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tables/table2.xml" ContentType="application/vnd.openxmlformats-officedocument.spreadsheetml.table+xml"/>
  <Override PartName="/xl/drawings/drawing7.xml" ContentType="application/vnd.openxmlformats-officedocument.drawing+xml"/>
  <Override PartName="/xl/tables/table3.xml" ContentType="application/vnd.openxmlformats-officedocument.spreadsheetml.table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tables/table4.xml" ContentType="application/vnd.openxmlformats-officedocument.spreadsheetml.table+xml"/>
  <Override PartName="/xl/drawings/drawing11.xml" ContentType="application/vnd.openxmlformats-officedocument.drawing+xml"/>
  <Override PartName="/xl/tables/table5.xml" ContentType="application/vnd.openxmlformats-officedocument.spreadsheetml.table+xml"/>
  <Override PartName="/xl/drawings/drawing12.xml" ContentType="application/vnd.openxmlformats-officedocument.drawing+xml"/>
  <Override PartName="/xl/tables/table6.xml" ContentType="application/vnd.openxmlformats-officedocument.spreadsheetml.table+xml"/>
  <Override PartName="/xl/drawings/drawing13.xml" ContentType="application/vnd.openxmlformats-officedocument.drawing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cgiar-my.sharepoint.com/personal/m_penuela_cgiar_org/Documents/Documents/projects/lmf/data/data_organization_june/subset_4/"/>
    </mc:Choice>
  </mc:AlternateContent>
  <xr:revisionPtr revIDLastSave="348" documentId="8_{A6ECB2FE-1B4F-423D-A022-1C4F1E2820C1}" xr6:coauthVersionLast="47" xr6:coauthVersionMax="47" xr10:uidLastSave="{5473ABB6-1BEC-4F14-B68C-47EC938111D9}"/>
  <bookViews>
    <workbookView xWindow="19090" yWindow="-8270" windowWidth="25820" windowHeight="13900" tabRatio="815" activeTab="1" xr2:uid="{5C8FCB3A-BB06-4CBD-8399-1181E7B60947}"/>
  </bookViews>
  <sheets>
    <sheet name="1. Information samples" sheetId="1" r:id="rId1"/>
    <sheet name="10_information_samples" sheetId="33" r:id="rId2"/>
    <sheet name="2.1. DM" sheetId="3" r:id="rId3"/>
    <sheet name="2.2 Protein" sheetId="4" r:id="rId4"/>
    <sheet name="2.3 ADF" sheetId="7" r:id="rId5"/>
    <sheet name="2.4 NDF" sheetId="9" r:id="rId6"/>
    <sheet name="3.1. Gas prod Original" sheetId="10" r:id="rId7"/>
    <sheet name="3.1. Gas prod VF" sheetId="32" r:id="rId8"/>
    <sheet name="31_gas_prod_vf" sheetId="35" r:id="rId9"/>
    <sheet name="3.2 Digest" sheetId="11" r:id="rId10"/>
    <sheet name="32_digest" sheetId="34" r:id="rId11"/>
    <sheet name="4.0 Result Q-raw data" sheetId="28" r:id="rId12"/>
    <sheet name="40_result_q_raw_data" sheetId="36" r:id="rId13"/>
    <sheet name="4.0 Result Quality Average" sheetId="15" r:id="rId14"/>
    <sheet name="4.1 Result Gas prod Average" sheetId="24" r:id="rId15"/>
    <sheet name="4.1 Result Gas prod Stv" sheetId="29" r:id="rId16"/>
    <sheet name="4.3 Result Q+Gasprod Average" sheetId="12" r:id="rId17"/>
  </sheets>
  <externalReferences>
    <externalReference r:id="rId18"/>
    <externalReference r:id="rId19"/>
  </externalReferences>
  <definedNames>
    <definedName name="_xlnm._FilterDatabase" localSheetId="0" hidden="1">'1. Information samples'!$B$10:$Q$158</definedName>
    <definedName name="_xlnm._FilterDatabase" localSheetId="2" hidden="1">'2.1. DM'!$B$10:$T$306</definedName>
    <definedName name="_xlnm._FilterDatabase" localSheetId="4" hidden="1">'2.3 ADF'!$B$10:$R$240</definedName>
    <definedName name="_xlnm._FilterDatabase" localSheetId="5" hidden="1">'2.4 NDF'!$B$10:$R$306</definedName>
    <definedName name="_xlnm._FilterDatabase" localSheetId="6" hidden="1">'3.1. Gas prod Original'!$AT$10:$AV$10</definedName>
    <definedName name="_xlnm._FilterDatabase" localSheetId="7" hidden="1">'3.1. Gas prod VF'!$AT$10:$AW$10</definedName>
    <definedName name="_xlnm._FilterDatabase" localSheetId="9" hidden="1">'3.2 Digest'!$B$10:$AG$1230</definedName>
    <definedName name="_xlnm._FilterDatabase" localSheetId="11" hidden="1">'4.0 Result Q-raw data'!$B$10:$Y$306</definedName>
    <definedName name="_xlnm._FilterDatabase" localSheetId="13" hidden="1">'4.0 Result Quality Average'!$P$10</definedName>
    <definedName name="_xlnm._FilterDatabase" localSheetId="16" hidden="1">'4.3 Result Q+Gasprod Average'!$Y$10</definedName>
    <definedName name="TableDig" localSheetId="9">'3.2 Digest'!$1:$1048576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3" i="28" l="1"/>
  <c r="AV13" i="10"/>
  <c r="AR13" i="10"/>
  <c r="AO13" i="10"/>
  <c r="N130" i="29"/>
  <c r="O130" i="29"/>
  <c r="P130" i="29"/>
  <c r="Q130" i="29"/>
  <c r="R130" i="29"/>
  <c r="S130" i="29"/>
  <c r="T130" i="29"/>
  <c r="V130" i="29"/>
  <c r="W130" i="29"/>
  <c r="X130" i="29"/>
  <c r="Y130" i="29"/>
  <c r="Z130" i="29"/>
  <c r="AA130" i="29"/>
  <c r="AB130" i="29"/>
  <c r="AC130" i="29"/>
  <c r="U130" i="29"/>
  <c r="N130" i="24"/>
  <c r="T130" i="12" s="1"/>
  <c r="P130" i="24"/>
  <c r="V130" i="12" s="1"/>
  <c r="Q130" i="24"/>
  <c r="W130" i="12" s="1"/>
  <c r="R130" i="24"/>
  <c r="X130" i="12" s="1"/>
  <c r="S130" i="24"/>
  <c r="Y130" i="12" s="1"/>
  <c r="T130" i="24"/>
  <c r="Z130" i="12" s="1"/>
  <c r="U130" i="24"/>
  <c r="AA130" i="12" s="1"/>
  <c r="V130" i="24"/>
  <c r="AB130" i="12" s="1"/>
  <c r="W130" i="24"/>
  <c r="AC130" i="12" s="1"/>
  <c r="X130" i="24"/>
  <c r="AD130" i="12" s="1"/>
  <c r="Y130" i="24"/>
  <c r="AE130" i="12" s="1"/>
  <c r="Z130" i="24"/>
  <c r="AF130" i="12" s="1"/>
  <c r="AA130" i="24"/>
  <c r="AG130" i="12" s="1"/>
  <c r="AB130" i="24"/>
  <c r="AH130" i="12" s="1"/>
  <c r="AC130" i="24"/>
  <c r="C154" i="12"/>
  <c r="D154" i="12"/>
  <c r="E154" i="12"/>
  <c r="F154" i="12"/>
  <c r="G154" i="12"/>
  <c r="H154" i="12"/>
  <c r="I154" i="12"/>
  <c r="J154" i="12"/>
  <c r="K154" i="12"/>
  <c r="L154" i="12"/>
  <c r="M154" i="12"/>
  <c r="C155" i="12"/>
  <c r="D155" i="12"/>
  <c r="E155" i="12"/>
  <c r="F155" i="12"/>
  <c r="G155" i="12"/>
  <c r="H155" i="12"/>
  <c r="I155" i="12"/>
  <c r="J155" i="12"/>
  <c r="K155" i="12"/>
  <c r="L155" i="12"/>
  <c r="M155" i="12"/>
  <c r="C156" i="12"/>
  <c r="D156" i="12"/>
  <c r="E156" i="12"/>
  <c r="F156" i="12"/>
  <c r="G156" i="12"/>
  <c r="H156" i="12"/>
  <c r="I156" i="12"/>
  <c r="J156" i="12"/>
  <c r="K156" i="12"/>
  <c r="L156" i="12"/>
  <c r="M156" i="12"/>
  <c r="C157" i="12"/>
  <c r="D157" i="12"/>
  <c r="E157" i="12"/>
  <c r="F157" i="12"/>
  <c r="G157" i="12"/>
  <c r="H157" i="12"/>
  <c r="I157" i="12"/>
  <c r="J157" i="12"/>
  <c r="K157" i="12"/>
  <c r="L157" i="12"/>
  <c r="M157" i="12"/>
  <c r="C158" i="12"/>
  <c r="D158" i="12"/>
  <c r="E158" i="12"/>
  <c r="F158" i="12"/>
  <c r="G158" i="12"/>
  <c r="H158" i="12"/>
  <c r="I158" i="12"/>
  <c r="J158" i="12"/>
  <c r="K158" i="12"/>
  <c r="L158" i="12"/>
  <c r="M158" i="12"/>
  <c r="C147" i="12"/>
  <c r="D147" i="12"/>
  <c r="E147" i="12"/>
  <c r="F147" i="12"/>
  <c r="G147" i="12"/>
  <c r="H147" i="12"/>
  <c r="I147" i="12"/>
  <c r="J147" i="12"/>
  <c r="K147" i="12"/>
  <c r="L147" i="12"/>
  <c r="M147" i="12"/>
  <c r="C148" i="12"/>
  <c r="D148" i="12"/>
  <c r="E148" i="12"/>
  <c r="F148" i="12"/>
  <c r="G148" i="12"/>
  <c r="H148" i="12"/>
  <c r="I148" i="12"/>
  <c r="J148" i="12"/>
  <c r="K148" i="12"/>
  <c r="L148" i="12"/>
  <c r="M148" i="12"/>
  <c r="C149" i="12"/>
  <c r="D149" i="12"/>
  <c r="E149" i="12"/>
  <c r="F149" i="12"/>
  <c r="G149" i="12"/>
  <c r="H149" i="12"/>
  <c r="I149" i="12"/>
  <c r="J149" i="12"/>
  <c r="K149" i="12"/>
  <c r="L149" i="12"/>
  <c r="M149" i="12"/>
  <c r="C150" i="12"/>
  <c r="D150" i="12"/>
  <c r="E150" i="12"/>
  <c r="F150" i="12"/>
  <c r="G150" i="12"/>
  <c r="H150" i="12"/>
  <c r="I150" i="12"/>
  <c r="J150" i="12"/>
  <c r="K150" i="12"/>
  <c r="L150" i="12"/>
  <c r="M150" i="12"/>
  <c r="C151" i="12"/>
  <c r="D151" i="12"/>
  <c r="E151" i="12"/>
  <c r="F151" i="12"/>
  <c r="G151" i="12"/>
  <c r="H151" i="12"/>
  <c r="I151" i="12"/>
  <c r="J151" i="12"/>
  <c r="K151" i="12"/>
  <c r="L151" i="12"/>
  <c r="M151" i="12"/>
  <c r="C152" i="12"/>
  <c r="D152" i="12"/>
  <c r="E152" i="12"/>
  <c r="F152" i="12"/>
  <c r="G152" i="12"/>
  <c r="H152" i="12"/>
  <c r="I152" i="12"/>
  <c r="J152" i="12"/>
  <c r="K152" i="12"/>
  <c r="L152" i="12"/>
  <c r="M152" i="12"/>
  <c r="C153" i="12"/>
  <c r="D153" i="12"/>
  <c r="E153" i="12"/>
  <c r="F153" i="12"/>
  <c r="G153" i="12"/>
  <c r="H153" i="12"/>
  <c r="I153" i="12"/>
  <c r="J153" i="12"/>
  <c r="K153" i="12"/>
  <c r="L153" i="12"/>
  <c r="M153" i="12"/>
  <c r="C132" i="12"/>
  <c r="D132" i="12"/>
  <c r="E132" i="12"/>
  <c r="F132" i="12"/>
  <c r="G132" i="12"/>
  <c r="H132" i="12"/>
  <c r="I132" i="12"/>
  <c r="J132" i="12"/>
  <c r="K132" i="12"/>
  <c r="L132" i="12"/>
  <c r="M132" i="12"/>
  <c r="C133" i="12"/>
  <c r="D133" i="12"/>
  <c r="E133" i="12"/>
  <c r="F133" i="12"/>
  <c r="G133" i="12"/>
  <c r="H133" i="12"/>
  <c r="I133" i="12"/>
  <c r="J133" i="12"/>
  <c r="K133" i="12"/>
  <c r="L133" i="12"/>
  <c r="M133" i="12"/>
  <c r="C134" i="12"/>
  <c r="D134" i="12"/>
  <c r="E134" i="12"/>
  <c r="F134" i="12"/>
  <c r="G134" i="12"/>
  <c r="H134" i="12"/>
  <c r="I134" i="12"/>
  <c r="J134" i="12"/>
  <c r="K134" i="12"/>
  <c r="L134" i="12"/>
  <c r="M134" i="12"/>
  <c r="C135" i="12"/>
  <c r="D135" i="12"/>
  <c r="E135" i="12"/>
  <c r="F135" i="12"/>
  <c r="G135" i="12"/>
  <c r="H135" i="12"/>
  <c r="I135" i="12"/>
  <c r="J135" i="12"/>
  <c r="K135" i="12"/>
  <c r="L135" i="12"/>
  <c r="M135" i="12"/>
  <c r="C136" i="12"/>
  <c r="D136" i="12"/>
  <c r="E136" i="12"/>
  <c r="F136" i="12"/>
  <c r="G136" i="12"/>
  <c r="H136" i="12"/>
  <c r="I136" i="12"/>
  <c r="J136" i="12"/>
  <c r="K136" i="12"/>
  <c r="L136" i="12"/>
  <c r="M136" i="12"/>
  <c r="C137" i="12"/>
  <c r="D137" i="12"/>
  <c r="E137" i="12"/>
  <c r="F137" i="12"/>
  <c r="G137" i="12"/>
  <c r="H137" i="12"/>
  <c r="I137" i="12"/>
  <c r="J137" i="12"/>
  <c r="K137" i="12"/>
  <c r="L137" i="12"/>
  <c r="M137" i="12"/>
  <c r="C138" i="12"/>
  <c r="D138" i="12"/>
  <c r="E138" i="12"/>
  <c r="F138" i="12"/>
  <c r="G138" i="12"/>
  <c r="H138" i="12"/>
  <c r="I138" i="12"/>
  <c r="J138" i="12"/>
  <c r="K138" i="12"/>
  <c r="L138" i="12"/>
  <c r="M138" i="12"/>
  <c r="C139" i="12"/>
  <c r="D139" i="12"/>
  <c r="E139" i="12"/>
  <c r="F139" i="12"/>
  <c r="G139" i="12"/>
  <c r="H139" i="12"/>
  <c r="I139" i="12"/>
  <c r="J139" i="12"/>
  <c r="K139" i="12"/>
  <c r="L139" i="12"/>
  <c r="M139" i="12"/>
  <c r="C140" i="12"/>
  <c r="D140" i="12"/>
  <c r="E140" i="12"/>
  <c r="F140" i="12"/>
  <c r="G140" i="12"/>
  <c r="H140" i="12"/>
  <c r="I140" i="12"/>
  <c r="J140" i="12"/>
  <c r="K140" i="12"/>
  <c r="L140" i="12"/>
  <c r="M140" i="12"/>
  <c r="C141" i="12"/>
  <c r="D141" i="12"/>
  <c r="E141" i="12"/>
  <c r="F141" i="12"/>
  <c r="G141" i="12"/>
  <c r="H141" i="12"/>
  <c r="I141" i="12"/>
  <c r="J141" i="12"/>
  <c r="K141" i="12"/>
  <c r="L141" i="12"/>
  <c r="M141" i="12"/>
  <c r="C142" i="12"/>
  <c r="D142" i="12"/>
  <c r="E142" i="12"/>
  <c r="F142" i="12"/>
  <c r="G142" i="12"/>
  <c r="H142" i="12"/>
  <c r="I142" i="12"/>
  <c r="J142" i="12"/>
  <c r="K142" i="12"/>
  <c r="L142" i="12"/>
  <c r="M142" i="12"/>
  <c r="C143" i="12"/>
  <c r="D143" i="12"/>
  <c r="E143" i="12"/>
  <c r="F143" i="12"/>
  <c r="G143" i="12"/>
  <c r="H143" i="12"/>
  <c r="I143" i="12"/>
  <c r="J143" i="12"/>
  <c r="K143" i="12"/>
  <c r="L143" i="12"/>
  <c r="M143" i="12"/>
  <c r="C144" i="12"/>
  <c r="D144" i="12"/>
  <c r="E144" i="12"/>
  <c r="F144" i="12"/>
  <c r="G144" i="12"/>
  <c r="H144" i="12"/>
  <c r="I144" i="12"/>
  <c r="J144" i="12"/>
  <c r="K144" i="12"/>
  <c r="L144" i="12"/>
  <c r="M144" i="12"/>
  <c r="C145" i="12"/>
  <c r="D145" i="12"/>
  <c r="E145" i="12"/>
  <c r="F145" i="12"/>
  <c r="G145" i="12"/>
  <c r="H145" i="12"/>
  <c r="I145" i="12"/>
  <c r="J145" i="12"/>
  <c r="K145" i="12"/>
  <c r="L145" i="12"/>
  <c r="M145" i="12"/>
  <c r="C146" i="12"/>
  <c r="D146" i="12"/>
  <c r="E146" i="12"/>
  <c r="F146" i="12"/>
  <c r="G146" i="12"/>
  <c r="H146" i="12"/>
  <c r="I146" i="12"/>
  <c r="J146" i="12"/>
  <c r="K146" i="12"/>
  <c r="L146" i="12"/>
  <c r="M146" i="12"/>
  <c r="C12" i="12"/>
  <c r="D12" i="12"/>
  <c r="E12" i="12"/>
  <c r="F12" i="12"/>
  <c r="G12" i="12"/>
  <c r="H12" i="12"/>
  <c r="I12" i="12"/>
  <c r="J12" i="12"/>
  <c r="K12" i="12"/>
  <c r="L12" i="12"/>
  <c r="M12" i="12"/>
  <c r="C13" i="12"/>
  <c r="D13" i="12"/>
  <c r="E13" i="12"/>
  <c r="F13" i="12"/>
  <c r="G13" i="12"/>
  <c r="H13" i="12"/>
  <c r="I13" i="12"/>
  <c r="J13" i="12"/>
  <c r="K13" i="12"/>
  <c r="L13" i="12"/>
  <c r="M13" i="12"/>
  <c r="C14" i="12"/>
  <c r="D14" i="12"/>
  <c r="E14" i="12"/>
  <c r="F14" i="12"/>
  <c r="G14" i="12"/>
  <c r="H14" i="12"/>
  <c r="I14" i="12"/>
  <c r="J14" i="12"/>
  <c r="K14" i="12"/>
  <c r="L14" i="12"/>
  <c r="M14" i="12"/>
  <c r="C15" i="12"/>
  <c r="D15" i="12"/>
  <c r="E15" i="12"/>
  <c r="F15" i="12"/>
  <c r="G15" i="12"/>
  <c r="H15" i="12"/>
  <c r="I15" i="12"/>
  <c r="J15" i="12"/>
  <c r="K15" i="12"/>
  <c r="L15" i="12"/>
  <c r="M15" i="12"/>
  <c r="C16" i="12"/>
  <c r="D16" i="12"/>
  <c r="E16" i="12"/>
  <c r="F16" i="12"/>
  <c r="G16" i="12"/>
  <c r="H16" i="12"/>
  <c r="I16" i="12"/>
  <c r="J16" i="12"/>
  <c r="K16" i="12"/>
  <c r="L16" i="12"/>
  <c r="M16" i="12"/>
  <c r="C17" i="12"/>
  <c r="D17" i="12"/>
  <c r="E17" i="12"/>
  <c r="F17" i="12"/>
  <c r="G17" i="12"/>
  <c r="H17" i="12"/>
  <c r="I17" i="12"/>
  <c r="J17" i="12"/>
  <c r="K17" i="12"/>
  <c r="L17" i="12"/>
  <c r="M17" i="12"/>
  <c r="C18" i="12"/>
  <c r="D18" i="12"/>
  <c r="E18" i="12"/>
  <c r="F18" i="12"/>
  <c r="G18" i="12"/>
  <c r="H18" i="12"/>
  <c r="I18" i="12"/>
  <c r="J18" i="12"/>
  <c r="K18" i="12"/>
  <c r="L18" i="12"/>
  <c r="M18" i="12"/>
  <c r="C19" i="12"/>
  <c r="D19" i="12"/>
  <c r="E19" i="12"/>
  <c r="F19" i="12"/>
  <c r="G19" i="12"/>
  <c r="H19" i="12"/>
  <c r="I19" i="12"/>
  <c r="J19" i="12"/>
  <c r="K19" i="12"/>
  <c r="L19" i="12"/>
  <c r="M19" i="12"/>
  <c r="C20" i="12"/>
  <c r="D20" i="12"/>
  <c r="E20" i="12"/>
  <c r="F20" i="12"/>
  <c r="G20" i="12"/>
  <c r="H20" i="12"/>
  <c r="I20" i="12"/>
  <c r="J20" i="12"/>
  <c r="K20" i="12"/>
  <c r="L20" i="12"/>
  <c r="M20" i="12"/>
  <c r="C21" i="12"/>
  <c r="D21" i="12"/>
  <c r="E21" i="12"/>
  <c r="F21" i="12"/>
  <c r="G21" i="12"/>
  <c r="H21" i="12"/>
  <c r="I21" i="12"/>
  <c r="J21" i="12"/>
  <c r="K21" i="12"/>
  <c r="L21" i="12"/>
  <c r="M21" i="12"/>
  <c r="C22" i="12"/>
  <c r="D22" i="12"/>
  <c r="E22" i="12"/>
  <c r="F22" i="12"/>
  <c r="G22" i="12"/>
  <c r="H22" i="12"/>
  <c r="I22" i="12"/>
  <c r="J22" i="12"/>
  <c r="K22" i="12"/>
  <c r="L22" i="12"/>
  <c r="M22" i="12"/>
  <c r="C23" i="12"/>
  <c r="D23" i="12"/>
  <c r="E23" i="12"/>
  <c r="F23" i="12"/>
  <c r="G23" i="12"/>
  <c r="H23" i="12"/>
  <c r="I23" i="12"/>
  <c r="J23" i="12"/>
  <c r="K23" i="12"/>
  <c r="L23" i="12"/>
  <c r="M23" i="12"/>
  <c r="C24" i="12"/>
  <c r="D24" i="12"/>
  <c r="E24" i="12"/>
  <c r="F24" i="12"/>
  <c r="G24" i="12"/>
  <c r="H24" i="12"/>
  <c r="I24" i="12"/>
  <c r="J24" i="12"/>
  <c r="K24" i="12"/>
  <c r="L24" i="12"/>
  <c r="M24" i="12"/>
  <c r="C25" i="12"/>
  <c r="D25" i="12"/>
  <c r="E25" i="12"/>
  <c r="F25" i="12"/>
  <c r="G25" i="12"/>
  <c r="H25" i="12"/>
  <c r="I25" i="12"/>
  <c r="J25" i="12"/>
  <c r="K25" i="12"/>
  <c r="L25" i="12"/>
  <c r="M25" i="12"/>
  <c r="C26" i="12"/>
  <c r="D26" i="12"/>
  <c r="E26" i="12"/>
  <c r="F26" i="12"/>
  <c r="G26" i="12"/>
  <c r="H26" i="12"/>
  <c r="I26" i="12"/>
  <c r="J26" i="12"/>
  <c r="K26" i="12"/>
  <c r="L26" i="12"/>
  <c r="M26" i="12"/>
  <c r="C27" i="12"/>
  <c r="D27" i="12"/>
  <c r="E27" i="12"/>
  <c r="F27" i="12"/>
  <c r="G27" i="12"/>
  <c r="H27" i="12"/>
  <c r="I27" i="12"/>
  <c r="J27" i="12"/>
  <c r="K27" i="12"/>
  <c r="L27" i="12"/>
  <c r="M27" i="12"/>
  <c r="C28" i="12"/>
  <c r="D28" i="12"/>
  <c r="E28" i="12"/>
  <c r="F28" i="12"/>
  <c r="G28" i="12"/>
  <c r="H28" i="12"/>
  <c r="I28" i="12"/>
  <c r="J28" i="12"/>
  <c r="K28" i="12"/>
  <c r="L28" i="12"/>
  <c r="M28" i="12"/>
  <c r="C29" i="12"/>
  <c r="D29" i="12"/>
  <c r="E29" i="12"/>
  <c r="F29" i="12"/>
  <c r="G29" i="12"/>
  <c r="H29" i="12"/>
  <c r="I29" i="12"/>
  <c r="J29" i="12"/>
  <c r="K29" i="12"/>
  <c r="L29" i="12"/>
  <c r="M29" i="12"/>
  <c r="C30" i="12"/>
  <c r="D30" i="12"/>
  <c r="E30" i="12"/>
  <c r="F30" i="12"/>
  <c r="G30" i="12"/>
  <c r="H30" i="12"/>
  <c r="I30" i="12"/>
  <c r="J30" i="12"/>
  <c r="K30" i="12"/>
  <c r="L30" i="12"/>
  <c r="M30" i="12"/>
  <c r="C31" i="12"/>
  <c r="D31" i="12"/>
  <c r="E31" i="12"/>
  <c r="F31" i="12"/>
  <c r="G31" i="12"/>
  <c r="H31" i="12"/>
  <c r="I31" i="12"/>
  <c r="J31" i="12"/>
  <c r="K31" i="12"/>
  <c r="L31" i="12"/>
  <c r="M31" i="12"/>
  <c r="C32" i="12"/>
  <c r="D32" i="12"/>
  <c r="E32" i="12"/>
  <c r="F32" i="12"/>
  <c r="G32" i="12"/>
  <c r="H32" i="12"/>
  <c r="I32" i="12"/>
  <c r="J32" i="12"/>
  <c r="K32" i="12"/>
  <c r="L32" i="12"/>
  <c r="M32" i="12"/>
  <c r="C33" i="12"/>
  <c r="D33" i="12"/>
  <c r="E33" i="12"/>
  <c r="F33" i="12"/>
  <c r="G33" i="12"/>
  <c r="H33" i="12"/>
  <c r="I33" i="12"/>
  <c r="J33" i="12"/>
  <c r="K33" i="12"/>
  <c r="L33" i="12"/>
  <c r="M33" i="12"/>
  <c r="C34" i="12"/>
  <c r="D34" i="12"/>
  <c r="E34" i="12"/>
  <c r="F34" i="12"/>
  <c r="G34" i="12"/>
  <c r="H34" i="12"/>
  <c r="I34" i="12"/>
  <c r="J34" i="12"/>
  <c r="K34" i="12"/>
  <c r="L34" i="12"/>
  <c r="M34" i="12"/>
  <c r="C35" i="12"/>
  <c r="D35" i="12"/>
  <c r="E35" i="12"/>
  <c r="F35" i="12"/>
  <c r="G35" i="12"/>
  <c r="H35" i="12"/>
  <c r="I35" i="12"/>
  <c r="J35" i="12"/>
  <c r="K35" i="12"/>
  <c r="L35" i="12"/>
  <c r="M35" i="12"/>
  <c r="C36" i="12"/>
  <c r="D36" i="12"/>
  <c r="E36" i="12"/>
  <c r="F36" i="12"/>
  <c r="G36" i="12"/>
  <c r="H36" i="12"/>
  <c r="I36" i="12"/>
  <c r="J36" i="12"/>
  <c r="K36" i="12"/>
  <c r="L36" i="12"/>
  <c r="M36" i="12"/>
  <c r="C37" i="12"/>
  <c r="D37" i="12"/>
  <c r="E37" i="12"/>
  <c r="F37" i="12"/>
  <c r="G37" i="12"/>
  <c r="H37" i="12"/>
  <c r="I37" i="12"/>
  <c r="J37" i="12"/>
  <c r="K37" i="12"/>
  <c r="L37" i="12"/>
  <c r="M37" i="12"/>
  <c r="C38" i="12"/>
  <c r="D38" i="12"/>
  <c r="E38" i="12"/>
  <c r="F38" i="12"/>
  <c r="G38" i="12"/>
  <c r="H38" i="12"/>
  <c r="I38" i="12"/>
  <c r="J38" i="12"/>
  <c r="K38" i="12"/>
  <c r="L38" i="12"/>
  <c r="M38" i="12"/>
  <c r="C39" i="12"/>
  <c r="D39" i="12"/>
  <c r="E39" i="12"/>
  <c r="F39" i="12"/>
  <c r="G39" i="12"/>
  <c r="H39" i="12"/>
  <c r="I39" i="12"/>
  <c r="J39" i="12"/>
  <c r="K39" i="12"/>
  <c r="L39" i="12"/>
  <c r="M39" i="12"/>
  <c r="C40" i="12"/>
  <c r="D40" i="12"/>
  <c r="E40" i="12"/>
  <c r="F40" i="12"/>
  <c r="G40" i="12"/>
  <c r="H40" i="12"/>
  <c r="I40" i="12"/>
  <c r="J40" i="12"/>
  <c r="K40" i="12"/>
  <c r="L40" i="12"/>
  <c r="M40" i="12"/>
  <c r="C41" i="12"/>
  <c r="D41" i="12"/>
  <c r="E41" i="12"/>
  <c r="F41" i="12"/>
  <c r="G41" i="12"/>
  <c r="H41" i="12"/>
  <c r="I41" i="12"/>
  <c r="J41" i="12"/>
  <c r="K41" i="12"/>
  <c r="L41" i="12"/>
  <c r="M41" i="12"/>
  <c r="C42" i="12"/>
  <c r="D42" i="12"/>
  <c r="E42" i="12"/>
  <c r="F42" i="12"/>
  <c r="G42" i="12"/>
  <c r="H42" i="12"/>
  <c r="I42" i="12"/>
  <c r="J42" i="12"/>
  <c r="K42" i="12"/>
  <c r="L42" i="12"/>
  <c r="M42" i="12"/>
  <c r="C43" i="12"/>
  <c r="D43" i="12"/>
  <c r="E43" i="12"/>
  <c r="F43" i="12"/>
  <c r="G43" i="12"/>
  <c r="H43" i="12"/>
  <c r="I43" i="12"/>
  <c r="J43" i="12"/>
  <c r="K43" i="12"/>
  <c r="L43" i="12"/>
  <c r="M43" i="12"/>
  <c r="C44" i="12"/>
  <c r="D44" i="12"/>
  <c r="E44" i="12"/>
  <c r="F44" i="12"/>
  <c r="G44" i="12"/>
  <c r="H44" i="12"/>
  <c r="I44" i="12"/>
  <c r="J44" i="12"/>
  <c r="K44" i="12"/>
  <c r="L44" i="12"/>
  <c r="M44" i="12"/>
  <c r="C45" i="12"/>
  <c r="D45" i="12"/>
  <c r="E45" i="12"/>
  <c r="F45" i="12"/>
  <c r="G45" i="12"/>
  <c r="H45" i="12"/>
  <c r="I45" i="12"/>
  <c r="J45" i="12"/>
  <c r="K45" i="12"/>
  <c r="L45" i="12"/>
  <c r="M45" i="12"/>
  <c r="C46" i="12"/>
  <c r="D46" i="12"/>
  <c r="E46" i="12"/>
  <c r="F46" i="12"/>
  <c r="G46" i="12"/>
  <c r="H46" i="12"/>
  <c r="I46" i="12"/>
  <c r="J46" i="12"/>
  <c r="K46" i="12"/>
  <c r="L46" i="12"/>
  <c r="M46" i="12"/>
  <c r="C47" i="12"/>
  <c r="D47" i="12"/>
  <c r="E47" i="12"/>
  <c r="F47" i="12"/>
  <c r="G47" i="12"/>
  <c r="H47" i="12"/>
  <c r="I47" i="12"/>
  <c r="J47" i="12"/>
  <c r="K47" i="12"/>
  <c r="L47" i="12"/>
  <c r="M47" i="12"/>
  <c r="C48" i="12"/>
  <c r="D48" i="12"/>
  <c r="E48" i="12"/>
  <c r="F48" i="12"/>
  <c r="G48" i="12"/>
  <c r="H48" i="12"/>
  <c r="I48" i="12"/>
  <c r="J48" i="12"/>
  <c r="K48" i="12"/>
  <c r="L48" i="12"/>
  <c r="M48" i="12"/>
  <c r="C49" i="12"/>
  <c r="D49" i="12"/>
  <c r="E49" i="12"/>
  <c r="F49" i="12"/>
  <c r="G49" i="12"/>
  <c r="H49" i="12"/>
  <c r="I49" i="12"/>
  <c r="J49" i="12"/>
  <c r="K49" i="12"/>
  <c r="L49" i="12"/>
  <c r="M49" i="12"/>
  <c r="C50" i="12"/>
  <c r="D50" i="12"/>
  <c r="E50" i="12"/>
  <c r="F50" i="12"/>
  <c r="G50" i="12"/>
  <c r="H50" i="12"/>
  <c r="I50" i="12"/>
  <c r="J50" i="12"/>
  <c r="K50" i="12"/>
  <c r="L50" i="12"/>
  <c r="M50" i="12"/>
  <c r="C51" i="12"/>
  <c r="D51" i="12"/>
  <c r="E51" i="12"/>
  <c r="F51" i="12"/>
  <c r="G51" i="12"/>
  <c r="H51" i="12"/>
  <c r="I51" i="12"/>
  <c r="J51" i="12"/>
  <c r="K51" i="12"/>
  <c r="L51" i="12"/>
  <c r="M51" i="12"/>
  <c r="C52" i="12"/>
  <c r="D52" i="12"/>
  <c r="E52" i="12"/>
  <c r="F52" i="12"/>
  <c r="G52" i="12"/>
  <c r="H52" i="12"/>
  <c r="I52" i="12"/>
  <c r="J52" i="12"/>
  <c r="K52" i="12"/>
  <c r="L52" i="12"/>
  <c r="M52" i="12"/>
  <c r="C53" i="12"/>
  <c r="D53" i="12"/>
  <c r="E53" i="12"/>
  <c r="F53" i="12"/>
  <c r="G53" i="12"/>
  <c r="H53" i="12"/>
  <c r="I53" i="12"/>
  <c r="J53" i="12"/>
  <c r="K53" i="12"/>
  <c r="L53" i="12"/>
  <c r="M53" i="12"/>
  <c r="C54" i="12"/>
  <c r="D54" i="12"/>
  <c r="E54" i="12"/>
  <c r="F54" i="12"/>
  <c r="G54" i="12"/>
  <c r="H54" i="12"/>
  <c r="I54" i="12"/>
  <c r="J54" i="12"/>
  <c r="K54" i="12"/>
  <c r="L54" i="12"/>
  <c r="M54" i="12"/>
  <c r="C55" i="12"/>
  <c r="D55" i="12"/>
  <c r="E55" i="12"/>
  <c r="F55" i="12"/>
  <c r="G55" i="12"/>
  <c r="H55" i="12"/>
  <c r="I55" i="12"/>
  <c r="J55" i="12"/>
  <c r="K55" i="12"/>
  <c r="L55" i="12"/>
  <c r="M55" i="12"/>
  <c r="C56" i="12"/>
  <c r="D56" i="12"/>
  <c r="E56" i="12"/>
  <c r="F56" i="12"/>
  <c r="G56" i="12"/>
  <c r="H56" i="12"/>
  <c r="I56" i="12"/>
  <c r="J56" i="12"/>
  <c r="K56" i="12"/>
  <c r="L56" i="12"/>
  <c r="M56" i="12"/>
  <c r="C57" i="12"/>
  <c r="D57" i="12"/>
  <c r="E57" i="12"/>
  <c r="F57" i="12"/>
  <c r="G57" i="12"/>
  <c r="H57" i="12"/>
  <c r="I57" i="12"/>
  <c r="J57" i="12"/>
  <c r="K57" i="12"/>
  <c r="L57" i="12"/>
  <c r="M57" i="12"/>
  <c r="C58" i="12"/>
  <c r="D58" i="12"/>
  <c r="E58" i="12"/>
  <c r="F58" i="12"/>
  <c r="G58" i="12"/>
  <c r="H58" i="12"/>
  <c r="I58" i="12"/>
  <c r="J58" i="12"/>
  <c r="K58" i="12"/>
  <c r="L58" i="12"/>
  <c r="M58" i="12"/>
  <c r="C59" i="12"/>
  <c r="D59" i="12"/>
  <c r="E59" i="12"/>
  <c r="F59" i="12"/>
  <c r="G59" i="12"/>
  <c r="H59" i="12"/>
  <c r="I59" i="12"/>
  <c r="J59" i="12"/>
  <c r="K59" i="12"/>
  <c r="L59" i="12"/>
  <c r="M59" i="12"/>
  <c r="C60" i="12"/>
  <c r="D60" i="12"/>
  <c r="E60" i="12"/>
  <c r="F60" i="12"/>
  <c r="G60" i="12"/>
  <c r="H60" i="12"/>
  <c r="I60" i="12"/>
  <c r="J60" i="12"/>
  <c r="K60" i="12"/>
  <c r="L60" i="12"/>
  <c r="M60" i="12"/>
  <c r="C61" i="12"/>
  <c r="D61" i="12"/>
  <c r="E61" i="12"/>
  <c r="F61" i="12"/>
  <c r="G61" i="12"/>
  <c r="H61" i="12"/>
  <c r="I61" i="12"/>
  <c r="J61" i="12"/>
  <c r="K61" i="12"/>
  <c r="L61" i="12"/>
  <c r="M61" i="12"/>
  <c r="C62" i="12"/>
  <c r="D62" i="12"/>
  <c r="E62" i="12"/>
  <c r="F62" i="12"/>
  <c r="G62" i="12"/>
  <c r="H62" i="12"/>
  <c r="I62" i="12"/>
  <c r="J62" i="12"/>
  <c r="K62" i="12"/>
  <c r="L62" i="12"/>
  <c r="M62" i="12"/>
  <c r="C63" i="12"/>
  <c r="D63" i="12"/>
  <c r="E63" i="12"/>
  <c r="F63" i="12"/>
  <c r="G63" i="12"/>
  <c r="H63" i="12"/>
  <c r="I63" i="12"/>
  <c r="J63" i="12"/>
  <c r="K63" i="12"/>
  <c r="L63" i="12"/>
  <c r="M63" i="12"/>
  <c r="C64" i="12"/>
  <c r="D64" i="12"/>
  <c r="E64" i="12"/>
  <c r="F64" i="12"/>
  <c r="G64" i="12"/>
  <c r="H64" i="12"/>
  <c r="I64" i="12"/>
  <c r="J64" i="12"/>
  <c r="K64" i="12"/>
  <c r="L64" i="12"/>
  <c r="M64" i="12"/>
  <c r="C65" i="12"/>
  <c r="D65" i="12"/>
  <c r="E65" i="12"/>
  <c r="F65" i="12"/>
  <c r="G65" i="12"/>
  <c r="H65" i="12"/>
  <c r="I65" i="12"/>
  <c r="J65" i="12"/>
  <c r="K65" i="12"/>
  <c r="L65" i="12"/>
  <c r="M65" i="12"/>
  <c r="C66" i="12"/>
  <c r="D66" i="12"/>
  <c r="E66" i="12"/>
  <c r="F66" i="12"/>
  <c r="G66" i="12"/>
  <c r="H66" i="12"/>
  <c r="I66" i="12"/>
  <c r="J66" i="12"/>
  <c r="K66" i="12"/>
  <c r="L66" i="12"/>
  <c r="M66" i="12"/>
  <c r="C67" i="12"/>
  <c r="D67" i="12"/>
  <c r="E67" i="12"/>
  <c r="F67" i="12"/>
  <c r="G67" i="12"/>
  <c r="H67" i="12"/>
  <c r="I67" i="12"/>
  <c r="J67" i="12"/>
  <c r="K67" i="12"/>
  <c r="L67" i="12"/>
  <c r="M67" i="12"/>
  <c r="C68" i="12"/>
  <c r="D68" i="12"/>
  <c r="E68" i="12"/>
  <c r="F68" i="12"/>
  <c r="G68" i="12"/>
  <c r="H68" i="12"/>
  <c r="I68" i="12"/>
  <c r="J68" i="12"/>
  <c r="K68" i="12"/>
  <c r="L68" i="12"/>
  <c r="M68" i="12"/>
  <c r="C69" i="12"/>
  <c r="D69" i="12"/>
  <c r="E69" i="12"/>
  <c r="F69" i="12"/>
  <c r="G69" i="12"/>
  <c r="H69" i="12"/>
  <c r="I69" i="12"/>
  <c r="J69" i="12"/>
  <c r="K69" i="12"/>
  <c r="L69" i="12"/>
  <c r="M69" i="12"/>
  <c r="C70" i="12"/>
  <c r="D70" i="12"/>
  <c r="E70" i="12"/>
  <c r="F70" i="12"/>
  <c r="G70" i="12"/>
  <c r="H70" i="12"/>
  <c r="I70" i="12"/>
  <c r="J70" i="12"/>
  <c r="K70" i="12"/>
  <c r="L70" i="12"/>
  <c r="M70" i="12"/>
  <c r="C71" i="12"/>
  <c r="D71" i="12"/>
  <c r="E71" i="12"/>
  <c r="F71" i="12"/>
  <c r="G71" i="12"/>
  <c r="H71" i="12"/>
  <c r="I71" i="12"/>
  <c r="J71" i="12"/>
  <c r="K71" i="12"/>
  <c r="L71" i="12"/>
  <c r="M71" i="12"/>
  <c r="C72" i="12"/>
  <c r="D72" i="12"/>
  <c r="E72" i="12"/>
  <c r="F72" i="12"/>
  <c r="G72" i="12"/>
  <c r="H72" i="12"/>
  <c r="I72" i="12"/>
  <c r="J72" i="12"/>
  <c r="K72" i="12"/>
  <c r="L72" i="12"/>
  <c r="M72" i="12"/>
  <c r="C73" i="12"/>
  <c r="D73" i="12"/>
  <c r="E73" i="12"/>
  <c r="F73" i="12"/>
  <c r="G73" i="12"/>
  <c r="H73" i="12"/>
  <c r="I73" i="12"/>
  <c r="J73" i="12"/>
  <c r="K73" i="12"/>
  <c r="L73" i="12"/>
  <c r="M73" i="12"/>
  <c r="C74" i="12"/>
  <c r="D74" i="12"/>
  <c r="E74" i="12"/>
  <c r="F74" i="12"/>
  <c r="G74" i="12"/>
  <c r="H74" i="12"/>
  <c r="I74" i="12"/>
  <c r="J74" i="12"/>
  <c r="K74" i="12"/>
  <c r="L74" i="12"/>
  <c r="M74" i="12"/>
  <c r="C75" i="12"/>
  <c r="D75" i="12"/>
  <c r="E75" i="12"/>
  <c r="F75" i="12"/>
  <c r="G75" i="12"/>
  <c r="H75" i="12"/>
  <c r="I75" i="12"/>
  <c r="J75" i="12"/>
  <c r="K75" i="12"/>
  <c r="L75" i="12"/>
  <c r="M75" i="12"/>
  <c r="C76" i="12"/>
  <c r="D76" i="12"/>
  <c r="E76" i="12"/>
  <c r="F76" i="12"/>
  <c r="G76" i="12"/>
  <c r="H76" i="12"/>
  <c r="I76" i="12"/>
  <c r="J76" i="12"/>
  <c r="K76" i="12"/>
  <c r="L76" i="12"/>
  <c r="M76" i="12"/>
  <c r="C77" i="12"/>
  <c r="D77" i="12"/>
  <c r="E77" i="12"/>
  <c r="F77" i="12"/>
  <c r="G77" i="12"/>
  <c r="H77" i="12"/>
  <c r="I77" i="12"/>
  <c r="J77" i="12"/>
  <c r="K77" i="12"/>
  <c r="L77" i="12"/>
  <c r="M77" i="12"/>
  <c r="C78" i="12"/>
  <c r="D78" i="12"/>
  <c r="E78" i="12"/>
  <c r="F78" i="12"/>
  <c r="G78" i="12"/>
  <c r="H78" i="12"/>
  <c r="I78" i="12"/>
  <c r="J78" i="12"/>
  <c r="K78" i="12"/>
  <c r="L78" i="12"/>
  <c r="M78" i="12"/>
  <c r="C79" i="12"/>
  <c r="D79" i="12"/>
  <c r="E79" i="12"/>
  <c r="F79" i="12"/>
  <c r="G79" i="12"/>
  <c r="H79" i="12"/>
  <c r="I79" i="12"/>
  <c r="J79" i="12"/>
  <c r="K79" i="12"/>
  <c r="L79" i="12"/>
  <c r="M79" i="12"/>
  <c r="C80" i="12"/>
  <c r="D80" i="12"/>
  <c r="E80" i="12"/>
  <c r="F80" i="12"/>
  <c r="G80" i="12"/>
  <c r="H80" i="12"/>
  <c r="I80" i="12"/>
  <c r="J80" i="12"/>
  <c r="K80" i="12"/>
  <c r="L80" i="12"/>
  <c r="M80" i="12"/>
  <c r="C81" i="12"/>
  <c r="D81" i="12"/>
  <c r="E81" i="12"/>
  <c r="F81" i="12"/>
  <c r="G81" i="12"/>
  <c r="H81" i="12"/>
  <c r="I81" i="12"/>
  <c r="J81" i="12"/>
  <c r="K81" i="12"/>
  <c r="L81" i="12"/>
  <c r="M81" i="12"/>
  <c r="C82" i="12"/>
  <c r="D82" i="12"/>
  <c r="E82" i="12"/>
  <c r="F82" i="12"/>
  <c r="G82" i="12"/>
  <c r="H82" i="12"/>
  <c r="I82" i="12"/>
  <c r="J82" i="12"/>
  <c r="K82" i="12"/>
  <c r="L82" i="12"/>
  <c r="M82" i="12"/>
  <c r="C83" i="12"/>
  <c r="D83" i="12"/>
  <c r="E83" i="12"/>
  <c r="F83" i="12"/>
  <c r="G83" i="12"/>
  <c r="H83" i="12"/>
  <c r="I83" i="12"/>
  <c r="J83" i="12"/>
  <c r="K83" i="12"/>
  <c r="L83" i="12"/>
  <c r="M83" i="12"/>
  <c r="C84" i="12"/>
  <c r="D84" i="12"/>
  <c r="E84" i="12"/>
  <c r="F84" i="12"/>
  <c r="G84" i="12"/>
  <c r="H84" i="12"/>
  <c r="I84" i="12"/>
  <c r="J84" i="12"/>
  <c r="K84" i="12"/>
  <c r="L84" i="12"/>
  <c r="M84" i="12"/>
  <c r="C85" i="12"/>
  <c r="D85" i="12"/>
  <c r="E85" i="12"/>
  <c r="F85" i="12"/>
  <c r="G85" i="12"/>
  <c r="H85" i="12"/>
  <c r="I85" i="12"/>
  <c r="J85" i="12"/>
  <c r="K85" i="12"/>
  <c r="L85" i="12"/>
  <c r="M85" i="12"/>
  <c r="C86" i="12"/>
  <c r="D86" i="12"/>
  <c r="E86" i="12"/>
  <c r="F86" i="12"/>
  <c r="G86" i="12"/>
  <c r="H86" i="12"/>
  <c r="I86" i="12"/>
  <c r="J86" i="12"/>
  <c r="K86" i="12"/>
  <c r="L86" i="12"/>
  <c r="M86" i="12"/>
  <c r="C87" i="12"/>
  <c r="D87" i="12"/>
  <c r="E87" i="12"/>
  <c r="F87" i="12"/>
  <c r="G87" i="12"/>
  <c r="H87" i="12"/>
  <c r="I87" i="12"/>
  <c r="J87" i="12"/>
  <c r="K87" i="12"/>
  <c r="L87" i="12"/>
  <c r="M87" i="12"/>
  <c r="C88" i="12"/>
  <c r="D88" i="12"/>
  <c r="E88" i="12"/>
  <c r="F88" i="12"/>
  <c r="G88" i="12"/>
  <c r="H88" i="12"/>
  <c r="I88" i="12"/>
  <c r="J88" i="12"/>
  <c r="K88" i="12"/>
  <c r="L88" i="12"/>
  <c r="M88" i="12"/>
  <c r="C89" i="12"/>
  <c r="D89" i="12"/>
  <c r="E89" i="12"/>
  <c r="F89" i="12"/>
  <c r="G89" i="12"/>
  <c r="H89" i="12"/>
  <c r="I89" i="12"/>
  <c r="J89" i="12"/>
  <c r="K89" i="12"/>
  <c r="L89" i="12"/>
  <c r="M89" i="12"/>
  <c r="C90" i="12"/>
  <c r="D90" i="12"/>
  <c r="E90" i="12"/>
  <c r="F90" i="12"/>
  <c r="G90" i="12"/>
  <c r="H90" i="12"/>
  <c r="I90" i="12"/>
  <c r="J90" i="12"/>
  <c r="K90" i="12"/>
  <c r="L90" i="12"/>
  <c r="M90" i="12"/>
  <c r="C91" i="12"/>
  <c r="D91" i="12"/>
  <c r="E91" i="12"/>
  <c r="F91" i="12"/>
  <c r="G91" i="12"/>
  <c r="H91" i="12"/>
  <c r="I91" i="12"/>
  <c r="J91" i="12"/>
  <c r="K91" i="12"/>
  <c r="L91" i="12"/>
  <c r="M91" i="12"/>
  <c r="C92" i="12"/>
  <c r="D92" i="12"/>
  <c r="E92" i="12"/>
  <c r="F92" i="12"/>
  <c r="G92" i="12"/>
  <c r="H92" i="12"/>
  <c r="I92" i="12"/>
  <c r="J92" i="12"/>
  <c r="K92" i="12"/>
  <c r="L92" i="12"/>
  <c r="M92" i="12"/>
  <c r="C93" i="12"/>
  <c r="D93" i="12"/>
  <c r="E93" i="12"/>
  <c r="F93" i="12"/>
  <c r="G93" i="12"/>
  <c r="H93" i="12"/>
  <c r="I93" i="12"/>
  <c r="J93" i="12"/>
  <c r="K93" i="12"/>
  <c r="L93" i="12"/>
  <c r="M93" i="12"/>
  <c r="C94" i="12"/>
  <c r="D94" i="12"/>
  <c r="E94" i="12"/>
  <c r="F94" i="12"/>
  <c r="G94" i="12"/>
  <c r="H94" i="12"/>
  <c r="I94" i="12"/>
  <c r="J94" i="12"/>
  <c r="K94" i="12"/>
  <c r="L94" i="12"/>
  <c r="M94" i="12"/>
  <c r="C95" i="12"/>
  <c r="D95" i="12"/>
  <c r="E95" i="12"/>
  <c r="F95" i="12"/>
  <c r="G95" i="12"/>
  <c r="H95" i="12"/>
  <c r="I95" i="12"/>
  <c r="J95" i="12"/>
  <c r="K95" i="12"/>
  <c r="L95" i="12"/>
  <c r="M95" i="12"/>
  <c r="C96" i="12"/>
  <c r="D96" i="12"/>
  <c r="E96" i="12"/>
  <c r="F96" i="12"/>
  <c r="G96" i="12"/>
  <c r="H96" i="12"/>
  <c r="I96" i="12"/>
  <c r="J96" i="12"/>
  <c r="K96" i="12"/>
  <c r="L96" i="12"/>
  <c r="M96" i="12"/>
  <c r="C97" i="12"/>
  <c r="D97" i="12"/>
  <c r="E97" i="12"/>
  <c r="F97" i="12"/>
  <c r="G97" i="12"/>
  <c r="H97" i="12"/>
  <c r="I97" i="12"/>
  <c r="J97" i="12"/>
  <c r="K97" i="12"/>
  <c r="L97" i="12"/>
  <c r="M97" i="12"/>
  <c r="C98" i="12"/>
  <c r="D98" i="12"/>
  <c r="E98" i="12"/>
  <c r="F98" i="12"/>
  <c r="G98" i="12"/>
  <c r="H98" i="12"/>
  <c r="I98" i="12"/>
  <c r="J98" i="12"/>
  <c r="K98" i="12"/>
  <c r="L98" i="12"/>
  <c r="M98" i="12"/>
  <c r="C99" i="12"/>
  <c r="D99" i="12"/>
  <c r="E99" i="12"/>
  <c r="F99" i="12"/>
  <c r="G99" i="12"/>
  <c r="H99" i="12"/>
  <c r="I99" i="12"/>
  <c r="J99" i="12"/>
  <c r="K99" i="12"/>
  <c r="L99" i="12"/>
  <c r="M99" i="12"/>
  <c r="C100" i="12"/>
  <c r="D100" i="12"/>
  <c r="E100" i="12"/>
  <c r="F100" i="12"/>
  <c r="G100" i="12"/>
  <c r="H100" i="12"/>
  <c r="I100" i="12"/>
  <c r="J100" i="12"/>
  <c r="K100" i="12"/>
  <c r="L100" i="12"/>
  <c r="M100" i="12"/>
  <c r="C101" i="12"/>
  <c r="D101" i="12"/>
  <c r="E101" i="12"/>
  <c r="F101" i="12"/>
  <c r="G101" i="12"/>
  <c r="H101" i="12"/>
  <c r="I101" i="12"/>
  <c r="J101" i="12"/>
  <c r="K101" i="12"/>
  <c r="L101" i="12"/>
  <c r="M101" i="12"/>
  <c r="C102" i="12"/>
  <c r="D102" i="12"/>
  <c r="E102" i="12"/>
  <c r="F102" i="12"/>
  <c r="G102" i="12"/>
  <c r="H102" i="12"/>
  <c r="I102" i="12"/>
  <c r="J102" i="12"/>
  <c r="K102" i="12"/>
  <c r="L102" i="12"/>
  <c r="M102" i="12"/>
  <c r="C103" i="12"/>
  <c r="D103" i="12"/>
  <c r="E103" i="12"/>
  <c r="F103" i="12"/>
  <c r="G103" i="12"/>
  <c r="H103" i="12"/>
  <c r="I103" i="12"/>
  <c r="J103" i="12"/>
  <c r="K103" i="12"/>
  <c r="L103" i="12"/>
  <c r="M103" i="12"/>
  <c r="C104" i="12"/>
  <c r="D104" i="12"/>
  <c r="E104" i="12"/>
  <c r="F104" i="12"/>
  <c r="G104" i="12"/>
  <c r="H104" i="12"/>
  <c r="I104" i="12"/>
  <c r="J104" i="12"/>
  <c r="K104" i="12"/>
  <c r="L104" i="12"/>
  <c r="M104" i="12"/>
  <c r="C105" i="12"/>
  <c r="D105" i="12"/>
  <c r="E105" i="12"/>
  <c r="F105" i="12"/>
  <c r="G105" i="12"/>
  <c r="H105" i="12"/>
  <c r="I105" i="12"/>
  <c r="J105" i="12"/>
  <c r="K105" i="12"/>
  <c r="L105" i="12"/>
  <c r="M105" i="12"/>
  <c r="C106" i="12"/>
  <c r="D106" i="12"/>
  <c r="E106" i="12"/>
  <c r="F106" i="12"/>
  <c r="G106" i="12"/>
  <c r="H106" i="12"/>
  <c r="I106" i="12"/>
  <c r="J106" i="12"/>
  <c r="K106" i="12"/>
  <c r="L106" i="12"/>
  <c r="M106" i="12"/>
  <c r="C107" i="12"/>
  <c r="D107" i="12"/>
  <c r="E107" i="12"/>
  <c r="F107" i="12"/>
  <c r="G107" i="12"/>
  <c r="H107" i="12"/>
  <c r="I107" i="12"/>
  <c r="J107" i="12"/>
  <c r="K107" i="12"/>
  <c r="L107" i="12"/>
  <c r="M107" i="12"/>
  <c r="C108" i="12"/>
  <c r="D108" i="12"/>
  <c r="E108" i="12"/>
  <c r="F108" i="12"/>
  <c r="G108" i="12"/>
  <c r="H108" i="12"/>
  <c r="I108" i="12"/>
  <c r="J108" i="12"/>
  <c r="K108" i="12"/>
  <c r="L108" i="12"/>
  <c r="M108" i="12"/>
  <c r="C109" i="12"/>
  <c r="D109" i="12"/>
  <c r="E109" i="12"/>
  <c r="F109" i="12"/>
  <c r="G109" i="12"/>
  <c r="H109" i="12"/>
  <c r="I109" i="12"/>
  <c r="J109" i="12"/>
  <c r="K109" i="12"/>
  <c r="L109" i="12"/>
  <c r="M109" i="12"/>
  <c r="C110" i="12"/>
  <c r="D110" i="12"/>
  <c r="E110" i="12"/>
  <c r="F110" i="12"/>
  <c r="G110" i="12"/>
  <c r="H110" i="12"/>
  <c r="I110" i="12"/>
  <c r="J110" i="12"/>
  <c r="K110" i="12"/>
  <c r="L110" i="12"/>
  <c r="M110" i="12"/>
  <c r="C111" i="12"/>
  <c r="D111" i="12"/>
  <c r="E111" i="12"/>
  <c r="F111" i="12"/>
  <c r="G111" i="12"/>
  <c r="H111" i="12"/>
  <c r="I111" i="12"/>
  <c r="J111" i="12"/>
  <c r="K111" i="12"/>
  <c r="L111" i="12"/>
  <c r="M111" i="12"/>
  <c r="C112" i="12"/>
  <c r="D112" i="12"/>
  <c r="E112" i="12"/>
  <c r="F112" i="12"/>
  <c r="G112" i="12"/>
  <c r="H112" i="12"/>
  <c r="I112" i="12"/>
  <c r="J112" i="12"/>
  <c r="K112" i="12"/>
  <c r="L112" i="12"/>
  <c r="M112" i="12"/>
  <c r="C113" i="12"/>
  <c r="D113" i="12"/>
  <c r="E113" i="12"/>
  <c r="F113" i="12"/>
  <c r="G113" i="12"/>
  <c r="H113" i="12"/>
  <c r="I113" i="12"/>
  <c r="J113" i="12"/>
  <c r="K113" i="12"/>
  <c r="L113" i="12"/>
  <c r="M113" i="12"/>
  <c r="C114" i="12"/>
  <c r="D114" i="12"/>
  <c r="E114" i="12"/>
  <c r="F114" i="12"/>
  <c r="G114" i="12"/>
  <c r="H114" i="12"/>
  <c r="I114" i="12"/>
  <c r="J114" i="12"/>
  <c r="K114" i="12"/>
  <c r="L114" i="12"/>
  <c r="M114" i="12"/>
  <c r="C115" i="12"/>
  <c r="D115" i="12"/>
  <c r="E115" i="12"/>
  <c r="F115" i="12"/>
  <c r="G115" i="12"/>
  <c r="H115" i="12"/>
  <c r="I115" i="12"/>
  <c r="J115" i="12"/>
  <c r="K115" i="12"/>
  <c r="L115" i="12"/>
  <c r="M115" i="12"/>
  <c r="C116" i="12"/>
  <c r="D116" i="12"/>
  <c r="E116" i="12"/>
  <c r="F116" i="12"/>
  <c r="G116" i="12"/>
  <c r="H116" i="12"/>
  <c r="I116" i="12"/>
  <c r="J116" i="12"/>
  <c r="K116" i="12"/>
  <c r="L116" i="12"/>
  <c r="M116" i="12"/>
  <c r="C117" i="12"/>
  <c r="D117" i="12"/>
  <c r="E117" i="12"/>
  <c r="F117" i="12"/>
  <c r="G117" i="12"/>
  <c r="H117" i="12"/>
  <c r="I117" i="12"/>
  <c r="J117" i="12"/>
  <c r="K117" i="12"/>
  <c r="L117" i="12"/>
  <c r="M117" i="12"/>
  <c r="C118" i="12"/>
  <c r="D118" i="12"/>
  <c r="E118" i="12"/>
  <c r="F118" i="12"/>
  <c r="G118" i="12"/>
  <c r="H118" i="12"/>
  <c r="I118" i="12"/>
  <c r="J118" i="12"/>
  <c r="K118" i="12"/>
  <c r="L118" i="12"/>
  <c r="M118" i="12"/>
  <c r="C119" i="12"/>
  <c r="D119" i="12"/>
  <c r="E119" i="12"/>
  <c r="F119" i="12"/>
  <c r="G119" i="12"/>
  <c r="H119" i="12"/>
  <c r="I119" i="12"/>
  <c r="J119" i="12"/>
  <c r="K119" i="12"/>
  <c r="L119" i="12"/>
  <c r="M119" i="12"/>
  <c r="C120" i="12"/>
  <c r="D120" i="12"/>
  <c r="E120" i="12"/>
  <c r="F120" i="12"/>
  <c r="G120" i="12"/>
  <c r="H120" i="12"/>
  <c r="I120" i="12"/>
  <c r="J120" i="12"/>
  <c r="K120" i="12"/>
  <c r="L120" i="12"/>
  <c r="M120" i="12"/>
  <c r="C121" i="12"/>
  <c r="D121" i="12"/>
  <c r="E121" i="12"/>
  <c r="F121" i="12"/>
  <c r="G121" i="12"/>
  <c r="H121" i="12"/>
  <c r="I121" i="12"/>
  <c r="J121" i="12"/>
  <c r="K121" i="12"/>
  <c r="L121" i="12"/>
  <c r="M121" i="12"/>
  <c r="C122" i="12"/>
  <c r="D122" i="12"/>
  <c r="E122" i="12"/>
  <c r="F122" i="12"/>
  <c r="G122" i="12"/>
  <c r="H122" i="12"/>
  <c r="I122" i="12"/>
  <c r="J122" i="12"/>
  <c r="K122" i="12"/>
  <c r="L122" i="12"/>
  <c r="M122" i="12"/>
  <c r="C123" i="12"/>
  <c r="D123" i="12"/>
  <c r="E123" i="12"/>
  <c r="F123" i="12"/>
  <c r="G123" i="12"/>
  <c r="H123" i="12"/>
  <c r="I123" i="12"/>
  <c r="J123" i="12"/>
  <c r="K123" i="12"/>
  <c r="L123" i="12"/>
  <c r="M123" i="12"/>
  <c r="C124" i="12"/>
  <c r="D124" i="12"/>
  <c r="E124" i="12"/>
  <c r="F124" i="12"/>
  <c r="G124" i="12"/>
  <c r="H124" i="12"/>
  <c r="I124" i="12"/>
  <c r="J124" i="12"/>
  <c r="K124" i="12"/>
  <c r="L124" i="12"/>
  <c r="M124" i="12"/>
  <c r="C125" i="12"/>
  <c r="D125" i="12"/>
  <c r="E125" i="12"/>
  <c r="F125" i="12"/>
  <c r="G125" i="12"/>
  <c r="H125" i="12"/>
  <c r="I125" i="12"/>
  <c r="J125" i="12"/>
  <c r="K125" i="12"/>
  <c r="L125" i="12"/>
  <c r="M125" i="12"/>
  <c r="C126" i="12"/>
  <c r="D126" i="12"/>
  <c r="E126" i="12"/>
  <c r="F126" i="12"/>
  <c r="G126" i="12"/>
  <c r="H126" i="12"/>
  <c r="I126" i="12"/>
  <c r="J126" i="12"/>
  <c r="K126" i="12"/>
  <c r="L126" i="12"/>
  <c r="M126" i="12"/>
  <c r="C127" i="12"/>
  <c r="D127" i="12"/>
  <c r="E127" i="12"/>
  <c r="F127" i="12"/>
  <c r="G127" i="12"/>
  <c r="H127" i="12"/>
  <c r="I127" i="12"/>
  <c r="J127" i="12"/>
  <c r="K127" i="12"/>
  <c r="L127" i="12"/>
  <c r="M127" i="12"/>
  <c r="C128" i="12"/>
  <c r="D128" i="12"/>
  <c r="E128" i="12"/>
  <c r="F128" i="12"/>
  <c r="G128" i="12"/>
  <c r="H128" i="12"/>
  <c r="I128" i="12"/>
  <c r="J128" i="12"/>
  <c r="K128" i="12"/>
  <c r="L128" i="12"/>
  <c r="M128" i="12"/>
  <c r="C129" i="12"/>
  <c r="D129" i="12"/>
  <c r="E129" i="12"/>
  <c r="F129" i="12"/>
  <c r="G129" i="12"/>
  <c r="H129" i="12"/>
  <c r="I129" i="12"/>
  <c r="J129" i="12"/>
  <c r="K129" i="12"/>
  <c r="L129" i="12"/>
  <c r="M129" i="12"/>
  <c r="C130" i="12"/>
  <c r="D130" i="12"/>
  <c r="E130" i="12"/>
  <c r="F130" i="12"/>
  <c r="G130" i="12"/>
  <c r="H130" i="12"/>
  <c r="I130" i="12"/>
  <c r="J130" i="12"/>
  <c r="K130" i="12"/>
  <c r="L130" i="12"/>
  <c r="M130" i="12"/>
  <c r="C131" i="12"/>
  <c r="D131" i="12"/>
  <c r="E131" i="12"/>
  <c r="F131" i="12"/>
  <c r="G131" i="12"/>
  <c r="H131" i="12"/>
  <c r="I131" i="12"/>
  <c r="J131" i="12"/>
  <c r="K131" i="12"/>
  <c r="L131" i="12"/>
  <c r="M131" i="12"/>
  <c r="D11" i="12"/>
  <c r="E11" i="12"/>
  <c r="F11" i="12"/>
  <c r="G11" i="12"/>
  <c r="H11" i="12"/>
  <c r="I11" i="12"/>
  <c r="J11" i="12"/>
  <c r="K11" i="12"/>
  <c r="L11" i="12"/>
  <c r="M11" i="12"/>
  <c r="L290" i="32" l="1"/>
  <c r="H290" i="32"/>
  <c r="E290" i="32"/>
  <c r="L289" i="32"/>
  <c r="H289" i="32"/>
  <c r="E289" i="32"/>
  <c r="L288" i="32"/>
  <c r="H288" i="32"/>
  <c r="E288" i="32"/>
  <c r="L287" i="32"/>
  <c r="H287" i="32"/>
  <c r="E287" i="32"/>
  <c r="L286" i="32"/>
  <c r="H286" i="32"/>
  <c r="E286" i="32"/>
  <c r="L285" i="32"/>
  <c r="H285" i="32"/>
  <c r="E285" i="32"/>
  <c r="L284" i="32"/>
  <c r="H284" i="32"/>
  <c r="E284" i="32"/>
  <c r="L283" i="32"/>
  <c r="H283" i="32"/>
  <c r="E283" i="32"/>
  <c r="L282" i="32"/>
  <c r="H282" i="32"/>
  <c r="E282" i="32"/>
  <c r="L281" i="32"/>
  <c r="H281" i="32"/>
  <c r="E281" i="32"/>
  <c r="L280" i="32"/>
  <c r="H280" i="32"/>
  <c r="E280" i="32"/>
  <c r="L279" i="32"/>
  <c r="H279" i="32"/>
  <c r="E279" i="32"/>
  <c r="L278" i="32"/>
  <c r="H278" i="32"/>
  <c r="E278" i="32"/>
  <c r="L277" i="32"/>
  <c r="H277" i="32"/>
  <c r="E277" i="32"/>
  <c r="L276" i="32"/>
  <c r="H276" i="32"/>
  <c r="E276" i="32"/>
  <c r="L275" i="32"/>
  <c r="H275" i="32"/>
  <c r="E275" i="32"/>
  <c r="L274" i="32"/>
  <c r="H274" i="32"/>
  <c r="E274" i="32"/>
  <c r="L273" i="32"/>
  <c r="H273" i="32"/>
  <c r="E273" i="32"/>
  <c r="L272" i="32"/>
  <c r="H272" i="32"/>
  <c r="E272" i="32"/>
  <c r="L271" i="32"/>
  <c r="H271" i="32"/>
  <c r="E271" i="32"/>
  <c r="L270" i="32"/>
  <c r="H270" i="32"/>
  <c r="E270" i="32"/>
  <c r="L269" i="32"/>
  <c r="H269" i="32"/>
  <c r="E269" i="32"/>
  <c r="L268" i="32"/>
  <c r="H268" i="32"/>
  <c r="E268" i="32"/>
  <c r="L267" i="32"/>
  <c r="H267" i="32"/>
  <c r="E267" i="32"/>
  <c r="L266" i="32"/>
  <c r="H266" i="32"/>
  <c r="E266" i="32"/>
  <c r="L265" i="32"/>
  <c r="H265" i="32"/>
  <c r="E265" i="32"/>
  <c r="L264" i="32"/>
  <c r="H264" i="32"/>
  <c r="E264" i="32"/>
  <c r="L263" i="32"/>
  <c r="H263" i="32"/>
  <c r="E263" i="32"/>
  <c r="L262" i="32"/>
  <c r="H262" i="32"/>
  <c r="E262" i="32"/>
  <c r="L261" i="32"/>
  <c r="H261" i="32"/>
  <c r="E261" i="32"/>
  <c r="L260" i="32"/>
  <c r="H260" i="32"/>
  <c r="E260" i="32"/>
  <c r="L259" i="32"/>
  <c r="H259" i="32"/>
  <c r="E259" i="32"/>
  <c r="L258" i="32"/>
  <c r="H258" i="32"/>
  <c r="E258" i="32"/>
  <c r="L257" i="32"/>
  <c r="H257" i="32"/>
  <c r="E257" i="32"/>
  <c r="L254" i="32"/>
  <c r="H254" i="32"/>
  <c r="E254" i="32"/>
  <c r="L253" i="32"/>
  <c r="H253" i="32"/>
  <c r="E253" i="32"/>
  <c r="L252" i="32"/>
  <c r="H252" i="32"/>
  <c r="E252" i="32"/>
  <c r="L251" i="32"/>
  <c r="H251" i="32"/>
  <c r="E251" i="32"/>
  <c r="L250" i="32"/>
  <c r="H250" i="32"/>
  <c r="E250" i="32"/>
  <c r="L249" i="32"/>
  <c r="H249" i="32"/>
  <c r="E249" i="32"/>
  <c r="L248" i="32"/>
  <c r="H248" i="32"/>
  <c r="E248" i="32"/>
  <c r="L247" i="32"/>
  <c r="H247" i="32"/>
  <c r="E247" i="32"/>
  <c r="L246" i="32"/>
  <c r="H246" i="32"/>
  <c r="E246" i="32"/>
  <c r="L245" i="32"/>
  <c r="H245" i="32"/>
  <c r="E245" i="32"/>
  <c r="L244" i="32"/>
  <c r="H244" i="32"/>
  <c r="E244" i="32"/>
  <c r="L243" i="32"/>
  <c r="H243" i="32"/>
  <c r="E243" i="32"/>
  <c r="L242" i="32"/>
  <c r="H242" i="32"/>
  <c r="E242" i="32"/>
  <c r="L241" i="32"/>
  <c r="H241" i="32"/>
  <c r="E241" i="32"/>
  <c r="L240" i="32"/>
  <c r="H240" i="32"/>
  <c r="E240" i="32"/>
  <c r="L239" i="32"/>
  <c r="H239" i="32"/>
  <c r="E239" i="32"/>
  <c r="L238" i="32"/>
  <c r="H238" i="32"/>
  <c r="E238" i="32"/>
  <c r="L237" i="32"/>
  <c r="H237" i="32"/>
  <c r="E237" i="32"/>
  <c r="L236" i="32"/>
  <c r="H236" i="32"/>
  <c r="E236" i="32"/>
  <c r="L235" i="32"/>
  <c r="H235" i="32"/>
  <c r="E235" i="32"/>
  <c r="L234" i="32"/>
  <c r="H234" i="32"/>
  <c r="E234" i="32"/>
  <c r="L233" i="32"/>
  <c r="H233" i="32"/>
  <c r="E233" i="32"/>
  <c r="L232" i="32"/>
  <c r="H232" i="32"/>
  <c r="E232" i="32"/>
  <c r="L231" i="32"/>
  <c r="H231" i="32"/>
  <c r="E231" i="32"/>
  <c r="L230" i="32"/>
  <c r="H230" i="32"/>
  <c r="E230" i="32"/>
  <c r="L229" i="32"/>
  <c r="H229" i="32"/>
  <c r="E229" i="32"/>
  <c r="L228" i="32"/>
  <c r="H228" i="32"/>
  <c r="E228" i="32"/>
  <c r="L227" i="32"/>
  <c r="H227" i="32"/>
  <c r="E227" i="32"/>
  <c r="L226" i="32"/>
  <c r="H226" i="32"/>
  <c r="E226" i="32"/>
  <c r="L225" i="32"/>
  <c r="H225" i="32"/>
  <c r="E225" i="32"/>
  <c r="L224" i="32"/>
  <c r="H224" i="32"/>
  <c r="E224" i="32"/>
  <c r="L223" i="32"/>
  <c r="H223" i="32"/>
  <c r="E223" i="32"/>
  <c r="L290" i="10" l="1"/>
  <c r="L289" i="10"/>
  <c r="L288" i="10"/>
  <c r="L287" i="10"/>
  <c r="L286" i="10"/>
  <c r="L285" i="10"/>
  <c r="L284" i="10"/>
  <c r="L283" i="10"/>
  <c r="L282" i="10"/>
  <c r="L281" i="10"/>
  <c r="L280" i="10"/>
  <c r="L279" i="10"/>
  <c r="L278" i="10"/>
  <c r="L277" i="10"/>
  <c r="L276" i="10"/>
  <c r="L275" i="10"/>
  <c r="L274" i="10"/>
  <c r="L273" i="10"/>
  <c r="L272" i="10"/>
  <c r="L271" i="10"/>
  <c r="L270" i="10"/>
  <c r="L269" i="10"/>
  <c r="L268" i="10"/>
  <c r="L267" i="10"/>
  <c r="L266" i="10"/>
  <c r="L265" i="10"/>
  <c r="L264" i="10"/>
  <c r="L263" i="10"/>
  <c r="L262" i="10"/>
  <c r="L261" i="10"/>
  <c r="L260" i="10"/>
  <c r="L259" i="10"/>
  <c r="L258" i="10"/>
  <c r="L257" i="10"/>
  <c r="L254" i="10"/>
  <c r="L253" i="10"/>
  <c r="L252" i="10"/>
  <c r="L251" i="10"/>
  <c r="L250" i="10"/>
  <c r="L249" i="10"/>
  <c r="L248" i="10"/>
  <c r="L247" i="10"/>
  <c r="L246" i="10"/>
  <c r="L245" i="10"/>
  <c r="L244" i="10"/>
  <c r="L243" i="10"/>
  <c r="L242" i="10"/>
  <c r="L241" i="10"/>
  <c r="L240" i="10"/>
  <c r="L239" i="10"/>
  <c r="L238" i="10"/>
  <c r="L237" i="10"/>
  <c r="L236" i="10"/>
  <c r="L235" i="10"/>
  <c r="L234" i="10"/>
  <c r="L233" i="10"/>
  <c r="L232" i="10"/>
  <c r="L231" i="10"/>
  <c r="L230" i="10"/>
  <c r="L229" i="10"/>
  <c r="L228" i="10"/>
  <c r="L227" i="10"/>
  <c r="L226" i="10"/>
  <c r="L225" i="10"/>
  <c r="L224" i="10"/>
  <c r="L223" i="10"/>
  <c r="E290" i="10"/>
  <c r="E289" i="10"/>
  <c r="E288" i="10"/>
  <c r="E287" i="10"/>
  <c r="E286" i="10"/>
  <c r="E285" i="10"/>
  <c r="E284" i="10"/>
  <c r="E283" i="10"/>
  <c r="E282" i="10"/>
  <c r="E281" i="10"/>
  <c r="E280" i="10"/>
  <c r="E279" i="10"/>
  <c r="E278" i="10"/>
  <c r="E277" i="10"/>
  <c r="E276" i="10"/>
  <c r="E275" i="10"/>
  <c r="E274" i="10"/>
  <c r="E273" i="10"/>
  <c r="E272" i="10"/>
  <c r="E271" i="10"/>
  <c r="E270" i="10"/>
  <c r="E269" i="10"/>
  <c r="E268" i="10"/>
  <c r="E267" i="10"/>
  <c r="E266" i="10"/>
  <c r="E265" i="10"/>
  <c r="E264" i="10"/>
  <c r="E263" i="10"/>
  <c r="E262" i="10"/>
  <c r="E261" i="10"/>
  <c r="E260" i="10"/>
  <c r="E259" i="10"/>
  <c r="E258" i="10"/>
  <c r="E257" i="10"/>
  <c r="E254" i="10"/>
  <c r="E253" i="10"/>
  <c r="E252" i="10"/>
  <c r="E251" i="10"/>
  <c r="E250" i="10"/>
  <c r="E249" i="10"/>
  <c r="E248" i="10"/>
  <c r="E247" i="10"/>
  <c r="E246" i="10"/>
  <c r="E245" i="10"/>
  <c r="E244" i="10"/>
  <c r="E243" i="10"/>
  <c r="E242" i="10"/>
  <c r="E241" i="10"/>
  <c r="E240" i="10"/>
  <c r="E239" i="10"/>
  <c r="E238" i="10"/>
  <c r="E237" i="10"/>
  <c r="E236" i="10"/>
  <c r="E235" i="10"/>
  <c r="E234" i="10"/>
  <c r="E233" i="10"/>
  <c r="E232" i="10"/>
  <c r="E231" i="10"/>
  <c r="E230" i="10"/>
  <c r="E229" i="10"/>
  <c r="E228" i="10"/>
  <c r="E227" i="10"/>
  <c r="E226" i="10"/>
  <c r="E225" i="10"/>
  <c r="E224" i="10"/>
  <c r="E223" i="10"/>
  <c r="H290" i="10"/>
  <c r="H289" i="10"/>
  <c r="H288" i="10"/>
  <c r="H287" i="10"/>
  <c r="H286" i="10"/>
  <c r="H285" i="10"/>
  <c r="H284" i="10"/>
  <c r="H283" i="10"/>
  <c r="H282" i="10"/>
  <c r="H281" i="10"/>
  <c r="H280" i="10"/>
  <c r="H279" i="10"/>
  <c r="H278" i="10"/>
  <c r="H277" i="10"/>
  <c r="H276" i="10"/>
  <c r="H275" i="10"/>
  <c r="H274" i="10"/>
  <c r="H273" i="10"/>
  <c r="H272" i="10"/>
  <c r="H271" i="10"/>
  <c r="H270" i="10"/>
  <c r="H269" i="10"/>
  <c r="H268" i="10"/>
  <c r="H267" i="10"/>
  <c r="H266" i="10"/>
  <c r="H265" i="10"/>
  <c r="H264" i="10"/>
  <c r="H263" i="10"/>
  <c r="H262" i="10"/>
  <c r="H261" i="10"/>
  <c r="H260" i="10"/>
  <c r="H259" i="10"/>
  <c r="H258" i="10"/>
  <c r="H257" i="10"/>
  <c r="H254" i="10"/>
  <c r="H253" i="10"/>
  <c r="H252" i="10"/>
  <c r="H251" i="10"/>
  <c r="H250" i="10"/>
  <c r="H249" i="10"/>
  <c r="H248" i="10"/>
  <c r="H247" i="10"/>
  <c r="H246" i="10"/>
  <c r="H245" i="10"/>
  <c r="H244" i="10"/>
  <c r="H243" i="10"/>
  <c r="H242" i="10"/>
  <c r="H241" i="10"/>
  <c r="H240" i="10"/>
  <c r="H239" i="10"/>
  <c r="H238" i="10"/>
  <c r="H237" i="10"/>
  <c r="H236" i="10"/>
  <c r="H235" i="10"/>
  <c r="H234" i="10"/>
  <c r="H233" i="10"/>
  <c r="H232" i="10"/>
  <c r="H231" i="10"/>
  <c r="H230" i="10"/>
  <c r="H229" i="10"/>
  <c r="H228" i="10"/>
  <c r="H227" i="10"/>
  <c r="H226" i="10"/>
  <c r="H225" i="10"/>
  <c r="H224" i="10"/>
  <c r="H223" i="10"/>
  <c r="H126" i="29" l="1"/>
  <c r="I126" i="29"/>
  <c r="J126" i="29"/>
  <c r="K126" i="29"/>
  <c r="L126" i="29"/>
  <c r="M126" i="29"/>
  <c r="H127" i="29"/>
  <c r="I127" i="29"/>
  <c r="J127" i="29"/>
  <c r="K127" i="29"/>
  <c r="L127" i="29"/>
  <c r="M127" i="29"/>
  <c r="H128" i="29"/>
  <c r="I128" i="29"/>
  <c r="J128" i="29"/>
  <c r="K128" i="29"/>
  <c r="L128" i="29"/>
  <c r="M128" i="29"/>
  <c r="H129" i="29"/>
  <c r="I129" i="29"/>
  <c r="J129" i="29"/>
  <c r="K129" i="29"/>
  <c r="L129" i="29"/>
  <c r="M129" i="29"/>
  <c r="H130" i="29"/>
  <c r="I130" i="29"/>
  <c r="J130" i="29"/>
  <c r="K130" i="29"/>
  <c r="L130" i="29"/>
  <c r="M130" i="29"/>
  <c r="H131" i="29"/>
  <c r="I131" i="29"/>
  <c r="J131" i="29"/>
  <c r="K131" i="29"/>
  <c r="L131" i="29"/>
  <c r="M131" i="29"/>
  <c r="H132" i="29"/>
  <c r="I132" i="29"/>
  <c r="J132" i="29"/>
  <c r="K132" i="29"/>
  <c r="L132" i="29"/>
  <c r="M132" i="29"/>
  <c r="H133" i="29"/>
  <c r="I133" i="29"/>
  <c r="J133" i="29"/>
  <c r="K133" i="29"/>
  <c r="L133" i="29"/>
  <c r="M133" i="29"/>
  <c r="H134" i="29"/>
  <c r="I134" i="29"/>
  <c r="J134" i="29"/>
  <c r="K134" i="29"/>
  <c r="L134" i="29"/>
  <c r="M134" i="29"/>
  <c r="H135" i="29"/>
  <c r="I135" i="29"/>
  <c r="J135" i="29"/>
  <c r="K135" i="29"/>
  <c r="L135" i="29"/>
  <c r="M135" i="29"/>
  <c r="H136" i="29"/>
  <c r="I136" i="29"/>
  <c r="J136" i="29"/>
  <c r="K136" i="29"/>
  <c r="L136" i="29"/>
  <c r="M136" i="29"/>
  <c r="H137" i="29"/>
  <c r="I137" i="29"/>
  <c r="J137" i="29"/>
  <c r="K137" i="29"/>
  <c r="L137" i="29"/>
  <c r="M137" i="29"/>
  <c r="H138" i="29"/>
  <c r="I138" i="29"/>
  <c r="J138" i="29"/>
  <c r="K138" i="29"/>
  <c r="L138" i="29"/>
  <c r="M138" i="29"/>
  <c r="H139" i="29"/>
  <c r="I139" i="29"/>
  <c r="J139" i="29"/>
  <c r="K139" i="29"/>
  <c r="L139" i="29"/>
  <c r="M139" i="29"/>
  <c r="H140" i="29"/>
  <c r="I140" i="29"/>
  <c r="J140" i="29"/>
  <c r="K140" i="29"/>
  <c r="L140" i="29"/>
  <c r="M140" i="29"/>
  <c r="H141" i="29"/>
  <c r="I141" i="29"/>
  <c r="J141" i="29"/>
  <c r="K141" i="29"/>
  <c r="L141" i="29"/>
  <c r="M141" i="29"/>
  <c r="H142" i="29"/>
  <c r="I142" i="29"/>
  <c r="J142" i="29"/>
  <c r="K142" i="29"/>
  <c r="L142" i="29"/>
  <c r="M142" i="29"/>
  <c r="H143" i="29"/>
  <c r="I143" i="29"/>
  <c r="J143" i="29"/>
  <c r="K143" i="29"/>
  <c r="L143" i="29"/>
  <c r="M143" i="29"/>
  <c r="H144" i="29"/>
  <c r="I144" i="29"/>
  <c r="J144" i="29"/>
  <c r="K144" i="29"/>
  <c r="L144" i="29"/>
  <c r="M144" i="29"/>
  <c r="H145" i="29"/>
  <c r="I145" i="29"/>
  <c r="J145" i="29"/>
  <c r="K145" i="29"/>
  <c r="L145" i="29"/>
  <c r="M145" i="29"/>
  <c r="H146" i="29"/>
  <c r="I146" i="29"/>
  <c r="J146" i="29"/>
  <c r="K146" i="29"/>
  <c r="L146" i="29"/>
  <c r="M146" i="29"/>
  <c r="H147" i="29"/>
  <c r="I147" i="29"/>
  <c r="J147" i="29"/>
  <c r="K147" i="29"/>
  <c r="L147" i="29"/>
  <c r="M147" i="29"/>
  <c r="H148" i="29"/>
  <c r="I148" i="29"/>
  <c r="J148" i="29"/>
  <c r="K148" i="29"/>
  <c r="L148" i="29"/>
  <c r="M148" i="29"/>
  <c r="H149" i="29"/>
  <c r="I149" i="29"/>
  <c r="J149" i="29"/>
  <c r="K149" i="29"/>
  <c r="L149" i="29"/>
  <c r="M149" i="29"/>
  <c r="H150" i="29"/>
  <c r="I150" i="29"/>
  <c r="J150" i="29"/>
  <c r="K150" i="29"/>
  <c r="L150" i="29"/>
  <c r="M150" i="29"/>
  <c r="H151" i="29"/>
  <c r="I151" i="29"/>
  <c r="J151" i="29"/>
  <c r="K151" i="29"/>
  <c r="L151" i="29"/>
  <c r="M151" i="29"/>
  <c r="H152" i="29"/>
  <c r="I152" i="29"/>
  <c r="J152" i="29"/>
  <c r="K152" i="29"/>
  <c r="L152" i="29"/>
  <c r="M152" i="29"/>
  <c r="H153" i="29"/>
  <c r="I153" i="29"/>
  <c r="J153" i="29"/>
  <c r="K153" i="29"/>
  <c r="L153" i="29"/>
  <c r="M153" i="29"/>
  <c r="H154" i="29"/>
  <c r="I154" i="29"/>
  <c r="J154" i="29"/>
  <c r="K154" i="29"/>
  <c r="L154" i="29"/>
  <c r="M154" i="29"/>
  <c r="H155" i="29"/>
  <c r="I155" i="29"/>
  <c r="J155" i="29"/>
  <c r="K155" i="29"/>
  <c r="L155" i="29"/>
  <c r="M155" i="29"/>
  <c r="H156" i="29"/>
  <c r="I156" i="29"/>
  <c r="J156" i="29"/>
  <c r="K156" i="29"/>
  <c r="L156" i="29"/>
  <c r="M156" i="29"/>
  <c r="H157" i="29"/>
  <c r="I157" i="29"/>
  <c r="J157" i="29"/>
  <c r="K157" i="29"/>
  <c r="L157" i="29"/>
  <c r="M157" i="29"/>
  <c r="H158" i="29"/>
  <c r="I158" i="29"/>
  <c r="J158" i="29"/>
  <c r="K158" i="29"/>
  <c r="L158" i="29"/>
  <c r="M158" i="29"/>
  <c r="AE231" i="32"/>
  <c r="AF231" i="32"/>
  <c r="AE232" i="32"/>
  <c r="AF232" i="32"/>
  <c r="AE749" i="32" l="1"/>
  <c r="AF749" i="32"/>
  <c r="S13" i="10"/>
  <c r="AF842" i="32"/>
  <c r="F158" i="29"/>
  <c r="F157" i="29"/>
  <c r="F156" i="29"/>
  <c r="F155" i="29"/>
  <c r="F154" i="29"/>
  <c r="F153" i="29"/>
  <c r="F152" i="29"/>
  <c r="F151" i="29"/>
  <c r="F150" i="29"/>
  <c r="F149" i="29"/>
  <c r="F148" i="29"/>
  <c r="F147" i="29"/>
  <c r="F146" i="29"/>
  <c r="F145" i="29"/>
  <c r="F144" i="29"/>
  <c r="F143" i="29"/>
  <c r="F142" i="29"/>
  <c r="F141" i="29"/>
  <c r="F140" i="29"/>
  <c r="F139" i="29"/>
  <c r="F138" i="29"/>
  <c r="F137" i="29"/>
  <c r="F136" i="29"/>
  <c r="F135" i="29"/>
  <c r="F134" i="29"/>
  <c r="F133" i="29"/>
  <c r="F132" i="29"/>
  <c r="F131" i="29"/>
  <c r="F130" i="29"/>
  <c r="F129" i="29"/>
  <c r="F128" i="29"/>
  <c r="F127" i="29"/>
  <c r="F126" i="29"/>
  <c r="F125" i="29"/>
  <c r="F124" i="29"/>
  <c r="F123" i="29"/>
  <c r="F122" i="29"/>
  <c r="F121" i="29"/>
  <c r="F120" i="29"/>
  <c r="F119" i="29"/>
  <c r="F118" i="29"/>
  <c r="F117" i="29"/>
  <c r="F116" i="29"/>
  <c r="F115" i="29"/>
  <c r="F114" i="29"/>
  <c r="F113" i="29"/>
  <c r="F112" i="29"/>
  <c r="F111" i="29"/>
  <c r="F110" i="29"/>
  <c r="F109" i="29"/>
  <c r="F108" i="29"/>
  <c r="F107" i="29"/>
  <c r="F106" i="29"/>
  <c r="F105" i="29"/>
  <c r="F104" i="29"/>
  <c r="F103" i="29"/>
  <c r="F102" i="29"/>
  <c r="F101" i="29"/>
  <c r="F100" i="29"/>
  <c r="F99" i="29"/>
  <c r="F98" i="29"/>
  <c r="F97" i="29"/>
  <c r="F96" i="29"/>
  <c r="F95" i="29"/>
  <c r="F94" i="29"/>
  <c r="F93" i="29"/>
  <c r="F92" i="29"/>
  <c r="F91" i="29"/>
  <c r="F90" i="29"/>
  <c r="F89" i="29"/>
  <c r="F88" i="29"/>
  <c r="F87" i="29"/>
  <c r="F86" i="29"/>
  <c r="F85" i="29"/>
  <c r="F84" i="29"/>
  <c r="F83" i="29"/>
  <c r="F82" i="29"/>
  <c r="F81" i="29"/>
  <c r="F80" i="29"/>
  <c r="F79" i="29"/>
  <c r="F78" i="29"/>
  <c r="F77" i="29"/>
  <c r="F76" i="29"/>
  <c r="F75" i="29"/>
  <c r="F74" i="29"/>
  <c r="F73" i="29"/>
  <c r="F72" i="29"/>
  <c r="F71" i="29"/>
  <c r="F70" i="29"/>
  <c r="F69" i="29"/>
  <c r="F68" i="29"/>
  <c r="F67" i="29"/>
  <c r="F66" i="29"/>
  <c r="F65" i="29"/>
  <c r="F64" i="29"/>
  <c r="F63" i="29"/>
  <c r="F62" i="29"/>
  <c r="F61" i="29"/>
  <c r="F60" i="29"/>
  <c r="F59" i="29"/>
  <c r="F58" i="29"/>
  <c r="F57" i="29"/>
  <c r="F56" i="29"/>
  <c r="F55" i="29"/>
  <c r="F54" i="29"/>
  <c r="F53" i="29"/>
  <c r="F52" i="29"/>
  <c r="F51" i="29"/>
  <c r="F50" i="29"/>
  <c r="F49" i="29"/>
  <c r="F48" i="29"/>
  <c r="F47" i="29"/>
  <c r="F46" i="29"/>
  <c r="F45" i="29"/>
  <c r="F44" i="29"/>
  <c r="F43" i="29"/>
  <c r="F42" i="29"/>
  <c r="F41" i="29"/>
  <c r="F40" i="29"/>
  <c r="F39" i="29"/>
  <c r="F38" i="29"/>
  <c r="F37" i="29"/>
  <c r="F36" i="29"/>
  <c r="F35" i="29"/>
  <c r="F34" i="29"/>
  <c r="F33" i="29"/>
  <c r="F32" i="29"/>
  <c r="F31" i="29"/>
  <c r="F30" i="29"/>
  <c r="F29" i="29"/>
  <c r="F28" i="29"/>
  <c r="F27" i="29"/>
  <c r="F26" i="29"/>
  <c r="F25" i="29"/>
  <c r="F24" i="29"/>
  <c r="F23" i="29"/>
  <c r="F22" i="29"/>
  <c r="F21" i="29"/>
  <c r="F20" i="29"/>
  <c r="F19" i="29"/>
  <c r="F18" i="29"/>
  <c r="F17" i="29"/>
  <c r="F16" i="29"/>
  <c r="F15" i="29"/>
  <c r="F14" i="29"/>
  <c r="F13" i="29"/>
  <c r="F12" i="29"/>
  <c r="F11" i="29"/>
  <c r="C151" i="29"/>
  <c r="D151" i="29"/>
  <c r="E151" i="29"/>
  <c r="G151" i="29"/>
  <c r="C152" i="29"/>
  <c r="D152" i="29"/>
  <c r="E152" i="29"/>
  <c r="G152" i="29"/>
  <c r="C153" i="29"/>
  <c r="D153" i="29"/>
  <c r="E153" i="29"/>
  <c r="G153" i="29"/>
  <c r="C154" i="29"/>
  <c r="D154" i="29"/>
  <c r="E154" i="29"/>
  <c r="G154" i="29"/>
  <c r="C155" i="29"/>
  <c r="D155" i="29"/>
  <c r="E155" i="29"/>
  <c r="G155" i="29"/>
  <c r="C156" i="29"/>
  <c r="D156" i="29"/>
  <c r="E156" i="29"/>
  <c r="G156" i="29"/>
  <c r="C157" i="29"/>
  <c r="D157" i="29"/>
  <c r="E157" i="29"/>
  <c r="G157" i="29"/>
  <c r="C158" i="29"/>
  <c r="D158" i="29"/>
  <c r="E158" i="29"/>
  <c r="G158" i="29"/>
  <c r="C126" i="29"/>
  <c r="D126" i="29"/>
  <c r="E126" i="29"/>
  <c r="G126" i="29"/>
  <c r="C127" i="29"/>
  <c r="D127" i="29"/>
  <c r="E127" i="29"/>
  <c r="G127" i="29"/>
  <c r="C128" i="29"/>
  <c r="D128" i="29"/>
  <c r="E128" i="29"/>
  <c r="G128" i="29"/>
  <c r="C129" i="29"/>
  <c r="D129" i="29"/>
  <c r="E129" i="29"/>
  <c r="G129" i="29"/>
  <c r="C130" i="29"/>
  <c r="D130" i="29"/>
  <c r="E130" i="29"/>
  <c r="G130" i="29"/>
  <c r="C131" i="29"/>
  <c r="D131" i="29"/>
  <c r="E131" i="29"/>
  <c r="G131" i="29"/>
  <c r="C132" i="29"/>
  <c r="D132" i="29"/>
  <c r="E132" i="29"/>
  <c r="G132" i="29"/>
  <c r="C133" i="29"/>
  <c r="D133" i="29"/>
  <c r="E133" i="29"/>
  <c r="G133" i="29"/>
  <c r="C134" i="29"/>
  <c r="D134" i="29"/>
  <c r="E134" i="29"/>
  <c r="G134" i="29"/>
  <c r="C135" i="29"/>
  <c r="D135" i="29"/>
  <c r="E135" i="29"/>
  <c r="G135" i="29"/>
  <c r="C136" i="29"/>
  <c r="D136" i="29"/>
  <c r="E136" i="29"/>
  <c r="G136" i="29"/>
  <c r="C137" i="29"/>
  <c r="D137" i="29"/>
  <c r="E137" i="29"/>
  <c r="G137" i="29"/>
  <c r="C138" i="29"/>
  <c r="D138" i="29"/>
  <c r="E138" i="29"/>
  <c r="G138" i="29"/>
  <c r="C139" i="29"/>
  <c r="D139" i="29"/>
  <c r="E139" i="29"/>
  <c r="G139" i="29"/>
  <c r="C140" i="29"/>
  <c r="D140" i="29"/>
  <c r="E140" i="29"/>
  <c r="G140" i="29"/>
  <c r="C141" i="29"/>
  <c r="D141" i="29"/>
  <c r="E141" i="29"/>
  <c r="G141" i="29"/>
  <c r="C142" i="29"/>
  <c r="D142" i="29"/>
  <c r="E142" i="29"/>
  <c r="G142" i="29"/>
  <c r="C143" i="29"/>
  <c r="D143" i="29"/>
  <c r="E143" i="29"/>
  <c r="G143" i="29"/>
  <c r="C144" i="29"/>
  <c r="D144" i="29"/>
  <c r="E144" i="29"/>
  <c r="G144" i="29"/>
  <c r="C145" i="29"/>
  <c r="D145" i="29"/>
  <c r="E145" i="29"/>
  <c r="G145" i="29"/>
  <c r="C146" i="29"/>
  <c r="D146" i="29"/>
  <c r="E146" i="29"/>
  <c r="G146" i="29"/>
  <c r="C147" i="29"/>
  <c r="D147" i="29"/>
  <c r="E147" i="29"/>
  <c r="G147" i="29"/>
  <c r="C148" i="29"/>
  <c r="D148" i="29"/>
  <c r="E148" i="29"/>
  <c r="G148" i="29"/>
  <c r="C149" i="29"/>
  <c r="D149" i="29"/>
  <c r="E149" i="29"/>
  <c r="G149" i="29"/>
  <c r="C150" i="29"/>
  <c r="D150" i="29"/>
  <c r="E150" i="29"/>
  <c r="G150" i="29"/>
  <c r="F126" i="24"/>
  <c r="C157" i="24" l="1"/>
  <c r="D157" i="24"/>
  <c r="E157" i="24"/>
  <c r="F157" i="24"/>
  <c r="G157" i="24"/>
  <c r="H157" i="24"/>
  <c r="I157" i="24"/>
  <c r="J157" i="24"/>
  <c r="K157" i="24"/>
  <c r="L157" i="24"/>
  <c r="M157" i="24"/>
  <c r="C158" i="24"/>
  <c r="D158" i="24"/>
  <c r="E158" i="24"/>
  <c r="F158" i="24"/>
  <c r="G158" i="24"/>
  <c r="H158" i="24"/>
  <c r="I158" i="24"/>
  <c r="J158" i="24"/>
  <c r="K158" i="24"/>
  <c r="L158" i="24"/>
  <c r="M158" i="24"/>
  <c r="C136" i="24"/>
  <c r="D136" i="24"/>
  <c r="E136" i="24"/>
  <c r="F136" i="24"/>
  <c r="G136" i="24"/>
  <c r="H136" i="24"/>
  <c r="I136" i="24"/>
  <c r="J136" i="24"/>
  <c r="K136" i="24"/>
  <c r="L136" i="24"/>
  <c r="M136" i="24"/>
  <c r="C137" i="24"/>
  <c r="D137" i="24"/>
  <c r="E137" i="24"/>
  <c r="F137" i="24"/>
  <c r="G137" i="24"/>
  <c r="H137" i="24"/>
  <c r="I137" i="24"/>
  <c r="J137" i="24"/>
  <c r="K137" i="24"/>
  <c r="L137" i="24"/>
  <c r="M137" i="24"/>
  <c r="C138" i="24"/>
  <c r="D138" i="24"/>
  <c r="E138" i="24"/>
  <c r="F138" i="24"/>
  <c r="G138" i="24"/>
  <c r="H138" i="24"/>
  <c r="I138" i="24"/>
  <c r="J138" i="24"/>
  <c r="K138" i="24"/>
  <c r="L138" i="24"/>
  <c r="M138" i="24"/>
  <c r="C139" i="24"/>
  <c r="D139" i="24"/>
  <c r="E139" i="24"/>
  <c r="F139" i="24"/>
  <c r="G139" i="24"/>
  <c r="H139" i="24"/>
  <c r="I139" i="24"/>
  <c r="J139" i="24"/>
  <c r="K139" i="24"/>
  <c r="L139" i="24"/>
  <c r="M139" i="24"/>
  <c r="C140" i="24"/>
  <c r="D140" i="24"/>
  <c r="E140" i="24"/>
  <c r="F140" i="24"/>
  <c r="G140" i="24"/>
  <c r="H140" i="24"/>
  <c r="I140" i="24"/>
  <c r="J140" i="24"/>
  <c r="K140" i="24"/>
  <c r="L140" i="24"/>
  <c r="M140" i="24"/>
  <c r="C141" i="24"/>
  <c r="D141" i="24"/>
  <c r="E141" i="24"/>
  <c r="F141" i="24"/>
  <c r="G141" i="24"/>
  <c r="H141" i="24"/>
  <c r="I141" i="24"/>
  <c r="J141" i="24"/>
  <c r="K141" i="24"/>
  <c r="L141" i="24"/>
  <c r="M141" i="24"/>
  <c r="C142" i="24"/>
  <c r="D142" i="24"/>
  <c r="E142" i="24"/>
  <c r="F142" i="24"/>
  <c r="G142" i="24"/>
  <c r="H142" i="24"/>
  <c r="I142" i="24"/>
  <c r="J142" i="24"/>
  <c r="K142" i="24"/>
  <c r="L142" i="24"/>
  <c r="M142" i="24"/>
  <c r="C143" i="24"/>
  <c r="D143" i="24"/>
  <c r="E143" i="24"/>
  <c r="F143" i="24"/>
  <c r="G143" i="24"/>
  <c r="H143" i="24"/>
  <c r="I143" i="24"/>
  <c r="J143" i="24"/>
  <c r="K143" i="24"/>
  <c r="L143" i="24"/>
  <c r="M143" i="24"/>
  <c r="C144" i="24"/>
  <c r="D144" i="24"/>
  <c r="E144" i="24"/>
  <c r="F144" i="24"/>
  <c r="G144" i="24"/>
  <c r="H144" i="24"/>
  <c r="I144" i="24"/>
  <c r="J144" i="24"/>
  <c r="K144" i="24"/>
  <c r="L144" i="24"/>
  <c r="M144" i="24"/>
  <c r="C145" i="24"/>
  <c r="D145" i="24"/>
  <c r="E145" i="24"/>
  <c r="F145" i="24"/>
  <c r="G145" i="24"/>
  <c r="H145" i="24"/>
  <c r="I145" i="24"/>
  <c r="J145" i="24"/>
  <c r="K145" i="24"/>
  <c r="L145" i="24"/>
  <c r="M145" i="24"/>
  <c r="C146" i="24"/>
  <c r="D146" i="24"/>
  <c r="E146" i="24"/>
  <c r="F146" i="24"/>
  <c r="G146" i="24"/>
  <c r="H146" i="24"/>
  <c r="I146" i="24"/>
  <c r="J146" i="24"/>
  <c r="K146" i="24"/>
  <c r="L146" i="24"/>
  <c r="M146" i="24"/>
  <c r="C147" i="24"/>
  <c r="D147" i="24"/>
  <c r="E147" i="24"/>
  <c r="F147" i="24"/>
  <c r="G147" i="24"/>
  <c r="H147" i="24"/>
  <c r="I147" i="24"/>
  <c r="J147" i="24"/>
  <c r="K147" i="24"/>
  <c r="L147" i="24"/>
  <c r="M147" i="24"/>
  <c r="C148" i="24"/>
  <c r="D148" i="24"/>
  <c r="E148" i="24"/>
  <c r="F148" i="24"/>
  <c r="G148" i="24"/>
  <c r="H148" i="24"/>
  <c r="I148" i="24"/>
  <c r="J148" i="24"/>
  <c r="K148" i="24"/>
  <c r="L148" i="24"/>
  <c r="M148" i="24"/>
  <c r="C149" i="24"/>
  <c r="D149" i="24"/>
  <c r="E149" i="24"/>
  <c r="F149" i="24"/>
  <c r="G149" i="24"/>
  <c r="H149" i="24"/>
  <c r="I149" i="24"/>
  <c r="J149" i="24"/>
  <c r="K149" i="24"/>
  <c r="L149" i="24"/>
  <c r="M149" i="24"/>
  <c r="C150" i="24"/>
  <c r="D150" i="24"/>
  <c r="E150" i="24"/>
  <c r="F150" i="24"/>
  <c r="G150" i="24"/>
  <c r="H150" i="24"/>
  <c r="I150" i="24"/>
  <c r="J150" i="24"/>
  <c r="K150" i="24"/>
  <c r="L150" i="24"/>
  <c r="M150" i="24"/>
  <c r="C151" i="24"/>
  <c r="D151" i="24"/>
  <c r="E151" i="24"/>
  <c r="F151" i="24"/>
  <c r="G151" i="24"/>
  <c r="H151" i="24"/>
  <c r="I151" i="24"/>
  <c r="J151" i="24"/>
  <c r="K151" i="24"/>
  <c r="L151" i="24"/>
  <c r="M151" i="24"/>
  <c r="C152" i="24"/>
  <c r="D152" i="24"/>
  <c r="E152" i="24"/>
  <c r="F152" i="24"/>
  <c r="G152" i="24"/>
  <c r="H152" i="24"/>
  <c r="I152" i="24"/>
  <c r="J152" i="24"/>
  <c r="K152" i="24"/>
  <c r="L152" i="24"/>
  <c r="M152" i="24"/>
  <c r="C153" i="24"/>
  <c r="D153" i="24"/>
  <c r="E153" i="24"/>
  <c r="F153" i="24"/>
  <c r="G153" i="24"/>
  <c r="H153" i="24"/>
  <c r="I153" i="24"/>
  <c r="J153" i="24"/>
  <c r="K153" i="24"/>
  <c r="L153" i="24"/>
  <c r="M153" i="24"/>
  <c r="C154" i="24"/>
  <c r="D154" i="24"/>
  <c r="E154" i="24"/>
  <c r="F154" i="24"/>
  <c r="G154" i="24"/>
  <c r="H154" i="24"/>
  <c r="I154" i="24"/>
  <c r="J154" i="24"/>
  <c r="K154" i="24"/>
  <c r="L154" i="24"/>
  <c r="M154" i="24"/>
  <c r="C155" i="24"/>
  <c r="D155" i="24"/>
  <c r="E155" i="24"/>
  <c r="F155" i="24"/>
  <c r="G155" i="24"/>
  <c r="H155" i="24"/>
  <c r="I155" i="24"/>
  <c r="J155" i="24"/>
  <c r="K155" i="24"/>
  <c r="L155" i="24"/>
  <c r="M155" i="24"/>
  <c r="C156" i="24"/>
  <c r="D156" i="24"/>
  <c r="E156" i="24"/>
  <c r="F156" i="24"/>
  <c r="G156" i="24"/>
  <c r="H156" i="24"/>
  <c r="I156" i="24"/>
  <c r="J156" i="24"/>
  <c r="K156" i="24"/>
  <c r="L156" i="24"/>
  <c r="M156" i="24"/>
  <c r="C126" i="24"/>
  <c r="D126" i="24"/>
  <c r="E126" i="24"/>
  <c r="G126" i="24"/>
  <c r="H126" i="24"/>
  <c r="I126" i="24"/>
  <c r="J126" i="24"/>
  <c r="K126" i="24"/>
  <c r="L126" i="24"/>
  <c r="M126" i="24"/>
  <c r="C127" i="24"/>
  <c r="D127" i="24"/>
  <c r="E127" i="24"/>
  <c r="F127" i="24"/>
  <c r="G127" i="24"/>
  <c r="H127" i="24"/>
  <c r="I127" i="24"/>
  <c r="J127" i="24"/>
  <c r="K127" i="24"/>
  <c r="L127" i="24"/>
  <c r="M127" i="24"/>
  <c r="C128" i="24"/>
  <c r="D128" i="24"/>
  <c r="E128" i="24"/>
  <c r="F128" i="24"/>
  <c r="G128" i="24"/>
  <c r="H128" i="24"/>
  <c r="I128" i="24"/>
  <c r="J128" i="24"/>
  <c r="K128" i="24"/>
  <c r="L128" i="24"/>
  <c r="M128" i="24"/>
  <c r="C129" i="24"/>
  <c r="D129" i="24"/>
  <c r="E129" i="24"/>
  <c r="F129" i="24"/>
  <c r="G129" i="24"/>
  <c r="H129" i="24"/>
  <c r="I129" i="24"/>
  <c r="J129" i="24"/>
  <c r="K129" i="24"/>
  <c r="L129" i="24"/>
  <c r="M129" i="24"/>
  <c r="C130" i="24"/>
  <c r="D130" i="24"/>
  <c r="E130" i="24"/>
  <c r="F130" i="24"/>
  <c r="G130" i="24"/>
  <c r="H130" i="24"/>
  <c r="I130" i="24"/>
  <c r="J130" i="24"/>
  <c r="K130" i="24"/>
  <c r="L130" i="24"/>
  <c r="M130" i="24"/>
  <c r="C131" i="24"/>
  <c r="D131" i="24"/>
  <c r="E131" i="24"/>
  <c r="F131" i="24"/>
  <c r="G131" i="24"/>
  <c r="H131" i="24"/>
  <c r="I131" i="24"/>
  <c r="J131" i="24"/>
  <c r="K131" i="24"/>
  <c r="L131" i="24"/>
  <c r="M131" i="24"/>
  <c r="C132" i="24"/>
  <c r="D132" i="24"/>
  <c r="E132" i="24"/>
  <c r="F132" i="24"/>
  <c r="G132" i="24"/>
  <c r="H132" i="24"/>
  <c r="I132" i="24"/>
  <c r="J132" i="24"/>
  <c r="K132" i="24"/>
  <c r="L132" i="24"/>
  <c r="M132" i="24"/>
  <c r="C133" i="24"/>
  <c r="D133" i="24"/>
  <c r="E133" i="24"/>
  <c r="F133" i="24"/>
  <c r="G133" i="24"/>
  <c r="H133" i="24"/>
  <c r="I133" i="24"/>
  <c r="J133" i="24"/>
  <c r="K133" i="24"/>
  <c r="L133" i="24"/>
  <c r="M133" i="24"/>
  <c r="C134" i="24"/>
  <c r="D134" i="24"/>
  <c r="E134" i="24"/>
  <c r="F134" i="24"/>
  <c r="G134" i="24"/>
  <c r="H134" i="24"/>
  <c r="I134" i="24"/>
  <c r="J134" i="24"/>
  <c r="K134" i="24"/>
  <c r="L134" i="24"/>
  <c r="M134" i="24"/>
  <c r="C135" i="24"/>
  <c r="D135" i="24"/>
  <c r="E135" i="24"/>
  <c r="F135" i="24"/>
  <c r="G135" i="24"/>
  <c r="H135" i="24"/>
  <c r="I135" i="24"/>
  <c r="J135" i="24"/>
  <c r="K135" i="24"/>
  <c r="L135" i="24"/>
  <c r="M135" i="24"/>
  <c r="AE165" i="32"/>
  <c r="R239" i="9"/>
  <c r="R195" i="9"/>
  <c r="R135" i="9"/>
  <c r="R75" i="9"/>
  <c r="V594" i="11"/>
  <c r="AF586" i="10" l="1"/>
  <c r="AI119" i="10"/>
  <c r="AJ119" i="10"/>
  <c r="AP119" i="10" s="1"/>
  <c r="AK119" i="10"/>
  <c r="AI165" i="10"/>
  <c r="AJ165" i="10"/>
  <c r="AP165" i="10" s="1"/>
  <c r="AK165" i="10"/>
  <c r="AI556" i="10"/>
  <c r="AJ556" i="10"/>
  <c r="AP556" i="10" s="1"/>
  <c r="AK556" i="10"/>
  <c r="AI642" i="10"/>
  <c r="AJ642" i="10"/>
  <c r="AP642" i="10" s="1"/>
  <c r="AK642" i="10"/>
  <c r="AI643" i="10"/>
  <c r="AJ643" i="10"/>
  <c r="AP643" i="10" s="1"/>
  <c r="AK643" i="10"/>
  <c r="R305" i="4"/>
  <c r="R305" i="7"/>
  <c r="R305" i="9"/>
  <c r="U305" i="3"/>
  <c r="S305" i="3"/>
  <c r="Q305" i="3"/>
  <c r="AL165" i="10" l="1"/>
  <c r="AQ165" i="10" s="1"/>
  <c r="AL119" i="10"/>
  <c r="AT119" i="10" s="1"/>
  <c r="AL556" i="10"/>
  <c r="AQ556" i="10" s="1"/>
  <c r="AL642" i="10"/>
  <c r="AL643" i="10"/>
  <c r="AT643" i="10" s="1"/>
  <c r="S157" i="15"/>
  <c r="S157" i="12" s="1"/>
  <c r="S155" i="15"/>
  <c r="O153" i="15"/>
  <c r="O153" i="12" s="1"/>
  <c r="S153" i="15"/>
  <c r="S153" i="12" s="1"/>
  <c r="S154" i="15"/>
  <c r="S154" i="12" s="1"/>
  <c r="S148" i="15"/>
  <c r="S148" i="12" s="1"/>
  <c r="S149" i="15"/>
  <c r="S149" i="12" s="1"/>
  <c r="S150" i="15"/>
  <c r="S150" i="12" s="1"/>
  <c r="N151" i="15"/>
  <c r="N151" i="12" s="1"/>
  <c r="O151" i="15"/>
  <c r="O151" i="12" s="1"/>
  <c r="S151" i="15"/>
  <c r="S151" i="12" s="1"/>
  <c r="S152" i="15"/>
  <c r="S152" i="12" s="1"/>
  <c r="S142" i="15"/>
  <c r="S142" i="12" s="1"/>
  <c r="S143" i="15"/>
  <c r="S143" i="12" s="1"/>
  <c r="S144" i="15"/>
  <c r="S144" i="12" s="1"/>
  <c r="S145" i="15"/>
  <c r="S145" i="12" s="1"/>
  <c r="S146" i="15"/>
  <c r="S146" i="12" s="1"/>
  <c r="S147" i="15"/>
  <c r="S147" i="12" s="1"/>
  <c r="S135" i="15"/>
  <c r="S135" i="12" s="1"/>
  <c r="S136" i="15"/>
  <c r="S136" i="12" s="1"/>
  <c r="P137" i="15"/>
  <c r="P137" i="12" s="1"/>
  <c r="S137" i="15"/>
  <c r="S137" i="12" s="1"/>
  <c r="O138" i="15"/>
  <c r="O138" i="12" s="1"/>
  <c r="P138" i="15"/>
  <c r="P138" i="12" s="1"/>
  <c r="S138" i="15"/>
  <c r="S138" i="12" s="1"/>
  <c r="S139" i="15"/>
  <c r="S139" i="12" s="1"/>
  <c r="S140" i="15"/>
  <c r="S140" i="12" s="1"/>
  <c r="S141" i="15"/>
  <c r="S141" i="12" s="1"/>
  <c r="P131" i="15"/>
  <c r="P131" i="12" s="1"/>
  <c r="S131" i="15"/>
  <c r="S131" i="12" s="1"/>
  <c r="S132" i="15"/>
  <c r="S132" i="12" s="1"/>
  <c r="S133" i="15"/>
  <c r="S133" i="12" s="1"/>
  <c r="S134" i="15"/>
  <c r="S134" i="12" s="1"/>
  <c r="S127" i="15"/>
  <c r="S127" i="12" s="1"/>
  <c r="N128" i="15"/>
  <c r="N128" i="12" s="1"/>
  <c r="O128" i="15"/>
  <c r="O128" i="12" s="1"/>
  <c r="S128" i="15"/>
  <c r="S128" i="12" s="1"/>
  <c r="S129" i="15"/>
  <c r="S129" i="12" s="1"/>
  <c r="S130" i="15"/>
  <c r="S130" i="12" s="1"/>
  <c r="S126" i="15"/>
  <c r="S126" i="12" s="1"/>
  <c r="C156" i="15"/>
  <c r="D156" i="15"/>
  <c r="E156" i="15"/>
  <c r="F156" i="15"/>
  <c r="G156" i="15"/>
  <c r="H156" i="15"/>
  <c r="I156" i="15"/>
  <c r="J156" i="15"/>
  <c r="K156" i="15"/>
  <c r="L156" i="15"/>
  <c r="M156" i="15"/>
  <c r="C157" i="15"/>
  <c r="D157" i="15"/>
  <c r="E157" i="15"/>
  <c r="F157" i="15"/>
  <c r="G157" i="15"/>
  <c r="H157" i="15"/>
  <c r="I157" i="15"/>
  <c r="J157" i="15"/>
  <c r="K157" i="15"/>
  <c r="L157" i="15"/>
  <c r="M157" i="15"/>
  <c r="C158" i="15"/>
  <c r="D158" i="15"/>
  <c r="E158" i="15"/>
  <c r="F158" i="15"/>
  <c r="G158" i="15"/>
  <c r="H158" i="15"/>
  <c r="I158" i="15"/>
  <c r="J158" i="15"/>
  <c r="K158" i="15"/>
  <c r="L158" i="15"/>
  <c r="M158" i="15"/>
  <c r="C147" i="15"/>
  <c r="D147" i="15"/>
  <c r="E147" i="15"/>
  <c r="F147" i="15"/>
  <c r="G147" i="15"/>
  <c r="H147" i="15"/>
  <c r="I147" i="15"/>
  <c r="J147" i="15"/>
  <c r="K147" i="15"/>
  <c r="L147" i="15"/>
  <c r="M147" i="15"/>
  <c r="C148" i="15"/>
  <c r="D148" i="15"/>
  <c r="E148" i="15"/>
  <c r="F148" i="15"/>
  <c r="G148" i="15"/>
  <c r="H148" i="15"/>
  <c r="I148" i="15"/>
  <c r="J148" i="15"/>
  <c r="K148" i="15"/>
  <c r="L148" i="15"/>
  <c r="M148" i="15"/>
  <c r="C149" i="15"/>
  <c r="D149" i="15"/>
  <c r="E149" i="15"/>
  <c r="F149" i="15"/>
  <c r="G149" i="15"/>
  <c r="H149" i="15"/>
  <c r="I149" i="15"/>
  <c r="J149" i="15"/>
  <c r="K149" i="15"/>
  <c r="L149" i="15"/>
  <c r="M149" i="15"/>
  <c r="C150" i="15"/>
  <c r="D150" i="15"/>
  <c r="E150" i="15"/>
  <c r="F150" i="15"/>
  <c r="G150" i="15"/>
  <c r="H150" i="15"/>
  <c r="I150" i="15"/>
  <c r="J150" i="15"/>
  <c r="K150" i="15"/>
  <c r="L150" i="15"/>
  <c r="M150" i="15"/>
  <c r="C151" i="15"/>
  <c r="D151" i="15"/>
  <c r="E151" i="15"/>
  <c r="F151" i="15"/>
  <c r="G151" i="15"/>
  <c r="H151" i="15"/>
  <c r="I151" i="15"/>
  <c r="J151" i="15"/>
  <c r="K151" i="15"/>
  <c r="L151" i="15"/>
  <c r="M151" i="15"/>
  <c r="C152" i="15"/>
  <c r="D152" i="15"/>
  <c r="E152" i="15"/>
  <c r="F152" i="15"/>
  <c r="G152" i="15"/>
  <c r="H152" i="15"/>
  <c r="I152" i="15"/>
  <c r="J152" i="15"/>
  <c r="K152" i="15"/>
  <c r="L152" i="15"/>
  <c r="M152" i="15"/>
  <c r="C153" i="15"/>
  <c r="D153" i="15"/>
  <c r="E153" i="15"/>
  <c r="F153" i="15"/>
  <c r="G153" i="15"/>
  <c r="H153" i="15"/>
  <c r="I153" i="15"/>
  <c r="J153" i="15"/>
  <c r="K153" i="15"/>
  <c r="L153" i="15"/>
  <c r="M153" i="15"/>
  <c r="C154" i="15"/>
  <c r="D154" i="15"/>
  <c r="E154" i="15"/>
  <c r="F154" i="15"/>
  <c r="G154" i="15"/>
  <c r="H154" i="15"/>
  <c r="I154" i="15"/>
  <c r="J154" i="15"/>
  <c r="K154" i="15"/>
  <c r="L154" i="15"/>
  <c r="M154" i="15"/>
  <c r="C155" i="15"/>
  <c r="D155" i="15"/>
  <c r="E155" i="15"/>
  <c r="F155" i="15"/>
  <c r="G155" i="15"/>
  <c r="H155" i="15"/>
  <c r="I155" i="15"/>
  <c r="J155" i="15"/>
  <c r="K155" i="15"/>
  <c r="L155" i="15"/>
  <c r="M155" i="15"/>
  <c r="C12" i="15"/>
  <c r="D12" i="15"/>
  <c r="E12" i="15"/>
  <c r="F12" i="15"/>
  <c r="G12" i="15"/>
  <c r="H12" i="15"/>
  <c r="I12" i="15"/>
  <c r="J12" i="15"/>
  <c r="K12" i="15"/>
  <c r="L12" i="15"/>
  <c r="M12" i="15"/>
  <c r="C13" i="15"/>
  <c r="D13" i="15"/>
  <c r="E13" i="15"/>
  <c r="F13" i="15"/>
  <c r="G13" i="15"/>
  <c r="H13" i="15"/>
  <c r="I13" i="15"/>
  <c r="J13" i="15"/>
  <c r="K13" i="15"/>
  <c r="L13" i="15"/>
  <c r="M13" i="15"/>
  <c r="C14" i="15"/>
  <c r="D14" i="15"/>
  <c r="E14" i="15"/>
  <c r="F14" i="15"/>
  <c r="G14" i="15"/>
  <c r="H14" i="15"/>
  <c r="I14" i="15"/>
  <c r="J14" i="15"/>
  <c r="K14" i="15"/>
  <c r="L14" i="15"/>
  <c r="M14" i="15"/>
  <c r="C15" i="15"/>
  <c r="D15" i="15"/>
  <c r="E15" i="15"/>
  <c r="F15" i="15"/>
  <c r="G15" i="15"/>
  <c r="H15" i="15"/>
  <c r="I15" i="15"/>
  <c r="J15" i="15"/>
  <c r="K15" i="15"/>
  <c r="L15" i="15"/>
  <c r="M15" i="15"/>
  <c r="C16" i="15"/>
  <c r="D16" i="15"/>
  <c r="E16" i="15"/>
  <c r="F16" i="15"/>
  <c r="G16" i="15"/>
  <c r="H16" i="15"/>
  <c r="I16" i="15"/>
  <c r="J16" i="15"/>
  <c r="K16" i="15"/>
  <c r="L16" i="15"/>
  <c r="M16" i="15"/>
  <c r="C17" i="15"/>
  <c r="D17" i="15"/>
  <c r="E17" i="15"/>
  <c r="F17" i="15"/>
  <c r="G17" i="15"/>
  <c r="H17" i="15"/>
  <c r="I17" i="15"/>
  <c r="J17" i="15"/>
  <c r="K17" i="15"/>
  <c r="L17" i="15"/>
  <c r="M17" i="15"/>
  <c r="C18" i="15"/>
  <c r="D18" i="15"/>
  <c r="E18" i="15"/>
  <c r="F18" i="15"/>
  <c r="G18" i="15"/>
  <c r="H18" i="15"/>
  <c r="I18" i="15"/>
  <c r="J18" i="15"/>
  <c r="K18" i="15"/>
  <c r="L18" i="15"/>
  <c r="M18" i="15"/>
  <c r="C19" i="15"/>
  <c r="D19" i="15"/>
  <c r="E19" i="15"/>
  <c r="F19" i="15"/>
  <c r="G19" i="15"/>
  <c r="H19" i="15"/>
  <c r="I19" i="15"/>
  <c r="J19" i="15"/>
  <c r="K19" i="15"/>
  <c r="L19" i="15"/>
  <c r="M19" i="15"/>
  <c r="C20" i="15"/>
  <c r="D20" i="15"/>
  <c r="E20" i="15"/>
  <c r="F20" i="15"/>
  <c r="G20" i="15"/>
  <c r="H20" i="15"/>
  <c r="I20" i="15"/>
  <c r="J20" i="15"/>
  <c r="K20" i="15"/>
  <c r="L20" i="15"/>
  <c r="M20" i="15"/>
  <c r="C21" i="15"/>
  <c r="D21" i="15"/>
  <c r="E21" i="15"/>
  <c r="F21" i="15"/>
  <c r="G21" i="15"/>
  <c r="H21" i="15"/>
  <c r="I21" i="15"/>
  <c r="J21" i="15"/>
  <c r="K21" i="15"/>
  <c r="L21" i="15"/>
  <c r="M21" i="15"/>
  <c r="C22" i="15"/>
  <c r="D22" i="15"/>
  <c r="E22" i="15"/>
  <c r="F22" i="15"/>
  <c r="G22" i="15"/>
  <c r="H22" i="15"/>
  <c r="I22" i="15"/>
  <c r="J22" i="15"/>
  <c r="K22" i="15"/>
  <c r="L22" i="15"/>
  <c r="M22" i="15"/>
  <c r="C23" i="15"/>
  <c r="D23" i="15"/>
  <c r="E23" i="15"/>
  <c r="F23" i="15"/>
  <c r="G23" i="15"/>
  <c r="H23" i="15"/>
  <c r="I23" i="15"/>
  <c r="J23" i="15"/>
  <c r="K23" i="15"/>
  <c r="L23" i="15"/>
  <c r="M23" i="15"/>
  <c r="C24" i="15"/>
  <c r="D24" i="15"/>
  <c r="E24" i="15"/>
  <c r="F24" i="15"/>
  <c r="G24" i="15"/>
  <c r="H24" i="15"/>
  <c r="I24" i="15"/>
  <c r="J24" i="15"/>
  <c r="K24" i="15"/>
  <c r="L24" i="15"/>
  <c r="M24" i="15"/>
  <c r="C25" i="15"/>
  <c r="D25" i="15"/>
  <c r="E25" i="15"/>
  <c r="F25" i="15"/>
  <c r="G25" i="15"/>
  <c r="H25" i="15"/>
  <c r="I25" i="15"/>
  <c r="J25" i="15"/>
  <c r="K25" i="15"/>
  <c r="L25" i="15"/>
  <c r="M25" i="15"/>
  <c r="C26" i="15"/>
  <c r="D26" i="15"/>
  <c r="E26" i="15"/>
  <c r="F26" i="15"/>
  <c r="G26" i="15"/>
  <c r="H26" i="15"/>
  <c r="I26" i="15"/>
  <c r="J26" i="15"/>
  <c r="K26" i="15"/>
  <c r="L26" i="15"/>
  <c r="M26" i="15"/>
  <c r="C27" i="15"/>
  <c r="D27" i="15"/>
  <c r="E27" i="15"/>
  <c r="F27" i="15"/>
  <c r="G27" i="15"/>
  <c r="H27" i="15"/>
  <c r="I27" i="15"/>
  <c r="J27" i="15"/>
  <c r="K27" i="15"/>
  <c r="L27" i="15"/>
  <c r="M27" i="15"/>
  <c r="C28" i="15"/>
  <c r="D28" i="15"/>
  <c r="E28" i="15"/>
  <c r="F28" i="15"/>
  <c r="G28" i="15"/>
  <c r="H28" i="15"/>
  <c r="I28" i="15"/>
  <c r="J28" i="15"/>
  <c r="K28" i="15"/>
  <c r="L28" i="15"/>
  <c r="M28" i="15"/>
  <c r="C29" i="15"/>
  <c r="D29" i="15"/>
  <c r="E29" i="15"/>
  <c r="F29" i="15"/>
  <c r="G29" i="15"/>
  <c r="H29" i="15"/>
  <c r="I29" i="15"/>
  <c r="J29" i="15"/>
  <c r="K29" i="15"/>
  <c r="L29" i="15"/>
  <c r="M29" i="15"/>
  <c r="C30" i="15"/>
  <c r="D30" i="15"/>
  <c r="E30" i="15"/>
  <c r="F30" i="15"/>
  <c r="G30" i="15"/>
  <c r="H30" i="15"/>
  <c r="I30" i="15"/>
  <c r="J30" i="15"/>
  <c r="K30" i="15"/>
  <c r="L30" i="15"/>
  <c r="M30" i="15"/>
  <c r="C31" i="15"/>
  <c r="D31" i="15"/>
  <c r="E31" i="15"/>
  <c r="F31" i="15"/>
  <c r="G31" i="15"/>
  <c r="H31" i="15"/>
  <c r="I31" i="15"/>
  <c r="J31" i="15"/>
  <c r="K31" i="15"/>
  <c r="L31" i="15"/>
  <c r="M31" i="15"/>
  <c r="C32" i="15"/>
  <c r="D32" i="15"/>
  <c r="E32" i="15"/>
  <c r="F32" i="15"/>
  <c r="G32" i="15"/>
  <c r="H32" i="15"/>
  <c r="I32" i="15"/>
  <c r="J32" i="15"/>
  <c r="K32" i="15"/>
  <c r="L32" i="15"/>
  <c r="M32" i="15"/>
  <c r="C33" i="15"/>
  <c r="D33" i="15"/>
  <c r="E33" i="15"/>
  <c r="F33" i="15"/>
  <c r="G33" i="15"/>
  <c r="H33" i="15"/>
  <c r="I33" i="15"/>
  <c r="J33" i="15"/>
  <c r="K33" i="15"/>
  <c r="L33" i="15"/>
  <c r="M33" i="15"/>
  <c r="C34" i="15"/>
  <c r="D34" i="15"/>
  <c r="E34" i="15"/>
  <c r="F34" i="15"/>
  <c r="G34" i="15"/>
  <c r="H34" i="15"/>
  <c r="I34" i="15"/>
  <c r="J34" i="15"/>
  <c r="K34" i="15"/>
  <c r="L34" i="15"/>
  <c r="M34" i="15"/>
  <c r="C35" i="15"/>
  <c r="D35" i="15"/>
  <c r="E35" i="15"/>
  <c r="F35" i="15"/>
  <c r="G35" i="15"/>
  <c r="H35" i="15"/>
  <c r="I35" i="15"/>
  <c r="J35" i="15"/>
  <c r="K35" i="15"/>
  <c r="L35" i="15"/>
  <c r="M35" i="15"/>
  <c r="C36" i="15"/>
  <c r="D36" i="15"/>
  <c r="E36" i="15"/>
  <c r="F36" i="15"/>
  <c r="G36" i="15"/>
  <c r="H36" i="15"/>
  <c r="I36" i="15"/>
  <c r="J36" i="15"/>
  <c r="K36" i="15"/>
  <c r="L36" i="15"/>
  <c r="M36" i="15"/>
  <c r="C37" i="15"/>
  <c r="D37" i="15"/>
  <c r="E37" i="15"/>
  <c r="F37" i="15"/>
  <c r="G37" i="15"/>
  <c r="H37" i="15"/>
  <c r="I37" i="15"/>
  <c r="J37" i="15"/>
  <c r="K37" i="15"/>
  <c r="L37" i="15"/>
  <c r="M37" i="15"/>
  <c r="C38" i="15"/>
  <c r="D38" i="15"/>
  <c r="E38" i="15"/>
  <c r="F38" i="15"/>
  <c r="G38" i="15"/>
  <c r="H38" i="15"/>
  <c r="I38" i="15"/>
  <c r="J38" i="15"/>
  <c r="K38" i="15"/>
  <c r="L38" i="15"/>
  <c r="M38" i="15"/>
  <c r="C39" i="15"/>
  <c r="D39" i="15"/>
  <c r="E39" i="15"/>
  <c r="F39" i="15"/>
  <c r="G39" i="15"/>
  <c r="H39" i="15"/>
  <c r="I39" i="15"/>
  <c r="J39" i="15"/>
  <c r="K39" i="15"/>
  <c r="L39" i="15"/>
  <c r="M39" i="15"/>
  <c r="C40" i="15"/>
  <c r="D40" i="15"/>
  <c r="E40" i="15"/>
  <c r="F40" i="15"/>
  <c r="G40" i="15"/>
  <c r="H40" i="15"/>
  <c r="I40" i="15"/>
  <c r="J40" i="15"/>
  <c r="K40" i="15"/>
  <c r="L40" i="15"/>
  <c r="M40" i="15"/>
  <c r="C41" i="15"/>
  <c r="D41" i="15"/>
  <c r="E41" i="15"/>
  <c r="F41" i="15"/>
  <c r="G41" i="15"/>
  <c r="H41" i="15"/>
  <c r="I41" i="15"/>
  <c r="J41" i="15"/>
  <c r="K41" i="15"/>
  <c r="L41" i="15"/>
  <c r="M41" i="15"/>
  <c r="C42" i="15"/>
  <c r="D42" i="15"/>
  <c r="E42" i="15"/>
  <c r="F42" i="15"/>
  <c r="G42" i="15"/>
  <c r="H42" i="15"/>
  <c r="I42" i="15"/>
  <c r="J42" i="15"/>
  <c r="K42" i="15"/>
  <c r="L42" i="15"/>
  <c r="M42" i="15"/>
  <c r="C43" i="15"/>
  <c r="D43" i="15"/>
  <c r="E43" i="15"/>
  <c r="F43" i="15"/>
  <c r="G43" i="15"/>
  <c r="H43" i="15"/>
  <c r="I43" i="15"/>
  <c r="J43" i="15"/>
  <c r="K43" i="15"/>
  <c r="L43" i="15"/>
  <c r="M43" i="15"/>
  <c r="C44" i="15"/>
  <c r="D44" i="15"/>
  <c r="E44" i="15"/>
  <c r="F44" i="15"/>
  <c r="G44" i="15"/>
  <c r="H44" i="15"/>
  <c r="I44" i="15"/>
  <c r="J44" i="15"/>
  <c r="K44" i="15"/>
  <c r="L44" i="15"/>
  <c r="M44" i="15"/>
  <c r="C45" i="15"/>
  <c r="D45" i="15"/>
  <c r="E45" i="15"/>
  <c r="F45" i="15"/>
  <c r="G45" i="15"/>
  <c r="H45" i="15"/>
  <c r="I45" i="15"/>
  <c r="J45" i="15"/>
  <c r="K45" i="15"/>
  <c r="L45" i="15"/>
  <c r="M45" i="15"/>
  <c r="C46" i="15"/>
  <c r="D46" i="15"/>
  <c r="E46" i="15"/>
  <c r="F46" i="15"/>
  <c r="G46" i="15"/>
  <c r="H46" i="15"/>
  <c r="I46" i="15"/>
  <c r="J46" i="15"/>
  <c r="K46" i="15"/>
  <c r="L46" i="15"/>
  <c r="M46" i="15"/>
  <c r="C47" i="15"/>
  <c r="D47" i="15"/>
  <c r="E47" i="15"/>
  <c r="F47" i="15"/>
  <c r="G47" i="15"/>
  <c r="H47" i="15"/>
  <c r="I47" i="15"/>
  <c r="J47" i="15"/>
  <c r="K47" i="15"/>
  <c r="L47" i="15"/>
  <c r="M47" i="15"/>
  <c r="C48" i="15"/>
  <c r="D48" i="15"/>
  <c r="E48" i="15"/>
  <c r="F48" i="15"/>
  <c r="G48" i="15"/>
  <c r="H48" i="15"/>
  <c r="I48" i="15"/>
  <c r="J48" i="15"/>
  <c r="K48" i="15"/>
  <c r="L48" i="15"/>
  <c r="M48" i="15"/>
  <c r="C49" i="15"/>
  <c r="D49" i="15"/>
  <c r="E49" i="15"/>
  <c r="F49" i="15"/>
  <c r="G49" i="15"/>
  <c r="H49" i="15"/>
  <c r="I49" i="15"/>
  <c r="J49" i="15"/>
  <c r="K49" i="15"/>
  <c r="L49" i="15"/>
  <c r="M49" i="15"/>
  <c r="C50" i="15"/>
  <c r="D50" i="15"/>
  <c r="E50" i="15"/>
  <c r="F50" i="15"/>
  <c r="G50" i="15"/>
  <c r="H50" i="15"/>
  <c r="I50" i="15"/>
  <c r="J50" i="15"/>
  <c r="K50" i="15"/>
  <c r="L50" i="15"/>
  <c r="M50" i="15"/>
  <c r="C51" i="15"/>
  <c r="D51" i="15"/>
  <c r="E51" i="15"/>
  <c r="F51" i="15"/>
  <c r="G51" i="15"/>
  <c r="H51" i="15"/>
  <c r="I51" i="15"/>
  <c r="J51" i="15"/>
  <c r="K51" i="15"/>
  <c r="L51" i="15"/>
  <c r="M51" i="15"/>
  <c r="C52" i="15"/>
  <c r="D52" i="15"/>
  <c r="E52" i="15"/>
  <c r="F52" i="15"/>
  <c r="G52" i="15"/>
  <c r="H52" i="15"/>
  <c r="I52" i="15"/>
  <c r="J52" i="15"/>
  <c r="K52" i="15"/>
  <c r="L52" i="15"/>
  <c r="M52" i="15"/>
  <c r="C53" i="15"/>
  <c r="D53" i="15"/>
  <c r="E53" i="15"/>
  <c r="F53" i="15"/>
  <c r="G53" i="15"/>
  <c r="H53" i="15"/>
  <c r="I53" i="15"/>
  <c r="J53" i="15"/>
  <c r="K53" i="15"/>
  <c r="L53" i="15"/>
  <c r="M53" i="15"/>
  <c r="C54" i="15"/>
  <c r="D54" i="15"/>
  <c r="E54" i="15"/>
  <c r="F54" i="15"/>
  <c r="G54" i="15"/>
  <c r="H54" i="15"/>
  <c r="I54" i="15"/>
  <c r="J54" i="15"/>
  <c r="K54" i="15"/>
  <c r="L54" i="15"/>
  <c r="M54" i="15"/>
  <c r="C55" i="15"/>
  <c r="D55" i="15"/>
  <c r="E55" i="15"/>
  <c r="F55" i="15"/>
  <c r="G55" i="15"/>
  <c r="H55" i="15"/>
  <c r="I55" i="15"/>
  <c r="J55" i="15"/>
  <c r="K55" i="15"/>
  <c r="L55" i="15"/>
  <c r="M55" i="15"/>
  <c r="C56" i="15"/>
  <c r="D56" i="15"/>
  <c r="E56" i="15"/>
  <c r="F56" i="15"/>
  <c r="G56" i="15"/>
  <c r="H56" i="15"/>
  <c r="I56" i="15"/>
  <c r="J56" i="15"/>
  <c r="K56" i="15"/>
  <c r="L56" i="15"/>
  <c r="M56" i="15"/>
  <c r="C57" i="15"/>
  <c r="D57" i="15"/>
  <c r="E57" i="15"/>
  <c r="F57" i="15"/>
  <c r="G57" i="15"/>
  <c r="H57" i="15"/>
  <c r="I57" i="15"/>
  <c r="J57" i="15"/>
  <c r="K57" i="15"/>
  <c r="L57" i="15"/>
  <c r="M57" i="15"/>
  <c r="C58" i="15"/>
  <c r="D58" i="15"/>
  <c r="E58" i="15"/>
  <c r="F58" i="15"/>
  <c r="G58" i="15"/>
  <c r="H58" i="15"/>
  <c r="I58" i="15"/>
  <c r="J58" i="15"/>
  <c r="K58" i="15"/>
  <c r="L58" i="15"/>
  <c r="M58" i="15"/>
  <c r="C59" i="15"/>
  <c r="D59" i="15"/>
  <c r="E59" i="15"/>
  <c r="F59" i="15"/>
  <c r="G59" i="15"/>
  <c r="H59" i="15"/>
  <c r="I59" i="15"/>
  <c r="J59" i="15"/>
  <c r="K59" i="15"/>
  <c r="L59" i="15"/>
  <c r="M59" i="15"/>
  <c r="C60" i="15"/>
  <c r="D60" i="15"/>
  <c r="E60" i="15"/>
  <c r="F60" i="15"/>
  <c r="G60" i="15"/>
  <c r="H60" i="15"/>
  <c r="I60" i="15"/>
  <c r="J60" i="15"/>
  <c r="K60" i="15"/>
  <c r="L60" i="15"/>
  <c r="M60" i="15"/>
  <c r="C61" i="15"/>
  <c r="D61" i="15"/>
  <c r="E61" i="15"/>
  <c r="F61" i="15"/>
  <c r="G61" i="15"/>
  <c r="H61" i="15"/>
  <c r="I61" i="15"/>
  <c r="J61" i="15"/>
  <c r="K61" i="15"/>
  <c r="L61" i="15"/>
  <c r="M61" i="15"/>
  <c r="C62" i="15"/>
  <c r="D62" i="15"/>
  <c r="E62" i="15"/>
  <c r="F62" i="15"/>
  <c r="G62" i="15"/>
  <c r="H62" i="15"/>
  <c r="I62" i="15"/>
  <c r="J62" i="15"/>
  <c r="K62" i="15"/>
  <c r="L62" i="15"/>
  <c r="M62" i="15"/>
  <c r="C63" i="15"/>
  <c r="D63" i="15"/>
  <c r="E63" i="15"/>
  <c r="F63" i="15"/>
  <c r="G63" i="15"/>
  <c r="H63" i="15"/>
  <c r="I63" i="15"/>
  <c r="J63" i="15"/>
  <c r="K63" i="15"/>
  <c r="L63" i="15"/>
  <c r="M63" i="15"/>
  <c r="C64" i="15"/>
  <c r="D64" i="15"/>
  <c r="E64" i="15"/>
  <c r="F64" i="15"/>
  <c r="G64" i="15"/>
  <c r="H64" i="15"/>
  <c r="I64" i="15"/>
  <c r="J64" i="15"/>
  <c r="K64" i="15"/>
  <c r="L64" i="15"/>
  <c r="M64" i="15"/>
  <c r="C65" i="15"/>
  <c r="D65" i="15"/>
  <c r="E65" i="15"/>
  <c r="F65" i="15"/>
  <c r="G65" i="15"/>
  <c r="H65" i="15"/>
  <c r="I65" i="15"/>
  <c r="J65" i="15"/>
  <c r="K65" i="15"/>
  <c r="L65" i="15"/>
  <c r="M65" i="15"/>
  <c r="C66" i="15"/>
  <c r="D66" i="15"/>
  <c r="E66" i="15"/>
  <c r="F66" i="15"/>
  <c r="G66" i="15"/>
  <c r="H66" i="15"/>
  <c r="I66" i="15"/>
  <c r="J66" i="15"/>
  <c r="K66" i="15"/>
  <c r="L66" i="15"/>
  <c r="M66" i="15"/>
  <c r="C67" i="15"/>
  <c r="D67" i="15"/>
  <c r="E67" i="15"/>
  <c r="F67" i="15"/>
  <c r="G67" i="15"/>
  <c r="H67" i="15"/>
  <c r="I67" i="15"/>
  <c r="J67" i="15"/>
  <c r="K67" i="15"/>
  <c r="L67" i="15"/>
  <c r="M67" i="15"/>
  <c r="C68" i="15"/>
  <c r="D68" i="15"/>
  <c r="E68" i="15"/>
  <c r="F68" i="15"/>
  <c r="G68" i="15"/>
  <c r="H68" i="15"/>
  <c r="I68" i="15"/>
  <c r="J68" i="15"/>
  <c r="K68" i="15"/>
  <c r="L68" i="15"/>
  <c r="M68" i="15"/>
  <c r="C69" i="15"/>
  <c r="D69" i="15"/>
  <c r="E69" i="15"/>
  <c r="F69" i="15"/>
  <c r="G69" i="15"/>
  <c r="H69" i="15"/>
  <c r="I69" i="15"/>
  <c r="J69" i="15"/>
  <c r="K69" i="15"/>
  <c r="L69" i="15"/>
  <c r="M69" i="15"/>
  <c r="C70" i="15"/>
  <c r="D70" i="15"/>
  <c r="E70" i="15"/>
  <c r="F70" i="15"/>
  <c r="G70" i="15"/>
  <c r="H70" i="15"/>
  <c r="I70" i="15"/>
  <c r="J70" i="15"/>
  <c r="K70" i="15"/>
  <c r="L70" i="15"/>
  <c r="M70" i="15"/>
  <c r="C71" i="15"/>
  <c r="D71" i="15"/>
  <c r="E71" i="15"/>
  <c r="F71" i="15"/>
  <c r="G71" i="15"/>
  <c r="H71" i="15"/>
  <c r="I71" i="15"/>
  <c r="J71" i="15"/>
  <c r="K71" i="15"/>
  <c r="L71" i="15"/>
  <c r="M71" i="15"/>
  <c r="C72" i="15"/>
  <c r="D72" i="15"/>
  <c r="E72" i="15"/>
  <c r="F72" i="15"/>
  <c r="G72" i="15"/>
  <c r="H72" i="15"/>
  <c r="I72" i="15"/>
  <c r="J72" i="15"/>
  <c r="K72" i="15"/>
  <c r="L72" i="15"/>
  <c r="M72" i="15"/>
  <c r="C73" i="15"/>
  <c r="D73" i="15"/>
  <c r="E73" i="15"/>
  <c r="F73" i="15"/>
  <c r="G73" i="15"/>
  <c r="H73" i="15"/>
  <c r="I73" i="15"/>
  <c r="J73" i="15"/>
  <c r="K73" i="15"/>
  <c r="L73" i="15"/>
  <c r="M73" i="15"/>
  <c r="C74" i="15"/>
  <c r="D74" i="15"/>
  <c r="E74" i="15"/>
  <c r="F74" i="15"/>
  <c r="G74" i="15"/>
  <c r="H74" i="15"/>
  <c r="I74" i="15"/>
  <c r="J74" i="15"/>
  <c r="K74" i="15"/>
  <c r="L74" i="15"/>
  <c r="M74" i="15"/>
  <c r="C75" i="15"/>
  <c r="D75" i="15"/>
  <c r="E75" i="15"/>
  <c r="F75" i="15"/>
  <c r="G75" i="15"/>
  <c r="H75" i="15"/>
  <c r="I75" i="15"/>
  <c r="J75" i="15"/>
  <c r="K75" i="15"/>
  <c r="L75" i="15"/>
  <c r="M75" i="15"/>
  <c r="C76" i="15"/>
  <c r="D76" i="15"/>
  <c r="E76" i="15"/>
  <c r="F76" i="15"/>
  <c r="G76" i="15"/>
  <c r="H76" i="15"/>
  <c r="I76" i="15"/>
  <c r="J76" i="15"/>
  <c r="K76" i="15"/>
  <c r="L76" i="15"/>
  <c r="M76" i="15"/>
  <c r="C77" i="15"/>
  <c r="D77" i="15"/>
  <c r="E77" i="15"/>
  <c r="F77" i="15"/>
  <c r="G77" i="15"/>
  <c r="H77" i="15"/>
  <c r="I77" i="15"/>
  <c r="J77" i="15"/>
  <c r="K77" i="15"/>
  <c r="L77" i="15"/>
  <c r="M77" i="15"/>
  <c r="C78" i="15"/>
  <c r="D78" i="15"/>
  <c r="E78" i="15"/>
  <c r="F78" i="15"/>
  <c r="G78" i="15"/>
  <c r="H78" i="15"/>
  <c r="I78" i="15"/>
  <c r="J78" i="15"/>
  <c r="K78" i="15"/>
  <c r="L78" i="15"/>
  <c r="M78" i="15"/>
  <c r="C79" i="15"/>
  <c r="D79" i="15"/>
  <c r="E79" i="15"/>
  <c r="F79" i="15"/>
  <c r="G79" i="15"/>
  <c r="H79" i="15"/>
  <c r="I79" i="15"/>
  <c r="J79" i="15"/>
  <c r="K79" i="15"/>
  <c r="L79" i="15"/>
  <c r="M79" i="15"/>
  <c r="C80" i="15"/>
  <c r="D80" i="15"/>
  <c r="E80" i="15"/>
  <c r="F80" i="15"/>
  <c r="G80" i="15"/>
  <c r="H80" i="15"/>
  <c r="I80" i="15"/>
  <c r="J80" i="15"/>
  <c r="K80" i="15"/>
  <c r="L80" i="15"/>
  <c r="M80" i="15"/>
  <c r="C81" i="15"/>
  <c r="D81" i="15"/>
  <c r="E81" i="15"/>
  <c r="F81" i="15"/>
  <c r="G81" i="15"/>
  <c r="H81" i="15"/>
  <c r="I81" i="15"/>
  <c r="J81" i="15"/>
  <c r="K81" i="15"/>
  <c r="L81" i="15"/>
  <c r="M81" i="15"/>
  <c r="C82" i="15"/>
  <c r="D82" i="15"/>
  <c r="E82" i="15"/>
  <c r="F82" i="15"/>
  <c r="G82" i="15"/>
  <c r="H82" i="15"/>
  <c r="I82" i="15"/>
  <c r="J82" i="15"/>
  <c r="K82" i="15"/>
  <c r="L82" i="15"/>
  <c r="M82" i="15"/>
  <c r="C83" i="15"/>
  <c r="D83" i="15"/>
  <c r="E83" i="15"/>
  <c r="F83" i="15"/>
  <c r="G83" i="15"/>
  <c r="H83" i="15"/>
  <c r="I83" i="15"/>
  <c r="J83" i="15"/>
  <c r="K83" i="15"/>
  <c r="L83" i="15"/>
  <c r="M83" i="15"/>
  <c r="C84" i="15"/>
  <c r="D84" i="15"/>
  <c r="E84" i="15"/>
  <c r="F84" i="15"/>
  <c r="G84" i="15"/>
  <c r="H84" i="15"/>
  <c r="I84" i="15"/>
  <c r="J84" i="15"/>
  <c r="K84" i="15"/>
  <c r="L84" i="15"/>
  <c r="M84" i="15"/>
  <c r="C85" i="15"/>
  <c r="D85" i="15"/>
  <c r="E85" i="15"/>
  <c r="F85" i="15"/>
  <c r="G85" i="15"/>
  <c r="H85" i="15"/>
  <c r="I85" i="15"/>
  <c r="J85" i="15"/>
  <c r="K85" i="15"/>
  <c r="L85" i="15"/>
  <c r="M85" i="15"/>
  <c r="C86" i="15"/>
  <c r="D86" i="15"/>
  <c r="E86" i="15"/>
  <c r="F86" i="15"/>
  <c r="G86" i="15"/>
  <c r="H86" i="15"/>
  <c r="I86" i="15"/>
  <c r="J86" i="15"/>
  <c r="K86" i="15"/>
  <c r="L86" i="15"/>
  <c r="M86" i="15"/>
  <c r="C87" i="15"/>
  <c r="D87" i="15"/>
  <c r="E87" i="15"/>
  <c r="F87" i="15"/>
  <c r="G87" i="15"/>
  <c r="H87" i="15"/>
  <c r="I87" i="15"/>
  <c r="J87" i="15"/>
  <c r="K87" i="15"/>
  <c r="L87" i="15"/>
  <c r="M87" i="15"/>
  <c r="C88" i="15"/>
  <c r="D88" i="15"/>
  <c r="E88" i="15"/>
  <c r="F88" i="15"/>
  <c r="G88" i="15"/>
  <c r="H88" i="15"/>
  <c r="I88" i="15"/>
  <c r="J88" i="15"/>
  <c r="K88" i="15"/>
  <c r="L88" i="15"/>
  <c r="M88" i="15"/>
  <c r="C89" i="15"/>
  <c r="D89" i="15"/>
  <c r="E89" i="15"/>
  <c r="F89" i="15"/>
  <c r="G89" i="15"/>
  <c r="H89" i="15"/>
  <c r="I89" i="15"/>
  <c r="J89" i="15"/>
  <c r="K89" i="15"/>
  <c r="L89" i="15"/>
  <c r="M89" i="15"/>
  <c r="C90" i="15"/>
  <c r="D90" i="15"/>
  <c r="E90" i="15"/>
  <c r="F90" i="15"/>
  <c r="G90" i="15"/>
  <c r="H90" i="15"/>
  <c r="I90" i="15"/>
  <c r="J90" i="15"/>
  <c r="K90" i="15"/>
  <c r="L90" i="15"/>
  <c r="M90" i="15"/>
  <c r="C91" i="15"/>
  <c r="D91" i="15"/>
  <c r="E91" i="15"/>
  <c r="F91" i="15"/>
  <c r="G91" i="15"/>
  <c r="H91" i="15"/>
  <c r="I91" i="15"/>
  <c r="J91" i="15"/>
  <c r="K91" i="15"/>
  <c r="L91" i="15"/>
  <c r="M91" i="15"/>
  <c r="C92" i="15"/>
  <c r="D92" i="15"/>
  <c r="E92" i="15"/>
  <c r="F92" i="15"/>
  <c r="G92" i="15"/>
  <c r="H92" i="15"/>
  <c r="I92" i="15"/>
  <c r="J92" i="15"/>
  <c r="K92" i="15"/>
  <c r="L92" i="15"/>
  <c r="M92" i="15"/>
  <c r="C93" i="15"/>
  <c r="D93" i="15"/>
  <c r="E93" i="15"/>
  <c r="F93" i="15"/>
  <c r="G93" i="15"/>
  <c r="H93" i="15"/>
  <c r="I93" i="15"/>
  <c r="J93" i="15"/>
  <c r="K93" i="15"/>
  <c r="L93" i="15"/>
  <c r="M93" i="15"/>
  <c r="C94" i="15"/>
  <c r="D94" i="15"/>
  <c r="E94" i="15"/>
  <c r="F94" i="15"/>
  <c r="G94" i="15"/>
  <c r="H94" i="15"/>
  <c r="I94" i="15"/>
  <c r="J94" i="15"/>
  <c r="K94" i="15"/>
  <c r="L94" i="15"/>
  <c r="M94" i="15"/>
  <c r="C95" i="15"/>
  <c r="D95" i="15"/>
  <c r="E95" i="15"/>
  <c r="F95" i="15"/>
  <c r="G95" i="15"/>
  <c r="H95" i="15"/>
  <c r="I95" i="15"/>
  <c r="J95" i="15"/>
  <c r="K95" i="15"/>
  <c r="L95" i="15"/>
  <c r="M95" i="15"/>
  <c r="C96" i="15"/>
  <c r="D96" i="15"/>
  <c r="E96" i="15"/>
  <c r="F96" i="15"/>
  <c r="G96" i="15"/>
  <c r="H96" i="15"/>
  <c r="I96" i="15"/>
  <c r="J96" i="15"/>
  <c r="K96" i="15"/>
  <c r="L96" i="15"/>
  <c r="M96" i="15"/>
  <c r="C97" i="15"/>
  <c r="D97" i="15"/>
  <c r="E97" i="15"/>
  <c r="F97" i="15"/>
  <c r="G97" i="15"/>
  <c r="H97" i="15"/>
  <c r="I97" i="15"/>
  <c r="J97" i="15"/>
  <c r="K97" i="15"/>
  <c r="L97" i="15"/>
  <c r="M97" i="15"/>
  <c r="C98" i="15"/>
  <c r="D98" i="15"/>
  <c r="E98" i="15"/>
  <c r="F98" i="15"/>
  <c r="G98" i="15"/>
  <c r="H98" i="15"/>
  <c r="I98" i="15"/>
  <c r="J98" i="15"/>
  <c r="K98" i="15"/>
  <c r="L98" i="15"/>
  <c r="M98" i="15"/>
  <c r="C99" i="15"/>
  <c r="D99" i="15"/>
  <c r="E99" i="15"/>
  <c r="F99" i="15"/>
  <c r="G99" i="15"/>
  <c r="H99" i="15"/>
  <c r="I99" i="15"/>
  <c r="J99" i="15"/>
  <c r="K99" i="15"/>
  <c r="L99" i="15"/>
  <c r="M99" i="15"/>
  <c r="C100" i="15"/>
  <c r="D100" i="15"/>
  <c r="E100" i="15"/>
  <c r="F100" i="15"/>
  <c r="G100" i="15"/>
  <c r="H100" i="15"/>
  <c r="I100" i="15"/>
  <c r="J100" i="15"/>
  <c r="K100" i="15"/>
  <c r="L100" i="15"/>
  <c r="M100" i="15"/>
  <c r="C101" i="15"/>
  <c r="D101" i="15"/>
  <c r="E101" i="15"/>
  <c r="F101" i="15"/>
  <c r="G101" i="15"/>
  <c r="H101" i="15"/>
  <c r="I101" i="15"/>
  <c r="J101" i="15"/>
  <c r="K101" i="15"/>
  <c r="L101" i="15"/>
  <c r="M101" i="15"/>
  <c r="C102" i="15"/>
  <c r="D102" i="15"/>
  <c r="E102" i="15"/>
  <c r="F102" i="15"/>
  <c r="G102" i="15"/>
  <c r="H102" i="15"/>
  <c r="I102" i="15"/>
  <c r="J102" i="15"/>
  <c r="K102" i="15"/>
  <c r="L102" i="15"/>
  <c r="M102" i="15"/>
  <c r="C103" i="15"/>
  <c r="D103" i="15"/>
  <c r="E103" i="15"/>
  <c r="F103" i="15"/>
  <c r="G103" i="15"/>
  <c r="H103" i="15"/>
  <c r="I103" i="15"/>
  <c r="J103" i="15"/>
  <c r="K103" i="15"/>
  <c r="L103" i="15"/>
  <c r="M103" i="15"/>
  <c r="C104" i="15"/>
  <c r="D104" i="15"/>
  <c r="E104" i="15"/>
  <c r="F104" i="15"/>
  <c r="G104" i="15"/>
  <c r="H104" i="15"/>
  <c r="I104" i="15"/>
  <c r="J104" i="15"/>
  <c r="K104" i="15"/>
  <c r="L104" i="15"/>
  <c r="M104" i="15"/>
  <c r="C105" i="15"/>
  <c r="D105" i="15"/>
  <c r="E105" i="15"/>
  <c r="F105" i="15"/>
  <c r="G105" i="15"/>
  <c r="H105" i="15"/>
  <c r="I105" i="15"/>
  <c r="J105" i="15"/>
  <c r="K105" i="15"/>
  <c r="L105" i="15"/>
  <c r="M105" i="15"/>
  <c r="C106" i="15"/>
  <c r="D106" i="15"/>
  <c r="E106" i="15"/>
  <c r="F106" i="15"/>
  <c r="G106" i="15"/>
  <c r="H106" i="15"/>
  <c r="I106" i="15"/>
  <c r="J106" i="15"/>
  <c r="K106" i="15"/>
  <c r="L106" i="15"/>
  <c r="M106" i="15"/>
  <c r="C107" i="15"/>
  <c r="D107" i="15"/>
  <c r="E107" i="15"/>
  <c r="F107" i="15"/>
  <c r="G107" i="15"/>
  <c r="H107" i="15"/>
  <c r="I107" i="15"/>
  <c r="J107" i="15"/>
  <c r="K107" i="15"/>
  <c r="L107" i="15"/>
  <c r="M107" i="15"/>
  <c r="C108" i="15"/>
  <c r="D108" i="15"/>
  <c r="E108" i="15"/>
  <c r="F108" i="15"/>
  <c r="G108" i="15"/>
  <c r="H108" i="15"/>
  <c r="I108" i="15"/>
  <c r="J108" i="15"/>
  <c r="K108" i="15"/>
  <c r="L108" i="15"/>
  <c r="M108" i="15"/>
  <c r="C109" i="15"/>
  <c r="D109" i="15"/>
  <c r="E109" i="15"/>
  <c r="F109" i="15"/>
  <c r="G109" i="15"/>
  <c r="H109" i="15"/>
  <c r="I109" i="15"/>
  <c r="J109" i="15"/>
  <c r="K109" i="15"/>
  <c r="L109" i="15"/>
  <c r="M109" i="15"/>
  <c r="C110" i="15"/>
  <c r="D110" i="15"/>
  <c r="E110" i="15"/>
  <c r="F110" i="15"/>
  <c r="G110" i="15"/>
  <c r="H110" i="15"/>
  <c r="I110" i="15"/>
  <c r="J110" i="15"/>
  <c r="K110" i="15"/>
  <c r="L110" i="15"/>
  <c r="M110" i="15"/>
  <c r="C111" i="15"/>
  <c r="D111" i="15"/>
  <c r="E111" i="15"/>
  <c r="F111" i="15"/>
  <c r="G111" i="15"/>
  <c r="H111" i="15"/>
  <c r="I111" i="15"/>
  <c r="J111" i="15"/>
  <c r="K111" i="15"/>
  <c r="L111" i="15"/>
  <c r="M111" i="15"/>
  <c r="C112" i="15"/>
  <c r="D112" i="15"/>
  <c r="E112" i="15"/>
  <c r="F112" i="15"/>
  <c r="G112" i="15"/>
  <c r="H112" i="15"/>
  <c r="I112" i="15"/>
  <c r="J112" i="15"/>
  <c r="K112" i="15"/>
  <c r="L112" i="15"/>
  <c r="M112" i="15"/>
  <c r="C113" i="15"/>
  <c r="D113" i="15"/>
  <c r="E113" i="15"/>
  <c r="F113" i="15"/>
  <c r="G113" i="15"/>
  <c r="H113" i="15"/>
  <c r="I113" i="15"/>
  <c r="J113" i="15"/>
  <c r="K113" i="15"/>
  <c r="L113" i="15"/>
  <c r="M113" i="15"/>
  <c r="C114" i="15"/>
  <c r="D114" i="15"/>
  <c r="E114" i="15"/>
  <c r="F114" i="15"/>
  <c r="G114" i="15"/>
  <c r="H114" i="15"/>
  <c r="I114" i="15"/>
  <c r="J114" i="15"/>
  <c r="K114" i="15"/>
  <c r="L114" i="15"/>
  <c r="M114" i="15"/>
  <c r="C115" i="15"/>
  <c r="D115" i="15"/>
  <c r="E115" i="15"/>
  <c r="F115" i="15"/>
  <c r="G115" i="15"/>
  <c r="H115" i="15"/>
  <c r="I115" i="15"/>
  <c r="J115" i="15"/>
  <c r="K115" i="15"/>
  <c r="L115" i="15"/>
  <c r="M115" i="15"/>
  <c r="C116" i="15"/>
  <c r="D116" i="15"/>
  <c r="E116" i="15"/>
  <c r="F116" i="15"/>
  <c r="G116" i="15"/>
  <c r="H116" i="15"/>
  <c r="I116" i="15"/>
  <c r="J116" i="15"/>
  <c r="K116" i="15"/>
  <c r="L116" i="15"/>
  <c r="M116" i="15"/>
  <c r="C117" i="15"/>
  <c r="D117" i="15"/>
  <c r="E117" i="15"/>
  <c r="F117" i="15"/>
  <c r="G117" i="15"/>
  <c r="H117" i="15"/>
  <c r="I117" i="15"/>
  <c r="J117" i="15"/>
  <c r="K117" i="15"/>
  <c r="L117" i="15"/>
  <c r="M117" i="15"/>
  <c r="C118" i="15"/>
  <c r="D118" i="15"/>
  <c r="E118" i="15"/>
  <c r="F118" i="15"/>
  <c r="G118" i="15"/>
  <c r="H118" i="15"/>
  <c r="I118" i="15"/>
  <c r="J118" i="15"/>
  <c r="K118" i="15"/>
  <c r="L118" i="15"/>
  <c r="M118" i="15"/>
  <c r="C119" i="15"/>
  <c r="D119" i="15"/>
  <c r="E119" i="15"/>
  <c r="F119" i="15"/>
  <c r="G119" i="15"/>
  <c r="H119" i="15"/>
  <c r="I119" i="15"/>
  <c r="J119" i="15"/>
  <c r="K119" i="15"/>
  <c r="L119" i="15"/>
  <c r="M119" i="15"/>
  <c r="C120" i="15"/>
  <c r="D120" i="15"/>
  <c r="E120" i="15"/>
  <c r="F120" i="15"/>
  <c r="G120" i="15"/>
  <c r="H120" i="15"/>
  <c r="I120" i="15"/>
  <c r="J120" i="15"/>
  <c r="K120" i="15"/>
  <c r="L120" i="15"/>
  <c r="M120" i="15"/>
  <c r="C121" i="15"/>
  <c r="D121" i="15"/>
  <c r="E121" i="15"/>
  <c r="F121" i="15"/>
  <c r="G121" i="15"/>
  <c r="H121" i="15"/>
  <c r="I121" i="15"/>
  <c r="J121" i="15"/>
  <c r="K121" i="15"/>
  <c r="L121" i="15"/>
  <c r="M121" i="15"/>
  <c r="C122" i="15"/>
  <c r="D122" i="15"/>
  <c r="E122" i="15"/>
  <c r="F122" i="15"/>
  <c r="G122" i="15"/>
  <c r="H122" i="15"/>
  <c r="I122" i="15"/>
  <c r="J122" i="15"/>
  <c r="K122" i="15"/>
  <c r="L122" i="15"/>
  <c r="M122" i="15"/>
  <c r="C123" i="15"/>
  <c r="D123" i="15"/>
  <c r="E123" i="15"/>
  <c r="F123" i="15"/>
  <c r="G123" i="15"/>
  <c r="H123" i="15"/>
  <c r="I123" i="15"/>
  <c r="J123" i="15"/>
  <c r="K123" i="15"/>
  <c r="L123" i="15"/>
  <c r="M123" i="15"/>
  <c r="C124" i="15"/>
  <c r="D124" i="15"/>
  <c r="E124" i="15"/>
  <c r="F124" i="15"/>
  <c r="G124" i="15"/>
  <c r="H124" i="15"/>
  <c r="I124" i="15"/>
  <c r="J124" i="15"/>
  <c r="K124" i="15"/>
  <c r="L124" i="15"/>
  <c r="M124" i="15"/>
  <c r="C125" i="15"/>
  <c r="D125" i="15"/>
  <c r="E125" i="15"/>
  <c r="F125" i="15"/>
  <c r="G125" i="15"/>
  <c r="H125" i="15"/>
  <c r="I125" i="15"/>
  <c r="J125" i="15"/>
  <c r="K125" i="15"/>
  <c r="L125" i="15"/>
  <c r="M125" i="15"/>
  <c r="C126" i="15"/>
  <c r="D126" i="15"/>
  <c r="E126" i="15"/>
  <c r="F126" i="15"/>
  <c r="G126" i="15"/>
  <c r="H126" i="15"/>
  <c r="I126" i="15"/>
  <c r="J126" i="15"/>
  <c r="K126" i="15"/>
  <c r="L126" i="15"/>
  <c r="M126" i="15"/>
  <c r="C127" i="15"/>
  <c r="D127" i="15"/>
  <c r="E127" i="15"/>
  <c r="F127" i="15"/>
  <c r="G127" i="15"/>
  <c r="H127" i="15"/>
  <c r="I127" i="15"/>
  <c r="J127" i="15"/>
  <c r="K127" i="15"/>
  <c r="L127" i="15"/>
  <c r="M127" i="15"/>
  <c r="C128" i="15"/>
  <c r="D128" i="15"/>
  <c r="E128" i="15"/>
  <c r="F128" i="15"/>
  <c r="G128" i="15"/>
  <c r="H128" i="15"/>
  <c r="I128" i="15"/>
  <c r="J128" i="15"/>
  <c r="K128" i="15"/>
  <c r="L128" i="15"/>
  <c r="M128" i="15"/>
  <c r="C129" i="15"/>
  <c r="D129" i="15"/>
  <c r="E129" i="15"/>
  <c r="F129" i="15"/>
  <c r="G129" i="15"/>
  <c r="H129" i="15"/>
  <c r="I129" i="15"/>
  <c r="J129" i="15"/>
  <c r="K129" i="15"/>
  <c r="L129" i="15"/>
  <c r="M129" i="15"/>
  <c r="C130" i="15"/>
  <c r="D130" i="15"/>
  <c r="E130" i="15"/>
  <c r="F130" i="15"/>
  <c r="G130" i="15"/>
  <c r="H130" i="15"/>
  <c r="I130" i="15"/>
  <c r="J130" i="15"/>
  <c r="K130" i="15"/>
  <c r="L130" i="15"/>
  <c r="M130" i="15"/>
  <c r="C131" i="15"/>
  <c r="D131" i="15"/>
  <c r="E131" i="15"/>
  <c r="F131" i="15"/>
  <c r="G131" i="15"/>
  <c r="H131" i="15"/>
  <c r="I131" i="15"/>
  <c r="J131" i="15"/>
  <c r="K131" i="15"/>
  <c r="L131" i="15"/>
  <c r="M131" i="15"/>
  <c r="C132" i="15"/>
  <c r="D132" i="15"/>
  <c r="E132" i="15"/>
  <c r="F132" i="15"/>
  <c r="G132" i="15"/>
  <c r="H132" i="15"/>
  <c r="I132" i="15"/>
  <c r="J132" i="15"/>
  <c r="K132" i="15"/>
  <c r="L132" i="15"/>
  <c r="M132" i="15"/>
  <c r="C133" i="15"/>
  <c r="D133" i="15"/>
  <c r="E133" i="15"/>
  <c r="F133" i="15"/>
  <c r="G133" i="15"/>
  <c r="H133" i="15"/>
  <c r="I133" i="15"/>
  <c r="J133" i="15"/>
  <c r="K133" i="15"/>
  <c r="L133" i="15"/>
  <c r="M133" i="15"/>
  <c r="C134" i="15"/>
  <c r="D134" i="15"/>
  <c r="E134" i="15"/>
  <c r="F134" i="15"/>
  <c r="G134" i="15"/>
  <c r="H134" i="15"/>
  <c r="I134" i="15"/>
  <c r="J134" i="15"/>
  <c r="K134" i="15"/>
  <c r="L134" i="15"/>
  <c r="M134" i="15"/>
  <c r="C135" i="15"/>
  <c r="D135" i="15"/>
  <c r="E135" i="15"/>
  <c r="F135" i="15"/>
  <c r="G135" i="15"/>
  <c r="H135" i="15"/>
  <c r="I135" i="15"/>
  <c r="J135" i="15"/>
  <c r="K135" i="15"/>
  <c r="L135" i="15"/>
  <c r="M135" i="15"/>
  <c r="C136" i="15"/>
  <c r="D136" i="15"/>
  <c r="E136" i="15"/>
  <c r="F136" i="15"/>
  <c r="G136" i="15"/>
  <c r="H136" i="15"/>
  <c r="I136" i="15"/>
  <c r="J136" i="15"/>
  <c r="K136" i="15"/>
  <c r="L136" i="15"/>
  <c r="M136" i="15"/>
  <c r="C137" i="15"/>
  <c r="D137" i="15"/>
  <c r="E137" i="15"/>
  <c r="F137" i="15"/>
  <c r="G137" i="15"/>
  <c r="H137" i="15"/>
  <c r="I137" i="15"/>
  <c r="J137" i="15"/>
  <c r="K137" i="15"/>
  <c r="L137" i="15"/>
  <c r="M137" i="15"/>
  <c r="C138" i="15"/>
  <c r="D138" i="15"/>
  <c r="E138" i="15"/>
  <c r="F138" i="15"/>
  <c r="G138" i="15"/>
  <c r="H138" i="15"/>
  <c r="I138" i="15"/>
  <c r="J138" i="15"/>
  <c r="K138" i="15"/>
  <c r="L138" i="15"/>
  <c r="M138" i="15"/>
  <c r="C139" i="15"/>
  <c r="D139" i="15"/>
  <c r="E139" i="15"/>
  <c r="F139" i="15"/>
  <c r="G139" i="15"/>
  <c r="H139" i="15"/>
  <c r="I139" i="15"/>
  <c r="J139" i="15"/>
  <c r="K139" i="15"/>
  <c r="L139" i="15"/>
  <c r="M139" i="15"/>
  <c r="C140" i="15"/>
  <c r="D140" i="15"/>
  <c r="E140" i="15"/>
  <c r="F140" i="15"/>
  <c r="G140" i="15"/>
  <c r="H140" i="15"/>
  <c r="I140" i="15"/>
  <c r="J140" i="15"/>
  <c r="K140" i="15"/>
  <c r="L140" i="15"/>
  <c r="M140" i="15"/>
  <c r="C141" i="15"/>
  <c r="D141" i="15"/>
  <c r="E141" i="15"/>
  <c r="F141" i="15"/>
  <c r="G141" i="15"/>
  <c r="H141" i="15"/>
  <c r="I141" i="15"/>
  <c r="J141" i="15"/>
  <c r="K141" i="15"/>
  <c r="L141" i="15"/>
  <c r="M141" i="15"/>
  <c r="C142" i="15"/>
  <c r="D142" i="15"/>
  <c r="E142" i="15"/>
  <c r="F142" i="15"/>
  <c r="G142" i="15"/>
  <c r="H142" i="15"/>
  <c r="I142" i="15"/>
  <c r="J142" i="15"/>
  <c r="K142" i="15"/>
  <c r="L142" i="15"/>
  <c r="M142" i="15"/>
  <c r="C143" i="15"/>
  <c r="D143" i="15"/>
  <c r="E143" i="15"/>
  <c r="F143" i="15"/>
  <c r="G143" i="15"/>
  <c r="H143" i="15"/>
  <c r="I143" i="15"/>
  <c r="J143" i="15"/>
  <c r="K143" i="15"/>
  <c r="L143" i="15"/>
  <c r="M143" i="15"/>
  <c r="C144" i="15"/>
  <c r="D144" i="15"/>
  <c r="E144" i="15"/>
  <c r="F144" i="15"/>
  <c r="G144" i="15"/>
  <c r="H144" i="15"/>
  <c r="I144" i="15"/>
  <c r="J144" i="15"/>
  <c r="K144" i="15"/>
  <c r="L144" i="15"/>
  <c r="M144" i="15"/>
  <c r="C145" i="15"/>
  <c r="D145" i="15"/>
  <c r="E145" i="15"/>
  <c r="F145" i="15"/>
  <c r="G145" i="15"/>
  <c r="H145" i="15"/>
  <c r="I145" i="15"/>
  <c r="J145" i="15"/>
  <c r="K145" i="15"/>
  <c r="L145" i="15"/>
  <c r="M145" i="15"/>
  <c r="C146" i="15"/>
  <c r="D146" i="15"/>
  <c r="E146" i="15"/>
  <c r="F146" i="15"/>
  <c r="G146" i="15"/>
  <c r="H146" i="15"/>
  <c r="I146" i="15"/>
  <c r="J146" i="15"/>
  <c r="K146" i="15"/>
  <c r="L146" i="15"/>
  <c r="M146" i="15"/>
  <c r="W245" i="28"/>
  <c r="W247" i="28"/>
  <c r="W249" i="28"/>
  <c r="W251" i="28"/>
  <c r="W253" i="28"/>
  <c r="W255" i="28"/>
  <c r="W257" i="28"/>
  <c r="W259" i="28"/>
  <c r="W261" i="28"/>
  <c r="W263" i="28"/>
  <c r="W265" i="28"/>
  <c r="W267" i="28"/>
  <c r="W269" i="28"/>
  <c r="W271" i="28"/>
  <c r="W273" i="28"/>
  <c r="W275" i="28"/>
  <c r="W277" i="28"/>
  <c r="W279" i="28"/>
  <c r="W281" i="28"/>
  <c r="W283" i="28"/>
  <c r="W285" i="28"/>
  <c r="W287" i="28"/>
  <c r="W289" i="28"/>
  <c r="W291" i="28"/>
  <c r="W293" i="28"/>
  <c r="W295" i="28"/>
  <c r="W297" i="28"/>
  <c r="W299" i="28"/>
  <c r="W303" i="28"/>
  <c r="W243" i="28"/>
  <c r="S245" i="28"/>
  <c r="P128" i="15" s="1"/>
  <c r="P128" i="12" s="1"/>
  <c r="S247" i="28"/>
  <c r="P129" i="15" s="1"/>
  <c r="P129" i="12" s="1"/>
  <c r="S249" i="28"/>
  <c r="P130" i="15" s="1"/>
  <c r="P130" i="12" s="1"/>
  <c r="S251" i="28"/>
  <c r="S253" i="28"/>
  <c r="P132" i="15" s="1"/>
  <c r="P132" i="12" s="1"/>
  <c r="S255" i="28"/>
  <c r="P133" i="15" s="1"/>
  <c r="P133" i="12" s="1"/>
  <c r="S257" i="28"/>
  <c r="P134" i="15" s="1"/>
  <c r="P134" i="12" s="1"/>
  <c r="S259" i="28"/>
  <c r="P135" i="15" s="1"/>
  <c r="P135" i="12" s="1"/>
  <c r="S261" i="28"/>
  <c r="P136" i="15" s="1"/>
  <c r="P136" i="12" s="1"/>
  <c r="S263" i="28"/>
  <c r="S265" i="28"/>
  <c r="S267" i="28"/>
  <c r="P139" i="15" s="1"/>
  <c r="P139" i="12" s="1"/>
  <c r="S269" i="28"/>
  <c r="P140" i="15" s="1"/>
  <c r="P140" i="12" s="1"/>
  <c r="S271" i="28"/>
  <c r="P141" i="15" s="1"/>
  <c r="P141" i="12" s="1"/>
  <c r="S273" i="28"/>
  <c r="P142" i="15" s="1"/>
  <c r="P142" i="12" s="1"/>
  <c r="S275" i="28"/>
  <c r="P143" i="15" s="1"/>
  <c r="P143" i="12" s="1"/>
  <c r="S277" i="28"/>
  <c r="P144" i="15" s="1"/>
  <c r="P144" i="12" s="1"/>
  <c r="S279" i="28"/>
  <c r="P145" i="15" s="1"/>
  <c r="P145" i="12" s="1"/>
  <c r="S281" i="28"/>
  <c r="P146" i="15" s="1"/>
  <c r="P146" i="12" s="1"/>
  <c r="S283" i="28"/>
  <c r="P147" i="15" s="1"/>
  <c r="P147" i="12" s="1"/>
  <c r="S285" i="28"/>
  <c r="P148" i="15" s="1"/>
  <c r="P148" i="12" s="1"/>
  <c r="S287" i="28"/>
  <c r="P149" i="15" s="1"/>
  <c r="P149" i="12" s="1"/>
  <c r="S289" i="28"/>
  <c r="P150" i="15" s="1"/>
  <c r="P150" i="12" s="1"/>
  <c r="S291" i="28"/>
  <c r="P151" i="15" s="1"/>
  <c r="P151" i="12" s="1"/>
  <c r="S293" i="28"/>
  <c r="P152" i="15" s="1"/>
  <c r="P152" i="12" s="1"/>
  <c r="S295" i="28"/>
  <c r="P153" i="15" s="1"/>
  <c r="P153" i="12" s="1"/>
  <c r="S297" i="28"/>
  <c r="P154" i="15" s="1"/>
  <c r="P154" i="12" s="1"/>
  <c r="S299" i="28"/>
  <c r="P155" i="15" s="1"/>
  <c r="Q245" i="28"/>
  <c r="Q247" i="28"/>
  <c r="O129" i="15" s="1"/>
  <c r="O129" i="12" s="1"/>
  <c r="Q249" i="28"/>
  <c r="O130" i="15" s="1"/>
  <c r="O130" i="12" s="1"/>
  <c r="Q251" i="28"/>
  <c r="O131" i="15" s="1"/>
  <c r="O131" i="12" s="1"/>
  <c r="Q253" i="28"/>
  <c r="O132" i="15" s="1"/>
  <c r="O132" i="12" s="1"/>
  <c r="Q255" i="28"/>
  <c r="O133" i="15" s="1"/>
  <c r="O133" i="12" s="1"/>
  <c r="Q257" i="28"/>
  <c r="O134" i="15" s="1"/>
  <c r="O134" i="12" s="1"/>
  <c r="Q259" i="28"/>
  <c r="O135" i="15" s="1"/>
  <c r="O135" i="12" s="1"/>
  <c r="Q261" i="28"/>
  <c r="O136" i="15" s="1"/>
  <c r="O136" i="12" s="1"/>
  <c r="Q263" i="28"/>
  <c r="O137" i="15" s="1"/>
  <c r="O137" i="12" s="1"/>
  <c r="Q265" i="28"/>
  <c r="Q267" i="28"/>
  <c r="O139" i="15" s="1"/>
  <c r="O139" i="12" s="1"/>
  <c r="Q269" i="28"/>
  <c r="O140" i="15" s="1"/>
  <c r="O140" i="12" s="1"/>
  <c r="Q271" i="28"/>
  <c r="O141" i="15" s="1"/>
  <c r="O141" i="12" s="1"/>
  <c r="Q273" i="28"/>
  <c r="O142" i="15" s="1"/>
  <c r="O142" i="12" s="1"/>
  <c r="Q275" i="28"/>
  <c r="O143" i="15" s="1"/>
  <c r="O143" i="12" s="1"/>
  <c r="Q277" i="28"/>
  <c r="O144" i="15" s="1"/>
  <c r="O144" i="12" s="1"/>
  <c r="Q279" i="28"/>
  <c r="O145" i="15" s="1"/>
  <c r="O145" i="12" s="1"/>
  <c r="Q281" i="28"/>
  <c r="O146" i="15" s="1"/>
  <c r="O146" i="12" s="1"/>
  <c r="Q283" i="28"/>
  <c r="O147" i="15" s="1"/>
  <c r="O147" i="12" s="1"/>
  <c r="Q285" i="28"/>
  <c r="O148" i="15" s="1"/>
  <c r="O148" i="12" s="1"/>
  <c r="Q287" i="28"/>
  <c r="O149" i="15" s="1"/>
  <c r="O149" i="12" s="1"/>
  <c r="Q289" i="28"/>
  <c r="O150" i="15" s="1"/>
  <c r="O150" i="12" s="1"/>
  <c r="Q291" i="28"/>
  <c r="Q293" i="28"/>
  <c r="O152" i="15" s="1"/>
  <c r="O152" i="12" s="1"/>
  <c r="Q295" i="28"/>
  <c r="Q297" i="28"/>
  <c r="O154" i="15" s="1"/>
  <c r="O154" i="12" s="1"/>
  <c r="Q299" i="28"/>
  <c r="O155" i="15" s="1"/>
  <c r="O245" i="28"/>
  <c r="O247" i="28"/>
  <c r="N129" i="15" s="1"/>
  <c r="N129" i="12" s="1"/>
  <c r="O249" i="28"/>
  <c r="N130" i="15" s="1"/>
  <c r="N130" i="12" s="1"/>
  <c r="O251" i="28"/>
  <c r="N131" i="15" s="1"/>
  <c r="N131" i="12" s="1"/>
  <c r="O253" i="28"/>
  <c r="N132" i="15" s="1"/>
  <c r="N132" i="12" s="1"/>
  <c r="O255" i="28"/>
  <c r="N133" i="15" s="1"/>
  <c r="N133" i="12" s="1"/>
  <c r="O257" i="28"/>
  <c r="N134" i="15" s="1"/>
  <c r="N134" i="12" s="1"/>
  <c r="O259" i="28"/>
  <c r="N135" i="15" s="1"/>
  <c r="N135" i="12" s="1"/>
  <c r="O261" i="28"/>
  <c r="N136" i="15" s="1"/>
  <c r="N136" i="12" s="1"/>
  <c r="O263" i="28"/>
  <c r="N137" i="15" s="1"/>
  <c r="N137" i="12" s="1"/>
  <c r="O265" i="28"/>
  <c r="N138" i="15" s="1"/>
  <c r="N138" i="12" s="1"/>
  <c r="O267" i="28"/>
  <c r="N139" i="15" s="1"/>
  <c r="N139" i="12" s="1"/>
  <c r="O269" i="28"/>
  <c r="N140" i="15" s="1"/>
  <c r="N140" i="12" s="1"/>
  <c r="O271" i="28"/>
  <c r="N141" i="15" s="1"/>
  <c r="N141" i="12" s="1"/>
  <c r="O273" i="28"/>
  <c r="N142" i="15" s="1"/>
  <c r="N142" i="12" s="1"/>
  <c r="O275" i="28"/>
  <c r="N143" i="15" s="1"/>
  <c r="N143" i="12" s="1"/>
  <c r="O277" i="28"/>
  <c r="N144" i="15" s="1"/>
  <c r="N144" i="12" s="1"/>
  <c r="O279" i="28"/>
  <c r="N145" i="15" s="1"/>
  <c r="N145" i="12" s="1"/>
  <c r="O281" i="28"/>
  <c r="N146" i="15" s="1"/>
  <c r="N146" i="12" s="1"/>
  <c r="O283" i="28"/>
  <c r="N147" i="15" s="1"/>
  <c r="N147" i="12" s="1"/>
  <c r="O285" i="28"/>
  <c r="N148" i="15" s="1"/>
  <c r="N148" i="12" s="1"/>
  <c r="O287" i="28"/>
  <c r="N149" i="15" s="1"/>
  <c r="N149" i="12" s="1"/>
  <c r="O289" i="28"/>
  <c r="N150" i="15" s="1"/>
  <c r="N150" i="12" s="1"/>
  <c r="O291" i="28"/>
  <c r="O293" i="28"/>
  <c r="N152" i="15" s="1"/>
  <c r="N152" i="12" s="1"/>
  <c r="O295" i="28"/>
  <c r="N153" i="15" s="1"/>
  <c r="N153" i="12" s="1"/>
  <c r="O297" i="28"/>
  <c r="N154" i="15" s="1"/>
  <c r="N154" i="12" s="1"/>
  <c r="O299" i="28"/>
  <c r="N155" i="15" s="1"/>
  <c r="X12" i="28"/>
  <c r="X13" i="28"/>
  <c r="X14" i="28"/>
  <c r="X15" i="28"/>
  <c r="X16" i="28"/>
  <c r="X17" i="28"/>
  <c r="X18" i="28"/>
  <c r="X19" i="28"/>
  <c r="X20" i="28"/>
  <c r="X21" i="28"/>
  <c r="X22" i="28"/>
  <c r="X23" i="28"/>
  <c r="X24" i="28"/>
  <c r="X25" i="28"/>
  <c r="X26" i="28"/>
  <c r="X27" i="28"/>
  <c r="X28" i="28"/>
  <c r="X29" i="28"/>
  <c r="X30" i="28"/>
  <c r="X31" i="28"/>
  <c r="X32" i="28"/>
  <c r="X33" i="28"/>
  <c r="X34" i="28"/>
  <c r="X35" i="28"/>
  <c r="X36" i="28"/>
  <c r="X37" i="28"/>
  <c r="X38" i="28"/>
  <c r="X39" i="28"/>
  <c r="X40" i="28"/>
  <c r="X41" i="28"/>
  <c r="X42" i="28"/>
  <c r="X43" i="28"/>
  <c r="X44" i="28"/>
  <c r="X45" i="28"/>
  <c r="X46" i="28"/>
  <c r="X47" i="28"/>
  <c r="X48" i="28"/>
  <c r="X49" i="28"/>
  <c r="X50" i="28"/>
  <c r="X51" i="28"/>
  <c r="X52" i="28"/>
  <c r="X53" i="28"/>
  <c r="X54" i="28"/>
  <c r="X55" i="28"/>
  <c r="X56" i="28"/>
  <c r="X57" i="28"/>
  <c r="X58" i="28"/>
  <c r="X59" i="28"/>
  <c r="X60" i="28"/>
  <c r="X61" i="28"/>
  <c r="X62" i="28"/>
  <c r="X63" i="28"/>
  <c r="X64" i="28"/>
  <c r="X65" i="28"/>
  <c r="X66" i="28"/>
  <c r="X67" i="28"/>
  <c r="X68" i="28"/>
  <c r="X69" i="28"/>
  <c r="X70" i="28"/>
  <c r="X71" i="28"/>
  <c r="X72" i="28"/>
  <c r="X73" i="28"/>
  <c r="X74" i="28"/>
  <c r="X75" i="28"/>
  <c r="X76" i="28"/>
  <c r="X77" i="28"/>
  <c r="X78" i="28"/>
  <c r="X79" i="28"/>
  <c r="X80" i="28"/>
  <c r="X81" i="28"/>
  <c r="X82" i="28"/>
  <c r="X83" i="28"/>
  <c r="X84" i="28"/>
  <c r="X85" i="28"/>
  <c r="X86" i="28"/>
  <c r="X87" i="28"/>
  <c r="X88" i="28"/>
  <c r="X89" i="28"/>
  <c r="X90" i="28"/>
  <c r="X91" i="28"/>
  <c r="X92" i="28"/>
  <c r="X93" i="28"/>
  <c r="X94" i="28"/>
  <c r="X95" i="28"/>
  <c r="X96" i="28"/>
  <c r="X97" i="28"/>
  <c r="X98" i="28"/>
  <c r="X99" i="28"/>
  <c r="X100" i="28"/>
  <c r="X101" i="28"/>
  <c r="X102" i="28"/>
  <c r="X103" i="28"/>
  <c r="X104" i="28"/>
  <c r="X105" i="28"/>
  <c r="X106" i="28"/>
  <c r="X107" i="28"/>
  <c r="X108" i="28"/>
  <c r="X109" i="28"/>
  <c r="X110" i="28"/>
  <c r="X111" i="28"/>
  <c r="X112" i="28"/>
  <c r="X113" i="28"/>
  <c r="X114" i="28"/>
  <c r="X115" i="28"/>
  <c r="X116" i="28"/>
  <c r="X117" i="28"/>
  <c r="X118" i="28"/>
  <c r="X119" i="28"/>
  <c r="X120" i="28"/>
  <c r="X121" i="28"/>
  <c r="X122" i="28"/>
  <c r="X123" i="28"/>
  <c r="X124" i="28"/>
  <c r="X125" i="28"/>
  <c r="X126" i="28"/>
  <c r="X127" i="28"/>
  <c r="X128" i="28"/>
  <c r="X129" i="28"/>
  <c r="X130" i="28"/>
  <c r="X131" i="28"/>
  <c r="X132" i="28"/>
  <c r="X133" i="28"/>
  <c r="X134" i="28"/>
  <c r="X135" i="28"/>
  <c r="X136" i="28"/>
  <c r="X137" i="28"/>
  <c r="X138" i="28"/>
  <c r="X139" i="28"/>
  <c r="X140" i="28"/>
  <c r="X141" i="28"/>
  <c r="X142" i="28"/>
  <c r="X143" i="28"/>
  <c r="X144" i="28"/>
  <c r="X145" i="28"/>
  <c r="X146" i="28"/>
  <c r="X147" i="28"/>
  <c r="X148" i="28"/>
  <c r="X149" i="28"/>
  <c r="X150" i="28"/>
  <c r="X151" i="28"/>
  <c r="X152" i="28"/>
  <c r="X153" i="28"/>
  <c r="X154" i="28"/>
  <c r="X155" i="28"/>
  <c r="X156" i="28"/>
  <c r="X157" i="28"/>
  <c r="X158" i="28"/>
  <c r="X159" i="28"/>
  <c r="X160" i="28"/>
  <c r="X161" i="28"/>
  <c r="X162" i="28"/>
  <c r="X163" i="28"/>
  <c r="X164" i="28"/>
  <c r="X165" i="28"/>
  <c r="X166" i="28"/>
  <c r="X167" i="28"/>
  <c r="X168" i="28"/>
  <c r="X169" i="28"/>
  <c r="X170" i="28"/>
  <c r="X171" i="28"/>
  <c r="X172" i="28"/>
  <c r="X173" i="28"/>
  <c r="X174" i="28"/>
  <c r="X175" i="28"/>
  <c r="X176" i="28"/>
  <c r="X177" i="28"/>
  <c r="X178" i="28"/>
  <c r="X179" i="28"/>
  <c r="X180" i="28"/>
  <c r="X181" i="28"/>
  <c r="X182" i="28"/>
  <c r="X183" i="28"/>
  <c r="X184" i="28"/>
  <c r="X185" i="28"/>
  <c r="X186" i="28"/>
  <c r="X187" i="28"/>
  <c r="X188" i="28"/>
  <c r="X189" i="28"/>
  <c r="X190" i="28"/>
  <c r="X191" i="28"/>
  <c r="X192" i="28"/>
  <c r="X193" i="28"/>
  <c r="X194" i="28"/>
  <c r="X195" i="28"/>
  <c r="X196" i="28"/>
  <c r="X197" i="28"/>
  <c r="X198" i="28"/>
  <c r="X199" i="28"/>
  <c r="X200" i="28"/>
  <c r="X201" i="28"/>
  <c r="X202" i="28"/>
  <c r="X203" i="28"/>
  <c r="X204" i="28"/>
  <c r="X205" i="28"/>
  <c r="X206" i="28"/>
  <c r="X207" i="28"/>
  <c r="X208" i="28"/>
  <c r="X209" i="28"/>
  <c r="X210" i="28"/>
  <c r="X211" i="28"/>
  <c r="X212" i="28"/>
  <c r="X213" i="28"/>
  <c r="X214" i="28"/>
  <c r="X215" i="28"/>
  <c r="X216" i="28"/>
  <c r="X217" i="28"/>
  <c r="X218" i="28"/>
  <c r="X219" i="28"/>
  <c r="X220" i="28"/>
  <c r="X221" i="28"/>
  <c r="X222" i="28"/>
  <c r="X223" i="28"/>
  <c r="X224" i="28"/>
  <c r="X225" i="28"/>
  <c r="X226" i="28"/>
  <c r="X227" i="28"/>
  <c r="X228" i="28"/>
  <c r="X229" i="28"/>
  <c r="X230" i="28"/>
  <c r="X231" i="28"/>
  <c r="X232" i="28"/>
  <c r="X233" i="28"/>
  <c r="X234" i="28"/>
  <c r="X235" i="28"/>
  <c r="X236" i="28"/>
  <c r="X237" i="28"/>
  <c r="X238" i="28"/>
  <c r="X239" i="28"/>
  <c r="X240" i="28"/>
  <c r="X241" i="28"/>
  <c r="X242" i="28"/>
  <c r="X243" i="28"/>
  <c r="X244" i="28"/>
  <c r="Y243" i="28" s="1"/>
  <c r="X245" i="28"/>
  <c r="X246" i="28"/>
  <c r="X247" i="28"/>
  <c r="Y247" i="28" s="1"/>
  <c r="X248" i="28"/>
  <c r="X249" i="28"/>
  <c r="X250" i="28"/>
  <c r="X251" i="28"/>
  <c r="X252" i="28"/>
  <c r="X253" i="28"/>
  <c r="Y253" i="28" s="1"/>
  <c r="X254" i="28"/>
  <c r="X255" i="28"/>
  <c r="Y255" i="28" s="1"/>
  <c r="X256" i="28"/>
  <c r="X257" i="28"/>
  <c r="Y257" i="28" s="1"/>
  <c r="X258" i="28"/>
  <c r="X259" i="28"/>
  <c r="X260" i="28"/>
  <c r="X261" i="28"/>
  <c r="X262" i="28"/>
  <c r="X263" i="28"/>
  <c r="Y263" i="28" s="1"/>
  <c r="X264" i="28"/>
  <c r="X265" i="28"/>
  <c r="X266" i="28"/>
  <c r="X267" i="28"/>
  <c r="X268" i="28"/>
  <c r="X269" i="28"/>
  <c r="X270" i="28"/>
  <c r="X271" i="28"/>
  <c r="Y271" i="28" s="1"/>
  <c r="X272" i="28"/>
  <c r="X273" i="28"/>
  <c r="Y273" i="28" s="1"/>
  <c r="X274" i="28"/>
  <c r="X275" i="28"/>
  <c r="X276" i="28"/>
  <c r="X277" i="28"/>
  <c r="X278" i="28"/>
  <c r="X279" i="28"/>
  <c r="Y279" i="28" s="1"/>
  <c r="X280" i="28"/>
  <c r="X281" i="28"/>
  <c r="X282" i="28"/>
  <c r="X283" i="28"/>
  <c r="X284" i="28"/>
  <c r="X285" i="28"/>
  <c r="Y285" i="28" s="1"/>
  <c r="X286" i="28"/>
  <c r="X287" i="28"/>
  <c r="Y287" i="28" s="1"/>
  <c r="X288" i="28"/>
  <c r="X289" i="28"/>
  <c r="Y289" i="28" s="1"/>
  <c r="X290" i="28"/>
  <c r="X291" i="28"/>
  <c r="X292" i="28"/>
  <c r="X293" i="28"/>
  <c r="X294" i="28"/>
  <c r="X295" i="28"/>
  <c r="Y295" i="28" s="1"/>
  <c r="X296" i="28"/>
  <c r="X297" i="28"/>
  <c r="X298" i="28"/>
  <c r="X299" i="28"/>
  <c r="X300" i="28"/>
  <c r="X301" i="28"/>
  <c r="X302" i="28"/>
  <c r="X303" i="28"/>
  <c r="X304" i="28"/>
  <c r="X305" i="28"/>
  <c r="X306" i="28"/>
  <c r="X11" i="28"/>
  <c r="V12" i="28"/>
  <c r="V13" i="28"/>
  <c r="V14" i="28"/>
  <c r="V15" i="28"/>
  <c r="V16" i="28"/>
  <c r="V17" i="28"/>
  <c r="V18" i="28"/>
  <c r="V19" i="28"/>
  <c r="V20" i="28"/>
  <c r="V21" i="28"/>
  <c r="V22" i="28"/>
  <c r="V23" i="28"/>
  <c r="V24" i="28"/>
  <c r="V25" i="28"/>
  <c r="V26" i="28"/>
  <c r="V27" i="28"/>
  <c r="V28" i="28"/>
  <c r="V29" i="28"/>
  <c r="V30" i="28"/>
  <c r="V31" i="28"/>
  <c r="V32" i="28"/>
  <c r="V33" i="28"/>
  <c r="V34" i="28"/>
  <c r="V35" i="28"/>
  <c r="V36" i="28"/>
  <c r="V37" i="28"/>
  <c r="V38" i="28"/>
  <c r="V39" i="28"/>
  <c r="V40" i="28"/>
  <c r="V41" i="28"/>
  <c r="V42" i="28"/>
  <c r="V43" i="28"/>
  <c r="V44" i="28"/>
  <c r="V45" i="28"/>
  <c r="V46" i="28"/>
  <c r="V47" i="28"/>
  <c r="V48" i="28"/>
  <c r="V49" i="28"/>
  <c r="V50" i="28"/>
  <c r="V51" i="28"/>
  <c r="V52" i="28"/>
  <c r="V53" i="28"/>
  <c r="V54" i="28"/>
  <c r="V55" i="28"/>
  <c r="V56" i="28"/>
  <c r="V57" i="28"/>
  <c r="V58" i="28"/>
  <c r="V59" i="28"/>
  <c r="V60" i="28"/>
  <c r="V61" i="28"/>
  <c r="V62" i="28"/>
  <c r="V63" i="28"/>
  <c r="V64" i="28"/>
  <c r="V65" i="28"/>
  <c r="V66" i="28"/>
  <c r="V67" i="28"/>
  <c r="V68" i="28"/>
  <c r="V69" i="28"/>
  <c r="V70" i="28"/>
  <c r="V71" i="28"/>
  <c r="V72" i="28"/>
  <c r="V73" i="28"/>
  <c r="V74" i="28"/>
  <c r="V75" i="28"/>
  <c r="V76" i="28"/>
  <c r="V77" i="28"/>
  <c r="V78" i="28"/>
  <c r="V79" i="28"/>
  <c r="V80" i="28"/>
  <c r="V81" i="28"/>
  <c r="V82" i="28"/>
  <c r="V83" i="28"/>
  <c r="V84" i="28"/>
  <c r="V85" i="28"/>
  <c r="V86" i="28"/>
  <c r="V87" i="28"/>
  <c r="V88" i="28"/>
  <c r="V89" i="28"/>
  <c r="V90" i="28"/>
  <c r="V91" i="28"/>
  <c r="V92" i="28"/>
  <c r="V93" i="28"/>
  <c r="V94" i="28"/>
  <c r="V95" i="28"/>
  <c r="V96" i="28"/>
  <c r="V97" i="28"/>
  <c r="V98" i="28"/>
  <c r="V99" i="28"/>
  <c r="V100" i="28"/>
  <c r="V101" i="28"/>
  <c r="V102" i="28"/>
  <c r="V103" i="28"/>
  <c r="V104" i="28"/>
  <c r="V105" i="28"/>
  <c r="V106" i="28"/>
  <c r="V107" i="28"/>
  <c r="V108" i="28"/>
  <c r="V109" i="28"/>
  <c r="V110" i="28"/>
  <c r="V111" i="28"/>
  <c r="V112" i="28"/>
  <c r="V113" i="28"/>
  <c r="V114" i="28"/>
  <c r="V115" i="28"/>
  <c r="V116" i="28"/>
  <c r="V117" i="28"/>
  <c r="V118" i="28"/>
  <c r="V119" i="28"/>
  <c r="V120" i="28"/>
  <c r="V121" i="28"/>
  <c r="V122" i="28"/>
  <c r="V123" i="28"/>
  <c r="V124" i="28"/>
  <c r="V125" i="28"/>
  <c r="V126" i="28"/>
  <c r="V127" i="28"/>
  <c r="V128" i="28"/>
  <c r="V129" i="28"/>
  <c r="V130" i="28"/>
  <c r="V131" i="28"/>
  <c r="V132" i="28"/>
  <c r="V133" i="28"/>
  <c r="V134" i="28"/>
  <c r="V135" i="28"/>
  <c r="V136" i="28"/>
  <c r="V137" i="28"/>
  <c r="V138" i="28"/>
  <c r="V139" i="28"/>
  <c r="V140" i="28"/>
  <c r="V141" i="28"/>
  <c r="V142" i="28"/>
  <c r="V143" i="28"/>
  <c r="V144" i="28"/>
  <c r="V145" i="28"/>
  <c r="V146" i="28"/>
  <c r="V147" i="28"/>
  <c r="V148" i="28"/>
  <c r="V149" i="28"/>
  <c r="V150" i="28"/>
  <c r="V151" i="28"/>
  <c r="V152" i="28"/>
  <c r="V153" i="28"/>
  <c r="V154" i="28"/>
  <c r="V155" i="28"/>
  <c r="V156" i="28"/>
  <c r="V157" i="28"/>
  <c r="V158" i="28"/>
  <c r="V159" i="28"/>
  <c r="V160" i="28"/>
  <c r="V161" i="28"/>
  <c r="V162" i="28"/>
  <c r="V163" i="28"/>
  <c r="V164" i="28"/>
  <c r="V165" i="28"/>
  <c r="V166" i="28"/>
  <c r="V167" i="28"/>
  <c r="V168" i="28"/>
  <c r="V169" i="28"/>
  <c r="V170" i="28"/>
  <c r="V171" i="28"/>
  <c r="V172" i="28"/>
  <c r="V173" i="28"/>
  <c r="V174" i="28"/>
  <c r="V175" i="28"/>
  <c r="V176" i="28"/>
  <c r="V177" i="28"/>
  <c r="V178" i="28"/>
  <c r="V179" i="28"/>
  <c r="V180" i="28"/>
  <c r="V181" i="28"/>
  <c r="V182" i="28"/>
  <c r="V183" i="28"/>
  <c r="V184" i="28"/>
  <c r="V185" i="28"/>
  <c r="V186" i="28"/>
  <c r="V187" i="28"/>
  <c r="V188" i="28"/>
  <c r="V189" i="28"/>
  <c r="V190" i="28"/>
  <c r="V191" i="28"/>
  <c r="V192" i="28"/>
  <c r="V193" i="28"/>
  <c r="V194" i="28"/>
  <c r="V195" i="28"/>
  <c r="V196" i="28"/>
  <c r="V197" i="28"/>
  <c r="V198" i="28"/>
  <c r="V199" i="28"/>
  <c r="V200" i="28"/>
  <c r="V201" i="28"/>
  <c r="V202" i="28"/>
  <c r="V203" i="28"/>
  <c r="V204" i="28"/>
  <c r="V205" i="28"/>
  <c r="V206" i="28"/>
  <c r="V207" i="28"/>
  <c r="V208" i="28"/>
  <c r="V209" i="28"/>
  <c r="V210" i="28"/>
  <c r="V211" i="28"/>
  <c r="V212" i="28"/>
  <c r="V213" i="28"/>
  <c r="V214" i="28"/>
  <c r="V215" i="28"/>
  <c r="V216" i="28"/>
  <c r="V217" i="28"/>
  <c r="V218" i="28"/>
  <c r="V219" i="28"/>
  <c r="V220" i="28"/>
  <c r="V221" i="28"/>
  <c r="V222" i="28"/>
  <c r="V223" i="28"/>
  <c r="V224" i="28"/>
  <c r="V225" i="28"/>
  <c r="V226" i="28"/>
  <c r="V227" i="28"/>
  <c r="V228" i="28"/>
  <c r="V229" i="28"/>
  <c r="V230" i="28"/>
  <c r="V231" i="28"/>
  <c r="V232" i="28"/>
  <c r="V233" i="28"/>
  <c r="V234" i="28"/>
  <c r="V235" i="28"/>
  <c r="V236" i="28"/>
  <c r="V237" i="28"/>
  <c r="V238" i="28"/>
  <c r="V239" i="28"/>
  <c r="V240" i="28"/>
  <c r="V241" i="28"/>
  <c r="V242" i="28"/>
  <c r="V243" i="28"/>
  <c r="V244" i="28"/>
  <c r="V245" i="28"/>
  <c r="V246" i="28"/>
  <c r="V247" i="28"/>
  <c r="V248" i="28"/>
  <c r="V249" i="28"/>
  <c r="V250" i="28"/>
  <c r="V251" i="28"/>
  <c r="V252" i="28"/>
  <c r="V253" i="28"/>
  <c r="V254" i="28"/>
  <c r="V255" i="28"/>
  <c r="V256" i="28"/>
  <c r="V257" i="28"/>
  <c r="V258" i="28"/>
  <c r="V259" i="28"/>
  <c r="V260" i="28"/>
  <c r="V261" i="28"/>
  <c r="V262" i="28"/>
  <c r="V263" i="28"/>
  <c r="V264" i="28"/>
  <c r="V265" i="28"/>
  <c r="V266" i="28"/>
  <c r="V267" i="28"/>
  <c r="V268" i="28"/>
  <c r="V269" i="28"/>
  <c r="V270" i="28"/>
  <c r="V271" i="28"/>
  <c r="V272" i="28"/>
  <c r="V273" i="28"/>
  <c r="V274" i="28"/>
  <c r="V275" i="28"/>
  <c r="V276" i="28"/>
  <c r="V277" i="28"/>
  <c r="V278" i="28"/>
  <c r="V279" i="28"/>
  <c r="V280" i="28"/>
  <c r="V281" i="28"/>
  <c r="V282" i="28"/>
  <c r="V283" i="28"/>
  <c r="V284" i="28"/>
  <c r="V285" i="28"/>
  <c r="V286" i="28"/>
  <c r="V287" i="28"/>
  <c r="V288" i="28"/>
  <c r="V289" i="28"/>
  <c r="V290" i="28"/>
  <c r="V291" i="28"/>
  <c r="V292" i="28"/>
  <c r="V293" i="28"/>
  <c r="V294" i="28"/>
  <c r="V295" i="28"/>
  <c r="V296" i="28"/>
  <c r="V297" i="28"/>
  <c r="V298" i="28"/>
  <c r="V299" i="28"/>
  <c r="V300" i="28"/>
  <c r="V301" i="28"/>
  <c r="S156" i="15" s="1"/>
  <c r="S156" i="12" s="1"/>
  <c r="V302" i="28"/>
  <c r="V303" i="28"/>
  <c r="V304" i="28"/>
  <c r="V305" i="28"/>
  <c r="S158" i="15" s="1"/>
  <c r="S158" i="12" s="1"/>
  <c r="V306" i="28"/>
  <c r="V11" i="28"/>
  <c r="T12" i="28"/>
  <c r="T13" i="28"/>
  <c r="T14" i="28"/>
  <c r="T15" i="28"/>
  <c r="T16" i="28"/>
  <c r="T17" i="28"/>
  <c r="T18" i="28"/>
  <c r="T19" i="28"/>
  <c r="T20" i="28"/>
  <c r="T21" i="28"/>
  <c r="T22" i="28"/>
  <c r="T23" i="28"/>
  <c r="T24" i="28"/>
  <c r="T25" i="28"/>
  <c r="T26" i="28"/>
  <c r="T27" i="28"/>
  <c r="T28" i="28"/>
  <c r="T29" i="28"/>
  <c r="T30" i="28"/>
  <c r="T31" i="28"/>
  <c r="T32" i="28"/>
  <c r="T33" i="28"/>
  <c r="T34" i="28"/>
  <c r="T35" i="28"/>
  <c r="T36" i="28"/>
  <c r="T37" i="28"/>
  <c r="T38" i="28"/>
  <c r="T39" i="28"/>
  <c r="T40" i="28"/>
  <c r="T41" i="28"/>
  <c r="T42" i="28"/>
  <c r="T43" i="28"/>
  <c r="T44" i="28"/>
  <c r="T45" i="28"/>
  <c r="T46" i="28"/>
  <c r="T47" i="28"/>
  <c r="T48" i="28"/>
  <c r="T49" i="28"/>
  <c r="T50" i="28"/>
  <c r="T51" i="28"/>
  <c r="T52" i="28"/>
  <c r="T53" i="28"/>
  <c r="T54" i="28"/>
  <c r="T55" i="28"/>
  <c r="T56" i="28"/>
  <c r="T57" i="28"/>
  <c r="T58" i="28"/>
  <c r="T59" i="28"/>
  <c r="T60" i="28"/>
  <c r="T61" i="28"/>
  <c r="T62" i="28"/>
  <c r="T63" i="28"/>
  <c r="T64" i="28"/>
  <c r="T65" i="28"/>
  <c r="T66" i="28"/>
  <c r="T67" i="28"/>
  <c r="T68" i="28"/>
  <c r="T69" i="28"/>
  <c r="T70" i="28"/>
  <c r="T71" i="28"/>
  <c r="T72" i="28"/>
  <c r="T73" i="28"/>
  <c r="T74" i="28"/>
  <c r="T75" i="28"/>
  <c r="T76" i="28"/>
  <c r="T77" i="28"/>
  <c r="T78" i="28"/>
  <c r="T79" i="28"/>
  <c r="T80" i="28"/>
  <c r="T81" i="28"/>
  <c r="T82" i="28"/>
  <c r="T83" i="28"/>
  <c r="T84" i="28"/>
  <c r="T85" i="28"/>
  <c r="T86" i="28"/>
  <c r="T87" i="28"/>
  <c r="T88" i="28"/>
  <c r="T89" i="28"/>
  <c r="T90" i="28"/>
  <c r="T91" i="28"/>
  <c r="T92" i="28"/>
  <c r="T93" i="28"/>
  <c r="T94" i="28"/>
  <c r="T95" i="28"/>
  <c r="T96" i="28"/>
  <c r="T97" i="28"/>
  <c r="T98" i="28"/>
  <c r="T99" i="28"/>
  <c r="T100" i="28"/>
  <c r="T101" i="28"/>
  <c r="T102" i="28"/>
  <c r="T103" i="28"/>
  <c r="T104" i="28"/>
  <c r="T105" i="28"/>
  <c r="T106" i="28"/>
  <c r="T107" i="28"/>
  <c r="T108" i="28"/>
  <c r="T109" i="28"/>
  <c r="T110" i="28"/>
  <c r="T111" i="28"/>
  <c r="T112" i="28"/>
  <c r="T113" i="28"/>
  <c r="T114" i="28"/>
  <c r="T115" i="28"/>
  <c r="T116" i="28"/>
  <c r="T117" i="28"/>
  <c r="T118" i="28"/>
  <c r="T119" i="28"/>
  <c r="T120" i="28"/>
  <c r="T121" i="28"/>
  <c r="T122" i="28"/>
  <c r="T123" i="28"/>
  <c r="T124" i="28"/>
  <c r="T125" i="28"/>
  <c r="T126" i="28"/>
  <c r="T127" i="28"/>
  <c r="T128" i="28"/>
  <c r="T129" i="28"/>
  <c r="T130" i="28"/>
  <c r="T131" i="28"/>
  <c r="T132" i="28"/>
  <c r="T133" i="28"/>
  <c r="T134" i="28"/>
  <c r="T135" i="28"/>
  <c r="T136" i="28"/>
  <c r="T137" i="28"/>
  <c r="T138" i="28"/>
  <c r="T139" i="28"/>
  <c r="T140" i="28"/>
  <c r="T141" i="28"/>
  <c r="T142" i="28"/>
  <c r="T143" i="28"/>
  <c r="T144" i="28"/>
  <c r="T145" i="28"/>
  <c r="T146" i="28"/>
  <c r="T147" i="28"/>
  <c r="T148" i="28"/>
  <c r="T149" i="28"/>
  <c r="T150" i="28"/>
  <c r="T151" i="28"/>
  <c r="T152" i="28"/>
  <c r="T153" i="28"/>
  <c r="T154" i="28"/>
  <c r="T155" i="28"/>
  <c r="T156" i="28"/>
  <c r="T157" i="28"/>
  <c r="T158" i="28"/>
  <c r="T159" i="28"/>
  <c r="T160" i="28"/>
  <c r="T161" i="28"/>
  <c r="T162" i="28"/>
  <c r="T163" i="28"/>
  <c r="T164" i="28"/>
  <c r="T165" i="28"/>
  <c r="T166" i="28"/>
  <c r="T167" i="28"/>
  <c r="T168" i="28"/>
  <c r="T169" i="28"/>
  <c r="T170" i="28"/>
  <c r="T171" i="28"/>
  <c r="T172" i="28"/>
  <c r="T173" i="28"/>
  <c r="T174" i="28"/>
  <c r="T175" i="28"/>
  <c r="T176" i="28"/>
  <c r="T177" i="28"/>
  <c r="T178" i="28"/>
  <c r="T179" i="28"/>
  <c r="T180" i="28"/>
  <c r="T181" i="28"/>
  <c r="T182" i="28"/>
  <c r="T183" i="28"/>
  <c r="T184" i="28"/>
  <c r="T185" i="28"/>
  <c r="T186" i="28"/>
  <c r="T187" i="28"/>
  <c r="T188" i="28"/>
  <c r="T189" i="28"/>
  <c r="T190" i="28"/>
  <c r="T191" i="28"/>
  <c r="T192" i="28"/>
  <c r="T193" i="28"/>
  <c r="T194" i="28"/>
  <c r="T195" i="28"/>
  <c r="T196" i="28"/>
  <c r="T197" i="28"/>
  <c r="T198" i="28"/>
  <c r="T199" i="28"/>
  <c r="T200" i="28"/>
  <c r="T201" i="28"/>
  <c r="T202" i="28"/>
  <c r="T203" i="28"/>
  <c r="T204" i="28"/>
  <c r="T205" i="28"/>
  <c r="T206" i="28"/>
  <c r="T207" i="28"/>
  <c r="T208" i="28"/>
  <c r="T209" i="28"/>
  <c r="T210" i="28"/>
  <c r="T211" i="28"/>
  <c r="T212" i="28"/>
  <c r="T213" i="28"/>
  <c r="T214" i="28"/>
  <c r="T215" i="28"/>
  <c r="T216" i="28"/>
  <c r="T217" i="28"/>
  <c r="T218" i="28"/>
  <c r="T219" i="28"/>
  <c r="T220" i="28"/>
  <c r="T221" i="28"/>
  <c r="T222" i="28"/>
  <c r="T223" i="28"/>
  <c r="T224" i="28"/>
  <c r="T225" i="28"/>
  <c r="T226" i="28"/>
  <c r="T227" i="28"/>
  <c r="T228" i="28"/>
  <c r="T229" i="28"/>
  <c r="T230" i="28"/>
  <c r="T231" i="28"/>
  <c r="T232" i="28"/>
  <c r="T233" i="28"/>
  <c r="T234" i="28"/>
  <c r="T235" i="28"/>
  <c r="T236" i="28"/>
  <c r="T237" i="28"/>
  <c r="T238" i="28"/>
  <c r="T239" i="28"/>
  <c r="T240" i="28"/>
  <c r="T241" i="28"/>
  <c r="Q126" i="15" s="1"/>
  <c r="Q126" i="12" s="1"/>
  <c r="T242" i="28"/>
  <c r="T243" i="28"/>
  <c r="Q127" i="15" s="1"/>
  <c r="Q127" i="12" s="1"/>
  <c r="T244" i="28"/>
  <c r="T245" i="28"/>
  <c r="Q128" i="15" s="1"/>
  <c r="Q128" i="12" s="1"/>
  <c r="T246" i="28"/>
  <c r="T247" i="28"/>
  <c r="Q129" i="15" s="1"/>
  <c r="Q129" i="12" s="1"/>
  <c r="T248" i="28"/>
  <c r="T249" i="28"/>
  <c r="Q130" i="15" s="1"/>
  <c r="Q130" i="12" s="1"/>
  <c r="T250" i="28"/>
  <c r="T251" i="28"/>
  <c r="T252" i="28"/>
  <c r="T253" i="28"/>
  <c r="Q132" i="15" s="1"/>
  <c r="Q132" i="12" s="1"/>
  <c r="T254" i="28"/>
  <c r="T255" i="28"/>
  <c r="U255" i="28" s="1"/>
  <c r="R133" i="15" s="1"/>
  <c r="R133" i="12" s="1"/>
  <c r="T256" i="28"/>
  <c r="T257" i="28"/>
  <c r="U257" i="28" s="1"/>
  <c r="R134" i="15" s="1"/>
  <c r="R134" i="12" s="1"/>
  <c r="T258" i="28"/>
  <c r="T259" i="28"/>
  <c r="Q135" i="15" s="1"/>
  <c r="Q135" i="12" s="1"/>
  <c r="T260" i="28"/>
  <c r="T261" i="28"/>
  <c r="U261" i="28" s="1"/>
  <c r="R136" i="15" s="1"/>
  <c r="R136" i="12" s="1"/>
  <c r="T262" i="28"/>
  <c r="T263" i="28"/>
  <c r="U263" i="28" s="1"/>
  <c r="R137" i="15" s="1"/>
  <c r="R137" i="12" s="1"/>
  <c r="T264" i="28"/>
  <c r="T265" i="28"/>
  <c r="Q138" i="15" s="1"/>
  <c r="Q138" i="12" s="1"/>
  <c r="T266" i="28"/>
  <c r="T267" i="28"/>
  <c r="T268" i="28"/>
  <c r="T269" i="28"/>
  <c r="T270" i="28"/>
  <c r="T271" i="28"/>
  <c r="Q141" i="15" s="1"/>
  <c r="Q141" i="12" s="1"/>
  <c r="T272" i="28"/>
  <c r="T273" i="28"/>
  <c r="U273" i="28" s="1"/>
  <c r="R142" i="15" s="1"/>
  <c r="R142" i="12" s="1"/>
  <c r="T274" i="28"/>
  <c r="T275" i="28"/>
  <c r="Q143" i="15" s="1"/>
  <c r="Q143" i="12" s="1"/>
  <c r="T276" i="28"/>
  <c r="T277" i="28"/>
  <c r="Q144" i="15" s="1"/>
  <c r="Q144" i="12" s="1"/>
  <c r="T278" i="28"/>
  <c r="T279" i="28"/>
  <c r="Q145" i="15" s="1"/>
  <c r="Q145" i="12" s="1"/>
  <c r="T280" i="28"/>
  <c r="T281" i="28"/>
  <c r="Q146" i="15" s="1"/>
  <c r="Q146" i="12" s="1"/>
  <c r="T282" i="28"/>
  <c r="T283" i="28"/>
  <c r="T284" i="28"/>
  <c r="T285" i="28"/>
  <c r="T286" i="28"/>
  <c r="T287" i="28"/>
  <c r="U287" i="28" s="1"/>
  <c r="R149" i="15" s="1"/>
  <c r="R149" i="12" s="1"/>
  <c r="T288" i="28"/>
  <c r="T289" i="28"/>
  <c r="U289" i="28" s="1"/>
  <c r="R150" i="15" s="1"/>
  <c r="R150" i="12" s="1"/>
  <c r="T290" i="28"/>
  <c r="T291" i="28"/>
  <c r="Q151" i="15" s="1"/>
  <c r="Q151" i="12" s="1"/>
  <c r="T292" i="28"/>
  <c r="T293" i="28"/>
  <c r="U293" i="28" s="1"/>
  <c r="R152" i="15" s="1"/>
  <c r="R152" i="12" s="1"/>
  <c r="T294" i="28"/>
  <c r="T295" i="28"/>
  <c r="Q153" i="15" s="1"/>
  <c r="Q153" i="12" s="1"/>
  <c r="T296" i="28"/>
  <c r="T297" i="28"/>
  <c r="U297" i="28" s="1"/>
  <c r="R154" i="15" s="1"/>
  <c r="R154" i="12" s="1"/>
  <c r="T298" i="28"/>
  <c r="T299" i="28"/>
  <c r="T300" i="28"/>
  <c r="T301" i="28"/>
  <c r="T302" i="28"/>
  <c r="T303" i="28"/>
  <c r="T304" i="28"/>
  <c r="T305" i="28"/>
  <c r="Q158" i="15" s="1"/>
  <c r="Q158" i="12" s="1"/>
  <c r="T306" i="28"/>
  <c r="T11" i="28"/>
  <c r="R12" i="28"/>
  <c r="R13" i="28"/>
  <c r="R14" i="28"/>
  <c r="R15" i="28"/>
  <c r="R16" i="28"/>
  <c r="R17" i="28"/>
  <c r="R18" i="28"/>
  <c r="R19" i="28"/>
  <c r="R20" i="28"/>
  <c r="R21" i="28"/>
  <c r="R22" i="28"/>
  <c r="R23" i="28"/>
  <c r="R24" i="28"/>
  <c r="R25" i="28"/>
  <c r="R26" i="28"/>
  <c r="R27" i="28"/>
  <c r="R28" i="28"/>
  <c r="R29" i="28"/>
  <c r="R30" i="28"/>
  <c r="R31" i="28"/>
  <c r="R32" i="28"/>
  <c r="R33" i="28"/>
  <c r="R34" i="28"/>
  <c r="R35" i="28"/>
  <c r="R36" i="28"/>
  <c r="R37" i="28"/>
  <c r="R38" i="28"/>
  <c r="R39" i="28"/>
  <c r="R40" i="28"/>
  <c r="R41" i="28"/>
  <c r="R42" i="28"/>
  <c r="R43" i="28"/>
  <c r="R44" i="28"/>
  <c r="R45" i="28"/>
  <c r="R46" i="28"/>
  <c r="R47" i="28"/>
  <c r="R48" i="28"/>
  <c r="R49" i="28"/>
  <c r="R50" i="28"/>
  <c r="R51" i="28"/>
  <c r="R52" i="28"/>
  <c r="R53" i="28"/>
  <c r="R54" i="28"/>
  <c r="R55" i="28"/>
  <c r="R56" i="28"/>
  <c r="R57" i="28"/>
  <c r="R58" i="28"/>
  <c r="R59" i="28"/>
  <c r="R60" i="28"/>
  <c r="R61" i="28"/>
  <c r="R62" i="28"/>
  <c r="R63" i="28"/>
  <c r="R64" i="28"/>
  <c r="R65" i="28"/>
  <c r="R66" i="28"/>
  <c r="R67" i="28"/>
  <c r="R68" i="28"/>
  <c r="R69" i="28"/>
  <c r="R70" i="28"/>
  <c r="R71" i="28"/>
  <c r="R72" i="28"/>
  <c r="R73" i="28"/>
  <c r="R74" i="28"/>
  <c r="R75" i="28"/>
  <c r="R76" i="28"/>
  <c r="R77" i="28"/>
  <c r="R78" i="28"/>
  <c r="R79" i="28"/>
  <c r="R80" i="28"/>
  <c r="R81" i="28"/>
  <c r="R82" i="28"/>
  <c r="R83" i="28"/>
  <c r="R84" i="28"/>
  <c r="R85" i="28"/>
  <c r="R86" i="28"/>
  <c r="R87" i="28"/>
  <c r="R88" i="28"/>
  <c r="R89" i="28"/>
  <c r="R90" i="28"/>
  <c r="R91" i="28"/>
  <c r="R92" i="28"/>
  <c r="R93" i="28"/>
  <c r="R94" i="28"/>
  <c r="R95" i="28"/>
  <c r="R96" i="28"/>
  <c r="R97" i="28"/>
  <c r="R98" i="28"/>
  <c r="R99" i="28"/>
  <c r="R100" i="28"/>
  <c r="R101" i="28"/>
  <c r="R102" i="28"/>
  <c r="R103" i="28"/>
  <c r="R104" i="28"/>
  <c r="R105" i="28"/>
  <c r="R106" i="28"/>
  <c r="R107" i="28"/>
  <c r="R108" i="28"/>
  <c r="R109" i="28"/>
  <c r="R110" i="28"/>
  <c r="R111" i="28"/>
  <c r="R112" i="28"/>
  <c r="R113" i="28"/>
  <c r="R114" i="28"/>
  <c r="R115" i="28"/>
  <c r="R116" i="28"/>
  <c r="R117" i="28"/>
  <c r="R118" i="28"/>
  <c r="R119" i="28"/>
  <c r="R120" i="28"/>
  <c r="R121" i="28"/>
  <c r="R122" i="28"/>
  <c r="R123" i="28"/>
  <c r="R124" i="28"/>
  <c r="R125" i="28"/>
  <c r="R126" i="28"/>
  <c r="R127" i="28"/>
  <c r="R128" i="28"/>
  <c r="R129" i="28"/>
  <c r="R130" i="28"/>
  <c r="R131" i="28"/>
  <c r="R132" i="28"/>
  <c r="R133" i="28"/>
  <c r="R134" i="28"/>
  <c r="R135" i="28"/>
  <c r="R136" i="28"/>
  <c r="R137" i="28"/>
  <c r="R138" i="28"/>
  <c r="R139" i="28"/>
  <c r="R140" i="28"/>
  <c r="R141" i="28"/>
  <c r="R142" i="28"/>
  <c r="R143" i="28"/>
  <c r="R144" i="28"/>
  <c r="R145" i="28"/>
  <c r="R146" i="28"/>
  <c r="R147" i="28"/>
  <c r="R148" i="28"/>
  <c r="R149" i="28"/>
  <c r="R150" i="28"/>
  <c r="R151" i="28"/>
  <c r="R152" i="28"/>
  <c r="R153" i="28"/>
  <c r="R154" i="28"/>
  <c r="R155" i="28"/>
  <c r="R156" i="28"/>
  <c r="R157" i="28"/>
  <c r="R158" i="28"/>
  <c r="R159" i="28"/>
  <c r="R160" i="28"/>
  <c r="R161" i="28"/>
  <c r="R162" i="28"/>
  <c r="R163" i="28"/>
  <c r="R164" i="28"/>
  <c r="R165" i="28"/>
  <c r="R166" i="28"/>
  <c r="R167" i="28"/>
  <c r="R168" i="28"/>
  <c r="R169" i="28"/>
  <c r="R170" i="28"/>
  <c r="R171" i="28"/>
  <c r="R172" i="28"/>
  <c r="R173" i="28"/>
  <c r="R174" i="28"/>
  <c r="R175" i="28"/>
  <c r="R176" i="28"/>
  <c r="R177" i="28"/>
  <c r="R178" i="28"/>
  <c r="R179" i="28"/>
  <c r="R180" i="28"/>
  <c r="R181" i="28"/>
  <c r="R182" i="28"/>
  <c r="R183" i="28"/>
  <c r="R184" i="28"/>
  <c r="R185" i="28"/>
  <c r="R186" i="28"/>
  <c r="R187" i="28"/>
  <c r="R188" i="28"/>
  <c r="R189" i="28"/>
  <c r="R190" i="28"/>
  <c r="R191" i="28"/>
  <c r="R192" i="28"/>
  <c r="R193" i="28"/>
  <c r="R194" i="28"/>
  <c r="R195" i="28"/>
  <c r="R196" i="28"/>
  <c r="R197" i="28"/>
  <c r="R198" i="28"/>
  <c r="R199" i="28"/>
  <c r="R200" i="28"/>
  <c r="R201" i="28"/>
  <c r="R202" i="28"/>
  <c r="R203" i="28"/>
  <c r="R204" i="28"/>
  <c r="R205" i="28"/>
  <c r="R206" i="28"/>
  <c r="R207" i="28"/>
  <c r="R208" i="28"/>
  <c r="R209" i="28"/>
  <c r="R210" i="28"/>
  <c r="R211" i="28"/>
  <c r="R212" i="28"/>
  <c r="R213" i="28"/>
  <c r="R214" i="28"/>
  <c r="R215" i="28"/>
  <c r="R216" i="28"/>
  <c r="R217" i="28"/>
  <c r="R218" i="28"/>
  <c r="R219" i="28"/>
  <c r="R220" i="28"/>
  <c r="R221" i="28"/>
  <c r="R222" i="28"/>
  <c r="R223" i="28"/>
  <c r="R224" i="28"/>
  <c r="R225" i="28"/>
  <c r="R226" i="28"/>
  <c r="R227" i="28"/>
  <c r="R228" i="28"/>
  <c r="R229" i="28"/>
  <c r="R230" i="28"/>
  <c r="R231" i="28"/>
  <c r="R232" i="28"/>
  <c r="R233" i="28"/>
  <c r="R234" i="28"/>
  <c r="R235" i="28"/>
  <c r="R236" i="28"/>
  <c r="R237" i="28"/>
  <c r="R238" i="28"/>
  <c r="R239" i="28"/>
  <c r="R240" i="28"/>
  <c r="R241" i="28"/>
  <c r="R242" i="28"/>
  <c r="R243" i="28"/>
  <c r="R244" i="28"/>
  <c r="R245" i="28"/>
  <c r="R246" i="28"/>
  <c r="R247" i="28"/>
  <c r="R248" i="28"/>
  <c r="R249" i="28"/>
  <c r="R250" i="28"/>
  <c r="R251" i="28"/>
  <c r="R252" i="28"/>
  <c r="R253" i="28"/>
  <c r="R254" i="28"/>
  <c r="R255" i="28"/>
  <c r="R256" i="28"/>
  <c r="R257" i="28"/>
  <c r="R258" i="28"/>
  <c r="R259" i="28"/>
  <c r="R260" i="28"/>
  <c r="R261" i="28"/>
  <c r="R262" i="28"/>
  <c r="R263" i="28"/>
  <c r="R264" i="28"/>
  <c r="R265" i="28"/>
  <c r="R266" i="28"/>
  <c r="R267" i="28"/>
  <c r="R268" i="28"/>
  <c r="R269" i="28"/>
  <c r="R270" i="28"/>
  <c r="R271" i="28"/>
  <c r="R272" i="28"/>
  <c r="R273" i="28"/>
  <c r="R274" i="28"/>
  <c r="R275" i="28"/>
  <c r="R276" i="28"/>
  <c r="R277" i="28"/>
  <c r="R278" i="28"/>
  <c r="R279" i="28"/>
  <c r="R280" i="28"/>
  <c r="R281" i="28"/>
  <c r="R282" i="28"/>
  <c r="R283" i="28"/>
  <c r="R284" i="28"/>
  <c r="R285" i="28"/>
  <c r="R286" i="28"/>
  <c r="R287" i="28"/>
  <c r="R288" i="28"/>
  <c r="R289" i="28"/>
  <c r="R290" i="28"/>
  <c r="R291" i="28"/>
  <c r="R292" i="28"/>
  <c r="R293" i="28"/>
  <c r="R294" i="28"/>
  <c r="R295" i="28"/>
  <c r="R296" i="28"/>
  <c r="R297" i="28"/>
  <c r="R298" i="28"/>
  <c r="R299" i="28"/>
  <c r="R300" i="28"/>
  <c r="R301" i="28"/>
  <c r="R302" i="28"/>
  <c r="R303" i="28"/>
  <c r="R304" i="28"/>
  <c r="S303" i="28" s="1"/>
  <c r="P157" i="15" s="1"/>
  <c r="P157" i="12" s="1"/>
  <c r="R305" i="28"/>
  <c r="R306" i="28"/>
  <c r="P12" i="28"/>
  <c r="P13" i="28"/>
  <c r="P14" i="28"/>
  <c r="P15" i="28"/>
  <c r="P16" i="28"/>
  <c r="P17" i="28"/>
  <c r="P18" i="28"/>
  <c r="P19" i="28"/>
  <c r="P20" i="28"/>
  <c r="P21" i="28"/>
  <c r="P22" i="28"/>
  <c r="P23" i="28"/>
  <c r="P24" i="28"/>
  <c r="P25" i="28"/>
  <c r="P26" i="28"/>
  <c r="P27" i="28"/>
  <c r="P28" i="28"/>
  <c r="P29" i="28"/>
  <c r="P30" i="28"/>
  <c r="P31" i="28"/>
  <c r="P32" i="28"/>
  <c r="P33" i="28"/>
  <c r="P34" i="28"/>
  <c r="P35" i="28"/>
  <c r="P36" i="28"/>
  <c r="P37" i="28"/>
  <c r="P38" i="28"/>
  <c r="P39" i="28"/>
  <c r="P40" i="28"/>
  <c r="P41" i="28"/>
  <c r="P42" i="28"/>
  <c r="P43" i="28"/>
  <c r="P44" i="28"/>
  <c r="P45" i="28"/>
  <c r="P46" i="28"/>
  <c r="P47" i="28"/>
  <c r="P48" i="28"/>
  <c r="P49" i="28"/>
  <c r="P50" i="28"/>
  <c r="P51" i="28"/>
  <c r="P52" i="28"/>
  <c r="P53" i="28"/>
  <c r="P54" i="28"/>
  <c r="P55" i="28"/>
  <c r="P56" i="28"/>
  <c r="P57" i="28"/>
  <c r="P58" i="28"/>
  <c r="P59" i="28"/>
  <c r="P60" i="28"/>
  <c r="P61" i="28"/>
  <c r="P62" i="28"/>
  <c r="P63" i="28"/>
  <c r="P64" i="28"/>
  <c r="P65" i="28"/>
  <c r="P66" i="28"/>
  <c r="P67" i="28"/>
  <c r="P68" i="28"/>
  <c r="P69" i="28"/>
  <c r="P70" i="28"/>
  <c r="P71" i="28"/>
  <c r="P72" i="28"/>
  <c r="P73" i="28"/>
  <c r="P74" i="28"/>
  <c r="P75" i="28"/>
  <c r="P76" i="28"/>
  <c r="P77" i="28"/>
  <c r="P78" i="28"/>
  <c r="P79" i="28"/>
  <c r="P80" i="28"/>
  <c r="P81" i="28"/>
  <c r="P82" i="28"/>
  <c r="P83" i="28"/>
  <c r="P84" i="28"/>
  <c r="P85" i="28"/>
  <c r="P86" i="28"/>
  <c r="P87" i="28"/>
  <c r="P88" i="28"/>
  <c r="P89" i="28"/>
  <c r="P90" i="28"/>
  <c r="P91" i="28"/>
  <c r="P92" i="28"/>
  <c r="P93" i="28"/>
  <c r="P94" i="28"/>
  <c r="P95" i="28"/>
  <c r="P96" i="28"/>
  <c r="P97" i="28"/>
  <c r="P98" i="28"/>
  <c r="P99" i="28"/>
  <c r="P100" i="28"/>
  <c r="P101" i="28"/>
  <c r="P102" i="28"/>
  <c r="P103" i="28"/>
  <c r="P104" i="28"/>
  <c r="P105" i="28"/>
  <c r="P106" i="28"/>
  <c r="P107" i="28"/>
  <c r="P108" i="28"/>
  <c r="P109" i="28"/>
  <c r="P110" i="28"/>
  <c r="P111" i="28"/>
  <c r="P112" i="28"/>
  <c r="P113" i="28"/>
  <c r="P114" i="28"/>
  <c r="P115" i="28"/>
  <c r="P116" i="28"/>
  <c r="P117" i="28"/>
  <c r="P118" i="28"/>
  <c r="P119" i="28"/>
  <c r="P120" i="28"/>
  <c r="P121" i="28"/>
  <c r="P122" i="28"/>
  <c r="P123" i="28"/>
  <c r="P124" i="28"/>
  <c r="P125" i="28"/>
  <c r="P126" i="28"/>
  <c r="P127" i="28"/>
  <c r="P128" i="28"/>
  <c r="P129" i="28"/>
  <c r="P130" i="28"/>
  <c r="P131" i="28"/>
  <c r="P132" i="28"/>
  <c r="P133" i="28"/>
  <c r="P134" i="28"/>
  <c r="P135" i="28"/>
  <c r="P136" i="28"/>
  <c r="P137" i="28"/>
  <c r="P138" i="28"/>
  <c r="P139" i="28"/>
  <c r="P140" i="28"/>
  <c r="P141" i="28"/>
  <c r="P142" i="28"/>
  <c r="P143" i="28"/>
  <c r="P144" i="28"/>
  <c r="P145" i="28"/>
  <c r="P146" i="28"/>
  <c r="P147" i="28"/>
  <c r="P148" i="28"/>
  <c r="P149" i="28"/>
  <c r="P150" i="28"/>
  <c r="P151" i="28"/>
  <c r="P152" i="28"/>
  <c r="P153" i="28"/>
  <c r="P154" i="28"/>
  <c r="P155" i="28"/>
  <c r="P156" i="28"/>
  <c r="P157" i="28"/>
  <c r="P158" i="28"/>
  <c r="P159" i="28"/>
  <c r="P160" i="28"/>
  <c r="P161" i="28"/>
  <c r="P162" i="28"/>
  <c r="P163" i="28"/>
  <c r="P164" i="28"/>
  <c r="P165" i="28"/>
  <c r="P166" i="28"/>
  <c r="P167" i="28"/>
  <c r="P168" i="28"/>
  <c r="P169" i="28"/>
  <c r="P170" i="28"/>
  <c r="P171" i="28"/>
  <c r="P172" i="28"/>
  <c r="P173" i="28"/>
  <c r="P174" i="28"/>
  <c r="P175" i="28"/>
  <c r="P176" i="28"/>
  <c r="P177" i="28"/>
  <c r="P178" i="28"/>
  <c r="P179" i="28"/>
  <c r="P180" i="28"/>
  <c r="P181" i="28"/>
  <c r="P182" i="28"/>
  <c r="P183" i="28"/>
  <c r="P184" i="28"/>
  <c r="P185" i="28"/>
  <c r="P186" i="28"/>
  <c r="P187" i="28"/>
  <c r="P188" i="28"/>
  <c r="P189" i="28"/>
  <c r="P190" i="28"/>
  <c r="P191" i="28"/>
  <c r="P192" i="28"/>
  <c r="P193" i="28"/>
  <c r="P194" i="28"/>
  <c r="P195" i="28"/>
  <c r="P196" i="28"/>
  <c r="P197" i="28"/>
  <c r="P198" i="28"/>
  <c r="P199" i="28"/>
  <c r="P200" i="28"/>
  <c r="P201" i="28"/>
  <c r="P202" i="28"/>
  <c r="P203" i="28"/>
  <c r="P204" i="28"/>
  <c r="P205" i="28"/>
  <c r="P206" i="28"/>
  <c r="P207" i="28"/>
  <c r="P208" i="28"/>
  <c r="P209" i="28"/>
  <c r="P210" i="28"/>
  <c r="P211" i="28"/>
  <c r="P212" i="28"/>
  <c r="P213" i="28"/>
  <c r="P214" i="28"/>
  <c r="P215" i="28"/>
  <c r="P216" i="28"/>
  <c r="P217" i="28"/>
  <c r="P218" i="28"/>
  <c r="P219" i="28"/>
  <c r="P220" i="28"/>
  <c r="P221" i="28"/>
  <c r="P222" i="28"/>
  <c r="P223" i="28"/>
  <c r="P224" i="28"/>
  <c r="P225" i="28"/>
  <c r="P226" i="28"/>
  <c r="P227" i="28"/>
  <c r="P228" i="28"/>
  <c r="P229" i="28"/>
  <c r="P230" i="28"/>
  <c r="P231" i="28"/>
  <c r="P232" i="28"/>
  <c r="P233" i="28"/>
  <c r="P234" i="28"/>
  <c r="P235" i="28"/>
  <c r="P236" i="28"/>
  <c r="P237" i="28"/>
  <c r="P238" i="28"/>
  <c r="P239" i="28"/>
  <c r="P240" i="28"/>
  <c r="P241" i="28"/>
  <c r="P242" i="28"/>
  <c r="P243" i="28"/>
  <c r="P244" i="28"/>
  <c r="P245" i="28"/>
  <c r="P246" i="28"/>
  <c r="P247" i="28"/>
  <c r="P248" i="28"/>
  <c r="P249" i="28"/>
  <c r="P250" i="28"/>
  <c r="P251" i="28"/>
  <c r="P252" i="28"/>
  <c r="P253" i="28"/>
  <c r="P254" i="28"/>
  <c r="P255" i="28"/>
  <c r="P256" i="28"/>
  <c r="P257" i="28"/>
  <c r="P258" i="28"/>
  <c r="P259" i="28"/>
  <c r="P260" i="28"/>
  <c r="P261" i="28"/>
  <c r="P262" i="28"/>
  <c r="P263" i="28"/>
  <c r="P264" i="28"/>
  <c r="P265" i="28"/>
  <c r="P266" i="28"/>
  <c r="P267" i="28"/>
  <c r="P268" i="28"/>
  <c r="P269" i="28"/>
  <c r="P270" i="28"/>
  <c r="P271" i="28"/>
  <c r="P272" i="28"/>
  <c r="P273" i="28"/>
  <c r="P274" i="28"/>
  <c r="P275" i="28"/>
  <c r="P276" i="28"/>
  <c r="P277" i="28"/>
  <c r="P278" i="28"/>
  <c r="P279" i="28"/>
  <c r="P280" i="28"/>
  <c r="P281" i="28"/>
  <c r="P282" i="28"/>
  <c r="P283" i="28"/>
  <c r="P284" i="28"/>
  <c r="P285" i="28"/>
  <c r="P286" i="28"/>
  <c r="P287" i="28"/>
  <c r="P288" i="28"/>
  <c r="P289" i="28"/>
  <c r="P290" i="28"/>
  <c r="P291" i="28"/>
  <c r="P292" i="28"/>
  <c r="P293" i="28"/>
  <c r="P294" i="28"/>
  <c r="P295" i="28"/>
  <c r="P296" i="28"/>
  <c r="P297" i="28"/>
  <c r="P298" i="28"/>
  <c r="P299" i="28"/>
  <c r="P300" i="28"/>
  <c r="P301" i="28"/>
  <c r="P302" i="28"/>
  <c r="P303" i="28"/>
  <c r="P304" i="28"/>
  <c r="P305" i="28"/>
  <c r="Q305" i="28" s="1"/>
  <c r="O158" i="15" s="1"/>
  <c r="O158" i="12" s="1"/>
  <c r="P306" i="28"/>
  <c r="N12" i="28"/>
  <c r="N13" i="28"/>
  <c r="N14" i="28"/>
  <c r="N15" i="28"/>
  <c r="N16" i="28"/>
  <c r="N17" i="28"/>
  <c r="N18" i="28"/>
  <c r="N19" i="28"/>
  <c r="N20" i="28"/>
  <c r="N21" i="28"/>
  <c r="N22" i="28"/>
  <c r="N23" i="28"/>
  <c r="N24" i="28"/>
  <c r="N25" i="28"/>
  <c r="N26" i="28"/>
  <c r="N27" i="28"/>
  <c r="N28" i="28"/>
  <c r="N29" i="28"/>
  <c r="N30" i="28"/>
  <c r="N31" i="28"/>
  <c r="N32" i="28"/>
  <c r="N33" i="28"/>
  <c r="N34" i="28"/>
  <c r="N35" i="28"/>
  <c r="N36" i="28"/>
  <c r="N37" i="28"/>
  <c r="N38" i="28"/>
  <c r="N39" i="28"/>
  <c r="N40" i="28"/>
  <c r="N41" i="28"/>
  <c r="N42" i="28"/>
  <c r="N43" i="28"/>
  <c r="N44" i="28"/>
  <c r="N45" i="28"/>
  <c r="N46" i="28"/>
  <c r="N47" i="28"/>
  <c r="N48" i="28"/>
  <c r="N49" i="28"/>
  <c r="N50" i="28"/>
  <c r="N51" i="28"/>
  <c r="N52" i="28"/>
  <c r="N53" i="28"/>
  <c r="N54" i="28"/>
  <c r="N55" i="28"/>
  <c r="N56" i="28"/>
  <c r="N57" i="28"/>
  <c r="N58" i="28"/>
  <c r="N59" i="28"/>
  <c r="N60" i="28"/>
  <c r="N61" i="28"/>
  <c r="N62" i="28"/>
  <c r="N63" i="28"/>
  <c r="N64" i="28"/>
  <c r="N65" i="28"/>
  <c r="N66" i="28"/>
  <c r="N67" i="28"/>
  <c r="N68" i="28"/>
  <c r="N69" i="28"/>
  <c r="N70" i="28"/>
  <c r="N71" i="28"/>
  <c r="N72" i="28"/>
  <c r="N73" i="28"/>
  <c r="N74" i="28"/>
  <c r="N75" i="28"/>
  <c r="N76" i="28"/>
  <c r="N77" i="28"/>
  <c r="N78" i="28"/>
  <c r="N79" i="28"/>
  <c r="N80" i="28"/>
  <c r="N81" i="28"/>
  <c r="N82" i="28"/>
  <c r="N83" i="28"/>
  <c r="N84" i="28"/>
  <c r="N85" i="28"/>
  <c r="N86" i="28"/>
  <c r="N87" i="28"/>
  <c r="N88" i="28"/>
  <c r="N89" i="28"/>
  <c r="N90" i="28"/>
  <c r="N91" i="28"/>
  <c r="N92" i="28"/>
  <c r="N93" i="28"/>
  <c r="N94" i="28"/>
  <c r="N95" i="28"/>
  <c r="N96" i="28"/>
  <c r="N97" i="28"/>
  <c r="N98" i="28"/>
  <c r="N99" i="28"/>
  <c r="N100" i="28"/>
  <c r="N101" i="28"/>
  <c r="N102" i="28"/>
  <c r="N103" i="28"/>
  <c r="N104" i="28"/>
  <c r="N105" i="28"/>
  <c r="N106" i="28"/>
  <c r="N107" i="28"/>
  <c r="N108" i="28"/>
  <c r="N109" i="28"/>
  <c r="N110" i="28"/>
  <c r="N111" i="28"/>
  <c r="N112" i="28"/>
  <c r="N113" i="28"/>
  <c r="N114" i="28"/>
  <c r="N115" i="28"/>
  <c r="N116" i="28"/>
  <c r="N117" i="28"/>
  <c r="N118" i="28"/>
  <c r="N119" i="28"/>
  <c r="N120" i="28"/>
  <c r="N121" i="28"/>
  <c r="N122" i="28"/>
  <c r="N123" i="28"/>
  <c r="N124" i="28"/>
  <c r="N125" i="28"/>
  <c r="N126" i="28"/>
  <c r="N127" i="28"/>
  <c r="N128" i="28"/>
  <c r="N129" i="28"/>
  <c r="N130" i="28"/>
  <c r="N131" i="28"/>
  <c r="N132" i="28"/>
  <c r="N133" i="28"/>
  <c r="N134" i="28"/>
  <c r="N135" i="28"/>
  <c r="N136" i="28"/>
  <c r="N137" i="28"/>
  <c r="N138" i="28"/>
  <c r="N139" i="28"/>
  <c r="N140" i="28"/>
  <c r="N141" i="28"/>
  <c r="N142" i="28"/>
  <c r="N143" i="28"/>
  <c r="N144" i="28"/>
  <c r="N145" i="28"/>
  <c r="N146" i="28"/>
  <c r="N147" i="28"/>
  <c r="N148" i="28"/>
  <c r="N149" i="28"/>
  <c r="N150" i="28"/>
  <c r="N151" i="28"/>
  <c r="N152" i="28"/>
  <c r="N153" i="28"/>
  <c r="N154" i="28"/>
  <c r="N155" i="28"/>
  <c r="N156" i="28"/>
  <c r="N157" i="28"/>
  <c r="N158" i="28"/>
  <c r="N159" i="28"/>
  <c r="N160" i="28"/>
  <c r="N161" i="28"/>
  <c r="N162" i="28"/>
  <c r="N163" i="28"/>
  <c r="N164" i="28"/>
  <c r="N165" i="28"/>
  <c r="N166" i="28"/>
  <c r="N167" i="28"/>
  <c r="N168" i="28"/>
  <c r="N169" i="28"/>
  <c r="N170" i="28"/>
  <c r="N171" i="28"/>
  <c r="N172" i="28"/>
  <c r="N173" i="28"/>
  <c r="N174" i="28"/>
  <c r="N175" i="28"/>
  <c r="N176" i="28"/>
  <c r="N177" i="28"/>
  <c r="N178" i="28"/>
  <c r="N179" i="28"/>
  <c r="N180" i="28"/>
  <c r="N181" i="28"/>
  <c r="N182" i="28"/>
  <c r="N183" i="28"/>
  <c r="N184" i="28"/>
  <c r="N185" i="28"/>
  <c r="N186" i="28"/>
  <c r="N187" i="28"/>
  <c r="N188" i="28"/>
  <c r="N189" i="28"/>
  <c r="N190" i="28"/>
  <c r="N191" i="28"/>
  <c r="N192" i="28"/>
  <c r="N193" i="28"/>
  <c r="N194" i="28"/>
  <c r="N195" i="28"/>
  <c r="N196" i="28"/>
  <c r="N197" i="28"/>
  <c r="N198" i="28"/>
  <c r="N199" i="28"/>
  <c r="N200" i="28"/>
  <c r="N201" i="28"/>
  <c r="N202" i="28"/>
  <c r="N203" i="28"/>
  <c r="N204" i="28"/>
  <c r="N205" i="28"/>
  <c r="N206" i="28"/>
  <c r="N207" i="28"/>
  <c r="N208" i="28"/>
  <c r="N209" i="28"/>
  <c r="N210" i="28"/>
  <c r="N211" i="28"/>
  <c r="N212" i="28"/>
  <c r="N213" i="28"/>
  <c r="N214" i="28"/>
  <c r="N215" i="28"/>
  <c r="N216" i="28"/>
  <c r="N217" i="28"/>
  <c r="N218" i="28"/>
  <c r="N219" i="28"/>
  <c r="N220" i="28"/>
  <c r="N221" i="28"/>
  <c r="N222" i="28"/>
  <c r="N223" i="28"/>
  <c r="N224" i="28"/>
  <c r="N225" i="28"/>
  <c r="N226" i="28"/>
  <c r="N227" i="28"/>
  <c r="N228" i="28"/>
  <c r="N229" i="28"/>
  <c r="N230" i="28"/>
  <c r="N231" i="28"/>
  <c r="N232" i="28"/>
  <c r="N233" i="28"/>
  <c r="N234" i="28"/>
  <c r="N235" i="28"/>
  <c r="N236" i="28"/>
  <c r="N237" i="28"/>
  <c r="N238" i="28"/>
  <c r="N239" i="28"/>
  <c r="N240" i="28"/>
  <c r="N241" i="28"/>
  <c r="N242" i="28"/>
  <c r="N243" i="28"/>
  <c r="N244" i="28"/>
  <c r="N245" i="28"/>
  <c r="N246" i="28"/>
  <c r="N247" i="28"/>
  <c r="N248" i="28"/>
  <c r="N249" i="28"/>
  <c r="N250" i="28"/>
  <c r="N251" i="28"/>
  <c r="N252" i="28"/>
  <c r="N253" i="28"/>
  <c r="N254" i="28"/>
  <c r="N255" i="28"/>
  <c r="N256" i="28"/>
  <c r="N257" i="28"/>
  <c r="N258" i="28"/>
  <c r="N259" i="28"/>
  <c r="N260" i="28"/>
  <c r="N261" i="28"/>
  <c r="N262" i="28"/>
  <c r="N263" i="28"/>
  <c r="N264" i="28"/>
  <c r="N265" i="28"/>
  <c r="N266" i="28"/>
  <c r="N267" i="28"/>
  <c r="N268" i="28"/>
  <c r="N269" i="28"/>
  <c r="N270" i="28"/>
  <c r="N271" i="28"/>
  <c r="N272" i="28"/>
  <c r="N273" i="28"/>
  <c r="N274" i="28"/>
  <c r="N275" i="28"/>
  <c r="N276" i="28"/>
  <c r="N277" i="28"/>
  <c r="N278" i="28"/>
  <c r="N279" i="28"/>
  <c r="N280" i="28"/>
  <c r="N281" i="28"/>
  <c r="N282" i="28"/>
  <c r="N283" i="28"/>
  <c r="N284" i="28"/>
  <c r="N285" i="28"/>
  <c r="N286" i="28"/>
  <c r="N287" i="28"/>
  <c r="N288" i="28"/>
  <c r="N289" i="28"/>
  <c r="N290" i="28"/>
  <c r="N291" i="28"/>
  <c r="N292" i="28"/>
  <c r="N293" i="28"/>
  <c r="N294" i="28"/>
  <c r="N295" i="28"/>
  <c r="N296" i="28"/>
  <c r="N297" i="28"/>
  <c r="N298" i="28"/>
  <c r="N299" i="28"/>
  <c r="N300" i="28"/>
  <c r="N301" i="28"/>
  <c r="N302" i="28"/>
  <c r="N303" i="28"/>
  <c r="N304" i="28"/>
  <c r="O303" i="28" s="1"/>
  <c r="N157" i="15" s="1"/>
  <c r="N157" i="12" s="1"/>
  <c r="N305" i="28"/>
  <c r="O305" i="28" s="1"/>
  <c r="N158" i="15" s="1"/>
  <c r="N158" i="12" s="1"/>
  <c r="N306" i="28"/>
  <c r="R11" i="28"/>
  <c r="P11" i="28"/>
  <c r="N11" i="28"/>
  <c r="Q241" i="28"/>
  <c r="O126" i="15" s="1"/>
  <c r="O126" i="12" s="1"/>
  <c r="S241" i="28"/>
  <c r="P126" i="15" s="1"/>
  <c r="P126" i="12" s="1"/>
  <c r="S243" i="28"/>
  <c r="P127" i="15" s="1"/>
  <c r="P127" i="12" s="1"/>
  <c r="U243" i="28"/>
  <c r="R127" i="15" s="1"/>
  <c r="R127" i="12" s="1"/>
  <c r="O241" i="28"/>
  <c r="N126" i="15" s="1"/>
  <c r="N126" i="12" s="1"/>
  <c r="O243" i="28"/>
  <c r="N127" i="15" s="1"/>
  <c r="N127" i="12" s="1"/>
  <c r="AF1230" i="32"/>
  <c r="AE1230" i="32"/>
  <c r="AF1229" i="32"/>
  <c r="AE1229" i="32"/>
  <c r="AF1228" i="32"/>
  <c r="AE1228" i="32"/>
  <c r="AF1227" i="32"/>
  <c r="AE1227" i="32"/>
  <c r="AF1226" i="32"/>
  <c r="AE1226" i="32"/>
  <c r="AF1225" i="32"/>
  <c r="AE1225" i="32"/>
  <c r="AF1224" i="32"/>
  <c r="AE1224" i="32"/>
  <c r="AF1223" i="32"/>
  <c r="AE1223" i="32"/>
  <c r="AF1222" i="32"/>
  <c r="AE1222" i="32"/>
  <c r="AF1221" i="32"/>
  <c r="AE1221" i="32"/>
  <c r="AF1220" i="32"/>
  <c r="AE1220" i="32"/>
  <c r="AF1219" i="32"/>
  <c r="AE1219" i="32"/>
  <c r="AF1218" i="32"/>
  <c r="AE1218" i="32"/>
  <c r="AF1217" i="32"/>
  <c r="AE1217" i="32"/>
  <c r="AF1216" i="32"/>
  <c r="AE1216" i="32"/>
  <c r="AF1215" i="32"/>
  <c r="AE1215" i="32"/>
  <c r="AF1214" i="32"/>
  <c r="AE1214" i="32"/>
  <c r="AF1213" i="32"/>
  <c r="AE1213" i="32"/>
  <c r="AF1212" i="32"/>
  <c r="AE1212" i="32"/>
  <c r="AF1211" i="32"/>
  <c r="AE1211" i="32"/>
  <c r="AF1210" i="32"/>
  <c r="AE1210" i="32"/>
  <c r="AF1209" i="32"/>
  <c r="AE1209" i="32"/>
  <c r="AF1208" i="32"/>
  <c r="AE1208" i="32"/>
  <c r="AF1207" i="32"/>
  <c r="AE1207" i="32"/>
  <c r="AF1206" i="32"/>
  <c r="AE1206" i="32"/>
  <c r="AF1205" i="32"/>
  <c r="AE1205" i="32"/>
  <c r="AF1204" i="32"/>
  <c r="AE1204" i="32"/>
  <c r="AF1203" i="32"/>
  <c r="AE1203" i="32"/>
  <c r="AF1202" i="32"/>
  <c r="AE1202" i="32"/>
  <c r="AF1201" i="32"/>
  <c r="AE1201" i="32"/>
  <c r="AF1200" i="32"/>
  <c r="AE1200" i="32"/>
  <c r="AF1199" i="32"/>
  <c r="AE1199" i="32"/>
  <c r="AF1198" i="32"/>
  <c r="AE1198" i="32"/>
  <c r="AF1197" i="32"/>
  <c r="AE1197" i="32"/>
  <c r="AF1196" i="32"/>
  <c r="AE1196" i="32"/>
  <c r="AF1195" i="32"/>
  <c r="AE1195" i="32"/>
  <c r="AE1194" i="32"/>
  <c r="AE1193" i="32"/>
  <c r="AF1192" i="32"/>
  <c r="AE1192" i="32"/>
  <c r="AF1191" i="32"/>
  <c r="AE1191" i="32"/>
  <c r="AF1190" i="32"/>
  <c r="AE1190" i="32"/>
  <c r="AF1189" i="32"/>
  <c r="AE1189" i="32"/>
  <c r="AF1188" i="32"/>
  <c r="AE1188" i="32"/>
  <c r="AF1187" i="32"/>
  <c r="AE1187" i="32"/>
  <c r="AF1186" i="32"/>
  <c r="AE1186" i="32"/>
  <c r="AF1185" i="32"/>
  <c r="AE1185" i="32"/>
  <c r="AF1184" i="32"/>
  <c r="AE1184" i="32"/>
  <c r="AF1183" i="32"/>
  <c r="AE1183" i="32"/>
  <c r="AF1182" i="32"/>
  <c r="AE1182" i="32"/>
  <c r="AF1181" i="32"/>
  <c r="AE1181" i="32"/>
  <c r="AF1180" i="32"/>
  <c r="AE1180" i="32"/>
  <c r="AF1179" i="32"/>
  <c r="AE1179" i="32"/>
  <c r="AF1178" i="32"/>
  <c r="AE1178" i="32"/>
  <c r="AF1177" i="32"/>
  <c r="AE1177" i="32"/>
  <c r="AF1176" i="32"/>
  <c r="AE1176" i="32"/>
  <c r="AF1175" i="32"/>
  <c r="AE1175" i="32"/>
  <c r="AF1174" i="32"/>
  <c r="AE1174" i="32"/>
  <c r="AF1173" i="32"/>
  <c r="AE1173" i="32"/>
  <c r="AF1172" i="32"/>
  <c r="AE1172" i="32"/>
  <c r="AF1171" i="32"/>
  <c r="AE1171" i="32"/>
  <c r="AF1168" i="32"/>
  <c r="AE1168" i="32"/>
  <c r="AF1167" i="32"/>
  <c r="AE1167" i="32"/>
  <c r="AF1166" i="32"/>
  <c r="AE1166" i="32"/>
  <c r="AF1165" i="32"/>
  <c r="AE1165" i="32"/>
  <c r="AF1164" i="32"/>
  <c r="AE1164" i="32"/>
  <c r="AF1163" i="32"/>
  <c r="AE1163" i="32"/>
  <c r="AF1162" i="32"/>
  <c r="AE1162" i="32"/>
  <c r="AF1161" i="32"/>
  <c r="AE1161" i="32"/>
  <c r="AF1160" i="32"/>
  <c r="AE1160" i="32"/>
  <c r="AF1159" i="32"/>
  <c r="AE1159" i="32"/>
  <c r="AF1158" i="32"/>
  <c r="AE1158" i="32"/>
  <c r="AF1157" i="32"/>
  <c r="AE1157" i="32"/>
  <c r="AF1156" i="32"/>
  <c r="AE1156" i="32"/>
  <c r="AF1155" i="32"/>
  <c r="AE1155" i="32"/>
  <c r="AF1154" i="32"/>
  <c r="AE1154" i="32"/>
  <c r="AF1153" i="32"/>
  <c r="AE1153" i="32"/>
  <c r="AF1152" i="32"/>
  <c r="AE1152" i="32"/>
  <c r="AF1151" i="32"/>
  <c r="AE1151" i="32"/>
  <c r="AF1150" i="32"/>
  <c r="AE1150" i="32"/>
  <c r="AF1149" i="32"/>
  <c r="AE1149" i="32"/>
  <c r="AF1148" i="32"/>
  <c r="AE1148" i="32"/>
  <c r="AF1147" i="32"/>
  <c r="AE1147" i="32"/>
  <c r="AF1146" i="32"/>
  <c r="AE1146" i="32"/>
  <c r="AF1145" i="32"/>
  <c r="AE1145" i="32"/>
  <c r="AF1144" i="32"/>
  <c r="AE1144" i="32"/>
  <c r="AF1143" i="32"/>
  <c r="AE1143" i="32"/>
  <c r="AF1142" i="32"/>
  <c r="AE1142" i="32"/>
  <c r="AF1141" i="32"/>
  <c r="AE1141" i="32"/>
  <c r="AF1140" i="32"/>
  <c r="AE1140" i="32"/>
  <c r="AF1139" i="32"/>
  <c r="AE1139" i="32"/>
  <c r="AF1138" i="32"/>
  <c r="AE1138" i="32"/>
  <c r="AF1137" i="32"/>
  <c r="AE1137" i="32"/>
  <c r="AF1136" i="32"/>
  <c r="AE1136" i="32"/>
  <c r="AF1135" i="32"/>
  <c r="AE1135" i="32"/>
  <c r="AF1134" i="32"/>
  <c r="AE1134" i="32"/>
  <c r="AF1133" i="32"/>
  <c r="AE1133" i="32"/>
  <c r="AF1132" i="32"/>
  <c r="AE1132" i="32"/>
  <c r="AF1131" i="32"/>
  <c r="AE1131" i="32"/>
  <c r="AF1130" i="32"/>
  <c r="AE1130" i="32"/>
  <c r="AF1129" i="32"/>
  <c r="AE1129" i="32"/>
  <c r="AF1128" i="32"/>
  <c r="AE1128" i="32"/>
  <c r="AF1127" i="32"/>
  <c r="AE1127" i="32"/>
  <c r="AF1126" i="32"/>
  <c r="AE1126" i="32"/>
  <c r="AF1125" i="32"/>
  <c r="AE1125" i="32"/>
  <c r="AF1124" i="32"/>
  <c r="AE1124" i="32"/>
  <c r="AF1123" i="32"/>
  <c r="AE1123" i="32"/>
  <c r="AE1122" i="32"/>
  <c r="AE1121" i="32"/>
  <c r="AF1120" i="32"/>
  <c r="AE1120" i="32"/>
  <c r="AF1119" i="32"/>
  <c r="AE1119" i="32"/>
  <c r="AF1118" i="32"/>
  <c r="AE1118" i="32"/>
  <c r="AF1117" i="32"/>
  <c r="AE1117" i="32"/>
  <c r="AF1116" i="32"/>
  <c r="AE1116" i="32"/>
  <c r="AF1115" i="32"/>
  <c r="AE1115" i="32"/>
  <c r="AF1114" i="32"/>
  <c r="AE1114" i="32"/>
  <c r="AF1113" i="32"/>
  <c r="AE1113" i="32"/>
  <c r="AF1112" i="32"/>
  <c r="AE1112" i="32"/>
  <c r="AF1111" i="32"/>
  <c r="AE1111" i="32"/>
  <c r="AF1110" i="32"/>
  <c r="AE1110" i="32"/>
  <c r="AF1109" i="32"/>
  <c r="AE1109" i="32"/>
  <c r="AF1108" i="32"/>
  <c r="AE1108" i="32"/>
  <c r="AF1107" i="32"/>
  <c r="AE1107" i="32"/>
  <c r="AF1106" i="32"/>
  <c r="AE1106" i="32"/>
  <c r="AF1105" i="32"/>
  <c r="AE1105" i="32"/>
  <c r="AF1104" i="32"/>
  <c r="AE1104" i="32"/>
  <c r="AF1103" i="32"/>
  <c r="AE1103" i="32"/>
  <c r="AF1102" i="32"/>
  <c r="AE1102" i="32"/>
  <c r="AF1101" i="32"/>
  <c r="AE1101" i="32"/>
  <c r="AF1100" i="32"/>
  <c r="AE1100" i="32"/>
  <c r="AF1099" i="32"/>
  <c r="AE1099" i="32"/>
  <c r="AF1096" i="32"/>
  <c r="AE1096" i="32"/>
  <c r="AF1095" i="32"/>
  <c r="AE1095" i="32"/>
  <c r="AF1094" i="32"/>
  <c r="AE1094" i="32"/>
  <c r="AF1093" i="32"/>
  <c r="AE1093" i="32"/>
  <c r="AF1092" i="32"/>
  <c r="AE1092" i="32"/>
  <c r="AF1091" i="32"/>
  <c r="AE1091" i="32"/>
  <c r="AF1090" i="32"/>
  <c r="AE1090" i="32"/>
  <c r="AF1089" i="32"/>
  <c r="AE1089" i="32"/>
  <c r="AF1088" i="32"/>
  <c r="AE1088" i="32"/>
  <c r="AF1087" i="32"/>
  <c r="AE1087" i="32"/>
  <c r="AF1086" i="32"/>
  <c r="AE1086" i="32"/>
  <c r="AF1085" i="32"/>
  <c r="AE1085" i="32"/>
  <c r="AF1084" i="32"/>
  <c r="AE1084" i="32"/>
  <c r="AF1083" i="32"/>
  <c r="AE1083" i="32"/>
  <c r="AF1082" i="32"/>
  <c r="AE1082" i="32"/>
  <c r="AF1081" i="32"/>
  <c r="AE1081" i="32"/>
  <c r="AF1080" i="32"/>
  <c r="AE1080" i="32"/>
  <c r="AF1079" i="32"/>
  <c r="AE1079" i="32"/>
  <c r="AF1078" i="32"/>
  <c r="AE1078" i="32"/>
  <c r="AF1077" i="32"/>
  <c r="AE1077" i="32"/>
  <c r="AF1076" i="32"/>
  <c r="AE1076" i="32"/>
  <c r="AF1075" i="32"/>
  <c r="AE1075" i="32"/>
  <c r="AF1074" i="32"/>
  <c r="AE1074" i="32"/>
  <c r="AF1073" i="32"/>
  <c r="AE1073" i="32"/>
  <c r="AF1072" i="32"/>
  <c r="AE1072" i="32"/>
  <c r="AF1071" i="32"/>
  <c r="AE1071" i="32"/>
  <c r="AF1070" i="32"/>
  <c r="AE1070" i="32"/>
  <c r="AF1069" i="32"/>
  <c r="AE1069" i="32"/>
  <c r="AF1068" i="32"/>
  <c r="AE1068" i="32"/>
  <c r="AF1067" i="32"/>
  <c r="AE1067" i="32"/>
  <c r="AF1066" i="32"/>
  <c r="AE1066" i="32"/>
  <c r="AF1065" i="32"/>
  <c r="AE1065" i="32"/>
  <c r="AF1064" i="32"/>
  <c r="AE1064" i="32"/>
  <c r="AF1063" i="32"/>
  <c r="AE1063" i="32"/>
  <c r="AF1062" i="32"/>
  <c r="AE1062" i="32"/>
  <c r="AF1061" i="32"/>
  <c r="AE1061" i="32"/>
  <c r="AF1060" i="32"/>
  <c r="AE1060" i="32"/>
  <c r="AF1059" i="32"/>
  <c r="AE1059" i="32"/>
  <c r="AF1058" i="32"/>
  <c r="AE1058" i="32"/>
  <c r="AF1057" i="32"/>
  <c r="AE1057" i="32"/>
  <c r="AF1056" i="32"/>
  <c r="AE1056" i="32"/>
  <c r="AF1055" i="32"/>
  <c r="AE1055" i="32"/>
  <c r="AF1054" i="32"/>
  <c r="AE1054" i="32"/>
  <c r="AF1053" i="32"/>
  <c r="AE1053" i="32"/>
  <c r="AF1052" i="32"/>
  <c r="AE1052" i="32"/>
  <c r="AF1051" i="32"/>
  <c r="AE1051" i="32"/>
  <c r="AF1050" i="32"/>
  <c r="AE1050" i="32"/>
  <c r="AF1049" i="32"/>
  <c r="AE1049" i="32"/>
  <c r="AF1048" i="32"/>
  <c r="AE1048" i="32"/>
  <c r="AF1047" i="32"/>
  <c r="AE1047" i="32"/>
  <c r="AF1046" i="32"/>
  <c r="AE1046" i="32"/>
  <c r="AF1045" i="32"/>
  <c r="AE1045" i="32"/>
  <c r="AF1044" i="32"/>
  <c r="AE1044" i="32"/>
  <c r="AF1043" i="32"/>
  <c r="AE1043" i="32"/>
  <c r="AF1042" i="32"/>
  <c r="AE1042" i="32"/>
  <c r="AF1041" i="32"/>
  <c r="AE1041" i="32"/>
  <c r="AF1040" i="32"/>
  <c r="AE1040" i="32"/>
  <c r="AF1039" i="32"/>
  <c r="AE1039" i="32"/>
  <c r="AF1038" i="32"/>
  <c r="AE1038" i="32"/>
  <c r="AF1037" i="32"/>
  <c r="AE1037" i="32"/>
  <c r="AF1036" i="32"/>
  <c r="AE1036" i="32"/>
  <c r="AF1035" i="32"/>
  <c r="AE1035" i="32"/>
  <c r="AF1034" i="32"/>
  <c r="AE1034" i="32"/>
  <c r="AE1033" i="32"/>
  <c r="AE1032" i="32"/>
  <c r="AF1031" i="32"/>
  <c r="AE1031" i="32"/>
  <c r="AF1030" i="32"/>
  <c r="AE1030" i="32"/>
  <c r="AF1029" i="32"/>
  <c r="AE1029" i="32"/>
  <c r="AF1028" i="32"/>
  <c r="AE1028" i="32"/>
  <c r="AF1027" i="32"/>
  <c r="AE1027" i="32"/>
  <c r="AF1026" i="32"/>
  <c r="AE1026" i="32"/>
  <c r="AF1025" i="32"/>
  <c r="AE1025" i="32"/>
  <c r="AF1024" i="32"/>
  <c r="AE1024" i="32"/>
  <c r="AF1023" i="32"/>
  <c r="AE1023" i="32"/>
  <c r="AF1022" i="32"/>
  <c r="AE1022" i="32"/>
  <c r="AF1021" i="32"/>
  <c r="AE1021" i="32"/>
  <c r="AF1020" i="32"/>
  <c r="AE1020" i="32"/>
  <c r="AF1019" i="32"/>
  <c r="AE1019" i="32"/>
  <c r="AF1018" i="32"/>
  <c r="AE1018" i="32"/>
  <c r="AF1017" i="32"/>
  <c r="AE1017" i="32"/>
  <c r="AF1016" i="32"/>
  <c r="AE1016" i="32"/>
  <c r="AF1015" i="32"/>
  <c r="AE1015" i="32"/>
  <c r="AF1014" i="32"/>
  <c r="AE1014" i="32"/>
  <c r="AF1013" i="32"/>
  <c r="AE1013" i="32"/>
  <c r="AF1012" i="32"/>
  <c r="AE1012" i="32"/>
  <c r="AF1011" i="32"/>
  <c r="AE1011" i="32"/>
  <c r="AF1010" i="32"/>
  <c r="AE1010" i="32"/>
  <c r="AF1009" i="32"/>
  <c r="AE1009" i="32"/>
  <c r="AF1008" i="32"/>
  <c r="AE1008" i="32"/>
  <c r="AF1007" i="32"/>
  <c r="AE1007" i="32"/>
  <c r="AF1006" i="32"/>
  <c r="AE1006" i="32"/>
  <c r="AF1005" i="32"/>
  <c r="AE1005" i="32"/>
  <c r="AF1004" i="32"/>
  <c r="AE1004" i="32"/>
  <c r="AF1003" i="32"/>
  <c r="AE1003" i="32"/>
  <c r="AF1002" i="32"/>
  <c r="AE1002" i="32"/>
  <c r="AF1001" i="32"/>
  <c r="AE1001" i="32"/>
  <c r="AF1000" i="32"/>
  <c r="AE1000" i="32"/>
  <c r="AF999" i="32"/>
  <c r="AE999" i="32"/>
  <c r="AF995" i="32"/>
  <c r="AE995" i="32"/>
  <c r="AF994" i="32"/>
  <c r="AE994" i="32"/>
  <c r="AF993" i="32"/>
  <c r="AE993" i="32"/>
  <c r="AF992" i="32"/>
  <c r="AE992" i="32"/>
  <c r="AF991" i="32"/>
  <c r="AE991" i="32"/>
  <c r="AF990" i="32"/>
  <c r="AE990" i="32"/>
  <c r="AF989" i="32"/>
  <c r="AE989" i="32"/>
  <c r="AF988" i="32"/>
  <c r="AE988" i="32"/>
  <c r="AF987" i="32"/>
  <c r="AE987" i="32"/>
  <c r="AF986" i="32"/>
  <c r="AE986" i="32"/>
  <c r="AF985" i="32"/>
  <c r="AE985" i="32"/>
  <c r="AF984" i="32"/>
  <c r="AE984" i="32"/>
  <c r="AF983" i="32"/>
  <c r="AE983" i="32"/>
  <c r="AF982" i="32"/>
  <c r="AE982" i="32"/>
  <c r="AF981" i="32"/>
  <c r="AE981" i="32"/>
  <c r="AF977" i="32"/>
  <c r="AE977" i="32"/>
  <c r="AF975" i="32"/>
  <c r="AE975" i="32"/>
  <c r="AF974" i="32"/>
  <c r="AE974" i="32"/>
  <c r="AF973" i="32"/>
  <c r="AE973" i="32"/>
  <c r="AF972" i="32"/>
  <c r="AE972" i="32"/>
  <c r="AF971" i="32"/>
  <c r="AE971" i="32"/>
  <c r="AF970" i="32"/>
  <c r="AE970" i="32"/>
  <c r="AF969" i="32"/>
  <c r="AE969" i="32"/>
  <c r="AF968" i="32"/>
  <c r="AE968" i="32"/>
  <c r="AF967" i="32"/>
  <c r="AE967" i="32"/>
  <c r="AF966" i="32"/>
  <c r="AE966" i="32"/>
  <c r="AF965" i="32"/>
  <c r="AE965" i="32"/>
  <c r="AF964" i="32"/>
  <c r="AE964" i="32"/>
  <c r="AF963" i="32"/>
  <c r="AE963" i="32"/>
  <c r="AF962" i="32"/>
  <c r="AE962" i="32"/>
  <c r="AF961" i="32"/>
  <c r="AE961" i="32"/>
  <c r="AF960" i="32"/>
  <c r="AE960" i="32"/>
  <c r="AE959" i="32"/>
  <c r="AE958" i="32"/>
  <c r="AF957" i="32"/>
  <c r="AE957" i="32"/>
  <c r="AF956" i="32"/>
  <c r="AE956" i="32"/>
  <c r="AF955" i="32"/>
  <c r="AE955" i="32"/>
  <c r="AF954" i="32"/>
  <c r="AE954" i="32"/>
  <c r="AF953" i="32"/>
  <c r="AE953" i="32"/>
  <c r="AF952" i="32"/>
  <c r="AE952" i="32"/>
  <c r="AF951" i="32"/>
  <c r="AE951" i="32"/>
  <c r="AF950" i="32"/>
  <c r="AE950" i="32"/>
  <c r="AF949" i="32"/>
  <c r="AE949" i="32"/>
  <c r="AF948" i="32"/>
  <c r="AE948" i="32"/>
  <c r="AF947" i="32"/>
  <c r="AE947" i="32"/>
  <c r="AF946" i="32"/>
  <c r="AE946" i="32"/>
  <c r="AF945" i="32"/>
  <c r="AE945" i="32"/>
  <c r="AF944" i="32"/>
  <c r="AE944" i="32"/>
  <c r="AF943" i="32"/>
  <c r="AE943" i="32"/>
  <c r="AF942" i="32"/>
  <c r="AE942" i="32"/>
  <c r="AF941" i="32"/>
  <c r="AE941" i="32"/>
  <c r="AF940" i="32"/>
  <c r="AE940" i="32"/>
  <c r="AF939" i="32"/>
  <c r="AE939" i="32"/>
  <c r="AF938" i="32"/>
  <c r="AE938" i="32"/>
  <c r="AF937" i="32"/>
  <c r="AE937" i="32"/>
  <c r="AF936" i="32"/>
  <c r="AE936" i="32"/>
  <c r="AF935" i="32"/>
  <c r="AE935" i="32"/>
  <c r="AF934" i="32"/>
  <c r="AE934" i="32"/>
  <c r="AF933" i="32"/>
  <c r="AE933" i="32"/>
  <c r="AF932" i="32"/>
  <c r="AE932" i="32"/>
  <c r="AF931" i="32"/>
  <c r="AE931" i="32"/>
  <c r="AF930" i="32"/>
  <c r="AE930" i="32"/>
  <c r="AF929" i="32"/>
  <c r="AE929" i="32"/>
  <c r="AF925" i="32"/>
  <c r="AE925" i="32"/>
  <c r="AF924" i="32"/>
  <c r="AE924" i="32"/>
  <c r="AE923" i="32"/>
  <c r="AF922" i="32"/>
  <c r="AE922" i="32"/>
  <c r="AF921" i="32"/>
  <c r="AE921" i="32"/>
  <c r="AF920" i="32"/>
  <c r="AE920" i="32"/>
  <c r="AF919" i="32"/>
  <c r="AE919" i="32"/>
  <c r="AF918" i="32"/>
  <c r="AE918" i="32"/>
  <c r="AF917" i="32"/>
  <c r="AE917" i="32"/>
  <c r="AF916" i="32"/>
  <c r="AE916" i="32"/>
  <c r="AF915" i="32"/>
  <c r="AE915" i="32"/>
  <c r="AF914" i="32"/>
  <c r="AE914" i="32"/>
  <c r="AE913" i="32"/>
  <c r="AE912" i="32"/>
  <c r="AF911" i="32"/>
  <c r="AE911" i="32"/>
  <c r="AF910" i="32"/>
  <c r="AE910" i="32"/>
  <c r="AF909" i="32"/>
  <c r="AE909" i="32"/>
  <c r="AF908" i="32"/>
  <c r="AE908" i="32"/>
  <c r="AF907" i="32"/>
  <c r="AE907" i="32"/>
  <c r="AF906" i="32"/>
  <c r="AE906" i="32"/>
  <c r="AF905" i="32"/>
  <c r="AE905" i="32"/>
  <c r="AF904" i="32"/>
  <c r="AE904" i="32"/>
  <c r="AF903" i="32"/>
  <c r="AE903" i="32"/>
  <c r="AF902" i="32"/>
  <c r="AE902" i="32"/>
  <c r="AF901" i="32"/>
  <c r="AE901" i="32"/>
  <c r="AF900" i="32"/>
  <c r="AE900" i="32"/>
  <c r="AF899" i="32"/>
  <c r="AE899" i="32"/>
  <c r="AF898" i="32"/>
  <c r="AE898" i="32"/>
  <c r="AF896" i="32"/>
  <c r="AE896" i="32"/>
  <c r="AF895" i="32"/>
  <c r="AE895" i="32"/>
  <c r="AF894" i="32"/>
  <c r="AE894" i="32"/>
  <c r="AF893" i="32"/>
  <c r="AE893" i="32"/>
  <c r="AF892" i="32"/>
  <c r="AE892" i="32"/>
  <c r="AF891" i="32"/>
  <c r="AE891" i="32"/>
  <c r="AF890" i="32"/>
  <c r="AE890" i="32"/>
  <c r="AF889" i="32"/>
  <c r="AE889" i="32"/>
  <c r="AF888" i="32"/>
  <c r="AE888" i="32"/>
  <c r="AF887" i="32"/>
  <c r="AE887" i="32"/>
  <c r="AF886" i="32"/>
  <c r="AE886" i="32"/>
  <c r="AF885" i="32"/>
  <c r="AE885" i="32"/>
  <c r="AF884" i="32"/>
  <c r="AE884" i="32"/>
  <c r="AF883" i="32"/>
  <c r="AE883" i="32"/>
  <c r="AF882" i="32"/>
  <c r="AE882" i="32"/>
  <c r="AF880" i="32"/>
  <c r="AE880" i="32"/>
  <c r="AF879" i="32"/>
  <c r="AE879" i="32"/>
  <c r="AF878" i="32"/>
  <c r="AE878" i="32"/>
  <c r="AF877" i="32"/>
  <c r="AE877" i="32"/>
  <c r="AF876" i="32"/>
  <c r="AE876" i="32"/>
  <c r="AF875" i="32"/>
  <c r="AE875" i="32"/>
  <c r="AF874" i="32"/>
  <c r="AE874" i="32"/>
  <c r="AF873" i="32"/>
  <c r="AE873" i="32"/>
  <c r="AF872" i="32"/>
  <c r="AE872" i="32"/>
  <c r="AF871" i="32"/>
  <c r="AE871" i="32"/>
  <c r="AF870" i="32"/>
  <c r="AE870" i="32"/>
  <c r="AF869" i="32"/>
  <c r="AE869" i="32"/>
  <c r="AF868" i="32"/>
  <c r="AE868" i="32"/>
  <c r="AF867" i="32"/>
  <c r="AE867" i="32"/>
  <c r="AF866" i="32"/>
  <c r="AE866" i="32"/>
  <c r="AF865" i="32"/>
  <c r="AE865" i="32"/>
  <c r="AF864" i="32"/>
  <c r="AE864" i="32"/>
  <c r="AF863" i="32"/>
  <c r="AE863" i="32"/>
  <c r="AF862" i="32"/>
  <c r="AE862" i="32"/>
  <c r="AF861" i="32"/>
  <c r="AE861" i="32"/>
  <c r="AF860" i="32"/>
  <c r="AE860" i="32"/>
  <c r="AF859" i="32"/>
  <c r="AE859" i="32"/>
  <c r="AF858" i="32"/>
  <c r="AE858" i="32"/>
  <c r="AF857" i="32"/>
  <c r="AE857" i="32"/>
  <c r="AF853" i="32"/>
  <c r="AE853" i="32"/>
  <c r="AF852" i="32"/>
  <c r="AE852" i="32"/>
  <c r="AF851" i="32"/>
  <c r="AE851" i="32"/>
  <c r="AF850" i="32"/>
  <c r="AE850" i="32"/>
  <c r="AF849" i="32"/>
  <c r="AE849" i="32"/>
  <c r="AF848" i="32"/>
  <c r="AE848" i="32"/>
  <c r="AF847" i="32"/>
  <c r="AE847" i="32"/>
  <c r="AF846" i="32"/>
  <c r="AE846" i="32"/>
  <c r="AF845" i="32"/>
  <c r="AE845" i="32"/>
  <c r="AF844" i="32"/>
  <c r="AE844" i="32"/>
  <c r="AF843" i="32"/>
  <c r="AE843" i="32"/>
  <c r="AE842" i="32"/>
  <c r="AE841" i="32"/>
  <c r="AE840" i="32"/>
  <c r="AF839" i="32"/>
  <c r="AE839" i="32"/>
  <c r="AF838" i="32"/>
  <c r="AE838" i="32"/>
  <c r="AF837" i="32"/>
  <c r="AE837" i="32"/>
  <c r="AF836" i="32"/>
  <c r="AE836" i="32"/>
  <c r="AF835" i="32"/>
  <c r="AE835" i="32"/>
  <c r="AF834" i="32"/>
  <c r="AE834" i="32"/>
  <c r="AF833" i="32"/>
  <c r="AE833" i="32"/>
  <c r="AF832" i="32"/>
  <c r="AE832" i="32"/>
  <c r="AF831" i="32"/>
  <c r="AE831" i="32"/>
  <c r="AF830" i="32"/>
  <c r="AE830" i="32"/>
  <c r="AF829" i="32"/>
  <c r="AE829" i="32"/>
  <c r="AF828" i="32"/>
  <c r="AE828" i="32"/>
  <c r="AF826" i="32"/>
  <c r="AE826" i="32"/>
  <c r="AF825" i="32"/>
  <c r="AE825" i="32"/>
  <c r="AF824" i="32"/>
  <c r="AE824" i="32"/>
  <c r="AF823" i="32"/>
  <c r="AE823" i="32"/>
  <c r="AF822" i="32"/>
  <c r="AE822" i="32"/>
  <c r="AF821" i="32"/>
  <c r="AE821" i="32"/>
  <c r="AF820" i="32"/>
  <c r="AE820" i="32"/>
  <c r="AF819" i="32"/>
  <c r="AE819" i="32"/>
  <c r="AF818" i="32"/>
  <c r="AE818" i="32"/>
  <c r="AF817" i="32"/>
  <c r="AE817" i="32"/>
  <c r="AF816" i="32"/>
  <c r="AE816" i="32"/>
  <c r="AF815" i="32"/>
  <c r="AE815" i="32"/>
  <c r="AF814" i="32"/>
  <c r="AE814" i="32"/>
  <c r="AF813" i="32"/>
  <c r="AE813" i="32"/>
  <c r="AF812" i="32"/>
  <c r="AE812" i="32"/>
  <c r="AF811" i="32"/>
  <c r="AE811" i="32"/>
  <c r="AF810" i="32"/>
  <c r="AE810" i="32"/>
  <c r="AF809" i="32"/>
  <c r="AE809" i="32"/>
  <c r="AF808" i="32"/>
  <c r="AE808" i="32"/>
  <c r="AF807" i="32"/>
  <c r="AE807" i="32"/>
  <c r="AF806" i="32"/>
  <c r="AE806" i="32"/>
  <c r="AF805" i="32"/>
  <c r="AE805" i="32"/>
  <c r="AF804" i="32"/>
  <c r="AE804" i="32"/>
  <c r="AF803" i="32"/>
  <c r="AE803" i="32"/>
  <c r="AF802" i="32"/>
  <c r="AE802" i="32"/>
  <c r="AF801" i="32"/>
  <c r="AE801" i="32"/>
  <c r="AF800" i="32"/>
  <c r="AE800" i="32"/>
  <c r="AF799" i="32"/>
  <c r="AE799" i="32"/>
  <c r="AF798" i="32"/>
  <c r="AE798" i="32"/>
  <c r="AF797" i="32"/>
  <c r="AE797" i="32"/>
  <c r="AF796" i="32"/>
  <c r="AE796" i="32"/>
  <c r="AF795" i="32"/>
  <c r="AE795" i="32"/>
  <c r="AF794" i="32"/>
  <c r="AE794" i="32"/>
  <c r="AF793" i="32"/>
  <c r="AE793" i="32"/>
  <c r="AF792" i="32"/>
  <c r="AE792" i="32"/>
  <c r="AF791" i="32"/>
  <c r="AE791" i="32"/>
  <c r="AF790" i="32"/>
  <c r="AE790" i="32"/>
  <c r="AF789" i="32"/>
  <c r="AE789" i="32"/>
  <c r="T789" i="32"/>
  <c r="AF788" i="32"/>
  <c r="AE788" i="32"/>
  <c r="T788" i="32"/>
  <c r="AF787" i="32"/>
  <c r="AE787" i="32"/>
  <c r="AF786" i="32"/>
  <c r="AE786" i="32"/>
  <c r="AF785" i="32"/>
  <c r="AE785" i="32"/>
  <c r="H785" i="32"/>
  <c r="AF784" i="32"/>
  <c r="AE784" i="32"/>
  <c r="H784" i="32"/>
  <c r="AF783" i="32"/>
  <c r="AE783" i="32"/>
  <c r="H783" i="32"/>
  <c r="AF782" i="32"/>
  <c r="AE782" i="32"/>
  <c r="H782" i="32"/>
  <c r="AF781" i="32"/>
  <c r="AE781" i="32"/>
  <c r="H781" i="32"/>
  <c r="AF780" i="32"/>
  <c r="AE780" i="32"/>
  <c r="H780" i="32"/>
  <c r="AF779" i="32"/>
  <c r="AE779" i="32"/>
  <c r="H779" i="32"/>
  <c r="AF778" i="32"/>
  <c r="AE778" i="32"/>
  <c r="H778" i="32"/>
  <c r="AF777" i="32"/>
  <c r="AE777" i="32"/>
  <c r="H777" i="32"/>
  <c r="AF776" i="32"/>
  <c r="AE776" i="32"/>
  <c r="H776" i="32"/>
  <c r="AF775" i="32"/>
  <c r="AE775" i="32"/>
  <c r="H775" i="32"/>
  <c r="AF774" i="32"/>
  <c r="AE774" i="32"/>
  <c r="H774" i="32"/>
  <c r="AF773" i="32"/>
  <c r="AE773" i="32"/>
  <c r="H773" i="32"/>
  <c r="AF772" i="32"/>
  <c r="AE772" i="32"/>
  <c r="H772" i="32"/>
  <c r="AF771" i="32"/>
  <c r="AE771" i="32"/>
  <c r="H771" i="32"/>
  <c r="AF770" i="32"/>
  <c r="AE770" i="32"/>
  <c r="H770" i="32"/>
  <c r="AF769" i="32"/>
  <c r="AE769" i="32"/>
  <c r="H769" i="32"/>
  <c r="AF768" i="32"/>
  <c r="AE768" i="32"/>
  <c r="H768" i="32"/>
  <c r="AF767" i="32"/>
  <c r="AE767" i="32"/>
  <c r="H767" i="32"/>
  <c r="AF766" i="32"/>
  <c r="AE766" i="32"/>
  <c r="H766" i="32"/>
  <c r="AF765" i="32"/>
  <c r="AE765" i="32"/>
  <c r="H765" i="32"/>
  <c r="AF764" i="32"/>
  <c r="AE764" i="32"/>
  <c r="H764" i="32"/>
  <c r="AF763" i="32"/>
  <c r="AE763" i="32"/>
  <c r="H763" i="32"/>
  <c r="AF762" i="32"/>
  <c r="AE762" i="32"/>
  <c r="H762" i="32"/>
  <c r="AF761" i="32"/>
  <c r="AE761" i="32"/>
  <c r="H761" i="32"/>
  <c r="AF760" i="32"/>
  <c r="AE760" i="32"/>
  <c r="H760" i="32"/>
  <c r="AF759" i="32"/>
  <c r="AE759" i="32"/>
  <c r="H759" i="32"/>
  <c r="AF758" i="32"/>
  <c r="AE758" i="32"/>
  <c r="H758" i="32"/>
  <c r="AF757" i="32"/>
  <c r="AE757" i="32"/>
  <c r="H757" i="32"/>
  <c r="AF756" i="32"/>
  <c r="AE756" i="32"/>
  <c r="H756" i="32"/>
  <c r="AF755" i="32"/>
  <c r="AE755" i="32"/>
  <c r="H755" i="32"/>
  <c r="AF754" i="32"/>
  <c r="AE754" i="32"/>
  <c r="H754" i="32"/>
  <c r="AF753" i="32"/>
  <c r="AE753" i="32"/>
  <c r="H753" i="32"/>
  <c r="AF752" i="32"/>
  <c r="AE752" i="32"/>
  <c r="H752" i="32"/>
  <c r="AF751" i="32"/>
  <c r="AE751" i="32"/>
  <c r="H751" i="32"/>
  <c r="AF750" i="32"/>
  <c r="AE750" i="32"/>
  <c r="H750" i="32"/>
  <c r="H749" i="32"/>
  <c r="AF748" i="32"/>
  <c r="AE748" i="32"/>
  <c r="H748" i="32"/>
  <c r="AF747" i="32"/>
  <c r="AE747" i="32"/>
  <c r="H747" i="32"/>
  <c r="AF746" i="32"/>
  <c r="AE746" i="32"/>
  <c r="H746" i="32"/>
  <c r="AF745" i="32"/>
  <c r="AE745" i="32"/>
  <c r="H745" i="32"/>
  <c r="AF744" i="32"/>
  <c r="AE744" i="32"/>
  <c r="H744" i="32"/>
  <c r="AF743" i="32"/>
  <c r="AE743" i="32"/>
  <c r="H743" i="32"/>
  <c r="AF742" i="32"/>
  <c r="AE742" i="32"/>
  <c r="H742" i="32"/>
  <c r="AF741" i="32"/>
  <c r="AE741" i="32"/>
  <c r="H741" i="32"/>
  <c r="AF740" i="32"/>
  <c r="AE740" i="32"/>
  <c r="H740" i="32"/>
  <c r="AF739" i="32"/>
  <c r="AE739" i="32"/>
  <c r="H739" i="32"/>
  <c r="AF738" i="32"/>
  <c r="AE738" i="32"/>
  <c r="H738" i="32"/>
  <c r="AF737" i="32"/>
  <c r="AE737" i="32"/>
  <c r="H737" i="32"/>
  <c r="AF736" i="32"/>
  <c r="AE736" i="32"/>
  <c r="H736" i="32"/>
  <c r="AF735" i="32"/>
  <c r="AE735" i="32"/>
  <c r="H735" i="32"/>
  <c r="AF734" i="32"/>
  <c r="AE734" i="32"/>
  <c r="H734" i="32"/>
  <c r="AF733" i="32"/>
  <c r="AE733" i="32"/>
  <c r="H733" i="32"/>
  <c r="AF732" i="32"/>
  <c r="AE732" i="32"/>
  <c r="H732" i="32"/>
  <c r="AF731" i="32"/>
  <c r="AE731" i="32"/>
  <c r="H731" i="32"/>
  <c r="AF730" i="32"/>
  <c r="AE730" i="32"/>
  <c r="H730" i="32"/>
  <c r="AF729" i="32"/>
  <c r="AE729" i="32"/>
  <c r="H729" i="32"/>
  <c r="AF728" i="32"/>
  <c r="AE728" i="32"/>
  <c r="H728" i="32"/>
  <c r="AE727" i="32"/>
  <c r="T727" i="32"/>
  <c r="AE726" i="32"/>
  <c r="T726" i="32"/>
  <c r="AF725" i="32"/>
  <c r="AE725" i="32"/>
  <c r="AF724" i="32"/>
  <c r="AE724" i="32"/>
  <c r="AF723" i="32"/>
  <c r="AE723" i="32"/>
  <c r="H723" i="32"/>
  <c r="AF722" i="32"/>
  <c r="AE722" i="32"/>
  <c r="H722" i="32"/>
  <c r="H721" i="32"/>
  <c r="H720" i="32"/>
  <c r="AF719" i="32"/>
  <c r="AE719" i="32"/>
  <c r="H719" i="32"/>
  <c r="AF718" i="32"/>
  <c r="AE718" i="32"/>
  <c r="H718" i="32"/>
  <c r="AF715" i="32"/>
  <c r="AE715" i="32"/>
  <c r="H715" i="32"/>
  <c r="AF714" i="32"/>
  <c r="AE714" i="32"/>
  <c r="H714" i="32"/>
  <c r="AF713" i="32"/>
  <c r="AE713" i="32"/>
  <c r="H713" i="32"/>
  <c r="AF712" i="32"/>
  <c r="AE712" i="32"/>
  <c r="H712" i="32"/>
  <c r="AF711" i="32"/>
  <c r="AE711" i="32"/>
  <c r="H711" i="32"/>
  <c r="AF710" i="32"/>
  <c r="AE710" i="32"/>
  <c r="H710" i="32"/>
  <c r="AF709" i="32"/>
  <c r="AE709" i="32"/>
  <c r="H709" i="32"/>
  <c r="AF708" i="32"/>
  <c r="AE708" i="32"/>
  <c r="H708" i="32"/>
  <c r="AF707" i="32"/>
  <c r="AE707" i="32"/>
  <c r="H707" i="32"/>
  <c r="AF706" i="32"/>
  <c r="AE706" i="32"/>
  <c r="H706" i="32"/>
  <c r="H705" i="32"/>
  <c r="H704" i="32"/>
  <c r="AF703" i="32"/>
  <c r="AE703" i="32"/>
  <c r="H703" i="32"/>
  <c r="AF702" i="32"/>
  <c r="AE702" i="32"/>
  <c r="H702" i="32"/>
  <c r="AF701" i="32"/>
  <c r="AE701" i="32"/>
  <c r="H701" i="32"/>
  <c r="AF700" i="32"/>
  <c r="AE700" i="32"/>
  <c r="H700" i="32"/>
  <c r="AF699" i="32"/>
  <c r="AE699" i="32"/>
  <c r="T699" i="32"/>
  <c r="H699" i="32"/>
  <c r="AF698" i="32"/>
  <c r="AE698" i="32"/>
  <c r="H698" i="32"/>
  <c r="AF697" i="32"/>
  <c r="AE697" i="32"/>
  <c r="H697" i="32"/>
  <c r="H696" i="32"/>
  <c r="H695" i="32"/>
  <c r="H694" i="32"/>
  <c r="AF693" i="32"/>
  <c r="AE693" i="32"/>
  <c r="H693" i="32"/>
  <c r="AF692" i="32"/>
  <c r="AE692" i="32"/>
  <c r="H692" i="32"/>
  <c r="AF691" i="32"/>
  <c r="AE691" i="32"/>
  <c r="H691" i="32"/>
  <c r="AF690" i="32"/>
  <c r="AE690" i="32"/>
  <c r="H690" i="32"/>
  <c r="AF689" i="32"/>
  <c r="AE689" i="32"/>
  <c r="H689" i="32"/>
  <c r="AF688" i="32"/>
  <c r="AE688" i="32"/>
  <c r="H688" i="32"/>
  <c r="AF687" i="32"/>
  <c r="AE687" i="32"/>
  <c r="H687" i="32"/>
  <c r="AF686" i="32"/>
  <c r="AE686" i="32"/>
  <c r="H686" i="32"/>
  <c r="AF685" i="32"/>
  <c r="AE685" i="32"/>
  <c r="H685" i="32"/>
  <c r="AF684" i="32"/>
  <c r="AE684" i="32"/>
  <c r="H684" i="32"/>
  <c r="AF683" i="32"/>
  <c r="AE683" i="32"/>
  <c r="H683" i="32"/>
  <c r="AF682" i="32"/>
  <c r="AE682" i="32"/>
  <c r="H682" i="32"/>
  <c r="AF681" i="32"/>
  <c r="AE681" i="32"/>
  <c r="H681" i="32"/>
  <c r="AF680" i="32"/>
  <c r="AE680" i="32"/>
  <c r="H680" i="32"/>
  <c r="AF679" i="32"/>
  <c r="AE679" i="32"/>
  <c r="H679" i="32"/>
  <c r="AF678" i="32"/>
  <c r="AE678" i="32"/>
  <c r="H678" i="32"/>
  <c r="AF677" i="32"/>
  <c r="AE677" i="32"/>
  <c r="H677" i="32"/>
  <c r="AF676" i="32"/>
  <c r="AE676" i="32"/>
  <c r="H676" i="32"/>
  <c r="AF675" i="32"/>
  <c r="AE675" i="32"/>
  <c r="H675" i="32"/>
  <c r="AF674" i="32"/>
  <c r="AE674" i="32"/>
  <c r="H674" i="32"/>
  <c r="AF673" i="32"/>
  <c r="AE673" i="32"/>
  <c r="H673" i="32"/>
  <c r="AF672" i="32"/>
  <c r="AE672" i="32"/>
  <c r="H672" i="32"/>
  <c r="AF671" i="32"/>
  <c r="AE671" i="32"/>
  <c r="H671" i="32"/>
  <c r="AF670" i="32"/>
  <c r="AE670" i="32"/>
  <c r="H670" i="32"/>
  <c r="AF669" i="32"/>
  <c r="AE669" i="32"/>
  <c r="H669" i="32"/>
  <c r="AF668" i="32"/>
  <c r="AE668" i="32"/>
  <c r="H668" i="32"/>
  <c r="AF667" i="32"/>
  <c r="AE667" i="32"/>
  <c r="H667" i="32"/>
  <c r="AF666" i="32"/>
  <c r="AE666" i="32"/>
  <c r="H666" i="32"/>
  <c r="AF665" i="32"/>
  <c r="AE665" i="32"/>
  <c r="T665" i="32"/>
  <c r="AF664" i="32"/>
  <c r="AE664" i="32"/>
  <c r="T664" i="32"/>
  <c r="AF663" i="32"/>
  <c r="AE663" i="32"/>
  <c r="T663" i="32"/>
  <c r="AF662" i="32"/>
  <c r="AE662" i="32"/>
  <c r="T662" i="32"/>
  <c r="AE661" i="32"/>
  <c r="T661" i="32"/>
  <c r="AE660" i="32"/>
  <c r="T660" i="32"/>
  <c r="AF659" i="32"/>
  <c r="AE659" i="32"/>
  <c r="T659" i="32"/>
  <c r="AF658" i="32"/>
  <c r="AE658" i="32"/>
  <c r="T658" i="32"/>
  <c r="AF657" i="32"/>
  <c r="AE657" i="32"/>
  <c r="AF656" i="32"/>
  <c r="AE656" i="32"/>
  <c r="AF655" i="32"/>
  <c r="AE655" i="32"/>
  <c r="AF654" i="32"/>
  <c r="AE654" i="32"/>
  <c r="AF653" i="32"/>
  <c r="AE653" i="32"/>
  <c r="AF652" i="32"/>
  <c r="AE652" i="32"/>
  <c r="AF651" i="32"/>
  <c r="AE651" i="32"/>
  <c r="AF650" i="32"/>
  <c r="AE650" i="32"/>
  <c r="AF649" i="32"/>
  <c r="AE649" i="32"/>
  <c r="AF648" i="32"/>
  <c r="AE648" i="32"/>
  <c r="AF647" i="32"/>
  <c r="AE647" i="32"/>
  <c r="AF646" i="32"/>
  <c r="AE646" i="32"/>
  <c r="AF645" i="32"/>
  <c r="AE645" i="32"/>
  <c r="AF644" i="32"/>
  <c r="AE644" i="32"/>
  <c r="AF643" i="32"/>
  <c r="AE643" i="32"/>
  <c r="AF642" i="32"/>
  <c r="AE642" i="32"/>
  <c r="AF641" i="32"/>
  <c r="AE641" i="32"/>
  <c r="AF640" i="32"/>
  <c r="AE640" i="32"/>
  <c r="AF639" i="32"/>
  <c r="AE639" i="32"/>
  <c r="AF638" i="32"/>
  <c r="AE638" i="32"/>
  <c r="AF637" i="32"/>
  <c r="AE637" i="32"/>
  <c r="AF636" i="32"/>
  <c r="AE636" i="32"/>
  <c r="AF635" i="32"/>
  <c r="AE635" i="32"/>
  <c r="AF634" i="32"/>
  <c r="AE634" i="32"/>
  <c r="AF633" i="32"/>
  <c r="AE633" i="32"/>
  <c r="AF632" i="32"/>
  <c r="AE632" i="32"/>
  <c r="AF631" i="32"/>
  <c r="AE631" i="32"/>
  <c r="AF630" i="32"/>
  <c r="AE630" i="32"/>
  <c r="AF629" i="32"/>
  <c r="AE629" i="32"/>
  <c r="AF628" i="32"/>
  <c r="AE628" i="32"/>
  <c r="AF627" i="32"/>
  <c r="AE627" i="32"/>
  <c r="AF626" i="32"/>
  <c r="AE626" i="32"/>
  <c r="AF625" i="32"/>
  <c r="AE625" i="32"/>
  <c r="AF624" i="32"/>
  <c r="AE624" i="32"/>
  <c r="AF623" i="32"/>
  <c r="AE623" i="32"/>
  <c r="AF622" i="32"/>
  <c r="AE622" i="32"/>
  <c r="AF621" i="32"/>
  <c r="AE621" i="32"/>
  <c r="AF620" i="32"/>
  <c r="AE620" i="32"/>
  <c r="AF619" i="32"/>
  <c r="AE619" i="32"/>
  <c r="AF618" i="32"/>
  <c r="AE618" i="32"/>
  <c r="AF617" i="32"/>
  <c r="AE617" i="32"/>
  <c r="AF616" i="32"/>
  <c r="AE616" i="32"/>
  <c r="AF615" i="32"/>
  <c r="AE615" i="32"/>
  <c r="AF614" i="32"/>
  <c r="AE614" i="32"/>
  <c r="AF613" i="32"/>
  <c r="AE613" i="32"/>
  <c r="AF612" i="32"/>
  <c r="AE612" i="32"/>
  <c r="AF611" i="32"/>
  <c r="AE611" i="32"/>
  <c r="AF610" i="32"/>
  <c r="AE610" i="32"/>
  <c r="AF609" i="32"/>
  <c r="AE609" i="32"/>
  <c r="AF608" i="32"/>
  <c r="AE608" i="32"/>
  <c r="AF607" i="32"/>
  <c r="AE607" i="32"/>
  <c r="AF606" i="32"/>
  <c r="AE606" i="32"/>
  <c r="AF605" i="32"/>
  <c r="AE605" i="32"/>
  <c r="AF604" i="32"/>
  <c r="AE604" i="32"/>
  <c r="AF603" i="32"/>
  <c r="AE603" i="32"/>
  <c r="AF602" i="32"/>
  <c r="AE602" i="32"/>
  <c r="AF601" i="32"/>
  <c r="AE601" i="32"/>
  <c r="AF600" i="32"/>
  <c r="AE600" i="32"/>
  <c r="AF599" i="32"/>
  <c r="AE599" i="32"/>
  <c r="AF598" i="32"/>
  <c r="AE598" i="32"/>
  <c r="AF597" i="32"/>
  <c r="AE597" i="32"/>
  <c r="AF596" i="32"/>
  <c r="AE596" i="32"/>
  <c r="AF595" i="32"/>
  <c r="AE595" i="32"/>
  <c r="AF594" i="32"/>
  <c r="AE594" i="32"/>
  <c r="AF593" i="32"/>
  <c r="AE593" i="32"/>
  <c r="AF592" i="32"/>
  <c r="AE592" i="32"/>
  <c r="AF591" i="32"/>
  <c r="AE591" i="32"/>
  <c r="AF590" i="32"/>
  <c r="AE590" i="32"/>
  <c r="AF589" i="32"/>
  <c r="AE589" i="32"/>
  <c r="AF588" i="32"/>
  <c r="AE588" i="32"/>
  <c r="AF587" i="32"/>
  <c r="AE587" i="32"/>
  <c r="AF586" i="32"/>
  <c r="AE586" i="32"/>
  <c r="AF585" i="32"/>
  <c r="AE585" i="32"/>
  <c r="AF584" i="32"/>
  <c r="AE584" i="32"/>
  <c r="AF583" i="32"/>
  <c r="AE583" i="32"/>
  <c r="AF582" i="32"/>
  <c r="AE582" i="32"/>
  <c r="AF581" i="32"/>
  <c r="AE581" i="32"/>
  <c r="AF580" i="32"/>
  <c r="AE580" i="32"/>
  <c r="AF579" i="32"/>
  <c r="AE579" i="32"/>
  <c r="AF578" i="32"/>
  <c r="AE578" i="32"/>
  <c r="AF577" i="32"/>
  <c r="AE577" i="32"/>
  <c r="AF576" i="32"/>
  <c r="AE576" i="32"/>
  <c r="AF575" i="32"/>
  <c r="AE575" i="32"/>
  <c r="AF574" i="32"/>
  <c r="AE574" i="32"/>
  <c r="AF573" i="32"/>
  <c r="AE573" i="32"/>
  <c r="AF572" i="32"/>
  <c r="AE572" i="32"/>
  <c r="AF571" i="32"/>
  <c r="AE571" i="32"/>
  <c r="AF570" i="32"/>
  <c r="AE570" i="32"/>
  <c r="AF569" i="32"/>
  <c r="AE569" i="32"/>
  <c r="AF568" i="32"/>
  <c r="AE568" i="32"/>
  <c r="AF567" i="32"/>
  <c r="AE567" i="32"/>
  <c r="AF566" i="32"/>
  <c r="AE566" i="32"/>
  <c r="AF565" i="32"/>
  <c r="AE565" i="32"/>
  <c r="AF564" i="32"/>
  <c r="AE564" i="32"/>
  <c r="AF563" i="32"/>
  <c r="AE563" i="32"/>
  <c r="AF562" i="32"/>
  <c r="AE562" i="32"/>
  <c r="AF561" i="32"/>
  <c r="AE561" i="32"/>
  <c r="AF560" i="32"/>
  <c r="AE560" i="32"/>
  <c r="AF559" i="32"/>
  <c r="AE559" i="32"/>
  <c r="AF555" i="32"/>
  <c r="AE555" i="32"/>
  <c r="AF554" i="32"/>
  <c r="AE554" i="32"/>
  <c r="AF553" i="32"/>
  <c r="AE553" i="32"/>
  <c r="AF552" i="32"/>
  <c r="AE552" i="32"/>
  <c r="AF551" i="32"/>
  <c r="AE551" i="32"/>
  <c r="AF550" i="32"/>
  <c r="AE550" i="32"/>
  <c r="AF549" i="32"/>
  <c r="AE549" i="32"/>
  <c r="AF548" i="32"/>
  <c r="AE548" i="32"/>
  <c r="AF547" i="32"/>
  <c r="AE547" i="32"/>
  <c r="AF546" i="32"/>
  <c r="AE546" i="32"/>
  <c r="AF545" i="32"/>
  <c r="AE545" i="32"/>
  <c r="AF544" i="32"/>
  <c r="AE544" i="32"/>
  <c r="AF543" i="32"/>
  <c r="AE543" i="32"/>
  <c r="AF542" i="32"/>
  <c r="AE542" i="32"/>
  <c r="AF541" i="32"/>
  <c r="AE541" i="32"/>
  <c r="AF540" i="32"/>
  <c r="AE540" i="32"/>
  <c r="AF539" i="32"/>
  <c r="AE539" i="32"/>
  <c r="AF538" i="32"/>
  <c r="AE538" i="32"/>
  <c r="AF537" i="32"/>
  <c r="AE537" i="32"/>
  <c r="AF536" i="32"/>
  <c r="AE536" i="32"/>
  <c r="AF535" i="32"/>
  <c r="AE535" i="32"/>
  <c r="AF534" i="32"/>
  <c r="AE534" i="32"/>
  <c r="AF533" i="32"/>
  <c r="AE533" i="32"/>
  <c r="AF532" i="32"/>
  <c r="AE532" i="32"/>
  <c r="AF531" i="32"/>
  <c r="AE531" i="32"/>
  <c r="AF530" i="32"/>
  <c r="AE530" i="32"/>
  <c r="AF529" i="32"/>
  <c r="AE529" i="32"/>
  <c r="AF528" i="32"/>
  <c r="AE528" i="32"/>
  <c r="AF527" i="32"/>
  <c r="AE527" i="32"/>
  <c r="AF526" i="32"/>
  <c r="AE526" i="32"/>
  <c r="AF522" i="32"/>
  <c r="AE522" i="32"/>
  <c r="AF520" i="32"/>
  <c r="AE520" i="32"/>
  <c r="AF519" i="32"/>
  <c r="AE519" i="32"/>
  <c r="AF518" i="32"/>
  <c r="AE518" i="32"/>
  <c r="AF517" i="32"/>
  <c r="AE517" i="32"/>
  <c r="AF516" i="32"/>
  <c r="AE516" i="32"/>
  <c r="AF515" i="32"/>
  <c r="AE515" i="32"/>
  <c r="AF514" i="32"/>
  <c r="AE514" i="32"/>
  <c r="AF513" i="32"/>
  <c r="AE513" i="32"/>
  <c r="AF512" i="32"/>
  <c r="AE512" i="32"/>
  <c r="AF511" i="32"/>
  <c r="AE511" i="32"/>
  <c r="AF510" i="32"/>
  <c r="AE510" i="32"/>
  <c r="AF509" i="32"/>
  <c r="AE509" i="32"/>
  <c r="AF508" i="32"/>
  <c r="AE508" i="32"/>
  <c r="AF507" i="32"/>
  <c r="AE507" i="32"/>
  <c r="AF506" i="32"/>
  <c r="AE506" i="32"/>
  <c r="AF505" i="32"/>
  <c r="AE505" i="32"/>
  <c r="AF504" i="32"/>
  <c r="AE504" i="32"/>
  <c r="AF503" i="32"/>
  <c r="AE503" i="32"/>
  <c r="AF502" i="32"/>
  <c r="AE502" i="32"/>
  <c r="AF501" i="32"/>
  <c r="AE501" i="32"/>
  <c r="AF500" i="32"/>
  <c r="AE500" i="32"/>
  <c r="AF499" i="32"/>
  <c r="AE499" i="32"/>
  <c r="AF498" i="32"/>
  <c r="AE498" i="32"/>
  <c r="AF497" i="32"/>
  <c r="AE497" i="32"/>
  <c r="AF496" i="32"/>
  <c r="AE496" i="32"/>
  <c r="AF495" i="32"/>
  <c r="AE495" i="32"/>
  <c r="AF494" i="32"/>
  <c r="AE494" i="32"/>
  <c r="AF493" i="32"/>
  <c r="AE493" i="32"/>
  <c r="AF492" i="32"/>
  <c r="AE492" i="32"/>
  <c r="AF491" i="32"/>
  <c r="AE491" i="32"/>
  <c r="AF490" i="32"/>
  <c r="AE490" i="32"/>
  <c r="AF489" i="32"/>
  <c r="AE489" i="32"/>
  <c r="AF488" i="32"/>
  <c r="AE488" i="32"/>
  <c r="AF487" i="32"/>
  <c r="AE487" i="32"/>
  <c r="AF486" i="32"/>
  <c r="AE486" i="32"/>
  <c r="AF485" i="32"/>
  <c r="AE485" i="32"/>
  <c r="AF484" i="32"/>
  <c r="AE484" i="32"/>
  <c r="AF483" i="32"/>
  <c r="AE483" i="32"/>
  <c r="AF482" i="32"/>
  <c r="AE482" i="32"/>
  <c r="AF481" i="32"/>
  <c r="AE481" i="32"/>
  <c r="AF480" i="32"/>
  <c r="AE480" i="32"/>
  <c r="T480" i="32"/>
  <c r="AF479" i="32"/>
  <c r="AE479" i="32"/>
  <c r="T479" i="32"/>
  <c r="AF478" i="32"/>
  <c r="AE478" i="32"/>
  <c r="T478" i="32"/>
  <c r="AF477" i="32"/>
  <c r="AE477" i="32"/>
  <c r="T477" i="32"/>
  <c r="AF476" i="32"/>
  <c r="AE476" i="32"/>
  <c r="AF475" i="32"/>
  <c r="AE475" i="32"/>
  <c r="AF474" i="32"/>
  <c r="AE474" i="32"/>
  <c r="AF473" i="32"/>
  <c r="AE473" i="32"/>
  <c r="AF472" i="32"/>
  <c r="AE472" i="32"/>
  <c r="AF471" i="32"/>
  <c r="AE471" i="32"/>
  <c r="AF470" i="32"/>
  <c r="AE470" i="32"/>
  <c r="AF469" i="32"/>
  <c r="AE469" i="32"/>
  <c r="AF468" i="32"/>
  <c r="AE468" i="32"/>
  <c r="AF467" i="32"/>
  <c r="AE467" i="32"/>
  <c r="AF466" i="32"/>
  <c r="AE466" i="32"/>
  <c r="AF465" i="32"/>
  <c r="AE465" i="32"/>
  <c r="AF464" i="32"/>
  <c r="AE464" i="32"/>
  <c r="AF463" i="32"/>
  <c r="AE463" i="32"/>
  <c r="AF462" i="32"/>
  <c r="AE462" i="32"/>
  <c r="AF461" i="32"/>
  <c r="AE461" i="32"/>
  <c r="AF460" i="32"/>
  <c r="AE460" i="32"/>
  <c r="AF459" i="32"/>
  <c r="AE459" i="32"/>
  <c r="AF458" i="32"/>
  <c r="AE458" i="32"/>
  <c r="AF457" i="32"/>
  <c r="AE457" i="32"/>
  <c r="AF456" i="32"/>
  <c r="AE456" i="32"/>
  <c r="AF455" i="32"/>
  <c r="AE455" i="32"/>
  <c r="AF454" i="32"/>
  <c r="AE454" i="32"/>
  <c r="AF453" i="32"/>
  <c r="AE453" i="32"/>
  <c r="AF452" i="32"/>
  <c r="AE452" i="32"/>
  <c r="AF451" i="32"/>
  <c r="AE451" i="32"/>
  <c r="AF450" i="32"/>
  <c r="AE450" i="32"/>
  <c r="AF449" i="32"/>
  <c r="AE449" i="32"/>
  <c r="AF448" i="32"/>
  <c r="AE448" i="32"/>
  <c r="AF447" i="32"/>
  <c r="AE447" i="32"/>
  <c r="AF446" i="32"/>
  <c r="AE446" i="32"/>
  <c r="AF445" i="32"/>
  <c r="AE445" i="32"/>
  <c r="AF444" i="32"/>
  <c r="AE444" i="32"/>
  <c r="AF443" i="32"/>
  <c r="AE443" i="32"/>
  <c r="AF442" i="32"/>
  <c r="AE442" i="32"/>
  <c r="AF441" i="32"/>
  <c r="AE441" i="32"/>
  <c r="AF440" i="32"/>
  <c r="AE440" i="32"/>
  <c r="AF439" i="32"/>
  <c r="AE439" i="32"/>
  <c r="AF438" i="32"/>
  <c r="AE438" i="32"/>
  <c r="AF437" i="32"/>
  <c r="AE437" i="32"/>
  <c r="AF436" i="32"/>
  <c r="AE436" i="32"/>
  <c r="AF435" i="32"/>
  <c r="AE435" i="32"/>
  <c r="AF434" i="32"/>
  <c r="AE434" i="32"/>
  <c r="AF433" i="32"/>
  <c r="AE433" i="32"/>
  <c r="AF432" i="32"/>
  <c r="AE432" i="32"/>
  <c r="AF431" i="32"/>
  <c r="AE431" i="32"/>
  <c r="AF430" i="32"/>
  <c r="AE430" i="32"/>
  <c r="AF429" i="32"/>
  <c r="AE429" i="32"/>
  <c r="AF428" i="32"/>
  <c r="AE428" i="32"/>
  <c r="AF427" i="32"/>
  <c r="AE427" i="32"/>
  <c r="AF426" i="32"/>
  <c r="AE426" i="32"/>
  <c r="AF425" i="32"/>
  <c r="AE425" i="32"/>
  <c r="AF424" i="32"/>
  <c r="AE424" i="32"/>
  <c r="AF423" i="32"/>
  <c r="AE423" i="32"/>
  <c r="AF422" i="32"/>
  <c r="AE422" i="32"/>
  <c r="AF421" i="32"/>
  <c r="AE421" i="32"/>
  <c r="AF420" i="32"/>
  <c r="AE420" i="32"/>
  <c r="AF419" i="32"/>
  <c r="AE419" i="32"/>
  <c r="AF418" i="32"/>
  <c r="AE418" i="32"/>
  <c r="AF417" i="32"/>
  <c r="AE417" i="32"/>
  <c r="AF416" i="32"/>
  <c r="AE416" i="32"/>
  <c r="AF415" i="32"/>
  <c r="AE415" i="32"/>
  <c r="AF414" i="32"/>
  <c r="AE414" i="32"/>
  <c r="AF413" i="32"/>
  <c r="AE413" i="32"/>
  <c r="AF412" i="32"/>
  <c r="AE412" i="32"/>
  <c r="AF411" i="32"/>
  <c r="AE411" i="32"/>
  <c r="AF410" i="32"/>
  <c r="AE410" i="32"/>
  <c r="AF409" i="32"/>
  <c r="AE409" i="32"/>
  <c r="AF408" i="32"/>
  <c r="AE408" i="32"/>
  <c r="AF407" i="32"/>
  <c r="AE407" i="32"/>
  <c r="AF406" i="32"/>
  <c r="AE406" i="32"/>
  <c r="AF405" i="32"/>
  <c r="AE405" i="32"/>
  <c r="AF404" i="32"/>
  <c r="AE404" i="32"/>
  <c r="AF403" i="32"/>
  <c r="AE403" i="32"/>
  <c r="AF402" i="32"/>
  <c r="AE402" i="32"/>
  <c r="AF401" i="32"/>
  <c r="AE401" i="32"/>
  <c r="AF400" i="32"/>
  <c r="AE400" i="32"/>
  <c r="AF399" i="32"/>
  <c r="AE399" i="32"/>
  <c r="AF398" i="32"/>
  <c r="AE398" i="32"/>
  <c r="AF397" i="32"/>
  <c r="AE397" i="32"/>
  <c r="AF396" i="32"/>
  <c r="AE396" i="32"/>
  <c r="AF395" i="32"/>
  <c r="AE395" i="32"/>
  <c r="AF394" i="32"/>
  <c r="AE394" i="32"/>
  <c r="AF393" i="32"/>
  <c r="AE393" i="32"/>
  <c r="AF392" i="32"/>
  <c r="AE392" i="32"/>
  <c r="AF391" i="32"/>
  <c r="AE391" i="32"/>
  <c r="AF390" i="32"/>
  <c r="AE390" i="32"/>
  <c r="AF389" i="32"/>
  <c r="AE389" i="32"/>
  <c r="AF388" i="32"/>
  <c r="AE388" i="32"/>
  <c r="AF387" i="32"/>
  <c r="AE387" i="32"/>
  <c r="AE386" i="32"/>
  <c r="T386" i="32"/>
  <c r="AE385" i="32"/>
  <c r="T385" i="32"/>
  <c r="AF384" i="32"/>
  <c r="AE384" i="32"/>
  <c r="AF383" i="32"/>
  <c r="AE383" i="32"/>
  <c r="AF382" i="32"/>
  <c r="AE382" i="32"/>
  <c r="AF381" i="32"/>
  <c r="AE381" i="32"/>
  <c r="AF380" i="32"/>
  <c r="AE380" i="32"/>
  <c r="AF379" i="32"/>
  <c r="AE379" i="32"/>
  <c r="AF378" i="32"/>
  <c r="AE378" i="32"/>
  <c r="AF377" i="32"/>
  <c r="AE377" i="32"/>
  <c r="AF376" i="32"/>
  <c r="AE376" i="32"/>
  <c r="AF375" i="32"/>
  <c r="AE375" i="32"/>
  <c r="AF374" i="32"/>
  <c r="AE374" i="32"/>
  <c r="AF373" i="32"/>
  <c r="AE373" i="32"/>
  <c r="AF369" i="32"/>
  <c r="AE369" i="32"/>
  <c r="AF368" i="32"/>
  <c r="AE368" i="32"/>
  <c r="AF367" i="32"/>
  <c r="AE367" i="32"/>
  <c r="AF366" i="32"/>
  <c r="AE366" i="32"/>
  <c r="AF365" i="32"/>
  <c r="AE365" i="32"/>
  <c r="AF364" i="32"/>
  <c r="AE364" i="32"/>
  <c r="AF363" i="32"/>
  <c r="AE363" i="32"/>
  <c r="AF362" i="32"/>
  <c r="AE362" i="32"/>
  <c r="AF361" i="32"/>
  <c r="AE361" i="32"/>
  <c r="AF360" i="32"/>
  <c r="AE360" i="32"/>
  <c r="AF359" i="32"/>
  <c r="AE359" i="32"/>
  <c r="AF358" i="32"/>
  <c r="AE358" i="32"/>
  <c r="AF357" i="32"/>
  <c r="AE357" i="32"/>
  <c r="AF356" i="32"/>
  <c r="AE356" i="32"/>
  <c r="AF355" i="32"/>
  <c r="AE355" i="32"/>
  <c r="AF354" i="32"/>
  <c r="AE354" i="32"/>
  <c r="AF353" i="32"/>
  <c r="AE353" i="32"/>
  <c r="AF352" i="32"/>
  <c r="AE352" i="32"/>
  <c r="AF351" i="32"/>
  <c r="AE351" i="32"/>
  <c r="AF350" i="32"/>
  <c r="AE350" i="32"/>
  <c r="AF349" i="32"/>
  <c r="AE349" i="32"/>
  <c r="AF348" i="32"/>
  <c r="AE348" i="32"/>
  <c r="T348" i="32"/>
  <c r="AF347" i="32"/>
  <c r="AE347" i="32"/>
  <c r="AF346" i="32"/>
  <c r="AE346" i="32"/>
  <c r="AF345" i="32"/>
  <c r="AE345" i="32"/>
  <c r="AF344" i="32"/>
  <c r="AE344" i="32"/>
  <c r="AF343" i="32"/>
  <c r="AE343" i="32"/>
  <c r="AF342" i="32"/>
  <c r="AE342" i="32"/>
  <c r="AF341" i="32"/>
  <c r="AE341" i="32"/>
  <c r="AF340" i="32"/>
  <c r="AE340" i="32"/>
  <c r="AF336" i="32"/>
  <c r="AE336" i="32"/>
  <c r="AF335" i="32"/>
  <c r="AE335" i="32"/>
  <c r="AF334" i="32"/>
  <c r="AE334" i="32"/>
  <c r="AF333" i="32"/>
  <c r="AE333" i="32"/>
  <c r="AF332" i="32"/>
  <c r="AE332" i="32"/>
  <c r="AF331" i="32"/>
  <c r="AE331" i="32"/>
  <c r="AF330" i="32"/>
  <c r="AE330" i="32"/>
  <c r="AF329" i="32"/>
  <c r="AE329" i="32"/>
  <c r="AF328" i="32"/>
  <c r="AE328" i="32"/>
  <c r="AF327" i="32"/>
  <c r="AE327" i="32"/>
  <c r="AF326" i="32"/>
  <c r="AE326" i="32"/>
  <c r="AF325" i="32"/>
  <c r="AE325" i="32"/>
  <c r="AF324" i="32"/>
  <c r="AE324" i="32"/>
  <c r="AF323" i="32"/>
  <c r="AE323" i="32"/>
  <c r="AF322" i="32"/>
  <c r="AE322" i="32"/>
  <c r="AF321" i="32"/>
  <c r="AE321" i="32"/>
  <c r="AF320" i="32"/>
  <c r="AE320" i="32"/>
  <c r="AF319" i="32"/>
  <c r="AE319" i="32"/>
  <c r="AF318" i="32"/>
  <c r="AE318" i="32"/>
  <c r="AF317" i="32"/>
  <c r="AE317" i="32"/>
  <c r="AF316" i="32"/>
  <c r="AE316" i="32"/>
  <c r="AF315" i="32"/>
  <c r="AE315" i="32"/>
  <c r="AF314" i="32"/>
  <c r="AE314" i="32"/>
  <c r="AF313" i="32"/>
  <c r="AE313" i="32"/>
  <c r="AF312" i="32"/>
  <c r="AE312" i="32"/>
  <c r="T312" i="32"/>
  <c r="AF311" i="32"/>
  <c r="AE311" i="32"/>
  <c r="AF310" i="32"/>
  <c r="AE310" i="32"/>
  <c r="AF309" i="32"/>
  <c r="AE309" i="32"/>
  <c r="AF308" i="32"/>
  <c r="AE308" i="32"/>
  <c r="AF307" i="32"/>
  <c r="AE307" i="32"/>
  <c r="AF306" i="32"/>
  <c r="AE306" i="32"/>
  <c r="AF305" i="32"/>
  <c r="AE305" i="32"/>
  <c r="AF304" i="32"/>
  <c r="AE304" i="32"/>
  <c r="AF303" i="32"/>
  <c r="AE303" i="32"/>
  <c r="AF302" i="32"/>
  <c r="AE302" i="32"/>
  <c r="AF301" i="32"/>
  <c r="AE301" i="32"/>
  <c r="AF300" i="32"/>
  <c r="AE300" i="32"/>
  <c r="AF299" i="32"/>
  <c r="AE299" i="32"/>
  <c r="AF298" i="32"/>
  <c r="AE298" i="32"/>
  <c r="AF297" i="32"/>
  <c r="AE297" i="32"/>
  <c r="AF296" i="32"/>
  <c r="AE296" i="32"/>
  <c r="AF295" i="32"/>
  <c r="AE295" i="32"/>
  <c r="AF294" i="32"/>
  <c r="AE294" i="32"/>
  <c r="T294" i="32"/>
  <c r="AF293" i="32"/>
  <c r="AE293" i="32"/>
  <c r="T293" i="32"/>
  <c r="AF292" i="32"/>
  <c r="AE292" i="32"/>
  <c r="T292" i="32"/>
  <c r="AF291" i="32"/>
  <c r="AE291" i="32"/>
  <c r="T291" i="32"/>
  <c r="AF290" i="32"/>
  <c r="AE290" i="32"/>
  <c r="AF289" i="32"/>
  <c r="AE289" i="32"/>
  <c r="AF287" i="32"/>
  <c r="AE287" i="32"/>
  <c r="AF286" i="32"/>
  <c r="AE286" i="32"/>
  <c r="AF285" i="32"/>
  <c r="AE285" i="32"/>
  <c r="AF284" i="32"/>
  <c r="AE284" i="32"/>
  <c r="AF283" i="32"/>
  <c r="AE283" i="32"/>
  <c r="AF282" i="32"/>
  <c r="AE282" i="32"/>
  <c r="AF281" i="32"/>
  <c r="AE281" i="32"/>
  <c r="AF280" i="32"/>
  <c r="AE280" i="32"/>
  <c r="AF279" i="32"/>
  <c r="AE279" i="32"/>
  <c r="AF278" i="32"/>
  <c r="AE278" i="32"/>
  <c r="AF277" i="32"/>
  <c r="AE277" i="32"/>
  <c r="AF274" i="32"/>
  <c r="AE274" i="32"/>
  <c r="AF273" i="32"/>
  <c r="AE273" i="32"/>
  <c r="AF272" i="32"/>
  <c r="AE272" i="32"/>
  <c r="AF271" i="32"/>
  <c r="AE271" i="32"/>
  <c r="AF270" i="32"/>
  <c r="AE270" i="32"/>
  <c r="AF269" i="32"/>
  <c r="AE269" i="32"/>
  <c r="AF268" i="32"/>
  <c r="AE268" i="32"/>
  <c r="AF267" i="32"/>
  <c r="AE267" i="32"/>
  <c r="AF266" i="32"/>
  <c r="AE266" i="32"/>
  <c r="AF265" i="32"/>
  <c r="AE265" i="32"/>
  <c r="AF264" i="32"/>
  <c r="AE264" i="32"/>
  <c r="AF263" i="32"/>
  <c r="AE263" i="32"/>
  <c r="AF262" i="32"/>
  <c r="AE262" i="32"/>
  <c r="AF261" i="32"/>
  <c r="AE261" i="32"/>
  <c r="AF260" i="32"/>
  <c r="AE260" i="32"/>
  <c r="AF258" i="32"/>
  <c r="AE258" i="32"/>
  <c r="AF257" i="32"/>
  <c r="AE257" i="32"/>
  <c r="AE256" i="32"/>
  <c r="T256" i="32"/>
  <c r="AE255" i="32"/>
  <c r="T255" i="32"/>
  <c r="AF253" i="32"/>
  <c r="AE253" i="32"/>
  <c r="AF252" i="32"/>
  <c r="AE252" i="32"/>
  <c r="AF251" i="32"/>
  <c r="AE251" i="32"/>
  <c r="AF250" i="32"/>
  <c r="AE250" i="32"/>
  <c r="AF249" i="32"/>
  <c r="AE249" i="32"/>
  <c r="AF248" i="32"/>
  <c r="AE248" i="32"/>
  <c r="AF246" i="32"/>
  <c r="AE246" i="32"/>
  <c r="AF245" i="32"/>
  <c r="AE245" i="32"/>
  <c r="AF244" i="32"/>
  <c r="AE244" i="32"/>
  <c r="AF243" i="32"/>
  <c r="AE243" i="32"/>
  <c r="AF242" i="32"/>
  <c r="AE242" i="32"/>
  <c r="AF241" i="32"/>
  <c r="AE241" i="32"/>
  <c r="AF240" i="32"/>
  <c r="AE240" i="32"/>
  <c r="AF239" i="32"/>
  <c r="AE239" i="32"/>
  <c r="AF238" i="32"/>
  <c r="AE238" i="32"/>
  <c r="T238" i="32"/>
  <c r="AF237" i="32"/>
  <c r="AE237" i="32"/>
  <c r="AF235" i="32"/>
  <c r="AE235" i="32"/>
  <c r="AF234" i="32"/>
  <c r="AE234" i="32"/>
  <c r="AF233" i="32"/>
  <c r="AE233" i="32"/>
  <c r="AF230" i="32"/>
  <c r="AE230" i="32"/>
  <c r="AF229" i="32"/>
  <c r="AE229" i="32"/>
  <c r="AF228" i="32"/>
  <c r="AE228" i="32"/>
  <c r="AF227" i="32"/>
  <c r="AE227" i="32"/>
  <c r="AF226" i="32"/>
  <c r="AE226" i="32"/>
  <c r="AF225" i="32"/>
  <c r="AE225" i="32"/>
  <c r="AF224" i="32"/>
  <c r="AE224" i="32"/>
  <c r="AF223" i="32"/>
  <c r="AE223" i="32"/>
  <c r="AF222" i="32"/>
  <c r="AE222" i="32"/>
  <c r="T222" i="32"/>
  <c r="AF221" i="32"/>
  <c r="AE221" i="32"/>
  <c r="T221" i="32"/>
  <c r="AF220" i="32"/>
  <c r="AE220" i="32"/>
  <c r="T220" i="32"/>
  <c r="AF219" i="32"/>
  <c r="AE219" i="32"/>
  <c r="T219" i="32"/>
  <c r="AF218" i="32"/>
  <c r="AE218" i="32"/>
  <c r="AF217" i="32"/>
  <c r="AE217" i="32"/>
  <c r="AF216" i="32"/>
  <c r="AE216" i="32"/>
  <c r="AF215" i="32"/>
  <c r="AE215" i="32"/>
  <c r="AF214" i="32"/>
  <c r="AE214" i="32"/>
  <c r="AF213" i="32"/>
  <c r="AE213" i="32"/>
  <c r="AF212" i="32"/>
  <c r="AE212" i="32"/>
  <c r="AF211" i="32"/>
  <c r="AE211" i="32"/>
  <c r="AF210" i="32"/>
  <c r="AE210" i="32"/>
  <c r="AF209" i="32"/>
  <c r="AE209" i="32"/>
  <c r="AF208" i="32"/>
  <c r="AE208" i="32"/>
  <c r="AF207" i="32"/>
  <c r="AE207" i="32"/>
  <c r="AF206" i="32"/>
  <c r="AE206" i="32"/>
  <c r="AF205" i="32"/>
  <c r="AE205" i="32"/>
  <c r="AF204" i="32"/>
  <c r="AE204" i="32"/>
  <c r="AF203" i="32"/>
  <c r="AE203" i="32"/>
  <c r="AF202" i="32"/>
  <c r="AE202" i="32"/>
  <c r="AF201" i="32"/>
  <c r="AE201" i="32"/>
  <c r="AF200" i="32"/>
  <c r="AE200" i="32"/>
  <c r="AF199" i="32"/>
  <c r="AE199" i="32"/>
  <c r="AF198" i="32"/>
  <c r="AE198" i="32"/>
  <c r="AF197" i="32"/>
  <c r="AE197" i="32"/>
  <c r="AF196" i="32"/>
  <c r="AE196" i="32"/>
  <c r="AF195" i="32"/>
  <c r="AE195" i="32"/>
  <c r="AF194" i="32"/>
  <c r="AE194" i="32"/>
  <c r="AF193" i="32"/>
  <c r="AE193" i="32"/>
  <c r="AF192" i="32"/>
  <c r="AE192" i="32"/>
  <c r="AF191" i="32"/>
  <c r="AE191" i="32"/>
  <c r="AF190" i="32"/>
  <c r="AE190" i="32"/>
  <c r="AF189" i="32"/>
  <c r="AE189" i="32"/>
  <c r="AF188" i="32"/>
  <c r="AE188" i="32"/>
  <c r="AF187" i="32"/>
  <c r="AE187" i="32"/>
  <c r="AF186" i="32"/>
  <c r="AE186" i="32"/>
  <c r="AF185" i="32"/>
  <c r="AE185" i="32"/>
  <c r="AF184" i="32"/>
  <c r="AE184" i="32"/>
  <c r="AF183" i="32"/>
  <c r="AE183" i="32"/>
  <c r="AF182" i="32"/>
  <c r="AE182" i="32"/>
  <c r="AF181" i="32"/>
  <c r="AE181" i="32"/>
  <c r="AF180" i="32"/>
  <c r="AE180" i="32"/>
  <c r="AF179" i="32"/>
  <c r="AE179" i="32"/>
  <c r="AF178" i="32"/>
  <c r="AE178" i="32"/>
  <c r="AF177" i="32"/>
  <c r="AE177" i="32"/>
  <c r="AF176" i="32"/>
  <c r="AE176" i="32"/>
  <c r="AF175" i="32"/>
  <c r="AE175" i="32"/>
  <c r="AF174" i="32"/>
  <c r="AE174" i="32"/>
  <c r="AF173" i="32"/>
  <c r="AE173" i="32"/>
  <c r="AF172" i="32"/>
  <c r="AE172" i="32"/>
  <c r="AF171" i="32"/>
  <c r="AE171" i="32"/>
  <c r="AF170" i="32"/>
  <c r="AE170" i="32"/>
  <c r="AF169" i="32"/>
  <c r="AE169" i="32"/>
  <c r="AF168" i="32"/>
  <c r="AE168" i="32"/>
  <c r="AE167" i="32"/>
  <c r="T167" i="32"/>
  <c r="AE166" i="32"/>
  <c r="T166" i="32"/>
  <c r="AF164" i="32"/>
  <c r="AE164" i="32"/>
  <c r="AF163" i="32"/>
  <c r="AE163" i="32"/>
  <c r="AF162" i="32"/>
  <c r="AE162" i="32"/>
  <c r="AF161" i="32"/>
  <c r="AE161" i="32"/>
  <c r="AF160" i="32"/>
  <c r="AE160" i="32"/>
  <c r="AF159" i="32"/>
  <c r="AE159" i="32"/>
  <c r="AF158" i="32"/>
  <c r="AE158" i="32"/>
  <c r="AF157" i="32"/>
  <c r="AE157" i="32"/>
  <c r="AF156" i="32"/>
  <c r="AE156" i="32"/>
  <c r="AF155" i="32"/>
  <c r="AE155" i="32"/>
  <c r="AF154" i="32"/>
  <c r="AE154" i="32"/>
  <c r="AF153" i="32"/>
  <c r="AE153" i="32"/>
  <c r="AF152" i="32"/>
  <c r="AE152" i="32"/>
  <c r="AF151" i="32"/>
  <c r="AE151" i="32"/>
  <c r="AF150" i="32"/>
  <c r="AE150" i="32"/>
  <c r="AF149" i="32"/>
  <c r="AE149" i="32"/>
  <c r="AF148" i="32"/>
  <c r="AE148" i="32"/>
  <c r="AF146" i="32"/>
  <c r="AE146" i="32"/>
  <c r="AF145" i="32"/>
  <c r="AE145" i="32"/>
  <c r="AF144" i="32"/>
  <c r="AE144" i="32"/>
  <c r="AF143" i="32"/>
  <c r="AE143" i="32"/>
  <c r="AF142" i="32"/>
  <c r="AE142" i="32"/>
  <c r="AF141" i="32"/>
  <c r="AE141" i="32"/>
  <c r="AF140" i="32"/>
  <c r="AE140" i="32"/>
  <c r="T140" i="32"/>
  <c r="AF139" i="32"/>
  <c r="AE139" i="32"/>
  <c r="AF138" i="32"/>
  <c r="AE138" i="32"/>
  <c r="AF137" i="32"/>
  <c r="AE137" i="32"/>
  <c r="AF136" i="32"/>
  <c r="AE136" i="32"/>
  <c r="AF134" i="32"/>
  <c r="AE134" i="32"/>
  <c r="AF133" i="32"/>
  <c r="AE133" i="32"/>
  <c r="AF132" i="32"/>
  <c r="AE132" i="32"/>
  <c r="AF131" i="32"/>
  <c r="AE131" i="32"/>
  <c r="AF129" i="32"/>
  <c r="AE129" i="32"/>
  <c r="AF128" i="32"/>
  <c r="AE128" i="32"/>
  <c r="AF127" i="32"/>
  <c r="AE127" i="32"/>
  <c r="AF126" i="32"/>
  <c r="AE126" i="32"/>
  <c r="AF125" i="32"/>
  <c r="AE125" i="32"/>
  <c r="AF124" i="32"/>
  <c r="AE124" i="32"/>
  <c r="AF123" i="32"/>
  <c r="AE123" i="32"/>
  <c r="AF122" i="32"/>
  <c r="AE122" i="32"/>
  <c r="AF121" i="32"/>
  <c r="AE121" i="32"/>
  <c r="AF120" i="32"/>
  <c r="AE120" i="32"/>
  <c r="AF118" i="32"/>
  <c r="AE118" i="32"/>
  <c r="AF117" i="32"/>
  <c r="AE117" i="32"/>
  <c r="T117" i="32"/>
  <c r="AF116" i="32"/>
  <c r="AE116" i="32"/>
  <c r="T116" i="32"/>
  <c r="AF115" i="32"/>
  <c r="AE115" i="32"/>
  <c r="T115" i="32"/>
  <c r="AF114" i="32"/>
  <c r="AE114" i="32"/>
  <c r="T114" i="32"/>
  <c r="AF113" i="32"/>
  <c r="AE113" i="32"/>
  <c r="AF112" i="32"/>
  <c r="AE112" i="32"/>
  <c r="AF111" i="32"/>
  <c r="AE111" i="32"/>
  <c r="AF110" i="32"/>
  <c r="AE110" i="32"/>
  <c r="AF109" i="32"/>
  <c r="AE109" i="32"/>
  <c r="AF108" i="32"/>
  <c r="AE108" i="32"/>
  <c r="AF107" i="32"/>
  <c r="AE107" i="32"/>
  <c r="AF106" i="32"/>
  <c r="AE106" i="32"/>
  <c r="AF105" i="32"/>
  <c r="AE105" i="32"/>
  <c r="AF104" i="32"/>
  <c r="AE104" i="32"/>
  <c r="AF103" i="32"/>
  <c r="AE103" i="32"/>
  <c r="AF102" i="32"/>
  <c r="AE102" i="32"/>
  <c r="AF101" i="32"/>
  <c r="AE101" i="32"/>
  <c r="AF100" i="32"/>
  <c r="AE100" i="32"/>
  <c r="AF99" i="32"/>
  <c r="AE99" i="32"/>
  <c r="AF98" i="32"/>
  <c r="AE98" i="32"/>
  <c r="AF97" i="32"/>
  <c r="AE97" i="32"/>
  <c r="AF96" i="32"/>
  <c r="AE96" i="32"/>
  <c r="AF95" i="32"/>
  <c r="AE95" i="32"/>
  <c r="AF94" i="32"/>
  <c r="AE94" i="32"/>
  <c r="AF93" i="32"/>
  <c r="AE93" i="32"/>
  <c r="AF92" i="32"/>
  <c r="AE92" i="32"/>
  <c r="AF91" i="32"/>
  <c r="AE91" i="32"/>
  <c r="AF90" i="32"/>
  <c r="AE90" i="32"/>
  <c r="AF89" i="32"/>
  <c r="AE89" i="32"/>
  <c r="AF88" i="32"/>
  <c r="AE88" i="32"/>
  <c r="AF87" i="32"/>
  <c r="AE87" i="32"/>
  <c r="AF86" i="32"/>
  <c r="AE86" i="32"/>
  <c r="AF85" i="32"/>
  <c r="AE85" i="32"/>
  <c r="AF84" i="32"/>
  <c r="AE84" i="32"/>
  <c r="AF83" i="32"/>
  <c r="AE83" i="32"/>
  <c r="T83" i="32"/>
  <c r="AF82" i="32"/>
  <c r="AE82" i="32"/>
  <c r="AF80" i="32"/>
  <c r="AE80" i="32"/>
  <c r="AF79" i="32"/>
  <c r="AE79" i="32"/>
  <c r="AF78" i="32"/>
  <c r="AE78" i="32"/>
  <c r="AF77" i="32"/>
  <c r="AE77" i="32"/>
  <c r="AF76" i="32"/>
  <c r="AE76" i="32"/>
  <c r="AF75" i="32"/>
  <c r="AE75" i="32"/>
  <c r="AF74" i="32"/>
  <c r="AE74" i="32"/>
  <c r="AF73" i="32"/>
  <c r="AE73" i="32"/>
  <c r="AF72" i="32"/>
  <c r="AE72" i="32"/>
  <c r="AF71" i="32"/>
  <c r="AE71" i="32"/>
  <c r="AF70" i="32"/>
  <c r="AE70" i="32"/>
  <c r="AF69" i="32"/>
  <c r="AE69" i="32"/>
  <c r="AF68" i="32"/>
  <c r="AE68" i="32"/>
  <c r="AF67" i="32"/>
  <c r="AE67" i="32"/>
  <c r="AF66" i="32"/>
  <c r="AE66" i="32"/>
  <c r="AF65" i="32"/>
  <c r="AE65" i="32"/>
  <c r="AF64" i="32"/>
  <c r="AE64" i="32"/>
  <c r="AF63" i="32"/>
  <c r="AE63" i="32"/>
  <c r="AE62" i="32"/>
  <c r="T62" i="32"/>
  <c r="AE61" i="32"/>
  <c r="T61" i="32"/>
  <c r="AF60" i="32"/>
  <c r="AE60" i="32"/>
  <c r="AF59" i="32"/>
  <c r="AE59" i="32"/>
  <c r="AF58" i="32"/>
  <c r="AE58" i="32"/>
  <c r="AF57" i="32"/>
  <c r="AE57" i="32"/>
  <c r="AF56" i="32"/>
  <c r="AE56" i="32"/>
  <c r="AF55" i="32"/>
  <c r="AE55" i="32"/>
  <c r="AF54" i="32"/>
  <c r="AE54" i="32"/>
  <c r="AF53" i="32"/>
  <c r="AE53" i="32"/>
  <c r="AF52" i="32"/>
  <c r="AE52" i="32"/>
  <c r="AF51" i="32"/>
  <c r="AE51" i="32"/>
  <c r="AF50" i="32"/>
  <c r="AE50" i="32"/>
  <c r="AF49" i="32"/>
  <c r="AE49" i="32"/>
  <c r="AF48" i="32"/>
  <c r="AE48" i="32"/>
  <c r="AF47" i="32"/>
  <c r="AE47" i="32"/>
  <c r="AF46" i="32"/>
  <c r="AE46" i="32"/>
  <c r="AF45" i="32"/>
  <c r="AE45" i="32"/>
  <c r="AF44" i="32"/>
  <c r="AE44" i="32"/>
  <c r="AF43" i="32"/>
  <c r="AE43" i="32"/>
  <c r="AF42" i="32"/>
  <c r="AE42" i="32"/>
  <c r="AF41" i="32"/>
  <c r="AE41" i="32"/>
  <c r="AF40" i="32"/>
  <c r="AE40" i="32"/>
  <c r="AF39" i="32"/>
  <c r="AE39" i="32"/>
  <c r="AF38" i="32"/>
  <c r="AE38" i="32"/>
  <c r="AF37" i="32"/>
  <c r="AE37" i="32"/>
  <c r="AF36" i="32"/>
  <c r="AE36" i="32"/>
  <c r="T36" i="32"/>
  <c r="AF35" i="32"/>
  <c r="AE35" i="32"/>
  <c r="AF34" i="32"/>
  <c r="AE34" i="32"/>
  <c r="AF33" i="32"/>
  <c r="AE33" i="32"/>
  <c r="AF32" i="32"/>
  <c r="AE32" i="32"/>
  <c r="AF31" i="32"/>
  <c r="AE31" i="32"/>
  <c r="AF30" i="32"/>
  <c r="AE30" i="32"/>
  <c r="AF29" i="32"/>
  <c r="AE29" i="32"/>
  <c r="AF28" i="32"/>
  <c r="AE28" i="32"/>
  <c r="AF27" i="32"/>
  <c r="AE27" i="32"/>
  <c r="AF26" i="32"/>
  <c r="AE26" i="32"/>
  <c r="AF25" i="32"/>
  <c r="AE25" i="32"/>
  <c r="AF24" i="32"/>
  <c r="AE24" i="32"/>
  <c r="AF23" i="32"/>
  <c r="AE23" i="32"/>
  <c r="AF22" i="32"/>
  <c r="AE22" i="32"/>
  <c r="T22" i="32"/>
  <c r="AF21" i="32"/>
  <c r="AE21" i="32"/>
  <c r="AF20" i="32"/>
  <c r="AE20" i="32"/>
  <c r="T20" i="32"/>
  <c r="AF19" i="32"/>
  <c r="AE19" i="32"/>
  <c r="AF18" i="32"/>
  <c r="AE18" i="32"/>
  <c r="AF17" i="32"/>
  <c r="AE17" i="32"/>
  <c r="AF16" i="32"/>
  <c r="AE16" i="32"/>
  <c r="AF15" i="32"/>
  <c r="AE15" i="32"/>
  <c r="AF14" i="32"/>
  <c r="AE14" i="32"/>
  <c r="T14" i="32"/>
  <c r="AF13" i="32"/>
  <c r="AE13" i="32"/>
  <c r="AF12" i="32"/>
  <c r="AE12" i="32"/>
  <c r="B12" i="32"/>
  <c r="B13" i="32" s="1"/>
  <c r="B14" i="32" s="1"/>
  <c r="B15" i="32" s="1"/>
  <c r="B16" i="32" s="1"/>
  <c r="B17" i="32" s="1"/>
  <c r="B18" i="32" s="1"/>
  <c r="B19" i="32" s="1"/>
  <c r="B20" i="32" s="1"/>
  <c r="B21" i="32" s="1"/>
  <c r="B22" i="32" s="1"/>
  <c r="B23" i="32" s="1"/>
  <c r="B24" i="32" s="1"/>
  <c r="B25" i="32" s="1"/>
  <c r="B26" i="32" s="1"/>
  <c r="B27" i="32" s="1"/>
  <c r="B28" i="32" s="1"/>
  <c r="B29" i="32" s="1"/>
  <c r="B30" i="32" s="1"/>
  <c r="B31" i="32" s="1"/>
  <c r="B32" i="32" s="1"/>
  <c r="B33" i="32" s="1"/>
  <c r="B34" i="32" s="1"/>
  <c r="B35" i="32" s="1"/>
  <c r="B36" i="32" s="1"/>
  <c r="B37" i="32" s="1"/>
  <c r="B38" i="32" s="1"/>
  <c r="B39" i="32" s="1"/>
  <c r="B40" i="32" s="1"/>
  <c r="B41" i="32" s="1"/>
  <c r="B42" i="32" s="1"/>
  <c r="B43" i="32" s="1"/>
  <c r="B44" i="32" s="1"/>
  <c r="B45" i="32" s="1"/>
  <c r="B46" i="32" s="1"/>
  <c r="B47" i="32" s="1"/>
  <c r="B48" i="32" s="1"/>
  <c r="B49" i="32" s="1"/>
  <c r="B50" i="32" s="1"/>
  <c r="B51" i="32" s="1"/>
  <c r="B52" i="32" s="1"/>
  <c r="B53" i="32" s="1"/>
  <c r="B54" i="32" s="1"/>
  <c r="B55" i="32" s="1"/>
  <c r="B56" i="32" s="1"/>
  <c r="B57" i="32" s="1"/>
  <c r="B58" i="32" s="1"/>
  <c r="B59" i="32" s="1"/>
  <c r="B60" i="32" s="1"/>
  <c r="B61" i="32" s="1"/>
  <c r="B62" i="32" s="1"/>
  <c r="B63" i="32" s="1"/>
  <c r="B64" i="32" s="1"/>
  <c r="B65" i="32" s="1"/>
  <c r="B66" i="32" s="1"/>
  <c r="B67" i="32" s="1"/>
  <c r="B68" i="32" s="1"/>
  <c r="B69" i="32" s="1"/>
  <c r="B70" i="32" s="1"/>
  <c r="B71" i="32" s="1"/>
  <c r="B72" i="32" s="1"/>
  <c r="B73" i="32" s="1"/>
  <c r="B74" i="32" s="1"/>
  <c r="B75" i="32" s="1"/>
  <c r="B76" i="32" s="1"/>
  <c r="B77" i="32" s="1"/>
  <c r="B78" i="32" s="1"/>
  <c r="B79" i="32" s="1"/>
  <c r="B80" i="32" s="1"/>
  <c r="B81" i="32" s="1"/>
  <c r="B82" i="32" s="1"/>
  <c r="B83" i="32" s="1"/>
  <c r="B84" i="32" s="1"/>
  <c r="B85" i="32" s="1"/>
  <c r="B86" i="32" s="1"/>
  <c r="B87" i="32" s="1"/>
  <c r="B88" i="32" s="1"/>
  <c r="B89" i="32" s="1"/>
  <c r="B90" i="32" s="1"/>
  <c r="B91" i="32" s="1"/>
  <c r="B92" i="32" s="1"/>
  <c r="B93" i="32" s="1"/>
  <c r="B94" i="32" s="1"/>
  <c r="B95" i="32" s="1"/>
  <c r="B96" i="32" s="1"/>
  <c r="B97" i="32" s="1"/>
  <c r="B98" i="32" s="1"/>
  <c r="B99" i="32" s="1"/>
  <c r="B100" i="32" s="1"/>
  <c r="B101" i="32" s="1"/>
  <c r="B102" i="32" s="1"/>
  <c r="B103" i="32" s="1"/>
  <c r="B104" i="32" s="1"/>
  <c r="B105" i="32" s="1"/>
  <c r="B106" i="32" s="1"/>
  <c r="B107" i="32" s="1"/>
  <c r="B108" i="32" s="1"/>
  <c r="B109" i="32" s="1"/>
  <c r="B110" i="32" s="1"/>
  <c r="B111" i="32" s="1"/>
  <c r="B112" i="32" s="1"/>
  <c r="B113" i="32" s="1"/>
  <c r="B114" i="32" s="1"/>
  <c r="B115" i="32" s="1"/>
  <c r="B116" i="32" s="1"/>
  <c r="B117" i="32" s="1"/>
  <c r="B118" i="32" s="1"/>
  <c r="B119" i="32" s="1"/>
  <c r="B120" i="32" s="1"/>
  <c r="B121" i="32" s="1"/>
  <c r="B122" i="32" s="1"/>
  <c r="B123" i="32" s="1"/>
  <c r="B124" i="32" s="1"/>
  <c r="B125" i="32" s="1"/>
  <c r="B126" i="32" s="1"/>
  <c r="B127" i="32" s="1"/>
  <c r="B128" i="32" s="1"/>
  <c r="B129" i="32" s="1"/>
  <c r="B130" i="32" s="1"/>
  <c r="B131" i="32" s="1"/>
  <c r="B132" i="32" s="1"/>
  <c r="B133" i="32" s="1"/>
  <c r="B134" i="32" s="1"/>
  <c r="B135" i="32" s="1"/>
  <c r="B136" i="32" s="1"/>
  <c r="B137" i="32" s="1"/>
  <c r="B138" i="32" s="1"/>
  <c r="B139" i="32" s="1"/>
  <c r="B140" i="32" s="1"/>
  <c r="B141" i="32" s="1"/>
  <c r="B142" i="32" s="1"/>
  <c r="B143" i="32" s="1"/>
  <c r="B144" i="32" s="1"/>
  <c r="B145" i="32" s="1"/>
  <c r="B146" i="32" s="1"/>
  <c r="B147" i="32" s="1"/>
  <c r="B148" i="32" s="1"/>
  <c r="B149" i="32" s="1"/>
  <c r="B150" i="32" s="1"/>
  <c r="B151" i="32" s="1"/>
  <c r="B152" i="32" s="1"/>
  <c r="B153" i="32" s="1"/>
  <c r="B154" i="32" s="1"/>
  <c r="B155" i="32" s="1"/>
  <c r="B156" i="32" s="1"/>
  <c r="B157" i="32" s="1"/>
  <c r="B158" i="32" s="1"/>
  <c r="B159" i="32" s="1"/>
  <c r="B160" i="32" s="1"/>
  <c r="B161" i="32" s="1"/>
  <c r="B162" i="32" s="1"/>
  <c r="B163" i="32" s="1"/>
  <c r="B164" i="32" s="1"/>
  <c r="B165" i="32" s="1"/>
  <c r="B166" i="32" s="1"/>
  <c r="B167" i="32" s="1"/>
  <c r="B168" i="32" s="1"/>
  <c r="B169" i="32" s="1"/>
  <c r="B170" i="32" s="1"/>
  <c r="B171" i="32" s="1"/>
  <c r="B172" i="32" s="1"/>
  <c r="B173" i="32" s="1"/>
  <c r="B174" i="32" s="1"/>
  <c r="B175" i="32" s="1"/>
  <c r="B176" i="32" s="1"/>
  <c r="B177" i="32" s="1"/>
  <c r="B178" i="32" s="1"/>
  <c r="B179" i="32" s="1"/>
  <c r="B180" i="32" s="1"/>
  <c r="B181" i="32" s="1"/>
  <c r="B182" i="32" s="1"/>
  <c r="B183" i="32" s="1"/>
  <c r="B184" i="32" s="1"/>
  <c r="B185" i="32" s="1"/>
  <c r="B186" i="32" s="1"/>
  <c r="B187" i="32" s="1"/>
  <c r="B188" i="32" s="1"/>
  <c r="B189" i="32" s="1"/>
  <c r="B190" i="32" s="1"/>
  <c r="B191" i="32" s="1"/>
  <c r="B192" i="32" s="1"/>
  <c r="B193" i="32" s="1"/>
  <c r="B194" i="32" s="1"/>
  <c r="B195" i="32" s="1"/>
  <c r="B196" i="32" s="1"/>
  <c r="B197" i="32" s="1"/>
  <c r="B198" i="32" s="1"/>
  <c r="B199" i="32" s="1"/>
  <c r="B200" i="32" s="1"/>
  <c r="B201" i="32" s="1"/>
  <c r="B202" i="32" s="1"/>
  <c r="B203" i="32" s="1"/>
  <c r="B204" i="32" s="1"/>
  <c r="B205" i="32" s="1"/>
  <c r="B206" i="32" s="1"/>
  <c r="B207" i="32" s="1"/>
  <c r="B208" i="32" s="1"/>
  <c r="B209" i="32" s="1"/>
  <c r="B210" i="32" s="1"/>
  <c r="B211" i="32" s="1"/>
  <c r="B212" i="32" s="1"/>
  <c r="B213" i="32" s="1"/>
  <c r="B214" i="32" s="1"/>
  <c r="B215" i="32" s="1"/>
  <c r="B216" i="32" s="1"/>
  <c r="B217" i="32" s="1"/>
  <c r="B218" i="32" s="1"/>
  <c r="B219" i="32" s="1"/>
  <c r="B220" i="32" s="1"/>
  <c r="B221" i="32" s="1"/>
  <c r="B222" i="32" s="1"/>
  <c r="B223" i="32" s="1"/>
  <c r="B224" i="32" s="1"/>
  <c r="B225" i="32" s="1"/>
  <c r="B226" i="32" s="1"/>
  <c r="B227" i="32" s="1"/>
  <c r="B228" i="32" s="1"/>
  <c r="B229" i="32" s="1"/>
  <c r="B230" i="32" s="1"/>
  <c r="B231" i="32" s="1"/>
  <c r="B232" i="32" s="1"/>
  <c r="B233" i="32" s="1"/>
  <c r="B234" i="32" s="1"/>
  <c r="B235" i="32" s="1"/>
  <c r="B236" i="32" s="1"/>
  <c r="B237" i="32" s="1"/>
  <c r="B238" i="32" s="1"/>
  <c r="B239" i="32" s="1"/>
  <c r="B240" i="32" s="1"/>
  <c r="B241" i="32" s="1"/>
  <c r="B242" i="32" s="1"/>
  <c r="B243" i="32" s="1"/>
  <c r="B244" i="32" s="1"/>
  <c r="B245" i="32" s="1"/>
  <c r="B246" i="32" s="1"/>
  <c r="B247" i="32" s="1"/>
  <c r="B248" i="32" s="1"/>
  <c r="B249" i="32" s="1"/>
  <c r="B250" i="32" s="1"/>
  <c r="B251" i="32" s="1"/>
  <c r="B252" i="32" s="1"/>
  <c r="B253" i="32" s="1"/>
  <c r="B254" i="32" s="1"/>
  <c r="B255" i="32" s="1"/>
  <c r="B256" i="32" s="1"/>
  <c r="B257" i="32" s="1"/>
  <c r="B258" i="32" s="1"/>
  <c r="B259" i="32" s="1"/>
  <c r="B260" i="32" s="1"/>
  <c r="B261" i="32" s="1"/>
  <c r="B262" i="32" s="1"/>
  <c r="B263" i="32" s="1"/>
  <c r="B264" i="32" s="1"/>
  <c r="B265" i="32" s="1"/>
  <c r="B266" i="32" s="1"/>
  <c r="B267" i="32" s="1"/>
  <c r="B268" i="32" s="1"/>
  <c r="B269" i="32" s="1"/>
  <c r="B270" i="32" s="1"/>
  <c r="B271" i="32" s="1"/>
  <c r="B272" i="32" s="1"/>
  <c r="B273" i="32" s="1"/>
  <c r="B274" i="32" s="1"/>
  <c r="B275" i="32" s="1"/>
  <c r="B276" i="32" s="1"/>
  <c r="B277" i="32" s="1"/>
  <c r="B278" i="32" s="1"/>
  <c r="B279" i="32" s="1"/>
  <c r="B280" i="32" s="1"/>
  <c r="B281" i="32" s="1"/>
  <c r="B282" i="32" s="1"/>
  <c r="B283" i="32" s="1"/>
  <c r="B284" i="32" s="1"/>
  <c r="B285" i="32" s="1"/>
  <c r="B286" i="32" s="1"/>
  <c r="B287" i="32" s="1"/>
  <c r="B288" i="32" s="1"/>
  <c r="B289" i="32" s="1"/>
  <c r="B290" i="32" s="1"/>
  <c r="B291" i="32" s="1"/>
  <c r="B292" i="32" s="1"/>
  <c r="B293" i="32" s="1"/>
  <c r="B294" i="32" s="1"/>
  <c r="B295" i="32" s="1"/>
  <c r="B296" i="32" s="1"/>
  <c r="B297" i="32" s="1"/>
  <c r="B298" i="32" s="1"/>
  <c r="B299" i="32" s="1"/>
  <c r="B300" i="32" s="1"/>
  <c r="B301" i="32" s="1"/>
  <c r="B302" i="32" s="1"/>
  <c r="B303" i="32" s="1"/>
  <c r="B304" i="32" s="1"/>
  <c r="B305" i="32" s="1"/>
  <c r="B306" i="32" s="1"/>
  <c r="B307" i="32" s="1"/>
  <c r="B308" i="32" s="1"/>
  <c r="B309" i="32" s="1"/>
  <c r="B310" i="32" s="1"/>
  <c r="B311" i="32" s="1"/>
  <c r="B312" i="32" s="1"/>
  <c r="B313" i="32" s="1"/>
  <c r="B314" i="32" s="1"/>
  <c r="B315" i="32" s="1"/>
  <c r="B316" i="32" s="1"/>
  <c r="B317" i="32" s="1"/>
  <c r="B318" i="32" s="1"/>
  <c r="B319" i="32" s="1"/>
  <c r="B320" i="32" s="1"/>
  <c r="B321" i="32" s="1"/>
  <c r="B322" i="32" s="1"/>
  <c r="B323" i="32" s="1"/>
  <c r="B324" i="32" s="1"/>
  <c r="B325" i="32" s="1"/>
  <c r="B326" i="32" s="1"/>
  <c r="B327" i="32" s="1"/>
  <c r="B328" i="32" s="1"/>
  <c r="B329" i="32" s="1"/>
  <c r="B330" i="32" s="1"/>
  <c r="B331" i="32" s="1"/>
  <c r="B332" i="32" s="1"/>
  <c r="B333" i="32" s="1"/>
  <c r="B334" i="32" s="1"/>
  <c r="B335" i="32" s="1"/>
  <c r="B336" i="32" s="1"/>
  <c r="B337" i="32" s="1"/>
  <c r="B338" i="32" s="1"/>
  <c r="B339" i="32" s="1"/>
  <c r="B340" i="32" s="1"/>
  <c r="B341" i="32" s="1"/>
  <c r="B342" i="32" s="1"/>
  <c r="B343" i="32" s="1"/>
  <c r="B344" i="32" s="1"/>
  <c r="B345" i="32" s="1"/>
  <c r="B346" i="32" s="1"/>
  <c r="B347" i="32" s="1"/>
  <c r="B348" i="32" s="1"/>
  <c r="B349" i="32" s="1"/>
  <c r="B350" i="32" s="1"/>
  <c r="B351" i="32" s="1"/>
  <c r="B352" i="32" s="1"/>
  <c r="B353" i="32" s="1"/>
  <c r="B354" i="32" s="1"/>
  <c r="B355" i="32" s="1"/>
  <c r="B356" i="32" s="1"/>
  <c r="B357" i="32" s="1"/>
  <c r="B358" i="32" s="1"/>
  <c r="B359" i="32" s="1"/>
  <c r="B360" i="32" s="1"/>
  <c r="B361" i="32" s="1"/>
  <c r="B362" i="32" s="1"/>
  <c r="B363" i="32" s="1"/>
  <c r="B364" i="32" s="1"/>
  <c r="B365" i="32" s="1"/>
  <c r="B366" i="32" s="1"/>
  <c r="B367" i="32" s="1"/>
  <c r="B368" i="32" s="1"/>
  <c r="B369" i="32" s="1"/>
  <c r="B370" i="32" s="1"/>
  <c r="B371" i="32" s="1"/>
  <c r="B372" i="32" s="1"/>
  <c r="B373" i="32" s="1"/>
  <c r="B374" i="32" s="1"/>
  <c r="B375" i="32" s="1"/>
  <c r="B376" i="32" s="1"/>
  <c r="B377" i="32" s="1"/>
  <c r="B378" i="32" s="1"/>
  <c r="B379" i="32" s="1"/>
  <c r="B380" i="32" s="1"/>
  <c r="B381" i="32" s="1"/>
  <c r="B382" i="32" s="1"/>
  <c r="B383" i="32" s="1"/>
  <c r="B384" i="32" s="1"/>
  <c r="B385" i="32" s="1"/>
  <c r="B386" i="32" s="1"/>
  <c r="B387" i="32" s="1"/>
  <c r="B388" i="32" s="1"/>
  <c r="B389" i="32" s="1"/>
  <c r="B390" i="32" s="1"/>
  <c r="B391" i="32" s="1"/>
  <c r="B392" i="32" s="1"/>
  <c r="B393" i="32" s="1"/>
  <c r="B394" i="32" s="1"/>
  <c r="B395" i="32" s="1"/>
  <c r="B396" i="32" s="1"/>
  <c r="B397" i="32" s="1"/>
  <c r="B398" i="32" s="1"/>
  <c r="B399" i="32" s="1"/>
  <c r="B400" i="32" s="1"/>
  <c r="B401" i="32" s="1"/>
  <c r="B402" i="32" s="1"/>
  <c r="B403" i="32" s="1"/>
  <c r="B404" i="32" s="1"/>
  <c r="B405" i="32" s="1"/>
  <c r="B406" i="32" s="1"/>
  <c r="B407" i="32" s="1"/>
  <c r="B408" i="32" s="1"/>
  <c r="B409" i="32" s="1"/>
  <c r="B410" i="32" s="1"/>
  <c r="B411" i="32" s="1"/>
  <c r="B412" i="32" s="1"/>
  <c r="B413" i="32" s="1"/>
  <c r="B414" i="32" s="1"/>
  <c r="B415" i="32" s="1"/>
  <c r="B416" i="32" s="1"/>
  <c r="B417" i="32" s="1"/>
  <c r="B418" i="32" s="1"/>
  <c r="B419" i="32" s="1"/>
  <c r="B420" i="32" s="1"/>
  <c r="B421" i="32" s="1"/>
  <c r="B422" i="32" s="1"/>
  <c r="B423" i="32" s="1"/>
  <c r="B424" i="32" s="1"/>
  <c r="B425" i="32" s="1"/>
  <c r="B426" i="32" s="1"/>
  <c r="B427" i="32" s="1"/>
  <c r="B428" i="32" s="1"/>
  <c r="B429" i="32" s="1"/>
  <c r="B430" i="32" s="1"/>
  <c r="B431" i="32" s="1"/>
  <c r="B432" i="32" s="1"/>
  <c r="B433" i="32" s="1"/>
  <c r="B434" i="32" s="1"/>
  <c r="B435" i="32" s="1"/>
  <c r="B436" i="32" s="1"/>
  <c r="B437" i="32" s="1"/>
  <c r="B438" i="32" s="1"/>
  <c r="B439" i="32" s="1"/>
  <c r="B440" i="32" s="1"/>
  <c r="B441" i="32" s="1"/>
  <c r="B442" i="32" s="1"/>
  <c r="B443" i="32" s="1"/>
  <c r="B444" i="32" s="1"/>
  <c r="B445" i="32" s="1"/>
  <c r="B446" i="32" s="1"/>
  <c r="B447" i="32" s="1"/>
  <c r="B448" i="32" s="1"/>
  <c r="B449" i="32" s="1"/>
  <c r="B450" i="32" s="1"/>
  <c r="B451" i="32" s="1"/>
  <c r="B452" i="32" s="1"/>
  <c r="B453" i="32" s="1"/>
  <c r="B454" i="32" s="1"/>
  <c r="B455" i="32" s="1"/>
  <c r="B456" i="32" s="1"/>
  <c r="B457" i="32" s="1"/>
  <c r="B458" i="32" s="1"/>
  <c r="B459" i="32" s="1"/>
  <c r="B460" i="32" s="1"/>
  <c r="B461" i="32" s="1"/>
  <c r="B462" i="32" s="1"/>
  <c r="B463" i="32" s="1"/>
  <c r="B464" i="32" s="1"/>
  <c r="B465" i="32" s="1"/>
  <c r="B466" i="32" s="1"/>
  <c r="B467" i="32" s="1"/>
  <c r="B468" i="32" s="1"/>
  <c r="B469" i="32" s="1"/>
  <c r="B470" i="32" s="1"/>
  <c r="B471" i="32" s="1"/>
  <c r="B472" i="32" s="1"/>
  <c r="B473" i="32" s="1"/>
  <c r="B474" i="32" s="1"/>
  <c r="B475" i="32" s="1"/>
  <c r="B476" i="32" s="1"/>
  <c r="B477" i="32" s="1"/>
  <c r="B478" i="32" s="1"/>
  <c r="B479" i="32" s="1"/>
  <c r="B480" i="32" s="1"/>
  <c r="B481" i="32" s="1"/>
  <c r="B482" i="32" s="1"/>
  <c r="B483" i="32" s="1"/>
  <c r="B484" i="32" s="1"/>
  <c r="B485" i="32" s="1"/>
  <c r="B486" i="32" s="1"/>
  <c r="B487" i="32" s="1"/>
  <c r="B488" i="32" s="1"/>
  <c r="B489" i="32" s="1"/>
  <c r="B490" i="32" s="1"/>
  <c r="B491" i="32" s="1"/>
  <c r="B492" i="32" s="1"/>
  <c r="B493" i="32" s="1"/>
  <c r="B494" i="32" s="1"/>
  <c r="B495" i="32" s="1"/>
  <c r="B496" i="32" s="1"/>
  <c r="B497" i="32" s="1"/>
  <c r="B498" i="32" s="1"/>
  <c r="B499" i="32" s="1"/>
  <c r="B500" i="32" s="1"/>
  <c r="B501" i="32" s="1"/>
  <c r="B502" i="32" s="1"/>
  <c r="B503" i="32" s="1"/>
  <c r="B504" i="32" s="1"/>
  <c r="B505" i="32" s="1"/>
  <c r="B506" i="32" s="1"/>
  <c r="B507" i="32" s="1"/>
  <c r="B508" i="32" s="1"/>
  <c r="B509" i="32" s="1"/>
  <c r="B510" i="32" s="1"/>
  <c r="B511" i="32" s="1"/>
  <c r="B512" i="32" s="1"/>
  <c r="B513" i="32" s="1"/>
  <c r="B514" i="32" s="1"/>
  <c r="B515" i="32" s="1"/>
  <c r="B516" i="32" s="1"/>
  <c r="B517" i="32" s="1"/>
  <c r="B518" i="32" s="1"/>
  <c r="B519" i="32" s="1"/>
  <c r="B520" i="32" s="1"/>
  <c r="B521" i="32" s="1"/>
  <c r="B522" i="32" s="1"/>
  <c r="B523" i="32" s="1"/>
  <c r="B524" i="32" s="1"/>
  <c r="B525" i="32" s="1"/>
  <c r="B526" i="32" s="1"/>
  <c r="B527" i="32" s="1"/>
  <c r="B528" i="32" s="1"/>
  <c r="B529" i="32" s="1"/>
  <c r="B530" i="32" s="1"/>
  <c r="B531" i="32" s="1"/>
  <c r="B532" i="32" s="1"/>
  <c r="B533" i="32" s="1"/>
  <c r="B534" i="32" s="1"/>
  <c r="B535" i="32" s="1"/>
  <c r="B536" i="32" s="1"/>
  <c r="B537" i="32" s="1"/>
  <c r="B538" i="32" s="1"/>
  <c r="B539" i="32" s="1"/>
  <c r="B540" i="32" s="1"/>
  <c r="B541" i="32" s="1"/>
  <c r="B542" i="32" s="1"/>
  <c r="B543" i="32" s="1"/>
  <c r="B544" i="32" s="1"/>
  <c r="B545" i="32" s="1"/>
  <c r="B546" i="32" s="1"/>
  <c r="B547" i="32" s="1"/>
  <c r="B548" i="32" s="1"/>
  <c r="B549" i="32" s="1"/>
  <c r="B550" i="32" s="1"/>
  <c r="B551" i="32" s="1"/>
  <c r="B552" i="32" s="1"/>
  <c r="B553" i="32" s="1"/>
  <c r="B554" i="32" s="1"/>
  <c r="B555" i="32" s="1"/>
  <c r="B556" i="32" s="1"/>
  <c r="B557" i="32" s="1"/>
  <c r="B558" i="32" s="1"/>
  <c r="B559" i="32" s="1"/>
  <c r="B560" i="32" s="1"/>
  <c r="B561" i="32" s="1"/>
  <c r="B562" i="32" s="1"/>
  <c r="B563" i="32" s="1"/>
  <c r="B564" i="32" s="1"/>
  <c r="B565" i="32" s="1"/>
  <c r="B566" i="32" s="1"/>
  <c r="B567" i="32" s="1"/>
  <c r="B568" i="32" s="1"/>
  <c r="B569" i="32" s="1"/>
  <c r="B570" i="32" s="1"/>
  <c r="B571" i="32" s="1"/>
  <c r="B572" i="32" s="1"/>
  <c r="B573" i="32" s="1"/>
  <c r="B574" i="32" s="1"/>
  <c r="B575" i="32" s="1"/>
  <c r="B576" i="32" s="1"/>
  <c r="B577" i="32" s="1"/>
  <c r="B578" i="32" s="1"/>
  <c r="B579" i="32" s="1"/>
  <c r="B580" i="32" s="1"/>
  <c r="B581" i="32" s="1"/>
  <c r="B582" i="32" s="1"/>
  <c r="B583" i="32" s="1"/>
  <c r="B584" i="32" s="1"/>
  <c r="B585" i="32" s="1"/>
  <c r="B586" i="32" s="1"/>
  <c r="B587" i="32" s="1"/>
  <c r="B588" i="32" s="1"/>
  <c r="B589" i="32" s="1"/>
  <c r="B590" i="32" s="1"/>
  <c r="B591" i="32" s="1"/>
  <c r="B592" i="32" s="1"/>
  <c r="B593" i="32" s="1"/>
  <c r="B594" i="32" s="1"/>
  <c r="B595" i="32" s="1"/>
  <c r="B596" i="32" s="1"/>
  <c r="B597" i="32" s="1"/>
  <c r="B598" i="32" s="1"/>
  <c r="B599" i="32" s="1"/>
  <c r="B600" i="32" s="1"/>
  <c r="B601" i="32" s="1"/>
  <c r="B602" i="32" s="1"/>
  <c r="B603" i="32" s="1"/>
  <c r="B604" i="32" s="1"/>
  <c r="B605" i="32" s="1"/>
  <c r="B606" i="32" s="1"/>
  <c r="B607" i="32" s="1"/>
  <c r="B608" i="32" s="1"/>
  <c r="B609" i="32" s="1"/>
  <c r="B610" i="32" s="1"/>
  <c r="B611" i="32" s="1"/>
  <c r="B612" i="32" s="1"/>
  <c r="B613" i="32" s="1"/>
  <c r="B614" i="32" s="1"/>
  <c r="B615" i="32" s="1"/>
  <c r="B616" i="32" s="1"/>
  <c r="B617" i="32" s="1"/>
  <c r="B618" i="32" s="1"/>
  <c r="B619" i="32" s="1"/>
  <c r="B620" i="32" s="1"/>
  <c r="B621" i="32" s="1"/>
  <c r="B622" i="32" s="1"/>
  <c r="B623" i="32" s="1"/>
  <c r="B624" i="32" s="1"/>
  <c r="B625" i="32" s="1"/>
  <c r="B626" i="32" s="1"/>
  <c r="B627" i="32" s="1"/>
  <c r="B628" i="32" s="1"/>
  <c r="B629" i="32" s="1"/>
  <c r="B630" i="32" s="1"/>
  <c r="B631" i="32" s="1"/>
  <c r="B632" i="32" s="1"/>
  <c r="B633" i="32" s="1"/>
  <c r="B634" i="32" s="1"/>
  <c r="B635" i="32" s="1"/>
  <c r="B636" i="32" s="1"/>
  <c r="B637" i="32" s="1"/>
  <c r="B638" i="32" s="1"/>
  <c r="B639" i="32" s="1"/>
  <c r="B640" i="32" s="1"/>
  <c r="B641" i="32" s="1"/>
  <c r="B642" i="32" s="1"/>
  <c r="B643" i="32" s="1"/>
  <c r="B644" i="32" s="1"/>
  <c r="B645" i="32" s="1"/>
  <c r="B646" i="32" s="1"/>
  <c r="B647" i="32" s="1"/>
  <c r="B648" i="32" s="1"/>
  <c r="B649" i="32" s="1"/>
  <c r="B650" i="32" s="1"/>
  <c r="B651" i="32" s="1"/>
  <c r="B652" i="32" s="1"/>
  <c r="B653" i="32" s="1"/>
  <c r="B654" i="32" s="1"/>
  <c r="B655" i="32" s="1"/>
  <c r="B656" i="32" s="1"/>
  <c r="B657" i="32" s="1"/>
  <c r="B658" i="32" s="1"/>
  <c r="B659" i="32" s="1"/>
  <c r="B660" i="32" s="1"/>
  <c r="B661" i="32" s="1"/>
  <c r="B662" i="32" s="1"/>
  <c r="B663" i="32" s="1"/>
  <c r="B664" i="32" s="1"/>
  <c r="B665" i="32" s="1"/>
  <c r="B666" i="32" s="1"/>
  <c r="B667" i="32" s="1"/>
  <c r="B668" i="32" s="1"/>
  <c r="B669" i="32" s="1"/>
  <c r="B670" i="32" s="1"/>
  <c r="B671" i="32" s="1"/>
  <c r="B672" i="32" s="1"/>
  <c r="B673" i="32" s="1"/>
  <c r="B674" i="32" s="1"/>
  <c r="B675" i="32" s="1"/>
  <c r="B676" i="32" s="1"/>
  <c r="B677" i="32" s="1"/>
  <c r="B678" i="32" s="1"/>
  <c r="B679" i="32" s="1"/>
  <c r="B680" i="32" s="1"/>
  <c r="B681" i="32" s="1"/>
  <c r="B682" i="32" s="1"/>
  <c r="B683" i="32" s="1"/>
  <c r="B684" i="32" s="1"/>
  <c r="B685" i="32" s="1"/>
  <c r="B686" i="32" s="1"/>
  <c r="B687" i="32" s="1"/>
  <c r="B688" i="32" s="1"/>
  <c r="B689" i="32" s="1"/>
  <c r="B690" i="32" s="1"/>
  <c r="B691" i="32" s="1"/>
  <c r="B692" i="32" s="1"/>
  <c r="B693" i="32" s="1"/>
  <c r="B694" i="32" s="1"/>
  <c r="B695" i="32" s="1"/>
  <c r="B696" i="32" s="1"/>
  <c r="B697" i="32" s="1"/>
  <c r="B698" i="32" s="1"/>
  <c r="B699" i="32" s="1"/>
  <c r="B700" i="32" s="1"/>
  <c r="B701" i="32" s="1"/>
  <c r="B702" i="32" s="1"/>
  <c r="B703" i="32" s="1"/>
  <c r="B704" i="32" s="1"/>
  <c r="B705" i="32" s="1"/>
  <c r="B706" i="32" s="1"/>
  <c r="B707" i="32" s="1"/>
  <c r="B708" i="32" s="1"/>
  <c r="B709" i="32" s="1"/>
  <c r="B710" i="32" s="1"/>
  <c r="B711" i="32" s="1"/>
  <c r="B712" i="32" s="1"/>
  <c r="B713" i="32" s="1"/>
  <c r="B714" i="32" s="1"/>
  <c r="B715" i="32" s="1"/>
  <c r="B716" i="32" s="1"/>
  <c r="B717" i="32" s="1"/>
  <c r="B718" i="32" s="1"/>
  <c r="B719" i="32" s="1"/>
  <c r="B720" i="32" s="1"/>
  <c r="B721" i="32" s="1"/>
  <c r="B722" i="32" s="1"/>
  <c r="B723" i="32" s="1"/>
  <c r="B724" i="32" s="1"/>
  <c r="B725" i="32" s="1"/>
  <c r="B726" i="32" s="1"/>
  <c r="B727" i="32" s="1"/>
  <c r="B728" i="32" s="1"/>
  <c r="B729" i="32" s="1"/>
  <c r="B730" i="32" s="1"/>
  <c r="B731" i="32" s="1"/>
  <c r="B732" i="32" s="1"/>
  <c r="B733" i="32" s="1"/>
  <c r="B734" i="32" s="1"/>
  <c r="B735" i="32" s="1"/>
  <c r="B736" i="32" s="1"/>
  <c r="B737" i="32" s="1"/>
  <c r="B738" i="32" s="1"/>
  <c r="B739" i="32" s="1"/>
  <c r="B740" i="32" s="1"/>
  <c r="B741" i="32" s="1"/>
  <c r="B742" i="32" s="1"/>
  <c r="B743" i="32" s="1"/>
  <c r="B744" i="32" s="1"/>
  <c r="B745" i="32" s="1"/>
  <c r="B746" i="32" s="1"/>
  <c r="B747" i="32" s="1"/>
  <c r="B748" i="32" s="1"/>
  <c r="B749" i="32" s="1"/>
  <c r="B750" i="32" s="1"/>
  <c r="B751" i="32" s="1"/>
  <c r="B752" i="32" s="1"/>
  <c r="B753" i="32" s="1"/>
  <c r="B754" i="32" s="1"/>
  <c r="B755" i="32" s="1"/>
  <c r="B756" i="32" s="1"/>
  <c r="B757" i="32" s="1"/>
  <c r="B758" i="32" s="1"/>
  <c r="B759" i="32" s="1"/>
  <c r="B760" i="32" s="1"/>
  <c r="B761" i="32" s="1"/>
  <c r="B762" i="32" s="1"/>
  <c r="B763" i="32" s="1"/>
  <c r="B764" i="32" s="1"/>
  <c r="B765" i="32" s="1"/>
  <c r="B766" i="32" s="1"/>
  <c r="B767" i="32" s="1"/>
  <c r="B768" i="32" s="1"/>
  <c r="B769" i="32" s="1"/>
  <c r="B770" i="32" s="1"/>
  <c r="B771" i="32" s="1"/>
  <c r="B772" i="32" s="1"/>
  <c r="B773" i="32" s="1"/>
  <c r="B774" i="32" s="1"/>
  <c r="B775" i="32" s="1"/>
  <c r="B776" i="32" s="1"/>
  <c r="B777" i="32" s="1"/>
  <c r="B778" i="32" s="1"/>
  <c r="B779" i="32" s="1"/>
  <c r="B780" i="32" s="1"/>
  <c r="B781" i="32" s="1"/>
  <c r="B782" i="32" s="1"/>
  <c r="B783" i="32" s="1"/>
  <c r="B784" i="32" s="1"/>
  <c r="B785" i="32" s="1"/>
  <c r="B786" i="32" s="1"/>
  <c r="B787" i="32" s="1"/>
  <c r="B788" i="32" s="1"/>
  <c r="B789" i="32" s="1"/>
  <c r="B790" i="32" s="1"/>
  <c r="B791" i="32" s="1"/>
  <c r="B792" i="32" s="1"/>
  <c r="B793" i="32" s="1"/>
  <c r="B794" i="32" s="1"/>
  <c r="B795" i="32" s="1"/>
  <c r="B796" i="32" s="1"/>
  <c r="B797" i="32" s="1"/>
  <c r="B798" i="32" s="1"/>
  <c r="B799" i="32" s="1"/>
  <c r="B800" i="32" s="1"/>
  <c r="B801" i="32" s="1"/>
  <c r="B802" i="32" s="1"/>
  <c r="B803" i="32" s="1"/>
  <c r="B804" i="32" s="1"/>
  <c r="B805" i="32" s="1"/>
  <c r="B806" i="32" s="1"/>
  <c r="B807" i="32" s="1"/>
  <c r="B808" i="32" s="1"/>
  <c r="B809" i="32" s="1"/>
  <c r="B810" i="32" s="1"/>
  <c r="B811" i="32" s="1"/>
  <c r="B812" i="32" s="1"/>
  <c r="B813" i="32" s="1"/>
  <c r="B814" i="32" s="1"/>
  <c r="B815" i="32" s="1"/>
  <c r="B816" i="32" s="1"/>
  <c r="B817" i="32" s="1"/>
  <c r="B818" i="32" s="1"/>
  <c r="B819" i="32" s="1"/>
  <c r="B820" i="32" s="1"/>
  <c r="B821" i="32" s="1"/>
  <c r="B822" i="32" s="1"/>
  <c r="B823" i="32" s="1"/>
  <c r="B824" i="32" s="1"/>
  <c r="B825" i="32" s="1"/>
  <c r="B826" i="32" s="1"/>
  <c r="B827" i="32" s="1"/>
  <c r="B828" i="32" s="1"/>
  <c r="B829" i="32" s="1"/>
  <c r="B830" i="32" s="1"/>
  <c r="B831" i="32" s="1"/>
  <c r="B832" i="32" s="1"/>
  <c r="B833" i="32" s="1"/>
  <c r="B834" i="32" s="1"/>
  <c r="B835" i="32" s="1"/>
  <c r="B836" i="32" s="1"/>
  <c r="B837" i="32" s="1"/>
  <c r="B838" i="32" s="1"/>
  <c r="B839" i="32" s="1"/>
  <c r="B840" i="32" s="1"/>
  <c r="B841" i="32" s="1"/>
  <c r="B842" i="32" s="1"/>
  <c r="B843" i="32" s="1"/>
  <c r="B844" i="32" s="1"/>
  <c r="B845" i="32" s="1"/>
  <c r="B846" i="32" s="1"/>
  <c r="B847" i="32" s="1"/>
  <c r="B848" i="32" s="1"/>
  <c r="B849" i="32" s="1"/>
  <c r="B850" i="32" s="1"/>
  <c r="B851" i="32" s="1"/>
  <c r="B852" i="32" s="1"/>
  <c r="B853" i="32" s="1"/>
  <c r="B854" i="32" s="1"/>
  <c r="B855" i="32" s="1"/>
  <c r="B856" i="32" s="1"/>
  <c r="B857" i="32" s="1"/>
  <c r="B858" i="32" s="1"/>
  <c r="B859" i="32" s="1"/>
  <c r="B860" i="32" s="1"/>
  <c r="B861" i="32" s="1"/>
  <c r="B862" i="32" s="1"/>
  <c r="B863" i="32" s="1"/>
  <c r="B864" i="32" s="1"/>
  <c r="B865" i="32" s="1"/>
  <c r="B866" i="32" s="1"/>
  <c r="B867" i="32" s="1"/>
  <c r="B868" i="32" s="1"/>
  <c r="B869" i="32" s="1"/>
  <c r="B870" i="32" s="1"/>
  <c r="B871" i="32" s="1"/>
  <c r="B872" i="32" s="1"/>
  <c r="B873" i="32" s="1"/>
  <c r="B874" i="32" s="1"/>
  <c r="B875" i="32" s="1"/>
  <c r="B876" i="32" s="1"/>
  <c r="B877" i="32" s="1"/>
  <c r="B878" i="32" s="1"/>
  <c r="B879" i="32" s="1"/>
  <c r="B880" i="32" s="1"/>
  <c r="B881" i="32" s="1"/>
  <c r="B882" i="32" s="1"/>
  <c r="B883" i="32" s="1"/>
  <c r="B884" i="32" s="1"/>
  <c r="B885" i="32" s="1"/>
  <c r="B886" i="32" s="1"/>
  <c r="B887" i="32" s="1"/>
  <c r="B888" i="32" s="1"/>
  <c r="B889" i="32" s="1"/>
  <c r="B890" i="32" s="1"/>
  <c r="B891" i="32" s="1"/>
  <c r="B892" i="32" s="1"/>
  <c r="B893" i="32" s="1"/>
  <c r="B894" i="32" s="1"/>
  <c r="B895" i="32" s="1"/>
  <c r="B896" i="32" s="1"/>
  <c r="B897" i="32" s="1"/>
  <c r="B898" i="32" s="1"/>
  <c r="B899" i="32" s="1"/>
  <c r="B900" i="32" s="1"/>
  <c r="B901" i="32" s="1"/>
  <c r="B902" i="32" s="1"/>
  <c r="B903" i="32" s="1"/>
  <c r="B904" i="32" s="1"/>
  <c r="B905" i="32" s="1"/>
  <c r="B906" i="32" s="1"/>
  <c r="B907" i="32" s="1"/>
  <c r="B908" i="32" s="1"/>
  <c r="B909" i="32" s="1"/>
  <c r="B910" i="32" s="1"/>
  <c r="B911" i="32" s="1"/>
  <c r="B912" i="32" s="1"/>
  <c r="B913" i="32" s="1"/>
  <c r="B914" i="32" s="1"/>
  <c r="B915" i="32" s="1"/>
  <c r="B916" i="32" s="1"/>
  <c r="B917" i="32" s="1"/>
  <c r="B918" i="32" s="1"/>
  <c r="B919" i="32" s="1"/>
  <c r="B920" i="32" s="1"/>
  <c r="B921" i="32" s="1"/>
  <c r="B922" i="32" s="1"/>
  <c r="B923" i="32" s="1"/>
  <c r="B924" i="32" s="1"/>
  <c r="B925" i="32" s="1"/>
  <c r="B926" i="32" s="1"/>
  <c r="B927" i="32" s="1"/>
  <c r="B928" i="32" s="1"/>
  <c r="B929" i="32" s="1"/>
  <c r="B930" i="32" s="1"/>
  <c r="B931" i="32" s="1"/>
  <c r="B932" i="32" s="1"/>
  <c r="B933" i="32" s="1"/>
  <c r="B934" i="32" s="1"/>
  <c r="B935" i="32" s="1"/>
  <c r="B936" i="32" s="1"/>
  <c r="B937" i="32" s="1"/>
  <c r="B938" i="32" s="1"/>
  <c r="B939" i="32" s="1"/>
  <c r="B940" i="32" s="1"/>
  <c r="B941" i="32" s="1"/>
  <c r="B942" i="32" s="1"/>
  <c r="B943" i="32" s="1"/>
  <c r="B944" i="32" s="1"/>
  <c r="B945" i="32" s="1"/>
  <c r="B946" i="32" s="1"/>
  <c r="B947" i="32" s="1"/>
  <c r="B948" i="32" s="1"/>
  <c r="B949" i="32" s="1"/>
  <c r="B950" i="32" s="1"/>
  <c r="B951" i="32" s="1"/>
  <c r="B952" i="32" s="1"/>
  <c r="B953" i="32" s="1"/>
  <c r="B954" i="32" s="1"/>
  <c r="B955" i="32" s="1"/>
  <c r="B956" i="32" s="1"/>
  <c r="B957" i="32" s="1"/>
  <c r="B958" i="32" s="1"/>
  <c r="B959" i="32" s="1"/>
  <c r="B960" i="32" s="1"/>
  <c r="B961" i="32" s="1"/>
  <c r="B962" i="32" s="1"/>
  <c r="B963" i="32" s="1"/>
  <c r="B964" i="32" s="1"/>
  <c r="B965" i="32" s="1"/>
  <c r="B966" i="32" s="1"/>
  <c r="B967" i="32" s="1"/>
  <c r="B968" i="32" s="1"/>
  <c r="B969" i="32" s="1"/>
  <c r="B970" i="32" s="1"/>
  <c r="B971" i="32" s="1"/>
  <c r="B972" i="32" s="1"/>
  <c r="B973" i="32" s="1"/>
  <c r="B974" i="32" s="1"/>
  <c r="B975" i="32" s="1"/>
  <c r="B976" i="32" s="1"/>
  <c r="B977" i="32" s="1"/>
  <c r="B978" i="32" s="1"/>
  <c r="B979" i="32" s="1"/>
  <c r="B980" i="32" s="1"/>
  <c r="B981" i="32" s="1"/>
  <c r="B982" i="32" s="1"/>
  <c r="B983" i="32" s="1"/>
  <c r="B984" i="32" s="1"/>
  <c r="B985" i="32" s="1"/>
  <c r="B986" i="32" s="1"/>
  <c r="B987" i="32" s="1"/>
  <c r="B988" i="32" s="1"/>
  <c r="B989" i="32" s="1"/>
  <c r="B990" i="32" s="1"/>
  <c r="B991" i="32" s="1"/>
  <c r="B992" i="32" s="1"/>
  <c r="B993" i="32" s="1"/>
  <c r="B994" i="32" s="1"/>
  <c r="B995" i="32" s="1"/>
  <c r="B996" i="32" s="1"/>
  <c r="B997" i="32" s="1"/>
  <c r="B998" i="32" s="1"/>
  <c r="B999" i="32" s="1"/>
  <c r="B1000" i="32" s="1"/>
  <c r="B1001" i="32" s="1"/>
  <c r="B1002" i="32" s="1"/>
  <c r="B1003" i="32" s="1"/>
  <c r="B1004" i="32" s="1"/>
  <c r="B1005" i="32" s="1"/>
  <c r="B1006" i="32" s="1"/>
  <c r="B1007" i="32" s="1"/>
  <c r="B1008" i="32" s="1"/>
  <c r="B1009" i="32" s="1"/>
  <c r="B1010" i="32" s="1"/>
  <c r="B1011" i="32" s="1"/>
  <c r="B1012" i="32" s="1"/>
  <c r="B1013" i="32" s="1"/>
  <c r="B1014" i="32" s="1"/>
  <c r="B1015" i="32" s="1"/>
  <c r="B1016" i="32" s="1"/>
  <c r="B1017" i="32" s="1"/>
  <c r="B1018" i="32" s="1"/>
  <c r="B1019" i="32" s="1"/>
  <c r="B1020" i="32" s="1"/>
  <c r="B1021" i="32" s="1"/>
  <c r="B1022" i="32" s="1"/>
  <c r="B1023" i="32" s="1"/>
  <c r="B1024" i="32" s="1"/>
  <c r="B1025" i="32" s="1"/>
  <c r="B1026" i="32" s="1"/>
  <c r="B1027" i="32" s="1"/>
  <c r="B1028" i="32" s="1"/>
  <c r="B1029" i="32" s="1"/>
  <c r="B1030" i="32" s="1"/>
  <c r="B1031" i="32" s="1"/>
  <c r="B1032" i="32" s="1"/>
  <c r="B1033" i="32" s="1"/>
  <c r="B1034" i="32" s="1"/>
  <c r="B1035" i="32" s="1"/>
  <c r="B1036" i="32" s="1"/>
  <c r="B1037" i="32" s="1"/>
  <c r="B1038" i="32" s="1"/>
  <c r="B1039" i="32" s="1"/>
  <c r="B1040" i="32" s="1"/>
  <c r="B1041" i="32" s="1"/>
  <c r="B1042" i="32" s="1"/>
  <c r="B1043" i="32" s="1"/>
  <c r="B1044" i="32" s="1"/>
  <c r="B1045" i="32" s="1"/>
  <c r="B1046" i="32" s="1"/>
  <c r="B1047" i="32" s="1"/>
  <c r="B1048" i="32" s="1"/>
  <c r="B1049" i="32" s="1"/>
  <c r="B1050" i="32" s="1"/>
  <c r="B1051" i="32" s="1"/>
  <c r="B1052" i="32" s="1"/>
  <c r="B1053" i="32" s="1"/>
  <c r="B1054" i="32" s="1"/>
  <c r="B1055" i="32" s="1"/>
  <c r="B1056" i="32" s="1"/>
  <c r="B1057" i="32" s="1"/>
  <c r="B1058" i="32" s="1"/>
  <c r="B1059" i="32" s="1"/>
  <c r="B1060" i="32" s="1"/>
  <c r="B1061" i="32" s="1"/>
  <c r="B1062" i="32" s="1"/>
  <c r="B1063" i="32" s="1"/>
  <c r="B1064" i="32" s="1"/>
  <c r="B1065" i="32" s="1"/>
  <c r="B1066" i="32" s="1"/>
  <c r="B1067" i="32" s="1"/>
  <c r="B1068" i="32" s="1"/>
  <c r="B1069" i="32" s="1"/>
  <c r="B1070" i="32" s="1"/>
  <c r="B1071" i="32" s="1"/>
  <c r="B1072" i="32" s="1"/>
  <c r="B1073" i="32" s="1"/>
  <c r="B1074" i="32" s="1"/>
  <c r="B1075" i="32" s="1"/>
  <c r="B1076" i="32" s="1"/>
  <c r="B1077" i="32" s="1"/>
  <c r="B1078" i="32" s="1"/>
  <c r="B1079" i="32" s="1"/>
  <c r="B1080" i="32" s="1"/>
  <c r="B1081" i="32" s="1"/>
  <c r="B1082" i="32" s="1"/>
  <c r="B1083" i="32" s="1"/>
  <c r="B1084" i="32" s="1"/>
  <c r="B1085" i="32" s="1"/>
  <c r="B1086" i="32" s="1"/>
  <c r="B1087" i="32" s="1"/>
  <c r="B1088" i="32" s="1"/>
  <c r="B1089" i="32" s="1"/>
  <c r="B1090" i="32" s="1"/>
  <c r="B1091" i="32" s="1"/>
  <c r="B1092" i="32" s="1"/>
  <c r="B1093" i="32" s="1"/>
  <c r="B1094" i="32" s="1"/>
  <c r="B1095" i="32" s="1"/>
  <c r="B1096" i="32" s="1"/>
  <c r="B1097" i="32" s="1"/>
  <c r="B1098" i="32" s="1"/>
  <c r="B1099" i="32" s="1"/>
  <c r="B1100" i="32" s="1"/>
  <c r="B1101" i="32" s="1"/>
  <c r="B1102" i="32" s="1"/>
  <c r="B1103" i="32" s="1"/>
  <c r="B1104" i="32" s="1"/>
  <c r="B1105" i="32" s="1"/>
  <c r="B1106" i="32" s="1"/>
  <c r="B1107" i="32" s="1"/>
  <c r="B1108" i="32" s="1"/>
  <c r="B1109" i="32" s="1"/>
  <c r="B1110" i="32" s="1"/>
  <c r="B1111" i="32" s="1"/>
  <c r="B1112" i="32" s="1"/>
  <c r="B1113" i="32" s="1"/>
  <c r="B1114" i="32" s="1"/>
  <c r="B1115" i="32" s="1"/>
  <c r="B1116" i="32" s="1"/>
  <c r="B1117" i="32" s="1"/>
  <c r="B1118" i="32" s="1"/>
  <c r="B1119" i="32" s="1"/>
  <c r="B1120" i="32" s="1"/>
  <c r="B1121" i="32" s="1"/>
  <c r="B1122" i="32" s="1"/>
  <c r="B1123" i="32" s="1"/>
  <c r="B1124" i="32" s="1"/>
  <c r="B1125" i="32" s="1"/>
  <c r="B1126" i="32" s="1"/>
  <c r="B1127" i="32" s="1"/>
  <c r="B1128" i="32" s="1"/>
  <c r="B1129" i="32" s="1"/>
  <c r="B1130" i="32" s="1"/>
  <c r="B1131" i="32" s="1"/>
  <c r="B1132" i="32" s="1"/>
  <c r="B1133" i="32" s="1"/>
  <c r="B1134" i="32" s="1"/>
  <c r="B1135" i="32" s="1"/>
  <c r="B1136" i="32" s="1"/>
  <c r="B1137" i="32" s="1"/>
  <c r="B1138" i="32" s="1"/>
  <c r="B1139" i="32" s="1"/>
  <c r="B1140" i="32" s="1"/>
  <c r="B1141" i="32" s="1"/>
  <c r="B1142" i="32" s="1"/>
  <c r="B1143" i="32" s="1"/>
  <c r="B1144" i="32" s="1"/>
  <c r="B1145" i="32" s="1"/>
  <c r="B1146" i="32" s="1"/>
  <c r="B1147" i="32" s="1"/>
  <c r="B1148" i="32" s="1"/>
  <c r="B1149" i="32" s="1"/>
  <c r="B1150" i="32" s="1"/>
  <c r="B1151" i="32" s="1"/>
  <c r="B1152" i="32" s="1"/>
  <c r="B1153" i="32" s="1"/>
  <c r="B1154" i="32" s="1"/>
  <c r="B1155" i="32" s="1"/>
  <c r="B1156" i="32" s="1"/>
  <c r="B1157" i="32" s="1"/>
  <c r="B1158" i="32" s="1"/>
  <c r="B1159" i="32" s="1"/>
  <c r="B1160" i="32" s="1"/>
  <c r="B1161" i="32" s="1"/>
  <c r="B1162" i="32" s="1"/>
  <c r="B1163" i="32" s="1"/>
  <c r="B1164" i="32" s="1"/>
  <c r="B1165" i="32" s="1"/>
  <c r="B1166" i="32" s="1"/>
  <c r="B1167" i="32" s="1"/>
  <c r="B1168" i="32" s="1"/>
  <c r="B1169" i="32" s="1"/>
  <c r="B1170" i="32" s="1"/>
  <c r="B1171" i="32" s="1"/>
  <c r="B1172" i="32" s="1"/>
  <c r="B1173" i="32" s="1"/>
  <c r="B1174" i="32" s="1"/>
  <c r="B1175" i="32" s="1"/>
  <c r="B1176" i="32" s="1"/>
  <c r="B1177" i="32" s="1"/>
  <c r="B1178" i="32" s="1"/>
  <c r="B1179" i="32" s="1"/>
  <c r="B1180" i="32" s="1"/>
  <c r="B1181" i="32" s="1"/>
  <c r="B1182" i="32" s="1"/>
  <c r="B1183" i="32" s="1"/>
  <c r="B1184" i="32" s="1"/>
  <c r="B1185" i="32" s="1"/>
  <c r="B1186" i="32" s="1"/>
  <c r="B1187" i="32" s="1"/>
  <c r="B1188" i="32" s="1"/>
  <c r="B1189" i="32" s="1"/>
  <c r="B1190" i="32" s="1"/>
  <c r="B1191" i="32" s="1"/>
  <c r="B1192" i="32" s="1"/>
  <c r="B1193" i="32" s="1"/>
  <c r="B1194" i="32" s="1"/>
  <c r="B1195" i="32" s="1"/>
  <c r="B1196" i="32" s="1"/>
  <c r="B1197" i="32" s="1"/>
  <c r="B1198" i="32" s="1"/>
  <c r="B1199" i="32" s="1"/>
  <c r="B1200" i="32" s="1"/>
  <c r="B1201" i="32" s="1"/>
  <c r="B1202" i="32" s="1"/>
  <c r="B1203" i="32" s="1"/>
  <c r="B1204" i="32" s="1"/>
  <c r="B1205" i="32" s="1"/>
  <c r="B1206" i="32" s="1"/>
  <c r="B1207" i="32" s="1"/>
  <c r="B1208" i="32" s="1"/>
  <c r="B1209" i="32" s="1"/>
  <c r="B1210" i="32" s="1"/>
  <c r="B1211" i="32" s="1"/>
  <c r="B1212" i="32" s="1"/>
  <c r="B1213" i="32" s="1"/>
  <c r="B1214" i="32" s="1"/>
  <c r="B1215" i="32" s="1"/>
  <c r="B1216" i="32" s="1"/>
  <c r="B1217" i="32" s="1"/>
  <c r="B1218" i="32" s="1"/>
  <c r="B1219" i="32" s="1"/>
  <c r="B1220" i="32" s="1"/>
  <c r="B1221" i="32" s="1"/>
  <c r="B1222" i="32" s="1"/>
  <c r="B1223" i="32" s="1"/>
  <c r="B1224" i="32" s="1"/>
  <c r="B1225" i="32" s="1"/>
  <c r="B1226" i="32" s="1"/>
  <c r="B1227" i="32" s="1"/>
  <c r="B1228" i="32" s="1"/>
  <c r="B1229" i="32" s="1"/>
  <c r="B1230" i="32" s="1"/>
  <c r="AF11" i="32"/>
  <c r="AE11" i="32"/>
  <c r="V1199" i="11"/>
  <c r="V1200" i="11"/>
  <c r="V1201" i="11"/>
  <c r="V1202" i="11"/>
  <c r="V1203" i="11"/>
  <c r="V1204" i="11"/>
  <c r="V1205" i="11"/>
  <c r="V1206" i="11"/>
  <c r="V1207" i="11"/>
  <c r="V1208" i="11"/>
  <c r="V1209" i="11"/>
  <c r="V1210" i="11"/>
  <c r="V1211" i="11"/>
  <c r="V1212" i="11"/>
  <c r="V1213" i="11"/>
  <c r="V1214" i="11"/>
  <c r="V1215" i="11"/>
  <c r="V1216" i="11"/>
  <c r="V1217" i="11"/>
  <c r="V1218" i="11"/>
  <c r="V1219" i="11"/>
  <c r="V1220" i="11"/>
  <c r="V1221" i="11"/>
  <c r="V1222" i="11"/>
  <c r="V1223" i="11"/>
  <c r="V1224" i="11"/>
  <c r="V1225" i="11"/>
  <c r="V1226" i="11"/>
  <c r="V1227" i="11"/>
  <c r="V1228" i="11"/>
  <c r="V1171" i="11"/>
  <c r="V1172" i="11"/>
  <c r="V1173" i="11"/>
  <c r="V1174" i="11"/>
  <c r="V1175" i="11"/>
  <c r="V1176" i="11"/>
  <c r="V1177" i="11"/>
  <c r="V1178" i="11"/>
  <c r="V1179" i="11"/>
  <c r="V1180" i="11"/>
  <c r="V1181" i="11"/>
  <c r="V1182" i="11"/>
  <c r="V1183" i="11"/>
  <c r="V1184" i="11"/>
  <c r="V1185" i="11"/>
  <c r="V1186" i="11"/>
  <c r="V1187" i="11"/>
  <c r="V1188" i="11"/>
  <c r="V1189" i="11"/>
  <c r="V1190" i="11"/>
  <c r="V1191" i="11"/>
  <c r="V1192" i="11"/>
  <c r="V1195" i="11"/>
  <c r="V1196" i="11"/>
  <c r="V1197" i="11"/>
  <c r="V1198" i="11"/>
  <c r="V1130" i="11"/>
  <c r="V1131" i="11"/>
  <c r="V1132" i="11"/>
  <c r="V1133" i="11"/>
  <c r="V1134" i="11"/>
  <c r="V1135" i="11"/>
  <c r="V1136" i="11"/>
  <c r="V1137" i="11"/>
  <c r="V1138" i="11"/>
  <c r="V1139" i="11"/>
  <c r="V1140" i="11"/>
  <c r="V1141" i="11"/>
  <c r="V1142" i="11"/>
  <c r="V1143" i="11"/>
  <c r="V1144" i="11"/>
  <c r="V1146" i="11"/>
  <c r="V1147" i="11"/>
  <c r="V1148" i="11"/>
  <c r="V1149" i="11"/>
  <c r="V1150" i="11"/>
  <c r="V1151" i="11"/>
  <c r="V1152" i="11"/>
  <c r="V1153" i="11"/>
  <c r="V1154" i="11"/>
  <c r="V1155" i="11"/>
  <c r="V1156" i="11"/>
  <c r="V1161" i="11"/>
  <c r="V1162" i="11"/>
  <c r="V1163" i="11"/>
  <c r="V1164" i="11"/>
  <c r="V1165" i="11"/>
  <c r="V1166" i="11"/>
  <c r="V1167" i="11"/>
  <c r="V1168" i="11"/>
  <c r="V1169" i="11"/>
  <c r="V1170" i="11"/>
  <c r="V1090" i="11"/>
  <c r="V1091" i="11"/>
  <c r="V1092" i="11"/>
  <c r="V1093" i="11"/>
  <c r="V1094" i="11"/>
  <c r="V1095" i="11"/>
  <c r="V1096" i="11"/>
  <c r="V1097" i="11"/>
  <c r="V1098" i="11"/>
  <c r="V1099" i="11"/>
  <c r="V1100" i="11"/>
  <c r="V1101" i="11"/>
  <c r="V1102" i="11"/>
  <c r="V1103" i="11"/>
  <c r="V1104" i="11"/>
  <c r="V1105" i="11"/>
  <c r="V1106" i="11"/>
  <c r="V1107" i="11"/>
  <c r="V1108" i="11"/>
  <c r="V1109" i="11"/>
  <c r="V1110" i="11"/>
  <c r="V1111" i="11"/>
  <c r="V1112" i="11"/>
  <c r="V1113" i="11"/>
  <c r="V1114" i="11"/>
  <c r="V1115" i="11"/>
  <c r="V1116" i="11"/>
  <c r="V1117" i="11"/>
  <c r="V1118" i="11"/>
  <c r="V1119" i="11"/>
  <c r="V1120" i="11"/>
  <c r="V1123" i="11"/>
  <c r="V1124" i="11"/>
  <c r="V1125" i="11"/>
  <c r="V1126" i="11"/>
  <c r="V1127" i="11"/>
  <c r="V1128" i="11"/>
  <c r="V1129" i="11"/>
  <c r="V1035" i="11"/>
  <c r="V1036" i="11"/>
  <c r="V1037" i="11"/>
  <c r="V1038" i="11"/>
  <c r="V1039" i="11"/>
  <c r="V1040" i="11"/>
  <c r="V1041" i="11"/>
  <c r="V1042" i="11"/>
  <c r="V1043" i="11"/>
  <c r="V1044" i="11"/>
  <c r="V1045" i="11"/>
  <c r="V1046" i="11"/>
  <c r="V1047" i="11"/>
  <c r="V1048" i="11"/>
  <c r="V1049" i="11"/>
  <c r="V1050" i="11"/>
  <c r="V1051" i="11"/>
  <c r="V1052" i="11"/>
  <c r="V1053" i="11"/>
  <c r="V1054" i="11"/>
  <c r="V1055" i="11"/>
  <c r="V1056" i="11"/>
  <c r="V1057" i="11"/>
  <c r="V1058" i="11"/>
  <c r="V1059" i="11"/>
  <c r="V1060" i="11"/>
  <c r="V1061" i="11"/>
  <c r="V1062" i="11"/>
  <c r="V1063" i="11"/>
  <c r="V1064" i="11"/>
  <c r="V1065" i="11"/>
  <c r="V1066" i="11"/>
  <c r="V1067" i="11"/>
  <c r="V1068" i="11"/>
  <c r="V1069" i="11"/>
  <c r="V1070" i="11"/>
  <c r="V1071" i="11"/>
  <c r="V1072" i="11"/>
  <c r="V1073" i="11"/>
  <c r="V1075" i="11"/>
  <c r="V1076" i="11"/>
  <c r="V1077" i="11"/>
  <c r="V1078" i="11"/>
  <c r="V1079" i="11"/>
  <c r="V1080" i="11"/>
  <c r="V1081" i="11"/>
  <c r="V1082" i="11"/>
  <c r="V1083" i="11"/>
  <c r="V1084" i="11"/>
  <c r="V1089" i="11"/>
  <c r="V985" i="11"/>
  <c r="V986" i="11"/>
  <c r="V987" i="11"/>
  <c r="V988" i="11"/>
  <c r="V989" i="11"/>
  <c r="V990" i="11"/>
  <c r="V991" i="11"/>
  <c r="V992" i="11"/>
  <c r="V993" i="11"/>
  <c r="V994" i="11"/>
  <c r="V995" i="11"/>
  <c r="V996" i="11"/>
  <c r="V998" i="11"/>
  <c r="V999" i="11"/>
  <c r="V1000" i="11"/>
  <c r="V1001" i="11"/>
  <c r="V1002" i="11"/>
  <c r="V1003" i="11"/>
  <c r="V1004" i="11"/>
  <c r="V1005" i="11"/>
  <c r="V1006" i="11"/>
  <c r="V1007" i="11"/>
  <c r="V1008" i="11"/>
  <c r="V1009" i="11"/>
  <c r="V1010" i="11"/>
  <c r="V1011" i="11"/>
  <c r="V1012" i="11"/>
  <c r="V1013" i="11"/>
  <c r="V1014" i="11"/>
  <c r="V1015" i="11"/>
  <c r="V1016" i="11"/>
  <c r="V1017" i="11"/>
  <c r="V1018" i="11"/>
  <c r="V1019" i="11"/>
  <c r="V1020" i="11"/>
  <c r="V1021" i="11"/>
  <c r="V1022" i="11"/>
  <c r="V1023" i="11"/>
  <c r="V1024" i="11"/>
  <c r="V1025" i="11"/>
  <c r="V1026" i="11"/>
  <c r="V1027" i="11"/>
  <c r="V1028" i="11"/>
  <c r="V1029" i="11"/>
  <c r="V1030" i="11"/>
  <c r="V1031" i="11"/>
  <c r="V1034" i="11"/>
  <c r="V984" i="11"/>
  <c r="AQ119" i="10" l="1"/>
  <c r="AT165" i="10"/>
  <c r="Q134" i="15"/>
  <c r="Q134" i="12" s="1"/>
  <c r="Q137" i="15"/>
  <c r="Q137" i="12" s="1"/>
  <c r="U301" i="28"/>
  <c r="R156" i="15" s="1"/>
  <c r="R156" i="12" s="1"/>
  <c r="U285" i="28"/>
  <c r="R148" i="15" s="1"/>
  <c r="R148" i="12" s="1"/>
  <c r="U269" i="28"/>
  <c r="R140" i="15" s="1"/>
  <c r="R140" i="12" s="1"/>
  <c r="Q142" i="15"/>
  <c r="Q142" i="12" s="1"/>
  <c r="U283" i="28"/>
  <c r="R147" i="15" s="1"/>
  <c r="R147" i="12" s="1"/>
  <c r="U299" i="28"/>
  <c r="R155" i="15" s="1"/>
  <c r="U279" i="28"/>
  <c r="R145" i="15" s="1"/>
  <c r="R145" i="12" s="1"/>
  <c r="U277" i="28"/>
  <c r="R144" i="15" s="1"/>
  <c r="R144" i="12" s="1"/>
  <c r="U247" i="28"/>
  <c r="R129" i="15" s="1"/>
  <c r="R129" i="12" s="1"/>
  <c r="U245" i="28"/>
  <c r="R128" i="15" s="1"/>
  <c r="R128" i="12" s="1"/>
  <c r="U267" i="28"/>
  <c r="R139" i="15" s="1"/>
  <c r="R139" i="12" s="1"/>
  <c r="U251" i="28"/>
  <c r="R131" i="15" s="1"/>
  <c r="R131" i="12" s="1"/>
  <c r="U281" i="28"/>
  <c r="R146" i="15" s="1"/>
  <c r="R146" i="12" s="1"/>
  <c r="U249" i="28"/>
  <c r="R130" i="15" s="1"/>
  <c r="R130" i="12" s="1"/>
  <c r="Q140" i="15"/>
  <c r="Q140" i="12" s="1"/>
  <c r="Q148" i="15"/>
  <c r="Q148" i="12" s="1"/>
  <c r="Q155" i="15"/>
  <c r="U275" i="28"/>
  <c r="R143" i="15" s="1"/>
  <c r="R143" i="12" s="1"/>
  <c r="Q131" i="15"/>
  <c r="Q131" i="12" s="1"/>
  <c r="Q147" i="15"/>
  <c r="Q147" i="12" s="1"/>
  <c r="Q150" i="15"/>
  <c r="Q150" i="12" s="1"/>
  <c r="U271" i="28"/>
  <c r="R141" i="15" s="1"/>
  <c r="R141" i="12" s="1"/>
  <c r="Q139" i="15"/>
  <c r="Q139" i="12" s="1"/>
  <c r="Q154" i="15"/>
  <c r="Q154" i="12" s="1"/>
  <c r="Q156" i="15"/>
  <c r="Q156" i="12" s="1"/>
  <c r="U265" i="28"/>
  <c r="R138" i="15" s="1"/>
  <c r="R138" i="12" s="1"/>
  <c r="Q133" i="15"/>
  <c r="Q133" i="12" s="1"/>
  <c r="Q136" i="15"/>
  <c r="Q136" i="12" s="1"/>
  <c r="Q152" i="15"/>
  <c r="Q152" i="12" s="1"/>
  <c r="U295" i="28"/>
  <c r="R153" i="15" s="1"/>
  <c r="R153" i="12" s="1"/>
  <c r="Q149" i="15"/>
  <c r="Q149" i="12" s="1"/>
  <c r="U291" i="28"/>
  <c r="R151" i="15" s="1"/>
  <c r="R151" i="12" s="1"/>
  <c r="U259" i="28"/>
  <c r="R135" i="15" s="1"/>
  <c r="R135" i="12" s="1"/>
  <c r="U253" i="28"/>
  <c r="R132" i="15" s="1"/>
  <c r="R132" i="12" s="1"/>
  <c r="AT556" i="10"/>
  <c r="Y299" i="28"/>
  <c r="Y283" i="28"/>
  <c r="Y267" i="28"/>
  <c r="Y251" i="28"/>
  <c r="Y297" i="28"/>
  <c r="Y281" i="28"/>
  <c r="Y265" i="28"/>
  <c r="Y249" i="28"/>
  <c r="Y277" i="28"/>
  <c r="Y261" i="28"/>
  <c r="Y291" i="28"/>
  <c r="Y275" i="28"/>
  <c r="Y259" i="28"/>
  <c r="Y293" i="28"/>
  <c r="Y245" i="28"/>
  <c r="Y269" i="28"/>
  <c r="AQ643" i="10"/>
  <c r="AQ642" i="10"/>
  <c r="AT642" i="10"/>
  <c r="U305" i="28"/>
  <c r="R158" i="15" s="1"/>
  <c r="R158" i="12" s="1"/>
  <c r="W305" i="28"/>
  <c r="Y305" i="28"/>
  <c r="S305" i="28"/>
  <c r="P158" i="15" s="1"/>
  <c r="P158" i="12" s="1"/>
  <c r="Y303" i="28"/>
  <c r="U303" i="28"/>
  <c r="R157" i="15" s="1"/>
  <c r="R157" i="12" s="1"/>
  <c r="Q157" i="15"/>
  <c r="Q157" i="12" s="1"/>
  <c r="Q303" i="28"/>
  <c r="O157" i="15" s="1"/>
  <c r="O157" i="12" s="1"/>
  <c r="Y301" i="28"/>
  <c r="W301" i="28"/>
  <c r="S301" i="28"/>
  <c r="P156" i="15" s="1"/>
  <c r="P156" i="12" s="1"/>
  <c r="Q301" i="28"/>
  <c r="O156" i="15" s="1"/>
  <c r="O156" i="12" s="1"/>
  <c r="O301" i="28"/>
  <c r="N156" i="15" s="1"/>
  <c r="N156" i="12" s="1"/>
  <c r="Q243" i="28"/>
  <c r="O127" i="15" s="1"/>
  <c r="O127" i="12" s="1"/>
  <c r="Y241" i="28"/>
  <c r="W241" i="28"/>
  <c r="U241" i="28"/>
  <c r="R126" i="15" s="1"/>
  <c r="R126" i="12" s="1"/>
  <c r="D1223" i="11"/>
  <c r="E1223" i="11"/>
  <c r="F1223" i="11"/>
  <c r="G1223" i="11"/>
  <c r="H1223" i="11"/>
  <c r="I1223" i="11"/>
  <c r="J1223" i="11"/>
  <c r="K1223" i="11"/>
  <c r="L1223" i="11"/>
  <c r="M1223" i="11"/>
  <c r="N1223" i="11"/>
  <c r="O1223" i="11"/>
  <c r="P1223" i="11"/>
  <c r="Q1223" i="11"/>
  <c r="R1223" i="11"/>
  <c r="D1224" i="11"/>
  <c r="E1224" i="11"/>
  <c r="F1224" i="11"/>
  <c r="G1224" i="11"/>
  <c r="H1224" i="11"/>
  <c r="I1224" i="11"/>
  <c r="J1224" i="11"/>
  <c r="K1224" i="11"/>
  <c r="L1224" i="11"/>
  <c r="M1224" i="11"/>
  <c r="N1224" i="11"/>
  <c r="O1224" i="11"/>
  <c r="P1224" i="11"/>
  <c r="Q1224" i="11"/>
  <c r="R1224" i="11"/>
  <c r="D1225" i="11"/>
  <c r="E1225" i="11"/>
  <c r="F1225" i="11"/>
  <c r="G1225" i="11"/>
  <c r="H1225" i="11"/>
  <c r="I1225" i="11"/>
  <c r="J1225" i="11"/>
  <c r="K1225" i="11"/>
  <c r="L1225" i="11"/>
  <c r="M1225" i="11"/>
  <c r="N1225" i="11"/>
  <c r="O1225" i="11"/>
  <c r="P1225" i="11"/>
  <c r="Q1225" i="11"/>
  <c r="R1225" i="11"/>
  <c r="D1226" i="11"/>
  <c r="E1226" i="11"/>
  <c r="F1226" i="11"/>
  <c r="G1226" i="11"/>
  <c r="H1226" i="11"/>
  <c r="I1226" i="11"/>
  <c r="J1226" i="11"/>
  <c r="K1226" i="11"/>
  <c r="L1226" i="11"/>
  <c r="M1226" i="11"/>
  <c r="N1226" i="11"/>
  <c r="O1226" i="11"/>
  <c r="P1226" i="11"/>
  <c r="Q1226" i="11"/>
  <c r="R1226" i="11"/>
  <c r="D1227" i="11"/>
  <c r="E1227" i="11"/>
  <c r="F1227" i="11"/>
  <c r="G1227" i="11"/>
  <c r="H1227" i="11"/>
  <c r="I1227" i="11"/>
  <c r="J1227" i="11"/>
  <c r="K1227" i="11"/>
  <c r="L1227" i="11"/>
  <c r="M1227" i="11"/>
  <c r="N1227" i="11"/>
  <c r="O1227" i="11"/>
  <c r="P1227" i="11"/>
  <c r="Q1227" i="11"/>
  <c r="R1227" i="11"/>
  <c r="D1228" i="11"/>
  <c r="E1228" i="11"/>
  <c r="F1228" i="11"/>
  <c r="G1228" i="11"/>
  <c r="H1228" i="11"/>
  <c r="I1228" i="11"/>
  <c r="J1228" i="11"/>
  <c r="K1228" i="11"/>
  <c r="L1228" i="11"/>
  <c r="M1228" i="11"/>
  <c r="N1228" i="11"/>
  <c r="O1228" i="11"/>
  <c r="P1228" i="11"/>
  <c r="Q1228" i="11"/>
  <c r="R1228" i="11"/>
  <c r="D1229" i="11"/>
  <c r="E1229" i="11"/>
  <c r="F1229" i="11"/>
  <c r="G1229" i="11"/>
  <c r="H1229" i="11"/>
  <c r="I1229" i="11"/>
  <c r="J1229" i="11"/>
  <c r="K1229" i="11"/>
  <c r="L1229" i="11"/>
  <c r="M1229" i="11"/>
  <c r="N1229" i="11"/>
  <c r="O1229" i="11"/>
  <c r="P1229" i="11"/>
  <c r="Q1229" i="11"/>
  <c r="R1229" i="11"/>
  <c r="D1230" i="11"/>
  <c r="E1230" i="11"/>
  <c r="F1230" i="11"/>
  <c r="G1230" i="11"/>
  <c r="H1230" i="11"/>
  <c r="I1230" i="11"/>
  <c r="J1230" i="11"/>
  <c r="K1230" i="11"/>
  <c r="L1230" i="11"/>
  <c r="M1230" i="11"/>
  <c r="N1230" i="11"/>
  <c r="O1230" i="11"/>
  <c r="P1230" i="11"/>
  <c r="Q1230" i="11"/>
  <c r="R1230" i="11"/>
  <c r="D1209" i="11"/>
  <c r="E1209" i="11"/>
  <c r="F1209" i="11"/>
  <c r="G1209" i="11"/>
  <c r="H1209" i="11"/>
  <c r="I1209" i="11"/>
  <c r="J1209" i="11"/>
  <c r="K1209" i="11"/>
  <c r="L1209" i="11"/>
  <c r="M1209" i="11"/>
  <c r="N1209" i="11"/>
  <c r="O1209" i="11"/>
  <c r="P1209" i="11"/>
  <c r="Q1209" i="11"/>
  <c r="R1209" i="11"/>
  <c r="D1210" i="11"/>
  <c r="E1210" i="11"/>
  <c r="F1210" i="11"/>
  <c r="G1210" i="11"/>
  <c r="H1210" i="11"/>
  <c r="I1210" i="11"/>
  <c r="J1210" i="11"/>
  <c r="K1210" i="11"/>
  <c r="L1210" i="11"/>
  <c r="M1210" i="11"/>
  <c r="N1210" i="11"/>
  <c r="O1210" i="11"/>
  <c r="P1210" i="11"/>
  <c r="Q1210" i="11"/>
  <c r="R1210" i="11"/>
  <c r="D1211" i="11"/>
  <c r="E1211" i="11"/>
  <c r="F1211" i="11"/>
  <c r="G1211" i="11"/>
  <c r="H1211" i="11"/>
  <c r="I1211" i="11"/>
  <c r="J1211" i="11"/>
  <c r="K1211" i="11"/>
  <c r="L1211" i="11"/>
  <c r="M1211" i="11"/>
  <c r="N1211" i="11"/>
  <c r="O1211" i="11"/>
  <c r="P1211" i="11"/>
  <c r="Q1211" i="11"/>
  <c r="R1211" i="11"/>
  <c r="D1212" i="11"/>
  <c r="E1212" i="11"/>
  <c r="F1212" i="11"/>
  <c r="G1212" i="11"/>
  <c r="H1212" i="11"/>
  <c r="I1212" i="11"/>
  <c r="J1212" i="11"/>
  <c r="K1212" i="11"/>
  <c r="L1212" i="11"/>
  <c r="M1212" i="11"/>
  <c r="N1212" i="11"/>
  <c r="O1212" i="11"/>
  <c r="P1212" i="11"/>
  <c r="Q1212" i="11"/>
  <c r="R1212" i="11"/>
  <c r="D1213" i="11"/>
  <c r="E1213" i="11"/>
  <c r="F1213" i="11"/>
  <c r="G1213" i="11"/>
  <c r="H1213" i="11"/>
  <c r="I1213" i="11"/>
  <c r="J1213" i="11"/>
  <c r="K1213" i="11"/>
  <c r="L1213" i="11"/>
  <c r="M1213" i="11"/>
  <c r="N1213" i="11"/>
  <c r="O1213" i="11"/>
  <c r="P1213" i="11"/>
  <c r="Q1213" i="11"/>
  <c r="R1213" i="11"/>
  <c r="D1214" i="11"/>
  <c r="E1214" i="11"/>
  <c r="F1214" i="11"/>
  <c r="G1214" i="11"/>
  <c r="H1214" i="11"/>
  <c r="I1214" i="11"/>
  <c r="J1214" i="11"/>
  <c r="K1214" i="11"/>
  <c r="L1214" i="11"/>
  <c r="M1214" i="11"/>
  <c r="N1214" i="11"/>
  <c r="O1214" i="11"/>
  <c r="P1214" i="11"/>
  <c r="Q1214" i="11"/>
  <c r="R1214" i="11"/>
  <c r="D1215" i="11"/>
  <c r="E1215" i="11"/>
  <c r="F1215" i="11"/>
  <c r="G1215" i="11"/>
  <c r="H1215" i="11"/>
  <c r="I1215" i="11"/>
  <c r="J1215" i="11"/>
  <c r="K1215" i="11"/>
  <c r="L1215" i="11"/>
  <c r="M1215" i="11"/>
  <c r="N1215" i="11"/>
  <c r="O1215" i="11"/>
  <c r="P1215" i="11"/>
  <c r="Q1215" i="11"/>
  <c r="R1215" i="11"/>
  <c r="D1216" i="11"/>
  <c r="E1216" i="11"/>
  <c r="F1216" i="11"/>
  <c r="G1216" i="11"/>
  <c r="H1216" i="11"/>
  <c r="I1216" i="11"/>
  <c r="J1216" i="11"/>
  <c r="K1216" i="11"/>
  <c r="L1216" i="11"/>
  <c r="M1216" i="11"/>
  <c r="N1216" i="11"/>
  <c r="O1216" i="11"/>
  <c r="P1216" i="11"/>
  <c r="Q1216" i="11"/>
  <c r="R1216" i="11"/>
  <c r="D1217" i="11"/>
  <c r="E1217" i="11"/>
  <c r="F1217" i="11"/>
  <c r="G1217" i="11"/>
  <c r="H1217" i="11"/>
  <c r="I1217" i="11"/>
  <c r="J1217" i="11"/>
  <c r="K1217" i="11"/>
  <c r="L1217" i="11"/>
  <c r="M1217" i="11"/>
  <c r="N1217" i="11"/>
  <c r="O1217" i="11"/>
  <c r="P1217" i="11"/>
  <c r="Q1217" i="11"/>
  <c r="R1217" i="11"/>
  <c r="D1218" i="11"/>
  <c r="E1218" i="11"/>
  <c r="F1218" i="11"/>
  <c r="G1218" i="11"/>
  <c r="H1218" i="11"/>
  <c r="I1218" i="11"/>
  <c r="J1218" i="11"/>
  <c r="K1218" i="11"/>
  <c r="L1218" i="11"/>
  <c r="M1218" i="11"/>
  <c r="N1218" i="11"/>
  <c r="O1218" i="11"/>
  <c r="P1218" i="11"/>
  <c r="Q1218" i="11"/>
  <c r="R1218" i="11"/>
  <c r="D1219" i="11"/>
  <c r="E1219" i="11"/>
  <c r="F1219" i="11"/>
  <c r="G1219" i="11"/>
  <c r="H1219" i="11"/>
  <c r="I1219" i="11"/>
  <c r="J1219" i="11"/>
  <c r="K1219" i="11"/>
  <c r="L1219" i="11"/>
  <c r="M1219" i="11"/>
  <c r="N1219" i="11"/>
  <c r="O1219" i="11"/>
  <c r="P1219" i="11"/>
  <c r="Q1219" i="11"/>
  <c r="R1219" i="11"/>
  <c r="D1220" i="11"/>
  <c r="E1220" i="11"/>
  <c r="F1220" i="11"/>
  <c r="G1220" i="11"/>
  <c r="H1220" i="11"/>
  <c r="I1220" i="11"/>
  <c r="J1220" i="11"/>
  <c r="K1220" i="11"/>
  <c r="L1220" i="11"/>
  <c r="M1220" i="11"/>
  <c r="N1220" i="11"/>
  <c r="O1220" i="11"/>
  <c r="P1220" i="11"/>
  <c r="Q1220" i="11"/>
  <c r="R1220" i="11"/>
  <c r="D1221" i="11"/>
  <c r="E1221" i="11"/>
  <c r="F1221" i="11"/>
  <c r="G1221" i="11"/>
  <c r="H1221" i="11"/>
  <c r="I1221" i="11"/>
  <c r="J1221" i="11"/>
  <c r="K1221" i="11"/>
  <c r="L1221" i="11"/>
  <c r="M1221" i="11"/>
  <c r="N1221" i="11"/>
  <c r="O1221" i="11"/>
  <c r="P1221" i="11"/>
  <c r="Q1221" i="11"/>
  <c r="R1221" i="11"/>
  <c r="D1222" i="11"/>
  <c r="E1222" i="11"/>
  <c r="F1222" i="11"/>
  <c r="G1222" i="11"/>
  <c r="H1222" i="11"/>
  <c r="I1222" i="11"/>
  <c r="J1222" i="11"/>
  <c r="K1222" i="11"/>
  <c r="L1222" i="11"/>
  <c r="M1222" i="11"/>
  <c r="N1222" i="11"/>
  <c r="O1222" i="11"/>
  <c r="P1222" i="11"/>
  <c r="Q1222" i="11"/>
  <c r="R1222" i="11"/>
  <c r="D1193" i="11"/>
  <c r="E1193" i="11"/>
  <c r="F1193" i="11"/>
  <c r="G1193" i="11"/>
  <c r="H1193" i="11"/>
  <c r="I1193" i="11"/>
  <c r="J1193" i="11"/>
  <c r="K1193" i="11"/>
  <c r="L1193" i="11"/>
  <c r="M1193" i="11"/>
  <c r="N1193" i="11"/>
  <c r="O1193" i="11"/>
  <c r="P1193" i="11"/>
  <c r="Q1193" i="11"/>
  <c r="R1193" i="11"/>
  <c r="D1194" i="11"/>
  <c r="E1194" i="11"/>
  <c r="F1194" i="11"/>
  <c r="G1194" i="11"/>
  <c r="H1194" i="11"/>
  <c r="I1194" i="11"/>
  <c r="J1194" i="11"/>
  <c r="K1194" i="11"/>
  <c r="L1194" i="11"/>
  <c r="M1194" i="11"/>
  <c r="N1194" i="11"/>
  <c r="O1194" i="11"/>
  <c r="P1194" i="11"/>
  <c r="Q1194" i="11"/>
  <c r="R1194" i="11"/>
  <c r="D1195" i="11"/>
  <c r="E1195" i="11"/>
  <c r="F1195" i="11"/>
  <c r="G1195" i="11"/>
  <c r="H1195" i="11"/>
  <c r="I1195" i="11"/>
  <c r="J1195" i="11"/>
  <c r="K1195" i="11"/>
  <c r="L1195" i="11"/>
  <c r="M1195" i="11"/>
  <c r="N1195" i="11"/>
  <c r="O1195" i="11"/>
  <c r="P1195" i="11"/>
  <c r="Q1195" i="11"/>
  <c r="R1195" i="11"/>
  <c r="D1196" i="11"/>
  <c r="E1196" i="11"/>
  <c r="F1196" i="11"/>
  <c r="G1196" i="11"/>
  <c r="H1196" i="11"/>
  <c r="I1196" i="11"/>
  <c r="J1196" i="11"/>
  <c r="K1196" i="11"/>
  <c r="L1196" i="11"/>
  <c r="M1196" i="11"/>
  <c r="N1196" i="11"/>
  <c r="O1196" i="11"/>
  <c r="P1196" i="11"/>
  <c r="Q1196" i="11"/>
  <c r="R1196" i="11"/>
  <c r="D1197" i="11"/>
  <c r="E1197" i="11"/>
  <c r="F1197" i="11"/>
  <c r="G1197" i="11"/>
  <c r="H1197" i="11"/>
  <c r="I1197" i="11"/>
  <c r="J1197" i="11"/>
  <c r="K1197" i="11"/>
  <c r="L1197" i="11"/>
  <c r="M1197" i="11"/>
  <c r="N1197" i="11"/>
  <c r="O1197" i="11"/>
  <c r="P1197" i="11"/>
  <c r="Q1197" i="11"/>
  <c r="R1197" i="11"/>
  <c r="D1198" i="11"/>
  <c r="E1198" i="11"/>
  <c r="F1198" i="11"/>
  <c r="G1198" i="11"/>
  <c r="H1198" i="11"/>
  <c r="I1198" i="11"/>
  <c r="J1198" i="11"/>
  <c r="K1198" i="11"/>
  <c r="L1198" i="11"/>
  <c r="M1198" i="11"/>
  <c r="N1198" i="11"/>
  <c r="O1198" i="11"/>
  <c r="P1198" i="11"/>
  <c r="Q1198" i="11"/>
  <c r="R1198" i="11"/>
  <c r="D1199" i="11"/>
  <c r="E1199" i="11"/>
  <c r="F1199" i="11"/>
  <c r="G1199" i="11"/>
  <c r="H1199" i="11"/>
  <c r="I1199" i="11"/>
  <c r="J1199" i="11"/>
  <c r="K1199" i="11"/>
  <c r="L1199" i="11"/>
  <c r="M1199" i="11"/>
  <c r="N1199" i="11"/>
  <c r="O1199" i="11"/>
  <c r="P1199" i="11"/>
  <c r="Q1199" i="11"/>
  <c r="R1199" i="11"/>
  <c r="D1200" i="11"/>
  <c r="E1200" i="11"/>
  <c r="F1200" i="11"/>
  <c r="G1200" i="11"/>
  <c r="H1200" i="11"/>
  <c r="I1200" i="11"/>
  <c r="J1200" i="11"/>
  <c r="K1200" i="11"/>
  <c r="L1200" i="11"/>
  <c r="M1200" i="11"/>
  <c r="N1200" i="11"/>
  <c r="O1200" i="11"/>
  <c r="P1200" i="11"/>
  <c r="Q1200" i="11"/>
  <c r="R1200" i="11"/>
  <c r="D1201" i="11"/>
  <c r="E1201" i="11"/>
  <c r="F1201" i="11"/>
  <c r="G1201" i="11"/>
  <c r="H1201" i="11"/>
  <c r="I1201" i="11"/>
  <c r="J1201" i="11"/>
  <c r="K1201" i="11"/>
  <c r="L1201" i="11"/>
  <c r="M1201" i="11"/>
  <c r="N1201" i="11"/>
  <c r="O1201" i="11"/>
  <c r="P1201" i="11"/>
  <c r="Q1201" i="11"/>
  <c r="R1201" i="11"/>
  <c r="D1202" i="11"/>
  <c r="E1202" i="11"/>
  <c r="F1202" i="11"/>
  <c r="G1202" i="11"/>
  <c r="H1202" i="11"/>
  <c r="I1202" i="11"/>
  <c r="J1202" i="11"/>
  <c r="K1202" i="11"/>
  <c r="L1202" i="11"/>
  <c r="M1202" i="11"/>
  <c r="N1202" i="11"/>
  <c r="O1202" i="11"/>
  <c r="P1202" i="11"/>
  <c r="Q1202" i="11"/>
  <c r="R1202" i="11"/>
  <c r="D1203" i="11"/>
  <c r="E1203" i="11"/>
  <c r="F1203" i="11"/>
  <c r="G1203" i="11"/>
  <c r="H1203" i="11"/>
  <c r="I1203" i="11"/>
  <c r="J1203" i="11"/>
  <c r="K1203" i="11"/>
  <c r="L1203" i="11"/>
  <c r="M1203" i="11"/>
  <c r="N1203" i="11"/>
  <c r="O1203" i="11"/>
  <c r="P1203" i="11"/>
  <c r="Q1203" i="11"/>
  <c r="R1203" i="11"/>
  <c r="D1204" i="11"/>
  <c r="E1204" i="11"/>
  <c r="F1204" i="11"/>
  <c r="G1204" i="11"/>
  <c r="H1204" i="11"/>
  <c r="I1204" i="11"/>
  <c r="J1204" i="11"/>
  <c r="K1204" i="11"/>
  <c r="L1204" i="11"/>
  <c r="M1204" i="11"/>
  <c r="N1204" i="11"/>
  <c r="O1204" i="11"/>
  <c r="P1204" i="11"/>
  <c r="Q1204" i="11"/>
  <c r="R1204" i="11"/>
  <c r="D1205" i="11"/>
  <c r="E1205" i="11"/>
  <c r="F1205" i="11"/>
  <c r="G1205" i="11"/>
  <c r="H1205" i="11"/>
  <c r="I1205" i="11"/>
  <c r="J1205" i="11"/>
  <c r="K1205" i="11"/>
  <c r="L1205" i="11"/>
  <c r="M1205" i="11"/>
  <c r="N1205" i="11"/>
  <c r="O1205" i="11"/>
  <c r="P1205" i="11"/>
  <c r="Q1205" i="11"/>
  <c r="R1205" i="11"/>
  <c r="D1206" i="11"/>
  <c r="E1206" i="11"/>
  <c r="F1206" i="11"/>
  <c r="G1206" i="11"/>
  <c r="H1206" i="11"/>
  <c r="I1206" i="11"/>
  <c r="J1206" i="11"/>
  <c r="K1206" i="11"/>
  <c r="L1206" i="11"/>
  <c r="M1206" i="11"/>
  <c r="N1206" i="11"/>
  <c r="O1206" i="11"/>
  <c r="P1206" i="11"/>
  <c r="Q1206" i="11"/>
  <c r="R1206" i="11"/>
  <c r="D1207" i="11"/>
  <c r="E1207" i="11"/>
  <c r="F1207" i="11"/>
  <c r="G1207" i="11"/>
  <c r="H1207" i="11"/>
  <c r="I1207" i="11"/>
  <c r="J1207" i="11"/>
  <c r="K1207" i="11"/>
  <c r="L1207" i="11"/>
  <c r="M1207" i="11"/>
  <c r="N1207" i="11"/>
  <c r="O1207" i="11"/>
  <c r="P1207" i="11"/>
  <c r="Q1207" i="11"/>
  <c r="R1207" i="11"/>
  <c r="D1208" i="11"/>
  <c r="E1208" i="11"/>
  <c r="F1208" i="11"/>
  <c r="G1208" i="11"/>
  <c r="H1208" i="11"/>
  <c r="I1208" i="11"/>
  <c r="J1208" i="11"/>
  <c r="K1208" i="11"/>
  <c r="L1208" i="11"/>
  <c r="M1208" i="11"/>
  <c r="N1208" i="11"/>
  <c r="O1208" i="11"/>
  <c r="P1208" i="11"/>
  <c r="Q1208" i="11"/>
  <c r="R1208" i="11"/>
  <c r="D1184" i="11"/>
  <c r="E1184" i="11"/>
  <c r="F1184" i="11"/>
  <c r="G1184" i="11"/>
  <c r="H1184" i="11"/>
  <c r="I1184" i="11"/>
  <c r="J1184" i="11"/>
  <c r="K1184" i="11"/>
  <c r="L1184" i="11"/>
  <c r="M1184" i="11"/>
  <c r="N1184" i="11"/>
  <c r="O1184" i="11"/>
  <c r="P1184" i="11"/>
  <c r="Q1184" i="11"/>
  <c r="R1184" i="11"/>
  <c r="D1185" i="11"/>
  <c r="E1185" i="11"/>
  <c r="F1185" i="11"/>
  <c r="G1185" i="11"/>
  <c r="H1185" i="11"/>
  <c r="I1185" i="11"/>
  <c r="J1185" i="11"/>
  <c r="K1185" i="11"/>
  <c r="L1185" i="11"/>
  <c r="M1185" i="11"/>
  <c r="N1185" i="11"/>
  <c r="O1185" i="11"/>
  <c r="P1185" i="11"/>
  <c r="Q1185" i="11"/>
  <c r="R1185" i="11"/>
  <c r="D1186" i="11"/>
  <c r="E1186" i="11"/>
  <c r="F1186" i="11"/>
  <c r="G1186" i="11"/>
  <c r="H1186" i="11"/>
  <c r="I1186" i="11"/>
  <c r="J1186" i="11"/>
  <c r="K1186" i="11"/>
  <c r="L1186" i="11"/>
  <c r="M1186" i="11"/>
  <c r="N1186" i="11"/>
  <c r="O1186" i="11"/>
  <c r="P1186" i="11"/>
  <c r="Q1186" i="11"/>
  <c r="R1186" i="11"/>
  <c r="D1187" i="11"/>
  <c r="E1187" i="11"/>
  <c r="F1187" i="11"/>
  <c r="G1187" i="11"/>
  <c r="H1187" i="11"/>
  <c r="I1187" i="11"/>
  <c r="J1187" i="11"/>
  <c r="K1187" i="11"/>
  <c r="L1187" i="11"/>
  <c r="M1187" i="11"/>
  <c r="N1187" i="11"/>
  <c r="O1187" i="11"/>
  <c r="P1187" i="11"/>
  <c r="Q1187" i="11"/>
  <c r="R1187" i="11"/>
  <c r="D1188" i="11"/>
  <c r="E1188" i="11"/>
  <c r="F1188" i="11"/>
  <c r="G1188" i="11"/>
  <c r="H1188" i="11"/>
  <c r="I1188" i="11"/>
  <c r="J1188" i="11"/>
  <c r="K1188" i="11"/>
  <c r="L1188" i="11"/>
  <c r="M1188" i="11"/>
  <c r="N1188" i="11"/>
  <c r="O1188" i="11"/>
  <c r="P1188" i="11"/>
  <c r="Q1188" i="11"/>
  <c r="R1188" i="11"/>
  <c r="D1189" i="11"/>
  <c r="E1189" i="11"/>
  <c r="F1189" i="11"/>
  <c r="G1189" i="11"/>
  <c r="H1189" i="11"/>
  <c r="I1189" i="11"/>
  <c r="J1189" i="11"/>
  <c r="K1189" i="11"/>
  <c r="L1189" i="11"/>
  <c r="M1189" i="11"/>
  <c r="N1189" i="11"/>
  <c r="O1189" i="11"/>
  <c r="P1189" i="11"/>
  <c r="Q1189" i="11"/>
  <c r="R1189" i="11"/>
  <c r="D1190" i="11"/>
  <c r="E1190" i="11"/>
  <c r="F1190" i="11"/>
  <c r="G1190" i="11"/>
  <c r="H1190" i="11"/>
  <c r="I1190" i="11"/>
  <c r="J1190" i="11"/>
  <c r="K1190" i="11"/>
  <c r="L1190" i="11"/>
  <c r="M1190" i="11"/>
  <c r="N1190" i="11"/>
  <c r="O1190" i="11"/>
  <c r="P1190" i="11"/>
  <c r="Q1190" i="11"/>
  <c r="R1190" i="11"/>
  <c r="D1191" i="11"/>
  <c r="E1191" i="11"/>
  <c r="F1191" i="11"/>
  <c r="G1191" i="11"/>
  <c r="H1191" i="11"/>
  <c r="I1191" i="11"/>
  <c r="J1191" i="11"/>
  <c r="K1191" i="11"/>
  <c r="L1191" i="11"/>
  <c r="M1191" i="11"/>
  <c r="N1191" i="11"/>
  <c r="O1191" i="11"/>
  <c r="P1191" i="11"/>
  <c r="Q1191" i="11"/>
  <c r="R1191" i="11"/>
  <c r="D1192" i="11"/>
  <c r="E1192" i="11"/>
  <c r="F1192" i="11"/>
  <c r="G1192" i="11"/>
  <c r="H1192" i="11"/>
  <c r="I1192" i="11"/>
  <c r="J1192" i="11"/>
  <c r="K1192" i="11"/>
  <c r="L1192" i="11"/>
  <c r="M1192" i="11"/>
  <c r="N1192" i="11"/>
  <c r="O1192" i="11"/>
  <c r="P1192" i="11"/>
  <c r="Q1192" i="11"/>
  <c r="R1192" i="11"/>
  <c r="D1150" i="11"/>
  <c r="E1150" i="11"/>
  <c r="F1150" i="11"/>
  <c r="G1150" i="11"/>
  <c r="H1150" i="11"/>
  <c r="I1150" i="11"/>
  <c r="J1150" i="11"/>
  <c r="K1150" i="11"/>
  <c r="L1150" i="11"/>
  <c r="M1150" i="11"/>
  <c r="N1150" i="11"/>
  <c r="O1150" i="11"/>
  <c r="P1150" i="11"/>
  <c r="Q1150" i="11"/>
  <c r="R1150" i="11"/>
  <c r="D1151" i="11"/>
  <c r="E1151" i="11"/>
  <c r="F1151" i="11"/>
  <c r="G1151" i="11"/>
  <c r="H1151" i="11"/>
  <c r="I1151" i="11"/>
  <c r="J1151" i="11"/>
  <c r="K1151" i="11"/>
  <c r="L1151" i="11"/>
  <c r="M1151" i="11"/>
  <c r="N1151" i="11"/>
  <c r="O1151" i="11"/>
  <c r="P1151" i="11"/>
  <c r="Q1151" i="11"/>
  <c r="R1151" i="11"/>
  <c r="D1152" i="11"/>
  <c r="E1152" i="11"/>
  <c r="F1152" i="11"/>
  <c r="G1152" i="11"/>
  <c r="H1152" i="11"/>
  <c r="I1152" i="11"/>
  <c r="J1152" i="11"/>
  <c r="K1152" i="11"/>
  <c r="L1152" i="11"/>
  <c r="M1152" i="11"/>
  <c r="N1152" i="11"/>
  <c r="O1152" i="11"/>
  <c r="P1152" i="11"/>
  <c r="Q1152" i="11"/>
  <c r="R1152" i="11"/>
  <c r="D1153" i="11"/>
  <c r="E1153" i="11"/>
  <c r="F1153" i="11"/>
  <c r="G1153" i="11"/>
  <c r="H1153" i="11"/>
  <c r="I1153" i="11"/>
  <c r="J1153" i="11"/>
  <c r="K1153" i="11"/>
  <c r="L1153" i="11"/>
  <c r="M1153" i="11"/>
  <c r="N1153" i="11"/>
  <c r="O1153" i="11"/>
  <c r="P1153" i="11"/>
  <c r="Q1153" i="11"/>
  <c r="R1153" i="11"/>
  <c r="D1154" i="11"/>
  <c r="E1154" i="11"/>
  <c r="F1154" i="11"/>
  <c r="G1154" i="11"/>
  <c r="H1154" i="11"/>
  <c r="I1154" i="11"/>
  <c r="J1154" i="11"/>
  <c r="K1154" i="11"/>
  <c r="L1154" i="11"/>
  <c r="M1154" i="11"/>
  <c r="N1154" i="11"/>
  <c r="O1154" i="11"/>
  <c r="P1154" i="11"/>
  <c r="Q1154" i="11"/>
  <c r="R1154" i="11"/>
  <c r="D1155" i="11"/>
  <c r="E1155" i="11"/>
  <c r="F1155" i="11"/>
  <c r="G1155" i="11"/>
  <c r="H1155" i="11"/>
  <c r="I1155" i="11"/>
  <c r="J1155" i="11"/>
  <c r="K1155" i="11"/>
  <c r="L1155" i="11"/>
  <c r="M1155" i="11"/>
  <c r="N1155" i="11"/>
  <c r="O1155" i="11"/>
  <c r="P1155" i="11"/>
  <c r="Q1155" i="11"/>
  <c r="R1155" i="11"/>
  <c r="D1156" i="11"/>
  <c r="E1156" i="11"/>
  <c r="F1156" i="11"/>
  <c r="G1156" i="11"/>
  <c r="H1156" i="11"/>
  <c r="I1156" i="11"/>
  <c r="J1156" i="11"/>
  <c r="K1156" i="11"/>
  <c r="L1156" i="11"/>
  <c r="M1156" i="11"/>
  <c r="N1156" i="11"/>
  <c r="O1156" i="11"/>
  <c r="P1156" i="11"/>
  <c r="Q1156" i="11"/>
  <c r="R1156" i="11"/>
  <c r="D1157" i="11"/>
  <c r="E1157" i="11"/>
  <c r="F1157" i="11"/>
  <c r="G1157" i="11"/>
  <c r="H1157" i="11"/>
  <c r="I1157" i="11"/>
  <c r="J1157" i="11"/>
  <c r="K1157" i="11"/>
  <c r="L1157" i="11"/>
  <c r="M1157" i="11"/>
  <c r="N1157" i="11"/>
  <c r="O1157" i="11"/>
  <c r="P1157" i="11"/>
  <c r="Q1157" i="11"/>
  <c r="R1157" i="11"/>
  <c r="D1158" i="11"/>
  <c r="E1158" i="11"/>
  <c r="F1158" i="11"/>
  <c r="G1158" i="11"/>
  <c r="H1158" i="11"/>
  <c r="I1158" i="11"/>
  <c r="J1158" i="11"/>
  <c r="K1158" i="11"/>
  <c r="L1158" i="11"/>
  <c r="M1158" i="11"/>
  <c r="N1158" i="11"/>
  <c r="O1158" i="11"/>
  <c r="P1158" i="11"/>
  <c r="Q1158" i="11"/>
  <c r="R1158" i="11"/>
  <c r="D1159" i="11"/>
  <c r="E1159" i="11"/>
  <c r="F1159" i="11"/>
  <c r="G1159" i="11"/>
  <c r="H1159" i="11"/>
  <c r="I1159" i="11"/>
  <c r="J1159" i="11"/>
  <c r="K1159" i="11"/>
  <c r="L1159" i="11"/>
  <c r="M1159" i="11"/>
  <c r="N1159" i="11"/>
  <c r="O1159" i="11"/>
  <c r="P1159" i="11"/>
  <c r="Q1159" i="11"/>
  <c r="R1159" i="11"/>
  <c r="D1160" i="11"/>
  <c r="E1160" i="11"/>
  <c r="F1160" i="11"/>
  <c r="G1160" i="11"/>
  <c r="H1160" i="11"/>
  <c r="I1160" i="11"/>
  <c r="J1160" i="11"/>
  <c r="K1160" i="11"/>
  <c r="L1160" i="11"/>
  <c r="M1160" i="11"/>
  <c r="N1160" i="11"/>
  <c r="O1160" i="11"/>
  <c r="P1160" i="11"/>
  <c r="Q1160" i="11"/>
  <c r="R1160" i="11"/>
  <c r="D1161" i="11"/>
  <c r="E1161" i="11"/>
  <c r="F1161" i="11"/>
  <c r="G1161" i="11"/>
  <c r="H1161" i="11"/>
  <c r="I1161" i="11"/>
  <c r="J1161" i="11"/>
  <c r="K1161" i="11"/>
  <c r="L1161" i="11"/>
  <c r="M1161" i="11"/>
  <c r="N1161" i="11"/>
  <c r="O1161" i="11"/>
  <c r="P1161" i="11"/>
  <c r="Q1161" i="11"/>
  <c r="R1161" i="11"/>
  <c r="D1162" i="11"/>
  <c r="E1162" i="11"/>
  <c r="F1162" i="11"/>
  <c r="G1162" i="11"/>
  <c r="H1162" i="11"/>
  <c r="I1162" i="11"/>
  <c r="J1162" i="11"/>
  <c r="K1162" i="11"/>
  <c r="L1162" i="11"/>
  <c r="M1162" i="11"/>
  <c r="N1162" i="11"/>
  <c r="O1162" i="11"/>
  <c r="P1162" i="11"/>
  <c r="Q1162" i="11"/>
  <c r="R1162" i="11"/>
  <c r="D1163" i="11"/>
  <c r="E1163" i="11"/>
  <c r="F1163" i="11"/>
  <c r="G1163" i="11"/>
  <c r="H1163" i="11"/>
  <c r="I1163" i="11"/>
  <c r="J1163" i="11"/>
  <c r="K1163" i="11"/>
  <c r="L1163" i="11"/>
  <c r="M1163" i="11"/>
  <c r="N1163" i="11"/>
  <c r="O1163" i="11"/>
  <c r="P1163" i="11"/>
  <c r="Q1163" i="11"/>
  <c r="R1163" i="11"/>
  <c r="D1164" i="11"/>
  <c r="E1164" i="11"/>
  <c r="F1164" i="11"/>
  <c r="G1164" i="11"/>
  <c r="H1164" i="11"/>
  <c r="I1164" i="11"/>
  <c r="J1164" i="11"/>
  <c r="K1164" i="11"/>
  <c r="L1164" i="11"/>
  <c r="M1164" i="11"/>
  <c r="N1164" i="11"/>
  <c r="O1164" i="11"/>
  <c r="P1164" i="11"/>
  <c r="Q1164" i="11"/>
  <c r="R1164" i="11"/>
  <c r="D1165" i="11"/>
  <c r="E1165" i="11"/>
  <c r="F1165" i="11"/>
  <c r="G1165" i="11"/>
  <c r="H1165" i="11"/>
  <c r="I1165" i="11"/>
  <c r="J1165" i="11"/>
  <c r="K1165" i="11"/>
  <c r="L1165" i="11"/>
  <c r="M1165" i="11"/>
  <c r="N1165" i="11"/>
  <c r="O1165" i="11"/>
  <c r="P1165" i="11"/>
  <c r="Q1165" i="11"/>
  <c r="R1165" i="11"/>
  <c r="D1166" i="11"/>
  <c r="E1166" i="11"/>
  <c r="F1166" i="11"/>
  <c r="G1166" i="11"/>
  <c r="H1166" i="11"/>
  <c r="I1166" i="11"/>
  <c r="J1166" i="11"/>
  <c r="K1166" i="11"/>
  <c r="L1166" i="11"/>
  <c r="M1166" i="11"/>
  <c r="N1166" i="11"/>
  <c r="O1166" i="11"/>
  <c r="P1166" i="11"/>
  <c r="Q1166" i="11"/>
  <c r="R1166" i="11"/>
  <c r="D1167" i="11"/>
  <c r="E1167" i="11"/>
  <c r="F1167" i="11"/>
  <c r="G1167" i="11"/>
  <c r="H1167" i="11"/>
  <c r="I1167" i="11"/>
  <c r="J1167" i="11"/>
  <c r="K1167" i="11"/>
  <c r="L1167" i="11"/>
  <c r="M1167" i="11"/>
  <c r="N1167" i="11"/>
  <c r="O1167" i="11"/>
  <c r="P1167" i="11"/>
  <c r="Q1167" i="11"/>
  <c r="R1167" i="11"/>
  <c r="D1168" i="11"/>
  <c r="E1168" i="11"/>
  <c r="F1168" i="11"/>
  <c r="G1168" i="11"/>
  <c r="H1168" i="11"/>
  <c r="I1168" i="11"/>
  <c r="J1168" i="11"/>
  <c r="K1168" i="11"/>
  <c r="L1168" i="11"/>
  <c r="M1168" i="11"/>
  <c r="N1168" i="11"/>
  <c r="O1168" i="11"/>
  <c r="P1168" i="11"/>
  <c r="Q1168" i="11"/>
  <c r="R1168" i="11"/>
  <c r="D1169" i="11"/>
  <c r="E1169" i="11"/>
  <c r="F1169" i="11"/>
  <c r="G1169" i="11"/>
  <c r="H1169" i="11"/>
  <c r="I1169" i="11"/>
  <c r="J1169" i="11"/>
  <c r="K1169" i="11"/>
  <c r="L1169" i="11"/>
  <c r="M1169" i="11"/>
  <c r="N1169" i="11"/>
  <c r="O1169" i="11"/>
  <c r="P1169" i="11"/>
  <c r="Q1169" i="11"/>
  <c r="R1169" i="11"/>
  <c r="D1170" i="11"/>
  <c r="E1170" i="11"/>
  <c r="F1170" i="11"/>
  <c r="G1170" i="11"/>
  <c r="H1170" i="11"/>
  <c r="I1170" i="11"/>
  <c r="J1170" i="11"/>
  <c r="K1170" i="11"/>
  <c r="L1170" i="11"/>
  <c r="M1170" i="11"/>
  <c r="N1170" i="11"/>
  <c r="O1170" i="11"/>
  <c r="P1170" i="11"/>
  <c r="Q1170" i="11"/>
  <c r="R1170" i="11"/>
  <c r="D1171" i="11"/>
  <c r="E1171" i="11"/>
  <c r="F1171" i="11"/>
  <c r="G1171" i="11"/>
  <c r="H1171" i="11"/>
  <c r="I1171" i="11"/>
  <c r="J1171" i="11"/>
  <c r="K1171" i="11"/>
  <c r="L1171" i="11"/>
  <c r="M1171" i="11"/>
  <c r="N1171" i="11"/>
  <c r="O1171" i="11"/>
  <c r="P1171" i="11"/>
  <c r="Q1171" i="11"/>
  <c r="R1171" i="11"/>
  <c r="D1172" i="11"/>
  <c r="E1172" i="11"/>
  <c r="F1172" i="11"/>
  <c r="G1172" i="11"/>
  <c r="H1172" i="11"/>
  <c r="I1172" i="11"/>
  <c r="J1172" i="11"/>
  <c r="K1172" i="11"/>
  <c r="L1172" i="11"/>
  <c r="M1172" i="11"/>
  <c r="N1172" i="11"/>
  <c r="O1172" i="11"/>
  <c r="P1172" i="11"/>
  <c r="Q1172" i="11"/>
  <c r="R1172" i="11"/>
  <c r="D1173" i="11"/>
  <c r="E1173" i="11"/>
  <c r="F1173" i="11"/>
  <c r="G1173" i="11"/>
  <c r="H1173" i="11"/>
  <c r="I1173" i="11"/>
  <c r="J1173" i="11"/>
  <c r="K1173" i="11"/>
  <c r="L1173" i="11"/>
  <c r="M1173" i="11"/>
  <c r="N1173" i="11"/>
  <c r="O1173" i="11"/>
  <c r="P1173" i="11"/>
  <c r="Q1173" i="11"/>
  <c r="R1173" i="11"/>
  <c r="D1174" i="11"/>
  <c r="E1174" i="11"/>
  <c r="F1174" i="11"/>
  <c r="G1174" i="11"/>
  <c r="H1174" i="11"/>
  <c r="I1174" i="11"/>
  <c r="J1174" i="11"/>
  <c r="K1174" i="11"/>
  <c r="L1174" i="11"/>
  <c r="M1174" i="11"/>
  <c r="N1174" i="11"/>
  <c r="O1174" i="11"/>
  <c r="P1174" i="11"/>
  <c r="Q1174" i="11"/>
  <c r="R1174" i="11"/>
  <c r="D1175" i="11"/>
  <c r="E1175" i="11"/>
  <c r="F1175" i="11"/>
  <c r="G1175" i="11"/>
  <c r="H1175" i="11"/>
  <c r="I1175" i="11"/>
  <c r="J1175" i="11"/>
  <c r="K1175" i="11"/>
  <c r="L1175" i="11"/>
  <c r="M1175" i="11"/>
  <c r="N1175" i="11"/>
  <c r="O1175" i="11"/>
  <c r="P1175" i="11"/>
  <c r="Q1175" i="11"/>
  <c r="R1175" i="11"/>
  <c r="D1176" i="11"/>
  <c r="E1176" i="11"/>
  <c r="F1176" i="11"/>
  <c r="G1176" i="11"/>
  <c r="H1176" i="11"/>
  <c r="I1176" i="11"/>
  <c r="J1176" i="11"/>
  <c r="K1176" i="11"/>
  <c r="L1176" i="11"/>
  <c r="M1176" i="11"/>
  <c r="N1176" i="11"/>
  <c r="O1176" i="11"/>
  <c r="P1176" i="11"/>
  <c r="Q1176" i="11"/>
  <c r="R1176" i="11"/>
  <c r="D1177" i="11"/>
  <c r="E1177" i="11"/>
  <c r="F1177" i="11"/>
  <c r="G1177" i="11"/>
  <c r="H1177" i="11"/>
  <c r="I1177" i="11"/>
  <c r="J1177" i="11"/>
  <c r="K1177" i="11"/>
  <c r="L1177" i="11"/>
  <c r="M1177" i="11"/>
  <c r="N1177" i="11"/>
  <c r="O1177" i="11"/>
  <c r="P1177" i="11"/>
  <c r="Q1177" i="11"/>
  <c r="R1177" i="11"/>
  <c r="D1178" i="11"/>
  <c r="E1178" i="11"/>
  <c r="F1178" i="11"/>
  <c r="G1178" i="11"/>
  <c r="H1178" i="11"/>
  <c r="I1178" i="11"/>
  <c r="J1178" i="11"/>
  <c r="K1178" i="11"/>
  <c r="L1178" i="11"/>
  <c r="M1178" i="11"/>
  <c r="N1178" i="11"/>
  <c r="O1178" i="11"/>
  <c r="P1178" i="11"/>
  <c r="Q1178" i="11"/>
  <c r="R1178" i="11"/>
  <c r="D1179" i="11"/>
  <c r="E1179" i="11"/>
  <c r="F1179" i="11"/>
  <c r="G1179" i="11"/>
  <c r="H1179" i="11"/>
  <c r="I1179" i="11"/>
  <c r="J1179" i="11"/>
  <c r="K1179" i="11"/>
  <c r="L1179" i="11"/>
  <c r="M1179" i="11"/>
  <c r="N1179" i="11"/>
  <c r="O1179" i="11"/>
  <c r="P1179" i="11"/>
  <c r="Q1179" i="11"/>
  <c r="R1179" i="11"/>
  <c r="D1180" i="11"/>
  <c r="E1180" i="11"/>
  <c r="F1180" i="11"/>
  <c r="G1180" i="11"/>
  <c r="H1180" i="11"/>
  <c r="I1180" i="11"/>
  <c r="J1180" i="11"/>
  <c r="K1180" i="11"/>
  <c r="L1180" i="11"/>
  <c r="M1180" i="11"/>
  <c r="N1180" i="11"/>
  <c r="O1180" i="11"/>
  <c r="P1180" i="11"/>
  <c r="Q1180" i="11"/>
  <c r="R1180" i="11"/>
  <c r="D1181" i="11"/>
  <c r="E1181" i="11"/>
  <c r="F1181" i="11"/>
  <c r="G1181" i="11"/>
  <c r="H1181" i="11"/>
  <c r="I1181" i="11"/>
  <c r="J1181" i="11"/>
  <c r="K1181" i="11"/>
  <c r="L1181" i="11"/>
  <c r="M1181" i="11"/>
  <c r="N1181" i="11"/>
  <c r="O1181" i="11"/>
  <c r="P1181" i="11"/>
  <c r="Q1181" i="11"/>
  <c r="R1181" i="11"/>
  <c r="D1182" i="11"/>
  <c r="E1182" i="11"/>
  <c r="F1182" i="11"/>
  <c r="G1182" i="11"/>
  <c r="H1182" i="11"/>
  <c r="I1182" i="11"/>
  <c r="J1182" i="11"/>
  <c r="K1182" i="11"/>
  <c r="L1182" i="11"/>
  <c r="M1182" i="11"/>
  <c r="N1182" i="11"/>
  <c r="O1182" i="11"/>
  <c r="P1182" i="11"/>
  <c r="Q1182" i="11"/>
  <c r="R1182" i="11"/>
  <c r="D1183" i="11"/>
  <c r="E1183" i="11"/>
  <c r="F1183" i="11"/>
  <c r="G1183" i="11"/>
  <c r="H1183" i="11"/>
  <c r="I1183" i="11"/>
  <c r="J1183" i="11"/>
  <c r="K1183" i="11"/>
  <c r="L1183" i="11"/>
  <c r="M1183" i="11"/>
  <c r="N1183" i="11"/>
  <c r="O1183" i="11"/>
  <c r="P1183" i="11"/>
  <c r="Q1183" i="11"/>
  <c r="R1183" i="11"/>
  <c r="D1081" i="11"/>
  <c r="E1081" i="11"/>
  <c r="F1081" i="11"/>
  <c r="G1081" i="11"/>
  <c r="H1081" i="11"/>
  <c r="I1081" i="11"/>
  <c r="J1081" i="11"/>
  <c r="K1081" i="11"/>
  <c r="L1081" i="11"/>
  <c r="M1081" i="11"/>
  <c r="N1081" i="11"/>
  <c r="O1081" i="11"/>
  <c r="P1081" i="11"/>
  <c r="Q1081" i="11"/>
  <c r="R1081" i="11"/>
  <c r="D1082" i="11"/>
  <c r="E1082" i="11"/>
  <c r="F1082" i="11"/>
  <c r="G1082" i="11"/>
  <c r="H1082" i="11"/>
  <c r="I1082" i="11"/>
  <c r="J1082" i="11"/>
  <c r="K1082" i="11"/>
  <c r="L1082" i="11"/>
  <c r="M1082" i="11"/>
  <c r="N1082" i="11"/>
  <c r="O1082" i="11"/>
  <c r="P1082" i="11"/>
  <c r="Q1082" i="11"/>
  <c r="R1082" i="11"/>
  <c r="D1083" i="11"/>
  <c r="E1083" i="11"/>
  <c r="F1083" i="11"/>
  <c r="G1083" i="11"/>
  <c r="H1083" i="11"/>
  <c r="I1083" i="11"/>
  <c r="J1083" i="11"/>
  <c r="K1083" i="11"/>
  <c r="L1083" i="11"/>
  <c r="M1083" i="11"/>
  <c r="N1083" i="11"/>
  <c r="O1083" i="11"/>
  <c r="P1083" i="11"/>
  <c r="Q1083" i="11"/>
  <c r="R1083" i="11"/>
  <c r="D1084" i="11"/>
  <c r="E1084" i="11"/>
  <c r="F1084" i="11"/>
  <c r="G1084" i="11"/>
  <c r="H1084" i="11"/>
  <c r="I1084" i="11"/>
  <c r="J1084" i="11"/>
  <c r="K1084" i="11"/>
  <c r="L1084" i="11"/>
  <c r="M1084" i="11"/>
  <c r="N1084" i="11"/>
  <c r="O1084" i="11"/>
  <c r="P1084" i="11"/>
  <c r="Q1084" i="11"/>
  <c r="R1084" i="11"/>
  <c r="D1085" i="11"/>
  <c r="E1085" i="11"/>
  <c r="F1085" i="11"/>
  <c r="G1085" i="11"/>
  <c r="H1085" i="11"/>
  <c r="I1085" i="11"/>
  <c r="J1085" i="11"/>
  <c r="K1085" i="11"/>
  <c r="L1085" i="11"/>
  <c r="M1085" i="11"/>
  <c r="N1085" i="11"/>
  <c r="O1085" i="11"/>
  <c r="P1085" i="11"/>
  <c r="Q1085" i="11"/>
  <c r="R1085" i="11"/>
  <c r="D1086" i="11"/>
  <c r="E1086" i="11"/>
  <c r="F1086" i="11"/>
  <c r="G1086" i="11"/>
  <c r="H1086" i="11"/>
  <c r="I1086" i="11"/>
  <c r="J1086" i="11"/>
  <c r="K1086" i="11"/>
  <c r="L1086" i="11"/>
  <c r="M1086" i="11"/>
  <c r="N1086" i="11"/>
  <c r="O1086" i="11"/>
  <c r="P1086" i="11"/>
  <c r="Q1086" i="11"/>
  <c r="R1086" i="11"/>
  <c r="D1087" i="11"/>
  <c r="E1087" i="11"/>
  <c r="F1087" i="11"/>
  <c r="G1087" i="11"/>
  <c r="H1087" i="11"/>
  <c r="I1087" i="11"/>
  <c r="J1087" i="11"/>
  <c r="K1087" i="11"/>
  <c r="L1087" i="11"/>
  <c r="M1087" i="11"/>
  <c r="N1087" i="11"/>
  <c r="O1087" i="11"/>
  <c r="P1087" i="11"/>
  <c r="Q1087" i="11"/>
  <c r="R1087" i="11"/>
  <c r="D1088" i="11"/>
  <c r="E1088" i="11"/>
  <c r="F1088" i="11"/>
  <c r="G1088" i="11"/>
  <c r="H1088" i="11"/>
  <c r="I1088" i="11"/>
  <c r="J1088" i="11"/>
  <c r="K1088" i="11"/>
  <c r="L1088" i="11"/>
  <c r="M1088" i="11"/>
  <c r="N1088" i="11"/>
  <c r="O1088" i="11"/>
  <c r="P1088" i="11"/>
  <c r="Q1088" i="11"/>
  <c r="R1088" i="11"/>
  <c r="D1089" i="11"/>
  <c r="E1089" i="11"/>
  <c r="F1089" i="11"/>
  <c r="G1089" i="11"/>
  <c r="H1089" i="11"/>
  <c r="I1089" i="11"/>
  <c r="J1089" i="11"/>
  <c r="K1089" i="11"/>
  <c r="L1089" i="11"/>
  <c r="M1089" i="11"/>
  <c r="N1089" i="11"/>
  <c r="O1089" i="11"/>
  <c r="P1089" i="11"/>
  <c r="Q1089" i="11"/>
  <c r="R1089" i="11"/>
  <c r="D1090" i="11"/>
  <c r="E1090" i="11"/>
  <c r="F1090" i="11"/>
  <c r="G1090" i="11"/>
  <c r="H1090" i="11"/>
  <c r="I1090" i="11"/>
  <c r="J1090" i="11"/>
  <c r="K1090" i="11"/>
  <c r="L1090" i="11"/>
  <c r="M1090" i="11"/>
  <c r="N1090" i="11"/>
  <c r="O1090" i="11"/>
  <c r="P1090" i="11"/>
  <c r="Q1090" i="11"/>
  <c r="R1090" i="11"/>
  <c r="D1091" i="11"/>
  <c r="E1091" i="11"/>
  <c r="F1091" i="11"/>
  <c r="G1091" i="11"/>
  <c r="H1091" i="11"/>
  <c r="I1091" i="11"/>
  <c r="J1091" i="11"/>
  <c r="K1091" i="11"/>
  <c r="L1091" i="11"/>
  <c r="M1091" i="11"/>
  <c r="N1091" i="11"/>
  <c r="O1091" i="11"/>
  <c r="P1091" i="11"/>
  <c r="Q1091" i="11"/>
  <c r="R1091" i="11"/>
  <c r="D1092" i="11"/>
  <c r="E1092" i="11"/>
  <c r="F1092" i="11"/>
  <c r="G1092" i="11"/>
  <c r="H1092" i="11"/>
  <c r="I1092" i="11"/>
  <c r="J1092" i="11"/>
  <c r="K1092" i="11"/>
  <c r="L1092" i="11"/>
  <c r="M1092" i="11"/>
  <c r="N1092" i="11"/>
  <c r="O1092" i="11"/>
  <c r="P1092" i="11"/>
  <c r="Q1092" i="11"/>
  <c r="R1092" i="11"/>
  <c r="D1093" i="11"/>
  <c r="E1093" i="11"/>
  <c r="F1093" i="11"/>
  <c r="G1093" i="11"/>
  <c r="H1093" i="11"/>
  <c r="I1093" i="11"/>
  <c r="J1093" i="11"/>
  <c r="K1093" i="11"/>
  <c r="L1093" i="11"/>
  <c r="M1093" i="11"/>
  <c r="N1093" i="11"/>
  <c r="O1093" i="11"/>
  <c r="P1093" i="11"/>
  <c r="Q1093" i="11"/>
  <c r="R1093" i="11"/>
  <c r="D1094" i="11"/>
  <c r="E1094" i="11"/>
  <c r="F1094" i="11"/>
  <c r="G1094" i="11"/>
  <c r="H1094" i="11"/>
  <c r="I1094" i="11"/>
  <c r="J1094" i="11"/>
  <c r="K1094" i="11"/>
  <c r="L1094" i="11"/>
  <c r="M1094" i="11"/>
  <c r="N1094" i="11"/>
  <c r="O1094" i="11"/>
  <c r="P1094" i="11"/>
  <c r="Q1094" i="11"/>
  <c r="R1094" i="11"/>
  <c r="D1095" i="11"/>
  <c r="E1095" i="11"/>
  <c r="F1095" i="11"/>
  <c r="G1095" i="11"/>
  <c r="H1095" i="11"/>
  <c r="I1095" i="11"/>
  <c r="J1095" i="11"/>
  <c r="K1095" i="11"/>
  <c r="L1095" i="11"/>
  <c r="M1095" i="11"/>
  <c r="N1095" i="11"/>
  <c r="O1095" i="11"/>
  <c r="P1095" i="11"/>
  <c r="Q1095" i="11"/>
  <c r="R1095" i="11"/>
  <c r="D1096" i="11"/>
  <c r="E1096" i="11"/>
  <c r="F1096" i="11"/>
  <c r="G1096" i="11"/>
  <c r="H1096" i="11"/>
  <c r="I1096" i="11"/>
  <c r="J1096" i="11"/>
  <c r="K1096" i="11"/>
  <c r="L1096" i="11"/>
  <c r="M1096" i="11"/>
  <c r="N1096" i="11"/>
  <c r="O1096" i="11"/>
  <c r="P1096" i="11"/>
  <c r="Q1096" i="11"/>
  <c r="R1096" i="11"/>
  <c r="D1097" i="11"/>
  <c r="E1097" i="11"/>
  <c r="F1097" i="11"/>
  <c r="G1097" i="11"/>
  <c r="H1097" i="11"/>
  <c r="I1097" i="11"/>
  <c r="J1097" i="11"/>
  <c r="K1097" i="11"/>
  <c r="L1097" i="11"/>
  <c r="M1097" i="11"/>
  <c r="N1097" i="11"/>
  <c r="O1097" i="11"/>
  <c r="P1097" i="11"/>
  <c r="Q1097" i="11"/>
  <c r="R1097" i="11"/>
  <c r="D1098" i="11"/>
  <c r="E1098" i="11"/>
  <c r="F1098" i="11"/>
  <c r="G1098" i="11"/>
  <c r="H1098" i="11"/>
  <c r="I1098" i="11"/>
  <c r="J1098" i="11"/>
  <c r="K1098" i="11"/>
  <c r="L1098" i="11"/>
  <c r="M1098" i="11"/>
  <c r="N1098" i="11"/>
  <c r="O1098" i="11"/>
  <c r="P1098" i="11"/>
  <c r="Q1098" i="11"/>
  <c r="R1098" i="11"/>
  <c r="D1099" i="11"/>
  <c r="E1099" i="11"/>
  <c r="F1099" i="11"/>
  <c r="G1099" i="11"/>
  <c r="H1099" i="11"/>
  <c r="I1099" i="11"/>
  <c r="J1099" i="11"/>
  <c r="K1099" i="11"/>
  <c r="L1099" i="11"/>
  <c r="M1099" i="11"/>
  <c r="N1099" i="11"/>
  <c r="O1099" i="11"/>
  <c r="P1099" i="11"/>
  <c r="Q1099" i="11"/>
  <c r="R1099" i="11"/>
  <c r="D1100" i="11"/>
  <c r="E1100" i="11"/>
  <c r="F1100" i="11"/>
  <c r="G1100" i="11"/>
  <c r="H1100" i="11"/>
  <c r="I1100" i="11"/>
  <c r="J1100" i="11"/>
  <c r="K1100" i="11"/>
  <c r="L1100" i="11"/>
  <c r="M1100" i="11"/>
  <c r="N1100" i="11"/>
  <c r="O1100" i="11"/>
  <c r="P1100" i="11"/>
  <c r="Q1100" i="11"/>
  <c r="R1100" i="11"/>
  <c r="D1101" i="11"/>
  <c r="E1101" i="11"/>
  <c r="F1101" i="11"/>
  <c r="G1101" i="11"/>
  <c r="H1101" i="11"/>
  <c r="I1101" i="11"/>
  <c r="J1101" i="11"/>
  <c r="K1101" i="11"/>
  <c r="L1101" i="11"/>
  <c r="M1101" i="11"/>
  <c r="N1101" i="11"/>
  <c r="O1101" i="11"/>
  <c r="P1101" i="11"/>
  <c r="Q1101" i="11"/>
  <c r="R1101" i="11"/>
  <c r="D1102" i="11"/>
  <c r="E1102" i="11"/>
  <c r="F1102" i="11"/>
  <c r="G1102" i="11"/>
  <c r="H1102" i="11"/>
  <c r="I1102" i="11"/>
  <c r="J1102" i="11"/>
  <c r="K1102" i="11"/>
  <c r="L1102" i="11"/>
  <c r="M1102" i="11"/>
  <c r="N1102" i="11"/>
  <c r="O1102" i="11"/>
  <c r="P1102" i="11"/>
  <c r="Q1102" i="11"/>
  <c r="R1102" i="11"/>
  <c r="D1103" i="11"/>
  <c r="E1103" i="11"/>
  <c r="F1103" i="11"/>
  <c r="G1103" i="11"/>
  <c r="H1103" i="11"/>
  <c r="I1103" i="11"/>
  <c r="J1103" i="11"/>
  <c r="K1103" i="11"/>
  <c r="L1103" i="11"/>
  <c r="M1103" i="11"/>
  <c r="N1103" i="11"/>
  <c r="O1103" i="11"/>
  <c r="P1103" i="11"/>
  <c r="Q1103" i="11"/>
  <c r="R1103" i="11"/>
  <c r="D1104" i="11"/>
  <c r="E1104" i="11"/>
  <c r="F1104" i="11"/>
  <c r="G1104" i="11"/>
  <c r="H1104" i="11"/>
  <c r="I1104" i="11"/>
  <c r="J1104" i="11"/>
  <c r="K1104" i="11"/>
  <c r="L1104" i="11"/>
  <c r="M1104" i="11"/>
  <c r="N1104" i="11"/>
  <c r="O1104" i="11"/>
  <c r="P1104" i="11"/>
  <c r="Q1104" i="11"/>
  <c r="R1104" i="11"/>
  <c r="D1105" i="11"/>
  <c r="E1105" i="11"/>
  <c r="F1105" i="11"/>
  <c r="G1105" i="11"/>
  <c r="H1105" i="11"/>
  <c r="I1105" i="11"/>
  <c r="J1105" i="11"/>
  <c r="K1105" i="11"/>
  <c r="L1105" i="11"/>
  <c r="M1105" i="11"/>
  <c r="N1105" i="11"/>
  <c r="O1105" i="11"/>
  <c r="P1105" i="11"/>
  <c r="Q1105" i="11"/>
  <c r="R1105" i="11"/>
  <c r="D1106" i="11"/>
  <c r="E1106" i="11"/>
  <c r="F1106" i="11"/>
  <c r="G1106" i="11"/>
  <c r="H1106" i="11"/>
  <c r="I1106" i="11"/>
  <c r="J1106" i="11"/>
  <c r="K1106" i="11"/>
  <c r="L1106" i="11"/>
  <c r="M1106" i="11"/>
  <c r="N1106" i="11"/>
  <c r="O1106" i="11"/>
  <c r="P1106" i="11"/>
  <c r="Q1106" i="11"/>
  <c r="R1106" i="11"/>
  <c r="D1107" i="11"/>
  <c r="E1107" i="11"/>
  <c r="F1107" i="11"/>
  <c r="G1107" i="11"/>
  <c r="H1107" i="11"/>
  <c r="I1107" i="11"/>
  <c r="J1107" i="11"/>
  <c r="K1107" i="11"/>
  <c r="L1107" i="11"/>
  <c r="M1107" i="11"/>
  <c r="N1107" i="11"/>
  <c r="O1107" i="11"/>
  <c r="P1107" i="11"/>
  <c r="Q1107" i="11"/>
  <c r="R1107" i="11"/>
  <c r="D1108" i="11"/>
  <c r="E1108" i="11"/>
  <c r="F1108" i="11"/>
  <c r="G1108" i="11"/>
  <c r="H1108" i="11"/>
  <c r="I1108" i="11"/>
  <c r="J1108" i="11"/>
  <c r="K1108" i="11"/>
  <c r="L1108" i="11"/>
  <c r="M1108" i="11"/>
  <c r="N1108" i="11"/>
  <c r="O1108" i="11"/>
  <c r="P1108" i="11"/>
  <c r="Q1108" i="11"/>
  <c r="R1108" i="11"/>
  <c r="D1109" i="11"/>
  <c r="E1109" i="11"/>
  <c r="F1109" i="11"/>
  <c r="G1109" i="11"/>
  <c r="H1109" i="11"/>
  <c r="I1109" i="11"/>
  <c r="J1109" i="11"/>
  <c r="K1109" i="11"/>
  <c r="L1109" i="11"/>
  <c r="M1109" i="11"/>
  <c r="N1109" i="11"/>
  <c r="O1109" i="11"/>
  <c r="P1109" i="11"/>
  <c r="Q1109" i="11"/>
  <c r="R1109" i="11"/>
  <c r="D1110" i="11"/>
  <c r="E1110" i="11"/>
  <c r="F1110" i="11"/>
  <c r="G1110" i="11"/>
  <c r="H1110" i="11"/>
  <c r="I1110" i="11"/>
  <c r="J1110" i="11"/>
  <c r="K1110" i="11"/>
  <c r="L1110" i="11"/>
  <c r="M1110" i="11"/>
  <c r="N1110" i="11"/>
  <c r="O1110" i="11"/>
  <c r="P1110" i="11"/>
  <c r="Q1110" i="11"/>
  <c r="R1110" i="11"/>
  <c r="D1111" i="11"/>
  <c r="E1111" i="11"/>
  <c r="F1111" i="11"/>
  <c r="G1111" i="11"/>
  <c r="H1111" i="11"/>
  <c r="I1111" i="11"/>
  <c r="J1111" i="11"/>
  <c r="K1111" i="11"/>
  <c r="L1111" i="11"/>
  <c r="M1111" i="11"/>
  <c r="N1111" i="11"/>
  <c r="O1111" i="11"/>
  <c r="P1111" i="11"/>
  <c r="Q1111" i="11"/>
  <c r="R1111" i="11"/>
  <c r="D1112" i="11"/>
  <c r="E1112" i="11"/>
  <c r="F1112" i="11"/>
  <c r="G1112" i="11"/>
  <c r="H1112" i="11"/>
  <c r="I1112" i="11"/>
  <c r="J1112" i="11"/>
  <c r="K1112" i="11"/>
  <c r="L1112" i="11"/>
  <c r="M1112" i="11"/>
  <c r="N1112" i="11"/>
  <c r="O1112" i="11"/>
  <c r="P1112" i="11"/>
  <c r="Q1112" i="11"/>
  <c r="R1112" i="11"/>
  <c r="D1113" i="11"/>
  <c r="E1113" i="11"/>
  <c r="F1113" i="11"/>
  <c r="G1113" i="11"/>
  <c r="H1113" i="11"/>
  <c r="I1113" i="11"/>
  <c r="J1113" i="11"/>
  <c r="K1113" i="11"/>
  <c r="L1113" i="11"/>
  <c r="M1113" i="11"/>
  <c r="N1113" i="11"/>
  <c r="O1113" i="11"/>
  <c r="P1113" i="11"/>
  <c r="Q1113" i="11"/>
  <c r="R1113" i="11"/>
  <c r="D1114" i="11"/>
  <c r="E1114" i="11"/>
  <c r="F1114" i="11"/>
  <c r="G1114" i="11"/>
  <c r="H1114" i="11"/>
  <c r="I1114" i="11"/>
  <c r="J1114" i="11"/>
  <c r="K1114" i="11"/>
  <c r="L1114" i="11"/>
  <c r="M1114" i="11"/>
  <c r="N1114" i="11"/>
  <c r="O1114" i="11"/>
  <c r="P1114" i="11"/>
  <c r="Q1114" i="11"/>
  <c r="R1114" i="11"/>
  <c r="D1115" i="11"/>
  <c r="E1115" i="11"/>
  <c r="F1115" i="11"/>
  <c r="G1115" i="11"/>
  <c r="H1115" i="11"/>
  <c r="I1115" i="11"/>
  <c r="J1115" i="11"/>
  <c r="K1115" i="11"/>
  <c r="L1115" i="11"/>
  <c r="M1115" i="11"/>
  <c r="N1115" i="11"/>
  <c r="O1115" i="11"/>
  <c r="P1115" i="11"/>
  <c r="Q1115" i="11"/>
  <c r="R1115" i="11"/>
  <c r="D1116" i="11"/>
  <c r="E1116" i="11"/>
  <c r="F1116" i="11"/>
  <c r="G1116" i="11"/>
  <c r="H1116" i="11"/>
  <c r="I1116" i="11"/>
  <c r="J1116" i="11"/>
  <c r="K1116" i="11"/>
  <c r="L1116" i="11"/>
  <c r="M1116" i="11"/>
  <c r="N1116" i="11"/>
  <c r="O1116" i="11"/>
  <c r="P1116" i="11"/>
  <c r="Q1116" i="11"/>
  <c r="R1116" i="11"/>
  <c r="D1117" i="11"/>
  <c r="E1117" i="11"/>
  <c r="F1117" i="11"/>
  <c r="G1117" i="11"/>
  <c r="H1117" i="11"/>
  <c r="I1117" i="11"/>
  <c r="J1117" i="11"/>
  <c r="K1117" i="11"/>
  <c r="L1117" i="11"/>
  <c r="M1117" i="11"/>
  <c r="N1117" i="11"/>
  <c r="O1117" i="11"/>
  <c r="P1117" i="11"/>
  <c r="Q1117" i="11"/>
  <c r="R1117" i="11"/>
  <c r="D1118" i="11"/>
  <c r="E1118" i="11"/>
  <c r="F1118" i="11"/>
  <c r="G1118" i="11"/>
  <c r="H1118" i="11"/>
  <c r="I1118" i="11"/>
  <c r="J1118" i="11"/>
  <c r="K1118" i="11"/>
  <c r="L1118" i="11"/>
  <c r="M1118" i="11"/>
  <c r="N1118" i="11"/>
  <c r="O1118" i="11"/>
  <c r="P1118" i="11"/>
  <c r="Q1118" i="11"/>
  <c r="R1118" i="11"/>
  <c r="D1119" i="11"/>
  <c r="E1119" i="11"/>
  <c r="F1119" i="11"/>
  <c r="G1119" i="11"/>
  <c r="H1119" i="11"/>
  <c r="I1119" i="11"/>
  <c r="J1119" i="11"/>
  <c r="K1119" i="11"/>
  <c r="L1119" i="11"/>
  <c r="M1119" i="11"/>
  <c r="N1119" i="11"/>
  <c r="O1119" i="11"/>
  <c r="P1119" i="11"/>
  <c r="Q1119" i="11"/>
  <c r="R1119" i="11"/>
  <c r="D1120" i="11"/>
  <c r="E1120" i="11"/>
  <c r="F1120" i="11"/>
  <c r="G1120" i="11"/>
  <c r="H1120" i="11"/>
  <c r="I1120" i="11"/>
  <c r="J1120" i="11"/>
  <c r="K1120" i="11"/>
  <c r="L1120" i="11"/>
  <c r="M1120" i="11"/>
  <c r="N1120" i="11"/>
  <c r="O1120" i="11"/>
  <c r="P1120" i="11"/>
  <c r="Q1120" i="11"/>
  <c r="R1120" i="11"/>
  <c r="D1121" i="11"/>
  <c r="E1121" i="11"/>
  <c r="F1121" i="11"/>
  <c r="G1121" i="11"/>
  <c r="H1121" i="11"/>
  <c r="I1121" i="11"/>
  <c r="J1121" i="11"/>
  <c r="K1121" i="11"/>
  <c r="L1121" i="11"/>
  <c r="M1121" i="11"/>
  <c r="N1121" i="11"/>
  <c r="O1121" i="11"/>
  <c r="P1121" i="11"/>
  <c r="Q1121" i="11"/>
  <c r="R1121" i="11"/>
  <c r="D1122" i="11"/>
  <c r="E1122" i="11"/>
  <c r="F1122" i="11"/>
  <c r="G1122" i="11"/>
  <c r="H1122" i="11"/>
  <c r="I1122" i="11"/>
  <c r="J1122" i="11"/>
  <c r="K1122" i="11"/>
  <c r="L1122" i="11"/>
  <c r="M1122" i="11"/>
  <c r="N1122" i="11"/>
  <c r="O1122" i="11"/>
  <c r="P1122" i="11"/>
  <c r="Q1122" i="11"/>
  <c r="R1122" i="11"/>
  <c r="D1123" i="11"/>
  <c r="E1123" i="11"/>
  <c r="F1123" i="11"/>
  <c r="G1123" i="11"/>
  <c r="H1123" i="11"/>
  <c r="I1123" i="11"/>
  <c r="J1123" i="11"/>
  <c r="K1123" i="11"/>
  <c r="L1123" i="11"/>
  <c r="M1123" i="11"/>
  <c r="N1123" i="11"/>
  <c r="O1123" i="11"/>
  <c r="P1123" i="11"/>
  <c r="Q1123" i="11"/>
  <c r="R1123" i="11"/>
  <c r="D1124" i="11"/>
  <c r="E1124" i="11"/>
  <c r="F1124" i="11"/>
  <c r="G1124" i="11"/>
  <c r="H1124" i="11"/>
  <c r="I1124" i="11"/>
  <c r="J1124" i="11"/>
  <c r="K1124" i="11"/>
  <c r="L1124" i="11"/>
  <c r="M1124" i="11"/>
  <c r="N1124" i="11"/>
  <c r="O1124" i="11"/>
  <c r="P1124" i="11"/>
  <c r="Q1124" i="11"/>
  <c r="R1124" i="11"/>
  <c r="D1125" i="11"/>
  <c r="E1125" i="11"/>
  <c r="F1125" i="11"/>
  <c r="G1125" i="11"/>
  <c r="H1125" i="11"/>
  <c r="I1125" i="11"/>
  <c r="J1125" i="11"/>
  <c r="K1125" i="11"/>
  <c r="L1125" i="11"/>
  <c r="M1125" i="11"/>
  <c r="N1125" i="11"/>
  <c r="O1125" i="11"/>
  <c r="P1125" i="11"/>
  <c r="Q1125" i="11"/>
  <c r="R1125" i="11"/>
  <c r="D1126" i="11"/>
  <c r="E1126" i="11"/>
  <c r="F1126" i="11"/>
  <c r="G1126" i="11"/>
  <c r="H1126" i="11"/>
  <c r="I1126" i="11"/>
  <c r="J1126" i="11"/>
  <c r="K1126" i="11"/>
  <c r="L1126" i="11"/>
  <c r="M1126" i="11"/>
  <c r="N1126" i="11"/>
  <c r="O1126" i="11"/>
  <c r="P1126" i="11"/>
  <c r="Q1126" i="11"/>
  <c r="R1126" i="11"/>
  <c r="D1127" i="11"/>
  <c r="E1127" i="11"/>
  <c r="F1127" i="11"/>
  <c r="G1127" i="11"/>
  <c r="H1127" i="11"/>
  <c r="I1127" i="11"/>
  <c r="J1127" i="11"/>
  <c r="K1127" i="11"/>
  <c r="L1127" i="11"/>
  <c r="M1127" i="11"/>
  <c r="N1127" i="11"/>
  <c r="O1127" i="11"/>
  <c r="P1127" i="11"/>
  <c r="Q1127" i="11"/>
  <c r="R1127" i="11"/>
  <c r="D1128" i="11"/>
  <c r="E1128" i="11"/>
  <c r="F1128" i="11"/>
  <c r="G1128" i="11"/>
  <c r="H1128" i="11"/>
  <c r="I1128" i="11"/>
  <c r="J1128" i="11"/>
  <c r="K1128" i="11"/>
  <c r="L1128" i="11"/>
  <c r="M1128" i="11"/>
  <c r="N1128" i="11"/>
  <c r="O1128" i="11"/>
  <c r="P1128" i="11"/>
  <c r="Q1128" i="11"/>
  <c r="R1128" i="11"/>
  <c r="D1129" i="11"/>
  <c r="E1129" i="11"/>
  <c r="F1129" i="11"/>
  <c r="G1129" i="11"/>
  <c r="H1129" i="11"/>
  <c r="I1129" i="11"/>
  <c r="J1129" i="11"/>
  <c r="K1129" i="11"/>
  <c r="L1129" i="11"/>
  <c r="M1129" i="11"/>
  <c r="N1129" i="11"/>
  <c r="O1129" i="11"/>
  <c r="P1129" i="11"/>
  <c r="Q1129" i="11"/>
  <c r="R1129" i="11"/>
  <c r="D1130" i="11"/>
  <c r="E1130" i="11"/>
  <c r="F1130" i="11"/>
  <c r="G1130" i="11"/>
  <c r="H1130" i="11"/>
  <c r="I1130" i="11"/>
  <c r="J1130" i="11"/>
  <c r="K1130" i="11"/>
  <c r="L1130" i="11"/>
  <c r="M1130" i="11"/>
  <c r="N1130" i="11"/>
  <c r="O1130" i="11"/>
  <c r="P1130" i="11"/>
  <c r="Q1130" i="11"/>
  <c r="R1130" i="11"/>
  <c r="D1131" i="11"/>
  <c r="E1131" i="11"/>
  <c r="F1131" i="11"/>
  <c r="G1131" i="11"/>
  <c r="H1131" i="11"/>
  <c r="I1131" i="11"/>
  <c r="J1131" i="11"/>
  <c r="K1131" i="11"/>
  <c r="L1131" i="11"/>
  <c r="M1131" i="11"/>
  <c r="N1131" i="11"/>
  <c r="O1131" i="11"/>
  <c r="P1131" i="11"/>
  <c r="Q1131" i="11"/>
  <c r="R1131" i="11"/>
  <c r="D1132" i="11"/>
  <c r="E1132" i="11"/>
  <c r="F1132" i="11"/>
  <c r="G1132" i="11"/>
  <c r="H1132" i="11"/>
  <c r="I1132" i="11"/>
  <c r="J1132" i="11"/>
  <c r="K1132" i="11"/>
  <c r="L1132" i="11"/>
  <c r="M1132" i="11"/>
  <c r="N1132" i="11"/>
  <c r="O1132" i="11"/>
  <c r="P1132" i="11"/>
  <c r="Q1132" i="11"/>
  <c r="R1132" i="11"/>
  <c r="D1133" i="11"/>
  <c r="E1133" i="11"/>
  <c r="F1133" i="11"/>
  <c r="G1133" i="11"/>
  <c r="H1133" i="11"/>
  <c r="I1133" i="11"/>
  <c r="J1133" i="11"/>
  <c r="K1133" i="11"/>
  <c r="L1133" i="11"/>
  <c r="M1133" i="11"/>
  <c r="N1133" i="11"/>
  <c r="O1133" i="11"/>
  <c r="P1133" i="11"/>
  <c r="Q1133" i="11"/>
  <c r="R1133" i="11"/>
  <c r="D1134" i="11"/>
  <c r="E1134" i="11"/>
  <c r="F1134" i="11"/>
  <c r="G1134" i="11"/>
  <c r="H1134" i="11"/>
  <c r="I1134" i="11"/>
  <c r="J1134" i="11"/>
  <c r="K1134" i="11"/>
  <c r="L1134" i="11"/>
  <c r="M1134" i="11"/>
  <c r="N1134" i="11"/>
  <c r="O1134" i="11"/>
  <c r="P1134" i="11"/>
  <c r="Q1134" i="11"/>
  <c r="R1134" i="11"/>
  <c r="D1135" i="11"/>
  <c r="E1135" i="11"/>
  <c r="F1135" i="11"/>
  <c r="G1135" i="11"/>
  <c r="H1135" i="11"/>
  <c r="I1135" i="11"/>
  <c r="J1135" i="11"/>
  <c r="K1135" i="11"/>
  <c r="L1135" i="11"/>
  <c r="M1135" i="11"/>
  <c r="N1135" i="11"/>
  <c r="O1135" i="11"/>
  <c r="P1135" i="11"/>
  <c r="Q1135" i="11"/>
  <c r="R1135" i="11"/>
  <c r="D1136" i="11"/>
  <c r="E1136" i="11"/>
  <c r="F1136" i="11"/>
  <c r="G1136" i="11"/>
  <c r="H1136" i="11"/>
  <c r="I1136" i="11"/>
  <c r="J1136" i="11"/>
  <c r="K1136" i="11"/>
  <c r="L1136" i="11"/>
  <c r="M1136" i="11"/>
  <c r="N1136" i="11"/>
  <c r="O1136" i="11"/>
  <c r="P1136" i="11"/>
  <c r="Q1136" i="11"/>
  <c r="R1136" i="11"/>
  <c r="D1137" i="11"/>
  <c r="E1137" i="11"/>
  <c r="F1137" i="11"/>
  <c r="G1137" i="11"/>
  <c r="H1137" i="11"/>
  <c r="I1137" i="11"/>
  <c r="J1137" i="11"/>
  <c r="K1137" i="11"/>
  <c r="L1137" i="11"/>
  <c r="M1137" i="11"/>
  <c r="N1137" i="11"/>
  <c r="O1137" i="11"/>
  <c r="P1137" i="11"/>
  <c r="Q1137" i="11"/>
  <c r="R1137" i="11"/>
  <c r="D1138" i="11"/>
  <c r="E1138" i="11"/>
  <c r="F1138" i="11"/>
  <c r="G1138" i="11"/>
  <c r="H1138" i="11"/>
  <c r="I1138" i="11"/>
  <c r="J1138" i="11"/>
  <c r="K1138" i="11"/>
  <c r="L1138" i="11"/>
  <c r="M1138" i="11"/>
  <c r="N1138" i="11"/>
  <c r="O1138" i="11"/>
  <c r="P1138" i="11"/>
  <c r="Q1138" i="11"/>
  <c r="R1138" i="11"/>
  <c r="D1139" i="11"/>
  <c r="E1139" i="11"/>
  <c r="F1139" i="11"/>
  <c r="G1139" i="11"/>
  <c r="H1139" i="11"/>
  <c r="I1139" i="11"/>
  <c r="J1139" i="11"/>
  <c r="K1139" i="11"/>
  <c r="L1139" i="11"/>
  <c r="M1139" i="11"/>
  <c r="N1139" i="11"/>
  <c r="O1139" i="11"/>
  <c r="P1139" i="11"/>
  <c r="Q1139" i="11"/>
  <c r="R1139" i="11"/>
  <c r="D1140" i="11"/>
  <c r="E1140" i="11"/>
  <c r="F1140" i="11"/>
  <c r="G1140" i="11"/>
  <c r="H1140" i="11"/>
  <c r="I1140" i="11"/>
  <c r="J1140" i="11"/>
  <c r="K1140" i="11"/>
  <c r="L1140" i="11"/>
  <c r="M1140" i="11"/>
  <c r="N1140" i="11"/>
  <c r="O1140" i="11"/>
  <c r="P1140" i="11"/>
  <c r="Q1140" i="11"/>
  <c r="R1140" i="11"/>
  <c r="D1141" i="11"/>
  <c r="E1141" i="11"/>
  <c r="F1141" i="11"/>
  <c r="G1141" i="11"/>
  <c r="H1141" i="11"/>
  <c r="I1141" i="11"/>
  <c r="J1141" i="11"/>
  <c r="K1141" i="11"/>
  <c r="L1141" i="11"/>
  <c r="M1141" i="11"/>
  <c r="N1141" i="11"/>
  <c r="O1141" i="11"/>
  <c r="P1141" i="11"/>
  <c r="Q1141" i="11"/>
  <c r="R1141" i="11"/>
  <c r="D1142" i="11"/>
  <c r="E1142" i="11"/>
  <c r="F1142" i="11"/>
  <c r="G1142" i="11"/>
  <c r="H1142" i="11"/>
  <c r="I1142" i="11"/>
  <c r="J1142" i="11"/>
  <c r="K1142" i="11"/>
  <c r="L1142" i="11"/>
  <c r="M1142" i="11"/>
  <c r="N1142" i="11"/>
  <c r="O1142" i="11"/>
  <c r="P1142" i="11"/>
  <c r="Q1142" i="11"/>
  <c r="R1142" i="11"/>
  <c r="D1143" i="11"/>
  <c r="E1143" i="11"/>
  <c r="F1143" i="11"/>
  <c r="G1143" i="11"/>
  <c r="H1143" i="11"/>
  <c r="I1143" i="11"/>
  <c r="J1143" i="11"/>
  <c r="K1143" i="11"/>
  <c r="L1143" i="11"/>
  <c r="M1143" i="11"/>
  <c r="N1143" i="11"/>
  <c r="O1143" i="11"/>
  <c r="P1143" i="11"/>
  <c r="Q1143" i="11"/>
  <c r="R1143" i="11"/>
  <c r="D1144" i="11"/>
  <c r="E1144" i="11"/>
  <c r="F1144" i="11"/>
  <c r="G1144" i="11"/>
  <c r="H1144" i="11"/>
  <c r="I1144" i="11"/>
  <c r="J1144" i="11"/>
  <c r="K1144" i="11"/>
  <c r="L1144" i="11"/>
  <c r="M1144" i="11"/>
  <c r="N1144" i="11"/>
  <c r="O1144" i="11"/>
  <c r="P1144" i="11"/>
  <c r="Q1144" i="11"/>
  <c r="R1144" i="11"/>
  <c r="D1145" i="11"/>
  <c r="E1145" i="11"/>
  <c r="F1145" i="11"/>
  <c r="G1145" i="11"/>
  <c r="H1145" i="11"/>
  <c r="I1145" i="11"/>
  <c r="J1145" i="11"/>
  <c r="K1145" i="11"/>
  <c r="L1145" i="11"/>
  <c r="M1145" i="11"/>
  <c r="N1145" i="11"/>
  <c r="O1145" i="11"/>
  <c r="P1145" i="11"/>
  <c r="Q1145" i="11"/>
  <c r="R1145" i="11"/>
  <c r="D1146" i="11"/>
  <c r="E1146" i="11"/>
  <c r="F1146" i="11"/>
  <c r="G1146" i="11"/>
  <c r="H1146" i="11"/>
  <c r="I1146" i="11"/>
  <c r="J1146" i="11"/>
  <c r="K1146" i="11"/>
  <c r="L1146" i="11"/>
  <c r="M1146" i="11"/>
  <c r="N1146" i="11"/>
  <c r="O1146" i="11"/>
  <c r="P1146" i="11"/>
  <c r="Q1146" i="11"/>
  <c r="R1146" i="11"/>
  <c r="D1147" i="11"/>
  <c r="E1147" i="11"/>
  <c r="F1147" i="11"/>
  <c r="G1147" i="11"/>
  <c r="H1147" i="11"/>
  <c r="I1147" i="11"/>
  <c r="J1147" i="11"/>
  <c r="K1147" i="11"/>
  <c r="L1147" i="11"/>
  <c r="M1147" i="11"/>
  <c r="N1147" i="11"/>
  <c r="O1147" i="11"/>
  <c r="P1147" i="11"/>
  <c r="Q1147" i="11"/>
  <c r="R1147" i="11"/>
  <c r="D1148" i="11"/>
  <c r="E1148" i="11"/>
  <c r="F1148" i="11"/>
  <c r="G1148" i="11"/>
  <c r="H1148" i="11"/>
  <c r="I1148" i="11"/>
  <c r="J1148" i="11"/>
  <c r="K1148" i="11"/>
  <c r="L1148" i="11"/>
  <c r="M1148" i="11"/>
  <c r="N1148" i="11"/>
  <c r="O1148" i="11"/>
  <c r="P1148" i="11"/>
  <c r="Q1148" i="11"/>
  <c r="R1148" i="11"/>
  <c r="D1149" i="11"/>
  <c r="E1149" i="11"/>
  <c r="F1149" i="11"/>
  <c r="G1149" i="11"/>
  <c r="H1149" i="11"/>
  <c r="I1149" i="11"/>
  <c r="J1149" i="11"/>
  <c r="K1149" i="11"/>
  <c r="L1149" i="11"/>
  <c r="M1149" i="11"/>
  <c r="N1149" i="11"/>
  <c r="O1149" i="11"/>
  <c r="P1149" i="11"/>
  <c r="Q1149" i="11"/>
  <c r="R1149" i="11"/>
  <c r="D985" i="11"/>
  <c r="E985" i="11"/>
  <c r="F985" i="11"/>
  <c r="G985" i="11"/>
  <c r="H985" i="11"/>
  <c r="I985" i="11"/>
  <c r="J985" i="11"/>
  <c r="K985" i="11"/>
  <c r="L985" i="11"/>
  <c r="M985" i="11"/>
  <c r="N985" i="11"/>
  <c r="O985" i="11"/>
  <c r="P985" i="11"/>
  <c r="Q985" i="11"/>
  <c r="R985" i="11"/>
  <c r="D986" i="11"/>
  <c r="E986" i="11"/>
  <c r="F986" i="11"/>
  <c r="G986" i="11"/>
  <c r="H986" i="11"/>
  <c r="I986" i="11"/>
  <c r="J986" i="11"/>
  <c r="K986" i="11"/>
  <c r="L986" i="11"/>
  <c r="M986" i="11"/>
  <c r="N986" i="11"/>
  <c r="O986" i="11"/>
  <c r="P986" i="11"/>
  <c r="Q986" i="11"/>
  <c r="R986" i="11"/>
  <c r="D987" i="11"/>
  <c r="E987" i="11"/>
  <c r="F987" i="11"/>
  <c r="G987" i="11"/>
  <c r="H987" i="11"/>
  <c r="I987" i="11"/>
  <c r="J987" i="11"/>
  <c r="K987" i="11"/>
  <c r="L987" i="11"/>
  <c r="M987" i="11"/>
  <c r="N987" i="11"/>
  <c r="O987" i="11"/>
  <c r="P987" i="11"/>
  <c r="Q987" i="11"/>
  <c r="R987" i="11"/>
  <c r="D988" i="11"/>
  <c r="E988" i="11"/>
  <c r="F988" i="11"/>
  <c r="G988" i="11"/>
  <c r="H988" i="11"/>
  <c r="I988" i="11"/>
  <c r="J988" i="11"/>
  <c r="K988" i="11"/>
  <c r="L988" i="11"/>
  <c r="M988" i="11"/>
  <c r="N988" i="11"/>
  <c r="O988" i="11"/>
  <c r="P988" i="11"/>
  <c r="Q988" i="11"/>
  <c r="R988" i="11"/>
  <c r="D989" i="11"/>
  <c r="E989" i="11"/>
  <c r="F989" i="11"/>
  <c r="G989" i="11"/>
  <c r="H989" i="11"/>
  <c r="I989" i="11"/>
  <c r="J989" i="11"/>
  <c r="K989" i="11"/>
  <c r="L989" i="11"/>
  <c r="M989" i="11"/>
  <c r="N989" i="11"/>
  <c r="O989" i="11"/>
  <c r="P989" i="11"/>
  <c r="Q989" i="11"/>
  <c r="R989" i="11"/>
  <c r="D990" i="11"/>
  <c r="E990" i="11"/>
  <c r="F990" i="11"/>
  <c r="G990" i="11"/>
  <c r="H990" i="11"/>
  <c r="I990" i="11"/>
  <c r="J990" i="11"/>
  <c r="K990" i="11"/>
  <c r="L990" i="11"/>
  <c r="M990" i="11"/>
  <c r="N990" i="11"/>
  <c r="O990" i="11"/>
  <c r="P990" i="11"/>
  <c r="Q990" i="11"/>
  <c r="R990" i="11"/>
  <c r="D991" i="11"/>
  <c r="E991" i="11"/>
  <c r="F991" i="11"/>
  <c r="G991" i="11"/>
  <c r="H991" i="11"/>
  <c r="I991" i="11"/>
  <c r="J991" i="11"/>
  <c r="K991" i="11"/>
  <c r="L991" i="11"/>
  <c r="M991" i="11"/>
  <c r="N991" i="11"/>
  <c r="O991" i="11"/>
  <c r="P991" i="11"/>
  <c r="Q991" i="11"/>
  <c r="R991" i="11"/>
  <c r="D992" i="11"/>
  <c r="E992" i="11"/>
  <c r="F992" i="11"/>
  <c r="G992" i="11"/>
  <c r="H992" i="11"/>
  <c r="I992" i="11"/>
  <c r="J992" i="11"/>
  <c r="K992" i="11"/>
  <c r="L992" i="11"/>
  <c r="M992" i="11"/>
  <c r="N992" i="11"/>
  <c r="O992" i="11"/>
  <c r="P992" i="11"/>
  <c r="Q992" i="11"/>
  <c r="R992" i="11"/>
  <c r="D993" i="11"/>
  <c r="E993" i="11"/>
  <c r="F993" i="11"/>
  <c r="G993" i="11"/>
  <c r="H993" i="11"/>
  <c r="I993" i="11"/>
  <c r="J993" i="11"/>
  <c r="K993" i="11"/>
  <c r="L993" i="11"/>
  <c r="M993" i="11"/>
  <c r="N993" i="11"/>
  <c r="O993" i="11"/>
  <c r="P993" i="11"/>
  <c r="Q993" i="11"/>
  <c r="R993" i="11"/>
  <c r="D994" i="11"/>
  <c r="E994" i="11"/>
  <c r="F994" i="11"/>
  <c r="G994" i="11"/>
  <c r="H994" i="11"/>
  <c r="I994" i="11"/>
  <c r="J994" i="11"/>
  <c r="K994" i="11"/>
  <c r="L994" i="11"/>
  <c r="M994" i="11"/>
  <c r="N994" i="11"/>
  <c r="O994" i="11"/>
  <c r="P994" i="11"/>
  <c r="Q994" i="11"/>
  <c r="R994" i="11"/>
  <c r="D995" i="11"/>
  <c r="E995" i="11"/>
  <c r="F995" i="11"/>
  <c r="G995" i="11"/>
  <c r="H995" i="11"/>
  <c r="I995" i="11"/>
  <c r="J995" i="11"/>
  <c r="K995" i="11"/>
  <c r="L995" i="11"/>
  <c r="M995" i="11"/>
  <c r="N995" i="11"/>
  <c r="O995" i="11"/>
  <c r="P995" i="11"/>
  <c r="Q995" i="11"/>
  <c r="R995" i="11"/>
  <c r="D996" i="11"/>
  <c r="E996" i="11"/>
  <c r="F996" i="11"/>
  <c r="G996" i="11"/>
  <c r="H996" i="11"/>
  <c r="I996" i="11"/>
  <c r="J996" i="11"/>
  <c r="K996" i="11"/>
  <c r="L996" i="11"/>
  <c r="M996" i="11"/>
  <c r="N996" i="11"/>
  <c r="O996" i="11"/>
  <c r="P996" i="11"/>
  <c r="Q996" i="11"/>
  <c r="R996" i="11"/>
  <c r="D997" i="11"/>
  <c r="E997" i="11"/>
  <c r="F997" i="11"/>
  <c r="G997" i="11"/>
  <c r="H997" i="11"/>
  <c r="I997" i="11"/>
  <c r="J997" i="11"/>
  <c r="K997" i="11"/>
  <c r="L997" i="11"/>
  <c r="M997" i="11"/>
  <c r="N997" i="11"/>
  <c r="O997" i="11"/>
  <c r="P997" i="11"/>
  <c r="Q997" i="11"/>
  <c r="R997" i="11"/>
  <c r="D998" i="11"/>
  <c r="E998" i="11"/>
  <c r="F998" i="11"/>
  <c r="G998" i="11"/>
  <c r="H998" i="11"/>
  <c r="I998" i="11"/>
  <c r="J998" i="11"/>
  <c r="K998" i="11"/>
  <c r="L998" i="11"/>
  <c r="M998" i="11"/>
  <c r="N998" i="11"/>
  <c r="O998" i="11"/>
  <c r="P998" i="11"/>
  <c r="Q998" i="11"/>
  <c r="R998" i="11"/>
  <c r="D999" i="11"/>
  <c r="E999" i="11"/>
  <c r="F999" i="11"/>
  <c r="G999" i="11"/>
  <c r="H999" i="11"/>
  <c r="I999" i="11"/>
  <c r="J999" i="11"/>
  <c r="K999" i="11"/>
  <c r="L999" i="11"/>
  <c r="M999" i="11"/>
  <c r="N999" i="11"/>
  <c r="O999" i="11"/>
  <c r="P999" i="11"/>
  <c r="Q999" i="11"/>
  <c r="R999" i="11"/>
  <c r="D1000" i="11"/>
  <c r="E1000" i="11"/>
  <c r="F1000" i="11"/>
  <c r="G1000" i="11"/>
  <c r="H1000" i="11"/>
  <c r="I1000" i="11"/>
  <c r="J1000" i="11"/>
  <c r="K1000" i="11"/>
  <c r="L1000" i="11"/>
  <c r="M1000" i="11"/>
  <c r="N1000" i="11"/>
  <c r="O1000" i="11"/>
  <c r="P1000" i="11"/>
  <c r="Q1000" i="11"/>
  <c r="R1000" i="11"/>
  <c r="D1001" i="11"/>
  <c r="E1001" i="11"/>
  <c r="F1001" i="11"/>
  <c r="G1001" i="11"/>
  <c r="H1001" i="11"/>
  <c r="I1001" i="11"/>
  <c r="J1001" i="11"/>
  <c r="K1001" i="11"/>
  <c r="L1001" i="11"/>
  <c r="M1001" i="11"/>
  <c r="N1001" i="11"/>
  <c r="O1001" i="11"/>
  <c r="P1001" i="11"/>
  <c r="Q1001" i="11"/>
  <c r="R1001" i="11"/>
  <c r="D1002" i="11"/>
  <c r="E1002" i="11"/>
  <c r="F1002" i="11"/>
  <c r="G1002" i="11"/>
  <c r="H1002" i="11"/>
  <c r="I1002" i="11"/>
  <c r="J1002" i="11"/>
  <c r="K1002" i="11"/>
  <c r="L1002" i="11"/>
  <c r="M1002" i="11"/>
  <c r="N1002" i="11"/>
  <c r="O1002" i="11"/>
  <c r="P1002" i="11"/>
  <c r="Q1002" i="11"/>
  <c r="R1002" i="11"/>
  <c r="D1003" i="11"/>
  <c r="E1003" i="11"/>
  <c r="F1003" i="11"/>
  <c r="G1003" i="11"/>
  <c r="H1003" i="11"/>
  <c r="I1003" i="11"/>
  <c r="J1003" i="11"/>
  <c r="K1003" i="11"/>
  <c r="L1003" i="11"/>
  <c r="M1003" i="11"/>
  <c r="N1003" i="11"/>
  <c r="O1003" i="11"/>
  <c r="P1003" i="11"/>
  <c r="Q1003" i="11"/>
  <c r="R1003" i="11"/>
  <c r="D1004" i="11"/>
  <c r="E1004" i="11"/>
  <c r="F1004" i="11"/>
  <c r="G1004" i="11"/>
  <c r="H1004" i="11"/>
  <c r="I1004" i="11"/>
  <c r="J1004" i="11"/>
  <c r="K1004" i="11"/>
  <c r="L1004" i="11"/>
  <c r="M1004" i="11"/>
  <c r="N1004" i="11"/>
  <c r="O1004" i="11"/>
  <c r="P1004" i="11"/>
  <c r="Q1004" i="11"/>
  <c r="R1004" i="11"/>
  <c r="D1005" i="11"/>
  <c r="E1005" i="11"/>
  <c r="F1005" i="11"/>
  <c r="G1005" i="11"/>
  <c r="H1005" i="11"/>
  <c r="I1005" i="11"/>
  <c r="J1005" i="11"/>
  <c r="K1005" i="11"/>
  <c r="L1005" i="11"/>
  <c r="M1005" i="11"/>
  <c r="N1005" i="11"/>
  <c r="O1005" i="11"/>
  <c r="P1005" i="11"/>
  <c r="Q1005" i="11"/>
  <c r="R1005" i="11"/>
  <c r="D1006" i="11"/>
  <c r="E1006" i="11"/>
  <c r="F1006" i="11"/>
  <c r="G1006" i="11"/>
  <c r="H1006" i="11"/>
  <c r="I1006" i="11"/>
  <c r="J1006" i="11"/>
  <c r="K1006" i="11"/>
  <c r="L1006" i="11"/>
  <c r="M1006" i="11"/>
  <c r="N1006" i="11"/>
  <c r="O1006" i="11"/>
  <c r="P1006" i="11"/>
  <c r="Q1006" i="11"/>
  <c r="R1006" i="11"/>
  <c r="D1007" i="11"/>
  <c r="E1007" i="11"/>
  <c r="F1007" i="11"/>
  <c r="G1007" i="11"/>
  <c r="H1007" i="11"/>
  <c r="I1007" i="11"/>
  <c r="J1007" i="11"/>
  <c r="K1007" i="11"/>
  <c r="L1007" i="11"/>
  <c r="M1007" i="11"/>
  <c r="N1007" i="11"/>
  <c r="O1007" i="11"/>
  <c r="P1007" i="11"/>
  <c r="Q1007" i="11"/>
  <c r="R1007" i="11"/>
  <c r="D1008" i="11"/>
  <c r="E1008" i="11"/>
  <c r="F1008" i="11"/>
  <c r="G1008" i="11"/>
  <c r="H1008" i="11"/>
  <c r="I1008" i="11"/>
  <c r="J1008" i="11"/>
  <c r="K1008" i="11"/>
  <c r="L1008" i="11"/>
  <c r="M1008" i="11"/>
  <c r="N1008" i="11"/>
  <c r="O1008" i="11"/>
  <c r="P1008" i="11"/>
  <c r="Q1008" i="11"/>
  <c r="R1008" i="11"/>
  <c r="D1009" i="11"/>
  <c r="E1009" i="11"/>
  <c r="F1009" i="11"/>
  <c r="G1009" i="11"/>
  <c r="H1009" i="11"/>
  <c r="I1009" i="11"/>
  <c r="J1009" i="11"/>
  <c r="K1009" i="11"/>
  <c r="L1009" i="11"/>
  <c r="M1009" i="11"/>
  <c r="N1009" i="11"/>
  <c r="O1009" i="11"/>
  <c r="P1009" i="11"/>
  <c r="Q1009" i="11"/>
  <c r="R1009" i="11"/>
  <c r="D1010" i="11"/>
  <c r="E1010" i="11"/>
  <c r="F1010" i="11"/>
  <c r="G1010" i="11"/>
  <c r="H1010" i="11"/>
  <c r="I1010" i="11"/>
  <c r="J1010" i="11"/>
  <c r="K1010" i="11"/>
  <c r="L1010" i="11"/>
  <c r="M1010" i="11"/>
  <c r="N1010" i="11"/>
  <c r="O1010" i="11"/>
  <c r="P1010" i="11"/>
  <c r="Q1010" i="11"/>
  <c r="R1010" i="11"/>
  <c r="D1011" i="11"/>
  <c r="E1011" i="11"/>
  <c r="F1011" i="11"/>
  <c r="G1011" i="11"/>
  <c r="H1011" i="11"/>
  <c r="I1011" i="11"/>
  <c r="J1011" i="11"/>
  <c r="K1011" i="11"/>
  <c r="L1011" i="11"/>
  <c r="M1011" i="11"/>
  <c r="N1011" i="11"/>
  <c r="O1011" i="11"/>
  <c r="P1011" i="11"/>
  <c r="Q1011" i="11"/>
  <c r="R1011" i="11"/>
  <c r="D1012" i="11"/>
  <c r="E1012" i="11"/>
  <c r="F1012" i="11"/>
  <c r="G1012" i="11"/>
  <c r="H1012" i="11"/>
  <c r="I1012" i="11"/>
  <c r="J1012" i="11"/>
  <c r="K1012" i="11"/>
  <c r="L1012" i="11"/>
  <c r="M1012" i="11"/>
  <c r="N1012" i="11"/>
  <c r="O1012" i="11"/>
  <c r="P1012" i="11"/>
  <c r="Q1012" i="11"/>
  <c r="R1012" i="11"/>
  <c r="D1013" i="11"/>
  <c r="E1013" i="11"/>
  <c r="F1013" i="11"/>
  <c r="G1013" i="11"/>
  <c r="H1013" i="11"/>
  <c r="I1013" i="11"/>
  <c r="J1013" i="11"/>
  <c r="K1013" i="11"/>
  <c r="L1013" i="11"/>
  <c r="M1013" i="11"/>
  <c r="N1013" i="11"/>
  <c r="O1013" i="11"/>
  <c r="P1013" i="11"/>
  <c r="Q1013" i="11"/>
  <c r="R1013" i="11"/>
  <c r="D1014" i="11"/>
  <c r="E1014" i="11"/>
  <c r="F1014" i="11"/>
  <c r="G1014" i="11"/>
  <c r="H1014" i="11"/>
  <c r="I1014" i="11"/>
  <c r="J1014" i="11"/>
  <c r="K1014" i="11"/>
  <c r="L1014" i="11"/>
  <c r="M1014" i="11"/>
  <c r="N1014" i="11"/>
  <c r="O1014" i="11"/>
  <c r="P1014" i="11"/>
  <c r="Q1014" i="11"/>
  <c r="R1014" i="11"/>
  <c r="D1015" i="11"/>
  <c r="E1015" i="11"/>
  <c r="F1015" i="11"/>
  <c r="G1015" i="11"/>
  <c r="H1015" i="11"/>
  <c r="I1015" i="11"/>
  <c r="J1015" i="11"/>
  <c r="K1015" i="11"/>
  <c r="L1015" i="11"/>
  <c r="M1015" i="11"/>
  <c r="N1015" i="11"/>
  <c r="O1015" i="11"/>
  <c r="P1015" i="11"/>
  <c r="Q1015" i="11"/>
  <c r="R1015" i="11"/>
  <c r="D1016" i="11"/>
  <c r="E1016" i="11"/>
  <c r="F1016" i="11"/>
  <c r="G1016" i="11"/>
  <c r="H1016" i="11"/>
  <c r="I1016" i="11"/>
  <c r="J1016" i="11"/>
  <c r="K1016" i="11"/>
  <c r="L1016" i="11"/>
  <c r="M1016" i="11"/>
  <c r="N1016" i="11"/>
  <c r="O1016" i="11"/>
  <c r="P1016" i="11"/>
  <c r="Q1016" i="11"/>
  <c r="R1016" i="11"/>
  <c r="D1017" i="11"/>
  <c r="E1017" i="11"/>
  <c r="F1017" i="11"/>
  <c r="G1017" i="11"/>
  <c r="H1017" i="11"/>
  <c r="I1017" i="11"/>
  <c r="J1017" i="11"/>
  <c r="K1017" i="11"/>
  <c r="L1017" i="11"/>
  <c r="M1017" i="11"/>
  <c r="N1017" i="11"/>
  <c r="O1017" i="11"/>
  <c r="P1017" i="11"/>
  <c r="Q1017" i="11"/>
  <c r="R1017" i="11"/>
  <c r="D1018" i="11"/>
  <c r="E1018" i="11"/>
  <c r="F1018" i="11"/>
  <c r="G1018" i="11"/>
  <c r="H1018" i="11"/>
  <c r="I1018" i="11"/>
  <c r="J1018" i="11"/>
  <c r="K1018" i="11"/>
  <c r="L1018" i="11"/>
  <c r="M1018" i="11"/>
  <c r="N1018" i="11"/>
  <c r="O1018" i="11"/>
  <c r="P1018" i="11"/>
  <c r="Q1018" i="11"/>
  <c r="R1018" i="11"/>
  <c r="D1019" i="11"/>
  <c r="E1019" i="11"/>
  <c r="F1019" i="11"/>
  <c r="G1019" i="11"/>
  <c r="H1019" i="11"/>
  <c r="I1019" i="11"/>
  <c r="J1019" i="11"/>
  <c r="K1019" i="11"/>
  <c r="L1019" i="11"/>
  <c r="M1019" i="11"/>
  <c r="N1019" i="11"/>
  <c r="O1019" i="11"/>
  <c r="P1019" i="11"/>
  <c r="Q1019" i="11"/>
  <c r="R1019" i="11"/>
  <c r="D1020" i="11"/>
  <c r="E1020" i="11"/>
  <c r="F1020" i="11"/>
  <c r="G1020" i="11"/>
  <c r="H1020" i="11"/>
  <c r="I1020" i="11"/>
  <c r="J1020" i="11"/>
  <c r="K1020" i="11"/>
  <c r="L1020" i="11"/>
  <c r="M1020" i="11"/>
  <c r="N1020" i="11"/>
  <c r="O1020" i="11"/>
  <c r="P1020" i="11"/>
  <c r="Q1020" i="11"/>
  <c r="R1020" i="11"/>
  <c r="D1021" i="11"/>
  <c r="E1021" i="11"/>
  <c r="F1021" i="11"/>
  <c r="G1021" i="11"/>
  <c r="H1021" i="11"/>
  <c r="I1021" i="11"/>
  <c r="J1021" i="11"/>
  <c r="K1021" i="11"/>
  <c r="L1021" i="11"/>
  <c r="M1021" i="11"/>
  <c r="N1021" i="11"/>
  <c r="O1021" i="11"/>
  <c r="P1021" i="11"/>
  <c r="Q1021" i="11"/>
  <c r="R1021" i="11"/>
  <c r="D1022" i="11"/>
  <c r="E1022" i="11"/>
  <c r="F1022" i="11"/>
  <c r="G1022" i="11"/>
  <c r="H1022" i="11"/>
  <c r="I1022" i="11"/>
  <c r="J1022" i="11"/>
  <c r="K1022" i="11"/>
  <c r="L1022" i="11"/>
  <c r="M1022" i="11"/>
  <c r="N1022" i="11"/>
  <c r="O1022" i="11"/>
  <c r="P1022" i="11"/>
  <c r="Q1022" i="11"/>
  <c r="R1022" i="11"/>
  <c r="D1023" i="11"/>
  <c r="E1023" i="11"/>
  <c r="F1023" i="11"/>
  <c r="G1023" i="11"/>
  <c r="H1023" i="11"/>
  <c r="I1023" i="11"/>
  <c r="J1023" i="11"/>
  <c r="K1023" i="11"/>
  <c r="L1023" i="11"/>
  <c r="M1023" i="11"/>
  <c r="N1023" i="11"/>
  <c r="O1023" i="11"/>
  <c r="P1023" i="11"/>
  <c r="Q1023" i="11"/>
  <c r="R1023" i="11"/>
  <c r="D1024" i="11"/>
  <c r="E1024" i="11"/>
  <c r="F1024" i="11"/>
  <c r="G1024" i="11"/>
  <c r="H1024" i="11"/>
  <c r="I1024" i="11"/>
  <c r="J1024" i="11"/>
  <c r="K1024" i="11"/>
  <c r="L1024" i="11"/>
  <c r="M1024" i="11"/>
  <c r="N1024" i="11"/>
  <c r="O1024" i="11"/>
  <c r="P1024" i="11"/>
  <c r="Q1024" i="11"/>
  <c r="R1024" i="11"/>
  <c r="D1025" i="11"/>
  <c r="E1025" i="11"/>
  <c r="F1025" i="11"/>
  <c r="G1025" i="11"/>
  <c r="H1025" i="11"/>
  <c r="I1025" i="11"/>
  <c r="J1025" i="11"/>
  <c r="K1025" i="11"/>
  <c r="L1025" i="11"/>
  <c r="M1025" i="11"/>
  <c r="N1025" i="11"/>
  <c r="O1025" i="11"/>
  <c r="P1025" i="11"/>
  <c r="Q1025" i="11"/>
  <c r="R1025" i="11"/>
  <c r="D1026" i="11"/>
  <c r="E1026" i="11"/>
  <c r="F1026" i="11"/>
  <c r="G1026" i="11"/>
  <c r="H1026" i="11"/>
  <c r="I1026" i="11"/>
  <c r="J1026" i="11"/>
  <c r="K1026" i="11"/>
  <c r="L1026" i="11"/>
  <c r="M1026" i="11"/>
  <c r="N1026" i="11"/>
  <c r="O1026" i="11"/>
  <c r="P1026" i="11"/>
  <c r="Q1026" i="11"/>
  <c r="R1026" i="11"/>
  <c r="D1027" i="11"/>
  <c r="E1027" i="11"/>
  <c r="F1027" i="11"/>
  <c r="G1027" i="11"/>
  <c r="H1027" i="11"/>
  <c r="I1027" i="11"/>
  <c r="J1027" i="11"/>
  <c r="K1027" i="11"/>
  <c r="L1027" i="11"/>
  <c r="M1027" i="11"/>
  <c r="N1027" i="11"/>
  <c r="O1027" i="11"/>
  <c r="P1027" i="11"/>
  <c r="Q1027" i="11"/>
  <c r="R1027" i="11"/>
  <c r="D1028" i="11"/>
  <c r="E1028" i="11"/>
  <c r="F1028" i="11"/>
  <c r="G1028" i="11"/>
  <c r="H1028" i="11"/>
  <c r="I1028" i="11"/>
  <c r="J1028" i="11"/>
  <c r="K1028" i="11"/>
  <c r="L1028" i="11"/>
  <c r="M1028" i="11"/>
  <c r="N1028" i="11"/>
  <c r="O1028" i="11"/>
  <c r="P1028" i="11"/>
  <c r="Q1028" i="11"/>
  <c r="R1028" i="11"/>
  <c r="D1029" i="11"/>
  <c r="E1029" i="11"/>
  <c r="F1029" i="11"/>
  <c r="G1029" i="11"/>
  <c r="H1029" i="11"/>
  <c r="I1029" i="11"/>
  <c r="J1029" i="11"/>
  <c r="K1029" i="11"/>
  <c r="L1029" i="11"/>
  <c r="M1029" i="11"/>
  <c r="N1029" i="11"/>
  <c r="O1029" i="11"/>
  <c r="P1029" i="11"/>
  <c r="Q1029" i="11"/>
  <c r="R1029" i="11"/>
  <c r="D1030" i="11"/>
  <c r="E1030" i="11"/>
  <c r="F1030" i="11"/>
  <c r="G1030" i="11"/>
  <c r="H1030" i="11"/>
  <c r="I1030" i="11"/>
  <c r="J1030" i="11"/>
  <c r="K1030" i="11"/>
  <c r="L1030" i="11"/>
  <c r="M1030" i="11"/>
  <c r="N1030" i="11"/>
  <c r="O1030" i="11"/>
  <c r="P1030" i="11"/>
  <c r="Q1030" i="11"/>
  <c r="R1030" i="11"/>
  <c r="D1031" i="11"/>
  <c r="E1031" i="11"/>
  <c r="F1031" i="11"/>
  <c r="G1031" i="11"/>
  <c r="H1031" i="11"/>
  <c r="I1031" i="11"/>
  <c r="J1031" i="11"/>
  <c r="K1031" i="11"/>
  <c r="L1031" i="11"/>
  <c r="M1031" i="11"/>
  <c r="N1031" i="11"/>
  <c r="O1031" i="11"/>
  <c r="P1031" i="11"/>
  <c r="Q1031" i="11"/>
  <c r="R1031" i="11"/>
  <c r="D1032" i="11"/>
  <c r="E1032" i="11"/>
  <c r="F1032" i="11"/>
  <c r="G1032" i="11"/>
  <c r="H1032" i="11"/>
  <c r="I1032" i="11"/>
  <c r="J1032" i="11"/>
  <c r="K1032" i="11"/>
  <c r="L1032" i="11"/>
  <c r="M1032" i="11"/>
  <c r="N1032" i="11"/>
  <c r="O1032" i="11"/>
  <c r="P1032" i="11"/>
  <c r="Q1032" i="11"/>
  <c r="R1032" i="11"/>
  <c r="D1033" i="11"/>
  <c r="E1033" i="11"/>
  <c r="F1033" i="11"/>
  <c r="G1033" i="11"/>
  <c r="H1033" i="11"/>
  <c r="I1033" i="11"/>
  <c r="J1033" i="11"/>
  <c r="K1033" i="11"/>
  <c r="L1033" i="11"/>
  <c r="M1033" i="11"/>
  <c r="N1033" i="11"/>
  <c r="O1033" i="11"/>
  <c r="P1033" i="11"/>
  <c r="Q1033" i="11"/>
  <c r="R1033" i="11"/>
  <c r="D1034" i="11"/>
  <c r="E1034" i="11"/>
  <c r="F1034" i="11"/>
  <c r="G1034" i="11"/>
  <c r="H1034" i="11"/>
  <c r="I1034" i="11"/>
  <c r="J1034" i="11"/>
  <c r="K1034" i="11"/>
  <c r="L1034" i="11"/>
  <c r="M1034" i="11"/>
  <c r="N1034" i="11"/>
  <c r="O1034" i="11"/>
  <c r="P1034" i="11"/>
  <c r="Q1034" i="11"/>
  <c r="R1034" i="11"/>
  <c r="D1035" i="11"/>
  <c r="E1035" i="11"/>
  <c r="F1035" i="11"/>
  <c r="G1035" i="11"/>
  <c r="H1035" i="11"/>
  <c r="I1035" i="11"/>
  <c r="J1035" i="11"/>
  <c r="K1035" i="11"/>
  <c r="L1035" i="11"/>
  <c r="M1035" i="11"/>
  <c r="N1035" i="11"/>
  <c r="O1035" i="11"/>
  <c r="P1035" i="11"/>
  <c r="Q1035" i="11"/>
  <c r="R1035" i="11"/>
  <c r="D1036" i="11"/>
  <c r="E1036" i="11"/>
  <c r="F1036" i="11"/>
  <c r="G1036" i="11"/>
  <c r="H1036" i="11"/>
  <c r="I1036" i="11"/>
  <c r="J1036" i="11"/>
  <c r="K1036" i="11"/>
  <c r="L1036" i="11"/>
  <c r="M1036" i="11"/>
  <c r="N1036" i="11"/>
  <c r="O1036" i="11"/>
  <c r="P1036" i="11"/>
  <c r="Q1036" i="11"/>
  <c r="R1036" i="11"/>
  <c r="D1037" i="11"/>
  <c r="E1037" i="11"/>
  <c r="F1037" i="11"/>
  <c r="G1037" i="11"/>
  <c r="H1037" i="11"/>
  <c r="I1037" i="11"/>
  <c r="J1037" i="11"/>
  <c r="K1037" i="11"/>
  <c r="L1037" i="11"/>
  <c r="M1037" i="11"/>
  <c r="N1037" i="11"/>
  <c r="O1037" i="11"/>
  <c r="P1037" i="11"/>
  <c r="Q1037" i="11"/>
  <c r="R1037" i="11"/>
  <c r="D1038" i="11"/>
  <c r="E1038" i="11"/>
  <c r="F1038" i="11"/>
  <c r="G1038" i="11"/>
  <c r="H1038" i="11"/>
  <c r="I1038" i="11"/>
  <c r="J1038" i="11"/>
  <c r="K1038" i="11"/>
  <c r="L1038" i="11"/>
  <c r="M1038" i="11"/>
  <c r="N1038" i="11"/>
  <c r="O1038" i="11"/>
  <c r="P1038" i="11"/>
  <c r="Q1038" i="11"/>
  <c r="R1038" i="11"/>
  <c r="D1039" i="11"/>
  <c r="E1039" i="11"/>
  <c r="F1039" i="11"/>
  <c r="G1039" i="11"/>
  <c r="H1039" i="11"/>
  <c r="I1039" i="11"/>
  <c r="J1039" i="11"/>
  <c r="K1039" i="11"/>
  <c r="L1039" i="11"/>
  <c r="M1039" i="11"/>
  <c r="N1039" i="11"/>
  <c r="O1039" i="11"/>
  <c r="P1039" i="11"/>
  <c r="Q1039" i="11"/>
  <c r="R1039" i="11"/>
  <c r="D1040" i="11"/>
  <c r="E1040" i="11"/>
  <c r="F1040" i="11"/>
  <c r="G1040" i="11"/>
  <c r="H1040" i="11"/>
  <c r="I1040" i="11"/>
  <c r="J1040" i="11"/>
  <c r="K1040" i="11"/>
  <c r="L1040" i="11"/>
  <c r="M1040" i="11"/>
  <c r="N1040" i="11"/>
  <c r="O1040" i="11"/>
  <c r="P1040" i="11"/>
  <c r="Q1040" i="11"/>
  <c r="R1040" i="11"/>
  <c r="D1041" i="11"/>
  <c r="E1041" i="11"/>
  <c r="F1041" i="11"/>
  <c r="G1041" i="11"/>
  <c r="H1041" i="11"/>
  <c r="I1041" i="11"/>
  <c r="J1041" i="11"/>
  <c r="K1041" i="11"/>
  <c r="L1041" i="11"/>
  <c r="M1041" i="11"/>
  <c r="N1041" i="11"/>
  <c r="O1041" i="11"/>
  <c r="P1041" i="11"/>
  <c r="Q1041" i="11"/>
  <c r="R1041" i="11"/>
  <c r="D1042" i="11"/>
  <c r="E1042" i="11"/>
  <c r="F1042" i="11"/>
  <c r="G1042" i="11"/>
  <c r="H1042" i="11"/>
  <c r="I1042" i="11"/>
  <c r="J1042" i="11"/>
  <c r="K1042" i="11"/>
  <c r="L1042" i="11"/>
  <c r="M1042" i="11"/>
  <c r="N1042" i="11"/>
  <c r="O1042" i="11"/>
  <c r="P1042" i="11"/>
  <c r="Q1042" i="11"/>
  <c r="R1042" i="11"/>
  <c r="D1043" i="11"/>
  <c r="E1043" i="11"/>
  <c r="F1043" i="11"/>
  <c r="G1043" i="11"/>
  <c r="H1043" i="11"/>
  <c r="I1043" i="11"/>
  <c r="J1043" i="11"/>
  <c r="K1043" i="11"/>
  <c r="L1043" i="11"/>
  <c r="M1043" i="11"/>
  <c r="N1043" i="11"/>
  <c r="O1043" i="11"/>
  <c r="P1043" i="11"/>
  <c r="Q1043" i="11"/>
  <c r="R1043" i="11"/>
  <c r="D1044" i="11"/>
  <c r="E1044" i="11"/>
  <c r="F1044" i="11"/>
  <c r="G1044" i="11"/>
  <c r="H1044" i="11"/>
  <c r="I1044" i="11"/>
  <c r="J1044" i="11"/>
  <c r="K1044" i="11"/>
  <c r="L1044" i="11"/>
  <c r="M1044" i="11"/>
  <c r="N1044" i="11"/>
  <c r="O1044" i="11"/>
  <c r="P1044" i="11"/>
  <c r="Q1044" i="11"/>
  <c r="R1044" i="11"/>
  <c r="D1045" i="11"/>
  <c r="E1045" i="11"/>
  <c r="F1045" i="11"/>
  <c r="G1045" i="11"/>
  <c r="H1045" i="11"/>
  <c r="I1045" i="11"/>
  <c r="J1045" i="11"/>
  <c r="K1045" i="11"/>
  <c r="L1045" i="11"/>
  <c r="M1045" i="11"/>
  <c r="N1045" i="11"/>
  <c r="O1045" i="11"/>
  <c r="P1045" i="11"/>
  <c r="Q1045" i="11"/>
  <c r="R1045" i="11"/>
  <c r="D1046" i="11"/>
  <c r="E1046" i="11"/>
  <c r="F1046" i="11"/>
  <c r="G1046" i="11"/>
  <c r="H1046" i="11"/>
  <c r="I1046" i="11"/>
  <c r="J1046" i="11"/>
  <c r="K1046" i="11"/>
  <c r="L1046" i="11"/>
  <c r="M1046" i="11"/>
  <c r="N1046" i="11"/>
  <c r="O1046" i="11"/>
  <c r="P1046" i="11"/>
  <c r="Q1046" i="11"/>
  <c r="R1046" i="11"/>
  <c r="D1047" i="11"/>
  <c r="E1047" i="11"/>
  <c r="F1047" i="11"/>
  <c r="G1047" i="11"/>
  <c r="H1047" i="11"/>
  <c r="I1047" i="11"/>
  <c r="J1047" i="11"/>
  <c r="K1047" i="11"/>
  <c r="L1047" i="11"/>
  <c r="M1047" i="11"/>
  <c r="N1047" i="11"/>
  <c r="O1047" i="11"/>
  <c r="P1047" i="11"/>
  <c r="Q1047" i="11"/>
  <c r="R1047" i="11"/>
  <c r="D1048" i="11"/>
  <c r="E1048" i="11"/>
  <c r="F1048" i="11"/>
  <c r="G1048" i="11"/>
  <c r="H1048" i="11"/>
  <c r="I1048" i="11"/>
  <c r="J1048" i="11"/>
  <c r="K1048" i="11"/>
  <c r="L1048" i="11"/>
  <c r="M1048" i="11"/>
  <c r="N1048" i="11"/>
  <c r="O1048" i="11"/>
  <c r="P1048" i="11"/>
  <c r="Q1048" i="11"/>
  <c r="R1048" i="11"/>
  <c r="D1049" i="11"/>
  <c r="E1049" i="11"/>
  <c r="F1049" i="11"/>
  <c r="G1049" i="11"/>
  <c r="H1049" i="11"/>
  <c r="I1049" i="11"/>
  <c r="J1049" i="11"/>
  <c r="K1049" i="11"/>
  <c r="L1049" i="11"/>
  <c r="M1049" i="11"/>
  <c r="N1049" i="11"/>
  <c r="O1049" i="11"/>
  <c r="P1049" i="11"/>
  <c r="Q1049" i="11"/>
  <c r="R1049" i="11"/>
  <c r="D1050" i="11"/>
  <c r="E1050" i="11"/>
  <c r="F1050" i="11"/>
  <c r="G1050" i="11"/>
  <c r="H1050" i="11"/>
  <c r="I1050" i="11"/>
  <c r="J1050" i="11"/>
  <c r="K1050" i="11"/>
  <c r="L1050" i="11"/>
  <c r="M1050" i="11"/>
  <c r="N1050" i="11"/>
  <c r="O1050" i="11"/>
  <c r="P1050" i="11"/>
  <c r="Q1050" i="11"/>
  <c r="R1050" i="11"/>
  <c r="D1051" i="11"/>
  <c r="E1051" i="11"/>
  <c r="F1051" i="11"/>
  <c r="G1051" i="11"/>
  <c r="H1051" i="11"/>
  <c r="I1051" i="11"/>
  <c r="J1051" i="11"/>
  <c r="K1051" i="11"/>
  <c r="L1051" i="11"/>
  <c r="M1051" i="11"/>
  <c r="N1051" i="11"/>
  <c r="O1051" i="11"/>
  <c r="P1051" i="11"/>
  <c r="Q1051" i="11"/>
  <c r="R1051" i="11"/>
  <c r="D1052" i="11"/>
  <c r="E1052" i="11"/>
  <c r="F1052" i="11"/>
  <c r="G1052" i="11"/>
  <c r="H1052" i="11"/>
  <c r="I1052" i="11"/>
  <c r="J1052" i="11"/>
  <c r="K1052" i="11"/>
  <c r="L1052" i="11"/>
  <c r="M1052" i="11"/>
  <c r="N1052" i="11"/>
  <c r="O1052" i="11"/>
  <c r="P1052" i="11"/>
  <c r="Q1052" i="11"/>
  <c r="R1052" i="11"/>
  <c r="D1053" i="11"/>
  <c r="E1053" i="11"/>
  <c r="F1053" i="11"/>
  <c r="G1053" i="11"/>
  <c r="H1053" i="11"/>
  <c r="I1053" i="11"/>
  <c r="J1053" i="11"/>
  <c r="K1053" i="11"/>
  <c r="L1053" i="11"/>
  <c r="M1053" i="11"/>
  <c r="N1053" i="11"/>
  <c r="O1053" i="11"/>
  <c r="P1053" i="11"/>
  <c r="Q1053" i="11"/>
  <c r="R1053" i="11"/>
  <c r="D1054" i="11"/>
  <c r="E1054" i="11"/>
  <c r="F1054" i="11"/>
  <c r="G1054" i="11"/>
  <c r="H1054" i="11"/>
  <c r="I1054" i="11"/>
  <c r="J1054" i="11"/>
  <c r="K1054" i="11"/>
  <c r="L1054" i="11"/>
  <c r="M1054" i="11"/>
  <c r="N1054" i="11"/>
  <c r="O1054" i="11"/>
  <c r="P1054" i="11"/>
  <c r="Q1054" i="11"/>
  <c r="R1054" i="11"/>
  <c r="D1055" i="11"/>
  <c r="E1055" i="11"/>
  <c r="F1055" i="11"/>
  <c r="G1055" i="11"/>
  <c r="H1055" i="11"/>
  <c r="I1055" i="11"/>
  <c r="J1055" i="11"/>
  <c r="K1055" i="11"/>
  <c r="L1055" i="11"/>
  <c r="M1055" i="11"/>
  <c r="N1055" i="11"/>
  <c r="O1055" i="11"/>
  <c r="P1055" i="11"/>
  <c r="Q1055" i="11"/>
  <c r="R1055" i="11"/>
  <c r="D1056" i="11"/>
  <c r="E1056" i="11"/>
  <c r="F1056" i="11"/>
  <c r="G1056" i="11"/>
  <c r="H1056" i="11"/>
  <c r="I1056" i="11"/>
  <c r="J1056" i="11"/>
  <c r="K1056" i="11"/>
  <c r="L1056" i="11"/>
  <c r="M1056" i="11"/>
  <c r="N1056" i="11"/>
  <c r="O1056" i="11"/>
  <c r="P1056" i="11"/>
  <c r="Q1056" i="11"/>
  <c r="R1056" i="11"/>
  <c r="D1057" i="11"/>
  <c r="E1057" i="11"/>
  <c r="F1057" i="11"/>
  <c r="G1057" i="11"/>
  <c r="H1057" i="11"/>
  <c r="I1057" i="11"/>
  <c r="J1057" i="11"/>
  <c r="K1057" i="11"/>
  <c r="L1057" i="11"/>
  <c r="M1057" i="11"/>
  <c r="N1057" i="11"/>
  <c r="O1057" i="11"/>
  <c r="P1057" i="11"/>
  <c r="Q1057" i="11"/>
  <c r="R1057" i="11"/>
  <c r="D1058" i="11"/>
  <c r="E1058" i="11"/>
  <c r="F1058" i="11"/>
  <c r="G1058" i="11"/>
  <c r="H1058" i="11"/>
  <c r="I1058" i="11"/>
  <c r="J1058" i="11"/>
  <c r="K1058" i="11"/>
  <c r="L1058" i="11"/>
  <c r="M1058" i="11"/>
  <c r="N1058" i="11"/>
  <c r="O1058" i="11"/>
  <c r="P1058" i="11"/>
  <c r="Q1058" i="11"/>
  <c r="R1058" i="11"/>
  <c r="D1059" i="11"/>
  <c r="E1059" i="11"/>
  <c r="F1059" i="11"/>
  <c r="G1059" i="11"/>
  <c r="H1059" i="11"/>
  <c r="I1059" i="11"/>
  <c r="J1059" i="11"/>
  <c r="K1059" i="11"/>
  <c r="L1059" i="11"/>
  <c r="M1059" i="11"/>
  <c r="N1059" i="11"/>
  <c r="O1059" i="11"/>
  <c r="P1059" i="11"/>
  <c r="Q1059" i="11"/>
  <c r="R1059" i="11"/>
  <c r="D1060" i="11"/>
  <c r="E1060" i="11"/>
  <c r="F1060" i="11"/>
  <c r="G1060" i="11"/>
  <c r="H1060" i="11"/>
  <c r="I1060" i="11"/>
  <c r="J1060" i="11"/>
  <c r="K1060" i="11"/>
  <c r="L1060" i="11"/>
  <c r="M1060" i="11"/>
  <c r="N1060" i="11"/>
  <c r="O1060" i="11"/>
  <c r="P1060" i="11"/>
  <c r="Q1060" i="11"/>
  <c r="R1060" i="11"/>
  <c r="D1061" i="11"/>
  <c r="E1061" i="11"/>
  <c r="F1061" i="11"/>
  <c r="G1061" i="11"/>
  <c r="H1061" i="11"/>
  <c r="I1061" i="11"/>
  <c r="J1061" i="11"/>
  <c r="K1061" i="11"/>
  <c r="L1061" i="11"/>
  <c r="M1061" i="11"/>
  <c r="N1061" i="11"/>
  <c r="O1061" i="11"/>
  <c r="P1061" i="11"/>
  <c r="Q1061" i="11"/>
  <c r="R1061" i="11"/>
  <c r="D1062" i="11"/>
  <c r="E1062" i="11"/>
  <c r="F1062" i="11"/>
  <c r="G1062" i="11"/>
  <c r="H1062" i="11"/>
  <c r="I1062" i="11"/>
  <c r="J1062" i="11"/>
  <c r="K1062" i="11"/>
  <c r="L1062" i="11"/>
  <c r="M1062" i="11"/>
  <c r="N1062" i="11"/>
  <c r="O1062" i="11"/>
  <c r="P1062" i="11"/>
  <c r="Q1062" i="11"/>
  <c r="R1062" i="11"/>
  <c r="D1063" i="11"/>
  <c r="E1063" i="11"/>
  <c r="F1063" i="11"/>
  <c r="G1063" i="11"/>
  <c r="H1063" i="11"/>
  <c r="I1063" i="11"/>
  <c r="J1063" i="11"/>
  <c r="K1063" i="11"/>
  <c r="L1063" i="11"/>
  <c r="M1063" i="11"/>
  <c r="N1063" i="11"/>
  <c r="O1063" i="11"/>
  <c r="P1063" i="11"/>
  <c r="Q1063" i="11"/>
  <c r="R1063" i="11"/>
  <c r="D1064" i="11"/>
  <c r="E1064" i="11"/>
  <c r="F1064" i="11"/>
  <c r="G1064" i="11"/>
  <c r="H1064" i="11"/>
  <c r="I1064" i="11"/>
  <c r="J1064" i="11"/>
  <c r="K1064" i="11"/>
  <c r="L1064" i="11"/>
  <c r="M1064" i="11"/>
  <c r="N1064" i="11"/>
  <c r="O1064" i="11"/>
  <c r="P1064" i="11"/>
  <c r="Q1064" i="11"/>
  <c r="R1064" i="11"/>
  <c r="D1065" i="11"/>
  <c r="E1065" i="11"/>
  <c r="F1065" i="11"/>
  <c r="G1065" i="11"/>
  <c r="H1065" i="11"/>
  <c r="I1065" i="11"/>
  <c r="J1065" i="11"/>
  <c r="K1065" i="11"/>
  <c r="L1065" i="11"/>
  <c r="M1065" i="11"/>
  <c r="N1065" i="11"/>
  <c r="O1065" i="11"/>
  <c r="P1065" i="11"/>
  <c r="Q1065" i="11"/>
  <c r="R1065" i="11"/>
  <c r="D1066" i="11"/>
  <c r="E1066" i="11"/>
  <c r="F1066" i="11"/>
  <c r="G1066" i="11"/>
  <c r="H1066" i="11"/>
  <c r="I1066" i="11"/>
  <c r="J1066" i="11"/>
  <c r="K1066" i="11"/>
  <c r="L1066" i="11"/>
  <c r="M1066" i="11"/>
  <c r="N1066" i="11"/>
  <c r="O1066" i="11"/>
  <c r="P1066" i="11"/>
  <c r="Q1066" i="11"/>
  <c r="R1066" i="11"/>
  <c r="D1067" i="11"/>
  <c r="E1067" i="11"/>
  <c r="F1067" i="11"/>
  <c r="G1067" i="11"/>
  <c r="H1067" i="11"/>
  <c r="I1067" i="11"/>
  <c r="J1067" i="11"/>
  <c r="K1067" i="11"/>
  <c r="L1067" i="11"/>
  <c r="M1067" i="11"/>
  <c r="N1067" i="11"/>
  <c r="O1067" i="11"/>
  <c r="P1067" i="11"/>
  <c r="Q1067" i="11"/>
  <c r="R1067" i="11"/>
  <c r="D1068" i="11"/>
  <c r="E1068" i="11"/>
  <c r="F1068" i="11"/>
  <c r="G1068" i="11"/>
  <c r="H1068" i="11"/>
  <c r="I1068" i="11"/>
  <c r="J1068" i="11"/>
  <c r="K1068" i="11"/>
  <c r="L1068" i="11"/>
  <c r="M1068" i="11"/>
  <c r="N1068" i="11"/>
  <c r="O1068" i="11"/>
  <c r="P1068" i="11"/>
  <c r="Q1068" i="11"/>
  <c r="R1068" i="11"/>
  <c r="D1069" i="11"/>
  <c r="E1069" i="11"/>
  <c r="F1069" i="11"/>
  <c r="G1069" i="11"/>
  <c r="H1069" i="11"/>
  <c r="I1069" i="11"/>
  <c r="J1069" i="11"/>
  <c r="K1069" i="11"/>
  <c r="L1069" i="11"/>
  <c r="M1069" i="11"/>
  <c r="N1069" i="11"/>
  <c r="O1069" i="11"/>
  <c r="P1069" i="11"/>
  <c r="Q1069" i="11"/>
  <c r="R1069" i="11"/>
  <c r="D1070" i="11"/>
  <c r="E1070" i="11"/>
  <c r="F1070" i="11"/>
  <c r="G1070" i="11"/>
  <c r="H1070" i="11"/>
  <c r="I1070" i="11"/>
  <c r="J1070" i="11"/>
  <c r="K1070" i="11"/>
  <c r="L1070" i="11"/>
  <c r="M1070" i="11"/>
  <c r="N1070" i="11"/>
  <c r="O1070" i="11"/>
  <c r="P1070" i="11"/>
  <c r="Q1070" i="11"/>
  <c r="R1070" i="11"/>
  <c r="D1071" i="11"/>
  <c r="E1071" i="11"/>
  <c r="F1071" i="11"/>
  <c r="G1071" i="11"/>
  <c r="H1071" i="11"/>
  <c r="I1071" i="11"/>
  <c r="J1071" i="11"/>
  <c r="K1071" i="11"/>
  <c r="L1071" i="11"/>
  <c r="M1071" i="11"/>
  <c r="N1071" i="11"/>
  <c r="O1071" i="11"/>
  <c r="P1071" i="11"/>
  <c r="Q1071" i="11"/>
  <c r="R1071" i="11"/>
  <c r="D1072" i="11"/>
  <c r="E1072" i="11"/>
  <c r="F1072" i="11"/>
  <c r="G1072" i="11"/>
  <c r="H1072" i="11"/>
  <c r="I1072" i="11"/>
  <c r="J1072" i="11"/>
  <c r="K1072" i="11"/>
  <c r="L1072" i="11"/>
  <c r="M1072" i="11"/>
  <c r="N1072" i="11"/>
  <c r="O1072" i="11"/>
  <c r="P1072" i="11"/>
  <c r="Q1072" i="11"/>
  <c r="R1072" i="11"/>
  <c r="D1073" i="11"/>
  <c r="E1073" i="11"/>
  <c r="F1073" i="11"/>
  <c r="G1073" i="11"/>
  <c r="H1073" i="11"/>
  <c r="I1073" i="11"/>
  <c r="J1073" i="11"/>
  <c r="K1073" i="11"/>
  <c r="L1073" i="11"/>
  <c r="M1073" i="11"/>
  <c r="N1073" i="11"/>
  <c r="O1073" i="11"/>
  <c r="P1073" i="11"/>
  <c r="Q1073" i="11"/>
  <c r="R1073" i="11"/>
  <c r="D1074" i="11"/>
  <c r="E1074" i="11"/>
  <c r="F1074" i="11"/>
  <c r="G1074" i="11"/>
  <c r="H1074" i="11"/>
  <c r="I1074" i="11"/>
  <c r="J1074" i="11"/>
  <c r="K1074" i="11"/>
  <c r="L1074" i="11"/>
  <c r="M1074" i="11"/>
  <c r="N1074" i="11"/>
  <c r="O1074" i="11"/>
  <c r="P1074" i="11"/>
  <c r="Q1074" i="11"/>
  <c r="R1074" i="11"/>
  <c r="D1075" i="11"/>
  <c r="E1075" i="11"/>
  <c r="F1075" i="11"/>
  <c r="G1075" i="11"/>
  <c r="H1075" i="11"/>
  <c r="I1075" i="11"/>
  <c r="J1075" i="11"/>
  <c r="K1075" i="11"/>
  <c r="L1075" i="11"/>
  <c r="M1075" i="11"/>
  <c r="N1075" i="11"/>
  <c r="O1075" i="11"/>
  <c r="P1075" i="11"/>
  <c r="Q1075" i="11"/>
  <c r="R1075" i="11"/>
  <c r="D1076" i="11"/>
  <c r="E1076" i="11"/>
  <c r="F1076" i="11"/>
  <c r="G1076" i="11"/>
  <c r="H1076" i="11"/>
  <c r="I1076" i="11"/>
  <c r="J1076" i="11"/>
  <c r="K1076" i="11"/>
  <c r="L1076" i="11"/>
  <c r="M1076" i="11"/>
  <c r="N1076" i="11"/>
  <c r="O1076" i="11"/>
  <c r="P1076" i="11"/>
  <c r="Q1076" i="11"/>
  <c r="R1076" i="11"/>
  <c r="D1077" i="11"/>
  <c r="E1077" i="11"/>
  <c r="F1077" i="11"/>
  <c r="G1077" i="11"/>
  <c r="H1077" i="11"/>
  <c r="I1077" i="11"/>
  <c r="J1077" i="11"/>
  <c r="K1077" i="11"/>
  <c r="L1077" i="11"/>
  <c r="M1077" i="11"/>
  <c r="N1077" i="11"/>
  <c r="O1077" i="11"/>
  <c r="P1077" i="11"/>
  <c r="Q1077" i="11"/>
  <c r="R1077" i="11"/>
  <c r="D1078" i="11"/>
  <c r="E1078" i="11"/>
  <c r="F1078" i="11"/>
  <c r="G1078" i="11"/>
  <c r="H1078" i="11"/>
  <c r="I1078" i="11"/>
  <c r="J1078" i="11"/>
  <c r="K1078" i="11"/>
  <c r="L1078" i="11"/>
  <c r="M1078" i="11"/>
  <c r="N1078" i="11"/>
  <c r="O1078" i="11"/>
  <c r="P1078" i="11"/>
  <c r="Q1078" i="11"/>
  <c r="R1078" i="11"/>
  <c r="D1079" i="11"/>
  <c r="E1079" i="11"/>
  <c r="F1079" i="11"/>
  <c r="G1079" i="11"/>
  <c r="H1079" i="11"/>
  <c r="I1079" i="11"/>
  <c r="J1079" i="11"/>
  <c r="K1079" i="11"/>
  <c r="L1079" i="11"/>
  <c r="M1079" i="11"/>
  <c r="N1079" i="11"/>
  <c r="O1079" i="11"/>
  <c r="P1079" i="11"/>
  <c r="Q1079" i="11"/>
  <c r="R1079" i="11"/>
  <c r="D1080" i="11"/>
  <c r="E1080" i="11"/>
  <c r="F1080" i="11"/>
  <c r="G1080" i="11"/>
  <c r="H1080" i="11"/>
  <c r="I1080" i="11"/>
  <c r="J1080" i="11"/>
  <c r="K1080" i="11"/>
  <c r="L1080" i="11"/>
  <c r="M1080" i="11"/>
  <c r="N1080" i="11"/>
  <c r="O1080" i="11"/>
  <c r="P1080" i="11"/>
  <c r="Q1080" i="11"/>
  <c r="R1080" i="11"/>
  <c r="D982" i="11"/>
  <c r="E982" i="11"/>
  <c r="F982" i="11"/>
  <c r="G982" i="11"/>
  <c r="H982" i="11"/>
  <c r="I982" i="11"/>
  <c r="J982" i="11"/>
  <c r="K982" i="11"/>
  <c r="L982" i="11"/>
  <c r="M982" i="11"/>
  <c r="N982" i="11"/>
  <c r="O982" i="11"/>
  <c r="P982" i="11"/>
  <c r="Q982" i="11"/>
  <c r="R982" i="11"/>
  <c r="D983" i="11"/>
  <c r="E983" i="11"/>
  <c r="F983" i="11"/>
  <c r="G983" i="11"/>
  <c r="H983" i="11"/>
  <c r="I983" i="11"/>
  <c r="J983" i="11"/>
  <c r="K983" i="11"/>
  <c r="L983" i="11"/>
  <c r="M983" i="11"/>
  <c r="N983" i="11"/>
  <c r="O983" i="11"/>
  <c r="P983" i="11"/>
  <c r="Q983" i="11"/>
  <c r="R983" i="11"/>
  <c r="D984" i="11"/>
  <c r="E984" i="11"/>
  <c r="F984" i="11"/>
  <c r="G984" i="11"/>
  <c r="H984" i="11"/>
  <c r="I984" i="11"/>
  <c r="J984" i="11"/>
  <c r="K984" i="11"/>
  <c r="L984" i="11"/>
  <c r="M984" i="11"/>
  <c r="N984" i="11"/>
  <c r="O984" i="11"/>
  <c r="P984" i="11"/>
  <c r="Q984" i="11"/>
  <c r="R984" i="11"/>
  <c r="S1228" i="10"/>
  <c r="S1139" i="10"/>
  <c r="S1138" i="10"/>
  <c r="S1124" i="10"/>
  <c r="S1052" i="10"/>
  <c r="S1038" i="10"/>
  <c r="S1037" i="10"/>
  <c r="AE1224" i="10"/>
  <c r="AG1224" i="32" s="1"/>
  <c r="AE1222" i="10"/>
  <c r="AE1221" i="10"/>
  <c r="AE1219" i="10"/>
  <c r="AG1219" i="32" s="1"/>
  <c r="AE1215" i="10"/>
  <c r="AG1215" i="32" s="1"/>
  <c r="AE1214" i="10"/>
  <c r="AG1214" i="32" s="1"/>
  <c r="AE1213" i="10"/>
  <c r="AG1213" i="32" s="1"/>
  <c r="AE1208" i="10"/>
  <c r="AG1208" i="32" s="1"/>
  <c r="AE1206" i="10"/>
  <c r="AG1206" i="32" s="1"/>
  <c r="AE1205" i="10"/>
  <c r="AE1203" i="10"/>
  <c r="AG1203" i="32" s="1"/>
  <c r="AE1199" i="10"/>
  <c r="AG1199" i="32" s="1"/>
  <c r="AE1198" i="10"/>
  <c r="AG1198" i="32" s="1"/>
  <c r="AE1197" i="10"/>
  <c r="AG1197" i="32" s="1"/>
  <c r="AE1190" i="10"/>
  <c r="AG1190" i="32" s="1"/>
  <c r="AE1188" i="10"/>
  <c r="AG1188" i="32" s="1"/>
  <c r="AE1187" i="10"/>
  <c r="AG1187" i="32" s="1"/>
  <c r="AE1182" i="10"/>
  <c r="AG1182" i="32" s="1"/>
  <c r="AE1181" i="10"/>
  <c r="AG1181" i="32" s="1"/>
  <c r="AE1180" i="10"/>
  <c r="AG1180" i="32" s="1"/>
  <c r="AE1179" i="10"/>
  <c r="AG1179" i="32" s="1"/>
  <c r="AE1174" i="10"/>
  <c r="AG1174" i="32" s="1"/>
  <c r="AE1172" i="10"/>
  <c r="AG1172" i="32" s="1"/>
  <c r="AE1171" i="10"/>
  <c r="AG1171" i="32" s="1"/>
  <c r="AE1166" i="10"/>
  <c r="AG1166" i="32" s="1"/>
  <c r="AE1165" i="10"/>
  <c r="AG1165" i="32" s="1"/>
  <c r="AE1164" i="10"/>
  <c r="AG1164" i="32" s="1"/>
  <c r="AE1163" i="10"/>
  <c r="AG1163" i="32" s="1"/>
  <c r="AE1148" i="10"/>
  <c r="AG1148" i="32" s="1"/>
  <c r="AE1147" i="10"/>
  <c r="AG1147" i="32" s="1"/>
  <c r="AE1146" i="10"/>
  <c r="AE1145" i="10"/>
  <c r="AE1144" i="10"/>
  <c r="AG1144" i="32" s="1"/>
  <c r="AE1143" i="10"/>
  <c r="AG1143" i="32" s="1"/>
  <c r="AE1132" i="10"/>
  <c r="AG1132" i="32" s="1"/>
  <c r="AE1131" i="10"/>
  <c r="AG1131" i="32" s="1"/>
  <c r="AE1130" i="10"/>
  <c r="AE1129" i="10"/>
  <c r="AE1128" i="10"/>
  <c r="AG1128" i="32" s="1"/>
  <c r="AE1127" i="10"/>
  <c r="AG1127" i="32" s="1"/>
  <c r="AE1115" i="10"/>
  <c r="AG1115" i="32" s="1"/>
  <c r="AE1113" i="10"/>
  <c r="AG1113" i="32" s="1"/>
  <c r="AE1112" i="10"/>
  <c r="AG1112" i="32" s="1"/>
  <c r="AE1111" i="10"/>
  <c r="AG1111" i="32" s="1"/>
  <c r="AE1110" i="10"/>
  <c r="AG1110" i="32" s="1"/>
  <c r="AE1109" i="10"/>
  <c r="AG1109" i="32" s="1"/>
  <c r="AE1099" i="10"/>
  <c r="AG1099" i="32" s="1"/>
  <c r="AE1097" i="10"/>
  <c r="AE1096" i="10"/>
  <c r="AG1096" i="32" s="1"/>
  <c r="AE1095" i="10"/>
  <c r="AG1095" i="32" s="1"/>
  <c r="AE1094" i="10"/>
  <c r="AG1094" i="32" s="1"/>
  <c r="AE1093" i="10"/>
  <c r="AG1093" i="32" s="1"/>
  <c r="AE1083" i="10"/>
  <c r="AG1083" i="32" s="1"/>
  <c r="AE1081" i="10"/>
  <c r="AG1081" i="32" s="1"/>
  <c r="AE1078" i="10"/>
  <c r="AG1078" i="32" s="1"/>
  <c r="AE1077" i="10"/>
  <c r="AG1077" i="32" s="1"/>
  <c r="AE1076" i="10"/>
  <c r="AG1076" i="32" s="1"/>
  <c r="AE1075" i="10"/>
  <c r="AE1073" i="10"/>
  <c r="AE1067" i="10"/>
  <c r="AG1067" i="32" s="1"/>
  <c r="AE1065" i="10"/>
  <c r="AG1065" i="32" s="1"/>
  <c r="AE1062" i="10"/>
  <c r="AG1062" i="32" s="1"/>
  <c r="AE1061" i="10"/>
  <c r="AG1061" i="32" s="1"/>
  <c r="AE1060" i="10"/>
  <c r="AG1060" i="32" s="1"/>
  <c r="AE1059" i="10"/>
  <c r="AG1059" i="32" s="1"/>
  <c r="AE1057" i="10"/>
  <c r="AG1057" i="32" s="1"/>
  <c r="AE1051" i="10"/>
  <c r="AE1049" i="10"/>
  <c r="AG1049" i="32" s="1"/>
  <c r="AE1046" i="10"/>
  <c r="AG1046" i="32" s="1"/>
  <c r="AE1045" i="10"/>
  <c r="AG1045" i="32" s="1"/>
  <c r="AE1044" i="10"/>
  <c r="AG1044" i="32" s="1"/>
  <c r="AE1043" i="10"/>
  <c r="AG1043" i="32" s="1"/>
  <c r="AE1041" i="10"/>
  <c r="AG1041" i="32" s="1"/>
  <c r="AE1035" i="10"/>
  <c r="AG1035" i="32" s="1"/>
  <c r="AE1031" i="10"/>
  <c r="AG1031" i="32" s="1"/>
  <c r="AE1029" i="10"/>
  <c r="AG1029" i="32" s="1"/>
  <c r="AE1028" i="10"/>
  <c r="AG1028" i="32" s="1"/>
  <c r="AE1027" i="10"/>
  <c r="AG1027" i="32" s="1"/>
  <c r="AE1024" i="10"/>
  <c r="AG1024" i="32" s="1"/>
  <c r="AE1023" i="10"/>
  <c r="AG1023" i="32" s="1"/>
  <c r="AE1016" i="10"/>
  <c r="AG1016" i="32" s="1"/>
  <c r="AE1015" i="10"/>
  <c r="AG1015" i="32" s="1"/>
  <c r="AE1013" i="10"/>
  <c r="AG1013" i="32" s="1"/>
  <c r="AE1012" i="10"/>
  <c r="AG1012" i="32" s="1"/>
  <c r="AE1011" i="10"/>
  <c r="AG1011" i="32" s="1"/>
  <c r="AE1008" i="10"/>
  <c r="AG1008" i="32" s="1"/>
  <c r="AE1007" i="10"/>
  <c r="AG1007" i="32" s="1"/>
  <c r="AE1000" i="10"/>
  <c r="AG1000" i="32" s="1"/>
  <c r="AE999" i="10"/>
  <c r="AG999" i="32" s="1"/>
  <c r="AE997" i="10"/>
  <c r="AE996" i="10"/>
  <c r="AE995" i="10"/>
  <c r="AG995" i="32" s="1"/>
  <c r="AE992" i="10"/>
  <c r="AG992" i="32" s="1"/>
  <c r="AE991" i="10"/>
  <c r="AG991" i="32" s="1"/>
  <c r="AE993" i="10"/>
  <c r="AG993" i="32" s="1"/>
  <c r="AE994" i="10"/>
  <c r="AG994" i="32" s="1"/>
  <c r="AE998" i="10"/>
  <c r="AE1001" i="10"/>
  <c r="AE1002" i="10"/>
  <c r="AG1002" i="32" s="1"/>
  <c r="AE1003" i="10"/>
  <c r="AG1003" i="32" s="1"/>
  <c r="AE1004" i="10"/>
  <c r="AG1004" i="32" s="1"/>
  <c r="AE1005" i="10"/>
  <c r="AG1005" i="32" s="1"/>
  <c r="AE1006" i="10"/>
  <c r="AG1006" i="32" s="1"/>
  <c r="AE1009" i="10"/>
  <c r="AG1009" i="32" s="1"/>
  <c r="AE1010" i="10"/>
  <c r="AG1010" i="32" s="1"/>
  <c r="AE1014" i="10"/>
  <c r="AG1014" i="32" s="1"/>
  <c r="AE1017" i="10"/>
  <c r="AG1017" i="32" s="1"/>
  <c r="AE1018" i="10"/>
  <c r="AG1018" i="32" s="1"/>
  <c r="AE1019" i="10"/>
  <c r="AG1019" i="32" s="1"/>
  <c r="AE1020" i="10"/>
  <c r="AG1020" i="32" s="1"/>
  <c r="AE1021" i="10"/>
  <c r="AG1021" i="32" s="1"/>
  <c r="AE1022" i="10"/>
  <c r="AG1022" i="32" s="1"/>
  <c r="AE1025" i="10"/>
  <c r="AG1025" i="32" s="1"/>
  <c r="AE1026" i="10"/>
  <c r="AG1026" i="32" s="1"/>
  <c r="AE1030" i="10"/>
  <c r="AG1030" i="32" s="1"/>
  <c r="AE1032" i="10"/>
  <c r="AE1033" i="10"/>
  <c r="AE1034" i="10"/>
  <c r="AG1034" i="32" s="1"/>
  <c r="AE1036" i="10"/>
  <c r="AG1036" i="32" s="1"/>
  <c r="AE1037" i="10"/>
  <c r="AG1037" i="32" s="1"/>
  <c r="AE1038" i="10"/>
  <c r="AG1038" i="32" s="1"/>
  <c r="AE1039" i="10"/>
  <c r="AG1039" i="32" s="1"/>
  <c r="AE1040" i="10"/>
  <c r="AE1042" i="10"/>
  <c r="AG1042" i="32" s="1"/>
  <c r="AE1047" i="10"/>
  <c r="AG1047" i="32" s="1"/>
  <c r="AE1048" i="10"/>
  <c r="AG1048" i="32" s="1"/>
  <c r="AE1050" i="10"/>
  <c r="AG1050" i="32" s="1"/>
  <c r="AE1052" i="10"/>
  <c r="AG1052" i="32" s="1"/>
  <c r="AE1053" i="10"/>
  <c r="AG1053" i="32" s="1"/>
  <c r="AE1054" i="10"/>
  <c r="AG1054" i="32" s="1"/>
  <c r="AE1055" i="10"/>
  <c r="AG1055" i="32" s="1"/>
  <c r="AE1056" i="10"/>
  <c r="AG1056" i="32" s="1"/>
  <c r="AE1058" i="10"/>
  <c r="AG1058" i="32" s="1"/>
  <c r="AE1063" i="10"/>
  <c r="AG1063" i="32" s="1"/>
  <c r="AE1064" i="10"/>
  <c r="AG1064" i="32" s="1"/>
  <c r="AE1066" i="10"/>
  <c r="AG1066" i="32" s="1"/>
  <c r="AE1068" i="10"/>
  <c r="AG1068" i="32" s="1"/>
  <c r="AE1069" i="10"/>
  <c r="AG1069" i="32" s="1"/>
  <c r="AE1070" i="10"/>
  <c r="AG1070" i="32" s="1"/>
  <c r="AE1071" i="10"/>
  <c r="AG1071" i="32" s="1"/>
  <c r="AE1072" i="10"/>
  <c r="AG1072" i="32" s="1"/>
  <c r="AE1074" i="10"/>
  <c r="AE1079" i="10"/>
  <c r="AG1079" i="32" s="1"/>
  <c r="AE1080" i="10"/>
  <c r="AG1080" i="32" s="1"/>
  <c r="AE1082" i="10"/>
  <c r="AG1082" i="32" s="1"/>
  <c r="AE1084" i="10"/>
  <c r="AG1084" i="32" s="1"/>
  <c r="AE1085" i="10"/>
  <c r="AE1086" i="10"/>
  <c r="AE1087" i="10"/>
  <c r="AE1088" i="10"/>
  <c r="AE1089" i="10"/>
  <c r="AG1089" i="32" s="1"/>
  <c r="AE1090" i="10"/>
  <c r="AG1090" i="32" s="1"/>
  <c r="AE1091" i="10"/>
  <c r="AG1091" i="32" s="1"/>
  <c r="AE1092" i="10"/>
  <c r="AG1092" i="32" s="1"/>
  <c r="AE1098" i="10"/>
  <c r="AE1100" i="10"/>
  <c r="AG1100" i="32" s="1"/>
  <c r="AE1101" i="10"/>
  <c r="AG1101" i="32" s="1"/>
  <c r="AE1102" i="10"/>
  <c r="AG1102" i="32" s="1"/>
  <c r="AE1103" i="10"/>
  <c r="AG1103" i="32" s="1"/>
  <c r="AE1104" i="10"/>
  <c r="AG1104" i="32" s="1"/>
  <c r="AE1105" i="10"/>
  <c r="AG1105" i="32" s="1"/>
  <c r="AE1106" i="10"/>
  <c r="AG1106" i="32" s="1"/>
  <c r="AE1107" i="10"/>
  <c r="AG1107" i="32" s="1"/>
  <c r="AE1108" i="10"/>
  <c r="AG1108" i="32" s="1"/>
  <c r="AE1114" i="10"/>
  <c r="AG1114" i="32" s="1"/>
  <c r="AE1116" i="10"/>
  <c r="AG1116" i="32" s="1"/>
  <c r="AE1117" i="10"/>
  <c r="AG1117" i="32" s="1"/>
  <c r="AE1118" i="10"/>
  <c r="AG1118" i="32" s="1"/>
  <c r="AE1119" i="10"/>
  <c r="AG1119" i="32" s="1"/>
  <c r="AE1120" i="10"/>
  <c r="AG1120" i="32" s="1"/>
  <c r="AE1121" i="10"/>
  <c r="AE1122" i="10"/>
  <c r="AE1123" i="10"/>
  <c r="AG1123" i="32" s="1"/>
  <c r="AE1124" i="10"/>
  <c r="AG1124" i="32" s="1"/>
  <c r="AE1125" i="10"/>
  <c r="AG1125" i="32" s="1"/>
  <c r="AE1126" i="10"/>
  <c r="AG1126" i="32" s="1"/>
  <c r="AE1133" i="10"/>
  <c r="AG1133" i="32" s="1"/>
  <c r="AE1134" i="10"/>
  <c r="AG1134" i="32" s="1"/>
  <c r="AE1135" i="10"/>
  <c r="AG1135" i="32" s="1"/>
  <c r="AE1136" i="10"/>
  <c r="AG1136" i="32" s="1"/>
  <c r="AE1137" i="10"/>
  <c r="AG1137" i="32" s="1"/>
  <c r="AE1138" i="10"/>
  <c r="AG1138" i="32" s="1"/>
  <c r="AE1139" i="10"/>
  <c r="AG1139" i="32" s="1"/>
  <c r="AE1140" i="10"/>
  <c r="AG1140" i="32" s="1"/>
  <c r="AE1141" i="10"/>
  <c r="AG1141" i="32" s="1"/>
  <c r="AE1142" i="10"/>
  <c r="AG1142" i="32" s="1"/>
  <c r="AE1149" i="10"/>
  <c r="AE1150" i="10"/>
  <c r="AE1151" i="10"/>
  <c r="AG1151" i="32" s="1"/>
  <c r="AE1152" i="10"/>
  <c r="AG1152" i="32" s="1"/>
  <c r="AE1153" i="10"/>
  <c r="AG1153" i="32" s="1"/>
  <c r="AE1154" i="10"/>
  <c r="AG1154" i="32" s="1"/>
  <c r="AE1155" i="10"/>
  <c r="AG1155" i="32" s="1"/>
  <c r="AE1156" i="10"/>
  <c r="AG1156" i="32" s="1"/>
  <c r="AE1157" i="10"/>
  <c r="AE1158" i="10"/>
  <c r="AE1159" i="10"/>
  <c r="AE1160" i="10"/>
  <c r="AE1161" i="10"/>
  <c r="AG1161" i="32" s="1"/>
  <c r="AE1162" i="10"/>
  <c r="AG1162" i="32" s="1"/>
  <c r="AE1167" i="10"/>
  <c r="AG1167" i="32" s="1"/>
  <c r="AE1168" i="10"/>
  <c r="AG1168" i="32" s="1"/>
  <c r="AE1169" i="10"/>
  <c r="AE1170" i="10"/>
  <c r="AE1173" i="10"/>
  <c r="AG1173" i="32" s="1"/>
  <c r="AE1175" i="10"/>
  <c r="AG1175" i="32" s="1"/>
  <c r="AE1176" i="10"/>
  <c r="AG1176" i="32" s="1"/>
  <c r="AE1177" i="10"/>
  <c r="AG1177" i="32" s="1"/>
  <c r="AE1178" i="10"/>
  <c r="AG1178" i="32" s="1"/>
  <c r="AE1183" i="10"/>
  <c r="AG1183" i="32" s="1"/>
  <c r="AE1184" i="10"/>
  <c r="AG1184" i="32" s="1"/>
  <c r="AE1185" i="10"/>
  <c r="AG1185" i="32" s="1"/>
  <c r="AE1186" i="10"/>
  <c r="AG1186" i="32" s="1"/>
  <c r="AE1189" i="10"/>
  <c r="AG1189" i="32" s="1"/>
  <c r="AE1191" i="10"/>
  <c r="AG1191" i="32" s="1"/>
  <c r="AE1192" i="10"/>
  <c r="AG1192" i="32" s="1"/>
  <c r="AE1193" i="10"/>
  <c r="AE1194" i="10"/>
  <c r="AE1195" i="10"/>
  <c r="AG1195" i="32" s="1"/>
  <c r="AE1196" i="10"/>
  <c r="AG1196" i="32" s="1"/>
  <c r="AE1200" i="10"/>
  <c r="AG1200" i="32" s="1"/>
  <c r="AE1201" i="10"/>
  <c r="AG1201" i="32" s="1"/>
  <c r="AE1202" i="10"/>
  <c r="AG1202" i="32" s="1"/>
  <c r="AE1204" i="10"/>
  <c r="AG1204" i="32" s="1"/>
  <c r="AE1207" i="10"/>
  <c r="AG1207" i="32" s="1"/>
  <c r="AE1209" i="10"/>
  <c r="AG1209" i="32" s="1"/>
  <c r="AE1210" i="10"/>
  <c r="AG1210" i="32" s="1"/>
  <c r="AE1211" i="10"/>
  <c r="AG1211" i="32" s="1"/>
  <c r="AE1212" i="10"/>
  <c r="AG1212" i="32" s="1"/>
  <c r="AE1216" i="10"/>
  <c r="AG1216" i="32" s="1"/>
  <c r="AE1217" i="10"/>
  <c r="AG1217" i="32" s="1"/>
  <c r="AE1218" i="10"/>
  <c r="AG1218" i="32" s="1"/>
  <c r="AE1220" i="10"/>
  <c r="AG1220" i="32" s="1"/>
  <c r="AE1223" i="10"/>
  <c r="AG1223" i="32" s="1"/>
  <c r="AE1225" i="10"/>
  <c r="AG1225" i="32" s="1"/>
  <c r="AE1226" i="10"/>
  <c r="AG1226" i="32" s="1"/>
  <c r="AE1227" i="10"/>
  <c r="AG1227" i="32" s="1"/>
  <c r="AE1228" i="10"/>
  <c r="AG1228" i="32" s="1"/>
  <c r="AE1229" i="10"/>
  <c r="AE1230" i="10"/>
  <c r="AF991" i="10"/>
  <c r="AH991" i="32" s="1"/>
  <c r="AF992" i="10"/>
  <c r="AH992" i="32" s="1"/>
  <c r="AF993" i="10"/>
  <c r="AH993" i="32" s="1"/>
  <c r="AF994" i="10"/>
  <c r="AH994" i="32" s="1"/>
  <c r="AF995" i="10"/>
  <c r="AH995" i="32" s="1"/>
  <c r="AF996" i="10"/>
  <c r="AF997" i="10"/>
  <c r="AF998" i="10"/>
  <c r="AF999" i="10"/>
  <c r="AH999" i="32" s="1"/>
  <c r="AF1000" i="10"/>
  <c r="AH1000" i="32" s="1"/>
  <c r="AF1001" i="10"/>
  <c r="AF1002" i="10"/>
  <c r="AH1002" i="32" s="1"/>
  <c r="AF1003" i="10"/>
  <c r="AH1003" i="32" s="1"/>
  <c r="AF1004" i="10"/>
  <c r="AH1004" i="32" s="1"/>
  <c r="AF1005" i="10"/>
  <c r="AH1005" i="32" s="1"/>
  <c r="AF1006" i="10"/>
  <c r="AH1006" i="32" s="1"/>
  <c r="AF1007" i="10"/>
  <c r="AH1007" i="32" s="1"/>
  <c r="AF1008" i="10"/>
  <c r="AH1008" i="32" s="1"/>
  <c r="AF1009" i="10"/>
  <c r="AH1009" i="32" s="1"/>
  <c r="AF1010" i="10"/>
  <c r="AH1010" i="32" s="1"/>
  <c r="AF1011" i="10"/>
  <c r="AH1011" i="32" s="1"/>
  <c r="AF1012" i="10"/>
  <c r="AH1012" i="32" s="1"/>
  <c r="AF1013" i="10"/>
  <c r="AH1013" i="32" s="1"/>
  <c r="AF1014" i="10"/>
  <c r="AH1014" i="32" s="1"/>
  <c r="AF1015" i="10"/>
  <c r="AH1015" i="32" s="1"/>
  <c r="AF1016" i="10"/>
  <c r="AH1016" i="32" s="1"/>
  <c r="AF1017" i="10"/>
  <c r="AH1017" i="32" s="1"/>
  <c r="AF1018" i="10"/>
  <c r="AH1018" i="32" s="1"/>
  <c r="AF1019" i="10"/>
  <c r="AH1019" i="32" s="1"/>
  <c r="AF1020" i="10"/>
  <c r="AH1020" i="32" s="1"/>
  <c r="AF1021" i="10"/>
  <c r="AH1021" i="32" s="1"/>
  <c r="AF1022" i="10"/>
  <c r="AH1022" i="32" s="1"/>
  <c r="AF1023" i="10"/>
  <c r="AH1023" i="32" s="1"/>
  <c r="AF1024" i="10"/>
  <c r="AH1024" i="32" s="1"/>
  <c r="AF1025" i="10"/>
  <c r="AH1025" i="32" s="1"/>
  <c r="AF1026" i="10"/>
  <c r="AH1026" i="32" s="1"/>
  <c r="AF1027" i="10"/>
  <c r="AH1027" i="32" s="1"/>
  <c r="AF1028" i="10"/>
  <c r="AH1028" i="32" s="1"/>
  <c r="AF1029" i="10"/>
  <c r="AH1029" i="32" s="1"/>
  <c r="AF1030" i="10"/>
  <c r="AH1030" i="32" s="1"/>
  <c r="AF1031" i="10"/>
  <c r="AH1031" i="32" s="1"/>
  <c r="AF1034" i="10"/>
  <c r="AH1034" i="32" s="1"/>
  <c r="AF1035" i="10"/>
  <c r="AH1035" i="32" s="1"/>
  <c r="AF1036" i="10"/>
  <c r="AH1036" i="32" s="1"/>
  <c r="AF1037" i="10"/>
  <c r="AH1037" i="32" s="1"/>
  <c r="AF1038" i="10"/>
  <c r="AH1038" i="32" s="1"/>
  <c r="AF1039" i="10"/>
  <c r="AH1039" i="32" s="1"/>
  <c r="AF1040" i="10"/>
  <c r="AF1041" i="10"/>
  <c r="AH1041" i="32" s="1"/>
  <c r="AF1042" i="10"/>
  <c r="AH1042" i="32" s="1"/>
  <c r="AF1043" i="10"/>
  <c r="AH1043" i="32" s="1"/>
  <c r="AF1044" i="10"/>
  <c r="AH1044" i="32" s="1"/>
  <c r="AF1045" i="10"/>
  <c r="AH1045" i="32" s="1"/>
  <c r="AF1046" i="10"/>
  <c r="AH1046" i="32" s="1"/>
  <c r="AF1047" i="10"/>
  <c r="AH1047" i="32" s="1"/>
  <c r="AF1048" i="10"/>
  <c r="AH1048" i="32" s="1"/>
  <c r="AF1049" i="10"/>
  <c r="AH1049" i="32" s="1"/>
  <c r="AF1050" i="10"/>
  <c r="AH1050" i="32" s="1"/>
  <c r="AF1051" i="10"/>
  <c r="AF1052" i="10"/>
  <c r="AH1052" i="32" s="1"/>
  <c r="AF1053" i="10"/>
  <c r="AH1053" i="32" s="1"/>
  <c r="AF1054" i="10"/>
  <c r="AH1054" i="32" s="1"/>
  <c r="AF1055" i="10"/>
  <c r="AH1055" i="32" s="1"/>
  <c r="AF1056" i="10"/>
  <c r="AH1056" i="32" s="1"/>
  <c r="AF1057" i="10"/>
  <c r="AH1057" i="32" s="1"/>
  <c r="AF1058" i="10"/>
  <c r="AH1058" i="32" s="1"/>
  <c r="AF1059" i="10"/>
  <c r="AH1059" i="32" s="1"/>
  <c r="AF1060" i="10"/>
  <c r="AH1060" i="32" s="1"/>
  <c r="AF1061" i="10"/>
  <c r="AH1061" i="32" s="1"/>
  <c r="AF1062" i="10"/>
  <c r="AH1062" i="32" s="1"/>
  <c r="AF1063" i="10"/>
  <c r="AH1063" i="32" s="1"/>
  <c r="AF1064" i="10"/>
  <c r="AH1064" i="32" s="1"/>
  <c r="AF1065" i="10"/>
  <c r="AH1065" i="32" s="1"/>
  <c r="AF1066" i="10"/>
  <c r="AH1066" i="32" s="1"/>
  <c r="AF1067" i="10"/>
  <c r="AH1067" i="32" s="1"/>
  <c r="AF1068" i="10"/>
  <c r="AH1068" i="32" s="1"/>
  <c r="AF1069" i="10"/>
  <c r="AH1069" i="32" s="1"/>
  <c r="AF1070" i="10"/>
  <c r="AH1070" i="32" s="1"/>
  <c r="AF1071" i="10"/>
  <c r="AH1071" i="32" s="1"/>
  <c r="AF1072" i="10"/>
  <c r="AH1072" i="32" s="1"/>
  <c r="AF1073" i="10"/>
  <c r="AF1074" i="10"/>
  <c r="AF1075" i="10"/>
  <c r="AF1076" i="10"/>
  <c r="AH1076" i="32" s="1"/>
  <c r="AF1077" i="10"/>
  <c r="AH1077" i="32" s="1"/>
  <c r="AF1078" i="10"/>
  <c r="AH1078" i="32" s="1"/>
  <c r="AF1079" i="10"/>
  <c r="AH1079" i="32" s="1"/>
  <c r="AF1080" i="10"/>
  <c r="AH1080" i="32" s="1"/>
  <c r="AF1081" i="10"/>
  <c r="AH1081" i="32" s="1"/>
  <c r="AF1082" i="10"/>
  <c r="AH1082" i="32" s="1"/>
  <c r="AF1083" i="10"/>
  <c r="AH1083" i="32" s="1"/>
  <c r="AF1084" i="10"/>
  <c r="AH1084" i="32" s="1"/>
  <c r="AF1085" i="10"/>
  <c r="AF1086" i="10"/>
  <c r="AF1087" i="10"/>
  <c r="AF1088" i="10"/>
  <c r="AF1089" i="10"/>
  <c r="AH1089" i="32" s="1"/>
  <c r="AF1090" i="10"/>
  <c r="AH1090" i="32" s="1"/>
  <c r="AF1091" i="10"/>
  <c r="AH1091" i="32" s="1"/>
  <c r="AF1092" i="10"/>
  <c r="AH1092" i="32" s="1"/>
  <c r="AF1093" i="10"/>
  <c r="AH1093" i="32" s="1"/>
  <c r="AF1094" i="10"/>
  <c r="AH1094" i="32" s="1"/>
  <c r="AF1095" i="10"/>
  <c r="AH1095" i="32" s="1"/>
  <c r="AF1096" i="10"/>
  <c r="AH1096" i="32" s="1"/>
  <c r="AF1097" i="10"/>
  <c r="AF1098" i="10"/>
  <c r="AF1099" i="10"/>
  <c r="AH1099" i="32" s="1"/>
  <c r="AF1100" i="10"/>
  <c r="AH1100" i="32" s="1"/>
  <c r="AF1101" i="10"/>
  <c r="AH1101" i="32" s="1"/>
  <c r="AF1102" i="10"/>
  <c r="AH1102" i="32" s="1"/>
  <c r="AF1103" i="10"/>
  <c r="AH1103" i="32" s="1"/>
  <c r="AF1104" i="10"/>
  <c r="AH1104" i="32" s="1"/>
  <c r="AF1105" i="10"/>
  <c r="AH1105" i="32" s="1"/>
  <c r="AF1106" i="10"/>
  <c r="AH1106" i="32" s="1"/>
  <c r="AF1107" i="10"/>
  <c r="AH1107" i="32" s="1"/>
  <c r="AF1108" i="10"/>
  <c r="AH1108" i="32" s="1"/>
  <c r="AF1109" i="10"/>
  <c r="AH1109" i="32" s="1"/>
  <c r="AF1110" i="10"/>
  <c r="AH1110" i="32" s="1"/>
  <c r="AF1111" i="10"/>
  <c r="AH1111" i="32" s="1"/>
  <c r="AF1112" i="10"/>
  <c r="AH1112" i="32" s="1"/>
  <c r="AF1113" i="10"/>
  <c r="AH1113" i="32" s="1"/>
  <c r="AF1114" i="10"/>
  <c r="AH1114" i="32" s="1"/>
  <c r="AF1115" i="10"/>
  <c r="AH1115" i="32" s="1"/>
  <c r="AF1116" i="10"/>
  <c r="AH1116" i="32" s="1"/>
  <c r="AF1117" i="10"/>
  <c r="AH1117" i="32" s="1"/>
  <c r="AF1118" i="10"/>
  <c r="AH1118" i="32" s="1"/>
  <c r="AF1119" i="10"/>
  <c r="AH1119" i="32" s="1"/>
  <c r="AF1120" i="10"/>
  <c r="AH1120" i="32" s="1"/>
  <c r="AF1123" i="10"/>
  <c r="AH1123" i="32" s="1"/>
  <c r="AF1124" i="10"/>
  <c r="AH1124" i="32" s="1"/>
  <c r="AF1125" i="10"/>
  <c r="AH1125" i="32" s="1"/>
  <c r="AF1126" i="10"/>
  <c r="AH1126" i="32" s="1"/>
  <c r="AF1127" i="10"/>
  <c r="AH1127" i="32" s="1"/>
  <c r="AF1128" i="10"/>
  <c r="AH1128" i="32" s="1"/>
  <c r="AF1129" i="10"/>
  <c r="AF1130" i="10"/>
  <c r="AF1131" i="10"/>
  <c r="AH1131" i="32" s="1"/>
  <c r="AF1132" i="10"/>
  <c r="AH1132" i="32" s="1"/>
  <c r="AF1133" i="10"/>
  <c r="AH1133" i="32" s="1"/>
  <c r="AF1134" i="10"/>
  <c r="AH1134" i="32" s="1"/>
  <c r="AF1135" i="10"/>
  <c r="AH1135" i="32" s="1"/>
  <c r="AF1136" i="10"/>
  <c r="AH1136" i="32" s="1"/>
  <c r="AF1137" i="10"/>
  <c r="AH1137" i="32" s="1"/>
  <c r="AF1138" i="10"/>
  <c r="AH1138" i="32" s="1"/>
  <c r="AF1139" i="10"/>
  <c r="AH1139" i="32" s="1"/>
  <c r="AF1140" i="10"/>
  <c r="AH1140" i="32" s="1"/>
  <c r="AF1141" i="10"/>
  <c r="AH1141" i="32" s="1"/>
  <c r="AF1142" i="10"/>
  <c r="AH1142" i="32" s="1"/>
  <c r="AF1143" i="10"/>
  <c r="AH1143" i="32" s="1"/>
  <c r="AF1144" i="10"/>
  <c r="AH1144" i="32" s="1"/>
  <c r="AF1145" i="10"/>
  <c r="AF1146" i="10"/>
  <c r="AF1147" i="10"/>
  <c r="AH1147" i="32" s="1"/>
  <c r="AF1148" i="10"/>
  <c r="AH1148" i="32" s="1"/>
  <c r="AF1149" i="10"/>
  <c r="AF1150" i="10"/>
  <c r="AF1151" i="10"/>
  <c r="AH1151" i="32" s="1"/>
  <c r="AF1152" i="10"/>
  <c r="AH1152" i="32" s="1"/>
  <c r="AF1153" i="10"/>
  <c r="AH1153" i="32" s="1"/>
  <c r="AF1154" i="10"/>
  <c r="AH1154" i="32" s="1"/>
  <c r="AF1155" i="10"/>
  <c r="AH1155" i="32" s="1"/>
  <c r="AF1156" i="10"/>
  <c r="AH1156" i="32" s="1"/>
  <c r="AF1157" i="10"/>
  <c r="AF1158" i="10"/>
  <c r="AF1159" i="10"/>
  <c r="AF1160" i="10"/>
  <c r="AF1161" i="10"/>
  <c r="AH1161" i="32" s="1"/>
  <c r="AF1162" i="10"/>
  <c r="AH1162" i="32" s="1"/>
  <c r="AF1163" i="10"/>
  <c r="AH1163" i="32" s="1"/>
  <c r="AF1164" i="10"/>
  <c r="AH1164" i="32" s="1"/>
  <c r="AF1165" i="10"/>
  <c r="AH1165" i="32" s="1"/>
  <c r="AF1166" i="10"/>
  <c r="AH1166" i="32" s="1"/>
  <c r="AF1167" i="10"/>
  <c r="AH1167" i="32" s="1"/>
  <c r="AF1168" i="10"/>
  <c r="AH1168" i="32" s="1"/>
  <c r="AF1169" i="10"/>
  <c r="AF1170" i="10"/>
  <c r="AF1171" i="10"/>
  <c r="AH1171" i="32" s="1"/>
  <c r="AF1172" i="10"/>
  <c r="AH1172" i="32" s="1"/>
  <c r="AF1173" i="10"/>
  <c r="AH1173" i="32" s="1"/>
  <c r="AF1174" i="10"/>
  <c r="AH1174" i="32" s="1"/>
  <c r="AF1175" i="10"/>
  <c r="AH1175" i="32" s="1"/>
  <c r="AF1176" i="10"/>
  <c r="AH1176" i="32" s="1"/>
  <c r="AF1177" i="10"/>
  <c r="AH1177" i="32" s="1"/>
  <c r="AF1178" i="10"/>
  <c r="AH1178" i="32" s="1"/>
  <c r="AF1179" i="10"/>
  <c r="AH1179" i="32" s="1"/>
  <c r="AF1180" i="10"/>
  <c r="AH1180" i="32" s="1"/>
  <c r="AF1181" i="10"/>
  <c r="AH1181" i="32" s="1"/>
  <c r="AF1182" i="10"/>
  <c r="AH1182" i="32" s="1"/>
  <c r="AF1183" i="10"/>
  <c r="AH1183" i="32" s="1"/>
  <c r="AF1184" i="10"/>
  <c r="AH1184" i="32" s="1"/>
  <c r="AF1185" i="10"/>
  <c r="AH1185" i="32" s="1"/>
  <c r="AF1186" i="10"/>
  <c r="AH1186" i="32" s="1"/>
  <c r="AF1187" i="10"/>
  <c r="AH1187" i="32" s="1"/>
  <c r="AF1188" i="10"/>
  <c r="AH1188" i="32" s="1"/>
  <c r="AF1189" i="10"/>
  <c r="AH1189" i="32" s="1"/>
  <c r="AF1190" i="10"/>
  <c r="AH1190" i="32" s="1"/>
  <c r="AF1191" i="10"/>
  <c r="AH1191" i="32" s="1"/>
  <c r="AF1192" i="10"/>
  <c r="AH1192" i="32" s="1"/>
  <c r="AF1195" i="10"/>
  <c r="AH1195" i="32" s="1"/>
  <c r="AF1196" i="10"/>
  <c r="AH1196" i="32" s="1"/>
  <c r="AF1197" i="10"/>
  <c r="AH1197" i="32" s="1"/>
  <c r="AF1198" i="10"/>
  <c r="AH1198" i="32" s="1"/>
  <c r="AF1199" i="10"/>
  <c r="AH1199" i="32" s="1"/>
  <c r="AF1200" i="10"/>
  <c r="AH1200" i="32" s="1"/>
  <c r="AF1201" i="10"/>
  <c r="AH1201" i="32" s="1"/>
  <c r="AF1202" i="10"/>
  <c r="AH1202" i="32" s="1"/>
  <c r="AF1203" i="10"/>
  <c r="AH1203" i="32" s="1"/>
  <c r="AF1204" i="10"/>
  <c r="AH1204" i="32" s="1"/>
  <c r="AF1205" i="10"/>
  <c r="AF1206" i="10"/>
  <c r="AH1206" i="32" s="1"/>
  <c r="AF1207" i="10"/>
  <c r="AH1207" i="32" s="1"/>
  <c r="AF1208" i="10"/>
  <c r="AF1209" i="10"/>
  <c r="AH1209" i="32" s="1"/>
  <c r="AF1210" i="10"/>
  <c r="AH1210" i="32" s="1"/>
  <c r="AF1211" i="10"/>
  <c r="AH1211" i="32" s="1"/>
  <c r="AF1212" i="10"/>
  <c r="AH1212" i="32" s="1"/>
  <c r="AF1213" i="10"/>
  <c r="AH1213" i="32" s="1"/>
  <c r="AF1214" i="10"/>
  <c r="AH1214" i="32" s="1"/>
  <c r="AF1215" i="10"/>
  <c r="AH1215" i="32" s="1"/>
  <c r="AF1216" i="10"/>
  <c r="AH1216" i="32" s="1"/>
  <c r="AF1217" i="10"/>
  <c r="AH1217" i="32" s="1"/>
  <c r="AF1218" i="10"/>
  <c r="AH1218" i="32" s="1"/>
  <c r="AF1219" i="10"/>
  <c r="AH1219" i="32" s="1"/>
  <c r="AF1220" i="10"/>
  <c r="AH1220" i="32" s="1"/>
  <c r="AF1221" i="10"/>
  <c r="AF1222" i="10"/>
  <c r="AF1223" i="10"/>
  <c r="AH1223" i="32" s="1"/>
  <c r="AF1224" i="10"/>
  <c r="AH1224" i="32" s="1"/>
  <c r="AF1225" i="10"/>
  <c r="AH1225" i="32" s="1"/>
  <c r="AF1226" i="10"/>
  <c r="AH1226" i="32" s="1"/>
  <c r="AF1227" i="10"/>
  <c r="AH1227" i="32" s="1"/>
  <c r="AF1228" i="10"/>
  <c r="AH1228" i="32" s="1"/>
  <c r="AF1229" i="10"/>
  <c r="AF1230" i="10"/>
  <c r="R283" i="9"/>
  <c r="R285" i="9"/>
  <c r="R287" i="9"/>
  <c r="R289" i="9"/>
  <c r="R291" i="9"/>
  <c r="R293" i="9"/>
  <c r="R295" i="9"/>
  <c r="R297" i="9"/>
  <c r="R299" i="9"/>
  <c r="R301" i="9"/>
  <c r="R303" i="9"/>
  <c r="R241" i="9"/>
  <c r="R243" i="9"/>
  <c r="R245" i="9"/>
  <c r="R247" i="9"/>
  <c r="R249" i="9"/>
  <c r="R251" i="9"/>
  <c r="R253" i="9"/>
  <c r="R255" i="9"/>
  <c r="R257" i="9"/>
  <c r="R259" i="9"/>
  <c r="R261" i="9"/>
  <c r="R263" i="9"/>
  <c r="R265" i="9"/>
  <c r="R267" i="9"/>
  <c r="R269" i="9"/>
  <c r="R271" i="9"/>
  <c r="R273" i="9"/>
  <c r="R281" i="9"/>
  <c r="R279" i="9"/>
  <c r="R277" i="9"/>
  <c r="R275" i="9"/>
  <c r="R239" i="7"/>
  <c r="R241" i="7"/>
  <c r="R243" i="7"/>
  <c r="R245" i="7"/>
  <c r="R247" i="7"/>
  <c r="R249" i="7"/>
  <c r="R251" i="7"/>
  <c r="R253" i="7"/>
  <c r="R255" i="7"/>
  <c r="R257" i="7"/>
  <c r="R259" i="7"/>
  <c r="R261" i="7"/>
  <c r="R263" i="7"/>
  <c r="R265" i="7"/>
  <c r="R267" i="7"/>
  <c r="R269" i="7"/>
  <c r="R271" i="7"/>
  <c r="R273" i="7"/>
  <c r="R275" i="7"/>
  <c r="R277" i="7"/>
  <c r="R279" i="7"/>
  <c r="R281" i="7"/>
  <c r="R283" i="7"/>
  <c r="R285" i="7"/>
  <c r="R287" i="7"/>
  <c r="R289" i="7"/>
  <c r="R291" i="7"/>
  <c r="R293" i="7"/>
  <c r="R295" i="7"/>
  <c r="R297" i="7"/>
  <c r="R299" i="7"/>
  <c r="R301" i="7"/>
  <c r="R303" i="7"/>
  <c r="R237" i="4"/>
  <c r="R241" i="4"/>
  <c r="R243" i="4"/>
  <c r="R245" i="4"/>
  <c r="R247" i="4"/>
  <c r="R249" i="4"/>
  <c r="R251" i="4"/>
  <c r="R253" i="4"/>
  <c r="R255" i="4"/>
  <c r="R257" i="4"/>
  <c r="R259" i="4"/>
  <c r="R261" i="4"/>
  <c r="R263" i="4"/>
  <c r="R265" i="4"/>
  <c r="R267" i="4"/>
  <c r="R269" i="4"/>
  <c r="R271" i="4"/>
  <c r="R273" i="4"/>
  <c r="R275" i="4"/>
  <c r="R277" i="4"/>
  <c r="R279" i="4"/>
  <c r="R281" i="4"/>
  <c r="R283" i="4"/>
  <c r="R285" i="4"/>
  <c r="R287" i="4"/>
  <c r="R289" i="4"/>
  <c r="R291" i="4"/>
  <c r="R293" i="4"/>
  <c r="R295" i="4"/>
  <c r="R297" i="4"/>
  <c r="R299" i="4"/>
  <c r="R301" i="4"/>
  <c r="R303" i="4"/>
  <c r="U303" i="3"/>
  <c r="U301" i="3"/>
  <c r="U299" i="3"/>
  <c r="U297" i="3"/>
  <c r="U295" i="3"/>
  <c r="U293" i="3"/>
  <c r="U291" i="3"/>
  <c r="U289" i="3"/>
  <c r="U287" i="3"/>
  <c r="U285" i="3"/>
  <c r="U283" i="3"/>
  <c r="U281" i="3"/>
  <c r="U279" i="3"/>
  <c r="U277" i="3"/>
  <c r="U275" i="3"/>
  <c r="U273" i="3"/>
  <c r="U271" i="3"/>
  <c r="U269" i="3"/>
  <c r="U267" i="3"/>
  <c r="U265" i="3"/>
  <c r="U263" i="3"/>
  <c r="U261" i="3"/>
  <c r="U259" i="3"/>
  <c r="U257" i="3"/>
  <c r="U255" i="3"/>
  <c r="U253" i="3"/>
  <c r="U251" i="3"/>
  <c r="U249" i="3"/>
  <c r="U247" i="3"/>
  <c r="U245" i="3"/>
  <c r="U243" i="3"/>
  <c r="U241" i="3"/>
  <c r="U239" i="3"/>
  <c r="S303" i="3"/>
  <c r="S301" i="3"/>
  <c r="S299" i="3"/>
  <c r="S297" i="3"/>
  <c r="S295" i="3"/>
  <c r="S293" i="3"/>
  <c r="S291" i="3"/>
  <c r="S289" i="3"/>
  <c r="S287" i="3"/>
  <c r="S285" i="3"/>
  <c r="S283" i="3"/>
  <c r="S281" i="3"/>
  <c r="S279" i="3"/>
  <c r="S277" i="3"/>
  <c r="S275" i="3"/>
  <c r="S273" i="3"/>
  <c r="S271" i="3"/>
  <c r="S269" i="3"/>
  <c r="S267" i="3"/>
  <c r="S265" i="3"/>
  <c r="S263" i="3"/>
  <c r="S261" i="3"/>
  <c r="S259" i="3"/>
  <c r="S257" i="3"/>
  <c r="S255" i="3"/>
  <c r="S253" i="3"/>
  <c r="S251" i="3"/>
  <c r="S249" i="3"/>
  <c r="S247" i="3"/>
  <c r="S245" i="3"/>
  <c r="S243" i="3"/>
  <c r="S241" i="3"/>
  <c r="S239" i="3"/>
  <c r="Q241" i="3"/>
  <c r="S1090" i="10" s="1"/>
  <c r="Q243" i="3"/>
  <c r="S988" i="10" s="1"/>
  <c r="Q245" i="3"/>
  <c r="Q247" i="3"/>
  <c r="Q249" i="3"/>
  <c r="Q251" i="3"/>
  <c r="Q253" i="3"/>
  <c r="Q255" i="3"/>
  <c r="Q257" i="3"/>
  <c r="Q259" i="3"/>
  <c r="Q261" i="3"/>
  <c r="Q263" i="3"/>
  <c r="Q265" i="3"/>
  <c r="Q267" i="3"/>
  <c r="Q269" i="3"/>
  <c r="S1190" i="10" s="1"/>
  <c r="Q271" i="3"/>
  <c r="S1192" i="10" s="1"/>
  <c r="Q273" i="3"/>
  <c r="Q275" i="3"/>
  <c r="Q277" i="3"/>
  <c r="Q279" i="3"/>
  <c r="Q281" i="3"/>
  <c r="Q283" i="3"/>
  <c r="Q285" i="3"/>
  <c r="S1054" i="10" s="1"/>
  <c r="Q287" i="3"/>
  <c r="Q289" i="3"/>
  <c r="S1140" i="10" s="1"/>
  <c r="Q291" i="3"/>
  <c r="Q293" i="3"/>
  <c r="Q295" i="3"/>
  <c r="S1069" i="10" s="1"/>
  <c r="Q297" i="3"/>
  <c r="Q299" i="3"/>
  <c r="Q301" i="3"/>
  <c r="Q303" i="3"/>
  <c r="S1154" i="10" s="1"/>
  <c r="S1084" i="10"/>
  <c r="C287" i="3"/>
  <c r="C287" i="28" s="1"/>
  <c r="D287" i="3"/>
  <c r="D287" i="28" s="1"/>
  <c r="E287" i="3"/>
  <c r="E287" i="28" s="1"/>
  <c r="F287" i="3"/>
  <c r="F287" i="28" s="1"/>
  <c r="G287" i="3"/>
  <c r="G287" i="28" s="1"/>
  <c r="H287" i="3"/>
  <c r="H287" i="28" s="1"/>
  <c r="I287" i="3"/>
  <c r="I287" i="28" s="1"/>
  <c r="J287" i="3"/>
  <c r="J287" i="28" s="1"/>
  <c r="K287" i="3"/>
  <c r="K287" i="28" s="1"/>
  <c r="L287" i="3"/>
  <c r="L287" i="28" s="1"/>
  <c r="M287" i="3"/>
  <c r="M287" i="28" s="1"/>
  <c r="N287" i="3"/>
  <c r="N287" i="9" s="1"/>
  <c r="O287" i="3"/>
  <c r="O287" i="9" s="1"/>
  <c r="C289" i="3"/>
  <c r="C289" i="28" s="1"/>
  <c r="D289" i="3"/>
  <c r="D289" i="28" s="1"/>
  <c r="E289" i="3"/>
  <c r="E289" i="28" s="1"/>
  <c r="F289" i="3"/>
  <c r="F289" i="28" s="1"/>
  <c r="G289" i="3"/>
  <c r="G289" i="28" s="1"/>
  <c r="H289" i="3"/>
  <c r="H289" i="28" s="1"/>
  <c r="I289" i="3"/>
  <c r="I289" i="28" s="1"/>
  <c r="J289" i="3"/>
  <c r="J289" i="28" s="1"/>
  <c r="K289" i="3"/>
  <c r="K289" i="28" s="1"/>
  <c r="L289" i="3"/>
  <c r="L289" i="28" s="1"/>
  <c r="M289" i="3"/>
  <c r="M289" i="28" s="1"/>
  <c r="N289" i="3"/>
  <c r="N290" i="3" s="1"/>
  <c r="N290" i="7" s="1"/>
  <c r="O289" i="3"/>
  <c r="O289" i="4" s="1"/>
  <c r="C291" i="3"/>
  <c r="C291" i="28" s="1"/>
  <c r="D291" i="3"/>
  <c r="D291" i="28" s="1"/>
  <c r="E291" i="3"/>
  <c r="E291" i="28" s="1"/>
  <c r="F291" i="3"/>
  <c r="F291" i="28" s="1"/>
  <c r="G291" i="3"/>
  <c r="G291" i="28" s="1"/>
  <c r="H291" i="3"/>
  <c r="H291" i="28" s="1"/>
  <c r="I291" i="3"/>
  <c r="I291" i="28" s="1"/>
  <c r="J291" i="3"/>
  <c r="J291" i="28" s="1"/>
  <c r="K291" i="3"/>
  <c r="K291" i="28" s="1"/>
  <c r="L291" i="3"/>
  <c r="L291" i="28" s="1"/>
  <c r="M291" i="3"/>
  <c r="M291" i="28" s="1"/>
  <c r="N291" i="3"/>
  <c r="N291" i="9" s="1"/>
  <c r="O291" i="3"/>
  <c r="O291" i="7" s="1"/>
  <c r="C293" i="3"/>
  <c r="C293" i="28" s="1"/>
  <c r="D293" i="3"/>
  <c r="D293" i="28" s="1"/>
  <c r="E293" i="3"/>
  <c r="E293" i="28" s="1"/>
  <c r="F293" i="3"/>
  <c r="F293" i="28" s="1"/>
  <c r="G293" i="3"/>
  <c r="G293" i="28" s="1"/>
  <c r="H293" i="3"/>
  <c r="H293" i="28" s="1"/>
  <c r="I293" i="3"/>
  <c r="I293" i="28" s="1"/>
  <c r="J293" i="3"/>
  <c r="J293" i="28" s="1"/>
  <c r="K293" i="3"/>
  <c r="K293" i="28" s="1"/>
  <c r="L293" i="3"/>
  <c r="L293" i="28" s="1"/>
  <c r="M293" i="3"/>
  <c r="M293" i="28" s="1"/>
  <c r="N293" i="3"/>
  <c r="N293" i="4" s="1"/>
  <c r="O293" i="3"/>
  <c r="O293" i="9" s="1"/>
  <c r="C295" i="3"/>
  <c r="C295" i="28" s="1"/>
  <c r="D295" i="3"/>
  <c r="D295" i="28" s="1"/>
  <c r="E295" i="3"/>
  <c r="E295" i="28" s="1"/>
  <c r="F295" i="3"/>
  <c r="F295" i="28" s="1"/>
  <c r="G295" i="3"/>
  <c r="G295" i="28" s="1"/>
  <c r="H295" i="3"/>
  <c r="H295" i="28" s="1"/>
  <c r="I295" i="3"/>
  <c r="I295" i="28" s="1"/>
  <c r="J295" i="3"/>
  <c r="J295" i="28" s="1"/>
  <c r="K295" i="3"/>
  <c r="K295" i="28" s="1"/>
  <c r="L295" i="3"/>
  <c r="L295" i="28" s="1"/>
  <c r="M295" i="3"/>
  <c r="M295" i="28" s="1"/>
  <c r="N295" i="3"/>
  <c r="N295" i="9" s="1"/>
  <c r="O295" i="3"/>
  <c r="O296" i="3" s="1"/>
  <c r="C297" i="3"/>
  <c r="C297" i="28" s="1"/>
  <c r="D297" i="3"/>
  <c r="D297" i="28" s="1"/>
  <c r="E297" i="3"/>
  <c r="E297" i="28" s="1"/>
  <c r="F297" i="3"/>
  <c r="F297" i="28" s="1"/>
  <c r="G297" i="3"/>
  <c r="G297" i="28" s="1"/>
  <c r="H297" i="3"/>
  <c r="H297" i="28" s="1"/>
  <c r="I297" i="3"/>
  <c r="I297" i="28" s="1"/>
  <c r="J297" i="3"/>
  <c r="J297" i="28" s="1"/>
  <c r="K297" i="3"/>
  <c r="K297" i="28" s="1"/>
  <c r="L297" i="3"/>
  <c r="L297" i="28" s="1"/>
  <c r="M297" i="3"/>
  <c r="M297" i="28" s="1"/>
  <c r="N297" i="3"/>
  <c r="N298" i="3" s="1"/>
  <c r="N298" i="4" s="1"/>
  <c r="O297" i="3"/>
  <c r="O297" i="7" s="1"/>
  <c r="C299" i="3"/>
  <c r="C299" i="28" s="1"/>
  <c r="D299" i="3"/>
  <c r="D299" i="28" s="1"/>
  <c r="E299" i="3"/>
  <c r="E299" i="28" s="1"/>
  <c r="F299" i="3"/>
  <c r="F299" i="28" s="1"/>
  <c r="G299" i="3"/>
  <c r="G299" i="28" s="1"/>
  <c r="H299" i="3"/>
  <c r="H299" i="28" s="1"/>
  <c r="I299" i="3"/>
  <c r="I299" i="28" s="1"/>
  <c r="J299" i="3"/>
  <c r="J299" i="28" s="1"/>
  <c r="K299" i="3"/>
  <c r="K299" i="28" s="1"/>
  <c r="L299" i="3"/>
  <c r="L299" i="28" s="1"/>
  <c r="M299" i="3"/>
  <c r="M299" i="28" s="1"/>
  <c r="N299" i="3"/>
  <c r="N299" i="9" s="1"/>
  <c r="O299" i="3"/>
  <c r="O299" i="9" s="1"/>
  <c r="C301" i="3"/>
  <c r="C301" i="28" s="1"/>
  <c r="D301" i="3"/>
  <c r="D301" i="28" s="1"/>
  <c r="E301" i="3"/>
  <c r="E301" i="28" s="1"/>
  <c r="F301" i="3"/>
  <c r="F301" i="28" s="1"/>
  <c r="G301" i="3"/>
  <c r="G301" i="28" s="1"/>
  <c r="H301" i="3"/>
  <c r="H301" i="28" s="1"/>
  <c r="I301" i="3"/>
  <c r="I301" i="28" s="1"/>
  <c r="J301" i="3"/>
  <c r="J301" i="28" s="1"/>
  <c r="K301" i="3"/>
  <c r="K301" i="28" s="1"/>
  <c r="L301" i="3"/>
  <c r="L301" i="28" s="1"/>
  <c r="M301" i="3"/>
  <c r="M301" i="28" s="1"/>
  <c r="N301" i="3"/>
  <c r="N302" i="3" s="1"/>
  <c r="N302" i="4" s="1"/>
  <c r="O301" i="3"/>
  <c r="O302" i="3" s="1"/>
  <c r="O302" i="4" s="1"/>
  <c r="C303" i="3"/>
  <c r="C303" i="28" s="1"/>
  <c r="D303" i="3"/>
  <c r="D303" i="28" s="1"/>
  <c r="E303" i="3"/>
  <c r="E303" i="28" s="1"/>
  <c r="F303" i="3"/>
  <c r="F303" i="28" s="1"/>
  <c r="G303" i="3"/>
  <c r="G303" i="28" s="1"/>
  <c r="H303" i="3"/>
  <c r="H303" i="28" s="1"/>
  <c r="I303" i="3"/>
  <c r="I303" i="28" s="1"/>
  <c r="J303" i="3"/>
  <c r="J303" i="28" s="1"/>
  <c r="K303" i="3"/>
  <c r="K303" i="28" s="1"/>
  <c r="L303" i="3"/>
  <c r="L303" i="28" s="1"/>
  <c r="M303" i="3"/>
  <c r="M303" i="28" s="1"/>
  <c r="N303" i="3"/>
  <c r="N303" i="7" s="1"/>
  <c r="O303" i="3"/>
  <c r="O303" i="7" s="1"/>
  <c r="C305" i="3"/>
  <c r="C305" i="28" s="1"/>
  <c r="D305" i="3"/>
  <c r="D305" i="28" s="1"/>
  <c r="E305" i="3"/>
  <c r="E305" i="28" s="1"/>
  <c r="F305" i="3"/>
  <c r="F305" i="28" s="1"/>
  <c r="G305" i="3"/>
  <c r="G305" i="28" s="1"/>
  <c r="H305" i="3"/>
  <c r="H305" i="28" s="1"/>
  <c r="I305" i="3"/>
  <c r="I305" i="28" s="1"/>
  <c r="J305" i="3"/>
  <c r="J305" i="28" s="1"/>
  <c r="K305" i="3"/>
  <c r="K305" i="28" s="1"/>
  <c r="L305" i="3"/>
  <c r="L305" i="28" s="1"/>
  <c r="M305" i="3"/>
  <c r="M305" i="28" s="1"/>
  <c r="N305" i="3"/>
  <c r="N306" i="3" s="1"/>
  <c r="N306" i="4" s="1"/>
  <c r="O305" i="3"/>
  <c r="O305" i="9" s="1"/>
  <c r="C245" i="3"/>
  <c r="C245" i="28" s="1"/>
  <c r="D245" i="3"/>
  <c r="D245" i="28" s="1"/>
  <c r="E245" i="3"/>
  <c r="E245" i="28" s="1"/>
  <c r="F245" i="3"/>
  <c r="F245" i="28" s="1"/>
  <c r="G245" i="3"/>
  <c r="G245" i="28" s="1"/>
  <c r="H245" i="3"/>
  <c r="H245" i="28" s="1"/>
  <c r="I245" i="3"/>
  <c r="I245" i="28" s="1"/>
  <c r="J245" i="3"/>
  <c r="J245" i="28" s="1"/>
  <c r="K245" i="3"/>
  <c r="K245" i="28" s="1"/>
  <c r="L245" i="3"/>
  <c r="L245" i="28" s="1"/>
  <c r="M245" i="3"/>
  <c r="M245" i="28" s="1"/>
  <c r="N245" i="3"/>
  <c r="N245" i="9" s="1"/>
  <c r="O245" i="3"/>
  <c r="O245" i="7" s="1"/>
  <c r="C247" i="3"/>
  <c r="C247" i="28" s="1"/>
  <c r="D247" i="3"/>
  <c r="D247" i="28" s="1"/>
  <c r="E247" i="3"/>
  <c r="E247" i="28" s="1"/>
  <c r="F247" i="3"/>
  <c r="F247" i="28" s="1"/>
  <c r="G247" i="3"/>
  <c r="G247" i="28" s="1"/>
  <c r="H247" i="3"/>
  <c r="H247" i="28" s="1"/>
  <c r="I247" i="3"/>
  <c r="I247" i="28" s="1"/>
  <c r="J247" i="3"/>
  <c r="J247" i="28" s="1"/>
  <c r="K247" i="3"/>
  <c r="K247" i="28" s="1"/>
  <c r="L247" i="3"/>
  <c r="L247" i="28" s="1"/>
  <c r="M247" i="3"/>
  <c r="M247" i="28" s="1"/>
  <c r="N247" i="3"/>
  <c r="N247" i="9" s="1"/>
  <c r="O247" i="3"/>
  <c r="O247" i="9" s="1"/>
  <c r="C249" i="3"/>
  <c r="C249" i="28" s="1"/>
  <c r="D249" i="3"/>
  <c r="D249" i="28" s="1"/>
  <c r="E249" i="3"/>
  <c r="E249" i="28" s="1"/>
  <c r="F249" i="3"/>
  <c r="F249" i="28" s="1"/>
  <c r="G249" i="3"/>
  <c r="G249" i="28" s="1"/>
  <c r="H249" i="3"/>
  <c r="H249" i="28" s="1"/>
  <c r="I249" i="3"/>
  <c r="I249" i="28" s="1"/>
  <c r="J249" i="3"/>
  <c r="J249" i="28" s="1"/>
  <c r="K249" i="3"/>
  <c r="K249" i="28" s="1"/>
  <c r="L249" i="3"/>
  <c r="L249" i="28" s="1"/>
  <c r="M249" i="3"/>
  <c r="M249" i="28" s="1"/>
  <c r="N249" i="3"/>
  <c r="N250" i="3" s="1"/>
  <c r="O249" i="3"/>
  <c r="O250" i="3" s="1"/>
  <c r="C251" i="3"/>
  <c r="C251" i="28" s="1"/>
  <c r="D251" i="3"/>
  <c r="D251" i="28" s="1"/>
  <c r="E251" i="3"/>
  <c r="E251" i="28" s="1"/>
  <c r="F251" i="3"/>
  <c r="F251" i="28" s="1"/>
  <c r="G251" i="3"/>
  <c r="G251" i="28" s="1"/>
  <c r="H251" i="3"/>
  <c r="H251" i="28" s="1"/>
  <c r="I251" i="3"/>
  <c r="I251" i="28" s="1"/>
  <c r="J251" i="3"/>
  <c r="J251" i="28" s="1"/>
  <c r="K251" i="3"/>
  <c r="K251" i="28" s="1"/>
  <c r="L251" i="3"/>
  <c r="L251" i="28" s="1"/>
  <c r="M251" i="3"/>
  <c r="M251" i="28" s="1"/>
  <c r="N251" i="3"/>
  <c r="N252" i="3" s="1"/>
  <c r="N252" i="7" s="1"/>
  <c r="O251" i="3"/>
  <c r="O252" i="3" s="1"/>
  <c r="O252" i="4" s="1"/>
  <c r="C253" i="3"/>
  <c r="C253" i="28" s="1"/>
  <c r="D253" i="3"/>
  <c r="D253" i="28" s="1"/>
  <c r="E253" i="3"/>
  <c r="E253" i="28" s="1"/>
  <c r="F253" i="3"/>
  <c r="F253" i="28" s="1"/>
  <c r="G253" i="3"/>
  <c r="G253" i="28" s="1"/>
  <c r="H253" i="3"/>
  <c r="H253" i="28" s="1"/>
  <c r="I253" i="3"/>
  <c r="I253" i="28" s="1"/>
  <c r="J253" i="3"/>
  <c r="J253" i="28" s="1"/>
  <c r="K253" i="3"/>
  <c r="K253" i="28" s="1"/>
  <c r="L253" i="3"/>
  <c r="L253" i="28" s="1"/>
  <c r="M253" i="3"/>
  <c r="M253" i="28" s="1"/>
  <c r="N253" i="3"/>
  <c r="N253" i="7" s="1"/>
  <c r="O253" i="3"/>
  <c r="O253" i="7" s="1"/>
  <c r="C255" i="3"/>
  <c r="C255" i="28" s="1"/>
  <c r="D255" i="3"/>
  <c r="D255" i="28" s="1"/>
  <c r="E255" i="3"/>
  <c r="E255" i="28" s="1"/>
  <c r="F255" i="3"/>
  <c r="F255" i="28" s="1"/>
  <c r="G255" i="3"/>
  <c r="G255" i="28" s="1"/>
  <c r="H255" i="3"/>
  <c r="H255" i="28" s="1"/>
  <c r="I255" i="3"/>
  <c r="I255" i="28" s="1"/>
  <c r="J255" i="3"/>
  <c r="J255" i="28" s="1"/>
  <c r="K255" i="3"/>
  <c r="K255" i="28" s="1"/>
  <c r="L255" i="3"/>
  <c r="L255" i="28" s="1"/>
  <c r="M255" i="3"/>
  <c r="M255" i="28" s="1"/>
  <c r="N255" i="3"/>
  <c r="N255" i="9" s="1"/>
  <c r="O255" i="3"/>
  <c r="O256" i="3" s="1"/>
  <c r="C257" i="3"/>
  <c r="C257" i="28" s="1"/>
  <c r="D257" i="3"/>
  <c r="D257" i="28" s="1"/>
  <c r="E257" i="3"/>
  <c r="E257" i="28" s="1"/>
  <c r="F257" i="3"/>
  <c r="F257" i="28" s="1"/>
  <c r="G257" i="3"/>
  <c r="G257" i="28" s="1"/>
  <c r="H257" i="3"/>
  <c r="H257" i="28" s="1"/>
  <c r="I257" i="3"/>
  <c r="I257" i="28" s="1"/>
  <c r="J257" i="3"/>
  <c r="J257" i="28" s="1"/>
  <c r="K257" i="3"/>
  <c r="K257" i="28" s="1"/>
  <c r="L257" i="3"/>
  <c r="L257" i="28" s="1"/>
  <c r="M257" i="3"/>
  <c r="M257" i="28" s="1"/>
  <c r="N257" i="3"/>
  <c r="N257" i="4" s="1"/>
  <c r="O257" i="3"/>
  <c r="O258" i="3" s="1"/>
  <c r="C259" i="3"/>
  <c r="C259" i="28" s="1"/>
  <c r="D259" i="3"/>
  <c r="D259" i="28" s="1"/>
  <c r="E259" i="3"/>
  <c r="E259" i="28" s="1"/>
  <c r="F259" i="3"/>
  <c r="F259" i="28" s="1"/>
  <c r="G259" i="3"/>
  <c r="G259" i="28" s="1"/>
  <c r="H259" i="3"/>
  <c r="H259" i="28" s="1"/>
  <c r="I259" i="3"/>
  <c r="I259" i="28" s="1"/>
  <c r="J259" i="3"/>
  <c r="J259" i="28" s="1"/>
  <c r="K259" i="3"/>
  <c r="K259" i="28" s="1"/>
  <c r="L259" i="3"/>
  <c r="L259" i="28" s="1"/>
  <c r="M259" i="3"/>
  <c r="M259" i="28" s="1"/>
  <c r="N259" i="3"/>
  <c r="N259" i="4" s="1"/>
  <c r="O259" i="3"/>
  <c r="O259" i="4" s="1"/>
  <c r="C261" i="3"/>
  <c r="C261" i="28" s="1"/>
  <c r="D261" i="3"/>
  <c r="D261" i="28" s="1"/>
  <c r="E261" i="3"/>
  <c r="E261" i="28" s="1"/>
  <c r="F261" i="3"/>
  <c r="F261" i="28" s="1"/>
  <c r="G261" i="3"/>
  <c r="G261" i="28" s="1"/>
  <c r="H261" i="3"/>
  <c r="H261" i="28" s="1"/>
  <c r="I261" i="3"/>
  <c r="I261" i="28" s="1"/>
  <c r="J261" i="3"/>
  <c r="J261" i="28" s="1"/>
  <c r="K261" i="3"/>
  <c r="K261" i="28" s="1"/>
  <c r="L261" i="3"/>
  <c r="L261" i="28" s="1"/>
  <c r="M261" i="3"/>
  <c r="M261" i="28" s="1"/>
  <c r="N261" i="3"/>
  <c r="N261" i="9" s="1"/>
  <c r="O261" i="3"/>
  <c r="O261" i="9" s="1"/>
  <c r="C263" i="3"/>
  <c r="C263" i="28" s="1"/>
  <c r="D263" i="3"/>
  <c r="D263" i="28" s="1"/>
  <c r="E263" i="3"/>
  <c r="E263" i="28" s="1"/>
  <c r="F263" i="3"/>
  <c r="F263" i="28" s="1"/>
  <c r="G263" i="3"/>
  <c r="G263" i="28" s="1"/>
  <c r="H263" i="3"/>
  <c r="H263" i="28" s="1"/>
  <c r="I263" i="3"/>
  <c r="I263" i="28" s="1"/>
  <c r="J263" i="3"/>
  <c r="J263" i="28" s="1"/>
  <c r="K263" i="3"/>
  <c r="K263" i="28" s="1"/>
  <c r="L263" i="3"/>
  <c r="L263" i="28" s="1"/>
  <c r="M263" i="3"/>
  <c r="M263" i="28" s="1"/>
  <c r="N263" i="3"/>
  <c r="N263" i="7" s="1"/>
  <c r="O263" i="3"/>
  <c r="O263" i="9" s="1"/>
  <c r="C265" i="3"/>
  <c r="C265" i="28" s="1"/>
  <c r="D265" i="3"/>
  <c r="D265" i="28" s="1"/>
  <c r="E265" i="3"/>
  <c r="E265" i="28" s="1"/>
  <c r="F265" i="3"/>
  <c r="F265" i="28" s="1"/>
  <c r="G265" i="3"/>
  <c r="G265" i="28" s="1"/>
  <c r="H265" i="3"/>
  <c r="H265" i="28" s="1"/>
  <c r="I265" i="3"/>
  <c r="I265" i="28" s="1"/>
  <c r="J265" i="3"/>
  <c r="J265" i="28" s="1"/>
  <c r="K265" i="3"/>
  <c r="K265" i="28" s="1"/>
  <c r="L265" i="3"/>
  <c r="L265" i="28" s="1"/>
  <c r="M265" i="3"/>
  <c r="M265" i="28" s="1"/>
  <c r="N265" i="3"/>
  <c r="N265" i="9" s="1"/>
  <c r="O265" i="3"/>
  <c r="O265" i="9" s="1"/>
  <c r="C267" i="3"/>
  <c r="C267" i="28" s="1"/>
  <c r="D267" i="3"/>
  <c r="D267" i="28" s="1"/>
  <c r="E267" i="3"/>
  <c r="E267" i="28" s="1"/>
  <c r="F267" i="3"/>
  <c r="F267" i="28" s="1"/>
  <c r="G267" i="3"/>
  <c r="G267" i="28" s="1"/>
  <c r="H267" i="3"/>
  <c r="H267" i="28" s="1"/>
  <c r="I267" i="3"/>
  <c r="I267" i="28" s="1"/>
  <c r="J267" i="3"/>
  <c r="J267" i="28" s="1"/>
  <c r="K267" i="3"/>
  <c r="K267" i="28" s="1"/>
  <c r="L267" i="3"/>
  <c r="L267" i="28" s="1"/>
  <c r="M267" i="3"/>
  <c r="M267" i="28" s="1"/>
  <c r="N267" i="3"/>
  <c r="N267" i="9" s="1"/>
  <c r="O267" i="3"/>
  <c r="O267" i="7" s="1"/>
  <c r="C269" i="3"/>
  <c r="C269" i="28" s="1"/>
  <c r="D269" i="3"/>
  <c r="D269" i="28" s="1"/>
  <c r="E269" i="3"/>
  <c r="E269" i="28" s="1"/>
  <c r="F269" i="3"/>
  <c r="F269" i="28" s="1"/>
  <c r="G269" i="3"/>
  <c r="G269" i="28" s="1"/>
  <c r="H269" i="3"/>
  <c r="H269" i="28" s="1"/>
  <c r="I269" i="3"/>
  <c r="I269" i="28" s="1"/>
  <c r="J269" i="3"/>
  <c r="J269" i="28" s="1"/>
  <c r="K269" i="3"/>
  <c r="K269" i="28" s="1"/>
  <c r="L269" i="3"/>
  <c r="L269" i="28" s="1"/>
  <c r="M269" i="3"/>
  <c r="M269" i="28" s="1"/>
  <c r="N269" i="3"/>
  <c r="N270" i="3" s="1"/>
  <c r="O269" i="3"/>
  <c r="O270" i="3" s="1"/>
  <c r="C271" i="3"/>
  <c r="C271" i="28" s="1"/>
  <c r="D271" i="3"/>
  <c r="D271" i="28" s="1"/>
  <c r="E271" i="3"/>
  <c r="E271" i="28" s="1"/>
  <c r="F271" i="3"/>
  <c r="F271" i="28" s="1"/>
  <c r="G271" i="3"/>
  <c r="G271" i="28" s="1"/>
  <c r="H271" i="3"/>
  <c r="H271" i="28" s="1"/>
  <c r="I271" i="3"/>
  <c r="I271" i="28" s="1"/>
  <c r="J271" i="3"/>
  <c r="J271" i="28" s="1"/>
  <c r="K271" i="3"/>
  <c r="K271" i="28" s="1"/>
  <c r="L271" i="3"/>
  <c r="L271" i="28" s="1"/>
  <c r="M271" i="3"/>
  <c r="M271" i="28" s="1"/>
  <c r="N271" i="3"/>
  <c r="N271" i="4" s="1"/>
  <c r="O271" i="3"/>
  <c r="O271" i="4" s="1"/>
  <c r="C273" i="3"/>
  <c r="C273" i="28" s="1"/>
  <c r="D273" i="3"/>
  <c r="D273" i="28" s="1"/>
  <c r="E273" i="3"/>
  <c r="E273" i="28" s="1"/>
  <c r="F273" i="3"/>
  <c r="F273" i="28" s="1"/>
  <c r="G273" i="3"/>
  <c r="G273" i="28" s="1"/>
  <c r="H273" i="3"/>
  <c r="H273" i="28" s="1"/>
  <c r="I273" i="3"/>
  <c r="I273" i="28" s="1"/>
  <c r="J273" i="3"/>
  <c r="J273" i="28" s="1"/>
  <c r="K273" i="3"/>
  <c r="K273" i="28" s="1"/>
  <c r="L273" i="3"/>
  <c r="L273" i="28" s="1"/>
  <c r="M273" i="3"/>
  <c r="M273" i="28" s="1"/>
  <c r="N273" i="3"/>
  <c r="N273" i="7" s="1"/>
  <c r="O273" i="3"/>
  <c r="O274" i="3" s="1"/>
  <c r="C275" i="3"/>
  <c r="C275" i="28" s="1"/>
  <c r="D275" i="3"/>
  <c r="D275" i="28" s="1"/>
  <c r="E275" i="3"/>
  <c r="E275" i="28" s="1"/>
  <c r="F275" i="3"/>
  <c r="F275" i="28" s="1"/>
  <c r="G275" i="3"/>
  <c r="G275" i="28" s="1"/>
  <c r="H275" i="3"/>
  <c r="H275" i="28" s="1"/>
  <c r="I275" i="3"/>
  <c r="I275" i="28" s="1"/>
  <c r="J275" i="3"/>
  <c r="J275" i="28" s="1"/>
  <c r="K275" i="3"/>
  <c r="K275" i="28" s="1"/>
  <c r="L275" i="3"/>
  <c r="L275" i="28" s="1"/>
  <c r="M275" i="3"/>
  <c r="M275" i="28" s="1"/>
  <c r="N275" i="3"/>
  <c r="N276" i="3" s="1"/>
  <c r="N276" i="4" s="1"/>
  <c r="O275" i="3"/>
  <c r="O275" i="7" s="1"/>
  <c r="C277" i="3"/>
  <c r="C277" i="28" s="1"/>
  <c r="D277" i="3"/>
  <c r="D277" i="28" s="1"/>
  <c r="E277" i="3"/>
  <c r="E277" i="28" s="1"/>
  <c r="F277" i="3"/>
  <c r="F277" i="28" s="1"/>
  <c r="G277" i="3"/>
  <c r="G277" i="28" s="1"/>
  <c r="H277" i="3"/>
  <c r="H277" i="28" s="1"/>
  <c r="I277" i="3"/>
  <c r="I277" i="28" s="1"/>
  <c r="J277" i="3"/>
  <c r="J277" i="28" s="1"/>
  <c r="K277" i="3"/>
  <c r="K277" i="28" s="1"/>
  <c r="L277" i="3"/>
  <c r="L277" i="28" s="1"/>
  <c r="M277" i="3"/>
  <c r="M277" i="28" s="1"/>
  <c r="N277" i="3"/>
  <c r="N277" i="4" s="1"/>
  <c r="O277" i="3"/>
  <c r="O277" i="9" s="1"/>
  <c r="C279" i="3"/>
  <c r="C279" i="28" s="1"/>
  <c r="D279" i="3"/>
  <c r="D279" i="28" s="1"/>
  <c r="E279" i="3"/>
  <c r="E279" i="28" s="1"/>
  <c r="F279" i="3"/>
  <c r="F279" i="28" s="1"/>
  <c r="G279" i="3"/>
  <c r="G279" i="28" s="1"/>
  <c r="H279" i="3"/>
  <c r="H279" i="28" s="1"/>
  <c r="I279" i="3"/>
  <c r="I279" i="28" s="1"/>
  <c r="J279" i="3"/>
  <c r="J279" i="28" s="1"/>
  <c r="K279" i="3"/>
  <c r="K279" i="28" s="1"/>
  <c r="L279" i="3"/>
  <c r="L279" i="28" s="1"/>
  <c r="M279" i="3"/>
  <c r="M279" i="28" s="1"/>
  <c r="N279" i="3"/>
  <c r="N279" i="7" s="1"/>
  <c r="O279" i="3"/>
  <c r="O279" i="7" s="1"/>
  <c r="C281" i="3"/>
  <c r="C281" i="28" s="1"/>
  <c r="D281" i="3"/>
  <c r="D281" i="28" s="1"/>
  <c r="E281" i="3"/>
  <c r="E281" i="28" s="1"/>
  <c r="F281" i="3"/>
  <c r="F281" i="28" s="1"/>
  <c r="G281" i="3"/>
  <c r="G281" i="28" s="1"/>
  <c r="H281" i="3"/>
  <c r="H281" i="28" s="1"/>
  <c r="I281" i="3"/>
  <c r="I281" i="28" s="1"/>
  <c r="J281" i="3"/>
  <c r="J281" i="28" s="1"/>
  <c r="K281" i="3"/>
  <c r="K281" i="28" s="1"/>
  <c r="L281" i="3"/>
  <c r="L281" i="28" s="1"/>
  <c r="M281" i="3"/>
  <c r="M281" i="28" s="1"/>
  <c r="N281" i="3"/>
  <c r="N281" i="9" s="1"/>
  <c r="O281" i="3"/>
  <c r="O281" i="7" s="1"/>
  <c r="C283" i="3"/>
  <c r="C283" i="28" s="1"/>
  <c r="D283" i="3"/>
  <c r="D283" i="28" s="1"/>
  <c r="E283" i="3"/>
  <c r="E283" i="28" s="1"/>
  <c r="F283" i="3"/>
  <c r="F283" i="28" s="1"/>
  <c r="G283" i="3"/>
  <c r="G283" i="28" s="1"/>
  <c r="H283" i="3"/>
  <c r="H283" i="28" s="1"/>
  <c r="I283" i="3"/>
  <c r="I283" i="28" s="1"/>
  <c r="J283" i="3"/>
  <c r="J283" i="28" s="1"/>
  <c r="K283" i="3"/>
  <c r="K283" i="28" s="1"/>
  <c r="L283" i="3"/>
  <c r="L283" i="28" s="1"/>
  <c r="M283" i="3"/>
  <c r="M283" i="28" s="1"/>
  <c r="N283" i="3"/>
  <c r="N283" i="9" s="1"/>
  <c r="O283" i="3"/>
  <c r="O283" i="4" s="1"/>
  <c r="C285" i="3"/>
  <c r="C285" i="28" s="1"/>
  <c r="D285" i="3"/>
  <c r="D285" i="28" s="1"/>
  <c r="E285" i="3"/>
  <c r="E285" i="28" s="1"/>
  <c r="F285" i="3"/>
  <c r="F285" i="28" s="1"/>
  <c r="G285" i="3"/>
  <c r="G285" i="28" s="1"/>
  <c r="H285" i="3"/>
  <c r="H285" i="28" s="1"/>
  <c r="I285" i="3"/>
  <c r="I285" i="28" s="1"/>
  <c r="J285" i="3"/>
  <c r="J285" i="28" s="1"/>
  <c r="K285" i="3"/>
  <c r="K285" i="28" s="1"/>
  <c r="L285" i="3"/>
  <c r="L285" i="28" s="1"/>
  <c r="M285" i="3"/>
  <c r="M285" i="28" s="1"/>
  <c r="N285" i="3"/>
  <c r="N285" i="7" s="1"/>
  <c r="O285" i="3"/>
  <c r="O285" i="7" s="1"/>
  <c r="D243" i="3"/>
  <c r="D243" i="28" s="1"/>
  <c r="E243" i="3"/>
  <c r="E243" i="28" s="1"/>
  <c r="F243" i="3"/>
  <c r="F243" i="28" s="1"/>
  <c r="G243" i="3"/>
  <c r="G243" i="28" s="1"/>
  <c r="H243" i="3"/>
  <c r="H243" i="28" s="1"/>
  <c r="I243" i="3"/>
  <c r="I243" i="28" s="1"/>
  <c r="J243" i="3"/>
  <c r="J243" i="28" s="1"/>
  <c r="K243" i="3"/>
  <c r="K243" i="28" s="1"/>
  <c r="L243" i="3"/>
  <c r="L243" i="28" s="1"/>
  <c r="M243" i="3"/>
  <c r="M243" i="28" s="1"/>
  <c r="N243" i="3"/>
  <c r="N243" i="7" s="1"/>
  <c r="O243" i="3"/>
  <c r="O244" i="3" s="1"/>
  <c r="O244" i="4" s="1"/>
  <c r="C243" i="3"/>
  <c r="C243" i="28" s="1"/>
  <c r="C241" i="3"/>
  <c r="C241" i="28" s="1"/>
  <c r="N153" i="29" l="1"/>
  <c r="O153" i="29"/>
  <c r="N147" i="29"/>
  <c r="O147" i="29"/>
  <c r="O145" i="29"/>
  <c r="N145" i="29"/>
  <c r="O144" i="29"/>
  <c r="N144" i="29"/>
  <c r="I271" i="9"/>
  <c r="C267" i="9"/>
  <c r="O293" i="4"/>
  <c r="M293" i="4"/>
  <c r="N289" i="4"/>
  <c r="M289" i="4"/>
  <c r="L289" i="4"/>
  <c r="M263" i="9"/>
  <c r="K247" i="4"/>
  <c r="C261" i="9"/>
  <c r="N263" i="9"/>
  <c r="N248" i="3"/>
  <c r="N248" i="7" s="1"/>
  <c r="J247" i="4"/>
  <c r="C291" i="9"/>
  <c r="H286" i="3"/>
  <c r="H286" i="9" s="1"/>
  <c r="G285" i="7"/>
  <c r="I286" i="3"/>
  <c r="I286" i="28" s="1"/>
  <c r="L297" i="7"/>
  <c r="J286" i="3"/>
  <c r="J286" i="7" s="1"/>
  <c r="I295" i="7"/>
  <c r="O288" i="3"/>
  <c r="O288" i="9" s="1"/>
  <c r="I306" i="3"/>
  <c r="I306" i="28" s="1"/>
  <c r="O276" i="3"/>
  <c r="O276" i="4" s="1"/>
  <c r="H290" i="3"/>
  <c r="H290" i="28" s="1"/>
  <c r="K289" i="4"/>
  <c r="H281" i="7"/>
  <c r="O305" i="7"/>
  <c r="G248" i="3"/>
  <c r="G248" i="28" s="1"/>
  <c r="I290" i="3"/>
  <c r="I290" i="28" s="1"/>
  <c r="H289" i="4"/>
  <c r="G279" i="7"/>
  <c r="K289" i="9"/>
  <c r="G247" i="4"/>
  <c r="J292" i="3"/>
  <c r="J292" i="9" s="1"/>
  <c r="O275" i="4"/>
  <c r="E279" i="7"/>
  <c r="J289" i="9"/>
  <c r="O248" i="3"/>
  <c r="O248" i="7" s="1"/>
  <c r="O304" i="3"/>
  <c r="O304" i="4" s="1"/>
  <c r="O273" i="4"/>
  <c r="H275" i="7"/>
  <c r="C297" i="9"/>
  <c r="L291" i="7"/>
  <c r="O254" i="3"/>
  <c r="O254" i="4" s="1"/>
  <c r="J306" i="3"/>
  <c r="J306" i="28" s="1"/>
  <c r="M273" i="4"/>
  <c r="M261" i="7"/>
  <c r="F270" i="3"/>
  <c r="F270" i="28" s="1"/>
  <c r="O306" i="3"/>
  <c r="O306" i="4" s="1"/>
  <c r="L273" i="4"/>
  <c r="K261" i="7"/>
  <c r="K291" i="7"/>
  <c r="G270" i="3"/>
  <c r="G270" i="7" s="1"/>
  <c r="I253" i="4"/>
  <c r="J261" i="7"/>
  <c r="L283" i="9"/>
  <c r="H250" i="3"/>
  <c r="H250" i="28" s="1"/>
  <c r="I270" i="3"/>
  <c r="I270" i="28" s="1"/>
  <c r="H253" i="4"/>
  <c r="G257" i="7"/>
  <c r="K283" i="9"/>
  <c r="J291" i="7"/>
  <c r="N261" i="7"/>
  <c r="J270" i="3"/>
  <c r="J270" i="28" s="1"/>
  <c r="G253" i="4"/>
  <c r="E257" i="7"/>
  <c r="C281" i="9"/>
  <c r="N273" i="4"/>
  <c r="C272" i="3"/>
  <c r="C272" i="28" s="1"/>
  <c r="O305" i="4"/>
  <c r="H249" i="4"/>
  <c r="M297" i="7"/>
  <c r="K277" i="9"/>
  <c r="M264" i="3"/>
  <c r="M264" i="28" s="1"/>
  <c r="M284" i="3"/>
  <c r="M284" i="28" s="1"/>
  <c r="N304" i="3"/>
  <c r="N304" i="4" s="1"/>
  <c r="I295" i="4"/>
  <c r="E277" i="4"/>
  <c r="J253" i="4"/>
  <c r="H285" i="7"/>
  <c r="O261" i="7"/>
  <c r="E247" i="7"/>
  <c r="E243" i="9"/>
  <c r="J271" i="9"/>
  <c r="M293" i="9"/>
  <c r="L275" i="7"/>
  <c r="N267" i="4"/>
  <c r="J305" i="9"/>
  <c r="I250" i="3"/>
  <c r="I250" i="9" s="1"/>
  <c r="I272" i="3"/>
  <c r="I272" i="28" s="1"/>
  <c r="K290" i="3"/>
  <c r="K290" i="28" s="1"/>
  <c r="J289" i="4"/>
  <c r="M267" i="4"/>
  <c r="I247" i="4"/>
  <c r="J275" i="7"/>
  <c r="O251" i="7"/>
  <c r="H289" i="7"/>
  <c r="E277" i="9"/>
  <c r="G257" i="9"/>
  <c r="I305" i="9"/>
  <c r="E272" i="3"/>
  <c r="E272" i="28" s="1"/>
  <c r="K275" i="7"/>
  <c r="C259" i="9"/>
  <c r="N254" i="3"/>
  <c r="N254" i="7" s="1"/>
  <c r="C276" i="3"/>
  <c r="C276" i="28" s="1"/>
  <c r="G292" i="3"/>
  <c r="G292" i="28" s="1"/>
  <c r="I289" i="4"/>
  <c r="L267" i="4"/>
  <c r="H247" i="4"/>
  <c r="I275" i="7"/>
  <c r="N251" i="7"/>
  <c r="G289" i="7"/>
  <c r="C277" i="9"/>
  <c r="L255" i="9"/>
  <c r="H305" i="9"/>
  <c r="C250" i="3"/>
  <c r="C250" i="9" s="1"/>
  <c r="C256" i="3"/>
  <c r="C256" i="9" s="1"/>
  <c r="C278" i="3"/>
  <c r="C278" i="9" s="1"/>
  <c r="K292" i="3"/>
  <c r="K292" i="9" s="1"/>
  <c r="I305" i="4"/>
  <c r="G289" i="4"/>
  <c r="I265" i="4"/>
  <c r="E247" i="4"/>
  <c r="M271" i="7"/>
  <c r="G251" i="7"/>
  <c r="L273" i="9"/>
  <c r="J255" i="9"/>
  <c r="K306" i="3"/>
  <c r="K306" i="7" s="1"/>
  <c r="K265" i="4"/>
  <c r="J275" i="9"/>
  <c r="E256" i="3"/>
  <c r="E256" i="28" s="1"/>
  <c r="E278" i="3"/>
  <c r="E278" i="28" s="1"/>
  <c r="M294" i="3"/>
  <c r="M294" i="28" s="1"/>
  <c r="H305" i="4"/>
  <c r="L283" i="4"/>
  <c r="N261" i="4"/>
  <c r="O243" i="4"/>
  <c r="L271" i="7"/>
  <c r="F251" i="7"/>
  <c r="O271" i="9"/>
  <c r="N253" i="9"/>
  <c r="K255" i="9"/>
  <c r="E258" i="3"/>
  <c r="E258" i="28" s="1"/>
  <c r="H282" i="3"/>
  <c r="H282" i="28" s="1"/>
  <c r="G298" i="3"/>
  <c r="G298" i="9" s="1"/>
  <c r="G303" i="4"/>
  <c r="K283" i="4"/>
  <c r="M261" i="4"/>
  <c r="M243" i="4"/>
  <c r="K271" i="7"/>
  <c r="K247" i="7"/>
  <c r="N271" i="9"/>
  <c r="L251" i="9"/>
  <c r="M277" i="9"/>
  <c r="H251" i="7"/>
  <c r="N262" i="3"/>
  <c r="N262" i="9" s="1"/>
  <c r="O282" i="3"/>
  <c r="O282" i="4" s="1"/>
  <c r="H298" i="3"/>
  <c r="H298" i="7" s="1"/>
  <c r="O299" i="4"/>
  <c r="H281" i="4"/>
  <c r="L261" i="4"/>
  <c r="J271" i="7"/>
  <c r="J247" i="7"/>
  <c r="M271" i="9"/>
  <c r="K251" i="9"/>
  <c r="E281" i="9"/>
  <c r="O262" i="3"/>
  <c r="O262" i="9" s="1"/>
  <c r="E284" i="3"/>
  <c r="E284" i="28" s="1"/>
  <c r="O300" i="3"/>
  <c r="O300" i="7" s="1"/>
  <c r="N297" i="4"/>
  <c r="O279" i="4"/>
  <c r="K261" i="4"/>
  <c r="O287" i="7"/>
  <c r="I271" i="7"/>
  <c r="I247" i="7"/>
  <c r="L271" i="9"/>
  <c r="F247" i="9"/>
  <c r="K305" i="9"/>
  <c r="G264" i="3"/>
  <c r="G264" i="28" s="1"/>
  <c r="L284" i="3"/>
  <c r="L284" i="28" s="1"/>
  <c r="G304" i="3"/>
  <c r="G304" i="4" s="1"/>
  <c r="E297" i="4"/>
  <c r="N279" i="4"/>
  <c r="J261" i="4"/>
  <c r="I285" i="7"/>
  <c r="H263" i="7"/>
  <c r="H247" i="7"/>
  <c r="K271" i="9"/>
  <c r="K245" i="9"/>
  <c r="M248" i="3"/>
  <c r="M248" i="28" s="1"/>
  <c r="C284" i="3"/>
  <c r="C284" i="28" s="1"/>
  <c r="N299" i="4"/>
  <c r="I243" i="7"/>
  <c r="O281" i="4"/>
  <c r="G305" i="4"/>
  <c r="E285" i="7"/>
  <c r="N249" i="9"/>
  <c r="H245" i="9"/>
  <c r="H278" i="3"/>
  <c r="H278" i="4" s="1"/>
  <c r="J299" i="4"/>
  <c r="M259" i="4"/>
  <c r="N283" i="7"/>
  <c r="H297" i="7"/>
  <c r="H255" i="9"/>
  <c r="L300" i="3"/>
  <c r="L300" i="7" s="1"/>
  <c r="M279" i="4"/>
  <c r="N303" i="9"/>
  <c r="H258" i="3"/>
  <c r="H258" i="28" s="1"/>
  <c r="J272" i="3"/>
  <c r="J272" i="28" s="1"/>
  <c r="J278" i="3"/>
  <c r="J278" i="28" s="1"/>
  <c r="M292" i="3"/>
  <c r="M292" i="7" s="1"/>
  <c r="M300" i="3"/>
  <c r="M300" i="9" s="1"/>
  <c r="N303" i="4"/>
  <c r="G299" i="4"/>
  <c r="E293" i="4"/>
  <c r="L279" i="4"/>
  <c r="K259" i="4"/>
  <c r="L251" i="4"/>
  <c r="N287" i="7"/>
  <c r="L283" i="7"/>
  <c r="I269" i="7"/>
  <c r="N259" i="7"/>
  <c r="E251" i="7"/>
  <c r="G245" i="7"/>
  <c r="O279" i="9"/>
  <c r="I275" i="9"/>
  <c r="K269" i="9"/>
  <c r="K259" i="9"/>
  <c r="E255" i="9"/>
  <c r="J249" i="9"/>
  <c r="C245" i="9"/>
  <c r="M303" i="9"/>
  <c r="F305" i="9"/>
  <c r="L250" i="3"/>
  <c r="L250" i="4" s="1"/>
  <c r="I258" i="3"/>
  <c r="I258" i="28" s="1"/>
  <c r="I266" i="3"/>
  <c r="I266" i="28" s="1"/>
  <c r="K272" i="3"/>
  <c r="K272" i="4" s="1"/>
  <c r="I280" i="3"/>
  <c r="I280" i="28" s="1"/>
  <c r="N286" i="3"/>
  <c r="N286" i="9" s="1"/>
  <c r="N292" i="3"/>
  <c r="N292" i="4" s="1"/>
  <c r="N300" i="3"/>
  <c r="N300" i="7" s="1"/>
  <c r="H303" i="4"/>
  <c r="O297" i="4"/>
  <c r="I287" i="4"/>
  <c r="I279" i="4"/>
  <c r="M271" i="4"/>
  <c r="J265" i="4"/>
  <c r="J259" i="4"/>
  <c r="K251" i="4"/>
  <c r="N243" i="4"/>
  <c r="M287" i="7"/>
  <c r="N281" i="7"/>
  <c r="G275" i="7"/>
  <c r="H269" i="7"/>
  <c r="M259" i="7"/>
  <c r="O249" i="7"/>
  <c r="F245" i="7"/>
  <c r="H295" i="7"/>
  <c r="L303" i="7"/>
  <c r="N279" i="9"/>
  <c r="H275" i="9"/>
  <c r="J269" i="9"/>
  <c r="E259" i="9"/>
  <c r="C255" i="9"/>
  <c r="I249" i="9"/>
  <c r="H287" i="9"/>
  <c r="L303" i="9"/>
  <c r="E305" i="9"/>
  <c r="J277" i="9"/>
  <c r="I298" i="3"/>
  <c r="I298" i="9" s="1"/>
  <c r="H295" i="4"/>
  <c r="J245" i="9"/>
  <c r="C264" i="3"/>
  <c r="C264" i="9" s="1"/>
  <c r="J298" i="3"/>
  <c r="J298" i="9" s="1"/>
  <c r="I256" i="3"/>
  <c r="I256" i="28" s="1"/>
  <c r="K299" i="4"/>
  <c r="J267" i="4"/>
  <c r="O259" i="9"/>
  <c r="O303" i="9"/>
  <c r="N251" i="4"/>
  <c r="L259" i="9"/>
  <c r="K250" i="3"/>
  <c r="K250" i="7" s="1"/>
  <c r="J258" i="3"/>
  <c r="J258" i="28" s="1"/>
  <c r="L271" i="4"/>
  <c r="E251" i="4"/>
  <c r="E275" i="7"/>
  <c r="E245" i="7"/>
  <c r="H246" i="3"/>
  <c r="H246" i="7" s="1"/>
  <c r="G252" i="3"/>
  <c r="G252" i="9" s="1"/>
  <c r="K258" i="3"/>
  <c r="K258" i="28" s="1"/>
  <c r="K266" i="3"/>
  <c r="K266" i="28" s="1"/>
  <c r="N272" i="3"/>
  <c r="N272" i="9" s="1"/>
  <c r="K280" i="3"/>
  <c r="K280" i="28" s="1"/>
  <c r="E288" i="3"/>
  <c r="E288" i="9" s="1"/>
  <c r="N294" i="3"/>
  <c r="N294" i="7" s="1"/>
  <c r="I302" i="3"/>
  <c r="I302" i="4" s="1"/>
  <c r="C297" i="4"/>
  <c r="E303" i="4"/>
  <c r="M297" i="4"/>
  <c r="G287" i="4"/>
  <c r="L277" i="4"/>
  <c r="K271" i="4"/>
  <c r="H265" i="4"/>
  <c r="H259" i="4"/>
  <c r="O249" i="4"/>
  <c r="L243" i="4"/>
  <c r="K287" i="7"/>
  <c r="L281" i="7"/>
  <c r="O273" i="7"/>
  <c r="E267" i="7"/>
  <c r="K259" i="7"/>
  <c r="K249" i="7"/>
  <c r="O299" i="7"/>
  <c r="E295" i="7"/>
  <c r="L301" i="7"/>
  <c r="L279" i="9"/>
  <c r="E275" i="9"/>
  <c r="H269" i="9"/>
  <c r="O257" i="9"/>
  <c r="G253" i="9"/>
  <c r="L247" i="9"/>
  <c r="E287" i="9"/>
  <c r="K301" i="9"/>
  <c r="O260" i="3"/>
  <c r="O260" i="4" s="1"/>
  <c r="E263" i="7"/>
  <c r="G295" i="9"/>
  <c r="F275" i="4"/>
  <c r="H243" i="7"/>
  <c r="I277" i="7"/>
  <c r="G295" i="4"/>
  <c r="H277" i="9"/>
  <c r="E264" i="3"/>
  <c r="E264" i="9" s="1"/>
  <c r="K298" i="3"/>
  <c r="K298" i="28" s="1"/>
  <c r="E295" i="4"/>
  <c r="N289" i="7"/>
  <c r="K269" i="7"/>
  <c r="G245" i="9"/>
  <c r="G258" i="3"/>
  <c r="G258" i="28" s="1"/>
  <c r="L292" i="3"/>
  <c r="L292" i="9" s="1"/>
  <c r="L259" i="4"/>
  <c r="O259" i="7"/>
  <c r="K249" i="9"/>
  <c r="L272" i="3"/>
  <c r="L272" i="4" s="1"/>
  <c r="O286" i="3"/>
  <c r="O286" i="7" s="1"/>
  <c r="G269" i="7"/>
  <c r="G295" i="7"/>
  <c r="G275" i="9"/>
  <c r="M247" i="9"/>
  <c r="I246" i="3"/>
  <c r="I246" i="4" s="1"/>
  <c r="K252" i="3"/>
  <c r="K252" i="28" s="1"/>
  <c r="J260" i="3"/>
  <c r="J260" i="28" s="1"/>
  <c r="E268" i="3"/>
  <c r="E268" i="28" s="1"/>
  <c r="J274" i="3"/>
  <c r="J274" i="28" s="1"/>
  <c r="L280" i="3"/>
  <c r="L280" i="4" s="1"/>
  <c r="G288" i="3"/>
  <c r="G288" i="28" s="1"/>
  <c r="O294" i="3"/>
  <c r="O294" i="4" s="1"/>
  <c r="J302" i="3"/>
  <c r="J302" i="9" s="1"/>
  <c r="C295" i="4"/>
  <c r="O301" i="4"/>
  <c r="L297" i="4"/>
  <c r="O291" i="4"/>
  <c r="E287" i="4"/>
  <c r="K277" i="4"/>
  <c r="J271" i="4"/>
  <c r="G265" i="4"/>
  <c r="G259" i="4"/>
  <c r="N249" i="4"/>
  <c r="K243" i="4"/>
  <c r="J287" i="7"/>
  <c r="K281" i="7"/>
  <c r="M273" i="7"/>
  <c r="G265" i="7"/>
  <c r="J259" i="7"/>
  <c r="J249" i="7"/>
  <c r="N299" i="7"/>
  <c r="O293" i="7"/>
  <c r="E301" i="7"/>
  <c r="I279" i="9"/>
  <c r="C275" i="9"/>
  <c r="G269" i="9"/>
  <c r="N257" i="9"/>
  <c r="E253" i="9"/>
  <c r="K247" i="9"/>
  <c r="O285" i="9"/>
  <c r="J301" i="9"/>
  <c r="J243" i="7"/>
  <c r="E275" i="4"/>
  <c r="O289" i="7"/>
  <c r="I245" i="9"/>
  <c r="E305" i="4"/>
  <c r="I297" i="7"/>
  <c r="I255" i="9"/>
  <c r="K300" i="3"/>
  <c r="K300" i="28" s="1"/>
  <c r="O251" i="4"/>
  <c r="E243" i="7"/>
  <c r="I245" i="7"/>
  <c r="N259" i="9"/>
  <c r="I278" i="3"/>
  <c r="I278" i="4" s="1"/>
  <c r="O303" i="4"/>
  <c r="M283" i="7"/>
  <c r="H245" i="7"/>
  <c r="E245" i="9"/>
  <c r="H279" i="4"/>
  <c r="I259" i="4"/>
  <c r="L287" i="7"/>
  <c r="L259" i="7"/>
  <c r="M301" i="7"/>
  <c r="I269" i="9"/>
  <c r="G287" i="9"/>
  <c r="J246" i="3"/>
  <c r="J246" i="28" s="1"/>
  <c r="L252" i="3"/>
  <c r="L252" i="28" s="1"/>
  <c r="K260" i="3"/>
  <c r="K260" i="28" s="1"/>
  <c r="F268" i="3"/>
  <c r="F268" i="28" s="1"/>
  <c r="L274" i="3"/>
  <c r="L274" i="9" s="1"/>
  <c r="M280" i="3"/>
  <c r="M280" i="28" s="1"/>
  <c r="M288" i="3"/>
  <c r="M288" i="28" s="1"/>
  <c r="C296" i="3"/>
  <c r="C296" i="28" s="1"/>
  <c r="C304" i="3"/>
  <c r="C304" i="9" s="1"/>
  <c r="C293" i="4"/>
  <c r="N301" i="4"/>
  <c r="K297" i="4"/>
  <c r="N291" i="4"/>
  <c r="O285" i="4"/>
  <c r="J277" i="4"/>
  <c r="I271" i="4"/>
  <c r="E265" i="4"/>
  <c r="G257" i="4"/>
  <c r="M249" i="4"/>
  <c r="J243" i="4"/>
  <c r="I287" i="7"/>
  <c r="J281" i="7"/>
  <c r="L273" i="7"/>
  <c r="J263" i="7"/>
  <c r="I259" i="7"/>
  <c r="O247" i="7"/>
  <c r="M299" i="7"/>
  <c r="N293" i="7"/>
  <c r="H279" i="9"/>
  <c r="O273" i="9"/>
  <c r="F269" i="9"/>
  <c r="M257" i="9"/>
  <c r="C253" i="9"/>
  <c r="J247" i="9"/>
  <c r="N285" i="9"/>
  <c r="I301" i="9"/>
  <c r="O289" i="9"/>
  <c r="O249" i="9"/>
  <c r="O283" i="7"/>
  <c r="L249" i="9"/>
  <c r="H299" i="4"/>
  <c r="G267" i="4"/>
  <c r="J269" i="7"/>
  <c r="G255" i="9"/>
  <c r="G305" i="9"/>
  <c r="H266" i="3"/>
  <c r="H266" i="28" s="1"/>
  <c r="E252" i="3"/>
  <c r="E252" i="28" s="1"/>
  <c r="J266" i="3"/>
  <c r="J266" i="9" s="1"/>
  <c r="J280" i="3"/>
  <c r="J280" i="28" s="1"/>
  <c r="D297" i="4"/>
  <c r="H287" i="4"/>
  <c r="M281" i="7"/>
  <c r="N249" i="7"/>
  <c r="M279" i="9"/>
  <c r="C303" i="9"/>
  <c r="K246" i="3"/>
  <c r="K246" i="28" s="1"/>
  <c r="M252" i="3"/>
  <c r="M252" i="28" s="1"/>
  <c r="L260" i="3"/>
  <c r="L260" i="28" s="1"/>
  <c r="L268" i="3"/>
  <c r="L268" i="28" s="1"/>
  <c r="M274" i="3"/>
  <c r="M274" i="4" s="1"/>
  <c r="N280" i="3"/>
  <c r="N280" i="7" s="1"/>
  <c r="N288" i="3"/>
  <c r="N288" i="4" s="1"/>
  <c r="E296" i="3"/>
  <c r="E296" i="28" s="1"/>
  <c r="E304" i="3"/>
  <c r="E304" i="28" s="1"/>
  <c r="C291" i="4"/>
  <c r="M301" i="4"/>
  <c r="J297" i="4"/>
  <c r="M291" i="4"/>
  <c r="N285" i="4"/>
  <c r="I277" i="4"/>
  <c r="M269" i="4"/>
  <c r="O263" i="4"/>
  <c r="E257" i="4"/>
  <c r="L249" i="4"/>
  <c r="I243" i="4"/>
  <c r="H287" i="7"/>
  <c r="I281" i="7"/>
  <c r="E273" i="7"/>
  <c r="I263" i="7"/>
  <c r="H259" i="7"/>
  <c r="N247" i="7"/>
  <c r="K299" i="7"/>
  <c r="M293" i="7"/>
  <c r="N277" i="9"/>
  <c r="N273" i="9"/>
  <c r="G267" i="9"/>
  <c r="L257" i="9"/>
  <c r="O251" i="9"/>
  <c r="I247" i="9"/>
  <c r="N293" i="9"/>
  <c r="I299" i="9"/>
  <c r="M299" i="4"/>
  <c r="K297" i="7"/>
  <c r="I277" i="9"/>
  <c r="N289" i="9"/>
  <c r="L299" i="4"/>
  <c r="K267" i="4"/>
  <c r="G243" i="7"/>
  <c r="J297" i="7"/>
  <c r="G278" i="3"/>
  <c r="G278" i="7" s="1"/>
  <c r="E253" i="4"/>
  <c r="F243" i="7"/>
  <c r="M249" i="9"/>
  <c r="H267" i="4"/>
  <c r="G297" i="7"/>
  <c r="L246" i="3"/>
  <c r="L246" i="28" s="1"/>
  <c r="M260" i="3"/>
  <c r="M260" i="28" s="1"/>
  <c r="M268" i="3"/>
  <c r="M268" i="28" s="1"/>
  <c r="N274" i="3"/>
  <c r="N274" i="9" s="1"/>
  <c r="G296" i="3"/>
  <c r="G296" i="7" s="1"/>
  <c r="D305" i="4"/>
  <c r="K301" i="4"/>
  <c r="I297" i="4"/>
  <c r="L291" i="4"/>
  <c r="N283" i="4"/>
  <c r="H277" i="4"/>
  <c r="G269" i="4"/>
  <c r="N263" i="4"/>
  <c r="H255" i="4"/>
  <c r="K249" i="4"/>
  <c r="E243" i="4"/>
  <c r="E287" i="7"/>
  <c r="O271" i="7"/>
  <c r="I257" i="7"/>
  <c r="M247" i="7"/>
  <c r="J299" i="7"/>
  <c r="N291" i="7"/>
  <c r="F267" i="9"/>
  <c r="K257" i="9"/>
  <c r="N251" i="9"/>
  <c r="H247" i="9"/>
  <c r="H299" i="9"/>
  <c r="E248" i="3"/>
  <c r="E248" i="28" s="1"/>
  <c r="K254" i="3"/>
  <c r="K254" i="28" s="1"/>
  <c r="N260" i="3"/>
  <c r="N260" i="4" s="1"/>
  <c r="N268" i="3"/>
  <c r="N268" i="4" s="1"/>
  <c r="N282" i="3"/>
  <c r="N282" i="4" s="1"/>
  <c r="G290" i="3"/>
  <c r="G290" i="28" s="1"/>
  <c r="E298" i="3"/>
  <c r="E298" i="4" s="1"/>
  <c r="L304" i="3"/>
  <c r="L304" i="4" s="1"/>
  <c r="C305" i="4"/>
  <c r="J301" i="4"/>
  <c r="H297" i="4"/>
  <c r="J291" i="4"/>
  <c r="M283" i="4"/>
  <c r="G277" i="4"/>
  <c r="O267" i="4"/>
  <c r="O261" i="4"/>
  <c r="K253" i="4"/>
  <c r="J249" i="4"/>
  <c r="H279" i="7"/>
  <c r="N271" i="7"/>
  <c r="G263" i="7"/>
  <c r="H257" i="7"/>
  <c r="L247" i="7"/>
  <c r="N297" i="7"/>
  <c r="M291" i="7"/>
  <c r="L277" i="9"/>
  <c r="C273" i="9"/>
  <c r="E267" i="9"/>
  <c r="H257" i="9"/>
  <c r="M251" i="9"/>
  <c r="G247" i="9"/>
  <c r="E291" i="9"/>
  <c r="G299" i="9"/>
  <c r="O296" i="9"/>
  <c r="O296" i="7"/>
  <c r="L253" i="7"/>
  <c r="C243" i="9"/>
  <c r="H261" i="9"/>
  <c r="H252" i="3"/>
  <c r="H252" i="28" s="1"/>
  <c r="O268" i="3"/>
  <c r="O268" i="4" s="1"/>
  <c r="K286" i="3"/>
  <c r="K286" i="28" s="1"/>
  <c r="L306" i="3"/>
  <c r="L306" i="9" s="1"/>
  <c r="N255" i="4"/>
  <c r="O277" i="7"/>
  <c r="M265" i="7"/>
  <c r="E299" i="9"/>
  <c r="O255" i="7"/>
  <c r="M305" i="7"/>
  <c r="G283" i="9"/>
  <c r="K255" i="4"/>
  <c r="M285" i="9"/>
  <c r="J244" i="3"/>
  <c r="J244" i="28" s="1"/>
  <c r="O246" i="3"/>
  <c r="O246" i="9" s="1"/>
  <c r="G256" i="3"/>
  <c r="G256" i="28" s="1"/>
  <c r="L258" i="3"/>
  <c r="L258" i="28" s="1"/>
  <c r="E262" i="3"/>
  <c r="E262" i="28" s="1"/>
  <c r="J264" i="3"/>
  <c r="J264" i="28" s="1"/>
  <c r="O266" i="3"/>
  <c r="O266" i="9" s="1"/>
  <c r="E276" i="3"/>
  <c r="E276" i="28" s="1"/>
  <c r="K278" i="3"/>
  <c r="K278" i="28" s="1"/>
  <c r="C282" i="3"/>
  <c r="J284" i="3"/>
  <c r="J284" i="28" s="1"/>
  <c r="H296" i="3"/>
  <c r="H296" i="28" s="1"/>
  <c r="M298" i="3"/>
  <c r="M298" i="7" s="1"/>
  <c r="G302" i="3"/>
  <c r="G302" i="28" s="1"/>
  <c r="M285" i="4"/>
  <c r="G283" i="4"/>
  <c r="K279" i="4"/>
  <c r="J273" i="4"/>
  <c r="E271" i="4"/>
  <c r="I261" i="4"/>
  <c r="E259" i="4"/>
  <c r="J255" i="4"/>
  <c r="N245" i="4"/>
  <c r="H243" i="4"/>
  <c r="G281" i="7"/>
  <c r="K277" i="7"/>
  <c r="N267" i="7"/>
  <c r="I265" i="7"/>
  <c r="L255" i="7"/>
  <c r="F253" i="7"/>
  <c r="M249" i="7"/>
  <c r="G291" i="7"/>
  <c r="K305" i="7"/>
  <c r="O301" i="7"/>
  <c r="O243" i="9"/>
  <c r="C283" i="9"/>
  <c r="K279" i="9"/>
  <c r="G277" i="9"/>
  <c r="C269" i="9"/>
  <c r="L265" i="9"/>
  <c r="G263" i="9"/>
  <c r="J257" i="9"/>
  <c r="L285" i="9"/>
  <c r="G293" i="9"/>
  <c r="M289" i="9"/>
  <c r="H303" i="9"/>
  <c r="C301" i="9"/>
  <c r="N297" i="9"/>
  <c r="I295" i="9"/>
  <c r="D305" i="9"/>
  <c r="I244" i="3"/>
  <c r="I244" i="7" s="1"/>
  <c r="C248" i="3"/>
  <c r="J250" i="3"/>
  <c r="J250" i="4" s="1"/>
  <c r="H256" i="3"/>
  <c r="H256" i="28" s="1"/>
  <c r="M258" i="3"/>
  <c r="M258" i="28" s="1"/>
  <c r="F262" i="3"/>
  <c r="F262" i="28" s="1"/>
  <c r="K264" i="3"/>
  <c r="K264" i="28" s="1"/>
  <c r="C268" i="3"/>
  <c r="H270" i="3"/>
  <c r="H270" i="28" s="1"/>
  <c r="M272" i="3"/>
  <c r="G276" i="3"/>
  <c r="G276" i="9" s="1"/>
  <c r="L278" i="3"/>
  <c r="L278" i="28" s="1"/>
  <c r="E282" i="3"/>
  <c r="E282" i="4" s="1"/>
  <c r="K284" i="3"/>
  <c r="K284" i="28" s="1"/>
  <c r="C288" i="3"/>
  <c r="J290" i="3"/>
  <c r="J290" i="9" s="1"/>
  <c r="O292" i="3"/>
  <c r="O292" i="4" s="1"/>
  <c r="I296" i="3"/>
  <c r="I296" i="28" s="1"/>
  <c r="H302" i="3"/>
  <c r="H302" i="28" s="1"/>
  <c r="M304" i="3"/>
  <c r="M304" i="7" s="1"/>
  <c r="C303" i="4"/>
  <c r="L301" i="4"/>
  <c r="I299" i="4"/>
  <c r="G297" i="4"/>
  <c r="K291" i="4"/>
  <c r="E289" i="4"/>
  <c r="L285" i="4"/>
  <c r="E283" i="4"/>
  <c r="J279" i="4"/>
  <c r="N275" i="4"/>
  <c r="I273" i="4"/>
  <c r="O269" i="4"/>
  <c r="I267" i="4"/>
  <c r="M263" i="4"/>
  <c r="H261" i="4"/>
  <c r="O257" i="4"/>
  <c r="I255" i="4"/>
  <c r="M251" i="4"/>
  <c r="I249" i="4"/>
  <c r="M245" i="4"/>
  <c r="G243" i="4"/>
  <c r="G287" i="7"/>
  <c r="K283" i="7"/>
  <c r="E281" i="7"/>
  <c r="J277" i="7"/>
  <c r="H271" i="7"/>
  <c r="M267" i="7"/>
  <c r="H265" i="7"/>
  <c r="L261" i="7"/>
  <c r="G259" i="7"/>
  <c r="K255" i="7"/>
  <c r="E253" i="7"/>
  <c r="L249" i="7"/>
  <c r="G247" i="7"/>
  <c r="L299" i="7"/>
  <c r="E297" i="7"/>
  <c r="L293" i="7"/>
  <c r="E291" i="7"/>
  <c r="J305" i="7"/>
  <c r="N301" i="7"/>
  <c r="N243" i="9"/>
  <c r="O281" i="9"/>
  <c r="J279" i="9"/>
  <c r="F277" i="9"/>
  <c r="M273" i="9"/>
  <c r="H271" i="9"/>
  <c r="O267" i="9"/>
  <c r="K265" i="9"/>
  <c r="E263" i="9"/>
  <c r="M259" i="9"/>
  <c r="I257" i="9"/>
  <c r="O253" i="9"/>
  <c r="J251" i="9"/>
  <c r="H249" i="9"/>
  <c r="E247" i="9"/>
  <c r="K285" i="9"/>
  <c r="E293" i="9"/>
  <c r="L289" i="9"/>
  <c r="G303" i="9"/>
  <c r="M297" i="9"/>
  <c r="H295" i="9"/>
  <c r="C305" i="9"/>
  <c r="C258" i="3"/>
  <c r="O295" i="9"/>
  <c r="G272" i="3"/>
  <c r="G272" i="28" s="1"/>
  <c r="I292" i="3"/>
  <c r="I292" i="7" s="1"/>
  <c r="E281" i="4"/>
  <c r="N265" i="7"/>
  <c r="E289" i="7"/>
  <c r="L263" i="9"/>
  <c r="I283" i="9"/>
  <c r="H301" i="9"/>
  <c r="M255" i="4"/>
  <c r="H303" i="7"/>
  <c r="J263" i="9"/>
  <c r="J293" i="9"/>
  <c r="L295" i="9"/>
  <c r="G250" i="3"/>
  <c r="G250" i="28" s="1"/>
  <c r="H264" i="3"/>
  <c r="H264" i="28" s="1"/>
  <c r="E270" i="3"/>
  <c r="E270" i="4" s="1"/>
  <c r="C302" i="3"/>
  <c r="I283" i="4"/>
  <c r="H271" i="4"/>
  <c r="L255" i="4"/>
  <c r="M277" i="7"/>
  <c r="K265" i="7"/>
  <c r="N255" i="7"/>
  <c r="I263" i="9"/>
  <c r="I293" i="9"/>
  <c r="K295" i="9"/>
  <c r="N246" i="3"/>
  <c r="N246" i="9" s="1"/>
  <c r="C262" i="3"/>
  <c r="N266" i="3"/>
  <c r="N266" i="4" s="1"/>
  <c r="O280" i="3"/>
  <c r="O280" i="7" s="1"/>
  <c r="O245" i="4"/>
  <c r="L277" i="7"/>
  <c r="H291" i="7"/>
  <c r="H263" i="9"/>
  <c r="H293" i="9"/>
  <c r="J295" i="9"/>
  <c r="M278" i="3"/>
  <c r="M278" i="28" s="1"/>
  <c r="O298" i="3"/>
  <c r="O298" i="4" s="1"/>
  <c r="N269" i="4"/>
  <c r="G261" i="4"/>
  <c r="J283" i="7"/>
  <c r="I305" i="7"/>
  <c r="O272" i="3"/>
  <c r="O272" i="4" s="1"/>
  <c r="N278" i="3"/>
  <c r="N278" i="9" s="1"/>
  <c r="O295" i="4"/>
  <c r="O287" i="4"/>
  <c r="N281" i="4"/>
  <c r="G273" i="4"/>
  <c r="M257" i="4"/>
  <c r="H277" i="7"/>
  <c r="K267" i="7"/>
  <c r="O257" i="7"/>
  <c r="L243" i="9"/>
  <c r="M281" i="9"/>
  <c r="E271" i="9"/>
  <c r="I265" i="9"/>
  <c r="M253" i="9"/>
  <c r="I285" i="9"/>
  <c r="K297" i="9"/>
  <c r="E244" i="3"/>
  <c r="E244" i="28" s="1"/>
  <c r="H248" i="3"/>
  <c r="H248" i="28" s="1"/>
  <c r="M250" i="3"/>
  <c r="M250" i="9" s="1"/>
  <c r="E254" i="3"/>
  <c r="K256" i="3"/>
  <c r="C260" i="3"/>
  <c r="I262" i="3"/>
  <c r="I262" i="9" s="1"/>
  <c r="N264" i="3"/>
  <c r="N264" i="7" s="1"/>
  <c r="G268" i="3"/>
  <c r="G268" i="9" s="1"/>
  <c r="K270" i="3"/>
  <c r="K270" i="28" s="1"/>
  <c r="C274" i="3"/>
  <c r="J276" i="3"/>
  <c r="J276" i="28" s="1"/>
  <c r="O278" i="3"/>
  <c r="O278" i="7" s="1"/>
  <c r="I282" i="3"/>
  <c r="I282" i="28" s="1"/>
  <c r="N284" i="3"/>
  <c r="N284" i="7" s="1"/>
  <c r="H288" i="3"/>
  <c r="H288" i="28" s="1"/>
  <c r="M290" i="3"/>
  <c r="M290" i="9" s="1"/>
  <c r="G294" i="3"/>
  <c r="G294" i="7" s="1"/>
  <c r="L296" i="3"/>
  <c r="L296" i="28" s="1"/>
  <c r="E300" i="3"/>
  <c r="E300" i="7" s="1"/>
  <c r="K302" i="3"/>
  <c r="K302" i="7" s="1"/>
  <c r="C306" i="3"/>
  <c r="N305" i="4"/>
  <c r="M303" i="4"/>
  <c r="I301" i="4"/>
  <c r="E299" i="4"/>
  <c r="N295" i="4"/>
  <c r="K293" i="4"/>
  <c r="H291" i="4"/>
  <c r="N287" i="4"/>
  <c r="I285" i="4"/>
  <c r="M281" i="4"/>
  <c r="G279" i="4"/>
  <c r="K275" i="4"/>
  <c r="E273" i="4"/>
  <c r="L269" i="4"/>
  <c r="E267" i="4"/>
  <c r="J263" i="4"/>
  <c r="E261" i="4"/>
  <c r="L257" i="4"/>
  <c r="E255" i="4"/>
  <c r="J251" i="4"/>
  <c r="E249" i="4"/>
  <c r="J245" i="4"/>
  <c r="O243" i="7"/>
  <c r="H283" i="7"/>
  <c r="M279" i="7"/>
  <c r="G277" i="7"/>
  <c r="K273" i="7"/>
  <c r="E271" i="7"/>
  <c r="J267" i="7"/>
  <c r="O263" i="7"/>
  <c r="I261" i="7"/>
  <c r="N257" i="7"/>
  <c r="H255" i="7"/>
  <c r="M251" i="7"/>
  <c r="I249" i="7"/>
  <c r="N245" i="7"/>
  <c r="I299" i="7"/>
  <c r="N295" i="7"/>
  <c r="I293" i="7"/>
  <c r="M289" i="7"/>
  <c r="G305" i="7"/>
  <c r="K301" i="7"/>
  <c r="K243" i="9"/>
  <c r="L281" i="9"/>
  <c r="G279" i="9"/>
  <c r="O275" i="9"/>
  <c r="J273" i="9"/>
  <c r="C271" i="9"/>
  <c r="L267" i="9"/>
  <c r="H265" i="9"/>
  <c r="J259" i="9"/>
  <c r="E257" i="9"/>
  <c r="L253" i="9"/>
  <c r="G251" i="9"/>
  <c r="E249" i="9"/>
  <c r="M287" i="9"/>
  <c r="H285" i="9"/>
  <c r="I289" i="9"/>
  <c r="J297" i="9"/>
  <c r="C295" i="9"/>
  <c r="C244" i="3"/>
  <c r="L254" i="3"/>
  <c r="L254" i="28" s="1"/>
  <c r="H292" i="3"/>
  <c r="H292" i="9" s="1"/>
  <c r="O265" i="7"/>
  <c r="H291" i="9"/>
  <c r="K253" i="7"/>
  <c r="G291" i="9"/>
  <c r="N244" i="3"/>
  <c r="N244" i="4" s="1"/>
  <c r="C290" i="3"/>
  <c r="C290" i="4" s="1"/>
  <c r="H304" i="3"/>
  <c r="H304" i="9" s="1"/>
  <c r="J253" i="7"/>
  <c r="E250" i="3"/>
  <c r="L266" i="3"/>
  <c r="L266" i="28" s="1"/>
  <c r="J283" i="4"/>
  <c r="N277" i="7"/>
  <c r="L265" i="7"/>
  <c r="E261" i="9"/>
  <c r="K273" i="4"/>
  <c r="G253" i="7"/>
  <c r="L305" i="7"/>
  <c r="H244" i="3"/>
  <c r="G282" i="3"/>
  <c r="G282" i="28" s="1"/>
  <c r="K285" i="4"/>
  <c r="M275" i="4"/>
  <c r="L263" i="4"/>
  <c r="G271" i="7"/>
  <c r="K293" i="7"/>
  <c r="M243" i="9"/>
  <c r="G271" i="9"/>
  <c r="C247" i="9"/>
  <c r="C293" i="9"/>
  <c r="L297" i="9"/>
  <c r="G244" i="3"/>
  <c r="G244" i="9" s="1"/>
  <c r="J256" i="3"/>
  <c r="J256" i="28" s="1"/>
  <c r="H262" i="3"/>
  <c r="H262" i="7" s="1"/>
  <c r="L290" i="3"/>
  <c r="L290" i="4" s="1"/>
  <c r="K296" i="3"/>
  <c r="K296" i="28" s="1"/>
  <c r="I291" i="4"/>
  <c r="G255" i="4"/>
  <c r="I255" i="7"/>
  <c r="F249" i="9"/>
  <c r="D244" i="3"/>
  <c r="D244" i="9" s="1"/>
  <c r="I248" i="3"/>
  <c r="I248" i="28" s="1"/>
  <c r="G254" i="3"/>
  <c r="G254" i="4" s="1"/>
  <c r="L256" i="3"/>
  <c r="L256" i="4" s="1"/>
  <c r="E260" i="3"/>
  <c r="E260" i="28" s="1"/>
  <c r="J262" i="3"/>
  <c r="J262" i="28" s="1"/>
  <c r="O264" i="3"/>
  <c r="O264" i="7" s="1"/>
  <c r="H268" i="3"/>
  <c r="H268" i="28" s="1"/>
  <c r="L270" i="3"/>
  <c r="L270" i="28" s="1"/>
  <c r="E274" i="3"/>
  <c r="E274" i="9" s="1"/>
  <c r="K276" i="3"/>
  <c r="K276" i="28" s="1"/>
  <c r="C280" i="3"/>
  <c r="J282" i="3"/>
  <c r="J282" i="28" s="1"/>
  <c r="O284" i="3"/>
  <c r="O284" i="4" s="1"/>
  <c r="I288" i="3"/>
  <c r="I288" i="28" s="1"/>
  <c r="H294" i="3"/>
  <c r="M296" i="3"/>
  <c r="M296" i="4" s="1"/>
  <c r="G300" i="3"/>
  <c r="G300" i="7" s="1"/>
  <c r="L302" i="3"/>
  <c r="L302" i="7" s="1"/>
  <c r="D306" i="3"/>
  <c r="D306" i="4" s="1"/>
  <c r="C301" i="4"/>
  <c r="M305" i="4"/>
  <c r="L303" i="4"/>
  <c r="H301" i="4"/>
  <c r="M295" i="4"/>
  <c r="J293" i="4"/>
  <c r="G291" i="4"/>
  <c r="M287" i="4"/>
  <c r="H285" i="4"/>
  <c r="L281" i="4"/>
  <c r="E279" i="4"/>
  <c r="J275" i="4"/>
  <c r="K269" i="4"/>
  <c r="O265" i="4"/>
  <c r="I263" i="4"/>
  <c r="K257" i="4"/>
  <c r="O253" i="4"/>
  <c r="I251" i="4"/>
  <c r="O247" i="4"/>
  <c r="I245" i="4"/>
  <c r="M285" i="7"/>
  <c r="G283" i="7"/>
  <c r="L279" i="7"/>
  <c r="E277" i="7"/>
  <c r="J273" i="7"/>
  <c r="O269" i="7"/>
  <c r="I267" i="7"/>
  <c r="H261" i="7"/>
  <c r="M257" i="7"/>
  <c r="G255" i="7"/>
  <c r="L251" i="7"/>
  <c r="H249" i="7"/>
  <c r="M245" i="7"/>
  <c r="H299" i="7"/>
  <c r="M295" i="7"/>
  <c r="H293" i="7"/>
  <c r="L289" i="7"/>
  <c r="E305" i="7"/>
  <c r="J301" i="7"/>
  <c r="J243" i="9"/>
  <c r="C241" i="9"/>
  <c r="K281" i="9"/>
  <c r="F279" i="9"/>
  <c r="N275" i="9"/>
  <c r="I273" i="9"/>
  <c r="O269" i="9"/>
  <c r="K267" i="9"/>
  <c r="G265" i="9"/>
  <c r="M261" i="9"/>
  <c r="I259" i="9"/>
  <c r="C257" i="9"/>
  <c r="K253" i="9"/>
  <c r="F251" i="9"/>
  <c r="C249" i="9"/>
  <c r="O245" i="9"/>
  <c r="L287" i="9"/>
  <c r="G285" i="9"/>
  <c r="M291" i="9"/>
  <c r="H289" i="9"/>
  <c r="O301" i="9"/>
  <c r="M299" i="9"/>
  <c r="I297" i="9"/>
  <c r="M253" i="7"/>
  <c r="G281" i="9"/>
  <c r="I291" i="9"/>
  <c r="G281" i="4"/>
  <c r="G261" i="9"/>
  <c r="L280" i="28"/>
  <c r="I303" i="7"/>
  <c r="K293" i="9"/>
  <c r="M244" i="3"/>
  <c r="M244" i="7" s="1"/>
  <c r="L286" i="3"/>
  <c r="L286" i="28" s="1"/>
  <c r="I304" i="3"/>
  <c r="I304" i="9" s="1"/>
  <c r="C289" i="4"/>
  <c r="I253" i="7"/>
  <c r="C299" i="9"/>
  <c r="G303" i="7"/>
  <c r="F301" i="9"/>
  <c r="I264" i="3"/>
  <c r="I264" i="28" s="1"/>
  <c r="E302" i="3"/>
  <c r="E302" i="4" s="1"/>
  <c r="H283" i="4"/>
  <c r="E283" i="9"/>
  <c r="O297" i="9"/>
  <c r="N258" i="3"/>
  <c r="N258" i="7" s="1"/>
  <c r="L264" i="3"/>
  <c r="L264" i="9" s="1"/>
  <c r="H276" i="3"/>
  <c r="C294" i="3"/>
  <c r="H273" i="4"/>
  <c r="L267" i="7"/>
  <c r="J265" i="9"/>
  <c r="I251" i="9"/>
  <c r="J285" i="9"/>
  <c r="E294" i="3"/>
  <c r="E294" i="4" s="1"/>
  <c r="L293" i="4"/>
  <c r="O295" i="7"/>
  <c r="H305" i="7"/>
  <c r="K273" i="9"/>
  <c r="M267" i="9"/>
  <c r="H251" i="9"/>
  <c r="O291" i="9"/>
  <c r="E295" i="9"/>
  <c r="C246" i="3"/>
  <c r="J248" i="3"/>
  <c r="J248" i="28" s="1"/>
  <c r="H254" i="3"/>
  <c r="H254" i="28" s="1"/>
  <c r="M256" i="3"/>
  <c r="M256" i="4" s="1"/>
  <c r="G260" i="3"/>
  <c r="G260" i="9" s="1"/>
  <c r="K262" i="3"/>
  <c r="K262" i="28" s="1"/>
  <c r="C266" i="3"/>
  <c r="I268" i="3"/>
  <c r="I268" i="28" s="1"/>
  <c r="M270" i="3"/>
  <c r="M270" i="28" s="1"/>
  <c r="G274" i="3"/>
  <c r="G274" i="28" s="1"/>
  <c r="L276" i="3"/>
  <c r="L276" i="28" s="1"/>
  <c r="E280" i="3"/>
  <c r="E280" i="28" s="1"/>
  <c r="K282" i="3"/>
  <c r="K282" i="4" s="1"/>
  <c r="C286" i="3"/>
  <c r="J288" i="3"/>
  <c r="J288" i="9" s="1"/>
  <c r="O290" i="3"/>
  <c r="O290" i="9" s="1"/>
  <c r="I294" i="3"/>
  <c r="N296" i="3"/>
  <c r="N296" i="9" s="1"/>
  <c r="H300" i="3"/>
  <c r="H300" i="9" s="1"/>
  <c r="M302" i="3"/>
  <c r="M302" i="9" s="1"/>
  <c r="E306" i="3"/>
  <c r="E306" i="4" s="1"/>
  <c r="L305" i="4"/>
  <c r="K303" i="4"/>
  <c r="G301" i="4"/>
  <c r="L295" i="4"/>
  <c r="I293" i="4"/>
  <c r="E291" i="4"/>
  <c r="L287" i="4"/>
  <c r="G285" i="4"/>
  <c r="K281" i="4"/>
  <c r="O277" i="4"/>
  <c r="I275" i="4"/>
  <c r="J269" i="4"/>
  <c r="N265" i="4"/>
  <c r="H263" i="4"/>
  <c r="J257" i="4"/>
  <c r="N253" i="4"/>
  <c r="H251" i="4"/>
  <c r="N247" i="4"/>
  <c r="H245" i="4"/>
  <c r="M243" i="7"/>
  <c r="L285" i="7"/>
  <c r="E283" i="7"/>
  <c r="K279" i="7"/>
  <c r="I273" i="7"/>
  <c r="N269" i="7"/>
  <c r="H267" i="7"/>
  <c r="M263" i="7"/>
  <c r="G261" i="7"/>
  <c r="L257" i="7"/>
  <c r="E255" i="7"/>
  <c r="K251" i="7"/>
  <c r="G249" i="7"/>
  <c r="L245" i="7"/>
  <c r="G299" i="7"/>
  <c r="L295" i="7"/>
  <c r="G293" i="7"/>
  <c r="K289" i="7"/>
  <c r="I301" i="7"/>
  <c r="I243" i="9"/>
  <c r="O283" i="9"/>
  <c r="J281" i="9"/>
  <c r="E279" i="9"/>
  <c r="M275" i="9"/>
  <c r="H273" i="9"/>
  <c r="N269" i="9"/>
  <c r="J267" i="9"/>
  <c r="E265" i="9"/>
  <c r="L261" i="9"/>
  <c r="H259" i="9"/>
  <c r="O255" i="9"/>
  <c r="J253" i="9"/>
  <c r="E251" i="9"/>
  <c r="K287" i="9"/>
  <c r="E285" i="9"/>
  <c r="L291" i="9"/>
  <c r="G289" i="9"/>
  <c r="N301" i="9"/>
  <c r="L299" i="9"/>
  <c r="H297" i="9"/>
  <c r="N305" i="9"/>
  <c r="L294" i="3"/>
  <c r="L294" i="28" s="1"/>
  <c r="E269" i="4"/>
  <c r="K303" i="7"/>
  <c r="J303" i="7"/>
  <c r="J283" i="9"/>
  <c r="L293" i="9"/>
  <c r="K263" i="9"/>
  <c r="M295" i="9"/>
  <c r="C270" i="3"/>
  <c r="G284" i="3"/>
  <c r="G284" i="28" s="1"/>
  <c r="J298" i="4"/>
  <c r="J298" i="28"/>
  <c r="N305" i="7"/>
  <c r="H283" i="9"/>
  <c r="G301" i="9"/>
  <c r="M246" i="3"/>
  <c r="M246" i="4" s="1"/>
  <c r="H284" i="3"/>
  <c r="H284" i="28" s="1"/>
  <c r="J304" i="3"/>
  <c r="J304" i="7" s="1"/>
  <c r="E269" i="7"/>
  <c r="J303" i="9"/>
  <c r="K244" i="3"/>
  <c r="K244" i="28" s="1"/>
  <c r="I284" i="3"/>
  <c r="I284" i="28" s="1"/>
  <c r="K304" i="3"/>
  <c r="K304" i="7" s="1"/>
  <c r="M255" i="7"/>
  <c r="M265" i="9"/>
  <c r="I303" i="9"/>
  <c r="G262" i="3"/>
  <c r="G262" i="7" s="1"/>
  <c r="L245" i="4"/>
  <c r="J255" i="7"/>
  <c r="C263" i="9"/>
  <c r="G249" i="9"/>
  <c r="E303" i="9"/>
  <c r="C300" i="3"/>
  <c r="L275" i="4"/>
  <c r="K263" i="4"/>
  <c r="F261" i="4"/>
  <c r="K245" i="4"/>
  <c r="I283" i="7"/>
  <c r="F271" i="7"/>
  <c r="E246" i="3"/>
  <c r="E246" i="28" s="1"/>
  <c r="K248" i="3"/>
  <c r="K248" i="9" s="1"/>
  <c r="C252" i="3"/>
  <c r="I254" i="3"/>
  <c r="I254" i="4" s="1"/>
  <c r="N256" i="3"/>
  <c r="N256" i="9" s="1"/>
  <c r="H260" i="3"/>
  <c r="H260" i="7" s="1"/>
  <c r="L262" i="3"/>
  <c r="L262" i="28" s="1"/>
  <c r="E266" i="3"/>
  <c r="E266" i="4" s="1"/>
  <c r="J268" i="3"/>
  <c r="J268" i="28" s="1"/>
  <c r="H274" i="3"/>
  <c r="H274" i="28" s="1"/>
  <c r="M276" i="3"/>
  <c r="M276" i="28" s="1"/>
  <c r="G280" i="3"/>
  <c r="G280" i="28" s="1"/>
  <c r="L282" i="3"/>
  <c r="L282" i="28" s="1"/>
  <c r="E286" i="3"/>
  <c r="E286" i="28" s="1"/>
  <c r="K288" i="3"/>
  <c r="K288" i="9" s="1"/>
  <c r="C292" i="3"/>
  <c r="C292" i="9" s="1"/>
  <c r="J294" i="3"/>
  <c r="J294" i="9" s="1"/>
  <c r="I300" i="3"/>
  <c r="I300" i="28" s="1"/>
  <c r="G306" i="3"/>
  <c r="G306" i="4" s="1"/>
  <c r="C299" i="4"/>
  <c r="K305" i="4"/>
  <c r="J303" i="4"/>
  <c r="F301" i="4"/>
  <c r="K295" i="4"/>
  <c r="H293" i="4"/>
  <c r="K287" i="4"/>
  <c r="E285" i="4"/>
  <c r="J281" i="4"/>
  <c r="H275" i="4"/>
  <c r="I269" i="4"/>
  <c r="M265" i="4"/>
  <c r="G263" i="4"/>
  <c r="I257" i="4"/>
  <c r="M253" i="4"/>
  <c r="G251" i="4"/>
  <c r="M247" i="4"/>
  <c r="G245" i="4"/>
  <c r="L243" i="7"/>
  <c r="K285" i="7"/>
  <c r="J279" i="7"/>
  <c r="N275" i="7"/>
  <c r="H273" i="7"/>
  <c r="M269" i="7"/>
  <c r="G267" i="7"/>
  <c r="L263" i="7"/>
  <c r="F261" i="7"/>
  <c r="K257" i="7"/>
  <c r="J251" i="7"/>
  <c r="F249" i="7"/>
  <c r="K245" i="7"/>
  <c r="E299" i="7"/>
  <c r="K295" i="7"/>
  <c r="E293" i="7"/>
  <c r="J289" i="7"/>
  <c r="H301" i="7"/>
  <c r="H243" i="9"/>
  <c r="I281" i="9"/>
  <c r="C279" i="9"/>
  <c r="L275" i="9"/>
  <c r="G273" i="9"/>
  <c r="M269" i="9"/>
  <c r="I267" i="9"/>
  <c r="C265" i="9"/>
  <c r="K261" i="9"/>
  <c r="G259" i="9"/>
  <c r="I253" i="9"/>
  <c r="C251" i="9"/>
  <c r="M245" i="9"/>
  <c r="J287" i="9"/>
  <c r="C285" i="9"/>
  <c r="K291" i="9"/>
  <c r="E289" i="9"/>
  <c r="M301" i="9"/>
  <c r="K299" i="9"/>
  <c r="G297" i="9"/>
  <c r="M305" i="9"/>
  <c r="I261" i="9"/>
  <c r="K274" i="3"/>
  <c r="K274" i="28" s="1"/>
  <c r="M254" i="3"/>
  <c r="M254" i="28" s="1"/>
  <c r="O255" i="4"/>
  <c r="I252" i="3"/>
  <c r="I252" i="28" s="1"/>
  <c r="H272" i="3"/>
  <c r="H272" i="28" s="1"/>
  <c r="F261" i="9"/>
  <c r="C287" i="9"/>
  <c r="J252" i="3"/>
  <c r="J252" i="28" s="1"/>
  <c r="E290" i="3"/>
  <c r="E290" i="7" s="1"/>
  <c r="M306" i="3"/>
  <c r="M306" i="9" s="1"/>
  <c r="K303" i="9"/>
  <c r="L244" i="3"/>
  <c r="L244" i="28" s="1"/>
  <c r="M266" i="3"/>
  <c r="M266" i="28" s="1"/>
  <c r="M286" i="3"/>
  <c r="M286" i="28" s="1"/>
  <c r="H253" i="7"/>
  <c r="I291" i="7"/>
  <c r="L298" i="3"/>
  <c r="L298" i="9" s="1"/>
  <c r="G271" i="4"/>
  <c r="J265" i="7"/>
  <c r="E303" i="7"/>
  <c r="E269" i="9"/>
  <c r="E301" i="9"/>
  <c r="J296" i="3"/>
  <c r="J296" i="28" s="1"/>
  <c r="E259" i="7"/>
  <c r="C254" i="3"/>
  <c r="I276" i="3"/>
  <c r="I276" i="4" s="1"/>
  <c r="J285" i="4"/>
  <c r="G249" i="4"/>
  <c r="E265" i="7"/>
  <c r="J293" i="7"/>
  <c r="G246" i="3"/>
  <c r="G246" i="7" s="1"/>
  <c r="L248" i="3"/>
  <c r="D252" i="3"/>
  <c r="D252" i="9" s="1"/>
  <c r="J254" i="3"/>
  <c r="J254" i="28" s="1"/>
  <c r="I260" i="3"/>
  <c r="I260" i="7" s="1"/>
  <c r="M262" i="3"/>
  <c r="M262" i="4" s="1"/>
  <c r="G266" i="3"/>
  <c r="G266" i="28" s="1"/>
  <c r="K268" i="3"/>
  <c r="K268" i="28" s="1"/>
  <c r="I274" i="3"/>
  <c r="I274" i="28" s="1"/>
  <c r="H280" i="3"/>
  <c r="H280" i="28" s="1"/>
  <c r="M282" i="3"/>
  <c r="M282" i="9" s="1"/>
  <c r="G286" i="3"/>
  <c r="G286" i="28" s="1"/>
  <c r="L288" i="3"/>
  <c r="L288" i="28" s="1"/>
  <c r="E292" i="3"/>
  <c r="E292" i="28" s="1"/>
  <c r="K294" i="3"/>
  <c r="K294" i="28" s="1"/>
  <c r="C298" i="3"/>
  <c r="J300" i="3"/>
  <c r="J300" i="7" s="1"/>
  <c r="H306" i="3"/>
  <c r="H306" i="28" s="1"/>
  <c r="J305" i="4"/>
  <c r="I303" i="4"/>
  <c r="E301" i="4"/>
  <c r="J295" i="4"/>
  <c r="G293" i="4"/>
  <c r="J287" i="4"/>
  <c r="I281" i="4"/>
  <c r="M277" i="4"/>
  <c r="G275" i="4"/>
  <c r="H269" i="4"/>
  <c r="L265" i="4"/>
  <c r="E263" i="4"/>
  <c r="H257" i="4"/>
  <c r="L253" i="4"/>
  <c r="F251" i="4"/>
  <c r="L247" i="4"/>
  <c r="E245" i="4"/>
  <c r="K243" i="7"/>
  <c r="J285" i="7"/>
  <c r="I279" i="7"/>
  <c r="M275" i="7"/>
  <c r="G273" i="7"/>
  <c r="L269" i="7"/>
  <c r="F267" i="7"/>
  <c r="K263" i="7"/>
  <c r="E261" i="7"/>
  <c r="J257" i="7"/>
  <c r="I251" i="7"/>
  <c r="E249" i="7"/>
  <c r="J245" i="7"/>
  <c r="J295" i="7"/>
  <c r="I289" i="7"/>
  <c r="M303" i="7"/>
  <c r="G301" i="7"/>
  <c r="G243" i="9"/>
  <c r="M283" i="9"/>
  <c r="H281" i="9"/>
  <c r="K275" i="9"/>
  <c r="E273" i="9"/>
  <c r="L269" i="9"/>
  <c r="H267" i="9"/>
  <c r="J261" i="9"/>
  <c r="F259" i="9"/>
  <c r="M255" i="9"/>
  <c r="H253" i="9"/>
  <c r="L245" i="9"/>
  <c r="I287" i="9"/>
  <c r="J291" i="9"/>
  <c r="C289" i="9"/>
  <c r="L301" i="9"/>
  <c r="J299" i="9"/>
  <c r="E297" i="9"/>
  <c r="L305" i="9"/>
  <c r="N144" i="24"/>
  <c r="T144" i="12" s="1"/>
  <c r="O144" i="24"/>
  <c r="O158" i="24"/>
  <c r="N158" i="24"/>
  <c r="T158" i="12" s="1"/>
  <c r="D303" i="4"/>
  <c r="D303" i="9"/>
  <c r="D304" i="3"/>
  <c r="D301" i="4"/>
  <c r="D301" i="9"/>
  <c r="D302" i="3"/>
  <c r="D248" i="3"/>
  <c r="D256" i="3"/>
  <c r="D299" i="4"/>
  <c r="D243" i="9"/>
  <c r="D279" i="9"/>
  <c r="D261" i="9"/>
  <c r="D293" i="9"/>
  <c r="D264" i="3"/>
  <c r="D271" i="9"/>
  <c r="D253" i="9"/>
  <c r="D299" i="9"/>
  <c r="D272" i="3"/>
  <c r="D280" i="3"/>
  <c r="D288" i="3"/>
  <c r="D288" i="9" s="1"/>
  <c r="D296" i="3"/>
  <c r="D281" i="9"/>
  <c r="D263" i="9"/>
  <c r="D246" i="3"/>
  <c r="D254" i="3"/>
  <c r="D262" i="3"/>
  <c r="D295" i="4"/>
  <c r="D285" i="9"/>
  <c r="D293" i="4"/>
  <c r="D273" i="9"/>
  <c r="D255" i="9"/>
  <c r="D270" i="3"/>
  <c r="D291" i="4"/>
  <c r="D278" i="3"/>
  <c r="D286" i="3"/>
  <c r="D294" i="3"/>
  <c r="D289" i="4"/>
  <c r="D283" i="9"/>
  <c r="D265" i="9"/>
  <c r="D260" i="3"/>
  <c r="D287" i="9"/>
  <c r="D289" i="9"/>
  <c r="D268" i="3"/>
  <c r="D275" i="9"/>
  <c r="D257" i="9"/>
  <c r="D245" i="9"/>
  <c r="D295" i="9"/>
  <c r="D276" i="3"/>
  <c r="D284" i="3"/>
  <c r="D292" i="3"/>
  <c r="D300" i="3"/>
  <c r="D267" i="9"/>
  <c r="D250" i="3"/>
  <c r="D258" i="3"/>
  <c r="D247" i="9"/>
  <c r="D291" i="9"/>
  <c r="D266" i="3"/>
  <c r="D277" i="9"/>
  <c r="D259" i="9"/>
  <c r="D249" i="9"/>
  <c r="D269" i="9"/>
  <c r="D251" i="9"/>
  <c r="D297" i="9"/>
  <c r="D274" i="3"/>
  <c r="D282" i="3"/>
  <c r="D290" i="3"/>
  <c r="D298" i="3"/>
  <c r="F305" i="7"/>
  <c r="F306" i="3"/>
  <c r="F306" i="7" s="1"/>
  <c r="F305" i="4"/>
  <c r="F303" i="7"/>
  <c r="F303" i="9"/>
  <c r="F304" i="3"/>
  <c r="F304" i="4" s="1"/>
  <c r="F303" i="4"/>
  <c r="F301" i="7"/>
  <c r="F302" i="3"/>
  <c r="F302" i="28" s="1"/>
  <c r="F299" i="4"/>
  <c r="F299" i="7"/>
  <c r="F300" i="3"/>
  <c r="F300" i="7" s="1"/>
  <c r="F299" i="9"/>
  <c r="F297" i="9"/>
  <c r="F298" i="3"/>
  <c r="F298" i="7" s="1"/>
  <c r="F297" i="4"/>
  <c r="F297" i="7"/>
  <c r="F295" i="4"/>
  <c r="F295" i="9"/>
  <c r="F295" i="7"/>
  <c r="F296" i="3"/>
  <c r="F296" i="28" s="1"/>
  <c r="F293" i="7"/>
  <c r="F293" i="9"/>
  <c r="F294" i="3"/>
  <c r="F294" i="28" s="1"/>
  <c r="F293" i="4"/>
  <c r="F291" i="9"/>
  <c r="F291" i="4"/>
  <c r="F291" i="7"/>
  <c r="F292" i="3"/>
  <c r="F292" i="28" s="1"/>
  <c r="F289" i="4"/>
  <c r="F289" i="9"/>
  <c r="F290" i="3"/>
  <c r="F290" i="9" s="1"/>
  <c r="F289" i="7"/>
  <c r="F287" i="7"/>
  <c r="F288" i="3"/>
  <c r="F288" i="7" s="1"/>
  <c r="F287" i="4"/>
  <c r="F287" i="9"/>
  <c r="F285" i="4"/>
  <c r="F285" i="9"/>
  <c r="F286" i="3"/>
  <c r="F286" i="28" s="1"/>
  <c r="F285" i="7"/>
  <c r="F283" i="7"/>
  <c r="F284" i="3"/>
  <c r="F284" i="28" s="1"/>
  <c r="F283" i="9"/>
  <c r="F283" i="4"/>
  <c r="F281" i="7"/>
  <c r="F281" i="4"/>
  <c r="F281" i="9"/>
  <c r="F282" i="3"/>
  <c r="F282" i="4" s="1"/>
  <c r="F279" i="7"/>
  <c r="F280" i="3"/>
  <c r="F280" i="28" s="1"/>
  <c r="F279" i="4"/>
  <c r="F277" i="7"/>
  <c r="F277" i="4"/>
  <c r="F278" i="3"/>
  <c r="F278" i="28" s="1"/>
  <c r="F276" i="3"/>
  <c r="F276" i="4" s="1"/>
  <c r="F275" i="7"/>
  <c r="F275" i="9"/>
  <c r="F273" i="7"/>
  <c r="F273" i="4"/>
  <c r="F273" i="9"/>
  <c r="F274" i="3"/>
  <c r="F274" i="28" s="1"/>
  <c r="F271" i="4"/>
  <c r="F271" i="9"/>
  <c r="F272" i="3"/>
  <c r="F272" i="28" s="1"/>
  <c r="F269" i="7"/>
  <c r="F269" i="4"/>
  <c r="F267" i="4"/>
  <c r="F266" i="3"/>
  <c r="F266" i="4" s="1"/>
  <c r="F265" i="9"/>
  <c r="F265" i="4"/>
  <c r="F265" i="7"/>
  <c r="F264" i="3"/>
  <c r="F264" i="28" s="1"/>
  <c r="F263" i="4"/>
  <c r="F263" i="7"/>
  <c r="F263" i="9"/>
  <c r="F260" i="3"/>
  <c r="F260" i="9" s="1"/>
  <c r="F259" i="4"/>
  <c r="F259" i="7"/>
  <c r="F258" i="3"/>
  <c r="F258" i="28" s="1"/>
  <c r="F257" i="4"/>
  <c r="F257" i="7"/>
  <c r="F257" i="9"/>
  <c r="F255" i="9"/>
  <c r="F256" i="3"/>
  <c r="F256" i="28" s="1"/>
  <c r="F255" i="4"/>
  <c r="F255" i="7"/>
  <c r="F254" i="3"/>
  <c r="F254" i="4" s="1"/>
  <c r="F253" i="4"/>
  <c r="F253" i="9"/>
  <c r="F252" i="3"/>
  <c r="F252" i="9" s="1"/>
  <c r="F250" i="3"/>
  <c r="F250" i="4" s="1"/>
  <c r="F249" i="4"/>
  <c r="F247" i="4"/>
  <c r="F247" i="7"/>
  <c r="F248" i="3"/>
  <c r="F248" i="28" s="1"/>
  <c r="F246" i="3"/>
  <c r="F246" i="28" s="1"/>
  <c r="F245" i="4"/>
  <c r="F245" i="9"/>
  <c r="F243" i="4"/>
  <c r="F243" i="9"/>
  <c r="F244" i="3"/>
  <c r="F244" i="28" s="1"/>
  <c r="AH1224" i="10"/>
  <c r="AK1224" i="10" s="1"/>
  <c r="AH1208" i="10"/>
  <c r="AK1208" i="10" s="1"/>
  <c r="AH1208" i="32"/>
  <c r="AH1222" i="10"/>
  <c r="AK1222" i="10" s="1"/>
  <c r="S1225" i="10"/>
  <c r="W1225" i="11" s="1"/>
  <c r="T1225" i="32" s="1"/>
  <c r="S1226" i="10"/>
  <c r="Y1226" i="11" s="1"/>
  <c r="Z1226" i="11" s="1"/>
  <c r="AA1226" i="11" s="1"/>
  <c r="O258" i="7"/>
  <c r="O258" i="4"/>
  <c r="O258" i="9"/>
  <c r="S1213" i="32"/>
  <c r="S1142" i="32"/>
  <c r="S1214" i="32"/>
  <c r="S1062" i="32"/>
  <c r="S1061" i="32"/>
  <c r="S1063" i="32"/>
  <c r="S1141" i="32"/>
  <c r="S1063" i="10"/>
  <c r="Y1063" i="11" s="1"/>
  <c r="Z1063" i="11" s="1"/>
  <c r="AA1063" i="11" s="1"/>
  <c r="S1062" i="10"/>
  <c r="W1062" i="11" s="1"/>
  <c r="T1062" i="32" s="1"/>
  <c r="S1061" i="10"/>
  <c r="Y1061" i="11" s="1"/>
  <c r="Z1061" i="11" s="1"/>
  <c r="AA1061" i="11" s="1"/>
  <c r="S1214" i="10"/>
  <c r="Y1214" i="11" s="1"/>
  <c r="Z1214" i="11" s="1"/>
  <c r="AA1214" i="11" s="1"/>
  <c r="S1213" i="10"/>
  <c r="Y1213" i="11" s="1"/>
  <c r="Z1213" i="11" s="1"/>
  <c r="AA1213" i="11" s="1"/>
  <c r="S1142" i="10"/>
  <c r="Y1142" i="11" s="1"/>
  <c r="Z1142" i="11" s="1"/>
  <c r="AA1142" i="11" s="1"/>
  <c r="S1141" i="10"/>
  <c r="Y1141" i="11" s="1"/>
  <c r="Z1141" i="11" s="1"/>
  <c r="AA1141" i="11" s="1"/>
  <c r="S1180" i="32"/>
  <c r="S1107" i="32"/>
  <c r="S1013" i="32"/>
  <c r="S1108" i="32"/>
  <c r="S1012" i="32"/>
  <c r="S1179" i="32"/>
  <c r="S1011" i="32"/>
  <c r="S1013" i="10"/>
  <c r="Y1013" i="11" s="1"/>
  <c r="Z1013" i="11" s="1"/>
  <c r="AA1013" i="11" s="1"/>
  <c r="S1012" i="10"/>
  <c r="Y1012" i="11" s="1"/>
  <c r="Z1012" i="11" s="1"/>
  <c r="AA1012" i="11" s="1"/>
  <c r="S1011" i="10"/>
  <c r="Y1011" i="11" s="1"/>
  <c r="Z1011" i="11" s="1"/>
  <c r="AA1011" i="11" s="1"/>
  <c r="S1180" i="10"/>
  <c r="Y1180" i="11" s="1"/>
  <c r="Z1180" i="11" s="1"/>
  <c r="AA1180" i="11" s="1"/>
  <c r="S1179" i="10"/>
  <c r="Y1179" i="11" s="1"/>
  <c r="Z1179" i="11" s="1"/>
  <c r="AA1179" i="11" s="1"/>
  <c r="S1108" i="10"/>
  <c r="Y1108" i="11" s="1"/>
  <c r="Z1108" i="11" s="1"/>
  <c r="AA1108" i="11" s="1"/>
  <c r="S1107" i="10"/>
  <c r="Y1107" i="11" s="1"/>
  <c r="Z1107" i="11" s="1"/>
  <c r="AA1107" i="11" s="1"/>
  <c r="O252" i="7"/>
  <c r="O252" i="9"/>
  <c r="S1053" i="10"/>
  <c r="Y1053" i="11" s="1"/>
  <c r="Z1053" i="11" s="1"/>
  <c r="AA1053" i="11" s="1"/>
  <c r="S1060" i="32"/>
  <c r="S1212" i="32"/>
  <c r="S1059" i="32"/>
  <c r="S1139" i="32"/>
  <c r="S1211" i="32"/>
  <c r="S1058" i="32"/>
  <c r="S1140" i="32"/>
  <c r="S1060" i="10"/>
  <c r="W1060" i="11" s="1"/>
  <c r="T1060" i="32" s="1"/>
  <c r="S1059" i="10"/>
  <c r="W1059" i="11" s="1"/>
  <c r="T1059" i="32" s="1"/>
  <c r="S1058" i="10"/>
  <c r="W1058" i="11" s="1"/>
  <c r="T1058" i="32" s="1"/>
  <c r="S1212" i="10"/>
  <c r="Y1212" i="11" s="1"/>
  <c r="Z1212" i="11" s="1"/>
  <c r="AA1212" i="11" s="1"/>
  <c r="S1211" i="10"/>
  <c r="Y1211" i="11" s="1"/>
  <c r="Z1211" i="11" s="1"/>
  <c r="AA1211" i="11" s="1"/>
  <c r="S1010" i="32"/>
  <c r="S1177" i="32"/>
  <c r="S1106" i="32"/>
  <c r="S1009" i="32"/>
  <c r="S1105" i="32"/>
  <c r="S1008" i="32"/>
  <c r="S1178" i="32"/>
  <c r="S1010" i="10"/>
  <c r="Y1010" i="11" s="1"/>
  <c r="Z1010" i="11" s="1"/>
  <c r="AA1010" i="11" s="1"/>
  <c r="S1009" i="10"/>
  <c r="Y1009" i="11" s="1"/>
  <c r="Z1009" i="11" s="1"/>
  <c r="AA1009" i="11" s="1"/>
  <c r="S1008" i="10"/>
  <c r="Y1008" i="11" s="1"/>
  <c r="Z1008" i="11" s="1"/>
  <c r="AA1008" i="11" s="1"/>
  <c r="S1178" i="10"/>
  <c r="Y1178" i="11" s="1"/>
  <c r="Z1178" i="11" s="1"/>
  <c r="AA1178" i="11" s="1"/>
  <c r="S1177" i="10"/>
  <c r="Y1177" i="11" s="1"/>
  <c r="Z1177" i="11" s="1"/>
  <c r="AA1177" i="11" s="1"/>
  <c r="J264" i="4"/>
  <c r="I306" i="9"/>
  <c r="S1210" i="32"/>
  <c r="S1137" i="32"/>
  <c r="S1209" i="32"/>
  <c r="S1056" i="32"/>
  <c r="S1055" i="32"/>
  <c r="S1138" i="32"/>
  <c r="S1057" i="32"/>
  <c r="S1137" i="10"/>
  <c r="Y1137" i="11" s="1"/>
  <c r="Z1137" i="11" s="1"/>
  <c r="AA1137" i="11" s="1"/>
  <c r="S1057" i="10"/>
  <c r="W1057" i="11" s="1"/>
  <c r="T1057" i="32" s="1"/>
  <c r="S1056" i="10"/>
  <c r="Y1056" i="11" s="1"/>
  <c r="Z1056" i="11" s="1"/>
  <c r="AA1056" i="11" s="1"/>
  <c r="S1055" i="10"/>
  <c r="W1055" i="11" s="1"/>
  <c r="T1055" i="32" s="1"/>
  <c r="S1103" i="32"/>
  <c r="S1176" i="32"/>
  <c r="S1175" i="32"/>
  <c r="S1006" i="32"/>
  <c r="S1005" i="32"/>
  <c r="S1104" i="32"/>
  <c r="S1007" i="32"/>
  <c r="S1103" i="10"/>
  <c r="Y1103" i="11" s="1"/>
  <c r="Z1103" i="11" s="1"/>
  <c r="AA1103" i="11" s="1"/>
  <c r="S1007" i="10"/>
  <c r="Y1007" i="11" s="1"/>
  <c r="Z1007" i="11" s="1"/>
  <c r="AA1007" i="11" s="1"/>
  <c r="S1006" i="10"/>
  <c r="Y1006" i="11" s="1"/>
  <c r="Z1006" i="11" s="1"/>
  <c r="AA1006" i="11" s="1"/>
  <c r="S1005" i="10"/>
  <c r="W1005" i="11" s="1"/>
  <c r="T1005" i="32" s="1"/>
  <c r="C304" i="4"/>
  <c r="O296" i="4"/>
  <c r="S1068" i="10"/>
  <c r="Y1068" i="11" s="1"/>
  <c r="Z1068" i="11" s="1"/>
  <c r="AA1068" i="11" s="1"/>
  <c r="S1155" i="10"/>
  <c r="Y1155" i="11" s="1"/>
  <c r="Z1155" i="11" s="1"/>
  <c r="AA1155" i="11" s="1"/>
  <c r="S1220" i="32"/>
  <c r="S1070" i="32"/>
  <c r="S1148" i="32"/>
  <c r="S1072" i="32"/>
  <c r="S1147" i="32"/>
  <c r="S1071" i="32"/>
  <c r="S1219" i="32"/>
  <c r="S1220" i="10"/>
  <c r="Y1220" i="11" s="1"/>
  <c r="Z1220" i="11" s="1"/>
  <c r="AA1220" i="11" s="1"/>
  <c r="S1219" i="10"/>
  <c r="Y1219" i="11" s="1"/>
  <c r="Z1219" i="11" s="1"/>
  <c r="AA1219" i="11" s="1"/>
  <c r="S1148" i="10"/>
  <c r="Y1148" i="11" s="1"/>
  <c r="Z1148" i="11" s="1"/>
  <c r="AA1148" i="11" s="1"/>
  <c r="S1147" i="10"/>
  <c r="Y1147" i="11" s="1"/>
  <c r="Z1147" i="11" s="1"/>
  <c r="AA1147" i="11" s="1"/>
  <c r="S1072" i="10"/>
  <c r="Y1072" i="11" s="1"/>
  <c r="Z1072" i="11" s="1"/>
  <c r="AA1072" i="11" s="1"/>
  <c r="S1071" i="10"/>
  <c r="Y1071" i="11" s="1"/>
  <c r="Z1071" i="11" s="1"/>
  <c r="AA1071" i="11" s="1"/>
  <c r="O270" i="7"/>
  <c r="O270" i="9"/>
  <c r="O302" i="9"/>
  <c r="O302" i="7"/>
  <c r="N290" i="9"/>
  <c r="O256" i="9"/>
  <c r="O256" i="4"/>
  <c r="O256" i="7"/>
  <c r="N298" i="9"/>
  <c r="N298" i="7"/>
  <c r="S1054" i="32"/>
  <c r="S1207" i="32"/>
  <c r="S1208" i="32"/>
  <c r="S1052" i="32"/>
  <c r="S1135" i="32"/>
  <c r="S1053" i="32"/>
  <c r="S1136" i="32"/>
  <c r="S1207" i="10"/>
  <c r="Y1207" i="11" s="1"/>
  <c r="Z1207" i="11" s="1"/>
  <c r="AA1207" i="11" s="1"/>
  <c r="S1136" i="10"/>
  <c r="W1136" i="11" s="1"/>
  <c r="T1136" i="32" s="1"/>
  <c r="S1135" i="10"/>
  <c r="Y1135" i="11" s="1"/>
  <c r="Z1135" i="11" s="1"/>
  <c r="AA1135" i="11" s="1"/>
  <c r="S1102" i="32"/>
  <c r="S1174" i="32"/>
  <c r="S1003" i="32"/>
  <c r="S1002" i="32"/>
  <c r="S1173" i="32"/>
  <c r="S1101" i="32"/>
  <c r="S1004" i="32"/>
  <c r="S1173" i="10"/>
  <c r="W1173" i="11" s="1"/>
  <c r="T1173" i="32" s="1"/>
  <c r="S1102" i="10"/>
  <c r="Y1102" i="11" s="1"/>
  <c r="Z1102" i="11" s="1"/>
  <c r="AA1102" i="11" s="1"/>
  <c r="S1101" i="10"/>
  <c r="W1101" i="11" s="1"/>
  <c r="T1101" i="32" s="1"/>
  <c r="J292" i="4"/>
  <c r="S986" i="10"/>
  <c r="Y986" i="11" s="1"/>
  <c r="Z986" i="11" s="1"/>
  <c r="AA986" i="11" s="1"/>
  <c r="S1156" i="10"/>
  <c r="Y1156" i="11" s="1"/>
  <c r="Z1156" i="11" s="1"/>
  <c r="AA1156" i="11" s="1"/>
  <c r="S1133" i="32"/>
  <c r="S1050" i="32"/>
  <c r="S1049" i="32"/>
  <c r="S1051" i="32"/>
  <c r="S1134" i="32"/>
  <c r="S1206" i="32"/>
  <c r="S1205" i="32"/>
  <c r="S1051" i="10"/>
  <c r="Y1051" i="11" s="1"/>
  <c r="Z1051" i="11" s="1"/>
  <c r="AA1051" i="11" s="1"/>
  <c r="S1206" i="10"/>
  <c r="Y1206" i="11" s="1"/>
  <c r="Z1206" i="11" s="1"/>
  <c r="AA1206" i="11" s="1"/>
  <c r="S1050" i="10"/>
  <c r="Y1050" i="11" s="1"/>
  <c r="Z1050" i="11" s="1"/>
  <c r="AA1050" i="11" s="1"/>
  <c r="S1205" i="10"/>
  <c r="Y1205" i="11" s="1"/>
  <c r="Z1205" i="11" s="1"/>
  <c r="AA1205" i="11" s="1"/>
  <c r="S1049" i="10"/>
  <c r="W1049" i="11" s="1"/>
  <c r="T1049" i="32" s="1"/>
  <c r="S1134" i="10"/>
  <c r="Y1134" i="11" s="1"/>
  <c r="Z1134" i="11" s="1"/>
  <c r="AA1134" i="11" s="1"/>
  <c r="S1133" i="10"/>
  <c r="W1133" i="11" s="1"/>
  <c r="T1133" i="32" s="1"/>
  <c r="S1099" i="32"/>
  <c r="S1000" i="32"/>
  <c r="S1172" i="32"/>
  <c r="S999" i="32"/>
  <c r="S1171" i="32"/>
  <c r="S1001" i="32"/>
  <c r="S1100" i="32"/>
  <c r="S1001" i="10"/>
  <c r="W1001" i="11" s="1"/>
  <c r="T1001" i="32" s="1"/>
  <c r="S1172" i="10"/>
  <c r="W1172" i="11" s="1"/>
  <c r="T1172" i="32" s="1"/>
  <c r="S1000" i="10"/>
  <c r="Y1000" i="11" s="1"/>
  <c r="Z1000" i="11" s="1"/>
  <c r="AA1000" i="11" s="1"/>
  <c r="S1171" i="10"/>
  <c r="W1171" i="11" s="1"/>
  <c r="T1171" i="32" s="1"/>
  <c r="S999" i="10"/>
  <c r="Y999" i="11" s="1"/>
  <c r="Z999" i="11" s="1"/>
  <c r="AA999" i="11" s="1"/>
  <c r="S1100" i="10"/>
  <c r="W1100" i="11" s="1"/>
  <c r="T1100" i="32" s="1"/>
  <c r="S1099" i="10"/>
  <c r="Y1099" i="11" s="1"/>
  <c r="Z1099" i="11" s="1"/>
  <c r="AA1099" i="11" s="1"/>
  <c r="G244" i="7"/>
  <c r="S987" i="10"/>
  <c r="W987" i="11" s="1"/>
  <c r="S1070" i="10"/>
  <c r="Y1070" i="11" s="1"/>
  <c r="Z1070" i="11" s="1"/>
  <c r="AA1070" i="11" s="1"/>
  <c r="S1174" i="10"/>
  <c r="Y1174" i="11" s="1"/>
  <c r="Z1174" i="11" s="1"/>
  <c r="AA1174" i="11" s="1"/>
  <c r="S1132" i="32"/>
  <c r="S1204" i="32"/>
  <c r="S1131" i="32"/>
  <c r="S1048" i="32"/>
  <c r="S1203" i="32"/>
  <c r="S1047" i="32"/>
  <c r="S1046" i="32"/>
  <c r="S1204" i="10"/>
  <c r="Y1204" i="11" s="1"/>
  <c r="Z1204" i="11" s="1"/>
  <c r="AA1204" i="11" s="1"/>
  <c r="S1048" i="10"/>
  <c r="Y1048" i="11" s="1"/>
  <c r="Z1048" i="11" s="1"/>
  <c r="AA1048" i="11" s="1"/>
  <c r="S1203" i="10"/>
  <c r="Y1203" i="11" s="1"/>
  <c r="Z1203" i="11" s="1"/>
  <c r="AA1203" i="11" s="1"/>
  <c r="S1047" i="10"/>
  <c r="Y1047" i="11" s="1"/>
  <c r="Z1047" i="11" s="1"/>
  <c r="AA1047" i="11" s="1"/>
  <c r="S1132" i="10"/>
  <c r="Y1132" i="11" s="1"/>
  <c r="Z1132" i="11" s="1"/>
  <c r="AA1132" i="11" s="1"/>
  <c r="S1046" i="10"/>
  <c r="Y1046" i="11" s="1"/>
  <c r="Z1046" i="11" s="1"/>
  <c r="AA1046" i="11" s="1"/>
  <c r="S1131" i="10"/>
  <c r="W1131" i="11" s="1"/>
  <c r="T1131" i="32" s="1"/>
  <c r="S1097" i="32"/>
  <c r="S1170" i="32"/>
  <c r="S1169" i="32"/>
  <c r="S1098" i="32"/>
  <c r="S998" i="32"/>
  <c r="S997" i="32"/>
  <c r="S996" i="32"/>
  <c r="S1170" i="10"/>
  <c r="W1170" i="11" s="1"/>
  <c r="T1170" i="32" s="1"/>
  <c r="S998" i="10"/>
  <c r="W998" i="11" s="1"/>
  <c r="T998" i="32" s="1"/>
  <c r="S1169" i="10"/>
  <c r="Y1169" i="11" s="1"/>
  <c r="Z1169" i="11" s="1"/>
  <c r="AA1169" i="11" s="1"/>
  <c r="S997" i="10"/>
  <c r="S1098" i="10"/>
  <c r="Y1098" i="11" s="1"/>
  <c r="Z1098" i="11" s="1"/>
  <c r="AA1098" i="11" s="1"/>
  <c r="S996" i="10"/>
  <c r="Y996" i="11" s="1"/>
  <c r="Z996" i="11" s="1"/>
  <c r="AA996" i="11" s="1"/>
  <c r="S1097" i="10"/>
  <c r="Y1097" i="11" s="1"/>
  <c r="Z1097" i="11" s="1"/>
  <c r="AA1097" i="11" s="1"/>
  <c r="N290" i="4"/>
  <c r="S1175" i="10"/>
  <c r="Y1175" i="11" s="1"/>
  <c r="Z1175" i="11" s="1"/>
  <c r="AA1175" i="11" s="1"/>
  <c r="S1113" i="32"/>
  <c r="S1186" i="32"/>
  <c r="S1020" i="32"/>
  <c r="S1185" i="32"/>
  <c r="S1114" i="32"/>
  <c r="S1022" i="32"/>
  <c r="S1021" i="32"/>
  <c r="S1186" i="10"/>
  <c r="Y1186" i="11" s="1"/>
  <c r="Z1186" i="11" s="1"/>
  <c r="AA1186" i="11" s="1"/>
  <c r="S1185" i="10"/>
  <c r="W1185" i="11" s="1"/>
  <c r="T1185" i="32" s="1"/>
  <c r="S1114" i="10"/>
  <c r="W1114" i="11" s="1"/>
  <c r="T1114" i="32" s="1"/>
  <c r="S1113" i="10"/>
  <c r="Y1113" i="11" s="1"/>
  <c r="Z1113" i="11" s="1"/>
  <c r="AA1113" i="11" s="1"/>
  <c r="S1022" i="10"/>
  <c r="W1022" i="11" s="1"/>
  <c r="T1022" i="32" s="1"/>
  <c r="S1021" i="10"/>
  <c r="Y1021" i="11" s="1"/>
  <c r="Z1021" i="11" s="1"/>
  <c r="AA1021" i="11" s="1"/>
  <c r="S1146" i="32"/>
  <c r="S1145" i="32"/>
  <c r="S1218" i="32"/>
  <c r="S1217" i="32"/>
  <c r="S1068" i="32"/>
  <c r="S1067" i="32"/>
  <c r="S1069" i="32"/>
  <c r="S1067" i="10"/>
  <c r="Y1067" i="11" s="1"/>
  <c r="Z1067" i="11" s="1"/>
  <c r="AA1067" i="11" s="1"/>
  <c r="S1218" i="10"/>
  <c r="Y1218" i="11" s="1"/>
  <c r="Z1218" i="11" s="1"/>
  <c r="AA1218" i="11" s="1"/>
  <c r="S1217" i="10"/>
  <c r="W1217" i="11" s="1"/>
  <c r="T1217" i="32" s="1"/>
  <c r="S1146" i="10"/>
  <c r="W1146" i="11" s="1"/>
  <c r="T1146" i="32" s="1"/>
  <c r="S1145" i="10"/>
  <c r="J298" i="7"/>
  <c r="J272" i="7"/>
  <c r="J272" i="9"/>
  <c r="S1044" i="32"/>
  <c r="S1129" i="32"/>
  <c r="S1202" i="32"/>
  <c r="S1130" i="32"/>
  <c r="S1043" i="32"/>
  <c r="S1045" i="32"/>
  <c r="S1201" i="32"/>
  <c r="S1202" i="10"/>
  <c r="W1202" i="11" s="1"/>
  <c r="T1202" i="32" s="1"/>
  <c r="S1201" i="10"/>
  <c r="W1201" i="11" s="1"/>
  <c r="T1201" i="32" s="1"/>
  <c r="S1045" i="10"/>
  <c r="Y1045" i="11" s="1"/>
  <c r="Z1045" i="11" s="1"/>
  <c r="AA1045" i="11" s="1"/>
  <c r="S1130" i="10"/>
  <c r="W1130" i="11" s="1"/>
  <c r="T1130" i="32" s="1"/>
  <c r="S1044" i="10"/>
  <c r="Y1044" i="11" s="1"/>
  <c r="Z1044" i="11" s="1"/>
  <c r="AA1044" i="11" s="1"/>
  <c r="S1129" i="10"/>
  <c r="Y1129" i="11" s="1"/>
  <c r="Z1129" i="11" s="1"/>
  <c r="AA1129" i="11" s="1"/>
  <c r="S1043" i="10"/>
  <c r="W1043" i="11" s="1"/>
  <c r="T1043" i="32" s="1"/>
  <c r="S1167" i="32"/>
  <c r="S995" i="32"/>
  <c r="S1168" i="32"/>
  <c r="S994" i="32"/>
  <c r="S1096" i="32"/>
  <c r="S993" i="32"/>
  <c r="S1095" i="32"/>
  <c r="S1168" i="10"/>
  <c r="Y1168" i="11" s="1"/>
  <c r="Z1168" i="11" s="1"/>
  <c r="AA1168" i="11" s="1"/>
  <c r="S1167" i="10"/>
  <c r="Y1167" i="11" s="1"/>
  <c r="Z1167" i="11" s="1"/>
  <c r="AA1167" i="11" s="1"/>
  <c r="S995" i="10"/>
  <c r="Y995" i="11" s="1"/>
  <c r="Z995" i="11" s="1"/>
  <c r="AA995" i="11" s="1"/>
  <c r="S1096" i="10"/>
  <c r="Y1096" i="11" s="1"/>
  <c r="Z1096" i="11" s="1"/>
  <c r="AA1096" i="11" s="1"/>
  <c r="S994" i="10"/>
  <c r="W994" i="11" s="1"/>
  <c r="T994" i="32" s="1"/>
  <c r="S1095" i="10"/>
  <c r="Y1095" i="11" s="1"/>
  <c r="Z1095" i="11" s="1"/>
  <c r="AA1095" i="11" s="1"/>
  <c r="S993" i="10"/>
  <c r="Y993" i="11" s="1"/>
  <c r="Z993" i="11" s="1"/>
  <c r="AA993" i="11" s="1"/>
  <c r="S1002" i="10"/>
  <c r="Y1002" i="11" s="1"/>
  <c r="Z1002" i="11" s="1"/>
  <c r="AA1002" i="11" s="1"/>
  <c r="S1089" i="10"/>
  <c r="Y1089" i="11" s="1"/>
  <c r="Z1089" i="11" s="1"/>
  <c r="AA1089" i="11" s="1"/>
  <c r="S1176" i="10"/>
  <c r="Y1176" i="11" s="1"/>
  <c r="Z1176" i="11" s="1"/>
  <c r="AA1176" i="11" s="1"/>
  <c r="S1183" i="32"/>
  <c r="S1111" i="32"/>
  <c r="S1017" i="32"/>
  <c r="S1184" i="32"/>
  <c r="S1019" i="32"/>
  <c r="S1018" i="32"/>
  <c r="S1112" i="32"/>
  <c r="S1017" i="10"/>
  <c r="Y1017" i="11" s="1"/>
  <c r="Z1017" i="11" s="1"/>
  <c r="AA1017" i="11" s="1"/>
  <c r="S1184" i="10"/>
  <c r="Y1184" i="11" s="1"/>
  <c r="Z1184" i="11" s="1"/>
  <c r="AA1184" i="11" s="1"/>
  <c r="S1183" i="10"/>
  <c r="Y1183" i="11" s="1"/>
  <c r="Z1183" i="11" s="1"/>
  <c r="AA1183" i="11" s="1"/>
  <c r="S1112" i="10"/>
  <c r="W1112" i="11" s="1"/>
  <c r="T1112" i="32" s="1"/>
  <c r="S1111" i="10"/>
  <c r="Y1111" i="11" s="1"/>
  <c r="Z1111" i="11" s="1"/>
  <c r="AA1111" i="11" s="1"/>
  <c r="S1014" i="32"/>
  <c r="S1182" i="32"/>
  <c r="S1016" i="32"/>
  <c r="S1015" i="32"/>
  <c r="S1181" i="32"/>
  <c r="S1110" i="32"/>
  <c r="S1109" i="32"/>
  <c r="S1016" i="10"/>
  <c r="Y1016" i="11" s="1"/>
  <c r="Z1016" i="11" s="1"/>
  <c r="AA1016" i="11" s="1"/>
  <c r="S1015" i="10"/>
  <c r="Y1015" i="11" s="1"/>
  <c r="Z1015" i="11" s="1"/>
  <c r="AA1015" i="11" s="1"/>
  <c r="S1014" i="10"/>
  <c r="W1014" i="11" s="1"/>
  <c r="T1014" i="32" s="1"/>
  <c r="S1182" i="10"/>
  <c r="Y1182" i="11" s="1"/>
  <c r="Z1182" i="11" s="1"/>
  <c r="AA1182" i="11" s="1"/>
  <c r="S1181" i="10"/>
  <c r="Y1181" i="11" s="1"/>
  <c r="Z1181" i="11" s="1"/>
  <c r="AA1181" i="11" s="1"/>
  <c r="S1110" i="10"/>
  <c r="Y1110" i="11" s="1"/>
  <c r="Z1110" i="11" s="1"/>
  <c r="AA1110" i="11" s="1"/>
  <c r="S1109" i="10"/>
  <c r="W1109" i="11" s="1"/>
  <c r="T1109" i="32" s="1"/>
  <c r="N306" i="9"/>
  <c r="N306" i="7"/>
  <c r="S1127" i="32"/>
  <c r="S1200" i="32"/>
  <c r="S1199" i="32"/>
  <c r="S1041" i="32"/>
  <c r="S1040" i="32"/>
  <c r="S1128" i="32"/>
  <c r="S1042" i="32"/>
  <c r="S1200" i="10"/>
  <c r="Y1200" i="11" s="1"/>
  <c r="Z1200" i="11" s="1"/>
  <c r="AA1200" i="11" s="1"/>
  <c r="S1199" i="10"/>
  <c r="Y1199" i="11" s="1"/>
  <c r="Z1199" i="11" s="1"/>
  <c r="AA1199" i="11" s="1"/>
  <c r="S1128" i="10"/>
  <c r="Y1128" i="11" s="1"/>
  <c r="Z1128" i="11" s="1"/>
  <c r="AA1128" i="11" s="1"/>
  <c r="S1042" i="10"/>
  <c r="Y1042" i="11" s="1"/>
  <c r="Z1042" i="11" s="1"/>
  <c r="AA1042" i="11" s="1"/>
  <c r="S1127" i="10"/>
  <c r="W1127" i="11" s="1"/>
  <c r="T1127" i="32" s="1"/>
  <c r="S1041" i="10"/>
  <c r="Y1041" i="11" s="1"/>
  <c r="Z1041" i="11" s="1"/>
  <c r="AA1041" i="11" s="1"/>
  <c r="S1040" i="10"/>
  <c r="W1040" i="11" s="1"/>
  <c r="T1040" i="32" s="1"/>
  <c r="S1166" i="32"/>
  <c r="S1165" i="32"/>
  <c r="S990" i="32"/>
  <c r="S1094" i="32"/>
  <c r="S991" i="32"/>
  <c r="S1093" i="32"/>
  <c r="S992" i="32"/>
  <c r="S1166" i="10"/>
  <c r="Y1166" i="11" s="1"/>
  <c r="Z1166" i="11" s="1"/>
  <c r="AA1166" i="11" s="1"/>
  <c r="S1165" i="10"/>
  <c r="W1165" i="11" s="1"/>
  <c r="T1165" i="32" s="1"/>
  <c r="S1094" i="10"/>
  <c r="W1094" i="11" s="1"/>
  <c r="T1094" i="32" s="1"/>
  <c r="S992" i="10"/>
  <c r="W992" i="11" s="1"/>
  <c r="T992" i="32" s="1"/>
  <c r="S1093" i="10"/>
  <c r="W1093" i="11" s="1"/>
  <c r="T1093" i="32" s="1"/>
  <c r="S991" i="10"/>
  <c r="W991" i="11" s="1"/>
  <c r="T991" i="32" s="1"/>
  <c r="S990" i="10"/>
  <c r="Y990" i="11" s="1"/>
  <c r="Z990" i="11" s="1"/>
  <c r="AA990" i="11" s="1"/>
  <c r="S1003" i="10"/>
  <c r="Y1003" i="11" s="1"/>
  <c r="Z1003" i="11" s="1"/>
  <c r="AA1003" i="11" s="1"/>
  <c r="N246" i="4"/>
  <c r="N252" i="4"/>
  <c r="N252" i="9"/>
  <c r="O274" i="7"/>
  <c r="O274" i="4"/>
  <c r="O274" i="9"/>
  <c r="S1197" i="32"/>
  <c r="S1038" i="32"/>
  <c r="S1198" i="32"/>
  <c r="S1126" i="32"/>
  <c r="S1039" i="32"/>
  <c r="S1125" i="32"/>
  <c r="S1037" i="32"/>
  <c r="S1198" i="10"/>
  <c r="Y1198" i="11" s="1"/>
  <c r="Z1198" i="11" s="1"/>
  <c r="AA1198" i="11" s="1"/>
  <c r="S1197" i="10"/>
  <c r="Y1197" i="11" s="1"/>
  <c r="Z1197" i="11" s="1"/>
  <c r="AA1197" i="11" s="1"/>
  <c r="S1126" i="10"/>
  <c r="Y1126" i="11" s="1"/>
  <c r="Z1126" i="11" s="1"/>
  <c r="AA1126" i="11" s="1"/>
  <c r="S1125" i="10"/>
  <c r="W1125" i="11" s="1"/>
  <c r="T1125" i="32" s="1"/>
  <c r="S1039" i="10"/>
  <c r="Y1039" i="11" s="1"/>
  <c r="Z1039" i="11" s="1"/>
  <c r="AA1039" i="11" s="1"/>
  <c r="S1164" i="32"/>
  <c r="S1091" i="32"/>
  <c r="S989" i="32"/>
  <c r="S987" i="32"/>
  <c r="S1163" i="32"/>
  <c r="S988" i="32"/>
  <c r="S1092" i="32"/>
  <c r="S1164" i="10"/>
  <c r="W1164" i="11" s="1"/>
  <c r="T1164" i="32" s="1"/>
  <c r="S1163" i="10"/>
  <c r="W1163" i="11" s="1"/>
  <c r="T1163" i="32" s="1"/>
  <c r="S1092" i="10"/>
  <c r="W1092" i="11" s="1"/>
  <c r="T1092" i="32" s="1"/>
  <c r="S1091" i="10"/>
  <c r="Y1091" i="11" s="1"/>
  <c r="Z1091" i="11" s="1"/>
  <c r="AA1091" i="11" s="1"/>
  <c r="S989" i="10"/>
  <c r="W989" i="11" s="1"/>
  <c r="S1004" i="10"/>
  <c r="W1004" i="11" s="1"/>
  <c r="T1004" i="32" s="1"/>
  <c r="S1104" i="10"/>
  <c r="S1191" i="10"/>
  <c r="Y1191" i="11" s="1"/>
  <c r="Z1191" i="11" s="1"/>
  <c r="AA1191" i="11" s="1"/>
  <c r="S1156" i="32"/>
  <c r="S1228" i="32"/>
  <c r="S1083" i="32"/>
  <c r="S1155" i="32"/>
  <c r="S1084" i="32"/>
  <c r="S1082" i="32"/>
  <c r="S1227" i="32"/>
  <c r="S1083" i="10"/>
  <c r="Y1083" i="11" s="1"/>
  <c r="Z1083" i="11" s="1"/>
  <c r="AA1083" i="11" s="1"/>
  <c r="S1082" i="10"/>
  <c r="Y1082" i="11" s="1"/>
  <c r="Z1082" i="11" s="1"/>
  <c r="AA1082" i="11" s="1"/>
  <c r="S1227" i="10"/>
  <c r="Y1227" i="11" s="1"/>
  <c r="Z1227" i="11" s="1"/>
  <c r="AA1227" i="11" s="1"/>
  <c r="S1034" i="32"/>
  <c r="S1196" i="32"/>
  <c r="S1195" i="32"/>
  <c r="S1123" i="32"/>
  <c r="S1036" i="32"/>
  <c r="S1035" i="32"/>
  <c r="S1124" i="32"/>
  <c r="S1035" i="10"/>
  <c r="Y1035" i="11" s="1"/>
  <c r="Z1035" i="11" s="1"/>
  <c r="AA1035" i="11" s="1"/>
  <c r="S1034" i="10"/>
  <c r="Y1034" i="11" s="1"/>
  <c r="Z1034" i="11" s="1"/>
  <c r="AA1034" i="11" s="1"/>
  <c r="S1196" i="10"/>
  <c r="W1196" i="11" s="1"/>
  <c r="T1196" i="32" s="1"/>
  <c r="S1195" i="10"/>
  <c r="W1195" i="11" s="1"/>
  <c r="T1195" i="32" s="1"/>
  <c r="S1090" i="32"/>
  <c r="S1161" i="32"/>
  <c r="S986" i="32"/>
  <c r="S985" i="32"/>
  <c r="S1089" i="32"/>
  <c r="S984" i="32"/>
  <c r="S1162" i="32"/>
  <c r="S985" i="10"/>
  <c r="Y985" i="11" s="1"/>
  <c r="Z985" i="11" s="1"/>
  <c r="AA985" i="11" s="1"/>
  <c r="S984" i="10"/>
  <c r="W984" i="11" s="1"/>
  <c r="S1162" i="10"/>
  <c r="Y1162" i="11" s="1"/>
  <c r="Z1162" i="11" s="1"/>
  <c r="AA1162" i="11" s="1"/>
  <c r="S1161" i="10"/>
  <c r="Y1161" i="11" s="1"/>
  <c r="Z1161" i="11" s="1"/>
  <c r="AA1161" i="11" s="1"/>
  <c r="S1018" i="10"/>
  <c r="W1018" i="11" s="1"/>
  <c r="T1018" i="32" s="1"/>
  <c r="S1105" i="10"/>
  <c r="Y1105" i="11" s="1"/>
  <c r="Z1105" i="11" s="1"/>
  <c r="AA1105" i="11" s="1"/>
  <c r="S1143" i="32"/>
  <c r="S1216" i="32"/>
  <c r="S1066" i="32"/>
  <c r="S1215" i="32"/>
  <c r="S1065" i="32"/>
  <c r="S1144" i="32"/>
  <c r="S1064" i="32"/>
  <c r="S1066" i="10"/>
  <c r="Y1066" i="11" s="1"/>
  <c r="Z1066" i="11" s="1"/>
  <c r="AA1066" i="11" s="1"/>
  <c r="S1065" i="10"/>
  <c r="Y1065" i="11" s="1"/>
  <c r="Z1065" i="11" s="1"/>
  <c r="AA1065" i="11" s="1"/>
  <c r="S1064" i="10"/>
  <c r="Y1064" i="11" s="1"/>
  <c r="Z1064" i="11" s="1"/>
  <c r="AA1064" i="11" s="1"/>
  <c r="S1216" i="10"/>
  <c r="Y1216" i="11" s="1"/>
  <c r="Z1216" i="11" s="1"/>
  <c r="AA1216" i="11" s="1"/>
  <c r="S1215" i="10"/>
  <c r="S1144" i="10"/>
  <c r="Y1144" i="11" s="1"/>
  <c r="Z1144" i="11" s="1"/>
  <c r="AA1144" i="11" s="1"/>
  <c r="S1143" i="10"/>
  <c r="W1143" i="11" s="1"/>
  <c r="T1143" i="32" s="1"/>
  <c r="S1226" i="32"/>
  <c r="S1079" i="32"/>
  <c r="S1153" i="32"/>
  <c r="S1081" i="32"/>
  <c r="S1080" i="32"/>
  <c r="S1225" i="32"/>
  <c r="S1154" i="32"/>
  <c r="S1153" i="10"/>
  <c r="Y1153" i="11" s="1"/>
  <c r="Z1153" i="11" s="1"/>
  <c r="AA1153" i="11" s="1"/>
  <c r="S1081" i="10"/>
  <c r="W1081" i="11" s="1"/>
  <c r="T1081" i="32" s="1"/>
  <c r="S1080" i="10"/>
  <c r="W1080" i="11" s="1"/>
  <c r="T1080" i="32" s="1"/>
  <c r="S1079" i="10"/>
  <c r="Y1079" i="11" s="1"/>
  <c r="Z1079" i="11" s="1"/>
  <c r="AA1079" i="11" s="1"/>
  <c r="S1030" i="32"/>
  <c r="S1119" i="32"/>
  <c r="S1191" i="32"/>
  <c r="S1031" i="32"/>
  <c r="S1192" i="32"/>
  <c r="S1120" i="32"/>
  <c r="S1029" i="32"/>
  <c r="S1119" i="10"/>
  <c r="Y1119" i="11" s="1"/>
  <c r="Z1119" i="11" s="1"/>
  <c r="AA1119" i="11" s="1"/>
  <c r="S1031" i="10"/>
  <c r="W1031" i="11" s="1"/>
  <c r="T1031" i="32" s="1"/>
  <c r="S1030" i="10"/>
  <c r="W1030" i="11" s="1"/>
  <c r="T1030" i="32" s="1"/>
  <c r="S1029" i="10"/>
  <c r="W1029" i="11" s="1"/>
  <c r="T1029" i="32" s="1"/>
  <c r="I306" i="4"/>
  <c r="L280" i="7"/>
  <c r="J292" i="7"/>
  <c r="S1019" i="10"/>
  <c r="W1019" i="11" s="1"/>
  <c r="T1019" i="32" s="1"/>
  <c r="S1106" i="10"/>
  <c r="S1208" i="10"/>
  <c r="Y1208" i="11" s="1"/>
  <c r="Z1208" i="11" s="1"/>
  <c r="AA1208" i="11" s="1"/>
  <c r="N276" i="9"/>
  <c r="N276" i="7"/>
  <c r="S1078" i="32"/>
  <c r="S1077" i="32"/>
  <c r="S1076" i="32"/>
  <c r="S1151" i="32"/>
  <c r="S1224" i="32"/>
  <c r="S1152" i="32"/>
  <c r="S1223" i="32"/>
  <c r="S1224" i="10"/>
  <c r="W1224" i="11" s="1"/>
  <c r="T1224" i="32" s="1"/>
  <c r="S1152" i="10"/>
  <c r="W1152" i="11" s="1"/>
  <c r="T1152" i="32" s="1"/>
  <c r="S1151" i="10"/>
  <c r="W1151" i="11" s="1"/>
  <c r="T1151" i="32" s="1"/>
  <c r="S1223" i="10"/>
  <c r="Y1223" i="11" s="1"/>
  <c r="Z1223" i="11" s="1"/>
  <c r="AA1223" i="11" s="1"/>
  <c r="S1078" i="10"/>
  <c r="Y1078" i="11" s="1"/>
  <c r="Z1078" i="11" s="1"/>
  <c r="AA1078" i="11" s="1"/>
  <c r="S1077" i="10"/>
  <c r="W1077" i="11" s="1"/>
  <c r="T1077" i="32" s="1"/>
  <c r="S1076" i="10"/>
  <c r="S1118" i="32"/>
  <c r="S1190" i="32"/>
  <c r="S1028" i="32"/>
  <c r="S1189" i="32"/>
  <c r="S1117" i="32"/>
  <c r="S1027" i="32"/>
  <c r="S1026" i="32"/>
  <c r="S1189" i="10"/>
  <c r="W1189" i="11" s="1"/>
  <c r="T1189" i="32" s="1"/>
  <c r="S1118" i="10"/>
  <c r="Y1118" i="11" s="1"/>
  <c r="Z1118" i="11" s="1"/>
  <c r="AA1118" i="11" s="1"/>
  <c r="S1117" i="10"/>
  <c r="Y1117" i="11" s="1"/>
  <c r="Z1117" i="11" s="1"/>
  <c r="AA1117" i="11" s="1"/>
  <c r="S1028" i="10"/>
  <c r="W1028" i="11" s="1"/>
  <c r="T1028" i="32" s="1"/>
  <c r="S1027" i="10"/>
  <c r="Y1027" i="11" s="1"/>
  <c r="Z1027" i="11" s="1"/>
  <c r="AA1027" i="11" s="1"/>
  <c r="S1026" i="10"/>
  <c r="Y1026" i="11" s="1"/>
  <c r="Z1026" i="11" s="1"/>
  <c r="AA1026" i="11" s="1"/>
  <c r="C288" i="4"/>
  <c r="S1020" i="10"/>
  <c r="W1020" i="11" s="1"/>
  <c r="T1020" i="32" s="1"/>
  <c r="S1120" i="10"/>
  <c r="Y1120" i="11" s="1"/>
  <c r="Z1120" i="11" s="1"/>
  <c r="AA1120" i="11" s="1"/>
  <c r="S1209" i="10"/>
  <c r="W1209" i="11" s="1"/>
  <c r="T1209" i="32" s="1"/>
  <c r="N270" i="7"/>
  <c r="N270" i="9"/>
  <c r="N270" i="4"/>
  <c r="N302" i="9"/>
  <c r="N302" i="7"/>
  <c r="O244" i="9"/>
  <c r="O244" i="7"/>
  <c r="N250" i="4"/>
  <c r="N250" i="9"/>
  <c r="N250" i="7"/>
  <c r="O250" i="4"/>
  <c r="O250" i="9"/>
  <c r="O250" i="7"/>
  <c r="H288" i="4"/>
  <c r="S1075" i="32"/>
  <c r="S1150" i="32"/>
  <c r="S1222" i="32"/>
  <c r="S1149" i="32"/>
  <c r="S1073" i="32"/>
  <c r="S1221" i="32"/>
  <c r="S1074" i="32"/>
  <c r="S1222" i="10"/>
  <c r="S1221" i="10"/>
  <c r="Y1221" i="11" s="1"/>
  <c r="Z1221" i="11" s="1"/>
  <c r="AA1221" i="11" s="1"/>
  <c r="S1150" i="10"/>
  <c r="Y1150" i="11" s="1"/>
  <c r="Z1150" i="11" s="1"/>
  <c r="AA1150" i="11" s="1"/>
  <c r="S1149" i="10"/>
  <c r="Y1149" i="11" s="1"/>
  <c r="Z1149" i="11" s="1"/>
  <c r="AA1149" i="11" s="1"/>
  <c r="S1075" i="10"/>
  <c r="Y1075" i="11" s="1"/>
  <c r="Z1075" i="11" s="1"/>
  <c r="AA1075" i="11" s="1"/>
  <c r="S1074" i="10"/>
  <c r="S1073" i="10"/>
  <c r="W1073" i="11" s="1"/>
  <c r="T1073" i="32" s="1"/>
  <c r="S1115" i="32"/>
  <c r="S1187" i="32"/>
  <c r="S1023" i="32"/>
  <c r="S1025" i="32"/>
  <c r="S1024" i="32"/>
  <c r="S1188" i="32"/>
  <c r="S1116" i="32"/>
  <c r="S1188" i="10"/>
  <c r="Y1188" i="11" s="1"/>
  <c r="Z1188" i="11" s="1"/>
  <c r="AA1188" i="11" s="1"/>
  <c r="S1187" i="10"/>
  <c r="S1116" i="10"/>
  <c r="W1116" i="11" s="1"/>
  <c r="T1116" i="32" s="1"/>
  <c r="S1115" i="10"/>
  <c r="Y1115" i="11" s="1"/>
  <c r="Z1115" i="11" s="1"/>
  <c r="AA1115" i="11" s="1"/>
  <c r="S1025" i="10"/>
  <c r="Y1025" i="11" s="1"/>
  <c r="Z1025" i="11" s="1"/>
  <c r="AA1025" i="11" s="1"/>
  <c r="S1024" i="10"/>
  <c r="W1024" i="11" s="1"/>
  <c r="T1024" i="32" s="1"/>
  <c r="S1023" i="10"/>
  <c r="Y1023" i="11" s="1"/>
  <c r="Z1023" i="11" s="1"/>
  <c r="AA1023" i="11" s="1"/>
  <c r="M304" i="4"/>
  <c r="O270" i="4"/>
  <c r="S1036" i="10"/>
  <c r="W1036" i="11" s="1"/>
  <c r="T1036" i="32" s="1"/>
  <c r="S1123" i="10"/>
  <c r="S1210" i="10"/>
  <c r="AH1180" i="10"/>
  <c r="AK1180" i="10" s="1"/>
  <c r="AH1164" i="10"/>
  <c r="AG1223" i="10"/>
  <c r="AG1168" i="10"/>
  <c r="AH1190" i="10"/>
  <c r="AK1190" i="10" s="1"/>
  <c r="AH1174" i="10"/>
  <c r="AK1174" i="10" s="1"/>
  <c r="AG1211" i="10"/>
  <c r="AG1185" i="10"/>
  <c r="AH1206" i="10"/>
  <c r="AH1188" i="10"/>
  <c r="AK1188" i="10" s="1"/>
  <c r="AH1172" i="10"/>
  <c r="AG1209" i="10"/>
  <c r="AH1142" i="10"/>
  <c r="AH1108" i="10"/>
  <c r="AH1092" i="10"/>
  <c r="AG1136" i="10"/>
  <c r="AG1108" i="10"/>
  <c r="AG1130" i="10"/>
  <c r="AH1223" i="10"/>
  <c r="AH1207" i="10"/>
  <c r="AH1189" i="10"/>
  <c r="AH1173" i="10"/>
  <c r="AH1141" i="10"/>
  <c r="AH1125" i="10"/>
  <c r="AH1107" i="10"/>
  <c r="AH1091" i="10"/>
  <c r="AG1210" i="10"/>
  <c r="AG1184" i="10"/>
  <c r="AG1135" i="10"/>
  <c r="AG1107" i="10"/>
  <c r="AG1093" i="10"/>
  <c r="AG1131" i="10"/>
  <c r="AH1156" i="10"/>
  <c r="AH1221" i="10"/>
  <c r="AH1205" i="10"/>
  <c r="AH1187" i="10"/>
  <c r="AH1171" i="10"/>
  <c r="AH1155" i="10"/>
  <c r="AH1139" i="10"/>
  <c r="AH1123" i="10"/>
  <c r="AH1105" i="10"/>
  <c r="AH1089" i="10"/>
  <c r="AG1207" i="10"/>
  <c r="AG1178" i="10"/>
  <c r="AG1155" i="10"/>
  <c r="AG1133" i="10"/>
  <c r="AG1105" i="10"/>
  <c r="AG1095" i="10"/>
  <c r="AG1143" i="10"/>
  <c r="AG1182" i="10"/>
  <c r="AH1124" i="10"/>
  <c r="AH1220" i="10"/>
  <c r="AH1204" i="10"/>
  <c r="AH1186" i="10"/>
  <c r="AH1170" i="10"/>
  <c r="AH1154" i="10"/>
  <c r="AH1138" i="10"/>
  <c r="AH1120" i="10"/>
  <c r="AH1104" i="10"/>
  <c r="AG1204" i="10"/>
  <c r="AG1177" i="10"/>
  <c r="AG1154" i="10"/>
  <c r="AG1126" i="10"/>
  <c r="AG1104" i="10"/>
  <c r="AH1090" i="10"/>
  <c r="AH1219" i="10"/>
  <c r="AH1203" i="10"/>
  <c r="AH1185" i="10"/>
  <c r="AH1169" i="10"/>
  <c r="AH1153" i="10"/>
  <c r="AH1137" i="10"/>
  <c r="AH1119" i="10"/>
  <c r="AH1103" i="10"/>
  <c r="AG1202" i="10"/>
  <c r="AH1140" i="10"/>
  <c r="AH1218" i="10"/>
  <c r="AH1202" i="10"/>
  <c r="AH1184" i="10"/>
  <c r="AH1168" i="10"/>
  <c r="AH1152" i="10"/>
  <c r="AH1136" i="10"/>
  <c r="AH1118" i="10"/>
  <c r="AH1102" i="10"/>
  <c r="AG1228" i="10"/>
  <c r="AG1201" i="10"/>
  <c r="AG1175" i="10"/>
  <c r="AG1152" i="10"/>
  <c r="AG1124" i="10"/>
  <c r="AG1102" i="10"/>
  <c r="AG1099" i="10"/>
  <c r="AG1146" i="10"/>
  <c r="AH1106" i="10"/>
  <c r="AH1217" i="10"/>
  <c r="AH1201" i="10"/>
  <c r="AH1183" i="10"/>
  <c r="AH1167" i="10"/>
  <c r="AH1151" i="10"/>
  <c r="AH1135" i="10"/>
  <c r="AH1117" i="10"/>
  <c r="AH1101" i="10"/>
  <c r="AG1227" i="10"/>
  <c r="AG1200" i="10"/>
  <c r="AG1173" i="10"/>
  <c r="AG1151" i="10"/>
  <c r="AG1123" i="10"/>
  <c r="AG1101" i="10"/>
  <c r="AG1109" i="10"/>
  <c r="AH1216" i="10"/>
  <c r="AH1200" i="10"/>
  <c r="AH1182" i="10"/>
  <c r="AH1166" i="10"/>
  <c r="AH1150" i="10"/>
  <c r="AH1134" i="10"/>
  <c r="AH1116" i="10"/>
  <c r="AH1100" i="10"/>
  <c r="AG1226" i="10"/>
  <c r="AG1196" i="10"/>
  <c r="AG1170" i="10"/>
  <c r="AG1150" i="10"/>
  <c r="AG1100" i="10"/>
  <c r="AG1110" i="10"/>
  <c r="AG1148" i="10"/>
  <c r="AH1215" i="10"/>
  <c r="AH1199" i="10"/>
  <c r="AH1181" i="10"/>
  <c r="AH1165" i="10"/>
  <c r="AH1149" i="10"/>
  <c r="AH1133" i="10"/>
  <c r="AH1115" i="10"/>
  <c r="AH1099" i="10"/>
  <c r="AG1225" i="10"/>
  <c r="AG1195" i="10"/>
  <c r="AG1169" i="10"/>
  <c r="AG1149" i="10"/>
  <c r="AG1098" i="10"/>
  <c r="AG1111" i="10"/>
  <c r="AG1163" i="10"/>
  <c r="AG1199" i="10"/>
  <c r="AH1126" i="10"/>
  <c r="AG1120" i="10"/>
  <c r="AG1112" i="10"/>
  <c r="AG1164" i="10"/>
  <c r="AG1203" i="10"/>
  <c r="AH1148" i="10"/>
  <c r="AH1213" i="10"/>
  <c r="AH1197" i="10"/>
  <c r="AH1179" i="10"/>
  <c r="AH1163" i="10"/>
  <c r="AH1147" i="10"/>
  <c r="AH1131" i="10"/>
  <c r="AH1113" i="10"/>
  <c r="AH1097" i="10"/>
  <c r="AG1220" i="10"/>
  <c r="AH1198" i="10"/>
  <c r="AH1098" i="10"/>
  <c r="AG1092" i="10"/>
  <c r="AH1228" i="10"/>
  <c r="AH1212" i="10"/>
  <c r="AH1196" i="10"/>
  <c r="AH1178" i="10"/>
  <c r="AH1162" i="10"/>
  <c r="AH1146" i="10"/>
  <c r="AH1130" i="10"/>
  <c r="AH1112" i="10"/>
  <c r="AH1096" i="10"/>
  <c r="AG1218" i="10"/>
  <c r="AG1192" i="10"/>
  <c r="AG1162" i="10"/>
  <c r="AG1140" i="10"/>
  <c r="AG1118" i="10"/>
  <c r="AG1090" i="10"/>
  <c r="AH1227" i="10"/>
  <c r="AH1211" i="10"/>
  <c r="AH1195" i="10"/>
  <c r="AH1177" i="10"/>
  <c r="AH1161" i="10"/>
  <c r="AH1129" i="10"/>
  <c r="AH1111" i="10"/>
  <c r="AH1095" i="10"/>
  <c r="AG1217" i="10"/>
  <c r="AH1214" i="10"/>
  <c r="AH1114" i="10"/>
  <c r="AG1142" i="10"/>
  <c r="AH1226" i="10"/>
  <c r="AH1210" i="10"/>
  <c r="AH1192" i="10"/>
  <c r="AH1176" i="10"/>
  <c r="AH1144" i="10"/>
  <c r="AH1128" i="10"/>
  <c r="AH1110" i="10"/>
  <c r="AH1094" i="10"/>
  <c r="AG1216" i="10"/>
  <c r="AG1189" i="10"/>
  <c r="AG1138" i="10"/>
  <c r="AG1116" i="10"/>
  <c r="AH1132" i="10"/>
  <c r="AH1225" i="10"/>
  <c r="AH1209" i="10"/>
  <c r="AH1191" i="10"/>
  <c r="AH1175" i="10"/>
  <c r="AH1143" i="10"/>
  <c r="AH1127" i="10"/>
  <c r="AH1109" i="10"/>
  <c r="AH1093" i="10"/>
  <c r="AG1212" i="10"/>
  <c r="AG1186" i="10"/>
  <c r="AG1137" i="10"/>
  <c r="AG1114" i="10"/>
  <c r="AG1129" i="10"/>
  <c r="AG1167" i="10"/>
  <c r="AG1141" i="10"/>
  <c r="AG1119" i="10"/>
  <c r="AG1091" i="10"/>
  <c r="AG1113" i="10"/>
  <c r="AG1165" i="10"/>
  <c r="AG1205" i="10"/>
  <c r="AG1115" i="10"/>
  <c r="AG1166" i="10"/>
  <c r="AG1206" i="10"/>
  <c r="AG1191" i="10"/>
  <c r="AG1161" i="10"/>
  <c r="AG1139" i="10"/>
  <c r="AG1117" i="10"/>
  <c r="AG1089" i="10"/>
  <c r="AG1127" i="10"/>
  <c r="AG1171" i="10"/>
  <c r="AG1208" i="10"/>
  <c r="AG1128" i="10"/>
  <c r="AG1172" i="10"/>
  <c r="AG1213" i="10"/>
  <c r="AG1174" i="10"/>
  <c r="AG1214" i="10"/>
  <c r="AG1179" i="10"/>
  <c r="AG1215" i="10"/>
  <c r="AG1180" i="10"/>
  <c r="AG1219" i="10"/>
  <c r="AG1183" i="10"/>
  <c r="AG1156" i="10"/>
  <c r="AG1134" i="10"/>
  <c r="AG1106" i="10"/>
  <c r="AG1094" i="10"/>
  <c r="AG1132" i="10"/>
  <c r="AG1181" i="10"/>
  <c r="AG1221" i="10"/>
  <c r="AG1222" i="10"/>
  <c r="AG1096" i="10"/>
  <c r="AG1144" i="10"/>
  <c r="AG1187" i="10"/>
  <c r="AG1224" i="10"/>
  <c r="AG1176" i="10"/>
  <c r="AG1153" i="10"/>
  <c r="AG1125" i="10"/>
  <c r="AG1103" i="10"/>
  <c r="AG1097" i="10"/>
  <c r="AG1188" i="10"/>
  <c r="AG1190" i="10"/>
  <c r="AG1147" i="10"/>
  <c r="AG1197" i="10"/>
  <c r="AG1198" i="10"/>
  <c r="Y1052" i="11"/>
  <c r="Z1052" i="11" s="1"/>
  <c r="AA1052" i="11" s="1"/>
  <c r="W1052" i="11"/>
  <c r="T1052" i="32" s="1"/>
  <c r="Y1084" i="11"/>
  <c r="Z1084" i="11" s="1"/>
  <c r="AA1084" i="11" s="1"/>
  <c r="W1084" i="11"/>
  <c r="T1084" i="32" s="1"/>
  <c r="Y1138" i="11"/>
  <c r="Z1138" i="11" s="1"/>
  <c r="AA1138" i="11" s="1"/>
  <c r="W1138" i="11"/>
  <c r="T1138" i="32" s="1"/>
  <c r="Y1154" i="11"/>
  <c r="Z1154" i="11" s="1"/>
  <c r="AA1154" i="11" s="1"/>
  <c r="W1154" i="11"/>
  <c r="T1154" i="32" s="1"/>
  <c r="Y1190" i="11"/>
  <c r="Z1190" i="11" s="1"/>
  <c r="AA1190" i="11" s="1"/>
  <c r="W1190" i="11"/>
  <c r="T1190" i="32" s="1"/>
  <c r="Y1037" i="11"/>
  <c r="Z1037" i="11" s="1"/>
  <c r="AA1037" i="11" s="1"/>
  <c r="W1037" i="11"/>
  <c r="T1037" i="32" s="1"/>
  <c r="Y1069" i="11"/>
  <c r="Z1069" i="11" s="1"/>
  <c r="AA1069" i="11" s="1"/>
  <c r="W1069" i="11"/>
  <c r="T1069" i="32" s="1"/>
  <c r="Y1139" i="11"/>
  <c r="Z1139" i="11" s="1"/>
  <c r="AA1139" i="11" s="1"/>
  <c r="W1139" i="11"/>
  <c r="T1139" i="32" s="1"/>
  <c r="Y988" i="11"/>
  <c r="Z988" i="11" s="1"/>
  <c r="AA988" i="11" s="1"/>
  <c r="W988" i="11"/>
  <c r="Y1038" i="11"/>
  <c r="Z1038" i="11" s="1"/>
  <c r="AA1038" i="11" s="1"/>
  <c r="W1038" i="11"/>
  <c r="T1038" i="32" s="1"/>
  <c r="Y1054" i="11"/>
  <c r="Z1054" i="11" s="1"/>
  <c r="AA1054" i="11" s="1"/>
  <c r="W1054" i="11"/>
  <c r="T1054" i="32" s="1"/>
  <c r="Y1090" i="11"/>
  <c r="Z1090" i="11" s="1"/>
  <c r="AA1090" i="11" s="1"/>
  <c r="W1090" i="11"/>
  <c r="T1090" i="32" s="1"/>
  <c r="Y1124" i="11"/>
  <c r="Z1124" i="11" s="1"/>
  <c r="AA1124" i="11" s="1"/>
  <c r="W1124" i="11"/>
  <c r="T1124" i="32" s="1"/>
  <c r="Y1140" i="11"/>
  <c r="Z1140" i="11" s="1"/>
  <c r="AA1140" i="11" s="1"/>
  <c r="W1140" i="11"/>
  <c r="T1140" i="32" s="1"/>
  <c r="Y1192" i="11"/>
  <c r="Z1192" i="11" s="1"/>
  <c r="AA1192" i="11" s="1"/>
  <c r="W1192" i="11"/>
  <c r="T1192" i="32" s="1"/>
  <c r="Y1228" i="11"/>
  <c r="Z1228" i="11" s="1"/>
  <c r="AA1228" i="11" s="1"/>
  <c r="W1228" i="11"/>
  <c r="T1228" i="32" s="1"/>
  <c r="AI158" i="12" l="1"/>
  <c r="U158" i="12"/>
  <c r="AI144" i="12"/>
  <c r="U144" i="12"/>
  <c r="N284" i="4"/>
  <c r="H290" i="9"/>
  <c r="H250" i="4"/>
  <c r="H290" i="7"/>
  <c r="L258" i="9"/>
  <c r="C276" i="9"/>
  <c r="H290" i="4"/>
  <c r="L258" i="4"/>
  <c r="I272" i="4"/>
  <c r="J266" i="7"/>
  <c r="O264" i="4"/>
  <c r="L258" i="7"/>
  <c r="F294" i="4"/>
  <c r="G256" i="4"/>
  <c r="J250" i="7"/>
  <c r="G250" i="9"/>
  <c r="G256" i="9"/>
  <c r="G250" i="4"/>
  <c r="G256" i="7"/>
  <c r="G250" i="7"/>
  <c r="E262" i="4"/>
  <c r="E262" i="9"/>
  <c r="N278" i="4"/>
  <c r="H302" i="7"/>
  <c r="E262" i="7"/>
  <c r="H302" i="4"/>
  <c r="H302" i="9"/>
  <c r="H288" i="9"/>
  <c r="L260" i="9"/>
  <c r="O272" i="9"/>
  <c r="O264" i="9"/>
  <c r="H280" i="7"/>
  <c r="O266" i="4"/>
  <c r="F254" i="7"/>
  <c r="J262" i="9"/>
  <c r="F276" i="9"/>
  <c r="W1221" i="11"/>
  <c r="T1221" i="32" s="1"/>
  <c r="W1115" i="11"/>
  <c r="T1115" i="32" s="1"/>
  <c r="Y992" i="11"/>
  <c r="Z992" i="11" s="1"/>
  <c r="AA992" i="11" s="1"/>
  <c r="Y1022" i="11"/>
  <c r="Z1022" i="11" s="1"/>
  <c r="AA1022" i="11" s="1"/>
  <c r="Y1133" i="11"/>
  <c r="Z1133" i="11" s="1"/>
  <c r="AA1133" i="11" s="1"/>
  <c r="M284" i="4"/>
  <c r="I270" i="4"/>
  <c r="I270" i="9"/>
  <c r="O300" i="9"/>
  <c r="O266" i="7"/>
  <c r="K290" i="7"/>
  <c r="I270" i="7"/>
  <c r="J246" i="4"/>
  <c r="K290" i="4"/>
  <c r="M264" i="9"/>
  <c r="J306" i="4"/>
  <c r="L306" i="4"/>
  <c r="I250" i="4"/>
  <c r="M264" i="7"/>
  <c r="M284" i="7"/>
  <c r="O300" i="4"/>
  <c r="I250" i="7"/>
  <c r="E304" i="9"/>
  <c r="K290" i="9"/>
  <c r="J266" i="4"/>
  <c r="M284" i="9"/>
  <c r="H250" i="9"/>
  <c r="O278" i="4"/>
  <c r="O278" i="9"/>
  <c r="H250" i="7"/>
  <c r="J264" i="9"/>
  <c r="J264" i="7"/>
  <c r="E304" i="4"/>
  <c r="J266" i="28"/>
  <c r="J258" i="4"/>
  <c r="I250" i="28"/>
  <c r="F286" i="7"/>
  <c r="G292" i="4"/>
  <c r="G286" i="7"/>
  <c r="H286" i="7"/>
  <c r="H286" i="28"/>
  <c r="G248" i="9"/>
  <c r="N304" i="9"/>
  <c r="M306" i="4"/>
  <c r="N304" i="7"/>
  <c r="J280" i="4"/>
  <c r="I276" i="7"/>
  <c r="J280" i="9"/>
  <c r="M280" i="4"/>
  <c r="G292" i="7"/>
  <c r="M280" i="9"/>
  <c r="G292" i="9"/>
  <c r="L250" i="7"/>
  <c r="E248" i="7"/>
  <c r="I272" i="9"/>
  <c r="L250" i="9"/>
  <c r="J246" i="9"/>
  <c r="I272" i="7"/>
  <c r="M248" i="7"/>
  <c r="J246" i="7"/>
  <c r="M264" i="4"/>
  <c r="K250" i="9"/>
  <c r="E258" i="7"/>
  <c r="O282" i="7"/>
  <c r="O282" i="9"/>
  <c r="N262" i="7"/>
  <c r="J270" i="4"/>
  <c r="K268" i="9"/>
  <c r="O254" i="7"/>
  <c r="H286" i="4"/>
  <c r="O276" i="7"/>
  <c r="I306" i="7"/>
  <c r="G274" i="7"/>
  <c r="M280" i="7"/>
  <c r="F270" i="9"/>
  <c r="O254" i="9"/>
  <c r="N286" i="7"/>
  <c r="C284" i="9"/>
  <c r="I278" i="7"/>
  <c r="N262" i="4"/>
  <c r="K268" i="4"/>
  <c r="L252" i="7"/>
  <c r="O276" i="9"/>
  <c r="F296" i="7"/>
  <c r="E258" i="9"/>
  <c r="K254" i="9"/>
  <c r="F304" i="9"/>
  <c r="F278" i="7"/>
  <c r="K268" i="7"/>
  <c r="K254" i="7"/>
  <c r="H258" i="7"/>
  <c r="J290" i="7"/>
  <c r="L274" i="4"/>
  <c r="N286" i="4"/>
  <c r="H298" i="28"/>
  <c r="G266" i="7"/>
  <c r="N248" i="4"/>
  <c r="J260" i="4"/>
  <c r="K252" i="7"/>
  <c r="F270" i="7"/>
  <c r="I264" i="9"/>
  <c r="H298" i="4"/>
  <c r="F278" i="4"/>
  <c r="K254" i="4"/>
  <c r="E258" i="4"/>
  <c r="N248" i="9"/>
  <c r="J260" i="7"/>
  <c r="K252" i="9"/>
  <c r="F270" i="4"/>
  <c r="J306" i="9"/>
  <c r="I298" i="7"/>
  <c r="F278" i="9"/>
  <c r="I298" i="28"/>
  <c r="O292" i="9"/>
  <c r="J260" i="9"/>
  <c r="I298" i="4"/>
  <c r="G266" i="9"/>
  <c r="I290" i="4"/>
  <c r="M262" i="7"/>
  <c r="G266" i="4"/>
  <c r="G248" i="7"/>
  <c r="F244" i="4"/>
  <c r="I260" i="4"/>
  <c r="M244" i="9"/>
  <c r="G248" i="4"/>
  <c r="K258" i="7"/>
  <c r="I290" i="7"/>
  <c r="M274" i="9"/>
  <c r="I286" i="7"/>
  <c r="L290" i="9"/>
  <c r="M278" i="4"/>
  <c r="L280" i="9"/>
  <c r="J278" i="7"/>
  <c r="M252" i="4"/>
  <c r="E256" i="4"/>
  <c r="O306" i="7"/>
  <c r="G258" i="4"/>
  <c r="J278" i="4"/>
  <c r="J306" i="7"/>
  <c r="K288" i="7"/>
  <c r="J286" i="4"/>
  <c r="J286" i="28"/>
  <c r="M252" i="9"/>
  <c r="G252" i="4"/>
  <c r="G264" i="9"/>
  <c r="J286" i="9"/>
  <c r="K258" i="9"/>
  <c r="H258" i="9"/>
  <c r="J270" i="9"/>
  <c r="H280" i="4"/>
  <c r="K296" i="7"/>
  <c r="C264" i="28"/>
  <c r="J278" i="9"/>
  <c r="K258" i="4"/>
  <c r="H258" i="4"/>
  <c r="E274" i="7"/>
  <c r="K284" i="7"/>
  <c r="K296" i="9"/>
  <c r="M288" i="7"/>
  <c r="O288" i="4"/>
  <c r="G268" i="7"/>
  <c r="M252" i="7"/>
  <c r="G258" i="7"/>
  <c r="N282" i="7"/>
  <c r="K284" i="9"/>
  <c r="E292" i="7"/>
  <c r="F272" i="9"/>
  <c r="M288" i="9"/>
  <c r="C304" i="28"/>
  <c r="G258" i="9"/>
  <c r="I256" i="7"/>
  <c r="N292" i="9"/>
  <c r="N282" i="9"/>
  <c r="F264" i="4"/>
  <c r="E290" i="9"/>
  <c r="K284" i="4"/>
  <c r="G276" i="7"/>
  <c r="O288" i="7"/>
  <c r="I286" i="9"/>
  <c r="J292" i="28"/>
  <c r="G290" i="4"/>
  <c r="L292" i="7"/>
  <c r="I286" i="4"/>
  <c r="G278" i="28"/>
  <c r="I300" i="4"/>
  <c r="I246" i="9"/>
  <c r="E276" i="9"/>
  <c r="I290" i="9"/>
  <c r="L284" i="4"/>
  <c r="M278" i="7"/>
  <c r="C272" i="9"/>
  <c r="E286" i="4"/>
  <c r="O280" i="4"/>
  <c r="E276" i="7"/>
  <c r="L278" i="9"/>
  <c r="G270" i="4"/>
  <c r="K252" i="4"/>
  <c r="G264" i="4"/>
  <c r="N278" i="7"/>
  <c r="G252" i="28"/>
  <c r="J272" i="4"/>
  <c r="L294" i="9"/>
  <c r="O306" i="9"/>
  <c r="J274" i="7"/>
  <c r="I278" i="9"/>
  <c r="N268" i="7"/>
  <c r="F300" i="9"/>
  <c r="G252" i="7"/>
  <c r="I256" i="9"/>
  <c r="K262" i="4"/>
  <c r="E306" i="7"/>
  <c r="M254" i="4"/>
  <c r="J274" i="9"/>
  <c r="G286" i="4"/>
  <c r="K246" i="7"/>
  <c r="G270" i="28"/>
  <c r="C296" i="9"/>
  <c r="I292" i="4"/>
  <c r="L278" i="7"/>
  <c r="K262" i="9"/>
  <c r="G306" i="7"/>
  <c r="L278" i="4"/>
  <c r="J270" i="7"/>
  <c r="E270" i="7"/>
  <c r="N268" i="9"/>
  <c r="E248" i="4"/>
  <c r="M254" i="7"/>
  <c r="M288" i="4"/>
  <c r="O304" i="9"/>
  <c r="J252" i="7"/>
  <c r="K274" i="7"/>
  <c r="L256" i="7"/>
  <c r="G254" i="7"/>
  <c r="E248" i="9"/>
  <c r="M274" i="28"/>
  <c r="J262" i="7"/>
  <c r="J262" i="4"/>
  <c r="K280" i="9"/>
  <c r="G286" i="9"/>
  <c r="K246" i="9"/>
  <c r="K280" i="7"/>
  <c r="G290" i="7"/>
  <c r="M254" i="9"/>
  <c r="O304" i="7"/>
  <c r="E268" i="4"/>
  <c r="M282" i="7"/>
  <c r="J252" i="9"/>
  <c r="O248" i="4"/>
  <c r="K266" i="4"/>
  <c r="L266" i="4"/>
  <c r="K274" i="9"/>
  <c r="J296" i="7"/>
  <c r="G298" i="4"/>
  <c r="L274" i="28"/>
  <c r="K280" i="4"/>
  <c r="J274" i="4"/>
  <c r="G270" i="9"/>
  <c r="G260" i="7"/>
  <c r="K248" i="4"/>
  <c r="L294" i="4"/>
  <c r="I300" i="9"/>
  <c r="J252" i="4"/>
  <c r="O248" i="9"/>
  <c r="I280" i="7"/>
  <c r="K274" i="4"/>
  <c r="H298" i="9"/>
  <c r="J296" i="9"/>
  <c r="L274" i="7"/>
  <c r="N300" i="9"/>
  <c r="L294" i="7"/>
  <c r="I262" i="7"/>
  <c r="K262" i="7"/>
  <c r="C296" i="4"/>
  <c r="K246" i="4"/>
  <c r="M248" i="4"/>
  <c r="I300" i="7"/>
  <c r="I280" i="4"/>
  <c r="J296" i="4"/>
  <c r="K282" i="9"/>
  <c r="K266" i="9"/>
  <c r="E282" i="9"/>
  <c r="G298" i="28"/>
  <c r="I278" i="28"/>
  <c r="F302" i="4"/>
  <c r="J248" i="9"/>
  <c r="M248" i="9"/>
  <c r="I280" i="9"/>
  <c r="N246" i="7"/>
  <c r="N300" i="4"/>
  <c r="G298" i="7"/>
  <c r="I302" i="7"/>
  <c r="K292" i="7"/>
  <c r="H260" i="9"/>
  <c r="M294" i="7"/>
  <c r="G246" i="9"/>
  <c r="L246" i="4"/>
  <c r="E298" i="9"/>
  <c r="L260" i="7"/>
  <c r="E246" i="7"/>
  <c r="N294" i="9"/>
  <c r="L284" i="9"/>
  <c r="G264" i="7"/>
  <c r="H282" i="7"/>
  <c r="I264" i="4"/>
  <c r="L304" i="9"/>
  <c r="H266" i="9"/>
  <c r="H278" i="9"/>
  <c r="C250" i="28"/>
  <c r="M302" i="7"/>
  <c r="F246" i="9"/>
  <c r="L302" i="9"/>
  <c r="E256" i="9"/>
  <c r="E284" i="7"/>
  <c r="I256" i="4"/>
  <c r="I296" i="4"/>
  <c r="M294" i="9"/>
  <c r="E280" i="7"/>
  <c r="M256" i="7"/>
  <c r="L304" i="7"/>
  <c r="G262" i="9"/>
  <c r="N274" i="7"/>
  <c r="L266" i="9"/>
  <c r="E296" i="7"/>
  <c r="E284" i="4"/>
  <c r="O286" i="4"/>
  <c r="I302" i="9"/>
  <c r="M270" i="7"/>
  <c r="F246" i="7"/>
  <c r="E256" i="7"/>
  <c r="E284" i="9"/>
  <c r="N294" i="4"/>
  <c r="K306" i="4"/>
  <c r="G290" i="9"/>
  <c r="E280" i="9"/>
  <c r="E280" i="4"/>
  <c r="E252" i="4"/>
  <c r="M268" i="7"/>
  <c r="N274" i="4"/>
  <c r="J254" i="4"/>
  <c r="L272" i="28"/>
  <c r="M274" i="7"/>
  <c r="J268" i="7"/>
  <c r="M294" i="4"/>
  <c r="N272" i="4"/>
  <c r="N292" i="7"/>
  <c r="N260" i="7"/>
  <c r="G296" i="9"/>
  <c r="M292" i="9"/>
  <c r="I268" i="7"/>
  <c r="K270" i="4"/>
  <c r="J304" i="9"/>
  <c r="N264" i="4"/>
  <c r="O298" i="7"/>
  <c r="M268" i="4"/>
  <c r="H252" i="7"/>
  <c r="M300" i="7"/>
  <c r="K266" i="7"/>
  <c r="J302" i="28"/>
  <c r="G296" i="28"/>
  <c r="H266" i="4"/>
  <c r="O286" i="9"/>
  <c r="H278" i="7"/>
  <c r="L272" i="9"/>
  <c r="N260" i="9"/>
  <c r="I268" i="9"/>
  <c r="K270" i="9"/>
  <c r="I248" i="7"/>
  <c r="J302" i="7"/>
  <c r="E268" i="7"/>
  <c r="H292" i="7"/>
  <c r="N264" i="9"/>
  <c r="O298" i="9"/>
  <c r="E260" i="7"/>
  <c r="K292" i="4"/>
  <c r="N288" i="7"/>
  <c r="H252" i="4"/>
  <c r="J302" i="4"/>
  <c r="G296" i="4"/>
  <c r="M278" i="9"/>
  <c r="H266" i="7"/>
  <c r="O260" i="9"/>
  <c r="I268" i="4"/>
  <c r="K270" i="7"/>
  <c r="I248" i="4"/>
  <c r="E268" i="9"/>
  <c r="N254" i="4"/>
  <c r="M286" i="9"/>
  <c r="E260" i="9"/>
  <c r="N288" i="9"/>
  <c r="E272" i="4"/>
  <c r="H246" i="28"/>
  <c r="E288" i="28"/>
  <c r="C256" i="28"/>
  <c r="L272" i="7"/>
  <c r="F272" i="7"/>
  <c r="F246" i="4"/>
  <c r="M268" i="9"/>
  <c r="N256" i="7"/>
  <c r="K306" i="9"/>
  <c r="H246" i="9"/>
  <c r="G288" i="4"/>
  <c r="O262" i="7"/>
  <c r="I248" i="9"/>
  <c r="G300" i="9"/>
  <c r="E278" i="4"/>
  <c r="L262" i="9"/>
  <c r="N254" i="9"/>
  <c r="M286" i="4"/>
  <c r="E260" i="4"/>
  <c r="E272" i="9"/>
  <c r="H246" i="4"/>
  <c r="E288" i="7"/>
  <c r="C278" i="28"/>
  <c r="F280" i="4"/>
  <c r="K292" i="28"/>
  <c r="I302" i="28"/>
  <c r="F290" i="7"/>
  <c r="L246" i="9"/>
  <c r="G288" i="7"/>
  <c r="H248" i="9"/>
  <c r="G304" i="9"/>
  <c r="O262" i="4"/>
  <c r="E246" i="4"/>
  <c r="E278" i="9"/>
  <c r="L262" i="7"/>
  <c r="H282" i="9"/>
  <c r="M286" i="7"/>
  <c r="H284" i="4"/>
  <c r="E272" i="7"/>
  <c r="G304" i="28"/>
  <c r="K306" i="28"/>
  <c r="F280" i="9"/>
  <c r="L266" i="7"/>
  <c r="J254" i="7"/>
  <c r="J254" i="9"/>
  <c r="M300" i="28"/>
  <c r="E302" i="9"/>
  <c r="L246" i="7"/>
  <c r="G288" i="9"/>
  <c r="L260" i="4"/>
  <c r="E246" i="9"/>
  <c r="E278" i="7"/>
  <c r="L262" i="4"/>
  <c r="L284" i="7"/>
  <c r="N280" i="9"/>
  <c r="H282" i="4"/>
  <c r="I264" i="7"/>
  <c r="G304" i="7"/>
  <c r="L304" i="28"/>
  <c r="I246" i="28"/>
  <c r="F274" i="4"/>
  <c r="K278" i="9"/>
  <c r="I284" i="7"/>
  <c r="H288" i="7"/>
  <c r="F298" i="9"/>
  <c r="E276" i="4"/>
  <c r="F258" i="9"/>
  <c r="N272" i="7"/>
  <c r="F264" i="7"/>
  <c r="M300" i="4"/>
  <c r="O260" i="7"/>
  <c r="K278" i="7"/>
  <c r="J284" i="4"/>
  <c r="I284" i="9"/>
  <c r="H252" i="9"/>
  <c r="K250" i="4"/>
  <c r="K276" i="4"/>
  <c r="K298" i="7"/>
  <c r="I246" i="7"/>
  <c r="L300" i="9"/>
  <c r="L270" i="4"/>
  <c r="E298" i="7"/>
  <c r="F268" i="9"/>
  <c r="I254" i="9"/>
  <c r="G282" i="4"/>
  <c r="F248" i="4"/>
  <c r="N280" i="4"/>
  <c r="L264" i="4"/>
  <c r="M276" i="9"/>
  <c r="E296" i="9"/>
  <c r="K276" i="9"/>
  <c r="E288" i="4"/>
  <c r="L288" i="7"/>
  <c r="L250" i="28"/>
  <c r="I258" i="7"/>
  <c r="G278" i="9"/>
  <c r="F258" i="7"/>
  <c r="F268" i="7"/>
  <c r="K296" i="4"/>
  <c r="K278" i="4"/>
  <c r="H272" i="4"/>
  <c r="K276" i="7"/>
  <c r="J244" i="4"/>
  <c r="K298" i="4"/>
  <c r="L288" i="4"/>
  <c r="H256" i="4"/>
  <c r="O294" i="7"/>
  <c r="K260" i="4"/>
  <c r="K300" i="9"/>
  <c r="M258" i="9"/>
  <c r="J244" i="7"/>
  <c r="L276" i="9"/>
  <c r="E304" i="7"/>
  <c r="K272" i="28"/>
  <c r="L300" i="4"/>
  <c r="L292" i="28"/>
  <c r="L292" i="4"/>
  <c r="M292" i="28"/>
  <c r="M292" i="4"/>
  <c r="L252" i="9"/>
  <c r="J284" i="7"/>
  <c r="E264" i="4"/>
  <c r="J284" i="9"/>
  <c r="G282" i="9"/>
  <c r="F248" i="9"/>
  <c r="H256" i="9"/>
  <c r="F260" i="4"/>
  <c r="O294" i="9"/>
  <c r="K260" i="7"/>
  <c r="L268" i="7"/>
  <c r="K300" i="7"/>
  <c r="M258" i="4"/>
  <c r="J244" i="9"/>
  <c r="K244" i="4"/>
  <c r="I274" i="7"/>
  <c r="K272" i="7"/>
  <c r="E298" i="28"/>
  <c r="I258" i="9"/>
  <c r="F274" i="9"/>
  <c r="E264" i="7"/>
  <c r="J280" i="7"/>
  <c r="I258" i="4"/>
  <c r="L300" i="28"/>
  <c r="K294" i="4"/>
  <c r="H256" i="7"/>
  <c r="E244" i="7"/>
  <c r="M260" i="7"/>
  <c r="E266" i="9"/>
  <c r="K260" i="9"/>
  <c r="L268" i="9"/>
  <c r="E300" i="9"/>
  <c r="K244" i="7"/>
  <c r="I266" i="9"/>
  <c r="N266" i="7"/>
  <c r="I274" i="9"/>
  <c r="H278" i="28"/>
  <c r="G278" i="4"/>
  <c r="F274" i="7"/>
  <c r="G284" i="7"/>
  <c r="F248" i="7"/>
  <c r="K298" i="9"/>
  <c r="E296" i="4"/>
  <c r="E244" i="9"/>
  <c r="M260" i="9"/>
  <c r="K300" i="4"/>
  <c r="L268" i="4"/>
  <c r="K244" i="9"/>
  <c r="I266" i="4"/>
  <c r="I274" i="4"/>
  <c r="N258" i="9"/>
  <c r="J276" i="7"/>
  <c r="M260" i="4"/>
  <c r="E264" i="28"/>
  <c r="K272" i="9"/>
  <c r="M270" i="4"/>
  <c r="N244" i="7"/>
  <c r="E244" i="4"/>
  <c r="J258" i="7"/>
  <c r="I266" i="7"/>
  <c r="E252" i="7"/>
  <c r="M246" i="7"/>
  <c r="N258" i="4"/>
  <c r="J276" i="9"/>
  <c r="K250" i="28"/>
  <c r="F268" i="4"/>
  <c r="L252" i="4"/>
  <c r="F258" i="4"/>
  <c r="M276" i="7"/>
  <c r="M270" i="9"/>
  <c r="N244" i="9"/>
  <c r="H264" i="7"/>
  <c r="J258" i="9"/>
  <c r="I282" i="4"/>
  <c r="E252" i="9"/>
  <c r="E250" i="28"/>
  <c r="E250" i="7"/>
  <c r="C306" i="9"/>
  <c r="C306" i="28"/>
  <c r="C306" i="4"/>
  <c r="M272" i="9"/>
  <c r="M272" i="28"/>
  <c r="C294" i="9"/>
  <c r="C294" i="28"/>
  <c r="C244" i="9"/>
  <c r="C244" i="28"/>
  <c r="G302" i="4"/>
  <c r="H254" i="7"/>
  <c r="C268" i="9"/>
  <c r="C268" i="28"/>
  <c r="G284" i="4"/>
  <c r="C298" i="9"/>
  <c r="C298" i="28"/>
  <c r="C298" i="4"/>
  <c r="I284" i="4"/>
  <c r="I288" i="9"/>
  <c r="O246" i="7"/>
  <c r="C300" i="9"/>
  <c r="C300" i="28"/>
  <c r="C300" i="4"/>
  <c r="J288" i="4"/>
  <c r="J288" i="28"/>
  <c r="H276" i="9"/>
  <c r="H276" i="28"/>
  <c r="G294" i="4"/>
  <c r="G294" i="28"/>
  <c r="C282" i="9"/>
  <c r="C282" i="28"/>
  <c r="J300" i="9"/>
  <c r="M272" i="7"/>
  <c r="H264" i="4"/>
  <c r="O272" i="7"/>
  <c r="H248" i="7"/>
  <c r="H300" i="7"/>
  <c r="F264" i="9"/>
  <c r="G282" i="7"/>
  <c r="M266" i="4"/>
  <c r="I282" i="7"/>
  <c r="F244" i="7"/>
  <c r="M276" i="4"/>
  <c r="H272" i="9"/>
  <c r="O246" i="4"/>
  <c r="L276" i="4"/>
  <c r="N256" i="4"/>
  <c r="C286" i="9"/>
  <c r="C286" i="28"/>
  <c r="L264" i="7"/>
  <c r="L264" i="28"/>
  <c r="M244" i="4"/>
  <c r="M244" i="28"/>
  <c r="C280" i="9"/>
  <c r="C280" i="28"/>
  <c r="H244" i="4"/>
  <c r="H244" i="28"/>
  <c r="H244" i="9"/>
  <c r="M290" i="7"/>
  <c r="M290" i="28"/>
  <c r="J248" i="7"/>
  <c r="M272" i="4"/>
  <c r="H264" i="9"/>
  <c r="O292" i="7"/>
  <c r="H248" i="4"/>
  <c r="H296" i="4"/>
  <c r="N284" i="9"/>
  <c r="M290" i="4"/>
  <c r="F280" i="7"/>
  <c r="I288" i="4"/>
  <c r="H276" i="4"/>
  <c r="I304" i="7"/>
  <c r="O290" i="4"/>
  <c r="H304" i="7"/>
  <c r="H272" i="7"/>
  <c r="H244" i="7"/>
  <c r="L298" i="7"/>
  <c r="G294" i="9"/>
  <c r="L276" i="7"/>
  <c r="H254" i="4"/>
  <c r="J276" i="4"/>
  <c r="E266" i="7"/>
  <c r="E266" i="28"/>
  <c r="K282" i="7"/>
  <c r="K282" i="28"/>
  <c r="L290" i="7"/>
  <c r="L290" i="28"/>
  <c r="C302" i="28"/>
  <c r="C302" i="9"/>
  <c r="C302" i="4"/>
  <c r="C258" i="9"/>
  <c r="C258" i="28"/>
  <c r="M304" i="9"/>
  <c r="M304" i="28"/>
  <c r="K256" i="7"/>
  <c r="K256" i="28"/>
  <c r="G284" i="9"/>
  <c r="K304" i="9"/>
  <c r="K304" i="28"/>
  <c r="K304" i="4"/>
  <c r="E254" i="9"/>
  <c r="E254" i="28"/>
  <c r="H262" i="4"/>
  <c r="H262" i="28"/>
  <c r="E254" i="7"/>
  <c r="L296" i="4"/>
  <c r="G272" i="9"/>
  <c r="F302" i="9"/>
  <c r="L254" i="7"/>
  <c r="H274" i="9"/>
  <c r="O280" i="9"/>
  <c r="K256" i="4"/>
  <c r="J268" i="9"/>
  <c r="F256" i="7"/>
  <c r="F262" i="7"/>
  <c r="L244" i="7"/>
  <c r="O268" i="7"/>
  <c r="J256" i="7"/>
  <c r="J282" i="4"/>
  <c r="F286" i="4"/>
  <c r="K294" i="7"/>
  <c r="L296" i="9"/>
  <c r="N266" i="9"/>
  <c r="I252" i="9"/>
  <c r="K286" i="9"/>
  <c r="F272" i="4"/>
  <c r="E250" i="4"/>
  <c r="H306" i="9"/>
  <c r="O284" i="7"/>
  <c r="G274" i="4"/>
  <c r="M306" i="7"/>
  <c r="M306" i="28"/>
  <c r="G306" i="9"/>
  <c r="G306" i="28"/>
  <c r="C252" i="9"/>
  <c r="C252" i="28"/>
  <c r="M246" i="9"/>
  <c r="M246" i="28"/>
  <c r="E294" i="9"/>
  <c r="E294" i="28"/>
  <c r="E294" i="7"/>
  <c r="C274" i="9"/>
  <c r="C274" i="28"/>
  <c r="C262" i="9"/>
  <c r="C262" i="28"/>
  <c r="C288" i="9"/>
  <c r="C288" i="28"/>
  <c r="M296" i="9"/>
  <c r="M296" i="28"/>
  <c r="C260" i="9"/>
  <c r="C260" i="28"/>
  <c r="H294" i="7"/>
  <c r="H294" i="28"/>
  <c r="H294" i="4"/>
  <c r="C270" i="9"/>
  <c r="C270" i="28"/>
  <c r="I294" i="7"/>
  <c r="I294" i="28"/>
  <c r="I294" i="4"/>
  <c r="E300" i="4"/>
  <c r="E300" i="28"/>
  <c r="M298" i="9"/>
  <c r="L298" i="28"/>
  <c r="L298" i="4"/>
  <c r="J250" i="28"/>
  <c r="J250" i="9"/>
  <c r="H270" i="7"/>
  <c r="M282" i="4"/>
  <c r="M282" i="28"/>
  <c r="H260" i="4"/>
  <c r="H260" i="28"/>
  <c r="I282" i="9"/>
  <c r="O290" i="7"/>
  <c r="G302" i="7"/>
  <c r="J304" i="28"/>
  <c r="J304" i="4"/>
  <c r="L244" i="4"/>
  <c r="L296" i="7"/>
  <c r="I294" i="9"/>
  <c r="J268" i="4"/>
  <c r="H268" i="7"/>
  <c r="M250" i="7"/>
  <c r="L244" i="9"/>
  <c r="J256" i="4"/>
  <c r="J282" i="7"/>
  <c r="K294" i="9"/>
  <c r="F292" i="7"/>
  <c r="F252" i="7"/>
  <c r="N296" i="4"/>
  <c r="I252" i="4"/>
  <c r="K286" i="4"/>
  <c r="I296" i="7"/>
  <c r="H306" i="7"/>
  <c r="H296" i="7"/>
  <c r="D244" i="28"/>
  <c r="E290" i="28"/>
  <c r="E290" i="4"/>
  <c r="K248" i="7"/>
  <c r="K248" i="28"/>
  <c r="C266" i="9"/>
  <c r="C266" i="28"/>
  <c r="L248" i="7"/>
  <c r="L248" i="28"/>
  <c r="K302" i="28"/>
  <c r="K302" i="4"/>
  <c r="L282" i="7"/>
  <c r="J300" i="4"/>
  <c r="J300" i="28"/>
  <c r="C246" i="9"/>
  <c r="C246" i="28"/>
  <c r="H304" i="4"/>
  <c r="H304" i="28"/>
  <c r="G272" i="4"/>
  <c r="H254" i="9"/>
  <c r="J282" i="9"/>
  <c r="L254" i="9"/>
  <c r="H274" i="7"/>
  <c r="C248" i="9"/>
  <c r="C248" i="28"/>
  <c r="F284" i="4"/>
  <c r="F256" i="4"/>
  <c r="F296" i="9"/>
  <c r="G272" i="7"/>
  <c r="N296" i="7"/>
  <c r="L270" i="7"/>
  <c r="F256" i="9"/>
  <c r="H280" i="9"/>
  <c r="F286" i="9"/>
  <c r="G302" i="9"/>
  <c r="I252" i="7"/>
  <c r="E250" i="9"/>
  <c r="H274" i="4"/>
  <c r="G274" i="9"/>
  <c r="I254" i="7"/>
  <c r="I254" i="28"/>
  <c r="J290" i="4"/>
  <c r="J290" i="28"/>
  <c r="L248" i="4"/>
  <c r="H270" i="4"/>
  <c r="F296" i="4"/>
  <c r="H268" i="9"/>
  <c r="F292" i="4"/>
  <c r="G280" i="7"/>
  <c r="F292" i="9"/>
  <c r="L286" i="9"/>
  <c r="K264" i="4"/>
  <c r="F250" i="9"/>
  <c r="H294" i="9"/>
  <c r="K286" i="7"/>
  <c r="I296" i="9"/>
  <c r="M296" i="7"/>
  <c r="F294" i="9"/>
  <c r="H296" i="9"/>
  <c r="M262" i="9"/>
  <c r="M262" i="28"/>
  <c r="J294" i="7"/>
  <c r="J294" i="28"/>
  <c r="J294" i="4"/>
  <c r="D306" i="9"/>
  <c r="D306" i="28"/>
  <c r="L256" i="9"/>
  <c r="L256" i="28"/>
  <c r="G268" i="4"/>
  <c r="G268" i="28"/>
  <c r="I292" i="9"/>
  <c r="I292" i="28"/>
  <c r="E282" i="28"/>
  <c r="E282" i="7"/>
  <c r="H300" i="28"/>
  <c r="H300" i="4"/>
  <c r="L282" i="4"/>
  <c r="K302" i="9"/>
  <c r="F284" i="9"/>
  <c r="K264" i="7"/>
  <c r="L254" i="4"/>
  <c r="I276" i="9"/>
  <c r="I276" i="28"/>
  <c r="E274" i="4"/>
  <c r="E274" i="28"/>
  <c r="C254" i="9"/>
  <c r="C254" i="28"/>
  <c r="E254" i="4"/>
  <c r="F262" i="4"/>
  <c r="D252" i="28"/>
  <c r="F262" i="9"/>
  <c r="E302" i="7"/>
  <c r="E302" i="28"/>
  <c r="E286" i="7"/>
  <c r="L248" i="9"/>
  <c r="H270" i="9"/>
  <c r="F266" i="9"/>
  <c r="M258" i="7"/>
  <c r="F288" i="4"/>
  <c r="H268" i="4"/>
  <c r="G280" i="4"/>
  <c r="L286" i="4"/>
  <c r="K264" i="9"/>
  <c r="H284" i="7"/>
  <c r="M266" i="7"/>
  <c r="F294" i="7"/>
  <c r="I260" i="9"/>
  <c r="I260" i="28"/>
  <c r="C292" i="4"/>
  <c r="C292" i="28"/>
  <c r="G262" i="4"/>
  <c r="G262" i="28"/>
  <c r="E306" i="9"/>
  <c r="E306" i="28"/>
  <c r="G260" i="4"/>
  <c r="G260" i="28"/>
  <c r="L302" i="4"/>
  <c r="L302" i="28"/>
  <c r="G254" i="9"/>
  <c r="G254" i="28"/>
  <c r="M298" i="28"/>
  <c r="M298" i="4"/>
  <c r="F284" i="7"/>
  <c r="G246" i="4"/>
  <c r="G246" i="28"/>
  <c r="L282" i="9"/>
  <c r="I288" i="7"/>
  <c r="I304" i="28"/>
  <c r="I304" i="4"/>
  <c r="C290" i="9"/>
  <c r="C290" i="28"/>
  <c r="M250" i="28"/>
  <c r="M250" i="4"/>
  <c r="E270" i="9"/>
  <c r="E270" i="28"/>
  <c r="F302" i="7"/>
  <c r="H276" i="7"/>
  <c r="L270" i="9"/>
  <c r="C294" i="4"/>
  <c r="G244" i="4"/>
  <c r="G244" i="28"/>
  <c r="I244" i="28"/>
  <c r="I244" i="9"/>
  <c r="O284" i="9"/>
  <c r="J256" i="9"/>
  <c r="E292" i="9"/>
  <c r="E286" i="9"/>
  <c r="J248" i="4"/>
  <c r="H306" i="4"/>
  <c r="J288" i="7"/>
  <c r="E292" i="4"/>
  <c r="G280" i="9"/>
  <c r="O268" i="9"/>
  <c r="L286" i="7"/>
  <c r="H262" i="9"/>
  <c r="F244" i="9"/>
  <c r="K256" i="9"/>
  <c r="H284" i="9"/>
  <c r="M266" i="9"/>
  <c r="L288" i="9"/>
  <c r="I244" i="4"/>
  <c r="K288" i="28"/>
  <c r="K288" i="4"/>
  <c r="M302" i="28"/>
  <c r="M302" i="4"/>
  <c r="M256" i="9"/>
  <c r="M256" i="28"/>
  <c r="G300" i="28"/>
  <c r="G300" i="4"/>
  <c r="H292" i="4"/>
  <c r="H292" i="28"/>
  <c r="I262" i="28"/>
  <c r="I262" i="4"/>
  <c r="G276" i="4"/>
  <c r="G276" i="28"/>
  <c r="L306" i="7"/>
  <c r="L306" i="28"/>
  <c r="D304" i="9"/>
  <c r="D304" i="28"/>
  <c r="D304" i="4"/>
  <c r="D302" i="28"/>
  <c r="D302" i="9"/>
  <c r="D302" i="4"/>
  <c r="D290" i="9"/>
  <c r="D290" i="28"/>
  <c r="D292" i="4"/>
  <c r="D292" i="28"/>
  <c r="D294" i="9"/>
  <c r="D294" i="28"/>
  <c r="D288" i="4"/>
  <c r="D288" i="28"/>
  <c r="D282" i="9"/>
  <c r="D282" i="28"/>
  <c r="D284" i="9"/>
  <c r="D284" i="28"/>
  <c r="D286" i="9"/>
  <c r="D286" i="28"/>
  <c r="D280" i="9"/>
  <c r="D280" i="28"/>
  <c r="D278" i="9"/>
  <c r="D278" i="28"/>
  <c r="D270" i="9"/>
  <c r="D270" i="28"/>
  <c r="D276" i="9"/>
  <c r="D276" i="28"/>
  <c r="D292" i="9"/>
  <c r="D264" i="9"/>
  <c r="D264" i="28"/>
  <c r="D268" i="9"/>
  <c r="D268" i="28"/>
  <c r="D290" i="4"/>
  <c r="D266" i="9"/>
  <c r="D266" i="28"/>
  <c r="D272" i="9"/>
  <c r="D272" i="28"/>
  <c r="D294" i="4"/>
  <c r="D260" i="9"/>
  <c r="D260" i="28"/>
  <c r="D262" i="9"/>
  <c r="D262" i="28"/>
  <c r="D254" i="9"/>
  <c r="D254" i="28"/>
  <c r="D258" i="9"/>
  <c r="D258" i="28"/>
  <c r="D246" i="9"/>
  <c r="D246" i="28"/>
  <c r="D256" i="9"/>
  <c r="D256" i="28"/>
  <c r="D274" i="9"/>
  <c r="D274" i="28"/>
  <c r="D250" i="9"/>
  <c r="D250" i="28"/>
  <c r="D248" i="28"/>
  <c r="D248" i="9"/>
  <c r="D298" i="9"/>
  <c r="D298" i="28"/>
  <c r="D298" i="4"/>
  <c r="D300" i="9"/>
  <c r="D300" i="28"/>
  <c r="D300" i="4"/>
  <c r="D296" i="9"/>
  <c r="D296" i="28"/>
  <c r="D296" i="4"/>
  <c r="F306" i="9"/>
  <c r="F306" i="28"/>
  <c r="F306" i="4"/>
  <c r="F304" i="7"/>
  <c r="F304" i="28"/>
  <c r="F300" i="28"/>
  <c r="F300" i="4"/>
  <c r="F298" i="4"/>
  <c r="F298" i="28"/>
  <c r="F290" i="28"/>
  <c r="F290" i="4"/>
  <c r="F288" i="9"/>
  <c r="F288" i="28"/>
  <c r="F282" i="9"/>
  <c r="F282" i="28"/>
  <c r="F282" i="7"/>
  <c r="F276" i="7"/>
  <c r="F276" i="28"/>
  <c r="F266" i="7"/>
  <c r="F266" i="28"/>
  <c r="F260" i="28"/>
  <c r="F260" i="7"/>
  <c r="F254" i="9"/>
  <c r="F254" i="28"/>
  <c r="F252" i="4"/>
  <c r="F252" i="28"/>
  <c r="F250" i="28"/>
  <c r="F250" i="7"/>
  <c r="AJ1226" i="10"/>
  <c r="AJ1226" i="32"/>
  <c r="AK1156" i="32"/>
  <c r="AI1156" i="32"/>
  <c r="W1076" i="11"/>
  <c r="T1076" i="32" s="1"/>
  <c r="Y1076" i="11"/>
  <c r="Z1076" i="11" s="1"/>
  <c r="AA1076" i="11" s="1"/>
  <c r="AK1227" i="32"/>
  <c r="AI1227" i="32"/>
  <c r="AK1151" i="32"/>
  <c r="AI1151" i="32"/>
  <c r="AJ1223" i="10"/>
  <c r="AJ1223" i="32"/>
  <c r="AJ1154" i="10"/>
  <c r="AJ1154" i="32"/>
  <c r="AK1226" i="32"/>
  <c r="AI1226" i="32"/>
  <c r="AJ1228" i="10"/>
  <c r="AJ1228" i="32"/>
  <c r="AK1225" i="32"/>
  <c r="AI1225" i="32"/>
  <c r="AJ1151" i="10"/>
  <c r="AJ1151" i="32"/>
  <c r="AK1154" i="32"/>
  <c r="AI1154" i="32"/>
  <c r="AJ1153" i="10"/>
  <c r="AJ1153" i="32"/>
  <c r="AJ1224" i="10"/>
  <c r="AL1224" i="32" s="1"/>
  <c r="AJ1224" i="32"/>
  <c r="AJ1152" i="10"/>
  <c r="AJ1152" i="32"/>
  <c r="AK1223" i="32"/>
  <c r="AI1223" i="32"/>
  <c r="AJ1155" i="10"/>
  <c r="AJ1155" i="32"/>
  <c r="AK1153" i="32"/>
  <c r="AI1153" i="32"/>
  <c r="AK1155" i="32"/>
  <c r="AI1155" i="32"/>
  <c r="AJ1225" i="10"/>
  <c r="AJ1225" i="32"/>
  <c r="AJ1156" i="10"/>
  <c r="AJ1156" i="32"/>
  <c r="AK1152" i="32"/>
  <c r="AI1152" i="32"/>
  <c r="AK1228" i="32"/>
  <c r="AI1228" i="32"/>
  <c r="AJ1227" i="10"/>
  <c r="AJ1227" i="32"/>
  <c r="AK1224" i="32"/>
  <c r="AI1224" i="32"/>
  <c r="W1226" i="11"/>
  <c r="T1226" i="32" s="1"/>
  <c r="AI1164" i="10"/>
  <c r="AM1164" i="32" s="1"/>
  <c r="Y1080" i="11"/>
  <c r="Z1080" i="11" s="1"/>
  <c r="AA1080" i="11" s="1"/>
  <c r="W1156" i="11"/>
  <c r="T1156" i="32" s="1"/>
  <c r="W1034" i="11"/>
  <c r="T1034" i="32" s="1"/>
  <c r="W1011" i="11"/>
  <c r="T1011" i="32" s="1"/>
  <c r="Y1165" i="11"/>
  <c r="Z1165" i="11" s="1"/>
  <c r="AA1165" i="11" s="1"/>
  <c r="W1009" i="11"/>
  <c r="T1009" i="32" s="1"/>
  <c r="W1199" i="11"/>
  <c r="T1199" i="32" s="1"/>
  <c r="Y1024" i="11"/>
  <c r="Z1024" i="11" s="1"/>
  <c r="AA1024" i="11" s="1"/>
  <c r="W1198" i="11"/>
  <c r="T1198" i="32" s="1"/>
  <c r="W1128" i="11"/>
  <c r="T1128" i="32" s="1"/>
  <c r="Y1062" i="11"/>
  <c r="Z1062" i="11" s="1"/>
  <c r="AA1062" i="11" s="1"/>
  <c r="W1012" i="11"/>
  <c r="T1012" i="32" s="1"/>
  <c r="Y991" i="11"/>
  <c r="Z991" i="11" s="1"/>
  <c r="AA991" i="11" s="1"/>
  <c r="Y989" i="11"/>
  <c r="Z989" i="11" s="1"/>
  <c r="AA989" i="11" s="1"/>
  <c r="Y1173" i="11"/>
  <c r="Z1173" i="11" s="1"/>
  <c r="AA1173" i="11" s="1"/>
  <c r="Y1152" i="11"/>
  <c r="Z1152" i="11" s="1"/>
  <c r="AA1152" i="11" s="1"/>
  <c r="Y1225" i="11"/>
  <c r="Z1225" i="11" s="1"/>
  <c r="AA1225" i="11" s="1"/>
  <c r="W1025" i="11"/>
  <c r="T1025" i="32" s="1"/>
  <c r="Y1055" i="11"/>
  <c r="Z1055" i="11" s="1"/>
  <c r="AA1055" i="11" s="1"/>
  <c r="W1066" i="11"/>
  <c r="T1066" i="32" s="1"/>
  <c r="W1153" i="11"/>
  <c r="T1153" i="32" s="1"/>
  <c r="Y1170" i="11"/>
  <c r="Z1170" i="11" s="1"/>
  <c r="AA1170" i="11" s="1"/>
  <c r="W1079" i="11"/>
  <c r="T1079" i="32" s="1"/>
  <c r="Y1028" i="11"/>
  <c r="Z1028" i="11" s="1"/>
  <c r="AA1028" i="11" s="1"/>
  <c r="Y1004" i="11"/>
  <c r="Z1004" i="11" s="1"/>
  <c r="AA1004" i="11" s="1"/>
  <c r="W1200" i="11"/>
  <c r="T1200" i="32" s="1"/>
  <c r="W1010" i="11"/>
  <c r="T1010" i="32" s="1"/>
  <c r="Y1094" i="11"/>
  <c r="Z1094" i="11" s="1"/>
  <c r="AA1094" i="11" s="1"/>
  <c r="Y1081" i="11"/>
  <c r="Z1081" i="11" s="1"/>
  <c r="AA1081" i="11" s="1"/>
  <c r="W1008" i="11"/>
  <c r="T1008" i="32" s="1"/>
  <c r="Y1014" i="11"/>
  <c r="Z1014" i="11" s="1"/>
  <c r="AA1014" i="11" s="1"/>
  <c r="W1056" i="11"/>
  <c r="T1056" i="32" s="1"/>
  <c r="W1208" i="11"/>
  <c r="T1208" i="32" s="1"/>
  <c r="Y1163" i="11"/>
  <c r="Z1163" i="11" s="1"/>
  <c r="AA1163" i="11" s="1"/>
  <c r="Y1092" i="11"/>
  <c r="Z1092" i="11" s="1"/>
  <c r="AA1092" i="11" s="1"/>
  <c r="Y1146" i="11"/>
  <c r="Z1146" i="11" s="1"/>
  <c r="AA1146" i="11" s="1"/>
  <c r="W1082" i="11"/>
  <c r="T1082" i="32" s="1"/>
  <c r="Y1057" i="11"/>
  <c r="Z1057" i="11" s="1"/>
  <c r="AA1057" i="11" s="1"/>
  <c r="W1048" i="11"/>
  <c r="T1048" i="32" s="1"/>
  <c r="W1218" i="11"/>
  <c r="T1218" i="32" s="1"/>
  <c r="W1207" i="11"/>
  <c r="T1207" i="32" s="1"/>
  <c r="W1016" i="11"/>
  <c r="T1016" i="32" s="1"/>
  <c r="W1053" i="11"/>
  <c r="T1053" i="32" s="1"/>
  <c r="W1168" i="11"/>
  <c r="T1168" i="32" s="1"/>
  <c r="W1214" i="11"/>
  <c r="T1214" i="32" s="1"/>
  <c r="W1197" i="11"/>
  <c r="T1197" i="32" s="1"/>
  <c r="W999" i="11"/>
  <c r="T999" i="32" s="1"/>
  <c r="W1204" i="11"/>
  <c r="T1204" i="32" s="1"/>
  <c r="W1003" i="11"/>
  <c r="T1003" i="32" s="1"/>
  <c r="W1072" i="11"/>
  <c r="T1072" i="32" s="1"/>
  <c r="W1098" i="11"/>
  <c r="T1098" i="32" s="1"/>
  <c r="W1147" i="11"/>
  <c r="T1147" i="32" s="1"/>
  <c r="Y1130" i="11"/>
  <c r="Z1130" i="11" s="1"/>
  <c r="AA1130" i="11" s="1"/>
  <c r="Y1031" i="11"/>
  <c r="Z1031" i="11" s="1"/>
  <c r="AA1031" i="11" s="1"/>
  <c r="W1096" i="11"/>
  <c r="T1096" i="32" s="1"/>
  <c r="W1068" i="11"/>
  <c r="T1068" i="32" s="1"/>
  <c r="Y1005" i="11"/>
  <c r="Z1005" i="11" s="1"/>
  <c r="AA1005" i="11" s="1"/>
  <c r="Y1101" i="11"/>
  <c r="Z1101" i="11" s="1"/>
  <c r="AA1101" i="11" s="1"/>
  <c r="W1186" i="11"/>
  <c r="T1186" i="32" s="1"/>
  <c r="Y1058" i="11"/>
  <c r="Z1058" i="11" s="1"/>
  <c r="AA1058" i="11" s="1"/>
  <c r="W1045" i="11"/>
  <c r="T1045" i="32" s="1"/>
  <c r="W1126" i="11"/>
  <c r="T1126" i="32" s="1"/>
  <c r="W1042" i="11"/>
  <c r="T1042" i="32" s="1"/>
  <c r="W1118" i="11"/>
  <c r="T1118" i="32" s="1"/>
  <c r="Y1036" i="11"/>
  <c r="Z1036" i="11" s="1"/>
  <c r="AA1036" i="11" s="1"/>
  <c r="W1027" i="11"/>
  <c r="T1027" i="32" s="1"/>
  <c r="W1002" i="11"/>
  <c r="T1002" i="32" s="1"/>
  <c r="Y1171" i="11"/>
  <c r="Z1171" i="11" s="1"/>
  <c r="AA1171" i="11" s="1"/>
  <c r="Y1127" i="11"/>
  <c r="Z1127" i="11" s="1"/>
  <c r="AA1127" i="11" s="1"/>
  <c r="W1047" i="11"/>
  <c r="T1047" i="32" s="1"/>
  <c r="W1000" i="11"/>
  <c r="T1000" i="32" s="1"/>
  <c r="W986" i="11"/>
  <c r="T986" i="32" s="1"/>
  <c r="Y1114" i="11"/>
  <c r="Z1114" i="11" s="1"/>
  <c r="AA1114" i="11" s="1"/>
  <c r="W1212" i="11"/>
  <c r="T1212" i="32" s="1"/>
  <c r="W1205" i="11"/>
  <c r="T1205" i="32" s="1"/>
  <c r="W1117" i="11"/>
  <c r="T1117" i="32" s="1"/>
  <c r="W1046" i="11"/>
  <c r="T1046" i="32" s="1"/>
  <c r="Y1185" i="11"/>
  <c r="Z1185" i="11" s="1"/>
  <c r="AA1185" i="11" s="1"/>
  <c r="Y1202" i="11"/>
  <c r="Z1202" i="11" s="1"/>
  <c r="AA1202" i="11" s="1"/>
  <c r="Y1125" i="11"/>
  <c r="Z1125" i="11" s="1"/>
  <c r="AA1125" i="11" s="1"/>
  <c r="W1070" i="11"/>
  <c r="T1070" i="32" s="1"/>
  <c r="Y1209" i="11"/>
  <c r="Z1209" i="11" s="1"/>
  <c r="AA1209" i="11" s="1"/>
  <c r="Y987" i="11"/>
  <c r="Z987" i="11" s="1"/>
  <c r="AA987" i="11" s="1"/>
  <c r="Y1172" i="11"/>
  <c r="Z1172" i="11" s="1"/>
  <c r="AA1172" i="11" s="1"/>
  <c r="W1051" i="11"/>
  <c r="T1051" i="32" s="1"/>
  <c r="W1161" i="11"/>
  <c r="T1161" i="32" s="1"/>
  <c r="W1119" i="11"/>
  <c r="T1119" i="32" s="1"/>
  <c r="Y1049" i="11"/>
  <c r="Z1049" i="11" s="1"/>
  <c r="AA1049" i="11" s="1"/>
  <c r="W1169" i="11"/>
  <c r="T1169" i="32" s="1"/>
  <c r="W996" i="11"/>
  <c r="T996" i="32" s="1"/>
  <c r="Y1043" i="11"/>
  <c r="Z1043" i="11" s="1"/>
  <c r="AA1043" i="11" s="1"/>
  <c r="W1107" i="11"/>
  <c r="T1107" i="32" s="1"/>
  <c r="W1134" i="11"/>
  <c r="T1134" i="32" s="1"/>
  <c r="W1206" i="11"/>
  <c r="T1206" i="32" s="1"/>
  <c r="W1203" i="11"/>
  <c r="T1203" i="32" s="1"/>
  <c r="Y1100" i="11"/>
  <c r="Z1100" i="11" s="1"/>
  <c r="AA1100" i="11" s="1"/>
  <c r="W1181" i="11"/>
  <c r="T1181" i="32" s="1"/>
  <c r="W995" i="11"/>
  <c r="T995" i="32" s="1"/>
  <c r="W1102" i="11"/>
  <c r="T1102" i="32" s="1"/>
  <c r="W1097" i="11"/>
  <c r="T1097" i="32" s="1"/>
  <c r="W1148" i="11"/>
  <c r="T1148" i="32" s="1"/>
  <c r="Y1201" i="11"/>
  <c r="Z1201" i="11" s="1"/>
  <c r="AA1201" i="11" s="1"/>
  <c r="W1006" i="11"/>
  <c r="T1006" i="32" s="1"/>
  <c r="W1144" i="11"/>
  <c r="T1144" i="32" s="1"/>
  <c r="W1071" i="11"/>
  <c r="T1071" i="32" s="1"/>
  <c r="Y998" i="11"/>
  <c r="Z998" i="11" s="1"/>
  <c r="AA998" i="11" s="1"/>
  <c r="W985" i="11"/>
  <c r="T985" i="32" s="1"/>
  <c r="Y1029" i="11"/>
  <c r="Z1029" i="11" s="1"/>
  <c r="AA1029" i="11" s="1"/>
  <c r="W1007" i="11"/>
  <c r="T1007" i="32" s="1"/>
  <c r="W1089" i="11"/>
  <c r="T1089" i="32" s="1"/>
  <c r="AK1164" i="10"/>
  <c r="W1141" i="11"/>
  <c r="T1141" i="32" s="1"/>
  <c r="W1132" i="11"/>
  <c r="T1132" i="32" s="1"/>
  <c r="W1183" i="11"/>
  <c r="T1183" i="32" s="1"/>
  <c r="W1135" i="11"/>
  <c r="T1135" i="32" s="1"/>
  <c r="W1188" i="11"/>
  <c r="T1188" i="32" s="1"/>
  <c r="Y1143" i="11"/>
  <c r="Z1143" i="11" s="1"/>
  <c r="AA1143" i="11" s="1"/>
  <c r="W1103" i="11"/>
  <c r="T1103" i="32" s="1"/>
  <c r="W1099" i="11"/>
  <c r="T1099" i="32" s="1"/>
  <c r="W1167" i="11"/>
  <c r="T1167" i="32" s="1"/>
  <c r="Y994" i="11"/>
  <c r="Z994" i="11" s="1"/>
  <c r="AA994" i="11" s="1"/>
  <c r="AJ1208" i="10"/>
  <c r="AL1208" i="10" s="1"/>
  <c r="AJ1208" i="32"/>
  <c r="AJ1132" i="10"/>
  <c r="AJ1132" i="32"/>
  <c r="AI1140" i="32"/>
  <c r="AK1140" i="32"/>
  <c r="AJ1127" i="10"/>
  <c r="AJ1127" i="32"/>
  <c r="AI1131" i="32"/>
  <c r="AK1131" i="32"/>
  <c r="AJ1207" i="10"/>
  <c r="AJ1207" i="32"/>
  <c r="AJ1216" i="10"/>
  <c r="AJ1216" i="32"/>
  <c r="AI1120" i="32"/>
  <c r="AK1120" i="32"/>
  <c r="W1184" i="11"/>
  <c r="T1184" i="32" s="1"/>
  <c r="Y1112" i="11"/>
  <c r="Z1112" i="11" s="1"/>
  <c r="AA1112" i="11" s="1"/>
  <c r="AJ1137" i="10"/>
  <c r="AJ1137" i="32"/>
  <c r="AI1105" i="32"/>
  <c r="AK1105" i="32"/>
  <c r="W993" i="11"/>
  <c r="T993" i="32" s="1"/>
  <c r="W1220" i="11"/>
  <c r="T1220" i="32" s="1"/>
  <c r="Y984" i="11"/>
  <c r="Z984" i="11" s="1"/>
  <c r="AA984" i="11" s="1"/>
  <c r="AJ1186" i="10"/>
  <c r="AJ1186" i="32"/>
  <c r="W1063" i="11"/>
  <c r="T1063" i="32" s="1"/>
  <c r="AJ1212" i="10"/>
  <c r="AJ1212" i="32"/>
  <c r="AJ1175" i="10"/>
  <c r="AJ1175" i="32"/>
  <c r="W1213" i="11"/>
  <c r="T1213" i="32" s="1"/>
  <c r="AJ1125" i="10"/>
  <c r="AJ1125" i="32"/>
  <c r="AI1213" i="32"/>
  <c r="AK1213" i="32"/>
  <c r="W1150" i="11"/>
  <c r="T1150" i="32" s="1"/>
  <c r="W1129" i="11"/>
  <c r="T1129" i="32" s="1"/>
  <c r="W1039" i="11"/>
  <c r="T1039" i="32" s="1"/>
  <c r="W1015" i="11"/>
  <c r="T1015" i="32" s="1"/>
  <c r="W1083" i="11"/>
  <c r="T1083" i="32" s="1"/>
  <c r="AJ1180" i="10"/>
  <c r="AL1180" i="10" s="1"/>
  <c r="AR1180" i="32" s="1"/>
  <c r="AJ1180" i="32"/>
  <c r="AJ1206" i="10"/>
  <c r="AJ1206" i="32"/>
  <c r="AI1109" i="32"/>
  <c r="AK1109" i="32"/>
  <c r="AI1176" i="32"/>
  <c r="AK1176" i="32"/>
  <c r="AI1211" i="32"/>
  <c r="AK1211" i="32"/>
  <c r="AI1196" i="32"/>
  <c r="AK1196" i="32"/>
  <c r="AI1148" i="32"/>
  <c r="AK1148" i="32"/>
  <c r="AI1100" i="32"/>
  <c r="AK1100" i="32"/>
  <c r="AI1117" i="32"/>
  <c r="AK1117" i="32"/>
  <c r="AI1204" i="32"/>
  <c r="AK1204" i="32"/>
  <c r="AI1171" i="32"/>
  <c r="AK1171" i="32"/>
  <c r="AI1189" i="32"/>
  <c r="AK1189" i="32"/>
  <c r="AI1190" i="32"/>
  <c r="AK1190" i="32"/>
  <c r="AJ1181" i="10"/>
  <c r="AJ1181" i="32"/>
  <c r="AI1126" i="32"/>
  <c r="AK1126" i="32"/>
  <c r="AJ1135" i="10"/>
  <c r="AJ1135" i="32"/>
  <c r="AJ1148" i="10"/>
  <c r="AJ1148" i="32"/>
  <c r="AI1096" i="32"/>
  <c r="AK1096" i="32"/>
  <c r="AK1172" i="10"/>
  <c r="AI1172" i="32"/>
  <c r="AK1172" i="32"/>
  <c r="AI1091" i="32"/>
  <c r="AK1091" i="32"/>
  <c r="AI1103" i="32"/>
  <c r="AK1103" i="32"/>
  <c r="AJ1097" i="10"/>
  <c r="AI1179" i="32"/>
  <c r="AK1179" i="32"/>
  <c r="AI1123" i="32"/>
  <c r="AK1123" i="32"/>
  <c r="AJ1103" i="10"/>
  <c r="AJ1103" i="32"/>
  <c r="AI1162" i="32"/>
  <c r="AK1162" i="32"/>
  <c r="AI1137" i="32"/>
  <c r="AK1137" i="32"/>
  <c r="Y1131" i="11"/>
  <c r="Z1131" i="11" s="1"/>
  <c r="AA1131" i="11" s="1"/>
  <c r="Y1060" i="11"/>
  <c r="Z1060" i="11" s="1"/>
  <c r="AA1060" i="11" s="1"/>
  <c r="W1041" i="11"/>
  <c r="T1041" i="32" s="1"/>
  <c r="W1177" i="11"/>
  <c r="T1177" i="32" s="1"/>
  <c r="W1067" i="11"/>
  <c r="T1067" i="32" s="1"/>
  <c r="AJ1176" i="10"/>
  <c r="AJ1176" i="32"/>
  <c r="AJ1215" i="10"/>
  <c r="AJ1215" i="32"/>
  <c r="AJ1166" i="10"/>
  <c r="AJ1166" i="32"/>
  <c r="AI1127" i="32"/>
  <c r="AK1127" i="32"/>
  <c r="AI1192" i="32"/>
  <c r="AK1192" i="32"/>
  <c r="AI1212" i="32"/>
  <c r="AK1212" i="32"/>
  <c r="AI1099" i="32"/>
  <c r="AK1099" i="32"/>
  <c r="AI1116" i="32"/>
  <c r="AK1116" i="32"/>
  <c r="AI1135" i="32"/>
  <c r="AK1135" i="32"/>
  <c r="AI1102" i="32"/>
  <c r="AK1102" i="32"/>
  <c r="AI1185" i="32"/>
  <c r="AK1185" i="32"/>
  <c r="AI1220" i="32"/>
  <c r="AK1220" i="32"/>
  <c r="AI1187" i="32"/>
  <c r="AK1187" i="32"/>
  <c r="AI1207" i="32"/>
  <c r="AK1207" i="32"/>
  <c r="AJ1168" i="10"/>
  <c r="AJ1168" i="32"/>
  <c r="AJ1141" i="10"/>
  <c r="AJ1141" i="32"/>
  <c r="AJ1177" i="10"/>
  <c r="AJ1177" i="32"/>
  <c r="AJ1218" i="10"/>
  <c r="AJ1218" i="32"/>
  <c r="AJ1184" i="10"/>
  <c r="AJ1184" i="32"/>
  <c r="AJ1110" i="10"/>
  <c r="AJ1110" i="32"/>
  <c r="AJ1089" i="10"/>
  <c r="AJ1089" i="32"/>
  <c r="AJ1102" i="10"/>
  <c r="AJ1102" i="32"/>
  <c r="AI1138" i="32"/>
  <c r="AK1138" i="32"/>
  <c r="AJ1161" i="10"/>
  <c r="AJ1161" i="32"/>
  <c r="AI1197" i="32"/>
  <c r="AK1197" i="32"/>
  <c r="AI1139" i="32"/>
  <c r="AK1139" i="32"/>
  <c r="AJ1219" i="10"/>
  <c r="AJ1219" i="32"/>
  <c r="AI1101" i="32"/>
  <c r="AK1101" i="32"/>
  <c r="W1113" i="11"/>
  <c r="T1113" i="32" s="1"/>
  <c r="W1216" i="11"/>
  <c r="T1216" i="32" s="1"/>
  <c r="W1044" i="11"/>
  <c r="T1044" i="32" s="1"/>
  <c r="W1111" i="11"/>
  <c r="T1111" i="32" s="1"/>
  <c r="W990" i="11"/>
  <c r="X990" i="11" s="1"/>
  <c r="AN990" i="10" s="1"/>
  <c r="W1021" i="11"/>
  <c r="T1021" i="32" s="1"/>
  <c r="W1175" i="11"/>
  <c r="T1175" i="32" s="1"/>
  <c r="AJ1179" i="10"/>
  <c r="AJ1179" i="32"/>
  <c r="AJ1115" i="10"/>
  <c r="AP1115" i="32" s="1"/>
  <c r="AJ1115" i="32"/>
  <c r="AI1143" i="32"/>
  <c r="AK1143" i="32"/>
  <c r="AI1210" i="32"/>
  <c r="AK1210" i="32"/>
  <c r="AJ1203" i="10"/>
  <c r="AJ1203" i="32"/>
  <c r="AI1115" i="32"/>
  <c r="AK1115" i="32"/>
  <c r="AI1134" i="32"/>
  <c r="AK1134" i="32"/>
  <c r="AI1118" i="32"/>
  <c r="AK1118" i="32"/>
  <c r="AI1203" i="32"/>
  <c r="AK1203" i="32"/>
  <c r="AI1124" i="32"/>
  <c r="AK1124" i="32"/>
  <c r="AJ1116" i="10"/>
  <c r="AJ1116" i="32"/>
  <c r="AI1095" i="32"/>
  <c r="AK1095" i="32"/>
  <c r="AJ1101" i="10"/>
  <c r="AJ1101" i="32"/>
  <c r="AJ1209" i="10"/>
  <c r="AJ1209" i="32"/>
  <c r="AJ1189" i="10"/>
  <c r="AP1189" i="32" s="1"/>
  <c r="AJ1189" i="32"/>
  <c r="AJ1123" i="10"/>
  <c r="AJ1123" i="32"/>
  <c r="AJ1210" i="10"/>
  <c r="AJ1210" i="32"/>
  <c r="AJ1106" i="10"/>
  <c r="AJ1106" i="32"/>
  <c r="AI1112" i="32"/>
  <c r="AK1112" i="32"/>
  <c r="AJ1202" i="10"/>
  <c r="AJ1202" i="32"/>
  <c r="AI1163" i="32"/>
  <c r="AK1163" i="32"/>
  <c r="AK1206" i="10"/>
  <c r="AI1206" i="32"/>
  <c r="AK1206" i="32"/>
  <c r="AI1119" i="32"/>
  <c r="AK1119" i="32"/>
  <c r="AI1128" i="32"/>
  <c r="AK1128" i="32"/>
  <c r="AI1141" i="32"/>
  <c r="AK1141" i="32"/>
  <c r="AI1178" i="32"/>
  <c r="AK1178" i="32"/>
  <c r="AI1173" i="32"/>
  <c r="AK1173" i="32"/>
  <c r="W1142" i="11"/>
  <c r="T1142" i="32" s="1"/>
  <c r="W1178" i="11"/>
  <c r="T1178" i="32" s="1"/>
  <c r="W1179" i="11"/>
  <c r="T1179" i="32" s="1"/>
  <c r="W1023" i="11"/>
  <c r="T1023" i="32" s="1"/>
  <c r="Y1224" i="11"/>
  <c r="Z1224" i="11" s="1"/>
  <c r="AA1224" i="11" s="1"/>
  <c r="AJ1187" i="10"/>
  <c r="AJ1187" i="32"/>
  <c r="AJ1214" i="10"/>
  <c r="AJ1214" i="32"/>
  <c r="AJ1205" i="10"/>
  <c r="AI1175" i="32"/>
  <c r="AK1175" i="32"/>
  <c r="AJ1092" i="10"/>
  <c r="AP1092" i="32" s="1"/>
  <c r="AJ1092" i="32"/>
  <c r="AJ1164" i="10"/>
  <c r="AJ1164" i="32"/>
  <c r="AI1133" i="32"/>
  <c r="AK1133" i="32"/>
  <c r="AI1167" i="32"/>
  <c r="AK1167" i="32"/>
  <c r="AI1136" i="32"/>
  <c r="AK1136" i="32"/>
  <c r="AI1219" i="32"/>
  <c r="AK1219" i="32"/>
  <c r="AJ1182" i="10"/>
  <c r="AJ1182" i="32"/>
  <c r="AJ1130" i="10"/>
  <c r="AI1164" i="32"/>
  <c r="AK1164" i="32"/>
  <c r="AI1215" i="32"/>
  <c r="AK1215" i="32"/>
  <c r="AJ1138" i="10"/>
  <c r="AJ1138" i="32"/>
  <c r="AJ1146" i="10"/>
  <c r="AI1111" i="32"/>
  <c r="AK1111" i="32"/>
  <c r="AI1104" i="32"/>
  <c r="AK1104" i="32"/>
  <c r="Y1109" i="11"/>
  <c r="Z1109" i="11" s="1"/>
  <c r="AA1109" i="11" s="1"/>
  <c r="AJ1134" i="10"/>
  <c r="AJ1134" i="32"/>
  <c r="AJ1098" i="10"/>
  <c r="AI1107" i="32"/>
  <c r="AK1107" i="32"/>
  <c r="AJ1149" i="10"/>
  <c r="AJ1183" i="10"/>
  <c r="AJ1183" i="32"/>
  <c r="AJ1169" i="10"/>
  <c r="AJ1211" i="10"/>
  <c r="AJ1211" i="32"/>
  <c r="AI1093" i="32"/>
  <c r="AK1093" i="32"/>
  <c r="W1013" i="11"/>
  <c r="T1013" i="32" s="1"/>
  <c r="W1065" i="11"/>
  <c r="T1065" i="32" s="1"/>
  <c r="W1026" i="11"/>
  <c r="T1026" i="32" s="1"/>
  <c r="W1095" i="11"/>
  <c r="T1095" i="32" s="1"/>
  <c r="AJ1144" i="10"/>
  <c r="AJ1144" i="32"/>
  <c r="AJ1174" i="10"/>
  <c r="AL1174" i="32" s="1"/>
  <c r="AJ1174" i="32"/>
  <c r="AJ1165" i="10"/>
  <c r="AJ1165" i="32"/>
  <c r="AI1191" i="32"/>
  <c r="AK1191" i="32"/>
  <c r="AJ1142" i="10"/>
  <c r="AJ1142" i="32"/>
  <c r="AJ1090" i="10"/>
  <c r="AJ1090" i="32"/>
  <c r="AJ1112" i="10"/>
  <c r="AJ1112" i="32"/>
  <c r="AI1166" i="32"/>
  <c r="AK1166" i="32"/>
  <c r="AI1183" i="32"/>
  <c r="AK1183" i="32"/>
  <c r="AI1090" i="32"/>
  <c r="AK1090" i="32"/>
  <c r="AJ1143" i="10"/>
  <c r="AJ1143" i="32"/>
  <c r="AJ1108" i="10"/>
  <c r="AJ1108" i="32"/>
  <c r="AI1180" i="32"/>
  <c r="AK1180" i="32"/>
  <c r="AJ1192" i="10"/>
  <c r="AJ1192" i="32"/>
  <c r="AJ1109" i="10"/>
  <c r="AJ1109" i="32"/>
  <c r="AI1142" i="32"/>
  <c r="AK1142" i="32"/>
  <c r="W1162" i="11"/>
  <c r="T1162" i="32" s="1"/>
  <c r="AJ1171" i="10"/>
  <c r="AJ1171" i="32"/>
  <c r="AJ1199" i="10"/>
  <c r="AJ1199" i="32"/>
  <c r="AJ1178" i="10"/>
  <c r="AJ1178" i="32"/>
  <c r="AJ1129" i="10"/>
  <c r="AJ1099" i="10"/>
  <c r="AP1099" i="32" s="1"/>
  <c r="AJ1099" i="32"/>
  <c r="AJ1188" i="10"/>
  <c r="AJ1188" i="32"/>
  <c r="AJ1100" i="10"/>
  <c r="AP1100" i="32" s="1"/>
  <c r="AJ1100" i="32"/>
  <c r="AI1188" i="32"/>
  <c r="AK1188" i="32"/>
  <c r="AI1094" i="32"/>
  <c r="AK1094" i="32"/>
  <c r="AJ1124" i="10"/>
  <c r="AJ1124" i="32"/>
  <c r="W1108" i="11"/>
  <c r="T1108" i="32" s="1"/>
  <c r="AI1110" i="32"/>
  <c r="AK1110" i="32"/>
  <c r="AJ1170" i="10"/>
  <c r="AI1125" i="32"/>
  <c r="AK1125" i="32"/>
  <c r="W1180" i="11"/>
  <c r="T1180" i="32" s="1"/>
  <c r="W1211" i="11"/>
  <c r="T1211" i="32" s="1"/>
  <c r="AJ1196" i="10"/>
  <c r="AJ1196" i="32"/>
  <c r="AJ1191" i="10"/>
  <c r="AJ1191" i="32"/>
  <c r="AJ1195" i="10"/>
  <c r="AJ1195" i="32"/>
  <c r="AI1174" i="32"/>
  <c r="AK1174" i="32"/>
  <c r="W1110" i="11"/>
  <c r="T1110" i="32" s="1"/>
  <c r="Y1020" i="11"/>
  <c r="Z1020" i="11" s="1"/>
  <c r="AA1020" i="11" s="1"/>
  <c r="Y1018" i="11"/>
  <c r="Z1018" i="11" s="1"/>
  <c r="AA1018" i="11" s="1"/>
  <c r="W1017" i="11"/>
  <c r="T1017" i="32" s="1"/>
  <c r="W1064" i="11"/>
  <c r="T1064" i="32" s="1"/>
  <c r="AJ1096" i="10"/>
  <c r="AJ1096" i="32"/>
  <c r="AJ1213" i="10"/>
  <c r="AJ1213" i="32"/>
  <c r="AJ1113" i="10"/>
  <c r="AJ1113" i="32"/>
  <c r="AI1209" i="32"/>
  <c r="AK1209" i="32"/>
  <c r="AI1114" i="32"/>
  <c r="AK1114" i="32"/>
  <c r="AJ1118" i="10"/>
  <c r="AJ1118" i="32"/>
  <c r="AI1198" i="32"/>
  <c r="AK1198" i="32"/>
  <c r="AJ1120" i="10"/>
  <c r="AJ1120" i="32"/>
  <c r="AI1165" i="32"/>
  <c r="AK1165" i="32"/>
  <c r="AI1182" i="32"/>
  <c r="AK1182" i="32"/>
  <c r="AI1201" i="32"/>
  <c r="AK1201" i="32"/>
  <c r="AI1168" i="32"/>
  <c r="AK1168" i="32"/>
  <c r="AJ1104" i="10"/>
  <c r="AJ1104" i="32"/>
  <c r="AJ1095" i="10"/>
  <c r="AJ1095" i="32"/>
  <c r="AJ1131" i="10"/>
  <c r="AJ1131" i="32"/>
  <c r="AJ1136" i="10"/>
  <c r="AJ1136" i="32"/>
  <c r="AJ1197" i="10"/>
  <c r="AJ1197" i="32"/>
  <c r="AI1218" i="32"/>
  <c r="AK1218" i="32"/>
  <c r="AJ1147" i="10"/>
  <c r="AJ1147" i="32"/>
  <c r="AI1113" i="32"/>
  <c r="AK1113" i="32"/>
  <c r="AJ1094" i="10"/>
  <c r="AJ1094" i="32"/>
  <c r="AJ1163" i="10"/>
  <c r="AJ1163" i="32"/>
  <c r="AI1147" i="32"/>
  <c r="AK1147" i="32"/>
  <c r="AJ1117" i="10"/>
  <c r="AJ1117" i="32"/>
  <c r="AJ1173" i="10"/>
  <c r="AJ1173" i="32"/>
  <c r="W1219" i="11"/>
  <c r="T1219" i="32" s="1"/>
  <c r="AJ1139" i="10"/>
  <c r="AJ1139" i="32"/>
  <c r="AJ1200" i="10"/>
  <c r="AJ1200" i="32"/>
  <c r="AI1144" i="32"/>
  <c r="AK1144" i="32"/>
  <c r="AI1186" i="32"/>
  <c r="AK1186" i="32"/>
  <c r="W1149" i="11"/>
  <c r="T1149" i="32" s="1"/>
  <c r="W1227" i="11"/>
  <c r="T1227" i="32" s="1"/>
  <c r="Y1217" i="11"/>
  <c r="Z1217" i="11" s="1"/>
  <c r="AA1217" i="11" s="1"/>
  <c r="W1061" i="11"/>
  <c r="T1061" i="32" s="1"/>
  <c r="W1182" i="11"/>
  <c r="T1182" i="32" s="1"/>
  <c r="Y1059" i="11"/>
  <c r="Z1059" i="11" s="1"/>
  <c r="AA1059" i="11" s="1"/>
  <c r="W1176" i="11"/>
  <c r="T1176" i="32" s="1"/>
  <c r="W1105" i="11"/>
  <c r="T1105" i="32" s="1"/>
  <c r="AJ1222" i="10"/>
  <c r="AJ1172" i="10"/>
  <c r="AJ1172" i="32"/>
  <c r="AJ1091" i="10"/>
  <c r="AP1091" i="32" s="1"/>
  <c r="AJ1091" i="32"/>
  <c r="AI1214" i="32"/>
  <c r="AK1214" i="32"/>
  <c r="AJ1140" i="10"/>
  <c r="AJ1140" i="32"/>
  <c r="AI1181" i="32"/>
  <c r="AK1181" i="32"/>
  <c r="AI1200" i="32"/>
  <c r="AK1200" i="32"/>
  <c r="AI1217" i="32"/>
  <c r="AK1217" i="32"/>
  <c r="AI1184" i="32"/>
  <c r="AK1184" i="32"/>
  <c r="AJ1126" i="10"/>
  <c r="AJ1126" i="32"/>
  <c r="AJ1105" i="10"/>
  <c r="AJ1105" i="32"/>
  <c r="AJ1093" i="10"/>
  <c r="AJ1093" i="32"/>
  <c r="AI1092" i="32"/>
  <c r="AK1092" i="32"/>
  <c r="AI1208" i="32"/>
  <c r="AK1208" i="32"/>
  <c r="AJ1217" i="10"/>
  <c r="AJ1217" i="32"/>
  <c r="AJ1167" i="10"/>
  <c r="AJ1167" i="32"/>
  <c r="AJ1204" i="10"/>
  <c r="AJ1204" i="32"/>
  <c r="AJ1190" i="10"/>
  <c r="AL1190" i="32" s="1"/>
  <c r="AJ1190" i="32"/>
  <c r="AJ1114" i="10"/>
  <c r="AJ1114" i="32"/>
  <c r="AJ1111" i="10"/>
  <c r="AJ1111" i="32"/>
  <c r="AI1089" i="32"/>
  <c r="AK1089" i="32"/>
  <c r="AJ1150" i="10"/>
  <c r="AI1161" i="32"/>
  <c r="AK1161" i="32"/>
  <c r="AJ1185" i="10"/>
  <c r="AJ1185" i="32"/>
  <c r="AI1177" i="32"/>
  <c r="AK1177" i="32"/>
  <c r="AI1195" i="32"/>
  <c r="AK1195" i="32"/>
  <c r="AJ1201" i="10"/>
  <c r="AJ1201" i="32"/>
  <c r="Y1189" i="11"/>
  <c r="Z1189" i="11" s="1"/>
  <c r="AA1189" i="11" s="1"/>
  <c r="AJ1198" i="10"/>
  <c r="AJ1198" i="32"/>
  <c r="AJ1221" i="10"/>
  <c r="AJ1128" i="10"/>
  <c r="AJ1128" i="32"/>
  <c r="AJ1119" i="10"/>
  <c r="AJ1119" i="32"/>
  <c r="AI1132" i="32"/>
  <c r="AK1132" i="32"/>
  <c r="AJ1162" i="10"/>
  <c r="AJ1162" i="32"/>
  <c r="AJ1220" i="10"/>
  <c r="AJ1220" i="32"/>
  <c r="AI1199" i="32"/>
  <c r="AK1199" i="32"/>
  <c r="AI1216" i="32"/>
  <c r="AK1216" i="32"/>
  <c r="AI1106" i="32"/>
  <c r="AK1106" i="32"/>
  <c r="AI1202" i="32"/>
  <c r="AK1202" i="32"/>
  <c r="AJ1133" i="10"/>
  <c r="AJ1133" i="32"/>
  <c r="AJ1107" i="10"/>
  <c r="AP1107" i="32" s="1"/>
  <c r="AJ1107" i="32"/>
  <c r="AI1108" i="32"/>
  <c r="AK1108" i="32"/>
  <c r="W1155" i="11"/>
  <c r="T1155" i="32" s="1"/>
  <c r="Y1151" i="11"/>
  <c r="Z1151" i="11" s="1"/>
  <c r="AA1151" i="11" s="1"/>
  <c r="Y1077" i="11"/>
  <c r="Z1077" i="11" s="1"/>
  <c r="AA1077" i="11" s="1"/>
  <c r="W1223" i="11"/>
  <c r="T1223" i="32" s="1"/>
  <c r="W1078" i="11"/>
  <c r="T1078" i="32" s="1"/>
  <c r="W1166" i="11"/>
  <c r="T1166" i="32" s="1"/>
  <c r="Y1196" i="11"/>
  <c r="Z1196" i="11" s="1"/>
  <c r="AA1196" i="11" s="1"/>
  <c r="Y1093" i="11"/>
  <c r="Z1093" i="11" s="1"/>
  <c r="AA1093" i="11" s="1"/>
  <c r="W1091" i="11"/>
  <c r="T1091" i="32" s="1"/>
  <c r="W1191" i="11"/>
  <c r="T1191" i="32" s="1"/>
  <c r="W1050" i="11"/>
  <c r="T1050" i="32" s="1"/>
  <c r="W1174" i="11"/>
  <c r="T1174" i="32" s="1"/>
  <c r="W1137" i="11"/>
  <c r="T1137" i="32" s="1"/>
  <c r="X988" i="11"/>
  <c r="AN988" i="10" s="1"/>
  <c r="T988" i="32"/>
  <c r="Y1195" i="11"/>
  <c r="Z1195" i="11" s="1"/>
  <c r="AA1195" i="11" s="1"/>
  <c r="Y1019" i="11"/>
  <c r="Z1019" i="11" s="1"/>
  <c r="AA1019" i="11" s="1"/>
  <c r="Y1116" i="11"/>
  <c r="Z1116" i="11" s="1"/>
  <c r="AA1116" i="11" s="1"/>
  <c r="Y1136" i="11"/>
  <c r="Z1136" i="11" s="1"/>
  <c r="AA1136" i="11" s="1"/>
  <c r="W1215" i="11"/>
  <c r="T1215" i="32" s="1"/>
  <c r="W1106" i="11"/>
  <c r="T1106" i="32" s="1"/>
  <c r="W1187" i="11"/>
  <c r="T1187" i="32" s="1"/>
  <c r="W1120" i="11"/>
  <c r="T1120" i="32" s="1"/>
  <c r="W1123" i="11"/>
  <c r="T1123" i="32" s="1"/>
  <c r="X987" i="11"/>
  <c r="AN987" i="10" s="1"/>
  <c r="T987" i="32"/>
  <c r="W1104" i="11"/>
  <c r="T1104" i="32" s="1"/>
  <c r="W1222" i="11"/>
  <c r="T1222" i="32" s="1"/>
  <c r="Y1106" i="11"/>
  <c r="Z1106" i="11" s="1"/>
  <c r="AA1106" i="11" s="1"/>
  <c r="Y1187" i="11"/>
  <c r="Z1187" i="11" s="1"/>
  <c r="AA1187" i="11" s="1"/>
  <c r="Y1123" i="11"/>
  <c r="Z1123" i="11" s="1"/>
  <c r="AA1123" i="11" s="1"/>
  <c r="Y1030" i="11"/>
  <c r="Z1030" i="11" s="1"/>
  <c r="AA1030" i="11" s="1"/>
  <c r="Y1104" i="11"/>
  <c r="Z1104" i="11" s="1"/>
  <c r="AA1104" i="11" s="1"/>
  <c r="Y1222" i="11"/>
  <c r="Z1222" i="11" s="1"/>
  <c r="AA1222" i="11" s="1"/>
  <c r="W1075" i="11"/>
  <c r="Y1164" i="11"/>
  <c r="Z1164" i="11" s="1"/>
  <c r="AA1164" i="11" s="1"/>
  <c r="X984" i="11"/>
  <c r="AN984" i="10" s="1"/>
  <c r="T984" i="32"/>
  <c r="Y1215" i="11"/>
  <c r="Z1215" i="11" s="1"/>
  <c r="AA1215" i="11" s="1"/>
  <c r="W1210" i="11"/>
  <c r="T1210" i="32" s="1"/>
  <c r="X989" i="11"/>
  <c r="AN989" i="10" s="1"/>
  <c r="T989" i="32"/>
  <c r="Y1210" i="11"/>
  <c r="Z1210" i="11" s="1"/>
  <c r="AA1210" i="11" s="1"/>
  <c r="W1035" i="11"/>
  <c r="T1035" i="32" s="1"/>
  <c r="AI1208" i="10"/>
  <c r="AM1208" i="10" s="1"/>
  <c r="AI1190" i="10"/>
  <c r="AI1224" i="10"/>
  <c r="AI1211" i="10"/>
  <c r="AM1211" i="10" s="1"/>
  <c r="AK1211" i="10"/>
  <c r="AI1215" i="10"/>
  <c r="AM1215" i="10" s="1"/>
  <c r="AK1215" i="10"/>
  <c r="AI1118" i="10"/>
  <c r="AM1118" i="10" s="1"/>
  <c r="AK1118" i="10"/>
  <c r="AI1207" i="10"/>
  <c r="AM1207" i="10" s="1"/>
  <c r="AK1207" i="10"/>
  <c r="AI1143" i="10"/>
  <c r="AM1143" i="10" s="1"/>
  <c r="AK1143" i="10"/>
  <c r="AI1227" i="10"/>
  <c r="AK1227" i="10"/>
  <c r="AI1098" i="10"/>
  <c r="AM1098" i="10" s="1"/>
  <c r="AK1098" i="10"/>
  <c r="AI1179" i="10"/>
  <c r="AM1179" i="10" s="1"/>
  <c r="AK1179" i="10"/>
  <c r="AI1135" i="10"/>
  <c r="AM1135" i="10" s="1"/>
  <c r="AK1135" i="10"/>
  <c r="AI1136" i="10"/>
  <c r="AM1136" i="10" s="1"/>
  <c r="AK1136" i="10"/>
  <c r="AI1103" i="10"/>
  <c r="AM1103" i="10" s="1"/>
  <c r="AK1103" i="10"/>
  <c r="AI1186" i="10"/>
  <c r="AM1186" i="10" s="1"/>
  <c r="AK1186" i="10"/>
  <c r="AK1155" i="10"/>
  <c r="AI1155" i="10"/>
  <c r="AI1223" i="10"/>
  <c r="AK1223" i="10"/>
  <c r="AK1198" i="10"/>
  <c r="AI1198" i="10"/>
  <c r="AM1198" i="10" s="1"/>
  <c r="AI1191" i="10"/>
  <c r="AM1191" i="10" s="1"/>
  <c r="AK1191" i="10"/>
  <c r="AI1213" i="10"/>
  <c r="AM1213" i="10" s="1"/>
  <c r="AK1213" i="10"/>
  <c r="AI1167" i="10"/>
  <c r="AM1167" i="10" s="1"/>
  <c r="AK1167" i="10"/>
  <c r="AI1168" i="10"/>
  <c r="AM1168" i="10" s="1"/>
  <c r="AK1168" i="10"/>
  <c r="AI1137" i="10"/>
  <c r="AM1137" i="32" s="1"/>
  <c r="AK1137" i="10"/>
  <c r="AI1220" i="10"/>
  <c r="AM1220" i="10" s="1"/>
  <c r="AK1220" i="10"/>
  <c r="AI1187" i="10"/>
  <c r="AM1187" i="10" s="1"/>
  <c r="AK1187" i="10"/>
  <c r="AI1175" i="10"/>
  <c r="AM1175" i="10" s="1"/>
  <c r="AK1175" i="10"/>
  <c r="AI1151" i="10"/>
  <c r="AK1151" i="10"/>
  <c r="AI1209" i="10"/>
  <c r="AM1209" i="10" s="1"/>
  <c r="AK1209" i="10"/>
  <c r="AI1094" i="10"/>
  <c r="AM1094" i="10" s="1"/>
  <c r="AK1094" i="10"/>
  <c r="AK1126" i="10"/>
  <c r="AI1126" i="10"/>
  <c r="AM1126" i="10" s="1"/>
  <c r="AI1100" i="10"/>
  <c r="AM1100" i="10" s="1"/>
  <c r="AK1100" i="10"/>
  <c r="AI1183" i="10"/>
  <c r="AM1183" i="10" s="1"/>
  <c r="AK1183" i="10"/>
  <c r="AK1184" i="10"/>
  <c r="AI1184" i="10"/>
  <c r="AM1184" i="10" s="1"/>
  <c r="AI1153" i="10"/>
  <c r="AM1153" i="32" s="1"/>
  <c r="AK1153" i="10"/>
  <c r="AI1205" i="10"/>
  <c r="AM1205" i="10" s="1"/>
  <c r="AK1205" i="10"/>
  <c r="AI1127" i="10"/>
  <c r="AM1127" i="10" s="1"/>
  <c r="AK1127" i="10"/>
  <c r="AI1225" i="10"/>
  <c r="AK1225" i="10"/>
  <c r="AK1110" i="10"/>
  <c r="AI1110" i="10"/>
  <c r="AM1110" i="10" s="1"/>
  <c r="AI1174" i="10"/>
  <c r="AM1174" i="10" s="1"/>
  <c r="AI1116" i="10"/>
  <c r="AM1116" i="10" s="1"/>
  <c r="AK1116" i="10"/>
  <c r="AK1201" i="10"/>
  <c r="AI1201" i="10"/>
  <c r="AM1201" i="10" s="1"/>
  <c r="AI1202" i="10"/>
  <c r="AM1202" i="10" s="1"/>
  <c r="AK1202" i="10"/>
  <c r="AI1169" i="10"/>
  <c r="AM1169" i="10" s="1"/>
  <c r="AK1169" i="10"/>
  <c r="AK1124" i="10"/>
  <c r="AI1124" i="10"/>
  <c r="AK1221" i="10"/>
  <c r="AI1221" i="10"/>
  <c r="AM1221" i="10" s="1"/>
  <c r="AK1128" i="10"/>
  <c r="AI1128" i="10"/>
  <c r="AM1128" i="10" s="1"/>
  <c r="AI1096" i="10"/>
  <c r="AM1096" i="10" s="1"/>
  <c r="AK1096" i="10"/>
  <c r="AI1134" i="10"/>
  <c r="AM1134" i="10" s="1"/>
  <c r="AK1134" i="10"/>
  <c r="AI1217" i="10"/>
  <c r="AM1217" i="10" s="1"/>
  <c r="AK1217" i="10"/>
  <c r="AK1218" i="10"/>
  <c r="AI1218" i="10"/>
  <c r="AM1218" i="10" s="1"/>
  <c r="AI1185" i="10"/>
  <c r="AM1185" i="10" s="1"/>
  <c r="AK1185" i="10"/>
  <c r="AI1170" i="10"/>
  <c r="AM1170" i="10" s="1"/>
  <c r="AK1170" i="10"/>
  <c r="AI1144" i="10"/>
  <c r="AM1144" i="10" s="1"/>
  <c r="AK1144" i="10"/>
  <c r="AI1112" i="10"/>
  <c r="AM1112" i="10" s="1"/>
  <c r="AK1112" i="10"/>
  <c r="AI1148" i="10"/>
  <c r="AM1148" i="10" s="1"/>
  <c r="AK1148" i="10"/>
  <c r="AI1150" i="10"/>
  <c r="AM1150" i="10" s="1"/>
  <c r="AK1150" i="10"/>
  <c r="AI1203" i="10"/>
  <c r="AM1203" i="10" s="1"/>
  <c r="AK1203" i="10"/>
  <c r="AI1206" i="10"/>
  <c r="AM1206" i="10" s="1"/>
  <c r="AI1176" i="10"/>
  <c r="AM1176" i="10" s="1"/>
  <c r="AK1176" i="10"/>
  <c r="AI1130" i="10"/>
  <c r="AM1130" i="10" s="1"/>
  <c r="AK1130" i="10"/>
  <c r="AI1166" i="10"/>
  <c r="AM1166" i="10" s="1"/>
  <c r="AK1166" i="10"/>
  <c r="AI1106" i="10"/>
  <c r="AM1106" i="10" s="1"/>
  <c r="AK1106" i="10"/>
  <c r="AK1140" i="10"/>
  <c r="AI1140" i="10"/>
  <c r="AI1219" i="10"/>
  <c r="AM1219" i="10" s="1"/>
  <c r="AK1219" i="10"/>
  <c r="AI1156" i="10"/>
  <c r="AK1156" i="10"/>
  <c r="AK1204" i="10"/>
  <c r="AI1204" i="10"/>
  <c r="AM1204" i="10" s="1"/>
  <c r="AI1132" i="10"/>
  <c r="AM1132" i="10" s="1"/>
  <c r="AK1132" i="10"/>
  <c r="AI1192" i="10"/>
  <c r="AK1192" i="10"/>
  <c r="AI1095" i="10"/>
  <c r="AM1095" i="10" s="1"/>
  <c r="AK1095" i="10"/>
  <c r="AI1146" i="10"/>
  <c r="AM1146" i="10" s="1"/>
  <c r="AK1146" i="10"/>
  <c r="AK1099" i="10"/>
  <c r="AI1099" i="10"/>
  <c r="AM1099" i="10" s="1"/>
  <c r="AI1182" i="10"/>
  <c r="AM1182" i="10" s="1"/>
  <c r="AK1182" i="10"/>
  <c r="AI1117" i="10"/>
  <c r="AM1117" i="10" s="1"/>
  <c r="AK1117" i="10"/>
  <c r="AI1152" i="10"/>
  <c r="AK1152" i="10"/>
  <c r="AI1210" i="10"/>
  <c r="AM1210" i="10" s="1"/>
  <c r="AK1210" i="10"/>
  <c r="AI1111" i="10"/>
  <c r="AM1111" i="10" s="1"/>
  <c r="AK1111" i="10"/>
  <c r="AI1162" i="10"/>
  <c r="AM1162" i="10" s="1"/>
  <c r="AK1162" i="10"/>
  <c r="AI1115" i="10"/>
  <c r="AM1115" i="10" s="1"/>
  <c r="AK1115" i="10"/>
  <c r="AI1200" i="10"/>
  <c r="AM1200" i="10" s="1"/>
  <c r="AK1200" i="10"/>
  <c r="AI1222" i="10"/>
  <c r="AI1188" i="10"/>
  <c r="AM1188" i="10" s="1"/>
  <c r="AK1090" i="10"/>
  <c r="AI1090" i="10"/>
  <c r="AI1091" i="10"/>
  <c r="AM1091" i="10" s="1"/>
  <c r="AK1091" i="10"/>
  <c r="AI1139" i="10"/>
  <c r="AK1139" i="10"/>
  <c r="AI1197" i="10"/>
  <c r="AM1197" i="10" s="1"/>
  <c r="AK1197" i="10"/>
  <c r="AI1171" i="10"/>
  <c r="AM1171" i="10" s="1"/>
  <c r="AK1171" i="10"/>
  <c r="AI1226" i="10"/>
  <c r="AK1226" i="10"/>
  <c r="AI1129" i="10"/>
  <c r="AK1129" i="10"/>
  <c r="AI1178" i="10"/>
  <c r="AM1178" i="10" s="1"/>
  <c r="AK1178" i="10"/>
  <c r="AK1133" i="10"/>
  <c r="AI1133" i="10"/>
  <c r="AM1133" i="10" s="1"/>
  <c r="AI1216" i="10"/>
  <c r="AM1216" i="10" s="1"/>
  <c r="AK1216" i="10"/>
  <c r="AI1172" i="10"/>
  <c r="AM1172" i="10" s="1"/>
  <c r="AK1107" i="10"/>
  <c r="AI1107" i="10"/>
  <c r="AM1107" i="10" s="1"/>
  <c r="AI1180" i="10"/>
  <c r="AM1180" i="10" s="1"/>
  <c r="AI1196" i="10"/>
  <c r="AM1196" i="10" s="1"/>
  <c r="AK1196" i="10"/>
  <c r="AI1097" i="10"/>
  <c r="AK1097" i="10"/>
  <c r="AI1149" i="10"/>
  <c r="AM1149" i="10" s="1"/>
  <c r="AK1149" i="10"/>
  <c r="AI1104" i="10"/>
  <c r="AM1104" i="10" s="1"/>
  <c r="AK1104" i="10"/>
  <c r="AK1125" i="10"/>
  <c r="AI1125" i="10"/>
  <c r="AM1125" i="10" s="1"/>
  <c r="AI1161" i="10"/>
  <c r="AM1161" i="10" s="1"/>
  <c r="AK1161" i="10"/>
  <c r="AI1212" i="10"/>
  <c r="AM1212" i="10" s="1"/>
  <c r="AK1212" i="10"/>
  <c r="AI1113" i="10"/>
  <c r="AM1113" i="32" s="1"/>
  <c r="AK1113" i="10"/>
  <c r="AI1165" i="10"/>
  <c r="AM1165" i="10" s="1"/>
  <c r="AK1165" i="10"/>
  <c r="AI1120" i="10"/>
  <c r="AM1120" i="10" s="1"/>
  <c r="AK1120" i="10"/>
  <c r="AI1089" i="10"/>
  <c r="AM1089" i="32" s="1"/>
  <c r="AK1089" i="10"/>
  <c r="AI1141" i="10"/>
  <c r="AM1141" i="10" s="1"/>
  <c r="AK1141" i="10"/>
  <c r="AI1092" i="10"/>
  <c r="AM1092" i="10" s="1"/>
  <c r="AK1092" i="10"/>
  <c r="AI1119" i="10"/>
  <c r="AM1119" i="10" s="1"/>
  <c r="AK1119" i="10"/>
  <c r="AI1093" i="10"/>
  <c r="AM1093" i="10" s="1"/>
  <c r="AK1093" i="10"/>
  <c r="AK1114" i="10"/>
  <c r="AI1114" i="10"/>
  <c r="AM1114" i="10" s="1"/>
  <c r="AK1177" i="10"/>
  <c r="AI1177" i="10"/>
  <c r="AM1177" i="10" s="1"/>
  <c r="AI1228" i="10"/>
  <c r="AK1228" i="10"/>
  <c r="AI1131" i="10"/>
  <c r="AM1131" i="10" s="1"/>
  <c r="AK1131" i="10"/>
  <c r="AI1181" i="10"/>
  <c r="AM1181" i="10" s="1"/>
  <c r="AK1181" i="10"/>
  <c r="AK1138" i="10"/>
  <c r="AI1138" i="10"/>
  <c r="AK1105" i="10"/>
  <c r="AI1105" i="10"/>
  <c r="AM1105" i="32" s="1"/>
  <c r="AK1173" i="10"/>
  <c r="AI1173" i="10"/>
  <c r="AM1173" i="10" s="1"/>
  <c r="AI1108" i="10"/>
  <c r="AM1108" i="10" s="1"/>
  <c r="AK1108" i="10"/>
  <c r="AI1163" i="10"/>
  <c r="AM1163" i="10" s="1"/>
  <c r="AK1163" i="10"/>
  <c r="AI1109" i="10"/>
  <c r="AM1109" i="10" s="1"/>
  <c r="AK1109" i="10"/>
  <c r="AI1214" i="10"/>
  <c r="AM1214" i="32" s="1"/>
  <c r="AK1214" i="10"/>
  <c r="AK1195" i="10"/>
  <c r="AI1195" i="10"/>
  <c r="AM1195" i="10" s="1"/>
  <c r="AK1147" i="10"/>
  <c r="AI1147" i="10"/>
  <c r="AM1147" i="10" s="1"/>
  <c r="AI1199" i="10"/>
  <c r="AM1199" i="10" s="1"/>
  <c r="AK1199" i="10"/>
  <c r="AI1101" i="10"/>
  <c r="AM1101" i="10" s="1"/>
  <c r="AK1101" i="10"/>
  <c r="AI1102" i="10"/>
  <c r="AM1102" i="10" s="1"/>
  <c r="AK1102" i="10"/>
  <c r="AI1154" i="10"/>
  <c r="AK1154" i="10"/>
  <c r="AI1123" i="10"/>
  <c r="AM1123" i="10" s="1"/>
  <c r="AK1123" i="10"/>
  <c r="AK1189" i="10"/>
  <c r="AI1189" i="10"/>
  <c r="AM1189" i="10" s="1"/>
  <c r="AK1142" i="10"/>
  <c r="AI1142" i="10"/>
  <c r="AM1142" i="10" s="1"/>
  <c r="X1195" i="11"/>
  <c r="AN1195" i="10" s="1"/>
  <c r="T1195" i="10"/>
  <c r="X1055" i="11"/>
  <c r="AN1055" i="10" s="1"/>
  <c r="T1055" i="10"/>
  <c r="X1124" i="11"/>
  <c r="AN1124" i="10" s="1"/>
  <c r="T1124" i="10"/>
  <c r="X1019" i="11"/>
  <c r="AN1019" i="10" s="1"/>
  <c r="T1019" i="10"/>
  <c r="X1101" i="11"/>
  <c r="AN1101" i="10" s="1"/>
  <c r="T1101" i="10"/>
  <c r="X1138" i="11"/>
  <c r="AN1138" i="10" s="1"/>
  <c r="T1138" i="10"/>
  <c r="X1116" i="11"/>
  <c r="AN1116" i="10" s="1"/>
  <c r="T1116" i="10"/>
  <c r="X1059" i="11"/>
  <c r="AN1059" i="10" s="1"/>
  <c r="T1059" i="10"/>
  <c r="X1043" i="11"/>
  <c r="AN1043" i="10" s="1"/>
  <c r="T1043" i="10"/>
  <c r="X1136" i="11"/>
  <c r="AN1136" i="10" s="1"/>
  <c r="T1136" i="10"/>
  <c r="X998" i="11"/>
  <c r="AN998" i="10" s="1"/>
  <c r="T998" i="10"/>
  <c r="X1224" i="11"/>
  <c r="T1224" i="10"/>
  <c r="AO1224" i="32" s="1"/>
  <c r="X1060" i="11"/>
  <c r="AN1060" i="10" s="1"/>
  <c r="T1060" i="10"/>
  <c r="T1040" i="10"/>
  <c r="X1094" i="11"/>
  <c r="AN1094" i="10" s="1"/>
  <c r="T1094" i="10"/>
  <c r="X1022" i="11"/>
  <c r="AN1022" i="10" s="1"/>
  <c r="T1022" i="10"/>
  <c r="X1143" i="11"/>
  <c r="AN1143" i="10" s="1"/>
  <c r="T1143" i="10"/>
  <c r="X1228" i="11"/>
  <c r="T1228" i="10"/>
  <c r="X1090" i="11"/>
  <c r="AN1090" i="10" s="1"/>
  <c r="T1090" i="10"/>
  <c r="X1170" i="11"/>
  <c r="AN1170" i="10" s="1"/>
  <c r="T1170" i="10"/>
  <c r="X1030" i="11"/>
  <c r="AN1030" i="10" s="1"/>
  <c r="T1030" i="10"/>
  <c r="X1114" i="11"/>
  <c r="AN1114" i="10" s="1"/>
  <c r="T1114" i="10"/>
  <c r="X1217" i="11"/>
  <c r="AN1217" i="10" s="1"/>
  <c r="T1217" i="10"/>
  <c r="X1077" i="11"/>
  <c r="T1077" i="10"/>
  <c r="X1100" i="11"/>
  <c r="AN1100" i="10" s="1"/>
  <c r="T1100" i="10"/>
  <c r="X1189" i="11"/>
  <c r="AN1189" i="10" s="1"/>
  <c r="T1189" i="10"/>
  <c r="X1062" i="11"/>
  <c r="AN1062" i="10" s="1"/>
  <c r="T1062" i="10"/>
  <c r="X1201" i="11"/>
  <c r="AN1201" i="10" s="1"/>
  <c r="T1201" i="10"/>
  <c r="X1014" i="11"/>
  <c r="AN1014" i="10" s="1"/>
  <c r="T1014" i="10"/>
  <c r="X1172" i="11"/>
  <c r="AN1172" i="10" s="1"/>
  <c r="T1172" i="10"/>
  <c r="X1139" i="11"/>
  <c r="AN1139" i="10" s="1"/>
  <c r="T1139" i="10"/>
  <c r="X1031" i="11"/>
  <c r="AN1031" i="10" s="1"/>
  <c r="T1031" i="10"/>
  <c r="X1109" i="11"/>
  <c r="AN1109" i="10" s="1"/>
  <c r="T1109" i="10"/>
  <c r="X1125" i="11"/>
  <c r="AN1125" i="10" s="1"/>
  <c r="T1125" i="10"/>
  <c r="X1192" i="11"/>
  <c r="AN1192" i="10" s="1"/>
  <c r="T1192" i="10"/>
  <c r="X1054" i="11"/>
  <c r="AN1054" i="10" s="1"/>
  <c r="T1054" i="10"/>
  <c r="X1152" i="11"/>
  <c r="T1152" i="10"/>
  <c r="X1171" i="11"/>
  <c r="AN1171" i="10" s="1"/>
  <c r="T1171" i="10"/>
  <c r="X1163" i="11"/>
  <c r="AN1163" i="10" s="1"/>
  <c r="T1163" i="10"/>
  <c r="X1127" i="11"/>
  <c r="AN1127" i="10" s="1"/>
  <c r="T1127" i="10"/>
  <c r="X1225" i="11"/>
  <c r="T1225" i="10"/>
  <c r="X1173" i="11"/>
  <c r="AN1173" i="10" s="1"/>
  <c r="T1173" i="10"/>
  <c r="X1081" i="11"/>
  <c r="T1081" i="10"/>
  <c r="X1196" i="11"/>
  <c r="AN1196" i="10" s="1"/>
  <c r="T1196" i="10"/>
  <c r="X1093" i="11"/>
  <c r="AN1093" i="10" s="1"/>
  <c r="T1093" i="10"/>
  <c r="X1038" i="11"/>
  <c r="AN1038" i="10" s="1"/>
  <c r="T1038" i="10"/>
  <c r="X1069" i="11"/>
  <c r="AN1069" i="10" s="1"/>
  <c r="T1069" i="10"/>
  <c r="X1190" i="11"/>
  <c r="AN1190" i="10" s="1"/>
  <c r="T1190" i="10"/>
  <c r="X1052" i="11"/>
  <c r="AN1052" i="10" s="1"/>
  <c r="T1052" i="10"/>
  <c r="X1049" i="11"/>
  <c r="T1049" i="10"/>
  <c r="X1165" i="11"/>
  <c r="AN1165" i="10" s="1"/>
  <c r="T1165" i="10"/>
  <c r="X1058" i="11"/>
  <c r="AN1058" i="10" s="1"/>
  <c r="T1058" i="10"/>
  <c r="X991" i="11"/>
  <c r="AN991" i="10" s="1"/>
  <c r="T991" i="10"/>
  <c r="X1028" i="11"/>
  <c r="AN1028" i="10" s="1"/>
  <c r="T1028" i="10"/>
  <c r="X1146" i="11"/>
  <c r="AN1146" i="10" s="1"/>
  <c r="T1146" i="10"/>
  <c r="X1024" i="11"/>
  <c r="AN1024" i="10" s="1"/>
  <c r="T1024" i="10"/>
  <c r="X1209" i="11"/>
  <c r="AN1209" i="10" s="1"/>
  <c r="T1209" i="10"/>
  <c r="X1185" i="11"/>
  <c r="AN1185" i="10" s="1"/>
  <c r="T1185" i="10"/>
  <c r="X994" i="11"/>
  <c r="AN994" i="10" s="1"/>
  <c r="T994" i="10"/>
  <c r="X1164" i="11"/>
  <c r="AN1164" i="10" s="1"/>
  <c r="T1164" i="10"/>
  <c r="T1073" i="10"/>
  <c r="X1080" i="11"/>
  <c r="T1080" i="10"/>
  <c r="X1020" i="11"/>
  <c r="AN1020" i="10" s="1"/>
  <c r="T1020" i="10"/>
  <c r="X1036" i="11"/>
  <c r="AN1036" i="10" s="1"/>
  <c r="T1036" i="10"/>
  <c r="X1151" i="11"/>
  <c r="T1151" i="10"/>
  <c r="T1001" i="10"/>
  <c r="X1130" i="11"/>
  <c r="AN1130" i="10" s="1"/>
  <c r="T1130" i="10"/>
  <c r="X1133" i="11"/>
  <c r="AN1133" i="10" s="1"/>
  <c r="T1133" i="10"/>
  <c r="X1005" i="11"/>
  <c r="AN1005" i="10" s="1"/>
  <c r="T1005" i="10"/>
  <c r="X1029" i="11"/>
  <c r="AN1029" i="10" s="1"/>
  <c r="T1029" i="10"/>
  <c r="X1131" i="11"/>
  <c r="AN1131" i="10" s="1"/>
  <c r="T1131" i="10"/>
  <c r="X992" i="11"/>
  <c r="AN992" i="10" s="1"/>
  <c r="T992" i="10"/>
  <c r="X1057" i="11"/>
  <c r="AN1057" i="10" s="1"/>
  <c r="T1057" i="10"/>
  <c r="X1140" i="11"/>
  <c r="AN1140" i="10" s="1"/>
  <c r="T1140" i="10"/>
  <c r="X1004" i="11"/>
  <c r="AN1004" i="10" s="1"/>
  <c r="T1004" i="10"/>
  <c r="X1037" i="11"/>
  <c r="AN1037" i="10" s="1"/>
  <c r="T1037" i="10"/>
  <c r="X1154" i="11"/>
  <c r="T1154" i="10"/>
  <c r="X1092" i="11"/>
  <c r="AN1092" i="10" s="1"/>
  <c r="T1092" i="10"/>
  <c r="X1202" i="11"/>
  <c r="AN1202" i="10" s="1"/>
  <c r="T1202" i="10"/>
  <c r="X1084" i="11"/>
  <c r="T1084" i="10"/>
  <c r="X1112" i="11"/>
  <c r="AN1112" i="10" s="1"/>
  <c r="T1112" i="10"/>
  <c r="X1018" i="11"/>
  <c r="AN1018" i="10" s="1"/>
  <c r="T1018" i="10"/>
  <c r="AN1049" i="10" l="1"/>
  <c r="AN1049" i="32"/>
  <c r="T1221" i="10"/>
  <c r="X1221" i="11"/>
  <c r="AN1221" i="10" s="1"/>
  <c r="AL1224" i="10"/>
  <c r="AU1224" i="10" s="1"/>
  <c r="T1115" i="10"/>
  <c r="X1115" i="11"/>
  <c r="AN1115" i="10" s="1"/>
  <c r="AO1228" i="32"/>
  <c r="AO1151" i="32"/>
  <c r="T1156" i="10"/>
  <c r="AO1156" i="32" s="1"/>
  <c r="AM1164" i="10"/>
  <c r="AO1154" i="32"/>
  <c r="T1226" i="10"/>
  <c r="AO1226" i="10" s="1"/>
  <c r="X1226" i="11"/>
  <c r="AN1226" i="32" s="1"/>
  <c r="T1076" i="10"/>
  <c r="X1076" i="11"/>
  <c r="AN1076" i="10" s="1"/>
  <c r="AO1225" i="32"/>
  <c r="AM1224" i="10"/>
  <c r="AM1224" i="32"/>
  <c r="AM1151" i="10"/>
  <c r="AM1151" i="32"/>
  <c r="AN1084" i="10"/>
  <c r="AN1084" i="32"/>
  <c r="AP1227" i="10"/>
  <c r="AP1227" i="32"/>
  <c r="AP1155" i="10"/>
  <c r="AP1155" i="32"/>
  <c r="AN1228" i="10"/>
  <c r="AN1228" i="32"/>
  <c r="AL1152" i="10"/>
  <c r="AT1152" i="10" s="1"/>
  <c r="AL1152" i="32"/>
  <c r="AL1223" i="10"/>
  <c r="AR1223" i="10" s="1"/>
  <c r="AL1223" i="32"/>
  <c r="AL1227" i="10"/>
  <c r="AU1227" i="10" s="1"/>
  <c r="AL1227" i="32"/>
  <c r="AP1151" i="10"/>
  <c r="AP1151" i="32"/>
  <c r="AP1223" i="10"/>
  <c r="AP1223" i="32"/>
  <c r="AN1151" i="10"/>
  <c r="AN1151" i="32"/>
  <c r="AL1153" i="10"/>
  <c r="AR1153" i="10" s="1"/>
  <c r="AL1153" i="32"/>
  <c r="AM1223" i="10"/>
  <c r="AM1223" i="32"/>
  <c r="AL1156" i="10"/>
  <c r="AL1156" i="32"/>
  <c r="AM1155" i="10"/>
  <c r="AM1155" i="32"/>
  <c r="AM1156" i="10"/>
  <c r="AM1156" i="32"/>
  <c r="AL1155" i="10"/>
  <c r="AT1155" i="10" s="1"/>
  <c r="AL1155" i="32"/>
  <c r="AL1151" i="10"/>
  <c r="AV1151" i="10" s="1"/>
  <c r="AL1151" i="32"/>
  <c r="AN1077" i="10"/>
  <c r="AN1077" i="32"/>
  <c r="AO1152" i="32"/>
  <c r="AP1156" i="10"/>
  <c r="AP1156" i="32"/>
  <c r="AN1224" i="10"/>
  <c r="AN1224" i="32"/>
  <c r="AN1080" i="10"/>
  <c r="AN1080" i="32"/>
  <c r="AP1228" i="10"/>
  <c r="AP1228" i="32"/>
  <c r="AN1152" i="10"/>
  <c r="AN1152" i="32"/>
  <c r="AS1224" i="32"/>
  <c r="AM1152" i="10"/>
  <c r="AM1152" i="32"/>
  <c r="AL1228" i="10"/>
  <c r="AU1228" i="10" s="1"/>
  <c r="AL1228" i="32"/>
  <c r="AL1226" i="10"/>
  <c r="AT1226" i="10" s="1"/>
  <c r="AL1226" i="32"/>
  <c r="AL1225" i="10"/>
  <c r="AU1225" i="10" s="1"/>
  <c r="AL1225" i="32"/>
  <c r="AP1225" i="10"/>
  <c r="AP1225" i="32"/>
  <c r="AP1153" i="10"/>
  <c r="AP1153" i="32"/>
  <c r="AP1152" i="10"/>
  <c r="AP1152" i="32"/>
  <c r="AM1228" i="10"/>
  <c r="AM1228" i="32"/>
  <c r="AM1226" i="10"/>
  <c r="AM1226" i="32"/>
  <c r="AM1225" i="10"/>
  <c r="AM1225" i="32"/>
  <c r="AP1224" i="10"/>
  <c r="AP1224" i="32"/>
  <c r="AM1227" i="10"/>
  <c r="AM1227" i="32"/>
  <c r="AN1081" i="10"/>
  <c r="AN1081" i="32"/>
  <c r="AL1154" i="10"/>
  <c r="AV1154" i="10" s="1"/>
  <c r="AL1154" i="32"/>
  <c r="AP1154" i="10"/>
  <c r="AP1154" i="32"/>
  <c r="AN1225" i="10"/>
  <c r="AN1225" i="32"/>
  <c r="AN1154" i="10"/>
  <c r="AN1154" i="32"/>
  <c r="AM1154" i="10"/>
  <c r="AM1154" i="32"/>
  <c r="AP1226" i="10"/>
  <c r="AP1226" i="32"/>
  <c r="X1156" i="11"/>
  <c r="X1011" i="11"/>
  <c r="AN1011" i="10" s="1"/>
  <c r="T1034" i="10"/>
  <c r="T1009" i="10"/>
  <c r="X1199" i="11"/>
  <c r="AN1199" i="10" s="1"/>
  <c r="X1009" i="11"/>
  <c r="T1198" i="10"/>
  <c r="AO1198" i="10" s="1"/>
  <c r="T1011" i="10"/>
  <c r="X1034" i="11"/>
  <c r="AN1034" i="10" s="1"/>
  <c r="T1199" i="10"/>
  <c r="AO1199" i="10" s="1"/>
  <c r="T1117" i="10"/>
  <c r="AO1117" i="32" s="1"/>
  <c r="X1198" i="11"/>
  <c r="AN1198" i="10" s="1"/>
  <c r="X1128" i="11"/>
  <c r="AN1128" i="10" s="1"/>
  <c r="T1128" i="10"/>
  <c r="AO1128" i="10" s="1"/>
  <c r="X1153" i="11"/>
  <c r="T1012" i="10"/>
  <c r="X1012" i="11"/>
  <c r="T1066" i="10"/>
  <c r="T1048" i="10"/>
  <c r="T1079" i="10"/>
  <c r="T1153" i="10"/>
  <c r="X1066" i="11"/>
  <c r="AN1066" i="10" s="1"/>
  <c r="X1098" i="11"/>
  <c r="AN1098" i="10" s="1"/>
  <c r="X1025" i="11"/>
  <c r="T1098" i="10"/>
  <c r="AO1098" i="10" s="1"/>
  <c r="T1025" i="10"/>
  <c r="T1180" i="10"/>
  <c r="AO1180" i="32" s="1"/>
  <c r="X1079" i="11"/>
  <c r="X1208" i="11"/>
  <c r="AN1208" i="10" s="1"/>
  <c r="T1010" i="10"/>
  <c r="T1197" i="10"/>
  <c r="AO1197" i="32" s="1"/>
  <c r="X1200" i="11"/>
  <c r="X1056" i="11"/>
  <c r="AN1056" i="10" s="1"/>
  <c r="T1168" i="10"/>
  <c r="AO1168" i="10" s="1"/>
  <c r="X999" i="11"/>
  <c r="X1207" i="11"/>
  <c r="T1008" i="10"/>
  <c r="T1208" i="10"/>
  <c r="AO1208" i="10" s="1"/>
  <c r="X1008" i="11"/>
  <c r="T1200" i="10"/>
  <c r="AO1200" i="32" s="1"/>
  <c r="X1053" i="11"/>
  <c r="X1010" i="11"/>
  <c r="AN1010" i="10" s="1"/>
  <c r="T1053" i="10"/>
  <c r="X1048" i="11"/>
  <c r="T1082" i="10"/>
  <c r="X1147" i="11"/>
  <c r="AN1147" i="10" s="1"/>
  <c r="X1135" i="11"/>
  <c r="AN1135" i="10" s="1"/>
  <c r="X1210" i="11"/>
  <c r="T999" i="10"/>
  <c r="T1191" i="10"/>
  <c r="AO1191" i="10" s="1"/>
  <c r="T1067" i="10"/>
  <c r="X1148" i="11"/>
  <c r="AN1148" i="10" s="1"/>
  <c r="AM1127" i="32"/>
  <c r="T1218" i="10"/>
  <c r="AO1218" i="10" s="1"/>
  <c r="X1082" i="11"/>
  <c r="T1210" i="10"/>
  <c r="AO1210" i="10" s="1"/>
  <c r="AM1209" i="32"/>
  <c r="X1197" i="11"/>
  <c r="AN1197" i="10" s="1"/>
  <c r="X1212" i="11"/>
  <c r="T1016" i="10"/>
  <c r="X1016" i="11"/>
  <c r="AN1016" i="10" s="1"/>
  <c r="T1134" i="10"/>
  <c r="AO1134" i="32" s="1"/>
  <c r="X996" i="11"/>
  <c r="AN996" i="10" s="1"/>
  <c r="X1134" i="11"/>
  <c r="AN1134" i="10" s="1"/>
  <c r="T1089" i="10"/>
  <c r="AO1089" i="32" s="1"/>
  <c r="AO1151" i="10"/>
  <c r="T1132" i="10"/>
  <c r="AO1132" i="10" s="1"/>
  <c r="X1089" i="11"/>
  <c r="T1220" i="10"/>
  <c r="AO1220" i="10" s="1"/>
  <c r="X1132" i="11"/>
  <c r="AN1132" i="10" s="1"/>
  <c r="T1056" i="10"/>
  <c r="T1214" i="10"/>
  <c r="AO1214" i="32" s="1"/>
  <c r="T1207" i="10"/>
  <c r="AO1207" i="10" s="1"/>
  <c r="AM1185" i="32"/>
  <c r="X1117" i="11"/>
  <c r="T1186" i="10"/>
  <c r="AO1186" i="10" s="1"/>
  <c r="T1126" i="10"/>
  <c r="AO1126" i="32" s="1"/>
  <c r="AP1091" i="10"/>
  <c r="X1186" i="11"/>
  <c r="AN1186" i="10" s="1"/>
  <c r="X1126" i="11"/>
  <c r="AN1126" i="10" s="1"/>
  <c r="X1218" i="11"/>
  <c r="T1204" i="10"/>
  <c r="AO1204" i="32" s="1"/>
  <c r="T1099" i="10"/>
  <c r="AO1099" i="10" s="1"/>
  <c r="T993" i="10"/>
  <c r="X1021" i="11"/>
  <c r="AN1021" i="10" s="1"/>
  <c r="T1096" i="10"/>
  <c r="AO1096" i="10" s="1"/>
  <c r="AL1174" i="10"/>
  <c r="AT1174" i="32" s="1"/>
  <c r="AL1164" i="32"/>
  <c r="X1204" i="11"/>
  <c r="AN1204" i="10" s="1"/>
  <c r="X1099" i="11"/>
  <c r="AN1099" i="10" s="1"/>
  <c r="X1168" i="11"/>
  <c r="X1214" i="11"/>
  <c r="AN1214" i="10" s="1"/>
  <c r="T1097" i="10"/>
  <c r="AO1097" i="10" s="1"/>
  <c r="T1161" i="10"/>
  <c r="X1096" i="11"/>
  <c r="AN1096" i="10" s="1"/>
  <c r="AM1171" i="32"/>
  <c r="T1047" i="10"/>
  <c r="AL1206" i="10"/>
  <c r="AR1206" i="32" s="1"/>
  <c r="X1097" i="11"/>
  <c r="AN1097" i="10" s="1"/>
  <c r="T1188" i="10"/>
  <c r="AO1188" i="10" s="1"/>
  <c r="X1007" i="11"/>
  <c r="T1103" i="10"/>
  <c r="AO1103" i="32" s="1"/>
  <c r="T1064" i="10"/>
  <c r="X1000" i="11"/>
  <c r="AN1000" i="10" s="1"/>
  <c r="T1072" i="10"/>
  <c r="T1203" i="10"/>
  <c r="AO1203" i="32" s="1"/>
  <c r="X1051" i="11"/>
  <c r="T1179" i="10"/>
  <c r="AO1179" i="32" s="1"/>
  <c r="X986" i="11"/>
  <c r="AN986" i="10" s="1"/>
  <c r="X1068" i="11"/>
  <c r="AN1068" i="10" s="1"/>
  <c r="X1047" i="11"/>
  <c r="AN1047" i="10" s="1"/>
  <c r="T1182" i="10"/>
  <c r="AO1182" i="10" s="1"/>
  <c r="T1063" i="10"/>
  <c r="X1161" i="11"/>
  <c r="AN1161" i="10" s="1"/>
  <c r="AM1181" i="32"/>
  <c r="AL1180" i="32"/>
  <c r="T1000" i="10"/>
  <c r="X1063" i="11"/>
  <c r="AN1063" i="10" s="1"/>
  <c r="X1064" i="11"/>
  <c r="X1072" i="11"/>
  <c r="AN1072" i="10" s="1"/>
  <c r="X1203" i="11"/>
  <c r="T1216" i="10"/>
  <c r="AO1216" i="10" s="1"/>
  <c r="X1179" i="11"/>
  <c r="AN1179" i="10" s="1"/>
  <c r="T1111" i="10"/>
  <c r="AO1111" i="10" s="1"/>
  <c r="X1182" i="11"/>
  <c r="AN1182" i="10" s="1"/>
  <c r="T1003" i="10"/>
  <c r="T1006" i="10"/>
  <c r="AP1189" i="10"/>
  <c r="AM1163" i="32"/>
  <c r="T1149" i="10"/>
  <c r="AO1149" i="10" s="1"/>
  <c r="X1003" i="11"/>
  <c r="AN1003" i="10" s="1"/>
  <c r="T1147" i="10"/>
  <c r="AO1147" i="10" s="1"/>
  <c r="X1216" i="11"/>
  <c r="AN1216" i="10" s="1"/>
  <c r="X993" i="11"/>
  <c r="AN993" i="10" s="1"/>
  <c r="AM1201" i="32"/>
  <c r="X1002" i="11"/>
  <c r="AM1182" i="32"/>
  <c r="X1181" i="11"/>
  <c r="AN1181" i="10" s="1"/>
  <c r="T1141" i="10"/>
  <c r="AO1141" i="10" s="1"/>
  <c r="AT1180" i="32"/>
  <c r="T1212" i="10"/>
  <c r="AO1212" i="32" s="1"/>
  <c r="T1027" i="10"/>
  <c r="T1068" i="10"/>
  <c r="X1183" i="11"/>
  <c r="AN1183" i="10" s="1"/>
  <c r="X1141" i="11"/>
  <c r="AN1141" i="10" s="1"/>
  <c r="AM1199" i="32"/>
  <c r="X1149" i="11"/>
  <c r="T1041" i="10"/>
  <c r="T1045" i="10"/>
  <c r="T1181" i="10"/>
  <c r="AO1181" i="32" s="1"/>
  <c r="X1041" i="11"/>
  <c r="AN1041" i="10" s="1"/>
  <c r="T1102" i="10"/>
  <c r="AO1102" i="10" s="1"/>
  <c r="X1045" i="11"/>
  <c r="X1102" i="11"/>
  <c r="AN1102" i="10" s="1"/>
  <c r="X1174" i="11"/>
  <c r="AN1174" i="10" s="1"/>
  <c r="T1046" i="10"/>
  <c r="T995" i="10"/>
  <c r="X1070" i="11"/>
  <c r="AN1070" i="10" s="1"/>
  <c r="T1050" i="10"/>
  <c r="X1206" i="11"/>
  <c r="AN1206" i="10" s="1"/>
  <c r="X1118" i="11"/>
  <c r="AN1118" i="10" s="1"/>
  <c r="X1167" i="11"/>
  <c r="AN1167" i="10" s="1"/>
  <c r="X1046" i="11"/>
  <c r="AN1046" i="10" s="1"/>
  <c r="T1205" i="10"/>
  <c r="AP1115" i="10"/>
  <c r="AM1167" i="32"/>
  <c r="X1220" i="11"/>
  <c r="AN1220" i="10" s="1"/>
  <c r="T1002" i="10"/>
  <c r="X1015" i="11"/>
  <c r="AL1172" i="32"/>
  <c r="T1183" i="10"/>
  <c r="AO1183" i="32" s="1"/>
  <c r="T1070" i="10"/>
  <c r="T1206" i="10"/>
  <c r="AO1206" i="10" s="1"/>
  <c r="T1118" i="10"/>
  <c r="AO1118" i="10" s="1"/>
  <c r="X1027" i="11"/>
  <c r="X995" i="11"/>
  <c r="AN995" i="10" s="1"/>
  <c r="T1044" i="10"/>
  <c r="X1050" i="11"/>
  <c r="AN1050" i="10" s="1"/>
  <c r="T1148" i="10"/>
  <c r="AO1148" i="10" s="1"/>
  <c r="X1205" i="11"/>
  <c r="AN1205" i="10" s="1"/>
  <c r="AM1179" i="32"/>
  <c r="AM1191" i="32"/>
  <c r="X1111" i="11"/>
  <c r="T1015" i="10"/>
  <c r="X1044" i="11"/>
  <c r="T1042" i="10"/>
  <c r="T1113" i="10"/>
  <c r="AO1113" i="32" s="1"/>
  <c r="AL1107" i="32"/>
  <c r="AM1120" i="32"/>
  <c r="T1135" i="10"/>
  <c r="AO1135" i="32" s="1"/>
  <c r="X1042" i="11"/>
  <c r="T1051" i="10"/>
  <c r="T1007" i="10"/>
  <c r="X1078" i="11"/>
  <c r="X1113" i="11"/>
  <c r="AN1113" i="10" s="1"/>
  <c r="AM1184" i="32"/>
  <c r="AO1152" i="10"/>
  <c r="X1067" i="11"/>
  <c r="AN1067" i="10" s="1"/>
  <c r="X1188" i="11"/>
  <c r="AN1188" i="10" s="1"/>
  <c r="AM1125" i="32"/>
  <c r="AM1180" i="32"/>
  <c r="AM1102" i="32"/>
  <c r="T1144" i="10"/>
  <c r="AO1144" i="10" s="1"/>
  <c r="AU1180" i="32"/>
  <c r="AL1206" i="32"/>
  <c r="T1223" i="10"/>
  <c r="T1137" i="10"/>
  <c r="AO1137" i="32" s="1"/>
  <c r="T1017" i="10"/>
  <c r="T1176" i="10"/>
  <c r="T1083" i="10"/>
  <c r="X1184" i="11"/>
  <c r="AN1184" i="10" s="1"/>
  <c r="X1103" i="11"/>
  <c r="AN1103" i="10" s="1"/>
  <c r="AM1119" i="32"/>
  <c r="AM1188" i="32"/>
  <c r="AM1100" i="32"/>
  <c r="T1213" i="10"/>
  <c r="AO1213" i="32" s="1"/>
  <c r="AP1222" i="10"/>
  <c r="X1169" i="11"/>
  <c r="X1006" i="11"/>
  <c r="AN1006" i="10" s="1"/>
  <c r="AL1222" i="10"/>
  <c r="T1162" i="10"/>
  <c r="AO1162" i="32" s="1"/>
  <c r="X1213" i="11"/>
  <c r="AN1213" i="10" s="1"/>
  <c r="X1144" i="11"/>
  <c r="T1184" i="10"/>
  <c r="AO1184" i="10" s="1"/>
  <c r="AM1118" i="32"/>
  <c r="X1017" i="11"/>
  <c r="AN1017" i="10" s="1"/>
  <c r="T985" i="10"/>
  <c r="T1071" i="10"/>
  <c r="T1227" i="10"/>
  <c r="AM1211" i="32"/>
  <c r="AM1203" i="32"/>
  <c r="AL1208" i="32"/>
  <c r="X1162" i="11"/>
  <c r="AN1162" i="10" s="1"/>
  <c r="AM1212" i="32"/>
  <c r="T1169" i="10"/>
  <c r="AO1169" i="10" s="1"/>
  <c r="X985" i="11"/>
  <c r="AN985" i="10" s="1"/>
  <c r="X1071" i="11"/>
  <c r="AN1071" i="10" s="1"/>
  <c r="X1227" i="11"/>
  <c r="T1219" i="10"/>
  <c r="T1061" i="10"/>
  <c r="AM1175" i="32"/>
  <c r="AM1172" i="32"/>
  <c r="AM1200" i="32"/>
  <c r="X1176" i="11"/>
  <c r="T1119" i="10"/>
  <c r="AO1119" i="32" s="1"/>
  <c r="T1211" i="10"/>
  <c r="AO1211" i="10" s="1"/>
  <c r="T1091" i="10"/>
  <c r="AO1091" i="10" s="1"/>
  <c r="T1105" i="10"/>
  <c r="AO1105" i="32" s="1"/>
  <c r="T1107" i="10"/>
  <c r="AO1107" i="10" s="1"/>
  <c r="X1219" i="11"/>
  <c r="AN1219" i="10" s="1"/>
  <c r="X1061" i="11"/>
  <c r="AN1061" i="10" s="1"/>
  <c r="AM1216" i="32"/>
  <c r="AM1196" i="32"/>
  <c r="AM1173" i="32"/>
  <c r="X1191" i="11"/>
  <c r="AN1191" i="10" s="1"/>
  <c r="X1180" i="11"/>
  <c r="AM1148" i="32"/>
  <c r="X1223" i="11"/>
  <c r="X1137" i="11"/>
  <c r="AN1137" i="10" s="1"/>
  <c r="X1083" i="11"/>
  <c r="X1119" i="11"/>
  <c r="AN1119" i="10" s="1"/>
  <c r="X1211" i="11"/>
  <c r="AN1211" i="10" s="1"/>
  <c r="X1091" i="11"/>
  <c r="X1105" i="11"/>
  <c r="AN1105" i="10" s="1"/>
  <c r="X1107" i="11"/>
  <c r="AN1107" i="10" s="1"/>
  <c r="T1023" i="10"/>
  <c r="AM1202" i="32"/>
  <c r="AM1195" i="32"/>
  <c r="T996" i="10"/>
  <c r="T1174" i="10"/>
  <c r="AO1174" i="32" s="1"/>
  <c r="T1167" i="10"/>
  <c r="AO1167" i="10" s="1"/>
  <c r="AO1225" i="10"/>
  <c r="X1023" i="11"/>
  <c r="AN1023" i="10" s="1"/>
  <c r="AL1100" i="10"/>
  <c r="AQ1100" i="32" s="1"/>
  <c r="AM1095" i="32"/>
  <c r="AM1206" i="32"/>
  <c r="AM1106" i="32"/>
  <c r="AL1141" i="10"/>
  <c r="AR1141" i="10" s="1"/>
  <c r="AL1141" i="32"/>
  <c r="AL1183" i="10"/>
  <c r="AR1183" i="10" s="1"/>
  <c r="AL1183" i="32"/>
  <c r="AL1162" i="10"/>
  <c r="AL1162" i="32"/>
  <c r="AP1149" i="10"/>
  <c r="AL1220" i="10"/>
  <c r="AL1220" i="32"/>
  <c r="AP1170" i="10"/>
  <c r="AL1163" i="10"/>
  <c r="AU1163" i="10" s="1"/>
  <c r="AL1163" i="32"/>
  <c r="AL1106" i="10"/>
  <c r="AQ1106" i="10" s="1"/>
  <c r="AL1106" i="32"/>
  <c r="AP1197" i="10"/>
  <c r="AP1197" i="32"/>
  <c r="AQ1208" i="32"/>
  <c r="AP1093" i="10"/>
  <c r="AP1093" i="32"/>
  <c r="AP1116" i="10"/>
  <c r="AP1116" i="32"/>
  <c r="X1177" i="11"/>
  <c r="AN1177" i="10" s="1"/>
  <c r="AL1166" i="10"/>
  <c r="AQ1166" i="10" s="1"/>
  <c r="AL1166" i="32"/>
  <c r="AP1182" i="10"/>
  <c r="AP1182" i="32"/>
  <c r="AP1097" i="10"/>
  <c r="AL1101" i="10"/>
  <c r="AS1101" i="10" s="1"/>
  <c r="AL1101" i="32"/>
  <c r="AP1099" i="10"/>
  <c r="AM1139" i="10"/>
  <c r="AM1139" i="32"/>
  <c r="AM1108" i="32"/>
  <c r="X1129" i="11"/>
  <c r="AN1129" i="10" s="1"/>
  <c r="AL1094" i="10"/>
  <c r="AS1094" i="10" s="1"/>
  <c r="AL1094" i="32"/>
  <c r="AP1167" i="10"/>
  <c r="AP1167" i="32"/>
  <c r="AP1195" i="10"/>
  <c r="AP1195" i="32"/>
  <c r="AP1123" i="10"/>
  <c r="AP1123" i="32"/>
  <c r="AP1125" i="10"/>
  <c r="AP1125" i="32"/>
  <c r="T1108" i="10"/>
  <c r="T1106" i="10"/>
  <c r="AO1106" i="10" s="1"/>
  <c r="X1166" i="11"/>
  <c r="X1142" i="11"/>
  <c r="AN1142" i="10" s="1"/>
  <c r="X1120" i="11"/>
  <c r="AN1120" i="10" s="1"/>
  <c r="AO1224" i="10"/>
  <c r="AL1199" i="10"/>
  <c r="AL1199" i="32"/>
  <c r="AL1173" i="10"/>
  <c r="AV1173" i="10" s="1"/>
  <c r="AL1173" i="32"/>
  <c r="AL1196" i="10"/>
  <c r="AV1196" i="32" s="1"/>
  <c r="AL1196" i="32"/>
  <c r="AM1192" i="10"/>
  <c r="AM1192" i="32"/>
  <c r="AL1221" i="10"/>
  <c r="AR1221" i="10" s="1"/>
  <c r="AL1127" i="10"/>
  <c r="AQ1127" i="10" s="1"/>
  <c r="AL1127" i="32"/>
  <c r="AL1167" i="10"/>
  <c r="AU1167" i="10" s="1"/>
  <c r="AL1167" i="32"/>
  <c r="AL1103" i="10"/>
  <c r="AL1103" i="32"/>
  <c r="AL1118" i="10"/>
  <c r="AQ1118" i="10" s="1"/>
  <c r="AL1118" i="32"/>
  <c r="AM1176" i="32"/>
  <c r="AM1213" i="32"/>
  <c r="AM1128" i="32"/>
  <c r="AP1126" i="10"/>
  <c r="AP1126" i="32"/>
  <c r="AP1094" i="10"/>
  <c r="AP1094" i="32"/>
  <c r="AP1124" i="10"/>
  <c r="AP1124" i="32"/>
  <c r="AP1144" i="10"/>
  <c r="AP1144" i="32"/>
  <c r="AP1206" i="10"/>
  <c r="AP1206" i="32"/>
  <c r="AL1148" i="10"/>
  <c r="AR1148" i="10" s="1"/>
  <c r="AL1148" i="32"/>
  <c r="AL1098" i="10"/>
  <c r="AU1098" i="10" s="1"/>
  <c r="AL1116" i="10"/>
  <c r="AS1116" i="32" s="1"/>
  <c r="AL1116" i="32"/>
  <c r="AP1130" i="10"/>
  <c r="AP1168" i="10"/>
  <c r="AP1168" i="32"/>
  <c r="AL1112" i="10"/>
  <c r="AV1112" i="10" s="1"/>
  <c r="AL1112" i="32"/>
  <c r="AL1216" i="10"/>
  <c r="AL1216" i="32"/>
  <c r="AP1220" i="10"/>
  <c r="AP1220" i="32"/>
  <c r="AP1113" i="10"/>
  <c r="AP1113" i="32"/>
  <c r="AP1207" i="10"/>
  <c r="AP1207" i="32"/>
  <c r="AL1144" i="10"/>
  <c r="AL1144" i="32"/>
  <c r="AP1203" i="10"/>
  <c r="AP1203" i="32"/>
  <c r="X1178" i="11"/>
  <c r="AN1178" i="10" s="1"/>
  <c r="AL1139" i="10"/>
  <c r="AQ1139" i="10" s="1"/>
  <c r="AL1139" i="32"/>
  <c r="AL1126" i="10"/>
  <c r="AR1126" i="10" s="1"/>
  <c r="AL1126" i="32"/>
  <c r="AP1162" i="10"/>
  <c r="AP1162" i="32"/>
  <c r="X1026" i="11"/>
  <c r="AN1026" i="10" s="1"/>
  <c r="AM1197" i="32"/>
  <c r="AR1208" i="32"/>
  <c r="T1166" i="10"/>
  <c r="AO1166" i="32" s="1"/>
  <c r="AL1170" i="10"/>
  <c r="AV1170" i="10" s="1"/>
  <c r="AP1200" i="10"/>
  <c r="AP1200" i="32"/>
  <c r="AP1096" i="10"/>
  <c r="AP1096" i="32"/>
  <c r="X1106" i="11"/>
  <c r="AN1106" i="10" s="1"/>
  <c r="T1039" i="10"/>
  <c r="AL1113" i="10"/>
  <c r="AU1113" i="10" s="1"/>
  <c r="AL1113" i="32"/>
  <c r="AL1129" i="10"/>
  <c r="AQ1129" i="10" s="1"/>
  <c r="AM1090" i="10"/>
  <c r="AM1090" i="32"/>
  <c r="AL1132" i="10"/>
  <c r="AL1132" i="32"/>
  <c r="AL1176" i="10"/>
  <c r="AQ1176" i="10" s="1"/>
  <c r="AL1176" i="32"/>
  <c r="AM1124" i="10"/>
  <c r="AM1124" i="32"/>
  <c r="AL1209" i="10"/>
  <c r="AR1209" i="10" s="1"/>
  <c r="AL1209" i="32"/>
  <c r="AM1133" i="32"/>
  <c r="AM1189" i="32"/>
  <c r="AM1111" i="32"/>
  <c r="AM1161" i="32"/>
  <c r="T990" i="32"/>
  <c r="AM1094" i="32"/>
  <c r="AM1093" i="32"/>
  <c r="AP1133" i="10"/>
  <c r="AP1133" i="32"/>
  <c r="AP1119" i="10"/>
  <c r="AP1119" i="32"/>
  <c r="AP1139" i="10"/>
  <c r="AP1139" i="32"/>
  <c r="AP1136" i="10"/>
  <c r="AP1136" i="32"/>
  <c r="AP1120" i="10"/>
  <c r="AP1120" i="32"/>
  <c r="AP1191" i="10"/>
  <c r="AP1191" i="32"/>
  <c r="AP1134" i="10"/>
  <c r="AP1134" i="32"/>
  <c r="AP1214" i="10"/>
  <c r="AP1214" i="32"/>
  <c r="AP1218" i="10"/>
  <c r="AP1218" i="32"/>
  <c r="AP1135" i="10"/>
  <c r="AP1135" i="32"/>
  <c r="AP1164" i="10"/>
  <c r="AP1164" i="32"/>
  <c r="AL1089" i="10"/>
  <c r="AL1089" i="32"/>
  <c r="AL1100" i="32"/>
  <c r="AP1188" i="10"/>
  <c r="AP1188" i="32"/>
  <c r="T1177" i="10"/>
  <c r="AO1177" i="10" s="1"/>
  <c r="AO1154" i="10"/>
  <c r="AL1133" i="10"/>
  <c r="AR1133" i="10" s="1"/>
  <c r="AL1133" i="32"/>
  <c r="AL1168" i="10"/>
  <c r="AL1168" i="32"/>
  <c r="AP1163" i="10"/>
  <c r="AP1163" i="32"/>
  <c r="AP1138" i="10"/>
  <c r="AP1138" i="32"/>
  <c r="AL1178" i="10"/>
  <c r="AU1178" i="10" s="1"/>
  <c r="AL1178" i="32"/>
  <c r="AL1130" i="10"/>
  <c r="AQ1130" i="10" s="1"/>
  <c r="AM1208" i="32"/>
  <c r="AP1129" i="10"/>
  <c r="AP1098" i="10"/>
  <c r="AP1184" i="10"/>
  <c r="AP1184" i="32"/>
  <c r="AP1148" i="10"/>
  <c r="AP1148" i="32"/>
  <c r="AP1127" i="10"/>
  <c r="AP1127" i="32"/>
  <c r="T1175" i="10"/>
  <c r="AO1175" i="10" s="1"/>
  <c r="T1215" i="10"/>
  <c r="AO1215" i="10" s="1"/>
  <c r="X1039" i="11"/>
  <c r="AN1039" i="10" s="1"/>
  <c r="AL1105" i="10"/>
  <c r="AL1105" i="32"/>
  <c r="AL1119" i="10"/>
  <c r="AL1119" i="32"/>
  <c r="AL1090" i="10"/>
  <c r="AU1090" i="10" s="1"/>
  <c r="AL1090" i="32"/>
  <c r="AL1117" i="10"/>
  <c r="AT1117" i="10" s="1"/>
  <c r="AL1117" i="32"/>
  <c r="AL1185" i="10"/>
  <c r="AQ1185" i="10" s="1"/>
  <c r="AL1185" i="32"/>
  <c r="AL1124" i="10"/>
  <c r="AS1124" i="10" s="1"/>
  <c r="AL1124" i="32"/>
  <c r="AL1205" i="10"/>
  <c r="AQ1205" i="10" s="1"/>
  <c r="AL1213" i="10"/>
  <c r="AU1213" i="10" s="1"/>
  <c r="AL1213" i="32"/>
  <c r="AL1136" i="10"/>
  <c r="AQ1136" i="10" s="1"/>
  <c r="AL1136" i="32"/>
  <c r="AL1215" i="10"/>
  <c r="AL1215" i="32"/>
  <c r="AM1162" i="32"/>
  <c r="AM1210" i="32"/>
  <c r="AM1141" i="32"/>
  <c r="AM1147" i="32"/>
  <c r="AM1204" i="32"/>
  <c r="AM1132" i="32"/>
  <c r="AP1172" i="10"/>
  <c r="AP1172" i="32"/>
  <c r="AP1178" i="10"/>
  <c r="AP1178" i="32"/>
  <c r="AP1112" i="10"/>
  <c r="AP1112" i="32"/>
  <c r="AP1166" i="10"/>
  <c r="AP1166" i="32"/>
  <c r="AP1180" i="10"/>
  <c r="AP1180" i="32"/>
  <c r="AP1175" i="10"/>
  <c r="AP1175" i="32"/>
  <c r="AM1219" i="32"/>
  <c r="AL1096" i="10"/>
  <c r="AU1096" i="10" s="1"/>
  <c r="AL1096" i="32"/>
  <c r="AP1106" i="10"/>
  <c r="AP1106" i="32"/>
  <c r="AL1143" i="10"/>
  <c r="AR1143" i="10" s="1"/>
  <c r="AL1143" i="32"/>
  <c r="AL1210" i="10"/>
  <c r="AL1210" i="32"/>
  <c r="AM1096" i="32"/>
  <c r="T1155" i="10"/>
  <c r="AP1105" i="10"/>
  <c r="AP1105" i="32"/>
  <c r="AP1192" i="10"/>
  <c r="AP1192" i="32"/>
  <c r="T1142" i="10"/>
  <c r="AO1142" i="10" s="1"/>
  <c r="AL1093" i="10"/>
  <c r="AQ1093" i="10" s="1"/>
  <c r="AL1093" i="32"/>
  <c r="AL1192" i="10"/>
  <c r="AU1192" i="10" s="1"/>
  <c r="AL1192" i="32"/>
  <c r="T1065" i="10"/>
  <c r="X1065" i="11"/>
  <c r="AN1065" i="10" s="1"/>
  <c r="X1175" i="11"/>
  <c r="AN1175" i="10" s="1"/>
  <c r="X1215" i="11"/>
  <c r="AN1215" i="10" s="1"/>
  <c r="AL1147" i="10"/>
  <c r="AL1147" i="32"/>
  <c r="AM1138" i="10"/>
  <c r="AM1138" i="32"/>
  <c r="AL1212" i="10"/>
  <c r="AU1212" i="10" s="1"/>
  <c r="AL1212" i="32"/>
  <c r="AL1169" i="10"/>
  <c r="AT1224" i="10"/>
  <c r="AM1135" i="32"/>
  <c r="AM1177" i="32"/>
  <c r="AM1217" i="32"/>
  <c r="AM1142" i="32"/>
  <c r="AM1091" i="32"/>
  <c r="AP1128" i="10"/>
  <c r="AP1128" i="32"/>
  <c r="AP1111" i="10"/>
  <c r="AP1111" i="32"/>
  <c r="AP1217" i="10"/>
  <c r="AP1217" i="32"/>
  <c r="AP1131" i="10"/>
  <c r="AP1131" i="32"/>
  <c r="AP1211" i="10"/>
  <c r="AP1211" i="32"/>
  <c r="AP1187" i="10"/>
  <c r="AP1187" i="32"/>
  <c r="AP1177" i="10"/>
  <c r="AP1177" i="32"/>
  <c r="AL1125" i="10"/>
  <c r="AR1125" i="10" s="1"/>
  <c r="AL1125" i="32"/>
  <c r="AL1134" i="10"/>
  <c r="AQ1134" i="10" s="1"/>
  <c r="AL1134" i="32"/>
  <c r="AP1143" i="10"/>
  <c r="AP1143" i="32"/>
  <c r="AL1104" i="10"/>
  <c r="AT1104" i="32" s="1"/>
  <c r="AL1104" i="32"/>
  <c r="AM1140" i="10"/>
  <c r="AM1140" i="32"/>
  <c r="AM1190" i="10"/>
  <c r="AM1190" i="32"/>
  <c r="AL1140" i="10"/>
  <c r="AT1140" i="10" s="1"/>
  <c r="AL1140" i="32"/>
  <c r="AL1111" i="10"/>
  <c r="AR1111" i="10" s="1"/>
  <c r="AL1111" i="32"/>
  <c r="AL1149" i="10"/>
  <c r="AP1165" i="10"/>
  <c r="AP1165" i="32"/>
  <c r="AL1110" i="10"/>
  <c r="AU1110" i="10" s="1"/>
  <c r="AL1110" i="32"/>
  <c r="AU1208" i="32"/>
  <c r="AP1213" i="10"/>
  <c r="AP1213" i="32"/>
  <c r="AP1210" i="10"/>
  <c r="AP1210" i="32"/>
  <c r="AL1186" i="10"/>
  <c r="AL1186" i="32"/>
  <c r="T1120" i="10"/>
  <c r="AO1120" i="32" s="1"/>
  <c r="AL1091" i="10"/>
  <c r="AR1091" i="10" s="1"/>
  <c r="AL1091" i="32"/>
  <c r="T1150" i="10"/>
  <c r="AO1150" i="10" s="1"/>
  <c r="T1013" i="10"/>
  <c r="T1187" i="10"/>
  <c r="AO1187" i="10" s="1"/>
  <c r="AP1092" i="10"/>
  <c r="AL1138" i="10"/>
  <c r="AV1138" i="32" s="1"/>
  <c r="AL1138" i="32"/>
  <c r="AL1188" i="10"/>
  <c r="AU1188" i="10" s="1"/>
  <c r="AL1204" i="10"/>
  <c r="AQ1204" i="10" s="1"/>
  <c r="AL1204" i="32"/>
  <c r="AL1203" i="10"/>
  <c r="AL1203" i="32"/>
  <c r="AQ1180" i="32"/>
  <c r="AL1135" i="10"/>
  <c r="AL1135" i="32"/>
  <c r="AL1211" i="10"/>
  <c r="AT1211" i="10" s="1"/>
  <c r="AL1211" i="32"/>
  <c r="AM1131" i="32"/>
  <c r="AM1178" i="32"/>
  <c r="AM1112" i="32"/>
  <c r="AM1144" i="32"/>
  <c r="AM1207" i="32"/>
  <c r="AM1198" i="32"/>
  <c r="AP1147" i="10"/>
  <c r="AP1147" i="32"/>
  <c r="AT1208" i="32"/>
  <c r="AP1196" i="10"/>
  <c r="AP1196" i="32"/>
  <c r="AP1199" i="10"/>
  <c r="AP1199" i="32"/>
  <c r="AP1215" i="10"/>
  <c r="AP1215" i="32"/>
  <c r="AP1212" i="10"/>
  <c r="AP1212" i="32"/>
  <c r="AP1132" i="10"/>
  <c r="AP1132" i="32"/>
  <c r="AL1201" i="10"/>
  <c r="AV1201" i="32" s="1"/>
  <c r="AL1201" i="32"/>
  <c r="AP1142" i="10"/>
  <c r="AP1142" i="32"/>
  <c r="AP1089" i="10"/>
  <c r="AP1089" i="32"/>
  <c r="AL1198" i="10"/>
  <c r="AL1198" i="32"/>
  <c r="AL1172" i="10"/>
  <c r="AQ1172" i="10" s="1"/>
  <c r="T1178" i="10"/>
  <c r="AO1178" i="10" s="1"/>
  <c r="AL1120" i="10"/>
  <c r="AU1120" i="10" s="1"/>
  <c r="AL1120" i="32"/>
  <c r="AL1137" i="10"/>
  <c r="AQ1137" i="10" s="1"/>
  <c r="AL1137" i="32"/>
  <c r="AL1108" i="10"/>
  <c r="AL1108" i="32"/>
  <c r="AL1095" i="10"/>
  <c r="AR1095" i="10" s="1"/>
  <c r="AL1095" i="32"/>
  <c r="T1129" i="10"/>
  <c r="AL1097" i="10"/>
  <c r="AM1114" i="32"/>
  <c r="AM1126" i="32"/>
  <c r="X1155" i="11"/>
  <c r="AP1201" i="10"/>
  <c r="AP1201" i="32"/>
  <c r="AP1205" i="10"/>
  <c r="X1013" i="11"/>
  <c r="T1110" i="10"/>
  <c r="AO1110" i="10" s="1"/>
  <c r="X1187" i="11"/>
  <c r="AN1187" i="10" s="1"/>
  <c r="AL1142" i="10"/>
  <c r="AR1142" i="10" s="1"/>
  <c r="AL1142" i="32"/>
  <c r="AL1181" i="10"/>
  <c r="AL1181" i="32"/>
  <c r="AL1161" i="10"/>
  <c r="AQ1161" i="10" s="1"/>
  <c r="AL1161" i="32"/>
  <c r="AL1171" i="10"/>
  <c r="AS1171" i="32" s="1"/>
  <c r="AL1171" i="32"/>
  <c r="AL1200" i="10"/>
  <c r="AT1200" i="10" s="1"/>
  <c r="AL1200" i="32"/>
  <c r="AL1182" i="10"/>
  <c r="AL1182" i="32"/>
  <c r="AL1218" i="10"/>
  <c r="AQ1218" i="10" s="1"/>
  <c r="AL1218" i="32"/>
  <c r="AL1202" i="10"/>
  <c r="AV1202" i="10" s="1"/>
  <c r="AL1202" i="32"/>
  <c r="AL1191" i="10"/>
  <c r="AQ1191" i="10" s="1"/>
  <c r="AL1191" i="32"/>
  <c r="AM1218" i="32"/>
  <c r="AM1107" i="32"/>
  <c r="AM1215" i="32"/>
  <c r="AM1123" i="32"/>
  <c r="AM1101" i="32"/>
  <c r="AM1165" i="32"/>
  <c r="AM1116" i="32"/>
  <c r="AP1221" i="10"/>
  <c r="AP1114" i="10"/>
  <c r="AP1114" i="32"/>
  <c r="AP1173" i="10"/>
  <c r="AP1173" i="32"/>
  <c r="AP1095" i="10"/>
  <c r="AP1095" i="32"/>
  <c r="AP1118" i="10"/>
  <c r="AP1118" i="32"/>
  <c r="AP1169" i="10"/>
  <c r="AP1209" i="10"/>
  <c r="AP1209" i="32"/>
  <c r="AP1179" i="10"/>
  <c r="AP1179" i="32"/>
  <c r="AP1141" i="10"/>
  <c r="AP1141" i="32"/>
  <c r="AP1181" i="10"/>
  <c r="AP1181" i="32"/>
  <c r="AL1123" i="10"/>
  <c r="AT1123" i="32" s="1"/>
  <c r="AL1123" i="32"/>
  <c r="AP1185" i="10"/>
  <c r="AP1185" i="32"/>
  <c r="AL1109" i="10"/>
  <c r="AS1109" i="32" s="1"/>
  <c r="AL1109" i="32"/>
  <c r="AL1099" i="10"/>
  <c r="AT1099" i="10" s="1"/>
  <c r="AL1099" i="32"/>
  <c r="AL1146" i="10"/>
  <c r="AV1146" i="10" s="1"/>
  <c r="AM1220" i="32"/>
  <c r="AL1177" i="10"/>
  <c r="AQ1177" i="10" s="1"/>
  <c r="AL1177" i="32"/>
  <c r="AP1140" i="10"/>
  <c r="AP1140" i="32"/>
  <c r="AP1146" i="10"/>
  <c r="AP1110" i="10"/>
  <c r="AP1110" i="32"/>
  <c r="AP1204" i="10"/>
  <c r="AP1204" i="32"/>
  <c r="AL1114" i="10"/>
  <c r="AS1114" i="10" s="1"/>
  <c r="AL1114" i="32"/>
  <c r="AL1207" i="10"/>
  <c r="AL1207" i="32"/>
  <c r="AP1174" i="10"/>
  <c r="AP1174" i="32"/>
  <c r="AL1165" i="10"/>
  <c r="AS1165" i="32" s="1"/>
  <c r="AL1165" i="32"/>
  <c r="AP1137" i="10"/>
  <c r="AP1137" i="32"/>
  <c r="X1108" i="11"/>
  <c r="X1150" i="11"/>
  <c r="AN1150" i="10" s="1"/>
  <c r="T1095" i="10"/>
  <c r="X1110" i="11"/>
  <c r="AL1195" i="10"/>
  <c r="AQ1195" i="10" s="1"/>
  <c r="AL1195" i="32"/>
  <c r="AL1092" i="10"/>
  <c r="AS1092" i="32" s="1"/>
  <c r="AL1092" i="32"/>
  <c r="AP1107" i="10"/>
  <c r="AL1150" i="10"/>
  <c r="AR1150" i="10" s="1"/>
  <c r="AL1217" i="10"/>
  <c r="AT1217" i="32" s="1"/>
  <c r="AL1217" i="32"/>
  <c r="AL1175" i="10"/>
  <c r="AL1175" i="32"/>
  <c r="AL1179" i="10"/>
  <c r="AL1179" i="32"/>
  <c r="AL1164" i="10"/>
  <c r="AT1164" i="10" s="1"/>
  <c r="AM1134" i="32"/>
  <c r="AM1115" i="32"/>
  <c r="AM1103" i="32"/>
  <c r="AM1166" i="32"/>
  <c r="AM1186" i="32"/>
  <c r="AM1136" i="32"/>
  <c r="AP1171" i="10"/>
  <c r="AP1171" i="32"/>
  <c r="AP1108" i="10"/>
  <c r="AP1108" i="32"/>
  <c r="AP1090" i="10"/>
  <c r="AP1090" i="32"/>
  <c r="AP1202" i="10"/>
  <c r="AP1202" i="32"/>
  <c r="AP1102" i="10"/>
  <c r="AP1102" i="32"/>
  <c r="AP1176" i="10"/>
  <c r="AP1176" i="32"/>
  <c r="AP1208" i="10"/>
  <c r="AP1208" i="32"/>
  <c r="AL1187" i="10"/>
  <c r="AL1187" i="32"/>
  <c r="AM1183" i="32"/>
  <c r="AP1190" i="10"/>
  <c r="AP1190" i="32"/>
  <c r="AL1197" i="10"/>
  <c r="AL1197" i="32"/>
  <c r="AL1102" i="10"/>
  <c r="AR1102" i="10" s="1"/>
  <c r="AL1102" i="32"/>
  <c r="AM1099" i="32"/>
  <c r="AP1109" i="10"/>
  <c r="AP1109" i="32"/>
  <c r="T1026" i="10"/>
  <c r="AL1128" i="10"/>
  <c r="AL1128" i="32"/>
  <c r="AM1110" i="32"/>
  <c r="AM1104" i="32"/>
  <c r="AM1143" i="32"/>
  <c r="AM1187" i="32"/>
  <c r="AP1150" i="10"/>
  <c r="AP1161" i="10"/>
  <c r="AP1161" i="32"/>
  <c r="AM1174" i="32"/>
  <c r="X1095" i="11"/>
  <c r="AN1095" i="10" s="1"/>
  <c r="T1021" i="10"/>
  <c r="AL1189" i="10"/>
  <c r="AS1189" i="32" s="1"/>
  <c r="AL1189" i="32"/>
  <c r="AL1214" i="10"/>
  <c r="AL1214" i="32"/>
  <c r="AL1131" i="10"/>
  <c r="AS1131" i="32" s="1"/>
  <c r="AL1131" i="32"/>
  <c r="AL1107" i="10"/>
  <c r="AU1107" i="10" s="1"/>
  <c r="AL1115" i="10"/>
  <c r="AV1115" i="32" s="1"/>
  <c r="AL1115" i="32"/>
  <c r="AP1100" i="10"/>
  <c r="AL1219" i="10"/>
  <c r="AQ1219" i="10" s="1"/>
  <c r="AL1219" i="32"/>
  <c r="AL1184" i="10"/>
  <c r="AQ1184" i="10" s="1"/>
  <c r="AL1184" i="32"/>
  <c r="AL1190" i="10"/>
  <c r="AU1190" i="10" s="1"/>
  <c r="AM1117" i="32"/>
  <c r="AM1109" i="32"/>
  <c r="AM1092" i="32"/>
  <c r="AM1168" i="32"/>
  <c r="AP1198" i="10"/>
  <c r="AP1198" i="32"/>
  <c r="AL1188" i="32"/>
  <c r="AP1117" i="10"/>
  <c r="AP1117" i="32"/>
  <c r="AP1104" i="10"/>
  <c r="AP1104" i="32"/>
  <c r="AP1183" i="10"/>
  <c r="AP1183" i="32"/>
  <c r="AP1101" i="10"/>
  <c r="AP1101" i="32"/>
  <c r="AP1219" i="10"/>
  <c r="AP1219" i="32"/>
  <c r="AP1103" i="10"/>
  <c r="AP1103" i="32"/>
  <c r="AP1186" i="10"/>
  <c r="AP1186" i="32"/>
  <c r="AP1216" i="10"/>
  <c r="AP1216" i="32"/>
  <c r="T1078" i="10"/>
  <c r="AO1217" i="10"/>
  <c r="AO1217" i="32"/>
  <c r="AN1037" i="32"/>
  <c r="AO1138" i="10"/>
  <c r="AO1138" i="32"/>
  <c r="AO1163" i="10"/>
  <c r="AO1163" i="32"/>
  <c r="AO1109" i="10"/>
  <c r="AO1109" i="32"/>
  <c r="X1222" i="11"/>
  <c r="AN1222" i="10" s="1"/>
  <c r="AN1136" i="32"/>
  <c r="AN1138" i="32"/>
  <c r="AN987" i="32"/>
  <c r="AO1139" i="32"/>
  <c r="AN1018" i="32"/>
  <c r="AO1101" i="32"/>
  <c r="AO1165" i="10"/>
  <c r="AO1165" i="32"/>
  <c r="AN1172" i="32"/>
  <c r="X1104" i="11"/>
  <c r="AN1104" i="10" s="1"/>
  <c r="AN1043" i="32"/>
  <c r="AN1101" i="32"/>
  <c r="X1075" i="11"/>
  <c r="AN1075" i="10" s="1"/>
  <c r="T1075" i="32"/>
  <c r="T1075" i="10"/>
  <c r="AN1036" i="32"/>
  <c r="AN1125" i="32"/>
  <c r="AN1217" i="32"/>
  <c r="AO1172" i="32"/>
  <c r="AO1209" i="10"/>
  <c r="AO1209" i="32"/>
  <c r="AN1112" i="32"/>
  <c r="AN1004" i="32"/>
  <c r="AN1029" i="32"/>
  <c r="AN1209" i="32"/>
  <c r="AN1165" i="32"/>
  <c r="AN1052" i="32"/>
  <c r="AN1031" i="32"/>
  <c r="AO1189" i="32"/>
  <c r="AO1143" i="32"/>
  <c r="AN988" i="32"/>
  <c r="AO1136" i="10"/>
  <c r="AO1136" i="32"/>
  <c r="AO1140" i="10"/>
  <c r="AO1140" i="32"/>
  <c r="AO1190" i="10"/>
  <c r="AO1190" i="32"/>
  <c r="AO1093" i="10"/>
  <c r="AO1093" i="32"/>
  <c r="AO1173" i="10"/>
  <c r="AO1173" i="32"/>
  <c r="AN1014" i="32"/>
  <c r="AN1189" i="32"/>
  <c r="AN1030" i="32"/>
  <c r="AN1143" i="32"/>
  <c r="AN1059" i="32"/>
  <c r="AN1019" i="32"/>
  <c r="AN989" i="32"/>
  <c r="AN1024" i="32"/>
  <c r="AN1190" i="32"/>
  <c r="AN1093" i="32"/>
  <c r="AN1173" i="32"/>
  <c r="AO1201" i="32"/>
  <c r="T1123" i="10"/>
  <c r="AO1123" i="10" s="1"/>
  <c r="AO1115" i="32"/>
  <c r="AN1140" i="32"/>
  <c r="AO1202" i="10"/>
  <c r="AO1202" i="32"/>
  <c r="AO1164" i="10"/>
  <c r="AO1164" i="32"/>
  <c r="AO1146" i="10"/>
  <c r="AN1201" i="32"/>
  <c r="X1123" i="11"/>
  <c r="AN1123" i="10" s="1"/>
  <c r="AN1022" i="32"/>
  <c r="AN1115" i="32"/>
  <c r="AN1131" i="32"/>
  <c r="AN1195" i="32"/>
  <c r="AN984" i="32"/>
  <c r="AN992" i="32"/>
  <c r="AN1058" i="32"/>
  <c r="AN1109" i="32"/>
  <c r="AO1100" i="10"/>
  <c r="AO1100" i="32"/>
  <c r="AO1094" i="32"/>
  <c r="AO1124" i="10"/>
  <c r="AO1124" i="32"/>
  <c r="AN1057" i="32"/>
  <c r="AO1195" i="10"/>
  <c r="AO1195" i="32"/>
  <c r="AN1139" i="32"/>
  <c r="AO1112" i="10"/>
  <c r="AO1112" i="32"/>
  <c r="AN1005" i="32"/>
  <c r="AO1171" i="10"/>
  <c r="AO1171" i="32"/>
  <c r="AN1062" i="32"/>
  <c r="AN1100" i="32"/>
  <c r="AN1094" i="32"/>
  <c r="AN1124" i="32"/>
  <c r="AN1092" i="32"/>
  <c r="AN1060" i="32"/>
  <c r="AN994" i="32"/>
  <c r="T1222" i="10"/>
  <c r="AO1222" i="10" s="1"/>
  <c r="T1104" i="10"/>
  <c r="AN1164" i="32"/>
  <c r="AO1127" i="10"/>
  <c r="AO1127" i="32"/>
  <c r="AN1133" i="32"/>
  <c r="AN1028" i="32"/>
  <c r="AN1069" i="32"/>
  <c r="AN1127" i="32"/>
  <c r="AN1171" i="32"/>
  <c r="AN1054" i="32"/>
  <c r="AO1114" i="32"/>
  <c r="AO1090" i="32"/>
  <c r="AN990" i="32"/>
  <c r="AO1130" i="10"/>
  <c r="AO1185" i="10"/>
  <c r="AO1185" i="32"/>
  <c r="AO1196" i="10"/>
  <c r="AO1196" i="32"/>
  <c r="T1035" i="10"/>
  <c r="AO1192" i="10"/>
  <c r="AO1192" i="32"/>
  <c r="AN1114" i="32"/>
  <c r="AN1090" i="32"/>
  <c r="AN1163" i="32"/>
  <c r="AN1202" i="32"/>
  <c r="AN1185" i="32"/>
  <c r="AN1038" i="32"/>
  <c r="AN1196" i="32"/>
  <c r="X1035" i="11"/>
  <c r="AN1035" i="10" s="1"/>
  <c r="AN1192" i="32"/>
  <c r="AO1116" i="10"/>
  <c r="AO1116" i="32"/>
  <c r="AN991" i="32"/>
  <c r="AN1020" i="32"/>
  <c r="AO1133" i="32"/>
  <c r="AO1092" i="10"/>
  <c r="AO1092" i="32"/>
  <c r="AO1131" i="10"/>
  <c r="AO1131" i="32"/>
  <c r="AO1125" i="10"/>
  <c r="AO1125" i="32"/>
  <c r="AN1116" i="32"/>
  <c r="AN1055" i="32"/>
  <c r="AO1133" i="10"/>
  <c r="AO1139" i="10"/>
  <c r="AO1101" i="10"/>
  <c r="AO1143" i="10"/>
  <c r="AO1172" i="10"/>
  <c r="AO1201" i="10"/>
  <c r="AO1115" i="10"/>
  <c r="AO1094" i="10"/>
  <c r="AQ1208" i="10"/>
  <c r="AR1208" i="10"/>
  <c r="AU1208" i="10"/>
  <c r="AT1208" i="10"/>
  <c r="AM1129" i="10"/>
  <c r="AM1214" i="10"/>
  <c r="AM1222" i="10"/>
  <c r="AM1137" i="10"/>
  <c r="AO1189" i="10"/>
  <c r="AM1089" i="10"/>
  <c r="AM1153" i="10"/>
  <c r="AO1170" i="10"/>
  <c r="AO1114" i="10"/>
  <c r="AO1090" i="10"/>
  <c r="AM1105" i="10"/>
  <c r="AM1097" i="10"/>
  <c r="AU1180" i="10"/>
  <c r="AR1180" i="10"/>
  <c r="AQ1180" i="10"/>
  <c r="AT1180" i="10"/>
  <c r="AM1113" i="10"/>
  <c r="AO1221" i="10"/>
  <c r="AO1228" i="10"/>
  <c r="AV1224" i="10"/>
  <c r="T986" i="10"/>
  <c r="T987" i="10"/>
  <c r="T988" i="10"/>
  <c r="T989" i="10"/>
  <c r="T990" i="10"/>
  <c r="AE986" i="10"/>
  <c r="AE987" i="10"/>
  <c r="AG987" i="32" s="1"/>
  <c r="AE988" i="10"/>
  <c r="AG988" i="32" s="1"/>
  <c r="AE989" i="10"/>
  <c r="AG989" i="32" s="1"/>
  <c r="AE990" i="10"/>
  <c r="AG990" i="32" s="1"/>
  <c r="AF986" i="10"/>
  <c r="AH986" i="32" s="1"/>
  <c r="AF987" i="10"/>
  <c r="AH987" i="32" s="1"/>
  <c r="AF988" i="10"/>
  <c r="AH988" i="32" s="1"/>
  <c r="AF989" i="10"/>
  <c r="AH989" i="32" s="1"/>
  <c r="AF990" i="10"/>
  <c r="AH990" i="32" s="1"/>
  <c r="T984" i="10"/>
  <c r="AE982" i="10"/>
  <c r="AE983" i="10"/>
  <c r="AE984" i="10"/>
  <c r="AG984" i="32" s="1"/>
  <c r="AE985" i="10"/>
  <c r="AG985" i="32" s="1"/>
  <c r="AF982" i="10"/>
  <c r="AF983" i="10"/>
  <c r="AF984" i="10"/>
  <c r="AH984" i="32" s="1"/>
  <c r="AF985" i="10"/>
  <c r="AH985" i="32" s="1"/>
  <c r="AI760" i="10"/>
  <c r="AJ760" i="10"/>
  <c r="AK760" i="10"/>
  <c r="AI761" i="10"/>
  <c r="AJ761" i="10"/>
  <c r="AP761" i="10" s="1"/>
  <c r="AK761" i="10"/>
  <c r="AN1238" i="10" l="1"/>
  <c r="AO1156" i="10"/>
  <c r="AS1224" i="10"/>
  <c r="AQ1224" i="32"/>
  <c r="AQ1224" i="10"/>
  <c r="AR1224" i="10"/>
  <c r="AO1198" i="32"/>
  <c r="AV1224" i="32"/>
  <c r="AT1224" i="32"/>
  <c r="AU1224" i="32"/>
  <c r="AR1224" i="32"/>
  <c r="AV1156" i="10"/>
  <c r="AT1156" i="10"/>
  <c r="AR1156" i="10"/>
  <c r="AS1228" i="10"/>
  <c r="AT1228" i="10"/>
  <c r="AU1223" i="10"/>
  <c r="AU1152" i="10"/>
  <c r="AN1076" i="32"/>
  <c r="AO1226" i="32"/>
  <c r="AQ1226" i="10"/>
  <c r="AR1226" i="10"/>
  <c r="AU1226" i="10"/>
  <c r="AN1226" i="10"/>
  <c r="AU1151" i="10"/>
  <c r="AQ1228" i="10"/>
  <c r="AT1151" i="10"/>
  <c r="AR1228" i="10"/>
  <c r="AS1151" i="10"/>
  <c r="AV1228" i="10"/>
  <c r="AS1226" i="10"/>
  <c r="AV1226" i="10"/>
  <c r="AR1151" i="10"/>
  <c r="AQ1151" i="10"/>
  <c r="AT1227" i="10"/>
  <c r="AR1227" i="10"/>
  <c r="AT1151" i="32"/>
  <c r="AQ1227" i="10"/>
  <c r="AN1011" i="32"/>
  <c r="AS1225" i="10"/>
  <c r="AU1153" i="10"/>
  <c r="AR1225" i="10"/>
  <c r="AQ1153" i="10"/>
  <c r="AT1225" i="10"/>
  <c r="AV1225" i="10"/>
  <c r="AT1225" i="32"/>
  <c r="AQ1225" i="10"/>
  <c r="AR1155" i="10"/>
  <c r="AQ1155" i="10"/>
  <c r="AU1155" i="10"/>
  <c r="AT1223" i="10"/>
  <c r="AN1153" i="10"/>
  <c r="AN1153" i="32"/>
  <c r="AS1156" i="32"/>
  <c r="AQ1156" i="32"/>
  <c r="AU1156" i="32"/>
  <c r="AR1156" i="32"/>
  <c r="AV1156" i="32"/>
  <c r="AT1156" i="32"/>
  <c r="AR1152" i="32"/>
  <c r="AS1152" i="32"/>
  <c r="AU1152" i="32"/>
  <c r="AQ1152" i="32"/>
  <c r="AV1152" i="32"/>
  <c r="AS1156" i="10"/>
  <c r="AQ1223" i="10"/>
  <c r="AQ1156" i="10"/>
  <c r="AV1152" i="10"/>
  <c r="AN1079" i="10"/>
  <c r="AN1079" i="32"/>
  <c r="AO1223" i="10"/>
  <c r="AO1223" i="32"/>
  <c r="AT1154" i="10"/>
  <c r="AU1156" i="10"/>
  <c r="AO1155" i="10"/>
  <c r="AO1155" i="32"/>
  <c r="AN1083" i="10"/>
  <c r="AN1083" i="32"/>
  <c r="AR1154" i="10"/>
  <c r="AQ1152" i="10"/>
  <c r="AV1227" i="10"/>
  <c r="AO1227" i="32"/>
  <c r="AN1082" i="10"/>
  <c r="AN1082" i="32"/>
  <c r="AU1151" i="32"/>
  <c r="AR1151" i="32"/>
  <c r="AS1151" i="32"/>
  <c r="AQ1151" i="32"/>
  <c r="AV1151" i="32"/>
  <c r="AN1223" i="10"/>
  <c r="AN1223" i="32"/>
  <c r="AS1225" i="32"/>
  <c r="AR1225" i="32"/>
  <c r="AU1225" i="32"/>
  <c r="AQ1225" i="32"/>
  <c r="AV1225" i="32"/>
  <c r="AN1155" i="10"/>
  <c r="AN1155" i="32"/>
  <c r="AS1153" i="10"/>
  <c r="AO1153" i="32"/>
  <c r="AQ1155" i="32"/>
  <c r="AR1155" i="32"/>
  <c r="AU1155" i="32"/>
  <c r="AS1155" i="32"/>
  <c r="AV1155" i="32"/>
  <c r="AT1155" i="32"/>
  <c r="AU1154" i="10"/>
  <c r="AU1226" i="32"/>
  <c r="AS1226" i="32"/>
  <c r="AR1226" i="32"/>
  <c r="AQ1226" i="32"/>
  <c r="AV1226" i="32"/>
  <c r="AT1226" i="32"/>
  <c r="AU1154" i="32"/>
  <c r="AR1154" i="32"/>
  <c r="AS1154" i="32"/>
  <c r="AQ1154" i="32"/>
  <c r="AV1154" i="32"/>
  <c r="AT1154" i="32"/>
  <c r="AN1078" i="10"/>
  <c r="AN1078" i="32"/>
  <c r="AT1152" i="32"/>
  <c r="AR1223" i="32"/>
  <c r="AS1223" i="32"/>
  <c r="AU1223" i="32"/>
  <c r="AQ1223" i="32"/>
  <c r="AV1223" i="32"/>
  <c r="AT1223" i="32"/>
  <c r="AS1152" i="10"/>
  <c r="AS1154" i="10"/>
  <c r="AR1228" i="32"/>
  <c r="AS1228" i="32"/>
  <c r="AU1228" i="32"/>
  <c r="AQ1228" i="32"/>
  <c r="AV1228" i="32"/>
  <c r="AT1228" i="32"/>
  <c r="AU1227" i="32"/>
  <c r="AR1227" i="32"/>
  <c r="AS1227" i="32"/>
  <c r="AQ1227" i="32"/>
  <c r="AV1227" i="32"/>
  <c r="AT1227" i="32"/>
  <c r="AS1153" i="32"/>
  <c r="AR1153" i="32"/>
  <c r="AU1153" i="32"/>
  <c r="AQ1153" i="32"/>
  <c r="AV1153" i="32"/>
  <c r="AT1153" i="32"/>
  <c r="AR1152" i="10"/>
  <c r="AQ1154" i="10"/>
  <c r="AT1153" i="10"/>
  <c r="AN1227" i="10"/>
  <c r="AN1227" i="32"/>
  <c r="AN1156" i="10"/>
  <c r="AN1156" i="32"/>
  <c r="AS1162" i="10"/>
  <c r="AN1128" i="32"/>
  <c r="AO1128" i="32"/>
  <c r="AO1117" i="10"/>
  <c r="AN1198" i="32"/>
  <c r="AN1002" i="32"/>
  <c r="AN1002" i="10"/>
  <c r="AN1053" i="32"/>
  <c r="AN1053" i="10"/>
  <c r="AN1111" i="32"/>
  <c r="AN1111" i="10"/>
  <c r="AN1180" i="32"/>
  <c r="AN1180" i="10"/>
  <c r="AN1149" i="10"/>
  <c r="AN1089" i="32"/>
  <c r="AN1089" i="10"/>
  <c r="AN1207" i="32"/>
  <c r="AN1207" i="10"/>
  <c r="AN999" i="32"/>
  <c r="AN999" i="10"/>
  <c r="AN1176" i="32"/>
  <c r="AN1176" i="10"/>
  <c r="AN1064" i="32"/>
  <c r="AN1064" i="10"/>
  <c r="AN1025" i="32"/>
  <c r="AN1025" i="10"/>
  <c r="AN1008" i="32"/>
  <c r="AN1008" i="10"/>
  <c r="AN1013" i="32"/>
  <c r="AN1013" i="10"/>
  <c r="AN1218" i="32"/>
  <c r="AN1218" i="10"/>
  <c r="AN1200" i="32"/>
  <c r="AN1200" i="10"/>
  <c r="AN1169" i="10"/>
  <c r="AN1236" i="10" s="1"/>
  <c r="AN1051" i="10"/>
  <c r="AN1168" i="32"/>
  <c r="AN1168" i="10"/>
  <c r="AN1048" i="32"/>
  <c r="AN1048" i="10"/>
  <c r="AO1208" i="32"/>
  <c r="AN1144" i="32"/>
  <c r="AN1144" i="10"/>
  <c r="AN1012" i="32"/>
  <c r="AN1012" i="10"/>
  <c r="AN1027" i="32"/>
  <c r="AN1027" i="10"/>
  <c r="AN1091" i="32"/>
  <c r="AN1091" i="10"/>
  <c r="AN1117" i="32"/>
  <c r="AN1117" i="10"/>
  <c r="AN1212" i="32"/>
  <c r="AN1212" i="10"/>
  <c r="AN1110" i="32"/>
  <c r="AN1110" i="10"/>
  <c r="AN1108" i="32"/>
  <c r="AN1108" i="10"/>
  <c r="AN1007" i="32"/>
  <c r="AN1007" i="10"/>
  <c r="AN1009" i="32"/>
  <c r="AN1009" i="10"/>
  <c r="AN1042" i="32"/>
  <c r="AN1042" i="10"/>
  <c r="AN1210" i="32"/>
  <c r="AN1210" i="10"/>
  <c r="AN1166" i="32"/>
  <c r="AN1166" i="10"/>
  <c r="AN1044" i="32"/>
  <c r="AN1044" i="10"/>
  <c r="AN1015" i="32"/>
  <c r="AN1015" i="10"/>
  <c r="AN1045" i="32"/>
  <c r="AN1045" i="10"/>
  <c r="AN1203" i="32"/>
  <c r="AN1203" i="10"/>
  <c r="AO1199" i="32"/>
  <c r="AS1199" i="10"/>
  <c r="AV1198" i="32"/>
  <c r="AN1034" i="32"/>
  <c r="AS1208" i="32"/>
  <c r="AV1153" i="10"/>
  <c r="AS1208" i="10"/>
  <c r="AN1214" i="32"/>
  <c r="AS1128" i="32"/>
  <c r="AV1208" i="32"/>
  <c r="AS1168" i="32"/>
  <c r="AV1131" i="10"/>
  <c r="AV1132" i="10"/>
  <c r="AN1066" i="32"/>
  <c r="AO1153" i="10"/>
  <c r="AS1180" i="10"/>
  <c r="AO1186" i="32"/>
  <c r="AV1208" i="10"/>
  <c r="AU1174" i="32"/>
  <c r="AN1016" i="32"/>
  <c r="AV1183" i="32"/>
  <c r="AU1114" i="10"/>
  <c r="AT1114" i="10"/>
  <c r="AV1180" i="10"/>
  <c r="AO1135" i="10"/>
  <c r="AN1056" i="32"/>
  <c r="AV1180" i="32"/>
  <c r="AV1210" i="32"/>
  <c r="AT1148" i="10"/>
  <c r="AO1179" i="10"/>
  <c r="AS1180" i="32"/>
  <c r="AO1180" i="10"/>
  <c r="AO1134" i="10"/>
  <c r="AN1186" i="32"/>
  <c r="AV1220" i="10"/>
  <c r="AS1197" i="32"/>
  <c r="AT1184" i="10"/>
  <c r="AQ1198" i="10"/>
  <c r="AS1089" i="10"/>
  <c r="AO1089" i="10"/>
  <c r="AU1138" i="10"/>
  <c r="AO1197" i="10"/>
  <c r="AN1148" i="32"/>
  <c r="AN1126" i="32"/>
  <c r="AO1126" i="10"/>
  <c r="AN1135" i="32"/>
  <c r="AV1185" i="32"/>
  <c r="AO1191" i="32"/>
  <c r="AN1167" i="32"/>
  <c r="AN1147" i="32"/>
  <c r="AT1138" i="10"/>
  <c r="AV1179" i="10"/>
  <c r="AN1208" i="32"/>
  <c r="AO1118" i="32"/>
  <c r="AO1168" i="32"/>
  <c r="AU1206" i="32"/>
  <c r="AQ1099" i="10"/>
  <c r="AQ1206" i="32"/>
  <c r="AN1179" i="32"/>
  <c r="AU1128" i="10"/>
  <c r="AV1186" i="10"/>
  <c r="AN1010" i="32"/>
  <c r="AN1137" i="32"/>
  <c r="AS1168" i="10"/>
  <c r="AO1183" i="10"/>
  <c r="AV1128" i="10"/>
  <c r="AN1096" i="32"/>
  <c r="AS1128" i="10"/>
  <c r="AQ1109" i="10"/>
  <c r="AO1141" i="32"/>
  <c r="AT1128" i="10"/>
  <c r="AR1109" i="10"/>
  <c r="AO1200" i="10"/>
  <c r="AV1217" i="10"/>
  <c r="AO1211" i="32"/>
  <c r="AQ1128" i="10"/>
  <c r="AR1128" i="10"/>
  <c r="AO1113" i="10"/>
  <c r="AS1217" i="10"/>
  <c r="AT1205" i="10"/>
  <c r="AO1216" i="32"/>
  <c r="AQ1124" i="10"/>
  <c r="AR1123" i="10"/>
  <c r="AR1185" i="10"/>
  <c r="AQ1123" i="10"/>
  <c r="AV1220" i="32"/>
  <c r="AS1183" i="32"/>
  <c r="AO1119" i="10"/>
  <c r="AV1175" i="32"/>
  <c r="AV1124" i="10"/>
  <c r="AO1103" i="10"/>
  <c r="AN1204" i="32"/>
  <c r="AO1181" i="10"/>
  <c r="AO1210" i="32"/>
  <c r="AN1134" i="32"/>
  <c r="AN1017" i="32"/>
  <c r="AV1100" i="32"/>
  <c r="AO1203" i="10"/>
  <c r="AO1218" i="32"/>
  <c r="AR1124" i="10"/>
  <c r="AS1217" i="32"/>
  <c r="AS1220" i="32"/>
  <c r="AN1103" i="32"/>
  <c r="AS1185" i="32"/>
  <c r="AN1197" i="32"/>
  <c r="AV1173" i="32"/>
  <c r="AT1217" i="10"/>
  <c r="AS1115" i="32"/>
  <c r="AS1173" i="32"/>
  <c r="AV1217" i="32"/>
  <c r="AU1197" i="10"/>
  <c r="AO1220" i="32"/>
  <c r="AT1197" i="10"/>
  <c r="AN1220" i="32"/>
  <c r="AN1041" i="32"/>
  <c r="AO1167" i="32"/>
  <c r="AQ1174" i="32"/>
  <c r="AN1216" i="32"/>
  <c r="AO1147" i="32"/>
  <c r="AS1103" i="32"/>
  <c r="AU1166" i="10"/>
  <c r="AS1093" i="10"/>
  <c r="AR1174" i="10"/>
  <c r="AO1214" i="10"/>
  <c r="AT1206" i="10"/>
  <c r="AO1204" i="10"/>
  <c r="AV1124" i="32"/>
  <c r="AN1046" i="32"/>
  <c r="AN1063" i="32"/>
  <c r="AS1096" i="32"/>
  <c r="AT1185" i="10"/>
  <c r="AR1174" i="32"/>
  <c r="AQ1186" i="10"/>
  <c r="AU1185" i="10"/>
  <c r="AO1099" i="32"/>
  <c r="AR1166" i="10"/>
  <c r="AQ1220" i="10"/>
  <c r="AV1174" i="32"/>
  <c r="AT1166" i="10"/>
  <c r="AV1093" i="10"/>
  <c r="AU1219" i="10"/>
  <c r="AU1174" i="10"/>
  <c r="AR1206" i="10"/>
  <c r="AO1091" i="32"/>
  <c r="AN1003" i="32"/>
  <c r="AS1124" i="32"/>
  <c r="AV1093" i="32"/>
  <c r="AV1132" i="32"/>
  <c r="AS1214" i="32"/>
  <c r="AV1181" i="32"/>
  <c r="AS1216" i="32"/>
  <c r="AS1161" i="10"/>
  <c r="AN1000" i="32"/>
  <c r="AU1217" i="10"/>
  <c r="AU1124" i="10"/>
  <c r="AR1220" i="10"/>
  <c r="AT1093" i="32"/>
  <c r="AR1168" i="10"/>
  <c r="AU1093" i="10"/>
  <c r="AV1172" i="10"/>
  <c r="AT1174" i="10"/>
  <c r="AQ1206" i="10"/>
  <c r="AS1093" i="32"/>
  <c r="AO1132" i="32"/>
  <c r="AS1095" i="10"/>
  <c r="AS1215" i="10"/>
  <c r="AS1119" i="32"/>
  <c r="AQ1217" i="10"/>
  <c r="AS1098" i="10"/>
  <c r="AR1098" i="10"/>
  <c r="AS1207" i="32"/>
  <c r="AU1172" i="10"/>
  <c r="AQ1174" i="10"/>
  <c r="AU1206" i="10"/>
  <c r="AN993" i="32"/>
  <c r="AN1023" i="32"/>
  <c r="AR1106" i="10"/>
  <c r="AQ1209" i="10"/>
  <c r="AR1161" i="10"/>
  <c r="AO1188" i="32"/>
  <c r="AN1132" i="32"/>
  <c r="AV1147" i="10"/>
  <c r="AS1100" i="32"/>
  <c r="AO1207" i="32"/>
  <c r="AS1220" i="10"/>
  <c r="AS1184" i="10"/>
  <c r="AO1096" i="32"/>
  <c r="AN1161" i="32"/>
  <c r="AR1217" i="10"/>
  <c r="AS1205" i="10"/>
  <c r="AU1131" i="10"/>
  <c r="AO1142" i="32"/>
  <c r="AV1168" i="32"/>
  <c r="AT1206" i="32"/>
  <c r="AS1149" i="10"/>
  <c r="AV1190" i="10"/>
  <c r="AN1047" i="32"/>
  <c r="AN1068" i="32"/>
  <c r="AS1108" i="32"/>
  <c r="AV1136" i="10"/>
  <c r="AU1127" i="10"/>
  <c r="AS1150" i="10"/>
  <c r="AT1127" i="10"/>
  <c r="AV1213" i="10"/>
  <c r="AS1127" i="10"/>
  <c r="AO1213" i="10"/>
  <c r="AS1182" i="32"/>
  <c r="AR1175" i="10"/>
  <c r="AS1163" i="10"/>
  <c r="AR1127" i="10"/>
  <c r="AT1139" i="10"/>
  <c r="AQ1108" i="10"/>
  <c r="AV1102" i="10"/>
  <c r="AN1099" i="32"/>
  <c r="AN1211" i="32"/>
  <c r="AO1161" i="10"/>
  <c r="AO1182" i="32"/>
  <c r="AN1039" i="32"/>
  <c r="AV1135" i="32"/>
  <c r="AS1139" i="10"/>
  <c r="AV1096" i="10"/>
  <c r="AR1093" i="10"/>
  <c r="AR1100" i="10"/>
  <c r="AU1108" i="10"/>
  <c r="AQ1168" i="10"/>
  <c r="AU1202" i="10"/>
  <c r="AS1185" i="10"/>
  <c r="AT1170" i="10"/>
  <c r="AN1174" i="32"/>
  <c r="AN1072" i="32"/>
  <c r="AV1187" i="10"/>
  <c r="AS1105" i="32"/>
  <c r="AR1215" i="10"/>
  <c r="AV1127" i="10"/>
  <c r="AV1089" i="10"/>
  <c r="AU1136" i="10"/>
  <c r="AR1134" i="10"/>
  <c r="AU1089" i="10"/>
  <c r="AV1161" i="32"/>
  <c r="AV1175" i="10"/>
  <c r="AS1161" i="32"/>
  <c r="AN1182" i="32"/>
  <c r="AQ1183" i="10"/>
  <c r="AN995" i="32"/>
  <c r="AO1161" i="32"/>
  <c r="AV1196" i="10"/>
  <c r="AT1202" i="10"/>
  <c r="AO1111" i="32"/>
  <c r="AV1089" i="32"/>
  <c r="AN986" i="32"/>
  <c r="AU1196" i="10"/>
  <c r="AV1100" i="10"/>
  <c r="AS1202" i="10"/>
  <c r="AV1185" i="10"/>
  <c r="AS1105" i="10"/>
  <c r="AV1111" i="10"/>
  <c r="AT1093" i="10"/>
  <c r="AS1100" i="10"/>
  <c r="AU1168" i="10"/>
  <c r="AR1202" i="10"/>
  <c r="AV1155" i="10"/>
  <c r="AV1161" i="10"/>
  <c r="AS1102" i="32"/>
  <c r="AN1119" i="32"/>
  <c r="AV1209" i="32"/>
  <c r="AN1070" i="32"/>
  <c r="AU1100" i="32"/>
  <c r="AQ1222" i="10"/>
  <c r="AV1138" i="10"/>
  <c r="AS1138" i="10"/>
  <c r="AO1105" i="10"/>
  <c r="AV1139" i="10"/>
  <c r="AT1089" i="10"/>
  <c r="AV1134" i="32"/>
  <c r="AU1139" i="10"/>
  <c r="AT1134" i="10"/>
  <c r="AT1100" i="32"/>
  <c r="AQ1100" i="10"/>
  <c r="AV1168" i="10"/>
  <c r="AS1089" i="32"/>
  <c r="AS1203" i="32"/>
  <c r="AS1219" i="32"/>
  <c r="AR1105" i="10"/>
  <c r="AT1111" i="10"/>
  <c r="AT1168" i="10"/>
  <c r="AQ1202" i="10"/>
  <c r="AQ1171" i="10"/>
  <c r="AO1219" i="32"/>
  <c r="AN1206" i="32"/>
  <c r="AN1021" i="32"/>
  <c r="AO1175" i="32"/>
  <c r="AS1097" i="10"/>
  <c r="AO1106" i="32"/>
  <c r="AR1138" i="10"/>
  <c r="AT1141" i="10"/>
  <c r="AR1201" i="10"/>
  <c r="AS1212" i="10"/>
  <c r="AQ1210" i="10"/>
  <c r="AS1206" i="32"/>
  <c r="AU1134" i="10"/>
  <c r="AS1227" i="10"/>
  <c r="AS1134" i="32"/>
  <c r="AR1108" i="10"/>
  <c r="AV1102" i="32"/>
  <c r="AV1176" i="10"/>
  <c r="AS1096" i="10"/>
  <c r="AT1108" i="10"/>
  <c r="AO1102" i="32"/>
  <c r="AQ1105" i="10"/>
  <c r="AV1197" i="10"/>
  <c r="AU1171" i="10"/>
  <c r="AV1219" i="32"/>
  <c r="AV1141" i="32"/>
  <c r="AN1067" i="32"/>
  <c r="AS1138" i="32"/>
  <c r="AT1196" i="32"/>
  <c r="AO1227" i="10"/>
  <c r="AV1212" i="10"/>
  <c r="AU1169" i="10"/>
  <c r="AO1174" i="10"/>
  <c r="AV1148" i="32"/>
  <c r="AS1148" i="32"/>
  <c r="AQ1138" i="10"/>
  <c r="AQ1199" i="10"/>
  <c r="AT1201" i="10"/>
  <c r="AU1102" i="10"/>
  <c r="AU1204" i="10"/>
  <c r="AQ1169" i="10"/>
  <c r="AS1109" i="10"/>
  <c r="AO1184" i="32"/>
  <c r="AO1148" i="32"/>
  <c r="AV1184" i="10"/>
  <c r="AU1175" i="10"/>
  <c r="AO1212" i="10"/>
  <c r="AV1199" i="10"/>
  <c r="AU1201" i="10"/>
  <c r="AU1100" i="10"/>
  <c r="AS1174" i="10"/>
  <c r="AT1102" i="10"/>
  <c r="AT1188" i="10"/>
  <c r="AU1123" i="10"/>
  <c r="AS1222" i="10"/>
  <c r="AU1129" i="10"/>
  <c r="AS1176" i="32"/>
  <c r="AN1181" i="32"/>
  <c r="AO1177" i="32"/>
  <c r="AV1118" i="32"/>
  <c r="AV1184" i="32"/>
  <c r="AN1191" i="32"/>
  <c r="AS1123" i="10"/>
  <c r="AT1109" i="32"/>
  <c r="AT1175" i="10"/>
  <c r="AU1199" i="10"/>
  <c r="AV1201" i="10"/>
  <c r="AT1100" i="10"/>
  <c r="AS1118" i="10"/>
  <c r="AV1101" i="10"/>
  <c r="AV1174" i="10"/>
  <c r="AS1102" i="10"/>
  <c r="AS1188" i="10"/>
  <c r="AQ1141" i="10"/>
  <c r="AS1206" i="10"/>
  <c r="AT1123" i="10"/>
  <c r="AR1222" i="10"/>
  <c r="AO1176" i="32"/>
  <c r="AV1199" i="32"/>
  <c r="AN1107" i="32"/>
  <c r="AV1206" i="32"/>
  <c r="AV1095" i="32"/>
  <c r="AS1118" i="32"/>
  <c r="AV1110" i="32"/>
  <c r="AT1131" i="32"/>
  <c r="AS1108" i="10"/>
  <c r="AS1174" i="32"/>
  <c r="AQ1148" i="10"/>
  <c r="AO1219" i="10"/>
  <c r="AU1109" i="10"/>
  <c r="AT1191" i="10"/>
  <c r="AR1199" i="10"/>
  <c r="AV1204" i="10"/>
  <c r="AT1109" i="10"/>
  <c r="AT1199" i="10"/>
  <c r="AS1201" i="10"/>
  <c r="AR1118" i="10"/>
  <c r="AR1188" i="10"/>
  <c r="AO1205" i="10"/>
  <c r="AO1176" i="10"/>
  <c r="AS1199" i="32"/>
  <c r="AO1095" i="32"/>
  <c r="AV1188" i="32"/>
  <c r="AS1110" i="32"/>
  <c r="AQ1175" i="10"/>
  <c r="AU1095" i="10"/>
  <c r="AQ1215" i="10"/>
  <c r="AQ1201" i="10"/>
  <c r="AT1162" i="10"/>
  <c r="AT1118" i="10"/>
  <c r="AV1094" i="10"/>
  <c r="AQ1188" i="10"/>
  <c r="AS1141" i="10"/>
  <c r="AS1190" i="10"/>
  <c r="AV1222" i="10"/>
  <c r="AN1187" i="32"/>
  <c r="AO1206" i="32"/>
  <c r="AS1141" i="32"/>
  <c r="AS1095" i="32"/>
  <c r="AN1188" i="32"/>
  <c r="AS1188" i="32"/>
  <c r="AO1110" i="32"/>
  <c r="AT1110" i="10"/>
  <c r="AT1095" i="10"/>
  <c r="AR1196" i="10"/>
  <c r="AS1134" i="10"/>
  <c r="AU1162" i="10"/>
  <c r="AV1118" i="10"/>
  <c r="AU1094" i="10"/>
  <c r="AV1142" i="10"/>
  <c r="AV1188" i="10"/>
  <c r="AV1171" i="10"/>
  <c r="AV1206" i="10"/>
  <c r="AV1181" i="10"/>
  <c r="AS1170" i="10"/>
  <c r="AN1050" i="32"/>
  <c r="AS1202" i="32"/>
  <c r="AV1109" i="10"/>
  <c r="AR1169" i="10"/>
  <c r="AS1110" i="10"/>
  <c r="AV1162" i="10"/>
  <c r="AT1094" i="10"/>
  <c r="AQ1104" i="10"/>
  <c r="AV1094" i="32"/>
  <c r="AR1110" i="10"/>
  <c r="AQ1095" i="10"/>
  <c r="AT1209" i="10"/>
  <c r="AU1104" i="10"/>
  <c r="AR1181" i="10"/>
  <c r="AN1026" i="32"/>
  <c r="AQ1110" i="10"/>
  <c r="AR1094" i="10"/>
  <c r="AT1104" i="10"/>
  <c r="AU1205" i="10"/>
  <c r="AR1090" i="10"/>
  <c r="AQ1181" i="10"/>
  <c r="AO1129" i="10"/>
  <c r="AS1094" i="32"/>
  <c r="AV1110" i="10"/>
  <c r="AR1113" i="10"/>
  <c r="AU1112" i="10"/>
  <c r="AU1209" i="10"/>
  <c r="AV1134" i="10"/>
  <c r="AQ1149" i="10"/>
  <c r="AS1167" i="10"/>
  <c r="AQ1094" i="10"/>
  <c r="AR1104" i="10"/>
  <c r="AR1205" i="10"/>
  <c r="AT1124" i="10"/>
  <c r="AQ1090" i="10"/>
  <c r="AT1181" i="10"/>
  <c r="AV1108" i="32"/>
  <c r="AO1187" i="32"/>
  <c r="AN1113" i="32"/>
  <c r="AN1141" i="32"/>
  <c r="AV1186" i="32"/>
  <c r="AN1183" i="32"/>
  <c r="AS1190" i="32"/>
  <c r="AN1118" i="32"/>
  <c r="AS1148" i="10"/>
  <c r="AQ1097" i="10"/>
  <c r="AT1169" i="10"/>
  <c r="AU1118" i="10"/>
  <c r="AO1095" i="10"/>
  <c r="AU1142" i="10"/>
  <c r="AU1181" i="10"/>
  <c r="AO1162" i="10"/>
  <c r="AV1164" i="10"/>
  <c r="AT1142" i="10"/>
  <c r="AV1205" i="10"/>
  <c r="AN1102" i="32"/>
  <c r="AV1202" i="32"/>
  <c r="AS1113" i="10"/>
  <c r="AV1209" i="10"/>
  <c r="AR1149" i="10"/>
  <c r="AT1167" i="10"/>
  <c r="AQ1142" i="10"/>
  <c r="AV1104" i="10"/>
  <c r="AS1201" i="32"/>
  <c r="AV1190" i="32"/>
  <c r="AR1100" i="32"/>
  <c r="AS1209" i="10"/>
  <c r="AV1219" i="10"/>
  <c r="AR1089" i="10"/>
  <c r="AS1181" i="10"/>
  <c r="AS1142" i="32"/>
  <c r="AS1119" i="10"/>
  <c r="AR1139" i="10"/>
  <c r="AV1216" i="10"/>
  <c r="AS1187" i="32"/>
  <c r="AS1209" i="32"/>
  <c r="AV1213" i="32"/>
  <c r="AT1215" i="32"/>
  <c r="AS1175" i="10"/>
  <c r="AT1178" i="10"/>
  <c r="AT1096" i="10"/>
  <c r="AS1099" i="10"/>
  <c r="AS1213" i="10"/>
  <c r="AR1184" i="10"/>
  <c r="AU1216" i="10"/>
  <c r="AU1126" i="10"/>
  <c r="AU1103" i="10"/>
  <c r="AT1120" i="10"/>
  <c r="AU1182" i="10"/>
  <c r="AS1107" i="10"/>
  <c r="AV1223" i="10"/>
  <c r="AR1131" i="10"/>
  <c r="AS1187" i="10"/>
  <c r="AU1115" i="10"/>
  <c r="AO1108" i="10"/>
  <c r="AV1187" i="32"/>
  <c r="AV1113" i="32"/>
  <c r="AS1112" i="32"/>
  <c r="AN1162" i="32"/>
  <c r="AV1128" i="32"/>
  <c r="AV1167" i="32"/>
  <c r="AN1213" i="32"/>
  <c r="AS1213" i="32"/>
  <c r="AV1182" i="32"/>
  <c r="AU1187" i="10"/>
  <c r="AV1182" i="10"/>
  <c r="AS1131" i="10"/>
  <c r="AT1216" i="10"/>
  <c r="AR1120" i="10"/>
  <c r="AT1182" i="10"/>
  <c r="AR1107" i="10"/>
  <c r="AQ1131" i="10"/>
  <c r="AT1115" i="10"/>
  <c r="AS1167" i="32"/>
  <c r="AS1107" i="32"/>
  <c r="AN1061" i="32"/>
  <c r="AQ1178" i="10"/>
  <c r="AQ1135" i="10"/>
  <c r="AV1165" i="10"/>
  <c r="AR1096" i="10"/>
  <c r="AR1099" i="10"/>
  <c r="AQ1213" i="10"/>
  <c r="AS1216" i="10"/>
  <c r="AQ1126" i="10"/>
  <c r="AR1103" i="10"/>
  <c r="AQ1120" i="10"/>
  <c r="AR1177" i="10"/>
  <c r="AT1218" i="10"/>
  <c r="AS1182" i="10"/>
  <c r="AV1137" i="10"/>
  <c r="AV1214" i="10"/>
  <c r="AQ1187" i="10"/>
  <c r="AS1115" i="10"/>
  <c r="AO1104" i="10"/>
  <c r="AV1177" i="32"/>
  <c r="AN1106" i="32"/>
  <c r="AV1127" i="32"/>
  <c r="AS1218" i="32"/>
  <c r="AO1144" i="32"/>
  <c r="AV1139" i="32"/>
  <c r="AN1120" i="32"/>
  <c r="AO1107" i="32"/>
  <c r="AS1144" i="32"/>
  <c r="AV1147" i="32"/>
  <c r="AQ1162" i="10"/>
  <c r="AU1150" i="10"/>
  <c r="AN1071" i="32"/>
  <c r="AV1169" i="10"/>
  <c r="AT1126" i="10"/>
  <c r="AT1177" i="10"/>
  <c r="AS1169" i="10"/>
  <c r="AV1191" i="10"/>
  <c r="AR1178" i="10"/>
  <c r="AU1165" i="10"/>
  <c r="AQ1096" i="10"/>
  <c r="AV1099" i="10"/>
  <c r="AT1213" i="10"/>
  <c r="AR1216" i="10"/>
  <c r="AQ1103" i="10"/>
  <c r="AU1177" i="10"/>
  <c r="AS1218" i="10"/>
  <c r="AR1182" i="10"/>
  <c r="AO1137" i="10"/>
  <c r="AS1137" i="10"/>
  <c r="AS1223" i="10"/>
  <c r="AQ1091" i="10"/>
  <c r="AN1219" i="32"/>
  <c r="AV1191" i="32"/>
  <c r="AN1175" i="32"/>
  <c r="AS1177" i="32"/>
  <c r="AS1127" i="32"/>
  <c r="AV1126" i="32"/>
  <c r="AS1139" i="32"/>
  <c r="AT1112" i="32"/>
  <c r="AV1107" i="10"/>
  <c r="AR1162" i="10"/>
  <c r="AR1115" i="10"/>
  <c r="AQ1182" i="10"/>
  <c r="AV1126" i="10"/>
  <c r="AQ1089" i="10"/>
  <c r="AV1115" i="10"/>
  <c r="AR1213" i="10"/>
  <c r="AS1103" i="10"/>
  <c r="AR1187" i="10"/>
  <c r="AS1113" i="32"/>
  <c r="AU1191" i="10"/>
  <c r="AT1165" i="10"/>
  <c r="AS1112" i="10"/>
  <c r="AV1183" i="10"/>
  <c r="AQ1216" i="10"/>
  <c r="AT1103" i="10"/>
  <c r="AR1218" i="10"/>
  <c r="AS1104" i="10"/>
  <c r="AR1137" i="10"/>
  <c r="AT1212" i="10"/>
  <c r="AV1091" i="32"/>
  <c r="AS1191" i="32"/>
  <c r="AV1137" i="32"/>
  <c r="AV1142" i="32"/>
  <c r="AS1126" i="32"/>
  <c r="AV1096" i="32"/>
  <c r="AV1136" i="32"/>
  <c r="AV1218" i="32"/>
  <c r="AV1216" i="32"/>
  <c r="AO1215" i="32"/>
  <c r="AT1119" i="10"/>
  <c r="AT1136" i="10"/>
  <c r="AS1126" i="10"/>
  <c r="AT1187" i="32"/>
  <c r="AQ1115" i="10"/>
  <c r="AV1103" i="10"/>
  <c r="AT1107" i="10"/>
  <c r="AO1108" i="32"/>
  <c r="AQ1112" i="10"/>
  <c r="AV1149" i="10"/>
  <c r="AV1108" i="10"/>
  <c r="AT1137" i="10"/>
  <c r="AN1178" i="32"/>
  <c r="AV1113" i="10"/>
  <c r="AS1191" i="10"/>
  <c r="AQ1165" i="10"/>
  <c r="AT1112" i="10"/>
  <c r="AU1215" i="10"/>
  <c r="AT1183" i="10"/>
  <c r="AU1149" i="10"/>
  <c r="AQ1167" i="10"/>
  <c r="AT1186" i="10"/>
  <c r="AV1218" i="10"/>
  <c r="AU1137" i="10"/>
  <c r="AV1141" i="10"/>
  <c r="AR1212" i="10"/>
  <c r="AT1130" i="10"/>
  <c r="AV1212" i="32"/>
  <c r="AN1184" i="32"/>
  <c r="AN985" i="32"/>
  <c r="AV1162" i="32"/>
  <c r="AN1142" i="32"/>
  <c r="AQ1113" i="10"/>
  <c r="AV1150" i="10"/>
  <c r="AT1150" i="10"/>
  <c r="AQ1107" i="10"/>
  <c r="AT1187" i="10"/>
  <c r="AV1112" i="32"/>
  <c r="AR1165" i="10"/>
  <c r="AU1183" i="10"/>
  <c r="AS1137" i="32"/>
  <c r="AS1136" i="32"/>
  <c r="AT1113" i="10"/>
  <c r="AR1191" i="10"/>
  <c r="AV1105" i="10"/>
  <c r="AS1165" i="10"/>
  <c r="AR1112" i="10"/>
  <c r="AT1215" i="10"/>
  <c r="AS1183" i="10"/>
  <c r="AT1149" i="10"/>
  <c r="AV1167" i="10"/>
  <c r="AS1186" i="10"/>
  <c r="AU1218" i="10"/>
  <c r="AS1142" i="10"/>
  <c r="AU1141" i="10"/>
  <c r="AQ1212" i="10"/>
  <c r="AU1222" i="10"/>
  <c r="AV1130" i="10"/>
  <c r="AV1131" i="32"/>
  <c r="AN1105" i="32"/>
  <c r="AV1103" i="32"/>
  <c r="AS1212" i="32"/>
  <c r="AS1162" i="32"/>
  <c r="AV1189" i="32"/>
  <c r="AV1165" i="32"/>
  <c r="AN1006" i="32"/>
  <c r="AQ1150" i="10"/>
  <c r="AT1131" i="10"/>
  <c r="AR1167" i="10"/>
  <c r="AV1123" i="10"/>
  <c r="AU1130" i="10"/>
  <c r="AU1105" i="10"/>
  <c r="AR1186" i="10"/>
  <c r="AT1222" i="10"/>
  <c r="AS1130" i="10"/>
  <c r="AV1177" i="10"/>
  <c r="AS1214" i="10"/>
  <c r="AV1125" i="10"/>
  <c r="AN1065" i="32"/>
  <c r="AQ1102" i="32"/>
  <c r="AU1102" i="32"/>
  <c r="AT1102" i="32"/>
  <c r="AR1102" i="32"/>
  <c r="AQ1215" i="32"/>
  <c r="AR1215" i="32"/>
  <c r="AU1215" i="32"/>
  <c r="AR1119" i="10"/>
  <c r="AS1133" i="32"/>
  <c r="AR1146" i="10"/>
  <c r="AT1092" i="10"/>
  <c r="AQ1221" i="10"/>
  <c r="AS1164" i="32"/>
  <c r="AV1095" i="10"/>
  <c r="AV1119" i="10"/>
  <c r="AU1144" i="10"/>
  <c r="AV1178" i="10"/>
  <c r="AT1105" i="10"/>
  <c r="AS1211" i="10"/>
  <c r="AQ1146" i="10"/>
  <c r="AR1197" i="10"/>
  <c r="AQ1173" i="10"/>
  <c r="AS1136" i="10"/>
  <c r="AV1116" i="10"/>
  <c r="AU1148" i="10"/>
  <c r="AT1219" i="10"/>
  <c r="AU1207" i="10"/>
  <c r="AV1203" i="10"/>
  <c r="AS1200" i="10"/>
  <c r="AT1125" i="10"/>
  <c r="AT1132" i="10"/>
  <c r="AR1130" i="10"/>
  <c r="AV1119" i="32"/>
  <c r="AV1203" i="32"/>
  <c r="AS1181" i="32"/>
  <c r="AV1195" i="32"/>
  <c r="AV1143" i="32"/>
  <c r="AV1144" i="32"/>
  <c r="AQ1191" i="32"/>
  <c r="AU1191" i="32"/>
  <c r="AR1191" i="32"/>
  <c r="AT1191" i="32"/>
  <c r="AQ1142" i="32"/>
  <c r="AR1142" i="32"/>
  <c r="AU1142" i="32"/>
  <c r="AT1142" i="32"/>
  <c r="AQ1188" i="32"/>
  <c r="AT1188" i="32"/>
  <c r="AR1188" i="32"/>
  <c r="AU1188" i="32"/>
  <c r="AQ1113" i="32"/>
  <c r="AU1113" i="32"/>
  <c r="AT1113" i="32"/>
  <c r="AR1113" i="32"/>
  <c r="AQ1118" i="32"/>
  <c r="AT1118" i="32"/>
  <c r="AU1118" i="32"/>
  <c r="AR1118" i="32"/>
  <c r="AQ1199" i="32"/>
  <c r="AU1199" i="32"/>
  <c r="AR1199" i="32"/>
  <c r="AT1199" i="32"/>
  <c r="AQ1094" i="32"/>
  <c r="AT1094" i="32"/>
  <c r="AR1094" i="32"/>
  <c r="AU1094" i="32"/>
  <c r="AV1091" i="10"/>
  <c r="AT1101" i="10"/>
  <c r="AR1214" i="10"/>
  <c r="AS1091" i="32"/>
  <c r="AQ1189" i="32"/>
  <c r="AU1189" i="32"/>
  <c r="AR1189" i="32"/>
  <c r="AQ1198" i="32"/>
  <c r="AR1198" i="32"/>
  <c r="AU1198" i="32"/>
  <c r="AT1198" i="32"/>
  <c r="AQ1210" i="32"/>
  <c r="AR1210" i="32"/>
  <c r="AU1210" i="32"/>
  <c r="AV1166" i="10"/>
  <c r="AR1176" i="10"/>
  <c r="AQ1098" i="10"/>
  <c r="AV1214" i="32"/>
  <c r="AV1163" i="32"/>
  <c r="AU1099" i="10"/>
  <c r="AR1114" i="10"/>
  <c r="AS1146" i="10"/>
  <c r="AQ1114" i="10"/>
  <c r="AQ1166" i="32"/>
  <c r="AU1166" i="32"/>
  <c r="AT1166" i="32"/>
  <c r="AR1166" i="32"/>
  <c r="AV1144" i="10"/>
  <c r="AV1114" i="10"/>
  <c r="AT1098" i="10"/>
  <c r="AU1119" i="10"/>
  <c r="AT1144" i="10"/>
  <c r="AR1147" i="10"/>
  <c r="AR1211" i="10"/>
  <c r="AV1133" i="10"/>
  <c r="AV1140" i="10"/>
  <c r="AQ1197" i="10"/>
  <c r="AT1173" i="10"/>
  <c r="AR1136" i="10"/>
  <c r="AU1116" i="10"/>
  <c r="AS1219" i="10"/>
  <c r="AV1207" i="10"/>
  <c r="AU1203" i="10"/>
  <c r="AQ1200" i="10"/>
  <c r="AQ1125" i="10"/>
  <c r="AV1117" i="10"/>
  <c r="AS1132" i="10"/>
  <c r="AS1210" i="32"/>
  <c r="AV1105" i="32"/>
  <c r="AV1200" i="32"/>
  <c r="AN1177" i="32"/>
  <c r="AV1211" i="32"/>
  <c r="AV1090" i="32"/>
  <c r="AV1179" i="32"/>
  <c r="AS1195" i="32"/>
  <c r="AS1198" i="32"/>
  <c r="AN1095" i="32"/>
  <c r="AS1143" i="32"/>
  <c r="AN1215" i="32"/>
  <c r="AV1215" i="32"/>
  <c r="AQ1175" i="32"/>
  <c r="AR1175" i="32"/>
  <c r="AU1175" i="32"/>
  <c r="AT1175" i="32"/>
  <c r="AQ1095" i="32"/>
  <c r="AR1095" i="32"/>
  <c r="AU1095" i="32"/>
  <c r="AT1095" i="32"/>
  <c r="AQ1201" i="32"/>
  <c r="AT1201" i="32"/>
  <c r="AR1201" i="32"/>
  <c r="AU1201" i="32"/>
  <c r="AQ1104" i="32"/>
  <c r="AR1104" i="32"/>
  <c r="AU1104" i="32"/>
  <c r="AQ1093" i="32"/>
  <c r="AR1093" i="32"/>
  <c r="AU1093" i="32"/>
  <c r="AQ1096" i="32"/>
  <c r="AU1096" i="32"/>
  <c r="AT1096" i="32"/>
  <c r="AR1096" i="32"/>
  <c r="AQ1213" i="32"/>
  <c r="AT1213" i="32"/>
  <c r="AR1213" i="32"/>
  <c r="AU1213" i="32"/>
  <c r="AQ1178" i="32"/>
  <c r="AR1178" i="32"/>
  <c r="AT1178" i="32"/>
  <c r="AU1178" i="32"/>
  <c r="AQ1089" i="32"/>
  <c r="AR1089" i="32"/>
  <c r="AU1089" i="32"/>
  <c r="AT1089" i="32"/>
  <c r="AQ1216" i="32"/>
  <c r="AT1216" i="32"/>
  <c r="AU1216" i="32"/>
  <c r="AR1216" i="32"/>
  <c r="AQ1144" i="32"/>
  <c r="AR1144" i="32"/>
  <c r="AU1144" i="32"/>
  <c r="AT1144" i="32"/>
  <c r="AS1111" i="10"/>
  <c r="AQ1111" i="10"/>
  <c r="AS1176" i="10"/>
  <c r="AS1132" i="32"/>
  <c r="AQ1092" i="10"/>
  <c r="AS1120" i="32"/>
  <c r="AV1172" i="32"/>
  <c r="AQ1196" i="32"/>
  <c r="AU1196" i="32"/>
  <c r="AR1196" i="32"/>
  <c r="AV1098" i="10"/>
  <c r="AS1163" i="32"/>
  <c r="AU1092" i="10"/>
  <c r="AS1125" i="10"/>
  <c r="AQ1132" i="10"/>
  <c r="AT1179" i="10"/>
  <c r="AS1144" i="10"/>
  <c r="AS1178" i="10"/>
  <c r="AQ1147" i="10"/>
  <c r="AQ1211" i="10"/>
  <c r="AU1133" i="10"/>
  <c r="AS1197" i="10"/>
  <c r="AT1116" i="10"/>
  <c r="AR1219" i="10"/>
  <c r="AT1207" i="10"/>
  <c r="AT1203" i="10"/>
  <c r="AR1200" i="10"/>
  <c r="AV1143" i="10"/>
  <c r="AU1117" i="10"/>
  <c r="AR1132" i="10"/>
  <c r="AO1166" i="10"/>
  <c r="AR1195" i="10"/>
  <c r="AV1192" i="10"/>
  <c r="AV1189" i="10"/>
  <c r="AS1200" i="32"/>
  <c r="AS1196" i="32"/>
  <c r="AS1211" i="32"/>
  <c r="AS1179" i="32"/>
  <c r="AV1099" i="32"/>
  <c r="AV1166" i="32"/>
  <c r="AV1178" i="32"/>
  <c r="AS1215" i="32"/>
  <c r="AS1175" i="32"/>
  <c r="AQ1115" i="32"/>
  <c r="AR1115" i="32"/>
  <c r="AU1115" i="32"/>
  <c r="AT1115" i="32"/>
  <c r="AQ1123" i="32"/>
  <c r="AR1123" i="32"/>
  <c r="AU1123" i="32"/>
  <c r="AQ1202" i="32"/>
  <c r="AR1202" i="32"/>
  <c r="AT1202" i="32"/>
  <c r="AU1202" i="32"/>
  <c r="AQ1138" i="32"/>
  <c r="AU1138" i="32"/>
  <c r="AR1138" i="32"/>
  <c r="AT1138" i="32"/>
  <c r="AT1164" i="32"/>
  <c r="AQ1126" i="32"/>
  <c r="AU1126" i="32"/>
  <c r="AR1126" i="32"/>
  <c r="AT1126" i="32"/>
  <c r="AQ1103" i="32"/>
  <c r="AR1103" i="32"/>
  <c r="AU1103" i="32"/>
  <c r="AT1103" i="32"/>
  <c r="AQ1170" i="10"/>
  <c r="AS1166" i="10"/>
  <c r="AT1171" i="10"/>
  <c r="AQ1140" i="32"/>
  <c r="AR1140" i="32"/>
  <c r="AU1140" i="32"/>
  <c r="AT1140" i="32"/>
  <c r="AQ1144" i="10"/>
  <c r="AS1172" i="32"/>
  <c r="AQ1102" i="10"/>
  <c r="AV1164" i="32"/>
  <c r="AQ1173" i="32"/>
  <c r="AR1173" i="32"/>
  <c r="AT1173" i="32"/>
  <c r="AU1173" i="32"/>
  <c r="AS1116" i="10"/>
  <c r="AS1179" i="10"/>
  <c r="AV1210" i="10"/>
  <c r="AV1135" i="10"/>
  <c r="AS1140" i="10"/>
  <c r="AU1173" i="10"/>
  <c r="AR1116" i="10"/>
  <c r="AS1207" i="10"/>
  <c r="AR1163" i="10"/>
  <c r="AS1203" i="10"/>
  <c r="AU1143" i="10"/>
  <c r="AU1132" i="10"/>
  <c r="AV1198" i="10"/>
  <c r="AU1189" i="10"/>
  <c r="AV1116" i="32"/>
  <c r="AV1111" i="32"/>
  <c r="AS1090" i="32"/>
  <c r="AV1140" i="32"/>
  <c r="AS1166" i="32"/>
  <c r="AS1178" i="32"/>
  <c r="AQ1217" i="32"/>
  <c r="AU1217" i="32"/>
  <c r="AR1217" i="32"/>
  <c r="AQ1108" i="32"/>
  <c r="AU1108" i="32"/>
  <c r="AR1108" i="32"/>
  <c r="AT1108" i="32"/>
  <c r="AQ1110" i="32"/>
  <c r="AU1110" i="32"/>
  <c r="AR1110" i="32"/>
  <c r="AT1110" i="32"/>
  <c r="AQ1112" i="32"/>
  <c r="AR1112" i="32"/>
  <c r="AU1112" i="32"/>
  <c r="AQ1162" i="32"/>
  <c r="AR1162" i="32"/>
  <c r="AU1162" i="32"/>
  <c r="AT1162" i="32"/>
  <c r="AQ1214" i="32"/>
  <c r="AU1214" i="32"/>
  <c r="AR1214" i="32"/>
  <c r="AT1214" i="32"/>
  <c r="AQ1092" i="32"/>
  <c r="AT1092" i="32"/>
  <c r="AU1092" i="32"/>
  <c r="AR1092" i="32"/>
  <c r="AQ1200" i="32"/>
  <c r="AR1200" i="32"/>
  <c r="AU1200" i="32"/>
  <c r="AT1200" i="32"/>
  <c r="AQ1211" i="32"/>
  <c r="AR1211" i="32"/>
  <c r="AT1211" i="32"/>
  <c r="AU1211" i="32"/>
  <c r="AQ1091" i="32"/>
  <c r="AT1091" i="32"/>
  <c r="AR1091" i="32"/>
  <c r="AU1091" i="32"/>
  <c r="AQ1125" i="32"/>
  <c r="AR1125" i="32"/>
  <c r="AU1125" i="32"/>
  <c r="AT1125" i="32"/>
  <c r="AQ1147" i="32"/>
  <c r="AR1147" i="32"/>
  <c r="AU1147" i="32"/>
  <c r="AT1147" i="32"/>
  <c r="AQ1176" i="32"/>
  <c r="AT1176" i="32"/>
  <c r="AR1176" i="32"/>
  <c r="AU1176" i="32"/>
  <c r="AQ1106" i="32"/>
  <c r="AR1106" i="32"/>
  <c r="AU1106" i="32"/>
  <c r="AS1147" i="32"/>
  <c r="AQ1117" i="32"/>
  <c r="AR1117" i="32"/>
  <c r="AU1117" i="32"/>
  <c r="AT1117" i="32"/>
  <c r="AQ1133" i="32"/>
  <c r="AT1133" i="32"/>
  <c r="AR1133" i="32"/>
  <c r="AU1133" i="32"/>
  <c r="AV1106" i="10"/>
  <c r="AV1120" i="10"/>
  <c r="AS1092" i="10"/>
  <c r="AV1221" i="10"/>
  <c r="AQ1195" i="32"/>
  <c r="AR1195" i="32"/>
  <c r="AU1195" i="32"/>
  <c r="AU1146" i="10"/>
  <c r="AQ1101" i="10"/>
  <c r="AR1170" i="10"/>
  <c r="AV1120" i="32"/>
  <c r="AQ1190" i="32"/>
  <c r="AR1190" i="32"/>
  <c r="AU1190" i="32"/>
  <c r="AT1190" i="32"/>
  <c r="AQ1161" i="32"/>
  <c r="AT1161" i="32"/>
  <c r="AR1161" i="32"/>
  <c r="AU1161" i="32"/>
  <c r="AV1092" i="10"/>
  <c r="AQ1192" i="32"/>
  <c r="AU1192" i="32"/>
  <c r="AR1192" i="32"/>
  <c r="AT1192" i="32"/>
  <c r="AQ1105" i="32"/>
  <c r="AT1105" i="32"/>
  <c r="AR1105" i="32"/>
  <c r="AU1105" i="32"/>
  <c r="AT1195" i="32"/>
  <c r="AR1179" i="10"/>
  <c r="AU1210" i="10"/>
  <c r="AU1147" i="10"/>
  <c r="AU1135" i="10"/>
  <c r="AQ1133" i="10"/>
  <c r="AR1140" i="10"/>
  <c r="AR1097" i="10"/>
  <c r="AS1173" i="10"/>
  <c r="AQ1116" i="10"/>
  <c r="AT1172" i="10"/>
  <c r="AR1207" i="10"/>
  <c r="AQ1163" i="10"/>
  <c r="AT1204" i="10"/>
  <c r="AV1200" i="10"/>
  <c r="AT1143" i="10"/>
  <c r="AS1117" i="10"/>
  <c r="AV1090" i="10"/>
  <c r="AT1198" i="10"/>
  <c r="AV1195" i="10"/>
  <c r="AV1129" i="10"/>
  <c r="AT1192" i="10"/>
  <c r="AT1189" i="10"/>
  <c r="AR1190" i="10"/>
  <c r="AV1204" i="32"/>
  <c r="AV1106" i="32"/>
  <c r="AV1197" i="32"/>
  <c r="AS1111" i="32"/>
  <c r="AV1114" i="32"/>
  <c r="AS1099" i="32"/>
  <c r="AS1140" i="32"/>
  <c r="AO1178" i="32"/>
  <c r="AV1101" i="32"/>
  <c r="AQ1107" i="32"/>
  <c r="AT1107" i="32"/>
  <c r="AR1107" i="32"/>
  <c r="AU1107" i="32"/>
  <c r="AQ1218" i="32"/>
  <c r="AU1218" i="32"/>
  <c r="AR1218" i="32"/>
  <c r="AT1218" i="32"/>
  <c r="AT1106" i="32"/>
  <c r="AT1189" i="32"/>
  <c r="AQ1212" i="32"/>
  <c r="AT1212" i="32"/>
  <c r="AR1212" i="32"/>
  <c r="AU1212" i="32"/>
  <c r="AT1210" i="32"/>
  <c r="AQ1209" i="32"/>
  <c r="AT1209" i="32"/>
  <c r="AR1209" i="32"/>
  <c r="AU1209" i="32"/>
  <c r="AQ1139" i="32"/>
  <c r="AU1139" i="32"/>
  <c r="AR1139" i="32"/>
  <c r="AT1139" i="32"/>
  <c r="AQ1167" i="32"/>
  <c r="AR1167" i="32"/>
  <c r="AU1167" i="32"/>
  <c r="AT1167" i="32"/>
  <c r="AU1101" i="10"/>
  <c r="AV1092" i="32"/>
  <c r="AG986" i="10"/>
  <c r="AG986" i="32"/>
  <c r="AS1155" i="10"/>
  <c r="AV1117" i="32"/>
  <c r="AT1221" i="10"/>
  <c r="AQ1184" i="32"/>
  <c r="AT1184" i="32"/>
  <c r="AR1184" i="32"/>
  <c r="AU1184" i="32"/>
  <c r="AQ1119" i="32"/>
  <c r="AU1119" i="32"/>
  <c r="AT1119" i="32"/>
  <c r="AR1119" i="32"/>
  <c r="AR1144" i="10"/>
  <c r="AU1161" i="10"/>
  <c r="AQ1181" i="32"/>
  <c r="AT1181" i="32"/>
  <c r="AU1181" i="32"/>
  <c r="AR1181" i="32"/>
  <c r="AQ1119" i="10"/>
  <c r="AQ1179" i="10"/>
  <c r="AT1210" i="10"/>
  <c r="AT1196" i="10"/>
  <c r="AT1147" i="10"/>
  <c r="AT1135" i="10"/>
  <c r="AU1106" i="10"/>
  <c r="AS1133" i="10"/>
  <c r="AQ1140" i="10"/>
  <c r="AV1097" i="10"/>
  <c r="AS1172" i="10"/>
  <c r="AS1177" i="10"/>
  <c r="AQ1207" i="10"/>
  <c r="AV1163" i="10"/>
  <c r="AS1204" i="10"/>
  <c r="AU1200" i="10"/>
  <c r="AS1143" i="10"/>
  <c r="AR1117" i="10"/>
  <c r="AU1198" i="10"/>
  <c r="AU1195" i="10"/>
  <c r="AS1129" i="10"/>
  <c r="AS1192" i="10"/>
  <c r="AS1189" i="10"/>
  <c r="AO1120" i="10"/>
  <c r="AS1204" i="32"/>
  <c r="AS1106" i="32"/>
  <c r="AS1114" i="32"/>
  <c r="AV1171" i="32"/>
  <c r="AV1207" i="32"/>
  <c r="AS1101" i="32"/>
  <c r="AV1109" i="32"/>
  <c r="AQ1187" i="32"/>
  <c r="AU1187" i="32"/>
  <c r="AR1187" i="32"/>
  <c r="AQ1165" i="32"/>
  <c r="AR1165" i="32"/>
  <c r="AT1165" i="32"/>
  <c r="AU1165" i="32"/>
  <c r="AQ1177" i="32"/>
  <c r="AR1177" i="32"/>
  <c r="AU1177" i="32"/>
  <c r="AT1177" i="32"/>
  <c r="AQ1137" i="32"/>
  <c r="AT1137" i="32"/>
  <c r="AR1137" i="32"/>
  <c r="AU1137" i="32"/>
  <c r="AQ1124" i="32"/>
  <c r="AR1124" i="32"/>
  <c r="AU1124" i="32"/>
  <c r="AT1124" i="32"/>
  <c r="AQ1183" i="32"/>
  <c r="AT1183" i="32"/>
  <c r="AU1183" i="32"/>
  <c r="AR1183" i="32"/>
  <c r="AU1176" i="10"/>
  <c r="AQ1116" i="32"/>
  <c r="AR1116" i="32"/>
  <c r="AU1116" i="32"/>
  <c r="AQ1214" i="10"/>
  <c r="AQ1090" i="32"/>
  <c r="AR1090" i="32"/>
  <c r="AU1090" i="32"/>
  <c r="AT1090" i="32"/>
  <c r="AS1120" i="10"/>
  <c r="AU1125" i="10"/>
  <c r="AS1186" i="32"/>
  <c r="AQ1164" i="32"/>
  <c r="AQ1164" i="10"/>
  <c r="AU1164" i="32"/>
  <c r="AU1164" i="10"/>
  <c r="AR1164" i="10"/>
  <c r="AR1164" i="32"/>
  <c r="AQ1203" i="32"/>
  <c r="AT1203" i="32"/>
  <c r="AR1203" i="32"/>
  <c r="AU1203" i="32"/>
  <c r="AU1184" i="10"/>
  <c r="AQ1220" i="32"/>
  <c r="AR1220" i="32"/>
  <c r="AU1220" i="32"/>
  <c r="AT1220" i="32"/>
  <c r="AR1173" i="10"/>
  <c r="AQ1203" i="10"/>
  <c r="AS1210" i="10"/>
  <c r="AS1196" i="10"/>
  <c r="AS1147" i="10"/>
  <c r="AS1135" i="10"/>
  <c r="AT1106" i="10"/>
  <c r="AT1133" i="10"/>
  <c r="AU1140" i="10"/>
  <c r="AU1097" i="10"/>
  <c r="AS1164" i="10"/>
  <c r="AQ1117" i="10"/>
  <c r="AU1220" i="10"/>
  <c r="AT1090" i="10"/>
  <c r="AU1214" i="10"/>
  <c r="AS1198" i="10"/>
  <c r="AT1195" i="10"/>
  <c r="AR1129" i="10"/>
  <c r="AR1192" i="10"/>
  <c r="AR1189" i="10"/>
  <c r="AQ1190" i="10"/>
  <c r="AV1125" i="32"/>
  <c r="AV1192" i="32"/>
  <c r="AV1107" i="32"/>
  <c r="AQ1131" i="32"/>
  <c r="AR1131" i="32"/>
  <c r="AU1131" i="32"/>
  <c r="AQ1182" i="32"/>
  <c r="AR1182" i="32"/>
  <c r="AT1182" i="32"/>
  <c r="AU1182" i="32"/>
  <c r="AQ1134" i="32"/>
  <c r="AU1134" i="32"/>
  <c r="AR1134" i="32"/>
  <c r="AT1134" i="32"/>
  <c r="AQ1127" i="32"/>
  <c r="AR1127" i="32"/>
  <c r="AU1127" i="32"/>
  <c r="AT1127" i="32"/>
  <c r="AQ1101" i="32"/>
  <c r="AR1101" i="32"/>
  <c r="AU1101" i="32"/>
  <c r="AT1101" i="32"/>
  <c r="AQ1207" i="32"/>
  <c r="AR1207" i="32"/>
  <c r="AT1207" i="32"/>
  <c r="AU1207" i="32"/>
  <c r="AQ1172" i="32"/>
  <c r="AT1172" i="32"/>
  <c r="AR1172" i="32"/>
  <c r="AU1172" i="32"/>
  <c r="AQ1111" i="32"/>
  <c r="AT1111" i="32"/>
  <c r="AU1111" i="32"/>
  <c r="AR1111" i="32"/>
  <c r="AT1176" i="10"/>
  <c r="AU1091" i="10"/>
  <c r="AQ1171" i="32"/>
  <c r="AT1171" i="32"/>
  <c r="AR1171" i="32"/>
  <c r="AU1171" i="32"/>
  <c r="AQ1135" i="32"/>
  <c r="AR1135" i="32"/>
  <c r="AU1135" i="32"/>
  <c r="AT1135" i="32"/>
  <c r="AQ1132" i="32"/>
  <c r="AT1132" i="32"/>
  <c r="AR1132" i="32"/>
  <c r="AU1132" i="32"/>
  <c r="AQ1163" i="32"/>
  <c r="AU1163" i="32"/>
  <c r="AT1163" i="32"/>
  <c r="AR1163" i="32"/>
  <c r="AR1092" i="10"/>
  <c r="AU1221" i="10"/>
  <c r="AT1091" i="10"/>
  <c r="AQ1114" i="32"/>
  <c r="AT1114" i="32"/>
  <c r="AU1114" i="32"/>
  <c r="AR1114" i="32"/>
  <c r="AT1146" i="10"/>
  <c r="AS1171" i="10"/>
  <c r="AS1091" i="10"/>
  <c r="AS1117" i="32"/>
  <c r="AQ1099" i="32"/>
  <c r="AU1099" i="32"/>
  <c r="AT1099" i="32"/>
  <c r="AR1099" i="32"/>
  <c r="AQ1186" i="32"/>
  <c r="AU1186" i="32"/>
  <c r="AR1186" i="32"/>
  <c r="AT1186" i="32"/>
  <c r="AV1211" i="10"/>
  <c r="AT1161" i="10"/>
  <c r="AV1133" i="32"/>
  <c r="AQ1143" i="32"/>
  <c r="AU1143" i="32"/>
  <c r="AT1143" i="32"/>
  <c r="AR1143" i="32"/>
  <c r="AQ1148" i="32"/>
  <c r="AU1148" i="32"/>
  <c r="AR1148" i="32"/>
  <c r="AT1148" i="32"/>
  <c r="AU1211" i="10"/>
  <c r="AR1203" i="10"/>
  <c r="AS1221" i="10"/>
  <c r="AQ1109" i="32"/>
  <c r="AR1109" i="32"/>
  <c r="AU1109" i="32"/>
  <c r="AV1148" i="10"/>
  <c r="AQ1219" i="32"/>
  <c r="AR1219" i="32"/>
  <c r="AU1219" i="32"/>
  <c r="AT1219" i="32"/>
  <c r="AQ1197" i="32"/>
  <c r="AT1197" i="32"/>
  <c r="AR1197" i="32"/>
  <c r="AU1197" i="32"/>
  <c r="AQ1179" i="32"/>
  <c r="AU1179" i="32"/>
  <c r="AT1179" i="32"/>
  <c r="AR1179" i="32"/>
  <c r="AQ1204" i="32"/>
  <c r="AT1204" i="32"/>
  <c r="AU1204" i="32"/>
  <c r="AR1204" i="32"/>
  <c r="AQ1136" i="32"/>
  <c r="AU1136" i="32"/>
  <c r="AR1136" i="32"/>
  <c r="AU1179" i="10"/>
  <c r="AR1210" i="10"/>
  <c r="AQ1196" i="10"/>
  <c r="AR1135" i="10"/>
  <c r="AS1106" i="10"/>
  <c r="AU1111" i="10"/>
  <c r="AT1097" i="10"/>
  <c r="AV1215" i="10"/>
  <c r="AR1172" i="10"/>
  <c r="AR1101" i="10"/>
  <c r="AU1186" i="10"/>
  <c r="AT1163" i="10"/>
  <c r="AR1204" i="10"/>
  <c r="AQ1143" i="10"/>
  <c r="AR1171" i="10"/>
  <c r="AT1220" i="10"/>
  <c r="AS1090" i="10"/>
  <c r="AT1214" i="10"/>
  <c r="AR1198" i="10"/>
  <c r="AS1195" i="10"/>
  <c r="AT1129" i="10"/>
  <c r="AU1170" i="10"/>
  <c r="AQ1192" i="10"/>
  <c r="AQ1189" i="10"/>
  <c r="AT1190" i="10"/>
  <c r="AS1125" i="32"/>
  <c r="AV1176" i="32"/>
  <c r="AS1192" i="32"/>
  <c r="AS1135" i="32"/>
  <c r="AS1184" i="32"/>
  <c r="AQ1128" i="32"/>
  <c r="AT1128" i="32"/>
  <c r="AU1128" i="32"/>
  <c r="AR1128" i="32"/>
  <c r="AQ1120" i="32"/>
  <c r="AT1120" i="32"/>
  <c r="AU1120" i="32"/>
  <c r="AR1120" i="32"/>
  <c r="AT1136" i="32"/>
  <c r="AQ1185" i="32"/>
  <c r="AU1185" i="32"/>
  <c r="AT1185" i="32"/>
  <c r="AR1185" i="32"/>
  <c r="AQ1168" i="32"/>
  <c r="AR1168" i="32"/>
  <c r="AT1168" i="32"/>
  <c r="AU1168" i="32"/>
  <c r="AT1116" i="32"/>
  <c r="AQ1141" i="32"/>
  <c r="AR1141" i="32"/>
  <c r="AU1141" i="32"/>
  <c r="AT1141" i="32"/>
  <c r="AN1035" i="32"/>
  <c r="AO1104" i="32"/>
  <c r="AS1104" i="32"/>
  <c r="AV1104" i="32"/>
  <c r="AN1123" i="32"/>
  <c r="AN1104" i="32"/>
  <c r="AO1123" i="32"/>
  <c r="AS1123" i="32"/>
  <c r="AV1123" i="32"/>
  <c r="AG985" i="10"/>
  <c r="AG984" i="10"/>
  <c r="AG1055" i="10"/>
  <c r="AG1025" i="10"/>
  <c r="AG1022" i="10"/>
  <c r="AG1024" i="10"/>
  <c r="AG1027" i="10"/>
  <c r="AG996" i="10"/>
  <c r="AG1081" i="10"/>
  <c r="AG1076" i="10"/>
  <c r="AG1059" i="10"/>
  <c r="AG1030" i="10"/>
  <c r="AG998" i="10"/>
  <c r="AG994" i="10"/>
  <c r="AG1061" i="10"/>
  <c r="AG1062" i="10"/>
  <c r="AG1031" i="10"/>
  <c r="AG1002" i="10"/>
  <c r="AG1015" i="10"/>
  <c r="AG1016" i="10"/>
  <c r="AG1070" i="10"/>
  <c r="AG1063" i="10"/>
  <c r="AG991" i="10"/>
  <c r="AG1012" i="10"/>
  <c r="AG1057" i="10"/>
  <c r="AG1034" i="10"/>
  <c r="AG1048" i="10"/>
  <c r="AG1043" i="10"/>
  <c r="AG1049" i="10"/>
  <c r="AJ1049" i="32" s="1"/>
  <c r="AG1017" i="10"/>
  <c r="AG1005" i="10"/>
  <c r="AG1023" i="10"/>
  <c r="AG995" i="10"/>
  <c r="AG1007" i="10"/>
  <c r="AG1084" i="10"/>
  <c r="AG1041" i="10"/>
  <c r="AG1029" i="10"/>
  <c r="AG1066" i="10"/>
  <c r="AG1068" i="10"/>
  <c r="AG1044" i="10"/>
  <c r="AG1054" i="10"/>
  <c r="AG1071" i="10"/>
  <c r="AG1067" i="10"/>
  <c r="AG1037" i="10"/>
  <c r="AG1038" i="10"/>
  <c r="AG1078" i="10"/>
  <c r="AG1026" i="10"/>
  <c r="AG1014" i="10"/>
  <c r="AG1056" i="10"/>
  <c r="AG1042" i="10"/>
  <c r="AG1009" i="10"/>
  <c r="AG1010" i="10"/>
  <c r="AG1004" i="10"/>
  <c r="AG1003" i="10"/>
  <c r="AG1018" i="10"/>
  <c r="AG999" i="10"/>
  <c r="AG1039" i="10"/>
  <c r="AG1064" i="10"/>
  <c r="AG1013" i="10"/>
  <c r="AG1079" i="10"/>
  <c r="AG1011" i="10"/>
  <c r="AG992" i="10"/>
  <c r="AG1035" i="10"/>
  <c r="AG1036" i="10"/>
  <c r="AG1051" i="10"/>
  <c r="AG1050" i="10"/>
  <c r="AG1047" i="10"/>
  <c r="AG1053" i="10"/>
  <c r="AG1046" i="10"/>
  <c r="AG1028" i="10"/>
  <c r="AG1069" i="10"/>
  <c r="AG1075" i="10"/>
  <c r="AG1006" i="10"/>
  <c r="AG1021" i="10"/>
  <c r="AG1052" i="10"/>
  <c r="AG1083" i="10"/>
  <c r="AG1072" i="10"/>
  <c r="AG1065" i="10"/>
  <c r="AG1058" i="10"/>
  <c r="AG1000" i="10"/>
  <c r="AG993" i="10"/>
  <c r="AG1082" i="10"/>
  <c r="AG1080" i="10"/>
  <c r="AG1020" i="10"/>
  <c r="AG1019" i="10"/>
  <c r="AG1008" i="10"/>
  <c r="AG1077" i="10"/>
  <c r="AG1060" i="10"/>
  <c r="AG1045" i="10"/>
  <c r="AH990" i="10"/>
  <c r="AH989" i="10"/>
  <c r="AH988" i="10"/>
  <c r="AH1055" i="10"/>
  <c r="AH1018" i="10"/>
  <c r="AH1012" i="10"/>
  <c r="AH1039" i="10"/>
  <c r="AH1070" i="10"/>
  <c r="AH1069" i="10"/>
  <c r="AH1002" i="10"/>
  <c r="AH996" i="10"/>
  <c r="AH1028" i="10"/>
  <c r="AH1021" i="10"/>
  <c r="AH1054" i="10"/>
  <c r="AH1053" i="10"/>
  <c r="AH1050" i="10"/>
  <c r="AH1077" i="10"/>
  <c r="AH1076" i="10"/>
  <c r="AH1005" i="10"/>
  <c r="AH1038" i="10"/>
  <c r="AH1037" i="10"/>
  <c r="AH1044" i="10"/>
  <c r="AH1061" i="10"/>
  <c r="AH1060" i="10"/>
  <c r="AH1057" i="10"/>
  <c r="AH1072" i="10"/>
  <c r="AH1020" i="10"/>
  <c r="AH1026" i="10"/>
  <c r="AH1019" i="10"/>
  <c r="AH1081" i="10"/>
  <c r="AH1045" i="10"/>
  <c r="AH1010" i="10"/>
  <c r="AH1041" i="10"/>
  <c r="AH1056" i="10"/>
  <c r="AH1004" i="10"/>
  <c r="AH1003" i="10"/>
  <c r="AH1065" i="10"/>
  <c r="AH1027" i="10"/>
  <c r="AH1075" i="10"/>
  <c r="AH1023" i="10"/>
  <c r="AH1024" i="10"/>
  <c r="AH1049" i="10"/>
  <c r="AH1011" i="10"/>
  <c r="AH1059" i="10"/>
  <c r="AH1007" i="10"/>
  <c r="AH994" i="10"/>
  <c r="AH1022" i="10"/>
  <c r="AH1083" i="10"/>
  <c r="AH1031" i="10"/>
  <c r="AH1079" i="10"/>
  <c r="AH1066" i="10"/>
  <c r="AH995" i="10"/>
  <c r="AH1043" i="10"/>
  <c r="AH991" i="10"/>
  <c r="AH1006" i="10"/>
  <c r="AH1058" i="10"/>
  <c r="AH1042" i="10"/>
  <c r="AH1067" i="10"/>
  <c r="AH1015" i="10"/>
  <c r="AH1063" i="10"/>
  <c r="AH1016" i="10"/>
  <c r="AH1030" i="10"/>
  <c r="AH1025" i="10"/>
  <c r="AH992" i="10"/>
  <c r="AH1051" i="10"/>
  <c r="AH1082" i="10"/>
  <c r="AH999" i="10"/>
  <c r="AH1047" i="10"/>
  <c r="AH1036" i="10"/>
  <c r="AH1009" i="10"/>
  <c r="AH1035" i="10"/>
  <c r="AH1000" i="10"/>
  <c r="AH1080" i="10"/>
  <c r="AH1029" i="10"/>
  <c r="AH993" i="10"/>
  <c r="AH1008" i="10"/>
  <c r="AH1017" i="10"/>
  <c r="AH1064" i="10"/>
  <c r="AH1013" i="10"/>
  <c r="AH1084" i="10"/>
  <c r="AH1048" i="10"/>
  <c r="AH1078" i="10"/>
  <c r="AH1068" i="10"/>
  <c r="AH1062" i="10"/>
  <c r="AH1071" i="10"/>
  <c r="AH1052" i="10"/>
  <c r="AH1014" i="10"/>
  <c r="AH1046" i="10"/>
  <c r="AH1034" i="10"/>
  <c r="AH998" i="10"/>
  <c r="AH987" i="10"/>
  <c r="AH986" i="10"/>
  <c r="AG990" i="10"/>
  <c r="AG989" i="10"/>
  <c r="AH985" i="10"/>
  <c r="AG988" i="10"/>
  <c r="AH984" i="10"/>
  <c r="AG987" i="10"/>
  <c r="AL761" i="10"/>
  <c r="AQ761" i="10" s="1"/>
  <c r="AP760" i="10"/>
  <c r="AL760" i="10"/>
  <c r="V793" i="11"/>
  <c r="V794" i="11"/>
  <c r="V795" i="11"/>
  <c r="V796" i="11"/>
  <c r="V797" i="11"/>
  <c r="V798" i="11"/>
  <c r="V799" i="11"/>
  <c r="V800" i="11"/>
  <c r="V801" i="11"/>
  <c r="V802" i="11"/>
  <c r="V803" i="11"/>
  <c r="V804" i="11"/>
  <c r="V805" i="11"/>
  <c r="V806" i="11"/>
  <c r="V807" i="11"/>
  <c r="V808" i="11"/>
  <c r="V809" i="11"/>
  <c r="V810" i="11"/>
  <c r="V811" i="11"/>
  <c r="V812" i="11"/>
  <c r="V813" i="11"/>
  <c r="V814" i="11"/>
  <c r="V815" i="11"/>
  <c r="V816" i="11"/>
  <c r="V817" i="11"/>
  <c r="V818" i="11"/>
  <c r="V819" i="11"/>
  <c r="V820" i="11"/>
  <c r="V821" i="11"/>
  <c r="V822" i="11"/>
  <c r="V823" i="11"/>
  <c r="V824" i="11"/>
  <c r="V825" i="11"/>
  <c r="V826" i="11"/>
  <c r="V827" i="11"/>
  <c r="V828" i="11"/>
  <c r="V829" i="11"/>
  <c r="V830" i="11"/>
  <c r="V831" i="11"/>
  <c r="V832" i="11"/>
  <c r="V833" i="11"/>
  <c r="V834" i="11"/>
  <c r="V835" i="11"/>
  <c r="V836" i="11"/>
  <c r="V837" i="11"/>
  <c r="V838" i="11"/>
  <c r="V839" i="11"/>
  <c r="V842" i="11"/>
  <c r="V843" i="11"/>
  <c r="V844" i="11"/>
  <c r="V845" i="11"/>
  <c r="V846" i="11"/>
  <c r="V847" i="11"/>
  <c r="V848" i="11"/>
  <c r="V849" i="11"/>
  <c r="V850" i="11"/>
  <c r="V851" i="11"/>
  <c r="V852" i="11"/>
  <c r="V853" i="11"/>
  <c r="V854" i="11"/>
  <c r="V855" i="11"/>
  <c r="V856" i="11"/>
  <c r="V857" i="11"/>
  <c r="V858" i="11"/>
  <c r="V859" i="11"/>
  <c r="V864" i="11"/>
  <c r="V865" i="11"/>
  <c r="V866" i="11"/>
  <c r="V867" i="11"/>
  <c r="V868" i="11"/>
  <c r="V869" i="11"/>
  <c r="V870" i="11"/>
  <c r="V871" i="11"/>
  <c r="V872" i="11"/>
  <c r="V873" i="11"/>
  <c r="V874" i="11"/>
  <c r="V875" i="11"/>
  <c r="V876" i="11"/>
  <c r="V877" i="11"/>
  <c r="V878" i="11"/>
  <c r="V879" i="11"/>
  <c r="V880" i="11"/>
  <c r="V881" i="11"/>
  <c r="V882" i="11"/>
  <c r="V883" i="11"/>
  <c r="V884" i="11"/>
  <c r="V885" i="11"/>
  <c r="V886" i="11"/>
  <c r="V887" i="11"/>
  <c r="V888" i="11"/>
  <c r="V889" i="11"/>
  <c r="V890" i="11"/>
  <c r="V891" i="11"/>
  <c r="V892" i="11"/>
  <c r="V893" i="11"/>
  <c r="V894" i="11"/>
  <c r="V895" i="11"/>
  <c r="V896" i="11"/>
  <c r="V897" i="11"/>
  <c r="V898" i="11"/>
  <c r="V899" i="11"/>
  <c r="V900" i="11"/>
  <c r="V901" i="11"/>
  <c r="V902" i="11"/>
  <c r="V903" i="11"/>
  <c r="V904" i="11"/>
  <c r="V905" i="11"/>
  <c r="V906" i="11"/>
  <c r="V907" i="11"/>
  <c r="V908" i="11"/>
  <c r="V909" i="11"/>
  <c r="V910" i="11"/>
  <c r="V911" i="11"/>
  <c r="V914" i="11"/>
  <c r="V915" i="11"/>
  <c r="V916" i="11"/>
  <c r="V917" i="11"/>
  <c r="V918" i="11"/>
  <c r="V919" i="11"/>
  <c r="V920" i="11"/>
  <c r="V921" i="11"/>
  <c r="V922" i="11"/>
  <c r="V923" i="11"/>
  <c r="V924" i="11"/>
  <c r="V925" i="11"/>
  <c r="V926" i="11"/>
  <c r="V927" i="11"/>
  <c r="V928" i="11"/>
  <c r="V929" i="11"/>
  <c r="V930" i="11"/>
  <c r="V931" i="11"/>
  <c r="V936" i="11"/>
  <c r="V937" i="11"/>
  <c r="V938" i="11"/>
  <c r="V939" i="11"/>
  <c r="V940" i="11"/>
  <c r="V941" i="11"/>
  <c r="V942" i="11"/>
  <c r="V943" i="11"/>
  <c r="V944" i="11"/>
  <c r="V945" i="11"/>
  <c r="V946" i="11"/>
  <c r="V947" i="11"/>
  <c r="V948" i="11"/>
  <c r="V949" i="11"/>
  <c r="V950" i="11"/>
  <c r="V951" i="11"/>
  <c r="V952" i="11"/>
  <c r="V953" i="11"/>
  <c r="V954" i="11"/>
  <c r="V955" i="11"/>
  <c r="V956" i="11"/>
  <c r="V957" i="11"/>
  <c r="V960" i="11"/>
  <c r="V961" i="11"/>
  <c r="V962" i="11"/>
  <c r="V963" i="11"/>
  <c r="V964" i="11"/>
  <c r="V965" i="11"/>
  <c r="V966" i="11"/>
  <c r="V967" i="11"/>
  <c r="V968" i="11"/>
  <c r="V969" i="11"/>
  <c r="V970" i="11"/>
  <c r="V971" i="11"/>
  <c r="V972" i="11"/>
  <c r="V973" i="11"/>
  <c r="V974" i="11"/>
  <c r="V975" i="11"/>
  <c r="V976" i="11"/>
  <c r="V977" i="11"/>
  <c r="V978" i="11"/>
  <c r="V979" i="11"/>
  <c r="V980" i="11"/>
  <c r="V981" i="11"/>
  <c r="V792" i="11"/>
  <c r="AN1235" i="10" l="1"/>
  <c r="AN1239" i="10"/>
  <c r="U147" i="29"/>
  <c r="AM1238" i="32"/>
  <c r="U153" i="29"/>
  <c r="AI1049" i="32"/>
  <c r="AK1049" i="32"/>
  <c r="U145" i="29"/>
  <c r="U144" i="29"/>
  <c r="U158" i="24"/>
  <c r="AA158" i="12" s="1"/>
  <c r="U144" i="24"/>
  <c r="AA144" i="12" s="1"/>
  <c r="AJ1080" i="10"/>
  <c r="AJ1080" i="32"/>
  <c r="AJ1084" i="10"/>
  <c r="AP1084" i="32" s="1"/>
  <c r="AJ1084" i="32"/>
  <c r="AK1080" i="32"/>
  <c r="AI1080" i="32"/>
  <c r="AJ1082" i="10"/>
  <c r="AJ1082" i="32"/>
  <c r="AJ1076" i="10"/>
  <c r="AP1076" i="32" s="1"/>
  <c r="AJ1076" i="32"/>
  <c r="AJ1078" i="10"/>
  <c r="AJ1078" i="32"/>
  <c r="AJ1079" i="10"/>
  <c r="AJ1079" i="32"/>
  <c r="AI1077" i="32"/>
  <c r="AK1077" i="32"/>
  <c r="AK1084" i="32"/>
  <c r="AI1084" i="32"/>
  <c r="AK1083" i="32"/>
  <c r="AI1083" i="32"/>
  <c r="AJ1081" i="10"/>
  <c r="AJ1081" i="32"/>
  <c r="AJ1083" i="10"/>
  <c r="AP1083" i="32" s="1"/>
  <c r="AJ1083" i="32"/>
  <c r="AK1078" i="32"/>
  <c r="AI1078" i="32"/>
  <c r="AI1081" i="32"/>
  <c r="AK1081" i="32"/>
  <c r="AJ1077" i="10"/>
  <c r="AJ1077" i="32"/>
  <c r="AI1082" i="32"/>
  <c r="AK1082" i="32"/>
  <c r="AI1079" i="32"/>
  <c r="AK1079" i="32"/>
  <c r="AK1076" i="32"/>
  <c r="AI1076" i="32"/>
  <c r="AK1044" i="32"/>
  <c r="AI1044" i="32"/>
  <c r="AJ1022" i="10"/>
  <c r="AJ1022" i="32"/>
  <c r="AI984" i="32"/>
  <c r="AK984" i="32"/>
  <c r="AI999" i="32"/>
  <c r="AK999" i="32"/>
  <c r="AK995" i="32"/>
  <c r="AI995" i="32"/>
  <c r="AK1065" i="32"/>
  <c r="AI1065" i="32"/>
  <c r="AK1037" i="32"/>
  <c r="AI1037" i="32"/>
  <c r="AI1012" i="32"/>
  <c r="AK1012" i="32"/>
  <c r="AJ1058" i="10"/>
  <c r="AJ1058" i="32"/>
  <c r="AJ1036" i="10"/>
  <c r="AP1036" i="32" s="1"/>
  <c r="AJ1036" i="32"/>
  <c r="AJ1042" i="10"/>
  <c r="AJ1042" i="32"/>
  <c r="AJ1007" i="10"/>
  <c r="AJ1007" i="32"/>
  <c r="AJ1016" i="10"/>
  <c r="AJ1016" i="32"/>
  <c r="AJ1025" i="10"/>
  <c r="AJ1025" i="32"/>
  <c r="AJ988" i="10"/>
  <c r="AP988" i="32" s="1"/>
  <c r="AJ988" i="32"/>
  <c r="AK1048" i="32"/>
  <c r="AI1048" i="32"/>
  <c r="AK1066" i="32"/>
  <c r="AI1066" i="32"/>
  <c r="AK1003" i="32"/>
  <c r="AI1003" i="32"/>
  <c r="AI1038" i="32"/>
  <c r="AK1038" i="32"/>
  <c r="AI1018" i="32"/>
  <c r="AK1018" i="32"/>
  <c r="AJ1065" i="10"/>
  <c r="AJ1065" i="32"/>
  <c r="AJ1035" i="10"/>
  <c r="AP1035" i="32" s="1"/>
  <c r="AJ1035" i="32"/>
  <c r="AJ1056" i="10"/>
  <c r="AJ1056" i="32"/>
  <c r="AJ995" i="10"/>
  <c r="AJ995" i="32"/>
  <c r="AJ1015" i="10"/>
  <c r="AJ1015" i="32"/>
  <c r="AJ1055" i="10"/>
  <c r="AJ1055" i="32"/>
  <c r="AK1068" i="32"/>
  <c r="AI1068" i="32"/>
  <c r="AJ1041" i="10"/>
  <c r="AJ1041" i="32"/>
  <c r="AJ1051" i="10"/>
  <c r="AK985" i="32"/>
  <c r="AI985" i="32"/>
  <c r="AJ1014" i="10"/>
  <c r="AJ1014" i="32"/>
  <c r="AJ1005" i="10"/>
  <c r="AJ1005" i="32"/>
  <c r="AI1010" i="32"/>
  <c r="AK1010" i="32"/>
  <c r="AJ1021" i="10"/>
  <c r="AJ1021" i="32"/>
  <c r="AK1007" i="32"/>
  <c r="AI1007" i="32"/>
  <c r="AJ1060" i="10"/>
  <c r="AP1060" i="32" s="1"/>
  <c r="AJ1060" i="32"/>
  <c r="AJ1006" i="10"/>
  <c r="AJ1006" i="32"/>
  <c r="AJ1067" i="10"/>
  <c r="AP1067" i="32" s="1"/>
  <c r="AJ1067" i="32"/>
  <c r="AJ1048" i="10"/>
  <c r="AJ1048" i="32"/>
  <c r="AJ998" i="10"/>
  <c r="AJ1050" i="10"/>
  <c r="AJ1050" i="32"/>
  <c r="Q147" i="29" s="1"/>
  <c r="AK1041" i="32"/>
  <c r="AI1041" i="32"/>
  <c r="AK1064" i="32"/>
  <c r="AI1064" i="32"/>
  <c r="AJ1013" i="10"/>
  <c r="AJ1013" i="32"/>
  <c r="AK1017" i="32"/>
  <c r="AI1017" i="32"/>
  <c r="AJ1043" i="10"/>
  <c r="AP1043" i="32" s="1"/>
  <c r="AJ1043" i="32"/>
  <c r="AK993" i="32"/>
  <c r="AI993" i="32"/>
  <c r="AJ1075" i="10"/>
  <c r="AJ1034" i="10"/>
  <c r="AJ1034" i="32"/>
  <c r="AJ1030" i="10"/>
  <c r="AJ1030" i="32"/>
  <c r="AJ986" i="10"/>
  <c r="AJ986" i="32"/>
  <c r="AJ1010" i="10"/>
  <c r="AJ1010" i="32"/>
  <c r="AJ1009" i="10"/>
  <c r="AJ1009" i="32"/>
  <c r="AJ1072" i="10"/>
  <c r="AJ1072" i="32"/>
  <c r="AK1013" i="32"/>
  <c r="AI1013" i="32"/>
  <c r="AJ1062" i="10"/>
  <c r="AJ1062" i="32"/>
  <c r="AJ1052" i="10"/>
  <c r="AP1052" i="32" s="1"/>
  <c r="AJ1052" i="32"/>
  <c r="AK1045" i="32"/>
  <c r="AI1045" i="32"/>
  <c r="AI1063" i="32"/>
  <c r="AK1063" i="32"/>
  <c r="AK1059" i="32"/>
  <c r="AI1059" i="32"/>
  <c r="AK1046" i="32"/>
  <c r="AI1046" i="32"/>
  <c r="AK1029" i="32"/>
  <c r="AI1029" i="32"/>
  <c r="AK1067" i="32"/>
  <c r="AI1067" i="32"/>
  <c r="AK1011" i="32"/>
  <c r="AI1011" i="32"/>
  <c r="AK1026" i="32"/>
  <c r="AI1026" i="32"/>
  <c r="AK1021" i="32"/>
  <c r="AI1021" i="32"/>
  <c r="AJ1008" i="10"/>
  <c r="AJ1008" i="32"/>
  <c r="AJ1069" i="10"/>
  <c r="AJ1069" i="32"/>
  <c r="AJ999" i="10"/>
  <c r="AJ999" i="32"/>
  <c r="AJ1054" i="10"/>
  <c r="AJ1054" i="32"/>
  <c r="AJ1059" i="10"/>
  <c r="AP1059" i="32" s="1"/>
  <c r="AJ1059" i="32"/>
  <c r="AK1061" i="32"/>
  <c r="AI1061" i="32"/>
  <c r="AK1039" i="32"/>
  <c r="AI1039" i="32"/>
  <c r="AJ1002" i="10"/>
  <c r="AJ1002" i="32"/>
  <c r="AJ1011" i="10"/>
  <c r="AJ1011" i="32"/>
  <c r="AK1022" i="32"/>
  <c r="AI1022" i="32"/>
  <c r="AK1050" i="32"/>
  <c r="AI1050" i="32"/>
  <c r="AK1054" i="32"/>
  <c r="AI1054" i="32"/>
  <c r="AI1020" i="32"/>
  <c r="AK1020" i="32"/>
  <c r="AJ1057" i="10"/>
  <c r="AJ1057" i="32"/>
  <c r="AK1047" i="32"/>
  <c r="AI1047" i="32"/>
  <c r="AK1027" i="32"/>
  <c r="AI1027" i="32"/>
  <c r="AI1004" i="32"/>
  <c r="AK1004" i="32"/>
  <c r="AJ992" i="10"/>
  <c r="AJ992" i="32"/>
  <c r="AJ984" i="10"/>
  <c r="AJ984" i="32"/>
  <c r="AI992" i="32"/>
  <c r="AK992" i="32"/>
  <c r="AK1056" i="32"/>
  <c r="AI1056" i="32"/>
  <c r="AJ1031" i="10"/>
  <c r="AJ1031" i="32"/>
  <c r="AK1025" i="32"/>
  <c r="AI1025" i="32"/>
  <c r="AI986" i="32"/>
  <c r="AK986" i="32"/>
  <c r="AJ1038" i="10"/>
  <c r="AJ1038" i="32"/>
  <c r="AI994" i="32"/>
  <c r="AK994" i="32"/>
  <c r="AJ1045" i="10"/>
  <c r="AJ1045" i="32"/>
  <c r="AJ994" i="10"/>
  <c r="AJ994" i="32"/>
  <c r="AI1053" i="32"/>
  <c r="AK1053" i="32"/>
  <c r="AJ1039" i="10"/>
  <c r="AJ1039" i="32"/>
  <c r="AK1042" i="32"/>
  <c r="AI1042" i="32"/>
  <c r="AK1028" i="32"/>
  <c r="AI1028" i="32"/>
  <c r="AJ1028" i="10"/>
  <c r="AP1028" i="32" s="1"/>
  <c r="AJ1028" i="32"/>
  <c r="AJ1044" i="10"/>
  <c r="AP1044" i="32" s="1"/>
  <c r="AJ1044" i="32"/>
  <c r="AK1052" i="32"/>
  <c r="AI1052" i="32"/>
  <c r="AK1000" i="32"/>
  <c r="AI1000" i="32"/>
  <c r="AK1058" i="32"/>
  <c r="AI1058" i="32"/>
  <c r="AK1024" i="32"/>
  <c r="AI1024" i="32"/>
  <c r="AK1072" i="32"/>
  <c r="AI1072" i="32"/>
  <c r="AJ1020" i="10"/>
  <c r="AP1020" i="32" s="1"/>
  <c r="AJ1020" i="32"/>
  <c r="AJ1046" i="10"/>
  <c r="AJ1046" i="32"/>
  <c r="AJ1003" i="10"/>
  <c r="AJ1003" i="32"/>
  <c r="AJ1068" i="10"/>
  <c r="AP1068" i="32" s="1"/>
  <c r="AJ1068" i="32"/>
  <c r="AJ1012" i="10"/>
  <c r="AP1012" i="32" s="1"/>
  <c r="AJ1012" i="32"/>
  <c r="AK1036" i="32"/>
  <c r="AI1036" i="32"/>
  <c r="AK1070" i="32"/>
  <c r="AI1070" i="32"/>
  <c r="AJ1024" i="10"/>
  <c r="AJ1024" i="32"/>
  <c r="AJ987" i="10"/>
  <c r="AJ987" i="32"/>
  <c r="AK1043" i="32"/>
  <c r="AI1043" i="32"/>
  <c r="AJ1000" i="10"/>
  <c r="AJ1000" i="32"/>
  <c r="AK1055" i="32"/>
  <c r="AI1055" i="32"/>
  <c r="AJ1023" i="10"/>
  <c r="AJ1023" i="32"/>
  <c r="AJ989" i="10"/>
  <c r="AJ989" i="32"/>
  <c r="AK1031" i="32"/>
  <c r="AI1031" i="32"/>
  <c r="AI988" i="32"/>
  <c r="AK988" i="32"/>
  <c r="AJ985" i="10"/>
  <c r="AJ985" i="32"/>
  <c r="AJ990" i="10"/>
  <c r="AJ990" i="32"/>
  <c r="AK989" i="32"/>
  <c r="AI989" i="32"/>
  <c r="AJ1017" i="10"/>
  <c r="AJ1017" i="32"/>
  <c r="AK1030" i="32"/>
  <c r="AI1030" i="32"/>
  <c r="AI990" i="32"/>
  <c r="AK990" i="32"/>
  <c r="AJ1061" i="10"/>
  <c r="AJ1061" i="32"/>
  <c r="AI1016" i="32"/>
  <c r="AK1016" i="32"/>
  <c r="AJ1037" i="10"/>
  <c r="AJ1037" i="32"/>
  <c r="AK1034" i="32"/>
  <c r="AI1034" i="32"/>
  <c r="AK1015" i="32"/>
  <c r="AI1015" i="32"/>
  <c r="AK1019" i="32"/>
  <c r="AI1019" i="32"/>
  <c r="AJ1071" i="10"/>
  <c r="AJ1071" i="32"/>
  <c r="AI1014" i="32"/>
  <c r="AK1014" i="32"/>
  <c r="AJ1019" i="10"/>
  <c r="AJ1019" i="32"/>
  <c r="AJ1018" i="10"/>
  <c r="AJ1018" i="32"/>
  <c r="AK1071" i="32"/>
  <c r="AI1071" i="32"/>
  <c r="AK1035" i="32"/>
  <c r="AI1035" i="32"/>
  <c r="AI1006" i="32"/>
  <c r="AK1006" i="32"/>
  <c r="AK1057" i="32"/>
  <c r="AI1057" i="32"/>
  <c r="AI1002" i="32"/>
  <c r="AK1002" i="32"/>
  <c r="AJ1053" i="10"/>
  <c r="AJ1053" i="32"/>
  <c r="AJ1004" i="10"/>
  <c r="AP1004" i="32" s="1"/>
  <c r="AJ1004" i="32"/>
  <c r="AJ1066" i="10"/>
  <c r="AJ1066" i="32"/>
  <c r="AJ991" i="10"/>
  <c r="AJ991" i="32"/>
  <c r="AJ996" i="10"/>
  <c r="AJ993" i="10"/>
  <c r="AJ993" i="32"/>
  <c r="AJ1070" i="10"/>
  <c r="AJ1070" i="32"/>
  <c r="AK1005" i="32"/>
  <c r="AI1005" i="32"/>
  <c r="AJ1026" i="10"/>
  <c r="AJ1026" i="32"/>
  <c r="AJ1049" i="10"/>
  <c r="AP1049" i="32" s="1"/>
  <c r="AK987" i="32"/>
  <c r="AI987" i="32"/>
  <c r="AJ1064" i="10"/>
  <c r="AJ1064" i="32"/>
  <c r="AI1008" i="32"/>
  <c r="AK1008" i="32"/>
  <c r="AK1062" i="32"/>
  <c r="AI1062" i="32"/>
  <c r="AK1009" i="32"/>
  <c r="AI1009" i="32"/>
  <c r="AK991" i="32"/>
  <c r="AI991" i="32"/>
  <c r="AK1023" i="32"/>
  <c r="AI1023" i="32"/>
  <c r="AK1060" i="32"/>
  <c r="AI1060" i="32"/>
  <c r="AK1069" i="32"/>
  <c r="AI1069" i="32"/>
  <c r="AJ1047" i="10"/>
  <c r="AJ1047" i="32"/>
  <c r="AJ1029" i="10"/>
  <c r="AJ1029" i="32"/>
  <c r="AJ1063" i="10"/>
  <c r="AJ1063" i="32"/>
  <c r="AJ1027" i="10"/>
  <c r="AP1027" i="32" s="1"/>
  <c r="AJ1027" i="32"/>
  <c r="AI987" i="10"/>
  <c r="AK987" i="10"/>
  <c r="AI1067" i="10"/>
  <c r="AK1067" i="10"/>
  <c r="AI1049" i="10"/>
  <c r="AK1049" i="10"/>
  <c r="AL1049" i="32" s="1"/>
  <c r="AI1020" i="10"/>
  <c r="AK1020" i="10"/>
  <c r="AI1028" i="10"/>
  <c r="AK1028" i="10"/>
  <c r="AK1007" i="10"/>
  <c r="AI1007" i="10"/>
  <c r="AI1052" i="10"/>
  <c r="AK1052" i="10"/>
  <c r="AI1000" i="10"/>
  <c r="AK1000" i="10"/>
  <c r="AI1058" i="10"/>
  <c r="AK1058" i="10"/>
  <c r="AI1024" i="10"/>
  <c r="AK1024" i="10"/>
  <c r="AK1072" i="10"/>
  <c r="AI1072" i="10"/>
  <c r="AI996" i="10"/>
  <c r="AK996" i="10"/>
  <c r="AI994" i="10"/>
  <c r="AK994" i="10"/>
  <c r="AI1071" i="10"/>
  <c r="AK1071" i="10"/>
  <c r="AI1035" i="10"/>
  <c r="AK1035" i="10"/>
  <c r="AI1006" i="10"/>
  <c r="AK1006" i="10"/>
  <c r="AI1057" i="10"/>
  <c r="AK1057" i="10"/>
  <c r="AI1002" i="10"/>
  <c r="AK1002" i="10"/>
  <c r="AI1081" i="10"/>
  <c r="AK1081" i="10"/>
  <c r="AI1046" i="10"/>
  <c r="AK1046" i="10"/>
  <c r="AI1021" i="10"/>
  <c r="AK1021" i="10"/>
  <c r="AI1062" i="10"/>
  <c r="AK1062" i="10"/>
  <c r="AI1009" i="10"/>
  <c r="AK1009" i="10"/>
  <c r="AI991" i="10"/>
  <c r="AK991" i="10"/>
  <c r="AI1023" i="10"/>
  <c r="AK1023" i="10"/>
  <c r="AI1060" i="10"/>
  <c r="AK1060" i="10"/>
  <c r="AI1069" i="10"/>
  <c r="AK1069" i="10"/>
  <c r="AI1017" i="10"/>
  <c r="AK1017" i="10"/>
  <c r="AK1050" i="10"/>
  <c r="AI1050" i="10"/>
  <c r="AI1015" i="10"/>
  <c r="AK1015" i="10"/>
  <c r="AI1019" i="10"/>
  <c r="AK1019" i="10"/>
  <c r="AI984" i="10"/>
  <c r="AK984" i="10"/>
  <c r="AK1068" i="10"/>
  <c r="AI1068" i="10"/>
  <c r="AK1036" i="10"/>
  <c r="AI1036" i="10"/>
  <c r="AI1075" i="10"/>
  <c r="AK1075" i="10"/>
  <c r="AI1061" i="10"/>
  <c r="AK1061" i="10"/>
  <c r="AK1070" i="10"/>
  <c r="AI1070" i="10"/>
  <c r="AK1016" i="10"/>
  <c r="AI1016" i="10"/>
  <c r="AK1059" i="10"/>
  <c r="AI1059" i="10"/>
  <c r="AI1078" i="10"/>
  <c r="AK1078" i="10"/>
  <c r="AI1047" i="10"/>
  <c r="AK1047" i="10"/>
  <c r="AK1043" i="10"/>
  <c r="AI1043" i="10"/>
  <c r="AK1027" i="10"/>
  <c r="AI1027" i="10"/>
  <c r="AI1044" i="10"/>
  <c r="AK1044" i="10"/>
  <c r="AI1039" i="10"/>
  <c r="AK1039" i="10"/>
  <c r="AI998" i="10"/>
  <c r="AK998" i="10"/>
  <c r="AI1053" i="10"/>
  <c r="AK1053" i="10"/>
  <c r="AI985" i="10"/>
  <c r="AK985" i="10"/>
  <c r="AI999" i="10"/>
  <c r="AK999" i="10"/>
  <c r="AK995" i="10"/>
  <c r="AI995" i="10"/>
  <c r="AI1065" i="10"/>
  <c r="AK1065" i="10"/>
  <c r="AI1037" i="10"/>
  <c r="AK1037" i="10"/>
  <c r="AI1012" i="10"/>
  <c r="AK1012" i="10"/>
  <c r="AI993" i="10"/>
  <c r="AK993" i="10"/>
  <c r="AI1054" i="10"/>
  <c r="AK1054" i="10"/>
  <c r="AI1048" i="10"/>
  <c r="AK1048" i="10"/>
  <c r="AI1082" i="10"/>
  <c r="AK1082" i="10"/>
  <c r="AI1066" i="10"/>
  <c r="AK1066" i="10"/>
  <c r="AI1003" i="10"/>
  <c r="AK1003" i="10"/>
  <c r="AI1038" i="10"/>
  <c r="AK1038" i="10"/>
  <c r="AI1018" i="10"/>
  <c r="AK1018" i="10"/>
  <c r="AP1084" i="10"/>
  <c r="AI1034" i="10"/>
  <c r="AK1034" i="10"/>
  <c r="AK1014" i="10"/>
  <c r="AI1014" i="10"/>
  <c r="AI1051" i="10"/>
  <c r="AK1051" i="10"/>
  <c r="AI1079" i="10"/>
  <c r="AK1079" i="10"/>
  <c r="AI1004" i="10"/>
  <c r="AK1004" i="10"/>
  <c r="AI1005" i="10"/>
  <c r="AK1005" i="10"/>
  <c r="AI1055" i="10"/>
  <c r="AK1055" i="10"/>
  <c r="AI1063" i="10"/>
  <c r="AK1063" i="10"/>
  <c r="AI1011" i="10"/>
  <c r="AK1011" i="10"/>
  <c r="AI1042" i="10"/>
  <c r="AK1042" i="10"/>
  <c r="AI1084" i="10"/>
  <c r="AK1084" i="10"/>
  <c r="AI992" i="10"/>
  <c r="AK992" i="10"/>
  <c r="AI1031" i="10"/>
  <c r="AK1031" i="10"/>
  <c r="AI1056" i="10"/>
  <c r="AK1056" i="10"/>
  <c r="AK988" i="10"/>
  <c r="AI988" i="10"/>
  <c r="AI1045" i="10"/>
  <c r="AK1045" i="10"/>
  <c r="AI1008" i="10"/>
  <c r="AK1008" i="10"/>
  <c r="AI1029" i="10"/>
  <c r="AK1029" i="10"/>
  <c r="AI1026" i="10"/>
  <c r="AK1026" i="10"/>
  <c r="AI1080" i="10"/>
  <c r="AK1080" i="10"/>
  <c r="AI1013" i="10"/>
  <c r="AK1013" i="10"/>
  <c r="AI1025" i="10"/>
  <c r="AK1025" i="10"/>
  <c r="AI1083" i="10"/>
  <c r="AK1083" i="10"/>
  <c r="AI1041" i="10"/>
  <c r="AK1041" i="10"/>
  <c r="AI1076" i="10"/>
  <c r="AK1076" i="10"/>
  <c r="AI989" i="10"/>
  <c r="AK989" i="10"/>
  <c r="AI986" i="10"/>
  <c r="AK986" i="10"/>
  <c r="AI1064" i="10"/>
  <c r="AK1064" i="10"/>
  <c r="AI1030" i="10"/>
  <c r="AK1030" i="10"/>
  <c r="AI1022" i="10"/>
  <c r="AK1022" i="10"/>
  <c r="AK1010" i="10"/>
  <c r="AI1010" i="10"/>
  <c r="AI1077" i="10"/>
  <c r="AK1077" i="10"/>
  <c r="AI990" i="10"/>
  <c r="AK990" i="10"/>
  <c r="AQ760" i="10"/>
  <c r="Q153" i="29" l="1"/>
  <c r="R153" i="29"/>
  <c r="R144" i="29"/>
  <c r="P153" i="29"/>
  <c r="R147" i="29"/>
  <c r="P147" i="29"/>
  <c r="AM1049" i="32"/>
  <c r="AO1049" i="32"/>
  <c r="P144" i="29"/>
  <c r="Q144" i="29"/>
  <c r="P145" i="29"/>
  <c r="R145" i="29"/>
  <c r="Q145" i="29"/>
  <c r="AP1036" i="10"/>
  <c r="AP1083" i="10"/>
  <c r="Q158" i="24"/>
  <c r="W158" i="12" s="1"/>
  <c r="Q144" i="24"/>
  <c r="W144" i="12" s="1"/>
  <c r="R158" i="24"/>
  <c r="X158" i="12" s="1"/>
  <c r="P144" i="24"/>
  <c r="V144" i="12" s="1"/>
  <c r="R144" i="24"/>
  <c r="X144" i="12" s="1"/>
  <c r="P158" i="24"/>
  <c r="V158" i="12" s="1"/>
  <c r="AP1076" i="10"/>
  <c r="AM1076" i="32"/>
  <c r="AO1076" i="32"/>
  <c r="AP1082" i="10"/>
  <c r="AP1082" i="32"/>
  <c r="W158" i="24" s="1"/>
  <c r="AC158" i="12" s="1"/>
  <c r="AL1080" i="10"/>
  <c r="AT1080" i="10" s="1"/>
  <c r="AL1080" i="32"/>
  <c r="AM1081" i="32"/>
  <c r="AO1081" i="32"/>
  <c r="AM1080" i="32"/>
  <c r="AO1080" i="32"/>
  <c r="AP1079" i="10"/>
  <c r="AP1079" i="32"/>
  <c r="AL1084" i="10"/>
  <c r="AT1084" i="10" s="1"/>
  <c r="AL1084" i="32"/>
  <c r="AP1078" i="10"/>
  <c r="AP1078" i="32"/>
  <c r="AL1077" i="10"/>
  <c r="AQ1077" i="10" s="1"/>
  <c r="AL1077" i="32"/>
  <c r="AM1077" i="32"/>
  <c r="AO1077" i="32"/>
  <c r="AP1081" i="10"/>
  <c r="AP1081" i="32"/>
  <c r="AM1079" i="32"/>
  <c r="AO1079" i="32"/>
  <c r="AM1078" i="32"/>
  <c r="AO1078" i="32"/>
  <c r="AL1083" i="10"/>
  <c r="AR1083" i="10" s="1"/>
  <c r="AL1083" i="32"/>
  <c r="AL1081" i="10"/>
  <c r="AT1081" i="10" s="1"/>
  <c r="AL1081" i="32"/>
  <c r="AL1082" i="10"/>
  <c r="AL1082" i="32"/>
  <c r="AM1082" i="32"/>
  <c r="AO1082" i="32"/>
  <c r="AM1083" i="32"/>
  <c r="AO1083" i="32"/>
  <c r="AP1077" i="10"/>
  <c r="AP1077" i="32"/>
  <c r="AM1084" i="32"/>
  <c r="AO1084" i="32"/>
  <c r="AL1079" i="10"/>
  <c r="AL1079" i="32"/>
  <c r="AL1078" i="10"/>
  <c r="AR1078" i="10" s="1"/>
  <c r="AL1078" i="32"/>
  <c r="AL1076" i="10"/>
  <c r="AL1076" i="32"/>
  <c r="AP1080" i="10"/>
  <c r="AP1080" i="32"/>
  <c r="AP1012" i="10"/>
  <c r="AP1068" i="10"/>
  <c r="AL1035" i="32"/>
  <c r="AP1035" i="10"/>
  <c r="AL1027" i="10"/>
  <c r="AU1027" i="32" s="1"/>
  <c r="AP1052" i="10"/>
  <c r="AP1020" i="10"/>
  <c r="AL1043" i="32"/>
  <c r="AP1043" i="10"/>
  <c r="AP1027" i="10"/>
  <c r="AP1067" i="10"/>
  <c r="AP996" i="10"/>
  <c r="AL1056" i="10"/>
  <c r="AR1056" i="10" s="1"/>
  <c r="AL1056" i="32"/>
  <c r="AM1067" i="32"/>
  <c r="AO1067" i="32"/>
  <c r="AP1031" i="10"/>
  <c r="AP1031" i="32"/>
  <c r="AL986" i="10"/>
  <c r="AQ986" i="10" s="1"/>
  <c r="AL986" i="32"/>
  <c r="AL1031" i="10"/>
  <c r="AR1031" i="10" s="1"/>
  <c r="AL1031" i="32"/>
  <c r="AM1054" i="32"/>
  <c r="AO1054" i="32"/>
  <c r="AM1047" i="32"/>
  <c r="AO1047" i="32"/>
  <c r="AM1006" i="32"/>
  <c r="AO1006" i="32"/>
  <c r="AL987" i="10"/>
  <c r="AR987" i="10" s="1"/>
  <c r="AL987" i="32"/>
  <c r="AP1019" i="10"/>
  <c r="AP1019" i="32"/>
  <c r="AM986" i="32"/>
  <c r="AO986" i="32"/>
  <c r="AM1026" i="32"/>
  <c r="AO1026" i="32"/>
  <c r="AL1004" i="10"/>
  <c r="AQ1004" i="10" s="1"/>
  <c r="AL1004" i="32"/>
  <c r="AL993" i="10"/>
  <c r="AQ993" i="10" s="1"/>
  <c r="AL993" i="32"/>
  <c r="AM987" i="32"/>
  <c r="AO987" i="32"/>
  <c r="AP987" i="10"/>
  <c r="AP987" i="32"/>
  <c r="AP1046" i="10"/>
  <c r="AP1046" i="32"/>
  <c r="AP1048" i="10"/>
  <c r="AP1048" i="32"/>
  <c r="AP1056" i="10"/>
  <c r="AP1056" i="32"/>
  <c r="AL989" i="10"/>
  <c r="AQ989" i="10" s="1"/>
  <c r="AL989" i="32"/>
  <c r="AL1029" i="10"/>
  <c r="AQ1029" i="10" s="1"/>
  <c r="AL1029" i="32"/>
  <c r="AL992" i="10"/>
  <c r="AV992" i="10" s="1"/>
  <c r="AL992" i="32"/>
  <c r="AM1004" i="32"/>
  <c r="AO1004" i="32"/>
  <c r="AP1051" i="10"/>
  <c r="AM993" i="32"/>
  <c r="AO993" i="32"/>
  <c r="AM1053" i="32"/>
  <c r="AO1053" i="32"/>
  <c r="AM1036" i="32"/>
  <c r="AO1036" i="32"/>
  <c r="AL1046" i="10"/>
  <c r="AT1046" i="10" s="1"/>
  <c r="AL1046" i="32"/>
  <c r="AM1035" i="32"/>
  <c r="AO1035" i="32"/>
  <c r="AL1052" i="10"/>
  <c r="AQ1052" i="10" s="1"/>
  <c r="AL1052" i="32"/>
  <c r="AP1053" i="10"/>
  <c r="AP1053" i="32"/>
  <c r="AP1061" i="10"/>
  <c r="AP1061" i="32"/>
  <c r="AP994" i="10"/>
  <c r="AP994" i="32"/>
  <c r="AP1054" i="10"/>
  <c r="AP1054" i="32"/>
  <c r="AP1072" i="10"/>
  <c r="AP1072" i="32"/>
  <c r="AP1066" i="10"/>
  <c r="AP1066" i="32"/>
  <c r="AL985" i="10"/>
  <c r="AR985" i="10" s="1"/>
  <c r="AL985" i="32"/>
  <c r="AL1026" i="10"/>
  <c r="AR1026" i="10" s="1"/>
  <c r="AL1026" i="32"/>
  <c r="AM1005" i="32"/>
  <c r="AO1005" i="32"/>
  <c r="AM985" i="32"/>
  <c r="AO985" i="32"/>
  <c r="AM1017" i="32"/>
  <c r="AO1017" i="32"/>
  <c r="AL1021" i="10"/>
  <c r="AR1021" i="10" s="1"/>
  <c r="AL1021" i="32"/>
  <c r="AL1000" i="10"/>
  <c r="AS1000" i="10" s="1"/>
  <c r="AL1000" i="32"/>
  <c r="AM1031" i="32"/>
  <c r="AO1031" i="32"/>
  <c r="AL1053" i="10"/>
  <c r="AV1053" i="10" s="1"/>
  <c r="AL1053" i="32"/>
  <c r="AM1021" i="32"/>
  <c r="AO1021" i="32"/>
  <c r="AM1000" i="32"/>
  <c r="AO1000" i="32"/>
  <c r="AP1014" i="10"/>
  <c r="AP1014" i="32"/>
  <c r="AM989" i="32"/>
  <c r="AO989" i="32"/>
  <c r="AM1029" i="32"/>
  <c r="AO1029" i="32"/>
  <c r="AM992" i="32"/>
  <c r="AO992" i="32"/>
  <c r="AL1018" i="10"/>
  <c r="AQ1018" i="10" s="1"/>
  <c r="AL1018" i="32"/>
  <c r="AL1012" i="10"/>
  <c r="AR1012" i="10" s="1"/>
  <c r="AL1012" i="32"/>
  <c r="AL998" i="10"/>
  <c r="AV998" i="10" s="1"/>
  <c r="AP988" i="10"/>
  <c r="AL1036" i="10"/>
  <c r="AR1036" i="10" s="1"/>
  <c r="AL1036" i="32"/>
  <c r="AM1046" i="32"/>
  <c r="AO1046" i="32"/>
  <c r="AL1071" i="10"/>
  <c r="AQ1071" i="10" s="1"/>
  <c r="AL1071" i="32"/>
  <c r="AM1052" i="32"/>
  <c r="AO1052" i="32"/>
  <c r="AP1024" i="10"/>
  <c r="AP1024" i="32"/>
  <c r="AP1025" i="10"/>
  <c r="AP1025" i="32"/>
  <c r="AL1034" i="10"/>
  <c r="AS1034" i="10" s="1"/>
  <c r="AL1034" i="32"/>
  <c r="AL1062" i="10"/>
  <c r="AS1062" i="10" s="1"/>
  <c r="AL1062" i="32"/>
  <c r="AP1037" i="10"/>
  <c r="AP1037" i="32"/>
  <c r="AL1054" i="10"/>
  <c r="AQ1054" i="10" s="1"/>
  <c r="AL1054" i="32"/>
  <c r="AL1006" i="10"/>
  <c r="AQ1006" i="10" s="1"/>
  <c r="AL1006" i="32"/>
  <c r="AM1012" i="32"/>
  <c r="AO1012" i="32"/>
  <c r="AM1068" i="32"/>
  <c r="AO1068" i="32"/>
  <c r="AP989" i="10"/>
  <c r="AP989" i="32"/>
  <c r="AL1038" i="10"/>
  <c r="AT1038" i="10" s="1"/>
  <c r="AL1038" i="32"/>
  <c r="AL994" i="10"/>
  <c r="AU994" i="10" s="1"/>
  <c r="AL994" i="32"/>
  <c r="AM1016" i="32"/>
  <c r="AO1016" i="32"/>
  <c r="AP1070" i="10"/>
  <c r="AP1070" i="32"/>
  <c r="AP992" i="10"/>
  <c r="AP992" i="32"/>
  <c r="AL1003" i="10"/>
  <c r="AQ1003" i="10" s="1"/>
  <c r="AL1003" i="32"/>
  <c r="AM984" i="32"/>
  <c r="AO984" i="32"/>
  <c r="AP1007" i="10"/>
  <c r="AP1007" i="32"/>
  <c r="AM1010" i="32"/>
  <c r="AO1010" i="32"/>
  <c r="AL1011" i="10"/>
  <c r="AT1011" i="10" s="1"/>
  <c r="AL1011" i="32"/>
  <c r="AM1003" i="32"/>
  <c r="AO1003" i="32"/>
  <c r="AM1065" i="32"/>
  <c r="AO1065" i="32"/>
  <c r="AM1039" i="32"/>
  <c r="AO1039" i="32"/>
  <c r="AL1023" i="10"/>
  <c r="AR1023" i="10" s="1"/>
  <c r="AL1023" i="32"/>
  <c r="AP1028" i="10"/>
  <c r="AL996" i="10"/>
  <c r="AT996" i="10" s="1"/>
  <c r="AM1028" i="32"/>
  <c r="AO1028" i="32"/>
  <c r="AP993" i="10"/>
  <c r="AP993" i="32"/>
  <c r="AP1017" i="10"/>
  <c r="AP1017" i="32"/>
  <c r="AP1038" i="10"/>
  <c r="AP1038" i="32"/>
  <c r="AP1011" i="10"/>
  <c r="AP1011" i="32"/>
  <c r="AP1008" i="10"/>
  <c r="AP1008" i="32"/>
  <c r="AP986" i="10"/>
  <c r="AP986" i="32"/>
  <c r="AP1057" i="10"/>
  <c r="AP1057" i="32"/>
  <c r="AM1056" i="32"/>
  <c r="AO1056" i="32"/>
  <c r="AL1047" i="10"/>
  <c r="AS1047" i="10" s="1"/>
  <c r="AL1047" i="32"/>
  <c r="AP1026" i="10"/>
  <c r="AP1026" i="32"/>
  <c r="AL990" i="10"/>
  <c r="AQ990" i="10" s="1"/>
  <c r="AL990" i="32"/>
  <c r="AM1059" i="32"/>
  <c r="AO1059" i="32"/>
  <c r="AP999" i="10"/>
  <c r="AP999" i="32"/>
  <c r="AM1008" i="32"/>
  <c r="AO1008" i="32"/>
  <c r="AM1069" i="32"/>
  <c r="AO1069" i="32"/>
  <c r="AL1042" i="10"/>
  <c r="AU1042" i="10" s="1"/>
  <c r="AL1042" i="32"/>
  <c r="AL984" i="10"/>
  <c r="AU984" i="10" s="1"/>
  <c r="AL984" i="32"/>
  <c r="AP1071" i="10"/>
  <c r="AP1071" i="32"/>
  <c r="AP1010" i="10"/>
  <c r="AP1010" i="32"/>
  <c r="AM1042" i="32"/>
  <c r="AO1042" i="32"/>
  <c r="AP1029" i="10"/>
  <c r="AP1029" i="32"/>
  <c r="AL1010" i="10"/>
  <c r="AQ1010" i="10" s="1"/>
  <c r="AL1010" i="32"/>
  <c r="AL1035" i="10"/>
  <c r="AS1035" i="10" s="1"/>
  <c r="AM1011" i="32"/>
  <c r="AO1011" i="32"/>
  <c r="AM1014" i="32"/>
  <c r="AO1014" i="32"/>
  <c r="AL1066" i="10"/>
  <c r="AL1066" i="32"/>
  <c r="AM995" i="32"/>
  <c r="AO995" i="32"/>
  <c r="AL1044" i="10"/>
  <c r="AT1044" i="10" s="1"/>
  <c r="AL1044" i="32"/>
  <c r="AP1004" i="10"/>
  <c r="AL1019" i="10"/>
  <c r="AR1019" i="10" s="1"/>
  <c r="AL1019" i="32"/>
  <c r="AM1023" i="32"/>
  <c r="AO1023" i="32"/>
  <c r="AL1002" i="10"/>
  <c r="AV1002" i="10" s="1"/>
  <c r="AL1002" i="32"/>
  <c r="AL1020" i="10"/>
  <c r="AU1020" i="10" s="1"/>
  <c r="AL1020" i="32"/>
  <c r="AP1047" i="10"/>
  <c r="AP1047" i="32"/>
  <c r="AP1064" i="10"/>
  <c r="AP1064" i="32"/>
  <c r="AP1042" i="10"/>
  <c r="AP1042" i="32"/>
  <c r="AL1050" i="10"/>
  <c r="AQ1050" i="10" s="1"/>
  <c r="AL1050" i="32"/>
  <c r="S147" i="29" s="1"/>
  <c r="AP1018" i="10"/>
  <c r="AP1018" i="32"/>
  <c r="AL1005" i="10"/>
  <c r="AQ1005" i="10" s="1"/>
  <c r="AL1005" i="32"/>
  <c r="AP995" i="10"/>
  <c r="AP995" i="32"/>
  <c r="AM1018" i="32"/>
  <c r="AO1018" i="32"/>
  <c r="AL1069" i="10"/>
  <c r="AQ1069" i="10" s="1"/>
  <c r="AL1069" i="32"/>
  <c r="AP1045" i="10"/>
  <c r="AP1045" i="32"/>
  <c r="W145" i="29" s="1"/>
  <c r="AP984" i="10"/>
  <c r="AP984" i="32"/>
  <c r="AM990" i="32"/>
  <c r="AO990" i="32"/>
  <c r="AL1068" i="10"/>
  <c r="AT1068" i="10" s="1"/>
  <c r="AL1068" i="32"/>
  <c r="AP1006" i="10"/>
  <c r="AP1006" i="32"/>
  <c r="AP1069" i="10"/>
  <c r="AP1069" i="32"/>
  <c r="W153" i="29" s="1"/>
  <c r="AL1016" i="10"/>
  <c r="AT1016" i="10" s="1"/>
  <c r="AL1016" i="32"/>
  <c r="AL1028" i="10"/>
  <c r="AT1028" i="10" s="1"/>
  <c r="AL1028" i="32"/>
  <c r="AL1022" i="10"/>
  <c r="AR1022" i="10" s="1"/>
  <c r="AL1022" i="32"/>
  <c r="AL1025" i="10"/>
  <c r="AQ1025" i="10" s="1"/>
  <c r="AL1025" i="32"/>
  <c r="AM988" i="32"/>
  <c r="AO988" i="32"/>
  <c r="AL1063" i="10"/>
  <c r="AT1063" i="10" s="1"/>
  <c r="AL1063" i="32"/>
  <c r="AL1014" i="10"/>
  <c r="AU1014" i="10" s="1"/>
  <c r="AL1014" i="32"/>
  <c r="AM1066" i="32"/>
  <c r="AO1066" i="32"/>
  <c r="AL995" i="10"/>
  <c r="AL995" i="32"/>
  <c r="AM1044" i="32"/>
  <c r="AO1044" i="32"/>
  <c r="AM1070" i="32"/>
  <c r="AO1070" i="32"/>
  <c r="AM1019" i="32"/>
  <c r="AO1019" i="32"/>
  <c r="AL991" i="10"/>
  <c r="AR991" i="10" s="1"/>
  <c r="AL991" i="32"/>
  <c r="AM1002" i="32"/>
  <c r="AO1002" i="32"/>
  <c r="AM1072" i="32"/>
  <c r="AO1072" i="32"/>
  <c r="AM1020" i="32"/>
  <c r="AO1020" i="32"/>
  <c r="AP1002" i="10"/>
  <c r="AP1002" i="32"/>
  <c r="AP1030" i="10"/>
  <c r="AP1030" i="32"/>
  <c r="AL1064" i="10"/>
  <c r="AU1064" i="10" s="1"/>
  <c r="AL1064" i="32"/>
  <c r="AM1064" i="32"/>
  <c r="AO1064" i="32"/>
  <c r="AL1017" i="10"/>
  <c r="AQ1017" i="10" s="1"/>
  <c r="AL1017" i="32"/>
  <c r="AP1009" i="10"/>
  <c r="AP1009" i="32"/>
  <c r="AL1051" i="10"/>
  <c r="AR1051" i="10" s="1"/>
  <c r="AL1007" i="10"/>
  <c r="AS1007" i="10" s="1"/>
  <c r="AL1007" i="32"/>
  <c r="AP1016" i="10"/>
  <c r="AP1016" i="32"/>
  <c r="AL1045" i="10"/>
  <c r="AQ1045" i="10" s="1"/>
  <c r="AL1045" i="32"/>
  <c r="AM994" i="32"/>
  <c r="AO994" i="32"/>
  <c r="AM1041" i="32"/>
  <c r="AO1041" i="32"/>
  <c r="AL1065" i="10"/>
  <c r="AV1065" i="10" s="1"/>
  <c r="AL1065" i="32"/>
  <c r="AM1060" i="32"/>
  <c r="AO1060" i="32"/>
  <c r="AM1022" i="32"/>
  <c r="AO1022" i="32"/>
  <c r="AM1025" i="32"/>
  <c r="AO1025" i="32"/>
  <c r="AL988" i="10"/>
  <c r="AV988" i="10" s="1"/>
  <c r="AL988" i="32"/>
  <c r="AM1063" i="32"/>
  <c r="AO1063" i="32"/>
  <c r="AP1060" i="10"/>
  <c r="AL999" i="10"/>
  <c r="AS999" i="10" s="1"/>
  <c r="AL999" i="32"/>
  <c r="AM1027" i="32"/>
  <c r="AO1027" i="32"/>
  <c r="AL1070" i="10"/>
  <c r="AQ1070" i="10" s="1"/>
  <c r="AL1070" i="32"/>
  <c r="AL1015" i="10"/>
  <c r="AT1015" i="10" s="1"/>
  <c r="AL1015" i="32"/>
  <c r="AM991" i="32"/>
  <c r="AO991" i="32"/>
  <c r="AL1057" i="10"/>
  <c r="AQ1057" i="10" s="1"/>
  <c r="AL1057" i="32"/>
  <c r="AL1072" i="10"/>
  <c r="AT1072" i="10" s="1"/>
  <c r="AL1072" i="32"/>
  <c r="AL1049" i="10"/>
  <c r="AP1021" i="10"/>
  <c r="AP1021" i="32"/>
  <c r="AP1055" i="10"/>
  <c r="AP1055" i="32"/>
  <c r="AP1022" i="10"/>
  <c r="AP1022" i="32"/>
  <c r="AM1048" i="32"/>
  <c r="AO1048" i="32"/>
  <c r="AL1058" i="10"/>
  <c r="AR1058" i="10" s="1"/>
  <c r="AL1058" i="32"/>
  <c r="AP985" i="10"/>
  <c r="AP985" i="32"/>
  <c r="AM1062" i="32"/>
  <c r="AO1062" i="32"/>
  <c r="AP998" i="10"/>
  <c r="AL1008" i="10"/>
  <c r="AV1008" i="10" s="1"/>
  <c r="AL1008" i="32"/>
  <c r="AM1007" i="32"/>
  <c r="AO1007" i="32"/>
  <c r="AL1037" i="10"/>
  <c r="AV1037" i="10" s="1"/>
  <c r="AL1037" i="32"/>
  <c r="AP1065" i="10"/>
  <c r="AP1065" i="32"/>
  <c r="AM1037" i="32"/>
  <c r="AO1037" i="32"/>
  <c r="AP1075" i="10"/>
  <c r="AP1023" i="10"/>
  <c r="AP1023" i="32"/>
  <c r="AL1039" i="10"/>
  <c r="AS1039" i="10" s="1"/>
  <c r="AL1039" i="32"/>
  <c r="AP1044" i="10"/>
  <c r="AP1041" i="10"/>
  <c r="AP1041" i="32"/>
  <c r="AL1030" i="10"/>
  <c r="AL1030" i="32"/>
  <c r="AL1013" i="10"/>
  <c r="AQ1013" i="10" s="1"/>
  <c r="AL1013" i="32"/>
  <c r="AM999" i="32"/>
  <c r="AO999" i="32"/>
  <c r="AL1027" i="32"/>
  <c r="AL1061" i="10"/>
  <c r="AS1061" i="10" s="1"/>
  <c r="AL1061" i="32"/>
  <c r="AM1015" i="32"/>
  <c r="AO1015" i="32"/>
  <c r="AL1009" i="10"/>
  <c r="AQ1009" i="10" s="1"/>
  <c r="AL1009" i="32"/>
  <c r="AM1057" i="32"/>
  <c r="AO1057" i="32"/>
  <c r="AL1024" i="10"/>
  <c r="AQ1024" i="10" s="1"/>
  <c r="AL1024" i="32"/>
  <c r="AP991" i="10"/>
  <c r="AP991" i="32"/>
  <c r="AP990" i="10"/>
  <c r="AP990" i="32"/>
  <c r="AP1039" i="10"/>
  <c r="AP1039" i="32"/>
  <c r="AP1034" i="10"/>
  <c r="AP1034" i="32"/>
  <c r="AM1055" i="32"/>
  <c r="AO1055" i="32"/>
  <c r="AL1075" i="10"/>
  <c r="AS1075" i="10" s="1"/>
  <c r="AP1062" i="10"/>
  <c r="AP1062" i="32"/>
  <c r="AM1034" i="32"/>
  <c r="AO1034" i="32"/>
  <c r="AM1058" i="32"/>
  <c r="AO1058" i="32"/>
  <c r="AP1003" i="10"/>
  <c r="AP1003" i="32"/>
  <c r="AP1005" i="10"/>
  <c r="AP1005" i="32"/>
  <c r="AM1071" i="32"/>
  <c r="AO1071" i="32"/>
  <c r="AL1059" i="10"/>
  <c r="AR1059" i="10" s="1"/>
  <c r="AL1059" i="32"/>
  <c r="AP1063" i="10"/>
  <c r="AP1063" i="32"/>
  <c r="AL1041" i="10"/>
  <c r="AT1041" i="10" s="1"/>
  <c r="AL1041" i="32"/>
  <c r="S144" i="29" s="1"/>
  <c r="AM1038" i="32"/>
  <c r="AO1038" i="32"/>
  <c r="AL1060" i="10"/>
  <c r="AU1060" i="10" s="1"/>
  <c r="AL1060" i="32"/>
  <c r="AP1013" i="10"/>
  <c r="AP1013" i="32"/>
  <c r="AM1045" i="32"/>
  <c r="AO1045" i="32"/>
  <c r="AP1059" i="10"/>
  <c r="AM1030" i="32"/>
  <c r="AO1030" i="32"/>
  <c r="AM1013" i="32"/>
  <c r="AO1013" i="32"/>
  <c r="AL1055" i="10"/>
  <c r="AQ1055" i="10" s="1"/>
  <c r="AL1055" i="32"/>
  <c r="AL1043" i="10"/>
  <c r="AV1043" i="10" s="1"/>
  <c r="AL1048" i="10"/>
  <c r="AQ1048" i="10" s="1"/>
  <c r="AL1048" i="32"/>
  <c r="AM1043" i="32"/>
  <c r="AO1043" i="32"/>
  <c r="AM1061" i="32"/>
  <c r="AO1061" i="32"/>
  <c r="AM1050" i="32"/>
  <c r="AO1050" i="32"/>
  <c r="AM1009" i="32"/>
  <c r="AO1009" i="32"/>
  <c r="AM1024" i="32"/>
  <c r="AO1024" i="32"/>
  <c r="AL1067" i="10"/>
  <c r="AV1067" i="10" s="1"/>
  <c r="AL1067" i="32"/>
  <c r="S153" i="29" s="1"/>
  <c r="AP1049" i="10"/>
  <c r="AP1000" i="10"/>
  <c r="AP1000" i="32"/>
  <c r="AP1050" i="10"/>
  <c r="AP1050" i="32"/>
  <c r="W147" i="29" s="1"/>
  <c r="AP1015" i="10"/>
  <c r="AP1015" i="32"/>
  <c r="AP1058" i="10"/>
  <c r="AP1058" i="32"/>
  <c r="AU1083" i="10"/>
  <c r="AV1083" i="10"/>
  <c r="AS1084" i="10"/>
  <c r="AM1077" i="10"/>
  <c r="AO1077" i="10"/>
  <c r="AO1041" i="10"/>
  <c r="AM1041" i="10"/>
  <c r="AM1045" i="10"/>
  <c r="AO1045" i="10"/>
  <c r="AM1042" i="10"/>
  <c r="AO1042" i="10"/>
  <c r="AM1051" i="10"/>
  <c r="AO1051" i="10"/>
  <c r="AO993" i="10"/>
  <c r="AM993" i="10"/>
  <c r="AM1053" i="10"/>
  <c r="AO1053" i="10"/>
  <c r="AM1078" i="10"/>
  <c r="AO1078" i="10"/>
  <c r="AM1075" i="10"/>
  <c r="AO1075" i="10"/>
  <c r="AM991" i="10"/>
  <c r="AO991" i="10"/>
  <c r="AM994" i="10"/>
  <c r="AO994" i="10"/>
  <c r="AM1010" i="10"/>
  <c r="AO1010" i="10"/>
  <c r="AM1083" i="10"/>
  <c r="AO1083" i="10"/>
  <c r="AM1011" i="10"/>
  <c r="AO1011" i="10"/>
  <c r="AM1018" i="10"/>
  <c r="AO1018" i="10"/>
  <c r="AM1012" i="10"/>
  <c r="AO1012" i="10"/>
  <c r="AM998" i="10"/>
  <c r="AO998" i="10"/>
  <c r="AO1017" i="10"/>
  <c r="AM1017" i="10"/>
  <c r="AO1009" i="10"/>
  <c r="AM1009" i="10"/>
  <c r="AM1068" i="10"/>
  <c r="AO1068" i="10"/>
  <c r="AM1030" i="10"/>
  <c r="AO1030" i="10"/>
  <c r="AM1013" i="10"/>
  <c r="AO1013" i="10"/>
  <c r="AM1003" i="10"/>
  <c r="AO1003" i="10"/>
  <c r="AO1065" i="10"/>
  <c r="AM1065" i="10"/>
  <c r="AM1039" i="10"/>
  <c r="AO1039" i="10"/>
  <c r="AM1020" i="10"/>
  <c r="AO1020" i="10"/>
  <c r="AM1014" i="10"/>
  <c r="AO1014" i="10"/>
  <c r="AM1036" i="10"/>
  <c r="AO1036" i="10"/>
  <c r="AM995" i="10"/>
  <c r="AO995" i="10"/>
  <c r="AM1021" i="10"/>
  <c r="AO1021" i="10"/>
  <c r="AM1007" i="10"/>
  <c r="AO1007" i="10"/>
  <c r="AO1025" i="10"/>
  <c r="AM1025" i="10"/>
  <c r="AM1062" i="10"/>
  <c r="AO1062" i="10"/>
  <c r="AM1072" i="10"/>
  <c r="AO1072" i="10"/>
  <c r="AM1064" i="10"/>
  <c r="AO1064" i="10"/>
  <c r="AM1080" i="10"/>
  <c r="AO1080" i="10"/>
  <c r="AM1056" i="10"/>
  <c r="AO1056" i="10"/>
  <c r="AM1055" i="10"/>
  <c r="AO1055" i="10"/>
  <c r="AM1066" i="10"/>
  <c r="AO1066" i="10"/>
  <c r="AM1044" i="10"/>
  <c r="AO1044" i="10"/>
  <c r="AM984" i="10"/>
  <c r="AO984" i="10"/>
  <c r="AM1024" i="10"/>
  <c r="AO1024" i="10"/>
  <c r="AO1049" i="10"/>
  <c r="AM1049" i="10"/>
  <c r="AM1037" i="10"/>
  <c r="AO1037" i="10"/>
  <c r="AM1027" i="10"/>
  <c r="AO1027" i="10"/>
  <c r="AM1046" i="10"/>
  <c r="AO1046" i="10"/>
  <c r="AM1006" i="10"/>
  <c r="AO1006" i="10"/>
  <c r="AM1050" i="10"/>
  <c r="AO1050" i="10"/>
  <c r="AM988" i="10"/>
  <c r="AO988" i="10"/>
  <c r="AM1063" i="10"/>
  <c r="AO1063" i="10"/>
  <c r="AM1038" i="10"/>
  <c r="AO1038" i="10"/>
  <c r="AM986" i="10"/>
  <c r="AO986" i="10"/>
  <c r="AM1026" i="10"/>
  <c r="AO1026" i="10"/>
  <c r="AM1031" i="10"/>
  <c r="AO1031" i="10"/>
  <c r="AM1005" i="10"/>
  <c r="AO1005" i="10"/>
  <c r="AM1034" i="10"/>
  <c r="AO1034" i="10"/>
  <c r="AM1082" i="10"/>
  <c r="AO1082" i="10"/>
  <c r="AM999" i="10"/>
  <c r="AO999" i="10"/>
  <c r="AM1069" i="10"/>
  <c r="AO1069" i="10"/>
  <c r="AM1058" i="10"/>
  <c r="AO1058" i="10"/>
  <c r="AM1067" i="10"/>
  <c r="AO1067" i="10"/>
  <c r="AO1057" i="10"/>
  <c r="AM1057" i="10"/>
  <c r="AM1043" i="10"/>
  <c r="AO1043" i="10"/>
  <c r="AM1070" i="10"/>
  <c r="AO1070" i="10"/>
  <c r="AO1081" i="10"/>
  <c r="AM1081" i="10"/>
  <c r="AM1035" i="10"/>
  <c r="AO1035" i="10"/>
  <c r="AM996" i="10"/>
  <c r="AO996" i="10"/>
  <c r="AM989" i="10"/>
  <c r="AO989" i="10"/>
  <c r="AM1029" i="10"/>
  <c r="AO1029" i="10"/>
  <c r="AM992" i="10"/>
  <c r="AO992" i="10"/>
  <c r="AM1004" i="10"/>
  <c r="AO1004" i="10"/>
  <c r="AM1048" i="10"/>
  <c r="AO1048" i="10"/>
  <c r="AM1019" i="10"/>
  <c r="AO1019" i="10"/>
  <c r="AM1060" i="10"/>
  <c r="AO1060" i="10"/>
  <c r="AM1000" i="10"/>
  <c r="AO1000" i="10"/>
  <c r="AM1002" i="10"/>
  <c r="AO1002" i="10"/>
  <c r="AM1022" i="10"/>
  <c r="AO1022" i="10"/>
  <c r="AM1016" i="10"/>
  <c r="AO1016" i="10"/>
  <c r="AM1071" i="10"/>
  <c r="AO1071" i="10"/>
  <c r="AM1059" i="10"/>
  <c r="AO1059" i="10"/>
  <c r="AM1028" i="10"/>
  <c r="AO1028" i="10"/>
  <c r="AM990" i="10"/>
  <c r="AO990" i="10"/>
  <c r="AM1076" i="10"/>
  <c r="AO1076" i="10"/>
  <c r="AM1008" i="10"/>
  <c r="AO1008" i="10"/>
  <c r="AM1084" i="10"/>
  <c r="AO1084" i="10"/>
  <c r="AM1079" i="10"/>
  <c r="AO1079" i="10"/>
  <c r="AM1054" i="10"/>
  <c r="AO1054" i="10"/>
  <c r="AO985" i="10"/>
  <c r="AM985" i="10"/>
  <c r="AM1047" i="10"/>
  <c r="AO1047" i="10"/>
  <c r="AO1061" i="10"/>
  <c r="AM1061" i="10"/>
  <c r="AM1015" i="10"/>
  <c r="AO1015" i="10"/>
  <c r="AM1023" i="10"/>
  <c r="AO1023" i="10"/>
  <c r="AM1052" i="10"/>
  <c r="AO1052" i="10"/>
  <c r="AM987" i="10"/>
  <c r="AO987" i="10"/>
  <c r="D981" i="11"/>
  <c r="E981" i="11"/>
  <c r="F981" i="11"/>
  <c r="G981" i="11"/>
  <c r="H981" i="11"/>
  <c r="I981" i="11"/>
  <c r="J981" i="11"/>
  <c r="K981" i="11"/>
  <c r="L981" i="11"/>
  <c r="M981" i="11"/>
  <c r="N981" i="11"/>
  <c r="O981" i="11"/>
  <c r="P981" i="11"/>
  <c r="Q981" i="11"/>
  <c r="R981" i="11"/>
  <c r="D911" i="11"/>
  <c r="E911" i="11"/>
  <c r="F911" i="11"/>
  <c r="G911" i="11"/>
  <c r="H911" i="11"/>
  <c r="I911" i="11"/>
  <c r="J911" i="11"/>
  <c r="K911" i="11"/>
  <c r="L911" i="11"/>
  <c r="M911" i="11"/>
  <c r="N911" i="11"/>
  <c r="O911" i="11"/>
  <c r="P911" i="11"/>
  <c r="Q911" i="11"/>
  <c r="R911" i="11"/>
  <c r="D912" i="11"/>
  <c r="E912" i="11"/>
  <c r="F912" i="11"/>
  <c r="G912" i="11"/>
  <c r="H912" i="11"/>
  <c r="I912" i="11"/>
  <c r="J912" i="11"/>
  <c r="K912" i="11"/>
  <c r="L912" i="11"/>
  <c r="M912" i="11"/>
  <c r="N912" i="11"/>
  <c r="O912" i="11"/>
  <c r="P912" i="11"/>
  <c r="Q912" i="11"/>
  <c r="R912" i="11"/>
  <c r="D913" i="11"/>
  <c r="E913" i="11"/>
  <c r="F913" i="11"/>
  <c r="G913" i="11"/>
  <c r="H913" i="11"/>
  <c r="I913" i="11"/>
  <c r="J913" i="11"/>
  <c r="K913" i="11"/>
  <c r="L913" i="11"/>
  <c r="M913" i="11"/>
  <c r="N913" i="11"/>
  <c r="O913" i="11"/>
  <c r="P913" i="11"/>
  <c r="Q913" i="11"/>
  <c r="R913" i="11"/>
  <c r="D914" i="11"/>
  <c r="E914" i="11"/>
  <c r="F914" i="11"/>
  <c r="G914" i="11"/>
  <c r="H914" i="11"/>
  <c r="I914" i="11"/>
  <c r="J914" i="11"/>
  <c r="K914" i="11"/>
  <c r="L914" i="11"/>
  <c r="M914" i="11"/>
  <c r="N914" i="11"/>
  <c r="O914" i="11"/>
  <c r="P914" i="11"/>
  <c r="Q914" i="11"/>
  <c r="R914" i="11"/>
  <c r="D915" i="11"/>
  <c r="E915" i="11"/>
  <c r="F915" i="11"/>
  <c r="G915" i="11"/>
  <c r="H915" i="11"/>
  <c r="I915" i="11"/>
  <c r="J915" i="11"/>
  <c r="K915" i="11"/>
  <c r="L915" i="11"/>
  <c r="M915" i="11"/>
  <c r="N915" i="11"/>
  <c r="O915" i="11"/>
  <c r="P915" i="11"/>
  <c r="Q915" i="11"/>
  <c r="R915" i="11"/>
  <c r="D916" i="11"/>
  <c r="E916" i="11"/>
  <c r="F916" i="11"/>
  <c r="G916" i="11"/>
  <c r="H916" i="11"/>
  <c r="I916" i="11"/>
  <c r="J916" i="11"/>
  <c r="K916" i="11"/>
  <c r="L916" i="11"/>
  <c r="M916" i="11"/>
  <c r="N916" i="11"/>
  <c r="O916" i="11"/>
  <c r="P916" i="11"/>
  <c r="Q916" i="11"/>
  <c r="R916" i="11"/>
  <c r="D917" i="11"/>
  <c r="E917" i="11"/>
  <c r="F917" i="11"/>
  <c r="G917" i="11"/>
  <c r="H917" i="11"/>
  <c r="I917" i="11"/>
  <c r="J917" i="11"/>
  <c r="K917" i="11"/>
  <c r="L917" i="11"/>
  <c r="M917" i="11"/>
  <c r="N917" i="11"/>
  <c r="O917" i="11"/>
  <c r="P917" i="11"/>
  <c r="Q917" i="11"/>
  <c r="R917" i="11"/>
  <c r="D918" i="11"/>
  <c r="E918" i="11"/>
  <c r="F918" i="11"/>
  <c r="G918" i="11"/>
  <c r="H918" i="11"/>
  <c r="I918" i="11"/>
  <c r="J918" i="11"/>
  <c r="K918" i="11"/>
  <c r="L918" i="11"/>
  <c r="M918" i="11"/>
  <c r="N918" i="11"/>
  <c r="O918" i="11"/>
  <c r="P918" i="11"/>
  <c r="Q918" i="11"/>
  <c r="R918" i="11"/>
  <c r="D919" i="11"/>
  <c r="E919" i="11"/>
  <c r="F919" i="11"/>
  <c r="G919" i="11"/>
  <c r="H919" i="11"/>
  <c r="I919" i="11"/>
  <c r="J919" i="11"/>
  <c r="K919" i="11"/>
  <c r="L919" i="11"/>
  <c r="M919" i="11"/>
  <c r="N919" i="11"/>
  <c r="O919" i="11"/>
  <c r="P919" i="11"/>
  <c r="Q919" i="11"/>
  <c r="R919" i="11"/>
  <c r="D920" i="11"/>
  <c r="E920" i="11"/>
  <c r="F920" i="11"/>
  <c r="G920" i="11"/>
  <c r="H920" i="11"/>
  <c r="I920" i="11"/>
  <c r="J920" i="11"/>
  <c r="K920" i="11"/>
  <c r="L920" i="11"/>
  <c r="M920" i="11"/>
  <c r="N920" i="11"/>
  <c r="O920" i="11"/>
  <c r="P920" i="11"/>
  <c r="Q920" i="11"/>
  <c r="R920" i="11"/>
  <c r="D921" i="11"/>
  <c r="E921" i="11"/>
  <c r="F921" i="11"/>
  <c r="G921" i="11"/>
  <c r="H921" i="11"/>
  <c r="I921" i="11"/>
  <c r="J921" i="11"/>
  <c r="K921" i="11"/>
  <c r="L921" i="11"/>
  <c r="M921" i="11"/>
  <c r="N921" i="11"/>
  <c r="O921" i="11"/>
  <c r="P921" i="11"/>
  <c r="Q921" i="11"/>
  <c r="R921" i="11"/>
  <c r="D922" i="11"/>
  <c r="E922" i="11"/>
  <c r="F922" i="11"/>
  <c r="G922" i="11"/>
  <c r="H922" i="11"/>
  <c r="I922" i="11"/>
  <c r="J922" i="11"/>
  <c r="K922" i="11"/>
  <c r="L922" i="11"/>
  <c r="M922" i="11"/>
  <c r="N922" i="11"/>
  <c r="O922" i="11"/>
  <c r="P922" i="11"/>
  <c r="Q922" i="11"/>
  <c r="R922" i="11"/>
  <c r="D923" i="11"/>
  <c r="E923" i="11"/>
  <c r="F923" i="11"/>
  <c r="G923" i="11"/>
  <c r="H923" i="11"/>
  <c r="I923" i="11"/>
  <c r="J923" i="11"/>
  <c r="K923" i="11"/>
  <c r="L923" i="11"/>
  <c r="M923" i="11"/>
  <c r="N923" i="11"/>
  <c r="O923" i="11"/>
  <c r="P923" i="11"/>
  <c r="Q923" i="11"/>
  <c r="R923" i="11"/>
  <c r="D924" i="11"/>
  <c r="E924" i="11"/>
  <c r="F924" i="11"/>
  <c r="G924" i="11"/>
  <c r="H924" i="11"/>
  <c r="I924" i="11"/>
  <c r="J924" i="11"/>
  <c r="K924" i="11"/>
  <c r="L924" i="11"/>
  <c r="M924" i="11"/>
  <c r="N924" i="11"/>
  <c r="O924" i="11"/>
  <c r="P924" i="11"/>
  <c r="Q924" i="11"/>
  <c r="R924" i="11"/>
  <c r="D925" i="11"/>
  <c r="E925" i="11"/>
  <c r="F925" i="11"/>
  <c r="G925" i="11"/>
  <c r="H925" i="11"/>
  <c r="I925" i="11"/>
  <c r="J925" i="11"/>
  <c r="K925" i="11"/>
  <c r="L925" i="11"/>
  <c r="M925" i="11"/>
  <c r="N925" i="11"/>
  <c r="O925" i="11"/>
  <c r="P925" i="11"/>
  <c r="Q925" i="11"/>
  <c r="R925" i="11"/>
  <c r="D926" i="11"/>
  <c r="E926" i="11"/>
  <c r="F926" i="11"/>
  <c r="G926" i="11"/>
  <c r="H926" i="11"/>
  <c r="I926" i="11"/>
  <c r="J926" i="11"/>
  <c r="K926" i="11"/>
  <c r="L926" i="11"/>
  <c r="M926" i="11"/>
  <c r="N926" i="11"/>
  <c r="O926" i="11"/>
  <c r="P926" i="11"/>
  <c r="Q926" i="11"/>
  <c r="R926" i="11"/>
  <c r="D927" i="11"/>
  <c r="E927" i="11"/>
  <c r="F927" i="11"/>
  <c r="G927" i="11"/>
  <c r="H927" i="11"/>
  <c r="I927" i="11"/>
  <c r="J927" i="11"/>
  <c r="K927" i="11"/>
  <c r="L927" i="11"/>
  <c r="M927" i="11"/>
  <c r="N927" i="11"/>
  <c r="O927" i="11"/>
  <c r="P927" i="11"/>
  <c r="Q927" i="11"/>
  <c r="R927" i="11"/>
  <c r="D928" i="11"/>
  <c r="E928" i="11"/>
  <c r="F928" i="11"/>
  <c r="G928" i="11"/>
  <c r="H928" i="11"/>
  <c r="I928" i="11"/>
  <c r="J928" i="11"/>
  <c r="K928" i="11"/>
  <c r="L928" i="11"/>
  <c r="M928" i="11"/>
  <c r="N928" i="11"/>
  <c r="O928" i="11"/>
  <c r="P928" i="11"/>
  <c r="Q928" i="11"/>
  <c r="R928" i="11"/>
  <c r="D929" i="11"/>
  <c r="E929" i="11"/>
  <c r="F929" i="11"/>
  <c r="G929" i="11"/>
  <c r="H929" i="11"/>
  <c r="I929" i="11"/>
  <c r="J929" i="11"/>
  <c r="K929" i="11"/>
  <c r="L929" i="11"/>
  <c r="M929" i="11"/>
  <c r="N929" i="11"/>
  <c r="O929" i="11"/>
  <c r="P929" i="11"/>
  <c r="Q929" i="11"/>
  <c r="R929" i="11"/>
  <c r="D930" i="11"/>
  <c r="E930" i="11"/>
  <c r="F930" i="11"/>
  <c r="G930" i="11"/>
  <c r="H930" i="11"/>
  <c r="I930" i="11"/>
  <c r="J930" i="11"/>
  <c r="K930" i="11"/>
  <c r="L930" i="11"/>
  <c r="M930" i="11"/>
  <c r="N930" i="11"/>
  <c r="O930" i="11"/>
  <c r="P930" i="11"/>
  <c r="Q930" i="11"/>
  <c r="R930" i="11"/>
  <c r="D931" i="11"/>
  <c r="E931" i="11"/>
  <c r="F931" i="11"/>
  <c r="G931" i="11"/>
  <c r="H931" i="11"/>
  <c r="I931" i="11"/>
  <c r="J931" i="11"/>
  <c r="K931" i="11"/>
  <c r="L931" i="11"/>
  <c r="M931" i="11"/>
  <c r="N931" i="11"/>
  <c r="O931" i="11"/>
  <c r="P931" i="11"/>
  <c r="Q931" i="11"/>
  <c r="R931" i="11"/>
  <c r="D932" i="11"/>
  <c r="E932" i="11"/>
  <c r="F932" i="11"/>
  <c r="G932" i="11"/>
  <c r="H932" i="11"/>
  <c r="I932" i="11"/>
  <c r="J932" i="11"/>
  <c r="K932" i="11"/>
  <c r="L932" i="11"/>
  <c r="M932" i="11"/>
  <c r="N932" i="11"/>
  <c r="O932" i="11"/>
  <c r="P932" i="11"/>
  <c r="Q932" i="11"/>
  <c r="R932" i="11"/>
  <c r="D933" i="11"/>
  <c r="E933" i="11"/>
  <c r="F933" i="11"/>
  <c r="G933" i="11"/>
  <c r="H933" i="11"/>
  <c r="I933" i="11"/>
  <c r="J933" i="11"/>
  <c r="K933" i="11"/>
  <c r="L933" i="11"/>
  <c r="M933" i="11"/>
  <c r="N933" i="11"/>
  <c r="O933" i="11"/>
  <c r="P933" i="11"/>
  <c r="Q933" i="11"/>
  <c r="R933" i="11"/>
  <c r="D934" i="11"/>
  <c r="E934" i="11"/>
  <c r="F934" i="11"/>
  <c r="G934" i="11"/>
  <c r="H934" i="11"/>
  <c r="I934" i="11"/>
  <c r="J934" i="11"/>
  <c r="K934" i="11"/>
  <c r="L934" i="11"/>
  <c r="M934" i="11"/>
  <c r="N934" i="11"/>
  <c r="O934" i="11"/>
  <c r="P934" i="11"/>
  <c r="Q934" i="11"/>
  <c r="R934" i="11"/>
  <c r="D935" i="11"/>
  <c r="E935" i="11"/>
  <c r="F935" i="11"/>
  <c r="G935" i="11"/>
  <c r="H935" i="11"/>
  <c r="I935" i="11"/>
  <c r="J935" i="11"/>
  <c r="K935" i="11"/>
  <c r="L935" i="11"/>
  <c r="M935" i="11"/>
  <c r="N935" i="11"/>
  <c r="O935" i="11"/>
  <c r="P935" i="11"/>
  <c r="Q935" i="11"/>
  <c r="R935" i="11"/>
  <c r="D936" i="11"/>
  <c r="E936" i="11"/>
  <c r="F936" i="11"/>
  <c r="G936" i="11"/>
  <c r="H936" i="11"/>
  <c r="I936" i="11"/>
  <c r="J936" i="11"/>
  <c r="K936" i="11"/>
  <c r="L936" i="11"/>
  <c r="M936" i="11"/>
  <c r="N936" i="11"/>
  <c r="O936" i="11"/>
  <c r="P936" i="11"/>
  <c r="Q936" i="11"/>
  <c r="R936" i="11"/>
  <c r="D937" i="11"/>
  <c r="E937" i="11"/>
  <c r="F937" i="11"/>
  <c r="G937" i="11"/>
  <c r="H937" i="11"/>
  <c r="I937" i="11"/>
  <c r="J937" i="11"/>
  <c r="K937" i="11"/>
  <c r="L937" i="11"/>
  <c r="M937" i="11"/>
  <c r="N937" i="11"/>
  <c r="O937" i="11"/>
  <c r="P937" i="11"/>
  <c r="Q937" i="11"/>
  <c r="R937" i="11"/>
  <c r="D938" i="11"/>
  <c r="E938" i="11"/>
  <c r="F938" i="11"/>
  <c r="G938" i="11"/>
  <c r="H938" i="11"/>
  <c r="I938" i="11"/>
  <c r="J938" i="11"/>
  <c r="K938" i="11"/>
  <c r="L938" i="11"/>
  <c r="M938" i="11"/>
  <c r="N938" i="11"/>
  <c r="O938" i="11"/>
  <c r="P938" i="11"/>
  <c r="Q938" i="11"/>
  <c r="R938" i="11"/>
  <c r="D939" i="11"/>
  <c r="E939" i="11"/>
  <c r="F939" i="11"/>
  <c r="G939" i="11"/>
  <c r="H939" i="11"/>
  <c r="I939" i="11"/>
  <c r="J939" i="11"/>
  <c r="K939" i="11"/>
  <c r="L939" i="11"/>
  <c r="M939" i="11"/>
  <c r="N939" i="11"/>
  <c r="O939" i="11"/>
  <c r="P939" i="11"/>
  <c r="Q939" i="11"/>
  <c r="R939" i="11"/>
  <c r="D940" i="11"/>
  <c r="E940" i="11"/>
  <c r="F940" i="11"/>
  <c r="G940" i="11"/>
  <c r="H940" i="11"/>
  <c r="I940" i="11"/>
  <c r="J940" i="11"/>
  <c r="K940" i="11"/>
  <c r="L940" i="11"/>
  <c r="M940" i="11"/>
  <c r="N940" i="11"/>
  <c r="O940" i="11"/>
  <c r="P940" i="11"/>
  <c r="Q940" i="11"/>
  <c r="R940" i="11"/>
  <c r="D941" i="11"/>
  <c r="E941" i="11"/>
  <c r="F941" i="11"/>
  <c r="G941" i="11"/>
  <c r="H941" i="11"/>
  <c r="I941" i="11"/>
  <c r="J941" i="11"/>
  <c r="K941" i="11"/>
  <c r="L941" i="11"/>
  <c r="M941" i="11"/>
  <c r="N941" i="11"/>
  <c r="O941" i="11"/>
  <c r="P941" i="11"/>
  <c r="Q941" i="11"/>
  <c r="R941" i="11"/>
  <c r="D942" i="11"/>
  <c r="E942" i="11"/>
  <c r="F942" i="11"/>
  <c r="G942" i="11"/>
  <c r="H942" i="11"/>
  <c r="I942" i="11"/>
  <c r="J942" i="11"/>
  <c r="K942" i="11"/>
  <c r="L942" i="11"/>
  <c r="M942" i="11"/>
  <c r="N942" i="11"/>
  <c r="O942" i="11"/>
  <c r="P942" i="11"/>
  <c r="Q942" i="11"/>
  <c r="R942" i="11"/>
  <c r="D943" i="11"/>
  <c r="E943" i="11"/>
  <c r="F943" i="11"/>
  <c r="G943" i="11"/>
  <c r="H943" i="11"/>
  <c r="I943" i="11"/>
  <c r="J943" i="11"/>
  <c r="K943" i="11"/>
  <c r="L943" i="11"/>
  <c r="M943" i="11"/>
  <c r="N943" i="11"/>
  <c r="O943" i="11"/>
  <c r="P943" i="11"/>
  <c r="Q943" i="11"/>
  <c r="R943" i="11"/>
  <c r="D944" i="11"/>
  <c r="E944" i="11"/>
  <c r="F944" i="11"/>
  <c r="G944" i="11"/>
  <c r="H944" i="11"/>
  <c r="I944" i="11"/>
  <c r="J944" i="11"/>
  <c r="K944" i="11"/>
  <c r="L944" i="11"/>
  <c r="M944" i="11"/>
  <c r="N944" i="11"/>
  <c r="O944" i="11"/>
  <c r="P944" i="11"/>
  <c r="Q944" i="11"/>
  <c r="R944" i="11"/>
  <c r="D945" i="11"/>
  <c r="E945" i="11"/>
  <c r="F945" i="11"/>
  <c r="G945" i="11"/>
  <c r="H945" i="11"/>
  <c r="I945" i="11"/>
  <c r="J945" i="11"/>
  <c r="K945" i="11"/>
  <c r="L945" i="11"/>
  <c r="M945" i="11"/>
  <c r="N945" i="11"/>
  <c r="O945" i="11"/>
  <c r="P945" i="11"/>
  <c r="Q945" i="11"/>
  <c r="R945" i="11"/>
  <c r="D946" i="11"/>
  <c r="E946" i="11"/>
  <c r="F946" i="11"/>
  <c r="G946" i="11"/>
  <c r="H946" i="11"/>
  <c r="I946" i="11"/>
  <c r="J946" i="11"/>
  <c r="K946" i="11"/>
  <c r="L946" i="11"/>
  <c r="M946" i="11"/>
  <c r="N946" i="11"/>
  <c r="O946" i="11"/>
  <c r="P946" i="11"/>
  <c r="Q946" i="11"/>
  <c r="R946" i="11"/>
  <c r="D947" i="11"/>
  <c r="E947" i="11"/>
  <c r="F947" i="11"/>
  <c r="G947" i="11"/>
  <c r="H947" i="11"/>
  <c r="I947" i="11"/>
  <c r="J947" i="11"/>
  <c r="K947" i="11"/>
  <c r="L947" i="11"/>
  <c r="M947" i="11"/>
  <c r="N947" i="11"/>
  <c r="O947" i="11"/>
  <c r="P947" i="11"/>
  <c r="Q947" i="11"/>
  <c r="R947" i="11"/>
  <c r="D948" i="11"/>
  <c r="E948" i="11"/>
  <c r="F948" i="11"/>
  <c r="G948" i="11"/>
  <c r="H948" i="11"/>
  <c r="I948" i="11"/>
  <c r="J948" i="11"/>
  <c r="K948" i="11"/>
  <c r="L948" i="11"/>
  <c r="M948" i="11"/>
  <c r="N948" i="11"/>
  <c r="O948" i="11"/>
  <c r="P948" i="11"/>
  <c r="Q948" i="11"/>
  <c r="R948" i="11"/>
  <c r="D949" i="11"/>
  <c r="E949" i="11"/>
  <c r="F949" i="11"/>
  <c r="G949" i="11"/>
  <c r="H949" i="11"/>
  <c r="I949" i="11"/>
  <c r="J949" i="11"/>
  <c r="K949" i="11"/>
  <c r="L949" i="11"/>
  <c r="M949" i="11"/>
  <c r="N949" i="11"/>
  <c r="O949" i="11"/>
  <c r="P949" i="11"/>
  <c r="Q949" i="11"/>
  <c r="R949" i="11"/>
  <c r="D950" i="11"/>
  <c r="E950" i="11"/>
  <c r="F950" i="11"/>
  <c r="G950" i="11"/>
  <c r="H950" i="11"/>
  <c r="I950" i="11"/>
  <c r="J950" i="11"/>
  <c r="K950" i="11"/>
  <c r="L950" i="11"/>
  <c r="M950" i="11"/>
  <c r="N950" i="11"/>
  <c r="O950" i="11"/>
  <c r="P950" i="11"/>
  <c r="Q950" i="11"/>
  <c r="R950" i="11"/>
  <c r="D951" i="11"/>
  <c r="E951" i="11"/>
  <c r="F951" i="11"/>
  <c r="G951" i="11"/>
  <c r="H951" i="11"/>
  <c r="I951" i="11"/>
  <c r="J951" i="11"/>
  <c r="K951" i="11"/>
  <c r="L951" i="11"/>
  <c r="M951" i="11"/>
  <c r="N951" i="11"/>
  <c r="O951" i="11"/>
  <c r="P951" i="11"/>
  <c r="Q951" i="11"/>
  <c r="R951" i="11"/>
  <c r="D952" i="11"/>
  <c r="E952" i="11"/>
  <c r="F952" i="11"/>
  <c r="G952" i="11"/>
  <c r="H952" i="11"/>
  <c r="I952" i="11"/>
  <c r="J952" i="11"/>
  <c r="K952" i="11"/>
  <c r="L952" i="11"/>
  <c r="M952" i="11"/>
  <c r="N952" i="11"/>
  <c r="O952" i="11"/>
  <c r="P952" i="11"/>
  <c r="Q952" i="11"/>
  <c r="R952" i="11"/>
  <c r="D953" i="11"/>
  <c r="E953" i="11"/>
  <c r="F953" i="11"/>
  <c r="G953" i="11"/>
  <c r="H953" i="11"/>
  <c r="I953" i="11"/>
  <c r="J953" i="11"/>
  <c r="K953" i="11"/>
  <c r="L953" i="11"/>
  <c r="M953" i="11"/>
  <c r="N953" i="11"/>
  <c r="O953" i="11"/>
  <c r="P953" i="11"/>
  <c r="Q953" i="11"/>
  <c r="R953" i="11"/>
  <c r="D954" i="11"/>
  <c r="E954" i="11"/>
  <c r="F954" i="11"/>
  <c r="G954" i="11"/>
  <c r="H954" i="11"/>
  <c r="I954" i="11"/>
  <c r="J954" i="11"/>
  <c r="K954" i="11"/>
  <c r="L954" i="11"/>
  <c r="M954" i="11"/>
  <c r="N954" i="11"/>
  <c r="O954" i="11"/>
  <c r="P954" i="11"/>
  <c r="Q954" i="11"/>
  <c r="R954" i="11"/>
  <c r="D955" i="11"/>
  <c r="E955" i="11"/>
  <c r="F955" i="11"/>
  <c r="G955" i="11"/>
  <c r="H955" i="11"/>
  <c r="I955" i="11"/>
  <c r="J955" i="11"/>
  <c r="K955" i="11"/>
  <c r="L955" i="11"/>
  <c r="M955" i="11"/>
  <c r="N955" i="11"/>
  <c r="O955" i="11"/>
  <c r="P955" i="11"/>
  <c r="Q955" i="11"/>
  <c r="R955" i="11"/>
  <c r="D956" i="11"/>
  <c r="E956" i="11"/>
  <c r="F956" i="11"/>
  <c r="G956" i="11"/>
  <c r="H956" i="11"/>
  <c r="I956" i="11"/>
  <c r="J956" i="11"/>
  <c r="K956" i="11"/>
  <c r="L956" i="11"/>
  <c r="M956" i="11"/>
  <c r="N956" i="11"/>
  <c r="O956" i="11"/>
  <c r="P956" i="11"/>
  <c r="Q956" i="11"/>
  <c r="R956" i="11"/>
  <c r="D957" i="11"/>
  <c r="E957" i="11"/>
  <c r="F957" i="11"/>
  <c r="G957" i="11"/>
  <c r="H957" i="11"/>
  <c r="I957" i="11"/>
  <c r="J957" i="11"/>
  <c r="K957" i="11"/>
  <c r="L957" i="11"/>
  <c r="M957" i="11"/>
  <c r="N957" i="11"/>
  <c r="O957" i="11"/>
  <c r="P957" i="11"/>
  <c r="Q957" i="11"/>
  <c r="R957" i="11"/>
  <c r="D958" i="11"/>
  <c r="E958" i="11"/>
  <c r="F958" i="11"/>
  <c r="G958" i="11"/>
  <c r="H958" i="11"/>
  <c r="I958" i="11"/>
  <c r="J958" i="11"/>
  <c r="K958" i="11"/>
  <c r="L958" i="11"/>
  <c r="M958" i="11"/>
  <c r="N958" i="11"/>
  <c r="O958" i="11"/>
  <c r="P958" i="11"/>
  <c r="Q958" i="11"/>
  <c r="R958" i="11"/>
  <c r="D959" i="11"/>
  <c r="E959" i="11"/>
  <c r="F959" i="11"/>
  <c r="G959" i="11"/>
  <c r="H959" i="11"/>
  <c r="I959" i="11"/>
  <c r="J959" i="11"/>
  <c r="K959" i="11"/>
  <c r="L959" i="11"/>
  <c r="M959" i="11"/>
  <c r="N959" i="11"/>
  <c r="O959" i="11"/>
  <c r="P959" i="11"/>
  <c r="Q959" i="11"/>
  <c r="R959" i="11"/>
  <c r="D960" i="11"/>
  <c r="E960" i="11"/>
  <c r="F960" i="11"/>
  <c r="G960" i="11"/>
  <c r="H960" i="11"/>
  <c r="I960" i="11"/>
  <c r="J960" i="11"/>
  <c r="K960" i="11"/>
  <c r="L960" i="11"/>
  <c r="M960" i="11"/>
  <c r="N960" i="11"/>
  <c r="O960" i="11"/>
  <c r="P960" i="11"/>
  <c r="Q960" i="11"/>
  <c r="R960" i="11"/>
  <c r="D961" i="11"/>
  <c r="E961" i="11"/>
  <c r="F961" i="11"/>
  <c r="G961" i="11"/>
  <c r="H961" i="11"/>
  <c r="I961" i="11"/>
  <c r="J961" i="11"/>
  <c r="K961" i="11"/>
  <c r="L961" i="11"/>
  <c r="M961" i="11"/>
  <c r="N961" i="11"/>
  <c r="O961" i="11"/>
  <c r="P961" i="11"/>
  <c r="Q961" i="11"/>
  <c r="R961" i="11"/>
  <c r="D962" i="11"/>
  <c r="E962" i="11"/>
  <c r="F962" i="11"/>
  <c r="G962" i="11"/>
  <c r="H962" i="11"/>
  <c r="I962" i="11"/>
  <c r="J962" i="11"/>
  <c r="K962" i="11"/>
  <c r="L962" i="11"/>
  <c r="M962" i="11"/>
  <c r="N962" i="11"/>
  <c r="O962" i="11"/>
  <c r="P962" i="11"/>
  <c r="Q962" i="11"/>
  <c r="R962" i="11"/>
  <c r="D963" i="11"/>
  <c r="E963" i="11"/>
  <c r="F963" i="11"/>
  <c r="G963" i="11"/>
  <c r="H963" i="11"/>
  <c r="I963" i="11"/>
  <c r="J963" i="11"/>
  <c r="K963" i="11"/>
  <c r="L963" i="11"/>
  <c r="M963" i="11"/>
  <c r="N963" i="11"/>
  <c r="O963" i="11"/>
  <c r="P963" i="11"/>
  <c r="Q963" i="11"/>
  <c r="R963" i="11"/>
  <c r="D964" i="11"/>
  <c r="E964" i="11"/>
  <c r="F964" i="11"/>
  <c r="G964" i="11"/>
  <c r="H964" i="11"/>
  <c r="I964" i="11"/>
  <c r="J964" i="11"/>
  <c r="K964" i="11"/>
  <c r="L964" i="11"/>
  <c r="M964" i="11"/>
  <c r="N964" i="11"/>
  <c r="O964" i="11"/>
  <c r="P964" i="11"/>
  <c r="Q964" i="11"/>
  <c r="R964" i="11"/>
  <c r="D965" i="11"/>
  <c r="E965" i="11"/>
  <c r="F965" i="11"/>
  <c r="G965" i="11"/>
  <c r="H965" i="11"/>
  <c r="I965" i="11"/>
  <c r="J965" i="11"/>
  <c r="K965" i="11"/>
  <c r="L965" i="11"/>
  <c r="M965" i="11"/>
  <c r="N965" i="11"/>
  <c r="O965" i="11"/>
  <c r="P965" i="11"/>
  <c r="Q965" i="11"/>
  <c r="R965" i="11"/>
  <c r="D966" i="11"/>
  <c r="E966" i="11"/>
  <c r="F966" i="11"/>
  <c r="G966" i="11"/>
  <c r="H966" i="11"/>
  <c r="I966" i="11"/>
  <c r="J966" i="11"/>
  <c r="K966" i="11"/>
  <c r="L966" i="11"/>
  <c r="M966" i="11"/>
  <c r="N966" i="11"/>
  <c r="O966" i="11"/>
  <c r="P966" i="11"/>
  <c r="Q966" i="11"/>
  <c r="R966" i="11"/>
  <c r="D967" i="11"/>
  <c r="E967" i="11"/>
  <c r="F967" i="11"/>
  <c r="G967" i="11"/>
  <c r="H967" i="11"/>
  <c r="I967" i="11"/>
  <c r="J967" i="11"/>
  <c r="K967" i="11"/>
  <c r="L967" i="11"/>
  <c r="M967" i="11"/>
  <c r="N967" i="11"/>
  <c r="O967" i="11"/>
  <c r="P967" i="11"/>
  <c r="Q967" i="11"/>
  <c r="R967" i="11"/>
  <c r="D968" i="11"/>
  <c r="E968" i="11"/>
  <c r="F968" i="11"/>
  <c r="G968" i="11"/>
  <c r="H968" i="11"/>
  <c r="I968" i="11"/>
  <c r="J968" i="11"/>
  <c r="K968" i="11"/>
  <c r="L968" i="11"/>
  <c r="M968" i="11"/>
  <c r="N968" i="11"/>
  <c r="O968" i="11"/>
  <c r="P968" i="11"/>
  <c r="Q968" i="11"/>
  <c r="R968" i="11"/>
  <c r="D969" i="11"/>
  <c r="E969" i="11"/>
  <c r="F969" i="11"/>
  <c r="G969" i="11"/>
  <c r="H969" i="11"/>
  <c r="I969" i="11"/>
  <c r="J969" i="11"/>
  <c r="K969" i="11"/>
  <c r="L969" i="11"/>
  <c r="M969" i="11"/>
  <c r="N969" i="11"/>
  <c r="O969" i="11"/>
  <c r="P969" i="11"/>
  <c r="Q969" i="11"/>
  <c r="R969" i="11"/>
  <c r="D970" i="11"/>
  <c r="E970" i="11"/>
  <c r="F970" i="11"/>
  <c r="G970" i="11"/>
  <c r="H970" i="11"/>
  <c r="I970" i="11"/>
  <c r="J970" i="11"/>
  <c r="K970" i="11"/>
  <c r="L970" i="11"/>
  <c r="M970" i="11"/>
  <c r="N970" i="11"/>
  <c r="O970" i="11"/>
  <c r="P970" i="11"/>
  <c r="Q970" i="11"/>
  <c r="R970" i="11"/>
  <c r="D971" i="11"/>
  <c r="E971" i="11"/>
  <c r="F971" i="11"/>
  <c r="G971" i="11"/>
  <c r="H971" i="11"/>
  <c r="I971" i="11"/>
  <c r="J971" i="11"/>
  <c r="K971" i="11"/>
  <c r="L971" i="11"/>
  <c r="M971" i="11"/>
  <c r="N971" i="11"/>
  <c r="O971" i="11"/>
  <c r="P971" i="11"/>
  <c r="Q971" i="11"/>
  <c r="R971" i="11"/>
  <c r="D972" i="11"/>
  <c r="E972" i="11"/>
  <c r="F972" i="11"/>
  <c r="G972" i="11"/>
  <c r="H972" i="11"/>
  <c r="I972" i="11"/>
  <c r="J972" i="11"/>
  <c r="K972" i="11"/>
  <c r="L972" i="11"/>
  <c r="M972" i="11"/>
  <c r="N972" i="11"/>
  <c r="O972" i="11"/>
  <c r="P972" i="11"/>
  <c r="Q972" i="11"/>
  <c r="R972" i="11"/>
  <c r="D973" i="11"/>
  <c r="E973" i="11"/>
  <c r="F973" i="11"/>
  <c r="G973" i="11"/>
  <c r="H973" i="11"/>
  <c r="I973" i="11"/>
  <c r="J973" i="11"/>
  <c r="K973" i="11"/>
  <c r="L973" i="11"/>
  <c r="M973" i="11"/>
  <c r="N973" i="11"/>
  <c r="O973" i="11"/>
  <c r="P973" i="11"/>
  <c r="Q973" i="11"/>
  <c r="R973" i="11"/>
  <c r="D974" i="11"/>
  <c r="E974" i="11"/>
  <c r="F974" i="11"/>
  <c r="G974" i="11"/>
  <c r="H974" i="11"/>
  <c r="I974" i="11"/>
  <c r="J974" i="11"/>
  <c r="K974" i="11"/>
  <c r="L974" i="11"/>
  <c r="M974" i="11"/>
  <c r="N974" i="11"/>
  <c r="O974" i="11"/>
  <c r="P974" i="11"/>
  <c r="Q974" i="11"/>
  <c r="R974" i="11"/>
  <c r="D975" i="11"/>
  <c r="E975" i="11"/>
  <c r="F975" i="11"/>
  <c r="G975" i="11"/>
  <c r="H975" i="11"/>
  <c r="I975" i="11"/>
  <c r="J975" i="11"/>
  <c r="K975" i="11"/>
  <c r="L975" i="11"/>
  <c r="M975" i="11"/>
  <c r="N975" i="11"/>
  <c r="O975" i="11"/>
  <c r="P975" i="11"/>
  <c r="Q975" i="11"/>
  <c r="R975" i="11"/>
  <c r="D976" i="11"/>
  <c r="E976" i="11"/>
  <c r="F976" i="11"/>
  <c r="G976" i="11"/>
  <c r="H976" i="11"/>
  <c r="I976" i="11"/>
  <c r="J976" i="11"/>
  <c r="K976" i="11"/>
  <c r="L976" i="11"/>
  <c r="M976" i="11"/>
  <c r="N976" i="11"/>
  <c r="O976" i="11"/>
  <c r="P976" i="11"/>
  <c r="Q976" i="11"/>
  <c r="R976" i="11"/>
  <c r="D977" i="11"/>
  <c r="E977" i="11"/>
  <c r="F977" i="11"/>
  <c r="G977" i="11"/>
  <c r="H977" i="11"/>
  <c r="I977" i="11"/>
  <c r="J977" i="11"/>
  <c r="K977" i="11"/>
  <c r="L977" i="11"/>
  <c r="M977" i="11"/>
  <c r="N977" i="11"/>
  <c r="O977" i="11"/>
  <c r="P977" i="11"/>
  <c r="Q977" i="11"/>
  <c r="R977" i="11"/>
  <c r="D978" i="11"/>
  <c r="E978" i="11"/>
  <c r="F978" i="11"/>
  <c r="G978" i="11"/>
  <c r="H978" i="11"/>
  <c r="I978" i="11"/>
  <c r="J978" i="11"/>
  <c r="K978" i="11"/>
  <c r="L978" i="11"/>
  <c r="M978" i="11"/>
  <c r="N978" i="11"/>
  <c r="O978" i="11"/>
  <c r="P978" i="11"/>
  <c r="Q978" i="11"/>
  <c r="R978" i="11"/>
  <c r="D979" i="11"/>
  <c r="E979" i="11"/>
  <c r="F979" i="11"/>
  <c r="G979" i="11"/>
  <c r="H979" i="11"/>
  <c r="I979" i="11"/>
  <c r="J979" i="11"/>
  <c r="K979" i="11"/>
  <c r="L979" i="11"/>
  <c r="M979" i="11"/>
  <c r="N979" i="11"/>
  <c r="O979" i="11"/>
  <c r="P979" i="11"/>
  <c r="Q979" i="11"/>
  <c r="R979" i="11"/>
  <c r="D980" i="11"/>
  <c r="E980" i="11"/>
  <c r="F980" i="11"/>
  <c r="G980" i="11"/>
  <c r="H980" i="11"/>
  <c r="I980" i="11"/>
  <c r="J980" i="11"/>
  <c r="K980" i="11"/>
  <c r="L980" i="11"/>
  <c r="M980" i="11"/>
  <c r="N980" i="11"/>
  <c r="O980" i="11"/>
  <c r="P980" i="11"/>
  <c r="Q980" i="11"/>
  <c r="R980" i="11"/>
  <c r="D851" i="11"/>
  <c r="E851" i="11"/>
  <c r="F851" i="11"/>
  <c r="G851" i="11"/>
  <c r="H851" i="11"/>
  <c r="I851" i="11"/>
  <c r="J851" i="11"/>
  <c r="K851" i="11"/>
  <c r="L851" i="11"/>
  <c r="M851" i="11"/>
  <c r="N851" i="11"/>
  <c r="O851" i="11"/>
  <c r="P851" i="11"/>
  <c r="Q851" i="11"/>
  <c r="R851" i="11"/>
  <c r="D852" i="11"/>
  <c r="E852" i="11"/>
  <c r="F852" i="11"/>
  <c r="G852" i="11"/>
  <c r="H852" i="11"/>
  <c r="I852" i="11"/>
  <c r="J852" i="11"/>
  <c r="K852" i="11"/>
  <c r="L852" i="11"/>
  <c r="M852" i="11"/>
  <c r="N852" i="11"/>
  <c r="O852" i="11"/>
  <c r="P852" i="11"/>
  <c r="Q852" i="11"/>
  <c r="R852" i="11"/>
  <c r="D853" i="11"/>
  <c r="E853" i="11"/>
  <c r="F853" i="11"/>
  <c r="G853" i="11"/>
  <c r="H853" i="11"/>
  <c r="I853" i="11"/>
  <c r="J853" i="11"/>
  <c r="K853" i="11"/>
  <c r="L853" i="11"/>
  <c r="M853" i="11"/>
  <c r="N853" i="11"/>
  <c r="O853" i="11"/>
  <c r="P853" i="11"/>
  <c r="Q853" i="11"/>
  <c r="R853" i="11"/>
  <c r="D854" i="11"/>
  <c r="E854" i="11"/>
  <c r="F854" i="11"/>
  <c r="G854" i="11"/>
  <c r="H854" i="11"/>
  <c r="I854" i="11"/>
  <c r="J854" i="11"/>
  <c r="K854" i="11"/>
  <c r="L854" i="11"/>
  <c r="M854" i="11"/>
  <c r="N854" i="11"/>
  <c r="O854" i="11"/>
  <c r="P854" i="11"/>
  <c r="Q854" i="11"/>
  <c r="R854" i="11"/>
  <c r="D855" i="11"/>
  <c r="E855" i="11"/>
  <c r="F855" i="11"/>
  <c r="G855" i="11"/>
  <c r="H855" i="11"/>
  <c r="I855" i="11"/>
  <c r="J855" i="11"/>
  <c r="K855" i="11"/>
  <c r="L855" i="11"/>
  <c r="M855" i="11"/>
  <c r="N855" i="11"/>
  <c r="O855" i="11"/>
  <c r="P855" i="11"/>
  <c r="Q855" i="11"/>
  <c r="R855" i="11"/>
  <c r="D856" i="11"/>
  <c r="E856" i="11"/>
  <c r="F856" i="11"/>
  <c r="G856" i="11"/>
  <c r="H856" i="11"/>
  <c r="I856" i="11"/>
  <c r="J856" i="11"/>
  <c r="K856" i="11"/>
  <c r="L856" i="11"/>
  <c r="M856" i="11"/>
  <c r="N856" i="11"/>
  <c r="O856" i="11"/>
  <c r="P856" i="11"/>
  <c r="Q856" i="11"/>
  <c r="R856" i="11"/>
  <c r="D857" i="11"/>
  <c r="E857" i="11"/>
  <c r="F857" i="11"/>
  <c r="G857" i="11"/>
  <c r="H857" i="11"/>
  <c r="I857" i="11"/>
  <c r="J857" i="11"/>
  <c r="K857" i="11"/>
  <c r="L857" i="11"/>
  <c r="M857" i="11"/>
  <c r="N857" i="11"/>
  <c r="O857" i="11"/>
  <c r="P857" i="11"/>
  <c r="Q857" i="11"/>
  <c r="R857" i="11"/>
  <c r="D858" i="11"/>
  <c r="E858" i="11"/>
  <c r="F858" i="11"/>
  <c r="G858" i="11"/>
  <c r="H858" i="11"/>
  <c r="I858" i="11"/>
  <c r="J858" i="11"/>
  <c r="K858" i="11"/>
  <c r="L858" i="11"/>
  <c r="M858" i="11"/>
  <c r="N858" i="11"/>
  <c r="O858" i="11"/>
  <c r="P858" i="11"/>
  <c r="Q858" i="11"/>
  <c r="R858" i="11"/>
  <c r="D859" i="11"/>
  <c r="E859" i="11"/>
  <c r="F859" i="11"/>
  <c r="G859" i="11"/>
  <c r="H859" i="11"/>
  <c r="I859" i="11"/>
  <c r="J859" i="11"/>
  <c r="K859" i="11"/>
  <c r="L859" i="11"/>
  <c r="M859" i="11"/>
  <c r="N859" i="11"/>
  <c r="O859" i="11"/>
  <c r="P859" i="11"/>
  <c r="Q859" i="11"/>
  <c r="R859" i="11"/>
  <c r="D860" i="11"/>
  <c r="E860" i="11"/>
  <c r="F860" i="11"/>
  <c r="G860" i="11"/>
  <c r="H860" i="11"/>
  <c r="I860" i="11"/>
  <c r="J860" i="11"/>
  <c r="K860" i="11"/>
  <c r="L860" i="11"/>
  <c r="M860" i="11"/>
  <c r="N860" i="11"/>
  <c r="O860" i="11"/>
  <c r="P860" i="11"/>
  <c r="Q860" i="11"/>
  <c r="R860" i="11"/>
  <c r="D861" i="11"/>
  <c r="E861" i="11"/>
  <c r="F861" i="11"/>
  <c r="G861" i="11"/>
  <c r="H861" i="11"/>
  <c r="I861" i="11"/>
  <c r="J861" i="11"/>
  <c r="K861" i="11"/>
  <c r="L861" i="11"/>
  <c r="M861" i="11"/>
  <c r="N861" i="11"/>
  <c r="O861" i="11"/>
  <c r="P861" i="11"/>
  <c r="Q861" i="11"/>
  <c r="R861" i="11"/>
  <c r="D862" i="11"/>
  <c r="E862" i="11"/>
  <c r="F862" i="11"/>
  <c r="G862" i="11"/>
  <c r="H862" i="11"/>
  <c r="I862" i="11"/>
  <c r="J862" i="11"/>
  <c r="K862" i="11"/>
  <c r="L862" i="11"/>
  <c r="M862" i="11"/>
  <c r="N862" i="11"/>
  <c r="O862" i="11"/>
  <c r="P862" i="11"/>
  <c r="Q862" i="11"/>
  <c r="R862" i="11"/>
  <c r="D863" i="11"/>
  <c r="E863" i="11"/>
  <c r="F863" i="11"/>
  <c r="G863" i="11"/>
  <c r="H863" i="11"/>
  <c r="I863" i="11"/>
  <c r="J863" i="11"/>
  <c r="K863" i="11"/>
  <c r="L863" i="11"/>
  <c r="M863" i="11"/>
  <c r="N863" i="11"/>
  <c r="O863" i="11"/>
  <c r="P863" i="11"/>
  <c r="Q863" i="11"/>
  <c r="R863" i="11"/>
  <c r="D864" i="11"/>
  <c r="E864" i="11"/>
  <c r="F864" i="11"/>
  <c r="G864" i="11"/>
  <c r="H864" i="11"/>
  <c r="I864" i="11"/>
  <c r="J864" i="11"/>
  <c r="K864" i="11"/>
  <c r="L864" i="11"/>
  <c r="M864" i="11"/>
  <c r="N864" i="11"/>
  <c r="O864" i="11"/>
  <c r="P864" i="11"/>
  <c r="Q864" i="11"/>
  <c r="R864" i="11"/>
  <c r="D865" i="11"/>
  <c r="E865" i="11"/>
  <c r="F865" i="11"/>
  <c r="G865" i="11"/>
  <c r="H865" i="11"/>
  <c r="I865" i="11"/>
  <c r="J865" i="11"/>
  <c r="K865" i="11"/>
  <c r="L865" i="11"/>
  <c r="M865" i="11"/>
  <c r="N865" i="11"/>
  <c r="O865" i="11"/>
  <c r="P865" i="11"/>
  <c r="Q865" i="11"/>
  <c r="R865" i="11"/>
  <c r="D866" i="11"/>
  <c r="E866" i="11"/>
  <c r="F866" i="11"/>
  <c r="G866" i="11"/>
  <c r="H866" i="11"/>
  <c r="I866" i="11"/>
  <c r="J866" i="11"/>
  <c r="K866" i="11"/>
  <c r="L866" i="11"/>
  <c r="M866" i="11"/>
  <c r="N866" i="11"/>
  <c r="O866" i="11"/>
  <c r="P866" i="11"/>
  <c r="Q866" i="11"/>
  <c r="R866" i="11"/>
  <c r="D867" i="11"/>
  <c r="E867" i="11"/>
  <c r="F867" i="11"/>
  <c r="G867" i="11"/>
  <c r="H867" i="11"/>
  <c r="I867" i="11"/>
  <c r="J867" i="11"/>
  <c r="K867" i="11"/>
  <c r="L867" i="11"/>
  <c r="M867" i="11"/>
  <c r="N867" i="11"/>
  <c r="O867" i="11"/>
  <c r="P867" i="11"/>
  <c r="Q867" i="11"/>
  <c r="R867" i="11"/>
  <c r="D868" i="11"/>
  <c r="E868" i="11"/>
  <c r="F868" i="11"/>
  <c r="G868" i="11"/>
  <c r="H868" i="11"/>
  <c r="I868" i="11"/>
  <c r="J868" i="11"/>
  <c r="K868" i="11"/>
  <c r="L868" i="11"/>
  <c r="M868" i="11"/>
  <c r="N868" i="11"/>
  <c r="O868" i="11"/>
  <c r="P868" i="11"/>
  <c r="Q868" i="11"/>
  <c r="R868" i="11"/>
  <c r="D869" i="11"/>
  <c r="E869" i="11"/>
  <c r="F869" i="11"/>
  <c r="G869" i="11"/>
  <c r="H869" i="11"/>
  <c r="I869" i="11"/>
  <c r="J869" i="11"/>
  <c r="K869" i="11"/>
  <c r="L869" i="11"/>
  <c r="M869" i="11"/>
  <c r="N869" i="11"/>
  <c r="O869" i="11"/>
  <c r="P869" i="11"/>
  <c r="Q869" i="11"/>
  <c r="R869" i="11"/>
  <c r="D870" i="11"/>
  <c r="E870" i="11"/>
  <c r="F870" i="11"/>
  <c r="G870" i="11"/>
  <c r="H870" i="11"/>
  <c r="I870" i="11"/>
  <c r="J870" i="11"/>
  <c r="K870" i="11"/>
  <c r="L870" i="11"/>
  <c r="M870" i="11"/>
  <c r="N870" i="11"/>
  <c r="O870" i="11"/>
  <c r="P870" i="11"/>
  <c r="Q870" i="11"/>
  <c r="R870" i="11"/>
  <c r="D871" i="11"/>
  <c r="E871" i="11"/>
  <c r="F871" i="11"/>
  <c r="G871" i="11"/>
  <c r="H871" i="11"/>
  <c r="I871" i="11"/>
  <c r="J871" i="11"/>
  <c r="K871" i="11"/>
  <c r="L871" i="11"/>
  <c r="M871" i="11"/>
  <c r="N871" i="11"/>
  <c r="O871" i="11"/>
  <c r="P871" i="11"/>
  <c r="Q871" i="11"/>
  <c r="R871" i="11"/>
  <c r="D872" i="11"/>
  <c r="E872" i="11"/>
  <c r="F872" i="11"/>
  <c r="G872" i="11"/>
  <c r="H872" i="11"/>
  <c r="I872" i="11"/>
  <c r="J872" i="11"/>
  <c r="K872" i="11"/>
  <c r="L872" i="11"/>
  <c r="M872" i="11"/>
  <c r="N872" i="11"/>
  <c r="O872" i="11"/>
  <c r="P872" i="11"/>
  <c r="Q872" i="11"/>
  <c r="R872" i="11"/>
  <c r="D873" i="11"/>
  <c r="E873" i="11"/>
  <c r="F873" i="11"/>
  <c r="G873" i="11"/>
  <c r="H873" i="11"/>
  <c r="I873" i="11"/>
  <c r="J873" i="11"/>
  <c r="K873" i="11"/>
  <c r="L873" i="11"/>
  <c r="M873" i="11"/>
  <c r="N873" i="11"/>
  <c r="O873" i="11"/>
  <c r="P873" i="11"/>
  <c r="Q873" i="11"/>
  <c r="R873" i="11"/>
  <c r="D874" i="11"/>
  <c r="E874" i="11"/>
  <c r="F874" i="11"/>
  <c r="G874" i="11"/>
  <c r="H874" i="11"/>
  <c r="I874" i="11"/>
  <c r="J874" i="11"/>
  <c r="K874" i="11"/>
  <c r="L874" i="11"/>
  <c r="M874" i="11"/>
  <c r="N874" i="11"/>
  <c r="O874" i="11"/>
  <c r="P874" i="11"/>
  <c r="Q874" i="11"/>
  <c r="R874" i="11"/>
  <c r="D875" i="11"/>
  <c r="E875" i="11"/>
  <c r="F875" i="11"/>
  <c r="G875" i="11"/>
  <c r="H875" i="11"/>
  <c r="I875" i="11"/>
  <c r="J875" i="11"/>
  <c r="K875" i="11"/>
  <c r="L875" i="11"/>
  <c r="M875" i="11"/>
  <c r="N875" i="11"/>
  <c r="O875" i="11"/>
  <c r="P875" i="11"/>
  <c r="Q875" i="11"/>
  <c r="R875" i="11"/>
  <c r="D876" i="11"/>
  <c r="E876" i="11"/>
  <c r="F876" i="11"/>
  <c r="G876" i="11"/>
  <c r="H876" i="11"/>
  <c r="I876" i="11"/>
  <c r="J876" i="11"/>
  <c r="K876" i="11"/>
  <c r="L876" i="11"/>
  <c r="M876" i="11"/>
  <c r="N876" i="11"/>
  <c r="O876" i="11"/>
  <c r="P876" i="11"/>
  <c r="Q876" i="11"/>
  <c r="R876" i="11"/>
  <c r="D877" i="11"/>
  <c r="E877" i="11"/>
  <c r="F877" i="11"/>
  <c r="G877" i="11"/>
  <c r="H877" i="11"/>
  <c r="I877" i="11"/>
  <c r="J877" i="11"/>
  <c r="K877" i="11"/>
  <c r="L877" i="11"/>
  <c r="M877" i="11"/>
  <c r="N877" i="11"/>
  <c r="O877" i="11"/>
  <c r="P877" i="11"/>
  <c r="Q877" i="11"/>
  <c r="R877" i="11"/>
  <c r="D878" i="11"/>
  <c r="E878" i="11"/>
  <c r="F878" i="11"/>
  <c r="G878" i="11"/>
  <c r="H878" i="11"/>
  <c r="I878" i="11"/>
  <c r="J878" i="11"/>
  <c r="K878" i="11"/>
  <c r="L878" i="11"/>
  <c r="M878" i="11"/>
  <c r="N878" i="11"/>
  <c r="O878" i="11"/>
  <c r="P878" i="11"/>
  <c r="Q878" i="11"/>
  <c r="R878" i="11"/>
  <c r="D879" i="11"/>
  <c r="E879" i="11"/>
  <c r="F879" i="11"/>
  <c r="G879" i="11"/>
  <c r="H879" i="11"/>
  <c r="I879" i="11"/>
  <c r="J879" i="11"/>
  <c r="K879" i="11"/>
  <c r="L879" i="11"/>
  <c r="M879" i="11"/>
  <c r="N879" i="11"/>
  <c r="O879" i="11"/>
  <c r="P879" i="11"/>
  <c r="Q879" i="11"/>
  <c r="R879" i="11"/>
  <c r="D880" i="11"/>
  <c r="E880" i="11"/>
  <c r="F880" i="11"/>
  <c r="G880" i="11"/>
  <c r="H880" i="11"/>
  <c r="I880" i="11"/>
  <c r="J880" i="11"/>
  <c r="K880" i="11"/>
  <c r="L880" i="11"/>
  <c r="M880" i="11"/>
  <c r="N880" i="11"/>
  <c r="O880" i="11"/>
  <c r="P880" i="11"/>
  <c r="Q880" i="11"/>
  <c r="R880" i="11"/>
  <c r="D881" i="11"/>
  <c r="E881" i="11"/>
  <c r="F881" i="11"/>
  <c r="G881" i="11"/>
  <c r="H881" i="11"/>
  <c r="I881" i="11"/>
  <c r="J881" i="11"/>
  <c r="K881" i="11"/>
  <c r="L881" i="11"/>
  <c r="M881" i="11"/>
  <c r="N881" i="11"/>
  <c r="O881" i="11"/>
  <c r="P881" i="11"/>
  <c r="Q881" i="11"/>
  <c r="R881" i="11"/>
  <c r="D882" i="11"/>
  <c r="E882" i="11"/>
  <c r="F882" i="11"/>
  <c r="G882" i="11"/>
  <c r="H882" i="11"/>
  <c r="I882" i="11"/>
  <c r="J882" i="11"/>
  <c r="K882" i="11"/>
  <c r="L882" i="11"/>
  <c r="M882" i="11"/>
  <c r="N882" i="11"/>
  <c r="O882" i="11"/>
  <c r="P882" i="11"/>
  <c r="Q882" i="11"/>
  <c r="R882" i="11"/>
  <c r="D883" i="11"/>
  <c r="E883" i="11"/>
  <c r="F883" i="11"/>
  <c r="G883" i="11"/>
  <c r="H883" i="11"/>
  <c r="I883" i="11"/>
  <c r="J883" i="11"/>
  <c r="K883" i="11"/>
  <c r="L883" i="11"/>
  <c r="M883" i="11"/>
  <c r="N883" i="11"/>
  <c r="O883" i="11"/>
  <c r="P883" i="11"/>
  <c r="Q883" i="11"/>
  <c r="R883" i="11"/>
  <c r="D884" i="11"/>
  <c r="E884" i="11"/>
  <c r="F884" i="11"/>
  <c r="G884" i="11"/>
  <c r="H884" i="11"/>
  <c r="I884" i="11"/>
  <c r="J884" i="11"/>
  <c r="K884" i="11"/>
  <c r="L884" i="11"/>
  <c r="M884" i="11"/>
  <c r="N884" i="11"/>
  <c r="O884" i="11"/>
  <c r="P884" i="11"/>
  <c r="Q884" i="11"/>
  <c r="R884" i="11"/>
  <c r="D885" i="11"/>
  <c r="E885" i="11"/>
  <c r="F885" i="11"/>
  <c r="G885" i="11"/>
  <c r="H885" i="11"/>
  <c r="I885" i="11"/>
  <c r="J885" i="11"/>
  <c r="K885" i="11"/>
  <c r="L885" i="11"/>
  <c r="M885" i="11"/>
  <c r="N885" i="11"/>
  <c r="O885" i="11"/>
  <c r="P885" i="11"/>
  <c r="Q885" i="11"/>
  <c r="R885" i="11"/>
  <c r="D886" i="11"/>
  <c r="E886" i="11"/>
  <c r="F886" i="11"/>
  <c r="G886" i="11"/>
  <c r="H886" i="11"/>
  <c r="I886" i="11"/>
  <c r="J886" i="11"/>
  <c r="K886" i="11"/>
  <c r="L886" i="11"/>
  <c r="M886" i="11"/>
  <c r="N886" i="11"/>
  <c r="O886" i="11"/>
  <c r="P886" i="11"/>
  <c r="Q886" i="11"/>
  <c r="R886" i="11"/>
  <c r="D887" i="11"/>
  <c r="E887" i="11"/>
  <c r="F887" i="11"/>
  <c r="G887" i="11"/>
  <c r="H887" i="11"/>
  <c r="I887" i="11"/>
  <c r="J887" i="11"/>
  <c r="K887" i="11"/>
  <c r="L887" i="11"/>
  <c r="M887" i="11"/>
  <c r="N887" i="11"/>
  <c r="O887" i="11"/>
  <c r="P887" i="11"/>
  <c r="Q887" i="11"/>
  <c r="R887" i="11"/>
  <c r="D888" i="11"/>
  <c r="E888" i="11"/>
  <c r="F888" i="11"/>
  <c r="G888" i="11"/>
  <c r="H888" i="11"/>
  <c r="I888" i="11"/>
  <c r="J888" i="11"/>
  <c r="K888" i="11"/>
  <c r="L888" i="11"/>
  <c r="M888" i="11"/>
  <c r="N888" i="11"/>
  <c r="O888" i="11"/>
  <c r="P888" i="11"/>
  <c r="Q888" i="11"/>
  <c r="R888" i="11"/>
  <c r="D889" i="11"/>
  <c r="E889" i="11"/>
  <c r="F889" i="11"/>
  <c r="G889" i="11"/>
  <c r="H889" i="11"/>
  <c r="I889" i="11"/>
  <c r="J889" i="11"/>
  <c r="K889" i="11"/>
  <c r="L889" i="11"/>
  <c r="M889" i="11"/>
  <c r="N889" i="11"/>
  <c r="O889" i="11"/>
  <c r="P889" i="11"/>
  <c r="Q889" i="11"/>
  <c r="R889" i="11"/>
  <c r="D890" i="11"/>
  <c r="E890" i="11"/>
  <c r="F890" i="11"/>
  <c r="G890" i="11"/>
  <c r="H890" i="11"/>
  <c r="I890" i="11"/>
  <c r="J890" i="11"/>
  <c r="K890" i="11"/>
  <c r="L890" i="11"/>
  <c r="M890" i="11"/>
  <c r="N890" i="11"/>
  <c r="O890" i="11"/>
  <c r="P890" i="11"/>
  <c r="Q890" i="11"/>
  <c r="R890" i="11"/>
  <c r="D891" i="11"/>
  <c r="E891" i="11"/>
  <c r="F891" i="11"/>
  <c r="G891" i="11"/>
  <c r="H891" i="11"/>
  <c r="I891" i="11"/>
  <c r="J891" i="11"/>
  <c r="K891" i="11"/>
  <c r="L891" i="11"/>
  <c r="M891" i="11"/>
  <c r="N891" i="11"/>
  <c r="O891" i="11"/>
  <c r="P891" i="11"/>
  <c r="Q891" i="11"/>
  <c r="R891" i="11"/>
  <c r="D892" i="11"/>
  <c r="E892" i="11"/>
  <c r="F892" i="11"/>
  <c r="G892" i="11"/>
  <c r="H892" i="11"/>
  <c r="I892" i="11"/>
  <c r="J892" i="11"/>
  <c r="K892" i="11"/>
  <c r="L892" i="11"/>
  <c r="M892" i="11"/>
  <c r="N892" i="11"/>
  <c r="O892" i="11"/>
  <c r="P892" i="11"/>
  <c r="Q892" i="11"/>
  <c r="R892" i="11"/>
  <c r="D893" i="11"/>
  <c r="E893" i="11"/>
  <c r="F893" i="11"/>
  <c r="G893" i="11"/>
  <c r="H893" i="11"/>
  <c r="I893" i="11"/>
  <c r="J893" i="11"/>
  <c r="K893" i="11"/>
  <c r="L893" i="11"/>
  <c r="M893" i="11"/>
  <c r="N893" i="11"/>
  <c r="O893" i="11"/>
  <c r="P893" i="11"/>
  <c r="Q893" i="11"/>
  <c r="R893" i="11"/>
  <c r="D894" i="11"/>
  <c r="E894" i="11"/>
  <c r="F894" i="11"/>
  <c r="G894" i="11"/>
  <c r="H894" i="11"/>
  <c r="I894" i="11"/>
  <c r="J894" i="11"/>
  <c r="K894" i="11"/>
  <c r="L894" i="11"/>
  <c r="M894" i="11"/>
  <c r="N894" i="11"/>
  <c r="O894" i="11"/>
  <c r="P894" i="11"/>
  <c r="Q894" i="11"/>
  <c r="R894" i="11"/>
  <c r="D895" i="11"/>
  <c r="E895" i="11"/>
  <c r="F895" i="11"/>
  <c r="G895" i="11"/>
  <c r="H895" i="11"/>
  <c r="I895" i="11"/>
  <c r="J895" i="11"/>
  <c r="K895" i="11"/>
  <c r="L895" i="11"/>
  <c r="M895" i="11"/>
  <c r="N895" i="11"/>
  <c r="O895" i="11"/>
  <c r="P895" i="11"/>
  <c r="Q895" i="11"/>
  <c r="R895" i="11"/>
  <c r="D896" i="11"/>
  <c r="E896" i="11"/>
  <c r="F896" i="11"/>
  <c r="G896" i="11"/>
  <c r="H896" i="11"/>
  <c r="I896" i="11"/>
  <c r="J896" i="11"/>
  <c r="K896" i="11"/>
  <c r="L896" i="11"/>
  <c r="M896" i="11"/>
  <c r="N896" i="11"/>
  <c r="O896" i="11"/>
  <c r="P896" i="11"/>
  <c r="Q896" i="11"/>
  <c r="R896" i="11"/>
  <c r="D897" i="11"/>
  <c r="E897" i="11"/>
  <c r="F897" i="11"/>
  <c r="G897" i="11"/>
  <c r="H897" i="11"/>
  <c r="I897" i="11"/>
  <c r="J897" i="11"/>
  <c r="K897" i="11"/>
  <c r="L897" i="11"/>
  <c r="M897" i="11"/>
  <c r="N897" i="11"/>
  <c r="O897" i="11"/>
  <c r="P897" i="11"/>
  <c r="Q897" i="11"/>
  <c r="R897" i="11"/>
  <c r="D898" i="11"/>
  <c r="E898" i="11"/>
  <c r="F898" i="11"/>
  <c r="G898" i="11"/>
  <c r="H898" i="11"/>
  <c r="I898" i="11"/>
  <c r="J898" i="11"/>
  <c r="K898" i="11"/>
  <c r="L898" i="11"/>
  <c r="M898" i="11"/>
  <c r="N898" i="11"/>
  <c r="O898" i="11"/>
  <c r="P898" i="11"/>
  <c r="Q898" i="11"/>
  <c r="R898" i="11"/>
  <c r="D899" i="11"/>
  <c r="E899" i="11"/>
  <c r="F899" i="11"/>
  <c r="G899" i="11"/>
  <c r="H899" i="11"/>
  <c r="I899" i="11"/>
  <c r="J899" i="11"/>
  <c r="K899" i="11"/>
  <c r="L899" i="11"/>
  <c r="M899" i="11"/>
  <c r="N899" i="11"/>
  <c r="O899" i="11"/>
  <c r="P899" i="11"/>
  <c r="Q899" i="11"/>
  <c r="R899" i="11"/>
  <c r="D900" i="11"/>
  <c r="E900" i="11"/>
  <c r="F900" i="11"/>
  <c r="G900" i="11"/>
  <c r="H900" i="11"/>
  <c r="I900" i="11"/>
  <c r="J900" i="11"/>
  <c r="K900" i="11"/>
  <c r="L900" i="11"/>
  <c r="M900" i="11"/>
  <c r="N900" i="11"/>
  <c r="O900" i="11"/>
  <c r="P900" i="11"/>
  <c r="Q900" i="11"/>
  <c r="R900" i="11"/>
  <c r="D901" i="11"/>
  <c r="E901" i="11"/>
  <c r="F901" i="11"/>
  <c r="G901" i="11"/>
  <c r="H901" i="11"/>
  <c r="I901" i="11"/>
  <c r="J901" i="11"/>
  <c r="K901" i="11"/>
  <c r="L901" i="11"/>
  <c r="M901" i="11"/>
  <c r="N901" i="11"/>
  <c r="O901" i="11"/>
  <c r="P901" i="11"/>
  <c r="Q901" i="11"/>
  <c r="R901" i="11"/>
  <c r="D902" i="11"/>
  <c r="E902" i="11"/>
  <c r="F902" i="11"/>
  <c r="G902" i="11"/>
  <c r="H902" i="11"/>
  <c r="I902" i="11"/>
  <c r="J902" i="11"/>
  <c r="K902" i="11"/>
  <c r="L902" i="11"/>
  <c r="M902" i="11"/>
  <c r="N902" i="11"/>
  <c r="O902" i="11"/>
  <c r="P902" i="11"/>
  <c r="Q902" i="11"/>
  <c r="R902" i="11"/>
  <c r="D903" i="11"/>
  <c r="E903" i="11"/>
  <c r="F903" i="11"/>
  <c r="G903" i="11"/>
  <c r="H903" i="11"/>
  <c r="I903" i="11"/>
  <c r="J903" i="11"/>
  <c r="K903" i="11"/>
  <c r="L903" i="11"/>
  <c r="M903" i="11"/>
  <c r="N903" i="11"/>
  <c r="O903" i="11"/>
  <c r="P903" i="11"/>
  <c r="Q903" i="11"/>
  <c r="R903" i="11"/>
  <c r="D904" i="11"/>
  <c r="E904" i="11"/>
  <c r="F904" i="11"/>
  <c r="G904" i="11"/>
  <c r="H904" i="11"/>
  <c r="I904" i="11"/>
  <c r="J904" i="11"/>
  <c r="K904" i="11"/>
  <c r="L904" i="11"/>
  <c r="M904" i="11"/>
  <c r="N904" i="11"/>
  <c r="O904" i="11"/>
  <c r="P904" i="11"/>
  <c r="Q904" i="11"/>
  <c r="R904" i="11"/>
  <c r="D905" i="11"/>
  <c r="E905" i="11"/>
  <c r="F905" i="11"/>
  <c r="G905" i="11"/>
  <c r="H905" i="11"/>
  <c r="I905" i="11"/>
  <c r="J905" i="11"/>
  <c r="K905" i="11"/>
  <c r="L905" i="11"/>
  <c r="M905" i="11"/>
  <c r="N905" i="11"/>
  <c r="O905" i="11"/>
  <c r="P905" i="11"/>
  <c r="Q905" i="11"/>
  <c r="R905" i="11"/>
  <c r="D906" i="11"/>
  <c r="E906" i="11"/>
  <c r="F906" i="11"/>
  <c r="G906" i="11"/>
  <c r="H906" i="11"/>
  <c r="I906" i="11"/>
  <c r="J906" i="11"/>
  <c r="K906" i="11"/>
  <c r="L906" i="11"/>
  <c r="M906" i="11"/>
  <c r="N906" i="11"/>
  <c r="O906" i="11"/>
  <c r="P906" i="11"/>
  <c r="Q906" i="11"/>
  <c r="R906" i="11"/>
  <c r="D907" i="11"/>
  <c r="E907" i="11"/>
  <c r="F907" i="11"/>
  <c r="G907" i="11"/>
  <c r="H907" i="11"/>
  <c r="I907" i="11"/>
  <c r="J907" i="11"/>
  <c r="K907" i="11"/>
  <c r="L907" i="11"/>
  <c r="M907" i="11"/>
  <c r="N907" i="11"/>
  <c r="O907" i="11"/>
  <c r="P907" i="11"/>
  <c r="Q907" i="11"/>
  <c r="R907" i="11"/>
  <c r="D908" i="11"/>
  <c r="E908" i="11"/>
  <c r="F908" i="11"/>
  <c r="G908" i="11"/>
  <c r="H908" i="11"/>
  <c r="I908" i="11"/>
  <c r="J908" i="11"/>
  <c r="K908" i="11"/>
  <c r="L908" i="11"/>
  <c r="M908" i="11"/>
  <c r="N908" i="11"/>
  <c r="O908" i="11"/>
  <c r="P908" i="11"/>
  <c r="Q908" i="11"/>
  <c r="R908" i="11"/>
  <c r="D909" i="11"/>
  <c r="E909" i="11"/>
  <c r="F909" i="11"/>
  <c r="G909" i="11"/>
  <c r="H909" i="11"/>
  <c r="I909" i="11"/>
  <c r="J909" i="11"/>
  <c r="K909" i="11"/>
  <c r="L909" i="11"/>
  <c r="M909" i="11"/>
  <c r="N909" i="11"/>
  <c r="O909" i="11"/>
  <c r="P909" i="11"/>
  <c r="Q909" i="11"/>
  <c r="R909" i="11"/>
  <c r="D910" i="11"/>
  <c r="E910" i="11"/>
  <c r="F910" i="11"/>
  <c r="G910" i="11"/>
  <c r="H910" i="11"/>
  <c r="I910" i="11"/>
  <c r="J910" i="11"/>
  <c r="K910" i="11"/>
  <c r="L910" i="11"/>
  <c r="M910" i="11"/>
  <c r="N910" i="11"/>
  <c r="O910" i="11"/>
  <c r="P910" i="11"/>
  <c r="Q910" i="11"/>
  <c r="R910" i="11"/>
  <c r="D805" i="11"/>
  <c r="E805" i="11"/>
  <c r="F805" i="11"/>
  <c r="G805" i="11"/>
  <c r="H805" i="11"/>
  <c r="I805" i="11"/>
  <c r="J805" i="11"/>
  <c r="K805" i="11"/>
  <c r="L805" i="11"/>
  <c r="M805" i="11"/>
  <c r="N805" i="11"/>
  <c r="O805" i="11"/>
  <c r="P805" i="11"/>
  <c r="Q805" i="11"/>
  <c r="R805" i="11"/>
  <c r="D806" i="11"/>
  <c r="E806" i="11"/>
  <c r="F806" i="11"/>
  <c r="G806" i="11"/>
  <c r="H806" i="11"/>
  <c r="I806" i="11"/>
  <c r="J806" i="11"/>
  <c r="K806" i="11"/>
  <c r="L806" i="11"/>
  <c r="M806" i="11"/>
  <c r="N806" i="11"/>
  <c r="O806" i="11"/>
  <c r="P806" i="11"/>
  <c r="Q806" i="11"/>
  <c r="R806" i="11"/>
  <c r="D807" i="11"/>
  <c r="E807" i="11"/>
  <c r="F807" i="11"/>
  <c r="G807" i="11"/>
  <c r="H807" i="11"/>
  <c r="I807" i="11"/>
  <c r="J807" i="11"/>
  <c r="K807" i="11"/>
  <c r="L807" i="11"/>
  <c r="M807" i="11"/>
  <c r="N807" i="11"/>
  <c r="O807" i="11"/>
  <c r="P807" i="11"/>
  <c r="Q807" i="11"/>
  <c r="R807" i="11"/>
  <c r="D808" i="11"/>
  <c r="E808" i="11"/>
  <c r="F808" i="11"/>
  <c r="G808" i="11"/>
  <c r="H808" i="11"/>
  <c r="I808" i="11"/>
  <c r="J808" i="11"/>
  <c r="K808" i="11"/>
  <c r="L808" i="11"/>
  <c r="M808" i="11"/>
  <c r="N808" i="11"/>
  <c r="O808" i="11"/>
  <c r="P808" i="11"/>
  <c r="Q808" i="11"/>
  <c r="R808" i="11"/>
  <c r="D809" i="11"/>
  <c r="E809" i="11"/>
  <c r="F809" i="11"/>
  <c r="G809" i="11"/>
  <c r="H809" i="11"/>
  <c r="I809" i="11"/>
  <c r="J809" i="11"/>
  <c r="K809" i="11"/>
  <c r="L809" i="11"/>
  <c r="M809" i="11"/>
  <c r="N809" i="11"/>
  <c r="O809" i="11"/>
  <c r="P809" i="11"/>
  <c r="Q809" i="11"/>
  <c r="R809" i="11"/>
  <c r="D810" i="11"/>
  <c r="E810" i="11"/>
  <c r="F810" i="11"/>
  <c r="G810" i="11"/>
  <c r="H810" i="11"/>
  <c r="I810" i="11"/>
  <c r="J810" i="11"/>
  <c r="K810" i="11"/>
  <c r="L810" i="11"/>
  <c r="M810" i="11"/>
  <c r="N810" i="11"/>
  <c r="O810" i="11"/>
  <c r="P810" i="11"/>
  <c r="Q810" i="11"/>
  <c r="R810" i="11"/>
  <c r="D811" i="11"/>
  <c r="E811" i="11"/>
  <c r="F811" i="11"/>
  <c r="G811" i="11"/>
  <c r="H811" i="11"/>
  <c r="I811" i="11"/>
  <c r="J811" i="11"/>
  <c r="K811" i="11"/>
  <c r="L811" i="11"/>
  <c r="M811" i="11"/>
  <c r="N811" i="11"/>
  <c r="O811" i="11"/>
  <c r="P811" i="11"/>
  <c r="Q811" i="11"/>
  <c r="R811" i="11"/>
  <c r="D812" i="11"/>
  <c r="E812" i="11"/>
  <c r="F812" i="11"/>
  <c r="G812" i="11"/>
  <c r="H812" i="11"/>
  <c r="I812" i="11"/>
  <c r="J812" i="11"/>
  <c r="K812" i="11"/>
  <c r="L812" i="11"/>
  <c r="M812" i="11"/>
  <c r="N812" i="11"/>
  <c r="O812" i="11"/>
  <c r="P812" i="11"/>
  <c r="Q812" i="11"/>
  <c r="R812" i="11"/>
  <c r="D813" i="11"/>
  <c r="E813" i="11"/>
  <c r="F813" i="11"/>
  <c r="G813" i="11"/>
  <c r="H813" i="11"/>
  <c r="I813" i="11"/>
  <c r="J813" i="11"/>
  <c r="K813" i="11"/>
  <c r="L813" i="11"/>
  <c r="M813" i="11"/>
  <c r="N813" i="11"/>
  <c r="O813" i="11"/>
  <c r="P813" i="11"/>
  <c r="Q813" i="11"/>
  <c r="R813" i="11"/>
  <c r="D814" i="11"/>
  <c r="E814" i="11"/>
  <c r="F814" i="11"/>
  <c r="G814" i="11"/>
  <c r="H814" i="11"/>
  <c r="I814" i="11"/>
  <c r="J814" i="11"/>
  <c r="K814" i="11"/>
  <c r="L814" i="11"/>
  <c r="M814" i="11"/>
  <c r="N814" i="11"/>
  <c r="O814" i="11"/>
  <c r="P814" i="11"/>
  <c r="Q814" i="11"/>
  <c r="R814" i="11"/>
  <c r="D815" i="11"/>
  <c r="E815" i="11"/>
  <c r="F815" i="11"/>
  <c r="G815" i="11"/>
  <c r="H815" i="11"/>
  <c r="I815" i="11"/>
  <c r="J815" i="11"/>
  <c r="K815" i="11"/>
  <c r="L815" i="11"/>
  <c r="M815" i="11"/>
  <c r="N815" i="11"/>
  <c r="O815" i="11"/>
  <c r="P815" i="11"/>
  <c r="Q815" i="11"/>
  <c r="R815" i="11"/>
  <c r="D816" i="11"/>
  <c r="E816" i="11"/>
  <c r="F816" i="11"/>
  <c r="G816" i="11"/>
  <c r="H816" i="11"/>
  <c r="I816" i="11"/>
  <c r="J816" i="11"/>
  <c r="K816" i="11"/>
  <c r="L816" i="11"/>
  <c r="M816" i="11"/>
  <c r="N816" i="11"/>
  <c r="O816" i="11"/>
  <c r="P816" i="11"/>
  <c r="Q816" i="11"/>
  <c r="R816" i="11"/>
  <c r="D817" i="11"/>
  <c r="E817" i="11"/>
  <c r="F817" i="11"/>
  <c r="G817" i="11"/>
  <c r="H817" i="11"/>
  <c r="I817" i="11"/>
  <c r="J817" i="11"/>
  <c r="K817" i="11"/>
  <c r="L817" i="11"/>
  <c r="M817" i="11"/>
  <c r="N817" i="11"/>
  <c r="O817" i="11"/>
  <c r="P817" i="11"/>
  <c r="Q817" i="11"/>
  <c r="R817" i="11"/>
  <c r="D818" i="11"/>
  <c r="E818" i="11"/>
  <c r="F818" i="11"/>
  <c r="G818" i="11"/>
  <c r="H818" i="11"/>
  <c r="I818" i="11"/>
  <c r="J818" i="11"/>
  <c r="K818" i="11"/>
  <c r="L818" i="11"/>
  <c r="M818" i="11"/>
  <c r="N818" i="11"/>
  <c r="O818" i="11"/>
  <c r="P818" i="11"/>
  <c r="Q818" i="11"/>
  <c r="R818" i="11"/>
  <c r="D819" i="11"/>
  <c r="E819" i="11"/>
  <c r="F819" i="11"/>
  <c r="G819" i="11"/>
  <c r="H819" i="11"/>
  <c r="I819" i="11"/>
  <c r="J819" i="11"/>
  <c r="K819" i="11"/>
  <c r="L819" i="11"/>
  <c r="M819" i="11"/>
  <c r="N819" i="11"/>
  <c r="O819" i="11"/>
  <c r="P819" i="11"/>
  <c r="Q819" i="11"/>
  <c r="R819" i="11"/>
  <c r="D820" i="11"/>
  <c r="E820" i="11"/>
  <c r="F820" i="11"/>
  <c r="G820" i="11"/>
  <c r="H820" i="11"/>
  <c r="I820" i="11"/>
  <c r="J820" i="11"/>
  <c r="K820" i="11"/>
  <c r="L820" i="11"/>
  <c r="M820" i="11"/>
  <c r="N820" i="11"/>
  <c r="O820" i="11"/>
  <c r="P820" i="11"/>
  <c r="Q820" i="11"/>
  <c r="R820" i="11"/>
  <c r="D821" i="11"/>
  <c r="E821" i="11"/>
  <c r="F821" i="11"/>
  <c r="G821" i="11"/>
  <c r="H821" i="11"/>
  <c r="I821" i="11"/>
  <c r="J821" i="11"/>
  <c r="K821" i="11"/>
  <c r="L821" i="11"/>
  <c r="M821" i="11"/>
  <c r="N821" i="11"/>
  <c r="O821" i="11"/>
  <c r="P821" i="11"/>
  <c r="Q821" i="11"/>
  <c r="R821" i="11"/>
  <c r="D822" i="11"/>
  <c r="E822" i="11"/>
  <c r="F822" i="11"/>
  <c r="G822" i="11"/>
  <c r="H822" i="11"/>
  <c r="I822" i="11"/>
  <c r="J822" i="11"/>
  <c r="K822" i="11"/>
  <c r="L822" i="11"/>
  <c r="M822" i="11"/>
  <c r="N822" i="11"/>
  <c r="O822" i="11"/>
  <c r="P822" i="11"/>
  <c r="Q822" i="11"/>
  <c r="R822" i="11"/>
  <c r="D823" i="11"/>
  <c r="E823" i="11"/>
  <c r="F823" i="11"/>
  <c r="G823" i="11"/>
  <c r="H823" i="11"/>
  <c r="I823" i="11"/>
  <c r="J823" i="11"/>
  <c r="K823" i="11"/>
  <c r="L823" i="11"/>
  <c r="M823" i="11"/>
  <c r="N823" i="11"/>
  <c r="O823" i="11"/>
  <c r="P823" i="11"/>
  <c r="Q823" i="11"/>
  <c r="R823" i="11"/>
  <c r="D824" i="11"/>
  <c r="E824" i="11"/>
  <c r="F824" i="11"/>
  <c r="G824" i="11"/>
  <c r="H824" i="11"/>
  <c r="I824" i="11"/>
  <c r="J824" i="11"/>
  <c r="K824" i="11"/>
  <c r="L824" i="11"/>
  <c r="M824" i="11"/>
  <c r="N824" i="11"/>
  <c r="O824" i="11"/>
  <c r="P824" i="11"/>
  <c r="Q824" i="11"/>
  <c r="R824" i="11"/>
  <c r="D825" i="11"/>
  <c r="E825" i="11"/>
  <c r="F825" i="11"/>
  <c r="G825" i="11"/>
  <c r="H825" i="11"/>
  <c r="I825" i="11"/>
  <c r="J825" i="11"/>
  <c r="K825" i="11"/>
  <c r="L825" i="11"/>
  <c r="M825" i="11"/>
  <c r="N825" i="11"/>
  <c r="O825" i="11"/>
  <c r="P825" i="11"/>
  <c r="Q825" i="11"/>
  <c r="R825" i="11"/>
  <c r="D826" i="11"/>
  <c r="E826" i="11"/>
  <c r="F826" i="11"/>
  <c r="G826" i="11"/>
  <c r="H826" i="11"/>
  <c r="I826" i="11"/>
  <c r="J826" i="11"/>
  <c r="K826" i="11"/>
  <c r="L826" i="11"/>
  <c r="M826" i="11"/>
  <c r="N826" i="11"/>
  <c r="O826" i="11"/>
  <c r="P826" i="11"/>
  <c r="Q826" i="11"/>
  <c r="R826" i="11"/>
  <c r="D827" i="11"/>
  <c r="E827" i="11"/>
  <c r="F827" i="11"/>
  <c r="G827" i="11"/>
  <c r="H827" i="11"/>
  <c r="I827" i="11"/>
  <c r="J827" i="11"/>
  <c r="K827" i="11"/>
  <c r="L827" i="11"/>
  <c r="M827" i="11"/>
  <c r="N827" i="11"/>
  <c r="O827" i="11"/>
  <c r="P827" i="11"/>
  <c r="Q827" i="11"/>
  <c r="R827" i="11"/>
  <c r="D828" i="11"/>
  <c r="E828" i="11"/>
  <c r="F828" i="11"/>
  <c r="G828" i="11"/>
  <c r="H828" i="11"/>
  <c r="I828" i="11"/>
  <c r="J828" i="11"/>
  <c r="K828" i="11"/>
  <c r="L828" i="11"/>
  <c r="M828" i="11"/>
  <c r="N828" i="11"/>
  <c r="O828" i="11"/>
  <c r="P828" i="11"/>
  <c r="Q828" i="11"/>
  <c r="R828" i="11"/>
  <c r="D829" i="11"/>
  <c r="E829" i="11"/>
  <c r="F829" i="11"/>
  <c r="G829" i="11"/>
  <c r="H829" i="11"/>
  <c r="I829" i="11"/>
  <c r="J829" i="11"/>
  <c r="K829" i="11"/>
  <c r="L829" i="11"/>
  <c r="M829" i="11"/>
  <c r="N829" i="11"/>
  <c r="O829" i="11"/>
  <c r="P829" i="11"/>
  <c r="Q829" i="11"/>
  <c r="R829" i="11"/>
  <c r="D830" i="11"/>
  <c r="E830" i="11"/>
  <c r="F830" i="11"/>
  <c r="G830" i="11"/>
  <c r="H830" i="11"/>
  <c r="I830" i="11"/>
  <c r="J830" i="11"/>
  <c r="K830" i="11"/>
  <c r="L830" i="11"/>
  <c r="M830" i="11"/>
  <c r="N830" i="11"/>
  <c r="O830" i="11"/>
  <c r="P830" i="11"/>
  <c r="Q830" i="11"/>
  <c r="R830" i="11"/>
  <c r="D831" i="11"/>
  <c r="E831" i="11"/>
  <c r="F831" i="11"/>
  <c r="G831" i="11"/>
  <c r="H831" i="11"/>
  <c r="I831" i="11"/>
  <c r="J831" i="11"/>
  <c r="K831" i="11"/>
  <c r="L831" i="11"/>
  <c r="M831" i="11"/>
  <c r="N831" i="11"/>
  <c r="O831" i="11"/>
  <c r="P831" i="11"/>
  <c r="Q831" i="11"/>
  <c r="R831" i="11"/>
  <c r="D832" i="11"/>
  <c r="E832" i="11"/>
  <c r="F832" i="11"/>
  <c r="G832" i="11"/>
  <c r="H832" i="11"/>
  <c r="I832" i="11"/>
  <c r="J832" i="11"/>
  <c r="K832" i="11"/>
  <c r="L832" i="11"/>
  <c r="M832" i="11"/>
  <c r="N832" i="11"/>
  <c r="O832" i="11"/>
  <c r="P832" i="11"/>
  <c r="Q832" i="11"/>
  <c r="R832" i="11"/>
  <c r="D833" i="11"/>
  <c r="E833" i="11"/>
  <c r="F833" i="11"/>
  <c r="G833" i="11"/>
  <c r="H833" i="11"/>
  <c r="I833" i="11"/>
  <c r="J833" i="11"/>
  <c r="K833" i="11"/>
  <c r="L833" i="11"/>
  <c r="M833" i="11"/>
  <c r="N833" i="11"/>
  <c r="O833" i="11"/>
  <c r="P833" i="11"/>
  <c r="Q833" i="11"/>
  <c r="R833" i="11"/>
  <c r="D834" i="11"/>
  <c r="E834" i="11"/>
  <c r="F834" i="11"/>
  <c r="G834" i="11"/>
  <c r="H834" i="11"/>
  <c r="I834" i="11"/>
  <c r="J834" i="11"/>
  <c r="K834" i="11"/>
  <c r="L834" i="11"/>
  <c r="M834" i="11"/>
  <c r="N834" i="11"/>
  <c r="O834" i="11"/>
  <c r="P834" i="11"/>
  <c r="Q834" i="11"/>
  <c r="R834" i="11"/>
  <c r="D835" i="11"/>
  <c r="E835" i="11"/>
  <c r="F835" i="11"/>
  <c r="G835" i="11"/>
  <c r="H835" i="11"/>
  <c r="I835" i="11"/>
  <c r="J835" i="11"/>
  <c r="K835" i="11"/>
  <c r="L835" i="11"/>
  <c r="M835" i="11"/>
  <c r="N835" i="11"/>
  <c r="O835" i="11"/>
  <c r="P835" i="11"/>
  <c r="Q835" i="11"/>
  <c r="R835" i="11"/>
  <c r="D836" i="11"/>
  <c r="E836" i="11"/>
  <c r="F836" i="11"/>
  <c r="G836" i="11"/>
  <c r="H836" i="11"/>
  <c r="I836" i="11"/>
  <c r="J836" i="11"/>
  <c r="K836" i="11"/>
  <c r="L836" i="11"/>
  <c r="M836" i="11"/>
  <c r="N836" i="11"/>
  <c r="O836" i="11"/>
  <c r="P836" i="11"/>
  <c r="Q836" i="11"/>
  <c r="R836" i="11"/>
  <c r="D837" i="11"/>
  <c r="E837" i="11"/>
  <c r="F837" i="11"/>
  <c r="G837" i="11"/>
  <c r="H837" i="11"/>
  <c r="I837" i="11"/>
  <c r="J837" i="11"/>
  <c r="K837" i="11"/>
  <c r="L837" i="11"/>
  <c r="M837" i="11"/>
  <c r="N837" i="11"/>
  <c r="O837" i="11"/>
  <c r="P837" i="11"/>
  <c r="Q837" i="11"/>
  <c r="R837" i="11"/>
  <c r="D838" i="11"/>
  <c r="E838" i="11"/>
  <c r="F838" i="11"/>
  <c r="G838" i="11"/>
  <c r="H838" i="11"/>
  <c r="I838" i="11"/>
  <c r="J838" i="11"/>
  <c r="K838" i="11"/>
  <c r="L838" i="11"/>
  <c r="M838" i="11"/>
  <c r="N838" i="11"/>
  <c r="O838" i="11"/>
  <c r="P838" i="11"/>
  <c r="Q838" i="11"/>
  <c r="R838" i="11"/>
  <c r="D839" i="11"/>
  <c r="E839" i="11"/>
  <c r="F839" i="11"/>
  <c r="G839" i="11"/>
  <c r="H839" i="11"/>
  <c r="I839" i="11"/>
  <c r="J839" i="11"/>
  <c r="K839" i="11"/>
  <c r="L839" i="11"/>
  <c r="M839" i="11"/>
  <c r="N839" i="11"/>
  <c r="O839" i="11"/>
  <c r="P839" i="11"/>
  <c r="Q839" i="11"/>
  <c r="R839" i="11"/>
  <c r="D840" i="11"/>
  <c r="E840" i="11"/>
  <c r="F840" i="11"/>
  <c r="G840" i="11"/>
  <c r="H840" i="11"/>
  <c r="I840" i="11"/>
  <c r="J840" i="11"/>
  <c r="K840" i="11"/>
  <c r="L840" i="11"/>
  <c r="M840" i="11"/>
  <c r="N840" i="11"/>
  <c r="O840" i="11"/>
  <c r="P840" i="11"/>
  <c r="Q840" i="11"/>
  <c r="R840" i="11"/>
  <c r="D841" i="11"/>
  <c r="E841" i="11"/>
  <c r="F841" i="11"/>
  <c r="G841" i="11"/>
  <c r="H841" i="11"/>
  <c r="I841" i="11"/>
  <c r="J841" i="11"/>
  <c r="K841" i="11"/>
  <c r="L841" i="11"/>
  <c r="M841" i="11"/>
  <c r="N841" i="11"/>
  <c r="O841" i="11"/>
  <c r="P841" i="11"/>
  <c r="Q841" i="11"/>
  <c r="R841" i="11"/>
  <c r="D842" i="11"/>
  <c r="E842" i="11"/>
  <c r="F842" i="11"/>
  <c r="G842" i="11"/>
  <c r="H842" i="11"/>
  <c r="I842" i="11"/>
  <c r="J842" i="11"/>
  <c r="K842" i="11"/>
  <c r="L842" i="11"/>
  <c r="M842" i="11"/>
  <c r="N842" i="11"/>
  <c r="O842" i="11"/>
  <c r="P842" i="11"/>
  <c r="Q842" i="11"/>
  <c r="R842" i="11"/>
  <c r="D843" i="11"/>
  <c r="E843" i="11"/>
  <c r="F843" i="11"/>
  <c r="G843" i="11"/>
  <c r="H843" i="11"/>
  <c r="I843" i="11"/>
  <c r="J843" i="11"/>
  <c r="K843" i="11"/>
  <c r="L843" i="11"/>
  <c r="M843" i="11"/>
  <c r="N843" i="11"/>
  <c r="O843" i="11"/>
  <c r="P843" i="11"/>
  <c r="Q843" i="11"/>
  <c r="R843" i="11"/>
  <c r="D844" i="11"/>
  <c r="E844" i="11"/>
  <c r="F844" i="11"/>
  <c r="G844" i="11"/>
  <c r="H844" i="11"/>
  <c r="I844" i="11"/>
  <c r="J844" i="11"/>
  <c r="K844" i="11"/>
  <c r="L844" i="11"/>
  <c r="M844" i="11"/>
  <c r="N844" i="11"/>
  <c r="O844" i="11"/>
  <c r="P844" i="11"/>
  <c r="Q844" i="11"/>
  <c r="R844" i="11"/>
  <c r="D845" i="11"/>
  <c r="E845" i="11"/>
  <c r="F845" i="11"/>
  <c r="G845" i="11"/>
  <c r="H845" i="11"/>
  <c r="I845" i="11"/>
  <c r="J845" i="11"/>
  <c r="K845" i="11"/>
  <c r="L845" i="11"/>
  <c r="M845" i="11"/>
  <c r="N845" i="11"/>
  <c r="O845" i="11"/>
  <c r="P845" i="11"/>
  <c r="Q845" i="11"/>
  <c r="R845" i="11"/>
  <c r="D846" i="11"/>
  <c r="E846" i="11"/>
  <c r="F846" i="11"/>
  <c r="G846" i="11"/>
  <c r="H846" i="11"/>
  <c r="I846" i="11"/>
  <c r="J846" i="11"/>
  <c r="K846" i="11"/>
  <c r="L846" i="11"/>
  <c r="M846" i="11"/>
  <c r="N846" i="11"/>
  <c r="O846" i="11"/>
  <c r="P846" i="11"/>
  <c r="Q846" i="11"/>
  <c r="R846" i="11"/>
  <c r="D847" i="11"/>
  <c r="E847" i="11"/>
  <c r="F847" i="11"/>
  <c r="G847" i="11"/>
  <c r="H847" i="11"/>
  <c r="I847" i="11"/>
  <c r="J847" i="11"/>
  <c r="K847" i="11"/>
  <c r="L847" i="11"/>
  <c r="M847" i="11"/>
  <c r="N847" i="11"/>
  <c r="O847" i="11"/>
  <c r="P847" i="11"/>
  <c r="Q847" i="11"/>
  <c r="R847" i="11"/>
  <c r="D848" i="11"/>
  <c r="E848" i="11"/>
  <c r="F848" i="11"/>
  <c r="G848" i="11"/>
  <c r="H848" i="11"/>
  <c r="I848" i="11"/>
  <c r="J848" i="11"/>
  <c r="K848" i="11"/>
  <c r="L848" i="11"/>
  <c r="M848" i="11"/>
  <c r="N848" i="11"/>
  <c r="O848" i="11"/>
  <c r="P848" i="11"/>
  <c r="Q848" i="11"/>
  <c r="R848" i="11"/>
  <c r="D849" i="11"/>
  <c r="E849" i="11"/>
  <c r="F849" i="11"/>
  <c r="G849" i="11"/>
  <c r="H849" i="11"/>
  <c r="I849" i="11"/>
  <c r="J849" i="11"/>
  <c r="K849" i="11"/>
  <c r="L849" i="11"/>
  <c r="M849" i="11"/>
  <c r="N849" i="11"/>
  <c r="O849" i="11"/>
  <c r="P849" i="11"/>
  <c r="Q849" i="11"/>
  <c r="R849" i="11"/>
  <c r="D850" i="11"/>
  <c r="E850" i="11"/>
  <c r="F850" i="11"/>
  <c r="G850" i="11"/>
  <c r="H850" i="11"/>
  <c r="I850" i="11"/>
  <c r="J850" i="11"/>
  <c r="K850" i="11"/>
  <c r="L850" i="11"/>
  <c r="M850" i="11"/>
  <c r="N850" i="11"/>
  <c r="O850" i="11"/>
  <c r="P850" i="11"/>
  <c r="Q850" i="11"/>
  <c r="R850" i="11"/>
  <c r="D788" i="11"/>
  <c r="E788" i="11"/>
  <c r="F788" i="11"/>
  <c r="G788" i="11"/>
  <c r="H788" i="11"/>
  <c r="I788" i="11"/>
  <c r="J788" i="11"/>
  <c r="K788" i="11"/>
  <c r="L788" i="11"/>
  <c r="M788" i="11"/>
  <c r="N788" i="11"/>
  <c r="O788" i="11"/>
  <c r="P788" i="11"/>
  <c r="Q788" i="11"/>
  <c r="R788" i="11"/>
  <c r="D789" i="11"/>
  <c r="E789" i="11"/>
  <c r="F789" i="11"/>
  <c r="G789" i="11"/>
  <c r="H789" i="11"/>
  <c r="I789" i="11"/>
  <c r="J789" i="11"/>
  <c r="K789" i="11"/>
  <c r="L789" i="11"/>
  <c r="M789" i="11"/>
  <c r="N789" i="11"/>
  <c r="O789" i="11"/>
  <c r="P789" i="11"/>
  <c r="Q789" i="11"/>
  <c r="R789" i="11"/>
  <c r="D790" i="11"/>
  <c r="E790" i="11"/>
  <c r="F790" i="11"/>
  <c r="G790" i="11"/>
  <c r="H790" i="11"/>
  <c r="I790" i="11"/>
  <c r="J790" i="11"/>
  <c r="K790" i="11"/>
  <c r="L790" i="11"/>
  <c r="M790" i="11"/>
  <c r="N790" i="11"/>
  <c r="O790" i="11"/>
  <c r="P790" i="11"/>
  <c r="Q790" i="11"/>
  <c r="R790" i="11"/>
  <c r="D791" i="11"/>
  <c r="E791" i="11"/>
  <c r="F791" i="11"/>
  <c r="G791" i="11"/>
  <c r="H791" i="11"/>
  <c r="I791" i="11"/>
  <c r="J791" i="11"/>
  <c r="K791" i="11"/>
  <c r="L791" i="11"/>
  <c r="M791" i="11"/>
  <c r="N791" i="11"/>
  <c r="O791" i="11"/>
  <c r="P791" i="11"/>
  <c r="Q791" i="11"/>
  <c r="R791" i="11"/>
  <c r="D792" i="11"/>
  <c r="E792" i="11"/>
  <c r="F792" i="11"/>
  <c r="G792" i="11"/>
  <c r="H792" i="11"/>
  <c r="I792" i="11"/>
  <c r="J792" i="11"/>
  <c r="K792" i="11"/>
  <c r="L792" i="11"/>
  <c r="M792" i="11"/>
  <c r="N792" i="11"/>
  <c r="O792" i="11"/>
  <c r="P792" i="11"/>
  <c r="Q792" i="11"/>
  <c r="R792" i="11"/>
  <c r="D793" i="11"/>
  <c r="E793" i="11"/>
  <c r="F793" i="11"/>
  <c r="G793" i="11"/>
  <c r="H793" i="11"/>
  <c r="I793" i="11"/>
  <c r="J793" i="11"/>
  <c r="K793" i="11"/>
  <c r="L793" i="11"/>
  <c r="M793" i="11"/>
  <c r="N793" i="11"/>
  <c r="O793" i="11"/>
  <c r="P793" i="11"/>
  <c r="Q793" i="11"/>
  <c r="R793" i="11"/>
  <c r="D794" i="11"/>
  <c r="E794" i="11"/>
  <c r="F794" i="11"/>
  <c r="G794" i="11"/>
  <c r="H794" i="11"/>
  <c r="I794" i="11"/>
  <c r="J794" i="11"/>
  <c r="K794" i="11"/>
  <c r="L794" i="11"/>
  <c r="M794" i="11"/>
  <c r="N794" i="11"/>
  <c r="O794" i="11"/>
  <c r="P794" i="11"/>
  <c r="Q794" i="11"/>
  <c r="R794" i="11"/>
  <c r="D795" i="11"/>
  <c r="E795" i="11"/>
  <c r="F795" i="11"/>
  <c r="G795" i="11"/>
  <c r="H795" i="11"/>
  <c r="I795" i="11"/>
  <c r="J795" i="11"/>
  <c r="K795" i="11"/>
  <c r="L795" i="11"/>
  <c r="M795" i="11"/>
  <c r="N795" i="11"/>
  <c r="O795" i="11"/>
  <c r="P795" i="11"/>
  <c r="Q795" i="11"/>
  <c r="R795" i="11"/>
  <c r="D796" i="11"/>
  <c r="E796" i="11"/>
  <c r="F796" i="11"/>
  <c r="G796" i="11"/>
  <c r="H796" i="11"/>
  <c r="I796" i="11"/>
  <c r="J796" i="11"/>
  <c r="K796" i="11"/>
  <c r="L796" i="11"/>
  <c r="M796" i="11"/>
  <c r="N796" i="11"/>
  <c r="O796" i="11"/>
  <c r="P796" i="11"/>
  <c r="Q796" i="11"/>
  <c r="R796" i="11"/>
  <c r="D797" i="11"/>
  <c r="E797" i="11"/>
  <c r="F797" i="11"/>
  <c r="G797" i="11"/>
  <c r="H797" i="11"/>
  <c r="I797" i="11"/>
  <c r="J797" i="11"/>
  <c r="K797" i="11"/>
  <c r="L797" i="11"/>
  <c r="M797" i="11"/>
  <c r="N797" i="11"/>
  <c r="O797" i="11"/>
  <c r="P797" i="11"/>
  <c r="Q797" i="11"/>
  <c r="R797" i="11"/>
  <c r="D798" i="11"/>
  <c r="E798" i="11"/>
  <c r="F798" i="11"/>
  <c r="G798" i="11"/>
  <c r="H798" i="11"/>
  <c r="I798" i="11"/>
  <c r="J798" i="11"/>
  <c r="K798" i="11"/>
  <c r="L798" i="11"/>
  <c r="M798" i="11"/>
  <c r="N798" i="11"/>
  <c r="O798" i="11"/>
  <c r="P798" i="11"/>
  <c r="Q798" i="11"/>
  <c r="R798" i="11"/>
  <c r="D799" i="11"/>
  <c r="E799" i="11"/>
  <c r="F799" i="11"/>
  <c r="G799" i="11"/>
  <c r="H799" i="11"/>
  <c r="I799" i="11"/>
  <c r="J799" i="11"/>
  <c r="K799" i="11"/>
  <c r="L799" i="11"/>
  <c r="M799" i="11"/>
  <c r="N799" i="11"/>
  <c r="O799" i="11"/>
  <c r="P799" i="11"/>
  <c r="Q799" i="11"/>
  <c r="R799" i="11"/>
  <c r="D800" i="11"/>
  <c r="E800" i="11"/>
  <c r="F800" i="11"/>
  <c r="G800" i="11"/>
  <c r="H800" i="11"/>
  <c r="I800" i="11"/>
  <c r="J800" i="11"/>
  <c r="K800" i="11"/>
  <c r="L800" i="11"/>
  <c r="M800" i="11"/>
  <c r="N800" i="11"/>
  <c r="O800" i="11"/>
  <c r="P800" i="11"/>
  <c r="Q800" i="11"/>
  <c r="R800" i="11"/>
  <c r="D801" i="11"/>
  <c r="E801" i="11"/>
  <c r="F801" i="11"/>
  <c r="G801" i="11"/>
  <c r="H801" i="11"/>
  <c r="I801" i="11"/>
  <c r="J801" i="11"/>
  <c r="K801" i="11"/>
  <c r="L801" i="11"/>
  <c r="M801" i="11"/>
  <c r="N801" i="11"/>
  <c r="O801" i="11"/>
  <c r="P801" i="11"/>
  <c r="Q801" i="11"/>
  <c r="R801" i="11"/>
  <c r="D802" i="11"/>
  <c r="E802" i="11"/>
  <c r="F802" i="11"/>
  <c r="G802" i="11"/>
  <c r="H802" i="11"/>
  <c r="I802" i="11"/>
  <c r="J802" i="11"/>
  <c r="K802" i="11"/>
  <c r="L802" i="11"/>
  <c r="M802" i="11"/>
  <c r="N802" i="11"/>
  <c r="O802" i="11"/>
  <c r="P802" i="11"/>
  <c r="Q802" i="11"/>
  <c r="R802" i="11"/>
  <c r="D803" i="11"/>
  <c r="E803" i="11"/>
  <c r="F803" i="11"/>
  <c r="G803" i="11"/>
  <c r="H803" i="11"/>
  <c r="I803" i="11"/>
  <c r="J803" i="11"/>
  <c r="K803" i="11"/>
  <c r="L803" i="11"/>
  <c r="M803" i="11"/>
  <c r="N803" i="11"/>
  <c r="O803" i="11"/>
  <c r="P803" i="11"/>
  <c r="Q803" i="11"/>
  <c r="R803" i="11"/>
  <c r="D804" i="11"/>
  <c r="E804" i="11"/>
  <c r="F804" i="11"/>
  <c r="G804" i="11"/>
  <c r="H804" i="11"/>
  <c r="I804" i="11"/>
  <c r="J804" i="11"/>
  <c r="K804" i="11"/>
  <c r="L804" i="11"/>
  <c r="M804" i="11"/>
  <c r="N804" i="11"/>
  <c r="O804" i="11"/>
  <c r="P804" i="11"/>
  <c r="Q804" i="11"/>
  <c r="R804" i="11"/>
  <c r="T61" i="10"/>
  <c r="T62" i="10"/>
  <c r="T114" i="10"/>
  <c r="T115" i="10"/>
  <c r="T116" i="10"/>
  <c r="T117" i="10"/>
  <c r="T166" i="10"/>
  <c r="T167" i="10"/>
  <c r="T219" i="10"/>
  <c r="T220" i="10"/>
  <c r="T221" i="10"/>
  <c r="T222" i="10"/>
  <c r="T255" i="10"/>
  <c r="T256" i="10"/>
  <c r="T291" i="10"/>
  <c r="T292" i="10"/>
  <c r="T293" i="10"/>
  <c r="T294" i="10"/>
  <c r="T385" i="10"/>
  <c r="T386" i="10"/>
  <c r="T477" i="10"/>
  <c r="T478" i="10"/>
  <c r="T479" i="10"/>
  <c r="T480" i="10"/>
  <c r="T660" i="10"/>
  <c r="T661" i="10"/>
  <c r="T662" i="10"/>
  <c r="T663" i="10"/>
  <c r="T664" i="10"/>
  <c r="T665" i="10"/>
  <c r="T726" i="10"/>
  <c r="T727" i="10"/>
  <c r="T788" i="10"/>
  <c r="T789" i="10"/>
  <c r="V312" i="11"/>
  <c r="T312" i="10" s="1"/>
  <c r="V313" i="11"/>
  <c r="V314" i="11"/>
  <c r="V405" i="11"/>
  <c r="V406" i="11"/>
  <c r="V407" i="11"/>
  <c r="V408" i="11"/>
  <c r="D782" i="11"/>
  <c r="E782" i="11"/>
  <c r="F782" i="11"/>
  <c r="G782" i="11"/>
  <c r="H782" i="11"/>
  <c r="J782" i="11"/>
  <c r="K782" i="11"/>
  <c r="L782" i="11"/>
  <c r="M782" i="11"/>
  <c r="N782" i="11"/>
  <c r="O782" i="11"/>
  <c r="P782" i="11"/>
  <c r="Q782" i="11"/>
  <c r="R782" i="11"/>
  <c r="D783" i="11"/>
  <c r="E783" i="11"/>
  <c r="F783" i="11"/>
  <c r="G783" i="11"/>
  <c r="H783" i="11"/>
  <c r="J783" i="11"/>
  <c r="K783" i="11"/>
  <c r="L783" i="11"/>
  <c r="M783" i="11"/>
  <c r="N783" i="11"/>
  <c r="O783" i="11"/>
  <c r="P783" i="11"/>
  <c r="Q783" i="11"/>
  <c r="R783" i="11"/>
  <c r="D784" i="11"/>
  <c r="E784" i="11"/>
  <c r="F784" i="11"/>
  <c r="G784" i="11"/>
  <c r="H784" i="11"/>
  <c r="J784" i="11"/>
  <c r="K784" i="11"/>
  <c r="L784" i="11"/>
  <c r="M784" i="11"/>
  <c r="N784" i="11"/>
  <c r="O784" i="11"/>
  <c r="P784" i="11"/>
  <c r="Q784" i="11"/>
  <c r="R784" i="11"/>
  <c r="D785" i="11"/>
  <c r="E785" i="11"/>
  <c r="F785" i="11"/>
  <c r="G785" i="11"/>
  <c r="H785" i="11"/>
  <c r="J785" i="11"/>
  <c r="K785" i="11"/>
  <c r="L785" i="11"/>
  <c r="M785" i="11"/>
  <c r="N785" i="11"/>
  <c r="O785" i="11"/>
  <c r="P785" i="11"/>
  <c r="Q785" i="11"/>
  <c r="R785" i="11"/>
  <c r="D786" i="11"/>
  <c r="E786" i="11"/>
  <c r="F786" i="11"/>
  <c r="G786" i="11"/>
  <c r="H786" i="11"/>
  <c r="J786" i="11"/>
  <c r="K786" i="11"/>
  <c r="L786" i="11"/>
  <c r="M786" i="11"/>
  <c r="N786" i="11"/>
  <c r="O786" i="11"/>
  <c r="P786" i="11"/>
  <c r="Q786" i="11"/>
  <c r="R786" i="11"/>
  <c r="D787" i="11"/>
  <c r="E787" i="11"/>
  <c r="F787" i="11"/>
  <c r="G787" i="11"/>
  <c r="H787" i="11"/>
  <c r="J787" i="11"/>
  <c r="K787" i="11"/>
  <c r="L787" i="11"/>
  <c r="M787" i="11"/>
  <c r="N787" i="11"/>
  <c r="O787" i="11"/>
  <c r="P787" i="11"/>
  <c r="Q787" i="11"/>
  <c r="R787" i="11"/>
  <c r="D744" i="11"/>
  <c r="E744" i="11"/>
  <c r="F744" i="11"/>
  <c r="G744" i="11"/>
  <c r="H744" i="11"/>
  <c r="J744" i="11"/>
  <c r="K744" i="11"/>
  <c r="L744" i="11"/>
  <c r="M744" i="11"/>
  <c r="N744" i="11"/>
  <c r="O744" i="11"/>
  <c r="P744" i="11"/>
  <c r="Q744" i="11"/>
  <c r="R744" i="11"/>
  <c r="D745" i="11"/>
  <c r="E745" i="11"/>
  <c r="F745" i="11"/>
  <c r="G745" i="11"/>
  <c r="H745" i="11"/>
  <c r="J745" i="11"/>
  <c r="K745" i="11"/>
  <c r="L745" i="11"/>
  <c r="M745" i="11"/>
  <c r="N745" i="11"/>
  <c r="O745" i="11"/>
  <c r="P745" i="11"/>
  <c r="Q745" i="11"/>
  <c r="R745" i="11"/>
  <c r="D746" i="11"/>
  <c r="E746" i="11"/>
  <c r="F746" i="11"/>
  <c r="G746" i="11"/>
  <c r="H746" i="11"/>
  <c r="J746" i="11"/>
  <c r="K746" i="11"/>
  <c r="L746" i="11"/>
  <c r="M746" i="11"/>
  <c r="N746" i="11"/>
  <c r="O746" i="11"/>
  <c r="P746" i="11"/>
  <c r="Q746" i="11"/>
  <c r="R746" i="11"/>
  <c r="D747" i="11"/>
  <c r="E747" i="11"/>
  <c r="F747" i="11"/>
  <c r="G747" i="11"/>
  <c r="H747" i="11"/>
  <c r="J747" i="11"/>
  <c r="K747" i="11"/>
  <c r="L747" i="11"/>
  <c r="M747" i="11"/>
  <c r="N747" i="11"/>
  <c r="O747" i="11"/>
  <c r="P747" i="11"/>
  <c r="Q747" i="11"/>
  <c r="R747" i="11"/>
  <c r="D748" i="11"/>
  <c r="E748" i="11"/>
  <c r="F748" i="11"/>
  <c r="G748" i="11"/>
  <c r="H748" i="11"/>
  <c r="J748" i="11"/>
  <c r="K748" i="11"/>
  <c r="L748" i="11"/>
  <c r="M748" i="11"/>
  <c r="N748" i="11"/>
  <c r="O748" i="11"/>
  <c r="P748" i="11"/>
  <c r="Q748" i="11"/>
  <c r="R748" i="11"/>
  <c r="D749" i="11"/>
  <c r="E749" i="11"/>
  <c r="F749" i="11"/>
  <c r="G749" i="11"/>
  <c r="H749" i="11"/>
  <c r="J749" i="11"/>
  <c r="K749" i="11"/>
  <c r="L749" i="11"/>
  <c r="M749" i="11"/>
  <c r="N749" i="11"/>
  <c r="O749" i="11"/>
  <c r="P749" i="11"/>
  <c r="Q749" i="11"/>
  <c r="R749" i="11"/>
  <c r="D750" i="11"/>
  <c r="E750" i="11"/>
  <c r="F750" i="11"/>
  <c r="G750" i="11"/>
  <c r="H750" i="11"/>
  <c r="J750" i="11"/>
  <c r="K750" i="11"/>
  <c r="L750" i="11"/>
  <c r="M750" i="11"/>
  <c r="N750" i="11"/>
  <c r="O750" i="11"/>
  <c r="P750" i="11"/>
  <c r="Q750" i="11"/>
  <c r="R750" i="11"/>
  <c r="D751" i="11"/>
  <c r="E751" i="11"/>
  <c r="F751" i="11"/>
  <c r="G751" i="11"/>
  <c r="H751" i="11"/>
  <c r="J751" i="11"/>
  <c r="K751" i="11"/>
  <c r="L751" i="11"/>
  <c r="M751" i="11"/>
  <c r="N751" i="11"/>
  <c r="O751" i="11"/>
  <c r="P751" i="11"/>
  <c r="Q751" i="11"/>
  <c r="R751" i="11"/>
  <c r="D752" i="11"/>
  <c r="E752" i="11"/>
  <c r="F752" i="11"/>
  <c r="G752" i="11"/>
  <c r="H752" i="11"/>
  <c r="J752" i="11"/>
  <c r="K752" i="11"/>
  <c r="L752" i="11"/>
  <c r="M752" i="11"/>
  <c r="N752" i="11"/>
  <c r="O752" i="11"/>
  <c r="P752" i="11"/>
  <c r="Q752" i="11"/>
  <c r="R752" i="11"/>
  <c r="D753" i="11"/>
  <c r="E753" i="11"/>
  <c r="F753" i="11"/>
  <c r="G753" i="11"/>
  <c r="H753" i="11"/>
  <c r="J753" i="11"/>
  <c r="K753" i="11"/>
  <c r="L753" i="11"/>
  <c r="M753" i="11"/>
  <c r="N753" i="11"/>
  <c r="O753" i="11"/>
  <c r="P753" i="11"/>
  <c r="Q753" i="11"/>
  <c r="R753" i="11"/>
  <c r="D754" i="11"/>
  <c r="E754" i="11"/>
  <c r="F754" i="11"/>
  <c r="G754" i="11"/>
  <c r="H754" i="11"/>
  <c r="J754" i="11"/>
  <c r="K754" i="11"/>
  <c r="L754" i="11"/>
  <c r="M754" i="11"/>
  <c r="N754" i="11"/>
  <c r="O754" i="11"/>
  <c r="P754" i="11"/>
  <c r="Q754" i="11"/>
  <c r="R754" i="11"/>
  <c r="D755" i="11"/>
  <c r="E755" i="11"/>
  <c r="F755" i="11"/>
  <c r="G755" i="11"/>
  <c r="H755" i="11"/>
  <c r="J755" i="11"/>
  <c r="K755" i="11"/>
  <c r="L755" i="11"/>
  <c r="M755" i="11"/>
  <c r="N755" i="11"/>
  <c r="O755" i="11"/>
  <c r="P755" i="11"/>
  <c r="Q755" i="11"/>
  <c r="R755" i="11"/>
  <c r="D756" i="11"/>
  <c r="E756" i="11"/>
  <c r="F756" i="11"/>
  <c r="G756" i="11"/>
  <c r="H756" i="11"/>
  <c r="J756" i="11"/>
  <c r="K756" i="11"/>
  <c r="L756" i="11"/>
  <c r="M756" i="11"/>
  <c r="N756" i="11"/>
  <c r="O756" i="11"/>
  <c r="P756" i="11"/>
  <c r="Q756" i="11"/>
  <c r="R756" i="11"/>
  <c r="D757" i="11"/>
  <c r="E757" i="11"/>
  <c r="F757" i="11"/>
  <c r="G757" i="11"/>
  <c r="H757" i="11"/>
  <c r="J757" i="11"/>
  <c r="K757" i="11"/>
  <c r="L757" i="11"/>
  <c r="M757" i="11"/>
  <c r="N757" i="11"/>
  <c r="O757" i="11"/>
  <c r="P757" i="11"/>
  <c r="Q757" i="11"/>
  <c r="R757" i="11"/>
  <c r="D758" i="11"/>
  <c r="E758" i="11"/>
  <c r="F758" i="11"/>
  <c r="G758" i="11"/>
  <c r="H758" i="11"/>
  <c r="J758" i="11"/>
  <c r="K758" i="11"/>
  <c r="L758" i="11"/>
  <c r="M758" i="11"/>
  <c r="N758" i="11"/>
  <c r="O758" i="11"/>
  <c r="P758" i="11"/>
  <c r="Q758" i="11"/>
  <c r="R758" i="11"/>
  <c r="D759" i="11"/>
  <c r="E759" i="11"/>
  <c r="F759" i="11"/>
  <c r="G759" i="11"/>
  <c r="H759" i="11"/>
  <c r="J759" i="11"/>
  <c r="K759" i="11"/>
  <c r="L759" i="11"/>
  <c r="M759" i="11"/>
  <c r="N759" i="11"/>
  <c r="O759" i="11"/>
  <c r="P759" i="11"/>
  <c r="Q759" i="11"/>
  <c r="R759" i="11"/>
  <c r="D760" i="11"/>
  <c r="E760" i="11"/>
  <c r="F760" i="11"/>
  <c r="G760" i="11"/>
  <c r="H760" i="11"/>
  <c r="J760" i="11"/>
  <c r="K760" i="11"/>
  <c r="L760" i="11"/>
  <c r="M760" i="11"/>
  <c r="N760" i="11"/>
  <c r="O760" i="11"/>
  <c r="P760" i="11"/>
  <c r="Q760" i="11"/>
  <c r="R760" i="11"/>
  <c r="D761" i="11"/>
  <c r="E761" i="11"/>
  <c r="F761" i="11"/>
  <c r="G761" i="11"/>
  <c r="H761" i="11"/>
  <c r="J761" i="11"/>
  <c r="K761" i="11"/>
  <c r="L761" i="11"/>
  <c r="M761" i="11"/>
  <c r="N761" i="11"/>
  <c r="O761" i="11"/>
  <c r="P761" i="11"/>
  <c r="Q761" i="11"/>
  <c r="R761" i="11"/>
  <c r="D762" i="11"/>
  <c r="E762" i="11"/>
  <c r="F762" i="11"/>
  <c r="G762" i="11"/>
  <c r="H762" i="11"/>
  <c r="J762" i="11"/>
  <c r="K762" i="11"/>
  <c r="L762" i="11"/>
  <c r="M762" i="11"/>
  <c r="N762" i="11"/>
  <c r="O762" i="11"/>
  <c r="P762" i="11"/>
  <c r="Q762" i="11"/>
  <c r="R762" i="11"/>
  <c r="D763" i="11"/>
  <c r="E763" i="11"/>
  <c r="F763" i="11"/>
  <c r="G763" i="11"/>
  <c r="H763" i="11"/>
  <c r="J763" i="11"/>
  <c r="K763" i="11"/>
  <c r="L763" i="11"/>
  <c r="M763" i="11"/>
  <c r="N763" i="11"/>
  <c r="O763" i="11"/>
  <c r="P763" i="11"/>
  <c r="Q763" i="11"/>
  <c r="R763" i="11"/>
  <c r="D764" i="11"/>
  <c r="E764" i="11"/>
  <c r="F764" i="11"/>
  <c r="G764" i="11"/>
  <c r="H764" i="11"/>
  <c r="J764" i="11"/>
  <c r="K764" i="11"/>
  <c r="L764" i="11"/>
  <c r="M764" i="11"/>
  <c r="N764" i="11"/>
  <c r="O764" i="11"/>
  <c r="P764" i="11"/>
  <c r="Q764" i="11"/>
  <c r="R764" i="11"/>
  <c r="D765" i="11"/>
  <c r="E765" i="11"/>
  <c r="F765" i="11"/>
  <c r="G765" i="11"/>
  <c r="H765" i="11"/>
  <c r="J765" i="11"/>
  <c r="K765" i="11"/>
  <c r="L765" i="11"/>
  <c r="M765" i="11"/>
  <c r="N765" i="11"/>
  <c r="O765" i="11"/>
  <c r="P765" i="11"/>
  <c r="Q765" i="11"/>
  <c r="R765" i="11"/>
  <c r="D766" i="11"/>
  <c r="E766" i="11"/>
  <c r="F766" i="11"/>
  <c r="G766" i="11"/>
  <c r="H766" i="11"/>
  <c r="J766" i="11"/>
  <c r="K766" i="11"/>
  <c r="L766" i="11"/>
  <c r="M766" i="11"/>
  <c r="N766" i="11"/>
  <c r="O766" i="11"/>
  <c r="P766" i="11"/>
  <c r="Q766" i="11"/>
  <c r="R766" i="11"/>
  <c r="D767" i="11"/>
  <c r="E767" i="11"/>
  <c r="F767" i="11"/>
  <c r="G767" i="11"/>
  <c r="H767" i="11"/>
  <c r="J767" i="11"/>
  <c r="K767" i="11"/>
  <c r="L767" i="11"/>
  <c r="M767" i="11"/>
  <c r="N767" i="11"/>
  <c r="O767" i="11"/>
  <c r="P767" i="11"/>
  <c r="Q767" i="11"/>
  <c r="R767" i="11"/>
  <c r="D768" i="11"/>
  <c r="E768" i="11"/>
  <c r="F768" i="11"/>
  <c r="G768" i="11"/>
  <c r="H768" i="11"/>
  <c r="J768" i="11"/>
  <c r="K768" i="11"/>
  <c r="L768" i="11"/>
  <c r="M768" i="11"/>
  <c r="N768" i="11"/>
  <c r="O768" i="11"/>
  <c r="P768" i="11"/>
  <c r="Q768" i="11"/>
  <c r="R768" i="11"/>
  <c r="D769" i="11"/>
  <c r="E769" i="11"/>
  <c r="F769" i="11"/>
  <c r="G769" i="11"/>
  <c r="H769" i="11"/>
  <c r="J769" i="11"/>
  <c r="K769" i="11"/>
  <c r="L769" i="11"/>
  <c r="M769" i="11"/>
  <c r="N769" i="11"/>
  <c r="O769" i="11"/>
  <c r="P769" i="11"/>
  <c r="Q769" i="11"/>
  <c r="R769" i="11"/>
  <c r="D770" i="11"/>
  <c r="E770" i="11"/>
  <c r="F770" i="11"/>
  <c r="G770" i="11"/>
  <c r="H770" i="11"/>
  <c r="J770" i="11"/>
  <c r="K770" i="11"/>
  <c r="L770" i="11"/>
  <c r="M770" i="11"/>
  <c r="N770" i="11"/>
  <c r="O770" i="11"/>
  <c r="P770" i="11"/>
  <c r="Q770" i="11"/>
  <c r="R770" i="11"/>
  <c r="D771" i="11"/>
  <c r="E771" i="11"/>
  <c r="F771" i="11"/>
  <c r="G771" i="11"/>
  <c r="H771" i="11"/>
  <c r="J771" i="11"/>
  <c r="K771" i="11"/>
  <c r="L771" i="11"/>
  <c r="M771" i="11"/>
  <c r="N771" i="11"/>
  <c r="O771" i="11"/>
  <c r="P771" i="11"/>
  <c r="Q771" i="11"/>
  <c r="R771" i="11"/>
  <c r="D772" i="11"/>
  <c r="E772" i="11"/>
  <c r="F772" i="11"/>
  <c r="G772" i="11"/>
  <c r="H772" i="11"/>
  <c r="J772" i="11"/>
  <c r="K772" i="11"/>
  <c r="L772" i="11"/>
  <c r="M772" i="11"/>
  <c r="N772" i="11"/>
  <c r="O772" i="11"/>
  <c r="P772" i="11"/>
  <c r="Q772" i="11"/>
  <c r="R772" i="11"/>
  <c r="D773" i="11"/>
  <c r="E773" i="11"/>
  <c r="F773" i="11"/>
  <c r="G773" i="11"/>
  <c r="H773" i="11"/>
  <c r="J773" i="11"/>
  <c r="K773" i="11"/>
  <c r="L773" i="11"/>
  <c r="M773" i="11"/>
  <c r="N773" i="11"/>
  <c r="O773" i="11"/>
  <c r="P773" i="11"/>
  <c r="Q773" i="11"/>
  <c r="R773" i="11"/>
  <c r="D774" i="11"/>
  <c r="E774" i="11"/>
  <c r="F774" i="11"/>
  <c r="G774" i="11"/>
  <c r="H774" i="11"/>
  <c r="J774" i="11"/>
  <c r="K774" i="11"/>
  <c r="L774" i="11"/>
  <c r="M774" i="11"/>
  <c r="N774" i="11"/>
  <c r="O774" i="11"/>
  <c r="P774" i="11"/>
  <c r="Q774" i="11"/>
  <c r="R774" i="11"/>
  <c r="D775" i="11"/>
  <c r="E775" i="11"/>
  <c r="F775" i="11"/>
  <c r="G775" i="11"/>
  <c r="H775" i="11"/>
  <c r="J775" i="11"/>
  <c r="K775" i="11"/>
  <c r="L775" i="11"/>
  <c r="M775" i="11"/>
  <c r="N775" i="11"/>
  <c r="O775" i="11"/>
  <c r="P775" i="11"/>
  <c r="Q775" i="11"/>
  <c r="R775" i="11"/>
  <c r="D776" i="11"/>
  <c r="E776" i="11"/>
  <c r="F776" i="11"/>
  <c r="G776" i="11"/>
  <c r="H776" i="11"/>
  <c r="J776" i="11"/>
  <c r="K776" i="11"/>
  <c r="L776" i="11"/>
  <c r="M776" i="11"/>
  <c r="N776" i="11"/>
  <c r="O776" i="11"/>
  <c r="P776" i="11"/>
  <c r="Q776" i="11"/>
  <c r="R776" i="11"/>
  <c r="D777" i="11"/>
  <c r="E777" i="11"/>
  <c r="F777" i="11"/>
  <c r="G777" i="11"/>
  <c r="H777" i="11"/>
  <c r="J777" i="11"/>
  <c r="K777" i="11"/>
  <c r="L777" i="11"/>
  <c r="M777" i="11"/>
  <c r="N777" i="11"/>
  <c r="O777" i="11"/>
  <c r="P777" i="11"/>
  <c r="Q777" i="11"/>
  <c r="R777" i="11"/>
  <c r="D778" i="11"/>
  <c r="E778" i="11"/>
  <c r="F778" i="11"/>
  <c r="G778" i="11"/>
  <c r="H778" i="11"/>
  <c r="J778" i="11"/>
  <c r="K778" i="11"/>
  <c r="L778" i="11"/>
  <c r="M778" i="11"/>
  <c r="N778" i="11"/>
  <c r="O778" i="11"/>
  <c r="P778" i="11"/>
  <c r="Q778" i="11"/>
  <c r="R778" i="11"/>
  <c r="D779" i="11"/>
  <c r="E779" i="11"/>
  <c r="F779" i="11"/>
  <c r="G779" i="11"/>
  <c r="H779" i="11"/>
  <c r="J779" i="11"/>
  <c r="K779" i="11"/>
  <c r="L779" i="11"/>
  <c r="M779" i="11"/>
  <c r="N779" i="11"/>
  <c r="O779" i="11"/>
  <c r="P779" i="11"/>
  <c r="Q779" i="11"/>
  <c r="R779" i="11"/>
  <c r="D780" i="11"/>
  <c r="E780" i="11"/>
  <c r="F780" i="11"/>
  <c r="G780" i="11"/>
  <c r="H780" i="11"/>
  <c r="J780" i="11"/>
  <c r="K780" i="11"/>
  <c r="L780" i="11"/>
  <c r="M780" i="11"/>
  <c r="N780" i="11"/>
  <c r="O780" i="11"/>
  <c r="P780" i="11"/>
  <c r="Q780" i="11"/>
  <c r="R780" i="11"/>
  <c r="D781" i="11"/>
  <c r="E781" i="11"/>
  <c r="F781" i="11"/>
  <c r="G781" i="11"/>
  <c r="H781" i="11"/>
  <c r="J781" i="11"/>
  <c r="K781" i="11"/>
  <c r="L781" i="11"/>
  <c r="M781" i="11"/>
  <c r="N781" i="11"/>
  <c r="O781" i="11"/>
  <c r="P781" i="11"/>
  <c r="Q781" i="11"/>
  <c r="R781" i="11"/>
  <c r="D710" i="11"/>
  <c r="E710" i="11"/>
  <c r="F710" i="11"/>
  <c r="G710" i="11"/>
  <c r="H710" i="11"/>
  <c r="J710" i="11"/>
  <c r="K710" i="11"/>
  <c r="L710" i="11"/>
  <c r="M710" i="11"/>
  <c r="N710" i="11"/>
  <c r="O710" i="11"/>
  <c r="P710" i="11"/>
  <c r="Q710" i="11"/>
  <c r="R710" i="11"/>
  <c r="D711" i="11"/>
  <c r="E711" i="11"/>
  <c r="F711" i="11"/>
  <c r="G711" i="11"/>
  <c r="H711" i="11"/>
  <c r="J711" i="11"/>
  <c r="K711" i="11"/>
  <c r="L711" i="11"/>
  <c r="M711" i="11"/>
  <c r="N711" i="11"/>
  <c r="O711" i="11"/>
  <c r="P711" i="11"/>
  <c r="Q711" i="11"/>
  <c r="R711" i="11"/>
  <c r="D712" i="11"/>
  <c r="E712" i="11"/>
  <c r="F712" i="11"/>
  <c r="G712" i="11"/>
  <c r="H712" i="11"/>
  <c r="J712" i="11"/>
  <c r="K712" i="11"/>
  <c r="L712" i="11"/>
  <c r="M712" i="11"/>
  <c r="N712" i="11"/>
  <c r="O712" i="11"/>
  <c r="P712" i="11"/>
  <c r="Q712" i="11"/>
  <c r="R712" i="11"/>
  <c r="D713" i="11"/>
  <c r="E713" i="11"/>
  <c r="F713" i="11"/>
  <c r="G713" i="11"/>
  <c r="H713" i="11"/>
  <c r="J713" i="11"/>
  <c r="K713" i="11"/>
  <c r="L713" i="11"/>
  <c r="M713" i="11"/>
  <c r="N713" i="11"/>
  <c r="O713" i="11"/>
  <c r="P713" i="11"/>
  <c r="Q713" i="11"/>
  <c r="R713" i="11"/>
  <c r="D714" i="11"/>
  <c r="E714" i="11"/>
  <c r="F714" i="11"/>
  <c r="G714" i="11"/>
  <c r="H714" i="11"/>
  <c r="J714" i="11"/>
  <c r="K714" i="11"/>
  <c r="L714" i="11"/>
  <c r="M714" i="11"/>
  <c r="N714" i="11"/>
  <c r="O714" i="11"/>
  <c r="P714" i="11"/>
  <c r="Q714" i="11"/>
  <c r="R714" i="11"/>
  <c r="D715" i="11"/>
  <c r="E715" i="11"/>
  <c r="F715" i="11"/>
  <c r="G715" i="11"/>
  <c r="H715" i="11"/>
  <c r="J715" i="11"/>
  <c r="K715" i="11"/>
  <c r="L715" i="11"/>
  <c r="M715" i="11"/>
  <c r="N715" i="11"/>
  <c r="O715" i="11"/>
  <c r="P715" i="11"/>
  <c r="Q715" i="11"/>
  <c r="R715" i="11"/>
  <c r="D716" i="11"/>
  <c r="E716" i="11"/>
  <c r="F716" i="11"/>
  <c r="G716" i="11"/>
  <c r="H716" i="11"/>
  <c r="J716" i="11"/>
  <c r="K716" i="11"/>
  <c r="L716" i="11"/>
  <c r="M716" i="11"/>
  <c r="N716" i="11"/>
  <c r="O716" i="11"/>
  <c r="P716" i="11"/>
  <c r="Q716" i="11"/>
  <c r="R716" i="11"/>
  <c r="D717" i="11"/>
  <c r="E717" i="11"/>
  <c r="F717" i="11"/>
  <c r="G717" i="11"/>
  <c r="H717" i="11"/>
  <c r="J717" i="11"/>
  <c r="K717" i="11"/>
  <c r="L717" i="11"/>
  <c r="M717" i="11"/>
  <c r="N717" i="11"/>
  <c r="O717" i="11"/>
  <c r="P717" i="11"/>
  <c r="Q717" i="11"/>
  <c r="R717" i="11"/>
  <c r="D718" i="11"/>
  <c r="E718" i="11"/>
  <c r="F718" i="11"/>
  <c r="G718" i="11"/>
  <c r="H718" i="11"/>
  <c r="J718" i="11"/>
  <c r="K718" i="11"/>
  <c r="L718" i="11"/>
  <c r="M718" i="11"/>
  <c r="N718" i="11"/>
  <c r="O718" i="11"/>
  <c r="P718" i="11"/>
  <c r="Q718" i="11"/>
  <c r="R718" i="11"/>
  <c r="D719" i="11"/>
  <c r="E719" i="11"/>
  <c r="F719" i="11"/>
  <c r="G719" i="11"/>
  <c r="H719" i="11"/>
  <c r="J719" i="11"/>
  <c r="K719" i="11"/>
  <c r="L719" i="11"/>
  <c r="M719" i="11"/>
  <c r="N719" i="11"/>
  <c r="O719" i="11"/>
  <c r="P719" i="11"/>
  <c r="Q719" i="11"/>
  <c r="R719" i="11"/>
  <c r="D720" i="11"/>
  <c r="E720" i="11"/>
  <c r="F720" i="11"/>
  <c r="G720" i="11"/>
  <c r="H720" i="11"/>
  <c r="J720" i="11"/>
  <c r="K720" i="11"/>
  <c r="L720" i="11"/>
  <c r="M720" i="11"/>
  <c r="N720" i="11"/>
  <c r="O720" i="11"/>
  <c r="P720" i="11"/>
  <c r="Q720" i="11"/>
  <c r="R720" i="11"/>
  <c r="D721" i="11"/>
  <c r="E721" i="11"/>
  <c r="F721" i="11"/>
  <c r="G721" i="11"/>
  <c r="H721" i="11"/>
  <c r="J721" i="11"/>
  <c r="K721" i="11"/>
  <c r="L721" i="11"/>
  <c r="M721" i="11"/>
  <c r="N721" i="11"/>
  <c r="O721" i="11"/>
  <c r="P721" i="11"/>
  <c r="Q721" i="11"/>
  <c r="R721" i="11"/>
  <c r="D722" i="11"/>
  <c r="E722" i="11"/>
  <c r="F722" i="11"/>
  <c r="G722" i="11"/>
  <c r="H722" i="11"/>
  <c r="J722" i="11"/>
  <c r="K722" i="11"/>
  <c r="L722" i="11"/>
  <c r="M722" i="11"/>
  <c r="N722" i="11"/>
  <c r="O722" i="11"/>
  <c r="P722" i="11"/>
  <c r="Q722" i="11"/>
  <c r="R722" i="11"/>
  <c r="D723" i="11"/>
  <c r="E723" i="11"/>
  <c r="F723" i="11"/>
  <c r="G723" i="11"/>
  <c r="H723" i="11"/>
  <c r="J723" i="11"/>
  <c r="K723" i="11"/>
  <c r="L723" i="11"/>
  <c r="M723" i="11"/>
  <c r="N723" i="11"/>
  <c r="O723" i="11"/>
  <c r="P723" i="11"/>
  <c r="Q723" i="11"/>
  <c r="R723" i="11"/>
  <c r="D724" i="11"/>
  <c r="E724" i="11"/>
  <c r="F724" i="11"/>
  <c r="G724" i="11"/>
  <c r="H724" i="11"/>
  <c r="J724" i="11"/>
  <c r="K724" i="11"/>
  <c r="L724" i="11"/>
  <c r="M724" i="11"/>
  <c r="N724" i="11"/>
  <c r="O724" i="11"/>
  <c r="P724" i="11"/>
  <c r="Q724" i="11"/>
  <c r="R724" i="11"/>
  <c r="D725" i="11"/>
  <c r="E725" i="11"/>
  <c r="F725" i="11"/>
  <c r="G725" i="11"/>
  <c r="H725" i="11"/>
  <c r="J725" i="11"/>
  <c r="K725" i="11"/>
  <c r="L725" i="11"/>
  <c r="M725" i="11"/>
  <c r="N725" i="11"/>
  <c r="O725" i="11"/>
  <c r="P725" i="11"/>
  <c r="Q725" i="11"/>
  <c r="R725" i="11"/>
  <c r="D726" i="11"/>
  <c r="E726" i="11"/>
  <c r="F726" i="11"/>
  <c r="G726" i="11"/>
  <c r="H726" i="11"/>
  <c r="I726" i="11"/>
  <c r="J726" i="11"/>
  <c r="K726" i="11"/>
  <c r="L726" i="11"/>
  <c r="M726" i="11"/>
  <c r="N726" i="11"/>
  <c r="O726" i="11"/>
  <c r="P726" i="11"/>
  <c r="Q726" i="11"/>
  <c r="R726" i="11"/>
  <c r="D727" i="11"/>
  <c r="E727" i="11"/>
  <c r="F727" i="11"/>
  <c r="G727" i="11"/>
  <c r="H727" i="11"/>
  <c r="I727" i="11"/>
  <c r="J727" i="11"/>
  <c r="K727" i="11"/>
  <c r="L727" i="11"/>
  <c r="M727" i="11"/>
  <c r="N727" i="11"/>
  <c r="O727" i="11"/>
  <c r="P727" i="11"/>
  <c r="Q727" i="11"/>
  <c r="R727" i="11"/>
  <c r="D728" i="11"/>
  <c r="E728" i="11"/>
  <c r="F728" i="11"/>
  <c r="G728" i="11"/>
  <c r="H728" i="11"/>
  <c r="J728" i="11"/>
  <c r="K728" i="11"/>
  <c r="L728" i="11"/>
  <c r="M728" i="11"/>
  <c r="N728" i="11"/>
  <c r="O728" i="11"/>
  <c r="P728" i="11"/>
  <c r="Q728" i="11"/>
  <c r="R728" i="11"/>
  <c r="D729" i="11"/>
  <c r="E729" i="11"/>
  <c r="F729" i="11"/>
  <c r="G729" i="11"/>
  <c r="H729" i="11"/>
  <c r="J729" i="11"/>
  <c r="K729" i="11"/>
  <c r="L729" i="11"/>
  <c r="M729" i="11"/>
  <c r="N729" i="11"/>
  <c r="O729" i="11"/>
  <c r="P729" i="11"/>
  <c r="Q729" i="11"/>
  <c r="R729" i="11"/>
  <c r="D730" i="11"/>
  <c r="E730" i="11"/>
  <c r="F730" i="11"/>
  <c r="G730" i="11"/>
  <c r="H730" i="11"/>
  <c r="J730" i="11"/>
  <c r="K730" i="11"/>
  <c r="L730" i="11"/>
  <c r="M730" i="11"/>
  <c r="N730" i="11"/>
  <c r="O730" i="11"/>
  <c r="P730" i="11"/>
  <c r="Q730" i="11"/>
  <c r="R730" i="11"/>
  <c r="D731" i="11"/>
  <c r="E731" i="11"/>
  <c r="F731" i="11"/>
  <c r="G731" i="11"/>
  <c r="H731" i="11"/>
  <c r="J731" i="11"/>
  <c r="K731" i="11"/>
  <c r="L731" i="11"/>
  <c r="M731" i="11"/>
  <c r="N731" i="11"/>
  <c r="O731" i="11"/>
  <c r="P731" i="11"/>
  <c r="Q731" i="11"/>
  <c r="R731" i="11"/>
  <c r="D732" i="11"/>
  <c r="E732" i="11"/>
  <c r="F732" i="11"/>
  <c r="G732" i="11"/>
  <c r="H732" i="11"/>
  <c r="J732" i="11"/>
  <c r="K732" i="11"/>
  <c r="L732" i="11"/>
  <c r="M732" i="11"/>
  <c r="N732" i="11"/>
  <c r="O732" i="11"/>
  <c r="P732" i="11"/>
  <c r="Q732" i="11"/>
  <c r="R732" i="11"/>
  <c r="D733" i="11"/>
  <c r="E733" i="11"/>
  <c r="F733" i="11"/>
  <c r="G733" i="11"/>
  <c r="H733" i="11"/>
  <c r="J733" i="11"/>
  <c r="K733" i="11"/>
  <c r="L733" i="11"/>
  <c r="M733" i="11"/>
  <c r="N733" i="11"/>
  <c r="O733" i="11"/>
  <c r="P733" i="11"/>
  <c r="Q733" i="11"/>
  <c r="R733" i="11"/>
  <c r="D734" i="11"/>
  <c r="E734" i="11"/>
  <c r="F734" i="11"/>
  <c r="G734" i="11"/>
  <c r="H734" i="11"/>
  <c r="J734" i="11"/>
  <c r="K734" i="11"/>
  <c r="L734" i="11"/>
  <c r="M734" i="11"/>
  <c r="N734" i="11"/>
  <c r="O734" i="11"/>
  <c r="P734" i="11"/>
  <c r="Q734" i="11"/>
  <c r="R734" i="11"/>
  <c r="D735" i="11"/>
  <c r="E735" i="11"/>
  <c r="F735" i="11"/>
  <c r="G735" i="11"/>
  <c r="H735" i="11"/>
  <c r="J735" i="11"/>
  <c r="K735" i="11"/>
  <c r="L735" i="11"/>
  <c r="M735" i="11"/>
  <c r="N735" i="11"/>
  <c r="O735" i="11"/>
  <c r="P735" i="11"/>
  <c r="Q735" i="11"/>
  <c r="R735" i="11"/>
  <c r="D736" i="11"/>
  <c r="E736" i="11"/>
  <c r="F736" i="11"/>
  <c r="G736" i="11"/>
  <c r="H736" i="11"/>
  <c r="J736" i="11"/>
  <c r="K736" i="11"/>
  <c r="L736" i="11"/>
  <c r="M736" i="11"/>
  <c r="N736" i="11"/>
  <c r="O736" i="11"/>
  <c r="P736" i="11"/>
  <c r="Q736" i="11"/>
  <c r="R736" i="11"/>
  <c r="D737" i="11"/>
  <c r="E737" i="11"/>
  <c r="F737" i="11"/>
  <c r="G737" i="11"/>
  <c r="H737" i="11"/>
  <c r="J737" i="11"/>
  <c r="K737" i="11"/>
  <c r="L737" i="11"/>
  <c r="M737" i="11"/>
  <c r="N737" i="11"/>
  <c r="O737" i="11"/>
  <c r="P737" i="11"/>
  <c r="Q737" i="11"/>
  <c r="R737" i="11"/>
  <c r="D738" i="11"/>
  <c r="E738" i="11"/>
  <c r="F738" i="11"/>
  <c r="G738" i="11"/>
  <c r="H738" i="11"/>
  <c r="J738" i="11"/>
  <c r="K738" i="11"/>
  <c r="L738" i="11"/>
  <c r="M738" i="11"/>
  <c r="N738" i="11"/>
  <c r="O738" i="11"/>
  <c r="P738" i="11"/>
  <c r="Q738" i="11"/>
  <c r="R738" i="11"/>
  <c r="D739" i="11"/>
  <c r="E739" i="11"/>
  <c r="F739" i="11"/>
  <c r="G739" i="11"/>
  <c r="H739" i="11"/>
  <c r="J739" i="11"/>
  <c r="K739" i="11"/>
  <c r="L739" i="11"/>
  <c r="M739" i="11"/>
  <c r="N739" i="11"/>
  <c r="O739" i="11"/>
  <c r="P739" i="11"/>
  <c r="Q739" i="11"/>
  <c r="R739" i="11"/>
  <c r="D740" i="11"/>
  <c r="E740" i="11"/>
  <c r="F740" i="11"/>
  <c r="G740" i="11"/>
  <c r="H740" i="11"/>
  <c r="J740" i="11"/>
  <c r="K740" i="11"/>
  <c r="L740" i="11"/>
  <c r="M740" i="11"/>
  <c r="N740" i="11"/>
  <c r="O740" i="11"/>
  <c r="P740" i="11"/>
  <c r="Q740" i="11"/>
  <c r="R740" i="11"/>
  <c r="D741" i="11"/>
  <c r="E741" i="11"/>
  <c r="F741" i="11"/>
  <c r="G741" i="11"/>
  <c r="H741" i="11"/>
  <c r="J741" i="11"/>
  <c r="K741" i="11"/>
  <c r="L741" i="11"/>
  <c r="M741" i="11"/>
  <c r="N741" i="11"/>
  <c r="O741" i="11"/>
  <c r="P741" i="11"/>
  <c r="Q741" i="11"/>
  <c r="R741" i="11"/>
  <c r="D742" i="11"/>
  <c r="E742" i="11"/>
  <c r="F742" i="11"/>
  <c r="G742" i="11"/>
  <c r="H742" i="11"/>
  <c r="J742" i="11"/>
  <c r="K742" i="11"/>
  <c r="L742" i="11"/>
  <c r="M742" i="11"/>
  <c r="N742" i="11"/>
  <c r="O742" i="11"/>
  <c r="P742" i="11"/>
  <c r="Q742" i="11"/>
  <c r="R742" i="11"/>
  <c r="D743" i="11"/>
  <c r="E743" i="11"/>
  <c r="F743" i="11"/>
  <c r="G743" i="11"/>
  <c r="H743" i="11"/>
  <c r="J743" i="11"/>
  <c r="K743" i="11"/>
  <c r="L743" i="11"/>
  <c r="M743" i="11"/>
  <c r="N743" i="11"/>
  <c r="O743" i="11"/>
  <c r="P743" i="11"/>
  <c r="Q743" i="11"/>
  <c r="R743" i="11"/>
  <c r="D641" i="11"/>
  <c r="E641" i="11"/>
  <c r="F641" i="11"/>
  <c r="G641" i="11"/>
  <c r="H641" i="11"/>
  <c r="I641" i="11"/>
  <c r="J641" i="11"/>
  <c r="K641" i="11"/>
  <c r="L641" i="11"/>
  <c r="M641" i="11"/>
  <c r="N641" i="11"/>
  <c r="O641" i="11"/>
  <c r="P641" i="11"/>
  <c r="Q641" i="11"/>
  <c r="R641" i="11"/>
  <c r="D642" i="11"/>
  <c r="E642" i="11"/>
  <c r="F642" i="11"/>
  <c r="G642" i="11"/>
  <c r="H642" i="11"/>
  <c r="I642" i="11"/>
  <c r="J642" i="11"/>
  <c r="K642" i="11"/>
  <c r="L642" i="11"/>
  <c r="M642" i="11"/>
  <c r="N642" i="11"/>
  <c r="O642" i="11"/>
  <c r="P642" i="11"/>
  <c r="Q642" i="11"/>
  <c r="R642" i="11"/>
  <c r="D643" i="11"/>
  <c r="E643" i="11"/>
  <c r="F643" i="11"/>
  <c r="G643" i="11"/>
  <c r="H643" i="11"/>
  <c r="I643" i="11"/>
  <c r="J643" i="11"/>
  <c r="K643" i="11"/>
  <c r="L643" i="11"/>
  <c r="M643" i="11"/>
  <c r="N643" i="11"/>
  <c r="O643" i="11"/>
  <c r="P643" i="11"/>
  <c r="Q643" i="11"/>
  <c r="R643" i="11"/>
  <c r="D644" i="11"/>
  <c r="E644" i="11"/>
  <c r="F644" i="11"/>
  <c r="G644" i="11"/>
  <c r="H644" i="11"/>
  <c r="I644" i="11"/>
  <c r="J644" i="11"/>
  <c r="K644" i="11"/>
  <c r="L644" i="11"/>
  <c r="M644" i="11"/>
  <c r="N644" i="11"/>
  <c r="O644" i="11"/>
  <c r="P644" i="11"/>
  <c r="Q644" i="11"/>
  <c r="R644" i="11"/>
  <c r="D645" i="11"/>
  <c r="E645" i="11"/>
  <c r="F645" i="11"/>
  <c r="G645" i="11"/>
  <c r="H645" i="11"/>
  <c r="I645" i="11"/>
  <c r="J645" i="11"/>
  <c r="K645" i="11"/>
  <c r="L645" i="11"/>
  <c r="M645" i="11"/>
  <c r="N645" i="11"/>
  <c r="O645" i="11"/>
  <c r="P645" i="11"/>
  <c r="Q645" i="11"/>
  <c r="R645" i="11"/>
  <c r="D646" i="11"/>
  <c r="E646" i="11"/>
  <c r="F646" i="11"/>
  <c r="G646" i="11"/>
  <c r="H646" i="11"/>
  <c r="I646" i="11"/>
  <c r="J646" i="11"/>
  <c r="K646" i="11"/>
  <c r="L646" i="11"/>
  <c r="M646" i="11"/>
  <c r="N646" i="11"/>
  <c r="O646" i="11"/>
  <c r="P646" i="11"/>
  <c r="Q646" i="11"/>
  <c r="R646" i="11"/>
  <c r="D647" i="11"/>
  <c r="E647" i="11"/>
  <c r="F647" i="11"/>
  <c r="G647" i="11"/>
  <c r="H647" i="11"/>
  <c r="I647" i="11"/>
  <c r="J647" i="11"/>
  <c r="K647" i="11"/>
  <c r="L647" i="11"/>
  <c r="M647" i="11"/>
  <c r="N647" i="11"/>
  <c r="O647" i="11"/>
  <c r="P647" i="11"/>
  <c r="Q647" i="11"/>
  <c r="R647" i="11"/>
  <c r="D648" i="11"/>
  <c r="E648" i="11"/>
  <c r="F648" i="11"/>
  <c r="G648" i="11"/>
  <c r="H648" i="11"/>
  <c r="I648" i="11"/>
  <c r="J648" i="11"/>
  <c r="K648" i="11"/>
  <c r="L648" i="11"/>
  <c r="M648" i="11"/>
  <c r="N648" i="11"/>
  <c r="O648" i="11"/>
  <c r="P648" i="11"/>
  <c r="Q648" i="11"/>
  <c r="R648" i="11"/>
  <c r="D649" i="11"/>
  <c r="E649" i="11"/>
  <c r="F649" i="11"/>
  <c r="G649" i="11"/>
  <c r="H649" i="11"/>
  <c r="I649" i="11"/>
  <c r="J649" i="11"/>
  <c r="K649" i="11"/>
  <c r="L649" i="11"/>
  <c r="M649" i="11"/>
  <c r="N649" i="11"/>
  <c r="O649" i="11"/>
  <c r="P649" i="11"/>
  <c r="Q649" i="11"/>
  <c r="R649" i="11"/>
  <c r="D650" i="11"/>
  <c r="E650" i="11"/>
  <c r="F650" i="11"/>
  <c r="G650" i="11"/>
  <c r="H650" i="11"/>
  <c r="I650" i="11"/>
  <c r="J650" i="11"/>
  <c r="K650" i="11"/>
  <c r="L650" i="11"/>
  <c r="M650" i="11"/>
  <c r="N650" i="11"/>
  <c r="O650" i="11"/>
  <c r="P650" i="11"/>
  <c r="Q650" i="11"/>
  <c r="R650" i="11"/>
  <c r="D651" i="11"/>
  <c r="E651" i="11"/>
  <c r="F651" i="11"/>
  <c r="G651" i="11"/>
  <c r="H651" i="11"/>
  <c r="I651" i="11"/>
  <c r="J651" i="11"/>
  <c r="K651" i="11"/>
  <c r="L651" i="11"/>
  <c r="M651" i="11"/>
  <c r="N651" i="11"/>
  <c r="O651" i="11"/>
  <c r="P651" i="11"/>
  <c r="Q651" i="11"/>
  <c r="R651" i="11"/>
  <c r="D652" i="11"/>
  <c r="E652" i="11"/>
  <c r="F652" i="11"/>
  <c r="G652" i="11"/>
  <c r="H652" i="11"/>
  <c r="I652" i="11"/>
  <c r="J652" i="11"/>
  <c r="K652" i="11"/>
  <c r="L652" i="11"/>
  <c r="M652" i="11"/>
  <c r="N652" i="11"/>
  <c r="O652" i="11"/>
  <c r="P652" i="11"/>
  <c r="Q652" i="11"/>
  <c r="R652" i="11"/>
  <c r="D653" i="11"/>
  <c r="E653" i="11"/>
  <c r="F653" i="11"/>
  <c r="G653" i="11"/>
  <c r="H653" i="11"/>
  <c r="I653" i="11"/>
  <c r="J653" i="11"/>
  <c r="K653" i="11"/>
  <c r="L653" i="11"/>
  <c r="M653" i="11"/>
  <c r="N653" i="11"/>
  <c r="O653" i="11"/>
  <c r="P653" i="11"/>
  <c r="Q653" i="11"/>
  <c r="R653" i="11"/>
  <c r="D654" i="11"/>
  <c r="E654" i="11"/>
  <c r="F654" i="11"/>
  <c r="G654" i="11"/>
  <c r="H654" i="11"/>
  <c r="I654" i="11"/>
  <c r="J654" i="11"/>
  <c r="K654" i="11"/>
  <c r="L654" i="11"/>
  <c r="M654" i="11"/>
  <c r="N654" i="11"/>
  <c r="O654" i="11"/>
  <c r="P654" i="11"/>
  <c r="Q654" i="11"/>
  <c r="R654" i="11"/>
  <c r="D655" i="11"/>
  <c r="E655" i="11"/>
  <c r="F655" i="11"/>
  <c r="G655" i="11"/>
  <c r="H655" i="11"/>
  <c r="I655" i="11"/>
  <c r="J655" i="11"/>
  <c r="K655" i="11"/>
  <c r="L655" i="11"/>
  <c r="M655" i="11"/>
  <c r="N655" i="11"/>
  <c r="O655" i="11"/>
  <c r="P655" i="11"/>
  <c r="Q655" i="11"/>
  <c r="R655" i="11"/>
  <c r="D656" i="11"/>
  <c r="E656" i="11"/>
  <c r="F656" i="11"/>
  <c r="G656" i="11"/>
  <c r="H656" i="11"/>
  <c r="I656" i="11"/>
  <c r="J656" i="11"/>
  <c r="K656" i="11"/>
  <c r="L656" i="11"/>
  <c r="M656" i="11"/>
  <c r="N656" i="11"/>
  <c r="O656" i="11"/>
  <c r="P656" i="11"/>
  <c r="Q656" i="11"/>
  <c r="R656" i="11"/>
  <c r="D657" i="11"/>
  <c r="E657" i="11"/>
  <c r="F657" i="11"/>
  <c r="G657" i="11"/>
  <c r="H657" i="11"/>
  <c r="I657" i="11"/>
  <c r="J657" i="11"/>
  <c r="K657" i="11"/>
  <c r="L657" i="11"/>
  <c r="M657" i="11"/>
  <c r="N657" i="11"/>
  <c r="O657" i="11"/>
  <c r="P657" i="11"/>
  <c r="Q657" i="11"/>
  <c r="R657" i="11"/>
  <c r="D658" i="11"/>
  <c r="E658" i="11"/>
  <c r="F658" i="11"/>
  <c r="G658" i="11"/>
  <c r="H658" i="11"/>
  <c r="I658" i="11"/>
  <c r="J658" i="11"/>
  <c r="K658" i="11"/>
  <c r="L658" i="11"/>
  <c r="M658" i="11"/>
  <c r="N658" i="11"/>
  <c r="O658" i="11"/>
  <c r="P658" i="11"/>
  <c r="Q658" i="11"/>
  <c r="R658" i="11"/>
  <c r="D659" i="11"/>
  <c r="E659" i="11"/>
  <c r="F659" i="11"/>
  <c r="G659" i="11"/>
  <c r="H659" i="11"/>
  <c r="I659" i="11"/>
  <c r="J659" i="11"/>
  <c r="K659" i="11"/>
  <c r="L659" i="11"/>
  <c r="M659" i="11"/>
  <c r="N659" i="11"/>
  <c r="O659" i="11"/>
  <c r="P659" i="11"/>
  <c r="Q659" i="11"/>
  <c r="R659" i="11"/>
  <c r="D660" i="11"/>
  <c r="E660" i="11"/>
  <c r="F660" i="11"/>
  <c r="G660" i="11"/>
  <c r="H660" i="11"/>
  <c r="I660" i="11"/>
  <c r="J660" i="11"/>
  <c r="K660" i="11"/>
  <c r="L660" i="11"/>
  <c r="M660" i="11"/>
  <c r="N660" i="11"/>
  <c r="O660" i="11"/>
  <c r="P660" i="11"/>
  <c r="Q660" i="11"/>
  <c r="R660" i="11"/>
  <c r="D661" i="11"/>
  <c r="E661" i="11"/>
  <c r="F661" i="11"/>
  <c r="G661" i="11"/>
  <c r="H661" i="11"/>
  <c r="I661" i="11"/>
  <c r="J661" i="11"/>
  <c r="K661" i="11"/>
  <c r="L661" i="11"/>
  <c r="M661" i="11"/>
  <c r="N661" i="11"/>
  <c r="O661" i="11"/>
  <c r="P661" i="11"/>
  <c r="Q661" i="11"/>
  <c r="R661" i="11"/>
  <c r="D662" i="11"/>
  <c r="E662" i="11"/>
  <c r="F662" i="11"/>
  <c r="G662" i="11"/>
  <c r="H662" i="11"/>
  <c r="I662" i="11"/>
  <c r="J662" i="11"/>
  <c r="K662" i="11"/>
  <c r="L662" i="11"/>
  <c r="M662" i="11"/>
  <c r="N662" i="11"/>
  <c r="O662" i="11"/>
  <c r="P662" i="11"/>
  <c r="Q662" i="11"/>
  <c r="R662" i="11"/>
  <c r="D663" i="11"/>
  <c r="E663" i="11"/>
  <c r="F663" i="11"/>
  <c r="G663" i="11"/>
  <c r="H663" i="11"/>
  <c r="I663" i="11"/>
  <c r="J663" i="11"/>
  <c r="K663" i="11"/>
  <c r="L663" i="11"/>
  <c r="M663" i="11"/>
  <c r="N663" i="11"/>
  <c r="O663" i="11"/>
  <c r="P663" i="11"/>
  <c r="Q663" i="11"/>
  <c r="R663" i="11"/>
  <c r="D664" i="11"/>
  <c r="E664" i="11"/>
  <c r="F664" i="11"/>
  <c r="G664" i="11"/>
  <c r="H664" i="11"/>
  <c r="I664" i="11"/>
  <c r="J664" i="11"/>
  <c r="K664" i="11"/>
  <c r="L664" i="11"/>
  <c r="M664" i="11"/>
  <c r="N664" i="11"/>
  <c r="O664" i="11"/>
  <c r="P664" i="11"/>
  <c r="Q664" i="11"/>
  <c r="R664" i="11"/>
  <c r="D665" i="11"/>
  <c r="E665" i="11"/>
  <c r="F665" i="11"/>
  <c r="G665" i="11"/>
  <c r="H665" i="11"/>
  <c r="I665" i="11"/>
  <c r="J665" i="11"/>
  <c r="K665" i="11"/>
  <c r="L665" i="11"/>
  <c r="M665" i="11"/>
  <c r="N665" i="11"/>
  <c r="O665" i="11"/>
  <c r="P665" i="11"/>
  <c r="Q665" i="11"/>
  <c r="R665" i="11"/>
  <c r="D666" i="11"/>
  <c r="E666" i="11"/>
  <c r="F666" i="11"/>
  <c r="G666" i="11"/>
  <c r="H666" i="11"/>
  <c r="J666" i="11"/>
  <c r="K666" i="11"/>
  <c r="L666" i="11"/>
  <c r="M666" i="11"/>
  <c r="N666" i="11"/>
  <c r="O666" i="11"/>
  <c r="P666" i="11"/>
  <c r="Q666" i="11"/>
  <c r="R666" i="11"/>
  <c r="D667" i="11"/>
  <c r="E667" i="11"/>
  <c r="F667" i="11"/>
  <c r="G667" i="11"/>
  <c r="H667" i="11"/>
  <c r="J667" i="11"/>
  <c r="K667" i="11"/>
  <c r="L667" i="11"/>
  <c r="M667" i="11"/>
  <c r="N667" i="11"/>
  <c r="O667" i="11"/>
  <c r="P667" i="11"/>
  <c r="Q667" i="11"/>
  <c r="R667" i="11"/>
  <c r="D668" i="11"/>
  <c r="E668" i="11"/>
  <c r="F668" i="11"/>
  <c r="G668" i="11"/>
  <c r="H668" i="11"/>
  <c r="J668" i="11"/>
  <c r="K668" i="11"/>
  <c r="L668" i="11"/>
  <c r="M668" i="11"/>
  <c r="N668" i="11"/>
  <c r="O668" i="11"/>
  <c r="P668" i="11"/>
  <c r="Q668" i="11"/>
  <c r="R668" i="11"/>
  <c r="D669" i="11"/>
  <c r="E669" i="11"/>
  <c r="F669" i="11"/>
  <c r="G669" i="11"/>
  <c r="H669" i="11"/>
  <c r="J669" i="11"/>
  <c r="K669" i="11"/>
  <c r="L669" i="11"/>
  <c r="M669" i="11"/>
  <c r="N669" i="11"/>
  <c r="O669" i="11"/>
  <c r="P669" i="11"/>
  <c r="Q669" i="11"/>
  <c r="R669" i="11"/>
  <c r="D670" i="11"/>
  <c r="E670" i="11"/>
  <c r="F670" i="11"/>
  <c r="G670" i="11"/>
  <c r="H670" i="11"/>
  <c r="J670" i="11"/>
  <c r="K670" i="11"/>
  <c r="L670" i="11"/>
  <c r="M670" i="11"/>
  <c r="N670" i="11"/>
  <c r="O670" i="11"/>
  <c r="P670" i="11"/>
  <c r="Q670" i="11"/>
  <c r="R670" i="11"/>
  <c r="D671" i="11"/>
  <c r="E671" i="11"/>
  <c r="F671" i="11"/>
  <c r="G671" i="11"/>
  <c r="H671" i="11"/>
  <c r="J671" i="11"/>
  <c r="K671" i="11"/>
  <c r="L671" i="11"/>
  <c r="M671" i="11"/>
  <c r="N671" i="11"/>
  <c r="O671" i="11"/>
  <c r="P671" i="11"/>
  <c r="Q671" i="11"/>
  <c r="R671" i="11"/>
  <c r="D672" i="11"/>
  <c r="E672" i="11"/>
  <c r="F672" i="11"/>
  <c r="G672" i="11"/>
  <c r="H672" i="11"/>
  <c r="J672" i="11"/>
  <c r="K672" i="11"/>
  <c r="L672" i="11"/>
  <c r="M672" i="11"/>
  <c r="N672" i="11"/>
  <c r="O672" i="11"/>
  <c r="P672" i="11"/>
  <c r="Q672" i="11"/>
  <c r="R672" i="11"/>
  <c r="D673" i="11"/>
  <c r="E673" i="11"/>
  <c r="F673" i="11"/>
  <c r="G673" i="11"/>
  <c r="H673" i="11"/>
  <c r="J673" i="11"/>
  <c r="K673" i="11"/>
  <c r="L673" i="11"/>
  <c r="M673" i="11"/>
  <c r="N673" i="11"/>
  <c r="O673" i="11"/>
  <c r="P673" i="11"/>
  <c r="Q673" i="11"/>
  <c r="R673" i="11"/>
  <c r="D674" i="11"/>
  <c r="E674" i="11"/>
  <c r="F674" i="11"/>
  <c r="G674" i="11"/>
  <c r="H674" i="11"/>
  <c r="J674" i="11"/>
  <c r="K674" i="11"/>
  <c r="L674" i="11"/>
  <c r="M674" i="11"/>
  <c r="N674" i="11"/>
  <c r="O674" i="11"/>
  <c r="P674" i="11"/>
  <c r="Q674" i="11"/>
  <c r="R674" i="11"/>
  <c r="D675" i="11"/>
  <c r="E675" i="11"/>
  <c r="F675" i="11"/>
  <c r="G675" i="11"/>
  <c r="H675" i="11"/>
  <c r="J675" i="11"/>
  <c r="K675" i="11"/>
  <c r="L675" i="11"/>
  <c r="M675" i="11"/>
  <c r="N675" i="11"/>
  <c r="O675" i="11"/>
  <c r="P675" i="11"/>
  <c r="Q675" i="11"/>
  <c r="R675" i="11"/>
  <c r="D676" i="11"/>
  <c r="E676" i="11"/>
  <c r="F676" i="11"/>
  <c r="G676" i="11"/>
  <c r="H676" i="11"/>
  <c r="J676" i="11"/>
  <c r="K676" i="11"/>
  <c r="L676" i="11"/>
  <c r="M676" i="11"/>
  <c r="N676" i="11"/>
  <c r="O676" i="11"/>
  <c r="P676" i="11"/>
  <c r="Q676" i="11"/>
  <c r="R676" i="11"/>
  <c r="D677" i="11"/>
  <c r="E677" i="11"/>
  <c r="F677" i="11"/>
  <c r="G677" i="11"/>
  <c r="H677" i="11"/>
  <c r="J677" i="11"/>
  <c r="K677" i="11"/>
  <c r="L677" i="11"/>
  <c r="M677" i="11"/>
  <c r="N677" i="11"/>
  <c r="O677" i="11"/>
  <c r="P677" i="11"/>
  <c r="Q677" i="11"/>
  <c r="R677" i="11"/>
  <c r="D678" i="11"/>
  <c r="E678" i="11"/>
  <c r="F678" i="11"/>
  <c r="G678" i="11"/>
  <c r="H678" i="11"/>
  <c r="J678" i="11"/>
  <c r="K678" i="11"/>
  <c r="L678" i="11"/>
  <c r="M678" i="11"/>
  <c r="N678" i="11"/>
  <c r="O678" i="11"/>
  <c r="P678" i="11"/>
  <c r="Q678" i="11"/>
  <c r="R678" i="11"/>
  <c r="D679" i="11"/>
  <c r="E679" i="11"/>
  <c r="F679" i="11"/>
  <c r="G679" i="11"/>
  <c r="H679" i="11"/>
  <c r="J679" i="11"/>
  <c r="K679" i="11"/>
  <c r="L679" i="11"/>
  <c r="M679" i="11"/>
  <c r="N679" i="11"/>
  <c r="O679" i="11"/>
  <c r="P679" i="11"/>
  <c r="Q679" i="11"/>
  <c r="R679" i="11"/>
  <c r="D680" i="11"/>
  <c r="E680" i="11"/>
  <c r="F680" i="11"/>
  <c r="G680" i="11"/>
  <c r="H680" i="11"/>
  <c r="J680" i="11"/>
  <c r="K680" i="11"/>
  <c r="L680" i="11"/>
  <c r="M680" i="11"/>
  <c r="N680" i="11"/>
  <c r="O680" i="11"/>
  <c r="P680" i="11"/>
  <c r="Q680" i="11"/>
  <c r="R680" i="11"/>
  <c r="D681" i="11"/>
  <c r="E681" i="11"/>
  <c r="F681" i="11"/>
  <c r="G681" i="11"/>
  <c r="H681" i="11"/>
  <c r="J681" i="11"/>
  <c r="K681" i="11"/>
  <c r="L681" i="11"/>
  <c r="M681" i="11"/>
  <c r="N681" i="11"/>
  <c r="O681" i="11"/>
  <c r="P681" i="11"/>
  <c r="Q681" i="11"/>
  <c r="R681" i="11"/>
  <c r="D682" i="11"/>
  <c r="E682" i="11"/>
  <c r="F682" i="11"/>
  <c r="G682" i="11"/>
  <c r="H682" i="11"/>
  <c r="J682" i="11"/>
  <c r="K682" i="11"/>
  <c r="L682" i="11"/>
  <c r="M682" i="11"/>
  <c r="N682" i="11"/>
  <c r="O682" i="11"/>
  <c r="P682" i="11"/>
  <c r="Q682" i="11"/>
  <c r="R682" i="11"/>
  <c r="D683" i="11"/>
  <c r="E683" i="11"/>
  <c r="F683" i="11"/>
  <c r="G683" i="11"/>
  <c r="H683" i="11"/>
  <c r="J683" i="11"/>
  <c r="K683" i="11"/>
  <c r="L683" i="11"/>
  <c r="M683" i="11"/>
  <c r="N683" i="11"/>
  <c r="O683" i="11"/>
  <c r="P683" i="11"/>
  <c r="Q683" i="11"/>
  <c r="R683" i="11"/>
  <c r="D684" i="11"/>
  <c r="E684" i="11"/>
  <c r="F684" i="11"/>
  <c r="G684" i="11"/>
  <c r="H684" i="11"/>
  <c r="J684" i="11"/>
  <c r="K684" i="11"/>
  <c r="L684" i="11"/>
  <c r="M684" i="11"/>
  <c r="N684" i="11"/>
  <c r="O684" i="11"/>
  <c r="P684" i="11"/>
  <c r="Q684" i="11"/>
  <c r="R684" i="11"/>
  <c r="D685" i="11"/>
  <c r="E685" i="11"/>
  <c r="F685" i="11"/>
  <c r="G685" i="11"/>
  <c r="H685" i="11"/>
  <c r="J685" i="11"/>
  <c r="K685" i="11"/>
  <c r="L685" i="11"/>
  <c r="M685" i="11"/>
  <c r="N685" i="11"/>
  <c r="O685" i="11"/>
  <c r="P685" i="11"/>
  <c r="Q685" i="11"/>
  <c r="R685" i="11"/>
  <c r="D686" i="11"/>
  <c r="E686" i="11"/>
  <c r="F686" i="11"/>
  <c r="G686" i="11"/>
  <c r="H686" i="11"/>
  <c r="J686" i="11"/>
  <c r="K686" i="11"/>
  <c r="L686" i="11"/>
  <c r="M686" i="11"/>
  <c r="N686" i="11"/>
  <c r="O686" i="11"/>
  <c r="P686" i="11"/>
  <c r="Q686" i="11"/>
  <c r="R686" i="11"/>
  <c r="D687" i="11"/>
  <c r="E687" i="11"/>
  <c r="F687" i="11"/>
  <c r="G687" i="11"/>
  <c r="H687" i="11"/>
  <c r="J687" i="11"/>
  <c r="K687" i="11"/>
  <c r="L687" i="11"/>
  <c r="M687" i="11"/>
  <c r="N687" i="11"/>
  <c r="O687" i="11"/>
  <c r="P687" i="11"/>
  <c r="Q687" i="11"/>
  <c r="R687" i="11"/>
  <c r="D688" i="11"/>
  <c r="E688" i="11"/>
  <c r="F688" i="11"/>
  <c r="G688" i="11"/>
  <c r="H688" i="11"/>
  <c r="J688" i="11"/>
  <c r="K688" i="11"/>
  <c r="L688" i="11"/>
  <c r="M688" i="11"/>
  <c r="N688" i="11"/>
  <c r="O688" i="11"/>
  <c r="P688" i="11"/>
  <c r="Q688" i="11"/>
  <c r="R688" i="11"/>
  <c r="D689" i="11"/>
  <c r="E689" i="11"/>
  <c r="F689" i="11"/>
  <c r="G689" i="11"/>
  <c r="H689" i="11"/>
  <c r="J689" i="11"/>
  <c r="K689" i="11"/>
  <c r="L689" i="11"/>
  <c r="M689" i="11"/>
  <c r="N689" i="11"/>
  <c r="O689" i="11"/>
  <c r="P689" i="11"/>
  <c r="Q689" i="11"/>
  <c r="R689" i="11"/>
  <c r="D690" i="11"/>
  <c r="E690" i="11"/>
  <c r="F690" i="11"/>
  <c r="G690" i="11"/>
  <c r="H690" i="11"/>
  <c r="J690" i="11"/>
  <c r="K690" i="11"/>
  <c r="L690" i="11"/>
  <c r="M690" i="11"/>
  <c r="N690" i="11"/>
  <c r="O690" i="11"/>
  <c r="P690" i="11"/>
  <c r="Q690" i="11"/>
  <c r="R690" i="11"/>
  <c r="D691" i="11"/>
  <c r="E691" i="11"/>
  <c r="F691" i="11"/>
  <c r="G691" i="11"/>
  <c r="H691" i="11"/>
  <c r="J691" i="11"/>
  <c r="K691" i="11"/>
  <c r="L691" i="11"/>
  <c r="M691" i="11"/>
  <c r="N691" i="11"/>
  <c r="O691" i="11"/>
  <c r="P691" i="11"/>
  <c r="Q691" i="11"/>
  <c r="R691" i="11"/>
  <c r="D692" i="11"/>
  <c r="E692" i="11"/>
  <c r="F692" i="11"/>
  <c r="G692" i="11"/>
  <c r="H692" i="11"/>
  <c r="J692" i="11"/>
  <c r="K692" i="11"/>
  <c r="L692" i="11"/>
  <c r="M692" i="11"/>
  <c r="N692" i="11"/>
  <c r="O692" i="11"/>
  <c r="P692" i="11"/>
  <c r="Q692" i="11"/>
  <c r="R692" i="11"/>
  <c r="D693" i="11"/>
  <c r="E693" i="11"/>
  <c r="F693" i="11"/>
  <c r="G693" i="11"/>
  <c r="H693" i="11"/>
  <c r="J693" i="11"/>
  <c r="K693" i="11"/>
  <c r="L693" i="11"/>
  <c r="M693" i="11"/>
  <c r="N693" i="11"/>
  <c r="O693" i="11"/>
  <c r="P693" i="11"/>
  <c r="Q693" i="11"/>
  <c r="R693" i="11"/>
  <c r="D694" i="11"/>
  <c r="E694" i="11"/>
  <c r="F694" i="11"/>
  <c r="G694" i="11"/>
  <c r="H694" i="11"/>
  <c r="J694" i="11"/>
  <c r="K694" i="11"/>
  <c r="L694" i="11"/>
  <c r="M694" i="11"/>
  <c r="N694" i="11"/>
  <c r="O694" i="11"/>
  <c r="P694" i="11"/>
  <c r="Q694" i="11"/>
  <c r="R694" i="11"/>
  <c r="D695" i="11"/>
  <c r="E695" i="11"/>
  <c r="F695" i="11"/>
  <c r="G695" i="11"/>
  <c r="H695" i="11"/>
  <c r="J695" i="11"/>
  <c r="K695" i="11"/>
  <c r="L695" i="11"/>
  <c r="M695" i="11"/>
  <c r="N695" i="11"/>
  <c r="O695" i="11"/>
  <c r="P695" i="11"/>
  <c r="Q695" i="11"/>
  <c r="R695" i="11"/>
  <c r="D696" i="11"/>
  <c r="E696" i="11"/>
  <c r="F696" i="11"/>
  <c r="G696" i="11"/>
  <c r="H696" i="11"/>
  <c r="J696" i="11"/>
  <c r="K696" i="11"/>
  <c r="L696" i="11"/>
  <c r="M696" i="11"/>
  <c r="N696" i="11"/>
  <c r="O696" i="11"/>
  <c r="P696" i="11"/>
  <c r="Q696" i="11"/>
  <c r="R696" i="11"/>
  <c r="D697" i="11"/>
  <c r="E697" i="11"/>
  <c r="F697" i="11"/>
  <c r="G697" i="11"/>
  <c r="H697" i="11"/>
  <c r="J697" i="11"/>
  <c r="K697" i="11"/>
  <c r="L697" i="11"/>
  <c r="M697" i="11"/>
  <c r="N697" i="11"/>
  <c r="O697" i="11"/>
  <c r="P697" i="11"/>
  <c r="Q697" i="11"/>
  <c r="R697" i="11"/>
  <c r="D698" i="11"/>
  <c r="E698" i="11"/>
  <c r="F698" i="11"/>
  <c r="G698" i="11"/>
  <c r="H698" i="11"/>
  <c r="J698" i="11"/>
  <c r="K698" i="11"/>
  <c r="L698" i="11"/>
  <c r="M698" i="11"/>
  <c r="N698" i="11"/>
  <c r="O698" i="11"/>
  <c r="P698" i="11"/>
  <c r="Q698" i="11"/>
  <c r="R698" i="11"/>
  <c r="D699" i="11"/>
  <c r="E699" i="11"/>
  <c r="F699" i="11"/>
  <c r="G699" i="11"/>
  <c r="H699" i="11"/>
  <c r="J699" i="11"/>
  <c r="K699" i="11"/>
  <c r="L699" i="11"/>
  <c r="M699" i="11"/>
  <c r="N699" i="11"/>
  <c r="O699" i="11"/>
  <c r="P699" i="11"/>
  <c r="Q699" i="11"/>
  <c r="R699" i="11"/>
  <c r="D700" i="11"/>
  <c r="E700" i="11"/>
  <c r="F700" i="11"/>
  <c r="G700" i="11"/>
  <c r="H700" i="11"/>
  <c r="J700" i="11"/>
  <c r="K700" i="11"/>
  <c r="L700" i="11"/>
  <c r="M700" i="11"/>
  <c r="N700" i="11"/>
  <c r="O700" i="11"/>
  <c r="P700" i="11"/>
  <c r="Q700" i="11"/>
  <c r="R700" i="11"/>
  <c r="D701" i="11"/>
  <c r="E701" i="11"/>
  <c r="F701" i="11"/>
  <c r="G701" i="11"/>
  <c r="H701" i="11"/>
  <c r="J701" i="11"/>
  <c r="K701" i="11"/>
  <c r="L701" i="11"/>
  <c r="M701" i="11"/>
  <c r="N701" i="11"/>
  <c r="O701" i="11"/>
  <c r="P701" i="11"/>
  <c r="Q701" i="11"/>
  <c r="R701" i="11"/>
  <c r="D702" i="11"/>
  <c r="E702" i="11"/>
  <c r="F702" i="11"/>
  <c r="G702" i="11"/>
  <c r="H702" i="11"/>
  <c r="J702" i="11"/>
  <c r="K702" i="11"/>
  <c r="L702" i="11"/>
  <c r="M702" i="11"/>
  <c r="N702" i="11"/>
  <c r="O702" i="11"/>
  <c r="P702" i="11"/>
  <c r="Q702" i="11"/>
  <c r="R702" i="11"/>
  <c r="D703" i="11"/>
  <c r="E703" i="11"/>
  <c r="F703" i="11"/>
  <c r="G703" i="11"/>
  <c r="H703" i="11"/>
  <c r="J703" i="11"/>
  <c r="K703" i="11"/>
  <c r="L703" i="11"/>
  <c r="M703" i="11"/>
  <c r="N703" i="11"/>
  <c r="O703" i="11"/>
  <c r="P703" i="11"/>
  <c r="Q703" i="11"/>
  <c r="R703" i="11"/>
  <c r="D704" i="11"/>
  <c r="E704" i="11"/>
  <c r="F704" i="11"/>
  <c r="G704" i="11"/>
  <c r="H704" i="11"/>
  <c r="J704" i="11"/>
  <c r="K704" i="11"/>
  <c r="L704" i="11"/>
  <c r="M704" i="11"/>
  <c r="N704" i="11"/>
  <c r="O704" i="11"/>
  <c r="P704" i="11"/>
  <c r="Q704" i="11"/>
  <c r="R704" i="11"/>
  <c r="D705" i="11"/>
  <c r="E705" i="11"/>
  <c r="F705" i="11"/>
  <c r="G705" i="11"/>
  <c r="H705" i="11"/>
  <c r="J705" i="11"/>
  <c r="K705" i="11"/>
  <c r="L705" i="11"/>
  <c r="M705" i="11"/>
  <c r="N705" i="11"/>
  <c r="O705" i="11"/>
  <c r="P705" i="11"/>
  <c r="Q705" i="11"/>
  <c r="R705" i="11"/>
  <c r="D706" i="11"/>
  <c r="E706" i="11"/>
  <c r="F706" i="11"/>
  <c r="G706" i="11"/>
  <c r="H706" i="11"/>
  <c r="J706" i="11"/>
  <c r="K706" i="11"/>
  <c r="L706" i="11"/>
  <c r="M706" i="11"/>
  <c r="N706" i="11"/>
  <c r="O706" i="11"/>
  <c r="P706" i="11"/>
  <c r="Q706" i="11"/>
  <c r="R706" i="11"/>
  <c r="D707" i="11"/>
  <c r="E707" i="11"/>
  <c r="F707" i="11"/>
  <c r="G707" i="11"/>
  <c r="H707" i="11"/>
  <c r="J707" i="11"/>
  <c r="K707" i="11"/>
  <c r="L707" i="11"/>
  <c r="M707" i="11"/>
  <c r="N707" i="11"/>
  <c r="O707" i="11"/>
  <c r="P707" i="11"/>
  <c r="Q707" i="11"/>
  <c r="R707" i="11"/>
  <c r="D708" i="11"/>
  <c r="E708" i="11"/>
  <c r="F708" i="11"/>
  <c r="G708" i="11"/>
  <c r="H708" i="11"/>
  <c r="J708" i="11"/>
  <c r="K708" i="11"/>
  <c r="L708" i="11"/>
  <c r="M708" i="11"/>
  <c r="N708" i="11"/>
  <c r="O708" i="11"/>
  <c r="P708" i="11"/>
  <c r="Q708" i="11"/>
  <c r="R708" i="11"/>
  <c r="D709" i="11"/>
  <c r="E709" i="11"/>
  <c r="F709" i="11"/>
  <c r="G709" i="11"/>
  <c r="H709" i="11"/>
  <c r="J709" i="11"/>
  <c r="K709" i="11"/>
  <c r="L709" i="11"/>
  <c r="M709" i="11"/>
  <c r="N709" i="11"/>
  <c r="O709" i="11"/>
  <c r="P709" i="11"/>
  <c r="Q709" i="11"/>
  <c r="R709" i="11"/>
  <c r="D602" i="11"/>
  <c r="E602" i="11"/>
  <c r="F602" i="11"/>
  <c r="G602" i="11"/>
  <c r="H602" i="11"/>
  <c r="I602" i="11"/>
  <c r="J602" i="11"/>
  <c r="K602" i="11"/>
  <c r="L602" i="11"/>
  <c r="M602" i="11"/>
  <c r="N602" i="11"/>
  <c r="O602" i="11"/>
  <c r="P602" i="11"/>
  <c r="Q602" i="11"/>
  <c r="R602" i="11"/>
  <c r="D603" i="11"/>
  <c r="E603" i="11"/>
  <c r="F603" i="11"/>
  <c r="G603" i="11"/>
  <c r="H603" i="11"/>
  <c r="I603" i="11"/>
  <c r="J603" i="11"/>
  <c r="K603" i="11"/>
  <c r="L603" i="11"/>
  <c r="M603" i="11"/>
  <c r="N603" i="11"/>
  <c r="O603" i="11"/>
  <c r="P603" i="11"/>
  <c r="Q603" i="11"/>
  <c r="R603" i="11"/>
  <c r="D604" i="11"/>
  <c r="E604" i="11"/>
  <c r="F604" i="11"/>
  <c r="G604" i="11"/>
  <c r="H604" i="11"/>
  <c r="I604" i="11"/>
  <c r="J604" i="11"/>
  <c r="K604" i="11"/>
  <c r="L604" i="11"/>
  <c r="M604" i="11"/>
  <c r="N604" i="11"/>
  <c r="O604" i="11"/>
  <c r="P604" i="11"/>
  <c r="Q604" i="11"/>
  <c r="R604" i="11"/>
  <c r="D605" i="11"/>
  <c r="E605" i="11"/>
  <c r="F605" i="11"/>
  <c r="G605" i="11"/>
  <c r="H605" i="11"/>
  <c r="I605" i="11"/>
  <c r="J605" i="11"/>
  <c r="K605" i="11"/>
  <c r="L605" i="11"/>
  <c r="M605" i="11"/>
  <c r="N605" i="11"/>
  <c r="O605" i="11"/>
  <c r="P605" i="11"/>
  <c r="Q605" i="11"/>
  <c r="R605" i="11"/>
  <c r="D606" i="11"/>
  <c r="E606" i="11"/>
  <c r="F606" i="11"/>
  <c r="G606" i="11"/>
  <c r="H606" i="11"/>
  <c r="I606" i="11"/>
  <c r="J606" i="11"/>
  <c r="K606" i="11"/>
  <c r="L606" i="11"/>
  <c r="M606" i="11"/>
  <c r="N606" i="11"/>
  <c r="O606" i="11"/>
  <c r="P606" i="11"/>
  <c r="Q606" i="11"/>
  <c r="R606" i="11"/>
  <c r="D607" i="11"/>
  <c r="E607" i="11"/>
  <c r="F607" i="11"/>
  <c r="G607" i="11"/>
  <c r="H607" i="11"/>
  <c r="I607" i="11"/>
  <c r="J607" i="11"/>
  <c r="K607" i="11"/>
  <c r="L607" i="11"/>
  <c r="M607" i="11"/>
  <c r="N607" i="11"/>
  <c r="O607" i="11"/>
  <c r="P607" i="11"/>
  <c r="Q607" i="11"/>
  <c r="R607" i="11"/>
  <c r="D608" i="11"/>
  <c r="E608" i="11"/>
  <c r="F608" i="11"/>
  <c r="G608" i="11"/>
  <c r="H608" i="11"/>
  <c r="I608" i="11"/>
  <c r="J608" i="11"/>
  <c r="K608" i="11"/>
  <c r="L608" i="11"/>
  <c r="M608" i="11"/>
  <c r="N608" i="11"/>
  <c r="O608" i="11"/>
  <c r="P608" i="11"/>
  <c r="Q608" i="11"/>
  <c r="R608" i="11"/>
  <c r="D609" i="11"/>
  <c r="E609" i="11"/>
  <c r="F609" i="11"/>
  <c r="G609" i="11"/>
  <c r="H609" i="11"/>
  <c r="I609" i="11"/>
  <c r="J609" i="11"/>
  <c r="K609" i="11"/>
  <c r="L609" i="11"/>
  <c r="M609" i="11"/>
  <c r="N609" i="11"/>
  <c r="O609" i="11"/>
  <c r="P609" i="11"/>
  <c r="Q609" i="11"/>
  <c r="R609" i="11"/>
  <c r="D610" i="11"/>
  <c r="E610" i="11"/>
  <c r="F610" i="11"/>
  <c r="G610" i="11"/>
  <c r="H610" i="11"/>
  <c r="I610" i="11"/>
  <c r="J610" i="11"/>
  <c r="K610" i="11"/>
  <c r="L610" i="11"/>
  <c r="M610" i="11"/>
  <c r="N610" i="11"/>
  <c r="O610" i="11"/>
  <c r="P610" i="11"/>
  <c r="Q610" i="11"/>
  <c r="R610" i="11"/>
  <c r="D611" i="11"/>
  <c r="E611" i="11"/>
  <c r="F611" i="11"/>
  <c r="G611" i="11"/>
  <c r="H611" i="11"/>
  <c r="I611" i="11"/>
  <c r="J611" i="11"/>
  <c r="K611" i="11"/>
  <c r="L611" i="11"/>
  <c r="M611" i="11"/>
  <c r="N611" i="11"/>
  <c r="O611" i="11"/>
  <c r="P611" i="11"/>
  <c r="Q611" i="11"/>
  <c r="R611" i="11"/>
  <c r="D612" i="11"/>
  <c r="E612" i="11"/>
  <c r="F612" i="11"/>
  <c r="G612" i="11"/>
  <c r="H612" i="11"/>
  <c r="I612" i="11"/>
  <c r="J612" i="11"/>
  <c r="K612" i="11"/>
  <c r="L612" i="11"/>
  <c r="M612" i="11"/>
  <c r="N612" i="11"/>
  <c r="O612" i="11"/>
  <c r="P612" i="11"/>
  <c r="Q612" i="11"/>
  <c r="R612" i="11"/>
  <c r="D613" i="11"/>
  <c r="E613" i="11"/>
  <c r="F613" i="11"/>
  <c r="G613" i="11"/>
  <c r="H613" i="11"/>
  <c r="I613" i="11"/>
  <c r="J613" i="11"/>
  <c r="K613" i="11"/>
  <c r="L613" i="11"/>
  <c r="M613" i="11"/>
  <c r="N613" i="11"/>
  <c r="O613" i="11"/>
  <c r="P613" i="11"/>
  <c r="Q613" i="11"/>
  <c r="R613" i="11"/>
  <c r="D614" i="11"/>
  <c r="E614" i="11"/>
  <c r="F614" i="11"/>
  <c r="G614" i="11"/>
  <c r="H614" i="11"/>
  <c r="I614" i="11"/>
  <c r="J614" i="11"/>
  <c r="K614" i="11"/>
  <c r="L614" i="11"/>
  <c r="M614" i="11"/>
  <c r="N614" i="11"/>
  <c r="O614" i="11"/>
  <c r="P614" i="11"/>
  <c r="Q614" i="11"/>
  <c r="R614" i="11"/>
  <c r="D615" i="11"/>
  <c r="E615" i="11"/>
  <c r="F615" i="11"/>
  <c r="G615" i="11"/>
  <c r="H615" i="11"/>
  <c r="I615" i="11"/>
  <c r="J615" i="11"/>
  <c r="K615" i="11"/>
  <c r="L615" i="11"/>
  <c r="M615" i="11"/>
  <c r="N615" i="11"/>
  <c r="O615" i="11"/>
  <c r="P615" i="11"/>
  <c r="Q615" i="11"/>
  <c r="R615" i="11"/>
  <c r="D616" i="11"/>
  <c r="E616" i="11"/>
  <c r="F616" i="11"/>
  <c r="G616" i="11"/>
  <c r="H616" i="11"/>
  <c r="I616" i="11"/>
  <c r="J616" i="11"/>
  <c r="K616" i="11"/>
  <c r="L616" i="11"/>
  <c r="M616" i="11"/>
  <c r="N616" i="11"/>
  <c r="O616" i="11"/>
  <c r="P616" i="11"/>
  <c r="Q616" i="11"/>
  <c r="R616" i="11"/>
  <c r="D617" i="11"/>
  <c r="E617" i="11"/>
  <c r="F617" i="11"/>
  <c r="G617" i="11"/>
  <c r="H617" i="11"/>
  <c r="I617" i="11"/>
  <c r="J617" i="11"/>
  <c r="K617" i="11"/>
  <c r="L617" i="11"/>
  <c r="M617" i="11"/>
  <c r="N617" i="11"/>
  <c r="O617" i="11"/>
  <c r="P617" i="11"/>
  <c r="Q617" i="11"/>
  <c r="R617" i="11"/>
  <c r="D618" i="11"/>
  <c r="E618" i="11"/>
  <c r="F618" i="11"/>
  <c r="G618" i="11"/>
  <c r="H618" i="11"/>
  <c r="I618" i="11"/>
  <c r="J618" i="11"/>
  <c r="K618" i="11"/>
  <c r="L618" i="11"/>
  <c r="M618" i="11"/>
  <c r="N618" i="11"/>
  <c r="O618" i="11"/>
  <c r="P618" i="11"/>
  <c r="Q618" i="11"/>
  <c r="R618" i="11"/>
  <c r="D619" i="11"/>
  <c r="E619" i="11"/>
  <c r="F619" i="11"/>
  <c r="G619" i="11"/>
  <c r="H619" i="11"/>
  <c r="I619" i="11"/>
  <c r="J619" i="11"/>
  <c r="K619" i="11"/>
  <c r="L619" i="11"/>
  <c r="M619" i="11"/>
  <c r="N619" i="11"/>
  <c r="O619" i="11"/>
  <c r="P619" i="11"/>
  <c r="Q619" i="11"/>
  <c r="R619" i="11"/>
  <c r="D620" i="11"/>
  <c r="E620" i="11"/>
  <c r="F620" i="11"/>
  <c r="G620" i="11"/>
  <c r="H620" i="11"/>
  <c r="I620" i="11"/>
  <c r="J620" i="11"/>
  <c r="K620" i="11"/>
  <c r="L620" i="11"/>
  <c r="M620" i="11"/>
  <c r="N620" i="11"/>
  <c r="O620" i="11"/>
  <c r="P620" i="11"/>
  <c r="Q620" i="11"/>
  <c r="R620" i="11"/>
  <c r="D621" i="11"/>
  <c r="E621" i="11"/>
  <c r="F621" i="11"/>
  <c r="G621" i="11"/>
  <c r="H621" i="11"/>
  <c r="I621" i="11"/>
  <c r="J621" i="11"/>
  <c r="K621" i="11"/>
  <c r="L621" i="11"/>
  <c r="M621" i="11"/>
  <c r="N621" i="11"/>
  <c r="O621" i="11"/>
  <c r="P621" i="11"/>
  <c r="Q621" i="11"/>
  <c r="R621" i="11"/>
  <c r="D622" i="11"/>
  <c r="E622" i="11"/>
  <c r="F622" i="11"/>
  <c r="G622" i="11"/>
  <c r="H622" i="11"/>
  <c r="I622" i="11"/>
  <c r="J622" i="11"/>
  <c r="K622" i="11"/>
  <c r="L622" i="11"/>
  <c r="M622" i="11"/>
  <c r="N622" i="11"/>
  <c r="O622" i="11"/>
  <c r="P622" i="11"/>
  <c r="Q622" i="11"/>
  <c r="R622" i="11"/>
  <c r="D623" i="11"/>
  <c r="E623" i="11"/>
  <c r="F623" i="11"/>
  <c r="G623" i="11"/>
  <c r="H623" i="11"/>
  <c r="I623" i="11"/>
  <c r="J623" i="11"/>
  <c r="K623" i="11"/>
  <c r="L623" i="11"/>
  <c r="M623" i="11"/>
  <c r="N623" i="11"/>
  <c r="O623" i="11"/>
  <c r="P623" i="11"/>
  <c r="Q623" i="11"/>
  <c r="R623" i="11"/>
  <c r="D624" i="11"/>
  <c r="E624" i="11"/>
  <c r="F624" i="11"/>
  <c r="G624" i="11"/>
  <c r="H624" i="11"/>
  <c r="I624" i="11"/>
  <c r="J624" i="11"/>
  <c r="K624" i="11"/>
  <c r="L624" i="11"/>
  <c r="M624" i="11"/>
  <c r="N624" i="11"/>
  <c r="O624" i="11"/>
  <c r="P624" i="11"/>
  <c r="Q624" i="11"/>
  <c r="R624" i="11"/>
  <c r="D625" i="11"/>
  <c r="E625" i="11"/>
  <c r="F625" i="11"/>
  <c r="G625" i="11"/>
  <c r="H625" i="11"/>
  <c r="I625" i="11"/>
  <c r="J625" i="11"/>
  <c r="K625" i="11"/>
  <c r="L625" i="11"/>
  <c r="M625" i="11"/>
  <c r="N625" i="11"/>
  <c r="O625" i="11"/>
  <c r="P625" i="11"/>
  <c r="Q625" i="11"/>
  <c r="R625" i="11"/>
  <c r="D626" i="11"/>
  <c r="E626" i="11"/>
  <c r="F626" i="11"/>
  <c r="G626" i="11"/>
  <c r="H626" i="11"/>
  <c r="I626" i="11"/>
  <c r="J626" i="11"/>
  <c r="K626" i="11"/>
  <c r="L626" i="11"/>
  <c r="M626" i="11"/>
  <c r="N626" i="11"/>
  <c r="O626" i="11"/>
  <c r="P626" i="11"/>
  <c r="Q626" i="11"/>
  <c r="R626" i="11"/>
  <c r="D627" i="11"/>
  <c r="E627" i="11"/>
  <c r="F627" i="11"/>
  <c r="G627" i="11"/>
  <c r="H627" i="11"/>
  <c r="I627" i="11"/>
  <c r="J627" i="11"/>
  <c r="K627" i="11"/>
  <c r="L627" i="11"/>
  <c r="M627" i="11"/>
  <c r="N627" i="11"/>
  <c r="O627" i="11"/>
  <c r="P627" i="11"/>
  <c r="Q627" i="11"/>
  <c r="R627" i="11"/>
  <c r="D628" i="11"/>
  <c r="E628" i="11"/>
  <c r="F628" i="11"/>
  <c r="G628" i="11"/>
  <c r="H628" i="11"/>
  <c r="I628" i="11"/>
  <c r="J628" i="11"/>
  <c r="K628" i="11"/>
  <c r="L628" i="11"/>
  <c r="M628" i="11"/>
  <c r="N628" i="11"/>
  <c r="O628" i="11"/>
  <c r="P628" i="11"/>
  <c r="Q628" i="11"/>
  <c r="R628" i="11"/>
  <c r="D629" i="11"/>
  <c r="E629" i="11"/>
  <c r="F629" i="11"/>
  <c r="G629" i="11"/>
  <c r="H629" i="11"/>
  <c r="I629" i="11"/>
  <c r="J629" i="11"/>
  <c r="K629" i="11"/>
  <c r="L629" i="11"/>
  <c r="M629" i="11"/>
  <c r="N629" i="11"/>
  <c r="O629" i="11"/>
  <c r="P629" i="11"/>
  <c r="Q629" i="11"/>
  <c r="R629" i="11"/>
  <c r="D630" i="11"/>
  <c r="E630" i="11"/>
  <c r="F630" i="11"/>
  <c r="G630" i="11"/>
  <c r="H630" i="11"/>
  <c r="I630" i="11"/>
  <c r="J630" i="11"/>
  <c r="K630" i="11"/>
  <c r="L630" i="11"/>
  <c r="M630" i="11"/>
  <c r="N630" i="11"/>
  <c r="O630" i="11"/>
  <c r="P630" i="11"/>
  <c r="Q630" i="11"/>
  <c r="R630" i="11"/>
  <c r="D631" i="11"/>
  <c r="E631" i="11"/>
  <c r="F631" i="11"/>
  <c r="G631" i="11"/>
  <c r="H631" i="11"/>
  <c r="I631" i="11"/>
  <c r="J631" i="11"/>
  <c r="K631" i="11"/>
  <c r="L631" i="11"/>
  <c r="M631" i="11"/>
  <c r="N631" i="11"/>
  <c r="O631" i="11"/>
  <c r="P631" i="11"/>
  <c r="Q631" i="11"/>
  <c r="R631" i="11"/>
  <c r="D632" i="11"/>
  <c r="E632" i="11"/>
  <c r="F632" i="11"/>
  <c r="G632" i="11"/>
  <c r="H632" i="11"/>
  <c r="I632" i="11"/>
  <c r="J632" i="11"/>
  <c r="K632" i="11"/>
  <c r="L632" i="11"/>
  <c r="M632" i="11"/>
  <c r="N632" i="11"/>
  <c r="O632" i="11"/>
  <c r="P632" i="11"/>
  <c r="Q632" i="11"/>
  <c r="R632" i="11"/>
  <c r="D633" i="11"/>
  <c r="E633" i="11"/>
  <c r="F633" i="11"/>
  <c r="G633" i="11"/>
  <c r="H633" i="11"/>
  <c r="I633" i="11"/>
  <c r="J633" i="11"/>
  <c r="K633" i="11"/>
  <c r="L633" i="11"/>
  <c r="M633" i="11"/>
  <c r="N633" i="11"/>
  <c r="O633" i="11"/>
  <c r="P633" i="11"/>
  <c r="Q633" i="11"/>
  <c r="R633" i="11"/>
  <c r="D634" i="11"/>
  <c r="E634" i="11"/>
  <c r="F634" i="11"/>
  <c r="G634" i="11"/>
  <c r="H634" i="11"/>
  <c r="I634" i="11"/>
  <c r="J634" i="11"/>
  <c r="K634" i="11"/>
  <c r="L634" i="11"/>
  <c r="M634" i="11"/>
  <c r="N634" i="11"/>
  <c r="O634" i="11"/>
  <c r="P634" i="11"/>
  <c r="Q634" i="11"/>
  <c r="R634" i="11"/>
  <c r="D635" i="11"/>
  <c r="E635" i="11"/>
  <c r="F635" i="11"/>
  <c r="G635" i="11"/>
  <c r="H635" i="11"/>
  <c r="I635" i="11"/>
  <c r="J635" i="11"/>
  <c r="K635" i="11"/>
  <c r="L635" i="11"/>
  <c r="M635" i="11"/>
  <c r="N635" i="11"/>
  <c r="O635" i="11"/>
  <c r="P635" i="11"/>
  <c r="Q635" i="11"/>
  <c r="R635" i="11"/>
  <c r="D636" i="11"/>
  <c r="E636" i="11"/>
  <c r="F636" i="11"/>
  <c r="G636" i="11"/>
  <c r="H636" i="11"/>
  <c r="I636" i="11"/>
  <c r="J636" i="11"/>
  <c r="K636" i="11"/>
  <c r="L636" i="11"/>
  <c r="M636" i="11"/>
  <c r="N636" i="11"/>
  <c r="O636" i="11"/>
  <c r="P636" i="11"/>
  <c r="Q636" i="11"/>
  <c r="R636" i="11"/>
  <c r="D637" i="11"/>
  <c r="E637" i="11"/>
  <c r="F637" i="11"/>
  <c r="G637" i="11"/>
  <c r="H637" i="11"/>
  <c r="I637" i="11"/>
  <c r="J637" i="11"/>
  <c r="K637" i="11"/>
  <c r="L637" i="11"/>
  <c r="M637" i="11"/>
  <c r="N637" i="11"/>
  <c r="O637" i="11"/>
  <c r="P637" i="11"/>
  <c r="Q637" i="11"/>
  <c r="R637" i="11"/>
  <c r="D638" i="11"/>
  <c r="E638" i="11"/>
  <c r="F638" i="11"/>
  <c r="G638" i="11"/>
  <c r="H638" i="11"/>
  <c r="I638" i="11"/>
  <c r="J638" i="11"/>
  <c r="K638" i="11"/>
  <c r="L638" i="11"/>
  <c r="M638" i="11"/>
  <c r="N638" i="11"/>
  <c r="O638" i="11"/>
  <c r="P638" i="11"/>
  <c r="Q638" i="11"/>
  <c r="R638" i="11"/>
  <c r="D639" i="11"/>
  <c r="E639" i="11"/>
  <c r="F639" i="11"/>
  <c r="G639" i="11"/>
  <c r="H639" i="11"/>
  <c r="I639" i="11"/>
  <c r="J639" i="11"/>
  <c r="K639" i="11"/>
  <c r="L639" i="11"/>
  <c r="M639" i="11"/>
  <c r="N639" i="11"/>
  <c r="O639" i="11"/>
  <c r="P639" i="11"/>
  <c r="Q639" i="11"/>
  <c r="R639" i="11"/>
  <c r="D640" i="11"/>
  <c r="E640" i="11"/>
  <c r="F640" i="11"/>
  <c r="G640" i="11"/>
  <c r="H640" i="11"/>
  <c r="I640" i="11"/>
  <c r="J640" i="11"/>
  <c r="K640" i="11"/>
  <c r="L640" i="11"/>
  <c r="M640" i="11"/>
  <c r="N640" i="11"/>
  <c r="O640" i="11"/>
  <c r="P640" i="11"/>
  <c r="Q640" i="11"/>
  <c r="R640" i="11"/>
  <c r="D571" i="11"/>
  <c r="E571" i="11"/>
  <c r="F571" i="11"/>
  <c r="G571" i="11"/>
  <c r="H571" i="11"/>
  <c r="I571" i="11"/>
  <c r="J571" i="11"/>
  <c r="K571" i="11"/>
  <c r="L571" i="11"/>
  <c r="M571" i="11"/>
  <c r="N571" i="11"/>
  <c r="O571" i="11"/>
  <c r="P571" i="11"/>
  <c r="Q571" i="11"/>
  <c r="R571" i="11"/>
  <c r="D572" i="11"/>
  <c r="E572" i="11"/>
  <c r="F572" i="11"/>
  <c r="G572" i="11"/>
  <c r="H572" i="11"/>
  <c r="I572" i="11"/>
  <c r="J572" i="11"/>
  <c r="K572" i="11"/>
  <c r="L572" i="11"/>
  <c r="M572" i="11"/>
  <c r="N572" i="11"/>
  <c r="O572" i="11"/>
  <c r="P572" i="11"/>
  <c r="Q572" i="11"/>
  <c r="R572" i="11"/>
  <c r="D573" i="11"/>
  <c r="E573" i="11"/>
  <c r="F573" i="11"/>
  <c r="G573" i="11"/>
  <c r="H573" i="11"/>
  <c r="I573" i="11"/>
  <c r="J573" i="11"/>
  <c r="K573" i="11"/>
  <c r="L573" i="11"/>
  <c r="M573" i="11"/>
  <c r="N573" i="11"/>
  <c r="O573" i="11"/>
  <c r="P573" i="11"/>
  <c r="Q573" i="11"/>
  <c r="R573" i="11"/>
  <c r="D574" i="11"/>
  <c r="E574" i="11"/>
  <c r="F574" i="11"/>
  <c r="G574" i="11"/>
  <c r="H574" i="11"/>
  <c r="I574" i="11"/>
  <c r="J574" i="11"/>
  <c r="K574" i="11"/>
  <c r="L574" i="11"/>
  <c r="M574" i="11"/>
  <c r="N574" i="11"/>
  <c r="O574" i="11"/>
  <c r="P574" i="11"/>
  <c r="Q574" i="11"/>
  <c r="R574" i="11"/>
  <c r="D575" i="11"/>
  <c r="E575" i="11"/>
  <c r="F575" i="11"/>
  <c r="G575" i="11"/>
  <c r="H575" i="11"/>
  <c r="I575" i="11"/>
  <c r="J575" i="11"/>
  <c r="K575" i="11"/>
  <c r="L575" i="11"/>
  <c r="M575" i="11"/>
  <c r="N575" i="11"/>
  <c r="O575" i="11"/>
  <c r="P575" i="11"/>
  <c r="Q575" i="11"/>
  <c r="R575" i="11"/>
  <c r="D576" i="11"/>
  <c r="E576" i="11"/>
  <c r="F576" i="11"/>
  <c r="G576" i="11"/>
  <c r="H576" i="11"/>
  <c r="I576" i="11"/>
  <c r="J576" i="11"/>
  <c r="K576" i="11"/>
  <c r="L576" i="11"/>
  <c r="M576" i="11"/>
  <c r="N576" i="11"/>
  <c r="O576" i="11"/>
  <c r="P576" i="11"/>
  <c r="Q576" i="11"/>
  <c r="R576" i="11"/>
  <c r="D577" i="11"/>
  <c r="E577" i="11"/>
  <c r="F577" i="11"/>
  <c r="G577" i="11"/>
  <c r="H577" i="11"/>
  <c r="I577" i="11"/>
  <c r="J577" i="11"/>
  <c r="K577" i="11"/>
  <c r="L577" i="11"/>
  <c r="M577" i="11"/>
  <c r="N577" i="11"/>
  <c r="O577" i="11"/>
  <c r="P577" i="11"/>
  <c r="Q577" i="11"/>
  <c r="R577" i="11"/>
  <c r="D578" i="11"/>
  <c r="E578" i="11"/>
  <c r="F578" i="11"/>
  <c r="G578" i="11"/>
  <c r="H578" i="11"/>
  <c r="I578" i="11"/>
  <c r="J578" i="11"/>
  <c r="K578" i="11"/>
  <c r="L578" i="11"/>
  <c r="M578" i="11"/>
  <c r="N578" i="11"/>
  <c r="O578" i="11"/>
  <c r="P578" i="11"/>
  <c r="Q578" i="11"/>
  <c r="R578" i="11"/>
  <c r="D579" i="11"/>
  <c r="E579" i="11"/>
  <c r="F579" i="11"/>
  <c r="G579" i="11"/>
  <c r="H579" i="11"/>
  <c r="I579" i="11"/>
  <c r="J579" i="11"/>
  <c r="K579" i="11"/>
  <c r="L579" i="11"/>
  <c r="M579" i="11"/>
  <c r="N579" i="11"/>
  <c r="O579" i="11"/>
  <c r="P579" i="11"/>
  <c r="Q579" i="11"/>
  <c r="R579" i="11"/>
  <c r="D580" i="11"/>
  <c r="E580" i="11"/>
  <c r="F580" i="11"/>
  <c r="G580" i="11"/>
  <c r="H580" i="11"/>
  <c r="I580" i="11"/>
  <c r="J580" i="11"/>
  <c r="K580" i="11"/>
  <c r="L580" i="11"/>
  <c r="M580" i="11"/>
  <c r="N580" i="11"/>
  <c r="O580" i="11"/>
  <c r="P580" i="11"/>
  <c r="Q580" i="11"/>
  <c r="R580" i="11"/>
  <c r="D581" i="11"/>
  <c r="E581" i="11"/>
  <c r="F581" i="11"/>
  <c r="G581" i="11"/>
  <c r="H581" i="11"/>
  <c r="I581" i="11"/>
  <c r="J581" i="11"/>
  <c r="K581" i="11"/>
  <c r="L581" i="11"/>
  <c r="M581" i="11"/>
  <c r="N581" i="11"/>
  <c r="O581" i="11"/>
  <c r="P581" i="11"/>
  <c r="Q581" i="11"/>
  <c r="R581" i="11"/>
  <c r="D582" i="11"/>
  <c r="E582" i="11"/>
  <c r="F582" i="11"/>
  <c r="G582" i="11"/>
  <c r="H582" i="11"/>
  <c r="I582" i="11"/>
  <c r="J582" i="11"/>
  <c r="K582" i="11"/>
  <c r="L582" i="11"/>
  <c r="M582" i="11"/>
  <c r="N582" i="11"/>
  <c r="O582" i="11"/>
  <c r="P582" i="11"/>
  <c r="Q582" i="11"/>
  <c r="R582" i="11"/>
  <c r="D583" i="11"/>
  <c r="E583" i="11"/>
  <c r="F583" i="11"/>
  <c r="G583" i="11"/>
  <c r="H583" i="11"/>
  <c r="I583" i="11"/>
  <c r="J583" i="11"/>
  <c r="K583" i="11"/>
  <c r="L583" i="11"/>
  <c r="M583" i="11"/>
  <c r="N583" i="11"/>
  <c r="O583" i="11"/>
  <c r="P583" i="11"/>
  <c r="Q583" i="11"/>
  <c r="R583" i="11"/>
  <c r="D584" i="11"/>
  <c r="E584" i="11"/>
  <c r="F584" i="11"/>
  <c r="G584" i="11"/>
  <c r="H584" i="11"/>
  <c r="I584" i="11"/>
  <c r="J584" i="11"/>
  <c r="K584" i="11"/>
  <c r="L584" i="11"/>
  <c r="M584" i="11"/>
  <c r="N584" i="11"/>
  <c r="O584" i="11"/>
  <c r="P584" i="11"/>
  <c r="Q584" i="11"/>
  <c r="R584" i="11"/>
  <c r="D585" i="11"/>
  <c r="E585" i="11"/>
  <c r="F585" i="11"/>
  <c r="G585" i="11"/>
  <c r="H585" i="11"/>
  <c r="I585" i="11"/>
  <c r="J585" i="11"/>
  <c r="K585" i="11"/>
  <c r="L585" i="11"/>
  <c r="M585" i="11"/>
  <c r="N585" i="11"/>
  <c r="O585" i="11"/>
  <c r="P585" i="11"/>
  <c r="Q585" i="11"/>
  <c r="R585" i="11"/>
  <c r="D586" i="11"/>
  <c r="E586" i="11"/>
  <c r="F586" i="11"/>
  <c r="G586" i="11"/>
  <c r="H586" i="11"/>
  <c r="I586" i="11"/>
  <c r="J586" i="11"/>
  <c r="K586" i="11"/>
  <c r="L586" i="11"/>
  <c r="M586" i="11"/>
  <c r="N586" i="11"/>
  <c r="O586" i="11"/>
  <c r="P586" i="11"/>
  <c r="Q586" i="11"/>
  <c r="R586" i="11"/>
  <c r="D587" i="11"/>
  <c r="E587" i="11"/>
  <c r="F587" i="11"/>
  <c r="G587" i="11"/>
  <c r="H587" i="11"/>
  <c r="I587" i="11"/>
  <c r="J587" i="11"/>
  <c r="K587" i="11"/>
  <c r="L587" i="11"/>
  <c r="M587" i="11"/>
  <c r="N587" i="11"/>
  <c r="O587" i="11"/>
  <c r="P587" i="11"/>
  <c r="Q587" i="11"/>
  <c r="R587" i="11"/>
  <c r="D588" i="11"/>
  <c r="E588" i="11"/>
  <c r="F588" i="11"/>
  <c r="G588" i="11"/>
  <c r="H588" i="11"/>
  <c r="I588" i="11"/>
  <c r="J588" i="11"/>
  <c r="K588" i="11"/>
  <c r="L588" i="11"/>
  <c r="M588" i="11"/>
  <c r="N588" i="11"/>
  <c r="O588" i="11"/>
  <c r="P588" i="11"/>
  <c r="Q588" i="11"/>
  <c r="R588" i="11"/>
  <c r="D589" i="11"/>
  <c r="E589" i="11"/>
  <c r="F589" i="11"/>
  <c r="G589" i="11"/>
  <c r="H589" i="11"/>
  <c r="I589" i="11"/>
  <c r="J589" i="11"/>
  <c r="K589" i="11"/>
  <c r="L589" i="11"/>
  <c r="M589" i="11"/>
  <c r="N589" i="11"/>
  <c r="O589" i="11"/>
  <c r="P589" i="11"/>
  <c r="Q589" i="11"/>
  <c r="R589" i="11"/>
  <c r="D590" i="11"/>
  <c r="E590" i="11"/>
  <c r="F590" i="11"/>
  <c r="G590" i="11"/>
  <c r="H590" i="11"/>
  <c r="I590" i="11"/>
  <c r="J590" i="11"/>
  <c r="K590" i="11"/>
  <c r="L590" i="11"/>
  <c r="M590" i="11"/>
  <c r="N590" i="11"/>
  <c r="O590" i="11"/>
  <c r="P590" i="11"/>
  <c r="Q590" i="11"/>
  <c r="R590" i="11"/>
  <c r="D591" i="11"/>
  <c r="E591" i="11"/>
  <c r="F591" i="11"/>
  <c r="G591" i="11"/>
  <c r="H591" i="11"/>
  <c r="I591" i="11"/>
  <c r="J591" i="11"/>
  <c r="K591" i="11"/>
  <c r="L591" i="11"/>
  <c r="M591" i="11"/>
  <c r="N591" i="11"/>
  <c r="O591" i="11"/>
  <c r="P591" i="11"/>
  <c r="Q591" i="11"/>
  <c r="R591" i="11"/>
  <c r="D592" i="11"/>
  <c r="E592" i="11"/>
  <c r="F592" i="11"/>
  <c r="G592" i="11"/>
  <c r="H592" i="11"/>
  <c r="I592" i="11"/>
  <c r="J592" i="11"/>
  <c r="K592" i="11"/>
  <c r="L592" i="11"/>
  <c r="M592" i="11"/>
  <c r="N592" i="11"/>
  <c r="O592" i="11"/>
  <c r="P592" i="11"/>
  <c r="Q592" i="11"/>
  <c r="R592" i="11"/>
  <c r="D593" i="11"/>
  <c r="E593" i="11"/>
  <c r="F593" i="11"/>
  <c r="G593" i="11"/>
  <c r="H593" i="11"/>
  <c r="I593" i="11"/>
  <c r="J593" i="11"/>
  <c r="K593" i="11"/>
  <c r="L593" i="11"/>
  <c r="M593" i="11"/>
  <c r="N593" i="11"/>
  <c r="O593" i="11"/>
  <c r="P593" i="11"/>
  <c r="Q593" i="11"/>
  <c r="R593" i="11"/>
  <c r="D594" i="11"/>
  <c r="E594" i="11"/>
  <c r="F594" i="11"/>
  <c r="G594" i="11"/>
  <c r="H594" i="11"/>
  <c r="I594" i="11"/>
  <c r="J594" i="11"/>
  <c r="K594" i="11"/>
  <c r="L594" i="11"/>
  <c r="M594" i="11"/>
  <c r="N594" i="11"/>
  <c r="O594" i="11"/>
  <c r="P594" i="11"/>
  <c r="Q594" i="11"/>
  <c r="R594" i="11"/>
  <c r="D595" i="11"/>
  <c r="E595" i="11"/>
  <c r="F595" i="11"/>
  <c r="G595" i="11"/>
  <c r="H595" i="11"/>
  <c r="I595" i="11"/>
  <c r="J595" i="11"/>
  <c r="K595" i="11"/>
  <c r="L595" i="11"/>
  <c r="M595" i="11"/>
  <c r="N595" i="11"/>
  <c r="O595" i="11"/>
  <c r="P595" i="11"/>
  <c r="Q595" i="11"/>
  <c r="R595" i="11"/>
  <c r="D596" i="11"/>
  <c r="E596" i="11"/>
  <c r="F596" i="11"/>
  <c r="G596" i="11"/>
  <c r="H596" i="11"/>
  <c r="I596" i="11"/>
  <c r="J596" i="11"/>
  <c r="K596" i="11"/>
  <c r="L596" i="11"/>
  <c r="M596" i="11"/>
  <c r="N596" i="11"/>
  <c r="O596" i="11"/>
  <c r="P596" i="11"/>
  <c r="Q596" i="11"/>
  <c r="R596" i="11"/>
  <c r="D597" i="11"/>
  <c r="E597" i="11"/>
  <c r="F597" i="11"/>
  <c r="G597" i="11"/>
  <c r="H597" i="11"/>
  <c r="I597" i="11"/>
  <c r="J597" i="11"/>
  <c r="K597" i="11"/>
  <c r="L597" i="11"/>
  <c r="M597" i="11"/>
  <c r="N597" i="11"/>
  <c r="O597" i="11"/>
  <c r="P597" i="11"/>
  <c r="Q597" i="11"/>
  <c r="R597" i="11"/>
  <c r="D598" i="11"/>
  <c r="E598" i="11"/>
  <c r="F598" i="11"/>
  <c r="G598" i="11"/>
  <c r="H598" i="11"/>
  <c r="I598" i="11"/>
  <c r="J598" i="11"/>
  <c r="K598" i="11"/>
  <c r="L598" i="11"/>
  <c r="M598" i="11"/>
  <c r="N598" i="11"/>
  <c r="O598" i="11"/>
  <c r="P598" i="11"/>
  <c r="Q598" i="11"/>
  <c r="R598" i="11"/>
  <c r="D599" i="11"/>
  <c r="E599" i="11"/>
  <c r="F599" i="11"/>
  <c r="G599" i="11"/>
  <c r="H599" i="11"/>
  <c r="I599" i="11"/>
  <c r="J599" i="11"/>
  <c r="K599" i="11"/>
  <c r="L599" i="11"/>
  <c r="M599" i="11"/>
  <c r="N599" i="11"/>
  <c r="O599" i="11"/>
  <c r="P599" i="11"/>
  <c r="Q599" i="11"/>
  <c r="R599" i="11"/>
  <c r="D600" i="11"/>
  <c r="E600" i="11"/>
  <c r="F600" i="11"/>
  <c r="G600" i="11"/>
  <c r="H600" i="11"/>
  <c r="I600" i="11"/>
  <c r="J600" i="11"/>
  <c r="K600" i="11"/>
  <c r="L600" i="11"/>
  <c r="M600" i="11"/>
  <c r="N600" i="11"/>
  <c r="O600" i="11"/>
  <c r="P600" i="11"/>
  <c r="Q600" i="11"/>
  <c r="R600" i="11"/>
  <c r="D601" i="11"/>
  <c r="E601" i="11"/>
  <c r="F601" i="11"/>
  <c r="G601" i="11"/>
  <c r="H601" i="11"/>
  <c r="I601" i="11"/>
  <c r="J601" i="11"/>
  <c r="K601" i="11"/>
  <c r="L601" i="11"/>
  <c r="M601" i="11"/>
  <c r="N601" i="11"/>
  <c r="O601" i="11"/>
  <c r="P601" i="11"/>
  <c r="Q601" i="11"/>
  <c r="R601" i="11"/>
  <c r="D522" i="11"/>
  <c r="E522" i="11"/>
  <c r="F522" i="11"/>
  <c r="G522" i="11"/>
  <c r="H522" i="11"/>
  <c r="I522" i="11"/>
  <c r="J522" i="11"/>
  <c r="K522" i="11"/>
  <c r="L522" i="11"/>
  <c r="M522" i="11"/>
  <c r="N522" i="11"/>
  <c r="O522" i="11"/>
  <c r="P522" i="11"/>
  <c r="Q522" i="11"/>
  <c r="R522" i="11"/>
  <c r="D523" i="11"/>
  <c r="E523" i="11"/>
  <c r="F523" i="11"/>
  <c r="G523" i="11"/>
  <c r="H523" i="11"/>
  <c r="I523" i="11"/>
  <c r="J523" i="11"/>
  <c r="K523" i="11"/>
  <c r="L523" i="11"/>
  <c r="M523" i="11"/>
  <c r="N523" i="11"/>
  <c r="O523" i="11"/>
  <c r="P523" i="11"/>
  <c r="Q523" i="11"/>
  <c r="R523" i="11"/>
  <c r="D524" i="11"/>
  <c r="E524" i="11"/>
  <c r="F524" i="11"/>
  <c r="G524" i="11"/>
  <c r="H524" i="11"/>
  <c r="I524" i="11"/>
  <c r="J524" i="11"/>
  <c r="K524" i="11"/>
  <c r="L524" i="11"/>
  <c r="M524" i="11"/>
  <c r="N524" i="11"/>
  <c r="O524" i="11"/>
  <c r="P524" i="11"/>
  <c r="Q524" i="11"/>
  <c r="R524" i="11"/>
  <c r="D525" i="11"/>
  <c r="E525" i="11"/>
  <c r="F525" i="11"/>
  <c r="G525" i="11"/>
  <c r="H525" i="11"/>
  <c r="I525" i="11"/>
  <c r="J525" i="11"/>
  <c r="K525" i="11"/>
  <c r="L525" i="11"/>
  <c r="M525" i="11"/>
  <c r="N525" i="11"/>
  <c r="O525" i="11"/>
  <c r="P525" i="11"/>
  <c r="Q525" i="11"/>
  <c r="R525" i="11"/>
  <c r="D526" i="11"/>
  <c r="E526" i="11"/>
  <c r="F526" i="11"/>
  <c r="G526" i="11"/>
  <c r="H526" i="11"/>
  <c r="I526" i="11"/>
  <c r="J526" i="11"/>
  <c r="K526" i="11"/>
  <c r="L526" i="11"/>
  <c r="M526" i="11"/>
  <c r="N526" i="11"/>
  <c r="O526" i="11"/>
  <c r="P526" i="11"/>
  <c r="Q526" i="11"/>
  <c r="R526" i="11"/>
  <c r="D527" i="11"/>
  <c r="E527" i="11"/>
  <c r="F527" i="11"/>
  <c r="G527" i="11"/>
  <c r="H527" i="11"/>
  <c r="I527" i="11"/>
  <c r="J527" i="11"/>
  <c r="K527" i="11"/>
  <c r="L527" i="11"/>
  <c r="M527" i="11"/>
  <c r="N527" i="11"/>
  <c r="O527" i="11"/>
  <c r="P527" i="11"/>
  <c r="Q527" i="11"/>
  <c r="R527" i="11"/>
  <c r="D528" i="11"/>
  <c r="E528" i="11"/>
  <c r="F528" i="11"/>
  <c r="G528" i="11"/>
  <c r="H528" i="11"/>
  <c r="I528" i="11"/>
  <c r="J528" i="11"/>
  <c r="K528" i="11"/>
  <c r="L528" i="11"/>
  <c r="M528" i="11"/>
  <c r="N528" i="11"/>
  <c r="O528" i="11"/>
  <c r="P528" i="11"/>
  <c r="Q528" i="11"/>
  <c r="R528" i="11"/>
  <c r="D529" i="11"/>
  <c r="E529" i="11"/>
  <c r="F529" i="11"/>
  <c r="G529" i="11"/>
  <c r="H529" i="11"/>
  <c r="I529" i="11"/>
  <c r="J529" i="11"/>
  <c r="K529" i="11"/>
  <c r="L529" i="11"/>
  <c r="M529" i="11"/>
  <c r="N529" i="11"/>
  <c r="O529" i="11"/>
  <c r="P529" i="11"/>
  <c r="Q529" i="11"/>
  <c r="R529" i="11"/>
  <c r="D530" i="11"/>
  <c r="E530" i="11"/>
  <c r="F530" i="11"/>
  <c r="G530" i="11"/>
  <c r="H530" i="11"/>
  <c r="I530" i="11"/>
  <c r="J530" i="11"/>
  <c r="K530" i="11"/>
  <c r="L530" i="11"/>
  <c r="M530" i="11"/>
  <c r="N530" i="11"/>
  <c r="O530" i="11"/>
  <c r="P530" i="11"/>
  <c r="Q530" i="11"/>
  <c r="R530" i="11"/>
  <c r="D531" i="11"/>
  <c r="E531" i="11"/>
  <c r="F531" i="11"/>
  <c r="G531" i="11"/>
  <c r="H531" i="11"/>
  <c r="I531" i="11"/>
  <c r="J531" i="11"/>
  <c r="K531" i="11"/>
  <c r="L531" i="11"/>
  <c r="M531" i="11"/>
  <c r="N531" i="11"/>
  <c r="O531" i="11"/>
  <c r="P531" i="11"/>
  <c r="Q531" i="11"/>
  <c r="R531" i="11"/>
  <c r="D532" i="11"/>
  <c r="E532" i="11"/>
  <c r="F532" i="11"/>
  <c r="G532" i="11"/>
  <c r="H532" i="11"/>
  <c r="I532" i="11"/>
  <c r="J532" i="11"/>
  <c r="K532" i="11"/>
  <c r="L532" i="11"/>
  <c r="M532" i="11"/>
  <c r="N532" i="11"/>
  <c r="O532" i="11"/>
  <c r="P532" i="11"/>
  <c r="Q532" i="11"/>
  <c r="R532" i="11"/>
  <c r="D533" i="11"/>
  <c r="E533" i="11"/>
  <c r="F533" i="11"/>
  <c r="G533" i="11"/>
  <c r="H533" i="11"/>
  <c r="I533" i="11"/>
  <c r="J533" i="11"/>
  <c r="K533" i="11"/>
  <c r="L533" i="11"/>
  <c r="M533" i="11"/>
  <c r="N533" i="11"/>
  <c r="O533" i="11"/>
  <c r="P533" i="11"/>
  <c r="Q533" i="11"/>
  <c r="R533" i="11"/>
  <c r="D534" i="11"/>
  <c r="E534" i="11"/>
  <c r="F534" i="11"/>
  <c r="G534" i="11"/>
  <c r="H534" i="11"/>
  <c r="I534" i="11"/>
  <c r="J534" i="11"/>
  <c r="K534" i="11"/>
  <c r="L534" i="11"/>
  <c r="M534" i="11"/>
  <c r="N534" i="11"/>
  <c r="O534" i="11"/>
  <c r="P534" i="11"/>
  <c r="Q534" i="11"/>
  <c r="R534" i="11"/>
  <c r="D535" i="11"/>
  <c r="E535" i="11"/>
  <c r="F535" i="11"/>
  <c r="G535" i="11"/>
  <c r="H535" i="11"/>
  <c r="I535" i="11"/>
  <c r="J535" i="11"/>
  <c r="K535" i="11"/>
  <c r="L535" i="11"/>
  <c r="M535" i="11"/>
  <c r="N535" i="11"/>
  <c r="O535" i="11"/>
  <c r="P535" i="11"/>
  <c r="Q535" i="11"/>
  <c r="R535" i="11"/>
  <c r="D536" i="11"/>
  <c r="E536" i="11"/>
  <c r="F536" i="11"/>
  <c r="G536" i="11"/>
  <c r="H536" i="11"/>
  <c r="I536" i="11"/>
  <c r="J536" i="11"/>
  <c r="K536" i="11"/>
  <c r="L536" i="11"/>
  <c r="M536" i="11"/>
  <c r="N536" i="11"/>
  <c r="O536" i="11"/>
  <c r="P536" i="11"/>
  <c r="Q536" i="11"/>
  <c r="R536" i="11"/>
  <c r="D537" i="11"/>
  <c r="E537" i="11"/>
  <c r="F537" i="11"/>
  <c r="G537" i="11"/>
  <c r="H537" i="11"/>
  <c r="I537" i="11"/>
  <c r="J537" i="11"/>
  <c r="K537" i="11"/>
  <c r="L537" i="11"/>
  <c r="M537" i="11"/>
  <c r="N537" i="11"/>
  <c r="O537" i="11"/>
  <c r="P537" i="11"/>
  <c r="Q537" i="11"/>
  <c r="R537" i="11"/>
  <c r="D538" i="11"/>
  <c r="E538" i="11"/>
  <c r="F538" i="11"/>
  <c r="G538" i="11"/>
  <c r="H538" i="11"/>
  <c r="I538" i="11"/>
  <c r="J538" i="11"/>
  <c r="K538" i="11"/>
  <c r="L538" i="11"/>
  <c r="M538" i="11"/>
  <c r="N538" i="11"/>
  <c r="O538" i="11"/>
  <c r="P538" i="11"/>
  <c r="Q538" i="11"/>
  <c r="R538" i="11"/>
  <c r="D539" i="11"/>
  <c r="E539" i="11"/>
  <c r="F539" i="11"/>
  <c r="G539" i="11"/>
  <c r="H539" i="11"/>
  <c r="I539" i="11"/>
  <c r="J539" i="11"/>
  <c r="K539" i="11"/>
  <c r="L539" i="11"/>
  <c r="M539" i="11"/>
  <c r="N539" i="11"/>
  <c r="O539" i="11"/>
  <c r="P539" i="11"/>
  <c r="Q539" i="11"/>
  <c r="R539" i="11"/>
  <c r="D540" i="11"/>
  <c r="E540" i="11"/>
  <c r="F540" i="11"/>
  <c r="G540" i="11"/>
  <c r="H540" i="11"/>
  <c r="I540" i="11"/>
  <c r="J540" i="11"/>
  <c r="K540" i="11"/>
  <c r="L540" i="11"/>
  <c r="M540" i="11"/>
  <c r="N540" i="11"/>
  <c r="O540" i="11"/>
  <c r="P540" i="11"/>
  <c r="Q540" i="11"/>
  <c r="R540" i="11"/>
  <c r="D541" i="11"/>
  <c r="E541" i="11"/>
  <c r="F541" i="11"/>
  <c r="G541" i="11"/>
  <c r="H541" i="11"/>
  <c r="I541" i="11"/>
  <c r="J541" i="11"/>
  <c r="K541" i="11"/>
  <c r="L541" i="11"/>
  <c r="M541" i="11"/>
  <c r="N541" i="11"/>
  <c r="O541" i="11"/>
  <c r="P541" i="11"/>
  <c r="Q541" i="11"/>
  <c r="R541" i="11"/>
  <c r="D542" i="11"/>
  <c r="E542" i="11"/>
  <c r="F542" i="11"/>
  <c r="G542" i="11"/>
  <c r="H542" i="11"/>
  <c r="I542" i="11"/>
  <c r="J542" i="11"/>
  <c r="K542" i="11"/>
  <c r="L542" i="11"/>
  <c r="M542" i="11"/>
  <c r="N542" i="11"/>
  <c r="O542" i="11"/>
  <c r="P542" i="11"/>
  <c r="Q542" i="11"/>
  <c r="R542" i="11"/>
  <c r="D543" i="11"/>
  <c r="E543" i="11"/>
  <c r="F543" i="11"/>
  <c r="G543" i="11"/>
  <c r="H543" i="11"/>
  <c r="I543" i="11"/>
  <c r="J543" i="11"/>
  <c r="K543" i="11"/>
  <c r="L543" i="11"/>
  <c r="M543" i="11"/>
  <c r="N543" i="11"/>
  <c r="O543" i="11"/>
  <c r="P543" i="11"/>
  <c r="Q543" i="11"/>
  <c r="R543" i="11"/>
  <c r="D544" i="11"/>
  <c r="E544" i="11"/>
  <c r="F544" i="11"/>
  <c r="G544" i="11"/>
  <c r="H544" i="11"/>
  <c r="I544" i="11"/>
  <c r="J544" i="11"/>
  <c r="K544" i="11"/>
  <c r="L544" i="11"/>
  <c r="M544" i="11"/>
  <c r="N544" i="11"/>
  <c r="O544" i="11"/>
  <c r="P544" i="11"/>
  <c r="Q544" i="11"/>
  <c r="R544" i="11"/>
  <c r="D545" i="11"/>
  <c r="E545" i="11"/>
  <c r="F545" i="11"/>
  <c r="G545" i="11"/>
  <c r="H545" i="11"/>
  <c r="I545" i="11"/>
  <c r="J545" i="11"/>
  <c r="K545" i="11"/>
  <c r="L545" i="11"/>
  <c r="M545" i="11"/>
  <c r="N545" i="11"/>
  <c r="O545" i="11"/>
  <c r="P545" i="11"/>
  <c r="Q545" i="11"/>
  <c r="R545" i="11"/>
  <c r="D546" i="11"/>
  <c r="E546" i="11"/>
  <c r="F546" i="11"/>
  <c r="G546" i="11"/>
  <c r="H546" i="11"/>
  <c r="I546" i="11"/>
  <c r="J546" i="11"/>
  <c r="K546" i="11"/>
  <c r="L546" i="11"/>
  <c r="M546" i="11"/>
  <c r="N546" i="11"/>
  <c r="O546" i="11"/>
  <c r="P546" i="11"/>
  <c r="Q546" i="11"/>
  <c r="R546" i="11"/>
  <c r="D547" i="11"/>
  <c r="E547" i="11"/>
  <c r="F547" i="11"/>
  <c r="G547" i="11"/>
  <c r="H547" i="11"/>
  <c r="I547" i="11"/>
  <c r="J547" i="11"/>
  <c r="K547" i="11"/>
  <c r="L547" i="11"/>
  <c r="M547" i="11"/>
  <c r="N547" i="11"/>
  <c r="O547" i="11"/>
  <c r="P547" i="11"/>
  <c r="Q547" i="11"/>
  <c r="R547" i="11"/>
  <c r="D548" i="11"/>
  <c r="E548" i="11"/>
  <c r="F548" i="11"/>
  <c r="G548" i="11"/>
  <c r="H548" i="11"/>
  <c r="I548" i="11"/>
  <c r="J548" i="11"/>
  <c r="K548" i="11"/>
  <c r="L548" i="11"/>
  <c r="M548" i="11"/>
  <c r="N548" i="11"/>
  <c r="O548" i="11"/>
  <c r="P548" i="11"/>
  <c r="Q548" i="11"/>
  <c r="R548" i="11"/>
  <c r="D549" i="11"/>
  <c r="E549" i="11"/>
  <c r="F549" i="11"/>
  <c r="G549" i="11"/>
  <c r="H549" i="11"/>
  <c r="I549" i="11"/>
  <c r="J549" i="11"/>
  <c r="K549" i="11"/>
  <c r="L549" i="11"/>
  <c r="M549" i="11"/>
  <c r="N549" i="11"/>
  <c r="O549" i="11"/>
  <c r="P549" i="11"/>
  <c r="Q549" i="11"/>
  <c r="R549" i="11"/>
  <c r="D550" i="11"/>
  <c r="E550" i="11"/>
  <c r="F550" i="11"/>
  <c r="G550" i="11"/>
  <c r="H550" i="11"/>
  <c r="I550" i="11"/>
  <c r="J550" i="11"/>
  <c r="K550" i="11"/>
  <c r="L550" i="11"/>
  <c r="M550" i="11"/>
  <c r="N550" i="11"/>
  <c r="O550" i="11"/>
  <c r="P550" i="11"/>
  <c r="Q550" i="11"/>
  <c r="R550" i="11"/>
  <c r="D551" i="11"/>
  <c r="E551" i="11"/>
  <c r="F551" i="11"/>
  <c r="G551" i="11"/>
  <c r="H551" i="11"/>
  <c r="I551" i="11"/>
  <c r="J551" i="11"/>
  <c r="K551" i="11"/>
  <c r="L551" i="11"/>
  <c r="M551" i="11"/>
  <c r="N551" i="11"/>
  <c r="O551" i="11"/>
  <c r="P551" i="11"/>
  <c r="Q551" i="11"/>
  <c r="R551" i="11"/>
  <c r="D552" i="11"/>
  <c r="E552" i="11"/>
  <c r="F552" i="11"/>
  <c r="G552" i="11"/>
  <c r="H552" i="11"/>
  <c r="I552" i="11"/>
  <c r="J552" i="11"/>
  <c r="K552" i="11"/>
  <c r="L552" i="11"/>
  <c r="M552" i="11"/>
  <c r="N552" i="11"/>
  <c r="O552" i="11"/>
  <c r="P552" i="11"/>
  <c r="Q552" i="11"/>
  <c r="R552" i="11"/>
  <c r="D553" i="11"/>
  <c r="E553" i="11"/>
  <c r="F553" i="11"/>
  <c r="G553" i="11"/>
  <c r="H553" i="11"/>
  <c r="I553" i="11"/>
  <c r="J553" i="11"/>
  <c r="K553" i="11"/>
  <c r="L553" i="11"/>
  <c r="M553" i="11"/>
  <c r="N553" i="11"/>
  <c r="O553" i="11"/>
  <c r="P553" i="11"/>
  <c r="Q553" i="11"/>
  <c r="R553" i="11"/>
  <c r="D554" i="11"/>
  <c r="E554" i="11"/>
  <c r="F554" i="11"/>
  <c r="G554" i="11"/>
  <c r="H554" i="11"/>
  <c r="I554" i="11"/>
  <c r="J554" i="11"/>
  <c r="K554" i="11"/>
  <c r="L554" i="11"/>
  <c r="M554" i="11"/>
  <c r="N554" i="11"/>
  <c r="O554" i="11"/>
  <c r="P554" i="11"/>
  <c r="Q554" i="11"/>
  <c r="R554" i="11"/>
  <c r="D555" i="11"/>
  <c r="E555" i="11"/>
  <c r="F555" i="11"/>
  <c r="G555" i="11"/>
  <c r="H555" i="11"/>
  <c r="I555" i="11"/>
  <c r="J555" i="11"/>
  <c r="K555" i="11"/>
  <c r="L555" i="11"/>
  <c r="M555" i="11"/>
  <c r="N555" i="11"/>
  <c r="O555" i="11"/>
  <c r="P555" i="11"/>
  <c r="Q555" i="11"/>
  <c r="R555" i="11"/>
  <c r="D556" i="11"/>
  <c r="E556" i="11"/>
  <c r="F556" i="11"/>
  <c r="G556" i="11"/>
  <c r="H556" i="11"/>
  <c r="I556" i="11"/>
  <c r="J556" i="11"/>
  <c r="K556" i="11"/>
  <c r="L556" i="11"/>
  <c r="M556" i="11"/>
  <c r="N556" i="11"/>
  <c r="O556" i="11"/>
  <c r="P556" i="11"/>
  <c r="Q556" i="11"/>
  <c r="R556" i="11"/>
  <c r="D557" i="11"/>
  <c r="E557" i="11"/>
  <c r="F557" i="11"/>
  <c r="G557" i="11"/>
  <c r="H557" i="11"/>
  <c r="I557" i="11"/>
  <c r="J557" i="11"/>
  <c r="K557" i="11"/>
  <c r="L557" i="11"/>
  <c r="M557" i="11"/>
  <c r="N557" i="11"/>
  <c r="O557" i="11"/>
  <c r="P557" i="11"/>
  <c r="Q557" i="11"/>
  <c r="R557" i="11"/>
  <c r="D558" i="11"/>
  <c r="E558" i="11"/>
  <c r="F558" i="11"/>
  <c r="G558" i="11"/>
  <c r="H558" i="11"/>
  <c r="I558" i="11"/>
  <c r="J558" i="11"/>
  <c r="K558" i="11"/>
  <c r="L558" i="11"/>
  <c r="M558" i="11"/>
  <c r="N558" i="11"/>
  <c r="O558" i="11"/>
  <c r="P558" i="11"/>
  <c r="Q558" i="11"/>
  <c r="R558" i="11"/>
  <c r="D559" i="11"/>
  <c r="E559" i="11"/>
  <c r="F559" i="11"/>
  <c r="G559" i="11"/>
  <c r="H559" i="11"/>
  <c r="I559" i="11"/>
  <c r="J559" i="11"/>
  <c r="K559" i="11"/>
  <c r="L559" i="11"/>
  <c r="M559" i="11"/>
  <c r="N559" i="11"/>
  <c r="O559" i="11"/>
  <c r="P559" i="11"/>
  <c r="Q559" i="11"/>
  <c r="R559" i="11"/>
  <c r="D560" i="11"/>
  <c r="E560" i="11"/>
  <c r="F560" i="11"/>
  <c r="G560" i="11"/>
  <c r="H560" i="11"/>
  <c r="I560" i="11"/>
  <c r="J560" i="11"/>
  <c r="K560" i="11"/>
  <c r="L560" i="11"/>
  <c r="M560" i="11"/>
  <c r="N560" i="11"/>
  <c r="O560" i="11"/>
  <c r="P560" i="11"/>
  <c r="Q560" i="11"/>
  <c r="R560" i="11"/>
  <c r="D561" i="11"/>
  <c r="E561" i="11"/>
  <c r="F561" i="11"/>
  <c r="G561" i="11"/>
  <c r="H561" i="11"/>
  <c r="I561" i="11"/>
  <c r="J561" i="11"/>
  <c r="K561" i="11"/>
  <c r="L561" i="11"/>
  <c r="M561" i="11"/>
  <c r="N561" i="11"/>
  <c r="O561" i="11"/>
  <c r="P561" i="11"/>
  <c r="Q561" i="11"/>
  <c r="R561" i="11"/>
  <c r="D562" i="11"/>
  <c r="E562" i="11"/>
  <c r="F562" i="11"/>
  <c r="G562" i="11"/>
  <c r="H562" i="11"/>
  <c r="I562" i="11"/>
  <c r="J562" i="11"/>
  <c r="K562" i="11"/>
  <c r="L562" i="11"/>
  <c r="M562" i="11"/>
  <c r="N562" i="11"/>
  <c r="O562" i="11"/>
  <c r="P562" i="11"/>
  <c r="Q562" i="11"/>
  <c r="R562" i="11"/>
  <c r="D563" i="11"/>
  <c r="E563" i="11"/>
  <c r="F563" i="11"/>
  <c r="G563" i="11"/>
  <c r="H563" i="11"/>
  <c r="I563" i="11"/>
  <c r="J563" i="11"/>
  <c r="K563" i="11"/>
  <c r="L563" i="11"/>
  <c r="M563" i="11"/>
  <c r="N563" i="11"/>
  <c r="O563" i="11"/>
  <c r="P563" i="11"/>
  <c r="Q563" i="11"/>
  <c r="R563" i="11"/>
  <c r="D564" i="11"/>
  <c r="E564" i="11"/>
  <c r="F564" i="11"/>
  <c r="G564" i="11"/>
  <c r="H564" i="11"/>
  <c r="I564" i="11"/>
  <c r="J564" i="11"/>
  <c r="K564" i="11"/>
  <c r="L564" i="11"/>
  <c r="M564" i="11"/>
  <c r="N564" i="11"/>
  <c r="O564" i="11"/>
  <c r="P564" i="11"/>
  <c r="Q564" i="11"/>
  <c r="R564" i="11"/>
  <c r="D565" i="11"/>
  <c r="E565" i="11"/>
  <c r="F565" i="11"/>
  <c r="G565" i="11"/>
  <c r="H565" i="11"/>
  <c r="I565" i="11"/>
  <c r="J565" i="11"/>
  <c r="K565" i="11"/>
  <c r="L565" i="11"/>
  <c r="M565" i="11"/>
  <c r="N565" i="11"/>
  <c r="O565" i="11"/>
  <c r="P565" i="11"/>
  <c r="Q565" i="11"/>
  <c r="R565" i="11"/>
  <c r="D566" i="11"/>
  <c r="E566" i="11"/>
  <c r="F566" i="11"/>
  <c r="G566" i="11"/>
  <c r="H566" i="11"/>
  <c r="I566" i="11"/>
  <c r="J566" i="11"/>
  <c r="K566" i="11"/>
  <c r="L566" i="11"/>
  <c r="M566" i="11"/>
  <c r="N566" i="11"/>
  <c r="O566" i="11"/>
  <c r="P566" i="11"/>
  <c r="Q566" i="11"/>
  <c r="R566" i="11"/>
  <c r="D567" i="11"/>
  <c r="E567" i="11"/>
  <c r="F567" i="11"/>
  <c r="G567" i="11"/>
  <c r="H567" i="11"/>
  <c r="I567" i="11"/>
  <c r="J567" i="11"/>
  <c r="K567" i="11"/>
  <c r="L567" i="11"/>
  <c r="M567" i="11"/>
  <c r="N567" i="11"/>
  <c r="O567" i="11"/>
  <c r="P567" i="11"/>
  <c r="Q567" i="11"/>
  <c r="R567" i="11"/>
  <c r="D568" i="11"/>
  <c r="E568" i="11"/>
  <c r="F568" i="11"/>
  <c r="G568" i="11"/>
  <c r="H568" i="11"/>
  <c r="I568" i="11"/>
  <c r="J568" i="11"/>
  <c r="K568" i="11"/>
  <c r="L568" i="11"/>
  <c r="M568" i="11"/>
  <c r="N568" i="11"/>
  <c r="O568" i="11"/>
  <c r="P568" i="11"/>
  <c r="Q568" i="11"/>
  <c r="R568" i="11"/>
  <c r="D569" i="11"/>
  <c r="E569" i="11"/>
  <c r="F569" i="11"/>
  <c r="G569" i="11"/>
  <c r="H569" i="11"/>
  <c r="I569" i="11"/>
  <c r="J569" i="11"/>
  <c r="K569" i="11"/>
  <c r="L569" i="11"/>
  <c r="M569" i="11"/>
  <c r="N569" i="11"/>
  <c r="O569" i="11"/>
  <c r="P569" i="11"/>
  <c r="Q569" i="11"/>
  <c r="R569" i="11"/>
  <c r="D570" i="11"/>
  <c r="E570" i="11"/>
  <c r="F570" i="11"/>
  <c r="G570" i="11"/>
  <c r="H570" i="11"/>
  <c r="I570" i="11"/>
  <c r="J570" i="11"/>
  <c r="K570" i="11"/>
  <c r="L570" i="11"/>
  <c r="M570" i="11"/>
  <c r="N570" i="11"/>
  <c r="O570" i="11"/>
  <c r="P570" i="11"/>
  <c r="Q570" i="11"/>
  <c r="R570" i="11"/>
  <c r="D499" i="11"/>
  <c r="E499" i="11"/>
  <c r="F499" i="11"/>
  <c r="G499" i="11"/>
  <c r="H499" i="11"/>
  <c r="I499" i="11"/>
  <c r="J499" i="11"/>
  <c r="K499" i="11"/>
  <c r="L499" i="11"/>
  <c r="M499" i="11"/>
  <c r="N499" i="11"/>
  <c r="O499" i="11"/>
  <c r="P499" i="11"/>
  <c r="Q499" i="11"/>
  <c r="R499" i="11"/>
  <c r="D500" i="11"/>
  <c r="E500" i="11"/>
  <c r="F500" i="11"/>
  <c r="G500" i="11"/>
  <c r="H500" i="11"/>
  <c r="I500" i="11"/>
  <c r="J500" i="11"/>
  <c r="K500" i="11"/>
  <c r="L500" i="11"/>
  <c r="M500" i="11"/>
  <c r="N500" i="11"/>
  <c r="O500" i="11"/>
  <c r="P500" i="11"/>
  <c r="Q500" i="11"/>
  <c r="R500" i="11"/>
  <c r="D501" i="11"/>
  <c r="E501" i="11"/>
  <c r="F501" i="11"/>
  <c r="G501" i="11"/>
  <c r="H501" i="11"/>
  <c r="I501" i="11"/>
  <c r="J501" i="11"/>
  <c r="K501" i="11"/>
  <c r="L501" i="11"/>
  <c r="M501" i="11"/>
  <c r="N501" i="11"/>
  <c r="O501" i="11"/>
  <c r="P501" i="11"/>
  <c r="Q501" i="11"/>
  <c r="R501" i="11"/>
  <c r="D502" i="11"/>
  <c r="E502" i="11"/>
  <c r="F502" i="11"/>
  <c r="G502" i="11"/>
  <c r="H502" i="11"/>
  <c r="I502" i="11"/>
  <c r="J502" i="11"/>
  <c r="K502" i="11"/>
  <c r="L502" i="11"/>
  <c r="M502" i="11"/>
  <c r="N502" i="11"/>
  <c r="O502" i="11"/>
  <c r="P502" i="11"/>
  <c r="Q502" i="11"/>
  <c r="R502" i="11"/>
  <c r="D503" i="11"/>
  <c r="E503" i="11"/>
  <c r="F503" i="11"/>
  <c r="G503" i="11"/>
  <c r="H503" i="11"/>
  <c r="I503" i="11"/>
  <c r="J503" i="11"/>
  <c r="K503" i="11"/>
  <c r="L503" i="11"/>
  <c r="M503" i="11"/>
  <c r="N503" i="11"/>
  <c r="O503" i="11"/>
  <c r="P503" i="11"/>
  <c r="Q503" i="11"/>
  <c r="R503" i="11"/>
  <c r="D504" i="11"/>
  <c r="E504" i="11"/>
  <c r="F504" i="11"/>
  <c r="G504" i="11"/>
  <c r="H504" i="11"/>
  <c r="I504" i="11"/>
  <c r="J504" i="11"/>
  <c r="K504" i="11"/>
  <c r="L504" i="11"/>
  <c r="M504" i="11"/>
  <c r="N504" i="11"/>
  <c r="O504" i="11"/>
  <c r="P504" i="11"/>
  <c r="Q504" i="11"/>
  <c r="R504" i="11"/>
  <c r="D505" i="11"/>
  <c r="E505" i="11"/>
  <c r="F505" i="11"/>
  <c r="G505" i="11"/>
  <c r="H505" i="11"/>
  <c r="I505" i="11"/>
  <c r="J505" i="11"/>
  <c r="K505" i="11"/>
  <c r="L505" i="11"/>
  <c r="M505" i="11"/>
  <c r="N505" i="11"/>
  <c r="O505" i="11"/>
  <c r="P505" i="11"/>
  <c r="Q505" i="11"/>
  <c r="R505" i="11"/>
  <c r="D506" i="11"/>
  <c r="E506" i="11"/>
  <c r="F506" i="11"/>
  <c r="G506" i="11"/>
  <c r="H506" i="11"/>
  <c r="I506" i="11"/>
  <c r="J506" i="11"/>
  <c r="K506" i="11"/>
  <c r="L506" i="11"/>
  <c r="M506" i="11"/>
  <c r="N506" i="11"/>
  <c r="O506" i="11"/>
  <c r="P506" i="11"/>
  <c r="Q506" i="11"/>
  <c r="R506" i="11"/>
  <c r="D507" i="11"/>
  <c r="E507" i="11"/>
  <c r="F507" i="11"/>
  <c r="G507" i="11"/>
  <c r="H507" i="11"/>
  <c r="I507" i="11"/>
  <c r="J507" i="11"/>
  <c r="K507" i="11"/>
  <c r="L507" i="11"/>
  <c r="M507" i="11"/>
  <c r="N507" i="11"/>
  <c r="O507" i="11"/>
  <c r="P507" i="11"/>
  <c r="Q507" i="11"/>
  <c r="R507" i="11"/>
  <c r="D508" i="11"/>
  <c r="E508" i="11"/>
  <c r="F508" i="11"/>
  <c r="G508" i="11"/>
  <c r="H508" i="11"/>
  <c r="I508" i="11"/>
  <c r="J508" i="11"/>
  <c r="K508" i="11"/>
  <c r="L508" i="11"/>
  <c r="M508" i="11"/>
  <c r="N508" i="11"/>
  <c r="O508" i="11"/>
  <c r="P508" i="11"/>
  <c r="Q508" i="11"/>
  <c r="R508" i="11"/>
  <c r="D509" i="11"/>
  <c r="E509" i="11"/>
  <c r="F509" i="11"/>
  <c r="G509" i="11"/>
  <c r="H509" i="11"/>
  <c r="I509" i="11"/>
  <c r="J509" i="11"/>
  <c r="K509" i="11"/>
  <c r="L509" i="11"/>
  <c r="M509" i="11"/>
  <c r="N509" i="11"/>
  <c r="O509" i="11"/>
  <c r="P509" i="11"/>
  <c r="Q509" i="11"/>
  <c r="R509" i="11"/>
  <c r="D510" i="11"/>
  <c r="E510" i="11"/>
  <c r="F510" i="11"/>
  <c r="G510" i="11"/>
  <c r="H510" i="11"/>
  <c r="I510" i="11"/>
  <c r="J510" i="11"/>
  <c r="K510" i="11"/>
  <c r="L510" i="11"/>
  <c r="M510" i="11"/>
  <c r="N510" i="11"/>
  <c r="O510" i="11"/>
  <c r="P510" i="11"/>
  <c r="Q510" i="11"/>
  <c r="R510" i="11"/>
  <c r="D511" i="11"/>
  <c r="E511" i="11"/>
  <c r="F511" i="11"/>
  <c r="G511" i="11"/>
  <c r="H511" i="11"/>
  <c r="I511" i="11"/>
  <c r="J511" i="11"/>
  <c r="K511" i="11"/>
  <c r="L511" i="11"/>
  <c r="M511" i="11"/>
  <c r="N511" i="11"/>
  <c r="O511" i="11"/>
  <c r="P511" i="11"/>
  <c r="Q511" i="11"/>
  <c r="R511" i="11"/>
  <c r="D512" i="11"/>
  <c r="E512" i="11"/>
  <c r="F512" i="11"/>
  <c r="G512" i="11"/>
  <c r="H512" i="11"/>
  <c r="I512" i="11"/>
  <c r="J512" i="11"/>
  <c r="K512" i="11"/>
  <c r="L512" i="11"/>
  <c r="M512" i="11"/>
  <c r="N512" i="11"/>
  <c r="O512" i="11"/>
  <c r="P512" i="11"/>
  <c r="Q512" i="11"/>
  <c r="R512" i="11"/>
  <c r="D513" i="11"/>
  <c r="E513" i="11"/>
  <c r="F513" i="11"/>
  <c r="G513" i="11"/>
  <c r="H513" i="11"/>
  <c r="I513" i="11"/>
  <c r="J513" i="11"/>
  <c r="K513" i="11"/>
  <c r="L513" i="11"/>
  <c r="M513" i="11"/>
  <c r="N513" i="11"/>
  <c r="O513" i="11"/>
  <c r="P513" i="11"/>
  <c r="Q513" i="11"/>
  <c r="R513" i="11"/>
  <c r="D514" i="11"/>
  <c r="E514" i="11"/>
  <c r="F514" i="11"/>
  <c r="G514" i="11"/>
  <c r="H514" i="11"/>
  <c r="I514" i="11"/>
  <c r="J514" i="11"/>
  <c r="K514" i="11"/>
  <c r="L514" i="11"/>
  <c r="M514" i="11"/>
  <c r="N514" i="11"/>
  <c r="O514" i="11"/>
  <c r="P514" i="11"/>
  <c r="Q514" i="11"/>
  <c r="R514" i="11"/>
  <c r="D515" i="11"/>
  <c r="E515" i="11"/>
  <c r="F515" i="11"/>
  <c r="G515" i="11"/>
  <c r="H515" i="11"/>
  <c r="I515" i="11"/>
  <c r="J515" i="11"/>
  <c r="K515" i="11"/>
  <c r="L515" i="11"/>
  <c r="M515" i="11"/>
  <c r="N515" i="11"/>
  <c r="O515" i="11"/>
  <c r="P515" i="11"/>
  <c r="Q515" i="11"/>
  <c r="R515" i="11"/>
  <c r="D516" i="11"/>
  <c r="E516" i="11"/>
  <c r="F516" i="11"/>
  <c r="G516" i="11"/>
  <c r="H516" i="11"/>
  <c r="I516" i="11"/>
  <c r="J516" i="11"/>
  <c r="K516" i="11"/>
  <c r="L516" i="11"/>
  <c r="M516" i="11"/>
  <c r="N516" i="11"/>
  <c r="O516" i="11"/>
  <c r="P516" i="11"/>
  <c r="Q516" i="11"/>
  <c r="R516" i="11"/>
  <c r="D517" i="11"/>
  <c r="E517" i="11"/>
  <c r="F517" i="11"/>
  <c r="G517" i="11"/>
  <c r="H517" i="11"/>
  <c r="I517" i="11"/>
  <c r="J517" i="11"/>
  <c r="K517" i="11"/>
  <c r="L517" i="11"/>
  <c r="M517" i="11"/>
  <c r="N517" i="11"/>
  <c r="O517" i="11"/>
  <c r="P517" i="11"/>
  <c r="Q517" i="11"/>
  <c r="R517" i="11"/>
  <c r="D518" i="11"/>
  <c r="E518" i="11"/>
  <c r="F518" i="11"/>
  <c r="G518" i="11"/>
  <c r="H518" i="11"/>
  <c r="I518" i="11"/>
  <c r="J518" i="11"/>
  <c r="K518" i="11"/>
  <c r="L518" i="11"/>
  <c r="M518" i="11"/>
  <c r="N518" i="11"/>
  <c r="O518" i="11"/>
  <c r="P518" i="11"/>
  <c r="Q518" i="11"/>
  <c r="R518" i="11"/>
  <c r="D519" i="11"/>
  <c r="E519" i="11"/>
  <c r="F519" i="11"/>
  <c r="G519" i="11"/>
  <c r="H519" i="11"/>
  <c r="I519" i="11"/>
  <c r="J519" i="11"/>
  <c r="K519" i="11"/>
  <c r="L519" i="11"/>
  <c r="M519" i="11"/>
  <c r="N519" i="11"/>
  <c r="O519" i="11"/>
  <c r="P519" i="11"/>
  <c r="Q519" i="11"/>
  <c r="R519" i="11"/>
  <c r="D520" i="11"/>
  <c r="E520" i="11"/>
  <c r="F520" i="11"/>
  <c r="G520" i="11"/>
  <c r="H520" i="11"/>
  <c r="I520" i="11"/>
  <c r="J520" i="11"/>
  <c r="K520" i="11"/>
  <c r="L520" i="11"/>
  <c r="M520" i="11"/>
  <c r="N520" i="11"/>
  <c r="O520" i="11"/>
  <c r="P520" i="11"/>
  <c r="Q520" i="11"/>
  <c r="R520" i="11"/>
  <c r="D521" i="11"/>
  <c r="E521" i="11"/>
  <c r="F521" i="11"/>
  <c r="G521" i="11"/>
  <c r="H521" i="11"/>
  <c r="I521" i="11"/>
  <c r="J521" i="11"/>
  <c r="K521" i="11"/>
  <c r="L521" i="11"/>
  <c r="M521" i="11"/>
  <c r="N521" i="11"/>
  <c r="O521" i="11"/>
  <c r="P521" i="11"/>
  <c r="Q521" i="11"/>
  <c r="R521" i="11"/>
  <c r="D453" i="11"/>
  <c r="E453" i="11"/>
  <c r="F453" i="11"/>
  <c r="G453" i="11"/>
  <c r="H453" i="11"/>
  <c r="I453" i="11"/>
  <c r="J453" i="11"/>
  <c r="K453" i="11"/>
  <c r="L453" i="11"/>
  <c r="M453" i="11"/>
  <c r="N453" i="11"/>
  <c r="O453" i="11"/>
  <c r="P453" i="11"/>
  <c r="Q453" i="11"/>
  <c r="R453" i="11"/>
  <c r="D454" i="11"/>
  <c r="E454" i="11"/>
  <c r="F454" i="11"/>
  <c r="G454" i="11"/>
  <c r="H454" i="11"/>
  <c r="I454" i="11"/>
  <c r="J454" i="11"/>
  <c r="K454" i="11"/>
  <c r="L454" i="11"/>
  <c r="M454" i="11"/>
  <c r="N454" i="11"/>
  <c r="O454" i="11"/>
  <c r="P454" i="11"/>
  <c r="Q454" i="11"/>
  <c r="R454" i="11"/>
  <c r="D455" i="11"/>
  <c r="E455" i="11"/>
  <c r="F455" i="11"/>
  <c r="G455" i="11"/>
  <c r="H455" i="11"/>
  <c r="I455" i="11"/>
  <c r="J455" i="11"/>
  <c r="K455" i="11"/>
  <c r="L455" i="11"/>
  <c r="M455" i="11"/>
  <c r="N455" i="11"/>
  <c r="O455" i="11"/>
  <c r="P455" i="11"/>
  <c r="Q455" i="11"/>
  <c r="R455" i="11"/>
  <c r="D456" i="11"/>
  <c r="E456" i="11"/>
  <c r="F456" i="11"/>
  <c r="G456" i="11"/>
  <c r="H456" i="11"/>
  <c r="I456" i="11"/>
  <c r="J456" i="11"/>
  <c r="K456" i="11"/>
  <c r="L456" i="11"/>
  <c r="M456" i="11"/>
  <c r="N456" i="11"/>
  <c r="O456" i="11"/>
  <c r="P456" i="11"/>
  <c r="Q456" i="11"/>
  <c r="R456" i="11"/>
  <c r="D457" i="11"/>
  <c r="E457" i="11"/>
  <c r="F457" i="11"/>
  <c r="G457" i="11"/>
  <c r="H457" i="11"/>
  <c r="I457" i="11"/>
  <c r="J457" i="11"/>
  <c r="K457" i="11"/>
  <c r="L457" i="11"/>
  <c r="M457" i="11"/>
  <c r="N457" i="11"/>
  <c r="O457" i="11"/>
  <c r="P457" i="11"/>
  <c r="Q457" i="11"/>
  <c r="R457" i="11"/>
  <c r="D458" i="11"/>
  <c r="E458" i="11"/>
  <c r="F458" i="11"/>
  <c r="G458" i="11"/>
  <c r="H458" i="11"/>
  <c r="I458" i="11"/>
  <c r="J458" i="11"/>
  <c r="K458" i="11"/>
  <c r="L458" i="11"/>
  <c r="M458" i="11"/>
  <c r="N458" i="11"/>
  <c r="O458" i="11"/>
  <c r="P458" i="11"/>
  <c r="Q458" i="11"/>
  <c r="R458" i="11"/>
  <c r="D459" i="11"/>
  <c r="E459" i="11"/>
  <c r="F459" i="11"/>
  <c r="G459" i="11"/>
  <c r="H459" i="11"/>
  <c r="I459" i="11"/>
  <c r="J459" i="11"/>
  <c r="K459" i="11"/>
  <c r="L459" i="11"/>
  <c r="M459" i="11"/>
  <c r="N459" i="11"/>
  <c r="O459" i="11"/>
  <c r="P459" i="11"/>
  <c r="Q459" i="11"/>
  <c r="R459" i="11"/>
  <c r="D460" i="11"/>
  <c r="E460" i="11"/>
  <c r="F460" i="11"/>
  <c r="G460" i="11"/>
  <c r="H460" i="11"/>
  <c r="I460" i="11"/>
  <c r="J460" i="11"/>
  <c r="K460" i="11"/>
  <c r="L460" i="11"/>
  <c r="M460" i="11"/>
  <c r="N460" i="11"/>
  <c r="O460" i="11"/>
  <c r="P460" i="11"/>
  <c r="Q460" i="11"/>
  <c r="R460" i="11"/>
  <c r="D461" i="11"/>
  <c r="E461" i="11"/>
  <c r="F461" i="11"/>
  <c r="G461" i="11"/>
  <c r="H461" i="11"/>
  <c r="I461" i="11"/>
  <c r="J461" i="11"/>
  <c r="K461" i="11"/>
  <c r="L461" i="11"/>
  <c r="M461" i="11"/>
  <c r="N461" i="11"/>
  <c r="O461" i="11"/>
  <c r="P461" i="11"/>
  <c r="Q461" i="11"/>
  <c r="R461" i="11"/>
  <c r="D462" i="11"/>
  <c r="E462" i="11"/>
  <c r="F462" i="11"/>
  <c r="G462" i="11"/>
  <c r="H462" i="11"/>
  <c r="I462" i="11"/>
  <c r="J462" i="11"/>
  <c r="K462" i="11"/>
  <c r="L462" i="11"/>
  <c r="M462" i="11"/>
  <c r="N462" i="11"/>
  <c r="O462" i="11"/>
  <c r="P462" i="11"/>
  <c r="Q462" i="11"/>
  <c r="R462" i="11"/>
  <c r="D463" i="11"/>
  <c r="E463" i="11"/>
  <c r="F463" i="11"/>
  <c r="G463" i="11"/>
  <c r="H463" i="11"/>
  <c r="I463" i="11"/>
  <c r="J463" i="11"/>
  <c r="K463" i="11"/>
  <c r="L463" i="11"/>
  <c r="M463" i="11"/>
  <c r="N463" i="11"/>
  <c r="O463" i="11"/>
  <c r="P463" i="11"/>
  <c r="Q463" i="11"/>
  <c r="R463" i="11"/>
  <c r="D464" i="11"/>
  <c r="E464" i="11"/>
  <c r="F464" i="11"/>
  <c r="G464" i="11"/>
  <c r="H464" i="11"/>
  <c r="I464" i="11"/>
  <c r="J464" i="11"/>
  <c r="K464" i="11"/>
  <c r="L464" i="11"/>
  <c r="M464" i="11"/>
  <c r="N464" i="11"/>
  <c r="O464" i="11"/>
  <c r="P464" i="11"/>
  <c r="Q464" i="11"/>
  <c r="R464" i="11"/>
  <c r="D465" i="11"/>
  <c r="E465" i="11"/>
  <c r="F465" i="11"/>
  <c r="G465" i="11"/>
  <c r="H465" i="11"/>
  <c r="I465" i="11"/>
  <c r="J465" i="11"/>
  <c r="K465" i="11"/>
  <c r="L465" i="11"/>
  <c r="M465" i="11"/>
  <c r="N465" i="11"/>
  <c r="O465" i="11"/>
  <c r="P465" i="11"/>
  <c r="Q465" i="11"/>
  <c r="R465" i="11"/>
  <c r="D466" i="11"/>
  <c r="E466" i="11"/>
  <c r="F466" i="11"/>
  <c r="G466" i="11"/>
  <c r="H466" i="11"/>
  <c r="I466" i="11"/>
  <c r="J466" i="11"/>
  <c r="K466" i="11"/>
  <c r="L466" i="11"/>
  <c r="M466" i="11"/>
  <c r="N466" i="11"/>
  <c r="O466" i="11"/>
  <c r="P466" i="11"/>
  <c r="Q466" i="11"/>
  <c r="R466" i="11"/>
  <c r="D467" i="11"/>
  <c r="E467" i="11"/>
  <c r="F467" i="11"/>
  <c r="G467" i="11"/>
  <c r="H467" i="11"/>
  <c r="I467" i="11"/>
  <c r="J467" i="11"/>
  <c r="K467" i="11"/>
  <c r="L467" i="11"/>
  <c r="M467" i="11"/>
  <c r="N467" i="11"/>
  <c r="O467" i="11"/>
  <c r="P467" i="11"/>
  <c r="Q467" i="11"/>
  <c r="R467" i="11"/>
  <c r="D468" i="11"/>
  <c r="E468" i="11"/>
  <c r="F468" i="11"/>
  <c r="G468" i="11"/>
  <c r="H468" i="11"/>
  <c r="I468" i="11"/>
  <c r="J468" i="11"/>
  <c r="K468" i="11"/>
  <c r="L468" i="11"/>
  <c r="M468" i="11"/>
  <c r="N468" i="11"/>
  <c r="O468" i="11"/>
  <c r="P468" i="11"/>
  <c r="Q468" i="11"/>
  <c r="R468" i="11"/>
  <c r="D469" i="11"/>
  <c r="E469" i="11"/>
  <c r="F469" i="11"/>
  <c r="G469" i="11"/>
  <c r="H469" i="11"/>
  <c r="I469" i="11"/>
  <c r="J469" i="11"/>
  <c r="K469" i="11"/>
  <c r="L469" i="11"/>
  <c r="M469" i="11"/>
  <c r="N469" i="11"/>
  <c r="O469" i="11"/>
  <c r="P469" i="11"/>
  <c r="Q469" i="11"/>
  <c r="R469" i="11"/>
  <c r="D470" i="11"/>
  <c r="E470" i="11"/>
  <c r="F470" i="11"/>
  <c r="G470" i="11"/>
  <c r="H470" i="11"/>
  <c r="I470" i="11"/>
  <c r="J470" i="11"/>
  <c r="K470" i="11"/>
  <c r="L470" i="11"/>
  <c r="M470" i="11"/>
  <c r="N470" i="11"/>
  <c r="O470" i="11"/>
  <c r="P470" i="11"/>
  <c r="Q470" i="11"/>
  <c r="R470" i="11"/>
  <c r="D471" i="11"/>
  <c r="E471" i="11"/>
  <c r="F471" i="11"/>
  <c r="G471" i="11"/>
  <c r="H471" i="11"/>
  <c r="I471" i="11"/>
  <c r="J471" i="11"/>
  <c r="K471" i="11"/>
  <c r="L471" i="11"/>
  <c r="M471" i="11"/>
  <c r="N471" i="11"/>
  <c r="O471" i="11"/>
  <c r="P471" i="11"/>
  <c r="Q471" i="11"/>
  <c r="R471" i="11"/>
  <c r="D472" i="11"/>
  <c r="E472" i="11"/>
  <c r="F472" i="11"/>
  <c r="G472" i="11"/>
  <c r="H472" i="11"/>
  <c r="I472" i="11"/>
  <c r="J472" i="11"/>
  <c r="K472" i="11"/>
  <c r="L472" i="11"/>
  <c r="M472" i="11"/>
  <c r="N472" i="11"/>
  <c r="O472" i="11"/>
  <c r="P472" i="11"/>
  <c r="Q472" i="11"/>
  <c r="R472" i="11"/>
  <c r="D473" i="11"/>
  <c r="E473" i="11"/>
  <c r="F473" i="11"/>
  <c r="G473" i="11"/>
  <c r="H473" i="11"/>
  <c r="I473" i="11"/>
  <c r="J473" i="11"/>
  <c r="K473" i="11"/>
  <c r="L473" i="11"/>
  <c r="M473" i="11"/>
  <c r="N473" i="11"/>
  <c r="O473" i="11"/>
  <c r="P473" i="11"/>
  <c r="Q473" i="11"/>
  <c r="R473" i="11"/>
  <c r="D474" i="11"/>
  <c r="E474" i="11"/>
  <c r="F474" i="11"/>
  <c r="G474" i="11"/>
  <c r="H474" i="11"/>
  <c r="I474" i="11"/>
  <c r="J474" i="11"/>
  <c r="K474" i="11"/>
  <c r="L474" i="11"/>
  <c r="M474" i="11"/>
  <c r="N474" i="11"/>
  <c r="O474" i="11"/>
  <c r="P474" i="11"/>
  <c r="Q474" i="11"/>
  <c r="R474" i="11"/>
  <c r="D475" i="11"/>
  <c r="E475" i="11"/>
  <c r="F475" i="11"/>
  <c r="G475" i="11"/>
  <c r="H475" i="11"/>
  <c r="I475" i="11"/>
  <c r="J475" i="11"/>
  <c r="K475" i="11"/>
  <c r="L475" i="11"/>
  <c r="M475" i="11"/>
  <c r="N475" i="11"/>
  <c r="O475" i="11"/>
  <c r="P475" i="11"/>
  <c r="Q475" i="11"/>
  <c r="R475" i="11"/>
  <c r="D476" i="11"/>
  <c r="E476" i="11"/>
  <c r="F476" i="11"/>
  <c r="G476" i="11"/>
  <c r="H476" i="11"/>
  <c r="I476" i="11"/>
  <c r="J476" i="11"/>
  <c r="K476" i="11"/>
  <c r="L476" i="11"/>
  <c r="M476" i="11"/>
  <c r="N476" i="11"/>
  <c r="O476" i="11"/>
  <c r="P476" i="11"/>
  <c r="Q476" i="11"/>
  <c r="R476" i="11"/>
  <c r="D477" i="11"/>
  <c r="E477" i="11"/>
  <c r="F477" i="11"/>
  <c r="G477" i="11"/>
  <c r="H477" i="11"/>
  <c r="I477" i="11"/>
  <c r="J477" i="11"/>
  <c r="K477" i="11"/>
  <c r="L477" i="11"/>
  <c r="M477" i="11"/>
  <c r="N477" i="11"/>
  <c r="O477" i="11"/>
  <c r="P477" i="11"/>
  <c r="Q477" i="11"/>
  <c r="R477" i="11"/>
  <c r="D478" i="11"/>
  <c r="E478" i="11"/>
  <c r="F478" i="11"/>
  <c r="G478" i="11"/>
  <c r="H478" i="11"/>
  <c r="I478" i="11"/>
  <c r="J478" i="11"/>
  <c r="K478" i="11"/>
  <c r="L478" i="11"/>
  <c r="M478" i="11"/>
  <c r="N478" i="11"/>
  <c r="O478" i="11"/>
  <c r="P478" i="11"/>
  <c r="Q478" i="11"/>
  <c r="R478" i="11"/>
  <c r="D479" i="11"/>
  <c r="E479" i="11"/>
  <c r="F479" i="11"/>
  <c r="G479" i="11"/>
  <c r="H479" i="11"/>
  <c r="I479" i="11"/>
  <c r="J479" i="11"/>
  <c r="K479" i="11"/>
  <c r="L479" i="11"/>
  <c r="M479" i="11"/>
  <c r="N479" i="11"/>
  <c r="O479" i="11"/>
  <c r="P479" i="11"/>
  <c r="Q479" i="11"/>
  <c r="R479" i="11"/>
  <c r="D480" i="11"/>
  <c r="E480" i="11"/>
  <c r="F480" i="11"/>
  <c r="G480" i="11"/>
  <c r="H480" i="11"/>
  <c r="I480" i="11"/>
  <c r="J480" i="11"/>
  <c r="K480" i="11"/>
  <c r="L480" i="11"/>
  <c r="M480" i="11"/>
  <c r="N480" i="11"/>
  <c r="O480" i="11"/>
  <c r="P480" i="11"/>
  <c r="Q480" i="11"/>
  <c r="R480" i="11"/>
  <c r="D481" i="11"/>
  <c r="E481" i="11"/>
  <c r="F481" i="11"/>
  <c r="G481" i="11"/>
  <c r="H481" i="11"/>
  <c r="I481" i="11"/>
  <c r="J481" i="11"/>
  <c r="K481" i="11"/>
  <c r="L481" i="11"/>
  <c r="M481" i="11"/>
  <c r="N481" i="11"/>
  <c r="O481" i="11"/>
  <c r="P481" i="11"/>
  <c r="Q481" i="11"/>
  <c r="R481" i="11"/>
  <c r="D482" i="11"/>
  <c r="E482" i="11"/>
  <c r="F482" i="11"/>
  <c r="G482" i="11"/>
  <c r="H482" i="11"/>
  <c r="I482" i="11"/>
  <c r="J482" i="11"/>
  <c r="K482" i="11"/>
  <c r="L482" i="11"/>
  <c r="M482" i="11"/>
  <c r="N482" i="11"/>
  <c r="O482" i="11"/>
  <c r="P482" i="11"/>
  <c r="Q482" i="11"/>
  <c r="R482" i="11"/>
  <c r="D483" i="11"/>
  <c r="E483" i="11"/>
  <c r="F483" i="11"/>
  <c r="G483" i="11"/>
  <c r="H483" i="11"/>
  <c r="I483" i="11"/>
  <c r="J483" i="11"/>
  <c r="K483" i="11"/>
  <c r="L483" i="11"/>
  <c r="M483" i="11"/>
  <c r="N483" i="11"/>
  <c r="O483" i="11"/>
  <c r="P483" i="11"/>
  <c r="Q483" i="11"/>
  <c r="R483" i="11"/>
  <c r="D484" i="11"/>
  <c r="E484" i="11"/>
  <c r="F484" i="11"/>
  <c r="G484" i="11"/>
  <c r="H484" i="11"/>
  <c r="I484" i="11"/>
  <c r="J484" i="11"/>
  <c r="K484" i="11"/>
  <c r="L484" i="11"/>
  <c r="M484" i="11"/>
  <c r="N484" i="11"/>
  <c r="O484" i="11"/>
  <c r="P484" i="11"/>
  <c r="Q484" i="11"/>
  <c r="R484" i="11"/>
  <c r="D485" i="11"/>
  <c r="E485" i="11"/>
  <c r="F485" i="11"/>
  <c r="G485" i="11"/>
  <c r="H485" i="11"/>
  <c r="I485" i="11"/>
  <c r="J485" i="11"/>
  <c r="K485" i="11"/>
  <c r="L485" i="11"/>
  <c r="M485" i="11"/>
  <c r="N485" i="11"/>
  <c r="O485" i="11"/>
  <c r="P485" i="11"/>
  <c r="Q485" i="11"/>
  <c r="R485" i="11"/>
  <c r="D486" i="11"/>
  <c r="E486" i="11"/>
  <c r="F486" i="11"/>
  <c r="G486" i="11"/>
  <c r="H486" i="11"/>
  <c r="I486" i="11"/>
  <c r="J486" i="11"/>
  <c r="K486" i="11"/>
  <c r="L486" i="11"/>
  <c r="M486" i="11"/>
  <c r="N486" i="11"/>
  <c r="O486" i="11"/>
  <c r="P486" i="11"/>
  <c r="Q486" i="11"/>
  <c r="R486" i="11"/>
  <c r="D487" i="11"/>
  <c r="E487" i="11"/>
  <c r="F487" i="11"/>
  <c r="G487" i="11"/>
  <c r="H487" i="11"/>
  <c r="I487" i="11"/>
  <c r="J487" i="11"/>
  <c r="K487" i="11"/>
  <c r="L487" i="11"/>
  <c r="M487" i="11"/>
  <c r="N487" i="11"/>
  <c r="O487" i="11"/>
  <c r="P487" i="11"/>
  <c r="Q487" i="11"/>
  <c r="R487" i="11"/>
  <c r="D488" i="11"/>
  <c r="E488" i="11"/>
  <c r="F488" i="11"/>
  <c r="G488" i="11"/>
  <c r="H488" i="11"/>
  <c r="I488" i="11"/>
  <c r="J488" i="11"/>
  <c r="K488" i="11"/>
  <c r="L488" i="11"/>
  <c r="M488" i="11"/>
  <c r="N488" i="11"/>
  <c r="O488" i="11"/>
  <c r="P488" i="11"/>
  <c r="Q488" i="11"/>
  <c r="R488" i="11"/>
  <c r="D489" i="11"/>
  <c r="E489" i="11"/>
  <c r="F489" i="11"/>
  <c r="G489" i="11"/>
  <c r="H489" i="11"/>
  <c r="I489" i="11"/>
  <c r="J489" i="11"/>
  <c r="K489" i="11"/>
  <c r="L489" i="11"/>
  <c r="M489" i="11"/>
  <c r="N489" i="11"/>
  <c r="O489" i="11"/>
  <c r="P489" i="11"/>
  <c r="Q489" i="11"/>
  <c r="R489" i="11"/>
  <c r="D490" i="11"/>
  <c r="E490" i="11"/>
  <c r="F490" i="11"/>
  <c r="G490" i="11"/>
  <c r="H490" i="11"/>
  <c r="I490" i="11"/>
  <c r="J490" i="11"/>
  <c r="K490" i="11"/>
  <c r="L490" i="11"/>
  <c r="M490" i="11"/>
  <c r="N490" i="11"/>
  <c r="O490" i="11"/>
  <c r="P490" i="11"/>
  <c r="Q490" i="11"/>
  <c r="R490" i="11"/>
  <c r="D491" i="11"/>
  <c r="E491" i="11"/>
  <c r="F491" i="11"/>
  <c r="G491" i="11"/>
  <c r="H491" i="11"/>
  <c r="I491" i="11"/>
  <c r="J491" i="11"/>
  <c r="K491" i="11"/>
  <c r="L491" i="11"/>
  <c r="M491" i="11"/>
  <c r="N491" i="11"/>
  <c r="O491" i="11"/>
  <c r="P491" i="11"/>
  <c r="Q491" i="11"/>
  <c r="R491" i="11"/>
  <c r="D492" i="11"/>
  <c r="E492" i="11"/>
  <c r="F492" i="11"/>
  <c r="G492" i="11"/>
  <c r="H492" i="11"/>
  <c r="I492" i="11"/>
  <c r="J492" i="11"/>
  <c r="K492" i="11"/>
  <c r="L492" i="11"/>
  <c r="M492" i="11"/>
  <c r="N492" i="11"/>
  <c r="O492" i="11"/>
  <c r="P492" i="11"/>
  <c r="Q492" i="11"/>
  <c r="R492" i="11"/>
  <c r="D493" i="11"/>
  <c r="E493" i="11"/>
  <c r="F493" i="11"/>
  <c r="G493" i="11"/>
  <c r="H493" i="11"/>
  <c r="I493" i="11"/>
  <c r="J493" i="11"/>
  <c r="K493" i="11"/>
  <c r="L493" i="11"/>
  <c r="M493" i="11"/>
  <c r="N493" i="11"/>
  <c r="O493" i="11"/>
  <c r="P493" i="11"/>
  <c r="Q493" i="11"/>
  <c r="R493" i="11"/>
  <c r="D494" i="11"/>
  <c r="E494" i="11"/>
  <c r="F494" i="11"/>
  <c r="G494" i="11"/>
  <c r="H494" i="11"/>
  <c r="I494" i="11"/>
  <c r="J494" i="11"/>
  <c r="K494" i="11"/>
  <c r="L494" i="11"/>
  <c r="M494" i="11"/>
  <c r="N494" i="11"/>
  <c r="O494" i="11"/>
  <c r="P494" i="11"/>
  <c r="Q494" i="11"/>
  <c r="R494" i="11"/>
  <c r="D495" i="11"/>
  <c r="E495" i="11"/>
  <c r="F495" i="11"/>
  <c r="G495" i="11"/>
  <c r="H495" i="11"/>
  <c r="I495" i="11"/>
  <c r="J495" i="11"/>
  <c r="K495" i="11"/>
  <c r="L495" i="11"/>
  <c r="M495" i="11"/>
  <c r="N495" i="11"/>
  <c r="O495" i="11"/>
  <c r="P495" i="11"/>
  <c r="Q495" i="11"/>
  <c r="R495" i="11"/>
  <c r="D496" i="11"/>
  <c r="E496" i="11"/>
  <c r="F496" i="11"/>
  <c r="G496" i="11"/>
  <c r="H496" i="11"/>
  <c r="I496" i="11"/>
  <c r="J496" i="11"/>
  <c r="K496" i="11"/>
  <c r="L496" i="11"/>
  <c r="M496" i="11"/>
  <c r="N496" i="11"/>
  <c r="O496" i="11"/>
  <c r="P496" i="11"/>
  <c r="Q496" i="11"/>
  <c r="R496" i="11"/>
  <c r="D497" i="11"/>
  <c r="E497" i="11"/>
  <c r="F497" i="11"/>
  <c r="G497" i="11"/>
  <c r="H497" i="11"/>
  <c r="I497" i="11"/>
  <c r="J497" i="11"/>
  <c r="K497" i="11"/>
  <c r="L497" i="11"/>
  <c r="M497" i="11"/>
  <c r="N497" i="11"/>
  <c r="O497" i="11"/>
  <c r="P497" i="11"/>
  <c r="Q497" i="11"/>
  <c r="R497" i="11"/>
  <c r="D498" i="11"/>
  <c r="E498" i="11"/>
  <c r="F498" i="11"/>
  <c r="G498" i="11"/>
  <c r="H498" i="11"/>
  <c r="I498" i="11"/>
  <c r="J498" i="11"/>
  <c r="K498" i="11"/>
  <c r="L498" i="11"/>
  <c r="M498" i="11"/>
  <c r="N498" i="11"/>
  <c r="O498" i="11"/>
  <c r="P498" i="11"/>
  <c r="Q498" i="11"/>
  <c r="R498" i="11"/>
  <c r="D419" i="11"/>
  <c r="E419" i="11"/>
  <c r="F419" i="11"/>
  <c r="G419" i="11"/>
  <c r="H419" i="11"/>
  <c r="I419" i="11"/>
  <c r="J419" i="11"/>
  <c r="K419" i="11"/>
  <c r="L419" i="11"/>
  <c r="M419" i="11"/>
  <c r="N419" i="11"/>
  <c r="O419" i="11"/>
  <c r="P419" i="11"/>
  <c r="Q419" i="11"/>
  <c r="R419" i="11"/>
  <c r="D420" i="11"/>
  <c r="E420" i="11"/>
  <c r="F420" i="11"/>
  <c r="G420" i="11"/>
  <c r="H420" i="11"/>
  <c r="I420" i="11"/>
  <c r="J420" i="11"/>
  <c r="K420" i="11"/>
  <c r="L420" i="11"/>
  <c r="M420" i="11"/>
  <c r="N420" i="11"/>
  <c r="O420" i="11"/>
  <c r="P420" i="11"/>
  <c r="Q420" i="11"/>
  <c r="R420" i="11"/>
  <c r="D421" i="11"/>
  <c r="E421" i="11"/>
  <c r="F421" i="11"/>
  <c r="G421" i="11"/>
  <c r="H421" i="11"/>
  <c r="I421" i="11"/>
  <c r="J421" i="11"/>
  <c r="K421" i="11"/>
  <c r="L421" i="11"/>
  <c r="M421" i="11"/>
  <c r="N421" i="11"/>
  <c r="O421" i="11"/>
  <c r="P421" i="11"/>
  <c r="Q421" i="11"/>
  <c r="R421" i="11"/>
  <c r="D422" i="11"/>
  <c r="E422" i="11"/>
  <c r="F422" i="11"/>
  <c r="G422" i="11"/>
  <c r="H422" i="11"/>
  <c r="I422" i="11"/>
  <c r="J422" i="11"/>
  <c r="K422" i="11"/>
  <c r="L422" i="11"/>
  <c r="M422" i="11"/>
  <c r="N422" i="11"/>
  <c r="O422" i="11"/>
  <c r="P422" i="11"/>
  <c r="Q422" i="11"/>
  <c r="R422" i="11"/>
  <c r="D423" i="11"/>
  <c r="E423" i="11"/>
  <c r="F423" i="11"/>
  <c r="G423" i="11"/>
  <c r="H423" i="11"/>
  <c r="I423" i="11"/>
  <c r="J423" i="11"/>
  <c r="K423" i="11"/>
  <c r="L423" i="11"/>
  <c r="M423" i="11"/>
  <c r="N423" i="11"/>
  <c r="O423" i="11"/>
  <c r="P423" i="11"/>
  <c r="Q423" i="11"/>
  <c r="R423" i="11"/>
  <c r="D424" i="11"/>
  <c r="E424" i="11"/>
  <c r="F424" i="11"/>
  <c r="G424" i="11"/>
  <c r="H424" i="11"/>
  <c r="I424" i="11"/>
  <c r="J424" i="11"/>
  <c r="K424" i="11"/>
  <c r="L424" i="11"/>
  <c r="M424" i="11"/>
  <c r="N424" i="11"/>
  <c r="O424" i="11"/>
  <c r="P424" i="11"/>
  <c r="Q424" i="11"/>
  <c r="R424" i="11"/>
  <c r="D425" i="11"/>
  <c r="E425" i="11"/>
  <c r="F425" i="11"/>
  <c r="G425" i="11"/>
  <c r="H425" i="11"/>
  <c r="I425" i="11"/>
  <c r="J425" i="11"/>
  <c r="K425" i="11"/>
  <c r="L425" i="11"/>
  <c r="M425" i="11"/>
  <c r="N425" i="11"/>
  <c r="O425" i="11"/>
  <c r="P425" i="11"/>
  <c r="Q425" i="11"/>
  <c r="R425" i="11"/>
  <c r="D426" i="11"/>
  <c r="E426" i="11"/>
  <c r="F426" i="11"/>
  <c r="G426" i="11"/>
  <c r="H426" i="11"/>
  <c r="I426" i="11"/>
  <c r="J426" i="11"/>
  <c r="K426" i="11"/>
  <c r="L426" i="11"/>
  <c r="M426" i="11"/>
  <c r="N426" i="11"/>
  <c r="O426" i="11"/>
  <c r="P426" i="11"/>
  <c r="Q426" i="11"/>
  <c r="R426" i="11"/>
  <c r="D427" i="11"/>
  <c r="E427" i="11"/>
  <c r="F427" i="11"/>
  <c r="G427" i="11"/>
  <c r="H427" i="11"/>
  <c r="I427" i="11"/>
  <c r="J427" i="11"/>
  <c r="K427" i="11"/>
  <c r="L427" i="11"/>
  <c r="M427" i="11"/>
  <c r="N427" i="11"/>
  <c r="O427" i="11"/>
  <c r="P427" i="11"/>
  <c r="Q427" i="11"/>
  <c r="R427" i="11"/>
  <c r="D428" i="11"/>
  <c r="E428" i="11"/>
  <c r="F428" i="11"/>
  <c r="G428" i="11"/>
  <c r="H428" i="11"/>
  <c r="I428" i="11"/>
  <c r="J428" i="11"/>
  <c r="K428" i="11"/>
  <c r="L428" i="11"/>
  <c r="M428" i="11"/>
  <c r="N428" i="11"/>
  <c r="O428" i="11"/>
  <c r="P428" i="11"/>
  <c r="Q428" i="11"/>
  <c r="R428" i="11"/>
  <c r="D429" i="11"/>
  <c r="E429" i="11"/>
  <c r="F429" i="11"/>
  <c r="G429" i="11"/>
  <c r="H429" i="11"/>
  <c r="I429" i="11"/>
  <c r="J429" i="11"/>
  <c r="K429" i="11"/>
  <c r="L429" i="11"/>
  <c r="M429" i="11"/>
  <c r="N429" i="11"/>
  <c r="O429" i="11"/>
  <c r="P429" i="11"/>
  <c r="Q429" i="11"/>
  <c r="R429" i="11"/>
  <c r="D430" i="11"/>
  <c r="E430" i="11"/>
  <c r="F430" i="11"/>
  <c r="G430" i="11"/>
  <c r="H430" i="11"/>
  <c r="I430" i="11"/>
  <c r="J430" i="11"/>
  <c r="K430" i="11"/>
  <c r="L430" i="11"/>
  <c r="M430" i="11"/>
  <c r="N430" i="11"/>
  <c r="O430" i="11"/>
  <c r="P430" i="11"/>
  <c r="Q430" i="11"/>
  <c r="R430" i="11"/>
  <c r="D431" i="11"/>
  <c r="E431" i="11"/>
  <c r="F431" i="11"/>
  <c r="G431" i="11"/>
  <c r="H431" i="11"/>
  <c r="I431" i="11"/>
  <c r="J431" i="11"/>
  <c r="K431" i="11"/>
  <c r="L431" i="11"/>
  <c r="M431" i="11"/>
  <c r="N431" i="11"/>
  <c r="O431" i="11"/>
  <c r="P431" i="11"/>
  <c r="Q431" i="11"/>
  <c r="R431" i="11"/>
  <c r="D432" i="11"/>
  <c r="E432" i="11"/>
  <c r="F432" i="11"/>
  <c r="G432" i="11"/>
  <c r="H432" i="11"/>
  <c r="I432" i="11"/>
  <c r="J432" i="11"/>
  <c r="K432" i="11"/>
  <c r="L432" i="11"/>
  <c r="M432" i="11"/>
  <c r="N432" i="11"/>
  <c r="O432" i="11"/>
  <c r="P432" i="11"/>
  <c r="Q432" i="11"/>
  <c r="R432" i="11"/>
  <c r="D433" i="11"/>
  <c r="E433" i="11"/>
  <c r="F433" i="11"/>
  <c r="G433" i="11"/>
  <c r="H433" i="11"/>
  <c r="I433" i="11"/>
  <c r="J433" i="11"/>
  <c r="K433" i="11"/>
  <c r="L433" i="11"/>
  <c r="M433" i="11"/>
  <c r="N433" i="11"/>
  <c r="O433" i="11"/>
  <c r="P433" i="11"/>
  <c r="Q433" i="11"/>
  <c r="R433" i="11"/>
  <c r="D434" i="11"/>
  <c r="E434" i="11"/>
  <c r="F434" i="11"/>
  <c r="G434" i="11"/>
  <c r="H434" i="11"/>
  <c r="I434" i="11"/>
  <c r="J434" i="11"/>
  <c r="K434" i="11"/>
  <c r="L434" i="11"/>
  <c r="M434" i="11"/>
  <c r="N434" i="11"/>
  <c r="O434" i="11"/>
  <c r="P434" i="11"/>
  <c r="Q434" i="11"/>
  <c r="R434" i="11"/>
  <c r="D435" i="11"/>
  <c r="E435" i="11"/>
  <c r="F435" i="11"/>
  <c r="G435" i="11"/>
  <c r="H435" i="11"/>
  <c r="I435" i="11"/>
  <c r="J435" i="11"/>
  <c r="K435" i="11"/>
  <c r="L435" i="11"/>
  <c r="M435" i="11"/>
  <c r="N435" i="11"/>
  <c r="O435" i="11"/>
  <c r="P435" i="11"/>
  <c r="Q435" i="11"/>
  <c r="R435" i="11"/>
  <c r="D436" i="11"/>
  <c r="E436" i="11"/>
  <c r="F436" i="11"/>
  <c r="G436" i="11"/>
  <c r="H436" i="11"/>
  <c r="I436" i="11"/>
  <c r="J436" i="11"/>
  <c r="K436" i="11"/>
  <c r="L436" i="11"/>
  <c r="M436" i="11"/>
  <c r="N436" i="11"/>
  <c r="O436" i="11"/>
  <c r="P436" i="11"/>
  <c r="Q436" i="11"/>
  <c r="R436" i="11"/>
  <c r="D437" i="11"/>
  <c r="E437" i="11"/>
  <c r="F437" i="11"/>
  <c r="G437" i="11"/>
  <c r="H437" i="11"/>
  <c r="I437" i="11"/>
  <c r="J437" i="11"/>
  <c r="K437" i="11"/>
  <c r="L437" i="11"/>
  <c r="M437" i="11"/>
  <c r="N437" i="11"/>
  <c r="O437" i="11"/>
  <c r="P437" i="11"/>
  <c r="Q437" i="11"/>
  <c r="R437" i="11"/>
  <c r="D438" i="11"/>
  <c r="E438" i="11"/>
  <c r="F438" i="11"/>
  <c r="G438" i="11"/>
  <c r="H438" i="11"/>
  <c r="I438" i="11"/>
  <c r="J438" i="11"/>
  <c r="K438" i="11"/>
  <c r="L438" i="11"/>
  <c r="M438" i="11"/>
  <c r="N438" i="11"/>
  <c r="O438" i="11"/>
  <c r="P438" i="11"/>
  <c r="Q438" i="11"/>
  <c r="R438" i="11"/>
  <c r="D439" i="11"/>
  <c r="E439" i="11"/>
  <c r="F439" i="11"/>
  <c r="G439" i="11"/>
  <c r="H439" i="11"/>
  <c r="I439" i="11"/>
  <c r="J439" i="11"/>
  <c r="K439" i="11"/>
  <c r="L439" i="11"/>
  <c r="M439" i="11"/>
  <c r="N439" i="11"/>
  <c r="O439" i="11"/>
  <c r="P439" i="11"/>
  <c r="Q439" i="11"/>
  <c r="R439" i="11"/>
  <c r="D440" i="11"/>
  <c r="E440" i="11"/>
  <c r="F440" i="11"/>
  <c r="G440" i="11"/>
  <c r="H440" i="11"/>
  <c r="I440" i="11"/>
  <c r="J440" i="11"/>
  <c r="K440" i="11"/>
  <c r="L440" i="11"/>
  <c r="M440" i="11"/>
  <c r="N440" i="11"/>
  <c r="O440" i="11"/>
  <c r="P440" i="11"/>
  <c r="Q440" i="11"/>
  <c r="R440" i="11"/>
  <c r="D441" i="11"/>
  <c r="E441" i="11"/>
  <c r="F441" i="11"/>
  <c r="G441" i="11"/>
  <c r="H441" i="11"/>
  <c r="I441" i="11"/>
  <c r="J441" i="11"/>
  <c r="K441" i="11"/>
  <c r="L441" i="11"/>
  <c r="M441" i="11"/>
  <c r="N441" i="11"/>
  <c r="O441" i="11"/>
  <c r="P441" i="11"/>
  <c r="Q441" i="11"/>
  <c r="R441" i="11"/>
  <c r="D442" i="11"/>
  <c r="E442" i="11"/>
  <c r="F442" i="11"/>
  <c r="G442" i="11"/>
  <c r="H442" i="11"/>
  <c r="I442" i="11"/>
  <c r="J442" i="11"/>
  <c r="K442" i="11"/>
  <c r="L442" i="11"/>
  <c r="M442" i="11"/>
  <c r="N442" i="11"/>
  <c r="O442" i="11"/>
  <c r="P442" i="11"/>
  <c r="Q442" i="11"/>
  <c r="R442" i="11"/>
  <c r="D443" i="11"/>
  <c r="E443" i="11"/>
  <c r="F443" i="11"/>
  <c r="G443" i="11"/>
  <c r="H443" i="11"/>
  <c r="I443" i="11"/>
  <c r="J443" i="11"/>
  <c r="K443" i="11"/>
  <c r="L443" i="11"/>
  <c r="M443" i="11"/>
  <c r="N443" i="11"/>
  <c r="O443" i="11"/>
  <c r="P443" i="11"/>
  <c r="Q443" i="11"/>
  <c r="R443" i="11"/>
  <c r="D444" i="11"/>
  <c r="E444" i="11"/>
  <c r="F444" i="11"/>
  <c r="G444" i="11"/>
  <c r="H444" i="11"/>
  <c r="I444" i="11"/>
  <c r="J444" i="11"/>
  <c r="K444" i="11"/>
  <c r="L444" i="11"/>
  <c r="M444" i="11"/>
  <c r="N444" i="11"/>
  <c r="O444" i="11"/>
  <c r="P444" i="11"/>
  <c r="Q444" i="11"/>
  <c r="R444" i="11"/>
  <c r="D445" i="11"/>
  <c r="E445" i="11"/>
  <c r="F445" i="11"/>
  <c r="G445" i="11"/>
  <c r="H445" i="11"/>
  <c r="I445" i="11"/>
  <c r="J445" i="11"/>
  <c r="K445" i="11"/>
  <c r="L445" i="11"/>
  <c r="M445" i="11"/>
  <c r="N445" i="11"/>
  <c r="O445" i="11"/>
  <c r="P445" i="11"/>
  <c r="Q445" i="11"/>
  <c r="R445" i="11"/>
  <c r="D446" i="11"/>
  <c r="E446" i="11"/>
  <c r="F446" i="11"/>
  <c r="G446" i="11"/>
  <c r="H446" i="11"/>
  <c r="I446" i="11"/>
  <c r="J446" i="11"/>
  <c r="K446" i="11"/>
  <c r="L446" i="11"/>
  <c r="M446" i="11"/>
  <c r="N446" i="11"/>
  <c r="O446" i="11"/>
  <c r="P446" i="11"/>
  <c r="Q446" i="11"/>
  <c r="R446" i="11"/>
  <c r="D447" i="11"/>
  <c r="E447" i="11"/>
  <c r="F447" i="11"/>
  <c r="G447" i="11"/>
  <c r="H447" i="11"/>
  <c r="I447" i="11"/>
  <c r="J447" i="11"/>
  <c r="K447" i="11"/>
  <c r="L447" i="11"/>
  <c r="M447" i="11"/>
  <c r="N447" i="11"/>
  <c r="O447" i="11"/>
  <c r="P447" i="11"/>
  <c r="Q447" i="11"/>
  <c r="R447" i="11"/>
  <c r="D448" i="11"/>
  <c r="E448" i="11"/>
  <c r="F448" i="11"/>
  <c r="G448" i="11"/>
  <c r="H448" i="11"/>
  <c r="I448" i="11"/>
  <c r="J448" i="11"/>
  <c r="K448" i="11"/>
  <c r="L448" i="11"/>
  <c r="M448" i="11"/>
  <c r="N448" i="11"/>
  <c r="O448" i="11"/>
  <c r="P448" i="11"/>
  <c r="Q448" i="11"/>
  <c r="R448" i="11"/>
  <c r="D449" i="11"/>
  <c r="E449" i="11"/>
  <c r="F449" i="11"/>
  <c r="G449" i="11"/>
  <c r="H449" i="11"/>
  <c r="I449" i="11"/>
  <c r="J449" i="11"/>
  <c r="K449" i="11"/>
  <c r="L449" i="11"/>
  <c r="M449" i="11"/>
  <c r="N449" i="11"/>
  <c r="O449" i="11"/>
  <c r="P449" i="11"/>
  <c r="Q449" i="11"/>
  <c r="R449" i="11"/>
  <c r="D450" i="11"/>
  <c r="E450" i="11"/>
  <c r="F450" i="11"/>
  <c r="G450" i="11"/>
  <c r="H450" i="11"/>
  <c r="I450" i="11"/>
  <c r="J450" i="11"/>
  <c r="K450" i="11"/>
  <c r="L450" i="11"/>
  <c r="M450" i="11"/>
  <c r="N450" i="11"/>
  <c r="O450" i="11"/>
  <c r="P450" i="11"/>
  <c r="Q450" i="11"/>
  <c r="R450" i="11"/>
  <c r="D451" i="11"/>
  <c r="E451" i="11"/>
  <c r="F451" i="11"/>
  <c r="G451" i="11"/>
  <c r="H451" i="11"/>
  <c r="I451" i="11"/>
  <c r="J451" i="11"/>
  <c r="K451" i="11"/>
  <c r="L451" i="11"/>
  <c r="M451" i="11"/>
  <c r="N451" i="11"/>
  <c r="O451" i="11"/>
  <c r="P451" i="11"/>
  <c r="Q451" i="11"/>
  <c r="R451" i="11"/>
  <c r="D452" i="11"/>
  <c r="E452" i="11"/>
  <c r="F452" i="11"/>
  <c r="G452" i="11"/>
  <c r="H452" i="11"/>
  <c r="I452" i="11"/>
  <c r="J452" i="11"/>
  <c r="K452" i="11"/>
  <c r="L452" i="11"/>
  <c r="M452" i="11"/>
  <c r="N452" i="11"/>
  <c r="O452" i="11"/>
  <c r="P452" i="11"/>
  <c r="Q452" i="11"/>
  <c r="R452" i="11"/>
  <c r="D388" i="11"/>
  <c r="E388" i="11"/>
  <c r="F388" i="11"/>
  <c r="G388" i="11"/>
  <c r="H388" i="11"/>
  <c r="I388" i="11"/>
  <c r="J388" i="11"/>
  <c r="K388" i="11"/>
  <c r="L388" i="11"/>
  <c r="M388" i="11"/>
  <c r="N388" i="11"/>
  <c r="O388" i="11"/>
  <c r="P388" i="11"/>
  <c r="Q388" i="11"/>
  <c r="R388" i="11"/>
  <c r="D389" i="11"/>
  <c r="E389" i="11"/>
  <c r="F389" i="11"/>
  <c r="G389" i="11"/>
  <c r="H389" i="11"/>
  <c r="I389" i="11"/>
  <c r="J389" i="11"/>
  <c r="K389" i="11"/>
  <c r="L389" i="11"/>
  <c r="M389" i="11"/>
  <c r="N389" i="11"/>
  <c r="O389" i="11"/>
  <c r="P389" i="11"/>
  <c r="Q389" i="11"/>
  <c r="R389" i="11"/>
  <c r="D390" i="11"/>
  <c r="E390" i="11"/>
  <c r="F390" i="11"/>
  <c r="G390" i="11"/>
  <c r="H390" i="11"/>
  <c r="I390" i="11"/>
  <c r="J390" i="11"/>
  <c r="K390" i="11"/>
  <c r="L390" i="11"/>
  <c r="M390" i="11"/>
  <c r="N390" i="11"/>
  <c r="O390" i="11"/>
  <c r="P390" i="11"/>
  <c r="Q390" i="11"/>
  <c r="R390" i="11"/>
  <c r="D391" i="11"/>
  <c r="E391" i="11"/>
  <c r="F391" i="11"/>
  <c r="G391" i="11"/>
  <c r="H391" i="11"/>
  <c r="I391" i="11"/>
  <c r="J391" i="11"/>
  <c r="K391" i="11"/>
  <c r="L391" i="11"/>
  <c r="M391" i="11"/>
  <c r="N391" i="11"/>
  <c r="O391" i="11"/>
  <c r="P391" i="11"/>
  <c r="Q391" i="11"/>
  <c r="R391" i="11"/>
  <c r="D392" i="11"/>
  <c r="E392" i="11"/>
  <c r="F392" i="11"/>
  <c r="G392" i="11"/>
  <c r="H392" i="11"/>
  <c r="I392" i="11"/>
  <c r="J392" i="11"/>
  <c r="K392" i="11"/>
  <c r="L392" i="11"/>
  <c r="M392" i="11"/>
  <c r="N392" i="11"/>
  <c r="O392" i="11"/>
  <c r="P392" i="11"/>
  <c r="Q392" i="11"/>
  <c r="R392" i="11"/>
  <c r="D393" i="11"/>
  <c r="E393" i="11"/>
  <c r="F393" i="11"/>
  <c r="G393" i="11"/>
  <c r="H393" i="11"/>
  <c r="I393" i="11"/>
  <c r="J393" i="11"/>
  <c r="K393" i="11"/>
  <c r="L393" i="11"/>
  <c r="M393" i="11"/>
  <c r="N393" i="11"/>
  <c r="O393" i="11"/>
  <c r="P393" i="11"/>
  <c r="Q393" i="11"/>
  <c r="R393" i="11"/>
  <c r="D394" i="11"/>
  <c r="E394" i="11"/>
  <c r="F394" i="11"/>
  <c r="G394" i="11"/>
  <c r="H394" i="11"/>
  <c r="I394" i="11"/>
  <c r="J394" i="11"/>
  <c r="K394" i="11"/>
  <c r="L394" i="11"/>
  <c r="M394" i="11"/>
  <c r="N394" i="11"/>
  <c r="O394" i="11"/>
  <c r="P394" i="11"/>
  <c r="Q394" i="11"/>
  <c r="R394" i="11"/>
  <c r="D395" i="11"/>
  <c r="E395" i="11"/>
  <c r="F395" i="11"/>
  <c r="G395" i="11"/>
  <c r="H395" i="11"/>
  <c r="I395" i="11"/>
  <c r="J395" i="11"/>
  <c r="K395" i="11"/>
  <c r="L395" i="11"/>
  <c r="M395" i="11"/>
  <c r="N395" i="11"/>
  <c r="O395" i="11"/>
  <c r="P395" i="11"/>
  <c r="Q395" i="11"/>
  <c r="R395" i="11"/>
  <c r="D396" i="11"/>
  <c r="E396" i="11"/>
  <c r="F396" i="11"/>
  <c r="G396" i="11"/>
  <c r="H396" i="11"/>
  <c r="I396" i="11"/>
  <c r="J396" i="11"/>
  <c r="K396" i="11"/>
  <c r="L396" i="11"/>
  <c r="M396" i="11"/>
  <c r="N396" i="11"/>
  <c r="O396" i="11"/>
  <c r="P396" i="11"/>
  <c r="Q396" i="11"/>
  <c r="R396" i="11"/>
  <c r="D397" i="11"/>
  <c r="E397" i="11"/>
  <c r="F397" i="11"/>
  <c r="G397" i="11"/>
  <c r="H397" i="11"/>
  <c r="I397" i="11"/>
  <c r="J397" i="11"/>
  <c r="K397" i="11"/>
  <c r="L397" i="11"/>
  <c r="M397" i="11"/>
  <c r="N397" i="11"/>
  <c r="O397" i="11"/>
  <c r="P397" i="11"/>
  <c r="Q397" i="11"/>
  <c r="R397" i="11"/>
  <c r="D398" i="11"/>
  <c r="E398" i="11"/>
  <c r="F398" i="11"/>
  <c r="G398" i="11"/>
  <c r="H398" i="11"/>
  <c r="I398" i="11"/>
  <c r="J398" i="11"/>
  <c r="K398" i="11"/>
  <c r="L398" i="11"/>
  <c r="M398" i="11"/>
  <c r="N398" i="11"/>
  <c r="O398" i="11"/>
  <c r="P398" i="11"/>
  <c r="Q398" i="11"/>
  <c r="R398" i="11"/>
  <c r="D399" i="11"/>
  <c r="E399" i="11"/>
  <c r="F399" i="11"/>
  <c r="G399" i="11"/>
  <c r="H399" i="11"/>
  <c r="I399" i="11"/>
  <c r="J399" i="11"/>
  <c r="K399" i="11"/>
  <c r="L399" i="11"/>
  <c r="M399" i="11"/>
  <c r="N399" i="11"/>
  <c r="O399" i="11"/>
  <c r="P399" i="11"/>
  <c r="Q399" i="11"/>
  <c r="R399" i="11"/>
  <c r="D400" i="11"/>
  <c r="E400" i="11"/>
  <c r="F400" i="11"/>
  <c r="G400" i="11"/>
  <c r="H400" i="11"/>
  <c r="I400" i="11"/>
  <c r="J400" i="11"/>
  <c r="K400" i="11"/>
  <c r="L400" i="11"/>
  <c r="M400" i="11"/>
  <c r="N400" i="11"/>
  <c r="O400" i="11"/>
  <c r="P400" i="11"/>
  <c r="Q400" i="11"/>
  <c r="R400" i="11"/>
  <c r="D401" i="11"/>
  <c r="E401" i="11"/>
  <c r="F401" i="11"/>
  <c r="G401" i="11"/>
  <c r="H401" i="11"/>
  <c r="I401" i="11"/>
  <c r="J401" i="11"/>
  <c r="K401" i="11"/>
  <c r="L401" i="11"/>
  <c r="M401" i="11"/>
  <c r="N401" i="11"/>
  <c r="O401" i="11"/>
  <c r="P401" i="11"/>
  <c r="Q401" i="11"/>
  <c r="R401" i="11"/>
  <c r="D402" i="11"/>
  <c r="E402" i="11"/>
  <c r="F402" i="11"/>
  <c r="G402" i="11"/>
  <c r="H402" i="11"/>
  <c r="I402" i="11"/>
  <c r="J402" i="11"/>
  <c r="K402" i="11"/>
  <c r="L402" i="11"/>
  <c r="M402" i="11"/>
  <c r="N402" i="11"/>
  <c r="O402" i="11"/>
  <c r="P402" i="11"/>
  <c r="Q402" i="11"/>
  <c r="R402" i="11"/>
  <c r="D403" i="11"/>
  <c r="E403" i="11"/>
  <c r="F403" i="11"/>
  <c r="G403" i="11"/>
  <c r="H403" i="11"/>
  <c r="I403" i="11"/>
  <c r="J403" i="11"/>
  <c r="K403" i="11"/>
  <c r="L403" i="11"/>
  <c r="M403" i="11"/>
  <c r="N403" i="11"/>
  <c r="O403" i="11"/>
  <c r="P403" i="11"/>
  <c r="Q403" i="11"/>
  <c r="R403" i="11"/>
  <c r="D404" i="11"/>
  <c r="E404" i="11"/>
  <c r="F404" i="11"/>
  <c r="G404" i="11"/>
  <c r="H404" i="11"/>
  <c r="I404" i="11"/>
  <c r="J404" i="11"/>
  <c r="K404" i="11"/>
  <c r="L404" i="11"/>
  <c r="M404" i="11"/>
  <c r="N404" i="11"/>
  <c r="O404" i="11"/>
  <c r="P404" i="11"/>
  <c r="Q404" i="11"/>
  <c r="R404" i="11"/>
  <c r="D405" i="11"/>
  <c r="E405" i="11"/>
  <c r="F405" i="11"/>
  <c r="G405" i="11"/>
  <c r="H405" i="11"/>
  <c r="I405" i="11"/>
  <c r="J405" i="11"/>
  <c r="K405" i="11"/>
  <c r="L405" i="11"/>
  <c r="M405" i="11"/>
  <c r="N405" i="11"/>
  <c r="O405" i="11"/>
  <c r="P405" i="11"/>
  <c r="Q405" i="11"/>
  <c r="R405" i="11"/>
  <c r="D406" i="11"/>
  <c r="E406" i="11"/>
  <c r="F406" i="11"/>
  <c r="G406" i="11"/>
  <c r="H406" i="11"/>
  <c r="I406" i="11"/>
  <c r="J406" i="11"/>
  <c r="K406" i="11"/>
  <c r="L406" i="11"/>
  <c r="M406" i="11"/>
  <c r="N406" i="11"/>
  <c r="O406" i="11"/>
  <c r="P406" i="11"/>
  <c r="Q406" i="11"/>
  <c r="R406" i="11"/>
  <c r="D407" i="11"/>
  <c r="E407" i="11"/>
  <c r="F407" i="11"/>
  <c r="G407" i="11"/>
  <c r="H407" i="11"/>
  <c r="I407" i="11"/>
  <c r="J407" i="11"/>
  <c r="K407" i="11"/>
  <c r="L407" i="11"/>
  <c r="M407" i="11"/>
  <c r="N407" i="11"/>
  <c r="O407" i="11"/>
  <c r="P407" i="11"/>
  <c r="Q407" i="11"/>
  <c r="R407" i="11"/>
  <c r="D408" i="11"/>
  <c r="E408" i="11"/>
  <c r="F408" i="11"/>
  <c r="G408" i="11"/>
  <c r="H408" i="11"/>
  <c r="I408" i="11"/>
  <c r="J408" i="11"/>
  <c r="K408" i="11"/>
  <c r="L408" i="11"/>
  <c r="M408" i="11"/>
  <c r="N408" i="11"/>
  <c r="O408" i="11"/>
  <c r="P408" i="11"/>
  <c r="Q408" i="11"/>
  <c r="R408" i="11"/>
  <c r="D409" i="11"/>
  <c r="E409" i="11"/>
  <c r="F409" i="11"/>
  <c r="G409" i="11"/>
  <c r="H409" i="11"/>
  <c r="I409" i="11"/>
  <c r="J409" i="11"/>
  <c r="K409" i="11"/>
  <c r="L409" i="11"/>
  <c r="M409" i="11"/>
  <c r="N409" i="11"/>
  <c r="O409" i="11"/>
  <c r="P409" i="11"/>
  <c r="Q409" i="11"/>
  <c r="R409" i="11"/>
  <c r="D410" i="11"/>
  <c r="E410" i="11"/>
  <c r="F410" i="11"/>
  <c r="G410" i="11"/>
  <c r="H410" i="11"/>
  <c r="I410" i="11"/>
  <c r="J410" i="11"/>
  <c r="K410" i="11"/>
  <c r="L410" i="11"/>
  <c r="M410" i="11"/>
  <c r="N410" i="11"/>
  <c r="O410" i="11"/>
  <c r="P410" i="11"/>
  <c r="Q410" i="11"/>
  <c r="R410" i="11"/>
  <c r="D411" i="11"/>
  <c r="E411" i="11"/>
  <c r="F411" i="11"/>
  <c r="G411" i="11"/>
  <c r="H411" i="11"/>
  <c r="I411" i="11"/>
  <c r="J411" i="11"/>
  <c r="K411" i="11"/>
  <c r="L411" i="11"/>
  <c r="M411" i="11"/>
  <c r="N411" i="11"/>
  <c r="O411" i="11"/>
  <c r="P411" i="11"/>
  <c r="Q411" i="11"/>
  <c r="R411" i="11"/>
  <c r="D412" i="11"/>
  <c r="E412" i="11"/>
  <c r="F412" i="11"/>
  <c r="G412" i="11"/>
  <c r="H412" i="11"/>
  <c r="I412" i="11"/>
  <c r="J412" i="11"/>
  <c r="K412" i="11"/>
  <c r="L412" i="11"/>
  <c r="M412" i="11"/>
  <c r="N412" i="11"/>
  <c r="O412" i="11"/>
  <c r="P412" i="11"/>
  <c r="Q412" i="11"/>
  <c r="R412" i="11"/>
  <c r="D413" i="11"/>
  <c r="E413" i="11"/>
  <c r="F413" i="11"/>
  <c r="G413" i="11"/>
  <c r="H413" i="11"/>
  <c r="I413" i="11"/>
  <c r="J413" i="11"/>
  <c r="K413" i="11"/>
  <c r="L413" i="11"/>
  <c r="M413" i="11"/>
  <c r="N413" i="11"/>
  <c r="O413" i="11"/>
  <c r="P413" i="11"/>
  <c r="Q413" i="11"/>
  <c r="R413" i="11"/>
  <c r="D414" i="11"/>
  <c r="E414" i="11"/>
  <c r="F414" i="11"/>
  <c r="G414" i="11"/>
  <c r="H414" i="11"/>
  <c r="I414" i="11"/>
  <c r="J414" i="11"/>
  <c r="K414" i="11"/>
  <c r="L414" i="11"/>
  <c r="M414" i="11"/>
  <c r="N414" i="11"/>
  <c r="O414" i="11"/>
  <c r="P414" i="11"/>
  <c r="Q414" i="11"/>
  <c r="R414" i="11"/>
  <c r="D415" i="11"/>
  <c r="E415" i="11"/>
  <c r="F415" i="11"/>
  <c r="G415" i="11"/>
  <c r="H415" i="11"/>
  <c r="I415" i="11"/>
  <c r="J415" i="11"/>
  <c r="K415" i="11"/>
  <c r="L415" i="11"/>
  <c r="M415" i="11"/>
  <c r="N415" i="11"/>
  <c r="O415" i="11"/>
  <c r="P415" i="11"/>
  <c r="Q415" i="11"/>
  <c r="R415" i="11"/>
  <c r="D416" i="11"/>
  <c r="E416" i="11"/>
  <c r="F416" i="11"/>
  <c r="G416" i="11"/>
  <c r="H416" i="11"/>
  <c r="I416" i="11"/>
  <c r="J416" i="11"/>
  <c r="K416" i="11"/>
  <c r="L416" i="11"/>
  <c r="M416" i="11"/>
  <c r="N416" i="11"/>
  <c r="O416" i="11"/>
  <c r="P416" i="11"/>
  <c r="Q416" i="11"/>
  <c r="R416" i="11"/>
  <c r="D417" i="11"/>
  <c r="E417" i="11"/>
  <c r="F417" i="11"/>
  <c r="G417" i="11"/>
  <c r="H417" i="11"/>
  <c r="I417" i="11"/>
  <c r="J417" i="11"/>
  <c r="K417" i="11"/>
  <c r="L417" i="11"/>
  <c r="M417" i="11"/>
  <c r="N417" i="11"/>
  <c r="O417" i="11"/>
  <c r="P417" i="11"/>
  <c r="Q417" i="11"/>
  <c r="R417" i="11"/>
  <c r="D418" i="11"/>
  <c r="E418" i="11"/>
  <c r="F418" i="11"/>
  <c r="G418" i="11"/>
  <c r="H418" i="11"/>
  <c r="I418" i="11"/>
  <c r="J418" i="11"/>
  <c r="K418" i="11"/>
  <c r="L418" i="11"/>
  <c r="M418" i="11"/>
  <c r="N418" i="11"/>
  <c r="O418" i="11"/>
  <c r="P418" i="11"/>
  <c r="Q418" i="11"/>
  <c r="R418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D311" i="11"/>
  <c r="E311" i="11"/>
  <c r="F311" i="11"/>
  <c r="G311" i="11"/>
  <c r="H311" i="11"/>
  <c r="I311" i="11"/>
  <c r="J311" i="11"/>
  <c r="K311" i="11"/>
  <c r="L311" i="11"/>
  <c r="M311" i="11"/>
  <c r="N311" i="11"/>
  <c r="O311" i="11"/>
  <c r="P311" i="11"/>
  <c r="Q311" i="11"/>
  <c r="R311" i="11"/>
  <c r="D312" i="11"/>
  <c r="E312" i="11"/>
  <c r="F312" i="11"/>
  <c r="G312" i="11"/>
  <c r="H312" i="11"/>
  <c r="I312" i="11"/>
  <c r="J312" i="11"/>
  <c r="K312" i="11"/>
  <c r="L312" i="11"/>
  <c r="M312" i="11"/>
  <c r="N312" i="11"/>
  <c r="O312" i="11"/>
  <c r="P312" i="11"/>
  <c r="Q312" i="11"/>
  <c r="R312" i="11"/>
  <c r="D313" i="11"/>
  <c r="E313" i="11"/>
  <c r="F313" i="11"/>
  <c r="G313" i="11"/>
  <c r="H313" i="11"/>
  <c r="I313" i="11"/>
  <c r="J313" i="11"/>
  <c r="K313" i="11"/>
  <c r="L313" i="11"/>
  <c r="M313" i="11"/>
  <c r="N313" i="11"/>
  <c r="O313" i="11"/>
  <c r="P313" i="11"/>
  <c r="Q313" i="11"/>
  <c r="R313" i="11"/>
  <c r="D314" i="11"/>
  <c r="E314" i="11"/>
  <c r="F314" i="11"/>
  <c r="G314" i="11"/>
  <c r="H314" i="11"/>
  <c r="I314" i="11"/>
  <c r="J314" i="11"/>
  <c r="K314" i="11"/>
  <c r="L314" i="11"/>
  <c r="M314" i="11"/>
  <c r="N314" i="11"/>
  <c r="O314" i="11"/>
  <c r="P314" i="11"/>
  <c r="Q314" i="11"/>
  <c r="R314" i="11"/>
  <c r="D315" i="11"/>
  <c r="E315" i="11"/>
  <c r="F315" i="11"/>
  <c r="G315" i="11"/>
  <c r="H315" i="11"/>
  <c r="I315" i="11"/>
  <c r="J315" i="11"/>
  <c r="K315" i="11"/>
  <c r="L315" i="11"/>
  <c r="M315" i="11"/>
  <c r="N315" i="11"/>
  <c r="O315" i="11"/>
  <c r="P315" i="11"/>
  <c r="Q315" i="11"/>
  <c r="R315" i="11"/>
  <c r="D316" i="11"/>
  <c r="E316" i="11"/>
  <c r="F316" i="11"/>
  <c r="G316" i="11"/>
  <c r="H316" i="11"/>
  <c r="I316" i="11"/>
  <c r="J316" i="11"/>
  <c r="K316" i="11"/>
  <c r="L316" i="11"/>
  <c r="M316" i="11"/>
  <c r="N316" i="11"/>
  <c r="O316" i="11"/>
  <c r="P316" i="11"/>
  <c r="Q316" i="11"/>
  <c r="R316" i="11"/>
  <c r="D317" i="11"/>
  <c r="E317" i="11"/>
  <c r="F317" i="11"/>
  <c r="G317" i="11"/>
  <c r="H317" i="11"/>
  <c r="I317" i="11"/>
  <c r="J317" i="11"/>
  <c r="K317" i="11"/>
  <c r="L317" i="11"/>
  <c r="M317" i="11"/>
  <c r="N317" i="11"/>
  <c r="O317" i="11"/>
  <c r="P317" i="11"/>
  <c r="Q317" i="11"/>
  <c r="R317" i="11"/>
  <c r="D318" i="11"/>
  <c r="E318" i="11"/>
  <c r="F318" i="11"/>
  <c r="G318" i="11"/>
  <c r="H318" i="11"/>
  <c r="I318" i="11"/>
  <c r="J318" i="11"/>
  <c r="K318" i="11"/>
  <c r="L318" i="11"/>
  <c r="M318" i="11"/>
  <c r="N318" i="11"/>
  <c r="O318" i="11"/>
  <c r="P318" i="11"/>
  <c r="Q318" i="11"/>
  <c r="R318" i="11"/>
  <c r="D319" i="11"/>
  <c r="E319" i="11"/>
  <c r="F319" i="11"/>
  <c r="G319" i="11"/>
  <c r="H319" i="11"/>
  <c r="I319" i="11"/>
  <c r="J319" i="11"/>
  <c r="K319" i="11"/>
  <c r="L319" i="11"/>
  <c r="M319" i="11"/>
  <c r="N319" i="11"/>
  <c r="O319" i="11"/>
  <c r="P319" i="11"/>
  <c r="Q319" i="11"/>
  <c r="R319" i="11"/>
  <c r="D320" i="11"/>
  <c r="E320" i="11"/>
  <c r="F320" i="11"/>
  <c r="G320" i="11"/>
  <c r="H320" i="11"/>
  <c r="I320" i="11"/>
  <c r="J320" i="11"/>
  <c r="K320" i="11"/>
  <c r="L320" i="11"/>
  <c r="M320" i="11"/>
  <c r="N320" i="11"/>
  <c r="O320" i="11"/>
  <c r="P320" i="11"/>
  <c r="Q320" i="11"/>
  <c r="R320" i="11"/>
  <c r="D321" i="11"/>
  <c r="E321" i="11"/>
  <c r="F321" i="11"/>
  <c r="G321" i="11"/>
  <c r="H321" i="11"/>
  <c r="I321" i="11"/>
  <c r="J321" i="11"/>
  <c r="K321" i="11"/>
  <c r="L321" i="11"/>
  <c r="M321" i="11"/>
  <c r="N321" i="11"/>
  <c r="O321" i="11"/>
  <c r="P321" i="11"/>
  <c r="Q321" i="11"/>
  <c r="R321" i="11"/>
  <c r="D322" i="11"/>
  <c r="E322" i="11"/>
  <c r="F322" i="11"/>
  <c r="G322" i="11"/>
  <c r="H322" i="11"/>
  <c r="I322" i="11"/>
  <c r="J322" i="11"/>
  <c r="K322" i="11"/>
  <c r="L322" i="11"/>
  <c r="M322" i="11"/>
  <c r="N322" i="11"/>
  <c r="O322" i="11"/>
  <c r="P322" i="11"/>
  <c r="Q322" i="11"/>
  <c r="R322" i="11"/>
  <c r="D323" i="11"/>
  <c r="E323" i="11"/>
  <c r="F323" i="11"/>
  <c r="G323" i="11"/>
  <c r="H323" i="11"/>
  <c r="I323" i="11"/>
  <c r="J323" i="11"/>
  <c r="K323" i="11"/>
  <c r="L323" i="11"/>
  <c r="M323" i="11"/>
  <c r="N323" i="11"/>
  <c r="O323" i="11"/>
  <c r="P323" i="11"/>
  <c r="Q323" i="11"/>
  <c r="R323" i="11"/>
  <c r="D324" i="11"/>
  <c r="E324" i="11"/>
  <c r="F324" i="11"/>
  <c r="G324" i="11"/>
  <c r="H324" i="11"/>
  <c r="I324" i="11"/>
  <c r="J324" i="11"/>
  <c r="K324" i="11"/>
  <c r="L324" i="11"/>
  <c r="M324" i="11"/>
  <c r="N324" i="11"/>
  <c r="O324" i="11"/>
  <c r="P324" i="11"/>
  <c r="Q324" i="11"/>
  <c r="R324" i="11"/>
  <c r="D325" i="11"/>
  <c r="E325" i="11"/>
  <c r="F325" i="11"/>
  <c r="G325" i="11"/>
  <c r="H325" i="11"/>
  <c r="I325" i="11"/>
  <c r="J325" i="11"/>
  <c r="K325" i="11"/>
  <c r="L325" i="11"/>
  <c r="M325" i="11"/>
  <c r="N325" i="11"/>
  <c r="O325" i="11"/>
  <c r="P325" i="11"/>
  <c r="Q325" i="11"/>
  <c r="R325" i="11"/>
  <c r="D326" i="11"/>
  <c r="E326" i="11"/>
  <c r="F326" i="11"/>
  <c r="G326" i="11"/>
  <c r="H326" i="11"/>
  <c r="I326" i="11"/>
  <c r="J326" i="11"/>
  <c r="K326" i="11"/>
  <c r="L326" i="11"/>
  <c r="M326" i="11"/>
  <c r="N326" i="11"/>
  <c r="O326" i="11"/>
  <c r="P326" i="11"/>
  <c r="Q326" i="11"/>
  <c r="R326" i="11"/>
  <c r="D327" i="11"/>
  <c r="E327" i="11"/>
  <c r="F327" i="11"/>
  <c r="G327" i="11"/>
  <c r="H327" i="11"/>
  <c r="I327" i="11"/>
  <c r="J327" i="11"/>
  <c r="K327" i="11"/>
  <c r="L327" i="11"/>
  <c r="M327" i="11"/>
  <c r="N327" i="11"/>
  <c r="O327" i="11"/>
  <c r="P327" i="11"/>
  <c r="Q327" i="11"/>
  <c r="R327" i="11"/>
  <c r="D328" i="11"/>
  <c r="E328" i="11"/>
  <c r="F328" i="11"/>
  <c r="G328" i="11"/>
  <c r="H328" i="11"/>
  <c r="I328" i="11"/>
  <c r="J328" i="11"/>
  <c r="K328" i="11"/>
  <c r="L328" i="11"/>
  <c r="M328" i="11"/>
  <c r="N328" i="11"/>
  <c r="O328" i="11"/>
  <c r="P328" i="11"/>
  <c r="Q328" i="11"/>
  <c r="R328" i="11"/>
  <c r="D329" i="11"/>
  <c r="E329" i="11"/>
  <c r="F329" i="11"/>
  <c r="G329" i="11"/>
  <c r="H329" i="11"/>
  <c r="I329" i="11"/>
  <c r="J329" i="11"/>
  <c r="K329" i="11"/>
  <c r="L329" i="11"/>
  <c r="M329" i="11"/>
  <c r="N329" i="11"/>
  <c r="O329" i="11"/>
  <c r="P329" i="11"/>
  <c r="Q329" i="11"/>
  <c r="R329" i="11"/>
  <c r="D330" i="11"/>
  <c r="E330" i="11"/>
  <c r="F330" i="11"/>
  <c r="G330" i="11"/>
  <c r="H330" i="11"/>
  <c r="I330" i="11"/>
  <c r="J330" i="11"/>
  <c r="K330" i="11"/>
  <c r="L330" i="11"/>
  <c r="M330" i="11"/>
  <c r="N330" i="11"/>
  <c r="O330" i="11"/>
  <c r="P330" i="11"/>
  <c r="Q330" i="11"/>
  <c r="R330" i="11"/>
  <c r="D331" i="11"/>
  <c r="E331" i="11"/>
  <c r="F331" i="11"/>
  <c r="G331" i="11"/>
  <c r="H331" i="11"/>
  <c r="I331" i="11"/>
  <c r="J331" i="11"/>
  <c r="K331" i="11"/>
  <c r="L331" i="11"/>
  <c r="M331" i="11"/>
  <c r="N331" i="11"/>
  <c r="O331" i="11"/>
  <c r="P331" i="11"/>
  <c r="Q331" i="11"/>
  <c r="R331" i="11"/>
  <c r="D332" i="11"/>
  <c r="E332" i="11"/>
  <c r="F332" i="11"/>
  <c r="G332" i="11"/>
  <c r="H332" i="11"/>
  <c r="I332" i="11"/>
  <c r="J332" i="11"/>
  <c r="K332" i="11"/>
  <c r="L332" i="11"/>
  <c r="M332" i="11"/>
  <c r="N332" i="11"/>
  <c r="O332" i="11"/>
  <c r="P332" i="11"/>
  <c r="Q332" i="11"/>
  <c r="R332" i="11"/>
  <c r="D333" i="11"/>
  <c r="E333" i="11"/>
  <c r="F333" i="11"/>
  <c r="G333" i="11"/>
  <c r="H333" i="11"/>
  <c r="I333" i="11"/>
  <c r="J333" i="11"/>
  <c r="K333" i="11"/>
  <c r="L333" i="11"/>
  <c r="M333" i="11"/>
  <c r="N333" i="11"/>
  <c r="O333" i="11"/>
  <c r="P333" i="11"/>
  <c r="Q333" i="11"/>
  <c r="R333" i="11"/>
  <c r="D334" i="11"/>
  <c r="E334" i="11"/>
  <c r="F334" i="11"/>
  <c r="G334" i="11"/>
  <c r="H334" i="11"/>
  <c r="I334" i="11"/>
  <c r="J334" i="11"/>
  <c r="K334" i="11"/>
  <c r="L334" i="11"/>
  <c r="M334" i="11"/>
  <c r="N334" i="11"/>
  <c r="O334" i="11"/>
  <c r="P334" i="11"/>
  <c r="Q334" i="11"/>
  <c r="R334" i="11"/>
  <c r="D335" i="11"/>
  <c r="E335" i="11"/>
  <c r="F335" i="11"/>
  <c r="G335" i="11"/>
  <c r="H335" i="11"/>
  <c r="I335" i="11"/>
  <c r="J335" i="11"/>
  <c r="K335" i="11"/>
  <c r="L335" i="11"/>
  <c r="M335" i="11"/>
  <c r="N335" i="11"/>
  <c r="O335" i="11"/>
  <c r="P335" i="11"/>
  <c r="Q335" i="11"/>
  <c r="R335" i="11"/>
  <c r="D336" i="11"/>
  <c r="E336" i="11"/>
  <c r="F336" i="11"/>
  <c r="G336" i="11"/>
  <c r="H336" i="11"/>
  <c r="I336" i="11"/>
  <c r="J336" i="11"/>
  <c r="K336" i="11"/>
  <c r="L336" i="11"/>
  <c r="M336" i="11"/>
  <c r="N336" i="11"/>
  <c r="O336" i="11"/>
  <c r="P336" i="11"/>
  <c r="Q336" i="11"/>
  <c r="R336" i="11"/>
  <c r="D337" i="11"/>
  <c r="E337" i="11"/>
  <c r="F337" i="11"/>
  <c r="G337" i="11"/>
  <c r="H337" i="11"/>
  <c r="I337" i="11"/>
  <c r="J337" i="11"/>
  <c r="K337" i="11"/>
  <c r="L337" i="11"/>
  <c r="M337" i="11"/>
  <c r="N337" i="11"/>
  <c r="O337" i="11"/>
  <c r="P337" i="11"/>
  <c r="Q337" i="11"/>
  <c r="R337" i="11"/>
  <c r="D338" i="11"/>
  <c r="E338" i="11"/>
  <c r="F338" i="11"/>
  <c r="G338" i="11"/>
  <c r="H338" i="11"/>
  <c r="I338" i="11"/>
  <c r="J338" i="11"/>
  <c r="K338" i="11"/>
  <c r="L338" i="11"/>
  <c r="M338" i="11"/>
  <c r="N338" i="11"/>
  <c r="O338" i="11"/>
  <c r="P338" i="11"/>
  <c r="Q338" i="11"/>
  <c r="R338" i="11"/>
  <c r="D339" i="11"/>
  <c r="E339" i="11"/>
  <c r="F339" i="11"/>
  <c r="G339" i="11"/>
  <c r="H339" i="11"/>
  <c r="I339" i="11"/>
  <c r="J339" i="11"/>
  <c r="K339" i="11"/>
  <c r="L339" i="11"/>
  <c r="M339" i="11"/>
  <c r="N339" i="11"/>
  <c r="O339" i="11"/>
  <c r="P339" i="11"/>
  <c r="Q339" i="11"/>
  <c r="R339" i="11"/>
  <c r="D340" i="11"/>
  <c r="E340" i="11"/>
  <c r="F340" i="11"/>
  <c r="G340" i="11"/>
  <c r="H340" i="11"/>
  <c r="I340" i="11"/>
  <c r="J340" i="11"/>
  <c r="K340" i="11"/>
  <c r="L340" i="11"/>
  <c r="M340" i="11"/>
  <c r="N340" i="11"/>
  <c r="O340" i="11"/>
  <c r="P340" i="11"/>
  <c r="Q340" i="11"/>
  <c r="R340" i="11"/>
  <c r="D341" i="11"/>
  <c r="E341" i="11"/>
  <c r="F341" i="11"/>
  <c r="G341" i="11"/>
  <c r="H341" i="11"/>
  <c r="I341" i="11"/>
  <c r="J341" i="11"/>
  <c r="K341" i="11"/>
  <c r="L341" i="11"/>
  <c r="M341" i="11"/>
  <c r="N341" i="11"/>
  <c r="O341" i="11"/>
  <c r="P341" i="11"/>
  <c r="Q341" i="11"/>
  <c r="R341" i="11"/>
  <c r="D342" i="11"/>
  <c r="E342" i="11"/>
  <c r="F342" i="11"/>
  <c r="G342" i="11"/>
  <c r="H342" i="11"/>
  <c r="I342" i="11"/>
  <c r="J342" i="11"/>
  <c r="K342" i="11"/>
  <c r="L342" i="11"/>
  <c r="M342" i="11"/>
  <c r="N342" i="11"/>
  <c r="O342" i="11"/>
  <c r="P342" i="11"/>
  <c r="Q342" i="11"/>
  <c r="R342" i="11"/>
  <c r="D343" i="11"/>
  <c r="E343" i="11"/>
  <c r="F343" i="11"/>
  <c r="G343" i="11"/>
  <c r="H343" i="11"/>
  <c r="I343" i="11"/>
  <c r="J343" i="11"/>
  <c r="K343" i="11"/>
  <c r="L343" i="11"/>
  <c r="M343" i="11"/>
  <c r="N343" i="11"/>
  <c r="O343" i="11"/>
  <c r="P343" i="11"/>
  <c r="Q343" i="11"/>
  <c r="R343" i="11"/>
  <c r="D344" i="11"/>
  <c r="E344" i="11"/>
  <c r="F344" i="11"/>
  <c r="G344" i="11"/>
  <c r="H344" i="11"/>
  <c r="I344" i="11"/>
  <c r="J344" i="11"/>
  <c r="K344" i="11"/>
  <c r="L344" i="11"/>
  <c r="M344" i="11"/>
  <c r="N344" i="11"/>
  <c r="O344" i="11"/>
  <c r="P344" i="11"/>
  <c r="Q344" i="11"/>
  <c r="R344" i="11"/>
  <c r="D345" i="11"/>
  <c r="E345" i="11"/>
  <c r="F345" i="11"/>
  <c r="G345" i="11"/>
  <c r="H345" i="11"/>
  <c r="I345" i="11"/>
  <c r="J345" i="11"/>
  <c r="K345" i="11"/>
  <c r="L345" i="11"/>
  <c r="M345" i="11"/>
  <c r="N345" i="11"/>
  <c r="O345" i="11"/>
  <c r="P345" i="11"/>
  <c r="Q345" i="11"/>
  <c r="R345" i="11"/>
  <c r="D346" i="11"/>
  <c r="E346" i="11"/>
  <c r="F346" i="11"/>
  <c r="G346" i="11"/>
  <c r="H346" i="11"/>
  <c r="I346" i="11"/>
  <c r="J346" i="11"/>
  <c r="K346" i="11"/>
  <c r="L346" i="11"/>
  <c r="M346" i="11"/>
  <c r="N346" i="11"/>
  <c r="O346" i="11"/>
  <c r="P346" i="11"/>
  <c r="Q346" i="11"/>
  <c r="R346" i="11"/>
  <c r="D347" i="11"/>
  <c r="E347" i="11"/>
  <c r="F347" i="11"/>
  <c r="G347" i="11"/>
  <c r="H347" i="11"/>
  <c r="I347" i="11"/>
  <c r="J347" i="11"/>
  <c r="K347" i="11"/>
  <c r="L347" i="11"/>
  <c r="M347" i="11"/>
  <c r="N347" i="11"/>
  <c r="O347" i="11"/>
  <c r="P347" i="11"/>
  <c r="Q347" i="11"/>
  <c r="R347" i="11"/>
  <c r="D348" i="11"/>
  <c r="E348" i="11"/>
  <c r="F348" i="11"/>
  <c r="G348" i="11"/>
  <c r="H348" i="11"/>
  <c r="I348" i="11"/>
  <c r="J348" i="11"/>
  <c r="K348" i="11"/>
  <c r="L348" i="11"/>
  <c r="M348" i="11"/>
  <c r="N348" i="11"/>
  <c r="O348" i="11"/>
  <c r="P348" i="11"/>
  <c r="Q348" i="11"/>
  <c r="R348" i="11"/>
  <c r="D349" i="11"/>
  <c r="E349" i="11"/>
  <c r="F349" i="11"/>
  <c r="G349" i="11"/>
  <c r="H349" i="11"/>
  <c r="I349" i="11"/>
  <c r="J349" i="11"/>
  <c r="K349" i="11"/>
  <c r="L349" i="11"/>
  <c r="M349" i="11"/>
  <c r="N349" i="11"/>
  <c r="O349" i="11"/>
  <c r="P349" i="11"/>
  <c r="Q349" i="11"/>
  <c r="R349" i="11"/>
  <c r="D350" i="11"/>
  <c r="E350" i="11"/>
  <c r="F350" i="11"/>
  <c r="G350" i="11"/>
  <c r="H350" i="11"/>
  <c r="I350" i="11"/>
  <c r="J350" i="11"/>
  <c r="K350" i="11"/>
  <c r="L350" i="11"/>
  <c r="M350" i="11"/>
  <c r="N350" i="11"/>
  <c r="O350" i="11"/>
  <c r="P350" i="11"/>
  <c r="Q350" i="11"/>
  <c r="R350" i="11"/>
  <c r="D351" i="11"/>
  <c r="E351" i="11"/>
  <c r="F351" i="11"/>
  <c r="G351" i="11"/>
  <c r="H351" i="11"/>
  <c r="I351" i="11"/>
  <c r="J351" i="11"/>
  <c r="K351" i="11"/>
  <c r="L351" i="11"/>
  <c r="M351" i="11"/>
  <c r="N351" i="11"/>
  <c r="O351" i="11"/>
  <c r="P351" i="11"/>
  <c r="Q351" i="11"/>
  <c r="R351" i="11"/>
  <c r="D352" i="11"/>
  <c r="E352" i="11"/>
  <c r="F352" i="11"/>
  <c r="G352" i="11"/>
  <c r="H352" i="11"/>
  <c r="I352" i="11"/>
  <c r="J352" i="11"/>
  <c r="K352" i="11"/>
  <c r="L352" i="11"/>
  <c r="M352" i="11"/>
  <c r="N352" i="11"/>
  <c r="O352" i="11"/>
  <c r="P352" i="11"/>
  <c r="Q352" i="11"/>
  <c r="R352" i="11"/>
  <c r="D353" i="11"/>
  <c r="E353" i="11"/>
  <c r="F353" i="11"/>
  <c r="G353" i="11"/>
  <c r="H353" i="11"/>
  <c r="I353" i="11"/>
  <c r="J353" i="11"/>
  <c r="K353" i="11"/>
  <c r="L353" i="11"/>
  <c r="M353" i="11"/>
  <c r="N353" i="11"/>
  <c r="O353" i="11"/>
  <c r="P353" i="11"/>
  <c r="Q353" i="11"/>
  <c r="R353" i="11"/>
  <c r="D354" i="11"/>
  <c r="E354" i="11"/>
  <c r="F354" i="11"/>
  <c r="G354" i="11"/>
  <c r="H354" i="11"/>
  <c r="I354" i="11"/>
  <c r="J354" i="11"/>
  <c r="K354" i="11"/>
  <c r="L354" i="11"/>
  <c r="M354" i="11"/>
  <c r="N354" i="11"/>
  <c r="O354" i="11"/>
  <c r="P354" i="11"/>
  <c r="Q354" i="11"/>
  <c r="R354" i="11"/>
  <c r="D355" i="11"/>
  <c r="E355" i="11"/>
  <c r="F355" i="11"/>
  <c r="G355" i="11"/>
  <c r="H355" i="11"/>
  <c r="I355" i="11"/>
  <c r="J355" i="11"/>
  <c r="K355" i="11"/>
  <c r="L355" i="11"/>
  <c r="M355" i="11"/>
  <c r="N355" i="11"/>
  <c r="O355" i="11"/>
  <c r="P355" i="11"/>
  <c r="Q355" i="11"/>
  <c r="R355" i="11"/>
  <c r="D356" i="11"/>
  <c r="E356" i="11"/>
  <c r="F356" i="11"/>
  <c r="G356" i="11"/>
  <c r="H356" i="11"/>
  <c r="I356" i="11"/>
  <c r="J356" i="11"/>
  <c r="K356" i="11"/>
  <c r="L356" i="11"/>
  <c r="M356" i="11"/>
  <c r="N356" i="11"/>
  <c r="O356" i="11"/>
  <c r="P356" i="11"/>
  <c r="Q356" i="11"/>
  <c r="R356" i="11"/>
  <c r="D357" i="11"/>
  <c r="E357" i="11"/>
  <c r="F357" i="11"/>
  <c r="G357" i="11"/>
  <c r="H357" i="11"/>
  <c r="I357" i="11"/>
  <c r="J357" i="11"/>
  <c r="K357" i="11"/>
  <c r="L357" i="11"/>
  <c r="M357" i="11"/>
  <c r="N357" i="11"/>
  <c r="O357" i="11"/>
  <c r="P357" i="11"/>
  <c r="Q357" i="11"/>
  <c r="R357" i="11"/>
  <c r="D358" i="11"/>
  <c r="E358" i="11"/>
  <c r="F358" i="11"/>
  <c r="G358" i="11"/>
  <c r="H358" i="11"/>
  <c r="I358" i="11"/>
  <c r="J358" i="11"/>
  <c r="K358" i="11"/>
  <c r="L358" i="11"/>
  <c r="M358" i="11"/>
  <c r="N358" i="11"/>
  <c r="O358" i="11"/>
  <c r="P358" i="11"/>
  <c r="Q358" i="11"/>
  <c r="R358" i="11"/>
  <c r="D359" i="11"/>
  <c r="E359" i="11"/>
  <c r="F359" i="11"/>
  <c r="G359" i="11"/>
  <c r="H359" i="11"/>
  <c r="I359" i="11"/>
  <c r="J359" i="11"/>
  <c r="K359" i="11"/>
  <c r="L359" i="11"/>
  <c r="M359" i="11"/>
  <c r="N359" i="11"/>
  <c r="O359" i="11"/>
  <c r="P359" i="11"/>
  <c r="Q359" i="11"/>
  <c r="R359" i="11"/>
  <c r="D360" i="11"/>
  <c r="E360" i="11"/>
  <c r="F360" i="11"/>
  <c r="G360" i="11"/>
  <c r="H360" i="11"/>
  <c r="I360" i="11"/>
  <c r="J360" i="11"/>
  <c r="K360" i="11"/>
  <c r="L360" i="11"/>
  <c r="M360" i="11"/>
  <c r="N360" i="11"/>
  <c r="O360" i="11"/>
  <c r="P360" i="11"/>
  <c r="Q360" i="11"/>
  <c r="R360" i="11"/>
  <c r="D361" i="11"/>
  <c r="E361" i="11"/>
  <c r="F361" i="11"/>
  <c r="G361" i="11"/>
  <c r="H361" i="11"/>
  <c r="I361" i="11"/>
  <c r="J361" i="11"/>
  <c r="K361" i="11"/>
  <c r="L361" i="11"/>
  <c r="M361" i="11"/>
  <c r="N361" i="11"/>
  <c r="O361" i="11"/>
  <c r="P361" i="11"/>
  <c r="Q361" i="11"/>
  <c r="R361" i="11"/>
  <c r="D362" i="11"/>
  <c r="E362" i="11"/>
  <c r="F362" i="11"/>
  <c r="G362" i="11"/>
  <c r="H362" i="11"/>
  <c r="I362" i="11"/>
  <c r="J362" i="11"/>
  <c r="K362" i="11"/>
  <c r="L362" i="11"/>
  <c r="M362" i="11"/>
  <c r="N362" i="11"/>
  <c r="O362" i="11"/>
  <c r="P362" i="11"/>
  <c r="Q362" i="11"/>
  <c r="R362" i="11"/>
  <c r="D363" i="11"/>
  <c r="E363" i="11"/>
  <c r="F363" i="11"/>
  <c r="G363" i="11"/>
  <c r="H363" i="11"/>
  <c r="I363" i="11"/>
  <c r="J363" i="11"/>
  <c r="K363" i="11"/>
  <c r="L363" i="11"/>
  <c r="M363" i="11"/>
  <c r="N363" i="11"/>
  <c r="O363" i="11"/>
  <c r="P363" i="11"/>
  <c r="Q363" i="11"/>
  <c r="R363" i="11"/>
  <c r="D364" i="11"/>
  <c r="E364" i="11"/>
  <c r="F364" i="11"/>
  <c r="G364" i="11"/>
  <c r="H364" i="11"/>
  <c r="I364" i="11"/>
  <c r="J364" i="11"/>
  <c r="K364" i="11"/>
  <c r="L364" i="11"/>
  <c r="M364" i="11"/>
  <c r="N364" i="11"/>
  <c r="O364" i="11"/>
  <c r="P364" i="11"/>
  <c r="Q364" i="11"/>
  <c r="R364" i="11"/>
  <c r="D365" i="11"/>
  <c r="E365" i="11"/>
  <c r="F365" i="11"/>
  <c r="G365" i="11"/>
  <c r="H365" i="11"/>
  <c r="I365" i="11"/>
  <c r="J365" i="11"/>
  <c r="K365" i="11"/>
  <c r="L365" i="11"/>
  <c r="M365" i="11"/>
  <c r="N365" i="11"/>
  <c r="O365" i="11"/>
  <c r="P365" i="11"/>
  <c r="Q365" i="11"/>
  <c r="R365" i="11"/>
  <c r="D366" i="11"/>
  <c r="E366" i="11"/>
  <c r="F366" i="11"/>
  <c r="G366" i="11"/>
  <c r="H366" i="11"/>
  <c r="I366" i="11"/>
  <c r="J366" i="11"/>
  <c r="K366" i="11"/>
  <c r="L366" i="11"/>
  <c r="M366" i="11"/>
  <c r="N366" i="11"/>
  <c r="O366" i="11"/>
  <c r="P366" i="11"/>
  <c r="Q366" i="11"/>
  <c r="R366" i="11"/>
  <c r="D367" i="11"/>
  <c r="E367" i="11"/>
  <c r="F367" i="11"/>
  <c r="G367" i="11"/>
  <c r="H367" i="11"/>
  <c r="I367" i="11"/>
  <c r="J367" i="11"/>
  <c r="K367" i="11"/>
  <c r="L367" i="11"/>
  <c r="M367" i="11"/>
  <c r="N367" i="11"/>
  <c r="O367" i="11"/>
  <c r="P367" i="11"/>
  <c r="Q367" i="11"/>
  <c r="R367" i="11"/>
  <c r="D368" i="11"/>
  <c r="E368" i="11"/>
  <c r="F368" i="11"/>
  <c r="G368" i="11"/>
  <c r="H368" i="11"/>
  <c r="I368" i="11"/>
  <c r="J368" i="11"/>
  <c r="K368" i="11"/>
  <c r="L368" i="11"/>
  <c r="M368" i="11"/>
  <c r="N368" i="11"/>
  <c r="O368" i="11"/>
  <c r="P368" i="11"/>
  <c r="Q368" i="11"/>
  <c r="R368" i="11"/>
  <c r="D369" i="11"/>
  <c r="E369" i="11"/>
  <c r="F369" i="11"/>
  <c r="G369" i="11"/>
  <c r="H369" i="11"/>
  <c r="I369" i="11"/>
  <c r="J369" i="11"/>
  <c r="K369" i="11"/>
  <c r="L369" i="11"/>
  <c r="M369" i="11"/>
  <c r="N369" i="11"/>
  <c r="O369" i="11"/>
  <c r="P369" i="11"/>
  <c r="Q369" i="11"/>
  <c r="R369" i="11"/>
  <c r="D370" i="11"/>
  <c r="E370" i="11"/>
  <c r="F370" i="11"/>
  <c r="G370" i="11"/>
  <c r="H370" i="11"/>
  <c r="I370" i="11"/>
  <c r="J370" i="11"/>
  <c r="K370" i="11"/>
  <c r="L370" i="11"/>
  <c r="M370" i="11"/>
  <c r="N370" i="11"/>
  <c r="O370" i="11"/>
  <c r="P370" i="11"/>
  <c r="Q370" i="11"/>
  <c r="R370" i="11"/>
  <c r="D371" i="11"/>
  <c r="E371" i="11"/>
  <c r="F371" i="11"/>
  <c r="G371" i="11"/>
  <c r="H371" i="11"/>
  <c r="I371" i="11"/>
  <c r="J371" i="11"/>
  <c r="K371" i="11"/>
  <c r="L371" i="11"/>
  <c r="M371" i="11"/>
  <c r="N371" i="11"/>
  <c r="O371" i="11"/>
  <c r="P371" i="11"/>
  <c r="Q371" i="11"/>
  <c r="R371" i="11"/>
  <c r="D372" i="11"/>
  <c r="E372" i="11"/>
  <c r="F372" i="11"/>
  <c r="G372" i="11"/>
  <c r="H372" i="11"/>
  <c r="I372" i="11"/>
  <c r="J372" i="11"/>
  <c r="K372" i="11"/>
  <c r="L372" i="11"/>
  <c r="M372" i="11"/>
  <c r="N372" i="11"/>
  <c r="O372" i="11"/>
  <c r="P372" i="11"/>
  <c r="Q372" i="11"/>
  <c r="R372" i="11"/>
  <c r="D373" i="11"/>
  <c r="E373" i="11"/>
  <c r="F373" i="11"/>
  <c r="G373" i="11"/>
  <c r="H373" i="11"/>
  <c r="I373" i="11"/>
  <c r="J373" i="11"/>
  <c r="K373" i="11"/>
  <c r="L373" i="11"/>
  <c r="M373" i="11"/>
  <c r="N373" i="11"/>
  <c r="O373" i="11"/>
  <c r="P373" i="11"/>
  <c r="Q373" i="11"/>
  <c r="R373" i="11"/>
  <c r="D374" i="11"/>
  <c r="E374" i="11"/>
  <c r="F374" i="11"/>
  <c r="G374" i="11"/>
  <c r="H374" i="11"/>
  <c r="I374" i="11"/>
  <c r="J374" i="11"/>
  <c r="K374" i="11"/>
  <c r="L374" i="11"/>
  <c r="M374" i="11"/>
  <c r="N374" i="11"/>
  <c r="O374" i="11"/>
  <c r="P374" i="11"/>
  <c r="Q374" i="11"/>
  <c r="R374" i="11"/>
  <c r="D375" i="11"/>
  <c r="E375" i="11"/>
  <c r="F375" i="11"/>
  <c r="G375" i="11"/>
  <c r="H375" i="11"/>
  <c r="I375" i="11"/>
  <c r="J375" i="11"/>
  <c r="K375" i="11"/>
  <c r="L375" i="11"/>
  <c r="M375" i="11"/>
  <c r="N375" i="11"/>
  <c r="O375" i="11"/>
  <c r="P375" i="11"/>
  <c r="Q375" i="11"/>
  <c r="R375" i="11"/>
  <c r="D376" i="11"/>
  <c r="E376" i="11"/>
  <c r="F376" i="11"/>
  <c r="G376" i="11"/>
  <c r="H376" i="11"/>
  <c r="I376" i="11"/>
  <c r="J376" i="11"/>
  <c r="K376" i="11"/>
  <c r="L376" i="11"/>
  <c r="M376" i="11"/>
  <c r="N376" i="11"/>
  <c r="O376" i="11"/>
  <c r="P376" i="11"/>
  <c r="Q376" i="11"/>
  <c r="R376" i="11"/>
  <c r="D377" i="11"/>
  <c r="E377" i="11"/>
  <c r="F377" i="11"/>
  <c r="G377" i="11"/>
  <c r="H377" i="11"/>
  <c r="I377" i="11"/>
  <c r="J377" i="11"/>
  <c r="K377" i="11"/>
  <c r="L377" i="11"/>
  <c r="M377" i="11"/>
  <c r="N377" i="11"/>
  <c r="O377" i="11"/>
  <c r="P377" i="11"/>
  <c r="Q377" i="11"/>
  <c r="R377" i="11"/>
  <c r="D378" i="11"/>
  <c r="E378" i="11"/>
  <c r="F378" i="11"/>
  <c r="G378" i="11"/>
  <c r="H378" i="11"/>
  <c r="I378" i="11"/>
  <c r="J378" i="11"/>
  <c r="K378" i="11"/>
  <c r="L378" i="11"/>
  <c r="M378" i="11"/>
  <c r="N378" i="11"/>
  <c r="O378" i="11"/>
  <c r="P378" i="11"/>
  <c r="Q378" i="11"/>
  <c r="R378" i="11"/>
  <c r="D379" i="11"/>
  <c r="E379" i="11"/>
  <c r="F379" i="11"/>
  <c r="G379" i="11"/>
  <c r="H379" i="11"/>
  <c r="I379" i="11"/>
  <c r="J379" i="11"/>
  <c r="K379" i="11"/>
  <c r="L379" i="11"/>
  <c r="M379" i="11"/>
  <c r="N379" i="11"/>
  <c r="O379" i="11"/>
  <c r="P379" i="11"/>
  <c r="Q379" i="11"/>
  <c r="R379" i="11"/>
  <c r="D380" i="11"/>
  <c r="E380" i="11"/>
  <c r="F380" i="11"/>
  <c r="G380" i="11"/>
  <c r="H380" i="11"/>
  <c r="I380" i="11"/>
  <c r="J380" i="11"/>
  <c r="K380" i="11"/>
  <c r="L380" i="11"/>
  <c r="M380" i="11"/>
  <c r="N380" i="11"/>
  <c r="O380" i="11"/>
  <c r="P380" i="11"/>
  <c r="Q380" i="11"/>
  <c r="R380" i="11"/>
  <c r="D381" i="11"/>
  <c r="E381" i="11"/>
  <c r="F381" i="11"/>
  <c r="G381" i="11"/>
  <c r="H381" i="11"/>
  <c r="I381" i="11"/>
  <c r="J381" i="11"/>
  <c r="K381" i="11"/>
  <c r="L381" i="11"/>
  <c r="M381" i="11"/>
  <c r="N381" i="11"/>
  <c r="O381" i="11"/>
  <c r="P381" i="11"/>
  <c r="Q381" i="11"/>
  <c r="R381" i="11"/>
  <c r="D382" i="11"/>
  <c r="E382" i="11"/>
  <c r="F382" i="11"/>
  <c r="G382" i="11"/>
  <c r="H382" i="11"/>
  <c r="I382" i="11"/>
  <c r="J382" i="11"/>
  <c r="K382" i="11"/>
  <c r="L382" i="11"/>
  <c r="M382" i="11"/>
  <c r="N382" i="11"/>
  <c r="O382" i="11"/>
  <c r="P382" i="11"/>
  <c r="Q382" i="11"/>
  <c r="R382" i="11"/>
  <c r="D383" i="11"/>
  <c r="E383" i="11"/>
  <c r="F383" i="11"/>
  <c r="G383" i="11"/>
  <c r="H383" i="11"/>
  <c r="I383" i="11"/>
  <c r="J383" i="11"/>
  <c r="K383" i="11"/>
  <c r="L383" i="11"/>
  <c r="M383" i="11"/>
  <c r="N383" i="11"/>
  <c r="O383" i="11"/>
  <c r="P383" i="11"/>
  <c r="Q383" i="11"/>
  <c r="R383" i="11"/>
  <c r="D384" i="11"/>
  <c r="E384" i="11"/>
  <c r="F384" i="11"/>
  <c r="G384" i="11"/>
  <c r="H384" i="11"/>
  <c r="I384" i="11"/>
  <c r="J384" i="11"/>
  <c r="K384" i="11"/>
  <c r="L384" i="11"/>
  <c r="M384" i="11"/>
  <c r="N384" i="11"/>
  <c r="O384" i="11"/>
  <c r="P384" i="11"/>
  <c r="Q384" i="11"/>
  <c r="R384" i="11"/>
  <c r="D385" i="11"/>
  <c r="E385" i="11"/>
  <c r="F385" i="11"/>
  <c r="G385" i="11"/>
  <c r="H385" i="11"/>
  <c r="I385" i="11"/>
  <c r="J385" i="11"/>
  <c r="K385" i="11"/>
  <c r="L385" i="11"/>
  <c r="M385" i="11"/>
  <c r="N385" i="11"/>
  <c r="O385" i="11"/>
  <c r="P385" i="11"/>
  <c r="Q385" i="11"/>
  <c r="R385" i="11"/>
  <c r="D386" i="11"/>
  <c r="E386" i="11"/>
  <c r="F386" i="11"/>
  <c r="G386" i="11"/>
  <c r="H386" i="11"/>
  <c r="I386" i="11"/>
  <c r="J386" i="11"/>
  <c r="K386" i="11"/>
  <c r="L386" i="11"/>
  <c r="M386" i="11"/>
  <c r="N386" i="11"/>
  <c r="O386" i="11"/>
  <c r="P386" i="11"/>
  <c r="Q386" i="11"/>
  <c r="R386" i="11"/>
  <c r="D387" i="11"/>
  <c r="E387" i="11"/>
  <c r="F387" i="11"/>
  <c r="G387" i="11"/>
  <c r="H387" i="11"/>
  <c r="I387" i="11"/>
  <c r="J387" i="11"/>
  <c r="K387" i="11"/>
  <c r="L387" i="11"/>
  <c r="M387" i="11"/>
  <c r="N387" i="11"/>
  <c r="O387" i="11"/>
  <c r="P387" i="11"/>
  <c r="Q387" i="11"/>
  <c r="R387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N135" i="3"/>
  <c r="H787" i="10"/>
  <c r="I787" i="11" s="1"/>
  <c r="H786" i="10"/>
  <c r="I786" i="11" s="1"/>
  <c r="H785" i="10"/>
  <c r="I785" i="11" s="1"/>
  <c r="H784" i="10"/>
  <c r="I784" i="11" s="1"/>
  <c r="H783" i="10"/>
  <c r="I783" i="11" s="1"/>
  <c r="H782" i="10"/>
  <c r="I782" i="11" s="1"/>
  <c r="H781" i="10"/>
  <c r="I781" i="11" s="1"/>
  <c r="H780" i="10"/>
  <c r="I780" i="11" s="1"/>
  <c r="H779" i="10"/>
  <c r="I779" i="11" s="1"/>
  <c r="H778" i="10"/>
  <c r="I778" i="11" s="1"/>
  <c r="H777" i="10"/>
  <c r="I777" i="11" s="1"/>
  <c r="H776" i="10"/>
  <c r="I776" i="11" s="1"/>
  <c r="H775" i="10"/>
  <c r="I775" i="11" s="1"/>
  <c r="H774" i="10"/>
  <c r="I774" i="11" s="1"/>
  <c r="H773" i="10"/>
  <c r="I773" i="11" s="1"/>
  <c r="H772" i="10"/>
  <c r="I772" i="11" s="1"/>
  <c r="H771" i="10"/>
  <c r="I771" i="11" s="1"/>
  <c r="H770" i="10"/>
  <c r="I770" i="11" s="1"/>
  <c r="H769" i="10"/>
  <c r="I769" i="11" s="1"/>
  <c r="H768" i="10"/>
  <c r="I768" i="11" s="1"/>
  <c r="H767" i="10"/>
  <c r="I767" i="11" s="1"/>
  <c r="H766" i="10"/>
  <c r="I766" i="11" s="1"/>
  <c r="H765" i="10"/>
  <c r="I765" i="11" s="1"/>
  <c r="H764" i="10"/>
  <c r="I764" i="11" s="1"/>
  <c r="H763" i="10"/>
  <c r="I763" i="11" s="1"/>
  <c r="H762" i="10"/>
  <c r="I762" i="11" s="1"/>
  <c r="H761" i="10"/>
  <c r="I761" i="11" s="1"/>
  <c r="H760" i="10"/>
  <c r="I760" i="11" s="1"/>
  <c r="H759" i="10"/>
  <c r="I759" i="11" s="1"/>
  <c r="H758" i="10"/>
  <c r="I758" i="11" s="1"/>
  <c r="H757" i="10"/>
  <c r="I757" i="11" s="1"/>
  <c r="H756" i="10"/>
  <c r="I756" i="11" s="1"/>
  <c r="H755" i="10"/>
  <c r="I755" i="11" s="1"/>
  <c r="H754" i="10"/>
  <c r="I754" i="11" s="1"/>
  <c r="H753" i="10"/>
  <c r="I753" i="11" s="1"/>
  <c r="H752" i="10"/>
  <c r="I752" i="11" s="1"/>
  <c r="H751" i="10"/>
  <c r="I751" i="11" s="1"/>
  <c r="H750" i="10"/>
  <c r="I750" i="11" s="1"/>
  <c r="H749" i="10"/>
  <c r="I749" i="11" s="1"/>
  <c r="H748" i="10"/>
  <c r="I748" i="11" s="1"/>
  <c r="H747" i="10"/>
  <c r="I747" i="11" s="1"/>
  <c r="H746" i="10"/>
  <c r="I746" i="11" s="1"/>
  <c r="H745" i="10"/>
  <c r="I745" i="11" s="1"/>
  <c r="H744" i="10"/>
  <c r="I744" i="11" s="1"/>
  <c r="H743" i="10"/>
  <c r="I743" i="11" s="1"/>
  <c r="H742" i="10"/>
  <c r="I742" i="11" s="1"/>
  <c r="H741" i="10"/>
  <c r="I741" i="11" s="1"/>
  <c r="H740" i="10"/>
  <c r="I740" i="11" s="1"/>
  <c r="H739" i="10"/>
  <c r="I739" i="11" s="1"/>
  <c r="H738" i="10"/>
  <c r="I738" i="11" s="1"/>
  <c r="H737" i="10"/>
  <c r="I737" i="11" s="1"/>
  <c r="H736" i="10"/>
  <c r="I736" i="11" s="1"/>
  <c r="H735" i="10"/>
  <c r="I735" i="11" s="1"/>
  <c r="H734" i="10"/>
  <c r="I734" i="11" s="1"/>
  <c r="H733" i="10"/>
  <c r="I733" i="11" s="1"/>
  <c r="H732" i="10"/>
  <c r="I732" i="11" s="1"/>
  <c r="H731" i="10"/>
  <c r="I731" i="11" s="1"/>
  <c r="H730" i="10"/>
  <c r="I730" i="11" s="1"/>
  <c r="H729" i="10"/>
  <c r="I729" i="11" s="1"/>
  <c r="H728" i="10"/>
  <c r="I728" i="11" s="1"/>
  <c r="H725" i="10"/>
  <c r="I725" i="11" s="1"/>
  <c r="H724" i="10"/>
  <c r="I724" i="11" s="1"/>
  <c r="H723" i="10"/>
  <c r="I723" i="11" s="1"/>
  <c r="H722" i="10"/>
  <c r="I722" i="11" s="1"/>
  <c r="H721" i="10"/>
  <c r="I721" i="11" s="1"/>
  <c r="H720" i="10"/>
  <c r="I720" i="11" s="1"/>
  <c r="H719" i="10"/>
  <c r="I719" i="11" s="1"/>
  <c r="H718" i="10"/>
  <c r="I718" i="11" s="1"/>
  <c r="H717" i="10"/>
  <c r="I717" i="11" s="1"/>
  <c r="H716" i="10"/>
  <c r="I716" i="11" s="1"/>
  <c r="H715" i="10"/>
  <c r="I715" i="11" s="1"/>
  <c r="H714" i="10"/>
  <c r="I714" i="11" s="1"/>
  <c r="H713" i="10"/>
  <c r="I713" i="11" s="1"/>
  <c r="H712" i="10"/>
  <c r="I712" i="11" s="1"/>
  <c r="H711" i="10"/>
  <c r="I711" i="11" s="1"/>
  <c r="H710" i="10"/>
  <c r="I710" i="11" s="1"/>
  <c r="H709" i="10"/>
  <c r="I709" i="11" s="1"/>
  <c r="H708" i="10"/>
  <c r="I708" i="11" s="1"/>
  <c r="H707" i="10"/>
  <c r="I707" i="11" s="1"/>
  <c r="H706" i="10"/>
  <c r="I706" i="11" s="1"/>
  <c r="H705" i="10"/>
  <c r="I705" i="11" s="1"/>
  <c r="H704" i="10"/>
  <c r="I704" i="11" s="1"/>
  <c r="H703" i="10"/>
  <c r="I703" i="11" s="1"/>
  <c r="H702" i="10"/>
  <c r="I702" i="11" s="1"/>
  <c r="H701" i="10"/>
  <c r="I701" i="11" s="1"/>
  <c r="H700" i="10"/>
  <c r="I700" i="11" s="1"/>
  <c r="H699" i="10"/>
  <c r="I699" i="11" s="1"/>
  <c r="H698" i="10"/>
  <c r="I698" i="11" s="1"/>
  <c r="H697" i="10"/>
  <c r="I697" i="11" s="1"/>
  <c r="H696" i="10"/>
  <c r="I696" i="11" s="1"/>
  <c r="H695" i="10"/>
  <c r="I695" i="11" s="1"/>
  <c r="H694" i="10"/>
  <c r="I694" i="11" s="1"/>
  <c r="H693" i="10"/>
  <c r="I693" i="11" s="1"/>
  <c r="H692" i="10"/>
  <c r="I692" i="11" s="1"/>
  <c r="H691" i="10"/>
  <c r="I691" i="11" s="1"/>
  <c r="H690" i="10"/>
  <c r="I690" i="11" s="1"/>
  <c r="H689" i="10"/>
  <c r="I689" i="11" s="1"/>
  <c r="H688" i="10"/>
  <c r="I688" i="11" s="1"/>
  <c r="H687" i="10"/>
  <c r="I687" i="11" s="1"/>
  <c r="H686" i="10"/>
  <c r="I686" i="11" s="1"/>
  <c r="H685" i="10"/>
  <c r="I685" i="11" s="1"/>
  <c r="H684" i="10"/>
  <c r="I684" i="11" s="1"/>
  <c r="H683" i="10"/>
  <c r="I683" i="11" s="1"/>
  <c r="H682" i="10"/>
  <c r="I682" i="11" s="1"/>
  <c r="H681" i="10"/>
  <c r="I681" i="11" s="1"/>
  <c r="H680" i="10"/>
  <c r="I680" i="11" s="1"/>
  <c r="H679" i="10"/>
  <c r="I679" i="11" s="1"/>
  <c r="H678" i="10"/>
  <c r="I678" i="11" s="1"/>
  <c r="H677" i="10"/>
  <c r="I677" i="11" s="1"/>
  <c r="H676" i="10"/>
  <c r="I676" i="11" s="1"/>
  <c r="H675" i="10"/>
  <c r="I675" i="11" s="1"/>
  <c r="H674" i="10"/>
  <c r="I674" i="11" s="1"/>
  <c r="H673" i="10"/>
  <c r="I673" i="11" s="1"/>
  <c r="H672" i="10"/>
  <c r="I672" i="11" s="1"/>
  <c r="H671" i="10"/>
  <c r="I671" i="11" s="1"/>
  <c r="H670" i="10"/>
  <c r="I670" i="11" s="1"/>
  <c r="H669" i="10"/>
  <c r="I669" i="11" s="1"/>
  <c r="H668" i="10"/>
  <c r="I668" i="11" s="1"/>
  <c r="H667" i="10"/>
  <c r="I667" i="11" s="1"/>
  <c r="H666" i="10"/>
  <c r="I666" i="11" s="1"/>
  <c r="AS1049" i="10" l="1"/>
  <c r="AR1049" i="32"/>
  <c r="AT1049" i="32"/>
  <c r="AQ1049" i="32"/>
  <c r="AU1049" i="32"/>
  <c r="AV1049" i="32"/>
  <c r="AS1049" i="32"/>
  <c r="V147" i="29"/>
  <c r="T147" i="29"/>
  <c r="V153" i="29"/>
  <c r="T153" i="29"/>
  <c r="T145" i="29"/>
  <c r="V144" i="29"/>
  <c r="T144" i="29"/>
  <c r="V145" i="29"/>
  <c r="S145" i="29"/>
  <c r="W144" i="29"/>
  <c r="AT1083" i="10"/>
  <c r="S158" i="24"/>
  <c r="Y158" i="12" s="1"/>
  <c r="AV1080" i="10"/>
  <c r="T158" i="24"/>
  <c r="Z158" i="12" s="1"/>
  <c r="AS1080" i="10"/>
  <c r="AR1077" i="10"/>
  <c r="AR1080" i="10"/>
  <c r="AU1080" i="10"/>
  <c r="AV1077" i="10"/>
  <c r="AU1077" i="10"/>
  <c r="AS1077" i="10"/>
  <c r="AQ1080" i="10"/>
  <c r="AT1077" i="10"/>
  <c r="V158" i="24"/>
  <c r="AB158" i="12" s="1"/>
  <c r="S144" i="24"/>
  <c r="Y144" i="12" s="1"/>
  <c r="T144" i="24"/>
  <c r="Z144" i="12" s="1"/>
  <c r="V144" i="24"/>
  <c r="AB144" i="12" s="1"/>
  <c r="W144" i="24"/>
  <c r="AC144" i="12" s="1"/>
  <c r="AR1081" i="10"/>
  <c r="AR1084" i="10"/>
  <c r="AV1081" i="10"/>
  <c r="AV1084" i="10"/>
  <c r="AU1081" i="10"/>
  <c r="AU1084" i="10"/>
  <c r="AS1082" i="32"/>
  <c r="AQ1082" i="32"/>
  <c r="AR1082" i="32"/>
  <c r="AU1082" i="32"/>
  <c r="AV1082" i="32"/>
  <c r="AT1082" i="32"/>
  <c r="AS1083" i="10"/>
  <c r="AS1076" i="32"/>
  <c r="AU1076" i="32"/>
  <c r="AV1076" i="32"/>
  <c r="AQ1076" i="32"/>
  <c r="AR1076" i="32"/>
  <c r="AT1076" i="32"/>
  <c r="AQ1081" i="32"/>
  <c r="AU1081" i="32"/>
  <c r="AV1081" i="32"/>
  <c r="AR1081" i="32"/>
  <c r="AS1081" i="32"/>
  <c r="AT1081" i="32"/>
  <c r="AU1084" i="32"/>
  <c r="AS1084" i="32"/>
  <c r="AV1084" i="32"/>
  <c r="AR1084" i="32"/>
  <c r="AQ1084" i="32"/>
  <c r="AT1084" i="32"/>
  <c r="AQ1084" i="10"/>
  <c r="AS1079" i="32"/>
  <c r="AU1079" i="32"/>
  <c r="AQ1079" i="32"/>
  <c r="AR1079" i="32"/>
  <c r="AV1079" i="32"/>
  <c r="AT1079" i="32"/>
  <c r="AV1079" i="10"/>
  <c r="AS1081" i="10"/>
  <c r="AR1082" i="10"/>
  <c r="AS1076" i="10"/>
  <c r="AQ1078" i="32"/>
  <c r="AR1078" i="32"/>
  <c r="AS1078" i="32"/>
  <c r="AV1078" i="32"/>
  <c r="AU1078" i="32"/>
  <c r="AT1078" i="32"/>
  <c r="AU1079" i="10"/>
  <c r="AQ1081" i="10"/>
  <c r="AQ1082" i="10"/>
  <c r="AV1078" i="10"/>
  <c r="AR1076" i="10"/>
  <c r="AT1079" i="10"/>
  <c r="AV1082" i="10"/>
  <c r="AU1078" i="10"/>
  <c r="AQ1076" i="10"/>
  <c r="AU1080" i="32"/>
  <c r="AS1080" i="32"/>
  <c r="AV1080" i="32"/>
  <c r="AR1080" i="32"/>
  <c r="AQ1080" i="32"/>
  <c r="AT1080" i="32"/>
  <c r="AS1079" i="10"/>
  <c r="AU1082" i="10"/>
  <c r="AT1078" i="10"/>
  <c r="AV1076" i="10"/>
  <c r="AQ1083" i="32"/>
  <c r="AR1083" i="32"/>
  <c r="AS1083" i="32"/>
  <c r="AU1083" i="32"/>
  <c r="AV1083" i="32"/>
  <c r="AT1083" i="32"/>
  <c r="AR1079" i="10"/>
  <c r="AT1082" i="10"/>
  <c r="AS1078" i="10"/>
  <c r="AU1076" i="10"/>
  <c r="AQ1079" i="10"/>
  <c r="AS1082" i="10"/>
  <c r="AQ1078" i="10"/>
  <c r="AT1076" i="10"/>
  <c r="AQ1083" i="10"/>
  <c r="AV1077" i="32"/>
  <c r="AQ1077" i="32"/>
  <c r="AU1077" i="32"/>
  <c r="AR1077" i="32"/>
  <c r="AS1077" i="32"/>
  <c r="AT1077" i="32"/>
  <c r="AQ1027" i="32"/>
  <c r="AU1055" i="10"/>
  <c r="AU1027" i="10"/>
  <c r="AT1027" i="10"/>
  <c r="AR1027" i="32"/>
  <c r="AQ1026" i="10"/>
  <c r="AU1007" i="10"/>
  <c r="AV1024" i="10"/>
  <c r="AU1024" i="10"/>
  <c r="AU1062" i="10"/>
  <c r="AS1051" i="10"/>
  <c r="AR994" i="10"/>
  <c r="AT1007" i="10"/>
  <c r="AQ994" i="10"/>
  <c r="AR1006" i="10"/>
  <c r="AS1027" i="10"/>
  <c r="AV1006" i="10"/>
  <c r="AR1027" i="10"/>
  <c r="AV1062" i="10"/>
  <c r="AU1041" i="10"/>
  <c r="AS1027" i="32"/>
  <c r="AV1005" i="10"/>
  <c r="AT1022" i="10"/>
  <c r="AS1022" i="10"/>
  <c r="AS996" i="10"/>
  <c r="AS1041" i="10"/>
  <c r="AT994" i="10"/>
  <c r="AV1015" i="10"/>
  <c r="AV1027" i="32"/>
  <c r="AR1054" i="10"/>
  <c r="AQ1027" i="10"/>
  <c r="AR1049" i="10"/>
  <c r="AT1027" i="32"/>
  <c r="AV1027" i="10"/>
  <c r="AQ1049" i="10"/>
  <c r="AT1052" i="10"/>
  <c r="AV1023" i="10"/>
  <c r="AU1023" i="10"/>
  <c r="AS1045" i="10"/>
  <c r="AS1064" i="10"/>
  <c r="AU1063" i="10"/>
  <c r="AV1045" i="10"/>
  <c r="AQ1064" i="10"/>
  <c r="AU1045" i="10"/>
  <c r="AR1064" i="10"/>
  <c r="AQ1058" i="10"/>
  <c r="AT1031" i="10"/>
  <c r="AQ1008" i="10"/>
  <c r="AS1048" i="10"/>
  <c r="AU1058" i="10"/>
  <c r="AT1055" i="10"/>
  <c r="AS1055" i="10"/>
  <c r="AV1058" i="10"/>
  <c r="AV1056" i="10"/>
  <c r="AV1022" i="10"/>
  <c r="AT998" i="10"/>
  <c r="AU1075" i="10"/>
  <c r="AU1006" i="10"/>
  <c r="AR1045" i="10"/>
  <c r="AT1064" i="10"/>
  <c r="AU1056" i="10"/>
  <c r="AU1022" i="10"/>
  <c r="AQ998" i="10"/>
  <c r="AU1052" i="10"/>
  <c r="AT988" i="10"/>
  <c r="AS1021" i="10"/>
  <c r="AS988" i="10"/>
  <c r="AT1058" i="10"/>
  <c r="AV1061" i="10"/>
  <c r="AU1019" i="10"/>
  <c r="AT1014" i="10"/>
  <c r="AT1020" i="10"/>
  <c r="AU987" i="10"/>
  <c r="AU1061" i="10"/>
  <c r="AT1071" i="10"/>
  <c r="AT1019" i="10"/>
  <c r="AU1057" i="10"/>
  <c r="AQ1021" i="10"/>
  <c r="AS1014" i="10"/>
  <c r="AS1028" i="10"/>
  <c r="AT1023" i="10"/>
  <c r="AT1006" i="10"/>
  <c r="AT1003" i="10"/>
  <c r="AR988" i="10"/>
  <c r="AQ988" i="10"/>
  <c r="AU1071" i="10"/>
  <c r="AV1057" i="10"/>
  <c r="AT1021" i="10"/>
  <c r="AT987" i="10"/>
  <c r="AT1061" i="10"/>
  <c r="AS1071" i="10"/>
  <c r="AV1019" i="10"/>
  <c r="AS1044" i="10"/>
  <c r="AT1057" i="10"/>
  <c r="AQ1014" i="10"/>
  <c r="AV1050" i="10"/>
  <c r="AQ1051" i="10"/>
  <c r="AQ987" i="10"/>
  <c r="AR1047" i="10"/>
  <c r="AS1019" i="10"/>
  <c r="AV1044" i="10"/>
  <c r="AS984" i="10"/>
  <c r="AR1072" i="10"/>
  <c r="AU1010" i="10"/>
  <c r="AS1050" i="10"/>
  <c r="AR1000" i="10"/>
  <c r="AQ1023" i="10"/>
  <c r="AQ1022" i="10"/>
  <c r="AS1058" i="10"/>
  <c r="AS1006" i="10"/>
  <c r="AV1003" i="10"/>
  <c r="AS1003" i="10"/>
  <c r="AV1021" i="10"/>
  <c r="AQ1061" i="10"/>
  <c r="AU1050" i="10"/>
  <c r="AT1047" i="10"/>
  <c r="AQ1019" i="10"/>
  <c r="AQ1044" i="10"/>
  <c r="AT984" i="10"/>
  <c r="AS987" i="10"/>
  <c r="AQ1047" i="10"/>
  <c r="AV999" i="10"/>
  <c r="AR984" i="10"/>
  <c r="AV1064" i="10"/>
  <c r="AT1010" i="10"/>
  <c r="AS998" i="10"/>
  <c r="AR1050" i="10"/>
  <c r="AR1052" i="10"/>
  <c r="AU1003" i="10"/>
  <c r="AU1021" i="10"/>
  <c r="AR1061" i="10"/>
  <c r="AV1071" i="10"/>
  <c r="AT1056" i="10"/>
  <c r="AV987" i="10"/>
  <c r="AR1071" i="10"/>
  <c r="AR1044" i="10"/>
  <c r="AT1050" i="10"/>
  <c r="AV1047" i="10"/>
  <c r="AV984" i="10"/>
  <c r="AS1010" i="10"/>
  <c r="AU998" i="10"/>
  <c r="AV1052" i="10"/>
  <c r="AQ1053" i="10"/>
  <c r="AT1045" i="10"/>
  <c r="AV986" i="10"/>
  <c r="AQ1000" i="10"/>
  <c r="AU986" i="10"/>
  <c r="AU988" i="10"/>
  <c r="AS1023" i="10"/>
  <c r="AT986" i="10"/>
  <c r="AQ1056" i="10"/>
  <c r="AR1003" i="10"/>
  <c r="AU1028" i="10"/>
  <c r="AU1067" i="10"/>
  <c r="AT1053" i="10"/>
  <c r="AR1028" i="10"/>
  <c r="AS1056" i="10"/>
  <c r="AQ1028" i="10"/>
  <c r="AV1028" i="10"/>
  <c r="AS986" i="10"/>
  <c r="AS1068" i="10"/>
  <c r="AT1067" i="10"/>
  <c r="AU1015" i="10"/>
  <c r="AR989" i="10"/>
  <c r="AV989" i="10"/>
  <c r="AS1015" i="10"/>
  <c r="AT1054" i="10"/>
  <c r="AT1037" i="10"/>
  <c r="AT989" i="10"/>
  <c r="AS1042" i="10"/>
  <c r="AR1025" i="10"/>
  <c r="AU1049" i="10"/>
  <c r="AS1057" i="10"/>
  <c r="AS989" i="10"/>
  <c r="AU989" i="10"/>
  <c r="AU1068" i="10"/>
  <c r="AV1042" i="10"/>
  <c r="AU1054" i="10"/>
  <c r="AR1015" i="10"/>
  <c r="AS1054" i="10"/>
  <c r="AQ1042" i="10"/>
  <c r="AV1025" i="10"/>
  <c r="AV1049" i="10"/>
  <c r="AR1057" i="10"/>
  <c r="AR986" i="10"/>
  <c r="AV1054" i="10"/>
  <c r="AQ1015" i="10"/>
  <c r="AU1044" i="10"/>
  <c r="AS1046" i="10"/>
  <c r="AT1049" i="10"/>
  <c r="AQ1075" i="10"/>
  <c r="AR1068" i="10"/>
  <c r="AQ1059" i="10"/>
  <c r="AT1042" i="10"/>
  <c r="AQ1046" i="10"/>
  <c r="AR1002" i="10"/>
  <c r="AV1075" i="10"/>
  <c r="AR1048" i="10"/>
  <c r="AT1062" i="10"/>
  <c r="AU1002" i="10"/>
  <c r="AR993" i="10"/>
  <c r="AV1036" i="10"/>
  <c r="AT1075" i="10"/>
  <c r="AU1047" i="10"/>
  <c r="AS992" i="10"/>
  <c r="AQ984" i="10"/>
  <c r="AV993" i="10"/>
  <c r="AR998" i="10"/>
  <c r="AU1036" i="10"/>
  <c r="AS1052" i="10"/>
  <c r="AT992" i="10"/>
  <c r="AU991" i="10"/>
  <c r="AU993" i="10"/>
  <c r="AQ992" i="10"/>
  <c r="AV991" i="10"/>
  <c r="AR1005" i="10"/>
  <c r="AV1010" i="10"/>
  <c r="AQ1067" i="10"/>
  <c r="AU1043" i="10"/>
  <c r="AT1043" i="10"/>
  <c r="AQ1039" i="10"/>
  <c r="AV1026" i="10"/>
  <c r="AS1025" i="10"/>
  <c r="AS1043" i="10"/>
  <c r="AS1024" i="10"/>
  <c r="AT1013" i="10"/>
  <c r="AR1010" i="10"/>
  <c r="AR1041" i="10"/>
  <c r="AV1018" i="10"/>
  <c r="AU1065" i="10"/>
  <c r="AR1039" i="10"/>
  <c r="AV1000" i="10"/>
  <c r="AU1026" i="10"/>
  <c r="AU1025" i="10"/>
  <c r="AR1024" i="10"/>
  <c r="AS1009" i="10"/>
  <c r="AU1018" i="10"/>
  <c r="AR1020" i="10"/>
  <c r="AT1024" i="10"/>
  <c r="AU1000" i="10"/>
  <c r="AT1026" i="10"/>
  <c r="AT1025" i="10"/>
  <c r="AV1072" i="10"/>
  <c r="AR1014" i="10"/>
  <c r="AS1017" i="10"/>
  <c r="AV1009" i="10"/>
  <c r="AR1018" i="10"/>
  <c r="AQ1020" i="10"/>
  <c r="AR1067" i="10"/>
  <c r="AT1000" i="10"/>
  <c r="AS1026" i="10"/>
  <c r="AU1072" i="10"/>
  <c r="AV1014" i="10"/>
  <c r="AU1009" i="10"/>
  <c r="AV1020" i="10"/>
  <c r="AS1072" i="10"/>
  <c r="AQ995" i="32"/>
  <c r="AR995" i="32"/>
  <c r="AU995" i="32"/>
  <c r="AT995" i="32"/>
  <c r="AV995" i="32"/>
  <c r="AS995" i="32"/>
  <c r="AQ1037" i="32"/>
  <c r="AR1037" i="32"/>
  <c r="AU1037" i="32"/>
  <c r="AT1037" i="32"/>
  <c r="AV1037" i="32"/>
  <c r="AS1037" i="32"/>
  <c r="AV990" i="10"/>
  <c r="AQ1037" i="10"/>
  <c r="AS1013" i="10"/>
  <c r="AT1036" i="10"/>
  <c r="AQ1048" i="32"/>
  <c r="AT1048" i="32"/>
  <c r="AR1048" i="32"/>
  <c r="AU1048" i="32"/>
  <c r="AV1048" i="32"/>
  <c r="AS1048" i="32"/>
  <c r="AQ1065" i="32"/>
  <c r="AR1065" i="32"/>
  <c r="AU1065" i="32"/>
  <c r="AT1065" i="32"/>
  <c r="AS1065" i="32"/>
  <c r="AV1065" i="32"/>
  <c r="AQ1007" i="32"/>
  <c r="AR1007" i="32"/>
  <c r="AT1007" i="32"/>
  <c r="AU1007" i="32"/>
  <c r="AV1007" i="32"/>
  <c r="AS1007" i="32"/>
  <c r="AU990" i="10"/>
  <c r="AS1065" i="10"/>
  <c r="AV1048" i="10"/>
  <c r="AR1069" i="10"/>
  <c r="AV1031" i="10"/>
  <c r="AR1055" i="10"/>
  <c r="AS1060" i="10"/>
  <c r="AU1013" i="10"/>
  <c r="AT1002" i="10"/>
  <c r="AT1009" i="10"/>
  <c r="AT1018" i="10"/>
  <c r="AR1007" i="10"/>
  <c r="AQ1068" i="10"/>
  <c r="AQ1043" i="32"/>
  <c r="AT1043" i="32"/>
  <c r="AR1043" i="32"/>
  <c r="AU1043" i="32"/>
  <c r="AS1043" i="32"/>
  <c r="AV1043" i="32"/>
  <c r="AQ1030" i="32"/>
  <c r="AR1030" i="32"/>
  <c r="AU1030" i="32"/>
  <c r="AS1030" i="32"/>
  <c r="AV1030" i="32"/>
  <c r="AT1030" i="32"/>
  <c r="AQ1066" i="32"/>
  <c r="AT1066" i="32"/>
  <c r="AR1066" i="32"/>
  <c r="AU1066" i="32"/>
  <c r="AS1066" i="32"/>
  <c r="AV1066" i="32"/>
  <c r="AQ1011" i="32"/>
  <c r="AR1011" i="32"/>
  <c r="AU1011" i="32"/>
  <c r="AT1011" i="32"/>
  <c r="AV1011" i="32"/>
  <c r="AS1011" i="32"/>
  <c r="AQ994" i="32"/>
  <c r="AR994" i="32"/>
  <c r="AT994" i="32"/>
  <c r="AU994" i="32"/>
  <c r="AV994" i="32"/>
  <c r="AS994" i="32"/>
  <c r="AQ1062" i="32"/>
  <c r="AU1062" i="32"/>
  <c r="AR1062" i="32"/>
  <c r="AT1062" i="32"/>
  <c r="AS1062" i="32"/>
  <c r="AV1062" i="32"/>
  <c r="AQ992" i="32"/>
  <c r="AT992" i="32"/>
  <c r="AR992" i="32"/>
  <c r="AU992" i="32"/>
  <c r="AS992" i="32"/>
  <c r="AV992" i="32"/>
  <c r="AQ993" i="32"/>
  <c r="AT993" i="32"/>
  <c r="AR993" i="32"/>
  <c r="AU993" i="32"/>
  <c r="AV993" i="32"/>
  <c r="AS993" i="32"/>
  <c r="AT990" i="10"/>
  <c r="AS994" i="10"/>
  <c r="AR1065" i="10"/>
  <c r="AU1048" i="10"/>
  <c r="AQ1062" i="10"/>
  <c r="AS1069" i="10"/>
  <c r="AU1031" i="10"/>
  <c r="AR1043" i="10"/>
  <c r="AR1060" i="10"/>
  <c r="AR1013" i="10"/>
  <c r="AS1002" i="10"/>
  <c r="AS993" i="10"/>
  <c r="AS1018" i="10"/>
  <c r="AQ1007" i="10"/>
  <c r="AV1068" i="10"/>
  <c r="AQ1041" i="32"/>
  <c r="AR1041" i="32"/>
  <c r="AU1041" i="32"/>
  <c r="AT1041" i="32"/>
  <c r="AV1041" i="32"/>
  <c r="AS1041" i="32"/>
  <c r="AQ1024" i="32"/>
  <c r="AT1024" i="32"/>
  <c r="AR1024" i="32"/>
  <c r="AU1024" i="32"/>
  <c r="AS1024" i="32"/>
  <c r="AV1024" i="32"/>
  <c r="AQ1014" i="32"/>
  <c r="AU1014" i="32"/>
  <c r="AT1014" i="32"/>
  <c r="AR1014" i="32"/>
  <c r="AV1014" i="32"/>
  <c r="AS1014" i="32"/>
  <c r="AQ1020" i="32"/>
  <c r="AU1020" i="32"/>
  <c r="AR1020" i="32"/>
  <c r="AT1020" i="32"/>
  <c r="AV1020" i="32"/>
  <c r="AS1020" i="32"/>
  <c r="AQ984" i="32"/>
  <c r="AU984" i="32"/>
  <c r="AR984" i="32"/>
  <c r="AT984" i="32"/>
  <c r="AS984" i="32"/>
  <c r="AV984" i="32"/>
  <c r="AQ1047" i="32"/>
  <c r="AU1047" i="32"/>
  <c r="AR1047" i="32"/>
  <c r="AT1047" i="32"/>
  <c r="AS1047" i="32"/>
  <c r="AV1047" i="32"/>
  <c r="AQ1026" i="32"/>
  <c r="AT1026" i="32"/>
  <c r="AU1026" i="32"/>
  <c r="AR1026" i="32"/>
  <c r="AS1026" i="32"/>
  <c r="AV1026" i="32"/>
  <c r="AQ1052" i="32"/>
  <c r="AU1052" i="32"/>
  <c r="AR1052" i="32"/>
  <c r="AT1052" i="32"/>
  <c r="AS1052" i="32"/>
  <c r="AV1052" i="32"/>
  <c r="AQ1070" i="32"/>
  <c r="AR1070" i="32"/>
  <c r="AT1070" i="32"/>
  <c r="AU1070" i="32"/>
  <c r="AS1070" i="32"/>
  <c r="AV1070" i="32"/>
  <c r="AQ1055" i="32"/>
  <c r="AU1055" i="32"/>
  <c r="AT1055" i="32"/>
  <c r="AR1055" i="32"/>
  <c r="AS1055" i="32"/>
  <c r="AV1055" i="32"/>
  <c r="AQ1029" i="32"/>
  <c r="AR1029" i="32"/>
  <c r="AT1029" i="32"/>
  <c r="AU1029" i="32"/>
  <c r="AS1029" i="32"/>
  <c r="AV1029" i="32"/>
  <c r="AQ1065" i="10"/>
  <c r="AS991" i="10"/>
  <c r="AU1069" i="10"/>
  <c r="AS1031" i="10"/>
  <c r="AV1060" i="10"/>
  <c r="AQ1002" i="10"/>
  <c r="AQ1067" i="32"/>
  <c r="AR1067" i="32"/>
  <c r="AT1067" i="32"/>
  <c r="AU1067" i="32"/>
  <c r="AS1067" i="32"/>
  <c r="AV1067" i="32"/>
  <c r="AQ1063" i="32"/>
  <c r="AU1063" i="32"/>
  <c r="AT1063" i="32"/>
  <c r="AR1063" i="32"/>
  <c r="AS1063" i="32"/>
  <c r="AV1063" i="32"/>
  <c r="AQ1042" i="32"/>
  <c r="AU1042" i="32"/>
  <c r="AT1042" i="32"/>
  <c r="AR1042" i="32"/>
  <c r="AS1042" i="32"/>
  <c r="AV1042" i="32"/>
  <c r="AQ1012" i="32"/>
  <c r="AT1012" i="32"/>
  <c r="AU1012" i="32"/>
  <c r="AR1012" i="32"/>
  <c r="AV1012" i="32"/>
  <c r="AS1012" i="32"/>
  <c r="AQ1053" i="32"/>
  <c r="AT1053" i="32"/>
  <c r="AR1053" i="32"/>
  <c r="AU1053" i="32"/>
  <c r="AV1053" i="32"/>
  <c r="AS1053" i="32"/>
  <c r="AQ985" i="32"/>
  <c r="AU985" i="32"/>
  <c r="AT985" i="32"/>
  <c r="AR985" i="32"/>
  <c r="AV985" i="32"/>
  <c r="AS985" i="32"/>
  <c r="AV1063" i="10"/>
  <c r="AV994" i="10"/>
  <c r="AR992" i="10"/>
  <c r="AR1042" i="10"/>
  <c r="AT1069" i="10"/>
  <c r="AU1034" i="10"/>
  <c r="AU995" i="10"/>
  <c r="AS1012" i="10"/>
  <c r="AR1017" i="10"/>
  <c r="AT993" i="10"/>
  <c r="AU1011" i="10"/>
  <c r="AS1059" i="10"/>
  <c r="AS1067" i="10"/>
  <c r="AQ989" i="32"/>
  <c r="AU989" i="32"/>
  <c r="AR989" i="32"/>
  <c r="AT989" i="32"/>
  <c r="AV989" i="32"/>
  <c r="AS989" i="32"/>
  <c r="AQ986" i="32"/>
  <c r="AT986" i="32"/>
  <c r="AU986" i="32"/>
  <c r="AR986" i="32"/>
  <c r="AS986" i="32"/>
  <c r="AV986" i="32"/>
  <c r="AQ1060" i="32"/>
  <c r="AR1060" i="32"/>
  <c r="AU1060" i="32"/>
  <c r="AV1060" i="32"/>
  <c r="AS1060" i="32"/>
  <c r="AT1060" i="32"/>
  <c r="AQ1016" i="32"/>
  <c r="AT1016" i="32"/>
  <c r="AU1016" i="32"/>
  <c r="AR1016" i="32"/>
  <c r="AV1016" i="32"/>
  <c r="AS1016" i="32"/>
  <c r="AQ990" i="32"/>
  <c r="AR990" i="32"/>
  <c r="AT990" i="32"/>
  <c r="AU990" i="32"/>
  <c r="AS990" i="32"/>
  <c r="AV990" i="32"/>
  <c r="AV1069" i="10"/>
  <c r="AT1060" i="10"/>
  <c r="AQ991" i="32"/>
  <c r="AR991" i="32"/>
  <c r="AT991" i="32"/>
  <c r="AU991" i="32"/>
  <c r="AV991" i="32"/>
  <c r="AS991" i="32"/>
  <c r="AQ1068" i="32"/>
  <c r="AT1068" i="32"/>
  <c r="AR1068" i="32"/>
  <c r="AU1068" i="32"/>
  <c r="AV1068" i="32"/>
  <c r="AS1068" i="32"/>
  <c r="AQ1002" i="32"/>
  <c r="AR1002" i="32"/>
  <c r="AT1002" i="32"/>
  <c r="AU1002" i="32"/>
  <c r="AS1002" i="32"/>
  <c r="AV1002" i="32"/>
  <c r="AV995" i="10"/>
  <c r="AR1016" i="10"/>
  <c r="AR1011" i="10"/>
  <c r="AR996" i="10"/>
  <c r="AQ1072" i="32"/>
  <c r="AT1072" i="32"/>
  <c r="AR1072" i="32"/>
  <c r="AU1072" i="32"/>
  <c r="AV1072" i="32"/>
  <c r="AS1072" i="32"/>
  <c r="AS1063" i="10"/>
  <c r="AS985" i="10"/>
  <c r="AU992" i="10"/>
  <c r="AU1030" i="10"/>
  <c r="AQ991" i="10"/>
  <c r="AR1034" i="10"/>
  <c r="AR995" i="10"/>
  <c r="AV1038" i="10"/>
  <c r="AQ1066" i="10"/>
  <c r="AQ1072" i="10"/>
  <c r="AQ1016" i="10"/>
  <c r="AV1012" i="10"/>
  <c r="AQ1035" i="10"/>
  <c r="AU1017" i="10"/>
  <c r="AQ1011" i="10"/>
  <c r="AU1059" i="10"/>
  <c r="AR1004" i="10"/>
  <c r="AQ996" i="10"/>
  <c r="AQ988" i="32"/>
  <c r="AR988" i="32"/>
  <c r="AU988" i="32"/>
  <c r="AT988" i="32"/>
  <c r="AV988" i="32"/>
  <c r="AS988" i="32"/>
  <c r="AQ1025" i="32"/>
  <c r="AR1025" i="32"/>
  <c r="AU1025" i="32"/>
  <c r="AT1025" i="32"/>
  <c r="AV1025" i="32"/>
  <c r="AS1025" i="32"/>
  <c r="AQ1010" i="32"/>
  <c r="AT1010" i="32"/>
  <c r="AR1010" i="32"/>
  <c r="AU1010" i="32"/>
  <c r="AS1010" i="32"/>
  <c r="AV1010" i="32"/>
  <c r="AQ1000" i="32"/>
  <c r="AU1000" i="32"/>
  <c r="AT1000" i="32"/>
  <c r="AR1000" i="32"/>
  <c r="AV1000" i="32"/>
  <c r="AS1000" i="32"/>
  <c r="AR990" i="10"/>
  <c r="AQ1031" i="32"/>
  <c r="AR1031" i="32"/>
  <c r="AT1031" i="32"/>
  <c r="AU1031" i="32"/>
  <c r="AS1031" i="32"/>
  <c r="AV1031" i="32"/>
  <c r="AT995" i="10"/>
  <c r="AQ1039" i="32"/>
  <c r="AT1039" i="32"/>
  <c r="AR1039" i="32"/>
  <c r="AU1039" i="32"/>
  <c r="AV1039" i="32"/>
  <c r="AS1039" i="32"/>
  <c r="AQ1005" i="32"/>
  <c r="AR1005" i="32"/>
  <c r="AT1005" i="32"/>
  <c r="AU1005" i="32"/>
  <c r="AS1005" i="32"/>
  <c r="AV1005" i="32"/>
  <c r="AR1038" i="10"/>
  <c r="AR1063" i="10"/>
  <c r="AV985" i="10"/>
  <c r="AR1070" i="10"/>
  <c r="AR1029" i="10"/>
  <c r="AT1030" i="10"/>
  <c r="AU999" i="10"/>
  <c r="AQ1034" i="10"/>
  <c r="AQ995" i="10"/>
  <c r="AU1038" i="10"/>
  <c r="AV1066" i="10"/>
  <c r="AV1016" i="10"/>
  <c r="AU1012" i="10"/>
  <c r="AV1035" i="10"/>
  <c r="AT1017" i="10"/>
  <c r="AV1011" i="10"/>
  <c r="AT1059" i="10"/>
  <c r="AV996" i="10"/>
  <c r="AQ1057" i="32"/>
  <c r="AR1057" i="32"/>
  <c r="AU1057" i="32"/>
  <c r="AT1057" i="32"/>
  <c r="AS1057" i="32"/>
  <c r="AV1057" i="32"/>
  <c r="AQ1023" i="32"/>
  <c r="AU1023" i="32"/>
  <c r="AR1023" i="32"/>
  <c r="AT1023" i="32"/>
  <c r="AS1023" i="32"/>
  <c r="AV1023" i="32"/>
  <c r="AQ1003" i="32"/>
  <c r="AT1003" i="32"/>
  <c r="AU1003" i="32"/>
  <c r="AR1003" i="32"/>
  <c r="AS1003" i="32"/>
  <c r="AV1003" i="32"/>
  <c r="AQ1013" i="32"/>
  <c r="AT1013" i="32"/>
  <c r="AR1013" i="32"/>
  <c r="AU1013" i="32"/>
  <c r="AS1013" i="32"/>
  <c r="AV1013" i="32"/>
  <c r="AQ1008" i="32"/>
  <c r="AT1008" i="32"/>
  <c r="AR1008" i="32"/>
  <c r="AU1008" i="32"/>
  <c r="AS1008" i="32"/>
  <c r="AV1008" i="32"/>
  <c r="AQ1004" i="32"/>
  <c r="AT1004" i="32"/>
  <c r="AU1004" i="32"/>
  <c r="AR1004" i="32"/>
  <c r="AV1004" i="32"/>
  <c r="AS1004" i="32"/>
  <c r="AQ1063" i="10"/>
  <c r="AU985" i="10"/>
  <c r="AU1008" i="10"/>
  <c r="AV1070" i="10"/>
  <c r="AS1029" i="10"/>
  <c r="AS1030" i="10"/>
  <c r="AT999" i="10"/>
  <c r="AV1034" i="10"/>
  <c r="AS995" i="10"/>
  <c r="AU1066" i="10"/>
  <c r="AU1016" i="10"/>
  <c r="AT1012" i="10"/>
  <c r="AU1035" i="10"/>
  <c r="AS1011" i="10"/>
  <c r="AV1004" i="10"/>
  <c r="AU996" i="10"/>
  <c r="AQ1061" i="32"/>
  <c r="AU1061" i="32"/>
  <c r="AR1061" i="32"/>
  <c r="AT1061" i="32"/>
  <c r="AS1061" i="32"/>
  <c r="AV1061" i="32"/>
  <c r="AQ1064" i="32"/>
  <c r="AR1064" i="32"/>
  <c r="AU1064" i="32"/>
  <c r="AT1064" i="32"/>
  <c r="AV1064" i="32"/>
  <c r="AS1064" i="32"/>
  <c r="AQ1022" i="32"/>
  <c r="AU1022" i="32"/>
  <c r="AR1022" i="32"/>
  <c r="AT1022" i="32"/>
  <c r="AV1022" i="32"/>
  <c r="AS1022" i="32"/>
  <c r="AQ1050" i="32"/>
  <c r="AT1050" i="32"/>
  <c r="AU1050" i="32"/>
  <c r="AR1050" i="32"/>
  <c r="AV1050" i="32"/>
  <c r="AS1050" i="32"/>
  <c r="AQ1019" i="32"/>
  <c r="AU1019" i="32"/>
  <c r="AR1019" i="32"/>
  <c r="AV1019" i="32"/>
  <c r="AS1019" i="32"/>
  <c r="AT1019" i="32"/>
  <c r="AQ1021" i="32"/>
  <c r="AR1021" i="32"/>
  <c r="AT1021" i="32"/>
  <c r="AU1021" i="32"/>
  <c r="AV1021" i="32"/>
  <c r="AS1021" i="32"/>
  <c r="AT1065" i="10"/>
  <c r="AQ1038" i="32"/>
  <c r="AU1038" i="32"/>
  <c r="AR1038" i="32"/>
  <c r="AT1038" i="32"/>
  <c r="AS1038" i="32"/>
  <c r="AV1038" i="32"/>
  <c r="AQ1031" i="10"/>
  <c r="AS1016" i="10"/>
  <c r="AQ1009" i="32"/>
  <c r="AT1009" i="32"/>
  <c r="AR1009" i="32"/>
  <c r="AU1009" i="32"/>
  <c r="AV1009" i="32"/>
  <c r="AS1009" i="32"/>
  <c r="AQ1046" i="32"/>
  <c r="AT1046" i="32"/>
  <c r="AU1046" i="32"/>
  <c r="AR1046" i="32"/>
  <c r="AS1046" i="32"/>
  <c r="AV1046" i="32"/>
  <c r="AT991" i="10"/>
  <c r="AR1035" i="10"/>
  <c r="AV1039" i="10"/>
  <c r="AR1053" i="10"/>
  <c r="AT985" i="10"/>
  <c r="AT1008" i="10"/>
  <c r="AR1037" i="10"/>
  <c r="AU1070" i="10"/>
  <c r="AU1029" i="10"/>
  <c r="AV1030" i="10"/>
  <c r="AT1005" i="10"/>
  <c r="AR1046" i="10"/>
  <c r="AS1038" i="10"/>
  <c r="AT1066" i="10"/>
  <c r="AT1035" i="10"/>
  <c r="AV1041" i="10"/>
  <c r="AS1036" i="10"/>
  <c r="AU1004" i="10"/>
  <c r="AV1051" i="10"/>
  <c r="AQ1058" i="32"/>
  <c r="AR1058" i="32"/>
  <c r="AU1058" i="32"/>
  <c r="AT1058" i="32"/>
  <c r="AS1058" i="32"/>
  <c r="AV1058" i="32"/>
  <c r="AQ1006" i="32"/>
  <c r="AR1006" i="32"/>
  <c r="AU1006" i="32"/>
  <c r="AT1006" i="32"/>
  <c r="AS1006" i="32"/>
  <c r="AV1006" i="32"/>
  <c r="AQ1071" i="32"/>
  <c r="AR1071" i="32"/>
  <c r="AT1071" i="32"/>
  <c r="AU1071" i="32"/>
  <c r="AS1071" i="32"/>
  <c r="AV1071" i="32"/>
  <c r="AQ987" i="32"/>
  <c r="AR987" i="32"/>
  <c r="AU987" i="32"/>
  <c r="AT987" i="32"/>
  <c r="AV987" i="32"/>
  <c r="AS987" i="32"/>
  <c r="AS990" i="10"/>
  <c r="AV1013" i="10"/>
  <c r="AQ999" i="32"/>
  <c r="AT999" i="32"/>
  <c r="AR999" i="32"/>
  <c r="AU999" i="32"/>
  <c r="AS999" i="32"/>
  <c r="AV999" i="32"/>
  <c r="AQ1034" i="32"/>
  <c r="AR1034" i="32"/>
  <c r="AT1034" i="32"/>
  <c r="AU1034" i="32"/>
  <c r="AS1034" i="32"/>
  <c r="AV1034" i="32"/>
  <c r="AT1034" i="10"/>
  <c r="AQ1059" i="32"/>
  <c r="AR1059" i="32"/>
  <c r="AU1059" i="32"/>
  <c r="AT1059" i="32"/>
  <c r="AS1059" i="32"/>
  <c r="AV1059" i="32"/>
  <c r="AQ1017" i="32"/>
  <c r="AU1017" i="32"/>
  <c r="AT1017" i="32"/>
  <c r="AR1017" i="32"/>
  <c r="AV1017" i="32"/>
  <c r="AS1017" i="32"/>
  <c r="AR1066" i="10"/>
  <c r="AQ1012" i="10"/>
  <c r="AV1059" i="10"/>
  <c r="AU1039" i="10"/>
  <c r="AS1053" i="10"/>
  <c r="AQ985" i="10"/>
  <c r="AS1008" i="10"/>
  <c r="AS1037" i="10"/>
  <c r="AT1070" i="10"/>
  <c r="AV1029" i="10"/>
  <c r="AQ1030" i="10"/>
  <c r="AR999" i="10"/>
  <c r="AS1005" i="10"/>
  <c r="AV1046" i="10"/>
  <c r="AQ1038" i="10"/>
  <c r="AS1066" i="10"/>
  <c r="AQ1041" i="10"/>
  <c r="AT1004" i="10"/>
  <c r="AU1051" i="10"/>
  <c r="AQ1045" i="32"/>
  <c r="AR1045" i="32"/>
  <c r="AU1045" i="32"/>
  <c r="AT1045" i="32"/>
  <c r="AV1045" i="32"/>
  <c r="AS1045" i="32"/>
  <c r="AQ1028" i="32"/>
  <c r="AT1028" i="32"/>
  <c r="AR1028" i="32"/>
  <c r="AU1028" i="32"/>
  <c r="AS1028" i="32"/>
  <c r="AV1028" i="32"/>
  <c r="AQ1069" i="32"/>
  <c r="AR1069" i="32"/>
  <c r="AU1069" i="32"/>
  <c r="AT1069" i="32"/>
  <c r="AV1069" i="32"/>
  <c r="AS1069" i="32"/>
  <c r="AQ1036" i="32"/>
  <c r="AT1036" i="32"/>
  <c r="AU1036" i="32"/>
  <c r="AR1036" i="32"/>
  <c r="AV1036" i="32"/>
  <c r="AS1036" i="32"/>
  <c r="AQ1060" i="10"/>
  <c r="AQ1035" i="32"/>
  <c r="AR1035" i="32"/>
  <c r="AT1035" i="32"/>
  <c r="AU1035" i="32"/>
  <c r="AV1035" i="32"/>
  <c r="AS1035" i="32"/>
  <c r="AQ1018" i="32"/>
  <c r="AR1018" i="32"/>
  <c r="AU1018" i="32"/>
  <c r="AV1018" i="32"/>
  <c r="AS1018" i="32"/>
  <c r="AT1018" i="32"/>
  <c r="AR1030" i="10"/>
  <c r="AV1017" i="10"/>
  <c r="AS1004" i="10"/>
  <c r="AT1039" i="10"/>
  <c r="AU1053" i="10"/>
  <c r="AR1008" i="10"/>
  <c r="AU1037" i="10"/>
  <c r="AS1070" i="10"/>
  <c r="AT1048" i="10"/>
  <c r="AT1029" i="10"/>
  <c r="AR1062" i="10"/>
  <c r="AQ999" i="10"/>
  <c r="AU1005" i="10"/>
  <c r="AU1046" i="10"/>
  <c r="AQ1043" i="10"/>
  <c r="AV1055" i="10"/>
  <c r="AR1009" i="10"/>
  <c r="AV1007" i="10"/>
  <c r="AQ1036" i="10"/>
  <c r="AS1020" i="10"/>
  <c r="AT1051" i="10"/>
  <c r="AR1075" i="10"/>
  <c r="AQ1015" i="32"/>
  <c r="AT1015" i="32"/>
  <c r="AR1015" i="32"/>
  <c r="AU1015" i="32"/>
  <c r="AS1015" i="32"/>
  <c r="AV1015" i="32"/>
  <c r="AQ1044" i="32"/>
  <c r="AR1044" i="32"/>
  <c r="AU1044" i="32"/>
  <c r="AT1044" i="32"/>
  <c r="AS1044" i="32"/>
  <c r="AV1044" i="32"/>
  <c r="AQ1054" i="32"/>
  <c r="AR1054" i="32"/>
  <c r="AU1054" i="32"/>
  <c r="AT1054" i="32"/>
  <c r="AS1054" i="32"/>
  <c r="AV1054" i="32"/>
  <c r="AQ1056" i="32"/>
  <c r="AT1056" i="32"/>
  <c r="AR1056" i="32"/>
  <c r="AU1056" i="32"/>
  <c r="AS1056" i="32"/>
  <c r="AV1056" i="32"/>
  <c r="AE664" i="10"/>
  <c r="AE665" i="10"/>
  <c r="AE666" i="10"/>
  <c r="AG666" i="32" s="1"/>
  <c r="AE667" i="10"/>
  <c r="AG667" i="32" s="1"/>
  <c r="AE668" i="10"/>
  <c r="AG668" i="32" s="1"/>
  <c r="AE669" i="10"/>
  <c r="AG669" i="32" s="1"/>
  <c r="AE670" i="10"/>
  <c r="AG670" i="32" s="1"/>
  <c r="AE671" i="10"/>
  <c r="AG671" i="32" s="1"/>
  <c r="AE672" i="10"/>
  <c r="AG672" i="32" s="1"/>
  <c r="AE673" i="10"/>
  <c r="AG673" i="32" s="1"/>
  <c r="AE674" i="10"/>
  <c r="AG674" i="32" s="1"/>
  <c r="AE675" i="10"/>
  <c r="AG675" i="32" s="1"/>
  <c r="AE676" i="10"/>
  <c r="AG676" i="32" s="1"/>
  <c r="AE677" i="10"/>
  <c r="AG677" i="32" s="1"/>
  <c r="AE678" i="10"/>
  <c r="AG678" i="32" s="1"/>
  <c r="AE679" i="10"/>
  <c r="AG679" i="32" s="1"/>
  <c r="AE680" i="10"/>
  <c r="AG680" i="32" s="1"/>
  <c r="AE681" i="10"/>
  <c r="AG681" i="32" s="1"/>
  <c r="AE682" i="10"/>
  <c r="AG682" i="32" s="1"/>
  <c r="AE683" i="10"/>
  <c r="AG683" i="32" s="1"/>
  <c r="AE684" i="10"/>
  <c r="AG684" i="32" s="1"/>
  <c r="AE685" i="10"/>
  <c r="AG685" i="32" s="1"/>
  <c r="AE686" i="10"/>
  <c r="AG686" i="32" s="1"/>
  <c r="AE687" i="10"/>
  <c r="AG687" i="32" s="1"/>
  <c r="AE688" i="10"/>
  <c r="AG688" i="32" s="1"/>
  <c r="AE689" i="10"/>
  <c r="AG689" i="32" s="1"/>
  <c r="AE690" i="10"/>
  <c r="AG690" i="32" s="1"/>
  <c r="AE691" i="10"/>
  <c r="AG691" i="32" s="1"/>
  <c r="AE692" i="10"/>
  <c r="AG692" i="32" s="1"/>
  <c r="AE693" i="10"/>
  <c r="AG693" i="32" s="1"/>
  <c r="AE694" i="10"/>
  <c r="AE695" i="10"/>
  <c r="AE696" i="10"/>
  <c r="AE697" i="10"/>
  <c r="AG697" i="32" s="1"/>
  <c r="AE698" i="10"/>
  <c r="AG698" i="32" s="1"/>
  <c r="AE699" i="10"/>
  <c r="AE700" i="10"/>
  <c r="AG700" i="32" s="1"/>
  <c r="AE701" i="10"/>
  <c r="AE702" i="10"/>
  <c r="AE703" i="10"/>
  <c r="AG703" i="32" s="1"/>
  <c r="AE704" i="10"/>
  <c r="AE705" i="10"/>
  <c r="AE706" i="10"/>
  <c r="AG706" i="32" s="1"/>
  <c r="AE707" i="10"/>
  <c r="AG707" i="32" s="1"/>
  <c r="AE708" i="10"/>
  <c r="AG708" i="32" s="1"/>
  <c r="AE709" i="10"/>
  <c r="AE710" i="10"/>
  <c r="AG710" i="32" s="1"/>
  <c r="AE711" i="10"/>
  <c r="AG711" i="32" s="1"/>
  <c r="AE712" i="10"/>
  <c r="AG712" i="32" s="1"/>
  <c r="AE713" i="10"/>
  <c r="AE714" i="10"/>
  <c r="AE715" i="10"/>
  <c r="AE716" i="10"/>
  <c r="AE717" i="10"/>
  <c r="AE718" i="10"/>
  <c r="AE719" i="10"/>
  <c r="AE720" i="10"/>
  <c r="AE721" i="10"/>
  <c r="AE722" i="10"/>
  <c r="AG722" i="32" s="1"/>
  <c r="AE723" i="10"/>
  <c r="AE724" i="10"/>
  <c r="AE725" i="10"/>
  <c r="AG725" i="32" s="1"/>
  <c r="AE726" i="10"/>
  <c r="AE727" i="10"/>
  <c r="AF664" i="10"/>
  <c r="AF665" i="10"/>
  <c r="AF666" i="10"/>
  <c r="AH666" i="32" s="1"/>
  <c r="AF667" i="10"/>
  <c r="AH667" i="32" s="1"/>
  <c r="AF668" i="10"/>
  <c r="AH668" i="32" s="1"/>
  <c r="AF669" i="10"/>
  <c r="AH669" i="32" s="1"/>
  <c r="AF670" i="10"/>
  <c r="AH670" i="32" s="1"/>
  <c r="AF671" i="10"/>
  <c r="AH671" i="32" s="1"/>
  <c r="AF672" i="10"/>
  <c r="AH672" i="32" s="1"/>
  <c r="AF673" i="10"/>
  <c r="AH673" i="32" s="1"/>
  <c r="AF674" i="10"/>
  <c r="AH674" i="32" s="1"/>
  <c r="AF675" i="10"/>
  <c r="AH675" i="32" s="1"/>
  <c r="AF676" i="10"/>
  <c r="AH676" i="32" s="1"/>
  <c r="AF677" i="10"/>
  <c r="AH677" i="32" s="1"/>
  <c r="AF678" i="10"/>
  <c r="AH678" i="32" s="1"/>
  <c r="AF679" i="10"/>
  <c r="AH679" i="32" s="1"/>
  <c r="AF680" i="10"/>
  <c r="AH680" i="32" s="1"/>
  <c r="AF681" i="10"/>
  <c r="AH681" i="32" s="1"/>
  <c r="AF682" i="10"/>
  <c r="AH682" i="32" s="1"/>
  <c r="AF683" i="10"/>
  <c r="AH683" i="32" s="1"/>
  <c r="AF684" i="10"/>
  <c r="AH684" i="32" s="1"/>
  <c r="AF685" i="10"/>
  <c r="AH685" i="32" s="1"/>
  <c r="AF686" i="10"/>
  <c r="AH686" i="32" s="1"/>
  <c r="AF687" i="10"/>
  <c r="AH687" i="32" s="1"/>
  <c r="AF688" i="10"/>
  <c r="AH688" i="32" s="1"/>
  <c r="AF689" i="10"/>
  <c r="AH689" i="32" s="1"/>
  <c r="AF690" i="10"/>
  <c r="AH690" i="32" s="1"/>
  <c r="AF691" i="10"/>
  <c r="AH691" i="32" s="1"/>
  <c r="AF692" i="10"/>
  <c r="AH692" i="32" s="1"/>
  <c r="AF693" i="10"/>
  <c r="AH693" i="32" s="1"/>
  <c r="AF694" i="10"/>
  <c r="AF695" i="10"/>
  <c r="AF696" i="10"/>
  <c r="AF697" i="10"/>
  <c r="AH697" i="32" s="1"/>
  <c r="AF698" i="10"/>
  <c r="AH698" i="32" s="1"/>
  <c r="AF699" i="10"/>
  <c r="AF700" i="10"/>
  <c r="AH700" i="32" s="1"/>
  <c r="AF701" i="10"/>
  <c r="AF702" i="10"/>
  <c r="AF703" i="10"/>
  <c r="AH703" i="32" s="1"/>
  <c r="AF704" i="10"/>
  <c r="AF705" i="10"/>
  <c r="AF706" i="10"/>
  <c r="AH706" i="32" s="1"/>
  <c r="AF707" i="10"/>
  <c r="AH707" i="32" s="1"/>
  <c r="AF708" i="10"/>
  <c r="AH708" i="32" s="1"/>
  <c r="AF709" i="10"/>
  <c r="AF710" i="10"/>
  <c r="AH710" i="32" s="1"/>
  <c r="AF711" i="10"/>
  <c r="AH711" i="32" s="1"/>
  <c r="AF712" i="10"/>
  <c r="AH712" i="32" s="1"/>
  <c r="AF713" i="10"/>
  <c r="AF714" i="10"/>
  <c r="AF715" i="10"/>
  <c r="AF716" i="10"/>
  <c r="AF717" i="10"/>
  <c r="AF718" i="10"/>
  <c r="AF719" i="10"/>
  <c r="AF720" i="10"/>
  <c r="AF721" i="10"/>
  <c r="AF722" i="10"/>
  <c r="AH722" i="32" s="1"/>
  <c r="AF723" i="10"/>
  <c r="AF724" i="10"/>
  <c r="AF725" i="10"/>
  <c r="AH725" i="32" s="1"/>
  <c r="AE728" i="10"/>
  <c r="AG728" i="32" s="1"/>
  <c r="AE729" i="10"/>
  <c r="AG729" i="32" s="1"/>
  <c r="AE730" i="10"/>
  <c r="AG730" i="32" s="1"/>
  <c r="AE731" i="10"/>
  <c r="AG731" i="32" s="1"/>
  <c r="AE732" i="10"/>
  <c r="AG732" i="32" s="1"/>
  <c r="AE733" i="10"/>
  <c r="AG733" i="32" s="1"/>
  <c r="AE734" i="10"/>
  <c r="AG734" i="32" s="1"/>
  <c r="AE735" i="10"/>
  <c r="AG735" i="32" s="1"/>
  <c r="AE736" i="10"/>
  <c r="AG736" i="32" s="1"/>
  <c r="AE737" i="10"/>
  <c r="AG737" i="32" s="1"/>
  <c r="AE738" i="10"/>
  <c r="AE739" i="10"/>
  <c r="AG739" i="32" s="1"/>
  <c r="AE740" i="10"/>
  <c r="AG740" i="32" s="1"/>
  <c r="AE741" i="10"/>
  <c r="AG741" i="32" s="1"/>
  <c r="AE742" i="10"/>
  <c r="AG742" i="32" s="1"/>
  <c r="AE743" i="10"/>
  <c r="AG743" i="32" s="1"/>
  <c r="AE744" i="10"/>
  <c r="AG744" i="32" s="1"/>
  <c r="AE745" i="10"/>
  <c r="AG745" i="32" s="1"/>
  <c r="AE746" i="10"/>
  <c r="AG746" i="32" s="1"/>
  <c r="AE747" i="10"/>
  <c r="AG747" i="32" s="1"/>
  <c r="AE748" i="10"/>
  <c r="AG748" i="32" s="1"/>
  <c r="AE749" i="10"/>
  <c r="AG749" i="32" s="1"/>
  <c r="AE750" i="10"/>
  <c r="AG750" i="32" s="1"/>
  <c r="AE751" i="10"/>
  <c r="AG751" i="32" s="1"/>
  <c r="AE752" i="10"/>
  <c r="AG752" i="32" s="1"/>
  <c r="AE753" i="10"/>
  <c r="AG753" i="32" s="1"/>
  <c r="AE754" i="10"/>
  <c r="AG754" i="32" s="1"/>
  <c r="AE755" i="10"/>
  <c r="AG755" i="32" s="1"/>
  <c r="AE756" i="10"/>
  <c r="AG756" i="32" s="1"/>
  <c r="AE757" i="10"/>
  <c r="AG757" i="32" s="1"/>
  <c r="AE758" i="10"/>
  <c r="AG758" i="32" s="1"/>
  <c r="AE759" i="10"/>
  <c r="AG759" i="32" s="1"/>
  <c r="AF728" i="10"/>
  <c r="AH728" i="32" s="1"/>
  <c r="AF729" i="10"/>
  <c r="AH729" i="32" s="1"/>
  <c r="AF730" i="10"/>
  <c r="AH730" i="32" s="1"/>
  <c r="AF731" i="10"/>
  <c r="AH731" i="32" s="1"/>
  <c r="AF732" i="10"/>
  <c r="AH732" i="32" s="1"/>
  <c r="AF733" i="10"/>
  <c r="AH733" i="32" s="1"/>
  <c r="AF734" i="10"/>
  <c r="AH734" i="32" s="1"/>
  <c r="AF735" i="10"/>
  <c r="AH735" i="32" s="1"/>
  <c r="AF736" i="10"/>
  <c r="AH736" i="32" s="1"/>
  <c r="AF737" i="10"/>
  <c r="AH737" i="32" s="1"/>
  <c r="AF738" i="10"/>
  <c r="AF739" i="10"/>
  <c r="AH739" i="32" s="1"/>
  <c r="AF740" i="10"/>
  <c r="AH740" i="32" s="1"/>
  <c r="AF741" i="10"/>
  <c r="AH741" i="32" s="1"/>
  <c r="AF742" i="10"/>
  <c r="AH742" i="32" s="1"/>
  <c r="AF743" i="10"/>
  <c r="AH743" i="32" s="1"/>
  <c r="AF744" i="10"/>
  <c r="AH744" i="32" s="1"/>
  <c r="AF745" i="10"/>
  <c r="AH745" i="32" s="1"/>
  <c r="AF746" i="10"/>
  <c r="AH746" i="32" s="1"/>
  <c r="AF747" i="10"/>
  <c r="AH747" i="32" s="1"/>
  <c r="AF748" i="10"/>
  <c r="AH748" i="32" s="1"/>
  <c r="AF749" i="10"/>
  <c r="AH749" i="32" s="1"/>
  <c r="AF750" i="10"/>
  <c r="AH750" i="32" s="1"/>
  <c r="AF751" i="10"/>
  <c r="AH751" i="32" s="1"/>
  <c r="AF752" i="10"/>
  <c r="AH752" i="32" s="1"/>
  <c r="AF753" i="10"/>
  <c r="AH753" i="32" s="1"/>
  <c r="AF754" i="10"/>
  <c r="AH754" i="32" s="1"/>
  <c r="AF755" i="10"/>
  <c r="AH755" i="32" s="1"/>
  <c r="AF756" i="10"/>
  <c r="AH756" i="32" s="1"/>
  <c r="AF757" i="10"/>
  <c r="AH757" i="32" s="1"/>
  <c r="AF758" i="10"/>
  <c r="AH758" i="32" s="1"/>
  <c r="AF759" i="10"/>
  <c r="AH759" i="32" s="1"/>
  <c r="AE760" i="10"/>
  <c r="AE761" i="10"/>
  <c r="AE762" i="10"/>
  <c r="AG762" i="32" s="1"/>
  <c r="AE763" i="10"/>
  <c r="AG763" i="32" s="1"/>
  <c r="AE764" i="10"/>
  <c r="AG764" i="32" s="1"/>
  <c r="AE765" i="10"/>
  <c r="AG765" i="32" s="1"/>
  <c r="AE766" i="10"/>
  <c r="AG766" i="32" s="1"/>
  <c r="AE767" i="10"/>
  <c r="AG767" i="32" s="1"/>
  <c r="AE768" i="10"/>
  <c r="AG768" i="32" s="1"/>
  <c r="AE769" i="10"/>
  <c r="AG769" i="32" s="1"/>
  <c r="AE770" i="10"/>
  <c r="AG770" i="32" s="1"/>
  <c r="AE771" i="10"/>
  <c r="AG771" i="32" s="1"/>
  <c r="AE772" i="10"/>
  <c r="AG772" i="32" s="1"/>
  <c r="AE773" i="10"/>
  <c r="AG773" i="32" s="1"/>
  <c r="AE774" i="10"/>
  <c r="AG774" i="32" s="1"/>
  <c r="AE775" i="10"/>
  <c r="AG775" i="32" s="1"/>
  <c r="AF760" i="10"/>
  <c r="AF761" i="10"/>
  <c r="AF762" i="10"/>
  <c r="AH762" i="32" s="1"/>
  <c r="AF763" i="10"/>
  <c r="AH763" i="32" s="1"/>
  <c r="AF764" i="10"/>
  <c r="AH764" i="32" s="1"/>
  <c r="AF765" i="10"/>
  <c r="AH765" i="32" s="1"/>
  <c r="AF766" i="10"/>
  <c r="AH766" i="32" s="1"/>
  <c r="AF767" i="10"/>
  <c r="AH767" i="32" s="1"/>
  <c r="AF768" i="10"/>
  <c r="AH768" i="32" s="1"/>
  <c r="AF769" i="10"/>
  <c r="AH769" i="32" s="1"/>
  <c r="AF770" i="10"/>
  <c r="AH770" i="32" s="1"/>
  <c r="AF771" i="10"/>
  <c r="AH771" i="32" s="1"/>
  <c r="AF772" i="10"/>
  <c r="AH772" i="32" s="1"/>
  <c r="AF773" i="10"/>
  <c r="AH773" i="32" s="1"/>
  <c r="AF774" i="10"/>
  <c r="AH774" i="32" s="1"/>
  <c r="AF775" i="10"/>
  <c r="AH775" i="32" s="1"/>
  <c r="AE776" i="10"/>
  <c r="AG776" i="32" s="1"/>
  <c r="AE777" i="10"/>
  <c r="AG777" i="32" s="1"/>
  <c r="AE778" i="10"/>
  <c r="AG778" i="32" s="1"/>
  <c r="AE779" i="10"/>
  <c r="AG779" i="32" s="1"/>
  <c r="AE780" i="10"/>
  <c r="AG780" i="32" s="1"/>
  <c r="AE781" i="10"/>
  <c r="AG781" i="32" s="1"/>
  <c r="AE782" i="10"/>
  <c r="AG782" i="32" s="1"/>
  <c r="AE783" i="10"/>
  <c r="AG783" i="32" s="1"/>
  <c r="AF776" i="10"/>
  <c r="AH776" i="32" s="1"/>
  <c r="AF777" i="10"/>
  <c r="AH777" i="32" s="1"/>
  <c r="AF778" i="10"/>
  <c r="AH778" i="32" s="1"/>
  <c r="AF779" i="10"/>
  <c r="AH779" i="32" s="1"/>
  <c r="AF780" i="10"/>
  <c r="AH780" i="32" s="1"/>
  <c r="AF781" i="10"/>
  <c r="AH781" i="32" s="1"/>
  <c r="AF782" i="10"/>
  <c r="AH782" i="32" s="1"/>
  <c r="AF783" i="10"/>
  <c r="AH783" i="32" s="1"/>
  <c r="AE784" i="10"/>
  <c r="AG784" i="32" s="1"/>
  <c r="AE785" i="10"/>
  <c r="AG785" i="32" s="1"/>
  <c r="AE786" i="10"/>
  <c r="AG786" i="32" s="1"/>
  <c r="AE787" i="10"/>
  <c r="AF784" i="10"/>
  <c r="AH784" i="32" s="1"/>
  <c r="AF785" i="10"/>
  <c r="AH785" i="32" s="1"/>
  <c r="AF786" i="10"/>
  <c r="AH786" i="32" s="1"/>
  <c r="AF787" i="10"/>
  <c r="AE788" i="10"/>
  <c r="AE789" i="10"/>
  <c r="AF788" i="10"/>
  <c r="AF789" i="10"/>
  <c r="AE222" i="10"/>
  <c r="AE223" i="10"/>
  <c r="AG223" i="32" s="1"/>
  <c r="AE224" i="10"/>
  <c r="AG224" i="32" s="1"/>
  <c r="AE225" i="10"/>
  <c r="AG225" i="32" s="1"/>
  <c r="AE226" i="10"/>
  <c r="AG226" i="32" s="1"/>
  <c r="AE227" i="10"/>
  <c r="AG227" i="32" s="1"/>
  <c r="AE228" i="10"/>
  <c r="AG228" i="32" s="1"/>
  <c r="AE229" i="10"/>
  <c r="AG229" i="32" s="1"/>
  <c r="AE230" i="10"/>
  <c r="AG230" i="32" s="1"/>
  <c r="AE231" i="10"/>
  <c r="AG231" i="32" s="1"/>
  <c r="AE232" i="10"/>
  <c r="AG232" i="32" s="1"/>
  <c r="AE233" i="10"/>
  <c r="AG233" i="32" s="1"/>
  <c r="N131" i="24" s="1"/>
  <c r="T131" i="12" s="1"/>
  <c r="AE234" i="10"/>
  <c r="AE235" i="10"/>
  <c r="AG235" i="32" s="1"/>
  <c r="AE236" i="10"/>
  <c r="AE237" i="10"/>
  <c r="AG237" i="32" s="1"/>
  <c r="N133" i="24" s="1"/>
  <c r="T133" i="12" s="1"/>
  <c r="AE238" i="10"/>
  <c r="AE239" i="10"/>
  <c r="AG239" i="32" s="1"/>
  <c r="AE240" i="10"/>
  <c r="AG240" i="32" s="1"/>
  <c r="AE241" i="10"/>
  <c r="AG241" i="32" s="1"/>
  <c r="AE242" i="10"/>
  <c r="AG242" i="32" s="1"/>
  <c r="AE243" i="10"/>
  <c r="AG243" i="32" s="1"/>
  <c r="AE244" i="10"/>
  <c r="AG244" i="32" s="1"/>
  <c r="AE245" i="10"/>
  <c r="AG245" i="32" s="1"/>
  <c r="AE246" i="10"/>
  <c r="AG246" i="32" s="1"/>
  <c r="AE247" i="10"/>
  <c r="AE248" i="10"/>
  <c r="AG248" i="32" s="1"/>
  <c r="AE249" i="10"/>
  <c r="AG249" i="32" s="1"/>
  <c r="AE250" i="10"/>
  <c r="AG250" i="32" s="1"/>
  <c r="AE251" i="10"/>
  <c r="AG251" i="32" s="1"/>
  <c r="AE252" i="10"/>
  <c r="AG252" i="32" s="1"/>
  <c r="AE253" i="10"/>
  <c r="AG253" i="32" s="1"/>
  <c r="AE254" i="10"/>
  <c r="AE255" i="10"/>
  <c r="AE256" i="10"/>
  <c r="AE257" i="10"/>
  <c r="AG257" i="32" s="1"/>
  <c r="AE258" i="10"/>
  <c r="AG258" i="32" s="1"/>
  <c r="AE259" i="10"/>
  <c r="AE260" i="10"/>
  <c r="AG260" i="32" s="1"/>
  <c r="AE261" i="10"/>
  <c r="AE262" i="10"/>
  <c r="AE263" i="10"/>
  <c r="AG263" i="32" s="1"/>
  <c r="AE264" i="10"/>
  <c r="AG264" i="32" s="1"/>
  <c r="AE265" i="10"/>
  <c r="AG265" i="32" s="1"/>
  <c r="AE266" i="10"/>
  <c r="AG266" i="32" s="1"/>
  <c r="AE267" i="10"/>
  <c r="AG267" i="32" s="1"/>
  <c r="AE268" i="10"/>
  <c r="AG268" i="32" s="1"/>
  <c r="AE269" i="10"/>
  <c r="AG269" i="32" s="1"/>
  <c r="AE270" i="10"/>
  <c r="AG270" i="32" s="1"/>
  <c r="AE271" i="10"/>
  <c r="AG271" i="32" s="1"/>
  <c r="AE272" i="10"/>
  <c r="AG272" i="32" s="1"/>
  <c r="AE273" i="10"/>
  <c r="AG273" i="32" s="1"/>
  <c r="AE274" i="10"/>
  <c r="AG274" i="32" s="1"/>
  <c r="AE275" i="10"/>
  <c r="AE276" i="10"/>
  <c r="AE277" i="10"/>
  <c r="AG277" i="32" s="1"/>
  <c r="AE278" i="10"/>
  <c r="AG278" i="32" s="1"/>
  <c r="AE279" i="10"/>
  <c r="AG279" i="32" s="1"/>
  <c r="AE280" i="10"/>
  <c r="AG280" i="32" s="1"/>
  <c r="AE281" i="10"/>
  <c r="AG281" i="32" s="1"/>
  <c r="AE282" i="10"/>
  <c r="AG282" i="32" s="1"/>
  <c r="AE283" i="10"/>
  <c r="AG283" i="32" s="1"/>
  <c r="AE284" i="10"/>
  <c r="AG284" i="32" s="1"/>
  <c r="AE285" i="10"/>
  <c r="AG285" i="32" s="1"/>
  <c r="AE286" i="10"/>
  <c r="AG286" i="32" s="1"/>
  <c r="AE287" i="10"/>
  <c r="AG287" i="32" s="1"/>
  <c r="AE288" i="10"/>
  <c r="AE289" i="10"/>
  <c r="AG289" i="32" s="1"/>
  <c r="AE290" i="10"/>
  <c r="AG290" i="32" s="1"/>
  <c r="AE291" i="10"/>
  <c r="AE292" i="10"/>
  <c r="V168" i="11"/>
  <c r="V15" i="11"/>
  <c r="V16" i="11"/>
  <c r="V17" i="11"/>
  <c r="V18" i="11"/>
  <c r="V19" i="11"/>
  <c r="V21" i="11"/>
  <c r="V23" i="11"/>
  <c r="V24" i="11"/>
  <c r="V25" i="11"/>
  <c r="V26" i="11"/>
  <c r="V27" i="11"/>
  <c r="V28" i="11"/>
  <c r="V29" i="11"/>
  <c r="V30" i="11"/>
  <c r="V31" i="11"/>
  <c r="V32" i="11"/>
  <c r="V33" i="11"/>
  <c r="V34" i="11"/>
  <c r="V35" i="11"/>
  <c r="V37" i="11"/>
  <c r="V38" i="11"/>
  <c r="V40" i="11"/>
  <c r="V41" i="11"/>
  <c r="V42" i="11"/>
  <c r="V43" i="11"/>
  <c r="V44" i="11"/>
  <c r="V45" i="11"/>
  <c r="V46" i="11"/>
  <c r="V47" i="11"/>
  <c r="V48" i="11"/>
  <c r="V49" i="11"/>
  <c r="V50" i="11"/>
  <c r="V51" i="11"/>
  <c r="V52" i="11"/>
  <c r="V53" i="11"/>
  <c r="V54" i="11"/>
  <c r="V55" i="11"/>
  <c r="V56" i="11"/>
  <c r="V57" i="11"/>
  <c r="V58" i="11"/>
  <c r="V59" i="11"/>
  <c r="V60" i="11"/>
  <c r="V63" i="11"/>
  <c r="V64" i="11"/>
  <c r="V65" i="11"/>
  <c r="V66" i="11"/>
  <c r="V67" i="11"/>
  <c r="V68" i="11"/>
  <c r="V69" i="11"/>
  <c r="V70" i="11"/>
  <c r="V71" i="11"/>
  <c r="V72" i="11"/>
  <c r="V73" i="11"/>
  <c r="V74" i="11"/>
  <c r="V75" i="11"/>
  <c r="V76" i="11"/>
  <c r="V77" i="11"/>
  <c r="V78" i="11"/>
  <c r="V79" i="11"/>
  <c r="V80" i="11"/>
  <c r="V81" i="11"/>
  <c r="V82" i="11"/>
  <c r="V84" i="11"/>
  <c r="V85" i="11"/>
  <c r="V86" i="11"/>
  <c r="V87" i="11"/>
  <c r="V88" i="11"/>
  <c r="V89" i="11"/>
  <c r="V90" i="11"/>
  <c r="V91" i="11"/>
  <c r="V92" i="11"/>
  <c r="V93" i="11"/>
  <c r="V94" i="11"/>
  <c r="V95" i="11"/>
  <c r="V96" i="11"/>
  <c r="V97" i="11"/>
  <c r="V98" i="11"/>
  <c r="V99" i="11"/>
  <c r="V100" i="11"/>
  <c r="V101" i="11"/>
  <c r="V102" i="11"/>
  <c r="V103" i="11"/>
  <c r="V104" i="11"/>
  <c r="V105" i="11"/>
  <c r="V106" i="11"/>
  <c r="V107" i="11"/>
  <c r="V108" i="11"/>
  <c r="V109" i="11"/>
  <c r="V110" i="11"/>
  <c r="V111" i="11"/>
  <c r="V112" i="11"/>
  <c r="V113" i="11"/>
  <c r="V118" i="11"/>
  <c r="V120" i="11"/>
  <c r="V121" i="11"/>
  <c r="V122" i="11"/>
  <c r="V123" i="11"/>
  <c r="V124" i="11"/>
  <c r="V125" i="11"/>
  <c r="V126" i="11"/>
  <c r="V127" i="11"/>
  <c r="V128" i="11"/>
  <c r="V129" i="11"/>
  <c r="V130" i="11"/>
  <c r="V131" i="11"/>
  <c r="V132" i="11"/>
  <c r="V133" i="11"/>
  <c r="V134" i="11"/>
  <c r="V135" i="11"/>
  <c r="V136" i="11"/>
  <c r="V137" i="11"/>
  <c r="V138" i="11"/>
  <c r="V139" i="11"/>
  <c r="V141" i="11"/>
  <c r="V142" i="11"/>
  <c r="V143" i="11"/>
  <c r="V144" i="11"/>
  <c r="V145" i="11"/>
  <c r="V146" i="11"/>
  <c r="V147" i="11"/>
  <c r="V148" i="11"/>
  <c r="V149" i="11"/>
  <c r="V150" i="11"/>
  <c r="V151" i="11"/>
  <c r="V152" i="11"/>
  <c r="V153" i="11"/>
  <c r="V154" i="11"/>
  <c r="V155" i="11"/>
  <c r="V156" i="11"/>
  <c r="V157" i="11"/>
  <c r="V158" i="11"/>
  <c r="V159" i="11"/>
  <c r="V160" i="11"/>
  <c r="V161" i="11"/>
  <c r="V162" i="11"/>
  <c r="V163" i="11"/>
  <c r="V164" i="11"/>
  <c r="V169" i="11"/>
  <c r="V170" i="11"/>
  <c r="V171" i="11"/>
  <c r="V172" i="11"/>
  <c r="V173" i="11"/>
  <c r="V174" i="11"/>
  <c r="V175" i="11"/>
  <c r="V176" i="11"/>
  <c r="V177" i="11"/>
  <c r="V178" i="11"/>
  <c r="V179" i="11"/>
  <c r="V180" i="11"/>
  <c r="V181" i="11"/>
  <c r="V182" i="11"/>
  <c r="V183" i="11"/>
  <c r="V184" i="11"/>
  <c r="V185" i="11"/>
  <c r="V186" i="11"/>
  <c r="V187" i="11"/>
  <c r="V188" i="11"/>
  <c r="V189" i="11"/>
  <c r="V190" i="11"/>
  <c r="V191" i="11"/>
  <c r="V192" i="11"/>
  <c r="V193" i="11"/>
  <c r="V194" i="11"/>
  <c r="V195" i="11"/>
  <c r="V196" i="11"/>
  <c r="V197" i="11"/>
  <c r="V198" i="11"/>
  <c r="V199" i="11"/>
  <c r="V200" i="11"/>
  <c r="V201" i="11"/>
  <c r="V202" i="11"/>
  <c r="V203" i="11"/>
  <c r="V204" i="11"/>
  <c r="V205" i="11"/>
  <c r="V206" i="11"/>
  <c r="V207" i="11"/>
  <c r="V208" i="11"/>
  <c r="V209" i="11"/>
  <c r="V210" i="11"/>
  <c r="V211" i="11"/>
  <c r="V212" i="11"/>
  <c r="V213" i="11"/>
  <c r="V214" i="11"/>
  <c r="V215" i="11"/>
  <c r="V216" i="11"/>
  <c r="V217" i="11"/>
  <c r="V218" i="11"/>
  <c r="V223" i="11"/>
  <c r="V224" i="11"/>
  <c r="V225" i="11"/>
  <c r="V226" i="11"/>
  <c r="V227" i="11"/>
  <c r="V228" i="11"/>
  <c r="V229" i="11"/>
  <c r="V230" i="11"/>
  <c r="V231" i="11"/>
  <c r="V232" i="11"/>
  <c r="V233" i="11"/>
  <c r="V234" i="11"/>
  <c r="V235" i="11"/>
  <c r="V236" i="11"/>
  <c r="V237" i="11"/>
  <c r="V238" i="11"/>
  <c r="V239" i="11"/>
  <c r="V240" i="11"/>
  <c r="V241" i="11"/>
  <c r="V242" i="11"/>
  <c r="V243" i="11"/>
  <c r="V244" i="11"/>
  <c r="V245" i="11"/>
  <c r="V246" i="11"/>
  <c r="V247" i="11"/>
  <c r="V248" i="11"/>
  <c r="V249" i="11"/>
  <c r="V250" i="11"/>
  <c r="V251" i="11"/>
  <c r="V252" i="11"/>
  <c r="V253" i="11"/>
  <c r="V254" i="11"/>
  <c r="V257" i="11"/>
  <c r="V258" i="11"/>
  <c r="V259" i="11"/>
  <c r="V260" i="11"/>
  <c r="V261" i="11"/>
  <c r="V262" i="11"/>
  <c r="V263" i="11"/>
  <c r="V264" i="11"/>
  <c r="V265" i="11"/>
  <c r="V266" i="11"/>
  <c r="V267" i="11"/>
  <c r="V268" i="11"/>
  <c r="V269" i="11"/>
  <c r="V270" i="11"/>
  <c r="V271" i="11"/>
  <c r="V272" i="11"/>
  <c r="V273" i="11"/>
  <c r="V274" i="11"/>
  <c r="V275" i="11"/>
  <c r="V276" i="11"/>
  <c r="V277" i="11"/>
  <c r="V278" i="11"/>
  <c r="V279" i="11"/>
  <c r="V280" i="11"/>
  <c r="V281" i="11"/>
  <c r="V282" i="11"/>
  <c r="V283" i="11"/>
  <c r="V284" i="11"/>
  <c r="V285" i="11"/>
  <c r="V286" i="11"/>
  <c r="V287" i="11"/>
  <c r="V288" i="11"/>
  <c r="V289" i="11"/>
  <c r="V290" i="11"/>
  <c r="V13" i="11"/>
  <c r="O130" i="24" l="1"/>
  <c r="AC153" i="29"/>
  <c r="Z147" i="29"/>
  <c r="Z153" i="29"/>
  <c r="AC147" i="29"/>
  <c r="AB153" i="29"/>
  <c r="AB147" i="29"/>
  <c r="AA153" i="29"/>
  <c r="X147" i="29"/>
  <c r="Y153" i="29"/>
  <c r="AA147" i="29"/>
  <c r="X153" i="29"/>
  <c r="Y147" i="29"/>
  <c r="Y144" i="29"/>
  <c r="AA144" i="29"/>
  <c r="AB144" i="29"/>
  <c r="AA145" i="29"/>
  <c r="AC144" i="29"/>
  <c r="AB145" i="29"/>
  <c r="Y145" i="29"/>
  <c r="X145" i="29"/>
  <c r="X144" i="29"/>
  <c r="AC145" i="29"/>
  <c r="Z144" i="29"/>
  <c r="Z145" i="29"/>
  <c r="Y158" i="24"/>
  <c r="AE158" i="12" s="1"/>
  <c r="X158" i="24"/>
  <c r="AD158" i="12" s="1"/>
  <c r="AB158" i="24"/>
  <c r="AH158" i="12" s="1"/>
  <c r="AA158" i="24"/>
  <c r="AG158" i="12" s="1"/>
  <c r="Z158" i="24"/>
  <c r="AF158" i="12" s="1"/>
  <c r="Z144" i="24"/>
  <c r="AF144" i="12" s="1"/>
  <c r="X144" i="24"/>
  <c r="AD144" i="12" s="1"/>
  <c r="AC144" i="24"/>
  <c r="Y144" i="24"/>
  <c r="AE144" i="12" s="1"/>
  <c r="AC158" i="24"/>
  <c r="AB144" i="24"/>
  <c r="AH144" i="12" s="1"/>
  <c r="AA144" i="24"/>
  <c r="AG144" i="12" s="1"/>
  <c r="N153" i="24"/>
  <c r="T153" i="12" s="1"/>
  <c r="N147" i="24"/>
  <c r="T147" i="12" s="1"/>
  <c r="N145" i="24"/>
  <c r="T145" i="12" s="1"/>
  <c r="N135" i="24"/>
  <c r="T135" i="12" s="1"/>
  <c r="N150" i="24"/>
  <c r="T150" i="12" s="1"/>
  <c r="N127" i="24"/>
  <c r="T127" i="12" s="1"/>
  <c r="N142" i="24"/>
  <c r="T142" i="12" s="1"/>
  <c r="N151" i="24"/>
  <c r="T151" i="12" s="1"/>
  <c r="N143" i="24"/>
  <c r="T143" i="12" s="1"/>
  <c r="N136" i="24"/>
  <c r="T136" i="12" s="1"/>
  <c r="N128" i="24"/>
  <c r="T128" i="12" s="1"/>
  <c r="N152" i="24"/>
  <c r="T152" i="12" s="1"/>
  <c r="N129" i="24"/>
  <c r="T129" i="12" s="1"/>
  <c r="N137" i="24"/>
  <c r="T137" i="12" s="1"/>
  <c r="N138" i="24"/>
  <c r="T138" i="12" s="1"/>
  <c r="N132" i="24"/>
  <c r="T132" i="12" s="1"/>
  <c r="N140" i="24"/>
  <c r="T140" i="12" s="1"/>
  <c r="N148" i="24"/>
  <c r="T148" i="12" s="1"/>
  <c r="N141" i="24"/>
  <c r="T141" i="12" s="1"/>
  <c r="N156" i="24"/>
  <c r="T156" i="12" s="1"/>
  <c r="N157" i="24"/>
  <c r="T157" i="12" s="1"/>
  <c r="N134" i="24"/>
  <c r="T134" i="12" s="1"/>
  <c r="N126" i="24"/>
  <c r="T126" i="12" s="1"/>
  <c r="N149" i="24"/>
  <c r="T149" i="12" s="1"/>
  <c r="N154" i="24"/>
  <c r="T154" i="12" s="1"/>
  <c r="N139" i="24"/>
  <c r="T139" i="12" s="1"/>
  <c r="O129" i="24"/>
  <c r="N146" i="24"/>
  <c r="T146" i="12" s="1"/>
  <c r="O128" i="24"/>
  <c r="O134" i="24"/>
  <c r="O127" i="24"/>
  <c r="O133" i="24"/>
  <c r="O126" i="24"/>
  <c r="O131" i="24"/>
  <c r="O132" i="24"/>
  <c r="T140" i="10"/>
  <c r="T238" i="10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R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D11" i="11"/>
  <c r="AE221" i="10"/>
  <c r="AF221" i="10"/>
  <c r="AF222" i="10"/>
  <c r="AF223" i="10"/>
  <c r="AH223" i="32" s="1"/>
  <c r="AF224" i="10"/>
  <c r="AH224" i="32" s="1"/>
  <c r="AF225" i="10"/>
  <c r="AH225" i="32" s="1"/>
  <c r="AF226" i="10"/>
  <c r="AH226" i="32" s="1"/>
  <c r="AF227" i="10"/>
  <c r="AH227" i="32" s="1"/>
  <c r="AF228" i="10"/>
  <c r="AH228" i="32" s="1"/>
  <c r="AF229" i="10"/>
  <c r="AH229" i="32" s="1"/>
  <c r="AF230" i="10"/>
  <c r="AH230" i="32" s="1"/>
  <c r="AF231" i="10"/>
  <c r="AH231" i="32" s="1"/>
  <c r="AF232" i="10"/>
  <c r="AH232" i="32" s="1"/>
  <c r="AF233" i="10"/>
  <c r="AH233" i="32" s="1"/>
  <c r="AF234" i="10"/>
  <c r="AF235" i="10"/>
  <c r="AH235" i="32" s="1"/>
  <c r="AF236" i="10"/>
  <c r="AF237" i="10"/>
  <c r="AH237" i="32" s="1"/>
  <c r="AF238" i="10"/>
  <c r="AF239" i="10"/>
  <c r="AH239" i="32" s="1"/>
  <c r="AF240" i="10"/>
  <c r="AH240" i="32" s="1"/>
  <c r="AF241" i="10"/>
  <c r="AH241" i="32" s="1"/>
  <c r="AF242" i="10"/>
  <c r="AH242" i="32" s="1"/>
  <c r="AF243" i="10"/>
  <c r="AH243" i="32" s="1"/>
  <c r="AF244" i="10"/>
  <c r="AH244" i="32" s="1"/>
  <c r="AF245" i="10"/>
  <c r="AH245" i="32" s="1"/>
  <c r="AF246" i="10"/>
  <c r="AH246" i="32" s="1"/>
  <c r="AF247" i="10"/>
  <c r="AF248" i="10"/>
  <c r="AH248" i="32" s="1"/>
  <c r="AF249" i="10"/>
  <c r="AH249" i="32" s="1"/>
  <c r="AF250" i="10"/>
  <c r="AH250" i="32" s="1"/>
  <c r="AF251" i="10"/>
  <c r="AH251" i="32" s="1"/>
  <c r="AF252" i="10"/>
  <c r="AH252" i="32" s="1"/>
  <c r="AF253" i="10"/>
  <c r="AH253" i="32" s="1"/>
  <c r="AF254" i="10"/>
  <c r="AF257" i="10"/>
  <c r="AH257" i="32" s="1"/>
  <c r="AF258" i="10"/>
  <c r="AH258" i="32" s="1"/>
  <c r="AF259" i="10"/>
  <c r="AF260" i="10"/>
  <c r="AH260" i="32" s="1"/>
  <c r="AF261" i="10"/>
  <c r="AF262" i="10"/>
  <c r="AF263" i="10"/>
  <c r="AH263" i="32" s="1"/>
  <c r="AF264" i="10"/>
  <c r="AH264" i="32" s="1"/>
  <c r="AF265" i="10"/>
  <c r="AH265" i="32" s="1"/>
  <c r="AF266" i="10"/>
  <c r="AH266" i="32" s="1"/>
  <c r="AF267" i="10"/>
  <c r="AH267" i="32" s="1"/>
  <c r="AF268" i="10"/>
  <c r="AH268" i="32" s="1"/>
  <c r="AF269" i="10"/>
  <c r="AH269" i="32" s="1"/>
  <c r="AF270" i="10"/>
  <c r="AH270" i="32" s="1"/>
  <c r="AF271" i="10"/>
  <c r="AH271" i="32" s="1"/>
  <c r="AF272" i="10"/>
  <c r="AH272" i="32" s="1"/>
  <c r="AF273" i="10"/>
  <c r="AH273" i="32" s="1"/>
  <c r="AF274" i="10"/>
  <c r="AH274" i="32" s="1"/>
  <c r="AF275" i="10"/>
  <c r="AF276" i="10"/>
  <c r="AF277" i="10"/>
  <c r="AH277" i="32" s="1"/>
  <c r="AF278" i="10"/>
  <c r="AH278" i="32" s="1"/>
  <c r="AF279" i="10"/>
  <c r="AH279" i="32" s="1"/>
  <c r="AF280" i="10"/>
  <c r="AH280" i="32" s="1"/>
  <c r="AF281" i="10"/>
  <c r="AH281" i="32" s="1"/>
  <c r="AF282" i="10"/>
  <c r="AH282" i="32" s="1"/>
  <c r="AF283" i="10"/>
  <c r="AH283" i="32" s="1"/>
  <c r="AF284" i="10"/>
  <c r="AH284" i="32" s="1"/>
  <c r="AF285" i="10"/>
  <c r="AH285" i="32" s="1"/>
  <c r="AF286" i="10"/>
  <c r="AH286" i="32" s="1"/>
  <c r="AF287" i="10"/>
  <c r="AH287" i="32" s="1"/>
  <c r="AF288" i="10"/>
  <c r="AF289" i="10"/>
  <c r="AH289" i="32" s="1"/>
  <c r="AF290" i="10"/>
  <c r="AH290" i="32" s="1"/>
  <c r="AF291" i="10"/>
  <c r="AF292" i="10"/>
  <c r="D274" i="7"/>
  <c r="C257" i="7"/>
  <c r="C269" i="7"/>
  <c r="D246" i="7"/>
  <c r="D248" i="4"/>
  <c r="D274" i="4"/>
  <c r="D246" i="4"/>
  <c r="C244" i="4"/>
  <c r="C247" i="4"/>
  <c r="D247" i="4"/>
  <c r="C251" i="7"/>
  <c r="D250" i="7"/>
  <c r="C253" i="7"/>
  <c r="D253" i="7"/>
  <c r="C255" i="7"/>
  <c r="C258" i="7"/>
  <c r="C259" i="7"/>
  <c r="D258" i="4"/>
  <c r="C262" i="7"/>
  <c r="C264" i="4"/>
  <c r="C265" i="7"/>
  <c r="D265" i="7"/>
  <c r="D266" i="4"/>
  <c r="D268" i="4"/>
  <c r="D271" i="7"/>
  <c r="C242" i="3"/>
  <c r="E241" i="3"/>
  <c r="F241" i="3"/>
  <c r="G241" i="3"/>
  <c r="H241" i="3"/>
  <c r="I241" i="3"/>
  <c r="J241" i="3"/>
  <c r="K241" i="3"/>
  <c r="L241" i="3"/>
  <c r="M241" i="3"/>
  <c r="N241" i="3"/>
  <c r="O241" i="3"/>
  <c r="D241" i="3"/>
  <c r="AI130" i="12" l="1"/>
  <c r="U130" i="12"/>
  <c r="U129" i="12"/>
  <c r="AI129" i="12"/>
  <c r="AI132" i="12"/>
  <c r="U132" i="12"/>
  <c r="U131" i="12"/>
  <c r="AI131" i="12"/>
  <c r="U126" i="12"/>
  <c r="AI126" i="12"/>
  <c r="AI133" i="12"/>
  <c r="U133" i="12"/>
  <c r="U127" i="12"/>
  <c r="AI127" i="12"/>
  <c r="AI134" i="12"/>
  <c r="U134" i="12"/>
  <c r="U128" i="12"/>
  <c r="AI128" i="12"/>
  <c r="K241" i="28"/>
  <c r="K241" i="7"/>
  <c r="K241" i="9"/>
  <c r="J241" i="4"/>
  <c r="J241" i="28"/>
  <c r="J241" i="7"/>
  <c r="J241" i="9"/>
  <c r="I242" i="3"/>
  <c r="I242" i="28" s="1"/>
  <c r="I241" i="28"/>
  <c r="I241" i="7"/>
  <c r="I241" i="9"/>
  <c r="N241" i="9"/>
  <c r="N241" i="7"/>
  <c r="H242" i="3"/>
  <c r="H242" i="28" s="1"/>
  <c r="H241" i="28"/>
  <c r="H241" i="7"/>
  <c r="H241" i="9"/>
  <c r="E241" i="28"/>
  <c r="E241" i="7"/>
  <c r="E241" i="9"/>
  <c r="O242" i="3"/>
  <c r="O242" i="4" s="1"/>
  <c r="O241" i="9"/>
  <c r="O241" i="7"/>
  <c r="M241" i="4"/>
  <c r="M241" i="28"/>
  <c r="M241" i="9"/>
  <c r="M241" i="7"/>
  <c r="C242" i="9"/>
  <c r="C242" i="28"/>
  <c r="G241" i="4"/>
  <c r="G241" i="28"/>
  <c r="G241" i="7"/>
  <c r="G241" i="9"/>
  <c r="L242" i="3"/>
  <c r="L242" i="28" s="1"/>
  <c r="L241" i="28"/>
  <c r="L241" i="7"/>
  <c r="L241" i="9"/>
  <c r="O153" i="24"/>
  <c r="O147" i="24"/>
  <c r="O145" i="24"/>
  <c r="D242" i="3"/>
  <c r="D241" i="7" s="1"/>
  <c r="D241" i="28"/>
  <c r="D241" i="9"/>
  <c r="F241" i="4"/>
  <c r="F241" i="28"/>
  <c r="F241" i="7"/>
  <c r="F241" i="9"/>
  <c r="L242" i="7"/>
  <c r="H241" i="4"/>
  <c r="C263" i="4"/>
  <c r="C259" i="4"/>
  <c r="D272" i="7"/>
  <c r="D265" i="4"/>
  <c r="C241" i="4"/>
  <c r="C245" i="7"/>
  <c r="C243" i="4"/>
  <c r="C243" i="7"/>
  <c r="O241" i="4"/>
  <c r="D272" i="4"/>
  <c r="C257" i="4"/>
  <c r="C242" i="7"/>
  <c r="D244" i="7"/>
  <c r="D264" i="7"/>
  <c r="D256" i="7"/>
  <c r="L241" i="4"/>
  <c r="C251" i="4"/>
  <c r="C263" i="7"/>
  <c r="C269" i="4"/>
  <c r="C261" i="4"/>
  <c r="C241" i="7"/>
  <c r="C267" i="7"/>
  <c r="D262" i="7"/>
  <c r="D264" i="4"/>
  <c r="I241" i="4"/>
  <c r="D245" i="7"/>
  <c r="G242" i="3"/>
  <c r="G242" i="28" s="1"/>
  <c r="D270" i="4"/>
  <c r="E242" i="3"/>
  <c r="E242" i="28" s="1"/>
  <c r="E241" i="4"/>
  <c r="D242" i="4"/>
  <c r="D252" i="7"/>
  <c r="D242" i="7"/>
  <c r="C274" i="4"/>
  <c r="C273" i="4"/>
  <c r="D253" i="4"/>
  <c r="C265" i="4"/>
  <c r="D254" i="4"/>
  <c r="D262" i="4"/>
  <c r="D245" i="4"/>
  <c r="C255" i="4"/>
  <c r="D252" i="4"/>
  <c r="D254" i="7"/>
  <c r="D267" i="4"/>
  <c r="C245" i="4"/>
  <c r="D266" i="7"/>
  <c r="D270" i="7"/>
  <c r="K242" i="3"/>
  <c r="K242" i="28" s="1"/>
  <c r="C249" i="7"/>
  <c r="J242" i="3"/>
  <c r="J242" i="28" s="1"/>
  <c r="C271" i="7"/>
  <c r="C262" i="4"/>
  <c r="D263" i="4"/>
  <c r="F242" i="3"/>
  <c r="F242" i="28" s="1"/>
  <c r="D250" i="4"/>
  <c r="D260" i="4"/>
  <c r="D271" i="4"/>
  <c r="C249" i="4"/>
  <c r="D261" i="7"/>
  <c r="C264" i="7"/>
  <c r="C253" i="4"/>
  <c r="C261" i="7"/>
  <c r="C273" i="7"/>
  <c r="D244" i="4"/>
  <c r="C260" i="7"/>
  <c r="K241" i="4"/>
  <c r="C271" i="4"/>
  <c r="D248" i="7"/>
  <c r="D263" i="7"/>
  <c r="D260" i="7"/>
  <c r="N242" i="3"/>
  <c r="D268" i="7"/>
  <c r="C247" i="7"/>
  <c r="M242" i="3"/>
  <c r="M242" i="28" s="1"/>
  <c r="D259" i="7"/>
  <c r="D258" i="7"/>
  <c r="D273" i="7"/>
  <c r="C252" i="4"/>
  <c r="N241" i="4"/>
  <c r="C267" i="4"/>
  <c r="D256" i="4"/>
  <c r="C242" i="4"/>
  <c r="C268" i="7"/>
  <c r="C268" i="4"/>
  <c r="D257" i="7"/>
  <c r="C258" i="4"/>
  <c r="D247" i="7"/>
  <c r="C270" i="4"/>
  <c r="C270" i="7"/>
  <c r="D257" i="4"/>
  <c r="D273" i="4"/>
  <c r="C244" i="7"/>
  <c r="D261" i="4"/>
  <c r="S43" i="15"/>
  <c r="S43" i="12" s="1"/>
  <c r="S44" i="15"/>
  <c r="S44" i="12" s="1"/>
  <c r="S45" i="15"/>
  <c r="S45" i="12" s="1"/>
  <c r="S46" i="15"/>
  <c r="S46" i="12" s="1"/>
  <c r="S47" i="15"/>
  <c r="S48" i="15"/>
  <c r="S48" i="12" s="1"/>
  <c r="S49" i="15"/>
  <c r="S49" i="12" s="1"/>
  <c r="S50" i="15"/>
  <c r="S50" i="12" s="1"/>
  <c r="S51" i="15"/>
  <c r="S51" i="12" s="1"/>
  <c r="S52" i="15"/>
  <c r="S52" i="12" s="1"/>
  <c r="S53" i="15"/>
  <c r="S53" i="12" s="1"/>
  <c r="S54" i="15"/>
  <c r="S54" i="12" s="1"/>
  <c r="S55" i="15"/>
  <c r="S55" i="12" s="1"/>
  <c r="S56" i="15"/>
  <c r="S56" i="12" s="1"/>
  <c r="S57" i="15"/>
  <c r="S57" i="12" s="1"/>
  <c r="S58" i="15"/>
  <c r="S59" i="15"/>
  <c r="S59" i="12" s="1"/>
  <c r="S60" i="15"/>
  <c r="S60" i="12" s="1"/>
  <c r="S61" i="15"/>
  <c r="S61" i="12" s="1"/>
  <c r="S62" i="15"/>
  <c r="S62" i="12" s="1"/>
  <c r="S63" i="15"/>
  <c r="S63" i="12" s="1"/>
  <c r="S64" i="15"/>
  <c r="S64" i="12" s="1"/>
  <c r="S65" i="15"/>
  <c r="S65" i="12" s="1"/>
  <c r="S66" i="15"/>
  <c r="S66" i="12" s="1"/>
  <c r="S67" i="15"/>
  <c r="S67" i="12" s="1"/>
  <c r="S68" i="15"/>
  <c r="S68" i="12" s="1"/>
  <c r="S69" i="15"/>
  <c r="S70" i="15"/>
  <c r="S71" i="15"/>
  <c r="S71" i="12" s="1"/>
  <c r="S72" i="15"/>
  <c r="S72" i="12" s="1"/>
  <c r="S74" i="15"/>
  <c r="S74" i="12" s="1"/>
  <c r="S75" i="15"/>
  <c r="S75" i="12" s="1"/>
  <c r="S76" i="15"/>
  <c r="S76" i="12" s="1"/>
  <c r="S77" i="15"/>
  <c r="S77" i="12" s="1"/>
  <c r="S78" i="15"/>
  <c r="S78" i="12" s="1"/>
  <c r="S79" i="15"/>
  <c r="S79" i="12" s="1"/>
  <c r="S80" i="15"/>
  <c r="S80" i="12" s="1"/>
  <c r="S81" i="15"/>
  <c r="S81" i="12" s="1"/>
  <c r="S82" i="15"/>
  <c r="S82" i="12" s="1"/>
  <c r="S83" i="15"/>
  <c r="S83" i="12" s="1"/>
  <c r="S84" i="15"/>
  <c r="S84" i="12" s="1"/>
  <c r="S85" i="15"/>
  <c r="S85" i="12" s="1"/>
  <c r="S86" i="15"/>
  <c r="S86" i="12" s="1"/>
  <c r="S87" i="15"/>
  <c r="S87" i="12" s="1"/>
  <c r="S88" i="15"/>
  <c r="S88" i="12" s="1"/>
  <c r="S89" i="15"/>
  <c r="S89" i="12" s="1"/>
  <c r="S90" i="15"/>
  <c r="S90" i="12" s="1"/>
  <c r="S91" i="15"/>
  <c r="S91" i="12" s="1"/>
  <c r="S92" i="15"/>
  <c r="S92" i="12" s="1"/>
  <c r="S93" i="15"/>
  <c r="S93" i="12" s="1"/>
  <c r="S94" i="15"/>
  <c r="S94" i="12" s="1"/>
  <c r="S95" i="15"/>
  <c r="S95" i="12" s="1"/>
  <c r="S96" i="15"/>
  <c r="S96" i="12" s="1"/>
  <c r="S97" i="15"/>
  <c r="S97" i="12" s="1"/>
  <c r="S98" i="15"/>
  <c r="S98" i="12" s="1"/>
  <c r="S99" i="15"/>
  <c r="S99" i="12" s="1"/>
  <c r="S100" i="15"/>
  <c r="S100" i="12" s="1"/>
  <c r="S101" i="15"/>
  <c r="S101" i="12" s="1"/>
  <c r="S102" i="15"/>
  <c r="S102" i="12" s="1"/>
  <c r="S103" i="15"/>
  <c r="S103" i="12" s="1"/>
  <c r="S104" i="15"/>
  <c r="S104" i="12" s="1"/>
  <c r="S105" i="15"/>
  <c r="S105" i="12" s="1"/>
  <c r="S106" i="15"/>
  <c r="S106" i="12" s="1"/>
  <c r="S107" i="15"/>
  <c r="S107" i="12" s="1"/>
  <c r="S108" i="15"/>
  <c r="S108" i="12" s="1"/>
  <c r="S109" i="15"/>
  <c r="S109" i="12" s="1"/>
  <c r="S110" i="15"/>
  <c r="S110" i="12" s="1"/>
  <c r="S111" i="15"/>
  <c r="S111" i="12" s="1"/>
  <c r="S112" i="15"/>
  <c r="S112" i="12" s="1"/>
  <c r="S113" i="15"/>
  <c r="S113" i="12" s="1"/>
  <c r="S114" i="15"/>
  <c r="S114" i="12" s="1"/>
  <c r="S115" i="15"/>
  <c r="S115" i="12" s="1"/>
  <c r="S116" i="15"/>
  <c r="S116" i="12" s="1"/>
  <c r="S117" i="15"/>
  <c r="S117" i="12" s="1"/>
  <c r="S118" i="15"/>
  <c r="S118" i="12" s="1"/>
  <c r="S119" i="15"/>
  <c r="S119" i="12" s="1"/>
  <c r="S120" i="15"/>
  <c r="S120" i="12" s="1"/>
  <c r="S121" i="15"/>
  <c r="S121" i="12" s="1"/>
  <c r="S122" i="15"/>
  <c r="S122" i="12" s="1"/>
  <c r="S123" i="15"/>
  <c r="S123" i="12" s="1"/>
  <c r="S124" i="15"/>
  <c r="S125" i="15"/>
  <c r="S125" i="12" s="1"/>
  <c r="Q47" i="15"/>
  <c r="Q47" i="12" s="1"/>
  <c r="Q48" i="15"/>
  <c r="Q48" i="12" s="1"/>
  <c r="Q49" i="15"/>
  <c r="Q49" i="12" s="1"/>
  <c r="Q53" i="15"/>
  <c r="Q54" i="15"/>
  <c r="Q54" i="12" s="1"/>
  <c r="Q55" i="15"/>
  <c r="Q55" i="12" s="1"/>
  <c r="Q56" i="15"/>
  <c r="Q56" i="12" s="1"/>
  <c r="Q57" i="15"/>
  <c r="Q57" i="12" s="1"/>
  <c r="Q58" i="15"/>
  <c r="Q64" i="15"/>
  <c r="Q64" i="12" s="1"/>
  <c r="Q65" i="15"/>
  <c r="Q65" i="12" s="1"/>
  <c r="Q69" i="15"/>
  <c r="Q70" i="15"/>
  <c r="Q72" i="15"/>
  <c r="Q72" i="12" s="1"/>
  <c r="Q74" i="15"/>
  <c r="Q74" i="12" s="1"/>
  <c r="Q75" i="15"/>
  <c r="Q75" i="12" s="1"/>
  <c r="Q76" i="15"/>
  <c r="Q76" i="12" s="1"/>
  <c r="Q80" i="15"/>
  <c r="Q80" i="12" s="1"/>
  <c r="Q85" i="15"/>
  <c r="Q85" i="12" s="1"/>
  <c r="Q86" i="15"/>
  <c r="Q86" i="12" s="1"/>
  <c r="Q87" i="15"/>
  <c r="Q87" i="12" s="1"/>
  <c r="Q88" i="15"/>
  <c r="Q88" i="12" s="1"/>
  <c r="Q90" i="15"/>
  <c r="Q90" i="12" s="1"/>
  <c r="Q91" i="15"/>
  <c r="Q91" i="12" s="1"/>
  <c r="Q92" i="15"/>
  <c r="Q92" i="12" s="1"/>
  <c r="Q96" i="15"/>
  <c r="Q96" i="12" s="1"/>
  <c r="Q101" i="15"/>
  <c r="Q101" i="12" s="1"/>
  <c r="Q102" i="15"/>
  <c r="Q102" i="12" s="1"/>
  <c r="Q103" i="15"/>
  <c r="Q103" i="12" s="1"/>
  <c r="Q104" i="15"/>
  <c r="Q104" i="12" s="1"/>
  <c r="Q106" i="15"/>
  <c r="Q106" i="12" s="1"/>
  <c r="Q107" i="15"/>
  <c r="Q107" i="12" s="1"/>
  <c r="Q108" i="15"/>
  <c r="Q108" i="12" s="1"/>
  <c r="Q111" i="15"/>
  <c r="Q111" i="12" s="1"/>
  <c r="Q112" i="15"/>
  <c r="Q112" i="12" s="1"/>
  <c r="Q117" i="15"/>
  <c r="Q117" i="12" s="1"/>
  <c r="Q118" i="15"/>
  <c r="Q118" i="12" s="1"/>
  <c r="Q119" i="15"/>
  <c r="Q119" i="12" s="1"/>
  <c r="Q120" i="15"/>
  <c r="Q120" i="12" s="1"/>
  <c r="Q122" i="15"/>
  <c r="Q122" i="12" s="1"/>
  <c r="Q123" i="15"/>
  <c r="Q123" i="12" s="1"/>
  <c r="Q124" i="15"/>
  <c r="AF981" i="10"/>
  <c r="AH981" i="32" s="1"/>
  <c r="AE981" i="10"/>
  <c r="AG981" i="32" s="1"/>
  <c r="AF980" i="10"/>
  <c r="AE980" i="10"/>
  <c r="AF979" i="10"/>
  <c r="AE979" i="10"/>
  <c r="AF978" i="10"/>
  <c r="AE978" i="10"/>
  <c r="AF977" i="10"/>
  <c r="AH977" i="32" s="1"/>
  <c r="AE977" i="10"/>
  <c r="AG977" i="32" s="1"/>
  <c r="AF976" i="10"/>
  <c r="AE976" i="10"/>
  <c r="AF975" i="10"/>
  <c r="AH975" i="32" s="1"/>
  <c r="AE975" i="10"/>
  <c r="AG975" i="32" s="1"/>
  <c r="AF974" i="10"/>
  <c r="AH974" i="32" s="1"/>
  <c r="AE974" i="10"/>
  <c r="AG974" i="32" s="1"/>
  <c r="AF973" i="10"/>
  <c r="AH973" i="32" s="1"/>
  <c r="AE973" i="10"/>
  <c r="AG973" i="32" s="1"/>
  <c r="AF972" i="10"/>
  <c r="AH972" i="32" s="1"/>
  <c r="AE972" i="10"/>
  <c r="AG972" i="32" s="1"/>
  <c r="AF971" i="10"/>
  <c r="AH971" i="32" s="1"/>
  <c r="AE971" i="10"/>
  <c r="AG971" i="32" s="1"/>
  <c r="AF970" i="10"/>
  <c r="AH970" i="32" s="1"/>
  <c r="AE970" i="10"/>
  <c r="AG970" i="32" s="1"/>
  <c r="AF969" i="10"/>
  <c r="AH969" i="32" s="1"/>
  <c r="AE969" i="10"/>
  <c r="AG969" i="32" s="1"/>
  <c r="AF968" i="10"/>
  <c r="AH968" i="32" s="1"/>
  <c r="AE968" i="10"/>
  <c r="AG968" i="32" s="1"/>
  <c r="AF967" i="10"/>
  <c r="AH967" i="32" s="1"/>
  <c r="AE967" i="10"/>
  <c r="AG967" i="32" s="1"/>
  <c r="AF966" i="10"/>
  <c r="AH966" i="32" s="1"/>
  <c r="AE966" i="10"/>
  <c r="AG966" i="32" s="1"/>
  <c r="AF965" i="10"/>
  <c r="AH965" i="32" s="1"/>
  <c r="AE965" i="10"/>
  <c r="AG965" i="32" s="1"/>
  <c r="AF964" i="10"/>
  <c r="AH964" i="32" s="1"/>
  <c r="AE964" i="10"/>
  <c r="AG964" i="32" s="1"/>
  <c r="AF963" i="10"/>
  <c r="AH963" i="32" s="1"/>
  <c r="AE963" i="10"/>
  <c r="AG963" i="32" s="1"/>
  <c r="AF962" i="10"/>
  <c r="AH962" i="32" s="1"/>
  <c r="AE962" i="10"/>
  <c r="AG962" i="32" s="1"/>
  <c r="AF961" i="10"/>
  <c r="AH961" i="32" s="1"/>
  <c r="AE961" i="10"/>
  <c r="AG961" i="32" s="1"/>
  <c r="AF960" i="10"/>
  <c r="AH960" i="32" s="1"/>
  <c r="AE960" i="10"/>
  <c r="AG960" i="32" s="1"/>
  <c r="AE959" i="10"/>
  <c r="AE958" i="10"/>
  <c r="AF957" i="10"/>
  <c r="AH957" i="32" s="1"/>
  <c r="AE957" i="10"/>
  <c r="AG957" i="32" s="1"/>
  <c r="AF956" i="10"/>
  <c r="AH956" i="32" s="1"/>
  <c r="AE956" i="10"/>
  <c r="AG956" i="32" s="1"/>
  <c r="AF955" i="10"/>
  <c r="AH955" i="32" s="1"/>
  <c r="AE955" i="10"/>
  <c r="AG955" i="32" s="1"/>
  <c r="AF954" i="10"/>
  <c r="AH954" i="32" s="1"/>
  <c r="AE954" i="10"/>
  <c r="AG954" i="32" s="1"/>
  <c r="AF953" i="10"/>
  <c r="AH953" i="32" s="1"/>
  <c r="AE953" i="10"/>
  <c r="AG953" i="32" s="1"/>
  <c r="AF952" i="10"/>
  <c r="AH952" i="32" s="1"/>
  <c r="AE952" i="10"/>
  <c r="AG952" i="32" s="1"/>
  <c r="AF951" i="10"/>
  <c r="AH951" i="32" s="1"/>
  <c r="AE951" i="10"/>
  <c r="AG951" i="32" s="1"/>
  <c r="AF950" i="10"/>
  <c r="AH950" i="32" s="1"/>
  <c r="AE950" i="10"/>
  <c r="AG950" i="32" s="1"/>
  <c r="AF949" i="10"/>
  <c r="AH949" i="32" s="1"/>
  <c r="AE949" i="10"/>
  <c r="AG949" i="32" s="1"/>
  <c r="AF948" i="10"/>
  <c r="AH948" i="32" s="1"/>
  <c r="AE948" i="10"/>
  <c r="AG948" i="32" s="1"/>
  <c r="AF947" i="10"/>
  <c r="AH947" i="32" s="1"/>
  <c r="AE947" i="10"/>
  <c r="AG947" i="32" s="1"/>
  <c r="AF946" i="10"/>
  <c r="AH946" i="32" s="1"/>
  <c r="AE946" i="10"/>
  <c r="AG946" i="32" s="1"/>
  <c r="AF945" i="10"/>
  <c r="AH945" i="32" s="1"/>
  <c r="AE945" i="10"/>
  <c r="AG945" i="32" s="1"/>
  <c r="AF944" i="10"/>
  <c r="AH944" i="32" s="1"/>
  <c r="AE944" i="10"/>
  <c r="AG944" i="32" s="1"/>
  <c r="AF943" i="10"/>
  <c r="AE943" i="10"/>
  <c r="AF942" i="10"/>
  <c r="AE942" i="10"/>
  <c r="AF941" i="10"/>
  <c r="AH941" i="32" s="1"/>
  <c r="AE941" i="10"/>
  <c r="AG941" i="32" s="1"/>
  <c r="AF940" i="10"/>
  <c r="AH940" i="32" s="1"/>
  <c r="AE940" i="10"/>
  <c r="AG940" i="32" s="1"/>
  <c r="AF939" i="10"/>
  <c r="AE939" i="10"/>
  <c r="AF938" i="10"/>
  <c r="AH938" i="32" s="1"/>
  <c r="AE938" i="10"/>
  <c r="AG938" i="32" s="1"/>
  <c r="AF937" i="10"/>
  <c r="AH937" i="32" s="1"/>
  <c r="AE937" i="10"/>
  <c r="AG937" i="32" s="1"/>
  <c r="AF936" i="10"/>
  <c r="AH936" i="32" s="1"/>
  <c r="AE936" i="10"/>
  <c r="AG936" i="32" s="1"/>
  <c r="AF935" i="10"/>
  <c r="AE935" i="10"/>
  <c r="AF934" i="10"/>
  <c r="AE934" i="10"/>
  <c r="AF933" i="10"/>
  <c r="AE933" i="10"/>
  <c r="AF932" i="10"/>
  <c r="AE932" i="10"/>
  <c r="AF931" i="10"/>
  <c r="AH931" i="32" s="1"/>
  <c r="AE931" i="10"/>
  <c r="AG931" i="32" s="1"/>
  <c r="AF930" i="10"/>
  <c r="AH930" i="32" s="1"/>
  <c r="AE930" i="10"/>
  <c r="AG930" i="32" s="1"/>
  <c r="AF929" i="10"/>
  <c r="AH929" i="32" s="1"/>
  <c r="AE929" i="10"/>
  <c r="AG929" i="32" s="1"/>
  <c r="AF928" i="10"/>
  <c r="AE928" i="10"/>
  <c r="AF927" i="10"/>
  <c r="AE927" i="10"/>
  <c r="AF926" i="10"/>
  <c r="AE926" i="10"/>
  <c r="AF925" i="10"/>
  <c r="AH925" i="32" s="1"/>
  <c r="AE925" i="10"/>
  <c r="AG925" i="32" s="1"/>
  <c r="AF924" i="10"/>
  <c r="AH924" i="32" s="1"/>
  <c r="AE924" i="10"/>
  <c r="AG924" i="32" s="1"/>
  <c r="AF923" i="10"/>
  <c r="AE923" i="10"/>
  <c r="AF922" i="10"/>
  <c r="AH922" i="32" s="1"/>
  <c r="AE922" i="10"/>
  <c r="AG922" i="32" s="1"/>
  <c r="AF921" i="10"/>
  <c r="AH921" i="32" s="1"/>
  <c r="AE921" i="10"/>
  <c r="AG921" i="32" s="1"/>
  <c r="AF920" i="10"/>
  <c r="AH920" i="32" s="1"/>
  <c r="AE920" i="10"/>
  <c r="AG920" i="32" s="1"/>
  <c r="AF919" i="10"/>
  <c r="AH919" i="32" s="1"/>
  <c r="AE919" i="10"/>
  <c r="AG919" i="32" s="1"/>
  <c r="AF918" i="10"/>
  <c r="AH918" i="32" s="1"/>
  <c r="AE918" i="10"/>
  <c r="AG918" i="32" s="1"/>
  <c r="AF917" i="10"/>
  <c r="AH917" i="32" s="1"/>
  <c r="AE917" i="10"/>
  <c r="AG917" i="32" s="1"/>
  <c r="AF916" i="10"/>
  <c r="AH916" i="32" s="1"/>
  <c r="AE916" i="10"/>
  <c r="AG916" i="32" s="1"/>
  <c r="AF915" i="10"/>
  <c r="AH915" i="32" s="1"/>
  <c r="AE915" i="10"/>
  <c r="AG915" i="32" s="1"/>
  <c r="AF914" i="10"/>
  <c r="AH914" i="32" s="1"/>
  <c r="AE914" i="10"/>
  <c r="AG914" i="32" s="1"/>
  <c r="AE913" i="10"/>
  <c r="AE912" i="10"/>
  <c r="AF911" i="10"/>
  <c r="AH911" i="32" s="1"/>
  <c r="AE911" i="10"/>
  <c r="AG911" i="32" s="1"/>
  <c r="AF910" i="10"/>
  <c r="AH910" i="32" s="1"/>
  <c r="AE910" i="10"/>
  <c r="AG910" i="32" s="1"/>
  <c r="AF909" i="10"/>
  <c r="AH909" i="32" s="1"/>
  <c r="AE909" i="10"/>
  <c r="AG909" i="32" s="1"/>
  <c r="AF908" i="10"/>
  <c r="AH908" i="32" s="1"/>
  <c r="AE908" i="10"/>
  <c r="AG908" i="32" s="1"/>
  <c r="AF907" i="10"/>
  <c r="AH907" i="32" s="1"/>
  <c r="AE907" i="10"/>
  <c r="AG907" i="32" s="1"/>
  <c r="AF906" i="10"/>
  <c r="AH906" i="32" s="1"/>
  <c r="AE906" i="10"/>
  <c r="AG906" i="32" s="1"/>
  <c r="AF905" i="10"/>
  <c r="AH905" i="32" s="1"/>
  <c r="AE905" i="10"/>
  <c r="AG905" i="32" s="1"/>
  <c r="AF904" i="10"/>
  <c r="AH904" i="32" s="1"/>
  <c r="AE904" i="10"/>
  <c r="AG904" i="32" s="1"/>
  <c r="AF903" i="10"/>
  <c r="AH903" i="32" s="1"/>
  <c r="AE903" i="10"/>
  <c r="AG903" i="32" s="1"/>
  <c r="AF902" i="10"/>
  <c r="AH902" i="32" s="1"/>
  <c r="AE902" i="10"/>
  <c r="AG902" i="32" s="1"/>
  <c r="AF901" i="10"/>
  <c r="AH901" i="32" s="1"/>
  <c r="AE901" i="10"/>
  <c r="AG901" i="32" s="1"/>
  <c r="AF900" i="10"/>
  <c r="AH900" i="32" s="1"/>
  <c r="AE900" i="10"/>
  <c r="AG900" i="32" s="1"/>
  <c r="AF899" i="10"/>
  <c r="AH899" i="32" s="1"/>
  <c r="AE899" i="10"/>
  <c r="AG899" i="32" s="1"/>
  <c r="AF898" i="10"/>
  <c r="AH898" i="32" s="1"/>
  <c r="AE898" i="10"/>
  <c r="AG898" i="32" s="1"/>
  <c r="AF897" i="10"/>
  <c r="AE897" i="10"/>
  <c r="AF896" i="10"/>
  <c r="AH896" i="32" s="1"/>
  <c r="AE896" i="10"/>
  <c r="AG896" i="32" s="1"/>
  <c r="AF895" i="10"/>
  <c r="AH895" i="32" s="1"/>
  <c r="AE895" i="10"/>
  <c r="AG895" i="32" s="1"/>
  <c r="AF894" i="10"/>
  <c r="AH894" i="32" s="1"/>
  <c r="AE894" i="10"/>
  <c r="AG894" i="32" s="1"/>
  <c r="AF893" i="10"/>
  <c r="AH893" i="32" s="1"/>
  <c r="AE893" i="10"/>
  <c r="AG893" i="32" s="1"/>
  <c r="AF892" i="10"/>
  <c r="AH892" i="32" s="1"/>
  <c r="AE892" i="10"/>
  <c r="AG892" i="32" s="1"/>
  <c r="AF891" i="10"/>
  <c r="AH891" i="32" s="1"/>
  <c r="AE891" i="10"/>
  <c r="AG891" i="32" s="1"/>
  <c r="AF890" i="10"/>
  <c r="AH890" i="32" s="1"/>
  <c r="AE890" i="10"/>
  <c r="AG890" i="32" s="1"/>
  <c r="AF889" i="10"/>
  <c r="AH889" i="32" s="1"/>
  <c r="AE889" i="10"/>
  <c r="AG889" i="32" s="1"/>
  <c r="AF888" i="10"/>
  <c r="AH888" i="32" s="1"/>
  <c r="AE888" i="10"/>
  <c r="AG888" i="32" s="1"/>
  <c r="AF887" i="10"/>
  <c r="AH887" i="32" s="1"/>
  <c r="AE887" i="10"/>
  <c r="AG887" i="32" s="1"/>
  <c r="AF886" i="10"/>
  <c r="AH886" i="32" s="1"/>
  <c r="AE886" i="10"/>
  <c r="AG886" i="32" s="1"/>
  <c r="AF885" i="10"/>
  <c r="AH885" i="32" s="1"/>
  <c r="AE885" i="10"/>
  <c r="AG885" i="32" s="1"/>
  <c r="AF884" i="10"/>
  <c r="AH884" i="32" s="1"/>
  <c r="AE884" i="10"/>
  <c r="AG884" i="32" s="1"/>
  <c r="AF883" i="10"/>
  <c r="AH883" i="32" s="1"/>
  <c r="AE883" i="10"/>
  <c r="AG883" i="32" s="1"/>
  <c r="AF882" i="10"/>
  <c r="AH882" i="32" s="1"/>
  <c r="AE882" i="10"/>
  <c r="AG882" i="32" s="1"/>
  <c r="AF881" i="10"/>
  <c r="AE881" i="10"/>
  <c r="AF880" i="10"/>
  <c r="AH880" i="32" s="1"/>
  <c r="AE880" i="10"/>
  <c r="AG880" i="32" s="1"/>
  <c r="AF879" i="10"/>
  <c r="AH879" i="32" s="1"/>
  <c r="AE879" i="10"/>
  <c r="AG879" i="32" s="1"/>
  <c r="AF878" i="10"/>
  <c r="AH878" i="32" s="1"/>
  <c r="AE878" i="10"/>
  <c r="AG878" i="32" s="1"/>
  <c r="AF877" i="10"/>
  <c r="AH877" i="32" s="1"/>
  <c r="AE877" i="10"/>
  <c r="AG877" i="32" s="1"/>
  <c r="AF876" i="10"/>
  <c r="AH876" i="32" s="1"/>
  <c r="AE876" i="10"/>
  <c r="AG876" i="32" s="1"/>
  <c r="AF875" i="10"/>
  <c r="AH875" i="32" s="1"/>
  <c r="AE875" i="10"/>
  <c r="AG875" i="32" s="1"/>
  <c r="AF874" i="10"/>
  <c r="AH874" i="32" s="1"/>
  <c r="AE874" i="10"/>
  <c r="AG874" i="32" s="1"/>
  <c r="AF873" i="10"/>
  <c r="AH873" i="32" s="1"/>
  <c r="AE873" i="10"/>
  <c r="AG873" i="32" s="1"/>
  <c r="AF872" i="10"/>
  <c r="AH872" i="32" s="1"/>
  <c r="AE872" i="10"/>
  <c r="AG872" i="32" s="1"/>
  <c r="AF871" i="10"/>
  <c r="AH871" i="32" s="1"/>
  <c r="AE871" i="10"/>
  <c r="AG871" i="32" s="1"/>
  <c r="AF870" i="10"/>
  <c r="AH870" i="32" s="1"/>
  <c r="AE870" i="10"/>
  <c r="AG870" i="32" s="1"/>
  <c r="AF869" i="10"/>
  <c r="AH869" i="32" s="1"/>
  <c r="AE869" i="10"/>
  <c r="AG869" i="32" s="1"/>
  <c r="AF868" i="10"/>
  <c r="AH868" i="32" s="1"/>
  <c r="AE868" i="10"/>
  <c r="AG868" i="32" s="1"/>
  <c r="AF867" i="10"/>
  <c r="AH867" i="32" s="1"/>
  <c r="AE867" i="10"/>
  <c r="AG867" i="32" s="1"/>
  <c r="AF866" i="10"/>
  <c r="AH866" i="32" s="1"/>
  <c r="AE866" i="10"/>
  <c r="AG866" i="32" s="1"/>
  <c r="AF865" i="10"/>
  <c r="AH865" i="32" s="1"/>
  <c r="AE865" i="10"/>
  <c r="AG865" i="32" s="1"/>
  <c r="AF864" i="10"/>
  <c r="AH864" i="32" s="1"/>
  <c r="AE864" i="10"/>
  <c r="AG864" i="32" s="1"/>
  <c r="AF863" i="10"/>
  <c r="AE863" i="10"/>
  <c r="AF862" i="10"/>
  <c r="AE862" i="10"/>
  <c r="AF861" i="10"/>
  <c r="AE861" i="10"/>
  <c r="AF860" i="10"/>
  <c r="AE860" i="10"/>
  <c r="AF859" i="10"/>
  <c r="AH859" i="32" s="1"/>
  <c r="AE859" i="10"/>
  <c r="AG859" i="32" s="1"/>
  <c r="AF858" i="10"/>
  <c r="AH858" i="32" s="1"/>
  <c r="AE858" i="10"/>
  <c r="AG858" i="32" s="1"/>
  <c r="AF857" i="10"/>
  <c r="AH857" i="32" s="1"/>
  <c r="AE857" i="10"/>
  <c r="AG857" i="32" s="1"/>
  <c r="AF856" i="10"/>
  <c r="AE856" i="10"/>
  <c r="AF855" i="10"/>
  <c r="AE855" i="10"/>
  <c r="AF854" i="10"/>
  <c r="AE854" i="10"/>
  <c r="AF853" i="10"/>
  <c r="AH853" i="32" s="1"/>
  <c r="AE853" i="10"/>
  <c r="AG853" i="32" s="1"/>
  <c r="AF852" i="10"/>
  <c r="AH852" i="32" s="1"/>
  <c r="AE852" i="10"/>
  <c r="AG852" i="32" s="1"/>
  <c r="AF851" i="10"/>
  <c r="AH851" i="32" s="1"/>
  <c r="AE851" i="10"/>
  <c r="AG851" i="32" s="1"/>
  <c r="AF850" i="10"/>
  <c r="AH850" i="32" s="1"/>
  <c r="AE850" i="10"/>
  <c r="AG850" i="32" s="1"/>
  <c r="AF849" i="10"/>
  <c r="AH849" i="32" s="1"/>
  <c r="AE849" i="10"/>
  <c r="AG849" i="32" s="1"/>
  <c r="AF848" i="10"/>
  <c r="AH848" i="32" s="1"/>
  <c r="AE848" i="10"/>
  <c r="AG848" i="32" s="1"/>
  <c r="AF847" i="10"/>
  <c r="AH847" i="32" s="1"/>
  <c r="AE847" i="10"/>
  <c r="AG847" i="32" s="1"/>
  <c r="AF846" i="10"/>
  <c r="AH846" i="32" s="1"/>
  <c r="AE846" i="10"/>
  <c r="AG846" i="32" s="1"/>
  <c r="AF845" i="10"/>
  <c r="AH845" i="32" s="1"/>
  <c r="AE845" i="10"/>
  <c r="AG845" i="32" s="1"/>
  <c r="AF844" i="10"/>
  <c r="AH844" i="32" s="1"/>
  <c r="AE844" i="10"/>
  <c r="AG844" i="32" s="1"/>
  <c r="AF843" i="10"/>
  <c r="AH843" i="32" s="1"/>
  <c r="AE843" i="10"/>
  <c r="AG843" i="32" s="1"/>
  <c r="AF842" i="10"/>
  <c r="AH842" i="32" s="1"/>
  <c r="AE842" i="10"/>
  <c r="AG842" i="32" s="1"/>
  <c r="AE841" i="10"/>
  <c r="AE840" i="10"/>
  <c r="AF839" i="10"/>
  <c r="AH839" i="32" s="1"/>
  <c r="AE839" i="10"/>
  <c r="AG839" i="32" s="1"/>
  <c r="AF838" i="10"/>
  <c r="AH838" i="32" s="1"/>
  <c r="AE838" i="10"/>
  <c r="AG838" i="32" s="1"/>
  <c r="AF837" i="10"/>
  <c r="AH837" i="32" s="1"/>
  <c r="AE837" i="10"/>
  <c r="AG837" i="32" s="1"/>
  <c r="AF836" i="10"/>
  <c r="AH836" i="32" s="1"/>
  <c r="AE836" i="10"/>
  <c r="AG836" i="32" s="1"/>
  <c r="AF835" i="10"/>
  <c r="AH835" i="32" s="1"/>
  <c r="AE835" i="10"/>
  <c r="AG835" i="32" s="1"/>
  <c r="AF834" i="10"/>
  <c r="AH834" i="32" s="1"/>
  <c r="AE834" i="10"/>
  <c r="AG834" i="32" s="1"/>
  <c r="AF833" i="10"/>
  <c r="AH833" i="32" s="1"/>
  <c r="AE833" i="10"/>
  <c r="AG833" i="32" s="1"/>
  <c r="AF832" i="10"/>
  <c r="AH832" i="32" s="1"/>
  <c r="AE832" i="10"/>
  <c r="AG832" i="32" s="1"/>
  <c r="AF831" i="10"/>
  <c r="AH831" i="32" s="1"/>
  <c r="AE831" i="10"/>
  <c r="AG831" i="32" s="1"/>
  <c r="AF830" i="10"/>
  <c r="AH830" i="32" s="1"/>
  <c r="AE830" i="10"/>
  <c r="AG830" i="32" s="1"/>
  <c r="AF829" i="10"/>
  <c r="AH829" i="32" s="1"/>
  <c r="AE829" i="10"/>
  <c r="AG829" i="32" s="1"/>
  <c r="AF828" i="10"/>
  <c r="AH828" i="32" s="1"/>
  <c r="AE828" i="10"/>
  <c r="AG828" i="32" s="1"/>
  <c r="AF827" i="10"/>
  <c r="AE827" i="10"/>
  <c r="AF826" i="10"/>
  <c r="AH826" i="32" s="1"/>
  <c r="AE826" i="10"/>
  <c r="AG826" i="32" s="1"/>
  <c r="AF825" i="10"/>
  <c r="AH825" i="32" s="1"/>
  <c r="AE825" i="10"/>
  <c r="AG825" i="32" s="1"/>
  <c r="AF824" i="10"/>
  <c r="AH824" i="32" s="1"/>
  <c r="AE824" i="10"/>
  <c r="AG824" i="32" s="1"/>
  <c r="AF823" i="10"/>
  <c r="AH823" i="32" s="1"/>
  <c r="AE823" i="10"/>
  <c r="AG823" i="32" s="1"/>
  <c r="AF822" i="10"/>
  <c r="AH822" i="32" s="1"/>
  <c r="AE822" i="10"/>
  <c r="AG822" i="32" s="1"/>
  <c r="AF821" i="10"/>
  <c r="AH821" i="32" s="1"/>
  <c r="AE821" i="10"/>
  <c r="AG821" i="32" s="1"/>
  <c r="AF820" i="10"/>
  <c r="AH820" i="32" s="1"/>
  <c r="AE820" i="10"/>
  <c r="AG820" i="32" s="1"/>
  <c r="AF819" i="10"/>
  <c r="AH819" i="32" s="1"/>
  <c r="AE819" i="10"/>
  <c r="AG819" i="32" s="1"/>
  <c r="AF818" i="10"/>
  <c r="AH818" i="32" s="1"/>
  <c r="AE818" i="10"/>
  <c r="AG818" i="32" s="1"/>
  <c r="AF817" i="10"/>
  <c r="AH817" i="32" s="1"/>
  <c r="AE817" i="10"/>
  <c r="AG817" i="32" s="1"/>
  <c r="AF816" i="10"/>
  <c r="AH816" i="32" s="1"/>
  <c r="AE816" i="10"/>
  <c r="AG816" i="32" s="1"/>
  <c r="AF815" i="10"/>
  <c r="AH815" i="32" s="1"/>
  <c r="AE815" i="10"/>
  <c r="AG815" i="32" s="1"/>
  <c r="AF814" i="10"/>
  <c r="AH814" i="32" s="1"/>
  <c r="AE814" i="10"/>
  <c r="AG814" i="32" s="1"/>
  <c r="AF813" i="10"/>
  <c r="AH813" i="32" s="1"/>
  <c r="AE813" i="10"/>
  <c r="AG813" i="32" s="1"/>
  <c r="AF812" i="10"/>
  <c r="AH812" i="32" s="1"/>
  <c r="AE812" i="10"/>
  <c r="AG812" i="32" s="1"/>
  <c r="AF811" i="10"/>
  <c r="AH811" i="32" s="1"/>
  <c r="AE811" i="10"/>
  <c r="AG811" i="32" s="1"/>
  <c r="AF810" i="10"/>
  <c r="AH810" i="32" s="1"/>
  <c r="AE810" i="10"/>
  <c r="AG810" i="32" s="1"/>
  <c r="AF809" i="10"/>
  <c r="AH809" i="32" s="1"/>
  <c r="AE809" i="10"/>
  <c r="AG809" i="32" s="1"/>
  <c r="AF808" i="10"/>
  <c r="AH808" i="32" s="1"/>
  <c r="AE808" i="10"/>
  <c r="AG808" i="32" s="1"/>
  <c r="AF807" i="10"/>
  <c r="AH807" i="32" s="1"/>
  <c r="AE807" i="10"/>
  <c r="AG807" i="32" s="1"/>
  <c r="AF806" i="10"/>
  <c r="AH806" i="32" s="1"/>
  <c r="AE806" i="10"/>
  <c r="AG806" i="32" s="1"/>
  <c r="AF805" i="10"/>
  <c r="AH805" i="32" s="1"/>
  <c r="AE805" i="10"/>
  <c r="AG805" i="32" s="1"/>
  <c r="AF804" i="10"/>
  <c r="AH804" i="32" s="1"/>
  <c r="AE804" i="10"/>
  <c r="AG804" i="32" s="1"/>
  <c r="AF803" i="10"/>
  <c r="AH803" i="32" s="1"/>
  <c r="AE803" i="10"/>
  <c r="AG803" i="32" s="1"/>
  <c r="AF802" i="10"/>
  <c r="AH802" i="32" s="1"/>
  <c r="AE802" i="10"/>
  <c r="AG802" i="32" s="1"/>
  <c r="AF801" i="10"/>
  <c r="AH801" i="32" s="1"/>
  <c r="AE801" i="10"/>
  <c r="AG801" i="32" s="1"/>
  <c r="AF800" i="10"/>
  <c r="AH800" i="32" s="1"/>
  <c r="AE800" i="10"/>
  <c r="AG800" i="32" s="1"/>
  <c r="AF799" i="10"/>
  <c r="AH799" i="32" s="1"/>
  <c r="AE799" i="10"/>
  <c r="AG799" i="32" s="1"/>
  <c r="AF798" i="10"/>
  <c r="AH798" i="32" s="1"/>
  <c r="AE798" i="10"/>
  <c r="AG798" i="32" s="1"/>
  <c r="AF797" i="10"/>
  <c r="AH797" i="32" s="1"/>
  <c r="AE797" i="10"/>
  <c r="AG797" i="32" s="1"/>
  <c r="AF796" i="10"/>
  <c r="AH796" i="32" s="1"/>
  <c r="AE796" i="10"/>
  <c r="AG796" i="32" s="1"/>
  <c r="AF795" i="10"/>
  <c r="AH795" i="32" s="1"/>
  <c r="AE795" i="10"/>
  <c r="AG795" i="32" s="1"/>
  <c r="AF794" i="10"/>
  <c r="AE794" i="10"/>
  <c r="AF793" i="10"/>
  <c r="AH793" i="32" s="1"/>
  <c r="AE793" i="10"/>
  <c r="AG793" i="32" s="1"/>
  <c r="AF792" i="10"/>
  <c r="AE792" i="10"/>
  <c r="AF791" i="10"/>
  <c r="AE791" i="10"/>
  <c r="AF790" i="10"/>
  <c r="AE790" i="10"/>
  <c r="AF663" i="10"/>
  <c r="AE663" i="10"/>
  <c r="AF662" i="10"/>
  <c r="AE662" i="10"/>
  <c r="AE661" i="10"/>
  <c r="AE660" i="10"/>
  <c r="AF659" i="10"/>
  <c r="AE659" i="10"/>
  <c r="AF658" i="10"/>
  <c r="AE658" i="10"/>
  <c r="AF657" i="10"/>
  <c r="AH657" i="32" s="1"/>
  <c r="AE657" i="10"/>
  <c r="AG657" i="32" s="1"/>
  <c r="AF656" i="10"/>
  <c r="AH656" i="32" s="1"/>
  <c r="AE656" i="10"/>
  <c r="AG656" i="32" s="1"/>
  <c r="AF655" i="10"/>
  <c r="AH655" i="32" s="1"/>
  <c r="AE655" i="10"/>
  <c r="AG655" i="32" s="1"/>
  <c r="AF654" i="10"/>
  <c r="AE654" i="10"/>
  <c r="AF653" i="10"/>
  <c r="AH653" i="32" s="1"/>
  <c r="AE653" i="10"/>
  <c r="AG653" i="32" s="1"/>
  <c r="AF652" i="10"/>
  <c r="AE652" i="10"/>
  <c r="AF651" i="10"/>
  <c r="AE651" i="10"/>
  <c r="AF650" i="10"/>
  <c r="AH650" i="32" s="1"/>
  <c r="AE650" i="10"/>
  <c r="AG650" i="32" s="1"/>
  <c r="AF649" i="10"/>
  <c r="AE649" i="10"/>
  <c r="AF648" i="10"/>
  <c r="AE648" i="10"/>
  <c r="AF647" i="10"/>
  <c r="AE647" i="10"/>
  <c r="AF646" i="10"/>
  <c r="AH646" i="32" s="1"/>
  <c r="AE646" i="10"/>
  <c r="AG646" i="32" s="1"/>
  <c r="AF645" i="10"/>
  <c r="AE645" i="10"/>
  <c r="AF644" i="10"/>
  <c r="AH644" i="32" s="1"/>
  <c r="AE644" i="10"/>
  <c r="AG644" i="32" s="1"/>
  <c r="AF643" i="10"/>
  <c r="AE643" i="10"/>
  <c r="AF642" i="10"/>
  <c r="AE642" i="10"/>
  <c r="AF641" i="10"/>
  <c r="AH641" i="32" s="1"/>
  <c r="AE641" i="10"/>
  <c r="AG641" i="32" s="1"/>
  <c r="AF640" i="10"/>
  <c r="AE640" i="10"/>
  <c r="AF639" i="10"/>
  <c r="AH639" i="32" s="1"/>
  <c r="AE639" i="10"/>
  <c r="AG639" i="32" s="1"/>
  <c r="AF638" i="10"/>
  <c r="AH638" i="32" s="1"/>
  <c r="AE638" i="10"/>
  <c r="AG638" i="32" s="1"/>
  <c r="AF637" i="10"/>
  <c r="AH637" i="32" s="1"/>
  <c r="AE637" i="10"/>
  <c r="AG637" i="32" s="1"/>
  <c r="AF636" i="10"/>
  <c r="AH636" i="32" s="1"/>
  <c r="AE636" i="10"/>
  <c r="AG636" i="32" s="1"/>
  <c r="AF635" i="10"/>
  <c r="AH635" i="32" s="1"/>
  <c r="AE635" i="10"/>
  <c r="AG635" i="32" s="1"/>
  <c r="AF634" i="10"/>
  <c r="AE634" i="10"/>
  <c r="AF633" i="10"/>
  <c r="AE633" i="10"/>
  <c r="AF632" i="10"/>
  <c r="AH632" i="32" s="1"/>
  <c r="AE632" i="10"/>
  <c r="AG632" i="32" s="1"/>
  <c r="AF631" i="10"/>
  <c r="AH631" i="32" s="1"/>
  <c r="AE631" i="10"/>
  <c r="AG631" i="32" s="1"/>
  <c r="AF630" i="10"/>
  <c r="AH630" i="32" s="1"/>
  <c r="AE630" i="10"/>
  <c r="AG630" i="32" s="1"/>
  <c r="AF629" i="10"/>
  <c r="AE629" i="10"/>
  <c r="AF628" i="10"/>
  <c r="AH628" i="32" s="1"/>
  <c r="AE628" i="10"/>
  <c r="AG628" i="32" s="1"/>
  <c r="AF627" i="10"/>
  <c r="AE627" i="10"/>
  <c r="AF626" i="10"/>
  <c r="AH626" i="32" s="1"/>
  <c r="AE626" i="10"/>
  <c r="AG626" i="32" s="1"/>
  <c r="AF625" i="10"/>
  <c r="AH625" i="32" s="1"/>
  <c r="AE625" i="10"/>
  <c r="AG625" i="32" s="1"/>
  <c r="AF624" i="10"/>
  <c r="AH624" i="32" s="1"/>
  <c r="AE624" i="10"/>
  <c r="AG624" i="32" s="1"/>
  <c r="AF623" i="10"/>
  <c r="AH623" i="32" s="1"/>
  <c r="AE623" i="10"/>
  <c r="AG623" i="32" s="1"/>
  <c r="AF622" i="10"/>
  <c r="AH622" i="32" s="1"/>
  <c r="AE622" i="10"/>
  <c r="AG622" i="32" s="1"/>
  <c r="AF621" i="10"/>
  <c r="AH621" i="32" s="1"/>
  <c r="AE621" i="10"/>
  <c r="AG621" i="32" s="1"/>
  <c r="AF620" i="10"/>
  <c r="AH620" i="32" s="1"/>
  <c r="AE620" i="10"/>
  <c r="AG620" i="32" s="1"/>
  <c r="AF619" i="10"/>
  <c r="AH619" i="32" s="1"/>
  <c r="AE619" i="10"/>
  <c r="AG619" i="32" s="1"/>
  <c r="AF618" i="10"/>
  <c r="AH618" i="32" s="1"/>
  <c r="AE618" i="10"/>
  <c r="AG618" i="32" s="1"/>
  <c r="AF617" i="10"/>
  <c r="AH617" i="32" s="1"/>
  <c r="AE617" i="10"/>
  <c r="AG617" i="32" s="1"/>
  <c r="AF616" i="10"/>
  <c r="AH616" i="32" s="1"/>
  <c r="AE616" i="10"/>
  <c r="AG616" i="32" s="1"/>
  <c r="AF615" i="10"/>
  <c r="AH615" i="32" s="1"/>
  <c r="AE615" i="10"/>
  <c r="AG615" i="32" s="1"/>
  <c r="AF614" i="10"/>
  <c r="AH614" i="32" s="1"/>
  <c r="AE614" i="10"/>
  <c r="AG614" i="32" s="1"/>
  <c r="AF613" i="10"/>
  <c r="AE613" i="10"/>
  <c r="AF612" i="10"/>
  <c r="AH612" i="32" s="1"/>
  <c r="AE612" i="10"/>
  <c r="AG612" i="32" s="1"/>
  <c r="AF611" i="10"/>
  <c r="AH611" i="32" s="1"/>
  <c r="AE611" i="10"/>
  <c r="AG611" i="32" s="1"/>
  <c r="AF610" i="10"/>
  <c r="AH610" i="32" s="1"/>
  <c r="AE610" i="10"/>
  <c r="AG610" i="32" s="1"/>
  <c r="AF609" i="10"/>
  <c r="AH609" i="32" s="1"/>
  <c r="AE609" i="10"/>
  <c r="AG609" i="32" s="1"/>
  <c r="AF608" i="10"/>
  <c r="AE608" i="10"/>
  <c r="AF607" i="10"/>
  <c r="AH607" i="32" s="1"/>
  <c r="AE607" i="10"/>
  <c r="AG607" i="32" s="1"/>
  <c r="AF606" i="10"/>
  <c r="AH606" i="32" s="1"/>
  <c r="AE606" i="10"/>
  <c r="AG606" i="32" s="1"/>
  <c r="AF605" i="10"/>
  <c r="AH605" i="32" s="1"/>
  <c r="AE605" i="10"/>
  <c r="AG605" i="32" s="1"/>
  <c r="AF604" i="10"/>
  <c r="AH604" i="32" s="1"/>
  <c r="AE604" i="10"/>
  <c r="AG604" i="32" s="1"/>
  <c r="AF603" i="10"/>
  <c r="AH603" i="32" s="1"/>
  <c r="AE603" i="10"/>
  <c r="AG603" i="32" s="1"/>
  <c r="AF602" i="10"/>
  <c r="AH602" i="32" s="1"/>
  <c r="AE602" i="10"/>
  <c r="AG602" i="32" s="1"/>
  <c r="AF601" i="10"/>
  <c r="AE601" i="10"/>
  <c r="AF600" i="10"/>
  <c r="AH600" i="32" s="1"/>
  <c r="AE600" i="10"/>
  <c r="AG600" i="32" s="1"/>
  <c r="AF599" i="10"/>
  <c r="AH599" i="32" s="1"/>
  <c r="AE599" i="10"/>
  <c r="AG599" i="32" s="1"/>
  <c r="AF598" i="10"/>
  <c r="AH598" i="32" s="1"/>
  <c r="AE598" i="10"/>
  <c r="AG598" i="32" s="1"/>
  <c r="AF597" i="10"/>
  <c r="AH597" i="32" s="1"/>
  <c r="AE597" i="10"/>
  <c r="AG597" i="32" s="1"/>
  <c r="AF596" i="10"/>
  <c r="AH596" i="32" s="1"/>
  <c r="AE596" i="10"/>
  <c r="AG596" i="32" s="1"/>
  <c r="AF595" i="10"/>
  <c r="AH595" i="32" s="1"/>
  <c r="AE595" i="10"/>
  <c r="AG595" i="32" s="1"/>
  <c r="AF594" i="10"/>
  <c r="AH594" i="32" s="1"/>
  <c r="AE594" i="10"/>
  <c r="AG594" i="32" s="1"/>
  <c r="AF593" i="10"/>
  <c r="AH593" i="32" s="1"/>
  <c r="AE593" i="10"/>
  <c r="AG593" i="32" s="1"/>
  <c r="AF592" i="10"/>
  <c r="AH592" i="32" s="1"/>
  <c r="AE592" i="10"/>
  <c r="AG592" i="32" s="1"/>
  <c r="AF591" i="10"/>
  <c r="AH591" i="32" s="1"/>
  <c r="AE591" i="10"/>
  <c r="AG591" i="32" s="1"/>
  <c r="AF590" i="10"/>
  <c r="AH590" i="32" s="1"/>
  <c r="AE590" i="10"/>
  <c r="AG590" i="32" s="1"/>
  <c r="AF589" i="10"/>
  <c r="AH589" i="32" s="1"/>
  <c r="AE589" i="10"/>
  <c r="AG589" i="32" s="1"/>
  <c r="AF588" i="10"/>
  <c r="AH588" i="32" s="1"/>
  <c r="AE588" i="10"/>
  <c r="AG588" i="32" s="1"/>
  <c r="AF587" i="10"/>
  <c r="AH587" i="32" s="1"/>
  <c r="AE587" i="10"/>
  <c r="AG587" i="32" s="1"/>
  <c r="AH586" i="32"/>
  <c r="AE586" i="10"/>
  <c r="AG586" i="32" s="1"/>
  <c r="AF585" i="10"/>
  <c r="AH585" i="32" s="1"/>
  <c r="AE585" i="10"/>
  <c r="AG585" i="32" s="1"/>
  <c r="AF584" i="10"/>
  <c r="AE584" i="10"/>
  <c r="AF583" i="10"/>
  <c r="AH583" i="32" s="1"/>
  <c r="AE583" i="10"/>
  <c r="AG583" i="32" s="1"/>
  <c r="AF582" i="10"/>
  <c r="AH582" i="32" s="1"/>
  <c r="AE582" i="10"/>
  <c r="AG582" i="32" s="1"/>
  <c r="AF581" i="10"/>
  <c r="AH581" i="32" s="1"/>
  <c r="AE581" i="10"/>
  <c r="AG581" i="32" s="1"/>
  <c r="AF580" i="10"/>
  <c r="AH580" i="32" s="1"/>
  <c r="AE580" i="10"/>
  <c r="AG580" i="32" s="1"/>
  <c r="AF579" i="10"/>
  <c r="AH579" i="32" s="1"/>
  <c r="AE579" i="10"/>
  <c r="AG579" i="32" s="1"/>
  <c r="AF578" i="10"/>
  <c r="AH578" i="32" s="1"/>
  <c r="AE578" i="10"/>
  <c r="AG578" i="32" s="1"/>
  <c r="AF577" i="10"/>
  <c r="AH577" i="32" s="1"/>
  <c r="AE577" i="10"/>
  <c r="AG577" i="32" s="1"/>
  <c r="AF576" i="10"/>
  <c r="AH576" i="32" s="1"/>
  <c r="AE576" i="10"/>
  <c r="AG576" i="32" s="1"/>
  <c r="AF575" i="10"/>
  <c r="AH575" i="32" s="1"/>
  <c r="AE575" i="10"/>
  <c r="AG575" i="32" s="1"/>
  <c r="AF574" i="10"/>
  <c r="AH574" i="32" s="1"/>
  <c r="AE574" i="10"/>
  <c r="AG574" i="32" s="1"/>
  <c r="AF573" i="10"/>
  <c r="AH573" i="32" s="1"/>
  <c r="AE573" i="10"/>
  <c r="AG573" i="32" s="1"/>
  <c r="AF572" i="10"/>
  <c r="AH572" i="32" s="1"/>
  <c r="AE572" i="10"/>
  <c r="AG572" i="32" s="1"/>
  <c r="AF571" i="10"/>
  <c r="AH571" i="32" s="1"/>
  <c r="AE571" i="10"/>
  <c r="AG571" i="32" s="1"/>
  <c r="AF570" i="10"/>
  <c r="AH570" i="32" s="1"/>
  <c r="AE570" i="10"/>
  <c r="AG570" i="32" s="1"/>
  <c r="AF569" i="10"/>
  <c r="AH569" i="32" s="1"/>
  <c r="AE569" i="10"/>
  <c r="AG569" i="32" s="1"/>
  <c r="AF568" i="10"/>
  <c r="AH568" i="32" s="1"/>
  <c r="AE568" i="10"/>
  <c r="AG568" i="32" s="1"/>
  <c r="AF567" i="10"/>
  <c r="AH567" i="32" s="1"/>
  <c r="AE567" i="10"/>
  <c r="AG567" i="32" s="1"/>
  <c r="AF566" i="10"/>
  <c r="AH566" i="32" s="1"/>
  <c r="AE566" i="10"/>
  <c r="AG566" i="32" s="1"/>
  <c r="AF565" i="10"/>
  <c r="AH565" i="32" s="1"/>
  <c r="AE565" i="10"/>
  <c r="AG565" i="32" s="1"/>
  <c r="AF564" i="10"/>
  <c r="AE564" i="10"/>
  <c r="AF563" i="10"/>
  <c r="AE563" i="10"/>
  <c r="AF562" i="10"/>
  <c r="AE562" i="10"/>
  <c r="AF561" i="10"/>
  <c r="AE561" i="10"/>
  <c r="AF560" i="10"/>
  <c r="AE560" i="10"/>
  <c r="AF559" i="10"/>
  <c r="AE559" i="10"/>
  <c r="AF558" i="10"/>
  <c r="AE558" i="10"/>
  <c r="AF557" i="10"/>
  <c r="AE557" i="10"/>
  <c r="AF555" i="10"/>
  <c r="AH555" i="32" s="1"/>
  <c r="AE555" i="10"/>
  <c r="AG555" i="32" s="1"/>
  <c r="AF554" i="10"/>
  <c r="AE554" i="10"/>
  <c r="AF553" i="10"/>
  <c r="AH553" i="32" s="1"/>
  <c r="AE553" i="10"/>
  <c r="AG553" i="32" s="1"/>
  <c r="AF552" i="10"/>
  <c r="AE552" i="10"/>
  <c r="AF551" i="10"/>
  <c r="AE551" i="10"/>
  <c r="AF550" i="10"/>
  <c r="AH550" i="32" s="1"/>
  <c r="AE550" i="10"/>
  <c r="AG550" i="32" s="1"/>
  <c r="AF549" i="10"/>
  <c r="AH549" i="32" s="1"/>
  <c r="AE549" i="10"/>
  <c r="AG549" i="32" s="1"/>
  <c r="AF548" i="10"/>
  <c r="AE548" i="10"/>
  <c r="AF547" i="10"/>
  <c r="AH547" i="32" s="1"/>
  <c r="AE547" i="10"/>
  <c r="AG547" i="32" s="1"/>
  <c r="AF546" i="10"/>
  <c r="AH546" i="32" s="1"/>
  <c r="AE546" i="10"/>
  <c r="AG546" i="32" s="1"/>
  <c r="AF545" i="10"/>
  <c r="AH545" i="32" s="1"/>
  <c r="AE545" i="10"/>
  <c r="AG545" i="32" s="1"/>
  <c r="AF544" i="10"/>
  <c r="AE544" i="10"/>
  <c r="AF543" i="10"/>
  <c r="AH543" i="32" s="1"/>
  <c r="AE543" i="10"/>
  <c r="AG543" i="32" s="1"/>
  <c r="AF542" i="10"/>
  <c r="AH542" i="32" s="1"/>
  <c r="AE542" i="10"/>
  <c r="AG542" i="32" s="1"/>
  <c r="AF541" i="10"/>
  <c r="AH541" i="32" s="1"/>
  <c r="AE541" i="10"/>
  <c r="AG541" i="32" s="1"/>
  <c r="AF540" i="10"/>
  <c r="AH540" i="32" s="1"/>
  <c r="AE540" i="10"/>
  <c r="AG540" i="32" s="1"/>
  <c r="AF539" i="10"/>
  <c r="AH539" i="32" s="1"/>
  <c r="AE539" i="10"/>
  <c r="AG539" i="32" s="1"/>
  <c r="AF538" i="10"/>
  <c r="AH538" i="32" s="1"/>
  <c r="AE538" i="10"/>
  <c r="AG538" i="32" s="1"/>
  <c r="AF537" i="10"/>
  <c r="AH537" i="32" s="1"/>
  <c r="AE537" i="10"/>
  <c r="AG537" i="32" s="1"/>
  <c r="AF536" i="10"/>
  <c r="AE536" i="10"/>
  <c r="AF535" i="10"/>
  <c r="AH535" i="32" s="1"/>
  <c r="AE535" i="10"/>
  <c r="AG535" i="32" s="1"/>
  <c r="AF534" i="10"/>
  <c r="AH534" i="32" s="1"/>
  <c r="AE534" i="10"/>
  <c r="AG534" i="32" s="1"/>
  <c r="AF533" i="10"/>
  <c r="AH533" i="32" s="1"/>
  <c r="AE533" i="10"/>
  <c r="AG533" i="32" s="1"/>
  <c r="AF532" i="10"/>
  <c r="AH532" i="32" s="1"/>
  <c r="AE532" i="10"/>
  <c r="AG532" i="32" s="1"/>
  <c r="AF531" i="10"/>
  <c r="AH531" i="32" s="1"/>
  <c r="AE531" i="10"/>
  <c r="AG531" i="32" s="1"/>
  <c r="AF530" i="10"/>
  <c r="AH530" i="32" s="1"/>
  <c r="AE530" i="10"/>
  <c r="AG530" i="32" s="1"/>
  <c r="AF529" i="10"/>
  <c r="AH529" i="32" s="1"/>
  <c r="AE529" i="10"/>
  <c r="AG529" i="32" s="1"/>
  <c r="AF528" i="10"/>
  <c r="AH528" i="32" s="1"/>
  <c r="AE528" i="10"/>
  <c r="AG528" i="32" s="1"/>
  <c r="AF527" i="10"/>
  <c r="AH527" i="32" s="1"/>
  <c r="AE527" i="10"/>
  <c r="AG527" i="32" s="1"/>
  <c r="AF526" i="10"/>
  <c r="AH526" i="32" s="1"/>
  <c r="AE526" i="10"/>
  <c r="AG526" i="32" s="1"/>
  <c r="AF525" i="10"/>
  <c r="AE525" i="10"/>
  <c r="AF524" i="10"/>
  <c r="AE524" i="10"/>
  <c r="AF523" i="10"/>
  <c r="AE523" i="10"/>
  <c r="AF522" i="10"/>
  <c r="AH522" i="32" s="1"/>
  <c r="AE522" i="10"/>
  <c r="AG522" i="32" s="1"/>
  <c r="AF521" i="10"/>
  <c r="AE521" i="10"/>
  <c r="AF520" i="10"/>
  <c r="AH520" i="32" s="1"/>
  <c r="AE520" i="10"/>
  <c r="AG520" i="32" s="1"/>
  <c r="AF519" i="10"/>
  <c r="AH519" i="32" s="1"/>
  <c r="AE519" i="10"/>
  <c r="AG519" i="32" s="1"/>
  <c r="AF518" i="10"/>
  <c r="AE518" i="10"/>
  <c r="AF517" i="10"/>
  <c r="AH517" i="32" s="1"/>
  <c r="AE517" i="10"/>
  <c r="AG517" i="32" s="1"/>
  <c r="AF516" i="10"/>
  <c r="AH516" i="32" s="1"/>
  <c r="AE516" i="10"/>
  <c r="AG516" i="32" s="1"/>
  <c r="AF515" i="10"/>
  <c r="AH515" i="32" s="1"/>
  <c r="AE515" i="10"/>
  <c r="AG515" i="32" s="1"/>
  <c r="AF514" i="10"/>
  <c r="AH514" i="32" s="1"/>
  <c r="AE514" i="10"/>
  <c r="AG514" i="32" s="1"/>
  <c r="AF513" i="10"/>
  <c r="AH513" i="32" s="1"/>
  <c r="AE513" i="10"/>
  <c r="AG513" i="32" s="1"/>
  <c r="AF512" i="10"/>
  <c r="AH512" i="32" s="1"/>
  <c r="AE512" i="10"/>
  <c r="AG512" i="32" s="1"/>
  <c r="AF511" i="10"/>
  <c r="AH511" i="32" s="1"/>
  <c r="AE511" i="10"/>
  <c r="AG511" i="32" s="1"/>
  <c r="AF510" i="10"/>
  <c r="AH510" i="32" s="1"/>
  <c r="AE510" i="10"/>
  <c r="AG510" i="32" s="1"/>
  <c r="AF509" i="10"/>
  <c r="AH509" i="32" s="1"/>
  <c r="AE509" i="10"/>
  <c r="AG509" i="32" s="1"/>
  <c r="AF508" i="10"/>
  <c r="AH508" i="32" s="1"/>
  <c r="AE508" i="10"/>
  <c r="AG508" i="32" s="1"/>
  <c r="AF507" i="10"/>
  <c r="AH507" i="32" s="1"/>
  <c r="AE507" i="10"/>
  <c r="AG507" i="32" s="1"/>
  <c r="AF506" i="10"/>
  <c r="AH506" i="32" s="1"/>
  <c r="AE506" i="10"/>
  <c r="AG506" i="32" s="1"/>
  <c r="AF505" i="10"/>
  <c r="AH505" i="32" s="1"/>
  <c r="AE505" i="10"/>
  <c r="AG505" i="32" s="1"/>
  <c r="AF504" i="10"/>
  <c r="AH504" i="32" s="1"/>
  <c r="AE504" i="10"/>
  <c r="AG504" i="32" s="1"/>
  <c r="AF503" i="10"/>
  <c r="AH503" i="32" s="1"/>
  <c r="AE503" i="10"/>
  <c r="AG503" i="32" s="1"/>
  <c r="AF502" i="10"/>
  <c r="AH502" i="32" s="1"/>
  <c r="AE502" i="10"/>
  <c r="AG502" i="32" s="1"/>
  <c r="AF501" i="10"/>
  <c r="AH501" i="32" s="1"/>
  <c r="AE501" i="10"/>
  <c r="AG501" i="32" s="1"/>
  <c r="AF500" i="10"/>
  <c r="AE500" i="10"/>
  <c r="AF499" i="10"/>
  <c r="AH499" i="32" s="1"/>
  <c r="AE499" i="10"/>
  <c r="AG499" i="32" s="1"/>
  <c r="AF498" i="10"/>
  <c r="AH498" i="32" s="1"/>
  <c r="AE498" i="10"/>
  <c r="AG498" i="32" s="1"/>
  <c r="AF497" i="10"/>
  <c r="AH497" i="32" s="1"/>
  <c r="AE497" i="10"/>
  <c r="AG497" i="32" s="1"/>
  <c r="AF496" i="10"/>
  <c r="AE496" i="10"/>
  <c r="AF495" i="10"/>
  <c r="AH495" i="32" s="1"/>
  <c r="AE495" i="10"/>
  <c r="AG495" i="32" s="1"/>
  <c r="AF494" i="10"/>
  <c r="AH494" i="32" s="1"/>
  <c r="AE494" i="10"/>
  <c r="AG494" i="32" s="1"/>
  <c r="AF493" i="10"/>
  <c r="AH493" i="32" s="1"/>
  <c r="AE493" i="10"/>
  <c r="AG493" i="32" s="1"/>
  <c r="AF492" i="10"/>
  <c r="AH492" i="32" s="1"/>
  <c r="AE492" i="10"/>
  <c r="AG492" i="32" s="1"/>
  <c r="AF491" i="10"/>
  <c r="AH491" i="32" s="1"/>
  <c r="AE491" i="10"/>
  <c r="AG491" i="32" s="1"/>
  <c r="AF490" i="10"/>
  <c r="AH490" i="32" s="1"/>
  <c r="AE490" i="10"/>
  <c r="AG490" i="32" s="1"/>
  <c r="AF489" i="10"/>
  <c r="AH489" i="32" s="1"/>
  <c r="AE489" i="10"/>
  <c r="AG489" i="32" s="1"/>
  <c r="AF488" i="10"/>
  <c r="AH488" i="32" s="1"/>
  <c r="AE488" i="10"/>
  <c r="AG488" i="32" s="1"/>
  <c r="AF487" i="10"/>
  <c r="AH487" i="32" s="1"/>
  <c r="AE487" i="10"/>
  <c r="AG487" i="32" s="1"/>
  <c r="AF486" i="10"/>
  <c r="AH486" i="32" s="1"/>
  <c r="AE486" i="10"/>
  <c r="AG486" i="32" s="1"/>
  <c r="AF485" i="10"/>
  <c r="AH485" i="32" s="1"/>
  <c r="AE485" i="10"/>
  <c r="AG485" i="32" s="1"/>
  <c r="AF484" i="10"/>
  <c r="AH484" i="32" s="1"/>
  <c r="AE484" i="10"/>
  <c r="AG484" i="32" s="1"/>
  <c r="AF483" i="10"/>
  <c r="AH483" i="32" s="1"/>
  <c r="AE483" i="10"/>
  <c r="AG483" i="32" s="1"/>
  <c r="AF482" i="10"/>
  <c r="AH482" i="32" s="1"/>
  <c r="AE482" i="10"/>
  <c r="AG482" i="32" s="1"/>
  <c r="AF481" i="10"/>
  <c r="AH481" i="32" s="1"/>
  <c r="AE481" i="10"/>
  <c r="AG481" i="32" s="1"/>
  <c r="AF480" i="10"/>
  <c r="AE480" i="10"/>
  <c r="AF479" i="10"/>
  <c r="AE479" i="10"/>
  <c r="AF478" i="10"/>
  <c r="AE478" i="10"/>
  <c r="AF477" i="10"/>
  <c r="AE477" i="10"/>
  <c r="AF476" i="10"/>
  <c r="AH476" i="32" s="1"/>
  <c r="AE476" i="10"/>
  <c r="AG476" i="32" s="1"/>
  <c r="AF475" i="10"/>
  <c r="AH475" i="32" s="1"/>
  <c r="AE475" i="10"/>
  <c r="AG475" i="32" s="1"/>
  <c r="AF474" i="10"/>
  <c r="AH474" i="32" s="1"/>
  <c r="AE474" i="10"/>
  <c r="AG474" i="32" s="1"/>
  <c r="AF473" i="10"/>
  <c r="AH473" i="32" s="1"/>
  <c r="AE473" i="10"/>
  <c r="AG473" i="32" s="1"/>
  <c r="AF472" i="10"/>
  <c r="AH472" i="32" s="1"/>
  <c r="AE472" i="10"/>
  <c r="AG472" i="32" s="1"/>
  <c r="AF471" i="10"/>
  <c r="AH471" i="32" s="1"/>
  <c r="AE471" i="10"/>
  <c r="AG471" i="32" s="1"/>
  <c r="AF470" i="10"/>
  <c r="AH470" i="32" s="1"/>
  <c r="AE470" i="10"/>
  <c r="AG470" i="32" s="1"/>
  <c r="AF469" i="10"/>
  <c r="AH469" i="32" s="1"/>
  <c r="AE469" i="10"/>
  <c r="AG469" i="32" s="1"/>
  <c r="AF468" i="10"/>
  <c r="AH468" i="32" s="1"/>
  <c r="AE468" i="10"/>
  <c r="AG468" i="32" s="1"/>
  <c r="AF467" i="10"/>
  <c r="AH467" i="32" s="1"/>
  <c r="AE467" i="10"/>
  <c r="AG467" i="32" s="1"/>
  <c r="AF466" i="10"/>
  <c r="AH466" i="32" s="1"/>
  <c r="AE466" i="10"/>
  <c r="AG466" i="32" s="1"/>
  <c r="AF465" i="10"/>
  <c r="AH465" i="32" s="1"/>
  <c r="AE465" i="10"/>
  <c r="AG465" i="32" s="1"/>
  <c r="AF464" i="10"/>
  <c r="AH464" i="32" s="1"/>
  <c r="AE464" i="10"/>
  <c r="AG464" i="32" s="1"/>
  <c r="AF463" i="10"/>
  <c r="AH463" i="32" s="1"/>
  <c r="AE463" i="10"/>
  <c r="AG463" i="32" s="1"/>
  <c r="AF462" i="10"/>
  <c r="AH462" i="32" s="1"/>
  <c r="AE462" i="10"/>
  <c r="AG462" i="32" s="1"/>
  <c r="AF461" i="10"/>
  <c r="AH461" i="32" s="1"/>
  <c r="AE461" i="10"/>
  <c r="AG461" i="32" s="1"/>
  <c r="AF460" i="10"/>
  <c r="AH460" i="32" s="1"/>
  <c r="AE460" i="10"/>
  <c r="AG460" i="32" s="1"/>
  <c r="AF459" i="10"/>
  <c r="AH459" i="32" s="1"/>
  <c r="AE459" i="10"/>
  <c r="AG459" i="32" s="1"/>
  <c r="AF458" i="10"/>
  <c r="AH458" i="32" s="1"/>
  <c r="AE458" i="10"/>
  <c r="AG458" i="32" s="1"/>
  <c r="AF457" i="10"/>
  <c r="AH457" i="32" s="1"/>
  <c r="AE457" i="10"/>
  <c r="AG457" i="32" s="1"/>
  <c r="AF456" i="10"/>
  <c r="AH456" i="32" s="1"/>
  <c r="AE456" i="10"/>
  <c r="AG456" i="32" s="1"/>
  <c r="AF455" i="10"/>
  <c r="AH455" i="32" s="1"/>
  <c r="AE455" i="10"/>
  <c r="AG455" i="32" s="1"/>
  <c r="AF454" i="10"/>
  <c r="AH454" i="32" s="1"/>
  <c r="AE454" i="10"/>
  <c r="AG454" i="32" s="1"/>
  <c r="AF453" i="10"/>
  <c r="AH453" i="32" s="1"/>
  <c r="AE453" i="10"/>
  <c r="AG453" i="32" s="1"/>
  <c r="AF452" i="10"/>
  <c r="AH452" i="32" s="1"/>
  <c r="AE452" i="10"/>
  <c r="AG452" i="32" s="1"/>
  <c r="AF451" i="10"/>
  <c r="AH451" i="32" s="1"/>
  <c r="AE451" i="10"/>
  <c r="AG451" i="32" s="1"/>
  <c r="AF450" i="10"/>
  <c r="AH450" i="32" s="1"/>
  <c r="AE450" i="10"/>
  <c r="AG450" i="32" s="1"/>
  <c r="AF449" i="10"/>
  <c r="AH449" i="32" s="1"/>
  <c r="AE449" i="10"/>
  <c r="AG449" i="32" s="1"/>
  <c r="AF448" i="10"/>
  <c r="AH448" i="32" s="1"/>
  <c r="AE448" i="10"/>
  <c r="AG448" i="32" s="1"/>
  <c r="AF447" i="10"/>
  <c r="AH447" i="32" s="1"/>
  <c r="AE447" i="10"/>
  <c r="AG447" i="32" s="1"/>
  <c r="AF446" i="10"/>
  <c r="AH446" i="32" s="1"/>
  <c r="AE446" i="10"/>
  <c r="AG446" i="32" s="1"/>
  <c r="AF445" i="10"/>
  <c r="AH445" i="32" s="1"/>
  <c r="AE445" i="10"/>
  <c r="AG445" i="32" s="1"/>
  <c r="AF444" i="10"/>
  <c r="AH444" i="32" s="1"/>
  <c r="AE444" i="10"/>
  <c r="AG444" i="32" s="1"/>
  <c r="AF443" i="10"/>
  <c r="AH443" i="32" s="1"/>
  <c r="AE443" i="10"/>
  <c r="AG443" i="32" s="1"/>
  <c r="AF442" i="10"/>
  <c r="AH442" i="32" s="1"/>
  <c r="AE442" i="10"/>
  <c r="AG442" i="32" s="1"/>
  <c r="AF441" i="10"/>
  <c r="AH441" i="32" s="1"/>
  <c r="AE441" i="10"/>
  <c r="AG441" i="32" s="1"/>
  <c r="AF440" i="10"/>
  <c r="AH440" i="32" s="1"/>
  <c r="AE440" i="10"/>
  <c r="AG440" i="32" s="1"/>
  <c r="AF439" i="10"/>
  <c r="AH439" i="32" s="1"/>
  <c r="AE439" i="10"/>
  <c r="AG439" i="32" s="1"/>
  <c r="AF438" i="10"/>
  <c r="AH438" i="32" s="1"/>
  <c r="AE438" i="10"/>
  <c r="AG438" i="32" s="1"/>
  <c r="AF437" i="10"/>
  <c r="AH437" i="32" s="1"/>
  <c r="AE437" i="10"/>
  <c r="AG437" i="32" s="1"/>
  <c r="AF436" i="10"/>
  <c r="AH436" i="32" s="1"/>
  <c r="AE436" i="10"/>
  <c r="AG436" i="32" s="1"/>
  <c r="AF435" i="10"/>
  <c r="AH435" i="32" s="1"/>
  <c r="AE435" i="10"/>
  <c r="AG435" i="32" s="1"/>
  <c r="AF434" i="10"/>
  <c r="AH434" i="32" s="1"/>
  <c r="AE434" i="10"/>
  <c r="AG434" i="32" s="1"/>
  <c r="AF433" i="10"/>
  <c r="AH433" i="32" s="1"/>
  <c r="AE433" i="10"/>
  <c r="AG433" i="32" s="1"/>
  <c r="AF432" i="10"/>
  <c r="AH432" i="32" s="1"/>
  <c r="AE432" i="10"/>
  <c r="AG432" i="32" s="1"/>
  <c r="AF431" i="10"/>
  <c r="AH431" i="32" s="1"/>
  <c r="AE431" i="10"/>
  <c r="AG431" i="32" s="1"/>
  <c r="AF430" i="10"/>
  <c r="AH430" i="32" s="1"/>
  <c r="AE430" i="10"/>
  <c r="AG430" i="32" s="1"/>
  <c r="AF429" i="10"/>
  <c r="AH429" i="32" s="1"/>
  <c r="AE429" i="10"/>
  <c r="AG429" i="32" s="1"/>
  <c r="AF428" i="10"/>
  <c r="AH428" i="32" s="1"/>
  <c r="AE428" i="10"/>
  <c r="AG428" i="32" s="1"/>
  <c r="AF427" i="10"/>
  <c r="AH427" i="32" s="1"/>
  <c r="AE427" i="10"/>
  <c r="AG427" i="32" s="1"/>
  <c r="AF426" i="10"/>
  <c r="AH426" i="32" s="1"/>
  <c r="AE426" i="10"/>
  <c r="AG426" i="32" s="1"/>
  <c r="AF425" i="10"/>
  <c r="AH425" i="32" s="1"/>
  <c r="AE425" i="10"/>
  <c r="AG425" i="32" s="1"/>
  <c r="AF424" i="10"/>
  <c r="AH424" i="32" s="1"/>
  <c r="AE424" i="10"/>
  <c r="AG424" i="32" s="1"/>
  <c r="AF423" i="10"/>
  <c r="AH423" i="32" s="1"/>
  <c r="AE423" i="10"/>
  <c r="AG423" i="32" s="1"/>
  <c r="AF422" i="10"/>
  <c r="AH422" i="32" s="1"/>
  <c r="AE422" i="10"/>
  <c r="AG422" i="32" s="1"/>
  <c r="AF421" i="10"/>
  <c r="AH421" i="32" s="1"/>
  <c r="AE421" i="10"/>
  <c r="AG421" i="32" s="1"/>
  <c r="AF420" i="10"/>
  <c r="AE420" i="10"/>
  <c r="AF419" i="10"/>
  <c r="AH419" i="32" s="1"/>
  <c r="AE419" i="10"/>
  <c r="AG419" i="32" s="1"/>
  <c r="AF418" i="10"/>
  <c r="AH418" i="32" s="1"/>
  <c r="AE418" i="10"/>
  <c r="AG418" i="32" s="1"/>
  <c r="AF417" i="10"/>
  <c r="AH417" i="32" s="1"/>
  <c r="AE417" i="10"/>
  <c r="AG417" i="32" s="1"/>
  <c r="AF416" i="10"/>
  <c r="AH416" i="32" s="1"/>
  <c r="AE416" i="10"/>
  <c r="AG416" i="32" s="1"/>
  <c r="AF415" i="10"/>
  <c r="AH415" i="32" s="1"/>
  <c r="AE415" i="10"/>
  <c r="AG415" i="32" s="1"/>
  <c r="AF414" i="10"/>
  <c r="AH414" i="32" s="1"/>
  <c r="AE414" i="10"/>
  <c r="AG414" i="32" s="1"/>
  <c r="AF413" i="10"/>
  <c r="AH413" i="32" s="1"/>
  <c r="AE413" i="10"/>
  <c r="AG413" i="32" s="1"/>
  <c r="AF412" i="10"/>
  <c r="AH412" i="32" s="1"/>
  <c r="AE412" i="10"/>
  <c r="AG412" i="32" s="1"/>
  <c r="AF411" i="10"/>
  <c r="AH411" i="32" s="1"/>
  <c r="AE411" i="10"/>
  <c r="AG411" i="32" s="1"/>
  <c r="AF410" i="10"/>
  <c r="AH410" i="32" s="1"/>
  <c r="AE410" i="10"/>
  <c r="AG410" i="32" s="1"/>
  <c r="AF409" i="10"/>
  <c r="AH409" i="32" s="1"/>
  <c r="AE409" i="10"/>
  <c r="AG409" i="32" s="1"/>
  <c r="AF408" i="10"/>
  <c r="AH408" i="32" s="1"/>
  <c r="AE408" i="10"/>
  <c r="AG408" i="32" s="1"/>
  <c r="AF407" i="10"/>
  <c r="AH407" i="32" s="1"/>
  <c r="AE407" i="10"/>
  <c r="AG407" i="32" s="1"/>
  <c r="AF406" i="10"/>
  <c r="AH406" i="32" s="1"/>
  <c r="AE406" i="10"/>
  <c r="AG406" i="32" s="1"/>
  <c r="AF405" i="10"/>
  <c r="AH405" i="32" s="1"/>
  <c r="AE405" i="10"/>
  <c r="AG405" i="32" s="1"/>
  <c r="AF404" i="10"/>
  <c r="AH404" i="32" s="1"/>
  <c r="AE404" i="10"/>
  <c r="AG404" i="32" s="1"/>
  <c r="AF403" i="10"/>
  <c r="AH403" i="32" s="1"/>
  <c r="AE403" i="10"/>
  <c r="AG403" i="32" s="1"/>
  <c r="AF402" i="10"/>
  <c r="AH402" i="32" s="1"/>
  <c r="AE402" i="10"/>
  <c r="AG402" i="32" s="1"/>
  <c r="AF401" i="10"/>
  <c r="AH401" i="32" s="1"/>
  <c r="AE401" i="10"/>
  <c r="AG401" i="32" s="1"/>
  <c r="AF400" i="10"/>
  <c r="AH400" i="32" s="1"/>
  <c r="AE400" i="10"/>
  <c r="AG400" i="32" s="1"/>
  <c r="AF399" i="10"/>
  <c r="AH399" i="32" s="1"/>
  <c r="AE399" i="10"/>
  <c r="AG399" i="32" s="1"/>
  <c r="AF398" i="10"/>
  <c r="AH398" i="32" s="1"/>
  <c r="AE398" i="10"/>
  <c r="AG398" i="32" s="1"/>
  <c r="AF397" i="10"/>
  <c r="AH397" i="32" s="1"/>
  <c r="AE397" i="10"/>
  <c r="AG397" i="32" s="1"/>
  <c r="AF396" i="10"/>
  <c r="AH396" i="32" s="1"/>
  <c r="AE396" i="10"/>
  <c r="AG396" i="32" s="1"/>
  <c r="AF395" i="10"/>
  <c r="AH395" i="32" s="1"/>
  <c r="AE395" i="10"/>
  <c r="AG395" i="32" s="1"/>
  <c r="AF394" i="10"/>
  <c r="AH394" i="32" s="1"/>
  <c r="AE394" i="10"/>
  <c r="AG394" i="32" s="1"/>
  <c r="AF393" i="10"/>
  <c r="AH393" i="32" s="1"/>
  <c r="AE393" i="10"/>
  <c r="AG393" i="32" s="1"/>
  <c r="AF392" i="10"/>
  <c r="AH392" i="32" s="1"/>
  <c r="AE392" i="10"/>
  <c r="AG392" i="32" s="1"/>
  <c r="AF391" i="10"/>
  <c r="AH391" i="32" s="1"/>
  <c r="AE391" i="10"/>
  <c r="AG391" i="32" s="1"/>
  <c r="AF390" i="10"/>
  <c r="AH390" i="32" s="1"/>
  <c r="AE390" i="10"/>
  <c r="AG390" i="32" s="1"/>
  <c r="AF389" i="10"/>
  <c r="AH389" i="32" s="1"/>
  <c r="AE389" i="10"/>
  <c r="AG389" i="32" s="1"/>
  <c r="AF388" i="10"/>
  <c r="AH388" i="32" s="1"/>
  <c r="AE388" i="10"/>
  <c r="AG388" i="32" s="1"/>
  <c r="AF387" i="10"/>
  <c r="AH387" i="32" s="1"/>
  <c r="AE387" i="10"/>
  <c r="AG387" i="32" s="1"/>
  <c r="AE386" i="10"/>
  <c r="AE385" i="10"/>
  <c r="AF384" i="10"/>
  <c r="AH384" i="32" s="1"/>
  <c r="AE384" i="10"/>
  <c r="AG384" i="32" s="1"/>
  <c r="AF383" i="10"/>
  <c r="AH383" i="32" s="1"/>
  <c r="AE383" i="10"/>
  <c r="AG383" i="32" s="1"/>
  <c r="AF382" i="10"/>
  <c r="AH382" i="32" s="1"/>
  <c r="AE382" i="10"/>
  <c r="AG382" i="32" s="1"/>
  <c r="AF381" i="10"/>
  <c r="AH381" i="32" s="1"/>
  <c r="AE381" i="10"/>
  <c r="AG381" i="32" s="1"/>
  <c r="AF380" i="10"/>
  <c r="AE380" i="10"/>
  <c r="AF379" i="10"/>
  <c r="AH379" i="32" s="1"/>
  <c r="AE379" i="10"/>
  <c r="AG379" i="32" s="1"/>
  <c r="AF378" i="10"/>
  <c r="AE378" i="10"/>
  <c r="AF377" i="10"/>
  <c r="AE377" i="10"/>
  <c r="AF376" i="10"/>
  <c r="AE376" i="10"/>
  <c r="AF375" i="10"/>
  <c r="AE375" i="10"/>
  <c r="AF374" i="10"/>
  <c r="AE374" i="10"/>
  <c r="AF373" i="10"/>
  <c r="AE373" i="10"/>
  <c r="AF372" i="10"/>
  <c r="AE372" i="10"/>
  <c r="AF371" i="10"/>
  <c r="AE371" i="10"/>
  <c r="AF370" i="10"/>
  <c r="AE370" i="10"/>
  <c r="AF369" i="10"/>
  <c r="AH369" i="32" s="1"/>
  <c r="AE369" i="10"/>
  <c r="AG369" i="32" s="1"/>
  <c r="AF368" i="10"/>
  <c r="AH368" i="32" s="1"/>
  <c r="AE368" i="10"/>
  <c r="AG368" i="32" s="1"/>
  <c r="AF367" i="10"/>
  <c r="AH367" i="32" s="1"/>
  <c r="AE367" i="10"/>
  <c r="AG367" i="32" s="1"/>
  <c r="AF366" i="10"/>
  <c r="AH366" i="32" s="1"/>
  <c r="AE366" i="10"/>
  <c r="AG366" i="32" s="1"/>
  <c r="AF365" i="10"/>
  <c r="AH365" i="32" s="1"/>
  <c r="AE365" i="10"/>
  <c r="AG365" i="32" s="1"/>
  <c r="AF364" i="10"/>
  <c r="AH364" i="32" s="1"/>
  <c r="AE364" i="10"/>
  <c r="AG364" i="32" s="1"/>
  <c r="AF363" i="10"/>
  <c r="AH363" i="32" s="1"/>
  <c r="AE363" i="10"/>
  <c r="AG363" i="32" s="1"/>
  <c r="AF362" i="10"/>
  <c r="AH362" i="32" s="1"/>
  <c r="AE362" i="10"/>
  <c r="AG362" i="32" s="1"/>
  <c r="AF361" i="10"/>
  <c r="AH361" i="32" s="1"/>
  <c r="AE361" i="10"/>
  <c r="AG361" i="32" s="1"/>
  <c r="AF360" i="10"/>
  <c r="AH360" i="32" s="1"/>
  <c r="AE360" i="10"/>
  <c r="AG360" i="32" s="1"/>
  <c r="AF359" i="10"/>
  <c r="AH359" i="32" s="1"/>
  <c r="AE359" i="10"/>
  <c r="AG359" i="32" s="1"/>
  <c r="AF358" i="10"/>
  <c r="AH358" i="32" s="1"/>
  <c r="AE358" i="10"/>
  <c r="AG358" i="32" s="1"/>
  <c r="AF357" i="10"/>
  <c r="AH357" i="32" s="1"/>
  <c r="AE357" i="10"/>
  <c r="AG357" i="32" s="1"/>
  <c r="AF356" i="10"/>
  <c r="AH356" i="32" s="1"/>
  <c r="AE356" i="10"/>
  <c r="AG356" i="32" s="1"/>
  <c r="AF355" i="10"/>
  <c r="AH355" i="32" s="1"/>
  <c r="AE355" i="10"/>
  <c r="AG355" i="32" s="1"/>
  <c r="AF354" i="10"/>
  <c r="AH354" i="32" s="1"/>
  <c r="AE354" i="10"/>
  <c r="AG354" i="32" s="1"/>
  <c r="AF353" i="10"/>
  <c r="AH353" i="32" s="1"/>
  <c r="AE353" i="10"/>
  <c r="AG353" i="32" s="1"/>
  <c r="AF352" i="10"/>
  <c r="AH352" i="32" s="1"/>
  <c r="AE352" i="10"/>
  <c r="AG352" i="32" s="1"/>
  <c r="AF351" i="10"/>
  <c r="AH351" i="32" s="1"/>
  <c r="AE351" i="10"/>
  <c r="AG351" i="32" s="1"/>
  <c r="AF350" i="10"/>
  <c r="AH350" i="32" s="1"/>
  <c r="AE350" i="10"/>
  <c r="AG350" i="32" s="1"/>
  <c r="AF349" i="10"/>
  <c r="AE349" i="10"/>
  <c r="AF348" i="10"/>
  <c r="AE348" i="10"/>
  <c r="AF347" i="10"/>
  <c r="AE347" i="10"/>
  <c r="AF346" i="10"/>
  <c r="AH346" i="32" s="1"/>
  <c r="AE346" i="10"/>
  <c r="AG346" i="32" s="1"/>
  <c r="AF345" i="10"/>
  <c r="AH345" i="32" s="1"/>
  <c r="AE345" i="10"/>
  <c r="AG345" i="32" s="1"/>
  <c r="AF344" i="10"/>
  <c r="AH344" i="32" s="1"/>
  <c r="AE344" i="10"/>
  <c r="AG344" i="32" s="1"/>
  <c r="AF343" i="10"/>
  <c r="AH343" i="32" s="1"/>
  <c r="AE343" i="10"/>
  <c r="AG343" i="32" s="1"/>
  <c r="AF342" i="10"/>
  <c r="AH342" i="32" s="1"/>
  <c r="AE342" i="10"/>
  <c r="AG342" i="32" s="1"/>
  <c r="AF341" i="10"/>
  <c r="AH341" i="32" s="1"/>
  <c r="AE341" i="10"/>
  <c r="AG341" i="32" s="1"/>
  <c r="AF340" i="10"/>
  <c r="AH340" i="32" s="1"/>
  <c r="AE340" i="10"/>
  <c r="AG340" i="32" s="1"/>
  <c r="AF339" i="10"/>
  <c r="AE339" i="10"/>
  <c r="AF338" i="10"/>
  <c r="AE338" i="10"/>
  <c r="AF337" i="10"/>
  <c r="AE337" i="10"/>
  <c r="AF336" i="10"/>
  <c r="AH336" i="32" s="1"/>
  <c r="AE336" i="10"/>
  <c r="AG336" i="32" s="1"/>
  <c r="AF335" i="10"/>
  <c r="AH335" i="32" s="1"/>
  <c r="AE335" i="10"/>
  <c r="AG335" i="32" s="1"/>
  <c r="AF334" i="10"/>
  <c r="AH334" i="32" s="1"/>
  <c r="AE334" i="10"/>
  <c r="AG334" i="32" s="1"/>
  <c r="AF333" i="10"/>
  <c r="AH333" i="32" s="1"/>
  <c r="AE333" i="10"/>
  <c r="AG333" i="32" s="1"/>
  <c r="AF332" i="10"/>
  <c r="AH332" i="32" s="1"/>
  <c r="AE332" i="10"/>
  <c r="AG332" i="32" s="1"/>
  <c r="AF331" i="10"/>
  <c r="AH331" i="32" s="1"/>
  <c r="AE331" i="10"/>
  <c r="AG331" i="32" s="1"/>
  <c r="AF330" i="10"/>
  <c r="AH330" i="32" s="1"/>
  <c r="AE330" i="10"/>
  <c r="AG330" i="32" s="1"/>
  <c r="AF329" i="10"/>
  <c r="AH329" i="32" s="1"/>
  <c r="AE329" i="10"/>
  <c r="AG329" i="32" s="1"/>
  <c r="AF328" i="10"/>
  <c r="AH328" i="32" s="1"/>
  <c r="AE328" i="10"/>
  <c r="AG328" i="32" s="1"/>
  <c r="AF327" i="10"/>
  <c r="AH327" i="32" s="1"/>
  <c r="AE327" i="10"/>
  <c r="AG327" i="32" s="1"/>
  <c r="AF326" i="10"/>
  <c r="AH326" i="32" s="1"/>
  <c r="AE326" i="10"/>
  <c r="AG326" i="32" s="1"/>
  <c r="AF325" i="10"/>
  <c r="AH325" i="32" s="1"/>
  <c r="AE325" i="10"/>
  <c r="AG325" i="32" s="1"/>
  <c r="AF324" i="10"/>
  <c r="AH324" i="32" s="1"/>
  <c r="AE324" i="10"/>
  <c r="AG324" i="32" s="1"/>
  <c r="AF323" i="10"/>
  <c r="AH323" i="32" s="1"/>
  <c r="AE323" i="10"/>
  <c r="AG323" i="32" s="1"/>
  <c r="AF322" i="10"/>
  <c r="AH322" i="32" s="1"/>
  <c r="AE322" i="10"/>
  <c r="AG322" i="32" s="1"/>
  <c r="AF321" i="10"/>
  <c r="AH321" i="32" s="1"/>
  <c r="AE321" i="10"/>
  <c r="AG321" i="32" s="1"/>
  <c r="AF320" i="10"/>
  <c r="AH320" i="32" s="1"/>
  <c r="AE320" i="10"/>
  <c r="AG320" i="32" s="1"/>
  <c r="AF319" i="10"/>
  <c r="AH319" i="32" s="1"/>
  <c r="AE319" i="10"/>
  <c r="AG319" i="32" s="1"/>
  <c r="AF318" i="10"/>
  <c r="AH318" i="32" s="1"/>
  <c r="AE318" i="10"/>
  <c r="AG318" i="32" s="1"/>
  <c r="AF317" i="10"/>
  <c r="AH317" i="32" s="1"/>
  <c r="AE317" i="10"/>
  <c r="AG317" i="32" s="1"/>
  <c r="AF316" i="10"/>
  <c r="AH316" i="32" s="1"/>
  <c r="AE316" i="10"/>
  <c r="AG316" i="32" s="1"/>
  <c r="AF315" i="10"/>
  <c r="AH315" i="32" s="1"/>
  <c r="AE315" i="10"/>
  <c r="AG315" i="32" s="1"/>
  <c r="AF314" i="10"/>
  <c r="AH314" i="32" s="1"/>
  <c r="AE314" i="10"/>
  <c r="AG314" i="32" s="1"/>
  <c r="AF313" i="10"/>
  <c r="AH313" i="32" s="1"/>
  <c r="AE313" i="10"/>
  <c r="AG313" i="32" s="1"/>
  <c r="AF312" i="10"/>
  <c r="AE312" i="10"/>
  <c r="AF311" i="10"/>
  <c r="AH311" i="32" s="1"/>
  <c r="AE311" i="10"/>
  <c r="AG311" i="32" s="1"/>
  <c r="AF310" i="10"/>
  <c r="AH310" i="32" s="1"/>
  <c r="AE310" i="10"/>
  <c r="AG310" i="32" s="1"/>
  <c r="AF309" i="10"/>
  <c r="AH309" i="32" s="1"/>
  <c r="AE309" i="10"/>
  <c r="AG309" i="32" s="1"/>
  <c r="AF308" i="10"/>
  <c r="AH308" i="32" s="1"/>
  <c r="AE308" i="10"/>
  <c r="AG308" i="32" s="1"/>
  <c r="AF307" i="10"/>
  <c r="AH307" i="32" s="1"/>
  <c r="AE307" i="10"/>
  <c r="AG307" i="32" s="1"/>
  <c r="AF306" i="10"/>
  <c r="AH306" i="32" s="1"/>
  <c r="AE306" i="10"/>
  <c r="AG306" i="32" s="1"/>
  <c r="AF305" i="10"/>
  <c r="AH305" i="32" s="1"/>
  <c r="AE305" i="10"/>
  <c r="AG305" i="32" s="1"/>
  <c r="AF304" i="10"/>
  <c r="AH304" i="32" s="1"/>
  <c r="AE304" i="10"/>
  <c r="AG304" i="32" s="1"/>
  <c r="AF303" i="10"/>
  <c r="AH303" i="32" s="1"/>
  <c r="AE303" i="10"/>
  <c r="AG303" i="32" s="1"/>
  <c r="AF302" i="10"/>
  <c r="AH302" i="32" s="1"/>
  <c r="AE302" i="10"/>
  <c r="AG302" i="32" s="1"/>
  <c r="AF301" i="10"/>
  <c r="AH301" i="32" s="1"/>
  <c r="AE301" i="10"/>
  <c r="AG301" i="32" s="1"/>
  <c r="AF300" i="10"/>
  <c r="AH300" i="32" s="1"/>
  <c r="AE300" i="10"/>
  <c r="AG300" i="32" s="1"/>
  <c r="AF299" i="10"/>
  <c r="AH299" i="32" s="1"/>
  <c r="AE299" i="10"/>
  <c r="AG299" i="32" s="1"/>
  <c r="AF298" i="10"/>
  <c r="AE298" i="10"/>
  <c r="AF297" i="10"/>
  <c r="AH297" i="32" s="1"/>
  <c r="AE297" i="10"/>
  <c r="AG297" i="32" s="1"/>
  <c r="AF296" i="10"/>
  <c r="AH296" i="32" s="1"/>
  <c r="AE296" i="10"/>
  <c r="AG296" i="32" s="1"/>
  <c r="AF295" i="10"/>
  <c r="AH295" i="32" s="1"/>
  <c r="AE295" i="10"/>
  <c r="AG295" i="32" s="1"/>
  <c r="AF294" i="10"/>
  <c r="AE294" i="10"/>
  <c r="AF293" i="10"/>
  <c r="AE293" i="10"/>
  <c r="AF220" i="10"/>
  <c r="AE220" i="10"/>
  <c r="AF219" i="10"/>
  <c r="AE219" i="10"/>
  <c r="AF218" i="10"/>
  <c r="AH218" i="32" s="1"/>
  <c r="AE218" i="10"/>
  <c r="AG218" i="32" s="1"/>
  <c r="AF217" i="10"/>
  <c r="AH217" i="32" s="1"/>
  <c r="AE217" i="10"/>
  <c r="AG217" i="32" s="1"/>
  <c r="AF216" i="10"/>
  <c r="AH216" i="32" s="1"/>
  <c r="AE216" i="10"/>
  <c r="AG216" i="32" s="1"/>
  <c r="AF215" i="10"/>
  <c r="AH215" i="32" s="1"/>
  <c r="AE215" i="10"/>
  <c r="AG215" i="32" s="1"/>
  <c r="AF214" i="10"/>
  <c r="AH214" i="32" s="1"/>
  <c r="AE214" i="10"/>
  <c r="AG214" i="32" s="1"/>
  <c r="AF213" i="10"/>
  <c r="AH213" i="32" s="1"/>
  <c r="AE213" i="10"/>
  <c r="AG213" i="32" s="1"/>
  <c r="AF212" i="10"/>
  <c r="AH212" i="32" s="1"/>
  <c r="AE212" i="10"/>
  <c r="AG212" i="32" s="1"/>
  <c r="AF211" i="10"/>
  <c r="AH211" i="32" s="1"/>
  <c r="AE211" i="10"/>
  <c r="AG211" i="32" s="1"/>
  <c r="AF210" i="10"/>
  <c r="AH210" i="32" s="1"/>
  <c r="AE210" i="10"/>
  <c r="AG210" i="32" s="1"/>
  <c r="AF209" i="10"/>
  <c r="AH209" i="32" s="1"/>
  <c r="AE209" i="10"/>
  <c r="AG209" i="32" s="1"/>
  <c r="AF208" i="10"/>
  <c r="AH208" i="32" s="1"/>
  <c r="AE208" i="10"/>
  <c r="AG208" i="32" s="1"/>
  <c r="AF207" i="10"/>
  <c r="AE207" i="10"/>
  <c r="AF206" i="10"/>
  <c r="AH206" i="32" s="1"/>
  <c r="AE206" i="10"/>
  <c r="AG206" i="32" s="1"/>
  <c r="AF205" i="10"/>
  <c r="AH205" i="32" s="1"/>
  <c r="AE205" i="10"/>
  <c r="AG205" i="32" s="1"/>
  <c r="AF204" i="10"/>
  <c r="AH204" i="32" s="1"/>
  <c r="AE204" i="10"/>
  <c r="AG204" i="32" s="1"/>
  <c r="AF203" i="10"/>
  <c r="AH203" i="32" s="1"/>
  <c r="AE203" i="10"/>
  <c r="AG203" i="32" s="1"/>
  <c r="AF202" i="10"/>
  <c r="AH202" i="32" s="1"/>
  <c r="AE202" i="10"/>
  <c r="AG202" i="32" s="1"/>
  <c r="AF201" i="10"/>
  <c r="AH201" i="32" s="1"/>
  <c r="AE201" i="10"/>
  <c r="AG201" i="32" s="1"/>
  <c r="AF200" i="10"/>
  <c r="AH200" i="32" s="1"/>
  <c r="AE200" i="10"/>
  <c r="AG200" i="32" s="1"/>
  <c r="AF199" i="10"/>
  <c r="AH199" i="32" s="1"/>
  <c r="AE199" i="10"/>
  <c r="AG199" i="32" s="1"/>
  <c r="AF198" i="10"/>
  <c r="AH198" i="32" s="1"/>
  <c r="AE198" i="10"/>
  <c r="AG198" i="32" s="1"/>
  <c r="AF197" i="10"/>
  <c r="AH197" i="32" s="1"/>
  <c r="AE197" i="10"/>
  <c r="AG197" i="32" s="1"/>
  <c r="AF196" i="10"/>
  <c r="AH196" i="32" s="1"/>
  <c r="AE196" i="10"/>
  <c r="AG196" i="32" s="1"/>
  <c r="AF195" i="10"/>
  <c r="AH195" i="32" s="1"/>
  <c r="AE195" i="10"/>
  <c r="AG195" i="32" s="1"/>
  <c r="AF194" i="10"/>
  <c r="AH194" i="32" s="1"/>
  <c r="AE194" i="10"/>
  <c r="AG194" i="32" s="1"/>
  <c r="AF193" i="10"/>
  <c r="AH193" i="32" s="1"/>
  <c r="AE193" i="10"/>
  <c r="AG193" i="32" s="1"/>
  <c r="AF192" i="10"/>
  <c r="AH192" i="32" s="1"/>
  <c r="AE192" i="10"/>
  <c r="AG192" i="32" s="1"/>
  <c r="AF191" i="10"/>
  <c r="AH191" i="32" s="1"/>
  <c r="AE191" i="10"/>
  <c r="AG191" i="32" s="1"/>
  <c r="AF190" i="10"/>
  <c r="AH190" i="32" s="1"/>
  <c r="AE190" i="10"/>
  <c r="AG190" i="32" s="1"/>
  <c r="AF189" i="10"/>
  <c r="AH189" i="32" s="1"/>
  <c r="AE189" i="10"/>
  <c r="AG189" i="32" s="1"/>
  <c r="AF188" i="10"/>
  <c r="AH188" i="32" s="1"/>
  <c r="AE188" i="10"/>
  <c r="AG188" i="32" s="1"/>
  <c r="AF187" i="10"/>
  <c r="AH187" i="32" s="1"/>
  <c r="AE187" i="10"/>
  <c r="AG187" i="32" s="1"/>
  <c r="AF186" i="10"/>
  <c r="AH186" i="32" s="1"/>
  <c r="AE186" i="10"/>
  <c r="AG186" i="32" s="1"/>
  <c r="AF185" i="10"/>
  <c r="AH185" i="32" s="1"/>
  <c r="AE185" i="10"/>
  <c r="AG185" i="32" s="1"/>
  <c r="AF184" i="10"/>
  <c r="AH184" i="32" s="1"/>
  <c r="AE184" i="10"/>
  <c r="AG184" i="32" s="1"/>
  <c r="AF183" i="10"/>
  <c r="AH183" i="32" s="1"/>
  <c r="AE183" i="10"/>
  <c r="AG183" i="32" s="1"/>
  <c r="AF182" i="10"/>
  <c r="AH182" i="32" s="1"/>
  <c r="AE182" i="10"/>
  <c r="AG182" i="32" s="1"/>
  <c r="AF181" i="10"/>
  <c r="AH181" i="32" s="1"/>
  <c r="AE181" i="10"/>
  <c r="AG181" i="32" s="1"/>
  <c r="AF180" i="10"/>
  <c r="AH180" i="32" s="1"/>
  <c r="AE180" i="10"/>
  <c r="AG180" i="32" s="1"/>
  <c r="AF179" i="10"/>
  <c r="AH179" i="32" s="1"/>
  <c r="AE179" i="10"/>
  <c r="AG179" i="32" s="1"/>
  <c r="AF178" i="10"/>
  <c r="AH178" i="32" s="1"/>
  <c r="AE178" i="10"/>
  <c r="AG178" i="32" s="1"/>
  <c r="AF177" i="10"/>
  <c r="AH177" i="32" s="1"/>
  <c r="AE177" i="10"/>
  <c r="AG177" i="32" s="1"/>
  <c r="AF176" i="10"/>
  <c r="AH176" i="32" s="1"/>
  <c r="AE176" i="10"/>
  <c r="AG176" i="32" s="1"/>
  <c r="AF175" i="10"/>
  <c r="AH175" i="32" s="1"/>
  <c r="AE175" i="10"/>
  <c r="AG175" i="32" s="1"/>
  <c r="AF174" i="10"/>
  <c r="AH174" i="32" s="1"/>
  <c r="AE174" i="10"/>
  <c r="AG174" i="32" s="1"/>
  <c r="AF173" i="10"/>
  <c r="AH173" i="32" s="1"/>
  <c r="AE173" i="10"/>
  <c r="AG173" i="32" s="1"/>
  <c r="AF172" i="10"/>
  <c r="AH172" i="32" s="1"/>
  <c r="AE172" i="10"/>
  <c r="AG172" i="32" s="1"/>
  <c r="AF171" i="10"/>
  <c r="AH171" i="32" s="1"/>
  <c r="AE171" i="10"/>
  <c r="AG171" i="32" s="1"/>
  <c r="AF170" i="10"/>
  <c r="AH170" i="32" s="1"/>
  <c r="AE170" i="10"/>
  <c r="AG170" i="32" s="1"/>
  <c r="AF169" i="10"/>
  <c r="AH169" i="32" s="1"/>
  <c r="AE169" i="10"/>
  <c r="AG169" i="32" s="1"/>
  <c r="AF168" i="10"/>
  <c r="AH168" i="32" s="1"/>
  <c r="AE168" i="10"/>
  <c r="AG168" i="32" s="1"/>
  <c r="AE167" i="10"/>
  <c r="AE166" i="10"/>
  <c r="AF164" i="10"/>
  <c r="AH164" i="32" s="1"/>
  <c r="AE164" i="10"/>
  <c r="AG164" i="32" s="1"/>
  <c r="AF163" i="10"/>
  <c r="AH163" i="32" s="1"/>
  <c r="AE163" i="10"/>
  <c r="AG163" i="32" s="1"/>
  <c r="AF162" i="10"/>
  <c r="AH162" i="32" s="1"/>
  <c r="AE162" i="10"/>
  <c r="AG162" i="32" s="1"/>
  <c r="AF161" i="10"/>
  <c r="AH161" i="32" s="1"/>
  <c r="AE161" i="10"/>
  <c r="AG161" i="32" s="1"/>
  <c r="AF160" i="10"/>
  <c r="AH160" i="32" s="1"/>
  <c r="AE160" i="10"/>
  <c r="AG160" i="32" s="1"/>
  <c r="AF159" i="10"/>
  <c r="AH159" i="32" s="1"/>
  <c r="AE159" i="10"/>
  <c r="AG159" i="32" s="1"/>
  <c r="AF158" i="10"/>
  <c r="AH158" i="32" s="1"/>
  <c r="AE158" i="10"/>
  <c r="AG158" i="32" s="1"/>
  <c r="AF157" i="10"/>
  <c r="AH157" i="32" s="1"/>
  <c r="AE157" i="10"/>
  <c r="AG157" i="32" s="1"/>
  <c r="AF156" i="10"/>
  <c r="AH156" i="32" s="1"/>
  <c r="AE156" i="10"/>
  <c r="AG156" i="32" s="1"/>
  <c r="AF155" i="10"/>
  <c r="AH155" i="32" s="1"/>
  <c r="AE155" i="10"/>
  <c r="AG155" i="32" s="1"/>
  <c r="AF154" i="10"/>
  <c r="AH154" i="32" s="1"/>
  <c r="AE154" i="10"/>
  <c r="AG154" i="32" s="1"/>
  <c r="AF153" i="10"/>
  <c r="AH153" i="32" s="1"/>
  <c r="AE153" i="10"/>
  <c r="AG153" i="32" s="1"/>
  <c r="AF152" i="10"/>
  <c r="AH152" i="32" s="1"/>
  <c r="AE152" i="10"/>
  <c r="AG152" i="32" s="1"/>
  <c r="AF151" i="10"/>
  <c r="AH151" i="32" s="1"/>
  <c r="AE151" i="10"/>
  <c r="AG151" i="32" s="1"/>
  <c r="AF150" i="10"/>
  <c r="AH150" i="32" s="1"/>
  <c r="AE150" i="10"/>
  <c r="AG150" i="32" s="1"/>
  <c r="AF149" i="10"/>
  <c r="AH149" i="32" s="1"/>
  <c r="AE149" i="10"/>
  <c r="AG149" i="32" s="1"/>
  <c r="AF148" i="10"/>
  <c r="AH148" i="32" s="1"/>
  <c r="AE148" i="10"/>
  <c r="AG148" i="32" s="1"/>
  <c r="AF147" i="10"/>
  <c r="AE147" i="10"/>
  <c r="AF146" i="10"/>
  <c r="AH146" i="32" s="1"/>
  <c r="AE146" i="10"/>
  <c r="AG146" i="32" s="1"/>
  <c r="AF145" i="10"/>
  <c r="AH145" i="32" s="1"/>
  <c r="AE145" i="10"/>
  <c r="AG145" i="32" s="1"/>
  <c r="AF144" i="10"/>
  <c r="AH144" i="32" s="1"/>
  <c r="AE144" i="10"/>
  <c r="AG144" i="32" s="1"/>
  <c r="AF143" i="10"/>
  <c r="AH143" i="32" s="1"/>
  <c r="AE143" i="10"/>
  <c r="AG143" i="32" s="1"/>
  <c r="AF142" i="10"/>
  <c r="AH142" i="32" s="1"/>
  <c r="AE142" i="10"/>
  <c r="AG142" i="32" s="1"/>
  <c r="AF141" i="10"/>
  <c r="AH141" i="32" s="1"/>
  <c r="AE141" i="10"/>
  <c r="AG141" i="32" s="1"/>
  <c r="AF140" i="10"/>
  <c r="AE140" i="10"/>
  <c r="AF139" i="10"/>
  <c r="AH139" i="32" s="1"/>
  <c r="AE139" i="10"/>
  <c r="AG139" i="32" s="1"/>
  <c r="AF138" i="10"/>
  <c r="AH138" i="32" s="1"/>
  <c r="AE138" i="10"/>
  <c r="AG138" i="32" s="1"/>
  <c r="AF137" i="10"/>
  <c r="AH137" i="32" s="1"/>
  <c r="AE137" i="10"/>
  <c r="AG137" i="32" s="1"/>
  <c r="AF136" i="10"/>
  <c r="AH136" i="32" s="1"/>
  <c r="AE136" i="10"/>
  <c r="AG136" i="32" s="1"/>
  <c r="AF135" i="10"/>
  <c r="AE135" i="10"/>
  <c r="AF134" i="10"/>
  <c r="AH134" i="32" s="1"/>
  <c r="AE134" i="10"/>
  <c r="AG134" i="32" s="1"/>
  <c r="AF133" i="10"/>
  <c r="AH133" i="32" s="1"/>
  <c r="AE133" i="10"/>
  <c r="AG133" i="32" s="1"/>
  <c r="AF132" i="10"/>
  <c r="AH132" i="32" s="1"/>
  <c r="AE132" i="10"/>
  <c r="AG132" i="32" s="1"/>
  <c r="AF131" i="10"/>
  <c r="AH131" i="32" s="1"/>
  <c r="AE131" i="10"/>
  <c r="AG131" i="32" s="1"/>
  <c r="AF130" i="10"/>
  <c r="AE130" i="10"/>
  <c r="AF129" i="10"/>
  <c r="AH129" i="32" s="1"/>
  <c r="AE129" i="10"/>
  <c r="AG129" i="32" s="1"/>
  <c r="AF128" i="10"/>
  <c r="AH128" i="32" s="1"/>
  <c r="AE128" i="10"/>
  <c r="AG128" i="32" s="1"/>
  <c r="AF127" i="10"/>
  <c r="AH127" i="32" s="1"/>
  <c r="AE127" i="10"/>
  <c r="AG127" i="32" s="1"/>
  <c r="AF126" i="10"/>
  <c r="AH126" i="32" s="1"/>
  <c r="AE126" i="10"/>
  <c r="AG126" i="32" s="1"/>
  <c r="AF125" i="10"/>
  <c r="AH125" i="32" s="1"/>
  <c r="AE125" i="10"/>
  <c r="AG125" i="32" s="1"/>
  <c r="AF124" i="10"/>
  <c r="AH124" i="32" s="1"/>
  <c r="AE124" i="10"/>
  <c r="AG124" i="32" s="1"/>
  <c r="AF123" i="10"/>
  <c r="AH123" i="32" s="1"/>
  <c r="AE123" i="10"/>
  <c r="AG123" i="32" s="1"/>
  <c r="AF122" i="10"/>
  <c r="AH122" i="32" s="1"/>
  <c r="AE122" i="10"/>
  <c r="AG122" i="32" s="1"/>
  <c r="AF121" i="10"/>
  <c r="AH121" i="32" s="1"/>
  <c r="AE121" i="10"/>
  <c r="AG121" i="32" s="1"/>
  <c r="AF120" i="10"/>
  <c r="AH120" i="32" s="1"/>
  <c r="AE120" i="10"/>
  <c r="AG120" i="32" s="1"/>
  <c r="AF118" i="10"/>
  <c r="AH118" i="32" s="1"/>
  <c r="AE118" i="10"/>
  <c r="AG118" i="32" s="1"/>
  <c r="AF117" i="10"/>
  <c r="AE117" i="10"/>
  <c r="AF116" i="10"/>
  <c r="AE116" i="10"/>
  <c r="AF115" i="10"/>
  <c r="AE115" i="10"/>
  <c r="AF114" i="10"/>
  <c r="AE114" i="10"/>
  <c r="AF113" i="10"/>
  <c r="AH113" i="32" s="1"/>
  <c r="AE113" i="10"/>
  <c r="AG113" i="32" s="1"/>
  <c r="AF112" i="10"/>
  <c r="AE112" i="10"/>
  <c r="AF111" i="10"/>
  <c r="AE111" i="10"/>
  <c r="AF110" i="10"/>
  <c r="AH110" i="32" s="1"/>
  <c r="AE110" i="10"/>
  <c r="AG110" i="32" s="1"/>
  <c r="AF109" i="10"/>
  <c r="AH109" i="32" s="1"/>
  <c r="AE109" i="10"/>
  <c r="AG109" i="32" s="1"/>
  <c r="AF108" i="10"/>
  <c r="AH108" i="32" s="1"/>
  <c r="AE108" i="10"/>
  <c r="AG108" i="32" s="1"/>
  <c r="AF107" i="10"/>
  <c r="AH107" i="32" s="1"/>
  <c r="AE107" i="10"/>
  <c r="AG107" i="32" s="1"/>
  <c r="AF106" i="10"/>
  <c r="AH106" i="32" s="1"/>
  <c r="AE106" i="10"/>
  <c r="AG106" i="32" s="1"/>
  <c r="AF105" i="10"/>
  <c r="AH105" i="32" s="1"/>
  <c r="AE105" i="10"/>
  <c r="AG105" i="32" s="1"/>
  <c r="AF104" i="10"/>
  <c r="AH104" i="32" s="1"/>
  <c r="AE104" i="10"/>
  <c r="AG104" i="32" s="1"/>
  <c r="AF103" i="10"/>
  <c r="AH103" i="32" s="1"/>
  <c r="AE103" i="10"/>
  <c r="AG103" i="32" s="1"/>
  <c r="AF102" i="10"/>
  <c r="AH102" i="32" s="1"/>
  <c r="AE102" i="10"/>
  <c r="AG102" i="32" s="1"/>
  <c r="AF101" i="10"/>
  <c r="AH101" i="32" s="1"/>
  <c r="AE101" i="10"/>
  <c r="AG101" i="32" s="1"/>
  <c r="AF100" i="10"/>
  <c r="AH100" i="32" s="1"/>
  <c r="AE100" i="10"/>
  <c r="AG100" i="32" s="1"/>
  <c r="AF99" i="10"/>
  <c r="AH99" i="32" s="1"/>
  <c r="AE99" i="10"/>
  <c r="AG99" i="32" s="1"/>
  <c r="AF98" i="10"/>
  <c r="AH98" i="32" s="1"/>
  <c r="AE98" i="10"/>
  <c r="AG98" i="32" s="1"/>
  <c r="AF97" i="10"/>
  <c r="AH97" i="32" s="1"/>
  <c r="AE97" i="10"/>
  <c r="AG97" i="32" s="1"/>
  <c r="AF96" i="10"/>
  <c r="AH96" i="32" s="1"/>
  <c r="AE96" i="10"/>
  <c r="AG96" i="32" s="1"/>
  <c r="AF95" i="10"/>
  <c r="AH95" i="32" s="1"/>
  <c r="AE95" i="10"/>
  <c r="AG95" i="32" s="1"/>
  <c r="AF94" i="10"/>
  <c r="AH94" i="32" s="1"/>
  <c r="AE94" i="10"/>
  <c r="AG94" i="32" s="1"/>
  <c r="AF93" i="10"/>
  <c r="AH93" i="32" s="1"/>
  <c r="AE93" i="10"/>
  <c r="AG93" i="32" s="1"/>
  <c r="AF92" i="10"/>
  <c r="AH92" i="32" s="1"/>
  <c r="AE92" i="10"/>
  <c r="AG92" i="32" s="1"/>
  <c r="AF91" i="10"/>
  <c r="AH91" i="32" s="1"/>
  <c r="AE91" i="10"/>
  <c r="AG91" i="32" s="1"/>
  <c r="AF90" i="10"/>
  <c r="AH90" i="32" s="1"/>
  <c r="AE90" i="10"/>
  <c r="AG90" i="32" s="1"/>
  <c r="AF89" i="10"/>
  <c r="AH89" i="32" s="1"/>
  <c r="AE89" i="10"/>
  <c r="AG89" i="32" s="1"/>
  <c r="AF88" i="10"/>
  <c r="AH88" i="32" s="1"/>
  <c r="AE88" i="10"/>
  <c r="AG88" i="32" s="1"/>
  <c r="AF87" i="10"/>
  <c r="AH87" i="32" s="1"/>
  <c r="AE87" i="10"/>
  <c r="AG87" i="32" s="1"/>
  <c r="AF86" i="10"/>
  <c r="AH86" i="32" s="1"/>
  <c r="AE86" i="10"/>
  <c r="AG86" i="32" s="1"/>
  <c r="AF85" i="10"/>
  <c r="AH85" i="32" s="1"/>
  <c r="AE85" i="10"/>
  <c r="AG85" i="32" s="1"/>
  <c r="AF84" i="10"/>
  <c r="AH84" i="32" s="1"/>
  <c r="AE84" i="10"/>
  <c r="AG84" i="32" s="1"/>
  <c r="AF83" i="10"/>
  <c r="AE83" i="10"/>
  <c r="AF82" i="10"/>
  <c r="AH82" i="32" s="1"/>
  <c r="AE82" i="10"/>
  <c r="AG82" i="32" s="1"/>
  <c r="AF81" i="10"/>
  <c r="AE81" i="10"/>
  <c r="AF80" i="10"/>
  <c r="AH80" i="32" s="1"/>
  <c r="AE80" i="10"/>
  <c r="AG80" i="32" s="1"/>
  <c r="AF79" i="10"/>
  <c r="AH79" i="32" s="1"/>
  <c r="AE79" i="10"/>
  <c r="AG79" i="32" s="1"/>
  <c r="AF78" i="10"/>
  <c r="AE78" i="10"/>
  <c r="AF77" i="10"/>
  <c r="AH77" i="32" s="1"/>
  <c r="AE77" i="10"/>
  <c r="AG77" i="32" s="1"/>
  <c r="AF76" i="10"/>
  <c r="AH76" i="32" s="1"/>
  <c r="AE76" i="10"/>
  <c r="AG76" i="32" s="1"/>
  <c r="AF75" i="10"/>
  <c r="AH75" i="32" s="1"/>
  <c r="AE75" i="10"/>
  <c r="AG75" i="32" s="1"/>
  <c r="AF74" i="10"/>
  <c r="AH74" i="32" s="1"/>
  <c r="AE74" i="10"/>
  <c r="AG74" i="32" s="1"/>
  <c r="AF73" i="10"/>
  <c r="AH73" i="32" s="1"/>
  <c r="AE73" i="10"/>
  <c r="AG73" i="32" s="1"/>
  <c r="AF72" i="10"/>
  <c r="AH72" i="32" s="1"/>
  <c r="AE72" i="10"/>
  <c r="AG72" i="32" s="1"/>
  <c r="AF71" i="10"/>
  <c r="AH71" i="32" s="1"/>
  <c r="AE71" i="10"/>
  <c r="AG71" i="32" s="1"/>
  <c r="AF70" i="10"/>
  <c r="AH70" i="32" s="1"/>
  <c r="AE70" i="10"/>
  <c r="AG70" i="32" s="1"/>
  <c r="AF69" i="10"/>
  <c r="AH69" i="32" s="1"/>
  <c r="AE69" i="10"/>
  <c r="AG69" i="32" s="1"/>
  <c r="AF68" i="10"/>
  <c r="AH68" i="32" s="1"/>
  <c r="AE68" i="10"/>
  <c r="AG68" i="32" s="1"/>
  <c r="AF67" i="10"/>
  <c r="AH67" i="32" s="1"/>
  <c r="AE67" i="10"/>
  <c r="AG67" i="32" s="1"/>
  <c r="AF66" i="10"/>
  <c r="AH66" i="32" s="1"/>
  <c r="AE66" i="10"/>
  <c r="AG66" i="32" s="1"/>
  <c r="AF65" i="10"/>
  <c r="AH65" i="32" s="1"/>
  <c r="AE65" i="10"/>
  <c r="AG65" i="32" s="1"/>
  <c r="AF64" i="10"/>
  <c r="AH64" i="32" s="1"/>
  <c r="AE64" i="10"/>
  <c r="AG64" i="32" s="1"/>
  <c r="AF63" i="10"/>
  <c r="AH63" i="32" s="1"/>
  <c r="AE63" i="10"/>
  <c r="AG63" i="32" s="1"/>
  <c r="AE62" i="10"/>
  <c r="AE61" i="10"/>
  <c r="AF60" i="10"/>
  <c r="AH60" i="32" s="1"/>
  <c r="AE60" i="10"/>
  <c r="AG60" i="32" s="1"/>
  <c r="AF59" i="10"/>
  <c r="AH59" i="32" s="1"/>
  <c r="AE59" i="10"/>
  <c r="AG59" i="32" s="1"/>
  <c r="AF58" i="10"/>
  <c r="AH58" i="32" s="1"/>
  <c r="AE58" i="10"/>
  <c r="AG58" i="32" s="1"/>
  <c r="AF57" i="10"/>
  <c r="AH57" i="32" s="1"/>
  <c r="AE57" i="10"/>
  <c r="AG57" i="32" s="1"/>
  <c r="AF56" i="10"/>
  <c r="AH56" i="32" s="1"/>
  <c r="AE56" i="10"/>
  <c r="AG56" i="32" s="1"/>
  <c r="AF55" i="10"/>
  <c r="AH55" i="32" s="1"/>
  <c r="AE55" i="10"/>
  <c r="AG55" i="32" s="1"/>
  <c r="AF54" i="10"/>
  <c r="AH54" i="32" s="1"/>
  <c r="AE54" i="10"/>
  <c r="AG54" i="32" s="1"/>
  <c r="AF53" i="10"/>
  <c r="AH53" i="32" s="1"/>
  <c r="AE53" i="10"/>
  <c r="AG53" i="32" s="1"/>
  <c r="AF52" i="10"/>
  <c r="AH52" i="32" s="1"/>
  <c r="AE52" i="10"/>
  <c r="AG52" i="32" s="1"/>
  <c r="AF51" i="10"/>
  <c r="AH51" i="32" s="1"/>
  <c r="AE51" i="10"/>
  <c r="AG51" i="32" s="1"/>
  <c r="AF50" i="10"/>
  <c r="AH50" i="32" s="1"/>
  <c r="AE50" i="10"/>
  <c r="AG50" i="32" s="1"/>
  <c r="AF49" i="10"/>
  <c r="AH49" i="32" s="1"/>
  <c r="AE49" i="10"/>
  <c r="AG49" i="32" s="1"/>
  <c r="AF48" i="10"/>
  <c r="AH48" i="32" s="1"/>
  <c r="AE48" i="10"/>
  <c r="AG48" i="32" s="1"/>
  <c r="AF47" i="10"/>
  <c r="AH47" i="32" s="1"/>
  <c r="AE47" i="10"/>
  <c r="AG47" i="32" s="1"/>
  <c r="AF46" i="10"/>
  <c r="AH46" i="32" s="1"/>
  <c r="AE46" i="10"/>
  <c r="AG46" i="32" s="1"/>
  <c r="AF45" i="10"/>
  <c r="AH45" i="32" s="1"/>
  <c r="AE45" i="10"/>
  <c r="AG45" i="32" s="1"/>
  <c r="AF44" i="10"/>
  <c r="AH44" i="32" s="1"/>
  <c r="AE44" i="10"/>
  <c r="AG44" i="32" s="1"/>
  <c r="AF43" i="10"/>
  <c r="AH43" i="32" s="1"/>
  <c r="AE43" i="10"/>
  <c r="AG43" i="32" s="1"/>
  <c r="AF42" i="10"/>
  <c r="AH42" i="32" s="1"/>
  <c r="AE42" i="10"/>
  <c r="AG42" i="32" s="1"/>
  <c r="AF41" i="10"/>
  <c r="AH41" i="32" s="1"/>
  <c r="AE41" i="10"/>
  <c r="AG41" i="32" s="1"/>
  <c r="AF40" i="10"/>
  <c r="AH40" i="32" s="1"/>
  <c r="AE40" i="10"/>
  <c r="AG40" i="32" s="1"/>
  <c r="AF39" i="10"/>
  <c r="AE39" i="10"/>
  <c r="AF38" i="10"/>
  <c r="AH38" i="32" s="1"/>
  <c r="AE38" i="10"/>
  <c r="AG38" i="32" s="1"/>
  <c r="AF37" i="10"/>
  <c r="AH37" i="32" s="1"/>
  <c r="AE37" i="10"/>
  <c r="AG37" i="32" s="1"/>
  <c r="AF36" i="10"/>
  <c r="AE36" i="10"/>
  <c r="AF35" i="10"/>
  <c r="AH35" i="32" s="1"/>
  <c r="AE35" i="10"/>
  <c r="AG35" i="32" s="1"/>
  <c r="AF34" i="10"/>
  <c r="AH34" i="32" s="1"/>
  <c r="AE34" i="10"/>
  <c r="AG34" i="32" s="1"/>
  <c r="AF33" i="10"/>
  <c r="AH33" i="32" s="1"/>
  <c r="AE33" i="10"/>
  <c r="AG33" i="32" s="1"/>
  <c r="AF32" i="10"/>
  <c r="AH32" i="32" s="1"/>
  <c r="AE32" i="10"/>
  <c r="AG32" i="32" s="1"/>
  <c r="AF31" i="10"/>
  <c r="AH31" i="32" s="1"/>
  <c r="AE31" i="10"/>
  <c r="AG31" i="32" s="1"/>
  <c r="AF30" i="10"/>
  <c r="AH30" i="32" s="1"/>
  <c r="AE30" i="10"/>
  <c r="AG30" i="32" s="1"/>
  <c r="AF29" i="10"/>
  <c r="AH29" i="32" s="1"/>
  <c r="AE29" i="10"/>
  <c r="AG29" i="32" s="1"/>
  <c r="AF28" i="10"/>
  <c r="AH28" i="32" s="1"/>
  <c r="AE28" i="10"/>
  <c r="AG28" i="32" s="1"/>
  <c r="AF27" i="10"/>
  <c r="AH27" i="32" s="1"/>
  <c r="AE27" i="10"/>
  <c r="AG27" i="32" s="1"/>
  <c r="AF26" i="10"/>
  <c r="AH26" i="32" s="1"/>
  <c r="AE26" i="10"/>
  <c r="AG26" i="32" s="1"/>
  <c r="AF25" i="10"/>
  <c r="AH25" i="32" s="1"/>
  <c r="AE25" i="10"/>
  <c r="AG25" i="32" s="1"/>
  <c r="AF24" i="10"/>
  <c r="AH24" i="32" s="1"/>
  <c r="AE24" i="10"/>
  <c r="AG24" i="32" s="1"/>
  <c r="AF23" i="10"/>
  <c r="AH23" i="32" s="1"/>
  <c r="AE23" i="10"/>
  <c r="AG23" i="32" s="1"/>
  <c r="AF22" i="10"/>
  <c r="AE22" i="10"/>
  <c r="AF21" i="10"/>
  <c r="AH21" i="32" s="1"/>
  <c r="AE21" i="10"/>
  <c r="AG21" i="32" s="1"/>
  <c r="AF20" i="10"/>
  <c r="AE20" i="10"/>
  <c r="AF19" i="10"/>
  <c r="AH19" i="32" s="1"/>
  <c r="AE19" i="10"/>
  <c r="AG19" i="32" s="1"/>
  <c r="AF18" i="10"/>
  <c r="AH18" i="32" s="1"/>
  <c r="AE18" i="10"/>
  <c r="AG18" i="32" s="1"/>
  <c r="AF17" i="10"/>
  <c r="AH17" i="32" s="1"/>
  <c r="AE17" i="10"/>
  <c r="AG17" i="32" s="1"/>
  <c r="AF16" i="10"/>
  <c r="AH16" i="32" s="1"/>
  <c r="AE16" i="10"/>
  <c r="AG16" i="32" s="1"/>
  <c r="AF15" i="10"/>
  <c r="AH15" i="32" s="1"/>
  <c r="AE15" i="10"/>
  <c r="AG15" i="32" s="1"/>
  <c r="AF14" i="10"/>
  <c r="AE14" i="10"/>
  <c r="AF13" i="10"/>
  <c r="AH13" i="32" s="1"/>
  <c r="AE13" i="10"/>
  <c r="AG13" i="32" s="1"/>
  <c r="AF12" i="10"/>
  <c r="AE12" i="10"/>
  <c r="B12" i="10"/>
  <c r="B13" i="10" s="1"/>
  <c r="B14" i="10" s="1"/>
  <c r="B15" i="10" s="1"/>
  <c r="B16" i="10" s="1"/>
  <c r="B17" i="10" s="1"/>
  <c r="B18" i="10" s="1"/>
  <c r="B19" i="10" s="1"/>
  <c r="B20" i="10" s="1"/>
  <c r="B21" i="10" s="1"/>
  <c r="B22" i="10" s="1"/>
  <c r="B23" i="10" s="1"/>
  <c r="B24" i="10" s="1"/>
  <c r="B25" i="10" s="1"/>
  <c r="B26" i="10" s="1"/>
  <c r="B27" i="10" s="1"/>
  <c r="B28" i="10" s="1"/>
  <c r="B29" i="10" s="1"/>
  <c r="B30" i="10" s="1"/>
  <c r="B31" i="10" s="1"/>
  <c r="B32" i="10" s="1"/>
  <c r="B33" i="10" s="1"/>
  <c r="B34" i="10" s="1"/>
  <c r="B35" i="10" s="1"/>
  <c r="B36" i="10" s="1"/>
  <c r="B37" i="10" s="1"/>
  <c r="B38" i="10" s="1"/>
  <c r="B39" i="10" s="1"/>
  <c r="B40" i="10" s="1"/>
  <c r="B41" i="10" s="1"/>
  <c r="B42" i="10" s="1"/>
  <c r="B43" i="10" s="1"/>
  <c r="B44" i="10" s="1"/>
  <c r="B45" i="10" s="1"/>
  <c r="B46" i="10" s="1"/>
  <c r="B47" i="10" s="1"/>
  <c r="B48" i="10" s="1"/>
  <c r="B49" i="10" s="1"/>
  <c r="B50" i="10" s="1"/>
  <c r="B51" i="10" s="1"/>
  <c r="B52" i="10" s="1"/>
  <c r="B53" i="10" s="1"/>
  <c r="B54" i="10" s="1"/>
  <c r="B55" i="10" s="1"/>
  <c r="B56" i="10" s="1"/>
  <c r="B57" i="10" s="1"/>
  <c r="B58" i="10" s="1"/>
  <c r="B59" i="10" s="1"/>
  <c r="B60" i="10" s="1"/>
  <c r="B61" i="10" s="1"/>
  <c r="B62" i="10" s="1"/>
  <c r="B63" i="10" s="1"/>
  <c r="B64" i="10" s="1"/>
  <c r="B65" i="10" s="1"/>
  <c r="B66" i="10" s="1"/>
  <c r="B67" i="10" s="1"/>
  <c r="B68" i="10" s="1"/>
  <c r="B69" i="10" s="1"/>
  <c r="B70" i="10" s="1"/>
  <c r="B71" i="10" s="1"/>
  <c r="B72" i="10" s="1"/>
  <c r="B73" i="10" s="1"/>
  <c r="B74" i="10" s="1"/>
  <c r="B75" i="10" s="1"/>
  <c r="B76" i="10" s="1"/>
  <c r="B77" i="10" s="1"/>
  <c r="B78" i="10" s="1"/>
  <c r="B79" i="10" s="1"/>
  <c r="B80" i="10" s="1"/>
  <c r="B81" i="10" s="1"/>
  <c r="B82" i="10" s="1"/>
  <c r="B83" i="10" s="1"/>
  <c r="B84" i="10" s="1"/>
  <c r="B85" i="10" s="1"/>
  <c r="B86" i="10" s="1"/>
  <c r="B87" i="10" s="1"/>
  <c r="B88" i="10" s="1"/>
  <c r="B89" i="10" s="1"/>
  <c r="B90" i="10" s="1"/>
  <c r="B91" i="10" s="1"/>
  <c r="B92" i="10" s="1"/>
  <c r="B93" i="10" s="1"/>
  <c r="B94" i="10" s="1"/>
  <c r="B95" i="10" s="1"/>
  <c r="B96" i="10" s="1"/>
  <c r="B97" i="10" s="1"/>
  <c r="B98" i="10" s="1"/>
  <c r="B99" i="10" s="1"/>
  <c r="B100" i="10" s="1"/>
  <c r="B101" i="10" s="1"/>
  <c r="B102" i="10" s="1"/>
  <c r="B103" i="10" s="1"/>
  <c r="B104" i="10" s="1"/>
  <c r="B105" i="10" s="1"/>
  <c r="B106" i="10" s="1"/>
  <c r="B107" i="10" s="1"/>
  <c r="B108" i="10" s="1"/>
  <c r="B109" i="10" s="1"/>
  <c r="B110" i="10" s="1"/>
  <c r="B111" i="10" s="1"/>
  <c r="B112" i="10" s="1"/>
  <c r="B113" i="10" s="1"/>
  <c r="B114" i="10" s="1"/>
  <c r="B115" i="10" s="1"/>
  <c r="B116" i="10" s="1"/>
  <c r="B117" i="10" s="1"/>
  <c r="B118" i="10" s="1"/>
  <c r="B119" i="10" s="1"/>
  <c r="B120" i="10" s="1"/>
  <c r="B121" i="10" s="1"/>
  <c r="B122" i="10" s="1"/>
  <c r="B123" i="10" s="1"/>
  <c r="B124" i="10" s="1"/>
  <c r="B125" i="10" s="1"/>
  <c r="B126" i="10" s="1"/>
  <c r="B127" i="10" s="1"/>
  <c r="B128" i="10" s="1"/>
  <c r="B129" i="10" s="1"/>
  <c r="B130" i="10" s="1"/>
  <c r="B131" i="10" s="1"/>
  <c r="B132" i="10" s="1"/>
  <c r="B133" i="10" s="1"/>
  <c r="B134" i="10" s="1"/>
  <c r="B135" i="10" s="1"/>
  <c r="B136" i="10" s="1"/>
  <c r="B137" i="10" s="1"/>
  <c r="B138" i="10" s="1"/>
  <c r="B139" i="10" s="1"/>
  <c r="B140" i="10" s="1"/>
  <c r="B141" i="10" s="1"/>
  <c r="B142" i="10" s="1"/>
  <c r="B143" i="10" s="1"/>
  <c r="B144" i="10" s="1"/>
  <c r="B145" i="10" s="1"/>
  <c r="B146" i="10" s="1"/>
  <c r="B147" i="10" s="1"/>
  <c r="B148" i="10" s="1"/>
  <c r="B149" i="10" s="1"/>
  <c r="B150" i="10" s="1"/>
  <c r="B151" i="10" s="1"/>
  <c r="B152" i="10" s="1"/>
  <c r="B153" i="10" s="1"/>
  <c r="B154" i="10" s="1"/>
  <c r="B155" i="10" s="1"/>
  <c r="B156" i="10" s="1"/>
  <c r="B157" i="10" s="1"/>
  <c r="B158" i="10" s="1"/>
  <c r="B159" i="10" s="1"/>
  <c r="B160" i="10" s="1"/>
  <c r="B161" i="10" s="1"/>
  <c r="B162" i="10" s="1"/>
  <c r="B163" i="10" s="1"/>
  <c r="B164" i="10" s="1"/>
  <c r="B165" i="10" s="1"/>
  <c r="B166" i="10" s="1"/>
  <c r="B167" i="10" s="1"/>
  <c r="B168" i="10" s="1"/>
  <c r="B169" i="10" s="1"/>
  <c r="B170" i="10" s="1"/>
  <c r="B171" i="10" s="1"/>
  <c r="B172" i="10" s="1"/>
  <c r="B173" i="10" s="1"/>
  <c r="B174" i="10" s="1"/>
  <c r="B175" i="10" s="1"/>
  <c r="B176" i="10" s="1"/>
  <c r="B177" i="10" s="1"/>
  <c r="B178" i="10" s="1"/>
  <c r="B179" i="10" s="1"/>
  <c r="B180" i="10" s="1"/>
  <c r="B181" i="10" s="1"/>
  <c r="B182" i="10" s="1"/>
  <c r="B183" i="10" s="1"/>
  <c r="B184" i="10" s="1"/>
  <c r="B185" i="10" s="1"/>
  <c r="B186" i="10" s="1"/>
  <c r="B187" i="10" s="1"/>
  <c r="B188" i="10" s="1"/>
  <c r="B189" i="10" s="1"/>
  <c r="B190" i="10" s="1"/>
  <c r="B191" i="10" s="1"/>
  <c r="B192" i="10" s="1"/>
  <c r="B193" i="10" s="1"/>
  <c r="B194" i="10" s="1"/>
  <c r="B195" i="10" s="1"/>
  <c r="B196" i="10" s="1"/>
  <c r="B197" i="10" s="1"/>
  <c r="B198" i="10" s="1"/>
  <c r="B199" i="10" s="1"/>
  <c r="B200" i="10" s="1"/>
  <c r="B201" i="10" s="1"/>
  <c r="B202" i="10" s="1"/>
  <c r="B203" i="10" s="1"/>
  <c r="B204" i="10" s="1"/>
  <c r="B205" i="10" s="1"/>
  <c r="B206" i="10" s="1"/>
  <c r="B207" i="10" s="1"/>
  <c r="B208" i="10" s="1"/>
  <c r="B209" i="10" s="1"/>
  <c r="B210" i="10" s="1"/>
  <c r="B211" i="10" s="1"/>
  <c r="B212" i="10" s="1"/>
  <c r="B213" i="10" s="1"/>
  <c r="B214" i="10" s="1"/>
  <c r="B215" i="10" s="1"/>
  <c r="B216" i="10" s="1"/>
  <c r="B217" i="10" s="1"/>
  <c r="B218" i="10" s="1"/>
  <c r="B219" i="10" s="1"/>
  <c r="B220" i="10" s="1"/>
  <c r="B221" i="10" s="1"/>
  <c r="B222" i="10" s="1"/>
  <c r="B223" i="10" s="1"/>
  <c r="B224" i="10" s="1"/>
  <c r="B225" i="10" s="1"/>
  <c r="B226" i="10" s="1"/>
  <c r="B227" i="10" s="1"/>
  <c r="B228" i="10" s="1"/>
  <c r="B229" i="10" s="1"/>
  <c r="B230" i="10" s="1"/>
  <c r="B231" i="10" s="1"/>
  <c r="B232" i="10" s="1"/>
  <c r="B233" i="10" s="1"/>
  <c r="B234" i="10" s="1"/>
  <c r="B235" i="10" s="1"/>
  <c r="B236" i="10" s="1"/>
  <c r="B237" i="10" s="1"/>
  <c r="B238" i="10" s="1"/>
  <c r="B239" i="10" s="1"/>
  <c r="B240" i="10" s="1"/>
  <c r="B241" i="10" s="1"/>
  <c r="B242" i="10" s="1"/>
  <c r="B243" i="10" s="1"/>
  <c r="B244" i="10" s="1"/>
  <c r="B245" i="10" s="1"/>
  <c r="B246" i="10" s="1"/>
  <c r="B247" i="10" s="1"/>
  <c r="B248" i="10" s="1"/>
  <c r="B249" i="10" s="1"/>
  <c r="B250" i="10" s="1"/>
  <c r="B251" i="10" s="1"/>
  <c r="B252" i="10" s="1"/>
  <c r="B253" i="10" s="1"/>
  <c r="B254" i="10" s="1"/>
  <c r="B255" i="10" s="1"/>
  <c r="B256" i="10" s="1"/>
  <c r="B257" i="10" s="1"/>
  <c r="B258" i="10" s="1"/>
  <c r="B259" i="10" s="1"/>
  <c r="B260" i="10" s="1"/>
  <c r="B261" i="10" s="1"/>
  <c r="B262" i="10" s="1"/>
  <c r="B263" i="10" s="1"/>
  <c r="B264" i="10" s="1"/>
  <c r="B265" i="10" s="1"/>
  <c r="B266" i="10" s="1"/>
  <c r="B267" i="10" s="1"/>
  <c r="B268" i="10" s="1"/>
  <c r="B269" i="10" s="1"/>
  <c r="B270" i="10" s="1"/>
  <c r="B271" i="10" s="1"/>
  <c r="B272" i="10" s="1"/>
  <c r="B273" i="10" s="1"/>
  <c r="B274" i="10" s="1"/>
  <c r="B275" i="10" s="1"/>
  <c r="B276" i="10" s="1"/>
  <c r="B277" i="10" s="1"/>
  <c r="B278" i="10" s="1"/>
  <c r="B279" i="10" s="1"/>
  <c r="B280" i="10" s="1"/>
  <c r="B281" i="10" s="1"/>
  <c r="B282" i="10" s="1"/>
  <c r="B283" i="10" s="1"/>
  <c r="B284" i="10" s="1"/>
  <c r="B285" i="10" s="1"/>
  <c r="B286" i="10" s="1"/>
  <c r="B287" i="10" s="1"/>
  <c r="B288" i="10" s="1"/>
  <c r="B289" i="10" s="1"/>
  <c r="B290" i="10" s="1"/>
  <c r="B291" i="10" s="1"/>
  <c r="B292" i="10" s="1"/>
  <c r="B293" i="10" s="1"/>
  <c r="B294" i="10" s="1"/>
  <c r="B295" i="10" s="1"/>
  <c r="B296" i="10" s="1"/>
  <c r="B297" i="10" s="1"/>
  <c r="B298" i="10" s="1"/>
  <c r="B299" i="10" s="1"/>
  <c r="B300" i="10" s="1"/>
  <c r="B301" i="10" s="1"/>
  <c r="B302" i="10" s="1"/>
  <c r="B303" i="10" s="1"/>
  <c r="B304" i="10" s="1"/>
  <c r="B305" i="10" s="1"/>
  <c r="B306" i="10" s="1"/>
  <c r="B307" i="10" s="1"/>
  <c r="B308" i="10" s="1"/>
  <c r="B309" i="10" s="1"/>
  <c r="B310" i="10" s="1"/>
  <c r="B311" i="10" s="1"/>
  <c r="B312" i="10" s="1"/>
  <c r="B313" i="10" s="1"/>
  <c r="B314" i="10" s="1"/>
  <c r="B315" i="10" s="1"/>
  <c r="B316" i="10" s="1"/>
  <c r="B317" i="10" s="1"/>
  <c r="B318" i="10" s="1"/>
  <c r="B319" i="10" s="1"/>
  <c r="B320" i="10" s="1"/>
  <c r="B321" i="10" s="1"/>
  <c r="B322" i="10" s="1"/>
  <c r="B323" i="10" s="1"/>
  <c r="B324" i="10" s="1"/>
  <c r="B325" i="10" s="1"/>
  <c r="B326" i="10" s="1"/>
  <c r="B327" i="10" s="1"/>
  <c r="B328" i="10" s="1"/>
  <c r="B329" i="10" s="1"/>
  <c r="B330" i="10" s="1"/>
  <c r="B331" i="10" s="1"/>
  <c r="B332" i="10" s="1"/>
  <c r="B333" i="10" s="1"/>
  <c r="B334" i="10" s="1"/>
  <c r="B335" i="10" s="1"/>
  <c r="B336" i="10" s="1"/>
  <c r="B337" i="10" s="1"/>
  <c r="B338" i="10" s="1"/>
  <c r="B339" i="10" s="1"/>
  <c r="B340" i="10" s="1"/>
  <c r="B341" i="10" s="1"/>
  <c r="B342" i="10" s="1"/>
  <c r="B343" i="10" s="1"/>
  <c r="B344" i="10" s="1"/>
  <c r="B345" i="10" s="1"/>
  <c r="B346" i="10" s="1"/>
  <c r="B347" i="10" s="1"/>
  <c r="B348" i="10" s="1"/>
  <c r="B349" i="10" s="1"/>
  <c r="B350" i="10" s="1"/>
  <c r="B351" i="10" s="1"/>
  <c r="B352" i="10" s="1"/>
  <c r="B353" i="10" s="1"/>
  <c r="B354" i="10" s="1"/>
  <c r="B355" i="10" s="1"/>
  <c r="B356" i="10" s="1"/>
  <c r="B357" i="10" s="1"/>
  <c r="B358" i="10" s="1"/>
  <c r="B359" i="10" s="1"/>
  <c r="B360" i="10" s="1"/>
  <c r="B361" i="10" s="1"/>
  <c r="B362" i="10" s="1"/>
  <c r="B363" i="10" s="1"/>
  <c r="B364" i="10" s="1"/>
  <c r="B365" i="10" s="1"/>
  <c r="B366" i="10" s="1"/>
  <c r="B367" i="10" s="1"/>
  <c r="B368" i="10" s="1"/>
  <c r="B369" i="10" s="1"/>
  <c r="B370" i="10" s="1"/>
  <c r="B371" i="10" s="1"/>
  <c r="B372" i="10" s="1"/>
  <c r="B373" i="10" s="1"/>
  <c r="B374" i="10" s="1"/>
  <c r="B375" i="10" s="1"/>
  <c r="B376" i="10" s="1"/>
  <c r="B377" i="10" s="1"/>
  <c r="B378" i="10" s="1"/>
  <c r="B379" i="10" s="1"/>
  <c r="B380" i="10" s="1"/>
  <c r="B381" i="10" s="1"/>
  <c r="B382" i="10" s="1"/>
  <c r="B383" i="10" s="1"/>
  <c r="B384" i="10" s="1"/>
  <c r="B385" i="10" s="1"/>
  <c r="B386" i="10" s="1"/>
  <c r="B387" i="10" s="1"/>
  <c r="B388" i="10" s="1"/>
  <c r="B389" i="10" s="1"/>
  <c r="B390" i="10" s="1"/>
  <c r="B391" i="10" s="1"/>
  <c r="B392" i="10" s="1"/>
  <c r="B393" i="10" s="1"/>
  <c r="B394" i="10" s="1"/>
  <c r="B395" i="10" s="1"/>
  <c r="B396" i="10" s="1"/>
  <c r="B397" i="10" s="1"/>
  <c r="B398" i="10" s="1"/>
  <c r="B399" i="10" s="1"/>
  <c r="B400" i="10" s="1"/>
  <c r="B401" i="10" s="1"/>
  <c r="B402" i="10" s="1"/>
  <c r="B403" i="10" s="1"/>
  <c r="B404" i="10" s="1"/>
  <c r="B405" i="10" s="1"/>
  <c r="B406" i="10" s="1"/>
  <c r="B407" i="10" s="1"/>
  <c r="B408" i="10" s="1"/>
  <c r="B409" i="10" s="1"/>
  <c r="B410" i="10" s="1"/>
  <c r="B411" i="10" s="1"/>
  <c r="B412" i="10" s="1"/>
  <c r="B413" i="10" s="1"/>
  <c r="B414" i="10" s="1"/>
  <c r="B415" i="10" s="1"/>
  <c r="B416" i="10" s="1"/>
  <c r="B417" i="10" s="1"/>
  <c r="B418" i="10" s="1"/>
  <c r="B419" i="10" s="1"/>
  <c r="B420" i="10" s="1"/>
  <c r="B421" i="10" s="1"/>
  <c r="B422" i="10" s="1"/>
  <c r="B423" i="10" s="1"/>
  <c r="B424" i="10" s="1"/>
  <c r="B425" i="10" s="1"/>
  <c r="B426" i="10" s="1"/>
  <c r="B427" i="10" s="1"/>
  <c r="B428" i="10" s="1"/>
  <c r="B429" i="10" s="1"/>
  <c r="B430" i="10" s="1"/>
  <c r="B431" i="10" s="1"/>
  <c r="B432" i="10" s="1"/>
  <c r="B433" i="10" s="1"/>
  <c r="B434" i="10" s="1"/>
  <c r="B435" i="10" s="1"/>
  <c r="B436" i="10" s="1"/>
  <c r="B437" i="10" s="1"/>
  <c r="B438" i="10" s="1"/>
  <c r="B439" i="10" s="1"/>
  <c r="B440" i="10" s="1"/>
  <c r="B441" i="10" s="1"/>
  <c r="B442" i="10" s="1"/>
  <c r="B443" i="10" s="1"/>
  <c r="B444" i="10" s="1"/>
  <c r="B445" i="10" s="1"/>
  <c r="B446" i="10" s="1"/>
  <c r="B447" i="10" s="1"/>
  <c r="B448" i="10" s="1"/>
  <c r="B449" i="10" s="1"/>
  <c r="B450" i="10" s="1"/>
  <c r="B451" i="10" s="1"/>
  <c r="B452" i="10" s="1"/>
  <c r="B453" i="10" s="1"/>
  <c r="B454" i="10" s="1"/>
  <c r="B455" i="10" s="1"/>
  <c r="B456" i="10" s="1"/>
  <c r="B457" i="10" s="1"/>
  <c r="B458" i="10" s="1"/>
  <c r="B459" i="10" s="1"/>
  <c r="B460" i="10" s="1"/>
  <c r="B461" i="10" s="1"/>
  <c r="B462" i="10" s="1"/>
  <c r="B463" i="10" s="1"/>
  <c r="B464" i="10" s="1"/>
  <c r="B465" i="10" s="1"/>
  <c r="B466" i="10" s="1"/>
  <c r="B467" i="10" s="1"/>
  <c r="B468" i="10" s="1"/>
  <c r="B469" i="10" s="1"/>
  <c r="B470" i="10" s="1"/>
  <c r="B471" i="10" s="1"/>
  <c r="B472" i="10" s="1"/>
  <c r="B473" i="10" s="1"/>
  <c r="B474" i="10" s="1"/>
  <c r="B475" i="10" s="1"/>
  <c r="B476" i="10" s="1"/>
  <c r="B477" i="10" s="1"/>
  <c r="B478" i="10" s="1"/>
  <c r="B479" i="10" s="1"/>
  <c r="B480" i="10" s="1"/>
  <c r="B481" i="10" s="1"/>
  <c r="B482" i="10" s="1"/>
  <c r="B483" i="10" s="1"/>
  <c r="B484" i="10" s="1"/>
  <c r="B485" i="10" s="1"/>
  <c r="B486" i="10" s="1"/>
  <c r="B487" i="10" s="1"/>
  <c r="B488" i="10" s="1"/>
  <c r="B489" i="10" s="1"/>
  <c r="B490" i="10" s="1"/>
  <c r="B491" i="10" s="1"/>
  <c r="B492" i="10" s="1"/>
  <c r="B493" i="10" s="1"/>
  <c r="B494" i="10" s="1"/>
  <c r="B495" i="10" s="1"/>
  <c r="B496" i="10" s="1"/>
  <c r="B497" i="10" s="1"/>
  <c r="B498" i="10" s="1"/>
  <c r="B499" i="10" s="1"/>
  <c r="B500" i="10" s="1"/>
  <c r="B501" i="10" s="1"/>
  <c r="B502" i="10" s="1"/>
  <c r="B503" i="10" s="1"/>
  <c r="B504" i="10" s="1"/>
  <c r="B505" i="10" s="1"/>
  <c r="B506" i="10" s="1"/>
  <c r="B507" i="10" s="1"/>
  <c r="B508" i="10" s="1"/>
  <c r="B509" i="10" s="1"/>
  <c r="B510" i="10" s="1"/>
  <c r="B511" i="10" s="1"/>
  <c r="B512" i="10" s="1"/>
  <c r="B513" i="10" s="1"/>
  <c r="B514" i="10" s="1"/>
  <c r="B515" i="10" s="1"/>
  <c r="B516" i="10" s="1"/>
  <c r="B517" i="10" s="1"/>
  <c r="B518" i="10" s="1"/>
  <c r="B519" i="10" s="1"/>
  <c r="B520" i="10" s="1"/>
  <c r="B521" i="10" s="1"/>
  <c r="B522" i="10" s="1"/>
  <c r="B523" i="10" s="1"/>
  <c r="B524" i="10" s="1"/>
  <c r="B525" i="10" s="1"/>
  <c r="B526" i="10" s="1"/>
  <c r="B527" i="10" s="1"/>
  <c r="B528" i="10" s="1"/>
  <c r="B529" i="10" s="1"/>
  <c r="B530" i="10" s="1"/>
  <c r="B531" i="10" s="1"/>
  <c r="B532" i="10" s="1"/>
  <c r="B533" i="10" s="1"/>
  <c r="B534" i="10" s="1"/>
  <c r="B535" i="10" s="1"/>
  <c r="B536" i="10" s="1"/>
  <c r="B537" i="10" s="1"/>
  <c r="B538" i="10" s="1"/>
  <c r="B539" i="10" s="1"/>
  <c r="B540" i="10" s="1"/>
  <c r="B541" i="10" s="1"/>
  <c r="B542" i="10" s="1"/>
  <c r="B543" i="10" s="1"/>
  <c r="B544" i="10" s="1"/>
  <c r="B545" i="10" s="1"/>
  <c r="B546" i="10" s="1"/>
  <c r="B547" i="10" s="1"/>
  <c r="B548" i="10" s="1"/>
  <c r="B549" i="10" s="1"/>
  <c r="B550" i="10" s="1"/>
  <c r="B551" i="10" s="1"/>
  <c r="B552" i="10" s="1"/>
  <c r="B553" i="10" s="1"/>
  <c r="B554" i="10" s="1"/>
  <c r="B555" i="10" s="1"/>
  <c r="B556" i="10" s="1"/>
  <c r="B557" i="10" s="1"/>
  <c r="B558" i="10" s="1"/>
  <c r="B559" i="10" s="1"/>
  <c r="B560" i="10" s="1"/>
  <c r="B561" i="10" s="1"/>
  <c r="B562" i="10" s="1"/>
  <c r="B563" i="10" s="1"/>
  <c r="B564" i="10" s="1"/>
  <c r="B565" i="10" s="1"/>
  <c r="B566" i="10" s="1"/>
  <c r="B567" i="10" s="1"/>
  <c r="B568" i="10" s="1"/>
  <c r="B569" i="10" s="1"/>
  <c r="B570" i="10" s="1"/>
  <c r="B571" i="10" s="1"/>
  <c r="B572" i="10" s="1"/>
  <c r="B573" i="10" s="1"/>
  <c r="B574" i="10" s="1"/>
  <c r="B575" i="10" s="1"/>
  <c r="B576" i="10" s="1"/>
  <c r="B577" i="10" s="1"/>
  <c r="B578" i="10" s="1"/>
  <c r="B579" i="10" s="1"/>
  <c r="B580" i="10" s="1"/>
  <c r="B581" i="10" s="1"/>
  <c r="B582" i="10" s="1"/>
  <c r="B583" i="10" s="1"/>
  <c r="B584" i="10" s="1"/>
  <c r="B585" i="10" s="1"/>
  <c r="B586" i="10" s="1"/>
  <c r="B587" i="10" s="1"/>
  <c r="B588" i="10" s="1"/>
  <c r="B589" i="10" s="1"/>
  <c r="B590" i="10" s="1"/>
  <c r="B591" i="10" s="1"/>
  <c r="B592" i="10" s="1"/>
  <c r="B593" i="10" s="1"/>
  <c r="B594" i="10" s="1"/>
  <c r="B595" i="10" s="1"/>
  <c r="B596" i="10" s="1"/>
  <c r="B597" i="10" s="1"/>
  <c r="B598" i="10" s="1"/>
  <c r="B599" i="10" s="1"/>
  <c r="B600" i="10" s="1"/>
  <c r="B601" i="10" s="1"/>
  <c r="B602" i="10" s="1"/>
  <c r="B603" i="10" s="1"/>
  <c r="B604" i="10" s="1"/>
  <c r="B605" i="10" s="1"/>
  <c r="B606" i="10" s="1"/>
  <c r="B607" i="10" s="1"/>
  <c r="B608" i="10" s="1"/>
  <c r="B609" i="10" s="1"/>
  <c r="B610" i="10" s="1"/>
  <c r="B611" i="10" s="1"/>
  <c r="B612" i="10" s="1"/>
  <c r="B613" i="10" s="1"/>
  <c r="B614" i="10" s="1"/>
  <c r="B615" i="10" s="1"/>
  <c r="B616" i="10" s="1"/>
  <c r="B617" i="10" s="1"/>
  <c r="B618" i="10" s="1"/>
  <c r="B619" i="10" s="1"/>
  <c r="B620" i="10" s="1"/>
  <c r="B621" i="10" s="1"/>
  <c r="B622" i="10" s="1"/>
  <c r="B623" i="10" s="1"/>
  <c r="B624" i="10" s="1"/>
  <c r="B625" i="10" s="1"/>
  <c r="B626" i="10" s="1"/>
  <c r="B627" i="10" s="1"/>
  <c r="B628" i="10" s="1"/>
  <c r="B629" i="10" s="1"/>
  <c r="B630" i="10" s="1"/>
  <c r="B631" i="10" s="1"/>
  <c r="B632" i="10" s="1"/>
  <c r="B633" i="10" s="1"/>
  <c r="B634" i="10" s="1"/>
  <c r="B635" i="10" s="1"/>
  <c r="B636" i="10" s="1"/>
  <c r="B637" i="10" s="1"/>
  <c r="B638" i="10" s="1"/>
  <c r="B639" i="10" s="1"/>
  <c r="B640" i="10" s="1"/>
  <c r="B641" i="10" s="1"/>
  <c r="B642" i="10" s="1"/>
  <c r="B643" i="10" s="1"/>
  <c r="B644" i="10" s="1"/>
  <c r="B645" i="10" s="1"/>
  <c r="B646" i="10" s="1"/>
  <c r="B647" i="10" s="1"/>
  <c r="B648" i="10" s="1"/>
  <c r="B649" i="10" s="1"/>
  <c r="B650" i="10" s="1"/>
  <c r="B651" i="10" s="1"/>
  <c r="B652" i="10" s="1"/>
  <c r="B653" i="10" s="1"/>
  <c r="B654" i="10" s="1"/>
  <c r="B655" i="10" s="1"/>
  <c r="B656" i="10" s="1"/>
  <c r="B657" i="10" s="1"/>
  <c r="B658" i="10" s="1"/>
  <c r="B659" i="10" s="1"/>
  <c r="B660" i="10" s="1"/>
  <c r="B661" i="10" s="1"/>
  <c r="B662" i="10" s="1"/>
  <c r="B663" i="10" s="1"/>
  <c r="B664" i="10" s="1"/>
  <c r="B665" i="10" s="1"/>
  <c r="B666" i="10" s="1"/>
  <c r="B667" i="10" s="1"/>
  <c r="B668" i="10" s="1"/>
  <c r="B669" i="10" s="1"/>
  <c r="B670" i="10" s="1"/>
  <c r="B671" i="10" s="1"/>
  <c r="B672" i="10" s="1"/>
  <c r="B673" i="10" s="1"/>
  <c r="B674" i="10" s="1"/>
  <c r="B675" i="10" s="1"/>
  <c r="B676" i="10" s="1"/>
  <c r="B677" i="10" s="1"/>
  <c r="B678" i="10" s="1"/>
  <c r="B679" i="10" s="1"/>
  <c r="B680" i="10" s="1"/>
  <c r="B681" i="10" s="1"/>
  <c r="B682" i="10" s="1"/>
  <c r="B683" i="10" s="1"/>
  <c r="B684" i="10" s="1"/>
  <c r="B685" i="10" s="1"/>
  <c r="B686" i="10" s="1"/>
  <c r="B687" i="10" s="1"/>
  <c r="B688" i="10" s="1"/>
  <c r="B689" i="10" s="1"/>
  <c r="B690" i="10" s="1"/>
  <c r="B691" i="10" s="1"/>
  <c r="B692" i="10" s="1"/>
  <c r="B693" i="10" s="1"/>
  <c r="B694" i="10" s="1"/>
  <c r="B695" i="10" s="1"/>
  <c r="B696" i="10" s="1"/>
  <c r="B697" i="10" s="1"/>
  <c r="B698" i="10" s="1"/>
  <c r="B699" i="10" s="1"/>
  <c r="B700" i="10" s="1"/>
  <c r="B701" i="10" s="1"/>
  <c r="B702" i="10" s="1"/>
  <c r="B703" i="10" s="1"/>
  <c r="B704" i="10" s="1"/>
  <c r="B705" i="10" s="1"/>
  <c r="B706" i="10" s="1"/>
  <c r="B707" i="10" s="1"/>
  <c r="B708" i="10" s="1"/>
  <c r="B709" i="10" s="1"/>
  <c r="B710" i="10" s="1"/>
  <c r="B711" i="10" s="1"/>
  <c r="B712" i="10" s="1"/>
  <c r="B713" i="10" s="1"/>
  <c r="B714" i="10" s="1"/>
  <c r="B715" i="10" s="1"/>
  <c r="B716" i="10" s="1"/>
  <c r="B717" i="10" s="1"/>
  <c r="B718" i="10" s="1"/>
  <c r="B719" i="10" s="1"/>
  <c r="B720" i="10" s="1"/>
  <c r="B721" i="10" s="1"/>
  <c r="B722" i="10" s="1"/>
  <c r="B723" i="10" s="1"/>
  <c r="B724" i="10" s="1"/>
  <c r="B725" i="10" s="1"/>
  <c r="B726" i="10" s="1"/>
  <c r="B727" i="10" s="1"/>
  <c r="B728" i="10" s="1"/>
  <c r="B729" i="10" s="1"/>
  <c r="B730" i="10" s="1"/>
  <c r="B731" i="10" s="1"/>
  <c r="B732" i="10" s="1"/>
  <c r="B733" i="10" s="1"/>
  <c r="B734" i="10" s="1"/>
  <c r="B735" i="10" s="1"/>
  <c r="B736" i="10" s="1"/>
  <c r="B737" i="10" s="1"/>
  <c r="B738" i="10" s="1"/>
  <c r="B739" i="10" s="1"/>
  <c r="B740" i="10" s="1"/>
  <c r="B741" i="10" s="1"/>
  <c r="B742" i="10" s="1"/>
  <c r="B743" i="10" s="1"/>
  <c r="B744" i="10" s="1"/>
  <c r="B745" i="10" s="1"/>
  <c r="B746" i="10" s="1"/>
  <c r="B747" i="10" s="1"/>
  <c r="B748" i="10" s="1"/>
  <c r="B749" i="10" s="1"/>
  <c r="B750" i="10" s="1"/>
  <c r="B751" i="10" s="1"/>
  <c r="B752" i="10" s="1"/>
  <c r="B753" i="10" s="1"/>
  <c r="B754" i="10" s="1"/>
  <c r="B755" i="10" s="1"/>
  <c r="B756" i="10" s="1"/>
  <c r="B757" i="10" s="1"/>
  <c r="B758" i="10" s="1"/>
  <c r="B759" i="10" s="1"/>
  <c r="B760" i="10" s="1"/>
  <c r="B761" i="10" s="1"/>
  <c r="B762" i="10" s="1"/>
  <c r="B763" i="10" s="1"/>
  <c r="B764" i="10" s="1"/>
  <c r="B765" i="10" s="1"/>
  <c r="B766" i="10" s="1"/>
  <c r="B767" i="10" s="1"/>
  <c r="B768" i="10" s="1"/>
  <c r="B769" i="10" s="1"/>
  <c r="B770" i="10" s="1"/>
  <c r="B771" i="10" s="1"/>
  <c r="B772" i="10" s="1"/>
  <c r="B773" i="10" s="1"/>
  <c r="B774" i="10" s="1"/>
  <c r="B775" i="10" s="1"/>
  <c r="B776" i="10" s="1"/>
  <c r="B777" i="10" s="1"/>
  <c r="B778" i="10" s="1"/>
  <c r="B779" i="10" s="1"/>
  <c r="B780" i="10" s="1"/>
  <c r="B781" i="10" s="1"/>
  <c r="B782" i="10" s="1"/>
  <c r="B783" i="10" s="1"/>
  <c r="B784" i="10" s="1"/>
  <c r="B785" i="10" s="1"/>
  <c r="B786" i="10" s="1"/>
  <c r="B787" i="10" s="1"/>
  <c r="B788" i="10" s="1"/>
  <c r="B789" i="10" s="1"/>
  <c r="B790" i="10" s="1"/>
  <c r="B791" i="10" s="1"/>
  <c r="B792" i="10" s="1"/>
  <c r="B793" i="10" s="1"/>
  <c r="B794" i="10" s="1"/>
  <c r="B795" i="10" s="1"/>
  <c r="B796" i="10" s="1"/>
  <c r="B797" i="10" s="1"/>
  <c r="B798" i="10" s="1"/>
  <c r="B799" i="10" s="1"/>
  <c r="B800" i="10" s="1"/>
  <c r="B801" i="10" s="1"/>
  <c r="B802" i="10" s="1"/>
  <c r="B803" i="10" s="1"/>
  <c r="B804" i="10" s="1"/>
  <c r="B805" i="10" s="1"/>
  <c r="B806" i="10" s="1"/>
  <c r="B807" i="10" s="1"/>
  <c r="B808" i="10" s="1"/>
  <c r="B809" i="10" s="1"/>
  <c r="B810" i="10" s="1"/>
  <c r="B811" i="10" s="1"/>
  <c r="B812" i="10" s="1"/>
  <c r="B813" i="10" s="1"/>
  <c r="B814" i="10" s="1"/>
  <c r="B815" i="10" s="1"/>
  <c r="B816" i="10" s="1"/>
  <c r="B817" i="10" s="1"/>
  <c r="B818" i="10" s="1"/>
  <c r="B819" i="10" s="1"/>
  <c r="B820" i="10" s="1"/>
  <c r="B821" i="10" s="1"/>
  <c r="B822" i="10" s="1"/>
  <c r="B823" i="10" s="1"/>
  <c r="B824" i="10" s="1"/>
  <c r="B825" i="10" s="1"/>
  <c r="B826" i="10" s="1"/>
  <c r="B827" i="10" s="1"/>
  <c r="B828" i="10" s="1"/>
  <c r="B829" i="10" s="1"/>
  <c r="B830" i="10" s="1"/>
  <c r="B831" i="10" s="1"/>
  <c r="B832" i="10" s="1"/>
  <c r="B833" i="10" s="1"/>
  <c r="B834" i="10" s="1"/>
  <c r="B835" i="10" s="1"/>
  <c r="B836" i="10" s="1"/>
  <c r="B837" i="10" s="1"/>
  <c r="B838" i="10" s="1"/>
  <c r="B839" i="10" s="1"/>
  <c r="B840" i="10" s="1"/>
  <c r="B841" i="10" s="1"/>
  <c r="B842" i="10" s="1"/>
  <c r="B843" i="10" s="1"/>
  <c r="B844" i="10" s="1"/>
  <c r="B845" i="10" s="1"/>
  <c r="B846" i="10" s="1"/>
  <c r="B847" i="10" s="1"/>
  <c r="B848" i="10" s="1"/>
  <c r="B849" i="10" s="1"/>
  <c r="B850" i="10" s="1"/>
  <c r="B851" i="10" s="1"/>
  <c r="B852" i="10" s="1"/>
  <c r="B853" i="10" s="1"/>
  <c r="B854" i="10" s="1"/>
  <c r="B855" i="10" s="1"/>
  <c r="B856" i="10" s="1"/>
  <c r="B857" i="10" s="1"/>
  <c r="B858" i="10" s="1"/>
  <c r="B859" i="10" s="1"/>
  <c r="B860" i="10" s="1"/>
  <c r="B861" i="10" s="1"/>
  <c r="B862" i="10" s="1"/>
  <c r="B863" i="10" s="1"/>
  <c r="B864" i="10" s="1"/>
  <c r="B865" i="10" s="1"/>
  <c r="B866" i="10" s="1"/>
  <c r="B867" i="10" s="1"/>
  <c r="B868" i="10" s="1"/>
  <c r="B869" i="10" s="1"/>
  <c r="B870" i="10" s="1"/>
  <c r="B871" i="10" s="1"/>
  <c r="B872" i="10" s="1"/>
  <c r="B873" i="10" s="1"/>
  <c r="B874" i="10" s="1"/>
  <c r="B875" i="10" s="1"/>
  <c r="B876" i="10" s="1"/>
  <c r="B877" i="10" s="1"/>
  <c r="B878" i="10" s="1"/>
  <c r="B879" i="10" s="1"/>
  <c r="B880" i="10" s="1"/>
  <c r="B881" i="10" s="1"/>
  <c r="B882" i="10" s="1"/>
  <c r="B883" i="10" s="1"/>
  <c r="B884" i="10" s="1"/>
  <c r="B885" i="10" s="1"/>
  <c r="B886" i="10" s="1"/>
  <c r="B887" i="10" s="1"/>
  <c r="B888" i="10" s="1"/>
  <c r="B889" i="10" s="1"/>
  <c r="B890" i="10" s="1"/>
  <c r="B891" i="10" s="1"/>
  <c r="B892" i="10" s="1"/>
  <c r="B893" i="10" s="1"/>
  <c r="B894" i="10" s="1"/>
  <c r="B895" i="10" s="1"/>
  <c r="B896" i="10" s="1"/>
  <c r="B897" i="10" s="1"/>
  <c r="B898" i="10" s="1"/>
  <c r="B899" i="10" s="1"/>
  <c r="B900" i="10" s="1"/>
  <c r="B901" i="10" s="1"/>
  <c r="B902" i="10" s="1"/>
  <c r="B903" i="10" s="1"/>
  <c r="B904" i="10" s="1"/>
  <c r="B905" i="10" s="1"/>
  <c r="B906" i="10" s="1"/>
  <c r="B907" i="10" s="1"/>
  <c r="B908" i="10" s="1"/>
  <c r="B909" i="10" s="1"/>
  <c r="B910" i="10" s="1"/>
  <c r="B911" i="10" s="1"/>
  <c r="B912" i="10" s="1"/>
  <c r="B913" i="10" s="1"/>
  <c r="B914" i="10" s="1"/>
  <c r="B915" i="10" s="1"/>
  <c r="B916" i="10" s="1"/>
  <c r="B917" i="10" s="1"/>
  <c r="B918" i="10" s="1"/>
  <c r="B919" i="10" s="1"/>
  <c r="B920" i="10" s="1"/>
  <c r="B921" i="10" s="1"/>
  <c r="B922" i="10" s="1"/>
  <c r="B923" i="10" s="1"/>
  <c r="B924" i="10" s="1"/>
  <c r="B925" i="10" s="1"/>
  <c r="B926" i="10" s="1"/>
  <c r="B927" i="10" s="1"/>
  <c r="B928" i="10" s="1"/>
  <c r="B929" i="10" s="1"/>
  <c r="B930" i="10" s="1"/>
  <c r="B931" i="10" s="1"/>
  <c r="B932" i="10" s="1"/>
  <c r="B933" i="10" s="1"/>
  <c r="B934" i="10" s="1"/>
  <c r="B935" i="10" s="1"/>
  <c r="B936" i="10" s="1"/>
  <c r="B937" i="10" s="1"/>
  <c r="B938" i="10" s="1"/>
  <c r="B939" i="10" s="1"/>
  <c r="B940" i="10" s="1"/>
  <c r="B941" i="10" s="1"/>
  <c r="B942" i="10" s="1"/>
  <c r="B943" i="10" s="1"/>
  <c r="B944" i="10" s="1"/>
  <c r="B945" i="10" s="1"/>
  <c r="B946" i="10" s="1"/>
  <c r="B947" i="10" s="1"/>
  <c r="B948" i="10" s="1"/>
  <c r="B949" i="10" s="1"/>
  <c r="B950" i="10" s="1"/>
  <c r="B951" i="10" s="1"/>
  <c r="B952" i="10" s="1"/>
  <c r="B953" i="10" s="1"/>
  <c r="B954" i="10" s="1"/>
  <c r="B955" i="10" s="1"/>
  <c r="B956" i="10" s="1"/>
  <c r="B957" i="10" s="1"/>
  <c r="B958" i="10" s="1"/>
  <c r="B959" i="10" s="1"/>
  <c r="B960" i="10" s="1"/>
  <c r="B961" i="10" s="1"/>
  <c r="B962" i="10" s="1"/>
  <c r="B963" i="10" s="1"/>
  <c r="B964" i="10" s="1"/>
  <c r="B965" i="10" s="1"/>
  <c r="B966" i="10" s="1"/>
  <c r="B967" i="10" s="1"/>
  <c r="B968" i="10" s="1"/>
  <c r="B969" i="10" s="1"/>
  <c r="B970" i="10" s="1"/>
  <c r="B971" i="10" s="1"/>
  <c r="B972" i="10" s="1"/>
  <c r="B973" i="10" s="1"/>
  <c r="B974" i="10" s="1"/>
  <c r="B975" i="10" s="1"/>
  <c r="B976" i="10" s="1"/>
  <c r="B977" i="10" s="1"/>
  <c r="B978" i="10" s="1"/>
  <c r="B979" i="10" s="1"/>
  <c r="B980" i="10" s="1"/>
  <c r="B981" i="10" s="1"/>
  <c r="B982" i="10" s="1"/>
  <c r="B983" i="10" s="1"/>
  <c r="B984" i="10" s="1"/>
  <c r="B985" i="10" s="1"/>
  <c r="B986" i="10" s="1"/>
  <c r="B987" i="10" s="1"/>
  <c r="B988" i="10" s="1"/>
  <c r="B989" i="10" s="1"/>
  <c r="B990" i="10" s="1"/>
  <c r="B991" i="10" s="1"/>
  <c r="B992" i="10" s="1"/>
  <c r="B993" i="10" s="1"/>
  <c r="B994" i="10" s="1"/>
  <c r="B995" i="10" s="1"/>
  <c r="B996" i="10" s="1"/>
  <c r="B997" i="10" s="1"/>
  <c r="B998" i="10" s="1"/>
  <c r="B999" i="10" s="1"/>
  <c r="B1000" i="10" s="1"/>
  <c r="B1001" i="10" s="1"/>
  <c r="B1002" i="10" s="1"/>
  <c r="B1003" i="10" s="1"/>
  <c r="B1004" i="10" s="1"/>
  <c r="B1005" i="10" s="1"/>
  <c r="B1006" i="10" s="1"/>
  <c r="B1007" i="10" s="1"/>
  <c r="B1008" i="10" s="1"/>
  <c r="B1009" i="10" s="1"/>
  <c r="B1010" i="10" s="1"/>
  <c r="B1011" i="10" s="1"/>
  <c r="B1012" i="10" s="1"/>
  <c r="B1013" i="10" s="1"/>
  <c r="B1014" i="10" s="1"/>
  <c r="B1015" i="10" s="1"/>
  <c r="B1016" i="10" s="1"/>
  <c r="B1017" i="10" s="1"/>
  <c r="B1018" i="10" s="1"/>
  <c r="B1019" i="10" s="1"/>
  <c r="B1020" i="10" s="1"/>
  <c r="B1021" i="10" s="1"/>
  <c r="B1022" i="10" s="1"/>
  <c r="B1023" i="10" s="1"/>
  <c r="B1024" i="10" s="1"/>
  <c r="B1025" i="10" s="1"/>
  <c r="B1026" i="10" s="1"/>
  <c r="B1027" i="10" s="1"/>
  <c r="B1028" i="10" s="1"/>
  <c r="B1029" i="10" s="1"/>
  <c r="B1030" i="10" s="1"/>
  <c r="B1031" i="10" s="1"/>
  <c r="B1032" i="10" s="1"/>
  <c r="B1033" i="10" s="1"/>
  <c r="B1034" i="10" s="1"/>
  <c r="B1035" i="10" s="1"/>
  <c r="B1036" i="10" s="1"/>
  <c r="B1037" i="10" s="1"/>
  <c r="B1038" i="10" s="1"/>
  <c r="B1039" i="10" s="1"/>
  <c r="B1040" i="10" s="1"/>
  <c r="B1041" i="10" s="1"/>
  <c r="B1042" i="10" s="1"/>
  <c r="B1043" i="10" s="1"/>
  <c r="B1044" i="10" s="1"/>
  <c r="B1045" i="10" s="1"/>
  <c r="B1046" i="10" s="1"/>
  <c r="B1047" i="10" s="1"/>
  <c r="B1048" i="10" s="1"/>
  <c r="B1049" i="10" s="1"/>
  <c r="B1050" i="10" s="1"/>
  <c r="B1051" i="10" s="1"/>
  <c r="B1052" i="10" s="1"/>
  <c r="B1053" i="10" s="1"/>
  <c r="B1054" i="10" s="1"/>
  <c r="B1055" i="10" s="1"/>
  <c r="B1056" i="10" s="1"/>
  <c r="B1057" i="10" s="1"/>
  <c r="B1058" i="10" s="1"/>
  <c r="B1059" i="10" s="1"/>
  <c r="B1060" i="10" s="1"/>
  <c r="B1061" i="10" s="1"/>
  <c r="B1062" i="10" s="1"/>
  <c r="B1063" i="10" s="1"/>
  <c r="B1064" i="10" s="1"/>
  <c r="B1065" i="10" s="1"/>
  <c r="B1066" i="10" s="1"/>
  <c r="B1067" i="10" s="1"/>
  <c r="B1068" i="10" s="1"/>
  <c r="B1069" i="10" s="1"/>
  <c r="B1070" i="10" s="1"/>
  <c r="B1071" i="10" s="1"/>
  <c r="B1072" i="10" s="1"/>
  <c r="B1073" i="10" s="1"/>
  <c r="B1074" i="10" s="1"/>
  <c r="B1075" i="10" s="1"/>
  <c r="B1076" i="10" s="1"/>
  <c r="B1077" i="10" s="1"/>
  <c r="B1078" i="10" s="1"/>
  <c r="B1079" i="10" s="1"/>
  <c r="B1080" i="10" s="1"/>
  <c r="B1081" i="10" s="1"/>
  <c r="B1082" i="10" s="1"/>
  <c r="B1083" i="10" s="1"/>
  <c r="B1084" i="10" s="1"/>
  <c r="B1085" i="10" s="1"/>
  <c r="B1086" i="10" s="1"/>
  <c r="B1087" i="10" s="1"/>
  <c r="B1088" i="10" s="1"/>
  <c r="B1089" i="10" s="1"/>
  <c r="B1090" i="10" s="1"/>
  <c r="B1091" i="10" s="1"/>
  <c r="B1092" i="10" s="1"/>
  <c r="B1093" i="10" s="1"/>
  <c r="B1094" i="10" s="1"/>
  <c r="B1095" i="10" s="1"/>
  <c r="B1096" i="10" s="1"/>
  <c r="B1097" i="10" s="1"/>
  <c r="B1098" i="10" s="1"/>
  <c r="B1099" i="10" s="1"/>
  <c r="B1100" i="10" s="1"/>
  <c r="B1101" i="10" s="1"/>
  <c r="B1102" i="10" s="1"/>
  <c r="B1103" i="10" s="1"/>
  <c r="B1104" i="10" s="1"/>
  <c r="B1105" i="10" s="1"/>
  <c r="B1106" i="10" s="1"/>
  <c r="B1107" i="10" s="1"/>
  <c r="B1108" i="10" s="1"/>
  <c r="B1109" i="10" s="1"/>
  <c r="B1110" i="10" s="1"/>
  <c r="B1111" i="10" s="1"/>
  <c r="B1112" i="10" s="1"/>
  <c r="B1113" i="10" s="1"/>
  <c r="B1114" i="10" s="1"/>
  <c r="B1115" i="10" s="1"/>
  <c r="B1116" i="10" s="1"/>
  <c r="B1117" i="10" s="1"/>
  <c r="B1118" i="10" s="1"/>
  <c r="B1119" i="10" s="1"/>
  <c r="B1120" i="10" s="1"/>
  <c r="B1121" i="10" s="1"/>
  <c r="B1122" i="10" s="1"/>
  <c r="B1123" i="10" s="1"/>
  <c r="B1124" i="10" s="1"/>
  <c r="B1125" i="10" s="1"/>
  <c r="B1126" i="10" s="1"/>
  <c r="B1127" i="10" s="1"/>
  <c r="B1128" i="10" s="1"/>
  <c r="B1129" i="10" s="1"/>
  <c r="B1130" i="10" s="1"/>
  <c r="B1131" i="10" s="1"/>
  <c r="B1132" i="10" s="1"/>
  <c r="B1133" i="10" s="1"/>
  <c r="B1134" i="10" s="1"/>
  <c r="B1135" i="10" s="1"/>
  <c r="B1136" i="10" s="1"/>
  <c r="B1137" i="10" s="1"/>
  <c r="B1138" i="10" s="1"/>
  <c r="B1139" i="10" s="1"/>
  <c r="B1140" i="10" s="1"/>
  <c r="B1141" i="10" s="1"/>
  <c r="B1142" i="10" s="1"/>
  <c r="B1143" i="10" s="1"/>
  <c r="B1144" i="10" s="1"/>
  <c r="B1145" i="10" s="1"/>
  <c r="B1146" i="10" s="1"/>
  <c r="B1147" i="10" s="1"/>
  <c r="B1148" i="10" s="1"/>
  <c r="B1149" i="10" s="1"/>
  <c r="B1150" i="10" s="1"/>
  <c r="B1151" i="10" s="1"/>
  <c r="B1152" i="10" s="1"/>
  <c r="B1153" i="10" s="1"/>
  <c r="B1154" i="10" s="1"/>
  <c r="B1155" i="10" s="1"/>
  <c r="B1156" i="10" s="1"/>
  <c r="B1157" i="10" s="1"/>
  <c r="B1158" i="10" s="1"/>
  <c r="B1159" i="10" s="1"/>
  <c r="B1160" i="10" s="1"/>
  <c r="B1161" i="10" s="1"/>
  <c r="B1162" i="10" s="1"/>
  <c r="B1163" i="10" s="1"/>
  <c r="B1164" i="10" s="1"/>
  <c r="B1165" i="10" s="1"/>
  <c r="B1166" i="10" s="1"/>
  <c r="B1167" i="10" s="1"/>
  <c r="B1168" i="10" s="1"/>
  <c r="B1169" i="10" s="1"/>
  <c r="B1170" i="10" s="1"/>
  <c r="B1171" i="10" s="1"/>
  <c r="B1172" i="10" s="1"/>
  <c r="B1173" i="10" s="1"/>
  <c r="B1174" i="10" s="1"/>
  <c r="B1175" i="10" s="1"/>
  <c r="B1176" i="10" s="1"/>
  <c r="B1177" i="10" s="1"/>
  <c r="B1178" i="10" s="1"/>
  <c r="B1179" i="10" s="1"/>
  <c r="B1180" i="10" s="1"/>
  <c r="B1181" i="10" s="1"/>
  <c r="B1182" i="10" s="1"/>
  <c r="B1183" i="10" s="1"/>
  <c r="B1184" i="10" s="1"/>
  <c r="B1185" i="10" s="1"/>
  <c r="B1186" i="10" s="1"/>
  <c r="B1187" i="10" s="1"/>
  <c r="B1188" i="10" s="1"/>
  <c r="B1189" i="10" s="1"/>
  <c r="B1190" i="10" s="1"/>
  <c r="B1191" i="10" s="1"/>
  <c r="B1192" i="10" s="1"/>
  <c r="B1193" i="10" s="1"/>
  <c r="B1194" i="10" s="1"/>
  <c r="B1195" i="10" s="1"/>
  <c r="B1196" i="10" s="1"/>
  <c r="B1197" i="10" s="1"/>
  <c r="B1198" i="10" s="1"/>
  <c r="B1199" i="10" s="1"/>
  <c r="B1200" i="10" s="1"/>
  <c r="B1201" i="10" s="1"/>
  <c r="B1202" i="10" s="1"/>
  <c r="B1203" i="10" s="1"/>
  <c r="B1204" i="10" s="1"/>
  <c r="B1205" i="10" s="1"/>
  <c r="B1206" i="10" s="1"/>
  <c r="B1207" i="10" s="1"/>
  <c r="B1208" i="10" s="1"/>
  <c r="B1209" i="10" s="1"/>
  <c r="B1210" i="10" s="1"/>
  <c r="B1211" i="10" s="1"/>
  <c r="B1212" i="10" s="1"/>
  <c r="B1213" i="10" s="1"/>
  <c r="B1214" i="10" s="1"/>
  <c r="B1215" i="10" s="1"/>
  <c r="B1216" i="10" s="1"/>
  <c r="B1217" i="10" s="1"/>
  <c r="B1218" i="10" s="1"/>
  <c r="B1219" i="10" s="1"/>
  <c r="B1220" i="10" s="1"/>
  <c r="B1221" i="10" s="1"/>
  <c r="B1222" i="10" s="1"/>
  <c r="B1223" i="10" s="1"/>
  <c r="B1224" i="10" s="1"/>
  <c r="B1225" i="10" s="1"/>
  <c r="B1226" i="10" s="1"/>
  <c r="B1227" i="10" s="1"/>
  <c r="B1228" i="10" s="1"/>
  <c r="B1229" i="10" s="1"/>
  <c r="B1230" i="10" s="1"/>
  <c r="AF11" i="10"/>
  <c r="AE11" i="10"/>
  <c r="AG8" i="10"/>
  <c r="AG8" i="32"/>
  <c r="R237" i="9"/>
  <c r="R237" i="7"/>
  <c r="U237" i="3"/>
  <c r="S237" i="3"/>
  <c r="Q237" i="3"/>
  <c r="Q239" i="3"/>
  <c r="U195" i="3"/>
  <c r="S195" i="3"/>
  <c r="Q195" i="3"/>
  <c r="U135" i="3"/>
  <c r="S135" i="3"/>
  <c r="Q135" i="3"/>
  <c r="U75" i="3"/>
  <c r="S75" i="3"/>
  <c r="Q75" i="3"/>
  <c r="AI145" i="12" l="1"/>
  <c r="U145" i="12"/>
  <c r="U147" i="12"/>
  <c r="AI147" i="12"/>
  <c r="U153" i="12"/>
  <c r="AI153" i="12"/>
  <c r="L242" i="4"/>
  <c r="O242" i="7"/>
  <c r="O132" i="29" a="1"/>
  <c r="O140" i="29" a="1"/>
  <c r="O148" i="29" a="1"/>
  <c r="O133" i="29" a="1"/>
  <c r="O141" i="29" a="1"/>
  <c r="O149" i="29" a="1"/>
  <c r="O134" i="29" a="1"/>
  <c r="O142" i="29" a="1"/>
  <c r="O150" i="29" a="1"/>
  <c r="O152" i="29" a="1"/>
  <c r="O135" i="29" a="1"/>
  <c r="O143" i="29" a="1"/>
  <c r="O151" i="29" a="1"/>
  <c r="O136" i="29" a="1"/>
  <c r="O137" i="29" a="1"/>
  <c r="O138" i="29" a="1"/>
  <c r="O146" i="29" a="1"/>
  <c r="O154" i="29" a="1"/>
  <c r="O156" i="29" a="1"/>
  <c r="O157" i="29" a="1"/>
  <c r="O158" i="29" a="1"/>
  <c r="O139" i="29" a="1"/>
  <c r="N132" i="29" a="1"/>
  <c r="N140" i="29" a="1"/>
  <c r="N148" i="29" a="1"/>
  <c r="N133" i="29" a="1"/>
  <c r="N141" i="29" a="1"/>
  <c r="N149" i="29" a="1"/>
  <c r="N134" i="29" a="1"/>
  <c r="N142" i="29" a="1"/>
  <c r="N150" i="29" a="1"/>
  <c r="N135" i="29" a="1"/>
  <c r="N143" i="29" a="1"/>
  <c r="N151" i="29" a="1"/>
  <c r="N136" i="29" a="1"/>
  <c r="N152" i="29" a="1"/>
  <c r="N137" i="29" a="1"/>
  <c r="N138" i="29" a="1"/>
  <c r="N146" i="29" a="1"/>
  <c r="N154" i="29" a="1"/>
  <c r="N156" i="29" a="1"/>
  <c r="N157" i="29" a="1"/>
  <c r="N158" i="29" a="1"/>
  <c r="N139" i="29" a="1"/>
  <c r="L242" i="9"/>
  <c r="O242" i="9"/>
  <c r="O71" i="24"/>
  <c r="N71" i="24"/>
  <c r="T71" i="12" s="1"/>
  <c r="N73" i="29"/>
  <c r="N103" i="29"/>
  <c r="O103" i="29"/>
  <c r="O73" i="29"/>
  <c r="N85" i="29"/>
  <c r="O85" i="29"/>
  <c r="N42" i="29"/>
  <c r="O42" i="29"/>
  <c r="N29" i="29"/>
  <c r="O29" i="29"/>
  <c r="AG715" i="10"/>
  <c r="AJ715" i="10" s="1"/>
  <c r="AP715" i="10" s="1"/>
  <c r="AG714" i="10"/>
  <c r="AJ714" i="10" s="1"/>
  <c r="AP714" i="10" s="1"/>
  <c r="AH715" i="10"/>
  <c r="AH714" i="10"/>
  <c r="N68" i="29"/>
  <c r="O68" i="29"/>
  <c r="O59" i="29"/>
  <c r="N59" i="29"/>
  <c r="O63" i="29"/>
  <c r="N63" i="29"/>
  <c r="N90" i="29"/>
  <c r="O90" i="29"/>
  <c r="I242" i="7"/>
  <c r="I242" i="9"/>
  <c r="I242" i="4"/>
  <c r="H242" i="7"/>
  <c r="H242" i="4"/>
  <c r="H242" i="9"/>
  <c r="D241" i="4"/>
  <c r="O61" i="29"/>
  <c r="N61" i="29"/>
  <c r="N50" i="24"/>
  <c r="T50" i="12" s="1"/>
  <c r="N50" i="29"/>
  <c r="O50" i="29"/>
  <c r="O50" i="24"/>
  <c r="O56" i="29"/>
  <c r="O56" i="24"/>
  <c r="O49" i="29"/>
  <c r="O49" i="24"/>
  <c r="O62" i="24"/>
  <c r="O62" i="29"/>
  <c r="N56" i="24"/>
  <c r="T56" i="12" s="1"/>
  <c r="N56" i="29"/>
  <c r="N49" i="24"/>
  <c r="T49" i="12" s="1"/>
  <c r="N49" i="29"/>
  <c r="N62" i="24"/>
  <c r="T62" i="12" s="1"/>
  <c r="N62" i="29"/>
  <c r="O107" i="24"/>
  <c r="N123" i="29"/>
  <c r="O123" i="29"/>
  <c r="N125" i="29"/>
  <c r="N125" i="24"/>
  <c r="T125" i="12" s="1"/>
  <c r="O125" i="24"/>
  <c r="O125" i="29"/>
  <c r="N123" i="24"/>
  <c r="T123" i="12" s="1"/>
  <c r="O123" i="24"/>
  <c r="N120" i="29"/>
  <c r="N120" i="24"/>
  <c r="T120" i="12" s="1"/>
  <c r="O120" i="24"/>
  <c r="O120" i="29"/>
  <c r="N115" i="29"/>
  <c r="N115" i="24"/>
  <c r="T115" i="12" s="1"/>
  <c r="O115" i="29"/>
  <c r="O115" i="24"/>
  <c r="O109" i="29"/>
  <c r="O109" i="24"/>
  <c r="N109" i="29"/>
  <c r="N109" i="24"/>
  <c r="T109" i="12" s="1"/>
  <c r="N107" i="29"/>
  <c r="N107" i="24"/>
  <c r="T107" i="12" s="1"/>
  <c r="O107" i="29"/>
  <c r="O142" i="24"/>
  <c r="O150" i="24"/>
  <c r="N105" i="29"/>
  <c r="N105" i="24"/>
  <c r="T105" i="12" s="1"/>
  <c r="O105" i="24"/>
  <c r="O105" i="29"/>
  <c r="N104" i="29"/>
  <c r="N104" i="24"/>
  <c r="T104" i="12" s="1"/>
  <c r="O104" i="24"/>
  <c r="O104" i="29"/>
  <c r="N102" i="29"/>
  <c r="N102" i="24"/>
  <c r="T102" i="12" s="1"/>
  <c r="O102" i="24"/>
  <c r="O102" i="29"/>
  <c r="O101" i="24"/>
  <c r="O101" i="29"/>
  <c r="N101" i="24"/>
  <c r="T101" i="12" s="1"/>
  <c r="N101" i="29"/>
  <c r="N100" i="24"/>
  <c r="T100" i="12" s="1"/>
  <c r="N100" i="29"/>
  <c r="O100" i="24"/>
  <c r="O100" i="29"/>
  <c r="O99" i="24"/>
  <c r="O99" i="29"/>
  <c r="N99" i="29"/>
  <c r="N99" i="24"/>
  <c r="T99" i="12" s="1"/>
  <c r="N96" i="24"/>
  <c r="T96" i="12" s="1"/>
  <c r="N98" i="29"/>
  <c r="N98" i="24"/>
  <c r="T98" i="12" s="1"/>
  <c r="O98" i="24"/>
  <c r="O98" i="29"/>
  <c r="O96" i="24"/>
  <c r="O96" i="29"/>
  <c r="O95" i="24"/>
  <c r="N96" i="29"/>
  <c r="O95" i="29"/>
  <c r="N95" i="29"/>
  <c r="N95" i="24"/>
  <c r="T95" i="12" s="1"/>
  <c r="N93" i="29"/>
  <c r="N93" i="24"/>
  <c r="T93" i="12" s="1"/>
  <c r="O93" i="24"/>
  <c r="O93" i="29"/>
  <c r="N94" i="29"/>
  <c r="N94" i="24"/>
  <c r="T94" i="12" s="1"/>
  <c r="O94" i="24"/>
  <c r="O94" i="29"/>
  <c r="N89" i="29"/>
  <c r="N89" i="24"/>
  <c r="T89" i="12" s="1"/>
  <c r="O89" i="24"/>
  <c r="O89" i="29"/>
  <c r="O87" i="24"/>
  <c r="O87" i="29"/>
  <c r="N87" i="29"/>
  <c r="N87" i="24"/>
  <c r="T87" i="12" s="1"/>
  <c r="O82" i="24"/>
  <c r="O82" i="29"/>
  <c r="N82" i="29"/>
  <c r="N82" i="24"/>
  <c r="T82" i="12" s="1"/>
  <c r="O79" i="24"/>
  <c r="O79" i="29"/>
  <c r="N79" i="29"/>
  <c r="N79" i="24"/>
  <c r="T79" i="12" s="1"/>
  <c r="O72" i="24"/>
  <c r="O72" i="29"/>
  <c r="N72" i="29"/>
  <c r="N72" i="24"/>
  <c r="T72" i="12" s="1"/>
  <c r="N65" i="24"/>
  <c r="T65" i="12" s="1"/>
  <c r="N68" i="24"/>
  <c r="T68" i="12" s="1"/>
  <c r="O68" i="24"/>
  <c r="N67" i="29"/>
  <c r="N67" i="24"/>
  <c r="T67" i="12" s="1"/>
  <c r="O67" i="24"/>
  <c r="O67" i="29"/>
  <c r="O141" i="24"/>
  <c r="O149" i="24"/>
  <c r="O65" i="24"/>
  <c r="O66" i="29"/>
  <c r="O66" i="24"/>
  <c r="N66" i="29"/>
  <c r="N66" i="24"/>
  <c r="T66" i="12" s="1"/>
  <c r="O157" i="24"/>
  <c r="O156" i="24"/>
  <c r="O139" i="24"/>
  <c r="O138" i="24"/>
  <c r="N103" i="24"/>
  <c r="T103" i="12" s="1"/>
  <c r="O128" i="29" a="1"/>
  <c r="O129" i="29" a="1"/>
  <c r="O126" i="29" a="1"/>
  <c r="O131" i="29" a="1"/>
  <c r="O127" i="29" a="1"/>
  <c r="N126" i="29" a="1"/>
  <c r="N127" i="29" a="1"/>
  <c r="N129" i="29" a="1"/>
  <c r="N128" i="29" a="1"/>
  <c r="N131" i="29" a="1"/>
  <c r="O43" i="24"/>
  <c r="O73" i="24"/>
  <c r="O103" i="24"/>
  <c r="O152" i="24"/>
  <c r="D242" i="9"/>
  <c r="D242" i="28"/>
  <c r="O146" i="24"/>
  <c r="O154" i="24"/>
  <c r="N73" i="24"/>
  <c r="T73" i="12" s="1"/>
  <c r="N43" i="24"/>
  <c r="T43" i="12" s="1"/>
  <c r="O135" i="24"/>
  <c r="O136" i="24"/>
  <c r="O137" i="24"/>
  <c r="O140" i="24"/>
  <c r="O148" i="24"/>
  <c r="O143" i="24"/>
  <c r="O151" i="24"/>
  <c r="AG586" i="10"/>
  <c r="AJ586" i="10" s="1"/>
  <c r="AP586" i="10" s="1"/>
  <c r="AG593" i="10"/>
  <c r="AJ593" i="10" s="1"/>
  <c r="AP593" i="10" s="1"/>
  <c r="AG591" i="10"/>
  <c r="AJ591" i="10" s="1"/>
  <c r="AP591" i="10" s="1"/>
  <c r="AG592" i="10"/>
  <c r="AJ592" i="10" s="1"/>
  <c r="AP592" i="10" s="1"/>
  <c r="AG587" i="10"/>
  <c r="AJ587" i="10" s="1"/>
  <c r="AP587" i="10" s="1"/>
  <c r="AG588" i="10"/>
  <c r="AJ588" i="10" s="1"/>
  <c r="AP588" i="10" s="1"/>
  <c r="AG590" i="10"/>
  <c r="AJ590" i="10" s="1"/>
  <c r="AP590" i="10" s="1"/>
  <c r="AG589" i="10"/>
  <c r="AJ589" i="10" s="1"/>
  <c r="AP589" i="10" s="1"/>
  <c r="AH586" i="10"/>
  <c r="AH588" i="10"/>
  <c r="AH592" i="10"/>
  <c r="AH593" i="10"/>
  <c r="AH590" i="10"/>
  <c r="AH587" i="10"/>
  <c r="AH589" i="10"/>
  <c r="AH591" i="10"/>
  <c r="G242" i="4"/>
  <c r="G242" i="7"/>
  <c r="G242" i="9"/>
  <c r="M242" i="9"/>
  <c r="M242" i="4"/>
  <c r="M242" i="7"/>
  <c r="S786" i="32"/>
  <c r="Y786" i="11" s="1"/>
  <c r="S787" i="32"/>
  <c r="Y787" i="11" s="1"/>
  <c r="S657" i="32"/>
  <c r="S474" i="32"/>
  <c r="S656" i="32"/>
  <c r="S655" i="32"/>
  <c r="S476" i="32"/>
  <c r="S475" i="32"/>
  <c r="S568" i="32"/>
  <c r="S725" i="32"/>
  <c r="S724" i="32"/>
  <c r="S384" i="32"/>
  <c r="S383" i="32"/>
  <c r="S382" i="32"/>
  <c r="N242" i="9"/>
  <c r="N242" i="4"/>
  <c r="N242" i="7"/>
  <c r="S930" i="32"/>
  <c r="S981" i="32"/>
  <c r="S980" i="32"/>
  <c r="S857" i="32"/>
  <c r="S859" i="32"/>
  <c r="S858" i="32"/>
  <c r="S929" i="32"/>
  <c r="S931" i="32"/>
  <c r="F242" i="4"/>
  <c r="F242" i="7"/>
  <c r="F242" i="9"/>
  <c r="S926" i="32"/>
  <c r="S854" i="32"/>
  <c r="S979" i="32"/>
  <c r="S928" i="32"/>
  <c r="S856" i="32"/>
  <c r="S855" i="32"/>
  <c r="S978" i="32"/>
  <c r="S927" i="32"/>
  <c r="J242" i="9"/>
  <c r="J242" i="4"/>
  <c r="J242" i="7"/>
  <c r="K242" i="9"/>
  <c r="K242" i="4"/>
  <c r="K242" i="7"/>
  <c r="S218" i="32"/>
  <c r="S290" i="32"/>
  <c r="S113" i="32"/>
  <c r="S217" i="32"/>
  <c r="S289" i="32"/>
  <c r="S112" i="32"/>
  <c r="S216" i="32"/>
  <c r="S111" i="32"/>
  <c r="E242" i="7"/>
  <c r="E242" i="9"/>
  <c r="E242" i="4"/>
  <c r="U105" i="28"/>
  <c r="R58" i="15" s="1"/>
  <c r="U73" i="28"/>
  <c r="Q42" i="15" s="1"/>
  <c r="Q42" i="12" s="1"/>
  <c r="U41" i="28"/>
  <c r="Q26" i="15" s="1"/>
  <c r="Q26" i="12" s="1"/>
  <c r="Y135" i="28"/>
  <c r="Y131" i="28"/>
  <c r="W135" i="28"/>
  <c r="S73" i="15"/>
  <c r="S73" i="12" s="1"/>
  <c r="U209" i="28"/>
  <c r="R110" i="15" s="1"/>
  <c r="R110" i="12" s="1"/>
  <c r="U177" i="28"/>
  <c r="R94" i="15" s="1"/>
  <c r="R94" i="12" s="1"/>
  <c r="U145" i="28"/>
  <c r="R78" i="15" s="1"/>
  <c r="R78" i="12" s="1"/>
  <c r="U113" i="28"/>
  <c r="R62" i="15" s="1"/>
  <c r="R62" i="12" s="1"/>
  <c r="U81" i="28"/>
  <c r="R46" i="15" s="1"/>
  <c r="R46" i="12" s="1"/>
  <c r="U65" i="28"/>
  <c r="Q38" i="15" s="1"/>
  <c r="Q38" i="12" s="1"/>
  <c r="U49" i="28"/>
  <c r="Q30" i="15" s="1"/>
  <c r="Q30" i="12" s="1"/>
  <c r="U33" i="28"/>
  <c r="Q22" i="15" s="1"/>
  <c r="Q22" i="12" s="1"/>
  <c r="U17" i="28"/>
  <c r="Q14" i="15" s="1"/>
  <c r="Q14" i="12" s="1"/>
  <c r="U67" i="28"/>
  <c r="Q39" i="15" s="1"/>
  <c r="Q39" i="12" s="1"/>
  <c r="U35" i="28"/>
  <c r="Q23" i="15" s="1"/>
  <c r="Q23" i="12" s="1"/>
  <c r="U71" i="28"/>
  <c r="Q41" i="15" s="1"/>
  <c r="Q41" i="12" s="1"/>
  <c r="U133" i="28"/>
  <c r="R72" i="15" s="1"/>
  <c r="R72" i="12" s="1"/>
  <c r="U239" i="28"/>
  <c r="R125" i="15" s="1"/>
  <c r="R125" i="12" s="1"/>
  <c r="U111" i="28"/>
  <c r="R61" i="15" s="1"/>
  <c r="R61" i="12" s="1"/>
  <c r="U79" i="28"/>
  <c r="R45" i="15" s="1"/>
  <c r="R45" i="12" s="1"/>
  <c r="U47" i="28"/>
  <c r="Q29" i="15" s="1"/>
  <c r="Q29" i="12" s="1"/>
  <c r="U15" i="28"/>
  <c r="Q13" i="15" s="1"/>
  <c r="Q13" i="12" s="1"/>
  <c r="U109" i="28"/>
  <c r="R60" i="15" s="1"/>
  <c r="R60" i="12" s="1"/>
  <c r="U77" i="28"/>
  <c r="R44" i="15" s="1"/>
  <c r="R44" i="12" s="1"/>
  <c r="U13" i="28"/>
  <c r="Q12" i="15" s="1"/>
  <c r="Q12" i="12" s="1"/>
  <c r="U155" i="28"/>
  <c r="R83" i="15" s="1"/>
  <c r="R83" i="12" s="1"/>
  <c r="U91" i="28"/>
  <c r="R51" i="15" s="1"/>
  <c r="R51" i="12" s="1"/>
  <c r="U237" i="28"/>
  <c r="R124" i="15" s="1"/>
  <c r="U205" i="28"/>
  <c r="R108" i="15" s="1"/>
  <c r="R108" i="12" s="1"/>
  <c r="U141" i="28"/>
  <c r="R76" i="15" s="1"/>
  <c r="R76" i="12" s="1"/>
  <c r="U99" i="28"/>
  <c r="R55" i="15" s="1"/>
  <c r="R55" i="12" s="1"/>
  <c r="Q110" i="15"/>
  <c r="Q110" i="12" s="1"/>
  <c r="U207" i="28"/>
  <c r="R109" i="15" s="1"/>
  <c r="R109" i="12" s="1"/>
  <c r="U175" i="28"/>
  <c r="R93" i="15" s="1"/>
  <c r="R93" i="12" s="1"/>
  <c r="U157" i="28"/>
  <c r="R84" i="15" s="1"/>
  <c r="R84" i="12" s="1"/>
  <c r="U93" i="28"/>
  <c r="R52" i="15" s="1"/>
  <c r="R52" i="12" s="1"/>
  <c r="U45" i="28"/>
  <c r="Q28" i="15" s="1"/>
  <c r="Q28" i="12" s="1"/>
  <c r="U107" i="28"/>
  <c r="R59" i="15" s="1"/>
  <c r="R59" i="12" s="1"/>
  <c r="U27" i="28"/>
  <c r="Q19" i="15" s="1"/>
  <c r="Q19" i="12" s="1"/>
  <c r="U219" i="28"/>
  <c r="R115" i="15" s="1"/>
  <c r="R115" i="12" s="1"/>
  <c r="U75" i="28"/>
  <c r="R43" i="15" s="1"/>
  <c r="R43" i="12" s="1"/>
  <c r="U143" i="28"/>
  <c r="R77" i="15" s="1"/>
  <c r="R77" i="12" s="1"/>
  <c r="U63" i="28"/>
  <c r="Q37" i="15" s="1"/>
  <c r="Q37" i="12" s="1"/>
  <c r="U31" i="28"/>
  <c r="Q21" i="15" s="1"/>
  <c r="Q21" i="12" s="1"/>
  <c r="Q62" i="15"/>
  <c r="Q62" i="12" s="1"/>
  <c r="U221" i="28"/>
  <c r="R116" i="15" s="1"/>
  <c r="R116" i="12" s="1"/>
  <c r="U189" i="28"/>
  <c r="R100" i="15" s="1"/>
  <c r="R100" i="12" s="1"/>
  <c r="U125" i="28"/>
  <c r="R68" i="15" s="1"/>
  <c r="R68" i="12" s="1"/>
  <c r="U61" i="28"/>
  <c r="Q36" i="15" s="1"/>
  <c r="Q36" i="12" s="1"/>
  <c r="U29" i="28"/>
  <c r="Q20" i="15" s="1"/>
  <c r="Q20" i="12" s="1"/>
  <c r="U187" i="28"/>
  <c r="R99" i="15" s="1"/>
  <c r="R99" i="12" s="1"/>
  <c r="U123" i="28"/>
  <c r="R67" i="15" s="1"/>
  <c r="R67" i="12" s="1"/>
  <c r="U43" i="28"/>
  <c r="Q27" i="15" s="1"/>
  <c r="Q27" i="12" s="1"/>
  <c r="Q46" i="15"/>
  <c r="Q46" i="12" s="1"/>
  <c r="U59" i="28"/>
  <c r="Q35" i="15" s="1"/>
  <c r="Q35" i="12" s="1"/>
  <c r="U173" i="28"/>
  <c r="R92" i="15" s="1"/>
  <c r="R92" i="12" s="1"/>
  <c r="Q78" i="15"/>
  <c r="Q78" i="12" s="1"/>
  <c r="U199" i="28"/>
  <c r="R105" i="15" s="1"/>
  <c r="R105" i="12" s="1"/>
  <c r="U135" i="28"/>
  <c r="R73" i="15" s="1"/>
  <c r="R73" i="12" s="1"/>
  <c r="U21" i="28"/>
  <c r="Q16" i="15" s="1"/>
  <c r="Q16" i="12" s="1"/>
  <c r="U147" i="28"/>
  <c r="R79" i="15" s="1"/>
  <c r="R79" i="12" s="1"/>
  <c r="U115" i="28"/>
  <c r="R63" i="15" s="1"/>
  <c r="R63" i="12" s="1"/>
  <c r="U19" i="28"/>
  <c r="Q15" i="15" s="1"/>
  <c r="Q15" i="12" s="1"/>
  <c r="Q94" i="15"/>
  <c r="Q94" i="12" s="1"/>
  <c r="U53" i="28"/>
  <c r="Q32" i="15" s="1"/>
  <c r="Q32" i="12" s="1"/>
  <c r="U131" i="28"/>
  <c r="R71" i="15" s="1"/>
  <c r="R71" i="12" s="1"/>
  <c r="U83" i="28"/>
  <c r="R47" i="15" s="1"/>
  <c r="R47" i="12" s="1"/>
  <c r="U217" i="28"/>
  <c r="R114" i="15" s="1"/>
  <c r="R114" i="12" s="1"/>
  <c r="U185" i="28"/>
  <c r="R98" i="15" s="1"/>
  <c r="R98" i="12" s="1"/>
  <c r="U121" i="28"/>
  <c r="R66" i="15" s="1"/>
  <c r="R66" i="12" s="1"/>
  <c r="U57" i="28"/>
  <c r="Q34" i="15" s="1"/>
  <c r="Q34" i="12" s="1"/>
  <c r="U215" i="28"/>
  <c r="R113" i="15" s="1"/>
  <c r="R113" i="12" s="1"/>
  <c r="U151" i="28"/>
  <c r="R81" i="15" s="1"/>
  <c r="R81" i="12" s="1"/>
  <c r="U23" i="28"/>
  <c r="Q17" i="15" s="1"/>
  <c r="Q17" i="12" s="1"/>
  <c r="U211" i="28"/>
  <c r="R111" i="15" s="1"/>
  <c r="R111" i="12" s="1"/>
  <c r="U179" i="28"/>
  <c r="R95" i="15" s="1"/>
  <c r="R95" i="12" s="1"/>
  <c r="U51" i="28"/>
  <c r="Q31" i="15" s="1"/>
  <c r="Q31" i="12" s="1"/>
  <c r="Q95" i="15"/>
  <c r="Q95" i="12" s="1"/>
  <c r="Q79" i="15"/>
  <c r="Q79" i="12" s="1"/>
  <c r="U69" i="28"/>
  <c r="Q40" i="15" s="1"/>
  <c r="Q40" i="12" s="1"/>
  <c r="U153" i="28"/>
  <c r="R82" i="15" s="1"/>
  <c r="R82" i="12" s="1"/>
  <c r="U89" i="28"/>
  <c r="R50" i="15" s="1"/>
  <c r="R50" i="12" s="1"/>
  <c r="U25" i="28"/>
  <c r="Q18" i="15" s="1"/>
  <c r="Q18" i="12" s="1"/>
  <c r="U231" i="28"/>
  <c r="R121" i="15" s="1"/>
  <c r="R121" i="12" s="1"/>
  <c r="U167" i="28"/>
  <c r="R89" i="15" s="1"/>
  <c r="R89" i="12" s="1"/>
  <c r="U39" i="28"/>
  <c r="Q25" i="15" s="1"/>
  <c r="Q25" i="12" s="1"/>
  <c r="U183" i="28"/>
  <c r="R97" i="15" s="1"/>
  <c r="R97" i="12" s="1"/>
  <c r="U55" i="28"/>
  <c r="Q33" i="15" s="1"/>
  <c r="Q33" i="12" s="1"/>
  <c r="U37" i="28"/>
  <c r="Q24" i="15" s="1"/>
  <c r="Q24" i="12" s="1"/>
  <c r="Q63" i="15"/>
  <c r="Q63" i="12" s="1"/>
  <c r="S928" i="10"/>
  <c r="S856" i="10"/>
  <c r="Y856" i="11" s="1"/>
  <c r="S855" i="10"/>
  <c r="S978" i="10"/>
  <c r="S926" i="10"/>
  <c r="S854" i="10"/>
  <c r="S979" i="10"/>
  <c r="S927" i="10"/>
  <c r="S981" i="10"/>
  <c r="S930" i="10"/>
  <c r="S857" i="10"/>
  <c r="Y857" i="11" s="1"/>
  <c r="S980" i="10"/>
  <c r="S931" i="10"/>
  <c r="S929" i="10"/>
  <c r="S859" i="10"/>
  <c r="S858" i="10"/>
  <c r="C248" i="4"/>
  <c r="C248" i="7"/>
  <c r="D259" i="4"/>
  <c r="D251" i="4"/>
  <c r="S787" i="10"/>
  <c r="S656" i="10"/>
  <c r="S786" i="10"/>
  <c r="S657" i="10"/>
  <c r="S655" i="10"/>
  <c r="S725" i="10"/>
  <c r="S724" i="10"/>
  <c r="Q131" i="28"/>
  <c r="O71" i="15" s="1"/>
  <c r="O71" i="12" s="1"/>
  <c r="O131" i="28"/>
  <c r="N71" i="15" s="1"/>
  <c r="N71" i="12" s="1"/>
  <c r="C266" i="4"/>
  <c r="C266" i="7"/>
  <c r="C246" i="7"/>
  <c r="C246" i="4"/>
  <c r="D243" i="4"/>
  <c r="D243" i="7"/>
  <c r="C252" i="7"/>
  <c r="C250" i="4"/>
  <c r="C250" i="7"/>
  <c r="D249" i="7"/>
  <c r="D249" i="4"/>
  <c r="D255" i="7"/>
  <c r="D255" i="4"/>
  <c r="C272" i="4"/>
  <c r="C272" i="7"/>
  <c r="D269" i="4"/>
  <c r="C256" i="7"/>
  <c r="C256" i="4"/>
  <c r="C274" i="7"/>
  <c r="C254" i="4"/>
  <c r="C254" i="7"/>
  <c r="C260" i="4"/>
  <c r="D269" i="7"/>
  <c r="D267" i="7"/>
  <c r="D251" i="7"/>
  <c r="AH743" i="10"/>
  <c r="AH785" i="10"/>
  <c r="AG785" i="10"/>
  <c r="AG783" i="10"/>
  <c r="AG775" i="10"/>
  <c r="AH750" i="10"/>
  <c r="AH779" i="10"/>
  <c r="AH752" i="10"/>
  <c r="AG736" i="10"/>
  <c r="AH742" i="10"/>
  <c r="AH756" i="10"/>
  <c r="AG746" i="10"/>
  <c r="AH780" i="10"/>
  <c r="AH758" i="10"/>
  <c r="AG766" i="10"/>
  <c r="AG738" i="10"/>
  <c r="AH741" i="10"/>
  <c r="AH735" i="10"/>
  <c r="AG780" i="10"/>
  <c r="AG762" i="10"/>
  <c r="AG768" i="10"/>
  <c r="AG782" i="10"/>
  <c r="AG741" i="10"/>
  <c r="AG755" i="10"/>
  <c r="AG743" i="10"/>
  <c r="AH774" i="10"/>
  <c r="AH777" i="10"/>
  <c r="AG779" i="10"/>
  <c r="AG773" i="10"/>
  <c r="AG767" i="10"/>
  <c r="AH734" i="10"/>
  <c r="AH763" i="10"/>
  <c r="AG745" i="10"/>
  <c r="AH769" i="10"/>
  <c r="AH748" i="10"/>
  <c r="AG769" i="10"/>
  <c r="AH766" i="10"/>
  <c r="AH744" i="10"/>
  <c r="AH786" i="10"/>
  <c r="AG758" i="10"/>
  <c r="AH778" i="10"/>
  <c r="AG776" i="10"/>
  <c r="AH768" i="10"/>
  <c r="AG772" i="10"/>
  <c r="AH747" i="10"/>
  <c r="AH755" i="10"/>
  <c r="AH781" i="10"/>
  <c r="AG774" i="10"/>
  <c r="AG731" i="10"/>
  <c r="AG765" i="10"/>
  <c r="AH773" i="10"/>
  <c r="AH745" i="10"/>
  <c r="AH771" i="10"/>
  <c r="AG777" i="10"/>
  <c r="AG752" i="10"/>
  <c r="AG750" i="10"/>
  <c r="AG763" i="10"/>
  <c r="AH772" i="10"/>
  <c r="AG771" i="10"/>
  <c r="AG734" i="10"/>
  <c r="AH736" i="10"/>
  <c r="AG730" i="10"/>
  <c r="AH732" i="10"/>
  <c r="AG754" i="10"/>
  <c r="AG764" i="10"/>
  <c r="AG784" i="10"/>
  <c r="AH762" i="10"/>
  <c r="AG751" i="10"/>
  <c r="AG735" i="10"/>
  <c r="AG757" i="10"/>
  <c r="AH731" i="10"/>
  <c r="AH737" i="10"/>
  <c r="AG742" i="10"/>
  <c r="AH787" i="10"/>
  <c r="AH757" i="10"/>
  <c r="AH783" i="10"/>
  <c r="AH784" i="10"/>
  <c r="AH740" i="10"/>
  <c r="AH754" i="10"/>
  <c r="AH782" i="10"/>
  <c r="AG787" i="10"/>
  <c r="AG748" i="10"/>
  <c r="AG740" i="10"/>
  <c r="AH759" i="10"/>
  <c r="AH751" i="10"/>
  <c r="AG778" i="10"/>
  <c r="AG759" i="10"/>
  <c r="AH733" i="10"/>
  <c r="AG770" i="10"/>
  <c r="AH746" i="10"/>
  <c r="AG733" i="10"/>
  <c r="AH739" i="10"/>
  <c r="AG747" i="10"/>
  <c r="AG753" i="10"/>
  <c r="AG739" i="10"/>
  <c r="AH775" i="10"/>
  <c r="AH767" i="10"/>
  <c r="AH776" i="10"/>
  <c r="AG756" i="10"/>
  <c r="AH738" i="10"/>
  <c r="AG732" i="10"/>
  <c r="AH764" i="10"/>
  <c r="AG744" i="10"/>
  <c r="AH749" i="10"/>
  <c r="AH770" i="10"/>
  <c r="AG786" i="10"/>
  <c r="AG749" i="10"/>
  <c r="AJ749" i="32" s="1"/>
  <c r="AH753" i="10"/>
  <c r="AH730" i="10"/>
  <c r="AG781" i="10"/>
  <c r="AH765" i="10"/>
  <c r="AG737" i="10"/>
  <c r="AG719" i="10"/>
  <c r="AG686" i="10"/>
  <c r="AG677" i="10"/>
  <c r="AG723" i="10"/>
  <c r="AG695" i="10"/>
  <c r="AG713" i="10"/>
  <c r="AG679" i="10"/>
  <c r="AG710" i="10"/>
  <c r="AG696" i="10"/>
  <c r="AG694" i="10"/>
  <c r="AG703" i="10"/>
  <c r="AG670" i="10"/>
  <c r="AG712" i="10"/>
  <c r="AG697" i="10"/>
  <c r="AG687" i="10"/>
  <c r="AG725" i="10"/>
  <c r="AG671" i="10"/>
  <c r="AG706" i="10"/>
  <c r="AG681" i="10"/>
  <c r="AG680" i="10"/>
  <c r="AG678" i="10"/>
  <c r="AG691" i="10"/>
  <c r="AG698" i="10"/>
  <c r="AG690" i="10"/>
  <c r="AG682" i="10"/>
  <c r="AG692" i="10"/>
  <c r="AG701" i="10"/>
  <c r="AG707" i="10"/>
  <c r="AG666" i="10"/>
  <c r="AG709" i="10"/>
  <c r="AG693" i="10"/>
  <c r="AG722" i="10"/>
  <c r="AG708" i="10"/>
  <c r="AG721" i="10"/>
  <c r="AG720" i="10"/>
  <c r="AG716" i="10"/>
  <c r="AG683" i="10"/>
  <c r="AG728" i="10"/>
  <c r="AG711" i="10"/>
  <c r="AG705" i="10"/>
  <c r="AG704" i="10"/>
  <c r="AG700" i="10"/>
  <c r="AG667" i="10"/>
  <c r="AG718" i="10"/>
  <c r="AG689" i="10"/>
  <c r="AG688" i="10"/>
  <c r="AG684" i="10"/>
  <c r="AG702" i="10"/>
  <c r="AG673" i="10"/>
  <c r="AG672" i="10"/>
  <c r="AG668" i="10"/>
  <c r="AG676" i="10"/>
  <c r="AG729" i="10"/>
  <c r="AG685" i="10"/>
  <c r="AG717" i="10"/>
  <c r="AG675" i="10"/>
  <c r="AG674" i="10"/>
  <c r="AG724" i="10"/>
  <c r="AG669" i="10"/>
  <c r="AH698" i="10"/>
  <c r="AH681" i="10"/>
  <c r="AH680" i="10"/>
  <c r="AH678" i="10"/>
  <c r="AH708" i="10"/>
  <c r="AH682" i="10"/>
  <c r="AH697" i="10"/>
  <c r="AH722" i="10"/>
  <c r="AH666" i="10"/>
  <c r="AH709" i="10"/>
  <c r="AH707" i="10"/>
  <c r="AH691" i="10"/>
  <c r="AH723" i="10"/>
  <c r="AH674" i="10"/>
  <c r="AH690" i="10"/>
  <c r="AH724" i="10"/>
  <c r="AH695" i="10"/>
  <c r="AH687" i="10"/>
  <c r="AH721" i="10"/>
  <c r="AH720" i="10"/>
  <c r="AH716" i="10"/>
  <c r="AH683" i="10"/>
  <c r="AH725" i="10"/>
  <c r="AH705" i="10"/>
  <c r="AH704" i="10"/>
  <c r="AH700" i="10"/>
  <c r="AH667" i="10"/>
  <c r="AH696" i="10"/>
  <c r="AH689" i="10"/>
  <c r="AH688" i="10"/>
  <c r="AH684" i="10"/>
  <c r="AH675" i="10"/>
  <c r="AH673" i="10"/>
  <c r="AH672" i="10"/>
  <c r="AH668" i="10"/>
  <c r="AH717" i="10"/>
  <c r="AH701" i="10"/>
  <c r="AH692" i="10"/>
  <c r="AH729" i="10"/>
  <c r="AH712" i="10"/>
  <c r="AH671" i="10"/>
  <c r="AH694" i="10"/>
  <c r="AH718" i="10"/>
  <c r="AH685" i="10"/>
  <c r="AH693" i="10"/>
  <c r="AH710" i="10"/>
  <c r="AH702" i="10"/>
  <c r="AH669" i="10"/>
  <c r="AH728" i="10"/>
  <c r="AH676" i="10"/>
  <c r="AH719" i="10"/>
  <c r="AH686" i="10"/>
  <c r="AH677" i="10"/>
  <c r="AH711" i="10"/>
  <c r="AH706" i="10"/>
  <c r="AH679" i="10"/>
  <c r="AH703" i="10"/>
  <c r="AH670" i="10"/>
  <c r="AH713" i="10"/>
  <c r="O135" i="28"/>
  <c r="N73" i="15" s="1"/>
  <c r="N73" i="12" s="1"/>
  <c r="S113" i="10"/>
  <c r="S290" i="10"/>
  <c r="S289" i="10"/>
  <c r="S218" i="10"/>
  <c r="S135" i="28"/>
  <c r="P73" i="15" s="1"/>
  <c r="P73" i="12" s="1"/>
  <c r="S475" i="10"/>
  <c r="S474" i="10"/>
  <c r="S476" i="10"/>
  <c r="AH231" i="10"/>
  <c r="AH276" i="10"/>
  <c r="AH224" i="10"/>
  <c r="AH241" i="10"/>
  <c r="AG270" i="10"/>
  <c r="AG287" i="10"/>
  <c r="AG248" i="10"/>
  <c r="AG261" i="10"/>
  <c r="AH285" i="10"/>
  <c r="AH249" i="10"/>
  <c r="AG241" i="10"/>
  <c r="AG223" i="10"/>
  <c r="AG249" i="10"/>
  <c r="AH284" i="10"/>
  <c r="AG235" i="10"/>
  <c r="AG268" i="10"/>
  <c r="AH230" i="10"/>
  <c r="AG267" i="10"/>
  <c r="AH290" i="10"/>
  <c r="AH280" i="10"/>
  <c r="AH283" i="10"/>
  <c r="AH270" i="10"/>
  <c r="AH246" i="10"/>
  <c r="AH260" i="10"/>
  <c r="AH287" i="10"/>
  <c r="AG243" i="10"/>
  <c r="AG244" i="10"/>
  <c r="AG226" i="10"/>
  <c r="AG290" i="10"/>
  <c r="AH269" i="10"/>
  <c r="AH233" i="10"/>
  <c r="AH286" i="10"/>
  <c r="AH264" i="10"/>
  <c r="AH248" i="10"/>
  <c r="AH250" i="10"/>
  <c r="AG260" i="10"/>
  <c r="AG231" i="10"/>
  <c r="AJ231" i="32" s="1"/>
  <c r="AG232" i="10"/>
  <c r="AJ232" i="32" s="1"/>
  <c r="AG229" i="10"/>
  <c r="AG228" i="10"/>
  <c r="AH278" i="10"/>
  <c r="AH242" i="10"/>
  <c r="AH271" i="10"/>
  <c r="AG271" i="10"/>
  <c r="AG262" i="10"/>
  <c r="AG233" i="10"/>
  <c r="AG282" i="10"/>
  <c r="AH251" i="10"/>
  <c r="AH235" i="10"/>
  <c r="AG289" i="10"/>
  <c r="AG258" i="10"/>
  <c r="AG285" i="10"/>
  <c r="AG264" i="10"/>
  <c r="AG237" i="10"/>
  <c r="AG252" i="10"/>
  <c r="AG224" i="10"/>
  <c r="AG251" i="10"/>
  <c r="AG286" i="10"/>
  <c r="AG239" i="10"/>
  <c r="AG254" i="10"/>
  <c r="AH262" i="10"/>
  <c r="AH226" i="10"/>
  <c r="AH289" i="10"/>
  <c r="AH253" i="10"/>
  <c r="AG273" i="10"/>
  <c r="AG288" i="10"/>
  <c r="AG280" i="10"/>
  <c r="AG225" i="10"/>
  <c r="AG277" i="10"/>
  <c r="AG283" i="10"/>
  <c r="AH268" i="10"/>
  <c r="AG247" i="10"/>
  <c r="AH245" i="10"/>
  <c r="AH263" i="10"/>
  <c r="AH236" i="10"/>
  <c r="AG274" i="10"/>
  <c r="AH240" i="10"/>
  <c r="AH244" i="10"/>
  <c r="AH273" i="10"/>
  <c r="AH237" i="10"/>
  <c r="AG253" i="10"/>
  <c r="AG245" i="10"/>
  <c r="AG236" i="10"/>
  <c r="AH257" i="10"/>
  <c r="AH252" i="10"/>
  <c r="AH282" i="10"/>
  <c r="AH266" i="10"/>
  <c r="AG272" i="10"/>
  <c r="AG265" i="10"/>
  <c r="AH259" i="10"/>
  <c r="AG227" i="10"/>
  <c r="AG250" i="10"/>
  <c r="AG240" i="10"/>
  <c r="AG284" i="10"/>
  <c r="AH228" i="10"/>
  <c r="AH277" i="10"/>
  <c r="AG257" i="10"/>
  <c r="AH227" i="10"/>
  <c r="AG281" i="10"/>
  <c r="AG266" i="10"/>
  <c r="AG246" i="10"/>
  <c r="AG263" i="10"/>
  <c r="AH254" i="10"/>
  <c r="AH225" i="10"/>
  <c r="AG259" i="10"/>
  <c r="AH281" i="10"/>
  <c r="AH261" i="10"/>
  <c r="AH239" i="10"/>
  <c r="AG230" i="10"/>
  <c r="AG269" i="10"/>
  <c r="AH247" i="10"/>
  <c r="AH232" i="10"/>
  <c r="AH288" i="10"/>
  <c r="AH272" i="10"/>
  <c r="AG278" i="10"/>
  <c r="AH258" i="10"/>
  <c r="AG242" i="10"/>
  <c r="AH229" i="10"/>
  <c r="AH243" i="10"/>
  <c r="AH223" i="10"/>
  <c r="AH275" i="10"/>
  <c r="AG275" i="10"/>
  <c r="AG279" i="10"/>
  <c r="AG276" i="10"/>
  <c r="AH279" i="10"/>
  <c r="AH274" i="10"/>
  <c r="AH265" i="10"/>
  <c r="AH267" i="10"/>
  <c r="S131" i="28"/>
  <c r="P71" i="15" s="1"/>
  <c r="P71" i="12" s="1"/>
  <c r="Q135" i="28"/>
  <c r="O73" i="15" s="1"/>
  <c r="O73" i="12" s="1"/>
  <c r="AG15" i="10"/>
  <c r="S47" i="12"/>
  <c r="W131" i="28"/>
  <c r="Q53" i="12"/>
  <c r="U235" i="28"/>
  <c r="R123" i="15" s="1"/>
  <c r="R123" i="12" s="1"/>
  <c r="U203" i="28"/>
  <c r="R107" i="15" s="1"/>
  <c r="R107" i="12" s="1"/>
  <c r="U171" i="28"/>
  <c r="R91" i="15" s="1"/>
  <c r="R91" i="12" s="1"/>
  <c r="U139" i="28"/>
  <c r="R75" i="15" s="1"/>
  <c r="R75" i="12" s="1"/>
  <c r="U103" i="28"/>
  <c r="R57" i="15" s="1"/>
  <c r="R57" i="12" s="1"/>
  <c r="Q116" i="15"/>
  <c r="Q116" i="12" s="1"/>
  <c r="Q100" i="15"/>
  <c r="Q100" i="12" s="1"/>
  <c r="Q84" i="15"/>
  <c r="Q84" i="12" s="1"/>
  <c r="Q68" i="15"/>
  <c r="Q68" i="12" s="1"/>
  <c r="Q52" i="15"/>
  <c r="Q52" i="12" s="1"/>
  <c r="U233" i="28"/>
  <c r="R122" i="15" s="1"/>
  <c r="R122" i="12" s="1"/>
  <c r="U201" i="28"/>
  <c r="R106" i="15" s="1"/>
  <c r="R106" i="12" s="1"/>
  <c r="U169" i="28"/>
  <c r="R90" i="15" s="1"/>
  <c r="R90" i="12" s="1"/>
  <c r="U137" i="28"/>
  <c r="R74" i="15" s="1"/>
  <c r="R74" i="12" s="1"/>
  <c r="U101" i="28"/>
  <c r="R56" i="15" s="1"/>
  <c r="R56" i="12" s="1"/>
  <c r="Q121" i="15"/>
  <c r="Q121" i="12" s="1"/>
  <c r="Q105" i="15"/>
  <c r="Q105" i="12" s="1"/>
  <c r="Q89" i="15"/>
  <c r="Q89" i="12" s="1"/>
  <c r="Q73" i="15"/>
  <c r="Q73" i="12" s="1"/>
  <c r="U229" i="28"/>
  <c r="R120" i="15" s="1"/>
  <c r="R120" i="12" s="1"/>
  <c r="U197" i="28"/>
  <c r="R104" i="15" s="1"/>
  <c r="R104" i="12" s="1"/>
  <c r="U165" i="28"/>
  <c r="R88" i="15" s="1"/>
  <c r="R88" i="12" s="1"/>
  <c r="U129" i="28"/>
  <c r="R70" i="15" s="1"/>
  <c r="U97" i="28"/>
  <c r="R54" i="15" s="1"/>
  <c r="R54" i="12" s="1"/>
  <c r="Q115" i="15"/>
  <c r="Q115" i="12" s="1"/>
  <c r="Q99" i="15"/>
  <c r="Q99" i="12" s="1"/>
  <c r="Q83" i="15"/>
  <c r="Q83" i="12" s="1"/>
  <c r="Q67" i="15"/>
  <c r="Q67" i="12" s="1"/>
  <c r="Q51" i="15"/>
  <c r="Q51" i="12" s="1"/>
  <c r="U227" i="28"/>
  <c r="R119" i="15" s="1"/>
  <c r="R119" i="12" s="1"/>
  <c r="U195" i="28"/>
  <c r="R103" i="15" s="1"/>
  <c r="R103" i="12" s="1"/>
  <c r="U163" i="28"/>
  <c r="R87" i="15" s="1"/>
  <c r="R87" i="12" s="1"/>
  <c r="U127" i="28"/>
  <c r="R69" i="15" s="1"/>
  <c r="U95" i="28"/>
  <c r="R53" i="15" s="1"/>
  <c r="R53" i="12" s="1"/>
  <c r="U225" i="28"/>
  <c r="R118" i="15" s="1"/>
  <c r="R118" i="12" s="1"/>
  <c r="U193" i="28"/>
  <c r="R102" i="15" s="1"/>
  <c r="R102" i="12" s="1"/>
  <c r="U161" i="28"/>
  <c r="R86" i="15" s="1"/>
  <c r="R86" i="12" s="1"/>
  <c r="Q125" i="15"/>
  <c r="Q125" i="12" s="1"/>
  <c r="Q109" i="15"/>
  <c r="Q109" i="12" s="1"/>
  <c r="Q93" i="15"/>
  <c r="Q93" i="12" s="1"/>
  <c r="Q77" i="15"/>
  <c r="Q77" i="12" s="1"/>
  <c r="Q61" i="15"/>
  <c r="Q61" i="12" s="1"/>
  <c r="Q45" i="15"/>
  <c r="Q45" i="12" s="1"/>
  <c r="U223" i="28"/>
  <c r="R117" i="15" s="1"/>
  <c r="R117" i="12" s="1"/>
  <c r="U191" i="28"/>
  <c r="R101" i="15" s="1"/>
  <c r="R101" i="12" s="1"/>
  <c r="U159" i="28"/>
  <c r="R85" i="15" s="1"/>
  <c r="R85" i="12" s="1"/>
  <c r="Q114" i="15"/>
  <c r="Q114" i="12" s="1"/>
  <c r="Q98" i="15"/>
  <c r="Q98" i="12" s="1"/>
  <c r="Q82" i="15"/>
  <c r="Q82" i="12" s="1"/>
  <c r="Q66" i="15"/>
  <c r="Q66" i="12" s="1"/>
  <c r="Q50" i="15"/>
  <c r="Q50" i="12" s="1"/>
  <c r="Q71" i="15"/>
  <c r="Q71" i="12" s="1"/>
  <c r="U119" i="28"/>
  <c r="R65" i="15" s="1"/>
  <c r="R65" i="12" s="1"/>
  <c r="U87" i="28"/>
  <c r="R49" i="15" s="1"/>
  <c r="R49" i="12" s="1"/>
  <c r="Q60" i="15"/>
  <c r="Q60" i="12" s="1"/>
  <c r="Q44" i="15"/>
  <c r="Q44" i="12" s="1"/>
  <c r="U117" i="28"/>
  <c r="R64" i="15" s="1"/>
  <c r="R64" i="12" s="1"/>
  <c r="U85" i="28"/>
  <c r="R48" i="15" s="1"/>
  <c r="R48" i="12" s="1"/>
  <c r="Q113" i="15"/>
  <c r="Q113" i="12" s="1"/>
  <c r="Q97" i="15"/>
  <c r="Q97" i="12" s="1"/>
  <c r="Q81" i="15"/>
  <c r="Q81" i="12" s="1"/>
  <c r="U213" i="28"/>
  <c r="R112" i="15" s="1"/>
  <c r="R112" i="12" s="1"/>
  <c r="U181" i="28"/>
  <c r="R96" i="15" s="1"/>
  <c r="R96" i="12" s="1"/>
  <c r="U149" i="28"/>
  <c r="R80" i="15" s="1"/>
  <c r="R80" i="12" s="1"/>
  <c r="Q59" i="15"/>
  <c r="Q59" i="12" s="1"/>
  <c r="Q43" i="15"/>
  <c r="Q43" i="12" s="1"/>
  <c r="S217" i="10"/>
  <c r="S111" i="10"/>
  <c r="S216" i="10"/>
  <c r="S112" i="10"/>
  <c r="S382" i="10"/>
  <c r="S568" i="10"/>
  <c r="S383" i="10"/>
  <c r="S384" i="10"/>
  <c r="AH45" i="10"/>
  <c r="AG23" i="10"/>
  <c r="AG65" i="10"/>
  <c r="AG31" i="10"/>
  <c r="AG109" i="10"/>
  <c r="AG49" i="10"/>
  <c r="AG18" i="10"/>
  <c r="AH21" i="10"/>
  <c r="AG34" i="10"/>
  <c r="AH37" i="10"/>
  <c r="AG45" i="10"/>
  <c r="AG53" i="10"/>
  <c r="AH175" i="10"/>
  <c r="AH15" i="10"/>
  <c r="AG28" i="10"/>
  <c r="AH31" i="10"/>
  <c r="AH49" i="10"/>
  <c r="AG77" i="10"/>
  <c r="AH84" i="10"/>
  <c r="AG93" i="10"/>
  <c r="AH100" i="10"/>
  <c r="AG25" i="10"/>
  <c r="AH28" i="10"/>
  <c r="AG41" i="10"/>
  <c r="AG44" i="10"/>
  <c r="AG52" i="10"/>
  <c r="AG60" i="10"/>
  <c r="AH77" i="10"/>
  <c r="AH93" i="10"/>
  <c r="AH25" i="10"/>
  <c r="AG38" i="10"/>
  <c r="AH41" i="10"/>
  <c r="AH52" i="10"/>
  <c r="AH56" i="10"/>
  <c r="AG106" i="10"/>
  <c r="AH137" i="10"/>
  <c r="AG19" i="10"/>
  <c r="AG35" i="10"/>
  <c r="AH38" i="10"/>
  <c r="AH48" i="10"/>
  <c r="AH67" i="10"/>
  <c r="AH121" i="10"/>
  <c r="AH34" i="10"/>
  <c r="AG16" i="10"/>
  <c r="AH19" i="10"/>
  <c r="AG32" i="10"/>
  <c r="AH35" i="10"/>
  <c r="AG64" i="10"/>
  <c r="AG74" i="10"/>
  <c r="AG90" i="10"/>
  <c r="AG13" i="10"/>
  <c r="AH16" i="10"/>
  <c r="AG29" i="10"/>
  <c r="AH32" i="10"/>
  <c r="AH64" i="10"/>
  <c r="AG81" i="10"/>
  <c r="AG97" i="10"/>
  <c r="AH132" i="10"/>
  <c r="AH18" i="10"/>
  <c r="AH13" i="10"/>
  <c r="AG26" i="10"/>
  <c r="AH29" i="10"/>
  <c r="AG42" i="10"/>
  <c r="AH55" i="10"/>
  <c r="AH26" i="10"/>
  <c r="AG39" i="10"/>
  <c r="AH42" i="10"/>
  <c r="AH99" i="10"/>
  <c r="AH23" i="10"/>
  <c r="AH39" i="10"/>
  <c r="AH47" i="10"/>
  <c r="AG17" i="10"/>
  <c r="AG33" i="10"/>
  <c r="AG58" i="10"/>
  <c r="AG974" i="10"/>
  <c r="AH967" i="10"/>
  <c r="AG956" i="10"/>
  <c r="AH949" i="10"/>
  <c r="AG940" i="10"/>
  <c r="AH925" i="10"/>
  <c r="AG916" i="10"/>
  <c r="AH907" i="10"/>
  <c r="AH976" i="10"/>
  <c r="AG967" i="10"/>
  <c r="AH960" i="10"/>
  <c r="AG949" i="10"/>
  <c r="AH942" i="10"/>
  <c r="AG925" i="10"/>
  <c r="AH918" i="10"/>
  <c r="AG976" i="10"/>
  <c r="AH969" i="10"/>
  <c r="AG960" i="10"/>
  <c r="AH951" i="10"/>
  <c r="AG942" i="10"/>
  <c r="AH927" i="10"/>
  <c r="AG918" i="10"/>
  <c r="AH909" i="10"/>
  <c r="AH978" i="10"/>
  <c r="AG969" i="10"/>
  <c r="AH962" i="10"/>
  <c r="AG951" i="10"/>
  <c r="AH944" i="10"/>
  <c r="AG927" i="10"/>
  <c r="AH920" i="10"/>
  <c r="AG978" i="10"/>
  <c r="AH971" i="10"/>
  <c r="AG962" i="10"/>
  <c r="AH953" i="10"/>
  <c r="AG944" i="10"/>
  <c r="AH937" i="10"/>
  <c r="AH929" i="10"/>
  <c r="AG920" i="10"/>
  <c r="AH911" i="10"/>
  <c r="AH980" i="10"/>
  <c r="AG971" i="10"/>
  <c r="AH964" i="10"/>
  <c r="AG953" i="10"/>
  <c r="AH946" i="10"/>
  <c r="AG937" i="10"/>
  <c r="AG929" i="10"/>
  <c r="AH922" i="10"/>
  <c r="AG911" i="10"/>
  <c r="AG980" i="10"/>
  <c r="AH973" i="10"/>
  <c r="AG964" i="10"/>
  <c r="AH955" i="10"/>
  <c r="AG946" i="10"/>
  <c r="AH939" i="10"/>
  <c r="AH931" i="10"/>
  <c r="AG922" i="10"/>
  <c r="AH915" i="10"/>
  <c r="AG904" i="10"/>
  <c r="AH897" i="10"/>
  <c r="AG973" i="10"/>
  <c r="AH966" i="10"/>
  <c r="AG955" i="10"/>
  <c r="AH948" i="10"/>
  <c r="AG939" i="10"/>
  <c r="AG931" i="10"/>
  <c r="AH924" i="10"/>
  <c r="AH975" i="10"/>
  <c r="AG966" i="10"/>
  <c r="AH957" i="10"/>
  <c r="AG948" i="10"/>
  <c r="AH941" i="10"/>
  <c r="AG924" i="10"/>
  <c r="AH917" i="10"/>
  <c r="AG906" i="10"/>
  <c r="AG975" i="10"/>
  <c r="AH968" i="10"/>
  <c r="AG957" i="10"/>
  <c r="AH950" i="10"/>
  <c r="AG941" i="10"/>
  <c r="AH926" i="10"/>
  <c r="AG917" i="10"/>
  <c r="AH908" i="10"/>
  <c r="AH977" i="10"/>
  <c r="AG968" i="10"/>
  <c r="AH961" i="10"/>
  <c r="AG950" i="10"/>
  <c r="AH943" i="10"/>
  <c r="AG926" i="10"/>
  <c r="AH919" i="10"/>
  <c r="AG977" i="10"/>
  <c r="AH970" i="10"/>
  <c r="AG961" i="10"/>
  <c r="AH952" i="10"/>
  <c r="AG943" i="10"/>
  <c r="AH936" i="10"/>
  <c r="AH928" i="10"/>
  <c r="AG919" i="10"/>
  <c r="AH979" i="10"/>
  <c r="AG970" i="10"/>
  <c r="AH963" i="10"/>
  <c r="AG952" i="10"/>
  <c r="AH945" i="10"/>
  <c r="AG936" i="10"/>
  <c r="AG928" i="10"/>
  <c r="AH921" i="10"/>
  <c r="AG981" i="10"/>
  <c r="AH974" i="10"/>
  <c r="AG965" i="10"/>
  <c r="AH956" i="10"/>
  <c r="AG947" i="10"/>
  <c r="AH940" i="10"/>
  <c r="AG923" i="10"/>
  <c r="AH916" i="10"/>
  <c r="AG905" i="10"/>
  <c r="AH898" i="10"/>
  <c r="AH947" i="10"/>
  <c r="AH904" i="10"/>
  <c r="AH891" i="10"/>
  <c r="AG882" i="10"/>
  <c r="AJ882" i="32" s="1"/>
  <c r="AH875" i="10"/>
  <c r="AG866" i="10"/>
  <c r="AJ866" i="32" s="1"/>
  <c r="AG858" i="10"/>
  <c r="AJ858" i="32" s="1"/>
  <c r="AH851" i="10"/>
  <c r="AG842" i="10"/>
  <c r="AJ842" i="32" s="1"/>
  <c r="AH833" i="10"/>
  <c r="AH954" i="10"/>
  <c r="AH938" i="10"/>
  <c r="AH923" i="10"/>
  <c r="AH894" i="10"/>
  <c r="AG891" i="10"/>
  <c r="AJ891" i="32" s="1"/>
  <c r="AH884" i="10"/>
  <c r="AH981" i="10"/>
  <c r="AH965" i="10"/>
  <c r="AG954" i="10"/>
  <c r="AG938" i="10"/>
  <c r="AH930" i="10"/>
  <c r="AG915" i="10"/>
  <c r="AG894" i="10"/>
  <c r="AJ894" i="32" s="1"/>
  <c r="AH972" i="10"/>
  <c r="AG945" i="10"/>
  <c r="AG930" i="10"/>
  <c r="AH900" i="10"/>
  <c r="AG897" i="10"/>
  <c r="AG972" i="10"/>
  <c r="AH903" i="10"/>
  <c r="AG900" i="10"/>
  <c r="AG886" i="10"/>
  <c r="AJ886" i="32" s="1"/>
  <c r="AH879" i="10"/>
  <c r="AG870" i="10"/>
  <c r="AJ870" i="32" s="1"/>
  <c r="AG979" i="10"/>
  <c r="AG963" i="10"/>
  <c r="AG903" i="10"/>
  <c r="AH888" i="10"/>
  <c r="AG879" i="10"/>
  <c r="AJ879" i="32" s="1"/>
  <c r="AG921" i="10"/>
  <c r="AH893" i="10"/>
  <c r="AG888" i="10"/>
  <c r="AJ888" i="32" s="1"/>
  <c r="AH881" i="10"/>
  <c r="AG872" i="10"/>
  <c r="AJ872" i="32" s="1"/>
  <c r="AH865" i="10"/>
  <c r="AH857" i="10"/>
  <c r="AG848" i="10"/>
  <c r="AJ848" i="32" s="1"/>
  <c r="AH839" i="10"/>
  <c r="AG830" i="10"/>
  <c r="AJ830" i="32" s="1"/>
  <c r="AH896" i="10"/>
  <c r="AG893" i="10"/>
  <c r="AJ893" i="32" s="1"/>
  <c r="AH890" i="10"/>
  <c r="AG881" i="10"/>
  <c r="AH874" i="10"/>
  <c r="AH899" i="10"/>
  <c r="AG896" i="10"/>
  <c r="AJ896" i="32" s="1"/>
  <c r="AG890" i="10"/>
  <c r="AJ890" i="32" s="1"/>
  <c r="AH883" i="10"/>
  <c r="AG908" i="10"/>
  <c r="AH902" i="10"/>
  <c r="AG899" i="10"/>
  <c r="AG909" i="10"/>
  <c r="AG907" i="10"/>
  <c r="AG902" i="10"/>
  <c r="AH914" i="10"/>
  <c r="AH906" i="10"/>
  <c r="AH892" i="10"/>
  <c r="AG885" i="10"/>
  <c r="AJ885" i="32" s="1"/>
  <c r="AG914" i="10"/>
  <c r="AH910" i="10"/>
  <c r="AH895" i="10"/>
  <c r="AG892" i="10"/>
  <c r="AJ892" i="32" s="1"/>
  <c r="AG901" i="10"/>
  <c r="AG910" i="10"/>
  <c r="AH845" i="10"/>
  <c r="AH830" i="10"/>
  <c r="AG827" i="10"/>
  <c r="AG820" i="10"/>
  <c r="AH813" i="10"/>
  <c r="AG804" i="10"/>
  <c r="AH797" i="10"/>
  <c r="AG898" i="10"/>
  <c r="AJ898" i="32" s="1"/>
  <c r="AG875" i="10"/>
  <c r="AJ875" i="32" s="1"/>
  <c r="AH870" i="10"/>
  <c r="AH866" i="10"/>
  <c r="AH848" i="10"/>
  <c r="AG845" i="10"/>
  <c r="AJ845" i="32" s="1"/>
  <c r="AH822" i="10"/>
  <c r="AH858" i="10"/>
  <c r="AH905" i="10"/>
  <c r="AG874" i="10"/>
  <c r="AJ874" i="32" s="1"/>
  <c r="AH889" i="10"/>
  <c r="AH869" i="10"/>
  <c r="AH844" i="10"/>
  <c r="AH829" i="10"/>
  <c r="AH826" i="10"/>
  <c r="AG889" i="10"/>
  <c r="AJ889" i="32" s="1"/>
  <c r="AH873" i="10"/>
  <c r="AG869" i="10"/>
  <c r="AJ869" i="32" s="1"/>
  <c r="AG865" i="10"/>
  <c r="AJ865" i="32" s="1"/>
  <c r="AH847" i="10"/>
  <c r="AG844" i="10"/>
  <c r="AJ844" i="32" s="1"/>
  <c r="AH901" i="10"/>
  <c r="AH882" i="10"/>
  <c r="AH880" i="10"/>
  <c r="AG873" i="10"/>
  <c r="AJ873" i="32" s="1"/>
  <c r="AG857" i="10"/>
  <c r="AJ857" i="32" s="1"/>
  <c r="AH850" i="10"/>
  <c r="AG847" i="10"/>
  <c r="AJ847" i="32" s="1"/>
  <c r="AH835" i="10"/>
  <c r="AG832" i="10"/>
  <c r="AJ832" i="32" s="1"/>
  <c r="AG819" i="10"/>
  <c r="AH812" i="10"/>
  <c r="AG803" i="10"/>
  <c r="AH796" i="10"/>
  <c r="AG880" i="10"/>
  <c r="AJ880" i="32" s="1"/>
  <c r="AH853" i="10"/>
  <c r="AG850" i="10"/>
  <c r="AJ850" i="32" s="1"/>
  <c r="AG883" i="10"/>
  <c r="AJ883" i="32" s="1"/>
  <c r="AH872" i="10"/>
  <c r="AH868" i="10"/>
  <c r="AH864" i="10"/>
  <c r="AG853" i="10"/>
  <c r="AJ853" i="32" s="1"/>
  <c r="AG895" i="10"/>
  <c r="AJ895" i="32" s="1"/>
  <c r="AH885" i="10"/>
  <c r="AG884" i="10"/>
  <c r="AJ884" i="32" s="1"/>
  <c r="AH878" i="10"/>
  <c r="AG868" i="10"/>
  <c r="AJ868" i="32" s="1"/>
  <c r="AG864" i="10"/>
  <c r="AJ864" i="32" s="1"/>
  <c r="AH856" i="10"/>
  <c r="AH886" i="10"/>
  <c r="AG878" i="10"/>
  <c r="AJ878" i="32" s="1"/>
  <c r="AH877" i="10"/>
  <c r="AH887" i="10"/>
  <c r="AG877" i="10"/>
  <c r="AJ877" i="32" s="1"/>
  <c r="AH871" i="10"/>
  <c r="AH867" i="10"/>
  <c r="AG876" i="10"/>
  <c r="AJ876" i="32" s="1"/>
  <c r="AG859" i="10"/>
  <c r="AJ859" i="32" s="1"/>
  <c r="AG854" i="10"/>
  <c r="AG846" i="10"/>
  <c r="AJ846" i="32" s="1"/>
  <c r="AG833" i="10"/>
  <c r="AJ833" i="32" s="1"/>
  <c r="AH825" i="10"/>
  <c r="AH816" i="10"/>
  <c r="AG813" i="10"/>
  <c r="AH800" i="10"/>
  <c r="AG797" i="10"/>
  <c r="AH652" i="10"/>
  <c r="AH636" i="10"/>
  <c r="AG633" i="10"/>
  <c r="AH620" i="10"/>
  <c r="AG617" i="10"/>
  <c r="AH604" i="10"/>
  <c r="AG825" i="10"/>
  <c r="AG816" i="10"/>
  <c r="AH803" i="10"/>
  <c r="AG800" i="10"/>
  <c r="AH655" i="10"/>
  <c r="AG652" i="10"/>
  <c r="AH639" i="10"/>
  <c r="AG636" i="10"/>
  <c r="AH623" i="10"/>
  <c r="AG620" i="10"/>
  <c r="AH832" i="10"/>
  <c r="AH806" i="10"/>
  <c r="AG655" i="10"/>
  <c r="AG639" i="10"/>
  <c r="AG887" i="10"/>
  <c r="AJ887" i="32" s="1"/>
  <c r="AH876" i="10"/>
  <c r="AH849" i="10"/>
  <c r="AH831" i="10"/>
  <c r="AH824" i="10"/>
  <c r="AH819" i="10"/>
  <c r="AH809" i="10"/>
  <c r="AG806" i="10"/>
  <c r="AH645" i="10"/>
  <c r="AG849" i="10"/>
  <c r="AJ849" i="32" s="1"/>
  <c r="AG831" i="10"/>
  <c r="AJ831" i="32" s="1"/>
  <c r="AG824" i="10"/>
  <c r="AG809" i="10"/>
  <c r="AH793" i="10"/>
  <c r="AG645" i="10"/>
  <c r="AH815" i="10"/>
  <c r="AG812" i="10"/>
  <c r="AH799" i="10"/>
  <c r="AG796" i="10"/>
  <c r="AG793" i="10"/>
  <c r="AH651" i="10"/>
  <c r="AH635" i="10"/>
  <c r="AG632" i="10"/>
  <c r="AH823" i="10"/>
  <c r="AG815" i="10"/>
  <c r="AH802" i="10"/>
  <c r="AG799" i="10"/>
  <c r="AH654" i="10"/>
  <c r="AG651" i="10"/>
  <c r="AG856" i="10"/>
  <c r="AG829" i="10"/>
  <c r="AJ829" i="32" s="1"/>
  <c r="AG823" i="10"/>
  <c r="AH818" i="10"/>
  <c r="AH805" i="10"/>
  <c r="AG802" i="10"/>
  <c r="AH657" i="10"/>
  <c r="AG654" i="10"/>
  <c r="AH641" i="10"/>
  <c r="AG638" i="10"/>
  <c r="AH625" i="10"/>
  <c r="AG622" i="10"/>
  <c r="AH609" i="10"/>
  <c r="AG606" i="10"/>
  <c r="AG851" i="10"/>
  <c r="AJ851" i="32" s="1"/>
  <c r="AH828" i="10"/>
  <c r="AG818" i="10"/>
  <c r="AH808" i="10"/>
  <c r="AG805" i="10"/>
  <c r="AG657" i="10"/>
  <c r="AH644" i="10"/>
  <c r="AG839" i="10"/>
  <c r="AJ839" i="32" s="1"/>
  <c r="AH838" i="10"/>
  <c r="AG828" i="10"/>
  <c r="AJ828" i="32" s="1"/>
  <c r="AH811" i="10"/>
  <c r="AG808" i="10"/>
  <c r="AH795" i="10"/>
  <c r="AH647" i="10"/>
  <c r="AG644" i="10"/>
  <c r="AH859" i="10"/>
  <c r="AH852" i="10"/>
  <c r="AG838" i="10"/>
  <c r="AJ838" i="32" s="1"/>
  <c r="AH837" i="10"/>
  <c r="AG822" i="10"/>
  <c r="AH814" i="10"/>
  <c r="AG811" i="10"/>
  <c r="AH798" i="10"/>
  <c r="AG795" i="10"/>
  <c r="AH650" i="10"/>
  <c r="AG647" i="10"/>
  <c r="AG871" i="10"/>
  <c r="AJ871" i="32" s="1"/>
  <c r="AG867" i="10"/>
  <c r="AJ867" i="32" s="1"/>
  <c r="AG852" i="10"/>
  <c r="AJ852" i="32" s="1"/>
  <c r="AG837" i="10"/>
  <c r="AJ837" i="32" s="1"/>
  <c r="AH836" i="10"/>
  <c r="AH827" i="10"/>
  <c r="AH817" i="10"/>
  <c r="AG814" i="10"/>
  <c r="AH801" i="10"/>
  <c r="AG798" i="10"/>
  <c r="AH653" i="10"/>
  <c r="AG650" i="10"/>
  <c r="AH843" i="10"/>
  <c r="AG836" i="10"/>
  <c r="AJ836" i="32" s="1"/>
  <c r="AH821" i="10"/>
  <c r="AG817" i="10"/>
  <c r="AH804" i="10"/>
  <c r="AG801" i="10"/>
  <c r="AH656" i="10"/>
  <c r="AG653" i="10"/>
  <c r="AG843" i="10"/>
  <c r="AJ843" i="32" s="1"/>
  <c r="AH842" i="10"/>
  <c r="AG835" i="10"/>
  <c r="AJ835" i="32" s="1"/>
  <c r="AG821" i="10"/>
  <c r="AH807" i="10"/>
  <c r="AG656" i="10"/>
  <c r="AH854" i="10"/>
  <c r="AH846" i="10"/>
  <c r="AG834" i="10"/>
  <c r="AJ834" i="32" s="1"/>
  <c r="AH820" i="10"/>
  <c r="AG810" i="10"/>
  <c r="AG794" i="10"/>
  <c r="AG625" i="10"/>
  <c r="AH624" i="10"/>
  <c r="AH605" i="10"/>
  <c r="AH594" i="10"/>
  <c r="AH578" i="10"/>
  <c r="AG575" i="10"/>
  <c r="AH562" i="10"/>
  <c r="AG559" i="10"/>
  <c r="AH553" i="10"/>
  <c r="AG550" i="10"/>
  <c r="AH537" i="10"/>
  <c r="AG534" i="10"/>
  <c r="AH810" i="10"/>
  <c r="AH646" i="10"/>
  <c r="AG624" i="10"/>
  <c r="AH615" i="10"/>
  <c r="AH610" i="10"/>
  <c r="AG605" i="10"/>
  <c r="AH597" i="10"/>
  <c r="AG594" i="10"/>
  <c r="AH581" i="10"/>
  <c r="AG578" i="10"/>
  <c r="AH565" i="10"/>
  <c r="AG562" i="10"/>
  <c r="AG553" i="10"/>
  <c r="AG646" i="10"/>
  <c r="AG623" i="10"/>
  <c r="AG615" i="10"/>
  <c r="AG610" i="10"/>
  <c r="AH600" i="10"/>
  <c r="AG597" i="10"/>
  <c r="AH637" i="10"/>
  <c r="AG600" i="10"/>
  <c r="AG826" i="10"/>
  <c r="AG637" i="10"/>
  <c r="AH622" i="10"/>
  <c r="AH614" i="10"/>
  <c r="AG604" i="10"/>
  <c r="AH638" i="10"/>
  <c r="AH621" i="10"/>
  <c r="AG614" i="10"/>
  <c r="AG609" i="10"/>
  <c r="AH577" i="10"/>
  <c r="AG621" i="10"/>
  <c r="AH603" i="10"/>
  <c r="AH596" i="10"/>
  <c r="AH580" i="10"/>
  <c r="AG577" i="10"/>
  <c r="AH834" i="10"/>
  <c r="AH613" i="10"/>
  <c r="AH608" i="10"/>
  <c r="AG603" i="10"/>
  <c r="AH599" i="10"/>
  <c r="AG596" i="10"/>
  <c r="AH583" i="10"/>
  <c r="AG580" i="10"/>
  <c r="AH567" i="10"/>
  <c r="AG564" i="10"/>
  <c r="AG555" i="10"/>
  <c r="AH542" i="10"/>
  <c r="AG539" i="10"/>
  <c r="AG807" i="10"/>
  <c r="AH631" i="10"/>
  <c r="AH630" i="10"/>
  <c r="AH619" i="10"/>
  <c r="AG613" i="10"/>
  <c r="AG608" i="10"/>
  <c r="AG599" i="10"/>
  <c r="AG583" i="10"/>
  <c r="AH570" i="10"/>
  <c r="AG567" i="10"/>
  <c r="AH632" i="10"/>
  <c r="AG631" i="10"/>
  <c r="AG630" i="10"/>
  <c r="AH629" i="10"/>
  <c r="AG619" i="10"/>
  <c r="AH602" i="10"/>
  <c r="AH640" i="10"/>
  <c r="AG629" i="10"/>
  <c r="AH628" i="10"/>
  <c r="AH618" i="10"/>
  <c r="AH612" i="10"/>
  <c r="AH607" i="10"/>
  <c r="AG602" i="10"/>
  <c r="AG640" i="10"/>
  <c r="AH633" i="10"/>
  <c r="AG628" i="10"/>
  <c r="AG618" i="10"/>
  <c r="AG612" i="10"/>
  <c r="AG607" i="10"/>
  <c r="AH595" i="10"/>
  <c r="AH627" i="10"/>
  <c r="AH617" i="10"/>
  <c r="AH598" i="10"/>
  <c r="AG595" i="10"/>
  <c r="AH634" i="10"/>
  <c r="AG627" i="10"/>
  <c r="AH626" i="10"/>
  <c r="AH601" i="10"/>
  <c r="AG598" i="10"/>
  <c r="AH585" i="10"/>
  <c r="AG582" i="10"/>
  <c r="AG641" i="10"/>
  <c r="AG634" i="10"/>
  <c r="AG626" i="10"/>
  <c r="AH616" i="10"/>
  <c r="AH611" i="10"/>
  <c r="AH606" i="10"/>
  <c r="AG601" i="10"/>
  <c r="AG585" i="10"/>
  <c r="AG560" i="10"/>
  <c r="AG611" i="10"/>
  <c r="AG581" i="10"/>
  <c r="AH559" i="10"/>
  <c r="AH558" i="10"/>
  <c r="AG616" i="10"/>
  <c r="AG558" i="10"/>
  <c r="AH551" i="10"/>
  <c r="AH544" i="10"/>
  <c r="AH539" i="10"/>
  <c r="AH533" i="10"/>
  <c r="AH529" i="10"/>
  <c r="AG526" i="10"/>
  <c r="AH513" i="10"/>
  <c r="AG510" i="10"/>
  <c r="AH557" i="10"/>
  <c r="AG551" i="10"/>
  <c r="AG544" i="10"/>
  <c r="AG533" i="10"/>
  <c r="AG529" i="10"/>
  <c r="AH516" i="10"/>
  <c r="AG513" i="10"/>
  <c r="AH582" i="10"/>
  <c r="AH573" i="10"/>
  <c r="AG557" i="10"/>
  <c r="AH550" i="10"/>
  <c r="AH538" i="10"/>
  <c r="AH519" i="10"/>
  <c r="AG516" i="10"/>
  <c r="AH503" i="10"/>
  <c r="AG500" i="10"/>
  <c r="AH574" i="10"/>
  <c r="AG573" i="10"/>
  <c r="AH572" i="10"/>
  <c r="AH571" i="10"/>
  <c r="AH549" i="10"/>
  <c r="AH543" i="10"/>
  <c r="AG538" i="10"/>
  <c r="AH532" i="10"/>
  <c r="AH522" i="10"/>
  <c r="AG519" i="10"/>
  <c r="AG574" i="10"/>
  <c r="AG572" i="10"/>
  <c r="AG571" i="10"/>
  <c r="AG570" i="10"/>
  <c r="AH569" i="10"/>
  <c r="AG635" i="10"/>
  <c r="AG569" i="10"/>
  <c r="AH568" i="10"/>
  <c r="AH579" i="10"/>
  <c r="AH575" i="10"/>
  <c r="AG568" i="10"/>
  <c r="AG579" i="10"/>
  <c r="AH566" i="10"/>
  <c r="AH547" i="10"/>
  <c r="AG542" i="10"/>
  <c r="AG531" i="10"/>
  <c r="AH518" i="10"/>
  <c r="AG515" i="10"/>
  <c r="AH502" i="10"/>
  <c r="AH576" i="10"/>
  <c r="AG566" i="10"/>
  <c r="AG547" i="10"/>
  <c r="AH536" i="10"/>
  <c r="AH521" i="10"/>
  <c r="AG518" i="10"/>
  <c r="AH505" i="10"/>
  <c r="AG502" i="10"/>
  <c r="AH794" i="10"/>
  <c r="AH584" i="10"/>
  <c r="AG576" i="10"/>
  <c r="AG565" i="10"/>
  <c r="AH546" i="10"/>
  <c r="AH541" i="10"/>
  <c r="AG536" i="10"/>
  <c r="AH524" i="10"/>
  <c r="AG521" i="10"/>
  <c r="AH508" i="10"/>
  <c r="AG505" i="10"/>
  <c r="AG561" i="10"/>
  <c r="AH560" i="10"/>
  <c r="AG554" i="10"/>
  <c r="AH545" i="10"/>
  <c r="AH540" i="10"/>
  <c r="AG535" i="10"/>
  <c r="AG530" i="10"/>
  <c r="AH517" i="10"/>
  <c r="AG514" i="10"/>
  <c r="AH501" i="10"/>
  <c r="AG532" i="10"/>
  <c r="AG509" i="10"/>
  <c r="AH496" i="10"/>
  <c r="AG493" i="10"/>
  <c r="AH464" i="10"/>
  <c r="AG461" i="10"/>
  <c r="AH448" i="10"/>
  <c r="AG445" i="10"/>
  <c r="AH528" i="10"/>
  <c r="AH500" i="10"/>
  <c r="AH499" i="10"/>
  <c r="AG496" i="10"/>
  <c r="AH483" i="10"/>
  <c r="AG540" i="10"/>
  <c r="AG528" i="10"/>
  <c r="AG522" i="10"/>
  <c r="AH510" i="10"/>
  <c r="AG499" i="10"/>
  <c r="AH486" i="10"/>
  <c r="AG483" i="10"/>
  <c r="AH561" i="10"/>
  <c r="AH548" i="10"/>
  <c r="AH511" i="10"/>
  <c r="AG501" i="10"/>
  <c r="AH489" i="10"/>
  <c r="AG486" i="10"/>
  <c r="AH563" i="10"/>
  <c r="AH554" i="10"/>
  <c r="AG548" i="10"/>
  <c r="AH523" i="10"/>
  <c r="AG517" i="10"/>
  <c r="AG511" i="10"/>
  <c r="AH492" i="10"/>
  <c r="AG489" i="10"/>
  <c r="AH476" i="10"/>
  <c r="AG473" i="10"/>
  <c r="AH460" i="10"/>
  <c r="AG457" i="10"/>
  <c r="AG563" i="10"/>
  <c r="AG523" i="10"/>
  <c r="AH512" i="10"/>
  <c r="AH495" i="10"/>
  <c r="AG492" i="10"/>
  <c r="AG476" i="10"/>
  <c r="AH463" i="10"/>
  <c r="AG460" i="10"/>
  <c r="AH552" i="10"/>
  <c r="AG541" i="10"/>
  <c r="AG537" i="10"/>
  <c r="AG512" i="10"/>
  <c r="AH498" i="10"/>
  <c r="AG495" i="10"/>
  <c r="AH482" i="10"/>
  <c r="AH466" i="10"/>
  <c r="AG463" i="10"/>
  <c r="AH450" i="10"/>
  <c r="AG447" i="10"/>
  <c r="AG584" i="10"/>
  <c r="AG552" i="10"/>
  <c r="AG549" i="10"/>
  <c r="AG545" i="10"/>
  <c r="AG524" i="10"/>
  <c r="AH504" i="10"/>
  <c r="AG503" i="10"/>
  <c r="AG498" i="10"/>
  <c r="AH485" i="10"/>
  <c r="AG482" i="10"/>
  <c r="AH469" i="10"/>
  <c r="AG466" i="10"/>
  <c r="AH453" i="10"/>
  <c r="AG450" i="10"/>
  <c r="AH525" i="10"/>
  <c r="AG504" i="10"/>
  <c r="AH488" i="10"/>
  <c r="AG485" i="10"/>
  <c r="AH472" i="10"/>
  <c r="AG469" i="10"/>
  <c r="AH456" i="10"/>
  <c r="AG453" i="10"/>
  <c r="AH534" i="10"/>
  <c r="AH530" i="10"/>
  <c r="AG525" i="10"/>
  <c r="AH491" i="10"/>
  <c r="AG488" i="10"/>
  <c r="AH475" i="10"/>
  <c r="AH506" i="10"/>
  <c r="AH494" i="10"/>
  <c r="AG491" i="10"/>
  <c r="AH555" i="10"/>
  <c r="AG546" i="10"/>
  <c r="AH514" i="10"/>
  <c r="AG506" i="10"/>
  <c r="AH497" i="10"/>
  <c r="AG494" i="10"/>
  <c r="AH481" i="10"/>
  <c r="AH526" i="10"/>
  <c r="AH520" i="10"/>
  <c r="AH507" i="10"/>
  <c r="AG497" i="10"/>
  <c r="AH484" i="10"/>
  <c r="AG481" i="10"/>
  <c r="AH468" i="10"/>
  <c r="AG465" i="10"/>
  <c r="AH452" i="10"/>
  <c r="AG449" i="10"/>
  <c r="AG527" i="10"/>
  <c r="AH509" i="10"/>
  <c r="AH493" i="10"/>
  <c r="AG490" i="10"/>
  <c r="AG474" i="10"/>
  <c r="AH461" i="10"/>
  <c r="AG458" i="10"/>
  <c r="AH445" i="10"/>
  <c r="AG471" i="10"/>
  <c r="AH441" i="10"/>
  <c r="AG438" i="10"/>
  <c r="AH425" i="10"/>
  <c r="AG422" i="10"/>
  <c r="AH409" i="10"/>
  <c r="AG406" i="10"/>
  <c r="AH393" i="10"/>
  <c r="AG390" i="10"/>
  <c r="AG475" i="10"/>
  <c r="AH444" i="10"/>
  <c r="AG441" i="10"/>
  <c r="AH428" i="10"/>
  <c r="AG425" i="10"/>
  <c r="AH412" i="10"/>
  <c r="AG409" i="10"/>
  <c r="AG508" i="10"/>
  <c r="AG472" i="10"/>
  <c r="AH454" i="10"/>
  <c r="AH446" i="10"/>
  <c r="AG444" i="10"/>
  <c r="AG484" i="10"/>
  <c r="AH455" i="10"/>
  <c r="AG454" i="10"/>
  <c r="AG446" i="10"/>
  <c r="AH434" i="10"/>
  <c r="AG431" i="10"/>
  <c r="AH418" i="10"/>
  <c r="AG415" i="10"/>
  <c r="AH531" i="10"/>
  <c r="AH467" i="10"/>
  <c r="AG455" i="10"/>
  <c r="AH447" i="10"/>
  <c r="AH437" i="10"/>
  <c r="AG434" i="10"/>
  <c r="AH421" i="10"/>
  <c r="AG418" i="10"/>
  <c r="AH405" i="10"/>
  <c r="AG402" i="10"/>
  <c r="AH473" i="10"/>
  <c r="AG467" i="10"/>
  <c r="AG456" i="10"/>
  <c r="AH440" i="10"/>
  <c r="AG437" i="10"/>
  <c r="AH424" i="10"/>
  <c r="AG421" i="10"/>
  <c r="AH408" i="10"/>
  <c r="AG405" i="10"/>
  <c r="AH392" i="10"/>
  <c r="AH515" i="10"/>
  <c r="AH462" i="10"/>
  <c r="AG448" i="10"/>
  <c r="AH443" i="10"/>
  <c r="AG440" i="10"/>
  <c r="AH427" i="10"/>
  <c r="AG424" i="10"/>
  <c r="AH411" i="10"/>
  <c r="AG408" i="10"/>
  <c r="AH395" i="10"/>
  <c r="AG392" i="10"/>
  <c r="AG462" i="10"/>
  <c r="AH457" i="10"/>
  <c r="AG443" i="10"/>
  <c r="AH430" i="10"/>
  <c r="AG427" i="10"/>
  <c r="AH414" i="10"/>
  <c r="AG411" i="10"/>
  <c r="AH398" i="10"/>
  <c r="AG395" i="10"/>
  <c r="AH564" i="10"/>
  <c r="AG520" i="10"/>
  <c r="AG507" i="10"/>
  <c r="AH490" i="10"/>
  <c r="AG468" i="10"/>
  <c r="AH449" i="10"/>
  <c r="AH433" i="10"/>
  <c r="AG430" i="10"/>
  <c r="AH417" i="10"/>
  <c r="AG414" i="10"/>
  <c r="AH401" i="10"/>
  <c r="AG398" i="10"/>
  <c r="AH474" i="10"/>
  <c r="AH458" i="10"/>
  <c r="AH439" i="10"/>
  <c r="AG436" i="10"/>
  <c r="AH423" i="10"/>
  <c r="AG420" i="10"/>
  <c r="AH407" i="10"/>
  <c r="AH459" i="10"/>
  <c r="AH442" i="10"/>
  <c r="AG439" i="10"/>
  <c r="AH426" i="10"/>
  <c r="AG423" i="10"/>
  <c r="AH410" i="10"/>
  <c r="AG407" i="10"/>
  <c r="AH394" i="10"/>
  <c r="AG391" i="10"/>
  <c r="AH487" i="10"/>
  <c r="AG464" i="10"/>
  <c r="AG459" i="10"/>
  <c r="AH451" i="10"/>
  <c r="AG442" i="10"/>
  <c r="AH429" i="10"/>
  <c r="AG426" i="10"/>
  <c r="AH413" i="10"/>
  <c r="AG410" i="10"/>
  <c r="AH397" i="10"/>
  <c r="AG394" i="10"/>
  <c r="AG543" i="10"/>
  <c r="AH535" i="10"/>
  <c r="AH527" i="10"/>
  <c r="AG487" i="10"/>
  <c r="AH470" i="10"/>
  <c r="AG451" i="10"/>
  <c r="AH432" i="10"/>
  <c r="AG429" i="10"/>
  <c r="AH416" i="10"/>
  <c r="AG413" i="10"/>
  <c r="AH400" i="10"/>
  <c r="AG397" i="10"/>
  <c r="AH471" i="10"/>
  <c r="AH465" i="10"/>
  <c r="AG452" i="10"/>
  <c r="AH438" i="10"/>
  <c r="AG435" i="10"/>
  <c r="AH422" i="10"/>
  <c r="AG419" i="10"/>
  <c r="AH406" i="10"/>
  <c r="AG403" i="10"/>
  <c r="AH390" i="10"/>
  <c r="AG400" i="10"/>
  <c r="AH381" i="10"/>
  <c r="AG378" i="10"/>
  <c r="AH365" i="10"/>
  <c r="AG362" i="10"/>
  <c r="AH349" i="10"/>
  <c r="AG346" i="10"/>
  <c r="AH333" i="10"/>
  <c r="AG330" i="10"/>
  <c r="AH403" i="10"/>
  <c r="AG393" i="10"/>
  <c r="AH384" i="10"/>
  <c r="AG381" i="10"/>
  <c r="AH368" i="10"/>
  <c r="AG365" i="10"/>
  <c r="AH352" i="10"/>
  <c r="AG349" i="10"/>
  <c r="AH336" i="10"/>
  <c r="AG333" i="10"/>
  <c r="AH320" i="10"/>
  <c r="AH389" i="10"/>
  <c r="AG384" i="10"/>
  <c r="AH371" i="10"/>
  <c r="AG368" i="10"/>
  <c r="AH355" i="10"/>
  <c r="AG352" i="10"/>
  <c r="AH339" i="10"/>
  <c r="AG389" i="10"/>
  <c r="AH436" i="10"/>
  <c r="AH420" i="10"/>
  <c r="AH377" i="10"/>
  <c r="AG374" i="10"/>
  <c r="AH361" i="10"/>
  <c r="AG358" i="10"/>
  <c r="AG432" i="10"/>
  <c r="AG416" i="10"/>
  <c r="AG401" i="10"/>
  <c r="AH380" i="10"/>
  <c r="AG377" i="10"/>
  <c r="AH364" i="10"/>
  <c r="AG361" i="10"/>
  <c r="AG345" i="10"/>
  <c r="AH332" i="10"/>
  <c r="AG329" i="10"/>
  <c r="AG428" i="10"/>
  <c r="AG412" i="10"/>
  <c r="AH404" i="10"/>
  <c r="AH383" i="10"/>
  <c r="AG380" i="10"/>
  <c r="AH367" i="10"/>
  <c r="AG364" i="10"/>
  <c r="AH351" i="10"/>
  <c r="AH335" i="10"/>
  <c r="AG332" i="10"/>
  <c r="AG470" i="10"/>
  <c r="AG404" i="10"/>
  <c r="AH388" i="10"/>
  <c r="AG383" i="10"/>
  <c r="AH370" i="10"/>
  <c r="AG367" i="10"/>
  <c r="AH354" i="10"/>
  <c r="AG351" i="10"/>
  <c r="AH338" i="10"/>
  <c r="AG335" i="10"/>
  <c r="AH322" i="10"/>
  <c r="AG319" i="10"/>
  <c r="AG388" i="10"/>
  <c r="AH373" i="10"/>
  <c r="AG370" i="10"/>
  <c r="AH357" i="10"/>
  <c r="AG354" i="10"/>
  <c r="AH341" i="10"/>
  <c r="AG338" i="10"/>
  <c r="AH325" i="10"/>
  <c r="AG322" i="10"/>
  <c r="AH391" i="10"/>
  <c r="AH376" i="10"/>
  <c r="AG373" i="10"/>
  <c r="AH360" i="10"/>
  <c r="AG357" i="10"/>
  <c r="AH344" i="10"/>
  <c r="AG341" i="10"/>
  <c r="AH328" i="10"/>
  <c r="AG325" i="10"/>
  <c r="AH399" i="10"/>
  <c r="AH379" i="10"/>
  <c r="AG376" i="10"/>
  <c r="AH363" i="10"/>
  <c r="AG360" i="10"/>
  <c r="AH347" i="10"/>
  <c r="AG344" i="10"/>
  <c r="AH402" i="10"/>
  <c r="AG399" i="10"/>
  <c r="AH435" i="10"/>
  <c r="AG433" i="10"/>
  <c r="AH419" i="10"/>
  <c r="AG417" i="10"/>
  <c r="AH396" i="10"/>
  <c r="AH387" i="10"/>
  <c r="AG382" i="10"/>
  <c r="AH369" i="10"/>
  <c r="AG366" i="10"/>
  <c r="AH353" i="10"/>
  <c r="AG350" i="10"/>
  <c r="AH431" i="10"/>
  <c r="AH415" i="10"/>
  <c r="AG396" i="10"/>
  <c r="AG387" i="10"/>
  <c r="AH372" i="10"/>
  <c r="AG369" i="10"/>
  <c r="AH356" i="10"/>
  <c r="AG353" i="10"/>
  <c r="AH340" i="10"/>
  <c r="AG337" i="10"/>
  <c r="AH324" i="10"/>
  <c r="AG321" i="10"/>
  <c r="AH378" i="10"/>
  <c r="AG375" i="10"/>
  <c r="AH362" i="10"/>
  <c r="AG359" i="10"/>
  <c r="AH346" i="10"/>
  <c r="AG343" i="10"/>
  <c r="AH330" i="10"/>
  <c r="AG327" i="10"/>
  <c r="AH382" i="10"/>
  <c r="AG372" i="10"/>
  <c r="AH366" i="10"/>
  <c r="AG356" i="10"/>
  <c r="AH350" i="10"/>
  <c r="AH343" i="10"/>
  <c r="AG340" i="10"/>
  <c r="AG318" i="10"/>
  <c r="AH305" i="10"/>
  <c r="AG302" i="10"/>
  <c r="AH217" i="10"/>
  <c r="AG214" i="10"/>
  <c r="AH201" i="10"/>
  <c r="AG198" i="10"/>
  <c r="AH185" i="10"/>
  <c r="AG182" i="10"/>
  <c r="AH329" i="10"/>
  <c r="AH308" i="10"/>
  <c r="AG305" i="10"/>
  <c r="AG217" i="10"/>
  <c r="AH204" i="10"/>
  <c r="AG201" i="10"/>
  <c r="AH337" i="10"/>
  <c r="AH321" i="10"/>
  <c r="AH311" i="10"/>
  <c r="AG308" i="10"/>
  <c r="AH295" i="10"/>
  <c r="AH207" i="10"/>
  <c r="AG204" i="10"/>
  <c r="AH314" i="10"/>
  <c r="AG311" i="10"/>
  <c r="AH298" i="10"/>
  <c r="AG295" i="10"/>
  <c r="AH210" i="10"/>
  <c r="AG207" i="10"/>
  <c r="AH194" i="10"/>
  <c r="AG191" i="10"/>
  <c r="AH317" i="10"/>
  <c r="AG314" i="10"/>
  <c r="AH301" i="10"/>
  <c r="AG298" i="10"/>
  <c r="AH213" i="10"/>
  <c r="AG210" i="10"/>
  <c r="AH197" i="10"/>
  <c r="AG194" i="10"/>
  <c r="AH181" i="10"/>
  <c r="AG178" i="10"/>
  <c r="AH326" i="10"/>
  <c r="AG317" i="10"/>
  <c r="AH304" i="10"/>
  <c r="AG301" i="10"/>
  <c r="AH216" i="10"/>
  <c r="AG213" i="10"/>
  <c r="AH200" i="10"/>
  <c r="AG197" i="10"/>
  <c r="AH184" i="10"/>
  <c r="AG181" i="10"/>
  <c r="AH334" i="10"/>
  <c r="AG326" i="10"/>
  <c r="AH307" i="10"/>
  <c r="AG304" i="10"/>
  <c r="AG216" i="10"/>
  <c r="AH203" i="10"/>
  <c r="AG200" i="10"/>
  <c r="AH187" i="10"/>
  <c r="AG184" i="10"/>
  <c r="AH375" i="10"/>
  <c r="AH359" i="10"/>
  <c r="AG334" i="10"/>
  <c r="AH310" i="10"/>
  <c r="AG307" i="10"/>
  <c r="AH206" i="10"/>
  <c r="AG203" i="10"/>
  <c r="AH313" i="10"/>
  <c r="AG310" i="10"/>
  <c r="AH297" i="10"/>
  <c r="AH209" i="10"/>
  <c r="AG206" i="10"/>
  <c r="AG379" i="10"/>
  <c r="AG371" i="10"/>
  <c r="AG363" i="10"/>
  <c r="AG355" i="10"/>
  <c r="AH331" i="10"/>
  <c r="AH327" i="10"/>
  <c r="AH323" i="10"/>
  <c r="AH316" i="10"/>
  <c r="AG313" i="10"/>
  <c r="AH300" i="10"/>
  <c r="AG297" i="10"/>
  <c r="AH212" i="10"/>
  <c r="AG209" i="10"/>
  <c r="AH196" i="10"/>
  <c r="AG193" i="10"/>
  <c r="AH180" i="10"/>
  <c r="AG347" i="10"/>
  <c r="AH342" i="10"/>
  <c r="AG339" i="10"/>
  <c r="AG331" i="10"/>
  <c r="AG323" i="10"/>
  <c r="AG316" i="10"/>
  <c r="AH303" i="10"/>
  <c r="AG300" i="10"/>
  <c r="AH215" i="10"/>
  <c r="AG212" i="10"/>
  <c r="AH199" i="10"/>
  <c r="AG196" i="10"/>
  <c r="AH183" i="10"/>
  <c r="AG180" i="10"/>
  <c r="AG342" i="10"/>
  <c r="AH309" i="10"/>
  <c r="AG306" i="10"/>
  <c r="AG218" i="10"/>
  <c r="AH205" i="10"/>
  <c r="AG202" i="10"/>
  <c r="AH189" i="10"/>
  <c r="AG186" i="10"/>
  <c r="AH374" i="10"/>
  <c r="AH358" i="10"/>
  <c r="AH318" i="10"/>
  <c r="AG315" i="10"/>
  <c r="AH302" i="10"/>
  <c r="AG299" i="10"/>
  <c r="AH214" i="10"/>
  <c r="AG211" i="10"/>
  <c r="AH198" i="10"/>
  <c r="AG195" i="10"/>
  <c r="AH182" i="10"/>
  <c r="AG179" i="10"/>
  <c r="AG328" i="10"/>
  <c r="AH296" i="10"/>
  <c r="AH168" i="10"/>
  <c r="AH163" i="10"/>
  <c r="AG160" i="10"/>
  <c r="AH147" i="10"/>
  <c r="AG144" i="10"/>
  <c r="AH131" i="10"/>
  <c r="AG128" i="10"/>
  <c r="AH306" i="10"/>
  <c r="AG296" i="10"/>
  <c r="AH190" i="10"/>
  <c r="AG185" i="10"/>
  <c r="AH171" i="10"/>
  <c r="AG168" i="10"/>
  <c r="AG163" i="10"/>
  <c r="AH150" i="10"/>
  <c r="AG147" i="10"/>
  <c r="AH134" i="10"/>
  <c r="AG131" i="10"/>
  <c r="AG336" i="10"/>
  <c r="AG190" i="10"/>
  <c r="AH174" i="10"/>
  <c r="AG171" i="10"/>
  <c r="AH153" i="10"/>
  <c r="AG150" i="10"/>
  <c r="AH177" i="10"/>
  <c r="AG174" i="10"/>
  <c r="AH156" i="10"/>
  <c r="AG153" i="10"/>
  <c r="AG320" i="10"/>
  <c r="AH186" i="10"/>
  <c r="AH178" i="10"/>
  <c r="AG177" i="10"/>
  <c r="AH159" i="10"/>
  <c r="AG156" i="10"/>
  <c r="AH143" i="10"/>
  <c r="AH127" i="10"/>
  <c r="AG124" i="10"/>
  <c r="AH118" i="10"/>
  <c r="AG111" i="10"/>
  <c r="AH162" i="10"/>
  <c r="AG159" i="10"/>
  <c r="AH146" i="10"/>
  <c r="AG143" i="10"/>
  <c r="AH130" i="10"/>
  <c r="AG127" i="10"/>
  <c r="AG118" i="10"/>
  <c r="AH191" i="10"/>
  <c r="AH170" i="10"/>
  <c r="AG162" i="10"/>
  <c r="AH149" i="10"/>
  <c r="AG146" i="10"/>
  <c r="AH133" i="10"/>
  <c r="AG130" i="10"/>
  <c r="AH211" i="10"/>
  <c r="AH173" i="10"/>
  <c r="AG170" i="10"/>
  <c r="AH152" i="10"/>
  <c r="AG149" i="10"/>
  <c r="AH136" i="10"/>
  <c r="AG133" i="10"/>
  <c r="AH120" i="10"/>
  <c r="AG215" i="10"/>
  <c r="AG205" i="10"/>
  <c r="AH195" i="10"/>
  <c r="AG187" i="10"/>
  <c r="AH179" i="10"/>
  <c r="AH176" i="10"/>
  <c r="AG173" i="10"/>
  <c r="AH315" i="10"/>
  <c r="AH299" i="10"/>
  <c r="AH192" i="10"/>
  <c r="AG176" i="10"/>
  <c r="AH158" i="10"/>
  <c r="AG155" i="10"/>
  <c r="AH142" i="10"/>
  <c r="AG139" i="10"/>
  <c r="AH126" i="10"/>
  <c r="AG123" i="10"/>
  <c r="AH113" i="10"/>
  <c r="AG110" i="10"/>
  <c r="AH319" i="10"/>
  <c r="AG309" i="10"/>
  <c r="AG303" i="10"/>
  <c r="AG192" i="10"/>
  <c r="AH188" i="10"/>
  <c r="AG183" i="10"/>
  <c r="AH161" i="10"/>
  <c r="AG158" i="10"/>
  <c r="AG324" i="10"/>
  <c r="AG188" i="10"/>
  <c r="AH169" i="10"/>
  <c r="AH164" i="10"/>
  <c r="AG161" i="10"/>
  <c r="AH148" i="10"/>
  <c r="AG145" i="10"/>
  <c r="AH172" i="10"/>
  <c r="AG169" i="10"/>
  <c r="AG164" i="10"/>
  <c r="AH151" i="10"/>
  <c r="AG148" i="10"/>
  <c r="AH135" i="10"/>
  <c r="AG132" i="10"/>
  <c r="AH345" i="10"/>
  <c r="AH218" i="10"/>
  <c r="AG208" i="10"/>
  <c r="AH202" i="10"/>
  <c r="AG189" i="10"/>
  <c r="AH160" i="10"/>
  <c r="AG157" i="10"/>
  <c r="AH144" i="10"/>
  <c r="AG141" i="10"/>
  <c r="AH128" i="10"/>
  <c r="AG125" i="10"/>
  <c r="AG112" i="10"/>
  <c r="AH155" i="10"/>
  <c r="AH129" i="10"/>
  <c r="AH102" i="10"/>
  <c r="AG99" i="10"/>
  <c r="AH86" i="10"/>
  <c r="AH70" i="10"/>
  <c r="AG67" i="10"/>
  <c r="AH58" i="10"/>
  <c r="AG55" i="10"/>
  <c r="AH193" i="10"/>
  <c r="AH157" i="10"/>
  <c r="AH141" i="10"/>
  <c r="AH138" i="10"/>
  <c r="AG129" i="10"/>
  <c r="AH122" i="10"/>
  <c r="AH105" i="10"/>
  <c r="AG102" i="10"/>
  <c r="AH89" i="10"/>
  <c r="AG86" i="10"/>
  <c r="AH73" i="10"/>
  <c r="AG70" i="10"/>
  <c r="AG138" i="10"/>
  <c r="AG122" i="10"/>
  <c r="AH108" i="10"/>
  <c r="AG105" i="10"/>
  <c r="AH92" i="10"/>
  <c r="AG89" i="10"/>
  <c r="AH76" i="10"/>
  <c r="AG73" i="10"/>
  <c r="AG151" i="10"/>
  <c r="AG108" i="10"/>
  <c r="AH95" i="10"/>
  <c r="AG92" i="10"/>
  <c r="AH79" i="10"/>
  <c r="AG76" i="10"/>
  <c r="AH63" i="10"/>
  <c r="AH51" i="10"/>
  <c r="AG48" i="10"/>
  <c r="AG172" i="10"/>
  <c r="AG126" i="10"/>
  <c r="AH112" i="10"/>
  <c r="AH98" i="10"/>
  <c r="AG95" i="10"/>
  <c r="AH82" i="10"/>
  <c r="AG79" i="10"/>
  <c r="AH66" i="10"/>
  <c r="AG63" i="10"/>
  <c r="AH54" i="10"/>
  <c r="AG51" i="10"/>
  <c r="AH139" i="10"/>
  <c r="AG134" i="10"/>
  <c r="AH123" i="10"/>
  <c r="AH101" i="10"/>
  <c r="AG98" i="10"/>
  <c r="AH85" i="10"/>
  <c r="AG82" i="10"/>
  <c r="AH69" i="10"/>
  <c r="AG66" i="10"/>
  <c r="AH57" i="10"/>
  <c r="AG54" i="10"/>
  <c r="AH104" i="10"/>
  <c r="AG101" i="10"/>
  <c r="AH88" i="10"/>
  <c r="AG85" i="10"/>
  <c r="AH72" i="10"/>
  <c r="AG69" i="10"/>
  <c r="AH60" i="10"/>
  <c r="AG57" i="10"/>
  <c r="AH44" i="10"/>
  <c r="AH107" i="10"/>
  <c r="AG104" i="10"/>
  <c r="AH91" i="10"/>
  <c r="AG88" i="10"/>
  <c r="AH75" i="10"/>
  <c r="AG72" i="10"/>
  <c r="AH208" i="10"/>
  <c r="AH154" i="10"/>
  <c r="AG142" i="10"/>
  <c r="AG107" i="10"/>
  <c r="AH94" i="10"/>
  <c r="AG91" i="10"/>
  <c r="AH78" i="10"/>
  <c r="AG75" i="10"/>
  <c r="AH50" i="10"/>
  <c r="AG47" i="10"/>
  <c r="AG154" i="10"/>
  <c r="AG135" i="10"/>
  <c r="AG113" i="10"/>
  <c r="AH97" i="10"/>
  <c r="AG94" i="10"/>
  <c r="AH81" i="10"/>
  <c r="AG78" i="10"/>
  <c r="AH65" i="10"/>
  <c r="AH53" i="10"/>
  <c r="AG50" i="10"/>
  <c r="AG152" i="10"/>
  <c r="AH145" i="10"/>
  <c r="AH124" i="10"/>
  <c r="AH110" i="10"/>
  <c r="AH103" i="10"/>
  <c r="AG100" i="10"/>
  <c r="AH87" i="10"/>
  <c r="AG84" i="10"/>
  <c r="AH71" i="10"/>
  <c r="AG68" i="10"/>
  <c r="AH59" i="10"/>
  <c r="AG56" i="10"/>
  <c r="AH43" i="10"/>
  <c r="AG199" i="10"/>
  <c r="AG136" i="10"/>
  <c r="AG120" i="10"/>
  <c r="AH106" i="10"/>
  <c r="AG103" i="10"/>
  <c r="AH90" i="10"/>
  <c r="AG87" i="10"/>
  <c r="AH74" i="10"/>
  <c r="AG71" i="10"/>
  <c r="AG59" i="10"/>
  <c r="AH46" i="10"/>
  <c r="AG43" i="10"/>
  <c r="AG137" i="10"/>
  <c r="AH125" i="10"/>
  <c r="AG121" i="10"/>
  <c r="AH111" i="10"/>
  <c r="AH17" i="10"/>
  <c r="AG30" i="10"/>
  <c r="AH33" i="10"/>
  <c r="AH109" i="10"/>
  <c r="AG27" i="10"/>
  <c r="AH30" i="10"/>
  <c r="AG46" i="10"/>
  <c r="AG80" i="10"/>
  <c r="AG96" i="10"/>
  <c r="AG24" i="10"/>
  <c r="AH27" i="10"/>
  <c r="AG40" i="10"/>
  <c r="AH80" i="10"/>
  <c r="AH96" i="10"/>
  <c r="AG21" i="10"/>
  <c r="AH24" i="10"/>
  <c r="AG37" i="10"/>
  <c r="AH40" i="10"/>
  <c r="AH68" i="10"/>
  <c r="AG175" i="10"/>
  <c r="AI143" i="12" l="1"/>
  <c r="U143" i="12"/>
  <c r="U72" i="12"/>
  <c r="AI72" i="12"/>
  <c r="U101" i="12"/>
  <c r="AI101" i="12"/>
  <c r="U65" i="12"/>
  <c r="AI65" i="12"/>
  <c r="U50" i="12"/>
  <c r="AI50" i="12"/>
  <c r="U102" i="12"/>
  <c r="AI102" i="12"/>
  <c r="U136" i="12"/>
  <c r="AI136" i="12"/>
  <c r="U141" i="12"/>
  <c r="AI141" i="12"/>
  <c r="U93" i="12"/>
  <c r="AI93" i="12"/>
  <c r="U104" i="12"/>
  <c r="AI104" i="12"/>
  <c r="U115" i="12"/>
  <c r="AI115" i="12"/>
  <c r="U107" i="12"/>
  <c r="AI107" i="12"/>
  <c r="U67" i="12"/>
  <c r="AI67" i="12"/>
  <c r="U71" i="12"/>
  <c r="AI71" i="12"/>
  <c r="U140" i="12"/>
  <c r="AI140" i="12"/>
  <c r="U137" i="12"/>
  <c r="AI137" i="12"/>
  <c r="U82" i="12"/>
  <c r="AI82" i="12"/>
  <c r="U99" i="12"/>
  <c r="AI99" i="12"/>
  <c r="U135" i="12"/>
  <c r="AI135" i="12"/>
  <c r="AI154" i="12"/>
  <c r="U154" i="12"/>
  <c r="U68" i="12"/>
  <c r="AI68" i="12"/>
  <c r="U100" i="12"/>
  <c r="AI100" i="12"/>
  <c r="U105" i="12"/>
  <c r="AI105" i="12"/>
  <c r="U138" i="12"/>
  <c r="AI138" i="12"/>
  <c r="AI120" i="12"/>
  <c r="U120" i="12"/>
  <c r="U94" i="12"/>
  <c r="AI94" i="12"/>
  <c r="AI149" i="12"/>
  <c r="U149" i="12"/>
  <c r="AI79" i="12"/>
  <c r="U79" i="12"/>
  <c r="AI109" i="12"/>
  <c r="U109" i="12"/>
  <c r="AI146" i="12"/>
  <c r="U146" i="12"/>
  <c r="U152" i="12"/>
  <c r="AI152" i="12"/>
  <c r="U139" i="12"/>
  <c r="AI139" i="12"/>
  <c r="AI87" i="12"/>
  <c r="U87" i="12"/>
  <c r="U103" i="12"/>
  <c r="AI103" i="12"/>
  <c r="AI156" i="12"/>
  <c r="U156" i="12"/>
  <c r="AI95" i="12"/>
  <c r="U95" i="12"/>
  <c r="U150" i="12"/>
  <c r="AI150" i="12"/>
  <c r="U148" i="12"/>
  <c r="AI148" i="12"/>
  <c r="U66" i="12"/>
  <c r="AI66" i="12"/>
  <c r="U98" i="12"/>
  <c r="AI98" i="12"/>
  <c r="AI125" i="12"/>
  <c r="U125" i="12"/>
  <c r="U56" i="12"/>
  <c r="AI56" i="12"/>
  <c r="U73" i="12"/>
  <c r="AI73" i="12"/>
  <c r="U157" i="12"/>
  <c r="AI157" i="12"/>
  <c r="AI89" i="12"/>
  <c r="U89" i="12"/>
  <c r="AI142" i="12"/>
  <c r="U142" i="12"/>
  <c r="AI123" i="12"/>
  <c r="U123" i="12"/>
  <c r="U62" i="12"/>
  <c r="AI62" i="12"/>
  <c r="AI151" i="12"/>
  <c r="U151" i="12"/>
  <c r="U43" i="12"/>
  <c r="AI43" i="12"/>
  <c r="U96" i="12"/>
  <c r="AI96" i="12"/>
  <c r="U49" i="12"/>
  <c r="AI49" i="12"/>
  <c r="AK231" i="32"/>
  <c r="AI231" i="32"/>
  <c r="AK232" i="32"/>
  <c r="AI232" i="32"/>
  <c r="AK714" i="10"/>
  <c r="AL714" i="10" s="1"/>
  <c r="AI714" i="10"/>
  <c r="AI715" i="10"/>
  <c r="AK715" i="10"/>
  <c r="AL715" i="10" s="1"/>
  <c r="AI749" i="32"/>
  <c r="AK749" i="32"/>
  <c r="AI852" i="32"/>
  <c r="AK852" i="32"/>
  <c r="AI886" i="32"/>
  <c r="AK886" i="32"/>
  <c r="AK892" i="32"/>
  <c r="AI892" i="32"/>
  <c r="AI891" i="32"/>
  <c r="AK891" i="32"/>
  <c r="AI850" i="32"/>
  <c r="AK850" i="32"/>
  <c r="AI889" i="32"/>
  <c r="AK889" i="32"/>
  <c r="AI830" i="32"/>
  <c r="AK830" i="32"/>
  <c r="AI828" i="32"/>
  <c r="AK828" i="32"/>
  <c r="AI842" i="32"/>
  <c r="AK842" i="32"/>
  <c r="AK859" i="32"/>
  <c r="AI859" i="32"/>
  <c r="AK873" i="32"/>
  <c r="AI873" i="32"/>
  <c r="AI896" i="32"/>
  <c r="AK896" i="32"/>
  <c r="AI844" i="32"/>
  <c r="AK844" i="32"/>
  <c r="AK885" i="32"/>
  <c r="AI885" i="32"/>
  <c r="AI869" i="32"/>
  <c r="AK869" i="32"/>
  <c r="AI849" i="32"/>
  <c r="AK849" i="32"/>
  <c r="AK864" i="32"/>
  <c r="AI864" i="32"/>
  <c r="AK883" i="32"/>
  <c r="AI883" i="32"/>
  <c r="AI833" i="32"/>
  <c r="AK833" i="32"/>
  <c r="AK839" i="32"/>
  <c r="AI839" i="32"/>
  <c r="AI884" i="32"/>
  <c r="AK884" i="32"/>
  <c r="AK898" i="32"/>
  <c r="AI898" i="32"/>
  <c r="AI835" i="32"/>
  <c r="AK835" i="32"/>
  <c r="AK857" i="32"/>
  <c r="AI857" i="32"/>
  <c r="AI894" i="32"/>
  <c r="AK894" i="32"/>
  <c r="AI834" i="32"/>
  <c r="AK834" i="32"/>
  <c r="AI865" i="32"/>
  <c r="AK865" i="32"/>
  <c r="AI838" i="32"/>
  <c r="AK838" i="32"/>
  <c r="AI831" i="32"/>
  <c r="AK831" i="32"/>
  <c r="AK845" i="32"/>
  <c r="AI845" i="32"/>
  <c r="AI843" i="32"/>
  <c r="AK843" i="32"/>
  <c r="AI876" i="32"/>
  <c r="AK876" i="32"/>
  <c r="AI867" i="32"/>
  <c r="AK867" i="32"/>
  <c r="AI868" i="32"/>
  <c r="AK868" i="32"/>
  <c r="AI880" i="32"/>
  <c r="AK880" i="32"/>
  <c r="AI858" i="32"/>
  <c r="AK858" i="32"/>
  <c r="AI893" i="32"/>
  <c r="AK893" i="32"/>
  <c r="AI832" i="32"/>
  <c r="AK832" i="32"/>
  <c r="AK870" i="32"/>
  <c r="AI870" i="32"/>
  <c r="AI836" i="32"/>
  <c r="AK836" i="32"/>
  <c r="AK879" i="32"/>
  <c r="AI879" i="32"/>
  <c r="AI846" i="32"/>
  <c r="AK846" i="32"/>
  <c r="AI871" i="32"/>
  <c r="AK871" i="32"/>
  <c r="AK872" i="32"/>
  <c r="AI872" i="32"/>
  <c r="AK882" i="32"/>
  <c r="AI882" i="32"/>
  <c r="AK851" i="32"/>
  <c r="AI851" i="32"/>
  <c r="AK890" i="32"/>
  <c r="AI890" i="32"/>
  <c r="AK878" i="32"/>
  <c r="AI878" i="32"/>
  <c r="AI829" i="32"/>
  <c r="AK829" i="32"/>
  <c r="AK895" i="32"/>
  <c r="AI895" i="32"/>
  <c r="AK887" i="32"/>
  <c r="AI887" i="32"/>
  <c r="AK848" i="32"/>
  <c r="AI848" i="32"/>
  <c r="AI874" i="32"/>
  <c r="AK874" i="32"/>
  <c r="AI888" i="32"/>
  <c r="AK888" i="32"/>
  <c r="AI837" i="32"/>
  <c r="AK837" i="32"/>
  <c r="AI877" i="32"/>
  <c r="AK877" i="32"/>
  <c r="AI853" i="32"/>
  <c r="AK853" i="32"/>
  <c r="AI847" i="32"/>
  <c r="AK847" i="32"/>
  <c r="AI866" i="32"/>
  <c r="AK866" i="32"/>
  <c r="AI875" i="32"/>
  <c r="AK875" i="32"/>
  <c r="AI589" i="10"/>
  <c r="AK589" i="10"/>
  <c r="AL589" i="10" s="1"/>
  <c r="AI587" i="10"/>
  <c r="AK587" i="10"/>
  <c r="AL587" i="10" s="1"/>
  <c r="AI590" i="10"/>
  <c r="AK590" i="10"/>
  <c r="AL590" i="10" s="1"/>
  <c r="AI591" i="10"/>
  <c r="AK591" i="10"/>
  <c r="AL591" i="10" s="1"/>
  <c r="AI593" i="10"/>
  <c r="AK593" i="10"/>
  <c r="AL593" i="10" s="1"/>
  <c r="AI592" i="10"/>
  <c r="AK592" i="10"/>
  <c r="AL592" i="10" s="1"/>
  <c r="AI588" i="10"/>
  <c r="AK588" i="10"/>
  <c r="AL588" i="10" s="1"/>
  <c r="AI586" i="10"/>
  <c r="AK586" i="10"/>
  <c r="AL586" i="10" s="1"/>
  <c r="AI972" i="32"/>
  <c r="AK972" i="32"/>
  <c r="AJ879" i="10"/>
  <c r="AP879" i="32" s="1"/>
  <c r="AJ88" i="10"/>
  <c r="AJ88" i="32"/>
  <c r="AJ153" i="10"/>
  <c r="AJ153" i="32"/>
  <c r="AI326" i="32"/>
  <c r="AK326" i="32"/>
  <c r="AJ367" i="10"/>
  <c r="AJ367" i="32"/>
  <c r="AI417" i="32"/>
  <c r="AK417" i="32"/>
  <c r="AJ453" i="10"/>
  <c r="AJ453" i="32"/>
  <c r="AJ572" i="10"/>
  <c r="AJ572" i="32"/>
  <c r="AJ930" i="10"/>
  <c r="AJ930" i="32"/>
  <c r="AJ937" i="10"/>
  <c r="AJ937" i="32"/>
  <c r="AI15" i="32"/>
  <c r="AK15" i="32"/>
  <c r="AI264" i="32"/>
  <c r="AK264" i="32"/>
  <c r="AJ673" i="10"/>
  <c r="AJ673" i="32"/>
  <c r="AJ765" i="10"/>
  <c r="AJ765" i="32"/>
  <c r="AJ113" i="10"/>
  <c r="AJ113" i="32"/>
  <c r="AK58" i="32"/>
  <c r="AI58" i="32"/>
  <c r="AJ185" i="10"/>
  <c r="AJ185" i="32"/>
  <c r="AJ178" i="10"/>
  <c r="AJ178" i="32"/>
  <c r="AJ322" i="10"/>
  <c r="AJ322" i="32"/>
  <c r="AJ423" i="10"/>
  <c r="AJ423" i="32"/>
  <c r="AI456" i="32"/>
  <c r="AK456" i="32"/>
  <c r="AJ576" i="10"/>
  <c r="AJ576" i="32"/>
  <c r="AJ629" i="10"/>
  <c r="AI817" i="32"/>
  <c r="AK817" i="32"/>
  <c r="AJ945" i="10"/>
  <c r="AJ945" i="32"/>
  <c r="AI18" i="32"/>
  <c r="AK18" i="32"/>
  <c r="AK686" i="32"/>
  <c r="AI686" i="32"/>
  <c r="AJ122" i="10"/>
  <c r="AJ122" i="32"/>
  <c r="AJ174" i="10"/>
  <c r="AJ174" i="32"/>
  <c r="AI181" i="32"/>
  <c r="AK181" i="32"/>
  <c r="AJ383" i="10"/>
  <c r="AJ383" i="32"/>
  <c r="AI433" i="32"/>
  <c r="AK433" i="32"/>
  <c r="AI497" i="32"/>
  <c r="AK497" i="32"/>
  <c r="AJ548" i="10"/>
  <c r="AJ557" i="10"/>
  <c r="AI616" i="32"/>
  <c r="AK616" i="32"/>
  <c r="AI619" i="32"/>
  <c r="AK619" i="32"/>
  <c r="AI622" i="32"/>
  <c r="AK622" i="32"/>
  <c r="AJ594" i="10"/>
  <c r="AJ591" i="32"/>
  <c r="AJ843" i="10"/>
  <c r="AP843" i="32" s="1"/>
  <c r="AI793" i="32"/>
  <c r="AK793" i="32"/>
  <c r="AK636" i="32"/>
  <c r="AI636" i="32"/>
  <c r="AJ845" i="10"/>
  <c r="AP845" i="32" s="1"/>
  <c r="AK899" i="32"/>
  <c r="AI899" i="32"/>
  <c r="AI413" i="32"/>
  <c r="AK413" i="32"/>
  <c r="AJ377" i="10"/>
  <c r="AI471" i="32"/>
  <c r="AK471" i="32"/>
  <c r="AJ346" i="10"/>
  <c r="AJ346" i="32"/>
  <c r="AJ137" i="10"/>
  <c r="AJ137" i="32"/>
  <c r="AI160" i="32"/>
  <c r="AK160" i="32"/>
  <c r="AJ179" i="10"/>
  <c r="AJ179" i="32"/>
  <c r="AJ182" i="10"/>
  <c r="AJ182" i="32"/>
  <c r="AI384" i="32"/>
  <c r="AK384" i="32"/>
  <c r="AI461" i="32"/>
  <c r="AK461" i="32"/>
  <c r="AJ528" i="10"/>
  <c r="AJ528" i="32"/>
  <c r="AI606" i="32"/>
  <c r="AK606" i="32"/>
  <c r="AJ575" i="10"/>
  <c r="AJ575" i="32"/>
  <c r="AJ639" i="10"/>
  <c r="AJ639" i="32"/>
  <c r="AJ901" i="10"/>
  <c r="AJ901" i="32"/>
  <c r="AJ957" i="10"/>
  <c r="AJ957" i="32"/>
  <c r="AK13" i="32"/>
  <c r="AI13" i="32"/>
  <c r="AJ253" i="10"/>
  <c r="AJ253" i="32"/>
  <c r="AJ686" i="10"/>
  <c r="AJ686" i="32"/>
  <c r="AI785" i="32"/>
  <c r="AK785" i="32"/>
  <c r="AK71" i="32"/>
  <c r="AI71" i="32"/>
  <c r="AJ189" i="10"/>
  <c r="AJ189" i="32"/>
  <c r="AI182" i="32"/>
  <c r="AK182" i="32"/>
  <c r="AI330" i="32"/>
  <c r="AK330" i="32"/>
  <c r="AJ435" i="10"/>
  <c r="AJ435" i="32"/>
  <c r="AK428" i="32"/>
  <c r="AI428" i="32"/>
  <c r="AI517" i="32"/>
  <c r="AK517" i="32"/>
  <c r="AJ633" i="10"/>
  <c r="AJ921" i="10"/>
  <c r="AJ921" i="32"/>
  <c r="AI946" i="32"/>
  <c r="AK946" i="32"/>
  <c r="AK93" i="32"/>
  <c r="AI93" i="32"/>
  <c r="AI237" i="32"/>
  <c r="P133" i="24" s="1"/>
  <c r="V133" i="12" s="1"/>
  <c r="AK237" i="32"/>
  <c r="R133" i="24" s="1"/>
  <c r="X133" i="12" s="1"/>
  <c r="AJ787" i="10"/>
  <c r="AJ172" i="10"/>
  <c r="AJ172" i="32"/>
  <c r="AI146" i="32"/>
  <c r="AK146" i="32"/>
  <c r="AJ216" i="10"/>
  <c r="AJ216" i="32"/>
  <c r="AK325" i="32"/>
  <c r="AI325" i="32"/>
  <c r="AI426" i="32"/>
  <c r="AK426" i="32"/>
  <c r="AJ469" i="10"/>
  <c r="AJ469" i="32"/>
  <c r="AI806" i="32"/>
  <c r="AK806" i="32"/>
  <c r="AK103" i="32"/>
  <c r="AI103" i="32"/>
  <c r="AK73" i="32"/>
  <c r="AI73" i="32"/>
  <c r="AI459" i="32"/>
  <c r="AK459" i="32"/>
  <c r="AJ139" i="10"/>
  <c r="AJ139" i="32"/>
  <c r="AI342" i="32"/>
  <c r="AK342" i="32"/>
  <c r="AJ327" i="10"/>
  <c r="AJ327" i="32"/>
  <c r="AJ389" i="10"/>
  <c r="AJ389" i="32"/>
  <c r="AJ421" i="10"/>
  <c r="AJ421" i="32"/>
  <c r="AI538" i="32"/>
  <c r="AK538" i="32"/>
  <c r="AJ604" i="10"/>
  <c r="AJ604" i="32"/>
  <c r="AJ818" i="10"/>
  <c r="AJ818" i="32"/>
  <c r="AJ927" i="10"/>
  <c r="AI265" i="32"/>
  <c r="AK265" i="32"/>
  <c r="AI230" i="32"/>
  <c r="AK230" i="32"/>
  <c r="AJ708" i="10"/>
  <c r="AJ708" i="32"/>
  <c r="AJ784" i="10"/>
  <c r="AJ784" i="32"/>
  <c r="AJ126" i="10"/>
  <c r="AJ126" i="32"/>
  <c r="AI136" i="32"/>
  <c r="AK136" i="32"/>
  <c r="AJ379" i="10"/>
  <c r="AJ379" i="32"/>
  <c r="AJ344" i="10"/>
  <c r="AJ344" i="32"/>
  <c r="AJ543" i="10"/>
  <c r="AP543" i="32" s="1"/>
  <c r="AJ543" i="32"/>
  <c r="AJ474" i="10"/>
  <c r="AJ474" i="32"/>
  <c r="AJ574" i="10"/>
  <c r="AJ574" i="32"/>
  <c r="AJ965" i="10"/>
  <c r="AJ965" i="32"/>
  <c r="AJ17" i="10"/>
  <c r="AJ17" i="32"/>
  <c r="AI274" i="32"/>
  <c r="AK274" i="32"/>
  <c r="AI251" i="32"/>
  <c r="AK251" i="32"/>
  <c r="AJ671" i="10"/>
  <c r="AJ671" i="32"/>
  <c r="AJ96" i="10"/>
  <c r="AJ96" i="32"/>
  <c r="AK85" i="32"/>
  <c r="AI85" i="32"/>
  <c r="AJ188" i="10"/>
  <c r="AJ188" i="32"/>
  <c r="AJ195" i="10"/>
  <c r="AJ195" i="32"/>
  <c r="AJ198" i="10"/>
  <c r="AJ198" i="32"/>
  <c r="AJ352" i="10"/>
  <c r="AJ352" i="32"/>
  <c r="AJ437" i="10"/>
  <c r="AJ437" i="32"/>
  <c r="AI483" i="32"/>
  <c r="AK483" i="32"/>
  <c r="AI183" i="32"/>
  <c r="AK183" i="32"/>
  <c r="AJ446" i="10"/>
  <c r="AJ446" i="32"/>
  <c r="AK97" i="32"/>
  <c r="AI97" i="32"/>
  <c r="AI164" i="32"/>
  <c r="AK164" i="32"/>
  <c r="AJ218" i="10"/>
  <c r="AJ218" i="32"/>
  <c r="AJ387" i="10"/>
  <c r="AJ387" i="32"/>
  <c r="AI422" i="32"/>
  <c r="AK422" i="32"/>
  <c r="AI531" i="32"/>
  <c r="AK531" i="32"/>
  <c r="AJ514" i="10"/>
  <c r="AJ514" i="32"/>
  <c r="AI628" i="32"/>
  <c r="AK628" i="32"/>
  <c r="AJ814" i="10"/>
  <c r="AJ814" i="32"/>
  <c r="AI956" i="32"/>
  <c r="AK956" i="32"/>
  <c r="AI235" i="32"/>
  <c r="AK235" i="32"/>
  <c r="AK682" i="32"/>
  <c r="AI682" i="32"/>
  <c r="AI769" i="32"/>
  <c r="AK769" i="32"/>
  <c r="AJ82" i="10"/>
  <c r="AJ82" i="32"/>
  <c r="AJ143" i="10"/>
  <c r="AJ143" i="32"/>
  <c r="AI203" i="32"/>
  <c r="AK203" i="32"/>
  <c r="AI424" i="32"/>
  <c r="AK424" i="32"/>
  <c r="AJ460" i="10"/>
  <c r="AJ460" i="32"/>
  <c r="AI539" i="32"/>
  <c r="AK539" i="32"/>
  <c r="AI581" i="32"/>
  <c r="AK581" i="32"/>
  <c r="AJ655" i="10"/>
  <c r="AJ655" i="32"/>
  <c r="AJ896" i="10"/>
  <c r="AP896" i="32" s="1"/>
  <c r="AJ973" i="10"/>
  <c r="AJ973" i="32"/>
  <c r="AK175" i="32"/>
  <c r="AI175" i="32"/>
  <c r="AI228" i="32"/>
  <c r="AK228" i="32"/>
  <c r="AI767" i="32"/>
  <c r="AK767" i="32"/>
  <c r="AJ104" i="10"/>
  <c r="AJ104" i="32"/>
  <c r="AI202" i="32"/>
  <c r="AK202" i="32"/>
  <c r="AI190" i="32"/>
  <c r="AK190" i="32"/>
  <c r="AI314" i="32"/>
  <c r="AK314" i="32"/>
  <c r="AI403" i="32"/>
  <c r="AK403" i="32"/>
  <c r="AJ441" i="10"/>
  <c r="AJ441" i="32"/>
  <c r="AJ851" i="10"/>
  <c r="AP851" i="32" s="1"/>
  <c r="AK30" i="32"/>
  <c r="AI30" i="32"/>
  <c r="AI161" i="32"/>
  <c r="AK161" i="32"/>
  <c r="AJ210" i="10"/>
  <c r="AJ210" i="32"/>
  <c r="AJ467" i="10"/>
  <c r="AJ467" i="32"/>
  <c r="AI27" i="32"/>
  <c r="AK27" i="32"/>
  <c r="AJ105" i="10"/>
  <c r="AJ105" i="32"/>
  <c r="AJ133" i="10"/>
  <c r="AJ133" i="32"/>
  <c r="AJ371" i="10"/>
  <c r="AI402" i="32"/>
  <c r="AK402" i="32"/>
  <c r="AI535" i="32"/>
  <c r="AK535" i="32"/>
  <c r="AJ425" i="10"/>
  <c r="AJ425" i="32"/>
  <c r="AJ517" i="10"/>
  <c r="AJ517" i="32"/>
  <c r="AI533" i="32"/>
  <c r="AK533" i="32"/>
  <c r="AJ578" i="10"/>
  <c r="AJ578" i="32"/>
  <c r="AJ645" i="10"/>
  <c r="AJ890" i="10"/>
  <c r="AP890" i="32" s="1"/>
  <c r="AJ706" i="10"/>
  <c r="AJ706" i="32"/>
  <c r="AK735" i="32"/>
  <c r="AI735" i="32"/>
  <c r="AK91" i="32"/>
  <c r="AI91" i="32"/>
  <c r="AI142" i="32"/>
  <c r="AK142" i="32"/>
  <c r="AJ347" i="10"/>
  <c r="AJ396" i="10"/>
  <c r="AJ396" i="32"/>
  <c r="AJ393" i="10"/>
  <c r="AJ393" i="32"/>
  <c r="AJ430" i="10"/>
  <c r="AJ430" i="32"/>
  <c r="AJ494" i="10"/>
  <c r="AJ494" i="32"/>
  <c r="AJ531" i="10"/>
  <c r="AJ531" i="32"/>
  <c r="AJ613" i="10"/>
  <c r="AJ838" i="10"/>
  <c r="AP838" i="32" s="1"/>
  <c r="AJ842" i="10"/>
  <c r="AP842" i="32" s="1"/>
  <c r="AI944" i="32"/>
  <c r="AK944" i="32"/>
  <c r="AJ268" i="10"/>
  <c r="AJ268" i="32"/>
  <c r="AJ702" i="10"/>
  <c r="AJ719" i="10"/>
  <c r="AJ745" i="10"/>
  <c r="AJ745" i="32"/>
  <c r="AI743" i="32"/>
  <c r="AK743" i="32"/>
  <c r="AK46" i="32"/>
  <c r="AI46" i="32"/>
  <c r="AJ67" i="10"/>
  <c r="AJ67" i="32"/>
  <c r="AI309" i="32"/>
  <c r="AK309" i="32"/>
  <c r="AJ343" i="10"/>
  <c r="AJ343" i="32"/>
  <c r="AJ345" i="10"/>
  <c r="AJ345" i="32"/>
  <c r="AJ392" i="10"/>
  <c r="AJ392" i="32"/>
  <c r="AJ545" i="10"/>
  <c r="AJ545" i="32"/>
  <c r="AJ530" i="10"/>
  <c r="AJ530" i="32"/>
  <c r="AI901" i="32"/>
  <c r="AK901" i="32"/>
  <c r="AK74" i="32"/>
  <c r="AI74" i="32"/>
  <c r="AI123" i="32"/>
  <c r="AK123" i="32"/>
  <c r="AK86" i="32"/>
  <c r="AI86" i="32"/>
  <c r="AI173" i="32"/>
  <c r="AK173" i="32"/>
  <c r="AI214" i="32"/>
  <c r="AK214" i="32"/>
  <c r="AJ326" i="10"/>
  <c r="AJ326" i="32"/>
  <c r="AI353" i="32"/>
  <c r="AK353" i="32"/>
  <c r="AJ390" i="10"/>
  <c r="AJ390" i="32"/>
  <c r="AJ68" i="10"/>
  <c r="AJ68" i="32"/>
  <c r="AJ55" i="10"/>
  <c r="AJ55" i="32"/>
  <c r="AI171" i="32"/>
  <c r="AK171" i="32"/>
  <c r="AJ329" i="10"/>
  <c r="AJ329" i="32"/>
  <c r="AI410" i="32"/>
  <c r="AK410" i="32"/>
  <c r="AI481" i="32"/>
  <c r="AK481" i="32"/>
  <c r="AJ565" i="10"/>
  <c r="AJ565" i="32"/>
  <c r="AJ835" i="10"/>
  <c r="AP835" i="32" s="1"/>
  <c r="AI620" i="32"/>
  <c r="AK620" i="32"/>
  <c r="AI966" i="32"/>
  <c r="AK966" i="32"/>
  <c r="AJ16" i="10"/>
  <c r="AJ16" i="32"/>
  <c r="AJ273" i="10"/>
  <c r="AJ273" i="32"/>
  <c r="AJ748" i="10"/>
  <c r="AJ748" i="32"/>
  <c r="AJ43" i="10"/>
  <c r="AJ43" i="32"/>
  <c r="AI169" i="32"/>
  <c r="AK169" i="32"/>
  <c r="AJ306" i="10"/>
  <c r="AJ306" i="32"/>
  <c r="AI185" i="32"/>
  <c r="AK185" i="32"/>
  <c r="AJ462" i="10"/>
  <c r="AJ462" i="32"/>
  <c r="AJ524" i="10"/>
  <c r="AI550" i="32"/>
  <c r="AK550" i="32"/>
  <c r="AI578" i="32"/>
  <c r="AK578" i="32"/>
  <c r="AJ651" i="10"/>
  <c r="AI822" i="32"/>
  <c r="AK822" i="32"/>
  <c r="AJ961" i="10"/>
  <c r="AJ961" i="32"/>
  <c r="AJ949" i="10"/>
  <c r="AJ949" i="32"/>
  <c r="AI253" i="32"/>
  <c r="AK253" i="32"/>
  <c r="AJ731" i="10"/>
  <c r="AJ731" i="32"/>
  <c r="AI741" i="32"/>
  <c r="AK741" i="32"/>
  <c r="AJ135" i="10"/>
  <c r="AJ155" i="10"/>
  <c r="AJ155" i="32"/>
  <c r="AI180" i="32"/>
  <c r="AK180" i="32"/>
  <c r="AI415" i="32"/>
  <c r="AK415" i="32"/>
  <c r="AI438" i="32"/>
  <c r="AK438" i="32"/>
  <c r="AI418" i="32"/>
  <c r="AK418" i="32"/>
  <c r="AI463" i="32"/>
  <c r="AK463" i="32"/>
  <c r="AJ542" i="10"/>
  <c r="AJ542" i="32"/>
  <c r="AJ883" i="10"/>
  <c r="AP883" i="32" s="1"/>
  <c r="AK50" i="32"/>
  <c r="AI50" i="32"/>
  <c r="AK63" i="32"/>
  <c r="AI63" i="32"/>
  <c r="AI192" i="32"/>
  <c r="AK192" i="32"/>
  <c r="AJ111" i="10"/>
  <c r="AJ209" i="10"/>
  <c r="AJ209" i="32"/>
  <c r="AI217" i="32"/>
  <c r="AK217" i="32"/>
  <c r="AJ354" i="10"/>
  <c r="AJ354" i="32"/>
  <c r="AI490" i="32"/>
  <c r="AK490" i="32"/>
  <c r="AK69" i="32"/>
  <c r="AI69" i="32"/>
  <c r="AJ200" i="10"/>
  <c r="AJ200" i="32"/>
  <c r="AI391" i="32"/>
  <c r="AK391" i="32"/>
  <c r="AI457" i="32"/>
  <c r="AK457" i="32"/>
  <c r="AI504" i="32"/>
  <c r="AK504" i="32"/>
  <c r="AJ608" i="10"/>
  <c r="AJ856" i="10"/>
  <c r="AI952" i="32"/>
  <c r="AK952" i="32"/>
  <c r="AI277" i="32"/>
  <c r="AK277" i="32"/>
  <c r="AI677" i="32"/>
  <c r="AK677" i="32"/>
  <c r="AK776" i="32"/>
  <c r="AI776" i="32"/>
  <c r="AJ24" i="10"/>
  <c r="AJ24" i="32"/>
  <c r="AK108" i="32"/>
  <c r="AI108" i="32"/>
  <c r="AI156" i="32"/>
  <c r="AK156" i="32"/>
  <c r="AJ311" i="10"/>
  <c r="AJ311" i="32"/>
  <c r="AI332" i="32"/>
  <c r="AK332" i="32"/>
  <c r="AJ415" i="10"/>
  <c r="AJ415" i="32"/>
  <c r="AJ540" i="10"/>
  <c r="AJ540" i="32"/>
  <c r="AI611" i="32"/>
  <c r="AK611" i="32"/>
  <c r="AI614" i="32"/>
  <c r="AK614" i="32"/>
  <c r="AJ892" i="10"/>
  <c r="AP892" i="32" s="1"/>
  <c r="AI968" i="32"/>
  <c r="AK968" i="32"/>
  <c r="AI34" i="32"/>
  <c r="AK34" i="32"/>
  <c r="AK286" i="32"/>
  <c r="AI286" i="32"/>
  <c r="AI708" i="32"/>
  <c r="AK708" i="32"/>
  <c r="AJ764" i="10"/>
  <c r="AJ764" i="32"/>
  <c r="AJ84" i="10"/>
  <c r="AJ84" i="32"/>
  <c r="AJ149" i="10"/>
  <c r="AJ149" i="32"/>
  <c r="AJ206" i="10"/>
  <c r="AJ206" i="32"/>
  <c r="AJ394" i="10"/>
  <c r="AJ394" i="32"/>
  <c r="AJ490" i="10"/>
  <c r="AJ490" i="32"/>
  <c r="AJ519" i="10"/>
  <c r="AJ519" i="32"/>
  <c r="AJ877" i="10"/>
  <c r="AP877" i="32" s="1"/>
  <c r="AJ57" i="10"/>
  <c r="AJ57" i="32"/>
  <c r="AK345" i="32"/>
  <c r="AI345" i="32"/>
  <c r="AI153" i="32"/>
  <c r="AK153" i="32"/>
  <c r="AJ310" i="10"/>
  <c r="AJ310" i="32"/>
  <c r="AI295" i="32"/>
  <c r="AK295" i="32"/>
  <c r="AK362" i="32"/>
  <c r="AI362" i="32"/>
  <c r="AJ376" i="10"/>
  <c r="AJ470" i="10"/>
  <c r="AJ470" i="32"/>
  <c r="AI411" i="32"/>
  <c r="AK411" i="32"/>
  <c r="AI974" i="32"/>
  <c r="AK974" i="32"/>
  <c r="AI970" i="32"/>
  <c r="AK970" i="32"/>
  <c r="AJ975" i="10"/>
  <c r="AJ975" i="32"/>
  <c r="AJ953" i="10"/>
  <c r="AJ953" i="32"/>
  <c r="AJ951" i="10"/>
  <c r="AJ951" i="32"/>
  <c r="AI960" i="32"/>
  <c r="AK960" i="32"/>
  <c r="AK47" i="32"/>
  <c r="AI47" i="32"/>
  <c r="AK132" i="32"/>
  <c r="AI132" i="32"/>
  <c r="AI121" i="32"/>
  <c r="AK121" i="32"/>
  <c r="AK77" i="32"/>
  <c r="AI77" i="32"/>
  <c r="AJ53" i="10"/>
  <c r="AJ53" i="32"/>
  <c r="AI279" i="32"/>
  <c r="AK279" i="32"/>
  <c r="AJ269" i="10"/>
  <c r="AJ269" i="32"/>
  <c r="AJ284" i="10"/>
  <c r="AJ284" i="32"/>
  <c r="AI273" i="32"/>
  <c r="AK273" i="32"/>
  <c r="AI289" i="32"/>
  <c r="AK289" i="32"/>
  <c r="AJ282" i="10"/>
  <c r="AJ282" i="32"/>
  <c r="AI233" i="32"/>
  <c r="P131" i="24" s="1"/>
  <c r="V131" i="12" s="1"/>
  <c r="AK233" i="32"/>
  <c r="R131" i="24" s="1"/>
  <c r="X131" i="12" s="1"/>
  <c r="AJ235" i="10"/>
  <c r="AJ235" i="32"/>
  <c r="AK668" i="32"/>
  <c r="AI668" i="32"/>
  <c r="AK678" i="32"/>
  <c r="AI678" i="32"/>
  <c r="AJ684" i="10"/>
  <c r="AJ684" i="32"/>
  <c r="AJ722" i="10"/>
  <c r="AJ722" i="32"/>
  <c r="AJ725" i="10"/>
  <c r="AJ725" i="32"/>
  <c r="AJ737" i="10"/>
  <c r="AJ737" i="32"/>
  <c r="AI775" i="32"/>
  <c r="AK775" i="32"/>
  <c r="AK782" i="32"/>
  <c r="AI782" i="32"/>
  <c r="AJ754" i="10"/>
  <c r="AJ754" i="32"/>
  <c r="AJ774" i="10"/>
  <c r="AJ774" i="32"/>
  <c r="AI763" i="32"/>
  <c r="AK763" i="32"/>
  <c r="AJ738" i="10"/>
  <c r="AJ80" i="10"/>
  <c r="AJ80" i="32"/>
  <c r="AJ59" i="10"/>
  <c r="AJ59" i="32"/>
  <c r="AK87" i="32"/>
  <c r="AI87" i="32"/>
  <c r="AJ154" i="10"/>
  <c r="AJ154" i="32"/>
  <c r="AK107" i="32"/>
  <c r="AI107" i="32"/>
  <c r="AJ98" i="10"/>
  <c r="AJ98" i="32"/>
  <c r="AJ48" i="10"/>
  <c r="AJ48" i="32"/>
  <c r="AJ138" i="10"/>
  <c r="AJ138" i="32"/>
  <c r="AK70" i="32"/>
  <c r="AI70" i="32"/>
  <c r="AJ208" i="10"/>
  <c r="AJ208" i="32"/>
  <c r="AJ324" i="10"/>
  <c r="AJ324" i="32"/>
  <c r="AI158" i="32"/>
  <c r="AK158" i="32"/>
  <c r="AI152" i="32"/>
  <c r="AK152" i="32"/>
  <c r="AJ159" i="10"/>
  <c r="AJ159" i="32"/>
  <c r="AI177" i="32"/>
  <c r="AK177" i="32"/>
  <c r="AJ296" i="10"/>
  <c r="AJ296" i="32"/>
  <c r="AI198" i="32"/>
  <c r="AK198" i="32"/>
  <c r="AJ342" i="10"/>
  <c r="AJ342" i="32"/>
  <c r="AJ193" i="10"/>
  <c r="AJ193" i="32"/>
  <c r="AI209" i="32"/>
  <c r="AK209" i="32"/>
  <c r="AJ304" i="10"/>
  <c r="AJ304" i="32"/>
  <c r="AJ194" i="10"/>
  <c r="AJ194" i="32"/>
  <c r="AJ204" i="10"/>
  <c r="AJ204" i="32"/>
  <c r="AI201" i="32"/>
  <c r="AK201" i="32"/>
  <c r="AI346" i="32"/>
  <c r="AK346" i="32"/>
  <c r="AI431" i="32"/>
  <c r="AK431" i="32"/>
  <c r="AJ360" i="10"/>
  <c r="AP360" i="32" s="1"/>
  <c r="AJ360" i="32"/>
  <c r="AJ338" i="10"/>
  <c r="AI388" i="32"/>
  <c r="AK388" i="32"/>
  <c r="AJ361" i="10"/>
  <c r="AJ361" i="32"/>
  <c r="AI355" i="32"/>
  <c r="AK355" i="32"/>
  <c r="AJ330" i="10"/>
  <c r="AJ330" i="32"/>
  <c r="AJ452" i="10"/>
  <c r="AJ452" i="32"/>
  <c r="AI397" i="32"/>
  <c r="AK397" i="32"/>
  <c r="AJ439" i="10"/>
  <c r="AJ439" i="32"/>
  <c r="AI449" i="32"/>
  <c r="AK449" i="32"/>
  <c r="AI395" i="32"/>
  <c r="AK395" i="32"/>
  <c r="AI440" i="32"/>
  <c r="AK440" i="32"/>
  <c r="AJ431" i="10"/>
  <c r="AJ431" i="32"/>
  <c r="AK444" i="32"/>
  <c r="AI444" i="32"/>
  <c r="AI493" i="32"/>
  <c r="AK493" i="32"/>
  <c r="AJ506" i="10"/>
  <c r="AJ506" i="32"/>
  <c r="AI472" i="32"/>
  <c r="AK472" i="32"/>
  <c r="AJ549" i="10"/>
  <c r="AJ549" i="32"/>
  <c r="AJ476" i="10"/>
  <c r="AJ476" i="32"/>
  <c r="AJ496" i="10"/>
  <c r="AJ535" i="10"/>
  <c r="AP535" i="32" s="1"/>
  <c r="AJ535" i="32"/>
  <c r="AJ587" i="32"/>
  <c r="AI547" i="32"/>
  <c r="AK547" i="32"/>
  <c r="AI522" i="32"/>
  <c r="AK522" i="32"/>
  <c r="AI573" i="32"/>
  <c r="AK573" i="32"/>
  <c r="AJ626" i="10"/>
  <c r="AJ626" i="32"/>
  <c r="AI595" i="32"/>
  <c r="AK595" i="32"/>
  <c r="AJ586" i="32"/>
  <c r="AI630" i="32"/>
  <c r="AK630" i="32"/>
  <c r="AJ577" i="10"/>
  <c r="AJ577" i="32"/>
  <c r="AJ637" i="10"/>
  <c r="AJ637" i="32"/>
  <c r="AI597" i="32"/>
  <c r="AK597" i="32"/>
  <c r="AJ653" i="10"/>
  <c r="AJ653" i="32"/>
  <c r="AJ606" i="10"/>
  <c r="AJ606" i="32"/>
  <c r="AJ799" i="10"/>
  <c r="AJ799" i="32"/>
  <c r="AJ809" i="10"/>
  <c r="AJ809" i="32"/>
  <c r="AJ850" i="10"/>
  <c r="AP850" i="32" s="1"/>
  <c r="AJ844" i="10"/>
  <c r="AP844" i="32" s="1"/>
  <c r="AK910" i="32"/>
  <c r="AI910" i="32"/>
  <c r="AJ894" i="10"/>
  <c r="AP894" i="32" s="1"/>
  <c r="AJ858" i="10"/>
  <c r="AP858" i="32" s="1"/>
  <c r="AJ981" i="10"/>
  <c r="AJ981" i="32"/>
  <c r="AJ977" i="10"/>
  <c r="AJ977" i="32"/>
  <c r="AJ906" i="10"/>
  <c r="AJ906" i="32"/>
  <c r="AJ904" i="10"/>
  <c r="AP904" i="32" s="1"/>
  <c r="AJ904" i="32"/>
  <c r="AI964" i="32"/>
  <c r="AK964" i="32"/>
  <c r="AI962" i="32"/>
  <c r="AK962" i="32"/>
  <c r="AJ967" i="10"/>
  <c r="AJ967" i="32"/>
  <c r="AJ97" i="10"/>
  <c r="AJ97" i="32"/>
  <c r="AK67" i="32"/>
  <c r="AI67" i="32"/>
  <c r="AJ60" i="10"/>
  <c r="AJ60" i="32"/>
  <c r="AJ45" i="10"/>
  <c r="AJ45" i="32"/>
  <c r="AJ230" i="10"/>
  <c r="AJ230" i="32"/>
  <c r="AJ240" i="10"/>
  <c r="AJ240" i="32"/>
  <c r="AI244" i="32"/>
  <c r="AK244" i="32"/>
  <c r="AI226" i="32"/>
  <c r="AK226" i="32"/>
  <c r="AJ233" i="10"/>
  <c r="AJ233" i="32"/>
  <c r="Q131" i="24" s="1"/>
  <c r="W131" i="12" s="1"/>
  <c r="AI269" i="32"/>
  <c r="AK269" i="32"/>
  <c r="AI284" i="32"/>
  <c r="AK284" i="32"/>
  <c r="AK676" i="32"/>
  <c r="AI676" i="32"/>
  <c r="AK672" i="32"/>
  <c r="AI672" i="32"/>
  <c r="AI687" i="32"/>
  <c r="AK687" i="32"/>
  <c r="AK680" i="32"/>
  <c r="AI680" i="32"/>
  <c r="AJ688" i="10"/>
  <c r="AJ688" i="32"/>
  <c r="AJ693" i="10"/>
  <c r="AJ693" i="32"/>
  <c r="AJ687" i="10"/>
  <c r="AJ687" i="32"/>
  <c r="AI765" i="32"/>
  <c r="AK765" i="32"/>
  <c r="AJ739" i="10"/>
  <c r="AJ739" i="32"/>
  <c r="AI754" i="32"/>
  <c r="AK754" i="32"/>
  <c r="AI732" i="32"/>
  <c r="AK732" i="32"/>
  <c r="AI781" i="32"/>
  <c r="AK781" i="32"/>
  <c r="AI734" i="32"/>
  <c r="AK734" i="32"/>
  <c r="AJ766" i="10"/>
  <c r="AJ766" i="32"/>
  <c r="AJ46" i="10"/>
  <c r="AJ46" i="32"/>
  <c r="AJ71" i="10"/>
  <c r="AJ71" i="32"/>
  <c r="AJ100" i="10"/>
  <c r="AJ100" i="32"/>
  <c r="AJ47" i="10"/>
  <c r="AJ47" i="32"/>
  <c r="AK44" i="32"/>
  <c r="AI44" i="32"/>
  <c r="AK101" i="32"/>
  <c r="AI101" i="32"/>
  <c r="AK51" i="32"/>
  <c r="AI51" i="32"/>
  <c r="AJ70" i="10"/>
  <c r="AJ70" i="32"/>
  <c r="AI218" i="32"/>
  <c r="AK218" i="32"/>
  <c r="AJ158" i="10"/>
  <c r="AJ158" i="32"/>
  <c r="AJ176" i="10"/>
  <c r="AJ176" i="32"/>
  <c r="AJ170" i="10"/>
  <c r="AJ170" i="32"/>
  <c r="AI162" i="32"/>
  <c r="AK162" i="32"/>
  <c r="AJ150" i="10"/>
  <c r="AJ150" i="32"/>
  <c r="AK306" i="32"/>
  <c r="AI306" i="32"/>
  <c r="AJ211" i="10"/>
  <c r="AJ211" i="32"/>
  <c r="AJ180" i="10"/>
  <c r="AJ180" i="32"/>
  <c r="AI196" i="32"/>
  <c r="AK196" i="32"/>
  <c r="AI297" i="32"/>
  <c r="AK297" i="32"/>
  <c r="AI307" i="32"/>
  <c r="AK307" i="32"/>
  <c r="AK197" i="32"/>
  <c r="AI197" i="32"/>
  <c r="AJ214" i="10"/>
  <c r="AJ214" i="32"/>
  <c r="AJ359" i="10"/>
  <c r="AJ359" i="32"/>
  <c r="AJ350" i="10"/>
  <c r="AJ350" i="32"/>
  <c r="AI363" i="32"/>
  <c r="AK363" i="32"/>
  <c r="AK341" i="32"/>
  <c r="AI341" i="32"/>
  <c r="AJ404" i="10"/>
  <c r="AJ404" i="32"/>
  <c r="AI364" i="32"/>
  <c r="AK364" i="32"/>
  <c r="AJ368" i="10"/>
  <c r="AJ368" i="32"/>
  <c r="AK333" i="32"/>
  <c r="AI333" i="32"/>
  <c r="AI465" i="32"/>
  <c r="AK465" i="32"/>
  <c r="AJ410" i="10"/>
  <c r="AJ410" i="32"/>
  <c r="AI442" i="32"/>
  <c r="AK442" i="32"/>
  <c r="AJ468" i="10"/>
  <c r="AJ468" i="32"/>
  <c r="AJ408" i="10"/>
  <c r="AJ408" i="32"/>
  <c r="AJ456" i="10"/>
  <c r="AJ456" i="32"/>
  <c r="AI434" i="32"/>
  <c r="AK434" i="32"/>
  <c r="AJ475" i="10"/>
  <c r="AJ475" i="32"/>
  <c r="AI509" i="32"/>
  <c r="AK509" i="32"/>
  <c r="AI514" i="32"/>
  <c r="AK514" i="32"/>
  <c r="AJ485" i="10"/>
  <c r="AJ485" i="32"/>
  <c r="AJ552" i="10"/>
  <c r="AJ492" i="10"/>
  <c r="AJ492" i="32"/>
  <c r="AI499" i="32"/>
  <c r="AK499" i="32"/>
  <c r="AI540" i="32"/>
  <c r="AK540" i="32"/>
  <c r="AI566" i="32"/>
  <c r="AK566" i="32"/>
  <c r="AI532" i="32"/>
  <c r="AK532" i="32"/>
  <c r="AI582" i="32"/>
  <c r="AK582" i="32"/>
  <c r="AJ558" i="10"/>
  <c r="AJ634" i="10"/>
  <c r="AJ607" i="10"/>
  <c r="AJ607" i="32"/>
  <c r="AK589" i="32"/>
  <c r="AI589" i="32"/>
  <c r="AI631" i="32"/>
  <c r="AK631" i="32"/>
  <c r="AI580" i="32"/>
  <c r="AK580" i="32"/>
  <c r="AJ826" i="10"/>
  <c r="AJ826" i="32"/>
  <c r="AJ605" i="10"/>
  <c r="AJ605" i="32"/>
  <c r="AI605" i="32"/>
  <c r="AK605" i="32"/>
  <c r="AK656" i="32"/>
  <c r="AI656" i="32"/>
  <c r="AJ837" i="10"/>
  <c r="AP837" i="32" s="1"/>
  <c r="AJ644" i="10"/>
  <c r="AJ644" i="32"/>
  <c r="AI609" i="32"/>
  <c r="AK609" i="32"/>
  <c r="AI802" i="32"/>
  <c r="AK802" i="32"/>
  <c r="AJ824" i="10"/>
  <c r="AJ824" i="32"/>
  <c r="AJ620" i="10"/>
  <c r="AJ620" i="32"/>
  <c r="AJ914" i="10"/>
  <c r="AJ914" i="32"/>
  <c r="AJ881" i="10"/>
  <c r="AJ903" i="10"/>
  <c r="AJ903" i="32"/>
  <c r="AJ915" i="10"/>
  <c r="AJ915" i="32"/>
  <c r="AJ866" i="10"/>
  <c r="AP866" i="32" s="1"/>
  <c r="AK921" i="32"/>
  <c r="AI921" i="32"/>
  <c r="AI919" i="32"/>
  <c r="AK919" i="32"/>
  <c r="AK917" i="32"/>
  <c r="AI917" i="32"/>
  <c r="AI915" i="32"/>
  <c r="AK915" i="32"/>
  <c r="AJ971" i="10"/>
  <c r="AJ971" i="32"/>
  <c r="AJ969" i="10"/>
  <c r="AJ969" i="32"/>
  <c r="AJ81" i="10"/>
  <c r="AK48" i="32"/>
  <c r="AI48" i="32"/>
  <c r="AJ52" i="10"/>
  <c r="AJ52" i="32"/>
  <c r="AI37" i="32"/>
  <c r="AK37" i="32"/>
  <c r="AJ276" i="10"/>
  <c r="AI239" i="32"/>
  <c r="AK239" i="32"/>
  <c r="AJ250" i="10"/>
  <c r="AJ250" i="32"/>
  <c r="AI240" i="32"/>
  <c r="AK240" i="32"/>
  <c r="AJ262" i="10"/>
  <c r="AJ290" i="10"/>
  <c r="AJ290" i="32"/>
  <c r="AJ249" i="10"/>
  <c r="AJ249" i="32"/>
  <c r="AI728" i="32"/>
  <c r="AK728" i="32"/>
  <c r="AI673" i="32"/>
  <c r="AK673" i="32"/>
  <c r="AI681" i="32"/>
  <c r="AK681" i="32"/>
  <c r="AJ689" i="10"/>
  <c r="AJ689" i="32"/>
  <c r="AJ709" i="10"/>
  <c r="AJ697" i="10"/>
  <c r="AP697" i="32" s="1"/>
  <c r="AJ697" i="32"/>
  <c r="AJ781" i="10"/>
  <c r="AJ781" i="32"/>
  <c r="AJ753" i="10"/>
  <c r="AP753" i="32" s="1"/>
  <c r="AJ753" i="32"/>
  <c r="AK740" i="32"/>
  <c r="AI740" i="32"/>
  <c r="AJ730" i="10"/>
  <c r="AJ730" i="32"/>
  <c r="AI755" i="32"/>
  <c r="AK755" i="32"/>
  <c r="AJ767" i="10"/>
  <c r="AJ767" i="32"/>
  <c r="AK758" i="32"/>
  <c r="AI758" i="32"/>
  <c r="AJ527" i="10"/>
  <c r="AJ527" i="32"/>
  <c r="AI545" i="32"/>
  <c r="AK545" i="32"/>
  <c r="AJ612" i="10"/>
  <c r="AJ612" i="32"/>
  <c r="AJ801" i="10"/>
  <c r="AJ801" i="32"/>
  <c r="AI623" i="32"/>
  <c r="AK623" i="32"/>
  <c r="AJ885" i="10"/>
  <c r="AP885" i="32" s="1"/>
  <c r="AJ926" i="10"/>
  <c r="AI23" i="32"/>
  <c r="AK23" i="32"/>
  <c r="AJ279" i="10"/>
  <c r="AJ279" i="32"/>
  <c r="AJ223" i="10"/>
  <c r="AJ223" i="32"/>
  <c r="AJ718" i="10"/>
  <c r="AI747" i="32"/>
  <c r="AK747" i="32"/>
  <c r="AJ75" i="10"/>
  <c r="AJ75" i="32"/>
  <c r="AJ132" i="10"/>
  <c r="AJ132" i="32"/>
  <c r="AJ128" i="10"/>
  <c r="AJ128" i="32"/>
  <c r="AI334" i="32"/>
  <c r="AK334" i="32"/>
  <c r="AI357" i="32"/>
  <c r="AK357" i="32"/>
  <c r="AJ507" i="10"/>
  <c r="AJ507" i="32"/>
  <c r="AJ504" i="10"/>
  <c r="AJ504" i="32"/>
  <c r="AI505" i="32"/>
  <c r="AK505" i="32"/>
  <c r="AJ619" i="10"/>
  <c r="AJ619" i="32"/>
  <c r="AI804" i="32"/>
  <c r="AK804" i="32"/>
  <c r="AJ636" i="10"/>
  <c r="AJ636" i="32"/>
  <c r="AJ893" i="10"/>
  <c r="AP893" i="32" s="1"/>
  <c r="AJ239" i="10"/>
  <c r="AJ239" i="32"/>
  <c r="AJ670" i="10"/>
  <c r="AJ670" i="32"/>
  <c r="AJ746" i="10"/>
  <c r="AJ746" i="32"/>
  <c r="AJ175" i="10"/>
  <c r="AJ175" i="32"/>
  <c r="AI139" i="32"/>
  <c r="AK139" i="32"/>
  <c r="AJ130" i="10"/>
  <c r="AJ181" i="10"/>
  <c r="AJ181" i="32"/>
  <c r="AI399" i="32"/>
  <c r="AK399" i="32"/>
  <c r="AI429" i="32"/>
  <c r="AK429" i="32"/>
  <c r="AJ406" i="10"/>
  <c r="AJ406" i="32"/>
  <c r="AJ445" i="10"/>
  <c r="AJ445" i="32"/>
  <c r="AJ597" i="10"/>
  <c r="AJ597" i="32"/>
  <c r="AJ638" i="10"/>
  <c r="AJ638" i="32"/>
  <c r="AJ918" i="10"/>
  <c r="AJ918" i="32"/>
  <c r="AJ18" i="10"/>
  <c r="AJ18" i="32"/>
  <c r="AI242" i="32"/>
  <c r="AK242" i="32"/>
  <c r="AJ700" i="10"/>
  <c r="AJ700" i="32"/>
  <c r="AJ771" i="10"/>
  <c r="AJ771" i="32"/>
  <c r="AJ51" i="10"/>
  <c r="AJ51" i="32"/>
  <c r="AJ173" i="10"/>
  <c r="AJ173" i="32"/>
  <c r="AJ212" i="10"/>
  <c r="AJ212" i="32"/>
  <c r="AJ321" i="10"/>
  <c r="AP321" i="32" s="1"/>
  <c r="AJ321" i="32"/>
  <c r="AI365" i="32"/>
  <c r="AK365" i="32"/>
  <c r="AI409" i="32"/>
  <c r="AK409" i="32"/>
  <c r="AI511" i="32"/>
  <c r="AK511" i="32"/>
  <c r="AJ533" i="10"/>
  <c r="AP533" i="32" s="1"/>
  <c r="AJ533" i="32"/>
  <c r="AJ621" i="10"/>
  <c r="AJ621" i="32"/>
  <c r="AK811" i="32"/>
  <c r="AI811" i="32"/>
  <c r="AJ889" i="10"/>
  <c r="AP889" i="32" s="1"/>
  <c r="AJ952" i="10"/>
  <c r="AJ952" i="32"/>
  <c r="AI223" i="32"/>
  <c r="AK223" i="32"/>
  <c r="AJ251" i="10"/>
  <c r="AJ251" i="32"/>
  <c r="AI689" i="32"/>
  <c r="AK689" i="32"/>
  <c r="AJ786" i="10"/>
  <c r="AJ786" i="32"/>
  <c r="AK742" i="32"/>
  <c r="AI742" i="32"/>
  <c r="AJ152" i="10"/>
  <c r="AJ152" i="32"/>
  <c r="AI155" i="32"/>
  <c r="AK155" i="32"/>
  <c r="AI318" i="32"/>
  <c r="AK318" i="32"/>
  <c r="AJ340" i="10"/>
  <c r="AP340" i="32" s="1"/>
  <c r="AJ340" i="32"/>
  <c r="AJ432" i="10"/>
  <c r="AJ432" i="32"/>
  <c r="AJ436" i="10"/>
  <c r="AJ436" i="32"/>
  <c r="AI468" i="32"/>
  <c r="AK468" i="32"/>
  <c r="AJ461" i="10"/>
  <c r="AJ461" i="32"/>
  <c r="AJ588" i="32"/>
  <c r="AI810" i="32"/>
  <c r="AK810" i="32"/>
  <c r="AJ654" i="10"/>
  <c r="AJ819" i="10"/>
  <c r="AJ819" i="32"/>
  <c r="AK981" i="32"/>
  <c r="AI981" i="32"/>
  <c r="AK937" i="32"/>
  <c r="AI937" i="32"/>
  <c r="AI137" i="32"/>
  <c r="AK137" i="32"/>
  <c r="AJ247" i="10"/>
  <c r="AJ742" i="10"/>
  <c r="AJ742" i="32"/>
  <c r="AJ37" i="10"/>
  <c r="AJ37" i="32"/>
  <c r="AJ30" i="10"/>
  <c r="AJ30" i="32"/>
  <c r="AJ120" i="10"/>
  <c r="AJ120" i="32"/>
  <c r="AJ50" i="10"/>
  <c r="AJ50" i="32"/>
  <c r="AJ107" i="10"/>
  <c r="AP107" i="32" s="1"/>
  <c r="AJ107" i="32"/>
  <c r="AK88" i="32"/>
  <c r="AI88" i="32"/>
  <c r="AJ63" i="10"/>
  <c r="AJ63" i="32"/>
  <c r="AJ108" i="10"/>
  <c r="AJ108" i="32"/>
  <c r="AK122" i="32"/>
  <c r="AI122" i="32"/>
  <c r="AJ112" i="10"/>
  <c r="AJ164" i="10"/>
  <c r="AJ164" i="32"/>
  <c r="AJ309" i="10"/>
  <c r="AJ309" i="32"/>
  <c r="AK179" i="32"/>
  <c r="AI179" i="32"/>
  <c r="AI149" i="32"/>
  <c r="AK149" i="32"/>
  <c r="AJ156" i="10"/>
  <c r="AJ156" i="32"/>
  <c r="AJ131" i="10"/>
  <c r="AJ131" i="32"/>
  <c r="AJ160" i="10"/>
  <c r="AJ160" i="32"/>
  <c r="AK358" i="32"/>
  <c r="AI358" i="32"/>
  <c r="AJ300" i="10"/>
  <c r="AJ300" i="32"/>
  <c r="AI316" i="32"/>
  <c r="AK316" i="32"/>
  <c r="AK310" i="32"/>
  <c r="AI310" i="32"/>
  <c r="AI200" i="32"/>
  <c r="AK200" i="32"/>
  <c r="AK317" i="32"/>
  <c r="AI317" i="32"/>
  <c r="AJ201" i="10"/>
  <c r="AJ201" i="32"/>
  <c r="AI343" i="32"/>
  <c r="AK343" i="32"/>
  <c r="AJ337" i="10"/>
  <c r="AI396" i="32"/>
  <c r="AK396" i="32"/>
  <c r="AJ341" i="10"/>
  <c r="AJ341" i="32"/>
  <c r="AJ319" i="10"/>
  <c r="AJ319" i="32"/>
  <c r="AI367" i="32"/>
  <c r="AK367" i="32"/>
  <c r="AJ358" i="10"/>
  <c r="AJ358" i="32"/>
  <c r="AI336" i="32"/>
  <c r="AK336" i="32"/>
  <c r="AI381" i="32"/>
  <c r="AK381" i="32"/>
  <c r="AJ429" i="10"/>
  <c r="AJ429" i="32"/>
  <c r="AJ459" i="10"/>
  <c r="AJ459" i="32"/>
  <c r="AI439" i="32"/>
  <c r="AK439" i="32"/>
  <c r="AI398" i="32"/>
  <c r="AK398" i="32"/>
  <c r="AJ448" i="10"/>
  <c r="AJ448" i="32"/>
  <c r="AI421" i="32"/>
  <c r="AK421" i="32"/>
  <c r="AI446" i="32"/>
  <c r="AK446" i="32"/>
  <c r="AI425" i="32"/>
  <c r="AK425" i="32"/>
  <c r="AJ481" i="10"/>
  <c r="AJ481" i="32"/>
  <c r="AI475" i="32"/>
  <c r="AK475" i="32"/>
  <c r="AJ466" i="10"/>
  <c r="AJ466" i="32"/>
  <c r="AI482" i="32"/>
  <c r="AK482" i="32"/>
  <c r="AI460" i="32"/>
  <c r="AK460" i="32"/>
  <c r="AI464" i="32"/>
  <c r="AK464" i="32"/>
  <c r="AI508" i="32"/>
  <c r="AK508" i="32"/>
  <c r="AJ547" i="10"/>
  <c r="AJ547" i="32"/>
  <c r="AJ569" i="10"/>
  <c r="AJ569" i="32"/>
  <c r="AJ573" i="10"/>
  <c r="AJ573" i="32"/>
  <c r="AJ551" i="10"/>
  <c r="AJ611" i="10"/>
  <c r="AJ611" i="32"/>
  <c r="AI626" i="32"/>
  <c r="AK626" i="32"/>
  <c r="AJ589" i="32"/>
  <c r="AK632" i="32"/>
  <c r="AI632" i="32"/>
  <c r="AI567" i="32"/>
  <c r="AK567" i="32"/>
  <c r="AJ590" i="32"/>
  <c r="AJ615" i="10"/>
  <c r="AP615" i="32" s="1"/>
  <c r="AJ615" i="32"/>
  <c r="AJ534" i="10"/>
  <c r="AJ534" i="32"/>
  <c r="AJ834" i="10"/>
  <c r="AP834" i="32" s="1"/>
  <c r="AI657" i="32"/>
  <c r="AK657" i="32"/>
  <c r="AK819" i="32"/>
  <c r="AI819" i="32"/>
  <c r="AJ800" i="10"/>
  <c r="AJ800" i="32"/>
  <c r="AJ833" i="10"/>
  <c r="AP833" i="32" s="1"/>
  <c r="AJ832" i="10"/>
  <c r="AP832" i="32" s="1"/>
  <c r="AK813" i="32"/>
  <c r="AI813" i="32"/>
  <c r="AJ907" i="10"/>
  <c r="AJ907" i="32"/>
  <c r="AJ848" i="10"/>
  <c r="AP848" i="32" s="1"/>
  <c r="AJ886" i="10"/>
  <c r="AP886" i="32" s="1"/>
  <c r="AJ970" i="10"/>
  <c r="AJ970" i="32"/>
  <c r="AK977" i="32"/>
  <c r="AI977" i="32"/>
  <c r="AK975" i="32"/>
  <c r="AI975" i="32"/>
  <c r="AJ964" i="10"/>
  <c r="AJ964" i="32"/>
  <c r="AJ944" i="10"/>
  <c r="AJ944" i="32"/>
  <c r="AK951" i="32"/>
  <c r="AI951" i="32"/>
  <c r="AJ956" i="10"/>
  <c r="AJ956" i="32"/>
  <c r="AJ39" i="10"/>
  <c r="AJ90" i="10"/>
  <c r="AJ90" i="32"/>
  <c r="AJ106" i="10"/>
  <c r="AJ106" i="32"/>
  <c r="AJ93" i="10"/>
  <c r="AJ93" i="32"/>
  <c r="AJ31" i="10"/>
  <c r="AJ31" i="32"/>
  <c r="AI229" i="32"/>
  <c r="AK229" i="32"/>
  <c r="AJ263" i="10"/>
  <c r="AJ263" i="32"/>
  <c r="AK282" i="32"/>
  <c r="AI282" i="32"/>
  <c r="AI268" i="32"/>
  <c r="AK268" i="32"/>
  <c r="AJ252" i="10"/>
  <c r="AJ252" i="32"/>
  <c r="AJ229" i="10"/>
  <c r="AJ229" i="32"/>
  <c r="AI246" i="32"/>
  <c r="AK246" i="32"/>
  <c r="AJ248" i="10"/>
  <c r="AJ248" i="32"/>
  <c r="AI667" i="32"/>
  <c r="AK667" i="32"/>
  <c r="AI691" i="32"/>
  <c r="AK691" i="32"/>
  <c r="AJ717" i="10"/>
  <c r="AJ711" i="10"/>
  <c r="AJ711" i="32"/>
  <c r="AJ690" i="10"/>
  <c r="AJ690" i="32"/>
  <c r="AJ710" i="10"/>
  <c r="AJ710" i="32"/>
  <c r="AK733" i="32"/>
  <c r="AI733" i="32"/>
  <c r="AI737" i="32"/>
  <c r="AK737" i="32"/>
  <c r="AJ750" i="10"/>
  <c r="AJ750" i="32"/>
  <c r="AJ758" i="10"/>
  <c r="AJ758" i="32"/>
  <c r="AJ755" i="10"/>
  <c r="AJ755" i="32"/>
  <c r="AK752" i="32"/>
  <c r="AI752" i="32"/>
  <c r="AI495" i="32"/>
  <c r="AK495" i="32"/>
  <c r="AJ579" i="10"/>
  <c r="AJ579" i="32"/>
  <c r="AI602" i="32"/>
  <c r="AK602" i="32"/>
  <c r="AI610" i="32"/>
  <c r="AK610" i="32"/>
  <c r="AJ622" i="10"/>
  <c r="AJ622" i="32"/>
  <c r="AJ797" i="10"/>
  <c r="AJ797" i="32"/>
  <c r="AJ924" i="10"/>
  <c r="AJ924" i="32"/>
  <c r="AK64" i="32"/>
  <c r="AI64" i="32"/>
  <c r="AJ226" i="10"/>
  <c r="AJ226" i="32"/>
  <c r="AK698" i="32"/>
  <c r="AI698" i="32"/>
  <c r="AK784" i="32"/>
  <c r="AI784" i="32"/>
  <c r="AJ27" i="10"/>
  <c r="AJ27" i="32"/>
  <c r="AJ76" i="10"/>
  <c r="AJ76" i="32"/>
  <c r="AI211" i="32"/>
  <c r="AK211" i="32"/>
  <c r="AI212" i="32"/>
  <c r="AK212" i="32"/>
  <c r="AJ302" i="10"/>
  <c r="AJ302" i="32"/>
  <c r="AK407" i="32"/>
  <c r="AI407" i="32"/>
  <c r="AJ449" i="10"/>
  <c r="AJ449" i="32"/>
  <c r="AI489" i="32"/>
  <c r="AK489" i="32"/>
  <c r="AJ625" i="10"/>
  <c r="AJ625" i="32"/>
  <c r="AJ849" i="10"/>
  <c r="AP849" i="32" s="1"/>
  <c r="AJ869" i="10"/>
  <c r="AP869" i="32" s="1"/>
  <c r="AJ882" i="10"/>
  <c r="AP882" i="32" s="1"/>
  <c r="AI909" i="32"/>
  <c r="AK909" i="32"/>
  <c r="AK21" i="32"/>
  <c r="AI21" i="32"/>
  <c r="AJ707" i="10"/>
  <c r="AJ707" i="32"/>
  <c r="AI783" i="32"/>
  <c r="AK783" i="32"/>
  <c r="AK90" i="32"/>
  <c r="AI90" i="32"/>
  <c r="AK102" i="32"/>
  <c r="AI102" i="32"/>
  <c r="AI174" i="32"/>
  <c r="AK174" i="32"/>
  <c r="AJ203" i="10"/>
  <c r="AJ203" i="32"/>
  <c r="AI369" i="32"/>
  <c r="AK369" i="32"/>
  <c r="AJ362" i="10"/>
  <c r="AJ362" i="32"/>
  <c r="AJ402" i="10"/>
  <c r="AJ402" i="32"/>
  <c r="AI450" i="32"/>
  <c r="AK450" i="32"/>
  <c r="AI575" i="32"/>
  <c r="AK575" i="32"/>
  <c r="AI542" i="32"/>
  <c r="AK542" i="32"/>
  <c r="AJ871" i="10"/>
  <c r="AP871" i="32" s="1"/>
  <c r="AJ813" i="10"/>
  <c r="AJ813" i="32"/>
  <c r="AJ948" i="10"/>
  <c r="AJ948" i="32"/>
  <c r="AJ265" i="10"/>
  <c r="AJ265" i="32"/>
  <c r="AJ701" i="10"/>
  <c r="AI777" i="32"/>
  <c r="AK777" i="32"/>
  <c r="AJ103" i="10"/>
  <c r="AJ103" i="32"/>
  <c r="AK72" i="32"/>
  <c r="AI72" i="32"/>
  <c r="AJ192" i="10"/>
  <c r="AJ192" i="32"/>
  <c r="AJ315" i="10"/>
  <c r="AJ315" i="32"/>
  <c r="AK321" i="32"/>
  <c r="AI321" i="32"/>
  <c r="AJ416" i="10"/>
  <c r="AJ416" i="32"/>
  <c r="AI494" i="32"/>
  <c r="AK494" i="32"/>
  <c r="AI448" i="32"/>
  <c r="AK448" i="32"/>
  <c r="AJ581" i="10"/>
  <c r="AJ581" i="32"/>
  <c r="AI600" i="32"/>
  <c r="AK600" i="32"/>
  <c r="AI635" i="32"/>
  <c r="AK635" i="32"/>
  <c r="AJ864" i="10"/>
  <c r="AP864" i="32" s="1"/>
  <c r="AJ870" i="10"/>
  <c r="AP870" i="32" s="1"/>
  <c r="AJ946" i="10"/>
  <c r="AJ946" i="32"/>
  <c r="AJ25" i="10"/>
  <c r="AJ25" i="32"/>
  <c r="AI287" i="32"/>
  <c r="AK287" i="32"/>
  <c r="AJ694" i="10"/>
  <c r="AK94" i="32"/>
  <c r="AI94" i="32"/>
  <c r="AI151" i="32"/>
  <c r="AK151" i="32"/>
  <c r="AJ197" i="10"/>
  <c r="AJ197" i="32"/>
  <c r="AJ388" i="10"/>
  <c r="AJ388" i="32"/>
  <c r="AI451" i="32"/>
  <c r="AK451" i="32"/>
  <c r="AJ444" i="10"/>
  <c r="AJ444" i="32"/>
  <c r="AJ457" i="10"/>
  <c r="AJ457" i="32"/>
  <c r="AJ544" i="10"/>
  <c r="AI577" i="32"/>
  <c r="AK577" i="32"/>
  <c r="AK650" i="32"/>
  <c r="AI650" i="32"/>
  <c r="AI655" i="32"/>
  <c r="AK655" i="32"/>
  <c r="AJ902" i="10"/>
  <c r="AJ902" i="32"/>
  <c r="AK947" i="32"/>
  <c r="AI947" i="32"/>
  <c r="AK949" i="32"/>
  <c r="AI949" i="32"/>
  <c r="AI685" i="32"/>
  <c r="AK685" i="32"/>
  <c r="AI24" i="32"/>
  <c r="AK24" i="32"/>
  <c r="AI17" i="32"/>
  <c r="AK17" i="32"/>
  <c r="AJ136" i="10"/>
  <c r="AJ136" i="32"/>
  <c r="AK53" i="32"/>
  <c r="AI53" i="32"/>
  <c r="AJ142" i="10"/>
  <c r="AJ142" i="32"/>
  <c r="AJ101" i="10"/>
  <c r="AJ101" i="32"/>
  <c r="AK66" i="32"/>
  <c r="AI66" i="32"/>
  <c r="AJ151" i="10"/>
  <c r="AJ151" i="32"/>
  <c r="AJ129" i="10"/>
  <c r="AJ129" i="32"/>
  <c r="AJ125" i="10"/>
  <c r="AJ125" i="32"/>
  <c r="AJ169" i="10"/>
  <c r="AJ169" i="32"/>
  <c r="AI319" i="32"/>
  <c r="AK319" i="32"/>
  <c r="AJ187" i="10"/>
  <c r="AJ187" i="32"/>
  <c r="AJ162" i="10"/>
  <c r="AJ162" i="32"/>
  <c r="AI159" i="32"/>
  <c r="AK159" i="32"/>
  <c r="AI134" i="32"/>
  <c r="AK134" i="32"/>
  <c r="AK163" i="32"/>
  <c r="AI163" i="32"/>
  <c r="AI303" i="32"/>
  <c r="AK303" i="32"/>
  <c r="AI323" i="32"/>
  <c r="AK323" i="32"/>
  <c r="AJ334" i="10"/>
  <c r="AJ334" i="32"/>
  <c r="AJ213" i="10"/>
  <c r="AJ213" i="32"/>
  <c r="AJ191" i="10"/>
  <c r="AJ191" i="32"/>
  <c r="AI204" i="32"/>
  <c r="AK204" i="32"/>
  <c r="AK350" i="32"/>
  <c r="AI350" i="32"/>
  <c r="AI340" i="32"/>
  <c r="AK340" i="32"/>
  <c r="AJ417" i="10"/>
  <c r="AJ417" i="32"/>
  <c r="AI344" i="32"/>
  <c r="AK344" i="32"/>
  <c r="AI322" i="32"/>
  <c r="AK322" i="32"/>
  <c r="AJ380" i="10"/>
  <c r="AI361" i="32"/>
  <c r="AK361" i="32"/>
  <c r="AJ349" i="10"/>
  <c r="AJ400" i="10"/>
  <c r="AJ400" i="32"/>
  <c r="AI432" i="32"/>
  <c r="AK432" i="32"/>
  <c r="AJ464" i="10"/>
  <c r="AJ464" i="32"/>
  <c r="AI458" i="32"/>
  <c r="AK458" i="32"/>
  <c r="AJ411" i="10"/>
  <c r="AJ411" i="32"/>
  <c r="AI462" i="32"/>
  <c r="AK462" i="32"/>
  <c r="AJ434" i="10"/>
  <c r="AJ434" i="32"/>
  <c r="AI454" i="32"/>
  <c r="AK454" i="32"/>
  <c r="AJ438" i="10"/>
  <c r="AJ438" i="32"/>
  <c r="AI484" i="32"/>
  <c r="AK484" i="32"/>
  <c r="AJ488" i="10"/>
  <c r="AJ488" i="32"/>
  <c r="AI469" i="32"/>
  <c r="AK469" i="32"/>
  <c r="AJ495" i="10"/>
  <c r="AJ495" i="32"/>
  <c r="AJ473" i="10"/>
  <c r="AJ473" i="32"/>
  <c r="AJ483" i="10"/>
  <c r="AJ483" i="32"/>
  <c r="AJ493" i="10"/>
  <c r="AJ493" i="32"/>
  <c r="AJ521" i="10"/>
  <c r="AJ566" i="10"/>
  <c r="AJ566" i="32"/>
  <c r="AK591" i="32"/>
  <c r="AI591" i="32"/>
  <c r="AI574" i="32"/>
  <c r="AK574" i="32"/>
  <c r="AJ560" i="10"/>
  <c r="AJ627" i="10"/>
  <c r="AJ567" i="10"/>
  <c r="AJ567" i="32"/>
  <c r="AJ580" i="10"/>
  <c r="AJ580" i="32"/>
  <c r="AI593" i="32"/>
  <c r="AK593" i="32"/>
  <c r="AJ623" i="10"/>
  <c r="AJ623" i="32"/>
  <c r="AI537" i="32"/>
  <c r="AK537" i="32"/>
  <c r="AJ650" i="10"/>
  <c r="AJ650" i="32"/>
  <c r="AJ795" i="10"/>
  <c r="AJ795" i="32"/>
  <c r="AJ839" i="10"/>
  <c r="AP839" i="32" s="1"/>
  <c r="AJ802" i="10"/>
  <c r="AJ802" i="32"/>
  <c r="AJ793" i="10"/>
  <c r="AJ793" i="32"/>
  <c r="AI824" i="32"/>
  <c r="AK824" i="32"/>
  <c r="AK803" i="32"/>
  <c r="AI803" i="32"/>
  <c r="AJ846" i="10"/>
  <c r="AP846" i="32" s="1"/>
  <c r="AJ884" i="10"/>
  <c r="AP884" i="32" s="1"/>
  <c r="AJ820" i="10"/>
  <c r="AJ820" i="32"/>
  <c r="AJ909" i="10"/>
  <c r="AJ909" i="32"/>
  <c r="AJ900" i="10"/>
  <c r="AJ900" i="32"/>
  <c r="AJ891" i="10"/>
  <c r="AP891" i="32" s="1"/>
  <c r="AJ905" i="10"/>
  <c r="AJ905" i="32"/>
  <c r="AK908" i="32"/>
  <c r="AI908" i="32"/>
  <c r="AI924" i="32"/>
  <c r="AK924" i="32"/>
  <c r="AK973" i="32"/>
  <c r="AI973" i="32"/>
  <c r="AK953" i="32"/>
  <c r="AI953" i="32"/>
  <c r="AJ960" i="10"/>
  <c r="AJ960" i="32"/>
  <c r="AK967" i="32"/>
  <c r="AI967" i="32"/>
  <c r="AI26" i="32"/>
  <c r="AK26" i="32"/>
  <c r="AJ74" i="10"/>
  <c r="AJ74" i="32"/>
  <c r="AK56" i="32"/>
  <c r="AI56" i="32"/>
  <c r="AK84" i="32"/>
  <c r="AI84" i="32"/>
  <c r="AJ65" i="10"/>
  <c r="AJ65" i="32"/>
  <c r="AJ242" i="10"/>
  <c r="AJ242" i="32"/>
  <c r="AJ246" i="10"/>
  <c r="AJ246" i="32"/>
  <c r="AI252" i="32"/>
  <c r="AK252" i="32"/>
  <c r="AJ283" i="10"/>
  <c r="AJ283" i="32"/>
  <c r="AJ237" i="10"/>
  <c r="AJ237" i="32"/>
  <c r="Q133" i="24" s="1"/>
  <c r="W133" i="12" s="1"/>
  <c r="AJ232" i="10"/>
  <c r="AP232" i="32" s="1"/>
  <c r="AI270" i="32"/>
  <c r="AK270" i="32"/>
  <c r="AJ287" i="10"/>
  <c r="AJ287" i="32"/>
  <c r="AK670" i="32"/>
  <c r="AI670" i="32"/>
  <c r="AI700" i="32"/>
  <c r="AK700" i="32"/>
  <c r="AK707" i="32"/>
  <c r="AI707" i="32"/>
  <c r="AJ685" i="10"/>
  <c r="AJ685" i="32"/>
  <c r="AJ728" i="10"/>
  <c r="AJ728" i="32"/>
  <c r="AJ698" i="10"/>
  <c r="AJ698" i="32"/>
  <c r="AJ679" i="10"/>
  <c r="AJ679" i="32"/>
  <c r="AJ744" i="10"/>
  <c r="AP744" i="32" s="1"/>
  <c r="AJ744" i="32"/>
  <c r="AJ759" i="10"/>
  <c r="AJ759" i="32"/>
  <c r="AK731" i="32"/>
  <c r="AI731" i="32"/>
  <c r="AJ752" i="10"/>
  <c r="AJ752" i="32"/>
  <c r="AK786" i="32"/>
  <c r="AI786" i="32"/>
  <c r="AJ741" i="10"/>
  <c r="AJ741" i="32"/>
  <c r="AI779" i="32"/>
  <c r="AK779" i="32"/>
  <c r="AJ546" i="10"/>
  <c r="AJ546" i="32"/>
  <c r="AJ616" i="10"/>
  <c r="AJ616" i="32"/>
  <c r="AJ600" i="10"/>
  <c r="AP600" i="32" s="1"/>
  <c r="AJ600" i="32"/>
  <c r="AJ815" i="10"/>
  <c r="AJ815" i="32"/>
  <c r="AJ880" i="10"/>
  <c r="AP880" i="32" s="1"/>
  <c r="AJ963" i="10"/>
  <c r="AJ963" i="32"/>
  <c r="AJ44" i="10"/>
  <c r="AJ44" i="32"/>
  <c r="AJ254" i="10"/>
  <c r="AJ666" i="10"/>
  <c r="AJ666" i="32"/>
  <c r="AI780" i="32"/>
  <c r="AK780" i="32"/>
  <c r="AK110" i="32"/>
  <c r="AI110" i="32"/>
  <c r="AJ99" i="10"/>
  <c r="AJ99" i="32"/>
  <c r="AJ171" i="10"/>
  <c r="AJ171" i="32"/>
  <c r="AI213" i="32"/>
  <c r="AK213" i="32"/>
  <c r="AI379" i="32"/>
  <c r="AK379" i="32"/>
  <c r="AJ397" i="10"/>
  <c r="AJ397" i="32"/>
  <c r="AI393" i="32"/>
  <c r="AK393" i="32"/>
  <c r="AI528" i="32"/>
  <c r="AK528" i="32"/>
  <c r="AI516" i="32"/>
  <c r="AK516" i="32"/>
  <c r="AI596" i="32"/>
  <c r="AK596" i="32"/>
  <c r="AK795" i="32"/>
  <c r="AI795" i="32"/>
  <c r="AJ938" i="10"/>
  <c r="AJ938" i="32"/>
  <c r="AK911" i="32"/>
  <c r="AI911" i="32"/>
  <c r="AJ41" i="10"/>
  <c r="AJ41" i="32"/>
  <c r="AI281" i="32"/>
  <c r="AK281" i="32"/>
  <c r="AJ241" i="10"/>
  <c r="AJ241" i="32"/>
  <c r="AJ667" i="10"/>
  <c r="AJ667" i="32"/>
  <c r="AJ772" i="10"/>
  <c r="AJ772" i="32"/>
  <c r="AI131" i="32"/>
  <c r="AK131" i="32"/>
  <c r="AJ298" i="10"/>
  <c r="AJ370" i="10"/>
  <c r="AI400" i="32"/>
  <c r="AK400" i="32"/>
  <c r="AI455" i="32"/>
  <c r="AK455" i="32"/>
  <c r="AJ523" i="10"/>
  <c r="AJ529" i="10"/>
  <c r="AP529" i="32" s="1"/>
  <c r="AJ529" i="32"/>
  <c r="AI603" i="32"/>
  <c r="AK603" i="32"/>
  <c r="AJ808" i="10"/>
  <c r="AJ808" i="32"/>
  <c r="AJ954" i="10"/>
  <c r="AJ954" i="32"/>
  <c r="AJ920" i="10"/>
  <c r="AJ920" i="32"/>
  <c r="AI28" i="32"/>
  <c r="AK28" i="32"/>
  <c r="AJ259" i="10"/>
  <c r="AI249" i="32"/>
  <c r="AK249" i="32"/>
  <c r="AJ724" i="10"/>
  <c r="AJ733" i="10"/>
  <c r="AJ733" i="32"/>
  <c r="AK109" i="32"/>
  <c r="AI109" i="32"/>
  <c r="AJ102" i="10"/>
  <c r="AJ102" i="32"/>
  <c r="AJ190" i="10"/>
  <c r="AJ190" i="32"/>
  <c r="AK300" i="32"/>
  <c r="AI300" i="32"/>
  <c r="AJ318" i="10"/>
  <c r="AJ318" i="32"/>
  <c r="AI351" i="32"/>
  <c r="AK351" i="32"/>
  <c r="AJ442" i="10"/>
  <c r="AJ442" i="32"/>
  <c r="AJ484" i="10"/>
  <c r="AJ484" i="32"/>
  <c r="AJ563" i="10"/>
  <c r="AI579" i="32"/>
  <c r="AK579" i="32"/>
  <c r="AK646" i="32"/>
  <c r="AI646" i="32"/>
  <c r="AI641" i="32"/>
  <c r="AK641" i="32"/>
  <c r="AI812" i="32"/>
  <c r="AK812" i="32"/>
  <c r="AK965" i="32"/>
  <c r="AI965" i="32"/>
  <c r="AK929" i="32"/>
  <c r="AI929" i="32"/>
  <c r="AJ49" i="10"/>
  <c r="AJ49" i="32"/>
  <c r="AI225" i="32"/>
  <c r="AK225" i="32"/>
  <c r="AI285" i="32"/>
  <c r="AK285" i="32"/>
  <c r="AJ692" i="10"/>
  <c r="AJ692" i="32"/>
  <c r="AJ776" i="10"/>
  <c r="AJ776" i="32"/>
  <c r="AK106" i="32"/>
  <c r="AI106" i="32"/>
  <c r="AK105" i="32"/>
  <c r="AI105" i="32"/>
  <c r="AI143" i="32"/>
  <c r="AK143" i="32"/>
  <c r="AJ307" i="10"/>
  <c r="AJ307" i="32"/>
  <c r="AI387" i="32"/>
  <c r="AK387" i="32"/>
  <c r="AJ378" i="10"/>
  <c r="AJ418" i="10"/>
  <c r="AJ418" i="32"/>
  <c r="AI466" i="32"/>
  <c r="AK466" i="32"/>
  <c r="AI568" i="32"/>
  <c r="AK568" i="32"/>
  <c r="AJ564" i="10"/>
  <c r="AJ836" i="10"/>
  <c r="AP836" i="32" s="1"/>
  <c r="AI825" i="32"/>
  <c r="AK825" i="32"/>
  <c r="AJ966" i="10"/>
  <c r="AP966" i="32" s="1"/>
  <c r="AJ966" i="32"/>
  <c r="AK100" i="32"/>
  <c r="AI100" i="32"/>
  <c r="AI260" i="32"/>
  <c r="AK260" i="32"/>
  <c r="AJ675" i="10"/>
  <c r="AJ675" i="32"/>
  <c r="AJ696" i="10"/>
  <c r="AJ743" i="10"/>
  <c r="AJ743" i="32"/>
  <c r="AJ199" i="10"/>
  <c r="AJ199" i="32"/>
  <c r="AK65" i="32"/>
  <c r="AI65" i="32"/>
  <c r="AI154" i="32"/>
  <c r="AK154" i="32"/>
  <c r="AK104" i="32"/>
  <c r="AI104" i="32"/>
  <c r="AJ79" i="10"/>
  <c r="AJ79" i="32"/>
  <c r="AJ73" i="10"/>
  <c r="AJ73" i="32"/>
  <c r="AI138" i="32"/>
  <c r="AK138" i="32"/>
  <c r="AI128" i="32"/>
  <c r="AK128" i="32"/>
  <c r="AI172" i="32"/>
  <c r="AK172" i="32"/>
  <c r="AJ110" i="10"/>
  <c r="AJ110" i="32"/>
  <c r="AI195" i="32"/>
  <c r="AK195" i="32"/>
  <c r="AI170" i="32"/>
  <c r="AK170" i="32"/>
  <c r="AJ177" i="10"/>
  <c r="AJ177" i="32"/>
  <c r="AJ147" i="10"/>
  <c r="AI168" i="32"/>
  <c r="AK168" i="32"/>
  <c r="AJ186" i="10"/>
  <c r="AJ186" i="32"/>
  <c r="AJ316" i="10"/>
  <c r="AJ316" i="32"/>
  <c r="AI327" i="32"/>
  <c r="AK327" i="32"/>
  <c r="AI359" i="32"/>
  <c r="AK359" i="32"/>
  <c r="AI216" i="32"/>
  <c r="AK216" i="32"/>
  <c r="AI194" i="32"/>
  <c r="AK194" i="32"/>
  <c r="AJ217" i="10"/>
  <c r="AJ217" i="32"/>
  <c r="AJ356" i="10"/>
  <c r="AJ356" i="32"/>
  <c r="AJ353" i="10"/>
  <c r="AJ353" i="32"/>
  <c r="AI419" i="32"/>
  <c r="AK419" i="32"/>
  <c r="AJ357" i="10"/>
  <c r="AJ357" i="32"/>
  <c r="AJ335" i="10"/>
  <c r="AJ335" i="32"/>
  <c r="AI383" i="32"/>
  <c r="AK383" i="32"/>
  <c r="AJ374" i="10"/>
  <c r="AI352" i="32"/>
  <c r="AK352" i="32"/>
  <c r="AI390" i="32"/>
  <c r="AK390" i="32"/>
  <c r="AJ451" i="10"/>
  <c r="AJ451" i="32"/>
  <c r="AI487" i="32"/>
  <c r="AK487" i="32"/>
  <c r="AI474" i="32"/>
  <c r="AK474" i="32"/>
  <c r="AI414" i="32"/>
  <c r="AK414" i="32"/>
  <c r="AI515" i="32"/>
  <c r="AK515" i="32"/>
  <c r="AI437" i="32"/>
  <c r="AK437" i="32"/>
  <c r="AJ472" i="10"/>
  <c r="AJ472" i="32"/>
  <c r="AI441" i="32"/>
  <c r="AK441" i="32"/>
  <c r="AJ497" i="10"/>
  <c r="AJ497" i="32"/>
  <c r="AI491" i="32"/>
  <c r="AK491" i="32"/>
  <c r="AJ482" i="10"/>
  <c r="AJ482" i="32"/>
  <c r="AI498" i="32"/>
  <c r="AK498" i="32"/>
  <c r="AI476" i="32"/>
  <c r="AK476" i="32"/>
  <c r="AI486" i="32"/>
  <c r="AK486" i="32"/>
  <c r="AI576" i="32"/>
  <c r="AK576" i="32"/>
  <c r="AJ635" i="10"/>
  <c r="AJ635" i="32"/>
  <c r="AJ500" i="10"/>
  <c r="AJ510" i="10"/>
  <c r="AJ510" i="32"/>
  <c r="AI590" i="32"/>
  <c r="AK590" i="32"/>
  <c r="AJ602" i="10"/>
  <c r="AJ602" i="32"/>
  <c r="AI570" i="32"/>
  <c r="AK570" i="32"/>
  <c r="AI583" i="32"/>
  <c r="AK583" i="32"/>
  <c r="AJ609" i="10"/>
  <c r="AJ609" i="32"/>
  <c r="AJ646" i="10"/>
  <c r="AJ646" i="32"/>
  <c r="AJ550" i="10"/>
  <c r="AJ550" i="32"/>
  <c r="AI653" i="32"/>
  <c r="AK653" i="32"/>
  <c r="AI798" i="32"/>
  <c r="AK798" i="32"/>
  <c r="AK644" i="32"/>
  <c r="AI644" i="32"/>
  <c r="AK805" i="32"/>
  <c r="AI805" i="32"/>
  <c r="AJ796" i="10"/>
  <c r="AJ796" i="32"/>
  <c r="AJ816" i="10"/>
  <c r="AJ816" i="32"/>
  <c r="AJ854" i="10"/>
  <c r="AJ847" i="10"/>
  <c r="AP847" i="32" s="1"/>
  <c r="AJ827" i="10"/>
  <c r="AJ899" i="10"/>
  <c r="AJ899" i="32"/>
  <c r="AK903" i="32"/>
  <c r="AI903" i="32"/>
  <c r="AK916" i="32"/>
  <c r="AI916" i="32"/>
  <c r="AJ919" i="10"/>
  <c r="AJ919" i="32"/>
  <c r="AJ917" i="10"/>
  <c r="AJ917" i="32"/>
  <c r="AJ931" i="10"/>
  <c r="AJ931" i="32"/>
  <c r="AJ980" i="10"/>
  <c r="AJ962" i="10"/>
  <c r="AJ962" i="32"/>
  <c r="AK969" i="32"/>
  <c r="AI969" i="32"/>
  <c r="AJ974" i="10"/>
  <c r="AP974" i="32" s="1"/>
  <c r="AJ974" i="32"/>
  <c r="AK55" i="32"/>
  <c r="AI55" i="32"/>
  <c r="AJ64" i="10"/>
  <c r="AJ64" i="32"/>
  <c r="AK52" i="32"/>
  <c r="AI52" i="32"/>
  <c r="AJ77" i="10"/>
  <c r="AJ77" i="32"/>
  <c r="AJ23" i="10"/>
  <c r="AJ23" i="32"/>
  <c r="AJ15" i="10"/>
  <c r="AJ15" i="32"/>
  <c r="AI258" i="32"/>
  <c r="AK258" i="32"/>
  <c r="AJ266" i="10"/>
  <c r="AJ266" i="32"/>
  <c r="AI257" i="32"/>
  <c r="AK257" i="32"/>
  <c r="AJ277" i="10"/>
  <c r="AJ277" i="32"/>
  <c r="AJ264" i="10"/>
  <c r="AJ264" i="32"/>
  <c r="AJ231" i="10"/>
  <c r="AP231" i="32" s="1"/>
  <c r="AI283" i="32"/>
  <c r="AK283" i="32"/>
  <c r="AJ270" i="10"/>
  <c r="AJ270" i="32"/>
  <c r="AK703" i="32"/>
  <c r="AI703" i="32"/>
  <c r="AI671" i="32"/>
  <c r="AK671" i="32"/>
  <c r="AJ729" i="10"/>
  <c r="AJ729" i="32"/>
  <c r="AJ683" i="10"/>
  <c r="AJ683" i="32"/>
  <c r="AJ691" i="10"/>
  <c r="AJ691" i="32"/>
  <c r="AJ713" i="10"/>
  <c r="AI764" i="32"/>
  <c r="AK764" i="32"/>
  <c r="AJ778" i="10"/>
  <c r="AP778" i="32" s="1"/>
  <c r="AJ778" i="32"/>
  <c r="AJ757" i="10"/>
  <c r="AJ757" i="32"/>
  <c r="AJ777" i="10"/>
  <c r="AJ777" i="32"/>
  <c r="AK744" i="32"/>
  <c r="AI744" i="32"/>
  <c r="AJ782" i="10"/>
  <c r="AJ782" i="32"/>
  <c r="AK750" i="32"/>
  <c r="AI750" i="32"/>
  <c r="AJ486" i="10"/>
  <c r="AJ486" i="32"/>
  <c r="AJ513" i="10"/>
  <c r="AJ513" i="32"/>
  <c r="AJ807" i="10"/>
  <c r="AJ807" i="32"/>
  <c r="AJ852" i="10"/>
  <c r="AP852" i="32" s="1"/>
  <c r="AJ878" i="10"/>
  <c r="AP878" i="32" s="1"/>
  <c r="AI930" i="32"/>
  <c r="AK930" i="32"/>
  <c r="AJ922" i="10"/>
  <c r="AJ922" i="32"/>
  <c r="AI38" i="32"/>
  <c r="AK38" i="32"/>
  <c r="AJ274" i="10"/>
  <c r="AJ274" i="32"/>
  <c r="AI675" i="32"/>
  <c r="AK675" i="32"/>
  <c r="AJ747" i="10"/>
  <c r="AJ747" i="32"/>
  <c r="AJ134" i="10"/>
  <c r="AJ134" i="32"/>
  <c r="AI299" i="32"/>
  <c r="AK299" i="32"/>
  <c r="AJ196" i="10"/>
  <c r="AJ196" i="32"/>
  <c r="AJ375" i="10"/>
  <c r="AJ332" i="10"/>
  <c r="AJ332" i="32"/>
  <c r="AJ426" i="10"/>
  <c r="AJ426" i="32"/>
  <c r="AJ454" i="10"/>
  <c r="AJ454" i="32"/>
  <c r="AI512" i="32"/>
  <c r="AK512" i="32"/>
  <c r="AI543" i="32"/>
  <c r="AK543" i="32"/>
  <c r="AJ539" i="10"/>
  <c r="AJ539" i="32"/>
  <c r="AJ867" i="10"/>
  <c r="AP867" i="32" s="1"/>
  <c r="AI800" i="32"/>
  <c r="AK800" i="32"/>
  <c r="AK941" i="32"/>
  <c r="AI941" i="32"/>
  <c r="AJ35" i="10"/>
  <c r="AJ35" i="32"/>
  <c r="AJ275" i="10"/>
  <c r="Q151" i="24"/>
  <c r="W151" i="12" s="1"/>
  <c r="AJ244" i="10"/>
  <c r="AJ244" i="32"/>
  <c r="AI753" i="32"/>
  <c r="AK753" i="32"/>
  <c r="AJ779" i="10"/>
  <c r="AJ779" i="32"/>
  <c r="AK89" i="32"/>
  <c r="AI89" i="32"/>
  <c r="AJ124" i="10"/>
  <c r="AJ124" i="32"/>
  <c r="AI199" i="32"/>
  <c r="AK199" i="32"/>
  <c r="AI305" i="32"/>
  <c r="AK305" i="32"/>
  <c r="AI335" i="32"/>
  <c r="AK335" i="32"/>
  <c r="AJ420" i="10"/>
  <c r="AK452" i="32"/>
  <c r="AI452" i="32"/>
  <c r="AJ501" i="10"/>
  <c r="AJ501" i="32"/>
  <c r="AI549" i="32"/>
  <c r="AK549" i="32"/>
  <c r="AJ794" i="10"/>
  <c r="AJ632" i="10"/>
  <c r="AJ632" i="32"/>
  <c r="AJ803" i="10"/>
  <c r="AJ803" i="32"/>
  <c r="AK99" i="32"/>
  <c r="AI99" i="32"/>
  <c r="AI263" i="32"/>
  <c r="AK263" i="32"/>
  <c r="AI710" i="32"/>
  <c r="AK710" i="32"/>
  <c r="AI757" i="32"/>
  <c r="AK757" i="32"/>
  <c r="AK145" i="32"/>
  <c r="AI145" i="32"/>
  <c r="AJ92" i="10"/>
  <c r="AJ92" i="32"/>
  <c r="AI133" i="32"/>
  <c r="AK133" i="32"/>
  <c r="AI206" i="32"/>
  <c r="AK206" i="32"/>
  <c r="AJ382" i="10"/>
  <c r="AJ382" i="32"/>
  <c r="AI320" i="32"/>
  <c r="AK320" i="32"/>
  <c r="AJ440" i="10"/>
  <c r="AJ440" i="32"/>
  <c r="AJ450" i="10"/>
  <c r="AP450" i="32" s="1"/>
  <c r="AJ450" i="32"/>
  <c r="AJ555" i="10"/>
  <c r="AJ555" i="32"/>
  <c r="AJ647" i="10"/>
  <c r="AI816" i="32"/>
  <c r="AK816" i="32"/>
  <c r="AJ830" i="10"/>
  <c r="AP830" i="32" s="1"/>
  <c r="AK957" i="32"/>
  <c r="AI957" i="32"/>
  <c r="AI16" i="32"/>
  <c r="AK16" i="32"/>
  <c r="AJ272" i="10"/>
  <c r="AJ272" i="32"/>
  <c r="AI693" i="32"/>
  <c r="AK693" i="32"/>
  <c r="AJ704" i="10"/>
  <c r="AJ85" i="10"/>
  <c r="AJ85" i="32"/>
  <c r="AJ146" i="10"/>
  <c r="AJ146" i="32"/>
  <c r="AJ313" i="10"/>
  <c r="AJ313" i="32"/>
  <c r="AI324" i="32"/>
  <c r="AK324" i="32"/>
  <c r="AJ333" i="10"/>
  <c r="AJ333" i="32"/>
  <c r="AJ395" i="10"/>
  <c r="AJ395" i="32"/>
  <c r="AI506" i="32"/>
  <c r="AK506" i="32"/>
  <c r="AJ610" i="10"/>
  <c r="AJ610" i="32"/>
  <c r="AJ828" i="10"/>
  <c r="AP828" i="32" s="1"/>
  <c r="AJ868" i="10"/>
  <c r="AP868" i="32" s="1"/>
  <c r="AK955" i="32"/>
  <c r="AI955" i="32"/>
  <c r="AJ109" i="10"/>
  <c r="AJ109" i="32"/>
  <c r="AI243" i="32"/>
  <c r="AK243" i="32"/>
  <c r="AJ228" i="10"/>
  <c r="AJ228" i="32"/>
  <c r="AJ770" i="10"/>
  <c r="AJ770" i="32"/>
  <c r="AK96" i="32"/>
  <c r="AI96" i="32"/>
  <c r="AK43" i="32"/>
  <c r="AI43" i="32"/>
  <c r="AJ78" i="10"/>
  <c r="AI208" i="32"/>
  <c r="AK208" i="32"/>
  <c r="AJ54" i="10"/>
  <c r="AJ54" i="32"/>
  <c r="AK82" i="32"/>
  <c r="AI82" i="32"/>
  <c r="AK76" i="32"/>
  <c r="AI76" i="32"/>
  <c r="AI141" i="32"/>
  <c r="AK141" i="32"/>
  <c r="AJ141" i="10"/>
  <c r="AJ141" i="32"/>
  <c r="AJ145" i="10"/>
  <c r="AJ145" i="32"/>
  <c r="AK113" i="32"/>
  <c r="AI113" i="32"/>
  <c r="AJ205" i="10"/>
  <c r="AP205" i="32" s="1"/>
  <c r="AJ205" i="32"/>
  <c r="AI191" i="32"/>
  <c r="AK191" i="32"/>
  <c r="AI178" i="32"/>
  <c r="AK178" i="32"/>
  <c r="AI150" i="32"/>
  <c r="AK150" i="32"/>
  <c r="AI296" i="32"/>
  <c r="AK296" i="32"/>
  <c r="AK189" i="32"/>
  <c r="AI189" i="32"/>
  <c r="AJ323" i="10"/>
  <c r="AJ323" i="32"/>
  <c r="AI331" i="32"/>
  <c r="AK331" i="32"/>
  <c r="AJ301" i="10"/>
  <c r="AJ301" i="32"/>
  <c r="AJ207" i="10"/>
  <c r="AJ305" i="10"/>
  <c r="AJ305" i="32"/>
  <c r="AK366" i="32"/>
  <c r="AI366" i="32"/>
  <c r="AI356" i="32"/>
  <c r="AK356" i="32"/>
  <c r="AJ433" i="10"/>
  <c r="AJ433" i="32"/>
  <c r="AI360" i="32"/>
  <c r="AK360" i="32"/>
  <c r="AI404" i="32"/>
  <c r="AK404" i="32"/>
  <c r="AJ365" i="10"/>
  <c r="AJ365" i="32"/>
  <c r="AJ403" i="10"/>
  <c r="AJ403" i="32"/>
  <c r="AI470" i="32"/>
  <c r="AK470" i="32"/>
  <c r="AJ391" i="10"/>
  <c r="AJ391" i="32"/>
  <c r="AJ398" i="10"/>
  <c r="AJ398" i="32"/>
  <c r="AJ427" i="10"/>
  <c r="AP427" i="32" s="1"/>
  <c r="AJ427" i="32"/>
  <c r="AI392" i="32"/>
  <c r="AK392" i="32"/>
  <c r="AI447" i="32"/>
  <c r="AK447" i="32"/>
  <c r="AJ508" i="10"/>
  <c r="AJ508" i="32"/>
  <c r="AJ471" i="10"/>
  <c r="AJ471" i="32"/>
  <c r="AI507" i="32"/>
  <c r="AK507" i="32"/>
  <c r="AJ525" i="10"/>
  <c r="AI485" i="32"/>
  <c r="AK485" i="32"/>
  <c r="AJ512" i="10"/>
  <c r="AJ512" i="32"/>
  <c r="AJ489" i="10"/>
  <c r="AJ489" i="32"/>
  <c r="AJ499" i="10"/>
  <c r="AJ499" i="32"/>
  <c r="AJ509" i="10"/>
  <c r="AJ509" i="32"/>
  <c r="AJ536" i="10"/>
  <c r="AI587" i="32"/>
  <c r="AK587" i="32"/>
  <c r="AI569" i="32"/>
  <c r="AK569" i="32"/>
  <c r="AI503" i="32"/>
  <c r="AK503" i="32"/>
  <c r="AI513" i="32"/>
  <c r="AK513" i="32"/>
  <c r="AJ585" i="10"/>
  <c r="AP585" i="32" s="1"/>
  <c r="AJ585" i="32"/>
  <c r="AJ595" i="10"/>
  <c r="AJ595" i="32"/>
  <c r="AI607" i="32"/>
  <c r="AK607" i="32"/>
  <c r="AJ583" i="10"/>
  <c r="AJ583" i="32"/>
  <c r="AJ596" i="10"/>
  <c r="AJ596" i="32"/>
  <c r="AJ614" i="10"/>
  <c r="AJ614" i="32"/>
  <c r="AJ553" i="10"/>
  <c r="AJ553" i="32"/>
  <c r="AI553" i="32"/>
  <c r="AK553" i="32"/>
  <c r="AJ656" i="10"/>
  <c r="AJ656" i="32"/>
  <c r="AJ811" i="10"/>
  <c r="AJ811" i="32"/>
  <c r="AJ657" i="10"/>
  <c r="AJ657" i="32"/>
  <c r="AI818" i="32"/>
  <c r="AK818" i="32"/>
  <c r="AK799" i="32"/>
  <c r="AI799" i="32"/>
  <c r="AJ825" i="10"/>
  <c r="AJ825" i="32"/>
  <c r="AJ895" i="10"/>
  <c r="AP895" i="32" s="1"/>
  <c r="AK902" i="32"/>
  <c r="AI902" i="32"/>
  <c r="AJ872" i="10"/>
  <c r="AP872" i="32" s="1"/>
  <c r="AJ972" i="10"/>
  <c r="AJ972" i="32"/>
  <c r="AJ923" i="10"/>
  <c r="AJ939" i="10"/>
  <c r="AJ911" i="10"/>
  <c r="AJ911" i="32"/>
  <c r="AK971" i="32"/>
  <c r="AI971" i="32"/>
  <c r="AJ976" i="10"/>
  <c r="AJ58" i="10"/>
  <c r="AJ58" i="32"/>
  <c r="AJ42" i="10"/>
  <c r="AJ42" i="32"/>
  <c r="AI35" i="32"/>
  <c r="AK35" i="32"/>
  <c r="AK41" i="32"/>
  <c r="AI41" i="32"/>
  <c r="AK49" i="32"/>
  <c r="AI49" i="32"/>
  <c r="AK45" i="32"/>
  <c r="AI45" i="32"/>
  <c r="AJ278" i="10"/>
  <c r="AJ278" i="32"/>
  <c r="AJ281" i="10"/>
  <c r="AJ281" i="32"/>
  <c r="AJ225" i="10"/>
  <c r="AJ225" i="32"/>
  <c r="AJ285" i="10"/>
  <c r="AJ285" i="32"/>
  <c r="AJ260" i="10"/>
  <c r="AJ260" i="32"/>
  <c r="AI280" i="32"/>
  <c r="AK280" i="32"/>
  <c r="AI241" i="32"/>
  <c r="AK241" i="32"/>
  <c r="AI679" i="32"/>
  <c r="AK679" i="32"/>
  <c r="AI712" i="32"/>
  <c r="AK712" i="32"/>
  <c r="AK666" i="32"/>
  <c r="AI666" i="32"/>
  <c r="AJ676" i="10"/>
  <c r="AJ676" i="32"/>
  <c r="AJ716" i="10"/>
  <c r="AJ678" i="10"/>
  <c r="AJ678" i="32"/>
  <c r="AJ695" i="10"/>
  <c r="AJ732" i="10"/>
  <c r="AJ732" i="32"/>
  <c r="AI751" i="32"/>
  <c r="AK751" i="32"/>
  <c r="AJ735" i="10"/>
  <c r="AJ735" i="32"/>
  <c r="AI771" i="32"/>
  <c r="AK771" i="32"/>
  <c r="AK766" i="32"/>
  <c r="AI766" i="32"/>
  <c r="AJ768" i="10"/>
  <c r="AP768" i="32" s="1"/>
  <c r="AJ768" i="32"/>
  <c r="AJ775" i="10"/>
  <c r="AJ775" i="32"/>
  <c r="AI488" i="32"/>
  <c r="AK488" i="32"/>
  <c r="AJ502" i="10"/>
  <c r="AJ502" i="32"/>
  <c r="AJ641" i="10"/>
  <c r="AJ641" i="32"/>
  <c r="AI624" i="32"/>
  <c r="AK624" i="32"/>
  <c r="AJ831" i="10"/>
  <c r="AP831" i="32" s="1"/>
  <c r="AJ34" i="10"/>
  <c r="AJ34" i="32"/>
  <c r="AJ271" i="10"/>
  <c r="AJ271" i="32"/>
  <c r="AI730" i="32"/>
  <c r="AK730" i="32"/>
  <c r="AJ773" i="10"/>
  <c r="AJ773" i="32"/>
  <c r="AJ87" i="10"/>
  <c r="AJ87" i="32"/>
  <c r="AJ86" i="10"/>
  <c r="AJ86" i="32"/>
  <c r="AK118" i="32"/>
  <c r="AI118" i="32"/>
  <c r="AI313" i="32"/>
  <c r="AK313" i="32"/>
  <c r="AJ366" i="10"/>
  <c r="AJ366" i="32"/>
  <c r="AI473" i="32"/>
  <c r="AK473" i="32"/>
  <c r="AJ447" i="10"/>
  <c r="AJ447" i="32"/>
  <c r="AJ568" i="10"/>
  <c r="AJ568" i="32"/>
  <c r="AJ618" i="10"/>
  <c r="AJ618" i="32"/>
  <c r="AI615" i="32"/>
  <c r="AK615" i="32"/>
  <c r="AK823" i="32"/>
  <c r="AI823" i="32"/>
  <c r="AJ875" i="10"/>
  <c r="AP875" i="32" s="1"/>
  <c r="AJ936" i="10"/>
  <c r="AJ936" i="32"/>
  <c r="AK931" i="32"/>
  <c r="AI931" i="32"/>
  <c r="AK32" i="32"/>
  <c r="AI32" i="32"/>
  <c r="AK684" i="32"/>
  <c r="AI684" i="32"/>
  <c r="AI739" i="32"/>
  <c r="AK739" i="32"/>
  <c r="AJ69" i="10"/>
  <c r="AJ69" i="32"/>
  <c r="AI188" i="32"/>
  <c r="AK188" i="32"/>
  <c r="AK302" i="32"/>
  <c r="AI302" i="32"/>
  <c r="AI311" i="32"/>
  <c r="AK311" i="32"/>
  <c r="AJ401" i="10"/>
  <c r="AJ401" i="32"/>
  <c r="AJ520" i="10"/>
  <c r="AJ520" i="32"/>
  <c r="AJ491" i="10"/>
  <c r="AJ491" i="32"/>
  <c r="AI585" i="32"/>
  <c r="AK585" i="32"/>
  <c r="AJ624" i="10"/>
  <c r="AJ624" i="32"/>
  <c r="AJ898" i="10"/>
  <c r="AP898" i="32" s="1"/>
  <c r="AK945" i="32"/>
  <c r="AI945" i="32"/>
  <c r="AJ29" i="10"/>
  <c r="AJ29" i="32"/>
  <c r="AJ243" i="10"/>
  <c r="AJ243" i="32"/>
  <c r="AK690" i="32"/>
  <c r="AI690" i="32"/>
  <c r="AJ749" i="10"/>
  <c r="AP749" i="32" s="1"/>
  <c r="AK756" i="32"/>
  <c r="AI756" i="32"/>
  <c r="AJ91" i="10"/>
  <c r="AJ91" i="32"/>
  <c r="AJ148" i="10"/>
  <c r="AJ148" i="32"/>
  <c r="AJ144" i="10"/>
  <c r="AJ144" i="32"/>
  <c r="AI301" i="32"/>
  <c r="AK301" i="32"/>
  <c r="AJ413" i="10"/>
  <c r="AJ413" i="32"/>
  <c r="AI405" i="32"/>
  <c r="AK405" i="32"/>
  <c r="AJ463" i="10"/>
  <c r="AJ463" i="32"/>
  <c r="AI571" i="32"/>
  <c r="AK571" i="32"/>
  <c r="AJ630" i="10"/>
  <c r="AJ630" i="32"/>
  <c r="AK821" i="32"/>
  <c r="AI821" i="32"/>
  <c r="AJ652" i="10"/>
  <c r="AK797" i="32"/>
  <c r="AI797" i="32"/>
  <c r="AK904" i="32"/>
  <c r="AI904" i="32"/>
  <c r="AJ19" i="10"/>
  <c r="AJ19" i="32"/>
  <c r="AI245" i="32"/>
  <c r="AK245" i="32"/>
  <c r="AJ674" i="10"/>
  <c r="AJ674" i="32"/>
  <c r="AI772" i="32"/>
  <c r="AK772" i="32"/>
  <c r="AI33" i="32"/>
  <c r="AK33" i="32"/>
  <c r="AK95" i="32"/>
  <c r="AI95" i="32"/>
  <c r="AI176" i="32"/>
  <c r="AK176" i="32"/>
  <c r="AI215" i="32"/>
  <c r="AK215" i="32"/>
  <c r="AI328" i="32"/>
  <c r="AK328" i="32"/>
  <c r="AI416" i="32"/>
  <c r="AK416" i="32"/>
  <c r="AJ422" i="10"/>
  <c r="AJ422" i="32"/>
  <c r="AI572" i="32"/>
  <c r="AK572" i="32"/>
  <c r="AJ631" i="10"/>
  <c r="AJ631" i="32"/>
  <c r="AI820" i="32"/>
  <c r="AK820" i="32"/>
  <c r="AI809" i="32"/>
  <c r="AK809" i="32"/>
  <c r="AI826" i="32"/>
  <c r="AK826" i="32"/>
  <c r="AK963" i="32"/>
  <c r="AI963" i="32"/>
  <c r="AJ942" i="10"/>
  <c r="AJ13" i="10"/>
  <c r="AJ13" i="32"/>
  <c r="AJ224" i="10"/>
  <c r="AJ224" i="32"/>
  <c r="AJ682" i="10"/>
  <c r="AJ682" i="32"/>
  <c r="AK778" i="32"/>
  <c r="AI778" i="32"/>
  <c r="AK80" i="32"/>
  <c r="AI80" i="32"/>
  <c r="AJ121" i="10"/>
  <c r="AJ121" i="32"/>
  <c r="AJ56" i="10"/>
  <c r="AJ56" i="32"/>
  <c r="AJ72" i="10"/>
  <c r="AJ72" i="32"/>
  <c r="AK57" i="32"/>
  <c r="AI57" i="32"/>
  <c r="AJ95" i="10"/>
  <c r="AJ95" i="32"/>
  <c r="AJ89" i="10"/>
  <c r="AJ89" i="32"/>
  <c r="AI157" i="32"/>
  <c r="AK157" i="32"/>
  <c r="AI144" i="32"/>
  <c r="AK144" i="32"/>
  <c r="AI148" i="32"/>
  <c r="AK148" i="32"/>
  <c r="AJ123" i="10"/>
  <c r="AJ123" i="32"/>
  <c r="AJ215" i="10"/>
  <c r="AJ215" i="32"/>
  <c r="AJ118" i="10"/>
  <c r="AJ118" i="32"/>
  <c r="AI186" i="32"/>
  <c r="AK186" i="32"/>
  <c r="AJ163" i="10"/>
  <c r="AJ163" i="32"/>
  <c r="AJ202" i="10"/>
  <c r="AJ202" i="32"/>
  <c r="AJ331" i="10"/>
  <c r="AJ331" i="32"/>
  <c r="AJ355" i="10"/>
  <c r="AJ355" i="32"/>
  <c r="AJ184" i="10"/>
  <c r="AJ184" i="32"/>
  <c r="AI304" i="32"/>
  <c r="AK304" i="32"/>
  <c r="AI210" i="32"/>
  <c r="AK210" i="32"/>
  <c r="AK308" i="32"/>
  <c r="AI308" i="32"/>
  <c r="AJ372" i="10"/>
  <c r="AJ369" i="10"/>
  <c r="AJ369" i="32"/>
  <c r="AI435" i="32"/>
  <c r="AK435" i="32"/>
  <c r="AJ373" i="10"/>
  <c r="AJ351" i="10"/>
  <c r="AJ351" i="32"/>
  <c r="AJ412" i="10"/>
  <c r="AJ412" i="32"/>
  <c r="AI368" i="32"/>
  <c r="AK368" i="32"/>
  <c r="AI406" i="32"/>
  <c r="AK406" i="32"/>
  <c r="AJ487" i="10"/>
  <c r="AJ487" i="32"/>
  <c r="AI394" i="32"/>
  <c r="AK394" i="32"/>
  <c r="AI401" i="32"/>
  <c r="AK401" i="32"/>
  <c r="AI430" i="32"/>
  <c r="AK430" i="32"/>
  <c r="AJ405" i="10"/>
  <c r="AJ405" i="32"/>
  <c r="AJ455" i="10"/>
  <c r="AJ455" i="32"/>
  <c r="AJ409" i="10"/>
  <c r="AP409" i="32" s="1"/>
  <c r="AJ409" i="32"/>
  <c r="AI445" i="32"/>
  <c r="AK445" i="32"/>
  <c r="AI520" i="32"/>
  <c r="AK520" i="32"/>
  <c r="AI530" i="32"/>
  <c r="AK530" i="32"/>
  <c r="AJ498" i="10"/>
  <c r="AJ498" i="32"/>
  <c r="AJ537" i="10"/>
  <c r="AJ537" i="32"/>
  <c r="AI492" i="32"/>
  <c r="AK492" i="32"/>
  <c r="AI510" i="32"/>
  <c r="AK510" i="32"/>
  <c r="AJ532" i="10"/>
  <c r="AJ532" i="32"/>
  <c r="AI541" i="32"/>
  <c r="AK541" i="32"/>
  <c r="AI502" i="32"/>
  <c r="AK502" i="32"/>
  <c r="AJ570" i="10"/>
  <c r="AJ570" i="32"/>
  <c r="AJ516" i="10"/>
  <c r="AJ516" i="32"/>
  <c r="AJ526" i="10"/>
  <c r="AJ526" i="32"/>
  <c r="AI588" i="32"/>
  <c r="AK588" i="32"/>
  <c r="AI598" i="32"/>
  <c r="AK598" i="32"/>
  <c r="AI612" i="32"/>
  <c r="AK612" i="32"/>
  <c r="AI586" i="32"/>
  <c r="AK586" i="32"/>
  <c r="AI599" i="32"/>
  <c r="AK599" i="32"/>
  <c r="AI621" i="32"/>
  <c r="AK621" i="32"/>
  <c r="AJ562" i="10"/>
  <c r="AJ559" i="10"/>
  <c r="AK807" i="32"/>
  <c r="AI807" i="32"/>
  <c r="AJ798" i="10"/>
  <c r="AJ798" i="32"/>
  <c r="AI814" i="32"/>
  <c r="AK814" i="32"/>
  <c r="AJ805" i="10"/>
  <c r="AJ805" i="32"/>
  <c r="AJ823" i="10"/>
  <c r="AJ823" i="32"/>
  <c r="AJ812" i="10"/>
  <c r="AJ812" i="32"/>
  <c r="AI604" i="32"/>
  <c r="AK604" i="32"/>
  <c r="AJ859" i="10"/>
  <c r="AP859" i="32" s="1"/>
  <c r="AJ853" i="10"/>
  <c r="AP853" i="32" s="1"/>
  <c r="AJ857" i="10"/>
  <c r="AP857" i="32" s="1"/>
  <c r="AJ874" i="10"/>
  <c r="AP874" i="32" s="1"/>
  <c r="AJ908" i="10"/>
  <c r="AJ908" i="32"/>
  <c r="AJ897" i="10"/>
  <c r="AI938" i="32"/>
  <c r="AK938" i="32"/>
  <c r="AI940" i="32"/>
  <c r="AK940" i="32"/>
  <c r="AI936" i="32"/>
  <c r="AK936" i="32"/>
  <c r="AJ941" i="10"/>
  <c r="AJ941" i="32"/>
  <c r="AI948" i="32"/>
  <c r="AK948" i="32"/>
  <c r="AI922" i="32"/>
  <c r="AK922" i="32"/>
  <c r="AJ978" i="10"/>
  <c r="AK918" i="32"/>
  <c r="AI918" i="32"/>
  <c r="AI29" i="32"/>
  <c r="AK29" i="32"/>
  <c r="AJ32" i="10"/>
  <c r="AJ32" i="32"/>
  <c r="AJ38" i="10"/>
  <c r="AJ38" i="32"/>
  <c r="AI31" i="32"/>
  <c r="AK31" i="32"/>
  <c r="AI272" i="32"/>
  <c r="AK272" i="32"/>
  <c r="AI227" i="32"/>
  <c r="AK227" i="32"/>
  <c r="AJ236" i="10"/>
  <c r="AJ280" i="10"/>
  <c r="AJ280" i="32"/>
  <c r="AJ258" i="10"/>
  <c r="AJ258" i="32"/>
  <c r="AI250" i="32"/>
  <c r="AK250" i="32"/>
  <c r="AK290" i="32"/>
  <c r="AI290" i="32"/>
  <c r="AI224" i="32"/>
  <c r="AK224" i="32"/>
  <c r="AI706" i="32"/>
  <c r="AK706" i="32"/>
  <c r="AK729" i="32"/>
  <c r="AI729" i="32"/>
  <c r="AK725" i="32"/>
  <c r="AI725" i="32"/>
  <c r="AI722" i="32"/>
  <c r="AK722" i="32"/>
  <c r="AJ668" i="10"/>
  <c r="AJ668" i="32"/>
  <c r="AJ720" i="10"/>
  <c r="AJ680" i="10"/>
  <c r="AJ680" i="32"/>
  <c r="AJ723" i="10"/>
  <c r="AI759" i="32"/>
  <c r="AK759" i="32"/>
  <c r="AJ751" i="10"/>
  <c r="AJ751" i="32"/>
  <c r="AI745" i="32"/>
  <c r="AK745" i="32"/>
  <c r="AJ769" i="10"/>
  <c r="AJ769" i="32"/>
  <c r="AJ762" i="10"/>
  <c r="AJ762" i="32"/>
  <c r="AJ783" i="10"/>
  <c r="AJ783" i="32"/>
  <c r="AJ584" i="10"/>
  <c r="AJ538" i="10"/>
  <c r="AJ538" i="32"/>
  <c r="AJ593" i="32"/>
  <c r="AJ865" i="10"/>
  <c r="AP865" i="32" s="1"/>
  <c r="AJ928" i="10"/>
  <c r="AK907" i="32"/>
  <c r="AI907" i="32"/>
  <c r="AJ227" i="10"/>
  <c r="AJ227" i="32"/>
  <c r="AI669" i="32"/>
  <c r="AK669" i="32"/>
  <c r="AJ712" i="10"/>
  <c r="AJ712" i="32"/>
  <c r="AI736" i="32"/>
  <c r="AK736" i="32"/>
  <c r="AK60" i="32"/>
  <c r="AI60" i="32"/>
  <c r="AJ183" i="10"/>
  <c r="AJ183" i="32"/>
  <c r="AJ299" i="10"/>
  <c r="AJ299" i="32"/>
  <c r="AJ308" i="10"/>
  <c r="AJ308" i="32"/>
  <c r="AJ384" i="10"/>
  <c r="AJ384" i="32"/>
  <c r="AJ424" i="10"/>
  <c r="AJ424" i="32"/>
  <c r="AI555" i="32"/>
  <c r="AK555" i="32"/>
  <c r="AJ554" i="10"/>
  <c r="AJ582" i="10"/>
  <c r="AJ582" i="32"/>
  <c r="AI637" i="32"/>
  <c r="AK637" i="32"/>
  <c r="AI625" i="32"/>
  <c r="AK625" i="32"/>
  <c r="AI796" i="32"/>
  <c r="AK796" i="32"/>
  <c r="AJ979" i="10"/>
  <c r="AJ916" i="10"/>
  <c r="AJ916" i="32"/>
  <c r="AI271" i="32"/>
  <c r="AK271" i="32"/>
  <c r="AJ669" i="10"/>
  <c r="AJ669" i="32"/>
  <c r="AJ734" i="10"/>
  <c r="AJ734" i="32"/>
  <c r="AI124" i="32"/>
  <c r="AK124" i="32"/>
  <c r="AK79" i="32"/>
  <c r="AI79" i="32"/>
  <c r="AI315" i="32"/>
  <c r="AK315" i="32"/>
  <c r="AJ297" i="10"/>
  <c r="AJ297" i="32"/>
  <c r="AI389" i="32"/>
  <c r="AK389" i="32"/>
  <c r="AI427" i="32"/>
  <c r="AK427" i="32"/>
  <c r="AJ518" i="10"/>
  <c r="AJ628" i="10"/>
  <c r="AJ628" i="32"/>
  <c r="AJ817" i="10"/>
  <c r="AJ817" i="32"/>
  <c r="AI639" i="32"/>
  <c r="AK639" i="32"/>
  <c r="AK906" i="32"/>
  <c r="AI906" i="32"/>
  <c r="AJ950" i="10"/>
  <c r="AP950" i="32" s="1"/>
  <c r="AJ950" i="32"/>
  <c r="AK925" i="32"/>
  <c r="AI925" i="32"/>
  <c r="AJ286" i="10"/>
  <c r="AJ286" i="32"/>
  <c r="AK688" i="32"/>
  <c r="AI688" i="32"/>
  <c r="AJ703" i="10"/>
  <c r="AJ703" i="32"/>
  <c r="AK768" i="32"/>
  <c r="AI768" i="32"/>
  <c r="AK68" i="32"/>
  <c r="AI68" i="32"/>
  <c r="AI129" i="32"/>
  <c r="AK129" i="32"/>
  <c r="AI127" i="32"/>
  <c r="AK127" i="32"/>
  <c r="AI184" i="32"/>
  <c r="AK184" i="32"/>
  <c r="AJ325" i="10"/>
  <c r="AJ325" i="32"/>
  <c r="AI423" i="32"/>
  <c r="AK423" i="32"/>
  <c r="AJ465" i="10"/>
  <c r="AJ465" i="32"/>
  <c r="AJ561" i="10"/>
  <c r="AJ598" i="10"/>
  <c r="AJ598" i="32"/>
  <c r="AJ810" i="10"/>
  <c r="AJ810" i="32"/>
  <c r="AJ806" i="10"/>
  <c r="AJ806" i="32"/>
  <c r="AK914" i="32"/>
  <c r="AI914" i="32"/>
  <c r="AK961" i="32"/>
  <c r="AI961" i="32"/>
  <c r="AJ940" i="10"/>
  <c r="AJ940" i="32"/>
  <c r="AI278" i="32"/>
  <c r="AK278" i="32"/>
  <c r="AK674" i="32"/>
  <c r="AI674" i="32"/>
  <c r="AI746" i="32"/>
  <c r="AK746" i="32"/>
  <c r="AK774" i="32"/>
  <c r="AI774" i="32"/>
  <c r="AK40" i="32"/>
  <c r="AI40" i="32"/>
  <c r="AK54" i="32"/>
  <c r="AI54" i="32"/>
  <c r="AJ303" i="10"/>
  <c r="AJ303" i="32"/>
  <c r="AJ336" i="10"/>
  <c r="AJ336" i="32"/>
  <c r="AJ314" i="10"/>
  <c r="AJ314" i="32"/>
  <c r="AJ364" i="10"/>
  <c r="AJ364" i="32"/>
  <c r="AI443" i="32"/>
  <c r="AK443" i="32"/>
  <c r="AI453" i="32"/>
  <c r="AK453" i="32"/>
  <c r="AJ505" i="10"/>
  <c r="AJ505" i="32"/>
  <c r="AJ640" i="10"/>
  <c r="AJ804" i="10"/>
  <c r="AJ804" i="32"/>
  <c r="AJ968" i="10"/>
  <c r="AJ968" i="32"/>
  <c r="AK42" i="32"/>
  <c r="AI42" i="32"/>
  <c r="AI266" i="32"/>
  <c r="AK266" i="32"/>
  <c r="AJ261" i="10"/>
  <c r="AJ705" i="10"/>
  <c r="AK770" i="32"/>
  <c r="AI770" i="32"/>
  <c r="AJ763" i="10"/>
  <c r="AJ763" i="32"/>
  <c r="AJ736" i="10"/>
  <c r="AJ736" i="32"/>
  <c r="AJ21" i="10"/>
  <c r="AJ21" i="32"/>
  <c r="AJ40" i="10"/>
  <c r="AJ40" i="32"/>
  <c r="AI125" i="32"/>
  <c r="AK125" i="32"/>
  <c r="AK59" i="32"/>
  <c r="AI59" i="32"/>
  <c r="AJ94" i="10"/>
  <c r="AJ94" i="32"/>
  <c r="AK75" i="32"/>
  <c r="AI75" i="32"/>
  <c r="AJ66" i="10"/>
  <c r="AJ66" i="32"/>
  <c r="AK98" i="32"/>
  <c r="AI98" i="32"/>
  <c r="AK92" i="32"/>
  <c r="AI92" i="32"/>
  <c r="AI193" i="32"/>
  <c r="AK193" i="32"/>
  <c r="AJ157" i="10"/>
  <c r="AJ157" i="32"/>
  <c r="AJ161" i="10"/>
  <c r="AJ161" i="32"/>
  <c r="AI126" i="32"/>
  <c r="AK126" i="32"/>
  <c r="AI120" i="32"/>
  <c r="AK120" i="32"/>
  <c r="AJ127" i="10"/>
  <c r="AJ127" i="32"/>
  <c r="AJ320" i="10"/>
  <c r="AJ320" i="32"/>
  <c r="AJ168" i="10"/>
  <c r="AJ168" i="32"/>
  <c r="AJ328" i="10"/>
  <c r="AJ328" i="32"/>
  <c r="AI205" i="32"/>
  <c r="AK205" i="32"/>
  <c r="AJ339" i="10"/>
  <c r="AJ363" i="10"/>
  <c r="AJ363" i="32"/>
  <c r="AI187" i="32"/>
  <c r="AK187" i="32"/>
  <c r="AJ317" i="10"/>
  <c r="AJ317" i="32"/>
  <c r="AJ295" i="10"/>
  <c r="AJ295" i="32"/>
  <c r="AK329" i="32"/>
  <c r="AI329" i="32"/>
  <c r="AI382" i="32"/>
  <c r="AK382" i="32"/>
  <c r="AJ399" i="10"/>
  <c r="AJ399" i="32"/>
  <c r="AK354" i="32"/>
  <c r="AI354" i="32"/>
  <c r="AJ428" i="10"/>
  <c r="AJ428" i="32"/>
  <c r="AK436" i="32"/>
  <c r="AI436" i="32"/>
  <c r="AJ381" i="10"/>
  <c r="AJ381" i="32"/>
  <c r="AJ419" i="10"/>
  <c r="AJ419" i="32"/>
  <c r="AI527" i="32"/>
  <c r="AK527" i="32"/>
  <c r="AJ407" i="10"/>
  <c r="AJ407" i="32"/>
  <c r="AJ414" i="10"/>
  <c r="AJ414" i="32"/>
  <c r="AJ443" i="10"/>
  <c r="AJ443" i="32"/>
  <c r="AI408" i="32"/>
  <c r="AK408" i="32"/>
  <c r="AI467" i="32"/>
  <c r="AK467" i="32"/>
  <c r="AK412" i="32"/>
  <c r="AI412" i="32"/>
  <c r="AJ458" i="10"/>
  <c r="AJ458" i="32"/>
  <c r="AI526" i="32"/>
  <c r="AK526" i="32"/>
  <c r="AI534" i="32"/>
  <c r="AK534" i="32"/>
  <c r="AJ503" i="10"/>
  <c r="AJ503" i="32"/>
  <c r="AJ541" i="10"/>
  <c r="AJ541" i="32"/>
  <c r="AJ511" i="10"/>
  <c r="AJ511" i="32"/>
  <c r="AJ522" i="10"/>
  <c r="AJ522" i="32"/>
  <c r="AI501" i="32"/>
  <c r="AK501" i="32"/>
  <c r="AI546" i="32"/>
  <c r="AK546" i="32"/>
  <c r="AJ515" i="10"/>
  <c r="AJ515" i="32"/>
  <c r="AJ571" i="10"/>
  <c r="AJ571" i="32"/>
  <c r="AI519" i="32"/>
  <c r="AK519" i="32"/>
  <c r="AI529" i="32"/>
  <c r="AK529" i="32"/>
  <c r="AJ601" i="10"/>
  <c r="AI617" i="32"/>
  <c r="AK617" i="32"/>
  <c r="AI618" i="32"/>
  <c r="AK618" i="32"/>
  <c r="AJ599" i="10"/>
  <c r="AJ599" i="32"/>
  <c r="AJ603" i="10"/>
  <c r="AJ603" i="32"/>
  <c r="AK638" i="32"/>
  <c r="AI638" i="32"/>
  <c r="AI565" i="32"/>
  <c r="AK565" i="32"/>
  <c r="AJ821" i="10"/>
  <c r="AJ821" i="32"/>
  <c r="AI801" i="32"/>
  <c r="AK801" i="32"/>
  <c r="AJ822" i="10"/>
  <c r="AJ822" i="32"/>
  <c r="AI808" i="32"/>
  <c r="AK808" i="32"/>
  <c r="AJ829" i="10"/>
  <c r="AP829" i="32" s="1"/>
  <c r="AK815" i="32"/>
  <c r="AI815" i="32"/>
  <c r="AJ887" i="10"/>
  <c r="AP887" i="32" s="1"/>
  <c r="AJ617" i="10"/>
  <c r="AJ617" i="32"/>
  <c r="AJ876" i="10"/>
  <c r="AP876" i="32" s="1"/>
  <c r="AJ873" i="10"/>
  <c r="AP873" i="32" s="1"/>
  <c r="AI905" i="32"/>
  <c r="AK905" i="32"/>
  <c r="AJ910" i="10"/>
  <c r="AJ910" i="32"/>
  <c r="AJ888" i="10"/>
  <c r="AP888" i="32" s="1"/>
  <c r="AK900" i="32"/>
  <c r="AI900" i="32"/>
  <c r="AI954" i="32"/>
  <c r="AK954" i="32"/>
  <c r="AJ947" i="10"/>
  <c r="AP947" i="32" s="1"/>
  <c r="AJ947" i="32"/>
  <c r="AJ943" i="10"/>
  <c r="AI950" i="32"/>
  <c r="AK950" i="32"/>
  <c r="AJ955" i="10"/>
  <c r="AJ955" i="32"/>
  <c r="AJ929" i="10"/>
  <c r="AJ929" i="32"/>
  <c r="AK920" i="32"/>
  <c r="AI920" i="32"/>
  <c r="AJ925" i="10"/>
  <c r="AJ925" i="32"/>
  <c r="AJ33" i="10"/>
  <c r="AJ33" i="32"/>
  <c r="AJ26" i="10"/>
  <c r="AJ26" i="32"/>
  <c r="AI19" i="32"/>
  <c r="AK19" i="32"/>
  <c r="AI25" i="32"/>
  <c r="AK25" i="32"/>
  <c r="AJ28" i="10"/>
  <c r="AJ28" i="32"/>
  <c r="AI267" i="32"/>
  <c r="AK267" i="32"/>
  <c r="AJ257" i="10"/>
  <c r="AJ257" i="32"/>
  <c r="AJ245" i="10"/>
  <c r="AJ245" i="32"/>
  <c r="AJ288" i="10"/>
  <c r="AJ289" i="10"/>
  <c r="AJ289" i="32"/>
  <c r="AI248" i="32"/>
  <c r="AK248" i="32"/>
  <c r="AJ267" i="10"/>
  <c r="AJ267" i="32"/>
  <c r="AK711" i="32"/>
  <c r="AI711" i="32"/>
  <c r="AK692" i="32"/>
  <c r="AI692" i="32"/>
  <c r="AI683" i="32"/>
  <c r="AK683" i="32"/>
  <c r="AI697" i="32"/>
  <c r="AK697" i="32"/>
  <c r="AJ672" i="10"/>
  <c r="AJ672" i="32"/>
  <c r="AJ721" i="10"/>
  <c r="AJ681" i="10"/>
  <c r="AJ681" i="32"/>
  <c r="AJ677" i="10"/>
  <c r="AJ677" i="32"/>
  <c r="AJ756" i="10"/>
  <c r="AJ756" i="32"/>
  <c r="AJ740" i="10"/>
  <c r="AJ740" i="32"/>
  <c r="AK762" i="32"/>
  <c r="AI762" i="32"/>
  <c r="AI773" i="32"/>
  <c r="AK773" i="32"/>
  <c r="AK748" i="32"/>
  <c r="AI748" i="32"/>
  <c r="AJ780" i="10"/>
  <c r="AJ780" i="32"/>
  <c r="AJ785" i="10"/>
  <c r="AJ785" i="32"/>
  <c r="Z857" i="11"/>
  <c r="AA857" i="11" s="1"/>
  <c r="W857" i="11"/>
  <c r="T857" i="32" s="1"/>
  <c r="Y927" i="11"/>
  <c r="Z927" i="11" s="1"/>
  <c r="AA927" i="11" s="1"/>
  <c r="W927" i="11"/>
  <c r="T927" i="32" s="1"/>
  <c r="Y979" i="11"/>
  <c r="Z979" i="11" s="1"/>
  <c r="AA979" i="11" s="1"/>
  <c r="W979" i="11"/>
  <c r="T979" i="32" s="1"/>
  <c r="Y981" i="11"/>
  <c r="Z981" i="11" s="1"/>
  <c r="AA981" i="11" s="1"/>
  <c r="W981" i="11"/>
  <c r="T981" i="32" s="1"/>
  <c r="Y854" i="11"/>
  <c r="Z854" i="11" s="1"/>
  <c r="AA854" i="11" s="1"/>
  <c r="W854" i="11"/>
  <c r="T854" i="32" s="1"/>
  <c r="Y980" i="11"/>
  <c r="Z980" i="11" s="1"/>
  <c r="AA980" i="11" s="1"/>
  <c r="W980" i="11"/>
  <c r="T980" i="32" s="1"/>
  <c r="Y930" i="11"/>
  <c r="Z930" i="11" s="1"/>
  <c r="AA930" i="11" s="1"/>
  <c r="W930" i="11"/>
  <c r="T930" i="32" s="1"/>
  <c r="Y926" i="11"/>
  <c r="Z926" i="11" s="1"/>
  <c r="AA926" i="11" s="1"/>
  <c r="W926" i="11"/>
  <c r="T926" i="32" s="1"/>
  <c r="Y978" i="11"/>
  <c r="Z978" i="11" s="1"/>
  <c r="AA978" i="11" s="1"/>
  <c r="W978" i="11"/>
  <c r="T978" i="32" s="1"/>
  <c r="Y859" i="11"/>
  <c r="Z859" i="11" s="1"/>
  <c r="AA859" i="11" s="1"/>
  <c r="W859" i="11"/>
  <c r="T859" i="32" s="1"/>
  <c r="Y855" i="11"/>
  <c r="Z855" i="11" s="1"/>
  <c r="AA855" i="11" s="1"/>
  <c r="W855" i="11"/>
  <c r="X855" i="11" s="1"/>
  <c r="Y929" i="11"/>
  <c r="Z929" i="11" s="1"/>
  <c r="AA929" i="11" s="1"/>
  <c r="W929" i="11"/>
  <c r="T929" i="32" s="1"/>
  <c r="Z856" i="11"/>
  <c r="AA856" i="11" s="1"/>
  <c r="W856" i="11"/>
  <c r="T856" i="32" s="1"/>
  <c r="Y858" i="11"/>
  <c r="Z858" i="11" s="1"/>
  <c r="AA858" i="11" s="1"/>
  <c r="W858" i="11"/>
  <c r="T858" i="32" s="1"/>
  <c r="Y931" i="11"/>
  <c r="Z931" i="11" s="1"/>
  <c r="AA931" i="11" s="1"/>
  <c r="W931" i="11"/>
  <c r="T931" i="32" s="1"/>
  <c r="Y928" i="11"/>
  <c r="Z928" i="11" s="1"/>
  <c r="AA928" i="11" s="1"/>
  <c r="W928" i="11"/>
  <c r="T928" i="32" s="1"/>
  <c r="AI58" i="10"/>
  <c r="AK58" i="10"/>
  <c r="AI182" i="10"/>
  <c r="AK182" i="10"/>
  <c r="AI550" i="10"/>
  <c r="AK550" i="10"/>
  <c r="AI882" i="10"/>
  <c r="AK882" i="10"/>
  <c r="AI175" i="10"/>
  <c r="AK175" i="10"/>
  <c r="AI732" i="10"/>
  <c r="AK732" i="10"/>
  <c r="AI77" i="10"/>
  <c r="AK77" i="10"/>
  <c r="AK695" i="10"/>
  <c r="AI695" i="10"/>
  <c r="AI740" i="10"/>
  <c r="AK740" i="10"/>
  <c r="AK87" i="10"/>
  <c r="AI87" i="10"/>
  <c r="AK70" i="10"/>
  <c r="AI70" i="10"/>
  <c r="AK177" i="10"/>
  <c r="AI177" i="10"/>
  <c r="AI388" i="10"/>
  <c r="AK388" i="10"/>
  <c r="AI551" i="10"/>
  <c r="AK551" i="10"/>
  <c r="AI597" i="10"/>
  <c r="AK597" i="10"/>
  <c r="AK236" i="10"/>
  <c r="AI236" i="10"/>
  <c r="AI465" i="10"/>
  <c r="AK465" i="10"/>
  <c r="AI566" i="10"/>
  <c r="AK566" i="10"/>
  <c r="AK609" i="10"/>
  <c r="AI609" i="10"/>
  <c r="AI866" i="10"/>
  <c r="AK866" i="10"/>
  <c r="AI739" i="10"/>
  <c r="AK739" i="10"/>
  <c r="AK50" i="10"/>
  <c r="AI50" i="10"/>
  <c r="AI345" i="10"/>
  <c r="AK345" i="10"/>
  <c r="AK161" i="10"/>
  <c r="AI161" i="10"/>
  <c r="AI192" i="10"/>
  <c r="AK192" i="10"/>
  <c r="AI173" i="10"/>
  <c r="AK173" i="10"/>
  <c r="AK295" i="10"/>
  <c r="AI295" i="10"/>
  <c r="AK217" i="10"/>
  <c r="AI217" i="10"/>
  <c r="AM217" i="10" s="1"/>
  <c r="AI362" i="10"/>
  <c r="AK362" i="10"/>
  <c r="AI353" i="10"/>
  <c r="AK353" i="10"/>
  <c r="AI371" i="10"/>
  <c r="AK371" i="10"/>
  <c r="AK471" i="10"/>
  <c r="AI471" i="10"/>
  <c r="AI413" i="10"/>
  <c r="AK413" i="10"/>
  <c r="AI459" i="10"/>
  <c r="AK459" i="10"/>
  <c r="AI490" i="10"/>
  <c r="AK490" i="10"/>
  <c r="AI411" i="10"/>
  <c r="AK411" i="10"/>
  <c r="AI488" i="10"/>
  <c r="AK488" i="10"/>
  <c r="AI495" i="10"/>
  <c r="AK495" i="10"/>
  <c r="AK500" i="10"/>
  <c r="AI500" i="10"/>
  <c r="AI545" i="10"/>
  <c r="AK545" i="10"/>
  <c r="AI602" i="10"/>
  <c r="AK602" i="10"/>
  <c r="AI610" i="10"/>
  <c r="AK610" i="10"/>
  <c r="AI624" i="10"/>
  <c r="AK624" i="10"/>
  <c r="AK647" i="10"/>
  <c r="AI647" i="10"/>
  <c r="AI623" i="10"/>
  <c r="AK623" i="10"/>
  <c r="AK870" i="10"/>
  <c r="AI870" i="10"/>
  <c r="AI890" i="10"/>
  <c r="AK890" i="10"/>
  <c r="AI930" i="10"/>
  <c r="AM930" i="32" s="1"/>
  <c r="AK930" i="10"/>
  <c r="AI875" i="10"/>
  <c r="AK875" i="10"/>
  <c r="AI980" i="10"/>
  <c r="AK980" i="10"/>
  <c r="AK978" i="10"/>
  <c r="AI978" i="10"/>
  <c r="AK907" i="10"/>
  <c r="AI907" i="10"/>
  <c r="AK23" i="10"/>
  <c r="AI23" i="10"/>
  <c r="AK64" i="10"/>
  <c r="AI64" i="10"/>
  <c r="AI38" i="10"/>
  <c r="AK38" i="10"/>
  <c r="AK223" i="10"/>
  <c r="AI223" i="10"/>
  <c r="AI225" i="10"/>
  <c r="AK225" i="10"/>
  <c r="AK245" i="10"/>
  <c r="AI245" i="10"/>
  <c r="AI278" i="10"/>
  <c r="AK278" i="10"/>
  <c r="AK287" i="10"/>
  <c r="AI287" i="10"/>
  <c r="AI285" i="10"/>
  <c r="AK285" i="10"/>
  <c r="AI710" i="10"/>
  <c r="AK710" i="10"/>
  <c r="AI688" i="10"/>
  <c r="AK688" i="10"/>
  <c r="AK690" i="10"/>
  <c r="AI690" i="10"/>
  <c r="AK757" i="10"/>
  <c r="AI757" i="10"/>
  <c r="AI768" i="10"/>
  <c r="AK768" i="10"/>
  <c r="AI777" i="10"/>
  <c r="AK777" i="10"/>
  <c r="AK756" i="10"/>
  <c r="AI756" i="10"/>
  <c r="AI110" i="10"/>
  <c r="AK110" i="10"/>
  <c r="AI60" i="10"/>
  <c r="AK60" i="10"/>
  <c r="AI299" i="10"/>
  <c r="AK299" i="10"/>
  <c r="AI211" i="10"/>
  <c r="AK211" i="10"/>
  <c r="AI118" i="10"/>
  <c r="AK118" i="10"/>
  <c r="AK212" i="10"/>
  <c r="AI212" i="10"/>
  <c r="AI313" i="10"/>
  <c r="AK313" i="10"/>
  <c r="AI334" i="10"/>
  <c r="AK334" i="10"/>
  <c r="AI213" i="10"/>
  <c r="AK213" i="10"/>
  <c r="AI379" i="10"/>
  <c r="AK379" i="10"/>
  <c r="AI357" i="10"/>
  <c r="AK357" i="10"/>
  <c r="AI380" i="10"/>
  <c r="AK380" i="10"/>
  <c r="AI349" i="10"/>
  <c r="AK349" i="10"/>
  <c r="AI407" i="10"/>
  <c r="AK407" i="10"/>
  <c r="AK473" i="10"/>
  <c r="AI473" i="10"/>
  <c r="AI393" i="10"/>
  <c r="AK393" i="10"/>
  <c r="AK555" i="10"/>
  <c r="AI555" i="10"/>
  <c r="AK512" i="10"/>
  <c r="AI512" i="10"/>
  <c r="AI489" i="10"/>
  <c r="AK489" i="10"/>
  <c r="AK528" i="10"/>
  <c r="AI528" i="10"/>
  <c r="AK505" i="10"/>
  <c r="AI505" i="10"/>
  <c r="AI543" i="10"/>
  <c r="AK543" i="10"/>
  <c r="AI516" i="10"/>
  <c r="AK516" i="10"/>
  <c r="AI558" i="10"/>
  <c r="AK558" i="10"/>
  <c r="AK596" i="10"/>
  <c r="AI596" i="10"/>
  <c r="AI637" i="10"/>
  <c r="AK637" i="10"/>
  <c r="AI615" i="10"/>
  <c r="AK615" i="10"/>
  <c r="AK804" i="10"/>
  <c r="AI804" i="10"/>
  <c r="AK795" i="10"/>
  <c r="AI795" i="10"/>
  <c r="AI625" i="10"/>
  <c r="AK625" i="10"/>
  <c r="AI823" i="10"/>
  <c r="AK823" i="10"/>
  <c r="AK800" i="10"/>
  <c r="AI800" i="10"/>
  <c r="AI886" i="10"/>
  <c r="AK886" i="10"/>
  <c r="AI796" i="10"/>
  <c r="AK796" i="10"/>
  <c r="AI892" i="10"/>
  <c r="AK892" i="10"/>
  <c r="AI943" i="10"/>
  <c r="AK943" i="10"/>
  <c r="AI941" i="10"/>
  <c r="AK941" i="10"/>
  <c r="AI931" i="10"/>
  <c r="AM931" i="32" s="1"/>
  <c r="AK931" i="10"/>
  <c r="AI911" i="10"/>
  <c r="AK911" i="10"/>
  <c r="AK909" i="10"/>
  <c r="AI909" i="10"/>
  <c r="AI32" i="10"/>
  <c r="AK32" i="10"/>
  <c r="AK21" i="10"/>
  <c r="AI21" i="10"/>
  <c r="AI243" i="10"/>
  <c r="AK243" i="10"/>
  <c r="AI254" i="10"/>
  <c r="AK254" i="10"/>
  <c r="AI266" i="10"/>
  <c r="AK266" i="10"/>
  <c r="AI260" i="10"/>
  <c r="AK260" i="10"/>
  <c r="AI693" i="10"/>
  <c r="AK693" i="10"/>
  <c r="AI689" i="10"/>
  <c r="AK689" i="10"/>
  <c r="AI674" i="10"/>
  <c r="AK674" i="10"/>
  <c r="AI746" i="10"/>
  <c r="AK746" i="10"/>
  <c r="AK787" i="10"/>
  <c r="AI787" i="10"/>
  <c r="AM787" i="10" s="1"/>
  <c r="AK772" i="10"/>
  <c r="AI772" i="10"/>
  <c r="AI774" i="10"/>
  <c r="AK774" i="10"/>
  <c r="AI742" i="10"/>
  <c r="AK742" i="10"/>
  <c r="AI314" i="10"/>
  <c r="AK314" i="10"/>
  <c r="AI325" i="10"/>
  <c r="AK325" i="10"/>
  <c r="AK616" i="10"/>
  <c r="AI616" i="10"/>
  <c r="AI895" i="10"/>
  <c r="AK895" i="10"/>
  <c r="AI681" i="10"/>
  <c r="AK681" i="10"/>
  <c r="AI594" i="10"/>
  <c r="AK594" i="10"/>
  <c r="AK848" i="10"/>
  <c r="AI848" i="10"/>
  <c r="AI888" i="10"/>
  <c r="AK888" i="10"/>
  <c r="AI964" i="10"/>
  <c r="AK964" i="10"/>
  <c r="AK675" i="10"/>
  <c r="AI675" i="10"/>
  <c r="AI784" i="10"/>
  <c r="AK784" i="10"/>
  <c r="AK306" i="10"/>
  <c r="AI306" i="10"/>
  <c r="AI197" i="10"/>
  <c r="AK197" i="10"/>
  <c r="AK341" i="10"/>
  <c r="AI341" i="10"/>
  <c r="AI442" i="10"/>
  <c r="AK442" i="10"/>
  <c r="AI582" i="10"/>
  <c r="AK582" i="10"/>
  <c r="AK802" i="10"/>
  <c r="AI802" i="10"/>
  <c r="AK847" i="10"/>
  <c r="AI847" i="10"/>
  <c r="AK919" i="10"/>
  <c r="AI919" i="10"/>
  <c r="AI48" i="10"/>
  <c r="AK48" i="10"/>
  <c r="AI684" i="10"/>
  <c r="AK684" i="10"/>
  <c r="AI79" i="10"/>
  <c r="AK79" i="10"/>
  <c r="AI188" i="10"/>
  <c r="AK188" i="10"/>
  <c r="AK311" i="10"/>
  <c r="AI311" i="10"/>
  <c r="AK305" i="10"/>
  <c r="AI305" i="10"/>
  <c r="AI378" i="10"/>
  <c r="AK378" i="10"/>
  <c r="AI369" i="10"/>
  <c r="AK369" i="10"/>
  <c r="AK399" i="10"/>
  <c r="AI399" i="10"/>
  <c r="AI335" i="10"/>
  <c r="AK335" i="10"/>
  <c r="AI389" i="10"/>
  <c r="AK389" i="10"/>
  <c r="AI400" i="10"/>
  <c r="AK400" i="10"/>
  <c r="AI429" i="10"/>
  <c r="AK429" i="10"/>
  <c r="AI427" i="10"/>
  <c r="AK427" i="10"/>
  <c r="AK455" i="10"/>
  <c r="AI455" i="10"/>
  <c r="AI452" i="10"/>
  <c r="AK452" i="10"/>
  <c r="AI525" i="10"/>
  <c r="AK525" i="10"/>
  <c r="AI450" i="10"/>
  <c r="AK450" i="10"/>
  <c r="AI560" i="10"/>
  <c r="AK560" i="10"/>
  <c r="AI575" i="10"/>
  <c r="AK575" i="10"/>
  <c r="AI549" i="10"/>
  <c r="AK549" i="10"/>
  <c r="AI559" i="10"/>
  <c r="AK559" i="10"/>
  <c r="AI585" i="10"/>
  <c r="AK585" i="10"/>
  <c r="AI629" i="10"/>
  <c r="AK629" i="10"/>
  <c r="AK542" i="10"/>
  <c r="AI542" i="10"/>
  <c r="AK603" i="10"/>
  <c r="AI603" i="10"/>
  <c r="AI645" i="10"/>
  <c r="AK645" i="10"/>
  <c r="AI639" i="10"/>
  <c r="AK639" i="10"/>
  <c r="AK856" i="10"/>
  <c r="AI856" i="10"/>
  <c r="AI873" i="10"/>
  <c r="AK873" i="10"/>
  <c r="AL873" i="32" s="1"/>
  <c r="AI906" i="10"/>
  <c r="AK906" i="10"/>
  <c r="AI896" i="10"/>
  <c r="AK896" i="10"/>
  <c r="AL896" i="32" s="1"/>
  <c r="AI891" i="10"/>
  <c r="AK891" i="10"/>
  <c r="AI945" i="10"/>
  <c r="AK945" i="10"/>
  <c r="AK939" i="10"/>
  <c r="AI939" i="10"/>
  <c r="AI925" i="10"/>
  <c r="AK925" i="10"/>
  <c r="AI99" i="10"/>
  <c r="AK99" i="10"/>
  <c r="AK28" i="10"/>
  <c r="AI28" i="10"/>
  <c r="AI229" i="10"/>
  <c r="AK229" i="10"/>
  <c r="AI282" i="10"/>
  <c r="AK282" i="10"/>
  <c r="AI268" i="10"/>
  <c r="AK268" i="10"/>
  <c r="AI246" i="10"/>
  <c r="AK246" i="10"/>
  <c r="AI685" i="10"/>
  <c r="AK685" i="10"/>
  <c r="AI696" i="10"/>
  <c r="AK696" i="10"/>
  <c r="AI723" i="10"/>
  <c r="AK723" i="10"/>
  <c r="AI770" i="10"/>
  <c r="AK770" i="10"/>
  <c r="AI778" i="10"/>
  <c r="AK778" i="10"/>
  <c r="AK68" i="10"/>
  <c r="AI68" i="10"/>
  <c r="AI109" i="10"/>
  <c r="AK109" i="10"/>
  <c r="AI145" i="10"/>
  <c r="AK145" i="10"/>
  <c r="AI72" i="10"/>
  <c r="AK72" i="10"/>
  <c r="AK129" i="10"/>
  <c r="AI129" i="10"/>
  <c r="AI133" i="10"/>
  <c r="AK133" i="10"/>
  <c r="AI127" i="10"/>
  <c r="AK127" i="10"/>
  <c r="AK300" i="10"/>
  <c r="AI300" i="10"/>
  <c r="AI206" i="10"/>
  <c r="AK206" i="10"/>
  <c r="AI184" i="10"/>
  <c r="AK184" i="10"/>
  <c r="AI301" i="10"/>
  <c r="AK301" i="10"/>
  <c r="AK321" i="10"/>
  <c r="AI321" i="10"/>
  <c r="AI373" i="10"/>
  <c r="AK373" i="10"/>
  <c r="AI351" i="10"/>
  <c r="AK351" i="10"/>
  <c r="AI320" i="10"/>
  <c r="AK320" i="10"/>
  <c r="AK365" i="10"/>
  <c r="AI365" i="10"/>
  <c r="AK423" i="10"/>
  <c r="AI423" i="10"/>
  <c r="AI564" i="10"/>
  <c r="AK564" i="10"/>
  <c r="AK405" i="10"/>
  <c r="AI405" i="10"/>
  <c r="AI409" i="10"/>
  <c r="AK409" i="10"/>
  <c r="AI494" i="10"/>
  <c r="AK494" i="10"/>
  <c r="AI511" i="10"/>
  <c r="AK511" i="10"/>
  <c r="AI448" i="10"/>
  <c r="AK448" i="10"/>
  <c r="AK521" i="10"/>
  <c r="AI521" i="10"/>
  <c r="AK579" i="10"/>
  <c r="AI579" i="10"/>
  <c r="AI571" i="10"/>
  <c r="AK571" i="10"/>
  <c r="AI633" i="10"/>
  <c r="AK633" i="10"/>
  <c r="AI600" i="10"/>
  <c r="AK600" i="10"/>
  <c r="AI646" i="10"/>
  <c r="AK646" i="10"/>
  <c r="AI821" i="10"/>
  <c r="AK821" i="10"/>
  <c r="AI811" i="10"/>
  <c r="AK811" i="10"/>
  <c r="AI641" i="10"/>
  <c r="AK641" i="10"/>
  <c r="AI635" i="10"/>
  <c r="AK635" i="10"/>
  <c r="AK816" i="10"/>
  <c r="AI816" i="10"/>
  <c r="AI812" i="10"/>
  <c r="AK812" i="10"/>
  <c r="AI797" i="10"/>
  <c r="AK797" i="10"/>
  <c r="AI914" i="10"/>
  <c r="AK914" i="10"/>
  <c r="AK965" i="10"/>
  <c r="AI965" i="10"/>
  <c r="AK904" i="10"/>
  <c r="AI904" i="10"/>
  <c r="AK961" i="10"/>
  <c r="AI961" i="10"/>
  <c r="AK957" i="10"/>
  <c r="AI957" i="10"/>
  <c r="AI929" i="10"/>
  <c r="AM929" i="32" s="1"/>
  <c r="AK929" i="10"/>
  <c r="AI927" i="10"/>
  <c r="AK927" i="10"/>
  <c r="AK16" i="10"/>
  <c r="AI16" i="10"/>
  <c r="AK252" i="10"/>
  <c r="AI252" i="10"/>
  <c r="AI270" i="10"/>
  <c r="AK270" i="10"/>
  <c r="AI713" i="10"/>
  <c r="AK713" i="10"/>
  <c r="AI718" i="10"/>
  <c r="AK718" i="10"/>
  <c r="AK667" i="10"/>
  <c r="AI667" i="10"/>
  <c r="AI691" i="10"/>
  <c r="AK691" i="10"/>
  <c r="AI749" i="10"/>
  <c r="AK749" i="10"/>
  <c r="AK733" i="10"/>
  <c r="AI733" i="10"/>
  <c r="AK737" i="10"/>
  <c r="AI737" i="10"/>
  <c r="AK752" i="10"/>
  <c r="AI752" i="10"/>
  <c r="AK93" i="10"/>
  <c r="AI93" i="10"/>
  <c r="AI240" i="10"/>
  <c r="AK240" i="10"/>
  <c r="AI426" i="10"/>
  <c r="AK426" i="10"/>
  <c r="AI497" i="10"/>
  <c r="AK497" i="10"/>
  <c r="AI619" i="10"/>
  <c r="AK619" i="10"/>
  <c r="AI673" i="10"/>
  <c r="AK673" i="10"/>
  <c r="AK397" i="10"/>
  <c r="AI397" i="10"/>
  <c r="AI522" i="10"/>
  <c r="AK522" i="10"/>
  <c r="AK39" i="10"/>
  <c r="AI39" i="10"/>
  <c r="AI259" i="10"/>
  <c r="AK259" i="10"/>
  <c r="AI669" i="10"/>
  <c r="AK669" i="10"/>
  <c r="AI730" i="10"/>
  <c r="AK730" i="10"/>
  <c r="AK307" i="10"/>
  <c r="AI307" i="10"/>
  <c r="AK563" i="10"/>
  <c r="AI563" i="10"/>
  <c r="AI794" i="10"/>
  <c r="AK794" i="10"/>
  <c r="AI631" i="10"/>
  <c r="AK631" i="10"/>
  <c r="AI853" i="10"/>
  <c r="AK853" i="10"/>
  <c r="AK921" i="10"/>
  <c r="AI921" i="10"/>
  <c r="AI242" i="10"/>
  <c r="AK242" i="10"/>
  <c r="AK724" i="10"/>
  <c r="AI724" i="10"/>
  <c r="AM724" i="10" s="1"/>
  <c r="AI63" i="10"/>
  <c r="AK63" i="10"/>
  <c r="AK33" i="10"/>
  <c r="AI33" i="10"/>
  <c r="AK54" i="10"/>
  <c r="AI54" i="10"/>
  <c r="AI155" i="10"/>
  <c r="AK155" i="10"/>
  <c r="AI215" i="10"/>
  <c r="AK215" i="10"/>
  <c r="AK328" i="10"/>
  <c r="AI328" i="10"/>
  <c r="AI416" i="10"/>
  <c r="AK416" i="10"/>
  <c r="AI451" i="10"/>
  <c r="AK451" i="10"/>
  <c r="AI443" i="10"/>
  <c r="AK443" i="10"/>
  <c r="AK468" i="10"/>
  <c r="AI468" i="10"/>
  <c r="AI506" i="10"/>
  <c r="AK506" i="10"/>
  <c r="AK453" i="10"/>
  <c r="AI453" i="10"/>
  <c r="AI466" i="10"/>
  <c r="AK466" i="10"/>
  <c r="AK548" i="10"/>
  <c r="AI548" i="10"/>
  <c r="AK536" i="10"/>
  <c r="AI536" i="10"/>
  <c r="AI568" i="10"/>
  <c r="AM568" i="10" s="1"/>
  <c r="AK568" i="10"/>
  <c r="AI572" i="10"/>
  <c r="AK572" i="10"/>
  <c r="AK601" i="10"/>
  <c r="AI601" i="10"/>
  <c r="AK577" i="10"/>
  <c r="AI577" i="10"/>
  <c r="AI810" i="10"/>
  <c r="AK810" i="10"/>
  <c r="AI650" i="10"/>
  <c r="AK650" i="10"/>
  <c r="AI809" i="10"/>
  <c r="AK809" i="10"/>
  <c r="AI825" i="10"/>
  <c r="AK825" i="10"/>
  <c r="AK826" i="10"/>
  <c r="AI826" i="10"/>
  <c r="AI879" i="10"/>
  <c r="AK879" i="10"/>
  <c r="AI947" i="10"/>
  <c r="AK947" i="10"/>
  <c r="AI963" i="10"/>
  <c r="AK963" i="10"/>
  <c r="AI937" i="10"/>
  <c r="AK937" i="10"/>
  <c r="AK949" i="10"/>
  <c r="AI949" i="10"/>
  <c r="AK137" i="10"/>
  <c r="AI137" i="10"/>
  <c r="AI100" i="10"/>
  <c r="AK100" i="10"/>
  <c r="AI258" i="10"/>
  <c r="AK258" i="10"/>
  <c r="AK257" i="10"/>
  <c r="AI257" i="10"/>
  <c r="AI283" i="10"/>
  <c r="AK283" i="10"/>
  <c r="AK670" i="10"/>
  <c r="AI670" i="10"/>
  <c r="AI694" i="10"/>
  <c r="AK694" i="10"/>
  <c r="AI700" i="10"/>
  <c r="AK700" i="10"/>
  <c r="AI707" i="10"/>
  <c r="AK707" i="10"/>
  <c r="AI731" i="10"/>
  <c r="AK731" i="10"/>
  <c r="AI786" i="10"/>
  <c r="AM786" i="10" s="1"/>
  <c r="AK786" i="10"/>
  <c r="AI779" i="10"/>
  <c r="AK779" i="10"/>
  <c r="AI88" i="10"/>
  <c r="AK88" i="10"/>
  <c r="AI122" i="10"/>
  <c r="AK122" i="10"/>
  <c r="AI179" i="10"/>
  <c r="AK179" i="10"/>
  <c r="AI149" i="10"/>
  <c r="AK149" i="10"/>
  <c r="AI358" i="10"/>
  <c r="AK358" i="10"/>
  <c r="AI316" i="10"/>
  <c r="AK316" i="10"/>
  <c r="AI310" i="10"/>
  <c r="AK310" i="10"/>
  <c r="AI200" i="10"/>
  <c r="AK200" i="10"/>
  <c r="AK317" i="10"/>
  <c r="AI317" i="10"/>
  <c r="AI343" i="10"/>
  <c r="AK343" i="10"/>
  <c r="AI396" i="10"/>
  <c r="AK396" i="10"/>
  <c r="AI367" i="10"/>
  <c r="AK367" i="10"/>
  <c r="AI336" i="10"/>
  <c r="AK336" i="10"/>
  <c r="AK381" i="10"/>
  <c r="AI381" i="10"/>
  <c r="AI439" i="10"/>
  <c r="AK439" i="10"/>
  <c r="AI398" i="10"/>
  <c r="AK398" i="10"/>
  <c r="AI421" i="10"/>
  <c r="AK421" i="10"/>
  <c r="AI446" i="10"/>
  <c r="AK446" i="10"/>
  <c r="AI425" i="10"/>
  <c r="AK425" i="10"/>
  <c r="AK475" i="10"/>
  <c r="AI475" i="10"/>
  <c r="AM475" i="10" s="1"/>
  <c r="AK482" i="10"/>
  <c r="AI482" i="10"/>
  <c r="AI460" i="10"/>
  <c r="AK460" i="10"/>
  <c r="AK561" i="10"/>
  <c r="AI561" i="10"/>
  <c r="AI464" i="10"/>
  <c r="AK464" i="10"/>
  <c r="AI508" i="10"/>
  <c r="AK508" i="10"/>
  <c r="AI626" i="10"/>
  <c r="AK626" i="10"/>
  <c r="AI632" i="10"/>
  <c r="AK632" i="10"/>
  <c r="AK567" i="10"/>
  <c r="AI567" i="10"/>
  <c r="AK843" i="10"/>
  <c r="AI843" i="10"/>
  <c r="AK838" i="10"/>
  <c r="AI838" i="10"/>
  <c r="AK657" i="10"/>
  <c r="AI657" i="10"/>
  <c r="AM657" i="10" s="1"/>
  <c r="AI651" i="10"/>
  <c r="AK651" i="10"/>
  <c r="AK819" i="10"/>
  <c r="AI819" i="10"/>
  <c r="AI878" i="10"/>
  <c r="AK878" i="10"/>
  <c r="AK829" i="10"/>
  <c r="AI829" i="10"/>
  <c r="AI813" i="10"/>
  <c r="AK813" i="10"/>
  <c r="AI884" i="10"/>
  <c r="AK884" i="10"/>
  <c r="AI898" i="10"/>
  <c r="AK898" i="10"/>
  <c r="AI977" i="10"/>
  <c r="AK977" i="10"/>
  <c r="AK975" i="10"/>
  <c r="AI975" i="10"/>
  <c r="AI951" i="10"/>
  <c r="AK951" i="10"/>
  <c r="AI280" i="10"/>
  <c r="AK280" i="10"/>
  <c r="AI241" i="10"/>
  <c r="AK241" i="10"/>
  <c r="AK703" i="10"/>
  <c r="AI703" i="10"/>
  <c r="AI671" i="10"/>
  <c r="AK671" i="10"/>
  <c r="AI704" i="10"/>
  <c r="AK704" i="10"/>
  <c r="AI709" i="10"/>
  <c r="AK709" i="10"/>
  <c r="AI764" i="10"/>
  <c r="AK764" i="10"/>
  <c r="AI744" i="10"/>
  <c r="AK744" i="10"/>
  <c r="AK750" i="10"/>
  <c r="AI750" i="10"/>
  <c r="AI71" i="10"/>
  <c r="AK71" i="10"/>
  <c r="AI203" i="10"/>
  <c r="AK203" i="10"/>
  <c r="AI332" i="10"/>
  <c r="AK332" i="10"/>
  <c r="AK523" i="10"/>
  <c r="AI523" i="10"/>
  <c r="AI611" i="10"/>
  <c r="AK611" i="10"/>
  <c r="AK817" i="10"/>
  <c r="AI817" i="10"/>
  <c r="AI687" i="10"/>
  <c r="AK687" i="10"/>
  <c r="AK438" i="10"/>
  <c r="AI438" i="10"/>
  <c r="AI834" i="10"/>
  <c r="AK834" i="10"/>
  <c r="AI793" i="10"/>
  <c r="AK793" i="10"/>
  <c r="AK897" i="10"/>
  <c r="AI897" i="10"/>
  <c r="AI121" i="10"/>
  <c r="AK121" i="10"/>
  <c r="AI261" i="10"/>
  <c r="AK261" i="10"/>
  <c r="AI758" i="10"/>
  <c r="AK758" i="10"/>
  <c r="AI107" i="10"/>
  <c r="AK107" i="10"/>
  <c r="AK158" i="10"/>
  <c r="AI158" i="10"/>
  <c r="AK198" i="10"/>
  <c r="AI198" i="10"/>
  <c r="AK346" i="10"/>
  <c r="AI346" i="10"/>
  <c r="AI472" i="10"/>
  <c r="AK472" i="10"/>
  <c r="AK514" i="10"/>
  <c r="AI514" i="10"/>
  <c r="AI915" i="10"/>
  <c r="AK915" i="10"/>
  <c r="AK30" i="10"/>
  <c r="AI30" i="10"/>
  <c r="AI73" i="10"/>
  <c r="AK73" i="10"/>
  <c r="AI214" i="10"/>
  <c r="AK214" i="10"/>
  <c r="AI820" i="10"/>
  <c r="AK820" i="10"/>
  <c r="AI655" i="10"/>
  <c r="AM655" i="10" s="1"/>
  <c r="AK655" i="10"/>
  <c r="AK839" i="10"/>
  <c r="AI839" i="10"/>
  <c r="AK981" i="10"/>
  <c r="AI981" i="10"/>
  <c r="AM981" i="32" s="1"/>
  <c r="AI955" i="10"/>
  <c r="AK955" i="10"/>
  <c r="AK42" i="10"/>
  <c r="AI42" i="10"/>
  <c r="AI24" i="10"/>
  <c r="AK24" i="10"/>
  <c r="AK17" i="10"/>
  <c r="AI17" i="10"/>
  <c r="AI53" i="10"/>
  <c r="AK53" i="10"/>
  <c r="AI66" i="10"/>
  <c r="AK66" i="10"/>
  <c r="AK319" i="10"/>
  <c r="AI319" i="10"/>
  <c r="AK159" i="10"/>
  <c r="AI159" i="10"/>
  <c r="AI134" i="10"/>
  <c r="AK134" i="10"/>
  <c r="AK163" i="10"/>
  <c r="AI163" i="10"/>
  <c r="AK374" i="10"/>
  <c r="AI374" i="10"/>
  <c r="AI303" i="10"/>
  <c r="AK303" i="10"/>
  <c r="AK323" i="10"/>
  <c r="AI323" i="10"/>
  <c r="AK204" i="10"/>
  <c r="AI204" i="10"/>
  <c r="AI350" i="10"/>
  <c r="AK350" i="10"/>
  <c r="AI340" i="10"/>
  <c r="AK340" i="10"/>
  <c r="AI344" i="10"/>
  <c r="AK344" i="10"/>
  <c r="AI322" i="10"/>
  <c r="AK322" i="10"/>
  <c r="AI361" i="10"/>
  <c r="AK361" i="10"/>
  <c r="AI432" i="10"/>
  <c r="AK432" i="10"/>
  <c r="AI458" i="10"/>
  <c r="AK458" i="10"/>
  <c r="AI462" i="10"/>
  <c r="AK462" i="10"/>
  <c r="AI454" i="10"/>
  <c r="AK454" i="10"/>
  <c r="AK484" i="10"/>
  <c r="AI484" i="10"/>
  <c r="AI469" i="10"/>
  <c r="AK469" i="10"/>
  <c r="AI574" i="10"/>
  <c r="AK574" i="10"/>
  <c r="AK557" i="10"/>
  <c r="AI557" i="10"/>
  <c r="AI537" i="10"/>
  <c r="AK537" i="10"/>
  <c r="AK846" i="10"/>
  <c r="AI846" i="10"/>
  <c r="AK824" i="10"/>
  <c r="AI824" i="10"/>
  <c r="AI803" i="10"/>
  <c r="AK803" i="10"/>
  <c r="AK835" i="10"/>
  <c r="AI835" i="10"/>
  <c r="AK844" i="10"/>
  <c r="AI844" i="10"/>
  <c r="AI857" i="10"/>
  <c r="AM857" i="32" s="1"/>
  <c r="AK857" i="10"/>
  <c r="AI979" i="10"/>
  <c r="AK979" i="10"/>
  <c r="AK908" i="10"/>
  <c r="AI908" i="10"/>
  <c r="AK924" i="10"/>
  <c r="AI924" i="10"/>
  <c r="AI973" i="10"/>
  <c r="AK973" i="10"/>
  <c r="AK953" i="10"/>
  <c r="AI953" i="10"/>
  <c r="AK967" i="10"/>
  <c r="AI967" i="10"/>
  <c r="AI26" i="10"/>
  <c r="AK26" i="10"/>
  <c r="AI56" i="10"/>
  <c r="AK56" i="10"/>
  <c r="AK84" i="10"/>
  <c r="AI84" i="10"/>
  <c r="AK272" i="10"/>
  <c r="AI272" i="10"/>
  <c r="AK227" i="10"/>
  <c r="AI227" i="10"/>
  <c r="AI250" i="10"/>
  <c r="AK250" i="10"/>
  <c r="AI290" i="10"/>
  <c r="AM290" i="10" s="1"/>
  <c r="AK290" i="10"/>
  <c r="AI224" i="10"/>
  <c r="AK224" i="10"/>
  <c r="AI679" i="10"/>
  <c r="AK679" i="10"/>
  <c r="AI712" i="10"/>
  <c r="AK712" i="10"/>
  <c r="AI705" i="10"/>
  <c r="AK705" i="10"/>
  <c r="AI666" i="10"/>
  <c r="AK666" i="10"/>
  <c r="AI751" i="10"/>
  <c r="AK751" i="10"/>
  <c r="AK771" i="10"/>
  <c r="AI771" i="10"/>
  <c r="AK766" i="10"/>
  <c r="AI766" i="10"/>
  <c r="AI108" i="10"/>
  <c r="AK108" i="10"/>
  <c r="AI156" i="10"/>
  <c r="AK156" i="10"/>
  <c r="AI339" i="10"/>
  <c r="AK339" i="10"/>
  <c r="AI676" i="10"/>
  <c r="AK676" i="10"/>
  <c r="AI765" i="10"/>
  <c r="AK765" i="10"/>
  <c r="AI91" i="10"/>
  <c r="AK91" i="10"/>
  <c r="AI142" i="10"/>
  <c r="AK142" i="10"/>
  <c r="AI185" i="10"/>
  <c r="AK185" i="10"/>
  <c r="AI424" i="10"/>
  <c r="AK424" i="10"/>
  <c r="AI517" i="10"/>
  <c r="AK517" i="10"/>
  <c r="AI539" i="10"/>
  <c r="AK539" i="10"/>
  <c r="AK614" i="10"/>
  <c r="AI614" i="10"/>
  <c r="AI842" i="10"/>
  <c r="AK842" i="10"/>
  <c r="AK871" i="10"/>
  <c r="AI871" i="10"/>
  <c r="AK822" i="10"/>
  <c r="AI822" i="10"/>
  <c r="AI944" i="10"/>
  <c r="AK944" i="10"/>
  <c r="AI239" i="10"/>
  <c r="AK239" i="10"/>
  <c r="AI46" i="10"/>
  <c r="AK46" i="10"/>
  <c r="AI309" i="10"/>
  <c r="AK309" i="10"/>
  <c r="AI584" i="10"/>
  <c r="AK584" i="10"/>
  <c r="AK654" i="10"/>
  <c r="AI654" i="10"/>
  <c r="AI901" i="10"/>
  <c r="AK901" i="10"/>
  <c r="AI851" i="10"/>
  <c r="AK851" i="10"/>
  <c r="AI960" i="10"/>
  <c r="AK960" i="10"/>
  <c r="AI755" i="10"/>
  <c r="AK755" i="10"/>
  <c r="AI440" i="10"/>
  <c r="AK440" i="10"/>
  <c r="AI859" i="10"/>
  <c r="AM859" i="32" s="1"/>
  <c r="AK859" i="10"/>
  <c r="AK887" i="10"/>
  <c r="AI887" i="10"/>
  <c r="AI67" i="10"/>
  <c r="AK67" i="10"/>
  <c r="AK281" i="10"/>
  <c r="AI281" i="10"/>
  <c r="AK51" i="10"/>
  <c r="AI51" i="10"/>
  <c r="AI207" i="10"/>
  <c r="AK207" i="10"/>
  <c r="AI364" i="10"/>
  <c r="AK364" i="10"/>
  <c r="AI877" i="10"/>
  <c r="AK877" i="10"/>
  <c r="AK123" i="10"/>
  <c r="AI123" i="10"/>
  <c r="AI153" i="10"/>
  <c r="AK153" i="10"/>
  <c r="AK139" i="10"/>
  <c r="AI139" i="10"/>
  <c r="AK174" i="10"/>
  <c r="AI174" i="10"/>
  <c r="AI151" i="10"/>
  <c r="AK151" i="10"/>
  <c r="AK104" i="10"/>
  <c r="AI104" i="10"/>
  <c r="AI327" i="10"/>
  <c r="AK327" i="10"/>
  <c r="AI194" i="10"/>
  <c r="AK194" i="10"/>
  <c r="AI474" i="10"/>
  <c r="AM474" i="32" s="1"/>
  <c r="AK474" i="10"/>
  <c r="AI191" i="10"/>
  <c r="AK191" i="10"/>
  <c r="AI189" i="10"/>
  <c r="AK189" i="10"/>
  <c r="AI356" i="10"/>
  <c r="AK356" i="10"/>
  <c r="AI404" i="10"/>
  <c r="AK404" i="10"/>
  <c r="AK447" i="10"/>
  <c r="AI447" i="10"/>
  <c r="AI507" i="10"/>
  <c r="AK507" i="10"/>
  <c r="AI569" i="10"/>
  <c r="AK569" i="10"/>
  <c r="AK607" i="10"/>
  <c r="AI607" i="10"/>
  <c r="AI553" i="10"/>
  <c r="AK553" i="10"/>
  <c r="AI850" i="10"/>
  <c r="AK850" i="10"/>
  <c r="AI889" i="10"/>
  <c r="AK889" i="10"/>
  <c r="AI830" i="10"/>
  <c r="AK830" i="10"/>
  <c r="AI902" i="10"/>
  <c r="AK902" i="10"/>
  <c r="AI923" i="10"/>
  <c r="AK923" i="10"/>
  <c r="AI928" i="10"/>
  <c r="AK928" i="10"/>
  <c r="AI926" i="10"/>
  <c r="AK926" i="10"/>
  <c r="AI971" i="10"/>
  <c r="AK971" i="10"/>
  <c r="AI35" i="10"/>
  <c r="AK35" i="10"/>
  <c r="AI41" i="10"/>
  <c r="AK41" i="10"/>
  <c r="AK49" i="10"/>
  <c r="AI49" i="10"/>
  <c r="AK265" i="10"/>
  <c r="AI265" i="10"/>
  <c r="AI232" i="10"/>
  <c r="AK232" i="10"/>
  <c r="AI277" i="10"/>
  <c r="AK277" i="10"/>
  <c r="AK235" i="10"/>
  <c r="AI235" i="10"/>
  <c r="AI264" i="10"/>
  <c r="AK264" i="10"/>
  <c r="AI230" i="10"/>
  <c r="AK230" i="10"/>
  <c r="AK231" i="10"/>
  <c r="AI231" i="10"/>
  <c r="AK711" i="10"/>
  <c r="AI711" i="10"/>
  <c r="AI692" i="10"/>
  <c r="AK692" i="10"/>
  <c r="AI683" i="10"/>
  <c r="AK683" i="10"/>
  <c r="AK697" i="10"/>
  <c r="AI697" i="10"/>
  <c r="AI762" i="10"/>
  <c r="AK762" i="10"/>
  <c r="AI773" i="10"/>
  <c r="AK773" i="10"/>
  <c r="AI748" i="10"/>
  <c r="AK748" i="10"/>
  <c r="AK136" i="10"/>
  <c r="AI136" i="10"/>
  <c r="AI370" i="10"/>
  <c r="AK370" i="10"/>
  <c r="AI456" i="10"/>
  <c r="AK456" i="10"/>
  <c r="AI578" i="10"/>
  <c r="AK578" i="10"/>
  <c r="AK968" i="10"/>
  <c r="AI968" i="10"/>
  <c r="AI18" i="10"/>
  <c r="AK18" i="10"/>
  <c r="AI734" i="10"/>
  <c r="AK734" i="10"/>
  <c r="AI85" i="10"/>
  <c r="AK85" i="10"/>
  <c r="AI202" i="10"/>
  <c r="AK202" i="10"/>
  <c r="AI190" i="10"/>
  <c r="AK190" i="10"/>
  <c r="AK181" i="10"/>
  <c r="AI181" i="10"/>
  <c r="AI347" i="10"/>
  <c r="AK347" i="10"/>
  <c r="AI418" i="10"/>
  <c r="AK418" i="10"/>
  <c r="AI463" i="10"/>
  <c r="AK463" i="10"/>
  <c r="AI622" i="10"/>
  <c r="AK622" i="10"/>
  <c r="AI852" i="10"/>
  <c r="AK852" i="10"/>
  <c r="AI636" i="10"/>
  <c r="AK636" i="10"/>
  <c r="AI972" i="10"/>
  <c r="AK972" i="10"/>
  <c r="AI47" i="10"/>
  <c r="AK47" i="10"/>
  <c r="AK152" i="10"/>
  <c r="AI152" i="10"/>
  <c r="AI431" i="10"/>
  <c r="AK431" i="10"/>
  <c r="AI355" i="10"/>
  <c r="AK355" i="10"/>
  <c r="AK395" i="10"/>
  <c r="AI395" i="10"/>
  <c r="AK493" i="10"/>
  <c r="AI493" i="10"/>
  <c r="AK554" i="10"/>
  <c r="AI554" i="10"/>
  <c r="AK573" i="10"/>
  <c r="AI573" i="10"/>
  <c r="AI630" i="10"/>
  <c r="AK630" i="10"/>
  <c r="AI836" i="10"/>
  <c r="AK836" i="10"/>
  <c r="AI832" i="10"/>
  <c r="AK832" i="10"/>
  <c r="AI874" i="10"/>
  <c r="AK874" i="10"/>
  <c r="AK780" i="10"/>
  <c r="AI780" i="10"/>
  <c r="AI101" i="10"/>
  <c r="AK101" i="10"/>
  <c r="AI333" i="10"/>
  <c r="AK333" i="10"/>
  <c r="AI656" i="10"/>
  <c r="AM656" i="32" s="1"/>
  <c r="AK656" i="10"/>
  <c r="AI37" i="10"/>
  <c r="AK37" i="10"/>
  <c r="AI263" i="10"/>
  <c r="AK263" i="10"/>
  <c r="AK783" i="10"/>
  <c r="AI783" i="10"/>
  <c r="AI103" i="10"/>
  <c r="AK103" i="10"/>
  <c r="AK90" i="10"/>
  <c r="AI90" i="10"/>
  <c r="AK89" i="10"/>
  <c r="AI89" i="10"/>
  <c r="AI315" i="10"/>
  <c r="AK315" i="10"/>
  <c r="AI131" i="10"/>
  <c r="AK131" i="10"/>
  <c r="AK40" i="10"/>
  <c r="AI40" i="10"/>
  <c r="AK94" i="10"/>
  <c r="AI94" i="10"/>
  <c r="AK105" i="10"/>
  <c r="AI105" i="10"/>
  <c r="AI176" i="10"/>
  <c r="AK176" i="10"/>
  <c r="AI387" i="10"/>
  <c r="AK387" i="10"/>
  <c r="AK65" i="10"/>
  <c r="AI65" i="10"/>
  <c r="AI172" i="10"/>
  <c r="AK172" i="10"/>
  <c r="AI170" i="10"/>
  <c r="AK170" i="10"/>
  <c r="AI216" i="10"/>
  <c r="AM216" i="10" s="1"/>
  <c r="AK216" i="10"/>
  <c r="AI419" i="10"/>
  <c r="AK419" i="10"/>
  <c r="AI383" i="10"/>
  <c r="AM383" i="10" s="1"/>
  <c r="AK383" i="10"/>
  <c r="AK352" i="10"/>
  <c r="AI352" i="10"/>
  <c r="AI487" i="10"/>
  <c r="AK487" i="10"/>
  <c r="AI486" i="10"/>
  <c r="AK486" i="10"/>
  <c r="AK524" i="10"/>
  <c r="AI524" i="10"/>
  <c r="AI570" i="10"/>
  <c r="AK570" i="10"/>
  <c r="AI854" i="10"/>
  <c r="AK854" i="10"/>
  <c r="AK798" i="10"/>
  <c r="AI798" i="10"/>
  <c r="AI805" i="10"/>
  <c r="AK805" i="10"/>
  <c r="AI831" i="10"/>
  <c r="AK831" i="10"/>
  <c r="AI885" i="10"/>
  <c r="AK885" i="10"/>
  <c r="AI267" i="10"/>
  <c r="AK267" i="10"/>
  <c r="AI248" i="10"/>
  <c r="AK248" i="10"/>
  <c r="AI276" i="10"/>
  <c r="AK276" i="10"/>
  <c r="AK725" i="10"/>
  <c r="AI725" i="10"/>
  <c r="AM725" i="32" s="1"/>
  <c r="AI738" i="10"/>
  <c r="AK738" i="10"/>
  <c r="AK111" i="10"/>
  <c r="AI111" i="10"/>
  <c r="AM111" i="10" s="1"/>
  <c r="AI208" i="10"/>
  <c r="AK208" i="10"/>
  <c r="AI76" i="10"/>
  <c r="AK76" i="10"/>
  <c r="AI360" i="10"/>
  <c r="AK360" i="10"/>
  <c r="AI377" i="10"/>
  <c r="AK377" i="10"/>
  <c r="AI392" i="10"/>
  <c r="AK392" i="10"/>
  <c r="AI849" i="10"/>
  <c r="AK849" i="10"/>
  <c r="AK80" i="10"/>
  <c r="AI80" i="10"/>
  <c r="AK81" i="10"/>
  <c r="AI81" i="10"/>
  <c r="AK57" i="10"/>
  <c r="AI57" i="10"/>
  <c r="AI157" i="10"/>
  <c r="AK157" i="10"/>
  <c r="AI144" i="10"/>
  <c r="AK144" i="10"/>
  <c r="AI148" i="10"/>
  <c r="AK148" i="10"/>
  <c r="AI186" i="10"/>
  <c r="AK186" i="10"/>
  <c r="AK304" i="10"/>
  <c r="AI304" i="10"/>
  <c r="AK210" i="10"/>
  <c r="AI210" i="10"/>
  <c r="AK308" i="10"/>
  <c r="AI308" i="10"/>
  <c r="AK435" i="10"/>
  <c r="AI435" i="10"/>
  <c r="AI420" i="10"/>
  <c r="AK420" i="10"/>
  <c r="AI368" i="10"/>
  <c r="AK368" i="10"/>
  <c r="AI406" i="10"/>
  <c r="AK406" i="10"/>
  <c r="AI394" i="10"/>
  <c r="AK394" i="10"/>
  <c r="AI401" i="10"/>
  <c r="AK401" i="10"/>
  <c r="AI430" i="10"/>
  <c r="AK430" i="10"/>
  <c r="AI445" i="10"/>
  <c r="AK445" i="10"/>
  <c r="AI520" i="10"/>
  <c r="AK520" i="10"/>
  <c r="AI530" i="10"/>
  <c r="AK530" i="10"/>
  <c r="AI492" i="10"/>
  <c r="AK492" i="10"/>
  <c r="AI510" i="10"/>
  <c r="AK510" i="10"/>
  <c r="AI541" i="10"/>
  <c r="AK541" i="10"/>
  <c r="AI502" i="10"/>
  <c r="AK502" i="10"/>
  <c r="AK598" i="10"/>
  <c r="AI598" i="10"/>
  <c r="AI612" i="10"/>
  <c r="AK612" i="10"/>
  <c r="AI599" i="10"/>
  <c r="AK599" i="10"/>
  <c r="AI621" i="10"/>
  <c r="AK621" i="10"/>
  <c r="AI807" i="10"/>
  <c r="AK807" i="10"/>
  <c r="AI814" i="10"/>
  <c r="AK814" i="10"/>
  <c r="AI876" i="10"/>
  <c r="AK876" i="10"/>
  <c r="AK604" i="10"/>
  <c r="AI604" i="10"/>
  <c r="AI845" i="10"/>
  <c r="AK845" i="10"/>
  <c r="AK881" i="10"/>
  <c r="AI881" i="10"/>
  <c r="AI938" i="10"/>
  <c r="AK938" i="10"/>
  <c r="AK940" i="10"/>
  <c r="AI940" i="10"/>
  <c r="AK936" i="10"/>
  <c r="AI936" i="10"/>
  <c r="AI948" i="10"/>
  <c r="AK948" i="10"/>
  <c r="AK922" i="10"/>
  <c r="AI922" i="10"/>
  <c r="AK918" i="10"/>
  <c r="AI918" i="10"/>
  <c r="AI29" i="10"/>
  <c r="AK29" i="10"/>
  <c r="AI31" i="10"/>
  <c r="AK31" i="10"/>
  <c r="AI274" i="10"/>
  <c r="AK274" i="10"/>
  <c r="AI247" i="10"/>
  <c r="AK247" i="10"/>
  <c r="AI228" i="10"/>
  <c r="AK228" i="10"/>
  <c r="AK237" i="10"/>
  <c r="AI237" i="10"/>
  <c r="AK253" i="10"/>
  <c r="AI253" i="10"/>
  <c r="AI251" i="10"/>
  <c r="AK251" i="10"/>
  <c r="AI286" i="10"/>
  <c r="AK286" i="10"/>
  <c r="AK677" i="10"/>
  <c r="AI677" i="10"/>
  <c r="AI701" i="10"/>
  <c r="AK701" i="10"/>
  <c r="AI716" i="10"/>
  <c r="AK716" i="10"/>
  <c r="AI682" i="10"/>
  <c r="AK682" i="10"/>
  <c r="AK776" i="10"/>
  <c r="AI776" i="10"/>
  <c r="AK769" i="10"/>
  <c r="AI769" i="10"/>
  <c r="AI735" i="10"/>
  <c r="AK735" i="10"/>
  <c r="AI785" i="10"/>
  <c r="AK785" i="10"/>
  <c r="AI428" i="10"/>
  <c r="AK428" i="10"/>
  <c r="AK613" i="10"/>
  <c r="AI613" i="10"/>
  <c r="AI828" i="10"/>
  <c r="AK828" i="10"/>
  <c r="AK872" i="10"/>
  <c r="AI872" i="10"/>
  <c r="AK34" i="10"/>
  <c r="AI34" i="10"/>
  <c r="AI262" i="10"/>
  <c r="AK262" i="10"/>
  <c r="AK672" i="10"/>
  <c r="AI672" i="10"/>
  <c r="AK754" i="10"/>
  <c r="AI754" i="10"/>
  <c r="AK781" i="10"/>
  <c r="AI781" i="10"/>
  <c r="AI415" i="10"/>
  <c r="AK415" i="10"/>
  <c r="AI403" i="10"/>
  <c r="AK403" i="10"/>
  <c r="AI433" i="10"/>
  <c r="AK433" i="10"/>
  <c r="AI483" i="10"/>
  <c r="AK483" i="10"/>
  <c r="AI544" i="10"/>
  <c r="AK544" i="10"/>
  <c r="AK640" i="10"/>
  <c r="AI640" i="10"/>
  <c r="AI827" i="10"/>
  <c r="AK827" i="10"/>
  <c r="AK806" i="10"/>
  <c r="AI806" i="10"/>
  <c r="AK899" i="10"/>
  <c r="AI899" i="10"/>
  <c r="AK970" i="10"/>
  <c r="AI970" i="10"/>
  <c r="AK132" i="10"/>
  <c r="AI132" i="10"/>
  <c r="AI201" i="10"/>
  <c r="AK201" i="10"/>
  <c r="AI444" i="10"/>
  <c r="AK444" i="10"/>
  <c r="AK910" i="10"/>
  <c r="AI910" i="10"/>
  <c r="AI962" i="10"/>
  <c r="AK962" i="10"/>
  <c r="AI698" i="10"/>
  <c r="AK698" i="10"/>
  <c r="AI736" i="10"/>
  <c r="AK736" i="10"/>
  <c r="AI44" i="10"/>
  <c r="AK44" i="10"/>
  <c r="AI218" i="10"/>
  <c r="AM218" i="10" s="1"/>
  <c r="AK218" i="10"/>
  <c r="AI196" i="10"/>
  <c r="AK196" i="10"/>
  <c r="AI509" i="10"/>
  <c r="AK509" i="10"/>
  <c r="AI540" i="10"/>
  <c r="AK540" i="10"/>
  <c r="AI605" i="10"/>
  <c r="AK605" i="10"/>
  <c r="AI652" i="10"/>
  <c r="AK652" i="10"/>
  <c r="AI275" i="10"/>
  <c r="AK275" i="10"/>
  <c r="AI249" i="10"/>
  <c r="AK249" i="10"/>
  <c r="AK74" i="10"/>
  <c r="AI74" i="10"/>
  <c r="AI86" i="10"/>
  <c r="AK86" i="10"/>
  <c r="AI183" i="10"/>
  <c r="AK183" i="10"/>
  <c r="AI78" i="10"/>
  <c r="AK78" i="10"/>
  <c r="AI102" i="10"/>
  <c r="AK102" i="10"/>
  <c r="AI199" i="10"/>
  <c r="AK199" i="10"/>
  <c r="AI143" i="10"/>
  <c r="AK143" i="10"/>
  <c r="AI147" i="10"/>
  <c r="AK147" i="10"/>
  <c r="AK337" i="10"/>
  <c r="AI337" i="10"/>
  <c r="AI154" i="10"/>
  <c r="AK154" i="10"/>
  <c r="AI138" i="10"/>
  <c r="AK138" i="10"/>
  <c r="AI168" i="10"/>
  <c r="AK168" i="10"/>
  <c r="AK359" i="10"/>
  <c r="AI359" i="10"/>
  <c r="AI390" i="10"/>
  <c r="AK390" i="10"/>
  <c r="AI414" i="10"/>
  <c r="AK414" i="10"/>
  <c r="AI437" i="10"/>
  <c r="AK437" i="10"/>
  <c r="AK441" i="10"/>
  <c r="AI441" i="10"/>
  <c r="AI491" i="10"/>
  <c r="AK491" i="10"/>
  <c r="AI476" i="10"/>
  <c r="AM476" i="10" s="1"/>
  <c r="AK476" i="10"/>
  <c r="AI576" i="10"/>
  <c r="AK576" i="10"/>
  <c r="AK653" i="10"/>
  <c r="AI653" i="10"/>
  <c r="AK903" i="10"/>
  <c r="AI903" i="10"/>
  <c r="AK916" i="10"/>
  <c r="AI916" i="10"/>
  <c r="AK55" i="10"/>
  <c r="AI55" i="10"/>
  <c r="AK706" i="10"/>
  <c r="AI706" i="10"/>
  <c r="AI729" i="10"/>
  <c r="AK729" i="10"/>
  <c r="AI722" i="10"/>
  <c r="AK722" i="10"/>
  <c r="AK96" i="10"/>
  <c r="AI96" i="10"/>
  <c r="AK43" i="10"/>
  <c r="AI43" i="10"/>
  <c r="AI82" i="10"/>
  <c r="AK82" i="10"/>
  <c r="AI178" i="10"/>
  <c r="AK178" i="10"/>
  <c r="AK296" i="10"/>
  <c r="AI296" i="10"/>
  <c r="AI331" i="10"/>
  <c r="AK331" i="10"/>
  <c r="AI375" i="10"/>
  <c r="AK375" i="10"/>
  <c r="AI366" i="10"/>
  <c r="AK366" i="10"/>
  <c r="AI338" i="10"/>
  <c r="AK338" i="10"/>
  <c r="AI470" i="10"/>
  <c r="AK470" i="10"/>
  <c r="AK513" i="10"/>
  <c r="AI513" i="10"/>
  <c r="AI818" i="10"/>
  <c r="AK818" i="10"/>
  <c r="AI125" i="10"/>
  <c r="AK125" i="10"/>
  <c r="AI59" i="10"/>
  <c r="AK59" i="10"/>
  <c r="AK75" i="10"/>
  <c r="AI75" i="10"/>
  <c r="AK98" i="10"/>
  <c r="AI98" i="10"/>
  <c r="AK92" i="10"/>
  <c r="AI92" i="10"/>
  <c r="AK193" i="10"/>
  <c r="AI193" i="10"/>
  <c r="AI126" i="10"/>
  <c r="AK126" i="10"/>
  <c r="AI120" i="10"/>
  <c r="AK120" i="10"/>
  <c r="AI205" i="10"/>
  <c r="AK205" i="10"/>
  <c r="AI187" i="10"/>
  <c r="AK187" i="10"/>
  <c r="AI329" i="10"/>
  <c r="AK329" i="10"/>
  <c r="AI382" i="10"/>
  <c r="AM382" i="10" s="1"/>
  <c r="AK382" i="10"/>
  <c r="AI372" i="10"/>
  <c r="AK372" i="10"/>
  <c r="AK376" i="10"/>
  <c r="AI376" i="10"/>
  <c r="AK354" i="10"/>
  <c r="AI354" i="10"/>
  <c r="AI436" i="10"/>
  <c r="AK436" i="10"/>
  <c r="AK527" i="10"/>
  <c r="AI527" i="10"/>
  <c r="AI408" i="10"/>
  <c r="AK408" i="10"/>
  <c r="AK467" i="10"/>
  <c r="AI467" i="10"/>
  <c r="AI412" i="10"/>
  <c r="AK412" i="10"/>
  <c r="AI526" i="10"/>
  <c r="AK526" i="10"/>
  <c r="AK534" i="10"/>
  <c r="AI534" i="10"/>
  <c r="AI501" i="10"/>
  <c r="AK501" i="10"/>
  <c r="AI546" i="10"/>
  <c r="AK546" i="10"/>
  <c r="AI519" i="10"/>
  <c r="AK519" i="10"/>
  <c r="AI529" i="10"/>
  <c r="AK529" i="10"/>
  <c r="AI617" i="10"/>
  <c r="AK617" i="10"/>
  <c r="AI618" i="10"/>
  <c r="AK618" i="10"/>
  <c r="AI638" i="10"/>
  <c r="AK638" i="10"/>
  <c r="AI565" i="10"/>
  <c r="AK565" i="10"/>
  <c r="AI562" i="10"/>
  <c r="AK562" i="10"/>
  <c r="AI801" i="10"/>
  <c r="AK801" i="10"/>
  <c r="AK808" i="10"/>
  <c r="AI808" i="10"/>
  <c r="AK815" i="10"/>
  <c r="AI815" i="10"/>
  <c r="AK864" i="10"/>
  <c r="AI864" i="10"/>
  <c r="AI905" i="10"/>
  <c r="AK905" i="10"/>
  <c r="AK883" i="10"/>
  <c r="AI883" i="10"/>
  <c r="AK900" i="10"/>
  <c r="AI900" i="10"/>
  <c r="AI954" i="10"/>
  <c r="AK954" i="10"/>
  <c r="AI950" i="10"/>
  <c r="AK950" i="10"/>
  <c r="AI920" i="10"/>
  <c r="AK920" i="10"/>
  <c r="AI19" i="10"/>
  <c r="AK19" i="10"/>
  <c r="AI25" i="10"/>
  <c r="AK25" i="10"/>
  <c r="AK279" i="10"/>
  <c r="AI279" i="10"/>
  <c r="AI273" i="10"/>
  <c r="AK273" i="10"/>
  <c r="AK289" i="10"/>
  <c r="AI289" i="10"/>
  <c r="AM289" i="10" s="1"/>
  <c r="AI233" i="10"/>
  <c r="AK233" i="10"/>
  <c r="AK686" i="10"/>
  <c r="AI686" i="10"/>
  <c r="AI717" i="10"/>
  <c r="AK717" i="10"/>
  <c r="AK720" i="10"/>
  <c r="AI720" i="10"/>
  <c r="AI708" i="10"/>
  <c r="AK708" i="10"/>
  <c r="AI767" i="10"/>
  <c r="AK767" i="10"/>
  <c r="AI741" i="10"/>
  <c r="AK741" i="10"/>
  <c r="AK743" i="10"/>
  <c r="AI743" i="10"/>
  <c r="AK169" i="10"/>
  <c r="AI169" i="10"/>
  <c r="AK330" i="10"/>
  <c r="AI330" i="10"/>
  <c r="AI581" i="10"/>
  <c r="AK581" i="10"/>
  <c r="AI946" i="10"/>
  <c r="AK946" i="10"/>
  <c r="AK45" i="10"/>
  <c r="AI45" i="10"/>
  <c r="AI680" i="10"/>
  <c r="AK680" i="10"/>
  <c r="AI146" i="10"/>
  <c r="AK146" i="10"/>
  <c r="AI180" i="10"/>
  <c r="AK180" i="10"/>
  <c r="AK974" i="10"/>
  <c r="AI974" i="10"/>
  <c r="AI728" i="10"/>
  <c r="AK728" i="10"/>
  <c r="AI209" i="10"/>
  <c r="AK209" i="10"/>
  <c r="AI449" i="10"/>
  <c r="AK449" i="10"/>
  <c r="AI547" i="10"/>
  <c r="AK547" i="10"/>
  <c r="AK595" i="10"/>
  <c r="AI595" i="10"/>
  <c r="AI271" i="10"/>
  <c r="AK271" i="10"/>
  <c r="AK747" i="10"/>
  <c r="AI747" i="10"/>
  <c r="AK162" i="10"/>
  <c r="AI162" i="10"/>
  <c r="AI297" i="10"/>
  <c r="AK297" i="10"/>
  <c r="AI363" i="10"/>
  <c r="AK363" i="10"/>
  <c r="AI434" i="10"/>
  <c r="AK434" i="10"/>
  <c r="AI499" i="10"/>
  <c r="AK499" i="10"/>
  <c r="AI532" i="10"/>
  <c r="AK532" i="10"/>
  <c r="AK580" i="10"/>
  <c r="AI580" i="10"/>
  <c r="AI917" i="10"/>
  <c r="AK917" i="10"/>
  <c r="AI976" i="10"/>
  <c r="AK976" i="10"/>
  <c r="AI702" i="10"/>
  <c r="AK702" i="10"/>
  <c r="AI753" i="10"/>
  <c r="AK753" i="10"/>
  <c r="AI124" i="10"/>
  <c r="AK124" i="10"/>
  <c r="AI135" i="10"/>
  <c r="AK135" i="10"/>
  <c r="AK302" i="10"/>
  <c r="AI302" i="10"/>
  <c r="AI106" i="10"/>
  <c r="AK106" i="10"/>
  <c r="AI95" i="10"/>
  <c r="AK95" i="10"/>
  <c r="AI318" i="10"/>
  <c r="AK318" i="10"/>
  <c r="AI324" i="10"/>
  <c r="AK324" i="10"/>
  <c r="AI128" i="10"/>
  <c r="AK128" i="10"/>
  <c r="AK195" i="10"/>
  <c r="AI195" i="10"/>
  <c r="AI515" i="10"/>
  <c r="AK515" i="10"/>
  <c r="AI498" i="10"/>
  <c r="AK498" i="10"/>
  <c r="AI496" i="10"/>
  <c r="AK496" i="10"/>
  <c r="AI634" i="10"/>
  <c r="AK634" i="10"/>
  <c r="AI583" i="10"/>
  <c r="AK583" i="10"/>
  <c r="AK644" i="10"/>
  <c r="AI644" i="10"/>
  <c r="AI869" i="10"/>
  <c r="AK869" i="10"/>
  <c r="AI865" i="10"/>
  <c r="AK865" i="10"/>
  <c r="AI894" i="10"/>
  <c r="AK894" i="10"/>
  <c r="AI969" i="10"/>
  <c r="AK969" i="10"/>
  <c r="AI52" i="10"/>
  <c r="AK52" i="10"/>
  <c r="AI288" i="10"/>
  <c r="AK288" i="10"/>
  <c r="AI759" i="10"/>
  <c r="AK759" i="10"/>
  <c r="AI745" i="10"/>
  <c r="AK745" i="10"/>
  <c r="AI141" i="10"/>
  <c r="AK141" i="10"/>
  <c r="AK113" i="10"/>
  <c r="AI113" i="10"/>
  <c r="AM113" i="32" s="1"/>
  <c r="AK150" i="10"/>
  <c r="AI150" i="10"/>
  <c r="AI485" i="10"/>
  <c r="AK485" i="10"/>
  <c r="AI503" i="10"/>
  <c r="AK503" i="10"/>
  <c r="AI799" i="10"/>
  <c r="AK799" i="10"/>
  <c r="AI27" i="10"/>
  <c r="AK27" i="10"/>
  <c r="AI97" i="10"/>
  <c r="AK97" i="10"/>
  <c r="AI69" i="10"/>
  <c r="AK69" i="10"/>
  <c r="AI112" i="10"/>
  <c r="AM112" i="10" s="1"/>
  <c r="AK112" i="10"/>
  <c r="AK160" i="10"/>
  <c r="AI160" i="10"/>
  <c r="AK164" i="10"/>
  <c r="AI164" i="10"/>
  <c r="AI130" i="10"/>
  <c r="AK130" i="10"/>
  <c r="AI171" i="10"/>
  <c r="AK171" i="10"/>
  <c r="AK342" i="10"/>
  <c r="AI342" i="10"/>
  <c r="AK326" i="10"/>
  <c r="AI326" i="10"/>
  <c r="AK298" i="10"/>
  <c r="AI298" i="10"/>
  <c r="AI402" i="10"/>
  <c r="AK402" i="10"/>
  <c r="AI391" i="10"/>
  <c r="AK391" i="10"/>
  <c r="AI384" i="10"/>
  <c r="AM384" i="10" s="1"/>
  <c r="AK384" i="10"/>
  <c r="AK422" i="10"/>
  <c r="AI422" i="10"/>
  <c r="AI535" i="10"/>
  <c r="AK535" i="10"/>
  <c r="AI410" i="10"/>
  <c r="AK410" i="10"/>
  <c r="AI417" i="10"/>
  <c r="AK417" i="10"/>
  <c r="AI457" i="10"/>
  <c r="AK457" i="10"/>
  <c r="AI531" i="10"/>
  <c r="AK531" i="10"/>
  <c r="AK461" i="10"/>
  <c r="AI461" i="10"/>
  <c r="AI481" i="10"/>
  <c r="AK481" i="10"/>
  <c r="AI504" i="10"/>
  <c r="AK504" i="10"/>
  <c r="AK552" i="10"/>
  <c r="AI552" i="10"/>
  <c r="AK518" i="10"/>
  <c r="AI518" i="10"/>
  <c r="AK538" i="10"/>
  <c r="AI538" i="10"/>
  <c r="AK533" i="10"/>
  <c r="AI533" i="10"/>
  <c r="AI606" i="10"/>
  <c r="AK606" i="10"/>
  <c r="AI627" i="10"/>
  <c r="AK627" i="10"/>
  <c r="AI628" i="10"/>
  <c r="AK628" i="10"/>
  <c r="AI608" i="10"/>
  <c r="AK608" i="10"/>
  <c r="AK837" i="10"/>
  <c r="AI837" i="10"/>
  <c r="AK620" i="10"/>
  <c r="AI620" i="10"/>
  <c r="AI867" i="10"/>
  <c r="AK867" i="10"/>
  <c r="AK868" i="10"/>
  <c r="AI868" i="10"/>
  <c r="AI880" i="10"/>
  <c r="AK880" i="10"/>
  <c r="AK858" i="10"/>
  <c r="AI858" i="10"/>
  <c r="AM858" i="32" s="1"/>
  <c r="AI893" i="10"/>
  <c r="AK893" i="10"/>
  <c r="AK833" i="10"/>
  <c r="AI833" i="10"/>
  <c r="AK956" i="10"/>
  <c r="AI956" i="10"/>
  <c r="AI952" i="10"/>
  <c r="AK952" i="10"/>
  <c r="AI966" i="10"/>
  <c r="AK966" i="10"/>
  <c r="AI942" i="10"/>
  <c r="AK942" i="10"/>
  <c r="AI15" i="10"/>
  <c r="AK15" i="10"/>
  <c r="AK244" i="10"/>
  <c r="AI244" i="10"/>
  <c r="AI226" i="10"/>
  <c r="AK226" i="10"/>
  <c r="AK269" i="10"/>
  <c r="AI269" i="10"/>
  <c r="AK284" i="10"/>
  <c r="AI284" i="10"/>
  <c r="AI719" i="10"/>
  <c r="AK719" i="10"/>
  <c r="AK668" i="10"/>
  <c r="AI668" i="10"/>
  <c r="AI721" i="10"/>
  <c r="AK721" i="10"/>
  <c r="AI678" i="10"/>
  <c r="AK678" i="10"/>
  <c r="AI775" i="10"/>
  <c r="AK775" i="10"/>
  <c r="AK782" i="10"/>
  <c r="AI782" i="10"/>
  <c r="AI763" i="10"/>
  <c r="AK763" i="10"/>
  <c r="W218" i="11"/>
  <c r="T218" i="32" s="1"/>
  <c r="W289" i="11"/>
  <c r="T289" i="32" s="1"/>
  <c r="W112" i="11"/>
  <c r="T112" i="32" s="1"/>
  <c r="W290" i="11"/>
  <c r="T290" i="32" s="1"/>
  <c r="W216" i="11"/>
  <c r="T216" i="32" s="1"/>
  <c r="W113" i="11"/>
  <c r="T113" i="32" s="1"/>
  <c r="W111" i="11"/>
  <c r="T111" i="32" s="1"/>
  <c r="W217" i="11"/>
  <c r="T217" i="32" s="1"/>
  <c r="O119" i="24"/>
  <c r="O118" i="24"/>
  <c r="O111" i="24"/>
  <c r="O113" i="24"/>
  <c r="O112" i="24"/>
  <c r="O114" i="24"/>
  <c r="O106" i="24"/>
  <c r="O122" i="24"/>
  <c r="O116" i="24"/>
  <c r="O108" i="24"/>
  <c r="O110" i="24"/>
  <c r="O117" i="24"/>
  <c r="O121" i="24"/>
  <c r="O86" i="24"/>
  <c r="O88" i="24"/>
  <c r="O75" i="24"/>
  <c r="O81" i="24"/>
  <c r="O76" i="24"/>
  <c r="O85" i="24"/>
  <c r="O80" i="24"/>
  <c r="O77" i="24"/>
  <c r="O92" i="24"/>
  <c r="O90" i="24"/>
  <c r="O83" i="24"/>
  <c r="O91" i="24"/>
  <c r="O74" i="24"/>
  <c r="O84" i="24"/>
  <c r="O78" i="24"/>
  <c r="O97" i="24"/>
  <c r="AK13" i="10"/>
  <c r="AI13" i="10"/>
  <c r="U108" i="12" l="1"/>
  <c r="AI108" i="12"/>
  <c r="AI74" i="12"/>
  <c r="U74" i="12"/>
  <c r="U91" i="12"/>
  <c r="AI91" i="12"/>
  <c r="U116" i="12"/>
  <c r="AI116" i="12"/>
  <c r="U83" i="12"/>
  <c r="AI83" i="12"/>
  <c r="U122" i="12"/>
  <c r="AI122" i="12"/>
  <c r="U92" i="12"/>
  <c r="AI92" i="12"/>
  <c r="U114" i="12"/>
  <c r="AI114" i="12"/>
  <c r="U77" i="12"/>
  <c r="AI77" i="12"/>
  <c r="U112" i="12"/>
  <c r="AI112" i="12"/>
  <c r="U113" i="12"/>
  <c r="AI113" i="12"/>
  <c r="U90" i="12"/>
  <c r="AI90" i="12"/>
  <c r="U85" i="12"/>
  <c r="AI85" i="12"/>
  <c r="U111" i="12"/>
  <c r="AI111" i="12"/>
  <c r="AI106" i="12"/>
  <c r="U106" i="12"/>
  <c r="U80" i="12"/>
  <c r="AI80" i="12"/>
  <c r="U76" i="12"/>
  <c r="AI76" i="12"/>
  <c r="U118" i="12"/>
  <c r="AI118" i="12"/>
  <c r="U81" i="12"/>
  <c r="AI81" i="12"/>
  <c r="U119" i="12"/>
  <c r="AI119" i="12"/>
  <c r="U75" i="12"/>
  <c r="AI75" i="12"/>
  <c r="AI88" i="12"/>
  <c r="U88" i="12"/>
  <c r="U86" i="12"/>
  <c r="AI86" i="12"/>
  <c r="U97" i="12"/>
  <c r="AI97" i="12"/>
  <c r="U121" i="12"/>
  <c r="AI121" i="12"/>
  <c r="U78" i="12"/>
  <c r="AI78" i="12"/>
  <c r="U117" i="12"/>
  <c r="AI117" i="12"/>
  <c r="AI84" i="12"/>
  <c r="U84" i="12"/>
  <c r="U110" i="12"/>
  <c r="AI110" i="12"/>
  <c r="Q132" i="29" a="1"/>
  <c r="Q152" i="29" a="1"/>
  <c r="Q140" i="29" a="1"/>
  <c r="Q141" i="29" a="1"/>
  <c r="Q135" i="29" a="1"/>
  <c r="Q136" i="29" a="1"/>
  <c r="Q146" i="29" a="1"/>
  <c r="Q134" i="29" a="1"/>
  <c r="Q138" i="29" a="1"/>
  <c r="Q156" i="29" a="1"/>
  <c r="Q151" i="29" a="1"/>
  <c r="Q157" i="29" a="1"/>
  <c r="Q148" i="29" a="1"/>
  <c r="Q149" i="29" a="1"/>
  <c r="Q139" i="29" a="1"/>
  <c r="Q142" i="29" a="1"/>
  <c r="Q154" i="29" a="1"/>
  <c r="Q158" i="29" a="1"/>
  <c r="Q143" i="29" a="1"/>
  <c r="Q133" i="29" a="1"/>
  <c r="Q137" i="29" a="1"/>
  <c r="Q150" i="29" a="1"/>
  <c r="P152" i="29" a="1"/>
  <c r="P140" i="29" a="1"/>
  <c r="P141" i="29" a="1"/>
  <c r="P135" i="29" a="1"/>
  <c r="P146" i="29" a="1"/>
  <c r="P136" i="29" a="1"/>
  <c r="P156" i="29" a="1"/>
  <c r="P151" i="29" a="1"/>
  <c r="P154" i="29" a="1"/>
  <c r="P143" i="29" a="1"/>
  <c r="P150" i="29" a="1"/>
  <c r="P157" i="29" a="1"/>
  <c r="P138" i="29" a="1"/>
  <c r="P148" i="29" a="1"/>
  <c r="P149" i="29" a="1"/>
  <c r="P139" i="29" a="1"/>
  <c r="P142" i="29" a="1"/>
  <c r="P137" i="29" a="1"/>
  <c r="P132" i="29" a="1"/>
  <c r="P158" i="29" a="1"/>
  <c r="P133" i="29" a="1"/>
  <c r="P134" i="29" a="1"/>
  <c r="R151" i="29" a="1"/>
  <c r="R150" i="29" a="1"/>
  <c r="R152" i="29" a="1"/>
  <c r="R140" i="29" a="1"/>
  <c r="R141" i="29" a="1"/>
  <c r="R135" i="29" a="1"/>
  <c r="R132" i="29" a="1"/>
  <c r="R143" i="29" a="1"/>
  <c r="R136" i="29" a="1"/>
  <c r="R157" i="29" a="1"/>
  <c r="R146" i="29" a="1"/>
  <c r="R138" i="29" a="1"/>
  <c r="R158" i="29" a="1"/>
  <c r="R148" i="29" a="1"/>
  <c r="R149" i="29" a="1"/>
  <c r="R139" i="29" a="1"/>
  <c r="R156" i="29" a="1"/>
  <c r="R142" i="29" a="1"/>
  <c r="R133" i="29" a="1"/>
  <c r="R154" i="29" a="1"/>
  <c r="R137" i="29" a="1"/>
  <c r="R134" i="29" a="1"/>
  <c r="AL836" i="32"/>
  <c r="R71" i="24"/>
  <c r="X71" i="12" s="1"/>
  <c r="P71" i="24"/>
  <c r="V71" i="12" s="1"/>
  <c r="AL232" i="32"/>
  <c r="R73" i="29"/>
  <c r="AL231" i="32"/>
  <c r="P73" i="29"/>
  <c r="AL887" i="32"/>
  <c r="R103" i="29"/>
  <c r="Q71" i="24"/>
  <c r="W71" i="12" s="1"/>
  <c r="P103" i="29"/>
  <c r="Q103" i="29"/>
  <c r="AL866" i="32"/>
  <c r="AL843" i="32"/>
  <c r="Q29" i="29"/>
  <c r="Q73" i="29"/>
  <c r="P42" i="29"/>
  <c r="R42" i="29"/>
  <c r="Q42" i="29"/>
  <c r="R85" i="29"/>
  <c r="P29" i="29"/>
  <c r="Q85" i="29"/>
  <c r="P85" i="29"/>
  <c r="R29" i="29"/>
  <c r="AQ715" i="10"/>
  <c r="AL870" i="32"/>
  <c r="AQ714" i="10"/>
  <c r="Q90" i="29"/>
  <c r="Q68" i="29"/>
  <c r="R68" i="29"/>
  <c r="P68" i="29"/>
  <c r="AL749" i="32"/>
  <c r="P59" i="29"/>
  <c r="R63" i="29"/>
  <c r="P63" i="29"/>
  <c r="R90" i="29"/>
  <c r="P90" i="29"/>
  <c r="Q63" i="29"/>
  <c r="Q59" i="29"/>
  <c r="P154" i="24"/>
  <c r="V154" i="12" s="1"/>
  <c r="AL830" i="32"/>
  <c r="R150" i="24"/>
  <c r="X150" i="12" s="1"/>
  <c r="AL852" i="32"/>
  <c r="AL884" i="32"/>
  <c r="AL882" i="32"/>
  <c r="AL847" i="32"/>
  <c r="AL304" i="10"/>
  <c r="R59" i="29"/>
  <c r="Q115" i="29"/>
  <c r="AL876" i="32"/>
  <c r="R142" i="24"/>
  <c r="X142" i="12" s="1"/>
  <c r="P142" i="24"/>
  <c r="V142" i="12" s="1"/>
  <c r="AL846" i="32"/>
  <c r="AL878" i="32"/>
  <c r="AL867" i="32"/>
  <c r="AL832" i="32"/>
  <c r="AL874" i="32"/>
  <c r="AL857" i="32"/>
  <c r="AL890" i="32"/>
  <c r="AL851" i="32"/>
  <c r="Q149" i="24"/>
  <c r="W149" i="12" s="1"/>
  <c r="AL883" i="32"/>
  <c r="Q128" i="24"/>
  <c r="W128" i="12" s="1"/>
  <c r="AL895" i="32"/>
  <c r="AL837" i="32"/>
  <c r="Q142" i="24"/>
  <c r="W142" i="12" s="1"/>
  <c r="P150" i="24"/>
  <c r="V150" i="12" s="1"/>
  <c r="AL872" i="32"/>
  <c r="AL848" i="32"/>
  <c r="Q154" i="24"/>
  <c r="W154" i="12" s="1"/>
  <c r="P156" i="24"/>
  <c r="V156" i="12" s="1"/>
  <c r="AL889" i="32"/>
  <c r="AL834" i="32"/>
  <c r="AL877" i="32"/>
  <c r="Q140" i="24"/>
  <c r="W140" i="12" s="1"/>
  <c r="AL835" i="32"/>
  <c r="AL838" i="32"/>
  <c r="Q137" i="24"/>
  <c r="W137" i="12" s="1"/>
  <c r="P136" i="24"/>
  <c r="V136" i="12" s="1"/>
  <c r="R156" i="24"/>
  <c r="X156" i="12" s="1"/>
  <c r="Q134" i="24"/>
  <c r="W134" i="12" s="1"/>
  <c r="Q148" i="24"/>
  <c r="W148" i="12" s="1"/>
  <c r="P141" i="24"/>
  <c r="V141" i="12" s="1"/>
  <c r="AL864" i="32"/>
  <c r="AL871" i="32"/>
  <c r="Q73" i="24"/>
  <c r="W73" i="12" s="1"/>
  <c r="AL853" i="32"/>
  <c r="AL869" i="32"/>
  <c r="AL891" i="32"/>
  <c r="AL833" i="32"/>
  <c r="R134" i="24"/>
  <c r="X134" i="12" s="1"/>
  <c r="Q152" i="24"/>
  <c r="W152" i="12" s="1"/>
  <c r="R103" i="24"/>
  <c r="X103" i="12" s="1"/>
  <c r="P134" i="24"/>
  <c r="V134" i="12" s="1"/>
  <c r="Q103" i="24"/>
  <c r="W103" i="12" s="1"/>
  <c r="Q129" i="24"/>
  <c r="W129" i="12" s="1"/>
  <c r="P103" i="24"/>
  <c r="V103" i="12" s="1"/>
  <c r="Q132" i="24"/>
  <c r="W132" i="12" s="1"/>
  <c r="AL894" i="32"/>
  <c r="AL858" i="32"/>
  <c r="AL829" i="32"/>
  <c r="AL849" i="32"/>
  <c r="R143" i="24"/>
  <c r="X143" i="12" s="1"/>
  <c r="AL859" i="32"/>
  <c r="R149" i="24"/>
  <c r="X149" i="12" s="1"/>
  <c r="Q136" i="24"/>
  <c r="W136" i="12" s="1"/>
  <c r="R61" i="29"/>
  <c r="R148" i="24"/>
  <c r="X148" i="12" s="1"/>
  <c r="P145" i="24"/>
  <c r="V145" i="12" s="1"/>
  <c r="Q102" i="24"/>
  <c r="W102" i="12" s="1"/>
  <c r="Q102" i="29"/>
  <c r="P49" i="29"/>
  <c r="P49" i="24"/>
  <c r="V49" i="12" s="1"/>
  <c r="P107" i="29"/>
  <c r="R89" i="24"/>
  <c r="X89" i="12" s="1"/>
  <c r="R89" i="29"/>
  <c r="P125" i="29"/>
  <c r="P125" i="24"/>
  <c r="V125" i="12" s="1"/>
  <c r="R62" i="24"/>
  <c r="X62" i="12" s="1"/>
  <c r="R62" i="29"/>
  <c r="Q93" i="29"/>
  <c r="Q93" i="24"/>
  <c r="W93" i="12" s="1"/>
  <c r="Q107" i="29"/>
  <c r="R104" i="24"/>
  <c r="X104" i="12" s="1"/>
  <c r="Q96" i="24"/>
  <c r="W96" i="12" s="1"/>
  <c r="Q96" i="29"/>
  <c r="AL880" i="32"/>
  <c r="AL875" i="32"/>
  <c r="P56" i="24"/>
  <c r="V56" i="12" s="1"/>
  <c r="P56" i="29"/>
  <c r="R139" i="24"/>
  <c r="X139" i="12" s="1"/>
  <c r="Q146" i="24"/>
  <c r="W146" i="12" s="1"/>
  <c r="P65" i="24"/>
  <c r="V65" i="12" s="1"/>
  <c r="P67" i="24"/>
  <c r="V67" i="12" s="1"/>
  <c r="P67" i="29"/>
  <c r="R87" i="29"/>
  <c r="R87" i="24"/>
  <c r="X87" i="12" s="1"/>
  <c r="P104" i="24"/>
  <c r="V104" i="12" s="1"/>
  <c r="Q147" i="24"/>
  <c r="W147" i="12" s="1"/>
  <c r="R137" i="24"/>
  <c r="X137" i="12" s="1"/>
  <c r="P135" i="24"/>
  <c r="V135" i="12" s="1"/>
  <c r="P115" i="24"/>
  <c r="V115" i="12" s="1"/>
  <c r="P139" i="24"/>
  <c r="V139" i="12" s="1"/>
  <c r="Q157" i="24"/>
  <c r="W157" i="12" s="1"/>
  <c r="R65" i="24"/>
  <c r="X65" i="12" s="1"/>
  <c r="R146" i="24"/>
  <c r="X146" i="12" s="1"/>
  <c r="P87" i="24"/>
  <c r="V87" i="12" s="1"/>
  <c r="P87" i="29"/>
  <c r="Q105" i="24"/>
  <c r="W105" i="12" s="1"/>
  <c r="Q105" i="29"/>
  <c r="P100" i="24"/>
  <c r="V100" i="12" s="1"/>
  <c r="P100" i="29"/>
  <c r="AL839" i="32"/>
  <c r="Q87" i="29"/>
  <c r="Q87" i="24"/>
  <c r="W87" i="12" s="1"/>
  <c r="R115" i="29"/>
  <c r="R94" i="24"/>
  <c r="X94" i="12" s="1"/>
  <c r="R94" i="29"/>
  <c r="P94" i="24"/>
  <c r="V94" i="12" s="1"/>
  <c r="P94" i="29"/>
  <c r="R73" i="24"/>
  <c r="X73" i="12" s="1"/>
  <c r="P137" i="24"/>
  <c r="V137" i="12" s="1"/>
  <c r="Q143" i="24"/>
  <c r="W143" i="12" s="1"/>
  <c r="R154" i="24"/>
  <c r="X154" i="12" s="1"/>
  <c r="R123" i="29"/>
  <c r="R123" i="24"/>
  <c r="X123" i="12" s="1"/>
  <c r="Q123" i="24"/>
  <c r="W123" i="12" s="1"/>
  <c r="Q123" i="29"/>
  <c r="Q139" i="24"/>
  <c r="W139" i="12" s="1"/>
  <c r="R152" i="24"/>
  <c r="X152" i="12" s="1"/>
  <c r="P146" i="24"/>
  <c r="V146" i="12" s="1"/>
  <c r="P68" i="24"/>
  <c r="V68" i="12" s="1"/>
  <c r="P101" i="29"/>
  <c r="P101" i="24"/>
  <c r="V101" i="12" s="1"/>
  <c r="P127" i="29" a="1"/>
  <c r="P129" i="29" a="1"/>
  <c r="P128" i="29" a="1"/>
  <c r="P126" i="29" a="1"/>
  <c r="P131" i="29" a="1"/>
  <c r="P105" i="24"/>
  <c r="V105" i="12" s="1"/>
  <c r="P105" i="29"/>
  <c r="Q66" i="29"/>
  <c r="Q66" i="24"/>
  <c r="W66" i="12" s="1"/>
  <c r="R105" i="24"/>
  <c r="X105" i="12" s="1"/>
  <c r="R105" i="29"/>
  <c r="AL893" i="32"/>
  <c r="P127" i="24"/>
  <c r="V127" i="12" s="1"/>
  <c r="R79" i="24"/>
  <c r="X79" i="12" s="1"/>
  <c r="R79" i="29"/>
  <c r="P62" i="29"/>
  <c r="P62" i="24"/>
  <c r="V62" i="12" s="1"/>
  <c r="Q98" i="29"/>
  <c r="Q98" i="24"/>
  <c r="W98" i="12" s="1"/>
  <c r="R147" i="24"/>
  <c r="X147" i="12" s="1"/>
  <c r="P89" i="29"/>
  <c r="P89" i="24"/>
  <c r="V89" i="12" s="1"/>
  <c r="AL865" i="32"/>
  <c r="R135" i="24"/>
  <c r="X135" i="12" s="1"/>
  <c r="R115" i="24"/>
  <c r="X115" i="12" s="1"/>
  <c r="R125" i="24"/>
  <c r="X125" i="12" s="1"/>
  <c r="R125" i="29"/>
  <c r="Q135" i="24"/>
  <c r="W135" i="12" s="1"/>
  <c r="P157" i="24"/>
  <c r="V157" i="12" s="1"/>
  <c r="Q43" i="24"/>
  <c r="W43" i="12" s="1"/>
  <c r="AL828" i="32"/>
  <c r="AL885" i="32"/>
  <c r="AL868" i="32"/>
  <c r="P73" i="24"/>
  <c r="V73" i="12" s="1"/>
  <c r="P123" i="24"/>
  <c r="V123" i="12" s="1"/>
  <c r="P123" i="29"/>
  <c r="R66" i="29"/>
  <c r="R66" i="24"/>
  <c r="X66" i="12" s="1"/>
  <c r="Q101" i="29"/>
  <c r="Q101" i="24"/>
  <c r="W101" i="12" s="1"/>
  <c r="R82" i="29"/>
  <c r="R82" i="24"/>
  <c r="X82" i="12" s="1"/>
  <c r="P152" i="24"/>
  <c r="V152" i="12" s="1"/>
  <c r="R140" i="24"/>
  <c r="X140" i="12" s="1"/>
  <c r="Q61" i="29"/>
  <c r="Q68" i="24"/>
  <c r="W68" i="12" s="1"/>
  <c r="P82" i="29"/>
  <c r="P82" i="24"/>
  <c r="V82" i="12" s="1"/>
  <c r="P140" i="24"/>
  <c r="V140" i="12" s="1"/>
  <c r="P43" i="24"/>
  <c r="V43" i="12" s="1"/>
  <c r="P96" i="24"/>
  <c r="V96" i="12" s="1"/>
  <c r="P96" i="29"/>
  <c r="P50" i="24"/>
  <c r="V50" i="12" s="1"/>
  <c r="P50" i="29"/>
  <c r="R95" i="24"/>
  <c r="X95" i="12" s="1"/>
  <c r="R95" i="29"/>
  <c r="R153" i="24"/>
  <c r="X153" i="12" s="1"/>
  <c r="Q49" i="29"/>
  <c r="Q49" i="24"/>
  <c r="W49" i="12" s="1"/>
  <c r="R107" i="29"/>
  <c r="Q79" i="29"/>
  <c r="Q79" i="24"/>
  <c r="W79" i="12" s="1"/>
  <c r="Q67" i="24"/>
  <c r="W67" i="12" s="1"/>
  <c r="Q67" i="29"/>
  <c r="Q131" i="29" a="1"/>
  <c r="Q127" i="29" a="1"/>
  <c r="Q126" i="29" a="1"/>
  <c r="Q128" i="29" a="1"/>
  <c r="Q129" i="29" a="1"/>
  <c r="Q125" i="24"/>
  <c r="W125" i="12" s="1"/>
  <c r="Q125" i="29"/>
  <c r="Q100" i="29"/>
  <c r="Q100" i="24"/>
  <c r="W100" i="12" s="1"/>
  <c r="AL850" i="32"/>
  <c r="P147" i="24"/>
  <c r="V147" i="12" s="1"/>
  <c r="AL831" i="32"/>
  <c r="AL892" i="32"/>
  <c r="P109" i="29"/>
  <c r="P109" i="24"/>
  <c r="V109" i="12" s="1"/>
  <c r="Q56" i="24"/>
  <c r="W56" i="12" s="1"/>
  <c r="Q56" i="29"/>
  <c r="Q94" i="24"/>
  <c r="W94" i="12" s="1"/>
  <c r="Q94" i="29"/>
  <c r="Q109" i="29"/>
  <c r="Q109" i="24"/>
  <c r="W109" i="12" s="1"/>
  <c r="P66" i="29"/>
  <c r="P66" i="24"/>
  <c r="V66" i="12" s="1"/>
  <c r="P149" i="24"/>
  <c r="V149" i="12" s="1"/>
  <c r="R109" i="24"/>
  <c r="X109" i="12" s="1"/>
  <c r="R109" i="29"/>
  <c r="Q104" i="24"/>
  <c r="W104" i="12" s="1"/>
  <c r="Q145" i="24"/>
  <c r="W145" i="12" s="1"/>
  <c r="Q126" i="24"/>
  <c r="W126" i="12" s="1"/>
  <c r="P61" i="29"/>
  <c r="Q150" i="24"/>
  <c r="W150" i="12" s="1"/>
  <c r="Q72" i="24"/>
  <c r="W72" i="12" s="1"/>
  <c r="Q72" i="29"/>
  <c r="R43" i="24"/>
  <c r="X43" i="12" s="1"/>
  <c r="R102" i="24"/>
  <c r="X102" i="12" s="1"/>
  <c r="R102" i="29"/>
  <c r="Q120" i="24"/>
  <c r="W120" i="12" s="1"/>
  <c r="Q120" i="29"/>
  <c r="R100" i="29"/>
  <c r="R100" i="24"/>
  <c r="X100" i="12" s="1"/>
  <c r="R127" i="29" a="1"/>
  <c r="R129" i="29" a="1"/>
  <c r="R131" i="29" a="1"/>
  <c r="R126" i="29" a="1"/>
  <c r="R128" i="29" a="1"/>
  <c r="R127" i="24"/>
  <c r="X127" i="12" s="1"/>
  <c r="R49" i="29"/>
  <c r="R49" i="24"/>
  <c r="X49" i="12" s="1"/>
  <c r="P79" i="29"/>
  <c r="P79" i="24"/>
  <c r="V79" i="12" s="1"/>
  <c r="R126" i="24"/>
  <c r="X126" i="12" s="1"/>
  <c r="R56" i="24"/>
  <c r="X56" i="12" s="1"/>
  <c r="R56" i="29"/>
  <c r="P126" i="24"/>
  <c r="V126" i="12" s="1"/>
  <c r="AL842" i="32"/>
  <c r="AL879" i="32"/>
  <c r="P143" i="24"/>
  <c r="V143" i="12" s="1"/>
  <c r="Q95" i="29"/>
  <c r="Q95" i="24"/>
  <c r="W95" i="12" s="1"/>
  <c r="P120" i="24"/>
  <c r="V120" i="12" s="1"/>
  <c r="P120" i="29"/>
  <c r="R128" i="24"/>
  <c r="X128" i="12" s="1"/>
  <c r="R151" i="24"/>
  <c r="X151" i="12" s="1"/>
  <c r="Q156" i="24"/>
  <c r="W156" i="12" s="1"/>
  <c r="R72" i="24"/>
  <c r="X72" i="12" s="1"/>
  <c r="R72" i="29"/>
  <c r="R99" i="24"/>
  <c r="X99" i="12" s="1"/>
  <c r="R99" i="29"/>
  <c r="Q65" i="24"/>
  <c r="W65" i="12" s="1"/>
  <c r="P148" i="24"/>
  <c r="V148" i="12" s="1"/>
  <c r="P93" i="29"/>
  <c r="P93" i="24"/>
  <c r="V93" i="12" s="1"/>
  <c r="R138" i="24"/>
  <c r="X138" i="12" s="1"/>
  <c r="R98" i="29"/>
  <c r="R98" i="24"/>
  <c r="X98" i="12" s="1"/>
  <c r="P102" i="24"/>
  <c r="V102" i="12" s="1"/>
  <c r="P102" i="29"/>
  <c r="Q104" i="29"/>
  <c r="P104" i="29"/>
  <c r="P72" i="24"/>
  <c r="V72" i="12" s="1"/>
  <c r="P72" i="29"/>
  <c r="P99" i="29"/>
  <c r="P99" i="24"/>
  <c r="V99" i="12" s="1"/>
  <c r="R129" i="24"/>
  <c r="X129" i="12" s="1"/>
  <c r="Q153" i="24"/>
  <c r="W153" i="12" s="1"/>
  <c r="Q62" i="24"/>
  <c r="W62" i="12" s="1"/>
  <c r="Q62" i="29"/>
  <c r="R93" i="29"/>
  <c r="R93" i="24"/>
  <c r="X93" i="12" s="1"/>
  <c r="Q99" i="24"/>
  <c r="W99" i="12" s="1"/>
  <c r="Q99" i="29"/>
  <c r="P138" i="24"/>
  <c r="V138" i="12" s="1"/>
  <c r="R132" i="24"/>
  <c r="X132" i="12" s="1"/>
  <c r="P98" i="24"/>
  <c r="V98" i="12" s="1"/>
  <c r="P98" i="29"/>
  <c r="Q141" i="24"/>
  <c r="W141" i="12" s="1"/>
  <c r="R104" i="29"/>
  <c r="R96" i="24"/>
  <c r="X96" i="12" s="1"/>
  <c r="R96" i="29"/>
  <c r="R50" i="24"/>
  <c r="X50" i="12" s="1"/>
  <c r="R50" i="29"/>
  <c r="Q50" i="24"/>
  <c r="W50" i="12" s="1"/>
  <c r="Q50" i="29"/>
  <c r="P95" i="29"/>
  <c r="P95" i="24"/>
  <c r="V95" i="12" s="1"/>
  <c r="Q89" i="24"/>
  <c r="W89" i="12" s="1"/>
  <c r="Q89" i="29"/>
  <c r="P153" i="24"/>
  <c r="V153" i="12" s="1"/>
  <c r="P115" i="29"/>
  <c r="AL888" i="32"/>
  <c r="R157" i="24"/>
  <c r="X157" i="12" s="1"/>
  <c r="R67" i="24"/>
  <c r="X67" i="12" s="1"/>
  <c r="R67" i="29"/>
  <c r="AL844" i="32"/>
  <c r="T125" i="24"/>
  <c r="Z125" i="12" s="1"/>
  <c r="T125" i="29"/>
  <c r="R120" i="29"/>
  <c r="R120" i="24"/>
  <c r="X120" i="12" s="1"/>
  <c r="P128" i="24"/>
  <c r="V128" i="12" s="1"/>
  <c r="P151" i="24"/>
  <c r="V151" i="12" s="1"/>
  <c r="Q115" i="24"/>
  <c r="W115" i="12" s="1"/>
  <c r="AL845" i="32"/>
  <c r="AL898" i="32"/>
  <c r="AL886" i="32"/>
  <c r="Q127" i="24"/>
  <c r="W127" i="12" s="1"/>
  <c r="R136" i="24"/>
  <c r="X136" i="12" s="1"/>
  <c r="R145" i="24"/>
  <c r="X145" i="12" s="1"/>
  <c r="Q82" i="29"/>
  <c r="Q82" i="24"/>
  <c r="W82" i="12" s="1"/>
  <c r="P129" i="24"/>
  <c r="V129" i="12" s="1"/>
  <c r="R68" i="24"/>
  <c r="X68" i="12" s="1"/>
  <c r="Q138" i="24"/>
  <c r="W138" i="12" s="1"/>
  <c r="R101" i="29"/>
  <c r="R101" i="24"/>
  <c r="X101" i="12" s="1"/>
  <c r="R141" i="24"/>
  <c r="X141" i="12" s="1"/>
  <c r="P132" i="24"/>
  <c r="V132" i="12" s="1"/>
  <c r="AQ588" i="10"/>
  <c r="AQ592" i="10"/>
  <c r="AQ591" i="10"/>
  <c r="AQ590" i="10"/>
  <c r="AQ587" i="10"/>
  <c r="AQ593" i="10"/>
  <c r="AQ589" i="10"/>
  <c r="AQ586" i="10"/>
  <c r="AP853" i="10"/>
  <c r="AP744" i="10"/>
  <c r="AP321" i="10"/>
  <c r="AP950" i="10"/>
  <c r="AP340" i="10"/>
  <c r="AP697" i="10"/>
  <c r="AP979" i="10"/>
  <c r="AP829" i="10"/>
  <c r="AP409" i="10"/>
  <c r="AP535" i="10"/>
  <c r="AP427" i="10"/>
  <c r="AP107" i="10"/>
  <c r="AP600" i="10"/>
  <c r="AM217" i="32"/>
  <c r="AP753" i="10"/>
  <c r="AM475" i="32"/>
  <c r="AP778" i="10"/>
  <c r="AM216" i="32"/>
  <c r="AM655" i="32"/>
  <c r="AM289" i="32"/>
  <c r="AM657" i="32"/>
  <c r="AM384" i="32"/>
  <c r="AP888" i="10"/>
  <c r="AP559" i="10"/>
  <c r="AL208" i="10"/>
  <c r="AQ208" i="32" s="1"/>
  <c r="AL208" i="32"/>
  <c r="AL852" i="10"/>
  <c r="AL104" i="10"/>
  <c r="AQ104" i="32" s="1"/>
  <c r="AL104" i="32"/>
  <c r="AL921" i="10"/>
  <c r="AQ921" i="32" s="1"/>
  <c r="AL921" i="32"/>
  <c r="AL549" i="10"/>
  <c r="AQ549" i="32" s="1"/>
  <c r="AL549" i="32"/>
  <c r="AL393" i="10"/>
  <c r="AQ393" i="32" s="1"/>
  <c r="AL393" i="32"/>
  <c r="AL50" i="10"/>
  <c r="AQ50" i="32" s="1"/>
  <c r="AL50" i="32"/>
  <c r="AL680" i="10"/>
  <c r="AQ680" i="32" s="1"/>
  <c r="AL680" i="32"/>
  <c r="AL376" i="10"/>
  <c r="AL701" i="10"/>
  <c r="AL831" i="10"/>
  <c r="AL151" i="10"/>
  <c r="AQ151" i="32" s="1"/>
  <c r="AL151" i="32"/>
  <c r="AL953" i="10"/>
  <c r="AQ953" i="32" s="1"/>
  <c r="AL953" i="32"/>
  <c r="AL626" i="10"/>
  <c r="AQ626" i="32" s="1"/>
  <c r="AL626" i="32"/>
  <c r="AL957" i="10"/>
  <c r="AQ957" i="32" s="1"/>
  <c r="AL957" i="32"/>
  <c r="AL907" i="10"/>
  <c r="AQ907" i="32" s="1"/>
  <c r="AL907" i="32"/>
  <c r="AP968" i="10"/>
  <c r="AP968" i="32"/>
  <c r="AP489" i="10"/>
  <c r="AP489" i="32"/>
  <c r="AP177" i="10"/>
  <c r="AP177" i="32"/>
  <c r="AP802" i="10"/>
  <c r="AP802" i="32"/>
  <c r="AP717" i="10"/>
  <c r="AP358" i="10"/>
  <c r="AP358" i="32"/>
  <c r="AP767" i="10"/>
  <c r="AP767" i="32"/>
  <c r="AP809" i="10"/>
  <c r="AP809" i="32"/>
  <c r="AP133" i="10"/>
  <c r="AP133" i="32"/>
  <c r="AP784" i="10"/>
  <c r="AP784" i="32"/>
  <c r="AL880" i="10"/>
  <c r="AL606" i="10"/>
  <c r="AQ606" i="32" s="1"/>
  <c r="AL606" i="32"/>
  <c r="AL531" i="10"/>
  <c r="AQ531" i="32" s="1"/>
  <c r="AL531" i="32"/>
  <c r="AL402" i="10"/>
  <c r="AQ402" i="32" s="1"/>
  <c r="AL402" i="32"/>
  <c r="AL112" i="10"/>
  <c r="AQ112" i="10" s="1"/>
  <c r="AL150" i="10"/>
  <c r="AQ150" i="32" s="1"/>
  <c r="AL150" i="32"/>
  <c r="AL894" i="10"/>
  <c r="AL515" i="10"/>
  <c r="AQ515" i="32" s="1"/>
  <c r="AL515" i="32"/>
  <c r="AL135" i="10"/>
  <c r="AL499" i="10"/>
  <c r="AQ499" i="32" s="1"/>
  <c r="AL499" i="32"/>
  <c r="AL547" i="10"/>
  <c r="AQ547" i="32" s="1"/>
  <c r="AL547" i="32"/>
  <c r="AL279" i="10"/>
  <c r="AQ279" i="32" s="1"/>
  <c r="AL279" i="32"/>
  <c r="AL883" i="10"/>
  <c r="AL638" i="10"/>
  <c r="AQ638" i="32" s="1"/>
  <c r="AL638" i="32"/>
  <c r="AL526" i="10"/>
  <c r="AQ526" i="32" s="1"/>
  <c r="AL526" i="32"/>
  <c r="AL372" i="10"/>
  <c r="AL338" i="10"/>
  <c r="AL576" i="10"/>
  <c r="AQ576" i="32" s="1"/>
  <c r="AL576" i="32"/>
  <c r="AL168" i="10"/>
  <c r="AQ168" i="32" s="1"/>
  <c r="AL168" i="32"/>
  <c r="AL78" i="10"/>
  <c r="AL589" i="32"/>
  <c r="AL962" i="10"/>
  <c r="AQ962" i="32" s="1"/>
  <c r="AL962" i="32"/>
  <c r="AL428" i="10"/>
  <c r="AQ428" i="32" s="1"/>
  <c r="AL428" i="32"/>
  <c r="AL940" i="10"/>
  <c r="AQ940" i="32" s="1"/>
  <c r="AL940" i="32"/>
  <c r="AL394" i="10"/>
  <c r="AQ394" i="32" s="1"/>
  <c r="AL394" i="32"/>
  <c r="AL849" i="10"/>
  <c r="AL90" i="10"/>
  <c r="AQ90" i="32" s="1"/>
  <c r="AL90" i="32"/>
  <c r="AL780" i="10"/>
  <c r="AQ780" i="32" s="1"/>
  <c r="AL780" i="32"/>
  <c r="AL395" i="10"/>
  <c r="AQ395" i="32" s="1"/>
  <c r="AL395" i="32"/>
  <c r="AL622" i="10"/>
  <c r="AQ622" i="32" s="1"/>
  <c r="AL622" i="32"/>
  <c r="AL734" i="10"/>
  <c r="AQ734" i="10" s="1"/>
  <c r="AL734" i="32"/>
  <c r="AL41" i="10"/>
  <c r="AQ41" i="32" s="1"/>
  <c r="AL41" i="32"/>
  <c r="AL889" i="10"/>
  <c r="AL51" i="10"/>
  <c r="AQ51" i="32" s="1"/>
  <c r="AL51" i="32"/>
  <c r="AL822" i="10"/>
  <c r="AQ822" i="32" s="1"/>
  <c r="AL822" i="32"/>
  <c r="AL250" i="10"/>
  <c r="AQ250" i="32" s="1"/>
  <c r="AL250" i="32"/>
  <c r="AL973" i="10"/>
  <c r="AQ973" i="32" s="1"/>
  <c r="AL973" i="32"/>
  <c r="AL469" i="10"/>
  <c r="AQ469" i="32" s="1"/>
  <c r="AL469" i="32"/>
  <c r="AL344" i="10"/>
  <c r="AQ344" i="32" s="1"/>
  <c r="AL344" i="32"/>
  <c r="AL134" i="10"/>
  <c r="AQ134" i="32" s="1"/>
  <c r="AL134" i="32"/>
  <c r="AP942" i="10"/>
  <c r="AL30" i="10"/>
  <c r="AQ30" i="32" s="1"/>
  <c r="AL30" i="32"/>
  <c r="AL817" i="10"/>
  <c r="AQ817" i="32" s="1"/>
  <c r="AL817" i="32"/>
  <c r="AL764" i="10"/>
  <c r="AQ764" i="32" s="1"/>
  <c r="AL764" i="32"/>
  <c r="AL651" i="10"/>
  <c r="AL810" i="10"/>
  <c r="AQ810" i="32" s="1"/>
  <c r="AL810" i="32"/>
  <c r="AL39" i="10"/>
  <c r="AT39" i="10" s="1"/>
  <c r="AL713" i="10"/>
  <c r="AL641" i="10"/>
  <c r="AQ641" i="32" s="1"/>
  <c r="AL641" i="32"/>
  <c r="AL579" i="10"/>
  <c r="AQ579" i="32" s="1"/>
  <c r="AL579" i="32"/>
  <c r="AL945" i="10"/>
  <c r="AQ945" i="32" s="1"/>
  <c r="AL945" i="32"/>
  <c r="AL645" i="10"/>
  <c r="AL575" i="10"/>
  <c r="AQ575" i="32" s="1"/>
  <c r="AL575" i="32"/>
  <c r="AL400" i="10"/>
  <c r="AQ400" i="32" s="1"/>
  <c r="AL400" i="32"/>
  <c r="AL188" i="10"/>
  <c r="AQ188" i="32" s="1"/>
  <c r="AL188" i="32"/>
  <c r="AL582" i="10"/>
  <c r="AQ582" i="32" s="1"/>
  <c r="AL582" i="32"/>
  <c r="AL888" i="10"/>
  <c r="AL742" i="10"/>
  <c r="AQ742" i="32" s="1"/>
  <c r="AL742" i="32"/>
  <c r="AL260" i="10"/>
  <c r="AQ260" i="32" s="1"/>
  <c r="AL260" i="32"/>
  <c r="AL823" i="10"/>
  <c r="AQ823" i="32" s="1"/>
  <c r="AL823" i="32"/>
  <c r="AL516" i="10"/>
  <c r="AQ516" i="32" s="1"/>
  <c r="AL516" i="32"/>
  <c r="AL313" i="10"/>
  <c r="AL313" i="32"/>
  <c r="AL777" i="10"/>
  <c r="AQ777" i="32" s="1"/>
  <c r="AL777" i="32"/>
  <c r="AL278" i="10"/>
  <c r="AQ278" i="32" s="1"/>
  <c r="AL278" i="32"/>
  <c r="AL668" i="10"/>
  <c r="AQ668" i="32" s="1"/>
  <c r="AL668" i="32"/>
  <c r="AL708" i="10"/>
  <c r="AQ708" i="32" s="1"/>
  <c r="AL708" i="32"/>
  <c r="AL25" i="10"/>
  <c r="AQ25" i="32" s="1"/>
  <c r="AL25" i="32"/>
  <c r="AL905" i="10"/>
  <c r="AQ905" i="32" s="1"/>
  <c r="AL905" i="32"/>
  <c r="AL92" i="10"/>
  <c r="AQ92" i="32" s="1"/>
  <c r="AL92" i="32"/>
  <c r="AL96" i="10"/>
  <c r="AQ96" i="32" s="1"/>
  <c r="AL96" i="32"/>
  <c r="AL806" i="10"/>
  <c r="AQ806" i="32" s="1"/>
  <c r="AL806" i="32"/>
  <c r="AL781" i="10"/>
  <c r="AQ781" i="32" s="1"/>
  <c r="AL781" i="32"/>
  <c r="AL31" i="10"/>
  <c r="AQ31" i="32" s="1"/>
  <c r="AL31" i="32"/>
  <c r="AL938" i="10"/>
  <c r="AQ938" i="32" s="1"/>
  <c r="AL938" i="32"/>
  <c r="AL621" i="10"/>
  <c r="AQ621" i="32" s="1"/>
  <c r="AL621" i="32"/>
  <c r="AL510" i="10"/>
  <c r="AQ510" i="32" s="1"/>
  <c r="AL510" i="32"/>
  <c r="AL111" i="10"/>
  <c r="AL805" i="10"/>
  <c r="AQ805" i="32" s="1"/>
  <c r="AL805" i="32"/>
  <c r="AL176" i="10"/>
  <c r="AQ176" i="32" s="1"/>
  <c r="AL176" i="32"/>
  <c r="AL103" i="10"/>
  <c r="AQ103" i="32" s="1"/>
  <c r="AL103" i="32"/>
  <c r="AL874" i="10"/>
  <c r="AL355" i="10"/>
  <c r="AQ355" i="32" s="1"/>
  <c r="AL355" i="32"/>
  <c r="AL136" i="10"/>
  <c r="AQ136" i="32" s="1"/>
  <c r="AL136" i="32"/>
  <c r="AL231" i="10"/>
  <c r="AL356" i="10"/>
  <c r="AQ356" i="32" s="1"/>
  <c r="AL356" i="32"/>
  <c r="AL901" i="10"/>
  <c r="AQ901" i="32" s="1"/>
  <c r="AL901" i="32"/>
  <c r="AL91" i="10"/>
  <c r="AQ91" i="32" s="1"/>
  <c r="AL91" i="32"/>
  <c r="AL771" i="10"/>
  <c r="AQ771" i="32" s="1"/>
  <c r="AL771" i="32"/>
  <c r="AL824" i="10"/>
  <c r="AQ824" i="32" s="1"/>
  <c r="AL824" i="32"/>
  <c r="AL955" i="10"/>
  <c r="AQ955" i="32" s="1"/>
  <c r="AL955" i="32"/>
  <c r="AL915" i="10"/>
  <c r="AQ915" i="32" s="1"/>
  <c r="AL915" i="32"/>
  <c r="AL261" i="10"/>
  <c r="AL611" i="10"/>
  <c r="AQ611" i="32" s="1"/>
  <c r="AL611" i="32"/>
  <c r="AL975" i="10"/>
  <c r="AQ975" i="32" s="1"/>
  <c r="AL975" i="32"/>
  <c r="AL508" i="10"/>
  <c r="AQ508" i="32" s="1"/>
  <c r="AL508" i="32"/>
  <c r="AL421" i="10"/>
  <c r="AQ421" i="32" s="1"/>
  <c r="AL421" i="32"/>
  <c r="AL88" i="10"/>
  <c r="AQ88" i="32" s="1"/>
  <c r="AL88" i="32"/>
  <c r="AP966" i="10"/>
  <c r="AL453" i="10"/>
  <c r="AQ453" i="32" s="1"/>
  <c r="AL453" i="32"/>
  <c r="AL155" i="10"/>
  <c r="AQ155" i="32" s="1"/>
  <c r="AL155" i="32"/>
  <c r="AL631" i="10"/>
  <c r="AQ631" i="32" s="1"/>
  <c r="AL631" i="32"/>
  <c r="AL522" i="10"/>
  <c r="AQ522" i="32" s="1"/>
  <c r="AL522" i="32"/>
  <c r="AL93" i="10"/>
  <c r="AQ93" i="32" s="1"/>
  <c r="AL93" i="32"/>
  <c r="AL961" i="10"/>
  <c r="AQ961" i="32" s="1"/>
  <c r="AL961" i="32"/>
  <c r="AL423" i="10"/>
  <c r="AQ423" i="32" s="1"/>
  <c r="AL423" i="32"/>
  <c r="AL206" i="10"/>
  <c r="AQ206" i="32" s="1"/>
  <c r="AL206" i="32"/>
  <c r="AL282" i="10"/>
  <c r="AQ282" i="32" s="1"/>
  <c r="AL282" i="32"/>
  <c r="AL931" i="10"/>
  <c r="AT931" i="10" s="1"/>
  <c r="AL931" i="32"/>
  <c r="AL473" i="10"/>
  <c r="AQ473" i="32" s="1"/>
  <c r="AL473" i="32"/>
  <c r="AL978" i="10"/>
  <c r="AL647" i="10"/>
  <c r="AL411" i="10"/>
  <c r="AQ411" i="32" s="1"/>
  <c r="AL411" i="32"/>
  <c r="AL866" i="10"/>
  <c r="AL388" i="10"/>
  <c r="AQ388" i="32" s="1"/>
  <c r="AL388" i="32"/>
  <c r="AL175" i="10"/>
  <c r="AQ175" i="32" s="1"/>
  <c r="AL175" i="32"/>
  <c r="AP26" i="10"/>
  <c r="AP26" i="32"/>
  <c r="AP522" i="10"/>
  <c r="AP522" i="32"/>
  <c r="AP295" i="10"/>
  <c r="AP295" i="32"/>
  <c r="AP320" i="10"/>
  <c r="AP320" i="32"/>
  <c r="AP736" i="10"/>
  <c r="AP736" i="32"/>
  <c r="AP804" i="10"/>
  <c r="AP804" i="32"/>
  <c r="AP303" i="10"/>
  <c r="AP303" i="32"/>
  <c r="AP325" i="10"/>
  <c r="AP325" i="32"/>
  <c r="AP286" i="10"/>
  <c r="AP286" i="32"/>
  <c r="AP734" i="10"/>
  <c r="AP734" i="32"/>
  <c r="AP183" i="10"/>
  <c r="AP183" i="32"/>
  <c r="AP865" i="10"/>
  <c r="AP280" i="10"/>
  <c r="AP280" i="32"/>
  <c r="AP897" i="10"/>
  <c r="AP526" i="10"/>
  <c r="AP526" i="32"/>
  <c r="AP537" i="10"/>
  <c r="AP537" i="32"/>
  <c r="AP351" i="10"/>
  <c r="AP351" i="32"/>
  <c r="AP184" i="10"/>
  <c r="AP184" i="32"/>
  <c r="AP123" i="10"/>
  <c r="AP123" i="32"/>
  <c r="AP13" i="10"/>
  <c r="AP13" i="32"/>
  <c r="AP652" i="10"/>
  <c r="AP491" i="10"/>
  <c r="AP491" i="32"/>
  <c r="AP618" i="10"/>
  <c r="AP618" i="32"/>
  <c r="AP86" i="10"/>
  <c r="AP86" i="32"/>
  <c r="AP676" i="10"/>
  <c r="AP676" i="32"/>
  <c r="AP285" i="10"/>
  <c r="AP285" i="32"/>
  <c r="AP42" i="10"/>
  <c r="AP42" i="32"/>
  <c r="AP923" i="10"/>
  <c r="AP895" i="10"/>
  <c r="AP512" i="10"/>
  <c r="AP512" i="32"/>
  <c r="AP109" i="10"/>
  <c r="AP109" i="32"/>
  <c r="AP704" i="10"/>
  <c r="AP555" i="10"/>
  <c r="AP555" i="32"/>
  <c r="AP92" i="10"/>
  <c r="AP92" i="32"/>
  <c r="AP632" i="10"/>
  <c r="AP632" i="32"/>
  <c r="AP275" i="10"/>
  <c r="AP747" i="10"/>
  <c r="AP747" i="32"/>
  <c r="AP807" i="10"/>
  <c r="AP807" i="32"/>
  <c r="AP266" i="10"/>
  <c r="AP266" i="32"/>
  <c r="AP854" i="10"/>
  <c r="AP776" i="10"/>
  <c r="AP776" i="32"/>
  <c r="AP318" i="10"/>
  <c r="AP318" i="32"/>
  <c r="AP259" i="10"/>
  <c r="AP523" i="10"/>
  <c r="AP772" i="10"/>
  <c r="AP772" i="32"/>
  <c r="AP171" i="10"/>
  <c r="AP171" i="32"/>
  <c r="AP963" i="10"/>
  <c r="AP963" i="32"/>
  <c r="AP741" i="10"/>
  <c r="AP741" i="32"/>
  <c r="AP728" i="10"/>
  <c r="AP728" i="32"/>
  <c r="AP232" i="10"/>
  <c r="AP839" i="10"/>
  <c r="AP567" i="10"/>
  <c r="AP567" i="32"/>
  <c r="AP521" i="10"/>
  <c r="AP438" i="10"/>
  <c r="AP438" i="32"/>
  <c r="AP400" i="10"/>
  <c r="AP400" i="32"/>
  <c r="AP129" i="10"/>
  <c r="AP129" i="32"/>
  <c r="AP544" i="10"/>
  <c r="AP192" i="10"/>
  <c r="AP192" i="32"/>
  <c r="AP813" i="10"/>
  <c r="AP813" i="32"/>
  <c r="AP203" i="10"/>
  <c r="AP203" i="32"/>
  <c r="AP449" i="10"/>
  <c r="AP449" i="32"/>
  <c r="AP622" i="10"/>
  <c r="AP622" i="32"/>
  <c r="AP750" i="10"/>
  <c r="AP750" i="32"/>
  <c r="AP39" i="10"/>
  <c r="AP834" i="10"/>
  <c r="AP611" i="10"/>
  <c r="AP611" i="32"/>
  <c r="AP448" i="10"/>
  <c r="AP448" i="32"/>
  <c r="AP461" i="10"/>
  <c r="AP461" i="32"/>
  <c r="AP621" i="10"/>
  <c r="AP621" i="32"/>
  <c r="AP51" i="10"/>
  <c r="AP51" i="32"/>
  <c r="AP638" i="10"/>
  <c r="AP638" i="32"/>
  <c r="AP130" i="10"/>
  <c r="AP132" i="10"/>
  <c r="AP132" i="32"/>
  <c r="AP915" i="10"/>
  <c r="AP915" i="32"/>
  <c r="AP558" i="10"/>
  <c r="AP492" i="10"/>
  <c r="AP492" i="32"/>
  <c r="AP408" i="10"/>
  <c r="AP408" i="32"/>
  <c r="AP404" i="10"/>
  <c r="AP404" i="32"/>
  <c r="AP170" i="10"/>
  <c r="AP170" i="32"/>
  <c r="AP47" i="10"/>
  <c r="AP47" i="32"/>
  <c r="AP230" i="10"/>
  <c r="AP230" i="32"/>
  <c r="AP799" i="10"/>
  <c r="AP799" i="32"/>
  <c r="AP577" i="10"/>
  <c r="AP577" i="32"/>
  <c r="AP506" i="10"/>
  <c r="AP506" i="32"/>
  <c r="AP342" i="10"/>
  <c r="AP342" i="32"/>
  <c r="AP208" i="10"/>
  <c r="AP208" i="32"/>
  <c r="AP59" i="10"/>
  <c r="AP59" i="32"/>
  <c r="AP737" i="10"/>
  <c r="AP737" i="32"/>
  <c r="AP235" i="10"/>
  <c r="AP235" i="32"/>
  <c r="AP53" i="10"/>
  <c r="AP53" i="32"/>
  <c r="AP394" i="10"/>
  <c r="AP394" i="32"/>
  <c r="AP311" i="10"/>
  <c r="AP311" i="32"/>
  <c r="AP961" i="10"/>
  <c r="AP961" i="32"/>
  <c r="AP329" i="10"/>
  <c r="AP329" i="32"/>
  <c r="AP545" i="10"/>
  <c r="AP545" i="32"/>
  <c r="AP745" i="10"/>
  <c r="AP745" i="32"/>
  <c r="AP838" i="10"/>
  <c r="AP578" i="10"/>
  <c r="AP578" i="32"/>
  <c r="AP105" i="10"/>
  <c r="AP105" i="32"/>
  <c r="AP441" i="10"/>
  <c r="AP441" i="32"/>
  <c r="AP218" i="10"/>
  <c r="AP218" i="32"/>
  <c r="AP352" i="10"/>
  <c r="AP352" i="32"/>
  <c r="AP708" i="10"/>
  <c r="AP708" i="32"/>
  <c r="AP216" i="10"/>
  <c r="AP216" i="32"/>
  <c r="AP921" i="10"/>
  <c r="AP921" i="32"/>
  <c r="AP189" i="10"/>
  <c r="AP189" i="32"/>
  <c r="AP901" i="10"/>
  <c r="AP901" i="32"/>
  <c r="AP179" i="10"/>
  <c r="AP179" i="32"/>
  <c r="AP843" i="10"/>
  <c r="AP548" i="10"/>
  <c r="AP322" i="10"/>
  <c r="AP322" i="32"/>
  <c r="AL719" i="10"/>
  <c r="AL942" i="10"/>
  <c r="AL457" i="10"/>
  <c r="AQ457" i="32" s="1"/>
  <c r="AL457" i="32"/>
  <c r="AL69" i="10"/>
  <c r="AQ69" i="32" s="1"/>
  <c r="AL69" i="32"/>
  <c r="AL113" i="10"/>
  <c r="AR113" i="10" s="1"/>
  <c r="AL113" i="32"/>
  <c r="AL865" i="10"/>
  <c r="AL124" i="10"/>
  <c r="AQ124" i="32" s="1"/>
  <c r="AL124" i="32"/>
  <c r="AL434" i="10"/>
  <c r="AQ434" i="32" s="1"/>
  <c r="AL434" i="32"/>
  <c r="AL449" i="10"/>
  <c r="AQ449" i="32" s="1"/>
  <c r="AL449" i="32"/>
  <c r="AL45" i="10"/>
  <c r="AQ45" i="32" s="1"/>
  <c r="AL45" i="32"/>
  <c r="AL618" i="10"/>
  <c r="AQ618" i="32" s="1"/>
  <c r="AL618" i="32"/>
  <c r="AL412" i="10"/>
  <c r="AQ412" i="32" s="1"/>
  <c r="AL412" i="32"/>
  <c r="AL382" i="10"/>
  <c r="AQ382" i="10" s="1"/>
  <c r="AL382" i="32"/>
  <c r="AL366" i="10"/>
  <c r="AQ366" i="32" s="1"/>
  <c r="AL366" i="32"/>
  <c r="AL722" i="10"/>
  <c r="AQ722" i="32" s="1"/>
  <c r="AL722" i="32"/>
  <c r="AL476" i="10"/>
  <c r="AU476" i="10" s="1"/>
  <c r="AL476" i="32"/>
  <c r="AL138" i="10"/>
  <c r="AQ138" i="32" s="1"/>
  <c r="AL138" i="32"/>
  <c r="AL183" i="10"/>
  <c r="AQ183" i="32" s="1"/>
  <c r="AL183" i="32"/>
  <c r="AL540" i="10"/>
  <c r="AQ540" i="32" s="1"/>
  <c r="AL540" i="32"/>
  <c r="AP904" i="10"/>
  <c r="AL827" i="10"/>
  <c r="AP543" i="10"/>
  <c r="AL677" i="10"/>
  <c r="AQ677" i="32" s="1"/>
  <c r="AL677" i="32"/>
  <c r="AL406" i="10"/>
  <c r="AL406" i="32"/>
  <c r="AL186" i="10"/>
  <c r="AQ186" i="32" s="1"/>
  <c r="AL186" i="32"/>
  <c r="AP585" i="10"/>
  <c r="AL738" i="10"/>
  <c r="AL352" i="10"/>
  <c r="AQ352" i="32" s="1"/>
  <c r="AL352" i="32"/>
  <c r="AL463" i="10"/>
  <c r="AQ463" i="32" s="1"/>
  <c r="AL463" i="32"/>
  <c r="AL18" i="10"/>
  <c r="AQ18" i="32" s="1"/>
  <c r="AL18" i="32"/>
  <c r="AL748" i="10"/>
  <c r="AQ748" i="32" s="1"/>
  <c r="AL748" i="32"/>
  <c r="AL230" i="10"/>
  <c r="AQ230" i="32" s="1"/>
  <c r="AL230" i="32"/>
  <c r="AL35" i="10"/>
  <c r="AQ35" i="32" s="1"/>
  <c r="AL35" i="32"/>
  <c r="AL850" i="10"/>
  <c r="AL174" i="10"/>
  <c r="AQ174" i="32" s="1"/>
  <c r="AL174" i="32"/>
  <c r="AL281" i="10"/>
  <c r="AQ281" i="32" s="1"/>
  <c r="AL281" i="32"/>
  <c r="AL871" i="10"/>
  <c r="AL751" i="10"/>
  <c r="AQ751" i="32" s="1"/>
  <c r="AL751" i="32"/>
  <c r="AL340" i="10"/>
  <c r="AQ340" i="32" s="1"/>
  <c r="AL340" i="32"/>
  <c r="AL709" i="10"/>
  <c r="AL977" i="10"/>
  <c r="AQ977" i="32" s="1"/>
  <c r="AL977" i="32"/>
  <c r="AL317" i="10"/>
  <c r="AQ317" i="32" s="1"/>
  <c r="AL317" i="32"/>
  <c r="AL670" i="10"/>
  <c r="AQ670" i="32" s="1"/>
  <c r="AL670" i="32"/>
  <c r="AL963" i="10"/>
  <c r="AQ963" i="32" s="1"/>
  <c r="AL963" i="32"/>
  <c r="AL506" i="10"/>
  <c r="AQ506" i="32" s="1"/>
  <c r="AL506" i="32"/>
  <c r="AL270" i="10"/>
  <c r="AQ270" i="32" s="1"/>
  <c r="AL270" i="32"/>
  <c r="AL811" i="10"/>
  <c r="AQ811" i="32" s="1"/>
  <c r="AL811" i="32"/>
  <c r="AL521" i="10"/>
  <c r="AL68" i="10"/>
  <c r="AQ68" i="32" s="1"/>
  <c r="AL68" i="32"/>
  <c r="AL891" i="10"/>
  <c r="AP871" i="10"/>
  <c r="AL560" i="10"/>
  <c r="AL389" i="10"/>
  <c r="AQ389" i="32" s="1"/>
  <c r="AL389" i="32"/>
  <c r="AL79" i="10"/>
  <c r="AQ79" i="32" s="1"/>
  <c r="AL79" i="32"/>
  <c r="AL442" i="10"/>
  <c r="AQ442" i="32" s="1"/>
  <c r="AL442" i="32"/>
  <c r="AL774" i="10"/>
  <c r="AQ774" i="32" s="1"/>
  <c r="AL774" i="32"/>
  <c r="AP247" i="10"/>
  <c r="AL625" i="10"/>
  <c r="AQ625" i="32" s="1"/>
  <c r="AL625" i="32"/>
  <c r="AL543" i="10"/>
  <c r="AQ543" i="32" s="1"/>
  <c r="AL543" i="32"/>
  <c r="AL407" i="10"/>
  <c r="AQ407" i="10" s="1"/>
  <c r="AL407" i="32"/>
  <c r="AL768" i="10"/>
  <c r="AQ768" i="32" s="1"/>
  <c r="AL768" i="32"/>
  <c r="AL980" i="10"/>
  <c r="AR980" i="10" s="1"/>
  <c r="AL624" i="10"/>
  <c r="AQ624" i="32" s="1"/>
  <c r="AL624" i="32"/>
  <c r="AL217" i="10"/>
  <c r="AQ217" i="10" s="1"/>
  <c r="AL217" i="32"/>
  <c r="AM383" i="32"/>
  <c r="AM568" i="32"/>
  <c r="AM786" i="32"/>
  <c r="AL627" i="10"/>
  <c r="AL498" i="10"/>
  <c r="AQ498" i="32" s="1"/>
  <c r="AL498" i="32"/>
  <c r="AL565" i="10"/>
  <c r="AQ565" i="32" s="1"/>
  <c r="AL565" i="32"/>
  <c r="AL415" i="10"/>
  <c r="AQ415" i="32" s="1"/>
  <c r="AL415" i="32"/>
  <c r="AL89" i="10"/>
  <c r="AQ89" i="32" s="1"/>
  <c r="AL89" i="32"/>
  <c r="AL591" i="32"/>
  <c r="AL951" i="10"/>
  <c r="AQ951" i="32" s="1"/>
  <c r="AL951" i="32"/>
  <c r="AL949" i="10"/>
  <c r="AQ949" i="32" s="1"/>
  <c r="AL949" i="32"/>
  <c r="AL564" i="10"/>
  <c r="AL429" i="10"/>
  <c r="AQ429" i="32" s="1"/>
  <c r="AL429" i="32"/>
  <c r="AL693" i="10"/>
  <c r="AQ693" i="32" s="1"/>
  <c r="AL693" i="32"/>
  <c r="AL334" i="10"/>
  <c r="AQ334" i="32" s="1"/>
  <c r="AL334" i="32"/>
  <c r="AL623" i="10"/>
  <c r="AQ623" i="32" s="1"/>
  <c r="AL623" i="32"/>
  <c r="AL534" i="10"/>
  <c r="AQ534" i="32" s="1"/>
  <c r="AL534" i="32"/>
  <c r="AL487" i="10"/>
  <c r="AQ487" i="32" s="1"/>
  <c r="AL487" i="32"/>
  <c r="AL711" i="10"/>
  <c r="AQ711" i="32" s="1"/>
  <c r="AL711" i="32"/>
  <c r="AL819" i="10"/>
  <c r="AQ819" i="32" s="1"/>
  <c r="AL819" i="32"/>
  <c r="AL215" i="10"/>
  <c r="AQ215" i="32" s="1"/>
  <c r="AL215" i="32"/>
  <c r="AL732" i="10"/>
  <c r="AQ732" i="32" s="1"/>
  <c r="AL732" i="32"/>
  <c r="AP943" i="10"/>
  <c r="AP518" i="10"/>
  <c r="AP258" i="10"/>
  <c r="AP258" i="32"/>
  <c r="AP405" i="10"/>
  <c r="AP405" i="32"/>
  <c r="AP656" i="10"/>
  <c r="AP656" i="32"/>
  <c r="AP374" i="10"/>
  <c r="AP758" i="10"/>
  <c r="AP758" i="32"/>
  <c r="AP832" i="10"/>
  <c r="AP156" i="10"/>
  <c r="AP156" i="32"/>
  <c r="AP689" i="10"/>
  <c r="AP689" i="32"/>
  <c r="AP456" i="10"/>
  <c r="AP456" i="32"/>
  <c r="AP949" i="10"/>
  <c r="AP949" i="32"/>
  <c r="AP347" i="10"/>
  <c r="AP604" i="10"/>
  <c r="AP604" i="32"/>
  <c r="AP182" i="10"/>
  <c r="AP182" i="32"/>
  <c r="AL868" i="10"/>
  <c r="AL599" i="10"/>
  <c r="AQ599" i="32" s="1"/>
  <c r="AL599" i="32"/>
  <c r="AL67" i="10"/>
  <c r="AQ67" i="32" s="1"/>
  <c r="AL67" i="32"/>
  <c r="AL924" i="10"/>
  <c r="AQ924" i="32" s="1"/>
  <c r="AL924" i="32"/>
  <c r="AL200" i="10"/>
  <c r="AQ200" i="32" s="1"/>
  <c r="AL200" i="32"/>
  <c r="AL752" i="10"/>
  <c r="AQ752" i="32" s="1"/>
  <c r="AL752" i="32"/>
  <c r="AL266" i="10"/>
  <c r="AQ266" i="32" s="1"/>
  <c r="AL266" i="32"/>
  <c r="AP821" i="10"/>
  <c r="AP821" i="32"/>
  <c r="AP66" i="10"/>
  <c r="AP66" i="32"/>
  <c r="AP978" i="10"/>
  <c r="AP373" i="10"/>
  <c r="AP831" i="10"/>
  <c r="AP825" i="10"/>
  <c r="AP825" i="32"/>
  <c r="AP550" i="10"/>
  <c r="AP550" i="32"/>
  <c r="AP349" i="10"/>
  <c r="AP956" i="10"/>
  <c r="AP956" i="32"/>
  <c r="AP619" i="10"/>
  <c r="AP619" i="32"/>
  <c r="AP176" i="10"/>
  <c r="AP176" i="32"/>
  <c r="AP606" i="10"/>
  <c r="AP606" i="32"/>
  <c r="AP856" i="10"/>
  <c r="AP474" i="10"/>
  <c r="AP474" i="32"/>
  <c r="AP591" i="32"/>
  <c r="AL363" i="10"/>
  <c r="AQ363" i="32" s="1"/>
  <c r="AL363" i="32"/>
  <c r="AL86" i="10"/>
  <c r="AQ86" i="32" s="1"/>
  <c r="AL86" i="32"/>
  <c r="AL881" i="10"/>
  <c r="AL798" i="10"/>
  <c r="AQ798" i="32" s="1"/>
  <c r="AL798" i="32"/>
  <c r="AL418" i="10"/>
  <c r="AQ418" i="32" s="1"/>
  <c r="AL418" i="32"/>
  <c r="AL139" i="10"/>
  <c r="AQ139" i="32" s="1"/>
  <c r="AL139" i="32"/>
  <c r="AL523" i="10"/>
  <c r="AL779" i="10"/>
  <c r="AQ779" i="32" s="1"/>
  <c r="AL779" i="32"/>
  <c r="AL397" i="10"/>
  <c r="AQ397" i="32" s="1"/>
  <c r="AL397" i="32"/>
  <c r="AL450" i="10"/>
  <c r="AQ450" i="32" s="1"/>
  <c r="AL450" i="32"/>
  <c r="AL118" i="10"/>
  <c r="AQ118" i="32" s="1"/>
  <c r="AL118" i="32"/>
  <c r="AL610" i="10"/>
  <c r="AQ610" i="32" s="1"/>
  <c r="AL610" i="32"/>
  <c r="AL295" i="10"/>
  <c r="AQ295" i="32" s="1"/>
  <c r="AL295" i="32"/>
  <c r="AL326" i="10"/>
  <c r="AQ326" i="32" s="1"/>
  <c r="AL326" i="32"/>
  <c r="AL581" i="10"/>
  <c r="AQ581" i="32" s="1"/>
  <c r="AL581" i="32"/>
  <c r="AL672" i="10"/>
  <c r="AQ672" i="32" s="1"/>
  <c r="AL672" i="32"/>
  <c r="AL392" i="10"/>
  <c r="AQ392" i="32" s="1"/>
  <c r="AL392" i="32"/>
  <c r="AL968" i="10"/>
  <c r="AQ968" i="32" s="1"/>
  <c r="AL968" i="32"/>
  <c r="AL191" i="10"/>
  <c r="AQ191" i="32" s="1"/>
  <c r="AL191" i="32"/>
  <c r="AL908" i="10"/>
  <c r="AQ908" i="32" s="1"/>
  <c r="AL908" i="32"/>
  <c r="AL472" i="10"/>
  <c r="AQ472" i="32" s="1"/>
  <c r="AL472" i="32"/>
  <c r="AL310" i="10"/>
  <c r="AQ310" i="32" s="1"/>
  <c r="AL310" i="32"/>
  <c r="AL127" i="10"/>
  <c r="AQ127" i="32" s="1"/>
  <c r="AL127" i="32"/>
  <c r="AL505" i="10"/>
  <c r="AQ505" i="32" s="1"/>
  <c r="AL505" i="32"/>
  <c r="AP443" i="10"/>
  <c r="AP443" i="32"/>
  <c r="AP554" i="10"/>
  <c r="AP331" i="10"/>
  <c r="AP331" i="32"/>
  <c r="AP674" i="10"/>
  <c r="AP674" i="32"/>
  <c r="AP391" i="10"/>
  <c r="AP391" i="32"/>
  <c r="AP124" i="10"/>
  <c r="AP124" i="32"/>
  <c r="AP426" i="10"/>
  <c r="AP426" i="32"/>
  <c r="AP15" i="10"/>
  <c r="AP15" i="32"/>
  <c r="AP500" i="10"/>
  <c r="AP482" i="10"/>
  <c r="AP482" i="32"/>
  <c r="AP110" i="10"/>
  <c r="AP110" i="32"/>
  <c r="AP905" i="10"/>
  <c r="AP905" i="32"/>
  <c r="AP882" i="10"/>
  <c r="AP824" i="10"/>
  <c r="AP824" i="32"/>
  <c r="AP906" i="10"/>
  <c r="AP906" i="32"/>
  <c r="AP738" i="10"/>
  <c r="AP206" i="10"/>
  <c r="AP206" i="32"/>
  <c r="AP155" i="10"/>
  <c r="AP155" i="32"/>
  <c r="AP517" i="10"/>
  <c r="AP517" i="32"/>
  <c r="AP195" i="10"/>
  <c r="AP195" i="32"/>
  <c r="AP575" i="10"/>
  <c r="AP575" i="32"/>
  <c r="AL324" i="10"/>
  <c r="AQ324" i="32" s="1"/>
  <c r="AL324" i="32"/>
  <c r="AL815" i="10"/>
  <c r="AQ815" i="32" s="1"/>
  <c r="AL815" i="32"/>
  <c r="AL544" i="10"/>
  <c r="AL144" i="10"/>
  <c r="AQ144" i="32" s="1"/>
  <c r="AL144" i="32"/>
  <c r="AL462" i="10"/>
  <c r="AQ462" i="32" s="1"/>
  <c r="AL462" i="32"/>
  <c r="AL671" i="10"/>
  <c r="AQ671" i="32" s="1"/>
  <c r="AL671" i="32"/>
  <c r="AL257" i="10"/>
  <c r="AQ257" i="32" s="1"/>
  <c r="AL257" i="32"/>
  <c r="AL673" i="10"/>
  <c r="AQ673" i="32" s="1"/>
  <c r="AL673" i="32"/>
  <c r="AL351" i="10"/>
  <c r="AQ351" i="32" s="1"/>
  <c r="AL351" i="32"/>
  <c r="AL542" i="10"/>
  <c r="AQ542" i="32" s="1"/>
  <c r="AL542" i="32"/>
  <c r="AL197" i="10"/>
  <c r="AQ197" i="32" s="1"/>
  <c r="AL197" i="32"/>
  <c r="AM476" i="32"/>
  <c r="AL950" i="10"/>
  <c r="AQ950" i="32" s="1"/>
  <c r="AL950" i="32"/>
  <c r="AL377" i="10"/>
  <c r="AL309" i="10"/>
  <c r="AQ309" i="32" s="1"/>
  <c r="AL309" i="32"/>
  <c r="AL593" i="32"/>
  <c r="AL793" i="10"/>
  <c r="AQ793" i="32" s="1"/>
  <c r="AL793" i="32"/>
  <c r="AL316" i="10"/>
  <c r="AQ316" i="32" s="1"/>
  <c r="AL316" i="32"/>
  <c r="AL399" i="10"/>
  <c r="AQ399" i="32" s="1"/>
  <c r="AL399" i="32"/>
  <c r="AL528" i="10"/>
  <c r="AQ528" i="32" s="1"/>
  <c r="AL528" i="32"/>
  <c r="AL465" i="10"/>
  <c r="AQ465" i="32" s="1"/>
  <c r="AL465" i="32"/>
  <c r="AP94" i="10"/>
  <c r="AP94" i="32"/>
  <c r="AP369" i="10"/>
  <c r="AP369" i="32"/>
  <c r="AP898" i="10"/>
  <c r="AP278" i="10"/>
  <c r="AP278" i="32"/>
  <c r="AP440" i="10"/>
  <c r="AP440" i="32"/>
  <c r="AP796" i="10"/>
  <c r="AP796" i="32"/>
  <c r="AP891" i="10"/>
  <c r="AP25" i="10"/>
  <c r="AP25" i="32"/>
  <c r="AP459" i="10"/>
  <c r="AP459" i="32"/>
  <c r="AP432" i="10"/>
  <c r="AP432" i="32"/>
  <c r="AP504" i="10"/>
  <c r="AP504" i="32"/>
  <c r="AP180" i="10"/>
  <c r="AP180" i="32"/>
  <c r="AP149" i="10"/>
  <c r="AP149" i="32"/>
  <c r="AP835" i="10"/>
  <c r="AP494" i="10"/>
  <c r="AP494" i="32"/>
  <c r="AP210" i="10"/>
  <c r="AP210" i="32"/>
  <c r="AP82" i="10"/>
  <c r="AP82" i="32"/>
  <c r="AP965" i="10"/>
  <c r="AP965" i="32"/>
  <c r="AP389" i="10"/>
  <c r="AP389" i="32"/>
  <c r="AP346" i="10"/>
  <c r="AP346" i="32"/>
  <c r="AL13" i="10"/>
  <c r="AQ13" i="32" s="1"/>
  <c r="AL13" i="32"/>
  <c r="AL226" i="10"/>
  <c r="AQ226" i="32" s="1"/>
  <c r="AL226" i="32"/>
  <c r="AL535" i="10"/>
  <c r="AQ535" i="32" s="1"/>
  <c r="AL535" i="32"/>
  <c r="AL171" i="10"/>
  <c r="AQ171" i="32" s="1"/>
  <c r="AL171" i="32"/>
  <c r="AL799" i="10"/>
  <c r="AQ799" i="32" s="1"/>
  <c r="AL799" i="32"/>
  <c r="AL583" i="10"/>
  <c r="AQ583" i="32" s="1"/>
  <c r="AL583" i="32"/>
  <c r="AL318" i="10"/>
  <c r="AQ318" i="32" s="1"/>
  <c r="AL318" i="32"/>
  <c r="AL976" i="10"/>
  <c r="AL330" i="10"/>
  <c r="AQ330" i="32" s="1"/>
  <c r="AL330" i="32"/>
  <c r="AL686" i="10"/>
  <c r="AQ686" i="32" s="1"/>
  <c r="AL686" i="32"/>
  <c r="AL519" i="10"/>
  <c r="AQ519" i="32" s="1"/>
  <c r="AL519" i="32"/>
  <c r="AL205" i="10"/>
  <c r="AQ205" i="32" s="1"/>
  <c r="AL205" i="32"/>
  <c r="AL125" i="10"/>
  <c r="AQ125" i="32" s="1"/>
  <c r="AL125" i="32"/>
  <c r="AL437" i="10"/>
  <c r="AQ437" i="32" s="1"/>
  <c r="AL437" i="32"/>
  <c r="AL147" i="10"/>
  <c r="AL249" i="10"/>
  <c r="AQ249" i="32" s="1"/>
  <c r="AL249" i="32"/>
  <c r="AL218" i="10"/>
  <c r="AQ218" i="10" s="1"/>
  <c r="AL218" i="32"/>
  <c r="AL201" i="10"/>
  <c r="AQ201" i="32" s="1"/>
  <c r="AL201" i="32"/>
  <c r="AL483" i="10"/>
  <c r="AQ483" i="32" s="1"/>
  <c r="AL483" i="32"/>
  <c r="AL769" i="10"/>
  <c r="AQ769" i="32" s="1"/>
  <c r="AL769" i="32"/>
  <c r="AL253" i="10"/>
  <c r="AQ253" i="32" s="1"/>
  <c r="AL253" i="32"/>
  <c r="AL918" i="10"/>
  <c r="AQ918" i="32" s="1"/>
  <c r="AL918" i="32"/>
  <c r="AL157" i="10"/>
  <c r="AQ157" i="32" s="1"/>
  <c r="AL157" i="32"/>
  <c r="AL248" i="10"/>
  <c r="AQ248" i="32" s="1"/>
  <c r="AL248" i="32"/>
  <c r="AL40" i="10"/>
  <c r="AQ40" i="32" s="1"/>
  <c r="AL40" i="32"/>
  <c r="AL47" i="10"/>
  <c r="AQ47" i="32" s="1"/>
  <c r="AL47" i="32"/>
  <c r="AL578" i="10"/>
  <c r="AQ578" i="32" s="1"/>
  <c r="AL578" i="32"/>
  <c r="AL277" i="10"/>
  <c r="AQ277" i="32" s="1"/>
  <c r="AL277" i="32"/>
  <c r="AL928" i="10"/>
  <c r="AL607" i="10"/>
  <c r="AQ607" i="32" s="1"/>
  <c r="AL607" i="32"/>
  <c r="AL123" i="10"/>
  <c r="AQ123" i="32" s="1"/>
  <c r="AL123" i="32"/>
  <c r="AL712" i="10"/>
  <c r="AQ712" i="32" s="1"/>
  <c r="AL712" i="32"/>
  <c r="AL56" i="10"/>
  <c r="AQ56" i="32" s="1"/>
  <c r="AL56" i="32"/>
  <c r="AL857" i="10"/>
  <c r="AL458" i="10"/>
  <c r="AQ458" i="32" s="1"/>
  <c r="AL458" i="32"/>
  <c r="AL53" i="10"/>
  <c r="AQ53" i="32" s="1"/>
  <c r="AL53" i="32"/>
  <c r="AL346" i="10"/>
  <c r="AQ346" i="32" s="1"/>
  <c r="AL346" i="32"/>
  <c r="AL813" i="10"/>
  <c r="AQ813" i="32" s="1"/>
  <c r="AL813" i="32"/>
  <c r="AL381" i="10"/>
  <c r="AQ381" i="32" s="1"/>
  <c r="AL381" i="32"/>
  <c r="AL731" i="10"/>
  <c r="AQ731" i="32" s="1"/>
  <c r="AL731" i="32"/>
  <c r="AL568" i="10"/>
  <c r="AQ568" i="10" s="1"/>
  <c r="AL568" i="32"/>
  <c r="AL451" i="10"/>
  <c r="AQ451" i="32" s="1"/>
  <c r="AL451" i="32"/>
  <c r="AL307" i="10"/>
  <c r="AQ307" i="32" s="1"/>
  <c r="AL307" i="32"/>
  <c r="AL619" i="10"/>
  <c r="AQ619" i="32" s="1"/>
  <c r="AL619" i="32"/>
  <c r="AL749" i="10"/>
  <c r="AL797" i="10"/>
  <c r="AQ797" i="32" s="1"/>
  <c r="AL797" i="32"/>
  <c r="AL600" i="10"/>
  <c r="AQ600" i="32" s="1"/>
  <c r="AL600" i="32"/>
  <c r="AL494" i="10"/>
  <c r="AQ494" i="32" s="1"/>
  <c r="AL494" i="32"/>
  <c r="AL373" i="10"/>
  <c r="AL906" i="10"/>
  <c r="AQ906" i="32" s="1"/>
  <c r="AL906" i="32"/>
  <c r="AL452" i="10"/>
  <c r="AQ452" i="32" s="1"/>
  <c r="AL452" i="32"/>
  <c r="AL369" i="10"/>
  <c r="AQ369" i="32" s="1"/>
  <c r="AL369" i="32"/>
  <c r="AL48" i="10"/>
  <c r="AQ48" i="32" s="1"/>
  <c r="AL48" i="32"/>
  <c r="AL895" i="10"/>
  <c r="AL746" i="10"/>
  <c r="AQ746" i="32" s="1"/>
  <c r="AL746" i="32"/>
  <c r="AL892" i="10"/>
  <c r="AL615" i="10"/>
  <c r="AQ615" i="32" s="1"/>
  <c r="AL615" i="32"/>
  <c r="AL489" i="10"/>
  <c r="AQ489" i="32" s="1"/>
  <c r="AL489" i="32"/>
  <c r="AL357" i="10"/>
  <c r="AQ357" i="32" s="1"/>
  <c r="AL357" i="32"/>
  <c r="AL299" i="10"/>
  <c r="AQ299" i="32" s="1"/>
  <c r="AL299" i="32"/>
  <c r="AL688" i="10"/>
  <c r="AQ688" i="32" s="1"/>
  <c r="AL688" i="32"/>
  <c r="AL38" i="10"/>
  <c r="AQ38" i="32" s="1"/>
  <c r="AL38" i="32"/>
  <c r="AL890" i="10"/>
  <c r="AL87" i="10"/>
  <c r="AQ87" i="32" s="1"/>
  <c r="AL87" i="32"/>
  <c r="AL532" i="10"/>
  <c r="AQ532" i="32" s="1"/>
  <c r="AL532" i="32"/>
  <c r="AL698" i="10"/>
  <c r="AQ698" i="32" s="1"/>
  <c r="AL698" i="32"/>
  <c r="AL401" i="10"/>
  <c r="AQ401" i="32" s="1"/>
  <c r="AL401" i="32"/>
  <c r="AL493" i="10"/>
  <c r="AQ493" i="32" s="1"/>
  <c r="AL493" i="32"/>
  <c r="AL830" i="10"/>
  <c r="AL322" i="10"/>
  <c r="AQ322" i="32" s="1"/>
  <c r="AL322" i="32"/>
  <c r="AL240" i="10"/>
  <c r="AQ240" i="32" s="1"/>
  <c r="AL240" i="32"/>
  <c r="AL858" i="10"/>
  <c r="AL274" i="10"/>
  <c r="AQ274" i="32" s="1"/>
  <c r="AL274" i="32"/>
  <c r="AL937" i="10"/>
  <c r="AQ937" i="32" s="1"/>
  <c r="AL937" i="32"/>
  <c r="AL362" i="10"/>
  <c r="AQ362" i="32" s="1"/>
  <c r="AL362" i="32"/>
  <c r="AP336" i="10"/>
  <c r="AP336" i="32"/>
  <c r="AP769" i="10"/>
  <c r="AP769" i="32"/>
  <c r="AP260" i="10"/>
  <c r="AP260" i="32"/>
  <c r="AP244" i="10"/>
  <c r="AP244" i="32"/>
  <c r="AP580" i="10"/>
  <c r="AP580" i="32"/>
  <c r="AP797" i="10"/>
  <c r="AP797" i="32"/>
  <c r="AP588" i="32"/>
  <c r="AP636" i="10"/>
  <c r="AP636" i="32"/>
  <c r="AP81" i="10"/>
  <c r="AP324" i="10"/>
  <c r="AP324" i="32"/>
  <c r="AP490" i="10"/>
  <c r="AP490" i="32"/>
  <c r="AP453" i="10"/>
  <c r="AP453" i="32"/>
  <c r="AL141" i="10"/>
  <c r="AQ141" i="32" s="1"/>
  <c r="AL141" i="32"/>
  <c r="AL19" i="10"/>
  <c r="AQ19" i="32" s="1"/>
  <c r="AL19" i="32"/>
  <c r="AL286" i="10"/>
  <c r="AQ286" i="32" s="1"/>
  <c r="AL286" i="32"/>
  <c r="AL587" i="32"/>
  <c r="AL832" i="10"/>
  <c r="AL227" i="10"/>
  <c r="AQ227" i="32" s="1"/>
  <c r="AL227" i="32"/>
  <c r="AL657" i="10"/>
  <c r="AQ657" i="10" s="1"/>
  <c r="AL657" i="32"/>
  <c r="AL577" i="10"/>
  <c r="AQ577" i="32" s="1"/>
  <c r="AL577" i="32"/>
  <c r="AL448" i="10"/>
  <c r="AQ448" i="32" s="1"/>
  <c r="AL448" i="32"/>
  <c r="AL212" i="10"/>
  <c r="AQ212" i="32" s="1"/>
  <c r="AL212" i="32"/>
  <c r="AP601" i="10"/>
  <c r="AP763" i="10"/>
  <c r="AP763" i="32"/>
  <c r="AP562" i="10"/>
  <c r="AP29" i="10"/>
  <c r="AP29" i="32"/>
  <c r="AP87" i="10"/>
  <c r="AP87" i="32"/>
  <c r="AP513" i="10"/>
  <c r="AP513" i="32"/>
  <c r="AP74" i="10"/>
  <c r="AP74" i="32"/>
  <c r="AP493" i="10"/>
  <c r="AP493" i="32"/>
  <c r="AP151" i="10"/>
  <c r="AP151" i="32"/>
  <c r="AP534" i="10"/>
  <c r="AP534" i="32"/>
  <c r="AP250" i="10"/>
  <c r="AP250" i="32"/>
  <c r="AP552" i="10"/>
  <c r="AP100" i="10"/>
  <c r="AP100" i="32"/>
  <c r="AP945" i="10"/>
  <c r="AP945" i="32"/>
  <c r="AL97" i="10"/>
  <c r="AQ97" i="32" s="1"/>
  <c r="AL97" i="32"/>
  <c r="AL720" i="10"/>
  <c r="AL368" i="10"/>
  <c r="AQ368" i="32" s="1"/>
  <c r="AL368" i="32"/>
  <c r="AL105" i="10"/>
  <c r="AQ105" i="32" s="1"/>
  <c r="AL105" i="32"/>
  <c r="AL773" i="10"/>
  <c r="AQ773" i="32" s="1"/>
  <c r="AL773" i="32"/>
  <c r="AL350" i="10"/>
  <c r="AQ350" i="32" s="1"/>
  <c r="AL350" i="32"/>
  <c r="AL704" i="10"/>
  <c r="AL603" i="10"/>
  <c r="AQ603" i="32" s="1"/>
  <c r="AL603" i="32"/>
  <c r="AL419" i="10"/>
  <c r="AQ419" i="32" s="1"/>
  <c r="AL419" i="32"/>
  <c r="AL584" i="10"/>
  <c r="AL332" i="10"/>
  <c r="AQ332" i="32" s="1"/>
  <c r="AL332" i="32"/>
  <c r="AL252" i="10"/>
  <c r="AQ252" i="32" s="1"/>
  <c r="AL252" i="32"/>
  <c r="AP617" i="10"/>
  <c r="AP617" i="32"/>
  <c r="AP570" i="10"/>
  <c r="AP570" i="32"/>
  <c r="AP121" i="10"/>
  <c r="AP121" i="32"/>
  <c r="AP148" i="10"/>
  <c r="AP148" i="32"/>
  <c r="AP614" i="10"/>
  <c r="AP614" i="32"/>
  <c r="AP145" i="10"/>
  <c r="AP145" i="32"/>
  <c r="AP486" i="10"/>
  <c r="AP486" i="32"/>
  <c r="AP378" i="10"/>
  <c r="AP434" i="10"/>
  <c r="AP434" i="32"/>
  <c r="AP466" i="10"/>
  <c r="AP466" i="32"/>
  <c r="AP50" i="10"/>
  <c r="AP50" i="32"/>
  <c r="AP175" i="10"/>
  <c r="AP175" i="32"/>
  <c r="AP826" i="10"/>
  <c r="AP826" i="32"/>
  <c r="AP71" i="10"/>
  <c r="AP71" i="32"/>
  <c r="AP138" i="10"/>
  <c r="AP138" i="32"/>
  <c r="AP892" i="10"/>
  <c r="AP345" i="10"/>
  <c r="AP345" i="32"/>
  <c r="AP930" i="10"/>
  <c r="AP930" i="32"/>
  <c r="AL410" i="10"/>
  <c r="AQ410" i="32" s="1"/>
  <c r="AL410" i="32"/>
  <c r="AL702" i="10"/>
  <c r="AL408" i="10"/>
  <c r="AQ408" i="10" s="1"/>
  <c r="AL408" i="32"/>
  <c r="AL94" i="10"/>
  <c r="AQ94" i="32" s="1"/>
  <c r="AL94" i="32"/>
  <c r="AL926" i="10"/>
  <c r="AT926" i="10" s="1"/>
  <c r="AL66" i="10"/>
  <c r="AQ66" i="32" s="1"/>
  <c r="AL66" i="32"/>
  <c r="AL561" i="10"/>
  <c r="AL443" i="10"/>
  <c r="AQ443" i="32" s="1"/>
  <c r="AL443" i="32"/>
  <c r="AL525" i="10"/>
  <c r="AL518" i="10"/>
  <c r="AL520" i="10"/>
  <c r="AQ520" i="32" s="1"/>
  <c r="AL520" i="32"/>
  <c r="AL629" i="10"/>
  <c r="AL243" i="10"/>
  <c r="AQ243" i="32" s="1"/>
  <c r="AL243" i="32"/>
  <c r="AL192" i="10"/>
  <c r="AQ192" i="32" s="1"/>
  <c r="AL192" i="32"/>
  <c r="AP414" i="10"/>
  <c r="AP414" i="32"/>
  <c r="AP712" i="10"/>
  <c r="AP712" i="32"/>
  <c r="AP641" i="10"/>
  <c r="AP641" i="32"/>
  <c r="AP23" i="10"/>
  <c r="AP23" i="32"/>
  <c r="AP954" i="10"/>
  <c r="AP954" i="32"/>
  <c r="AP560" i="10"/>
  <c r="AP251" i="10"/>
  <c r="AP251" i="32"/>
  <c r="AP612" i="10"/>
  <c r="AP612" i="32"/>
  <c r="AP350" i="10"/>
  <c r="AP350" i="32"/>
  <c r="AP844" i="10"/>
  <c r="AP343" i="10"/>
  <c r="AP343" i="32"/>
  <c r="AP344" i="10"/>
  <c r="AP344" i="32"/>
  <c r="AP787" i="10"/>
  <c r="AL782" i="10"/>
  <c r="AQ782" i="32" s="1"/>
  <c r="AL782" i="32"/>
  <c r="AL956" i="10"/>
  <c r="AQ956" i="32" s="1"/>
  <c r="AL956" i="32"/>
  <c r="AL837" i="10"/>
  <c r="AL552" i="10"/>
  <c r="AP288" i="10"/>
  <c r="AL162" i="10"/>
  <c r="AQ162" i="32" s="1"/>
  <c r="AL162" i="32"/>
  <c r="AL233" i="10"/>
  <c r="AQ233" i="32" s="1"/>
  <c r="X131" i="24" s="1"/>
  <c r="AD131" i="12" s="1"/>
  <c r="AL233" i="32"/>
  <c r="S131" i="24" s="1"/>
  <c r="Y131" i="12" s="1"/>
  <c r="AP947" i="10"/>
  <c r="AL808" i="10"/>
  <c r="AQ808" i="32" s="1"/>
  <c r="AL808" i="32"/>
  <c r="AL527" i="10"/>
  <c r="AQ527" i="32" s="1"/>
  <c r="AL527" i="32"/>
  <c r="AL296" i="10"/>
  <c r="AQ296" i="32" s="1"/>
  <c r="AL296" i="32"/>
  <c r="AL55" i="10"/>
  <c r="AQ55" i="32" s="1"/>
  <c r="AL55" i="32"/>
  <c r="AL34" i="10"/>
  <c r="AQ34" i="32" s="1"/>
  <c r="AL34" i="32"/>
  <c r="AL604" i="10"/>
  <c r="AQ604" i="32" s="1"/>
  <c r="AL604" i="32"/>
  <c r="AL445" i="10"/>
  <c r="AQ445" i="32" s="1"/>
  <c r="AL445" i="32"/>
  <c r="AL435" i="10"/>
  <c r="AQ435" i="32" s="1"/>
  <c r="AL435" i="32"/>
  <c r="AL360" i="10"/>
  <c r="AQ360" i="32" s="1"/>
  <c r="AL360" i="32"/>
  <c r="AL590" i="32"/>
  <c r="AL170" i="10"/>
  <c r="AQ170" i="32" s="1"/>
  <c r="AL170" i="32"/>
  <c r="AL131" i="10"/>
  <c r="AQ131" i="32" s="1"/>
  <c r="AL131" i="32"/>
  <c r="AL656" i="10"/>
  <c r="AL656" i="32"/>
  <c r="AL181" i="10"/>
  <c r="AQ181" i="32" s="1"/>
  <c r="AL181" i="32"/>
  <c r="AL697" i="10"/>
  <c r="AQ697" i="32" s="1"/>
  <c r="AL697" i="32"/>
  <c r="AL569" i="10"/>
  <c r="AQ569" i="32" s="1"/>
  <c r="AL569" i="32"/>
  <c r="AL194" i="10"/>
  <c r="AQ194" i="32" s="1"/>
  <c r="AL194" i="32"/>
  <c r="AL877" i="10"/>
  <c r="AL440" i="10"/>
  <c r="AQ440" i="32" s="1"/>
  <c r="AL440" i="32"/>
  <c r="AL46" i="10"/>
  <c r="AQ46" i="32" s="1"/>
  <c r="AL46" i="32"/>
  <c r="AL517" i="10"/>
  <c r="AQ517" i="32" s="1"/>
  <c r="AL517" i="32"/>
  <c r="AL156" i="10"/>
  <c r="AQ156" i="32" s="1"/>
  <c r="AL156" i="32"/>
  <c r="AL323" i="10"/>
  <c r="AQ323" i="32" s="1"/>
  <c r="AL323" i="32"/>
  <c r="AL820" i="10"/>
  <c r="AQ820" i="32" s="1"/>
  <c r="AL820" i="32"/>
  <c r="AL834" i="10"/>
  <c r="AL71" i="10"/>
  <c r="AQ71" i="32" s="1"/>
  <c r="AL71" i="32"/>
  <c r="AL703" i="10"/>
  <c r="AQ703" i="32" s="1"/>
  <c r="AL703" i="32"/>
  <c r="AL843" i="10"/>
  <c r="AL336" i="10"/>
  <c r="AQ336" i="32" s="1"/>
  <c r="AL336" i="32"/>
  <c r="AL358" i="10"/>
  <c r="AQ358" i="32" s="1"/>
  <c r="AL358" i="32"/>
  <c r="AL100" i="10"/>
  <c r="AQ100" i="32" s="1"/>
  <c r="AL100" i="32"/>
  <c r="AL826" i="10"/>
  <c r="AQ826" i="32" s="1"/>
  <c r="AL826" i="32"/>
  <c r="AL730" i="10"/>
  <c r="AQ730" i="32" s="1"/>
  <c r="AL730" i="32"/>
  <c r="AL696" i="10"/>
  <c r="AL99" i="10"/>
  <c r="AQ99" i="32" s="1"/>
  <c r="AL99" i="32"/>
  <c r="AL585" i="10"/>
  <c r="AQ585" i="32" s="1"/>
  <c r="AL585" i="32"/>
  <c r="AL306" i="10"/>
  <c r="AQ306" i="32" s="1"/>
  <c r="AL306" i="32"/>
  <c r="AL545" i="10"/>
  <c r="AQ545" i="32" s="1"/>
  <c r="AL545" i="32"/>
  <c r="AL740" i="10"/>
  <c r="AQ740" i="32" s="1"/>
  <c r="AL740" i="32"/>
  <c r="AL58" i="10"/>
  <c r="AQ58" i="32" s="1"/>
  <c r="AL58" i="32"/>
  <c r="AP677" i="10"/>
  <c r="AP677" i="32"/>
  <c r="AP929" i="10"/>
  <c r="AP929" i="32"/>
  <c r="AP571" i="10"/>
  <c r="AP571" i="32"/>
  <c r="AP407" i="10"/>
  <c r="AP407" i="32"/>
  <c r="AP399" i="10"/>
  <c r="AP399" i="32"/>
  <c r="AP339" i="10"/>
  <c r="AP161" i="10"/>
  <c r="AP161" i="32"/>
  <c r="AP261" i="10"/>
  <c r="AP598" i="10"/>
  <c r="AP598" i="32"/>
  <c r="AP297" i="10"/>
  <c r="AP297" i="32"/>
  <c r="AP424" i="10"/>
  <c r="AP424" i="32"/>
  <c r="AP584" i="10"/>
  <c r="AP723" i="10"/>
  <c r="AP941" i="10"/>
  <c r="AP941" i="32"/>
  <c r="AP874" i="10"/>
  <c r="AP805" i="10"/>
  <c r="AP805" i="32"/>
  <c r="AP372" i="10"/>
  <c r="AP163" i="10"/>
  <c r="AP163" i="32"/>
  <c r="AP89" i="10"/>
  <c r="AP89" i="32"/>
  <c r="AP19" i="10"/>
  <c r="AP19" i="32"/>
  <c r="AP463" i="10"/>
  <c r="AP463" i="32"/>
  <c r="AP936" i="10"/>
  <c r="AP936" i="32"/>
  <c r="AP271" i="10"/>
  <c r="AP271" i="32"/>
  <c r="AP502" i="10"/>
  <c r="AP502" i="32"/>
  <c r="AP732" i="10"/>
  <c r="AP732" i="32"/>
  <c r="AP911" i="10"/>
  <c r="AP911" i="32"/>
  <c r="AP583" i="10"/>
  <c r="AP583" i="32"/>
  <c r="AP536" i="10"/>
  <c r="AP471" i="10"/>
  <c r="AP471" i="32"/>
  <c r="AP403" i="10"/>
  <c r="AP403" i="32"/>
  <c r="AP828" i="10"/>
  <c r="AP313" i="10"/>
  <c r="AP313" i="32"/>
  <c r="AP501" i="10"/>
  <c r="AP501" i="32"/>
  <c r="AP779" i="10"/>
  <c r="AP779" i="32"/>
  <c r="AP375" i="10"/>
  <c r="AP922" i="10"/>
  <c r="AP922" i="32"/>
  <c r="AP782" i="10"/>
  <c r="AP782" i="32"/>
  <c r="AP683" i="10"/>
  <c r="AP683" i="32"/>
  <c r="AP231" i="10"/>
  <c r="AP77" i="10"/>
  <c r="AP77" i="32"/>
  <c r="AP931" i="10"/>
  <c r="AP931" i="32"/>
  <c r="AP827" i="10"/>
  <c r="AP497" i="10"/>
  <c r="AP497" i="32"/>
  <c r="AP451" i="10"/>
  <c r="AP451" i="32"/>
  <c r="AP353" i="10"/>
  <c r="AP353" i="32"/>
  <c r="AP186" i="10"/>
  <c r="AP186" i="32"/>
  <c r="AP743" i="10"/>
  <c r="AP743" i="32"/>
  <c r="AP307" i="10"/>
  <c r="AP307" i="32"/>
  <c r="AP49" i="10"/>
  <c r="AP49" i="32"/>
  <c r="AP563" i="10"/>
  <c r="AP298" i="10"/>
  <c r="AP41" i="10"/>
  <c r="AP41" i="32"/>
  <c r="AP666" i="10"/>
  <c r="AP666" i="32"/>
  <c r="AP616" i="10"/>
  <c r="AP616" i="32"/>
  <c r="AP759" i="10"/>
  <c r="AP759" i="32"/>
  <c r="AP246" i="10"/>
  <c r="AP246" i="32"/>
  <c r="AP960" i="10"/>
  <c r="AP960" i="32"/>
  <c r="AP900" i="10"/>
  <c r="AP900" i="32"/>
  <c r="AP495" i="10"/>
  <c r="AP495" i="32"/>
  <c r="AP411" i="10"/>
  <c r="AP411" i="32"/>
  <c r="AP334" i="10"/>
  <c r="AP334" i="32"/>
  <c r="AP187" i="10"/>
  <c r="AP187" i="32"/>
  <c r="AP142" i="10"/>
  <c r="AP142" i="32"/>
  <c r="AP902" i="10"/>
  <c r="AP902" i="32"/>
  <c r="AP388" i="10"/>
  <c r="AP388" i="32"/>
  <c r="AP946" i="10"/>
  <c r="AP946" i="32"/>
  <c r="AP701" i="10"/>
  <c r="AP849" i="10"/>
  <c r="AP710" i="10"/>
  <c r="AP710" i="32"/>
  <c r="AP248" i="10"/>
  <c r="AP248" i="32"/>
  <c r="W138" i="24" s="1"/>
  <c r="AC138" i="12" s="1"/>
  <c r="AP31" i="10"/>
  <c r="AP31" i="32"/>
  <c r="AP964" i="10"/>
  <c r="AP964" i="32"/>
  <c r="AP907" i="10"/>
  <c r="AP907" i="32"/>
  <c r="AP547" i="10"/>
  <c r="AP547" i="32"/>
  <c r="AP481" i="10"/>
  <c r="AP481" i="32"/>
  <c r="AP429" i="10"/>
  <c r="AP429" i="32"/>
  <c r="AP337" i="10"/>
  <c r="AP112" i="10"/>
  <c r="AP30" i="10"/>
  <c r="AP30" i="32"/>
  <c r="AP819" i="10"/>
  <c r="AP819" i="32"/>
  <c r="AP18" i="10"/>
  <c r="AP18" i="32"/>
  <c r="AP406" i="10"/>
  <c r="AP406" i="32"/>
  <c r="AP670" i="10"/>
  <c r="AP670" i="32"/>
  <c r="AP507" i="10"/>
  <c r="AP507" i="32"/>
  <c r="AP223" i="10"/>
  <c r="AP223" i="32"/>
  <c r="AP781" i="10"/>
  <c r="AP781" i="32"/>
  <c r="AP249" i="10"/>
  <c r="AP249" i="32"/>
  <c r="AP359" i="10"/>
  <c r="AP359" i="32"/>
  <c r="AP211" i="10"/>
  <c r="AP211" i="32"/>
  <c r="AP70" i="10"/>
  <c r="AP70" i="32"/>
  <c r="AP766" i="10"/>
  <c r="AP766" i="32"/>
  <c r="AP693" i="10"/>
  <c r="AP693" i="32"/>
  <c r="AP233" i="10"/>
  <c r="AP233" i="32"/>
  <c r="W131" i="24" s="1"/>
  <c r="AC131" i="12" s="1"/>
  <c r="AP97" i="10"/>
  <c r="AP97" i="32"/>
  <c r="AP981" i="10"/>
  <c r="AP981" i="32"/>
  <c r="AP850" i="10"/>
  <c r="AP653" i="10"/>
  <c r="AP653" i="32"/>
  <c r="AP626" i="10"/>
  <c r="AP626" i="32"/>
  <c r="AP361" i="10"/>
  <c r="AP361" i="32"/>
  <c r="AP194" i="10"/>
  <c r="AP194" i="32"/>
  <c r="AP159" i="10"/>
  <c r="AP159" i="32"/>
  <c r="AP98" i="10"/>
  <c r="AP98" i="32"/>
  <c r="AP774" i="10"/>
  <c r="AP774" i="32"/>
  <c r="AP57" i="10"/>
  <c r="AP57" i="32"/>
  <c r="AP84" i="10"/>
  <c r="AP84" i="32"/>
  <c r="AP542" i="10"/>
  <c r="AP542" i="32"/>
  <c r="AP748" i="10"/>
  <c r="AP748" i="32"/>
  <c r="AP68" i="10"/>
  <c r="AP68" i="32"/>
  <c r="AP430" i="10"/>
  <c r="AP430" i="32"/>
  <c r="AP514" i="10"/>
  <c r="AP514" i="32"/>
  <c r="AP379" i="10"/>
  <c r="AP379" i="32"/>
  <c r="AP327" i="10"/>
  <c r="AP327" i="32"/>
  <c r="AP528" i="10"/>
  <c r="AP528" i="32"/>
  <c r="AP629" i="10"/>
  <c r="AP113" i="10"/>
  <c r="AP113" i="32"/>
  <c r="AP88" i="10"/>
  <c r="AP88" i="32"/>
  <c r="AL15" i="10"/>
  <c r="AQ15" i="32" s="1"/>
  <c r="AL15" i="32"/>
  <c r="AL969" i="10"/>
  <c r="AQ969" i="32" s="1"/>
  <c r="AL969" i="32"/>
  <c r="AL102" i="10"/>
  <c r="AQ102" i="32" s="1"/>
  <c r="AL102" i="32"/>
  <c r="AL807" i="10"/>
  <c r="AQ807" i="32" s="1"/>
  <c r="AL807" i="32"/>
  <c r="AL65" i="10"/>
  <c r="AQ65" i="32" s="1"/>
  <c r="AL65" i="32"/>
  <c r="AL650" i="10"/>
  <c r="AQ650" i="32" s="1"/>
  <c r="AL650" i="32"/>
  <c r="AL939" i="10"/>
  <c r="AL964" i="10"/>
  <c r="AQ964" i="32" s="1"/>
  <c r="AL964" i="32"/>
  <c r="AL461" i="10"/>
  <c r="AQ461" i="32" s="1"/>
  <c r="AL461" i="32"/>
  <c r="AL595" i="10"/>
  <c r="AQ595" i="32" s="1"/>
  <c r="AL595" i="32"/>
  <c r="AL193" i="10"/>
  <c r="AQ193" i="32" s="1"/>
  <c r="AL193" i="32"/>
  <c r="AL851" i="10"/>
  <c r="AL758" i="10"/>
  <c r="AQ758" i="32" s="1"/>
  <c r="AL758" i="32"/>
  <c r="AL122" i="10"/>
  <c r="AQ122" i="32" s="1"/>
  <c r="AL122" i="32"/>
  <c r="AL853" i="10"/>
  <c r="AL802" i="10"/>
  <c r="AQ802" i="32" s="1"/>
  <c r="AL802" i="32"/>
  <c r="AL756" i="10"/>
  <c r="AQ756" i="32" s="1"/>
  <c r="AL756" i="32"/>
  <c r="AP873" i="10"/>
  <c r="AP168" i="10"/>
  <c r="AP168" i="32"/>
  <c r="AP928" i="10"/>
  <c r="AP224" i="10"/>
  <c r="AP224" i="32"/>
  <c r="AP54" i="10"/>
  <c r="AP54" i="32"/>
  <c r="AP803" i="10"/>
  <c r="AP803" i="32"/>
  <c r="AP820" i="10"/>
  <c r="AP820" i="32"/>
  <c r="AP970" i="10"/>
  <c r="AP970" i="32"/>
  <c r="AP181" i="10"/>
  <c r="AP181" i="32"/>
  <c r="AP637" i="10"/>
  <c r="AP637" i="32"/>
  <c r="AP200" i="10"/>
  <c r="AP200" i="32"/>
  <c r="AP530" i="10"/>
  <c r="AP530" i="32"/>
  <c r="AL195" i="10"/>
  <c r="AQ195" i="32" s="1"/>
  <c r="AL195" i="32"/>
  <c r="AL754" i="10"/>
  <c r="AQ754" i="32" s="1"/>
  <c r="AL754" i="32"/>
  <c r="AL383" i="10"/>
  <c r="AQ383" i="10" s="1"/>
  <c r="AL383" i="32"/>
  <c r="AL846" i="10"/>
  <c r="AL121" i="10"/>
  <c r="AQ121" i="32" s="1"/>
  <c r="AL121" i="32"/>
  <c r="AL398" i="10"/>
  <c r="AQ398" i="32" s="1"/>
  <c r="AL398" i="32"/>
  <c r="AL778" i="10"/>
  <c r="AQ778" i="32" s="1"/>
  <c r="AL778" i="32"/>
  <c r="AL848" i="10"/>
  <c r="AL882" i="10"/>
  <c r="AP876" i="10"/>
  <c r="AP317" i="10"/>
  <c r="AP317" i="32"/>
  <c r="AP422" i="10"/>
  <c r="AP422" i="32"/>
  <c r="AP568" i="10"/>
  <c r="AP568" i="32"/>
  <c r="AP553" i="10"/>
  <c r="AP553" i="32"/>
  <c r="AP395" i="10"/>
  <c r="AP395" i="32"/>
  <c r="AP510" i="10"/>
  <c r="AP510" i="32"/>
  <c r="AP99" i="10"/>
  <c r="AP99" i="32"/>
  <c r="AP795" i="10"/>
  <c r="AP795" i="32"/>
  <c r="AP457" i="10"/>
  <c r="AP457" i="32"/>
  <c r="AP551" i="10"/>
  <c r="AP786" i="10"/>
  <c r="AP786" i="32"/>
  <c r="AP597" i="10"/>
  <c r="AP597" i="32"/>
  <c r="AP730" i="10"/>
  <c r="AP730" i="32"/>
  <c r="AP620" i="10"/>
  <c r="AP620" i="32"/>
  <c r="AP587" i="32"/>
  <c r="AP975" i="10"/>
  <c r="AP975" i="32"/>
  <c r="AP719" i="10"/>
  <c r="AP639" i="10"/>
  <c r="AP639" i="32"/>
  <c r="AP178" i="10"/>
  <c r="AP178" i="32"/>
  <c r="AL417" i="10"/>
  <c r="AQ417" i="32" s="1"/>
  <c r="AL417" i="32"/>
  <c r="AL753" i="10"/>
  <c r="AQ753" i="32" s="1"/>
  <c r="AL753" i="32"/>
  <c r="AL375" i="10"/>
  <c r="AL666" i="10"/>
  <c r="AQ666" i="32" s="1"/>
  <c r="AL666" i="32"/>
  <c r="AL898" i="10"/>
  <c r="AL54" i="10"/>
  <c r="AQ54" i="32" s="1"/>
  <c r="AL54" i="32"/>
  <c r="AL821" i="10"/>
  <c r="AQ821" i="32" s="1"/>
  <c r="AL821" i="32"/>
  <c r="AL335" i="10"/>
  <c r="AQ335" i="32" s="1"/>
  <c r="AL335" i="32"/>
  <c r="AL349" i="10"/>
  <c r="AL875" i="10"/>
  <c r="AL609" i="10"/>
  <c r="AQ609" i="32" s="1"/>
  <c r="AL609" i="32"/>
  <c r="AL745" i="10"/>
  <c r="AQ745" i="32" s="1"/>
  <c r="AL745" i="32"/>
  <c r="AL467" i="10"/>
  <c r="AQ467" i="32" s="1"/>
  <c r="AL467" i="32"/>
  <c r="AL735" i="10"/>
  <c r="AQ735" i="10" s="1"/>
  <c r="AL735" i="32"/>
  <c r="AL319" i="10"/>
  <c r="AQ319" i="32" s="1"/>
  <c r="AL319" i="32"/>
  <c r="AL439" i="10"/>
  <c r="AQ439" i="32" s="1"/>
  <c r="AL439" i="32"/>
  <c r="AL601" i="10"/>
  <c r="AP360" i="10"/>
  <c r="AL770" i="10"/>
  <c r="AQ770" i="32" s="1"/>
  <c r="AL770" i="32"/>
  <c r="AL254" i="10"/>
  <c r="AL566" i="10"/>
  <c r="AQ566" i="32" s="1"/>
  <c r="AL566" i="32"/>
  <c r="AP740" i="10"/>
  <c r="AP740" i="32"/>
  <c r="AP593" i="32"/>
  <c r="AP812" i="10"/>
  <c r="AP812" i="32"/>
  <c r="AP735" i="10"/>
  <c r="AP735" i="32"/>
  <c r="AP323" i="10"/>
  <c r="AP323" i="32"/>
  <c r="AP713" i="10"/>
  <c r="AP357" i="10"/>
  <c r="AP357" i="32"/>
  <c r="AP283" i="10"/>
  <c r="AP283" i="32"/>
  <c r="AP483" i="10"/>
  <c r="AP483" i="32"/>
  <c r="AP226" i="10"/>
  <c r="AP226" i="32"/>
  <c r="AP800" i="10"/>
  <c r="AP800" i="32"/>
  <c r="AP309" i="10"/>
  <c r="AP309" i="32"/>
  <c r="AP722" i="10"/>
  <c r="AP722" i="32"/>
  <c r="AP702" i="10"/>
  <c r="AP896" i="10"/>
  <c r="AP17" i="10"/>
  <c r="AP17" i="32"/>
  <c r="AP172" i="10"/>
  <c r="AP172" i="32"/>
  <c r="AP137" i="10"/>
  <c r="AP137" i="32"/>
  <c r="AL529" i="10"/>
  <c r="AQ529" i="32" s="1"/>
  <c r="AL529" i="32"/>
  <c r="AL420" i="10"/>
  <c r="AL347" i="10"/>
  <c r="AL614" i="10"/>
  <c r="AQ614" i="32" s="1"/>
  <c r="AL614" i="32"/>
  <c r="AL979" i="10"/>
  <c r="AQ979" i="10" s="1"/>
  <c r="AL839" i="10"/>
  <c r="AL884" i="10"/>
  <c r="AL563" i="10"/>
  <c r="AL646" i="10"/>
  <c r="AQ646" i="32" s="1"/>
  <c r="AL646" i="32"/>
  <c r="AL684" i="10"/>
  <c r="AQ684" i="32" s="1"/>
  <c r="AL684" i="32"/>
  <c r="AL211" i="10"/>
  <c r="AQ211" i="32" s="1"/>
  <c r="AL211" i="32"/>
  <c r="AL728" i="10"/>
  <c r="AQ728" i="32" s="1"/>
  <c r="AL728" i="32"/>
  <c r="AL706" i="10"/>
  <c r="AQ706" i="32" s="1"/>
  <c r="AL706" i="32"/>
  <c r="AL612" i="10"/>
  <c r="AQ612" i="32" s="1"/>
  <c r="AL612" i="32"/>
  <c r="AL235" i="10"/>
  <c r="AQ235" i="32" s="1"/>
  <c r="AL235" i="32"/>
  <c r="AL203" i="10"/>
  <c r="AQ203" i="32" s="1"/>
  <c r="AL203" i="32"/>
  <c r="AL733" i="10"/>
  <c r="AQ733" i="32" s="1"/>
  <c r="AL733" i="32"/>
  <c r="AP450" i="10"/>
  <c r="AL133" i="10"/>
  <c r="AQ133" i="32" s="1"/>
  <c r="AL133" i="32"/>
  <c r="AL804" i="10"/>
  <c r="AQ804" i="32" s="1"/>
  <c r="AL804" i="32"/>
  <c r="AL223" i="10"/>
  <c r="AQ223" i="32" s="1"/>
  <c r="AL223" i="32"/>
  <c r="AL413" i="10"/>
  <c r="AQ413" i="32" s="1"/>
  <c r="AL413" i="32"/>
  <c r="AL182" i="10"/>
  <c r="AQ182" i="32" s="1"/>
  <c r="AL182" i="32"/>
  <c r="AM290" i="32"/>
  <c r="AP756" i="10"/>
  <c r="AP756" i="32"/>
  <c r="AP363" i="10"/>
  <c r="AP363" i="32"/>
  <c r="AP538" i="10"/>
  <c r="AP538" i="32"/>
  <c r="AP91" i="10"/>
  <c r="AP91" i="32"/>
  <c r="AP635" i="10"/>
  <c r="AP635" i="32"/>
  <c r="AP199" i="10"/>
  <c r="AP199" i="32"/>
  <c r="AP102" i="10"/>
  <c r="AP102" i="32"/>
  <c r="AP473" i="10"/>
  <c r="AP473" i="32"/>
  <c r="AP101" i="10"/>
  <c r="AP101" i="32"/>
  <c r="AP579" i="10"/>
  <c r="AP579" i="32"/>
  <c r="AP944" i="10"/>
  <c r="AP944" i="32"/>
  <c r="AP590" i="32"/>
  <c r="AP164" i="10"/>
  <c r="AP164" i="32"/>
  <c r="AP746" i="10"/>
  <c r="AP746" i="32"/>
  <c r="AP276" i="10"/>
  <c r="AP135" i="10"/>
  <c r="AP425" i="10"/>
  <c r="AP425" i="32"/>
  <c r="AP153" i="10"/>
  <c r="AP153" i="32"/>
  <c r="AL775" i="10"/>
  <c r="AQ775" i="32" s="1"/>
  <c r="AL775" i="32"/>
  <c r="AL608" i="10"/>
  <c r="AL504" i="10"/>
  <c r="AQ504" i="32" s="1"/>
  <c r="AL504" i="32"/>
  <c r="AL130" i="10"/>
  <c r="AL503" i="10"/>
  <c r="AQ503" i="32" s="1"/>
  <c r="AL503" i="32"/>
  <c r="AL288" i="10"/>
  <c r="AL634" i="10"/>
  <c r="AL95" i="10"/>
  <c r="AQ95" i="32" s="1"/>
  <c r="AL95" i="32"/>
  <c r="AL917" i="10"/>
  <c r="AQ917" i="32" s="1"/>
  <c r="AL917" i="32"/>
  <c r="AL974" i="10"/>
  <c r="AQ974" i="32" s="1"/>
  <c r="AL974" i="32"/>
  <c r="AL169" i="10"/>
  <c r="AQ169" i="32" s="1"/>
  <c r="AL169" i="32"/>
  <c r="AL954" i="10"/>
  <c r="AQ954" i="32" s="1"/>
  <c r="AL954" i="32"/>
  <c r="AL801" i="10"/>
  <c r="AQ801" i="32" s="1"/>
  <c r="AL801" i="32"/>
  <c r="AL546" i="10"/>
  <c r="AQ546" i="32" s="1"/>
  <c r="AL546" i="32"/>
  <c r="AL436" i="10"/>
  <c r="AQ436" i="32" s="1"/>
  <c r="AL436" i="32"/>
  <c r="AL120" i="10"/>
  <c r="AQ120" i="32" s="1"/>
  <c r="AL120" i="32"/>
  <c r="AL818" i="10"/>
  <c r="AQ818" i="32" s="1"/>
  <c r="AL818" i="32"/>
  <c r="AL178" i="10"/>
  <c r="AQ178" i="32" s="1"/>
  <c r="AL178" i="32"/>
  <c r="AL414" i="10"/>
  <c r="AQ414" i="32" s="1"/>
  <c r="AL414" i="32"/>
  <c r="AL143" i="10"/>
  <c r="AQ143" i="32" s="1"/>
  <c r="AL143" i="32"/>
  <c r="AL275" i="10"/>
  <c r="AL44" i="10"/>
  <c r="AQ44" i="32" s="1"/>
  <c r="AL44" i="32"/>
  <c r="AL433" i="10"/>
  <c r="AQ433" i="32" s="1"/>
  <c r="AL433" i="32"/>
  <c r="AL776" i="10"/>
  <c r="AQ776" i="32" s="1"/>
  <c r="AL776" i="32"/>
  <c r="AL237" i="10"/>
  <c r="AQ237" i="32" s="1"/>
  <c r="X133" i="24" s="1"/>
  <c r="AD133" i="12" s="1"/>
  <c r="AL237" i="32"/>
  <c r="S133" i="24" s="1"/>
  <c r="Y133" i="12" s="1"/>
  <c r="AL922" i="10"/>
  <c r="AQ922" i="32" s="1"/>
  <c r="AL922" i="32"/>
  <c r="AL876" i="10"/>
  <c r="AL598" i="10"/>
  <c r="AQ598" i="32" s="1"/>
  <c r="AL598" i="32"/>
  <c r="AL267" i="10"/>
  <c r="AQ267" i="32" s="1"/>
  <c r="AL267" i="32"/>
  <c r="AL573" i="10"/>
  <c r="AQ573" i="32" s="1"/>
  <c r="AL573" i="32"/>
  <c r="AL972" i="10"/>
  <c r="AQ972" i="32" s="1"/>
  <c r="AL972" i="32"/>
  <c r="AL190" i="10"/>
  <c r="AQ190" i="32" s="1"/>
  <c r="AL190" i="32"/>
  <c r="AL683" i="10"/>
  <c r="AQ683" i="32" s="1"/>
  <c r="AL683" i="32"/>
  <c r="AL232" i="10"/>
  <c r="AL923" i="10"/>
  <c r="AL679" i="10"/>
  <c r="AQ679" i="32" s="1"/>
  <c r="AL679" i="32"/>
  <c r="AL26" i="10"/>
  <c r="AQ26" i="32" s="1"/>
  <c r="AL26" i="32"/>
  <c r="AL432" i="10"/>
  <c r="AQ432" i="32" s="1"/>
  <c r="AL432" i="32"/>
  <c r="AL303" i="10"/>
  <c r="AQ303" i="32" s="1"/>
  <c r="AL303" i="32"/>
  <c r="AL198" i="10"/>
  <c r="AQ198" i="32" s="1"/>
  <c r="AL198" i="32"/>
  <c r="AL241" i="10"/>
  <c r="AQ241" i="32" s="1"/>
  <c r="AL241" i="32"/>
  <c r="AP615" i="10"/>
  <c r="AL482" i="10"/>
  <c r="AQ482" i="32" s="1"/>
  <c r="AL482" i="32"/>
  <c r="AL825" i="10"/>
  <c r="AQ825" i="32" s="1"/>
  <c r="AL825" i="32"/>
  <c r="AL416" i="10"/>
  <c r="AQ416" i="32" s="1"/>
  <c r="AL416" i="32"/>
  <c r="AL724" i="10"/>
  <c r="AQ724" i="10" s="1"/>
  <c r="AL497" i="10"/>
  <c r="AQ497" i="32" s="1"/>
  <c r="AL497" i="32"/>
  <c r="AL691" i="10"/>
  <c r="AQ691" i="32" s="1"/>
  <c r="AL691" i="32"/>
  <c r="AL927" i="10"/>
  <c r="AR927" i="10" s="1"/>
  <c r="AL812" i="10"/>
  <c r="AQ812" i="32" s="1"/>
  <c r="AL812" i="32"/>
  <c r="AL633" i="10"/>
  <c r="AL409" i="10"/>
  <c r="AQ409" i="32" s="1"/>
  <c r="AL409" i="32"/>
  <c r="AL129" i="10"/>
  <c r="AQ129" i="32" s="1"/>
  <c r="AL129" i="32"/>
  <c r="AL873" i="10"/>
  <c r="AL378" i="10"/>
  <c r="AL784" i="10"/>
  <c r="AQ784" i="32" s="1"/>
  <c r="AL784" i="32"/>
  <c r="AL674" i="10"/>
  <c r="AQ674" i="32" s="1"/>
  <c r="AL674" i="32"/>
  <c r="AL21" i="10"/>
  <c r="AQ21" i="32" s="1"/>
  <c r="AL21" i="32"/>
  <c r="AL796" i="10"/>
  <c r="AQ796" i="32" s="1"/>
  <c r="AL796" i="32"/>
  <c r="AL637" i="10"/>
  <c r="AQ637" i="32" s="1"/>
  <c r="AL637" i="32"/>
  <c r="AL379" i="10"/>
  <c r="AQ379" i="32" s="1"/>
  <c r="AL379" i="32"/>
  <c r="AL60" i="10"/>
  <c r="AQ60" i="32" s="1"/>
  <c r="AL60" i="32"/>
  <c r="AL710" i="10"/>
  <c r="AQ710" i="32" s="1"/>
  <c r="AL710" i="32"/>
  <c r="AP885" i="10"/>
  <c r="AL471" i="10"/>
  <c r="AQ471" i="32" s="1"/>
  <c r="AL471" i="32"/>
  <c r="AL161" i="10"/>
  <c r="AQ161" i="32" s="1"/>
  <c r="AL161" i="32"/>
  <c r="AM218" i="32"/>
  <c r="AL470" i="10"/>
  <c r="AQ470" i="32" s="1"/>
  <c r="AL470" i="32"/>
  <c r="AL936" i="10"/>
  <c r="AQ936" i="32" s="1"/>
  <c r="AL936" i="32"/>
  <c r="AL447" i="10"/>
  <c r="AQ447" i="32" s="1"/>
  <c r="AL447" i="32"/>
  <c r="AL290" i="10"/>
  <c r="AU290" i="10" s="1"/>
  <c r="AL290" i="32"/>
  <c r="AL466" i="10"/>
  <c r="AQ466" i="32" s="1"/>
  <c r="AL466" i="32"/>
  <c r="AL314" i="10"/>
  <c r="AQ314" i="10" s="1"/>
  <c r="AL314" i="32"/>
  <c r="AL359" i="10"/>
  <c r="AQ359" i="32" s="1"/>
  <c r="AL359" i="32"/>
  <c r="AL387" i="10"/>
  <c r="AQ387" i="32" s="1"/>
  <c r="AL387" i="32"/>
  <c r="AL404" i="10"/>
  <c r="AQ404" i="32" s="1"/>
  <c r="AL404" i="32"/>
  <c r="AL343" i="10"/>
  <c r="AQ343" i="32" s="1"/>
  <c r="AL343" i="32"/>
  <c r="AL109" i="10"/>
  <c r="AQ109" i="32" s="1"/>
  <c r="AL109" i="32"/>
  <c r="AL311" i="10"/>
  <c r="AQ311" i="32" s="1"/>
  <c r="AL311" i="32"/>
  <c r="AL911" i="10"/>
  <c r="AQ911" i="32" s="1"/>
  <c r="AL911" i="32"/>
  <c r="AL287" i="10"/>
  <c r="AQ287" i="32" s="1"/>
  <c r="AL287" i="32"/>
  <c r="AL551" i="10"/>
  <c r="AP289" i="10"/>
  <c r="AP289" i="32"/>
  <c r="AP381" i="10"/>
  <c r="AP381" i="32"/>
  <c r="AP940" i="10"/>
  <c r="AP940" i="32"/>
  <c r="AP299" i="10"/>
  <c r="AP299" i="32"/>
  <c r="AP215" i="10"/>
  <c r="AP215" i="32"/>
  <c r="AP301" i="10"/>
  <c r="AP301" i="32"/>
  <c r="AP647" i="10"/>
  <c r="AP852" i="10"/>
  <c r="AP698" i="10"/>
  <c r="AP698" i="32"/>
  <c r="AP566" i="10"/>
  <c r="AP566" i="32"/>
  <c r="AP90" i="10"/>
  <c r="AP90" i="32"/>
  <c r="AP63" i="10"/>
  <c r="AP63" i="32"/>
  <c r="AP173" i="10"/>
  <c r="AP173" i="32"/>
  <c r="AP926" i="10"/>
  <c r="AP634" i="10"/>
  <c r="AP439" i="10"/>
  <c r="AP439" i="32"/>
  <c r="AP16" i="10"/>
  <c r="AP16" i="32"/>
  <c r="AP645" i="10"/>
  <c r="AP437" i="10"/>
  <c r="AP437" i="32"/>
  <c r="AP557" i="10"/>
  <c r="AL98" i="10"/>
  <c r="AQ98" i="32" s="1"/>
  <c r="AL98" i="32"/>
  <c r="AL785" i="10"/>
  <c r="AQ785" i="32" s="1"/>
  <c r="AL785" i="32"/>
  <c r="AL492" i="10"/>
  <c r="AQ492" i="32" s="1"/>
  <c r="AL492" i="32"/>
  <c r="AL431" i="10"/>
  <c r="AQ431" i="32" s="1"/>
  <c r="AL431" i="32"/>
  <c r="AL189" i="10"/>
  <c r="AQ189" i="32" s="1"/>
  <c r="AL189" i="32"/>
  <c r="AL283" i="10"/>
  <c r="AQ283" i="32" s="1"/>
  <c r="AL283" i="32"/>
  <c r="AL365" i="10"/>
  <c r="AQ365" i="32" s="1"/>
  <c r="AL365" i="32"/>
  <c r="AP33" i="10"/>
  <c r="AP33" i="32"/>
  <c r="AP428" i="10"/>
  <c r="AP428" i="32"/>
  <c r="AP751" i="10"/>
  <c r="AP751" i="32"/>
  <c r="AP516" i="10"/>
  <c r="AP516" i="32"/>
  <c r="AP144" i="10"/>
  <c r="AP144" i="32"/>
  <c r="AP225" i="10"/>
  <c r="AP225" i="32"/>
  <c r="AP78" i="10"/>
  <c r="AP35" i="10"/>
  <c r="AP35" i="32"/>
  <c r="AP418" i="10"/>
  <c r="AP418" i="32"/>
  <c r="AP685" i="10"/>
  <c r="AP685" i="32"/>
  <c r="AP694" i="10"/>
  <c r="AP75" i="10"/>
  <c r="AP75" i="32"/>
  <c r="AP969" i="10"/>
  <c r="AP969" i="32"/>
  <c r="AP468" i="10"/>
  <c r="AP468" i="32"/>
  <c r="AP739" i="10"/>
  <c r="AP739" i="32"/>
  <c r="AP80" i="10"/>
  <c r="AP80" i="32"/>
  <c r="AP306" i="10"/>
  <c r="AP306" i="32"/>
  <c r="AP613" i="10"/>
  <c r="AP367" i="10"/>
  <c r="AP367" i="32"/>
  <c r="AL867" i="10"/>
  <c r="AL329" i="10"/>
  <c r="AQ329" i="32" s="1"/>
  <c r="AL329" i="32"/>
  <c r="AL154" i="10"/>
  <c r="AQ154" i="32" s="1"/>
  <c r="AL154" i="32"/>
  <c r="AL910" i="10"/>
  <c r="AQ910" i="32" s="1"/>
  <c r="AL910" i="32"/>
  <c r="AL454" i="10"/>
  <c r="AQ454" i="32" s="1"/>
  <c r="AL454" i="32"/>
  <c r="AL514" i="10"/>
  <c r="AQ514" i="32" s="1"/>
  <c r="AL514" i="32"/>
  <c r="AL947" i="10"/>
  <c r="AQ947" i="32" s="1"/>
  <c r="AL947" i="32"/>
  <c r="AL300" i="10"/>
  <c r="AQ300" i="32" s="1"/>
  <c r="AL300" i="32"/>
  <c r="AL594" i="10"/>
  <c r="AL538" i="10"/>
  <c r="AQ538" i="32" s="1"/>
  <c r="AL538" i="32"/>
  <c r="AL920" i="10"/>
  <c r="AQ920" i="32" s="1"/>
  <c r="AL920" i="32"/>
  <c r="AL75" i="10"/>
  <c r="AQ75" i="32" s="1"/>
  <c r="AL75" i="32"/>
  <c r="AL845" i="10"/>
  <c r="AL854" i="10"/>
  <c r="AL153" i="10"/>
  <c r="AQ153" i="32" s="1"/>
  <c r="AL153" i="32"/>
  <c r="AL272" i="10"/>
  <c r="AQ272" i="32" s="1"/>
  <c r="AL272" i="32"/>
  <c r="AL838" i="10"/>
  <c r="AL965" i="10"/>
  <c r="AQ965" i="32" s="1"/>
  <c r="AL965" i="32"/>
  <c r="AL772" i="10"/>
  <c r="AQ772" i="32" s="1"/>
  <c r="AL772" i="32"/>
  <c r="AL550" i="10"/>
  <c r="AQ550" i="32" s="1"/>
  <c r="AL550" i="32"/>
  <c r="AP257" i="10"/>
  <c r="AP257" i="32"/>
  <c r="AP505" i="10"/>
  <c r="AP505" i="32"/>
  <c r="AP447" i="10"/>
  <c r="AP447" i="32"/>
  <c r="AP976" i="10"/>
  <c r="AP333" i="10"/>
  <c r="AP333" i="32"/>
  <c r="AP962" i="10"/>
  <c r="AP962" i="32"/>
  <c r="AP241" i="10"/>
  <c r="AP241" i="32"/>
  <c r="AP650" i="10"/>
  <c r="AP650" i="32"/>
  <c r="AP444" i="10"/>
  <c r="AP444" i="32"/>
  <c r="AP573" i="10"/>
  <c r="AP573" i="32"/>
  <c r="AP158" i="10"/>
  <c r="AP158" i="32"/>
  <c r="AP60" i="10"/>
  <c r="AP60" i="32"/>
  <c r="AP586" i="32"/>
  <c r="AP296" i="10"/>
  <c r="AP296" i="32"/>
  <c r="AP883" i="10"/>
  <c r="AP531" i="10"/>
  <c r="AP531" i="32"/>
  <c r="AP594" i="10"/>
  <c r="AL59" i="10"/>
  <c r="AQ59" i="32" s="1"/>
  <c r="AL59" i="32"/>
  <c r="AL262" i="10"/>
  <c r="AL586" i="32"/>
  <c r="AL887" i="10"/>
  <c r="AL879" i="10"/>
  <c r="AL33" i="10"/>
  <c r="AQ33" i="32" s="1"/>
  <c r="AL33" i="32"/>
  <c r="AL914" i="10"/>
  <c r="AQ914" i="32" s="1"/>
  <c r="AL914" i="32"/>
  <c r="AL681" i="10"/>
  <c r="AQ681" i="32" s="1"/>
  <c r="AL681" i="32"/>
  <c r="AL380" i="10"/>
  <c r="AL930" i="10"/>
  <c r="AT930" i="10" s="1"/>
  <c r="AL930" i="32"/>
  <c r="AL70" i="10"/>
  <c r="AQ70" i="32" s="1"/>
  <c r="AL70" i="32"/>
  <c r="AL269" i="10"/>
  <c r="AQ269" i="32" s="1"/>
  <c r="AL269" i="32"/>
  <c r="AL759" i="10"/>
  <c r="AQ759" i="32" s="1"/>
  <c r="AL759" i="32"/>
  <c r="AL337" i="10"/>
  <c r="AL630" i="10"/>
  <c r="AQ630" i="32" s="1"/>
  <c r="AL630" i="32"/>
  <c r="AL539" i="10"/>
  <c r="AQ539" i="32" s="1"/>
  <c r="AL539" i="32"/>
  <c r="AL16" i="10"/>
  <c r="AQ16" i="32" s="1"/>
  <c r="AL16" i="32"/>
  <c r="AL723" i="10"/>
  <c r="AL690" i="10"/>
  <c r="AQ690" i="32" s="1"/>
  <c r="AL690" i="32"/>
  <c r="AP887" i="10"/>
  <c r="AP872" i="10"/>
  <c r="AP141" i="10"/>
  <c r="AP141" i="32"/>
  <c r="AP691" i="10"/>
  <c r="AP691" i="32"/>
  <c r="AP609" i="10"/>
  <c r="AP609" i="32"/>
  <c r="AP316" i="10"/>
  <c r="AP316" i="32"/>
  <c r="AP380" i="10"/>
  <c r="AP302" i="10"/>
  <c r="AP302" i="32"/>
  <c r="AP848" i="10"/>
  <c r="AP687" i="10"/>
  <c r="AP687" i="32"/>
  <c r="AP496" i="10"/>
  <c r="AP684" i="10"/>
  <c r="AP684" i="32"/>
  <c r="AP354" i="10"/>
  <c r="AP354" i="32"/>
  <c r="AP446" i="10"/>
  <c r="AP446" i="32"/>
  <c r="AL244" i="10"/>
  <c r="AQ244" i="32" s="1"/>
  <c r="AL244" i="32"/>
  <c r="AL833" i="10"/>
  <c r="AL422" i="10"/>
  <c r="AQ422" i="32" s="1"/>
  <c r="AL422" i="32"/>
  <c r="AL747" i="10"/>
  <c r="AQ747" i="32" s="1"/>
  <c r="AL747" i="32"/>
  <c r="AL180" i="10"/>
  <c r="AQ180" i="32" s="1"/>
  <c r="AL180" i="32"/>
  <c r="AL916" i="10"/>
  <c r="AQ916" i="32" s="1"/>
  <c r="AL916" i="32"/>
  <c r="AL132" i="10"/>
  <c r="AQ132" i="32" s="1"/>
  <c r="AL132" i="32"/>
  <c r="AL872" i="10"/>
  <c r="AL682" i="10"/>
  <c r="AQ682" i="32" s="1"/>
  <c r="AL682" i="32"/>
  <c r="AL228" i="10"/>
  <c r="AQ228" i="32" s="1"/>
  <c r="AL228" i="32"/>
  <c r="AL948" i="10"/>
  <c r="AQ948" i="32" s="1"/>
  <c r="AL948" i="32"/>
  <c r="AL308" i="10"/>
  <c r="AQ308" i="32" s="1"/>
  <c r="AL308" i="32"/>
  <c r="AL57" i="10"/>
  <c r="AQ57" i="32" s="1"/>
  <c r="AL57" i="32"/>
  <c r="AP205" i="10"/>
  <c r="AL172" i="10"/>
  <c r="AQ172" i="32" s="1"/>
  <c r="AL172" i="32"/>
  <c r="AL315" i="10"/>
  <c r="AQ315" i="32" s="1"/>
  <c r="AL315" i="32"/>
  <c r="AL333" i="10"/>
  <c r="AQ333" i="32" s="1"/>
  <c r="AL333" i="32"/>
  <c r="AL507" i="10"/>
  <c r="AQ507" i="32" s="1"/>
  <c r="AL507" i="32"/>
  <c r="AL327" i="10"/>
  <c r="AQ327" i="32" s="1"/>
  <c r="AL327" i="32"/>
  <c r="AL364" i="10"/>
  <c r="AQ364" i="32" s="1"/>
  <c r="AL364" i="32"/>
  <c r="AL755" i="10"/>
  <c r="AQ755" i="32" s="1"/>
  <c r="AL755" i="32"/>
  <c r="AL239" i="10"/>
  <c r="AQ239" i="32" s="1"/>
  <c r="AL239" i="32"/>
  <c r="AL424" i="10"/>
  <c r="AQ424" i="32" s="1"/>
  <c r="AL424" i="32"/>
  <c r="AL108" i="10"/>
  <c r="AQ108" i="32" s="1"/>
  <c r="AL108" i="32"/>
  <c r="AL844" i="10"/>
  <c r="AL557" i="10"/>
  <c r="AL17" i="10"/>
  <c r="AQ17" i="32" s="1"/>
  <c r="AL17" i="32"/>
  <c r="AL214" i="10"/>
  <c r="AQ214" i="32" s="1"/>
  <c r="AL214" i="32"/>
  <c r="AL829" i="10"/>
  <c r="AL367" i="10"/>
  <c r="AQ367" i="32" s="1"/>
  <c r="AL367" i="32"/>
  <c r="AL149" i="10"/>
  <c r="AQ149" i="32" s="1"/>
  <c r="AL149" i="32"/>
  <c r="AL707" i="10"/>
  <c r="AQ707" i="32" s="1"/>
  <c r="AL707" i="32"/>
  <c r="AL536" i="10"/>
  <c r="AL242" i="10"/>
  <c r="AQ242" i="32" s="1"/>
  <c r="AL242" i="32"/>
  <c r="AL669" i="10"/>
  <c r="AQ669" i="32" s="1"/>
  <c r="AL669" i="32"/>
  <c r="AL72" i="10"/>
  <c r="AQ72" i="32" s="1"/>
  <c r="AL72" i="32"/>
  <c r="AL685" i="10"/>
  <c r="AQ685" i="32" s="1"/>
  <c r="AL685" i="32"/>
  <c r="AL925" i="10"/>
  <c r="AQ925" i="32" s="1"/>
  <c r="AL925" i="32"/>
  <c r="AL559" i="10"/>
  <c r="AL455" i="10"/>
  <c r="AQ455" i="32" s="1"/>
  <c r="AL455" i="32"/>
  <c r="AL919" i="10"/>
  <c r="AQ919" i="32" s="1"/>
  <c r="AL919" i="32"/>
  <c r="AL616" i="10"/>
  <c r="AQ616" i="32" s="1"/>
  <c r="AL616" i="32"/>
  <c r="AL32" i="10"/>
  <c r="AQ32" i="32" s="1"/>
  <c r="AL32" i="32"/>
  <c r="AL512" i="10"/>
  <c r="AQ512" i="32" s="1"/>
  <c r="AL512" i="32"/>
  <c r="AL64" i="10"/>
  <c r="AQ64" i="32" s="1"/>
  <c r="AL64" i="32"/>
  <c r="AL371" i="10"/>
  <c r="AL345" i="10"/>
  <c r="AQ345" i="32" s="1"/>
  <c r="AL345" i="32"/>
  <c r="AP785" i="10"/>
  <c r="AP785" i="32"/>
  <c r="AP681" i="10"/>
  <c r="AP681" i="32"/>
  <c r="AP267" i="10"/>
  <c r="AP267" i="32"/>
  <c r="AP28" i="10"/>
  <c r="AP28" i="32"/>
  <c r="AP955" i="10"/>
  <c r="AP955" i="32"/>
  <c r="AP910" i="10"/>
  <c r="AP910" i="32"/>
  <c r="AP603" i="10"/>
  <c r="AP603" i="32"/>
  <c r="AP515" i="10"/>
  <c r="AP515" i="32"/>
  <c r="AP157" i="10"/>
  <c r="AP157" i="32"/>
  <c r="AP364" i="10"/>
  <c r="AP364" i="32"/>
  <c r="AP561" i="10"/>
  <c r="AP817" i="10"/>
  <c r="AP817" i="32"/>
  <c r="AP384" i="10"/>
  <c r="AP384" i="32"/>
  <c r="AP227" i="10"/>
  <c r="AP227" i="32"/>
  <c r="AP783" i="10"/>
  <c r="AP783" i="32"/>
  <c r="AP680" i="10"/>
  <c r="AP680" i="32"/>
  <c r="AP38" i="10"/>
  <c r="AP38" i="32"/>
  <c r="AP857" i="10"/>
  <c r="AP532" i="10"/>
  <c r="AP532" i="32"/>
  <c r="AP95" i="10"/>
  <c r="AP95" i="32"/>
  <c r="AP682" i="10"/>
  <c r="AP682" i="32"/>
  <c r="AP749" i="10"/>
  <c r="AP624" i="10"/>
  <c r="AP624" i="32"/>
  <c r="AP875" i="10"/>
  <c r="AP366" i="10"/>
  <c r="AP366" i="32"/>
  <c r="AP34" i="10"/>
  <c r="AP34" i="32"/>
  <c r="AP695" i="10"/>
  <c r="AP939" i="10"/>
  <c r="AP657" i="10"/>
  <c r="AP657" i="32"/>
  <c r="AP509" i="10"/>
  <c r="AP509" i="32"/>
  <c r="AP508" i="10"/>
  <c r="AP508" i="32"/>
  <c r="AP365" i="10"/>
  <c r="AP365" i="32"/>
  <c r="AP305" i="10"/>
  <c r="AP305" i="32"/>
  <c r="AP770" i="10"/>
  <c r="AP770" i="32"/>
  <c r="AP610" i="10"/>
  <c r="AP610" i="32"/>
  <c r="AP146" i="10"/>
  <c r="AP146" i="32"/>
  <c r="AP830" i="10"/>
  <c r="AP382" i="10"/>
  <c r="AP382" i="32"/>
  <c r="AP867" i="10"/>
  <c r="AP196" i="10"/>
  <c r="AP196" i="32"/>
  <c r="AP729" i="10"/>
  <c r="AP729" i="32"/>
  <c r="AP264" i="10"/>
  <c r="AP264" i="32"/>
  <c r="AP917" i="10"/>
  <c r="AP917" i="32"/>
  <c r="AP356" i="10"/>
  <c r="AP356" i="32"/>
  <c r="AP696" i="10"/>
  <c r="AP836" i="10"/>
  <c r="AP484" i="10"/>
  <c r="AP484" i="32"/>
  <c r="AP733" i="10"/>
  <c r="AP733" i="32"/>
  <c r="AP808" i="10"/>
  <c r="AP808" i="32"/>
  <c r="AP397" i="10"/>
  <c r="AP397" i="32"/>
  <c r="AP254" i="10"/>
  <c r="AP242" i="10"/>
  <c r="AP242" i="32"/>
  <c r="AP623" i="10"/>
  <c r="AP623" i="32"/>
  <c r="AP197" i="10"/>
  <c r="AP197" i="32"/>
  <c r="AP870" i="10"/>
  <c r="AP416" i="10"/>
  <c r="AP416" i="32"/>
  <c r="AP265" i="10"/>
  <c r="AP265" i="32"/>
  <c r="AP402" i="10"/>
  <c r="AP402" i="32"/>
  <c r="AP707" i="10"/>
  <c r="AP707" i="32"/>
  <c r="AP625" i="10"/>
  <c r="AP625" i="32"/>
  <c r="AP924" i="10"/>
  <c r="AP924" i="32"/>
  <c r="AP690" i="10"/>
  <c r="AP690" i="32"/>
  <c r="AP93" i="10"/>
  <c r="AP93" i="32"/>
  <c r="AP160" i="10"/>
  <c r="AP160" i="32"/>
  <c r="AP37" i="10"/>
  <c r="AP37" i="32"/>
  <c r="AP654" i="10"/>
  <c r="AP952" i="10"/>
  <c r="AP952" i="32"/>
  <c r="AP918" i="10"/>
  <c r="AP918" i="32"/>
  <c r="AP239" i="10"/>
  <c r="AP239" i="32"/>
  <c r="AP279" i="10"/>
  <c r="AP279" i="32"/>
  <c r="AP527" i="10"/>
  <c r="AP527" i="32"/>
  <c r="AP290" i="10"/>
  <c r="AP290" i="32"/>
  <c r="AP52" i="10"/>
  <c r="AP52" i="32"/>
  <c r="AP644" i="10"/>
  <c r="AP644" i="32"/>
  <c r="AP475" i="10"/>
  <c r="AP475" i="32"/>
  <c r="AP214" i="10"/>
  <c r="AP214" i="32"/>
  <c r="AP688" i="10"/>
  <c r="AP688" i="32"/>
  <c r="AP858" i="10"/>
  <c r="AP476" i="10"/>
  <c r="AP476" i="32"/>
  <c r="AP304" i="10"/>
  <c r="AP304" i="32"/>
  <c r="AP754" i="10"/>
  <c r="AP754" i="32"/>
  <c r="AP284" i="10"/>
  <c r="AP284" i="32"/>
  <c r="AP470" i="10"/>
  <c r="AP470" i="32"/>
  <c r="AP877" i="10"/>
  <c r="AP764" i="10"/>
  <c r="AP764" i="32"/>
  <c r="AP540" i="10"/>
  <c r="AP540" i="32"/>
  <c r="AP209" i="10"/>
  <c r="AP209" i="32"/>
  <c r="AP731" i="10"/>
  <c r="AP731" i="32"/>
  <c r="AP524" i="10"/>
  <c r="AP565" i="10"/>
  <c r="AP565" i="32"/>
  <c r="AP390" i="10"/>
  <c r="AP390" i="32"/>
  <c r="AP67" i="10"/>
  <c r="AP67" i="32"/>
  <c r="AP393" i="10"/>
  <c r="AP393" i="32"/>
  <c r="AP104" i="10"/>
  <c r="AP104" i="32"/>
  <c r="AP96" i="10"/>
  <c r="AP96" i="32"/>
  <c r="AP469" i="10"/>
  <c r="AP469" i="32"/>
  <c r="AP435" i="10"/>
  <c r="AP435" i="32"/>
  <c r="AP253" i="10"/>
  <c r="AP253" i="32"/>
  <c r="AP174" i="10"/>
  <c r="AP174" i="32"/>
  <c r="AP576" i="10"/>
  <c r="AP576" i="32"/>
  <c r="AP765" i="10"/>
  <c r="AP765" i="32"/>
  <c r="AP879" i="10"/>
  <c r="AL721" i="10"/>
  <c r="AL391" i="10"/>
  <c r="AQ391" i="32" s="1"/>
  <c r="AL391" i="32"/>
  <c r="AL85" i="10"/>
  <c r="AQ85" i="32" s="1"/>
  <c r="AL85" i="32"/>
  <c r="AL803" i="10"/>
  <c r="AQ803" i="32" s="1"/>
  <c r="AL803" i="32"/>
  <c r="AL718" i="10"/>
  <c r="AL558" i="10"/>
  <c r="AL767" i="10"/>
  <c r="AQ767" i="32" s="1"/>
  <c r="AL767" i="32"/>
  <c r="AL43" i="10"/>
  <c r="AQ43" i="32" s="1"/>
  <c r="AL43" i="32"/>
  <c r="AL899" i="10"/>
  <c r="AQ899" i="32" s="1"/>
  <c r="AL899" i="32"/>
  <c r="AL541" i="10"/>
  <c r="AQ541" i="32" s="1"/>
  <c r="AL541" i="32"/>
  <c r="AL80" i="10"/>
  <c r="AQ80" i="32" s="1"/>
  <c r="AL80" i="32"/>
  <c r="AL142" i="10"/>
  <c r="AQ142" i="32" s="1"/>
  <c r="AL142" i="32"/>
  <c r="AL163" i="10"/>
  <c r="AQ163" i="32" s="1"/>
  <c r="AL163" i="32"/>
  <c r="AL694" i="10"/>
  <c r="AL184" i="10"/>
  <c r="AQ184" i="32" s="1"/>
  <c r="AL184" i="32"/>
  <c r="AL800" i="10"/>
  <c r="AQ800" i="32" s="1"/>
  <c r="AL800" i="32"/>
  <c r="AL488" i="10"/>
  <c r="AQ488" i="32" s="1"/>
  <c r="AL488" i="32"/>
  <c r="AP822" i="10"/>
  <c r="AP822" i="32"/>
  <c r="AP21" i="10"/>
  <c r="AP21" i="32"/>
  <c r="AP859" i="10"/>
  <c r="AP72" i="10"/>
  <c r="AP72" i="32"/>
  <c r="AP757" i="10"/>
  <c r="AP757" i="32"/>
  <c r="AP79" i="10"/>
  <c r="AP79" i="32"/>
  <c r="AP125" i="10"/>
  <c r="AP125" i="32"/>
  <c r="AP27" i="10"/>
  <c r="AP27" i="32"/>
  <c r="AP152" i="10"/>
  <c r="AP152" i="32"/>
  <c r="AP866" i="10"/>
  <c r="AP953" i="10"/>
  <c r="AP953" i="32"/>
  <c r="AP387" i="10"/>
  <c r="AP387" i="32"/>
  <c r="AL533" i="10"/>
  <c r="AQ533" i="32" s="1"/>
  <c r="AL533" i="32"/>
  <c r="AL946" i="10"/>
  <c r="AQ946" i="32" s="1"/>
  <c r="AL946" i="32"/>
  <c r="AL765" i="10"/>
  <c r="AQ765" i="32" s="1"/>
  <c r="AL765" i="32"/>
  <c r="AL484" i="10"/>
  <c r="AQ484" i="32" s="1"/>
  <c r="AL484" i="32"/>
  <c r="AL794" i="10"/>
  <c r="AL904" i="10"/>
  <c r="AQ904" i="32" s="1"/>
  <c r="AL904" i="32"/>
  <c r="AL229" i="10"/>
  <c r="AQ229" i="32" s="1"/>
  <c r="AL229" i="32"/>
  <c r="AL490" i="10"/>
  <c r="AQ490" i="32" s="1"/>
  <c r="AL490" i="32"/>
  <c r="AP245" i="10"/>
  <c r="AP245" i="32"/>
  <c r="AP511" i="10"/>
  <c r="AP511" i="32"/>
  <c r="AP127" i="10"/>
  <c r="AP127" i="32"/>
  <c r="AP640" i="10"/>
  <c r="AP669" i="10"/>
  <c r="AP669" i="32"/>
  <c r="AP236" i="10"/>
  <c r="AP498" i="10"/>
  <c r="AP498" i="32"/>
  <c r="AP56" i="10"/>
  <c r="AP56" i="32"/>
  <c r="AP520" i="10"/>
  <c r="AP520" i="32"/>
  <c r="AP58" i="10"/>
  <c r="AP58" i="32"/>
  <c r="AP794" i="10"/>
  <c r="AP335" i="10"/>
  <c r="AP335" i="32"/>
  <c r="AP581" i="10"/>
  <c r="AP581" i="32"/>
  <c r="AP319" i="10"/>
  <c r="AP319" i="32"/>
  <c r="AP605" i="10"/>
  <c r="AP605" i="32"/>
  <c r="AP452" i="10"/>
  <c r="AP452" i="32"/>
  <c r="AP725" i="10"/>
  <c r="AP725" i="32"/>
  <c r="AP198" i="10"/>
  <c r="AP198" i="32"/>
  <c r="AP937" i="10"/>
  <c r="AP937" i="32"/>
  <c r="AL869" i="10"/>
  <c r="AL209" i="10"/>
  <c r="AQ209" i="32" s="1"/>
  <c r="AL209" i="32"/>
  <c r="AL617" i="10"/>
  <c r="AQ617" i="32" s="1"/>
  <c r="AL617" i="32"/>
  <c r="AL491" i="10"/>
  <c r="AQ491" i="32" s="1"/>
  <c r="AL491" i="32"/>
  <c r="AL509" i="10"/>
  <c r="AQ509" i="32" s="1"/>
  <c r="AL509" i="32"/>
  <c r="AL971" i="10"/>
  <c r="AQ971" i="32" s="1"/>
  <c r="AL971" i="32"/>
  <c r="AL981" i="10"/>
  <c r="AL981" i="32"/>
  <c r="AL284" i="10"/>
  <c r="AQ284" i="32" s="1"/>
  <c r="AL284" i="32"/>
  <c r="AL717" i="10"/>
  <c r="AL251" i="10"/>
  <c r="AQ251" i="32" s="1"/>
  <c r="AL251" i="32"/>
  <c r="AL725" i="10"/>
  <c r="AU725" i="10" s="1"/>
  <c r="AL725" i="32"/>
  <c r="AL836" i="10"/>
  <c r="AL553" i="10"/>
  <c r="AQ553" i="32" s="1"/>
  <c r="AL553" i="32"/>
  <c r="AL468" i="10"/>
  <c r="AQ468" i="32" s="1"/>
  <c r="AL468" i="32"/>
  <c r="AL511" i="10"/>
  <c r="AQ511" i="32" s="1"/>
  <c r="AL511" i="32"/>
  <c r="AL341" i="10"/>
  <c r="AQ341" i="32" s="1"/>
  <c r="AL341" i="32"/>
  <c r="AL795" i="10"/>
  <c r="AQ795" i="32" s="1"/>
  <c r="AL795" i="32"/>
  <c r="AL757" i="10"/>
  <c r="AQ757" i="32" s="1"/>
  <c r="AL757" i="32"/>
  <c r="AL173" i="10"/>
  <c r="AQ173" i="32" s="1"/>
  <c r="AL173" i="32"/>
  <c r="AP925" i="10"/>
  <c r="AP925" i="32"/>
  <c r="AP806" i="10"/>
  <c r="AP806" i="32"/>
  <c r="AP630" i="10"/>
  <c r="AP630" i="32"/>
  <c r="AP773" i="10"/>
  <c r="AP773" i="32"/>
  <c r="AP972" i="10"/>
  <c r="AP972" i="32"/>
  <c r="AP433" i="10"/>
  <c r="AP433" i="32"/>
  <c r="AP270" i="10"/>
  <c r="AP270" i="32"/>
  <c r="AP920" i="10"/>
  <c r="AP920" i="32"/>
  <c r="AP752" i="10"/>
  <c r="AP752" i="32"/>
  <c r="AP627" i="10"/>
  <c r="AP886" i="10"/>
  <c r="AP341" i="10"/>
  <c r="AP341" i="32"/>
  <c r="AP700" i="10"/>
  <c r="AP700" i="32"/>
  <c r="AP971" i="10"/>
  <c r="AP971" i="32"/>
  <c r="AP485" i="10"/>
  <c r="AP485" i="32"/>
  <c r="AP651" i="10"/>
  <c r="AP467" i="10"/>
  <c r="AP467" i="32"/>
  <c r="AP814" i="10"/>
  <c r="AP814" i="32"/>
  <c r="AP421" i="10"/>
  <c r="AP421" i="32"/>
  <c r="AL952" i="10"/>
  <c r="AQ952" i="32" s="1"/>
  <c r="AL952" i="32"/>
  <c r="AL27" i="10"/>
  <c r="AQ27" i="32" s="1"/>
  <c r="AL27" i="32"/>
  <c r="AL297" i="10"/>
  <c r="AQ297" i="32" s="1"/>
  <c r="AL297" i="32"/>
  <c r="AL331" i="10"/>
  <c r="AQ331" i="32" s="1"/>
  <c r="AL331" i="32"/>
  <c r="AL444" i="10"/>
  <c r="AQ444" i="32" s="1"/>
  <c r="AL444" i="32"/>
  <c r="AL762" i="10"/>
  <c r="AQ762" i="32" s="1"/>
  <c r="AL762" i="32"/>
  <c r="AL705" i="10"/>
  <c r="AL572" i="10"/>
  <c r="AQ572" i="32" s="1"/>
  <c r="AL572" i="32"/>
  <c r="AL28" i="10"/>
  <c r="AQ28" i="32" s="1"/>
  <c r="AL28" i="32"/>
  <c r="AL620" i="10"/>
  <c r="AQ620" i="32" s="1"/>
  <c r="AL620" i="32"/>
  <c r="AL441" i="10"/>
  <c r="AQ441" i="32" s="1"/>
  <c r="AL441" i="32"/>
  <c r="AL216" i="10"/>
  <c r="AL216" i="32"/>
  <c r="AL37" i="10"/>
  <c r="AQ37" i="32" s="1"/>
  <c r="AL37" i="32"/>
  <c r="AL474" i="10"/>
  <c r="AQ474" i="10" s="1"/>
  <c r="AL474" i="32"/>
  <c r="AL339" i="10"/>
  <c r="AL204" i="10"/>
  <c r="AQ204" i="32" s="1"/>
  <c r="AL204" i="32"/>
  <c r="AL258" i="10"/>
  <c r="AQ258" i="32" s="1"/>
  <c r="AL258" i="32"/>
  <c r="AL63" i="10"/>
  <c r="AQ63" i="32" s="1"/>
  <c r="AL63" i="32"/>
  <c r="AM382" i="32"/>
  <c r="AP810" i="10"/>
  <c r="AP810" i="32"/>
  <c r="AP823" i="10"/>
  <c r="AP823" i="32"/>
  <c r="AP202" i="10"/>
  <c r="AP202" i="32"/>
  <c r="AP596" i="10"/>
  <c r="AP596" i="32"/>
  <c r="AP868" i="10"/>
  <c r="AP332" i="10"/>
  <c r="AP332" i="32"/>
  <c r="AP899" i="10"/>
  <c r="AP899" i="32"/>
  <c r="AP370" i="10"/>
  <c r="AP846" i="10"/>
  <c r="AP213" i="10"/>
  <c r="AP213" i="32"/>
  <c r="AP869" i="10"/>
  <c r="AP569" i="10"/>
  <c r="AP569" i="32"/>
  <c r="AP120" i="10"/>
  <c r="AP120" i="32"/>
  <c r="AP445" i="10"/>
  <c r="AP445" i="32"/>
  <c r="AP718" i="10"/>
  <c r="AP914" i="10"/>
  <c r="AP914" i="32"/>
  <c r="AP46" i="10"/>
  <c r="AP46" i="32"/>
  <c r="AP977" i="10"/>
  <c r="AP977" i="32"/>
  <c r="AP204" i="10"/>
  <c r="AP204" i="32"/>
  <c r="AP24" i="10"/>
  <c r="AP24" i="32"/>
  <c r="AP43" i="10"/>
  <c r="AP43" i="32"/>
  <c r="AP268" i="10"/>
  <c r="AP268" i="32"/>
  <c r="AL678" i="10"/>
  <c r="AQ678" i="32" s="1"/>
  <c r="AL678" i="32"/>
  <c r="AL893" i="10"/>
  <c r="AL628" i="10"/>
  <c r="AQ628" i="32" s="1"/>
  <c r="AL628" i="32"/>
  <c r="AL481" i="10"/>
  <c r="AQ481" i="32" s="1"/>
  <c r="AL481" i="32"/>
  <c r="AL384" i="10"/>
  <c r="AR384" i="10" s="1"/>
  <c r="AL384" i="32"/>
  <c r="AL485" i="10"/>
  <c r="AQ485" i="32" s="1"/>
  <c r="AL485" i="32"/>
  <c r="AL52" i="10"/>
  <c r="AL52" i="32"/>
  <c r="AL496" i="10"/>
  <c r="AL106" i="10"/>
  <c r="AQ106" i="32" s="1"/>
  <c r="AL106" i="32"/>
  <c r="AL271" i="10"/>
  <c r="AQ271" i="32" s="1"/>
  <c r="AL271" i="32"/>
  <c r="AL743" i="10"/>
  <c r="AQ743" i="32" s="1"/>
  <c r="AL743" i="32"/>
  <c r="AL289" i="10"/>
  <c r="AU289" i="10" s="1"/>
  <c r="AL289" i="32"/>
  <c r="AL562" i="10"/>
  <c r="AL501" i="10"/>
  <c r="AQ501" i="32" s="1"/>
  <c r="AL501" i="32"/>
  <c r="AL126" i="10"/>
  <c r="AQ126" i="32" s="1"/>
  <c r="AL126" i="32"/>
  <c r="AL82" i="10"/>
  <c r="AQ82" i="32" s="1"/>
  <c r="AL82" i="32"/>
  <c r="AL390" i="10"/>
  <c r="AQ390" i="32" s="1"/>
  <c r="AL390" i="32"/>
  <c r="AL199" i="10"/>
  <c r="AQ199" i="32" s="1"/>
  <c r="AL199" i="32"/>
  <c r="AL652" i="10"/>
  <c r="AL736" i="10"/>
  <c r="AL736" i="32"/>
  <c r="AL403" i="10"/>
  <c r="AQ403" i="32" s="1"/>
  <c r="AL403" i="32"/>
  <c r="AL828" i="10"/>
  <c r="AL814" i="10"/>
  <c r="AQ814" i="32" s="1"/>
  <c r="AL814" i="32"/>
  <c r="AL588" i="32"/>
  <c r="AL430" i="10"/>
  <c r="AQ430" i="32" s="1"/>
  <c r="AL430" i="32"/>
  <c r="AL76" i="10"/>
  <c r="AQ76" i="32" s="1"/>
  <c r="AL76" i="32"/>
  <c r="AP974" i="10"/>
  <c r="AL524" i="10"/>
  <c r="AL554" i="10"/>
  <c r="AL636" i="10"/>
  <c r="AQ636" i="32" s="1"/>
  <c r="AL636" i="32"/>
  <c r="AL202" i="10"/>
  <c r="AQ202" i="32" s="1"/>
  <c r="AL202" i="32"/>
  <c r="AL456" i="10"/>
  <c r="AQ456" i="32" s="1"/>
  <c r="AL456" i="32"/>
  <c r="AL692" i="10"/>
  <c r="AQ692" i="32" s="1"/>
  <c r="AL692" i="32"/>
  <c r="AL902" i="10"/>
  <c r="AQ902" i="32" s="1"/>
  <c r="AL902" i="32"/>
  <c r="AL224" i="10"/>
  <c r="AQ224" i="32" s="1"/>
  <c r="AL224" i="32"/>
  <c r="AL574" i="10"/>
  <c r="AQ574" i="32" s="1"/>
  <c r="AL574" i="32"/>
  <c r="AL361" i="10"/>
  <c r="AQ361" i="32" s="1"/>
  <c r="AL361" i="32"/>
  <c r="AL24" i="10"/>
  <c r="AQ24" i="32" s="1"/>
  <c r="AL24" i="32"/>
  <c r="AL158" i="10"/>
  <c r="AQ158" i="32" s="1"/>
  <c r="AL158" i="32"/>
  <c r="AL438" i="10"/>
  <c r="AQ438" i="32" s="1"/>
  <c r="AL438" i="32"/>
  <c r="AL750" i="10"/>
  <c r="AQ750" i="32" s="1"/>
  <c r="AL750" i="32"/>
  <c r="AL280" i="10"/>
  <c r="AQ280" i="32" s="1"/>
  <c r="AL280" i="32"/>
  <c r="AL878" i="10"/>
  <c r="AL567" i="10"/>
  <c r="AQ567" i="32" s="1"/>
  <c r="AL567" i="32"/>
  <c r="AL475" i="10"/>
  <c r="AR475" i="10" s="1"/>
  <c r="AL475" i="32"/>
  <c r="AL137" i="10"/>
  <c r="AQ137" i="32" s="1"/>
  <c r="AL137" i="32"/>
  <c r="AL809" i="10"/>
  <c r="AQ809" i="32" s="1"/>
  <c r="AL809" i="32"/>
  <c r="AL426" i="10"/>
  <c r="AQ426" i="32" s="1"/>
  <c r="AL426" i="32"/>
  <c r="AL929" i="10"/>
  <c r="AT929" i="32" s="1"/>
  <c r="AL929" i="32"/>
  <c r="AP533" i="10"/>
  <c r="AL321" i="10"/>
  <c r="AQ321" i="32" s="1"/>
  <c r="AL321" i="32"/>
  <c r="AL427" i="10"/>
  <c r="AQ427" i="32" s="1"/>
  <c r="AL427" i="32"/>
  <c r="AL325" i="10"/>
  <c r="AQ325" i="32" s="1"/>
  <c r="AL325" i="32"/>
  <c r="AL689" i="10"/>
  <c r="AQ689" i="32" s="1"/>
  <c r="AL689" i="32"/>
  <c r="AL886" i="10"/>
  <c r="AL213" i="10"/>
  <c r="AQ213" i="32" s="1"/>
  <c r="AL213" i="32"/>
  <c r="AL110" i="10"/>
  <c r="AQ110" i="32" s="1"/>
  <c r="AL110" i="32"/>
  <c r="AL285" i="10"/>
  <c r="AQ285" i="32" s="1"/>
  <c r="AL285" i="32"/>
  <c r="AL870" i="10"/>
  <c r="AL500" i="10"/>
  <c r="AL236" i="10"/>
  <c r="AL695" i="10"/>
  <c r="AL605" i="10"/>
  <c r="AQ605" i="32" s="1"/>
  <c r="AL605" i="32"/>
  <c r="AL370" i="10"/>
  <c r="AL635" i="10"/>
  <c r="AQ635" i="32" s="1"/>
  <c r="AL635" i="32"/>
  <c r="AL639" i="10"/>
  <c r="AQ639" i="32" s="1"/>
  <c r="AL639" i="32"/>
  <c r="AL909" i="10"/>
  <c r="AQ909" i="32" s="1"/>
  <c r="AL909" i="32"/>
  <c r="AL160" i="10"/>
  <c r="AQ160" i="32" s="1"/>
  <c r="AL160" i="32"/>
  <c r="AL302" i="10"/>
  <c r="AQ302" i="32" s="1"/>
  <c r="AL302" i="32"/>
  <c r="AL653" i="10"/>
  <c r="AQ653" i="32" s="1"/>
  <c r="AL653" i="32"/>
  <c r="AL613" i="10"/>
  <c r="AL304" i="32"/>
  <c r="AL49" i="10"/>
  <c r="AQ49" i="32" s="1"/>
  <c r="AL49" i="32"/>
  <c r="AL766" i="10"/>
  <c r="AQ766" i="32" s="1"/>
  <c r="AL766" i="32"/>
  <c r="AL42" i="10"/>
  <c r="AQ42" i="32" s="1"/>
  <c r="AL42" i="32"/>
  <c r="AL446" i="10"/>
  <c r="AQ446" i="32" s="1"/>
  <c r="AL446" i="32"/>
  <c r="AL268" i="10"/>
  <c r="AQ268" i="32" s="1"/>
  <c r="AL268" i="32"/>
  <c r="AL739" i="10"/>
  <c r="AQ739" i="32" s="1"/>
  <c r="AL739" i="32"/>
  <c r="AP672" i="10"/>
  <c r="AP672" i="32"/>
  <c r="AP668" i="10"/>
  <c r="AP668" i="32"/>
  <c r="AP412" i="10"/>
  <c r="AP412" i="32"/>
  <c r="AP243" i="10"/>
  <c r="AP243" i="32"/>
  <c r="AP716" i="10"/>
  <c r="AP134" i="10"/>
  <c r="AP134" i="32"/>
  <c r="AP315" i="10"/>
  <c r="AP315" i="32"/>
  <c r="AP252" i="10"/>
  <c r="AP252" i="32"/>
  <c r="AP128" i="10"/>
  <c r="AP128" i="32"/>
  <c r="AP240" i="10"/>
  <c r="AP240" i="32"/>
  <c r="AP193" i="10"/>
  <c r="AP193" i="32"/>
  <c r="AP326" i="10"/>
  <c r="AP326" i="32"/>
  <c r="AP574" i="10"/>
  <c r="AP574" i="32"/>
  <c r="AP957" i="10"/>
  <c r="AP957" i="32"/>
  <c r="AP423" i="10"/>
  <c r="AP423" i="32"/>
  <c r="AL298" i="10"/>
  <c r="AL29" i="10"/>
  <c r="AQ29" i="32" s="1"/>
  <c r="AL29" i="32"/>
  <c r="AL842" i="10"/>
  <c r="AL159" i="10"/>
  <c r="AQ159" i="32" s="1"/>
  <c r="AL159" i="32"/>
  <c r="AL464" i="10"/>
  <c r="AQ464" i="32" s="1"/>
  <c r="AL464" i="32"/>
  <c r="AL941" i="10"/>
  <c r="AQ941" i="32" s="1"/>
  <c r="AL941" i="32"/>
  <c r="AL245" i="10"/>
  <c r="AQ245" i="32" s="1"/>
  <c r="AL245" i="32"/>
  <c r="AP582" i="10"/>
  <c r="AP582" i="32"/>
  <c r="AP355" i="10"/>
  <c r="AP355" i="32"/>
  <c r="AP398" i="10"/>
  <c r="AP398" i="32"/>
  <c r="AP454" i="10"/>
  <c r="AP454" i="32"/>
  <c r="AP816" i="10"/>
  <c r="AP816" i="32"/>
  <c r="AP692" i="10"/>
  <c r="AP692" i="32"/>
  <c r="AP667" i="10"/>
  <c r="AP667" i="32"/>
  <c r="AP237" i="10"/>
  <c r="AP237" i="32"/>
  <c r="W133" i="24" s="1"/>
  <c r="AC133" i="12" s="1"/>
  <c r="AP833" i="10"/>
  <c r="AP771" i="10"/>
  <c r="AP771" i="32"/>
  <c r="AP903" i="10"/>
  <c r="AP903" i="32"/>
  <c r="AP45" i="10"/>
  <c r="AP45" i="32"/>
  <c r="AP310" i="10"/>
  <c r="AP310" i="32"/>
  <c r="AP392" i="10"/>
  <c r="AP392" i="32"/>
  <c r="AP973" i="10"/>
  <c r="AP973" i="32"/>
  <c r="AP633" i="10"/>
  <c r="AL966" i="10"/>
  <c r="AQ966" i="32" s="1"/>
  <c r="AL966" i="32"/>
  <c r="AL128" i="10"/>
  <c r="AQ128" i="32" s="1"/>
  <c r="AL128" i="32"/>
  <c r="AL864" i="10"/>
  <c r="AL729" i="10"/>
  <c r="AQ729" i="32" s="1"/>
  <c r="AL729" i="32"/>
  <c r="AL148" i="10"/>
  <c r="AQ148" i="32" s="1"/>
  <c r="AL148" i="32"/>
  <c r="AL783" i="10"/>
  <c r="AQ783" i="32" s="1"/>
  <c r="AL783" i="32"/>
  <c r="AL264" i="10"/>
  <c r="AQ264" i="32" s="1"/>
  <c r="AL264" i="32"/>
  <c r="AL654" i="10"/>
  <c r="AL537" i="10"/>
  <c r="AQ537" i="32" s="1"/>
  <c r="AL537" i="32"/>
  <c r="AL320" i="10"/>
  <c r="AQ320" i="32" s="1"/>
  <c r="AL320" i="32"/>
  <c r="AL225" i="10"/>
  <c r="AQ225" i="32" s="1"/>
  <c r="AL225" i="32"/>
  <c r="S127" i="24" s="1"/>
  <c r="Y127" i="12" s="1"/>
  <c r="AL177" i="10"/>
  <c r="AQ177" i="32" s="1"/>
  <c r="AL177" i="32"/>
  <c r="AL640" i="10"/>
  <c r="AL530" i="10"/>
  <c r="AQ530" i="32" s="1"/>
  <c r="AL530" i="32"/>
  <c r="AL263" i="10"/>
  <c r="AQ263" i="32" s="1"/>
  <c r="AL263" i="32"/>
  <c r="AL676" i="10"/>
  <c r="AQ676" i="32" s="1"/>
  <c r="AL676" i="32"/>
  <c r="AL737" i="10"/>
  <c r="AQ737" i="10" s="1"/>
  <c r="AL737" i="32"/>
  <c r="AL943" i="10"/>
  <c r="AL459" i="10"/>
  <c r="AQ459" i="32" s="1"/>
  <c r="AL459" i="32"/>
  <c r="AP541" i="10"/>
  <c r="AP541" i="32"/>
  <c r="AP908" i="10"/>
  <c r="AP908" i="32"/>
  <c r="AP401" i="10"/>
  <c r="AP401" i="32"/>
  <c r="AP281" i="10"/>
  <c r="AP281" i="32"/>
  <c r="AP525" i="10"/>
  <c r="AP272" i="10"/>
  <c r="AP272" i="32"/>
  <c r="AP274" i="10"/>
  <c r="AP274" i="32"/>
  <c r="AP646" i="10"/>
  <c r="AP646" i="32"/>
  <c r="AP190" i="10"/>
  <c r="AP190" i="32"/>
  <c r="AP815" i="10"/>
  <c r="AP815" i="32"/>
  <c r="AP884" i="10"/>
  <c r="AP191" i="10"/>
  <c r="AP191" i="32"/>
  <c r="AP103" i="10"/>
  <c r="AP103" i="32"/>
  <c r="AP263" i="10"/>
  <c r="AP263" i="32"/>
  <c r="AP436" i="10"/>
  <c r="AP436" i="32"/>
  <c r="AP801" i="10"/>
  <c r="AP801" i="32"/>
  <c r="AP881" i="10"/>
  <c r="AP330" i="10"/>
  <c r="AP330" i="32"/>
  <c r="AP282" i="10"/>
  <c r="AP282" i="32"/>
  <c r="AP608" i="10"/>
  <c r="AP143" i="10"/>
  <c r="AP143" i="32"/>
  <c r="AP185" i="10"/>
  <c r="AP185" i="32"/>
  <c r="AL763" i="10"/>
  <c r="AQ763" i="32" s="1"/>
  <c r="AL763" i="32"/>
  <c r="AL187" i="10"/>
  <c r="AQ187" i="32" s="1"/>
  <c r="AL187" i="32"/>
  <c r="AL196" i="10"/>
  <c r="AQ196" i="32" s="1"/>
  <c r="AL196" i="32"/>
  <c r="AL276" i="10"/>
  <c r="AL152" i="10"/>
  <c r="AQ152" i="32" s="1"/>
  <c r="AL152" i="32"/>
  <c r="AL897" i="10"/>
  <c r="AL786" i="10"/>
  <c r="AQ786" i="10" s="1"/>
  <c r="AL786" i="32"/>
  <c r="AL896" i="10"/>
  <c r="AL342" i="10"/>
  <c r="AQ342" i="32" s="1"/>
  <c r="AL342" i="32"/>
  <c r="AL644" i="10"/>
  <c r="AQ644" i="32" s="1"/>
  <c r="AL644" i="32"/>
  <c r="AL74" i="10"/>
  <c r="AQ74" i="32" s="1"/>
  <c r="AL74" i="32"/>
  <c r="AL570" i="10"/>
  <c r="AQ570" i="32" s="1"/>
  <c r="AL570" i="32"/>
  <c r="AL859" i="10"/>
  <c r="AL84" i="10"/>
  <c r="AQ84" i="32" s="1"/>
  <c r="AL84" i="32"/>
  <c r="AL655" i="10"/>
  <c r="AQ655" i="10" s="1"/>
  <c r="AL655" i="32"/>
  <c r="AL460" i="10"/>
  <c r="AQ460" i="32" s="1"/>
  <c r="AL460" i="32"/>
  <c r="AL787" i="10"/>
  <c r="AU787" i="10" s="1"/>
  <c r="AL602" i="10"/>
  <c r="AQ602" i="32" s="1"/>
  <c r="AL602" i="32"/>
  <c r="AP503" i="10"/>
  <c r="AP503" i="32"/>
  <c r="AP705" i="10"/>
  <c r="AP916" i="10"/>
  <c r="AP916" i="32"/>
  <c r="AP487" i="10"/>
  <c r="AP487" i="32"/>
  <c r="AP980" i="10"/>
  <c r="AP162" i="10"/>
  <c r="AP162" i="32"/>
  <c r="AP300" i="10"/>
  <c r="AP300" i="32"/>
  <c r="AP410" i="10"/>
  <c r="AP410" i="32"/>
  <c r="AP431" i="10"/>
  <c r="AP431" i="32"/>
  <c r="AP48" i="10"/>
  <c r="AP48" i="32"/>
  <c r="AP55" i="10"/>
  <c r="AP55" i="32"/>
  <c r="AP706" i="10"/>
  <c r="AP706" i="32"/>
  <c r="AP655" i="10"/>
  <c r="AP655" i="32"/>
  <c r="AP188" i="10"/>
  <c r="AP188" i="32"/>
  <c r="AP927" i="10"/>
  <c r="AP686" i="10"/>
  <c r="AP686" i="32"/>
  <c r="AP845" i="10"/>
  <c r="AP383" i="10"/>
  <c r="AP383" i="32"/>
  <c r="AL164" i="10"/>
  <c r="AQ164" i="32" s="1"/>
  <c r="AL164" i="32"/>
  <c r="AL580" i="10"/>
  <c r="AQ580" i="32" s="1"/>
  <c r="AL580" i="32"/>
  <c r="AL146" i="10"/>
  <c r="AQ146" i="32" s="1"/>
  <c r="AL146" i="32"/>
  <c r="AL741" i="10"/>
  <c r="AQ741" i="32" s="1"/>
  <c r="AL741" i="32"/>
  <c r="AL273" i="10"/>
  <c r="AQ273" i="32" s="1"/>
  <c r="AL273" i="32"/>
  <c r="AL900" i="10"/>
  <c r="AQ900" i="32" s="1"/>
  <c r="AL900" i="32"/>
  <c r="AL354" i="10"/>
  <c r="AQ354" i="32" s="1"/>
  <c r="AL354" i="32"/>
  <c r="AL513" i="10"/>
  <c r="AQ513" i="32" s="1"/>
  <c r="AL513" i="32"/>
  <c r="AL903" i="10"/>
  <c r="AQ903" i="32" s="1"/>
  <c r="AL903" i="32"/>
  <c r="AL970" i="10"/>
  <c r="AQ970" i="32" s="1"/>
  <c r="AL970" i="32"/>
  <c r="AL716" i="10"/>
  <c r="AL247" i="10"/>
  <c r="AL502" i="10"/>
  <c r="AQ502" i="32" s="1"/>
  <c r="AL502" i="32"/>
  <c r="AL210" i="10"/>
  <c r="AQ210" i="32" s="1"/>
  <c r="AL210" i="32"/>
  <c r="AL81" i="10"/>
  <c r="AL885" i="10"/>
  <c r="AL486" i="10"/>
  <c r="AQ486" i="32" s="1"/>
  <c r="AL486" i="32"/>
  <c r="AL101" i="10"/>
  <c r="AQ101" i="32" s="1"/>
  <c r="AL101" i="32"/>
  <c r="AL265" i="10"/>
  <c r="AQ265" i="32" s="1"/>
  <c r="AL265" i="32"/>
  <c r="AL207" i="10"/>
  <c r="AL960" i="10"/>
  <c r="AQ960" i="32" s="1"/>
  <c r="AL960" i="32"/>
  <c r="AL944" i="10"/>
  <c r="AQ944" i="32" s="1"/>
  <c r="AL944" i="32"/>
  <c r="AL185" i="10"/>
  <c r="AQ185" i="32" s="1"/>
  <c r="AL185" i="32"/>
  <c r="AP768" i="10"/>
  <c r="AL967" i="10"/>
  <c r="AQ967" i="32" s="1"/>
  <c r="AL967" i="32"/>
  <c r="AL835" i="10"/>
  <c r="AL374" i="10"/>
  <c r="AL73" i="10"/>
  <c r="AQ73" i="32" s="1"/>
  <c r="AL73" i="32"/>
  <c r="AL107" i="10"/>
  <c r="AQ107" i="32" s="1"/>
  <c r="AL107" i="32"/>
  <c r="AL687" i="10"/>
  <c r="AQ687" i="32" s="1"/>
  <c r="AL687" i="32"/>
  <c r="AL744" i="10"/>
  <c r="AQ744" i="32" s="1"/>
  <c r="AL744" i="32"/>
  <c r="AL632" i="10"/>
  <c r="AQ632" i="32" s="1"/>
  <c r="AL632" i="32"/>
  <c r="AL425" i="10"/>
  <c r="AQ425" i="32" s="1"/>
  <c r="AL425" i="32"/>
  <c r="AL396" i="10"/>
  <c r="AQ396" i="32" s="1"/>
  <c r="AL396" i="32"/>
  <c r="AL179" i="10"/>
  <c r="AQ179" i="32" s="1"/>
  <c r="AL179" i="32"/>
  <c r="AL700" i="10"/>
  <c r="AQ700" i="32" s="1"/>
  <c r="AL700" i="32"/>
  <c r="AL548" i="10"/>
  <c r="AL328" i="10"/>
  <c r="AQ328" i="32" s="1"/>
  <c r="AL328" i="32"/>
  <c r="AL259" i="10"/>
  <c r="AL667" i="10"/>
  <c r="AQ667" i="32" s="1"/>
  <c r="AL667" i="32"/>
  <c r="AL816" i="10"/>
  <c r="AQ816" i="32" s="1"/>
  <c r="AL816" i="32"/>
  <c r="AL571" i="10"/>
  <c r="AQ571" i="32" s="1"/>
  <c r="AL571" i="32"/>
  <c r="AL405" i="10"/>
  <c r="AL405" i="32"/>
  <c r="AL301" i="10"/>
  <c r="AQ301" i="32" s="1"/>
  <c r="AL301" i="32"/>
  <c r="AL145" i="10"/>
  <c r="AQ145" i="32" s="1"/>
  <c r="AL145" i="32"/>
  <c r="AL246" i="10"/>
  <c r="AQ246" i="32" s="1"/>
  <c r="AL246" i="32"/>
  <c r="AL856" i="10"/>
  <c r="AP529" i="10"/>
  <c r="AL305" i="10"/>
  <c r="AQ305" i="32" s="1"/>
  <c r="AL305" i="32"/>
  <c r="AL847" i="10"/>
  <c r="AL675" i="10"/>
  <c r="AQ675" i="32" s="1"/>
  <c r="AL675" i="32"/>
  <c r="AL596" i="10"/>
  <c r="AQ596" i="32" s="1"/>
  <c r="AL596" i="32"/>
  <c r="AL555" i="10"/>
  <c r="AQ555" i="32" s="1"/>
  <c r="AL555" i="32"/>
  <c r="AL23" i="10"/>
  <c r="AQ23" i="32" s="1"/>
  <c r="AL23" i="32"/>
  <c r="AP880" i="10"/>
  <c r="AL495" i="10"/>
  <c r="AQ495" i="32" s="1"/>
  <c r="AL495" i="32"/>
  <c r="AL353" i="10"/>
  <c r="AQ353" i="32" s="1"/>
  <c r="AL353" i="32"/>
  <c r="AL597" i="10"/>
  <c r="AQ597" i="32" s="1"/>
  <c r="AL597" i="32"/>
  <c r="AL77" i="10"/>
  <c r="AQ77" i="32" s="1"/>
  <c r="AL77" i="32"/>
  <c r="AP780" i="10"/>
  <c r="AP780" i="32"/>
  <c r="AP721" i="10"/>
  <c r="AP599" i="10"/>
  <c r="AP599" i="32"/>
  <c r="AP458" i="10"/>
  <c r="AP458" i="32"/>
  <c r="AP419" i="10"/>
  <c r="AP419" i="32"/>
  <c r="AP328" i="10"/>
  <c r="AP328" i="32"/>
  <c r="AP40" i="10"/>
  <c r="AP40" i="32"/>
  <c r="AP314" i="10"/>
  <c r="AP314" i="32"/>
  <c r="AP465" i="10"/>
  <c r="AP465" i="32"/>
  <c r="AP703" i="10"/>
  <c r="AP703" i="32"/>
  <c r="AP628" i="10"/>
  <c r="AP628" i="32"/>
  <c r="AP308" i="10"/>
  <c r="AP308" i="32"/>
  <c r="AP762" i="10"/>
  <c r="AP762" i="32"/>
  <c r="AP720" i="10"/>
  <c r="AP32" i="10"/>
  <c r="AP32" i="32"/>
  <c r="AP798" i="10"/>
  <c r="AP798" i="32"/>
  <c r="AP455" i="10"/>
  <c r="AP455" i="32"/>
  <c r="AP118" i="10"/>
  <c r="AP118" i="32"/>
  <c r="AP631" i="10"/>
  <c r="AP631" i="32"/>
  <c r="AP413" i="10"/>
  <c r="AP413" i="32"/>
  <c r="AP69" i="10"/>
  <c r="AP69" i="32"/>
  <c r="AP775" i="10"/>
  <c r="AP775" i="32"/>
  <c r="AP678" i="10"/>
  <c r="AP678" i="32"/>
  <c r="AP811" i="10"/>
  <c r="AP811" i="32"/>
  <c r="AP595" i="10"/>
  <c r="AP595" i="32"/>
  <c r="AP499" i="10"/>
  <c r="AP499" i="32"/>
  <c r="AP207" i="10"/>
  <c r="AP228" i="10"/>
  <c r="AP228" i="32"/>
  <c r="AP85" i="10"/>
  <c r="AP85" i="32"/>
  <c r="AP420" i="10"/>
  <c r="AP539" i="10"/>
  <c r="AP539" i="32"/>
  <c r="AP878" i="10"/>
  <c r="AP777" i="10"/>
  <c r="AP777" i="32"/>
  <c r="AP277" i="10"/>
  <c r="AP277" i="32"/>
  <c r="AP64" i="10"/>
  <c r="AP64" i="32"/>
  <c r="AP919" i="10"/>
  <c r="AP919" i="32"/>
  <c r="AP847" i="10"/>
  <c r="AP602" i="10"/>
  <c r="AP602" i="32"/>
  <c r="AP472" i="10"/>
  <c r="AP472" i="32"/>
  <c r="AP217" i="10"/>
  <c r="AP217" i="32"/>
  <c r="AP147" i="10"/>
  <c r="AP73" i="10"/>
  <c r="AP73" i="32"/>
  <c r="AP675" i="10"/>
  <c r="AP675" i="32"/>
  <c r="AP564" i="10"/>
  <c r="AP442" i="10"/>
  <c r="AP442" i="32"/>
  <c r="AP724" i="10"/>
  <c r="AP938" i="10"/>
  <c r="AP938" i="32"/>
  <c r="AP44" i="10"/>
  <c r="AP44" i="32"/>
  <c r="AP546" i="10"/>
  <c r="AP546" i="32"/>
  <c r="AP679" i="10"/>
  <c r="AP679" i="32"/>
  <c r="AP287" i="10"/>
  <c r="AP287" i="32"/>
  <c r="W157" i="24" s="1"/>
  <c r="AC157" i="12" s="1"/>
  <c r="AP65" i="10"/>
  <c r="AP65" i="32"/>
  <c r="AP909" i="10"/>
  <c r="AP909" i="32"/>
  <c r="AP793" i="10"/>
  <c r="AP793" i="32"/>
  <c r="AP488" i="10"/>
  <c r="AP488" i="32"/>
  <c r="AP464" i="10"/>
  <c r="AP464" i="32"/>
  <c r="AP417" i="10"/>
  <c r="AP417" i="32"/>
  <c r="AP169" i="10"/>
  <c r="AP169" i="32"/>
  <c r="AP136" i="10"/>
  <c r="AP136" i="32"/>
  <c r="AP864" i="10"/>
  <c r="AP948" i="10"/>
  <c r="AP948" i="32"/>
  <c r="AP362" i="10"/>
  <c r="AP362" i="32"/>
  <c r="AP76" i="10"/>
  <c r="AP76" i="32"/>
  <c r="AP755" i="10"/>
  <c r="AP755" i="32"/>
  <c r="AP711" i="10"/>
  <c r="AP711" i="32"/>
  <c r="AP229" i="10"/>
  <c r="AP229" i="32"/>
  <c r="AP106" i="10"/>
  <c r="AP106" i="32"/>
  <c r="AP589" i="32"/>
  <c r="AP201" i="10"/>
  <c r="AP201" i="32"/>
  <c r="AP131" i="10"/>
  <c r="AP131" i="32"/>
  <c r="AP108" i="10"/>
  <c r="AP108" i="32"/>
  <c r="AP742" i="10"/>
  <c r="AP742" i="32"/>
  <c r="AP889" i="10"/>
  <c r="AP212" i="10"/>
  <c r="AP212" i="32"/>
  <c r="AP893" i="10"/>
  <c r="AP709" i="10"/>
  <c r="AP262" i="10"/>
  <c r="AP837" i="10"/>
  <c r="AP607" i="10"/>
  <c r="AP607" i="32"/>
  <c r="AP368" i="10"/>
  <c r="AP368" i="32"/>
  <c r="AP150" i="10"/>
  <c r="AP150" i="32"/>
  <c r="AP967" i="10"/>
  <c r="AP967" i="32"/>
  <c r="AP894" i="10"/>
  <c r="AP549" i="10"/>
  <c r="AP549" i="32"/>
  <c r="AP338" i="10"/>
  <c r="AP154" i="10"/>
  <c r="AP154" i="32"/>
  <c r="AP269" i="10"/>
  <c r="AP269" i="32"/>
  <c r="AP951" i="10"/>
  <c r="AP951" i="32"/>
  <c r="AP376" i="10"/>
  <c r="AP519" i="10"/>
  <c r="AP519" i="32"/>
  <c r="AP415" i="10"/>
  <c r="AP415" i="32"/>
  <c r="AP111" i="10"/>
  <c r="AP462" i="10"/>
  <c r="AP462" i="32"/>
  <c r="AP273" i="10"/>
  <c r="AP273" i="32"/>
  <c r="AP842" i="10"/>
  <c r="AP396" i="10"/>
  <c r="AP396" i="32"/>
  <c r="AP890" i="10"/>
  <c r="AP371" i="10"/>
  <c r="AP851" i="10"/>
  <c r="AP460" i="10"/>
  <c r="AP460" i="32"/>
  <c r="AP671" i="10"/>
  <c r="AP671" i="32"/>
  <c r="AP126" i="10"/>
  <c r="AP126" i="32"/>
  <c r="AP818" i="10"/>
  <c r="AP818" i="32"/>
  <c r="AP139" i="10"/>
  <c r="AP139" i="32"/>
  <c r="AP377" i="10"/>
  <c r="AP122" i="10"/>
  <c r="AP122" i="32"/>
  <c r="AP673" i="10"/>
  <c r="AP673" i="32"/>
  <c r="AP572" i="10"/>
  <c r="AP572" i="32"/>
  <c r="T855" i="10"/>
  <c r="T855" i="32"/>
  <c r="X217" i="11"/>
  <c r="AN217" i="10" s="1"/>
  <c r="X111" i="11"/>
  <c r="AN111" i="10" s="1"/>
  <c r="X113" i="11"/>
  <c r="AN113" i="10" s="1"/>
  <c r="X216" i="11"/>
  <c r="AN216" i="10" s="1"/>
  <c r="X290" i="11"/>
  <c r="AN290" i="10" s="1"/>
  <c r="X112" i="11"/>
  <c r="AN112" i="10" s="1"/>
  <c r="X289" i="11"/>
  <c r="AN289" i="10" s="1"/>
  <c r="X218" i="11"/>
  <c r="AN218" i="10" s="1"/>
  <c r="X856" i="11"/>
  <c r="AN856" i="10" s="1"/>
  <c r="T856" i="10"/>
  <c r="X929" i="11"/>
  <c r="AN929" i="10" s="1"/>
  <c r="T929" i="10"/>
  <c r="X926" i="11"/>
  <c r="AN926" i="10" s="1"/>
  <c r="T926" i="10"/>
  <c r="X931" i="11"/>
  <c r="AN931" i="10" s="1"/>
  <c r="T931" i="10"/>
  <c r="X980" i="11"/>
  <c r="AN980" i="10" s="1"/>
  <c r="T980" i="10"/>
  <c r="X854" i="11"/>
  <c r="AN854" i="10" s="1"/>
  <c r="T854" i="10"/>
  <c r="X981" i="11"/>
  <c r="AN981" i="10" s="1"/>
  <c r="T981" i="10"/>
  <c r="X979" i="11"/>
  <c r="AN979" i="10" s="1"/>
  <c r="T979" i="10"/>
  <c r="X927" i="11"/>
  <c r="AN927" i="10" s="1"/>
  <c r="T927" i="10"/>
  <c r="X928" i="11"/>
  <c r="AN928" i="10" s="1"/>
  <c r="T928" i="10"/>
  <c r="X930" i="11"/>
  <c r="AN930" i="10" s="1"/>
  <c r="T930" i="10"/>
  <c r="X859" i="11"/>
  <c r="T859" i="10"/>
  <c r="AO859" i="32" s="1"/>
  <c r="X978" i="11"/>
  <c r="AN978" i="10" s="1"/>
  <c r="T978" i="10"/>
  <c r="X857" i="11"/>
  <c r="T857" i="10"/>
  <c r="AO857" i="32" s="1"/>
  <c r="X858" i="11"/>
  <c r="T858" i="10"/>
  <c r="AO858" i="32" s="1"/>
  <c r="AM978" i="10"/>
  <c r="AM931" i="10"/>
  <c r="AM725" i="10"/>
  <c r="AM981" i="10"/>
  <c r="AM929" i="10"/>
  <c r="AM930" i="10"/>
  <c r="AM113" i="10"/>
  <c r="AM926" i="10"/>
  <c r="AM474" i="10"/>
  <c r="AM859" i="10"/>
  <c r="AM979" i="10"/>
  <c r="AM656" i="10"/>
  <c r="AM928" i="10"/>
  <c r="AM854" i="10"/>
  <c r="AM927" i="10"/>
  <c r="AM980" i="10"/>
  <c r="AM856" i="10"/>
  <c r="AM857" i="10"/>
  <c r="AM858" i="10"/>
  <c r="T217" i="10"/>
  <c r="T111" i="10"/>
  <c r="T290" i="10"/>
  <c r="T216" i="10"/>
  <c r="T112" i="10"/>
  <c r="T113" i="10"/>
  <c r="T289" i="10"/>
  <c r="T218" i="10"/>
  <c r="S134" i="29" l="1" a="1"/>
  <c r="S150" i="29" a="1"/>
  <c r="S151" i="29" a="1"/>
  <c r="S152" i="29" a="1"/>
  <c r="S141" i="29" a="1"/>
  <c r="S135" i="29" a="1"/>
  <c r="S132" i="29" a="1"/>
  <c r="S140" i="29" a="1"/>
  <c r="S133" i="29" a="1"/>
  <c r="S154" i="29" a="1"/>
  <c r="S136" i="29" a="1"/>
  <c r="S146" i="29" a="1"/>
  <c r="S138" i="29" a="1"/>
  <c r="S157" i="29" a="1"/>
  <c r="S143" i="29" a="1"/>
  <c r="S148" i="29" a="1"/>
  <c r="S149" i="29" a="1"/>
  <c r="S139" i="29" a="1"/>
  <c r="S142" i="29" a="1"/>
  <c r="S158" i="29" a="1"/>
  <c r="S156" i="29" a="1"/>
  <c r="S137" i="29" a="1"/>
  <c r="W138" i="29" a="1"/>
  <c r="W148" i="29" a="1"/>
  <c r="W149" i="29" a="1"/>
  <c r="W142" i="29" a="1"/>
  <c r="W154" i="29" a="1"/>
  <c r="W139" i="29" a="1"/>
  <c r="W137" i="29" a="1"/>
  <c r="W134" i="29" a="1"/>
  <c r="W140" i="29" a="1"/>
  <c r="W133" i="29" a="1"/>
  <c r="W158" i="29" a="1"/>
  <c r="W150" i="29" a="1"/>
  <c r="W152" i="29" a="1"/>
  <c r="W132" i="29" a="1"/>
  <c r="W135" i="29" a="1"/>
  <c r="W136" i="29" a="1"/>
  <c r="W141" i="29" a="1"/>
  <c r="W157" i="29" a="1"/>
  <c r="W151" i="29" a="1"/>
  <c r="W146" i="29" a="1"/>
  <c r="W156" i="29" a="1"/>
  <c r="W143" i="29" a="1"/>
  <c r="S71" i="24"/>
  <c r="Y71" i="12" s="1"/>
  <c r="X71" i="24"/>
  <c r="AD71" i="12" s="1"/>
  <c r="T103" i="29"/>
  <c r="W103" i="29"/>
  <c r="S103" i="29"/>
  <c r="W73" i="29"/>
  <c r="W71" i="24"/>
  <c r="AC71" i="12" s="1"/>
  <c r="S73" i="29"/>
  <c r="T73" i="29"/>
  <c r="AQ232" i="32"/>
  <c r="W42" i="29"/>
  <c r="W85" i="29"/>
  <c r="S42" i="29"/>
  <c r="AQ231" i="32"/>
  <c r="S29" i="29"/>
  <c r="X29" i="29"/>
  <c r="S85" i="29"/>
  <c r="X42" i="29"/>
  <c r="X85" i="29"/>
  <c r="W29" i="29"/>
  <c r="S68" i="29"/>
  <c r="X68" i="29"/>
  <c r="W68" i="29"/>
  <c r="AQ749" i="32"/>
  <c r="S63" i="29"/>
  <c r="W63" i="29"/>
  <c r="S90" i="29"/>
  <c r="X63" i="29"/>
  <c r="W59" i="29"/>
  <c r="X90" i="29"/>
  <c r="W90" i="29"/>
  <c r="S59" i="29"/>
  <c r="X59" i="29"/>
  <c r="W137" i="24"/>
  <c r="AC137" i="12" s="1"/>
  <c r="S156" i="24"/>
  <c r="Y156" i="12" s="1"/>
  <c r="S148" i="24"/>
  <c r="Y148" i="12" s="1"/>
  <c r="X148" i="24"/>
  <c r="AD148" i="12" s="1"/>
  <c r="X143" i="24"/>
  <c r="AD143" i="12" s="1"/>
  <c r="W134" i="24"/>
  <c r="AC134" i="12" s="1"/>
  <c r="X127" i="24"/>
  <c r="AD127" i="12" s="1"/>
  <c r="W152" i="24"/>
  <c r="AC152" i="12" s="1"/>
  <c r="W148" i="24"/>
  <c r="AC148" i="12" s="1"/>
  <c r="S139" i="24"/>
  <c r="Y139" i="12" s="1"/>
  <c r="S129" i="24"/>
  <c r="Y129" i="12" s="1"/>
  <c r="X129" i="24"/>
  <c r="AD129" i="12" s="1"/>
  <c r="X156" i="24"/>
  <c r="AD156" i="12" s="1"/>
  <c r="W150" i="24"/>
  <c r="AC150" i="12" s="1"/>
  <c r="S143" i="24"/>
  <c r="Y143" i="12" s="1"/>
  <c r="W95" i="29"/>
  <c r="X134" i="24"/>
  <c r="AD134" i="12" s="1"/>
  <c r="W135" i="24"/>
  <c r="AC135" i="12" s="1"/>
  <c r="S141" i="24"/>
  <c r="Y141" i="12" s="1"/>
  <c r="W109" i="24"/>
  <c r="AC109" i="12" s="1"/>
  <c r="W154" i="24"/>
  <c r="AC154" i="12" s="1"/>
  <c r="W139" i="24"/>
  <c r="AC139" i="12" s="1"/>
  <c r="X139" i="24"/>
  <c r="AD139" i="12" s="1"/>
  <c r="W142" i="24"/>
  <c r="AC142" i="12" s="1"/>
  <c r="AQ52" i="32"/>
  <c r="X137" i="24"/>
  <c r="AD137" i="12" s="1"/>
  <c r="W136" i="24"/>
  <c r="AC136" i="12" s="1"/>
  <c r="X151" i="24"/>
  <c r="AD151" i="12" s="1"/>
  <c r="X149" i="24"/>
  <c r="AD149" i="12" s="1"/>
  <c r="S142" i="24"/>
  <c r="Y142" i="12" s="1"/>
  <c r="S104" i="29"/>
  <c r="AQ304" i="32"/>
  <c r="X140" i="24"/>
  <c r="AD140" i="12" s="1"/>
  <c r="W151" i="24"/>
  <c r="AC151" i="12" s="1"/>
  <c r="S115" i="24"/>
  <c r="Y115" i="12" s="1"/>
  <c r="X146" i="24"/>
  <c r="AD146" i="12" s="1"/>
  <c r="T43" i="24"/>
  <c r="Z43" i="12" s="1"/>
  <c r="W103" i="24"/>
  <c r="AC103" i="12" s="1"/>
  <c r="X128" i="24"/>
  <c r="AD128" i="12" s="1"/>
  <c r="W143" i="24"/>
  <c r="AC143" i="12" s="1"/>
  <c r="X157" i="24"/>
  <c r="AD157" i="12" s="1"/>
  <c r="W115" i="29"/>
  <c r="S150" i="24"/>
  <c r="Y150" i="12" s="1"/>
  <c r="W43" i="24"/>
  <c r="AC43" i="12" s="1"/>
  <c r="S136" i="24"/>
  <c r="Y136" i="12" s="1"/>
  <c r="S128" i="24"/>
  <c r="Y128" i="12" s="1"/>
  <c r="X150" i="24"/>
  <c r="AD150" i="12" s="1"/>
  <c r="W105" i="24"/>
  <c r="AC105" i="12" s="1"/>
  <c r="X136" i="24"/>
  <c r="AD136" i="12" s="1"/>
  <c r="S154" i="24"/>
  <c r="Y154" i="12" s="1"/>
  <c r="T103" i="24"/>
  <c r="Z103" i="12" s="1"/>
  <c r="W129" i="24"/>
  <c r="AC129" i="12" s="1"/>
  <c r="S134" i="24"/>
  <c r="Y134" i="12" s="1"/>
  <c r="S65" i="24"/>
  <c r="Y65" i="12" s="1"/>
  <c r="X145" i="24"/>
  <c r="AD145" i="12" s="1"/>
  <c r="S105" i="24"/>
  <c r="Y105" i="12" s="1"/>
  <c r="S105" i="29"/>
  <c r="AQ875" i="32"/>
  <c r="X56" i="24"/>
  <c r="AD56" i="12" s="1"/>
  <c r="X56" i="29"/>
  <c r="X72" i="24"/>
  <c r="AD72" i="12" s="1"/>
  <c r="X72" i="29"/>
  <c r="AQ851" i="32"/>
  <c r="AQ832" i="32"/>
  <c r="W87" i="29"/>
  <c r="W87" i="24"/>
  <c r="AC87" i="12" s="1"/>
  <c r="AQ868" i="32"/>
  <c r="AQ871" i="32"/>
  <c r="S125" i="24"/>
  <c r="Y125" i="12" s="1"/>
  <c r="S125" i="29"/>
  <c r="AQ839" i="32"/>
  <c r="S62" i="29"/>
  <c r="S62" i="24"/>
  <c r="Y62" i="12" s="1"/>
  <c r="X100" i="24"/>
  <c r="AD100" i="12" s="1"/>
  <c r="X100" i="29"/>
  <c r="X49" i="29"/>
  <c r="X49" i="24"/>
  <c r="AD49" i="12" s="1"/>
  <c r="S115" i="29"/>
  <c r="S138" i="24"/>
  <c r="Y138" i="12" s="1"/>
  <c r="W95" i="24"/>
  <c r="AC95" i="12" s="1"/>
  <c r="AN858" i="10"/>
  <c r="AN858" i="32"/>
  <c r="W99" i="29"/>
  <c r="W99" i="24"/>
  <c r="AC99" i="12" s="1"/>
  <c r="AR859" i="10"/>
  <c r="AQ859" i="32"/>
  <c r="AR859" i="32"/>
  <c r="AS859" i="32"/>
  <c r="AT859" i="32"/>
  <c r="AU859" i="32"/>
  <c r="AV859" i="32"/>
  <c r="S98" i="29"/>
  <c r="S98" i="24"/>
  <c r="Y98" i="12" s="1"/>
  <c r="S137" i="24"/>
  <c r="Y137" i="12" s="1"/>
  <c r="X87" i="24"/>
  <c r="AD87" i="12" s="1"/>
  <c r="X87" i="29"/>
  <c r="X101" i="24"/>
  <c r="AD101" i="12" s="1"/>
  <c r="X101" i="29"/>
  <c r="S68" i="24"/>
  <c r="Y68" i="12" s="1"/>
  <c r="W50" i="24"/>
  <c r="AC50" i="12" s="1"/>
  <c r="W50" i="29"/>
  <c r="W149" i="24"/>
  <c r="AC149" i="12" s="1"/>
  <c r="AR858" i="10"/>
  <c r="AR858" i="32"/>
  <c r="AT858" i="32"/>
  <c r="AU858" i="32"/>
  <c r="AS858" i="32"/>
  <c r="AV858" i="32"/>
  <c r="AQ858" i="32"/>
  <c r="AQ890" i="32"/>
  <c r="AQ895" i="32"/>
  <c r="S61" i="29"/>
  <c r="S152" i="24"/>
  <c r="Y152" i="12" s="1"/>
  <c r="AQ850" i="32"/>
  <c r="AQ889" i="32"/>
  <c r="AQ844" i="32"/>
  <c r="AQ878" i="32"/>
  <c r="W73" i="24"/>
  <c r="AC73" i="12" s="1"/>
  <c r="AQ864" i="32"/>
  <c r="AN857" i="10"/>
  <c r="AN857" i="32"/>
  <c r="AQ829" i="32"/>
  <c r="S126" i="24"/>
  <c r="Y126" i="12" s="1"/>
  <c r="W66" i="29"/>
  <c r="W66" i="24"/>
  <c r="AC66" i="12" s="1"/>
  <c r="AQ886" i="32"/>
  <c r="AQ893" i="32"/>
  <c r="AQ836" i="32"/>
  <c r="AQ833" i="32"/>
  <c r="S120" i="29"/>
  <c r="S120" i="24"/>
  <c r="Y120" i="12" s="1"/>
  <c r="S157" i="24"/>
  <c r="Y157" i="12" s="1"/>
  <c r="S102" i="24"/>
  <c r="Y102" i="12" s="1"/>
  <c r="S102" i="29"/>
  <c r="S89" i="24"/>
  <c r="Y89" i="12" s="1"/>
  <c r="S89" i="29"/>
  <c r="S147" i="24"/>
  <c r="Y147" i="12" s="1"/>
  <c r="X126" i="24"/>
  <c r="AD126" i="12" s="1"/>
  <c r="AQ877" i="32"/>
  <c r="W96" i="29"/>
  <c r="W96" i="24"/>
  <c r="AC96" i="12" s="1"/>
  <c r="W56" i="24"/>
  <c r="AC56" i="12" s="1"/>
  <c r="W56" i="29"/>
  <c r="AQ891" i="32"/>
  <c r="W109" i="29"/>
  <c r="AQ883" i="32"/>
  <c r="S79" i="29"/>
  <c r="S79" i="24"/>
  <c r="Y79" i="12" s="1"/>
  <c r="AQ842" i="32"/>
  <c r="AQ847" i="32"/>
  <c r="S132" i="24"/>
  <c r="Y132" i="12" s="1"/>
  <c r="AQ882" i="32"/>
  <c r="X154" i="24"/>
  <c r="AD154" i="12" s="1"/>
  <c r="AQ849" i="32"/>
  <c r="W123" i="24"/>
  <c r="AC123" i="12" s="1"/>
  <c r="W123" i="29"/>
  <c r="W68" i="24"/>
  <c r="AC68" i="12" s="1"/>
  <c r="X135" i="24"/>
  <c r="AD135" i="12" s="1"/>
  <c r="X132" i="24"/>
  <c r="AD132" i="12" s="1"/>
  <c r="AQ848" i="32"/>
  <c r="X65" i="24"/>
  <c r="AD65" i="12" s="1"/>
  <c r="X62" i="29"/>
  <c r="X62" i="24"/>
  <c r="AD62" i="12" s="1"/>
  <c r="AQ866" i="32"/>
  <c r="AQ894" i="32"/>
  <c r="X141" i="24"/>
  <c r="AD141" i="12" s="1"/>
  <c r="W107" i="29"/>
  <c r="X147" i="24"/>
  <c r="AD147" i="12" s="1"/>
  <c r="S104" i="24"/>
  <c r="Y104" i="12" s="1"/>
  <c r="S73" i="24"/>
  <c r="Y73" i="12" s="1"/>
  <c r="W132" i="24"/>
  <c r="AC132" i="12" s="1"/>
  <c r="W131" i="29" a="1"/>
  <c r="W127" i="29" a="1"/>
  <c r="W126" i="29" a="1"/>
  <c r="W128" i="29" a="1"/>
  <c r="W129" i="29" a="1"/>
  <c r="S153" i="24"/>
  <c r="Y153" i="12" s="1"/>
  <c r="X79" i="24"/>
  <c r="AD79" i="12" s="1"/>
  <c r="X79" i="29"/>
  <c r="W100" i="24"/>
  <c r="AC100" i="12" s="1"/>
  <c r="W100" i="29"/>
  <c r="AQ872" i="32"/>
  <c r="AQ887" i="32"/>
  <c r="X96" i="24"/>
  <c r="AD96" i="12" s="1"/>
  <c r="X96" i="29"/>
  <c r="AQ874" i="32"/>
  <c r="AQ896" i="32"/>
  <c r="S94" i="24"/>
  <c r="Y94" i="12" s="1"/>
  <c r="S94" i="29"/>
  <c r="W156" i="24"/>
  <c r="AC156" i="12" s="1"/>
  <c r="S56" i="29"/>
  <c r="S56" i="24"/>
  <c r="Y56" i="12" s="1"/>
  <c r="W147" i="24"/>
  <c r="AC147" i="12" s="1"/>
  <c r="W93" i="24"/>
  <c r="AC93" i="12" s="1"/>
  <c r="W93" i="29"/>
  <c r="X94" i="24"/>
  <c r="AD94" i="12" s="1"/>
  <c r="X94" i="29"/>
  <c r="S72" i="29"/>
  <c r="S72" i="24"/>
  <c r="Y72" i="12" s="1"/>
  <c r="W72" i="24"/>
  <c r="AC72" i="12" s="1"/>
  <c r="W72" i="29"/>
  <c r="W89" i="24"/>
  <c r="AC89" i="12" s="1"/>
  <c r="W89" i="29"/>
  <c r="X99" i="29"/>
  <c r="X99" i="24"/>
  <c r="AD99" i="12" s="1"/>
  <c r="T73" i="24"/>
  <c r="Z73" i="12" s="1"/>
  <c r="S135" i="24"/>
  <c r="Y135" i="12" s="1"/>
  <c r="S87" i="29"/>
  <c r="S87" i="24"/>
  <c r="Y87" i="12" s="1"/>
  <c r="AQ828" i="32"/>
  <c r="S82" i="29"/>
  <c r="S82" i="24"/>
  <c r="Y82" i="12" s="1"/>
  <c r="S146" i="24"/>
  <c r="Y146" i="12" s="1"/>
  <c r="X98" i="24"/>
  <c r="AD98" i="12" s="1"/>
  <c r="X98" i="29"/>
  <c r="X68" i="24"/>
  <c r="AD68" i="12" s="1"/>
  <c r="S67" i="24"/>
  <c r="Y67" i="12" s="1"/>
  <c r="S67" i="29"/>
  <c r="AQ838" i="32"/>
  <c r="AQ898" i="32"/>
  <c r="X115" i="24" s="1"/>
  <c r="AD115" i="12" s="1"/>
  <c r="AQ843" i="32"/>
  <c r="X61" i="29"/>
  <c r="X152" i="24"/>
  <c r="AD152" i="12" s="1"/>
  <c r="S43" i="24"/>
  <c r="Y43" i="12" s="1"/>
  <c r="S66" i="29"/>
  <c r="S66" i="24"/>
  <c r="Y66" i="12" s="1"/>
  <c r="W79" i="24"/>
  <c r="AC79" i="12" s="1"/>
  <c r="W79" i="29"/>
  <c r="X120" i="29"/>
  <c r="X120" i="24"/>
  <c r="AD120" i="12" s="1"/>
  <c r="X102" i="24"/>
  <c r="AD102" i="12" s="1"/>
  <c r="X102" i="29"/>
  <c r="S95" i="24"/>
  <c r="Y95" i="12" s="1"/>
  <c r="S95" i="29"/>
  <c r="W94" i="24"/>
  <c r="AC94" i="12" s="1"/>
  <c r="W94" i="29"/>
  <c r="AQ846" i="32"/>
  <c r="W125" i="24"/>
  <c r="AC125" i="12" s="1"/>
  <c r="W125" i="29"/>
  <c r="AQ830" i="32"/>
  <c r="S126" i="29" a="1"/>
  <c r="S128" i="29" a="1"/>
  <c r="S131" i="29" a="1"/>
  <c r="S129" i="29" a="1"/>
  <c r="S127" i="29" a="1"/>
  <c r="X153" i="24"/>
  <c r="AD153" i="12" s="1"/>
  <c r="S93" i="29"/>
  <c r="S93" i="24"/>
  <c r="Y93" i="12" s="1"/>
  <c r="W62" i="29"/>
  <c r="W62" i="24"/>
  <c r="AC62" i="12" s="1"/>
  <c r="X93" i="24"/>
  <c r="AD93" i="12" s="1"/>
  <c r="X93" i="29"/>
  <c r="S109" i="24"/>
  <c r="Y109" i="12" s="1"/>
  <c r="S109" i="29"/>
  <c r="S99" i="24"/>
  <c r="Y99" i="12" s="1"/>
  <c r="S99" i="29"/>
  <c r="AQ880" i="32"/>
  <c r="W153" i="24"/>
  <c r="AC153" i="12" s="1"/>
  <c r="AQ867" i="32"/>
  <c r="W126" i="24"/>
  <c r="AC126" i="12" s="1"/>
  <c r="W82" i="24"/>
  <c r="AC82" i="12" s="1"/>
  <c r="W82" i="29"/>
  <c r="AQ892" i="32"/>
  <c r="X138" i="24"/>
  <c r="AD138" i="12" s="1"/>
  <c r="S101" i="29"/>
  <c r="S101" i="24"/>
  <c r="Y101" i="12" s="1"/>
  <c r="W120" i="29"/>
  <c r="W120" i="24"/>
  <c r="AC120" i="12" s="1"/>
  <c r="X67" i="24"/>
  <c r="AD67" i="12" s="1"/>
  <c r="X67" i="29"/>
  <c r="S151" i="24"/>
  <c r="Y151" i="12" s="1"/>
  <c r="S107" i="29"/>
  <c r="AQ865" i="32"/>
  <c r="W65" i="24"/>
  <c r="AC65" i="12" s="1"/>
  <c r="X89" i="24"/>
  <c r="AD89" i="12" s="1"/>
  <c r="X89" i="29"/>
  <c r="W102" i="29"/>
  <c r="W102" i="24"/>
  <c r="AC102" i="12" s="1"/>
  <c r="X95" i="24"/>
  <c r="AD95" i="12" s="1"/>
  <c r="X95" i="29"/>
  <c r="S123" i="29"/>
  <c r="S123" i="24"/>
  <c r="Y123" i="12" s="1"/>
  <c r="AN859" i="10"/>
  <c r="AN859" i="32"/>
  <c r="AQ835" i="32"/>
  <c r="S140" i="24"/>
  <c r="Y140" i="12" s="1"/>
  <c r="W146" i="24"/>
  <c r="AC146" i="12" s="1"/>
  <c r="W127" i="24"/>
  <c r="AC127" i="12" s="1"/>
  <c r="AQ853" i="32"/>
  <c r="AQ834" i="32"/>
  <c r="AR857" i="32"/>
  <c r="AQ857" i="32"/>
  <c r="AS857" i="32"/>
  <c r="AT857" i="32"/>
  <c r="AU857" i="32"/>
  <c r="AV857" i="32"/>
  <c r="X142" i="24"/>
  <c r="AD142" i="12" s="1"/>
  <c r="W115" i="24"/>
  <c r="AC115" i="12" s="1"/>
  <c r="X123" i="29"/>
  <c r="X123" i="24"/>
  <c r="AD123" i="12" s="1"/>
  <c r="AQ888" i="32"/>
  <c r="AQ852" i="32"/>
  <c r="AQ870" i="32"/>
  <c r="W67" i="24"/>
  <c r="AC67" i="12" s="1"/>
  <c r="W67" i="29"/>
  <c r="AQ884" i="32"/>
  <c r="AQ837" i="32"/>
  <c r="W140" i="24"/>
  <c r="AC140" i="12" s="1"/>
  <c r="W98" i="24"/>
  <c r="AC98" i="12" s="1"/>
  <c r="W98" i="29"/>
  <c r="S100" i="29"/>
  <c r="S100" i="24"/>
  <c r="Y100" i="12" s="1"/>
  <c r="S49" i="24"/>
  <c r="Y49" i="12" s="1"/>
  <c r="S49" i="29"/>
  <c r="S50" i="24"/>
  <c r="Y50" i="12" s="1"/>
  <c r="S50" i="29"/>
  <c r="W105" i="29"/>
  <c r="W104" i="24"/>
  <c r="AC104" i="12" s="1"/>
  <c r="W104" i="29"/>
  <c r="S149" i="24"/>
  <c r="Y149" i="12" s="1"/>
  <c r="W145" i="24"/>
  <c r="AC145" i="12" s="1"/>
  <c r="X66" i="24"/>
  <c r="AD66" i="12" s="1"/>
  <c r="X66" i="29"/>
  <c r="W128" i="24"/>
  <c r="AC128" i="12" s="1"/>
  <c r="AQ885" i="32"/>
  <c r="S145" i="24"/>
  <c r="Y145" i="12" s="1"/>
  <c r="W49" i="29"/>
  <c r="W49" i="24"/>
  <c r="AC49" i="12" s="1"/>
  <c r="AQ869" i="32"/>
  <c r="W141" i="24"/>
  <c r="AC141" i="12" s="1"/>
  <c r="AQ879" i="32"/>
  <c r="AQ845" i="32"/>
  <c r="W101" i="24"/>
  <c r="AC101" i="12" s="1"/>
  <c r="W101" i="29"/>
  <c r="AQ873" i="32"/>
  <c r="AQ876" i="32"/>
  <c r="S103" i="24"/>
  <c r="Y103" i="12" s="1"/>
  <c r="W61" i="29"/>
  <c r="S96" i="29"/>
  <c r="S96" i="24"/>
  <c r="Y96" i="12" s="1"/>
  <c r="AQ831" i="32"/>
  <c r="AQ880" i="10"/>
  <c r="AQ247" i="10"/>
  <c r="AQ781" i="10"/>
  <c r="AQ651" i="10"/>
  <c r="AQ653" i="10"/>
  <c r="AQ266" i="10"/>
  <c r="AR476" i="10"/>
  <c r="AQ201" i="10"/>
  <c r="AQ68" i="10"/>
  <c r="AQ811" i="10"/>
  <c r="AQ460" i="10"/>
  <c r="AQ397" i="10"/>
  <c r="AQ476" i="10"/>
  <c r="AQ317" i="10"/>
  <c r="AQ316" i="10"/>
  <c r="AQ896" i="10"/>
  <c r="AQ555" i="10"/>
  <c r="AQ550" i="10"/>
  <c r="AQ302" i="10"/>
  <c r="AQ741" i="10"/>
  <c r="AQ564" i="10"/>
  <c r="AQ966" i="10"/>
  <c r="AQ375" i="10"/>
  <c r="AQ342" i="10"/>
  <c r="AQ365" i="10"/>
  <c r="AR857" i="10"/>
  <c r="AQ857" i="10"/>
  <c r="AQ105" i="10"/>
  <c r="AQ253" i="10"/>
  <c r="AQ889" i="10"/>
  <c r="AT857" i="10"/>
  <c r="AQ798" i="10"/>
  <c r="AQ852" i="10"/>
  <c r="AQ394" i="10"/>
  <c r="AQ764" i="10"/>
  <c r="AQ819" i="10"/>
  <c r="AQ352" i="10"/>
  <c r="AQ299" i="10"/>
  <c r="AQ502" i="10"/>
  <c r="AQ186" i="10"/>
  <c r="AQ510" i="10"/>
  <c r="AQ124" i="10"/>
  <c r="AQ134" i="10"/>
  <c r="AQ537" i="10"/>
  <c r="AQ733" i="10"/>
  <c r="AQ908" i="10"/>
  <c r="AQ269" i="10"/>
  <c r="AQ492" i="10"/>
  <c r="AQ384" i="10"/>
  <c r="AQ46" i="10"/>
  <c r="AQ619" i="10"/>
  <c r="AQ604" i="10"/>
  <c r="AQ393" i="10"/>
  <c r="AU384" i="10"/>
  <c r="AQ135" i="10"/>
  <c r="AQ787" i="10"/>
  <c r="AQ298" i="10"/>
  <c r="AQ515" i="10"/>
  <c r="AQ823" i="10"/>
  <c r="AQ768" i="10"/>
  <c r="AQ627" i="10"/>
  <c r="AQ616" i="10"/>
  <c r="AR787" i="10"/>
  <c r="AQ229" i="10"/>
  <c r="AQ473" i="10"/>
  <c r="AQ447" i="10"/>
  <c r="AQ921" i="10"/>
  <c r="AQ595" i="10"/>
  <c r="AQ320" i="10"/>
  <c r="AQ621" i="10"/>
  <c r="AQ744" i="10"/>
  <c r="AQ260" i="10"/>
  <c r="AQ125" i="10"/>
  <c r="AQ392" i="10"/>
  <c r="AQ66" i="10"/>
  <c r="AQ126" i="10"/>
  <c r="AQ491" i="10"/>
  <c r="AR290" i="10"/>
  <c r="AQ104" i="10"/>
  <c r="AQ142" i="10"/>
  <c r="AQ533" i="10"/>
  <c r="AQ670" i="10"/>
  <c r="AQ856" i="10"/>
  <c r="AQ710" i="10"/>
  <c r="AQ369" i="10"/>
  <c r="AQ438" i="10"/>
  <c r="AQ572" i="10"/>
  <c r="AT928" i="10"/>
  <c r="AQ177" i="10"/>
  <c r="AQ144" i="10"/>
  <c r="AQ695" i="10"/>
  <c r="AQ328" i="10"/>
  <c r="AQ338" i="10"/>
  <c r="AR928" i="10"/>
  <c r="AQ817" i="10"/>
  <c r="AT856" i="10"/>
  <c r="AQ948" i="10"/>
  <c r="AQ831" i="10"/>
  <c r="AQ422" i="10"/>
  <c r="AQ548" i="10"/>
  <c r="AQ363" i="10"/>
  <c r="AQ174" i="10"/>
  <c r="AQ903" i="10"/>
  <c r="AQ262" i="10"/>
  <c r="AQ953" i="10"/>
  <c r="AQ828" i="10"/>
  <c r="AQ327" i="10"/>
  <c r="AQ162" i="10"/>
  <c r="AQ605" i="10"/>
  <c r="AQ453" i="10"/>
  <c r="AU474" i="10"/>
  <c r="AQ780" i="10"/>
  <c r="AQ44" i="10"/>
  <c r="AQ402" i="10"/>
  <c r="AQ288" i="10"/>
  <c r="AU383" i="10"/>
  <c r="AQ282" i="10"/>
  <c r="AQ703" i="10"/>
  <c r="AQ193" i="10"/>
  <c r="AQ78" i="10"/>
  <c r="AR383" i="10"/>
  <c r="AQ886" i="10"/>
  <c r="AQ17" i="10"/>
  <c r="AQ528" i="10"/>
  <c r="AQ137" i="10"/>
  <c r="AQ138" i="10"/>
  <c r="AQ557" i="10"/>
  <c r="AQ884" i="10"/>
  <c r="AQ847" i="10"/>
  <c r="AQ843" i="10"/>
  <c r="AQ613" i="10"/>
  <c r="AQ387" i="10"/>
  <c r="AQ415" i="10"/>
  <c r="AQ175" i="10"/>
  <c r="AQ355" i="10"/>
  <c r="AQ487" i="10"/>
  <c r="AQ800" i="10"/>
  <c r="AQ902" i="10"/>
  <c r="AQ183" i="10"/>
  <c r="AQ23" i="10"/>
  <c r="AU858" i="10"/>
  <c r="AQ65" i="10"/>
  <c r="AQ636" i="10"/>
  <c r="AQ961" i="10"/>
  <c r="AQ53" i="10"/>
  <c r="AQ633" i="10"/>
  <c r="AU928" i="10"/>
  <c r="AQ859" i="10"/>
  <c r="AR217" i="10"/>
  <c r="AQ414" i="10"/>
  <c r="AQ799" i="10"/>
  <c r="AQ141" i="10"/>
  <c r="AQ894" i="10"/>
  <c r="AQ13" i="10"/>
  <c r="AT858" i="10"/>
  <c r="AR856" i="10"/>
  <c r="AQ213" i="10"/>
  <c r="AQ486" i="10"/>
  <c r="AQ577" i="10"/>
  <c r="AQ669" i="10"/>
  <c r="AQ308" i="10"/>
  <c r="AQ943" i="10"/>
  <c r="AQ928" i="10"/>
  <c r="AU859" i="10"/>
  <c r="AU217" i="10"/>
  <c r="AQ822" i="10"/>
  <c r="AQ848" i="10"/>
  <c r="AQ127" i="10"/>
  <c r="AQ865" i="10"/>
  <c r="AQ91" i="10"/>
  <c r="AQ530" i="10"/>
  <c r="AR218" i="10"/>
  <c r="AQ925" i="10"/>
  <c r="AQ33" i="10"/>
  <c r="AQ945" i="10"/>
  <c r="AQ249" i="10"/>
  <c r="AQ56" i="10"/>
  <c r="AQ43" i="10"/>
  <c r="AQ765" i="10"/>
  <c r="AQ168" i="10"/>
  <c r="AQ136" i="10"/>
  <c r="AQ131" i="10"/>
  <c r="AR474" i="10"/>
  <c r="AQ804" i="10"/>
  <c r="AQ520" i="10"/>
  <c r="AQ297" i="10"/>
  <c r="AQ97" i="10"/>
  <c r="AQ189" i="10"/>
  <c r="AQ814" i="10"/>
  <c r="AQ448" i="10"/>
  <c r="AQ52" i="10"/>
  <c r="AQ192" i="10"/>
  <c r="AQ29" i="10"/>
  <c r="AQ194" i="10"/>
  <c r="AQ376" i="10"/>
  <c r="AQ836" i="10"/>
  <c r="AQ411" i="10"/>
  <c r="AQ508" i="10"/>
  <c r="AQ300" i="10"/>
  <c r="AQ763" i="10"/>
  <c r="AQ728" i="10"/>
  <c r="AQ427" i="10"/>
  <c r="AQ504" i="10"/>
  <c r="AT859" i="10"/>
  <c r="AQ581" i="10"/>
  <c r="AQ164" i="10"/>
  <c r="AQ158" i="10"/>
  <c r="AQ923" i="10"/>
  <c r="AQ739" i="10"/>
  <c r="AQ377" i="10"/>
  <c r="AQ128" i="10"/>
  <c r="AQ770" i="10"/>
  <c r="AQ762" i="10"/>
  <c r="AQ580" i="10"/>
  <c r="AQ834" i="10"/>
  <c r="AQ858" i="10"/>
  <c r="AQ693" i="10"/>
  <c r="AQ344" i="10"/>
  <c r="AQ900" i="10"/>
  <c r="AQ428" i="10"/>
  <c r="AQ24" i="10"/>
  <c r="AQ796" i="10"/>
  <c r="AQ833" i="10"/>
  <c r="AQ362" i="10"/>
  <c r="AQ869" i="10"/>
  <c r="AQ273" i="10"/>
  <c r="AQ40" i="10"/>
  <c r="AQ63" i="10"/>
  <c r="AQ516" i="10"/>
  <c r="AQ482" i="10"/>
  <c r="AQ960" i="10"/>
  <c r="AQ87" i="10"/>
  <c r="AQ32" i="10"/>
  <c r="AQ244" i="10"/>
  <c r="AQ154" i="10"/>
  <c r="AQ609" i="10"/>
  <c r="AQ360" i="10"/>
  <c r="AQ570" i="10"/>
  <c r="AQ553" i="10"/>
  <c r="AQ803" i="10"/>
  <c r="AU857" i="10"/>
  <c r="AQ615" i="10"/>
  <c r="AQ391" i="10"/>
  <c r="AQ578" i="10"/>
  <c r="AQ88" i="10"/>
  <c r="AQ404" i="10"/>
  <c r="AQ892" i="10"/>
  <c r="AQ488" i="10"/>
  <c r="AQ47" i="10"/>
  <c r="AQ103" i="10"/>
  <c r="AQ248" i="10"/>
  <c r="AQ421" i="10"/>
  <c r="AQ278" i="10"/>
  <c r="AQ717" i="10"/>
  <c r="AQ122" i="10"/>
  <c r="AQ542" i="10"/>
  <c r="AQ677" i="10"/>
  <c r="AQ977" i="10"/>
  <c r="AQ264" i="10"/>
  <c r="AQ472" i="10"/>
  <c r="AQ882" i="10"/>
  <c r="AQ845" i="10"/>
  <c r="AQ169" i="10"/>
  <c r="AQ239" i="10"/>
  <c r="AQ628" i="10"/>
  <c r="AQ910" i="10"/>
  <c r="AQ641" i="10"/>
  <c r="AQ899" i="10"/>
  <c r="AQ340" i="10"/>
  <c r="AQ730" i="10"/>
  <c r="AQ416" i="10"/>
  <c r="AQ451" i="10"/>
  <c r="AQ371" i="10"/>
  <c r="AQ721" i="10"/>
  <c r="AQ625" i="10"/>
  <c r="AQ518" i="10"/>
  <c r="AQ582" i="10"/>
  <c r="AQ711" i="10"/>
  <c r="AQ423" i="10"/>
  <c r="AQ75" i="10"/>
  <c r="AQ713" i="10"/>
  <c r="AQ172" i="10"/>
  <c r="AQ949" i="10"/>
  <c r="AQ419" i="10"/>
  <c r="AQ853" i="10"/>
  <c r="AQ705" i="10"/>
  <c r="AQ801" i="10"/>
  <c r="AQ600" i="10"/>
  <c r="AQ758" i="10"/>
  <c r="AU568" i="10"/>
  <c r="AQ226" i="10"/>
  <c r="AQ503" i="10"/>
  <c r="AQ668" i="10"/>
  <c r="AQ406" i="10"/>
  <c r="AQ230" i="10"/>
  <c r="AQ754" i="10"/>
  <c r="AQ795" i="10"/>
  <c r="AQ774" i="10"/>
  <c r="AQ283" i="10"/>
  <c r="AQ539" i="10"/>
  <c r="AQ523" i="10"/>
  <c r="AR568" i="10"/>
  <c r="AQ90" i="10"/>
  <c r="AQ413" i="10"/>
  <c r="AQ686" i="10"/>
  <c r="AQ541" i="10"/>
  <c r="AQ876" i="10"/>
  <c r="AQ748" i="10"/>
  <c r="AQ839" i="10"/>
  <c r="AQ254" i="10"/>
  <c r="AQ681" i="10"/>
  <c r="AQ41" i="10"/>
  <c r="AQ866" i="10"/>
  <c r="AQ806" i="10"/>
  <c r="AQ71" i="10"/>
  <c r="AQ441" i="10"/>
  <c r="AQ368" i="10"/>
  <c r="AQ76" i="10"/>
  <c r="AQ897" i="10"/>
  <c r="AQ808" i="10"/>
  <c r="AQ731" i="10"/>
  <c r="AQ544" i="10"/>
  <c r="AQ601" i="10"/>
  <c r="AQ330" i="10"/>
  <c r="AQ31" i="10"/>
  <c r="AQ598" i="10"/>
  <c r="AQ372" i="10"/>
  <c r="AQ525" i="10"/>
  <c r="AQ824" i="10"/>
  <c r="AQ614" i="10"/>
  <c r="AQ176" i="10"/>
  <c r="AQ132" i="10"/>
  <c r="AQ874" i="10"/>
  <c r="AQ367" i="10"/>
  <c r="AQ753" i="10"/>
  <c r="AQ409" i="10"/>
  <c r="AQ794" i="10"/>
  <c r="AQ524" i="10"/>
  <c r="AQ877" i="10"/>
  <c r="AQ399" i="10"/>
  <c r="AQ301" i="10"/>
  <c r="AQ332" i="10"/>
  <c r="AQ483" i="10"/>
  <c r="AQ521" i="10"/>
  <c r="AQ815" i="10"/>
  <c r="AQ484" i="10"/>
  <c r="AQ532" i="10"/>
  <c r="AU218" i="10"/>
  <c r="AQ381" i="10"/>
  <c r="AQ379" i="10"/>
  <c r="AQ208" i="10"/>
  <c r="AQ671" i="10"/>
  <c r="AQ509" i="10"/>
  <c r="AQ970" i="10"/>
  <c r="AQ373" i="10"/>
  <c r="AQ228" i="10"/>
  <c r="AQ526" i="10"/>
  <c r="AQ825" i="10"/>
  <c r="AQ771" i="10"/>
  <c r="AR926" i="10"/>
  <c r="AQ652" i="10"/>
  <c r="AQ243" i="10"/>
  <c r="AQ878" i="10"/>
  <c r="AQ722" i="10"/>
  <c r="AQ644" i="10"/>
  <c r="AQ888" i="10"/>
  <c r="AQ700" i="10"/>
  <c r="AQ129" i="10"/>
  <c r="AQ566" i="10"/>
  <c r="AQ200" i="10"/>
  <c r="AQ424" i="10"/>
  <c r="AQ709" i="10"/>
  <c r="AQ701" i="10"/>
  <c r="AQ743" i="10"/>
  <c r="AQ224" i="10"/>
  <c r="AQ637" i="10"/>
  <c r="AQ939" i="10"/>
  <c r="AQ494" i="10"/>
  <c r="AQ951" i="10"/>
  <c r="AQ35" i="10"/>
  <c r="AQ926" i="10"/>
  <c r="AQ223" i="10"/>
  <c r="AQ73" i="10"/>
  <c r="AQ366" i="10"/>
  <c r="AQ940" i="10"/>
  <c r="AU113" i="10"/>
  <c r="AQ879" i="10"/>
  <c r="AQ820" i="10"/>
  <c r="AQ712" i="10"/>
  <c r="AQ883" i="10"/>
  <c r="AQ148" i="10"/>
  <c r="AQ339" i="10"/>
  <c r="AQ113" i="10"/>
  <c r="AR657" i="10"/>
  <c r="AQ826" i="10"/>
  <c r="AQ851" i="10"/>
  <c r="AQ210" i="10"/>
  <c r="AQ161" i="10"/>
  <c r="AQ58" i="10"/>
  <c r="AQ258" i="10"/>
  <c r="AQ602" i="10"/>
  <c r="AQ432" i="10"/>
  <c r="AQ323" i="10"/>
  <c r="AQ963" i="10"/>
  <c r="AQ517" i="10"/>
  <c r="AQ326" i="10"/>
  <c r="AQ133" i="10"/>
  <c r="AQ261" i="10"/>
  <c r="AQ403" i="10"/>
  <c r="AU657" i="10"/>
  <c r="AQ719" i="10"/>
  <c r="AQ690" i="10"/>
  <c r="AQ922" i="10"/>
  <c r="AQ974" i="10"/>
  <c r="AU112" i="10"/>
  <c r="AQ163" i="10"/>
  <c r="AQ151" i="10"/>
  <c r="AQ442" i="10"/>
  <c r="AQ106" i="10"/>
  <c r="AQ678" i="10"/>
  <c r="AQ237" i="10"/>
  <c r="AQ241" i="10"/>
  <c r="AQ89" i="10"/>
  <c r="AQ785" i="10"/>
  <c r="AQ551" i="10"/>
  <c r="AQ67" i="10"/>
  <c r="AQ102" i="10"/>
  <c r="AQ295" i="10"/>
  <c r="AQ225" i="10"/>
  <c r="AS927" i="10"/>
  <c r="AQ802" i="10"/>
  <c r="AQ214" i="10"/>
  <c r="AQ755" i="10"/>
  <c r="AQ196" i="10"/>
  <c r="AQ21" i="10"/>
  <c r="AQ80" i="10"/>
  <c r="AQ459" i="10"/>
  <c r="AQ924" i="10"/>
  <c r="AQ449" i="10"/>
  <c r="AQ490" i="10"/>
  <c r="AQ585" i="10"/>
  <c r="AQ546" i="10"/>
  <c r="AQ746" i="10"/>
  <c r="AQ531" i="10"/>
  <c r="AU978" i="10"/>
  <c r="AQ100" i="10"/>
  <c r="AQ287" i="10"/>
  <c r="AQ511" i="10"/>
  <c r="AQ513" i="10"/>
  <c r="AQ740" i="10"/>
  <c r="AQ285" i="10"/>
  <c r="AQ364" i="10"/>
  <c r="AQ50" i="10"/>
  <c r="AQ965" i="10"/>
  <c r="AQ55" i="10"/>
  <c r="AQ944" i="10"/>
  <c r="AQ689" i="10"/>
  <c r="AQ507" i="10"/>
  <c r="AQ543" i="10"/>
  <c r="AQ357" i="10"/>
  <c r="AQ203" i="10"/>
  <c r="AQ232" i="10"/>
  <c r="AQ435" i="10"/>
  <c r="AT927" i="10"/>
  <c r="AQ418" i="10"/>
  <c r="AQ905" i="10"/>
  <c r="AQ30" i="10"/>
  <c r="AQ307" i="10"/>
  <c r="AQ887" i="10"/>
  <c r="AQ694" i="10"/>
  <c r="AQ501" i="10"/>
  <c r="AU929" i="10"/>
  <c r="AQ818" i="10"/>
  <c r="AQ687" i="10"/>
  <c r="AQ353" i="10"/>
  <c r="AQ430" i="10"/>
  <c r="AQ623" i="10"/>
  <c r="AU382" i="10"/>
  <c r="AQ159" i="10"/>
  <c r="AQ49" i="10"/>
  <c r="AQ310" i="10"/>
  <c r="AQ304" i="10"/>
  <c r="AQ139" i="10"/>
  <c r="AQ583" i="10"/>
  <c r="AQ351" i="10"/>
  <c r="AQ107" i="10"/>
  <c r="AQ252" i="10"/>
  <c r="AQ268" i="10"/>
  <c r="AQ233" i="10"/>
  <c r="AQ793" i="10"/>
  <c r="AQ683" i="10"/>
  <c r="AQ927" i="10"/>
  <c r="AQ281" i="10"/>
  <c r="AQ838" i="10"/>
  <c r="AQ957" i="10"/>
  <c r="AQ875" i="10"/>
  <c r="AQ562" i="10"/>
  <c r="AQ632" i="10"/>
  <c r="AQ929" i="10"/>
  <c r="AQ807" i="10"/>
  <c r="AQ837" i="10"/>
  <c r="AR382" i="10"/>
  <c r="AQ538" i="10"/>
  <c r="AQ211" i="10"/>
  <c r="AQ187" i="10"/>
  <c r="AQ976" i="10"/>
  <c r="AQ812" i="10"/>
  <c r="AQ964" i="10"/>
  <c r="AQ207" i="10"/>
  <c r="AQ881" i="10"/>
  <c r="AQ456" i="10"/>
  <c r="AQ747" i="10"/>
  <c r="AQ674" i="10"/>
  <c r="AQ608" i="10"/>
  <c r="AU927" i="10"/>
  <c r="AQ417" i="10"/>
  <c r="AQ118" i="10"/>
  <c r="AQ72" i="10"/>
  <c r="AQ425" i="10"/>
  <c r="AQ680" i="10"/>
  <c r="AQ231" i="10"/>
  <c r="AQ667" i="10"/>
  <c r="AQ349" i="10"/>
  <c r="AQ322" i="10"/>
  <c r="AQ911" i="10"/>
  <c r="AQ429" i="10"/>
  <c r="AQ85" i="10"/>
  <c r="AQ640" i="10"/>
  <c r="AQ270" i="10"/>
  <c r="AQ202" i="10"/>
  <c r="AQ917" i="10"/>
  <c r="AQ579" i="10"/>
  <c r="AQ458" i="10"/>
  <c r="AQ775" i="10"/>
  <c r="AQ359" i="10"/>
  <c r="AQ276" i="10"/>
  <c r="AQ867" i="10"/>
  <c r="AQ178" i="10"/>
  <c r="AQ398" i="10"/>
  <c r="AQ235" i="10"/>
  <c r="AQ635" i="10"/>
  <c r="AQ547" i="10"/>
  <c r="AQ426" i="10"/>
  <c r="AQ684" i="10"/>
  <c r="AQ742" i="10"/>
  <c r="AQ410" i="10"/>
  <c r="AQ558" i="10"/>
  <c r="AQ702" i="10"/>
  <c r="AQ534" i="10"/>
  <c r="AQ759" i="10"/>
  <c r="AQ70" i="10"/>
  <c r="AQ890" i="10"/>
  <c r="AQ673" i="10"/>
  <c r="AQ778" i="10"/>
  <c r="AQ463" i="10"/>
  <c r="AQ549" i="10"/>
  <c r="AQ54" i="10"/>
  <c r="AQ74" i="10"/>
  <c r="AQ634" i="10"/>
  <c r="AQ246" i="10"/>
  <c r="AQ647" i="10"/>
  <c r="AQ594" i="10"/>
  <c r="AQ242" i="10"/>
  <c r="AQ204" i="10"/>
  <c r="AQ704" i="10"/>
  <c r="AQ697" i="10"/>
  <c r="AR724" i="10"/>
  <c r="AQ718" i="10"/>
  <c r="AQ499" i="10"/>
  <c r="AQ324" i="10"/>
  <c r="AQ329" i="10"/>
  <c r="AQ569" i="10"/>
  <c r="AQ971" i="10"/>
  <c r="AQ272" i="10"/>
  <c r="AQ390" i="10"/>
  <c r="AQ512" i="10"/>
  <c r="AQ51" i="10"/>
  <c r="AR929" i="10"/>
  <c r="AQ597" i="10"/>
  <c r="AQ468" i="10"/>
  <c r="AQ485" i="10"/>
  <c r="AQ93" i="10"/>
  <c r="AQ145" i="10"/>
  <c r="AQ401" i="10"/>
  <c r="AQ809" i="10"/>
  <c r="AQ445" i="10"/>
  <c r="AQ573" i="10"/>
  <c r="AQ240" i="10"/>
  <c r="AQ347" i="10"/>
  <c r="AQ603" i="10"/>
  <c r="AQ420" i="10"/>
  <c r="AQ431" i="10"/>
  <c r="AQ575" i="10"/>
  <c r="AQ864" i="10"/>
  <c r="AQ736" i="32"/>
  <c r="AQ962" i="10"/>
  <c r="AT978" i="10"/>
  <c r="AQ290" i="32"/>
  <c r="AR290" i="32"/>
  <c r="AU290" i="32"/>
  <c r="AQ656" i="32"/>
  <c r="AR656" i="32"/>
  <c r="AU656" i="32"/>
  <c r="AQ313" i="32"/>
  <c r="AQ336" i="10"/>
  <c r="AQ257" i="10"/>
  <c r="AR786" i="10"/>
  <c r="AQ559" i="10"/>
  <c r="AQ173" i="10"/>
  <c r="AQ975" i="10"/>
  <c r="AT980" i="10"/>
  <c r="AQ723" i="10"/>
  <c r="AQ567" i="10"/>
  <c r="AQ28" i="10"/>
  <c r="AQ354" i="10"/>
  <c r="AQ776" i="10"/>
  <c r="AU930" i="10"/>
  <c r="AT929" i="10"/>
  <c r="AR978" i="10"/>
  <c r="AQ290" i="10"/>
  <c r="AQ920" i="10"/>
  <c r="AQ313" i="10"/>
  <c r="AQ646" i="10"/>
  <c r="AQ400" i="10"/>
  <c r="AQ92" i="10"/>
  <c r="AQ589" i="32"/>
  <c r="AQ395" i="10"/>
  <c r="AQ160" i="10"/>
  <c r="AQ15" i="10"/>
  <c r="AQ672" i="10"/>
  <c r="AQ60" i="10"/>
  <c r="AQ286" i="10"/>
  <c r="AR655" i="10"/>
  <c r="AQ440" i="10"/>
  <c r="AQ938" i="10"/>
  <c r="AQ130" i="10"/>
  <c r="AQ980" i="10"/>
  <c r="AQ343" i="10"/>
  <c r="AQ773" i="10"/>
  <c r="AQ682" i="10"/>
  <c r="AQ277" i="10"/>
  <c r="AQ462" i="10"/>
  <c r="AQ396" i="10"/>
  <c r="AQ279" i="10"/>
  <c r="AQ306" i="10"/>
  <c r="AQ872" i="10"/>
  <c r="AQ973" i="10"/>
  <c r="AR112" i="10"/>
  <c r="AQ850" i="10"/>
  <c r="AQ978" i="10"/>
  <c r="AQ914" i="10"/>
  <c r="AQ885" i="10"/>
  <c r="AQ745" i="10"/>
  <c r="AQ735" i="32"/>
  <c r="AQ383" i="32"/>
  <c r="AU383" i="32"/>
  <c r="AR383" i="32"/>
  <c r="AQ587" i="32"/>
  <c r="AQ593" i="32"/>
  <c r="X82" i="24" s="1"/>
  <c r="AD82" i="12" s="1"/>
  <c r="AQ405" i="32"/>
  <c r="AQ358" i="10"/>
  <c r="AQ969" i="10"/>
  <c r="AQ38" i="10"/>
  <c r="AQ522" i="10"/>
  <c r="AQ827" i="10"/>
  <c r="AQ846" i="10"/>
  <c r="AU980" i="10"/>
  <c r="AQ626" i="10"/>
  <c r="AU724" i="10"/>
  <c r="AQ69" i="10"/>
  <c r="AQ250" i="10"/>
  <c r="AQ873" i="10"/>
  <c r="AQ150" i="10"/>
  <c r="AQ725" i="10"/>
  <c r="AQ450" i="10"/>
  <c r="AQ345" i="10"/>
  <c r="AQ407" i="32"/>
  <c r="AQ471" i="10"/>
  <c r="AU111" i="10"/>
  <c r="AQ645" i="10"/>
  <c r="AQ361" i="10"/>
  <c r="AQ147" i="10"/>
  <c r="AQ64" i="10"/>
  <c r="AQ198" i="10"/>
  <c r="AQ337" i="10"/>
  <c r="AQ813" i="10"/>
  <c r="AQ692" i="10"/>
  <c r="AQ331" i="10"/>
  <c r="AQ893" i="10"/>
  <c r="AQ688" i="10"/>
  <c r="AQ631" i="10"/>
  <c r="AQ263" i="10"/>
  <c r="AQ698" i="10"/>
  <c r="AQ181" i="10"/>
  <c r="AQ576" i="10"/>
  <c r="AQ656" i="10"/>
  <c r="AQ405" i="10"/>
  <c r="AU926" i="10"/>
  <c r="AQ457" i="10"/>
  <c r="AQ388" i="10"/>
  <c r="AQ350" i="10"/>
  <c r="AQ736" i="10"/>
  <c r="AQ380" i="10"/>
  <c r="AQ606" i="10"/>
  <c r="AQ707" i="10"/>
  <c r="AQ149" i="10"/>
  <c r="AQ904" i="10"/>
  <c r="AQ205" i="10"/>
  <c r="AR931" i="10"/>
  <c r="AQ618" i="10"/>
  <c r="AQ871" i="10"/>
  <c r="AQ725" i="32"/>
  <c r="AR725" i="32"/>
  <c r="AU725" i="32"/>
  <c r="AQ930" i="32"/>
  <c r="AU930" i="32"/>
  <c r="AR930" i="32"/>
  <c r="AQ111" i="10"/>
  <c r="AQ599" i="10"/>
  <c r="AQ469" i="10"/>
  <c r="AQ981" i="32"/>
  <c r="AR981" i="32"/>
  <c r="AU981" i="32"/>
  <c r="AQ206" i="10"/>
  <c r="AQ185" i="10"/>
  <c r="AQ519" i="10"/>
  <c r="AQ844" i="10"/>
  <c r="AQ829" i="10"/>
  <c r="AQ325" i="10"/>
  <c r="AQ489" i="10"/>
  <c r="AQ245" i="10"/>
  <c r="AQ195" i="10"/>
  <c r="AQ941" i="10"/>
  <c r="AR854" i="10"/>
  <c r="AQ470" i="10"/>
  <c r="AQ267" i="10"/>
  <c r="AQ832" i="10"/>
  <c r="AQ215" i="10"/>
  <c r="AQ868" i="10"/>
  <c r="AQ622" i="10"/>
  <c r="AQ514" i="10"/>
  <c r="AQ629" i="10"/>
  <c r="AQ666" i="10"/>
  <c r="AQ749" i="10"/>
  <c r="AQ895" i="10"/>
  <c r="AQ757" i="10"/>
  <c r="AQ280" i="10"/>
  <c r="AQ274" i="10"/>
  <c r="AQ950" i="10"/>
  <c r="AQ171" i="10"/>
  <c r="AT930" i="32"/>
  <c r="AQ408" i="32"/>
  <c r="AQ568" i="32"/>
  <c r="AU568" i="32"/>
  <c r="AR568" i="32"/>
  <c r="AQ786" i="32"/>
  <c r="AU786" i="32"/>
  <c r="AR786" i="32"/>
  <c r="AU786" i="10"/>
  <c r="AQ216" i="32"/>
  <c r="AU216" i="32"/>
  <c r="AR216" i="32"/>
  <c r="AR930" i="10"/>
  <c r="AR111" i="10"/>
  <c r="AR656" i="10"/>
  <c r="AQ942" i="10"/>
  <c r="AQ675" i="10"/>
  <c r="AQ706" i="10"/>
  <c r="AQ506" i="10"/>
  <c r="AQ45" i="10"/>
  <c r="AQ854" i="10"/>
  <c r="AQ535" i="10"/>
  <c r="AQ756" i="10"/>
  <c r="AQ596" i="10"/>
  <c r="AQ296" i="10"/>
  <c r="AQ954" i="10"/>
  <c r="AQ305" i="10"/>
  <c r="AQ265" i="10"/>
  <c r="AQ947" i="10"/>
  <c r="AQ639" i="10"/>
  <c r="AQ303" i="10"/>
  <c r="AQ101" i="10"/>
  <c r="AQ729" i="10"/>
  <c r="AQ212" i="10"/>
  <c r="AQ968" i="10"/>
  <c r="AQ915" i="10"/>
  <c r="AU854" i="10"/>
  <c r="AQ565" i="10"/>
  <c r="AQ57" i="10"/>
  <c r="AQ638" i="10"/>
  <c r="AQ143" i="10"/>
  <c r="AQ84" i="10"/>
  <c r="AQ170" i="10"/>
  <c r="AQ810" i="10"/>
  <c r="AQ18" i="10"/>
  <c r="AQ805" i="10"/>
  <c r="AU981" i="10"/>
  <c r="AQ630" i="10"/>
  <c r="AQ120" i="10"/>
  <c r="AQ259" i="10"/>
  <c r="AQ676" i="10"/>
  <c r="AQ82" i="10"/>
  <c r="AQ48" i="10"/>
  <c r="AQ505" i="10"/>
  <c r="AQ236" i="10"/>
  <c r="AT981" i="32"/>
  <c r="AQ406" i="32"/>
  <c r="AQ475" i="32"/>
  <c r="AR475" i="32"/>
  <c r="AU475" i="32"/>
  <c r="AQ156" i="10"/>
  <c r="AQ289" i="32"/>
  <c r="AR289" i="32"/>
  <c r="AU289" i="32"/>
  <c r="AQ412" i="10"/>
  <c r="AQ188" i="10"/>
  <c r="AQ563" i="10"/>
  <c r="AQ446" i="10"/>
  <c r="AQ901" i="10"/>
  <c r="AQ121" i="10"/>
  <c r="AQ98" i="10"/>
  <c r="AQ931" i="32"/>
  <c r="AR931" i="32"/>
  <c r="AU931" i="32"/>
  <c r="AQ870" i="10"/>
  <c r="AQ574" i="10"/>
  <c r="AQ155" i="10"/>
  <c r="AQ86" i="10"/>
  <c r="AQ309" i="10"/>
  <c r="AQ321" i="10"/>
  <c r="AQ931" i="10"/>
  <c r="AQ590" i="32"/>
  <c r="AQ654" i="10"/>
  <c r="AQ611" i="10"/>
  <c r="AQ766" i="10"/>
  <c r="AQ909" i="10"/>
  <c r="AQ374" i="10"/>
  <c r="AQ527" i="10"/>
  <c r="AQ545" i="10"/>
  <c r="AQ821" i="10"/>
  <c r="AQ180" i="10"/>
  <c r="AQ493" i="10"/>
  <c r="AQ346" i="10"/>
  <c r="AQ779" i="10"/>
  <c r="AQ190" i="10"/>
  <c r="AQ772" i="10"/>
  <c r="AQ152" i="10"/>
  <c r="AQ955" i="10"/>
  <c r="AT854" i="10"/>
  <c r="AQ25" i="10"/>
  <c r="AQ436" i="10"/>
  <c r="AQ179" i="10"/>
  <c r="AQ981" i="10"/>
  <c r="AQ37" i="10"/>
  <c r="AQ146" i="10"/>
  <c r="AQ42" i="10"/>
  <c r="AQ466" i="10"/>
  <c r="AQ584" i="10"/>
  <c r="AQ34" i="10"/>
  <c r="AU475" i="10"/>
  <c r="AQ612" i="10"/>
  <c r="AQ783" i="10"/>
  <c r="AQ797" i="10"/>
  <c r="AQ891" i="10"/>
  <c r="AQ27" i="10"/>
  <c r="AQ77" i="10"/>
  <c r="AQ500" i="10"/>
  <c r="AR979" i="10"/>
  <c r="AT931" i="32"/>
  <c r="AQ218" i="32"/>
  <c r="AR218" i="32"/>
  <c r="AU218" i="32"/>
  <c r="AQ655" i="32"/>
  <c r="AU655" i="32"/>
  <c r="AR655" i="32"/>
  <c r="AQ318" i="10"/>
  <c r="AQ444" i="10"/>
  <c r="AQ437" i="10"/>
  <c r="AQ610" i="10"/>
  <c r="AR725" i="10"/>
  <c r="AQ750" i="10"/>
  <c r="AQ835" i="10"/>
  <c r="AQ443" i="10"/>
  <c r="AQ251" i="10"/>
  <c r="AQ271" i="10"/>
  <c r="AQ109" i="10"/>
  <c r="AQ26" i="10"/>
  <c r="AQ919" i="10"/>
  <c r="AQ784" i="10"/>
  <c r="AQ972" i="10"/>
  <c r="AQ341" i="10"/>
  <c r="AQ94" i="10"/>
  <c r="AQ284" i="10"/>
  <c r="AQ691" i="10"/>
  <c r="AQ751" i="10"/>
  <c r="AQ708" i="10"/>
  <c r="AQ19" i="10"/>
  <c r="AQ123" i="10"/>
  <c r="AQ906" i="10"/>
  <c r="AQ685" i="10"/>
  <c r="AT981" i="10"/>
  <c r="AU216" i="10"/>
  <c r="AQ650" i="10"/>
  <c r="AQ153" i="10"/>
  <c r="AQ475" i="10"/>
  <c r="AQ452" i="10"/>
  <c r="AQ433" i="10"/>
  <c r="AQ769" i="10"/>
  <c r="AQ552" i="10"/>
  <c r="AQ79" i="10"/>
  <c r="AQ495" i="10"/>
  <c r="AQ81" i="10"/>
  <c r="AQ620" i="10"/>
  <c r="AU979" i="10"/>
  <c r="AQ591" i="32"/>
  <c r="AQ624" i="10"/>
  <c r="AQ777" i="10"/>
  <c r="AQ96" i="10"/>
  <c r="AQ59" i="10"/>
  <c r="AQ561" i="10"/>
  <c r="AQ454" i="10"/>
  <c r="AQ529" i="10"/>
  <c r="AU656" i="10"/>
  <c r="AQ199" i="10"/>
  <c r="AQ588" i="32"/>
  <c r="AQ476" i="32"/>
  <c r="AU476" i="32"/>
  <c r="AR476" i="32"/>
  <c r="AQ311" i="10"/>
  <c r="AQ967" i="10"/>
  <c r="AQ289" i="10"/>
  <c r="AQ110" i="10"/>
  <c r="AQ830" i="10"/>
  <c r="AQ752" i="10"/>
  <c r="AQ182" i="10"/>
  <c r="AQ184" i="10"/>
  <c r="AQ679" i="10"/>
  <c r="AQ849" i="10"/>
  <c r="AQ455" i="10"/>
  <c r="AQ378" i="10"/>
  <c r="AQ439" i="10"/>
  <c r="AQ333" i="10"/>
  <c r="AQ617" i="10"/>
  <c r="AQ732" i="10"/>
  <c r="AQ497" i="10"/>
  <c r="AQ946" i="10"/>
  <c r="AQ498" i="10"/>
  <c r="AQ356" i="10"/>
  <c r="AQ464" i="10"/>
  <c r="AQ918" i="10"/>
  <c r="AR981" i="10"/>
  <c r="AR216" i="10"/>
  <c r="AQ197" i="10"/>
  <c r="AQ720" i="10"/>
  <c r="AQ937" i="10"/>
  <c r="AQ191" i="10"/>
  <c r="AQ99" i="10"/>
  <c r="AQ916" i="10"/>
  <c r="AQ275" i="10"/>
  <c r="AQ956" i="10"/>
  <c r="AQ540" i="10"/>
  <c r="AQ952" i="10"/>
  <c r="AQ389" i="10"/>
  <c r="AT979" i="10"/>
  <c r="AQ474" i="32"/>
  <c r="AR474" i="32"/>
  <c r="AU474" i="32"/>
  <c r="AQ586" i="32"/>
  <c r="AQ314" i="32"/>
  <c r="AQ657" i="32"/>
  <c r="AR657" i="32"/>
  <c r="AU657" i="32"/>
  <c r="AQ217" i="32"/>
  <c r="AU217" i="32"/>
  <c r="AR217" i="32"/>
  <c r="AQ930" i="10"/>
  <c r="AQ461" i="10"/>
  <c r="AQ481" i="10"/>
  <c r="AU655" i="10"/>
  <c r="AQ227" i="10"/>
  <c r="AQ907" i="10"/>
  <c r="AQ929" i="32"/>
  <c r="AU929" i="32"/>
  <c r="AR929" i="32"/>
  <c r="AQ467" i="10"/>
  <c r="AQ816" i="10"/>
  <c r="AU931" i="10"/>
  <c r="AR289" i="10"/>
  <c r="AQ370" i="10"/>
  <c r="AQ496" i="10"/>
  <c r="AQ465" i="10"/>
  <c r="AQ108" i="10"/>
  <c r="AQ95" i="10"/>
  <c r="AU856" i="10"/>
  <c r="AQ554" i="10"/>
  <c r="AQ315" i="10"/>
  <c r="AQ335" i="10"/>
  <c r="AQ842" i="10"/>
  <c r="AQ157" i="10"/>
  <c r="AQ434" i="10"/>
  <c r="AQ936" i="10"/>
  <c r="AQ209" i="10"/>
  <c r="AQ39" i="10"/>
  <c r="AQ607" i="10"/>
  <c r="AQ716" i="10"/>
  <c r="AQ738" i="10"/>
  <c r="AQ898" i="10"/>
  <c r="AQ571" i="10"/>
  <c r="AQ319" i="10"/>
  <c r="AQ216" i="10"/>
  <c r="AQ536" i="10"/>
  <c r="AQ767" i="10"/>
  <c r="AQ696" i="10"/>
  <c r="AQ16" i="10"/>
  <c r="AQ782" i="10"/>
  <c r="AQ560" i="10"/>
  <c r="AQ334" i="10"/>
  <c r="AQ737" i="32"/>
  <c r="AQ384" i="32"/>
  <c r="AU384" i="32"/>
  <c r="AR384" i="32"/>
  <c r="AQ382" i="32"/>
  <c r="AR382" i="32"/>
  <c r="AU382" i="32"/>
  <c r="AQ113" i="32"/>
  <c r="AR113" i="32"/>
  <c r="AU113" i="32"/>
  <c r="AQ734" i="32"/>
  <c r="AN930" i="32"/>
  <c r="AV926" i="10"/>
  <c r="AV927" i="10"/>
  <c r="AO928" i="10"/>
  <c r="AO929" i="10"/>
  <c r="AS929" i="32"/>
  <c r="AV929" i="32"/>
  <c r="AO929" i="32"/>
  <c r="AO930" i="10"/>
  <c r="AS930" i="32"/>
  <c r="AV930" i="32"/>
  <c r="AO930" i="32"/>
  <c r="AO218" i="10"/>
  <c r="AO218" i="32"/>
  <c r="AS218" i="32"/>
  <c r="AV218" i="32"/>
  <c r="AN929" i="32"/>
  <c r="AO289" i="10"/>
  <c r="AO289" i="32"/>
  <c r="AS289" i="32"/>
  <c r="AV289" i="32"/>
  <c r="AO927" i="10"/>
  <c r="AO856" i="10"/>
  <c r="AO113" i="10"/>
  <c r="AO113" i="32"/>
  <c r="AS113" i="32"/>
  <c r="AV113" i="32"/>
  <c r="AV856" i="10"/>
  <c r="AN218" i="32"/>
  <c r="AO216" i="10"/>
  <c r="AO216" i="32"/>
  <c r="AS216" i="32"/>
  <c r="AV216" i="32"/>
  <c r="AN289" i="32"/>
  <c r="AO290" i="32"/>
  <c r="AS290" i="32"/>
  <c r="AV290" i="32"/>
  <c r="AV858" i="10"/>
  <c r="AO981" i="10"/>
  <c r="AS981" i="32"/>
  <c r="AO981" i="32"/>
  <c r="AV981" i="32"/>
  <c r="AN981" i="32"/>
  <c r="AN290" i="32"/>
  <c r="AO217" i="32"/>
  <c r="AS217" i="32"/>
  <c r="AV217" i="32"/>
  <c r="AO854" i="10"/>
  <c r="AN216" i="32"/>
  <c r="AO979" i="10"/>
  <c r="AN113" i="32"/>
  <c r="AS112" i="10"/>
  <c r="AO980" i="10"/>
  <c r="AN217" i="32"/>
  <c r="AS859" i="10"/>
  <c r="AO931" i="10"/>
  <c r="AS931" i="32"/>
  <c r="AV931" i="32"/>
  <c r="AO931" i="32"/>
  <c r="AN931" i="32"/>
  <c r="AV930" i="10"/>
  <c r="AO926" i="10"/>
  <c r="AS930" i="10"/>
  <c r="AS926" i="10"/>
  <c r="AV859" i="10"/>
  <c r="AV289" i="10"/>
  <c r="AO859" i="10"/>
  <c r="AV931" i="10"/>
  <c r="AS931" i="10"/>
  <c r="AV980" i="10"/>
  <c r="AS113" i="10"/>
  <c r="AS980" i="10"/>
  <c r="AV113" i="10"/>
  <c r="AS856" i="10"/>
  <c r="AS928" i="10"/>
  <c r="AV857" i="10"/>
  <c r="AO857" i="10"/>
  <c r="AS858" i="10"/>
  <c r="AS981" i="10"/>
  <c r="AV981" i="10"/>
  <c r="AO858" i="10"/>
  <c r="AV978" i="10"/>
  <c r="AO978" i="10"/>
  <c r="AS978" i="10"/>
  <c r="AS857" i="10"/>
  <c r="AV979" i="10"/>
  <c r="AS979" i="10"/>
  <c r="AS854" i="10"/>
  <c r="AV854" i="10"/>
  <c r="AV929" i="10"/>
  <c r="AS929" i="10"/>
  <c r="AV928" i="10"/>
  <c r="AS289" i="10"/>
  <c r="AO290" i="10"/>
  <c r="AV290" i="10"/>
  <c r="AS290" i="10"/>
  <c r="AO111" i="10"/>
  <c r="AS111" i="10"/>
  <c r="AV111" i="10"/>
  <c r="AO217" i="10"/>
  <c r="AS217" i="10"/>
  <c r="AV217" i="10"/>
  <c r="AV216" i="10"/>
  <c r="AS218" i="10"/>
  <c r="AS216" i="10"/>
  <c r="AO112" i="10"/>
  <c r="AV112" i="10"/>
  <c r="AV218" i="10"/>
  <c r="X156" i="29" l="1" a="1"/>
  <c r="X134" i="29" a="1"/>
  <c r="X135" i="29" a="1"/>
  <c r="X133" i="29" a="1"/>
  <c r="X151" i="29" a="1"/>
  <c r="X137" i="29" a="1"/>
  <c r="X139" i="29" a="1"/>
  <c r="X154" i="29" a="1"/>
  <c r="X146" i="29" a="1"/>
  <c r="X140" i="29" a="1"/>
  <c r="X142" i="29" a="1"/>
  <c r="X141" i="29" a="1"/>
  <c r="X157" i="29" a="1"/>
  <c r="X149" i="29" a="1"/>
  <c r="X136" i="29" a="1"/>
  <c r="X148" i="29" a="1"/>
  <c r="X138" i="29" a="1"/>
  <c r="X132" i="29" a="1"/>
  <c r="X143" i="29" a="1"/>
  <c r="X152" i="29" a="1"/>
  <c r="X158" i="29" a="1"/>
  <c r="X150" i="29" a="1"/>
  <c r="AB73" i="29"/>
  <c r="X73" i="29"/>
  <c r="Y103" i="29"/>
  <c r="Y73" i="29"/>
  <c r="AB103" i="29"/>
  <c r="X103" i="29"/>
  <c r="X82" i="29"/>
  <c r="AB73" i="24"/>
  <c r="AH73" i="12" s="1"/>
  <c r="AA125" i="24"/>
  <c r="AG125" i="12" s="1"/>
  <c r="X109" i="24"/>
  <c r="AD109" i="12" s="1"/>
  <c r="X104" i="24"/>
  <c r="AD104" i="12" s="1"/>
  <c r="X105" i="29"/>
  <c r="Y73" i="24"/>
  <c r="AE73" i="12" s="1"/>
  <c r="X131" i="29" a="1"/>
  <c r="X50" i="24"/>
  <c r="AD50" i="12" s="1"/>
  <c r="X50" i="29"/>
  <c r="X127" i="29" a="1"/>
  <c r="X104" i="29"/>
  <c r="X129" i="29" a="1"/>
  <c r="AC43" i="24"/>
  <c r="V125" i="24"/>
  <c r="AB125" i="12" s="1"/>
  <c r="V125" i="29"/>
  <c r="AB103" i="24"/>
  <c r="AH103" i="12" s="1"/>
  <c r="Y103" i="24"/>
  <c r="AE103" i="12" s="1"/>
  <c r="Y43" i="24"/>
  <c r="AE43" i="12" s="1"/>
  <c r="X107" i="29"/>
  <c r="U43" i="29"/>
  <c r="U43" i="24"/>
  <c r="AA43" i="12" s="1"/>
  <c r="X73" i="24"/>
  <c r="AD73" i="12" s="1"/>
  <c r="AB125" i="29"/>
  <c r="AB125" i="24"/>
  <c r="AH125" i="12" s="1"/>
  <c r="X125" i="24"/>
  <c r="AD125" i="12" s="1"/>
  <c r="X125" i="29"/>
  <c r="X115" i="29"/>
  <c r="X128" i="29" a="1"/>
  <c r="X126" i="29" a="1"/>
  <c r="AA125" i="29"/>
  <c r="Z43" i="24"/>
  <c r="AF43" i="12" s="1"/>
  <c r="AC125" i="29"/>
  <c r="AC125" i="24"/>
  <c r="V43" i="24"/>
  <c r="AB43" i="12" s="1"/>
  <c r="Z125" i="24"/>
  <c r="AF125" i="12" s="1"/>
  <c r="Z125" i="29"/>
  <c r="X103" i="24"/>
  <c r="AD103" i="12" s="1"/>
  <c r="AB43" i="24"/>
  <c r="AH43" i="12" s="1"/>
  <c r="Y125" i="29"/>
  <c r="Y125" i="24"/>
  <c r="AE125" i="12" s="1"/>
  <c r="X43" i="24"/>
  <c r="AD43" i="12" s="1"/>
  <c r="U125" i="24"/>
  <c r="AA125" i="12" s="1"/>
  <c r="U125" i="29"/>
  <c r="X105" i="24"/>
  <c r="AD105" i="12" s="1"/>
  <c r="X109" i="29"/>
  <c r="O75" i="3"/>
  <c r="O76" i="3" s="1"/>
  <c r="R131" i="9" l="1"/>
  <c r="R133" i="9"/>
  <c r="R137" i="9"/>
  <c r="R139" i="9"/>
  <c r="R141" i="9"/>
  <c r="R143" i="9"/>
  <c r="R145" i="9"/>
  <c r="R147" i="9"/>
  <c r="R149" i="9"/>
  <c r="R151" i="9"/>
  <c r="R153" i="9"/>
  <c r="R155" i="9"/>
  <c r="R157" i="9"/>
  <c r="R159" i="9"/>
  <c r="R161" i="9"/>
  <c r="R163" i="9"/>
  <c r="R165" i="9"/>
  <c r="R167" i="9"/>
  <c r="R169" i="9"/>
  <c r="R171" i="9"/>
  <c r="R173" i="9"/>
  <c r="R175" i="9"/>
  <c r="R177" i="9"/>
  <c r="R179" i="9"/>
  <c r="R181" i="9"/>
  <c r="R183" i="9"/>
  <c r="R185" i="9"/>
  <c r="R187" i="9"/>
  <c r="R189" i="9"/>
  <c r="R191" i="9"/>
  <c r="R193" i="9"/>
  <c r="R197" i="9"/>
  <c r="R199" i="9"/>
  <c r="R201" i="9"/>
  <c r="R203" i="9"/>
  <c r="R205" i="9"/>
  <c r="R207" i="9"/>
  <c r="R209" i="9"/>
  <c r="R211" i="9"/>
  <c r="R213" i="9"/>
  <c r="R215" i="9"/>
  <c r="R217" i="9"/>
  <c r="R219" i="9"/>
  <c r="R221" i="9"/>
  <c r="R223" i="9"/>
  <c r="R225" i="9"/>
  <c r="R227" i="9"/>
  <c r="R229" i="9"/>
  <c r="R231" i="9"/>
  <c r="R233" i="9"/>
  <c r="R235" i="9"/>
  <c r="R129" i="7"/>
  <c r="R131" i="7"/>
  <c r="R133" i="7"/>
  <c r="R137" i="7"/>
  <c r="R139" i="7"/>
  <c r="R141" i="7"/>
  <c r="R143" i="7"/>
  <c r="R145" i="7"/>
  <c r="R147" i="7"/>
  <c r="R149" i="7"/>
  <c r="R151" i="7"/>
  <c r="R153" i="7"/>
  <c r="R155" i="7"/>
  <c r="R157" i="7"/>
  <c r="R159" i="7"/>
  <c r="R161" i="7"/>
  <c r="R163" i="7"/>
  <c r="R165" i="7"/>
  <c r="R167" i="7"/>
  <c r="R169" i="7"/>
  <c r="R171" i="7"/>
  <c r="R173" i="7"/>
  <c r="R175" i="7"/>
  <c r="R177" i="7"/>
  <c r="R179" i="7"/>
  <c r="R181" i="7"/>
  <c r="R183" i="7"/>
  <c r="R185" i="7"/>
  <c r="R187" i="7"/>
  <c r="R189" i="7"/>
  <c r="R191" i="7"/>
  <c r="R193" i="7"/>
  <c r="R197" i="7"/>
  <c r="R199" i="7"/>
  <c r="R201" i="7"/>
  <c r="R203" i="7"/>
  <c r="R205" i="7"/>
  <c r="R207" i="7"/>
  <c r="R209" i="7"/>
  <c r="R211" i="7"/>
  <c r="R213" i="7"/>
  <c r="R215" i="7"/>
  <c r="R217" i="7"/>
  <c r="R219" i="7"/>
  <c r="R221" i="7"/>
  <c r="R223" i="7"/>
  <c r="R225" i="7"/>
  <c r="R227" i="7"/>
  <c r="R229" i="7"/>
  <c r="R231" i="7"/>
  <c r="R233" i="7"/>
  <c r="R235" i="7"/>
  <c r="R133" i="4"/>
  <c r="R137" i="4"/>
  <c r="R139" i="4"/>
  <c r="R141" i="4"/>
  <c r="R143" i="4"/>
  <c r="R145" i="4"/>
  <c r="R147" i="4"/>
  <c r="R149" i="4"/>
  <c r="R151" i="4"/>
  <c r="R153" i="4"/>
  <c r="R155" i="4"/>
  <c r="R157" i="4"/>
  <c r="R159" i="4"/>
  <c r="R161" i="4"/>
  <c r="R163" i="4"/>
  <c r="R165" i="4"/>
  <c r="R167" i="4"/>
  <c r="R169" i="4"/>
  <c r="R171" i="4"/>
  <c r="R173" i="4"/>
  <c r="R175" i="4"/>
  <c r="R177" i="4"/>
  <c r="R179" i="4"/>
  <c r="R181" i="4"/>
  <c r="R183" i="4"/>
  <c r="R185" i="4"/>
  <c r="R187" i="4"/>
  <c r="R189" i="4"/>
  <c r="R191" i="4"/>
  <c r="R193" i="4"/>
  <c r="R197" i="4"/>
  <c r="R199" i="4"/>
  <c r="R201" i="4"/>
  <c r="R203" i="4"/>
  <c r="R205" i="4"/>
  <c r="R207" i="4"/>
  <c r="R209" i="4"/>
  <c r="R211" i="4"/>
  <c r="R213" i="4"/>
  <c r="R215" i="4"/>
  <c r="R217" i="4"/>
  <c r="R219" i="4"/>
  <c r="R221" i="4"/>
  <c r="R223" i="4"/>
  <c r="R225" i="4"/>
  <c r="R227" i="4"/>
  <c r="R229" i="4"/>
  <c r="R231" i="4"/>
  <c r="R233" i="4"/>
  <c r="R235" i="4"/>
  <c r="S137" i="3"/>
  <c r="S139" i="3"/>
  <c r="S141" i="3"/>
  <c r="S143" i="3"/>
  <c r="S145" i="3"/>
  <c r="S147" i="3"/>
  <c r="S149" i="3"/>
  <c r="S151" i="3"/>
  <c r="S153" i="3"/>
  <c r="S155" i="3"/>
  <c r="S157" i="3"/>
  <c r="S159" i="3"/>
  <c r="S161" i="3"/>
  <c r="S163" i="3"/>
  <c r="S165" i="3"/>
  <c r="S167" i="3"/>
  <c r="S169" i="3"/>
  <c r="S171" i="3"/>
  <c r="S173" i="3"/>
  <c r="S175" i="3"/>
  <c r="S177" i="3"/>
  <c r="S179" i="3"/>
  <c r="S181" i="3"/>
  <c r="S183" i="3"/>
  <c r="S185" i="3"/>
  <c r="S187" i="3"/>
  <c r="S189" i="3"/>
  <c r="S191" i="3"/>
  <c r="S193" i="3"/>
  <c r="S197" i="3"/>
  <c r="S199" i="3"/>
  <c r="S201" i="3"/>
  <c r="S203" i="3"/>
  <c r="S205" i="3"/>
  <c r="S207" i="3"/>
  <c r="S209" i="3"/>
  <c r="S211" i="3"/>
  <c r="S213" i="3"/>
  <c r="S215" i="3"/>
  <c r="S217" i="3"/>
  <c r="S219" i="3"/>
  <c r="S221" i="3"/>
  <c r="S223" i="3"/>
  <c r="S225" i="3"/>
  <c r="S227" i="3"/>
  <c r="S229" i="3"/>
  <c r="S231" i="3"/>
  <c r="S233" i="3"/>
  <c r="S235" i="3"/>
  <c r="S133" i="3"/>
  <c r="U133" i="3"/>
  <c r="U137" i="3"/>
  <c r="U139" i="3"/>
  <c r="U141" i="3"/>
  <c r="U143" i="3"/>
  <c r="U145" i="3"/>
  <c r="U147" i="3"/>
  <c r="U149" i="3"/>
  <c r="U151" i="3"/>
  <c r="U153" i="3"/>
  <c r="U155" i="3"/>
  <c r="U157" i="3"/>
  <c r="U159" i="3"/>
  <c r="U161" i="3"/>
  <c r="U163" i="3"/>
  <c r="U165" i="3"/>
  <c r="U167" i="3"/>
  <c r="U169" i="3"/>
  <c r="U171" i="3"/>
  <c r="U173" i="3"/>
  <c r="U175" i="3"/>
  <c r="U177" i="3"/>
  <c r="U179" i="3"/>
  <c r="U181" i="3"/>
  <c r="U183" i="3"/>
  <c r="U185" i="3"/>
  <c r="U187" i="3"/>
  <c r="U189" i="3"/>
  <c r="U191" i="3"/>
  <c r="U193" i="3"/>
  <c r="U197" i="3"/>
  <c r="U199" i="3"/>
  <c r="U201" i="3"/>
  <c r="U203" i="3"/>
  <c r="U205" i="3"/>
  <c r="U207" i="3"/>
  <c r="U209" i="3"/>
  <c r="U211" i="3"/>
  <c r="U213" i="3"/>
  <c r="U215" i="3"/>
  <c r="U217" i="3"/>
  <c r="U219" i="3"/>
  <c r="U221" i="3"/>
  <c r="U223" i="3"/>
  <c r="U225" i="3"/>
  <c r="U227" i="3"/>
  <c r="U229" i="3"/>
  <c r="U231" i="3"/>
  <c r="U233" i="3"/>
  <c r="U235" i="3"/>
  <c r="Q137" i="3"/>
  <c r="Q139" i="3"/>
  <c r="Q141" i="3"/>
  <c r="Q143" i="3"/>
  <c r="Q145" i="3"/>
  <c r="Q147" i="3"/>
  <c r="Q149" i="3"/>
  <c r="Q151" i="3"/>
  <c r="Q153" i="3"/>
  <c r="Q155" i="3"/>
  <c r="Q157" i="3"/>
  <c r="Q159" i="3"/>
  <c r="Q161" i="3"/>
  <c r="Q163" i="3"/>
  <c r="Q165" i="3"/>
  <c r="Q167" i="3"/>
  <c r="Q169" i="3"/>
  <c r="Q171" i="3"/>
  <c r="Q173" i="3"/>
  <c r="Q175" i="3"/>
  <c r="Q177" i="3"/>
  <c r="Q179" i="3"/>
  <c r="Q181" i="3"/>
  <c r="Q183" i="3"/>
  <c r="Q185" i="3"/>
  <c r="Q187" i="3"/>
  <c r="Q189" i="3"/>
  <c r="Q191" i="3"/>
  <c r="Q193" i="3"/>
  <c r="Q197" i="3"/>
  <c r="Q199" i="3"/>
  <c r="Q201" i="3"/>
  <c r="Q203" i="3"/>
  <c r="Q205" i="3"/>
  <c r="Q207" i="3"/>
  <c r="Q209" i="3"/>
  <c r="Q211" i="3"/>
  <c r="Q213" i="3"/>
  <c r="Q215" i="3"/>
  <c r="Q217" i="3"/>
  <c r="Q219" i="3"/>
  <c r="Q221" i="3"/>
  <c r="Q223" i="3"/>
  <c r="Q225" i="3"/>
  <c r="Q227" i="3"/>
  <c r="Q229" i="3"/>
  <c r="Q231" i="3"/>
  <c r="Q233" i="3"/>
  <c r="Q235" i="3"/>
  <c r="S119" i="3"/>
  <c r="S117" i="3"/>
  <c r="U119" i="3"/>
  <c r="U117" i="3"/>
  <c r="Q129" i="3"/>
  <c r="Q127" i="3"/>
  <c r="Q125" i="3"/>
  <c r="Q119" i="3"/>
  <c r="Q117" i="3"/>
  <c r="U69" i="3"/>
  <c r="U71" i="3"/>
  <c r="U73" i="3"/>
  <c r="R67" i="9"/>
  <c r="R69" i="9"/>
  <c r="R71" i="9"/>
  <c r="R73" i="9"/>
  <c r="R77" i="9"/>
  <c r="R79" i="9"/>
  <c r="R81" i="9"/>
  <c r="R83" i="9"/>
  <c r="R85" i="9"/>
  <c r="R87" i="9"/>
  <c r="R89" i="9"/>
  <c r="R91" i="9"/>
  <c r="R93" i="9"/>
  <c r="R95" i="9"/>
  <c r="R97" i="9"/>
  <c r="R99" i="9"/>
  <c r="R101" i="9"/>
  <c r="R103" i="9"/>
  <c r="R105" i="9"/>
  <c r="R107" i="9"/>
  <c r="R109" i="9"/>
  <c r="R111" i="9"/>
  <c r="R83" i="7"/>
  <c r="R85" i="7"/>
  <c r="R87" i="7"/>
  <c r="R89" i="7"/>
  <c r="R91" i="7"/>
  <c r="R93" i="7"/>
  <c r="R95" i="7"/>
  <c r="R97" i="7"/>
  <c r="R99" i="7"/>
  <c r="R101" i="7"/>
  <c r="R103" i="7"/>
  <c r="R105" i="7"/>
  <c r="R107" i="7"/>
  <c r="R109" i="7"/>
  <c r="R111" i="7"/>
  <c r="R67" i="7"/>
  <c r="R69" i="7"/>
  <c r="R71" i="7"/>
  <c r="R73" i="7"/>
  <c r="R77" i="7"/>
  <c r="R79" i="7"/>
  <c r="R81" i="7"/>
  <c r="R69" i="4"/>
  <c r="R71" i="4"/>
  <c r="R73" i="4"/>
  <c r="R77" i="4"/>
  <c r="R79" i="4"/>
  <c r="R81" i="4"/>
  <c r="R83" i="4"/>
  <c r="R85" i="4"/>
  <c r="R87" i="4"/>
  <c r="R89" i="4"/>
  <c r="R91" i="4"/>
  <c r="R93" i="4"/>
  <c r="R95" i="4"/>
  <c r="R97" i="4"/>
  <c r="R99" i="4"/>
  <c r="R101" i="4"/>
  <c r="R103" i="4"/>
  <c r="R105" i="4"/>
  <c r="R107" i="4"/>
  <c r="R109" i="4"/>
  <c r="R111" i="4"/>
  <c r="R67" i="4"/>
  <c r="U13" i="3"/>
  <c r="U15" i="3"/>
  <c r="U17" i="3"/>
  <c r="U19" i="3"/>
  <c r="U21" i="3"/>
  <c r="U23" i="3"/>
  <c r="U25" i="3"/>
  <c r="U27" i="3"/>
  <c r="U29" i="3"/>
  <c r="U31" i="3"/>
  <c r="U33" i="3"/>
  <c r="U35" i="3"/>
  <c r="U37" i="3"/>
  <c r="U39" i="3"/>
  <c r="U41" i="3"/>
  <c r="U43" i="3"/>
  <c r="U45" i="3"/>
  <c r="U47" i="3"/>
  <c r="U49" i="3"/>
  <c r="U51" i="3"/>
  <c r="U53" i="3"/>
  <c r="U55" i="3"/>
  <c r="U57" i="3"/>
  <c r="U59" i="3"/>
  <c r="U61" i="3"/>
  <c r="U63" i="3"/>
  <c r="U65" i="3"/>
  <c r="U67" i="3"/>
  <c r="U77" i="3"/>
  <c r="U79" i="3"/>
  <c r="U81" i="3"/>
  <c r="U83" i="3"/>
  <c r="U85" i="3"/>
  <c r="U87" i="3"/>
  <c r="U89" i="3"/>
  <c r="U91" i="3"/>
  <c r="U93" i="3"/>
  <c r="U95" i="3"/>
  <c r="U97" i="3"/>
  <c r="U99" i="3"/>
  <c r="U101" i="3"/>
  <c r="U103" i="3"/>
  <c r="U105" i="3"/>
  <c r="U107" i="3"/>
  <c r="U109" i="3"/>
  <c r="U111" i="3"/>
  <c r="U113" i="3"/>
  <c r="U115" i="3"/>
  <c r="U121" i="3"/>
  <c r="U123" i="3"/>
  <c r="U125" i="3"/>
  <c r="U127" i="3"/>
  <c r="U129" i="3"/>
  <c r="U131" i="3"/>
  <c r="S13" i="3"/>
  <c r="S15" i="3"/>
  <c r="S17" i="3"/>
  <c r="S19" i="3"/>
  <c r="S21" i="3"/>
  <c r="S23" i="3"/>
  <c r="S25" i="3"/>
  <c r="S27" i="3"/>
  <c r="S29" i="3"/>
  <c r="S31" i="3"/>
  <c r="S33" i="3"/>
  <c r="S35" i="3"/>
  <c r="S37" i="3"/>
  <c r="S39" i="3"/>
  <c r="S41" i="3"/>
  <c r="S43" i="3"/>
  <c r="S45" i="3"/>
  <c r="S47" i="3"/>
  <c r="S49" i="3"/>
  <c r="S51" i="3"/>
  <c r="S53" i="3"/>
  <c r="S55" i="3"/>
  <c r="S57" i="3"/>
  <c r="S59" i="3"/>
  <c r="S61" i="3"/>
  <c r="S63" i="3"/>
  <c r="S65" i="3"/>
  <c r="S67" i="3"/>
  <c r="S69" i="3"/>
  <c r="S71" i="3"/>
  <c r="S73" i="3"/>
  <c r="S77" i="3"/>
  <c r="S79" i="3"/>
  <c r="S81" i="3"/>
  <c r="S83" i="3"/>
  <c r="S85" i="3"/>
  <c r="S87" i="3"/>
  <c r="S89" i="3"/>
  <c r="S91" i="3"/>
  <c r="S93" i="3"/>
  <c r="S95" i="3"/>
  <c r="S97" i="3"/>
  <c r="S99" i="3"/>
  <c r="S101" i="3"/>
  <c r="S103" i="3"/>
  <c r="S105" i="3"/>
  <c r="S107" i="3"/>
  <c r="S109" i="3"/>
  <c r="S111" i="3"/>
  <c r="S113" i="3"/>
  <c r="S115" i="3"/>
  <c r="S121" i="3"/>
  <c r="S123" i="3"/>
  <c r="S125" i="3"/>
  <c r="S127" i="3"/>
  <c r="S129" i="3"/>
  <c r="S131" i="3"/>
  <c r="U11" i="3"/>
  <c r="S11" i="3"/>
  <c r="Q13" i="3"/>
  <c r="Q15" i="3"/>
  <c r="Q17" i="3"/>
  <c r="Q19" i="3"/>
  <c r="Q21" i="3"/>
  <c r="Q23" i="3"/>
  <c r="Q25" i="3"/>
  <c r="Q27" i="3"/>
  <c r="Q29" i="3"/>
  <c r="Q31" i="3"/>
  <c r="Q33" i="3"/>
  <c r="Q35" i="3"/>
  <c r="Q37" i="3"/>
  <c r="Q39" i="3"/>
  <c r="Q41" i="3"/>
  <c r="Q43" i="3"/>
  <c r="Q45" i="3"/>
  <c r="Q47" i="3"/>
  <c r="Q49" i="3"/>
  <c r="Q51" i="3"/>
  <c r="Q53" i="3"/>
  <c r="Q55" i="3"/>
  <c r="Q57" i="3"/>
  <c r="Q59" i="3"/>
  <c r="Q61" i="3"/>
  <c r="Q63" i="3"/>
  <c r="Q65" i="3"/>
  <c r="Q67" i="3"/>
  <c r="Q69" i="3"/>
  <c r="Q71" i="3"/>
  <c r="Q73" i="3"/>
  <c r="Q77" i="3"/>
  <c r="Q79" i="3"/>
  <c r="Q81" i="3"/>
  <c r="Q83" i="3"/>
  <c r="Q85" i="3"/>
  <c r="Q87" i="3"/>
  <c r="Q89" i="3"/>
  <c r="Q91" i="3"/>
  <c r="Q93" i="3"/>
  <c r="Q95" i="3"/>
  <c r="Q97" i="3"/>
  <c r="Q99" i="3"/>
  <c r="Q101" i="3"/>
  <c r="Q103" i="3"/>
  <c r="Q105" i="3"/>
  <c r="Q107" i="3"/>
  <c r="Q109" i="3"/>
  <c r="Q111" i="3"/>
  <c r="Q113" i="3"/>
  <c r="Q115" i="3"/>
  <c r="Q121" i="3"/>
  <c r="Q123" i="3"/>
  <c r="Q131" i="3"/>
  <c r="Q133" i="3"/>
  <c r="Q11" i="3"/>
  <c r="O10" i="9"/>
  <c r="N10" i="9"/>
  <c r="M10" i="9"/>
  <c r="L10" i="9"/>
  <c r="K10" i="9"/>
  <c r="J10" i="9"/>
  <c r="I10" i="9"/>
  <c r="H10" i="9"/>
  <c r="G10" i="9"/>
  <c r="F10" i="9"/>
  <c r="E10" i="9"/>
  <c r="D10" i="9"/>
  <c r="B11" i="9"/>
  <c r="O10" i="7"/>
  <c r="N10" i="7"/>
  <c r="M10" i="7"/>
  <c r="L10" i="7"/>
  <c r="K10" i="7"/>
  <c r="J10" i="7"/>
  <c r="I10" i="7"/>
  <c r="H10" i="7"/>
  <c r="G10" i="7"/>
  <c r="F10" i="7"/>
  <c r="E10" i="7"/>
  <c r="D10" i="7"/>
  <c r="B11" i="7"/>
  <c r="O75" i="4"/>
  <c r="B11" i="4"/>
  <c r="C195" i="3"/>
  <c r="D195" i="3"/>
  <c r="E195" i="3"/>
  <c r="E195" i="28" s="1"/>
  <c r="F195" i="3"/>
  <c r="F195" i="28" s="1"/>
  <c r="G195" i="3"/>
  <c r="H195" i="3"/>
  <c r="I195" i="3"/>
  <c r="J195" i="3"/>
  <c r="K195" i="3"/>
  <c r="L195" i="3"/>
  <c r="M195" i="3"/>
  <c r="M195" i="28" s="1"/>
  <c r="N195" i="3"/>
  <c r="N195" i="7" s="1"/>
  <c r="O195" i="3"/>
  <c r="O195" i="9" s="1"/>
  <c r="C157" i="3"/>
  <c r="D157" i="3"/>
  <c r="D157" i="28" s="1"/>
  <c r="E157" i="3"/>
  <c r="E157" i="28" s="1"/>
  <c r="F157" i="3"/>
  <c r="F157" i="28" s="1"/>
  <c r="G157" i="3"/>
  <c r="H157" i="3"/>
  <c r="H157" i="28" s="1"/>
  <c r="I157" i="3"/>
  <c r="I157" i="28" s="1"/>
  <c r="J157" i="3"/>
  <c r="K157" i="3"/>
  <c r="L157" i="3"/>
  <c r="M157" i="3"/>
  <c r="M157" i="28" s="1"/>
  <c r="N157" i="3"/>
  <c r="N157" i="4" s="1"/>
  <c r="O157" i="3"/>
  <c r="O158" i="3" s="1"/>
  <c r="C79" i="3"/>
  <c r="C79" i="28" s="1"/>
  <c r="D79" i="3"/>
  <c r="D79" i="28" s="1"/>
  <c r="E79" i="3"/>
  <c r="E79" i="28" s="1"/>
  <c r="F79" i="3"/>
  <c r="F79" i="28" s="1"/>
  <c r="G79" i="3"/>
  <c r="H79" i="3"/>
  <c r="I79" i="3"/>
  <c r="I79" i="28" s="1"/>
  <c r="J79" i="3"/>
  <c r="K79" i="3"/>
  <c r="L79" i="3"/>
  <c r="L79" i="28" s="1"/>
  <c r="M79" i="3"/>
  <c r="M79" i="28" s="1"/>
  <c r="N79" i="3"/>
  <c r="O79" i="3"/>
  <c r="C227" i="3"/>
  <c r="C227" i="28" s="1"/>
  <c r="D227" i="3"/>
  <c r="D227" i="28" s="1"/>
  <c r="E227" i="3"/>
  <c r="E227" i="28" s="1"/>
  <c r="F227" i="3"/>
  <c r="F227" i="28" s="1"/>
  <c r="G227" i="3"/>
  <c r="H227" i="3"/>
  <c r="I227" i="3"/>
  <c r="I227" i="28" s="1"/>
  <c r="J227" i="3"/>
  <c r="J227" i="28" s="1"/>
  <c r="K227" i="3"/>
  <c r="K227" i="28" s="1"/>
  <c r="L227" i="3"/>
  <c r="L227" i="28" s="1"/>
  <c r="M227" i="3"/>
  <c r="M227" i="28" s="1"/>
  <c r="N227" i="3"/>
  <c r="N227" i="4" s="1"/>
  <c r="O227" i="3"/>
  <c r="O227" i="7" s="1"/>
  <c r="C229" i="3"/>
  <c r="D229" i="3"/>
  <c r="E229" i="3"/>
  <c r="F229" i="3"/>
  <c r="G229" i="3"/>
  <c r="G229" i="28" s="1"/>
  <c r="H229" i="3"/>
  <c r="H229" i="28" s="1"/>
  <c r="I229" i="3"/>
  <c r="J229" i="3"/>
  <c r="J229" i="28" s="1"/>
  <c r="K229" i="3"/>
  <c r="K229" i="28" s="1"/>
  <c r="L229" i="3"/>
  <c r="L229" i="28" s="1"/>
  <c r="M229" i="3"/>
  <c r="M229" i="28" s="1"/>
  <c r="N229" i="3"/>
  <c r="O229" i="3"/>
  <c r="C231" i="3"/>
  <c r="C231" i="28" s="1"/>
  <c r="D231" i="3"/>
  <c r="E231" i="3"/>
  <c r="F231" i="3"/>
  <c r="G231" i="3"/>
  <c r="H231" i="3"/>
  <c r="I231" i="3"/>
  <c r="I231" i="28" s="1"/>
  <c r="J231" i="3"/>
  <c r="J231" i="28" s="1"/>
  <c r="K231" i="3"/>
  <c r="K231" i="28" s="1"/>
  <c r="L231" i="3"/>
  <c r="L231" i="28" s="1"/>
  <c r="M231" i="3"/>
  <c r="M231" i="28" s="1"/>
  <c r="N231" i="3"/>
  <c r="O231" i="3"/>
  <c r="O231" i="7" s="1"/>
  <c r="C233" i="3"/>
  <c r="D233" i="3"/>
  <c r="E233" i="3"/>
  <c r="E233" i="28" s="1"/>
  <c r="F233" i="3"/>
  <c r="F233" i="28" s="1"/>
  <c r="G233" i="3"/>
  <c r="G233" i="28" s="1"/>
  <c r="H233" i="3"/>
  <c r="H233" i="28" s="1"/>
  <c r="I233" i="3"/>
  <c r="J233" i="3"/>
  <c r="K233" i="3"/>
  <c r="L233" i="3"/>
  <c r="L233" i="28" s="1"/>
  <c r="M233" i="3"/>
  <c r="M233" i="28" s="1"/>
  <c r="N233" i="3"/>
  <c r="O233" i="3"/>
  <c r="C235" i="3"/>
  <c r="D235" i="3"/>
  <c r="E235" i="3"/>
  <c r="E235" i="28" s="1"/>
  <c r="F235" i="3"/>
  <c r="F235" i="28" s="1"/>
  <c r="G235" i="3"/>
  <c r="H235" i="3"/>
  <c r="I235" i="3"/>
  <c r="I235" i="28" s="1"/>
  <c r="J235" i="3"/>
  <c r="K235" i="3"/>
  <c r="L235" i="3"/>
  <c r="M235" i="3"/>
  <c r="N235" i="3"/>
  <c r="O235" i="3"/>
  <c r="C237" i="3"/>
  <c r="D237" i="3"/>
  <c r="D237" i="28" s="1"/>
  <c r="E237" i="3"/>
  <c r="E237" i="28" s="1"/>
  <c r="F237" i="3"/>
  <c r="G237" i="3"/>
  <c r="G237" i="28" s="1"/>
  <c r="H237" i="3"/>
  <c r="H237" i="28" s="1"/>
  <c r="I237" i="3"/>
  <c r="I237" i="28" s="1"/>
  <c r="J237" i="3"/>
  <c r="K237" i="3"/>
  <c r="L237" i="3"/>
  <c r="M237" i="3"/>
  <c r="N237" i="3"/>
  <c r="N237" i="4" s="1"/>
  <c r="O237" i="3"/>
  <c r="O237" i="4" s="1"/>
  <c r="C239" i="3"/>
  <c r="D239" i="3"/>
  <c r="E239" i="3"/>
  <c r="F239" i="3"/>
  <c r="F239" i="28" s="1"/>
  <c r="G239" i="3"/>
  <c r="G239" i="28" s="1"/>
  <c r="H239" i="3"/>
  <c r="H239" i="28" s="1"/>
  <c r="I239" i="3"/>
  <c r="I239" i="28" s="1"/>
  <c r="J239" i="3"/>
  <c r="J239" i="28" s="1"/>
  <c r="K239" i="3"/>
  <c r="K239" i="28" s="1"/>
  <c r="L239" i="3"/>
  <c r="M239" i="3"/>
  <c r="N239" i="3"/>
  <c r="N239" i="4" s="1"/>
  <c r="O239" i="3"/>
  <c r="C207" i="3"/>
  <c r="D207" i="3"/>
  <c r="E207" i="3"/>
  <c r="F207" i="3"/>
  <c r="F207" i="28" s="1"/>
  <c r="G207" i="3"/>
  <c r="G207" i="28" s="1"/>
  <c r="H207" i="3"/>
  <c r="H207" i="28" s="1"/>
  <c r="I207" i="3"/>
  <c r="I207" i="28" s="1"/>
  <c r="J207" i="3"/>
  <c r="J207" i="28" s="1"/>
  <c r="K207" i="3"/>
  <c r="K207" i="28" s="1"/>
  <c r="L207" i="3"/>
  <c r="M207" i="3"/>
  <c r="N207" i="3"/>
  <c r="N207" i="4" s="1"/>
  <c r="O207" i="3"/>
  <c r="C209" i="3"/>
  <c r="D209" i="3"/>
  <c r="E209" i="3"/>
  <c r="F209" i="3"/>
  <c r="G209" i="3"/>
  <c r="H209" i="3"/>
  <c r="I209" i="3"/>
  <c r="J209" i="3"/>
  <c r="K209" i="3"/>
  <c r="L209" i="3"/>
  <c r="M209" i="3"/>
  <c r="M209" i="28" s="1"/>
  <c r="N209" i="3"/>
  <c r="O209" i="3"/>
  <c r="C211" i="3"/>
  <c r="D211" i="3"/>
  <c r="D211" i="28" s="1"/>
  <c r="E211" i="3"/>
  <c r="E211" i="28" s="1"/>
  <c r="F211" i="3"/>
  <c r="G211" i="3"/>
  <c r="G211" i="28" s="1"/>
  <c r="H211" i="3"/>
  <c r="H211" i="28" s="1"/>
  <c r="I211" i="3"/>
  <c r="J211" i="3"/>
  <c r="K211" i="3"/>
  <c r="K211" i="28" s="1"/>
  <c r="L211" i="3"/>
  <c r="L211" i="28" s="1"/>
  <c r="M211" i="3"/>
  <c r="M211" i="28" s="1"/>
  <c r="N211" i="3"/>
  <c r="O211" i="3"/>
  <c r="C213" i="3"/>
  <c r="C213" i="28" s="1"/>
  <c r="D213" i="3"/>
  <c r="D213" i="28" s="1"/>
  <c r="E213" i="3"/>
  <c r="F213" i="3"/>
  <c r="F213" i="28" s="1"/>
  <c r="G213" i="3"/>
  <c r="G213" i="28" s="1"/>
  <c r="H213" i="3"/>
  <c r="H213" i="28" s="1"/>
  <c r="I213" i="3"/>
  <c r="I213" i="28" s="1"/>
  <c r="J213" i="3"/>
  <c r="J213" i="28" s="1"/>
  <c r="K213" i="3"/>
  <c r="L213" i="3"/>
  <c r="M213" i="3"/>
  <c r="N213" i="3"/>
  <c r="N213" i="4" s="1"/>
  <c r="O213" i="3"/>
  <c r="O213" i="7" s="1"/>
  <c r="C215" i="3"/>
  <c r="C215" i="28" s="1"/>
  <c r="D215" i="3"/>
  <c r="E215" i="3"/>
  <c r="E215" i="28" s="1"/>
  <c r="F215" i="3"/>
  <c r="F215" i="28" s="1"/>
  <c r="G215" i="3"/>
  <c r="G215" i="28" s="1"/>
  <c r="H215" i="3"/>
  <c r="H215" i="28" s="1"/>
  <c r="I215" i="3"/>
  <c r="I215" i="28" s="1"/>
  <c r="J215" i="3"/>
  <c r="J215" i="28" s="1"/>
  <c r="K215" i="3"/>
  <c r="K215" i="28" s="1"/>
  <c r="L215" i="3"/>
  <c r="M215" i="3"/>
  <c r="N215" i="3"/>
  <c r="N215" i="4" s="1"/>
  <c r="O215" i="3"/>
  <c r="O215" i="9" s="1"/>
  <c r="C217" i="3"/>
  <c r="D217" i="3"/>
  <c r="E217" i="3"/>
  <c r="E217" i="28" s="1"/>
  <c r="F217" i="3"/>
  <c r="G217" i="3"/>
  <c r="G217" i="28" s="1"/>
  <c r="H217" i="3"/>
  <c r="H217" i="28" s="1"/>
  <c r="I217" i="3"/>
  <c r="I217" i="28" s="1"/>
  <c r="J217" i="3"/>
  <c r="J217" i="28" s="1"/>
  <c r="K217" i="3"/>
  <c r="K217" i="28" s="1"/>
  <c r="L217" i="3"/>
  <c r="L217" i="28" s="1"/>
  <c r="M217" i="3"/>
  <c r="M217" i="28" s="1"/>
  <c r="N217" i="3"/>
  <c r="O217" i="3"/>
  <c r="C219" i="3"/>
  <c r="D219" i="3"/>
  <c r="E219" i="3"/>
  <c r="F219" i="3"/>
  <c r="G219" i="3"/>
  <c r="H219" i="3"/>
  <c r="I219" i="3"/>
  <c r="I219" i="28" s="1"/>
  <c r="J219" i="3"/>
  <c r="K219" i="3"/>
  <c r="K219" i="28" s="1"/>
  <c r="L219" i="3"/>
  <c r="L219" i="28" s="1"/>
  <c r="M219" i="3"/>
  <c r="M219" i="28" s="1"/>
  <c r="N219" i="3"/>
  <c r="N219" i="4" s="1"/>
  <c r="O219" i="3"/>
  <c r="O219" i="4" s="1"/>
  <c r="C221" i="3"/>
  <c r="C221" i="28" s="1"/>
  <c r="D221" i="3"/>
  <c r="D221" i="28" s="1"/>
  <c r="E221" i="3"/>
  <c r="E221" i="28" s="1"/>
  <c r="F221" i="3"/>
  <c r="F221" i="28" s="1"/>
  <c r="G221" i="3"/>
  <c r="G221" i="28" s="1"/>
  <c r="H221" i="3"/>
  <c r="I221" i="3"/>
  <c r="J221" i="3"/>
  <c r="K221" i="3"/>
  <c r="L221" i="3"/>
  <c r="M221" i="3"/>
  <c r="M221" i="28" s="1"/>
  <c r="N221" i="3"/>
  <c r="N221" i="4" s="1"/>
  <c r="O221" i="3"/>
  <c r="C223" i="3"/>
  <c r="C223" i="28" s="1"/>
  <c r="D223" i="3"/>
  <c r="E223" i="3"/>
  <c r="F223" i="3"/>
  <c r="G223" i="3"/>
  <c r="G223" i="28" s="1"/>
  <c r="H223" i="3"/>
  <c r="H223" i="28" s="1"/>
  <c r="I223" i="3"/>
  <c r="J223" i="3"/>
  <c r="J223" i="28" s="1"/>
  <c r="K223" i="3"/>
  <c r="L223" i="3"/>
  <c r="M223" i="3"/>
  <c r="N223" i="3"/>
  <c r="N223" i="7" s="1"/>
  <c r="O223" i="3"/>
  <c r="O223" i="7" s="1"/>
  <c r="C225" i="3"/>
  <c r="D225" i="3"/>
  <c r="E225" i="3"/>
  <c r="F225" i="3"/>
  <c r="F225" i="28" s="1"/>
  <c r="G225" i="3"/>
  <c r="G225" i="28" s="1"/>
  <c r="H225" i="3"/>
  <c r="I225" i="3"/>
  <c r="I225" i="28" s="1"/>
  <c r="J225" i="3"/>
  <c r="J225" i="28" s="1"/>
  <c r="K225" i="3"/>
  <c r="K225" i="28" s="1"/>
  <c r="L225" i="3"/>
  <c r="M225" i="3"/>
  <c r="N225" i="3"/>
  <c r="N226" i="3" s="1"/>
  <c r="O225" i="3"/>
  <c r="O225" i="4" s="1"/>
  <c r="C177" i="3"/>
  <c r="D177" i="3"/>
  <c r="E177" i="3"/>
  <c r="F177" i="3"/>
  <c r="G177" i="3"/>
  <c r="G177" i="28" s="1"/>
  <c r="H177" i="3"/>
  <c r="I177" i="3"/>
  <c r="I177" i="28" s="1"/>
  <c r="J177" i="3"/>
  <c r="K177" i="3"/>
  <c r="L177" i="3"/>
  <c r="M177" i="3"/>
  <c r="M177" i="28" s="1"/>
  <c r="N177" i="3"/>
  <c r="O177" i="3"/>
  <c r="C179" i="3"/>
  <c r="C179" i="28" s="1"/>
  <c r="D179" i="3"/>
  <c r="E179" i="3"/>
  <c r="F179" i="3"/>
  <c r="G179" i="3"/>
  <c r="H179" i="3"/>
  <c r="I179" i="3"/>
  <c r="J179" i="3"/>
  <c r="J179" i="28" s="1"/>
  <c r="K179" i="3"/>
  <c r="K179" i="28" s="1"/>
  <c r="L179" i="3"/>
  <c r="L179" i="28" s="1"/>
  <c r="M179" i="3"/>
  <c r="N179" i="3"/>
  <c r="N180" i="3" s="1"/>
  <c r="N180" i="7" s="1"/>
  <c r="O179" i="3"/>
  <c r="O180" i="3" s="1"/>
  <c r="C181" i="3"/>
  <c r="D181" i="3"/>
  <c r="E181" i="3"/>
  <c r="E181" i="28" s="1"/>
  <c r="F181" i="3"/>
  <c r="G181" i="3"/>
  <c r="H181" i="3"/>
  <c r="I181" i="3"/>
  <c r="J181" i="3"/>
  <c r="J181" i="28" s="1"/>
  <c r="K181" i="3"/>
  <c r="K181" i="28" s="1"/>
  <c r="L181" i="3"/>
  <c r="L181" i="28" s="1"/>
  <c r="M181" i="3"/>
  <c r="M181" i="28" s="1"/>
  <c r="N181" i="3"/>
  <c r="O181" i="3"/>
  <c r="C183" i="3"/>
  <c r="C183" i="28" s="1"/>
  <c r="D183" i="3"/>
  <c r="D183" i="28" s="1"/>
  <c r="E183" i="3"/>
  <c r="E183" i="28" s="1"/>
  <c r="F183" i="3"/>
  <c r="F183" i="28" s="1"/>
  <c r="G183" i="3"/>
  <c r="G183" i="28" s="1"/>
  <c r="H183" i="3"/>
  <c r="H183" i="28" s="1"/>
  <c r="I183" i="3"/>
  <c r="I183" i="28" s="1"/>
  <c r="J183" i="3"/>
  <c r="K183" i="3"/>
  <c r="L183" i="3"/>
  <c r="M183" i="3"/>
  <c r="N183" i="3"/>
  <c r="N183" i="4" s="1"/>
  <c r="O183" i="3"/>
  <c r="C185" i="3"/>
  <c r="C185" i="28" s="1"/>
  <c r="D185" i="3"/>
  <c r="E185" i="3"/>
  <c r="E185" i="28" s="1"/>
  <c r="F185" i="3"/>
  <c r="F185" i="28" s="1"/>
  <c r="G185" i="3"/>
  <c r="H185" i="3"/>
  <c r="I185" i="3"/>
  <c r="J185" i="3"/>
  <c r="J185" i="28" s="1"/>
  <c r="K185" i="3"/>
  <c r="K185" i="28" s="1"/>
  <c r="L185" i="3"/>
  <c r="L185" i="28" s="1"/>
  <c r="M185" i="3"/>
  <c r="N185" i="3"/>
  <c r="N185" i="9" s="1"/>
  <c r="O185" i="3"/>
  <c r="C187" i="3"/>
  <c r="C187" i="28" s="1"/>
  <c r="D187" i="3"/>
  <c r="D187" i="28" s="1"/>
  <c r="E187" i="3"/>
  <c r="E187" i="28" s="1"/>
  <c r="F187" i="3"/>
  <c r="F187" i="28" s="1"/>
  <c r="G187" i="3"/>
  <c r="G187" i="28" s="1"/>
  <c r="H187" i="3"/>
  <c r="H187" i="28" s="1"/>
  <c r="I187" i="3"/>
  <c r="I187" i="28" s="1"/>
  <c r="J187" i="3"/>
  <c r="J187" i="28" s="1"/>
  <c r="K187" i="3"/>
  <c r="L187" i="3"/>
  <c r="M187" i="3"/>
  <c r="M187" i="28" s="1"/>
  <c r="N187" i="3"/>
  <c r="O187" i="3"/>
  <c r="O188" i="3" s="1"/>
  <c r="C189" i="3"/>
  <c r="D189" i="3"/>
  <c r="E189" i="3"/>
  <c r="E189" i="28" s="1"/>
  <c r="F189" i="3"/>
  <c r="F189" i="28" s="1"/>
  <c r="G189" i="3"/>
  <c r="G189" i="28" s="1"/>
  <c r="H189" i="3"/>
  <c r="H189" i="28" s="1"/>
  <c r="I189" i="3"/>
  <c r="I189" i="28" s="1"/>
  <c r="J189" i="3"/>
  <c r="J189" i="28" s="1"/>
  <c r="K189" i="3"/>
  <c r="L189" i="3"/>
  <c r="M189" i="3"/>
  <c r="N189" i="3"/>
  <c r="O189" i="3"/>
  <c r="C191" i="3"/>
  <c r="D191" i="3"/>
  <c r="D191" i="28" s="1"/>
  <c r="E191" i="3"/>
  <c r="E191" i="28" s="1"/>
  <c r="F191" i="3"/>
  <c r="G191" i="3"/>
  <c r="H191" i="3"/>
  <c r="H191" i="28" s="1"/>
  <c r="I191" i="3"/>
  <c r="I191" i="28" s="1"/>
  <c r="J191" i="3"/>
  <c r="J191" i="28" s="1"/>
  <c r="K191" i="3"/>
  <c r="K191" i="28" s="1"/>
  <c r="L191" i="3"/>
  <c r="L191" i="28" s="1"/>
  <c r="M191" i="3"/>
  <c r="M191" i="28" s="1"/>
  <c r="N191" i="3"/>
  <c r="N191" i="7" s="1"/>
  <c r="O191" i="3"/>
  <c r="O191" i="7" s="1"/>
  <c r="C193" i="3"/>
  <c r="D193" i="3"/>
  <c r="E193" i="3"/>
  <c r="F193" i="3"/>
  <c r="G193" i="3"/>
  <c r="H193" i="3"/>
  <c r="I193" i="3"/>
  <c r="J193" i="3"/>
  <c r="K193" i="3"/>
  <c r="L193" i="3"/>
  <c r="L193" i="28" s="1"/>
  <c r="M193" i="3"/>
  <c r="M193" i="28" s="1"/>
  <c r="N193" i="3"/>
  <c r="O193" i="3"/>
  <c r="C197" i="3"/>
  <c r="C197" i="28" s="1"/>
  <c r="D197" i="3"/>
  <c r="D197" i="28" s="1"/>
  <c r="E197" i="3"/>
  <c r="E197" i="28" s="1"/>
  <c r="F197" i="3"/>
  <c r="F197" i="28" s="1"/>
  <c r="G197" i="3"/>
  <c r="G197" i="28" s="1"/>
  <c r="H197" i="3"/>
  <c r="H197" i="28" s="1"/>
  <c r="I197" i="3"/>
  <c r="J197" i="3"/>
  <c r="K197" i="3"/>
  <c r="L197" i="3"/>
  <c r="M197" i="3"/>
  <c r="N197" i="3"/>
  <c r="O197" i="3"/>
  <c r="C199" i="3"/>
  <c r="C199" i="28" s="1"/>
  <c r="D199" i="3"/>
  <c r="E199" i="3"/>
  <c r="E199" i="28" s="1"/>
  <c r="F199" i="3"/>
  <c r="G199" i="3"/>
  <c r="G199" i="28" s="1"/>
  <c r="H199" i="3"/>
  <c r="I199" i="3"/>
  <c r="J199" i="3"/>
  <c r="J199" i="28" s="1"/>
  <c r="K199" i="3"/>
  <c r="K199" i="28" s="1"/>
  <c r="L199" i="3"/>
  <c r="M199" i="3"/>
  <c r="M199" i="28" s="1"/>
  <c r="N199" i="3"/>
  <c r="O199" i="3"/>
  <c r="O199" i="4" s="1"/>
  <c r="C201" i="3"/>
  <c r="D201" i="3"/>
  <c r="E201" i="3"/>
  <c r="E201" i="28" s="1"/>
  <c r="F201" i="3"/>
  <c r="F201" i="28" s="1"/>
  <c r="G201" i="3"/>
  <c r="G201" i="28" s="1"/>
  <c r="H201" i="3"/>
  <c r="H201" i="28" s="1"/>
  <c r="I201" i="3"/>
  <c r="J201" i="3"/>
  <c r="K201" i="3"/>
  <c r="L201" i="3"/>
  <c r="L201" i="28" s="1"/>
  <c r="M201" i="3"/>
  <c r="M201" i="28" s="1"/>
  <c r="N201" i="3"/>
  <c r="N201" i="4" s="1"/>
  <c r="O201" i="3"/>
  <c r="C203" i="3"/>
  <c r="C203" i="28" s="1"/>
  <c r="D203" i="3"/>
  <c r="D203" i="28" s="1"/>
  <c r="E203" i="3"/>
  <c r="F203" i="3"/>
  <c r="G203" i="3"/>
  <c r="H203" i="3"/>
  <c r="I203" i="3"/>
  <c r="J203" i="3"/>
  <c r="K203" i="3"/>
  <c r="L203" i="3"/>
  <c r="L203" i="28" s="1"/>
  <c r="M203" i="3"/>
  <c r="N203" i="3"/>
  <c r="O203" i="3"/>
  <c r="C205" i="3"/>
  <c r="C205" i="28" s="1"/>
  <c r="D205" i="3"/>
  <c r="D205" i="28" s="1"/>
  <c r="E205" i="3"/>
  <c r="F205" i="3"/>
  <c r="F205" i="28" s="1"/>
  <c r="G205" i="3"/>
  <c r="G205" i="28" s="1"/>
  <c r="H205" i="3"/>
  <c r="I205" i="3"/>
  <c r="J205" i="3"/>
  <c r="K205" i="3"/>
  <c r="L205" i="3"/>
  <c r="M205" i="3"/>
  <c r="M205" i="28" s="1"/>
  <c r="N205" i="3"/>
  <c r="N206" i="3" s="1"/>
  <c r="N206" i="4" s="1"/>
  <c r="O205" i="3"/>
  <c r="O206" i="3" s="1"/>
  <c r="C147" i="3"/>
  <c r="C147" i="28" s="1"/>
  <c r="D147" i="3"/>
  <c r="D147" i="28" s="1"/>
  <c r="E147" i="3"/>
  <c r="F147" i="3"/>
  <c r="G147" i="3"/>
  <c r="G147" i="28" s="1"/>
  <c r="H147" i="3"/>
  <c r="H147" i="28" s="1"/>
  <c r="I147" i="3"/>
  <c r="J147" i="3"/>
  <c r="K147" i="3"/>
  <c r="L147" i="3"/>
  <c r="M147" i="3"/>
  <c r="N147" i="3"/>
  <c r="N148" i="3" s="1"/>
  <c r="O147" i="3"/>
  <c r="O148" i="3" s="1"/>
  <c r="C149" i="3"/>
  <c r="D149" i="3"/>
  <c r="D149" i="28" s="1"/>
  <c r="E149" i="3"/>
  <c r="E149" i="28" s="1"/>
  <c r="F149" i="3"/>
  <c r="G149" i="3"/>
  <c r="H149" i="3"/>
  <c r="H149" i="28" s="1"/>
  <c r="I149" i="3"/>
  <c r="I149" i="28" s="1"/>
  <c r="J149" i="3"/>
  <c r="K149" i="3"/>
  <c r="L149" i="3"/>
  <c r="M149" i="3"/>
  <c r="N149" i="3"/>
  <c r="N150" i="3" s="1"/>
  <c r="O149" i="3"/>
  <c r="O150" i="3" s="1"/>
  <c r="C151" i="3"/>
  <c r="D151" i="3"/>
  <c r="E151" i="3"/>
  <c r="F151" i="3"/>
  <c r="G151" i="3"/>
  <c r="G151" i="28" s="1"/>
  <c r="H151" i="3"/>
  <c r="I151" i="3"/>
  <c r="J151" i="3"/>
  <c r="K151" i="3"/>
  <c r="L151" i="3"/>
  <c r="M151" i="3"/>
  <c r="N151" i="3"/>
  <c r="O151" i="3"/>
  <c r="C153" i="3"/>
  <c r="D153" i="3"/>
  <c r="E153" i="3"/>
  <c r="F153" i="3"/>
  <c r="G153" i="3"/>
  <c r="H153" i="3"/>
  <c r="I153" i="3"/>
  <c r="J153" i="3"/>
  <c r="J153" i="28" s="1"/>
  <c r="K153" i="3"/>
  <c r="K153" i="28" s="1"/>
  <c r="L153" i="3"/>
  <c r="L153" i="28" s="1"/>
  <c r="M153" i="3"/>
  <c r="M153" i="28" s="1"/>
  <c r="N153" i="3"/>
  <c r="N153" i="7" s="1"/>
  <c r="O153" i="3"/>
  <c r="C155" i="3"/>
  <c r="D155" i="3"/>
  <c r="E155" i="3"/>
  <c r="F155" i="3"/>
  <c r="G155" i="3"/>
  <c r="H155" i="3"/>
  <c r="I155" i="3"/>
  <c r="J155" i="3"/>
  <c r="K155" i="3"/>
  <c r="L155" i="3"/>
  <c r="M155" i="3"/>
  <c r="N155" i="3"/>
  <c r="O155" i="3"/>
  <c r="C159" i="3"/>
  <c r="D159" i="3"/>
  <c r="E159" i="3"/>
  <c r="F159" i="3"/>
  <c r="F159" i="28" s="1"/>
  <c r="G159" i="3"/>
  <c r="G159" i="28" s="1"/>
  <c r="H159" i="3"/>
  <c r="H159" i="28" s="1"/>
  <c r="I159" i="3"/>
  <c r="I159" i="28" s="1"/>
  <c r="J159" i="3"/>
  <c r="K159" i="3"/>
  <c r="K159" i="28" s="1"/>
  <c r="L159" i="3"/>
  <c r="L159" i="28" s="1"/>
  <c r="M159" i="3"/>
  <c r="N159" i="3"/>
  <c r="N159" i="4" s="1"/>
  <c r="O159" i="3"/>
  <c r="O159" i="4" s="1"/>
  <c r="C161" i="3"/>
  <c r="D161" i="3"/>
  <c r="D161" i="28" s="1"/>
  <c r="E161" i="3"/>
  <c r="E161" i="28" s="1"/>
  <c r="F161" i="3"/>
  <c r="G161" i="3"/>
  <c r="G161" i="28" s="1"/>
  <c r="H161" i="3"/>
  <c r="I161" i="3"/>
  <c r="J161" i="3"/>
  <c r="K161" i="3"/>
  <c r="L161" i="3"/>
  <c r="M161" i="3"/>
  <c r="N161" i="3"/>
  <c r="N161" i="7" s="1"/>
  <c r="O161" i="3"/>
  <c r="O161" i="7" s="1"/>
  <c r="C163" i="3"/>
  <c r="D163" i="3"/>
  <c r="D163" i="28" s="1"/>
  <c r="E163" i="3"/>
  <c r="E163" i="28" s="1"/>
  <c r="F163" i="3"/>
  <c r="F163" i="28" s="1"/>
  <c r="G163" i="3"/>
  <c r="G163" i="28" s="1"/>
  <c r="H163" i="3"/>
  <c r="H163" i="28" s="1"/>
  <c r="I163" i="3"/>
  <c r="J163" i="3"/>
  <c r="K163" i="3"/>
  <c r="L163" i="3"/>
  <c r="L163" i="28" s="1"/>
  <c r="M163" i="3"/>
  <c r="M163" i="28" s="1"/>
  <c r="N163" i="3"/>
  <c r="O163" i="3"/>
  <c r="O163" i="4" s="1"/>
  <c r="C165" i="3"/>
  <c r="D165" i="3"/>
  <c r="E165" i="3"/>
  <c r="F165" i="3"/>
  <c r="G165" i="3"/>
  <c r="H165" i="3"/>
  <c r="H165" i="28" s="1"/>
  <c r="I165" i="3"/>
  <c r="I165" i="28" s="1"/>
  <c r="J165" i="3"/>
  <c r="K165" i="3"/>
  <c r="L165" i="3"/>
  <c r="M165" i="3"/>
  <c r="N165" i="3"/>
  <c r="N166" i="3" s="1"/>
  <c r="O165" i="3"/>
  <c r="O166" i="3" s="1"/>
  <c r="C167" i="3"/>
  <c r="D167" i="3"/>
  <c r="E167" i="3"/>
  <c r="E167" i="28" s="1"/>
  <c r="F167" i="3"/>
  <c r="G167" i="3"/>
  <c r="H167" i="3"/>
  <c r="I167" i="3"/>
  <c r="J167" i="3"/>
  <c r="K167" i="3"/>
  <c r="L167" i="3"/>
  <c r="M167" i="3"/>
  <c r="M167" i="28" s="1"/>
  <c r="N167" i="3"/>
  <c r="O167" i="3"/>
  <c r="C169" i="3"/>
  <c r="C169" i="28" s="1"/>
  <c r="D169" i="3"/>
  <c r="D169" i="28" s="1"/>
  <c r="E169" i="3"/>
  <c r="E169" i="28" s="1"/>
  <c r="F169" i="3"/>
  <c r="F169" i="28" s="1"/>
  <c r="G169" i="3"/>
  <c r="H169" i="3"/>
  <c r="H169" i="28" s="1"/>
  <c r="I169" i="3"/>
  <c r="J169" i="3"/>
  <c r="K169" i="3"/>
  <c r="K169" i="28" s="1"/>
  <c r="L169" i="3"/>
  <c r="M169" i="3"/>
  <c r="N169" i="3"/>
  <c r="N170" i="3" s="1"/>
  <c r="O169" i="3"/>
  <c r="O170" i="3" s="1"/>
  <c r="C171" i="3"/>
  <c r="C171" i="28" s="1"/>
  <c r="D171" i="3"/>
  <c r="D171" i="28" s="1"/>
  <c r="E171" i="3"/>
  <c r="F171" i="3"/>
  <c r="G171" i="3"/>
  <c r="G171" i="28" s="1"/>
  <c r="H171" i="3"/>
  <c r="H171" i="28" s="1"/>
  <c r="I171" i="3"/>
  <c r="J171" i="3"/>
  <c r="K171" i="3"/>
  <c r="K171" i="28" s="1"/>
  <c r="L171" i="3"/>
  <c r="M171" i="3"/>
  <c r="N171" i="3"/>
  <c r="O171" i="3"/>
  <c r="C173" i="3"/>
  <c r="C173" i="28" s="1"/>
  <c r="D173" i="3"/>
  <c r="E173" i="3"/>
  <c r="F173" i="3"/>
  <c r="G173" i="3"/>
  <c r="H173" i="3"/>
  <c r="H173" i="28" s="1"/>
  <c r="I173" i="3"/>
  <c r="J173" i="3"/>
  <c r="K173" i="3"/>
  <c r="L173" i="3"/>
  <c r="M173" i="3"/>
  <c r="N173" i="3"/>
  <c r="N173" i="4" s="1"/>
  <c r="O173" i="3"/>
  <c r="O173" i="4" s="1"/>
  <c r="C175" i="3"/>
  <c r="D175" i="3"/>
  <c r="D175" i="28" s="1"/>
  <c r="E175" i="3"/>
  <c r="F175" i="3"/>
  <c r="G175" i="3"/>
  <c r="G175" i="28" s="1"/>
  <c r="H175" i="3"/>
  <c r="H175" i="28" s="1"/>
  <c r="I175" i="3"/>
  <c r="I175" i="28" s="1"/>
  <c r="J175" i="3"/>
  <c r="J175" i="28" s="1"/>
  <c r="K175" i="3"/>
  <c r="L175" i="3"/>
  <c r="M175" i="3"/>
  <c r="N175" i="3"/>
  <c r="N176" i="3" s="1"/>
  <c r="O175" i="3"/>
  <c r="C119" i="3"/>
  <c r="D119" i="3"/>
  <c r="E119" i="3"/>
  <c r="F119" i="3"/>
  <c r="G119" i="3"/>
  <c r="H119" i="3"/>
  <c r="I119" i="3"/>
  <c r="I119" i="28" s="1"/>
  <c r="J119" i="3"/>
  <c r="J119" i="28" s="1"/>
  <c r="K119" i="3"/>
  <c r="K119" i="28" s="1"/>
  <c r="L119" i="3"/>
  <c r="L119" i="28" s="1"/>
  <c r="M119" i="3"/>
  <c r="M119" i="28" s="1"/>
  <c r="N119" i="3"/>
  <c r="N119" i="4" s="1"/>
  <c r="O119" i="3"/>
  <c r="O119" i="4" s="1"/>
  <c r="C121" i="3"/>
  <c r="C121" i="28" s="1"/>
  <c r="D121" i="3"/>
  <c r="E121" i="3"/>
  <c r="E121" i="28" s="1"/>
  <c r="F121" i="3"/>
  <c r="G121" i="3"/>
  <c r="H121" i="3"/>
  <c r="I121" i="3"/>
  <c r="J121" i="3"/>
  <c r="K121" i="3"/>
  <c r="L121" i="3"/>
  <c r="M121" i="3"/>
  <c r="M121" i="28" s="1"/>
  <c r="N121" i="3"/>
  <c r="O121" i="3"/>
  <c r="C123" i="3"/>
  <c r="D123" i="3"/>
  <c r="E123" i="3"/>
  <c r="F123" i="3"/>
  <c r="F123" i="28" s="1"/>
  <c r="G123" i="3"/>
  <c r="G123" i="28" s="1"/>
  <c r="H123" i="3"/>
  <c r="H123" i="28" s="1"/>
  <c r="I123" i="3"/>
  <c r="J123" i="3"/>
  <c r="K123" i="3"/>
  <c r="L123" i="3"/>
  <c r="M123" i="3"/>
  <c r="N123" i="3"/>
  <c r="N124" i="3" s="1"/>
  <c r="O123" i="3"/>
  <c r="C125" i="3"/>
  <c r="D125" i="3"/>
  <c r="E125" i="3"/>
  <c r="E125" i="28" s="1"/>
  <c r="F125" i="3"/>
  <c r="G125" i="3"/>
  <c r="H125" i="3"/>
  <c r="I125" i="3"/>
  <c r="J125" i="3"/>
  <c r="K125" i="3"/>
  <c r="K125" i="28" s="1"/>
  <c r="L125" i="3"/>
  <c r="M125" i="3"/>
  <c r="M125" i="28" s="1"/>
  <c r="N125" i="3"/>
  <c r="N126" i="3" s="1"/>
  <c r="O125" i="3"/>
  <c r="O126" i="3" s="1"/>
  <c r="C127" i="3"/>
  <c r="D127" i="3"/>
  <c r="E127" i="3"/>
  <c r="E127" i="28" s="1"/>
  <c r="F127" i="3"/>
  <c r="G127" i="3"/>
  <c r="G127" i="28" s="1"/>
  <c r="H127" i="3"/>
  <c r="H127" i="28" s="1"/>
  <c r="I127" i="3"/>
  <c r="I127" i="28" s="1"/>
  <c r="J127" i="3"/>
  <c r="K127" i="3"/>
  <c r="L127" i="3"/>
  <c r="L127" i="28" s="1"/>
  <c r="M127" i="3"/>
  <c r="M127" i="28" s="1"/>
  <c r="N127" i="3"/>
  <c r="O127" i="3"/>
  <c r="O128" i="3" s="1"/>
  <c r="C129" i="3"/>
  <c r="D129" i="3"/>
  <c r="E129" i="3"/>
  <c r="F129" i="3"/>
  <c r="G129" i="3"/>
  <c r="H129" i="3"/>
  <c r="H129" i="28" s="1"/>
  <c r="I129" i="3"/>
  <c r="J129" i="3"/>
  <c r="K129" i="3"/>
  <c r="L129" i="3"/>
  <c r="M129" i="3"/>
  <c r="N129" i="3"/>
  <c r="N130" i="3" s="1"/>
  <c r="O129" i="3"/>
  <c r="O130" i="3" s="1"/>
  <c r="C131" i="3"/>
  <c r="C131" i="28" s="1"/>
  <c r="D131" i="3"/>
  <c r="D131" i="28" s="1"/>
  <c r="E131" i="3"/>
  <c r="F131" i="3"/>
  <c r="G131" i="3"/>
  <c r="H131" i="3"/>
  <c r="I131" i="3"/>
  <c r="J131" i="3"/>
  <c r="K131" i="3"/>
  <c r="L131" i="3"/>
  <c r="L131" i="28" s="1"/>
  <c r="M131" i="3"/>
  <c r="M131" i="28" s="1"/>
  <c r="N131" i="3"/>
  <c r="O131" i="3"/>
  <c r="C133" i="3"/>
  <c r="D133" i="3"/>
  <c r="E133" i="3"/>
  <c r="E133" i="28" s="1"/>
  <c r="F133" i="3"/>
  <c r="F133" i="28" s="1"/>
  <c r="G133" i="3"/>
  <c r="G133" i="28" s="1"/>
  <c r="H133" i="3"/>
  <c r="I133" i="3"/>
  <c r="J133" i="3"/>
  <c r="K133" i="3"/>
  <c r="L133" i="3"/>
  <c r="M133" i="3"/>
  <c r="N133" i="3"/>
  <c r="N133" i="9" s="1"/>
  <c r="O133" i="3"/>
  <c r="O133" i="4" s="1"/>
  <c r="C135" i="3"/>
  <c r="C135" i="28" s="1"/>
  <c r="D135" i="3"/>
  <c r="D135" i="28" s="1"/>
  <c r="E135" i="3"/>
  <c r="F135" i="3"/>
  <c r="G135" i="3"/>
  <c r="H135" i="3"/>
  <c r="H135" i="28" s="1"/>
  <c r="I135" i="3"/>
  <c r="I135" i="28" s="1"/>
  <c r="J135" i="3"/>
  <c r="K135" i="3"/>
  <c r="L135" i="3"/>
  <c r="L135" i="28" s="1"/>
  <c r="M135" i="3"/>
  <c r="N136" i="3"/>
  <c r="O135" i="3"/>
  <c r="O136" i="3" s="1"/>
  <c r="C137" i="3"/>
  <c r="D137" i="3"/>
  <c r="D137" i="28" s="1"/>
  <c r="E137" i="3"/>
  <c r="E137" i="28" s="1"/>
  <c r="F137" i="3"/>
  <c r="F137" i="28" s="1"/>
  <c r="G137" i="3"/>
  <c r="G137" i="28" s="1"/>
  <c r="H137" i="3"/>
  <c r="I137" i="3"/>
  <c r="J137" i="3"/>
  <c r="K137" i="3"/>
  <c r="K137" i="28" s="1"/>
  <c r="L137" i="3"/>
  <c r="L137" i="28" s="1"/>
  <c r="M137" i="3"/>
  <c r="M137" i="28" s="1"/>
  <c r="N137" i="3"/>
  <c r="N138" i="3" s="1"/>
  <c r="O137" i="3"/>
  <c r="O137" i="9" s="1"/>
  <c r="C139" i="3"/>
  <c r="D139" i="3"/>
  <c r="E139" i="3"/>
  <c r="F139" i="3"/>
  <c r="G139" i="3"/>
  <c r="G139" i="28" s="1"/>
  <c r="H139" i="3"/>
  <c r="H139" i="28" s="1"/>
  <c r="I139" i="3"/>
  <c r="I139" i="28" s="1"/>
  <c r="J139" i="3"/>
  <c r="J139" i="28" s="1"/>
  <c r="K139" i="3"/>
  <c r="L139" i="3"/>
  <c r="M139" i="3"/>
  <c r="N139" i="3"/>
  <c r="N140" i="3" s="1"/>
  <c r="O139" i="3"/>
  <c r="O140" i="3" s="1"/>
  <c r="C141" i="3"/>
  <c r="C141" i="28" s="1"/>
  <c r="D141" i="3"/>
  <c r="E141" i="3"/>
  <c r="E141" i="28" s="1"/>
  <c r="F141" i="3"/>
  <c r="G141" i="3"/>
  <c r="H141" i="3"/>
  <c r="I141" i="3"/>
  <c r="J141" i="3"/>
  <c r="J141" i="28" s="1"/>
  <c r="K141" i="3"/>
  <c r="K141" i="28" s="1"/>
  <c r="L141" i="3"/>
  <c r="L141" i="28" s="1"/>
  <c r="M141" i="3"/>
  <c r="M141" i="28" s="1"/>
  <c r="N141" i="3"/>
  <c r="N142" i="3" s="1"/>
  <c r="O141" i="3"/>
  <c r="O142" i="3" s="1"/>
  <c r="C143" i="3"/>
  <c r="D143" i="3"/>
  <c r="E143" i="3"/>
  <c r="E143" i="28" s="1"/>
  <c r="F143" i="3"/>
  <c r="G143" i="3"/>
  <c r="H143" i="3"/>
  <c r="I143" i="3"/>
  <c r="J143" i="3"/>
  <c r="K143" i="3"/>
  <c r="L143" i="3"/>
  <c r="M143" i="3"/>
  <c r="N143" i="3"/>
  <c r="N143" i="4" s="1"/>
  <c r="O143" i="3"/>
  <c r="O143" i="4" s="1"/>
  <c r="C145" i="3"/>
  <c r="D145" i="3"/>
  <c r="D145" i="28" s="1"/>
  <c r="E145" i="3"/>
  <c r="F145" i="3"/>
  <c r="G145" i="3"/>
  <c r="H145" i="3"/>
  <c r="I145" i="3"/>
  <c r="I145" i="28" s="1"/>
  <c r="J145" i="3"/>
  <c r="K145" i="3"/>
  <c r="L145" i="3"/>
  <c r="M145" i="3"/>
  <c r="N145" i="3"/>
  <c r="N145" i="4" s="1"/>
  <c r="O145" i="3"/>
  <c r="O146" i="3" s="1"/>
  <c r="C97" i="3"/>
  <c r="D97" i="3"/>
  <c r="E97" i="3"/>
  <c r="F97" i="3"/>
  <c r="G97" i="3"/>
  <c r="G97" i="28" s="1"/>
  <c r="H97" i="3"/>
  <c r="H97" i="28" s="1"/>
  <c r="I97" i="3"/>
  <c r="I97" i="28" s="1"/>
  <c r="J97" i="3"/>
  <c r="J97" i="28" s="1"/>
  <c r="K97" i="3"/>
  <c r="K97" i="28" s="1"/>
  <c r="L97" i="3"/>
  <c r="L97" i="28" s="1"/>
  <c r="M97" i="3"/>
  <c r="M97" i="28" s="1"/>
  <c r="N97" i="3"/>
  <c r="N98" i="3" s="1"/>
  <c r="O97" i="3"/>
  <c r="O98" i="3" s="1"/>
  <c r="C99" i="3"/>
  <c r="D99" i="3"/>
  <c r="E99" i="3"/>
  <c r="F99" i="3"/>
  <c r="G99" i="3"/>
  <c r="H99" i="3"/>
  <c r="I99" i="3"/>
  <c r="I99" i="28" s="1"/>
  <c r="J99" i="3"/>
  <c r="J99" i="28" s="1"/>
  <c r="K99" i="3"/>
  <c r="K99" i="28" s="1"/>
  <c r="L99" i="3"/>
  <c r="M99" i="3"/>
  <c r="M99" i="28" s="1"/>
  <c r="N99" i="3"/>
  <c r="O99" i="3"/>
  <c r="O100" i="3" s="1"/>
  <c r="C101" i="3"/>
  <c r="D101" i="3"/>
  <c r="E101" i="3"/>
  <c r="F101" i="3"/>
  <c r="G101" i="3"/>
  <c r="H101" i="3"/>
  <c r="I101" i="3"/>
  <c r="J101" i="3"/>
  <c r="K101" i="3"/>
  <c r="K101" i="28" s="1"/>
  <c r="L101" i="3"/>
  <c r="L101" i="28" s="1"/>
  <c r="M101" i="3"/>
  <c r="M101" i="28" s="1"/>
  <c r="N101" i="3"/>
  <c r="O101" i="3"/>
  <c r="C103" i="3"/>
  <c r="C103" i="28" s="1"/>
  <c r="D103" i="3"/>
  <c r="D103" i="28" s="1"/>
  <c r="E103" i="3"/>
  <c r="E103" i="28" s="1"/>
  <c r="F103" i="3"/>
  <c r="F103" i="28" s="1"/>
  <c r="G103" i="3"/>
  <c r="G103" i="28" s="1"/>
  <c r="H103" i="3"/>
  <c r="I103" i="3"/>
  <c r="J103" i="3"/>
  <c r="K103" i="3"/>
  <c r="L103" i="3"/>
  <c r="M103" i="3"/>
  <c r="N103" i="3"/>
  <c r="O103" i="3"/>
  <c r="C105" i="3"/>
  <c r="C105" i="28" s="1"/>
  <c r="D105" i="3"/>
  <c r="D105" i="28" s="1"/>
  <c r="E105" i="3"/>
  <c r="E105" i="28" s="1"/>
  <c r="F105" i="3"/>
  <c r="F105" i="28" s="1"/>
  <c r="G105" i="3"/>
  <c r="G105" i="28" s="1"/>
  <c r="H105" i="3"/>
  <c r="I105" i="3"/>
  <c r="J105" i="3"/>
  <c r="K105" i="3"/>
  <c r="L105" i="3"/>
  <c r="M105" i="3"/>
  <c r="N105" i="3"/>
  <c r="N105" i="4" s="1"/>
  <c r="O105" i="3"/>
  <c r="O106" i="3" s="1"/>
  <c r="C107" i="3"/>
  <c r="D107" i="3"/>
  <c r="D107" i="28" s="1"/>
  <c r="E107" i="3"/>
  <c r="E107" i="28" s="1"/>
  <c r="F107" i="3"/>
  <c r="F107" i="28" s="1"/>
  <c r="G107" i="3"/>
  <c r="H107" i="3"/>
  <c r="H107" i="28" s="1"/>
  <c r="I107" i="3"/>
  <c r="I107" i="28" s="1"/>
  <c r="J107" i="3"/>
  <c r="J107" i="28" s="1"/>
  <c r="K107" i="3"/>
  <c r="K107" i="28" s="1"/>
  <c r="L107" i="3"/>
  <c r="M107" i="3"/>
  <c r="N107" i="3"/>
  <c r="N107" i="4" s="1"/>
  <c r="O107" i="3"/>
  <c r="O108" i="3" s="1"/>
  <c r="C109" i="3"/>
  <c r="D109" i="3"/>
  <c r="E109" i="3"/>
  <c r="F109" i="3"/>
  <c r="G109" i="3"/>
  <c r="H109" i="3"/>
  <c r="H109" i="28" s="1"/>
  <c r="I109" i="3"/>
  <c r="I109" i="28" s="1"/>
  <c r="J109" i="3"/>
  <c r="J109" i="28" s="1"/>
  <c r="K109" i="3"/>
  <c r="K109" i="28" s="1"/>
  <c r="L109" i="3"/>
  <c r="L109" i="28" s="1"/>
  <c r="M109" i="3"/>
  <c r="M109" i="28" s="1"/>
  <c r="N109" i="3"/>
  <c r="N110" i="3" s="1"/>
  <c r="N110" i="7" s="1"/>
  <c r="O109" i="3"/>
  <c r="O110" i="3" s="1"/>
  <c r="C111" i="3"/>
  <c r="D111" i="3"/>
  <c r="E111" i="3"/>
  <c r="F111" i="3"/>
  <c r="G111" i="3"/>
  <c r="H111" i="3"/>
  <c r="I111" i="3"/>
  <c r="J111" i="3"/>
  <c r="J111" i="28" s="1"/>
  <c r="K111" i="3"/>
  <c r="K111" i="28" s="1"/>
  <c r="L111" i="3"/>
  <c r="L111" i="28" s="1"/>
  <c r="M111" i="3"/>
  <c r="M111" i="28" s="1"/>
  <c r="N111" i="3"/>
  <c r="O111" i="3"/>
  <c r="C113" i="3"/>
  <c r="C113" i="28" s="1"/>
  <c r="D113" i="3"/>
  <c r="D113" i="28" s="1"/>
  <c r="E113" i="3"/>
  <c r="E113" i="28" s="1"/>
  <c r="F113" i="3"/>
  <c r="F113" i="28" s="1"/>
  <c r="G113" i="3"/>
  <c r="H113" i="3"/>
  <c r="I113" i="3"/>
  <c r="J113" i="3"/>
  <c r="K113" i="3"/>
  <c r="L113" i="3"/>
  <c r="M113" i="3"/>
  <c r="M113" i="28" s="1"/>
  <c r="N113" i="3"/>
  <c r="O113" i="3"/>
  <c r="C115" i="3"/>
  <c r="C115" i="28" s="1"/>
  <c r="D115" i="3"/>
  <c r="D115" i="28" s="1"/>
  <c r="E115" i="3"/>
  <c r="E115" i="28" s="1"/>
  <c r="F115" i="3"/>
  <c r="F115" i="28" s="1"/>
  <c r="G115" i="3"/>
  <c r="H115" i="3"/>
  <c r="I115" i="3"/>
  <c r="J115" i="3"/>
  <c r="K115" i="3"/>
  <c r="L115" i="3"/>
  <c r="M115" i="3"/>
  <c r="N115" i="3"/>
  <c r="N116" i="3" s="1"/>
  <c r="O115" i="3"/>
  <c r="O116" i="3" s="1"/>
  <c r="C117" i="3"/>
  <c r="C117" i="28" s="1"/>
  <c r="D117" i="3"/>
  <c r="D117" i="28" s="1"/>
  <c r="E117" i="3"/>
  <c r="E117" i="28" s="1"/>
  <c r="F117" i="3"/>
  <c r="G117" i="3"/>
  <c r="H117" i="3"/>
  <c r="I117" i="3"/>
  <c r="I117" i="28" s="1"/>
  <c r="J117" i="3"/>
  <c r="J117" i="28" s="1"/>
  <c r="K117" i="3"/>
  <c r="L117" i="3"/>
  <c r="L117" i="28" s="1"/>
  <c r="M117" i="3"/>
  <c r="N117" i="3"/>
  <c r="N117" i="4" s="1"/>
  <c r="O117" i="3"/>
  <c r="O117" i="4" s="1"/>
  <c r="C65" i="3"/>
  <c r="D65" i="3"/>
  <c r="E65" i="3"/>
  <c r="F65" i="3"/>
  <c r="G65" i="3"/>
  <c r="G65" i="28" s="1"/>
  <c r="H65" i="3"/>
  <c r="I65" i="3"/>
  <c r="I65" i="28" s="1"/>
  <c r="J65" i="3"/>
  <c r="J65" i="28" s="1"/>
  <c r="K65" i="3"/>
  <c r="K65" i="28" s="1"/>
  <c r="L65" i="3"/>
  <c r="M65" i="3"/>
  <c r="N65" i="3"/>
  <c r="N66" i="3" s="1"/>
  <c r="O65" i="3"/>
  <c r="O66" i="3" s="1"/>
  <c r="C67" i="3"/>
  <c r="D67" i="3"/>
  <c r="E67" i="3"/>
  <c r="F67" i="3"/>
  <c r="G67" i="3"/>
  <c r="H67" i="3"/>
  <c r="I67" i="3"/>
  <c r="J67" i="3"/>
  <c r="J67" i="28" s="1"/>
  <c r="K67" i="3"/>
  <c r="K67" i="28" s="1"/>
  <c r="L67" i="3"/>
  <c r="L67" i="28" s="1"/>
  <c r="M67" i="3"/>
  <c r="M67" i="28" s="1"/>
  <c r="N67" i="3"/>
  <c r="O67" i="3"/>
  <c r="O68" i="3" s="1"/>
  <c r="C69" i="3"/>
  <c r="C69" i="28" s="1"/>
  <c r="D69" i="3"/>
  <c r="D69" i="28" s="1"/>
  <c r="E69" i="3"/>
  <c r="E69" i="28" s="1"/>
  <c r="F69" i="3"/>
  <c r="G69" i="3"/>
  <c r="H69" i="3"/>
  <c r="I69" i="3"/>
  <c r="J69" i="3"/>
  <c r="K69" i="3"/>
  <c r="L69" i="3"/>
  <c r="L69" i="28" s="1"/>
  <c r="M69" i="3"/>
  <c r="M69" i="28" s="1"/>
  <c r="N69" i="3"/>
  <c r="O69" i="3"/>
  <c r="C71" i="3"/>
  <c r="C71" i="28" s="1"/>
  <c r="D71" i="3"/>
  <c r="D71" i="28" s="1"/>
  <c r="E71" i="3"/>
  <c r="F71" i="3"/>
  <c r="G71" i="3"/>
  <c r="H71" i="3"/>
  <c r="I71" i="3"/>
  <c r="J71" i="3"/>
  <c r="K71" i="3"/>
  <c r="L71" i="3"/>
  <c r="M71" i="3"/>
  <c r="N71" i="3"/>
  <c r="N72" i="3" s="1"/>
  <c r="O71" i="3"/>
  <c r="C73" i="3"/>
  <c r="C73" i="28" s="1"/>
  <c r="D73" i="3"/>
  <c r="D73" i="28" s="1"/>
  <c r="E73" i="3"/>
  <c r="E73" i="28" s="1"/>
  <c r="F73" i="3"/>
  <c r="F73" i="28" s="1"/>
  <c r="G73" i="3"/>
  <c r="G73" i="28" s="1"/>
  <c r="H73" i="3"/>
  <c r="I73" i="3"/>
  <c r="I73" i="28" s="1"/>
  <c r="J73" i="3"/>
  <c r="J73" i="28" s="1"/>
  <c r="K73" i="3"/>
  <c r="L73" i="3"/>
  <c r="M73" i="3"/>
  <c r="M73" i="28" s="1"/>
  <c r="N73" i="3"/>
  <c r="N73" i="9" s="1"/>
  <c r="O73" i="3"/>
  <c r="O73" i="9" s="1"/>
  <c r="C75" i="3"/>
  <c r="D75" i="3"/>
  <c r="E75" i="3"/>
  <c r="E75" i="28" s="1"/>
  <c r="F75" i="3"/>
  <c r="F75" i="28" s="1"/>
  <c r="G75" i="3"/>
  <c r="G75" i="28" s="1"/>
  <c r="H75" i="3"/>
  <c r="H75" i="28" s="1"/>
  <c r="I75" i="3"/>
  <c r="I75" i="28" s="1"/>
  <c r="J75" i="3"/>
  <c r="J75" i="28" s="1"/>
  <c r="K75" i="3"/>
  <c r="L75" i="3"/>
  <c r="M75" i="3"/>
  <c r="N75" i="3"/>
  <c r="N76" i="3" s="1"/>
  <c r="C77" i="3"/>
  <c r="D77" i="3"/>
  <c r="E77" i="3"/>
  <c r="F77" i="3"/>
  <c r="G77" i="3"/>
  <c r="H77" i="3"/>
  <c r="H77" i="28" s="1"/>
  <c r="I77" i="3"/>
  <c r="I77" i="28" s="1"/>
  <c r="J77" i="3"/>
  <c r="J77" i="28" s="1"/>
  <c r="K77" i="3"/>
  <c r="K77" i="28" s="1"/>
  <c r="L77" i="3"/>
  <c r="L77" i="28" s="1"/>
  <c r="M77" i="3"/>
  <c r="M77" i="28" s="1"/>
  <c r="N77" i="3"/>
  <c r="N78" i="3" s="1"/>
  <c r="O77" i="3"/>
  <c r="C81" i="3"/>
  <c r="C81" i="28" s="1"/>
  <c r="D81" i="3"/>
  <c r="E81" i="3"/>
  <c r="F81" i="3"/>
  <c r="G81" i="3"/>
  <c r="H81" i="3"/>
  <c r="I81" i="3"/>
  <c r="J81" i="3"/>
  <c r="K81" i="3"/>
  <c r="L81" i="3"/>
  <c r="L81" i="28" s="1"/>
  <c r="M81" i="3"/>
  <c r="M81" i="28" s="1"/>
  <c r="N81" i="3"/>
  <c r="O81" i="3"/>
  <c r="C83" i="3"/>
  <c r="C83" i="28" s="1"/>
  <c r="D83" i="3"/>
  <c r="D83" i="28" s="1"/>
  <c r="E83" i="3"/>
  <c r="E83" i="28" s="1"/>
  <c r="F83" i="3"/>
  <c r="F83" i="28" s="1"/>
  <c r="G83" i="3"/>
  <c r="G83" i="28" s="1"/>
  <c r="H83" i="3"/>
  <c r="I83" i="3"/>
  <c r="I83" i="28" s="1"/>
  <c r="J83" i="3"/>
  <c r="J83" i="28" s="1"/>
  <c r="K83" i="3"/>
  <c r="K83" i="28" s="1"/>
  <c r="L83" i="3"/>
  <c r="M83" i="3"/>
  <c r="N83" i="3"/>
  <c r="N84" i="3" s="1"/>
  <c r="O83" i="3"/>
  <c r="C85" i="3"/>
  <c r="C85" i="28" s="1"/>
  <c r="D85" i="3"/>
  <c r="E85" i="3"/>
  <c r="E85" i="28" s="1"/>
  <c r="F85" i="3"/>
  <c r="F85" i="28" s="1"/>
  <c r="G85" i="3"/>
  <c r="G85" i="28" s="1"/>
  <c r="H85" i="3"/>
  <c r="H85" i="28" s="1"/>
  <c r="I85" i="3"/>
  <c r="I85" i="28" s="1"/>
  <c r="J85" i="3"/>
  <c r="K85" i="3"/>
  <c r="L85" i="3"/>
  <c r="M85" i="3"/>
  <c r="M85" i="28" s="1"/>
  <c r="N85" i="3"/>
  <c r="N86" i="3" s="1"/>
  <c r="O85" i="3"/>
  <c r="C87" i="3"/>
  <c r="C87" i="28" s="1"/>
  <c r="D87" i="3"/>
  <c r="E87" i="3"/>
  <c r="F87" i="3"/>
  <c r="F87" i="28" s="1"/>
  <c r="G87" i="3"/>
  <c r="G87" i="28" s="1"/>
  <c r="H87" i="3"/>
  <c r="H87" i="28" s="1"/>
  <c r="I87" i="3"/>
  <c r="I87" i="28" s="1"/>
  <c r="J87" i="3"/>
  <c r="J87" i="28" s="1"/>
  <c r="K87" i="3"/>
  <c r="L87" i="3"/>
  <c r="L87" i="28" s="1"/>
  <c r="M87" i="3"/>
  <c r="N87" i="3"/>
  <c r="O87" i="3"/>
  <c r="C89" i="3"/>
  <c r="C89" i="28" s="1"/>
  <c r="D89" i="3"/>
  <c r="D89" i="28" s="1"/>
  <c r="E89" i="3"/>
  <c r="E89" i="28" s="1"/>
  <c r="F89" i="3"/>
  <c r="G89" i="3"/>
  <c r="H89" i="3"/>
  <c r="H89" i="28" s="1"/>
  <c r="I89" i="3"/>
  <c r="I89" i="28" s="1"/>
  <c r="J89" i="3"/>
  <c r="J89" i="28" s="1"/>
  <c r="K89" i="3"/>
  <c r="K89" i="28" s="1"/>
  <c r="L89" i="3"/>
  <c r="L89" i="28" s="1"/>
  <c r="M89" i="3"/>
  <c r="M89" i="28" s="1"/>
  <c r="N89" i="3"/>
  <c r="O89" i="3"/>
  <c r="C91" i="3"/>
  <c r="D91" i="3"/>
  <c r="E91" i="3"/>
  <c r="F91" i="3"/>
  <c r="F91" i="28" s="1"/>
  <c r="G91" i="3"/>
  <c r="H91" i="3"/>
  <c r="H91" i="28" s="1"/>
  <c r="I91" i="3"/>
  <c r="I91" i="28" s="1"/>
  <c r="J91" i="3"/>
  <c r="J91" i="28" s="1"/>
  <c r="K91" i="3"/>
  <c r="L91" i="3"/>
  <c r="L91" i="28" s="1"/>
  <c r="M91" i="3"/>
  <c r="N91" i="3"/>
  <c r="O91" i="3"/>
  <c r="C93" i="3"/>
  <c r="C93" i="28" s="1"/>
  <c r="D93" i="3"/>
  <c r="D93" i="28" s="1"/>
  <c r="E93" i="3"/>
  <c r="E93" i="28" s="1"/>
  <c r="F93" i="3"/>
  <c r="G93" i="3"/>
  <c r="G93" i="28" s="1"/>
  <c r="H93" i="3"/>
  <c r="H93" i="28" s="1"/>
  <c r="I93" i="3"/>
  <c r="I93" i="28" s="1"/>
  <c r="J93" i="3"/>
  <c r="J93" i="28" s="1"/>
  <c r="K93" i="3"/>
  <c r="K93" i="28" s="1"/>
  <c r="L93" i="3"/>
  <c r="M93" i="3"/>
  <c r="N93" i="3"/>
  <c r="O93" i="3"/>
  <c r="C95" i="3"/>
  <c r="C95" i="28" s="1"/>
  <c r="D95" i="3"/>
  <c r="D95" i="28" s="1"/>
  <c r="E95" i="3"/>
  <c r="E95" i="28" s="1"/>
  <c r="F95" i="3"/>
  <c r="F95" i="28" s="1"/>
  <c r="G95" i="3"/>
  <c r="G95" i="28" s="1"/>
  <c r="H95" i="3"/>
  <c r="H95" i="28" s="1"/>
  <c r="I95" i="3"/>
  <c r="J95" i="3"/>
  <c r="K95" i="3"/>
  <c r="L95" i="3"/>
  <c r="L95" i="28" s="1"/>
  <c r="M95" i="3"/>
  <c r="N95" i="3"/>
  <c r="O95" i="3"/>
  <c r="O95" i="4" s="1"/>
  <c r="C33" i="3"/>
  <c r="C33" i="28" s="1"/>
  <c r="D33" i="3"/>
  <c r="D33" i="28" s="1"/>
  <c r="E33" i="3"/>
  <c r="E33" i="28" s="1"/>
  <c r="F33" i="3"/>
  <c r="F33" i="28" s="1"/>
  <c r="G33" i="3"/>
  <c r="G33" i="28" s="1"/>
  <c r="H33" i="3"/>
  <c r="H33" i="28" s="1"/>
  <c r="I33" i="3"/>
  <c r="I33" i="28" s="1"/>
  <c r="J33" i="3"/>
  <c r="J33" i="28" s="1"/>
  <c r="K33" i="3"/>
  <c r="K33" i="28" s="1"/>
  <c r="L33" i="3"/>
  <c r="L33" i="28" s="1"/>
  <c r="M33" i="3"/>
  <c r="N33" i="3"/>
  <c r="N34" i="3" s="1"/>
  <c r="O33" i="3"/>
  <c r="C35" i="3"/>
  <c r="C35" i="28" s="1"/>
  <c r="D35" i="3"/>
  <c r="D35" i="28" s="1"/>
  <c r="E35" i="3"/>
  <c r="F35" i="3"/>
  <c r="G35" i="3"/>
  <c r="H35" i="3"/>
  <c r="H35" i="28" s="1"/>
  <c r="I35" i="3"/>
  <c r="J35" i="3"/>
  <c r="J35" i="28" s="1"/>
  <c r="K35" i="3"/>
  <c r="K35" i="28" s="1"/>
  <c r="L35" i="3"/>
  <c r="M35" i="3"/>
  <c r="N35" i="3"/>
  <c r="O35" i="3"/>
  <c r="O36" i="3" s="1"/>
  <c r="C37" i="3"/>
  <c r="D37" i="3"/>
  <c r="E37" i="3"/>
  <c r="E37" i="28" s="1"/>
  <c r="F37" i="3"/>
  <c r="G37" i="3"/>
  <c r="G37" i="28" s="1"/>
  <c r="H37" i="3"/>
  <c r="H37" i="28" s="1"/>
  <c r="I37" i="3"/>
  <c r="I37" i="28" s="1"/>
  <c r="J37" i="3"/>
  <c r="K37" i="3"/>
  <c r="K37" i="28" s="1"/>
  <c r="L37" i="3"/>
  <c r="L37" i="28" s="1"/>
  <c r="M37" i="3"/>
  <c r="M37" i="28" s="1"/>
  <c r="N37" i="3"/>
  <c r="O37" i="3"/>
  <c r="O37" i="4" s="1"/>
  <c r="C39" i="3"/>
  <c r="D39" i="3"/>
  <c r="E39" i="3"/>
  <c r="E39" i="28" s="1"/>
  <c r="F39" i="3"/>
  <c r="G39" i="3"/>
  <c r="G39" i="28" s="1"/>
  <c r="H39" i="3"/>
  <c r="H39" i="28" s="1"/>
  <c r="I39" i="3"/>
  <c r="I39" i="28" s="1"/>
  <c r="J39" i="3"/>
  <c r="J39" i="28" s="1"/>
  <c r="K39" i="3"/>
  <c r="L39" i="3"/>
  <c r="M39" i="3"/>
  <c r="N39" i="3"/>
  <c r="O39" i="3"/>
  <c r="C41" i="3"/>
  <c r="C41" i="28" s="1"/>
  <c r="D41" i="3"/>
  <c r="D41" i="28" s="1"/>
  <c r="E41" i="3"/>
  <c r="E41" i="28" s="1"/>
  <c r="F41" i="3"/>
  <c r="F41" i="28" s="1"/>
  <c r="G41" i="3"/>
  <c r="G41" i="28" s="1"/>
  <c r="H41" i="3"/>
  <c r="I41" i="3"/>
  <c r="J41" i="3"/>
  <c r="K41" i="3"/>
  <c r="K41" i="28" s="1"/>
  <c r="L41" i="3"/>
  <c r="M41" i="3"/>
  <c r="M41" i="28" s="1"/>
  <c r="N41" i="3"/>
  <c r="O41" i="3"/>
  <c r="O42" i="3" s="1"/>
  <c r="C43" i="3"/>
  <c r="C43" i="28" s="1"/>
  <c r="D43" i="3"/>
  <c r="D43" i="28" s="1"/>
  <c r="E43" i="3"/>
  <c r="E43" i="28" s="1"/>
  <c r="F43" i="3"/>
  <c r="F43" i="28" s="1"/>
  <c r="G43" i="3"/>
  <c r="G43" i="28" s="1"/>
  <c r="H43" i="3"/>
  <c r="H43" i="28" s="1"/>
  <c r="I43" i="3"/>
  <c r="I43" i="28" s="1"/>
  <c r="J43" i="3"/>
  <c r="J43" i="28" s="1"/>
  <c r="K43" i="3"/>
  <c r="L43" i="3"/>
  <c r="L43" i="28" s="1"/>
  <c r="M43" i="3"/>
  <c r="M43" i="28" s="1"/>
  <c r="N43" i="3"/>
  <c r="O43" i="3"/>
  <c r="C45" i="3"/>
  <c r="C45" i="28" s="1"/>
  <c r="D45" i="3"/>
  <c r="E45" i="3"/>
  <c r="F45" i="3"/>
  <c r="G45" i="3"/>
  <c r="G45" i="28" s="1"/>
  <c r="H45" i="3"/>
  <c r="H45" i="28" s="1"/>
  <c r="I45" i="3"/>
  <c r="J45" i="3"/>
  <c r="K45" i="3"/>
  <c r="K45" i="28" s="1"/>
  <c r="L45" i="3"/>
  <c r="M45" i="3"/>
  <c r="M45" i="28" s="1"/>
  <c r="N45" i="3"/>
  <c r="N46" i="3" s="1"/>
  <c r="O45" i="3"/>
  <c r="O46" i="3" s="1"/>
  <c r="C47" i="3"/>
  <c r="D47" i="3"/>
  <c r="D47" i="28" s="1"/>
  <c r="E47" i="3"/>
  <c r="F47" i="3"/>
  <c r="F47" i="28" s="1"/>
  <c r="G47" i="3"/>
  <c r="G47" i="28" s="1"/>
  <c r="H47" i="3"/>
  <c r="H47" i="28" s="1"/>
  <c r="I47" i="3"/>
  <c r="J47" i="3"/>
  <c r="J47" i="28" s="1"/>
  <c r="K47" i="3"/>
  <c r="K47" i="28" s="1"/>
  <c r="L47" i="3"/>
  <c r="L47" i="28" s="1"/>
  <c r="M47" i="3"/>
  <c r="M47" i="28" s="1"/>
  <c r="N47" i="3"/>
  <c r="O47" i="3"/>
  <c r="C49" i="3"/>
  <c r="C49" i="28" s="1"/>
  <c r="D49" i="3"/>
  <c r="D49" i="28" s="1"/>
  <c r="E49" i="3"/>
  <c r="F49" i="3"/>
  <c r="F49" i="28" s="1"/>
  <c r="G49" i="3"/>
  <c r="G49" i="28" s="1"/>
  <c r="H49" i="3"/>
  <c r="H49" i="28" s="1"/>
  <c r="I49" i="3"/>
  <c r="I49" i="28" s="1"/>
  <c r="J49" i="3"/>
  <c r="K49" i="3"/>
  <c r="L49" i="3"/>
  <c r="L49" i="28" s="1"/>
  <c r="M49" i="3"/>
  <c r="M49" i="28" s="1"/>
  <c r="N49" i="3"/>
  <c r="O49" i="3"/>
  <c r="C51" i="3"/>
  <c r="D51" i="3"/>
  <c r="D51" i="28" s="1"/>
  <c r="E51" i="3"/>
  <c r="E51" i="28" s="1"/>
  <c r="F51" i="3"/>
  <c r="F51" i="28" s="1"/>
  <c r="G51" i="3"/>
  <c r="H51" i="3"/>
  <c r="I51" i="3"/>
  <c r="J51" i="3"/>
  <c r="J51" i="28" s="1"/>
  <c r="K51" i="3"/>
  <c r="L51" i="3"/>
  <c r="L51" i="28" s="1"/>
  <c r="M51" i="3"/>
  <c r="M51" i="28" s="1"/>
  <c r="N51" i="3"/>
  <c r="N52" i="3" s="1"/>
  <c r="O51" i="3"/>
  <c r="O52" i="3" s="1"/>
  <c r="C53" i="3"/>
  <c r="C53" i="28" s="1"/>
  <c r="D53" i="3"/>
  <c r="D53" i="28" s="1"/>
  <c r="E53" i="3"/>
  <c r="E53" i="28" s="1"/>
  <c r="F53" i="3"/>
  <c r="F53" i="28" s="1"/>
  <c r="G53" i="3"/>
  <c r="G53" i="28" s="1"/>
  <c r="H53" i="3"/>
  <c r="H53" i="28" s="1"/>
  <c r="I53" i="3"/>
  <c r="I53" i="28" s="1"/>
  <c r="J53" i="3"/>
  <c r="J53" i="28" s="1"/>
  <c r="K53" i="3"/>
  <c r="L53" i="3"/>
  <c r="M53" i="3"/>
  <c r="M53" i="28" s="1"/>
  <c r="N53" i="3"/>
  <c r="O53" i="3"/>
  <c r="C55" i="3"/>
  <c r="D55" i="3"/>
  <c r="E55" i="3"/>
  <c r="F55" i="3"/>
  <c r="F55" i="28" s="1"/>
  <c r="G55" i="3"/>
  <c r="G55" i="28" s="1"/>
  <c r="H55" i="3"/>
  <c r="I55" i="3"/>
  <c r="J55" i="3"/>
  <c r="K55" i="3"/>
  <c r="L55" i="3"/>
  <c r="L55" i="28" s="1"/>
  <c r="M55" i="3"/>
  <c r="N55" i="3"/>
  <c r="N56" i="3" s="1"/>
  <c r="O55" i="3"/>
  <c r="O56" i="3" s="1"/>
  <c r="C57" i="3"/>
  <c r="C57" i="28" s="1"/>
  <c r="D57" i="3"/>
  <c r="E57" i="3"/>
  <c r="E57" i="28" s="1"/>
  <c r="F57" i="3"/>
  <c r="F57" i="28" s="1"/>
  <c r="G57" i="3"/>
  <c r="G57" i="28" s="1"/>
  <c r="H57" i="3"/>
  <c r="I57" i="3"/>
  <c r="I57" i="28" s="1"/>
  <c r="J57" i="3"/>
  <c r="J57" i="28" s="1"/>
  <c r="K57" i="3"/>
  <c r="K57" i="28" s="1"/>
  <c r="L57" i="3"/>
  <c r="L57" i="28" s="1"/>
  <c r="M57" i="3"/>
  <c r="N57" i="3"/>
  <c r="N57" i="4" s="1"/>
  <c r="O57" i="3"/>
  <c r="O57" i="4" s="1"/>
  <c r="C59" i="3"/>
  <c r="D59" i="3"/>
  <c r="E59" i="3"/>
  <c r="E59" i="28" s="1"/>
  <c r="F59" i="3"/>
  <c r="F59" i="28" s="1"/>
  <c r="G59" i="3"/>
  <c r="G59" i="28" s="1"/>
  <c r="H59" i="3"/>
  <c r="H59" i="28" s="1"/>
  <c r="I59" i="3"/>
  <c r="J59" i="3"/>
  <c r="K59" i="3"/>
  <c r="K59" i="28" s="1"/>
  <c r="L59" i="3"/>
  <c r="L59" i="28" s="1"/>
  <c r="M59" i="3"/>
  <c r="M59" i="28" s="1"/>
  <c r="N59" i="3"/>
  <c r="O59" i="3"/>
  <c r="C61" i="3"/>
  <c r="C61" i="28" s="1"/>
  <c r="D61" i="3"/>
  <c r="D61" i="28" s="1"/>
  <c r="E61" i="3"/>
  <c r="E61" i="28" s="1"/>
  <c r="F61" i="3"/>
  <c r="G61" i="3"/>
  <c r="H61" i="3"/>
  <c r="I61" i="3"/>
  <c r="I61" i="28" s="1"/>
  <c r="J61" i="3"/>
  <c r="K61" i="3"/>
  <c r="K61" i="28" s="1"/>
  <c r="L61" i="3"/>
  <c r="L61" i="28" s="1"/>
  <c r="M61" i="3"/>
  <c r="M61" i="28" s="1"/>
  <c r="N61" i="3"/>
  <c r="N62" i="3" s="1"/>
  <c r="O61" i="3"/>
  <c r="C63" i="3"/>
  <c r="C63" i="28" s="1"/>
  <c r="D63" i="3"/>
  <c r="D63" i="28" s="1"/>
  <c r="E63" i="3"/>
  <c r="E63" i="28" s="1"/>
  <c r="F63" i="3"/>
  <c r="F63" i="28" s="1"/>
  <c r="G63" i="3"/>
  <c r="G63" i="28" s="1"/>
  <c r="H63" i="3"/>
  <c r="H63" i="28" s="1"/>
  <c r="I63" i="3"/>
  <c r="I63" i="28" s="1"/>
  <c r="J63" i="3"/>
  <c r="K63" i="3"/>
  <c r="K63" i="28" s="1"/>
  <c r="L63" i="3"/>
  <c r="L63" i="28" s="1"/>
  <c r="M63" i="3"/>
  <c r="M63" i="28" s="1"/>
  <c r="N63" i="3"/>
  <c r="O63" i="3"/>
  <c r="O64" i="3" s="1"/>
  <c r="C13" i="3"/>
  <c r="D13" i="3"/>
  <c r="E13" i="3"/>
  <c r="E13" i="28" s="1"/>
  <c r="F13" i="3"/>
  <c r="G13" i="3"/>
  <c r="G13" i="28" s="1"/>
  <c r="H13" i="3"/>
  <c r="H13" i="28" s="1"/>
  <c r="I13" i="3"/>
  <c r="I13" i="28" s="1"/>
  <c r="J13" i="3"/>
  <c r="J13" i="28" s="1"/>
  <c r="K13" i="3"/>
  <c r="K13" i="28" s="1"/>
  <c r="L13" i="3"/>
  <c r="M13" i="3"/>
  <c r="M13" i="28" s="1"/>
  <c r="N13" i="3"/>
  <c r="N14" i="3" s="1"/>
  <c r="O13" i="3"/>
  <c r="C15" i="3"/>
  <c r="C15" i="28" s="1"/>
  <c r="D15" i="3"/>
  <c r="D15" i="28" s="1"/>
  <c r="E15" i="3"/>
  <c r="E15" i="28" s="1"/>
  <c r="F15" i="3"/>
  <c r="F15" i="28" s="1"/>
  <c r="G15" i="3"/>
  <c r="H15" i="3"/>
  <c r="I15" i="3"/>
  <c r="J15" i="3"/>
  <c r="J15" i="28" s="1"/>
  <c r="K15" i="3"/>
  <c r="K15" i="28" s="1"/>
  <c r="L15" i="3"/>
  <c r="L15" i="28" s="1"/>
  <c r="M15" i="3"/>
  <c r="M15" i="28" s="1"/>
  <c r="N15" i="3"/>
  <c r="O15" i="3"/>
  <c r="C17" i="3"/>
  <c r="C17" i="28" s="1"/>
  <c r="D17" i="3"/>
  <c r="E17" i="3"/>
  <c r="F17" i="3"/>
  <c r="F17" i="28" s="1"/>
  <c r="G17" i="3"/>
  <c r="G17" i="28" s="1"/>
  <c r="H17" i="3"/>
  <c r="I17" i="3"/>
  <c r="I17" i="28" s="1"/>
  <c r="J17" i="3"/>
  <c r="J17" i="28" s="1"/>
  <c r="K17" i="3"/>
  <c r="K17" i="28" s="1"/>
  <c r="L17" i="3"/>
  <c r="M17" i="3"/>
  <c r="M17" i="28" s="1"/>
  <c r="N17" i="3"/>
  <c r="O17" i="3"/>
  <c r="O17" i="4" s="1"/>
  <c r="C19" i="3"/>
  <c r="C19" i="28" s="1"/>
  <c r="D19" i="3"/>
  <c r="D19" i="28" s="1"/>
  <c r="E19" i="3"/>
  <c r="F19" i="3"/>
  <c r="G19" i="3"/>
  <c r="H19" i="3"/>
  <c r="I19" i="3"/>
  <c r="I19" i="28" s="1"/>
  <c r="J19" i="3"/>
  <c r="J19" i="28" s="1"/>
  <c r="K19" i="3"/>
  <c r="K19" i="28" s="1"/>
  <c r="L19" i="3"/>
  <c r="L19" i="28" s="1"/>
  <c r="M19" i="3"/>
  <c r="N19" i="3"/>
  <c r="O19" i="3"/>
  <c r="O20" i="3" s="1"/>
  <c r="C21" i="3"/>
  <c r="C21" i="28" s="1"/>
  <c r="D21" i="3"/>
  <c r="D21" i="28" s="1"/>
  <c r="E21" i="3"/>
  <c r="E21" i="28" s="1"/>
  <c r="F21" i="3"/>
  <c r="F21" i="28" s="1"/>
  <c r="G21" i="3"/>
  <c r="G21" i="28" s="1"/>
  <c r="H21" i="3"/>
  <c r="H21" i="28" s="1"/>
  <c r="I21" i="3"/>
  <c r="J21" i="3"/>
  <c r="K21" i="3"/>
  <c r="L21" i="3"/>
  <c r="L21" i="28" s="1"/>
  <c r="M21" i="3"/>
  <c r="M21" i="28" s="1"/>
  <c r="N21" i="3"/>
  <c r="N22" i="3" s="1"/>
  <c r="O21" i="3"/>
  <c r="C23" i="3"/>
  <c r="D23" i="3"/>
  <c r="E23" i="3"/>
  <c r="F23" i="3"/>
  <c r="F23" i="28" s="1"/>
  <c r="G23" i="3"/>
  <c r="G23" i="28" s="1"/>
  <c r="H23" i="3"/>
  <c r="H23" i="28" s="1"/>
  <c r="I23" i="3"/>
  <c r="I23" i="28" s="1"/>
  <c r="J23" i="3"/>
  <c r="J23" i="28" s="1"/>
  <c r="K23" i="3"/>
  <c r="K23" i="28" s="1"/>
  <c r="L23" i="3"/>
  <c r="L23" i="28" s="1"/>
  <c r="M23" i="3"/>
  <c r="N23" i="3"/>
  <c r="O23" i="3"/>
  <c r="C25" i="3"/>
  <c r="D25" i="3"/>
  <c r="D25" i="28" s="1"/>
  <c r="E25" i="3"/>
  <c r="E25" i="28" s="1"/>
  <c r="F25" i="3"/>
  <c r="G25" i="3"/>
  <c r="H25" i="3"/>
  <c r="I25" i="3"/>
  <c r="I25" i="28" s="1"/>
  <c r="J25" i="3"/>
  <c r="J25" i="28" s="1"/>
  <c r="K25" i="3"/>
  <c r="L25" i="3"/>
  <c r="L25" i="28" s="1"/>
  <c r="M25" i="3"/>
  <c r="M25" i="28" s="1"/>
  <c r="N25" i="3"/>
  <c r="O25" i="3"/>
  <c r="C27" i="3"/>
  <c r="D27" i="3"/>
  <c r="E27" i="3"/>
  <c r="F27" i="3"/>
  <c r="G27" i="3"/>
  <c r="H27" i="3"/>
  <c r="H27" i="28" s="1"/>
  <c r="I27" i="3"/>
  <c r="I27" i="28" s="1"/>
  <c r="J27" i="3"/>
  <c r="J27" i="28" s="1"/>
  <c r="K27" i="3"/>
  <c r="L27" i="3"/>
  <c r="M27" i="3"/>
  <c r="M27" i="28" s="1"/>
  <c r="N27" i="3"/>
  <c r="O27" i="3"/>
  <c r="C29" i="3"/>
  <c r="C29" i="28" s="1"/>
  <c r="D29" i="3"/>
  <c r="D29" i="28" s="1"/>
  <c r="E29" i="3"/>
  <c r="E29" i="28" s="1"/>
  <c r="F29" i="3"/>
  <c r="F29" i="28" s="1"/>
  <c r="G29" i="3"/>
  <c r="G29" i="28" s="1"/>
  <c r="H29" i="3"/>
  <c r="H29" i="28" s="1"/>
  <c r="I29" i="3"/>
  <c r="I29" i="28" s="1"/>
  <c r="J29" i="3"/>
  <c r="J29" i="28" s="1"/>
  <c r="K29" i="3"/>
  <c r="L29" i="3"/>
  <c r="M29" i="3"/>
  <c r="N29" i="3"/>
  <c r="N30" i="3" s="1"/>
  <c r="O29" i="3"/>
  <c r="C31" i="3"/>
  <c r="C31" i="28" s="1"/>
  <c r="D31" i="3"/>
  <c r="D31" i="28" s="1"/>
  <c r="E31" i="3"/>
  <c r="E31" i="28" s="1"/>
  <c r="F31" i="3"/>
  <c r="F31" i="28" s="1"/>
  <c r="G31" i="3"/>
  <c r="G31" i="28" s="1"/>
  <c r="H31" i="3"/>
  <c r="H31" i="28" s="1"/>
  <c r="I31" i="3"/>
  <c r="J31" i="3"/>
  <c r="K31" i="3"/>
  <c r="K31" i="28" s="1"/>
  <c r="L31" i="3"/>
  <c r="L31" i="28" s="1"/>
  <c r="M31" i="3"/>
  <c r="N31" i="3"/>
  <c r="O31" i="3"/>
  <c r="O32" i="3" s="1"/>
  <c r="D11" i="3"/>
  <c r="E11" i="3"/>
  <c r="F11" i="3"/>
  <c r="F11" i="28" s="1"/>
  <c r="G11" i="3"/>
  <c r="H11" i="3"/>
  <c r="I11" i="3"/>
  <c r="J11" i="3"/>
  <c r="K11" i="3"/>
  <c r="L11" i="3"/>
  <c r="L11" i="28" s="1"/>
  <c r="M11" i="3"/>
  <c r="M11" i="28" s="1"/>
  <c r="N11" i="3"/>
  <c r="O11" i="3"/>
  <c r="N10" i="3"/>
  <c r="O10" i="3"/>
  <c r="K10" i="3"/>
  <c r="L10" i="3"/>
  <c r="M10" i="3"/>
  <c r="E10" i="3"/>
  <c r="F10" i="3"/>
  <c r="G10" i="3"/>
  <c r="H10" i="3"/>
  <c r="I10" i="3"/>
  <c r="J10" i="3"/>
  <c r="D10" i="3"/>
  <c r="C11" i="3"/>
  <c r="C11" i="28" s="1"/>
  <c r="V295" i="11"/>
  <c r="V296" i="11"/>
  <c r="V297" i="11"/>
  <c r="V298" i="11"/>
  <c r="V299" i="11"/>
  <c r="V300" i="11"/>
  <c r="V301" i="11"/>
  <c r="V302" i="11"/>
  <c r="V303" i="11"/>
  <c r="V304" i="11"/>
  <c r="V305" i="11"/>
  <c r="V306" i="11"/>
  <c r="V307" i="11"/>
  <c r="V308" i="11"/>
  <c r="V309" i="11"/>
  <c r="V310" i="11"/>
  <c r="V311" i="11"/>
  <c r="V315" i="11"/>
  <c r="V316" i="11"/>
  <c r="V317" i="11"/>
  <c r="V318" i="11"/>
  <c r="V319" i="11"/>
  <c r="V320" i="11"/>
  <c r="V321" i="11"/>
  <c r="V322" i="11"/>
  <c r="V323" i="11"/>
  <c r="V324" i="11"/>
  <c r="V325" i="11"/>
  <c r="V326" i="11"/>
  <c r="V327" i="11"/>
  <c r="V328" i="11"/>
  <c r="V329" i="11"/>
  <c r="V330" i="11"/>
  <c r="V331" i="11"/>
  <c r="V332" i="11"/>
  <c r="V333" i="11"/>
  <c r="V334" i="11"/>
  <c r="V335" i="11"/>
  <c r="V336" i="11"/>
  <c r="V337" i="11"/>
  <c r="V338" i="11"/>
  <c r="V339" i="11"/>
  <c r="V340" i="11"/>
  <c r="V341" i="11"/>
  <c r="V342" i="11"/>
  <c r="V343" i="11"/>
  <c r="V344" i="11"/>
  <c r="V345" i="11"/>
  <c r="V346" i="11"/>
  <c r="V347" i="11"/>
  <c r="V348" i="11"/>
  <c r="V349" i="11"/>
  <c r="V350" i="11"/>
  <c r="V351" i="11"/>
  <c r="V352" i="11"/>
  <c r="V353" i="11"/>
  <c r="V354" i="11"/>
  <c r="V355" i="11"/>
  <c r="V356" i="11"/>
  <c r="V357" i="11"/>
  <c r="V358" i="11"/>
  <c r="V359" i="11"/>
  <c r="V360" i="11"/>
  <c r="V361" i="11"/>
  <c r="V362" i="11"/>
  <c r="V363" i="11"/>
  <c r="V364" i="11"/>
  <c r="V365" i="11"/>
  <c r="V366" i="11"/>
  <c r="V367" i="11"/>
  <c r="V368" i="11"/>
  <c r="V369" i="11"/>
  <c r="V370" i="11"/>
  <c r="V371" i="11"/>
  <c r="V372" i="11"/>
  <c r="V373" i="11"/>
  <c r="V374" i="11"/>
  <c r="V375" i="11"/>
  <c r="V376" i="11"/>
  <c r="V377" i="11"/>
  <c r="V378" i="11"/>
  <c r="V379" i="11"/>
  <c r="V380" i="11"/>
  <c r="V381" i="11"/>
  <c r="V382" i="11"/>
  <c r="V383" i="11"/>
  <c r="V384" i="11"/>
  <c r="V387" i="11"/>
  <c r="V388" i="11"/>
  <c r="V389" i="11"/>
  <c r="V390" i="11"/>
  <c r="V391" i="11"/>
  <c r="V392" i="11"/>
  <c r="V393" i="11"/>
  <c r="V394" i="11"/>
  <c r="V395" i="11"/>
  <c r="V396" i="11"/>
  <c r="V397" i="11"/>
  <c r="V398" i="11"/>
  <c r="V399" i="11"/>
  <c r="V400" i="11"/>
  <c r="V401" i="11"/>
  <c r="V402" i="11"/>
  <c r="V403" i="11"/>
  <c r="V404" i="11"/>
  <c r="V409" i="11"/>
  <c r="V410" i="11"/>
  <c r="V411" i="11"/>
  <c r="V412" i="11"/>
  <c r="V413" i="11"/>
  <c r="V414" i="11"/>
  <c r="V415" i="11"/>
  <c r="V416" i="11"/>
  <c r="V417" i="11"/>
  <c r="V418" i="11"/>
  <c r="V419" i="11"/>
  <c r="V420" i="11"/>
  <c r="V421" i="11"/>
  <c r="V422" i="11"/>
  <c r="V423" i="11"/>
  <c r="V424" i="11"/>
  <c r="V425" i="11"/>
  <c r="V426" i="11"/>
  <c r="V427" i="11"/>
  <c r="V428" i="11"/>
  <c r="V429" i="11"/>
  <c r="V430" i="11"/>
  <c r="V431" i="11"/>
  <c r="V432" i="11"/>
  <c r="V433" i="11"/>
  <c r="V434" i="11"/>
  <c r="V435" i="11"/>
  <c r="V436" i="11"/>
  <c r="V437" i="11"/>
  <c r="V438" i="11"/>
  <c r="V439" i="11"/>
  <c r="V440" i="11"/>
  <c r="V441" i="11"/>
  <c r="V442" i="11"/>
  <c r="V443" i="11"/>
  <c r="V444" i="11"/>
  <c r="V445" i="11"/>
  <c r="V446" i="11"/>
  <c r="V447" i="11"/>
  <c r="V448" i="11"/>
  <c r="V449" i="11"/>
  <c r="V450" i="11"/>
  <c r="V451" i="11"/>
  <c r="V452" i="11"/>
  <c r="V453" i="11"/>
  <c r="V454" i="11"/>
  <c r="V455" i="11"/>
  <c r="V456" i="11"/>
  <c r="V457" i="11"/>
  <c r="V458" i="11"/>
  <c r="V459" i="11"/>
  <c r="V460" i="11"/>
  <c r="V461" i="11"/>
  <c r="V462" i="11"/>
  <c r="V463" i="11"/>
  <c r="V464" i="11"/>
  <c r="V465" i="11"/>
  <c r="V466" i="11"/>
  <c r="V467" i="11"/>
  <c r="V468" i="11"/>
  <c r="V469" i="11"/>
  <c r="V470" i="11"/>
  <c r="V471" i="11"/>
  <c r="V472" i="11"/>
  <c r="V473" i="11"/>
  <c r="V474" i="11"/>
  <c r="V475" i="11"/>
  <c r="V476" i="11"/>
  <c r="V481" i="11"/>
  <c r="V482" i="11"/>
  <c r="V483" i="11"/>
  <c r="V484" i="11"/>
  <c r="V485" i="11"/>
  <c r="V486" i="11"/>
  <c r="V487" i="11"/>
  <c r="V488" i="11"/>
  <c r="V489" i="11"/>
  <c r="V490" i="11"/>
  <c r="V491" i="11"/>
  <c r="V492" i="11"/>
  <c r="V493" i="11"/>
  <c r="V494" i="11"/>
  <c r="V495" i="11"/>
  <c r="V496" i="11"/>
  <c r="V497" i="11"/>
  <c r="V498" i="11"/>
  <c r="V499" i="11"/>
  <c r="V500" i="11"/>
  <c r="V501" i="11"/>
  <c r="V502" i="11"/>
  <c r="V503" i="11"/>
  <c r="V504" i="11"/>
  <c r="V505" i="11"/>
  <c r="V506" i="11"/>
  <c r="V507" i="11"/>
  <c r="V508" i="11"/>
  <c r="V509" i="11"/>
  <c r="V510" i="11"/>
  <c r="V511" i="11"/>
  <c r="V512" i="11"/>
  <c r="V513" i="11"/>
  <c r="V514" i="11"/>
  <c r="V515" i="11"/>
  <c r="V516" i="11"/>
  <c r="V517" i="11"/>
  <c r="V518" i="11"/>
  <c r="V519" i="11"/>
  <c r="V520" i="11"/>
  <c r="V521" i="11"/>
  <c r="V522" i="11"/>
  <c r="V523" i="11"/>
  <c r="V524" i="11"/>
  <c r="V525" i="11"/>
  <c r="V526" i="11"/>
  <c r="V527" i="11"/>
  <c r="V528" i="11"/>
  <c r="V529" i="11"/>
  <c r="V530" i="11"/>
  <c r="V531" i="11"/>
  <c r="V532" i="11"/>
  <c r="V533" i="11"/>
  <c r="V534" i="11"/>
  <c r="V535" i="11"/>
  <c r="V536" i="11"/>
  <c r="V537" i="11"/>
  <c r="V538" i="11"/>
  <c r="V539" i="11"/>
  <c r="V540" i="11"/>
  <c r="V541" i="11"/>
  <c r="V542" i="11"/>
  <c r="V543" i="11"/>
  <c r="V544" i="11"/>
  <c r="V545" i="11"/>
  <c r="V546" i="11"/>
  <c r="V547" i="11"/>
  <c r="V548" i="11"/>
  <c r="V549" i="11"/>
  <c r="V550" i="11"/>
  <c r="V551" i="11"/>
  <c r="V552" i="11"/>
  <c r="V553" i="11"/>
  <c r="V554" i="11"/>
  <c r="V555" i="11"/>
  <c r="V557" i="11"/>
  <c r="V558" i="11"/>
  <c r="V559" i="11"/>
  <c r="V560" i="11"/>
  <c r="V561" i="11"/>
  <c r="V562" i="11"/>
  <c r="V563" i="11"/>
  <c r="V564" i="11"/>
  <c r="V565" i="11"/>
  <c r="V566" i="11"/>
  <c r="V567" i="11"/>
  <c r="V568" i="11"/>
  <c r="V569" i="11"/>
  <c r="V570" i="11"/>
  <c r="V571" i="11"/>
  <c r="V572" i="11"/>
  <c r="V573" i="11"/>
  <c r="V574" i="11"/>
  <c r="V575" i="11"/>
  <c r="V576" i="11"/>
  <c r="V577" i="11"/>
  <c r="V578" i="11"/>
  <c r="V579" i="11"/>
  <c r="V580" i="11"/>
  <c r="V581" i="11"/>
  <c r="V582" i="11"/>
  <c r="V583" i="11"/>
  <c r="V584" i="11"/>
  <c r="V585" i="11"/>
  <c r="V595" i="11"/>
  <c r="V596" i="11"/>
  <c r="V597" i="11"/>
  <c r="V598" i="11"/>
  <c r="V599" i="11"/>
  <c r="V600" i="11"/>
  <c r="V601" i="11"/>
  <c r="V602" i="11"/>
  <c r="V603" i="11"/>
  <c r="V604" i="11"/>
  <c r="V605" i="11"/>
  <c r="V606" i="11"/>
  <c r="V607" i="11"/>
  <c r="V608" i="11"/>
  <c r="V609" i="11"/>
  <c r="V610" i="11"/>
  <c r="V611" i="11"/>
  <c r="V612" i="11"/>
  <c r="V613" i="11"/>
  <c r="V614" i="11"/>
  <c r="V615" i="11"/>
  <c r="V616" i="11"/>
  <c r="V617" i="11"/>
  <c r="V618" i="11"/>
  <c r="V619" i="11"/>
  <c r="V620" i="11"/>
  <c r="V621" i="11"/>
  <c r="V622" i="11"/>
  <c r="V623" i="11"/>
  <c r="V624" i="11"/>
  <c r="V625" i="11"/>
  <c r="V626" i="11"/>
  <c r="V627" i="11"/>
  <c r="V628" i="11"/>
  <c r="V629" i="11"/>
  <c r="V630" i="11"/>
  <c r="V631" i="11"/>
  <c r="V632" i="11"/>
  <c r="V633" i="11"/>
  <c r="V634" i="11"/>
  <c r="V635" i="11"/>
  <c r="V636" i="11"/>
  <c r="V637" i="11"/>
  <c r="V638" i="11"/>
  <c r="V639" i="11"/>
  <c r="V640" i="11"/>
  <c r="V641" i="11"/>
  <c r="V644" i="11"/>
  <c r="V645" i="11"/>
  <c r="V646" i="11"/>
  <c r="V647" i="11"/>
  <c r="V650" i="11"/>
  <c r="V651" i="11"/>
  <c r="V652" i="11"/>
  <c r="V653" i="11"/>
  <c r="V654" i="11"/>
  <c r="V655" i="11"/>
  <c r="V656" i="11"/>
  <c r="V657" i="11"/>
  <c r="V666" i="11"/>
  <c r="V667" i="11"/>
  <c r="V668" i="11"/>
  <c r="V669" i="11"/>
  <c r="V670" i="11"/>
  <c r="V671" i="11"/>
  <c r="V672" i="11"/>
  <c r="V673" i="11"/>
  <c r="V674" i="11"/>
  <c r="V675" i="11"/>
  <c r="V676" i="11"/>
  <c r="V677" i="11"/>
  <c r="V678" i="11"/>
  <c r="V679" i="11"/>
  <c r="V680" i="11"/>
  <c r="V681" i="11"/>
  <c r="V682" i="11"/>
  <c r="V683" i="11"/>
  <c r="V684" i="11"/>
  <c r="V685" i="11"/>
  <c r="V686" i="11"/>
  <c r="V687" i="11"/>
  <c r="V688" i="11"/>
  <c r="V689" i="11"/>
  <c r="V690" i="11"/>
  <c r="V691" i="11"/>
  <c r="V692" i="11"/>
  <c r="V693" i="11"/>
  <c r="V694" i="11"/>
  <c r="V695" i="11"/>
  <c r="V696" i="11"/>
  <c r="V697" i="11"/>
  <c r="V698" i="11"/>
  <c r="V699" i="11"/>
  <c r="V700" i="11"/>
  <c r="V701" i="11"/>
  <c r="V702" i="11"/>
  <c r="V703" i="11"/>
  <c r="V704" i="11"/>
  <c r="V705" i="11"/>
  <c r="V706" i="11"/>
  <c r="V707" i="11"/>
  <c r="V708" i="11"/>
  <c r="V709" i="11"/>
  <c r="V710" i="11"/>
  <c r="V711" i="11"/>
  <c r="V712" i="11"/>
  <c r="V713" i="11"/>
  <c r="V714" i="11"/>
  <c r="V715" i="11"/>
  <c r="V716" i="11"/>
  <c r="V717" i="11"/>
  <c r="V718" i="11"/>
  <c r="V719" i="11"/>
  <c r="V720" i="11"/>
  <c r="V721" i="11"/>
  <c r="V722" i="11"/>
  <c r="V723" i="11"/>
  <c r="V724" i="11"/>
  <c r="V725" i="11"/>
  <c r="V728" i="11"/>
  <c r="V729" i="11"/>
  <c r="V730" i="11"/>
  <c r="V731" i="11"/>
  <c r="V732" i="11"/>
  <c r="V733" i="11"/>
  <c r="V734" i="11"/>
  <c r="V735" i="11"/>
  <c r="V736" i="11"/>
  <c r="V737" i="11"/>
  <c r="V738" i="11"/>
  <c r="V739" i="11"/>
  <c r="V740" i="11"/>
  <c r="V741" i="11"/>
  <c r="V742" i="11"/>
  <c r="V743" i="11"/>
  <c r="V744" i="11"/>
  <c r="V745" i="11"/>
  <c r="V746" i="11"/>
  <c r="V747" i="11"/>
  <c r="V748" i="11"/>
  <c r="V749" i="11"/>
  <c r="V750" i="11"/>
  <c r="V751" i="11"/>
  <c r="V752" i="11"/>
  <c r="V753" i="11"/>
  <c r="V754" i="11"/>
  <c r="V755" i="11"/>
  <c r="V756" i="11"/>
  <c r="V757" i="11"/>
  <c r="V758" i="11"/>
  <c r="V759" i="11"/>
  <c r="V760" i="11"/>
  <c r="V761" i="11"/>
  <c r="V762" i="11"/>
  <c r="V763" i="11"/>
  <c r="V764" i="11"/>
  <c r="V765" i="11"/>
  <c r="V766" i="11"/>
  <c r="V767" i="11"/>
  <c r="V768" i="11"/>
  <c r="V769" i="11"/>
  <c r="V770" i="11"/>
  <c r="V771" i="11"/>
  <c r="V772" i="11"/>
  <c r="V773" i="11"/>
  <c r="V774" i="11"/>
  <c r="V775" i="11"/>
  <c r="V776" i="11"/>
  <c r="V777" i="11"/>
  <c r="V778" i="11"/>
  <c r="V779" i="11"/>
  <c r="V780" i="11"/>
  <c r="V781" i="11"/>
  <c r="V782" i="11"/>
  <c r="V783" i="11"/>
  <c r="V784" i="11"/>
  <c r="V785" i="11"/>
  <c r="V786" i="11"/>
  <c r="V787" i="11"/>
  <c r="J55" i="7" l="1"/>
  <c r="J55" i="28"/>
  <c r="L35" i="4"/>
  <c r="L35" i="28"/>
  <c r="I126" i="3"/>
  <c r="I126" i="28" s="1"/>
  <c r="I125" i="28"/>
  <c r="M176" i="3"/>
  <c r="M176" i="28" s="1"/>
  <c r="M175" i="28"/>
  <c r="K164" i="3"/>
  <c r="K164" i="28" s="1"/>
  <c r="K163" i="28"/>
  <c r="H185" i="9"/>
  <c r="H185" i="28"/>
  <c r="I55" i="4"/>
  <c r="I55" i="28"/>
  <c r="C143" i="4"/>
  <c r="C143" i="28"/>
  <c r="J163" i="9"/>
  <c r="J163" i="28"/>
  <c r="I12" i="3"/>
  <c r="I12" i="28" s="1"/>
  <c r="I11" i="28"/>
  <c r="K55" i="4"/>
  <c r="K55" i="28"/>
  <c r="L45" i="4"/>
  <c r="L45" i="28"/>
  <c r="C39" i="4"/>
  <c r="C39" i="28"/>
  <c r="M35" i="4"/>
  <c r="M35" i="28"/>
  <c r="K87" i="7"/>
  <c r="K87" i="28"/>
  <c r="K76" i="3"/>
  <c r="K76" i="28" s="1"/>
  <c r="K75" i="28"/>
  <c r="H74" i="3"/>
  <c r="H74" i="28" s="1"/>
  <c r="H73" i="28"/>
  <c r="E72" i="3"/>
  <c r="E72" i="28" s="1"/>
  <c r="E71" i="28"/>
  <c r="L66" i="3"/>
  <c r="L66" i="28" s="1"/>
  <c r="L65" i="28"/>
  <c r="H146" i="3"/>
  <c r="H146" i="28" s="1"/>
  <c r="H145" i="28"/>
  <c r="J126" i="3"/>
  <c r="J126" i="28" s="1"/>
  <c r="J125" i="28"/>
  <c r="D122" i="3"/>
  <c r="D122" i="28" s="1"/>
  <c r="D121" i="28"/>
  <c r="K173" i="7"/>
  <c r="K173" i="28"/>
  <c r="I162" i="3"/>
  <c r="I162" i="28" s="1"/>
  <c r="I161" i="28"/>
  <c r="C156" i="3"/>
  <c r="C156" i="28" s="1"/>
  <c r="C155" i="28"/>
  <c r="M152" i="3"/>
  <c r="M152" i="28" s="1"/>
  <c r="M151" i="28"/>
  <c r="J150" i="3"/>
  <c r="J150" i="28" s="1"/>
  <c r="J149" i="28"/>
  <c r="E194" i="3"/>
  <c r="E194" i="28" s="1"/>
  <c r="E193" i="28"/>
  <c r="L188" i="3"/>
  <c r="L188" i="28" s="1"/>
  <c r="L187" i="28"/>
  <c r="I186" i="3"/>
  <c r="I186" i="28" s="1"/>
  <c r="I185" i="28"/>
  <c r="C181" i="4"/>
  <c r="C181" i="28"/>
  <c r="L239" i="4"/>
  <c r="L239" i="28"/>
  <c r="C233" i="7"/>
  <c r="C233" i="28"/>
  <c r="G80" i="3"/>
  <c r="G80" i="28" s="1"/>
  <c r="G79" i="28"/>
  <c r="H162" i="3"/>
  <c r="H162" i="28" s="1"/>
  <c r="H161" i="28"/>
  <c r="G12" i="3"/>
  <c r="G12" i="28" s="1"/>
  <c r="G11" i="28"/>
  <c r="G117" i="4"/>
  <c r="G117" i="28"/>
  <c r="E124" i="3"/>
  <c r="E124" i="28" s="1"/>
  <c r="E123" i="28"/>
  <c r="H225" i="4"/>
  <c r="H225" i="28"/>
  <c r="C211" i="4"/>
  <c r="C211" i="28"/>
  <c r="H55" i="4"/>
  <c r="H55" i="28"/>
  <c r="F117" i="4"/>
  <c r="F117" i="28"/>
  <c r="G107" i="4"/>
  <c r="G107" i="28"/>
  <c r="E146" i="3"/>
  <c r="E146" i="28" s="1"/>
  <c r="E145" i="28"/>
  <c r="L139" i="4"/>
  <c r="L139" i="28"/>
  <c r="I138" i="3"/>
  <c r="I138" i="28" s="1"/>
  <c r="I137" i="28"/>
  <c r="F136" i="3"/>
  <c r="F136" i="28" s="1"/>
  <c r="F135" i="28"/>
  <c r="C134" i="3"/>
  <c r="C134" i="28" s="1"/>
  <c r="C133" i="28"/>
  <c r="M129" i="9"/>
  <c r="M129" i="28"/>
  <c r="J128" i="3"/>
  <c r="J128" i="28" s="1"/>
  <c r="J127" i="28"/>
  <c r="G125" i="4"/>
  <c r="G125" i="28"/>
  <c r="D124" i="3"/>
  <c r="D124" i="28" s="1"/>
  <c r="D123" i="28"/>
  <c r="K175" i="4"/>
  <c r="K175" i="28"/>
  <c r="E171" i="4"/>
  <c r="E171" i="28"/>
  <c r="L165" i="7"/>
  <c r="L165" i="28"/>
  <c r="I164" i="3"/>
  <c r="I164" i="28" s="1"/>
  <c r="I163" i="28"/>
  <c r="F162" i="3"/>
  <c r="F162" i="28" s="1"/>
  <c r="F161" i="28"/>
  <c r="C160" i="3"/>
  <c r="C160" i="28" s="1"/>
  <c r="C159" i="28"/>
  <c r="J151" i="4"/>
  <c r="J151" i="28"/>
  <c r="G149" i="7"/>
  <c r="G149" i="28"/>
  <c r="K201" i="4"/>
  <c r="K201" i="28"/>
  <c r="H200" i="3"/>
  <c r="H200" i="4" s="1"/>
  <c r="H199" i="28"/>
  <c r="L189" i="4"/>
  <c r="L189" i="28"/>
  <c r="M180" i="3"/>
  <c r="M180" i="28" s="1"/>
  <c r="M179" i="28"/>
  <c r="J178" i="3"/>
  <c r="J178" i="28" s="1"/>
  <c r="J177" i="28"/>
  <c r="D223" i="4"/>
  <c r="D223" i="28"/>
  <c r="E213" i="4"/>
  <c r="E213" i="28"/>
  <c r="L207" i="4"/>
  <c r="L207" i="28"/>
  <c r="F237" i="4"/>
  <c r="F237" i="28"/>
  <c r="C235" i="4"/>
  <c r="C235" i="28"/>
  <c r="G227" i="7"/>
  <c r="G227" i="28"/>
  <c r="M57" i="4"/>
  <c r="M57" i="28"/>
  <c r="G146" i="3"/>
  <c r="G146" i="28" s="1"/>
  <c r="G145" i="28"/>
  <c r="L151" i="4"/>
  <c r="L151" i="28"/>
  <c r="F147" i="4"/>
  <c r="F147" i="28"/>
  <c r="D194" i="3"/>
  <c r="D194" i="28" s="1"/>
  <c r="D193" i="28"/>
  <c r="C158" i="3"/>
  <c r="C158" i="28" s="1"/>
  <c r="C157" i="28"/>
  <c r="C51" i="7"/>
  <c r="C51" i="28"/>
  <c r="L99" i="4"/>
  <c r="L99" i="28"/>
  <c r="J138" i="3"/>
  <c r="J138" i="28" s="1"/>
  <c r="J137" i="28"/>
  <c r="M190" i="3"/>
  <c r="M190" i="28" s="1"/>
  <c r="M189" i="28"/>
  <c r="G185" i="9"/>
  <c r="G185" i="28"/>
  <c r="I16" i="3"/>
  <c r="I15" i="28"/>
  <c r="F14" i="3"/>
  <c r="F14" i="28" s="1"/>
  <c r="F13" i="28"/>
  <c r="I35" i="4"/>
  <c r="I35" i="28"/>
  <c r="H65" i="4"/>
  <c r="H65" i="28"/>
  <c r="H138" i="3"/>
  <c r="H138" i="28" s="1"/>
  <c r="H137" i="28"/>
  <c r="L130" i="3"/>
  <c r="L130" i="28" s="1"/>
  <c r="L129" i="28"/>
  <c r="I151" i="4"/>
  <c r="I151" i="28"/>
  <c r="M203" i="4"/>
  <c r="M203" i="28"/>
  <c r="K190" i="3"/>
  <c r="K190" i="28" s="1"/>
  <c r="K189" i="28"/>
  <c r="F97" i="4"/>
  <c r="F97" i="28"/>
  <c r="J165" i="7"/>
  <c r="J165" i="28"/>
  <c r="I201" i="4"/>
  <c r="I201" i="28"/>
  <c r="L196" i="3"/>
  <c r="L196" i="28" s="1"/>
  <c r="L195" i="28"/>
  <c r="C24" i="3"/>
  <c r="C24" i="28" s="1"/>
  <c r="C23" i="28"/>
  <c r="D125" i="4"/>
  <c r="D125" i="28"/>
  <c r="L168" i="3"/>
  <c r="L168" i="28" s="1"/>
  <c r="L167" i="28"/>
  <c r="M155" i="4"/>
  <c r="M155" i="28"/>
  <c r="D225" i="4"/>
  <c r="D225" i="28"/>
  <c r="L209" i="4"/>
  <c r="L209" i="28"/>
  <c r="K50" i="3"/>
  <c r="K50" i="28" s="1"/>
  <c r="K49" i="28"/>
  <c r="E46" i="3"/>
  <c r="E46" i="28" s="1"/>
  <c r="E45" i="28"/>
  <c r="G90" i="3"/>
  <c r="G90" i="28" s="1"/>
  <c r="G89" i="28"/>
  <c r="K82" i="3"/>
  <c r="K82" i="28" s="1"/>
  <c r="K81" i="28"/>
  <c r="F110" i="3"/>
  <c r="F110" i="28" s="1"/>
  <c r="F109" i="28"/>
  <c r="C108" i="3"/>
  <c r="C108" i="28" s="1"/>
  <c r="C107" i="28"/>
  <c r="M103" i="4"/>
  <c r="M103" i="28"/>
  <c r="J102" i="3"/>
  <c r="J102" i="28" s="1"/>
  <c r="J101" i="28"/>
  <c r="G100" i="3"/>
  <c r="G100" i="28" s="1"/>
  <c r="G99" i="28"/>
  <c r="D98" i="3"/>
  <c r="D98" i="28" s="1"/>
  <c r="D97" i="28"/>
  <c r="I129" i="4"/>
  <c r="I129" i="28"/>
  <c r="F127" i="4"/>
  <c r="F127" i="28"/>
  <c r="C125" i="4"/>
  <c r="C125" i="28"/>
  <c r="D174" i="3"/>
  <c r="D174" i="28" s="1"/>
  <c r="D173" i="28"/>
  <c r="K168" i="3"/>
  <c r="K168" i="28" s="1"/>
  <c r="K167" i="28"/>
  <c r="L156" i="3"/>
  <c r="L156" i="28" s="1"/>
  <c r="L155" i="28"/>
  <c r="I154" i="3"/>
  <c r="I154" i="28" s="1"/>
  <c r="I153" i="28"/>
  <c r="F152" i="3"/>
  <c r="F152" i="28" s="1"/>
  <c r="F151" i="28"/>
  <c r="C150" i="3"/>
  <c r="C150" i="28" s="1"/>
  <c r="C149" i="28"/>
  <c r="J203" i="4"/>
  <c r="J203" i="28"/>
  <c r="D199" i="4"/>
  <c r="D199" i="28"/>
  <c r="I179" i="7"/>
  <c r="I179" i="28"/>
  <c r="F177" i="7"/>
  <c r="F177" i="28"/>
  <c r="C226" i="3"/>
  <c r="C226" i="28" s="1"/>
  <c r="C225" i="28"/>
  <c r="J220" i="3"/>
  <c r="J220" i="28" s="1"/>
  <c r="J219" i="28"/>
  <c r="D216" i="3"/>
  <c r="D216" i="7" s="1"/>
  <c r="D215" i="28"/>
  <c r="K209" i="7"/>
  <c r="K209" i="28"/>
  <c r="E240" i="3"/>
  <c r="E239" i="28"/>
  <c r="F230" i="3"/>
  <c r="F230" i="28" s="1"/>
  <c r="F229" i="28"/>
  <c r="J196" i="3"/>
  <c r="J195" i="28"/>
  <c r="M32" i="3"/>
  <c r="M32" i="28" s="1"/>
  <c r="M31" i="28"/>
  <c r="G28" i="3"/>
  <c r="G28" i="28" s="1"/>
  <c r="G27" i="28"/>
  <c r="H18" i="3"/>
  <c r="H18" i="28" s="1"/>
  <c r="H17" i="28"/>
  <c r="I59" i="4"/>
  <c r="I59" i="28"/>
  <c r="C56" i="3"/>
  <c r="C56" i="28" s="1"/>
  <c r="C55" i="28"/>
  <c r="J50" i="3"/>
  <c r="J50" i="28" s="1"/>
  <c r="J49" i="28"/>
  <c r="D46" i="3"/>
  <c r="D46" i="28" s="1"/>
  <c r="D45" i="28"/>
  <c r="K40" i="3"/>
  <c r="K40" i="28" s="1"/>
  <c r="K39" i="28"/>
  <c r="E36" i="3"/>
  <c r="E36" i="28" s="1"/>
  <c r="E35" i="28"/>
  <c r="L94" i="3"/>
  <c r="L94" i="28" s="1"/>
  <c r="L93" i="28"/>
  <c r="F90" i="3"/>
  <c r="F90" i="28" s="1"/>
  <c r="F89" i="28"/>
  <c r="M83" i="4"/>
  <c r="M83" i="28"/>
  <c r="J81" i="4"/>
  <c r="J81" i="28"/>
  <c r="G78" i="3"/>
  <c r="G78" i="28" s="1"/>
  <c r="G77" i="28"/>
  <c r="C76" i="3"/>
  <c r="C76" i="28" s="1"/>
  <c r="C75" i="28"/>
  <c r="M72" i="3"/>
  <c r="M72" i="28" s="1"/>
  <c r="M71" i="28"/>
  <c r="J70" i="3"/>
  <c r="J70" i="28" s="1"/>
  <c r="J69" i="28"/>
  <c r="G68" i="3"/>
  <c r="G68" i="28" s="1"/>
  <c r="G67" i="28"/>
  <c r="D66" i="3"/>
  <c r="D66" i="28" s="1"/>
  <c r="D65" i="28"/>
  <c r="K114" i="3"/>
  <c r="K114" i="28" s="1"/>
  <c r="K113" i="28"/>
  <c r="H111" i="4"/>
  <c r="H111" i="28"/>
  <c r="E110" i="3"/>
  <c r="E110" i="28" s="1"/>
  <c r="E109" i="28"/>
  <c r="L103" i="4"/>
  <c r="L103" i="28"/>
  <c r="I102" i="3"/>
  <c r="I102" i="28" s="1"/>
  <c r="I101" i="28"/>
  <c r="F100" i="3"/>
  <c r="F100" i="28" s="1"/>
  <c r="F99" i="28"/>
  <c r="C98" i="3"/>
  <c r="C98" i="28" s="1"/>
  <c r="C97" i="28"/>
  <c r="M143" i="4"/>
  <c r="M143" i="28"/>
  <c r="K131" i="4"/>
  <c r="K131" i="28"/>
  <c r="L121" i="4"/>
  <c r="L121" i="28"/>
  <c r="F176" i="3"/>
  <c r="F176" i="28" s="1"/>
  <c r="F175" i="28"/>
  <c r="M170" i="3"/>
  <c r="M170" i="28" s="1"/>
  <c r="M169" i="28"/>
  <c r="J168" i="3"/>
  <c r="J168" i="28" s="1"/>
  <c r="J167" i="28"/>
  <c r="G166" i="3"/>
  <c r="G166" i="28" s="1"/>
  <c r="G165" i="28"/>
  <c r="K156" i="3"/>
  <c r="K156" i="28" s="1"/>
  <c r="K155" i="28"/>
  <c r="H154" i="3"/>
  <c r="H154" i="28" s="1"/>
  <c r="H153" i="28"/>
  <c r="E151" i="4"/>
  <c r="E151" i="28"/>
  <c r="L205" i="7"/>
  <c r="L205" i="28"/>
  <c r="I203" i="4"/>
  <c r="I203" i="28"/>
  <c r="H179" i="4"/>
  <c r="H179" i="28"/>
  <c r="E177" i="7"/>
  <c r="E177" i="28"/>
  <c r="L221" i="7"/>
  <c r="L221" i="28"/>
  <c r="F217" i="4"/>
  <c r="F217" i="28"/>
  <c r="J209" i="7"/>
  <c r="J209" i="28"/>
  <c r="D240" i="3"/>
  <c r="D239" i="28"/>
  <c r="K233" i="4"/>
  <c r="K233" i="28"/>
  <c r="H231" i="4"/>
  <c r="H231" i="28"/>
  <c r="E230" i="3"/>
  <c r="E230" i="28" s="1"/>
  <c r="E229" i="28"/>
  <c r="L158" i="3"/>
  <c r="L158" i="28" s="1"/>
  <c r="L157" i="28"/>
  <c r="I195" i="4"/>
  <c r="I195" i="28"/>
  <c r="H12" i="3"/>
  <c r="H12" i="28" s="1"/>
  <c r="H11" i="28"/>
  <c r="H117" i="4"/>
  <c r="H117" i="28"/>
  <c r="D143" i="4"/>
  <c r="D143" i="28"/>
  <c r="J173" i="7"/>
  <c r="J173" i="28"/>
  <c r="K188" i="3"/>
  <c r="K188" i="28" s="1"/>
  <c r="K187" i="28"/>
  <c r="L178" i="3"/>
  <c r="L178" i="28" s="1"/>
  <c r="L177" i="28"/>
  <c r="F223" i="4"/>
  <c r="F223" i="28"/>
  <c r="F146" i="3"/>
  <c r="F146" i="28" s="1"/>
  <c r="F145" i="28"/>
  <c r="G136" i="3"/>
  <c r="G136" i="28" s="1"/>
  <c r="G135" i="28"/>
  <c r="K128" i="3"/>
  <c r="K128" i="4" s="1"/>
  <c r="K127" i="28"/>
  <c r="L175" i="9"/>
  <c r="L175" i="28"/>
  <c r="F171" i="4"/>
  <c r="F171" i="28"/>
  <c r="M165" i="4"/>
  <c r="M165" i="28"/>
  <c r="D160" i="3"/>
  <c r="D160" i="28" s="1"/>
  <c r="D159" i="28"/>
  <c r="K151" i="9"/>
  <c r="K151" i="28"/>
  <c r="C193" i="9"/>
  <c r="C193" i="28"/>
  <c r="D235" i="4"/>
  <c r="D235" i="28"/>
  <c r="H227" i="7"/>
  <c r="H227" i="28"/>
  <c r="L27" i="4"/>
  <c r="L27" i="28"/>
  <c r="H26" i="3"/>
  <c r="H26" i="28" s="1"/>
  <c r="H25" i="28"/>
  <c r="L18" i="3"/>
  <c r="L18" i="28" s="1"/>
  <c r="L17" i="28"/>
  <c r="M91" i="4"/>
  <c r="M91" i="28"/>
  <c r="D85" i="4"/>
  <c r="D85" i="28"/>
  <c r="K140" i="3"/>
  <c r="K140" i="28" s="1"/>
  <c r="K139" i="28"/>
  <c r="E136" i="3"/>
  <c r="E136" i="28" s="1"/>
  <c r="E135" i="28"/>
  <c r="F126" i="3"/>
  <c r="F126" i="28" s="1"/>
  <c r="F125" i="28"/>
  <c r="C124" i="3"/>
  <c r="C124" i="28" s="1"/>
  <c r="C123" i="28"/>
  <c r="G174" i="3"/>
  <c r="G174" i="28" s="1"/>
  <c r="G173" i="28"/>
  <c r="F149" i="7"/>
  <c r="F149" i="28"/>
  <c r="I230" i="3"/>
  <c r="I230" i="28" s="1"/>
  <c r="I229" i="28"/>
  <c r="M29" i="4"/>
  <c r="M29" i="28"/>
  <c r="D23" i="4"/>
  <c r="D23" i="28"/>
  <c r="H16" i="3"/>
  <c r="H16" i="28" s="1"/>
  <c r="H15" i="28"/>
  <c r="C145" i="4"/>
  <c r="C145" i="28"/>
  <c r="K129" i="4"/>
  <c r="K129" i="28"/>
  <c r="H151" i="4"/>
  <c r="H151" i="28"/>
  <c r="I48" i="3"/>
  <c r="I48" i="28" s="1"/>
  <c r="I47" i="28"/>
  <c r="K92" i="3"/>
  <c r="K92" i="28" s="1"/>
  <c r="K91" i="28"/>
  <c r="F65" i="4"/>
  <c r="F65" i="28"/>
  <c r="G109" i="7"/>
  <c r="G109" i="28"/>
  <c r="E97" i="4"/>
  <c r="E97" i="28"/>
  <c r="E174" i="3"/>
  <c r="E174" i="28" s="1"/>
  <c r="E173" i="28"/>
  <c r="C162" i="3"/>
  <c r="C162" i="28" s="1"/>
  <c r="C161" i="28"/>
  <c r="C13" i="4"/>
  <c r="C13" i="28"/>
  <c r="J60" i="3"/>
  <c r="J60" i="28" s="1"/>
  <c r="J59" i="28"/>
  <c r="D56" i="3"/>
  <c r="D56" i="28" s="1"/>
  <c r="D55" i="28"/>
  <c r="F36" i="3"/>
  <c r="F36" i="28" s="1"/>
  <c r="F35" i="28"/>
  <c r="M94" i="3"/>
  <c r="M94" i="28" s="1"/>
  <c r="M93" i="28"/>
  <c r="K70" i="3"/>
  <c r="K70" i="28" s="1"/>
  <c r="K69" i="28"/>
  <c r="E66" i="3"/>
  <c r="E66" i="28" s="1"/>
  <c r="E65" i="28"/>
  <c r="I112" i="3"/>
  <c r="I112" i="28" s="1"/>
  <c r="I111" i="28"/>
  <c r="L84" i="3"/>
  <c r="L84" i="28" s="1"/>
  <c r="L83" i="28"/>
  <c r="I82" i="3"/>
  <c r="I82" i="28" s="1"/>
  <c r="I81" i="28"/>
  <c r="F77" i="9"/>
  <c r="F77" i="28"/>
  <c r="L72" i="3"/>
  <c r="L72" i="28" s="1"/>
  <c r="L71" i="28"/>
  <c r="F68" i="3"/>
  <c r="F68" i="28" s="1"/>
  <c r="F67" i="28"/>
  <c r="J114" i="3"/>
  <c r="J114" i="28" s="1"/>
  <c r="J113" i="28"/>
  <c r="H102" i="3"/>
  <c r="H102" i="28" s="1"/>
  <c r="H101" i="28"/>
  <c r="E99" i="4"/>
  <c r="E99" i="28"/>
  <c r="L144" i="3"/>
  <c r="L144" i="28" s="1"/>
  <c r="L143" i="28"/>
  <c r="I142" i="3"/>
  <c r="I142" i="28" s="1"/>
  <c r="I141" i="28"/>
  <c r="C138" i="3"/>
  <c r="C138" i="28" s="1"/>
  <c r="C137" i="28"/>
  <c r="M134" i="3"/>
  <c r="M133" i="28"/>
  <c r="G130" i="3"/>
  <c r="G130" i="9" s="1"/>
  <c r="G129" i="28"/>
  <c r="H120" i="3"/>
  <c r="H120" i="28" s="1"/>
  <c r="H119" i="28"/>
  <c r="I168" i="3"/>
  <c r="I168" i="28" s="1"/>
  <c r="I167" i="28"/>
  <c r="C164" i="3"/>
  <c r="C164" i="28" s="1"/>
  <c r="C163" i="28"/>
  <c r="J155" i="4"/>
  <c r="J155" i="28"/>
  <c r="D151" i="4"/>
  <c r="D151" i="28"/>
  <c r="K205" i="7"/>
  <c r="K205" i="28"/>
  <c r="M183" i="4"/>
  <c r="M183" i="28"/>
  <c r="H219" i="7"/>
  <c r="H219" i="28"/>
  <c r="I209" i="4"/>
  <c r="I209" i="28"/>
  <c r="M236" i="3"/>
  <c r="M236" i="28" s="1"/>
  <c r="M235" i="28"/>
  <c r="G232" i="3"/>
  <c r="G232" i="28" s="1"/>
  <c r="G231" i="28"/>
  <c r="H195" i="9"/>
  <c r="H195" i="28"/>
  <c r="E28" i="3"/>
  <c r="E28" i="28" s="1"/>
  <c r="E27" i="28"/>
  <c r="J62" i="3"/>
  <c r="J62" i="28" s="1"/>
  <c r="J61" i="28"/>
  <c r="D58" i="3"/>
  <c r="D58" i="28" s="1"/>
  <c r="D57" i="28"/>
  <c r="K52" i="3"/>
  <c r="K52" i="28" s="1"/>
  <c r="K51" i="28"/>
  <c r="E48" i="3"/>
  <c r="E48" i="28" s="1"/>
  <c r="E47" i="28"/>
  <c r="L42" i="3"/>
  <c r="L42" i="28" s="1"/>
  <c r="L41" i="28"/>
  <c r="F38" i="3"/>
  <c r="F38" i="28" s="1"/>
  <c r="F37" i="28"/>
  <c r="M96" i="3"/>
  <c r="M96" i="4" s="1"/>
  <c r="M95" i="28"/>
  <c r="G92" i="3"/>
  <c r="G92" i="28" s="1"/>
  <c r="G91" i="28"/>
  <c r="H81" i="4"/>
  <c r="H81" i="28"/>
  <c r="E78" i="3"/>
  <c r="E78" i="28" s="1"/>
  <c r="E77" i="28"/>
  <c r="K72" i="3"/>
  <c r="K72" i="28" s="1"/>
  <c r="K71" i="28"/>
  <c r="H70" i="3"/>
  <c r="H70" i="28" s="1"/>
  <c r="H69" i="28"/>
  <c r="E68" i="3"/>
  <c r="E68" i="28" s="1"/>
  <c r="E67" i="28"/>
  <c r="L116" i="3"/>
  <c r="L116" i="28" s="1"/>
  <c r="L115" i="28"/>
  <c r="I113" i="9"/>
  <c r="I113" i="28"/>
  <c r="F112" i="3"/>
  <c r="F112" i="28" s="1"/>
  <c r="F111" i="28"/>
  <c r="C110" i="3"/>
  <c r="C110" i="28" s="1"/>
  <c r="C109" i="28"/>
  <c r="M106" i="3"/>
  <c r="M106" i="28" s="1"/>
  <c r="M105" i="28"/>
  <c r="J104" i="3"/>
  <c r="J104" i="28" s="1"/>
  <c r="J103" i="28"/>
  <c r="G102" i="3"/>
  <c r="G102" i="28" s="1"/>
  <c r="G101" i="28"/>
  <c r="D100" i="3"/>
  <c r="D100" i="28" s="1"/>
  <c r="D99" i="28"/>
  <c r="K144" i="3"/>
  <c r="K144" i="28" s="1"/>
  <c r="K143" i="28"/>
  <c r="H142" i="3"/>
  <c r="H142" i="28" s="1"/>
  <c r="H141" i="28"/>
  <c r="E140" i="3"/>
  <c r="E140" i="28" s="1"/>
  <c r="E139" i="28"/>
  <c r="L134" i="3"/>
  <c r="L134" i="28" s="1"/>
  <c r="L133" i="28"/>
  <c r="I132" i="3"/>
  <c r="I132" i="28" s="1"/>
  <c r="I131" i="28"/>
  <c r="F130" i="3"/>
  <c r="F130" i="28" s="1"/>
  <c r="F129" i="28"/>
  <c r="C128" i="3"/>
  <c r="C128" i="28" s="1"/>
  <c r="C127" i="28"/>
  <c r="M123" i="4"/>
  <c r="M123" i="28"/>
  <c r="J122" i="3"/>
  <c r="J122" i="28" s="1"/>
  <c r="J121" i="28"/>
  <c r="G120" i="3"/>
  <c r="G120" i="28" s="1"/>
  <c r="G119" i="28"/>
  <c r="H167" i="4"/>
  <c r="H167" i="28"/>
  <c r="E165" i="9"/>
  <c r="E165" i="28"/>
  <c r="I155" i="9"/>
  <c r="I155" i="28"/>
  <c r="F153" i="7"/>
  <c r="F153" i="28"/>
  <c r="C151" i="4"/>
  <c r="C151" i="28"/>
  <c r="M148" i="3"/>
  <c r="M148" i="28" s="1"/>
  <c r="M147" i="28"/>
  <c r="J205" i="7"/>
  <c r="J205" i="28"/>
  <c r="G203" i="7"/>
  <c r="G203" i="28"/>
  <c r="D201" i="7"/>
  <c r="D201" i="28"/>
  <c r="K193" i="7"/>
  <c r="K193" i="28"/>
  <c r="L183" i="4"/>
  <c r="L183" i="28"/>
  <c r="I182" i="3"/>
  <c r="I182" i="28" s="1"/>
  <c r="I181" i="28"/>
  <c r="F179" i="9"/>
  <c r="F179" i="28"/>
  <c r="C178" i="3"/>
  <c r="C178" i="28" s="1"/>
  <c r="C177" i="28"/>
  <c r="M223" i="4"/>
  <c r="M223" i="28"/>
  <c r="J221" i="7"/>
  <c r="J221" i="28"/>
  <c r="G220" i="3"/>
  <c r="G220" i="28" s="1"/>
  <c r="G219" i="28"/>
  <c r="D217" i="7"/>
  <c r="D217" i="28"/>
  <c r="H209" i="4"/>
  <c r="H209" i="28"/>
  <c r="E207" i="4"/>
  <c r="E207" i="28"/>
  <c r="L236" i="3"/>
  <c r="L236" i="28" s="1"/>
  <c r="L235" i="28"/>
  <c r="I234" i="3"/>
  <c r="I234" i="28" s="1"/>
  <c r="I233" i="28"/>
  <c r="F232" i="3"/>
  <c r="F232" i="28" s="1"/>
  <c r="F231" i="28"/>
  <c r="C230" i="3"/>
  <c r="C230" i="28" s="1"/>
  <c r="C229" i="28"/>
  <c r="J157" i="9"/>
  <c r="J157" i="28"/>
  <c r="G195" i="7"/>
  <c r="G195" i="28"/>
  <c r="D186" i="3"/>
  <c r="D186" i="28" s="1"/>
  <c r="D185" i="28"/>
  <c r="D14" i="3"/>
  <c r="D14" i="28" s="1"/>
  <c r="D13" i="28"/>
  <c r="J38" i="3"/>
  <c r="J38" i="28" s="1"/>
  <c r="J37" i="28"/>
  <c r="E88" i="3"/>
  <c r="E88" i="28" s="1"/>
  <c r="E87" i="28"/>
  <c r="I67" i="4"/>
  <c r="I67" i="28"/>
  <c r="H99" i="4"/>
  <c r="H99" i="28"/>
  <c r="J129" i="4"/>
  <c r="J129" i="28"/>
  <c r="K203" i="4"/>
  <c r="K203" i="28"/>
  <c r="C237" i="4"/>
  <c r="C237" i="28"/>
  <c r="K195" i="9"/>
  <c r="K195" i="28"/>
  <c r="K29" i="7"/>
  <c r="K29" i="28"/>
  <c r="L40" i="3"/>
  <c r="L40" i="28" s="1"/>
  <c r="L39" i="28"/>
  <c r="D88" i="3"/>
  <c r="D88" i="28" s="1"/>
  <c r="D87" i="28"/>
  <c r="D76" i="3"/>
  <c r="D76" i="28" s="1"/>
  <c r="D75" i="28"/>
  <c r="H68" i="3"/>
  <c r="H68" i="28" s="1"/>
  <c r="H67" i="28"/>
  <c r="L114" i="3"/>
  <c r="L114" i="28" s="1"/>
  <c r="L113" i="28"/>
  <c r="F27" i="4"/>
  <c r="F27" i="28"/>
  <c r="C25" i="7"/>
  <c r="C25" i="28"/>
  <c r="I70" i="3"/>
  <c r="I70" i="28" s="1"/>
  <c r="I69" i="28"/>
  <c r="C66" i="3"/>
  <c r="C66" i="28" s="1"/>
  <c r="C65" i="28"/>
  <c r="M116" i="3"/>
  <c r="M116" i="28" s="1"/>
  <c r="M115" i="28"/>
  <c r="G111" i="4"/>
  <c r="G111" i="28"/>
  <c r="D110" i="3"/>
  <c r="D110" i="28" s="1"/>
  <c r="D109" i="28"/>
  <c r="K103" i="9"/>
  <c r="K103" i="28"/>
  <c r="F140" i="3"/>
  <c r="F140" i="28" s="1"/>
  <c r="F139" i="28"/>
  <c r="J132" i="3"/>
  <c r="J132" i="28" s="1"/>
  <c r="J131" i="28"/>
  <c r="D128" i="3"/>
  <c r="D128" i="28" s="1"/>
  <c r="D127" i="28"/>
  <c r="K122" i="3"/>
  <c r="K122" i="28" s="1"/>
  <c r="K121" i="28"/>
  <c r="E176" i="3"/>
  <c r="E176" i="28" s="1"/>
  <c r="E175" i="28"/>
  <c r="L170" i="3"/>
  <c r="L170" i="28" s="1"/>
  <c r="L169" i="28"/>
  <c r="F165" i="7"/>
  <c r="F165" i="28"/>
  <c r="M159" i="9"/>
  <c r="M159" i="28"/>
  <c r="G154" i="3"/>
  <c r="G154" i="28" s="1"/>
  <c r="G153" i="28"/>
  <c r="H203" i="7"/>
  <c r="H203" i="28"/>
  <c r="G179" i="4"/>
  <c r="G179" i="28"/>
  <c r="D177" i="7"/>
  <c r="D177" i="28"/>
  <c r="K221" i="7"/>
  <c r="K221" i="28"/>
  <c r="C240" i="3"/>
  <c r="C239" i="28"/>
  <c r="J233" i="4"/>
  <c r="J233" i="28"/>
  <c r="D230" i="3"/>
  <c r="D230" i="28" s="1"/>
  <c r="D229" i="28"/>
  <c r="K157" i="7"/>
  <c r="K157" i="28"/>
  <c r="J32" i="3"/>
  <c r="J32" i="28" s="1"/>
  <c r="J31" i="28"/>
  <c r="D28" i="3"/>
  <c r="D28" i="28" s="1"/>
  <c r="D27" i="28"/>
  <c r="K21" i="4"/>
  <c r="K21" i="28"/>
  <c r="H19" i="4"/>
  <c r="H19" i="28"/>
  <c r="E18" i="3"/>
  <c r="E18" i="28" s="1"/>
  <c r="E17" i="28"/>
  <c r="G81" i="4"/>
  <c r="G81" i="28"/>
  <c r="D78" i="3"/>
  <c r="D78" i="28" s="1"/>
  <c r="D77" i="28"/>
  <c r="J72" i="3"/>
  <c r="J72" i="28" s="1"/>
  <c r="J71" i="28"/>
  <c r="G69" i="9"/>
  <c r="G69" i="28"/>
  <c r="D68" i="3"/>
  <c r="D68" i="28" s="1"/>
  <c r="D67" i="28"/>
  <c r="K115" i="7"/>
  <c r="K115" i="28"/>
  <c r="H113" i="9"/>
  <c r="H113" i="28"/>
  <c r="E111" i="4"/>
  <c r="E111" i="28"/>
  <c r="L106" i="3"/>
  <c r="L106" i="28" s="1"/>
  <c r="L105" i="28"/>
  <c r="I104" i="3"/>
  <c r="I104" i="28" s="1"/>
  <c r="I103" i="28"/>
  <c r="F102" i="3"/>
  <c r="F102" i="28" s="1"/>
  <c r="F101" i="28"/>
  <c r="C100" i="3"/>
  <c r="C100" i="28" s="1"/>
  <c r="C99" i="28"/>
  <c r="M146" i="3"/>
  <c r="M146" i="28" s="1"/>
  <c r="M145" i="28"/>
  <c r="J143" i="7"/>
  <c r="J143" i="28"/>
  <c r="G142" i="3"/>
  <c r="G142" i="28" s="1"/>
  <c r="G141" i="28"/>
  <c r="D140" i="3"/>
  <c r="D140" i="28" s="1"/>
  <c r="D139" i="28"/>
  <c r="K133" i="9"/>
  <c r="K133" i="28"/>
  <c r="H132" i="3"/>
  <c r="H132" i="28" s="1"/>
  <c r="H131" i="28"/>
  <c r="E129" i="4"/>
  <c r="E129" i="28"/>
  <c r="L123" i="9"/>
  <c r="L123" i="28"/>
  <c r="I122" i="3"/>
  <c r="I122" i="28" s="1"/>
  <c r="I121" i="28"/>
  <c r="F120" i="3"/>
  <c r="F119" i="28"/>
  <c r="C175" i="4"/>
  <c r="C175" i="28"/>
  <c r="M171" i="4"/>
  <c r="M171" i="28"/>
  <c r="J169" i="4"/>
  <c r="J169" i="28"/>
  <c r="G167" i="4"/>
  <c r="G167" i="28"/>
  <c r="D165" i="9"/>
  <c r="D165" i="28"/>
  <c r="H156" i="3"/>
  <c r="H156" i="28" s="1"/>
  <c r="H155" i="28"/>
  <c r="E153" i="7"/>
  <c r="E153" i="28"/>
  <c r="L148" i="3"/>
  <c r="L148" i="9" s="1"/>
  <c r="L147" i="28"/>
  <c r="I205" i="4"/>
  <c r="I205" i="28"/>
  <c r="F203" i="7"/>
  <c r="F203" i="28"/>
  <c r="C201" i="7"/>
  <c r="C201" i="28"/>
  <c r="M197" i="4"/>
  <c r="M197" i="28"/>
  <c r="J193" i="9"/>
  <c r="J193" i="28"/>
  <c r="G191" i="9"/>
  <c r="G191" i="28"/>
  <c r="D190" i="3"/>
  <c r="D190" i="28" s="1"/>
  <c r="D189" i="28"/>
  <c r="K183" i="4"/>
  <c r="K183" i="28"/>
  <c r="H182" i="3"/>
  <c r="H182" i="28" s="1"/>
  <c r="H181" i="28"/>
  <c r="E179" i="9"/>
  <c r="E179" i="28"/>
  <c r="L223" i="4"/>
  <c r="L223" i="28"/>
  <c r="I221" i="4"/>
  <c r="I221" i="28"/>
  <c r="F219" i="9"/>
  <c r="F219" i="28"/>
  <c r="C217" i="7"/>
  <c r="C217" i="28"/>
  <c r="M213" i="4"/>
  <c r="M213" i="28"/>
  <c r="J211" i="4"/>
  <c r="J211" i="28"/>
  <c r="G209" i="9"/>
  <c r="G209" i="28"/>
  <c r="D207" i="4"/>
  <c r="D207" i="28"/>
  <c r="K235" i="4"/>
  <c r="K235" i="28"/>
  <c r="E232" i="3"/>
  <c r="E232" i="9" s="1"/>
  <c r="E231" i="28"/>
  <c r="K25" i="7"/>
  <c r="K25" i="28"/>
  <c r="E160" i="3"/>
  <c r="E160" i="28" s="1"/>
  <c r="E159" i="28"/>
  <c r="J45" i="4"/>
  <c r="J45" i="28"/>
  <c r="M140" i="3"/>
  <c r="M140" i="28" s="1"/>
  <c r="M139" i="28"/>
  <c r="D134" i="3"/>
  <c r="D134" i="28" s="1"/>
  <c r="D133" i="28"/>
  <c r="H126" i="3"/>
  <c r="H126" i="28" s="1"/>
  <c r="H125" i="28"/>
  <c r="I174" i="3"/>
  <c r="I174" i="28" s="1"/>
  <c r="I173" i="28"/>
  <c r="E147" i="4"/>
  <c r="E147" i="28"/>
  <c r="I200" i="3"/>
  <c r="I200" i="28" s="1"/>
  <c r="I199" i="28"/>
  <c r="K178" i="3"/>
  <c r="K178" i="28" s="1"/>
  <c r="K177" i="28"/>
  <c r="E223" i="4"/>
  <c r="E223" i="28"/>
  <c r="M207" i="4"/>
  <c r="M207" i="28"/>
  <c r="I45" i="4"/>
  <c r="I45" i="28"/>
  <c r="E12" i="3"/>
  <c r="E12" i="28" s="1"/>
  <c r="E11" i="28"/>
  <c r="K28" i="3"/>
  <c r="K28" i="28" s="1"/>
  <c r="K27" i="28"/>
  <c r="E24" i="3"/>
  <c r="E24" i="28" s="1"/>
  <c r="E23" i="28"/>
  <c r="K165" i="7"/>
  <c r="K165" i="28"/>
  <c r="J201" i="4"/>
  <c r="J201" i="28"/>
  <c r="D12" i="3"/>
  <c r="D12" i="28" s="1"/>
  <c r="D11" i="28"/>
  <c r="G26" i="3"/>
  <c r="G26" i="28" s="1"/>
  <c r="G25" i="28"/>
  <c r="F174" i="3"/>
  <c r="F174" i="28" s="1"/>
  <c r="F173" i="28"/>
  <c r="F200" i="3"/>
  <c r="F200" i="28" s="1"/>
  <c r="F199" i="28"/>
  <c r="E225" i="4"/>
  <c r="E225" i="28"/>
  <c r="E56" i="3"/>
  <c r="E56" i="28" s="1"/>
  <c r="E55" i="28"/>
  <c r="F46" i="3"/>
  <c r="F46" i="28" s="1"/>
  <c r="F45" i="28"/>
  <c r="M39" i="4"/>
  <c r="M39" i="28"/>
  <c r="J21" i="4"/>
  <c r="J21" i="28"/>
  <c r="D18" i="3"/>
  <c r="D18" i="28" s="1"/>
  <c r="D17" i="28"/>
  <c r="C48" i="3"/>
  <c r="C48" i="28" s="1"/>
  <c r="C47" i="28"/>
  <c r="D38" i="3"/>
  <c r="D38" i="28" s="1"/>
  <c r="D37" i="28"/>
  <c r="L86" i="3"/>
  <c r="L86" i="28" s="1"/>
  <c r="L85" i="28"/>
  <c r="F82" i="3"/>
  <c r="F82" i="28" s="1"/>
  <c r="F81" i="28"/>
  <c r="L74" i="3"/>
  <c r="L74" i="28" s="1"/>
  <c r="L73" i="28"/>
  <c r="I72" i="3"/>
  <c r="I72" i="28" s="1"/>
  <c r="I71" i="28"/>
  <c r="C68" i="3"/>
  <c r="C68" i="28" s="1"/>
  <c r="C67" i="28"/>
  <c r="J115" i="7"/>
  <c r="J115" i="28"/>
  <c r="H104" i="3"/>
  <c r="H104" i="28" s="1"/>
  <c r="H103" i="28"/>
  <c r="E102" i="3"/>
  <c r="E102" i="28" s="1"/>
  <c r="E101" i="28"/>
  <c r="L146" i="3"/>
  <c r="L146" i="28" s="1"/>
  <c r="L145" i="28"/>
  <c r="F142" i="3"/>
  <c r="F142" i="28" s="1"/>
  <c r="F141" i="28"/>
  <c r="C139" i="4"/>
  <c r="C139" i="28"/>
  <c r="M135" i="4"/>
  <c r="M135" i="28"/>
  <c r="G132" i="3"/>
  <c r="G132" i="28" s="1"/>
  <c r="G131" i="28"/>
  <c r="D129" i="9"/>
  <c r="D129" i="28"/>
  <c r="K124" i="3"/>
  <c r="K124" i="28" s="1"/>
  <c r="K123" i="28"/>
  <c r="H122" i="3"/>
  <c r="H122" i="28" s="1"/>
  <c r="H121" i="28"/>
  <c r="E120" i="3"/>
  <c r="E120" i="28" s="1"/>
  <c r="E119" i="28"/>
  <c r="L171" i="4"/>
  <c r="L171" i="28"/>
  <c r="F167" i="4"/>
  <c r="F167" i="28"/>
  <c r="C166" i="3"/>
  <c r="C166" i="28" s="1"/>
  <c r="C165" i="28"/>
  <c r="J160" i="3"/>
  <c r="J160" i="28" s="1"/>
  <c r="J159" i="28"/>
  <c r="G156" i="3"/>
  <c r="G156" i="28" s="1"/>
  <c r="G155" i="28"/>
  <c r="D153" i="4"/>
  <c r="D153" i="28"/>
  <c r="K148" i="3"/>
  <c r="K148" i="28" s="1"/>
  <c r="K147" i="28"/>
  <c r="H205" i="4"/>
  <c r="H205" i="28"/>
  <c r="E203" i="4"/>
  <c r="E203" i="28"/>
  <c r="L197" i="7"/>
  <c r="L197" i="28"/>
  <c r="F191" i="9"/>
  <c r="F191" i="28"/>
  <c r="J183" i="4"/>
  <c r="J183" i="28"/>
  <c r="G181" i="4"/>
  <c r="G181" i="28"/>
  <c r="D180" i="3"/>
  <c r="D180" i="4" s="1"/>
  <c r="D179" i="28"/>
  <c r="K223" i="4"/>
  <c r="K223" i="28"/>
  <c r="H222" i="3"/>
  <c r="H221" i="28"/>
  <c r="E220" i="3"/>
  <c r="E220" i="28" s="1"/>
  <c r="E219" i="28"/>
  <c r="L213" i="9"/>
  <c r="L213" i="28"/>
  <c r="F210" i="3"/>
  <c r="F210" i="4" s="1"/>
  <c r="F209" i="28"/>
  <c r="M237" i="4"/>
  <c r="M237" i="28"/>
  <c r="D231" i="9"/>
  <c r="D231" i="28"/>
  <c r="K80" i="3"/>
  <c r="K80" i="28" s="1"/>
  <c r="K79" i="28"/>
  <c r="I21" i="4"/>
  <c r="I21" i="28"/>
  <c r="F19" i="4"/>
  <c r="F19" i="28"/>
  <c r="J64" i="3"/>
  <c r="J64" i="28" s="1"/>
  <c r="J63" i="28"/>
  <c r="K54" i="3"/>
  <c r="K54" i="28" s="1"/>
  <c r="K53" i="28"/>
  <c r="E50" i="3"/>
  <c r="E50" i="28" s="1"/>
  <c r="E49" i="28"/>
  <c r="F40" i="3"/>
  <c r="F40" i="28" s="1"/>
  <c r="F39" i="28"/>
  <c r="C38" i="3"/>
  <c r="C38" i="28" s="1"/>
  <c r="C37" i="28"/>
  <c r="J95" i="9"/>
  <c r="J95" i="28"/>
  <c r="D91" i="4"/>
  <c r="D91" i="28"/>
  <c r="K86" i="3"/>
  <c r="K86" i="28" s="1"/>
  <c r="K85" i="28"/>
  <c r="E82" i="3"/>
  <c r="E82" i="28" s="1"/>
  <c r="E81" i="28"/>
  <c r="K73" i="4"/>
  <c r="K73" i="28"/>
  <c r="I115" i="4"/>
  <c r="I115" i="28"/>
  <c r="C112" i="3"/>
  <c r="C112" i="28" s="1"/>
  <c r="C111" i="28"/>
  <c r="D102" i="3"/>
  <c r="D102" i="28" s="1"/>
  <c r="D101" i="28"/>
  <c r="K146" i="3"/>
  <c r="K146" i="28" s="1"/>
  <c r="K145" i="28"/>
  <c r="I134" i="3"/>
  <c r="I134" i="28" s="1"/>
  <c r="I133" i="28"/>
  <c r="J124" i="3"/>
  <c r="J124" i="28" s="1"/>
  <c r="J123" i="28"/>
  <c r="D120" i="3"/>
  <c r="D120" i="28" s="1"/>
  <c r="D119" i="28"/>
  <c r="C153" i="4"/>
  <c r="C153" i="28"/>
  <c r="J147" i="7"/>
  <c r="J147" i="28"/>
  <c r="K197" i="4"/>
  <c r="K197" i="28"/>
  <c r="H194" i="3"/>
  <c r="H194" i="28" s="1"/>
  <c r="H193" i="28"/>
  <c r="F182" i="3"/>
  <c r="F182" i="28" s="1"/>
  <c r="F181" i="28"/>
  <c r="K213" i="7"/>
  <c r="K213" i="28"/>
  <c r="E210" i="3"/>
  <c r="E209" i="28"/>
  <c r="L237" i="7"/>
  <c r="L237" i="28"/>
  <c r="D196" i="3"/>
  <c r="D196" i="28" s="1"/>
  <c r="D195" i="28"/>
  <c r="K12" i="3"/>
  <c r="K12" i="28" s="1"/>
  <c r="K11" i="28"/>
  <c r="E19" i="4"/>
  <c r="E19" i="28"/>
  <c r="L13" i="4"/>
  <c r="L13" i="28"/>
  <c r="F62" i="3"/>
  <c r="F62" i="28" s="1"/>
  <c r="F61" i="28"/>
  <c r="C60" i="3"/>
  <c r="C60" i="28" s="1"/>
  <c r="C59" i="28"/>
  <c r="M56" i="3"/>
  <c r="M56" i="28" s="1"/>
  <c r="M55" i="28"/>
  <c r="G52" i="3"/>
  <c r="G52" i="28" s="1"/>
  <c r="G51" i="28"/>
  <c r="K44" i="3"/>
  <c r="K44" i="28" s="1"/>
  <c r="K43" i="28"/>
  <c r="H42" i="3"/>
  <c r="H42" i="28" s="1"/>
  <c r="H41" i="28"/>
  <c r="I96" i="3"/>
  <c r="I96" i="28" s="1"/>
  <c r="I95" i="28"/>
  <c r="F94" i="3"/>
  <c r="F94" i="28" s="1"/>
  <c r="F93" i="28"/>
  <c r="C92" i="3"/>
  <c r="C92" i="28" s="1"/>
  <c r="C91" i="28"/>
  <c r="M87" i="4"/>
  <c r="M87" i="28"/>
  <c r="J86" i="3"/>
  <c r="J86" i="28" s="1"/>
  <c r="J85" i="28"/>
  <c r="D82" i="3"/>
  <c r="D82" i="28" s="1"/>
  <c r="D81" i="28"/>
  <c r="M76" i="3"/>
  <c r="M76" i="28" s="1"/>
  <c r="M75" i="28"/>
  <c r="G72" i="3"/>
  <c r="G72" i="28" s="1"/>
  <c r="G71" i="28"/>
  <c r="K117" i="4"/>
  <c r="K117" i="28"/>
  <c r="H116" i="3"/>
  <c r="H116" i="28" s="1"/>
  <c r="H115" i="28"/>
  <c r="L107" i="7"/>
  <c r="L107" i="28"/>
  <c r="I106" i="3"/>
  <c r="I106" i="28" s="1"/>
  <c r="I105" i="28"/>
  <c r="C102" i="3"/>
  <c r="C102" i="28" s="1"/>
  <c r="C101" i="28"/>
  <c r="J146" i="3"/>
  <c r="J146" i="28" s="1"/>
  <c r="J145" i="28"/>
  <c r="G144" i="3"/>
  <c r="G144" i="28" s="1"/>
  <c r="G143" i="28"/>
  <c r="D142" i="3"/>
  <c r="D142" i="28" s="1"/>
  <c r="D141" i="28"/>
  <c r="K136" i="3"/>
  <c r="K136" i="28" s="1"/>
  <c r="K135" i="28"/>
  <c r="H134" i="3"/>
  <c r="H134" i="28" s="1"/>
  <c r="H133" i="28"/>
  <c r="E132" i="3"/>
  <c r="E132" i="28" s="1"/>
  <c r="E131" i="28"/>
  <c r="L126" i="3"/>
  <c r="L126" i="28" s="1"/>
  <c r="L125" i="28"/>
  <c r="I124" i="3"/>
  <c r="I124" i="28" s="1"/>
  <c r="I123" i="28"/>
  <c r="F122" i="3"/>
  <c r="F122" i="28" s="1"/>
  <c r="F121" i="28"/>
  <c r="C120" i="3"/>
  <c r="C120" i="28" s="1"/>
  <c r="C119" i="28"/>
  <c r="M174" i="3"/>
  <c r="M174" i="28" s="1"/>
  <c r="M173" i="28"/>
  <c r="J171" i="7"/>
  <c r="J171" i="28"/>
  <c r="G170" i="3"/>
  <c r="G170" i="28" s="1"/>
  <c r="G169" i="28"/>
  <c r="D168" i="3"/>
  <c r="D168" i="28" s="1"/>
  <c r="D167" i="28"/>
  <c r="K161" i="4"/>
  <c r="K161" i="28"/>
  <c r="E156" i="3"/>
  <c r="E156" i="28" s="1"/>
  <c r="E155" i="28"/>
  <c r="L150" i="3"/>
  <c r="L150" i="28" s="1"/>
  <c r="L149" i="28"/>
  <c r="I147" i="4"/>
  <c r="I147" i="28"/>
  <c r="J197" i="4"/>
  <c r="J197" i="28"/>
  <c r="G193" i="4"/>
  <c r="G193" i="28"/>
  <c r="L226" i="3"/>
  <c r="L226" i="28" s="1"/>
  <c r="L225" i="28"/>
  <c r="I223" i="4"/>
  <c r="I223" i="28"/>
  <c r="C219" i="4"/>
  <c r="C219" i="28"/>
  <c r="M215" i="4"/>
  <c r="M215" i="28"/>
  <c r="D209" i="7"/>
  <c r="D209" i="28"/>
  <c r="K237" i="7"/>
  <c r="K237" i="28"/>
  <c r="H235" i="7"/>
  <c r="H235" i="28"/>
  <c r="C196" i="3"/>
  <c r="C196" i="28" s="1"/>
  <c r="C195" i="28"/>
  <c r="H178" i="3"/>
  <c r="H178" i="28" s="1"/>
  <c r="H177" i="28"/>
  <c r="L30" i="3"/>
  <c r="L30" i="28" s="1"/>
  <c r="L29" i="28"/>
  <c r="F26" i="3"/>
  <c r="F26" i="28" s="1"/>
  <c r="F25" i="28"/>
  <c r="M20" i="3"/>
  <c r="M20" i="28" s="1"/>
  <c r="M19" i="28"/>
  <c r="G16" i="3"/>
  <c r="G16" i="28" s="1"/>
  <c r="G15" i="28"/>
  <c r="H58" i="3"/>
  <c r="H58" i="28" s="1"/>
  <c r="H57" i="28"/>
  <c r="G36" i="3"/>
  <c r="G36" i="28" s="1"/>
  <c r="G35" i="28"/>
  <c r="I32" i="3"/>
  <c r="I32" i="28" s="1"/>
  <c r="I31" i="28"/>
  <c r="C28" i="3"/>
  <c r="C28" i="28" s="1"/>
  <c r="C27" i="28"/>
  <c r="M24" i="3"/>
  <c r="M24" i="28" s="1"/>
  <c r="M23" i="28"/>
  <c r="G20" i="3"/>
  <c r="G20" i="28" s="1"/>
  <c r="G19" i="28"/>
  <c r="H62" i="3"/>
  <c r="H62" i="28" s="1"/>
  <c r="H61" i="28"/>
  <c r="L54" i="3"/>
  <c r="L54" i="28" s="1"/>
  <c r="L53" i="28"/>
  <c r="I52" i="3"/>
  <c r="I52" i="28" s="1"/>
  <c r="I51" i="28"/>
  <c r="J42" i="3"/>
  <c r="J42" i="28" s="1"/>
  <c r="J41" i="28"/>
  <c r="K96" i="3"/>
  <c r="K96" i="28" s="1"/>
  <c r="K95" i="28"/>
  <c r="E91" i="4"/>
  <c r="E91" i="28"/>
  <c r="C77" i="4"/>
  <c r="C77" i="28"/>
  <c r="F69" i="7"/>
  <c r="F69" i="28"/>
  <c r="M117" i="4"/>
  <c r="M117" i="28"/>
  <c r="G113" i="4"/>
  <c r="G113" i="28"/>
  <c r="D111" i="4"/>
  <c r="D111" i="28"/>
  <c r="K106" i="3"/>
  <c r="K106" i="28" s="1"/>
  <c r="K105" i="28"/>
  <c r="I144" i="3"/>
  <c r="I144" i="28" s="1"/>
  <c r="I143" i="28"/>
  <c r="J133" i="4"/>
  <c r="J133" i="28"/>
  <c r="I169" i="4"/>
  <c r="I169" i="28"/>
  <c r="M162" i="3"/>
  <c r="M162" i="28" s="1"/>
  <c r="M161" i="28"/>
  <c r="I193" i="4"/>
  <c r="I193" i="28"/>
  <c r="C189" i="4"/>
  <c r="C189" i="28"/>
  <c r="M186" i="3"/>
  <c r="M186" i="28" s="1"/>
  <c r="M185" i="28"/>
  <c r="I211" i="4"/>
  <c r="I211" i="28"/>
  <c r="C207" i="9"/>
  <c r="C207" i="28"/>
  <c r="J235" i="4"/>
  <c r="J235" i="28"/>
  <c r="G62" i="3"/>
  <c r="G62" i="28" s="1"/>
  <c r="G61" i="28"/>
  <c r="D60" i="3"/>
  <c r="D60" i="28" s="1"/>
  <c r="D59" i="28"/>
  <c r="H52" i="3"/>
  <c r="H52" i="28" s="1"/>
  <c r="H51" i="28"/>
  <c r="I42" i="3"/>
  <c r="I42" i="28" s="1"/>
  <c r="I41" i="28"/>
  <c r="M34" i="3"/>
  <c r="M34" i="28" s="1"/>
  <c r="M33" i="28"/>
  <c r="H83" i="7"/>
  <c r="H83" i="28"/>
  <c r="H72" i="3"/>
  <c r="H72" i="28" s="1"/>
  <c r="H71" i="28"/>
  <c r="M107" i="7"/>
  <c r="M107" i="28"/>
  <c r="J106" i="3"/>
  <c r="J106" i="28" s="1"/>
  <c r="J105" i="28"/>
  <c r="H144" i="3"/>
  <c r="H144" i="28" s="1"/>
  <c r="H143" i="28"/>
  <c r="F132" i="3"/>
  <c r="F132" i="28" s="1"/>
  <c r="F131" i="28"/>
  <c r="C130" i="3"/>
  <c r="C130" i="28" s="1"/>
  <c r="C129" i="28"/>
  <c r="G122" i="3"/>
  <c r="G122" i="28" s="1"/>
  <c r="G121" i="28"/>
  <c r="L161" i="4"/>
  <c r="L161" i="28"/>
  <c r="F156" i="3"/>
  <c r="F156" i="28" s="1"/>
  <c r="F155" i="28"/>
  <c r="M150" i="3"/>
  <c r="M150" i="28" s="1"/>
  <c r="M149" i="28"/>
  <c r="M226" i="3"/>
  <c r="M226" i="28" s="1"/>
  <c r="M225" i="28"/>
  <c r="D220" i="3"/>
  <c r="D220" i="28" s="1"/>
  <c r="D219" i="28"/>
  <c r="J80" i="3"/>
  <c r="J80" i="28" s="1"/>
  <c r="J79" i="28"/>
  <c r="G157" i="4"/>
  <c r="G157" i="28"/>
  <c r="J12" i="3"/>
  <c r="J12" i="28" s="1"/>
  <c r="J11" i="28"/>
  <c r="D39" i="4"/>
  <c r="D39" i="28"/>
  <c r="L76" i="3"/>
  <c r="L76" i="28" s="1"/>
  <c r="L75" i="28"/>
  <c r="F72" i="3"/>
  <c r="F72" i="28" s="1"/>
  <c r="F71" i="28"/>
  <c r="M66" i="3"/>
  <c r="M66" i="28" s="1"/>
  <c r="M65" i="28"/>
  <c r="G116" i="3"/>
  <c r="G116" i="28" s="1"/>
  <c r="G115" i="28"/>
  <c r="H106" i="3"/>
  <c r="H106" i="28" s="1"/>
  <c r="H105" i="28"/>
  <c r="F143" i="4"/>
  <c r="F143" i="28"/>
  <c r="J135" i="4"/>
  <c r="J135" i="28"/>
  <c r="L173" i="9"/>
  <c r="L173" i="28"/>
  <c r="I171" i="4"/>
  <c r="I171" i="28"/>
  <c r="C168" i="3"/>
  <c r="C168" i="28" s="1"/>
  <c r="C167" i="28"/>
  <c r="J161" i="4"/>
  <c r="J161" i="28"/>
  <c r="D156" i="3"/>
  <c r="D156" i="28" s="1"/>
  <c r="D155" i="28"/>
  <c r="K150" i="3"/>
  <c r="K150" i="28" s="1"/>
  <c r="K149" i="28"/>
  <c r="E205" i="4"/>
  <c r="E205" i="28"/>
  <c r="L200" i="3"/>
  <c r="L200" i="7" s="1"/>
  <c r="L199" i="28"/>
  <c r="I197" i="4"/>
  <c r="I197" i="28"/>
  <c r="F193" i="4"/>
  <c r="F193" i="28"/>
  <c r="C191" i="4"/>
  <c r="C191" i="28"/>
  <c r="D181" i="4"/>
  <c r="D181" i="28"/>
  <c r="L215" i="4"/>
  <c r="L215" i="28"/>
  <c r="F211" i="4"/>
  <c r="F211" i="28"/>
  <c r="C209" i="7"/>
  <c r="C209" i="28"/>
  <c r="M239" i="4"/>
  <c r="M239" i="28"/>
  <c r="J237" i="7"/>
  <c r="J237" i="28"/>
  <c r="G235" i="4"/>
  <c r="G235" i="28"/>
  <c r="D233" i="7"/>
  <c r="D233" i="28"/>
  <c r="H80" i="3"/>
  <c r="H80" i="28" s="1"/>
  <c r="H79" i="28"/>
  <c r="T649" i="32"/>
  <c r="T648" i="32"/>
  <c r="S178" i="32"/>
  <c r="S73" i="32"/>
  <c r="S264" i="32"/>
  <c r="S177" i="32"/>
  <c r="S72" i="32"/>
  <c r="S263" i="32"/>
  <c r="S179" i="32"/>
  <c r="S74" i="32"/>
  <c r="S809" i="32"/>
  <c r="S879" i="32"/>
  <c r="S946" i="32"/>
  <c r="S807" i="32"/>
  <c r="S881" i="32"/>
  <c r="S880" i="32"/>
  <c r="S947" i="32"/>
  <c r="S808" i="32"/>
  <c r="S944" i="32"/>
  <c r="S805" i="32"/>
  <c r="S878" i="32"/>
  <c r="S945" i="32"/>
  <c r="S806" i="32"/>
  <c r="S877" i="32"/>
  <c r="S876" i="32"/>
  <c r="S804" i="32"/>
  <c r="S701" i="32"/>
  <c r="S700" i="32"/>
  <c r="S534" i="32"/>
  <c r="S533" i="32"/>
  <c r="S348" i="32"/>
  <c r="S346" i="32"/>
  <c r="S347" i="32"/>
  <c r="S532" i="32"/>
  <c r="S669" i="32"/>
  <c r="Y669" i="11" s="1"/>
  <c r="S668" i="32"/>
  <c r="S486" i="32"/>
  <c r="S485" i="32"/>
  <c r="S300" i="32"/>
  <c r="S299" i="32"/>
  <c r="S484" i="32"/>
  <c r="S298" i="32"/>
  <c r="S260" i="32"/>
  <c r="S173" i="32"/>
  <c r="S259" i="32"/>
  <c r="S68" i="32"/>
  <c r="S172" i="32"/>
  <c r="S67" i="32"/>
  <c r="S171" i="32"/>
  <c r="S66" i="32"/>
  <c r="S123" i="32"/>
  <c r="S122" i="32"/>
  <c r="S16" i="32"/>
  <c r="S226" i="32"/>
  <c r="S225" i="32"/>
  <c r="S121" i="32"/>
  <c r="S18" i="32"/>
  <c r="S17" i="32"/>
  <c r="S977" i="32"/>
  <c r="S976" i="32"/>
  <c r="S853" i="32"/>
  <c r="S925" i="32"/>
  <c r="S924" i="32"/>
  <c r="S852" i="32"/>
  <c r="S851" i="32"/>
  <c r="S923" i="32"/>
  <c r="S801" i="32"/>
  <c r="S875" i="32"/>
  <c r="S874" i="32"/>
  <c r="S873" i="32"/>
  <c r="S942" i="32"/>
  <c r="S803" i="32"/>
  <c r="S802" i="32"/>
  <c r="S943" i="32"/>
  <c r="S760" i="32"/>
  <c r="Y760" i="11" s="1"/>
  <c r="Z760" i="11" s="1"/>
  <c r="AA760" i="11" s="1"/>
  <c r="AT760" i="10" s="1"/>
  <c r="S618" i="32"/>
  <c r="S437" i="32"/>
  <c r="S617" i="32"/>
  <c r="S436" i="32"/>
  <c r="S616" i="32"/>
  <c r="S435" i="32"/>
  <c r="S761" i="32"/>
  <c r="Y761" i="11" s="1"/>
  <c r="Z761" i="11" s="1"/>
  <c r="AA761" i="11" s="1"/>
  <c r="AT761" i="10" s="1"/>
  <c r="S389" i="32"/>
  <c r="S729" i="32"/>
  <c r="S570" i="32"/>
  <c r="S728" i="32"/>
  <c r="S388" i="32"/>
  <c r="S387" i="32"/>
  <c r="S569" i="32"/>
  <c r="S127" i="32"/>
  <c r="S24" i="32"/>
  <c r="S129" i="32"/>
  <c r="S230" i="32"/>
  <c r="S128" i="32"/>
  <c r="S23" i="32"/>
  <c r="S229" i="32"/>
  <c r="S22" i="32"/>
  <c r="S531" i="32"/>
  <c r="S699" i="32"/>
  <c r="S530" i="32"/>
  <c r="S698" i="32"/>
  <c r="S529" i="32"/>
  <c r="S343" i="32"/>
  <c r="S345" i="32"/>
  <c r="S344" i="32"/>
  <c r="S667" i="32"/>
  <c r="S483" i="32"/>
  <c r="S482" i="32"/>
  <c r="S666" i="32"/>
  <c r="S481" i="32"/>
  <c r="S296" i="32"/>
  <c r="S295" i="32"/>
  <c r="S297" i="32"/>
  <c r="S257" i="32"/>
  <c r="S170" i="32"/>
  <c r="S65" i="32"/>
  <c r="S169" i="32"/>
  <c r="S64" i="32"/>
  <c r="S168" i="32"/>
  <c r="S63" i="32"/>
  <c r="S258" i="32"/>
  <c r="S922" i="32"/>
  <c r="S849" i="32"/>
  <c r="S921" i="32"/>
  <c r="S975" i="32"/>
  <c r="S920" i="32"/>
  <c r="S848" i="32"/>
  <c r="S974" i="32"/>
  <c r="S850" i="32"/>
  <c r="S940" i="32"/>
  <c r="S871" i="32"/>
  <c r="S798" i="32"/>
  <c r="S941" i="32"/>
  <c r="S872" i="32"/>
  <c r="S800" i="32"/>
  <c r="S799" i="32"/>
  <c r="S870" i="32"/>
  <c r="S614" i="32"/>
  <c r="S434" i="32"/>
  <c r="S613" i="32"/>
  <c r="S433" i="32"/>
  <c r="S759" i="32"/>
  <c r="Y759" i="11" s="1"/>
  <c r="S432" i="32"/>
  <c r="S758" i="32"/>
  <c r="Y758" i="11" s="1"/>
  <c r="S615" i="32"/>
  <c r="S126" i="32"/>
  <c r="S227" i="32"/>
  <c r="S124" i="32"/>
  <c r="S20" i="32"/>
  <c r="S19" i="32"/>
  <c r="S228" i="32"/>
  <c r="S125" i="32"/>
  <c r="S21" i="32"/>
  <c r="S763" i="32"/>
  <c r="Y763" i="11" s="1"/>
  <c r="S762" i="32"/>
  <c r="Y762" i="11" s="1"/>
  <c r="S438" i="32"/>
  <c r="S621" i="32"/>
  <c r="S440" i="32"/>
  <c r="S620" i="32"/>
  <c r="S619" i="32"/>
  <c r="S439" i="32"/>
  <c r="S697" i="32"/>
  <c r="S696" i="32"/>
  <c r="S527" i="32"/>
  <c r="S526" i="32"/>
  <c r="S342" i="32"/>
  <c r="S341" i="32"/>
  <c r="S340" i="32"/>
  <c r="S528" i="32"/>
  <c r="S214" i="32"/>
  <c r="S109" i="32"/>
  <c r="S213" i="32"/>
  <c r="S108" i="32"/>
  <c r="S288" i="32"/>
  <c r="Y288" i="11" s="1"/>
  <c r="Z288" i="11" s="1"/>
  <c r="AA288" i="11" s="1"/>
  <c r="S215" i="32"/>
  <c r="S287" i="32"/>
  <c r="Y287" i="11" s="1"/>
  <c r="Z287" i="11" s="1"/>
  <c r="AA287" i="11" s="1"/>
  <c r="AT287" i="32" s="1"/>
  <c r="S110" i="32"/>
  <c r="S163" i="32"/>
  <c r="S165" i="32"/>
  <c r="S164" i="32"/>
  <c r="S60" i="32"/>
  <c r="S59" i="32"/>
  <c r="S254" i="32"/>
  <c r="S253" i="32"/>
  <c r="S58" i="32"/>
  <c r="S918" i="32"/>
  <c r="S973" i="32"/>
  <c r="S972" i="32"/>
  <c r="S845" i="32"/>
  <c r="S917" i="32"/>
  <c r="S919" i="32"/>
  <c r="S847" i="32"/>
  <c r="S846" i="32"/>
  <c r="S797" i="32"/>
  <c r="S867" i="32"/>
  <c r="S869" i="32"/>
  <c r="S868" i="32"/>
  <c r="S796" i="32"/>
  <c r="S939" i="32"/>
  <c r="S795" i="32"/>
  <c r="S938" i="32"/>
  <c r="S757" i="32"/>
  <c r="Y757" i="11" s="1"/>
  <c r="S756" i="32"/>
  <c r="Y756" i="11" s="1"/>
  <c r="S610" i="32"/>
  <c r="S430" i="32"/>
  <c r="S429" i="32"/>
  <c r="S612" i="32"/>
  <c r="S611" i="32"/>
  <c r="S431" i="32"/>
  <c r="S672" i="32"/>
  <c r="S491" i="32"/>
  <c r="S490" i="32"/>
  <c r="S673" i="32"/>
  <c r="S492" i="32"/>
  <c r="S304" i="32"/>
  <c r="S306" i="32"/>
  <c r="S305" i="32"/>
  <c r="S764" i="32"/>
  <c r="Y764" i="11" s="1"/>
  <c r="S622" i="32"/>
  <c r="S623" i="32"/>
  <c r="S442" i="32"/>
  <c r="S441" i="32"/>
  <c r="S624" i="32"/>
  <c r="S443" i="32"/>
  <c r="S765" i="32"/>
  <c r="Y765" i="11" s="1"/>
  <c r="S694" i="32"/>
  <c r="S523" i="32"/>
  <c r="S525" i="32"/>
  <c r="S339" i="32"/>
  <c r="S524" i="32"/>
  <c r="S337" i="32"/>
  <c r="S338" i="32"/>
  <c r="S695" i="32"/>
  <c r="S286" i="32"/>
  <c r="Y286" i="11" s="1"/>
  <c r="Z286" i="11" s="1"/>
  <c r="AA286" i="11" s="1"/>
  <c r="AT286" i="32" s="1"/>
  <c r="S210" i="32"/>
  <c r="S105" i="32"/>
  <c r="S285" i="32"/>
  <c r="Y285" i="11" s="1"/>
  <c r="Z285" i="11" s="1"/>
  <c r="AA285" i="11" s="1"/>
  <c r="AT285" i="32" s="1"/>
  <c r="S212" i="32"/>
  <c r="S107" i="32"/>
  <c r="S211" i="32"/>
  <c r="S106" i="32"/>
  <c r="S162" i="32"/>
  <c r="S251" i="32"/>
  <c r="S56" i="32"/>
  <c r="S55" i="32"/>
  <c r="S161" i="32"/>
  <c r="S160" i="32"/>
  <c r="S252" i="32"/>
  <c r="S57" i="32"/>
  <c r="S914" i="32"/>
  <c r="S971" i="32"/>
  <c r="S916" i="32"/>
  <c r="S844" i="32"/>
  <c r="S970" i="32"/>
  <c r="S915" i="32"/>
  <c r="S843" i="32"/>
  <c r="S842" i="32"/>
  <c r="S792" i="10"/>
  <c r="S936" i="32"/>
  <c r="S793" i="32"/>
  <c r="S937" i="32"/>
  <c r="S865" i="32"/>
  <c r="S864" i="32"/>
  <c r="S792" i="32"/>
  <c r="S794" i="32"/>
  <c r="S866" i="32"/>
  <c r="S754" i="32"/>
  <c r="Y754" i="11" s="1"/>
  <c r="S426" i="32"/>
  <c r="S609" i="32"/>
  <c r="S755" i="32"/>
  <c r="Y755" i="11" s="1"/>
  <c r="S608" i="32"/>
  <c r="S607" i="32"/>
  <c r="S428" i="32"/>
  <c r="S427" i="32"/>
  <c r="S731" i="32"/>
  <c r="S730" i="32"/>
  <c r="S572" i="32"/>
  <c r="S571" i="32"/>
  <c r="S390" i="32"/>
  <c r="S573" i="32"/>
  <c r="S392" i="32"/>
  <c r="S391" i="32"/>
  <c r="S522" i="32"/>
  <c r="S521" i="32"/>
  <c r="S693" i="32"/>
  <c r="S520" i="32"/>
  <c r="S334" i="32"/>
  <c r="S692" i="32"/>
  <c r="S336" i="32"/>
  <c r="S335" i="32"/>
  <c r="S209" i="32"/>
  <c r="S104" i="32"/>
  <c r="S284" i="32"/>
  <c r="Y284" i="11" s="1"/>
  <c r="Z284" i="11" s="1"/>
  <c r="AA284" i="11" s="1"/>
  <c r="AT284" i="32" s="1"/>
  <c r="S208" i="32"/>
  <c r="S103" i="32"/>
  <c r="S283" i="32"/>
  <c r="Y283" i="11" s="1"/>
  <c r="Z283" i="11" s="1"/>
  <c r="AA283" i="11" s="1"/>
  <c r="AT283" i="32" s="1"/>
  <c r="S207" i="32"/>
  <c r="S102" i="32"/>
  <c r="S159" i="32"/>
  <c r="S158" i="32"/>
  <c r="S52" i="32"/>
  <c r="S157" i="32"/>
  <c r="S250" i="32"/>
  <c r="S249" i="32"/>
  <c r="S54" i="32"/>
  <c r="S53" i="32"/>
  <c r="S837" i="32"/>
  <c r="S969" i="32"/>
  <c r="S968" i="32"/>
  <c r="S911" i="32"/>
  <c r="S839" i="32"/>
  <c r="S910" i="32"/>
  <c r="S838" i="32"/>
  <c r="S909" i="32"/>
  <c r="S654" i="32"/>
  <c r="S785" i="32"/>
  <c r="Y785" i="11" s="1"/>
  <c r="S653" i="32"/>
  <c r="S473" i="32"/>
  <c r="S784" i="32"/>
  <c r="Y784" i="11" s="1"/>
  <c r="S472" i="32"/>
  <c r="S471" i="32"/>
  <c r="S652" i="32"/>
  <c r="S753" i="32"/>
  <c r="S606" i="32"/>
  <c r="S752" i="32"/>
  <c r="Y752" i="11" s="1"/>
  <c r="S604" i="32"/>
  <c r="S425" i="32"/>
  <c r="S424" i="32"/>
  <c r="S423" i="32"/>
  <c r="S605" i="32"/>
  <c r="S261" i="32"/>
  <c r="S174" i="32"/>
  <c r="S69" i="32"/>
  <c r="S176" i="32"/>
  <c r="S71" i="32"/>
  <c r="S262" i="32"/>
  <c r="S175" i="32"/>
  <c r="S70" i="32"/>
  <c r="S690" i="32"/>
  <c r="S519" i="32"/>
  <c r="S518" i="32"/>
  <c r="S517" i="32"/>
  <c r="S333" i="32"/>
  <c r="S691" i="32"/>
  <c r="S332" i="32"/>
  <c r="S331" i="32"/>
  <c r="S282" i="32"/>
  <c r="Y282" i="11" s="1"/>
  <c r="Z282" i="11" s="1"/>
  <c r="AA282" i="11" s="1"/>
  <c r="AT282" i="32" s="1"/>
  <c r="S206" i="32"/>
  <c r="S101" i="32"/>
  <c r="S281" i="32"/>
  <c r="Y281" i="11" s="1"/>
  <c r="Z281" i="11" s="1"/>
  <c r="AA281" i="11" s="1"/>
  <c r="AT281" i="32" s="1"/>
  <c r="S205" i="32"/>
  <c r="S100" i="32"/>
  <c r="S204" i="32"/>
  <c r="S99" i="32"/>
  <c r="S155" i="32"/>
  <c r="S154" i="32"/>
  <c r="S247" i="32"/>
  <c r="S51" i="32"/>
  <c r="S50" i="32"/>
  <c r="S248" i="32"/>
  <c r="S49" i="32"/>
  <c r="S156" i="32"/>
  <c r="S907" i="32"/>
  <c r="S906" i="32"/>
  <c r="S966" i="32"/>
  <c r="S908" i="32"/>
  <c r="S836" i="32"/>
  <c r="S835" i="32"/>
  <c r="S967" i="32"/>
  <c r="S834" i="32"/>
  <c r="S783" i="32"/>
  <c r="S650" i="32"/>
  <c r="S782" i="32"/>
  <c r="S649" i="32"/>
  <c r="S470" i="32"/>
  <c r="S469" i="32"/>
  <c r="S468" i="32"/>
  <c r="S651" i="32"/>
  <c r="S750" i="32"/>
  <c r="Y750" i="11" s="1"/>
  <c r="S602" i="32"/>
  <c r="S422" i="32"/>
  <c r="S421" i="32"/>
  <c r="S603" i="32"/>
  <c r="S420" i="32"/>
  <c r="S751" i="32"/>
  <c r="Y751" i="11" s="1"/>
  <c r="S601" i="32"/>
  <c r="S688" i="32"/>
  <c r="S689" i="32"/>
  <c r="S515" i="32"/>
  <c r="S514" i="32"/>
  <c r="S330" i="32"/>
  <c r="S329" i="32"/>
  <c r="S328" i="32"/>
  <c r="S516" i="32"/>
  <c r="S202" i="32"/>
  <c r="S97" i="32"/>
  <c r="S201" i="32"/>
  <c r="S280" i="32"/>
  <c r="S96" i="32"/>
  <c r="S279" i="32"/>
  <c r="S203" i="32"/>
  <c r="S98" i="32"/>
  <c r="S151" i="32"/>
  <c r="S153" i="32"/>
  <c r="S48" i="32"/>
  <c r="S152" i="32"/>
  <c r="S246" i="32"/>
  <c r="S47" i="32"/>
  <c r="S245" i="32"/>
  <c r="S46" i="32"/>
  <c r="S905" i="10"/>
  <c r="Y905" i="11" s="1"/>
  <c r="Z905" i="11" s="1"/>
  <c r="AA905" i="11" s="1"/>
  <c r="S833" i="32"/>
  <c r="S965" i="32"/>
  <c r="S964" i="32"/>
  <c r="S903" i="32"/>
  <c r="S905" i="32"/>
  <c r="S904" i="32"/>
  <c r="S832" i="32"/>
  <c r="S831" i="32"/>
  <c r="S780" i="32"/>
  <c r="S646" i="32"/>
  <c r="S466" i="32"/>
  <c r="S781" i="32"/>
  <c r="S465" i="32"/>
  <c r="S648" i="32"/>
  <c r="S467" i="32"/>
  <c r="S647" i="32"/>
  <c r="S598" i="32"/>
  <c r="S749" i="32"/>
  <c r="S418" i="32"/>
  <c r="S600" i="32"/>
  <c r="S417" i="32"/>
  <c r="S599" i="32"/>
  <c r="S748" i="32"/>
  <c r="S419" i="32"/>
  <c r="S733" i="32"/>
  <c r="Y733" i="11" s="1"/>
  <c r="S732" i="32"/>
  <c r="S576" i="32"/>
  <c r="S575" i="32"/>
  <c r="S393" i="32"/>
  <c r="S574" i="32"/>
  <c r="S395" i="32"/>
  <c r="S394" i="32"/>
  <c r="S687" i="32"/>
  <c r="S511" i="32"/>
  <c r="S686" i="32"/>
  <c r="S513" i="32"/>
  <c r="S326" i="32"/>
  <c r="S325" i="32"/>
  <c r="S512" i="32"/>
  <c r="S327" i="32"/>
  <c r="S278" i="32"/>
  <c r="S198" i="32"/>
  <c r="S93" i="32"/>
  <c r="S277" i="32"/>
  <c r="S200" i="32"/>
  <c r="S95" i="32"/>
  <c r="S199" i="32"/>
  <c r="S94" i="32"/>
  <c r="S150" i="32"/>
  <c r="S243" i="32"/>
  <c r="S44" i="32"/>
  <c r="S43" i="32"/>
  <c r="S149" i="32"/>
  <c r="S244" i="32"/>
  <c r="S148" i="32"/>
  <c r="S45" i="32"/>
  <c r="S543" i="32"/>
  <c r="S542" i="32"/>
  <c r="S706" i="32"/>
  <c r="S707" i="32"/>
  <c r="S357" i="32"/>
  <c r="S356" i="32"/>
  <c r="S355" i="32"/>
  <c r="S541" i="32"/>
  <c r="S829" i="32"/>
  <c r="S830" i="32"/>
  <c r="S901" i="32"/>
  <c r="S900" i="32"/>
  <c r="S828" i="32"/>
  <c r="S962" i="32"/>
  <c r="S902" i="32"/>
  <c r="S963" i="32"/>
  <c r="S645" i="32"/>
  <c r="S778" i="32"/>
  <c r="S462" i="32"/>
  <c r="S644" i="32"/>
  <c r="S464" i="32"/>
  <c r="S643" i="32"/>
  <c r="S463" i="32"/>
  <c r="S779" i="32"/>
  <c r="Y779" i="11" s="1"/>
  <c r="S747" i="32"/>
  <c r="Y747" i="11" s="1"/>
  <c r="S596" i="32"/>
  <c r="S414" i="32"/>
  <c r="S595" i="32"/>
  <c r="S746" i="32"/>
  <c r="Y746" i="11" s="1"/>
  <c r="S416" i="32"/>
  <c r="S597" i="32"/>
  <c r="S415" i="32"/>
  <c r="S685" i="32"/>
  <c r="S684" i="32"/>
  <c r="S510" i="32"/>
  <c r="S509" i="32"/>
  <c r="S508" i="32"/>
  <c r="S324" i="32"/>
  <c r="S323" i="32"/>
  <c r="S322" i="32"/>
  <c r="S197" i="32"/>
  <c r="S92" i="32"/>
  <c r="S276" i="32"/>
  <c r="S196" i="32"/>
  <c r="S91" i="32"/>
  <c r="S275" i="32"/>
  <c r="S195" i="32"/>
  <c r="S90" i="32"/>
  <c r="S147" i="32"/>
  <c r="S146" i="32"/>
  <c r="S40" i="32"/>
  <c r="S242" i="32"/>
  <c r="S145" i="32"/>
  <c r="S241" i="32"/>
  <c r="S42" i="32"/>
  <c r="S41" i="32"/>
  <c r="S546" i="32"/>
  <c r="S708" i="32"/>
  <c r="S545" i="32"/>
  <c r="S544" i="32"/>
  <c r="S360" i="32"/>
  <c r="S359" i="32"/>
  <c r="S358" i="32"/>
  <c r="S709" i="32"/>
  <c r="S825" i="32"/>
  <c r="S961" i="32"/>
  <c r="S960" i="32"/>
  <c r="S899" i="32"/>
  <c r="S897" i="32"/>
  <c r="S827" i="32"/>
  <c r="S898" i="32"/>
  <c r="S826" i="32"/>
  <c r="S776" i="32"/>
  <c r="Y776" i="11" s="1"/>
  <c r="S642" i="32"/>
  <c r="S641" i="32"/>
  <c r="S777" i="32"/>
  <c r="Y777" i="11" s="1"/>
  <c r="S461" i="32"/>
  <c r="S640" i="32"/>
  <c r="Y640" i="11" s="1"/>
  <c r="Z640" i="11" s="1"/>
  <c r="AA640" i="11" s="1"/>
  <c r="S460" i="32"/>
  <c r="S459" i="32"/>
  <c r="S744" i="32"/>
  <c r="S592" i="32"/>
  <c r="Y592" i="11" s="1"/>
  <c r="Z592" i="11" s="1"/>
  <c r="AA592" i="11" s="1"/>
  <c r="S413" i="32"/>
  <c r="S594" i="32"/>
  <c r="Y594" i="11" s="1"/>
  <c r="S412" i="32"/>
  <c r="S745" i="32"/>
  <c r="Y745" i="11" s="1"/>
  <c r="S593" i="32"/>
  <c r="Y593" i="11" s="1"/>
  <c r="Z593" i="11" s="1"/>
  <c r="AA593" i="11" s="1"/>
  <c r="S411" i="32"/>
  <c r="S671" i="32"/>
  <c r="Y671" i="11" s="1"/>
  <c r="S487" i="32"/>
  <c r="S670" i="32"/>
  <c r="Y670" i="11" s="1"/>
  <c r="S489" i="32"/>
  <c r="S488" i="32"/>
  <c r="S303" i="32"/>
  <c r="S302" i="32"/>
  <c r="S301" i="32"/>
  <c r="S13" i="32"/>
  <c r="S223" i="32"/>
  <c r="S118" i="32"/>
  <c r="S15" i="32"/>
  <c r="S14" i="32"/>
  <c r="S120" i="32"/>
  <c r="S224" i="32"/>
  <c r="S119" i="32"/>
  <c r="S683" i="32"/>
  <c r="S507" i="32"/>
  <c r="S682" i="32"/>
  <c r="S506" i="32"/>
  <c r="S505" i="32"/>
  <c r="S321" i="32"/>
  <c r="S320" i="32"/>
  <c r="S319" i="32"/>
  <c r="S194" i="32"/>
  <c r="S273" i="32"/>
  <c r="S89" i="32"/>
  <c r="S193" i="32"/>
  <c r="S88" i="32"/>
  <c r="S192" i="32"/>
  <c r="S87" i="32"/>
  <c r="S274" i="32"/>
  <c r="S143" i="32"/>
  <c r="S142" i="32"/>
  <c r="S239" i="32"/>
  <c r="S39" i="32"/>
  <c r="S144" i="32"/>
  <c r="S38" i="32"/>
  <c r="S240" i="32"/>
  <c r="S37" i="32"/>
  <c r="S555" i="32"/>
  <c r="S554" i="32"/>
  <c r="S715" i="32"/>
  <c r="S553" i="32"/>
  <c r="S714" i="32"/>
  <c r="S369" i="32"/>
  <c r="S368" i="32"/>
  <c r="S367" i="32"/>
  <c r="S956" i="32"/>
  <c r="S895" i="32"/>
  <c r="S896" i="32"/>
  <c r="S824" i="32"/>
  <c r="S957" i="32"/>
  <c r="S822" i="32"/>
  <c r="S894" i="32"/>
  <c r="S823" i="32"/>
  <c r="S774" i="32"/>
  <c r="S638" i="32"/>
  <c r="S458" i="32"/>
  <c r="S457" i="32"/>
  <c r="S639" i="32"/>
  <c r="Y639" i="11" s="1"/>
  <c r="Z639" i="11" s="1"/>
  <c r="AA639" i="11" s="1"/>
  <c r="AT639" i="32" s="1"/>
  <c r="S456" i="32"/>
  <c r="S775" i="32"/>
  <c r="Y775" i="11" s="1"/>
  <c r="S637" i="32"/>
  <c r="S743" i="32"/>
  <c r="Y743" i="11" s="1"/>
  <c r="S410" i="32"/>
  <c r="S742" i="32"/>
  <c r="Y742" i="11" s="1"/>
  <c r="S591" i="32"/>
  <c r="Y591" i="11" s="1"/>
  <c r="Z591" i="11" s="1"/>
  <c r="AA591" i="11" s="1"/>
  <c r="S409" i="32"/>
  <c r="Y409" i="11" s="1"/>
  <c r="S590" i="32"/>
  <c r="Y590" i="11" s="1"/>
  <c r="Z590" i="11" s="1"/>
  <c r="AA590" i="11" s="1"/>
  <c r="S408" i="32"/>
  <c r="Y408" i="11" s="1"/>
  <c r="Z408" i="11" s="1"/>
  <c r="AA408" i="11" s="1"/>
  <c r="S589" i="32"/>
  <c r="Y589" i="11" s="1"/>
  <c r="Z589" i="11" s="1"/>
  <c r="AA589" i="11" s="1"/>
  <c r="S539" i="32"/>
  <c r="S704" i="32"/>
  <c r="S705" i="32"/>
  <c r="S538" i="32"/>
  <c r="S540" i="32"/>
  <c r="S352" i="32"/>
  <c r="S354" i="32"/>
  <c r="S353" i="32"/>
  <c r="S722" i="32"/>
  <c r="S567" i="32"/>
  <c r="Y567" i="11" s="1"/>
  <c r="S566" i="32"/>
  <c r="Y566" i="11" s="1"/>
  <c r="S723" i="32"/>
  <c r="S380" i="32"/>
  <c r="S379" i="32"/>
  <c r="S565" i="32"/>
  <c r="Y565" i="11" s="1"/>
  <c r="S381" i="32"/>
  <c r="S681" i="32"/>
  <c r="S503" i="32"/>
  <c r="S502" i="32"/>
  <c r="S317" i="32"/>
  <c r="S316" i="32"/>
  <c r="S504" i="32"/>
  <c r="S680" i="32"/>
  <c r="S318" i="32"/>
  <c r="S190" i="32"/>
  <c r="S85" i="32"/>
  <c r="S189" i="32"/>
  <c r="S272" i="32"/>
  <c r="S84" i="32"/>
  <c r="S271" i="32"/>
  <c r="S191" i="32"/>
  <c r="S86" i="32"/>
  <c r="S139" i="32"/>
  <c r="S141" i="32"/>
  <c r="S36" i="32"/>
  <c r="S238" i="32"/>
  <c r="S140" i="32"/>
  <c r="S35" i="32"/>
  <c r="S237" i="32"/>
  <c r="S34" i="32"/>
  <c r="S717" i="32"/>
  <c r="S716" i="32"/>
  <c r="S558" i="32"/>
  <c r="S370" i="32"/>
  <c r="S557" i="32"/>
  <c r="S372" i="32"/>
  <c r="S556" i="32"/>
  <c r="S371" i="32"/>
  <c r="S821" i="32"/>
  <c r="S891" i="32"/>
  <c r="S955" i="32"/>
  <c r="S892" i="32"/>
  <c r="S820" i="32"/>
  <c r="S954" i="32"/>
  <c r="S819" i="32"/>
  <c r="S893" i="32"/>
  <c r="S773" i="32"/>
  <c r="Y773" i="11" s="1"/>
  <c r="S634" i="32"/>
  <c r="S454" i="32"/>
  <c r="S636" i="32"/>
  <c r="S453" i="32"/>
  <c r="S772" i="32"/>
  <c r="Y772" i="11" s="1"/>
  <c r="S635" i="32"/>
  <c r="S455" i="32"/>
  <c r="S741" i="32"/>
  <c r="Y741" i="11" s="1"/>
  <c r="S740" i="32"/>
  <c r="S588" i="32"/>
  <c r="Y588" i="11" s="1"/>
  <c r="Z588" i="11" s="1"/>
  <c r="AA588" i="11" s="1"/>
  <c r="S406" i="32"/>
  <c r="Y406" i="11" s="1"/>
  <c r="Z406" i="11" s="1"/>
  <c r="AA406" i="11" s="1"/>
  <c r="S587" i="32"/>
  <c r="Y587" i="11" s="1"/>
  <c r="Z587" i="11" s="1"/>
  <c r="AA587" i="11" s="1"/>
  <c r="S405" i="32"/>
  <c r="Y405" i="11" s="1"/>
  <c r="Z405" i="11" s="1"/>
  <c r="AA405" i="11" s="1"/>
  <c r="S586" i="32"/>
  <c r="Y586" i="11" s="1"/>
  <c r="Z586" i="11" s="1"/>
  <c r="AA586" i="11" s="1"/>
  <c r="S407" i="32"/>
  <c r="Y407" i="11" s="1"/>
  <c r="Z407" i="11" s="1"/>
  <c r="AA407" i="11" s="1"/>
  <c r="S720" i="32"/>
  <c r="S721" i="32"/>
  <c r="S564" i="32"/>
  <c r="S563" i="32"/>
  <c r="S562" i="32"/>
  <c r="S378" i="32"/>
  <c r="S377" i="32"/>
  <c r="S376" i="32"/>
  <c r="S499" i="32"/>
  <c r="S679" i="32"/>
  <c r="S678" i="32"/>
  <c r="S501" i="32"/>
  <c r="S313" i="32"/>
  <c r="Y313" i="11" s="1"/>
  <c r="Z313" i="11" s="1"/>
  <c r="AA313" i="11" s="1"/>
  <c r="S315" i="32"/>
  <c r="Y315" i="11" s="1"/>
  <c r="S500" i="32"/>
  <c r="S314" i="32"/>
  <c r="Y314" i="11" s="1"/>
  <c r="Z314" i="11" s="1"/>
  <c r="AA314" i="11" s="1"/>
  <c r="S269" i="32"/>
  <c r="S186" i="32"/>
  <c r="S81" i="32"/>
  <c r="S188" i="32"/>
  <c r="S83" i="32"/>
  <c r="S270" i="32"/>
  <c r="S187" i="32"/>
  <c r="S82" i="32"/>
  <c r="S138" i="32"/>
  <c r="S136" i="32"/>
  <c r="S235" i="32"/>
  <c r="S32" i="32"/>
  <c r="S31" i="32"/>
  <c r="S236" i="32"/>
  <c r="S137" i="32"/>
  <c r="S33" i="32"/>
  <c r="S719" i="32"/>
  <c r="S560" i="32"/>
  <c r="S559" i="32"/>
  <c r="S718" i="32"/>
  <c r="S561" i="32"/>
  <c r="S375" i="32"/>
  <c r="S374" i="32"/>
  <c r="S373" i="32"/>
  <c r="S952" i="32"/>
  <c r="S817" i="32"/>
  <c r="S888" i="32"/>
  <c r="S816" i="32"/>
  <c r="S953" i="32"/>
  <c r="S890" i="32"/>
  <c r="S818" i="32"/>
  <c r="S889" i="32"/>
  <c r="S450" i="32"/>
  <c r="S632" i="32"/>
  <c r="S631" i="32"/>
  <c r="S452" i="32"/>
  <c r="S771" i="32"/>
  <c r="Y771" i="11" s="1"/>
  <c r="S451" i="32"/>
  <c r="S770" i="32"/>
  <c r="Y770" i="11" s="1"/>
  <c r="S633" i="32"/>
  <c r="S739" i="32"/>
  <c r="Y739" i="11" s="1"/>
  <c r="S584" i="32"/>
  <c r="Y584" i="11" s="1"/>
  <c r="Z584" i="11" s="1"/>
  <c r="AA584" i="11" s="1"/>
  <c r="S402" i="32"/>
  <c r="S738" i="32"/>
  <c r="S583" i="32"/>
  <c r="S404" i="32"/>
  <c r="Y404" i="11" s="1"/>
  <c r="S585" i="32"/>
  <c r="Y585" i="11" s="1"/>
  <c r="Z585" i="11" s="1"/>
  <c r="AA585" i="11" s="1"/>
  <c r="AT585" i="32" s="1"/>
  <c r="S403" i="32"/>
  <c r="S535" i="32"/>
  <c r="S703" i="32"/>
  <c r="S536" i="32"/>
  <c r="S702" i="32"/>
  <c r="S537" i="32"/>
  <c r="S351" i="32"/>
  <c r="S350" i="32"/>
  <c r="S349" i="32"/>
  <c r="S551" i="32"/>
  <c r="S713" i="32"/>
  <c r="S550" i="32"/>
  <c r="S712" i="32"/>
  <c r="S552" i="32"/>
  <c r="S366" i="32"/>
  <c r="S364" i="32"/>
  <c r="S365" i="32"/>
  <c r="S498" i="32"/>
  <c r="S497" i="32"/>
  <c r="S677" i="32"/>
  <c r="S312" i="32"/>
  <c r="S311" i="32"/>
  <c r="S676" i="32"/>
  <c r="S310" i="32"/>
  <c r="S496" i="32"/>
  <c r="S268" i="32"/>
  <c r="S185" i="32"/>
  <c r="S80" i="32"/>
  <c r="S267" i="32"/>
  <c r="S184" i="32"/>
  <c r="S79" i="32"/>
  <c r="S183" i="32"/>
  <c r="S78" i="32"/>
  <c r="S135" i="32"/>
  <c r="S134" i="32"/>
  <c r="S28" i="32"/>
  <c r="S234" i="32"/>
  <c r="S233" i="32"/>
  <c r="S30" i="32"/>
  <c r="S133" i="32"/>
  <c r="S29" i="32"/>
  <c r="S813" i="32"/>
  <c r="S887" i="32"/>
  <c r="S950" i="32"/>
  <c r="S815" i="32"/>
  <c r="S886" i="32"/>
  <c r="S814" i="32"/>
  <c r="S951" i="32"/>
  <c r="S885" i="32"/>
  <c r="S630" i="32"/>
  <c r="S769" i="32"/>
  <c r="Y769" i="11" s="1"/>
  <c r="S768" i="32"/>
  <c r="S449" i="32"/>
  <c r="S448" i="32"/>
  <c r="S629" i="32"/>
  <c r="S447" i="32"/>
  <c r="S628" i="32"/>
  <c r="S737" i="32"/>
  <c r="Y737" i="11" s="1"/>
  <c r="Z737" i="11" s="1"/>
  <c r="AA737" i="11" s="1"/>
  <c r="S580" i="32"/>
  <c r="S401" i="32"/>
  <c r="S582" i="32"/>
  <c r="Y582" i="11" s="1"/>
  <c r="Z582" i="11" s="1"/>
  <c r="AA582" i="11" s="1"/>
  <c r="AT582" i="32" s="1"/>
  <c r="S400" i="32"/>
  <c r="S399" i="32"/>
  <c r="S736" i="32"/>
  <c r="Y736" i="11" s="1"/>
  <c r="Z736" i="11" s="1"/>
  <c r="AA736" i="11" s="1"/>
  <c r="S581" i="32"/>
  <c r="S547" i="32"/>
  <c r="S710" i="32"/>
  <c r="S549" i="32"/>
  <c r="S711" i="32"/>
  <c r="S548" i="32"/>
  <c r="S361" i="32"/>
  <c r="S363" i="32"/>
  <c r="S362" i="32"/>
  <c r="S674" i="32"/>
  <c r="S495" i="32"/>
  <c r="S675" i="32"/>
  <c r="S494" i="32"/>
  <c r="S493" i="32"/>
  <c r="S309" i="32"/>
  <c r="S308" i="32"/>
  <c r="S307" i="32"/>
  <c r="S265" i="32"/>
  <c r="S182" i="32"/>
  <c r="S77" i="32"/>
  <c r="S181" i="32"/>
  <c r="S76" i="32"/>
  <c r="S180" i="32"/>
  <c r="S75" i="32"/>
  <c r="S266" i="32"/>
  <c r="S131" i="32"/>
  <c r="S130" i="32"/>
  <c r="S231" i="32"/>
  <c r="S27" i="32"/>
  <c r="S26" i="32"/>
  <c r="S132" i="32"/>
  <c r="S232" i="32"/>
  <c r="S25" i="32"/>
  <c r="S948" i="32"/>
  <c r="S883" i="32"/>
  <c r="S882" i="32"/>
  <c r="S949" i="32"/>
  <c r="S810" i="32"/>
  <c r="S812" i="32"/>
  <c r="S811" i="32"/>
  <c r="S884" i="32"/>
  <c r="S767" i="32"/>
  <c r="Y767" i="11" s="1"/>
  <c r="S766" i="32"/>
  <c r="Y766" i="11" s="1"/>
  <c r="S626" i="32"/>
  <c r="S446" i="32"/>
  <c r="S445" i="32"/>
  <c r="S444" i="32"/>
  <c r="S625" i="32"/>
  <c r="S627" i="32"/>
  <c r="S735" i="32"/>
  <c r="Y735" i="11" s="1"/>
  <c r="Z735" i="11" s="1"/>
  <c r="AA735" i="11" s="1"/>
  <c r="S734" i="32"/>
  <c r="Y734" i="11" s="1"/>
  <c r="Z734" i="11" s="1"/>
  <c r="AA734" i="11" s="1"/>
  <c r="S579" i="32"/>
  <c r="S397" i="32"/>
  <c r="S578" i="32"/>
  <c r="S577" i="32"/>
  <c r="S398" i="32"/>
  <c r="S396" i="32"/>
  <c r="Y740" i="11"/>
  <c r="W474" i="11"/>
  <c r="T474" i="32" s="1"/>
  <c r="W787" i="11"/>
  <c r="W475" i="11"/>
  <c r="T475" i="32" s="1"/>
  <c r="W657" i="11"/>
  <c r="T657" i="32" s="1"/>
  <c r="T348" i="10"/>
  <c r="W384" i="11"/>
  <c r="T384" i="32" s="1"/>
  <c r="W656" i="11"/>
  <c r="T656" i="32" s="1"/>
  <c r="W382" i="11"/>
  <c r="T382" i="32" s="1"/>
  <c r="W568" i="11"/>
  <c r="T568" i="32" s="1"/>
  <c r="W725" i="11"/>
  <c r="T725" i="32" s="1"/>
  <c r="W655" i="11"/>
  <c r="T655" i="32" s="1"/>
  <c r="W724" i="11"/>
  <c r="T724" i="32" s="1"/>
  <c r="W383" i="11"/>
  <c r="T383" i="32" s="1"/>
  <c r="W476" i="11"/>
  <c r="T476" i="32" s="1"/>
  <c r="W786" i="11"/>
  <c r="S704" i="10"/>
  <c r="S705" i="10"/>
  <c r="S672" i="10"/>
  <c r="S673" i="10"/>
  <c r="S764" i="10"/>
  <c r="S765" i="10"/>
  <c r="S732" i="10"/>
  <c r="S733" i="10"/>
  <c r="S703" i="10"/>
  <c r="S702" i="10"/>
  <c r="S670" i="10"/>
  <c r="S671" i="10"/>
  <c r="S762" i="10"/>
  <c r="S763" i="10"/>
  <c r="S730" i="10"/>
  <c r="S731" i="10"/>
  <c r="S701" i="10"/>
  <c r="S700" i="10"/>
  <c r="S668" i="10"/>
  <c r="S669" i="10"/>
  <c r="S761" i="10"/>
  <c r="S760" i="10"/>
  <c r="S728" i="10"/>
  <c r="S729" i="10"/>
  <c r="S699" i="10"/>
  <c r="S698" i="10"/>
  <c r="S758" i="10"/>
  <c r="S759" i="10"/>
  <c r="S697" i="10"/>
  <c r="S696" i="10"/>
  <c r="S755" i="10"/>
  <c r="S754" i="10"/>
  <c r="S692" i="10"/>
  <c r="S693" i="10"/>
  <c r="S784" i="10"/>
  <c r="S785" i="10"/>
  <c r="S654" i="10"/>
  <c r="S653" i="10"/>
  <c r="S652" i="10"/>
  <c r="S752" i="10"/>
  <c r="S753" i="10"/>
  <c r="S690" i="10"/>
  <c r="S691" i="10"/>
  <c r="S783" i="10"/>
  <c r="S782" i="10"/>
  <c r="S751" i="10"/>
  <c r="S750" i="10"/>
  <c r="S667" i="10"/>
  <c r="S666" i="10"/>
  <c r="S757" i="10"/>
  <c r="S756" i="10"/>
  <c r="S695" i="10"/>
  <c r="S694" i="10"/>
  <c r="S689" i="10"/>
  <c r="S688" i="10"/>
  <c r="S780" i="10"/>
  <c r="S781" i="10"/>
  <c r="S748" i="10"/>
  <c r="S749" i="10"/>
  <c r="S687" i="10"/>
  <c r="S686" i="10"/>
  <c r="S706" i="10"/>
  <c r="S707" i="10"/>
  <c r="S779" i="10"/>
  <c r="S778" i="10"/>
  <c r="S746" i="10"/>
  <c r="S747" i="10"/>
  <c r="S685" i="10"/>
  <c r="S684" i="10"/>
  <c r="S709" i="10"/>
  <c r="S708" i="10"/>
  <c r="S776" i="10"/>
  <c r="S777" i="10"/>
  <c r="S744" i="10"/>
  <c r="S745" i="10"/>
  <c r="S683" i="10"/>
  <c r="S682" i="10"/>
  <c r="S715" i="10"/>
  <c r="S714" i="10"/>
  <c r="S774" i="10"/>
  <c r="S775" i="10"/>
  <c r="S742" i="10"/>
  <c r="S743" i="10"/>
  <c r="S722" i="10"/>
  <c r="S723" i="10"/>
  <c r="S681" i="10"/>
  <c r="S680" i="10"/>
  <c r="S717" i="10"/>
  <c r="S716" i="10"/>
  <c r="S773" i="10"/>
  <c r="S772" i="10"/>
  <c r="S740" i="10"/>
  <c r="S741" i="10"/>
  <c r="S721" i="10"/>
  <c r="S720" i="10"/>
  <c r="S679" i="10"/>
  <c r="S678" i="10"/>
  <c r="S719" i="10"/>
  <c r="S718" i="10"/>
  <c r="S771" i="10"/>
  <c r="S770" i="10"/>
  <c r="S739" i="10"/>
  <c r="S738" i="10"/>
  <c r="S713" i="10"/>
  <c r="S712" i="10"/>
  <c r="S677" i="10"/>
  <c r="S676" i="10"/>
  <c r="S768" i="10"/>
  <c r="S769" i="10"/>
  <c r="S736" i="10"/>
  <c r="S737" i="10"/>
  <c r="S710" i="10"/>
  <c r="S711" i="10"/>
  <c r="S674" i="10"/>
  <c r="S675" i="10"/>
  <c r="S767" i="10"/>
  <c r="S766" i="10"/>
  <c r="S398" i="10"/>
  <c r="S735" i="10"/>
  <c r="S734" i="10"/>
  <c r="T648" i="10"/>
  <c r="Z787" i="11"/>
  <c r="AA787" i="11" s="1"/>
  <c r="Z786" i="11"/>
  <c r="AA786" i="11" s="1"/>
  <c r="AT786" i="32" s="1"/>
  <c r="S270" i="10"/>
  <c r="S269" i="10"/>
  <c r="S264" i="10"/>
  <c r="S263" i="10"/>
  <c r="S262" i="10"/>
  <c r="S261" i="10"/>
  <c r="S258" i="10"/>
  <c r="S257" i="10"/>
  <c r="S240" i="10"/>
  <c r="S239" i="10"/>
  <c r="S238" i="10"/>
  <c r="S237" i="10"/>
  <c r="S288" i="10"/>
  <c r="S287" i="10"/>
  <c r="S254" i="10"/>
  <c r="S253" i="10"/>
  <c r="S242" i="10"/>
  <c r="S241" i="10"/>
  <c r="S401" i="10"/>
  <c r="S400" i="10"/>
  <c r="S399" i="10"/>
  <c r="S232" i="10"/>
  <c r="S231" i="10"/>
  <c r="S226" i="10"/>
  <c r="S225" i="10"/>
  <c r="S286" i="10"/>
  <c r="S285" i="10"/>
  <c r="S252" i="10"/>
  <c r="S251" i="10"/>
  <c r="S276" i="10"/>
  <c r="S275" i="10"/>
  <c r="S274" i="10"/>
  <c r="S273" i="10"/>
  <c r="S230" i="10"/>
  <c r="S229" i="10"/>
  <c r="S284" i="10"/>
  <c r="S283" i="10"/>
  <c r="S250" i="10"/>
  <c r="S249" i="10"/>
  <c r="S266" i="10"/>
  <c r="S265" i="10"/>
  <c r="S228" i="10"/>
  <c r="S227" i="10"/>
  <c r="S282" i="10"/>
  <c r="S281" i="10"/>
  <c r="S247" i="10"/>
  <c r="S248" i="10"/>
  <c r="S272" i="10"/>
  <c r="S271" i="10"/>
  <c r="S236" i="10"/>
  <c r="S235" i="10"/>
  <c r="S234" i="10"/>
  <c r="S233" i="10"/>
  <c r="S260" i="10"/>
  <c r="S259" i="10"/>
  <c r="S279" i="10"/>
  <c r="S280" i="10"/>
  <c r="S246" i="10"/>
  <c r="S245" i="10"/>
  <c r="S224" i="10"/>
  <c r="S223" i="10"/>
  <c r="S268" i="10"/>
  <c r="S267" i="10"/>
  <c r="S278" i="10"/>
  <c r="S277" i="10"/>
  <c r="S244" i="10"/>
  <c r="S243" i="10"/>
  <c r="S563" i="10"/>
  <c r="S562" i="10"/>
  <c r="S377" i="10"/>
  <c r="S564" i="10"/>
  <c r="S376" i="10"/>
  <c r="S378" i="10"/>
  <c r="S347" i="10"/>
  <c r="S534" i="10"/>
  <c r="S533" i="10"/>
  <c r="S532" i="10"/>
  <c r="S348" i="10"/>
  <c r="S346" i="10"/>
  <c r="S299" i="10"/>
  <c r="S486" i="10"/>
  <c r="S485" i="10"/>
  <c r="S484" i="10"/>
  <c r="S300" i="10"/>
  <c r="S298" i="10"/>
  <c r="S68" i="10"/>
  <c r="S172" i="10"/>
  <c r="S66" i="10"/>
  <c r="S173" i="10"/>
  <c r="S171" i="10"/>
  <c r="S67" i="10"/>
  <c r="S17" i="10"/>
  <c r="S122" i="10"/>
  <c r="S16" i="10"/>
  <c r="S18" i="10"/>
  <c r="S123" i="10"/>
  <c r="S121" i="10"/>
  <c r="S925" i="10"/>
  <c r="S851" i="10"/>
  <c r="S924" i="10"/>
  <c r="S853" i="10"/>
  <c r="S977" i="10"/>
  <c r="S923" i="10"/>
  <c r="S852" i="10"/>
  <c r="S976" i="10"/>
  <c r="Y783" i="11"/>
  <c r="S943" i="10"/>
  <c r="S873" i="10"/>
  <c r="S942" i="10"/>
  <c r="S875" i="10"/>
  <c r="S801" i="10"/>
  <c r="S874" i="10"/>
  <c r="S803" i="10"/>
  <c r="S802" i="10"/>
  <c r="S437" i="10"/>
  <c r="S618" i="10"/>
  <c r="S617" i="10"/>
  <c r="S435" i="10"/>
  <c r="S616" i="10"/>
  <c r="S436" i="10"/>
  <c r="S389" i="10"/>
  <c r="S570" i="10"/>
  <c r="S569" i="10"/>
  <c r="S387" i="10"/>
  <c r="S388" i="10"/>
  <c r="S530" i="10"/>
  <c r="S529" i="10"/>
  <c r="S345" i="10"/>
  <c r="S343" i="10"/>
  <c r="S531" i="10"/>
  <c r="S344" i="10"/>
  <c r="S482" i="10"/>
  <c r="S481" i="10"/>
  <c r="S297" i="10"/>
  <c r="S295" i="10"/>
  <c r="S483" i="10"/>
  <c r="S296" i="10"/>
  <c r="S169" i="10"/>
  <c r="S63" i="10"/>
  <c r="S168" i="10"/>
  <c r="S170" i="10"/>
  <c r="S64" i="10"/>
  <c r="S65" i="10"/>
  <c r="S922" i="10"/>
  <c r="S848" i="10"/>
  <c r="S975" i="10"/>
  <c r="S921" i="10"/>
  <c r="S850" i="10"/>
  <c r="S974" i="10"/>
  <c r="S849" i="10"/>
  <c r="Y657" i="11"/>
  <c r="Z657" i="11" s="1"/>
  <c r="AA657" i="11" s="1"/>
  <c r="AT657" i="32" s="1"/>
  <c r="Y656" i="11"/>
  <c r="Z656" i="11" s="1"/>
  <c r="AA656" i="11" s="1"/>
  <c r="AT656" i="32" s="1"/>
  <c r="S920" i="10"/>
  <c r="S940" i="10"/>
  <c r="S870" i="10"/>
  <c r="S799" i="10"/>
  <c r="S872" i="10"/>
  <c r="S798" i="10"/>
  <c r="S941" i="10"/>
  <c r="S871" i="10"/>
  <c r="S800" i="10"/>
  <c r="S432" i="10"/>
  <c r="S613" i="10"/>
  <c r="S615" i="10"/>
  <c r="S433" i="10"/>
  <c r="S614" i="10"/>
  <c r="S434" i="10"/>
  <c r="S342" i="10"/>
  <c r="S341" i="10"/>
  <c r="S340" i="10"/>
  <c r="S528" i="10"/>
  <c r="S527" i="10"/>
  <c r="S526" i="10"/>
  <c r="S110" i="10"/>
  <c r="S215" i="10"/>
  <c r="S109" i="10"/>
  <c r="S214" i="10"/>
  <c r="S108" i="10"/>
  <c r="S213" i="10"/>
  <c r="S165" i="10"/>
  <c r="S59" i="10"/>
  <c r="S164" i="10"/>
  <c r="S58" i="10"/>
  <c r="S163" i="10"/>
  <c r="S60" i="10"/>
  <c r="S972" i="10"/>
  <c r="S847" i="10"/>
  <c r="S917" i="10"/>
  <c r="S973" i="10"/>
  <c r="S919" i="10"/>
  <c r="S845" i="10"/>
  <c r="S846" i="10"/>
  <c r="Y655" i="11"/>
  <c r="Z655" i="11" s="1"/>
  <c r="AA655" i="11" s="1"/>
  <c r="AT655" i="32" s="1"/>
  <c r="S918" i="10"/>
  <c r="S867" i="10"/>
  <c r="S796" i="10"/>
  <c r="S939" i="10"/>
  <c r="S869" i="10"/>
  <c r="S795" i="10"/>
  <c r="S868" i="10"/>
  <c r="S797" i="10"/>
  <c r="Y744" i="11"/>
  <c r="S938" i="10"/>
  <c r="S431" i="10"/>
  <c r="S430" i="10"/>
  <c r="S611" i="10"/>
  <c r="S429" i="10"/>
  <c r="S612" i="10"/>
  <c r="S610" i="10"/>
  <c r="S525" i="10"/>
  <c r="S523" i="10"/>
  <c r="S339" i="10"/>
  <c r="S338" i="10"/>
  <c r="S337" i="10"/>
  <c r="S524" i="10"/>
  <c r="S211" i="10"/>
  <c r="S105" i="10"/>
  <c r="S210" i="10"/>
  <c r="S107" i="10"/>
  <c r="S212" i="10"/>
  <c r="S106" i="10"/>
  <c r="S57" i="10"/>
  <c r="S162" i="10"/>
  <c r="S56" i="10"/>
  <c r="S161" i="10"/>
  <c r="S55" i="10"/>
  <c r="S160" i="10"/>
  <c r="S915" i="10"/>
  <c r="S971" i="10"/>
  <c r="S914" i="10"/>
  <c r="S843" i="10"/>
  <c r="S970" i="10"/>
  <c r="S916" i="10"/>
  <c r="S842" i="10"/>
  <c r="S844" i="10"/>
  <c r="S864" i="10"/>
  <c r="S793" i="10"/>
  <c r="S866" i="10"/>
  <c r="S865" i="10"/>
  <c r="S794" i="10"/>
  <c r="S937" i="10"/>
  <c r="S936" i="10"/>
  <c r="S608" i="10"/>
  <c r="S426" i="10"/>
  <c r="S607" i="10"/>
  <c r="S428" i="10"/>
  <c r="S609" i="10"/>
  <c r="S427" i="10"/>
  <c r="S33" i="10"/>
  <c r="S138" i="10"/>
  <c r="S32" i="10"/>
  <c r="S31" i="10"/>
  <c r="S136" i="10"/>
  <c r="S137" i="10"/>
  <c r="S520" i="10"/>
  <c r="S336" i="10"/>
  <c r="S335" i="10"/>
  <c r="S334" i="10"/>
  <c r="S521" i="10"/>
  <c r="S522" i="10"/>
  <c r="S104" i="10"/>
  <c r="S209" i="10"/>
  <c r="S103" i="10"/>
  <c r="S208" i="10"/>
  <c r="S102" i="10"/>
  <c r="S207" i="10"/>
  <c r="S54" i="10"/>
  <c r="S159" i="10"/>
  <c r="S158" i="10"/>
  <c r="S52" i="10"/>
  <c r="AU52" i="10" s="1"/>
  <c r="S157" i="10"/>
  <c r="S53" i="10"/>
  <c r="S969" i="10"/>
  <c r="S910" i="10"/>
  <c r="S839" i="10"/>
  <c r="S968" i="10"/>
  <c r="S909" i="10"/>
  <c r="S838" i="10"/>
  <c r="S911" i="10"/>
  <c r="S837" i="10"/>
  <c r="Y774" i="11"/>
  <c r="S473" i="10"/>
  <c r="S472" i="10"/>
  <c r="S471" i="10"/>
  <c r="S425" i="10"/>
  <c r="S606" i="10"/>
  <c r="S424" i="10"/>
  <c r="S605" i="10"/>
  <c r="S423" i="10"/>
  <c r="S604" i="10"/>
  <c r="S331" i="10"/>
  <c r="S519" i="10"/>
  <c r="S518" i="10"/>
  <c r="S517" i="10"/>
  <c r="S333" i="10"/>
  <c r="S332" i="10"/>
  <c r="S206" i="10"/>
  <c r="S100" i="10"/>
  <c r="S204" i="10"/>
  <c r="S101" i="10"/>
  <c r="S205" i="10"/>
  <c r="S99" i="10"/>
  <c r="S49" i="10"/>
  <c r="S154" i="10"/>
  <c r="S156" i="10"/>
  <c r="S50" i="10"/>
  <c r="S155" i="10"/>
  <c r="S51" i="10"/>
  <c r="S966" i="10"/>
  <c r="S907" i="10"/>
  <c r="S836" i="10"/>
  <c r="S906" i="10"/>
  <c r="S835" i="10"/>
  <c r="S967" i="10"/>
  <c r="S908" i="10"/>
  <c r="S834" i="10"/>
  <c r="S469" i="10"/>
  <c r="S650" i="10"/>
  <c r="S649" i="10"/>
  <c r="S470" i="10"/>
  <c r="S651" i="10"/>
  <c r="S468" i="10"/>
  <c r="S421" i="10"/>
  <c r="S602" i="10"/>
  <c r="S601" i="10"/>
  <c r="S422" i="10"/>
  <c r="S603" i="10"/>
  <c r="S420" i="10"/>
  <c r="S514" i="10"/>
  <c r="S329" i="10"/>
  <c r="S516" i="10"/>
  <c r="S515" i="10"/>
  <c r="S330" i="10"/>
  <c r="S328" i="10"/>
  <c r="S201" i="10"/>
  <c r="S98" i="10"/>
  <c r="S202" i="10"/>
  <c r="S96" i="10"/>
  <c r="S97" i="10"/>
  <c r="S203" i="10"/>
  <c r="S48" i="10"/>
  <c r="S47" i="10"/>
  <c r="S152" i="10"/>
  <c r="S46" i="10"/>
  <c r="S153" i="10"/>
  <c r="S151" i="10"/>
  <c r="S831" i="10"/>
  <c r="S965" i="10"/>
  <c r="S904" i="10"/>
  <c r="S833" i="10"/>
  <c r="S903" i="10"/>
  <c r="S832" i="10"/>
  <c r="S964" i="10"/>
  <c r="S467" i="10"/>
  <c r="S648" i="10"/>
  <c r="S647" i="10"/>
  <c r="S465" i="10"/>
  <c r="S646" i="10"/>
  <c r="S466" i="10"/>
  <c r="S419" i="10"/>
  <c r="S600" i="10"/>
  <c r="S599" i="10"/>
  <c r="S417" i="10"/>
  <c r="S598" i="10"/>
  <c r="S418" i="10"/>
  <c r="S326" i="10"/>
  <c r="S325" i="10"/>
  <c r="S513" i="10"/>
  <c r="S512" i="10"/>
  <c r="S511" i="10"/>
  <c r="S327" i="10"/>
  <c r="S95" i="10"/>
  <c r="S200" i="10"/>
  <c r="S94" i="10"/>
  <c r="S199" i="10"/>
  <c r="S93" i="10"/>
  <c r="S198" i="10"/>
  <c r="S149" i="10"/>
  <c r="S43" i="10"/>
  <c r="S148" i="10"/>
  <c r="S45" i="10"/>
  <c r="S150" i="10"/>
  <c r="S44" i="10"/>
  <c r="S541" i="10"/>
  <c r="S357" i="10"/>
  <c r="S356" i="10"/>
  <c r="S355" i="10"/>
  <c r="S543" i="10"/>
  <c r="S542" i="10"/>
  <c r="S902" i="10"/>
  <c r="S828" i="10"/>
  <c r="S901" i="10"/>
  <c r="S830" i="10"/>
  <c r="S900" i="10"/>
  <c r="S829" i="10"/>
  <c r="S963" i="10"/>
  <c r="S962" i="10"/>
  <c r="S464" i="10"/>
  <c r="S645" i="10"/>
  <c r="S463" i="10"/>
  <c r="S462" i="10"/>
  <c r="S643" i="10"/>
  <c r="S644" i="10"/>
  <c r="S416" i="10"/>
  <c r="S597" i="10"/>
  <c r="S415" i="10"/>
  <c r="S414" i="10"/>
  <c r="S595" i="10"/>
  <c r="S596" i="10"/>
  <c r="S509" i="10"/>
  <c r="S324" i="10"/>
  <c r="S323" i="10"/>
  <c r="S322" i="10"/>
  <c r="S510" i="10"/>
  <c r="S508" i="10"/>
  <c r="S195" i="10"/>
  <c r="S92" i="10"/>
  <c r="S197" i="10"/>
  <c r="S91" i="10"/>
  <c r="S196" i="10"/>
  <c r="S90" i="10"/>
  <c r="S42" i="10"/>
  <c r="S147" i="10"/>
  <c r="S41" i="10"/>
  <c r="S146" i="10"/>
  <c r="S40" i="10"/>
  <c r="S145" i="10"/>
  <c r="S358" i="10"/>
  <c r="S546" i="10"/>
  <c r="S545" i="10"/>
  <c r="S544" i="10"/>
  <c r="S359" i="10"/>
  <c r="S360" i="10"/>
  <c r="S899" i="10"/>
  <c r="S825" i="10"/>
  <c r="S898" i="10"/>
  <c r="S827" i="10"/>
  <c r="S961" i="10"/>
  <c r="S897" i="10"/>
  <c r="S826" i="10"/>
  <c r="S960" i="10"/>
  <c r="S640" i="10"/>
  <c r="S461" i="10"/>
  <c r="S460" i="10"/>
  <c r="S641" i="10"/>
  <c r="S459" i="10"/>
  <c r="S642" i="10"/>
  <c r="S592" i="10"/>
  <c r="S413" i="10"/>
  <c r="S412" i="10"/>
  <c r="S593" i="10"/>
  <c r="S411" i="10"/>
  <c r="S594" i="10"/>
  <c r="S15" i="10"/>
  <c r="S120" i="10"/>
  <c r="S119" i="10"/>
  <c r="S14" i="10"/>
  <c r="S118" i="10"/>
  <c r="S320" i="10"/>
  <c r="S319" i="10"/>
  <c r="S507" i="10"/>
  <c r="S505" i="10"/>
  <c r="S321" i="10"/>
  <c r="S506" i="10"/>
  <c r="S89" i="10"/>
  <c r="S194" i="10"/>
  <c r="S88" i="10"/>
  <c r="S193" i="10"/>
  <c r="S87" i="10"/>
  <c r="S192" i="10"/>
  <c r="S38" i="10"/>
  <c r="S143" i="10"/>
  <c r="S142" i="10"/>
  <c r="S39" i="10"/>
  <c r="S144" i="10"/>
  <c r="S37" i="10"/>
  <c r="S368" i="10"/>
  <c r="S367" i="10"/>
  <c r="S555" i="10"/>
  <c r="S554" i="10"/>
  <c r="S553" i="10"/>
  <c r="S369" i="10"/>
  <c r="S896" i="10"/>
  <c r="S822" i="10"/>
  <c r="S957" i="10"/>
  <c r="S895" i="10"/>
  <c r="S824" i="10"/>
  <c r="S956" i="10"/>
  <c r="S823" i="10"/>
  <c r="S894" i="10"/>
  <c r="S458" i="10"/>
  <c r="S639" i="10"/>
  <c r="S457" i="10"/>
  <c r="S638" i="10"/>
  <c r="S456" i="10"/>
  <c r="S637" i="10"/>
  <c r="S410" i="10"/>
  <c r="S591" i="10"/>
  <c r="S409" i="10"/>
  <c r="S590" i="10"/>
  <c r="S408" i="10"/>
  <c r="S589" i="10"/>
  <c r="S379" i="10"/>
  <c r="S566" i="10"/>
  <c r="S381" i="10"/>
  <c r="S380" i="10"/>
  <c r="S565" i="10"/>
  <c r="S567" i="10"/>
  <c r="S504" i="10"/>
  <c r="S503" i="10"/>
  <c r="S502" i="10"/>
  <c r="S318" i="10"/>
  <c r="S317" i="10"/>
  <c r="S316" i="10"/>
  <c r="S190" i="10"/>
  <c r="S84" i="10"/>
  <c r="S86" i="10"/>
  <c r="S191" i="10"/>
  <c r="S85" i="10"/>
  <c r="S189" i="10"/>
  <c r="S36" i="10"/>
  <c r="S141" i="10"/>
  <c r="S140" i="10"/>
  <c r="S34" i="10"/>
  <c r="S139" i="10"/>
  <c r="S35" i="10"/>
  <c r="S557" i="10"/>
  <c r="S556" i="10"/>
  <c r="S372" i="10"/>
  <c r="S371" i="10"/>
  <c r="S370" i="10"/>
  <c r="S558" i="10"/>
  <c r="S954" i="10"/>
  <c r="S821" i="10"/>
  <c r="S891" i="10"/>
  <c r="S955" i="10"/>
  <c r="S893" i="10"/>
  <c r="S819" i="10"/>
  <c r="S892" i="10"/>
  <c r="S820" i="10"/>
  <c r="S453" i="10"/>
  <c r="S634" i="10"/>
  <c r="S455" i="10"/>
  <c r="S636" i="10"/>
  <c r="S454" i="10"/>
  <c r="S635" i="10"/>
  <c r="S405" i="10"/>
  <c r="S586" i="10"/>
  <c r="S407" i="10"/>
  <c r="S588" i="10"/>
  <c r="S406" i="10"/>
  <c r="S587" i="10"/>
  <c r="S585" i="10"/>
  <c r="S403" i="10"/>
  <c r="S584" i="10"/>
  <c r="S583" i="10"/>
  <c r="S402" i="10"/>
  <c r="S404" i="10"/>
  <c r="S552" i="10"/>
  <c r="S551" i="10"/>
  <c r="S550" i="10"/>
  <c r="S366" i="10"/>
  <c r="S365" i="10"/>
  <c r="S364" i="10"/>
  <c r="S310" i="10"/>
  <c r="S498" i="10"/>
  <c r="S497" i="10"/>
  <c r="S496" i="10"/>
  <c r="S311" i="10"/>
  <c r="S312" i="10"/>
  <c r="S185" i="10"/>
  <c r="S79" i="10"/>
  <c r="S184" i="10"/>
  <c r="S78" i="10"/>
  <c r="S183" i="10"/>
  <c r="S80" i="10"/>
  <c r="S133" i="10"/>
  <c r="S30" i="10"/>
  <c r="S29" i="10"/>
  <c r="S134" i="10"/>
  <c r="S28" i="10"/>
  <c r="S135" i="10"/>
  <c r="S886" i="10"/>
  <c r="S815" i="10"/>
  <c r="S885" i="10"/>
  <c r="S814" i="10"/>
  <c r="S951" i="10"/>
  <c r="S887" i="10"/>
  <c r="S813" i="10"/>
  <c r="S950" i="10"/>
  <c r="S448" i="10"/>
  <c r="S629" i="10"/>
  <c r="S447" i="10"/>
  <c r="S449" i="10"/>
  <c r="S630" i="10"/>
  <c r="S628" i="10"/>
  <c r="S581" i="10"/>
  <c r="S582" i="10"/>
  <c r="S580" i="10"/>
  <c r="S188" i="10"/>
  <c r="S82" i="10"/>
  <c r="S186" i="10"/>
  <c r="S81" i="10"/>
  <c r="S187" i="10"/>
  <c r="S83" i="10"/>
  <c r="S889" i="10"/>
  <c r="S888" i="10"/>
  <c r="S817" i="10"/>
  <c r="S890" i="10"/>
  <c r="S816" i="10"/>
  <c r="S953" i="10"/>
  <c r="S952" i="10"/>
  <c r="S818" i="10"/>
  <c r="S363" i="10"/>
  <c r="S361" i="10"/>
  <c r="S549" i="10"/>
  <c r="S548" i="10"/>
  <c r="S547" i="10"/>
  <c r="S362" i="10"/>
  <c r="S493" i="10"/>
  <c r="S309" i="10"/>
  <c r="S308" i="10"/>
  <c r="S307" i="10"/>
  <c r="S495" i="10"/>
  <c r="S494" i="10"/>
  <c r="S77" i="10"/>
  <c r="S182" i="10"/>
  <c r="S76" i="10"/>
  <c r="S181" i="10"/>
  <c r="S75" i="10"/>
  <c r="S180" i="10"/>
  <c r="S27" i="10"/>
  <c r="S132" i="10"/>
  <c r="S26" i="10"/>
  <c r="S131" i="10"/>
  <c r="S25" i="10"/>
  <c r="S130" i="10"/>
  <c r="S883" i="10"/>
  <c r="S812" i="10"/>
  <c r="S949" i="10"/>
  <c r="S882" i="10"/>
  <c r="S811" i="10"/>
  <c r="S948" i="10"/>
  <c r="S884" i="10"/>
  <c r="S810" i="10"/>
  <c r="S446" i="10"/>
  <c r="S627" i="10"/>
  <c r="S445" i="10"/>
  <c r="S444" i="10"/>
  <c r="S625" i="10"/>
  <c r="S626" i="10"/>
  <c r="S579" i="10"/>
  <c r="S397" i="10"/>
  <c r="S396" i="10"/>
  <c r="S577" i="10"/>
  <c r="S578" i="10"/>
  <c r="S374" i="10"/>
  <c r="S373" i="10"/>
  <c r="S561" i="10"/>
  <c r="S560" i="10"/>
  <c r="S559" i="10"/>
  <c r="S375" i="10"/>
  <c r="S352" i="10"/>
  <c r="S539" i="10"/>
  <c r="S354" i="10"/>
  <c r="S353" i="10"/>
  <c r="S540" i="10"/>
  <c r="S538" i="10"/>
  <c r="S304" i="10"/>
  <c r="S491" i="10"/>
  <c r="S306" i="10"/>
  <c r="S305" i="10"/>
  <c r="S492" i="10"/>
  <c r="S490" i="10"/>
  <c r="S179" i="10"/>
  <c r="S73" i="10"/>
  <c r="S178" i="10"/>
  <c r="S72" i="10"/>
  <c r="S177" i="10"/>
  <c r="S74" i="10"/>
  <c r="S22" i="10"/>
  <c r="S127" i="10"/>
  <c r="S24" i="10"/>
  <c r="S129" i="10"/>
  <c r="S23" i="10"/>
  <c r="S128" i="10"/>
  <c r="S880" i="10"/>
  <c r="S809" i="10"/>
  <c r="S946" i="10"/>
  <c r="S879" i="10"/>
  <c r="S808" i="10"/>
  <c r="S881" i="10"/>
  <c r="S807" i="10"/>
  <c r="S947" i="10"/>
  <c r="Y753" i="11"/>
  <c r="S624" i="10"/>
  <c r="S442" i="10"/>
  <c r="S623" i="10"/>
  <c r="S441" i="10"/>
  <c r="S622" i="10"/>
  <c r="S443" i="10"/>
  <c r="S576" i="10"/>
  <c r="S394" i="10"/>
  <c r="S575" i="10"/>
  <c r="S393" i="10"/>
  <c r="S574" i="10"/>
  <c r="S395" i="10"/>
  <c r="S315" i="10"/>
  <c r="S313" i="10"/>
  <c r="S501" i="10"/>
  <c r="S500" i="10"/>
  <c r="S499" i="10"/>
  <c r="S314" i="10"/>
  <c r="S633" i="10"/>
  <c r="S451" i="10"/>
  <c r="S632" i="10"/>
  <c r="S631" i="10"/>
  <c r="S452" i="10"/>
  <c r="S450" i="10"/>
  <c r="S536" i="10"/>
  <c r="S535" i="10"/>
  <c r="S351" i="10"/>
  <c r="S350" i="10"/>
  <c r="S349" i="10"/>
  <c r="S537" i="10"/>
  <c r="S488" i="10"/>
  <c r="S487" i="10"/>
  <c r="S303" i="10"/>
  <c r="S302" i="10"/>
  <c r="S301" i="10"/>
  <c r="S489" i="10"/>
  <c r="S174" i="10"/>
  <c r="S71" i="10"/>
  <c r="S176" i="10"/>
  <c r="S70" i="10"/>
  <c r="S175" i="10"/>
  <c r="S69" i="10"/>
  <c r="S126" i="10"/>
  <c r="S20" i="10"/>
  <c r="S125" i="10"/>
  <c r="S124" i="10"/>
  <c r="S21" i="10"/>
  <c r="S19" i="10"/>
  <c r="S806" i="10"/>
  <c r="S805" i="10"/>
  <c r="S945" i="10"/>
  <c r="S944" i="10"/>
  <c r="S877" i="10"/>
  <c r="S876" i="10"/>
  <c r="S804" i="10"/>
  <c r="S878" i="10"/>
  <c r="S440" i="10"/>
  <c r="S621" i="10"/>
  <c r="S439" i="10"/>
  <c r="S620" i="10"/>
  <c r="S438" i="10"/>
  <c r="S619" i="10"/>
  <c r="S392" i="10"/>
  <c r="S573" i="10"/>
  <c r="S391" i="10"/>
  <c r="S572" i="10"/>
  <c r="S390" i="10"/>
  <c r="S571" i="10"/>
  <c r="H195" i="4"/>
  <c r="C207" i="4"/>
  <c r="D195" i="4"/>
  <c r="H193" i="4"/>
  <c r="F179" i="4"/>
  <c r="I60" i="3"/>
  <c r="C161" i="4"/>
  <c r="K121" i="4"/>
  <c r="E100" i="3"/>
  <c r="E100" i="28" s="1"/>
  <c r="I81" i="4"/>
  <c r="D112" i="3"/>
  <c r="G210" i="3"/>
  <c r="G191" i="7"/>
  <c r="K135" i="7"/>
  <c r="I196" i="3"/>
  <c r="D154" i="3"/>
  <c r="E231" i="4"/>
  <c r="N106" i="3"/>
  <c r="N106" i="7" s="1"/>
  <c r="M118" i="3"/>
  <c r="I156" i="3"/>
  <c r="O160" i="3"/>
  <c r="O160" i="4" s="1"/>
  <c r="J184" i="3"/>
  <c r="D229" i="4"/>
  <c r="M173" i="4"/>
  <c r="N133" i="4"/>
  <c r="H103" i="4"/>
  <c r="O238" i="3"/>
  <c r="O238" i="9" s="1"/>
  <c r="E65" i="4"/>
  <c r="N108" i="3"/>
  <c r="N108" i="4" s="1"/>
  <c r="N118" i="3"/>
  <c r="N118" i="4" s="1"/>
  <c r="C144" i="3"/>
  <c r="J156" i="3"/>
  <c r="K184" i="3"/>
  <c r="C165" i="4"/>
  <c r="N74" i="3"/>
  <c r="N74" i="4" s="1"/>
  <c r="J162" i="3"/>
  <c r="C190" i="3"/>
  <c r="H131" i="4"/>
  <c r="K95" i="4"/>
  <c r="O199" i="7"/>
  <c r="O74" i="3"/>
  <c r="O74" i="4" s="1"/>
  <c r="I194" i="3"/>
  <c r="H196" i="3"/>
  <c r="C195" i="4"/>
  <c r="O161" i="4"/>
  <c r="G131" i="4"/>
  <c r="C91" i="4"/>
  <c r="E206" i="3"/>
  <c r="C237" i="7"/>
  <c r="H195" i="7"/>
  <c r="F166" i="3"/>
  <c r="F219" i="4"/>
  <c r="J193" i="4"/>
  <c r="N125" i="4"/>
  <c r="K81" i="4"/>
  <c r="H82" i="3"/>
  <c r="E112" i="3"/>
  <c r="G126" i="3"/>
  <c r="J121" i="4"/>
  <c r="H210" i="3"/>
  <c r="F191" i="7"/>
  <c r="J82" i="3"/>
  <c r="G112" i="3"/>
  <c r="I170" i="3"/>
  <c r="C217" i="4"/>
  <c r="K210" i="3"/>
  <c r="G219" i="7"/>
  <c r="F179" i="7"/>
  <c r="H112" i="3"/>
  <c r="M159" i="4"/>
  <c r="L115" i="4"/>
  <c r="F77" i="4"/>
  <c r="F219" i="7"/>
  <c r="H84" i="3"/>
  <c r="C152" i="3"/>
  <c r="O216" i="3"/>
  <c r="O216" i="7" s="1"/>
  <c r="I155" i="7"/>
  <c r="M84" i="3"/>
  <c r="K104" i="3"/>
  <c r="D152" i="3"/>
  <c r="I155" i="4"/>
  <c r="F111" i="4"/>
  <c r="M75" i="4"/>
  <c r="L213" i="7"/>
  <c r="H155" i="7"/>
  <c r="L104" i="3"/>
  <c r="E152" i="3"/>
  <c r="F231" i="4"/>
  <c r="G153" i="4"/>
  <c r="C107" i="4"/>
  <c r="O73" i="4"/>
  <c r="N137" i="7"/>
  <c r="M104" i="3"/>
  <c r="J134" i="3"/>
  <c r="F154" i="3"/>
  <c r="D231" i="4"/>
  <c r="E179" i="4"/>
  <c r="C149" i="4"/>
  <c r="G182" i="3"/>
  <c r="F229" i="4"/>
  <c r="D179" i="4"/>
  <c r="F77" i="7"/>
  <c r="G165" i="9"/>
  <c r="O105" i="4"/>
  <c r="C140" i="3"/>
  <c r="E229" i="4"/>
  <c r="K103" i="4"/>
  <c r="O35" i="4"/>
  <c r="G69" i="7"/>
  <c r="H136" i="3"/>
  <c r="H135" i="4"/>
  <c r="C122" i="3"/>
  <c r="C121" i="4"/>
  <c r="M157" i="4"/>
  <c r="M158" i="3"/>
  <c r="I79" i="4"/>
  <c r="I80" i="3"/>
  <c r="O179" i="4"/>
  <c r="I135" i="4"/>
  <c r="I136" i="3"/>
  <c r="I136" i="28" s="1"/>
  <c r="C132" i="3"/>
  <c r="C131" i="7"/>
  <c r="G148" i="3"/>
  <c r="G147" i="4"/>
  <c r="J164" i="3"/>
  <c r="J164" i="28" s="1"/>
  <c r="E11" i="4"/>
  <c r="M129" i="4"/>
  <c r="G114" i="3"/>
  <c r="M136" i="3"/>
  <c r="O227" i="4"/>
  <c r="F220" i="3"/>
  <c r="G185" i="7"/>
  <c r="D129" i="7"/>
  <c r="N120" i="3"/>
  <c r="N120" i="9" s="1"/>
  <c r="G69" i="4"/>
  <c r="F119" i="7"/>
  <c r="O120" i="3"/>
  <c r="O120" i="9" s="1"/>
  <c r="D130" i="3"/>
  <c r="L174" i="3"/>
  <c r="D189" i="4"/>
  <c r="L173" i="4"/>
  <c r="C127" i="4"/>
  <c r="J115" i="4"/>
  <c r="N227" i="7"/>
  <c r="E179" i="7"/>
  <c r="E172" i="3"/>
  <c r="L175" i="4"/>
  <c r="G186" i="3"/>
  <c r="H114" i="3"/>
  <c r="M189" i="4"/>
  <c r="F78" i="3"/>
  <c r="M130" i="3"/>
  <c r="O138" i="3"/>
  <c r="O138" i="4" s="1"/>
  <c r="G185" i="4"/>
  <c r="K155" i="4"/>
  <c r="O125" i="4"/>
  <c r="O195" i="7"/>
  <c r="J163" i="7"/>
  <c r="K22" i="3"/>
  <c r="J116" i="3"/>
  <c r="N158" i="3"/>
  <c r="N158" i="4" s="1"/>
  <c r="L195" i="4"/>
  <c r="F165" i="4"/>
  <c r="I163" i="7"/>
  <c r="O73" i="7"/>
  <c r="L140" i="3"/>
  <c r="F168" i="3"/>
  <c r="L190" i="3"/>
  <c r="L213" i="4"/>
  <c r="O137" i="4"/>
  <c r="K116" i="3"/>
  <c r="C194" i="3"/>
  <c r="D165" i="4"/>
  <c r="L83" i="4"/>
  <c r="C208" i="3"/>
  <c r="C208" i="28" s="1"/>
  <c r="K236" i="3"/>
  <c r="N73" i="7"/>
  <c r="N34" i="4"/>
  <c r="N34" i="9"/>
  <c r="N34" i="7"/>
  <c r="N56" i="4"/>
  <c r="N56" i="9"/>
  <c r="N56" i="7"/>
  <c r="H52" i="4"/>
  <c r="H52" i="9"/>
  <c r="O46" i="4"/>
  <c r="O46" i="9"/>
  <c r="O46" i="7"/>
  <c r="I42" i="9"/>
  <c r="F40" i="4"/>
  <c r="M34" i="9"/>
  <c r="K86" i="4"/>
  <c r="K86" i="9"/>
  <c r="K86" i="7"/>
  <c r="K44" i="4"/>
  <c r="K44" i="9"/>
  <c r="O66" i="4"/>
  <c r="O66" i="9"/>
  <c r="O66" i="7"/>
  <c r="N98" i="4"/>
  <c r="N98" i="9"/>
  <c r="N98" i="7"/>
  <c r="F132" i="4"/>
  <c r="F132" i="7"/>
  <c r="J12" i="9"/>
  <c r="M76" i="4"/>
  <c r="M76" i="9"/>
  <c r="M76" i="7"/>
  <c r="E156" i="4"/>
  <c r="E156" i="9"/>
  <c r="E156" i="7"/>
  <c r="I12" i="4"/>
  <c r="I12" i="9"/>
  <c r="I12" i="7"/>
  <c r="J42" i="9"/>
  <c r="L86" i="4"/>
  <c r="L86" i="9"/>
  <c r="L86" i="7"/>
  <c r="J64" i="9"/>
  <c r="J64" i="7"/>
  <c r="K54" i="4"/>
  <c r="K54" i="9"/>
  <c r="K54" i="7"/>
  <c r="N76" i="4"/>
  <c r="N76" i="9"/>
  <c r="N76" i="7"/>
  <c r="G122" i="9"/>
  <c r="N66" i="4"/>
  <c r="N66" i="9"/>
  <c r="N66" i="7"/>
  <c r="N78" i="4"/>
  <c r="N78" i="9"/>
  <c r="N78" i="7"/>
  <c r="H74" i="4"/>
  <c r="H74" i="9"/>
  <c r="H74" i="7"/>
  <c r="O68" i="4"/>
  <c r="O68" i="9"/>
  <c r="O68" i="7"/>
  <c r="N176" i="4"/>
  <c r="N176" i="9"/>
  <c r="N176" i="7"/>
  <c r="M152" i="4"/>
  <c r="G146" i="4"/>
  <c r="G146" i="9"/>
  <c r="G146" i="7"/>
  <c r="I126" i="4"/>
  <c r="I126" i="9"/>
  <c r="I126" i="7"/>
  <c r="J178" i="4"/>
  <c r="J178" i="9"/>
  <c r="J178" i="7"/>
  <c r="K190" i="4"/>
  <c r="K190" i="7"/>
  <c r="K190" i="9"/>
  <c r="I230" i="9"/>
  <c r="I230" i="7"/>
  <c r="L54" i="7"/>
  <c r="E24" i="7"/>
  <c r="J128" i="9"/>
  <c r="J128" i="7"/>
  <c r="C160" i="4"/>
  <c r="C160" i="9"/>
  <c r="C160" i="7"/>
  <c r="H16" i="9"/>
  <c r="H16" i="7"/>
  <c r="O32" i="9"/>
  <c r="O32" i="7"/>
  <c r="O32" i="4"/>
  <c r="N62" i="4"/>
  <c r="N62" i="9"/>
  <c r="N62" i="7"/>
  <c r="H58" i="9"/>
  <c r="H58" i="7"/>
  <c r="E56" i="4"/>
  <c r="E56" i="9"/>
  <c r="E56" i="7"/>
  <c r="O52" i="4"/>
  <c r="O52" i="9"/>
  <c r="O52" i="7"/>
  <c r="I48" i="4"/>
  <c r="I48" i="9"/>
  <c r="I48" i="7"/>
  <c r="F46" i="7"/>
  <c r="K92" i="7"/>
  <c r="O206" i="9"/>
  <c r="O206" i="7"/>
  <c r="O206" i="4"/>
  <c r="D186" i="4"/>
  <c r="D186" i="9"/>
  <c r="D186" i="7"/>
  <c r="N14" i="4"/>
  <c r="N14" i="9"/>
  <c r="N14" i="7"/>
  <c r="L18" i="4"/>
  <c r="L18" i="9"/>
  <c r="L18" i="7"/>
  <c r="O142" i="4"/>
  <c r="O142" i="9"/>
  <c r="O142" i="7"/>
  <c r="N142" i="4"/>
  <c r="N142" i="9"/>
  <c r="N142" i="7"/>
  <c r="N52" i="4"/>
  <c r="N52" i="9"/>
  <c r="N52" i="7"/>
  <c r="O42" i="4"/>
  <c r="O42" i="9"/>
  <c r="O42" i="7"/>
  <c r="O56" i="4"/>
  <c r="O56" i="9"/>
  <c r="O56" i="7"/>
  <c r="K28" i="4"/>
  <c r="K28" i="9"/>
  <c r="K28" i="7"/>
  <c r="H62" i="4"/>
  <c r="H62" i="9"/>
  <c r="F82" i="4"/>
  <c r="F82" i="9"/>
  <c r="F82" i="7"/>
  <c r="H162" i="9"/>
  <c r="H162" i="7"/>
  <c r="H162" i="4"/>
  <c r="F162" i="9"/>
  <c r="F162" i="7"/>
  <c r="F162" i="4"/>
  <c r="I52" i="9"/>
  <c r="I52" i="7"/>
  <c r="N140" i="4"/>
  <c r="N140" i="9"/>
  <c r="N140" i="7"/>
  <c r="O130" i="4"/>
  <c r="O130" i="9"/>
  <c r="O130" i="7"/>
  <c r="E28" i="4"/>
  <c r="E28" i="9"/>
  <c r="E28" i="7"/>
  <c r="K17" i="9"/>
  <c r="K17" i="7"/>
  <c r="K17" i="4"/>
  <c r="J47" i="9"/>
  <c r="J47" i="4"/>
  <c r="J47" i="7"/>
  <c r="J48" i="3"/>
  <c r="J48" i="28" s="1"/>
  <c r="L91" i="9"/>
  <c r="L91" i="7"/>
  <c r="L91" i="4"/>
  <c r="L92" i="3"/>
  <c r="L92" i="28" s="1"/>
  <c r="D73" i="9"/>
  <c r="D73" i="7"/>
  <c r="D73" i="4"/>
  <c r="D74" i="3"/>
  <c r="D74" i="28" s="1"/>
  <c r="L111" i="9"/>
  <c r="L111" i="7"/>
  <c r="L111" i="4"/>
  <c r="L112" i="3"/>
  <c r="L112" i="28" s="1"/>
  <c r="G97" i="9"/>
  <c r="G97" i="7"/>
  <c r="G97" i="4"/>
  <c r="G98" i="3"/>
  <c r="G98" i="28" s="1"/>
  <c r="I127" i="9"/>
  <c r="I127" i="7"/>
  <c r="I127" i="4"/>
  <c r="D171" i="9"/>
  <c r="D171" i="7"/>
  <c r="E161" i="9"/>
  <c r="E161" i="7"/>
  <c r="E161" i="4"/>
  <c r="D197" i="9"/>
  <c r="D197" i="7"/>
  <c r="D197" i="4"/>
  <c r="O181" i="9"/>
  <c r="O181" i="7"/>
  <c r="O181" i="4"/>
  <c r="O182" i="3"/>
  <c r="C223" i="9"/>
  <c r="C224" i="3"/>
  <c r="C224" i="28" s="1"/>
  <c r="C223" i="4"/>
  <c r="C223" i="7"/>
  <c r="H239" i="9"/>
  <c r="H239" i="7"/>
  <c r="H239" i="4"/>
  <c r="G16" i="9"/>
  <c r="G16" i="7"/>
  <c r="G16" i="4"/>
  <c r="O64" i="4"/>
  <c r="O64" i="9"/>
  <c r="O64" i="7"/>
  <c r="D110" i="4"/>
  <c r="D110" i="9"/>
  <c r="D110" i="7"/>
  <c r="I27" i="9"/>
  <c r="I27" i="7"/>
  <c r="K59" i="9"/>
  <c r="K59" i="7"/>
  <c r="K59" i="4"/>
  <c r="C43" i="9"/>
  <c r="C43" i="7"/>
  <c r="C43" i="4"/>
  <c r="H89" i="9"/>
  <c r="H89" i="7"/>
  <c r="H89" i="4"/>
  <c r="L81" i="9"/>
  <c r="L81" i="7"/>
  <c r="L81" i="4"/>
  <c r="N113" i="9"/>
  <c r="N113" i="4"/>
  <c r="N113" i="7"/>
  <c r="N114" i="3"/>
  <c r="F97" i="9"/>
  <c r="F97" i="7"/>
  <c r="F98" i="3"/>
  <c r="F98" i="28" s="1"/>
  <c r="O121" i="9"/>
  <c r="O121" i="7"/>
  <c r="O122" i="3"/>
  <c r="D161" i="7"/>
  <c r="D161" i="9"/>
  <c r="D161" i="4"/>
  <c r="F199" i="9"/>
  <c r="F199" i="7"/>
  <c r="F199" i="4"/>
  <c r="K179" i="9"/>
  <c r="K179" i="7"/>
  <c r="K179" i="4"/>
  <c r="K180" i="3"/>
  <c r="K180" i="28" s="1"/>
  <c r="I217" i="9"/>
  <c r="I218" i="3"/>
  <c r="I218" i="28" s="1"/>
  <c r="I217" i="7"/>
  <c r="I217" i="4"/>
  <c r="D237" i="9"/>
  <c r="D237" i="7"/>
  <c r="D238" i="3"/>
  <c r="D238" i="28" s="1"/>
  <c r="J124" i="4"/>
  <c r="J124" i="9"/>
  <c r="J124" i="7"/>
  <c r="D240" i="7"/>
  <c r="D240" i="4"/>
  <c r="J59" i="9"/>
  <c r="J59" i="7"/>
  <c r="J59" i="4"/>
  <c r="J91" i="9"/>
  <c r="J91" i="7"/>
  <c r="J91" i="4"/>
  <c r="O170" i="4"/>
  <c r="O170" i="9"/>
  <c r="O170" i="7"/>
  <c r="C76" i="4"/>
  <c r="C76" i="9"/>
  <c r="C76" i="7"/>
  <c r="H90" i="3"/>
  <c r="H90" i="28" s="1"/>
  <c r="O148" i="9"/>
  <c r="O148" i="7"/>
  <c r="H157" i="9"/>
  <c r="H157" i="7"/>
  <c r="H158" i="3"/>
  <c r="H158" i="28" s="1"/>
  <c r="H157" i="4"/>
  <c r="I200" i="4"/>
  <c r="I200" i="9"/>
  <c r="E240" i="7"/>
  <c r="E240" i="4"/>
  <c r="G27" i="9"/>
  <c r="G27" i="4"/>
  <c r="D25" i="9"/>
  <c r="D25" i="7"/>
  <c r="D25" i="4"/>
  <c r="K19" i="9"/>
  <c r="K19" i="7"/>
  <c r="K19" i="4"/>
  <c r="H17" i="9"/>
  <c r="H17" i="7"/>
  <c r="H17" i="4"/>
  <c r="E15" i="9"/>
  <c r="E15" i="7"/>
  <c r="E15" i="4"/>
  <c r="O63" i="9"/>
  <c r="O63" i="7"/>
  <c r="L61" i="9"/>
  <c r="L61" i="7"/>
  <c r="L61" i="4"/>
  <c r="F57" i="9"/>
  <c r="F57" i="7"/>
  <c r="F57" i="4"/>
  <c r="M51" i="9"/>
  <c r="M51" i="7"/>
  <c r="M51" i="4"/>
  <c r="G47" i="9"/>
  <c r="G47" i="7"/>
  <c r="G47" i="4"/>
  <c r="D45" i="9"/>
  <c r="D45" i="7"/>
  <c r="D45" i="4"/>
  <c r="K39" i="7"/>
  <c r="K39" i="9"/>
  <c r="K39" i="4"/>
  <c r="E35" i="9"/>
  <c r="E35" i="4"/>
  <c r="E35" i="7"/>
  <c r="L93" i="9"/>
  <c r="L93" i="7"/>
  <c r="L93" i="4"/>
  <c r="F89" i="9"/>
  <c r="F89" i="7"/>
  <c r="G79" i="9"/>
  <c r="G79" i="7"/>
  <c r="G79" i="4"/>
  <c r="O36" i="4"/>
  <c r="O36" i="9"/>
  <c r="O36" i="7"/>
  <c r="N46" i="4"/>
  <c r="N46" i="9"/>
  <c r="N46" i="7"/>
  <c r="M56" i="4"/>
  <c r="M56" i="9"/>
  <c r="M56" i="7"/>
  <c r="L66" i="4"/>
  <c r="L66" i="9"/>
  <c r="L66" i="7"/>
  <c r="D82" i="9"/>
  <c r="D82" i="7"/>
  <c r="O100" i="4"/>
  <c r="O100" i="9"/>
  <c r="O100" i="7"/>
  <c r="J150" i="4"/>
  <c r="J150" i="9"/>
  <c r="J150" i="7"/>
  <c r="D162" i="3"/>
  <c r="D162" i="28" s="1"/>
  <c r="O188" i="4"/>
  <c r="O188" i="9"/>
  <c r="O188" i="7"/>
  <c r="J95" i="4"/>
  <c r="O63" i="4"/>
  <c r="I29" i="9"/>
  <c r="I29" i="7"/>
  <c r="I29" i="4"/>
  <c r="C25" i="9"/>
  <c r="C25" i="4"/>
  <c r="J19" i="9"/>
  <c r="J19" i="7"/>
  <c r="J19" i="4"/>
  <c r="N63" i="9"/>
  <c r="N63" i="7"/>
  <c r="N63" i="4"/>
  <c r="N64" i="3"/>
  <c r="H59" i="9"/>
  <c r="H59" i="7"/>
  <c r="H59" i="4"/>
  <c r="H60" i="3"/>
  <c r="H60" i="28" s="1"/>
  <c r="O53" i="9"/>
  <c r="O53" i="7"/>
  <c r="O53" i="4"/>
  <c r="O54" i="3"/>
  <c r="I49" i="9"/>
  <c r="I49" i="7"/>
  <c r="I49" i="4"/>
  <c r="I50" i="3"/>
  <c r="I50" i="28" s="1"/>
  <c r="C45" i="9"/>
  <c r="C45" i="7"/>
  <c r="C45" i="4"/>
  <c r="C46" i="3"/>
  <c r="C46" i="28" s="1"/>
  <c r="G37" i="9"/>
  <c r="G37" i="7"/>
  <c r="G37" i="4"/>
  <c r="G38" i="3"/>
  <c r="G38" i="28" s="1"/>
  <c r="N95" i="9"/>
  <c r="N95" i="7"/>
  <c r="N95" i="4"/>
  <c r="N96" i="3"/>
  <c r="H91" i="9"/>
  <c r="H91" i="7"/>
  <c r="H91" i="4"/>
  <c r="H92" i="3"/>
  <c r="H92" i="28" s="1"/>
  <c r="E89" i="9"/>
  <c r="E89" i="7"/>
  <c r="E89" i="4"/>
  <c r="E90" i="3"/>
  <c r="E90" i="28" s="1"/>
  <c r="I82" i="4"/>
  <c r="I82" i="9"/>
  <c r="I82" i="7"/>
  <c r="F176" i="9"/>
  <c r="F176" i="7"/>
  <c r="F176" i="4"/>
  <c r="F79" i="9"/>
  <c r="F79" i="7"/>
  <c r="F79" i="4"/>
  <c r="F80" i="3"/>
  <c r="F80" i="28" s="1"/>
  <c r="D92" i="3"/>
  <c r="D92" i="28" s="1"/>
  <c r="C102" i="4"/>
  <c r="C102" i="9"/>
  <c r="C102" i="7"/>
  <c r="O110" i="4"/>
  <c r="O110" i="9"/>
  <c r="O110" i="7"/>
  <c r="E162" i="3"/>
  <c r="E162" i="28" s="1"/>
  <c r="O180" i="4"/>
  <c r="O180" i="9"/>
  <c r="O180" i="7"/>
  <c r="O31" i="7"/>
  <c r="O11" i="9"/>
  <c r="O11" i="4"/>
  <c r="O12" i="3"/>
  <c r="O11" i="7"/>
  <c r="K31" i="9"/>
  <c r="K31" i="7"/>
  <c r="K31" i="4"/>
  <c r="H29" i="9"/>
  <c r="H29" i="7"/>
  <c r="H29" i="4"/>
  <c r="O23" i="9"/>
  <c r="O23" i="7"/>
  <c r="O23" i="4"/>
  <c r="L21" i="9"/>
  <c r="L21" i="7"/>
  <c r="L21" i="4"/>
  <c r="I19" i="9"/>
  <c r="I19" i="7"/>
  <c r="I19" i="4"/>
  <c r="F17" i="9"/>
  <c r="F17" i="7"/>
  <c r="F17" i="4"/>
  <c r="C15" i="9"/>
  <c r="C15" i="7"/>
  <c r="C15" i="4"/>
  <c r="M63" i="9"/>
  <c r="M63" i="7"/>
  <c r="M63" i="4"/>
  <c r="J61" i="9"/>
  <c r="J61" i="7"/>
  <c r="J61" i="4"/>
  <c r="G59" i="9"/>
  <c r="G59" i="7"/>
  <c r="G59" i="4"/>
  <c r="D57" i="9"/>
  <c r="D57" i="7"/>
  <c r="D57" i="4"/>
  <c r="N53" i="9"/>
  <c r="N53" i="4"/>
  <c r="N53" i="7"/>
  <c r="K51" i="7"/>
  <c r="K51" i="9"/>
  <c r="K51" i="4"/>
  <c r="H49" i="9"/>
  <c r="H49" i="7"/>
  <c r="H49" i="4"/>
  <c r="E47" i="9"/>
  <c r="E47" i="7"/>
  <c r="E47" i="4"/>
  <c r="O43" i="9"/>
  <c r="O43" i="4"/>
  <c r="O43" i="7"/>
  <c r="L41" i="9"/>
  <c r="L41" i="7"/>
  <c r="L41" i="4"/>
  <c r="I39" i="9"/>
  <c r="I39" i="7"/>
  <c r="I39" i="4"/>
  <c r="F37" i="9"/>
  <c r="F37" i="7"/>
  <c r="F37" i="4"/>
  <c r="C35" i="9"/>
  <c r="C35" i="7"/>
  <c r="C35" i="4"/>
  <c r="M95" i="9"/>
  <c r="M95" i="7"/>
  <c r="M95" i="4"/>
  <c r="J93" i="9"/>
  <c r="J93" i="7"/>
  <c r="J93" i="4"/>
  <c r="G91" i="9"/>
  <c r="G91" i="7"/>
  <c r="G91" i="4"/>
  <c r="D89" i="9"/>
  <c r="D89" i="7"/>
  <c r="D89" i="4"/>
  <c r="N85" i="9"/>
  <c r="N85" i="7"/>
  <c r="N85" i="4"/>
  <c r="K83" i="9"/>
  <c r="K83" i="7"/>
  <c r="H81" i="9"/>
  <c r="H81" i="7"/>
  <c r="E77" i="9"/>
  <c r="E77" i="7"/>
  <c r="E77" i="4"/>
  <c r="O146" i="4"/>
  <c r="O146" i="9"/>
  <c r="O146" i="7"/>
  <c r="I142" i="9"/>
  <c r="I142" i="7"/>
  <c r="F140" i="9"/>
  <c r="F140" i="7"/>
  <c r="F140" i="4"/>
  <c r="C138" i="7"/>
  <c r="M134" i="9"/>
  <c r="M134" i="7"/>
  <c r="N124" i="4"/>
  <c r="N124" i="9"/>
  <c r="N124" i="7"/>
  <c r="D230" i="4"/>
  <c r="D230" i="9"/>
  <c r="D230" i="7"/>
  <c r="E79" i="9"/>
  <c r="E79" i="7"/>
  <c r="E79" i="4"/>
  <c r="F18" i="3"/>
  <c r="F18" i="28" s="1"/>
  <c r="L22" i="3"/>
  <c r="L22" i="28" s="1"/>
  <c r="K32" i="3"/>
  <c r="K32" i="28" s="1"/>
  <c r="E92" i="3"/>
  <c r="E92" i="28" s="1"/>
  <c r="I116" i="3"/>
  <c r="I116" i="28" s="1"/>
  <c r="N130" i="4"/>
  <c r="N130" i="9"/>
  <c r="N130" i="7"/>
  <c r="E157" i="9"/>
  <c r="E157" i="7"/>
  <c r="E158" i="3"/>
  <c r="E158" i="28" s="1"/>
  <c r="I174" i="4"/>
  <c r="I174" i="9"/>
  <c r="I174" i="7"/>
  <c r="C182" i="3"/>
  <c r="C182" i="28" s="1"/>
  <c r="N206" i="9"/>
  <c r="N206" i="7"/>
  <c r="I200" i="7"/>
  <c r="M129" i="7"/>
  <c r="J27" i="9"/>
  <c r="J27" i="7"/>
  <c r="E13" i="9"/>
  <c r="E13" i="7"/>
  <c r="E13" i="4"/>
  <c r="N39" i="9"/>
  <c r="N39" i="7"/>
  <c r="N39" i="4"/>
  <c r="N40" i="3"/>
  <c r="M81" i="9"/>
  <c r="M81" i="7"/>
  <c r="M81" i="4"/>
  <c r="M82" i="3"/>
  <c r="M82" i="28" s="1"/>
  <c r="E117" i="9"/>
  <c r="E117" i="7"/>
  <c r="E117" i="4"/>
  <c r="E118" i="3"/>
  <c r="E118" i="28" s="1"/>
  <c r="D145" i="9"/>
  <c r="D145" i="7"/>
  <c r="D145" i="4"/>
  <c r="M119" i="9"/>
  <c r="M119" i="7"/>
  <c r="M119" i="4"/>
  <c r="F149" i="9"/>
  <c r="F150" i="3"/>
  <c r="F150" i="28" s="1"/>
  <c r="H187" i="9"/>
  <c r="H187" i="7"/>
  <c r="H188" i="3"/>
  <c r="H188" i="28" s="1"/>
  <c r="H187" i="4"/>
  <c r="N209" i="9"/>
  <c r="N209" i="7"/>
  <c r="N210" i="3"/>
  <c r="M20" i="4"/>
  <c r="M20" i="9"/>
  <c r="M20" i="7"/>
  <c r="M19" i="9"/>
  <c r="M19" i="7"/>
  <c r="M19" i="4"/>
  <c r="L49" i="9"/>
  <c r="L49" i="7"/>
  <c r="N93" i="9"/>
  <c r="N93" i="7"/>
  <c r="N93" i="4"/>
  <c r="M69" i="9"/>
  <c r="M69" i="7"/>
  <c r="M69" i="4"/>
  <c r="M70" i="3"/>
  <c r="M70" i="28" s="1"/>
  <c r="O103" i="9"/>
  <c r="O103" i="7"/>
  <c r="O104" i="3"/>
  <c r="G137" i="9"/>
  <c r="G137" i="7"/>
  <c r="G137" i="4"/>
  <c r="G138" i="3"/>
  <c r="G138" i="28" s="1"/>
  <c r="L119" i="9"/>
  <c r="L119" i="7"/>
  <c r="L119" i="4"/>
  <c r="L120" i="3"/>
  <c r="L120" i="28" s="1"/>
  <c r="N155" i="9"/>
  <c r="N155" i="7"/>
  <c r="N155" i="4"/>
  <c r="N156" i="3"/>
  <c r="J189" i="9"/>
  <c r="J189" i="4"/>
  <c r="J190" i="3"/>
  <c r="J190" i="28" s="1"/>
  <c r="F215" i="9"/>
  <c r="F215" i="7"/>
  <c r="F215" i="4"/>
  <c r="F216" i="3"/>
  <c r="F216" i="28" s="1"/>
  <c r="K231" i="9"/>
  <c r="K231" i="7"/>
  <c r="K232" i="3"/>
  <c r="K232" i="28" s="1"/>
  <c r="K231" i="4"/>
  <c r="C130" i="9"/>
  <c r="I157" i="9"/>
  <c r="I157" i="4"/>
  <c r="I158" i="3"/>
  <c r="I158" i="28" s="1"/>
  <c r="O21" i="9"/>
  <c r="O21" i="7"/>
  <c r="O21" i="4"/>
  <c r="O22" i="3"/>
  <c r="G57" i="9"/>
  <c r="G57" i="7"/>
  <c r="G57" i="4"/>
  <c r="I37" i="9"/>
  <c r="I37" i="7"/>
  <c r="I37" i="4"/>
  <c r="N30" i="4"/>
  <c r="N30" i="9"/>
  <c r="N30" i="7"/>
  <c r="O166" i="9"/>
  <c r="O166" i="7"/>
  <c r="O166" i="4"/>
  <c r="I229" i="4"/>
  <c r="G220" i="4"/>
  <c r="G220" i="9"/>
  <c r="G220" i="7"/>
  <c r="M31" i="9"/>
  <c r="M31" i="7"/>
  <c r="M31" i="4"/>
  <c r="J29" i="9"/>
  <c r="J29" i="7"/>
  <c r="J29" i="4"/>
  <c r="N21" i="9"/>
  <c r="N21" i="7"/>
  <c r="N21" i="4"/>
  <c r="I59" i="9"/>
  <c r="I59" i="7"/>
  <c r="C55" i="9"/>
  <c r="C55" i="7"/>
  <c r="C55" i="4"/>
  <c r="J49" i="9"/>
  <c r="J49" i="4"/>
  <c r="J49" i="7"/>
  <c r="N41" i="9"/>
  <c r="N41" i="7"/>
  <c r="N41" i="4"/>
  <c r="H37" i="9"/>
  <c r="H37" i="7"/>
  <c r="H37" i="4"/>
  <c r="O95" i="9"/>
  <c r="O95" i="7"/>
  <c r="I91" i="9"/>
  <c r="I91" i="7"/>
  <c r="I91" i="4"/>
  <c r="C87" i="9"/>
  <c r="C87" i="7"/>
  <c r="C87" i="4"/>
  <c r="G78" i="4"/>
  <c r="G78" i="9"/>
  <c r="G78" i="7"/>
  <c r="N72" i="4"/>
  <c r="N72" i="9"/>
  <c r="N72" i="7"/>
  <c r="H68" i="4"/>
  <c r="H68" i="9"/>
  <c r="H68" i="7"/>
  <c r="J22" i="3"/>
  <c r="J22" i="28" s="1"/>
  <c r="G52" i="4"/>
  <c r="G52" i="9"/>
  <c r="E72" i="9"/>
  <c r="E72" i="7"/>
  <c r="J86" i="4"/>
  <c r="J86" i="9"/>
  <c r="J86" i="7"/>
  <c r="H106" i="4"/>
  <c r="H106" i="9"/>
  <c r="H106" i="7"/>
  <c r="N110" i="4"/>
  <c r="N110" i="9"/>
  <c r="M120" i="3"/>
  <c r="M120" i="28" s="1"/>
  <c r="D146" i="3"/>
  <c r="D146" i="28" s="1"/>
  <c r="C156" i="4"/>
  <c r="C156" i="9"/>
  <c r="C156" i="7"/>
  <c r="N180" i="4"/>
  <c r="N180" i="9"/>
  <c r="F45" i="4"/>
  <c r="L200" i="9"/>
  <c r="H240" i="3"/>
  <c r="L31" i="9"/>
  <c r="L31" i="7"/>
  <c r="L31" i="4"/>
  <c r="F27" i="9"/>
  <c r="F27" i="7"/>
  <c r="M21" i="9"/>
  <c r="M21" i="7"/>
  <c r="M21" i="4"/>
  <c r="G17" i="9"/>
  <c r="G17" i="7"/>
  <c r="G17" i="4"/>
  <c r="D15" i="9"/>
  <c r="D15" i="7"/>
  <c r="D15" i="4"/>
  <c r="K61" i="9"/>
  <c r="K61" i="7"/>
  <c r="K61" i="4"/>
  <c r="K62" i="3"/>
  <c r="K62" i="28" s="1"/>
  <c r="E57" i="9"/>
  <c r="E57" i="7"/>
  <c r="E57" i="4"/>
  <c r="E58" i="3"/>
  <c r="E58" i="28" s="1"/>
  <c r="L51" i="9"/>
  <c r="L51" i="7"/>
  <c r="L51" i="4"/>
  <c r="L52" i="3"/>
  <c r="L52" i="28" s="1"/>
  <c r="F47" i="9"/>
  <c r="F47" i="7"/>
  <c r="F47" i="4"/>
  <c r="F48" i="3"/>
  <c r="F48" i="28" s="1"/>
  <c r="M41" i="9"/>
  <c r="M41" i="7"/>
  <c r="M41" i="4"/>
  <c r="M42" i="3"/>
  <c r="M42" i="28" s="1"/>
  <c r="J39" i="9"/>
  <c r="J39" i="7"/>
  <c r="J39" i="4"/>
  <c r="J40" i="3"/>
  <c r="J40" i="28" s="1"/>
  <c r="D35" i="9"/>
  <c r="D35" i="4"/>
  <c r="D35" i="7"/>
  <c r="D36" i="3"/>
  <c r="D36" i="28" s="1"/>
  <c r="K93" i="9"/>
  <c r="K93" i="7"/>
  <c r="K93" i="4"/>
  <c r="K94" i="3"/>
  <c r="K94" i="28" s="1"/>
  <c r="O85" i="9"/>
  <c r="O85" i="7"/>
  <c r="O85" i="4"/>
  <c r="O86" i="3"/>
  <c r="G166" i="4"/>
  <c r="E82" i="4"/>
  <c r="E82" i="9"/>
  <c r="E82" i="7"/>
  <c r="J96" i="3"/>
  <c r="J96" i="28" s="1"/>
  <c r="K150" i="4"/>
  <c r="K150" i="9"/>
  <c r="K150" i="7"/>
  <c r="F157" i="9"/>
  <c r="F157" i="7"/>
  <c r="F158" i="3"/>
  <c r="F158" i="28" s="1"/>
  <c r="E27" i="9"/>
  <c r="E27" i="7"/>
  <c r="E27" i="4"/>
  <c r="N11" i="9"/>
  <c r="N11" i="4"/>
  <c r="N12" i="3"/>
  <c r="N11" i="7"/>
  <c r="J31" i="9"/>
  <c r="J31" i="7"/>
  <c r="J31" i="4"/>
  <c r="G29" i="9"/>
  <c r="G29" i="7"/>
  <c r="G29" i="4"/>
  <c r="D27" i="9"/>
  <c r="D27" i="7"/>
  <c r="D27" i="4"/>
  <c r="N23" i="9"/>
  <c r="N23" i="7"/>
  <c r="N23" i="4"/>
  <c r="K21" i="9"/>
  <c r="K21" i="7"/>
  <c r="H19" i="9"/>
  <c r="H19" i="7"/>
  <c r="E17" i="9"/>
  <c r="E17" i="7"/>
  <c r="E17" i="4"/>
  <c r="O13" i="9"/>
  <c r="O13" i="7"/>
  <c r="O13" i="4"/>
  <c r="L63" i="9"/>
  <c r="L63" i="7"/>
  <c r="L63" i="4"/>
  <c r="I61" i="9"/>
  <c r="I61" i="7"/>
  <c r="I61" i="4"/>
  <c r="F59" i="9"/>
  <c r="F59" i="7"/>
  <c r="F59" i="4"/>
  <c r="C57" i="9"/>
  <c r="C57" i="7"/>
  <c r="C57" i="4"/>
  <c r="M53" i="9"/>
  <c r="M53" i="4"/>
  <c r="M53" i="7"/>
  <c r="J51" i="9"/>
  <c r="J51" i="4"/>
  <c r="J51" i="7"/>
  <c r="G49" i="9"/>
  <c r="G49" i="7"/>
  <c r="G49" i="4"/>
  <c r="D47" i="9"/>
  <c r="D47" i="7"/>
  <c r="D47" i="4"/>
  <c r="N43" i="9"/>
  <c r="N43" i="7"/>
  <c r="N43" i="4"/>
  <c r="K41" i="9"/>
  <c r="K41" i="7"/>
  <c r="K41" i="4"/>
  <c r="H39" i="9"/>
  <c r="H39" i="7"/>
  <c r="H39" i="4"/>
  <c r="E37" i="9"/>
  <c r="E37" i="7"/>
  <c r="E37" i="4"/>
  <c r="O33" i="9"/>
  <c r="O33" i="7"/>
  <c r="O33" i="4"/>
  <c r="L95" i="9"/>
  <c r="L95" i="7"/>
  <c r="L95" i="4"/>
  <c r="I93" i="9"/>
  <c r="I93" i="7"/>
  <c r="I93" i="4"/>
  <c r="F91" i="9"/>
  <c r="F91" i="7"/>
  <c r="F91" i="4"/>
  <c r="C89" i="9"/>
  <c r="C89" i="7"/>
  <c r="C89" i="4"/>
  <c r="M85" i="9"/>
  <c r="M85" i="7"/>
  <c r="M85" i="4"/>
  <c r="J83" i="9"/>
  <c r="J83" i="4"/>
  <c r="J83" i="7"/>
  <c r="G81" i="9"/>
  <c r="G81" i="7"/>
  <c r="F112" i="4"/>
  <c r="F112" i="9"/>
  <c r="F112" i="7"/>
  <c r="C110" i="4"/>
  <c r="M106" i="4"/>
  <c r="M106" i="9"/>
  <c r="M106" i="7"/>
  <c r="E140" i="9"/>
  <c r="E140" i="4"/>
  <c r="O136" i="9"/>
  <c r="O136" i="7"/>
  <c r="O136" i="4"/>
  <c r="L134" i="9"/>
  <c r="L134" i="7"/>
  <c r="L134" i="4"/>
  <c r="I132" i="4"/>
  <c r="I132" i="9"/>
  <c r="I132" i="7"/>
  <c r="D79" i="9"/>
  <c r="D79" i="7"/>
  <c r="D79" i="4"/>
  <c r="G18" i="3"/>
  <c r="G18" i="28" s="1"/>
  <c r="M22" i="3"/>
  <c r="M22" i="28" s="1"/>
  <c r="F28" i="3"/>
  <c r="F28" i="28" s="1"/>
  <c r="L32" i="3"/>
  <c r="L32" i="28" s="1"/>
  <c r="E38" i="3"/>
  <c r="E38" i="28" s="1"/>
  <c r="K42" i="3"/>
  <c r="K42" i="28" s="1"/>
  <c r="D48" i="3"/>
  <c r="D48" i="28" s="1"/>
  <c r="J52" i="3"/>
  <c r="J52" i="28" s="1"/>
  <c r="C58" i="3"/>
  <c r="C58" i="28" s="1"/>
  <c r="I62" i="3"/>
  <c r="I62" i="28" s="1"/>
  <c r="G82" i="3"/>
  <c r="G82" i="28" s="1"/>
  <c r="M86" i="3"/>
  <c r="M86" i="28" s="1"/>
  <c r="F92" i="3"/>
  <c r="F92" i="28" s="1"/>
  <c r="L96" i="3"/>
  <c r="L96" i="28" s="1"/>
  <c r="D157" i="9"/>
  <c r="D157" i="7"/>
  <c r="D157" i="4"/>
  <c r="D158" i="3"/>
  <c r="D158" i="28" s="1"/>
  <c r="J168" i="4"/>
  <c r="J168" i="9"/>
  <c r="J168" i="7"/>
  <c r="K174" i="3"/>
  <c r="K174" i="28" s="1"/>
  <c r="G27" i="7"/>
  <c r="D23" i="9"/>
  <c r="D23" i="7"/>
  <c r="F55" i="7"/>
  <c r="F55" i="9"/>
  <c r="F55" i="4"/>
  <c r="F56" i="3"/>
  <c r="F56" i="28" s="1"/>
  <c r="O93" i="9"/>
  <c r="O93" i="7"/>
  <c r="O93" i="4"/>
  <c r="O94" i="3"/>
  <c r="G75" i="9"/>
  <c r="G75" i="7"/>
  <c r="G75" i="4"/>
  <c r="G76" i="3"/>
  <c r="G76" i="28" s="1"/>
  <c r="I109" i="9"/>
  <c r="I109" i="7"/>
  <c r="I109" i="4"/>
  <c r="I110" i="3"/>
  <c r="I110" i="28" s="1"/>
  <c r="K139" i="9"/>
  <c r="K139" i="7"/>
  <c r="F125" i="9"/>
  <c r="F125" i="7"/>
  <c r="F125" i="4"/>
  <c r="H163" i="9"/>
  <c r="H163" i="4"/>
  <c r="H163" i="7"/>
  <c r="C147" i="9"/>
  <c r="C147" i="4"/>
  <c r="C148" i="3"/>
  <c r="C148" i="28" s="1"/>
  <c r="I177" i="9"/>
  <c r="I177" i="7"/>
  <c r="I177" i="4"/>
  <c r="I178" i="3"/>
  <c r="I178" i="28" s="1"/>
  <c r="K207" i="9"/>
  <c r="K207" i="7"/>
  <c r="K208" i="3"/>
  <c r="K208" i="28" s="1"/>
  <c r="K207" i="4"/>
  <c r="J80" i="4"/>
  <c r="J80" i="9"/>
  <c r="J80" i="7"/>
  <c r="J50" i="4"/>
  <c r="J50" i="9"/>
  <c r="J50" i="7"/>
  <c r="N138" i="4"/>
  <c r="N138" i="9"/>
  <c r="N138" i="7"/>
  <c r="J17" i="9"/>
  <c r="J17" i="7"/>
  <c r="J17" i="4"/>
  <c r="E55" i="7"/>
  <c r="E55" i="9"/>
  <c r="D33" i="9"/>
  <c r="D33" i="7"/>
  <c r="D33" i="4"/>
  <c r="I77" i="9"/>
  <c r="I77" i="7"/>
  <c r="I77" i="4"/>
  <c r="I78" i="3"/>
  <c r="I78" i="28" s="1"/>
  <c r="K111" i="9"/>
  <c r="K111" i="7"/>
  <c r="K111" i="4"/>
  <c r="K112" i="3"/>
  <c r="K112" i="28" s="1"/>
  <c r="J139" i="9"/>
  <c r="J140" i="3"/>
  <c r="J140" i="28" s="1"/>
  <c r="F173" i="9"/>
  <c r="F173" i="7"/>
  <c r="F173" i="4"/>
  <c r="K153" i="9"/>
  <c r="K153" i="7"/>
  <c r="K153" i="4"/>
  <c r="K154" i="3"/>
  <c r="K154" i="28" s="1"/>
  <c r="M191" i="9"/>
  <c r="M191" i="7"/>
  <c r="M192" i="3"/>
  <c r="M192" i="28" s="1"/>
  <c r="M191" i="4"/>
  <c r="O221" i="9"/>
  <c r="O221" i="7"/>
  <c r="O222" i="3"/>
  <c r="H229" i="9"/>
  <c r="H229" i="7"/>
  <c r="H230" i="3"/>
  <c r="H230" i="28" s="1"/>
  <c r="H229" i="4"/>
  <c r="N148" i="9"/>
  <c r="N148" i="7"/>
  <c r="L19" i="9"/>
  <c r="L19" i="7"/>
  <c r="L19" i="4"/>
  <c r="L20" i="3"/>
  <c r="L20" i="28" s="1"/>
  <c r="D55" i="7"/>
  <c r="D55" i="9"/>
  <c r="D55" i="4"/>
  <c r="C33" i="9"/>
  <c r="C33" i="7"/>
  <c r="C33" i="4"/>
  <c r="L50" i="3"/>
  <c r="L50" i="28" s="1"/>
  <c r="L114" i="4"/>
  <c r="L114" i="9"/>
  <c r="L114" i="7"/>
  <c r="F29" i="9"/>
  <c r="F29" i="7"/>
  <c r="F29" i="4"/>
  <c r="K63" i="9"/>
  <c r="K63" i="7"/>
  <c r="K63" i="4"/>
  <c r="F49" i="9"/>
  <c r="F49" i="7"/>
  <c r="F49" i="4"/>
  <c r="K95" i="9"/>
  <c r="K95" i="7"/>
  <c r="L85" i="9"/>
  <c r="L85" i="7"/>
  <c r="L85" i="4"/>
  <c r="C77" i="9"/>
  <c r="C77" i="7"/>
  <c r="C78" i="3"/>
  <c r="C78" i="28" s="1"/>
  <c r="N136" i="4"/>
  <c r="N136" i="9"/>
  <c r="N136" i="7"/>
  <c r="O126" i="4"/>
  <c r="O126" i="9"/>
  <c r="O126" i="7"/>
  <c r="D58" i="4"/>
  <c r="D58" i="9"/>
  <c r="D58" i="7"/>
  <c r="O76" i="4"/>
  <c r="O76" i="9"/>
  <c r="O76" i="7"/>
  <c r="L106" i="4"/>
  <c r="L106" i="9"/>
  <c r="L106" i="7"/>
  <c r="N209" i="4"/>
  <c r="C147" i="7"/>
  <c r="H31" i="9"/>
  <c r="H31" i="7"/>
  <c r="H31" i="4"/>
  <c r="H32" i="3"/>
  <c r="H32" i="28" s="1"/>
  <c r="I21" i="9"/>
  <c r="I21" i="7"/>
  <c r="I22" i="3"/>
  <c r="I22" i="28" s="1"/>
  <c r="G61" i="9"/>
  <c r="G61" i="7"/>
  <c r="G61" i="4"/>
  <c r="O45" i="9"/>
  <c r="O45" i="7"/>
  <c r="O45" i="4"/>
  <c r="C37" i="7"/>
  <c r="C37" i="9"/>
  <c r="C37" i="4"/>
  <c r="N87" i="9"/>
  <c r="N87" i="7"/>
  <c r="M186" i="9"/>
  <c r="M186" i="7"/>
  <c r="M186" i="4"/>
  <c r="M52" i="3"/>
  <c r="M52" i="28" s="1"/>
  <c r="L62" i="3"/>
  <c r="L62" i="28" s="1"/>
  <c r="I92" i="3"/>
  <c r="I92" i="28" s="1"/>
  <c r="E195" i="9"/>
  <c r="E195" i="7"/>
  <c r="E196" i="3"/>
  <c r="E196" i="28" s="1"/>
  <c r="F89" i="4"/>
  <c r="D29" i="9"/>
  <c r="D29" i="7"/>
  <c r="D29" i="4"/>
  <c r="D30" i="3"/>
  <c r="D30" i="28" s="1"/>
  <c r="I63" i="9"/>
  <c r="I63" i="7"/>
  <c r="I63" i="4"/>
  <c r="D49" i="9"/>
  <c r="D49" i="7"/>
  <c r="D49" i="4"/>
  <c r="L33" i="9"/>
  <c r="L33" i="7"/>
  <c r="L33" i="4"/>
  <c r="G83" i="9"/>
  <c r="G83" i="7"/>
  <c r="G83" i="4"/>
  <c r="O65" i="9"/>
  <c r="O65" i="7"/>
  <c r="O65" i="4"/>
  <c r="C111" i="9"/>
  <c r="C111" i="7"/>
  <c r="C111" i="4"/>
  <c r="D101" i="9"/>
  <c r="D101" i="7"/>
  <c r="D101" i="4"/>
  <c r="L135" i="9"/>
  <c r="L135" i="7"/>
  <c r="L135" i="4"/>
  <c r="D119" i="9"/>
  <c r="D119" i="4"/>
  <c r="D119" i="7"/>
  <c r="I159" i="9"/>
  <c r="I159" i="7"/>
  <c r="I160" i="3"/>
  <c r="I160" i="28" s="1"/>
  <c r="I159" i="4"/>
  <c r="D203" i="9"/>
  <c r="D203" i="7"/>
  <c r="D204" i="3"/>
  <c r="D204" i="28" s="1"/>
  <c r="D203" i="4"/>
  <c r="F181" i="9"/>
  <c r="F181" i="7"/>
  <c r="F181" i="4"/>
  <c r="H211" i="9"/>
  <c r="H211" i="7"/>
  <c r="H211" i="4"/>
  <c r="H212" i="3"/>
  <c r="H212" i="28" s="1"/>
  <c r="M227" i="9"/>
  <c r="M228" i="3"/>
  <c r="M228" i="28" s="1"/>
  <c r="M227" i="7"/>
  <c r="M227" i="4"/>
  <c r="N116" i="4"/>
  <c r="N116" i="9"/>
  <c r="N116" i="7"/>
  <c r="J11" i="9"/>
  <c r="J11" i="7"/>
  <c r="J11" i="4"/>
  <c r="C29" i="9"/>
  <c r="C29" i="7"/>
  <c r="C29" i="4"/>
  <c r="C30" i="3"/>
  <c r="C30" i="28" s="1"/>
  <c r="J23" i="9"/>
  <c r="J23" i="7"/>
  <c r="J24" i="3"/>
  <c r="J24" i="28" s="1"/>
  <c r="J23" i="4"/>
  <c r="D19" i="9"/>
  <c r="D19" i="7"/>
  <c r="D19" i="4"/>
  <c r="D20" i="3"/>
  <c r="D20" i="28" s="1"/>
  <c r="K13" i="9"/>
  <c r="K13" i="4"/>
  <c r="K14" i="3"/>
  <c r="K14" i="28" s="1"/>
  <c r="K13" i="7"/>
  <c r="E61" i="9"/>
  <c r="E61" i="7"/>
  <c r="E61" i="4"/>
  <c r="E62" i="3"/>
  <c r="E62" i="28" s="1"/>
  <c r="L55" i="9"/>
  <c r="L55" i="7"/>
  <c r="L55" i="4"/>
  <c r="L56" i="3"/>
  <c r="L56" i="28" s="1"/>
  <c r="F51" i="9"/>
  <c r="F51" i="7"/>
  <c r="F51" i="4"/>
  <c r="F52" i="3"/>
  <c r="F52" i="28" s="1"/>
  <c r="C49" i="9"/>
  <c r="C49" i="7"/>
  <c r="C50" i="3"/>
  <c r="C50" i="28" s="1"/>
  <c r="J43" i="9"/>
  <c r="J43" i="7"/>
  <c r="J44" i="3"/>
  <c r="J44" i="28" s="1"/>
  <c r="J43" i="4"/>
  <c r="G41" i="9"/>
  <c r="G41" i="7"/>
  <c r="G41" i="4"/>
  <c r="G42" i="3"/>
  <c r="G42" i="28" s="1"/>
  <c r="D39" i="9"/>
  <c r="D39" i="7"/>
  <c r="D40" i="3"/>
  <c r="D40" i="28" s="1"/>
  <c r="N35" i="9"/>
  <c r="N35" i="7"/>
  <c r="N36" i="3"/>
  <c r="N35" i="4"/>
  <c r="K33" i="9"/>
  <c r="K33" i="7"/>
  <c r="K33" i="4"/>
  <c r="K34" i="3"/>
  <c r="K34" i="28" s="1"/>
  <c r="H95" i="9"/>
  <c r="H95" i="7"/>
  <c r="H95" i="4"/>
  <c r="H96" i="3"/>
  <c r="H96" i="28" s="1"/>
  <c r="O89" i="9"/>
  <c r="O89" i="7"/>
  <c r="O89" i="4"/>
  <c r="O90" i="3"/>
  <c r="L87" i="9"/>
  <c r="L87" i="7"/>
  <c r="L87" i="4"/>
  <c r="L88" i="3"/>
  <c r="L88" i="28" s="1"/>
  <c r="I85" i="9"/>
  <c r="I85" i="7"/>
  <c r="I86" i="3"/>
  <c r="I86" i="28" s="1"/>
  <c r="I85" i="4"/>
  <c r="F83" i="9"/>
  <c r="F83" i="7"/>
  <c r="F83" i="4"/>
  <c r="F84" i="3"/>
  <c r="F84" i="28" s="1"/>
  <c r="C81" i="9"/>
  <c r="C81" i="7"/>
  <c r="C82" i="3"/>
  <c r="C82" i="28" s="1"/>
  <c r="C81" i="4"/>
  <c r="M75" i="9"/>
  <c r="M75" i="7"/>
  <c r="J73" i="9"/>
  <c r="J73" i="7"/>
  <c r="G71" i="9"/>
  <c r="G71" i="7"/>
  <c r="G71" i="4"/>
  <c r="D69" i="9"/>
  <c r="D69" i="7"/>
  <c r="D69" i="4"/>
  <c r="N65" i="9"/>
  <c r="N65" i="4"/>
  <c r="N65" i="7"/>
  <c r="K117" i="9"/>
  <c r="K117" i="7"/>
  <c r="H115" i="9"/>
  <c r="H115" i="7"/>
  <c r="E113" i="9"/>
  <c r="E113" i="7"/>
  <c r="E113" i="4"/>
  <c r="O109" i="9"/>
  <c r="O109" i="7"/>
  <c r="O109" i="4"/>
  <c r="L107" i="9"/>
  <c r="L107" i="4"/>
  <c r="I105" i="9"/>
  <c r="I105" i="7"/>
  <c r="I105" i="4"/>
  <c r="F103" i="9"/>
  <c r="F103" i="7"/>
  <c r="F103" i="4"/>
  <c r="C101" i="9"/>
  <c r="C101" i="7"/>
  <c r="C101" i="4"/>
  <c r="M97" i="9"/>
  <c r="M97" i="7"/>
  <c r="M97" i="4"/>
  <c r="J145" i="9"/>
  <c r="J145" i="7"/>
  <c r="J145" i="4"/>
  <c r="G143" i="9"/>
  <c r="G143" i="7"/>
  <c r="G143" i="4"/>
  <c r="D141" i="9"/>
  <c r="D141" i="7"/>
  <c r="D141" i="4"/>
  <c r="N137" i="9"/>
  <c r="N137" i="4"/>
  <c r="K135" i="9"/>
  <c r="K135" i="4"/>
  <c r="H133" i="9"/>
  <c r="H133" i="7"/>
  <c r="H133" i="4"/>
  <c r="E131" i="9"/>
  <c r="E131" i="7"/>
  <c r="E131" i="4"/>
  <c r="O127" i="9"/>
  <c r="O127" i="4"/>
  <c r="O127" i="7"/>
  <c r="L125" i="9"/>
  <c r="L125" i="7"/>
  <c r="L125" i="4"/>
  <c r="I123" i="9"/>
  <c r="I123" i="7"/>
  <c r="I123" i="4"/>
  <c r="F121" i="9"/>
  <c r="F121" i="4"/>
  <c r="C119" i="9"/>
  <c r="C119" i="4"/>
  <c r="C119" i="7"/>
  <c r="M173" i="9"/>
  <c r="M173" i="7"/>
  <c r="J171" i="9"/>
  <c r="J171" i="4"/>
  <c r="J172" i="3"/>
  <c r="J172" i="28" s="1"/>
  <c r="G169" i="9"/>
  <c r="G169" i="7"/>
  <c r="D167" i="9"/>
  <c r="D167" i="7"/>
  <c r="N163" i="9"/>
  <c r="N163" i="7"/>
  <c r="N163" i="4"/>
  <c r="K161" i="9"/>
  <c r="K161" i="7"/>
  <c r="K162" i="3"/>
  <c r="K162" i="28" s="1"/>
  <c r="H159" i="9"/>
  <c r="H159" i="7"/>
  <c r="H159" i="4"/>
  <c r="H160" i="3"/>
  <c r="H160" i="28" s="1"/>
  <c r="E155" i="9"/>
  <c r="E155" i="7"/>
  <c r="E155" i="4"/>
  <c r="O151" i="9"/>
  <c r="O151" i="4"/>
  <c r="O151" i="7"/>
  <c r="L149" i="9"/>
  <c r="L149" i="7"/>
  <c r="L149" i="4"/>
  <c r="I147" i="9"/>
  <c r="I147" i="7"/>
  <c r="F205" i="9"/>
  <c r="F205" i="7"/>
  <c r="F206" i="3"/>
  <c r="F206" i="28" s="1"/>
  <c r="F205" i="4"/>
  <c r="C203" i="9"/>
  <c r="C203" i="7"/>
  <c r="C204" i="3"/>
  <c r="C204" i="28" s="1"/>
  <c r="C203" i="4"/>
  <c r="M199" i="7"/>
  <c r="M199" i="4"/>
  <c r="M200" i="3"/>
  <c r="M200" i="28" s="1"/>
  <c r="M199" i="9"/>
  <c r="J197" i="9"/>
  <c r="J198" i="3"/>
  <c r="J198" i="28" s="1"/>
  <c r="J197" i="7"/>
  <c r="G193" i="9"/>
  <c r="G194" i="3"/>
  <c r="G194" i="28" s="1"/>
  <c r="G193" i="7"/>
  <c r="D191" i="9"/>
  <c r="D191" i="7"/>
  <c r="D192" i="3"/>
  <c r="D192" i="28" s="1"/>
  <c r="D191" i="4"/>
  <c r="N187" i="9"/>
  <c r="N187" i="7"/>
  <c r="N188" i="3"/>
  <c r="K185" i="9"/>
  <c r="K185" i="7"/>
  <c r="K186" i="3"/>
  <c r="K186" i="28" s="1"/>
  <c r="K185" i="4"/>
  <c r="H183" i="9"/>
  <c r="H183" i="7"/>
  <c r="H183" i="4"/>
  <c r="H184" i="3"/>
  <c r="H184" i="28" s="1"/>
  <c r="E181" i="9"/>
  <c r="E181" i="7"/>
  <c r="E181" i="4"/>
  <c r="E182" i="3"/>
  <c r="E182" i="28" s="1"/>
  <c r="O177" i="9"/>
  <c r="O177" i="7"/>
  <c r="O177" i="4"/>
  <c r="O178" i="3"/>
  <c r="L225" i="9"/>
  <c r="L225" i="7"/>
  <c r="L225" i="4"/>
  <c r="I223" i="7"/>
  <c r="I223" i="9"/>
  <c r="I224" i="3"/>
  <c r="I224" i="28" s="1"/>
  <c r="F221" i="9"/>
  <c r="F221" i="7"/>
  <c r="F221" i="4"/>
  <c r="F222" i="3"/>
  <c r="F222" i="28" s="1"/>
  <c r="C219" i="9"/>
  <c r="C219" i="7"/>
  <c r="C220" i="3"/>
  <c r="C220" i="28" s="1"/>
  <c r="M215" i="9"/>
  <c r="M215" i="7"/>
  <c r="J213" i="9"/>
  <c r="J214" i="3"/>
  <c r="J214" i="28" s="1"/>
  <c r="J213" i="4"/>
  <c r="J213" i="7"/>
  <c r="G211" i="9"/>
  <c r="G211" i="7"/>
  <c r="G211" i="4"/>
  <c r="G212" i="3"/>
  <c r="G212" i="28" s="1"/>
  <c r="D209" i="9"/>
  <c r="D210" i="3"/>
  <c r="D210" i="28" s="1"/>
  <c r="D209" i="4"/>
  <c r="N239" i="9"/>
  <c r="N240" i="3"/>
  <c r="N240" i="9" s="1"/>
  <c r="N239" i="7"/>
  <c r="K237" i="9"/>
  <c r="K238" i="3"/>
  <c r="K238" i="28" s="1"/>
  <c r="K237" i="4"/>
  <c r="H235" i="9"/>
  <c r="H236" i="3"/>
  <c r="H236" i="28" s="1"/>
  <c r="H235" i="4"/>
  <c r="E233" i="9"/>
  <c r="E234" i="3"/>
  <c r="E234" i="28" s="1"/>
  <c r="E233" i="7"/>
  <c r="E233" i="4"/>
  <c r="O229" i="9"/>
  <c r="O230" i="3"/>
  <c r="O229" i="4"/>
  <c r="O229" i="7"/>
  <c r="L227" i="9"/>
  <c r="L228" i="3"/>
  <c r="L228" i="28" s="1"/>
  <c r="L227" i="7"/>
  <c r="L227" i="4"/>
  <c r="D34" i="3"/>
  <c r="D34" i="28" s="1"/>
  <c r="C44" i="3"/>
  <c r="C44" i="28" s="1"/>
  <c r="M72" i="4"/>
  <c r="M72" i="9"/>
  <c r="M72" i="7"/>
  <c r="L82" i="3"/>
  <c r="L82" i="28" s="1"/>
  <c r="C108" i="4"/>
  <c r="C108" i="9"/>
  <c r="C108" i="7"/>
  <c r="O116" i="4"/>
  <c r="O116" i="9"/>
  <c r="O116" i="7"/>
  <c r="N126" i="4"/>
  <c r="N126" i="9"/>
  <c r="N126" i="7"/>
  <c r="F142" i="4"/>
  <c r="F142" i="9"/>
  <c r="F142" i="7"/>
  <c r="L146" i="4"/>
  <c r="L146" i="9"/>
  <c r="L146" i="7"/>
  <c r="K158" i="3"/>
  <c r="K158" i="28" s="1"/>
  <c r="N187" i="4"/>
  <c r="G169" i="4"/>
  <c r="N87" i="4"/>
  <c r="F230" i="7"/>
  <c r="L173" i="7"/>
  <c r="E140" i="7"/>
  <c r="F121" i="7"/>
  <c r="D11" i="9"/>
  <c r="D11" i="7"/>
  <c r="D11" i="4"/>
  <c r="I57" i="9"/>
  <c r="I57" i="7"/>
  <c r="I57" i="4"/>
  <c r="I58" i="3"/>
  <c r="I58" i="28" s="1"/>
  <c r="K37" i="9"/>
  <c r="K37" i="7"/>
  <c r="K37" i="4"/>
  <c r="K38" i="3"/>
  <c r="K38" i="28" s="1"/>
  <c r="J77" i="9"/>
  <c r="J77" i="7"/>
  <c r="J77" i="4"/>
  <c r="J78" i="3"/>
  <c r="J78" i="28" s="1"/>
  <c r="F107" i="9"/>
  <c r="F107" i="7"/>
  <c r="F107" i="4"/>
  <c r="F108" i="3"/>
  <c r="F108" i="28" s="1"/>
  <c r="O131" i="9"/>
  <c r="O131" i="7"/>
  <c r="O131" i="4"/>
  <c r="K165" i="9"/>
  <c r="K165" i="4"/>
  <c r="K166" i="3"/>
  <c r="K166" i="28" s="1"/>
  <c r="M203" i="9"/>
  <c r="M203" i="7"/>
  <c r="M204" i="3"/>
  <c r="M204" i="28" s="1"/>
  <c r="E185" i="9"/>
  <c r="E185" i="7"/>
  <c r="E185" i="4"/>
  <c r="M219" i="9"/>
  <c r="M220" i="3"/>
  <c r="M220" i="28" s="1"/>
  <c r="M219" i="7"/>
  <c r="O233" i="9"/>
  <c r="O233" i="7"/>
  <c r="D46" i="4"/>
  <c r="L29" i="9"/>
  <c r="L29" i="7"/>
  <c r="G15" i="9"/>
  <c r="G15" i="7"/>
  <c r="G15" i="4"/>
  <c r="O51" i="9"/>
  <c r="O51" i="7"/>
  <c r="O51" i="4"/>
  <c r="G35" i="9"/>
  <c r="G35" i="7"/>
  <c r="G35" i="4"/>
  <c r="E87" i="9"/>
  <c r="E87" i="7"/>
  <c r="E87" i="4"/>
  <c r="G65" i="9"/>
  <c r="G65" i="7"/>
  <c r="G66" i="3"/>
  <c r="G66" i="28" s="1"/>
  <c r="G65" i="4"/>
  <c r="H109" i="9"/>
  <c r="H109" i="7"/>
  <c r="H109" i="4"/>
  <c r="H110" i="3"/>
  <c r="H110" i="28" s="1"/>
  <c r="M141" i="9"/>
  <c r="M141" i="7"/>
  <c r="M142" i="3"/>
  <c r="M142" i="28" s="1"/>
  <c r="M141" i="4"/>
  <c r="E125" i="9"/>
  <c r="E125" i="7"/>
  <c r="E126" i="3"/>
  <c r="E126" i="28" s="1"/>
  <c r="G163" i="9"/>
  <c r="G163" i="7"/>
  <c r="G163" i="4"/>
  <c r="G164" i="3"/>
  <c r="G164" i="28" s="1"/>
  <c r="E149" i="9"/>
  <c r="E149" i="7"/>
  <c r="E149" i="4"/>
  <c r="E150" i="3"/>
  <c r="E150" i="28" s="1"/>
  <c r="N181" i="9"/>
  <c r="N181" i="7"/>
  <c r="N181" i="4"/>
  <c r="N182" i="3"/>
  <c r="M209" i="9"/>
  <c r="M209" i="7"/>
  <c r="M210" i="3"/>
  <c r="M210" i="28" s="1"/>
  <c r="F36" i="4"/>
  <c r="F36" i="9"/>
  <c r="F36" i="7"/>
  <c r="D120" i="9"/>
  <c r="D120" i="7"/>
  <c r="G154" i="4"/>
  <c r="G154" i="9"/>
  <c r="G154" i="7"/>
  <c r="H27" i="9"/>
  <c r="H27" i="7"/>
  <c r="H27" i="4"/>
  <c r="H28" i="3"/>
  <c r="H28" i="28" s="1"/>
  <c r="M61" i="9"/>
  <c r="M61" i="7"/>
  <c r="M61" i="4"/>
  <c r="H47" i="9"/>
  <c r="H47" i="7"/>
  <c r="H47" i="4"/>
  <c r="M93" i="9"/>
  <c r="M93" i="7"/>
  <c r="M93" i="4"/>
  <c r="E120" i="4"/>
  <c r="E120" i="9"/>
  <c r="E120" i="7"/>
  <c r="C27" i="9"/>
  <c r="C27" i="7"/>
  <c r="C27" i="4"/>
  <c r="H61" i="9"/>
  <c r="H61" i="7"/>
  <c r="H61" i="4"/>
  <c r="C47" i="9"/>
  <c r="C47" i="7"/>
  <c r="C47" i="4"/>
  <c r="O87" i="9"/>
  <c r="O87" i="7"/>
  <c r="O150" i="4"/>
  <c r="O150" i="9"/>
  <c r="O150" i="7"/>
  <c r="G92" i="4"/>
  <c r="G92" i="9"/>
  <c r="G92" i="7"/>
  <c r="N150" i="4"/>
  <c r="N150" i="9"/>
  <c r="N150" i="7"/>
  <c r="D171" i="4"/>
  <c r="E29" i="9"/>
  <c r="E29" i="7"/>
  <c r="E29" i="4"/>
  <c r="E30" i="3"/>
  <c r="E30" i="28" s="1"/>
  <c r="M13" i="9"/>
  <c r="M13" i="7"/>
  <c r="M13" i="4"/>
  <c r="M14" i="3"/>
  <c r="M14" i="28" s="1"/>
  <c r="H51" i="9"/>
  <c r="H51" i="4"/>
  <c r="H51" i="7"/>
  <c r="I41" i="9"/>
  <c r="I41" i="7"/>
  <c r="I41" i="4"/>
  <c r="D91" i="9"/>
  <c r="D91" i="7"/>
  <c r="E220" i="4"/>
  <c r="E220" i="9"/>
  <c r="E220" i="7"/>
  <c r="N42" i="3"/>
  <c r="G31" i="9"/>
  <c r="G31" i="7"/>
  <c r="G32" i="3"/>
  <c r="G32" i="28" s="1"/>
  <c r="E19" i="9"/>
  <c r="E19" i="7"/>
  <c r="E20" i="3"/>
  <c r="E20" i="28" s="1"/>
  <c r="J53" i="9"/>
  <c r="J53" i="7"/>
  <c r="J53" i="4"/>
  <c r="E39" i="7"/>
  <c r="E39" i="9"/>
  <c r="E39" i="4"/>
  <c r="J85" i="9"/>
  <c r="J85" i="7"/>
  <c r="J85" i="4"/>
  <c r="L117" i="9"/>
  <c r="L117" i="7"/>
  <c r="L117" i="4"/>
  <c r="J123" i="9"/>
  <c r="J123" i="7"/>
  <c r="J123" i="4"/>
  <c r="O163" i="9"/>
  <c r="O163" i="7"/>
  <c r="O164" i="3"/>
  <c r="C153" i="9"/>
  <c r="C153" i="7"/>
  <c r="N199" i="7"/>
  <c r="N199" i="4"/>
  <c r="N199" i="9"/>
  <c r="N200" i="3"/>
  <c r="L185" i="9"/>
  <c r="L185" i="7"/>
  <c r="L186" i="3"/>
  <c r="L186" i="28" s="1"/>
  <c r="J223" i="9"/>
  <c r="J223" i="7"/>
  <c r="J223" i="4"/>
  <c r="J224" i="3"/>
  <c r="J224" i="28" s="1"/>
  <c r="O239" i="9"/>
  <c r="O240" i="3"/>
  <c r="O240" i="9" s="1"/>
  <c r="O239" i="7"/>
  <c r="O239" i="4"/>
  <c r="E14" i="3"/>
  <c r="E14" i="28" s="1"/>
  <c r="I38" i="3"/>
  <c r="I38" i="28" s="1"/>
  <c r="M62" i="3"/>
  <c r="M62" i="28" s="1"/>
  <c r="I102" i="9"/>
  <c r="I102" i="7"/>
  <c r="I102" i="4"/>
  <c r="F31" i="9"/>
  <c r="F31" i="7"/>
  <c r="F31" i="4"/>
  <c r="F32" i="3"/>
  <c r="F32" i="28" s="1"/>
  <c r="M25" i="9"/>
  <c r="M25" i="7"/>
  <c r="M25" i="4"/>
  <c r="M26" i="3"/>
  <c r="M26" i="28" s="1"/>
  <c r="G21" i="9"/>
  <c r="G21" i="7"/>
  <c r="G21" i="4"/>
  <c r="G22" i="3"/>
  <c r="G22" i="28" s="1"/>
  <c r="N15" i="9"/>
  <c r="N15" i="7"/>
  <c r="N15" i="4"/>
  <c r="N16" i="3"/>
  <c r="H63" i="9"/>
  <c r="H63" i="7"/>
  <c r="H63" i="4"/>
  <c r="H64" i="3"/>
  <c r="H64" i="28" s="1"/>
  <c r="O57" i="9"/>
  <c r="O57" i="7"/>
  <c r="O58" i="3"/>
  <c r="I53" i="9"/>
  <c r="I53" i="7"/>
  <c r="I54" i="3"/>
  <c r="I54" i="28" s="1"/>
  <c r="I53" i="4"/>
  <c r="M45" i="9"/>
  <c r="M45" i="7"/>
  <c r="M45" i="4"/>
  <c r="M46" i="3"/>
  <c r="M46" i="28" s="1"/>
  <c r="E93" i="7"/>
  <c r="E93" i="9"/>
  <c r="E94" i="3"/>
  <c r="E94" i="28" s="1"/>
  <c r="E93" i="4"/>
  <c r="I11" i="9"/>
  <c r="I11" i="7"/>
  <c r="I11" i="4"/>
  <c r="E31" i="9"/>
  <c r="E31" i="7"/>
  <c r="E31" i="4"/>
  <c r="E32" i="3"/>
  <c r="E32" i="28" s="1"/>
  <c r="O27" i="9"/>
  <c r="O27" i="7"/>
  <c r="O27" i="4"/>
  <c r="O28" i="3"/>
  <c r="L25" i="9"/>
  <c r="L25" i="4"/>
  <c r="L25" i="7"/>
  <c r="L26" i="3"/>
  <c r="L26" i="28" s="1"/>
  <c r="I23" i="9"/>
  <c r="I23" i="7"/>
  <c r="I23" i="4"/>
  <c r="I24" i="3"/>
  <c r="I24" i="28" s="1"/>
  <c r="F21" i="9"/>
  <c r="F21" i="7"/>
  <c r="F21" i="4"/>
  <c r="F22" i="3"/>
  <c r="F22" i="28" s="1"/>
  <c r="C19" i="9"/>
  <c r="C19" i="7"/>
  <c r="C19" i="4"/>
  <c r="C20" i="3"/>
  <c r="C20" i="28" s="1"/>
  <c r="M15" i="9"/>
  <c r="M15" i="7"/>
  <c r="M15" i="4"/>
  <c r="M16" i="3"/>
  <c r="M16" i="28" s="1"/>
  <c r="J13" i="9"/>
  <c r="J13" i="7"/>
  <c r="J13" i="4"/>
  <c r="J14" i="3"/>
  <c r="J14" i="28" s="1"/>
  <c r="G63" i="9"/>
  <c r="G63" i="7"/>
  <c r="G63" i="4"/>
  <c r="G64" i="3"/>
  <c r="G64" i="28" s="1"/>
  <c r="D61" i="9"/>
  <c r="D61" i="7"/>
  <c r="D61" i="4"/>
  <c r="D62" i="3"/>
  <c r="D62" i="28" s="1"/>
  <c r="N57" i="9"/>
  <c r="N58" i="3"/>
  <c r="K55" i="9"/>
  <c r="K56" i="3"/>
  <c r="K56" i="28" s="1"/>
  <c r="H53" i="9"/>
  <c r="H53" i="7"/>
  <c r="H54" i="3"/>
  <c r="H54" i="28" s="1"/>
  <c r="H53" i="4"/>
  <c r="E51" i="9"/>
  <c r="E51" i="7"/>
  <c r="E52" i="3"/>
  <c r="E52" i="28" s="1"/>
  <c r="E51" i="4"/>
  <c r="O47" i="9"/>
  <c r="O47" i="7"/>
  <c r="O48" i="3"/>
  <c r="L45" i="9"/>
  <c r="L45" i="7"/>
  <c r="L46" i="3"/>
  <c r="L46" i="28" s="1"/>
  <c r="I43" i="9"/>
  <c r="I43" i="7"/>
  <c r="I44" i="3"/>
  <c r="I44" i="28" s="1"/>
  <c r="I43" i="4"/>
  <c r="F41" i="9"/>
  <c r="F41" i="7"/>
  <c r="F42" i="3"/>
  <c r="F42" i="28" s="1"/>
  <c r="F41" i="4"/>
  <c r="C39" i="7"/>
  <c r="C39" i="9"/>
  <c r="C40" i="3"/>
  <c r="C40" i="28" s="1"/>
  <c r="M35" i="9"/>
  <c r="M35" i="7"/>
  <c r="M36" i="3"/>
  <c r="M36" i="28" s="1"/>
  <c r="J33" i="9"/>
  <c r="J33" i="7"/>
  <c r="J33" i="4"/>
  <c r="J34" i="3"/>
  <c r="J34" i="28" s="1"/>
  <c r="G95" i="9"/>
  <c r="G95" i="7"/>
  <c r="G96" i="3"/>
  <c r="G96" i="28" s="1"/>
  <c r="G95" i="4"/>
  <c r="D93" i="9"/>
  <c r="D93" i="7"/>
  <c r="D94" i="3"/>
  <c r="D94" i="28" s="1"/>
  <c r="D93" i="4"/>
  <c r="N89" i="9"/>
  <c r="N89" i="7"/>
  <c r="N89" i="4"/>
  <c r="N90" i="3"/>
  <c r="K87" i="9"/>
  <c r="K87" i="4"/>
  <c r="K88" i="3"/>
  <c r="K88" i="28" s="1"/>
  <c r="H85" i="9"/>
  <c r="H85" i="7"/>
  <c r="H85" i="4"/>
  <c r="H86" i="3"/>
  <c r="H86" i="28" s="1"/>
  <c r="E83" i="9"/>
  <c r="E83" i="7"/>
  <c r="E83" i="4"/>
  <c r="E84" i="3"/>
  <c r="E84" i="28" s="1"/>
  <c r="O77" i="9"/>
  <c r="O77" i="7"/>
  <c r="O77" i="4"/>
  <c r="L75" i="9"/>
  <c r="L75" i="7"/>
  <c r="L75" i="4"/>
  <c r="I73" i="9"/>
  <c r="I73" i="7"/>
  <c r="I73" i="4"/>
  <c r="F71" i="9"/>
  <c r="F71" i="7"/>
  <c r="F71" i="4"/>
  <c r="C69" i="9"/>
  <c r="C69" i="7"/>
  <c r="C69" i="4"/>
  <c r="M65" i="9"/>
  <c r="M65" i="7"/>
  <c r="M65" i="4"/>
  <c r="J117" i="9"/>
  <c r="J117" i="7"/>
  <c r="J117" i="4"/>
  <c r="G115" i="7"/>
  <c r="G115" i="9"/>
  <c r="G115" i="4"/>
  <c r="D113" i="9"/>
  <c r="D113" i="7"/>
  <c r="N109" i="9"/>
  <c r="N109" i="4"/>
  <c r="N109" i="7"/>
  <c r="K107" i="9"/>
  <c r="K107" i="7"/>
  <c r="K107" i="4"/>
  <c r="H105" i="9"/>
  <c r="H105" i="7"/>
  <c r="H105" i="4"/>
  <c r="E103" i="9"/>
  <c r="E103" i="7"/>
  <c r="E103" i="4"/>
  <c r="O99" i="9"/>
  <c r="O99" i="7"/>
  <c r="O99" i="4"/>
  <c r="L97" i="9"/>
  <c r="L97" i="7"/>
  <c r="L97" i="4"/>
  <c r="I145" i="9"/>
  <c r="I145" i="7"/>
  <c r="I145" i="4"/>
  <c r="I146" i="3"/>
  <c r="I146" i="28" s="1"/>
  <c r="F143" i="9"/>
  <c r="F143" i="7"/>
  <c r="F144" i="3"/>
  <c r="F144" i="28" s="1"/>
  <c r="C141" i="9"/>
  <c r="C141" i="7"/>
  <c r="C141" i="4"/>
  <c r="C142" i="3"/>
  <c r="C142" i="28" s="1"/>
  <c r="M137" i="9"/>
  <c r="M137" i="7"/>
  <c r="M137" i="4"/>
  <c r="M138" i="3"/>
  <c r="M138" i="28" s="1"/>
  <c r="J135" i="9"/>
  <c r="J135" i="7"/>
  <c r="J136" i="3"/>
  <c r="J136" i="28" s="1"/>
  <c r="G133" i="9"/>
  <c r="G133" i="4"/>
  <c r="G133" i="7"/>
  <c r="G134" i="3"/>
  <c r="G134" i="28" s="1"/>
  <c r="D131" i="9"/>
  <c r="D131" i="7"/>
  <c r="D131" i="4"/>
  <c r="D132" i="3"/>
  <c r="D132" i="28" s="1"/>
  <c r="N127" i="9"/>
  <c r="N127" i="7"/>
  <c r="N127" i="4"/>
  <c r="N128" i="3"/>
  <c r="K125" i="9"/>
  <c r="K125" i="7"/>
  <c r="K125" i="4"/>
  <c r="K126" i="3"/>
  <c r="K126" i="28" s="1"/>
  <c r="H123" i="9"/>
  <c r="H123" i="7"/>
  <c r="H123" i="4"/>
  <c r="H124" i="3"/>
  <c r="H124" i="28" s="1"/>
  <c r="E121" i="9"/>
  <c r="E121" i="4"/>
  <c r="E122" i="3"/>
  <c r="E122" i="28" s="1"/>
  <c r="O175" i="9"/>
  <c r="O175" i="7"/>
  <c r="I171" i="9"/>
  <c r="I171" i="7"/>
  <c r="I172" i="3"/>
  <c r="I172" i="28" s="1"/>
  <c r="F169" i="9"/>
  <c r="F169" i="7"/>
  <c r="F170" i="3"/>
  <c r="F170" i="28" s="1"/>
  <c r="C167" i="9"/>
  <c r="C167" i="7"/>
  <c r="C167" i="4"/>
  <c r="M163" i="9"/>
  <c r="M163" i="7"/>
  <c r="M163" i="4"/>
  <c r="M164" i="3"/>
  <c r="M164" i="28" s="1"/>
  <c r="J161" i="9"/>
  <c r="J161" i="7"/>
  <c r="G159" i="9"/>
  <c r="G159" i="7"/>
  <c r="G159" i="4"/>
  <c r="G160" i="3"/>
  <c r="G160" i="28" s="1"/>
  <c r="D155" i="9"/>
  <c r="D155" i="7"/>
  <c r="D155" i="4"/>
  <c r="N151" i="9"/>
  <c r="N151" i="7"/>
  <c r="N151" i="4"/>
  <c r="K149" i="9"/>
  <c r="K149" i="7"/>
  <c r="K149" i="4"/>
  <c r="H147" i="9"/>
  <c r="H147" i="7"/>
  <c r="H147" i="4"/>
  <c r="E205" i="9"/>
  <c r="E205" i="7"/>
  <c r="O201" i="9"/>
  <c r="O201" i="7"/>
  <c r="O202" i="3"/>
  <c r="O201" i="4"/>
  <c r="L199" i="7"/>
  <c r="L199" i="9"/>
  <c r="L199" i="4"/>
  <c r="I197" i="9"/>
  <c r="I197" i="7"/>
  <c r="I198" i="3"/>
  <c r="I198" i="28" s="1"/>
  <c r="F193" i="9"/>
  <c r="F193" i="7"/>
  <c r="F194" i="3"/>
  <c r="F194" i="28" s="1"/>
  <c r="C191" i="9"/>
  <c r="C192" i="3"/>
  <c r="C192" i="28" s="1"/>
  <c r="C191" i="7"/>
  <c r="M187" i="9"/>
  <c r="M187" i="7"/>
  <c r="M188" i="3"/>
  <c r="M188" i="28" s="1"/>
  <c r="J185" i="9"/>
  <c r="J185" i="7"/>
  <c r="J185" i="4"/>
  <c r="J186" i="3"/>
  <c r="J186" i="28" s="1"/>
  <c r="G183" i="9"/>
  <c r="G183" i="7"/>
  <c r="G184" i="3"/>
  <c r="G184" i="28" s="1"/>
  <c r="G183" i="4"/>
  <c r="D181" i="9"/>
  <c r="D181" i="7"/>
  <c r="D182" i="3"/>
  <c r="D182" i="28" s="1"/>
  <c r="N177" i="9"/>
  <c r="N177" i="7"/>
  <c r="N178" i="3"/>
  <c r="N177" i="4"/>
  <c r="K225" i="9"/>
  <c r="K226" i="3"/>
  <c r="K226" i="28" s="1"/>
  <c r="K225" i="4"/>
  <c r="K225" i="7"/>
  <c r="H223" i="9"/>
  <c r="H223" i="7"/>
  <c r="H224" i="3"/>
  <c r="H224" i="28" s="1"/>
  <c r="H223" i="4"/>
  <c r="E221" i="9"/>
  <c r="E222" i="3"/>
  <c r="E222" i="28" s="1"/>
  <c r="E221" i="7"/>
  <c r="E221" i="4"/>
  <c r="O218" i="3"/>
  <c r="O217" i="7"/>
  <c r="O217" i="9"/>
  <c r="O217" i="4"/>
  <c r="L215" i="9"/>
  <c r="L216" i="3"/>
  <c r="L216" i="28" s="1"/>
  <c r="L215" i="7"/>
  <c r="I213" i="9"/>
  <c r="I214" i="3"/>
  <c r="I214" i="28" s="1"/>
  <c r="I213" i="7"/>
  <c r="I213" i="4"/>
  <c r="F211" i="9"/>
  <c r="F212" i="3"/>
  <c r="F212" i="28" s="1"/>
  <c r="F211" i="7"/>
  <c r="C209" i="9"/>
  <c r="C210" i="3"/>
  <c r="C210" i="28" s="1"/>
  <c r="C209" i="4"/>
  <c r="M239" i="9"/>
  <c r="M240" i="3"/>
  <c r="M239" i="7"/>
  <c r="J237" i="9"/>
  <c r="J238" i="3"/>
  <c r="J238" i="28" s="1"/>
  <c r="J237" i="4"/>
  <c r="G235" i="9"/>
  <c r="G236" i="3"/>
  <c r="G236" i="28" s="1"/>
  <c r="G235" i="7"/>
  <c r="D233" i="9"/>
  <c r="D234" i="3"/>
  <c r="D234" i="28" s="1"/>
  <c r="D233" i="4"/>
  <c r="N229" i="9"/>
  <c r="N230" i="3"/>
  <c r="N229" i="7"/>
  <c r="N229" i="4"/>
  <c r="K227" i="9"/>
  <c r="K228" i="3"/>
  <c r="K228" i="28" s="1"/>
  <c r="K227" i="4"/>
  <c r="K227" i="7"/>
  <c r="O79" i="9"/>
  <c r="O79" i="7"/>
  <c r="O79" i="4"/>
  <c r="O80" i="3"/>
  <c r="F30" i="3"/>
  <c r="F30" i="28" s="1"/>
  <c r="L34" i="3"/>
  <c r="L34" i="28" s="1"/>
  <c r="E40" i="3"/>
  <c r="E40" i="28" s="1"/>
  <c r="D50" i="3"/>
  <c r="D50" i="28" s="1"/>
  <c r="J54" i="3"/>
  <c r="J54" i="28" s="1"/>
  <c r="I64" i="3"/>
  <c r="I64" i="28" s="1"/>
  <c r="G84" i="3"/>
  <c r="G84" i="28" s="1"/>
  <c r="M88" i="3"/>
  <c r="M88" i="28" s="1"/>
  <c r="L98" i="3"/>
  <c r="L98" i="28" s="1"/>
  <c r="E104" i="3"/>
  <c r="E104" i="28" s="1"/>
  <c r="K108" i="3"/>
  <c r="K108" i="28" s="1"/>
  <c r="D114" i="3"/>
  <c r="D114" i="28" s="1"/>
  <c r="J118" i="3"/>
  <c r="J118" i="28" s="1"/>
  <c r="I128" i="3"/>
  <c r="I128" i="28" s="1"/>
  <c r="O132" i="3"/>
  <c r="O158" i="4"/>
  <c r="O158" i="9"/>
  <c r="O158" i="7"/>
  <c r="L158" i="4"/>
  <c r="L158" i="9"/>
  <c r="L158" i="7"/>
  <c r="O176" i="3"/>
  <c r="M187" i="4"/>
  <c r="F169" i="4"/>
  <c r="I142" i="4"/>
  <c r="H115" i="4"/>
  <c r="J73" i="4"/>
  <c r="E55" i="4"/>
  <c r="J157" i="7"/>
  <c r="E121" i="7"/>
  <c r="H15" i="9"/>
  <c r="H15" i="7"/>
  <c r="H15" i="4"/>
  <c r="M49" i="9"/>
  <c r="M49" i="7"/>
  <c r="M49" i="4"/>
  <c r="M50" i="3"/>
  <c r="M50" i="28" s="1"/>
  <c r="H35" i="9"/>
  <c r="H35" i="7"/>
  <c r="H35" i="4"/>
  <c r="H36" i="3"/>
  <c r="H36" i="28" s="1"/>
  <c r="C85" i="9"/>
  <c r="C85" i="7"/>
  <c r="C85" i="4"/>
  <c r="C86" i="3"/>
  <c r="C86" i="28" s="1"/>
  <c r="O113" i="9"/>
  <c r="O113" i="4"/>
  <c r="O113" i="7"/>
  <c r="O114" i="3"/>
  <c r="J99" i="9"/>
  <c r="J99" i="7"/>
  <c r="J99" i="4"/>
  <c r="J100" i="3"/>
  <c r="J100" i="28" s="1"/>
  <c r="E135" i="9"/>
  <c r="E135" i="7"/>
  <c r="E135" i="4"/>
  <c r="G173" i="9"/>
  <c r="G173" i="7"/>
  <c r="G173" i="4"/>
  <c r="O155" i="9"/>
  <c r="O155" i="7"/>
  <c r="O155" i="4"/>
  <c r="O156" i="3"/>
  <c r="G199" i="9"/>
  <c r="G199" i="7"/>
  <c r="G199" i="4"/>
  <c r="G200" i="3"/>
  <c r="G200" i="28" s="1"/>
  <c r="F225" i="9"/>
  <c r="F226" i="3"/>
  <c r="F226" i="28" s="1"/>
  <c r="F225" i="7"/>
  <c r="E237" i="9"/>
  <c r="E237" i="7"/>
  <c r="E238" i="3"/>
  <c r="E238" i="28" s="1"/>
  <c r="E237" i="4"/>
  <c r="C120" i="4"/>
  <c r="C120" i="9"/>
  <c r="C120" i="7"/>
  <c r="G144" i="4"/>
  <c r="G144" i="9"/>
  <c r="G144" i="7"/>
  <c r="F25" i="9"/>
  <c r="F25" i="7"/>
  <c r="F25" i="4"/>
  <c r="H57" i="9"/>
  <c r="H57" i="7"/>
  <c r="H57" i="4"/>
  <c r="M39" i="9"/>
  <c r="M39" i="7"/>
  <c r="O83" i="7"/>
  <c r="O83" i="9"/>
  <c r="O83" i="4"/>
  <c r="D117" i="9"/>
  <c r="D117" i="7"/>
  <c r="D117" i="4"/>
  <c r="D118" i="3"/>
  <c r="D118" i="28" s="1"/>
  <c r="L101" i="9"/>
  <c r="L101" i="4"/>
  <c r="L101" i="7"/>
  <c r="L102" i="3"/>
  <c r="L102" i="28" s="1"/>
  <c r="C145" i="9"/>
  <c r="C145" i="7"/>
  <c r="C146" i="3"/>
  <c r="C146" i="28" s="1"/>
  <c r="H127" i="9"/>
  <c r="H127" i="7"/>
  <c r="H128" i="3"/>
  <c r="H128" i="28" s="1"/>
  <c r="H127" i="4"/>
  <c r="C171" i="9"/>
  <c r="C171" i="7"/>
  <c r="C171" i="4"/>
  <c r="O205" i="9"/>
  <c r="O205" i="7"/>
  <c r="O205" i="4"/>
  <c r="C197" i="9"/>
  <c r="C197" i="7"/>
  <c r="C197" i="4"/>
  <c r="L219" i="9"/>
  <c r="L219" i="7"/>
  <c r="L219" i="4"/>
  <c r="L220" i="3"/>
  <c r="L220" i="28" s="1"/>
  <c r="N233" i="9"/>
  <c r="N233" i="7"/>
  <c r="N234" i="3"/>
  <c r="D174" i="4"/>
  <c r="D174" i="9"/>
  <c r="D174" i="7"/>
  <c r="J27" i="4"/>
  <c r="F15" i="9"/>
  <c r="F15" i="7"/>
  <c r="F15" i="4"/>
  <c r="F16" i="3"/>
  <c r="F16" i="28" s="1"/>
  <c r="K49" i="9"/>
  <c r="K49" i="7"/>
  <c r="K49" i="4"/>
  <c r="F35" i="9"/>
  <c r="F35" i="4"/>
  <c r="F35" i="7"/>
  <c r="N94" i="3"/>
  <c r="N13" i="9"/>
  <c r="N13" i="7"/>
  <c r="N13" i="4"/>
  <c r="M43" i="9"/>
  <c r="M43" i="7"/>
  <c r="M43" i="4"/>
  <c r="M73" i="9"/>
  <c r="M73" i="7"/>
  <c r="M74" i="3"/>
  <c r="M74" i="28" s="1"/>
  <c r="C79" i="9"/>
  <c r="C79" i="7"/>
  <c r="C79" i="4"/>
  <c r="O25" i="9"/>
  <c r="O25" i="7"/>
  <c r="O25" i="4"/>
  <c r="O26" i="3"/>
  <c r="C17" i="9"/>
  <c r="C17" i="7"/>
  <c r="C17" i="4"/>
  <c r="C18" i="3"/>
  <c r="C18" i="28" s="1"/>
  <c r="N55" i="9"/>
  <c r="N55" i="7"/>
  <c r="N55" i="4"/>
  <c r="L43" i="9"/>
  <c r="L43" i="7"/>
  <c r="L43" i="4"/>
  <c r="G93" i="9"/>
  <c r="G93" i="7"/>
  <c r="G93" i="4"/>
  <c r="H38" i="3"/>
  <c r="H38" i="28" s="1"/>
  <c r="M190" i="4"/>
  <c r="M190" i="9"/>
  <c r="O221" i="4"/>
  <c r="M190" i="7"/>
  <c r="K11" i="9"/>
  <c r="K11" i="7"/>
  <c r="K11" i="4"/>
  <c r="K23" i="9"/>
  <c r="K23" i="7"/>
  <c r="K23" i="4"/>
  <c r="K24" i="3"/>
  <c r="K24" i="28" s="1"/>
  <c r="F61" i="9"/>
  <c r="F61" i="4"/>
  <c r="F61" i="7"/>
  <c r="N45" i="9"/>
  <c r="N45" i="7"/>
  <c r="N45" i="4"/>
  <c r="O35" i="9"/>
  <c r="O35" i="7"/>
  <c r="C91" i="9"/>
  <c r="C91" i="7"/>
  <c r="D81" i="9"/>
  <c r="D81" i="7"/>
  <c r="D81" i="4"/>
  <c r="E69" i="7"/>
  <c r="E69" i="9"/>
  <c r="E69" i="4"/>
  <c r="M107" i="9"/>
  <c r="M107" i="4"/>
  <c r="H143" i="9"/>
  <c r="H143" i="7"/>
  <c r="H143" i="4"/>
  <c r="M125" i="9"/>
  <c r="M125" i="7"/>
  <c r="M125" i="4"/>
  <c r="H169" i="9"/>
  <c r="H169" i="7"/>
  <c r="H170" i="3"/>
  <c r="H170" i="28" s="1"/>
  <c r="M149" i="9"/>
  <c r="M149" i="7"/>
  <c r="M149" i="4"/>
  <c r="K197" i="9"/>
  <c r="K198" i="3"/>
  <c r="K198" i="28" s="1"/>
  <c r="K197" i="7"/>
  <c r="I183" i="9"/>
  <c r="I183" i="7"/>
  <c r="I183" i="4"/>
  <c r="C179" i="7"/>
  <c r="C179" i="9"/>
  <c r="C179" i="4"/>
  <c r="C180" i="3"/>
  <c r="C180" i="28" s="1"/>
  <c r="N215" i="9"/>
  <c r="N215" i="7"/>
  <c r="E209" i="9"/>
  <c r="E209" i="7"/>
  <c r="E209" i="4"/>
  <c r="C231" i="9"/>
  <c r="C232" i="3"/>
  <c r="C232" i="28" s="1"/>
  <c r="C231" i="7"/>
  <c r="C231" i="4"/>
  <c r="D24" i="3"/>
  <c r="D24" i="28" s="1"/>
  <c r="K82" i="4"/>
  <c r="K82" i="9"/>
  <c r="K82" i="7"/>
  <c r="L136" i="3"/>
  <c r="L136" i="28" s="1"/>
  <c r="H164" i="3"/>
  <c r="H164" i="28" s="1"/>
  <c r="N233" i="4"/>
  <c r="D31" i="9"/>
  <c r="D31" i="7"/>
  <c r="D31" i="4"/>
  <c r="D32" i="3"/>
  <c r="D32" i="28" s="1"/>
  <c r="K25" i="9"/>
  <c r="K26" i="3"/>
  <c r="K26" i="28" s="1"/>
  <c r="K25" i="4"/>
  <c r="O17" i="9"/>
  <c r="O17" i="7"/>
  <c r="O18" i="3"/>
  <c r="F63" i="9"/>
  <c r="F63" i="7"/>
  <c r="F64" i="3"/>
  <c r="F64" i="28" s="1"/>
  <c r="F63" i="4"/>
  <c r="M57" i="9"/>
  <c r="M57" i="7"/>
  <c r="M58" i="3"/>
  <c r="M58" i="28" s="1"/>
  <c r="J55" i="9"/>
  <c r="J56" i="3"/>
  <c r="J56" i="28" s="1"/>
  <c r="J55" i="4"/>
  <c r="G53" i="9"/>
  <c r="G53" i="7"/>
  <c r="G54" i="3"/>
  <c r="G54" i="28" s="1"/>
  <c r="G53" i="4"/>
  <c r="N47" i="9"/>
  <c r="N47" i="7"/>
  <c r="N48" i="3"/>
  <c r="K45" i="9"/>
  <c r="K46" i="3"/>
  <c r="K46" i="28" s="1"/>
  <c r="K45" i="7"/>
  <c r="K45" i="4"/>
  <c r="H43" i="9"/>
  <c r="H43" i="7"/>
  <c r="H44" i="3"/>
  <c r="H44" i="28" s="1"/>
  <c r="H43" i="4"/>
  <c r="E41" i="9"/>
  <c r="E41" i="7"/>
  <c r="E41" i="4"/>
  <c r="E42" i="3"/>
  <c r="E42" i="28" s="1"/>
  <c r="O37" i="9"/>
  <c r="O37" i="7"/>
  <c r="O38" i="3"/>
  <c r="L35" i="9"/>
  <c r="L35" i="7"/>
  <c r="L36" i="3"/>
  <c r="L36" i="28" s="1"/>
  <c r="I33" i="7"/>
  <c r="I33" i="9"/>
  <c r="I33" i="4"/>
  <c r="I34" i="3"/>
  <c r="I34" i="28" s="1"/>
  <c r="F95" i="9"/>
  <c r="F95" i="7"/>
  <c r="F96" i="3"/>
  <c r="F96" i="28" s="1"/>
  <c r="F95" i="4"/>
  <c r="C93" i="9"/>
  <c r="C93" i="7"/>
  <c r="C93" i="4"/>
  <c r="C94" i="3"/>
  <c r="C94" i="28" s="1"/>
  <c r="M89" i="9"/>
  <c r="M89" i="7"/>
  <c r="M89" i="4"/>
  <c r="M90" i="3"/>
  <c r="M90" i="28" s="1"/>
  <c r="J87" i="9"/>
  <c r="J87" i="4"/>
  <c r="J88" i="3"/>
  <c r="J88" i="28" s="1"/>
  <c r="J87" i="7"/>
  <c r="G85" i="9"/>
  <c r="G85" i="7"/>
  <c r="G85" i="4"/>
  <c r="G86" i="3"/>
  <c r="G86" i="28" s="1"/>
  <c r="D83" i="9"/>
  <c r="D83" i="4"/>
  <c r="D83" i="7"/>
  <c r="D84" i="3"/>
  <c r="D84" i="28" s="1"/>
  <c r="N77" i="9"/>
  <c r="N77" i="7"/>
  <c r="N77" i="4"/>
  <c r="K75" i="9"/>
  <c r="K75" i="7"/>
  <c r="K75" i="4"/>
  <c r="H73" i="9"/>
  <c r="H73" i="7"/>
  <c r="H73" i="4"/>
  <c r="E71" i="9"/>
  <c r="E71" i="7"/>
  <c r="E71" i="4"/>
  <c r="O67" i="9"/>
  <c r="O67" i="7"/>
  <c r="O67" i="4"/>
  <c r="L65" i="9"/>
  <c r="L65" i="7"/>
  <c r="L65" i="4"/>
  <c r="I117" i="9"/>
  <c r="I117" i="7"/>
  <c r="I117" i="4"/>
  <c r="I118" i="3"/>
  <c r="I118" i="28" s="1"/>
  <c r="F115" i="9"/>
  <c r="F115" i="7"/>
  <c r="F115" i="4"/>
  <c r="F116" i="3"/>
  <c r="F116" i="28" s="1"/>
  <c r="C113" i="9"/>
  <c r="C113" i="7"/>
  <c r="C114" i="3"/>
  <c r="C114" i="28" s="1"/>
  <c r="M109" i="9"/>
  <c r="M109" i="4"/>
  <c r="M109" i="7"/>
  <c r="M110" i="3"/>
  <c r="M110" i="28" s="1"/>
  <c r="J107" i="9"/>
  <c r="J107" i="7"/>
  <c r="J108" i="3"/>
  <c r="J108" i="28" s="1"/>
  <c r="J107" i="4"/>
  <c r="G105" i="9"/>
  <c r="G105" i="7"/>
  <c r="G105" i="4"/>
  <c r="G106" i="3"/>
  <c r="G106" i="28" s="1"/>
  <c r="D103" i="9"/>
  <c r="D103" i="7"/>
  <c r="D103" i="4"/>
  <c r="D104" i="3"/>
  <c r="D104" i="28" s="1"/>
  <c r="N99" i="9"/>
  <c r="N99" i="7"/>
  <c r="N100" i="3"/>
  <c r="N99" i="4"/>
  <c r="K97" i="9"/>
  <c r="K97" i="7"/>
  <c r="K97" i="4"/>
  <c r="K98" i="3"/>
  <c r="K98" i="28" s="1"/>
  <c r="H145" i="7"/>
  <c r="H145" i="9"/>
  <c r="H145" i="4"/>
  <c r="E143" i="9"/>
  <c r="E143" i="7"/>
  <c r="E143" i="4"/>
  <c r="O139" i="9"/>
  <c r="O139" i="7"/>
  <c r="L137" i="9"/>
  <c r="L137" i="7"/>
  <c r="L137" i="4"/>
  <c r="I135" i="9"/>
  <c r="I135" i="7"/>
  <c r="F133" i="9"/>
  <c r="F133" i="4"/>
  <c r="F133" i="7"/>
  <c r="C131" i="9"/>
  <c r="C131" i="4"/>
  <c r="M127" i="9"/>
  <c r="M127" i="7"/>
  <c r="M127" i="4"/>
  <c r="J125" i="9"/>
  <c r="J125" i="7"/>
  <c r="J125" i="4"/>
  <c r="G123" i="9"/>
  <c r="G123" i="7"/>
  <c r="G123" i="4"/>
  <c r="D121" i="9"/>
  <c r="D121" i="7"/>
  <c r="D121" i="4"/>
  <c r="N175" i="9"/>
  <c r="N175" i="7"/>
  <c r="N175" i="4"/>
  <c r="K173" i="9"/>
  <c r="K173" i="4"/>
  <c r="H171" i="9"/>
  <c r="H171" i="7"/>
  <c r="H171" i="4"/>
  <c r="H172" i="3"/>
  <c r="H172" i="28" s="1"/>
  <c r="E169" i="9"/>
  <c r="E169" i="7"/>
  <c r="E169" i="4"/>
  <c r="E170" i="3"/>
  <c r="E170" i="28" s="1"/>
  <c r="O165" i="9"/>
  <c r="O165" i="7"/>
  <c r="L163" i="9"/>
  <c r="L163" i="7"/>
  <c r="L163" i="4"/>
  <c r="I161" i="9"/>
  <c r="I161" i="7"/>
  <c r="I161" i="4"/>
  <c r="F159" i="9"/>
  <c r="F159" i="7"/>
  <c r="F159" i="4"/>
  <c r="F160" i="3"/>
  <c r="F160" i="28" s="1"/>
  <c r="C155" i="9"/>
  <c r="C155" i="7"/>
  <c r="C155" i="4"/>
  <c r="M151" i="9"/>
  <c r="M151" i="7"/>
  <c r="M151" i="4"/>
  <c r="J149" i="9"/>
  <c r="J149" i="7"/>
  <c r="J149" i="4"/>
  <c r="G147" i="9"/>
  <c r="G147" i="7"/>
  <c r="D205" i="9"/>
  <c r="D205" i="7"/>
  <c r="D206" i="3"/>
  <c r="D206" i="28" s="1"/>
  <c r="D205" i="4"/>
  <c r="N201" i="9"/>
  <c r="N201" i="7"/>
  <c r="N202" i="3"/>
  <c r="K199" i="7"/>
  <c r="K199" i="9"/>
  <c r="K200" i="3"/>
  <c r="K200" i="28" s="1"/>
  <c r="K199" i="4"/>
  <c r="H197" i="9"/>
  <c r="H197" i="7"/>
  <c r="H198" i="3"/>
  <c r="H198" i="28" s="1"/>
  <c r="H197" i="4"/>
  <c r="E193" i="9"/>
  <c r="E193" i="7"/>
  <c r="E193" i="4"/>
  <c r="O189" i="9"/>
  <c r="O189" i="7"/>
  <c r="O189" i="4"/>
  <c r="O190" i="3"/>
  <c r="L187" i="9"/>
  <c r="L187" i="7"/>
  <c r="L187" i="4"/>
  <c r="I185" i="9"/>
  <c r="I185" i="7"/>
  <c r="F183" i="9"/>
  <c r="F183" i="7"/>
  <c r="F184" i="3"/>
  <c r="F184" i="28" s="1"/>
  <c r="F183" i="4"/>
  <c r="C181" i="9"/>
  <c r="C181" i="7"/>
  <c r="M177" i="9"/>
  <c r="M177" i="7"/>
  <c r="M177" i="4"/>
  <c r="M178" i="3"/>
  <c r="M178" i="28" s="1"/>
  <c r="J225" i="9"/>
  <c r="J226" i="3"/>
  <c r="J226" i="28" s="1"/>
  <c r="J225" i="4"/>
  <c r="J225" i="7"/>
  <c r="G223" i="9"/>
  <c r="G224" i="3"/>
  <c r="G224" i="28" s="1"/>
  <c r="G223" i="4"/>
  <c r="D221" i="9"/>
  <c r="D221" i="7"/>
  <c r="D222" i="3"/>
  <c r="D222" i="28" s="1"/>
  <c r="D221" i="4"/>
  <c r="N218" i="3"/>
  <c r="N217" i="7"/>
  <c r="N217" i="9"/>
  <c r="N217" i="4"/>
  <c r="K215" i="9"/>
  <c r="K216" i="3"/>
  <c r="K216" i="28" s="1"/>
  <c r="K215" i="7"/>
  <c r="K215" i="4"/>
  <c r="H213" i="9"/>
  <c r="H214" i="3"/>
  <c r="H214" i="28" s="1"/>
  <c r="H213" i="7"/>
  <c r="H213" i="4"/>
  <c r="E211" i="9"/>
  <c r="E212" i="3"/>
  <c r="E212" i="28" s="1"/>
  <c r="E211" i="7"/>
  <c r="E211" i="4"/>
  <c r="O207" i="9"/>
  <c r="O208" i="3"/>
  <c r="O207" i="4"/>
  <c r="O207" i="7"/>
  <c r="L239" i="9"/>
  <c r="L239" i="7"/>
  <c r="L240" i="3"/>
  <c r="I237" i="9"/>
  <c r="I238" i="3"/>
  <c r="I238" i="28" s="1"/>
  <c r="I237" i="7"/>
  <c r="I237" i="4"/>
  <c r="F236" i="3"/>
  <c r="F236" i="28" s="1"/>
  <c r="F235" i="9"/>
  <c r="F235" i="4"/>
  <c r="F235" i="7"/>
  <c r="C233" i="9"/>
  <c r="C234" i="3"/>
  <c r="C234" i="28" s="1"/>
  <c r="C233" i="4"/>
  <c r="M229" i="9"/>
  <c r="M230" i="3"/>
  <c r="M230" i="28" s="1"/>
  <c r="M229" i="7"/>
  <c r="M229" i="4"/>
  <c r="J227" i="9"/>
  <c r="J228" i="3"/>
  <c r="J228" i="28" s="1"/>
  <c r="J227" i="7"/>
  <c r="J227" i="4"/>
  <c r="O14" i="3"/>
  <c r="H20" i="3"/>
  <c r="H20" i="28" s="1"/>
  <c r="N24" i="3"/>
  <c r="G30" i="3"/>
  <c r="G30" i="28" s="1"/>
  <c r="L44" i="3"/>
  <c r="L44" i="28" s="1"/>
  <c r="C70" i="3"/>
  <c r="C70" i="28" s="1"/>
  <c r="I74" i="3"/>
  <c r="I74" i="28" s="1"/>
  <c r="O78" i="3"/>
  <c r="N88" i="3"/>
  <c r="G94" i="3"/>
  <c r="G94" i="28" s="1"/>
  <c r="M98" i="3"/>
  <c r="M98" i="28" s="1"/>
  <c r="F104" i="3"/>
  <c r="F104" i="28" s="1"/>
  <c r="L108" i="3"/>
  <c r="L108" i="28" s="1"/>
  <c r="E114" i="3"/>
  <c r="E114" i="28" s="1"/>
  <c r="K118" i="3"/>
  <c r="K118" i="28" s="1"/>
  <c r="H148" i="3"/>
  <c r="H148" i="28" s="1"/>
  <c r="N152" i="3"/>
  <c r="M170" i="4"/>
  <c r="M170" i="9"/>
  <c r="M170" i="7"/>
  <c r="L185" i="4"/>
  <c r="O175" i="4"/>
  <c r="D167" i="4"/>
  <c r="J157" i="4"/>
  <c r="F149" i="4"/>
  <c r="O139" i="4"/>
  <c r="O121" i="4"/>
  <c r="L49" i="4"/>
  <c r="G31" i="4"/>
  <c r="O234" i="3"/>
  <c r="I157" i="7"/>
  <c r="J139" i="7"/>
  <c r="J95" i="7"/>
  <c r="N19" i="9"/>
  <c r="N19" i="7"/>
  <c r="N19" i="4"/>
  <c r="C53" i="9"/>
  <c r="C53" i="7"/>
  <c r="C53" i="4"/>
  <c r="C54" i="3"/>
  <c r="C54" i="28" s="1"/>
  <c r="E33" i="9"/>
  <c r="E33" i="7"/>
  <c r="E33" i="4"/>
  <c r="E34" i="3"/>
  <c r="E34" i="28" s="1"/>
  <c r="K67" i="9"/>
  <c r="K67" i="7"/>
  <c r="K68" i="3"/>
  <c r="K68" i="28" s="1"/>
  <c r="N141" i="9"/>
  <c r="N141" i="7"/>
  <c r="N141" i="4"/>
  <c r="J175" i="9"/>
  <c r="J175" i="7"/>
  <c r="J176" i="3"/>
  <c r="J176" i="28" s="1"/>
  <c r="L153" i="9"/>
  <c r="L153" i="7"/>
  <c r="L153" i="4"/>
  <c r="L154" i="3"/>
  <c r="L154" i="28" s="1"/>
  <c r="K189" i="9"/>
  <c r="K189" i="7"/>
  <c r="G215" i="9"/>
  <c r="G216" i="3"/>
  <c r="G216" i="28" s="1"/>
  <c r="G215" i="7"/>
  <c r="G215" i="4"/>
  <c r="L231" i="9"/>
  <c r="L231" i="7"/>
  <c r="L232" i="3"/>
  <c r="L232" i="28" s="1"/>
  <c r="L231" i="4"/>
  <c r="N61" i="9"/>
  <c r="N61" i="7"/>
  <c r="N61" i="4"/>
  <c r="J37" i="9"/>
  <c r="J37" i="7"/>
  <c r="J37" i="4"/>
  <c r="J67" i="9"/>
  <c r="J67" i="7"/>
  <c r="J68" i="3"/>
  <c r="J68" i="28" s="1"/>
  <c r="I99" i="9"/>
  <c r="I99" i="7"/>
  <c r="I99" i="4"/>
  <c r="I100" i="3"/>
  <c r="I100" i="28" s="1"/>
  <c r="K129" i="9"/>
  <c r="K129" i="7"/>
  <c r="K130" i="3"/>
  <c r="K130" i="28" s="1"/>
  <c r="M167" i="9"/>
  <c r="M167" i="4"/>
  <c r="M167" i="7"/>
  <c r="M168" i="3"/>
  <c r="M168" i="28" s="1"/>
  <c r="L203" i="9"/>
  <c r="L203" i="7"/>
  <c r="L204" i="3"/>
  <c r="L204" i="28" s="1"/>
  <c r="L203" i="4"/>
  <c r="G187" i="9"/>
  <c r="G187" i="7"/>
  <c r="G187" i="4"/>
  <c r="G188" i="3"/>
  <c r="G188" i="28" s="1"/>
  <c r="E225" i="9"/>
  <c r="E225" i="7"/>
  <c r="E226" i="3"/>
  <c r="E226" i="28" s="1"/>
  <c r="G239" i="9"/>
  <c r="G240" i="3"/>
  <c r="G239" i="7"/>
  <c r="G239" i="4"/>
  <c r="N20" i="3"/>
  <c r="J60" i="4"/>
  <c r="J60" i="9"/>
  <c r="J60" i="7"/>
  <c r="N166" i="4"/>
  <c r="N166" i="9"/>
  <c r="N166" i="7"/>
  <c r="K29" i="9"/>
  <c r="K30" i="3"/>
  <c r="K30" i="28" s="1"/>
  <c r="O41" i="9"/>
  <c r="O41" i="7"/>
  <c r="O41" i="4"/>
  <c r="O20" i="9"/>
  <c r="O20" i="7"/>
  <c r="O20" i="4"/>
  <c r="F110" i="9"/>
  <c r="F110" i="7"/>
  <c r="I27" i="4"/>
  <c r="I31" i="9"/>
  <c r="I31" i="7"/>
  <c r="I31" i="4"/>
  <c r="J21" i="9"/>
  <c r="J21" i="7"/>
  <c r="D17" i="9"/>
  <c r="D17" i="7"/>
  <c r="D17" i="4"/>
  <c r="E59" i="9"/>
  <c r="E59" i="7"/>
  <c r="E59" i="4"/>
  <c r="I51" i="9"/>
  <c r="I51" i="4"/>
  <c r="I51" i="7"/>
  <c r="G39" i="9"/>
  <c r="G39" i="7"/>
  <c r="G39" i="4"/>
  <c r="H93" i="9"/>
  <c r="H93" i="7"/>
  <c r="H93" i="4"/>
  <c r="I83" i="9"/>
  <c r="I83" i="4"/>
  <c r="I83" i="7"/>
  <c r="D68" i="4"/>
  <c r="H132" i="4"/>
  <c r="H132" i="9"/>
  <c r="H132" i="7"/>
  <c r="N22" i="4"/>
  <c r="N22" i="9"/>
  <c r="N22" i="7"/>
  <c r="J63" i="9"/>
  <c r="J63" i="4"/>
  <c r="J63" i="7"/>
  <c r="G48" i="3"/>
  <c r="G48" i="28" s="1"/>
  <c r="D78" i="9"/>
  <c r="D78" i="7"/>
  <c r="D78" i="4"/>
  <c r="O96" i="3"/>
  <c r="H21" i="9"/>
  <c r="H21" i="7"/>
  <c r="H21" i="4"/>
  <c r="H22" i="3"/>
  <c r="H22" i="28" s="1"/>
  <c r="M55" i="9"/>
  <c r="M55" i="7"/>
  <c r="M55" i="4"/>
  <c r="H41" i="9"/>
  <c r="H41" i="7"/>
  <c r="H41" i="4"/>
  <c r="M87" i="9"/>
  <c r="M87" i="7"/>
  <c r="K73" i="9"/>
  <c r="K73" i="7"/>
  <c r="F113" i="9"/>
  <c r="F113" i="7"/>
  <c r="F113" i="4"/>
  <c r="G103" i="9"/>
  <c r="G103" i="7"/>
  <c r="G103" i="4"/>
  <c r="E141" i="9"/>
  <c r="E141" i="7"/>
  <c r="E141" i="4"/>
  <c r="C129" i="9"/>
  <c r="C129" i="4"/>
  <c r="C129" i="7"/>
  <c r="K171" i="9"/>
  <c r="K171" i="7"/>
  <c r="K172" i="3"/>
  <c r="K172" i="28" s="1"/>
  <c r="K171" i="4"/>
  <c r="J147" i="9"/>
  <c r="J147" i="4"/>
  <c r="O187" i="9"/>
  <c r="O187" i="7"/>
  <c r="M225" i="9"/>
  <c r="M225" i="7"/>
  <c r="M225" i="4"/>
  <c r="K213" i="9"/>
  <c r="K213" i="4"/>
  <c r="K214" i="3"/>
  <c r="K214" i="28" s="1"/>
  <c r="I235" i="9"/>
  <c r="I236" i="3"/>
  <c r="I236" i="28" s="1"/>
  <c r="I235" i="7"/>
  <c r="I235" i="4"/>
  <c r="C34" i="3"/>
  <c r="C34" i="28" s="1"/>
  <c r="G58" i="3"/>
  <c r="G58" i="28" s="1"/>
  <c r="E78" i="4"/>
  <c r="E78" i="9"/>
  <c r="E78" i="7"/>
  <c r="O106" i="4"/>
  <c r="O106" i="9"/>
  <c r="O106" i="7"/>
  <c r="J158" i="3"/>
  <c r="J158" i="28" s="1"/>
  <c r="I184" i="3"/>
  <c r="I184" i="28" s="1"/>
  <c r="O87" i="4"/>
  <c r="M73" i="4"/>
  <c r="E230" i="4"/>
  <c r="H11" i="9"/>
  <c r="H11" i="7"/>
  <c r="H11" i="4"/>
  <c r="N27" i="9"/>
  <c r="N27" i="7"/>
  <c r="N27" i="4"/>
  <c r="N28" i="3"/>
  <c r="H23" i="9"/>
  <c r="H23" i="7"/>
  <c r="H23" i="4"/>
  <c r="H24" i="3"/>
  <c r="H24" i="28" s="1"/>
  <c r="L15" i="9"/>
  <c r="L15" i="7"/>
  <c r="L15" i="4"/>
  <c r="L16" i="3"/>
  <c r="L16" i="28" s="1"/>
  <c r="I13" i="9"/>
  <c r="I13" i="7"/>
  <c r="I13" i="4"/>
  <c r="I14" i="3"/>
  <c r="I14" i="28" s="1"/>
  <c r="C61" i="9"/>
  <c r="C61" i="7"/>
  <c r="C61" i="4"/>
  <c r="C62" i="3"/>
  <c r="C62" i="28" s="1"/>
  <c r="D51" i="9"/>
  <c r="D51" i="7"/>
  <c r="D51" i="4"/>
  <c r="D52" i="3"/>
  <c r="D52" i="28" s="1"/>
  <c r="G11" i="9"/>
  <c r="G11" i="7"/>
  <c r="G11" i="4"/>
  <c r="C31" i="9"/>
  <c r="C31" i="7"/>
  <c r="C31" i="4"/>
  <c r="C32" i="3"/>
  <c r="C32" i="28" s="1"/>
  <c r="M27" i="9"/>
  <c r="M27" i="7"/>
  <c r="M27" i="4"/>
  <c r="M28" i="3"/>
  <c r="M28" i="28" s="1"/>
  <c r="J25" i="7"/>
  <c r="J25" i="9"/>
  <c r="J25" i="4"/>
  <c r="J26" i="3"/>
  <c r="J26" i="28" s="1"/>
  <c r="G23" i="9"/>
  <c r="G23" i="7"/>
  <c r="G23" i="4"/>
  <c r="G24" i="3"/>
  <c r="G24" i="28" s="1"/>
  <c r="D21" i="9"/>
  <c r="D21" i="7"/>
  <c r="D21" i="4"/>
  <c r="D22" i="3"/>
  <c r="D22" i="28" s="1"/>
  <c r="N17" i="9"/>
  <c r="N17" i="7"/>
  <c r="N17" i="4"/>
  <c r="N18" i="3"/>
  <c r="K15" i="9"/>
  <c r="K15" i="7"/>
  <c r="K15" i="4"/>
  <c r="K16" i="3"/>
  <c r="K16" i="28" s="1"/>
  <c r="H13" i="9"/>
  <c r="H13" i="7"/>
  <c r="H13" i="4"/>
  <c r="H14" i="3"/>
  <c r="H14" i="28" s="1"/>
  <c r="E63" i="9"/>
  <c r="E63" i="7"/>
  <c r="E64" i="3"/>
  <c r="E64" i="28" s="1"/>
  <c r="E63" i="4"/>
  <c r="O59" i="9"/>
  <c r="O59" i="7"/>
  <c r="O59" i="4"/>
  <c r="O60" i="3"/>
  <c r="L57" i="9"/>
  <c r="L57" i="7"/>
  <c r="L57" i="4"/>
  <c r="L58" i="3"/>
  <c r="L58" i="28" s="1"/>
  <c r="I55" i="9"/>
  <c r="I55" i="7"/>
  <c r="I56" i="3"/>
  <c r="I56" i="28" s="1"/>
  <c r="F53" i="9"/>
  <c r="F53" i="7"/>
  <c r="F53" i="4"/>
  <c r="F54" i="3"/>
  <c r="F54" i="28" s="1"/>
  <c r="C51" i="9"/>
  <c r="C51" i="4"/>
  <c r="C52" i="3"/>
  <c r="C52" i="28" s="1"/>
  <c r="M47" i="9"/>
  <c r="M47" i="7"/>
  <c r="M47" i="4"/>
  <c r="M48" i="3"/>
  <c r="M48" i="28" s="1"/>
  <c r="J45" i="9"/>
  <c r="J45" i="7"/>
  <c r="J46" i="3"/>
  <c r="J46" i="28" s="1"/>
  <c r="G43" i="9"/>
  <c r="G43" i="4"/>
  <c r="G43" i="7"/>
  <c r="G44" i="3"/>
  <c r="G44" i="28" s="1"/>
  <c r="D41" i="9"/>
  <c r="D41" i="7"/>
  <c r="D41" i="4"/>
  <c r="D42" i="3"/>
  <c r="D42" i="28" s="1"/>
  <c r="N37" i="9"/>
  <c r="N37" i="7"/>
  <c r="N37" i="4"/>
  <c r="N38" i="3"/>
  <c r="K35" i="9"/>
  <c r="K35" i="7"/>
  <c r="K35" i="4"/>
  <c r="K36" i="3"/>
  <c r="K36" i="28" s="1"/>
  <c r="H33" i="9"/>
  <c r="H33" i="7"/>
  <c r="H33" i="4"/>
  <c r="H34" i="3"/>
  <c r="H34" i="28" s="1"/>
  <c r="E95" i="9"/>
  <c r="E95" i="7"/>
  <c r="E95" i="4"/>
  <c r="E96" i="3"/>
  <c r="E96" i="28" s="1"/>
  <c r="O91" i="9"/>
  <c r="O91" i="7"/>
  <c r="O91" i="4"/>
  <c r="O92" i="3"/>
  <c r="L89" i="9"/>
  <c r="L89" i="7"/>
  <c r="L89" i="4"/>
  <c r="L90" i="3"/>
  <c r="L90" i="28" s="1"/>
  <c r="I87" i="9"/>
  <c r="I87" i="7"/>
  <c r="I88" i="3"/>
  <c r="I88" i="28" s="1"/>
  <c r="I87" i="4"/>
  <c r="F85" i="9"/>
  <c r="F85" i="4"/>
  <c r="F86" i="3"/>
  <c r="F86" i="28" s="1"/>
  <c r="F85" i="7"/>
  <c r="C83" i="9"/>
  <c r="C83" i="4"/>
  <c r="C83" i="7"/>
  <c r="C84" i="3"/>
  <c r="C84" i="28" s="1"/>
  <c r="M77" i="9"/>
  <c r="M77" i="7"/>
  <c r="M77" i="4"/>
  <c r="M78" i="3"/>
  <c r="M78" i="28" s="1"/>
  <c r="J75" i="9"/>
  <c r="J75" i="7"/>
  <c r="J75" i="4"/>
  <c r="J76" i="3"/>
  <c r="J76" i="28" s="1"/>
  <c r="G73" i="9"/>
  <c r="G73" i="7"/>
  <c r="G73" i="4"/>
  <c r="G74" i="3"/>
  <c r="G74" i="28" s="1"/>
  <c r="D71" i="9"/>
  <c r="D71" i="7"/>
  <c r="D71" i="4"/>
  <c r="D72" i="3"/>
  <c r="D72" i="28" s="1"/>
  <c r="N67" i="9"/>
  <c r="N67" i="7"/>
  <c r="N67" i="4"/>
  <c r="N68" i="3"/>
  <c r="K65" i="7"/>
  <c r="K65" i="9"/>
  <c r="K65" i="4"/>
  <c r="K66" i="3"/>
  <c r="K66" i="28" s="1"/>
  <c r="H117" i="9"/>
  <c r="H117" i="7"/>
  <c r="H118" i="3"/>
  <c r="H118" i="28" s="1"/>
  <c r="E115" i="9"/>
  <c r="E115" i="7"/>
  <c r="E116" i="3"/>
  <c r="E116" i="28" s="1"/>
  <c r="E115" i="4"/>
  <c r="O111" i="9"/>
  <c r="O111" i="7"/>
  <c r="O112" i="3"/>
  <c r="L109" i="9"/>
  <c r="L109" i="7"/>
  <c r="L110" i="3"/>
  <c r="L110" i="28" s="1"/>
  <c r="L109" i="4"/>
  <c r="I107" i="9"/>
  <c r="I107" i="7"/>
  <c r="I107" i="4"/>
  <c r="I108" i="3"/>
  <c r="I108" i="28" s="1"/>
  <c r="F105" i="9"/>
  <c r="F105" i="7"/>
  <c r="F105" i="4"/>
  <c r="F106" i="3"/>
  <c r="F106" i="28" s="1"/>
  <c r="C103" i="9"/>
  <c r="C103" i="7"/>
  <c r="C103" i="4"/>
  <c r="C104" i="3"/>
  <c r="C104" i="28" s="1"/>
  <c r="M99" i="9"/>
  <c r="M99" i="7"/>
  <c r="M99" i="4"/>
  <c r="M100" i="3"/>
  <c r="M100" i="28" s="1"/>
  <c r="J97" i="9"/>
  <c r="J97" i="7"/>
  <c r="J97" i="4"/>
  <c r="J98" i="3"/>
  <c r="J98" i="28" s="1"/>
  <c r="G145" i="9"/>
  <c r="G145" i="7"/>
  <c r="G145" i="4"/>
  <c r="D143" i="9"/>
  <c r="D143" i="7"/>
  <c r="N139" i="9"/>
  <c r="N139" i="7"/>
  <c r="N139" i="4"/>
  <c r="K137" i="9"/>
  <c r="K137" i="7"/>
  <c r="K137" i="4"/>
  <c r="H135" i="9"/>
  <c r="H135" i="7"/>
  <c r="E133" i="9"/>
  <c r="E133" i="7"/>
  <c r="E133" i="4"/>
  <c r="O129" i="9"/>
  <c r="O129" i="7"/>
  <c r="O129" i="4"/>
  <c r="L127" i="9"/>
  <c r="L127" i="7"/>
  <c r="L127" i="4"/>
  <c r="I125" i="9"/>
  <c r="I125" i="4"/>
  <c r="I125" i="7"/>
  <c r="F123" i="9"/>
  <c r="F123" i="7"/>
  <c r="F123" i="4"/>
  <c r="C121" i="9"/>
  <c r="C121" i="7"/>
  <c r="M175" i="9"/>
  <c r="M175" i="7"/>
  <c r="M175" i="4"/>
  <c r="J173" i="9"/>
  <c r="J173" i="4"/>
  <c r="J174" i="3"/>
  <c r="J174" i="28" s="1"/>
  <c r="G171" i="9"/>
  <c r="G171" i="7"/>
  <c r="G171" i="4"/>
  <c r="G172" i="3"/>
  <c r="G172" i="28" s="1"/>
  <c r="D169" i="9"/>
  <c r="D169" i="7"/>
  <c r="D169" i="4"/>
  <c r="D170" i="3"/>
  <c r="D170" i="28" s="1"/>
  <c r="N165" i="9"/>
  <c r="N165" i="7"/>
  <c r="K163" i="9"/>
  <c r="K163" i="7"/>
  <c r="K163" i="4"/>
  <c r="H161" i="9"/>
  <c r="H161" i="7"/>
  <c r="H161" i="4"/>
  <c r="E159" i="9"/>
  <c r="E159" i="7"/>
  <c r="E159" i="4"/>
  <c r="O153" i="9"/>
  <c r="O153" i="7"/>
  <c r="O153" i="4"/>
  <c r="O154" i="3"/>
  <c r="L151" i="9"/>
  <c r="L151" i="7"/>
  <c r="L152" i="3"/>
  <c r="L152" i="28" s="1"/>
  <c r="I149" i="9"/>
  <c r="I149" i="7"/>
  <c r="I150" i="3"/>
  <c r="I150" i="28" s="1"/>
  <c r="I149" i="4"/>
  <c r="F147" i="9"/>
  <c r="F147" i="7"/>
  <c r="F148" i="3"/>
  <c r="F148" i="28" s="1"/>
  <c r="C205" i="9"/>
  <c r="C206" i="3"/>
  <c r="C206" i="28" s="1"/>
  <c r="C205" i="4"/>
  <c r="M201" i="9"/>
  <c r="M201" i="7"/>
  <c r="M202" i="3"/>
  <c r="M202" i="28" s="1"/>
  <c r="M201" i="4"/>
  <c r="J199" i="9"/>
  <c r="J199" i="7"/>
  <c r="J200" i="3"/>
  <c r="J200" i="28" s="1"/>
  <c r="J199" i="4"/>
  <c r="G197" i="9"/>
  <c r="G197" i="7"/>
  <c r="G198" i="3"/>
  <c r="G198" i="28" s="1"/>
  <c r="G197" i="4"/>
  <c r="D193" i="9"/>
  <c r="D193" i="4"/>
  <c r="D193" i="7"/>
  <c r="N189" i="9"/>
  <c r="N189" i="7"/>
  <c r="N189" i="4"/>
  <c r="N190" i="3"/>
  <c r="K187" i="9"/>
  <c r="K187" i="7"/>
  <c r="K187" i="4"/>
  <c r="E183" i="9"/>
  <c r="E184" i="3"/>
  <c r="E184" i="28" s="1"/>
  <c r="E183" i="7"/>
  <c r="E183" i="4"/>
  <c r="O179" i="9"/>
  <c r="O179" i="7"/>
  <c r="L177" i="9"/>
  <c r="L177" i="7"/>
  <c r="L177" i="4"/>
  <c r="I225" i="9"/>
  <c r="I226" i="3"/>
  <c r="I226" i="28" s="1"/>
  <c r="I225" i="4"/>
  <c r="I225" i="7"/>
  <c r="F223" i="9"/>
  <c r="F224" i="3"/>
  <c r="F224" i="28" s="1"/>
  <c r="C221" i="9"/>
  <c r="C222" i="3"/>
  <c r="C222" i="28" s="1"/>
  <c r="C221" i="4"/>
  <c r="C221" i="7"/>
  <c r="M217" i="7"/>
  <c r="M218" i="3"/>
  <c r="M218" i="28" s="1"/>
  <c r="M217" i="9"/>
  <c r="M217" i="4"/>
  <c r="J215" i="9"/>
  <c r="J215" i="7"/>
  <c r="J216" i="3"/>
  <c r="J216" i="28" s="1"/>
  <c r="J215" i="4"/>
  <c r="G213" i="9"/>
  <c r="G214" i="3"/>
  <c r="G214" i="28" s="1"/>
  <c r="G213" i="7"/>
  <c r="G213" i="4"/>
  <c r="D211" i="9"/>
  <c r="D212" i="3"/>
  <c r="D212" i="28" s="1"/>
  <c r="D211" i="7"/>
  <c r="D211" i="4"/>
  <c r="N208" i="3"/>
  <c r="N207" i="9"/>
  <c r="N207" i="7"/>
  <c r="K239" i="9"/>
  <c r="K239" i="7"/>
  <c r="K240" i="3"/>
  <c r="K239" i="4"/>
  <c r="H237" i="9"/>
  <c r="H237" i="7"/>
  <c r="H238" i="3"/>
  <c r="H238" i="28" s="1"/>
  <c r="H237" i="4"/>
  <c r="E235" i="9"/>
  <c r="E235" i="7"/>
  <c r="E236" i="3"/>
  <c r="E236" i="28" s="1"/>
  <c r="E235" i="4"/>
  <c r="O231" i="9"/>
  <c r="O232" i="3"/>
  <c r="L229" i="9"/>
  <c r="L230" i="3"/>
  <c r="L230" i="28" s="1"/>
  <c r="L229" i="7"/>
  <c r="L229" i="4"/>
  <c r="I227" i="9"/>
  <c r="I228" i="3"/>
  <c r="I228" i="28" s="1"/>
  <c r="I227" i="7"/>
  <c r="I227" i="4"/>
  <c r="C16" i="3"/>
  <c r="C16" i="28" s="1"/>
  <c r="I20" i="3"/>
  <c r="I20" i="28" s="1"/>
  <c r="O24" i="3"/>
  <c r="H30" i="3"/>
  <c r="H30" i="28" s="1"/>
  <c r="G40" i="3"/>
  <c r="G40" i="28" s="1"/>
  <c r="M44" i="3"/>
  <c r="M44" i="28" s="1"/>
  <c r="F50" i="3"/>
  <c r="F50" i="28" s="1"/>
  <c r="E60" i="3"/>
  <c r="E60" i="28" s="1"/>
  <c r="K64" i="3"/>
  <c r="K64" i="28" s="1"/>
  <c r="D70" i="3"/>
  <c r="D70" i="28" s="1"/>
  <c r="J74" i="3"/>
  <c r="J74" i="28" s="1"/>
  <c r="C80" i="3"/>
  <c r="C80" i="28" s="1"/>
  <c r="I84" i="3"/>
  <c r="I84" i="28" s="1"/>
  <c r="O88" i="3"/>
  <c r="H94" i="3"/>
  <c r="H94" i="28" s="1"/>
  <c r="G104" i="3"/>
  <c r="G104" i="28" s="1"/>
  <c r="M108" i="3"/>
  <c r="M108" i="28" s="1"/>
  <c r="F114" i="3"/>
  <c r="F114" i="28" s="1"/>
  <c r="L118" i="3"/>
  <c r="L118" i="28" s="1"/>
  <c r="I148" i="3"/>
  <c r="I148" i="28" s="1"/>
  <c r="O152" i="3"/>
  <c r="L164" i="3"/>
  <c r="L164" i="28" s="1"/>
  <c r="N170" i="4"/>
  <c r="N170" i="9"/>
  <c r="N170" i="7"/>
  <c r="E186" i="3"/>
  <c r="E186" i="28" s="1"/>
  <c r="J196" i="4"/>
  <c r="J196" i="9"/>
  <c r="O231" i="4"/>
  <c r="M219" i="4"/>
  <c r="E195" i="4"/>
  <c r="I185" i="4"/>
  <c r="O165" i="4"/>
  <c r="D113" i="4"/>
  <c r="K67" i="4"/>
  <c r="C49" i="4"/>
  <c r="M216" i="3"/>
  <c r="M216" i="28" s="1"/>
  <c r="G223" i="7"/>
  <c r="C205" i="7"/>
  <c r="N57" i="7"/>
  <c r="M29" i="9"/>
  <c r="M29" i="7"/>
  <c r="O61" i="9"/>
  <c r="O61" i="7"/>
  <c r="O61" i="4"/>
  <c r="O62" i="3"/>
  <c r="D43" i="9"/>
  <c r="D43" i="7"/>
  <c r="D43" i="4"/>
  <c r="D44" i="3"/>
  <c r="D44" i="28" s="1"/>
  <c r="F87" i="9"/>
  <c r="F87" i="7"/>
  <c r="F87" i="4"/>
  <c r="F88" i="3"/>
  <c r="F88" i="28" s="1"/>
  <c r="H65" i="9"/>
  <c r="H65" i="7"/>
  <c r="H66" i="3"/>
  <c r="H66" i="28" s="1"/>
  <c r="M101" i="9"/>
  <c r="M101" i="7"/>
  <c r="M101" i="4"/>
  <c r="M102" i="3"/>
  <c r="M102" i="28" s="1"/>
  <c r="L129" i="9"/>
  <c r="L129" i="7"/>
  <c r="L129" i="4"/>
  <c r="N167" i="9"/>
  <c r="N167" i="4"/>
  <c r="N167" i="7"/>
  <c r="N168" i="3"/>
  <c r="J201" i="9"/>
  <c r="J201" i="7"/>
  <c r="J202" i="3"/>
  <c r="J202" i="28" s="1"/>
  <c r="L179" i="9"/>
  <c r="L179" i="7"/>
  <c r="L179" i="4"/>
  <c r="D213" i="9"/>
  <c r="D213" i="7"/>
  <c r="D214" i="3"/>
  <c r="D214" i="28" s="1"/>
  <c r="D213" i="4"/>
  <c r="F227" i="9"/>
  <c r="F228" i="3"/>
  <c r="F228" i="28" s="1"/>
  <c r="F227" i="4"/>
  <c r="F227" i="7"/>
  <c r="K40" i="4"/>
  <c r="K40" i="9"/>
  <c r="K40" i="7"/>
  <c r="I124" i="4"/>
  <c r="I124" i="9"/>
  <c r="I124" i="7"/>
  <c r="L178" i="4"/>
  <c r="L178" i="9"/>
  <c r="L178" i="7"/>
  <c r="C23" i="9"/>
  <c r="C23" i="7"/>
  <c r="C23" i="4"/>
  <c r="F45" i="9"/>
  <c r="F45" i="7"/>
  <c r="F75" i="9"/>
  <c r="F75" i="7"/>
  <c r="F75" i="4"/>
  <c r="F76" i="3"/>
  <c r="F76" i="28" s="1"/>
  <c r="D135" i="9"/>
  <c r="D135" i="7"/>
  <c r="D135" i="4"/>
  <c r="D136" i="3"/>
  <c r="D136" i="28" s="1"/>
  <c r="I175" i="9"/>
  <c r="I175" i="7"/>
  <c r="I175" i="4"/>
  <c r="I176" i="3"/>
  <c r="I176" i="28" s="1"/>
  <c r="H151" i="9"/>
  <c r="H151" i="7"/>
  <c r="H152" i="3"/>
  <c r="H152" i="28" s="1"/>
  <c r="H177" i="9"/>
  <c r="H177" i="7"/>
  <c r="H177" i="4"/>
  <c r="C213" i="9"/>
  <c r="C214" i="3"/>
  <c r="C214" i="28" s="1"/>
  <c r="C213" i="7"/>
  <c r="D56" i="4"/>
  <c r="D56" i="9"/>
  <c r="D56" i="7"/>
  <c r="N84" i="9"/>
  <c r="N84" i="7"/>
  <c r="N84" i="4"/>
  <c r="E110" i="4"/>
  <c r="E110" i="9"/>
  <c r="E110" i="7"/>
  <c r="L180" i="3"/>
  <c r="L180" i="28" s="1"/>
  <c r="N31" i="9"/>
  <c r="N31" i="7"/>
  <c r="N31" i="4"/>
  <c r="N32" i="3"/>
  <c r="E25" i="9"/>
  <c r="E25" i="7"/>
  <c r="E25" i="4"/>
  <c r="E26" i="3"/>
  <c r="E26" i="28" s="1"/>
  <c r="C13" i="9"/>
  <c r="C13" i="7"/>
  <c r="C14" i="3"/>
  <c r="C14" i="28" s="1"/>
  <c r="N51" i="9"/>
  <c r="N51" i="7"/>
  <c r="N51" i="4"/>
  <c r="L39" i="9"/>
  <c r="L39" i="7"/>
  <c r="L39" i="4"/>
  <c r="G89" i="9"/>
  <c r="G89" i="7"/>
  <c r="G89" i="4"/>
  <c r="M40" i="3"/>
  <c r="M40" i="28" s="1"/>
  <c r="O84" i="3"/>
  <c r="M23" i="9"/>
  <c r="M23" i="7"/>
  <c r="M23" i="4"/>
  <c r="O55" i="9"/>
  <c r="O55" i="4"/>
  <c r="O55" i="7"/>
  <c r="J41" i="9"/>
  <c r="J41" i="7"/>
  <c r="J41" i="4"/>
  <c r="N33" i="9"/>
  <c r="N33" i="7"/>
  <c r="N33" i="4"/>
  <c r="E91" i="9"/>
  <c r="E91" i="7"/>
  <c r="J72" i="4"/>
  <c r="J72" i="9"/>
  <c r="J72" i="7"/>
  <c r="I72" i="9"/>
  <c r="F102" i="7"/>
  <c r="O140" i="4"/>
  <c r="O140" i="9"/>
  <c r="O140" i="7"/>
  <c r="K189" i="4"/>
  <c r="C11" i="9"/>
  <c r="C11" i="7"/>
  <c r="C11" i="4"/>
  <c r="C12" i="3"/>
  <c r="C12" i="28" s="1"/>
  <c r="L23" i="9"/>
  <c r="L23" i="7"/>
  <c r="L23" i="4"/>
  <c r="L24" i="3"/>
  <c r="L24" i="28" s="1"/>
  <c r="D59" i="9"/>
  <c r="D59" i="7"/>
  <c r="D59" i="4"/>
  <c r="E49" i="9"/>
  <c r="E49" i="7"/>
  <c r="E49" i="4"/>
  <c r="M33" i="9"/>
  <c r="M33" i="7"/>
  <c r="M33" i="4"/>
  <c r="H222" i="9"/>
  <c r="H222" i="7"/>
  <c r="J18" i="3"/>
  <c r="J18" i="28" s="1"/>
  <c r="F58" i="3"/>
  <c r="F58" i="28" s="1"/>
  <c r="C88" i="3"/>
  <c r="C88" i="28" s="1"/>
  <c r="F122" i="9"/>
  <c r="F122" i="7"/>
  <c r="L168" i="4"/>
  <c r="L168" i="9"/>
  <c r="L168" i="7"/>
  <c r="M209" i="4"/>
  <c r="N25" i="9"/>
  <c r="N25" i="7"/>
  <c r="N25" i="4"/>
  <c r="N26" i="3"/>
  <c r="O15" i="9"/>
  <c r="O15" i="4"/>
  <c r="O16" i="3"/>
  <c r="O15" i="7"/>
  <c r="C59" i="9"/>
  <c r="C59" i="7"/>
  <c r="C59" i="4"/>
  <c r="K43" i="9"/>
  <c r="K43" i="7"/>
  <c r="K43" i="4"/>
  <c r="F93" i="9"/>
  <c r="F93" i="4"/>
  <c r="N75" i="9"/>
  <c r="N75" i="7"/>
  <c r="N75" i="4"/>
  <c r="I115" i="7"/>
  <c r="I115" i="9"/>
  <c r="N97" i="9"/>
  <c r="N97" i="7"/>
  <c r="I133" i="9"/>
  <c r="I133" i="7"/>
  <c r="I133" i="4"/>
  <c r="N173" i="9"/>
  <c r="N173" i="7"/>
  <c r="N174" i="3"/>
  <c r="L161" i="9"/>
  <c r="L161" i="7"/>
  <c r="L162" i="3"/>
  <c r="L162" i="28" s="1"/>
  <c r="G205" i="9"/>
  <c r="G205" i="7"/>
  <c r="G206" i="3"/>
  <c r="G206" i="28" s="1"/>
  <c r="G205" i="4"/>
  <c r="E191" i="9"/>
  <c r="E191" i="7"/>
  <c r="E191" i="4"/>
  <c r="E192" i="3"/>
  <c r="E192" i="28" s="1"/>
  <c r="D219" i="9"/>
  <c r="D219" i="7"/>
  <c r="L237" i="9"/>
  <c r="L238" i="3"/>
  <c r="L238" i="28" s="1"/>
  <c r="L237" i="4"/>
  <c r="K18" i="3"/>
  <c r="K18" i="28" s="1"/>
  <c r="H48" i="3"/>
  <c r="H48" i="28" s="1"/>
  <c r="J92" i="3"/>
  <c r="J92" i="28" s="1"/>
  <c r="M126" i="3"/>
  <c r="M126" i="28" s="1"/>
  <c r="E125" i="4"/>
  <c r="J189" i="7"/>
  <c r="E21" i="9"/>
  <c r="E21" i="7"/>
  <c r="E21" i="4"/>
  <c r="E22" i="3"/>
  <c r="E22" i="28" s="1"/>
  <c r="F11" i="9"/>
  <c r="F11" i="7"/>
  <c r="F11" i="4"/>
  <c r="F12" i="3"/>
  <c r="F12" i="28" s="1"/>
  <c r="O29" i="9"/>
  <c r="O29" i="7"/>
  <c r="O29" i="4"/>
  <c r="O30" i="3"/>
  <c r="L27" i="9"/>
  <c r="L27" i="7"/>
  <c r="L28" i="3"/>
  <c r="L28" i="28" s="1"/>
  <c r="I25" i="7"/>
  <c r="I25" i="9"/>
  <c r="I25" i="4"/>
  <c r="I26" i="3"/>
  <c r="I26" i="28" s="1"/>
  <c r="F23" i="9"/>
  <c r="F23" i="7"/>
  <c r="F23" i="4"/>
  <c r="F24" i="3"/>
  <c r="F24" i="28" s="1"/>
  <c r="C21" i="9"/>
  <c r="C21" i="7"/>
  <c r="C21" i="4"/>
  <c r="C22" i="3"/>
  <c r="C22" i="28" s="1"/>
  <c r="M17" i="9"/>
  <c r="M17" i="7"/>
  <c r="M17" i="4"/>
  <c r="M18" i="3"/>
  <c r="M18" i="28" s="1"/>
  <c r="J15" i="9"/>
  <c r="J15" i="7"/>
  <c r="J15" i="4"/>
  <c r="J16" i="3"/>
  <c r="J16" i="28" s="1"/>
  <c r="G13" i="9"/>
  <c r="G13" i="7"/>
  <c r="G13" i="4"/>
  <c r="G14" i="3"/>
  <c r="G14" i="28" s="1"/>
  <c r="D63" i="9"/>
  <c r="D63" i="7"/>
  <c r="D63" i="4"/>
  <c r="D64" i="3"/>
  <c r="D64" i="28" s="1"/>
  <c r="N59" i="9"/>
  <c r="N59" i="7"/>
  <c r="N59" i="4"/>
  <c r="N60" i="3"/>
  <c r="K57" i="9"/>
  <c r="K57" i="7"/>
  <c r="K57" i="4"/>
  <c r="K58" i="3"/>
  <c r="K58" i="28" s="1"/>
  <c r="H55" i="9"/>
  <c r="H55" i="7"/>
  <c r="H56" i="3"/>
  <c r="H56" i="28" s="1"/>
  <c r="E53" i="9"/>
  <c r="E53" i="7"/>
  <c r="E53" i="4"/>
  <c r="E54" i="3"/>
  <c r="E54" i="28" s="1"/>
  <c r="O49" i="9"/>
  <c r="O49" i="7"/>
  <c r="O49" i="4"/>
  <c r="O50" i="3"/>
  <c r="L47" i="9"/>
  <c r="L47" i="7"/>
  <c r="L47" i="4"/>
  <c r="L48" i="3"/>
  <c r="L48" i="28" s="1"/>
  <c r="I45" i="9"/>
  <c r="I45" i="7"/>
  <c r="I46" i="3"/>
  <c r="I46" i="28" s="1"/>
  <c r="F43" i="9"/>
  <c r="F43" i="7"/>
  <c r="F43" i="4"/>
  <c r="F44" i="3"/>
  <c r="F44" i="28" s="1"/>
  <c r="C41" i="9"/>
  <c r="C41" i="7"/>
  <c r="C41" i="4"/>
  <c r="C42" i="3"/>
  <c r="C42" i="28" s="1"/>
  <c r="M37" i="9"/>
  <c r="M37" i="7"/>
  <c r="M37" i="4"/>
  <c r="M38" i="3"/>
  <c r="M38" i="28" s="1"/>
  <c r="J35" i="9"/>
  <c r="J35" i="7"/>
  <c r="J35" i="4"/>
  <c r="J36" i="3"/>
  <c r="J36" i="28" s="1"/>
  <c r="G33" i="7"/>
  <c r="G33" i="9"/>
  <c r="G33" i="4"/>
  <c r="G34" i="3"/>
  <c r="G34" i="28" s="1"/>
  <c r="D95" i="9"/>
  <c r="D95" i="7"/>
  <c r="D95" i="4"/>
  <c r="D96" i="3"/>
  <c r="D96" i="28" s="1"/>
  <c r="N91" i="9"/>
  <c r="N91" i="7"/>
  <c r="N91" i="4"/>
  <c r="N92" i="3"/>
  <c r="K89" i="9"/>
  <c r="K89" i="7"/>
  <c r="K89" i="4"/>
  <c r="K90" i="3"/>
  <c r="K90" i="28" s="1"/>
  <c r="H87" i="9"/>
  <c r="H87" i="7"/>
  <c r="H88" i="3"/>
  <c r="H88" i="28" s="1"/>
  <c r="H87" i="4"/>
  <c r="E85" i="9"/>
  <c r="E85" i="7"/>
  <c r="E85" i="4"/>
  <c r="E86" i="3"/>
  <c r="E86" i="28" s="1"/>
  <c r="O81" i="9"/>
  <c r="O81" i="7"/>
  <c r="O81" i="4"/>
  <c r="O82" i="3"/>
  <c r="L77" i="9"/>
  <c r="L77" i="7"/>
  <c r="L77" i="4"/>
  <c r="L78" i="3"/>
  <c r="L78" i="28" s="1"/>
  <c r="D16" i="3"/>
  <c r="D16" i="28" s="1"/>
  <c r="J20" i="3"/>
  <c r="J20" i="28" s="1"/>
  <c r="C26" i="3"/>
  <c r="C26" i="28" s="1"/>
  <c r="I30" i="3"/>
  <c r="I30" i="28" s="1"/>
  <c r="O34" i="3"/>
  <c r="H40" i="3"/>
  <c r="H40" i="28" s="1"/>
  <c r="N44" i="3"/>
  <c r="G50" i="3"/>
  <c r="G50" i="28" s="1"/>
  <c r="M54" i="3"/>
  <c r="M54" i="28" s="1"/>
  <c r="F60" i="3"/>
  <c r="F60" i="28" s="1"/>
  <c r="L64" i="3"/>
  <c r="L64" i="28" s="1"/>
  <c r="E70" i="3"/>
  <c r="E70" i="28" s="1"/>
  <c r="K74" i="3"/>
  <c r="K74" i="28" s="1"/>
  <c r="D80" i="3"/>
  <c r="D80" i="28" s="1"/>
  <c r="J84" i="3"/>
  <c r="J84" i="28" s="1"/>
  <c r="C90" i="3"/>
  <c r="C90" i="28" s="1"/>
  <c r="I94" i="3"/>
  <c r="I94" i="28" s="1"/>
  <c r="O98" i="4"/>
  <c r="O98" i="9"/>
  <c r="O98" i="7"/>
  <c r="F124" i="3"/>
  <c r="F124" i="28" s="1"/>
  <c r="L128" i="3"/>
  <c r="L128" i="28" s="1"/>
  <c r="E134" i="3"/>
  <c r="E134" i="28" s="1"/>
  <c r="K138" i="3"/>
  <c r="K138" i="28" s="1"/>
  <c r="D144" i="3"/>
  <c r="D144" i="28" s="1"/>
  <c r="J148" i="3"/>
  <c r="J148" i="28" s="1"/>
  <c r="C154" i="3"/>
  <c r="C154" i="28" s="1"/>
  <c r="L157" i="9"/>
  <c r="L157" i="7"/>
  <c r="L157" i="4"/>
  <c r="N164" i="3"/>
  <c r="C172" i="3"/>
  <c r="C172" i="28" s="1"/>
  <c r="H185" i="4"/>
  <c r="N165" i="4"/>
  <c r="F157" i="4"/>
  <c r="O148" i="4"/>
  <c r="K139" i="4"/>
  <c r="C113" i="4"/>
  <c r="J67" i="4"/>
  <c r="O47" i="4"/>
  <c r="L29" i="4"/>
  <c r="C198" i="3"/>
  <c r="C198" i="28" s="1"/>
  <c r="N216" i="3"/>
  <c r="F223" i="7"/>
  <c r="F93" i="7"/>
  <c r="G25" i="9"/>
  <c r="G25" i="7"/>
  <c r="G25" i="4"/>
  <c r="L59" i="9"/>
  <c r="L59" i="7"/>
  <c r="L59" i="4"/>
  <c r="L60" i="3"/>
  <c r="L60" i="28" s="1"/>
  <c r="G45" i="9"/>
  <c r="G45" i="7"/>
  <c r="G45" i="4"/>
  <c r="G46" i="3"/>
  <c r="G46" i="28" s="1"/>
  <c r="I89" i="9"/>
  <c r="I89" i="7"/>
  <c r="I89" i="4"/>
  <c r="I90" i="3"/>
  <c r="I90" i="28" s="1"/>
  <c r="N69" i="9"/>
  <c r="N69" i="4"/>
  <c r="N69" i="7"/>
  <c r="N70" i="3"/>
  <c r="C105" i="9"/>
  <c r="C105" i="7"/>
  <c r="C105" i="4"/>
  <c r="C106" i="3"/>
  <c r="C106" i="28" s="1"/>
  <c r="H137" i="9"/>
  <c r="H137" i="7"/>
  <c r="H137" i="4"/>
  <c r="C123" i="9"/>
  <c r="C123" i="7"/>
  <c r="C123" i="4"/>
  <c r="I151" i="9"/>
  <c r="I151" i="7"/>
  <c r="I152" i="3"/>
  <c r="I152" i="28" s="1"/>
  <c r="N191" i="9"/>
  <c r="N192" i="3"/>
  <c r="N191" i="4"/>
  <c r="J217" i="9"/>
  <c r="J218" i="3"/>
  <c r="J218" i="28" s="1"/>
  <c r="J217" i="7"/>
  <c r="J217" i="4"/>
  <c r="I229" i="9"/>
  <c r="I229" i="7"/>
  <c r="G80" i="4"/>
  <c r="G80" i="9"/>
  <c r="G80" i="7"/>
  <c r="O128" i="4"/>
  <c r="O128" i="9"/>
  <c r="O128" i="7"/>
  <c r="M195" i="9"/>
  <c r="M195" i="4"/>
  <c r="M196" i="3"/>
  <c r="M196" i="28" s="1"/>
  <c r="M195" i="7"/>
  <c r="O31" i="9"/>
  <c r="O31" i="4"/>
  <c r="D13" i="9"/>
  <c r="D13" i="7"/>
  <c r="D13" i="4"/>
  <c r="I47" i="9"/>
  <c r="I47" i="7"/>
  <c r="I47" i="4"/>
  <c r="K91" i="9"/>
  <c r="K91" i="7"/>
  <c r="K91" i="4"/>
  <c r="C73" i="9"/>
  <c r="C73" i="7"/>
  <c r="C73" i="4"/>
  <c r="C74" i="3"/>
  <c r="C74" i="28" s="1"/>
  <c r="E107" i="9"/>
  <c r="E107" i="7"/>
  <c r="E107" i="4"/>
  <c r="E108" i="3"/>
  <c r="E108" i="28" s="1"/>
  <c r="N131" i="9"/>
  <c r="N131" i="7"/>
  <c r="N132" i="3"/>
  <c r="N131" i="4"/>
  <c r="J165" i="9"/>
  <c r="J165" i="4"/>
  <c r="J166" i="3"/>
  <c r="J166" i="28" s="1"/>
  <c r="I201" i="9"/>
  <c r="I201" i="7"/>
  <c r="I202" i="3"/>
  <c r="I202" i="28" s="1"/>
  <c r="D185" i="7"/>
  <c r="D185" i="9"/>
  <c r="D185" i="4"/>
  <c r="J207" i="9"/>
  <c r="J207" i="7"/>
  <c r="J208" i="3"/>
  <c r="J208" i="28" s="1"/>
  <c r="J207" i="4"/>
  <c r="E227" i="9"/>
  <c r="E227" i="7"/>
  <c r="E228" i="3"/>
  <c r="E228" i="28" s="1"/>
  <c r="E227" i="4"/>
  <c r="M30" i="3"/>
  <c r="M30" i="28" s="1"/>
  <c r="K188" i="4"/>
  <c r="K188" i="9"/>
  <c r="K188" i="7"/>
  <c r="I17" i="9"/>
  <c r="I17" i="7"/>
  <c r="I17" i="4"/>
  <c r="I18" i="3"/>
  <c r="I18" i="28" s="1"/>
  <c r="E45" i="9"/>
  <c r="E45" i="7"/>
  <c r="E45" i="4"/>
  <c r="I16" i="4"/>
  <c r="I16" i="9"/>
  <c r="K60" i="3"/>
  <c r="K60" i="28" s="1"/>
  <c r="M11" i="9"/>
  <c r="M11" i="4"/>
  <c r="M11" i="7"/>
  <c r="M12" i="3"/>
  <c r="M12" i="28" s="1"/>
  <c r="G19" i="9"/>
  <c r="G19" i="7"/>
  <c r="G19" i="4"/>
  <c r="L53" i="9"/>
  <c r="L53" i="4"/>
  <c r="L53" i="7"/>
  <c r="D37" i="9"/>
  <c r="D37" i="7"/>
  <c r="D37" i="4"/>
  <c r="F81" i="9"/>
  <c r="F81" i="7"/>
  <c r="F81" i="4"/>
  <c r="J62" i="4"/>
  <c r="J62" i="9"/>
  <c r="J62" i="7"/>
  <c r="N86" i="4"/>
  <c r="N86" i="9"/>
  <c r="N86" i="7"/>
  <c r="N226" i="9"/>
  <c r="N226" i="7"/>
  <c r="N226" i="4"/>
  <c r="L11" i="9"/>
  <c r="L11" i="4"/>
  <c r="L11" i="7"/>
  <c r="L12" i="3"/>
  <c r="L12" i="28" s="1"/>
  <c r="F19" i="9"/>
  <c r="F19" i="7"/>
  <c r="F20" i="3"/>
  <c r="F20" i="28" s="1"/>
  <c r="K53" i="9"/>
  <c r="K53" i="4"/>
  <c r="K53" i="7"/>
  <c r="F39" i="9"/>
  <c r="F39" i="7"/>
  <c r="F39" i="4"/>
  <c r="K85" i="9"/>
  <c r="K85" i="7"/>
  <c r="K85" i="4"/>
  <c r="I28" i="3"/>
  <c r="I28" i="28" s="1"/>
  <c r="J146" i="4"/>
  <c r="J146" i="7"/>
  <c r="O233" i="4"/>
  <c r="O103" i="4"/>
  <c r="E210" i="4"/>
  <c r="E210" i="9"/>
  <c r="L13" i="9"/>
  <c r="L13" i="7"/>
  <c r="L14" i="3"/>
  <c r="L14" i="28" s="1"/>
  <c r="G51" i="9"/>
  <c r="G51" i="4"/>
  <c r="G51" i="7"/>
  <c r="I95" i="9"/>
  <c r="I95" i="7"/>
  <c r="I95" i="4"/>
  <c r="H71" i="9"/>
  <c r="H71" i="7"/>
  <c r="H71" i="4"/>
  <c r="J105" i="9"/>
  <c r="J105" i="7"/>
  <c r="J105" i="4"/>
  <c r="K145" i="9"/>
  <c r="K145" i="7"/>
  <c r="K145" i="4"/>
  <c r="F131" i="9"/>
  <c r="F131" i="7"/>
  <c r="G121" i="9"/>
  <c r="G121" i="7"/>
  <c r="G121" i="4"/>
  <c r="E167" i="9"/>
  <c r="E167" i="7"/>
  <c r="E168" i="3"/>
  <c r="E168" i="28" s="1"/>
  <c r="E167" i="4"/>
  <c r="F155" i="9"/>
  <c r="F155" i="7"/>
  <c r="F155" i="4"/>
  <c r="H193" i="9"/>
  <c r="H193" i="7"/>
  <c r="G221" i="9"/>
  <c r="G221" i="7"/>
  <c r="G221" i="4"/>
  <c r="G222" i="3"/>
  <c r="G222" i="28" s="1"/>
  <c r="F233" i="9"/>
  <c r="F234" i="3"/>
  <c r="F234" i="28" s="1"/>
  <c r="F233" i="7"/>
  <c r="F233" i="4"/>
  <c r="J28" i="3"/>
  <c r="J28" i="28" s="1"/>
  <c r="L72" i="4"/>
  <c r="L72" i="9"/>
  <c r="L72" i="7"/>
  <c r="E142" i="3"/>
  <c r="E142" i="28" s="1"/>
  <c r="O187" i="4"/>
  <c r="H169" i="4"/>
  <c r="E11" i="9"/>
  <c r="E11" i="7"/>
  <c r="N29" i="9"/>
  <c r="N29" i="7"/>
  <c r="N29" i="4"/>
  <c r="K27" i="9"/>
  <c r="K27" i="7"/>
  <c r="K27" i="4"/>
  <c r="H25" i="9"/>
  <c r="H25" i="7"/>
  <c r="H25" i="4"/>
  <c r="E23" i="9"/>
  <c r="E23" i="7"/>
  <c r="E23" i="4"/>
  <c r="O19" i="9"/>
  <c r="O19" i="7"/>
  <c r="O19" i="4"/>
  <c r="L17" i="9"/>
  <c r="L17" i="7"/>
  <c r="L17" i="4"/>
  <c r="I15" i="9"/>
  <c r="I15" i="7"/>
  <c r="I15" i="4"/>
  <c r="F13" i="9"/>
  <c r="F13" i="7"/>
  <c r="F13" i="4"/>
  <c r="C63" i="9"/>
  <c r="C63" i="7"/>
  <c r="C63" i="4"/>
  <c r="C64" i="3"/>
  <c r="C64" i="28" s="1"/>
  <c r="M59" i="9"/>
  <c r="M59" i="7"/>
  <c r="M59" i="4"/>
  <c r="M60" i="3"/>
  <c r="M60" i="28" s="1"/>
  <c r="J57" i="9"/>
  <c r="J57" i="7"/>
  <c r="J57" i="4"/>
  <c r="J58" i="3"/>
  <c r="J58" i="28" s="1"/>
  <c r="G55" i="9"/>
  <c r="G55" i="7"/>
  <c r="G55" i="4"/>
  <c r="G56" i="3"/>
  <c r="G56" i="28" s="1"/>
  <c r="D53" i="9"/>
  <c r="D53" i="7"/>
  <c r="D53" i="4"/>
  <c r="D54" i="3"/>
  <c r="D54" i="28" s="1"/>
  <c r="N49" i="9"/>
  <c r="N49" i="7"/>
  <c r="N49" i="4"/>
  <c r="N50" i="3"/>
  <c r="K47" i="7"/>
  <c r="K47" i="9"/>
  <c r="K47" i="4"/>
  <c r="K48" i="3"/>
  <c r="K48" i="28" s="1"/>
  <c r="H45" i="9"/>
  <c r="H45" i="7"/>
  <c r="H45" i="4"/>
  <c r="H46" i="3"/>
  <c r="H46" i="28" s="1"/>
  <c r="E43" i="9"/>
  <c r="E43" i="7"/>
  <c r="E43" i="4"/>
  <c r="E44" i="3"/>
  <c r="E44" i="28" s="1"/>
  <c r="O39" i="9"/>
  <c r="O39" i="7"/>
  <c r="O39" i="4"/>
  <c r="O40" i="3"/>
  <c r="L37" i="9"/>
  <c r="L37" i="7"/>
  <c r="L37" i="4"/>
  <c r="L38" i="3"/>
  <c r="L38" i="28" s="1"/>
  <c r="I35" i="9"/>
  <c r="I35" i="7"/>
  <c r="I36" i="3"/>
  <c r="I36" i="28" s="1"/>
  <c r="F33" i="9"/>
  <c r="F33" i="7"/>
  <c r="F33" i="4"/>
  <c r="F34" i="3"/>
  <c r="F34" i="28" s="1"/>
  <c r="C95" i="9"/>
  <c r="C95" i="7"/>
  <c r="C95" i="4"/>
  <c r="C96" i="3"/>
  <c r="C96" i="28" s="1"/>
  <c r="M91" i="9"/>
  <c r="M91" i="7"/>
  <c r="M92" i="3"/>
  <c r="M92" i="28" s="1"/>
  <c r="J89" i="9"/>
  <c r="J89" i="7"/>
  <c r="J89" i="4"/>
  <c r="J90" i="3"/>
  <c r="J90" i="28" s="1"/>
  <c r="G87" i="9"/>
  <c r="G87" i="7"/>
  <c r="G87" i="4"/>
  <c r="G88" i="3"/>
  <c r="G88" i="28" s="1"/>
  <c r="D85" i="9"/>
  <c r="D85" i="7"/>
  <c r="D86" i="3"/>
  <c r="D86" i="28" s="1"/>
  <c r="N81" i="9"/>
  <c r="N81" i="4"/>
  <c r="N81" i="7"/>
  <c r="N82" i="3"/>
  <c r="K77" i="9"/>
  <c r="K77" i="7"/>
  <c r="K77" i="4"/>
  <c r="K78" i="3"/>
  <c r="K78" i="28" s="1"/>
  <c r="H75" i="9"/>
  <c r="H75" i="7"/>
  <c r="H75" i="4"/>
  <c r="H76" i="3"/>
  <c r="H76" i="28" s="1"/>
  <c r="E73" i="9"/>
  <c r="E73" i="7"/>
  <c r="E73" i="4"/>
  <c r="E74" i="3"/>
  <c r="E74" i="28" s="1"/>
  <c r="O69" i="9"/>
  <c r="O69" i="7"/>
  <c r="O69" i="4"/>
  <c r="O70" i="3"/>
  <c r="L67" i="7"/>
  <c r="L67" i="9"/>
  <c r="L67" i="4"/>
  <c r="L68" i="3"/>
  <c r="L68" i="28" s="1"/>
  <c r="I65" i="9"/>
  <c r="I65" i="7"/>
  <c r="I65" i="4"/>
  <c r="I66" i="3"/>
  <c r="I66" i="28" s="1"/>
  <c r="F117" i="9"/>
  <c r="F117" i="7"/>
  <c r="F118" i="3"/>
  <c r="F118" i="28" s="1"/>
  <c r="C115" i="9"/>
  <c r="C115" i="7"/>
  <c r="C116" i="3"/>
  <c r="C116" i="28" s="1"/>
  <c r="C115" i="4"/>
  <c r="M111" i="7"/>
  <c r="M111" i="9"/>
  <c r="M111" i="4"/>
  <c r="M112" i="3"/>
  <c r="M112" i="28" s="1"/>
  <c r="J109" i="9"/>
  <c r="J109" i="7"/>
  <c r="J110" i="3"/>
  <c r="J110" i="28" s="1"/>
  <c r="J109" i="4"/>
  <c r="G107" i="7"/>
  <c r="G107" i="9"/>
  <c r="G108" i="3"/>
  <c r="G108" i="28" s="1"/>
  <c r="D105" i="9"/>
  <c r="D105" i="7"/>
  <c r="D105" i="4"/>
  <c r="D106" i="3"/>
  <c r="D106" i="28" s="1"/>
  <c r="N101" i="9"/>
  <c r="N101" i="7"/>
  <c r="N101" i="4"/>
  <c r="N102" i="3"/>
  <c r="K99" i="9"/>
  <c r="K99" i="7"/>
  <c r="K99" i="4"/>
  <c r="K100" i="3"/>
  <c r="K100" i="28" s="1"/>
  <c r="H97" i="9"/>
  <c r="H97" i="7"/>
  <c r="H97" i="4"/>
  <c r="H98" i="3"/>
  <c r="H98" i="28" s="1"/>
  <c r="E145" i="9"/>
  <c r="E145" i="7"/>
  <c r="E145" i="4"/>
  <c r="O141" i="9"/>
  <c r="O141" i="7"/>
  <c r="O141" i="4"/>
  <c r="L139" i="9"/>
  <c r="L139" i="7"/>
  <c r="I137" i="9"/>
  <c r="I137" i="7"/>
  <c r="I137" i="4"/>
  <c r="F135" i="9"/>
  <c r="F135" i="7"/>
  <c r="F135" i="4"/>
  <c r="C133" i="9"/>
  <c r="C133" i="7"/>
  <c r="C133" i="4"/>
  <c r="J127" i="9"/>
  <c r="J127" i="7"/>
  <c r="J127" i="4"/>
  <c r="G125" i="9"/>
  <c r="G125" i="7"/>
  <c r="D123" i="9"/>
  <c r="D123" i="7"/>
  <c r="D123" i="4"/>
  <c r="N119" i="9"/>
  <c r="N119" i="7"/>
  <c r="K175" i="9"/>
  <c r="K176" i="3"/>
  <c r="K176" i="28" s="1"/>
  <c r="K175" i="7"/>
  <c r="H173" i="9"/>
  <c r="H173" i="7"/>
  <c r="H174" i="3"/>
  <c r="H174" i="28" s="1"/>
  <c r="H173" i="4"/>
  <c r="E171" i="9"/>
  <c r="E171" i="7"/>
  <c r="O167" i="9"/>
  <c r="O167" i="7"/>
  <c r="O167" i="4"/>
  <c r="O168" i="3"/>
  <c r="L165" i="9"/>
  <c r="L165" i="4"/>
  <c r="L166" i="3"/>
  <c r="L166" i="28" s="1"/>
  <c r="I163" i="9"/>
  <c r="I163" i="4"/>
  <c r="F161" i="9"/>
  <c r="F161" i="4"/>
  <c r="F161" i="7"/>
  <c r="C159" i="9"/>
  <c r="C159" i="7"/>
  <c r="C159" i="4"/>
  <c r="M153" i="9"/>
  <c r="M153" i="7"/>
  <c r="M153" i="4"/>
  <c r="M154" i="3"/>
  <c r="M154" i="28" s="1"/>
  <c r="J151" i="9"/>
  <c r="J151" i="7"/>
  <c r="J152" i="3"/>
  <c r="J152" i="28" s="1"/>
  <c r="G149" i="9"/>
  <c r="G149" i="4"/>
  <c r="G150" i="3"/>
  <c r="G150" i="28" s="1"/>
  <c r="D147" i="9"/>
  <c r="D147" i="7"/>
  <c r="D147" i="4"/>
  <c r="D148" i="3"/>
  <c r="D148" i="28" s="1"/>
  <c r="N203" i="9"/>
  <c r="N203" i="4"/>
  <c r="N203" i="7"/>
  <c r="N204" i="3"/>
  <c r="K201" i="9"/>
  <c r="K201" i="7"/>
  <c r="K202" i="3"/>
  <c r="K202" i="28" s="1"/>
  <c r="H199" i="9"/>
  <c r="H199" i="7"/>
  <c r="H199" i="4"/>
  <c r="E197" i="9"/>
  <c r="E197" i="7"/>
  <c r="E198" i="3"/>
  <c r="E198" i="28" s="1"/>
  <c r="E197" i="4"/>
  <c r="O191" i="9"/>
  <c r="O192" i="3"/>
  <c r="O191" i="4"/>
  <c r="L189" i="9"/>
  <c r="L189" i="7"/>
  <c r="I187" i="9"/>
  <c r="I187" i="7"/>
  <c r="I188" i="3"/>
  <c r="I188" i="28" s="1"/>
  <c r="I187" i="4"/>
  <c r="F185" i="9"/>
  <c r="F185" i="7"/>
  <c r="F185" i="4"/>
  <c r="F186" i="3"/>
  <c r="F186" i="28" s="1"/>
  <c r="C183" i="9"/>
  <c r="C183" i="7"/>
  <c r="C183" i="4"/>
  <c r="C184" i="3"/>
  <c r="C184" i="28" s="1"/>
  <c r="M179" i="9"/>
  <c r="M179" i="7"/>
  <c r="M179" i="4"/>
  <c r="J177" i="9"/>
  <c r="J177" i="7"/>
  <c r="J177" i="4"/>
  <c r="G225" i="9"/>
  <c r="G226" i="3"/>
  <c r="G226" i="28" s="1"/>
  <c r="G225" i="7"/>
  <c r="G225" i="4"/>
  <c r="D223" i="9"/>
  <c r="D224" i="3"/>
  <c r="D224" i="28" s="1"/>
  <c r="D223" i="7"/>
  <c r="N219" i="9"/>
  <c r="N220" i="3"/>
  <c r="N219" i="7"/>
  <c r="K217" i="9"/>
  <c r="K218" i="3"/>
  <c r="K218" i="28" s="1"/>
  <c r="K217" i="4"/>
  <c r="K217" i="7"/>
  <c r="H215" i="9"/>
  <c r="H215" i="7"/>
  <c r="H216" i="3"/>
  <c r="H216" i="28" s="1"/>
  <c r="H215" i="4"/>
  <c r="E213" i="9"/>
  <c r="E213" i="7"/>
  <c r="E214" i="3"/>
  <c r="E214" i="28" s="1"/>
  <c r="O209" i="9"/>
  <c r="O209" i="7"/>
  <c r="O210" i="3"/>
  <c r="O209" i="4"/>
  <c r="L207" i="9"/>
  <c r="L207" i="7"/>
  <c r="L208" i="3"/>
  <c r="L208" i="28" s="1"/>
  <c r="I239" i="9"/>
  <c r="I239" i="7"/>
  <c r="I240" i="3"/>
  <c r="I239" i="4"/>
  <c r="F237" i="9"/>
  <c r="F237" i="7"/>
  <c r="F238" i="3"/>
  <c r="F238" i="28" s="1"/>
  <c r="C235" i="9"/>
  <c r="C235" i="7"/>
  <c r="C236" i="3"/>
  <c r="C236" i="28" s="1"/>
  <c r="M231" i="9"/>
  <c r="M231" i="7"/>
  <c r="M232" i="3"/>
  <c r="M232" i="28" s="1"/>
  <c r="M231" i="4"/>
  <c r="J229" i="9"/>
  <c r="J229" i="7"/>
  <c r="J230" i="3"/>
  <c r="J230" i="28" s="1"/>
  <c r="J229" i="4"/>
  <c r="G227" i="9"/>
  <c r="G228" i="3"/>
  <c r="G228" i="28" s="1"/>
  <c r="G227" i="4"/>
  <c r="E16" i="3"/>
  <c r="E16" i="28" s="1"/>
  <c r="K20" i="3"/>
  <c r="K20" i="28" s="1"/>
  <c r="D26" i="3"/>
  <c r="D26" i="28" s="1"/>
  <c r="J30" i="3"/>
  <c r="J30" i="28" s="1"/>
  <c r="C36" i="3"/>
  <c r="C36" i="28" s="1"/>
  <c r="I40" i="3"/>
  <c r="I40" i="28" s="1"/>
  <c r="O44" i="3"/>
  <c r="H50" i="3"/>
  <c r="H50" i="28" s="1"/>
  <c r="N54" i="3"/>
  <c r="G60" i="3"/>
  <c r="G60" i="28" s="1"/>
  <c r="M64" i="3"/>
  <c r="M64" i="28" s="1"/>
  <c r="L74" i="4"/>
  <c r="L74" i="9"/>
  <c r="L74" i="7"/>
  <c r="E80" i="3"/>
  <c r="E80" i="28" s="1"/>
  <c r="K84" i="3"/>
  <c r="K84" i="28" s="1"/>
  <c r="D90" i="3"/>
  <c r="D90" i="28" s="1"/>
  <c r="J94" i="3"/>
  <c r="J94" i="28" s="1"/>
  <c r="I104" i="4"/>
  <c r="I104" i="9"/>
  <c r="O108" i="4"/>
  <c r="O108" i="9"/>
  <c r="O108" i="7"/>
  <c r="G124" i="3"/>
  <c r="G124" i="28" s="1"/>
  <c r="M128" i="3"/>
  <c r="M128" i="28" s="1"/>
  <c r="F134" i="3"/>
  <c r="F134" i="28" s="1"/>
  <c r="L138" i="3"/>
  <c r="L138" i="28" s="1"/>
  <c r="E144" i="3"/>
  <c r="E144" i="28" s="1"/>
  <c r="K157" i="9"/>
  <c r="K157" i="4"/>
  <c r="D160" i="9"/>
  <c r="D172" i="3"/>
  <c r="D172" i="28" s="1"/>
  <c r="H186" i="3"/>
  <c r="H186" i="28" s="1"/>
  <c r="N195" i="9"/>
  <c r="N195" i="4"/>
  <c r="N196" i="3"/>
  <c r="D237" i="4"/>
  <c r="F225" i="4"/>
  <c r="D219" i="4"/>
  <c r="C213" i="4"/>
  <c r="J175" i="4"/>
  <c r="E157" i="4"/>
  <c r="N148" i="4"/>
  <c r="J139" i="4"/>
  <c r="F131" i="4"/>
  <c r="O111" i="4"/>
  <c r="N97" i="4"/>
  <c r="K83" i="4"/>
  <c r="N47" i="4"/>
  <c r="K29" i="4"/>
  <c r="D198" i="3"/>
  <c r="D198" i="28" s="1"/>
  <c r="H185" i="7"/>
  <c r="O137" i="7"/>
  <c r="K55" i="7"/>
  <c r="I75" i="9"/>
  <c r="I75" i="7"/>
  <c r="I75" i="4"/>
  <c r="F73" i="9"/>
  <c r="F73" i="7"/>
  <c r="F73" i="4"/>
  <c r="C71" i="9"/>
  <c r="C71" i="7"/>
  <c r="C71" i="4"/>
  <c r="M67" i="9"/>
  <c r="M67" i="7"/>
  <c r="M67" i="4"/>
  <c r="J65" i="9"/>
  <c r="J65" i="7"/>
  <c r="J65" i="4"/>
  <c r="G117" i="9"/>
  <c r="G117" i="7"/>
  <c r="D115" i="9"/>
  <c r="D115" i="7"/>
  <c r="N111" i="9"/>
  <c r="N111" i="7"/>
  <c r="N111" i="4"/>
  <c r="K109" i="9"/>
  <c r="K109" i="7"/>
  <c r="H107" i="9"/>
  <c r="H107" i="7"/>
  <c r="E105" i="9"/>
  <c r="E105" i="7"/>
  <c r="E105" i="4"/>
  <c r="O101" i="9"/>
  <c r="O101" i="7"/>
  <c r="L99" i="9"/>
  <c r="L99" i="7"/>
  <c r="I97" i="9"/>
  <c r="I97" i="7"/>
  <c r="I97" i="4"/>
  <c r="F145" i="9"/>
  <c r="F145" i="7"/>
  <c r="C143" i="9"/>
  <c r="C143" i="7"/>
  <c r="M139" i="9"/>
  <c r="M139" i="7"/>
  <c r="M139" i="4"/>
  <c r="J137" i="9"/>
  <c r="J137" i="7"/>
  <c r="G135" i="9"/>
  <c r="G135" i="7"/>
  <c r="G135" i="4"/>
  <c r="D133" i="9"/>
  <c r="D133" i="7"/>
  <c r="D133" i="4"/>
  <c r="N129" i="9"/>
  <c r="N129" i="7"/>
  <c r="N129" i="4"/>
  <c r="K127" i="9"/>
  <c r="K127" i="7"/>
  <c r="K127" i="4"/>
  <c r="H125" i="9"/>
  <c r="H125" i="7"/>
  <c r="H125" i="4"/>
  <c r="E123" i="9"/>
  <c r="E123" i="7"/>
  <c r="O119" i="9"/>
  <c r="O119" i="7"/>
  <c r="I173" i="9"/>
  <c r="I173" i="7"/>
  <c r="F171" i="9"/>
  <c r="F171" i="7"/>
  <c r="C169" i="9"/>
  <c r="C169" i="7"/>
  <c r="M165" i="9"/>
  <c r="M165" i="7"/>
  <c r="G161" i="9"/>
  <c r="G161" i="7"/>
  <c r="G161" i="4"/>
  <c r="D159" i="9"/>
  <c r="D159" i="7"/>
  <c r="D159" i="4"/>
  <c r="N153" i="9"/>
  <c r="N153" i="4"/>
  <c r="H149" i="9"/>
  <c r="H149" i="7"/>
  <c r="E147" i="7"/>
  <c r="E147" i="9"/>
  <c r="O203" i="9"/>
  <c r="O203" i="4"/>
  <c r="O203" i="7"/>
  <c r="L201" i="9"/>
  <c r="L201" i="7"/>
  <c r="L202" i="3"/>
  <c r="L202" i="28" s="1"/>
  <c r="L201" i="4"/>
  <c r="I199" i="9"/>
  <c r="I199" i="7"/>
  <c r="I199" i="4"/>
  <c r="F197" i="9"/>
  <c r="F197" i="7"/>
  <c r="F198" i="3"/>
  <c r="F198" i="28" s="1"/>
  <c r="M189" i="9"/>
  <c r="M189" i="7"/>
  <c r="J187" i="9"/>
  <c r="J187" i="7"/>
  <c r="D183" i="9"/>
  <c r="D183" i="4"/>
  <c r="N179" i="9"/>
  <c r="N179" i="4"/>
  <c r="N179" i="7"/>
  <c r="K177" i="7"/>
  <c r="K177" i="9"/>
  <c r="K177" i="4"/>
  <c r="H225" i="9"/>
  <c r="H226" i="3"/>
  <c r="H226" i="28" s="1"/>
  <c r="H225" i="7"/>
  <c r="E223" i="9"/>
  <c r="E224" i="3"/>
  <c r="E224" i="28" s="1"/>
  <c r="E223" i="7"/>
  <c r="O219" i="9"/>
  <c r="O220" i="3"/>
  <c r="O219" i="7"/>
  <c r="L217" i="9"/>
  <c r="L217" i="7"/>
  <c r="L218" i="3"/>
  <c r="L218" i="28" s="1"/>
  <c r="L217" i="4"/>
  <c r="I215" i="9"/>
  <c r="I215" i="7"/>
  <c r="I216" i="3"/>
  <c r="I216" i="28" s="1"/>
  <c r="F213" i="9"/>
  <c r="F213" i="7"/>
  <c r="F214" i="3"/>
  <c r="F214" i="28" s="1"/>
  <c r="F213" i="4"/>
  <c r="C211" i="9"/>
  <c r="C211" i="7"/>
  <c r="C212" i="3"/>
  <c r="C212" i="28" s="1"/>
  <c r="M207" i="9"/>
  <c r="M208" i="3"/>
  <c r="M208" i="28" s="1"/>
  <c r="M207" i="7"/>
  <c r="J239" i="9"/>
  <c r="J239" i="7"/>
  <c r="J240" i="3"/>
  <c r="J239" i="4"/>
  <c r="G237" i="9"/>
  <c r="G237" i="7"/>
  <c r="G237" i="4"/>
  <c r="G238" i="3"/>
  <c r="G238" i="28" s="1"/>
  <c r="D235" i="9"/>
  <c r="D235" i="7"/>
  <c r="D236" i="3"/>
  <c r="D236" i="28" s="1"/>
  <c r="N231" i="9"/>
  <c r="N232" i="3"/>
  <c r="N231" i="7"/>
  <c r="N231" i="4"/>
  <c r="K229" i="9"/>
  <c r="K230" i="3"/>
  <c r="K230" i="28" s="1"/>
  <c r="H227" i="9"/>
  <c r="H228" i="3"/>
  <c r="H228" i="28" s="1"/>
  <c r="H227" i="4"/>
  <c r="G70" i="3"/>
  <c r="G70" i="28" s="1"/>
  <c r="I114" i="3"/>
  <c r="I114" i="28" s="1"/>
  <c r="O118" i="3"/>
  <c r="E154" i="3"/>
  <c r="E154" i="28" s="1"/>
  <c r="G157" i="9"/>
  <c r="G157" i="7"/>
  <c r="G162" i="3"/>
  <c r="G162" i="28" s="1"/>
  <c r="J194" i="3"/>
  <c r="J194" i="28" s="1"/>
  <c r="K196" i="3"/>
  <c r="K196" i="28" s="1"/>
  <c r="G231" i="4"/>
  <c r="E219" i="4"/>
  <c r="O215" i="4"/>
  <c r="L197" i="4"/>
  <c r="E165" i="4"/>
  <c r="L155" i="4"/>
  <c r="K151" i="4"/>
  <c r="K115" i="4"/>
  <c r="N73" i="4"/>
  <c r="G209" i="7"/>
  <c r="K195" i="7"/>
  <c r="N185" i="7"/>
  <c r="D87" i="9"/>
  <c r="D87" i="7"/>
  <c r="D87" i="4"/>
  <c r="N83" i="7"/>
  <c r="N83" i="9"/>
  <c r="N83" i="4"/>
  <c r="K81" i="9"/>
  <c r="K81" i="7"/>
  <c r="H77" i="9"/>
  <c r="H77" i="7"/>
  <c r="H77" i="4"/>
  <c r="E75" i="9"/>
  <c r="E75" i="7"/>
  <c r="E75" i="4"/>
  <c r="O71" i="9"/>
  <c r="O71" i="7"/>
  <c r="L69" i="9"/>
  <c r="L69" i="7"/>
  <c r="I67" i="9"/>
  <c r="I67" i="7"/>
  <c r="F65" i="9"/>
  <c r="F65" i="7"/>
  <c r="C117" i="9"/>
  <c r="C117" i="7"/>
  <c r="C117" i="4"/>
  <c r="M113" i="9"/>
  <c r="M113" i="7"/>
  <c r="M113" i="4"/>
  <c r="J111" i="9"/>
  <c r="J111" i="7"/>
  <c r="J111" i="4"/>
  <c r="G109" i="9"/>
  <c r="G109" i="4"/>
  <c r="D107" i="9"/>
  <c r="D107" i="7"/>
  <c r="D107" i="4"/>
  <c r="N103" i="9"/>
  <c r="N103" i="7"/>
  <c r="N103" i="4"/>
  <c r="K101" i="9"/>
  <c r="K101" i="4"/>
  <c r="K101" i="7"/>
  <c r="H99" i="9"/>
  <c r="H99" i="7"/>
  <c r="E97" i="9"/>
  <c r="E97" i="7"/>
  <c r="O143" i="9"/>
  <c r="O143" i="7"/>
  <c r="L141" i="9"/>
  <c r="L141" i="7"/>
  <c r="I139" i="9"/>
  <c r="I139" i="7"/>
  <c r="I139" i="4"/>
  <c r="F137" i="9"/>
  <c r="F137" i="4"/>
  <c r="F137" i="7"/>
  <c r="C135" i="9"/>
  <c r="C135" i="7"/>
  <c r="C135" i="4"/>
  <c r="M131" i="9"/>
  <c r="M131" i="7"/>
  <c r="J129" i="9"/>
  <c r="J129" i="7"/>
  <c r="G127" i="9"/>
  <c r="G127" i="7"/>
  <c r="D125" i="9"/>
  <c r="D125" i="7"/>
  <c r="N121" i="9"/>
  <c r="N121" i="7"/>
  <c r="N121" i="4"/>
  <c r="K119" i="9"/>
  <c r="K119" i="7"/>
  <c r="H175" i="9"/>
  <c r="H175" i="7"/>
  <c r="H175" i="4"/>
  <c r="E173" i="9"/>
  <c r="E173" i="7"/>
  <c r="E173" i="4"/>
  <c r="O169" i="9"/>
  <c r="O169" i="4"/>
  <c r="L167" i="9"/>
  <c r="L167" i="4"/>
  <c r="L167" i="7"/>
  <c r="I165" i="9"/>
  <c r="I165" i="7"/>
  <c r="I165" i="4"/>
  <c r="F163" i="7"/>
  <c r="F163" i="9"/>
  <c r="F163" i="4"/>
  <c r="C161" i="9"/>
  <c r="C161" i="7"/>
  <c r="M155" i="9"/>
  <c r="M155" i="7"/>
  <c r="J153" i="9"/>
  <c r="J153" i="7"/>
  <c r="G151" i="9"/>
  <c r="G151" i="7"/>
  <c r="G151" i="4"/>
  <c r="D149" i="9"/>
  <c r="D149" i="7"/>
  <c r="D149" i="4"/>
  <c r="N205" i="9"/>
  <c r="N205" i="7"/>
  <c r="N205" i="4"/>
  <c r="K203" i="9"/>
  <c r="K203" i="7"/>
  <c r="K204" i="3"/>
  <c r="K204" i="28" s="1"/>
  <c r="H201" i="9"/>
  <c r="H201" i="7"/>
  <c r="H201" i="4"/>
  <c r="E199" i="9"/>
  <c r="E200" i="3"/>
  <c r="E200" i="28" s="1"/>
  <c r="E199" i="7"/>
  <c r="O193" i="9"/>
  <c r="O193" i="7"/>
  <c r="O194" i="3"/>
  <c r="O193" i="4"/>
  <c r="L191" i="9"/>
  <c r="L191" i="7"/>
  <c r="L192" i="3"/>
  <c r="L192" i="28" s="1"/>
  <c r="L191" i="4"/>
  <c r="I189" i="9"/>
  <c r="I190" i="3"/>
  <c r="I190" i="28" s="1"/>
  <c r="I189" i="4"/>
  <c r="F187" i="9"/>
  <c r="F187" i="7"/>
  <c r="F188" i="3"/>
  <c r="F188" i="28" s="1"/>
  <c r="F187" i="4"/>
  <c r="C185" i="9"/>
  <c r="C185" i="7"/>
  <c r="C186" i="3"/>
  <c r="C186" i="28" s="1"/>
  <c r="C185" i="4"/>
  <c r="M181" i="9"/>
  <c r="M181" i="7"/>
  <c r="M181" i="4"/>
  <c r="M182" i="3"/>
  <c r="M182" i="28" s="1"/>
  <c r="J179" i="9"/>
  <c r="J179" i="4"/>
  <c r="J180" i="3"/>
  <c r="J180" i="28" s="1"/>
  <c r="J179" i="7"/>
  <c r="G177" i="9"/>
  <c r="G177" i="7"/>
  <c r="G177" i="4"/>
  <c r="G178" i="3"/>
  <c r="G178" i="28" s="1"/>
  <c r="D225" i="9"/>
  <c r="D226" i="3"/>
  <c r="D226" i="28" s="1"/>
  <c r="N221" i="9"/>
  <c r="N221" i="7"/>
  <c r="N222" i="3"/>
  <c r="K219" i="9"/>
  <c r="K219" i="7"/>
  <c r="K219" i="4"/>
  <c r="K220" i="3"/>
  <c r="K220" i="28" s="1"/>
  <c r="H217" i="9"/>
  <c r="H217" i="7"/>
  <c r="H218" i="3"/>
  <c r="H218" i="28" s="1"/>
  <c r="E215" i="9"/>
  <c r="E215" i="7"/>
  <c r="E215" i="4"/>
  <c r="E216" i="3"/>
  <c r="E216" i="28" s="1"/>
  <c r="O211" i="9"/>
  <c r="O212" i="3"/>
  <c r="O211" i="4"/>
  <c r="L209" i="9"/>
  <c r="L209" i="7"/>
  <c r="L210" i="3"/>
  <c r="L210" i="28" s="1"/>
  <c r="I207" i="9"/>
  <c r="I207" i="7"/>
  <c r="I208" i="3"/>
  <c r="I208" i="28" s="1"/>
  <c r="I207" i="4"/>
  <c r="F239" i="9"/>
  <c r="F240" i="3"/>
  <c r="F239" i="4"/>
  <c r="C237" i="9"/>
  <c r="C238" i="3"/>
  <c r="C238" i="28" s="1"/>
  <c r="M233" i="9"/>
  <c r="M233" i="7"/>
  <c r="M234" i="3"/>
  <c r="M234" i="28" s="1"/>
  <c r="M233" i="4"/>
  <c r="J231" i="9"/>
  <c r="J231" i="7"/>
  <c r="J232" i="3"/>
  <c r="J232" i="28" s="1"/>
  <c r="J231" i="4"/>
  <c r="G229" i="9"/>
  <c r="G229" i="7"/>
  <c r="G230" i="3"/>
  <c r="G230" i="28" s="1"/>
  <c r="G229" i="4"/>
  <c r="D227" i="9"/>
  <c r="D227" i="7"/>
  <c r="D228" i="3"/>
  <c r="D228" i="28" s="1"/>
  <c r="D227" i="4"/>
  <c r="N79" i="9"/>
  <c r="N79" i="7"/>
  <c r="N79" i="4"/>
  <c r="E98" i="3"/>
  <c r="E98" i="28" s="1"/>
  <c r="H100" i="3"/>
  <c r="H100" i="28" s="1"/>
  <c r="K102" i="3"/>
  <c r="K102" i="28" s="1"/>
  <c r="N104" i="3"/>
  <c r="D108" i="3"/>
  <c r="D108" i="28" s="1"/>
  <c r="G110" i="3"/>
  <c r="G110" i="28" s="1"/>
  <c r="J112" i="3"/>
  <c r="J112" i="28" s="1"/>
  <c r="M114" i="3"/>
  <c r="M114" i="28" s="1"/>
  <c r="C118" i="3"/>
  <c r="C118" i="28" s="1"/>
  <c r="L124" i="3"/>
  <c r="L124" i="28" s="1"/>
  <c r="E130" i="3"/>
  <c r="E130" i="28" s="1"/>
  <c r="K134" i="3"/>
  <c r="K134" i="28" s="1"/>
  <c r="J144" i="3"/>
  <c r="J144" i="28" s="1"/>
  <c r="C157" i="9"/>
  <c r="C157" i="7"/>
  <c r="C157" i="4"/>
  <c r="F172" i="3"/>
  <c r="F172" i="28" s="1"/>
  <c r="L195" i="9"/>
  <c r="L195" i="7"/>
  <c r="K221" i="4"/>
  <c r="I215" i="4"/>
  <c r="F203" i="4"/>
  <c r="F197" i="4"/>
  <c r="C193" i="4"/>
  <c r="J187" i="4"/>
  <c r="I173" i="4"/>
  <c r="C169" i="4"/>
  <c r="J159" i="4"/>
  <c r="K133" i="4"/>
  <c r="F129" i="4"/>
  <c r="N123" i="4"/>
  <c r="K119" i="4"/>
  <c r="H202" i="3"/>
  <c r="H202" i="28" s="1"/>
  <c r="I189" i="7"/>
  <c r="O169" i="7"/>
  <c r="F165" i="9"/>
  <c r="M83" i="7"/>
  <c r="M83" i="9"/>
  <c r="J81" i="9"/>
  <c r="J81" i="7"/>
  <c r="G77" i="9"/>
  <c r="G77" i="7"/>
  <c r="D75" i="9"/>
  <c r="D75" i="7"/>
  <c r="D75" i="4"/>
  <c r="N71" i="9"/>
  <c r="N71" i="7"/>
  <c r="K69" i="9"/>
  <c r="K69" i="7"/>
  <c r="H67" i="9"/>
  <c r="H67" i="7"/>
  <c r="H67" i="4"/>
  <c r="E65" i="9"/>
  <c r="E65" i="7"/>
  <c r="O115" i="9"/>
  <c r="O115" i="7"/>
  <c r="O115" i="4"/>
  <c r="L113" i="9"/>
  <c r="L113" i="7"/>
  <c r="L113" i="4"/>
  <c r="I111" i="9"/>
  <c r="I111" i="4"/>
  <c r="I111" i="7"/>
  <c r="F109" i="9"/>
  <c r="F109" i="7"/>
  <c r="F109" i="4"/>
  <c r="C107" i="9"/>
  <c r="C107" i="7"/>
  <c r="M103" i="9"/>
  <c r="M103" i="7"/>
  <c r="J101" i="9"/>
  <c r="J101" i="7"/>
  <c r="J101" i="4"/>
  <c r="G99" i="9"/>
  <c r="G99" i="7"/>
  <c r="G99" i="4"/>
  <c r="D97" i="9"/>
  <c r="D97" i="4"/>
  <c r="D97" i="7"/>
  <c r="N143" i="9"/>
  <c r="N143" i="7"/>
  <c r="K141" i="9"/>
  <c r="K141" i="7"/>
  <c r="H139" i="9"/>
  <c r="H139" i="7"/>
  <c r="H139" i="4"/>
  <c r="E137" i="9"/>
  <c r="E137" i="7"/>
  <c r="E137" i="4"/>
  <c r="O133" i="9"/>
  <c r="O133" i="7"/>
  <c r="L131" i="7"/>
  <c r="L131" i="9"/>
  <c r="I129" i="9"/>
  <c r="I129" i="7"/>
  <c r="F127" i="9"/>
  <c r="F127" i="7"/>
  <c r="C125" i="9"/>
  <c r="C125" i="7"/>
  <c r="M121" i="9"/>
  <c r="M121" i="7"/>
  <c r="M121" i="4"/>
  <c r="J119" i="9"/>
  <c r="J119" i="7"/>
  <c r="G175" i="9"/>
  <c r="G175" i="7"/>
  <c r="G175" i="4"/>
  <c r="D173" i="9"/>
  <c r="D173" i="7"/>
  <c r="D173" i="4"/>
  <c r="N169" i="9"/>
  <c r="N169" i="4"/>
  <c r="K167" i="9"/>
  <c r="K167" i="7"/>
  <c r="K167" i="4"/>
  <c r="H165" i="9"/>
  <c r="H165" i="7"/>
  <c r="H165" i="4"/>
  <c r="E163" i="9"/>
  <c r="E163" i="7"/>
  <c r="E163" i="4"/>
  <c r="O159" i="9"/>
  <c r="O159" i="7"/>
  <c r="L155" i="9"/>
  <c r="L155" i="7"/>
  <c r="I153" i="9"/>
  <c r="I153" i="7"/>
  <c r="F151" i="9"/>
  <c r="F151" i="7"/>
  <c r="F151" i="4"/>
  <c r="C149" i="9"/>
  <c r="C149" i="7"/>
  <c r="M205" i="9"/>
  <c r="M206" i="3"/>
  <c r="M206" i="28" s="1"/>
  <c r="M205" i="7"/>
  <c r="M205" i="4"/>
  <c r="J203" i="9"/>
  <c r="J204" i="3"/>
  <c r="J204" i="28" s="1"/>
  <c r="J203" i="7"/>
  <c r="G201" i="9"/>
  <c r="G202" i="3"/>
  <c r="G202" i="28" s="1"/>
  <c r="G201" i="7"/>
  <c r="G201" i="4"/>
  <c r="D199" i="9"/>
  <c r="D200" i="3"/>
  <c r="D200" i="28" s="1"/>
  <c r="D199" i="7"/>
  <c r="N193" i="9"/>
  <c r="N193" i="7"/>
  <c r="N194" i="3"/>
  <c r="N193" i="4"/>
  <c r="K191" i="9"/>
  <c r="K191" i="7"/>
  <c r="K192" i="3"/>
  <c r="K192" i="28" s="1"/>
  <c r="K191" i="4"/>
  <c r="H189" i="9"/>
  <c r="H190" i="3"/>
  <c r="H190" i="28" s="1"/>
  <c r="H189" i="4"/>
  <c r="E187" i="9"/>
  <c r="E187" i="7"/>
  <c r="E188" i="3"/>
  <c r="E188" i="28" s="1"/>
  <c r="E187" i="4"/>
  <c r="O183" i="9"/>
  <c r="O183" i="4"/>
  <c r="O184" i="3"/>
  <c r="L181" i="9"/>
  <c r="L181" i="4"/>
  <c r="L182" i="3"/>
  <c r="L182" i="28" s="1"/>
  <c r="L181" i="7"/>
  <c r="I179" i="9"/>
  <c r="I179" i="4"/>
  <c r="I180" i="3"/>
  <c r="I180" i="28" s="1"/>
  <c r="F177" i="9"/>
  <c r="F177" i="4"/>
  <c r="F178" i="3"/>
  <c r="F178" i="28" s="1"/>
  <c r="C225" i="9"/>
  <c r="C225" i="4"/>
  <c r="M221" i="9"/>
  <c r="M221" i="7"/>
  <c r="M222" i="3"/>
  <c r="M222" i="28" s="1"/>
  <c r="M221" i="4"/>
  <c r="J219" i="9"/>
  <c r="J219" i="7"/>
  <c r="J219" i="4"/>
  <c r="G217" i="9"/>
  <c r="G217" i="7"/>
  <c r="G218" i="3"/>
  <c r="G218" i="28" s="1"/>
  <c r="D215" i="9"/>
  <c r="D215" i="7"/>
  <c r="D215" i="4"/>
  <c r="N211" i="9"/>
  <c r="N212" i="3"/>
  <c r="N211" i="4"/>
  <c r="K209" i="9"/>
  <c r="K209" i="4"/>
  <c r="H207" i="9"/>
  <c r="H207" i="7"/>
  <c r="H207" i="4"/>
  <c r="H208" i="3"/>
  <c r="H208" i="28" s="1"/>
  <c r="E239" i="9"/>
  <c r="E239" i="4"/>
  <c r="E239" i="7"/>
  <c r="O235" i="9"/>
  <c r="O235" i="4"/>
  <c r="O235" i="7"/>
  <c r="O236" i="3"/>
  <c r="L233" i="9"/>
  <c r="L233" i="7"/>
  <c r="L233" i="4"/>
  <c r="I231" i="9"/>
  <c r="I231" i="7"/>
  <c r="I231" i="4"/>
  <c r="I232" i="3"/>
  <c r="I232" i="28" s="1"/>
  <c r="F229" i="9"/>
  <c r="F229" i="7"/>
  <c r="C227" i="9"/>
  <c r="C227" i="7"/>
  <c r="C227" i="4"/>
  <c r="C228" i="3"/>
  <c r="C228" i="28" s="1"/>
  <c r="M79" i="9"/>
  <c r="M79" i="7"/>
  <c r="F66" i="3"/>
  <c r="F66" i="28" s="1"/>
  <c r="I68" i="3"/>
  <c r="I68" i="28" s="1"/>
  <c r="L70" i="3"/>
  <c r="L70" i="28" s="1"/>
  <c r="O72" i="3"/>
  <c r="E76" i="3"/>
  <c r="E76" i="28" s="1"/>
  <c r="H78" i="3"/>
  <c r="H78" i="28" s="1"/>
  <c r="M124" i="3"/>
  <c r="M124" i="28" s="1"/>
  <c r="N146" i="3"/>
  <c r="D150" i="3"/>
  <c r="D150" i="28" s="1"/>
  <c r="G152" i="3"/>
  <c r="G152" i="28" s="1"/>
  <c r="J154" i="3"/>
  <c r="J154" i="28" s="1"/>
  <c r="M156" i="3"/>
  <c r="M156" i="28" s="1"/>
  <c r="H166" i="3"/>
  <c r="H166" i="28" s="1"/>
  <c r="D196" i="4"/>
  <c r="D196" i="9"/>
  <c r="D196" i="7"/>
  <c r="J221" i="4"/>
  <c r="O145" i="4"/>
  <c r="L141" i="4"/>
  <c r="J119" i="4"/>
  <c r="D115" i="4"/>
  <c r="K109" i="4"/>
  <c r="M79" i="4"/>
  <c r="O71" i="4"/>
  <c r="H189" i="7"/>
  <c r="O183" i="7"/>
  <c r="N169" i="7"/>
  <c r="K103" i="7"/>
  <c r="L83" i="7"/>
  <c r="L83" i="9"/>
  <c r="I81" i="9"/>
  <c r="I81" i="7"/>
  <c r="C75" i="9"/>
  <c r="C75" i="7"/>
  <c r="C75" i="4"/>
  <c r="M71" i="9"/>
  <c r="M71" i="7"/>
  <c r="M71" i="4"/>
  <c r="J69" i="9"/>
  <c r="J69" i="7"/>
  <c r="G67" i="9"/>
  <c r="G67" i="7"/>
  <c r="G67" i="4"/>
  <c r="D65" i="9"/>
  <c r="D65" i="4"/>
  <c r="N115" i="9"/>
  <c r="N115" i="7"/>
  <c r="N115" i="4"/>
  <c r="K113" i="9"/>
  <c r="K113" i="7"/>
  <c r="H111" i="9"/>
  <c r="H111" i="7"/>
  <c r="E109" i="9"/>
  <c r="E109" i="7"/>
  <c r="E109" i="4"/>
  <c r="O105" i="9"/>
  <c r="O105" i="7"/>
  <c r="L103" i="9"/>
  <c r="L103" i="7"/>
  <c r="I101" i="9"/>
  <c r="I101" i="4"/>
  <c r="I101" i="7"/>
  <c r="F99" i="9"/>
  <c r="F99" i="7"/>
  <c r="F99" i="4"/>
  <c r="C97" i="9"/>
  <c r="C97" i="4"/>
  <c r="C97" i="7"/>
  <c r="M143" i="9"/>
  <c r="M143" i="7"/>
  <c r="J141" i="9"/>
  <c r="J141" i="7"/>
  <c r="J141" i="4"/>
  <c r="G139" i="9"/>
  <c r="G139" i="7"/>
  <c r="G139" i="4"/>
  <c r="D137" i="9"/>
  <c r="D137" i="7"/>
  <c r="D137" i="4"/>
  <c r="K131" i="7"/>
  <c r="K131" i="9"/>
  <c r="H129" i="9"/>
  <c r="H129" i="7"/>
  <c r="H129" i="4"/>
  <c r="E127" i="9"/>
  <c r="E127" i="7"/>
  <c r="E127" i="4"/>
  <c r="O123" i="9"/>
  <c r="O123" i="7"/>
  <c r="O123" i="4"/>
  <c r="L121" i="9"/>
  <c r="L121" i="7"/>
  <c r="I119" i="9"/>
  <c r="I119" i="7"/>
  <c r="F175" i="9"/>
  <c r="F175" i="7"/>
  <c r="F175" i="4"/>
  <c r="C173" i="9"/>
  <c r="C173" i="7"/>
  <c r="C173" i="4"/>
  <c r="M169" i="9"/>
  <c r="M169" i="7"/>
  <c r="M169" i="4"/>
  <c r="J167" i="9"/>
  <c r="J167" i="7"/>
  <c r="J167" i="4"/>
  <c r="G165" i="7"/>
  <c r="G165" i="4"/>
  <c r="D163" i="9"/>
  <c r="D163" i="7"/>
  <c r="D163" i="4"/>
  <c r="N159" i="9"/>
  <c r="N159" i="7"/>
  <c r="K155" i="9"/>
  <c r="K155" i="7"/>
  <c r="H153" i="9"/>
  <c r="H153" i="7"/>
  <c r="E151" i="9"/>
  <c r="E151" i="7"/>
  <c r="O147" i="9"/>
  <c r="O147" i="7"/>
  <c r="O147" i="4"/>
  <c r="L205" i="9"/>
  <c r="L206" i="3"/>
  <c r="L206" i="28" s="1"/>
  <c r="L205" i="4"/>
  <c r="I203" i="9"/>
  <c r="I204" i="3"/>
  <c r="I204" i="28" s="1"/>
  <c r="I203" i="7"/>
  <c r="F201" i="9"/>
  <c r="F202" i="3"/>
  <c r="F202" i="28" s="1"/>
  <c r="F201" i="7"/>
  <c r="F201" i="4"/>
  <c r="C199" i="9"/>
  <c r="C200" i="3"/>
  <c r="C200" i="28" s="1"/>
  <c r="C199" i="7"/>
  <c r="C199" i="4"/>
  <c r="M193" i="9"/>
  <c r="M193" i="7"/>
  <c r="M193" i="4"/>
  <c r="M194" i="3"/>
  <c r="M194" i="28" s="1"/>
  <c r="J191" i="9"/>
  <c r="J191" i="7"/>
  <c r="J191" i="4"/>
  <c r="J192" i="3"/>
  <c r="J192" i="28" s="1"/>
  <c r="G189" i="9"/>
  <c r="G189" i="7"/>
  <c r="G189" i="4"/>
  <c r="G190" i="3"/>
  <c r="G190" i="28" s="1"/>
  <c r="D187" i="9"/>
  <c r="D187" i="7"/>
  <c r="D187" i="4"/>
  <c r="D188" i="3"/>
  <c r="D188" i="28" s="1"/>
  <c r="N183" i="9"/>
  <c r="N183" i="7"/>
  <c r="N184" i="3"/>
  <c r="K181" i="9"/>
  <c r="K181" i="7"/>
  <c r="K182" i="3"/>
  <c r="K182" i="28" s="1"/>
  <c r="H179" i="9"/>
  <c r="H179" i="7"/>
  <c r="H180" i="3"/>
  <c r="H180" i="28" s="1"/>
  <c r="E177" i="9"/>
  <c r="E178" i="3"/>
  <c r="E178" i="28" s="1"/>
  <c r="O223" i="9"/>
  <c r="O224" i="3"/>
  <c r="O223" i="4"/>
  <c r="L221" i="9"/>
  <c r="L222" i="3"/>
  <c r="L222" i="28" s="1"/>
  <c r="L221" i="4"/>
  <c r="I219" i="9"/>
  <c r="I219" i="7"/>
  <c r="I220" i="3"/>
  <c r="I220" i="28" s="1"/>
  <c r="I219" i="4"/>
  <c r="F217" i="9"/>
  <c r="F218" i="3"/>
  <c r="F218" i="28" s="1"/>
  <c r="F217" i="7"/>
  <c r="C215" i="9"/>
  <c r="C216" i="3"/>
  <c r="C216" i="28" s="1"/>
  <c r="C215" i="7"/>
  <c r="C215" i="4"/>
  <c r="M211" i="9"/>
  <c r="M212" i="3"/>
  <c r="M212" i="28" s="1"/>
  <c r="M211" i="4"/>
  <c r="M211" i="7"/>
  <c r="J209" i="9"/>
  <c r="J210" i="3"/>
  <c r="J210" i="28" s="1"/>
  <c r="J209" i="4"/>
  <c r="G207" i="9"/>
  <c r="G208" i="3"/>
  <c r="G208" i="28" s="1"/>
  <c r="G207" i="4"/>
  <c r="D239" i="9"/>
  <c r="D239" i="4"/>
  <c r="D239" i="7"/>
  <c r="N235" i="9"/>
  <c r="N235" i="4"/>
  <c r="N235" i="7"/>
  <c r="N236" i="3"/>
  <c r="K233" i="9"/>
  <c r="K233" i="7"/>
  <c r="H231" i="9"/>
  <c r="H231" i="7"/>
  <c r="H232" i="3"/>
  <c r="H232" i="28" s="1"/>
  <c r="E229" i="9"/>
  <c r="E229" i="7"/>
  <c r="L79" i="9"/>
  <c r="L79" i="7"/>
  <c r="L79" i="4"/>
  <c r="L80" i="3"/>
  <c r="L80" i="28" s="1"/>
  <c r="I166" i="3"/>
  <c r="I166" i="28" s="1"/>
  <c r="G176" i="3"/>
  <c r="G176" i="28" s="1"/>
  <c r="N186" i="3"/>
  <c r="J195" i="9"/>
  <c r="J195" i="7"/>
  <c r="I233" i="4"/>
  <c r="G209" i="4"/>
  <c r="J163" i="4"/>
  <c r="K141" i="4"/>
  <c r="J137" i="4"/>
  <c r="D129" i="4"/>
  <c r="L123" i="4"/>
  <c r="I119" i="4"/>
  <c r="O101" i="4"/>
  <c r="N71" i="4"/>
  <c r="I212" i="3"/>
  <c r="I212" i="28" s="1"/>
  <c r="O211" i="7"/>
  <c r="G207" i="7"/>
  <c r="L71" i="9"/>
  <c r="L71" i="7"/>
  <c r="L71" i="4"/>
  <c r="I69" i="9"/>
  <c r="I69" i="7"/>
  <c r="I69" i="4"/>
  <c r="F67" i="9"/>
  <c r="F67" i="7"/>
  <c r="F67" i="4"/>
  <c r="C65" i="9"/>
  <c r="C65" i="4"/>
  <c r="C65" i="7"/>
  <c r="M115" i="9"/>
  <c r="M115" i="7"/>
  <c r="M115" i="4"/>
  <c r="J113" i="9"/>
  <c r="J113" i="7"/>
  <c r="G111" i="9"/>
  <c r="G111" i="7"/>
  <c r="D109" i="9"/>
  <c r="D109" i="7"/>
  <c r="D109" i="4"/>
  <c r="N105" i="9"/>
  <c r="N105" i="7"/>
  <c r="H101" i="9"/>
  <c r="H101" i="4"/>
  <c r="E99" i="9"/>
  <c r="E99" i="7"/>
  <c r="O145" i="9"/>
  <c r="O145" i="7"/>
  <c r="L143" i="9"/>
  <c r="L143" i="7"/>
  <c r="L143" i="4"/>
  <c r="I141" i="9"/>
  <c r="I141" i="7"/>
  <c r="I141" i="4"/>
  <c r="F139" i="9"/>
  <c r="F139" i="7"/>
  <c r="F139" i="4"/>
  <c r="C137" i="9"/>
  <c r="C137" i="7"/>
  <c r="M133" i="9"/>
  <c r="M133" i="7"/>
  <c r="M133" i="4"/>
  <c r="J131" i="9"/>
  <c r="J131" i="7"/>
  <c r="J131" i="4"/>
  <c r="G129" i="9"/>
  <c r="G129" i="7"/>
  <c r="G129" i="4"/>
  <c r="D127" i="9"/>
  <c r="D127" i="7"/>
  <c r="D127" i="4"/>
  <c r="N123" i="9"/>
  <c r="N123" i="7"/>
  <c r="K121" i="9"/>
  <c r="K121" i="7"/>
  <c r="H119" i="9"/>
  <c r="H119" i="7"/>
  <c r="H119" i="4"/>
  <c r="E175" i="9"/>
  <c r="E175" i="7"/>
  <c r="E175" i="4"/>
  <c r="O171" i="9"/>
  <c r="O171" i="7"/>
  <c r="O171" i="4"/>
  <c r="L169" i="9"/>
  <c r="L169" i="7"/>
  <c r="L169" i="4"/>
  <c r="I167" i="9"/>
  <c r="I167" i="7"/>
  <c r="I167" i="4"/>
  <c r="C163" i="9"/>
  <c r="C163" i="7"/>
  <c r="J155" i="9"/>
  <c r="J155" i="7"/>
  <c r="G153" i="9"/>
  <c r="G153" i="7"/>
  <c r="D151" i="9"/>
  <c r="D151" i="7"/>
  <c r="N147" i="9"/>
  <c r="N147" i="7"/>
  <c r="N147" i="4"/>
  <c r="K205" i="9"/>
  <c r="K206" i="3"/>
  <c r="K206" i="28" s="1"/>
  <c r="K205" i="4"/>
  <c r="H203" i="9"/>
  <c r="H204" i="3"/>
  <c r="H204" i="28" s="1"/>
  <c r="H203" i="4"/>
  <c r="E201" i="9"/>
  <c r="E202" i="3"/>
  <c r="E202" i="28" s="1"/>
  <c r="E201" i="7"/>
  <c r="E201" i="4"/>
  <c r="O197" i="9"/>
  <c r="O198" i="3"/>
  <c r="O197" i="4"/>
  <c r="L193" i="9"/>
  <c r="L193" i="7"/>
  <c r="L193" i="4"/>
  <c r="L194" i="3"/>
  <c r="L194" i="28" s="1"/>
  <c r="I191" i="9"/>
  <c r="I191" i="7"/>
  <c r="I191" i="4"/>
  <c r="I192" i="3"/>
  <c r="I192" i="28" s="1"/>
  <c r="F189" i="9"/>
  <c r="F189" i="7"/>
  <c r="F189" i="4"/>
  <c r="F190" i="3"/>
  <c r="F190" i="28" s="1"/>
  <c r="C187" i="9"/>
  <c r="C187" i="7"/>
  <c r="C187" i="4"/>
  <c r="C188" i="3"/>
  <c r="C188" i="28" s="1"/>
  <c r="M183" i="9"/>
  <c r="M183" i="7"/>
  <c r="M184" i="3"/>
  <c r="M184" i="28" s="1"/>
  <c r="J181" i="9"/>
  <c r="J181" i="7"/>
  <c r="J182" i="3"/>
  <c r="J182" i="28" s="1"/>
  <c r="G179" i="9"/>
  <c r="G179" i="7"/>
  <c r="G180" i="3"/>
  <c r="G180" i="28" s="1"/>
  <c r="D177" i="9"/>
  <c r="D178" i="3"/>
  <c r="D178" i="28" s="1"/>
  <c r="N223" i="9"/>
  <c r="N224" i="3"/>
  <c r="N223" i="4"/>
  <c r="K221" i="9"/>
  <c r="K222" i="3"/>
  <c r="K222" i="28" s="1"/>
  <c r="H219" i="9"/>
  <c r="H220" i="3"/>
  <c r="H220" i="28" s="1"/>
  <c r="H219" i="4"/>
  <c r="E217" i="9"/>
  <c r="E217" i="7"/>
  <c r="E218" i="3"/>
  <c r="E218" i="28" s="1"/>
  <c r="E217" i="4"/>
  <c r="O213" i="9"/>
  <c r="O214" i="3"/>
  <c r="O213" i="4"/>
  <c r="L211" i="9"/>
  <c r="L212" i="3"/>
  <c r="L212" i="28" s="1"/>
  <c r="L211" i="4"/>
  <c r="L211" i="7"/>
  <c r="I209" i="9"/>
  <c r="I210" i="3"/>
  <c r="I210" i="28" s="1"/>
  <c r="I209" i="7"/>
  <c r="F207" i="9"/>
  <c r="F208" i="3"/>
  <c r="F208" i="28" s="1"/>
  <c r="F207" i="4"/>
  <c r="C239" i="9"/>
  <c r="C239" i="4"/>
  <c r="M235" i="9"/>
  <c r="M235" i="4"/>
  <c r="M235" i="7"/>
  <c r="J233" i="9"/>
  <c r="J233" i="7"/>
  <c r="G231" i="9"/>
  <c r="G231" i="7"/>
  <c r="D229" i="9"/>
  <c r="D229" i="7"/>
  <c r="K79" i="9"/>
  <c r="K79" i="7"/>
  <c r="K79" i="4"/>
  <c r="M80" i="3"/>
  <c r="M80" i="28" s="1"/>
  <c r="I120" i="3"/>
  <c r="I120" i="28" s="1"/>
  <c r="L122" i="3"/>
  <c r="L122" i="28" s="1"/>
  <c r="O124" i="3"/>
  <c r="E128" i="3"/>
  <c r="E128" i="28" s="1"/>
  <c r="H130" i="3"/>
  <c r="H130" i="28" s="1"/>
  <c r="K132" i="3"/>
  <c r="K132" i="28" s="1"/>
  <c r="N134" i="3"/>
  <c r="D138" i="3"/>
  <c r="D138" i="28" s="1"/>
  <c r="G140" i="3"/>
  <c r="G140" i="28" s="1"/>
  <c r="J142" i="3"/>
  <c r="J142" i="28" s="1"/>
  <c r="M144" i="3"/>
  <c r="M144" i="28" s="1"/>
  <c r="D164" i="3"/>
  <c r="D164" i="28" s="1"/>
  <c r="C170" i="3"/>
  <c r="C170" i="28" s="1"/>
  <c r="H176" i="3"/>
  <c r="H176" i="28" s="1"/>
  <c r="F192" i="3"/>
  <c r="F192" i="28" s="1"/>
  <c r="G191" i="4"/>
  <c r="K181" i="4"/>
  <c r="E177" i="4"/>
  <c r="C163" i="4"/>
  <c r="C137" i="4"/>
  <c r="E123" i="4"/>
  <c r="K113" i="4"/>
  <c r="F239" i="7"/>
  <c r="N211" i="7"/>
  <c r="F207" i="7"/>
  <c r="J193" i="7"/>
  <c r="D183" i="7"/>
  <c r="N133" i="7"/>
  <c r="D77" i="9"/>
  <c r="D77" i="7"/>
  <c r="D77" i="4"/>
  <c r="K71" i="9"/>
  <c r="K71" i="7"/>
  <c r="K71" i="4"/>
  <c r="H69" i="7"/>
  <c r="H69" i="4"/>
  <c r="H69" i="9"/>
  <c r="E67" i="9"/>
  <c r="E67" i="7"/>
  <c r="E67" i="4"/>
  <c r="O117" i="9"/>
  <c r="O117" i="7"/>
  <c r="L115" i="9"/>
  <c r="L115" i="7"/>
  <c r="F111" i="9"/>
  <c r="F111" i="7"/>
  <c r="C109" i="9"/>
  <c r="C109" i="7"/>
  <c r="C109" i="4"/>
  <c r="M105" i="9"/>
  <c r="M105" i="7"/>
  <c r="M105" i="4"/>
  <c r="J103" i="9"/>
  <c r="J103" i="7"/>
  <c r="J103" i="4"/>
  <c r="G101" i="9"/>
  <c r="G101" i="7"/>
  <c r="G101" i="4"/>
  <c r="D99" i="9"/>
  <c r="D99" i="7"/>
  <c r="D99" i="4"/>
  <c r="N145" i="9"/>
  <c r="N145" i="7"/>
  <c r="K143" i="9"/>
  <c r="K143" i="7"/>
  <c r="K143" i="4"/>
  <c r="H141" i="9"/>
  <c r="H141" i="7"/>
  <c r="H141" i="4"/>
  <c r="E139" i="9"/>
  <c r="E139" i="7"/>
  <c r="E139" i="4"/>
  <c r="O135" i="9"/>
  <c r="O135" i="7"/>
  <c r="L133" i="9"/>
  <c r="L133" i="7"/>
  <c r="L133" i="4"/>
  <c r="I131" i="9"/>
  <c r="I131" i="7"/>
  <c r="I131" i="4"/>
  <c r="F129" i="9"/>
  <c r="F129" i="7"/>
  <c r="C127" i="9"/>
  <c r="C127" i="7"/>
  <c r="M123" i="9"/>
  <c r="M123" i="7"/>
  <c r="J121" i="9"/>
  <c r="J121" i="7"/>
  <c r="G119" i="9"/>
  <c r="G119" i="7"/>
  <c r="G119" i="4"/>
  <c r="D175" i="9"/>
  <c r="D175" i="7"/>
  <c r="D175" i="4"/>
  <c r="D176" i="3"/>
  <c r="D176" i="28" s="1"/>
  <c r="N171" i="9"/>
  <c r="N171" i="7"/>
  <c r="N171" i="4"/>
  <c r="N172" i="3"/>
  <c r="K169" i="9"/>
  <c r="K169" i="7"/>
  <c r="K169" i="4"/>
  <c r="K170" i="3"/>
  <c r="K170" i="28" s="1"/>
  <c r="H167" i="9"/>
  <c r="H167" i="7"/>
  <c r="H168" i="3"/>
  <c r="H168" i="28" s="1"/>
  <c r="E165" i="7"/>
  <c r="E166" i="3"/>
  <c r="E166" i="28" s="1"/>
  <c r="O161" i="9"/>
  <c r="O162" i="3"/>
  <c r="L159" i="9"/>
  <c r="L159" i="4"/>
  <c r="F153" i="9"/>
  <c r="F153" i="4"/>
  <c r="C151" i="9"/>
  <c r="C151" i="7"/>
  <c r="M147" i="9"/>
  <c r="M147" i="7"/>
  <c r="M147" i="4"/>
  <c r="J205" i="9"/>
  <c r="J206" i="3"/>
  <c r="J206" i="28" s="1"/>
  <c r="J205" i="4"/>
  <c r="G203" i="9"/>
  <c r="G204" i="3"/>
  <c r="G204" i="28" s="1"/>
  <c r="G203" i="4"/>
  <c r="D201" i="9"/>
  <c r="D202" i="3"/>
  <c r="D202" i="28" s="1"/>
  <c r="D201" i="4"/>
  <c r="N197" i="9"/>
  <c r="N198" i="3"/>
  <c r="N197" i="7"/>
  <c r="N197" i="4"/>
  <c r="K193" i="9"/>
  <c r="K193" i="4"/>
  <c r="K194" i="3"/>
  <c r="K194" i="28" s="1"/>
  <c r="H191" i="9"/>
  <c r="H191" i="7"/>
  <c r="H191" i="4"/>
  <c r="H192" i="3"/>
  <c r="H192" i="28" s="1"/>
  <c r="E189" i="9"/>
  <c r="E189" i="7"/>
  <c r="E189" i="4"/>
  <c r="E190" i="3"/>
  <c r="E190" i="28" s="1"/>
  <c r="O185" i="9"/>
  <c r="O186" i="3"/>
  <c r="O185" i="7"/>
  <c r="L183" i="9"/>
  <c r="L183" i="7"/>
  <c r="L184" i="3"/>
  <c r="L184" i="28" s="1"/>
  <c r="I181" i="9"/>
  <c r="I181" i="7"/>
  <c r="C177" i="9"/>
  <c r="C177" i="7"/>
  <c r="M223" i="9"/>
  <c r="M223" i="7"/>
  <c r="J221" i="9"/>
  <c r="J222" i="3"/>
  <c r="J222" i="28" s="1"/>
  <c r="G219" i="9"/>
  <c r="G219" i="4"/>
  <c r="D217" i="9"/>
  <c r="D218" i="3"/>
  <c r="D218" i="28" s="1"/>
  <c r="D217" i="4"/>
  <c r="N213" i="9"/>
  <c r="N213" i="7"/>
  <c r="K211" i="9"/>
  <c r="K211" i="4"/>
  <c r="K212" i="3"/>
  <c r="K212" i="28" s="1"/>
  <c r="H209" i="9"/>
  <c r="H209" i="7"/>
  <c r="E207" i="9"/>
  <c r="E208" i="3"/>
  <c r="E208" i="28" s="1"/>
  <c r="E207" i="7"/>
  <c r="O237" i="9"/>
  <c r="O237" i="7"/>
  <c r="L235" i="9"/>
  <c r="L235" i="4"/>
  <c r="L235" i="7"/>
  <c r="I233" i="9"/>
  <c r="I233" i="7"/>
  <c r="F231" i="9"/>
  <c r="F231" i="7"/>
  <c r="C229" i="9"/>
  <c r="C229" i="7"/>
  <c r="C229" i="4"/>
  <c r="J79" i="9"/>
  <c r="J79" i="4"/>
  <c r="J79" i="7"/>
  <c r="N80" i="3"/>
  <c r="I98" i="3"/>
  <c r="I98" i="28" s="1"/>
  <c r="L100" i="3"/>
  <c r="L100" i="28" s="1"/>
  <c r="O102" i="3"/>
  <c r="E106" i="3"/>
  <c r="E106" i="28" s="1"/>
  <c r="H108" i="3"/>
  <c r="H108" i="28" s="1"/>
  <c r="K110" i="3"/>
  <c r="K110" i="28" s="1"/>
  <c r="N112" i="3"/>
  <c r="D116" i="3"/>
  <c r="D116" i="28" s="1"/>
  <c r="G118" i="3"/>
  <c r="G118" i="28" s="1"/>
  <c r="J120" i="3"/>
  <c r="J120" i="28" s="1"/>
  <c r="M122" i="3"/>
  <c r="M122" i="28" s="1"/>
  <c r="C126" i="3"/>
  <c r="C126" i="28" s="1"/>
  <c r="F128" i="3"/>
  <c r="F128" i="28" s="1"/>
  <c r="I130" i="3"/>
  <c r="I130" i="28" s="1"/>
  <c r="L132" i="3"/>
  <c r="L132" i="28" s="1"/>
  <c r="O134" i="3"/>
  <c r="E138" i="3"/>
  <c r="E138" i="28" s="1"/>
  <c r="H140" i="3"/>
  <c r="H140" i="28" s="1"/>
  <c r="K142" i="3"/>
  <c r="K142" i="28" s="1"/>
  <c r="N144" i="3"/>
  <c r="O157" i="9"/>
  <c r="O157" i="7"/>
  <c r="O157" i="4"/>
  <c r="L160" i="3"/>
  <c r="L160" i="28" s="1"/>
  <c r="E164" i="3"/>
  <c r="E164" i="28" s="1"/>
  <c r="E180" i="3"/>
  <c r="E180" i="28" s="1"/>
  <c r="D184" i="3"/>
  <c r="D184" i="28" s="1"/>
  <c r="G192" i="3"/>
  <c r="G192" i="28" s="1"/>
  <c r="K195" i="4"/>
  <c r="F191" i="4"/>
  <c r="O185" i="4"/>
  <c r="J181" i="4"/>
  <c r="D177" i="4"/>
  <c r="J153" i="4"/>
  <c r="F145" i="4"/>
  <c r="J113" i="4"/>
  <c r="L69" i="4"/>
  <c r="L214" i="3"/>
  <c r="L214" i="28" s="1"/>
  <c r="K224" i="3"/>
  <c r="K224" i="28" s="1"/>
  <c r="J234" i="3"/>
  <c r="J234" i="28" s="1"/>
  <c r="C239" i="7"/>
  <c r="K211" i="7"/>
  <c r="C207" i="7"/>
  <c r="O197" i="7"/>
  <c r="K133" i="7"/>
  <c r="H101" i="7"/>
  <c r="D65" i="7"/>
  <c r="J71" i="9"/>
  <c r="J71" i="4"/>
  <c r="J71" i="7"/>
  <c r="D67" i="9"/>
  <c r="D67" i="7"/>
  <c r="D67" i="4"/>
  <c r="N117" i="9"/>
  <c r="N117" i="7"/>
  <c r="E111" i="9"/>
  <c r="E111" i="7"/>
  <c r="O107" i="9"/>
  <c r="O107" i="7"/>
  <c r="O107" i="4"/>
  <c r="L105" i="9"/>
  <c r="L105" i="7"/>
  <c r="L105" i="4"/>
  <c r="I103" i="9"/>
  <c r="I103" i="7"/>
  <c r="I103" i="4"/>
  <c r="F101" i="9"/>
  <c r="F101" i="7"/>
  <c r="F101" i="4"/>
  <c r="C99" i="9"/>
  <c r="C99" i="7"/>
  <c r="C99" i="4"/>
  <c r="M145" i="9"/>
  <c r="M145" i="7"/>
  <c r="M145" i="4"/>
  <c r="J143" i="9"/>
  <c r="J143" i="4"/>
  <c r="G141" i="9"/>
  <c r="G141" i="7"/>
  <c r="G141" i="4"/>
  <c r="D139" i="9"/>
  <c r="D139" i="7"/>
  <c r="D139" i="4"/>
  <c r="N135" i="9"/>
  <c r="N135" i="7"/>
  <c r="H131" i="9"/>
  <c r="H131" i="7"/>
  <c r="E129" i="9"/>
  <c r="E129" i="7"/>
  <c r="O125" i="9"/>
  <c r="O125" i="7"/>
  <c r="I121" i="9"/>
  <c r="I121" i="7"/>
  <c r="I121" i="4"/>
  <c r="F119" i="9"/>
  <c r="F119" i="4"/>
  <c r="C175" i="9"/>
  <c r="C175" i="7"/>
  <c r="C176" i="3"/>
  <c r="C176" i="28" s="1"/>
  <c r="M171" i="9"/>
  <c r="M171" i="7"/>
  <c r="M172" i="3"/>
  <c r="M172" i="28" s="1"/>
  <c r="J169" i="9"/>
  <c r="J169" i="7"/>
  <c r="J170" i="3"/>
  <c r="J170" i="28" s="1"/>
  <c r="G167" i="9"/>
  <c r="G167" i="7"/>
  <c r="G168" i="3"/>
  <c r="G168" i="28" s="1"/>
  <c r="D165" i="7"/>
  <c r="D166" i="3"/>
  <c r="D166" i="28" s="1"/>
  <c r="N161" i="9"/>
  <c r="N162" i="3"/>
  <c r="N161" i="4"/>
  <c r="K159" i="9"/>
  <c r="K160" i="3"/>
  <c r="K160" i="28" s="1"/>
  <c r="K159" i="7"/>
  <c r="K159" i="4"/>
  <c r="H155" i="9"/>
  <c r="H155" i="4"/>
  <c r="E153" i="9"/>
  <c r="E153" i="4"/>
  <c r="O149" i="9"/>
  <c r="O149" i="7"/>
  <c r="O149" i="4"/>
  <c r="L147" i="9"/>
  <c r="L147" i="7"/>
  <c r="L147" i="4"/>
  <c r="I205" i="9"/>
  <c r="I206" i="3"/>
  <c r="I206" i="28" s="1"/>
  <c r="I205" i="7"/>
  <c r="F203" i="9"/>
  <c r="F204" i="3"/>
  <c r="F204" i="28" s="1"/>
  <c r="C201" i="9"/>
  <c r="C202" i="3"/>
  <c r="C202" i="28" s="1"/>
  <c r="C201" i="4"/>
  <c r="M197" i="9"/>
  <c r="M198" i="3"/>
  <c r="M198" i="28" s="1"/>
  <c r="M197" i="7"/>
  <c r="D189" i="9"/>
  <c r="D189" i="7"/>
  <c r="K183" i="9"/>
  <c r="K183" i="7"/>
  <c r="H181" i="9"/>
  <c r="H181" i="7"/>
  <c r="O225" i="9"/>
  <c r="O225" i="7"/>
  <c r="O226" i="3"/>
  <c r="L223" i="9"/>
  <c r="L223" i="7"/>
  <c r="I221" i="7"/>
  <c r="I221" i="9"/>
  <c r="I222" i="3"/>
  <c r="I222" i="28" s="1"/>
  <c r="C217" i="9"/>
  <c r="C218" i="3"/>
  <c r="C218" i="28" s="1"/>
  <c r="M213" i="9"/>
  <c r="M213" i="7"/>
  <c r="J211" i="9"/>
  <c r="J211" i="7"/>
  <c r="J212" i="3"/>
  <c r="J212" i="28" s="1"/>
  <c r="D207" i="9"/>
  <c r="D208" i="3"/>
  <c r="D208" i="28" s="1"/>
  <c r="D207" i="7"/>
  <c r="N237" i="9"/>
  <c r="N237" i="7"/>
  <c r="N238" i="3"/>
  <c r="K235" i="9"/>
  <c r="K235" i="7"/>
  <c r="H233" i="9"/>
  <c r="H234" i="3"/>
  <c r="H234" i="28" s="1"/>
  <c r="H233" i="7"/>
  <c r="H233" i="4"/>
  <c r="E231" i="7"/>
  <c r="E231" i="9"/>
  <c r="O227" i="9"/>
  <c r="O228" i="3"/>
  <c r="I79" i="9"/>
  <c r="I79" i="7"/>
  <c r="J66" i="3"/>
  <c r="J66" i="28" s="1"/>
  <c r="M68" i="3"/>
  <c r="M68" i="28" s="1"/>
  <c r="C72" i="3"/>
  <c r="C72" i="28" s="1"/>
  <c r="F74" i="3"/>
  <c r="F74" i="28" s="1"/>
  <c r="I76" i="3"/>
  <c r="I76" i="28" s="1"/>
  <c r="K120" i="3"/>
  <c r="K120" i="28" s="1"/>
  <c r="N122" i="3"/>
  <c r="D126" i="3"/>
  <c r="D126" i="28" s="1"/>
  <c r="G128" i="3"/>
  <c r="G128" i="28" s="1"/>
  <c r="J130" i="3"/>
  <c r="J130" i="28" s="1"/>
  <c r="M132" i="3"/>
  <c r="M132" i="28" s="1"/>
  <c r="C136" i="3"/>
  <c r="C136" i="28" s="1"/>
  <c r="F138" i="3"/>
  <c r="F138" i="28" s="1"/>
  <c r="I140" i="3"/>
  <c r="I140" i="28" s="1"/>
  <c r="L142" i="3"/>
  <c r="L142" i="28" s="1"/>
  <c r="O144" i="3"/>
  <c r="E148" i="3"/>
  <c r="E148" i="28" s="1"/>
  <c r="H150" i="3"/>
  <c r="H150" i="28" s="1"/>
  <c r="K152" i="3"/>
  <c r="K152" i="28" s="1"/>
  <c r="N154" i="3"/>
  <c r="N157" i="9"/>
  <c r="N157" i="7"/>
  <c r="G158" i="3"/>
  <c r="G158" i="28" s="1"/>
  <c r="M160" i="3"/>
  <c r="M160" i="28" s="1"/>
  <c r="F164" i="3"/>
  <c r="F164" i="28" s="1"/>
  <c r="O172" i="3"/>
  <c r="F180" i="3"/>
  <c r="F180" i="28" s="1"/>
  <c r="G195" i="9"/>
  <c r="G195" i="4"/>
  <c r="G196" i="3"/>
  <c r="G196" i="28" s="1"/>
  <c r="K229" i="4"/>
  <c r="H217" i="4"/>
  <c r="J195" i="4"/>
  <c r="N185" i="4"/>
  <c r="I181" i="4"/>
  <c r="C177" i="4"/>
  <c r="I153" i="4"/>
  <c r="H149" i="4"/>
  <c r="O135" i="4"/>
  <c r="M131" i="4"/>
  <c r="I113" i="4"/>
  <c r="K69" i="4"/>
  <c r="M214" i="3"/>
  <c r="M214" i="28" s="1"/>
  <c r="L224" i="3"/>
  <c r="L224" i="28" s="1"/>
  <c r="K234" i="3"/>
  <c r="K234" i="28" s="1"/>
  <c r="D225" i="7"/>
  <c r="L175" i="7"/>
  <c r="M159" i="7"/>
  <c r="K151" i="7"/>
  <c r="L123" i="7"/>
  <c r="I113" i="7"/>
  <c r="K115" i="9"/>
  <c r="H83" i="9"/>
  <c r="H83" i="4"/>
  <c r="E81" i="9"/>
  <c r="E81" i="7"/>
  <c r="E81" i="4"/>
  <c r="O75" i="9"/>
  <c r="O75" i="7"/>
  <c r="L73" i="9"/>
  <c r="L73" i="7"/>
  <c r="L73" i="4"/>
  <c r="I71" i="9"/>
  <c r="I71" i="7"/>
  <c r="I71" i="4"/>
  <c r="F70" i="3"/>
  <c r="F70" i="28" s="1"/>
  <c r="F69" i="9"/>
  <c r="F69" i="4"/>
  <c r="C67" i="9"/>
  <c r="C67" i="7"/>
  <c r="C67" i="4"/>
  <c r="M117" i="9"/>
  <c r="M117" i="7"/>
  <c r="G113" i="9"/>
  <c r="G113" i="7"/>
  <c r="D111" i="9"/>
  <c r="D111" i="7"/>
  <c r="N107" i="9"/>
  <c r="N107" i="7"/>
  <c r="K105" i="9"/>
  <c r="K105" i="7"/>
  <c r="K105" i="4"/>
  <c r="H103" i="9"/>
  <c r="H103" i="7"/>
  <c r="E101" i="9"/>
  <c r="E101" i="4"/>
  <c r="E101" i="7"/>
  <c r="O97" i="9"/>
  <c r="O97" i="7"/>
  <c r="O97" i="4"/>
  <c r="L145" i="9"/>
  <c r="L145" i="7"/>
  <c r="L145" i="4"/>
  <c r="I143" i="9"/>
  <c r="I143" i="7"/>
  <c r="I143" i="4"/>
  <c r="F141" i="9"/>
  <c r="F141" i="4"/>
  <c r="F141" i="7"/>
  <c r="C139" i="9"/>
  <c r="C139" i="7"/>
  <c r="M135" i="9"/>
  <c r="M135" i="7"/>
  <c r="J133" i="9"/>
  <c r="J133" i="7"/>
  <c r="G131" i="9"/>
  <c r="G131" i="7"/>
  <c r="N125" i="9"/>
  <c r="N125" i="7"/>
  <c r="K123" i="9"/>
  <c r="K123" i="4"/>
  <c r="H121" i="9"/>
  <c r="H121" i="7"/>
  <c r="H121" i="4"/>
  <c r="E119" i="9"/>
  <c r="E119" i="4"/>
  <c r="E119" i="7"/>
  <c r="O173" i="9"/>
  <c r="O173" i="7"/>
  <c r="O174" i="3"/>
  <c r="L171" i="7"/>
  <c r="L171" i="9"/>
  <c r="L172" i="3"/>
  <c r="L172" i="28" s="1"/>
  <c r="I169" i="9"/>
  <c r="I169" i="7"/>
  <c r="F167" i="9"/>
  <c r="F167" i="7"/>
  <c r="C165" i="9"/>
  <c r="C165" i="7"/>
  <c r="M161" i="9"/>
  <c r="M161" i="7"/>
  <c r="M161" i="4"/>
  <c r="J159" i="9"/>
  <c r="J159" i="7"/>
  <c r="G155" i="9"/>
  <c r="G155" i="7"/>
  <c r="G155" i="4"/>
  <c r="D153" i="9"/>
  <c r="D153" i="7"/>
  <c r="N149" i="9"/>
  <c r="N149" i="7"/>
  <c r="N149" i="4"/>
  <c r="K147" i="9"/>
  <c r="K147" i="7"/>
  <c r="K147" i="4"/>
  <c r="H205" i="9"/>
  <c r="H205" i="7"/>
  <c r="H206" i="3"/>
  <c r="H206" i="28" s="1"/>
  <c r="E203" i="9"/>
  <c r="E203" i="7"/>
  <c r="E204" i="3"/>
  <c r="E204" i="28" s="1"/>
  <c r="O199" i="9"/>
  <c r="O200" i="3"/>
  <c r="L197" i="9"/>
  <c r="L198" i="3"/>
  <c r="L198" i="28" s="1"/>
  <c r="I193" i="9"/>
  <c r="I193" i="7"/>
  <c r="C189" i="9"/>
  <c r="C189" i="7"/>
  <c r="M185" i="9"/>
  <c r="M185" i="7"/>
  <c r="J183" i="9"/>
  <c r="J183" i="7"/>
  <c r="G181" i="9"/>
  <c r="G181" i="7"/>
  <c r="D179" i="9"/>
  <c r="D179" i="7"/>
  <c r="N225" i="9"/>
  <c r="N225" i="7"/>
  <c r="N225" i="4"/>
  <c r="K223" i="9"/>
  <c r="K223" i="7"/>
  <c r="H221" i="9"/>
  <c r="H221" i="7"/>
  <c r="H221" i="4"/>
  <c r="E219" i="9"/>
  <c r="E219" i="7"/>
  <c r="I211" i="9"/>
  <c r="I211" i="7"/>
  <c r="F209" i="9"/>
  <c r="F209" i="7"/>
  <c r="F209" i="4"/>
  <c r="M237" i="9"/>
  <c r="M238" i="3"/>
  <c r="M238" i="28" s="1"/>
  <c r="M237" i="7"/>
  <c r="J235" i="9"/>
  <c r="J236" i="3"/>
  <c r="J236" i="28" s="1"/>
  <c r="J235" i="7"/>
  <c r="G233" i="9"/>
  <c r="G234" i="3"/>
  <c r="G234" i="28" s="1"/>
  <c r="G233" i="7"/>
  <c r="G233" i="4"/>
  <c r="D232" i="3"/>
  <c r="D232" i="28" s="1"/>
  <c r="D231" i="7"/>
  <c r="N227" i="9"/>
  <c r="N228" i="3"/>
  <c r="H79" i="9"/>
  <c r="H79" i="7"/>
  <c r="H79" i="4"/>
  <c r="M157" i="9"/>
  <c r="M157" i="7"/>
  <c r="N160" i="3"/>
  <c r="M166" i="3"/>
  <c r="M166" i="28" s="1"/>
  <c r="C174" i="3"/>
  <c r="C174" i="28" s="1"/>
  <c r="L176" i="3"/>
  <c r="L176" i="28" s="1"/>
  <c r="J188" i="3"/>
  <c r="J188" i="28" s="1"/>
  <c r="F195" i="9"/>
  <c r="F195" i="7"/>
  <c r="F195" i="4"/>
  <c r="F196" i="3"/>
  <c r="F196" i="28" s="1"/>
  <c r="G217" i="4"/>
  <c r="E199" i="4"/>
  <c r="M185" i="4"/>
  <c r="H181" i="4"/>
  <c r="H153" i="4"/>
  <c r="N135" i="4"/>
  <c r="L131" i="4"/>
  <c r="G127" i="4"/>
  <c r="H113" i="4"/>
  <c r="H107" i="4"/>
  <c r="G77" i="4"/>
  <c r="J69" i="4"/>
  <c r="O204" i="3"/>
  <c r="N214" i="3"/>
  <c r="M224" i="3"/>
  <c r="M224" i="28" s="1"/>
  <c r="L234" i="3"/>
  <c r="L234" i="28" s="1"/>
  <c r="K229" i="7"/>
  <c r="C225" i="7"/>
  <c r="O215" i="7"/>
  <c r="C193" i="7"/>
  <c r="L159" i="7"/>
  <c r="K123" i="7"/>
  <c r="H113" i="7"/>
  <c r="J115" i="9"/>
  <c r="I195" i="9"/>
  <c r="I195" i="7"/>
  <c r="D195" i="9"/>
  <c r="D195" i="7"/>
  <c r="C195" i="9"/>
  <c r="C195" i="7"/>
  <c r="O196" i="3"/>
  <c r="O195" i="4"/>
  <c r="I52" i="4" l="1"/>
  <c r="J12" i="7"/>
  <c r="J12" i="4"/>
  <c r="M34" i="7"/>
  <c r="L150" i="7"/>
  <c r="F132" i="9"/>
  <c r="M34" i="4"/>
  <c r="I42" i="7"/>
  <c r="C130" i="7"/>
  <c r="H58" i="4"/>
  <c r="L54" i="9"/>
  <c r="G122" i="7"/>
  <c r="I42" i="4"/>
  <c r="C130" i="4"/>
  <c r="H62" i="7"/>
  <c r="G122" i="4"/>
  <c r="K44" i="7"/>
  <c r="H52" i="7"/>
  <c r="AM231" i="32"/>
  <c r="AU231" i="32"/>
  <c r="AR231" i="32"/>
  <c r="AM232" i="32"/>
  <c r="AR232" i="32"/>
  <c r="AU232" i="32"/>
  <c r="AU715" i="10"/>
  <c r="AR715" i="10"/>
  <c r="AM715" i="10"/>
  <c r="AM714" i="10"/>
  <c r="AU714" i="10"/>
  <c r="AR714" i="10"/>
  <c r="AM749" i="32"/>
  <c r="AU749" i="32"/>
  <c r="AR749" i="32"/>
  <c r="F102" i="9"/>
  <c r="F46" i="9"/>
  <c r="F102" i="4"/>
  <c r="F46" i="4"/>
  <c r="AU304" i="32"/>
  <c r="AU304" i="10"/>
  <c r="AT314" i="10"/>
  <c r="AT314" i="32"/>
  <c r="AT313" i="10"/>
  <c r="AT313" i="32"/>
  <c r="AM846" i="32"/>
  <c r="AR846" i="32"/>
  <c r="AU846" i="32"/>
  <c r="AM833" i="32"/>
  <c r="AU833" i="32"/>
  <c r="AR833" i="32"/>
  <c r="AM885" i="32"/>
  <c r="AR885" i="32"/>
  <c r="AU885" i="32"/>
  <c r="AM831" i="32"/>
  <c r="AR831" i="32"/>
  <c r="AU831" i="32"/>
  <c r="AM844" i="32"/>
  <c r="AU844" i="32"/>
  <c r="AR844" i="32"/>
  <c r="AM847" i="32"/>
  <c r="AR847" i="32"/>
  <c r="AU847" i="32"/>
  <c r="AM870" i="32"/>
  <c r="AR870" i="32"/>
  <c r="AU870" i="32"/>
  <c r="AM886" i="32"/>
  <c r="AU886" i="32"/>
  <c r="AR886" i="32"/>
  <c r="AM891" i="32"/>
  <c r="AU891" i="32"/>
  <c r="AR891" i="32"/>
  <c r="AM830" i="32"/>
  <c r="AR830" i="32"/>
  <c r="AU830" i="32"/>
  <c r="AM842" i="32"/>
  <c r="AR842" i="32"/>
  <c r="AU842" i="32"/>
  <c r="AM876" i="32"/>
  <c r="AR876" i="32"/>
  <c r="AU876" i="32"/>
  <c r="AM888" i="32"/>
  <c r="AU888" i="32"/>
  <c r="AR888" i="32"/>
  <c r="AM864" i="32"/>
  <c r="AU864" i="32"/>
  <c r="AR864" i="32"/>
  <c r="AM835" i="32"/>
  <c r="AU835" i="32"/>
  <c r="AR835" i="32"/>
  <c r="AM852" i="32"/>
  <c r="AR852" i="32"/>
  <c r="AU852" i="32"/>
  <c r="AM884" i="32"/>
  <c r="AR884" i="32"/>
  <c r="AU884" i="32"/>
  <c r="AM836" i="32"/>
  <c r="AR836" i="32"/>
  <c r="AU836" i="32"/>
  <c r="AM843" i="32"/>
  <c r="AU843" i="32"/>
  <c r="AR843" i="32"/>
  <c r="AM889" i="32"/>
  <c r="AR889" i="32"/>
  <c r="AU889" i="32"/>
  <c r="AM887" i="32"/>
  <c r="AR887" i="32"/>
  <c r="AU887" i="32"/>
  <c r="AM865" i="32"/>
  <c r="AU865" i="32"/>
  <c r="AR865" i="32"/>
  <c r="AM866" i="32"/>
  <c r="AR866" i="32"/>
  <c r="AU866" i="32"/>
  <c r="AM872" i="32"/>
  <c r="AU872" i="32"/>
  <c r="AR872" i="32"/>
  <c r="AM895" i="32"/>
  <c r="AR895" i="32"/>
  <c r="AU895" i="32"/>
  <c r="AM828" i="32"/>
  <c r="AU828" i="32"/>
  <c r="AR828" i="32"/>
  <c r="AM879" i="32"/>
  <c r="AR879" i="32"/>
  <c r="AU879" i="32"/>
  <c r="AM896" i="32"/>
  <c r="AR896" i="32"/>
  <c r="AU896" i="32"/>
  <c r="AM838" i="32"/>
  <c r="AU838" i="32"/>
  <c r="AR838" i="32"/>
  <c r="AM869" i="32"/>
  <c r="AR869" i="32"/>
  <c r="AU869" i="32"/>
  <c r="AM849" i="32"/>
  <c r="AR849" i="32"/>
  <c r="AU849" i="32"/>
  <c r="AM877" i="32"/>
  <c r="AU877" i="32"/>
  <c r="AR877" i="32"/>
  <c r="AM894" i="32"/>
  <c r="AR894" i="32"/>
  <c r="AU894" i="32"/>
  <c r="AM898" i="32"/>
  <c r="AR898" i="32"/>
  <c r="AU898" i="32"/>
  <c r="AM853" i="32"/>
  <c r="AR853" i="32"/>
  <c r="AU853" i="32"/>
  <c r="AM883" i="32"/>
  <c r="AR883" i="32"/>
  <c r="AU883" i="32"/>
  <c r="AM848" i="32"/>
  <c r="AR848" i="32"/>
  <c r="AU848" i="32"/>
  <c r="AM832" i="32"/>
  <c r="AU832" i="32"/>
  <c r="AR832" i="32"/>
  <c r="AM871" i="32"/>
  <c r="AU871" i="32"/>
  <c r="AR871" i="32"/>
  <c r="AM892" i="32"/>
  <c r="AR892" i="32"/>
  <c r="AU892" i="32"/>
  <c r="AM875" i="32"/>
  <c r="AU875" i="32"/>
  <c r="AR875" i="32"/>
  <c r="AM893" i="32"/>
  <c r="AU893" i="32"/>
  <c r="AR893" i="32"/>
  <c r="AM829" i="32"/>
  <c r="AU829" i="32"/>
  <c r="AR829" i="32"/>
  <c r="AM834" i="32"/>
  <c r="AR834" i="32"/>
  <c r="AU834" i="32"/>
  <c r="AM873" i="32"/>
  <c r="AU873" i="32"/>
  <c r="AR873" i="32"/>
  <c r="AM868" i="32"/>
  <c r="AU868" i="32"/>
  <c r="AR868" i="32"/>
  <c r="AM878" i="32"/>
  <c r="AR878" i="32"/>
  <c r="AU878" i="32"/>
  <c r="AM882" i="32"/>
  <c r="AU882" i="32"/>
  <c r="AR882" i="32"/>
  <c r="AM890" i="32"/>
  <c r="AU890" i="32"/>
  <c r="AR890" i="32"/>
  <c r="AM850" i="32"/>
  <c r="AU850" i="32"/>
  <c r="AR850" i="32"/>
  <c r="AM874" i="32"/>
  <c r="AR874" i="32"/>
  <c r="AU874" i="32"/>
  <c r="AM845" i="32"/>
  <c r="AR845" i="32"/>
  <c r="AU845" i="32"/>
  <c r="AM837" i="32"/>
  <c r="AR837" i="32"/>
  <c r="AU837" i="32"/>
  <c r="AM880" i="32"/>
  <c r="AR880" i="32"/>
  <c r="AU880" i="32"/>
  <c r="AM839" i="32"/>
  <c r="AR839" i="32"/>
  <c r="AU839" i="32"/>
  <c r="AM867" i="32"/>
  <c r="AR867" i="32"/>
  <c r="AU867" i="32"/>
  <c r="AM851" i="32"/>
  <c r="AU851" i="32"/>
  <c r="AR851" i="32"/>
  <c r="K50" i="9"/>
  <c r="J146" i="9"/>
  <c r="F122" i="4"/>
  <c r="E230" i="7"/>
  <c r="F230" i="4"/>
  <c r="J128" i="4"/>
  <c r="E230" i="9"/>
  <c r="F230" i="9"/>
  <c r="G28" i="9"/>
  <c r="K92" i="9"/>
  <c r="E24" i="9"/>
  <c r="I104" i="7"/>
  <c r="G28" i="4"/>
  <c r="H70" i="7"/>
  <c r="K92" i="4"/>
  <c r="E24" i="4"/>
  <c r="D160" i="4"/>
  <c r="E232" i="7"/>
  <c r="F110" i="4"/>
  <c r="D120" i="4"/>
  <c r="D46" i="7"/>
  <c r="J102" i="7"/>
  <c r="C110" i="7"/>
  <c r="E72" i="4"/>
  <c r="C138" i="9"/>
  <c r="D82" i="4"/>
  <c r="L54" i="4"/>
  <c r="M152" i="7"/>
  <c r="L150" i="9"/>
  <c r="J64" i="4"/>
  <c r="D160" i="7"/>
  <c r="K136" i="4"/>
  <c r="D46" i="9"/>
  <c r="C110" i="9"/>
  <c r="G52" i="7"/>
  <c r="C138" i="4"/>
  <c r="I230" i="4"/>
  <c r="M152" i="9"/>
  <c r="L150" i="4"/>
  <c r="K140" i="7"/>
  <c r="D122" i="7"/>
  <c r="D122" i="9"/>
  <c r="G170" i="7"/>
  <c r="I186" i="7"/>
  <c r="I234" i="4"/>
  <c r="J102" i="9"/>
  <c r="K70" i="7"/>
  <c r="C158" i="9"/>
  <c r="G132" i="4"/>
  <c r="J38" i="4"/>
  <c r="C158" i="4"/>
  <c r="J126" i="7"/>
  <c r="D12" i="4"/>
  <c r="D190" i="9"/>
  <c r="I70" i="9"/>
  <c r="D190" i="7"/>
  <c r="K164" i="9"/>
  <c r="C68" i="7"/>
  <c r="C178" i="9"/>
  <c r="L40" i="9"/>
  <c r="H154" i="9"/>
  <c r="F94" i="7"/>
  <c r="C178" i="4"/>
  <c r="H154" i="4"/>
  <c r="H18" i="9"/>
  <c r="C178" i="7"/>
  <c r="K128" i="9"/>
  <c r="H102" i="4"/>
  <c r="I154" i="4"/>
  <c r="E124" i="4"/>
  <c r="I186" i="9"/>
  <c r="D100" i="7"/>
  <c r="H154" i="7"/>
  <c r="C66" i="4"/>
  <c r="D168" i="4"/>
  <c r="F182" i="9"/>
  <c r="F90" i="4"/>
  <c r="K122" i="9"/>
  <c r="G100" i="4"/>
  <c r="C66" i="7"/>
  <c r="E124" i="7"/>
  <c r="H102" i="7"/>
  <c r="I234" i="7"/>
  <c r="D100" i="9"/>
  <c r="C66" i="9"/>
  <c r="E124" i="9"/>
  <c r="H102" i="9"/>
  <c r="H18" i="7"/>
  <c r="K50" i="7"/>
  <c r="I234" i="9"/>
  <c r="E66" i="4"/>
  <c r="G170" i="9"/>
  <c r="H18" i="4"/>
  <c r="K50" i="4"/>
  <c r="F130" i="9"/>
  <c r="G26" i="7"/>
  <c r="H194" i="4"/>
  <c r="G170" i="4"/>
  <c r="G26" i="9"/>
  <c r="H194" i="7"/>
  <c r="E146" i="7"/>
  <c r="H194" i="9"/>
  <c r="M236" i="7"/>
  <c r="C168" i="9"/>
  <c r="L226" i="4"/>
  <c r="M236" i="4"/>
  <c r="F90" i="7"/>
  <c r="K122" i="4"/>
  <c r="G100" i="7"/>
  <c r="F126" i="7"/>
  <c r="L226" i="7"/>
  <c r="F90" i="9"/>
  <c r="K122" i="7"/>
  <c r="G100" i="9"/>
  <c r="D194" i="7"/>
  <c r="L226" i="9"/>
  <c r="D190" i="4"/>
  <c r="K70" i="4"/>
  <c r="L188" i="9"/>
  <c r="H138" i="7"/>
  <c r="L188" i="7"/>
  <c r="D68" i="7"/>
  <c r="G132" i="7"/>
  <c r="D128" i="7"/>
  <c r="L188" i="4"/>
  <c r="J38" i="7"/>
  <c r="F156" i="4"/>
  <c r="J102" i="4"/>
  <c r="L94" i="4"/>
  <c r="K70" i="9"/>
  <c r="D68" i="9"/>
  <c r="L196" i="9"/>
  <c r="G132" i="9"/>
  <c r="D128" i="9"/>
  <c r="K164" i="7"/>
  <c r="J38" i="9"/>
  <c r="F182" i="7"/>
  <c r="H12" i="7"/>
  <c r="J126" i="4"/>
  <c r="F232" i="9"/>
  <c r="K144" i="4"/>
  <c r="H70" i="4"/>
  <c r="M66" i="9"/>
  <c r="K96" i="9"/>
  <c r="C112" i="7"/>
  <c r="H12" i="9"/>
  <c r="E48" i="7"/>
  <c r="D28" i="7"/>
  <c r="K96" i="4"/>
  <c r="J114" i="7"/>
  <c r="H12" i="4"/>
  <c r="E48" i="9"/>
  <c r="C98" i="7"/>
  <c r="G136" i="7"/>
  <c r="C226" i="9"/>
  <c r="D28" i="9"/>
  <c r="J114" i="9"/>
  <c r="L236" i="4"/>
  <c r="I122" i="9"/>
  <c r="E48" i="4"/>
  <c r="C98" i="9"/>
  <c r="I144" i="4"/>
  <c r="G102" i="7"/>
  <c r="G136" i="9"/>
  <c r="H120" i="7"/>
  <c r="C226" i="4"/>
  <c r="D28" i="4"/>
  <c r="M146" i="4"/>
  <c r="J114" i="4"/>
  <c r="L236" i="7"/>
  <c r="I122" i="4"/>
  <c r="C98" i="4"/>
  <c r="K156" i="4"/>
  <c r="G102" i="4"/>
  <c r="G136" i="4"/>
  <c r="H120" i="9"/>
  <c r="I32" i="7"/>
  <c r="G174" i="7"/>
  <c r="J126" i="9"/>
  <c r="K164" i="4"/>
  <c r="K136" i="7"/>
  <c r="K156" i="9"/>
  <c r="H120" i="4"/>
  <c r="I32" i="4"/>
  <c r="G174" i="9"/>
  <c r="F40" i="7"/>
  <c r="H70" i="9"/>
  <c r="C158" i="7"/>
  <c r="K136" i="9"/>
  <c r="G28" i="7"/>
  <c r="D168" i="9"/>
  <c r="I70" i="7"/>
  <c r="D12" i="9"/>
  <c r="E136" i="7"/>
  <c r="F40" i="9"/>
  <c r="L170" i="4"/>
  <c r="M66" i="4"/>
  <c r="F182" i="4"/>
  <c r="F68" i="7"/>
  <c r="H26" i="7"/>
  <c r="H156" i="9"/>
  <c r="I182" i="7"/>
  <c r="G36" i="9"/>
  <c r="M176" i="7"/>
  <c r="K114" i="4"/>
  <c r="L126" i="7"/>
  <c r="H156" i="4"/>
  <c r="E160" i="9"/>
  <c r="I182" i="9"/>
  <c r="H142" i="4"/>
  <c r="G36" i="4"/>
  <c r="E194" i="7"/>
  <c r="K12" i="7"/>
  <c r="H104" i="7"/>
  <c r="M176" i="9"/>
  <c r="I182" i="4"/>
  <c r="K144" i="7"/>
  <c r="D156" i="9"/>
  <c r="C124" i="4"/>
  <c r="E194" i="9"/>
  <c r="M176" i="4"/>
  <c r="K124" i="4"/>
  <c r="K72" i="4"/>
  <c r="H146" i="7"/>
  <c r="F130" i="7"/>
  <c r="K144" i="9"/>
  <c r="I106" i="7"/>
  <c r="D156" i="4"/>
  <c r="H138" i="4"/>
  <c r="E194" i="4"/>
  <c r="C166" i="4"/>
  <c r="M174" i="7"/>
  <c r="I72" i="4"/>
  <c r="G12" i="7"/>
  <c r="F130" i="4"/>
  <c r="E146" i="9"/>
  <c r="H138" i="9"/>
  <c r="D60" i="9"/>
  <c r="C100" i="7"/>
  <c r="F38" i="7"/>
  <c r="G12" i="9"/>
  <c r="I134" i="9"/>
  <c r="E146" i="4"/>
  <c r="D60" i="4"/>
  <c r="I106" i="9"/>
  <c r="C100" i="9"/>
  <c r="F38" i="9"/>
  <c r="G12" i="4"/>
  <c r="J70" i="4"/>
  <c r="I134" i="4"/>
  <c r="J132" i="4"/>
  <c r="E46" i="4"/>
  <c r="D14" i="9"/>
  <c r="G62" i="7"/>
  <c r="C100" i="4"/>
  <c r="C134" i="7"/>
  <c r="F200" i="7"/>
  <c r="M94" i="4"/>
  <c r="G166" i="7"/>
  <c r="C134" i="9"/>
  <c r="J106" i="9"/>
  <c r="F200" i="9"/>
  <c r="K168" i="4"/>
  <c r="K106" i="4"/>
  <c r="D168" i="7"/>
  <c r="G166" i="9"/>
  <c r="F14" i="7"/>
  <c r="D124" i="9"/>
  <c r="J106" i="4"/>
  <c r="I162" i="7"/>
  <c r="I106" i="4"/>
  <c r="C122" i="4"/>
  <c r="C122" i="28"/>
  <c r="G240" i="9"/>
  <c r="G240" i="28"/>
  <c r="K76" i="7"/>
  <c r="K22" i="9"/>
  <c r="K22" i="28"/>
  <c r="I196" i="7"/>
  <c r="I196" i="28"/>
  <c r="D216" i="4"/>
  <c r="D216" i="28"/>
  <c r="D220" i="4"/>
  <c r="J134" i="4"/>
  <c r="J134" i="28"/>
  <c r="H104" i="4"/>
  <c r="M162" i="7"/>
  <c r="F120" i="4"/>
  <c r="F120" i="28"/>
  <c r="M236" i="9"/>
  <c r="K148" i="7"/>
  <c r="G156" i="7"/>
  <c r="M162" i="9"/>
  <c r="E68" i="7"/>
  <c r="G232" i="9"/>
  <c r="D38" i="4"/>
  <c r="C194" i="7"/>
  <c r="C194" i="28"/>
  <c r="J240" i="9"/>
  <c r="J240" i="28"/>
  <c r="K148" i="9"/>
  <c r="M174" i="9"/>
  <c r="H156" i="7"/>
  <c r="F68" i="9"/>
  <c r="G156" i="9"/>
  <c r="C56" i="7"/>
  <c r="C230" i="4"/>
  <c r="M162" i="4"/>
  <c r="L40" i="4"/>
  <c r="E68" i="9"/>
  <c r="F120" i="9"/>
  <c r="F26" i="9"/>
  <c r="H122" i="9"/>
  <c r="D98" i="4"/>
  <c r="E132" i="9"/>
  <c r="H146" i="9"/>
  <c r="K106" i="7"/>
  <c r="G120" i="4"/>
  <c r="L116" i="9"/>
  <c r="F72" i="7"/>
  <c r="H126" i="9"/>
  <c r="C164" i="7"/>
  <c r="G116" i="7"/>
  <c r="C150" i="9"/>
  <c r="E174" i="7"/>
  <c r="F14" i="9"/>
  <c r="F126" i="4"/>
  <c r="D194" i="9"/>
  <c r="F174" i="9"/>
  <c r="D14" i="4"/>
  <c r="K140" i="9"/>
  <c r="D102" i="7"/>
  <c r="K12" i="9"/>
  <c r="M150" i="9"/>
  <c r="F94" i="4"/>
  <c r="K116" i="4"/>
  <c r="K116" i="28"/>
  <c r="L174" i="9"/>
  <c r="L174" i="28"/>
  <c r="G148" i="9"/>
  <c r="G148" i="28"/>
  <c r="C152" i="9"/>
  <c r="C152" i="28"/>
  <c r="H196" i="7"/>
  <c r="H196" i="28"/>
  <c r="D112" i="4"/>
  <c r="D112" i="28"/>
  <c r="K148" i="4"/>
  <c r="M174" i="4"/>
  <c r="F68" i="4"/>
  <c r="G156" i="4"/>
  <c r="I122" i="7"/>
  <c r="C56" i="9"/>
  <c r="E68" i="4"/>
  <c r="D140" i="9"/>
  <c r="F26" i="4"/>
  <c r="K156" i="7"/>
  <c r="H122" i="4"/>
  <c r="E132" i="4"/>
  <c r="H146" i="4"/>
  <c r="E160" i="7"/>
  <c r="K106" i="9"/>
  <c r="G120" i="7"/>
  <c r="G102" i="9"/>
  <c r="L116" i="4"/>
  <c r="F72" i="9"/>
  <c r="H240" i="9"/>
  <c r="H240" i="28"/>
  <c r="H126" i="4"/>
  <c r="C164" i="9"/>
  <c r="C226" i="7"/>
  <c r="G116" i="9"/>
  <c r="F152" i="4"/>
  <c r="E174" i="9"/>
  <c r="F14" i="4"/>
  <c r="D12" i="7"/>
  <c r="I32" i="9"/>
  <c r="D194" i="4"/>
  <c r="D124" i="7"/>
  <c r="F174" i="4"/>
  <c r="D14" i="7"/>
  <c r="K140" i="4"/>
  <c r="D102" i="9"/>
  <c r="K12" i="4"/>
  <c r="J42" i="7"/>
  <c r="M150" i="4"/>
  <c r="D130" i="4"/>
  <c r="D130" i="28"/>
  <c r="H84" i="4"/>
  <c r="H84" i="28"/>
  <c r="G126" i="9"/>
  <c r="G126" i="28"/>
  <c r="I194" i="4"/>
  <c r="I194" i="28"/>
  <c r="E12" i="7"/>
  <c r="L126" i="9"/>
  <c r="D220" i="7"/>
  <c r="J116" i="4"/>
  <c r="J116" i="28"/>
  <c r="D154" i="7"/>
  <c r="D154" i="28"/>
  <c r="D240" i="9"/>
  <c r="D240" i="28"/>
  <c r="D216" i="9"/>
  <c r="F62" i="7"/>
  <c r="K146" i="7"/>
  <c r="C150" i="4"/>
  <c r="K128" i="7"/>
  <c r="K128" i="28"/>
  <c r="E132" i="7"/>
  <c r="C150" i="7"/>
  <c r="K146" i="4"/>
  <c r="F94" i="9"/>
  <c r="H210" i="9"/>
  <c r="H210" i="28"/>
  <c r="H144" i="7"/>
  <c r="D180" i="9"/>
  <c r="C164" i="4"/>
  <c r="F152" i="7"/>
  <c r="E112" i="9"/>
  <c r="E112" i="28"/>
  <c r="M32" i="7"/>
  <c r="E36" i="9"/>
  <c r="L236" i="9"/>
  <c r="G142" i="7"/>
  <c r="H144" i="4"/>
  <c r="J138" i="7"/>
  <c r="K240" i="9"/>
  <c r="K240" i="28"/>
  <c r="F100" i="9"/>
  <c r="L30" i="9"/>
  <c r="L240" i="9"/>
  <c r="L240" i="28"/>
  <c r="D142" i="7"/>
  <c r="K52" i="7"/>
  <c r="I144" i="7"/>
  <c r="C68" i="9"/>
  <c r="M146" i="7"/>
  <c r="M116" i="4"/>
  <c r="E102" i="9"/>
  <c r="J122" i="9"/>
  <c r="J104" i="9"/>
  <c r="F136" i="9"/>
  <c r="J32" i="9"/>
  <c r="I96" i="7"/>
  <c r="H42" i="9"/>
  <c r="I70" i="4"/>
  <c r="D76" i="7"/>
  <c r="F146" i="9"/>
  <c r="I168" i="9"/>
  <c r="D128" i="4"/>
  <c r="L144" i="7"/>
  <c r="J220" i="7"/>
  <c r="L156" i="7"/>
  <c r="C162" i="9"/>
  <c r="D66" i="9"/>
  <c r="H80" i="7"/>
  <c r="M148" i="9"/>
  <c r="E136" i="9"/>
  <c r="C28" i="9"/>
  <c r="E88" i="9"/>
  <c r="C24" i="9"/>
  <c r="H16" i="4"/>
  <c r="I138" i="7"/>
  <c r="G72" i="7"/>
  <c r="C112" i="9"/>
  <c r="C38" i="4"/>
  <c r="G20" i="7"/>
  <c r="E50" i="9"/>
  <c r="C48" i="4"/>
  <c r="F168" i="7"/>
  <c r="F168" i="28"/>
  <c r="F78" i="4"/>
  <c r="F78" i="28"/>
  <c r="E152" i="4"/>
  <c r="E152" i="28"/>
  <c r="L200" i="4"/>
  <c r="L200" i="28"/>
  <c r="M134" i="4"/>
  <c r="M134" i="28"/>
  <c r="J196" i="7"/>
  <c r="J196" i="28"/>
  <c r="I16" i="7"/>
  <c r="I16" i="28"/>
  <c r="C240" i="7"/>
  <c r="C240" i="28"/>
  <c r="E206" i="4"/>
  <c r="E206" i="28"/>
  <c r="H26" i="4"/>
  <c r="G90" i="9"/>
  <c r="G112" i="7"/>
  <c r="G112" i="28"/>
  <c r="H104" i="9"/>
  <c r="G232" i="4"/>
  <c r="K76" i="9"/>
  <c r="D38" i="7"/>
  <c r="C60" i="9"/>
  <c r="L84" i="4"/>
  <c r="D38" i="9"/>
  <c r="L130" i="4"/>
  <c r="C60" i="4"/>
  <c r="H200" i="9"/>
  <c r="H200" i="28"/>
  <c r="C230" i="9"/>
  <c r="F120" i="7"/>
  <c r="F26" i="7"/>
  <c r="L116" i="7"/>
  <c r="H126" i="7"/>
  <c r="G116" i="4"/>
  <c r="E174" i="4"/>
  <c r="C38" i="7"/>
  <c r="C140" i="9"/>
  <c r="C140" i="28"/>
  <c r="L30" i="7"/>
  <c r="M116" i="9"/>
  <c r="E160" i="4"/>
  <c r="E102" i="7"/>
  <c r="F136" i="7"/>
  <c r="F146" i="7"/>
  <c r="D124" i="4"/>
  <c r="E88" i="7"/>
  <c r="C24" i="7"/>
  <c r="K178" i="9"/>
  <c r="K80" i="4"/>
  <c r="C196" i="9"/>
  <c r="K178" i="4"/>
  <c r="M32" i="9"/>
  <c r="E36" i="4"/>
  <c r="G142" i="9"/>
  <c r="J138" i="9"/>
  <c r="F100" i="4"/>
  <c r="L30" i="4"/>
  <c r="D142" i="9"/>
  <c r="K52" i="9"/>
  <c r="I144" i="9"/>
  <c r="M240" i="9"/>
  <c r="M240" i="28"/>
  <c r="C68" i="4"/>
  <c r="M146" i="9"/>
  <c r="I112" i="7"/>
  <c r="G68" i="7"/>
  <c r="E102" i="4"/>
  <c r="J122" i="4"/>
  <c r="J104" i="4"/>
  <c r="F136" i="4"/>
  <c r="J32" i="4"/>
  <c r="I96" i="9"/>
  <c r="H42" i="4"/>
  <c r="F146" i="4"/>
  <c r="I168" i="4"/>
  <c r="G130" i="4"/>
  <c r="L144" i="9"/>
  <c r="L76" i="7"/>
  <c r="J220" i="4"/>
  <c r="L156" i="9"/>
  <c r="C162" i="4"/>
  <c r="D66" i="4"/>
  <c r="H80" i="9"/>
  <c r="M148" i="4"/>
  <c r="E136" i="4"/>
  <c r="M24" i="7"/>
  <c r="C28" i="4"/>
  <c r="C24" i="4"/>
  <c r="I138" i="9"/>
  <c r="G72" i="9"/>
  <c r="C112" i="4"/>
  <c r="G20" i="9"/>
  <c r="E50" i="4"/>
  <c r="D18" i="7"/>
  <c r="L140" i="9"/>
  <c r="L140" i="28"/>
  <c r="L104" i="4"/>
  <c r="L104" i="28"/>
  <c r="J184" i="9"/>
  <c r="J184" i="28"/>
  <c r="I60" i="7"/>
  <c r="I60" i="28"/>
  <c r="M96" i="7"/>
  <c r="M96" i="28"/>
  <c r="H26" i="9"/>
  <c r="I170" i="4"/>
  <c r="I170" i="28"/>
  <c r="E12" i="9"/>
  <c r="L130" i="7"/>
  <c r="C60" i="7"/>
  <c r="C144" i="7"/>
  <c r="C144" i="28"/>
  <c r="D180" i="7"/>
  <c r="D180" i="28"/>
  <c r="E12" i="4"/>
  <c r="L84" i="9"/>
  <c r="M84" i="4"/>
  <c r="M84" i="28"/>
  <c r="C230" i="7"/>
  <c r="D140" i="7"/>
  <c r="D76" i="4"/>
  <c r="L148" i="7"/>
  <c r="L148" i="28"/>
  <c r="D98" i="9"/>
  <c r="F62" i="4"/>
  <c r="F174" i="7"/>
  <c r="M150" i="7"/>
  <c r="G210" i="4"/>
  <c r="G210" i="28"/>
  <c r="M96" i="9"/>
  <c r="G120" i="9"/>
  <c r="C196" i="4"/>
  <c r="F210" i="9"/>
  <c r="M32" i="4"/>
  <c r="G142" i="4"/>
  <c r="D134" i="7"/>
  <c r="L148" i="4"/>
  <c r="D142" i="4"/>
  <c r="K52" i="4"/>
  <c r="H182" i="7"/>
  <c r="J160" i="7"/>
  <c r="L42" i="7"/>
  <c r="H134" i="7"/>
  <c r="I112" i="9"/>
  <c r="G68" i="9"/>
  <c r="D88" i="7"/>
  <c r="H200" i="7"/>
  <c r="C128" i="7"/>
  <c r="H116" i="7"/>
  <c r="E18" i="7"/>
  <c r="I96" i="4"/>
  <c r="M180" i="7"/>
  <c r="M140" i="7"/>
  <c r="E176" i="7"/>
  <c r="L144" i="4"/>
  <c r="L76" i="9"/>
  <c r="J220" i="9"/>
  <c r="C92" i="7"/>
  <c r="L156" i="4"/>
  <c r="H80" i="4"/>
  <c r="I164" i="7"/>
  <c r="M24" i="9"/>
  <c r="H178" i="7"/>
  <c r="G72" i="4"/>
  <c r="H72" i="7"/>
  <c r="G20" i="4"/>
  <c r="M226" i="4"/>
  <c r="D18" i="9"/>
  <c r="H114" i="9"/>
  <c r="H114" i="28"/>
  <c r="I80" i="4"/>
  <c r="I80" i="28"/>
  <c r="H112" i="4"/>
  <c r="H112" i="28"/>
  <c r="C190" i="4"/>
  <c r="C190" i="28"/>
  <c r="E232" i="4"/>
  <c r="E232" i="28"/>
  <c r="E172" i="4"/>
  <c r="E172" i="28"/>
  <c r="M136" i="4"/>
  <c r="M136" i="28"/>
  <c r="K184" i="4"/>
  <c r="K184" i="28"/>
  <c r="C134" i="4"/>
  <c r="G174" i="4"/>
  <c r="D152" i="4"/>
  <c r="D152" i="28"/>
  <c r="L84" i="7"/>
  <c r="K104" i="7"/>
  <c r="K104" i="28"/>
  <c r="F38" i="4"/>
  <c r="G90" i="4"/>
  <c r="D76" i="9"/>
  <c r="G62" i="9"/>
  <c r="J82" i="4"/>
  <c r="J82" i="28"/>
  <c r="G232" i="7"/>
  <c r="K76" i="4"/>
  <c r="K146" i="9"/>
  <c r="G62" i="4"/>
  <c r="M104" i="7"/>
  <c r="M104" i="28"/>
  <c r="I186" i="4"/>
  <c r="L40" i="7"/>
  <c r="G26" i="4"/>
  <c r="M116" i="7"/>
  <c r="C48" i="7"/>
  <c r="C132" i="4"/>
  <c r="C132" i="28"/>
  <c r="K80" i="9"/>
  <c r="C196" i="7"/>
  <c r="C166" i="7"/>
  <c r="I240" i="9"/>
  <c r="I240" i="28"/>
  <c r="K124" i="7"/>
  <c r="K114" i="7"/>
  <c r="D134" i="9"/>
  <c r="K168" i="7"/>
  <c r="L196" i="4"/>
  <c r="K72" i="7"/>
  <c r="J70" i="7"/>
  <c r="L170" i="7"/>
  <c r="H182" i="9"/>
  <c r="J160" i="9"/>
  <c r="L42" i="9"/>
  <c r="H134" i="9"/>
  <c r="I112" i="4"/>
  <c r="G68" i="4"/>
  <c r="D88" i="9"/>
  <c r="M94" i="7"/>
  <c r="L94" i="7"/>
  <c r="C240" i="4"/>
  <c r="F232" i="4"/>
  <c r="C128" i="9"/>
  <c r="H142" i="7"/>
  <c r="H116" i="9"/>
  <c r="E18" i="9"/>
  <c r="C168" i="4"/>
  <c r="I154" i="7"/>
  <c r="M180" i="9"/>
  <c r="M140" i="9"/>
  <c r="E176" i="9"/>
  <c r="J132" i="7"/>
  <c r="L76" i="4"/>
  <c r="C92" i="9"/>
  <c r="E66" i="7"/>
  <c r="E46" i="7"/>
  <c r="I164" i="9"/>
  <c r="M24" i="4"/>
  <c r="H178" i="9"/>
  <c r="C124" i="7"/>
  <c r="F156" i="7"/>
  <c r="H72" i="9"/>
  <c r="M226" i="7"/>
  <c r="D18" i="4"/>
  <c r="G186" i="9"/>
  <c r="G186" i="28"/>
  <c r="J162" i="4"/>
  <c r="J162" i="28"/>
  <c r="I156" i="9"/>
  <c r="I156" i="28"/>
  <c r="K210" i="9"/>
  <c r="K210" i="28"/>
  <c r="G90" i="7"/>
  <c r="K236" i="9"/>
  <c r="K236" i="28"/>
  <c r="G114" i="9"/>
  <c r="G114" i="28"/>
  <c r="J156" i="7"/>
  <c r="J156" i="28"/>
  <c r="I162" i="9"/>
  <c r="L126" i="4"/>
  <c r="D220" i="9"/>
  <c r="F154" i="4"/>
  <c r="F154" i="28"/>
  <c r="I162" i="4"/>
  <c r="L130" i="9"/>
  <c r="H136" i="9"/>
  <c r="H136" i="28"/>
  <c r="F240" i="9"/>
  <c r="F240" i="28"/>
  <c r="D98" i="7"/>
  <c r="F62" i="9"/>
  <c r="D122" i="4"/>
  <c r="H122" i="7"/>
  <c r="D100" i="4"/>
  <c r="F126" i="9"/>
  <c r="K80" i="7"/>
  <c r="C56" i="4"/>
  <c r="D140" i="4"/>
  <c r="F72" i="4"/>
  <c r="E88" i="4"/>
  <c r="D102" i="4"/>
  <c r="F210" i="7"/>
  <c r="F210" i="28"/>
  <c r="G130" i="7"/>
  <c r="G130" i="28"/>
  <c r="K178" i="7"/>
  <c r="E36" i="7"/>
  <c r="H144" i="9"/>
  <c r="J138" i="4"/>
  <c r="F100" i="7"/>
  <c r="J122" i="7"/>
  <c r="J104" i="7"/>
  <c r="J32" i="7"/>
  <c r="H42" i="7"/>
  <c r="I168" i="7"/>
  <c r="F152" i="9"/>
  <c r="C162" i="7"/>
  <c r="D66" i="7"/>
  <c r="M148" i="7"/>
  <c r="C28" i="7"/>
  <c r="I138" i="4"/>
  <c r="C38" i="9"/>
  <c r="J42" i="4"/>
  <c r="E50" i="7"/>
  <c r="C48" i="9"/>
  <c r="L190" i="9"/>
  <c r="L190" i="28"/>
  <c r="M130" i="4"/>
  <c r="M130" i="28"/>
  <c r="H82" i="4"/>
  <c r="H82" i="28"/>
  <c r="C166" i="9"/>
  <c r="K124" i="9"/>
  <c r="K114" i="9"/>
  <c r="I72" i="7"/>
  <c r="F200" i="4"/>
  <c r="D134" i="4"/>
  <c r="K168" i="9"/>
  <c r="L196" i="7"/>
  <c r="K72" i="9"/>
  <c r="J70" i="9"/>
  <c r="I134" i="7"/>
  <c r="L170" i="9"/>
  <c r="H182" i="4"/>
  <c r="J160" i="4"/>
  <c r="L42" i="4"/>
  <c r="H134" i="4"/>
  <c r="D88" i="4"/>
  <c r="M94" i="9"/>
  <c r="L94" i="9"/>
  <c r="F232" i="7"/>
  <c r="C128" i="4"/>
  <c r="H142" i="9"/>
  <c r="H116" i="4"/>
  <c r="E18" i="4"/>
  <c r="C168" i="7"/>
  <c r="I154" i="9"/>
  <c r="M180" i="4"/>
  <c r="M140" i="4"/>
  <c r="E176" i="4"/>
  <c r="J132" i="9"/>
  <c r="D156" i="7"/>
  <c r="M66" i="7"/>
  <c r="C92" i="4"/>
  <c r="E66" i="9"/>
  <c r="E46" i="9"/>
  <c r="K96" i="7"/>
  <c r="I164" i="4"/>
  <c r="H178" i="4"/>
  <c r="G36" i="7"/>
  <c r="C124" i="9"/>
  <c r="F156" i="9"/>
  <c r="H72" i="4"/>
  <c r="D60" i="7"/>
  <c r="M226" i="9"/>
  <c r="J106" i="7"/>
  <c r="C240" i="9"/>
  <c r="F220" i="4"/>
  <c r="F220" i="28"/>
  <c r="M158" i="7"/>
  <c r="M158" i="28"/>
  <c r="G182" i="4"/>
  <c r="G182" i="28"/>
  <c r="F166" i="4"/>
  <c r="F166" i="28"/>
  <c r="M118" i="4"/>
  <c r="M118" i="28"/>
  <c r="E210" i="7"/>
  <c r="E210" i="28"/>
  <c r="H222" i="4"/>
  <c r="H222" i="28"/>
  <c r="E240" i="9"/>
  <c r="E240" i="28"/>
  <c r="AA156" i="24"/>
  <c r="AG156" i="12" s="1"/>
  <c r="AA103" i="24"/>
  <c r="AG103" i="12" s="1"/>
  <c r="AA154" i="24"/>
  <c r="AG154" i="12" s="1"/>
  <c r="AA157" i="24"/>
  <c r="AG157" i="12" s="1"/>
  <c r="AT405" i="32"/>
  <c r="AT405" i="10"/>
  <c r="AT406" i="10"/>
  <c r="AT406" i="32"/>
  <c r="AT408" i="10"/>
  <c r="AT408" i="32"/>
  <c r="AT407" i="10"/>
  <c r="AT407" i="32"/>
  <c r="Y583" i="11"/>
  <c r="Z583" i="11" s="1"/>
  <c r="AA583" i="11" s="1"/>
  <c r="AT735" i="10"/>
  <c r="AT735" i="32"/>
  <c r="AT734" i="32"/>
  <c r="AT734" i="10"/>
  <c r="AT736" i="32"/>
  <c r="AT736" i="10"/>
  <c r="AT737" i="10"/>
  <c r="AT737" i="32"/>
  <c r="AT589" i="10"/>
  <c r="AT589" i="32"/>
  <c r="AT590" i="10"/>
  <c r="AT590" i="32"/>
  <c r="AT591" i="10"/>
  <c r="AT591" i="32"/>
  <c r="AT586" i="10"/>
  <c r="AT586" i="32"/>
  <c r="AT587" i="10"/>
  <c r="AT587" i="32"/>
  <c r="AT588" i="10"/>
  <c r="AT588" i="32"/>
  <c r="AT592" i="10"/>
  <c r="AT593" i="10"/>
  <c r="AT593" i="32"/>
  <c r="AM556" i="10"/>
  <c r="AR556" i="10"/>
  <c r="AU556" i="10"/>
  <c r="AU165" i="10"/>
  <c r="AM165" i="10"/>
  <c r="AR165" i="10"/>
  <c r="AM119" i="10"/>
  <c r="AU119" i="10"/>
  <c r="AR119" i="10"/>
  <c r="Y792" i="11"/>
  <c r="Z792" i="11" s="1"/>
  <c r="AA792" i="11" s="1"/>
  <c r="AM587" i="10"/>
  <c r="AR587" i="10"/>
  <c r="AU587" i="10"/>
  <c r="AU588" i="10"/>
  <c r="AR588" i="10"/>
  <c r="AM588" i="10"/>
  <c r="AM589" i="10"/>
  <c r="AR589" i="10"/>
  <c r="AU589" i="10"/>
  <c r="AM586" i="10"/>
  <c r="AR586" i="10"/>
  <c r="AU586" i="10"/>
  <c r="AR590" i="10"/>
  <c r="AU590" i="10"/>
  <c r="AM590" i="10"/>
  <c r="AM591" i="10"/>
  <c r="AU591" i="10"/>
  <c r="AR591" i="10"/>
  <c r="AU593" i="10"/>
  <c r="AR593" i="10"/>
  <c r="AM593" i="10"/>
  <c r="AU592" i="10"/>
  <c r="AR592" i="10"/>
  <c r="AM592" i="10"/>
  <c r="AM643" i="10"/>
  <c r="AU643" i="10"/>
  <c r="AR643" i="10"/>
  <c r="AU642" i="10"/>
  <c r="AR642" i="10"/>
  <c r="AM642" i="10"/>
  <c r="AR905" i="10"/>
  <c r="AU905" i="10"/>
  <c r="AM905" i="10"/>
  <c r="W905" i="11"/>
  <c r="T905" i="32" s="1"/>
  <c r="AM438" i="32"/>
  <c r="AR438" i="32"/>
  <c r="AU438" i="32"/>
  <c r="AM21" i="32"/>
  <c r="AU21" i="32"/>
  <c r="AR21" i="32"/>
  <c r="AM488" i="32"/>
  <c r="AR488" i="32"/>
  <c r="AU488" i="32"/>
  <c r="AM441" i="32"/>
  <c r="AR441" i="32"/>
  <c r="AU441" i="32"/>
  <c r="AM129" i="32"/>
  <c r="AR129" i="32"/>
  <c r="AU129" i="32"/>
  <c r="AM538" i="32"/>
  <c r="AR538" i="32"/>
  <c r="AU538" i="32"/>
  <c r="AM577" i="32"/>
  <c r="AR577" i="32"/>
  <c r="AU577" i="32"/>
  <c r="AM494" i="32"/>
  <c r="AR494" i="32"/>
  <c r="AU494" i="32"/>
  <c r="AU953" i="32"/>
  <c r="AM953" i="32"/>
  <c r="AR953" i="32"/>
  <c r="AM630" i="32"/>
  <c r="AR630" i="32"/>
  <c r="AU630" i="32"/>
  <c r="AM28" i="32"/>
  <c r="AR28" i="32"/>
  <c r="AU28" i="32"/>
  <c r="W310" i="11"/>
  <c r="T310" i="32" s="1"/>
  <c r="AR310" i="32"/>
  <c r="AU310" i="32"/>
  <c r="AM310" i="32"/>
  <c r="AM407" i="32"/>
  <c r="AR407" i="32"/>
  <c r="AU407" i="32"/>
  <c r="AM821" i="32"/>
  <c r="AR821" i="32"/>
  <c r="AU821" i="32"/>
  <c r="AU191" i="32"/>
  <c r="AM191" i="32"/>
  <c r="AR191" i="32"/>
  <c r="AM589" i="32"/>
  <c r="AR589" i="32"/>
  <c r="AU589" i="32"/>
  <c r="AU956" i="32"/>
  <c r="AM956" i="32"/>
  <c r="AR956" i="32"/>
  <c r="AM143" i="32"/>
  <c r="AU143" i="32"/>
  <c r="AR143" i="32"/>
  <c r="AM145" i="32"/>
  <c r="AR145" i="32"/>
  <c r="AU145" i="32"/>
  <c r="AM324" i="32"/>
  <c r="AR324" i="32"/>
  <c r="AU324" i="32"/>
  <c r="AU963" i="32"/>
  <c r="AM963" i="32"/>
  <c r="AR963" i="32"/>
  <c r="AM44" i="32"/>
  <c r="AR44" i="32"/>
  <c r="AU44" i="32"/>
  <c r="AM325" i="32"/>
  <c r="AR325" i="32"/>
  <c r="AU325" i="32"/>
  <c r="AR203" i="32"/>
  <c r="AU203" i="32"/>
  <c r="AM203" i="32"/>
  <c r="AR602" i="32"/>
  <c r="AU602" i="32"/>
  <c r="AM602" i="32"/>
  <c r="AU206" i="32"/>
  <c r="AM206" i="32"/>
  <c r="AR206" i="32"/>
  <c r="AM473" i="32"/>
  <c r="AR473" i="32"/>
  <c r="AU473" i="32"/>
  <c r="AU54" i="32"/>
  <c r="AM54" i="32"/>
  <c r="AR54" i="32"/>
  <c r="AR32" i="32"/>
  <c r="AU32" i="32"/>
  <c r="AM32" i="32"/>
  <c r="AU793" i="32"/>
  <c r="AM793" i="32"/>
  <c r="AR793" i="32"/>
  <c r="AM162" i="32"/>
  <c r="AR162" i="32"/>
  <c r="AU162" i="32"/>
  <c r="AR429" i="32"/>
  <c r="AU429" i="32"/>
  <c r="AM429" i="32"/>
  <c r="AM214" i="32"/>
  <c r="AR214" i="32"/>
  <c r="AU214" i="32"/>
  <c r="AU921" i="32"/>
  <c r="AM921" i="32"/>
  <c r="AR921" i="32"/>
  <c r="AM344" i="32"/>
  <c r="AR344" i="32"/>
  <c r="AU344" i="32"/>
  <c r="AM437" i="32"/>
  <c r="AR437" i="32"/>
  <c r="AU437" i="32"/>
  <c r="W484" i="11"/>
  <c r="T484" i="32" s="1"/>
  <c r="AR484" i="32"/>
  <c r="AU484" i="32"/>
  <c r="AM484" i="32"/>
  <c r="AR243" i="32"/>
  <c r="AU243" i="32"/>
  <c r="AM243" i="32"/>
  <c r="AM235" i="32"/>
  <c r="AR235" i="32"/>
  <c r="AU235" i="32"/>
  <c r="AM229" i="32"/>
  <c r="AR229" i="32"/>
  <c r="AU229" i="32"/>
  <c r="AU401" i="32"/>
  <c r="AM401" i="32"/>
  <c r="AR401" i="32"/>
  <c r="AU264" i="32"/>
  <c r="AM264" i="32"/>
  <c r="AR264" i="32"/>
  <c r="AU736" i="32"/>
  <c r="AM736" i="32"/>
  <c r="AR736" i="32"/>
  <c r="AM706" i="32"/>
  <c r="AR706" i="32"/>
  <c r="AU706" i="32"/>
  <c r="AR751" i="32"/>
  <c r="AU751" i="32"/>
  <c r="AM751" i="32"/>
  <c r="AM763" i="32"/>
  <c r="AR763" i="32"/>
  <c r="AU763" i="32"/>
  <c r="X786" i="11"/>
  <c r="AN786" i="10" s="1"/>
  <c r="T786" i="32"/>
  <c r="AR620" i="32"/>
  <c r="AU620" i="32"/>
  <c r="AM620" i="32"/>
  <c r="AU124" i="32"/>
  <c r="AM124" i="32"/>
  <c r="AR124" i="32"/>
  <c r="AU623" i="32"/>
  <c r="AM623" i="32"/>
  <c r="AR623" i="32"/>
  <c r="AM24" i="32"/>
  <c r="AR24" i="32"/>
  <c r="AU24" i="32"/>
  <c r="AM540" i="32"/>
  <c r="AR540" i="32"/>
  <c r="AU540" i="32"/>
  <c r="AR396" i="32"/>
  <c r="AU396" i="32"/>
  <c r="AM396" i="32"/>
  <c r="AU949" i="32"/>
  <c r="AM949" i="32"/>
  <c r="AR949" i="32"/>
  <c r="AM495" i="32"/>
  <c r="AR495" i="32"/>
  <c r="AU495" i="32"/>
  <c r="AR816" i="32"/>
  <c r="AU816" i="32"/>
  <c r="AM816" i="32"/>
  <c r="AR449" i="32"/>
  <c r="AU449" i="32"/>
  <c r="AM449" i="32"/>
  <c r="AM134" i="32"/>
  <c r="AR134" i="32"/>
  <c r="AU134" i="32"/>
  <c r="AR364" i="32"/>
  <c r="AU364" i="32"/>
  <c r="AM364" i="32"/>
  <c r="AM586" i="32"/>
  <c r="AR586" i="32"/>
  <c r="AU586" i="32"/>
  <c r="AU954" i="32"/>
  <c r="AM954" i="32"/>
  <c r="AR954" i="32"/>
  <c r="AR86" i="32"/>
  <c r="AU86" i="32"/>
  <c r="AM86" i="32"/>
  <c r="AR408" i="32"/>
  <c r="AU408" i="32"/>
  <c r="AM408" i="32"/>
  <c r="AM824" i="32"/>
  <c r="AR824" i="32"/>
  <c r="AU824" i="32"/>
  <c r="AU38" i="32"/>
  <c r="AM38" i="32"/>
  <c r="AR38" i="32"/>
  <c r="AM40" i="32"/>
  <c r="AU40" i="32"/>
  <c r="AR40" i="32"/>
  <c r="AM509" i="32"/>
  <c r="AR509" i="32"/>
  <c r="AU509" i="32"/>
  <c r="AM150" i="32"/>
  <c r="AR150" i="32"/>
  <c r="AU150" i="32"/>
  <c r="AM326" i="32"/>
  <c r="AR326" i="32"/>
  <c r="AU326" i="32"/>
  <c r="AM97" i="32"/>
  <c r="AR97" i="32"/>
  <c r="AU97" i="32"/>
  <c r="AM421" i="32"/>
  <c r="AR421" i="32"/>
  <c r="AU421" i="32"/>
  <c r="AR906" i="32"/>
  <c r="AU906" i="32"/>
  <c r="AM906" i="32"/>
  <c r="AR332" i="32"/>
  <c r="AU332" i="32"/>
  <c r="AM332" i="32"/>
  <c r="AR138" i="32"/>
  <c r="AU138" i="32"/>
  <c r="AM138" i="32"/>
  <c r="AM57" i="32"/>
  <c r="AR57" i="32"/>
  <c r="AU57" i="32"/>
  <c r="AM611" i="32"/>
  <c r="AR611" i="32"/>
  <c r="AU611" i="32"/>
  <c r="AM109" i="32"/>
  <c r="AR109" i="32"/>
  <c r="AU109" i="32"/>
  <c r="AM975" i="32"/>
  <c r="AR975" i="32"/>
  <c r="AU975" i="32"/>
  <c r="AR531" i="32"/>
  <c r="AU531" i="32"/>
  <c r="AM531" i="32"/>
  <c r="AU802" i="32"/>
  <c r="AM802" i="32"/>
  <c r="AR802" i="32"/>
  <c r="AU925" i="32"/>
  <c r="AM925" i="32"/>
  <c r="AR925" i="32"/>
  <c r="AR485" i="32"/>
  <c r="AU485" i="32"/>
  <c r="AM485" i="32"/>
  <c r="AR244" i="32"/>
  <c r="AU244" i="32"/>
  <c r="AM244" i="32"/>
  <c r="AM230" i="32"/>
  <c r="AU230" i="32"/>
  <c r="AR230" i="32"/>
  <c r="AR241" i="32"/>
  <c r="AU241" i="32"/>
  <c r="AM241" i="32"/>
  <c r="AM269" i="32"/>
  <c r="AR269" i="32"/>
  <c r="AU269" i="32"/>
  <c r="AR769" i="32"/>
  <c r="AU769" i="32"/>
  <c r="AM769" i="32"/>
  <c r="AM741" i="32"/>
  <c r="AR741" i="32"/>
  <c r="AU741" i="32"/>
  <c r="AR682" i="32"/>
  <c r="AU682" i="32"/>
  <c r="AM682" i="32"/>
  <c r="AM686" i="32"/>
  <c r="AR686" i="32"/>
  <c r="AU686" i="32"/>
  <c r="AR782" i="32"/>
  <c r="AU782" i="32"/>
  <c r="AM782" i="32"/>
  <c r="AR697" i="32"/>
  <c r="AU697" i="32"/>
  <c r="AM697" i="32"/>
  <c r="AM762" i="32"/>
  <c r="AR762" i="32"/>
  <c r="AU762" i="32"/>
  <c r="AM439" i="32"/>
  <c r="AR439" i="32"/>
  <c r="AU439" i="32"/>
  <c r="AU125" i="32"/>
  <c r="AM125" i="32"/>
  <c r="AR125" i="32"/>
  <c r="AM537" i="32"/>
  <c r="AR537" i="32"/>
  <c r="AU537" i="32"/>
  <c r="AR314" i="32"/>
  <c r="AU314" i="32"/>
  <c r="AM314" i="32"/>
  <c r="AM442" i="32"/>
  <c r="AR442" i="32"/>
  <c r="AU442" i="32"/>
  <c r="AM127" i="32"/>
  <c r="AR127" i="32"/>
  <c r="AU127" i="32"/>
  <c r="AM353" i="32"/>
  <c r="AR353" i="32"/>
  <c r="AU353" i="32"/>
  <c r="AU397" i="32"/>
  <c r="AM397" i="32"/>
  <c r="AR397" i="32"/>
  <c r="AU812" i="32"/>
  <c r="AM812" i="32"/>
  <c r="AR812" i="32"/>
  <c r="AM307" i="32"/>
  <c r="AR307" i="32"/>
  <c r="AU307" i="32"/>
  <c r="AR447" i="32"/>
  <c r="AU447" i="32"/>
  <c r="AM447" i="32"/>
  <c r="AM29" i="32"/>
  <c r="AR29" i="32"/>
  <c r="AU29" i="32"/>
  <c r="AR365" i="32"/>
  <c r="AU365" i="32"/>
  <c r="AM365" i="32"/>
  <c r="AM405" i="32"/>
  <c r="AR405" i="32"/>
  <c r="AU405" i="32"/>
  <c r="AR84" i="32"/>
  <c r="AU84" i="32"/>
  <c r="AM84" i="32"/>
  <c r="AM590" i="32"/>
  <c r="AR590" i="32"/>
  <c r="AU590" i="32"/>
  <c r="AM192" i="32"/>
  <c r="AU192" i="32"/>
  <c r="AR192" i="32"/>
  <c r="AR120" i="32"/>
  <c r="AU120" i="32"/>
  <c r="AM120" i="32"/>
  <c r="AU960" i="32"/>
  <c r="AM960" i="32"/>
  <c r="AR960" i="32"/>
  <c r="AM146" i="32"/>
  <c r="AR146" i="32"/>
  <c r="AU146" i="32"/>
  <c r="AM596" i="32"/>
  <c r="AR596" i="32"/>
  <c r="AU596" i="32"/>
  <c r="AM900" i="32"/>
  <c r="AR900" i="32"/>
  <c r="AU900" i="32"/>
  <c r="AM45" i="32"/>
  <c r="AR45" i="32"/>
  <c r="AU45" i="32"/>
  <c r="AU418" i="32"/>
  <c r="AM418" i="32"/>
  <c r="AR418" i="32"/>
  <c r="AM96" i="32"/>
  <c r="AR96" i="32"/>
  <c r="AU96" i="32"/>
  <c r="AM468" i="32"/>
  <c r="AR468" i="32"/>
  <c r="AU468" i="32"/>
  <c r="AR333" i="32"/>
  <c r="AU333" i="32"/>
  <c r="AM333" i="32"/>
  <c r="AR102" i="32"/>
  <c r="AU102" i="32"/>
  <c r="AM102" i="32"/>
  <c r="AR33" i="32"/>
  <c r="AU33" i="32"/>
  <c r="AM33" i="32"/>
  <c r="AU106" i="32"/>
  <c r="AM106" i="32"/>
  <c r="AR106" i="32"/>
  <c r="AR430" i="32"/>
  <c r="AU430" i="32"/>
  <c r="AM430" i="32"/>
  <c r="AM215" i="32"/>
  <c r="AR215" i="32"/>
  <c r="AU215" i="32"/>
  <c r="AU800" i="32"/>
  <c r="AM800" i="32"/>
  <c r="AR800" i="32"/>
  <c r="AM343" i="32"/>
  <c r="AR343" i="32"/>
  <c r="AU343" i="32"/>
  <c r="AU803" i="32"/>
  <c r="AM803" i="32"/>
  <c r="AR803" i="32"/>
  <c r="AR121" i="32"/>
  <c r="AU121" i="32"/>
  <c r="AM121" i="32"/>
  <c r="AU486" i="32"/>
  <c r="AM486" i="32"/>
  <c r="AR486" i="32"/>
  <c r="AR277" i="32"/>
  <c r="AU277" i="32"/>
  <c r="AM277" i="32"/>
  <c r="AM271" i="32"/>
  <c r="AR271" i="32"/>
  <c r="AU271" i="32"/>
  <c r="AM273" i="32"/>
  <c r="AR273" i="32"/>
  <c r="AU273" i="32"/>
  <c r="AR242" i="32"/>
  <c r="AU242" i="32"/>
  <c r="AM242" i="32"/>
  <c r="AM270" i="32"/>
  <c r="AR270" i="32"/>
  <c r="AU270" i="32"/>
  <c r="W768" i="11"/>
  <c r="T768" i="32" s="1"/>
  <c r="AR768" i="32"/>
  <c r="AU768" i="32"/>
  <c r="AM768" i="32"/>
  <c r="AM740" i="32"/>
  <c r="AR740" i="32"/>
  <c r="AU740" i="32"/>
  <c r="AU683" i="32"/>
  <c r="AM683" i="32"/>
  <c r="AR683" i="32"/>
  <c r="AM687" i="32"/>
  <c r="AR687" i="32"/>
  <c r="AU687" i="32"/>
  <c r="AR783" i="32"/>
  <c r="AU783" i="32"/>
  <c r="AM783" i="32"/>
  <c r="W759" i="11"/>
  <c r="T759" i="32" s="1"/>
  <c r="AM759" i="32"/>
  <c r="AR759" i="32"/>
  <c r="AU759" i="32"/>
  <c r="AM671" i="32"/>
  <c r="AR671" i="32"/>
  <c r="AU671" i="32"/>
  <c r="AR621" i="32"/>
  <c r="AU621" i="32"/>
  <c r="AM621" i="32"/>
  <c r="AR499" i="32"/>
  <c r="AU499" i="32"/>
  <c r="AM499" i="32"/>
  <c r="AU624" i="32"/>
  <c r="AM624" i="32"/>
  <c r="AR624" i="32"/>
  <c r="AR579" i="32"/>
  <c r="AU579" i="32"/>
  <c r="AM579" i="32"/>
  <c r="AM308" i="32"/>
  <c r="AR308" i="32"/>
  <c r="AU308" i="32"/>
  <c r="AU817" i="32"/>
  <c r="AM817" i="32"/>
  <c r="AR817" i="32"/>
  <c r="AM30" i="32"/>
  <c r="AR30" i="32"/>
  <c r="AU30" i="32"/>
  <c r="AR366" i="32"/>
  <c r="AU366" i="32"/>
  <c r="AM366" i="32"/>
  <c r="AR635" i="32"/>
  <c r="AU635" i="32"/>
  <c r="AM635" i="32"/>
  <c r="AU190" i="32"/>
  <c r="AM190" i="32"/>
  <c r="AR190" i="32"/>
  <c r="AR409" i="32"/>
  <c r="AU409" i="32"/>
  <c r="AM409" i="32"/>
  <c r="AU957" i="32"/>
  <c r="AM957" i="32"/>
  <c r="AR957" i="32"/>
  <c r="AR87" i="32"/>
  <c r="AU87" i="32"/>
  <c r="AM87" i="32"/>
  <c r="AR15" i="32"/>
  <c r="AU15" i="32"/>
  <c r="AM15" i="32"/>
  <c r="AM826" i="32"/>
  <c r="AR826" i="32"/>
  <c r="AU826" i="32"/>
  <c r="AM41" i="32"/>
  <c r="AR41" i="32"/>
  <c r="AU41" i="32"/>
  <c r="AM595" i="32"/>
  <c r="AR595" i="32"/>
  <c r="AU595" i="32"/>
  <c r="AM148" i="32"/>
  <c r="AR148" i="32"/>
  <c r="AU148" i="32"/>
  <c r="W598" i="11"/>
  <c r="T598" i="32" s="1"/>
  <c r="AM598" i="32"/>
  <c r="AR598" i="32"/>
  <c r="AU598" i="32"/>
  <c r="AR202" i="32"/>
  <c r="AU202" i="32"/>
  <c r="AM202" i="32"/>
  <c r="AR907" i="32"/>
  <c r="AU907" i="32"/>
  <c r="AM907" i="32"/>
  <c r="AR517" i="32"/>
  <c r="AU517" i="32"/>
  <c r="AM517" i="32"/>
  <c r="AM208" i="32"/>
  <c r="AU208" i="32"/>
  <c r="AR208" i="32"/>
  <c r="AM427" i="32"/>
  <c r="AR427" i="32"/>
  <c r="AU427" i="32"/>
  <c r="AM212" i="32"/>
  <c r="AR212" i="32"/>
  <c r="AU212" i="32"/>
  <c r="AR431" i="32"/>
  <c r="AU431" i="32"/>
  <c r="AM431" i="32"/>
  <c r="AU919" i="32"/>
  <c r="AM919" i="32"/>
  <c r="AR919" i="32"/>
  <c r="AM110" i="32"/>
  <c r="AR110" i="32"/>
  <c r="AU110" i="32"/>
  <c r="AU922" i="32"/>
  <c r="AM922" i="32"/>
  <c r="AR922" i="32"/>
  <c r="W345" i="11"/>
  <c r="T345" i="32" s="1"/>
  <c r="AR345" i="32"/>
  <c r="AU345" i="32"/>
  <c r="AM345" i="32"/>
  <c r="AR123" i="32"/>
  <c r="AU123" i="32"/>
  <c r="AM123" i="32"/>
  <c r="AU299" i="32"/>
  <c r="AM299" i="32"/>
  <c r="AR299" i="32"/>
  <c r="AR278" i="32"/>
  <c r="AU278" i="32"/>
  <c r="AM278" i="32"/>
  <c r="AM272" i="32"/>
  <c r="AR272" i="32"/>
  <c r="AU272" i="32"/>
  <c r="AR274" i="32"/>
  <c r="AU274" i="32"/>
  <c r="AM274" i="32"/>
  <c r="AM253" i="32"/>
  <c r="AR253" i="32"/>
  <c r="AU253" i="32"/>
  <c r="AM676" i="32"/>
  <c r="AR676" i="32"/>
  <c r="AU676" i="32"/>
  <c r="AM772" i="32"/>
  <c r="AR772" i="32"/>
  <c r="AU772" i="32"/>
  <c r="AM745" i="32"/>
  <c r="AR745" i="32"/>
  <c r="AU745" i="32"/>
  <c r="AM691" i="32"/>
  <c r="AR691" i="32"/>
  <c r="AU691" i="32"/>
  <c r="AM758" i="32"/>
  <c r="AR758" i="32"/>
  <c r="AU758" i="32"/>
  <c r="AM670" i="32"/>
  <c r="AR670" i="32"/>
  <c r="AU670" i="32"/>
  <c r="AM440" i="32"/>
  <c r="AR440" i="32"/>
  <c r="AU440" i="32"/>
  <c r="AM126" i="32"/>
  <c r="AU126" i="32"/>
  <c r="AR126" i="32"/>
  <c r="AR350" i="32"/>
  <c r="AU350" i="32"/>
  <c r="AM350" i="32"/>
  <c r="AM74" i="32"/>
  <c r="AU74" i="32"/>
  <c r="AR74" i="32"/>
  <c r="AM354" i="32"/>
  <c r="AU354" i="32"/>
  <c r="AR354" i="32"/>
  <c r="AM626" i="32"/>
  <c r="AR626" i="32"/>
  <c r="AU626" i="32"/>
  <c r="AM309" i="32"/>
  <c r="AR309" i="32"/>
  <c r="AU309" i="32"/>
  <c r="AR448" i="32"/>
  <c r="AU448" i="32"/>
  <c r="AM448" i="32"/>
  <c r="AM133" i="32"/>
  <c r="AR133" i="32"/>
  <c r="AU133" i="32"/>
  <c r="AU550" i="32"/>
  <c r="AM550" i="32"/>
  <c r="AR550" i="32"/>
  <c r="AM454" i="32"/>
  <c r="AR454" i="32"/>
  <c r="AU454" i="32"/>
  <c r="AR316" i="32"/>
  <c r="AU316" i="32"/>
  <c r="AM316" i="32"/>
  <c r="AM591" i="32"/>
  <c r="AR591" i="32"/>
  <c r="AU591" i="32"/>
  <c r="AM822" i="32"/>
  <c r="AR822" i="32"/>
  <c r="AU822" i="32"/>
  <c r="AM193" i="32"/>
  <c r="AR193" i="32"/>
  <c r="AU193" i="32"/>
  <c r="AR414" i="32"/>
  <c r="AU414" i="32"/>
  <c r="AM414" i="32"/>
  <c r="AM901" i="32"/>
  <c r="AR901" i="32"/>
  <c r="AU901" i="32"/>
  <c r="AM43" i="32"/>
  <c r="AR43" i="32"/>
  <c r="AU43" i="32"/>
  <c r="AR417" i="32"/>
  <c r="AU417" i="32"/>
  <c r="AM417" i="32"/>
  <c r="AM98" i="32"/>
  <c r="AR98" i="32"/>
  <c r="AU98" i="32"/>
  <c r="AM470" i="32"/>
  <c r="AR470" i="32"/>
  <c r="AU470" i="32"/>
  <c r="AU966" i="32"/>
  <c r="AM966" i="32"/>
  <c r="AR966" i="32"/>
  <c r="W518" i="11"/>
  <c r="T518" i="32" s="1"/>
  <c r="AU911" i="32"/>
  <c r="AM911" i="32"/>
  <c r="AR911" i="32"/>
  <c r="AR103" i="32"/>
  <c r="AU103" i="32"/>
  <c r="AM103" i="32"/>
  <c r="AM609" i="32"/>
  <c r="AR609" i="32"/>
  <c r="AU609" i="32"/>
  <c r="AM107" i="32"/>
  <c r="AU107" i="32"/>
  <c r="AR107" i="32"/>
  <c r="AU938" i="32"/>
  <c r="AM938" i="32"/>
  <c r="AR938" i="32"/>
  <c r="AM973" i="32"/>
  <c r="AR973" i="32"/>
  <c r="AU973" i="32"/>
  <c r="AM526" i="32"/>
  <c r="AR526" i="32"/>
  <c r="AU526" i="32"/>
  <c r="AU941" i="32"/>
  <c r="AM941" i="32"/>
  <c r="AR941" i="32"/>
  <c r="AM65" i="32"/>
  <c r="AR65" i="32"/>
  <c r="AU65" i="32"/>
  <c r="AR529" i="32"/>
  <c r="AU529" i="32"/>
  <c r="AM529" i="32"/>
  <c r="AU801" i="32"/>
  <c r="AM801" i="32"/>
  <c r="AR801" i="32"/>
  <c r="AU18" i="32"/>
  <c r="AM18" i="32"/>
  <c r="AR18" i="32"/>
  <c r="AR346" i="32"/>
  <c r="AU346" i="32"/>
  <c r="AM346" i="32"/>
  <c r="AM267" i="32"/>
  <c r="AR267" i="32"/>
  <c r="AU267" i="32"/>
  <c r="AM248" i="32"/>
  <c r="T138" i="24" s="1"/>
  <c r="Z138" i="12" s="1"/>
  <c r="AU248" i="32"/>
  <c r="AB138" i="24" s="1"/>
  <c r="AH138" i="12" s="1"/>
  <c r="AR248" i="32"/>
  <c r="Y151" i="24"/>
  <c r="AE151" i="12" s="1"/>
  <c r="T151" i="24"/>
  <c r="Z151" i="12" s="1"/>
  <c r="AM677" i="32"/>
  <c r="AR677" i="32"/>
  <c r="AU677" i="32"/>
  <c r="AM773" i="32"/>
  <c r="AU773" i="32"/>
  <c r="AR773" i="32"/>
  <c r="AM744" i="32"/>
  <c r="AR744" i="32"/>
  <c r="AU744" i="32"/>
  <c r="AR748" i="32"/>
  <c r="AU748" i="32"/>
  <c r="AM748" i="32"/>
  <c r="AM690" i="32"/>
  <c r="AR690" i="32"/>
  <c r="AU690" i="32"/>
  <c r="AR698" i="32"/>
  <c r="AU698" i="32"/>
  <c r="AM698" i="32"/>
  <c r="AR69" i="32"/>
  <c r="AU69" i="32"/>
  <c r="AM69" i="32"/>
  <c r="AR501" i="32"/>
  <c r="AU501" i="32"/>
  <c r="AM501" i="32"/>
  <c r="AM177" i="32"/>
  <c r="AR177" i="32"/>
  <c r="AU177" i="32"/>
  <c r="AM539" i="32"/>
  <c r="AR539" i="32"/>
  <c r="AU539" i="32"/>
  <c r="AM625" i="32"/>
  <c r="AR625" i="32"/>
  <c r="AU625" i="32"/>
  <c r="AM25" i="32"/>
  <c r="AR25" i="32"/>
  <c r="AU25" i="32"/>
  <c r="AM493" i="32"/>
  <c r="AR493" i="32"/>
  <c r="AU493" i="32"/>
  <c r="AM80" i="32"/>
  <c r="AR80" i="32"/>
  <c r="AU80" i="32"/>
  <c r="AR636" i="32"/>
  <c r="AU636" i="32"/>
  <c r="AM636" i="32"/>
  <c r="AR317" i="32"/>
  <c r="AU317" i="32"/>
  <c r="AM317" i="32"/>
  <c r="AM410" i="32"/>
  <c r="AR410" i="32"/>
  <c r="AU410" i="32"/>
  <c r="AR88" i="32"/>
  <c r="AU88" i="32"/>
  <c r="AM88" i="32"/>
  <c r="AM411" i="32"/>
  <c r="AR411" i="32"/>
  <c r="AU411" i="32"/>
  <c r="AU961" i="32"/>
  <c r="AM961" i="32"/>
  <c r="AR961" i="32"/>
  <c r="AM42" i="32"/>
  <c r="AR42" i="32"/>
  <c r="AU42" i="32"/>
  <c r="AR415" i="32"/>
  <c r="AU415" i="32"/>
  <c r="AM415" i="32"/>
  <c r="AM149" i="32"/>
  <c r="AR149" i="32"/>
  <c r="AU149" i="32"/>
  <c r="AM599" i="32"/>
  <c r="AR599" i="32"/>
  <c r="AU599" i="32"/>
  <c r="AM903" i="32"/>
  <c r="AR903" i="32"/>
  <c r="AU903" i="32"/>
  <c r="AR201" i="32"/>
  <c r="AU201" i="32"/>
  <c r="AM201" i="32"/>
  <c r="AR51" i="32"/>
  <c r="AU51" i="32"/>
  <c r="AM51" i="32"/>
  <c r="AU519" i="32"/>
  <c r="AM519" i="32"/>
  <c r="AR519" i="32"/>
  <c r="AM209" i="32"/>
  <c r="AR209" i="32"/>
  <c r="AU209" i="32"/>
  <c r="AM428" i="32"/>
  <c r="AR428" i="32"/>
  <c r="AU428" i="32"/>
  <c r="AM210" i="32"/>
  <c r="AR210" i="32"/>
  <c r="AU210" i="32"/>
  <c r="AU917" i="32"/>
  <c r="AM917" i="32"/>
  <c r="AR917" i="32"/>
  <c r="AM527" i="32"/>
  <c r="AR527" i="32"/>
  <c r="AU527" i="32"/>
  <c r="AU798" i="32"/>
  <c r="AM798" i="32"/>
  <c r="AR798" i="32"/>
  <c r="AM64" i="32"/>
  <c r="AR64" i="32"/>
  <c r="AU64" i="32"/>
  <c r="AR530" i="32"/>
  <c r="AU530" i="32"/>
  <c r="AM530" i="32"/>
  <c r="AR16" i="32"/>
  <c r="AU16" i="32"/>
  <c r="AM16" i="32"/>
  <c r="AM268" i="32"/>
  <c r="AR268" i="32"/>
  <c r="AU268" i="32"/>
  <c r="AM287" i="32"/>
  <c r="AR287" i="32"/>
  <c r="AU287" i="32"/>
  <c r="AU712" i="32"/>
  <c r="AM712" i="32"/>
  <c r="AR712" i="32"/>
  <c r="AM777" i="32"/>
  <c r="AR777" i="32"/>
  <c r="AU777" i="32"/>
  <c r="AR781" i="32"/>
  <c r="AU781" i="32"/>
  <c r="AM781" i="32"/>
  <c r="AU753" i="32"/>
  <c r="AM753" i="32"/>
  <c r="AR753" i="32"/>
  <c r="AM703" i="32"/>
  <c r="AR703" i="32"/>
  <c r="AU703" i="32"/>
  <c r="AU804" i="32"/>
  <c r="AM804" i="32"/>
  <c r="AR804" i="32"/>
  <c r="AU175" i="32"/>
  <c r="AM175" i="32"/>
  <c r="AR175" i="32"/>
  <c r="AU351" i="32"/>
  <c r="AM351" i="32"/>
  <c r="AR351" i="32"/>
  <c r="AR313" i="32"/>
  <c r="AU313" i="32"/>
  <c r="AM313" i="32"/>
  <c r="AU947" i="32"/>
  <c r="AM947" i="32"/>
  <c r="AR947" i="32"/>
  <c r="AU72" i="32"/>
  <c r="AM72" i="32"/>
  <c r="AR72" i="32"/>
  <c r="AM444" i="32"/>
  <c r="AR444" i="32"/>
  <c r="AU444" i="32"/>
  <c r="AM131" i="32"/>
  <c r="AR131" i="32"/>
  <c r="AU131" i="32"/>
  <c r="AR362" i="32"/>
  <c r="AU362" i="32"/>
  <c r="AM362" i="32"/>
  <c r="AM183" i="32"/>
  <c r="AR183" i="32"/>
  <c r="AU183" i="32"/>
  <c r="AM455" i="32"/>
  <c r="AR455" i="32"/>
  <c r="AU455" i="32"/>
  <c r="AU318" i="32"/>
  <c r="AM318" i="32"/>
  <c r="AR318" i="32"/>
  <c r="AR637" i="32"/>
  <c r="AU637" i="32"/>
  <c r="AM637" i="32"/>
  <c r="AM369" i="32"/>
  <c r="AR369" i="32"/>
  <c r="AU369" i="32"/>
  <c r="AM194" i="32"/>
  <c r="AR194" i="32"/>
  <c r="AU194" i="32"/>
  <c r="AM593" i="32"/>
  <c r="AR593" i="32"/>
  <c r="AU593" i="32"/>
  <c r="AU90" i="32"/>
  <c r="AM90" i="32"/>
  <c r="AR90" i="32"/>
  <c r="AM597" i="32"/>
  <c r="AR597" i="32"/>
  <c r="AU597" i="32"/>
  <c r="AM902" i="32"/>
  <c r="AR902" i="32"/>
  <c r="AU902" i="32"/>
  <c r="AM198" i="32"/>
  <c r="AR198" i="32"/>
  <c r="AU198" i="32"/>
  <c r="AM600" i="32"/>
  <c r="AR600" i="32"/>
  <c r="AU600" i="32"/>
  <c r="AM328" i="32"/>
  <c r="AR328" i="32"/>
  <c r="AU328" i="32"/>
  <c r="AR155" i="32"/>
  <c r="AU155" i="32"/>
  <c r="AM155" i="32"/>
  <c r="AR331" i="32"/>
  <c r="AU331" i="32"/>
  <c r="AM331" i="32"/>
  <c r="AU909" i="32"/>
  <c r="AM909" i="32"/>
  <c r="AR909" i="32"/>
  <c r="AR104" i="32"/>
  <c r="AU104" i="32"/>
  <c r="AM104" i="32"/>
  <c r="AU607" i="32"/>
  <c r="AM607" i="32"/>
  <c r="AR607" i="32"/>
  <c r="AU916" i="32"/>
  <c r="AM916" i="32"/>
  <c r="AR916" i="32"/>
  <c r="AU105" i="32"/>
  <c r="AM105" i="32"/>
  <c r="AR105" i="32"/>
  <c r="AM528" i="32"/>
  <c r="AR528" i="32"/>
  <c r="AU528" i="32"/>
  <c r="AR170" i="32"/>
  <c r="AU170" i="32"/>
  <c r="AM170" i="32"/>
  <c r="AM388" i="32"/>
  <c r="AU388" i="32"/>
  <c r="AR388" i="32"/>
  <c r="AR122" i="32"/>
  <c r="AU122" i="32"/>
  <c r="AM122" i="32"/>
  <c r="AR532" i="32"/>
  <c r="AU532" i="32"/>
  <c r="AM532" i="32"/>
  <c r="AR223" i="32"/>
  <c r="AU223" i="32"/>
  <c r="AM223" i="32"/>
  <c r="AM281" i="32"/>
  <c r="AR281" i="32"/>
  <c r="AU281" i="32"/>
  <c r="AM251" i="32"/>
  <c r="AR251" i="32"/>
  <c r="AU251" i="32"/>
  <c r="AU734" i="32"/>
  <c r="AM734" i="32"/>
  <c r="AR734" i="32"/>
  <c r="AM776" i="32"/>
  <c r="AR776" i="32"/>
  <c r="AU776" i="32"/>
  <c r="AM780" i="32"/>
  <c r="AR780" i="32"/>
  <c r="AU780" i="32"/>
  <c r="AU752" i="32"/>
  <c r="AM752" i="32"/>
  <c r="AR752" i="32"/>
  <c r="AR729" i="32"/>
  <c r="AU729" i="32"/>
  <c r="AM729" i="32"/>
  <c r="AU733" i="32"/>
  <c r="AM733" i="32"/>
  <c r="AR733" i="32"/>
  <c r="AR70" i="32"/>
  <c r="AU70" i="32"/>
  <c r="AM70" i="32"/>
  <c r="AU535" i="32"/>
  <c r="AM535" i="32"/>
  <c r="AR535" i="32"/>
  <c r="AR315" i="32"/>
  <c r="AU315" i="32"/>
  <c r="AM315" i="32"/>
  <c r="AU807" i="32"/>
  <c r="AM807" i="32"/>
  <c r="AR807" i="32"/>
  <c r="AM178" i="32"/>
  <c r="AR178" i="32"/>
  <c r="AU178" i="32"/>
  <c r="AU352" i="32"/>
  <c r="AM352" i="32"/>
  <c r="AR352" i="32"/>
  <c r="AR445" i="32"/>
  <c r="AU445" i="32"/>
  <c r="AM445" i="32"/>
  <c r="AM26" i="32"/>
  <c r="AR26" i="32"/>
  <c r="AU26" i="32"/>
  <c r="AR547" i="32"/>
  <c r="AU547" i="32"/>
  <c r="AM547" i="32"/>
  <c r="AR187" i="32"/>
  <c r="AU187" i="32"/>
  <c r="AM187" i="32"/>
  <c r="AU950" i="32"/>
  <c r="AM950" i="32"/>
  <c r="AR950" i="32"/>
  <c r="AM404" i="32"/>
  <c r="AU404" i="32"/>
  <c r="AR404" i="32"/>
  <c r="AU502" i="32"/>
  <c r="AM502" i="32"/>
  <c r="AR502" i="32"/>
  <c r="AM456" i="32"/>
  <c r="AR456" i="32"/>
  <c r="AU456" i="32"/>
  <c r="AM553" i="32"/>
  <c r="AR553" i="32"/>
  <c r="AU553" i="32"/>
  <c r="AU89" i="32"/>
  <c r="AM89" i="32"/>
  <c r="AR89" i="32"/>
  <c r="AM412" i="32"/>
  <c r="AR412" i="32"/>
  <c r="AU412" i="32"/>
  <c r="AM196" i="32"/>
  <c r="AR196" i="32"/>
  <c r="AU196" i="32"/>
  <c r="AR416" i="32"/>
  <c r="AU416" i="32"/>
  <c r="AM416" i="32"/>
  <c r="AM542" i="32"/>
  <c r="AR542" i="32"/>
  <c r="AU542" i="32"/>
  <c r="AM93" i="32"/>
  <c r="AR93" i="32"/>
  <c r="AU93" i="32"/>
  <c r="AU419" i="32"/>
  <c r="AM419" i="32"/>
  <c r="AR419" i="32"/>
  <c r="AR904" i="32"/>
  <c r="AU904" i="32"/>
  <c r="AM904" i="32"/>
  <c r="AR330" i="32"/>
  <c r="AU330" i="32"/>
  <c r="AM330" i="32"/>
  <c r="AR50" i="32"/>
  <c r="AU50" i="32"/>
  <c r="AM50" i="32"/>
  <c r="AR604" i="32"/>
  <c r="AU604" i="32"/>
  <c r="AM604" i="32"/>
  <c r="AU968" i="32"/>
  <c r="AM968" i="32"/>
  <c r="AR968" i="32"/>
  <c r="AM522" i="32"/>
  <c r="AR522" i="32"/>
  <c r="AU522" i="32"/>
  <c r="AM426" i="32"/>
  <c r="AR426" i="32"/>
  <c r="AU426" i="32"/>
  <c r="AM970" i="32"/>
  <c r="AU970" i="32"/>
  <c r="AR970" i="32"/>
  <c r="AM211" i="32"/>
  <c r="AR211" i="32"/>
  <c r="AU211" i="32"/>
  <c r="AU797" i="32"/>
  <c r="AM797" i="32"/>
  <c r="AR797" i="32"/>
  <c r="AM972" i="32"/>
  <c r="AR972" i="32"/>
  <c r="AU972" i="32"/>
  <c r="AM340" i="32"/>
  <c r="AR340" i="32"/>
  <c r="AU340" i="32"/>
  <c r="AU799" i="32"/>
  <c r="AM799" i="32"/>
  <c r="AR799" i="32"/>
  <c r="AM168" i="32"/>
  <c r="AR168" i="32"/>
  <c r="AU168" i="32"/>
  <c r="AM387" i="32"/>
  <c r="AR387" i="32"/>
  <c r="AU387" i="32"/>
  <c r="AR17" i="32"/>
  <c r="AU17" i="32"/>
  <c r="AM17" i="32"/>
  <c r="AR533" i="32"/>
  <c r="AU533" i="32"/>
  <c r="AM533" i="32"/>
  <c r="AR224" i="32"/>
  <c r="AU224" i="32"/>
  <c r="AM224" i="32"/>
  <c r="AM282" i="32"/>
  <c r="AU282" i="32"/>
  <c r="AR282" i="32"/>
  <c r="AM252" i="32"/>
  <c r="AR252" i="32"/>
  <c r="AU252" i="32"/>
  <c r="AM237" i="32"/>
  <c r="T133" i="24" s="1"/>
  <c r="Z133" i="12" s="1"/>
  <c r="AR237" i="32"/>
  <c r="Y133" i="24" s="1"/>
  <c r="AE133" i="12" s="1"/>
  <c r="AU237" i="32"/>
  <c r="AB133" i="24" s="1"/>
  <c r="AH133" i="12" s="1"/>
  <c r="AU735" i="32"/>
  <c r="AM735" i="32"/>
  <c r="AR735" i="32"/>
  <c r="AR680" i="32"/>
  <c r="AU680" i="32"/>
  <c r="AM680" i="32"/>
  <c r="AR708" i="32"/>
  <c r="AU708" i="32"/>
  <c r="AM708" i="32"/>
  <c r="AM688" i="32"/>
  <c r="AR688" i="32"/>
  <c r="AU688" i="32"/>
  <c r="AR728" i="32"/>
  <c r="AU728" i="32"/>
  <c r="AM728" i="32"/>
  <c r="AU732" i="32"/>
  <c r="AM732" i="32"/>
  <c r="AR732" i="32"/>
  <c r="AR905" i="32"/>
  <c r="AU905" i="32"/>
  <c r="AM905" i="32"/>
  <c r="AM176" i="32"/>
  <c r="AU176" i="32"/>
  <c r="AR176" i="32"/>
  <c r="W536" i="11"/>
  <c r="T536" i="32" s="1"/>
  <c r="W395" i="11"/>
  <c r="T395" i="32" s="1"/>
  <c r="AM395" i="32"/>
  <c r="AR395" i="32"/>
  <c r="AU395" i="32"/>
  <c r="AU73" i="32"/>
  <c r="AM73" i="32"/>
  <c r="AR73" i="32"/>
  <c r="AM132" i="32"/>
  <c r="AR132" i="32"/>
  <c r="AU132" i="32"/>
  <c r="AU813" i="32"/>
  <c r="AM813" i="32"/>
  <c r="AR813" i="32"/>
  <c r="AM184" i="32"/>
  <c r="AR184" i="32"/>
  <c r="AU184" i="32"/>
  <c r="AU402" i="32"/>
  <c r="AM402" i="32"/>
  <c r="AR402" i="32"/>
  <c r="AM453" i="32"/>
  <c r="AR453" i="32"/>
  <c r="AU453" i="32"/>
  <c r="AR35" i="32"/>
  <c r="AU35" i="32"/>
  <c r="AM35" i="32"/>
  <c r="AU503" i="32"/>
  <c r="AM503" i="32"/>
  <c r="AR503" i="32"/>
  <c r="AR638" i="32"/>
  <c r="AU638" i="32"/>
  <c r="AM638" i="32"/>
  <c r="AM506" i="32"/>
  <c r="AR506" i="32"/>
  <c r="AU506" i="32"/>
  <c r="AM413" i="32"/>
  <c r="AR413" i="32"/>
  <c r="AU413" i="32"/>
  <c r="AM825" i="32"/>
  <c r="AR825" i="32"/>
  <c r="AU825" i="32"/>
  <c r="AM91" i="32"/>
  <c r="AU91" i="32"/>
  <c r="AR91" i="32"/>
  <c r="AM644" i="32"/>
  <c r="AR644" i="32"/>
  <c r="AU644" i="32"/>
  <c r="AM199" i="32"/>
  <c r="AR199" i="32"/>
  <c r="AU199" i="32"/>
  <c r="AU466" i="32"/>
  <c r="AM466" i="32"/>
  <c r="AR466" i="32"/>
  <c r="AU965" i="32"/>
  <c r="AM965" i="32"/>
  <c r="AR965" i="32"/>
  <c r="AR515" i="32"/>
  <c r="AU515" i="32"/>
  <c r="AM515" i="32"/>
  <c r="AR156" i="32"/>
  <c r="AU156" i="32"/>
  <c r="AM156" i="32"/>
  <c r="AM423" i="32"/>
  <c r="AR423" i="32"/>
  <c r="AU423" i="32"/>
  <c r="W608" i="11"/>
  <c r="T608" i="32" s="1"/>
  <c r="AM60" i="32"/>
  <c r="AR60" i="32"/>
  <c r="AU60" i="32"/>
  <c r="W341" i="11"/>
  <c r="T341" i="32" s="1"/>
  <c r="AM341" i="32"/>
  <c r="AR341" i="32"/>
  <c r="AU341" i="32"/>
  <c r="AM63" i="32"/>
  <c r="AR63" i="32"/>
  <c r="AU63" i="32"/>
  <c r="AM569" i="32"/>
  <c r="AR569" i="32"/>
  <c r="AU569" i="32"/>
  <c r="AR67" i="32"/>
  <c r="AU67" i="32"/>
  <c r="AM67" i="32"/>
  <c r="AU534" i="32"/>
  <c r="AM534" i="32"/>
  <c r="AR534" i="32"/>
  <c r="AU245" i="32"/>
  <c r="AM245" i="32"/>
  <c r="AR245" i="32"/>
  <c r="AU227" i="32"/>
  <c r="AM227" i="32"/>
  <c r="AR227" i="32"/>
  <c r="AM285" i="32"/>
  <c r="AR285" i="32"/>
  <c r="AU285" i="32"/>
  <c r="AR398" i="32"/>
  <c r="AU398" i="32"/>
  <c r="AM398" i="32"/>
  <c r="AM739" i="32"/>
  <c r="AU739" i="32"/>
  <c r="AR739" i="32"/>
  <c r="AR681" i="32"/>
  <c r="AU681" i="32"/>
  <c r="AM681" i="32"/>
  <c r="AM689" i="32"/>
  <c r="AR689" i="32"/>
  <c r="AU689" i="32"/>
  <c r="AM653" i="32"/>
  <c r="AR653" i="32"/>
  <c r="AU653" i="32"/>
  <c r="AR765" i="32"/>
  <c r="AU765" i="32"/>
  <c r="AM765" i="32"/>
  <c r="AM571" i="32"/>
  <c r="AR571" i="32"/>
  <c r="AU571" i="32"/>
  <c r="AR71" i="32"/>
  <c r="AU71" i="32"/>
  <c r="AM71" i="32"/>
  <c r="AM574" i="32"/>
  <c r="AR574" i="32"/>
  <c r="AU574" i="32"/>
  <c r="AU808" i="32"/>
  <c r="AM808" i="32"/>
  <c r="AR808" i="32"/>
  <c r="AM179" i="32"/>
  <c r="AR179" i="32"/>
  <c r="AU179" i="32"/>
  <c r="AR446" i="32"/>
  <c r="AU446" i="32"/>
  <c r="AM446" i="32"/>
  <c r="AM27" i="32"/>
  <c r="AR27" i="32"/>
  <c r="AU27" i="32"/>
  <c r="AR549" i="32"/>
  <c r="AM549" i="32"/>
  <c r="AU549" i="32"/>
  <c r="AR186" i="32"/>
  <c r="AU186" i="32"/>
  <c r="AM186" i="32"/>
  <c r="AM79" i="32"/>
  <c r="AR79" i="32"/>
  <c r="AU79" i="32"/>
  <c r="W583" i="11"/>
  <c r="T583" i="32" s="1"/>
  <c r="AU583" i="32"/>
  <c r="AM583" i="32"/>
  <c r="AR583" i="32"/>
  <c r="AM820" i="32"/>
  <c r="AR820" i="32"/>
  <c r="AU820" i="32"/>
  <c r="AR139" i="32"/>
  <c r="AU139" i="32"/>
  <c r="AM139" i="32"/>
  <c r="AM504" i="32"/>
  <c r="AU504" i="32"/>
  <c r="AR504" i="32"/>
  <c r="AM457" i="32"/>
  <c r="AR457" i="32"/>
  <c r="AU457" i="32"/>
  <c r="AM555" i="32"/>
  <c r="AR555" i="32"/>
  <c r="AU555" i="32"/>
  <c r="AM321" i="32"/>
  <c r="AU321" i="32"/>
  <c r="AR321" i="32"/>
  <c r="AM899" i="32"/>
  <c r="AR899" i="32"/>
  <c r="AU899" i="32"/>
  <c r="AM197" i="32"/>
  <c r="AR197" i="32"/>
  <c r="AU197" i="32"/>
  <c r="AM543" i="32"/>
  <c r="AR543" i="32"/>
  <c r="AU543" i="32"/>
  <c r="AM94" i="32"/>
  <c r="AR94" i="32"/>
  <c r="AU94" i="32"/>
  <c r="AR516" i="32"/>
  <c r="AU516" i="32"/>
  <c r="AM516" i="32"/>
  <c r="AM650" i="32"/>
  <c r="AR650" i="32"/>
  <c r="AU650" i="32"/>
  <c r="AR154" i="32"/>
  <c r="AU154" i="32"/>
  <c r="AM154" i="32"/>
  <c r="AR605" i="32"/>
  <c r="AU605" i="32"/>
  <c r="AM605" i="32"/>
  <c r="AU910" i="32"/>
  <c r="AM910" i="32"/>
  <c r="AR910" i="32"/>
  <c r="AU334" i="32"/>
  <c r="AM334" i="32"/>
  <c r="AR334" i="32"/>
  <c r="AU914" i="32"/>
  <c r="AM914" i="32"/>
  <c r="AR914" i="32"/>
  <c r="AU795" i="32"/>
  <c r="AM795" i="32"/>
  <c r="AR795" i="32"/>
  <c r="AM163" i="32"/>
  <c r="AR163" i="32"/>
  <c r="AU163" i="32"/>
  <c r="AM342" i="32"/>
  <c r="AR342" i="32"/>
  <c r="AU342" i="32"/>
  <c r="AU940" i="32"/>
  <c r="AM940" i="32"/>
  <c r="AR940" i="32"/>
  <c r="AR169" i="32"/>
  <c r="AU169" i="32"/>
  <c r="AM169" i="32"/>
  <c r="AM570" i="32"/>
  <c r="AR570" i="32"/>
  <c r="AU570" i="32"/>
  <c r="AR171" i="32"/>
  <c r="AU171" i="32"/>
  <c r="AM171" i="32"/>
  <c r="AU246" i="32"/>
  <c r="AM246" i="32"/>
  <c r="AR246" i="32"/>
  <c r="AU228" i="32"/>
  <c r="AM228" i="32"/>
  <c r="AR228" i="32"/>
  <c r="AM286" i="32"/>
  <c r="AR286" i="32"/>
  <c r="AU286" i="32"/>
  <c r="AM239" i="32"/>
  <c r="AR239" i="32"/>
  <c r="AU239" i="32"/>
  <c r="AR766" i="32"/>
  <c r="AU766" i="32"/>
  <c r="AM766" i="32"/>
  <c r="AU770" i="32"/>
  <c r="AM770" i="32"/>
  <c r="AR770" i="32"/>
  <c r="AU684" i="32"/>
  <c r="AM684" i="32"/>
  <c r="AR684" i="32"/>
  <c r="AM764" i="32"/>
  <c r="AR764" i="32"/>
  <c r="AU764" i="32"/>
  <c r="AM390" i="32"/>
  <c r="AR390" i="32"/>
  <c r="AU390" i="32"/>
  <c r="AU174" i="32"/>
  <c r="AM174" i="32"/>
  <c r="AR174" i="32"/>
  <c r="AU450" i="32"/>
  <c r="AM450" i="32"/>
  <c r="AR450" i="32"/>
  <c r="AM393" i="32"/>
  <c r="AR393" i="32"/>
  <c r="AU393" i="32"/>
  <c r="AM490" i="32"/>
  <c r="AR490" i="32"/>
  <c r="AU490" i="32"/>
  <c r="W559" i="11"/>
  <c r="T559" i="32" s="1"/>
  <c r="AM180" i="32"/>
  <c r="AR180" i="32"/>
  <c r="AU180" i="32"/>
  <c r="AM361" i="32"/>
  <c r="AR361" i="32"/>
  <c r="AU361" i="32"/>
  <c r="AM82" i="32"/>
  <c r="AR82" i="32"/>
  <c r="AU82" i="32"/>
  <c r="AU951" i="32"/>
  <c r="AM951" i="32"/>
  <c r="AR951" i="32"/>
  <c r="AR185" i="32"/>
  <c r="AU185" i="32"/>
  <c r="AM185" i="32"/>
  <c r="AR34" i="32"/>
  <c r="AU34" i="32"/>
  <c r="AM34" i="32"/>
  <c r="AU567" i="32"/>
  <c r="AM567" i="32"/>
  <c r="AR567" i="32"/>
  <c r="AU639" i="32"/>
  <c r="AM639" i="32"/>
  <c r="AR639" i="32"/>
  <c r="AU367" i="32"/>
  <c r="AM367" i="32"/>
  <c r="AR367" i="32"/>
  <c r="AM505" i="32"/>
  <c r="AR505" i="32"/>
  <c r="AU505" i="32"/>
  <c r="AM360" i="32"/>
  <c r="AR360" i="32"/>
  <c r="AU360" i="32"/>
  <c r="AM92" i="32"/>
  <c r="AR92" i="32"/>
  <c r="AU92" i="32"/>
  <c r="AR462" i="32"/>
  <c r="AU462" i="32"/>
  <c r="AM462" i="32"/>
  <c r="AM200" i="32"/>
  <c r="AR200" i="32"/>
  <c r="AU200" i="32"/>
  <c r="AM646" i="32"/>
  <c r="AR646" i="32"/>
  <c r="AU646" i="32"/>
  <c r="AM151" i="32"/>
  <c r="AR151" i="32"/>
  <c r="AU151" i="32"/>
  <c r="W329" i="11"/>
  <c r="T329" i="32" s="1"/>
  <c r="AR329" i="32"/>
  <c r="AU329" i="32"/>
  <c r="AM329" i="32"/>
  <c r="AM469" i="32"/>
  <c r="AR469" i="32"/>
  <c r="AU469" i="32"/>
  <c r="AR49" i="32"/>
  <c r="AU49" i="32"/>
  <c r="AM49" i="32"/>
  <c r="AM424" i="32"/>
  <c r="AR424" i="32"/>
  <c r="AU424" i="32"/>
  <c r="AU969" i="32"/>
  <c r="AM969" i="32"/>
  <c r="AR969" i="32"/>
  <c r="AU335" i="32"/>
  <c r="AM335" i="32"/>
  <c r="AR335" i="32"/>
  <c r="AM971" i="32"/>
  <c r="AR971" i="32"/>
  <c r="AU971" i="32"/>
  <c r="AM58" i="32"/>
  <c r="AR58" i="32"/>
  <c r="AU58" i="32"/>
  <c r="AU434" i="32"/>
  <c r="AM434" i="32"/>
  <c r="AR434" i="32"/>
  <c r="AU920" i="32"/>
  <c r="AM920" i="32"/>
  <c r="AR920" i="32"/>
  <c r="AR296" i="32"/>
  <c r="AU296" i="32"/>
  <c r="AM296" i="32"/>
  <c r="AM389" i="32"/>
  <c r="AR389" i="32"/>
  <c r="AU389" i="32"/>
  <c r="AR173" i="32"/>
  <c r="AU173" i="32"/>
  <c r="AM173" i="32"/>
  <c r="AU280" i="32"/>
  <c r="AM280" i="32"/>
  <c r="AR280" i="32"/>
  <c r="AM265" i="32"/>
  <c r="AU265" i="32"/>
  <c r="AR265" i="32"/>
  <c r="AR225" i="32"/>
  <c r="AU225" i="32"/>
  <c r="AM225" i="32"/>
  <c r="AR240" i="32"/>
  <c r="AU240" i="32"/>
  <c r="AM240" i="32"/>
  <c r="AR767" i="32"/>
  <c r="AU767" i="32"/>
  <c r="AM767" i="32"/>
  <c r="AU771" i="32"/>
  <c r="AM771" i="32"/>
  <c r="AR771" i="32"/>
  <c r="AM722" i="32"/>
  <c r="AR722" i="32"/>
  <c r="AU722" i="32"/>
  <c r="AM685" i="32"/>
  <c r="AR685" i="32"/>
  <c r="AU685" i="32"/>
  <c r="W695" i="11"/>
  <c r="T695" i="32" s="1"/>
  <c r="AR785" i="32"/>
  <c r="AU785" i="32"/>
  <c r="AM785" i="32"/>
  <c r="AM669" i="32"/>
  <c r="AR669" i="32"/>
  <c r="AU669" i="32"/>
  <c r="AM673" i="32"/>
  <c r="AR673" i="32"/>
  <c r="AU673" i="32"/>
  <c r="AM572" i="32"/>
  <c r="AR572" i="32"/>
  <c r="AU572" i="32"/>
  <c r="AU944" i="32"/>
  <c r="AM944" i="32"/>
  <c r="AR944" i="32"/>
  <c r="AM489" i="32"/>
  <c r="AR489" i="32"/>
  <c r="AU489" i="32"/>
  <c r="AM452" i="32"/>
  <c r="AR452" i="32"/>
  <c r="AU452" i="32"/>
  <c r="AM575" i="32"/>
  <c r="AR575" i="32"/>
  <c r="AU575" i="32"/>
  <c r="AU946" i="32"/>
  <c r="AM946" i="32"/>
  <c r="AR946" i="32"/>
  <c r="AM492" i="32"/>
  <c r="AR492" i="32"/>
  <c r="AU492" i="32"/>
  <c r="AM75" i="32"/>
  <c r="AR75" i="32"/>
  <c r="AU75" i="32"/>
  <c r="AR363" i="32"/>
  <c r="AU363" i="32"/>
  <c r="AM363" i="32"/>
  <c r="AR188" i="32"/>
  <c r="AU188" i="32"/>
  <c r="AM188" i="32"/>
  <c r="AM814" i="32"/>
  <c r="AR814" i="32"/>
  <c r="AU814" i="32"/>
  <c r="AM403" i="32"/>
  <c r="AR403" i="32"/>
  <c r="AU403" i="32"/>
  <c r="AR565" i="32"/>
  <c r="AU565" i="32"/>
  <c r="AM565" i="32"/>
  <c r="AM458" i="32"/>
  <c r="AR458" i="32"/>
  <c r="AU458" i="32"/>
  <c r="AU368" i="32"/>
  <c r="AM368" i="32"/>
  <c r="AR368" i="32"/>
  <c r="AM507" i="32"/>
  <c r="AR507" i="32"/>
  <c r="AU507" i="32"/>
  <c r="AM459" i="32"/>
  <c r="AR459" i="32"/>
  <c r="AU459" i="32"/>
  <c r="AM359" i="32"/>
  <c r="AR359" i="32"/>
  <c r="AU359" i="32"/>
  <c r="AM195" i="32"/>
  <c r="AR195" i="32"/>
  <c r="AU195" i="32"/>
  <c r="AR463" i="32"/>
  <c r="AU463" i="32"/>
  <c r="AM463" i="32"/>
  <c r="AM355" i="32"/>
  <c r="AR355" i="32"/>
  <c r="AU355" i="32"/>
  <c r="AM95" i="32"/>
  <c r="AR95" i="32"/>
  <c r="AU95" i="32"/>
  <c r="AR465" i="32"/>
  <c r="AU465" i="32"/>
  <c r="AM465" i="32"/>
  <c r="AR153" i="32"/>
  <c r="AU153" i="32"/>
  <c r="AM153" i="32"/>
  <c r="AR514" i="32"/>
  <c r="AU514" i="32"/>
  <c r="AM514" i="32"/>
  <c r="AM99" i="32"/>
  <c r="AR99" i="32"/>
  <c r="AU99" i="32"/>
  <c r="AR606" i="32"/>
  <c r="AU606" i="32"/>
  <c r="AM606" i="32"/>
  <c r="AR53" i="32"/>
  <c r="AU53" i="32"/>
  <c r="AM53" i="32"/>
  <c r="AM336" i="32"/>
  <c r="AR336" i="32"/>
  <c r="AU336" i="32"/>
  <c r="AU936" i="32"/>
  <c r="AM936" i="32"/>
  <c r="AR936" i="32"/>
  <c r="AU915" i="32"/>
  <c r="AM915" i="32"/>
  <c r="AR915" i="32"/>
  <c r="AM164" i="32"/>
  <c r="AR164" i="32"/>
  <c r="AU164" i="32"/>
  <c r="AM614" i="32"/>
  <c r="AR614" i="32"/>
  <c r="AU614" i="32"/>
  <c r="AR483" i="32"/>
  <c r="AU483" i="32"/>
  <c r="AM483" i="32"/>
  <c r="W436" i="11"/>
  <c r="T436" i="32" s="1"/>
  <c r="AM436" i="32"/>
  <c r="AR436" i="32"/>
  <c r="AU436" i="32"/>
  <c r="AM66" i="32"/>
  <c r="AR66" i="32"/>
  <c r="AU66" i="32"/>
  <c r="AU279" i="32"/>
  <c r="AM279" i="32"/>
  <c r="AR279" i="32"/>
  <c r="AM266" i="32"/>
  <c r="AU266" i="32"/>
  <c r="AR266" i="32"/>
  <c r="AR226" i="32"/>
  <c r="AU226" i="32"/>
  <c r="AM226" i="32"/>
  <c r="AM257" i="32"/>
  <c r="AR257" i="32"/>
  <c r="AU257" i="32"/>
  <c r="AM675" i="32"/>
  <c r="AR675" i="32"/>
  <c r="AU675" i="32"/>
  <c r="AM743" i="32"/>
  <c r="AR743" i="32"/>
  <c r="AU743" i="32"/>
  <c r="AR747" i="32"/>
  <c r="AU747" i="32"/>
  <c r="AM747" i="32"/>
  <c r="AM756" i="32"/>
  <c r="AR756" i="32"/>
  <c r="AU756" i="32"/>
  <c r="AR784" i="32"/>
  <c r="AU784" i="32"/>
  <c r="AM784" i="32"/>
  <c r="AU668" i="32"/>
  <c r="AM668" i="32"/>
  <c r="AR668" i="32"/>
  <c r="AM672" i="32"/>
  <c r="AR672" i="32"/>
  <c r="AU672" i="32"/>
  <c r="AM391" i="32"/>
  <c r="AR391" i="32"/>
  <c r="AU391" i="32"/>
  <c r="AU945" i="32"/>
  <c r="AM945" i="32"/>
  <c r="AR945" i="32"/>
  <c r="AM301" i="32"/>
  <c r="AR301" i="32"/>
  <c r="AU301" i="32"/>
  <c r="AM631" i="32"/>
  <c r="AR631" i="32"/>
  <c r="AU631" i="32"/>
  <c r="AM394" i="32"/>
  <c r="AR394" i="32"/>
  <c r="AU394" i="32"/>
  <c r="AU809" i="32"/>
  <c r="AM809" i="32"/>
  <c r="AR809" i="32"/>
  <c r="AM305" i="32"/>
  <c r="AR305" i="32"/>
  <c r="AU305" i="32"/>
  <c r="AU810" i="32"/>
  <c r="AM810" i="32"/>
  <c r="AR810" i="32"/>
  <c r="AM181" i="32"/>
  <c r="AR181" i="32"/>
  <c r="AU181" i="32"/>
  <c r="AR580" i="32"/>
  <c r="AU580" i="32"/>
  <c r="AM580" i="32"/>
  <c r="AR311" i="32"/>
  <c r="AU311" i="32"/>
  <c r="AM311" i="32"/>
  <c r="AM585" i="32"/>
  <c r="AR585" i="32"/>
  <c r="AU585" i="32"/>
  <c r="AU819" i="32"/>
  <c r="AM819" i="32"/>
  <c r="AR819" i="32"/>
  <c r="AU141" i="32"/>
  <c r="AM141" i="32"/>
  <c r="AR141" i="32"/>
  <c r="AU37" i="32"/>
  <c r="AM37" i="32"/>
  <c r="AR37" i="32"/>
  <c r="AU319" i="32"/>
  <c r="AM319" i="32"/>
  <c r="AR319" i="32"/>
  <c r="AM641" i="32"/>
  <c r="AR641" i="32"/>
  <c r="AU641" i="32"/>
  <c r="W544" i="11"/>
  <c r="T544" i="32" s="1"/>
  <c r="AM508" i="32"/>
  <c r="AR508" i="32"/>
  <c r="AU508" i="32"/>
  <c r="AM327" i="32"/>
  <c r="AR327" i="32"/>
  <c r="AU327" i="32"/>
  <c r="AM46" i="32"/>
  <c r="AR46" i="32"/>
  <c r="AU46" i="32"/>
  <c r="AR205" i="32"/>
  <c r="AU205" i="32"/>
  <c r="AM205" i="32"/>
  <c r="AM425" i="32"/>
  <c r="AR425" i="32"/>
  <c r="AU425" i="32"/>
  <c r="AU157" i="32"/>
  <c r="AM157" i="32"/>
  <c r="AR157" i="32"/>
  <c r="AM520" i="32"/>
  <c r="AR520" i="32"/>
  <c r="AU520" i="32"/>
  <c r="AU937" i="32"/>
  <c r="AM937" i="32"/>
  <c r="AR937" i="32"/>
  <c r="AM160" i="32"/>
  <c r="AR160" i="32"/>
  <c r="AU160" i="32"/>
  <c r="AU796" i="32"/>
  <c r="AM796" i="32"/>
  <c r="AR796" i="32"/>
  <c r="AM59" i="32"/>
  <c r="AR59" i="32"/>
  <c r="AU59" i="32"/>
  <c r="AR433" i="32"/>
  <c r="AU433" i="32"/>
  <c r="AM433" i="32"/>
  <c r="AR295" i="32"/>
  <c r="AU295" i="32"/>
  <c r="AM295" i="32"/>
  <c r="AM616" i="32"/>
  <c r="AR616" i="32"/>
  <c r="AU616" i="32"/>
  <c r="AR172" i="32"/>
  <c r="AU172" i="32"/>
  <c r="AM172" i="32"/>
  <c r="AM249" i="32"/>
  <c r="AR249" i="32"/>
  <c r="AU249" i="32"/>
  <c r="AR258" i="32"/>
  <c r="AU258" i="32"/>
  <c r="AM258" i="32"/>
  <c r="AM674" i="32"/>
  <c r="AR674" i="32"/>
  <c r="AU674" i="32"/>
  <c r="AM742" i="32"/>
  <c r="AR742" i="32"/>
  <c r="AU742" i="32"/>
  <c r="W746" i="11"/>
  <c r="T746" i="32" s="1"/>
  <c r="AM746" i="32"/>
  <c r="AR746" i="32"/>
  <c r="AU746" i="32"/>
  <c r="AM757" i="32"/>
  <c r="AR757" i="32"/>
  <c r="AU757" i="32"/>
  <c r="AM693" i="32"/>
  <c r="AR693" i="32"/>
  <c r="AU693" i="32"/>
  <c r="AU700" i="32"/>
  <c r="AM700" i="32"/>
  <c r="AR700" i="32"/>
  <c r="AM573" i="32"/>
  <c r="AR573" i="32"/>
  <c r="AU573" i="32"/>
  <c r="AU805" i="32"/>
  <c r="AM805" i="32"/>
  <c r="AR805" i="32"/>
  <c r="AM302" i="32"/>
  <c r="AU302" i="32"/>
  <c r="AR302" i="32"/>
  <c r="AM632" i="32"/>
  <c r="AR632" i="32"/>
  <c r="AU632" i="32"/>
  <c r="AM576" i="32"/>
  <c r="AR576" i="32"/>
  <c r="AU576" i="32"/>
  <c r="AM306" i="32"/>
  <c r="AR306" i="32"/>
  <c r="AU306" i="32"/>
  <c r="AM76" i="32"/>
  <c r="AR76" i="32"/>
  <c r="AU76" i="32"/>
  <c r="AU818" i="32"/>
  <c r="AM818" i="32"/>
  <c r="AR818" i="32"/>
  <c r="AR582" i="32"/>
  <c r="AU582" i="32"/>
  <c r="AM582" i="32"/>
  <c r="AM815" i="32"/>
  <c r="AR815" i="32"/>
  <c r="AU815" i="32"/>
  <c r="AM587" i="32"/>
  <c r="AR587" i="32"/>
  <c r="AU587" i="32"/>
  <c r="AR381" i="32"/>
  <c r="AM381" i="32"/>
  <c r="AU381" i="32"/>
  <c r="AM144" i="32"/>
  <c r="AR144" i="32"/>
  <c r="AU144" i="32"/>
  <c r="AM320" i="32"/>
  <c r="AR320" i="32"/>
  <c r="AU320" i="32"/>
  <c r="AM460" i="32"/>
  <c r="AR460" i="32"/>
  <c r="AU460" i="32"/>
  <c r="AR545" i="32"/>
  <c r="AU545" i="32"/>
  <c r="AM545" i="32"/>
  <c r="AM510" i="32"/>
  <c r="AR510" i="32"/>
  <c r="AU510" i="32"/>
  <c r="AR464" i="32"/>
  <c r="AU464" i="32"/>
  <c r="AM464" i="32"/>
  <c r="AM356" i="32"/>
  <c r="AR356" i="32"/>
  <c r="AU356" i="32"/>
  <c r="W511" i="11"/>
  <c r="T511" i="32" s="1"/>
  <c r="AM511" i="32"/>
  <c r="AR511" i="32"/>
  <c r="AU511" i="32"/>
  <c r="AR152" i="32"/>
  <c r="AU152" i="32"/>
  <c r="AM152" i="32"/>
  <c r="AR603" i="32"/>
  <c r="AU603" i="32"/>
  <c r="AM603" i="32"/>
  <c r="AR101" i="32"/>
  <c r="AU101" i="32"/>
  <c r="AM101" i="32"/>
  <c r="AR52" i="32"/>
  <c r="AU52" i="32"/>
  <c r="AM52" i="32"/>
  <c r="AR137" i="32"/>
  <c r="AU137" i="32"/>
  <c r="AM137" i="32"/>
  <c r="AU55" i="32"/>
  <c r="AM55" i="32"/>
  <c r="AR55" i="32"/>
  <c r="AM615" i="32"/>
  <c r="AR615" i="32"/>
  <c r="AU615" i="32"/>
  <c r="AR297" i="32"/>
  <c r="AU297" i="32"/>
  <c r="AM297" i="32"/>
  <c r="AU435" i="32"/>
  <c r="AM435" i="32"/>
  <c r="AR435" i="32"/>
  <c r="AM977" i="32"/>
  <c r="AR977" i="32"/>
  <c r="AU977" i="32"/>
  <c r="AR68" i="32"/>
  <c r="AU68" i="32"/>
  <c r="AM68" i="32"/>
  <c r="AR260" i="32"/>
  <c r="AU260" i="32"/>
  <c r="AM260" i="32"/>
  <c r="AM250" i="32"/>
  <c r="AR250" i="32"/>
  <c r="AU250" i="32"/>
  <c r="AR711" i="32"/>
  <c r="AU711" i="32"/>
  <c r="AM711" i="32"/>
  <c r="AR678" i="32"/>
  <c r="AU678" i="32"/>
  <c r="AM678" i="32"/>
  <c r="AM775" i="32"/>
  <c r="AR775" i="32"/>
  <c r="AU775" i="32"/>
  <c r="AM778" i="32"/>
  <c r="AR778" i="32"/>
  <c r="AU778" i="32"/>
  <c r="AR666" i="32"/>
  <c r="AU666" i="32"/>
  <c r="AM666" i="32"/>
  <c r="AM692" i="32"/>
  <c r="AR692" i="32"/>
  <c r="AU692" i="32"/>
  <c r="X787" i="11"/>
  <c r="AN787" i="10" s="1"/>
  <c r="T787" i="32"/>
  <c r="AT905" i="10"/>
  <c r="AT905" i="32"/>
  <c r="AR392" i="32"/>
  <c r="AU392" i="32"/>
  <c r="AM392" i="32"/>
  <c r="AU806" i="32"/>
  <c r="AM806" i="32"/>
  <c r="AR806" i="32"/>
  <c r="AM303" i="32"/>
  <c r="AR303" i="32"/>
  <c r="AU303" i="32"/>
  <c r="W443" i="11"/>
  <c r="T443" i="32" s="1"/>
  <c r="AM443" i="32"/>
  <c r="AR443" i="32"/>
  <c r="AU443" i="32"/>
  <c r="AM128" i="32"/>
  <c r="AR128" i="32"/>
  <c r="AU128" i="32"/>
  <c r="W491" i="11"/>
  <c r="T491" i="32" s="1"/>
  <c r="AM491" i="32"/>
  <c r="AR491" i="32"/>
  <c r="AU491" i="32"/>
  <c r="AU948" i="32"/>
  <c r="AM948" i="32"/>
  <c r="AR948" i="32"/>
  <c r="AM182" i="32"/>
  <c r="AR182" i="32"/>
  <c r="AU182" i="32"/>
  <c r="AU952" i="32"/>
  <c r="AM952" i="32"/>
  <c r="AR952" i="32"/>
  <c r="AR581" i="32"/>
  <c r="AU581" i="32"/>
  <c r="AM581" i="32"/>
  <c r="AR497" i="32"/>
  <c r="AU497" i="32"/>
  <c r="AM497" i="32"/>
  <c r="AM406" i="32"/>
  <c r="AR406" i="32"/>
  <c r="AU406" i="32"/>
  <c r="AU955" i="32"/>
  <c r="AM955" i="32"/>
  <c r="AR955" i="32"/>
  <c r="AR189" i="32"/>
  <c r="AU189" i="32"/>
  <c r="AM189" i="32"/>
  <c r="AR566" i="32"/>
  <c r="AU566" i="32"/>
  <c r="AM566" i="32"/>
  <c r="W13" i="11"/>
  <c r="T13" i="10" s="1"/>
  <c r="AM13" i="32"/>
  <c r="AU13" i="32"/>
  <c r="AR13" i="32"/>
  <c r="W461" i="11"/>
  <c r="T461" i="32" s="1"/>
  <c r="AR461" i="32"/>
  <c r="AU461" i="32"/>
  <c r="AM461" i="32"/>
  <c r="AR546" i="32"/>
  <c r="AU546" i="32"/>
  <c r="AM546" i="32"/>
  <c r="AM322" i="32"/>
  <c r="AR322" i="32"/>
  <c r="AU322" i="32"/>
  <c r="AM357" i="32"/>
  <c r="AR357" i="32"/>
  <c r="AU357" i="32"/>
  <c r="AM512" i="32"/>
  <c r="AR512" i="32"/>
  <c r="AU512" i="32"/>
  <c r="AU467" i="32"/>
  <c r="AM467" i="32"/>
  <c r="AR467" i="32"/>
  <c r="AM47" i="32"/>
  <c r="AR47" i="32"/>
  <c r="AU47" i="32"/>
  <c r="AM422" i="32"/>
  <c r="AR422" i="32"/>
  <c r="AU422" i="32"/>
  <c r="AU908" i="32"/>
  <c r="AM908" i="32"/>
  <c r="AR908" i="32"/>
  <c r="AR204" i="32"/>
  <c r="AU204" i="32"/>
  <c r="AM204" i="32"/>
  <c r="AM471" i="32"/>
  <c r="AR471" i="32"/>
  <c r="AU471" i="32"/>
  <c r="AU158" i="32"/>
  <c r="AM158" i="32"/>
  <c r="AR158" i="32"/>
  <c r="AR136" i="32"/>
  <c r="AU136" i="32"/>
  <c r="AM136" i="32"/>
  <c r="AM161" i="32"/>
  <c r="AR161" i="32"/>
  <c r="AU161" i="32"/>
  <c r="AM610" i="32"/>
  <c r="AR610" i="32"/>
  <c r="AU610" i="32"/>
  <c r="AU918" i="32"/>
  <c r="AM918" i="32"/>
  <c r="AR918" i="32"/>
  <c r="AM213" i="32"/>
  <c r="AU213" i="32"/>
  <c r="AR213" i="32"/>
  <c r="AM974" i="32"/>
  <c r="AR974" i="32"/>
  <c r="AU974" i="32"/>
  <c r="W481" i="11"/>
  <c r="T481" i="32" s="1"/>
  <c r="AR481" i="32"/>
  <c r="AU481" i="32"/>
  <c r="AM481" i="32"/>
  <c r="AM617" i="32"/>
  <c r="AR617" i="32"/>
  <c r="AU617" i="32"/>
  <c r="AM233" i="32"/>
  <c r="T131" i="24" s="1"/>
  <c r="Z131" i="12" s="1"/>
  <c r="AR233" i="32"/>
  <c r="Y131" i="24" s="1"/>
  <c r="AE131" i="12" s="1"/>
  <c r="AU233" i="32"/>
  <c r="AB131" i="24" s="1"/>
  <c r="AH131" i="12" s="1"/>
  <c r="AM283" i="32"/>
  <c r="AR283" i="32"/>
  <c r="AU283" i="32"/>
  <c r="AR399" i="32"/>
  <c r="AU399" i="32"/>
  <c r="AM399" i="32"/>
  <c r="AR710" i="32"/>
  <c r="AU710" i="32"/>
  <c r="AM710" i="32"/>
  <c r="AR679" i="32"/>
  <c r="AU679" i="32"/>
  <c r="AM679" i="32"/>
  <c r="AM774" i="32"/>
  <c r="AR774" i="32"/>
  <c r="AU774" i="32"/>
  <c r="AM779" i="32"/>
  <c r="AR779" i="32"/>
  <c r="AU779" i="32"/>
  <c r="AU667" i="32"/>
  <c r="AM667" i="32"/>
  <c r="AR667" i="32"/>
  <c r="W754" i="11"/>
  <c r="T754" i="32" s="1"/>
  <c r="AM754" i="32"/>
  <c r="AR754" i="32"/>
  <c r="AU754" i="32"/>
  <c r="AR731" i="32"/>
  <c r="AU731" i="32"/>
  <c r="AM731" i="32"/>
  <c r="AR619" i="32"/>
  <c r="AU619" i="32"/>
  <c r="AM619" i="32"/>
  <c r="AU19" i="32"/>
  <c r="AM19" i="32"/>
  <c r="AR19" i="32"/>
  <c r="AU487" i="32"/>
  <c r="AM487" i="32"/>
  <c r="AR487" i="32"/>
  <c r="AU451" i="32"/>
  <c r="AM451" i="32"/>
  <c r="AR451" i="32"/>
  <c r="AR622" i="32"/>
  <c r="AU622" i="32"/>
  <c r="AM622" i="32"/>
  <c r="AM23" i="32"/>
  <c r="AR23" i="32"/>
  <c r="AU23" i="32"/>
  <c r="AM304" i="32"/>
  <c r="AR304" i="32"/>
  <c r="AR578" i="32"/>
  <c r="AU578" i="32"/>
  <c r="AM578" i="32"/>
  <c r="AU811" i="32"/>
  <c r="AM811" i="32"/>
  <c r="AR811" i="32"/>
  <c r="AM77" i="32"/>
  <c r="AR77" i="32"/>
  <c r="AU77" i="32"/>
  <c r="AM628" i="32"/>
  <c r="AR628" i="32"/>
  <c r="AU628" i="32"/>
  <c r="AR498" i="32"/>
  <c r="AU498" i="32"/>
  <c r="AM498" i="32"/>
  <c r="AM588" i="32"/>
  <c r="AR588" i="32"/>
  <c r="AU588" i="32"/>
  <c r="AR85" i="32"/>
  <c r="AU85" i="32"/>
  <c r="AM85" i="32"/>
  <c r="AU379" i="32"/>
  <c r="AM379" i="32"/>
  <c r="AR379" i="32"/>
  <c r="AM823" i="32"/>
  <c r="AR823" i="32"/>
  <c r="AU823" i="32"/>
  <c r="AU142" i="32"/>
  <c r="AM142" i="32"/>
  <c r="AR142" i="32"/>
  <c r="AM118" i="32"/>
  <c r="AR118" i="32"/>
  <c r="AU118" i="32"/>
  <c r="AM358" i="32"/>
  <c r="AR358" i="32"/>
  <c r="AU358" i="32"/>
  <c r="AM323" i="32"/>
  <c r="AR323" i="32"/>
  <c r="AU323" i="32"/>
  <c r="AU962" i="32"/>
  <c r="AM962" i="32"/>
  <c r="AR962" i="32"/>
  <c r="AM541" i="32"/>
  <c r="AR541" i="32"/>
  <c r="AU541" i="32"/>
  <c r="AR513" i="32"/>
  <c r="AU513" i="32"/>
  <c r="AM513" i="32"/>
  <c r="AU964" i="32"/>
  <c r="AR964" i="32"/>
  <c r="AM964" i="32"/>
  <c r="AM48" i="32"/>
  <c r="AR48" i="32"/>
  <c r="AU48" i="32"/>
  <c r="W601" i="11"/>
  <c r="T601" i="32" s="1"/>
  <c r="AU967" i="32"/>
  <c r="AM967" i="32"/>
  <c r="AR967" i="32"/>
  <c r="AR100" i="32"/>
  <c r="AU100" i="32"/>
  <c r="AM100" i="32"/>
  <c r="AM472" i="32"/>
  <c r="AR472" i="32"/>
  <c r="AU472" i="32"/>
  <c r="AM159" i="32"/>
  <c r="AU159" i="32"/>
  <c r="AR159" i="32"/>
  <c r="AR31" i="32"/>
  <c r="AU31" i="32"/>
  <c r="AM31" i="32"/>
  <c r="AM56" i="32"/>
  <c r="AU56" i="32"/>
  <c r="AR56" i="32"/>
  <c r="AM612" i="32"/>
  <c r="AR612" i="32"/>
  <c r="AU612" i="32"/>
  <c r="AM108" i="32"/>
  <c r="AR108" i="32"/>
  <c r="Y42" i="29" s="1"/>
  <c r="AU108" i="32"/>
  <c r="AR432" i="32"/>
  <c r="AU432" i="32"/>
  <c r="AM432" i="32"/>
  <c r="AR482" i="32"/>
  <c r="AU482" i="32"/>
  <c r="AM482" i="32"/>
  <c r="AR618" i="32"/>
  <c r="AU618" i="32"/>
  <c r="AM618" i="32"/>
  <c r="AU924" i="32"/>
  <c r="AM924" i="32"/>
  <c r="AR924" i="32"/>
  <c r="AU300" i="32"/>
  <c r="AM300" i="32"/>
  <c r="AR300" i="32"/>
  <c r="AM284" i="32"/>
  <c r="AR284" i="32"/>
  <c r="AU284" i="32"/>
  <c r="AR400" i="32"/>
  <c r="AU400" i="32"/>
  <c r="AM400" i="32"/>
  <c r="AU263" i="32"/>
  <c r="AM263" i="32"/>
  <c r="AR263" i="32"/>
  <c r="AU737" i="32"/>
  <c r="AM737" i="32"/>
  <c r="AR737" i="32"/>
  <c r="AR707" i="32"/>
  <c r="AU707" i="32"/>
  <c r="AM707" i="32"/>
  <c r="AR750" i="32"/>
  <c r="AU750" i="32"/>
  <c r="AM750" i="32"/>
  <c r="AM755" i="32"/>
  <c r="AU755" i="32"/>
  <c r="AR755" i="32"/>
  <c r="W730" i="11"/>
  <c r="T730" i="32" s="1"/>
  <c r="AR730" i="32"/>
  <c r="AU730" i="32"/>
  <c r="AM730" i="32"/>
  <c r="AT655" i="10"/>
  <c r="AT639" i="10"/>
  <c r="AT282" i="10"/>
  <c r="AT640" i="10"/>
  <c r="AT283" i="10"/>
  <c r="AT786" i="10"/>
  <c r="AT787" i="10"/>
  <c r="AT281" i="10"/>
  <c r="AT585" i="10"/>
  <c r="AT285" i="10"/>
  <c r="AT584" i="10"/>
  <c r="AT284" i="10"/>
  <c r="AT288" i="10"/>
  <c r="AT582" i="10"/>
  <c r="AT287" i="10"/>
  <c r="AT656" i="10"/>
  <c r="AT286" i="10"/>
  <c r="AT657" i="10"/>
  <c r="Y672" i="11"/>
  <c r="Y722" i="11"/>
  <c r="Y675" i="11"/>
  <c r="Y729" i="11"/>
  <c r="Y692" i="11"/>
  <c r="Y721" i="11"/>
  <c r="Y668" i="11"/>
  <c r="Y701" i="11"/>
  <c r="Y691" i="11"/>
  <c r="Y696" i="11"/>
  <c r="Y667" i="11"/>
  <c r="Y720" i="11"/>
  <c r="Y666" i="11"/>
  <c r="Y689" i="11"/>
  <c r="Y683" i="11"/>
  <c r="Y688" i="11"/>
  <c r="Y687" i="11"/>
  <c r="Y686" i="11"/>
  <c r="Y724" i="11"/>
  <c r="Y677" i="11"/>
  <c r="Y731" i="11"/>
  <c r="Y679" i="11"/>
  <c r="Y723" i="11"/>
  <c r="Y676" i="11"/>
  <c r="Y728" i="11"/>
  <c r="Y685" i="11"/>
  <c r="Y698" i="11"/>
  <c r="Y693" i="11"/>
  <c r="Y673" i="11"/>
  <c r="Y678" i="11"/>
  <c r="Y690" i="11"/>
  <c r="Y694" i="11"/>
  <c r="Y700" i="11"/>
  <c r="Y680" i="11"/>
  <c r="X476" i="11"/>
  <c r="AN476" i="10" s="1"/>
  <c r="T383" i="10"/>
  <c r="AO383" i="10" s="1"/>
  <c r="X724" i="11"/>
  <c r="AN724" i="10" s="1"/>
  <c r="X655" i="11"/>
  <c r="AN655" i="10" s="1"/>
  <c r="X725" i="11"/>
  <c r="AN725" i="10" s="1"/>
  <c r="X568" i="11"/>
  <c r="AN568" i="10" s="1"/>
  <c r="X382" i="11"/>
  <c r="AN382" i="10" s="1"/>
  <c r="X656" i="11"/>
  <c r="AN656" i="10" s="1"/>
  <c r="X384" i="11"/>
  <c r="AN384" i="10" s="1"/>
  <c r="X657" i="11"/>
  <c r="AN657" i="10" s="1"/>
  <c r="X475" i="11"/>
  <c r="AN475" i="10" s="1"/>
  <c r="X474" i="11"/>
  <c r="AN474" i="10" s="1"/>
  <c r="C140" i="7"/>
  <c r="I80" i="7"/>
  <c r="G112" i="9"/>
  <c r="H114" i="4"/>
  <c r="G112" i="4"/>
  <c r="J82" i="7"/>
  <c r="N108" i="7"/>
  <c r="J82" i="9"/>
  <c r="W628" i="11"/>
  <c r="T628" i="32" s="1"/>
  <c r="AM628" i="10"/>
  <c r="AU628" i="10"/>
  <c r="AR628" i="10"/>
  <c r="AR190" i="10"/>
  <c r="AM190" i="10"/>
  <c r="AU190" i="10"/>
  <c r="AM903" i="10"/>
  <c r="AU903" i="10"/>
  <c r="AR903" i="10"/>
  <c r="AU977" i="10"/>
  <c r="AM977" i="10"/>
  <c r="AR977" i="10"/>
  <c r="AR775" i="10"/>
  <c r="AU775" i="10"/>
  <c r="AM775" i="10"/>
  <c r="AR77" i="10"/>
  <c r="AM77" i="10"/>
  <c r="AU77" i="10"/>
  <c r="AR30" i="10"/>
  <c r="AM30" i="10"/>
  <c r="AU30" i="10"/>
  <c r="W403" i="11"/>
  <c r="T403" i="32" s="1"/>
  <c r="AM403" i="10"/>
  <c r="AU403" i="10"/>
  <c r="AR403" i="10"/>
  <c r="AU896" i="10"/>
  <c r="AR896" i="10"/>
  <c r="AM896" i="10"/>
  <c r="AM88" i="10"/>
  <c r="AU88" i="10"/>
  <c r="AR88" i="10"/>
  <c r="AM196" i="10"/>
  <c r="AR196" i="10"/>
  <c r="AU196" i="10"/>
  <c r="AU95" i="10"/>
  <c r="AR95" i="10"/>
  <c r="AM95" i="10"/>
  <c r="AR203" i="10"/>
  <c r="AM203" i="10"/>
  <c r="AU203" i="10"/>
  <c r="AM103" i="10"/>
  <c r="AR103" i="10"/>
  <c r="AU103" i="10"/>
  <c r="AM162" i="10"/>
  <c r="AU162" i="10"/>
  <c r="AR162" i="10"/>
  <c r="AU871" i="10"/>
  <c r="AM871" i="10"/>
  <c r="AR871" i="10"/>
  <c r="W482" i="11"/>
  <c r="T482" i="32" s="1"/>
  <c r="AU482" i="10"/>
  <c r="AR482" i="10"/>
  <c r="AM482" i="10"/>
  <c r="AU853" i="10"/>
  <c r="AM853" i="10"/>
  <c r="AR853" i="10"/>
  <c r="AR484" i="10"/>
  <c r="AM484" i="10"/>
  <c r="AU484" i="10"/>
  <c r="W243" i="11"/>
  <c r="T243" i="32" s="1"/>
  <c r="AM243" i="10"/>
  <c r="AU243" i="10"/>
  <c r="AR243" i="10"/>
  <c r="W229" i="11"/>
  <c r="T229" i="32" s="1"/>
  <c r="AU229" i="10"/>
  <c r="AR229" i="10"/>
  <c r="AM229" i="10"/>
  <c r="W264" i="11"/>
  <c r="T264" i="32" s="1"/>
  <c r="AM264" i="10"/>
  <c r="AU264" i="10"/>
  <c r="AR264" i="10"/>
  <c r="W720" i="11"/>
  <c r="T720" i="32" s="1"/>
  <c r="AM720" i="10"/>
  <c r="AU720" i="10"/>
  <c r="AR720" i="10"/>
  <c r="W779" i="11"/>
  <c r="T779" i="32" s="1"/>
  <c r="AU779" i="10"/>
  <c r="AR779" i="10"/>
  <c r="AM779" i="10"/>
  <c r="W621" i="11"/>
  <c r="T621" i="32" s="1"/>
  <c r="AU621" i="10"/>
  <c r="AR621" i="10"/>
  <c r="AM621" i="10"/>
  <c r="W351" i="11"/>
  <c r="T351" i="32" s="1"/>
  <c r="AM351" i="10"/>
  <c r="AU351" i="10"/>
  <c r="AR351" i="10"/>
  <c r="W306" i="11"/>
  <c r="T306" i="32" s="1"/>
  <c r="AU306" i="10"/>
  <c r="AM306" i="10"/>
  <c r="AR306" i="10"/>
  <c r="W625" i="11"/>
  <c r="T625" i="32" s="1"/>
  <c r="AM625" i="10"/>
  <c r="AR625" i="10"/>
  <c r="AU625" i="10"/>
  <c r="AU131" i="10"/>
  <c r="AR131" i="10"/>
  <c r="AM131" i="10"/>
  <c r="AM316" i="10"/>
  <c r="AU316" i="10"/>
  <c r="AR316" i="10"/>
  <c r="W591" i="11"/>
  <c r="T591" i="32" s="1"/>
  <c r="AM194" i="10"/>
  <c r="AR194" i="10"/>
  <c r="AU194" i="10"/>
  <c r="AM827" i="10"/>
  <c r="AU827" i="10"/>
  <c r="AR827" i="10"/>
  <c r="AM543" i="10"/>
  <c r="AR543" i="10"/>
  <c r="AU543" i="10"/>
  <c r="AM467" i="10"/>
  <c r="AR467" i="10"/>
  <c r="AU467" i="10"/>
  <c r="AM904" i="10"/>
  <c r="AU904" i="10"/>
  <c r="AR904" i="10"/>
  <c r="AR51" i="10"/>
  <c r="AM51" i="10"/>
  <c r="AU51" i="10"/>
  <c r="W520" i="11"/>
  <c r="T520" i="32" s="1"/>
  <c r="AM520" i="10"/>
  <c r="AR520" i="10"/>
  <c r="AU520" i="10"/>
  <c r="AM57" i="10"/>
  <c r="AR57" i="10"/>
  <c r="AU57" i="10"/>
  <c r="AU846" i="10"/>
  <c r="AR846" i="10"/>
  <c r="AM846" i="10"/>
  <c r="AM164" i="10"/>
  <c r="AR164" i="10"/>
  <c r="AU164" i="10"/>
  <c r="AM433" i="10"/>
  <c r="AR433" i="10"/>
  <c r="AU433" i="10"/>
  <c r="AU344" i="10"/>
  <c r="AM344" i="10"/>
  <c r="AR344" i="10"/>
  <c r="W618" i="11"/>
  <c r="T618" i="32" s="1"/>
  <c r="AU618" i="10"/>
  <c r="AM618" i="10"/>
  <c r="AR618" i="10"/>
  <c r="AR924" i="10"/>
  <c r="AM924" i="10"/>
  <c r="AU924" i="10"/>
  <c r="W244" i="11"/>
  <c r="T244" i="32" s="1"/>
  <c r="AU244" i="10"/>
  <c r="AR244" i="10"/>
  <c r="AM244" i="10"/>
  <c r="W236" i="11"/>
  <c r="T236" i="32" s="1"/>
  <c r="AM236" i="10"/>
  <c r="AR236" i="10"/>
  <c r="AU236" i="10"/>
  <c r="W241" i="11"/>
  <c r="T241" i="32" s="1"/>
  <c r="AM241" i="10"/>
  <c r="AR241" i="10"/>
  <c r="AU241" i="10"/>
  <c r="AM721" i="10"/>
  <c r="AR721" i="10"/>
  <c r="AU721" i="10"/>
  <c r="W301" i="11"/>
  <c r="T301" i="32" s="1"/>
  <c r="AR301" i="10"/>
  <c r="AM301" i="10"/>
  <c r="AU301" i="10"/>
  <c r="W442" i="11"/>
  <c r="T442" i="32" s="1"/>
  <c r="AM442" i="10"/>
  <c r="AU442" i="10"/>
  <c r="AR442" i="10"/>
  <c r="W444" i="11"/>
  <c r="T444" i="32" s="1"/>
  <c r="AU444" i="10"/>
  <c r="AR444" i="10"/>
  <c r="AM444" i="10"/>
  <c r="AR26" i="10"/>
  <c r="AM26" i="10"/>
  <c r="AU26" i="10"/>
  <c r="AU953" i="10"/>
  <c r="AM953" i="10"/>
  <c r="AR953" i="10"/>
  <c r="W630" i="11"/>
  <c r="T630" i="32" s="1"/>
  <c r="AM630" i="10"/>
  <c r="AU630" i="10"/>
  <c r="AR630" i="10"/>
  <c r="W585" i="11"/>
  <c r="T585" i="32" s="1"/>
  <c r="AM585" i="10"/>
  <c r="AU585" i="10"/>
  <c r="AR585" i="10"/>
  <c r="W635" i="11"/>
  <c r="T635" i="32" s="1"/>
  <c r="AR635" i="10"/>
  <c r="AU635" i="10"/>
  <c r="AM635" i="10"/>
  <c r="W371" i="11"/>
  <c r="T371" i="32" s="1"/>
  <c r="AM371" i="10"/>
  <c r="AR371" i="10"/>
  <c r="AU371" i="10"/>
  <c r="W380" i="11"/>
  <c r="T380" i="32" s="1"/>
  <c r="AR380" i="10"/>
  <c r="AU380" i="10"/>
  <c r="AM380" i="10"/>
  <c r="W410" i="11"/>
  <c r="T410" i="32" s="1"/>
  <c r="AM410" i="10"/>
  <c r="AU410" i="10"/>
  <c r="AR410" i="10"/>
  <c r="AU898" i="10"/>
  <c r="AM898" i="10"/>
  <c r="AR898" i="10"/>
  <c r="AU644" i="10"/>
  <c r="AR644" i="10"/>
  <c r="AM644" i="10"/>
  <c r="AM327" i="10"/>
  <c r="AU327" i="10"/>
  <c r="AR327" i="10"/>
  <c r="AR965" i="10"/>
  <c r="AU965" i="10"/>
  <c r="AM965" i="10"/>
  <c r="W516" i="11"/>
  <c r="T516" i="32" s="1"/>
  <c r="AU516" i="10"/>
  <c r="AR516" i="10"/>
  <c r="AM516" i="10"/>
  <c r="AM602" i="10"/>
  <c r="AR602" i="10"/>
  <c r="AU602" i="10"/>
  <c r="AM157" i="10"/>
  <c r="AU157" i="10"/>
  <c r="AR157" i="10"/>
  <c r="AM137" i="10"/>
  <c r="AU137" i="10"/>
  <c r="AR137" i="10"/>
  <c r="AU794" i="10"/>
  <c r="AM794" i="10"/>
  <c r="AR794" i="10"/>
  <c r="AM842" i="10"/>
  <c r="AR842" i="10"/>
  <c r="AU842" i="10"/>
  <c r="AR868" i="10"/>
  <c r="AM868" i="10"/>
  <c r="AU868" i="10"/>
  <c r="W615" i="11"/>
  <c r="T615" i="32" s="1"/>
  <c r="AU615" i="10"/>
  <c r="AM615" i="10"/>
  <c r="AR615" i="10"/>
  <c r="AU849" i="10"/>
  <c r="AR849" i="10"/>
  <c r="AM849" i="10"/>
  <c r="W437" i="11"/>
  <c r="T437" i="32" s="1"/>
  <c r="AU437" i="10"/>
  <c r="AR437" i="10"/>
  <c r="AM437" i="10"/>
  <c r="AM851" i="10"/>
  <c r="AR851" i="10"/>
  <c r="AU851" i="10"/>
  <c r="W485" i="11"/>
  <c r="T485" i="32" s="1"/>
  <c r="AR485" i="10"/>
  <c r="AU485" i="10"/>
  <c r="AM485" i="10"/>
  <c r="W277" i="11"/>
  <c r="T277" i="32" s="1"/>
  <c r="AR277" i="10"/>
  <c r="AM277" i="10"/>
  <c r="AU277" i="10"/>
  <c r="W271" i="11"/>
  <c r="T271" i="32" s="1"/>
  <c r="AU271" i="10"/>
  <c r="AM271" i="10"/>
  <c r="AR271" i="10"/>
  <c r="W273" i="11"/>
  <c r="T273" i="32" s="1"/>
  <c r="AM273" i="10"/>
  <c r="AU273" i="10"/>
  <c r="AR273" i="10"/>
  <c r="W242" i="11"/>
  <c r="T242" i="32" s="1"/>
  <c r="AU242" i="10"/>
  <c r="AM242" i="10"/>
  <c r="AR242" i="10"/>
  <c r="W270" i="11"/>
  <c r="T270" i="32" s="1"/>
  <c r="AR270" i="10"/>
  <c r="AM270" i="10"/>
  <c r="AU270" i="10"/>
  <c r="W769" i="11"/>
  <c r="T769" i="32" s="1"/>
  <c r="AU769" i="10"/>
  <c r="AR769" i="10"/>
  <c r="AM769" i="10"/>
  <c r="W741" i="11"/>
  <c r="T741" i="32" s="1"/>
  <c r="AM741" i="10"/>
  <c r="AR741" i="10"/>
  <c r="AU741" i="10"/>
  <c r="W706" i="11"/>
  <c r="T706" i="32" s="1"/>
  <c r="AM706" i="10"/>
  <c r="AR706" i="10"/>
  <c r="AU706" i="10"/>
  <c r="AM751" i="10"/>
  <c r="AU751" i="10"/>
  <c r="AR751" i="10"/>
  <c r="W696" i="11"/>
  <c r="T696" i="32" s="1"/>
  <c r="AM696" i="10"/>
  <c r="AU696" i="10"/>
  <c r="AR696" i="10"/>
  <c r="AM763" i="10"/>
  <c r="AR763" i="10"/>
  <c r="AU763" i="10"/>
  <c r="W327" i="11"/>
  <c r="T327" i="32" s="1"/>
  <c r="W391" i="11"/>
  <c r="T391" i="32" s="1"/>
  <c r="AR391" i="10"/>
  <c r="AM391" i="10"/>
  <c r="AU391" i="10"/>
  <c r="W440" i="11"/>
  <c r="T440" i="32" s="1"/>
  <c r="AU440" i="10"/>
  <c r="AR440" i="10"/>
  <c r="AM440" i="10"/>
  <c r="AM175" i="10"/>
  <c r="AU175" i="10"/>
  <c r="AR175" i="10"/>
  <c r="W302" i="11"/>
  <c r="T302" i="32" s="1"/>
  <c r="AM302" i="10"/>
  <c r="AR302" i="10"/>
  <c r="AU302" i="10"/>
  <c r="W314" i="11"/>
  <c r="T314" i="32" s="1"/>
  <c r="AU314" i="10"/>
  <c r="AR314" i="10"/>
  <c r="AM314" i="10"/>
  <c r="AR74" i="10"/>
  <c r="AU74" i="10"/>
  <c r="AM74" i="10"/>
  <c r="AM491" i="10"/>
  <c r="AR491" i="10"/>
  <c r="AU491" i="10"/>
  <c r="AU352" i="10"/>
  <c r="AM352" i="10"/>
  <c r="AR352" i="10"/>
  <c r="AM810" i="10"/>
  <c r="AU810" i="10"/>
  <c r="AR810" i="10"/>
  <c r="AR816" i="10"/>
  <c r="AM816" i="10"/>
  <c r="AU816" i="10"/>
  <c r="AU188" i="10"/>
  <c r="AR188" i="10"/>
  <c r="AM188" i="10"/>
  <c r="W449" i="11"/>
  <c r="T449" i="32" s="1"/>
  <c r="AU449" i="10"/>
  <c r="AR449" i="10"/>
  <c r="AM449" i="10"/>
  <c r="AU951" i="10"/>
  <c r="AR951" i="10"/>
  <c r="AM951" i="10"/>
  <c r="AR311" i="10"/>
  <c r="AM311" i="10"/>
  <c r="AU311" i="10"/>
  <c r="AR892" i="10"/>
  <c r="AU892" i="10"/>
  <c r="AM892" i="10"/>
  <c r="T36" i="10"/>
  <c r="AR894" i="10"/>
  <c r="AM894" i="10"/>
  <c r="AU894" i="10"/>
  <c r="AU369" i="10"/>
  <c r="AM369" i="10"/>
  <c r="AR369" i="10"/>
  <c r="AM89" i="10"/>
  <c r="AR89" i="10"/>
  <c r="AU89" i="10"/>
  <c r="W593" i="11"/>
  <c r="T593" i="32" s="1"/>
  <c r="AM825" i="10"/>
  <c r="AU825" i="10"/>
  <c r="AR825" i="10"/>
  <c r="AU145" i="10"/>
  <c r="AR145" i="10"/>
  <c r="AM145" i="10"/>
  <c r="AR91" i="10"/>
  <c r="AM91" i="10"/>
  <c r="AU91" i="10"/>
  <c r="W355" i="11"/>
  <c r="T355" i="32" s="1"/>
  <c r="AR355" i="10"/>
  <c r="AU355" i="10"/>
  <c r="AM355" i="10"/>
  <c r="AM43" i="10"/>
  <c r="AR43" i="10"/>
  <c r="AU43" i="10"/>
  <c r="AU831" i="10"/>
  <c r="AM831" i="10"/>
  <c r="AR831" i="10"/>
  <c r="W421" i="11"/>
  <c r="T421" i="32" s="1"/>
  <c r="AR421" i="10"/>
  <c r="AU421" i="10"/>
  <c r="AM421" i="10"/>
  <c r="AM155" i="10"/>
  <c r="AU155" i="10"/>
  <c r="AR155" i="10"/>
  <c r="AM204" i="10"/>
  <c r="AU204" i="10"/>
  <c r="AR204" i="10"/>
  <c r="W331" i="11"/>
  <c r="T331" i="32" s="1"/>
  <c r="AM331" i="10"/>
  <c r="AR331" i="10"/>
  <c r="AU331" i="10"/>
  <c r="AU104" i="10"/>
  <c r="AR104" i="10"/>
  <c r="AM104" i="10"/>
  <c r="AU865" i="10"/>
  <c r="AM865" i="10"/>
  <c r="AR865" i="10"/>
  <c r="AR916" i="10"/>
  <c r="AM916" i="10"/>
  <c r="AU916" i="10"/>
  <c r="W429" i="11"/>
  <c r="T429" i="32" s="1"/>
  <c r="AU429" i="10"/>
  <c r="AR429" i="10"/>
  <c r="AM429" i="10"/>
  <c r="AU845" i="10"/>
  <c r="AR845" i="10"/>
  <c r="AM845" i="10"/>
  <c r="AR59" i="10"/>
  <c r="AM59" i="10"/>
  <c r="AU59" i="10"/>
  <c r="W527" i="11"/>
  <c r="T527" i="32" s="1"/>
  <c r="AM527" i="10"/>
  <c r="AR527" i="10"/>
  <c r="AU527" i="10"/>
  <c r="AM798" i="10"/>
  <c r="AR798" i="10"/>
  <c r="AU798" i="10"/>
  <c r="AR974" i="10"/>
  <c r="AM974" i="10"/>
  <c r="AU974" i="10"/>
  <c r="AM63" i="10"/>
  <c r="AR63" i="10"/>
  <c r="AU63" i="10"/>
  <c r="W531" i="11"/>
  <c r="T531" i="32" s="1"/>
  <c r="AR531" i="10"/>
  <c r="AU531" i="10"/>
  <c r="AM531" i="10"/>
  <c r="AM943" i="10"/>
  <c r="AR943" i="10"/>
  <c r="AU943" i="10"/>
  <c r="AU925" i="10"/>
  <c r="AM925" i="10"/>
  <c r="AR925" i="10"/>
  <c r="AR173" i="10"/>
  <c r="AM173" i="10"/>
  <c r="AU173" i="10"/>
  <c r="W347" i="11"/>
  <c r="T347" i="32" s="1"/>
  <c r="AR347" i="10"/>
  <c r="AM347" i="10"/>
  <c r="AU347" i="10"/>
  <c r="W278" i="11"/>
  <c r="T278" i="32" s="1"/>
  <c r="AR278" i="10"/>
  <c r="AM278" i="10"/>
  <c r="AU278" i="10"/>
  <c r="W272" i="11"/>
  <c r="T272" i="32" s="1"/>
  <c r="AM272" i="10"/>
  <c r="AR272" i="10"/>
  <c r="AU272" i="10"/>
  <c r="W274" i="11"/>
  <c r="T274" i="32" s="1"/>
  <c r="AR274" i="10"/>
  <c r="AU274" i="10"/>
  <c r="AM274" i="10"/>
  <c r="W253" i="11"/>
  <c r="T253" i="32" s="1"/>
  <c r="AU253" i="10"/>
  <c r="AM253" i="10"/>
  <c r="AR253" i="10"/>
  <c r="AU768" i="10"/>
  <c r="AM768" i="10"/>
  <c r="AR768" i="10"/>
  <c r="W740" i="11"/>
  <c r="T740" i="32" s="1"/>
  <c r="AU740" i="10"/>
  <c r="AR740" i="10"/>
  <c r="AM740" i="10"/>
  <c r="W682" i="11"/>
  <c r="T682" i="32" s="1"/>
  <c r="AM682" i="10"/>
  <c r="AR682" i="10"/>
  <c r="AU682" i="10"/>
  <c r="W686" i="11"/>
  <c r="T686" i="32" s="1"/>
  <c r="AM686" i="10"/>
  <c r="AR686" i="10"/>
  <c r="AU686" i="10"/>
  <c r="W782" i="11"/>
  <c r="T782" i="32" s="1"/>
  <c r="AR782" i="10"/>
  <c r="AM782" i="10"/>
  <c r="AU782" i="10"/>
  <c r="W697" i="11"/>
  <c r="T697" i="32" s="1"/>
  <c r="AR697" i="10"/>
  <c r="AU697" i="10"/>
  <c r="AM697" i="10"/>
  <c r="AR762" i="10"/>
  <c r="AU762" i="10"/>
  <c r="AM762" i="10"/>
  <c r="W644" i="11"/>
  <c r="T644" i="32" s="1"/>
  <c r="W775" i="11"/>
  <c r="T775" i="32" s="1"/>
  <c r="W573" i="11"/>
  <c r="T573" i="32" s="1"/>
  <c r="AU573" i="10"/>
  <c r="AM573" i="10"/>
  <c r="AR573" i="10"/>
  <c r="AR806" i="10"/>
  <c r="AU806" i="10"/>
  <c r="AM806" i="10"/>
  <c r="AM536" i="10"/>
  <c r="AR536" i="10"/>
  <c r="AU536" i="10"/>
  <c r="W574" i="11"/>
  <c r="T574" i="32" s="1"/>
  <c r="AR574" i="10"/>
  <c r="AU574" i="10"/>
  <c r="AM574" i="10"/>
  <c r="W624" i="11"/>
  <c r="T624" i="32" s="1"/>
  <c r="AM624" i="10"/>
  <c r="AU624" i="10"/>
  <c r="AR624" i="10"/>
  <c r="AM880" i="10"/>
  <c r="AR880" i="10"/>
  <c r="AU880" i="10"/>
  <c r="W577" i="11"/>
  <c r="T577" i="32" s="1"/>
  <c r="AR577" i="10"/>
  <c r="AM577" i="10"/>
  <c r="AU577" i="10"/>
  <c r="AM884" i="10"/>
  <c r="AU884" i="10"/>
  <c r="AR884" i="10"/>
  <c r="AR132" i="10"/>
  <c r="AM132" i="10"/>
  <c r="AU132" i="10"/>
  <c r="W548" i="11"/>
  <c r="AR548" i="10"/>
  <c r="AU548" i="10"/>
  <c r="AM548" i="10"/>
  <c r="AM890" i="10"/>
  <c r="AR890" i="10"/>
  <c r="AU890" i="10"/>
  <c r="AM814" i="10"/>
  <c r="AR814" i="10"/>
  <c r="AU814" i="10"/>
  <c r="AU133" i="10"/>
  <c r="AM133" i="10"/>
  <c r="AR133" i="10"/>
  <c r="W551" i="11"/>
  <c r="T551" i="32" s="1"/>
  <c r="AR551" i="10"/>
  <c r="AU551" i="10"/>
  <c r="AM551" i="10"/>
  <c r="W454" i="11"/>
  <c r="T454" i="32" s="1"/>
  <c r="AR454" i="10"/>
  <c r="AU454" i="10"/>
  <c r="AM454" i="10"/>
  <c r="W372" i="11"/>
  <c r="T372" i="32" s="1"/>
  <c r="AM372" i="10"/>
  <c r="AR372" i="10"/>
  <c r="AU372" i="10"/>
  <c r="W317" i="11"/>
  <c r="T317" i="32" s="1"/>
  <c r="AM317" i="10"/>
  <c r="AR317" i="10"/>
  <c r="AU317" i="10"/>
  <c r="W381" i="11"/>
  <c r="T381" i="32" s="1"/>
  <c r="AM381" i="10"/>
  <c r="AR381" i="10"/>
  <c r="AU381" i="10"/>
  <c r="AR142" i="10"/>
  <c r="AM142" i="10"/>
  <c r="AU142" i="10"/>
  <c r="W412" i="11"/>
  <c r="T412" i="32" s="1"/>
  <c r="AM412" i="10"/>
  <c r="AR412" i="10"/>
  <c r="AU412" i="10"/>
  <c r="W640" i="11"/>
  <c r="T640" i="32" s="1"/>
  <c r="AU640" i="10"/>
  <c r="AM640" i="10"/>
  <c r="AR640" i="10"/>
  <c r="AM899" i="10"/>
  <c r="AU899" i="10"/>
  <c r="AR899" i="10"/>
  <c r="AU40" i="10"/>
  <c r="AM40" i="10"/>
  <c r="AR40" i="10"/>
  <c r="AM197" i="10"/>
  <c r="AR197" i="10"/>
  <c r="AU197" i="10"/>
  <c r="W509" i="11"/>
  <c r="T509" i="32" s="1"/>
  <c r="AR509" i="10"/>
  <c r="AU509" i="10"/>
  <c r="AM509" i="10"/>
  <c r="AR149" i="10"/>
  <c r="AU149" i="10"/>
  <c r="AM149" i="10"/>
  <c r="AU511" i="10"/>
  <c r="AR511" i="10"/>
  <c r="AM511" i="10"/>
  <c r="W599" i="11"/>
  <c r="T599" i="32" s="1"/>
  <c r="AM599" i="10"/>
  <c r="AR599" i="10"/>
  <c r="AU599" i="10"/>
  <c r="AU151" i="10"/>
  <c r="AM151" i="10"/>
  <c r="AR151" i="10"/>
  <c r="AR329" i="10"/>
  <c r="AM329" i="10"/>
  <c r="AU329" i="10"/>
  <c r="W468" i="11"/>
  <c r="T468" i="32" s="1"/>
  <c r="AU468" i="10"/>
  <c r="AM468" i="10"/>
  <c r="AR468" i="10"/>
  <c r="AM50" i="10"/>
  <c r="AR50" i="10"/>
  <c r="AU50" i="10"/>
  <c r="AM52" i="10"/>
  <c r="AR52" i="10"/>
  <c r="AR866" i="10"/>
  <c r="AU866" i="10"/>
  <c r="AM866" i="10"/>
  <c r="AU970" i="10"/>
  <c r="AM970" i="10"/>
  <c r="AR970" i="10"/>
  <c r="W524" i="11"/>
  <c r="T524" i="32" s="1"/>
  <c r="AR524" i="10"/>
  <c r="AU524" i="10"/>
  <c r="AM524" i="10"/>
  <c r="W611" i="11"/>
  <c r="T611" i="32" s="1"/>
  <c r="AU611" i="10"/>
  <c r="AM611" i="10"/>
  <c r="AR611" i="10"/>
  <c r="AR795" i="10"/>
  <c r="AU795" i="10"/>
  <c r="AM795" i="10"/>
  <c r="AR919" i="10"/>
  <c r="AM919" i="10"/>
  <c r="AU919" i="10"/>
  <c r="AR872" i="10"/>
  <c r="AM872" i="10"/>
  <c r="AU872" i="10"/>
  <c r="AU850" i="10"/>
  <c r="AR850" i="10"/>
  <c r="AM850" i="10"/>
  <c r="AU169" i="10"/>
  <c r="AR169" i="10"/>
  <c r="AM169" i="10"/>
  <c r="W343" i="11"/>
  <c r="T343" i="32" s="1"/>
  <c r="AM343" i="10"/>
  <c r="AR343" i="10"/>
  <c r="AU343" i="10"/>
  <c r="W569" i="11"/>
  <c r="T569" i="32" s="1"/>
  <c r="AR569" i="10"/>
  <c r="AM569" i="10"/>
  <c r="AU569" i="10"/>
  <c r="AU121" i="10"/>
  <c r="AR121" i="10"/>
  <c r="AM121" i="10"/>
  <c r="W486" i="11"/>
  <c r="T486" i="32" s="1"/>
  <c r="AU486" i="10"/>
  <c r="AR486" i="10"/>
  <c r="AM486" i="10"/>
  <c r="W378" i="11"/>
  <c r="T378" i="32" s="1"/>
  <c r="AM378" i="10"/>
  <c r="AU378" i="10"/>
  <c r="AR378" i="10"/>
  <c r="W267" i="11"/>
  <c r="T267" i="32" s="1"/>
  <c r="AU267" i="10"/>
  <c r="AM267" i="10"/>
  <c r="AR267" i="10"/>
  <c r="W248" i="11"/>
  <c r="T248" i="32" s="1"/>
  <c r="AU248" i="10"/>
  <c r="AR248" i="10"/>
  <c r="AM248" i="10"/>
  <c r="W275" i="11"/>
  <c r="T275" i="32" s="1"/>
  <c r="AR275" i="10"/>
  <c r="AU275" i="10"/>
  <c r="AM275" i="10"/>
  <c r="W254" i="11"/>
  <c r="T254" i="32" s="1"/>
  <c r="AU254" i="10"/>
  <c r="AR254" i="10"/>
  <c r="AM254" i="10"/>
  <c r="AR676" i="10"/>
  <c r="AU676" i="10"/>
  <c r="AM676" i="10"/>
  <c r="W772" i="11"/>
  <c r="T772" i="32" s="1"/>
  <c r="AR772" i="10"/>
  <c r="AM772" i="10"/>
  <c r="AU772" i="10"/>
  <c r="W683" i="11"/>
  <c r="T683" i="32" s="1"/>
  <c r="AM683" i="10"/>
  <c r="AR683" i="10"/>
  <c r="AU683" i="10"/>
  <c r="W687" i="11"/>
  <c r="T687" i="32" s="1"/>
  <c r="AM687" i="10"/>
  <c r="AR687" i="10"/>
  <c r="AU687" i="10"/>
  <c r="W783" i="11"/>
  <c r="T783" i="32" s="1"/>
  <c r="AM783" i="10"/>
  <c r="AU783" i="10"/>
  <c r="AR783" i="10"/>
  <c r="AR759" i="10"/>
  <c r="AU759" i="10"/>
  <c r="AM759" i="10"/>
  <c r="W671" i="11"/>
  <c r="T671" i="32" s="1"/>
  <c r="AM671" i="10"/>
  <c r="AR671" i="10"/>
  <c r="AU671" i="10"/>
  <c r="W369" i="11"/>
  <c r="T369" i="32" s="1"/>
  <c r="T22" i="10"/>
  <c r="W590" i="11"/>
  <c r="T590" i="32" s="1"/>
  <c r="AM90" i="10"/>
  <c r="AR90" i="10"/>
  <c r="AU90" i="10"/>
  <c r="AR105" i="10"/>
  <c r="AU105" i="10"/>
  <c r="AM105" i="10"/>
  <c r="W563" i="11"/>
  <c r="T563" i="32" s="1"/>
  <c r="AU563" i="10"/>
  <c r="AR563" i="10"/>
  <c r="AM563" i="10"/>
  <c r="AM813" i="10"/>
  <c r="AR813" i="10"/>
  <c r="AU813" i="10"/>
  <c r="W405" i="11"/>
  <c r="T405" i="32" s="1"/>
  <c r="AU405" i="10"/>
  <c r="AM405" i="10"/>
  <c r="AR405" i="10"/>
  <c r="W565" i="11"/>
  <c r="T565" i="32" s="1"/>
  <c r="AU565" i="10"/>
  <c r="AM565" i="10"/>
  <c r="AR565" i="10"/>
  <c r="AM144" i="10"/>
  <c r="AR144" i="10"/>
  <c r="AU144" i="10"/>
  <c r="W411" i="11"/>
  <c r="T411" i="32" s="1"/>
  <c r="AU411" i="10"/>
  <c r="AM411" i="10"/>
  <c r="AR411" i="10"/>
  <c r="W358" i="11"/>
  <c r="T358" i="32" s="1"/>
  <c r="AU358" i="10"/>
  <c r="AM358" i="10"/>
  <c r="AR358" i="10"/>
  <c r="W416" i="11"/>
  <c r="T416" i="32" s="1"/>
  <c r="AM416" i="10"/>
  <c r="AR416" i="10"/>
  <c r="AU416" i="10"/>
  <c r="W515" i="11"/>
  <c r="T515" i="32" s="1"/>
  <c r="AR515" i="10"/>
  <c r="AM515" i="10"/>
  <c r="AU515" i="10"/>
  <c r="W428" i="11"/>
  <c r="T428" i="32" s="1"/>
  <c r="AR428" i="10"/>
  <c r="AM428" i="10"/>
  <c r="AU428" i="10"/>
  <c r="AM936" i="10"/>
  <c r="AU936" i="10"/>
  <c r="AR936" i="10"/>
  <c r="AR211" i="10"/>
  <c r="AM211" i="10"/>
  <c r="AU211" i="10"/>
  <c r="AR942" i="10"/>
  <c r="AU942" i="10"/>
  <c r="AM942" i="10"/>
  <c r="AR67" i="10"/>
  <c r="AU67" i="10"/>
  <c r="AM67" i="10"/>
  <c r="W534" i="11"/>
  <c r="T534" i="32" s="1"/>
  <c r="AR534" i="10"/>
  <c r="AU534" i="10"/>
  <c r="AM534" i="10"/>
  <c r="W235" i="11"/>
  <c r="T235" i="32" s="1"/>
  <c r="AU235" i="10"/>
  <c r="AR235" i="10"/>
  <c r="AM235" i="10"/>
  <c r="W401" i="11"/>
  <c r="T401" i="32" s="1"/>
  <c r="AM401" i="10"/>
  <c r="AR401" i="10"/>
  <c r="AU401" i="10"/>
  <c r="W737" i="11"/>
  <c r="T737" i="32" s="1"/>
  <c r="AR737" i="10"/>
  <c r="AU737" i="10"/>
  <c r="AM737" i="10"/>
  <c r="W774" i="11"/>
  <c r="T774" i="32" s="1"/>
  <c r="AR774" i="10"/>
  <c r="AU774" i="10"/>
  <c r="AM774" i="10"/>
  <c r="W572" i="11"/>
  <c r="T572" i="32" s="1"/>
  <c r="AR572" i="10"/>
  <c r="AM572" i="10"/>
  <c r="AU572" i="10"/>
  <c r="W489" i="11"/>
  <c r="T489" i="32" s="1"/>
  <c r="AR489" i="10"/>
  <c r="AU489" i="10"/>
  <c r="AM489" i="10"/>
  <c r="AU946" i="10"/>
  <c r="AM946" i="10"/>
  <c r="AR946" i="10"/>
  <c r="AR578" i="10"/>
  <c r="AU578" i="10"/>
  <c r="AM578" i="10"/>
  <c r="W547" i="11"/>
  <c r="T547" i="32" s="1"/>
  <c r="AM547" i="10"/>
  <c r="AU547" i="10"/>
  <c r="AR547" i="10"/>
  <c r="AM887" i="10"/>
  <c r="AR887" i="10"/>
  <c r="AU887" i="10"/>
  <c r="W370" i="11"/>
  <c r="T370" i="32" s="1"/>
  <c r="AR370" i="10"/>
  <c r="AU370" i="10"/>
  <c r="AM370" i="10"/>
  <c r="AU141" i="10"/>
  <c r="AR141" i="10"/>
  <c r="AM141" i="10"/>
  <c r="AR39" i="10"/>
  <c r="AM39" i="10"/>
  <c r="AU39" i="10"/>
  <c r="AR461" i="10"/>
  <c r="AM461" i="10"/>
  <c r="AU461" i="10"/>
  <c r="W324" i="11"/>
  <c r="T324" i="32" s="1"/>
  <c r="AM324" i="10"/>
  <c r="AU324" i="10"/>
  <c r="AR324" i="10"/>
  <c r="AR148" i="10"/>
  <c r="AM148" i="10"/>
  <c r="AU148" i="10"/>
  <c r="AR97" i="10"/>
  <c r="AM97" i="10"/>
  <c r="AU97" i="10"/>
  <c r="W519" i="11"/>
  <c r="T519" i="32" s="1"/>
  <c r="AR519" i="10"/>
  <c r="AM519" i="10"/>
  <c r="AU519" i="10"/>
  <c r="AR209" i="10"/>
  <c r="AM209" i="10"/>
  <c r="AU209" i="10"/>
  <c r="AR937" i="10"/>
  <c r="AM937" i="10"/>
  <c r="AU937" i="10"/>
  <c r="AU797" i="10"/>
  <c r="AM797" i="10"/>
  <c r="AR797" i="10"/>
  <c r="W526" i="11"/>
  <c r="T526" i="32" s="1"/>
  <c r="AM526" i="10"/>
  <c r="AU526" i="10"/>
  <c r="AR526" i="10"/>
  <c r="AM941" i="10"/>
  <c r="AU941" i="10"/>
  <c r="AR941" i="10"/>
  <c r="AU168" i="10"/>
  <c r="AM168" i="10"/>
  <c r="AR168" i="10"/>
  <c r="W387" i="11"/>
  <c r="T387" i="32" s="1"/>
  <c r="AR387" i="10"/>
  <c r="AU387" i="10"/>
  <c r="AM387" i="10"/>
  <c r="AM873" i="10"/>
  <c r="AR873" i="10"/>
  <c r="AU873" i="10"/>
  <c r="AR171" i="10"/>
  <c r="AM171" i="10"/>
  <c r="AU171" i="10"/>
  <c r="W230" i="11"/>
  <c r="T230" i="32" s="1"/>
  <c r="AU230" i="10"/>
  <c r="AM230" i="10"/>
  <c r="AR230" i="10"/>
  <c r="W269" i="11"/>
  <c r="T269" i="32" s="1"/>
  <c r="AU269" i="10"/>
  <c r="AR269" i="10"/>
  <c r="AM269" i="10"/>
  <c r="W736" i="11"/>
  <c r="T736" i="32" s="1"/>
  <c r="AM736" i="10"/>
  <c r="AR736" i="10"/>
  <c r="AU736" i="10"/>
  <c r="W714" i="11"/>
  <c r="T714" i="32" s="1"/>
  <c r="W707" i="11"/>
  <c r="T707" i="32" s="1"/>
  <c r="AR707" i="10"/>
  <c r="AM707" i="10"/>
  <c r="AU707" i="10"/>
  <c r="AR805" i="10"/>
  <c r="AU805" i="10"/>
  <c r="AM805" i="10"/>
  <c r="AM69" i="10"/>
  <c r="AR69" i="10"/>
  <c r="AU69" i="10"/>
  <c r="W535" i="11"/>
  <c r="T535" i="32" s="1"/>
  <c r="AM535" i="10"/>
  <c r="AU535" i="10"/>
  <c r="AR535" i="10"/>
  <c r="AU809" i="10"/>
  <c r="AM809" i="10"/>
  <c r="AR809" i="10"/>
  <c r="AR82" i="10"/>
  <c r="AM82" i="10"/>
  <c r="AU82" i="10"/>
  <c r="W392" i="11"/>
  <c r="T392" i="32" s="1"/>
  <c r="AM392" i="10"/>
  <c r="AU392" i="10"/>
  <c r="AR392" i="10"/>
  <c r="AM19" i="10"/>
  <c r="AR19" i="10"/>
  <c r="AU19" i="10"/>
  <c r="AU70" i="10"/>
  <c r="AR70" i="10"/>
  <c r="AM70" i="10"/>
  <c r="W303" i="11"/>
  <c r="T303" i="32" s="1"/>
  <c r="AU303" i="10"/>
  <c r="AR303" i="10"/>
  <c r="AM303" i="10"/>
  <c r="W499" i="11"/>
  <c r="T499" i="32" s="1"/>
  <c r="AR499" i="10"/>
  <c r="AM499" i="10"/>
  <c r="AU499" i="10"/>
  <c r="W393" i="11"/>
  <c r="T393" i="32" s="1"/>
  <c r="AR393" i="10"/>
  <c r="AM393" i="10"/>
  <c r="AU393" i="10"/>
  <c r="AU177" i="10"/>
  <c r="AR177" i="10"/>
  <c r="AM177" i="10"/>
  <c r="W445" i="11"/>
  <c r="T445" i="32" s="1"/>
  <c r="AU445" i="10"/>
  <c r="AR445" i="10"/>
  <c r="AM445" i="10"/>
  <c r="AR948" i="10"/>
  <c r="AM948" i="10"/>
  <c r="AU948" i="10"/>
  <c r="AR27" i="10"/>
  <c r="AM27" i="10"/>
  <c r="AU27" i="10"/>
  <c r="W494" i="11"/>
  <c r="T494" i="32" s="1"/>
  <c r="AM494" i="10"/>
  <c r="AR494" i="10"/>
  <c r="AU494" i="10"/>
  <c r="AR885" i="10"/>
  <c r="AU885" i="10"/>
  <c r="AM885" i="10"/>
  <c r="W496" i="11"/>
  <c r="T496" i="32" s="1"/>
  <c r="AU496" i="10"/>
  <c r="AR496" i="10"/>
  <c r="AM496" i="10"/>
  <c r="AU819" i="10"/>
  <c r="AR819" i="10"/>
  <c r="AM819" i="10"/>
  <c r="T556" i="32"/>
  <c r="W506" i="11"/>
  <c r="T506" i="32" s="1"/>
  <c r="AU506" i="10"/>
  <c r="AR506" i="10"/>
  <c r="AM506" i="10"/>
  <c r="AM118" i="10"/>
  <c r="AU118" i="10"/>
  <c r="AR118" i="10"/>
  <c r="W413" i="11"/>
  <c r="T413" i="32" s="1"/>
  <c r="AR413" i="10"/>
  <c r="AU413" i="10"/>
  <c r="AM413" i="10"/>
  <c r="W360" i="11"/>
  <c r="T360" i="32" s="1"/>
  <c r="AU360" i="10"/>
  <c r="AR360" i="10"/>
  <c r="AM360" i="10"/>
  <c r="AM92" i="10"/>
  <c r="AU92" i="10"/>
  <c r="AR92" i="10"/>
  <c r="W596" i="11"/>
  <c r="T596" i="32" s="1"/>
  <c r="AM596" i="10"/>
  <c r="AR596" i="10"/>
  <c r="AU596" i="10"/>
  <c r="W356" i="11"/>
  <c r="T356" i="32" s="1"/>
  <c r="AM356" i="10"/>
  <c r="AR356" i="10"/>
  <c r="AU356" i="10"/>
  <c r="W600" i="11"/>
  <c r="T600" i="32" s="1"/>
  <c r="AR600" i="10"/>
  <c r="AM600" i="10"/>
  <c r="AU600" i="10"/>
  <c r="AM964" i="10"/>
  <c r="AR964" i="10"/>
  <c r="AU964" i="10"/>
  <c r="AR153" i="10"/>
  <c r="AU153" i="10"/>
  <c r="AM153" i="10"/>
  <c r="AR96" i="10"/>
  <c r="AU96" i="10"/>
  <c r="AM96" i="10"/>
  <c r="W651" i="11"/>
  <c r="T651" i="32" s="1"/>
  <c r="AR651" i="10"/>
  <c r="AU651" i="10"/>
  <c r="AM651" i="10"/>
  <c r="AM158" i="10"/>
  <c r="AU158" i="10"/>
  <c r="AR158" i="10"/>
  <c r="AR843" i="10"/>
  <c r="AU843" i="10"/>
  <c r="AM843" i="10"/>
  <c r="W337" i="11"/>
  <c r="T337" i="32" s="1"/>
  <c r="AM337" i="10"/>
  <c r="AU337" i="10"/>
  <c r="AR337" i="10"/>
  <c r="W430" i="11"/>
  <c r="T430" i="32" s="1"/>
  <c r="AU430" i="10"/>
  <c r="AM430" i="10"/>
  <c r="AR430" i="10"/>
  <c r="AM869" i="10"/>
  <c r="AR869" i="10"/>
  <c r="AU869" i="10"/>
  <c r="AU973" i="10"/>
  <c r="AM973" i="10"/>
  <c r="AR973" i="10"/>
  <c r="W528" i="11"/>
  <c r="T528" i="32" s="1"/>
  <c r="AR528" i="10"/>
  <c r="AM528" i="10"/>
  <c r="AU528" i="10"/>
  <c r="AM921" i="10"/>
  <c r="AR921" i="10"/>
  <c r="AU921" i="10"/>
  <c r="W296" i="11"/>
  <c r="T296" i="32" s="1"/>
  <c r="AR296" i="10"/>
  <c r="AM296" i="10"/>
  <c r="AU296" i="10"/>
  <c r="AU123" i="10"/>
  <c r="AR123" i="10"/>
  <c r="AM123" i="10"/>
  <c r="W268" i="11"/>
  <c r="T268" i="32" s="1"/>
  <c r="AU268" i="10"/>
  <c r="AM268" i="10"/>
  <c r="AR268" i="10"/>
  <c r="W247" i="11"/>
  <c r="T247" i="32" s="1"/>
  <c r="AU247" i="10"/>
  <c r="AR247" i="10"/>
  <c r="AM247" i="10"/>
  <c r="W276" i="11"/>
  <c r="T276" i="32" s="1"/>
  <c r="AU276" i="10"/>
  <c r="AR276" i="10"/>
  <c r="AM276" i="10"/>
  <c r="W287" i="11"/>
  <c r="T287" i="32" s="1"/>
  <c r="AU287" i="10"/>
  <c r="AM287" i="10"/>
  <c r="AR287" i="10"/>
  <c r="T655" i="10"/>
  <c r="W677" i="11"/>
  <c r="T677" i="32" s="1"/>
  <c r="AU677" i="10"/>
  <c r="AR677" i="10"/>
  <c r="AM677" i="10"/>
  <c r="W773" i="11"/>
  <c r="T773" i="32" s="1"/>
  <c r="AM773" i="10"/>
  <c r="AU773" i="10"/>
  <c r="AR773" i="10"/>
  <c r="W745" i="11"/>
  <c r="T745" i="32" s="1"/>
  <c r="AR745" i="10"/>
  <c r="AU745" i="10"/>
  <c r="AM745" i="10"/>
  <c r="W749" i="11"/>
  <c r="T749" i="32" s="1"/>
  <c r="AM749" i="10"/>
  <c r="AR749" i="10"/>
  <c r="AU749" i="10"/>
  <c r="W691" i="11"/>
  <c r="T691" i="32" s="1"/>
  <c r="AU691" i="10"/>
  <c r="AR691" i="10"/>
  <c r="AM691" i="10"/>
  <c r="W758" i="11"/>
  <c r="T758" i="32" s="1"/>
  <c r="AM758" i="10"/>
  <c r="AR758" i="10"/>
  <c r="AU758" i="10"/>
  <c r="W670" i="11"/>
  <c r="T670" i="32" s="1"/>
  <c r="AM670" i="10"/>
  <c r="AR670" i="10"/>
  <c r="AU670" i="10"/>
  <c r="W578" i="11"/>
  <c r="T578" i="32" s="1"/>
  <c r="AR878" i="10"/>
  <c r="AU878" i="10"/>
  <c r="AM878" i="10"/>
  <c r="AM176" i="10"/>
  <c r="AR176" i="10"/>
  <c r="AU176" i="10"/>
  <c r="W487" i="11"/>
  <c r="T487" i="32" s="1"/>
  <c r="AM487" i="10"/>
  <c r="AU487" i="10"/>
  <c r="AR487" i="10"/>
  <c r="W450" i="11"/>
  <c r="T450" i="32" s="1"/>
  <c r="AR450" i="10"/>
  <c r="AU450" i="10"/>
  <c r="AM450" i="10"/>
  <c r="W575" i="11"/>
  <c r="T575" i="32" s="1"/>
  <c r="AU575" i="10"/>
  <c r="AR575" i="10"/>
  <c r="AM575" i="10"/>
  <c r="AU128" i="10"/>
  <c r="AM128" i="10"/>
  <c r="AR128" i="10"/>
  <c r="W396" i="11"/>
  <c r="T396" i="32" s="1"/>
  <c r="AU396" i="10"/>
  <c r="AM396" i="10"/>
  <c r="AR396" i="10"/>
  <c r="W627" i="11"/>
  <c r="T627" i="32" s="1"/>
  <c r="AM627" i="10"/>
  <c r="AU627" i="10"/>
  <c r="AR627" i="10"/>
  <c r="AR811" i="10"/>
  <c r="AM811" i="10"/>
  <c r="AU811" i="10"/>
  <c r="W549" i="11"/>
  <c r="T549" i="32" s="1"/>
  <c r="AM549" i="10"/>
  <c r="AU549" i="10"/>
  <c r="AR549" i="10"/>
  <c r="AU817" i="10"/>
  <c r="AR817" i="10"/>
  <c r="AM817" i="10"/>
  <c r="W447" i="11"/>
  <c r="T447" i="32" s="1"/>
  <c r="AU447" i="10"/>
  <c r="AR447" i="10"/>
  <c r="AM447" i="10"/>
  <c r="W587" i="11"/>
  <c r="T587" i="32" s="1"/>
  <c r="W636" i="11"/>
  <c r="T636" i="32" s="1"/>
  <c r="AM636" i="10"/>
  <c r="AU636" i="10"/>
  <c r="AR636" i="10"/>
  <c r="AU893" i="10"/>
  <c r="AR893" i="10"/>
  <c r="AM893" i="10"/>
  <c r="W557" i="11"/>
  <c r="T557" i="32" s="1"/>
  <c r="AU557" i="10"/>
  <c r="AM557" i="10"/>
  <c r="AR557" i="10"/>
  <c r="AM189" i="10"/>
  <c r="AU189" i="10"/>
  <c r="AR189" i="10"/>
  <c r="W318" i="11"/>
  <c r="T318" i="32" s="1"/>
  <c r="AU318" i="10"/>
  <c r="AR318" i="10"/>
  <c r="AM318" i="10"/>
  <c r="W553" i="11"/>
  <c r="T553" i="32" s="1"/>
  <c r="AR553" i="10"/>
  <c r="AM553" i="10"/>
  <c r="AU553" i="10"/>
  <c r="AM143" i="10"/>
  <c r="AR143" i="10"/>
  <c r="AU143" i="10"/>
  <c r="AM146" i="10"/>
  <c r="AR146" i="10"/>
  <c r="AU146" i="10"/>
  <c r="AU963" i="10"/>
  <c r="AR963" i="10"/>
  <c r="AM963" i="10"/>
  <c r="W357" i="11"/>
  <c r="T357" i="32" s="1"/>
  <c r="AR357" i="10"/>
  <c r="AU357" i="10"/>
  <c r="AM357" i="10"/>
  <c r="AR198" i="10"/>
  <c r="AU198" i="10"/>
  <c r="AM198" i="10"/>
  <c r="W512" i="11"/>
  <c r="T512" i="32" s="1"/>
  <c r="AM512" i="10"/>
  <c r="AU512" i="10"/>
  <c r="AR512" i="10"/>
  <c r="W419" i="11"/>
  <c r="T419" i="32" s="1"/>
  <c r="AU419" i="10"/>
  <c r="AR419" i="10"/>
  <c r="AM419" i="10"/>
  <c r="AM202" i="10"/>
  <c r="AR202" i="10"/>
  <c r="AU202" i="10"/>
  <c r="W514" i="11"/>
  <c r="T514" i="32" s="1"/>
  <c r="AM514" i="10"/>
  <c r="AR514" i="10"/>
  <c r="AU514" i="10"/>
  <c r="W470" i="11"/>
  <c r="T470" i="32" s="1"/>
  <c r="AM470" i="10"/>
  <c r="AU470" i="10"/>
  <c r="AR470" i="10"/>
  <c r="AR156" i="10"/>
  <c r="AU156" i="10"/>
  <c r="AM156" i="10"/>
  <c r="AU100" i="10"/>
  <c r="AR100" i="10"/>
  <c r="AM100" i="10"/>
  <c r="AU837" i="10"/>
  <c r="AM837" i="10"/>
  <c r="AR837" i="10"/>
  <c r="AU159" i="10"/>
  <c r="AM159" i="10"/>
  <c r="AR159" i="10"/>
  <c r="W522" i="11"/>
  <c r="T522" i="32" s="1"/>
  <c r="AM522" i="10"/>
  <c r="AR522" i="10"/>
  <c r="AU522" i="10"/>
  <c r="AU136" i="10"/>
  <c r="AM136" i="10"/>
  <c r="AR136" i="10"/>
  <c r="AM793" i="10"/>
  <c r="AR793" i="10"/>
  <c r="AU793" i="10"/>
  <c r="AU914" i="10"/>
  <c r="AM914" i="10"/>
  <c r="AR914" i="10"/>
  <c r="AU106" i="10"/>
  <c r="AM106" i="10"/>
  <c r="AR106" i="10"/>
  <c r="W431" i="11"/>
  <c r="T431" i="32" s="1"/>
  <c r="AU431" i="10"/>
  <c r="AR431" i="10"/>
  <c r="AM431" i="10"/>
  <c r="AR939" i="10"/>
  <c r="AU939" i="10"/>
  <c r="AM939" i="10"/>
  <c r="AM917" i="10"/>
  <c r="AU917" i="10"/>
  <c r="AR917" i="10"/>
  <c r="AR213" i="10"/>
  <c r="AU213" i="10"/>
  <c r="AM213" i="10"/>
  <c r="AM799" i="10"/>
  <c r="AU799" i="10"/>
  <c r="AR799" i="10"/>
  <c r="AR975" i="10"/>
  <c r="AU975" i="10"/>
  <c r="AM975" i="10"/>
  <c r="W570" i="11"/>
  <c r="T570" i="32" s="1"/>
  <c r="AR570" i="10"/>
  <c r="AM570" i="10"/>
  <c r="AU570" i="10"/>
  <c r="AU802" i="10"/>
  <c r="AR802" i="10"/>
  <c r="AM802" i="10"/>
  <c r="AU18" i="10"/>
  <c r="AR18" i="10"/>
  <c r="AM18" i="10"/>
  <c r="AR66" i="10"/>
  <c r="AU66" i="10"/>
  <c r="AM66" i="10"/>
  <c r="W376" i="11"/>
  <c r="T376" i="32" s="1"/>
  <c r="AU376" i="10"/>
  <c r="AR376" i="10"/>
  <c r="AM376" i="10"/>
  <c r="W223" i="11"/>
  <c r="T223" i="32" s="1"/>
  <c r="AR223" i="10"/>
  <c r="AU223" i="10"/>
  <c r="AM223" i="10"/>
  <c r="W281" i="11"/>
  <c r="T281" i="32" s="1"/>
  <c r="AU281" i="10"/>
  <c r="AM281" i="10"/>
  <c r="AR281" i="10"/>
  <c r="W251" i="11"/>
  <c r="T251" i="32" s="1"/>
  <c r="AU251" i="10"/>
  <c r="AM251" i="10"/>
  <c r="AR251" i="10"/>
  <c r="W288" i="11"/>
  <c r="T288" i="32" s="1"/>
  <c r="AU288" i="10"/>
  <c r="AR288" i="10"/>
  <c r="AM288" i="10"/>
  <c r="W712" i="11"/>
  <c r="T712" i="32" s="1"/>
  <c r="AU712" i="10"/>
  <c r="AR712" i="10"/>
  <c r="AM712" i="10"/>
  <c r="W716" i="11"/>
  <c r="T716" i="32" s="1"/>
  <c r="AM716" i="10"/>
  <c r="AU716" i="10"/>
  <c r="AR716" i="10"/>
  <c r="W744" i="11"/>
  <c r="T744" i="32" s="1"/>
  <c r="AR744" i="10"/>
  <c r="AU744" i="10"/>
  <c r="AM744" i="10"/>
  <c r="W748" i="11"/>
  <c r="T748" i="32" s="1"/>
  <c r="AR748" i="10"/>
  <c r="AM748" i="10"/>
  <c r="AU748" i="10"/>
  <c r="W690" i="11"/>
  <c r="T690" i="32" s="1"/>
  <c r="AU690" i="10"/>
  <c r="AR690" i="10"/>
  <c r="AM690" i="10"/>
  <c r="W698" i="11"/>
  <c r="T698" i="32" s="1"/>
  <c r="AR698" i="10"/>
  <c r="AU698" i="10"/>
  <c r="AM698" i="10"/>
  <c r="W702" i="11"/>
  <c r="T702" i="32" s="1"/>
  <c r="AR702" i="10"/>
  <c r="AU702" i="10"/>
  <c r="AM702" i="10"/>
  <c r="W602" i="11"/>
  <c r="T602" i="32" s="1"/>
  <c r="W543" i="11"/>
  <c r="T543" i="32" s="1"/>
  <c r="AU439" i="10"/>
  <c r="AR439" i="10"/>
  <c r="AM439" i="10"/>
  <c r="W373" i="11"/>
  <c r="T373" i="32" s="1"/>
  <c r="AR373" i="10"/>
  <c r="AM373" i="10"/>
  <c r="AU373" i="10"/>
  <c r="AR186" i="10"/>
  <c r="AU186" i="10"/>
  <c r="AM186" i="10"/>
  <c r="W586" i="11"/>
  <c r="W320" i="11"/>
  <c r="T320" i="32" s="1"/>
  <c r="AR320" i="10"/>
  <c r="AM320" i="10"/>
  <c r="AU320" i="10"/>
  <c r="W542" i="11"/>
  <c r="T542" i="32" s="1"/>
  <c r="AR542" i="10"/>
  <c r="AU542" i="10"/>
  <c r="AM542" i="10"/>
  <c r="AM208" i="10"/>
  <c r="AU208" i="10"/>
  <c r="AR208" i="10"/>
  <c r="W614" i="11"/>
  <c r="T614" i="32" s="1"/>
  <c r="AU614" i="10"/>
  <c r="AR614" i="10"/>
  <c r="AM614" i="10"/>
  <c r="AR17" i="10"/>
  <c r="AM17" i="10"/>
  <c r="AU17" i="10"/>
  <c r="W263" i="11"/>
  <c r="T263" i="32" s="1"/>
  <c r="AR263" i="10"/>
  <c r="AU263" i="10"/>
  <c r="AM263" i="10"/>
  <c r="W666" i="11"/>
  <c r="T666" i="32" s="1"/>
  <c r="AU666" i="10"/>
  <c r="AR666" i="10"/>
  <c r="AM666" i="10"/>
  <c r="AR961" i="10"/>
  <c r="AM961" i="10"/>
  <c r="AU961" i="10"/>
  <c r="W667" i="11"/>
  <c r="T667" i="32" s="1"/>
  <c r="AU667" i="10"/>
  <c r="AR667" i="10"/>
  <c r="AM667" i="10"/>
  <c r="W394" i="11"/>
  <c r="T394" i="32" s="1"/>
  <c r="AM394" i="10"/>
  <c r="AR394" i="10"/>
  <c r="AU394" i="10"/>
  <c r="AU72" i="10"/>
  <c r="AR72" i="10"/>
  <c r="AM72" i="10"/>
  <c r="W497" i="11"/>
  <c r="T497" i="32" s="1"/>
  <c r="AR497" i="10"/>
  <c r="AU497" i="10"/>
  <c r="AM497" i="10"/>
  <c r="W502" i="11"/>
  <c r="T502" i="32" s="1"/>
  <c r="AR502" i="10"/>
  <c r="AM502" i="10"/>
  <c r="AU502" i="10"/>
  <c r="T14" i="10"/>
  <c r="AU206" i="10"/>
  <c r="AR206" i="10"/>
  <c r="AM206" i="10"/>
  <c r="AU212" i="10"/>
  <c r="AR212" i="10"/>
  <c r="AM212" i="10"/>
  <c r="W340" i="11"/>
  <c r="T340" i="32" s="1"/>
  <c r="AR340" i="10"/>
  <c r="AU340" i="10"/>
  <c r="AM340" i="10"/>
  <c r="W389" i="11"/>
  <c r="T389" i="32" s="1"/>
  <c r="AM389" i="10"/>
  <c r="AU389" i="10"/>
  <c r="AR389" i="10"/>
  <c r="W734" i="11"/>
  <c r="T734" i="32" s="1"/>
  <c r="AM734" i="10"/>
  <c r="AR734" i="10"/>
  <c r="AU734" i="10"/>
  <c r="W781" i="11"/>
  <c r="T781" i="32" s="1"/>
  <c r="AR781" i="10"/>
  <c r="AU781" i="10"/>
  <c r="AM781" i="10"/>
  <c r="W488" i="11"/>
  <c r="T488" i="32" s="1"/>
  <c r="AU488" i="10"/>
  <c r="AR488" i="10"/>
  <c r="AM488" i="10"/>
  <c r="W307" i="11"/>
  <c r="T307" i="32" s="1"/>
  <c r="AU307" i="10"/>
  <c r="AR307" i="10"/>
  <c r="AM307" i="10"/>
  <c r="W379" i="11"/>
  <c r="T379" i="32" s="1"/>
  <c r="AM379" i="10"/>
  <c r="AR379" i="10"/>
  <c r="AU379" i="10"/>
  <c r="AU867" i="10"/>
  <c r="AR867" i="10"/>
  <c r="AM867" i="10"/>
  <c r="W715" i="11"/>
  <c r="T715" i="32" s="1"/>
  <c r="AR71" i="10"/>
  <c r="AU71" i="10"/>
  <c r="AM71" i="10"/>
  <c r="W631" i="11"/>
  <c r="T631" i="32" s="1"/>
  <c r="AR631" i="10"/>
  <c r="AU631" i="10"/>
  <c r="AM631" i="10"/>
  <c r="AR129" i="10"/>
  <c r="AU129" i="10"/>
  <c r="AM129" i="10"/>
  <c r="W538" i="11"/>
  <c r="T538" i="32" s="1"/>
  <c r="AM538" i="10"/>
  <c r="AU538" i="10"/>
  <c r="AR538" i="10"/>
  <c r="W579" i="11"/>
  <c r="T579" i="32" s="1"/>
  <c r="AR579" i="10"/>
  <c r="AU579" i="10"/>
  <c r="AM579" i="10"/>
  <c r="AU812" i="10"/>
  <c r="AM812" i="10"/>
  <c r="AR812" i="10"/>
  <c r="W363" i="11"/>
  <c r="T363" i="32" s="1"/>
  <c r="AR363" i="10"/>
  <c r="AU363" i="10"/>
  <c r="AM363" i="10"/>
  <c r="AU889" i="10"/>
  <c r="AM889" i="10"/>
  <c r="AR889" i="10"/>
  <c r="W582" i="11"/>
  <c r="T582" i="32" s="1"/>
  <c r="AR582" i="10"/>
  <c r="AU582" i="10"/>
  <c r="AM582" i="10"/>
  <c r="AM135" i="10"/>
  <c r="AR135" i="10"/>
  <c r="AU135" i="10"/>
  <c r="W498" i="11"/>
  <c r="T498" i="32" s="1"/>
  <c r="AM498" i="10"/>
  <c r="AR498" i="10"/>
  <c r="AU498" i="10"/>
  <c r="W404" i="11"/>
  <c r="T404" i="32" s="1"/>
  <c r="AU404" i="10"/>
  <c r="AR404" i="10"/>
  <c r="AM404" i="10"/>
  <c r="W406" i="11"/>
  <c r="T406" i="32" s="1"/>
  <c r="AU406" i="10"/>
  <c r="AM406" i="10"/>
  <c r="AR406" i="10"/>
  <c r="AM891" i="10"/>
  <c r="AU891" i="10"/>
  <c r="AR891" i="10"/>
  <c r="W638" i="11"/>
  <c r="T638" i="32" s="1"/>
  <c r="AR638" i="10"/>
  <c r="AU638" i="10"/>
  <c r="AM638" i="10"/>
  <c r="W505" i="11"/>
  <c r="T505" i="32" s="1"/>
  <c r="AU505" i="10"/>
  <c r="AR505" i="10"/>
  <c r="AM505" i="10"/>
  <c r="AU120" i="10"/>
  <c r="AR120" i="10"/>
  <c r="AM120" i="10"/>
  <c r="AR147" i="10"/>
  <c r="AM147" i="10"/>
  <c r="AU147" i="10"/>
  <c r="AR595" i="10"/>
  <c r="AU595" i="10"/>
  <c r="AM595" i="10"/>
  <c r="W463" i="11"/>
  <c r="T463" i="32" s="1"/>
  <c r="AR463" i="10"/>
  <c r="AU463" i="10"/>
  <c r="AM463" i="10"/>
  <c r="AM830" i="10"/>
  <c r="AR830" i="10"/>
  <c r="AU830" i="10"/>
  <c r="AU93" i="10"/>
  <c r="AM93" i="10"/>
  <c r="AR93" i="10"/>
  <c r="W466" i="11"/>
  <c r="T466" i="32" s="1"/>
  <c r="AU466" i="10"/>
  <c r="AR466" i="10"/>
  <c r="AM466" i="10"/>
  <c r="AM46" i="10"/>
  <c r="AU46" i="10"/>
  <c r="AR46" i="10"/>
  <c r="AR98" i="10"/>
  <c r="AM98" i="10"/>
  <c r="AU98" i="10"/>
  <c r="W603" i="11"/>
  <c r="T603" i="32" s="1"/>
  <c r="AU603" i="10"/>
  <c r="AR603" i="10"/>
  <c r="AM603" i="10"/>
  <c r="AM908" i="10"/>
  <c r="AU908" i="10"/>
  <c r="AR908" i="10"/>
  <c r="W332" i="11"/>
  <c r="T332" i="32" s="1"/>
  <c r="AR332" i="10"/>
  <c r="AU332" i="10"/>
  <c r="AM332" i="10"/>
  <c r="W423" i="11"/>
  <c r="T423" i="32" s="1"/>
  <c r="AR423" i="10"/>
  <c r="AM423" i="10"/>
  <c r="AU423" i="10"/>
  <c r="AU909" i="10"/>
  <c r="AM909" i="10"/>
  <c r="AR909" i="10"/>
  <c r="W521" i="11"/>
  <c r="T521" i="32" s="1"/>
  <c r="AM521" i="10"/>
  <c r="AR521" i="10"/>
  <c r="AU521" i="10"/>
  <c r="AR32" i="10"/>
  <c r="AM32" i="10"/>
  <c r="AU32" i="10"/>
  <c r="AR608" i="10"/>
  <c r="AM608" i="10"/>
  <c r="AU608" i="10"/>
  <c r="AU107" i="10"/>
  <c r="AR107" i="10"/>
  <c r="AM107" i="10"/>
  <c r="AU214" i="10"/>
  <c r="AR214" i="10"/>
  <c r="AM214" i="10"/>
  <c r="AM920" i="10"/>
  <c r="AU920" i="10"/>
  <c r="AR920" i="10"/>
  <c r="W295" i="11"/>
  <c r="T295" i="32" s="1"/>
  <c r="AR295" i="10"/>
  <c r="AM295" i="10"/>
  <c r="AU295" i="10"/>
  <c r="W246" i="11"/>
  <c r="T246" i="32" s="1"/>
  <c r="AR246" i="10"/>
  <c r="AM246" i="10"/>
  <c r="AU246" i="10"/>
  <c r="W228" i="11"/>
  <c r="T228" i="32" s="1"/>
  <c r="AM228" i="10"/>
  <c r="AR228" i="10"/>
  <c r="AU228" i="10"/>
  <c r="W286" i="11"/>
  <c r="T286" i="32" s="1"/>
  <c r="AM286" i="10"/>
  <c r="AU286" i="10"/>
  <c r="AR286" i="10"/>
  <c r="W239" i="11"/>
  <c r="T239" i="32" s="1"/>
  <c r="AR239" i="10"/>
  <c r="AU239" i="10"/>
  <c r="AM239" i="10"/>
  <c r="W398" i="11"/>
  <c r="T398" i="32" s="1"/>
  <c r="AM398" i="10"/>
  <c r="AR398" i="10"/>
  <c r="AU398" i="10"/>
  <c r="W739" i="11"/>
  <c r="T739" i="32" s="1"/>
  <c r="AR739" i="10"/>
  <c r="AM739" i="10"/>
  <c r="AU739" i="10"/>
  <c r="W681" i="11"/>
  <c r="T681" i="32" s="1"/>
  <c r="AU681" i="10"/>
  <c r="AR681" i="10"/>
  <c r="AM681" i="10"/>
  <c r="W708" i="11"/>
  <c r="T708" i="32" s="1"/>
  <c r="AR708" i="10"/>
  <c r="AU708" i="10"/>
  <c r="AM708" i="10"/>
  <c r="W688" i="11"/>
  <c r="T688" i="32" s="1"/>
  <c r="AR688" i="10"/>
  <c r="AU688" i="10"/>
  <c r="AM688" i="10"/>
  <c r="W652" i="11"/>
  <c r="T652" i="32" s="1"/>
  <c r="AU652" i="10"/>
  <c r="AM652" i="10"/>
  <c r="AR652" i="10"/>
  <c r="W728" i="11"/>
  <c r="T728" i="32" s="1"/>
  <c r="AM728" i="10"/>
  <c r="AU728" i="10"/>
  <c r="AR728" i="10"/>
  <c r="W732" i="11"/>
  <c r="T732" i="32" s="1"/>
  <c r="AM732" i="10"/>
  <c r="AR732" i="10"/>
  <c r="AU732" i="10"/>
  <c r="W676" i="11"/>
  <c r="T676" i="32" s="1"/>
  <c r="W433" i="11"/>
  <c r="T433" i="32" s="1"/>
  <c r="W763" i="11"/>
  <c r="T763" i="32" s="1"/>
  <c r="AU441" i="10"/>
  <c r="AR441" i="10"/>
  <c r="AM441" i="10"/>
  <c r="W365" i="11"/>
  <c r="T365" i="32" s="1"/>
  <c r="AR365" i="10"/>
  <c r="AU365" i="10"/>
  <c r="AM365" i="10"/>
  <c r="W460" i="11"/>
  <c r="T460" i="32" s="1"/>
  <c r="AR460" i="10"/>
  <c r="AU460" i="10"/>
  <c r="AM460" i="10"/>
  <c r="W469" i="11"/>
  <c r="T469" i="32" s="1"/>
  <c r="AM469" i="10"/>
  <c r="AU469" i="10"/>
  <c r="AR469" i="10"/>
  <c r="W400" i="11"/>
  <c r="T400" i="32" s="1"/>
  <c r="AU400" i="10"/>
  <c r="AR400" i="10"/>
  <c r="AM400" i="10"/>
  <c r="W390" i="11"/>
  <c r="T390" i="32" s="1"/>
  <c r="AM390" i="10"/>
  <c r="AU390" i="10"/>
  <c r="AR390" i="10"/>
  <c r="W623" i="11"/>
  <c r="T623" i="32" s="1"/>
  <c r="AU623" i="10"/>
  <c r="AR623" i="10"/>
  <c r="AM623" i="10"/>
  <c r="W374" i="11"/>
  <c r="T374" i="32" s="1"/>
  <c r="AR374" i="10"/>
  <c r="AM374" i="10"/>
  <c r="AU374" i="10"/>
  <c r="AU366" i="10"/>
  <c r="AM366" i="10"/>
  <c r="AR366" i="10"/>
  <c r="AU833" i="10"/>
  <c r="AM833" i="10"/>
  <c r="AR833" i="10"/>
  <c r="W755" i="11"/>
  <c r="T755" i="32" s="1"/>
  <c r="AR755" i="10"/>
  <c r="AU755" i="10"/>
  <c r="AM755" i="10"/>
  <c r="AU804" i="10"/>
  <c r="AR804" i="10"/>
  <c r="AM804" i="10"/>
  <c r="W580" i="11"/>
  <c r="T580" i="32" s="1"/>
  <c r="AU580" i="10"/>
  <c r="AR580" i="10"/>
  <c r="AM580" i="10"/>
  <c r="W566" i="11"/>
  <c r="T566" i="32" s="1"/>
  <c r="AU566" i="10"/>
  <c r="AM566" i="10"/>
  <c r="AR566" i="10"/>
  <c r="AM41" i="10"/>
  <c r="AR41" i="10"/>
  <c r="AU41" i="10"/>
  <c r="AM31" i="10"/>
  <c r="AU31" i="10"/>
  <c r="AR31" i="10"/>
  <c r="AM796" i="10"/>
  <c r="AR796" i="10"/>
  <c r="AU796" i="10"/>
  <c r="W483" i="11"/>
  <c r="T483" i="32" s="1"/>
  <c r="AM483" i="10"/>
  <c r="AR483" i="10"/>
  <c r="AU483" i="10"/>
  <c r="AU172" i="10"/>
  <c r="AM172" i="10"/>
  <c r="AR172" i="10"/>
  <c r="W252" i="11"/>
  <c r="T252" i="32" s="1"/>
  <c r="AM252" i="10"/>
  <c r="AR252" i="10"/>
  <c r="AU252" i="10"/>
  <c r="W777" i="11"/>
  <c r="T777" i="32" s="1"/>
  <c r="AR777" i="10"/>
  <c r="AU777" i="10"/>
  <c r="AM777" i="10"/>
  <c r="W446" i="11"/>
  <c r="T446" i="32" s="1"/>
  <c r="AR446" i="10"/>
  <c r="AM446" i="10"/>
  <c r="AU446" i="10"/>
  <c r="W448" i="11"/>
  <c r="T448" i="32" s="1"/>
  <c r="AM448" i="10"/>
  <c r="AR448" i="10"/>
  <c r="AU448" i="10"/>
  <c r="AM900" i="10"/>
  <c r="AU900" i="10"/>
  <c r="AR900" i="10"/>
  <c r="W471" i="11"/>
  <c r="T471" i="32" s="1"/>
  <c r="AM471" i="10"/>
  <c r="AU471" i="10"/>
  <c r="AR471" i="10"/>
  <c r="AM940" i="10"/>
  <c r="AU940" i="10"/>
  <c r="AR940" i="10"/>
  <c r="W619" i="11"/>
  <c r="T619" i="32" s="1"/>
  <c r="AM619" i="10"/>
  <c r="AR619" i="10"/>
  <c r="AU619" i="10"/>
  <c r="AM876" i="10"/>
  <c r="AU876" i="10"/>
  <c r="AR876" i="10"/>
  <c r="W632" i="11"/>
  <c r="T632" i="32" s="1"/>
  <c r="AU632" i="10"/>
  <c r="AM632" i="10"/>
  <c r="AR632" i="10"/>
  <c r="W313" i="11"/>
  <c r="T313" i="32" s="1"/>
  <c r="AM313" i="10"/>
  <c r="AR313" i="10"/>
  <c r="AU313" i="10"/>
  <c r="AM443" i="10"/>
  <c r="AR443" i="10"/>
  <c r="AU443" i="10"/>
  <c r="AM947" i="10"/>
  <c r="AU947" i="10"/>
  <c r="AR947" i="10"/>
  <c r="AU24" i="10"/>
  <c r="AM24" i="10"/>
  <c r="AR24" i="10"/>
  <c r="AU73" i="10"/>
  <c r="AM73" i="10"/>
  <c r="AR73" i="10"/>
  <c r="W540" i="11"/>
  <c r="T540" i="32" s="1"/>
  <c r="AR540" i="10"/>
  <c r="AM540" i="10"/>
  <c r="AU540" i="10"/>
  <c r="W375" i="11"/>
  <c r="T375" i="32" s="1"/>
  <c r="AM375" i="10"/>
  <c r="AR375" i="10"/>
  <c r="AU375" i="10"/>
  <c r="AU883" i="10"/>
  <c r="AM883" i="10"/>
  <c r="AR883" i="10"/>
  <c r="AU75" i="10"/>
  <c r="AM75" i="10"/>
  <c r="AR75" i="10"/>
  <c r="AR183" i="10"/>
  <c r="AU183" i="10"/>
  <c r="AM183" i="10"/>
  <c r="W588" i="11"/>
  <c r="T588" i="32" s="1"/>
  <c r="AM35" i="10"/>
  <c r="AR35" i="10"/>
  <c r="AU35" i="10"/>
  <c r="W503" i="11"/>
  <c r="T503" i="32" s="1"/>
  <c r="AU503" i="10"/>
  <c r="AM503" i="10"/>
  <c r="AR503" i="10"/>
  <c r="AR823" i="10"/>
  <c r="AU823" i="10"/>
  <c r="AM823" i="10"/>
  <c r="AU15" i="10"/>
  <c r="AR15" i="10"/>
  <c r="AM15" i="10"/>
  <c r="AU544" i="10"/>
  <c r="AM544" i="10"/>
  <c r="AR544" i="10"/>
  <c r="AR42" i="10"/>
  <c r="AM42" i="10"/>
  <c r="AU42" i="10"/>
  <c r="W508" i="11"/>
  <c r="T508" i="32" s="1"/>
  <c r="AR508" i="10"/>
  <c r="AM508" i="10"/>
  <c r="AU508" i="10"/>
  <c r="AU901" i="10"/>
  <c r="AM901" i="10"/>
  <c r="AR901" i="10"/>
  <c r="AR44" i="10"/>
  <c r="AU44" i="10"/>
  <c r="AM44" i="10"/>
  <c r="AM199" i="10"/>
  <c r="AR199" i="10"/>
  <c r="AU199" i="10"/>
  <c r="W325" i="11"/>
  <c r="T325" i="32" s="1"/>
  <c r="AR325" i="10"/>
  <c r="AU325" i="10"/>
  <c r="AM325" i="10"/>
  <c r="W422" i="11"/>
  <c r="T422" i="32" s="1"/>
  <c r="AM422" i="10"/>
  <c r="AU422" i="10"/>
  <c r="AR422" i="10"/>
  <c r="AU967" i="10"/>
  <c r="AR967" i="10"/>
  <c r="AM967" i="10"/>
  <c r="AU154" i="10"/>
  <c r="AM154" i="10"/>
  <c r="AR154" i="10"/>
  <c r="W605" i="11"/>
  <c r="T605" i="32" s="1"/>
  <c r="AR605" i="10"/>
  <c r="AM605" i="10"/>
  <c r="AU605" i="10"/>
  <c r="W472" i="11"/>
  <c r="T472" i="32" s="1"/>
  <c r="AU472" i="10"/>
  <c r="AR472" i="10"/>
  <c r="AM472" i="10"/>
  <c r="AM968" i="10"/>
  <c r="AR968" i="10"/>
  <c r="AU968" i="10"/>
  <c r="AR160" i="10"/>
  <c r="AM160" i="10"/>
  <c r="AU160" i="10"/>
  <c r="W523" i="11"/>
  <c r="T523" i="32" s="1"/>
  <c r="AU523" i="10"/>
  <c r="AM523" i="10"/>
  <c r="AR523" i="10"/>
  <c r="AR938" i="10"/>
  <c r="AU938" i="10"/>
  <c r="AM938" i="10"/>
  <c r="AU60" i="10"/>
  <c r="AR60" i="10"/>
  <c r="AM60" i="10"/>
  <c r="AU341" i="10"/>
  <c r="AR341" i="10"/>
  <c r="AM341" i="10"/>
  <c r="AR65" i="10"/>
  <c r="AU65" i="10"/>
  <c r="AM65" i="10"/>
  <c r="W529" i="11"/>
  <c r="T529" i="32" s="1"/>
  <c r="AR529" i="10"/>
  <c r="AM529" i="10"/>
  <c r="AU529" i="10"/>
  <c r="AM803" i="10"/>
  <c r="AU803" i="10"/>
  <c r="AR803" i="10"/>
  <c r="AR68" i="10"/>
  <c r="AU68" i="10"/>
  <c r="AM68" i="10"/>
  <c r="W377" i="11"/>
  <c r="T377" i="32" s="1"/>
  <c r="AM377" i="10"/>
  <c r="AU377" i="10"/>
  <c r="AR377" i="10"/>
  <c r="W280" i="11"/>
  <c r="T280" i="32" s="1"/>
  <c r="AU280" i="10"/>
  <c r="AR280" i="10"/>
  <c r="AM280" i="10"/>
  <c r="W265" i="11"/>
  <c r="T265" i="32" s="1"/>
  <c r="AU265" i="10"/>
  <c r="AM265" i="10"/>
  <c r="AR265" i="10"/>
  <c r="W225" i="11"/>
  <c r="T225" i="32" s="1"/>
  <c r="AR225" i="10"/>
  <c r="AU225" i="10"/>
  <c r="AM225" i="10"/>
  <c r="W240" i="11"/>
  <c r="T240" i="32" s="1"/>
  <c r="AM240" i="10"/>
  <c r="AR240" i="10"/>
  <c r="AU240" i="10"/>
  <c r="W766" i="11"/>
  <c r="T766" i="32" s="1"/>
  <c r="AM766" i="10"/>
  <c r="AR766" i="10"/>
  <c r="AU766" i="10"/>
  <c r="W770" i="11"/>
  <c r="T770" i="32" s="1"/>
  <c r="AU770" i="10"/>
  <c r="AR770" i="10"/>
  <c r="AM770" i="10"/>
  <c r="W723" i="11"/>
  <c r="T723" i="32" s="1"/>
  <c r="AM723" i="10"/>
  <c r="AU723" i="10"/>
  <c r="AR723" i="10"/>
  <c r="W709" i="11"/>
  <c r="T709" i="32" s="1"/>
  <c r="AM709" i="10"/>
  <c r="AR709" i="10"/>
  <c r="AU709" i="10"/>
  <c r="W689" i="11"/>
  <c r="T689" i="32" s="1"/>
  <c r="AR689" i="10"/>
  <c r="AU689" i="10"/>
  <c r="AM689" i="10"/>
  <c r="W653" i="11"/>
  <c r="T653" i="32" s="1"/>
  <c r="AM653" i="10"/>
  <c r="AR653" i="10"/>
  <c r="AU653" i="10"/>
  <c r="W760" i="11"/>
  <c r="T760" i="32" s="1"/>
  <c r="AU760" i="10"/>
  <c r="AR760" i="10"/>
  <c r="AM760" i="10"/>
  <c r="W765" i="11"/>
  <c r="T765" i="32" s="1"/>
  <c r="AM765" i="10"/>
  <c r="AU765" i="10"/>
  <c r="AR765" i="10"/>
  <c r="W595" i="11"/>
  <c r="T595" i="32" s="1"/>
  <c r="AR944" i="10"/>
  <c r="AM944" i="10"/>
  <c r="AU944" i="10"/>
  <c r="W626" i="11"/>
  <c r="T626" i="32" s="1"/>
  <c r="AU626" i="10"/>
  <c r="AR626" i="10"/>
  <c r="AM626" i="10"/>
  <c r="AM79" i="10"/>
  <c r="AU79" i="10"/>
  <c r="AR79" i="10"/>
  <c r="W323" i="11"/>
  <c r="T323" i="32" s="1"/>
  <c r="AM323" i="10"/>
  <c r="AR323" i="10"/>
  <c r="AU323" i="10"/>
  <c r="AR601" i="10"/>
  <c r="AM601" i="10"/>
  <c r="AU601" i="10"/>
  <c r="AR58" i="10"/>
  <c r="AU58" i="10"/>
  <c r="AM58" i="10"/>
  <c r="AU300" i="10"/>
  <c r="AR300" i="10"/>
  <c r="AM300" i="10"/>
  <c r="W710" i="11"/>
  <c r="T710" i="32" s="1"/>
  <c r="AU710" i="10"/>
  <c r="AM710" i="10"/>
  <c r="AR710" i="10"/>
  <c r="W692" i="11"/>
  <c r="T692" i="32" s="1"/>
  <c r="AR692" i="10"/>
  <c r="AM692" i="10"/>
  <c r="AU692" i="10"/>
  <c r="AU945" i="10"/>
  <c r="AR945" i="10"/>
  <c r="AM945" i="10"/>
  <c r="AR962" i="10"/>
  <c r="AU962" i="10"/>
  <c r="AM962" i="10"/>
  <c r="W500" i="11"/>
  <c r="T500" i="32" s="1"/>
  <c r="AM500" i="10"/>
  <c r="AR500" i="10"/>
  <c r="AU500" i="10"/>
  <c r="AU882" i="10"/>
  <c r="AM882" i="10"/>
  <c r="AR882" i="10"/>
  <c r="AM80" i="10"/>
  <c r="AR80" i="10"/>
  <c r="AU80" i="10"/>
  <c r="AU85" i="10"/>
  <c r="AM85" i="10"/>
  <c r="AR85" i="10"/>
  <c r="AR38" i="10"/>
  <c r="AU38" i="10"/>
  <c r="AM38" i="10"/>
  <c r="T643" i="32"/>
  <c r="AR847" i="10"/>
  <c r="AM847" i="10"/>
  <c r="AU847" i="10"/>
  <c r="AM870" i="10"/>
  <c r="AU870" i="10"/>
  <c r="AR870" i="10"/>
  <c r="W282" i="11"/>
  <c r="T282" i="32" s="1"/>
  <c r="AU282" i="10"/>
  <c r="AR282" i="10"/>
  <c r="AM282" i="10"/>
  <c r="W713" i="11"/>
  <c r="T713" i="32" s="1"/>
  <c r="AR713" i="10"/>
  <c r="AM713" i="10"/>
  <c r="AU713" i="10"/>
  <c r="AM178" i="10"/>
  <c r="AU178" i="10"/>
  <c r="AR178" i="10"/>
  <c r="AM949" i="10"/>
  <c r="AU949" i="10"/>
  <c r="AR949" i="10"/>
  <c r="W361" i="11"/>
  <c r="T361" i="32" s="1"/>
  <c r="AM361" i="10"/>
  <c r="AU361" i="10"/>
  <c r="AR361" i="10"/>
  <c r="W541" i="11"/>
  <c r="T541" i="32" s="1"/>
  <c r="AU541" i="10"/>
  <c r="AR541" i="10"/>
  <c r="AM541" i="10"/>
  <c r="W420" i="11"/>
  <c r="T420" i="32" s="1"/>
  <c r="AM420" i="10"/>
  <c r="AR420" i="10"/>
  <c r="AU420" i="10"/>
  <c r="AR838" i="10"/>
  <c r="AM838" i="10"/>
  <c r="AU838" i="10"/>
  <c r="AR864" i="10"/>
  <c r="AM864" i="10"/>
  <c r="AU864" i="10"/>
  <c r="AR108" i="10"/>
  <c r="AM108" i="10"/>
  <c r="AU108" i="10"/>
  <c r="AM922" i="10"/>
  <c r="AU922" i="10"/>
  <c r="AR922" i="10"/>
  <c r="AU436" i="10"/>
  <c r="AR436" i="10"/>
  <c r="AM436" i="10"/>
  <c r="W245" i="11"/>
  <c r="T245" i="32" s="1"/>
  <c r="AU245" i="10"/>
  <c r="AR245" i="10"/>
  <c r="AM245" i="10"/>
  <c r="W227" i="11"/>
  <c r="T227" i="32" s="1"/>
  <c r="AR227" i="10"/>
  <c r="AM227" i="10"/>
  <c r="AU227" i="10"/>
  <c r="W738" i="11"/>
  <c r="T738" i="32" s="1"/>
  <c r="AR738" i="10"/>
  <c r="AM738" i="10"/>
  <c r="AU738" i="10"/>
  <c r="W776" i="11"/>
  <c r="T776" i="32" s="1"/>
  <c r="AM776" i="10"/>
  <c r="AU776" i="10"/>
  <c r="AR776" i="10"/>
  <c r="W752" i="11"/>
  <c r="T752" i="32" s="1"/>
  <c r="AR752" i="10"/>
  <c r="AU752" i="10"/>
  <c r="AM752" i="10"/>
  <c r="W762" i="11"/>
  <c r="T762" i="32" s="1"/>
  <c r="W438" i="11"/>
  <c r="T438" i="32" s="1"/>
  <c r="AU438" i="10"/>
  <c r="AR438" i="10"/>
  <c r="AM438" i="10"/>
  <c r="AR124" i="10"/>
  <c r="AU124" i="10"/>
  <c r="AM124" i="10"/>
  <c r="AU179" i="10"/>
  <c r="AR179" i="10"/>
  <c r="AM179" i="10"/>
  <c r="W353" i="11"/>
  <c r="T353" i="32" s="1"/>
  <c r="AU353" i="10"/>
  <c r="AM353" i="10"/>
  <c r="AR353" i="10"/>
  <c r="AU559" i="10"/>
  <c r="AM559" i="10"/>
  <c r="AR559" i="10"/>
  <c r="AM181" i="10"/>
  <c r="AU181" i="10"/>
  <c r="AR181" i="10"/>
  <c r="W308" i="11"/>
  <c r="T308" i="32" s="1"/>
  <c r="AM308" i="10"/>
  <c r="AR308" i="10"/>
  <c r="AU308" i="10"/>
  <c r="T83" i="10"/>
  <c r="AM28" i="10"/>
  <c r="AR28" i="10"/>
  <c r="AU28" i="10"/>
  <c r="W402" i="11"/>
  <c r="T402" i="32" s="1"/>
  <c r="AM402" i="10"/>
  <c r="AR402" i="10"/>
  <c r="AU402" i="10"/>
  <c r="W634" i="11"/>
  <c r="T634" i="32" s="1"/>
  <c r="AR634" i="10"/>
  <c r="AM634" i="10"/>
  <c r="AU634" i="10"/>
  <c r="AU821" i="10"/>
  <c r="AM821" i="10"/>
  <c r="AR821" i="10"/>
  <c r="AU86" i="10"/>
  <c r="AR86" i="10"/>
  <c r="AM86" i="10"/>
  <c r="W589" i="11"/>
  <c r="T589" i="32" s="1"/>
  <c r="W457" i="11"/>
  <c r="T457" i="32" s="1"/>
  <c r="AR457" i="10"/>
  <c r="AU457" i="10"/>
  <c r="AM457" i="10"/>
  <c r="AU956" i="10"/>
  <c r="AM956" i="10"/>
  <c r="AR956" i="10"/>
  <c r="W367" i="11"/>
  <c r="T367" i="32" s="1"/>
  <c r="AR367" i="10"/>
  <c r="AM367" i="10"/>
  <c r="AU367" i="10"/>
  <c r="AM192" i="10"/>
  <c r="AU192" i="10"/>
  <c r="AR192" i="10"/>
  <c r="T642" i="32"/>
  <c r="W414" i="11"/>
  <c r="T414" i="32" s="1"/>
  <c r="AU414" i="10"/>
  <c r="AR414" i="10"/>
  <c r="AM414" i="10"/>
  <c r="W645" i="11"/>
  <c r="T645" i="32" s="1"/>
  <c r="AM645" i="10"/>
  <c r="AR645" i="10"/>
  <c r="AU645" i="10"/>
  <c r="AM828" i="10"/>
  <c r="AU828" i="10"/>
  <c r="AR828" i="10"/>
  <c r="AM150" i="10"/>
  <c r="AU150" i="10"/>
  <c r="AR150" i="10"/>
  <c r="AR152" i="10"/>
  <c r="AU152" i="10"/>
  <c r="AM152" i="10"/>
  <c r="AR201" i="10"/>
  <c r="AM201" i="10"/>
  <c r="AU201" i="10"/>
  <c r="AR835" i="10"/>
  <c r="AM835" i="10"/>
  <c r="AU835" i="10"/>
  <c r="AU49" i="10"/>
  <c r="AM49" i="10"/>
  <c r="AR49" i="10"/>
  <c r="W333" i="11"/>
  <c r="T333" i="32" s="1"/>
  <c r="AM333" i="10"/>
  <c r="AU333" i="10"/>
  <c r="AR333" i="10"/>
  <c r="W424" i="11"/>
  <c r="T424" i="32" s="1"/>
  <c r="AU424" i="10"/>
  <c r="AR424" i="10"/>
  <c r="AM424" i="10"/>
  <c r="AU839" i="10"/>
  <c r="AR839" i="10"/>
  <c r="AM839" i="10"/>
  <c r="AU207" i="10"/>
  <c r="AR207" i="10"/>
  <c r="AM207" i="10"/>
  <c r="AM334" i="10"/>
  <c r="AU334" i="10"/>
  <c r="AR334" i="10"/>
  <c r="AU55" i="10"/>
  <c r="AM55" i="10"/>
  <c r="AR55" i="10"/>
  <c r="AU525" i="10"/>
  <c r="AR525" i="10"/>
  <c r="AM525" i="10"/>
  <c r="AR918" i="10"/>
  <c r="AU918" i="10"/>
  <c r="AM918" i="10"/>
  <c r="AU109" i="10"/>
  <c r="AM109" i="10"/>
  <c r="AR109" i="10"/>
  <c r="AU64" i="10"/>
  <c r="AR64" i="10"/>
  <c r="AM64" i="10"/>
  <c r="W616" i="11"/>
  <c r="T616" i="32" s="1"/>
  <c r="AM616" i="10"/>
  <c r="AU616" i="10"/>
  <c r="AR616" i="10"/>
  <c r="AR874" i="10"/>
  <c r="AU874" i="10"/>
  <c r="AM874" i="10"/>
  <c r="W279" i="11"/>
  <c r="T279" i="32" s="1"/>
  <c r="AU279" i="10"/>
  <c r="AR279" i="10"/>
  <c r="AM279" i="10"/>
  <c r="W266" i="11"/>
  <c r="T266" i="32" s="1"/>
  <c r="AU266" i="10"/>
  <c r="AR266" i="10"/>
  <c r="AM266" i="10"/>
  <c r="W226" i="11"/>
  <c r="T226" i="32" s="1"/>
  <c r="AR226" i="10"/>
  <c r="AU226" i="10"/>
  <c r="AM226" i="10"/>
  <c r="W257" i="11"/>
  <c r="T257" i="32" s="1"/>
  <c r="AM257" i="10"/>
  <c r="AU257" i="10"/>
  <c r="AR257" i="10"/>
  <c r="W767" i="11"/>
  <c r="T767" i="32" s="1"/>
  <c r="AR767" i="10"/>
  <c r="AM767" i="10"/>
  <c r="AU767" i="10"/>
  <c r="W771" i="11"/>
  <c r="T771" i="32" s="1"/>
  <c r="AM771" i="10"/>
  <c r="AR771" i="10"/>
  <c r="AU771" i="10"/>
  <c r="W722" i="11"/>
  <c r="T722" i="32" s="1"/>
  <c r="AR722" i="10"/>
  <c r="AU722" i="10"/>
  <c r="AM722" i="10"/>
  <c r="W684" i="11"/>
  <c r="T684" i="32" s="1"/>
  <c r="AU684" i="10"/>
  <c r="AM684" i="10"/>
  <c r="AR684" i="10"/>
  <c r="AM694" i="10"/>
  <c r="AR694" i="10"/>
  <c r="AU694" i="10"/>
  <c r="W654" i="11"/>
  <c r="T654" i="32" s="1"/>
  <c r="AM654" i="10"/>
  <c r="AR654" i="10"/>
  <c r="AU654" i="10"/>
  <c r="W761" i="11"/>
  <c r="T761" i="32" s="1"/>
  <c r="AM761" i="10"/>
  <c r="AR761" i="10"/>
  <c r="AU761" i="10"/>
  <c r="W764" i="11"/>
  <c r="T764" i="32" s="1"/>
  <c r="AR764" i="10"/>
  <c r="AM764" i="10"/>
  <c r="AU764" i="10"/>
  <c r="W721" i="11"/>
  <c r="T721" i="32" s="1"/>
  <c r="W751" i="11"/>
  <c r="T751" i="32" s="1"/>
  <c r="W694" i="11"/>
  <c r="T694" i="32" s="1"/>
  <c r="W467" i="11"/>
  <c r="T467" i="32" s="1"/>
  <c r="AM126" i="10"/>
  <c r="AU126" i="10"/>
  <c r="AR126" i="10"/>
  <c r="W305" i="11"/>
  <c r="T305" i="32" s="1"/>
  <c r="AU305" i="10"/>
  <c r="AR305" i="10"/>
  <c r="AM305" i="10"/>
  <c r="AM950" i="10"/>
  <c r="AR950" i="10"/>
  <c r="AU950" i="10"/>
  <c r="AM820" i="10"/>
  <c r="AU820" i="10"/>
  <c r="AR820" i="10"/>
  <c r="AU822" i="10"/>
  <c r="AR822" i="10"/>
  <c r="AM822" i="10"/>
  <c r="AM546" i="10"/>
  <c r="AU546" i="10"/>
  <c r="AR546" i="10"/>
  <c r="AM598" i="10"/>
  <c r="AR598" i="10"/>
  <c r="AU598" i="10"/>
  <c r="AU966" i="10"/>
  <c r="AR966" i="10"/>
  <c r="AM966" i="10"/>
  <c r="W609" i="11"/>
  <c r="T609" i="32" s="1"/>
  <c r="AM609" i="10"/>
  <c r="AR609" i="10"/>
  <c r="AU609" i="10"/>
  <c r="W679" i="11"/>
  <c r="T679" i="32" s="1"/>
  <c r="AM679" i="10"/>
  <c r="AU679" i="10"/>
  <c r="AR679" i="10"/>
  <c r="W704" i="11"/>
  <c r="T704" i="32" s="1"/>
  <c r="AU704" i="10"/>
  <c r="AM704" i="10"/>
  <c r="AR704" i="10"/>
  <c r="W539" i="11"/>
  <c r="T539" i="32" s="1"/>
  <c r="AR539" i="10"/>
  <c r="AM539" i="10"/>
  <c r="AU539" i="10"/>
  <c r="W409" i="11"/>
  <c r="T409" i="32" s="1"/>
  <c r="AR409" i="10"/>
  <c r="AM409" i="10"/>
  <c r="AU409" i="10"/>
  <c r="W300" i="11"/>
  <c r="T300" i="32" s="1"/>
  <c r="AU21" i="10"/>
  <c r="AR21" i="10"/>
  <c r="AM21" i="10"/>
  <c r="AM23" i="10"/>
  <c r="AU23" i="10"/>
  <c r="AR23" i="10"/>
  <c r="W629" i="11"/>
  <c r="T629" i="32" s="1"/>
  <c r="AR629" i="10"/>
  <c r="AM629" i="10"/>
  <c r="AU629" i="10"/>
  <c r="AR955" i="10"/>
  <c r="AU955" i="10"/>
  <c r="AM955" i="10"/>
  <c r="W637" i="11"/>
  <c r="T637" i="32" s="1"/>
  <c r="AM637" i="10"/>
  <c r="AU637" i="10"/>
  <c r="AR637" i="10"/>
  <c r="W321" i="11"/>
  <c r="T321" i="32" s="1"/>
  <c r="AR321" i="10"/>
  <c r="AM321" i="10"/>
  <c r="AU321" i="10"/>
  <c r="AU829" i="10"/>
  <c r="AR829" i="10"/>
  <c r="AM829" i="10"/>
  <c r="AU911" i="10"/>
  <c r="AR911" i="10"/>
  <c r="AM911" i="10"/>
  <c r="AM971" i="10"/>
  <c r="AR971" i="10"/>
  <c r="AU971" i="10"/>
  <c r="W613" i="11"/>
  <c r="T613" i="32" s="1"/>
  <c r="AU613" i="10"/>
  <c r="AR613" i="10"/>
  <c r="AM613" i="10"/>
  <c r="W299" i="11"/>
  <c r="T299" i="32" s="1"/>
  <c r="AR299" i="10"/>
  <c r="AM299" i="10"/>
  <c r="AU299" i="10"/>
  <c r="W237" i="11"/>
  <c r="T237" i="32" s="1"/>
  <c r="AM237" i="10"/>
  <c r="AR237" i="10"/>
  <c r="AU237" i="10"/>
  <c r="W753" i="11"/>
  <c r="T753" i="32" s="1"/>
  <c r="AU753" i="10"/>
  <c r="AM753" i="10"/>
  <c r="AR753" i="10"/>
  <c r="W316" i="11"/>
  <c r="T316" i="32" s="1"/>
  <c r="W576" i="11"/>
  <c r="T576" i="32" s="1"/>
  <c r="AU576" i="10"/>
  <c r="AM576" i="10"/>
  <c r="AR576" i="10"/>
  <c r="AU180" i="10"/>
  <c r="AR180" i="10"/>
  <c r="AM180" i="10"/>
  <c r="AU886" i="10"/>
  <c r="AM886" i="10"/>
  <c r="AR886" i="10"/>
  <c r="W455" i="11"/>
  <c r="T455" i="32" s="1"/>
  <c r="AR455" i="10"/>
  <c r="AM455" i="10"/>
  <c r="AU455" i="10"/>
  <c r="AR191" i="10"/>
  <c r="AU191" i="10"/>
  <c r="AM191" i="10"/>
  <c r="W555" i="11"/>
  <c r="T555" i="32" s="1"/>
  <c r="AM555" i="10"/>
  <c r="AR555" i="10"/>
  <c r="AU555" i="10"/>
  <c r="AM195" i="10"/>
  <c r="AU195" i="10"/>
  <c r="AR195" i="10"/>
  <c r="W513" i="11"/>
  <c r="T513" i="32" s="1"/>
  <c r="AU513" i="10"/>
  <c r="AR513" i="10"/>
  <c r="AM513" i="10"/>
  <c r="W604" i="11"/>
  <c r="T604" i="32" s="1"/>
  <c r="AM604" i="10"/>
  <c r="AR604" i="10"/>
  <c r="AU604" i="10"/>
  <c r="W426" i="11"/>
  <c r="T426" i="32" s="1"/>
  <c r="AM426" i="10"/>
  <c r="AU426" i="10"/>
  <c r="AR426" i="10"/>
  <c r="W339" i="11"/>
  <c r="T339" i="32" s="1"/>
  <c r="AM339" i="10"/>
  <c r="AR339" i="10"/>
  <c r="AU339" i="10"/>
  <c r="AR972" i="10"/>
  <c r="AU972" i="10"/>
  <c r="AM972" i="10"/>
  <c r="W564" i="11"/>
  <c r="T564" i="32" s="1"/>
  <c r="AR564" i="10"/>
  <c r="AM564" i="10"/>
  <c r="AU564" i="10"/>
  <c r="AM174" i="10"/>
  <c r="AU174" i="10"/>
  <c r="AR174" i="10"/>
  <c r="W537" i="11"/>
  <c r="T537" i="32" s="1"/>
  <c r="AM537" i="10"/>
  <c r="AR537" i="10"/>
  <c r="AU537" i="10"/>
  <c r="W451" i="11"/>
  <c r="T451" i="32" s="1"/>
  <c r="AM451" i="10"/>
  <c r="AU451" i="10"/>
  <c r="AR451" i="10"/>
  <c r="W315" i="11"/>
  <c r="T315" i="32" s="1"/>
  <c r="AU315" i="10"/>
  <c r="AM315" i="10"/>
  <c r="AR315" i="10"/>
  <c r="AM807" i="10"/>
  <c r="AR807" i="10"/>
  <c r="AU807" i="10"/>
  <c r="W560" i="11"/>
  <c r="T560" i="32" s="1"/>
  <c r="AU560" i="10"/>
  <c r="AR560" i="10"/>
  <c r="AM560" i="10"/>
  <c r="W309" i="11"/>
  <c r="T309" i="32" s="1"/>
  <c r="AR309" i="10"/>
  <c r="AU309" i="10"/>
  <c r="AM309" i="10"/>
  <c r="AR187" i="10"/>
  <c r="AU187" i="10"/>
  <c r="AM187" i="10"/>
  <c r="W581" i="11"/>
  <c r="T581" i="32" s="1"/>
  <c r="AR581" i="10"/>
  <c r="AU581" i="10"/>
  <c r="AM581" i="10"/>
  <c r="AU134" i="10"/>
  <c r="AM134" i="10"/>
  <c r="AR134" i="10"/>
  <c r="AM78" i="10"/>
  <c r="AU78" i="10"/>
  <c r="AR78" i="10"/>
  <c r="AM310" i="10"/>
  <c r="AR310" i="10"/>
  <c r="AU310" i="10"/>
  <c r="W453" i="11"/>
  <c r="T453" i="32" s="1"/>
  <c r="AM453" i="10"/>
  <c r="AU453" i="10"/>
  <c r="AR453" i="10"/>
  <c r="AR954" i="10"/>
  <c r="AU954" i="10"/>
  <c r="AM954" i="10"/>
  <c r="W504" i="11"/>
  <c r="T504" i="32" s="1"/>
  <c r="AU504" i="10"/>
  <c r="AR504" i="10"/>
  <c r="AM504" i="10"/>
  <c r="W408" i="11"/>
  <c r="T408" i="32" s="1"/>
  <c r="AU408" i="10"/>
  <c r="AR408" i="10"/>
  <c r="AM408" i="10"/>
  <c r="AU824" i="10"/>
  <c r="AR824" i="10"/>
  <c r="AM824" i="10"/>
  <c r="W368" i="11"/>
  <c r="T368" i="32" s="1"/>
  <c r="AR368" i="10"/>
  <c r="AU368" i="10"/>
  <c r="AM368" i="10"/>
  <c r="W507" i="11"/>
  <c r="T507" i="32" s="1"/>
  <c r="AU507" i="10"/>
  <c r="AM507" i="10"/>
  <c r="AR507" i="10"/>
  <c r="W459" i="11"/>
  <c r="T459" i="32" s="1"/>
  <c r="AM459" i="10"/>
  <c r="AU459" i="10"/>
  <c r="AR459" i="10"/>
  <c r="AR510" i="10"/>
  <c r="AM510" i="10"/>
  <c r="AU510" i="10"/>
  <c r="W464" i="11"/>
  <c r="T464" i="32" s="1"/>
  <c r="AR464" i="10"/>
  <c r="AM464" i="10"/>
  <c r="AU464" i="10"/>
  <c r="AM902" i="10"/>
  <c r="AR902" i="10"/>
  <c r="AU902" i="10"/>
  <c r="W326" i="11"/>
  <c r="T326" i="32" s="1"/>
  <c r="AR326" i="10"/>
  <c r="AU326" i="10"/>
  <c r="AM326" i="10"/>
  <c r="W646" i="11"/>
  <c r="T646" i="32" s="1"/>
  <c r="AU646" i="10"/>
  <c r="AR646" i="10"/>
  <c r="AM646" i="10"/>
  <c r="AM47" i="10"/>
  <c r="AR47" i="10"/>
  <c r="AU47" i="10"/>
  <c r="AR906" i="10"/>
  <c r="AU906" i="10"/>
  <c r="AM906" i="10"/>
  <c r="W517" i="11"/>
  <c r="T517" i="32" s="1"/>
  <c r="AU517" i="10"/>
  <c r="AR517" i="10"/>
  <c r="AM517" i="10"/>
  <c r="W606" i="11"/>
  <c r="T606" i="32" s="1"/>
  <c r="AM606" i="10"/>
  <c r="AU606" i="10"/>
  <c r="AR606" i="10"/>
  <c r="AR473" i="10"/>
  <c r="AU473" i="10"/>
  <c r="AM473" i="10"/>
  <c r="AM910" i="10"/>
  <c r="AU910" i="10"/>
  <c r="AR910" i="10"/>
  <c r="AR138" i="10"/>
  <c r="AM138" i="10"/>
  <c r="AU138" i="10"/>
  <c r="AU844" i="10"/>
  <c r="AM844" i="10"/>
  <c r="AR844" i="10"/>
  <c r="AU215" i="10"/>
  <c r="AR215" i="10"/>
  <c r="AM215" i="10"/>
  <c r="W342" i="11"/>
  <c r="T342" i="32" s="1"/>
  <c r="AR342" i="10"/>
  <c r="AU342" i="10"/>
  <c r="AM342" i="10"/>
  <c r="AU170" i="10"/>
  <c r="AM170" i="10"/>
  <c r="AR170" i="10"/>
  <c r="W297" i="11"/>
  <c r="T297" i="32" s="1"/>
  <c r="AM297" i="10"/>
  <c r="AU297" i="10"/>
  <c r="AR297" i="10"/>
  <c r="W530" i="11"/>
  <c r="T530" i="32" s="1"/>
  <c r="AR530" i="10"/>
  <c r="AU530" i="10"/>
  <c r="AM530" i="10"/>
  <c r="W435" i="11"/>
  <c r="T435" i="32" s="1"/>
  <c r="AR435" i="10"/>
  <c r="AM435" i="10"/>
  <c r="AU435" i="10"/>
  <c r="AR976" i="10"/>
  <c r="AU976" i="10"/>
  <c r="AM976" i="10"/>
  <c r="AM16" i="10"/>
  <c r="AU16" i="10"/>
  <c r="AR16" i="10"/>
  <c r="W532" i="11"/>
  <c r="T532" i="32" s="1"/>
  <c r="AR532" i="10"/>
  <c r="AU532" i="10"/>
  <c r="AM532" i="10"/>
  <c r="W562" i="11"/>
  <c r="T562" i="32" s="1"/>
  <c r="AM562" i="10"/>
  <c r="AR562" i="10"/>
  <c r="AU562" i="10"/>
  <c r="W259" i="11"/>
  <c r="T259" i="32" s="1"/>
  <c r="AM259" i="10"/>
  <c r="AU259" i="10"/>
  <c r="AR259" i="10"/>
  <c r="W249" i="11"/>
  <c r="T249" i="32" s="1"/>
  <c r="AM249" i="10"/>
  <c r="AR249" i="10"/>
  <c r="AU249" i="10"/>
  <c r="W231" i="11"/>
  <c r="T231" i="32" s="1"/>
  <c r="AU231" i="10"/>
  <c r="AR231" i="10"/>
  <c r="AM231" i="10"/>
  <c r="W258" i="11"/>
  <c r="T258" i="32" s="1"/>
  <c r="AR258" i="10"/>
  <c r="AU258" i="10"/>
  <c r="AM258" i="10"/>
  <c r="W675" i="11"/>
  <c r="T675" i="32" s="1"/>
  <c r="AU675" i="10"/>
  <c r="AR675" i="10"/>
  <c r="AM675" i="10"/>
  <c r="W718" i="11"/>
  <c r="T718" i="32" s="1"/>
  <c r="AM718" i="10"/>
  <c r="AU718" i="10"/>
  <c r="AR718" i="10"/>
  <c r="W685" i="11"/>
  <c r="T685" i="32" s="1"/>
  <c r="AM685" i="10"/>
  <c r="AU685" i="10"/>
  <c r="AR685" i="10"/>
  <c r="AR695" i="10"/>
  <c r="AU695" i="10"/>
  <c r="AM695" i="10"/>
  <c r="W785" i="11"/>
  <c r="AM785" i="10"/>
  <c r="AU785" i="10"/>
  <c r="AR785" i="10"/>
  <c r="W669" i="11"/>
  <c r="T669" i="32" s="1"/>
  <c r="AR669" i="10"/>
  <c r="AU669" i="10"/>
  <c r="AM669" i="10"/>
  <c r="W673" i="11"/>
  <c r="T673" i="32" s="1"/>
  <c r="AR673" i="10"/>
  <c r="AM673" i="10"/>
  <c r="AU673" i="10"/>
  <c r="W344" i="11"/>
  <c r="T344" i="32" s="1"/>
  <c r="W510" i="11"/>
  <c r="T510" i="32" s="1"/>
  <c r="W441" i="11"/>
  <c r="T441" i="32" s="1"/>
  <c r="W350" i="11"/>
  <c r="T350" i="32" s="1"/>
  <c r="AU350" i="10"/>
  <c r="AM350" i="10"/>
  <c r="AR350" i="10"/>
  <c r="W362" i="11"/>
  <c r="T362" i="32" s="1"/>
  <c r="AR362" i="10"/>
  <c r="AM362" i="10"/>
  <c r="AU362" i="10"/>
  <c r="W597" i="11"/>
  <c r="T597" i="32" s="1"/>
  <c r="AM597" i="10"/>
  <c r="AR597" i="10"/>
  <c r="AU597" i="10"/>
  <c r="AU518" i="10"/>
  <c r="AR518" i="10"/>
  <c r="AM518" i="10"/>
  <c r="AR800" i="10"/>
  <c r="AU800" i="10"/>
  <c r="AM800" i="10"/>
  <c r="W234" i="11"/>
  <c r="T234" i="32" s="1"/>
  <c r="W778" i="11"/>
  <c r="T778" i="32" s="1"/>
  <c r="AM778" i="10"/>
  <c r="AR778" i="10"/>
  <c r="AU778" i="10"/>
  <c r="W439" i="11"/>
  <c r="T439" i="32" s="1"/>
  <c r="W731" i="11"/>
  <c r="T731" i="32" s="1"/>
  <c r="AU731" i="10"/>
  <c r="AM731" i="10"/>
  <c r="AR731" i="10"/>
  <c r="AR730" i="10"/>
  <c r="AU730" i="10"/>
  <c r="AM730" i="10"/>
  <c r="W417" i="11"/>
  <c r="T417" i="32" s="1"/>
  <c r="AM417" i="10"/>
  <c r="AR417" i="10"/>
  <c r="AU417" i="10"/>
  <c r="W452" i="11"/>
  <c r="T452" i="32" s="1"/>
  <c r="AM452" i="10"/>
  <c r="AR452" i="10"/>
  <c r="AU452" i="10"/>
  <c r="W304" i="11"/>
  <c r="T304" i="32" s="1"/>
  <c r="AM304" i="10"/>
  <c r="AR304" i="10"/>
  <c r="W495" i="11"/>
  <c r="T495" i="32" s="1"/>
  <c r="AU495" i="10"/>
  <c r="AR495" i="10"/>
  <c r="AM495" i="10"/>
  <c r="AU815" i="10"/>
  <c r="AM815" i="10"/>
  <c r="AR815" i="10"/>
  <c r="W554" i="11"/>
  <c r="T554" i="32" s="1"/>
  <c r="AU554" i="10"/>
  <c r="AR554" i="10"/>
  <c r="AM554" i="10"/>
  <c r="W359" i="11"/>
  <c r="T359" i="32" s="1"/>
  <c r="AR359" i="10"/>
  <c r="AM359" i="10"/>
  <c r="AU359" i="10"/>
  <c r="W607" i="11"/>
  <c r="T607" i="32" s="1"/>
  <c r="AM607" i="10"/>
  <c r="AR607" i="10"/>
  <c r="AU607" i="10"/>
  <c r="W338" i="11"/>
  <c r="T338" i="32" s="1"/>
  <c r="AR338" i="10"/>
  <c r="AU338" i="10"/>
  <c r="AM338" i="10"/>
  <c r="AR848" i="10"/>
  <c r="AU848" i="10"/>
  <c r="AM848" i="10"/>
  <c r="W224" i="11"/>
  <c r="T224" i="32" s="1"/>
  <c r="AM224" i="10"/>
  <c r="AU224" i="10"/>
  <c r="AR224" i="10"/>
  <c r="W717" i="11"/>
  <c r="T717" i="32" s="1"/>
  <c r="AU717" i="10"/>
  <c r="AR717" i="10"/>
  <c r="AM717" i="10"/>
  <c r="W501" i="11"/>
  <c r="T501" i="32" s="1"/>
  <c r="AM501" i="10"/>
  <c r="AU501" i="10"/>
  <c r="AR501" i="10"/>
  <c r="W397" i="11"/>
  <c r="T397" i="32" s="1"/>
  <c r="AM397" i="10"/>
  <c r="AR397" i="10"/>
  <c r="AU397" i="10"/>
  <c r="AU888" i="10"/>
  <c r="AR888" i="10"/>
  <c r="AM888" i="10"/>
  <c r="W552" i="11"/>
  <c r="T552" i="32" s="1"/>
  <c r="AU552" i="10"/>
  <c r="AM552" i="10"/>
  <c r="AR552" i="10"/>
  <c r="W456" i="11"/>
  <c r="T456" i="32" s="1"/>
  <c r="AM456" i="10"/>
  <c r="AU456" i="10"/>
  <c r="AR456" i="10"/>
  <c r="W592" i="11"/>
  <c r="T592" i="32" s="1"/>
  <c r="W462" i="11"/>
  <c r="T462" i="32" s="1"/>
  <c r="AU462" i="10"/>
  <c r="AR462" i="10"/>
  <c r="AM462" i="10"/>
  <c r="AR834" i="10"/>
  <c r="AM834" i="10"/>
  <c r="AU834" i="10"/>
  <c r="AU54" i="10"/>
  <c r="AM54" i="10"/>
  <c r="AR54" i="10"/>
  <c r="AM915" i="10"/>
  <c r="AU915" i="10"/>
  <c r="AR915" i="10"/>
  <c r="W432" i="11"/>
  <c r="T432" i="32" s="1"/>
  <c r="AU432" i="10"/>
  <c r="AR432" i="10"/>
  <c r="AM432" i="10"/>
  <c r="AM345" i="10"/>
  <c r="AR345" i="10"/>
  <c r="AU345" i="10"/>
  <c r="W346" i="11"/>
  <c r="T346" i="32" s="1"/>
  <c r="AR346" i="10"/>
  <c r="AU346" i="10"/>
  <c r="AM346" i="10"/>
  <c r="W285" i="11"/>
  <c r="T285" i="32" s="1"/>
  <c r="AU285" i="10"/>
  <c r="AR285" i="10"/>
  <c r="AM285" i="10"/>
  <c r="W735" i="11"/>
  <c r="T735" i="32" s="1"/>
  <c r="AM735" i="10"/>
  <c r="AU735" i="10"/>
  <c r="AR735" i="10"/>
  <c r="W680" i="11"/>
  <c r="T680" i="32" s="1"/>
  <c r="AM680" i="10"/>
  <c r="AU680" i="10"/>
  <c r="AR680" i="10"/>
  <c r="W780" i="11"/>
  <c r="T780" i="32" s="1"/>
  <c r="AU780" i="10"/>
  <c r="AR780" i="10"/>
  <c r="AM780" i="10"/>
  <c r="W729" i="11"/>
  <c r="T729" i="32" s="1"/>
  <c r="AR729" i="10"/>
  <c r="AM729" i="10"/>
  <c r="AU729" i="10"/>
  <c r="W352" i="11"/>
  <c r="T352" i="32" s="1"/>
  <c r="W620" i="11"/>
  <c r="T620" i="32" s="1"/>
  <c r="AU620" i="10"/>
  <c r="AM620" i="10"/>
  <c r="AR620" i="10"/>
  <c r="AM877" i="10"/>
  <c r="AU877" i="10"/>
  <c r="AR877" i="10"/>
  <c r="AM125" i="10"/>
  <c r="AU125" i="10"/>
  <c r="AR125" i="10"/>
  <c r="W633" i="11"/>
  <c r="T633" i="32" s="1"/>
  <c r="AM633" i="10"/>
  <c r="AU633" i="10"/>
  <c r="AR633" i="10"/>
  <c r="W622" i="11"/>
  <c r="T622" i="32" s="1"/>
  <c r="AU622" i="10"/>
  <c r="AM622" i="10"/>
  <c r="AR622" i="10"/>
  <c r="AR881" i="10"/>
  <c r="AM881" i="10"/>
  <c r="AU881" i="10"/>
  <c r="W490" i="11"/>
  <c r="T490" i="32" s="1"/>
  <c r="AR490" i="10"/>
  <c r="AM490" i="10"/>
  <c r="AU490" i="10"/>
  <c r="W354" i="11"/>
  <c r="T354" i="32" s="1"/>
  <c r="AM354" i="10"/>
  <c r="AU354" i="10"/>
  <c r="AR354" i="10"/>
  <c r="AR76" i="10"/>
  <c r="AM76" i="10"/>
  <c r="AU76" i="10"/>
  <c r="AU818" i="10"/>
  <c r="AR818" i="10"/>
  <c r="AM818" i="10"/>
  <c r="AM81" i="10"/>
  <c r="AU81" i="10"/>
  <c r="AR81" i="10"/>
  <c r="AU184" i="10"/>
  <c r="AM184" i="10"/>
  <c r="AR184" i="10"/>
  <c r="AU583" i="10"/>
  <c r="AM583" i="10"/>
  <c r="AR583" i="10"/>
  <c r="W407" i="11"/>
  <c r="T407" i="32" s="1"/>
  <c r="AR407" i="10"/>
  <c r="AM407" i="10"/>
  <c r="AU407" i="10"/>
  <c r="AM139" i="10"/>
  <c r="AU139" i="10"/>
  <c r="AR139" i="10"/>
  <c r="W639" i="11"/>
  <c r="T639" i="32" s="1"/>
  <c r="AR639" i="10"/>
  <c r="AU639" i="10"/>
  <c r="AM639" i="10"/>
  <c r="AU895" i="10"/>
  <c r="AM895" i="10"/>
  <c r="AR895" i="10"/>
  <c r="AM87" i="10"/>
  <c r="AU87" i="10"/>
  <c r="AR87" i="10"/>
  <c r="W594" i="11"/>
  <c r="T594" i="32" s="1"/>
  <c r="AM594" i="10"/>
  <c r="AU594" i="10"/>
  <c r="AR594" i="10"/>
  <c r="AR960" i="10"/>
  <c r="AM960" i="10"/>
  <c r="AU960" i="10"/>
  <c r="W545" i="11"/>
  <c r="T545" i="32" s="1"/>
  <c r="AR545" i="10"/>
  <c r="AM545" i="10"/>
  <c r="AU545" i="10"/>
  <c r="AM45" i="10"/>
  <c r="AU45" i="10"/>
  <c r="AR45" i="10"/>
  <c r="AM94" i="10"/>
  <c r="AU94" i="10"/>
  <c r="AR94" i="10"/>
  <c r="W328" i="11"/>
  <c r="T328" i="32" s="1"/>
  <c r="AR328" i="10"/>
  <c r="AU328" i="10"/>
  <c r="AM328" i="10"/>
  <c r="AM836" i="10"/>
  <c r="AR836" i="10"/>
  <c r="AU836" i="10"/>
  <c r="AU99" i="10"/>
  <c r="AM99" i="10"/>
  <c r="AR99" i="10"/>
  <c r="W425" i="11"/>
  <c r="T425" i="32" s="1"/>
  <c r="AM425" i="10"/>
  <c r="AR425" i="10"/>
  <c r="AU425" i="10"/>
  <c r="AM969" i="10"/>
  <c r="AU969" i="10"/>
  <c r="AR969" i="10"/>
  <c r="W335" i="11"/>
  <c r="T335" i="32" s="1"/>
  <c r="AR335" i="10"/>
  <c r="AM335" i="10"/>
  <c r="AU335" i="10"/>
  <c r="AM33" i="10"/>
  <c r="AR33" i="10"/>
  <c r="AU33" i="10"/>
  <c r="AU161" i="10"/>
  <c r="AR161" i="10"/>
  <c r="AM161" i="10"/>
  <c r="AU210" i="10"/>
  <c r="AR210" i="10"/>
  <c r="AM210" i="10"/>
  <c r="W610" i="11"/>
  <c r="T610" i="32" s="1"/>
  <c r="AR610" i="10"/>
  <c r="AM610" i="10"/>
  <c r="AU610" i="10"/>
  <c r="W388" i="11"/>
  <c r="T388" i="32" s="1"/>
  <c r="AM388" i="10"/>
  <c r="AU388" i="10"/>
  <c r="AR388" i="10"/>
  <c r="AM801" i="10"/>
  <c r="AR801" i="10"/>
  <c r="AU801" i="10"/>
  <c r="AR852" i="10"/>
  <c r="AU852" i="10"/>
  <c r="AM852" i="10"/>
  <c r="AM122" i="10"/>
  <c r="AR122" i="10"/>
  <c r="AU122" i="10"/>
  <c r="W298" i="11"/>
  <c r="T298" i="32" s="1"/>
  <c r="AU298" i="10"/>
  <c r="AR298" i="10"/>
  <c r="AM298" i="10"/>
  <c r="W260" i="11"/>
  <c r="T260" i="32" s="1"/>
  <c r="AR260" i="10"/>
  <c r="AU260" i="10"/>
  <c r="AM260" i="10"/>
  <c r="W250" i="11"/>
  <c r="T250" i="32" s="1"/>
  <c r="AR250" i="10"/>
  <c r="AU250" i="10"/>
  <c r="AM250" i="10"/>
  <c r="W232" i="11"/>
  <c r="T232" i="32" s="1"/>
  <c r="AU232" i="10"/>
  <c r="AR232" i="10"/>
  <c r="AM232" i="10"/>
  <c r="W261" i="11"/>
  <c r="T261" i="32" s="1"/>
  <c r="AM261" i="10"/>
  <c r="AR261" i="10"/>
  <c r="AU261" i="10"/>
  <c r="W674" i="11"/>
  <c r="T674" i="32" s="1"/>
  <c r="AR674" i="10"/>
  <c r="AM674" i="10"/>
  <c r="AU674" i="10"/>
  <c r="W719" i="11"/>
  <c r="T719" i="32" s="1"/>
  <c r="AM719" i="10"/>
  <c r="AR719" i="10"/>
  <c r="AU719" i="10"/>
  <c r="W743" i="11"/>
  <c r="T743" i="32" s="1"/>
  <c r="AR743" i="10"/>
  <c r="AU743" i="10"/>
  <c r="AM743" i="10"/>
  <c r="W747" i="11"/>
  <c r="T747" i="32" s="1"/>
  <c r="AU747" i="10"/>
  <c r="AR747" i="10"/>
  <c r="AM747" i="10"/>
  <c r="W756" i="11"/>
  <c r="T756" i="32" s="1"/>
  <c r="AM756" i="10"/>
  <c r="AR756" i="10"/>
  <c r="AU756" i="10"/>
  <c r="W784" i="11"/>
  <c r="AU784" i="10"/>
  <c r="AR784" i="10"/>
  <c r="AM784" i="10"/>
  <c r="W668" i="11"/>
  <c r="T668" i="32" s="1"/>
  <c r="AM668" i="10"/>
  <c r="AR668" i="10"/>
  <c r="AU668" i="10"/>
  <c r="W672" i="11"/>
  <c r="T672" i="32" s="1"/>
  <c r="AU672" i="10"/>
  <c r="AR672" i="10"/>
  <c r="AM672" i="10"/>
  <c r="W546" i="11"/>
  <c r="T546" i="32" s="1"/>
  <c r="W366" i="11"/>
  <c r="T366" i="32" s="1"/>
  <c r="W473" i="11"/>
  <c r="T473" i="32" s="1"/>
  <c r="AU395" i="10"/>
  <c r="AM395" i="10"/>
  <c r="AR395" i="10"/>
  <c r="AU25" i="10"/>
  <c r="AR25" i="10"/>
  <c r="AM25" i="10"/>
  <c r="W458" i="11"/>
  <c r="T458" i="32" s="1"/>
  <c r="AM458" i="10"/>
  <c r="AU458" i="10"/>
  <c r="AR458" i="10"/>
  <c r="AU897" i="10"/>
  <c r="AM897" i="10"/>
  <c r="AR897" i="10"/>
  <c r="W647" i="11"/>
  <c r="T647" i="32" s="1"/>
  <c r="AM647" i="10"/>
  <c r="AU647" i="10"/>
  <c r="AR647" i="10"/>
  <c r="AR101" i="10"/>
  <c r="AU101" i="10"/>
  <c r="AM101" i="10"/>
  <c r="W612" i="11"/>
  <c r="T612" i="32" s="1"/>
  <c r="AR612" i="10"/>
  <c r="AM612" i="10"/>
  <c r="AU612" i="10"/>
  <c r="W284" i="11"/>
  <c r="T284" i="32" s="1"/>
  <c r="AU284" i="10"/>
  <c r="AR284" i="10"/>
  <c r="AM284" i="10"/>
  <c r="W701" i="11"/>
  <c r="T701" i="32" s="1"/>
  <c r="AU701" i="10"/>
  <c r="AR701" i="10"/>
  <c r="AM701" i="10"/>
  <c r="AM879" i="10"/>
  <c r="AR879" i="10"/>
  <c r="AU879" i="10"/>
  <c r="AR185" i="10"/>
  <c r="AU185" i="10"/>
  <c r="AM185" i="10"/>
  <c r="AR754" i="10"/>
  <c r="AU754" i="10"/>
  <c r="AM754" i="10"/>
  <c r="W750" i="11"/>
  <c r="T750" i="32" s="1"/>
  <c r="AR750" i="10"/>
  <c r="AU750" i="10"/>
  <c r="AM750" i="10"/>
  <c r="W550" i="11"/>
  <c r="T550" i="32" s="1"/>
  <c r="AR550" i="10"/>
  <c r="AU550" i="10"/>
  <c r="AM550" i="10"/>
  <c r="W703" i="11"/>
  <c r="T703" i="32" s="1"/>
  <c r="AM703" i="10"/>
  <c r="AR703" i="10"/>
  <c r="AU703" i="10"/>
  <c r="W733" i="11"/>
  <c r="T733" i="32" s="1"/>
  <c r="AM733" i="10"/>
  <c r="AU733" i="10"/>
  <c r="AR733" i="10"/>
  <c r="W571" i="11"/>
  <c r="T571" i="32" s="1"/>
  <c r="AR571" i="10"/>
  <c r="AU571" i="10"/>
  <c r="AM571" i="10"/>
  <c r="T20" i="10"/>
  <c r="W349" i="11"/>
  <c r="T349" i="32" s="1"/>
  <c r="AR349" i="10"/>
  <c r="AM349" i="10"/>
  <c r="AU349" i="10"/>
  <c r="AM808" i="10"/>
  <c r="AR808" i="10"/>
  <c r="AU808" i="10"/>
  <c r="AU127" i="10"/>
  <c r="AR127" i="10"/>
  <c r="AM127" i="10"/>
  <c r="W492" i="11"/>
  <c r="T492" i="32" s="1"/>
  <c r="AM492" i="10"/>
  <c r="AU492" i="10"/>
  <c r="AR492" i="10"/>
  <c r="W561" i="11"/>
  <c r="T561" i="32" s="1"/>
  <c r="AM561" i="10"/>
  <c r="AU561" i="10"/>
  <c r="AR561" i="10"/>
  <c r="AM130" i="10"/>
  <c r="AU130" i="10"/>
  <c r="AR130" i="10"/>
  <c r="AM182" i="10"/>
  <c r="AR182" i="10"/>
  <c r="AU182" i="10"/>
  <c r="W493" i="11"/>
  <c r="T493" i="32" s="1"/>
  <c r="AU493" i="10"/>
  <c r="AM493" i="10"/>
  <c r="AR493" i="10"/>
  <c r="AU952" i="10"/>
  <c r="AR952" i="10"/>
  <c r="AM952" i="10"/>
  <c r="AU29" i="10"/>
  <c r="AM29" i="10"/>
  <c r="AR29" i="10"/>
  <c r="W364" i="11"/>
  <c r="T364" i="32" s="1"/>
  <c r="AU364" i="10"/>
  <c r="AR364" i="10"/>
  <c r="AM364" i="10"/>
  <c r="W584" i="11"/>
  <c r="T584" i="32" s="1"/>
  <c r="AU584" i="10"/>
  <c r="AR584" i="10"/>
  <c r="AM584" i="10"/>
  <c r="W558" i="11"/>
  <c r="T558" i="32" s="1"/>
  <c r="AU558" i="10"/>
  <c r="AM558" i="10"/>
  <c r="AR558" i="10"/>
  <c r="AM34" i="10"/>
  <c r="AU34" i="10"/>
  <c r="AR34" i="10"/>
  <c r="AR84" i="10"/>
  <c r="AM84" i="10"/>
  <c r="AU84" i="10"/>
  <c r="W567" i="11"/>
  <c r="T567" i="32" s="1"/>
  <c r="AR567" i="10"/>
  <c r="AM567" i="10"/>
  <c r="AU567" i="10"/>
  <c r="AM957" i="10"/>
  <c r="AR957" i="10"/>
  <c r="AU957" i="10"/>
  <c r="AU37" i="10"/>
  <c r="AR37" i="10"/>
  <c r="AM37" i="10"/>
  <c r="AU193" i="10"/>
  <c r="AM193" i="10"/>
  <c r="AR193" i="10"/>
  <c r="W319" i="11"/>
  <c r="T319" i="32" s="1"/>
  <c r="AM319" i="10"/>
  <c r="AU319" i="10"/>
  <c r="AR319" i="10"/>
  <c r="W641" i="11"/>
  <c r="T641" i="32" s="1"/>
  <c r="AM641" i="10"/>
  <c r="AR641" i="10"/>
  <c r="AU641" i="10"/>
  <c r="AU826" i="10"/>
  <c r="AM826" i="10"/>
  <c r="AR826" i="10"/>
  <c r="W322" i="11"/>
  <c r="T322" i="32" s="1"/>
  <c r="AR322" i="10"/>
  <c r="AU322" i="10"/>
  <c r="AM322" i="10"/>
  <c r="W415" i="11"/>
  <c r="T415" i="32" s="1"/>
  <c r="AM415" i="10"/>
  <c r="AR415" i="10"/>
  <c r="AU415" i="10"/>
  <c r="AU200" i="10"/>
  <c r="AR200" i="10"/>
  <c r="AM200" i="10"/>
  <c r="W418" i="11"/>
  <c r="T418" i="32" s="1"/>
  <c r="AU418" i="10"/>
  <c r="AR418" i="10"/>
  <c r="AM418" i="10"/>
  <c r="W465" i="11"/>
  <c r="T465" i="32" s="1"/>
  <c r="AM465" i="10"/>
  <c r="AR465" i="10"/>
  <c r="AU465" i="10"/>
  <c r="AR832" i="10"/>
  <c r="AM832" i="10"/>
  <c r="AU832" i="10"/>
  <c r="AM48" i="10"/>
  <c r="AU48" i="10"/>
  <c r="AR48" i="10"/>
  <c r="W330" i="11"/>
  <c r="T330" i="32" s="1"/>
  <c r="AU330" i="10"/>
  <c r="AR330" i="10"/>
  <c r="AM330" i="10"/>
  <c r="W650" i="11"/>
  <c r="T650" i="32" s="1"/>
  <c r="AM650" i="10"/>
  <c r="AR650" i="10"/>
  <c r="AU650" i="10"/>
  <c r="AM907" i="10"/>
  <c r="AU907" i="10"/>
  <c r="AR907" i="10"/>
  <c r="AR205" i="10"/>
  <c r="AU205" i="10"/>
  <c r="AM205" i="10"/>
  <c r="AM53" i="10"/>
  <c r="AU53" i="10"/>
  <c r="AR53" i="10"/>
  <c r="AR102" i="10"/>
  <c r="AU102" i="10"/>
  <c r="AM102" i="10"/>
  <c r="W336" i="11"/>
  <c r="T336" i="32" s="1"/>
  <c r="AU336" i="10"/>
  <c r="AR336" i="10"/>
  <c r="AM336" i="10"/>
  <c r="W427" i="11"/>
  <c r="T427" i="32" s="1"/>
  <c r="AM427" i="10"/>
  <c r="AU427" i="10"/>
  <c r="AR427" i="10"/>
  <c r="AU56" i="10"/>
  <c r="AR56" i="10"/>
  <c r="AM56" i="10"/>
  <c r="AU163" i="10"/>
  <c r="AM163" i="10"/>
  <c r="AR163" i="10"/>
  <c r="AU110" i="10"/>
  <c r="AM110" i="10"/>
  <c r="AR110" i="10"/>
  <c r="W434" i="11"/>
  <c r="T434" i="32" s="1"/>
  <c r="AM434" i="10"/>
  <c r="AR434" i="10"/>
  <c r="AU434" i="10"/>
  <c r="AM481" i="10"/>
  <c r="AR481" i="10"/>
  <c r="AU481" i="10"/>
  <c r="W617" i="11"/>
  <c r="T617" i="32" s="1"/>
  <c r="AM617" i="10"/>
  <c r="AU617" i="10"/>
  <c r="AR617" i="10"/>
  <c r="AM875" i="10"/>
  <c r="AR875" i="10"/>
  <c r="AU875" i="10"/>
  <c r="AM923" i="10"/>
  <c r="AU923" i="10"/>
  <c r="AR923" i="10"/>
  <c r="W533" i="11"/>
  <c r="T533" i="32" s="1"/>
  <c r="AM533" i="10"/>
  <c r="AR533" i="10"/>
  <c r="AU533" i="10"/>
  <c r="W233" i="11"/>
  <c r="T233" i="32" s="1"/>
  <c r="AR233" i="10"/>
  <c r="AU233" i="10"/>
  <c r="AM233" i="10"/>
  <c r="W283" i="11"/>
  <c r="T283" i="32" s="1"/>
  <c r="AM283" i="10"/>
  <c r="AR283" i="10"/>
  <c r="AU283" i="10"/>
  <c r="W399" i="11"/>
  <c r="T399" i="32" s="1"/>
  <c r="AR399" i="10"/>
  <c r="AM399" i="10"/>
  <c r="AU399" i="10"/>
  <c r="W262" i="11"/>
  <c r="T262" i="32" s="1"/>
  <c r="AM262" i="10"/>
  <c r="AR262" i="10"/>
  <c r="AU262" i="10"/>
  <c r="W711" i="11"/>
  <c r="T711" i="32" s="1"/>
  <c r="AR711" i="10"/>
  <c r="AU711" i="10"/>
  <c r="AM711" i="10"/>
  <c r="W678" i="11"/>
  <c r="T678" i="32" s="1"/>
  <c r="AU678" i="10"/>
  <c r="AR678" i="10"/>
  <c r="AM678" i="10"/>
  <c r="W742" i="11"/>
  <c r="T742" i="32" s="1"/>
  <c r="AR742" i="10"/>
  <c r="AM742" i="10"/>
  <c r="AU742" i="10"/>
  <c r="AR746" i="10"/>
  <c r="AU746" i="10"/>
  <c r="AM746" i="10"/>
  <c r="W757" i="11"/>
  <c r="T757" i="32" s="1"/>
  <c r="AM757" i="10"/>
  <c r="AR757" i="10"/>
  <c r="AU757" i="10"/>
  <c r="W693" i="11"/>
  <c r="T693" i="32" s="1"/>
  <c r="AU693" i="10"/>
  <c r="AM693" i="10"/>
  <c r="AR693" i="10"/>
  <c r="W700" i="11"/>
  <c r="T700" i="32" s="1"/>
  <c r="AU700" i="10"/>
  <c r="AM700" i="10"/>
  <c r="AR700" i="10"/>
  <c r="W705" i="11"/>
  <c r="T705" i="32" s="1"/>
  <c r="AU705" i="10"/>
  <c r="AR705" i="10"/>
  <c r="AM705" i="10"/>
  <c r="W334" i="11"/>
  <c r="T334" i="32" s="1"/>
  <c r="W311" i="11"/>
  <c r="T311" i="32" s="1"/>
  <c r="W525" i="11"/>
  <c r="T525" i="32" s="1"/>
  <c r="W939" i="11"/>
  <c r="Y939" i="11"/>
  <c r="Z939" i="11" s="1"/>
  <c r="AA939" i="11" s="1"/>
  <c r="W915" i="11"/>
  <c r="Y915" i="11"/>
  <c r="Z915" i="11" s="1"/>
  <c r="AA915" i="11" s="1"/>
  <c r="W922" i="11"/>
  <c r="Y922" i="11"/>
  <c r="Z922" i="11" s="1"/>
  <c r="AA922" i="11" s="1"/>
  <c r="W830" i="11"/>
  <c r="Y830" i="11"/>
  <c r="Z830" i="11" s="1"/>
  <c r="AA830" i="11" s="1"/>
  <c r="AT830" i="32" s="1"/>
  <c r="W908" i="11"/>
  <c r="Y908" i="11"/>
  <c r="Z908" i="11" s="1"/>
  <c r="AA908" i="11" s="1"/>
  <c r="W920" i="11"/>
  <c r="Y920" i="11"/>
  <c r="Z920" i="11" s="1"/>
  <c r="AA920" i="11" s="1"/>
  <c r="W876" i="11"/>
  <c r="Y876" i="11"/>
  <c r="Z876" i="11" s="1"/>
  <c r="AA876" i="11" s="1"/>
  <c r="AT876" i="32" s="1"/>
  <c r="W947" i="11"/>
  <c r="Y947" i="11"/>
  <c r="Z947" i="11" s="1"/>
  <c r="AA947" i="11" s="1"/>
  <c r="W883" i="11"/>
  <c r="Y883" i="11"/>
  <c r="Z883" i="11" s="1"/>
  <c r="AA883" i="11" s="1"/>
  <c r="AT883" i="32" s="1"/>
  <c r="W823" i="11"/>
  <c r="Y823" i="11"/>
  <c r="Z823" i="11" s="1"/>
  <c r="AA823" i="11" s="1"/>
  <c r="W901" i="11"/>
  <c r="Y901" i="11"/>
  <c r="Z901" i="11" s="1"/>
  <c r="AA901" i="11" s="1"/>
  <c r="W967" i="11"/>
  <c r="Y967" i="11"/>
  <c r="Z967" i="11" s="1"/>
  <c r="AA967" i="11" s="1"/>
  <c r="W968" i="11"/>
  <c r="Y968" i="11"/>
  <c r="Z968" i="11" s="1"/>
  <c r="AA968" i="11" s="1"/>
  <c r="W938" i="11"/>
  <c r="Y938" i="11"/>
  <c r="Z938" i="11" s="1"/>
  <c r="AA938" i="11" s="1"/>
  <c r="W803" i="11"/>
  <c r="Y803" i="11"/>
  <c r="Z803" i="11" s="1"/>
  <c r="AA803" i="11" s="1"/>
  <c r="W975" i="11"/>
  <c r="Y975" i="11"/>
  <c r="Z975" i="11" s="1"/>
  <c r="AA975" i="11" s="1"/>
  <c r="W796" i="11"/>
  <c r="Y796" i="11"/>
  <c r="Z796" i="11" s="1"/>
  <c r="AA796" i="11" s="1"/>
  <c r="W949" i="11"/>
  <c r="Y949" i="11"/>
  <c r="Z949" i="11" s="1"/>
  <c r="AA949" i="11" s="1"/>
  <c r="W864" i="11"/>
  <c r="Y864" i="11"/>
  <c r="Z864" i="11" s="1"/>
  <c r="AA864" i="11" s="1"/>
  <c r="AT864" i="32" s="1"/>
  <c r="W867" i="11"/>
  <c r="Y867" i="11"/>
  <c r="Z867" i="11" s="1"/>
  <c r="AA867" i="11" s="1"/>
  <c r="AT867" i="32" s="1"/>
  <c r="W812" i="11"/>
  <c r="Y812" i="11"/>
  <c r="Z812" i="11" s="1"/>
  <c r="AA812" i="11" s="1"/>
  <c r="W889" i="11"/>
  <c r="Y889" i="11"/>
  <c r="Z889" i="11" s="1"/>
  <c r="AA889" i="11" s="1"/>
  <c r="AT889" i="32" s="1"/>
  <c r="W891" i="11"/>
  <c r="Y891" i="11"/>
  <c r="Z891" i="11" s="1"/>
  <c r="AA891" i="11" s="1"/>
  <c r="AT891" i="32" s="1"/>
  <c r="T476" i="10"/>
  <c r="W909" i="11"/>
  <c r="Y909" i="11"/>
  <c r="Z909" i="11" s="1"/>
  <c r="AA909" i="11" s="1"/>
  <c r="W821" i="11"/>
  <c r="Y821" i="11"/>
  <c r="Z821" i="11" s="1"/>
  <c r="AA821" i="11" s="1"/>
  <c r="W956" i="11"/>
  <c r="Y956" i="11"/>
  <c r="Z956" i="11" s="1"/>
  <c r="AA956" i="11" s="1"/>
  <c r="W828" i="11"/>
  <c r="Y828" i="11"/>
  <c r="Z828" i="11" s="1"/>
  <c r="AA828" i="11" s="1"/>
  <c r="AT828" i="32" s="1"/>
  <c r="W835" i="11"/>
  <c r="Y835" i="11"/>
  <c r="Z835" i="11" s="1"/>
  <c r="AA835" i="11" s="1"/>
  <c r="AT835" i="32" s="1"/>
  <c r="W839" i="11"/>
  <c r="Y839" i="11"/>
  <c r="Z839" i="11" s="1"/>
  <c r="AA839" i="11" s="1"/>
  <c r="AT839" i="32" s="1"/>
  <c r="W918" i="11"/>
  <c r="Y918" i="11"/>
  <c r="Z918" i="11" s="1"/>
  <c r="AA918" i="11" s="1"/>
  <c r="W874" i="11"/>
  <c r="Y874" i="11"/>
  <c r="Z874" i="11" s="1"/>
  <c r="AA874" i="11" s="1"/>
  <c r="AT874" i="32" s="1"/>
  <c r="W811" i="11"/>
  <c r="Y811" i="11"/>
  <c r="Z811" i="11" s="1"/>
  <c r="AA811" i="11" s="1"/>
  <c r="W793" i="11"/>
  <c r="Y793" i="11"/>
  <c r="Z793" i="11" s="1"/>
  <c r="AA793" i="11" s="1"/>
  <c r="W799" i="11"/>
  <c r="Y799" i="11"/>
  <c r="Z799" i="11" s="1"/>
  <c r="AA799" i="11" s="1"/>
  <c r="W815" i="11"/>
  <c r="Y815" i="11"/>
  <c r="Z815" i="11" s="1"/>
  <c r="AA815" i="11" s="1"/>
  <c r="W886" i="11"/>
  <c r="Y886" i="11"/>
  <c r="Z886" i="11" s="1"/>
  <c r="AA886" i="11" s="1"/>
  <c r="AT886" i="32" s="1"/>
  <c r="W838" i="11"/>
  <c r="Y838" i="11"/>
  <c r="Z838" i="11" s="1"/>
  <c r="AA838" i="11" s="1"/>
  <c r="AT838" i="32" s="1"/>
  <c r="W940" i="11"/>
  <c r="Y940" i="11"/>
  <c r="Z940" i="11" s="1"/>
  <c r="AA940" i="11" s="1"/>
  <c r="W807" i="11"/>
  <c r="Y807" i="11"/>
  <c r="Z807" i="11" s="1"/>
  <c r="AA807" i="11" s="1"/>
  <c r="W954" i="11"/>
  <c r="Y954" i="11"/>
  <c r="Z954" i="11" s="1"/>
  <c r="AA954" i="11" s="1"/>
  <c r="W824" i="11"/>
  <c r="Y824" i="11"/>
  <c r="Z824" i="11" s="1"/>
  <c r="AA824" i="11" s="1"/>
  <c r="W902" i="11"/>
  <c r="Y902" i="11"/>
  <c r="Z902" i="11" s="1"/>
  <c r="AA902" i="11" s="1"/>
  <c r="W906" i="11"/>
  <c r="Y906" i="11"/>
  <c r="Z906" i="11" s="1"/>
  <c r="AA906" i="11" s="1"/>
  <c r="W910" i="11"/>
  <c r="Y910" i="11"/>
  <c r="Z910" i="11" s="1"/>
  <c r="AA910" i="11" s="1"/>
  <c r="W844" i="11"/>
  <c r="Y844" i="11"/>
  <c r="Z844" i="11" s="1"/>
  <c r="AA844" i="11" s="1"/>
  <c r="AT844" i="32" s="1"/>
  <c r="W976" i="11"/>
  <c r="Y976" i="11"/>
  <c r="Z976" i="11" s="1"/>
  <c r="AA976" i="11" s="1"/>
  <c r="W877" i="11"/>
  <c r="Y877" i="11"/>
  <c r="Z877" i="11" s="1"/>
  <c r="AA877" i="11" s="1"/>
  <c r="AT877" i="32" s="1"/>
  <c r="W881" i="11"/>
  <c r="Y881" i="11"/>
  <c r="Z881" i="11" s="1"/>
  <c r="AA881" i="11" s="1"/>
  <c r="W818" i="11"/>
  <c r="Y818" i="11"/>
  <c r="Z818" i="11" s="1"/>
  <c r="AA818" i="11" s="1"/>
  <c r="W895" i="11"/>
  <c r="Y895" i="11"/>
  <c r="Z895" i="11" s="1"/>
  <c r="AA895" i="11" s="1"/>
  <c r="AT895" i="32" s="1"/>
  <c r="W960" i="11"/>
  <c r="Y960" i="11"/>
  <c r="Z960" i="11" s="1"/>
  <c r="AA960" i="11" s="1"/>
  <c r="W836" i="11"/>
  <c r="Y836" i="11"/>
  <c r="Z836" i="11" s="1"/>
  <c r="AA836" i="11" s="1"/>
  <c r="AT836" i="32" s="1"/>
  <c r="W969" i="11"/>
  <c r="Y969" i="11"/>
  <c r="Z969" i="11" s="1"/>
  <c r="AA969" i="11" s="1"/>
  <c r="W801" i="11"/>
  <c r="Y801" i="11"/>
  <c r="Z801" i="11" s="1"/>
  <c r="AA801" i="11" s="1"/>
  <c r="W852" i="11"/>
  <c r="Y852" i="11"/>
  <c r="Z852" i="11" s="1"/>
  <c r="AA852" i="11" s="1"/>
  <c r="AT852" i="32" s="1"/>
  <c r="W945" i="11"/>
  <c r="Y945" i="11"/>
  <c r="Z945" i="11" s="1"/>
  <c r="AA945" i="11" s="1"/>
  <c r="W879" i="11"/>
  <c r="Y879" i="11"/>
  <c r="Z879" i="11" s="1"/>
  <c r="AA879" i="11" s="1"/>
  <c r="AT879" i="32" s="1"/>
  <c r="W813" i="11"/>
  <c r="Y813" i="11"/>
  <c r="Z813" i="11" s="1"/>
  <c r="AA813" i="11" s="1"/>
  <c r="W896" i="11"/>
  <c r="Y896" i="11"/>
  <c r="Z896" i="11" s="1"/>
  <c r="AA896" i="11" s="1"/>
  <c r="AT896" i="32" s="1"/>
  <c r="W961" i="11"/>
  <c r="Y961" i="11"/>
  <c r="Z961" i="11" s="1"/>
  <c r="AA961" i="11" s="1"/>
  <c r="W962" i="11"/>
  <c r="Y962" i="11"/>
  <c r="Z962" i="11" s="1"/>
  <c r="AA962" i="11" s="1"/>
  <c r="W833" i="11"/>
  <c r="Y833" i="11"/>
  <c r="Z833" i="11" s="1"/>
  <c r="AA833" i="11" s="1"/>
  <c r="AT833" i="32" s="1"/>
  <c r="W936" i="11"/>
  <c r="Y936" i="11"/>
  <c r="Z936" i="11" s="1"/>
  <c r="AA936" i="11" s="1"/>
  <c r="W871" i="11"/>
  <c r="Y871" i="11"/>
  <c r="Z871" i="11" s="1"/>
  <c r="AA871" i="11" s="1"/>
  <c r="AT871" i="32" s="1"/>
  <c r="W942" i="11"/>
  <c r="Y942" i="11"/>
  <c r="Z942" i="11" s="1"/>
  <c r="AA942" i="11" s="1"/>
  <c r="W853" i="11"/>
  <c r="Y853" i="11"/>
  <c r="Z853" i="11" s="1"/>
  <c r="AA853" i="11" s="1"/>
  <c r="AT853" i="32" s="1"/>
  <c r="W804" i="11"/>
  <c r="Y804" i="11"/>
  <c r="Z804" i="11" s="1"/>
  <c r="AA804" i="11" s="1"/>
  <c r="W955" i="11"/>
  <c r="Y955" i="11"/>
  <c r="Z955" i="11" s="1"/>
  <c r="AA955" i="11" s="1"/>
  <c r="W829" i="11"/>
  <c r="Y829" i="11"/>
  <c r="Z829" i="11" s="1"/>
  <c r="AA829" i="11" s="1"/>
  <c r="AT829" i="32" s="1"/>
  <c r="W847" i="11"/>
  <c r="Y847" i="11"/>
  <c r="Z847" i="11" s="1"/>
  <c r="AA847" i="11" s="1"/>
  <c r="AT847" i="32" s="1"/>
  <c r="W870" i="11"/>
  <c r="Y870" i="11"/>
  <c r="Z870" i="11" s="1"/>
  <c r="AA870" i="11" s="1"/>
  <c r="AT870" i="32" s="1"/>
  <c r="W826" i="11"/>
  <c r="Y826" i="11"/>
  <c r="Z826" i="11" s="1"/>
  <c r="AA826" i="11" s="1"/>
  <c r="W832" i="11"/>
  <c r="Y832" i="11"/>
  <c r="Z832" i="11" s="1"/>
  <c r="AA832" i="11" s="1"/>
  <c r="AT832" i="32" s="1"/>
  <c r="W907" i="11"/>
  <c r="Y907" i="11"/>
  <c r="Z907" i="11" s="1"/>
  <c r="AA907" i="11" s="1"/>
  <c r="W923" i="11"/>
  <c r="Y923" i="11"/>
  <c r="Z923" i="11" s="1"/>
  <c r="AA923" i="11" s="1"/>
  <c r="W946" i="11"/>
  <c r="Y946" i="11"/>
  <c r="Z946" i="11" s="1"/>
  <c r="AA946" i="11" s="1"/>
  <c r="W887" i="11"/>
  <c r="Y887" i="11"/>
  <c r="Z887" i="11" s="1"/>
  <c r="AA887" i="11" s="1"/>
  <c r="AT887" i="32" s="1"/>
  <c r="W827" i="11"/>
  <c r="Y827" i="11"/>
  <c r="Z827" i="11" s="1"/>
  <c r="AA827" i="11" s="1"/>
  <c r="W904" i="11"/>
  <c r="Y904" i="11"/>
  <c r="Z904" i="11" s="1"/>
  <c r="AA904" i="11" s="1"/>
  <c r="W937" i="11"/>
  <c r="Y937" i="11"/>
  <c r="Z937" i="11" s="1"/>
  <c r="AA937" i="11" s="1"/>
  <c r="W797" i="11"/>
  <c r="Y797" i="11"/>
  <c r="Z797" i="11" s="1"/>
  <c r="AA797" i="11" s="1"/>
  <c r="W846" i="11"/>
  <c r="Y846" i="11"/>
  <c r="Z846" i="11" s="1"/>
  <c r="AA846" i="11" s="1"/>
  <c r="AT846" i="32" s="1"/>
  <c r="W941" i="11"/>
  <c r="Y941" i="11"/>
  <c r="Z941" i="11" s="1"/>
  <c r="AA941" i="11" s="1"/>
  <c r="W873" i="11"/>
  <c r="Y873" i="11"/>
  <c r="Z873" i="11" s="1"/>
  <c r="AA873" i="11" s="1"/>
  <c r="AT873" i="32" s="1"/>
  <c r="W924" i="11"/>
  <c r="Y924" i="11"/>
  <c r="Z924" i="11" s="1"/>
  <c r="AA924" i="11" s="1"/>
  <c r="W914" i="11"/>
  <c r="Y914" i="11"/>
  <c r="Z914" i="11" s="1"/>
  <c r="AA914" i="11" s="1"/>
  <c r="W882" i="11"/>
  <c r="Y882" i="11"/>
  <c r="Z882" i="11" s="1"/>
  <c r="AA882" i="11" s="1"/>
  <c r="AT882" i="32" s="1"/>
  <c r="W972" i="11"/>
  <c r="Y972" i="11"/>
  <c r="Z972" i="11" s="1"/>
  <c r="AA972" i="11" s="1"/>
  <c r="W808" i="11"/>
  <c r="Y808" i="11"/>
  <c r="Z808" i="11" s="1"/>
  <c r="AA808" i="11" s="1"/>
  <c r="W950" i="11"/>
  <c r="Y950" i="11"/>
  <c r="Z950" i="11" s="1"/>
  <c r="AA950" i="11" s="1"/>
  <c r="W805" i="11"/>
  <c r="Y805" i="11"/>
  <c r="Z805" i="11" s="1"/>
  <c r="AA805" i="11" s="1"/>
  <c r="W809" i="11"/>
  <c r="Y809" i="11"/>
  <c r="Z809" i="11" s="1"/>
  <c r="AA809" i="11" s="1"/>
  <c r="W953" i="11"/>
  <c r="Y953" i="11"/>
  <c r="Z953" i="11" s="1"/>
  <c r="AA953" i="11" s="1"/>
  <c r="W898" i="11"/>
  <c r="Y898" i="11"/>
  <c r="Z898" i="11" s="1"/>
  <c r="AA898" i="11" s="1"/>
  <c r="AT898" i="32" s="1"/>
  <c r="W965" i="11"/>
  <c r="Y965" i="11"/>
  <c r="Z965" i="11" s="1"/>
  <c r="AA965" i="11" s="1"/>
  <c r="W794" i="11"/>
  <c r="Y794" i="11"/>
  <c r="Z794" i="11" s="1"/>
  <c r="AA794" i="11" s="1"/>
  <c r="W842" i="11"/>
  <c r="Y842" i="11"/>
  <c r="Z842" i="11" s="1"/>
  <c r="AA842" i="11" s="1"/>
  <c r="AT842" i="32" s="1"/>
  <c r="W868" i="11"/>
  <c r="Y868" i="11"/>
  <c r="Z868" i="11" s="1"/>
  <c r="AA868" i="11" s="1"/>
  <c r="AT868" i="32" s="1"/>
  <c r="W849" i="11"/>
  <c r="Y849" i="11"/>
  <c r="Z849" i="11" s="1"/>
  <c r="AA849" i="11" s="1"/>
  <c r="AT849" i="32" s="1"/>
  <c r="W851" i="11"/>
  <c r="Y851" i="11"/>
  <c r="Z851" i="11" s="1"/>
  <c r="AA851" i="11" s="1"/>
  <c r="AT851" i="32" s="1"/>
  <c r="W817" i="11"/>
  <c r="Y817" i="11"/>
  <c r="Z817" i="11" s="1"/>
  <c r="AA817" i="11" s="1"/>
  <c r="W911" i="11"/>
  <c r="Y911" i="11"/>
  <c r="Z911" i="11" s="1"/>
  <c r="AA911" i="11" s="1"/>
  <c r="W971" i="11"/>
  <c r="Y971" i="11"/>
  <c r="Z971" i="11" s="1"/>
  <c r="AA971" i="11" s="1"/>
  <c r="W848" i="11"/>
  <c r="Y848" i="11"/>
  <c r="Z848" i="11" s="1"/>
  <c r="AA848" i="11" s="1"/>
  <c r="AT848" i="32" s="1"/>
  <c r="W952" i="11"/>
  <c r="Y952" i="11"/>
  <c r="Z952" i="11" s="1"/>
  <c r="AA952" i="11" s="1"/>
  <c r="W875" i="11"/>
  <c r="Y875" i="11"/>
  <c r="Z875" i="11" s="1"/>
  <c r="AA875" i="11" s="1"/>
  <c r="AT875" i="32" s="1"/>
  <c r="W820" i="11"/>
  <c r="Y820" i="11"/>
  <c r="Z820" i="11" s="1"/>
  <c r="AA820" i="11" s="1"/>
  <c r="W822" i="11"/>
  <c r="Y822" i="11"/>
  <c r="Z822" i="11" s="1"/>
  <c r="AA822" i="11" s="1"/>
  <c r="W897" i="11"/>
  <c r="Y897" i="11"/>
  <c r="Z897" i="11" s="1"/>
  <c r="AA897" i="11" s="1"/>
  <c r="W903" i="11"/>
  <c r="Y903" i="11"/>
  <c r="Z903" i="11" s="1"/>
  <c r="AA903" i="11" s="1"/>
  <c r="W800" i="11"/>
  <c r="Y800" i="11"/>
  <c r="Z800" i="11" s="1"/>
  <c r="AA800" i="11" s="1"/>
  <c r="W810" i="11"/>
  <c r="Y810" i="11"/>
  <c r="Z810" i="11" s="1"/>
  <c r="AA810" i="11" s="1"/>
  <c r="W816" i="11"/>
  <c r="Y816" i="11"/>
  <c r="Z816" i="11" s="1"/>
  <c r="AA816" i="11" s="1"/>
  <c r="W951" i="11"/>
  <c r="Y951" i="11"/>
  <c r="Z951" i="11" s="1"/>
  <c r="AA951" i="11" s="1"/>
  <c r="W892" i="11"/>
  <c r="Y892" i="11"/>
  <c r="Z892" i="11" s="1"/>
  <c r="AA892" i="11" s="1"/>
  <c r="AT892" i="32" s="1"/>
  <c r="W894" i="11"/>
  <c r="Y894" i="11"/>
  <c r="Z894" i="11" s="1"/>
  <c r="AA894" i="11" s="1"/>
  <c r="AT894" i="32" s="1"/>
  <c r="W825" i="11"/>
  <c r="Y825" i="11"/>
  <c r="Z825" i="11" s="1"/>
  <c r="AA825" i="11" s="1"/>
  <c r="W831" i="11"/>
  <c r="Y831" i="11"/>
  <c r="Z831" i="11" s="1"/>
  <c r="AA831" i="11" s="1"/>
  <c r="AT831" i="32" s="1"/>
  <c r="W865" i="11"/>
  <c r="Y865" i="11"/>
  <c r="Z865" i="11" s="1"/>
  <c r="AA865" i="11" s="1"/>
  <c r="AT865" i="32" s="1"/>
  <c r="W916" i="11"/>
  <c r="Y916" i="11"/>
  <c r="Z916" i="11" s="1"/>
  <c r="AA916" i="11" s="1"/>
  <c r="W845" i="11"/>
  <c r="Y845" i="11"/>
  <c r="Z845" i="11" s="1"/>
  <c r="AA845" i="11" s="1"/>
  <c r="AT845" i="32" s="1"/>
  <c r="W798" i="11"/>
  <c r="Y798" i="11"/>
  <c r="Z798" i="11" s="1"/>
  <c r="AA798" i="11" s="1"/>
  <c r="W974" i="11"/>
  <c r="Y974" i="11"/>
  <c r="Z974" i="11" s="1"/>
  <c r="AA974" i="11" s="1"/>
  <c r="W943" i="11"/>
  <c r="Y943" i="11"/>
  <c r="Z943" i="11" s="1"/>
  <c r="AA943" i="11" s="1"/>
  <c r="W925" i="11"/>
  <c r="Y925" i="11"/>
  <c r="Z925" i="11" s="1"/>
  <c r="AA925" i="11" s="1"/>
  <c r="W878" i="11"/>
  <c r="Y878" i="11"/>
  <c r="Z878" i="11" s="1"/>
  <c r="AA878" i="11" s="1"/>
  <c r="AT878" i="32" s="1"/>
  <c r="W893" i="11"/>
  <c r="Y893" i="11"/>
  <c r="Z893" i="11" s="1"/>
  <c r="AA893" i="11" s="1"/>
  <c r="AT893" i="32" s="1"/>
  <c r="W963" i="11"/>
  <c r="Y963" i="11"/>
  <c r="Z963" i="11" s="1"/>
  <c r="AA963" i="11" s="1"/>
  <c r="W917" i="11"/>
  <c r="Y917" i="11"/>
  <c r="Z917" i="11" s="1"/>
  <c r="AA917" i="11" s="1"/>
  <c r="W888" i="11"/>
  <c r="Y888" i="11"/>
  <c r="Z888" i="11" s="1"/>
  <c r="AA888" i="11" s="1"/>
  <c r="AT888" i="32" s="1"/>
  <c r="W834" i="11"/>
  <c r="Y834" i="11"/>
  <c r="Z834" i="11" s="1"/>
  <c r="AA834" i="11" s="1"/>
  <c r="AT834" i="32" s="1"/>
  <c r="W957" i="11"/>
  <c r="Y957" i="11"/>
  <c r="Z957" i="11" s="1"/>
  <c r="AA957" i="11" s="1"/>
  <c r="W966" i="11"/>
  <c r="Y966" i="11"/>
  <c r="Z966" i="11" s="1"/>
  <c r="AA966" i="11" s="1"/>
  <c r="W977" i="11"/>
  <c r="Y977" i="11"/>
  <c r="Z977" i="11" s="1"/>
  <c r="AA977" i="11" s="1"/>
  <c r="W806" i="11"/>
  <c r="Y806" i="11"/>
  <c r="Z806" i="11" s="1"/>
  <c r="AA806" i="11" s="1"/>
  <c r="W880" i="11"/>
  <c r="Y880" i="11"/>
  <c r="Z880" i="11" s="1"/>
  <c r="AA880" i="11" s="1"/>
  <c r="AT880" i="32" s="1"/>
  <c r="W884" i="11"/>
  <c r="Y884" i="11"/>
  <c r="Z884" i="11" s="1"/>
  <c r="AA884" i="11" s="1"/>
  <c r="AT884" i="32" s="1"/>
  <c r="W890" i="11"/>
  <c r="Y890" i="11"/>
  <c r="Z890" i="11" s="1"/>
  <c r="AA890" i="11" s="1"/>
  <c r="AT890" i="32" s="1"/>
  <c r="W814" i="11"/>
  <c r="Y814" i="11"/>
  <c r="Z814" i="11" s="1"/>
  <c r="AA814" i="11" s="1"/>
  <c r="W899" i="11"/>
  <c r="Y899" i="11"/>
  <c r="Z899" i="11" s="1"/>
  <c r="AA899" i="11" s="1"/>
  <c r="W866" i="11"/>
  <c r="Y866" i="11"/>
  <c r="Z866" i="11" s="1"/>
  <c r="AA866" i="11" s="1"/>
  <c r="AT866" i="32" s="1"/>
  <c r="W970" i="11"/>
  <c r="Y970" i="11"/>
  <c r="Z970" i="11" s="1"/>
  <c r="AA970" i="11" s="1"/>
  <c r="W795" i="11"/>
  <c r="Y795" i="11"/>
  <c r="Z795" i="11" s="1"/>
  <c r="AA795" i="11" s="1"/>
  <c r="W919" i="11"/>
  <c r="Y919" i="11"/>
  <c r="Z919" i="11" s="1"/>
  <c r="AA919" i="11" s="1"/>
  <c r="W872" i="11"/>
  <c r="Y872" i="11"/>
  <c r="Z872" i="11" s="1"/>
  <c r="AA872" i="11" s="1"/>
  <c r="AT872" i="32" s="1"/>
  <c r="W850" i="11"/>
  <c r="Y850" i="11"/>
  <c r="Z850" i="11" s="1"/>
  <c r="AA850" i="11" s="1"/>
  <c r="AT850" i="32" s="1"/>
  <c r="W837" i="11"/>
  <c r="Y837" i="11"/>
  <c r="Z837" i="11" s="1"/>
  <c r="AA837" i="11" s="1"/>
  <c r="AT837" i="32" s="1"/>
  <c r="W802" i="11"/>
  <c r="Y802" i="11"/>
  <c r="Z802" i="11" s="1"/>
  <c r="AA802" i="11" s="1"/>
  <c r="W900" i="11"/>
  <c r="Y900" i="11"/>
  <c r="Z900" i="11" s="1"/>
  <c r="AA900" i="11" s="1"/>
  <c r="W944" i="11"/>
  <c r="Y944" i="11"/>
  <c r="Z944" i="11" s="1"/>
  <c r="AA944" i="11" s="1"/>
  <c r="W948" i="11"/>
  <c r="Y948" i="11"/>
  <c r="Z948" i="11" s="1"/>
  <c r="AA948" i="11" s="1"/>
  <c r="W885" i="11"/>
  <c r="Y885" i="11"/>
  <c r="Z885" i="11" s="1"/>
  <c r="AA885" i="11" s="1"/>
  <c r="AT885" i="32" s="1"/>
  <c r="W819" i="11"/>
  <c r="Y819" i="11"/>
  <c r="Z819" i="11" s="1"/>
  <c r="AA819" i="11" s="1"/>
  <c r="W964" i="11"/>
  <c r="Y964" i="11"/>
  <c r="Z964" i="11" s="1"/>
  <c r="AA964" i="11" s="1"/>
  <c r="W843" i="11"/>
  <c r="Y843" i="11"/>
  <c r="Z843" i="11" s="1"/>
  <c r="AA843" i="11" s="1"/>
  <c r="AT843" i="32" s="1"/>
  <c r="W869" i="11"/>
  <c r="Y869" i="11"/>
  <c r="Z869" i="11" s="1"/>
  <c r="AA869" i="11" s="1"/>
  <c r="AT869" i="32" s="1"/>
  <c r="W973" i="11"/>
  <c r="Y973" i="11"/>
  <c r="Z973" i="11" s="1"/>
  <c r="AA973" i="11" s="1"/>
  <c r="W921" i="11"/>
  <c r="Y921" i="11"/>
  <c r="Z921" i="11" s="1"/>
  <c r="AA921" i="11" s="1"/>
  <c r="W189" i="11"/>
  <c r="T189" i="32" s="1"/>
  <c r="W143" i="11"/>
  <c r="T143" i="32" s="1"/>
  <c r="W21" i="11"/>
  <c r="T21" i="32" s="1"/>
  <c r="W178" i="11"/>
  <c r="T178" i="32" s="1"/>
  <c r="W191" i="11"/>
  <c r="T191" i="32" s="1"/>
  <c r="W195" i="11"/>
  <c r="T195" i="32" s="1"/>
  <c r="W108" i="11"/>
  <c r="T108" i="32" s="1"/>
  <c r="W71" i="11"/>
  <c r="T71" i="32" s="1"/>
  <c r="W129" i="11"/>
  <c r="T129" i="32" s="1"/>
  <c r="W135" i="11"/>
  <c r="T135" i="32" s="1"/>
  <c r="W120" i="11"/>
  <c r="T120" i="32" s="1"/>
  <c r="W147" i="11"/>
  <c r="T147" i="32" s="1"/>
  <c r="W93" i="11"/>
  <c r="T93" i="32" s="1"/>
  <c r="W46" i="11"/>
  <c r="T46" i="32" s="1"/>
  <c r="W98" i="11"/>
  <c r="T98" i="32" s="1"/>
  <c r="W32" i="11"/>
  <c r="T32" i="32" s="1"/>
  <c r="W107" i="11"/>
  <c r="T107" i="32" s="1"/>
  <c r="W214" i="11"/>
  <c r="T214" i="32" s="1"/>
  <c r="W24" i="11"/>
  <c r="T24" i="32" s="1"/>
  <c r="W73" i="11"/>
  <c r="T73" i="32" s="1"/>
  <c r="W75" i="11"/>
  <c r="T75" i="32" s="1"/>
  <c r="W183" i="11"/>
  <c r="T183" i="32" s="1"/>
  <c r="W35" i="11"/>
  <c r="T35" i="32" s="1"/>
  <c r="W15" i="11"/>
  <c r="T15" i="32" s="1"/>
  <c r="W42" i="11"/>
  <c r="T42" i="32" s="1"/>
  <c r="W44" i="11"/>
  <c r="T44" i="32" s="1"/>
  <c r="W199" i="11"/>
  <c r="T199" i="32" s="1"/>
  <c r="W154" i="11"/>
  <c r="T154" i="32" s="1"/>
  <c r="W160" i="11"/>
  <c r="T160" i="32" s="1"/>
  <c r="W60" i="11"/>
  <c r="T60" i="32" s="1"/>
  <c r="W65" i="11"/>
  <c r="T65" i="32" s="1"/>
  <c r="W68" i="11"/>
  <c r="T68" i="32" s="1"/>
  <c r="W177" i="11"/>
  <c r="T177" i="32" s="1"/>
  <c r="W27" i="11"/>
  <c r="T27" i="32" s="1"/>
  <c r="W118" i="11"/>
  <c r="T118" i="32" s="1"/>
  <c r="W146" i="11"/>
  <c r="T146" i="32" s="1"/>
  <c r="W106" i="11"/>
  <c r="T106" i="32" s="1"/>
  <c r="W23" i="11"/>
  <c r="T23" i="32" s="1"/>
  <c r="W80" i="11"/>
  <c r="T80" i="32" s="1"/>
  <c r="W38" i="11"/>
  <c r="T38" i="32" s="1"/>
  <c r="W206" i="11"/>
  <c r="T206" i="32" s="1"/>
  <c r="W180" i="11"/>
  <c r="T180" i="32" s="1"/>
  <c r="W54" i="11"/>
  <c r="T54" i="32" s="1"/>
  <c r="W124" i="11"/>
  <c r="T124" i="32" s="1"/>
  <c r="W179" i="11"/>
  <c r="T179" i="32" s="1"/>
  <c r="W181" i="11"/>
  <c r="T181" i="32" s="1"/>
  <c r="W28" i="11"/>
  <c r="T28" i="32" s="1"/>
  <c r="W86" i="11"/>
  <c r="T86" i="32" s="1"/>
  <c r="W192" i="11"/>
  <c r="T192" i="32" s="1"/>
  <c r="W150" i="11"/>
  <c r="T150" i="32" s="1"/>
  <c r="W152" i="11"/>
  <c r="T152" i="32" s="1"/>
  <c r="W201" i="11"/>
  <c r="T201" i="32" s="1"/>
  <c r="W49" i="11"/>
  <c r="T49" i="32" s="1"/>
  <c r="W207" i="11"/>
  <c r="T207" i="32" s="1"/>
  <c r="W55" i="11"/>
  <c r="T55" i="32" s="1"/>
  <c r="W109" i="11"/>
  <c r="T109" i="32" s="1"/>
  <c r="W64" i="11"/>
  <c r="T64" i="32" s="1"/>
  <c r="W174" i="11"/>
  <c r="T174" i="32" s="1"/>
  <c r="W187" i="11"/>
  <c r="T187" i="32" s="1"/>
  <c r="W134" i="11"/>
  <c r="T134" i="32" s="1"/>
  <c r="W78" i="11"/>
  <c r="T78" i="32" s="1"/>
  <c r="W47" i="11"/>
  <c r="T47" i="32" s="1"/>
  <c r="W138" i="11"/>
  <c r="T138" i="32" s="1"/>
  <c r="W215" i="11"/>
  <c r="T215" i="32" s="1"/>
  <c r="W170" i="11"/>
  <c r="T170" i="32" s="1"/>
  <c r="W16" i="11"/>
  <c r="T16" i="32" s="1"/>
  <c r="W96" i="11"/>
  <c r="T96" i="32" s="1"/>
  <c r="W176" i="11"/>
  <c r="T176" i="32" s="1"/>
  <c r="W212" i="11"/>
  <c r="T212" i="32" s="1"/>
  <c r="W76" i="11"/>
  <c r="T76" i="32" s="1"/>
  <c r="W45" i="11"/>
  <c r="T45" i="32" s="1"/>
  <c r="W29" i="11"/>
  <c r="T29" i="32" s="1"/>
  <c r="W193" i="11"/>
  <c r="T193" i="32" s="1"/>
  <c r="W126" i="11"/>
  <c r="T126" i="32" s="1"/>
  <c r="W25" i="11"/>
  <c r="T25" i="32" s="1"/>
  <c r="W186" i="11"/>
  <c r="T186" i="32" s="1"/>
  <c r="W79" i="11"/>
  <c r="T79" i="32" s="1"/>
  <c r="W190" i="11"/>
  <c r="T190" i="32" s="1"/>
  <c r="W90" i="11"/>
  <c r="T90" i="32" s="1"/>
  <c r="W101" i="11"/>
  <c r="T101" i="32" s="1"/>
  <c r="W208" i="11"/>
  <c r="T208" i="32" s="1"/>
  <c r="W105" i="11"/>
  <c r="T105" i="32" s="1"/>
  <c r="W58" i="11"/>
  <c r="T58" i="32" s="1"/>
  <c r="W17" i="11"/>
  <c r="T17" i="32" s="1"/>
  <c r="W100" i="11"/>
  <c r="T100" i="32" s="1"/>
  <c r="W136" i="11"/>
  <c r="T136" i="32" s="1"/>
  <c r="W66" i="11"/>
  <c r="T66" i="32" s="1"/>
  <c r="W81" i="11"/>
  <c r="T81" i="32" s="1"/>
  <c r="W210" i="11"/>
  <c r="T210" i="32" s="1"/>
  <c r="W84" i="11"/>
  <c r="T84" i="32" s="1"/>
  <c r="W37" i="11"/>
  <c r="T37" i="32" s="1"/>
  <c r="W205" i="11"/>
  <c r="T205" i="32" s="1"/>
  <c r="W102" i="11"/>
  <c r="T102" i="32" s="1"/>
  <c r="W77" i="11"/>
  <c r="T77" i="32" s="1"/>
  <c r="W30" i="11"/>
  <c r="T30" i="32" s="1"/>
  <c r="W185" i="11"/>
  <c r="T185" i="32" s="1"/>
  <c r="W144" i="11"/>
  <c r="T144" i="32" s="1"/>
  <c r="W88" i="11"/>
  <c r="T88" i="32" s="1"/>
  <c r="W196" i="11"/>
  <c r="T196" i="32" s="1"/>
  <c r="W95" i="11"/>
  <c r="T95" i="32" s="1"/>
  <c r="W203" i="11"/>
  <c r="T203" i="32" s="1"/>
  <c r="W103" i="11"/>
  <c r="T103" i="32" s="1"/>
  <c r="W162" i="11"/>
  <c r="T162" i="32" s="1"/>
  <c r="W211" i="11"/>
  <c r="T211" i="32" s="1"/>
  <c r="W67" i="11"/>
  <c r="T67" i="32" s="1"/>
  <c r="W70" i="11"/>
  <c r="T70" i="32" s="1"/>
  <c r="W85" i="11"/>
  <c r="T85" i="32" s="1"/>
  <c r="W139" i="11"/>
  <c r="T139" i="32" s="1"/>
  <c r="W94" i="11"/>
  <c r="T94" i="32" s="1"/>
  <c r="W130" i="11"/>
  <c r="T130" i="32" s="1"/>
  <c r="W48" i="11"/>
  <c r="T48" i="32" s="1"/>
  <c r="W53" i="11"/>
  <c r="T53" i="32" s="1"/>
  <c r="W163" i="11"/>
  <c r="T163" i="32" s="1"/>
  <c r="W131" i="11"/>
  <c r="T131" i="32" s="1"/>
  <c r="W141" i="11"/>
  <c r="T141" i="32" s="1"/>
  <c r="T39" i="32"/>
  <c r="W194" i="11"/>
  <c r="T194" i="32" s="1"/>
  <c r="W148" i="11"/>
  <c r="T148" i="32" s="1"/>
  <c r="W97" i="11"/>
  <c r="T97" i="32" s="1"/>
  <c r="W51" i="11"/>
  <c r="T51" i="32" s="1"/>
  <c r="W209" i="11"/>
  <c r="T209" i="32" s="1"/>
  <c r="W57" i="11"/>
  <c r="T57" i="32" s="1"/>
  <c r="W164" i="11"/>
  <c r="T164" i="32" s="1"/>
  <c r="W168" i="11"/>
  <c r="T168" i="32" s="1"/>
  <c r="W171" i="11"/>
  <c r="T171" i="32" s="1"/>
  <c r="W156" i="11"/>
  <c r="T156" i="32" s="1"/>
  <c r="W72" i="11"/>
  <c r="T72" i="32" s="1"/>
  <c r="W41" i="11"/>
  <c r="T41" i="32" s="1"/>
  <c r="W125" i="11"/>
  <c r="T125" i="32" s="1"/>
  <c r="W184" i="11"/>
  <c r="T184" i="32" s="1"/>
  <c r="W33" i="11"/>
  <c r="T33" i="32" s="1"/>
  <c r="W182" i="11"/>
  <c r="T182" i="32" s="1"/>
  <c r="W34" i="11"/>
  <c r="T34" i="32" s="1"/>
  <c r="W200" i="11"/>
  <c r="T200" i="32" s="1"/>
  <c r="W69" i="11"/>
  <c r="T69" i="32" s="1"/>
  <c r="W26" i="11"/>
  <c r="T26" i="32" s="1"/>
  <c r="W82" i="11"/>
  <c r="T82" i="32" s="1"/>
  <c r="W157" i="11"/>
  <c r="T157" i="32" s="1"/>
  <c r="W137" i="11"/>
  <c r="T137" i="32" s="1"/>
  <c r="T787" i="10"/>
  <c r="W92" i="11"/>
  <c r="T92" i="32" s="1"/>
  <c r="W158" i="11"/>
  <c r="T158" i="32" s="1"/>
  <c r="W123" i="11"/>
  <c r="T123" i="32" s="1"/>
  <c r="W128" i="11"/>
  <c r="T128" i="32" s="1"/>
  <c r="W202" i="11"/>
  <c r="T202" i="32" s="1"/>
  <c r="W87" i="11"/>
  <c r="T87" i="32" s="1"/>
  <c r="W99" i="11"/>
  <c r="T99" i="32" s="1"/>
  <c r="W161" i="11"/>
  <c r="T161" i="32" s="1"/>
  <c r="W127" i="11"/>
  <c r="T127" i="32" s="1"/>
  <c r="W56" i="11"/>
  <c r="T56" i="32" s="1"/>
  <c r="W175" i="11"/>
  <c r="T175" i="32" s="1"/>
  <c r="W74" i="11"/>
  <c r="T74" i="32" s="1"/>
  <c r="W188" i="11"/>
  <c r="T188" i="32" s="1"/>
  <c r="W89" i="11"/>
  <c r="T89" i="32" s="1"/>
  <c r="W145" i="11"/>
  <c r="T145" i="32" s="1"/>
  <c r="W91" i="11"/>
  <c r="T91" i="32" s="1"/>
  <c r="W43" i="11"/>
  <c r="T43" i="32" s="1"/>
  <c r="W155" i="11"/>
  <c r="T155" i="32" s="1"/>
  <c r="W204" i="11"/>
  <c r="T204" i="32" s="1"/>
  <c r="W104" i="11"/>
  <c r="T104" i="32" s="1"/>
  <c r="W59" i="11"/>
  <c r="T59" i="32" s="1"/>
  <c r="W63" i="11"/>
  <c r="T63" i="32" s="1"/>
  <c r="W173" i="11"/>
  <c r="T173" i="32" s="1"/>
  <c r="W19" i="11"/>
  <c r="T19" i="32" s="1"/>
  <c r="W153" i="11"/>
  <c r="T153" i="32" s="1"/>
  <c r="W198" i="11"/>
  <c r="T198" i="32" s="1"/>
  <c r="W159" i="11"/>
  <c r="T159" i="32" s="1"/>
  <c r="W213" i="11"/>
  <c r="T213" i="32" s="1"/>
  <c r="W18" i="11"/>
  <c r="T18" i="32" s="1"/>
  <c r="W31" i="11"/>
  <c r="T31" i="32" s="1"/>
  <c r="W172" i="11"/>
  <c r="T172" i="32" s="1"/>
  <c r="W122" i="11"/>
  <c r="T122" i="32" s="1"/>
  <c r="W110" i="11"/>
  <c r="T110" i="32" s="1"/>
  <c r="W132" i="11"/>
  <c r="T132" i="32" s="1"/>
  <c r="W133" i="11"/>
  <c r="T133" i="32" s="1"/>
  <c r="W142" i="11"/>
  <c r="T142" i="32" s="1"/>
  <c r="W40" i="11"/>
  <c r="T40" i="32" s="1"/>
  <c r="W197" i="11"/>
  <c r="T197" i="32" s="1"/>
  <c r="W149" i="11"/>
  <c r="T149" i="32" s="1"/>
  <c r="W151" i="11"/>
  <c r="T151" i="32" s="1"/>
  <c r="W50" i="11"/>
  <c r="T50" i="32" s="1"/>
  <c r="W52" i="11"/>
  <c r="T52" i="32" s="1"/>
  <c r="W169" i="11"/>
  <c r="T169" i="32" s="1"/>
  <c r="W121" i="11"/>
  <c r="T121" i="32" s="1"/>
  <c r="T384" i="10"/>
  <c r="T786" i="10"/>
  <c r="T656" i="10"/>
  <c r="X383" i="11"/>
  <c r="AN383" i="10" s="1"/>
  <c r="Y695" i="11"/>
  <c r="Y730" i="11"/>
  <c r="Y725" i="11"/>
  <c r="T382" i="10"/>
  <c r="Y732" i="11"/>
  <c r="O216" i="4"/>
  <c r="O216" i="9"/>
  <c r="Y699" i="11"/>
  <c r="Y749" i="11"/>
  <c r="H136" i="7"/>
  <c r="H136" i="4"/>
  <c r="M84" i="7"/>
  <c r="Y681" i="11"/>
  <c r="Y697" i="11"/>
  <c r="Y682" i="11"/>
  <c r="J164" i="7"/>
  <c r="J164" i="4"/>
  <c r="Y674" i="11"/>
  <c r="Y748" i="11"/>
  <c r="T724" i="10"/>
  <c r="E100" i="4"/>
  <c r="E100" i="9"/>
  <c r="T568" i="10"/>
  <c r="E112" i="4"/>
  <c r="E112" i="7"/>
  <c r="I136" i="4"/>
  <c r="I136" i="9"/>
  <c r="Y684" i="11"/>
  <c r="Y768" i="11"/>
  <c r="C140" i="4"/>
  <c r="Y738" i="11"/>
  <c r="Y778" i="11"/>
  <c r="Y780" i="11"/>
  <c r="T475" i="10"/>
  <c r="C208" i="4"/>
  <c r="C208" i="9"/>
  <c r="C132" i="9"/>
  <c r="C132" i="7"/>
  <c r="Y781" i="11"/>
  <c r="Y782" i="11"/>
  <c r="N108" i="9"/>
  <c r="T474" i="10"/>
  <c r="T657" i="10"/>
  <c r="L104" i="7"/>
  <c r="I80" i="9"/>
  <c r="I60" i="9"/>
  <c r="O160" i="9"/>
  <c r="O160" i="7"/>
  <c r="H112" i="7"/>
  <c r="J162" i="7"/>
  <c r="I60" i="4"/>
  <c r="J184" i="4"/>
  <c r="C190" i="7"/>
  <c r="L104" i="9"/>
  <c r="H112" i="9"/>
  <c r="J162" i="9"/>
  <c r="J184" i="7"/>
  <c r="C190" i="9"/>
  <c r="H114" i="7"/>
  <c r="I156" i="7"/>
  <c r="I156" i="4"/>
  <c r="L140" i="4"/>
  <c r="T658" i="10"/>
  <c r="T649" i="10"/>
  <c r="T659" i="10"/>
  <c r="C144" i="9"/>
  <c r="M84" i="9"/>
  <c r="J134" i="7"/>
  <c r="N118" i="7"/>
  <c r="I196" i="4"/>
  <c r="C144" i="4"/>
  <c r="J164" i="9"/>
  <c r="J134" i="9"/>
  <c r="K104" i="4"/>
  <c r="K210" i="4"/>
  <c r="M104" i="9"/>
  <c r="N106" i="9"/>
  <c r="Y290" i="11"/>
  <c r="Z290" i="11" s="1"/>
  <c r="AA290" i="11" s="1"/>
  <c r="AT290" i="32" s="1"/>
  <c r="N118" i="9"/>
  <c r="K104" i="9"/>
  <c r="E172" i="7"/>
  <c r="K210" i="7"/>
  <c r="M104" i="4"/>
  <c r="E172" i="9"/>
  <c r="Y289" i="11"/>
  <c r="Z289" i="11" s="1"/>
  <c r="AA289" i="11" s="1"/>
  <c r="AT289" i="32" s="1"/>
  <c r="N106" i="4"/>
  <c r="F154" i="7"/>
  <c r="F154" i="9"/>
  <c r="I196" i="9"/>
  <c r="K22" i="4"/>
  <c r="E100" i="7"/>
  <c r="O74" i="7"/>
  <c r="O74" i="9"/>
  <c r="C152" i="4"/>
  <c r="H196" i="9"/>
  <c r="H196" i="4"/>
  <c r="G126" i="4"/>
  <c r="L140" i="7"/>
  <c r="C152" i="7"/>
  <c r="G210" i="7"/>
  <c r="G210" i="9"/>
  <c r="N120" i="7"/>
  <c r="N120" i="4"/>
  <c r="D154" i="9"/>
  <c r="E152" i="7"/>
  <c r="D154" i="4"/>
  <c r="L190" i="7"/>
  <c r="M130" i="7"/>
  <c r="L190" i="4"/>
  <c r="I136" i="7"/>
  <c r="G114" i="4"/>
  <c r="M136" i="7"/>
  <c r="N158" i="7"/>
  <c r="K184" i="7"/>
  <c r="M136" i="9"/>
  <c r="N158" i="9"/>
  <c r="K184" i="9"/>
  <c r="H82" i="7"/>
  <c r="M130" i="9"/>
  <c r="H82" i="9"/>
  <c r="O238" i="4"/>
  <c r="O238" i="7"/>
  <c r="G186" i="4"/>
  <c r="I170" i="9"/>
  <c r="E206" i="9"/>
  <c r="G114" i="7"/>
  <c r="I194" i="7"/>
  <c r="K236" i="4"/>
  <c r="K236" i="7"/>
  <c r="D152" i="7"/>
  <c r="J116" i="9"/>
  <c r="E152" i="9"/>
  <c r="N74" i="7"/>
  <c r="N74" i="9"/>
  <c r="F78" i="7"/>
  <c r="I194" i="9"/>
  <c r="H84" i="7"/>
  <c r="D112" i="7"/>
  <c r="G182" i="7"/>
  <c r="H84" i="9"/>
  <c r="D112" i="9"/>
  <c r="G182" i="9"/>
  <c r="M118" i="7"/>
  <c r="F166" i="7"/>
  <c r="M158" i="9"/>
  <c r="F166" i="9"/>
  <c r="F168" i="4"/>
  <c r="M118" i="9"/>
  <c r="M158" i="4"/>
  <c r="G126" i="7"/>
  <c r="AM13" i="10"/>
  <c r="AU13" i="10"/>
  <c r="C122" i="7"/>
  <c r="D152" i="9"/>
  <c r="K22" i="7"/>
  <c r="C122" i="9"/>
  <c r="I170" i="7"/>
  <c r="J116" i="7"/>
  <c r="E206" i="7"/>
  <c r="H210" i="4"/>
  <c r="H210" i="7"/>
  <c r="C208" i="7"/>
  <c r="J156" i="9"/>
  <c r="J156" i="4"/>
  <c r="O120" i="7"/>
  <c r="L174" i="4"/>
  <c r="F168" i="9"/>
  <c r="G148" i="4"/>
  <c r="K116" i="9"/>
  <c r="F78" i="9"/>
  <c r="K116" i="7"/>
  <c r="O120" i="4"/>
  <c r="C194" i="9"/>
  <c r="D130" i="7"/>
  <c r="O138" i="7"/>
  <c r="C194" i="4"/>
  <c r="D130" i="9"/>
  <c r="O138" i="9"/>
  <c r="F220" i="7"/>
  <c r="G186" i="7"/>
  <c r="F220" i="9"/>
  <c r="L174" i="7"/>
  <c r="G148" i="7"/>
  <c r="C228" i="4"/>
  <c r="C228" i="9"/>
  <c r="C228" i="7"/>
  <c r="J180" i="4"/>
  <c r="J180" i="9"/>
  <c r="J180" i="7"/>
  <c r="O84" i="9"/>
  <c r="O84" i="7"/>
  <c r="O84" i="4"/>
  <c r="K26" i="4"/>
  <c r="K26" i="7"/>
  <c r="K26" i="9"/>
  <c r="N36" i="9"/>
  <c r="N36" i="7"/>
  <c r="N36" i="4"/>
  <c r="K154" i="4"/>
  <c r="K154" i="9"/>
  <c r="K154" i="7"/>
  <c r="J22" i="4"/>
  <c r="J22" i="9"/>
  <c r="J22" i="7"/>
  <c r="I50" i="4"/>
  <c r="I50" i="9"/>
  <c r="I50" i="7"/>
  <c r="I222" i="9"/>
  <c r="I222" i="7"/>
  <c r="I222" i="4"/>
  <c r="J234" i="9"/>
  <c r="J234" i="4"/>
  <c r="J234" i="7"/>
  <c r="L128" i="4"/>
  <c r="L128" i="9"/>
  <c r="L128" i="7"/>
  <c r="G198" i="9"/>
  <c r="G198" i="7"/>
  <c r="G198" i="4"/>
  <c r="F160" i="4"/>
  <c r="F160" i="9"/>
  <c r="F160" i="7"/>
  <c r="J238" i="9"/>
  <c r="J238" i="7"/>
  <c r="J238" i="4"/>
  <c r="J198" i="4"/>
  <c r="J198" i="9"/>
  <c r="J198" i="7"/>
  <c r="L52" i="4"/>
  <c r="L52" i="9"/>
  <c r="L52" i="7"/>
  <c r="D188" i="4"/>
  <c r="D188" i="9"/>
  <c r="D188" i="7"/>
  <c r="J58" i="4"/>
  <c r="J58" i="9"/>
  <c r="J58" i="7"/>
  <c r="E96" i="4"/>
  <c r="E96" i="7"/>
  <c r="E96" i="9"/>
  <c r="D114" i="4"/>
  <c r="D114" i="9"/>
  <c r="D114" i="7"/>
  <c r="F32" i="4"/>
  <c r="F32" i="9"/>
  <c r="F32" i="7"/>
  <c r="L214" i="4"/>
  <c r="L214" i="9"/>
  <c r="L214" i="7"/>
  <c r="L192" i="4"/>
  <c r="L192" i="9"/>
  <c r="L192" i="7"/>
  <c r="K202" i="9"/>
  <c r="K202" i="4"/>
  <c r="K202" i="7"/>
  <c r="L164" i="4"/>
  <c r="L164" i="9"/>
  <c r="L164" i="7"/>
  <c r="F50" i="4"/>
  <c r="F50" i="9"/>
  <c r="F50" i="7"/>
  <c r="I150" i="4"/>
  <c r="I150" i="9"/>
  <c r="I150" i="7"/>
  <c r="F86" i="4"/>
  <c r="F86" i="9"/>
  <c r="F86" i="7"/>
  <c r="C34" i="4"/>
  <c r="C34" i="9"/>
  <c r="C34" i="7"/>
  <c r="G188" i="4"/>
  <c r="G188" i="9"/>
  <c r="G188" i="7"/>
  <c r="F116" i="4"/>
  <c r="F116" i="9"/>
  <c r="F116" i="7"/>
  <c r="J56" i="4"/>
  <c r="J56" i="9"/>
  <c r="J56" i="7"/>
  <c r="K24" i="4"/>
  <c r="K24" i="9"/>
  <c r="K24" i="7"/>
  <c r="O176" i="4"/>
  <c r="O176" i="9"/>
  <c r="O176" i="7"/>
  <c r="G160" i="4"/>
  <c r="G160" i="9"/>
  <c r="G160" i="7"/>
  <c r="I44" i="4"/>
  <c r="I44" i="9"/>
  <c r="I44" i="7"/>
  <c r="K158" i="4"/>
  <c r="K158" i="9"/>
  <c r="K158" i="7"/>
  <c r="K186" i="4"/>
  <c r="K186" i="9"/>
  <c r="K186" i="7"/>
  <c r="O90" i="4"/>
  <c r="O90" i="9"/>
  <c r="O90" i="7"/>
  <c r="D40" i="4"/>
  <c r="D40" i="9"/>
  <c r="D40" i="7"/>
  <c r="H206" i="9"/>
  <c r="H206" i="7"/>
  <c r="H206" i="4"/>
  <c r="N154" i="4"/>
  <c r="N154" i="9"/>
  <c r="N154" i="7"/>
  <c r="N238" i="9"/>
  <c r="N238" i="4"/>
  <c r="N238" i="7"/>
  <c r="O186" i="4"/>
  <c r="O186" i="9"/>
  <c r="O186" i="7"/>
  <c r="L194" i="4"/>
  <c r="L194" i="9"/>
  <c r="L194" i="7"/>
  <c r="C200" i="4"/>
  <c r="C200" i="9"/>
  <c r="C200" i="7"/>
  <c r="D108" i="4"/>
  <c r="D108" i="9"/>
  <c r="D108" i="7"/>
  <c r="M154" i="4"/>
  <c r="M154" i="9"/>
  <c r="M154" i="7"/>
  <c r="D80" i="4"/>
  <c r="D80" i="9"/>
  <c r="D80" i="7"/>
  <c r="K58" i="4"/>
  <c r="K58" i="9"/>
  <c r="K58" i="7"/>
  <c r="M102" i="4"/>
  <c r="M102" i="9"/>
  <c r="M102" i="7"/>
  <c r="M44" i="4"/>
  <c r="M44" i="9"/>
  <c r="M44" i="7"/>
  <c r="J98" i="4"/>
  <c r="J98" i="9"/>
  <c r="J98" i="7"/>
  <c r="E64" i="4"/>
  <c r="E64" i="9"/>
  <c r="E64" i="7"/>
  <c r="O208" i="7"/>
  <c r="O208" i="4"/>
  <c r="O208" i="9"/>
  <c r="G106" i="4"/>
  <c r="G106" i="9"/>
  <c r="G106" i="7"/>
  <c r="C232" i="4"/>
  <c r="C232" i="9"/>
  <c r="C232" i="7"/>
  <c r="E104" i="4"/>
  <c r="E104" i="9"/>
  <c r="E104" i="7"/>
  <c r="K228" i="9"/>
  <c r="K228" i="7"/>
  <c r="K228" i="4"/>
  <c r="M240" i="7"/>
  <c r="M240" i="4"/>
  <c r="N178" i="4"/>
  <c r="N178" i="9"/>
  <c r="N178" i="7"/>
  <c r="J34" i="4"/>
  <c r="J34" i="9"/>
  <c r="J34" i="7"/>
  <c r="E94" i="4"/>
  <c r="E94" i="9"/>
  <c r="E94" i="7"/>
  <c r="H236" i="4"/>
  <c r="H236" i="7"/>
  <c r="H236" i="9"/>
  <c r="M200" i="9"/>
  <c r="M200" i="7"/>
  <c r="M200" i="4"/>
  <c r="L96" i="4"/>
  <c r="L96" i="9"/>
  <c r="L96" i="7"/>
  <c r="O54" i="4"/>
  <c r="O54" i="9"/>
  <c r="O54" i="7"/>
  <c r="G98" i="4"/>
  <c r="G98" i="9"/>
  <c r="G98" i="7"/>
  <c r="J48" i="4"/>
  <c r="J48" i="9"/>
  <c r="J48" i="7"/>
  <c r="C72" i="4"/>
  <c r="C72" i="9"/>
  <c r="C72" i="7"/>
  <c r="N144" i="4"/>
  <c r="N144" i="9"/>
  <c r="N144" i="7"/>
  <c r="E106" i="4"/>
  <c r="E106" i="9"/>
  <c r="E106" i="7"/>
  <c r="M80" i="4"/>
  <c r="M80" i="9"/>
  <c r="M80" i="7"/>
  <c r="F208" i="4"/>
  <c r="F208" i="9"/>
  <c r="F208" i="7"/>
  <c r="M184" i="4"/>
  <c r="M184" i="9"/>
  <c r="M184" i="7"/>
  <c r="N236" i="9"/>
  <c r="N236" i="7"/>
  <c r="N236" i="4"/>
  <c r="O224" i="7"/>
  <c r="O224" i="4"/>
  <c r="O224" i="9"/>
  <c r="N146" i="4"/>
  <c r="N146" i="9"/>
  <c r="N146" i="7"/>
  <c r="I232" i="4"/>
  <c r="I232" i="9"/>
  <c r="I232" i="7"/>
  <c r="O184" i="4"/>
  <c r="O184" i="9"/>
  <c r="O184" i="7"/>
  <c r="N104" i="4"/>
  <c r="N104" i="9"/>
  <c r="N104" i="7"/>
  <c r="J232" i="4"/>
  <c r="J232" i="9"/>
  <c r="J232" i="7"/>
  <c r="L210" i="9"/>
  <c r="L210" i="7"/>
  <c r="L210" i="4"/>
  <c r="M208" i="7"/>
  <c r="M208" i="4"/>
  <c r="M208" i="9"/>
  <c r="N196" i="4"/>
  <c r="N196" i="9"/>
  <c r="N196" i="7"/>
  <c r="G228" i="9"/>
  <c r="G228" i="7"/>
  <c r="G228" i="4"/>
  <c r="O70" i="4"/>
  <c r="O70" i="9"/>
  <c r="O70" i="7"/>
  <c r="N82" i="4"/>
  <c r="N82" i="9"/>
  <c r="N82" i="7"/>
  <c r="J28" i="4"/>
  <c r="J28" i="9"/>
  <c r="J28" i="7"/>
  <c r="K74" i="4"/>
  <c r="K74" i="9"/>
  <c r="K74" i="7"/>
  <c r="L48" i="4"/>
  <c r="L48" i="9"/>
  <c r="L48" i="7"/>
  <c r="L24" i="4"/>
  <c r="L24" i="9"/>
  <c r="L24" i="7"/>
  <c r="N32" i="4"/>
  <c r="N32" i="9"/>
  <c r="N32" i="7"/>
  <c r="G40" i="4"/>
  <c r="G40" i="9"/>
  <c r="G40" i="7"/>
  <c r="E236" i="4"/>
  <c r="E236" i="9"/>
  <c r="E236" i="7"/>
  <c r="D212" i="4"/>
  <c r="D212" i="9"/>
  <c r="D212" i="7"/>
  <c r="C222" i="4"/>
  <c r="C222" i="9"/>
  <c r="C222" i="7"/>
  <c r="J200" i="4"/>
  <c r="J200" i="9"/>
  <c r="J200" i="7"/>
  <c r="L154" i="4"/>
  <c r="L154" i="9"/>
  <c r="L154" i="7"/>
  <c r="I74" i="4"/>
  <c r="I74" i="9"/>
  <c r="I74" i="7"/>
  <c r="C234" i="7"/>
  <c r="C234" i="9"/>
  <c r="C234" i="4"/>
  <c r="N218" i="9"/>
  <c r="N218" i="7"/>
  <c r="N218" i="4"/>
  <c r="I34" i="4"/>
  <c r="I34" i="9"/>
  <c r="I34" i="7"/>
  <c r="M58" i="4"/>
  <c r="M58" i="9"/>
  <c r="M58" i="7"/>
  <c r="M74" i="4"/>
  <c r="M74" i="9"/>
  <c r="M74" i="7"/>
  <c r="C86" i="9"/>
  <c r="C86" i="7"/>
  <c r="C86" i="4"/>
  <c r="L98" i="4"/>
  <c r="L98" i="9"/>
  <c r="L98" i="7"/>
  <c r="K88" i="4"/>
  <c r="K88" i="9"/>
  <c r="K88" i="7"/>
  <c r="G32" i="9"/>
  <c r="G32" i="7"/>
  <c r="G32" i="4"/>
  <c r="N182" i="4"/>
  <c r="N182" i="9"/>
  <c r="N182" i="7"/>
  <c r="M142" i="4"/>
  <c r="M142" i="9"/>
  <c r="M142" i="7"/>
  <c r="M204" i="9"/>
  <c r="M204" i="7"/>
  <c r="M204" i="4"/>
  <c r="C44" i="4"/>
  <c r="C44" i="9"/>
  <c r="C44" i="7"/>
  <c r="J214" i="4"/>
  <c r="J214" i="9"/>
  <c r="J214" i="7"/>
  <c r="L56" i="4"/>
  <c r="L56" i="9"/>
  <c r="L56" i="7"/>
  <c r="F92" i="4"/>
  <c r="F92" i="9"/>
  <c r="F92" i="7"/>
  <c r="J40" i="4"/>
  <c r="J40" i="9"/>
  <c r="J40" i="7"/>
  <c r="E58" i="4"/>
  <c r="E58" i="9"/>
  <c r="E58" i="7"/>
  <c r="N156" i="4"/>
  <c r="N156" i="9"/>
  <c r="N156" i="7"/>
  <c r="D92" i="4"/>
  <c r="D92" i="9"/>
  <c r="D92" i="7"/>
  <c r="O182" i="4"/>
  <c r="O182" i="9"/>
  <c r="O182" i="7"/>
  <c r="C218" i="9"/>
  <c r="C218" i="7"/>
  <c r="C218" i="4"/>
  <c r="O174" i="4"/>
  <c r="O174" i="9"/>
  <c r="O174" i="7"/>
  <c r="M198" i="9"/>
  <c r="M198" i="7"/>
  <c r="M198" i="4"/>
  <c r="E164" i="4"/>
  <c r="E164" i="9"/>
  <c r="E164" i="7"/>
  <c r="J210" i="9"/>
  <c r="J210" i="7"/>
  <c r="J210" i="4"/>
  <c r="I190" i="4"/>
  <c r="I190" i="7"/>
  <c r="I190" i="9"/>
  <c r="G14" i="4"/>
  <c r="G14" i="9"/>
  <c r="G14" i="7"/>
  <c r="D104" i="4"/>
  <c r="D104" i="9"/>
  <c r="D104" i="7"/>
  <c r="J14" i="4"/>
  <c r="J14" i="9"/>
  <c r="J14" i="7"/>
  <c r="H212" i="9"/>
  <c r="H212" i="7"/>
  <c r="H212" i="4"/>
  <c r="L92" i="4"/>
  <c r="L92" i="9"/>
  <c r="L92" i="7"/>
  <c r="K84" i="4"/>
  <c r="K84" i="9"/>
  <c r="K84" i="7"/>
  <c r="J152" i="4"/>
  <c r="J152" i="9"/>
  <c r="J152" i="7"/>
  <c r="H48" i="4"/>
  <c r="H48" i="9"/>
  <c r="H48" i="7"/>
  <c r="M216" i="9"/>
  <c r="M216" i="7"/>
  <c r="M216" i="4"/>
  <c r="D24" i="4"/>
  <c r="D24" i="9"/>
  <c r="D24" i="7"/>
  <c r="N94" i="4"/>
  <c r="N94" i="9"/>
  <c r="N94" i="7"/>
  <c r="F52" i="4"/>
  <c r="F52" i="9"/>
  <c r="F52" i="7"/>
  <c r="O124" i="4"/>
  <c r="O124" i="9"/>
  <c r="O124" i="7"/>
  <c r="J112" i="4"/>
  <c r="J112" i="9"/>
  <c r="J112" i="7"/>
  <c r="I90" i="4"/>
  <c r="I90" i="9"/>
  <c r="I90" i="7"/>
  <c r="I100" i="9"/>
  <c r="I100" i="7"/>
  <c r="I100" i="4"/>
  <c r="J78" i="4"/>
  <c r="J78" i="9"/>
  <c r="J78" i="7"/>
  <c r="L50" i="4"/>
  <c r="L50" i="9"/>
  <c r="L50" i="7"/>
  <c r="C202" i="9"/>
  <c r="C202" i="7"/>
  <c r="C202" i="4"/>
  <c r="N102" i="4"/>
  <c r="N102" i="9"/>
  <c r="N102" i="7"/>
  <c r="D136" i="4"/>
  <c r="D136" i="9"/>
  <c r="D136" i="7"/>
  <c r="D206" i="4"/>
  <c r="D206" i="9"/>
  <c r="D206" i="7"/>
  <c r="K198" i="4"/>
  <c r="K198" i="9"/>
  <c r="K198" i="7"/>
  <c r="L102" i="4"/>
  <c r="L102" i="9"/>
  <c r="L102" i="7"/>
  <c r="O156" i="4"/>
  <c r="O156" i="9"/>
  <c r="O156" i="7"/>
  <c r="K108" i="4"/>
  <c r="K108" i="9"/>
  <c r="K108" i="7"/>
  <c r="I172" i="4"/>
  <c r="I172" i="9"/>
  <c r="I172" i="7"/>
  <c r="J224" i="4"/>
  <c r="J224" i="9"/>
  <c r="J224" i="7"/>
  <c r="M14" i="4"/>
  <c r="M14" i="9"/>
  <c r="M14" i="7"/>
  <c r="O94" i="4"/>
  <c r="O94" i="9"/>
  <c r="O94" i="7"/>
  <c r="C224" i="4"/>
  <c r="C224" i="9"/>
  <c r="C224" i="7"/>
  <c r="O196" i="4"/>
  <c r="O196" i="9"/>
  <c r="O196" i="7"/>
  <c r="N228" i="9"/>
  <c r="N228" i="7"/>
  <c r="N228" i="4"/>
  <c r="F74" i="4"/>
  <c r="F74" i="9"/>
  <c r="F74" i="7"/>
  <c r="H108" i="4"/>
  <c r="H108" i="9"/>
  <c r="H108" i="7"/>
  <c r="D218" i="9"/>
  <c r="D218" i="7"/>
  <c r="D218" i="4"/>
  <c r="I120" i="4"/>
  <c r="I120" i="9"/>
  <c r="I120" i="7"/>
  <c r="M212" i="4"/>
  <c r="M212" i="9"/>
  <c r="M212" i="7"/>
  <c r="D150" i="4"/>
  <c r="D150" i="9"/>
  <c r="D150" i="7"/>
  <c r="N194" i="4"/>
  <c r="N194" i="9"/>
  <c r="N194" i="7"/>
  <c r="D198" i="4"/>
  <c r="D198" i="9"/>
  <c r="D198" i="7"/>
  <c r="H216" i="9"/>
  <c r="H216" i="4"/>
  <c r="H216" i="7"/>
  <c r="I188" i="4"/>
  <c r="I188" i="9"/>
  <c r="I188" i="7"/>
  <c r="M92" i="4"/>
  <c r="M92" i="9"/>
  <c r="M92" i="7"/>
  <c r="E168" i="4"/>
  <c r="E168" i="9"/>
  <c r="E168" i="7"/>
  <c r="J16" i="4"/>
  <c r="J16" i="9"/>
  <c r="J16" i="7"/>
  <c r="I26" i="4"/>
  <c r="I26" i="9"/>
  <c r="I26" i="7"/>
  <c r="L238" i="9"/>
  <c r="L238" i="7"/>
  <c r="L238" i="4"/>
  <c r="D214" i="4"/>
  <c r="D214" i="9"/>
  <c r="D214" i="7"/>
  <c r="E184" i="4"/>
  <c r="E184" i="9"/>
  <c r="E184" i="7"/>
  <c r="I108" i="4"/>
  <c r="I108" i="9"/>
  <c r="I108" i="7"/>
  <c r="F54" i="4"/>
  <c r="F54" i="9"/>
  <c r="F54" i="7"/>
  <c r="O78" i="4"/>
  <c r="O78" i="9"/>
  <c r="O78" i="7"/>
  <c r="H44" i="4"/>
  <c r="H44" i="9"/>
  <c r="H44" i="7"/>
  <c r="K56" i="4"/>
  <c r="K56" i="9"/>
  <c r="K56" i="7"/>
  <c r="M16" i="4"/>
  <c r="M16" i="9"/>
  <c r="M16" i="7"/>
  <c r="L26" i="4"/>
  <c r="L26" i="9"/>
  <c r="L26" i="7"/>
  <c r="N42" i="4"/>
  <c r="N42" i="9"/>
  <c r="N42" i="7"/>
  <c r="C82" i="4"/>
  <c r="C82" i="9"/>
  <c r="C82" i="7"/>
  <c r="D158" i="4"/>
  <c r="D158" i="9"/>
  <c r="D158" i="7"/>
  <c r="M70" i="9"/>
  <c r="M70" i="7"/>
  <c r="M70" i="4"/>
  <c r="N96" i="4"/>
  <c r="N96" i="9"/>
  <c r="N96" i="7"/>
  <c r="K152" i="4"/>
  <c r="K152" i="9"/>
  <c r="K152" i="7"/>
  <c r="F204" i="4"/>
  <c r="F204" i="9"/>
  <c r="F204" i="7"/>
  <c r="L234" i="9"/>
  <c r="L234" i="4"/>
  <c r="L234" i="7"/>
  <c r="F196" i="4"/>
  <c r="F196" i="9"/>
  <c r="F196" i="7"/>
  <c r="F70" i="9"/>
  <c r="F70" i="7"/>
  <c r="F70" i="4"/>
  <c r="H150" i="4"/>
  <c r="H150" i="9"/>
  <c r="H150" i="7"/>
  <c r="M68" i="4"/>
  <c r="M68" i="9"/>
  <c r="M68" i="7"/>
  <c r="O226" i="9"/>
  <c r="O226" i="7"/>
  <c r="O226" i="4"/>
  <c r="K160" i="4"/>
  <c r="K160" i="9"/>
  <c r="K160" i="7"/>
  <c r="C176" i="4"/>
  <c r="C176" i="9"/>
  <c r="C176" i="7"/>
  <c r="K142" i="4"/>
  <c r="K142" i="9"/>
  <c r="K142" i="7"/>
  <c r="O102" i="4"/>
  <c r="O102" i="9"/>
  <c r="O102" i="7"/>
  <c r="E190" i="4"/>
  <c r="E190" i="9"/>
  <c r="E190" i="7"/>
  <c r="D202" i="9"/>
  <c r="D202" i="7"/>
  <c r="D202" i="4"/>
  <c r="D176" i="4"/>
  <c r="D176" i="9"/>
  <c r="D176" i="7"/>
  <c r="F192" i="4"/>
  <c r="F192" i="9"/>
  <c r="F192" i="7"/>
  <c r="H220" i="4"/>
  <c r="H220" i="9"/>
  <c r="H220" i="7"/>
  <c r="G190" i="4"/>
  <c r="G190" i="9"/>
  <c r="G190" i="7"/>
  <c r="M124" i="9"/>
  <c r="M124" i="7"/>
  <c r="M124" i="4"/>
  <c r="M222" i="9"/>
  <c r="M222" i="4"/>
  <c r="M222" i="7"/>
  <c r="K102" i="9"/>
  <c r="K102" i="7"/>
  <c r="K102" i="4"/>
  <c r="N222" i="9"/>
  <c r="N222" i="4"/>
  <c r="N222" i="7"/>
  <c r="O220" i="9"/>
  <c r="O220" i="7"/>
  <c r="O220" i="4"/>
  <c r="M64" i="4"/>
  <c r="M64" i="9"/>
  <c r="M64" i="7"/>
  <c r="I240" i="4"/>
  <c r="I240" i="7"/>
  <c r="N204" i="9"/>
  <c r="N204" i="7"/>
  <c r="N204" i="4"/>
  <c r="O40" i="4"/>
  <c r="O40" i="9"/>
  <c r="O40" i="7"/>
  <c r="N50" i="4"/>
  <c r="N50" i="9"/>
  <c r="N50" i="7"/>
  <c r="M60" i="4"/>
  <c r="M60" i="9"/>
  <c r="M60" i="7"/>
  <c r="C74" i="9"/>
  <c r="C74" i="7"/>
  <c r="C74" i="4"/>
  <c r="M196" i="4"/>
  <c r="M196" i="9"/>
  <c r="M196" i="7"/>
  <c r="G46" i="4"/>
  <c r="G46" i="9"/>
  <c r="G46" i="7"/>
  <c r="E70" i="4"/>
  <c r="E70" i="9"/>
  <c r="E70" i="7"/>
  <c r="O82" i="4"/>
  <c r="O82" i="9"/>
  <c r="O82" i="7"/>
  <c r="N92" i="4"/>
  <c r="N92" i="9"/>
  <c r="N92" i="7"/>
  <c r="M38" i="4"/>
  <c r="M38" i="9"/>
  <c r="M38" i="7"/>
  <c r="H30" i="4"/>
  <c r="H30" i="9"/>
  <c r="H30" i="7"/>
  <c r="L152" i="4"/>
  <c r="L152" i="9"/>
  <c r="L152" i="7"/>
  <c r="K66" i="4"/>
  <c r="K66" i="9"/>
  <c r="K66" i="7"/>
  <c r="J76" i="4"/>
  <c r="J76" i="9"/>
  <c r="J76" i="7"/>
  <c r="H34" i="4"/>
  <c r="H34" i="9"/>
  <c r="H34" i="7"/>
  <c r="G44" i="4"/>
  <c r="G44" i="9"/>
  <c r="G44" i="7"/>
  <c r="L16" i="4"/>
  <c r="L16" i="9"/>
  <c r="L16" i="7"/>
  <c r="K172" i="4"/>
  <c r="K172" i="9"/>
  <c r="K172" i="7"/>
  <c r="J68" i="4"/>
  <c r="J68" i="9"/>
  <c r="J68" i="7"/>
  <c r="C54" i="4"/>
  <c r="C54" i="9"/>
  <c r="C54" i="7"/>
  <c r="C70" i="4"/>
  <c r="C70" i="9"/>
  <c r="C70" i="7"/>
  <c r="J88" i="4"/>
  <c r="J88" i="9"/>
  <c r="J88" i="7"/>
  <c r="M88" i="4"/>
  <c r="M88" i="9"/>
  <c r="M88" i="7"/>
  <c r="O218" i="9"/>
  <c r="O218" i="7"/>
  <c r="O218" i="4"/>
  <c r="C192" i="4"/>
  <c r="C192" i="9"/>
  <c r="C192" i="7"/>
  <c r="C142" i="4"/>
  <c r="C142" i="9"/>
  <c r="C142" i="7"/>
  <c r="L46" i="4"/>
  <c r="L46" i="9"/>
  <c r="L46" i="7"/>
  <c r="N58" i="4"/>
  <c r="N58" i="9"/>
  <c r="N58" i="7"/>
  <c r="N16" i="4"/>
  <c r="N16" i="9"/>
  <c r="N16" i="7"/>
  <c r="K38" i="4"/>
  <c r="K38" i="9"/>
  <c r="K38" i="7"/>
  <c r="D34" i="9"/>
  <c r="D34" i="7"/>
  <c r="D34" i="4"/>
  <c r="O178" i="4"/>
  <c r="O178" i="7"/>
  <c r="O178" i="9"/>
  <c r="N188" i="4"/>
  <c r="N188" i="9"/>
  <c r="N188" i="7"/>
  <c r="G42" i="4"/>
  <c r="G42" i="9"/>
  <c r="G42" i="7"/>
  <c r="J24" i="4"/>
  <c r="J24" i="9"/>
  <c r="J24" i="7"/>
  <c r="H230" i="9"/>
  <c r="H230" i="7"/>
  <c r="H230" i="4"/>
  <c r="M86" i="4"/>
  <c r="M86" i="9"/>
  <c r="M86" i="7"/>
  <c r="J96" i="4"/>
  <c r="J96" i="9"/>
  <c r="J96" i="7"/>
  <c r="D238" i="4"/>
  <c r="D238" i="9"/>
  <c r="D238" i="7"/>
  <c r="O200" i="9"/>
  <c r="O200" i="7"/>
  <c r="O200" i="4"/>
  <c r="D126" i="4"/>
  <c r="D126" i="9"/>
  <c r="D126" i="7"/>
  <c r="G118" i="4"/>
  <c r="G118" i="9"/>
  <c r="G118" i="7"/>
  <c r="H204" i="4"/>
  <c r="H204" i="7"/>
  <c r="H204" i="9"/>
  <c r="H232" i="9"/>
  <c r="H232" i="7"/>
  <c r="H232" i="4"/>
  <c r="C118" i="4"/>
  <c r="C118" i="9"/>
  <c r="C118" i="7"/>
  <c r="L166" i="4"/>
  <c r="L166" i="9"/>
  <c r="L166" i="7"/>
  <c r="J90" i="4"/>
  <c r="J90" i="9"/>
  <c r="J90" i="7"/>
  <c r="L162" i="4"/>
  <c r="L162" i="9"/>
  <c r="L162" i="7"/>
  <c r="C114" i="4"/>
  <c r="C114" i="9"/>
  <c r="C114" i="7"/>
  <c r="M220" i="9"/>
  <c r="M220" i="4"/>
  <c r="M220" i="7"/>
  <c r="F150" i="4"/>
  <c r="F150" i="9"/>
  <c r="F150" i="7"/>
  <c r="G158" i="4"/>
  <c r="G158" i="9"/>
  <c r="G158" i="7"/>
  <c r="D116" i="4"/>
  <c r="D116" i="9"/>
  <c r="D116" i="7"/>
  <c r="I152" i="9"/>
  <c r="I152" i="7"/>
  <c r="I152" i="4"/>
  <c r="K64" i="4"/>
  <c r="K64" i="9"/>
  <c r="K64" i="7"/>
  <c r="H86" i="4"/>
  <c r="H86" i="9"/>
  <c r="H86" i="7"/>
  <c r="O240" i="7"/>
  <c r="O240" i="4"/>
  <c r="N172" i="4"/>
  <c r="N172" i="9"/>
  <c r="N172" i="7"/>
  <c r="L222" i="9"/>
  <c r="L222" i="4"/>
  <c r="L222" i="7"/>
  <c r="I208" i="9"/>
  <c r="I208" i="7"/>
  <c r="I208" i="4"/>
  <c r="L38" i="4"/>
  <c r="L38" i="9"/>
  <c r="L38" i="7"/>
  <c r="J36" i="4"/>
  <c r="J36" i="9"/>
  <c r="J36" i="7"/>
  <c r="G58" i="9"/>
  <c r="G58" i="4"/>
  <c r="G58" i="7"/>
  <c r="F96" i="4"/>
  <c r="F96" i="7"/>
  <c r="F96" i="9"/>
  <c r="H64" i="4"/>
  <c r="H64" i="9"/>
  <c r="H64" i="7"/>
  <c r="M182" i="4"/>
  <c r="M182" i="9"/>
  <c r="M182" i="7"/>
  <c r="O168" i="4"/>
  <c r="O168" i="9"/>
  <c r="O168" i="7"/>
  <c r="J84" i="4"/>
  <c r="J84" i="9"/>
  <c r="J84" i="7"/>
  <c r="E22" i="9"/>
  <c r="E22" i="7"/>
  <c r="E22" i="4"/>
  <c r="C32" i="4"/>
  <c r="C32" i="9"/>
  <c r="C32" i="7"/>
  <c r="N128" i="4"/>
  <c r="N128" i="9"/>
  <c r="N128" i="7"/>
  <c r="M224" i="7"/>
  <c r="M224" i="9"/>
  <c r="M224" i="4"/>
  <c r="L100" i="4"/>
  <c r="L100" i="9"/>
  <c r="L100" i="7"/>
  <c r="C214" i="4"/>
  <c r="C214" i="9"/>
  <c r="C214" i="7"/>
  <c r="L118" i="4"/>
  <c r="L118" i="9"/>
  <c r="L118" i="7"/>
  <c r="I88" i="4"/>
  <c r="I88" i="9"/>
  <c r="I88" i="7"/>
  <c r="D182" i="4"/>
  <c r="D182" i="9"/>
  <c r="D182" i="7"/>
  <c r="D132" i="4"/>
  <c r="D132" i="9"/>
  <c r="D132" i="7"/>
  <c r="M46" i="4"/>
  <c r="M46" i="9"/>
  <c r="M46" i="7"/>
  <c r="K238" i="9"/>
  <c r="K238" i="7"/>
  <c r="K238" i="4"/>
  <c r="F84" i="4"/>
  <c r="F84" i="9"/>
  <c r="F84" i="7"/>
  <c r="I206" i="4"/>
  <c r="I206" i="9"/>
  <c r="I206" i="7"/>
  <c r="E138" i="4"/>
  <c r="E138" i="9"/>
  <c r="E138" i="7"/>
  <c r="C188" i="4"/>
  <c r="C188" i="9"/>
  <c r="C188" i="7"/>
  <c r="F202" i="4"/>
  <c r="F202" i="9"/>
  <c r="F202" i="7"/>
  <c r="H186" i="4"/>
  <c r="H186" i="9"/>
  <c r="H186" i="7"/>
  <c r="F234" i="4"/>
  <c r="F234" i="9"/>
  <c r="F234" i="7"/>
  <c r="I202" i="4"/>
  <c r="I202" i="9"/>
  <c r="I202" i="7"/>
  <c r="F60" i="4"/>
  <c r="F60" i="9"/>
  <c r="F60" i="7"/>
  <c r="N60" i="4"/>
  <c r="N60" i="9"/>
  <c r="N60" i="7"/>
  <c r="M18" i="4"/>
  <c r="M18" i="9"/>
  <c r="M18" i="7"/>
  <c r="L28" i="4"/>
  <c r="L28" i="9"/>
  <c r="L28" i="7"/>
  <c r="E192" i="4"/>
  <c r="E192" i="9"/>
  <c r="E192" i="7"/>
  <c r="F58" i="9"/>
  <c r="F58" i="4"/>
  <c r="F58" i="7"/>
  <c r="H66" i="4"/>
  <c r="H66" i="9"/>
  <c r="H66" i="7"/>
  <c r="I148" i="4"/>
  <c r="I148" i="9"/>
  <c r="I148" i="7"/>
  <c r="F114" i="4"/>
  <c r="F114" i="9"/>
  <c r="F114" i="7"/>
  <c r="I20" i="4"/>
  <c r="I20" i="9"/>
  <c r="I20" i="7"/>
  <c r="D170" i="4"/>
  <c r="D170" i="9"/>
  <c r="D170" i="7"/>
  <c r="M100" i="4"/>
  <c r="M100" i="9"/>
  <c r="M100" i="7"/>
  <c r="I56" i="4"/>
  <c r="I56" i="9"/>
  <c r="I56" i="7"/>
  <c r="L204" i="9"/>
  <c r="L204" i="7"/>
  <c r="L204" i="4"/>
  <c r="N152" i="4"/>
  <c r="N152" i="9"/>
  <c r="N152" i="7"/>
  <c r="G30" i="4"/>
  <c r="G30" i="9"/>
  <c r="G30" i="7"/>
  <c r="E212" i="4"/>
  <c r="E212" i="9"/>
  <c r="E212" i="7"/>
  <c r="F184" i="4"/>
  <c r="F184" i="9"/>
  <c r="F184" i="7"/>
  <c r="H198" i="9"/>
  <c r="H198" i="7"/>
  <c r="H198" i="4"/>
  <c r="K98" i="4"/>
  <c r="K98" i="9"/>
  <c r="K98" i="7"/>
  <c r="H170" i="4"/>
  <c r="H170" i="9"/>
  <c r="H170" i="7"/>
  <c r="I64" i="4"/>
  <c r="I64" i="9"/>
  <c r="I64" i="7"/>
  <c r="N230" i="9"/>
  <c r="N230" i="4"/>
  <c r="N230" i="7"/>
  <c r="F194" i="4"/>
  <c r="F194" i="9"/>
  <c r="F194" i="7"/>
  <c r="E122" i="4"/>
  <c r="E122" i="9"/>
  <c r="E122" i="7"/>
  <c r="N90" i="4"/>
  <c r="N90" i="9"/>
  <c r="N90" i="7"/>
  <c r="M36" i="4"/>
  <c r="M36" i="9"/>
  <c r="M36" i="7"/>
  <c r="D62" i="4"/>
  <c r="D62" i="7"/>
  <c r="D62" i="9"/>
  <c r="C20" i="4"/>
  <c r="C20" i="9"/>
  <c r="C20" i="7"/>
  <c r="O28" i="9"/>
  <c r="O28" i="7"/>
  <c r="O28" i="4"/>
  <c r="H110" i="4"/>
  <c r="H110" i="9"/>
  <c r="H110" i="7"/>
  <c r="K166" i="4"/>
  <c r="K166" i="9"/>
  <c r="K166" i="7"/>
  <c r="C204" i="4"/>
  <c r="C204" i="9"/>
  <c r="C204" i="7"/>
  <c r="J172" i="4"/>
  <c r="J172" i="9"/>
  <c r="J172" i="7"/>
  <c r="D204" i="4"/>
  <c r="D204" i="9"/>
  <c r="D204" i="7"/>
  <c r="I62" i="4"/>
  <c r="I62" i="9"/>
  <c r="I62" i="7"/>
  <c r="M120" i="4"/>
  <c r="M120" i="9"/>
  <c r="M120" i="7"/>
  <c r="E118" i="4"/>
  <c r="E118" i="9"/>
  <c r="E118" i="7"/>
  <c r="E158" i="4"/>
  <c r="E158" i="9"/>
  <c r="E158" i="7"/>
  <c r="O12" i="4"/>
  <c r="O12" i="9"/>
  <c r="O12" i="7"/>
  <c r="G38" i="4"/>
  <c r="G38" i="9"/>
  <c r="G38" i="7"/>
  <c r="H60" i="4"/>
  <c r="H60" i="9"/>
  <c r="H60" i="7"/>
  <c r="L112" i="4"/>
  <c r="L112" i="9"/>
  <c r="L112" i="7"/>
  <c r="J120" i="4"/>
  <c r="J120" i="9"/>
  <c r="J120" i="7"/>
  <c r="L184" i="4"/>
  <c r="L184" i="9"/>
  <c r="L184" i="7"/>
  <c r="E214" i="9"/>
  <c r="E214" i="4"/>
  <c r="E214" i="7"/>
  <c r="E134" i="9"/>
  <c r="E134" i="7"/>
  <c r="E134" i="4"/>
  <c r="O234" i="9"/>
  <c r="O234" i="7"/>
  <c r="O234" i="4"/>
  <c r="O164" i="4"/>
  <c r="O164" i="9"/>
  <c r="O164" i="7"/>
  <c r="I224" i="4"/>
  <c r="I224" i="9"/>
  <c r="I224" i="7"/>
  <c r="H92" i="4"/>
  <c r="H92" i="9"/>
  <c r="H92" i="7"/>
  <c r="E128" i="4"/>
  <c r="E128" i="9"/>
  <c r="E128" i="7"/>
  <c r="H228" i="9"/>
  <c r="H228" i="4"/>
  <c r="H228" i="7"/>
  <c r="K78" i="4"/>
  <c r="K78" i="9"/>
  <c r="K78" i="7"/>
  <c r="I94" i="4"/>
  <c r="I94" i="9"/>
  <c r="I94" i="7"/>
  <c r="O26" i="4"/>
  <c r="O26" i="9"/>
  <c r="O26" i="7"/>
  <c r="L216" i="4"/>
  <c r="L216" i="9"/>
  <c r="L216" i="7"/>
  <c r="G96" i="4"/>
  <c r="G96" i="9"/>
  <c r="G96" i="7"/>
  <c r="E126" i="4"/>
  <c r="E126" i="9"/>
  <c r="E126" i="7"/>
  <c r="O104" i="4"/>
  <c r="O104" i="9"/>
  <c r="O104" i="7"/>
  <c r="E218" i="4"/>
  <c r="E218" i="9"/>
  <c r="E218" i="7"/>
  <c r="K48" i="4"/>
  <c r="K48" i="9"/>
  <c r="K48" i="7"/>
  <c r="L78" i="4"/>
  <c r="L78" i="9"/>
  <c r="L78" i="7"/>
  <c r="I14" i="4"/>
  <c r="I14" i="9"/>
  <c r="I14" i="7"/>
  <c r="O202" i="9"/>
  <c r="O202" i="7"/>
  <c r="O202" i="4"/>
  <c r="F80" i="4"/>
  <c r="F80" i="9"/>
  <c r="F80" i="7"/>
  <c r="I76" i="4"/>
  <c r="I76" i="9"/>
  <c r="I76" i="7"/>
  <c r="L122" i="4"/>
  <c r="L122" i="9"/>
  <c r="L122" i="7"/>
  <c r="O62" i="4"/>
  <c r="O62" i="9"/>
  <c r="O62" i="7"/>
  <c r="D22" i="9"/>
  <c r="D22" i="7"/>
  <c r="D22" i="4"/>
  <c r="K196" i="9"/>
  <c r="K196" i="7"/>
  <c r="K196" i="4"/>
  <c r="C116" i="4"/>
  <c r="C116" i="9"/>
  <c r="C116" i="7"/>
  <c r="L64" i="4"/>
  <c r="L64" i="9"/>
  <c r="L64" i="7"/>
  <c r="H14" i="4"/>
  <c r="H14" i="9"/>
  <c r="H14" i="7"/>
  <c r="L44" i="4"/>
  <c r="L44" i="9"/>
  <c r="L44" i="7"/>
  <c r="C210" i="4"/>
  <c r="C210" i="9"/>
  <c r="C210" i="7"/>
  <c r="G82" i="4"/>
  <c r="G82" i="9"/>
  <c r="G82" i="7"/>
  <c r="N214" i="9"/>
  <c r="N214" i="4"/>
  <c r="N214" i="7"/>
  <c r="D208" i="4"/>
  <c r="D208" i="9"/>
  <c r="D208" i="7"/>
  <c r="I98" i="4"/>
  <c r="I98" i="9"/>
  <c r="I98" i="7"/>
  <c r="I210" i="9"/>
  <c r="I210" i="7"/>
  <c r="I210" i="4"/>
  <c r="F172" i="4"/>
  <c r="F172" i="9"/>
  <c r="F172" i="7"/>
  <c r="N54" i="4"/>
  <c r="N54" i="9"/>
  <c r="N54" i="7"/>
  <c r="O204" i="9"/>
  <c r="O204" i="7"/>
  <c r="O204" i="4"/>
  <c r="E166" i="4"/>
  <c r="E166" i="9"/>
  <c r="E166" i="7"/>
  <c r="M234" i="9"/>
  <c r="M234" i="4"/>
  <c r="M234" i="7"/>
  <c r="E224" i="9"/>
  <c r="E224" i="7"/>
  <c r="E224" i="4"/>
  <c r="L208" i="9"/>
  <c r="L208" i="7"/>
  <c r="L208" i="4"/>
  <c r="D86" i="9"/>
  <c r="D86" i="7"/>
  <c r="D86" i="4"/>
  <c r="O16" i="4"/>
  <c r="O16" i="9"/>
  <c r="O16" i="7"/>
  <c r="L180" i="4"/>
  <c r="L180" i="9"/>
  <c r="L180" i="7"/>
  <c r="N24" i="4"/>
  <c r="N24" i="9"/>
  <c r="N24" i="7"/>
  <c r="L36" i="4"/>
  <c r="L36" i="9"/>
  <c r="L36" i="7"/>
  <c r="H36" i="4"/>
  <c r="H36" i="9"/>
  <c r="H36" i="7"/>
  <c r="E222" i="4"/>
  <c r="E222" i="9"/>
  <c r="E222" i="7"/>
  <c r="O222" i="9"/>
  <c r="O222" i="7"/>
  <c r="O222" i="4"/>
  <c r="G196" i="4"/>
  <c r="G196" i="9"/>
  <c r="G196" i="7"/>
  <c r="I140" i="4"/>
  <c r="I140" i="9"/>
  <c r="I140" i="7"/>
  <c r="O228" i="9"/>
  <c r="O228" i="7"/>
  <c r="O228" i="4"/>
  <c r="J212" i="9"/>
  <c r="J212" i="4"/>
  <c r="J212" i="7"/>
  <c r="L132" i="4"/>
  <c r="L132" i="9"/>
  <c r="L132" i="7"/>
  <c r="E208" i="4"/>
  <c r="E208" i="9"/>
  <c r="E208" i="7"/>
  <c r="H192" i="4"/>
  <c r="H192" i="9"/>
  <c r="H192" i="7"/>
  <c r="M144" i="9"/>
  <c r="M144" i="4"/>
  <c r="M144" i="7"/>
  <c r="I212" i="9"/>
  <c r="I212" i="7"/>
  <c r="I212" i="4"/>
  <c r="L80" i="4"/>
  <c r="L80" i="9"/>
  <c r="L80" i="7"/>
  <c r="J192" i="4"/>
  <c r="J192" i="9"/>
  <c r="J192" i="7"/>
  <c r="L70" i="4"/>
  <c r="L70" i="9"/>
  <c r="L70" i="7"/>
  <c r="N212" i="9"/>
  <c r="N212" i="7"/>
  <c r="N212" i="4"/>
  <c r="F198" i="9"/>
  <c r="F198" i="7"/>
  <c r="F198" i="4"/>
  <c r="O44" i="4"/>
  <c r="O44" i="9"/>
  <c r="O44" i="7"/>
  <c r="O192" i="4"/>
  <c r="O192" i="9"/>
  <c r="O192" i="7"/>
  <c r="D148" i="4"/>
  <c r="D148" i="9"/>
  <c r="D148" i="7"/>
  <c r="H174" i="4"/>
  <c r="H174" i="9"/>
  <c r="H174" i="7"/>
  <c r="F118" i="4"/>
  <c r="F118" i="9"/>
  <c r="F118" i="7"/>
  <c r="E44" i="4"/>
  <c r="E44" i="9"/>
  <c r="E44" i="7"/>
  <c r="D54" i="4"/>
  <c r="D54" i="7"/>
  <c r="D54" i="9"/>
  <c r="C64" i="4"/>
  <c r="C64" i="9"/>
  <c r="C64" i="7"/>
  <c r="G222" i="4"/>
  <c r="G222" i="9"/>
  <c r="G222" i="7"/>
  <c r="F20" i="4"/>
  <c r="F20" i="9"/>
  <c r="F20" i="7"/>
  <c r="C106" i="4"/>
  <c r="C106" i="9"/>
  <c r="C106" i="7"/>
  <c r="L60" i="4"/>
  <c r="L60" i="9"/>
  <c r="L60" i="7"/>
  <c r="G50" i="4"/>
  <c r="G50" i="9"/>
  <c r="G50" i="7"/>
  <c r="E86" i="9"/>
  <c r="E86" i="7"/>
  <c r="E86" i="4"/>
  <c r="D96" i="4"/>
  <c r="D96" i="9"/>
  <c r="D96" i="7"/>
  <c r="C42" i="4"/>
  <c r="C42" i="9"/>
  <c r="C42" i="7"/>
  <c r="J202" i="9"/>
  <c r="J202" i="7"/>
  <c r="J202" i="4"/>
  <c r="G104" i="4"/>
  <c r="G104" i="9"/>
  <c r="G104" i="7"/>
  <c r="N68" i="4"/>
  <c r="N68" i="9"/>
  <c r="N68" i="7"/>
  <c r="M78" i="4"/>
  <c r="M78" i="9"/>
  <c r="M78" i="7"/>
  <c r="L90" i="4"/>
  <c r="L90" i="9"/>
  <c r="L90" i="7"/>
  <c r="K36" i="4"/>
  <c r="K36" i="9"/>
  <c r="K36" i="7"/>
  <c r="J46" i="4"/>
  <c r="J46" i="9"/>
  <c r="J46" i="7"/>
  <c r="D52" i="4"/>
  <c r="D52" i="9"/>
  <c r="D52" i="7"/>
  <c r="H24" i="9"/>
  <c r="H24" i="7"/>
  <c r="H24" i="4"/>
  <c r="I184" i="4"/>
  <c r="I184" i="9"/>
  <c r="I184" i="7"/>
  <c r="K118" i="4"/>
  <c r="K118" i="9"/>
  <c r="K118" i="7"/>
  <c r="H20" i="4"/>
  <c r="H20" i="9"/>
  <c r="H20" i="7"/>
  <c r="F236" i="4"/>
  <c r="F236" i="7"/>
  <c r="F236" i="9"/>
  <c r="L136" i="4"/>
  <c r="L136" i="9"/>
  <c r="L136" i="7"/>
  <c r="D50" i="4"/>
  <c r="D50" i="9"/>
  <c r="D50" i="7"/>
  <c r="F212" i="9"/>
  <c r="F212" i="7"/>
  <c r="F212" i="4"/>
  <c r="F144" i="4"/>
  <c r="F144" i="9"/>
  <c r="F144" i="7"/>
  <c r="G22" i="4"/>
  <c r="G22" i="9"/>
  <c r="G22" i="7"/>
  <c r="N200" i="9"/>
  <c r="N200" i="7"/>
  <c r="N200" i="4"/>
  <c r="I58" i="4"/>
  <c r="I58" i="9"/>
  <c r="I58" i="7"/>
  <c r="N240" i="7"/>
  <c r="N240" i="4"/>
  <c r="E182" i="4"/>
  <c r="E182" i="9"/>
  <c r="E182" i="7"/>
  <c r="D192" i="4"/>
  <c r="D192" i="9"/>
  <c r="D192" i="7"/>
  <c r="H160" i="4"/>
  <c r="H160" i="9"/>
  <c r="H160" i="7"/>
  <c r="D30" i="4"/>
  <c r="D30" i="9"/>
  <c r="D30" i="7"/>
  <c r="I92" i="4"/>
  <c r="I92" i="9"/>
  <c r="I92" i="7"/>
  <c r="J52" i="4"/>
  <c r="J52" i="9"/>
  <c r="J52" i="7"/>
  <c r="F98" i="4"/>
  <c r="F98" i="9"/>
  <c r="F98" i="7"/>
  <c r="G128" i="4"/>
  <c r="G128" i="9"/>
  <c r="G128" i="7"/>
  <c r="G180" i="4"/>
  <c r="G180" i="9"/>
  <c r="G180" i="7"/>
  <c r="J204" i="9"/>
  <c r="J204" i="4"/>
  <c r="J204" i="7"/>
  <c r="M238" i="4"/>
  <c r="M238" i="9"/>
  <c r="M238" i="7"/>
  <c r="M160" i="4"/>
  <c r="M160" i="9"/>
  <c r="M160" i="7"/>
  <c r="H130" i="4"/>
  <c r="H130" i="9"/>
  <c r="H130" i="7"/>
  <c r="O190" i="4"/>
  <c r="O190" i="9"/>
  <c r="O190" i="7"/>
  <c r="C148" i="4"/>
  <c r="C148" i="9"/>
  <c r="C148" i="7"/>
  <c r="M22" i="4"/>
  <c r="M22" i="9"/>
  <c r="M22" i="7"/>
  <c r="L22" i="4"/>
  <c r="L22" i="9"/>
  <c r="L22" i="7"/>
  <c r="M114" i="9"/>
  <c r="M114" i="7"/>
  <c r="M114" i="4"/>
  <c r="L202" i="9"/>
  <c r="L202" i="4"/>
  <c r="L202" i="7"/>
  <c r="L68" i="4"/>
  <c r="L68" i="9"/>
  <c r="L68" i="7"/>
  <c r="D16" i="4"/>
  <c r="D16" i="9"/>
  <c r="D16" i="7"/>
  <c r="H172" i="4"/>
  <c r="H172" i="9"/>
  <c r="H172" i="7"/>
  <c r="J118" i="4"/>
  <c r="J118" i="9"/>
  <c r="J118" i="7"/>
  <c r="K120" i="4"/>
  <c r="K120" i="9"/>
  <c r="K120" i="7"/>
  <c r="K224" i="4"/>
  <c r="K224" i="9"/>
  <c r="K224" i="7"/>
  <c r="J182" i="4"/>
  <c r="J182" i="9"/>
  <c r="J182" i="7"/>
  <c r="K220" i="9"/>
  <c r="K220" i="7"/>
  <c r="K220" i="4"/>
  <c r="M12" i="4"/>
  <c r="M12" i="9"/>
  <c r="M12" i="7"/>
  <c r="F124" i="4"/>
  <c r="F124" i="9"/>
  <c r="F124" i="7"/>
  <c r="O232" i="9"/>
  <c r="O232" i="7"/>
  <c r="O232" i="4"/>
  <c r="E34" i="4"/>
  <c r="E34" i="9"/>
  <c r="E34" i="7"/>
  <c r="D32" i="4"/>
  <c r="D32" i="9"/>
  <c r="D32" i="7"/>
  <c r="M138" i="4"/>
  <c r="M138" i="9"/>
  <c r="M138" i="7"/>
  <c r="E20" i="4"/>
  <c r="E20" i="9"/>
  <c r="E20" i="7"/>
  <c r="H208" i="7"/>
  <c r="H208" i="4"/>
  <c r="H208" i="9"/>
  <c r="K230" i="4"/>
  <c r="K230" i="9"/>
  <c r="K230" i="7"/>
  <c r="O162" i="4"/>
  <c r="O162" i="9"/>
  <c r="O162" i="7"/>
  <c r="H176" i="4"/>
  <c r="H176" i="9"/>
  <c r="H176" i="7"/>
  <c r="N186" i="9"/>
  <c r="N186" i="7"/>
  <c r="N186" i="4"/>
  <c r="E178" i="4"/>
  <c r="E178" i="9"/>
  <c r="E178" i="7"/>
  <c r="C96" i="4"/>
  <c r="C96" i="9"/>
  <c r="C96" i="7"/>
  <c r="C88" i="4"/>
  <c r="C88" i="9"/>
  <c r="C88" i="7"/>
  <c r="O24" i="4"/>
  <c r="O24" i="9"/>
  <c r="O24" i="7"/>
  <c r="G84" i="4"/>
  <c r="G84" i="9"/>
  <c r="G84" i="7"/>
  <c r="H96" i="4"/>
  <c r="H96" i="7"/>
  <c r="H96" i="9"/>
  <c r="H90" i="4"/>
  <c r="H90" i="9"/>
  <c r="H90" i="7"/>
  <c r="E76" i="4"/>
  <c r="E76" i="9"/>
  <c r="E76" i="7"/>
  <c r="J194" i="4"/>
  <c r="J194" i="9"/>
  <c r="J194" i="7"/>
  <c r="D164" i="4"/>
  <c r="D164" i="9"/>
  <c r="D164" i="7"/>
  <c r="O198" i="9"/>
  <c r="O198" i="7"/>
  <c r="O198" i="4"/>
  <c r="H180" i="4"/>
  <c r="H180" i="9"/>
  <c r="H180" i="7"/>
  <c r="O72" i="9"/>
  <c r="O72" i="7"/>
  <c r="O72" i="4"/>
  <c r="O212" i="9"/>
  <c r="O212" i="7"/>
  <c r="O212" i="4"/>
  <c r="D236" i="4"/>
  <c r="D236" i="9"/>
  <c r="D236" i="7"/>
  <c r="K218" i="9"/>
  <c r="K218" i="7"/>
  <c r="K218" i="4"/>
  <c r="E74" i="4"/>
  <c r="E74" i="9"/>
  <c r="E74" i="7"/>
  <c r="K60" i="4"/>
  <c r="K60" i="9"/>
  <c r="K60" i="7"/>
  <c r="H238" i="9"/>
  <c r="H238" i="7"/>
  <c r="H238" i="4"/>
  <c r="G214" i="9"/>
  <c r="G214" i="7"/>
  <c r="G214" i="4"/>
  <c r="M202" i="9"/>
  <c r="M202" i="4"/>
  <c r="M202" i="7"/>
  <c r="L110" i="4"/>
  <c r="L110" i="9"/>
  <c r="L110" i="7"/>
  <c r="J176" i="4"/>
  <c r="J176" i="9"/>
  <c r="J176" i="7"/>
  <c r="M164" i="4"/>
  <c r="M164" i="9"/>
  <c r="M164" i="7"/>
  <c r="C220" i="9"/>
  <c r="C220" i="7"/>
  <c r="C220" i="4"/>
  <c r="C30" i="4"/>
  <c r="C30" i="9"/>
  <c r="C30" i="7"/>
  <c r="K208" i="9"/>
  <c r="K208" i="7"/>
  <c r="K208" i="4"/>
  <c r="M42" i="4"/>
  <c r="M42" i="9"/>
  <c r="M42" i="7"/>
  <c r="K234" i="9"/>
  <c r="K234" i="4"/>
  <c r="K234" i="7"/>
  <c r="F138" i="4"/>
  <c r="F138" i="9"/>
  <c r="F138" i="7"/>
  <c r="D166" i="4"/>
  <c r="D166" i="9"/>
  <c r="D166" i="7"/>
  <c r="I130" i="4"/>
  <c r="I130" i="9"/>
  <c r="I130" i="7"/>
  <c r="H168" i="4"/>
  <c r="H168" i="9"/>
  <c r="H168" i="7"/>
  <c r="J142" i="4"/>
  <c r="J142" i="9"/>
  <c r="J142" i="7"/>
  <c r="N224" i="7"/>
  <c r="N224" i="9"/>
  <c r="N224" i="4"/>
  <c r="F218" i="4"/>
  <c r="F218" i="9"/>
  <c r="F218" i="7"/>
  <c r="I204" i="9"/>
  <c r="I204" i="4"/>
  <c r="I204" i="7"/>
  <c r="I68" i="4"/>
  <c r="I68" i="9"/>
  <c r="I68" i="7"/>
  <c r="F178" i="4"/>
  <c r="F178" i="9"/>
  <c r="F178" i="7"/>
  <c r="E216" i="9"/>
  <c r="E216" i="4"/>
  <c r="E216" i="7"/>
  <c r="G178" i="4"/>
  <c r="G178" i="9"/>
  <c r="G178" i="7"/>
  <c r="E200" i="9"/>
  <c r="E200" i="4"/>
  <c r="E200" i="7"/>
  <c r="F214" i="9"/>
  <c r="F214" i="7"/>
  <c r="F214" i="4"/>
  <c r="E144" i="4"/>
  <c r="E144" i="9"/>
  <c r="E144" i="7"/>
  <c r="I40" i="4"/>
  <c r="I40" i="9"/>
  <c r="I40" i="7"/>
  <c r="C184" i="4"/>
  <c r="C184" i="9"/>
  <c r="C184" i="7"/>
  <c r="H98" i="4"/>
  <c r="H98" i="9"/>
  <c r="H98" i="7"/>
  <c r="G108" i="4"/>
  <c r="G108" i="9"/>
  <c r="G108" i="7"/>
  <c r="F34" i="4"/>
  <c r="F34" i="9"/>
  <c r="F34" i="7"/>
  <c r="L14" i="4"/>
  <c r="L14" i="9"/>
  <c r="L14" i="7"/>
  <c r="J166" i="4"/>
  <c r="J166" i="9"/>
  <c r="J166" i="7"/>
  <c r="N44" i="4"/>
  <c r="N44" i="9"/>
  <c r="N44" i="7"/>
  <c r="O30" i="4"/>
  <c r="O30" i="9"/>
  <c r="O30" i="7"/>
  <c r="F88" i="4"/>
  <c r="F88" i="9"/>
  <c r="F88" i="7"/>
  <c r="H94" i="4"/>
  <c r="H94" i="9"/>
  <c r="H94" i="7"/>
  <c r="I226" i="9"/>
  <c r="I226" i="7"/>
  <c r="I226" i="4"/>
  <c r="L58" i="4"/>
  <c r="L58" i="9"/>
  <c r="L58" i="7"/>
  <c r="K16" i="4"/>
  <c r="K16" i="9"/>
  <c r="K16" i="7"/>
  <c r="J26" i="9"/>
  <c r="J26" i="7"/>
  <c r="J26" i="4"/>
  <c r="J158" i="4"/>
  <c r="J158" i="9"/>
  <c r="J158" i="7"/>
  <c r="K214" i="4"/>
  <c r="K214" i="9"/>
  <c r="K214" i="7"/>
  <c r="N20" i="4"/>
  <c r="N20" i="9"/>
  <c r="N20" i="7"/>
  <c r="M168" i="4"/>
  <c r="M168" i="9"/>
  <c r="M168" i="7"/>
  <c r="E114" i="9"/>
  <c r="E114" i="7"/>
  <c r="E114" i="4"/>
  <c r="O14" i="4"/>
  <c r="O14" i="9"/>
  <c r="O14" i="7"/>
  <c r="G224" i="9"/>
  <c r="G224" i="7"/>
  <c r="G224" i="4"/>
  <c r="N48" i="4"/>
  <c r="N48" i="9"/>
  <c r="N48" i="7"/>
  <c r="C180" i="4"/>
  <c r="C180" i="9"/>
  <c r="C180" i="7"/>
  <c r="F16" i="4"/>
  <c r="F16" i="9"/>
  <c r="F16" i="7"/>
  <c r="E40" i="4"/>
  <c r="E40" i="9"/>
  <c r="E40" i="7"/>
  <c r="D234" i="9"/>
  <c r="D234" i="7"/>
  <c r="D234" i="4"/>
  <c r="G184" i="4"/>
  <c r="G184" i="9"/>
  <c r="G184" i="7"/>
  <c r="I198" i="9"/>
  <c r="I198" i="7"/>
  <c r="I198" i="4"/>
  <c r="H124" i="4"/>
  <c r="H124" i="9"/>
  <c r="H124" i="7"/>
  <c r="G134" i="4"/>
  <c r="G134" i="9"/>
  <c r="G134" i="7"/>
  <c r="C40" i="4"/>
  <c r="C40" i="9"/>
  <c r="C40" i="7"/>
  <c r="L82" i="4"/>
  <c r="L82" i="9"/>
  <c r="L82" i="7"/>
  <c r="K34" i="4"/>
  <c r="K34" i="9"/>
  <c r="K34" i="7"/>
  <c r="J44" i="4"/>
  <c r="J44" i="9"/>
  <c r="J44" i="7"/>
  <c r="L62" i="4"/>
  <c r="L62" i="9"/>
  <c r="L62" i="7"/>
  <c r="I22" i="4"/>
  <c r="I22" i="7"/>
  <c r="I22" i="9"/>
  <c r="I110" i="4"/>
  <c r="I110" i="9"/>
  <c r="I110" i="7"/>
  <c r="D48" i="4"/>
  <c r="D48" i="9"/>
  <c r="D48" i="7"/>
  <c r="H240" i="7"/>
  <c r="H240" i="4"/>
  <c r="O22" i="4"/>
  <c r="O22" i="9"/>
  <c r="O22" i="7"/>
  <c r="K232" i="4"/>
  <c r="K232" i="9"/>
  <c r="K232" i="7"/>
  <c r="I218" i="4"/>
  <c r="I218" i="9"/>
  <c r="I218" i="7"/>
  <c r="O214" i="9"/>
  <c r="O214" i="7"/>
  <c r="O214" i="4"/>
  <c r="K204" i="9"/>
  <c r="K204" i="7"/>
  <c r="K204" i="4"/>
  <c r="E16" i="4"/>
  <c r="E16" i="9"/>
  <c r="E16" i="7"/>
  <c r="J20" i="4"/>
  <c r="J20" i="9"/>
  <c r="J20" i="7"/>
  <c r="L230" i="4"/>
  <c r="L230" i="9"/>
  <c r="L230" i="7"/>
  <c r="K216" i="9"/>
  <c r="K216" i="7"/>
  <c r="K216" i="4"/>
  <c r="F170" i="4"/>
  <c r="F170" i="9"/>
  <c r="F170" i="7"/>
  <c r="N122" i="4"/>
  <c r="N122" i="9"/>
  <c r="N122" i="7"/>
  <c r="M156" i="4"/>
  <c r="M156" i="9"/>
  <c r="M156" i="7"/>
  <c r="G230" i="9"/>
  <c r="G230" i="7"/>
  <c r="G230" i="4"/>
  <c r="E26" i="4"/>
  <c r="E26" i="9"/>
  <c r="E26" i="7"/>
  <c r="M218" i="9"/>
  <c r="M218" i="4"/>
  <c r="M218" i="7"/>
  <c r="D20" i="4"/>
  <c r="D20" i="9"/>
  <c r="D20" i="7"/>
  <c r="D36" i="4"/>
  <c r="D36" i="9"/>
  <c r="D36" i="7"/>
  <c r="C182" i="4"/>
  <c r="C182" i="9"/>
  <c r="C182" i="7"/>
  <c r="L182" i="4"/>
  <c r="L182" i="9"/>
  <c r="L182" i="7"/>
  <c r="L218" i="9"/>
  <c r="L218" i="4"/>
  <c r="L218" i="7"/>
  <c r="E80" i="4"/>
  <c r="E80" i="9"/>
  <c r="E80" i="7"/>
  <c r="J208" i="9"/>
  <c r="J208" i="7"/>
  <c r="J208" i="4"/>
  <c r="K90" i="4"/>
  <c r="K90" i="9"/>
  <c r="K90" i="7"/>
  <c r="N208" i="7"/>
  <c r="N208" i="4"/>
  <c r="N208" i="9"/>
  <c r="G74" i="4"/>
  <c r="G74" i="9"/>
  <c r="G74" i="7"/>
  <c r="M230" i="9"/>
  <c r="M230" i="4"/>
  <c r="M230" i="7"/>
  <c r="M188" i="4"/>
  <c r="M188" i="9"/>
  <c r="M188" i="7"/>
  <c r="M172" i="4"/>
  <c r="M172" i="9"/>
  <c r="M172" i="7"/>
  <c r="K110" i="4"/>
  <c r="K110" i="9"/>
  <c r="K110" i="7"/>
  <c r="K206" i="9"/>
  <c r="K206" i="7"/>
  <c r="K206" i="4"/>
  <c r="G152" i="9"/>
  <c r="G152" i="7"/>
  <c r="G152" i="4"/>
  <c r="M206" i="9"/>
  <c r="M206" i="4"/>
  <c r="M206" i="7"/>
  <c r="G110" i="4"/>
  <c r="G110" i="9"/>
  <c r="G110" i="7"/>
  <c r="H140" i="4"/>
  <c r="H140" i="9"/>
  <c r="H140" i="7"/>
  <c r="H78" i="4"/>
  <c r="H78" i="9"/>
  <c r="H78" i="7"/>
  <c r="H100" i="4"/>
  <c r="H100" i="9"/>
  <c r="H100" i="7"/>
  <c r="C172" i="4"/>
  <c r="C172" i="9"/>
  <c r="C172" i="7"/>
  <c r="F76" i="4"/>
  <c r="F76" i="9"/>
  <c r="F76" i="7"/>
  <c r="G24" i="9"/>
  <c r="G24" i="7"/>
  <c r="G24" i="4"/>
  <c r="D222" i="4"/>
  <c r="D222" i="9"/>
  <c r="D222" i="7"/>
  <c r="E30" i="4"/>
  <c r="E30" i="9"/>
  <c r="E30" i="7"/>
  <c r="D146" i="4"/>
  <c r="D146" i="9"/>
  <c r="D146" i="7"/>
  <c r="O122" i="4"/>
  <c r="O122" i="9"/>
  <c r="O122" i="7"/>
  <c r="K222" i="9"/>
  <c r="K222" i="7"/>
  <c r="K222" i="4"/>
  <c r="E98" i="4"/>
  <c r="E98" i="9"/>
  <c r="E98" i="7"/>
  <c r="J230" i="4"/>
  <c r="J230" i="9"/>
  <c r="J230" i="7"/>
  <c r="C198" i="4"/>
  <c r="C198" i="9"/>
  <c r="C198" i="7"/>
  <c r="L142" i="4"/>
  <c r="L142" i="9"/>
  <c r="L142" i="7"/>
  <c r="N162" i="4"/>
  <c r="N162" i="9"/>
  <c r="N162" i="7"/>
  <c r="C12" i="4"/>
  <c r="C12" i="9"/>
  <c r="C12" i="7"/>
  <c r="M108" i="4"/>
  <c r="M108" i="9"/>
  <c r="M108" i="7"/>
  <c r="O96" i="4"/>
  <c r="O96" i="9"/>
  <c r="O96" i="7"/>
  <c r="J108" i="4"/>
  <c r="J108" i="9"/>
  <c r="J108" i="7"/>
  <c r="M90" i="4"/>
  <c r="M90" i="7"/>
  <c r="M90" i="9"/>
  <c r="K46" i="4"/>
  <c r="K46" i="9"/>
  <c r="K46" i="7"/>
  <c r="H164" i="4"/>
  <c r="H164" i="9"/>
  <c r="H164" i="7"/>
  <c r="E238" i="4"/>
  <c r="E238" i="9"/>
  <c r="E238" i="7"/>
  <c r="J54" i="4"/>
  <c r="J54" i="9"/>
  <c r="J54" i="7"/>
  <c r="L20" i="4"/>
  <c r="L20" i="9"/>
  <c r="L20" i="7"/>
  <c r="C58" i="4"/>
  <c r="C58" i="9"/>
  <c r="C58" i="7"/>
  <c r="O86" i="4"/>
  <c r="O86" i="9"/>
  <c r="O86" i="7"/>
  <c r="L120" i="4"/>
  <c r="L120" i="9"/>
  <c r="L120" i="7"/>
  <c r="J188" i="4"/>
  <c r="J188" i="9"/>
  <c r="J188" i="7"/>
  <c r="C174" i="4"/>
  <c r="C174" i="9"/>
  <c r="C174" i="7"/>
  <c r="L224" i="9"/>
  <c r="L224" i="7"/>
  <c r="L224" i="4"/>
  <c r="J206" i="4"/>
  <c r="J206" i="9"/>
  <c r="J206" i="7"/>
  <c r="F190" i="4"/>
  <c r="F190" i="9"/>
  <c r="F190" i="7"/>
  <c r="F66" i="4"/>
  <c r="F66" i="9"/>
  <c r="F66" i="7"/>
  <c r="O236" i="9"/>
  <c r="O236" i="7"/>
  <c r="O236" i="4"/>
  <c r="G202" i="4"/>
  <c r="G202" i="9"/>
  <c r="G202" i="7"/>
  <c r="J144" i="4"/>
  <c r="J144" i="9"/>
  <c r="J144" i="7"/>
  <c r="C238" i="4"/>
  <c r="C238" i="9"/>
  <c r="C238" i="7"/>
  <c r="F188" i="4"/>
  <c r="F188" i="9"/>
  <c r="F188" i="7"/>
  <c r="E154" i="4"/>
  <c r="E154" i="9"/>
  <c r="E154" i="7"/>
  <c r="G238" i="9"/>
  <c r="G238" i="7"/>
  <c r="G238" i="4"/>
  <c r="H226" i="9"/>
  <c r="H226" i="7"/>
  <c r="H226" i="4"/>
  <c r="D172" i="4"/>
  <c r="D172" i="9"/>
  <c r="D172" i="7"/>
  <c r="L138" i="4"/>
  <c r="L138" i="9"/>
  <c r="L138" i="7"/>
  <c r="C36" i="4"/>
  <c r="C36" i="9"/>
  <c r="C36" i="7"/>
  <c r="M232" i="9"/>
  <c r="M232" i="7"/>
  <c r="M232" i="4"/>
  <c r="N220" i="9"/>
  <c r="N220" i="7"/>
  <c r="N220" i="4"/>
  <c r="G88" i="4"/>
  <c r="G88" i="9"/>
  <c r="G88" i="7"/>
  <c r="M30" i="9"/>
  <c r="M30" i="4"/>
  <c r="M30" i="7"/>
  <c r="J218" i="4"/>
  <c r="J218" i="9"/>
  <c r="J218" i="7"/>
  <c r="C154" i="4"/>
  <c r="C154" i="9"/>
  <c r="C154" i="7"/>
  <c r="H40" i="4"/>
  <c r="H40" i="9"/>
  <c r="H40" i="7"/>
  <c r="D64" i="4"/>
  <c r="D64" i="9"/>
  <c r="D64" i="7"/>
  <c r="C22" i="9"/>
  <c r="C22" i="7"/>
  <c r="C22" i="4"/>
  <c r="M126" i="4"/>
  <c r="M126" i="9"/>
  <c r="M126" i="7"/>
  <c r="N26" i="4"/>
  <c r="N26" i="9"/>
  <c r="N26" i="7"/>
  <c r="H152" i="9"/>
  <c r="H152" i="7"/>
  <c r="H152" i="4"/>
  <c r="O88" i="4"/>
  <c r="O88" i="9"/>
  <c r="O88" i="7"/>
  <c r="I228" i="9"/>
  <c r="I228" i="4"/>
  <c r="I228" i="7"/>
  <c r="J216" i="4"/>
  <c r="J216" i="9"/>
  <c r="J216" i="7"/>
  <c r="G172" i="4"/>
  <c r="G172" i="9"/>
  <c r="G172" i="7"/>
  <c r="C104" i="4"/>
  <c r="C104" i="9"/>
  <c r="C104" i="7"/>
  <c r="O112" i="4"/>
  <c r="O112" i="9"/>
  <c r="O112" i="7"/>
  <c r="L232" i="9"/>
  <c r="L232" i="7"/>
  <c r="L232" i="4"/>
  <c r="L108" i="4"/>
  <c r="L108" i="9"/>
  <c r="L108" i="7"/>
  <c r="H214" i="9"/>
  <c r="H214" i="7"/>
  <c r="H214" i="4"/>
  <c r="K200" i="4"/>
  <c r="K200" i="9"/>
  <c r="K200" i="7"/>
  <c r="M110" i="4"/>
  <c r="M110" i="9"/>
  <c r="M110" i="7"/>
  <c r="O38" i="4"/>
  <c r="O38" i="9"/>
  <c r="O38" i="7"/>
  <c r="O18" i="4"/>
  <c r="O18" i="9"/>
  <c r="O18" i="7"/>
  <c r="N234" i="9"/>
  <c r="N234" i="7"/>
  <c r="N234" i="4"/>
  <c r="L34" i="4"/>
  <c r="L34" i="9"/>
  <c r="L34" i="7"/>
  <c r="H224" i="9"/>
  <c r="H224" i="7"/>
  <c r="H224" i="4"/>
  <c r="G64" i="4"/>
  <c r="G64" i="9"/>
  <c r="G64" i="7"/>
  <c r="F22" i="4"/>
  <c r="F22" i="9"/>
  <c r="F22" i="7"/>
  <c r="E32" i="9"/>
  <c r="E32" i="7"/>
  <c r="E32" i="4"/>
  <c r="I54" i="4"/>
  <c r="I54" i="9"/>
  <c r="I54" i="7"/>
  <c r="M62" i="4"/>
  <c r="M62" i="9"/>
  <c r="M62" i="7"/>
  <c r="F222" i="4"/>
  <c r="F222" i="9"/>
  <c r="F222" i="7"/>
  <c r="F206" i="4"/>
  <c r="F206" i="9"/>
  <c r="F206" i="7"/>
  <c r="I86" i="4"/>
  <c r="I86" i="9"/>
  <c r="I86" i="7"/>
  <c r="I160" i="4"/>
  <c r="I160" i="9"/>
  <c r="I160" i="7"/>
  <c r="M52" i="4"/>
  <c r="M52" i="9"/>
  <c r="M52" i="7"/>
  <c r="I178" i="4"/>
  <c r="I178" i="9"/>
  <c r="I178" i="7"/>
  <c r="K42" i="4"/>
  <c r="K42" i="9"/>
  <c r="K42" i="7"/>
  <c r="M82" i="4"/>
  <c r="M82" i="9"/>
  <c r="M82" i="7"/>
  <c r="E90" i="4"/>
  <c r="E90" i="9"/>
  <c r="E90" i="7"/>
  <c r="C46" i="4"/>
  <c r="C46" i="9"/>
  <c r="C46" i="7"/>
  <c r="N64" i="4"/>
  <c r="N64" i="9"/>
  <c r="N64" i="7"/>
  <c r="H158" i="4"/>
  <c r="H158" i="9"/>
  <c r="H158" i="7"/>
  <c r="D74" i="4"/>
  <c r="D74" i="9"/>
  <c r="D74" i="7"/>
  <c r="E180" i="4"/>
  <c r="E180" i="9"/>
  <c r="E180" i="7"/>
  <c r="G218" i="4"/>
  <c r="G218" i="9"/>
  <c r="G218" i="7"/>
  <c r="J170" i="4"/>
  <c r="J170" i="9"/>
  <c r="J170" i="7"/>
  <c r="F24" i="4"/>
  <c r="F24" i="9"/>
  <c r="F24" i="7"/>
  <c r="J174" i="4"/>
  <c r="J174" i="9"/>
  <c r="J174" i="7"/>
  <c r="E116" i="4"/>
  <c r="E116" i="9"/>
  <c r="E116" i="7"/>
  <c r="C146" i="4"/>
  <c r="C146" i="9"/>
  <c r="C146" i="7"/>
  <c r="I128" i="4"/>
  <c r="I128" i="9"/>
  <c r="I128" i="7"/>
  <c r="I24" i="7"/>
  <c r="I24" i="9"/>
  <c r="I24" i="4"/>
  <c r="D162" i="4"/>
  <c r="D162" i="9"/>
  <c r="D162" i="7"/>
  <c r="L160" i="4"/>
  <c r="L160" i="9"/>
  <c r="L160" i="7"/>
  <c r="J240" i="4"/>
  <c r="J240" i="7"/>
  <c r="M40" i="4"/>
  <c r="M40" i="7"/>
  <c r="M40" i="9"/>
  <c r="C52" i="4"/>
  <c r="C52" i="9"/>
  <c r="C52" i="7"/>
  <c r="G216" i="9"/>
  <c r="G216" i="4"/>
  <c r="G216" i="7"/>
  <c r="M178" i="4"/>
  <c r="M178" i="9"/>
  <c r="M178" i="7"/>
  <c r="G86" i="4"/>
  <c r="G86" i="9"/>
  <c r="G86" i="7"/>
  <c r="H54" i="4"/>
  <c r="H54" i="9"/>
  <c r="H54" i="7"/>
  <c r="G18" i="4"/>
  <c r="G18" i="9"/>
  <c r="G18" i="7"/>
  <c r="F158" i="4"/>
  <c r="F158" i="9"/>
  <c r="F158" i="7"/>
  <c r="F18" i="4"/>
  <c r="F18" i="9"/>
  <c r="F18" i="7"/>
  <c r="E108" i="4"/>
  <c r="E108" i="9"/>
  <c r="E108" i="7"/>
  <c r="I46" i="4"/>
  <c r="I46" i="9"/>
  <c r="I46" i="7"/>
  <c r="K18" i="4"/>
  <c r="K18" i="9"/>
  <c r="K18" i="7"/>
  <c r="E60" i="4"/>
  <c r="E60" i="9"/>
  <c r="E60" i="7"/>
  <c r="M210" i="9"/>
  <c r="M210" i="7"/>
  <c r="M210" i="4"/>
  <c r="J190" i="4"/>
  <c r="J190" i="7"/>
  <c r="J190" i="9"/>
  <c r="E162" i="4"/>
  <c r="E162" i="9"/>
  <c r="E162" i="7"/>
  <c r="N198" i="9"/>
  <c r="N198" i="7"/>
  <c r="N198" i="4"/>
  <c r="H118" i="4"/>
  <c r="H118" i="9"/>
  <c r="H118" i="7"/>
  <c r="D232" i="9"/>
  <c r="D232" i="7"/>
  <c r="D232" i="4"/>
  <c r="E148" i="4"/>
  <c r="E148" i="9"/>
  <c r="E148" i="7"/>
  <c r="N232" i="9"/>
  <c r="N232" i="7"/>
  <c r="N232" i="4"/>
  <c r="O152" i="4"/>
  <c r="O152" i="9"/>
  <c r="O152" i="7"/>
  <c r="I118" i="4"/>
  <c r="I118" i="9"/>
  <c r="I118" i="7"/>
  <c r="D118" i="4"/>
  <c r="D118" i="9"/>
  <c r="D118" i="7"/>
  <c r="L186" i="4"/>
  <c r="L186" i="9"/>
  <c r="L186" i="7"/>
  <c r="J140" i="4"/>
  <c r="J140" i="9"/>
  <c r="J140" i="7"/>
  <c r="F56" i="4"/>
  <c r="F56" i="9"/>
  <c r="F56" i="7"/>
  <c r="J222" i="9"/>
  <c r="J222" i="7"/>
  <c r="J222" i="4"/>
  <c r="C170" i="4"/>
  <c r="C170" i="9"/>
  <c r="C170" i="7"/>
  <c r="G176" i="4"/>
  <c r="G176" i="9"/>
  <c r="G176" i="7"/>
  <c r="D200" i="9"/>
  <c r="D200" i="7"/>
  <c r="D200" i="4"/>
  <c r="H202" i="4"/>
  <c r="H202" i="9"/>
  <c r="H202" i="7"/>
  <c r="C186" i="4"/>
  <c r="C186" i="9"/>
  <c r="C186" i="7"/>
  <c r="N164" i="4"/>
  <c r="N164" i="9"/>
  <c r="N164" i="7"/>
  <c r="N80" i="4"/>
  <c r="N80" i="9"/>
  <c r="N80" i="7"/>
  <c r="I166" i="4"/>
  <c r="I166" i="9"/>
  <c r="I166" i="7"/>
  <c r="E188" i="4"/>
  <c r="E188" i="9"/>
  <c r="E188" i="7"/>
  <c r="G162" i="9"/>
  <c r="G162" i="7"/>
  <c r="G162" i="4"/>
  <c r="O50" i="4"/>
  <c r="O50" i="9"/>
  <c r="O50" i="7"/>
  <c r="J18" i="4"/>
  <c r="J18" i="9"/>
  <c r="J18" i="7"/>
  <c r="O154" i="4"/>
  <c r="O154" i="9"/>
  <c r="O154" i="7"/>
  <c r="O48" i="4"/>
  <c r="O48" i="9"/>
  <c r="O48" i="7"/>
  <c r="K112" i="4"/>
  <c r="K112" i="9"/>
  <c r="K112" i="7"/>
  <c r="G234" i="4"/>
  <c r="G234" i="9"/>
  <c r="G234" i="7"/>
  <c r="L176" i="4"/>
  <c r="L176" i="9"/>
  <c r="L176" i="7"/>
  <c r="C136" i="4"/>
  <c r="C136" i="9"/>
  <c r="C136" i="7"/>
  <c r="F128" i="4"/>
  <c r="F128" i="9"/>
  <c r="F128" i="7"/>
  <c r="G140" i="4"/>
  <c r="G140" i="9"/>
  <c r="G140" i="7"/>
  <c r="L212" i="4"/>
  <c r="L212" i="9"/>
  <c r="L212" i="7"/>
  <c r="K182" i="4"/>
  <c r="K182" i="9"/>
  <c r="K182" i="7"/>
  <c r="M166" i="4"/>
  <c r="M166" i="9"/>
  <c r="M166" i="7"/>
  <c r="J236" i="9"/>
  <c r="J236" i="4"/>
  <c r="J236" i="7"/>
  <c r="L198" i="4"/>
  <c r="L198" i="9"/>
  <c r="L198" i="7"/>
  <c r="L172" i="4"/>
  <c r="L172" i="9"/>
  <c r="L172" i="7"/>
  <c r="M214" i="9"/>
  <c r="M214" i="4"/>
  <c r="M214" i="7"/>
  <c r="F180" i="4"/>
  <c r="F180" i="9"/>
  <c r="F180" i="7"/>
  <c r="M132" i="4"/>
  <c r="M132" i="9"/>
  <c r="M132" i="7"/>
  <c r="G168" i="4"/>
  <c r="G168" i="9"/>
  <c r="G168" i="7"/>
  <c r="G192" i="4"/>
  <c r="G192" i="9"/>
  <c r="G192" i="7"/>
  <c r="C126" i="4"/>
  <c r="C126" i="9"/>
  <c r="C126" i="7"/>
  <c r="D138" i="4"/>
  <c r="D138" i="9"/>
  <c r="D138" i="7"/>
  <c r="D178" i="4"/>
  <c r="D178" i="9"/>
  <c r="D178" i="7"/>
  <c r="E202" i="4"/>
  <c r="E202" i="9"/>
  <c r="E202" i="7"/>
  <c r="G208" i="4"/>
  <c r="G208" i="9"/>
  <c r="G208" i="7"/>
  <c r="H166" i="4"/>
  <c r="H166" i="9"/>
  <c r="H166" i="7"/>
  <c r="H190" i="4"/>
  <c r="H190" i="9"/>
  <c r="H190" i="7"/>
  <c r="K134" i="4"/>
  <c r="K134" i="9"/>
  <c r="K134" i="7"/>
  <c r="D228" i="4"/>
  <c r="D228" i="9"/>
  <c r="D228" i="7"/>
  <c r="O118" i="4"/>
  <c r="O118" i="9"/>
  <c r="O118" i="7"/>
  <c r="F134" i="4"/>
  <c r="F134" i="9"/>
  <c r="F134" i="7"/>
  <c r="J30" i="4"/>
  <c r="J30" i="9"/>
  <c r="J30" i="7"/>
  <c r="O210" i="9"/>
  <c r="O210" i="7"/>
  <c r="O210" i="4"/>
  <c r="E198" i="9"/>
  <c r="E198" i="4"/>
  <c r="E198" i="7"/>
  <c r="I66" i="4"/>
  <c r="I66" i="9"/>
  <c r="I66" i="7"/>
  <c r="H76" i="4"/>
  <c r="H76" i="9"/>
  <c r="H76" i="7"/>
  <c r="L12" i="4"/>
  <c r="L12" i="9"/>
  <c r="L12" i="7"/>
  <c r="J148" i="4"/>
  <c r="J148" i="9"/>
  <c r="J148" i="7"/>
  <c r="O34" i="4"/>
  <c r="O34" i="9"/>
  <c r="O34" i="7"/>
  <c r="E54" i="4"/>
  <c r="E54" i="9"/>
  <c r="E54" i="7"/>
  <c r="J92" i="4"/>
  <c r="J92" i="9"/>
  <c r="J92" i="7"/>
  <c r="G206" i="9"/>
  <c r="G206" i="7"/>
  <c r="G206" i="4"/>
  <c r="N168" i="4"/>
  <c r="N168" i="9"/>
  <c r="N168" i="7"/>
  <c r="I84" i="4"/>
  <c r="I84" i="9"/>
  <c r="I84" i="7"/>
  <c r="K240" i="7"/>
  <c r="K240" i="4"/>
  <c r="C206" i="4"/>
  <c r="C206" i="9"/>
  <c r="C206" i="7"/>
  <c r="M48" i="4"/>
  <c r="M48" i="9"/>
  <c r="M48" i="7"/>
  <c r="G48" i="4"/>
  <c r="G48" i="9"/>
  <c r="G48" i="7"/>
  <c r="K30" i="4"/>
  <c r="K30" i="9"/>
  <c r="K30" i="7"/>
  <c r="F104" i="4"/>
  <c r="F104" i="9"/>
  <c r="F104" i="7"/>
  <c r="I238" i="9"/>
  <c r="I238" i="7"/>
  <c r="I238" i="4"/>
  <c r="E170" i="4"/>
  <c r="E170" i="9"/>
  <c r="E170" i="7"/>
  <c r="N100" i="4"/>
  <c r="N100" i="9"/>
  <c r="N100" i="7"/>
  <c r="D84" i="4"/>
  <c r="D84" i="9"/>
  <c r="D84" i="7"/>
  <c r="C94" i="4"/>
  <c r="C94" i="9"/>
  <c r="C94" i="7"/>
  <c r="H38" i="4"/>
  <c r="H38" i="9"/>
  <c r="H38" i="7"/>
  <c r="C18" i="4"/>
  <c r="C18" i="9"/>
  <c r="C18" i="7"/>
  <c r="H128" i="4"/>
  <c r="H128" i="9"/>
  <c r="H128" i="7"/>
  <c r="F226" i="4"/>
  <c r="F226" i="9"/>
  <c r="F226" i="7"/>
  <c r="J100" i="4"/>
  <c r="J100" i="9"/>
  <c r="J100" i="7"/>
  <c r="M50" i="4"/>
  <c r="M50" i="9"/>
  <c r="M50" i="7"/>
  <c r="F30" i="4"/>
  <c r="F30" i="9"/>
  <c r="F30" i="7"/>
  <c r="I146" i="4"/>
  <c r="I146" i="9"/>
  <c r="I146" i="7"/>
  <c r="E84" i="4"/>
  <c r="E84" i="9"/>
  <c r="E84" i="7"/>
  <c r="D94" i="4"/>
  <c r="D94" i="9"/>
  <c r="D94" i="7"/>
  <c r="E52" i="4"/>
  <c r="E52" i="9"/>
  <c r="E52" i="7"/>
  <c r="I38" i="4"/>
  <c r="I38" i="9"/>
  <c r="I38" i="7"/>
  <c r="G164" i="4"/>
  <c r="G164" i="7"/>
  <c r="G164" i="9"/>
  <c r="G66" i="4"/>
  <c r="G66" i="9"/>
  <c r="G66" i="7"/>
  <c r="O230" i="9"/>
  <c r="O230" i="7"/>
  <c r="O230" i="4"/>
  <c r="D210" i="4"/>
  <c r="D210" i="9"/>
  <c r="D210" i="7"/>
  <c r="M192" i="4"/>
  <c r="M192" i="9"/>
  <c r="M192" i="7"/>
  <c r="I78" i="4"/>
  <c r="I78" i="9"/>
  <c r="I78" i="7"/>
  <c r="E38" i="4"/>
  <c r="E38" i="9"/>
  <c r="E38" i="7"/>
  <c r="K94" i="4"/>
  <c r="K94" i="9"/>
  <c r="K94" i="7"/>
  <c r="F48" i="4"/>
  <c r="F48" i="9"/>
  <c r="F48" i="7"/>
  <c r="G138" i="4"/>
  <c r="G138" i="9"/>
  <c r="G138" i="7"/>
  <c r="H188" i="4"/>
  <c r="H188" i="9"/>
  <c r="H188" i="7"/>
  <c r="I116" i="4"/>
  <c r="I116" i="9"/>
  <c r="I116" i="7"/>
  <c r="K180" i="4"/>
  <c r="K180" i="9"/>
  <c r="K180" i="7"/>
  <c r="N114" i="4"/>
  <c r="N114" i="9"/>
  <c r="N114" i="7"/>
  <c r="F164" i="4"/>
  <c r="F164" i="9"/>
  <c r="F164" i="7"/>
  <c r="K132" i="4"/>
  <c r="K132" i="9"/>
  <c r="K132" i="7"/>
  <c r="N184" i="4"/>
  <c r="N184" i="9"/>
  <c r="N184" i="7"/>
  <c r="H234" i="9"/>
  <c r="H234" i="7"/>
  <c r="H234" i="4"/>
  <c r="I192" i="4"/>
  <c r="I192" i="9"/>
  <c r="I192" i="7"/>
  <c r="K192" i="4"/>
  <c r="K192" i="9"/>
  <c r="K192" i="7"/>
  <c r="D90" i="4"/>
  <c r="D90" i="9"/>
  <c r="D90" i="7"/>
  <c r="D70" i="4"/>
  <c r="D70" i="9"/>
  <c r="D70" i="7"/>
  <c r="F106" i="4"/>
  <c r="F106" i="9"/>
  <c r="F106" i="7"/>
  <c r="E226" i="4"/>
  <c r="E226" i="9"/>
  <c r="E226" i="7"/>
  <c r="N88" i="4"/>
  <c r="N88" i="9"/>
  <c r="N88" i="7"/>
  <c r="K174" i="4"/>
  <c r="K174" i="9"/>
  <c r="K174" i="7"/>
  <c r="N40" i="4"/>
  <c r="N40" i="9"/>
  <c r="N40" i="7"/>
  <c r="E204" i="4"/>
  <c r="E204" i="9"/>
  <c r="E204" i="7"/>
  <c r="H56" i="4"/>
  <c r="H56" i="9"/>
  <c r="H56" i="7"/>
  <c r="F228" i="9"/>
  <c r="F228" i="7"/>
  <c r="F228" i="4"/>
  <c r="O114" i="4"/>
  <c r="O114" i="9"/>
  <c r="O114" i="7"/>
  <c r="K226" i="9"/>
  <c r="K226" i="7"/>
  <c r="K226" i="4"/>
  <c r="E234" i="4"/>
  <c r="E234" i="9"/>
  <c r="E234" i="7"/>
  <c r="N112" i="4"/>
  <c r="N112" i="9"/>
  <c r="N112" i="7"/>
  <c r="J154" i="9"/>
  <c r="J154" i="7"/>
  <c r="J154" i="4"/>
  <c r="F238" i="9"/>
  <c r="F238" i="7"/>
  <c r="F238" i="4"/>
  <c r="M112" i="4"/>
  <c r="M112" i="9"/>
  <c r="M112" i="7"/>
  <c r="C90" i="4"/>
  <c r="C90" i="9"/>
  <c r="C90" i="7"/>
  <c r="D42" i="4"/>
  <c r="D42" i="9"/>
  <c r="D42" i="7"/>
  <c r="N12" i="4"/>
  <c r="N12" i="9"/>
  <c r="N12" i="7"/>
  <c r="G226" i="9"/>
  <c r="G226" i="7"/>
  <c r="G226" i="4"/>
  <c r="N174" i="4"/>
  <c r="N174" i="9"/>
  <c r="N174" i="7"/>
  <c r="J66" i="4"/>
  <c r="J66" i="9"/>
  <c r="J66" i="7"/>
  <c r="O194" i="4"/>
  <c r="O194" i="9"/>
  <c r="O194" i="7"/>
  <c r="C212" i="4"/>
  <c r="C212" i="9"/>
  <c r="C212" i="7"/>
  <c r="G60" i="4"/>
  <c r="G60" i="9"/>
  <c r="G60" i="7"/>
  <c r="D106" i="4"/>
  <c r="D106" i="9"/>
  <c r="D106" i="7"/>
  <c r="N216" i="9"/>
  <c r="N216" i="7"/>
  <c r="N216" i="4"/>
  <c r="F224" i="9"/>
  <c r="F224" i="7"/>
  <c r="F224" i="4"/>
  <c r="O144" i="4"/>
  <c r="O144" i="9"/>
  <c r="O144" i="7"/>
  <c r="C216" i="4"/>
  <c r="C216" i="9"/>
  <c r="C216" i="7"/>
  <c r="O134" i="4"/>
  <c r="O134" i="9"/>
  <c r="O134" i="7"/>
  <c r="G204" i="4"/>
  <c r="G204" i="9"/>
  <c r="G204" i="7"/>
  <c r="D226" i="4"/>
  <c r="D226" i="9"/>
  <c r="D226" i="7"/>
  <c r="H50" i="4"/>
  <c r="H50" i="9"/>
  <c r="H50" i="7"/>
  <c r="M54" i="4"/>
  <c r="M54" i="9"/>
  <c r="M54" i="7"/>
  <c r="C16" i="4"/>
  <c r="C16" i="9"/>
  <c r="C16" i="7"/>
  <c r="N190" i="4"/>
  <c r="N190" i="9"/>
  <c r="N190" i="7"/>
  <c r="I236" i="4"/>
  <c r="I236" i="7"/>
  <c r="I236" i="9"/>
  <c r="H148" i="4"/>
  <c r="H148" i="9"/>
  <c r="H148" i="7"/>
  <c r="F64" i="4"/>
  <c r="F64" i="9"/>
  <c r="F64" i="7"/>
  <c r="E150" i="4"/>
  <c r="E150" i="9"/>
  <c r="E150" i="7"/>
  <c r="L228" i="4"/>
  <c r="L228" i="9"/>
  <c r="L228" i="7"/>
  <c r="E62" i="4"/>
  <c r="E62" i="9"/>
  <c r="E62" i="7"/>
  <c r="K62" i="4"/>
  <c r="K62" i="9"/>
  <c r="K62" i="7"/>
  <c r="N210" i="9"/>
  <c r="N210" i="7"/>
  <c r="N210" i="4"/>
  <c r="N160" i="4"/>
  <c r="N160" i="9"/>
  <c r="N160" i="7"/>
  <c r="O172" i="4"/>
  <c r="O172" i="9"/>
  <c r="O172" i="7"/>
  <c r="J130" i="4"/>
  <c r="J130" i="9"/>
  <c r="J130" i="7"/>
  <c r="D184" i="4"/>
  <c r="D184" i="9"/>
  <c r="D184" i="7"/>
  <c r="M122" i="4"/>
  <c r="M122" i="9"/>
  <c r="M122" i="7"/>
  <c r="K212" i="9"/>
  <c r="K212" i="7"/>
  <c r="K212" i="4"/>
  <c r="K194" i="4"/>
  <c r="K194" i="9"/>
  <c r="K194" i="7"/>
  <c r="K170" i="4"/>
  <c r="K170" i="9"/>
  <c r="K170" i="7"/>
  <c r="N134" i="9"/>
  <c r="N134" i="7"/>
  <c r="N134" i="4"/>
  <c r="I220" i="4"/>
  <c r="I220" i="9"/>
  <c r="I220" i="7"/>
  <c r="M194" i="4"/>
  <c r="M194" i="9"/>
  <c r="M194" i="7"/>
  <c r="L206" i="9"/>
  <c r="L206" i="7"/>
  <c r="L206" i="4"/>
  <c r="I180" i="4"/>
  <c r="I180" i="9"/>
  <c r="I180" i="7"/>
  <c r="E130" i="4"/>
  <c r="E130" i="9"/>
  <c r="E130" i="7"/>
  <c r="I114" i="4"/>
  <c r="I114" i="9"/>
  <c r="I114" i="7"/>
  <c r="I216" i="4"/>
  <c r="I216" i="9"/>
  <c r="I216" i="7"/>
  <c r="M128" i="4"/>
  <c r="M128" i="9"/>
  <c r="M128" i="7"/>
  <c r="D26" i="4"/>
  <c r="D26" i="9"/>
  <c r="D26" i="7"/>
  <c r="G150" i="4"/>
  <c r="G150" i="9"/>
  <c r="G150" i="7"/>
  <c r="K176" i="4"/>
  <c r="K176" i="9"/>
  <c r="K176" i="7"/>
  <c r="H46" i="4"/>
  <c r="H46" i="9"/>
  <c r="H46" i="7"/>
  <c r="G56" i="4"/>
  <c r="G56" i="9"/>
  <c r="G56" i="7"/>
  <c r="E142" i="4"/>
  <c r="E142" i="9"/>
  <c r="E142" i="7"/>
  <c r="I28" i="4"/>
  <c r="I28" i="9"/>
  <c r="I28" i="7"/>
  <c r="E228" i="4"/>
  <c r="E228" i="9"/>
  <c r="E228" i="7"/>
  <c r="N70" i="4"/>
  <c r="N70" i="9"/>
  <c r="N70" i="7"/>
  <c r="D144" i="4"/>
  <c r="D144" i="9"/>
  <c r="D144" i="7"/>
  <c r="I30" i="9"/>
  <c r="I30" i="7"/>
  <c r="I30" i="4"/>
  <c r="G34" i="4"/>
  <c r="G34" i="9"/>
  <c r="G34" i="7"/>
  <c r="F44" i="4"/>
  <c r="F44" i="9"/>
  <c r="F44" i="7"/>
  <c r="C14" i="4"/>
  <c r="C14" i="9"/>
  <c r="C14" i="7"/>
  <c r="C80" i="4"/>
  <c r="C80" i="9"/>
  <c r="C80" i="7"/>
  <c r="D72" i="4"/>
  <c r="D72" i="9"/>
  <c r="D72" i="7"/>
  <c r="C84" i="4"/>
  <c r="C84" i="9"/>
  <c r="C84" i="7"/>
  <c r="O92" i="4"/>
  <c r="O92" i="9"/>
  <c r="O92" i="7"/>
  <c r="N38" i="4"/>
  <c r="N38" i="9"/>
  <c r="N38" i="7"/>
  <c r="C62" i="4"/>
  <c r="C62" i="9"/>
  <c r="C62" i="7"/>
  <c r="N28" i="9"/>
  <c r="N28" i="7"/>
  <c r="N28" i="4"/>
  <c r="G240" i="4"/>
  <c r="G240" i="7"/>
  <c r="M98" i="4"/>
  <c r="M98" i="9"/>
  <c r="M98" i="7"/>
  <c r="J228" i="9"/>
  <c r="J228" i="4"/>
  <c r="J228" i="7"/>
  <c r="O80" i="4"/>
  <c r="O80" i="9"/>
  <c r="O80" i="7"/>
  <c r="G236" i="4"/>
  <c r="G236" i="7"/>
  <c r="G236" i="9"/>
  <c r="I214" i="9"/>
  <c r="I214" i="7"/>
  <c r="I214" i="4"/>
  <c r="J186" i="4"/>
  <c r="J186" i="9"/>
  <c r="J186" i="7"/>
  <c r="M26" i="4"/>
  <c r="M26" i="9"/>
  <c r="M26" i="7"/>
  <c r="E14" i="9"/>
  <c r="E14" i="7"/>
  <c r="E14" i="4"/>
  <c r="F108" i="4"/>
  <c r="F108" i="9"/>
  <c r="F108" i="7"/>
  <c r="H184" i="4"/>
  <c r="H184" i="9"/>
  <c r="H184" i="7"/>
  <c r="G194" i="4"/>
  <c r="G194" i="9"/>
  <c r="G194" i="7"/>
  <c r="K162" i="4"/>
  <c r="K162" i="9"/>
  <c r="K162" i="7"/>
  <c r="C50" i="4"/>
  <c r="C50" i="9"/>
  <c r="C50" i="7"/>
  <c r="K14" i="4"/>
  <c r="K14" i="9"/>
  <c r="K14" i="7"/>
  <c r="M228" i="4"/>
  <c r="M228" i="9"/>
  <c r="M228" i="7"/>
  <c r="H32" i="4"/>
  <c r="H32" i="9"/>
  <c r="H32" i="7"/>
  <c r="C78" i="4"/>
  <c r="C78" i="9"/>
  <c r="C78" i="7"/>
  <c r="L32" i="4"/>
  <c r="L32" i="9"/>
  <c r="L32" i="7"/>
  <c r="F216" i="9"/>
  <c r="F216" i="4"/>
  <c r="F216" i="7"/>
  <c r="E92" i="4"/>
  <c r="E92" i="9"/>
  <c r="E92" i="7"/>
  <c r="L124" i="4"/>
  <c r="L124" i="9"/>
  <c r="L124" i="7"/>
  <c r="F240" i="7"/>
  <c r="F240" i="4"/>
  <c r="H218" i="4"/>
  <c r="H218" i="9"/>
  <c r="H218" i="7"/>
  <c r="G70" i="4"/>
  <c r="G70" i="9"/>
  <c r="G70" i="7"/>
  <c r="G124" i="4"/>
  <c r="G124" i="9"/>
  <c r="G124" i="7"/>
  <c r="J94" i="4"/>
  <c r="J94" i="9"/>
  <c r="J94" i="7"/>
  <c r="K20" i="4"/>
  <c r="K20" i="9"/>
  <c r="K20" i="7"/>
  <c r="C236" i="4"/>
  <c r="C236" i="7"/>
  <c r="C236" i="9"/>
  <c r="D224" i="4"/>
  <c r="D224" i="9"/>
  <c r="D224" i="7"/>
  <c r="F186" i="4"/>
  <c r="F186" i="9"/>
  <c r="F186" i="7"/>
  <c r="K100" i="4"/>
  <c r="K100" i="9"/>
  <c r="K100" i="7"/>
  <c r="J110" i="4"/>
  <c r="J110" i="9"/>
  <c r="J110" i="7"/>
  <c r="I36" i="9"/>
  <c r="I36" i="4"/>
  <c r="I36" i="7"/>
  <c r="I18" i="4"/>
  <c r="I18" i="9"/>
  <c r="I18" i="7"/>
  <c r="N132" i="4"/>
  <c r="N132" i="9"/>
  <c r="N132" i="7"/>
  <c r="N192" i="4"/>
  <c r="N192" i="9"/>
  <c r="N192" i="7"/>
  <c r="K138" i="4"/>
  <c r="K138" i="9"/>
  <c r="K138" i="7"/>
  <c r="C26" i="4"/>
  <c r="C26" i="9"/>
  <c r="C26" i="7"/>
  <c r="H88" i="4"/>
  <c r="H88" i="9"/>
  <c r="H88" i="7"/>
  <c r="F12" i="4"/>
  <c r="F12" i="9"/>
  <c r="F12" i="7"/>
  <c r="I176" i="4"/>
  <c r="I176" i="9"/>
  <c r="I176" i="7"/>
  <c r="D44" i="4"/>
  <c r="D44" i="9"/>
  <c r="D44" i="7"/>
  <c r="E186" i="4"/>
  <c r="E186" i="9"/>
  <c r="E186" i="7"/>
  <c r="J74" i="4"/>
  <c r="J74" i="9"/>
  <c r="J74" i="7"/>
  <c r="F148" i="4"/>
  <c r="F148" i="9"/>
  <c r="F148" i="7"/>
  <c r="O60" i="4"/>
  <c r="O60" i="9"/>
  <c r="O60" i="7"/>
  <c r="N18" i="4"/>
  <c r="N18" i="9"/>
  <c r="N18" i="7"/>
  <c r="M28" i="9"/>
  <c r="M28" i="7"/>
  <c r="M28" i="4"/>
  <c r="H22" i="4"/>
  <c r="H22" i="9"/>
  <c r="H22" i="7"/>
  <c r="K130" i="4"/>
  <c r="K130" i="9"/>
  <c r="K130" i="7"/>
  <c r="K68" i="4"/>
  <c r="K68" i="9"/>
  <c r="K68" i="7"/>
  <c r="G94" i="4"/>
  <c r="G94" i="9"/>
  <c r="G94" i="7"/>
  <c r="L240" i="7"/>
  <c r="L240" i="4"/>
  <c r="J226" i="9"/>
  <c r="J226" i="7"/>
  <c r="J226" i="4"/>
  <c r="N202" i="9"/>
  <c r="N202" i="7"/>
  <c r="N202" i="4"/>
  <c r="E42" i="4"/>
  <c r="E42" i="9"/>
  <c r="E42" i="7"/>
  <c r="G54" i="4"/>
  <c r="G54" i="9"/>
  <c r="G54" i="7"/>
  <c r="L220" i="9"/>
  <c r="L220" i="7"/>
  <c r="L220" i="4"/>
  <c r="G200" i="9"/>
  <c r="G200" i="7"/>
  <c r="G200" i="4"/>
  <c r="O132" i="4"/>
  <c r="O132" i="9"/>
  <c r="O132" i="7"/>
  <c r="K126" i="4"/>
  <c r="K126" i="9"/>
  <c r="K126" i="7"/>
  <c r="J136" i="4"/>
  <c r="J136" i="9"/>
  <c r="J136" i="7"/>
  <c r="F42" i="4"/>
  <c r="F42" i="9"/>
  <c r="F42" i="7"/>
  <c r="O58" i="4"/>
  <c r="O58" i="9"/>
  <c r="O58" i="7"/>
  <c r="H28" i="4"/>
  <c r="H28" i="9"/>
  <c r="H28" i="7"/>
  <c r="G212" i="9"/>
  <c r="G212" i="7"/>
  <c r="G212" i="4"/>
  <c r="L88" i="4"/>
  <c r="L88" i="9"/>
  <c r="L88" i="7"/>
  <c r="E196" i="4"/>
  <c r="E196" i="9"/>
  <c r="E196" i="7"/>
  <c r="G76" i="4"/>
  <c r="G76" i="9"/>
  <c r="G76" i="7"/>
  <c r="F28" i="4"/>
  <c r="F28" i="9"/>
  <c r="F28" i="7"/>
  <c r="I158" i="4"/>
  <c r="I158" i="9"/>
  <c r="I158" i="7"/>
  <c r="K32" i="4"/>
  <c r="K32" i="9"/>
  <c r="K32" i="7"/>
  <c r="T137" i="29" l="1" a="1"/>
  <c r="T134" i="29" a="1"/>
  <c r="T158" i="29" a="1"/>
  <c r="T146" i="29" a="1"/>
  <c r="T150" i="29" a="1"/>
  <c r="T152" i="29" a="1"/>
  <c r="T135" i="29" a="1"/>
  <c r="T132" i="29" a="1"/>
  <c r="T139" i="29" a="1"/>
  <c r="T140" i="29" a="1"/>
  <c r="T156" i="29" a="1"/>
  <c r="T151" i="29" a="1"/>
  <c r="T136" i="29" a="1"/>
  <c r="T141" i="29" a="1"/>
  <c r="T157" i="29" a="1"/>
  <c r="T143" i="29" a="1"/>
  <c r="T148" i="29" a="1"/>
  <c r="T149" i="29" a="1"/>
  <c r="T138" i="29" a="1"/>
  <c r="T142" i="29" a="1"/>
  <c r="T154" i="29" a="1"/>
  <c r="T133" i="29" a="1"/>
  <c r="Y143" i="29" a="1"/>
  <c r="Y138" i="29" a="1"/>
  <c r="Y156" i="29" a="1"/>
  <c r="Y149" i="29" a="1"/>
  <c r="Y157" i="29" a="1"/>
  <c r="Y142" i="29" a="1"/>
  <c r="Y139" i="29" a="1"/>
  <c r="Y154" i="29" a="1"/>
  <c r="Y137" i="29" a="1"/>
  <c r="Y146" i="29" a="1"/>
  <c r="Y148" i="29" a="1"/>
  <c r="Y158" i="29" a="1"/>
  <c r="Y133" i="29" a="1"/>
  <c r="Y134" i="29" a="1"/>
  <c r="Y150" i="29" a="1"/>
  <c r="Y152" i="29" a="1"/>
  <c r="Y140" i="29" a="1"/>
  <c r="Y132" i="29" a="1"/>
  <c r="Y135" i="29" a="1"/>
  <c r="Y136" i="29" a="1"/>
  <c r="Y141" i="29" a="1"/>
  <c r="Y151" i="29" a="1"/>
  <c r="AB140" i="29" a="1"/>
  <c r="AB135" i="29" a="1"/>
  <c r="AB156" i="29" a="1"/>
  <c r="AB146" i="29" a="1"/>
  <c r="AB148" i="29" a="1"/>
  <c r="AB151" i="29" a="1"/>
  <c r="AB143" i="29" a="1"/>
  <c r="AB132" i="29" a="1"/>
  <c r="AB138" i="29" a="1"/>
  <c r="AB149" i="29" a="1"/>
  <c r="AB142" i="29" a="1"/>
  <c r="AB152" i="29" a="1"/>
  <c r="AB139" i="29" a="1"/>
  <c r="AB157" i="29" a="1"/>
  <c r="AB141" i="29" a="1"/>
  <c r="AB137" i="29" a="1"/>
  <c r="AB158" i="29" a="1"/>
  <c r="AB133" i="29" a="1"/>
  <c r="AB134" i="29" a="1"/>
  <c r="AB150" i="29" a="1"/>
  <c r="AB154" i="29" a="1"/>
  <c r="AB136" i="29" a="1"/>
  <c r="T42" i="29"/>
  <c r="Y63" i="29"/>
  <c r="T63" i="29"/>
  <c r="T71" i="24"/>
  <c r="Z71" i="12" s="1"/>
  <c r="AB71" i="24"/>
  <c r="AH71" i="12" s="1"/>
  <c r="Y71" i="24"/>
  <c r="AE71" i="12" s="1"/>
  <c r="AB42" i="29"/>
  <c r="AB85" i="29"/>
  <c r="Y85" i="29"/>
  <c r="T29" i="29"/>
  <c r="T85" i="29"/>
  <c r="AB29" i="29"/>
  <c r="Y29" i="29"/>
  <c r="AB63" i="29"/>
  <c r="T68" i="29"/>
  <c r="AB68" i="29"/>
  <c r="Y68" i="29"/>
  <c r="Y90" i="29"/>
  <c r="T90" i="29"/>
  <c r="AB90" i="29"/>
  <c r="AB59" i="29"/>
  <c r="Y59" i="29"/>
  <c r="T59" i="29"/>
  <c r="AB152" i="24"/>
  <c r="AH152" i="12" s="1"/>
  <c r="T152" i="24"/>
  <c r="Z152" i="12" s="1"/>
  <c r="AB156" i="24"/>
  <c r="AH156" i="12" s="1"/>
  <c r="Y156" i="24"/>
  <c r="AE156" i="12" s="1"/>
  <c r="AB143" i="24"/>
  <c r="AH143" i="12" s="1"/>
  <c r="T149" i="24"/>
  <c r="Z149" i="12" s="1"/>
  <c r="Y105" i="24"/>
  <c r="AE105" i="12" s="1"/>
  <c r="T146" i="24"/>
  <c r="Z146" i="12" s="1"/>
  <c r="AB142" i="24"/>
  <c r="AH142" i="12" s="1"/>
  <c r="T154" i="24"/>
  <c r="Z154" i="12" s="1"/>
  <c r="Y138" i="24"/>
  <c r="AE138" i="12" s="1"/>
  <c r="AB150" i="24"/>
  <c r="AH150" i="12" s="1"/>
  <c r="T135" i="24"/>
  <c r="Z135" i="12" s="1"/>
  <c r="Y132" i="24"/>
  <c r="AE132" i="12" s="1"/>
  <c r="Y109" i="29"/>
  <c r="AB139" i="24"/>
  <c r="AH139" i="12" s="1"/>
  <c r="T126" i="24"/>
  <c r="Z126" i="12" s="1"/>
  <c r="Y150" i="24"/>
  <c r="AE150" i="12" s="1"/>
  <c r="AB135" i="24"/>
  <c r="AH135" i="12" s="1"/>
  <c r="T132" i="24"/>
  <c r="Z132" i="12" s="1"/>
  <c r="AB157" i="24"/>
  <c r="AH157" i="12" s="1"/>
  <c r="Y139" i="24"/>
  <c r="AE139" i="12" s="1"/>
  <c r="T142" i="24"/>
  <c r="Z142" i="12" s="1"/>
  <c r="Y115" i="29"/>
  <c r="AB126" i="24"/>
  <c r="AH126" i="12" s="1"/>
  <c r="Y61" i="29"/>
  <c r="T150" i="24"/>
  <c r="Z150" i="12" s="1"/>
  <c r="Y135" i="24"/>
  <c r="AE135" i="12" s="1"/>
  <c r="T136" i="24"/>
  <c r="Z136" i="12" s="1"/>
  <c r="T139" i="24"/>
  <c r="Z139" i="12" s="1"/>
  <c r="AB149" i="24"/>
  <c r="AH149" i="12" s="1"/>
  <c r="AB136" i="24"/>
  <c r="AH136" i="12" s="1"/>
  <c r="T143" i="24"/>
  <c r="Z143" i="12" s="1"/>
  <c r="Y149" i="24"/>
  <c r="AE149" i="12" s="1"/>
  <c r="Y136" i="24"/>
  <c r="AE136" i="12" s="1"/>
  <c r="T120" i="24"/>
  <c r="Z120" i="12" s="1"/>
  <c r="T120" i="29"/>
  <c r="Y50" i="24"/>
  <c r="AE50" i="12" s="1"/>
  <c r="Y50" i="29"/>
  <c r="Y68" i="24"/>
  <c r="AE68" i="12" s="1"/>
  <c r="Y123" i="29"/>
  <c r="Y123" i="24"/>
  <c r="AE123" i="12" s="1"/>
  <c r="T99" i="24"/>
  <c r="Z99" i="12" s="1"/>
  <c r="T99" i="29"/>
  <c r="AB95" i="29"/>
  <c r="AB95" i="24"/>
  <c r="AH95" i="12" s="1"/>
  <c r="T96" i="29"/>
  <c r="T96" i="24"/>
  <c r="Z96" i="12" s="1"/>
  <c r="AB141" i="24"/>
  <c r="AH141" i="12" s="1"/>
  <c r="T123" i="29"/>
  <c r="T123" i="24"/>
  <c r="Z123" i="12" s="1"/>
  <c r="AB128" i="29" a="1"/>
  <c r="AB127" i="29" a="1"/>
  <c r="AB126" i="29" a="1"/>
  <c r="AB129" i="29" a="1"/>
  <c r="AB131" i="29" a="1"/>
  <c r="Y143" i="24"/>
  <c r="AE143" i="12" s="1"/>
  <c r="AB99" i="29"/>
  <c r="AB99" i="24"/>
  <c r="AH99" i="12" s="1"/>
  <c r="AB66" i="29"/>
  <c r="AB66" i="24"/>
  <c r="AH66" i="12" s="1"/>
  <c r="Y79" i="24"/>
  <c r="AE79" i="12" s="1"/>
  <c r="Y79" i="29"/>
  <c r="Y93" i="24"/>
  <c r="AE93" i="12" s="1"/>
  <c r="Y93" i="29"/>
  <c r="Y141" i="24"/>
  <c r="AE141" i="12" s="1"/>
  <c r="AB123" i="29"/>
  <c r="AB123" i="24"/>
  <c r="AH123" i="12" s="1"/>
  <c r="T126" i="29" a="1"/>
  <c r="T131" i="29" a="1"/>
  <c r="T129" i="29" a="1"/>
  <c r="T127" i="29" a="1"/>
  <c r="T128" i="29" a="1"/>
  <c r="T100" i="24"/>
  <c r="Z100" i="12" s="1"/>
  <c r="T100" i="29"/>
  <c r="Y99" i="29"/>
  <c r="Y99" i="24"/>
  <c r="AE99" i="12" s="1"/>
  <c r="Y66" i="24"/>
  <c r="AE66" i="12" s="1"/>
  <c r="Y66" i="29"/>
  <c r="T79" i="24"/>
  <c r="Z79" i="12" s="1"/>
  <c r="T79" i="29"/>
  <c r="T93" i="29"/>
  <c r="T93" i="24"/>
  <c r="Z93" i="12" s="1"/>
  <c r="T107" i="29"/>
  <c r="T62" i="24"/>
  <c r="Z62" i="12" s="1"/>
  <c r="T62" i="29"/>
  <c r="T141" i="24"/>
  <c r="Z141" i="12" s="1"/>
  <c r="T94" i="29"/>
  <c r="T94" i="24"/>
  <c r="Z94" i="12" s="1"/>
  <c r="Y72" i="24"/>
  <c r="AE72" i="12" s="1"/>
  <c r="Y72" i="29"/>
  <c r="AB100" i="24"/>
  <c r="AH100" i="12" s="1"/>
  <c r="AB100" i="29"/>
  <c r="T127" i="24"/>
  <c r="Z127" i="12" s="1"/>
  <c r="T66" i="29"/>
  <c r="T66" i="24"/>
  <c r="Z66" i="12" s="1"/>
  <c r="T156" i="24"/>
  <c r="Z156" i="12" s="1"/>
  <c r="AB79" i="24"/>
  <c r="AH79" i="12" s="1"/>
  <c r="AB79" i="29"/>
  <c r="AB151" i="24"/>
  <c r="AH151" i="12" s="1"/>
  <c r="AB107" i="29"/>
  <c r="AB62" i="29"/>
  <c r="AB62" i="24"/>
  <c r="AH62" i="12" s="1"/>
  <c r="Y152" i="24"/>
  <c r="AE152" i="12" s="1"/>
  <c r="AB94" i="24"/>
  <c r="AH94" i="12" s="1"/>
  <c r="AB94" i="29"/>
  <c r="AB105" i="29"/>
  <c r="T104" i="29"/>
  <c r="Y89" i="24"/>
  <c r="AE89" i="12" s="1"/>
  <c r="Y89" i="29"/>
  <c r="Y87" i="24"/>
  <c r="AE87" i="12" s="1"/>
  <c r="Y87" i="29"/>
  <c r="AB115" i="24"/>
  <c r="AH115" i="12" s="1"/>
  <c r="AB115" i="29"/>
  <c r="AB61" i="29"/>
  <c r="T68" i="24"/>
  <c r="Z68" i="12" s="1"/>
  <c r="T115" i="24"/>
  <c r="Z115" i="12" s="1"/>
  <c r="AB56" i="24"/>
  <c r="AH56" i="12" s="1"/>
  <c r="AB56" i="29"/>
  <c r="Y49" i="24"/>
  <c r="AE49" i="12" s="1"/>
  <c r="Y49" i="29"/>
  <c r="Y102" i="29"/>
  <c r="Y102" i="24"/>
  <c r="AE102" i="12" s="1"/>
  <c r="Y100" i="24"/>
  <c r="AE100" i="12" s="1"/>
  <c r="Y100" i="29"/>
  <c r="Y105" i="29"/>
  <c r="AB72" i="29"/>
  <c r="AB72" i="24"/>
  <c r="AH72" i="12" s="1"/>
  <c r="T153" i="24"/>
  <c r="Z153" i="12" s="1"/>
  <c r="Y98" i="24"/>
  <c r="AE98" i="12" s="1"/>
  <c r="Y98" i="29"/>
  <c r="T128" i="24"/>
  <c r="Z128" i="12" s="1"/>
  <c r="Y109" i="24"/>
  <c r="AE109" i="12" s="1"/>
  <c r="AB101" i="29"/>
  <c r="AB101" i="24"/>
  <c r="AH101" i="12" s="1"/>
  <c r="AB145" i="24"/>
  <c r="AH145" i="12" s="1"/>
  <c r="AB153" i="24"/>
  <c r="AH153" i="12" s="1"/>
  <c r="T98" i="29"/>
  <c r="T98" i="24"/>
  <c r="Z98" i="12" s="1"/>
  <c r="Y146" i="24"/>
  <c r="AE146" i="12" s="1"/>
  <c r="AB134" i="24"/>
  <c r="AH134" i="12" s="1"/>
  <c r="AB105" i="24"/>
  <c r="AH105" i="12" s="1"/>
  <c r="AB128" i="24"/>
  <c r="AH128" i="12" s="1"/>
  <c r="T109" i="24"/>
  <c r="Z109" i="12" s="1"/>
  <c r="T109" i="29"/>
  <c r="AB140" i="24"/>
  <c r="AH140" i="12" s="1"/>
  <c r="T157" i="24"/>
  <c r="Z157" i="12" s="1"/>
  <c r="AB82" i="29"/>
  <c r="AB82" i="24"/>
  <c r="AH82" i="12" s="1"/>
  <c r="Y101" i="24"/>
  <c r="AE101" i="12" s="1"/>
  <c r="Y101" i="29"/>
  <c r="Y104" i="24"/>
  <c r="AE104" i="12" s="1"/>
  <c r="Y115" i="24"/>
  <c r="AE115" i="12" s="1"/>
  <c r="AB67" i="29"/>
  <c r="AB67" i="24"/>
  <c r="AH67" i="12" s="1"/>
  <c r="Y95" i="29"/>
  <c r="Y95" i="24"/>
  <c r="AE95" i="12" s="1"/>
  <c r="T95" i="24"/>
  <c r="Z95" i="12" s="1"/>
  <c r="T95" i="29"/>
  <c r="Y96" i="24"/>
  <c r="AE96" i="12" s="1"/>
  <c r="Y96" i="29"/>
  <c r="T102" i="24"/>
  <c r="Z102" i="12" s="1"/>
  <c r="T102" i="29"/>
  <c r="AB93" i="24"/>
  <c r="AH93" i="12" s="1"/>
  <c r="AB93" i="29"/>
  <c r="T145" i="24"/>
  <c r="Z145" i="12" s="1"/>
  <c r="Y127" i="24"/>
  <c r="AE127" i="12" s="1"/>
  <c r="T105" i="24"/>
  <c r="Z105" i="12" s="1"/>
  <c r="T105" i="29"/>
  <c r="Y157" i="24"/>
  <c r="AE157" i="12" s="1"/>
  <c r="AB65" i="24"/>
  <c r="AH65" i="12" s="1"/>
  <c r="AB146" i="24"/>
  <c r="AH146" i="12" s="1"/>
  <c r="Y134" i="24"/>
  <c r="AE134" i="12" s="1"/>
  <c r="Y137" i="24"/>
  <c r="AE137" i="12" s="1"/>
  <c r="AB109" i="29"/>
  <c r="Y140" i="24"/>
  <c r="AE140" i="12" s="1"/>
  <c r="Y82" i="24"/>
  <c r="AE82" i="12" s="1"/>
  <c r="Y82" i="29"/>
  <c r="T101" i="29"/>
  <c r="T101" i="24"/>
  <c r="Z101" i="12" s="1"/>
  <c r="AB129" i="24"/>
  <c r="AH129" i="12" s="1"/>
  <c r="T104" i="24"/>
  <c r="Z104" i="12" s="1"/>
  <c r="T115" i="29"/>
  <c r="Y142" i="24"/>
  <c r="AE142" i="12" s="1"/>
  <c r="T67" i="29"/>
  <c r="T67" i="24"/>
  <c r="Z67" i="12" s="1"/>
  <c r="T49" i="24"/>
  <c r="Z49" i="12" s="1"/>
  <c r="T49" i="29"/>
  <c r="Y126" i="24"/>
  <c r="AE126" i="12" s="1"/>
  <c r="Y126" i="29" a="1"/>
  <c r="Y128" i="29" a="1"/>
  <c r="Y129" i="29" a="1"/>
  <c r="Y131" i="29" a="1"/>
  <c r="Y127" i="29" a="1"/>
  <c r="T72" i="29"/>
  <c r="T72" i="24"/>
  <c r="Z72" i="12" s="1"/>
  <c r="Y153" i="24"/>
  <c r="AE153" i="12" s="1"/>
  <c r="AB98" i="24"/>
  <c r="AH98" i="12" s="1"/>
  <c r="AB98" i="29"/>
  <c r="T61" i="29"/>
  <c r="T87" i="24"/>
  <c r="Z87" i="12" s="1"/>
  <c r="T87" i="29"/>
  <c r="T56" i="24"/>
  <c r="Z56" i="12" s="1"/>
  <c r="T56" i="29"/>
  <c r="AB102" i="29"/>
  <c r="AB102" i="24"/>
  <c r="AH102" i="12" s="1"/>
  <c r="Y56" i="29"/>
  <c r="Y56" i="24"/>
  <c r="AE56" i="12" s="1"/>
  <c r="Y145" i="24"/>
  <c r="AE145" i="12" s="1"/>
  <c r="AB127" i="24"/>
  <c r="AH127" i="12" s="1"/>
  <c r="Y107" i="29"/>
  <c r="T137" i="24"/>
  <c r="Z137" i="12" s="1"/>
  <c r="T82" i="29"/>
  <c r="T82" i="24"/>
  <c r="Z82" i="12" s="1"/>
  <c r="AB147" i="24"/>
  <c r="AH147" i="12" s="1"/>
  <c r="AB104" i="24"/>
  <c r="AH104" i="12" s="1"/>
  <c r="AB104" i="29"/>
  <c r="T89" i="24"/>
  <c r="Z89" i="12" s="1"/>
  <c r="T89" i="29"/>
  <c r="T65" i="24"/>
  <c r="Z65" i="12" s="1"/>
  <c r="AB137" i="24"/>
  <c r="AH137" i="12" s="1"/>
  <c r="AB154" i="24"/>
  <c r="AH154" i="12" s="1"/>
  <c r="T50" i="24"/>
  <c r="Z50" i="12" s="1"/>
  <c r="T50" i="29"/>
  <c r="Y147" i="24"/>
  <c r="AE147" i="12" s="1"/>
  <c r="Y148" i="24"/>
  <c r="AE148" i="12" s="1"/>
  <c r="T129" i="24"/>
  <c r="Z129" i="12" s="1"/>
  <c r="Y104" i="29"/>
  <c r="AB120" i="29"/>
  <c r="AB120" i="24"/>
  <c r="AH120" i="12" s="1"/>
  <c r="AB49" i="24"/>
  <c r="AH49" i="12" s="1"/>
  <c r="AB49" i="29"/>
  <c r="AB68" i="24"/>
  <c r="AH68" i="12" s="1"/>
  <c r="AB96" i="24"/>
  <c r="AH96" i="12" s="1"/>
  <c r="AB96" i="29"/>
  <c r="Y67" i="29"/>
  <c r="Y67" i="24"/>
  <c r="AE67" i="12" s="1"/>
  <c r="Y128" i="24"/>
  <c r="AE128" i="12" s="1"/>
  <c r="Y62" i="29"/>
  <c r="Y62" i="24"/>
  <c r="AE62" i="12" s="1"/>
  <c r="Y94" i="24"/>
  <c r="AE94" i="12" s="1"/>
  <c r="Y94" i="29"/>
  <c r="Y65" i="24"/>
  <c r="AE65" i="12" s="1"/>
  <c r="T134" i="24"/>
  <c r="Z134" i="12" s="1"/>
  <c r="T140" i="24"/>
  <c r="Z140" i="12" s="1"/>
  <c r="AB148" i="24"/>
  <c r="AH148" i="12" s="1"/>
  <c r="Y129" i="24"/>
  <c r="AE129" i="12" s="1"/>
  <c r="AB89" i="29"/>
  <c r="AB89" i="24"/>
  <c r="AH89" i="12" s="1"/>
  <c r="Y120" i="24"/>
  <c r="AE120" i="12" s="1"/>
  <c r="Y120" i="29"/>
  <c r="AB87" i="29"/>
  <c r="AB87" i="24"/>
  <c r="AH87" i="12" s="1"/>
  <c r="Y154" i="24"/>
  <c r="AE154" i="12" s="1"/>
  <c r="AB50" i="29"/>
  <c r="AB50" i="24"/>
  <c r="AH50" i="12" s="1"/>
  <c r="T147" i="24"/>
  <c r="Z147" i="12" s="1"/>
  <c r="T148" i="24"/>
  <c r="Z148" i="12" s="1"/>
  <c r="AB132" i="24"/>
  <c r="AH132" i="12" s="1"/>
  <c r="AB109" i="24"/>
  <c r="AH109" i="12" s="1"/>
  <c r="AT583" i="32"/>
  <c r="AT583" i="10"/>
  <c r="T586" i="32"/>
  <c r="X586" i="11"/>
  <c r="AN586" i="10" s="1"/>
  <c r="T119" i="32"/>
  <c r="X436" i="11"/>
  <c r="AN436" i="10" s="1"/>
  <c r="X536" i="11"/>
  <c r="AN536" i="10" s="1"/>
  <c r="T559" i="10"/>
  <c r="AS559" i="10" s="1"/>
  <c r="T518" i="10"/>
  <c r="AO518" i="10" s="1"/>
  <c r="X511" i="11"/>
  <c r="X518" i="11"/>
  <c r="AN518" i="10" s="1"/>
  <c r="X583" i="11"/>
  <c r="AN583" i="10" s="1"/>
  <c r="X759" i="11"/>
  <c r="AN759" i="10" s="1"/>
  <c r="X768" i="11"/>
  <c r="AN768" i="10" s="1"/>
  <c r="T583" i="10"/>
  <c r="AO583" i="10" s="1"/>
  <c r="X559" i="11"/>
  <c r="AN559" i="10" s="1"/>
  <c r="X461" i="11"/>
  <c r="AN461" i="10" s="1"/>
  <c r="T461" i="10"/>
  <c r="AO461" i="32" s="1"/>
  <c r="T905" i="10"/>
  <c r="AV905" i="10" s="1"/>
  <c r="X905" i="11"/>
  <c r="AN905" i="10" s="1"/>
  <c r="X730" i="11"/>
  <c r="X544" i="11"/>
  <c r="AN544" i="10" s="1"/>
  <c r="X443" i="11"/>
  <c r="X345" i="11"/>
  <c r="AN345" i="10" s="1"/>
  <c r="T481" i="10"/>
  <c r="AO481" i="10" s="1"/>
  <c r="AS383" i="10"/>
  <c r="T544" i="10"/>
  <c r="T443" i="10"/>
  <c r="AO443" i="32" s="1"/>
  <c r="AV383" i="10"/>
  <c r="X481" i="11"/>
  <c r="AN481" i="10" s="1"/>
  <c r="T395" i="10"/>
  <c r="AO395" i="10" s="1"/>
  <c r="T601" i="10"/>
  <c r="T536" i="10"/>
  <c r="X601" i="11"/>
  <c r="AN601" i="10" s="1"/>
  <c r="X329" i="11"/>
  <c r="AN329" i="10" s="1"/>
  <c r="T345" i="10"/>
  <c r="AO345" i="32" s="1"/>
  <c r="X746" i="11"/>
  <c r="AN746" i="10" s="1"/>
  <c r="T310" i="10"/>
  <c r="AO310" i="32" s="1"/>
  <c r="X395" i="11"/>
  <c r="AN395" i="10" s="1"/>
  <c r="T329" i="10"/>
  <c r="AV329" i="10" s="1"/>
  <c r="X754" i="11"/>
  <c r="AN754" i="10" s="1"/>
  <c r="T341" i="10"/>
  <c r="AO341" i="32" s="1"/>
  <c r="X310" i="11"/>
  <c r="AN310" i="10" s="1"/>
  <c r="X529" i="11"/>
  <c r="AN529" i="10" s="1"/>
  <c r="T511" i="10"/>
  <c r="AO511" i="32" s="1"/>
  <c r="T436" i="10"/>
  <c r="AS436" i="10" s="1"/>
  <c r="T598" i="10"/>
  <c r="AO598" i="32" s="1"/>
  <c r="T484" i="10"/>
  <c r="AO484" i="32" s="1"/>
  <c r="T491" i="10"/>
  <c r="AO491" i="32" s="1"/>
  <c r="T608" i="10"/>
  <c r="AO608" i="10" s="1"/>
  <c r="X484" i="11"/>
  <c r="AN484" i="10" s="1"/>
  <c r="X598" i="11"/>
  <c r="X491" i="11"/>
  <c r="AN491" i="10" s="1"/>
  <c r="X341" i="11"/>
  <c r="AN341" i="10" s="1"/>
  <c r="X695" i="11"/>
  <c r="X608" i="11"/>
  <c r="AN608" i="10" s="1"/>
  <c r="AT964" i="10"/>
  <c r="AT964" i="32"/>
  <c r="AT850" i="10"/>
  <c r="AT890" i="10"/>
  <c r="AT888" i="10"/>
  <c r="AT798" i="10"/>
  <c r="AT798" i="32"/>
  <c r="AT951" i="10"/>
  <c r="AT951" i="32"/>
  <c r="AT875" i="10"/>
  <c r="AT868" i="10"/>
  <c r="AT950" i="10"/>
  <c r="AT950" i="32"/>
  <c r="AT846" i="10"/>
  <c r="AT907" i="10"/>
  <c r="AT907" i="32"/>
  <c r="AT853" i="10"/>
  <c r="AT813" i="10"/>
  <c r="AT813" i="32"/>
  <c r="AT895" i="10"/>
  <c r="AT902" i="10"/>
  <c r="AT902" i="32"/>
  <c r="AT799" i="10"/>
  <c r="AT799" i="32"/>
  <c r="AT956" i="10"/>
  <c r="AT956" i="32"/>
  <c r="X864" i="11"/>
  <c r="T864" i="32"/>
  <c r="X901" i="11"/>
  <c r="AN901" i="10" s="1"/>
  <c r="T901" i="32"/>
  <c r="X922" i="11"/>
  <c r="AN922" i="10" s="1"/>
  <c r="T922" i="32"/>
  <c r="T785" i="10"/>
  <c r="AV785" i="10" s="1"/>
  <c r="T785" i="32"/>
  <c r="X964" i="11"/>
  <c r="AN964" i="10" s="1"/>
  <c r="T964" i="32"/>
  <c r="X850" i="11"/>
  <c r="T850" i="32"/>
  <c r="X890" i="11"/>
  <c r="T890" i="32"/>
  <c r="X888" i="11"/>
  <c r="T888" i="32"/>
  <c r="X798" i="11"/>
  <c r="AN798" i="10" s="1"/>
  <c r="T798" i="32"/>
  <c r="X951" i="11"/>
  <c r="AN951" i="10" s="1"/>
  <c r="T951" i="32"/>
  <c r="X875" i="11"/>
  <c r="T875" i="32"/>
  <c r="T868" i="10"/>
  <c r="T868" i="32"/>
  <c r="X950" i="11"/>
  <c r="AN950" i="10" s="1"/>
  <c r="T950" i="32"/>
  <c r="X846" i="11"/>
  <c r="T846" i="32"/>
  <c r="X907" i="11"/>
  <c r="AN907" i="10" s="1"/>
  <c r="T907" i="32"/>
  <c r="X853" i="11"/>
  <c r="T853" i="32"/>
  <c r="T813" i="10"/>
  <c r="AO813" i="10" s="1"/>
  <c r="T813" i="32"/>
  <c r="X895" i="11"/>
  <c r="T895" i="32"/>
  <c r="X902" i="11"/>
  <c r="AN902" i="10" s="1"/>
  <c r="T902" i="32"/>
  <c r="X799" i="11"/>
  <c r="AN799" i="10" s="1"/>
  <c r="T799" i="32"/>
  <c r="X956" i="11"/>
  <c r="AN956" i="10" s="1"/>
  <c r="T956" i="32"/>
  <c r="AT949" i="10"/>
  <c r="AT949" i="32"/>
  <c r="AT823" i="10"/>
  <c r="AT823" i="32"/>
  <c r="AT915" i="10"/>
  <c r="AT915" i="32"/>
  <c r="AN786" i="32"/>
  <c r="AS657" i="32"/>
  <c r="AV657" i="32"/>
  <c r="AO657" i="32"/>
  <c r="AT819" i="10"/>
  <c r="AT819" i="32"/>
  <c r="AT872" i="10"/>
  <c r="AT884" i="10"/>
  <c r="AT917" i="10"/>
  <c r="AT917" i="32"/>
  <c r="AT845" i="10"/>
  <c r="AT816" i="10"/>
  <c r="AT816" i="32"/>
  <c r="AT952" i="10"/>
  <c r="AT952" i="32"/>
  <c r="AT842" i="10"/>
  <c r="AT808" i="10"/>
  <c r="AT808" i="32"/>
  <c r="AT797" i="10"/>
  <c r="AT797" i="32"/>
  <c r="AT832" i="10"/>
  <c r="AT942" i="10"/>
  <c r="AT879" i="10"/>
  <c r="AT818" i="10"/>
  <c r="AT818" i="32"/>
  <c r="AT824" i="10"/>
  <c r="AT824" i="32"/>
  <c r="AT793" i="10"/>
  <c r="AT793" i="32"/>
  <c r="AT821" i="10"/>
  <c r="AT821" i="32"/>
  <c r="X949" i="11"/>
  <c r="AN949" i="10" s="1"/>
  <c r="T949" i="32"/>
  <c r="X823" i="11"/>
  <c r="AN823" i="10" s="1"/>
  <c r="T823" i="32"/>
  <c r="T915" i="10"/>
  <c r="AO915" i="10" s="1"/>
  <c r="T915" i="32"/>
  <c r="AN384" i="32"/>
  <c r="AS383" i="32"/>
  <c r="AV383" i="32"/>
  <c r="AO383" i="32"/>
  <c r="X819" i="11"/>
  <c r="AN819" i="10" s="1"/>
  <c r="T819" i="32"/>
  <c r="X872" i="11"/>
  <c r="T872" i="32"/>
  <c r="X884" i="11"/>
  <c r="T884" i="32"/>
  <c r="X917" i="11"/>
  <c r="AN917" i="10" s="1"/>
  <c r="T917" i="32"/>
  <c r="X845" i="11"/>
  <c r="T845" i="32"/>
  <c r="X816" i="11"/>
  <c r="AN816" i="10" s="1"/>
  <c r="T816" i="32"/>
  <c r="X952" i="11"/>
  <c r="AN952" i="10" s="1"/>
  <c r="T952" i="32"/>
  <c r="T842" i="10"/>
  <c r="T842" i="32"/>
  <c r="X808" i="11"/>
  <c r="AN808" i="10" s="1"/>
  <c r="T808" i="32"/>
  <c r="X797" i="11"/>
  <c r="AN797" i="10" s="1"/>
  <c r="T797" i="32"/>
  <c r="X832" i="11"/>
  <c r="T832" i="32"/>
  <c r="X942" i="11"/>
  <c r="AN942" i="10" s="1"/>
  <c r="T942" i="32"/>
  <c r="X879" i="11"/>
  <c r="T879" i="32"/>
  <c r="X818" i="11"/>
  <c r="AN818" i="10" s="1"/>
  <c r="T818" i="32"/>
  <c r="T824" i="10"/>
  <c r="AV824" i="10" s="1"/>
  <c r="T824" i="32"/>
  <c r="X793" i="11"/>
  <c r="AN793" i="10" s="1"/>
  <c r="T793" i="32"/>
  <c r="X821" i="11"/>
  <c r="AN821" i="10" s="1"/>
  <c r="T821" i="32"/>
  <c r="AT796" i="10"/>
  <c r="AT796" i="32"/>
  <c r="AT883" i="10"/>
  <c r="AT939" i="10"/>
  <c r="AN474" i="32"/>
  <c r="AT885" i="10"/>
  <c r="AT919" i="10"/>
  <c r="AT919" i="32"/>
  <c r="AT880" i="10"/>
  <c r="AT963" i="10"/>
  <c r="AT963" i="32"/>
  <c r="AT916" i="10"/>
  <c r="AT916" i="32"/>
  <c r="AT810" i="10"/>
  <c r="AT810" i="32"/>
  <c r="AT848" i="10"/>
  <c r="AT794" i="10"/>
  <c r="AT972" i="10"/>
  <c r="AT972" i="32"/>
  <c r="AT937" i="10"/>
  <c r="AT937" i="32"/>
  <c r="AT826" i="10"/>
  <c r="AT826" i="32"/>
  <c r="AT871" i="10"/>
  <c r="AT945" i="10"/>
  <c r="AT945" i="32"/>
  <c r="AT881" i="10"/>
  <c r="AT954" i="10"/>
  <c r="AT954" i="32"/>
  <c r="AT811" i="10"/>
  <c r="AT811" i="32"/>
  <c r="AT909" i="10"/>
  <c r="AT909" i="32"/>
  <c r="X796" i="11"/>
  <c r="AN796" i="10" s="1"/>
  <c r="T796" i="32"/>
  <c r="X883" i="11"/>
  <c r="T883" i="32"/>
  <c r="X939" i="11"/>
  <c r="AN939" i="10" s="1"/>
  <c r="T939" i="32"/>
  <c r="AN656" i="32"/>
  <c r="X13" i="11"/>
  <c r="AN13" i="32" s="1"/>
  <c r="T13" i="32"/>
  <c r="AO474" i="32"/>
  <c r="AS474" i="32"/>
  <c r="AV474" i="32"/>
  <c r="X885" i="11"/>
  <c r="T885" i="32"/>
  <c r="T919" i="10"/>
  <c r="AV919" i="10" s="1"/>
  <c r="T919" i="32"/>
  <c r="X880" i="11"/>
  <c r="T880" i="32"/>
  <c r="X963" i="11"/>
  <c r="AN963" i="10" s="1"/>
  <c r="T963" i="32"/>
  <c r="T916" i="10"/>
  <c r="AO916" i="10" s="1"/>
  <c r="T916" i="32"/>
  <c r="X810" i="11"/>
  <c r="AN810" i="10" s="1"/>
  <c r="T810" i="32"/>
  <c r="X848" i="11"/>
  <c r="T848" i="32"/>
  <c r="X794" i="11"/>
  <c r="AN794" i="10" s="1"/>
  <c r="T794" i="32"/>
  <c r="T972" i="10"/>
  <c r="AO972" i="10" s="1"/>
  <c r="T972" i="32"/>
  <c r="X937" i="11"/>
  <c r="AN937" i="10" s="1"/>
  <c r="T937" i="32"/>
  <c r="T826" i="10"/>
  <c r="AS826" i="10" s="1"/>
  <c r="T826" i="32"/>
  <c r="T871" i="10"/>
  <c r="T871" i="32"/>
  <c r="T945" i="10"/>
  <c r="AO945" i="10" s="1"/>
  <c r="T945" i="32"/>
  <c r="X881" i="11"/>
  <c r="AN881" i="10" s="1"/>
  <c r="T881" i="32"/>
  <c r="X954" i="11"/>
  <c r="AN954" i="10" s="1"/>
  <c r="T954" i="32"/>
  <c r="X811" i="11"/>
  <c r="AN811" i="10" s="1"/>
  <c r="T811" i="32"/>
  <c r="T909" i="10"/>
  <c r="AO909" i="10" s="1"/>
  <c r="T909" i="32"/>
  <c r="AT975" i="10"/>
  <c r="AT975" i="32"/>
  <c r="AT947" i="10"/>
  <c r="AT947" i="32"/>
  <c r="X784" i="11"/>
  <c r="AN784" i="10" s="1"/>
  <c r="T784" i="32"/>
  <c r="AN476" i="32"/>
  <c r="AT948" i="10"/>
  <c r="AT948" i="32"/>
  <c r="AT795" i="10"/>
  <c r="AT795" i="32"/>
  <c r="AT806" i="10"/>
  <c r="AT806" i="32"/>
  <c r="AT893" i="10"/>
  <c r="AT865" i="10"/>
  <c r="AT800" i="10"/>
  <c r="AT800" i="32"/>
  <c r="AT971" i="10"/>
  <c r="AT971" i="32"/>
  <c r="AT965" i="10"/>
  <c r="AT965" i="32"/>
  <c r="AT882" i="10"/>
  <c r="AT904" i="10"/>
  <c r="AT904" i="32"/>
  <c r="AT870" i="10"/>
  <c r="AT936" i="10"/>
  <c r="AT936" i="32"/>
  <c r="AT852" i="10"/>
  <c r="AT877" i="10"/>
  <c r="AT807" i="10"/>
  <c r="AT807" i="32"/>
  <c r="AT874" i="10"/>
  <c r="AO476" i="32"/>
  <c r="AS476" i="32"/>
  <c r="AV476" i="32"/>
  <c r="T975" i="10"/>
  <c r="AO975" i="10" s="1"/>
  <c r="T975" i="32"/>
  <c r="X947" i="11"/>
  <c r="AN947" i="10" s="1"/>
  <c r="T947" i="32"/>
  <c r="X948" i="11"/>
  <c r="AN948" i="10" s="1"/>
  <c r="T948" i="32"/>
  <c r="X795" i="11"/>
  <c r="AN795" i="10" s="1"/>
  <c r="T795" i="32"/>
  <c r="T806" i="10"/>
  <c r="AO806" i="10" s="1"/>
  <c r="T806" i="32"/>
  <c r="T893" i="10"/>
  <c r="T893" i="32"/>
  <c r="X865" i="11"/>
  <c r="T865" i="32"/>
  <c r="X800" i="11"/>
  <c r="AN800" i="10" s="1"/>
  <c r="T800" i="32"/>
  <c r="X971" i="11"/>
  <c r="AN971" i="10" s="1"/>
  <c r="T971" i="32"/>
  <c r="X965" i="11"/>
  <c r="AN965" i="10" s="1"/>
  <c r="T965" i="32"/>
  <c r="X882" i="11"/>
  <c r="T882" i="32"/>
  <c r="X904" i="11"/>
  <c r="AN904" i="10" s="1"/>
  <c r="T904" i="32"/>
  <c r="T870" i="10"/>
  <c r="T870" i="32"/>
  <c r="T936" i="10"/>
  <c r="AO936" i="10" s="1"/>
  <c r="T936" i="32"/>
  <c r="X852" i="11"/>
  <c r="T852" i="32"/>
  <c r="X877" i="11"/>
  <c r="T877" i="32"/>
  <c r="T807" i="10"/>
  <c r="AO807" i="10" s="1"/>
  <c r="T807" i="32"/>
  <c r="X874" i="11"/>
  <c r="T874" i="32"/>
  <c r="AT891" i="10"/>
  <c r="AT803" i="10"/>
  <c r="AT803" i="32"/>
  <c r="AT876" i="10"/>
  <c r="AN382" i="32"/>
  <c r="AN383" i="32"/>
  <c r="AT921" i="10"/>
  <c r="AT921" i="32"/>
  <c r="AT944" i="10"/>
  <c r="AT944" i="32"/>
  <c r="AT970" i="10"/>
  <c r="AT970" i="32"/>
  <c r="AT977" i="10"/>
  <c r="AT977" i="32"/>
  <c r="AT878" i="10"/>
  <c r="AT831" i="10"/>
  <c r="AT903" i="10"/>
  <c r="AT903" i="32"/>
  <c r="AT911" i="10"/>
  <c r="AT911" i="32"/>
  <c r="AT898" i="10"/>
  <c r="AT914" i="10"/>
  <c r="AT914" i="32"/>
  <c r="AT827" i="10"/>
  <c r="AT847" i="10"/>
  <c r="AT833" i="10"/>
  <c r="AT801" i="10"/>
  <c r="AT801" i="32"/>
  <c r="AT976" i="10"/>
  <c r="AT940" i="10"/>
  <c r="AT940" i="32"/>
  <c r="AT918" i="10"/>
  <c r="AT918" i="32"/>
  <c r="X891" i="11"/>
  <c r="T891" i="32"/>
  <c r="X803" i="11"/>
  <c r="AN803" i="10" s="1"/>
  <c r="T803" i="32"/>
  <c r="X876" i="11"/>
  <c r="T876" i="32"/>
  <c r="AN475" i="32"/>
  <c r="AN568" i="32"/>
  <c r="AS656" i="32"/>
  <c r="AV656" i="32"/>
  <c r="AO656" i="32"/>
  <c r="X921" i="11"/>
  <c r="AN921" i="10" s="1"/>
  <c r="T921" i="32"/>
  <c r="X944" i="11"/>
  <c r="AN944" i="10" s="1"/>
  <c r="T944" i="32"/>
  <c r="X970" i="11"/>
  <c r="AN970" i="10" s="1"/>
  <c r="T970" i="32"/>
  <c r="X977" i="11"/>
  <c r="AN977" i="10" s="1"/>
  <c r="T977" i="32"/>
  <c r="X878" i="11"/>
  <c r="T878" i="32"/>
  <c r="X831" i="11"/>
  <c r="T831" i="32"/>
  <c r="X903" i="11"/>
  <c r="AN903" i="10" s="1"/>
  <c r="T903" i="32"/>
  <c r="X911" i="11"/>
  <c r="AN911" i="10" s="1"/>
  <c r="T911" i="32"/>
  <c r="T898" i="10"/>
  <c r="T898" i="32"/>
  <c r="X914" i="11"/>
  <c r="AN914" i="10" s="1"/>
  <c r="T914" i="32"/>
  <c r="X827" i="11"/>
  <c r="AN827" i="10" s="1"/>
  <c r="T827" i="32"/>
  <c r="X847" i="11"/>
  <c r="T847" i="32"/>
  <c r="X833" i="11"/>
  <c r="T833" i="32"/>
  <c r="X801" i="11"/>
  <c r="AN801" i="10" s="1"/>
  <c r="T801" i="32"/>
  <c r="X976" i="11"/>
  <c r="AN976" i="10" s="1"/>
  <c r="T976" i="32"/>
  <c r="X940" i="11"/>
  <c r="AN940" i="10" s="1"/>
  <c r="T940" i="32"/>
  <c r="X918" i="11"/>
  <c r="AN918" i="10" s="1"/>
  <c r="T918" i="32"/>
  <c r="AT889" i="10"/>
  <c r="AT938" i="10"/>
  <c r="AT938" i="32"/>
  <c r="AT920" i="10"/>
  <c r="AT920" i="32"/>
  <c r="AN725" i="32"/>
  <c r="AV13" i="32"/>
  <c r="AO13" i="32"/>
  <c r="AS13" i="32"/>
  <c r="AV568" i="32"/>
  <c r="AO568" i="32"/>
  <c r="AS568" i="32"/>
  <c r="AT973" i="10"/>
  <c r="AT973" i="32"/>
  <c r="AT900" i="10"/>
  <c r="AT900" i="32"/>
  <c r="AT866" i="10"/>
  <c r="AT966" i="10"/>
  <c r="AT966" i="32"/>
  <c r="AT925" i="10"/>
  <c r="AT925" i="32"/>
  <c r="AT825" i="10"/>
  <c r="AT825" i="32"/>
  <c r="AT897" i="10"/>
  <c r="AT817" i="10"/>
  <c r="AT817" i="32"/>
  <c r="AT953" i="10"/>
  <c r="AT953" i="32"/>
  <c r="AT924" i="10"/>
  <c r="AT924" i="32"/>
  <c r="AT887" i="10"/>
  <c r="AT829" i="10"/>
  <c r="AT962" i="10"/>
  <c r="AT962" i="32"/>
  <c r="AT969" i="10"/>
  <c r="AT969" i="32"/>
  <c r="AT844" i="10"/>
  <c r="AT838" i="10"/>
  <c r="AT839" i="10"/>
  <c r="T889" i="10"/>
  <c r="T889" i="32"/>
  <c r="X938" i="11"/>
  <c r="AN938" i="10" s="1"/>
  <c r="T938" i="32"/>
  <c r="X920" i="11"/>
  <c r="AN920" i="10" s="1"/>
  <c r="T920" i="32"/>
  <c r="AN655" i="32"/>
  <c r="AS786" i="32"/>
  <c r="AV786" i="32"/>
  <c r="AO786" i="32"/>
  <c r="T973" i="10"/>
  <c r="AO973" i="10" s="1"/>
  <c r="T973" i="32"/>
  <c r="X900" i="11"/>
  <c r="AN900" i="10" s="1"/>
  <c r="T900" i="32"/>
  <c r="X866" i="11"/>
  <c r="T866" i="32"/>
  <c r="X966" i="11"/>
  <c r="AN966" i="10" s="1"/>
  <c r="T966" i="32"/>
  <c r="X925" i="11"/>
  <c r="AN925" i="10" s="1"/>
  <c r="T925" i="32"/>
  <c r="T825" i="10"/>
  <c r="AS825" i="10" s="1"/>
  <c r="T825" i="32"/>
  <c r="X897" i="11"/>
  <c r="AN897" i="10" s="1"/>
  <c r="T897" i="32"/>
  <c r="X817" i="11"/>
  <c r="AN817" i="10" s="1"/>
  <c r="T817" i="32"/>
  <c r="X953" i="11"/>
  <c r="AN953" i="10" s="1"/>
  <c r="T953" i="32"/>
  <c r="X924" i="11"/>
  <c r="AN924" i="10" s="1"/>
  <c r="T924" i="32"/>
  <c r="X887" i="11"/>
  <c r="T887" i="32"/>
  <c r="X829" i="11"/>
  <c r="T829" i="32"/>
  <c r="X962" i="11"/>
  <c r="AN962" i="10" s="1"/>
  <c r="T962" i="32"/>
  <c r="X969" i="11"/>
  <c r="AN969" i="10" s="1"/>
  <c r="T969" i="32"/>
  <c r="T844" i="10"/>
  <c r="T844" i="32"/>
  <c r="X838" i="11"/>
  <c r="T838" i="32"/>
  <c r="X839" i="11"/>
  <c r="T839" i="32"/>
  <c r="AT812" i="10"/>
  <c r="AT812" i="32"/>
  <c r="AT968" i="10"/>
  <c r="AT968" i="32"/>
  <c r="AT908" i="10"/>
  <c r="AT908" i="32"/>
  <c r="T548" i="10"/>
  <c r="AO548" i="10" s="1"/>
  <c r="T548" i="32"/>
  <c r="AV384" i="32"/>
  <c r="AO384" i="32"/>
  <c r="AS384" i="32"/>
  <c r="AT869" i="10"/>
  <c r="AT802" i="10"/>
  <c r="AT802" i="32"/>
  <c r="AT899" i="10"/>
  <c r="AT899" i="32"/>
  <c r="AT957" i="10"/>
  <c r="AT957" i="32"/>
  <c r="AT943" i="10"/>
  <c r="AT894" i="10"/>
  <c r="AT822" i="10"/>
  <c r="AT822" i="32"/>
  <c r="AT851" i="10"/>
  <c r="AT809" i="10"/>
  <c r="AT809" i="32"/>
  <c r="AT873" i="10"/>
  <c r="AT946" i="10"/>
  <c r="AT946" i="32"/>
  <c r="AT955" i="10"/>
  <c r="AT955" i="32"/>
  <c r="AT961" i="10"/>
  <c r="AT961" i="32"/>
  <c r="AT836" i="10"/>
  <c r="AT910" i="10"/>
  <c r="AT910" i="32"/>
  <c r="AT886" i="10"/>
  <c r="AT835" i="10"/>
  <c r="X812" i="11"/>
  <c r="AN812" i="10" s="1"/>
  <c r="T812" i="32"/>
  <c r="T968" i="10"/>
  <c r="AO968" i="10" s="1"/>
  <c r="T968" i="32"/>
  <c r="X908" i="11"/>
  <c r="AN908" i="10" s="1"/>
  <c r="T908" i="32"/>
  <c r="X869" i="11"/>
  <c r="T869" i="32"/>
  <c r="X802" i="11"/>
  <c r="T802" i="32"/>
  <c r="X899" i="11"/>
  <c r="AN899" i="10" s="1"/>
  <c r="T899" i="32"/>
  <c r="T957" i="10"/>
  <c r="AO957" i="10" s="1"/>
  <c r="T957" i="32"/>
  <c r="X943" i="11"/>
  <c r="AN943" i="10" s="1"/>
  <c r="T943" i="32"/>
  <c r="T894" i="10"/>
  <c r="T894" i="32"/>
  <c r="T822" i="10"/>
  <c r="AO822" i="10" s="1"/>
  <c r="T822" i="32"/>
  <c r="X851" i="11"/>
  <c r="T851" i="32"/>
  <c r="X809" i="11"/>
  <c r="T809" i="32"/>
  <c r="X873" i="11"/>
  <c r="T873" i="32"/>
  <c r="T946" i="10"/>
  <c r="AO946" i="10" s="1"/>
  <c r="T946" i="32"/>
  <c r="X955" i="11"/>
  <c r="AN955" i="10" s="1"/>
  <c r="T955" i="32"/>
  <c r="X961" i="11"/>
  <c r="AN961" i="10" s="1"/>
  <c r="T961" i="32"/>
  <c r="T836" i="10"/>
  <c r="T836" i="32"/>
  <c r="X910" i="11"/>
  <c r="AN910" i="10" s="1"/>
  <c r="T910" i="32"/>
  <c r="X886" i="11"/>
  <c r="T886" i="32"/>
  <c r="T835" i="10"/>
  <c r="T835" i="32"/>
  <c r="AT867" i="10"/>
  <c r="AT967" i="10"/>
  <c r="AT967" i="32"/>
  <c r="AT830" i="10"/>
  <c r="AN657" i="32"/>
  <c r="AO475" i="32"/>
  <c r="AS475" i="32"/>
  <c r="AV475" i="32"/>
  <c r="AS382" i="32"/>
  <c r="AV382" i="32"/>
  <c r="AO382" i="32"/>
  <c r="AT843" i="10"/>
  <c r="AT837" i="10"/>
  <c r="AT814" i="10"/>
  <c r="AT814" i="32"/>
  <c r="AT834" i="10"/>
  <c r="AT974" i="10"/>
  <c r="AT974" i="32"/>
  <c r="AT892" i="10"/>
  <c r="AT820" i="10"/>
  <c r="AT820" i="32"/>
  <c r="AT849" i="10"/>
  <c r="AT805" i="10"/>
  <c r="AT805" i="32"/>
  <c r="AT941" i="10"/>
  <c r="AT941" i="32"/>
  <c r="AT923" i="10"/>
  <c r="AT804" i="10"/>
  <c r="AT804" i="32"/>
  <c r="AT896" i="10"/>
  <c r="AT960" i="10"/>
  <c r="AT960" i="32"/>
  <c r="AT906" i="10"/>
  <c r="AT906" i="32"/>
  <c r="AT815" i="10"/>
  <c r="AT815" i="32"/>
  <c r="AT828" i="10"/>
  <c r="X867" i="11"/>
  <c r="T867" i="32"/>
  <c r="X967" i="11"/>
  <c r="AN967" i="10" s="1"/>
  <c r="T967" i="32"/>
  <c r="X830" i="11"/>
  <c r="T830" i="32"/>
  <c r="T843" i="10"/>
  <c r="T843" i="32"/>
  <c r="X837" i="11"/>
  <c r="T837" i="32"/>
  <c r="X814" i="11"/>
  <c r="AN814" i="10" s="1"/>
  <c r="T814" i="32"/>
  <c r="X834" i="11"/>
  <c r="T834" i="32"/>
  <c r="X974" i="11"/>
  <c r="AN974" i="10" s="1"/>
  <c r="T974" i="32"/>
  <c r="X892" i="11"/>
  <c r="T892" i="32"/>
  <c r="T820" i="10"/>
  <c r="AO820" i="10" s="1"/>
  <c r="T820" i="32"/>
  <c r="X849" i="11"/>
  <c r="T849" i="32"/>
  <c r="X805" i="11"/>
  <c r="AN805" i="10" s="1"/>
  <c r="T805" i="32"/>
  <c r="X941" i="11"/>
  <c r="AN941" i="10" s="1"/>
  <c r="T941" i="32"/>
  <c r="X923" i="11"/>
  <c r="AN923" i="10" s="1"/>
  <c r="T923" i="32"/>
  <c r="X804" i="11"/>
  <c r="AN804" i="10" s="1"/>
  <c r="T804" i="32"/>
  <c r="T896" i="10"/>
  <c r="T896" i="32"/>
  <c r="X960" i="11"/>
  <c r="AN960" i="10" s="1"/>
  <c r="T960" i="32"/>
  <c r="X906" i="11"/>
  <c r="AN906" i="10" s="1"/>
  <c r="T906" i="32"/>
  <c r="X815" i="11"/>
  <c r="AN815" i="10" s="1"/>
  <c r="T815" i="32"/>
  <c r="T828" i="10"/>
  <c r="T828" i="32"/>
  <c r="AT864" i="10"/>
  <c r="AT901" i="10"/>
  <c r="AT901" i="32"/>
  <c r="AT922" i="10"/>
  <c r="AT922" i="32"/>
  <c r="AO655" i="32"/>
  <c r="AS655" i="32"/>
  <c r="AV655" i="32"/>
  <c r="AT290" i="10"/>
  <c r="AT289" i="10"/>
  <c r="X52" i="11"/>
  <c r="AN52" i="10" s="1"/>
  <c r="X198" i="11"/>
  <c r="AN198" i="10" s="1"/>
  <c r="X56" i="11"/>
  <c r="AN56" i="10" s="1"/>
  <c r="X200" i="11"/>
  <c r="AN200" i="10" s="1"/>
  <c r="X97" i="11"/>
  <c r="AN97" i="10" s="1"/>
  <c r="X162" i="11"/>
  <c r="AN162" i="10" s="1"/>
  <c r="X66" i="11"/>
  <c r="AN66" i="10" s="1"/>
  <c r="X45" i="11"/>
  <c r="AN45" i="10" s="1"/>
  <c r="X55" i="11"/>
  <c r="AN55" i="10" s="1"/>
  <c r="X80" i="11"/>
  <c r="AN80" i="10" s="1"/>
  <c r="X35" i="11"/>
  <c r="AN35" i="10" s="1"/>
  <c r="X108" i="11"/>
  <c r="AN108" i="10" s="1"/>
  <c r="T700" i="10"/>
  <c r="AS700" i="10" s="1"/>
  <c r="X584" i="11"/>
  <c r="AN584" i="10" s="1"/>
  <c r="X729" i="11"/>
  <c r="AN729" i="10" s="1"/>
  <c r="X285" i="11"/>
  <c r="AN285" i="10" s="1"/>
  <c r="X456" i="11"/>
  <c r="AN456" i="10" s="1"/>
  <c r="T234" i="10"/>
  <c r="X675" i="11"/>
  <c r="AN675" i="10" s="1"/>
  <c r="X259" i="11"/>
  <c r="AN259" i="10" s="1"/>
  <c r="X464" i="11"/>
  <c r="AN464" i="10" s="1"/>
  <c r="T315" i="10"/>
  <c r="AS315" i="10" s="1"/>
  <c r="X455" i="11"/>
  <c r="AN455" i="10" s="1"/>
  <c r="AN643" i="10"/>
  <c r="X500" i="11"/>
  <c r="AN500" i="10" s="1"/>
  <c r="X508" i="11"/>
  <c r="AN508" i="10" s="1"/>
  <c r="X503" i="11"/>
  <c r="AN503" i="10" s="1"/>
  <c r="T652" i="10"/>
  <c r="AS652" i="10" s="1"/>
  <c r="X739" i="11"/>
  <c r="AN739" i="10" s="1"/>
  <c r="X228" i="11"/>
  <c r="AN228" i="10" s="1"/>
  <c r="X307" i="11"/>
  <c r="AN307" i="10" s="1"/>
  <c r="X389" i="11"/>
  <c r="AN389" i="10" s="1"/>
  <c r="X268" i="11"/>
  <c r="AN268" i="10" s="1"/>
  <c r="X393" i="11"/>
  <c r="AN393" i="10" s="1"/>
  <c r="X387" i="11"/>
  <c r="AN387" i="10" s="1"/>
  <c r="X682" i="11"/>
  <c r="AN682" i="10" s="1"/>
  <c r="T355" i="10"/>
  <c r="AO355" i="10" s="1"/>
  <c r="X327" i="11"/>
  <c r="AN327" i="10" s="1"/>
  <c r="X50" i="11"/>
  <c r="AN50" i="10" s="1"/>
  <c r="X153" i="11"/>
  <c r="AN153" i="10" s="1"/>
  <c r="X127" i="11"/>
  <c r="AN127" i="10" s="1"/>
  <c r="X34" i="11"/>
  <c r="AN34" i="10" s="1"/>
  <c r="X148" i="11"/>
  <c r="AN148" i="10" s="1"/>
  <c r="X103" i="11"/>
  <c r="AN103" i="10" s="1"/>
  <c r="X136" i="11"/>
  <c r="AN136" i="10" s="1"/>
  <c r="X76" i="11"/>
  <c r="AN76" i="10" s="1"/>
  <c r="X207" i="11"/>
  <c r="AN207" i="10" s="1"/>
  <c r="X23" i="11"/>
  <c r="AN23" i="10" s="1"/>
  <c r="X183" i="11"/>
  <c r="AN183" i="10" s="1"/>
  <c r="X195" i="11"/>
  <c r="AN195" i="10" s="1"/>
  <c r="X330" i="11"/>
  <c r="AN330" i="10" s="1"/>
  <c r="X641" i="11"/>
  <c r="AN641" i="10" s="1"/>
  <c r="X458" i="11"/>
  <c r="AN458" i="10" s="1"/>
  <c r="X633" i="11"/>
  <c r="AN633" i="10" s="1"/>
  <c r="X495" i="11"/>
  <c r="AN495" i="10" s="1"/>
  <c r="X342" i="11"/>
  <c r="AN342" i="10" s="1"/>
  <c r="X453" i="11"/>
  <c r="AN453" i="10" s="1"/>
  <c r="X616" i="11"/>
  <c r="AN616" i="10" s="1"/>
  <c r="X333" i="11"/>
  <c r="AN333" i="10" s="1"/>
  <c r="X589" i="11"/>
  <c r="AN589" i="10" s="1"/>
  <c r="T119" i="10"/>
  <c r="X472" i="11"/>
  <c r="AN472" i="10" s="1"/>
  <c r="X448" i="11"/>
  <c r="AN448" i="10" s="1"/>
  <c r="X566" i="11"/>
  <c r="AN566" i="10" s="1"/>
  <c r="X463" i="11"/>
  <c r="AN463" i="10" s="1"/>
  <c r="X498" i="11"/>
  <c r="AN498" i="10" s="1"/>
  <c r="X631" i="11"/>
  <c r="AN631" i="10" s="1"/>
  <c r="X667" i="11"/>
  <c r="AN667" i="10" s="1"/>
  <c r="X553" i="11"/>
  <c r="AN556" i="10"/>
  <c r="T324" i="10"/>
  <c r="X565" i="11"/>
  <c r="AN565" i="10" s="1"/>
  <c r="X248" i="11"/>
  <c r="AN248" i="10" s="1"/>
  <c r="X574" i="11"/>
  <c r="AN574" i="10" s="1"/>
  <c r="X302" i="11"/>
  <c r="AN302" i="10" s="1"/>
  <c r="X242" i="11"/>
  <c r="AN242" i="10" s="1"/>
  <c r="T485" i="10"/>
  <c r="AS485" i="10" s="1"/>
  <c r="T635" i="10"/>
  <c r="AO635" i="10" s="1"/>
  <c r="X618" i="11"/>
  <c r="AN618" i="10" s="1"/>
  <c r="X482" i="11"/>
  <c r="AN482" i="10" s="1"/>
  <c r="X151" i="11"/>
  <c r="AN151" i="10" s="1"/>
  <c r="X19" i="11"/>
  <c r="AN19" i="10" s="1"/>
  <c r="X161" i="11"/>
  <c r="AN161" i="10" s="1"/>
  <c r="X182" i="11"/>
  <c r="AN182" i="10" s="1"/>
  <c r="X194" i="11"/>
  <c r="AN194" i="10" s="1"/>
  <c r="X203" i="11"/>
  <c r="AN203" i="10" s="1"/>
  <c r="X100" i="11"/>
  <c r="AN100" i="10" s="1"/>
  <c r="X212" i="11"/>
  <c r="AN212" i="10" s="1"/>
  <c r="X49" i="11"/>
  <c r="AN49" i="10" s="1"/>
  <c r="X106" i="11"/>
  <c r="AN106" i="10" s="1"/>
  <c r="X75" i="11"/>
  <c r="AN75" i="10" s="1"/>
  <c r="X191" i="11"/>
  <c r="AN191" i="10" s="1"/>
  <c r="X567" i="11"/>
  <c r="AN567" i="10" s="1"/>
  <c r="X733" i="11"/>
  <c r="AN733" i="10" s="1"/>
  <c r="T668" i="10"/>
  <c r="X743" i="11"/>
  <c r="AN743" i="10" s="1"/>
  <c r="X232" i="11"/>
  <c r="X354" i="11"/>
  <c r="AN354" i="10" s="1"/>
  <c r="X607" i="11"/>
  <c r="AN607" i="10" s="1"/>
  <c r="X350" i="11"/>
  <c r="AN350" i="10" s="1"/>
  <c r="X435" i="11"/>
  <c r="AN435" i="10" s="1"/>
  <c r="T513" i="10"/>
  <c r="AS513" i="10" s="1"/>
  <c r="X539" i="11"/>
  <c r="AN539" i="10" s="1"/>
  <c r="T722" i="10"/>
  <c r="X226" i="11"/>
  <c r="AN226" i="10" s="1"/>
  <c r="X227" i="11"/>
  <c r="AN227" i="10" s="1"/>
  <c r="X713" i="11"/>
  <c r="AN713" i="10" s="1"/>
  <c r="X626" i="11"/>
  <c r="AN626" i="10" s="1"/>
  <c r="X653" i="11"/>
  <c r="AN653" i="10" s="1"/>
  <c r="X770" i="11"/>
  <c r="AN770" i="10" s="1"/>
  <c r="X265" i="11"/>
  <c r="AN265" i="10" s="1"/>
  <c r="X400" i="11"/>
  <c r="AN400" i="10" s="1"/>
  <c r="X763" i="11"/>
  <c r="AN763" i="10" s="1"/>
  <c r="X423" i="11"/>
  <c r="AN423" i="10" s="1"/>
  <c r="T638" i="10"/>
  <c r="T502" i="10"/>
  <c r="AO502" i="10" s="1"/>
  <c r="X702" i="11"/>
  <c r="AN702" i="10" s="1"/>
  <c r="X744" i="11"/>
  <c r="AN744" i="10" s="1"/>
  <c r="X251" i="11"/>
  <c r="AN251" i="10" s="1"/>
  <c r="X514" i="11"/>
  <c r="AN514" i="10" s="1"/>
  <c r="X549" i="11"/>
  <c r="AN549" i="10" s="1"/>
  <c r="T360" i="10"/>
  <c r="AS360" i="10" s="1"/>
  <c r="X392" i="11"/>
  <c r="AN392" i="10" s="1"/>
  <c r="X269" i="11"/>
  <c r="AN269" i="10" s="1"/>
  <c r="X416" i="11"/>
  <c r="AN416" i="10" s="1"/>
  <c r="X772" i="11"/>
  <c r="AN772" i="10" s="1"/>
  <c r="X241" i="11"/>
  <c r="AN241" i="10" s="1"/>
  <c r="X149" i="11"/>
  <c r="AN149" i="10" s="1"/>
  <c r="X173" i="11"/>
  <c r="AN173" i="10" s="1"/>
  <c r="X99" i="11"/>
  <c r="AN99" i="10" s="1"/>
  <c r="X33" i="11"/>
  <c r="AN33" i="10" s="1"/>
  <c r="AN39" i="10"/>
  <c r="X95" i="11"/>
  <c r="AN95" i="10" s="1"/>
  <c r="X17" i="11"/>
  <c r="AN17" i="10" s="1"/>
  <c r="X176" i="11"/>
  <c r="AN176" i="10" s="1"/>
  <c r="X201" i="11"/>
  <c r="AN201" i="10" s="1"/>
  <c r="X146" i="11"/>
  <c r="AN146" i="10" s="1"/>
  <c r="X73" i="11"/>
  <c r="AN73" i="10" s="1"/>
  <c r="X178" i="11"/>
  <c r="AN178" i="10" s="1"/>
  <c r="X678" i="11"/>
  <c r="AN678" i="10" s="1"/>
  <c r="X283" i="11"/>
  <c r="AN283" i="10" s="1"/>
  <c r="X612" i="11"/>
  <c r="AN612" i="10" s="1"/>
  <c r="X425" i="11"/>
  <c r="AN425" i="10" s="1"/>
  <c r="X717" i="11"/>
  <c r="AN717" i="10" s="1"/>
  <c r="X441" i="11"/>
  <c r="AN441" i="10" s="1"/>
  <c r="X237" i="11"/>
  <c r="AN237" i="10" s="1"/>
  <c r="X629" i="11"/>
  <c r="AN629" i="10" s="1"/>
  <c r="T761" i="10"/>
  <c r="AO761" i="10" s="1"/>
  <c r="T752" i="10"/>
  <c r="AO752" i="10" s="1"/>
  <c r="X325" i="11"/>
  <c r="AN325" i="10" s="1"/>
  <c r="X619" i="11"/>
  <c r="AN619" i="10" s="1"/>
  <c r="X433" i="11"/>
  <c r="AN433" i="10" s="1"/>
  <c r="X614" i="11"/>
  <c r="AN614" i="10" s="1"/>
  <c r="X636" i="11"/>
  <c r="AN636" i="10" s="1"/>
  <c r="X578" i="11"/>
  <c r="AN578" i="10" s="1"/>
  <c r="X749" i="11"/>
  <c r="X600" i="11"/>
  <c r="AN600" i="10" s="1"/>
  <c r="X572" i="11"/>
  <c r="AN572" i="10" s="1"/>
  <c r="X235" i="11"/>
  <c r="AN235" i="10" s="1"/>
  <c r="X524" i="11"/>
  <c r="AN524" i="10" s="1"/>
  <c r="X468" i="11"/>
  <c r="AN468" i="10" s="1"/>
  <c r="X317" i="11"/>
  <c r="AN317" i="10" s="1"/>
  <c r="X272" i="11"/>
  <c r="AN272" i="10" s="1"/>
  <c r="X444" i="11"/>
  <c r="AN444" i="10" s="1"/>
  <c r="X621" i="11"/>
  <c r="AN621" i="10" s="1"/>
  <c r="X229" i="11"/>
  <c r="AN229" i="10" s="1"/>
  <c r="X628" i="11"/>
  <c r="AN628" i="10" s="1"/>
  <c r="X197" i="11"/>
  <c r="AN197" i="10" s="1"/>
  <c r="X63" i="11"/>
  <c r="AN63" i="10" s="1"/>
  <c r="X87" i="11"/>
  <c r="AN87" i="10" s="1"/>
  <c r="X184" i="11"/>
  <c r="AN184" i="10" s="1"/>
  <c r="X141" i="11"/>
  <c r="AN141" i="10" s="1"/>
  <c r="X196" i="11"/>
  <c r="AN196" i="10" s="1"/>
  <c r="X58" i="11"/>
  <c r="AN58" i="10" s="1"/>
  <c r="X96" i="11"/>
  <c r="AN96" i="10" s="1"/>
  <c r="X152" i="11"/>
  <c r="AN152" i="10" s="1"/>
  <c r="X118" i="11"/>
  <c r="AN118" i="10" s="1"/>
  <c r="X24" i="11"/>
  <c r="AN24" i="10" s="1"/>
  <c r="X21" i="11"/>
  <c r="AN21" i="10" s="1"/>
  <c r="X693" i="11"/>
  <c r="AN693" i="10" s="1"/>
  <c r="T364" i="10"/>
  <c r="AV364" i="10" s="1"/>
  <c r="X780" i="11"/>
  <c r="AN780" i="10" s="1"/>
  <c r="X346" i="11"/>
  <c r="AN346" i="10" s="1"/>
  <c r="X552" i="11"/>
  <c r="AN552" i="10" s="1"/>
  <c r="X731" i="11"/>
  <c r="AN731" i="10" s="1"/>
  <c r="X510" i="11"/>
  <c r="AN510" i="10" s="1"/>
  <c r="X258" i="11"/>
  <c r="AN258" i="10" s="1"/>
  <c r="X562" i="11"/>
  <c r="AN562" i="10" s="1"/>
  <c r="X606" i="11"/>
  <c r="AN606" i="10" s="1"/>
  <c r="X451" i="11"/>
  <c r="AN451" i="10" s="1"/>
  <c r="X305" i="11"/>
  <c r="AN305" i="10" s="1"/>
  <c r="X353" i="11"/>
  <c r="AN353" i="10" s="1"/>
  <c r="T375" i="10"/>
  <c r="AO375" i="10" s="1"/>
  <c r="X483" i="11"/>
  <c r="AN483" i="10" s="1"/>
  <c r="X676" i="11"/>
  <c r="AN676" i="10" s="1"/>
  <c r="X688" i="11"/>
  <c r="AN688" i="10" s="1"/>
  <c r="X398" i="11"/>
  <c r="AN398" i="10" s="1"/>
  <c r="X246" i="11"/>
  <c r="AN246" i="10" s="1"/>
  <c r="X488" i="11"/>
  <c r="AN488" i="10" s="1"/>
  <c r="X340" i="11"/>
  <c r="AN340" i="10" s="1"/>
  <c r="X357" i="11"/>
  <c r="AN357" i="10" s="1"/>
  <c r="X575" i="11"/>
  <c r="AN575" i="10" s="1"/>
  <c r="X287" i="11"/>
  <c r="AN287" i="10" s="1"/>
  <c r="X499" i="11"/>
  <c r="AN499" i="10" s="1"/>
  <c r="T569" i="10"/>
  <c r="AS569" i="10" s="1"/>
  <c r="X640" i="11"/>
  <c r="AN640" i="10" s="1"/>
  <c r="X697" i="11"/>
  <c r="AN697" i="10" s="1"/>
  <c r="X740" i="11"/>
  <c r="AN740" i="10" s="1"/>
  <c r="X520" i="11"/>
  <c r="AN520" i="10" s="1"/>
  <c r="X40" i="11"/>
  <c r="AN40" i="10" s="1"/>
  <c r="X59" i="11"/>
  <c r="AN59" i="10" s="1"/>
  <c r="X202" i="11"/>
  <c r="AN202" i="10" s="1"/>
  <c r="X125" i="11"/>
  <c r="AN125" i="10" s="1"/>
  <c r="X131" i="11"/>
  <c r="AN131" i="10" s="1"/>
  <c r="X88" i="11"/>
  <c r="AN88" i="10" s="1"/>
  <c r="X105" i="11"/>
  <c r="AN105" i="10" s="1"/>
  <c r="X16" i="11"/>
  <c r="AN16" i="10" s="1"/>
  <c r="X150" i="11"/>
  <c r="AN150" i="10" s="1"/>
  <c r="X27" i="11"/>
  <c r="AN27" i="10" s="1"/>
  <c r="X214" i="11"/>
  <c r="AN214" i="10" s="1"/>
  <c r="X143" i="11"/>
  <c r="AN143" i="10" s="1"/>
  <c r="X617" i="11"/>
  <c r="AN617" i="10" s="1"/>
  <c r="X319" i="11"/>
  <c r="AN319" i="10" s="1"/>
  <c r="X304" i="11"/>
  <c r="AN304" i="10" s="1"/>
  <c r="X344" i="11"/>
  <c r="AN344" i="10" s="1"/>
  <c r="X646" i="11"/>
  <c r="AN646" i="10" s="1"/>
  <c r="X309" i="11"/>
  <c r="AN309" i="10" s="1"/>
  <c r="X361" i="11"/>
  <c r="AN361" i="10" s="1"/>
  <c r="X605" i="11"/>
  <c r="AN605" i="10" s="1"/>
  <c r="X446" i="11"/>
  <c r="AN446" i="10" s="1"/>
  <c r="X580" i="11"/>
  <c r="AN580" i="10" s="1"/>
  <c r="T715" i="10"/>
  <c r="T318" i="10"/>
  <c r="AS318" i="10" s="1"/>
  <c r="X547" i="11"/>
  <c r="AN547" i="10" s="1"/>
  <c r="T405" i="10"/>
  <c r="X267" i="11"/>
  <c r="AN267" i="10" s="1"/>
  <c r="T165" i="10"/>
  <c r="X527" i="11"/>
  <c r="AN527" i="10" s="1"/>
  <c r="T741" i="10"/>
  <c r="X273" i="11"/>
  <c r="AN273" i="10" s="1"/>
  <c r="X516" i="11"/>
  <c r="AN516" i="10" s="1"/>
  <c r="T410" i="10"/>
  <c r="T585" i="10"/>
  <c r="X142" i="11"/>
  <c r="AN142" i="10" s="1"/>
  <c r="X104" i="11"/>
  <c r="AN104" i="10" s="1"/>
  <c r="X128" i="11"/>
  <c r="AN128" i="10" s="1"/>
  <c r="X41" i="11"/>
  <c r="AN41" i="10" s="1"/>
  <c r="X163" i="11"/>
  <c r="AN163" i="10" s="1"/>
  <c r="X144" i="11"/>
  <c r="AN144" i="10" s="1"/>
  <c r="X208" i="11"/>
  <c r="AN208" i="10" s="1"/>
  <c r="X170" i="11"/>
  <c r="AN170" i="10" s="1"/>
  <c r="X192" i="11"/>
  <c r="AN192" i="10" s="1"/>
  <c r="X177" i="11"/>
  <c r="AN177" i="10" s="1"/>
  <c r="X107" i="11"/>
  <c r="AN107" i="10" s="1"/>
  <c r="X189" i="11"/>
  <c r="AN189" i="10" s="1"/>
  <c r="X525" i="11"/>
  <c r="AN525" i="10" s="1"/>
  <c r="X415" i="11"/>
  <c r="AN415" i="10" s="1"/>
  <c r="X349" i="11"/>
  <c r="AN349" i="10" s="1"/>
  <c r="X703" i="11"/>
  <c r="AN703" i="10" s="1"/>
  <c r="X719" i="11"/>
  <c r="AN719" i="10" s="1"/>
  <c r="X250" i="11"/>
  <c r="AN250" i="10" s="1"/>
  <c r="X490" i="11"/>
  <c r="AN490" i="10" s="1"/>
  <c r="X359" i="11"/>
  <c r="AN359" i="10" s="1"/>
  <c r="X530" i="11"/>
  <c r="AN530" i="10" s="1"/>
  <c r="T408" i="10"/>
  <c r="AV408" i="10" s="1"/>
  <c r="X339" i="11"/>
  <c r="AN339" i="10" s="1"/>
  <c r="T704" i="10"/>
  <c r="X771" i="11"/>
  <c r="AN771" i="10" s="1"/>
  <c r="X266" i="11"/>
  <c r="AN266" i="10" s="1"/>
  <c r="X367" i="11"/>
  <c r="AN367" i="10" s="1"/>
  <c r="X245" i="11"/>
  <c r="AN245" i="10" s="1"/>
  <c r="X282" i="11"/>
  <c r="AN282" i="10" s="1"/>
  <c r="X595" i="11"/>
  <c r="AN595" i="10" s="1"/>
  <c r="X689" i="11"/>
  <c r="AN689" i="10" s="1"/>
  <c r="X766" i="11"/>
  <c r="AN766" i="10" s="1"/>
  <c r="X280" i="11"/>
  <c r="AN280" i="10" s="1"/>
  <c r="T374" i="10"/>
  <c r="X469" i="11"/>
  <c r="AN469" i="10" s="1"/>
  <c r="X332" i="11"/>
  <c r="AN332" i="10" s="1"/>
  <c r="X579" i="11"/>
  <c r="AN579" i="10" s="1"/>
  <c r="X497" i="11"/>
  <c r="AN497" i="10" s="1"/>
  <c r="X698" i="11"/>
  <c r="AN698" i="10" s="1"/>
  <c r="X716" i="11"/>
  <c r="AN716" i="10" s="1"/>
  <c r="X281" i="11"/>
  <c r="AN281" i="10" s="1"/>
  <c r="X651" i="11"/>
  <c r="AN651" i="10" s="1"/>
  <c r="X413" i="11"/>
  <c r="AN413" i="10" s="1"/>
  <c r="X707" i="11"/>
  <c r="AN707" i="10" s="1"/>
  <c r="X230" i="11"/>
  <c r="AN230" i="10" s="1"/>
  <c r="T358" i="10"/>
  <c r="X590" i="11"/>
  <c r="AN590" i="10" s="1"/>
  <c r="X783" i="11"/>
  <c r="AN783" i="10" s="1"/>
  <c r="T577" i="10"/>
  <c r="AS577" i="10" s="1"/>
  <c r="X421" i="11"/>
  <c r="AN421" i="10" s="1"/>
  <c r="X236" i="11"/>
  <c r="AN236" i="10" s="1"/>
  <c r="X133" i="11"/>
  <c r="AN133" i="10" s="1"/>
  <c r="X204" i="11"/>
  <c r="AN204" i="10" s="1"/>
  <c r="X123" i="11"/>
  <c r="AN123" i="10" s="1"/>
  <c r="X72" i="11"/>
  <c r="AN72" i="10" s="1"/>
  <c r="X53" i="11"/>
  <c r="AN53" i="10" s="1"/>
  <c r="X185" i="11"/>
  <c r="AN185" i="10" s="1"/>
  <c r="X101" i="11"/>
  <c r="AN101" i="10" s="1"/>
  <c r="X215" i="11"/>
  <c r="AN215" i="10" s="1"/>
  <c r="X86" i="11"/>
  <c r="AN86" i="10" s="1"/>
  <c r="X68" i="11"/>
  <c r="AN68" i="10" s="1"/>
  <c r="X32" i="11"/>
  <c r="AN32" i="10" s="1"/>
  <c r="X311" i="11"/>
  <c r="AN311" i="10" s="1"/>
  <c r="X711" i="11"/>
  <c r="AN711" i="10" s="1"/>
  <c r="X233" i="11"/>
  <c r="AN233" i="10" s="1"/>
  <c r="X545" i="11"/>
  <c r="AN545" i="10" s="1"/>
  <c r="X224" i="11"/>
  <c r="AN224" i="10" s="1"/>
  <c r="X459" i="11"/>
  <c r="AN459" i="10" s="1"/>
  <c r="X299" i="11"/>
  <c r="AN299" i="10" s="1"/>
  <c r="X654" i="11"/>
  <c r="AN654" i="10" s="1"/>
  <c r="X645" i="11"/>
  <c r="AN645" i="10" s="1"/>
  <c r="X776" i="11"/>
  <c r="AN776" i="10" s="1"/>
  <c r="T529" i="10"/>
  <c r="X523" i="11"/>
  <c r="AN523" i="10" s="1"/>
  <c r="T588" i="10"/>
  <c r="X466" i="11"/>
  <c r="AN466" i="10" s="1"/>
  <c r="X587" i="11"/>
  <c r="AN587" i="10" s="1"/>
  <c r="T670" i="10"/>
  <c r="X745" i="11"/>
  <c r="AN745" i="10" s="1"/>
  <c r="X296" i="11"/>
  <c r="AN296" i="10" s="1"/>
  <c r="X356" i="11"/>
  <c r="AN356" i="10" s="1"/>
  <c r="X519" i="11"/>
  <c r="AN519" i="10" s="1"/>
  <c r="X774" i="11"/>
  <c r="AN774" i="10" s="1"/>
  <c r="X534" i="11"/>
  <c r="AN534" i="10" s="1"/>
  <c r="X428" i="11"/>
  <c r="AN428" i="10" s="1"/>
  <c r="X509" i="11"/>
  <c r="AN509" i="10" s="1"/>
  <c r="T372" i="10"/>
  <c r="X278" i="11"/>
  <c r="AN278" i="10" s="1"/>
  <c r="X449" i="11"/>
  <c r="AN449" i="10" s="1"/>
  <c r="X696" i="11"/>
  <c r="AN696" i="10" s="1"/>
  <c r="X442" i="11"/>
  <c r="AN442" i="10" s="1"/>
  <c r="X625" i="11"/>
  <c r="AN625" i="10" s="1"/>
  <c r="X779" i="11"/>
  <c r="AN779" i="10" s="1"/>
  <c r="X243" i="11"/>
  <c r="AN243" i="10" s="1"/>
  <c r="X132" i="11"/>
  <c r="AN132" i="10" s="1"/>
  <c r="X155" i="11"/>
  <c r="AN155" i="10" s="1"/>
  <c r="X158" i="11"/>
  <c r="AN158" i="10" s="1"/>
  <c r="X156" i="11"/>
  <c r="AN156" i="10" s="1"/>
  <c r="X48" i="11"/>
  <c r="AN48" i="10" s="1"/>
  <c r="X30" i="11"/>
  <c r="AN30" i="10" s="1"/>
  <c r="X90" i="11"/>
  <c r="AN90" i="10" s="1"/>
  <c r="X138" i="11"/>
  <c r="AN138" i="10" s="1"/>
  <c r="X28" i="11"/>
  <c r="AN28" i="10" s="1"/>
  <c r="X65" i="11"/>
  <c r="AN65" i="10" s="1"/>
  <c r="X98" i="11"/>
  <c r="AN98" i="10" s="1"/>
  <c r="X334" i="11"/>
  <c r="AN334" i="10" s="1"/>
  <c r="X757" i="11"/>
  <c r="AN757" i="10" s="1"/>
  <c r="X561" i="11"/>
  <c r="AN561" i="10" s="1"/>
  <c r="X473" i="11"/>
  <c r="AN473" i="10" s="1"/>
  <c r="X639" i="11"/>
  <c r="AN639" i="10" s="1"/>
  <c r="X680" i="11"/>
  <c r="AN680" i="10" s="1"/>
  <c r="X462" i="11"/>
  <c r="AN462" i="10" s="1"/>
  <c r="X439" i="11"/>
  <c r="AN439" i="10" s="1"/>
  <c r="X685" i="11"/>
  <c r="AN685" i="10" s="1"/>
  <c r="X231" i="11"/>
  <c r="X532" i="11"/>
  <c r="AN532" i="10" s="1"/>
  <c r="X517" i="11"/>
  <c r="AN517" i="10" s="1"/>
  <c r="X537" i="11"/>
  <c r="AN537" i="10" s="1"/>
  <c r="X321" i="11"/>
  <c r="AN321" i="10" s="1"/>
  <c r="X467" i="11"/>
  <c r="AN467" i="10" s="1"/>
  <c r="X540" i="11"/>
  <c r="AN540" i="10" s="1"/>
  <c r="X313" i="11"/>
  <c r="AN313" i="10" s="1"/>
  <c r="X732" i="11"/>
  <c r="AN732" i="10" s="1"/>
  <c r="X708" i="11"/>
  <c r="AN708" i="10" s="1"/>
  <c r="X239" i="11"/>
  <c r="AN239" i="10" s="1"/>
  <c r="X295" i="11"/>
  <c r="AN295" i="10" s="1"/>
  <c r="X582" i="11"/>
  <c r="AN582" i="10" s="1"/>
  <c r="X781" i="11"/>
  <c r="AN781" i="10" s="1"/>
  <c r="X666" i="11"/>
  <c r="AN666" i="10" s="1"/>
  <c r="X450" i="11"/>
  <c r="AN450" i="10" s="1"/>
  <c r="X276" i="11"/>
  <c r="AN276" i="10" s="1"/>
  <c r="X430" i="11"/>
  <c r="AN430" i="10" s="1"/>
  <c r="X496" i="11"/>
  <c r="AN496" i="10" s="1"/>
  <c r="X303" i="11"/>
  <c r="AN303" i="10" s="1"/>
  <c r="X343" i="11"/>
  <c r="AN343" i="10" s="1"/>
  <c r="X412" i="11"/>
  <c r="AN412" i="10" s="1"/>
  <c r="X782" i="11"/>
  <c r="AN782" i="10" s="1"/>
  <c r="X531" i="11"/>
  <c r="AN531" i="10" s="1"/>
  <c r="X440" i="11"/>
  <c r="AN440" i="10" s="1"/>
  <c r="T437" i="10"/>
  <c r="X110" i="11"/>
  <c r="AN110" i="10" s="1"/>
  <c r="X43" i="11"/>
  <c r="AN43" i="10" s="1"/>
  <c r="X92" i="11"/>
  <c r="AN92" i="10" s="1"/>
  <c r="X130" i="11"/>
  <c r="AN130" i="10" s="1"/>
  <c r="X77" i="11"/>
  <c r="AN77" i="10" s="1"/>
  <c r="X190" i="11"/>
  <c r="AN190" i="10" s="1"/>
  <c r="X47" i="11"/>
  <c r="AN47" i="10" s="1"/>
  <c r="X181" i="11"/>
  <c r="AN181" i="10" s="1"/>
  <c r="X60" i="11"/>
  <c r="AN60" i="10" s="1"/>
  <c r="X46" i="11"/>
  <c r="AN46" i="10" s="1"/>
  <c r="X427" i="11"/>
  <c r="AN427" i="10" s="1"/>
  <c r="X366" i="11"/>
  <c r="AN366" i="10" s="1"/>
  <c r="X452" i="11"/>
  <c r="AN452" i="10" s="1"/>
  <c r="X673" i="11"/>
  <c r="AN673" i="10" s="1"/>
  <c r="X326" i="11"/>
  <c r="AN326" i="10" s="1"/>
  <c r="X560" i="11"/>
  <c r="AN560" i="10" s="1"/>
  <c r="X555" i="11"/>
  <c r="AN555" i="10" s="1"/>
  <c r="X694" i="11"/>
  <c r="AN694" i="10" s="1"/>
  <c r="X420" i="11"/>
  <c r="AN420" i="10" s="1"/>
  <c r="X777" i="11"/>
  <c r="AN777" i="10" s="1"/>
  <c r="X406" i="11"/>
  <c r="AN406" i="10" s="1"/>
  <c r="X373" i="11"/>
  <c r="AN373" i="10" s="1"/>
  <c r="X419" i="11"/>
  <c r="AN419" i="10" s="1"/>
  <c r="X627" i="11"/>
  <c r="AN627" i="10" s="1"/>
  <c r="X445" i="11"/>
  <c r="AN445" i="10" s="1"/>
  <c r="X254" i="11"/>
  <c r="AN254" i="10" s="1"/>
  <c r="T378" i="10"/>
  <c r="X769" i="11"/>
  <c r="AN769" i="10" s="1"/>
  <c r="X271" i="11"/>
  <c r="AN271" i="10" s="1"/>
  <c r="X380" i="11"/>
  <c r="AN380" i="10" s="1"/>
  <c r="T630" i="10"/>
  <c r="X122" i="11"/>
  <c r="AN122" i="10" s="1"/>
  <c r="X91" i="11"/>
  <c r="AN91" i="10" s="1"/>
  <c r="X171" i="11"/>
  <c r="AN171" i="10" s="1"/>
  <c r="X94" i="11"/>
  <c r="AN94" i="10" s="1"/>
  <c r="X102" i="11"/>
  <c r="AN102" i="10" s="1"/>
  <c r="X79" i="11"/>
  <c r="AN79" i="10" s="1"/>
  <c r="X78" i="11"/>
  <c r="AN78" i="10" s="1"/>
  <c r="X179" i="11"/>
  <c r="AN179" i="10" s="1"/>
  <c r="X160" i="11"/>
  <c r="AN160" i="10" s="1"/>
  <c r="X93" i="11"/>
  <c r="AN93" i="10" s="1"/>
  <c r="X322" i="11"/>
  <c r="AN322" i="10" s="1"/>
  <c r="X550" i="11"/>
  <c r="AN550" i="10" s="1"/>
  <c r="X647" i="11"/>
  <c r="AN647" i="10" s="1"/>
  <c r="X546" i="11"/>
  <c r="AN546" i="10" s="1"/>
  <c r="X756" i="11"/>
  <c r="AN756" i="10" s="1"/>
  <c r="X674" i="11"/>
  <c r="AN674" i="10" s="1"/>
  <c r="X260" i="11"/>
  <c r="AN260" i="10" s="1"/>
  <c r="X554" i="11"/>
  <c r="AN554" i="10" s="1"/>
  <c r="X597" i="11"/>
  <c r="AN597" i="10" s="1"/>
  <c r="X297" i="11"/>
  <c r="AN297" i="10" s="1"/>
  <c r="X504" i="11"/>
  <c r="AN504" i="10" s="1"/>
  <c r="X426" i="11"/>
  <c r="AN426" i="10" s="1"/>
  <c r="X576" i="11"/>
  <c r="AN576" i="10" s="1"/>
  <c r="X300" i="11"/>
  <c r="AN300" i="10" s="1"/>
  <c r="X679" i="11"/>
  <c r="AN679" i="10" s="1"/>
  <c r="X751" i="11"/>
  <c r="AN751" i="10" s="1"/>
  <c r="X767" i="11"/>
  <c r="AN767" i="10" s="1"/>
  <c r="X279" i="11"/>
  <c r="AN279" i="10" s="1"/>
  <c r="X308" i="11"/>
  <c r="AN308" i="10" s="1"/>
  <c r="X692" i="11"/>
  <c r="AN692" i="10" s="1"/>
  <c r="X765" i="11"/>
  <c r="AN765" i="10" s="1"/>
  <c r="X709" i="11"/>
  <c r="AN709" i="10" s="1"/>
  <c r="X240" i="11"/>
  <c r="AN240" i="10" s="1"/>
  <c r="X377" i="11"/>
  <c r="AN377" i="10" s="1"/>
  <c r="X471" i="11"/>
  <c r="AN471" i="10" s="1"/>
  <c r="X623" i="11"/>
  <c r="AN623" i="10" s="1"/>
  <c r="X460" i="11"/>
  <c r="AN460" i="10" s="1"/>
  <c r="T538" i="10"/>
  <c r="X542" i="11"/>
  <c r="AN542" i="10" s="1"/>
  <c r="X690" i="11"/>
  <c r="AN690" i="10" s="1"/>
  <c r="X712" i="11"/>
  <c r="AN712" i="10" s="1"/>
  <c r="X223" i="11"/>
  <c r="AN223" i="10" s="1"/>
  <c r="T714" i="10"/>
  <c r="X526" i="11"/>
  <c r="AN526" i="10" s="1"/>
  <c r="T411" i="10"/>
  <c r="T687" i="10"/>
  <c r="X244" i="11"/>
  <c r="AN244" i="10" s="1"/>
  <c r="X591" i="11"/>
  <c r="AN591" i="10" s="1"/>
  <c r="X172" i="11"/>
  <c r="AN172" i="10" s="1"/>
  <c r="X145" i="11"/>
  <c r="AN145" i="10" s="1"/>
  <c r="X137" i="11"/>
  <c r="AN137" i="10" s="1"/>
  <c r="X168" i="11"/>
  <c r="AN168" i="10" s="1"/>
  <c r="X139" i="11"/>
  <c r="AN139" i="10" s="1"/>
  <c r="X205" i="11"/>
  <c r="AN205" i="10" s="1"/>
  <c r="X186" i="11"/>
  <c r="AN186" i="10" s="1"/>
  <c r="X134" i="11"/>
  <c r="AN134" i="10" s="1"/>
  <c r="X124" i="11"/>
  <c r="AN124" i="10" s="1"/>
  <c r="X154" i="11"/>
  <c r="AN154" i="10" s="1"/>
  <c r="X147" i="11"/>
  <c r="AN147" i="10" s="1"/>
  <c r="X262" i="11"/>
  <c r="AN262" i="10" s="1"/>
  <c r="X533" i="11"/>
  <c r="AN533" i="10" s="1"/>
  <c r="T465" i="10"/>
  <c r="X701" i="11"/>
  <c r="AN701" i="10" s="1"/>
  <c r="X388" i="11"/>
  <c r="AN388" i="10" s="1"/>
  <c r="T620" i="10"/>
  <c r="X432" i="11"/>
  <c r="AN432" i="10" s="1"/>
  <c r="X397" i="11"/>
  <c r="AN397" i="10" s="1"/>
  <c r="X507" i="11"/>
  <c r="AN507" i="10" s="1"/>
  <c r="T316" i="10"/>
  <c r="X613" i="11"/>
  <c r="AN613" i="10" s="1"/>
  <c r="X721" i="11"/>
  <c r="AN721" i="10" s="1"/>
  <c r="X414" i="11"/>
  <c r="AN414" i="10" s="1"/>
  <c r="X634" i="11"/>
  <c r="AN634" i="10" s="1"/>
  <c r="X738" i="11"/>
  <c r="AN738" i="10" s="1"/>
  <c r="X323" i="11"/>
  <c r="AN323" i="10" s="1"/>
  <c r="X521" i="11"/>
  <c r="AN521" i="10" s="1"/>
  <c r="T570" i="10"/>
  <c r="X447" i="11"/>
  <c r="AN447" i="10" s="1"/>
  <c r="X758" i="11"/>
  <c r="AN758" i="10" s="1"/>
  <c r="X773" i="11"/>
  <c r="AN773" i="10" s="1"/>
  <c r="X596" i="11"/>
  <c r="AN596" i="10" s="1"/>
  <c r="T737" i="10"/>
  <c r="X515" i="11"/>
  <c r="AN515" i="10" s="1"/>
  <c r="X369" i="11"/>
  <c r="AN369" i="10" s="1"/>
  <c r="X454" i="11"/>
  <c r="AN454" i="10" s="1"/>
  <c r="X573" i="11"/>
  <c r="AN573" i="10" s="1"/>
  <c r="X253" i="11"/>
  <c r="AN253" i="10" s="1"/>
  <c r="T347" i="10"/>
  <c r="X301" i="11"/>
  <c r="AN301" i="10" s="1"/>
  <c r="X306" i="11"/>
  <c r="AN306" i="10" s="1"/>
  <c r="T720" i="10"/>
  <c r="X31" i="11"/>
  <c r="AN31" i="10" s="1"/>
  <c r="X89" i="11"/>
  <c r="AN89" i="10" s="1"/>
  <c r="X157" i="11"/>
  <c r="AN157" i="10" s="1"/>
  <c r="X164" i="11"/>
  <c r="AN164" i="10" s="1"/>
  <c r="X85" i="11"/>
  <c r="AN85" i="10" s="1"/>
  <c r="X37" i="11"/>
  <c r="AN37" i="10" s="1"/>
  <c r="X25" i="11"/>
  <c r="AN25" i="10" s="1"/>
  <c r="X187" i="11"/>
  <c r="AN187" i="10" s="1"/>
  <c r="X54" i="11"/>
  <c r="AN54" i="10" s="1"/>
  <c r="X199" i="11"/>
  <c r="AN199" i="10" s="1"/>
  <c r="X120" i="11"/>
  <c r="AN120" i="10" s="1"/>
  <c r="X705" i="11"/>
  <c r="AN705" i="10" s="1"/>
  <c r="X434" i="11"/>
  <c r="AN434" i="10" s="1"/>
  <c r="X558" i="11"/>
  <c r="AN558" i="10" s="1"/>
  <c r="X492" i="11"/>
  <c r="AN492" i="10" s="1"/>
  <c r="X335" i="11"/>
  <c r="AN335" i="10" s="1"/>
  <c r="X352" i="11"/>
  <c r="AN352" i="10" s="1"/>
  <c r="T735" i="10"/>
  <c r="T592" i="10"/>
  <c r="X778" i="11"/>
  <c r="AN778" i="10" s="1"/>
  <c r="X718" i="11"/>
  <c r="AN718" i="10" s="1"/>
  <c r="X249" i="11"/>
  <c r="AN249" i="10" s="1"/>
  <c r="X637" i="11"/>
  <c r="AN637" i="10" s="1"/>
  <c r="X632" i="11"/>
  <c r="AN632" i="10" s="1"/>
  <c r="X755" i="11"/>
  <c r="AN755" i="10" s="1"/>
  <c r="X728" i="11"/>
  <c r="AN728" i="10" s="1"/>
  <c r="X681" i="11"/>
  <c r="AN681" i="10" s="1"/>
  <c r="X286" i="11"/>
  <c r="AN286" i="10" s="1"/>
  <c r="X379" i="11"/>
  <c r="AN379" i="10" s="1"/>
  <c r="T734" i="10"/>
  <c r="X263" i="11"/>
  <c r="AN263" i="10" s="1"/>
  <c r="X557" i="11"/>
  <c r="AN557" i="10" s="1"/>
  <c r="X487" i="11"/>
  <c r="AN487" i="10" s="1"/>
  <c r="X247" i="11"/>
  <c r="AN247" i="10" s="1"/>
  <c r="X337" i="11"/>
  <c r="AN337" i="10" s="1"/>
  <c r="X535" i="11"/>
  <c r="AN535" i="10" s="1"/>
  <c r="X563" i="11"/>
  <c r="AN563" i="10" s="1"/>
  <c r="X548" i="11"/>
  <c r="AN548" i="10" s="1"/>
  <c r="T775" i="10"/>
  <c r="X686" i="11"/>
  <c r="AN686" i="10" s="1"/>
  <c r="X331" i="11"/>
  <c r="AN331" i="10" s="1"/>
  <c r="X391" i="11"/>
  <c r="AN391" i="10" s="1"/>
  <c r="X18" i="11"/>
  <c r="AN18" i="10" s="1"/>
  <c r="X188" i="11"/>
  <c r="AN188" i="10" s="1"/>
  <c r="X82" i="11"/>
  <c r="AN82" i="10" s="1"/>
  <c r="X57" i="11"/>
  <c r="AN57" i="10" s="1"/>
  <c r="X70" i="11"/>
  <c r="AN70" i="10" s="1"/>
  <c r="X84" i="11"/>
  <c r="AN84" i="10" s="1"/>
  <c r="X126" i="11"/>
  <c r="AN126" i="10" s="1"/>
  <c r="X174" i="11"/>
  <c r="AN174" i="10" s="1"/>
  <c r="X180" i="11"/>
  <c r="AN180" i="10" s="1"/>
  <c r="X44" i="11"/>
  <c r="AN44" i="10" s="1"/>
  <c r="X135" i="11"/>
  <c r="AN135" i="10" s="1"/>
  <c r="T336" i="10"/>
  <c r="X650" i="11"/>
  <c r="AN650" i="10" s="1"/>
  <c r="X328" i="11"/>
  <c r="AN328" i="10" s="1"/>
  <c r="T622" i="10"/>
  <c r="X417" i="11"/>
  <c r="AN417" i="10" s="1"/>
  <c r="T669" i="10"/>
  <c r="AV669" i="10" s="1"/>
  <c r="X424" i="11"/>
  <c r="AN424" i="10" s="1"/>
  <c r="X457" i="11"/>
  <c r="AN457" i="10" s="1"/>
  <c r="X541" i="11"/>
  <c r="AN541" i="10" s="1"/>
  <c r="X252" i="11"/>
  <c r="AN252" i="10" s="1"/>
  <c r="X603" i="11"/>
  <c r="AN603" i="10" s="1"/>
  <c r="X404" i="11"/>
  <c r="AN404" i="10" s="1"/>
  <c r="X394" i="11"/>
  <c r="AN394" i="10" s="1"/>
  <c r="T543" i="10"/>
  <c r="X512" i="11"/>
  <c r="AN512" i="10" s="1"/>
  <c r="X396" i="11"/>
  <c r="AN396" i="10" s="1"/>
  <c r="X506" i="11"/>
  <c r="AN506" i="10" s="1"/>
  <c r="X275" i="11"/>
  <c r="AN275" i="10" s="1"/>
  <c r="X486" i="11"/>
  <c r="AN486" i="10" s="1"/>
  <c r="X599" i="11"/>
  <c r="AN599" i="10" s="1"/>
  <c r="X624" i="11"/>
  <c r="AN624" i="10" s="1"/>
  <c r="X644" i="11"/>
  <c r="AN644" i="10" s="1"/>
  <c r="X593" i="11"/>
  <c r="X314" i="11"/>
  <c r="AN314" i="10" s="1"/>
  <c r="X270" i="11"/>
  <c r="AN270" i="10" s="1"/>
  <c r="X277" i="11"/>
  <c r="AN277" i="10" s="1"/>
  <c r="X371" i="11"/>
  <c r="AN371" i="10" s="1"/>
  <c r="X403" i="11"/>
  <c r="AN403" i="10" s="1"/>
  <c r="X121" i="11"/>
  <c r="AN121" i="10" s="1"/>
  <c r="X213" i="11"/>
  <c r="AN213" i="10" s="1"/>
  <c r="X74" i="11"/>
  <c r="AN74" i="10" s="1"/>
  <c r="X26" i="11"/>
  <c r="AN26" i="10" s="1"/>
  <c r="X209" i="11"/>
  <c r="AN209" i="10" s="1"/>
  <c r="X67" i="11"/>
  <c r="AN67" i="10" s="1"/>
  <c r="X210" i="11"/>
  <c r="AN210" i="10" s="1"/>
  <c r="X193" i="11"/>
  <c r="AN193" i="10" s="1"/>
  <c r="X64" i="11"/>
  <c r="AN64" i="10" s="1"/>
  <c r="X206" i="11"/>
  <c r="AN206" i="10" s="1"/>
  <c r="X42" i="11"/>
  <c r="AN42" i="10" s="1"/>
  <c r="X129" i="11"/>
  <c r="AN129" i="10" s="1"/>
  <c r="T493" i="10"/>
  <c r="T571" i="10"/>
  <c r="X750" i="11"/>
  <c r="AN750" i="10" s="1"/>
  <c r="T672" i="10"/>
  <c r="X747" i="11"/>
  <c r="AN747" i="10" s="1"/>
  <c r="X261" i="11"/>
  <c r="AN261" i="10" s="1"/>
  <c r="X298" i="11"/>
  <c r="AN298" i="10" s="1"/>
  <c r="X594" i="11"/>
  <c r="AN594" i="10" s="1"/>
  <c r="X338" i="11"/>
  <c r="AN338" i="10" s="1"/>
  <c r="T362" i="10"/>
  <c r="X581" i="11"/>
  <c r="AN581" i="10" s="1"/>
  <c r="X604" i="11"/>
  <c r="AN604" i="10" s="1"/>
  <c r="T409" i="10"/>
  <c r="X609" i="11"/>
  <c r="AN609" i="10" s="1"/>
  <c r="X684" i="11"/>
  <c r="AN684" i="10" s="1"/>
  <c r="X257" i="11"/>
  <c r="AN257" i="10" s="1"/>
  <c r="X438" i="11"/>
  <c r="AN438" i="10" s="1"/>
  <c r="X710" i="11"/>
  <c r="AN710" i="10" s="1"/>
  <c r="X760" i="11"/>
  <c r="AN760" i="10" s="1"/>
  <c r="X723" i="11"/>
  <c r="AN723" i="10" s="1"/>
  <c r="X225" i="11"/>
  <c r="AN225" i="10" s="1"/>
  <c r="T390" i="10"/>
  <c r="X365" i="11"/>
  <c r="AN365" i="10" s="1"/>
  <c r="X505" i="11"/>
  <c r="AN505" i="10" s="1"/>
  <c r="X320" i="11"/>
  <c r="AN320" i="10" s="1"/>
  <c r="X602" i="11"/>
  <c r="AN602" i="10" s="1"/>
  <c r="X748" i="11"/>
  <c r="AN748" i="10" s="1"/>
  <c r="X288" i="11"/>
  <c r="AN288" i="10" s="1"/>
  <c r="X376" i="11"/>
  <c r="AN376" i="10" s="1"/>
  <c r="X431" i="11"/>
  <c r="AN431" i="10" s="1"/>
  <c r="X522" i="11"/>
  <c r="AN522" i="10" s="1"/>
  <c r="X470" i="11"/>
  <c r="AN470" i="10" s="1"/>
  <c r="X528" i="11"/>
  <c r="AN528" i="10" s="1"/>
  <c r="T736" i="10"/>
  <c r="X370" i="11"/>
  <c r="AN370" i="10" s="1"/>
  <c r="X683" i="11"/>
  <c r="AN683" i="10" s="1"/>
  <c r="X706" i="11"/>
  <c r="AN706" i="10" s="1"/>
  <c r="X169" i="11"/>
  <c r="AN169" i="10" s="1"/>
  <c r="X159" i="11"/>
  <c r="AN159" i="10" s="1"/>
  <c r="X175" i="11"/>
  <c r="AN175" i="10" s="1"/>
  <c r="X69" i="11"/>
  <c r="AN69" i="10" s="1"/>
  <c r="X51" i="11"/>
  <c r="AN51" i="10" s="1"/>
  <c r="X211" i="11"/>
  <c r="AN211" i="10" s="1"/>
  <c r="X81" i="11"/>
  <c r="AN81" i="10" s="1"/>
  <c r="X29" i="11"/>
  <c r="AN29" i="10" s="1"/>
  <c r="X109" i="11"/>
  <c r="AN109" i="10" s="1"/>
  <c r="X38" i="11"/>
  <c r="AN38" i="10" s="1"/>
  <c r="X15" i="11"/>
  <c r="AN15" i="10" s="1"/>
  <c r="X71" i="11"/>
  <c r="AN71" i="10" s="1"/>
  <c r="X742" i="11"/>
  <c r="AN742" i="10" s="1"/>
  <c r="X399" i="11"/>
  <c r="AN399" i="10" s="1"/>
  <c r="T418" i="10"/>
  <c r="X284" i="11"/>
  <c r="AN284" i="10" s="1"/>
  <c r="T610" i="10"/>
  <c r="T407" i="10"/>
  <c r="X501" i="11"/>
  <c r="AN501" i="10" s="1"/>
  <c r="X368" i="11"/>
  <c r="AN368" i="10" s="1"/>
  <c r="X564" i="11"/>
  <c r="AN564" i="10" s="1"/>
  <c r="X753" i="11"/>
  <c r="AN753" i="10" s="1"/>
  <c r="X764" i="11"/>
  <c r="AN764" i="10" s="1"/>
  <c r="AN642" i="10"/>
  <c r="X402" i="11"/>
  <c r="AN402" i="10" s="1"/>
  <c r="X762" i="11"/>
  <c r="AN762" i="10" s="1"/>
  <c r="X422" i="11"/>
  <c r="X363" i="11"/>
  <c r="AN363" i="10" s="1"/>
  <c r="X691" i="11"/>
  <c r="AN691" i="10" s="1"/>
  <c r="X677" i="11"/>
  <c r="AN677" i="10" s="1"/>
  <c r="X494" i="11"/>
  <c r="AN494" i="10" s="1"/>
  <c r="T489" i="10"/>
  <c r="X401" i="11"/>
  <c r="AN401" i="10" s="1"/>
  <c r="T671" i="10"/>
  <c r="X611" i="11"/>
  <c r="AN611" i="10" s="1"/>
  <c r="T381" i="10"/>
  <c r="X551" i="11"/>
  <c r="AN551" i="10" s="1"/>
  <c r="X274" i="11"/>
  <c r="AN274" i="10" s="1"/>
  <c r="X429" i="11"/>
  <c r="AN429" i="10" s="1"/>
  <c r="X615" i="11"/>
  <c r="AN615" i="10" s="1"/>
  <c r="X351" i="11"/>
  <c r="AN351" i="10" s="1"/>
  <c r="X264" i="11"/>
  <c r="AN264" i="10" s="1"/>
  <c r="X437" i="11"/>
  <c r="AN437" i="10" s="1"/>
  <c r="X318" i="11"/>
  <c r="AN318" i="10" s="1"/>
  <c r="T447" i="10"/>
  <c r="T701" i="10"/>
  <c r="T301" i="10"/>
  <c r="T391" i="10"/>
  <c r="AS391" i="10" s="1"/>
  <c r="T563" i="10"/>
  <c r="T263" i="10"/>
  <c r="AS263" i="10" s="1"/>
  <c r="X734" i="11"/>
  <c r="AN734" i="10" s="1"/>
  <c r="T487" i="10"/>
  <c r="T249" i="10"/>
  <c r="X973" i="11"/>
  <c r="AN973" i="10" s="1"/>
  <c r="T331" i="10"/>
  <c r="T637" i="10"/>
  <c r="T708" i="10"/>
  <c r="X775" i="11"/>
  <c r="AN775" i="10" s="1"/>
  <c r="T900" i="10"/>
  <c r="T685" i="10"/>
  <c r="T507" i="10"/>
  <c r="T515" i="10"/>
  <c r="T573" i="10"/>
  <c r="T306" i="10"/>
  <c r="X720" i="11"/>
  <c r="AN720" i="10" s="1"/>
  <c r="T432" i="10"/>
  <c r="X570" i="11"/>
  <c r="AN570" i="10" s="1"/>
  <c r="T414" i="10"/>
  <c r="T721" i="10"/>
  <c r="X620" i="11"/>
  <c r="AN620" i="10" s="1"/>
  <c r="T406" i="10"/>
  <c r="T276" i="10"/>
  <c r="T554" i="10"/>
  <c r="T279" i="10"/>
  <c r="T278" i="10"/>
  <c r="T532" i="10"/>
  <c r="T450" i="10"/>
  <c r="T321" i="10"/>
  <c r="T439" i="10"/>
  <c r="T467" i="10"/>
  <c r="T496" i="10"/>
  <c r="T591" i="10"/>
  <c r="X411" i="11"/>
  <c r="AN411" i="10" s="1"/>
  <c r="T303" i="10"/>
  <c r="T540" i="10"/>
  <c r="T462" i="10"/>
  <c r="T343" i="10"/>
  <c r="T531" i="10"/>
  <c r="T473" i="10"/>
  <c r="T313" i="10"/>
  <c r="T231" i="10"/>
  <c r="T561" i="10"/>
  <c r="T582" i="10"/>
  <c r="T308" i="10"/>
  <c r="T300" i="10"/>
  <c r="T694" i="10"/>
  <c r="X405" i="11"/>
  <c r="AN405" i="10" s="1"/>
  <c r="T419" i="10"/>
  <c r="T326" i="10"/>
  <c r="T560" i="10"/>
  <c r="T380" i="10"/>
  <c r="T239" i="10"/>
  <c r="T537" i="10"/>
  <c r="T757" i="10"/>
  <c r="T639" i="10"/>
  <c r="T673" i="10"/>
  <c r="T317" i="10"/>
  <c r="T654" i="10"/>
  <c r="T440" i="10"/>
  <c r="T517" i="10"/>
  <c r="T271" i="10"/>
  <c r="T412" i="10"/>
  <c r="T430" i="10"/>
  <c r="T425" i="10"/>
  <c r="AN165" i="10"/>
  <c r="T236" i="10"/>
  <c r="T420" i="10"/>
  <c r="X630" i="11"/>
  <c r="AN630" i="10" s="1"/>
  <c r="X826" i="11"/>
  <c r="AN826" i="10" s="1"/>
  <c r="T769" i="10"/>
  <c r="T801" i="10"/>
  <c r="X638" i="11"/>
  <c r="AN638" i="10" s="1"/>
  <c r="X360" i="11"/>
  <c r="AN360" i="10" s="1"/>
  <c r="T626" i="10"/>
  <c r="X824" i="11"/>
  <c r="AN824" i="10" s="1"/>
  <c r="T226" i="10"/>
  <c r="T514" i="10"/>
  <c r="T435" i="10"/>
  <c r="T339" i="10"/>
  <c r="T416" i="10"/>
  <c r="T499" i="10"/>
  <c r="T884" i="10"/>
  <c r="T952" i="10"/>
  <c r="T874" i="10"/>
  <c r="T251" i="10"/>
  <c r="T612" i="10"/>
  <c r="X704" i="11"/>
  <c r="AN704" i="10" s="1"/>
  <c r="T334" i="10"/>
  <c r="X502" i="11"/>
  <c r="AN502" i="10" s="1"/>
  <c r="T227" i="10"/>
  <c r="X785" i="11"/>
  <c r="AN785" i="10" s="1"/>
  <c r="T779" i="10"/>
  <c r="X408" i="11"/>
  <c r="AN408" i="10" s="1"/>
  <c r="T702" i="10"/>
  <c r="T772" i="10"/>
  <c r="T265" i="10"/>
  <c r="T466" i="10"/>
  <c r="T922" i="10"/>
  <c r="X975" i="11"/>
  <c r="AN975" i="10" s="1"/>
  <c r="T459" i="10"/>
  <c r="T302" i="10"/>
  <c r="T342" i="10"/>
  <c r="X668" i="11"/>
  <c r="AN668" i="10" s="1"/>
  <c r="T618" i="10"/>
  <c r="T587" i="10"/>
  <c r="T965" i="10"/>
  <c r="T392" i="10"/>
  <c r="T590" i="10"/>
  <c r="T595" i="10"/>
  <c r="T629" i="10"/>
  <c r="T784" i="10"/>
  <c r="T311" i="10"/>
  <c r="X813" i="11"/>
  <c r="AN813" i="10" s="1"/>
  <c r="T818" i="10"/>
  <c r="T879" i="10"/>
  <c r="T268" i="10"/>
  <c r="T579" i="10"/>
  <c r="X358" i="11"/>
  <c r="AN358" i="10" s="1"/>
  <c r="T566" i="10"/>
  <c r="T942" i="10"/>
  <c r="T442" i="10"/>
  <c r="T307" i="10"/>
  <c r="T619" i="10"/>
  <c r="T578" i="10"/>
  <c r="T793" i="10"/>
  <c r="T441" i="10"/>
  <c r="X374" i="11"/>
  <c r="AN374" i="10" s="1"/>
  <c r="T389" i="10"/>
  <c r="T237" i="10"/>
  <c r="T645" i="10"/>
  <c r="T415" i="10"/>
  <c r="X485" i="11"/>
  <c r="AN485" i="10" s="1"/>
  <c r="T604" i="10"/>
  <c r="T257" i="10"/>
  <c r="T428" i="10"/>
  <c r="T600" i="10"/>
  <c r="T449" i="10"/>
  <c r="T274" i="10"/>
  <c r="T272" i="10"/>
  <c r="T558" i="10"/>
  <c r="T335" i="10"/>
  <c r="T707" i="10"/>
  <c r="T283" i="10"/>
  <c r="T902" i="10"/>
  <c r="T628" i="10"/>
  <c r="T745" i="10"/>
  <c r="T498" i="10"/>
  <c r="X842" i="11"/>
  <c r="X588" i="11"/>
  <c r="AN588" i="10" s="1"/>
  <c r="T602" i="10"/>
  <c r="T710" i="10"/>
  <c r="T288" i="10"/>
  <c r="T400" i="10"/>
  <c r="T338" i="10"/>
  <c r="T760" i="10"/>
  <c r="AS760" i="10" s="1"/>
  <c r="X671" i="11"/>
  <c r="AN671" i="10" s="1"/>
  <c r="T229" i="10"/>
  <c r="T611" i="10"/>
  <c r="T357" i="10"/>
  <c r="T615" i="10"/>
  <c r="T472" i="10"/>
  <c r="X571" i="11"/>
  <c r="AN571" i="10" s="1"/>
  <c r="T494" i="10"/>
  <c r="T723" i="10"/>
  <c r="T872" i="10"/>
  <c r="T808" i="10"/>
  <c r="X822" i="11"/>
  <c r="AN822" i="10" s="1"/>
  <c r="T549" i="10"/>
  <c r="X915" i="11"/>
  <c r="AN915" i="10" s="1"/>
  <c r="X635" i="11"/>
  <c r="AN635" i="10" s="1"/>
  <c r="T404" i="10"/>
  <c r="X362" i="11"/>
  <c r="AN362" i="10" s="1"/>
  <c r="T653" i="10"/>
  <c r="T581" i="10"/>
  <c r="T888" i="10"/>
  <c r="T235" i="10"/>
  <c r="T438" i="10"/>
  <c r="T574" i="10"/>
  <c r="T354" i="10"/>
  <c r="X381" i="11"/>
  <c r="AN381" i="10" s="1"/>
  <c r="T641" i="10"/>
  <c r="T832" i="10"/>
  <c r="T816" i="10"/>
  <c r="T846" i="10"/>
  <c r="T956" i="10"/>
  <c r="X761" i="11"/>
  <c r="AN761" i="10" s="1"/>
  <c r="T603" i="10"/>
  <c r="T328" i="10"/>
  <c r="T505" i="10"/>
  <c r="AN119" i="10"/>
  <c r="T242" i="10"/>
  <c r="T482" i="10"/>
  <c r="T429" i="10"/>
  <c r="T320" i="10"/>
  <c r="T444" i="10"/>
  <c r="X752" i="11"/>
  <c r="AN752" i="10" s="1"/>
  <c r="X336" i="11"/>
  <c r="AN336" i="10" s="1"/>
  <c r="T333" i="10"/>
  <c r="T797" i="10"/>
  <c r="T901" i="10"/>
  <c r="T541" i="10"/>
  <c r="T298" i="10"/>
  <c r="T551" i="10"/>
  <c r="T376" i="10"/>
  <c r="T584" i="10"/>
  <c r="X324" i="11"/>
  <c r="AN324" i="10" s="1"/>
  <c r="X946" i="11"/>
  <c r="AN946" i="10" s="1"/>
  <c r="T448" i="10"/>
  <c r="X493" i="11"/>
  <c r="AN493" i="10" s="1"/>
  <c r="T799" i="10"/>
  <c r="T875" i="10"/>
  <c r="T248" i="10"/>
  <c r="T744" i="10"/>
  <c r="T468" i="10"/>
  <c r="T667" i="10"/>
  <c r="T365" i="10"/>
  <c r="X736" i="11"/>
  <c r="AN736" i="10" s="1"/>
  <c r="T470" i="10"/>
  <c r="T678" i="10"/>
  <c r="X513" i="11"/>
  <c r="AN513" i="10" s="1"/>
  <c r="X820" i="11"/>
  <c r="AN820" i="10" s="1"/>
  <c r="T589" i="10"/>
  <c r="T949" i="10"/>
  <c r="T401" i="10"/>
  <c r="T512" i="10"/>
  <c r="X355" i="11"/>
  <c r="AN355" i="10" s="1"/>
  <c r="X894" i="11"/>
  <c r="T261" i="10"/>
  <c r="T228" i="10"/>
  <c r="T572" i="10"/>
  <c r="T403" i="10"/>
  <c r="T393" i="10"/>
  <c r="X390" i="11"/>
  <c r="AN390" i="10" s="1"/>
  <c r="T327" i="10"/>
  <c r="X489" i="11"/>
  <c r="AN489" i="10" s="1"/>
  <c r="T960" i="10"/>
  <c r="T325" i="10"/>
  <c r="T895" i="10"/>
  <c r="X896" i="11"/>
  <c r="T586" i="10"/>
  <c r="T819" i="10"/>
  <c r="T624" i="10"/>
  <c r="T225" i="10"/>
  <c r="T387" i="10"/>
  <c r="T614" i="10"/>
  <c r="T850" i="10"/>
  <c r="X828" i="11"/>
  <c r="T232" i="10"/>
  <c r="T607" i="10"/>
  <c r="T616" i="10"/>
  <c r="X315" i="11"/>
  <c r="AN315" i="10" s="1"/>
  <c r="X700" i="11"/>
  <c r="AN700" i="10" s="1"/>
  <c r="X672" i="11"/>
  <c r="AN672" i="10" s="1"/>
  <c r="T553" i="10"/>
  <c r="T500" i="10"/>
  <c r="T823" i="10"/>
  <c r="X835" i="11"/>
  <c r="T423" i="10"/>
  <c r="T351" i="10"/>
  <c r="T495" i="10"/>
  <c r="T264" i="10"/>
  <c r="T464" i="10"/>
  <c r="T269" i="10"/>
  <c r="T594" i="10"/>
  <c r="T433" i="10"/>
  <c r="X409" i="11"/>
  <c r="AN409" i="10" s="1"/>
  <c r="X722" i="11"/>
  <c r="AN722" i="10" s="1"/>
  <c r="T636" i="10"/>
  <c r="T845" i="10"/>
  <c r="T923" i="10"/>
  <c r="T631" i="10"/>
  <c r="T917" i="10"/>
  <c r="T609" i="10"/>
  <c r="T371" i="10"/>
  <c r="T524" i="10"/>
  <c r="T350" i="10"/>
  <c r="T522" i="10"/>
  <c r="T241" i="10"/>
  <c r="T539" i="10"/>
  <c r="T528" i="10"/>
  <c r="T319" i="10"/>
  <c r="T621" i="10"/>
  <c r="T370" i="10"/>
  <c r="T431" i="10"/>
  <c r="T424" i="10"/>
  <c r="X868" i="11"/>
  <c r="X843" i="11"/>
  <c r="T250" i="10"/>
  <c r="T646" i="10"/>
  <c r="X669" i="11"/>
  <c r="AN669" i="10" s="1"/>
  <c r="T388" i="10"/>
  <c r="T534" i="10"/>
  <c r="X347" i="11"/>
  <c r="AN347" i="10" s="1"/>
  <c r="T457" i="10"/>
  <c r="T497" i="10"/>
  <c r="T647" i="10"/>
  <c r="T270" i="10"/>
  <c r="T275" i="10"/>
  <c r="T233" i="10"/>
  <c r="T379" i="10"/>
  <c r="T452" i="10"/>
  <c r="T686" i="10"/>
  <c r="T445" i="10"/>
  <c r="T509" i="10"/>
  <c r="X807" i="11"/>
  <c r="T492" i="10"/>
  <c r="T692" i="10"/>
  <c r="T352" i="10"/>
  <c r="X378" i="11"/>
  <c r="AN378" i="10" s="1"/>
  <c r="T651" i="10"/>
  <c r="T297" i="10"/>
  <c r="T555" i="10"/>
  <c r="X737" i="11"/>
  <c r="AN737" i="10" s="1"/>
  <c r="T550" i="10"/>
  <c r="X687" i="11"/>
  <c r="AN687" i="10" s="1"/>
  <c r="T299" i="10"/>
  <c r="T469" i="10"/>
  <c r="T523" i="10"/>
  <c r="T955" i="10"/>
  <c r="X945" i="11"/>
  <c r="AN945" i="10" s="1"/>
  <c r="T977" i="10"/>
  <c r="T434" i="10"/>
  <c r="T920" i="10"/>
  <c r="T266" i="10"/>
  <c r="T247" i="10"/>
  <c r="T267" i="10"/>
  <c r="T454" i="10"/>
  <c r="T332" i="10"/>
  <c r="T533" i="10"/>
  <c r="T525" i="10"/>
  <c r="T516" i="10"/>
  <c r="T314" i="10"/>
  <c r="T367" i="10"/>
  <c r="T243" i="10"/>
  <c r="T253" i="10"/>
  <c r="T296" i="10"/>
  <c r="T373" i="10"/>
  <c r="T369" i="10"/>
  <c r="X316" i="11"/>
  <c r="AN316" i="10" s="1"/>
  <c r="T356" i="10"/>
  <c r="X372" i="11"/>
  <c r="AN372" i="10" s="1"/>
  <c r="X543" i="11"/>
  <c r="AN543" i="10" s="1"/>
  <c r="X836" i="11"/>
  <c r="X957" i="11"/>
  <c r="AN957" i="10" s="1"/>
  <c r="T800" i="10"/>
  <c r="T576" i="10"/>
  <c r="T545" i="10"/>
  <c r="T471" i="10"/>
  <c r="X936" i="11"/>
  <c r="AN936" i="10" s="1"/>
  <c r="T224" i="10"/>
  <c r="T240" i="10"/>
  <c r="T627" i="10"/>
  <c r="T623" i="10"/>
  <c r="T634" i="10"/>
  <c r="T377" i="10"/>
  <c r="T535" i="10"/>
  <c r="T944" i="10"/>
  <c r="T838" i="10"/>
  <c r="T254" i="10"/>
  <c r="T245" i="10"/>
  <c r="T281" i="10"/>
  <c r="T337" i="10"/>
  <c r="X410" i="11"/>
  <c r="AN410" i="10" s="1"/>
  <c r="X670" i="11"/>
  <c r="AN670" i="10" s="1"/>
  <c r="T519" i="10"/>
  <c r="T427" i="10"/>
  <c r="T961" i="10"/>
  <c r="T910" i="10"/>
  <c r="X893" i="11"/>
  <c r="T908" i="10"/>
  <c r="T596" i="10"/>
  <c r="T557" i="10"/>
  <c r="T777" i="10"/>
  <c r="T366" i="10"/>
  <c r="T728" i="10"/>
  <c r="T625" i="10"/>
  <c r="X577" i="11"/>
  <c r="AN577" i="10" s="1"/>
  <c r="T486" i="10"/>
  <c r="X465" i="11"/>
  <c r="AN465" i="10" s="1"/>
  <c r="X592" i="11"/>
  <c r="AN592" i="10" s="1"/>
  <c r="T287" i="10"/>
  <c r="T451" i="10"/>
  <c r="T501" i="10"/>
  <c r="T943" i="10"/>
  <c r="T280" i="10"/>
  <c r="T644" i="10"/>
  <c r="T530" i="10"/>
  <c r="T353" i="10"/>
  <c r="X741" i="11"/>
  <c r="AN741" i="10" s="1"/>
  <c r="T368" i="10"/>
  <c r="T349" i="10"/>
  <c r="T633" i="10"/>
  <c r="T402" i="10"/>
  <c r="T398" i="10"/>
  <c r="T880" i="10"/>
  <c r="T426" i="10"/>
  <c r="AO787" i="10"/>
  <c r="AS787" i="10"/>
  <c r="AV787" i="10"/>
  <c r="T809" i="10"/>
  <c r="T873" i="10"/>
  <c r="X871" i="11"/>
  <c r="T906" i="10"/>
  <c r="X972" i="11"/>
  <c r="AN972" i="10" s="1"/>
  <c r="X968" i="11"/>
  <c r="AN968" i="10" s="1"/>
  <c r="T108" i="10"/>
  <c r="T796" i="10"/>
  <c r="X715" i="11"/>
  <c r="AN715" i="10" s="1"/>
  <c r="AO476" i="10"/>
  <c r="AV476" i="10"/>
  <c r="AS476" i="10"/>
  <c r="T642" i="10"/>
  <c r="T676" i="10"/>
  <c r="T399" i="10"/>
  <c r="T223" i="10"/>
  <c r="T262" i="10"/>
  <c r="T640" i="10"/>
  <c r="T712" i="10"/>
  <c r="T613" i="10"/>
  <c r="T422" i="10"/>
  <c r="T359" i="10"/>
  <c r="X735" i="11"/>
  <c r="AN735" i="10" s="1"/>
  <c r="T488" i="10"/>
  <c r="T506" i="10"/>
  <c r="T783" i="10"/>
  <c r="T421" i="10"/>
  <c r="T599" i="10"/>
  <c r="T767" i="10"/>
  <c r="T810" i="10"/>
  <c r="T851" i="10"/>
  <c r="X407" i="11"/>
  <c r="AN407" i="10" s="1"/>
  <c r="T950" i="10"/>
  <c r="T864" i="10"/>
  <c r="T802" i="10"/>
  <c r="T867" i="10"/>
  <c r="T361" i="10"/>
  <c r="T510" i="10"/>
  <c r="T693" i="10"/>
  <c r="X375" i="11"/>
  <c r="AN375" i="10" s="1"/>
  <c r="T755" i="10"/>
  <c r="T413" i="10"/>
  <c r="T394" i="10"/>
  <c r="T323" i="10"/>
  <c r="X622" i="11"/>
  <c r="AN622" i="10" s="1"/>
  <c r="T580" i="10"/>
  <c r="T974" i="10"/>
  <c r="X825" i="11"/>
  <c r="AN825" i="10" s="1"/>
  <c r="T508" i="10"/>
  <c r="T848" i="10"/>
  <c r="T881" i="10"/>
  <c r="T837" i="10"/>
  <c r="T967" i="10"/>
  <c r="T883" i="10"/>
  <c r="T643" i="10"/>
  <c r="T740" i="10"/>
  <c r="AO724" i="10"/>
  <c r="AV724" i="10"/>
  <c r="AS724" i="10"/>
  <c r="T344" i="10"/>
  <c r="X585" i="11"/>
  <c r="AN585" i="10" s="1"/>
  <c r="X569" i="11"/>
  <c r="AN569" i="10" s="1"/>
  <c r="T753" i="10"/>
  <c r="T456" i="10"/>
  <c r="T547" i="10"/>
  <c r="T575" i="10"/>
  <c r="T849" i="10"/>
  <c r="T941" i="10"/>
  <c r="T830" i="10"/>
  <c r="T742" i="10"/>
  <c r="T260" i="10"/>
  <c r="T605" i="10"/>
  <c r="T650" i="10"/>
  <c r="T396" i="10"/>
  <c r="T322" i="10"/>
  <c r="T691" i="10"/>
  <c r="T453" i="10"/>
  <c r="T899" i="10"/>
  <c r="T798" i="10"/>
  <c r="T593" i="10"/>
  <c r="T805" i="10"/>
  <c r="T804" i="10"/>
  <c r="T834" i="10"/>
  <c r="T815" i="10"/>
  <c r="T230" i="10"/>
  <c r="T259" i="10"/>
  <c r="T458" i="10"/>
  <c r="T346" i="10"/>
  <c r="T527" i="10"/>
  <c r="X652" i="11"/>
  <c r="AN652" i="10" s="1"/>
  <c r="T460" i="10"/>
  <c r="T963" i="10"/>
  <c r="T546" i="10"/>
  <c r="T617" i="10"/>
  <c r="T564" i="10"/>
  <c r="AV656" i="10"/>
  <c r="AS656" i="10"/>
  <c r="AO656" i="10"/>
  <c r="T939" i="10"/>
  <c r="T244" i="10"/>
  <c r="T258" i="10"/>
  <c r="T286" i="10"/>
  <c r="T526" i="10"/>
  <c r="AO657" i="10"/>
  <c r="AV657" i="10"/>
  <c r="AS657" i="10"/>
  <c r="T397" i="10"/>
  <c r="T417" i="10"/>
  <c r="X610" i="11"/>
  <c r="AN610" i="10" s="1"/>
  <c r="X418" i="11"/>
  <c r="AN418" i="10" s="1"/>
  <c r="T305" i="10"/>
  <c r="T446" i="10"/>
  <c r="T363" i="10"/>
  <c r="T632" i="10"/>
  <c r="T59" i="10"/>
  <c r="T821" i="10"/>
  <c r="AO655" i="10"/>
  <c r="AS655" i="10"/>
  <c r="AV655" i="10"/>
  <c r="AO384" i="10"/>
  <c r="AV384" i="10"/>
  <c r="AS384" i="10"/>
  <c r="T284" i="10"/>
  <c r="T246" i="10"/>
  <c r="T562" i="10"/>
  <c r="T340" i="10"/>
  <c r="T688" i="10"/>
  <c r="T814" i="10"/>
  <c r="T892" i="10"/>
  <c r="T794" i="10"/>
  <c r="T811" i="10"/>
  <c r="T954" i="10"/>
  <c r="T731" i="10"/>
  <c r="AO382" i="10"/>
  <c r="AV382" i="10"/>
  <c r="AS382" i="10"/>
  <c r="T455" i="10"/>
  <c r="T490" i="10"/>
  <c r="T504" i="10"/>
  <c r="T886" i="10"/>
  <c r="T282" i="10"/>
  <c r="T597" i="10"/>
  <c r="AS474" i="10"/>
  <c r="AV474" i="10"/>
  <c r="AO474" i="10"/>
  <c r="AO475" i="10"/>
  <c r="AV475" i="10"/>
  <c r="AS475" i="10"/>
  <c r="AO568" i="10"/>
  <c r="AV568" i="10"/>
  <c r="AS568" i="10"/>
  <c r="T751" i="10"/>
  <c r="T330" i="10"/>
  <c r="T756" i="10"/>
  <c r="X364" i="11"/>
  <c r="AN364" i="10" s="1"/>
  <c r="AO786" i="10"/>
  <c r="AS786" i="10"/>
  <c r="AV786" i="10"/>
  <c r="T521" i="10"/>
  <c r="T483" i="10"/>
  <c r="X919" i="11"/>
  <c r="AN919" i="10" s="1"/>
  <c r="T890" i="10"/>
  <c r="X870" i="11"/>
  <c r="X916" i="11"/>
  <c r="AN916" i="10" s="1"/>
  <c r="T951" i="10"/>
  <c r="T907" i="10"/>
  <c r="T869" i="10"/>
  <c r="T964" i="10"/>
  <c r="T937" i="10"/>
  <c r="T853" i="10"/>
  <c r="T885" i="10"/>
  <c r="T812" i="10"/>
  <c r="X714" i="11"/>
  <c r="AN714" i="10" s="1"/>
  <c r="T503" i="10"/>
  <c r="T273" i="10"/>
  <c r="T285" i="10"/>
  <c r="T304" i="10"/>
  <c r="T277" i="10"/>
  <c r="T252" i="10"/>
  <c r="T606" i="10"/>
  <c r="T729" i="10"/>
  <c r="T309" i="10"/>
  <c r="T552" i="10"/>
  <c r="X538" i="11"/>
  <c r="AN538" i="10" s="1"/>
  <c r="T463" i="10"/>
  <c r="T520" i="10"/>
  <c r="T542" i="10"/>
  <c r="T771" i="10"/>
  <c r="X844" i="11"/>
  <c r="T827" i="10"/>
  <c r="T878" i="10"/>
  <c r="T921" i="10"/>
  <c r="T891" i="10"/>
  <c r="T962" i="10"/>
  <c r="X806" i="11"/>
  <c r="AN806" i="10" s="1"/>
  <c r="T882" i="10"/>
  <c r="T971" i="10"/>
  <c r="X898" i="11"/>
  <c r="T877" i="10"/>
  <c r="T852" i="10"/>
  <c r="T948" i="10"/>
  <c r="X909" i="11"/>
  <c r="AN909" i="10" s="1"/>
  <c r="X889" i="11"/>
  <c r="T865" i="10"/>
  <c r="T887" i="10"/>
  <c r="T833" i="10"/>
  <c r="T795" i="10"/>
  <c r="T925" i="10"/>
  <c r="T829" i="10"/>
  <c r="T953" i="10"/>
  <c r="T847" i="10"/>
  <c r="T966" i="10"/>
  <c r="T947" i="10"/>
  <c r="T976" i="10"/>
  <c r="T918" i="10"/>
  <c r="T803" i="10"/>
  <c r="T970" i="10"/>
  <c r="T903" i="10"/>
  <c r="T924" i="10"/>
  <c r="T866" i="10"/>
  <c r="T969" i="10"/>
  <c r="T831" i="10"/>
  <c r="T911" i="10"/>
  <c r="T876" i="10"/>
  <c r="T940" i="10"/>
  <c r="T817" i="10"/>
  <c r="T904" i="10"/>
  <c r="T914" i="10"/>
  <c r="T897" i="10"/>
  <c r="T839" i="10"/>
  <c r="T938" i="10"/>
  <c r="T174" i="10"/>
  <c r="T177" i="10"/>
  <c r="T35" i="10"/>
  <c r="T126" i="10"/>
  <c r="T43" i="10"/>
  <c r="T196" i="10"/>
  <c r="T184" i="10"/>
  <c r="T46" i="10"/>
  <c r="T149" i="10"/>
  <c r="T91" i="10"/>
  <c r="T129" i="10"/>
  <c r="T197" i="10"/>
  <c r="T123" i="10"/>
  <c r="T211" i="10"/>
  <c r="T136" i="10"/>
  <c r="T28" i="10"/>
  <c r="T30" i="10"/>
  <c r="T150" i="10"/>
  <c r="T148" i="10"/>
  <c r="T100" i="10"/>
  <c r="T181" i="10"/>
  <c r="T169" i="10"/>
  <c r="T198" i="10"/>
  <c r="T84" i="10"/>
  <c r="T154" i="10"/>
  <c r="T183" i="10"/>
  <c r="T78" i="10"/>
  <c r="T23" i="10"/>
  <c r="T26" i="10"/>
  <c r="T49" i="10"/>
  <c r="T17" i="10"/>
  <c r="T52" i="10"/>
  <c r="T93" i="10"/>
  <c r="T63" i="10"/>
  <c r="T81" i="10"/>
  <c r="T102" i="10"/>
  <c r="T64" i="10"/>
  <c r="T176" i="10"/>
  <c r="T86" i="10"/>
  <c r="T151" i="10"/>
  <c r="T99" i="10"/>
  <c r="T41" i="10"/>
  <c r="T85" i="10"/>
  <c r="T186" i="10"/>
  <c r="T152" i="10"/>
  <c r="T107" i="10"/>
  <c r="T147" i="10"/>
  <c r="T21" i="10"/>
  <c r="T128" i="10"/>
  <c r="T95" i="10"/>
  <c r="T185" i="10"/>
  <c r="T37" i="10"/>
  <c r="T96" i="10"/>
  <c r="T54" i="10"/>
  <c r="T80" i="10"/>
  <c r="T27" i="10"/>
  <c r="T160" i="10"/>
  <c r="T15" i="10"/>
  <c r="T71" i="10"/>
  <c r="T191" i="10"/>
  <c r="T103" i="10"/>
  <c r="T31" i="10"/>
  <c r="T75" i="10"/>
  <c r="T203" i="10"/>
  <c r="T206" i="10"/>
  <c r="T50" i="10"/>
  <c r="T161" i="10"/>
  <c r="T194" i="10"/>
  <c r="T90" i="10"/>
  <c r="T201" i="10"/>
  <c r="T34" i="10"/>
  <c r="T39" i="10"/>
  <c r="T48" i="10"/>
  <c r="T109" i="10"/>
  <c r="T73" i="10"/>
  <c r="T122" i="10"/>
  <c r="T18" i="10"/>
  <c r="T153" i="10"/>
  <c r="T175" i="10"/>
  <c r="T87" i="10"/>
  <c r="T182" i="10"/>
  <c r="T72" i="10"/>
  <c r="T209" i="10"/>
  <c r="T58" i="10"/>
  <c r="T25" i="10"/>
  <c r="T45" i="10"/>
  <c r="T138" i="10"/>
  <c r="T24" i="10"/>
  <c r="T32" i="10"/>
  <c r="T120" i="10"/>
  <c r="T143" i="10"/>
  <c r="T144" i="10"/>
  <c r="T127" i="10"/>
  <c r="T67" i="10"/>
  <c r="T60" i="10"/>
  <c r="T110" i="10"/>
  <c r="T57" i="10"/>
  <c r="T82" i="10"/>
  <c r="T132" i="10"/>
  <c r="T213" i="10"/>
  <c r="T19" i="10"/>
  <c r="T33" i="10"/>
  <c r="T168" i="10"/>
  <c r="T51" i="10"/>
  <c r="T141" i="10"/>
  <c r="T130" i="10"/>
  <c r="T105" i="10"/>
  <c r="T76" i="10"/>
  <c r="T134" i="10"/>
  <c r="T55" i="10"/>
  <c r="T189" i="10"/>
  <c r="T104" i="10"/>
  <c r="T163" i="10"/>
  <c r="T215" i="10"/>
  <c r="T89" i="10"/>
  <c r="T70" i="10"/>
  <c r="T170" i="10"/>
  <c r="T74" i="10"/>
  <c r="T53" i="10"/>
  <c r="T66" i="10"/>
  <c r="T188" i="10"/>
  <c r="T56" i="10"/>
  <c r="T156" i="10"/>
  <c r="T97" i="10"/>
  <c r="T94" i="10"/>
  <c r="T208" i="10"/>
  <c r="T190" i="10"/>
  <c r="T187" i="10"/>
  <c r="T207" i="10"/>
  <c r="T79" i="10"/>
  <c r="T202" i="10"/>
  <c r="T195" i="10"/>
  <c r="T200" i="10"/>
  <c r="T214" i="10"/>
  <c r="T155" i="10"/>
  <c r="T40" i="10"/>
  <c r="T173" i="10"/>
  <c r="T145" i="10"/>
  <c r="T158" i="10"/>
  <c r="T137" i="10"/>
  <c r="T162" i="10"/>
  <c r="T77" i="10"/>
  <c r="T212" i="10"/>
  <c r="T16" i="10"/>
  <c r="T179" i="10"/>
  <c r="T106" i="10"/>
  <c r="T68" i="10"/>
  <c r="T178" i="10"/>
  <c r="T121" i="10"/>
  <c r="T172" i="10"/>
  <c r="T159" i="10"/>
  <c r="T69" i="10"/>
  <c r="T164" i="10"/>
  <c r="T131" i="10"/>
  <c r="T139" i="10"/>
  <c r="T101" i="10"/>
  <c r="T47" i="10"/>
  <c r="T192" i="10"/>
  <c r="T98" i="10"/>
  <c r="T135" i="10"/>
  <c r="T142" i="10"/>
  <c r="T29" i="10"/>
  <c r="T180" i="10"/>
  <c r="T65" i="10"/>
  <c r="T44" i="10"/>
  <c r="T125" i="10"/>
  <c r="T204" i="10"/>
  <c r="T133" i="10"/>
  <c r="T171" i="10"/>
  <c r="T205" i="10"/>
  <c r="T38" i="10"/>
  <c r="T118" i="10"/>
  <c r="T42" i="10"/>
  <c r="T92" i="10"/>
  <c r="T157" i="10"/>
  <c r="T88" i="10"/>
  <c r="T210" i="10"/>
  <c r="T193" i="10"/>
  <c r="T124" i="10"/>
  <c r="T146" i="10"/>
  <c r="T199" i="10"/>
  <c r="T711" i="10"/>
  <c r="T690" i="10"/>
  <c r="T683" i="10"/>
  <c r="T766" i="10"/>
  <c r="T725" i="10"/>
  <c r="T675" i="10"/>
  <c r="T681" i="10"/>
  <c r="T770" i="10"/>
  <c r="T698" i="10"/>
  <c r="T762" i="10"/>
  <c r="T747" i="10"/>
  <c r="T758" i="10"/>
  <c r="T717" i="10"/>
  <c r="T689" i="10"/>
  <c r="T713" i="10"/>
  <c r="T781" i="10"/>
  <c r="T674" i="10"/>
  <c r="T682" i="10"/>
  <c r="T666" i="10"/>
  <c r="T680" i="10"/>
  <c r="T759" i="10"/>
  <c r="T782" i="10"/>
  <c r="T780" i="10"/>
  <c r="T697" i="10"/>
  <c r="T565" i="10"/>
  <c r="T699" i="10"/>
  <c r="T567" i="10"/>
  <c r="T764" i="10"/>
  <c r="T776" i="10"/>
  <c r="T774" i="10"/>
  <c r="T733" i="10"/>
  <c r="T709" i="10"/>
  <c r="T677" i="10"/>
  <c r="T706" i="10"/>
  <c r="T718" i="10"/>
  <c r="T716" i="10"/>
  <c r="T773" i="10"/>
  <c r="T738" i="10"/>
  <c r="T768" i="10"/>
  <c r="T739" i="10"/>
  <c r="T746" i="10"/>
  <c r="T719" i="10"/>
  <c r="T763" i="10"/>
  <c r="T695" i="10"/>
  <c r="T703" i="10"/>
  <c r="T684" i="10"/>
  <c r="T732" i="10"/>
  <c r="T705" i="10"/>
  <c r="T765" i="10"/>
  <c r="T743" i="10"/>
  <c r="T749" i="10"/>
  <c r="T748" i="10"/>
  <c r="T754" i="10"/>
  <c r="T778" i="10"/>
  <c r="T696" i="10"/>
  <c r="T730" i="10"/>
  <c r="T750" i="10"/>
  <c r="T679" i="10"/>
  <c r="V73" i="29" l="1"/>
  <c r="U103" i="29"/>
  <c r="AC73" i="29"/>
  <c r="Z73" i="29"/>
  <c r="U73" i="29"/>
  <c r="AN231" i="10"/>
  <c r="AN231" i="32"/>
  <c r="AO232" i="32"/>
  <c r="AS232" i="32"/>
  <c r="AV232" i="32"/>
  <c r="AO231" i="32"/>
  <c r="AV231" i="32"/>
  <c r="AS231" i="32"/>
  <c r="AN232" i="10"/>
  <c r="AN232" i="32"/>
  <c r="AO714" i="10"/>
  <c r="AV714" i="10"/>
  <c r="AS714" i="10"/>
  <c r="AO715" i="10"/>
  <c r="AV715" i="10"/>
  <c r="AS715" i="10"/>
  <c r="AN749" i="10"/>
  <c r="AO749" i="32"/>
  <c r="AS749" i="32"/>
  <c r="AV749" i="32"/>
  <c r="AN598" i="10"/>
  <c r="AN598" i="32"/>
  <c r="V103" i="24"/>
  <c r="AB103" i="12" s="1"/>
  <c r="AC103" i="24"/>
  <c r="AC73" i="24"/>
  <c r="AA105" i="24"/>
  <c r="AG105" i="12" s="1"/>
  <c r="AA109" i="29"/>
  <c r="Z103" i="24"/>
  <c r="AF103" i="12" s="1"/>
  <c r="V73" i="24"/>
  <c r="AB73" i="12" s="1"/>
  <c r="AA107" i="29"/>
  <c r="AA115" i="29"/>
  <c r="AN869" i="10"/>
  <c r="AN869" i="32"/>
  <c r="AO883" i="32"/>
  <c r="AV883" i="32"/>
  <c r="AS883" i="32"/>
  <c r="AO847" i="32"/>
  <c r="AV847" i="32"/>
  <c r="AS847" i="32"/>
  <c r="AN870" i="10"/>
  <c r="AN870" i="32"/>
  <c r="AO834" i="32"/>
  <c r="AS834" i="32"/>
  <c r="AV834" i="32"/>
  <c r="AO849" i="32"/>
  <c r="AS849" i="32"/>
  <c r="AV849" i="32"/>
  <c r="AN842" i="10"/>
  <c r="AN842" i="32"/>
  <c r="AO890" i="32"/>
  <c r="AS890" i="32"/>
  <c r="AV890" i="32"/>
  <c r="AO837" i="32"/>
  <c r="AS837" i="32"/>
  <c r="AV837" i="32"/>
  <c r="AO867" i="32"/>
  <c r="AV867" i="32"/>
  <c r="AS867" i="32"/>
  <c r="AN894" i="10"/>
  <c r="AN894" i="32"/>
  <c r="AO875" i="32"/>
  <c r="AV875" i="32"/>
  <c r="AS875" i="32"/>
  <c r="AO879" i="32"/>
  <c r="AS879" i="32"/>
  <c r="AV879" i="32"/>
  <c r="AO874" i="32"/>
  <c r="AS874" i="32"/>
  <c r="AV874" i="32"/>
  <c r="Z73" i="24"/>
  <c r="AF73" i="12" s="1"/>
  <c r="AS836" i="10"/>
  <c r="AO836" i="32"/>
  <c r="AS836" i="32"/>
  <c r="AV836" i="32"/>
  <c r="AV894" i="10"/>
  <c r="AO894" i="32"/>
  <c r="AS894" i="32"/>
  <c r="AV894" i="32"/>
  <c r="AO898" i="10"/>
  <c r="AO898" i="32"/>
  <c r="AS898" i="32"/>
  <c r="AV898" i="32"/>
  <c r="AN832" i="10"/>
  <c r="AN832" i="32"/>
  <c r="AN884" i="10"/>
  <c r="AN884" i="32"/>
  <c r="AN848" i="10"/>
  <c r="AN848" i="32"/>
  <c r="AN875" i="10"/>
  <c r="AN875" i="32"/>
  <c r="AV559" i="10"/>
  <c r="AN837" i="10"/>
  <c r="AN837" i="32"/>
  <c r="AO835" i="10"/>
  <c r="AO835" i="32"/>
  <c r="AS835" i="32"/>
  <c r="AV835" i="32"/>
  <c r="AN847" i="10"/>
  <c r="AN847" i="32"/>
  <c r="AO846" i="32"/>
  <c r="AV846" i="32"/>
  <c r="AS846" i="32"/>
  <c r="AN422" i="10"/>
  <c r="AN422" i="32"/>
  <c r="AN895" i="10"/>
  <c r="AN895" i="32"/>
  <c r="AO839" i="32"/>
  <c r="AV839" i="32"/>
  <c r="AS839" i="32"/>
  <c r="AV828" i="10"/>
  <c r="AO828" i="32"/>
  <c r="AS828" i="32"/>
  <c r="AV828" i="32"/>
  <c r="AO843" i="10"/>
  <c r="AO843" i="32"/>
  <c r="AV843" i="32"/>
  <c r="AS843" i="32"/>
  <c r="AN886" i="10"/>
  <c r="AN886" i="32"/>
  <c r="AN879" i="10"/>
  <c r="AN879" i="32"/>
  <c r="AO882" i="32"/>
  <c r="AV882" i="32"/>
  <c r="AS882" i="32"/>
  <c r="AO872" i="32"/>
  <c r="AV872" i="32"/>
  <c r="AS872" i="32"/>
  <c r="AN849" i="10"/>
  <c r="AN849" i="32"/>
  <c r="AO844" i="10"/>
  <c r="AO844" i="32"/>
  <c r="AV844" i="32"/>
  <c r="AS844" i="32"/>
  <c r="AA123" i="24"/>
  <c r="AG123" i="12" s="1"/>
  <c r="AA123" i="29"/>
  <c r="AN874" i="10"/>
  <c r="AN874" i="32"/>
  <c r="AN864" i="10"/>
  <c r="AN864" i="32"/>
  <c r="AN830" i="10"/>
  <c r="AN830" i="32"/>
  <c r="AO871" i="10"/>
  <c r="AO871" i="32"/>
  <c r="AS871" i="32"/>
  <c r="AV871" i="32"/>
  <c r="AN883" i="10"/>
  <c r="AN883" i="32"/>
  <c r="AN853" i="10"/>
  <c r="AN853" i="32"/>
  <c r="AN888" i="10"/>
  <c r="AN888" i="32"/>
  <c r="AO829" i="32"/>
  <c r="AS829" i="32"/>
  <c r="AV829" i="32"/>
  <c r="AO891" i="32"/>
  <c r="AV891" i="32"/>
  <c r="AS891" i="32"/>
  <c r="AO892" i="32"/>
  <c r="AV892" i="32"/>
  <c r="AS892" i="32"/>
  <c r="AN871" i="10"/>
  <c r="AN871" i="32"/>
  <c r="AN880" i="10"/>
  <c r="AN880" i="32"/>
  <c r="AA104" i="24"/>
  <c r="AG104" i="12" s="1"/>
  <c r="AN890" i="10"/>
  <c r="AN890" i="32"/>
  <c r="AO877" i="32"/>
  <c r="AV877" i="32"/>
  <c r="AS877" i="32"/>
  <c r="AN891" i="10"/>
  <c r="AN891" i="32"/>
  <c r="AN836" i="10"/>
  <c r="AN836" i="32"/>
  <c r="AN828" i="10"/>
  <c r="AN828" i="32"/>
  <c r="AO830" i="32"/>
  <c r="AV830" i="32"/>
  <c r="AS830" i="32"/>
  <c r="AO848" i="32"/>
  <c r="AS848" i="32"/>
  <c r="AV848" i="32"/>
  <c r="AN893" i="10"/>
  <c r="AN893" i="32"/>
  <c r="AO831" i="32"/>
  <c r="AV831" i="32"/>
  <c r="AS831" i="32"/>
  <c r="AO833" i="32"/>
  <c r="AV833" i="32"/>
  <c r="AS833" i="32"/>
  <c r="AN843" i="10"/>
  <c r="AN843" i="32"/>
  <c r="AN896" i="10"/>
  <c r="AN896" i="32"/>
  <c r="AO888" i="32"/>
  <c r="AS888" i="32"/>
  <c r="AV888" i="32"/>
  <c r="AO896" i="10"/>
  <c r="AO896" i="32"/>
  <c r="AV896" i="32"/>
  <c r="AS896" i="32"/>
  <c r="U103" i="24"/>
  <c r="AA103" i="12" s="1"/>
  <c r="AN829" i="10"/>
  <c r="AN829" i="32"/>
  <c r="AV889" i="10"/>
  <c r="AO889" i="32"/>
  <c r="AS889" i="32"/>
  <c r="AV889" i="32"/>
  <c r="AN852" i="10"/>
  <c r="AN852" i="32"/>
  <c r="AN865" i="10"/>
  <c r="AN865" i="32"/>
  <c r="AN809" i="10"/>
  <c r="AN809" i="32"/>
  <c r="AN839" i="10"/>
  <c r="AN839" i="32"/>
  <c r="AO869" i="32"/>
  <c r="AS869" i="32"/>
  <c r="AV869" i="32"/>
  <c r="AO850" i="32"/>
  <c r="AV850" i="32"/>
  <c r="AS850" i="32"/>
  <c r="AO832" i="32"/>
  <c r="AS832" i="32"/>
  <c r="AV832" i="32"/>
  <c r="AO876" i="32"/>
  <c r="AS876" i="32"/>
  <c r="AV876" i="32"/>
  <c r="AO873" i="32"/>
  <c r="AV873" i="32"/>
  <c r="AS873" i="32"/>
  <c r="AN807" i="10"/>
  <c r="AN807" i="32"/>
  <c r="AO884" i="32"/>
  <c r="AV884" i="32"/>
  <c r="AS884" i="32"/>
  <c r="AO866" i="32"/>
  <c r="AV866" i="32"/>
  <c r="AS866" i="32"/>
  <c r="AO865" i="32"/>
  <c r="AS865" i="32"/>
  <c r="AV865" i="32"/>
  <c r="AO886" i="32"/>
  <c r="AS886" i="32"/>
  <c r="AV886" i="32"/>
  <c r="AO845" i="32"/>
  <c r="AV845" i="32"/>
  <c r="AS845" i="32"/>
  <c r="AN834" i="10"/>
  <c r="AN834" i="32"/>
  <c r="AN887" i="10"/>
  <c r="AN887" i="32"/>
  <c r="AN866" i="10"/>
  <c r="AN866" i="32"/>
  <c r="AN831" i="10"/>
  <c r="AN831" i="32"/>
  <c r="AA120" i="29"/>
  <c r="AA120" i="24"/>
  <c r="AG120" i="12" s="1"/>
  <c r="AS893" i="10"/>
  <c r="AO893" i="32"/>
  <c r="AS893" i="32"/>
  <c r="AV893" i="32"/>
  <c r="AS842" i="10"/>
  <c r="AO842" i="32"/>
  <c r="AV842" i="32"/>
  <c r="AS842" i="32"/>
  <c r="AO852" i="32"/>
  <c r="AS852" i="32"/>
  <c r="AV852" i="32"/>
  <c r="AO559" i="10"/>
  <c r="AN898" i="10"/>
  <c r="AN898" i="32"/>
  <c r="AN553" i="10"/>
  <c r="AN553" i="32"/>
  <c r="AN851" i="10"/>
  <c r="AN851" i="32"/>
  <c r="AN838" i="10"/>
  <c r="AN838" i="32"/>
  <c r="AN882" i="10"/>
  <c r="AN882" i="32"/>
  <c r="AN845" i="10"/>
  <c r="AN845" i="32"/>
  <c r="AO838" i="32"/>
  <c r="AS838" i="32"/>
  <c r="AV838" i="32"/>
  <c r="AO887" i="32"/>
  <c r="AS887" i="32"/>
  <c r="AV887" i="32"/>
  <c r="AN844" i="10"/>
  <c r="AN844" i="32"/>
  <c r="AN868" i="10"/>
  <c r="AN868" i="32"/>
  <c r="AO895" i="32"/>
  <c r="AV895" i="32"/>
  <c r="AS895" i="32"/>
  <c r="AN889" i="10"/>
  <c r="AN889" i="32"/>
  <c r="AO885" i="32"/>
  <c r="AV885" i="32"/>
  <c r="AS885" i="32"/>
  <c r="AN876" i="10"/>
  <c r="AN876" i="32"/>
  <c r="AO868" i="10"/>
  <c r="AO868" i="32"/>
  <c r="AV868" i="32"/>
  <c r="AS868" i="32"/>
  <c r="AA104" i="29"/>
  <c r="AN593" i="10"/>
  <c r="AN593" i="32"/>
  <c r="AO864" i="32"/>
  <c r="AV864" i="32"/>
  <c r="AS864" i="32"/>
  <c r="AN835" i="10"/>
  <c r="AN835" i="32"/>
  <c r="AN892" i="10"/>
  <c r="AN892" i="32"/>
  <c r="AN877" i="10"/>
  <c r="AN877" i="32"/>
  <c r="AN872" i="10"/>
  <c r="AN872" i="32"/>
  <c r="AA105" i="29"/>
  <c r="AO878" i="32"/>
  <c r="AV878" i="32"/>
  <c r="AS878" i="32"/>
  <c r="AN867" i="10"/>
  <c r="AN867" i="32"/>
  <c r="AN846" i="10"/>
  <c r="AN846" i="32"/>
  <c r="AN850" i="10"/>
  <c r="AN850" i="32"/>
  <c r="AO851" i="32"/>
  <c r="AS851" i="32"/>
  <c r="AV851" i="32"/>
  <c r="AA115" i="24"/>
  <c r="AG115" i="12" s="1"/>
  <c r="AA109" i="24"/>
  <c r="AG109" i="12" s="1"/>
  <c r="AN885" i="10"/>
  <c r="AN885" i="32"/>
  <c r="AO853" i="32"/>
  <c r="AV853" i="32"/>
  <c r="AS853" i="32"/>
  <c r="AO880" i="32"/>
  <c r="AS880" i="32"/>
  <c r="AV880" i="32"/>
  <c r="AN873" i="10"/>
  <c r="AN873" i="32"/>
  <c r="AN802" i="10"/>
  <c r="AN802" i="32"/>
  <c r="AN833" i="10"/>
  <c r="AN833" i="32"/>
  <c r="AN878" i="10"/>
  <c r="AN878" i="32"/>
  <c r="U73" i="24"/>
  <c r="AA73" i="12" s="1"/>
  <c r="AO870" i="10"/>
  <c r="AO870" i="32"/>
  <c r="AV870" i="32"/>
  <c r="AS870" i="32"/>
  <c r="AN436" i="32"/>
  <c r="AS329" i="10"/>
  <c r="AN730" i="32"/>
  <c r="AN730" i="10"/>
  <c r="AN583" i="32"/>
  <c r="AV583" i="32"/>
  <c r="AN511" i="32"/>
  <c r="AN511" i="10"/>
  <c r="AN695" i="10"/>
  <c r="AN443" i="32"/>
  <c r="AN443" i="10"/>
  <c r="AV481" i="32"/>
  <c r="AO165" i="10"/>
  <c r="AS165" i="10"/>
  <c r="AV165" i="10"/>
  <c r="AO119" i="10"/>
  <c r="AS119" i="10"/>
  <c r="AV119" i="10"/>
  <c r="AO556" i="10"/>
  <c r="AS556" i="10"/>
  <c r="AV556" i="10"/>
  <c r="AV518" i="10"/>
  <c r="AS481" i="32"/>
  <c r="AS518" i="10"/>
  <c r="AN461" i="32"/>
  <c r="AO583" i="32"/>
  <c r="AN768" i="32"/>
  <c r="AN759" i="32"/>
  <c r="AS583" i="32"/>
  <c r="AN905" i="32"/>
  <c r="AS583" i="10"/>
  <c r="AV583" i="10"/>
  <c r="AS461" i="10"/>
  <c r="AO461" i="10"/>
  <c r="AO905" i="10"/>
  <c r="AV461" i="10"/>
  <c r="AS905" i="32"/>
  <c r="AV310" i="32"/>
  <c r="AO905" i="32"/>
  <c r="AV461" i="32"/>
  <c r="AS461" i="32"/>
  <c r="AV905" i="32"/>
  <c r="AS905" i="10"/>
  <c r="AS590" i="10"/>
  <c r="AV590" i="10"/>
  <c r="AO590" i="10"/>
  <c r="AV643" i="10"/>
  <c r="AS643" i="10"/>
  <c r="AO643" i="10"/>
  <c r="AV587" i="10"/>
  <c r="AS587" i="10"/>
  <c r="AO587" i="10"/>
  <c r="AV593" i="10"/>
  <c r="AS593" i="10"/>
  <c r="AO593" i="10"/>
  <c r="AS586" i="10"/>
  <c r="AV586" i="10"/>
  <c r="AO586" i="10"/>
  <c r="AV588" i="10"/>
  <c r="AS588" i="10"/>
  <c r="AO588" i="10"/>
  <c r="AO642" i="10"/>
  <c r="AV642" i="10"/>
  <c r="AS642" i="10"/>
  <c r="AO591" i="10"/>
  <c r="AV591" i="10"/>
  <c r="AS591" i="10"/>
  <c r="AO589" i="10"/>
  <c r="AV589" i="10"/>
  <c r="AS589" i="10"/>
  <c r="AV592" i="10"/>
  <c r="AS592" i="10"/>
  <c r="AO592" i="10"/>
  <c r="AO481" i="32"/>
  <c r="AN345" i="32"/>
  <c r="AV443" i="10"/>
  <c r="AS481" i="10"/>
  <c r="AV481" i="10"/>
  <c r="AV975" i="10"/>
  <c r="AS975" i="10"/>
  <c r="AV544" i="10"/>
  <c r="AO443" i="10"/>
  <c r="AS544" i="10"/>
  <c r="AS443" i="10"/>
  <c r="AO544" i="10"/>
  <c r="AV898" i="10"/>
  <c r="AV345" i="10"/>
  <c r="AS898" i="10"/>
  <c r="AS601" i="10"/>
  <c r="AN481" i="32"/>
  <c r="AV443" i="32"/>
  <c r="AS345" i="10"/>
  <c r="AS395" i="10"/>
  <c r="AV601" i="10"/>
  <c r="AS443" i="32"/>
  <c r="AV395" i="10"/>
  <c r="AO601" i="10"/>
  <c r="AV395" i="32"/>
  <c r="AN329" i="32"/>
  <c r="AS395" i="32"/>
  <c r="AO395" i="32"/>
  <c r="AO345" i="10"/>
  <c r="AV893" i="10"/>
  <c r="AV345" i="32"/>
  <c r="AS345" i="32"/>
  <c r="AS785" i="10"/>
  <c r="AV536" i="10"/>
  <c r="AO785" i="10"/>
  <c r="AS536" i="10"/>
  <c r="AV813" i="10"/>
  <c r="AN746" i="32"/>
  <c r="AO536" i="10"/>
  <c r="AS813" i="10"/>
  <c r="AN484" i="32"/>
  <c r="AS820" i="10"/>
  <c r="AV820" i="10"/>
  <c r="AS868" i="10"/>
  <c r="AV329" i="32"/>
  <c r="AO310" i="10"/>
  <c r="AS329" i="32"/>
  <c r="AV868" i="10"/>
  <c r="AO329" i="32"/>
  <c r="AN395" i="32"/>
  <c r="AV310" i="10"/>
  <c r="AS310" i="32"/>
  <c r="AV511" i="10"/>
  <c r="AS310" i="10"/>
  <c r="AN310" i="32"/>
  <c r="AO511" i="10"/>
  <c r="AS598" i="32"/>
  <c r="AN341" i="32"/>
  <c r="AS511" i="10"/>
  <c r="AN754" i="32"/>
  <c r="AS919" i="10"/>
  <c r="AO329" i="10"/>
  <c r="AS436" i="32"/>
  <c r="AV548" i="10"/>
  <c r="AO436" i="10"/>
  <c r="AO484" i="10"/>
  <c r="AV375" i="10"/>
  <c r="AO436" i="32"/>
  <c r="AS375" i="10"/>
  <c r="AV436" i="32"/>
  <c r="AV807" i="10"/>
  <c r="AS843" i="10"/>
  <c r="AV511" i="32"/>
  <c r="AS807" i="10"/>
  <c r="AS972" i="10"/>
  <c r="AS511" i="32"/>
  <c r="AV972" i="10"/>
  <c r="AO919" i="10"/>
  <c r="AO652" i="10"/>
  <c r="AS957" i="10"/>
  <c r="AV491" i="32"/>
  <c r="AS915" i="10"/>
  <c r="AV957" i="10"/>
  <c r="AS491" i="32"/>
  <c r="AV652" i="10"/>
  <c r="AO700" i="10"/>
  <c r="AV485" i="10"/>
  <c r="AN529" i="32"/>
  <c r="AV915" i="10"/>
  <c r="AO485" i="10"/>
  <c r="AV598" i="10"/>
  <c r="AV896" i="10"/>
  <c r="AS635" i="10"/>
  <c r="AV973" i="10"/>
  <c r="AS598" i="10"/>
  <c r="AS896" i="10"/>
  <c r="AO894" i="10"/>
  <c r="AV700" i="10"/>
  <c r="AS973" i="10"/>
  <c r="AV341" i="10"/>
  <c r="AO598" i="10"/>
  <c r="AV341" i="32"/>
  <c r="AS894" i="10"/>
  <c r="AV436" i="10"/>
  <c r="AO341" i="10"/>
  <c r="AS341" i="32"/>
  <c r="AS341" i="10"/>
  <c r="AV484" i="10"/>
  <c r="AV598" i="32"/>
  <c r="AV843" i="10"/>
  <c r="AS548" i="10"/>
  <c r="AS752" i="10"/>
  <c r="AV870" i="10"/>
  <c r="AO826" i="10"/>
  <c r="AV513" i="10"/>
  <c r="AS806" i="10"/>
  <c r="AO513" i="10"/>
  <c r="AV909" i="10"/>
  <c r="AV806" i="10"/>
  <c r="AS491" i="10"/>
  <c r="AO828" i="10"/>
  <c r="AO315" i="10"/>
  <c r="AN491" i="32"/>
  <c r="AV484" i="32"/>
  <c r="AS828" i="10"/>
  <c r="AS835" i="10"/>
  <c r="AO825" i="10"/>
  <c r="AS909" i="10"/>
  <c r="AV491" i="10"/>
  <c r="AS871" i="10"/>
  <c r="AV968" i="10"/>
  <c r="AS484" i="32"/>
  <c r="AS484" i="10"/>
  <c r="AV835" i="10"/>
  <c r="AO491" i="10"/>
  <c r="AV871" i="10"/>
  <c r="AS968" i="10"/>
  <c r="AV826" i="10"/>
  <c r="AS870" i="10"/>
  <c r="AV608" i="10"/>
  <c r="AV315" i="10"/>
  <c r="AS608" i="10"/>
  <c r="AS355" i="10"/>
  <c r="AO893" i="10"/>
  <c r="AO842" i="10"/>
  <c r="AV355" i="10"/>
  <c r="AS824" i="10"/>
  <c r="AV836" i="10"/>
  <c r="AO836" i="10"/>
  <c r="AS889" i="10"/>
  <c r="AV318" i="10"/>
  <c r="AS916" i="10"/>
  <c r="AV946" i="10"/>
  <c r="AV842" i="10"/>
  <c r="AS502" i="10"/>
  <c r="AO889" i="10"/>
  <c r="AV916" i="10"/>
  <c r="AS946" i="10"/>
  <c r="AS761" i="10"/>
  <c r="AS844" i="10"/>
  <c r="AS945" i="10"/>
  <c r="AV761" i="10"/>
  <c r="AO824" i="10"/>
  <c r="AV844" i="10"/>
  <c r="AV945" i="10"/>
  <c r="AV822" i="10"/>
  <c r="AV936" i="10"/>
  <c r="AS822" i="10"/>
  <c r="AV825" i="10"/>
  <c r="AS936" i="10"/>
  <c r="AS730" i="32"/>
  <c r="AV730" i="32"/>
  <c r="AO730" i="32"/>
  <c r="AO739" i="32"/>
  <c r="AV739" i="32"/>
  <c r="AS739" i="32"/>
  <c r="AS697" i="32"/>
  <c r="AV697" i="32"/>
  <c r="AO697" i="32"/>
  <c r="AS770" i="32"/>
  <c r="AV770" i="32"/>
  <c r="AO770" i="32"/>
  <c r="AO42" i="32"/>
  <c r="AS42" i="32"/>
  <c r="AV42" i="32"/>
  <c r="AO47" i="32"/>
  <c r="AS47" i="32"/>
  <c r="AV47" i="32"/>
  <c r="AO162" i="32"/>
  <c r="AS162" i="32"/>
  <c r="AV162" i="32"/>
  <c r="AO94" i="32"/>
  <c r="AS94" i="32"/>
  <c r="AV94" i="32"/>
  <c r="AO134" i="32"/>
  <c r="AS134" i="32"/>
  <c r="AV134" i="32"/>
  <c r="AO127" i="32"/>
  <c r="AV127" i="32"/>
  <c r="AS127" i="32"/>
  <c r="AS18" i="32"/>
  <c r="AV18" i="32"/>
  <c r="AO18" i="32"/>
  <c r="AS103" i="32"/>
  <c r="AV103" i="32"/>
  <c r="AO103" i="32"/>
  <c r="AO152" i="32"/>
  <c r="AS152" i="32"/>
  <c r="AV152" i="32"/>
  <c r="AO26" i="32"/>
  <c r="AS26" i="32"/>
  <c r="AV26" i="32"/>
  <c r="AS123" i="32"/>
  <c r="AV123" i="32"/>
  <c r="AO123" i="32"/>
  <c r="AS914" i="32"/>
  <c r="AV914" i="32"/>
  <c r="AO914" i="32"/>
  <c r="AS966" i="32"/>
  <c r="AV966" i="32"/>
  <c r="AO966" i="32"/>
  <c r="AS606" i="32"/>
  <c r="AV606" i="32"/>
  <c r="AO606" i="32"/>
  <c r="AS907" i="32"/>
  <c r="AV907" i="32"/>
  <c r="AO907" i="32"/>
  <c r="AO330" i="32"/>
  <c r="AS330" i="32"/>
  <c r="AV330" i="32"/>
  <c r="AO59" i="32"/>
  <c r="AS59" i="32"/>
  <c r="AV59" i="32"/>
  <c r="AO286" i="32"/>
  <c r="AS286" i="32"/>
  <c r="AV286" i="32"/>
  <c r="AO230" i="32"/>
  <c r="AS230" i="32"/>
  <c r="AV230" i="32"/>
  <c r="AO899" i="32"/>
  <c r="AS899" i="32"/>
  <c r="AV899" i="32"/>
  <c r="AO323" i="32"/>
  <c r="AS323" i="32"/>
  <c r="AV323" i="32"/>
  <c r="AS783" i="32"/>
  <c r="AV783" i="32"/>
  <c r="AO783" i="32"/>
  <c r="AV280" i="32"/>
  <c r="AO280" i="32"/>
  <c r="AS280" i="32"/>
  <c r="AN465" i="32"/>
  <c r="AN410" i="32"/>
  <c r="AO545" i="10"/>
  <c r="AO545" i="32"/>
  <c r="AS545" i="32"/>
  <c r="AV545" i="32"/>
  <c r="AO516" i="10"/>
  <c r="AS516" i="32"/>
  <c r="AV516" i="32"/>
  <c r="AO516" i="32"/>
  <c r="AN687" i="32"/>
  <c r="AV233" i="10"/>
  <c r="AO233" i="32"/>
  <c r="V131" i="24" s="1"/>
  <c r="AB131" i="12" s="1"/>
  <c r="AS233" i="32"/>
  <c r="Z131" i="24" s="1"/>
  <c r="AF131" i="12" s="1"/>
  <c r="AV233" i="32"/>
  <c r="AC131" i="24" s="1"/>
  <c r="AO370" i="10"/>
  <c r="AN722" i="32"/>
  <c r="AN315" i="32"/>
  <c r="AO895" i="10"/>
  <c r="AV589" i="32"/>
  <c r="AO589" i="32"/>
  <c r="AS589" i="32"/>
  <c r="AN324" i="32"/>
  <c r="AV581" i="10"/>
  <c r="AS581" i="32"/>
  <c r="AV581" i="32"/>
  <c r="AO581" i="32"/>
  <c r="AO611" i="10"/>
  <c r="AO611" i="32"/>
  <c r="AS611" i="32"/>
  <c r="AV611" i="32"/>
  <c r="AS707" i="10"/>
  <c r="AO707" i="32"/>
  <c r="AS707" i="32"/>
  <c r="AV707" i="32"/>
  <c r="AO441" i="10"/>
  <c r="AO441" i="32"/>
  <c r="AS441" i="32"/>
  <c r="AV441" i="32"/>
  <c r="AO629" i="10"/>
  <c r="AO772" i="10"/>
  <c r="AV772" i="32"/>
  <c r="AO772" i="32"/>
  <c r="AS772" i="32"/>
  <c r="AS339" i="10"/>
  <c r="AO430" i="10"/>
  <c r="AO430" i="32"/>
  <c r="AS430" i="32"/>
  <c r="AV430" i="32"/>
  <c r="AN405" i="32"/>
  <c r="AS496" i="10"/>
  <c r="AN351" i="32"/>
  <c r="AN402" i="32"/>
  <c r="AN109" i="32"/>
  <c r="AN431" i="32"/>
  <c r="AN609" i="32"/>
  <c r="AN206" i="32"/>
  <c r="AN644" i="32"/>
  <c r="AS669" i="10"/>
  <c r="AV669" i="32"/>
  <c r="AO669" i="32"/>
  <c r="AS669" i="32"/>
  <c r="AN18" i="32"/>
  <c r="AN681" i="32"/>
  <c r="AN120" i="32"/>
  <c r="AN573" i="32"/>
  <c r="AN205" i="32"/>
  <c r="AV538" i="10"/>
  <c r="AO538" i="32"/>
  <c r="AS538" i="32"/>
  <c r="AV538" i="32"/>
  <c r="AN426" i="32"/>
  <c r="AN79" i="32"/>
  <c r="AN406" i="32"/>
  <c r="AN77" i="32"/>
  <c r="AN666" i="32"/>
  <c r="AN439" i="32"/>
  <c r="AN158" i="32"/>
  <c r="AN356" i="32"/>
  <c r="AN233" i="32"/>
  <c r="U131" i="24" s="1"/>
  <c r="AA131" i="12" s="1"/>
  <c r="AV577" i="10"/>
  <c r="AO577" i="32"/>
  <c r="AS577" i="32"/>
  <c r="AV577" i="32"/>
  <c r="AN280" i="32"/>
  <c r="AN142" i="32"/>
  <c r="AN361" i="32"/>
  <c r="AN202" i="32"/>
  <c r="AN688" i="32"/>
  <c r="AN693" i="32"/>
  <c r="AN444" i="32"/>
  <c r="AN586" i="32"/>
  <c r="AN435" i="32"/>
  <c r="AN194" i="32"/>
  <c r="AN458" i="32"/>
  <c r="AO355" i="32"/>
  <c r="AV355" i="32"/>
  <c r="AS355" i="32"/>
  <c r="AN464" i="32"/>
  <c r="AN97" i="32"/>
  <c r="AN955" i="32"/>
  <c r="AS957" i="32"/>
  <c r="AV957" i="32"/>
  <c r="AO957" i="32"/>
  <c r="AN902" i="32"/>
  <c r="AS768" i="32"/>
  <c r="AV768" i="32"/>
  <c r="AO768" i="32"/>
  <c r="AO780" i="32"/>
  <c r="AS780" i="32"/>
  <c r="AV780" i="32"/>
  <c r="AS681" i="32"/>
  <c r="AV681" i="32"/>
  <c r="AO681" i="32"/>
  <c r="AO118" i="32"/>
  <c r="AS118" i="32"/>
  <c r="AV118" i="32"/>
  <c r="AO101" i="32"/>
  <c r="AS101" i="32"/>
  <c r="AV101" i="32"/>
  <c r="AS137" i="32"/>
  <c r="AV137" i="32"/>
  <c r="AO137" i="32"/>
  <c r="AO97" i="32"/>
  <c r="AS97" i="32"/>
  <c r="AV97" i="32"/>
  <c r="AO76" i="32"/>
  <c r="AS76" i="32"/>
  <c r="AV76" i="32"/>
  <c r="AO144" i="32"/>
  <c r="AV144" i="32"/>
  <c r="AS144" i="32"/>
  <c r="AS122" i="32"/>
  <c r="AV122" i="32"/>
  <c r="AO122" i="32"/>
  <c r="AV191" i="32"/>
  <c r="AO191" i="32"/>
  <c r="AS191" i="32"/>
  <c r="AO186" i="32"/>
  <c r="AS186" i="32"/>
  <c r="AV186" i="32"/>
  <c r="AO23" i="32"/>
  <c r="AV23" i="32"/>
  <c r="AS23" i="32"/>
  <c r="AO197" i="32"/>
  <c r="AS197" i="32"/>
  <c r="AV197" i="32"/>
  <c r="AO904" i="32"/>
  <c r="AS904" i="32"/>
  <c r="AV904" i="32"/>
  <c r="AN806" i="32"/>
  <c r="AS951" i="32"/>
  <c r="AV951" i="32"/>
  <c r="AO951" i="32"/>
  <c r="AS751" i="32"/>
  <c r="AV751" i="32"/>
  <c r="AO751" i="32"/>
  <c r="AV246" i="32"/>
  <c r="AO246" i="32"/>
  <c r="AS246" i="32"/>
  <c r="AO632" i="32"/>
  <c r="AS632" i="32"/>
  <c r="AV632" i="32"/>
  <c r="AO258" i="32"/>
  <c r="AS258" i="32"/>
  <c r="AV258" i="32"/>
  <c r="AO617" i="32"/>
  <c r="AS617" i="32"/>
  <c r="AV617" i="32"/>
  <c r="AO453" i="32"/>
  <c r="AS453" i="32"/>
  <c r="AV453" i="32"/>
  <c r="AO740" i="32"/>
  <c r="AV740" i="32"/>
  <c r="AS740" i="32"/>
  <c r="AS394" i="32"/>
  <c r="AV394" i="32"/>
  <c r="AO394" i="32"/>
  <c r="AO506" i="32"/>
  <c r="AS506" i="32"/>
  <c r="AV506" i="32"/>
  <c r="AV398" i="32"/>
  <c r="AO398" i="32"/>
  <c r="AS398" i="32"/>
  <c r="AS486" i="10"/>
  <c r="AS486" i="32"/>
  <c r="AV486" i="32"/>
  <c r="AO486" i="32"/>
  <c r="AO337" i="10"/>
  <c r="AO576" i="10"/>
  <c r="AO576" i="32"/>
  <c r="AS576" i="32"/>
  <c r="AV576" i="32"/>
  <c r="AO525" i="10"/>
  <c r="AO550" i="10"/>
  <c r="AS550" i="32"/>
  <c r="AV550" i="32"/>
  <c r="AO550" i="32"/>
  <c r="AO275" i="10"/>
  <c r="AO621" i="10"/>
  <c r="AS621" i="32"/>
  <c r="AV621" i="32"/>
  <c r="AO621" i="32"/>
  <c r="AN409" i="32"/>
  <c r="AO616" i="10"/>
  <c r="AO616" i="32"/>
  <c r="AS616" i="32"/>
  <c r="AV616" i="32"/>
  <c r="AV325" i="10"/>
  <c r="AO325" i="32"/>
  <c r="AS325" i="32"/>
  <c r="AV325" i="32"/>
  <c r="AN820" i="32"/>
  <c r="AO584" i="10"/>
  <c r="AV505" i="10"/>
  <c r="AO505" i="32"/>
  <c r="AS505" i="32"/>
  <c r="AV505" i="32"/>
  <c r="AO653" i="10"/>
  <c r="AO653" i="32"/>
  <c r="AS653" i="32"/>
  <c r="AV653" i="32"/>
  <c r="AS229" i="10"/>
  <c r="AV229" i="32"/>
  <c r="AO229" i="32"/>
  <c r="AS229" i="32"/>
  <c r="AV335" i="10"/>
  <c r="AV335" i="32"/>
  <c r="AO335" i="32"/>
  <c r="AS335" i="32"/>
  <c r="AO793" i="10"/>
  <c r="AV793" i="32"/>
  <c r="AO793" i="32"/>
  <c r="AS793" i="32"/>
  <c r="AS595" i="10"/>
  <c r="AO595" i="32"/>
  <c r="AS595" i="32"/>
  <c r="AV595" i="32"/>
  <c r="AO702" i="10"/>
  <c r="AO435" i="10"/>
  <c r="AV435" i="32"/>
  <c r="AO435" i="32"/>
  <c r="AS435" i="32"/>
  <c r="AV412" i="10"/>
  <c r="AS412" i="32"/>
  <c r="AO412" i="32"/>
  <c r="AV412" i="32"/>
  <c r="AV694" i="10"/>
  <c r="AO467" i="10"/>
  <c r="AV467" i="32"/>
  <c r="AO467" i="32"/>
  <c r="AS467" i="32"/>
  <c r="AO306" i="10"/>
  <c r="AO306" i="32"/>
  <c r="AS306" i="32"/>
  <c r="AV306" i="32"/>
  <c r="AN615" i="32"/>
  <c r="AN29" i="32"/>
  <c r="AS409" i="10"/>
  <c r="AO409" i="32"/>
  <c r="AS409" i="32"/>
  <c r="AV409" i="32"/>
  <c r="AN64" i="32"/>
  <c r="AN624" i="32"/>
  <c r="AN417" i="32"/>
  <c r="AN391" i="32"/>
  <c r="AN728" i="32"/>
  <c r="AN199" i="32"/>
  <c r="AN454" i="32"/>
  <c r="AV316" i="10"/>
  <c r="AS316" i="32"/>
  <c r="AV316" i="32"/>
  <c r="AO316" i="32"/>
  <c r="AN139" i="32"/>
  <c r="AN460" i="32"/>
  <c r="AN504" i="32"/>
  <c r="AN102" i="32"/>
  <c r="AN777" i="32"/>
  <c r="AN781" i="32"/>
  <c r="AN462" i="32"/>
  <c r="AN155" i="32"/>
  <c r="AN296" i="32"/>
  <c r="AN711" i="32"/>
  <c r="AN783" i="32"/>
  <c r="AN766" i="32"/>
  <c r="AN703" i="32"/>
  <c r="AV585" i="10"/>
  <c r="AV585" i="32"/>
  <c r="AO585" i="32"/>
  <c r="AS585" i="32"/>
  <c r="AN309" i="32"/>
  <c r="AN59" i="32"/>
  <c r="AN676" i="32"/>
  <c r="AN21" i="32"/>
  <c r="AN272" i="32"/>
  <c r="AN33" i="32"/>
  <c r="AV502" i="10"/>
  <c r="AS502" i="32"/>
  <c r="AV502" i="32"/>
  <c r="AO502" i="32"/>
  <c r="AN350" i="32"/>
  <c r="AN182" i="32"/>
  <c r="AN667" i="32"/>
  <c r="AN641" i="32"/>
  <c r="AN682" i="32"/>
  <c r="AN200" i="32"/>
  <c r="AN814" i="32"/>
  <c r="AN904" i="32"/>
  <c r="AN795" i="32"/>
  <c r="AO826" i="32"/>
  <c r="AS826" i="32"/>
  <c r="AV826" i="32"/>
  <c r="AO778" i="32"/>
  <c r="AS778" i="32"/>
  <c r="AV778" i="32"/>
  <c r="AO782" i="32"/>
  <c r="AS782" i="32"/>
  <c r="AV782" i="32"/>
  <c r="AO675" i="32"/>
  <c r="AS675" i="32"/>
  <c r="AV675" i="32"/>
  <c r="AV38" i="32"/>
  <c r="AO38" i="32"/>
  <c r="AS38" i="32"/>
  <c r="AS139" i="32"/>
  <c r="AV139" i="32"/>
  <c r="AO139" i="32"/>
  <c r="AV158" i="32"/>
  <c r="AO158" i="32"/>
  <c r="AS158" i="32"/>
  <c r="AS156" i="32"/>
  <c r="AV156" i="32"/>
  <c r="AO156" i="32"/>
  <c r="AS105" i="32"/>
  <c r="AV105" i="32"/>
  <c r="AO105" i="32"/>
  <c r="AV143" i="32"/>
  <c r="AO143" i="32"/>
  <c r="AS143" i="32"/>
  <c r="AV73" i="32"/>
  <c r="AO73" i="32"/>
  <c r="AS73" i="32"/>
  <c r="AS71" i="32"/>
  <c r="AV71" i="32"/>
  <c r="AO71" i="32"/>
  <c r="AO85" i="32"/>
  <c r="AS85" i="32"/>
  <c r="AV85" i="32"/>
  <c r="AO129" i="32"/>
  <c r="AS129" i="32"/>
  <c r="AV129" i="32"/>
  <c r="AO817" i="32"/>
  <c r="AS817" i="32"/>
  <c r="AV817" i="32"/>
  <c r="AS953" i="32"/>
  <c r="AV953" i="32"/>
  <c r="AO953" i="32"/>
  <c r="AS962" i="32"/>
  <c r="AV962" i="32"/>
  <c r="AO962" i="32"/>
  <c r="AN916" i="32"/>
  <c r="AO284" i="32"/>
  <c r="AS284" i="32"/>
  <c r="AV284" i="32"/>
  <c r="AO363" i="32"/>
  <c r="AS363" i="32"/>
  <c r="AV363" i="32"/>
  <c r="AS244" i="32"/>
  <c r="AV244" i="32"/>
  <c r="AO244" i="32"/>
  <c r="AO546" i="32"/>
  <c r="AS546" i="32"/>
  <c r="AV546" i="32"/>
  <c r="AO691" i="32"/>
  <c r="AS691" i="32"/>
  <c r="AV691" i="32"/>
  <c r="AS941" i="32"/>
  <c r="AV941" i="32"/>
  <c r="AO941" i="32"/>
  <c r="AO413" i="32"/>
  <c r="AS413" i="32"/>
  <c r="AV413" i="32"/>
  <c r="AV488" i="32"/>
  <c r="AO488" i="32"/>
  <c r="AS488" i="32"/>
  <c r="AV402" i="32"/>
  <c r="AO402" i="32"/>
  <c r="AS402" i="32"/>
  <c r="AN577" i="32"/>
  <c r="AO281" i="10"/>
  <c r="AV281" i="32"/>
  <c r="AO281" i="32"/>
  <c r="AS281" i="32"/>
  <c r="AO800" i="10"/>
  <c r="AV800" i="32"/>
  <c r="AO800" i="32"/>
  <c r="AS800" i="32"/>
  <c r="AV533" i="10"/>
  <c r="AS533" i="32"/>
  <c r="AV533" i="32"/>
  <c r="AO533" i="32"/>
  <c r="AN737" i="32"/>
  <c r="AO270" i="10"/>
  <c r="AO270" i="32"/>
  <c r="AS270" i="32"/>
  <c r="AV270" i="32"/>
  <c r="AO319" i="10"/>
  <c r="AV319" i="32"/>
  <c r="AO319" i="32"/>
  <c r="AS319" i="32"/>
  <c r="AV433" i="10"/>
  <c r="AS433" i="32"/>
  <c r="AV433" i="32"/>
  <c r="AO433" i="32"/>
  <c r="AO607" i="10"/>
  <c r="AS607" i="32"/>
  <c r="AV607" i="32"/>
  <c r="AO607" i="32"/>
  <c r="AV960" i="10"/>
  <c r="AS960" i="32"/>
  <c r="AV960" i="32"/>
  <c r="AO960" i="32"/>
  <c r="AN513" i="32"/>
  <c r="AO376" i="10"/>
  <c r="AS328" i="10"/>
  <c r="AO328" i="32"/>
  <c r="AS328" i="32"/>
  <c r="AV328" i="32"/>
  <c r="AN362" i="32"/>
  <c r="AN671" i="32"/>
  <c r="AS558" i="10"/>
  <c r="AS578" i="10"/>
  <c r="AO578" i="32"/>
  <c r="AS578" i="32"/>
  <c r="AV578" i="32"/>
  <c r="AV590" i="32"/>
  <c r="AO590" i="32"/>
  <c r="AS590" i="32"/>
  <c r="AN408" i="32"/>
  <c r="AS514" i="10"/>
  <c r="AO514" i="32"/>
  <c r="AS514" i="32"/>
  <c r="AV514" i="32"/>
  <c r="AO271" i="10"/>
  <c r="AO271" i="32"/>
  <c r="AS271" i="32"/>
  <c r="AV271" i="32"/>
  <c r="AO300" i="10"/>
  <c r="AV300" i="32"/>
  <c r="AO300" i="32"/>
  <c r="AS300" i="32"/>
  <c r="AO439" i="10"/>
  <c r="AO439" i="32"/>
  <c r="AS439" i="32"/>
  <c r="AV439" i="32"/>
  <c r="AO573" i="10"/>
  <c r="AO573" i="32"/>
  <c r="AS573" i="32"/>
  <c r="AV573" i="32"/>
  <c r="AN429" i="32"/>
  <c r="AN764" i="32"/>
  <c r="AN604" i="32"/>
  <c r="AN193" i="32"/>
  <c r="AN599" i="32"/>
  <c r="AO622" i="10"/>
  <c r="AS622" i="32"/>
  <c r="AV622" i="32"/>
  <c r="AO622" i="32"/>
  <c r="AN331" i="32"/>
  <c r="AN755" i="32"/>
  <c r="AN54" i="32"/>
  <c r="AN369" i="32"/>
  <c r="AN507" i="32"/>
  <c r="AN168" i="32"/>
  <c r="AN623" i="32"/>
  <c r="AN297" i="32"/>
  <c r="AN94" i="32"/>
  <c r="AN92" i="32"/>
  <c r="AN582" i="32"/>
  <c r="AN680" i="32"/>
  <c r="AN132" i="32"/>
  <c r="AN745" i="32"/>
  <c r="AN311" i="32"/>
  <c r="AN590" i="32"/>
  <c r="AN689" i="32"/>
  <c r="AS410" i="10"/>
  <c r="AV410" i="32"/>
  <c r="AO410" i="32"/>
  <c r="AS410" i="32"/>
  <c r="AN646" i="32"/>
  <c r="AN40" i="32"/>
  <c r="AN483" i="32"/>
  <c r="AN24" i="32"/>
  <c r="AN317" i="32"/>
  <c r="AN237" i="32"/>
  <c r="U133" i="24" s="1"/>
  <c r="AA133" i="12" s="1"/>
  <c r="AN99" i="32"/>
  <c r="AV638" i="10"/>
  <c r="AS638" i="32"/>
  <c r="AV638" i="32"/>
  <c r="AO638" i="32"/>
  <c r="AN607" i="32"/>
  <c r="AN161" i="32"/>
  <c r="AN631" i="32"/>
  <c r="AN330" i="32"/>
  <c r="AN387" i="32"/>
  <c r="AN675" i="32"/>
  <c r="AN56" i="32"/>
  <c r="AS946" i="32"/>
  <c r="AV946" i="32"/>
  <c r="AO946" i="32"/>
  <c r="AN899" i="32"/>
  <c r="AN969" i="32"/>
  <c r="AO825" i="32"/>
  <c r="AS825" i="32"/>
  <c r="AV825" i="32"/>
  <c r="AN977" i="32"/>
  <c r="AN917" i="32"/>
  <c r="AN951" i="32"/>
  <c r="AV754" i="32"/>
  <c r="AO754" i="32"/>
  <c r="AS754" i="32"/>
  <c r="AO773" i="32"/>
  <c r="AS773" i="32"/>
  <c r="AV773" i="32"/>
  <c r="AO759" i="32"/>
  <c r="AS759" i="32"/>
  <c r="AV759" i="32"/>
  <c r="AO725" i="32"/>
  <c r="V103" i="29" s="1"/>
  <c r="AS725" i="32"/>
  <c r="Z103" i="29" s="1"/>
  <c r="AV725" i="32"/>
  <c r="AC103" i="29" s="1"/>
  <c r="AS205" i="32"/>
  <c r="AV205" i="32"/>
  <c r="AO205" i="32"/>
  <c r="AO131" i="32"/>
  <c r="AS131" i="32"/>
  <c r="AV131" i="32"/>
  <c r="AO145" i="32"/>
  <c r="AS145" i="32"/>
  <c r="AV145" i="32"/>
  <c r="AV56" i="32"/>
  <c r="AO56" i="32"/>
  <c r="AS56" i="32"/>
  <c r="AO120" i="32"/>
  <c r="AS120" i="32"/>
  <c r="AV120" i="32"/>
  <c r="AO109" i="32"/>
  <c r="AS109" i="32"/>
  <c r="AV109" i="32"/>
  <c r="AS15" i="32"/>
  <c r="AV15" i="32"/>
  <c r="AO15" i="32"/>
  <c r="AO41" i="32"/>
  <c r="AV41" i="32"/>
  <c r="AS41" i="32"/>
  <c r="AO183" i="32"/>
  <c r="AS183" i="32"/>
  <c r="AV183" i="32"/>
  <c r="AV91" i="32"/>
  <c r="AO91" i="32"/>
  <c r="AS91" i="32"/>
  <c r="AS940" i="32"/>
  <c r="AV940" i="32"/>
  <c r="AO940" i="32"/>
  <c r="AV504" i="32"/>
  <c r="AO504" i="32"/>
  <c r="AS504" i="32"/>
  <c r="AO446" i="32"/>
  <c r="AS446" i="32"/>
  <c r="AV446" i="32"/>
  <c r="AS963" i="32"/>
  <c r="AV963" i="32"/>
  <c r="AO963" i="32"/>
  <c r="AN735" i="32"/>
  <c r="AV625" i="10"/>
  <c r="AV625" i="32"/>
  <c r="AO625" i="32"/>
  <c r="AS625" i="32"/>
  <c r="AO245" i="10"/>
  <c r="AS245" i="32"/>
  <c r="AV245" i="32"/>
  <c r="AO245" i="32"/>
  <c r="AN957" i="32"/>
  <c r="AO332" i="10"/>
  <c r="AS332" i="32"/>
  <c r="AV332" i="32"/>
  <c r="AO332" i="32"/>
  <c r="AO555" i="10"/>
  <c r="AO555" i="32"/>
  <c r="AS555" i="32"/>
  <c r="AV555" i="32"/>
  <c r="AO647" i="10"/>
  <c r="AO528" i="10"/>
  <c r="AO528" i="32"/>
  <c r="AS528" i="32"/>
  <c r="AV528" i="32"/>
  <c r="AS594" i="10"/>
  <c r="AO232" i="10"/>
  <c r="AN489" i="32"/>
  <c r="AO678" i="10"/>
  <c r="AO678" i="32"/>
  <c r="AS678" i="32"/>
  <c r="AV678" i="32"/>
  <c r="AO551" i="10"/>
  <c r="AO603" i="10"/>
  <c r="AO603" i="32"/>
  <c r="AS603" i="32"/>
  <c r="AV603" i="32"/>
  <c r="AO404" i="10"/>
  <c r="AO404" i="32"/>
  <c r="AS404" i="32"/>
  <c r="AV404" i="32"/>
  <c r="AS272" i="10"/>
  <c r="AO272" i="32"/>
  <c r="AS272" i="32"/>
  <c r="AV272" i="32"/>
  <c r="AO619" i="10"/>
  <c r="AO619" i="32"/>
  <c r="AS619" i="32"/>
  <c r="AV619" i="32"/>
  <c r="AO392" i="10"/>
  <c r="AO392" i="32"/>
  <c r="AS392" i="32"/>
  <c r="AV392" i="32"/>
  <c r="AS779" i="10"/>
  <c r="AO779" i="32"/>
  <c r="AS779" i="32"/>
  <c r="AV779" i="32"/>
  <c r="AV226" i="10"/>
  <c r="AS226" i="32"/>
  <c r="AV226" i="32"/>
  <c r="AO226" i="32"/>
  <c r="AV517" i="10"/>
  <c r="AS517" i="32"/>
  <c r="AV517" i="32"/>
  <c r="AO517" i="32"/>
  <c r="AO308" i="10"/>
  <c r="AO308" i="32"/>
  <c r="AS308" i="32"/>
  <c r="AV308" i="32"/>
  <c r="AO321" i="10"/>
  <c r="AO321" i="32"/>
  <c r="AV321" i="32"/>
  <c r="AS321" i="32"/>
  <c r="AO515" i="10"/>
  <c r="AS515" i="32"/>
  <c r="AV515" i="32"/>
  <c r="AO515" i="32"/>
  <c r="AN973" i="32"/>
  <c r="AN274" i="32"/>
  <c r="AN753" i="32"/>
  <c r="AN211" i="32"/>
  <c r="AN748" i="32"/>
  <c r="AN581" i="32"/>
  <c r="AN210" i="32"/>
  <c r="AN486" i="32"/>
  <c r="AN328" i="32"/>
  <c r="AN686" i="32"/>
  <c r="AN632" i="32"/>
  <c r="AN187" i="32"/>
  <c r="AN515" i="32"/>
  <c r="AN397" i="32"/>
  <c r="AN137" i="32"/>
  <c r="AN471" i="32"/>
  <c r="AN597" i="32"/>
  <c r="AN171" i="32"/>
  <c r="AN43" i="32"/>
  <c r="AN295" i="32"/>
  <c r="AN639" i="32"/>
  <c r="AN243" i="32"/>
  <c r="AV670" i="10"/>
  <c r="AO670" i="32"/>
  <c r="AS670" i="32"/>
  <c r="AV670" i="32"/>
  <c r="AN32" i="32"/>
  <c r="AS358" i="10"/>
  <c r="AO358" i="32"/>
  <c r="AS358" i="32"/>
  <c r="AV358" i="32"/>
  <c r="AN595" i="32"/>
  <c r="AN415" i="32"/>
  <c r="AN516" i="32"/>
  <c r="AN344" i="32"/>
  <c r="AN520" i="32"/>
  <c r="AN118" i="32"/>
  <c r="AN468" i="32"/>
  <c r="AN441" i="32"/>
  <c r="AN173" i="32"/>
  <c r="AN423" i="32"/>
  <c r="AN354" i="32"/>
  <c r="AN19" i="32"/>
  <c r="AN498" i="32"/>
  <c r="AN195" i="32"/>
  <c r="AN393" i="32"/>
  <c r="AN198" i="32"/>
  <c r="AN941" i="32"/>
  <c r="AN948" i="32"/>
  <c r="AN937" i="32"/>
  <c r="AS919" i="32"/>
  <c r="AV919" i="32"/>
  <c r="AO919" i="32"/>
  <c r="AO748" i="32"/>
  <c r="AS748" i="32"/>
  <c r="AV748" i="32"/>
  <c r="AS680" i="32"/>
  <c r="AV680" i="32"/>
  <c r="AO680" i="32"/>
  <c r="AO766" i="32"/>
  <c r="AS766" i="32"/>
  <c r="AV766" i="32"/>
  <c r="AS171" i="32"/>
  <c r="AV171" i="32"/>
  <c r="AO171" i="32"/>
  <c r="AO164" i="32"/>
  <c r="AS164" i="32"/>
  <c r="AV164" i="32"/>
  <c r="AS173" i="32"/>
  <c r="AV173" i="32"/>
  <c r="AO173" i="32"/>
  <c r="AS188" i="32"/>
  <c r="AV188" i="32"/>
  <c r="AO188" i="32"/>
  <c r="AS141" i="32"/>
  <c r="AV141" i="32"/>
  <c r="AO141" i="32"/>
  <c r="AO32" i="32"/>
  <c r="AS32" i="32"/>
  <c r="AV32" i="32"/>
  <c r="AO48" i="32"/>
  <c r="AS48" i="32"/>
  <c r="AV48" i="32"/>
  <c r="AO160" i="32"/>
  <c r="AV160" i="32"/>
  <c r="AS160" i="32"/>
  <c r="AO99" i="32"/>
  <c r="AS99" i="32"/>
  <c r="AV99" i="32"/>
  <c r="AS154" i="32"/>
  <c r="AV154" i="32"/>
  <c r="AO154" i="32"/>
  <c r="AO149" i="32"/>
  <c r="AS149" i="32"/>
  <c r="AV149" i="32"/>
  <c r="AS925" i="32"/>
  <c r="AV925" i="32"/>
  <c r="AO925" i="32"/>
  <c r="AS921" i="32"/>
  <c r="AV921" i="32"/>
  <c r="AO921" i="32"/>
  <c r="AO252" i="32"/>
  <c r="AS252" i="32"/>
  <c r="AV252" i="32"/>
  <c r="AO305" i="32"/>
  <c r="AS305" i="32"/>
  <c r="AV305" i="32"/>
  <c r="AO460" i="32"/>
  <c r="AS460" i="32"/>
  <c r="AV460" i="32"/>
  <c r="AO575" i="32"/>
  <c r="AS575" i="32"/>
  <c r="AV575" i="32"/>
  <c r="AO755" i="32"/>
  <c r="AS755" i="32"/>
  <c r="AV755" i="32"/>
  <c r="AV358" i="10"/>
  <c r="AO359" i="32"/>
  <c r="AS359" i="32"/>
  <c r="AV359" i="32"/>
  <c r="AV796" i="32"/>
  <c r="AO796" i="32"/>
  <c r="AS796" i="32"/>
  <c r="AS728" i="10"/>
  <c r="AO728" i="32"/>
  <c r="AS728" i="32"/>
  <c r="AV728" i="32"/>
  <c r="AV254" i="10"/>
  <c r="AS454" i="10"/>
  <c r="AO454" i="32"/>
  <c r="AS454" i="32"/>
  <c r="AV454" i="32"/>
  <c r="AV297" i="10"/>
  <c r="AS297" i="32"/>
  <c r="AV297" i="32"/>
  <c r="AO297" i="32"/>
  <c r="AO497" i="10"/>
  <c r="AO497" i="32"/>
  <c r="AS497" i="32"/>
  <c r="AV497" i="32"/>
  <c r="AO539" i="10"/>
  <c r="AO539" i="32"/>
  <c r="AS539" i="32"/>
  <c r="AV539" i="32"/>
  <c r="AS269" i="10"/>
  <c r="AO269" i="32"/>
  <c r="AS269" i="32"/>
  <c r="AV269" i="32"/>
  <c r="AV327" i="10"/>
  <c r="AO327" i="32"/>
  <c r="AS327" i="32"/>
  <c r="AV327" i="32"/>
  <c r="AS470" i="10"/>
  <c r="AO470" i="32"/>
  <c r="AS470" i="32"/>
  <c r="AV470" i="32"/>
  <c r="AO298" i="10"/>
  <c r="AN635" i="32"/>
  <c r="AO338" i="10"/>
  <c r="AO274" i="10"/>
  <c r="AO274" i="32"/>
  <c r="AS274" i="32"/>
  <c r="AV274" i="32"/>
  <c r="AO307" i="10"/>
  <c r="AO307" i="32"/>
  <c r="AS307" i="32"/>
  <c r="AV307" i="32"/>
  <c r="AO965" i="10"/>
  <c r="AS965" i="32"/>
  <c r="AV965" i="32"/>
  <c r="AO965" i="32"/>
  <c r="AN785" i="32"/>
  <c r="AN824" i="32"/>
  <c r="AS440" i="10"/>
  <c r="AO440" i="32"/>
  <c r="AS440" i="32"/>
  <c r="AV440" i="32"/>
  <c r="AV582" i="10"/>
  <c r="AS582" i="32"/>
  <c r="AV582" i="32"/>
  <c r="AO582" i="32"/>
  <c r="AS450" i="10"/>
  <c r="AS450" i="32"/>
  <c r="AV450" i="32"/>
  <c r="AO450" i="32"/>
  <c r="AS507" i="10"/>
  <c r="AO507" i="32"/>
  <c r="AS507" i="32"/>
  <c r="AV507" i="32"/>
  <c r="AS249" i="10"/>
  <c r="AO249" i="32"/>
  <c r="AV249" i="32"/>
  <c r="AS249" i="32"/>
  <c r="AN51" i="32"/>
  <c r="AN602" i="32"/>
  <c r="AO362" i="10"/>
  <c r="AO362" i="32"/>
  <c r="AS362" i="32"/>
  <c r="AV362" i="32"/>
  <c r="AN67" i="32"/>
  <c r="AN650" i="32"/>
  <c r="AS775" i="10"/>
  <c r="AO775" i="32"/>
  <c r="AS775" i="32"/>
  <c r="AV775" i="32"/>
  <c r="AN637" i="32"/>
  <c r="AN25" i="32"/>
  <c r="AV737" i="10"/>
  <c r="AV737" i="32"/>
  <c r="AO737" i="32"/>
  <c r="AS737" i="32"/>
  <c r="AN432" i="32"/>
  <c r="AN145" i="32"/>
  <c r="AN91" i="32"/>
  <c r="AN555" i="32"/>
  <c r="AN110" i="32"/>
  <c r="AN239" i="32"/>
  <c r="AN473" i="32"/>
  <c r="AN779" i="32"/>
  <c r="AN587" i="32"/>
  <c r="AN68" i="32"/>
  <c r="AN230" i="32"/>
  <c r="AN282" i="32"/>
  <c r="AN273" i="32"/>
  <c r="AN304" i="32"/>
  <c r="AN740" i="32"/>
  <c r="AN353" i="32"/>
  <c r="AN152" i="32"/>
  <c r="AN149" i="32"/>
  <c r="AN763" i="32"/>
  <c r="AN151" i="32"/>
  <c r="AN463" i="32"/>
  <c r="AN183" i="32"/>
  <c r="AN268" i="32"/>
  <c r="AN456" i="32"/>
  <c r="AN52" i="32"/>
  <c r="AN962" i="32"/>
  <c r="AN925" i="32"/>
  <c r="AN970" i="32"/>
  <c r="AV813" i="32"/>
  <c r="AO813" i="32"/>
  <c r="AS813" i="32"/>
  <c r="AN798" i="32"/>
  <c r="AS785" i="32"/>
  <c r="AV785" i="32"/>
  <c r="AO785" i="32"/>
  <c r="AS666" i="32"/>
  <c r="AV666" i="32"/>
  <c r="AO666" i="32"/>
  <c r="AS683" i="32"/>
  <c r="AV683" i="32"/>
  <c r="AO683" i="32"/>
  <c r="AO133" i="32"/>
  <c r="AS133" i="32"/>
  <c r="AV133" i="32"/>
  <c r="AS69" i="32"/>
  <c r="AV69" i="32"/>
  <c r="AO69" i="32"/>
  <c r="AV40" i="32"/>
  <c r="AO40" i="32"/>
  <c r="AS40" i="32"/>
  <c r="AO66" i="32"/>
  <c r="AS66" i="32"/>
  <c r="AV66" i="32"/>
  <c r="AS51" i="32"/>
  <c r="AV51" i="32"/>
  <c r="AO51" i="32"/>
  <c r="AO24" i="32"/>
  <c r="AS24" i="32"/>
  <c r="AV24" i="32"/>
  <c r="AO27" i="32"/>
  <c r="AS27" i="32"/>
  <c r="AV27" i="32"/>
  <c r="AO151" i="32"/>
  <c r="AS151" i="32"/>
  <c r="AV151" i="32"/>
  <c r="AO84" i="32"/>
  <c r="AS84" i="32"/>
  <c r="AV84" i="32"/>
  <c r="AO46" i="32"/>
  <c r="AS46" i="32"/>
  <c r="AV46" i="32"/>
  <c r="AS911" i="32"/>
  <c r="AV911" i="32"/>
  <c r="AO911" i="32"/>
  <c r="AV795" i="32"/>
  <c r="AO795" i="32"/>
  <c r="AS795" i="32"/>
  <c r="AS277" i="32"/>
  <c r="AV277" i="32"/>
  <c r="AO277" i="32"/>
  <c r="AN919" i="32"/>
  <c r="AS731" i="32"/>
  <c r="AV731" i="32"/>
  <c r="AO731" i="32"/>
  <c r="AN418" i="32"/>
  <c r="AS547" i="32"/>
  <c r="AV547" i="32"/>
  <c r="AO547" i="32"/>
  <c r="AO361" i="32"/>
  <c r="AS361" i="32"/>
  <c r="AV361" i="32"/>
  <c r="AO422" i="32"/>
  <c r="AS422" i="32"/>
  <c r="AV422" i="32"/>
  <c r="AO108" i="32"/>
  <c r="AV108" i="32"/>
  <c r="AS108" i="32"/>
  <c r="AV368" i="32"/>
  <c r="AO368" i="32"/>
  <c r="AS368" i="32"/>
  <c r="AV366" i="10"/>
  <c r="AS366" i="32"/>
  <c r="AV366" i="32"/>
  <c r="AO366" i="32"/>
  <c r="AO838" i="10"/>
  <c r="AN543" i="32"/>
  <c r="AO267" i="10"/>
  <c r="AO267" i="32"/>
  <c r="AV267" i="32"/>
  <c r="AS267" i="32"/>
  <c r="AV651" i="10"/>
  <c r="AS457" i="10"/>
  <c r="AO457" i="32"/>
  <c r="AS457" i="32"/>
  <c r="AV457" i="32"/>
  <c r="AO241" i="10"/>
  <c r="AO241" i="32"/>
  <c r="AS241" i="32"/>
  <c r="AV241" i="32"/>
  <c r="AV464" i="10"/>
  <c r="AS464" i="32"/>
  <c r="AV464" i="32"/>
  <c r="AO464" i="32"/>
  <c r="AO850" i="10"/>
  <c r="AN390" i="32"/>
  <c r="AN736" i="32"/>
  <c r="AS541" i="10"/>
  <c r="AO541" i="32"/>
  <c r="AS541" i="32"/>
  <c r="AV541" i="32"/>
  <c r="AO956" i="10"/>
  <c r="AS956" i="32"/>
  <c r="AV956" i="32"/>
  <c r="AO956" i="32"/>
  <c r="AN915" i="32"/>
  <c r="AS400" i="10"/>
  <c r="AS400" i="32"/>
  <c r="AO400" i="32"/>
  <c r="AV400" i="32"/>
  <c r="AO449" i="10"/>
  <c r="AS449" i="32"/>
  <c r="AV449" i="32"/>
  <c r="AO449" i="32"/>
  <c r="AO442" i="10"/>
  <c r="AO442" i="32"/>
  <c r="AS442" i="32"/>
  <c r="AV442" i="32"/>
  <c r="AV587" i="32"/>
  <c r="AO587" i="32"/>
  <c r="AS587" i="32"/>
  <c r="AO227" i="10"/>
  <c r="AS227" i="32"/>
  <c r="AV227" i="32"/>
  <c r="AO227" i="32"/>
  <c r="AO626" i="10"/>
  <c r="AO626" i="32"/>
  <c r="AS626" i="32"/>
  <c r="AV626" i="32"/>
  <c r="AV654" i="10"/>
  <c r="AO561" i="10"/>
  <c r="AS532" i="10"/>
  <c r="AS532" i="32"/>
  <c r="AV532" i="32"/>
  <c r="AO532" i="32"/>
  <c r="AV685" i="10"/>
  <c r="AV685" i="32"/>
  <c r="AO685" i="32"/>
  <c r="AS685" i="32"/>
  <c r="AS487" i="10"/>
  <c r="AV487" i="32"/>
  <c r="AO487" i="32"/>
  <c r="AS487" i="32"/>
  <c r="AS381" i="10"/>
  <c r="AS381" i="32"/>
  <c r="AV381" i="32"/>
  <c r="AO381" i="32"/>
  <c r="AN368" i="32"/>
  <c r="AN69" i="32"/>
  <c r="AN320" i="32"/>
  <c r="AN209" i="32"/>
  <c r="AN506" i="32"/>
  <c r="AV336" i="10"/>
  <c r="AV336" i="32"/>
  <c r="AO336" i="32"/>
  <c r="AS336" i="32"/>
  <c r="AN249" i="32"/>
  <c r="AN37" i="32"/>
  <c r="AN596" i="32"/>
  <c r="AO620" i="10"/>
  <c r="AS620" i="32"/>
  <c r="AV620" i="32"/>
  <c r="AO620" i="32"/>
  <c r="AN172" i="32"/>
  <c r="AN240" i="32"/>
  <c r="AN260" i="32"/>
  <c r="AN122" i="32"/>
  <c r="AO437" i="10"/>
  <c r="AO437" i="32"/>
  <c r="AS437" i="32"/>
  <c r="AV437" i="32"/>
  <c r="AN708" i="32"/>
  <c r="AN625" i="32"/>
  <c r="AN466" i="32"/>
  <c r="AN86" i="32"/>
  <c r="AN707" i="32"/>
  <c r="AN245" i="32"/>
  <c r="AN189" i="32"/>
  <c r="AO741" i="10"/>
  <c r="AO741" i="32"/>
  <c r="AS741" i="32"/>
  <c r="AV741" i="32"/>
  <c r="AN319" i="32"/>
  <c r="AN697" i="32"/>
  <c r="AN305" i="32"/>
  <c r="AN96" i="32"/>
  <c r="AN235" i="32"/>
  <c r="AN425" i="32"/>
  <c r="AN241" i="32"/>
  <c r="AN400" i="32"/>
  <c r="AN743" i="32"/>
  <c r="AN482" i="32"/>
  <c r="AN566" i="32"/>
  <c r="AN23" i="32"/>
  <c r="AN389" i="32"/>
  <c r="AN285" i="32"/>
  <c r="AN805" i="32"/>
  <c r="AN908" i="32"/>
  <c r="AN965" i="32"/>
  <c r="AS909" i="32"/>
  <c r="AV909" i="32"/>
  <c r="AO909" i="32"/>
  <c r="AS972" i="32"/>
  <c r="AV972" i="32"/>
  <c r="AO972" i="32"/>
  <c r="AS915" i="32"/>
  <c r="AV915" i="32"/>
  <c r="AO915" i="32"/>
  <c r="AO743" i="32"/>
  <c r="AS743" i="32"/>
  <c r="AV743" i="32"/>
  <c r="AO706" i="32"/>
  <c r="AS706" i="32"/>
  <c r="AV706" i="32"/>
  <c r="AS682" i="32"/>
  <c r="AV682" i="32"/>
  <c r="AO682" i="32"/>
  <c r="AO690" i="32"/>
  <c r="AS690" i="32"/>
  <c r="AV690" i="32"/>
  <c r="AS204" i="32"/>
  <c r="AV204" i="32"/>
  <c r="AO204" i="32"/>
  <c r="AV159" i="32"/>
  <c r="AO159" i="32"/>
  <c r="AS159" i="32"/>
  <c r="AS155" i="32"/>
  <c r="AV155" i="32"/>
  <c r="AO155" i="32"/>
  <c r="AS53" i="32"/>
  <c r="AV53" i="32"/>
  <c r="AO53" i="32"/>
  <c r="AO168" i="32"/>
  <c r="AS168" i="32"/>
  <c r="AV168" i="32"/>
  <c r="AS138" i="32"/>
  <c r="AV138" i="32"/>
  <c r="AO138" i="32"/>
  <c r="AS34" i="32"/>
  <c r="AV34" i="32"/>
  <c r="AO34" i="32"/>
  <c r="AO80" i="32"/>
  <c r="AS80" i="32"/>
  <c r="AV80" i="32"/>
  <c r="AS86" i="32"/>
  <c r="AV86" i="32"/>
  <c r="AO86" i="32"/>
  <c r="AO198" i="32"/>
  <c r="AS198" i="32"/>
  <c r="AV198" i="32"/>
  <c r="AO184" i="32"/>
  <c r="AS184" i="32"/>
  <c r="AV184" i="32"/>
  <c r="AO304" i="32"/>
  <c r="AS304" i="32"/>
  <c r="AV304" i="32"/>
  <c r="AS483" i="32"/>
  <c r="AV483" i="32"/>
  <c r="AO483" i="32"/>
  <c r="AS954" i="32"/>
  <c r="AV954" i="32"/>
  <c r="AO954" i="32"/>
  <c r="AN610" i="32"/>
  <c r="AO527" i="32"/>
  <c r="AS527" i="32"/>
  <c r="AV527" i="32"/>
  <c r="AO456" i="32"/>
  <c r="AS456" i="32"/>
  <c r="AV456" i="32"/>
  <c r="AN968" i="32"/>
  <c r="AS501" i="32"/>
  <c r="AV501" i="32"/>
  <c r="AO501" i="32"/>
  <c r="AO777" i="10"/>
  <c r="AO777" i="32"/>
  <c r="AS777" i="32"/>
  <c r="AV777" i="32"/>
  <c r="AO944" i="10"/>
  <c r="AS944" i="32"/>
  <c r="AV944" i="32"/>
  <c r="AO944" i="32"/>
  <c r="AO247" i="10"/>
  <c r="AO522" i="10"/>
  <c r="AO522" i="32"/>
  <c r="AS522" i="32"/>
  <c r="AV522" i="32"/>
  <c r="AV264" i="10"/>
  <c r="AV264" i="32"/>
  <c r="AO264" i="32"/>
  <c r="AS264" i="32"/>
  <c r="AO614" i="10"/>
  <c r="AO614" i="32"/>
  <c r="AS614" i="32"/>
  <c r="AV614" i="32"/>
  <c r="AS393" i="10"/>
  <c r="AO393" i="32"/>
  <c r="AS393" i="32"/>
  <c r="AV393" i="32"/>
  <c r="AV365" i="10"/>
  <c r="AS365" i="32"/>
  <c r="AV365" i="32"/>
  <c r="AO365" i="32"/>
  <c r="AS901" i="10"/>
  <c r="AO901" i="32"/>
  <c r="AS901" i="32"/>
  <c r="AV901" i="32"/>
  <c r="AV846" i="10"/>
  <c r="AV549" i="10"/>
  <c r="AS549" i="32"/>
  <c r="AV549" i="32"/>
  <c r="AO549" i="32"/>
  <c r="AV288" i="10"/>
  <c r="AO600" i="10"/>
  <c r="AO600" i="32"/>
  <c r="AS600" i="32"/>
  <c r="AV600" i="32"/>
  <c r="AV942" i="10"/>
  <c r="AS618" i="10"/>
  <c r="AO618" i="32"/>
  <c r="AS618" i="32"/>
  <c r="AV618" i="32"/>
  <c r="AN502" i="32"/>
  <c r="AN360" i="32"/>
  <c r="AS317" i="10"/>
  <c r="AS317" i="32"/>
  <c r="AV317" i="32"/>
  <c r="AO317" i="32"/>
  <c r="AO231" i="10"/>
  <c r="AS278" i="10"/>
  <c r="AS278" i="32"/>
  <c r="AV278" i="32"/>
  <c r="AO278" i="32"/>
  <c r="AO900" i="10"/>
  <c r="AO900" i="32"/>
  <c r="AS900" i="32"/>
  <c r="AV900" i="32"/>
  <c r="AO331" i="10"/>
  <c r="AS331" i="32"/>
  <c r="AV331" i="32"/>
  <c r="AO331" i="32"/>
  <c r="AN734" i="32"/>
  <c r="AN611" i="32"/>
  <c r="AN501" i="32"/>
  <c r="AN175" i="32"/>
  <c r="AN505" i="32"/>
  <c r="AN26" i="32"/>
  <c r="AN396" i="32"/>
  <c r="AN85" i="32"/>
  <c r="AN773" i="32"/>
  <c r="AN388" i="32"/>
  <c r="AN591" i="32"/>
  <c r="AN674" i="32"/>
  <c r="AS630" i="10"/>
  <c r="AO630" i="32"/>
  <c r="AS630" i="32"/>
  <c r="AV630" i="32"/>
  <c r="AN326" i="32"/>
  <c r="AN440" i="32"/>
  <c r="AN732" i="32"/>
  <c r="AN757" i="32"/>
  <c r="AN442" i="32"/>
  <c r="AV588" i="32"/>
  <c r="AO588" i="32"/>
  <c r="AS588" i="32"/>
  <c r="AN215" i="32"/>
  <c r="AN413" i="32"/>
  <c r="AN367" i="32"/>
  <c r="AN107" i="32"/>
  <c r="AN527" i="32"/>
  <c r="AN617" i="32"/>
  <c r="AN451" i="32"/>
  <c r="AN58" i="32"/>
  <c r="AN572" i="32"/>
  <c r="AN612" i="32"/>
  <c r="AN772" i="32"/>
  <c r="AN265" i="32"/>
  <c r="AO668" i="10"/>
  <c r="AV668" i="32"/>
  <c r="AO668" i="32"/>
  <c r="AS668" i="32"/>
  <c r="AN618" i="32"/>
  <c r="AN448" i="32"/>
  <c r="AN307" i="32"/>
  <c r="AN729" i="32"/>
  <c r="AN966" i="32"/>
  <c r="AN914" i="32"/>
  <c r="AN944" i="32"/>
  <c r="AN947" i="32"/>
  <c r="AN797" i="32"/>
  <c r="AN922" i="32"/>
  <c r="AO765" i="32"/>
  <c r="AS765" i="32"/>
  <c r="AV765" i="32"/>
  <c r="AO677" i="32"/>
  <c r="AS677" i="32"/>
  <c r="AV677" i="32"/>
  <c r="AO674" i="32"/>
  <c r="AS674" i="32"/>
  <c r="AV674" i="32"/>
  <c r="AS711" i="32"/>
  <c r="AV711" i="32"/>
  <c r="AO711" i="32"/>
  <c r="AV125" i="32"/>
  <c r="AO125" i="32"/>
  <c r="AS125" i="32"/>
  <c r="AS172" i="32"/>
  <c r="AV172" i="32"/>
  <c r="AO172" i="32"/>
  <c r="AO214" i="32"/>
  <c r="AS214" i="32"/>
  <c r="AV214" i="32"/>
  <c r="AV74" i="32"/>
  <c r="AO74" i="32"/>
  <c r="AS74" i="32"/>
  <c r="AS33" i="32"/>
  <c r="AV33" i="32"/>
  <c r="AO33" i="32"/>
  <c r="AO45" i="32"/>
  <c r="AS45" i="32"/>
  <c r="AV45" i="32"/>
  <c r="AO201" i="32"/>
  <c r="AS201" i="32"/>
  <c r="AV201" i="32"/>
  <c r="AS54" i="32"/>
  <c r="AV54" i="32"/>
  <c r="AO54" i="32"/>
  <c r="AV176" i="32"/>
  <c r="AO176" i="32"/>
  <c r="AS176" i="32"/>
  <c r="AO169" i="32"/>
  <c r="AS169" i="32"/>
  <c r="AV169" i="32"/>
  <c r="AO196" i="32"/>
  <c r="AS196" i="32"/>
  <c r="AV196" i="32"/>
  <c r="AS969" i="32"/>
  <c r="AV969" i="32"/>
  <c r="AO969" i="32"/>
  <c r="AO490" i="32"/>
  <c r="AS490" i="32"/>
  <c r="AV490" i="32"/>
  <c r="AV811" i="32"/>
  <c r="AO811" i="32"/>
  <c r="AS811" i="32"/>
  <c r="AS417" i="32"/>
  <c r="AV417" i="32"/>
  <c r="AO417" i="32"/>
  <c r="AO346" i="32"/>
  <c r="AS346" i="32"/>
  <c r="AV346" i="32"/>
  <c r="AV753" i="32"/>
  <c r="AO753" i="32"/>
  <c r="AS753" i="32"/>
  <c r="AS967" i="32"/>
  <c r="AV967" i="32"/>
  <c r="AO967" i="32"/>
  <c r="AV802" i="32"/>
  <c r="AO802" i="32"/>
  <c r="AS802" i="32"/>
  <c r="AS712" i="32"/>
  <c r="AV712" i="32"/>
  <c r="AO712" i="32"/>
  <c r="AN972" i="32"/>
  <c r="AV451" i="32"/>
  <c r="AO451" i="32"/>
  <c r="AS451" i="32"/>
  <c r="AV557" i="10"/>
  <c r="AO535" i="10"/>
  <c r="AV535" i="32"/>
  <c r="AO535" i="32"/>
  <c r="AS535" i="32"/>
  <c r="AS356" i="10"/>
  <c r="AO356" i="32"/>
  <c r="AS356" i="32"/>
  <c r="AV356" i="32"/>
  <c r="AO266" i="10"/>
  <c r="AO266" i="32"/>
  <c r="AS266" i="32"/>
  <c r="AV266" i="32"/>
  <c r="AO352" i="10"/>
  <c r="AV352" i="32"/>
  <c r="AO352" i="32"/>
  <c r="AS352" i="32"/>
  <c r="AO534" i="10"/>
  <c r="AS534" i="32"/>
  <c r="AV534" i="32"/>
  <c r="AO534" i="32"/>
  <c r="AO350" i="10"/>
  <c r="AS350" i="32"/>
  <c r="AV350" i="32"/>
  <c r="AO350" i="32"/>
  <c r="AS495" i="10"/>
  <c r="AO495" i="32"/>
  <c r="AS495" i="32"/>
  <c r="AV495" i="32"/>
  <c r="AS387" i="10"/>
  <c r="AV387" i="32"/>
  <c r="AO387" i="32"/>
  <c r="AS387" i="32"/>
  <c r="AO403" i="10"/>
  <c r="AV403" i="32"/>
  <c r="AO403" i="32"/>
  <c r="AS403" i="32"/>
  <c r="AV667" i="10"/>
  <c r="AS667" i="32"/>
  <c r="AV667" i="32"/>
  <c r="AO667" i="32"/>
  <c r="AO797" i="10"/>
  <c r="AV797" i="32"/>
  <c r="AO797" i="32"/>
  <c r="AS797" i="32"/>
  <c r="AV816" i="10"/>
  <c r="AO816" i="32"/>
  <c r="AS816" i="32"/>
  <c r="AV816" i="32"/>
  <c r="AN822" i="32"/>
  <c r="AO710" i="10"/>
  <c r="AS710" i="32"/>
  <c r="AV710" i="32"/>
  <c r="AO710" i="32"/>
  <c r="AO428" i="10"/>
  <c r="AO428" i="32"/>
  <c r="AS428" i="32"/>
  <c r="AV428" i="32"/>
  <c r="AV566" i="10"/>
  <c r="AS566" i="32"/>
  <c r="AV566" i="32"/>
  <c r="AO566" i="32"/>
  <c r="AN668" i="32"/>
  <c r="AV334" i="10"/>
  <c r="AS334" i="32"/>
  <c r="AV334" i="32"/>
  <c r="AO334" i="32"/>
  <c r="AN638" i="32"/>
  <c r="AO673" i="10"/>
  <c r="AO673" i="32"/>
  <c r="AS673" i="32"/>
  <c r="AV673" i="32"/>
  <c r="AO313" i="10"/>
  <c r="AS313" i="32"/>
  <c r="AV313" i="32"/>
  <c r="AO313" i="32"/>
  <c r="AV279" i="10"/>
  <c r="AS279" i="32"/>
  <c r="AV279" i="32"/>
  <c r="AO279" i="32"/>
  <c r="AN775" i="32"/>
  <c r="AO263" i="10"/>
  <c r="AS263" i="32"/>
  <c r="AV263" i="32"/>
  <c r="AO263" i="32"/>
  <c r="AO671" i="10"/>
  <c r="AO671" i="32"/>
  <c r="AS671" i="32"/>
  <c r="AV671" i="32"/>
  <c r="AS407" i="10"/>
  <c r="AO407" i="32"/>
  <c r="AS407" i="32"/>
  <c r="AV407" i="32"/>
  <c r="AN159" i="32"/>
  <c r="AN365" i="32"/>
  <c r="AN74" i="32"/>
  <c r="AN512" i="32"/>
  <c r="AN44" i="32"/>
  <c r="AN535" i="32"/>
  <c r="AN778" i="32"/>
  <c r="AN164" i="32"/>
  <c r="AN758" i="32"/>
  <c r="AN244" i="32"/>
  <c r="AN765" i="32"/>
  <c r="AN756" i="32"/>
  <c r="AN673" i="32"/>
  <c r="AN531" i="32"/>
  <c r="AN313" i="32"/>
  <c r="AN334" i="32"/>
  <c r="AN101" i="32"/>
  <c r="AN266" i="32"/>
  <c r="AN177" i="32"/>
  <c r="AN143" i="32"/>
  <c r="AO569" i="10"/>
  <c r="AV569" i="32"/>
  <c r="AO569" i="32"/>
  <c r="AS569" i="32"/>
  <c r="AN606" i="32"/>
  <c r="AN196" i="32"/>
  <c r="AN600" i="32"/>
  <c r="AN283" i="32"/>
  <c r="AN416" i="32"/>
  <c r="AN770" i="32"/>
  <c r="AN733" i="32"/>
  <c r="AV635" i="10"/>
  <c r="AO635" i="32"/>
  <c r="AS635" i="32"/>
  <c r="AV635" i="32"/>
  <c r="AN472" i="32"/>
  <c r="AN76" i="32"/>
  <c r="AN228" i="32"/>
  <c r="AN815" i="32"/>
  <c r="AS968" i="32"/>
  <c r="AV968" i="32"/>
  <c r="AO968" i="32"/>
  <c r="AV807" i="32"/>
  <c r="AO807" i="32"/>
  <c r="AS807" i="32"/>
  <c r="AN971" i="32"/>
  <c r="AN811" i="32"/>
  <c r="AN823" i="32"/>
  <c r="AO781" i="32"/>
  <c r="AS781" i="32"/>
  <c r="AV781" i="32"/>
  <c r="AO199" i="32"/>
  <c r="AS199" i="32"/>
  <c r="AV199" i="32"/>
  <c r="AO44" i="32"/>
  <c r="AS44" i="32"/>
  <c r="AV44" i="32"/>
  <c r="AS121" i="32"/>
  <c r="AV121" i="32"/>
  <c r="AO121" i="32"/>
  <c r="AO200" i="32"/>
  <c r="AS200" i="32"/>
  <c r="AV200" i="32"/>
  <c r="AO170" i="32"/>
  <c r="AS170" i="32"/>
  <c r="AV170" i="32"/>
  <c r="AV19" i="32"/>
  <c r="AO19" i="32"/>
  <c r="AS19" i="32"/>
  <c r="AO25" i="32"/>
  <c r="AS25" i="32"/>
  <c r="AV25" i="32"/>
  <c r="AV90" i="32"/>
  <c r="AO90" i="32"/>
  <c r="AS90" i="32"/>
  <c r="AO96" i="32"/>
  <c r="AS96" i="32"/>
  <c r="AV96" i="32"/>
  <c r="AO64" i="32"/>
  <c r="AS64" i="32"/>
  <c r="AV64" i="32"/>
  <c r="AO181" i="32"/>
  <c r="AS181" i="32"/>
  <c r="AV181" i="32"/>
  <c r="AO43" i="32"/>
  <c r="AS43" i="32"/>
  <c r="AV43" i="32"/>
  <c r="AV771" i="32"/>
  <c r="AO771" i="32"/>
  <c r="AS771" i="32"/>
  <c r="AV503" i="32"/>
  <c r="AO503" i="32"/>
  <c r="AS503" i="32"/>
  <c r="AO455" i="32"/>
  <c r="AS455" i="32"/>
  <c r="AV455" i="32"/>
  <c r="AO397" i="32"/>
  <c r="AS397" i="32"/>
  <c r="AV397" i="32"/>
  <c r="AO322" i="32"/>
  <c r="AV322" i="32"/>
  <c r="AS322" i="32"/>
  <c r="AN569" i="32"/>
  <c r="AS906" i="32"/>
  <c r="AV906" i="32"/>
  <c r="AO906" i="32"/>
  <c r="AO596" i="10"/>
  <c r="AO596" i="32"/>
  <c r="AS596" i="32"/>
  <c r="AV596" i="32"/>
  <c r="AS377" i="10"/>
  <c r="AN316" i="32"/>
  <c r="AS920" i="10"/>
  <c r="AS920" i="32"/>
  <c r="AV920" i="32"/>
  <c r="AO920" i="32"/>
  <c r="AV692" i="10"/>
  <c r="AO692" i="32"/>
  <c r="AS692" i="32"/>
  <c r="AV692" i="32"/>
  <c r="AV388" i="10"/>
  <c r="AO388" i="32"/>
  <c r="AS388" i="32"/>
  <c r="AV388" i="32"/>
  <c r="AO524" i="10"/>
  <c r="AO351" i="10"/>
  <c r="AS351" i="32"/>
  <c r="AV351" i="32"/>
  <c r="AO351" i="32"/>
  <c r="AO225" i="10"/>
  <c r="AS225" i="32"/>
  <c r="AV225" i="32"/>
  <c r="AO225" i="32"/>
  <c r="AO572" i="10"/>
  <c r="AO572" i="32"/>
  <c r="AS572" i="32"/>
  <c r="AV572" i="32"/>
  <c r="AO468" i="10"/>
  <c r="AV468" i="32"/>
  <c r="AO468" i="32"/>
  <c r="AS468" i="32"/>
  <c r="AV333" i="10"/>
  <c r="AS333" i="32"/>
  <c r="AV333" i="32"/>
  <c r="AO333" i="32"/>
  <c r="AS832" i="10"/>
  <c r="AV808" i="10"/>
  <c r="AV808" i="32"/>
  <c r="AO808" i="32"/>
  <c r="AS808" i="32"/>
  <c r="AO602" i="10"/>
  <c r="AO602" i="32"/>
  <c r="AS602" i="32"/>
  <c r="AV602" i="32"/>
  <c r="AO257" i="10"/>
  <c r="AO257" i="32"/>
  <c r="AS257" i="32"/>
  <c r="AV257" i="32"/>
  <c r="AN358" i="32"/>
  <c r="AO342" i="10"/>
  <c r="AO342" i="32"/>
  <c r="AS342" i="32"/>
  <c r="AV342" i="32"/>
  <c r="AO801" i="10"/>
  <c r="AV801" i="32"/>
  <c r="AO801" i="32"/>
  <c r="AS801" i="32"/>
  <c r="AS639" i="10"/>
  <c r="AS639" i="32"/>
  <c r="AV639" i="32"/>
  <c r="AO639" i="32"/>
  <c r="AO473" i="10"/>
  <c r="AO473" i="32"/>
  <c r="AS473" i="32"/>
  <c r="AV473" i="32"/>
  <c r="AO554" i="10"/>
  <c r="AO563" i="10"/>
  <c r="AN401" i="32"/>
  <c r="AO610" i="10"/>
  <c r="AO610" i="32"/>
  <c r="AS610" i="32"/>
  <c r="AV610" i="32"/>
  <c r="AN169" i="32"/>
  <c r="AS390" i="10"/>
  <c r="AO390" i="32"/>
  <c r="AS390" i="32"/>
  <c r="AV390" i="32"/>
  <c r="AN213" i="32"/>
  <c r="AO543" i="10"/>
  <c r="AO543" i="32"/>
  <c r="AS543" i="32"/>
  <c r="AV543" i="32"/>
  <c r="AN180" i="32"/>
  <c r="AN157" i="32"/>
  <c r="AN447" i="32"/>
  <c r="AO465" i="10"/>
  <c r="AS465" i="32"/>
  <c r="AV465" i="32"/>
  <c r="AO465" i="32"/>
  <c r="AS687" i="10"/>
  <c r="AO687" i="32"/>
  <c r="AS687" i="32"/>
  <c r="AV687" i="32"/>
  <c r="AN692" i="32"/>
  <c r="AN546" i="32"/>
  <c r="AN271" i="32"/>
  <c r="AN452" i="32"/>
  <c r="AN782" i="32"/>
  <c r="AN540" i="32"/>
  <c r="AN98" i="32"/>
  <c r="AN449" i="32"/>
  <c r="AS529" i="10"/>
  <c r="AO529" i="32"/>
  <c r="AS529" i="32"/>
  <c r="AV529" i="32"/>
  <c r="AN185" i="32"/>
  <c r="AN281" i="32"/>
  <c r="AN771" i="32"/>
  <c r="AN192" i="32"/>
  <c r="AN267" i="32"/>
  <c r="AN214" i="32"/>
  <c r="AN499" i="32"/>
  <c r="AN141" i="32"/>
  <c r="AN678" i="32"/>
  <c r="AN269" i="32"/>
  <c r="AN653" i="32"/>
  <c r="AN567" i="32"/>
  <c r="AS485" i="32"/>
  <c r="AV485" i="32"/>
  <c r="AO485" i="32"/>
  <c r="AN136" i="32"/>
  <c r="AN739" i="32"/>
  <c r="AS700" i="32"/>
  <c r="AV700" i="32"/>
  <c r="AO700" i="32"/>
  <c r="AN920" i="32"/>
  <c r="AN918" i="32"/>
  <c r="AN921" i="32"/>
  <c r="AS975" i="32"/>
  <c r="AV975" i="32"/>
  <c r="AO975" i="32"/>
  <c r="AN821" i="32"/>
  <c r="AN808" i="32"/>
  <c r="AN819" i="32"/>
  <c r="AN907" i="32"/>
  <c r="AN901" i="32"/>
  <c r="AS732" i="32"/>
  <c r="AV732" i="32"/>
  <c r="AO732" i="32"/>
  <c r="AV733" i="32"/>
  <c r="AO733" i="32"/>
  <c r="AS733" i="32"/>
  <c r="AO146" i="32"/>
  <c r="AS146" i="32"/>
  <c r="AV146" i="32"/>
  <c r="AO65" i="32"/>
  <c r="AS65" i="32"/>
  <c r="AV65" i="32"/>
  <c r="AO178" i="32"/>
  <c r="AS178" i="32"/>
  <c r="AV178" i="32"/>
  <c r="AO195" i="32"/>
  <c r="AS195" i="32"/>
  <c r="AV195" i="32"/>
  <c r="AS70" i="32"/>
  <c r="AV70" i="32"/>
  <c r="AO70" i="32"/>
  <c r="AS213" i="32"/>
  <c r="AO213" i="32"/>
  <c r="AV213" i="32"/>
  <c r="AO58" i="32"/>
  <c r="AS58" i="32"/>
  <c r="AV58" i="32"/>
  <c r="AO194" i="32"/>
  <c r="AS194" i="32"/>
  <c r="AV194" i="32"/>
  <c r="AS37" i="32"/>
  <c r="AV37" i="32"/>
  <c r="AO37" i="32"/>
  <c r="AS102" i="32"/>
  <c r="AV102" i="32"/>
  <c r="AO102" i="32"/>
  <c r="AO100" i="32"/>
  <c r="AS100" i="32"/>
  <c r="AV100" i="32"/>
  <c r="AV126" i="32"/>
  <c r="AO126" i="32"/>
  <c r="AS126" i="32"/>
  <c r="AS924" i="32"/>
  <c r="AV924" i="32"/>
  <c r="AO924" i="32"/>
  <c r="AO542" i="32"/>
  <c r="AS542" i="32"/>
  <c r="AV542" i="32"/>
  <c r="AO396" i="32"/>
  <c r="AS396" i="32"/>
  <c r="AV396" i="32"/>
  <c r="AN585" i="32"/>
  <c r="AS950" i="32"/>
  <c r="AV950" i="32"/>
  <c r="AO950" i="32"/>
  <c r="AN741" i="32"/>
  <c r="AO908" i="10"/>
  <c r="AS908" i="32"/>
  <c r="AV908" i="32"/>
  <c r="AO908" i="32"/>
  <c r="AV634" i="10"/>
  <c r="AS369" i="10"/>
  <c r="AV369" i="32"/>
  <c r="AO369" i="32"/>
  <c r="AS369" i="32"/>
  <c r="AO434" i="10"/>
  <c r="AS434" i="32"/>
  <c r="AV434" i="32"/>
  <c r="AO434" i="32"/>
  <c r="AV492" i="10"/>
  <c r="AO492" i="32"/>
  <c r="AS492" i="32"/>
  <c r="AV492" i="32"/>
  <c r="AN669" i="32"/>
  <c r="AS371" i="10"/>
  <c r="AO423" i="10"/>
  <c r="AO423" i="32"/>
  <c r="AS423" i="32"/>
  <c r="AV423" i="32"/>
  <c r="AO624" i="10"/>
  <c r="AV624" i="32"/>
  <c r="AO624" i="32"/>
  <c r="AS624" i="32"/>
  <c r="AO228" i="10"/>
  <c r="AV228" i="32"/>
  <c r="AO228" i="32"/>
  <c r="AS228" i="32"/>
  <c r="AO744" i="10"/>
  <c r="AO744" i="32"/>
  <c r="AS744" i="32"/>
  <c r="AV744" i="32"/>
  <c r="AN336" i="32"/>
  <c r="AO641" i="10"/>
  <c r="AV641" i="32"/>
  <c r="AO641" i="32"/>
  <c r="AS641" i="32"/>
  <c r="AV872" i="10"/>
  <c r="AN588" i="32"/>
  <c r="AO604" i="10"/>
  <c r="AS604" i="32"/>
  <c r="AV604" i="32"/>
  <c r="AO604" i="32"/>
  <c r="AS579" i="10"/>
  <c r="AO579" i="32"/>
  <c r="AS579" i="32"/>
  <c r="AV579" i="32"/>
  <c r="AO302" i="10"/>
  <c r="AO302" i="32"/>
  <c r="AS302" i="32"/>
  <c r="AV302" i="32"/>
  <c r="AO612" i="10"/>
  <c r="AO612" i="32"/>
  <c r="AS612" i="32"/>
  <c r="AV612" i="32"/>
  <c r="AO769" i="10"/>
  <c r="AS769" i="32"/>
  <c r="AV769" i="32"/>
  <c r="AO769" i="32"/>
  <c r="AO757" i="10"/>
  <c r="AO757" i="32"/>
  <c r="AS757" i="32"/>
  <c r="AV757" i="32"/>
  <c r="AO531" i="10"/>
  <c r="AS531" i="32"/>
  <c r="AV531" i="32"/>
  <c r="AO531" i="32"/>
  <c r="AV276" i="10"/>
  <c r="AO391" i="10"/>
  <c r="AO391" i="32"/>
  <c r="AS391" i="32"/>
  <c r="AV391" i="32"/>
  <c r="AV489" i="10"/>
  <c r="AO489" i="32"/>
  <c r="AS489" i="32"/>
  <c r="AV489" i="32"/>
  <c r="AN284" i="32"/>
  <c r="AN706" i="32"/>
  <c r="AN225" i="32"/>
  <c r="AN747" i="32"/>
  <c r="AN121" i="32"/>
  <c r="AN394" i="32"/>
  <c r="AN174" i="32"/>
  <c r="AS735" i="10"/>
  <c r="AV735" i="32"/>
  <c r="AO735" i="32"/>
  <c r="AS735" i="32"/>
  <c r="AN89" i="32"/>
  <c r="AO570" i="10"/>
  <c r="AO570" i="32"/>
  <c r="AS570" i="32"/>
  <c r="AV570" i="32"/>
  <c r="AN533" i="32"/>
  <c r="AS411" i="10"/>
  <c r="AS411" i="32"/>
  <c r="AO411" i="32"/>
  <c r="AV411" i="32"/>
  <c r="AN308" i="32"/>
  <c r="AN769" i="32"/>
  <c r="AN366" i="32"/>
  <c r="AN412" i="32"/>
  <c r="AN467" i="32"/>
  <c r="AN65" i="32"/>
  <c r="AN278" i="32"/>
  <c r="AN776" i="32"/>
  <c r="AN53" i="32"/>
  <c r="AS704" i="10"/>
  <c r="AN170" i="32"/>
  <c r="AV405" i="10"/>
  <c r="AO405" i="32"/>
  <c r="AV405" i="32"/>
  <c r="AS405" i="32"/>
  <c r="AN27" i="32"/>
  <c r="AN287" i="32"/>
  <c r="AN258" i="32"/>
  <c r="AN184" i="32"/>
  <c r="AN578" i="32"/>
  <c r="AN178" i="32"/>
  <c r="AN392" i="32"/>
  <c r="AN626" i="32"/>
  <c r="AN191" i="32"/>
  <c r="AN242" i="32"/>
  <c r="AN589" i="32"/>
  <c r="AN103" i="32"/>
  <c r="AN108" i="32"/>
  <c r="AN906" i="32"/>
  <c r="AV820" i="32"/>
  <c r="AO820" i="32"/>
  <c r="AS820" i="32"/>
  <c r="AN812" i="32"/>
  <c r="AN800" i="32"/>
  <c r="AN954" i="32"/>
  <c r="AN949" i="32"/>
  <c r="AV684" i="32"/>
  <c r="AO684" i="32"/>
  <c r="AS684" i="32"/>
  <c r="AO774" i="32"/>
  <c r="AV774" i="32"/>
  <c r="AS774" i="32"/>
  <c r="AO689" i="32"/>
  <c r="AS689" i="32"/>
  <c r="AV689" i="32"/>
  <c r="AS124" i="32"/>
  <c r="AV124" i="32"/>
  <c r="AO124" i="32"/>
  <c r="AO180" i="32"/>
  <c r="AS180" i="32"/>
  <c r="AV180" i="32"/>
  <c r="AO68" i="32"/>
  <c r="AS68" i="32"/>
  <c r="AV68" i="32"/>
  <c r="AO202" i="32"/>
  <c r="AS202" i="32"/>
  <c r="AV202" i="32"/>
  <c r="AS89" i="32"/>
  <c r="AV89" i="32"/>
  <c r="AO89" i="32"/>
  <c r="AO132" i="32"/>
  <c r="AS132" i="32"/>
  <c r="AV132" i="32"/>
  <c r="AO209" i="32"/>
  <c r="AV209" i="32"/>
  <c r="AS209" i="32"/>
  <c r="AO161" i="32"/>
  <c r="AS161" i="32"/>
  <c r="AV161" i="32"/>
  <c r="AO185" i="32"/>
  <c r="AS185" i="32"/>
  <c r="AV185" i="32"/>
  <c r="AO148" i="32"/>
  <c r="AS148" i="32"/>
  <c r="AV148" i="32"/>
  <c r="AS35" i="32"/>
  <c r="AV35" i="32"/>
  <c r="AO35" i="32"/>
  <c r="AO903" i="32"/>
  <c r="AS903" i="32"/>
  <c r="AV903" i="32"/>
  <c r="AN909" i="32"/>
  <c r="AV520" i="32"/>
  <c r="AO520" i="32"/>
  <c r="AS520" i="32"/>
  <c r="AO285" i="32"/>
  <c r="AS285" i="32"/>
  <c r="AV285" i="32"/>
  <c r="AV812" i="32"/>
  <c r="AO812" i="32"/>
  <c r="AS812" i="32"/>
  <c r="AO815" i="32"/>
  <c r="AS815" i="32"/>
  <c r="AV815" i="32"/>
  <c r="AO650" i="32"/>
  <c r="AS650" i="32"/>
  <c r="AV650" i="32"/>
  <c r="AO344" i="32"/>
  <c r="AS344" i="32"/>
  <c r="AV344" i="32"/>
  <c r="AN407" i="32"/>
  <c r="AO223" i="32"/>
  <c r="AS223" i="32"/>
  <c r="AV223" i="32"/>
  <c r="AV353" i="32"/>
  <c r="AO353" i="32"/>
  <c r="AS353" i="32"/>
  <c r="AO623" i="10"/>
  <c r="AS623" i="32"/>
  <c r="AV623" i="32"/>
  <c r="AO623" i="32"/>
  <c r="AO373" i="10"/>
  <c r="AV977" i="10"/>
  <c r="AS977" i="32"/>
  <c r="AV977" i="32"/>
  <c r="AO977" i="32"/>
  <c r="AO646" i="10"/>
  <c r="AO646" i="32"/>
  <c r="AS646" i="32"/>
  <c r="AV646" i="32"/>
  <c r="AO609" i="10"/>
  <c r="AV609" i="32"/>
  <c r="AO609" i="32"/>
  <c r="AS609" i="32"/>
  <c r="AO261" i="10"/>
  <c r="AO248" i="10"/>
  <c r="AO248" i="32"/>
  <c r="AS248" i="32"/>
  <c r="AV248" i="32"/>
  <c r="AN752" i="32"/>
  <c r="AN381" i="32"/>
  <c r="AO723" i="10"/>
  <c r="AN485" i="32"/>
  <c r="AO268" i="10"/>
  <c r="AO268" i="32"/>
  <c r="AS268" i="32"/>
  <c r="AV268" i="32"/>
  <c r="AO459" i="10"/>
  <c r="AO459" i="32"/>
  <c r="AS459" i="32"/>
  <c r="AV459" i="32"/>
  <c r="AO251" i="10"/>
  <c r="AO251" i="32"/>
  <c r="AS251" i="32"/>
  <c r="AV251" i="32"/>
  <c r="AN826" i="32"/>
  <c r="AS537" i="10"/>
  <c r="AO537" i="32"/>
  <c r="AS537" i="32"/>
  <c r="AV537" i="32"/>
  <c r="AV343" i="10"/>
  <c r="AO343" i="32"/>
  <c r="AS343" i="32"/>
  <c r="AV343" i="32"/>
  <c r="AO406" i="10"/>
  <c r="AO406" i="32"/>
  <c r="AS406" i="32"/>
  <c r="AV406" i="32"/>
  <c r="AO301" i="10"/>
  <c r="AV301" i="32"/>
  <c r="AO301" i="32"/>
  <c r="AS301" i="32"/>
  <c r="AN494" i="32"/>
  <c r="AS418" i="10"/>
  <c r="AS418" i="32"/>
  <c r="AV418" i="32"/>
  <c r="AO418" i="32"/>
  <c r="AN683" i="32"/>
  <c r="AS672" i="10"/>
  <c r="AO672" i="32"/>
  <c r="AS672" i="32"/>
  <c r="AV672" i="32"/>
  <c r="AN403" i="32"/>
  <c r="AN404" i="32"/>
  <c r="AN126" i="32"/>
  <c r="AN487" i="32"/>
  <c r="AN352" i="32"/>
  <c r="AN31" i="32"/>
  <c r="AN526" i="32"/>
  <c r="AN279" i="32"/>
  <c r="AN550" i="32"/>
  <c r="AO378" i="10"/>
  <c r="AN427" i="32"/>
  <c r="AN343" i="32"/>
  <c r="AN321" i="32"/>
  <c r="AN28" i="32"/>
  <c r="AV372" i="10"/>
  <c r="AN72" i="32"/>
  <c r="AN698" i="32"/>
  <c r="AN208" i="32"/>
  <c r="AN547" i="32"/>
  <c r="AN150" i="32"/>
  <c r="AN575" i="32"/>
  <c r="AN510" i="32"/>
  <c r="AN87" i="32"/>
  <c r="AN636" i="32"/>
  <c r="AN73" i="32"/>
  <c r="AO360" i="10"/>
  <c r="AO360" i="32"/>
  <c r="AS360" i="32"/>
  <c r="AV360" i="32"/>
  <c r="AN75" i="32"/>
  <c r="AN302" i="32"/>
  <c r="AN333" i="32"/>
  <c r="AN148" i="32"/>
  <c r="AN503" i="32"/>
  <c r="AN35" i="32"/>
  <c r="AN910" i="32"/>
  <c r="AO822" i="32"/>
  <c r="AS822" i="32"/>
  <c r="AV822" i="32"/>
  <c r="AN924" i="32"/>
  <c r="AN900" i="32"/>
  <c r="AN938" i="32"/>
  <c r="AN940" i="32"/>
  <c r="AN911" i="32"/>
  <c r="AN793" i="32"/>
  <c r="AO703" i="32"/>
  <c r="AS703" i="32"/>
  <c r="AV703" i="32"/>
  <c r="AO776" i="32"/>
  <c r="AS776" i="32"/>
  <c r="AV776" i="32"/>
  <c r="AO193" i="32"/>
  <c r="AV193" i="32"/>
  <c r="AS193" i="32"/>
  <c r="AO29" i="32"/>
  <c r="AS29" i="32"/>
  <c r="AV29" i="32"/>
  <c r="AV106" i="32"/>
  <c r="AO106" i="32"/>
  <c r="AS106" i="32"/>
  <c r="AO79" i="32"/>
  <c r="AS79" i="32"/>
  <c r="AV79" i="32"/>
  <c r="AO215" i="32"/>
  <c r="AS215" i="32"/>
  <c r="AV215" i="32"/>
  <c r="AO82" i="32"/>
  <c r="AS82" i="32"/>
  <c r="AV82" i="32"/>
  <c r="AS72" i="32"/>
  <c r="AV72" i="32"/>
  <c r="AO72" i="32"/>
  <c r="AO50" i="32"/>
  <c r="AS50" i="32"/>
  <c r="AV50" i="32"/>
  <c r="AO95" i="32"/>
  <c r="AS95" i="32"/>
  <c r="AV95" i="32"/>
  <c r="AO63" i="32"/>
  <c r="AS63" i="32"/>
  <c r="AV63" i="32"/>
  <c r="AO150" i="32"/>
  <c r="AS150" i="32"/>
  <c r="AV150" i="32"/>
  <c r="AO177" i="32"/>
  <c r="AV177" i="32"/>
  <c r="AS177" i="32"/>
  <c r="AS970" i="32"/>
  <c r="AV970" i="32"/>
  <c r="AO970" i="32"/>
  <c r="AS948" i="32"/>
  <c r="AV948" i="32"/>
  <c r="AO948" i="32"/>
  <c r="AS463" i="32"/>
  <c r="AV463" i="32"/>
  <c r="AO463" i="32"/>
  <c r="AO273" i="32"/>
  <c r="AS273" i="32"/>
  <c r="AV273" i="32"/>
  <c r="AS605" i="32"/>
  <c r="AV605" i="32"/>
  <c r="AO605" i="32"/>
  <c r="AO508" i="32"/>
  <c r="AS508" i="32"/>
  <c r="AV508" i="32"/>
  <c r="AS399" i="32"/>
  <c r="AV399" i="32"/>
  <c r="AO399" i="32"/>
  <c r="AV809" i="32"/>
  <c r="AO809" i="32"/>
  <c r="AS809" i="32"/>
  <c r="AO287" i="32"/>
  <c r="AS287" i="32"/>
  <c r="AV287" i="32"/>
  <c r="AO910" i="10"/>
  <c r="AS910" i="32"/>
  <c r="AV910" i="32"/>
  <c r="AO910" i="32"/>
  <c r="AS627" i="10"/>
  <c r="AO296" i="10"/>
  <c r="AS296" i="32"/>
  <c r="AV296" i="32"/>
  <c r="AO296" i="32"/>
  <c r="AN945" i="32"/>
  <c r="AV509" i="10"/>
  <c r="AO509" i="32"/>
  <c r="AS509" i="32"/>
  <c r="AV509" i="32"/>
  <c r="AO250" i="10"/>
  <c r="AO250" i="32"/>
  <c r="AS250" i="32"/>
  <c r="AV250" i="32"/>
  <c r="AO917" i="10"/>
  <c r="AS917" i="32"/>
  <c r="AV917" i="32"/>
  <c r="AO917" i="32"/>
  <c r="AO823" i="10"/>
  <c r="AO823" i="32"/>
  <c r="AS823" i="32"/>
  <c r="AV823" i="32"/>
  <c r="AV875" i="10"/>
  <c r="AO444" i="10"/>
  <c r="AO444" i="32"/>
  <c r="AS444" i="32"/>
  <c r="AV444" i="32"/>
  <c r="AO354" i="10"/>
  <c r="AO354" i="32"/>
  <c r="AS354" i="32"/>
  <c r="AV354" i="32"/>
  <c r="AV494" i="10"/>
  <c r="AO494" i="32"/>
  <c r="AS494" i="32"/>
  <c r="AV494" i="32"/>
  <c r="AS498" i="10"/>
  <c r="AO498" i="32"/>
  <c r="AS498" i="32"/>
  <c r="AV498" i="32"/>
  <c r="AO415" i="10"/>
  <c r="AS415" i="32"/>
  <c r="AV415" i="32"/>
  <c r="AO415" i="32"/>
  <c r="AO879" i="10"/>
  <c r="AN975" i="32"/>
  <c r="AV874" i="10"/>
  <c r="AN630" i="32"/>
  <c r="AV239" i="10"/>
  <c r="AO239" i="32"/>
  <c r="AS239" i="32"/>
  <c r="AV239" i="32"/>
  <c r="AO462" i="10"/>
  <c r="AO462" i="32"/>
  <c r="AS462" i="32"/>
  <c r="AV462" i="32"/>
  <c r="AN620" i="32"/>
  <c r="AO708" i="10"/>
  <c r="AO708" i="32"/>
  <c r="AS708" i="32"/>
  <c r="AV708" i="32"/>
  <c r="AV701" i="10"/>
  <c r="AN677" i="32"/>
  <c r="AN399" i="32"/>
  <c r="AN750" i="32"/>
  <c r="AN603" i="32"/>
  <c r="AN84" i="32"/>
  <c r="AN335" i="32"/>
  <c r="AO720" i="10"/>
  <c r="AN323" i="32"/>
  <c r="AN767" i="32"/>
  <c r="AN322" i="32"/>
  <c r="AN46" i="32"/>
  <c r="AN303" i="32"/>
  <c r="AN537" i="32"/>
  <c r="AN138" i="32"/>
  <c r="AN509" i="32"/>
  <c r="AN123" i="32"/>
  <c r="AN497" i="32"/>
  <c r="AS408" i="10"/>
  <c r="AO408" i="32"/>
  <c r="AS408" i="32"/>
  <c r="AV408" i="32"/>
  <c r="AN144" i="32"/>
  <c r="AO318" i="10"/>
  <c r="AS318" i="32"/>
  <c r="AV318" i="32"/>
  <c r="AO318" i="32"/>
  <c r="AN16" i="32"/>
  <c r="AN357" i="32"/>
  <c r="AN731" i="32"/>
  <c r="AN63" i="32"/>
  <c r="AN614" i="32"/>
  <c r="AN146" i="32"/>
  <c r="AN549" i="32"/>
  <c r="AN227" i="32"/>
  <c r="AN106" i="32"/>
  <c r="AN574" i="32"/>
  <c r="AN616" i="32"/>
  <c r="AN34" i="32"/>
  <c r="AN508" i="32"/>
  <c r="AN80" i="32"/>
  <c r="AN960" i="32"/>
  <c r="AN810" i="32"/>
  <c r="AO764" i="32"/>
  <c r="AS764" i="32"/>
  <c r="AV764" i="32"/>
  <c r="AO758" i="32"/>
  <c r="AS758" i="32"/>
  <c r="AV758" i="32"/>
  <c r="AO210" i="32"/>
  <c r="AS210" i="32"/>
  <c r="AV210" i="32"/>
  <c r="AV142" i="32"/>
  <c r="AO142" i="32"/>
  <c r="AS142" i="32"/>
  <c r="AO179" i="32"/>
  <c r="AS179" i="32"/>
  <c r="AV179" i="32"/>
  <c r="AO163" i="32"/>
  <c r="AS163" i="32"/>
  <c r="AV163" i="32"/>
  <c r="AO57" i="32"/>
  <c r="AV57" i="32"/>
  <c r="AS57" i="32"/>
  <c r="AO182" i="32"/>
  <c r="AS182" i="32"/>
  <c r="AV182" i="32"/>
  <c r="AS206" i="32"/>
  <c r="AV206" i="32"/>
  <c r="AO206" i="32"/>
  <c r="AO128" i="32"/>
  <c r="AS128" i="32"/>
  <c r="AV128" i="32"/>
  <c r="AO93" i="32"/>
  <c r="AS93" i="32"/>
  <c r="AV93" i="32"/>
  <c r="AO30" i="32"/>
  <c r="AS30" i="32"/>
  <c r="AV30" i="32"/>
  <c r="AS174" i="32"/>
  <c r="AV174" i="32"/>
  <c r="AO174" i="32"/>
  <c r="AV803" i="32"/>
  <c r="AO803" i="32"/>
  <c r="AS803" i="32"/>
  <c r="AN538" i="32"/>
  <c r="AO821" i="32"/>
  <c r="AS821" i="32"/>
  <c r="AV821" i="32"/>
  <c r="AO526" i="32"/>
  <c r="AS526" i="32"/>
  <c r="AV526" i="32"/>
  <c r="AV804" i="32"/>
  <c r="AO804" i="32"/>
  <c r="AS804" i="32"/>
  <c r="AS260" i="32"/>
  <c r="AV260" i="32"/>
  <c r="AO260" i="32"/>
  <c r="V143" i="24" s="1"/>
  <c r="AB143" i="12" s="1"/>
  <c r="AN825" i="32"/>
  <c r="AV810" i="32"/>
  <c r="AO810" i="32"/>
  <c r="AS810" i="32"/>
  <c r="AO676" i="32"/>
  <c r="AS676" i="32"/>
  <c r="AV676" i="32"/>
  <c r="AV961" i="10"/>
  <c r="AS961" i="32"/>
  <c r="AV961" i="32"/>
  <c r="AO961" i="32"/>
  <c r="AV240" i="10"/>
  <c r="AO240" i="32"/>
  <c r="AS240" i="32"/>
  <c r="AV240" i="32"/>
  <c r="AO253" i="10"/>
  <c r="AO253" i="32"/>
  <c r="AS253" i="32"/>
  <c r="AV253" i="32"/>
  <c r="AO955" i="10"/>
  <c r="AS955" i="32"/>
  <c r="AV955" i="32"/>
  <c r="AO955" i="32"/>
  <c r="AO445" i="10"/>
  <c r="AO445" i="32"/>
  <c r="AS445" i="32"/>
  <c r="AV445" i="32"/>
  <c r="AO631" i="10"/>
  <c r="AO631" i="32"/>
  <c r="AS631" i="32"/>
  <c r="AV631" i="32"/>
  <c r="AO500" i="10"/>
  <c r="AN355" i="32"/>
  <c r="AO799" i="10"/>
  <c r="AV799" i="32"/>
  <c r="AO799" i="32"/>
  <c r="AS799" i="32"/>
  <c r="AO320" i="10"/>
  <c r="AV320" i="32"/>
  <c r="AO320" i="32"/>
  <c r="AS320" i="32"/>
  <c r="AV574" i="10"/>
  <c r="AO574" i="32"/>
  <c r="AS574" i="32"/>
  <c r="AV574" i="32"/>
  <c r="AN571" i="32"/>
  <c r="AO745" i="10"/>
  <c r="AO745" i="32"/>
  <c r="AS745" i="32"/>
  <c r="AV745" i="32"/>
  <c r="AO645" i="10"/>
  <c r="AS818" i="10"/>
  <c r="AV818" i="32"/>
  <c r="AO818" i="32"/>
  <c r="AS818" i="32"/>
  <c r="AO952" i="10"/>
  <c r="AS952" i="32"/>
  <c r="AV952" i="32"/>
  <c r="AO952" i="32"/>
  <c r="AO420" i="10"/>
  <c r="AO380" i="10"/>
  <c r="AS540" i="10"/>
  <c r="AO540" i="32"/>
  <c r="AS540" i="32"/>
  <c r="AV540" i="32"/>
  <c r="AS721" i="10"/>
  <c r="AO637" i="10"/>
  <c r="AS637" i="32"/>
  <c r="AV637" i="32"/>
  <c r="AO637" i="32"/>
  <c r="AO447" i="10"/>
  <c r="AS447" i="32"/>
  <c r="AV447" i="32"/>
  <c r="AO447" i="32"/>
  <c r="AN691" i="32"/>
  <c r="AN742" i="32"/>
  <c r="AO736" i="10"/>
  <c r="AV736" i="32"/>
  <c r="AO736" i="32"/>
  <c r="AS736" i="32"/>
  <c r="AN710" i="32"/>
  <c r="AV571" i="10"/>
  <c r="AO571" i="32"/>
  <c r="AS571" i="32"/>
  <c r="AV571" i="32"/>
  <c r="AN277" i="32"/>
  <c r="AN252" i="32"/>
  <c r="AN70" i="32"/>
  <c r="AN263" i="32"/>
  <c r="AN492" i="32"/>
  <c r="AN306" i="32"/>
  <c r="AN154" i="32"/>
  <c r="AN223" i="32"/>
  <c r="AN751" i="32"/>
  <c r="AN93" i="32"/>
  <c r="AN445" i="32"/>
  <c r="AN60" i="32"/>
  <c r="AN517" i="32"/>
  <c r="AN90" i="32"/>
  <c r="AN428" i="32"/>
  <c r="AN299" i="32"/>
  <c r="AN204" i="32"/>
  <c r="AN579" i="32"/>
  <c r="AN530" i="32"/>
  <c r="AN163" i="32"/>
  <c r="AN105" i="32"/>
  <c r="AN340" i="32"/>
  <c r="AN197" i="32"/>
  <c r="AN433" i="32"/>
  <c r="AN201" i="32"/>
  <c r="AN514" i="32"/>
  <c r="AN226" i="32"/>
  <c r="AN49" i="32"/>
  <c r="AN248" i="32"/>
  <c r="AN453" i="32"/>
  <c r="AN127" i="32"/>
  <c r="AN55" i="32"/>
  <c r="AN953" i="32"/>
  <c r="AS973" i="32"/>
  <c r="AV973" i="32"/>
  <c r="AO973" i="32"/>
  <c r="AN903" i="32"/>
  <c r="AO824" i="32"/>
  <c r="AS824" i="32"/>
  <c r="AV824" i="32"/>
  <c r="AN952" i="32"/>
  <c r="AN956" i="32"/>
  <c r="AN950" i="32"/>
  <c r="AN964" i="32"/>
  <c r="AO763" i="32"/>
  <c r="AS763" i="32"/>
  <c r="AV763" i="32"/>
  <c r="AS567" i="32"/>
  <c r="AV567" i="32"/>
  <c r="AO567" i="32"/>
  <c r="AO747" i="32"/>
  <c r="AS747" i="32"/>
  <c r="AV747" i="32"/>
  <c r="AS88" i="32"/>
  <c r="AV88" i="32"/>
  <c r="AO88" i="32"/>
  <c r="AS16" i="32"/>
  <c r="AV16" i="32"/>
  <c r="AO16" i="32"/>
  <c r="AS187" i="32"/>
  <c r="AV187" i="32"/>
  <c r="AO187" i="32"/>
  <c r="AS104" i="32"/>
  <c r="AV104" i="32"/>
  <c r="AO104" i="32"/>
  <c r="AO110" i="32"/>
  <c r="AS110" i="32"/>
  <c r="AV110" i="32"/>
  <c r="AS87" i="32"/>
  <c r="AV87" i="32"/>
  <c r="AO87" i="32"/>
  <c r="AS203" i="32"/>
  <c r="AV203" i="32"/>
  <c r="AO203" i="32"/>
  <c r="AV21" i="32"/>
  <c r="AO21" i="32"/>
  <c r="AS21" i="32"/>
  <c r="AS52" i="32"/>
  <c r="AV52" i="32"/>
  <c r="AO52" i="32"/>
  <c r="AO28" i="32"/>
  <c r="AS28" i="32"/>
  <c r="AV28" i="32"/>
  <c r="AS938" i="32"/>
  <c r="AV938" i="32"/>
  <c r="AO938" i="32"/>
  <c r="AS918" i="32"/>
  <c r="AV918" i="32"/>
  <c r="AO918" i="32"/>
  <c r="AS937" i="32"/>
  <c r="AV937" i="32"/>
  <c r="AO937" i="32"/>
  <c r="AO814" i="32"/>
  <c r="AS814" i="32"/>
  <c r="AV814" i="32"/>
  <c r="AV805" i="32"/>
  <c r="AO805" i="32"/>
  <c r="AS805" i="32"/>
  <c r="AO742" i="32"/>
  <c r="AS742" i="32"/>
  <c r="AV742" i="32"/>
  <c r="AS974" i="32"/>
  <c r="AV974" i="32"/>
  <c r="AO974" i="32"/>
  <c r="AO693" i="32"/>
  <c r="AS693" i="32"/>
  <c r="AV693" i="32"/>
  <c r="AS767" i="32"/>
  <c r="AV767" i="32"/>
  <c r="AO767" i="32"/>
  <c r="AO427" i="10"/>
  <c r="AO427" i="32"/>
  <c r="AS427" i="32"/>
  <c r="AV427" i="32"/>
  <c r="AO224" i="10"/>
  <c r="AS224" i="32"/>
  <c r="AV224" i="32"/>
  <c r="AO224" i="32"/>
  <c r="AS243" i="10"/>
  <c r="AS243" i="32"/>
  <c r="AV243" i="32"/>
  <c r="AO243" i="32"/>
  <c r="AV523" i="10"/>
  <c r="AO686" i="10"/>
  <c r="AO686" i="32"/>
  <c r="AS686" i="32"/>
  <c r="AV686" i="32"/>
  <c r="AV923" i="10"/>
  <c r="AV553" i="10"/>
  <c r="AO553" i="32"/>
  <c r="AS553" i="32"/>
  <c r="AV553" i="32"/>
  <c r="AO819" i="10"/>
  <c r="AV819" i="32"/>
  <c r="AO819" i="32"/>
  <c r="AS819" i="32"/>
  <c r="AO512" i="10"/>
  <c r="AO512" i="32"/>
  <c r="AS512" i="32"/>
  <c r="AV512" i="32"/>
  <c r="AN493" i="32"/>
  <c r="AV429" i="10"/>
  <c r="AO429" i="32"/>
  <c r="AS429" i="32"/>
  <c r="AV429" i="32"/>
  <c r="AO438" i="10"/>
  <c r="AO438" i="32"/>
  <c r="AS438" i="32"/>
  <c r="AV438" i="32"/>
  <c r="AV472" i="10"/>
  <c r="AO472" i="32"/>
  <c r="AS472" i="32"/>
  <c r="AV472" i="32"/>
  <c r="AO628" i="10"/>
  <c r="AO628" i="32"/>
  <c r="AS628" i="32"/>
  <c r="AV628" i="32"/>
  <c r="AO237" i="10"/>
  <c r="AO237" i="32"/>
  <c r="V133" i="24" s="1"/>
  <c r="AB133" i="12" s="1"/>
  <c r="AS237" i="32"/>
  <c r="Z133" i="24" s="1"/>
  <c r="AF133" i="12" s="1"/>
  <c r="AV237" i="32"/>
  <c r="AC133" i="24" s="1"/>
  <c r="AN813" i="32"/>
  <c r="AO922" i="10"/>
  <c r="AS922" i="32"/>
  <c r="AV922" i="32"/>
  <c r="AO922" i="32"/>
  <c r="AO884" i="10"/>
  <c r="AO236" i="10"/>
  <c r="AO560" i="10"/>
  <c r="AO303" i="10"/>
  <c r="AO303" i="32"/>
  <c r="AV303" i="32"/>
  <c r="AS303" i="32"/>
  <c r="AO414" i="10"/>
  <c r="AO414" i="32"/>
  <c r="AS414" i="32"/>
  <c r="AV414" i="32"/>
  <c r="AN318" i="32"/>
  <c r="AN363" i="32"/>
  <c r="AN71" i="32"/>
  <c r="AN438" i="32"/>
  <c r="AV493" i="10"/>
  <c r="AO493" i="32"/>
  <c r="AS493" i="32"/>
  <c r="AV493" i="32"/>
  <c r="AN270" i="32"/>
  <c r="AN541" i="32"/>
  <c r="AN57" i="32"/>
  <c r="AV734" i="10"/>
  <c r="AV734" i="32"/>
  <c r="AO734" i="32"/>
  <c r="AS734" i="32"/>
  <c r="AN301" i="32"/>
  <c r="AN124" i="32"/>
  <c r="AN712" i="32"/>
  <c r="AN679" i="32"/>
  <c r="AN160" i="32"/>
  <c r="AN181" i="32"/>
  <c r="AN430" i="32"/>
  <c r="AN532" i="32"/>
  <c r="AN30" i="32"/>
  <c r="AN534" i="32"/>
  <c r="AN459" i="32"/>
  <c r="AN133" i="32"/>
  <c r="AN332" i="32"/>
  <c r="AN359" i="32"/>
  <c r="AN41" i="32"/>
  <c r="AN580" i="32"/>
  <c r="AN88" i="32"/>
  <c r="AN488" i="32"/>
  <c r="AN346" i="32"/>
  <c r="AN628" i="32"/>
  <c r="AN619" i="32"/>
  <c r="AN176" i="32"/>
  <c r="AN251" i="32"/>
  <c r="AO722" i="10"/>
  <c r="AO722" i="32"/>
  <c r="AS722" i="32"/>
  <c r="AV722" i="32"/>
  <c r="AN212" i="32"/>
  <c r="AN565" i="32"/>
  <c r="AN342" i="32"/>
  <c r="AN153" i="32"/>
  <c r="AN45" i="32"/>
  <c r="AN974" i="32"/>
  <c r="AN967" i="32"/>
  <c r="AS936" i="32"/>
  <c r="AV936" i="32"/>
  <c r="AO936" i="32"/>
  <c r="AS945" i="32"/>
  <c r="AV945" i="32"/>
  <c r="AO945" i="32"/>
  <c r="AS916" i="32"/>
  <c r="AV916" i="32"/>
  <c r="AO916" i="32"/>
  <c r="AN796" i="32"/>
  <c r="AO679" i="32"/>
  <c r="AS679" i="32"/>
  <c r="AV679" i="32"/>
  <c r="AO762" i="32"/>
  <c r="AS762" i="32"/>
  <c r="AV762" i="32"/>
  <c r="AS157" i="32"/>
  <c r="AV157" i="32"/>
  <c r="AO157" i="32"/>
  <c r="AO98" i="32"/>
  <c r="AS98" i="32"/>
  <c r="AV98" i="32"/>
  <c r="AS212" i="32"/>
  <c r="AV212" i="32"/>
  <c r="AO212" i="32"/>
  <c r="AS190" i="32"/>
  <c r="AV190" i="32"/>
  <c r="AO190" i="32"/>
  <c r="AS189" i="32"/>
  <c r="AV189" i="32"/>
  <c r="AO189" i="32"/>
  <c r="AO60" i="32"/>
  <c r="AS60" i="32"/>
  <c r="AV60" i="32"/>
  <c r="AV175" i="32"/>
  <c r="AO175" i="32"/>
  <c r="AS175" i="32"/>
  <c r="AO75" i="32"/>
  <c r="AV75" i="32"/>
  <c r="AS75" i="32"/>
  <c r="AS17" i="32"/>
  <c r="AV17" i="32"/>
  <c r="AO17" i="32"/>
  <c r="AO136" i="32"/>
  <c r="AS136" i="32"/>
  <c r="AV136" i="32"/>
  <c r="AO309" i="32"/>
  <c r="AS309" i="32"/>
  <c r="AV309" i="32"/>
  <c r="AS964" i="32"/>
  <c r="AV964" i="32"/>
  <c r="AO964" i="32"/>
  <c r="AN364" i="32"/>
  <c r="AO597" i="32"/>
  <c r="AS597" i="32"/>
  <c r="AV597" i="32"/>
  <c r="AO688" i="32"/>
  <c r="AS688" i="32"/>
  <c r="AV688" i="32"/>
  <c r="AO458" i="32"/>
  <c r="AS458" i="32"/>
  <c r="AV458" i="32"/>
  <c r="AV593" i="32"/>
  <c r="AO593" i="32"/>
  <c r="AS593" i="32"/>
  <c r="AS580" i="32"/>
  <c r="AV580" i="32"/>
  <c r="AO580" i="32"/>
  <c r="AO510" i="32"/>
  <c r="AS510" i="32"/>
  <c r="AV510" i="32"/>
  <c r="AO599" i="32"/>
  <c r="AS599" i="32"/>
  <c r="AV599" i="32"/>
  <c r="AO530" i="32"/>
  <c r="AS530" i="32"/>
  <c r="AV530" i="32"/>
  <c r="AV519" i="10"/>
  <c r="AV519" i="32"/>
  <c r="AO519" i="32"/>
  <c r="AS519" i="32"/>
  <c r="AN936" i="32"/>
  <c r="AO367" i="10"/>
  <c r="AS367" i="32"/>
  <c r="AV367" i="32"/>
  <c r="AO367" i="32"/>
  <c r="AV469" i="10"/>
  <c r="AO469" i="32"/>
  <c r="AS469" i="32"/>
  <c r="AV469" i="32"/>
  <c r="AO452" i="10"/>
  <c r="AV452" i="32"/>
  <c r="AO452" i="32"/>
  <c r="AS452" i="32"/>
  <c r="AO424" i="10"/>
  <c r="AO424" i="32"/>
  <c r="AS424" i="32"/>
  <c r="AV424" i="32"/>
  <c r="AS845" i="10"/>
  <c r="AN672" i="32"/>
  <c r="AV586" i="32"/>
  <c r="AO586" i="32"/>
  <c r="AS586" i="32"/>
  <c r="AS401" i="10"/>
  <c r="AS401" i="32"/>
  <c r="AV401" i="32"/>
  <c r="AO401" i="32"/>
  <c r="AO448" i="10"/>
  <c r="AS448" i="32"/>
  <c r="AV448" i="32"/>
  <c r="AO448" i="32"/>
  <c r="AS482" i="10"/>
  <c r="AO482" i="32"/>
  <c r="AS482" i="32"/>
  <c r="AV482" i="32"/>
  <c r="AS235" i="10"/>
  <c r="AO235" i="32"/>
  <c r="AS235" i="32"/>
  <c r="AV235" i="32"/>
  <c r="AS615" i="10"/>
  <c r="AO615" i="32"/>
  <c r="AS615" i="32"/>
  <c r="AV615" i="32"/>
  <c r="AV902" i="10"/>
  <c r="AO902" i="32"/>
  <c r="AS902" i="32"/>
  <c r="AV902" i="32"/>
  <c r="AV389" i="10"/>
  <c r="AO389" i="32"/>
  <c r="AV389" i="32"/>
  <c r="AS389" i="32"/>
  <c r="AV311" i="10"/>
  <c r="AO311" i="32"/>
  <c r="AS311" i="32"/>
  <c r="AV311" i="32"/>
  <c r="AO466" i="10"/>
  <c r="AS466" i="32"/>
  <c r="AV466" i="32"/>
  <c r="AO466" i="32"/>
  <c r="AS499" i="10"/>
  <c r="AS499" i="32"/>
  <c r="AV499" i="32"/>
  <c r="AO499" i="32"/>
  <c r="AO326" i="10"/>
  <c r="AO326" i="32"/>
  <c r="AS326" i="32"/>
  <c r="AV326" i="32"/>
  <c r="AN411" i="32"/>
  <c r="AN570" i="32"/>
  <c r="AN437" i="32"/>
  <c r="AN15" i="32"/>
  <c r="AN470" i="32"/>
  <c r="AN257" i="32"/>
  <c r="AN129" i="32"/>
  <c r="AN314" i="32"/>
  <c r="AN457" i="32"/>
  <c r="AN82" i="32"/>
  <c r="AN379" i="32"/>
  <c r="AN434" i="32"/>
  <c r="AS347" i="10"/>
  <c r="AN414" i="32"/>
  <c r="AN134" i="32"/>
  <c r="AN690" i="32"/>
  <c r="AN300" i="32"/>
  <c r="AN179" i="32"/>
  <c r="AN419" i="32"/>
  <c r="AN47" i="32"/>
  <c r="AN48" i="32"/>
  <c r="AN774" i="32"/>
  <c r="AN224" i="32"/>
  <c r="AN469" i="32"/>
  <c r="AN490" i="32"/>
  <c r="AN128" i="32"/>
  <c r="AN446" i="32"/>
  <c r="AN131" i="32"/>
  <c r="AN246" i="32"/>
  <c r="AN780" i="32"/>
  <c r="AN229" i="32"/>
  <c r="AN325" i="32"/>
  <c r="AN17" i="32"/>
  <c r="AN744" i="32"/>
  <c r="AN539" i="32"/>
  <c r="AN100" i="32"/>
  <c r="AO324" i="10"/>
  <c r="AO324" i="32"/>
  <c r="AS324" i="32"/>
  <c r="AV324" i="32"/>
  <c r="AN495" i="32"/>
  <c r="AN50" i="32"/>
  <c r="AN455" i="32"/>
  <c r="AN66" i="32"/>
  <c r="AN961" i="32"/>
  <c r="AN817" i="32"/>
  <c r="AN801" i="32"/>
  <c r="AN803" i="32"/>
  <c r="AN818" i="32"/>
  <c r="AN816" i="32"/>
  <c r="AN799" i="32"/>
  <c r="AS750" i="32"/>
  <c r="AV750" i="32"/>
  <c r="AO750" i="32"/>
  <c r="AO746" i="32"/>
  <c r="AS746" i="32"/>
  <c r="AV746" i="32"/>
  <c r="AS565" i="32"/>
  <c r="AV565" i="32"/>
  <c r="AC71" i="24" s="1"/>
  <c r="AO565" i="32"/>
  <c r="AS698" i="32"/>
  <c r="AV698" i="32"/>
  <c r="AO698" i="32"/>
  <c r="AO92" i="32"/>
  <c r="AV92" i="32"/>
  <c r="AS92" i="32"/>
  <c r="AV192" i="32"/>
  <c r="AO192" i="32"/>
  <c r="AS192" i="32"/>
  <c r="AO77" i="32"/>
  <c r="AS77" i="32"/>
  <c r="AV77" i="32"/>
  <c r="AV208" i="32"/>
  <c r="AO208" i="32"/>
  <c r="AS208" i="32"/>
  <c r="AV55" i="32"/>
  <c r="AO55" i="32"/>
  <c r="AS55" i="32"/>
  <c r="AO67" i="32"/>
  <c r="AS67" i="32"/>
  <c r="AV67" i="32"/>
  <c r="AO153" i="32"/>
  <c r="AS153" i="32"/>
  <c r="AV153" i="32"/>
  <c r="AO31" i="32"/>
  <c r="AS31" i="32"/>
  <c r="AV31" i="32"/>
  <c r="AV107" i="32"/>
  <c r="AO107" i="32"/>
  <c r="AS107" i="32"/>
  <c r="AO49" i="32"/>
  <c r="AS49" i="32"/>
  <c r="AV49" i="32"/>
  <c r="AO211" i="32"/>
  <c r="AS211" i="32"/>
  <c r="AV211" i="32"/>
  <c r="AS947" i="32"/>
  <c r="AV947" i="32"/>
  <c r="AO947" i="32"/>
  <c r="AS971" i="32"/>
  <c r="AV971" i="32"/>
  <c r="AO971" i="32"/>
  <c r="AS729" i="32"/>
  <c r="AV729" i="32"/>
  <c r="AO729" i="32"/>
  <c r="AO756" i="32"/>
  <c r="AV756" i="32"/>
  <c r="AS756" i="32"/>
  <c r="AO282" i="32"/>
  <c r="AV282" i="32"/>
  <c r="AS282" i="32"/>
  <c r="AO340" i="32"/>
  <c r="AS340" i="32"/>
  <c r="AV340" i="32"/>
  <c r="AV798" i="32"/>
  <c r="AO798" i="32"/>
  <c r="AS798" i="32"/>
  <c r="AN622" i="32"/>
  <c r="AO421" i="32"/>
  <c r="AS421" i="32"/>
  <c r="AV421" i="32"/>
  <c r="AO426" i="32"/>
  <c r="AS426" i="32"/>
  <c r="AV426" i="32"/>
  <c r="AO644" i="32"/>
  <c r="AS644" i="32"/>
  <c r="AV644" i="32"/>
  <c r="AN670" i="32"/>
  <c r="AO471" i="10"/>
  <c r="AO471" i="32"/>
  <c r="AS471" i="32"/>
  <c r="AV471" i="32"/>
  <c r="AS314" i="10"/>
  <c r="AS314" i="32"/>
  <c r="AV314" i="32"/>
  <c r="AO314" i="32"/>
  <c r="AO299" i="10"/>
  <c r="AS299" i="32"/>
  <c r="AV299" i="32"/>
  <c r="AO299" i="32"/>
  <c r="AV379" i="10"/>
  <c r="AO379" i="32"/>
  <c r="AS379" i="32"/>
  <c r="AV379" i="32"/>
  <c r="AS431" i="10"/>
  <c r="AS431" i="32"/>
  <c r="AV431" i="32"/>
  <c r="AO431" i="32"/>
  <c r="AO636" i="10"/>
  <c r="AS636" i="32"/>
  <c r="AV636" i="32"/>
  <c r="AO636" i="32"/>
  <c r="AN700" i="32"/>
  <c r="AO949" i="10"/>
  <c r="AS949" i="32"/>
  <c r="AV949" i="32"/>
  <c r="AO949" i="32"/>
  <c r="AN946" i="32"/>
  <c r="AS242" i="10"/>
  <c r="AS242" i="32"/>
  <c r="AV242" i="32"/>
  <c r="AO242" i="32"/>
  <c r="AS888" i="10"/>
  <c r="AS357" i="10"/>
  <c r="AO357" i="32"/>
  <c r="AS357" i="32"/>
  <c r="AV357" i="32"/>
  <c r="AO283" i="10"/>
  <c r="AO283" i="32"/>
  <c r="AV283" i="32"/>
  <c r="AS283" i="32"/>
  <c r="AV784" i="10"/>
  <c r="AS784" i="32"/>
  <c r="AV784" i="32"/>
  <c r="AO784" i="32"/>
  <c r="AO265" i="10"/>
  <c r="AV265" i="32"/>
  <c r="AO265" i="32"/>
  <c r="AS265" i="32"/>
  <c r="AO416" i="10"/>
  <c r="AS416" i="32"/>
  <c r="AV416" i="32"/>
  <c r="AO416" i="32"/>
  <c r="AO425" i="10"/>
  <c r="AO425" i="32"/>
  <c r="AS425" i="32"/>
  <c r="AV425" i="32"/>
  <c r="AO419" i="10"/>
  <c r="AV419" i="32"/>
  <c r="AO419" i="32"/>
  <c r="AS419" i="32"/>
  <c r="AV591" i="32"/>
  <c r="AO591" i="32"/>
  <c r="AS591" i="32"/>
  <c r="AV432" i="10"/>
  <c r="AS432" i="32"/>
  <c r="AV432" i="32"/>
  <c r="AO432" i="32"/>
  <c r="AN264" i="32"/>
  <c r="AN762" i="32"/>
  <c r="AN38" i="32"/>
  <c r="AN522" i="32"/>
  <c r="AN684" i="32"/>
  <c r="AN42" i="32"/>
  <c r="AN424" i="32"/>
  <c r="AN188" i="32"/>
  <c r="AN286" i="32"/>
  <c r="AN253" i="32"/>
  <c r="AN186" i="32"/>
  <c r="AN542" i="32"/>
  <c r="AN576" i="32"/>
  <c r="AN190" i="32"/>
  <c r="AN450" i="32"/>
  <c r="AN685" i="32"/>
  <c r="AN156" i="32"/>
  <c r="AN519" i="32"/>
  <c r="AN545" i="32"/>
  <c r="AN421" i="32"/>
  <c r="AO374" i="10"/>
  <c r="AN250" i="32"/>
  <c r="AN104" i="32"/>
  <c r="AN605" i="32"/>
  <c r="AN125" i="32"/>
  <c r="AN398" i="32"/>
  <c r="AO364" i="10"/>
  <c r="AS364" i="32"/>
  <c r="AV364" i="32"/>
  <c r="AO364" i="32"/>
  <c r="AN621" i="32"/>
  <c r="AV752" i="10"/>
  <c r="AS752" i="32"/>
  <c r="AV752" i="32"/>
  <c r="AO752" i="32"/>
  <c r="AN95" i="32"/>
  <c r="AO513" i="32"/>
  <c r="AS513" i="32"/>
  <c r="AV513" i="32"/>
  <c r="AN203" i="32"/>
  <c r="AN327" i="32"/>
  <c r="AS315" i="32"/>
  <c r="AV315" i="32"/>
  <c r="AO315" i="32"/>
  <c r="AN162" i="32"/>
  <c r="AN804" i="32"/>
  <c r="AV806" i="32"/>
  <c r="AO806" i="32"/>
  <c r="AS806" i="32"/>
  <c r="AN784" i="32"/>
  <c r="AN963" i="32"/>
  <c r="AO487" i="10"/>
  <c r="AV391" i="10"/>
  <c r="AS570" i="10"/>
  <c r="AV668" i="10"/>
  <c r="AS668" i="10"/>
  <c r="AV324" i="10"/>
  <c r="AS324" i="10"/>
  <c r="AV722" i="10"/>
  <c r="AV704" i="10"/>
  <c r="AO701" i="10"/>
  <c r="AV360" i="10"/>
  <c r="AO372" i="10"/>
  <c r="AS638" i="10"/>
  <c r="AV410" i="10"/>
  <c r="AO638" i="10"/>
  <c r="AV263" i="10"/>
  <c r="AS722" i="10"/>
  <c r="AO347" i="10"/>
  <c r="AS701" i="10"/>
  <c r="AS405" i="10"/>
  <c r="AV775" i="10"/>
  <c r="AO336" i="10"/>
  <c r="AO538" i="10"/>
  <c r="AS741" i="10"/>
  <c r="AO585" i="10"/>
  <c r="AS737" i="10"/>
  <c r="AS362" i="10"/>
  <c r="AO529" i="10"/>
  <c r="AV630" i="10"/>
  <c r="AO408" i="10"/>
  <c r="AV622" i="10"/>
  <c r="AV437" i="10"/>
  <c r="AO704" i="10"/>
  <c r="AV418" i="10"/>
  <c r="AO737" i="10"/>
  <c r="AV378" i="10"/>
  <c r="AV735" i="10"/>
  <c r="AO418" i="10"/>
  <c r="AV529" i="10"/>
  <c r="AS372" i="10"/>
  <c r="AO571" i="10"/>
  <c r="AV347" i="10"/>
  <c r="AO316" i="10"/>
  <c r="AS563" i="10"/>
  <c r="AS620" i="10"/>
  <c r="AS734" i="10"/>
  <c r="AO358" i="10"/>
  <c r="AO410" i="10"/>
  <c r="AS670" i="10"/>
  <c r="AV736" i="10"/>
  <c r="AV465" i="10"/>
  <c r="AO734" i="10"/>
  <c r="AO735" i="10"/>
  <c r="AV390" i="10"/>
  <c r="AO390" i="10"/>
  <c r="AS336" i="10"/>
  <c r="AO775" i="10"/>
  <c r="AS374" i="10"/>
  <c r="AV411" i="10"/>
  <c r="AS571" i="10"/>
  <c r="AO577" i="10"/>
  <c r="AS493" i="10"/>
  <c r="AO493" i="10"/>
  <c r="AV409" i="10"/>
  <c r="AS538" i="10"/>
  <c r="AV687" i="10"/>
  <c r="AS720" i="10"/>
  <c r="AO630" i="10"/>
  <c r="AV610" i="10"/>
  <c r="AV381" i="10"/>
  <c r="AS489" i="10"/>
  <c r="AO672" i="10"/>
  <c r="AS316" i="10"/>
  <c r="AO687" i="10"/>
  <c r="AO411" i="10"/>
  <c r="AO669" i="10"/>
  <c r="AS610" i="10"/>
  <c r="AO409" i="10"/>
  <c r="AV563" i="10"/>
  <c r="AO489" i="10"/>
  <c r="AS622" i="10"/>
  <c r="AO670" i="10"/>
  <c r="AV671" i="10"/>
  <c r="AO405" i="10"/>
  <c r="AV569" i="10"/>
  <c r="AS671" i="10"/>
  <c r="AS736" i="10"/>
  <c r="AV720" i="10"/>
  <c r="AS378" i="10"/>
  <c r="AS364" i="10"/>
  <c r="AS437" i="10"/>
  <c r="AV374" i="10"/>
  <c r="AV407" i="10"/>
  <c r="AO407" i="10"/>
  <c r="AV362" i="10"/>
  <c r="AV620" i="10"/>
  <c r="AS585" i="10"/>
  <c r="AV570" i="10"/>
  <c r="AO381" i="10"/>
  <c r="AS447" i="10"/>
  <c r="AV741" i="10"/>
  <c r="AS543" i="10"/>
  <c r="AV447" i="10"/>
  <c r="AV672" i="10"/>
  <c r="AV543" i="10"/>
  <c r="AS465" i="10"/>
  <c r="AV301" i="10"/>
  <c r="AS301" i="10"/>
  <c r="AV487" i="10"/>
  <c r="AV573" i="10"/>
  <c r="AS708" i="10"/>
  <c r="AS573" i="10"/>
  <c r="AV708" i="10"/>
  <c r="AS432" i="10"/>
  <c r="AO432" i="10"/>
  <c r="AV515" i="10"/>
  <c r="AV637" i="10"/>
  <c r="AS637" i="10"/>
  <c r="AO249" i="10"/>
  <c r="AS331" i="10"/>
  <c r="AV331" i="10"/>
  <c r="AV507" i="10"/>
  <c r="AV900" i="10"/>
  <c r="AS685" i="10"/>
  <c r="AO507" i="10"/>
  <c r="AS900" i="10"/>
  <c r="AV249" i="10"/>
  <c r="AO685" i="10"/>
  <c r="AS515" i="10"/>
  <c r="AV306" i="10"/>
  <c r="AS306" i="10"/>
  <c r="AO278" i="10"/>
  <c r="AS406" i="10"/>
  <c r="AV406" i="10"/>
  <c r="AS414" i="10"/>
  <c r="AV414" i="10"/>
  <c r="AS276" i="10"/>
  <c r="AO276" i="10"/>
  <c r="AV721" i="10"/>
  <c r="AO721" i="10"/>
  <c r="AS554" i="10"/>
  <c r="AV554" i="10"/>
  <c r="AV278" i="10"/>
  <c r="AV321" i="10"/>
  <c r="AO279" i="10"/>
  <c r="AV496" i="10"/>
  <c r="AS279" i="10"/>
  <c r="AV532" i="10"/>
  <c r="AO532" i="10"/>
  <c r="AO450" i="10"/>
  <c r="AS321" i="10"/>
  <c r="AO540" i="10"/>
  <c r="AS467" i="10"/>
  <c r="AV467" i="10"/>
  <c r="AV303" i="10"/>
  <c r="AS303" i="10"/>
  <c r="AV450" i="10"/>
  <c r="AO496" i="10"/>
  <c r="AV439" i="10"/>
  <c r="AS439" i="10"/>
  <c r="AS343" i="10"/>
  <c r="AO343" i="10"/>
  <c r="AS879" i="10"/>
  <c r="AV540" i="10"/>
  <c r="AV879" i="10"/>
  <c r="AO498" i="10"/>
  <c r="AV380" i="10"/>
  <c r="AS582" i="10"/>
  <c r="AV531" i="10"/>
  <c r="AO582" i="10"/>
  <c r="AV561" i="10"/>
  <c r="AS531" i="10"/>
  <c r="AS380" i="10"/>
  <c r="AV313" i="10"/>
  <c r="AS473" i="10"/>
  <c r="AS561" i="10"/>
  <c r="AO239" i="10"/>
  <c r="AV231" i="10"/>
  <c r="AS300" i="10"/>
  <c r="AS231" i="10"/>
  <c r="AV300" i="10"/>
  <c r="AS313" i="10"/>
  <c r="AS462" i="10"/>
  <c r="AV462" i="10"/>
  <c r="AS694" i="10"/>
  <c r="AS326" i="10"/>
  <c r="AV419" i="10"/>
  <c r="AO694" i="10"/>
  <c r="AO888" i="10"/>
  <c r="AV326" i="10"/>
  <c r="AS419" i="10"/>
  <c r="AV459" i="10"/>
  <c r="AS308" i="10"/>
  <c r="AV308" i="10"/>
  <c r="AV473" i="10"/>
  <c r="AS612" i="10"/>
  <c r="AV444" i="10"/>
  <c r="AO537" i="10"/>
  <c r="AS874" i="10"/>
  <c r="AS560" i="10"/>
  <c r="AO494" i="10"/>
  <c r="AO874" i="10"/>
  <c r="AV498" i="10"/>
  <c r="AS654" i="10"/>
  <c r="AO639" i="10"/>
  <c r="AS444" i="10"/>
  <c r="AV537" i="10"/>
  <c r="AV560" i="10"/>
  <c r="AS239" i="10"/>
  <c r="AS757" i="10"/>
  <c r="AV757" i="10"/>
  <c r="AS769" i="10"/>
  <c r="AV769" i="10"/>
  <c r="AS251" i="10"/>
  <c r="AS226" i="10"/>
  <c r="AO226" i="10"/>
  <c r="AS412" i="10"/>
  <c r="AO412" i="10"/>
  <c r="AV779" i="10"/>
  <c r="AV673" i="10"/>
  <c r="AS392" i="10"/>
  <c r="AV317" i="10"/>
  <c r="AS673" i="10"/>
  <c r="AO317" i="10"/>
  <c r="AO779" i="10"/>
  <c r="AO517" i="10"/>
  <c r="AV612" i="10"/>
  <c r="AO942" i="10"/>
  <c r="AS626" i="10"/>
  <c r="AO784" i="10"/>
  <c r="AO366" i="10"/>
  <c r="AV392" i="10"/>
  <c r="AO654" i="10"/>
  <c r="AV965" i="10"/>
  <c r="AS965" i="10"/>
  <c r="AV801" i="10"/>
  <c r="AV639" i="10"/>
  <c r="AS801" i="10"/>
  <c r="AV952" i="10"/>
  <c r="AO389" i="10"/>
  <c r="AS645" i="10"/>
  <c r="AO440" i="10"/>
  <c r="AS227" i="10"/>
  <c r="AS430" i="10"/>
  <c r="AV440" i="10"/>
  <c r="AV645" i="10"/>
  <c r="AS653" i="10"/>
  <c r="AV416" i="10"/>
  <c r="AS420" i="10"/>
  <c r="AS416" i="10"/>
  <c r="AV420" i="10"/>
  <c r="AV430" i="10"/>
  <c r="AV425" i="10"/>
  <c r="AS271" i="10"/>
  <c r="AV818" i="10"/>
  <c r="AO327" i="10"/>
  <c r="AO845" i="10"/>
  <c r="AO240" i="10"/>
  <c r="AS236" i="10"/>
  <c r="AV884" i="10"/>
  <c r="AO499" i="10"/>
  <c r="AV271" i="10"/>
  <c r="AS425" i="10"/>
  <c r="AS517" i="10"/>
  <c r="AO818" i="10"/>
  <c r="AS327" i="10"/>
  <c r="AO311" i="10"/>
  <c r="AS952" i="10"/>
  <c r="AV845" i="10"/>
  <c r="AV236" i="10"/>
  <c r="AO235" i="10"/>
  <c r="AV760" i="10"/>
  <c r="AO760" i="10"/>
  <c r="AV514" i="10"/>
  <c r="AO514" i="10"/>
  <c r="AV431" i="10"/>
  <c r="AS576" i="10"/>
  <c r="AO393" i="10"/>
  <c r="AV895" i="10"/>
  <c r="AV227" i="10"/>
  <c r="AV576" i="10"/>
  <c r="AS433" i="10"/>
  <c r="AO595" i="10"/>
  <c r="AS772" i="10"/>
  <c r="AV584" i="10"/>
  <c r="AO335" i="10"/>
  <c r="AS275" i="10"/>
  <c r="AS298" i="10"/>
  <c r="AO229" i="10"/>
  <c r="AV595" i="10"/>
  <c r="AO339" i="10"/>
  <c r="AS335" i="10"/>
  <c r="AS337" i="10"/>
  <c r="AV772" i="10"/>
  <c r="AS584" i="10"/>
  <c r="AO233" i="10"/>
  <c r="AV298" i="10"/>
  <c r="AV229" i="10"/>
  <c r="AO272" i="10"/>
  <c r="AV626" i="10"/>
  <c r="AV337" i="10"/>
  <c r="AS793" i="10"/>
  <c r="AO264" i="10"/>
  <c r="AO400" i="10"/>
  <c r="AO470" i="10"/>
  <c r="AV793" i="10"/>
  <c r="AS850" i="10"/>
  <c r="AS621" i="10"/>
  <c r="AV618" i="10"/>
  <c r="AS464" i="10"/>
  <c r="AO464" i="10"/>
  <c r="AO594" i="10"/>
  <c r="AO469" i="10"/>
  <c r="AS311" i="10"/>
  <c r="AS265" i="10"/>
  <c r="AV466" i="10"/>
  <c r="AV949" i="10"/>
  <c r="AS388" i="10"/>
  <c r="AS784" i="10"/>
  <c r="AV357" i="10"/>
  <c r="AV265" i="10"/>
  <c r="AV275" i="10"/>
  <c r="AS466" i="10"/>
  <c r="AV237" i="10"/>
  <c r="AS379" i="10"/>
  <c r="AO388" i="10"/>
  <c r="AS367" i="10"/>
  <c r="AS884" i="10"/>
  <c r="AS441" i="10"/>
  <c r="AO495" i="10"/>
  <c r="AS902" i="10"/>
  <c r="AS895" i="10"/>
  <c r="AV251" i="10"/>
  <c r="AS702" i="10"/>
  <c r="AO325" i="10"/>
  <c r="AO902" i="10"/>
  <c r="AV653" i="10"/>
  <c r="AV283" i="10"/>
  <c r="AV495" i="10"/>
  <c r="AV707" i="10"/>
  <c r="AV702" i="10"/>
  <c r="AS325" i="10"/>
  <c r="AS283" i="10"/>
  <c r="AV350" i="10"/>
  <c r="AV401" i="10"/>
  <c r="AO401" i="10"/>
  <c r="AO707" i="10"/>
  <c r="AS435" i="10"/>
  <c r="AS525" i="10"/>
  <c r="AV550" i="10"/>
  <c r="AS629" i="10"/>
  <c r="AS268" i="10"/>
  <c r="AS334" i="10"/>
  <c r="AO334" i="10"/>
  <c r="AS389" i="10"/>
  <c r="AV435" i="10"/>
  <c r="AS459" i="10"/>
  <c r="AV499" i="10"/>
  <c r="AS550" i="10"/>
  <c r="AS233" i="10"/>
  <c r="AV339" i="10"/>
  <c r="AO505" i="10"/>
  <c r="AV235" i="10"/>
  <c r="AV629" i="10"/>
  <c r="AV797" i="10"/>
  <c r="AS816" i="10"/>
  <c r="AO816" i="10"/>
  <c r="AS428" i="10"/>
  <c r="AV403" i="10"/>
  <c r="AO566" i="10"/>
  <c r="AS667" i="10"/>
  <c r="AV920" i="10"/>
  <c r="AV428" i="10"/>
  <c r="AS342" i="10"/>
  <c r="AO387" i="10"/>
  <c r="AS944" i="10"/>
  <c r="AV524" i="10"/>
  <c r="AS628" i="10"/>
  <c r="AS350" i="10"/>
  <c r="AS614" i="10"/>
  <c r="AV534" i="10"/>
  <c r="AS534" i="10"/>
  <c r="AS524" i="10"/>
  <c r="AO288" i="10"/>
  <c r="AS403" i="10"/>
  <c r="AS566" i="10"/>
  <c r="AO667" i="10"/>
  <c r="AO920" i="10"/>
  <c r="AV342" i="10"/>
  <c r="AV710" i="10"/>
  <c r="AS922" i="10"/>
  <c r="AV604" i="10"/>
  <c r="AS604" i="10"/>
  <c r="AO557" i="10"/>
  <c r="AS288" i="10"/>
  <c r="AV247" i="10"/>
  <c r="AV777" i="10"/>
  <c r="AV745" i="10"/>
  <c r="AS710" i="10"/>
  <c r="AS266" i="10"/>
  <c r="AV302" i="10"/>
  <c r="AO692" i="10"/>
  <c r="AV922" i="10"/>
  <c r="AS797" i="10"/>
  <c r="AV352" i="10"/>
  <c r="AS846" i="10"/>
  <c r="AO356" i="10"/>
  <c r="AV387" i="10"/>
  <c r="AS247" i="10"/>
  <c r="AS777" i="10"/>
  <c r="AS745" i="10"/>
  <c r="AS415" i="10"/>
  <c r="AV266" i="10"/>
  <c r="AS302" i="10"/>
  <c r="AO627" i="10"/>
  <c r="AV356" i="10"/>
  <c r="AV614" i="10"/>
  <c r="AO846" i="10"/>
  <c r="AV944" i="10"/>
  <c r="AV415" i="10"/>
  <c r="AS351" i="10"/>
  <c r="AS535" i="10"/>
  <c r="AO808" i="10"/>
  <c r="AS557" i="10"/>
  <c r="AO977" i="10"/>
  <c r="AS572" i="10"/>
  <c r="AV602" i="10"/>
  <c r="AV351" i="10"/>
  <c r="AS250" i="10"/>
  <c r="AV596" i="10"/>
  <c r="AV535" i="10"/>
  <c r="AS808" i="10"/>
  <c r="AO618" i="10"/>
  <c r="AO365" i="10"/>
  <c r="AV522" i="10"/>
  <c r="AS602" i="10"/>
  <c r="AV250" i="10"/>
  <c r="AS596" i="10"/>
  <c r="AS264" i="10"/>
  <c r="AS352" i="10"/>
  <c r="AV373" i="10"/>
  <c r="AS574" i="10"/>
  <c r="AO901" i="10"/>
  <c r="AO579" i="10"/>
  <c r="AV393" i="10"/>
  <c r="AS942" i="10"/>
  <c r="AS960" i="10"/>
  <c r="AV454" i="10"/>
  <c r="AS539" i="10"/>
  <c r="AS376" i="10"/>
  <c r="AS497" i="10"/>
  <c r="AO960" i="10"/>
  <c r="AO728" i="10"/>
  <c r="AO454" i="10"/>
  <c r="AV539" i="10"/>
  <c r="AV850" i="10"/>
  <c r="AV579" i="10"/>
  <c r="AV232" i="10"/>
  <c r="AV442" i="10"/>
  <c r="AV376" i="10"/>
  <c r="AS373" i="10"/>
  <c r="AV497" i="10"/>
  <c r="AV728" i="10"/>
  <c r="AV572" i="10"/>
  <c r="AO429" i="10"/>
  <c r="AO269" i="10"/>
  <c r="AS232" i="10"/>
  <c r="AV404" i="10"/>
  <c r="AS442" i="10"/>
  <c r="AO578" i="10"/>
  <c r="AV269" i="10"/>
  <c r="AS625" i="10"/>
  <c r="AV319" i="10"/>
  <c r="AV457" i="10"/>
  <c r="AS319" i="10"/>
  <c r="AS241" i="10"/>
  <c r="AV468" i="10"/>
  <c r="AV267" i="10"/>
  <c r="AV558" i="10"/>
  <c r="AV307" i="10"/>
  <c r="AV377" i="10"/>
  <c r="AO549" i="10"/>
  <c r="AO541" i="10"/>
  <c r="AV332" i="10"/>
  <c r="AS281" i="10"/>
  <c r="AS607" i="10"/>
  <c r="AS333" i="10"/>
  <c r="AO297" i="10"/>
  <c r="AV832" i="10"/>
  <c r="AV551" i="10"/>
  <c r="AV241" i="10"/>
  <c r="AV328" i="10"/>
  <c r="AV628" i="10"/>
  <c r="AV603" i="10"/>
  <c r="AO457" i="10"/>
  <c r="AO651" i="10"/>
  <c r="AS468" i="10"/>
  <c r="AS274" i="10"/>
  <c r="AS267" i="10"/>
  <c r="AV441" i="10"/>
  <c r="AV369" i="10"/>
  <c r="AO558" i="10"/>
  <c r="AS307" i="10"/>
  <c r="AO377" i="10"/>
  <c r="AS549" i="10"/>
  <c r="AS600" i="10"/>
  <c r="AS332" i="10"/>
  <c r="AS533" i="10"/>
  <c r="AV607" i="10"/>
  <c r="AO333" i="10"/>
  <c r="AO832" i="10"/>
  <c r="AS551" i="10"/>
  <c r="AO328" i="10"/>
  <c r="AS603" i="10"/>
  <c r="AV678" i="10"/>
  <c r="AV225" i="10"/>
  <c r="AS528" i="10"/>
  <c r="AS956" i="10"/>
  <c r="AV274" i="10"/>
  <c r="AV541" i="10"/>
  <c r="AS297" i="10"/>
  <c r="AS651" i="10"/>
  <c r="AV338" i="10"/>
  <c r="AV600" i="10"/>
  <c r="AO533" i="10"/>
  <c r="AV619" i="10"/>
  <c r="AS678" i="10"/>
  <c r="AS225" i="10"/>
  <c r="AV449" i="10"/>
  <c r="AV528" i="10"/>
  <c r="AV956" i="10"/>
  <c r="AO433" i="10"/>
  <c r="AS404" i="10"/>
  <c r="AO625" i="10"/>
  <c r="AS338" i="10"/>
  <c r="AS237" i="10"/>
  <c r="AV901" i="10"/>
  <c r="AV838" i="10"/>
  <c r="AS619" i="10"/>
  <c r="AS449" i="10"/>
  <c r="AS365" i="10"/>
  <c r="AV578" i="10"/>
  <c r="AV281" i="10"/>
  <c r="AS838" i="10"/>
  <c r="AS522" i="10"/>
  <c r="AO254" i="10"/>
  <c r="AS257" i="10"/>
  <c r="AV268" i="10"/>
  <c r="AV400" i="10"/>
  <c r="AS366" i="10"/>
  <c r="AV470" i="10"/>
  <c r="AV594" i="10"/>
  <c r="AS254" i="10"/>
  <c r="AS692" i="10"/>
  <c r="AV257" i="10"/>
  <c r="AV272" i="10"/>
  <c r="AS634" i="10"/>
  <c r="AO369" i="10"/>
  <c r="AO875" i="10"/>
  <c r="AS434" i="10"/>
  <c r="AS624" i="10"/>
  <c r="AS799" i="10"/>
  <c r="AV434" i="10"/>
  <c r="AS949" i="10"/>
  <c r="AO509" i="10"/>
  <c r="AS872" i="10"/>
  <c r="AO482" i="10"/>
  <c r="AO371" i="10"/>
  <c r="AS581" i="10"/>
  <c r="AS516" i="10"/>
  <c r="AO379" i="10"/>
  <c r="AO472" i="10"/>
  <c r="AV242" i="10"/>
  <c r="AV525" i="10"/>
  <c r="AO581" i="10"/>
  <c r="AV621" i="10"/>
  <c r="AV819" i="10"/>
  <c r="AO314" i="10"/>
  <c r="AO872" i="10"/>
  <c r="AS438" i="10"/>
  <c r="AV516" i="10"/>
  <c r="AS609" i="10"/>
  <c r="AV320" i="10"/>
  <c r="AS908" i="10"/>
  <c r="AO634" i="10"/>
  <c r="AO574" i="10"/>
  <c r="AO492" i="10"/>
  <c r="AS472" i="10"/>
  <c r="AO357" i="10"/>
  <c r="AV438" i="10"/>
  <c r="AS448" i="10"/>
  <c r="AO242" i="10"/>
  <c r="AS819" i="10"/>
  <c r="AS424" i="10"/>
  <c r="AV616" i="10"/>
  <c r="AS623" i="10"/>
  <c r="AV609" i="10"/>
  <c r="AS320" i="10"/>
  <c r="AV908" i="10"/>
  <c r="AS492" i="10"/>
  <c r="AS823" i="10"/>
  <c r="AV448" i="10"/>
  <c r="AS961" i="10"/>
  <c r="AV228" i="10"/>
  <c r="AV424" i="10"/>
  <c r="AV500" i="10"/>
  <c r="AS723" i="10"/>
  <c r="AS616" i="10"/>
  <c r="AV623" i="10"/>
  <c r="AV370" i="10"/>
  <c r="AS910" i="10"/>
  <c r="AV354" i="10"/>
  <c r="AS646" i="10"/>
  <c r="AS744" i="10"/>
  <c r="AV823" i="10"/>
  <c r="AS923" i="10"/>
  <c r="AS296" i="10"/>
  <c r="AS228" i="10"/>
  <c r="AV631" i="10"/>
  <c r="AS512" i="10"/>
  <c r="AS500" i="10"/>
  <c r="AV917" i="10"/>
  <c r="AV723" i="10"/>
  <c r="AS370" i="10"/>
  <c r="AV910" i="10"/>
  <c r="AS354" i="10"/>
  <c r="AV646" i="10"/>
  <c r="AS545" i="10"/>
  <c r="AO615" i="10"/>
  <c r="AS875" i="10"/>
  <c r="AS261" i="10"/>
  <c r="AV248" i="10"/>
  <c r="AV261" i="10"/>
  <c r="AS248" i="10"/>
  <c r="AV624" i="10"/>
  <c r="AV799" i="10"/>
  <c r="AO553" i="10"/>
  <c r="AV744" i="10"/>
  <c r="AV486" i="10"/>
  <c r="AS611" i="10"/>
  <c r="AO923" i="10"/>
  <c r="AV296" i="10"/>
  <c r="AS636" i="10"/>
  <c r="AV423" i="10"/>
  <c r="AS631" i="10"/>
  <c r="AV641" i="10"/>
  <c r="AV512" i="10"/>
  <c r="AS917" i="10"/>
  <c r="AV545" i="10"/>
  <c r="AV615" i="10"/>
  <c r="AV482" i="10"/>
  <c r="AV371" i="10"/>
  <c r="AS509" i="10"/>
  <c r="AV888" i="10"/>
  <c r="AO486" i="10"/>
  <c r="AS523" i="10"/>
  <c r="AV611" i="10"/>
  <c r="AV636" i="10"/>
  <c r="AS423" i="10"/>
  <c r="AS641" i="10"/>
  <c r="AS494" i="10"/>
  <c r="AO431" i="10"/>
  <c r="AS429" i="10"/>
  <c r="AS505" i="10"/>
  <c r="AS977" i="10"/>
  <c r="AV627" i="10"/>
  <c r="AS553" i="10"/>
  <c r="AO523" i="10"/>
  <c r="AV367" i="10"/>
  <c r="AS445" i="10"/>
  <c r="AS519" i="10"/>
  <c r="AV445" i="10"/>
  <c r="AV452" i="10"/>
  <c r="AV471" i="10"/>
  <c r="AV243" i="10"/>
  <c r="AS452" i="10"/>
  <c r="AV224" i="10"/>
  <c r="AS471" i="10"/>
  <c r="AS955" i="10"/>
  <c r="AO243" i="10"/>
  <c r="AV955" i="10"/>
  <c r="AV427" i="10"/>
  <c r="AS224" i="10"/>
  <c r="AS427" i="10"/>
  <c r="AV253" i="10"/>
  <c r="AS253" i="10"/>
  <c r="AO519" i="10"/>
  <c r="AV686" i="10"/>
  <c r="AS270" i="10"/>
  <c r="AV299" i="10"/>
  <c r="AS245" i="10"/>
  <c r="AS647" i="10"/>
  <c r="AO961" i="10"/>
  <c r="AS686" i="10"/>
  <c r="AV270" i="10"/>
  <c r="AS299" i="10"/>
  <c r="AV555" i="10"/>
  <c r="AV245" i="10"/>
  <c r="AV647" i="10"/>
  <c r="AV800" i="10"/>
  <c r="AS240" i="10"/>
  <c r="AS555" i="10"/>
  <c r="AV314" i="10"/>
  <c r="AS469" i="10"/>
  <c r="AS800" i="10"/>
  <c r="AO732" i="10"/>
  <c r="AS732" i="10"/>
  <c r="AV732" i="10"/>
  <c r="AO195" i="10"/>
  <c r="AV195" i="10"/>
  <c r="AS195" i="10"/>
  <c r="AO126" i="10"/>
  <c r="AV126" i="10"/>
  <c r="AS126" i="10"/>
  <c r="AO180" i="10"/>
  <c r="AS180" i="10"/>
  <c r="AV180" i="10"/>
  <c r="AO161" i="10"/>
  <c r="AV161" i="10"/>
  <c r="AS161" i="10"/>
  <c r="AO35" i="10"/>
  <c r="AV35" i="10"/>
  <c r="AS35" i="10"/>
  <c r="AO193" i="10"/>
  <c r="AV193" i="10"/>
  <c r="AS193" i="10"/>
  <c r="AO95" i="10"/>
  <c r="AS95" i="10"/>
  <c r="AV95" i="10"/>
  <c r="AO483" i="10"/>
  <c r="AS483" i="10"/>
  <c r="AV483" i="10"/>
  <c r="AO811" i="10"/>
  <c r="AV811" i="10"/>
  <c r="AS811" i="10"/>
  <c r="AO562" i="10"/>
  <c r="AS562" i="10"/>
  <c r="AV562" i="10"/>
  <c r="AO632" i="10"/>
  <c r="AV632" i="10"/>
  <c r="AS632" i="10"/>
  <c r="AO798" i="10"/>
  <c r="AV798" i="10"/>
  <c r="AS798" i="10"/>
  <c r="AV223" i="10"/>
  <c r="AS223" i="10"/>
  <c r="AO223" i="10"/>
  <c r="AO764" i="10"/>
  <c r="AS764" i="10"/>
  <c r="AV764" i="10"/>
  <c r="AO163" i="10"/>
  <c r="AS163" i="10"/>
  <c r="AV163" i="10"/>
  <c r="AO803" i="10"/>
  <c r="AV803" i="10"/>
  <c r="AS803" i="10"/>
  <c r="AO521" i="10"/>
  <c r="AV521" i="10"/>
  <c r="AS521" i="10"/>
  <c r="AO88" i="10"/>
  <c r="AV88" i="10"/>
  <c r="AS88" i="10"/>
  <c r="AO87" i="10"/>
  <c r="AV87" i="10"/>
  <c r="AS87" i="10"/>
  <c r="AO939" i="10"/>
  <c r="AV939" i="10"/>
  <c r="AS939" i="10"/>
  <c r="AO157" i="10"/>
  <c r="AV157" i="10"/>
  <c r="AS157" i="10"/>
  <c r="AO75" i="10"/>
  <c r="AV75" i="10"/>
  <c r="AS75" i="10"/>
  <c r="AV976" i="10"/>
  <c r="AS976" i="10"/>
  <c r="AO976" i="10"/>
  <c r="AO597" i="10"/>
  <c r="AS597" i="10"/>
  <c r="AV597" i="10"/>
  <c r="AO881" i="10"/>
  <c r="AV881" i="10"/>
  <c r="AS881" i="10"/>
  <c r="AO422" i="10"/>
  <c r="AV422" i="10"/>
  <c r="AS422" i="10"/>
  <c r="AO565" i="10"/>
  <c r="AS565" i="10"/>
  <c r="AV565" i="10"/>
  <c r="AO153" i="10"/>
  <c r="AS153" i="10"/>
  <c r="AV153" i="10"/>
  <c r="AO971" i="10"/>
  <c r="AS971" i="10"/>
  <c r="AV971" i="10"/>
  <c r="AS739" i="10"/>
  <c r="AO739" i="10"/>
  <c r="AV739" i="10"/>
  <c r="AO94" i="10"/>
  <c r="AS94" i="10"/>
  <c r="AV94" i="10"/>
  <c r="AO123" i="10"/>
  <c r="AS123" i="10"/>
  <c r="AV123" i="10"/>
  <c r="AO768" i="10"/>
  <c r="AV768" i="10"/>
  <c r="AS768" i="10"/>
  <c r="AO137" i="10"/>
  <c r="AV137" i="10"/>
  <c r="AS137" i="10"/>
  <c r="AO144" i="10"/>
  <c r="AS144" i="10"/>
  <c r="AV144" i="10"/>
  <c r="AO197" i="10"/>
  <c r="AS197" i="10"/>
  <c r="AV197" i="10"/>
  <c r="AO617" i="10"/>
  <c r="AS617" i="10"/>
  <c r="AV617" i="10"/>
  <c r="AO778" i="10"/>
  <c r="AS778" i="10"/>
  <c r="AV778" i="10"/>
  <c r="AO738" i="10"/>
  <c r="AS738" i="10"/>
  <c r="AV738" i="10"/>
  <c r="AO782" i="10"/>
  <c r="AS782" i="10"/>
  <c r="AV782" i="10"/>
  <c r="AO675" i="10"/>
  <c r="AS675" i="10"/>
  <c r="AV675" i="10"/>
  <c r="AO38" i="10"/>
  <c r="AS38" i="10"/>
  <c r="AV38" i="10"/>
  <c r="AV139" i="10"/>
  <c r="AO139" i="10"/>
  <c r="AS139" i="10"/>
  <c r="AO158" i="10"/>
  <c r="AS158" i="10"/>
  <c r="AV158" i="10"/>
  <c r="AO156" i="10"/>
  <c r="AV156" i="10"/>
  <c r="AS156" i="10"/>
  <c r="AO105" i="10"/>
  <c r="AV105" i="10"/>
  <c r="AS105" i="10"/>
  <c r="AO143" i="10"/>
  <c r="AV143" i="10"/>
  <c r="AS143" i="10"/>
  <c r="AO73" i="10"/>
  <c r="AS73" i="10"/>
  <c r="AV73" i="10"/>
  <c r="AO71" i="10"/>
  <c r="AS71" i="10"/>
  <c r="AV71" i="10"/>
  <c r="AO85" i="10"/>
  <c r="AS85" i="10"/>
  <c r="AV85" i="10"/>
  <c r="AO78" i="10"/>
  <c r="AV78" i="10"/>
  <c r="AS78" i="10"/>
  <c r="AV129" i="10"/>
  <c r="AS129" i="10"/>
  <c r="AO129" i="10"/>
  <c r="AO817" i="10"/>
  <c r="AV817" i="10"/>
  <c r="AS817" i="10"/>
  <c r="AO953" i="10"/>
  <c r="AV953" i="10"/>
  <c r="AS953" i="10"/>
  <c r="AO962" i="10"/>
  <c r="AS962" i="10"/>
  <c r="AV962" i="10"/>
  <c r="AO937" i="10"/>
  <c r="AS937" i="10"/>
  <c r="AV937" i="10"/>
  <c r="AO396" i="10"/>
  <c r="AS396" i="10"/>
  <c r="AV396" i="10"/>
  <c r="AO547" i="10"/>
  <c r="AS547" i="10"/>
  <c r="AV547" i="10"/>
  <c r="AO974" i="10"/>
  <c r="AV974" i="10"/>
  <c r="AS974" i="10"/>
  <c r="AO864" i="10"/>
  <c r="AV864" i="10"/>
  <c r="AS864" i="10"/>
  <c r="AO676" i="10"/>
  <c r="AV676" i="10"/>
  <c r="AS676" i="10"/>
  <c r="AS906" i="10"/>
  <c r="AO906" i="10"/>
  <c r="AV906" i="10"/>
  <c r="AO402" i="10"/>
  <c r="AV402" i="10"/>
  <c r="AS402" i="10"/>
  <c r="AO353" i="10"/>
  <c r="AS353" i="10"/>
  <c r="AV353" i="10"/>
  <c r="AO451" i="10"/>
  <c r="AV451" i="10"/>
  <c r="AS451" i="10"/>
  <c r="AS713" i="10"/>
  <c r="AO713" i="10"/>
  <c r="AV713" i="10"/>
  <c r="AO58" i="10"/>
  <c r="AS58" i="10"/>
  <c r="AV58" i="10"/>
  <c r="AO810" i="10"/>
  <c r="AS810" i="10"/>
  <c r="AV810" i="10"/>
  <c r="AO287" i="10"/>
  <c r="AS287" i="10"/>
  <c r="AV287" i="10"/>
  <c r="AO684" i="10"/>
  <c r="AS684" i="10"/>
  <c r="AV684" i="10"/>
  <c r="AO132" i="10"/>
  <c r="AV132" i="10"/>
  <c r="AS132" i="10"/>
  <c r="AO703" i="10"/>
  <c r="AV703" i="10"/>
  <c r="AS703" i="10"/>
  <c r="AO215" i="10"/>
  <c r="AV215" i="10"/>
  <c r="AS215" i="10"/>
  <c r="AO150" i="10"/>
  <c r="AV150" i="10"/>
  <c r="AS150" i="10"/>
  <c r="AO575" i="10"/>
  <c r="AS575" i="10"/>
  <c r="AV575" i="10"/>
  <c r="AO883" i="10"/>
  <c r="AS883" i="10"/>
  <c r="AV883" i="10"/>
  <c r="AO695" i="10"/>
  <c r="AS695" i="10"/>
  <c r="AV695" i="10"/>
  <c r="AO207" i="10"/>
  <c r="AS207" i="10"/>
  <c r="AV207" i="10"/>
  <c r="AO93" i="10"/>
  <c r="AV93" i="10"/>
  <c r="AS93" i="10"/>
  <c r="AO812" i="10"/>
  <c r="AV812" i="10"/>
  <c r="AS812" i="10"/>
  <c r="AO363" i="10"/>
  <c r="AS363" i="10"/>
  <c r="AV363" i="10"/>
  <c r="AO187" i="10"/>
  <c r="AS187" i="10"/>
  <c r="AV187" i="10"/>
  <c r="AO28" i="10"/>
  <c r="AV28" i="10"/>
  <c r="AS28" i="10"/>
  <c r="AO490" i="10"/>
  <c r="AS490" i="10"/>
  <c r="AV490" i="10"/>
  <c r="AO767" i="10"/>
  <c r="AS767" i="10"/>
  <c r="AV767" i="10"/>
  <c r="AS98" i="10"/>
  <c r="AO98" i="10"/>
  <c r="AV98" i="10"/>
  <c r="AS147" i="10"/>
  <c r="AV147" i="10"/>
  <c r="AO147" i="10"/>
  <c r="AO192" i="10"/>
  <c r="AS192" i="10"/>
  <c r="AV192" i="10"/>
  <c r="AO107" i="10"/>
  <c r="AV107" i="10"/>
  <c r="AS107" i="10"/>
  <c r="AO277" i="10"/>
  <c r="AS277" i="10"/>
  <c r="AV277" i="10"/>
  <c r="AO886" i="10"/>
  <c r="AS886" i="10"/>
  <c r="AV886" i="10"/>
  <c r="AO794" i="10"/>
  <c r="AS794" i="10"/>
  <c r="AV794" i="10"/>
  <c r="AO361" i="10"/>
  <c r="AV361" i="10"/>
  <c r="AS361" i="10"/>
  <c r="AO42" i="10"/>
  <c r="AS42" i="10"/>
  <c r="AV42" i="10"/>
  <c r="AO103" i="10"/>
  <c r="AS103" i="10"/>
  <c r="AV103" i="10"/>
  <c r="AO882" i="10"/>
  <c r="AS882" i="10"/>
  <c r="AV882" i="10"/>
  <c r="AO696" i="10"/>
  <c r="AV696" i="10"/>
  <c r="AS696" i="10"/>
  <c r="AO76" i="10"/>
  <c r="AS76" i="10"/>
  <c r="AV76" i="10"/>
  <c r="AO691" i="10"/>
  <c r="AS691" i="10"/>
  <c r="AV691" i="10"/>
  <c r="AO754" i="10"/>
  <c r="AS754" i="10"/>
  <c r="AV754" i="10"/>
  <c r="AV773" i="10"/>
  <c r="AO773" i="10"/>
  <c r="AS773" i="10"/>
  <c r="AO759" i="10"/>
  <c r="AV759" i="10"/>
  <c r="AS759" i="10"/>
  <c r="AO725" i="10"/>
  <c r="AV725" i="10"/>
  <c r="AS725" i="10"/>
  <c r="AO205" i="10"/>
  <c r="AS205" i="10"/>
  <c r="AV205" i="10"/>
  <c r="AS131" i="10"/>
  <c r="AV131" i="10"/>
  <c r="AO131" i="10"/>
  <c r="AV145" i="10"/>
  <c r="AS145" i="10"/>
  <c r="AO145" i="10"/>
  <c r="AO56" i="10"/>
  <c r="AS56" i="10"/>
  <c r="AV56" i="10"/>
  <c r="AO130" i="10"/>
  <c r="AV130" i="10"/>
  <c r="AS130" i="10"/>
  <c r="AO120" i="10"/>
  <c r="AV120" i="10"/>
  <c r="AS120" i="10"/>
  <c r="AO109" i="10"/>
  <c r="AS109" i="10"/>
  <c r="AV109" i="10"/>
  <c r="AO15" i="10"/>
  <c r="AV15" i="10"/>
  <c r="AS15" i="10"/>
  <c r="AV41" i="10"/>
  <c r="AO41" i="10"/>
  <c r="AS41" i="10"/>
  <c r="AS183" i="10"/>
  <c r="AV183" i="10"/>
  <c r="AO183" i="10"/>
  <c r="AO91" i="10"/>
  <c r="AV91" i="10"/>
  <c r="AS91" i="10"/>
  <c r="AO940" i="10"/>
  <c r="AS940" i="10"/>
  <c r="AV940" i="10"/>
  <c r="AS829" i="10"/>
  <c r="AV829" i="10"/>
  <c r="AO829" i="10"/>
  <c r="AO891" i="10"/>
  <c r="AV891" i="10"/>
  <c r="AS891" i="10"/>
  <c r="AO964" i="10"/>
  <c r="AV964" i="10"/>
  <c r="AS964" i="10"/>
  <c r="AO504" i="10"/>
  <c r="AV504" i="10"/>
  <c r="AS504" i="10"/>
  <c r="AO815" i="10"/>
  <c r="AS815" i="10"/>
  <c r="AV815" i="10"/>
  <c r="AO650" i="10"/>
  <c r="AV650" i="10"/>
  <c r="AS650" i="10"/>
  <c r="AO456" i="10"/>
  <c r="AS456" i="10"/>
  <c r="AV456" i="10"/>
  <c r="AO344" i="10"/>
  <c r="AS344" i="10"/>
  <c r="AV344" i="10"/>
  <c r="AO323" i="10"/>
  <c r="AV323" i="10"/>
  <c r="AS323" i="10"/>
  <c r="AO693" i="10"/>
  <c r="AV693" i="10"/>
  <c r="AS693" i="10"/>
  <c r="AO633" i="10"/>
  <c r="AS633" i="10"/>
  <c r="AV633" i="10"/>
  <c r="AO146" i="10"/>
  <c r="AV146" i="10"/>
  <c r="AS146" i="10"/>
  <c r="AO70" i="10"/>
  <c r="AS70" i="10"/>
  <c r="AV70" i="10"/>
  <c r="AO194" i="10"/>
  <c r="AV194" i="10"/>
  <c r="AS194" i="10"/>
  <c r="AO924" i="10"/>
  <c r="AS924" i="10"/>
  <c r="AV924" i="10"/>
  <c r="AS890" i="10"/>
  <c r="AO890" i="10"/>
  <c r="AV890" i="10"/>
  <c r="AO124" i="10"/>
  <c r="AS124" i="10"/>
  <c r="AV124" i="10"/>
  <c r="AO202" i="10"/>
  <c r="AS202" i="10"/>
  <c r="AV202" i="10"/>
  <c r="AO185" i="10"/>
  <c r="AV185" i="10"/>
  <c r="AS185" i="10"/>
  <c r="AO903" i="10"/>
  <c r="AS903" i="10"/>
  <c r="AV903" i="10"/>
  <c r="AO943" i="10"/>
  <c r="AV943" i="10"/>
  <c r="AS943" i="10"/>
  <c r="AO106" i="10"/>
  <c r="AV106" i="10"/>
  <c r="AS106" i="10"/>
  <c r="AO72" i="10"/>
  <c r="AV72" i="10"/>
  <c r="AS72" i="10"/>
  <c r="AO948" i="10"/>
  <c r="AS948" i="10"/>
  <c r="AV948" i="10"/>
  <c r="AO210" i="10"/>
  <c r="AV210" i="10"/>
  <c r="AS210" i="10"/>
  <c r="AO182" i="10"/>
  <c r="AV182" i="10"/>
  <c r="AS182" i="10"/>
  <c r="AO852" i="10"/>
  <c r="AS852" i="10"/>
  <c r="AV852" i="10"/>
  <c r="AO346" i="10"/>
  <c r="AS346" i="10"/>
  <c r="AV346" i="10"/>
  <c r="AO426" i="10"/>
  <c r="AV426" i="10"/>
  <c r="AS426" i="10"/>
  <c r="AO530" i="10"/>
  <c r="AS530" i="10"/>
  <c r="AV530" i="10"/>
  <c r="AO747" i="10"/>
  <c r="AS747" i="10"/>
  <c r="AV747" i="10"/>
  <c r="AO203" i="10"/>
  <c r="AS203" i="10"/>
  <c r="AV203" i="10"/>
  <c r="AO762" i="10"/>
  <c r="AV762" i="10"/>
  <c r="AS762" i="10"/>
  <c r="AO175" i="10"/>
  <c r="AS175" i="10"/>
  <c r="AV175" i="10"/>
  <c r="AO839" i="10"/>
  <c r="AV839" i="10"/>
  <c r="AS839" i="10"/>
  <c r="AO252" i="10"/>
  <c r="AV252" i="10"/>
  <c r="AS252" i="10"/>
  <c r="AO750" i="10"/>
  <c r="AV750" i="10"/>
  <c r="AS750" i="10"/>
  <c r="AO77" i="10"/>
  <c r="AS77" i="10"/>
  <c r="AV77" i="10"/>
  <c r="AO49" i="10"/>
  <c r="AV49" i="10"/>
  <c r="AS49" i="10"/>
  <c r="AO421" i="10"/>
  <c r="AS421" i="10"/>
  <c r="AV421" i="10"/>
  <c r="AO770" i="10"/>
  <c r="AV770" i="10"/>
  <c r="AS770" i="10"/>
  <c r="AO127" i="10"/>
  <c r="AV127" i="10"/>
  <c r="AS127" i="10"/>
  <c r="AO966" i="10"/>
  <c r="AV966" i="10"/>
  <c r="AS966" i="10"/>
  <c r="AO821" i="10"/>
  <c r="AV821" i="10"/>
  <c r="AS821" i="10"/>
  <c r="AO460" i="10"/>
  <c r="AV460" i="10"/>
  <c r="AS460" i="10"/>
  <c r="AO605" i="10"/>
  <c r="AV605" i="10"/>
  <c r="AS605" i="10"/>
  <c r="AV508" i="10"/>
  <c r="AS508" i="10"/>
  <c r="AO508" i="10"/>
  <c r="AO712" i="10"/>
  <c r="AS712" i="10"/>
  <c r="AV712" i="10"/>
  <c r="AO101" i="10"/>
  <c r="AV101" i="10"/>
  <c r="AS101" i="10"/>
  <c r="AO122" i="10"/>
  <c r="AS122" i="10"/>
  <c r="AV122" i="10"/>
  <c r="AO904" i="10"/>
  <c r="AS904" i="10"/>
  <c r="AV904" i="10"/>
  <c r="AO853" i="10"/>
  <c r="AV853" i="10"/>
  <c r="AS853" i="10"/>
  <c r="AO305" i="10"/>
  <c r="AV305" i="10"/>
  <c r="AS305" i="10"/>
  <c r="AO260" i="10"/>
  <c r="AV260" i="10"/>
  <c r="AS260" i="10"/>
  <c r="AO802" i="10"/>
  <c r="AS802" i="10"/>
  <c r="AV802" i="10"/>
  <c r="AO280" i="10"/>
  <c r="AS280" i="10"/>
  <c r="AV280" i="10"/>
  <c r="AO748" i="10"/>
  <c r="AS748" i="10"/>
  <c r="AV748" i="10"/>
  <c r="AO716" i="10"/>
  <c r="AV716" i="10"/>
  <c r="AS716" i="10"/>
  <c r="AO680" i="10"/>
  <c r="AV680" i="10"/>
  <c r="AS680" i="10"/>
  <c r="AO766" i="10"/>
  <c r="AV766" i="10"/>
  <c r="AS766" i="10"/>
  <c r="AO171" i="10"/>
  <c r="AV171" i="10"/>
  <c r="AS171" i="10"/>
  <c r="AO164" i="10"/>
  <c r="AV164" i="10"/>
  <c r="AS164" i="10"/>
  <c r="AO173" i="10"/>
  <c r="AS173" i="10"/>
  <c r="AV173" i="10"/>
  <c r="AO188" i="10"/>
  <c r="AV188" i="10"/>
  <c r="AS188" i="10"/>
  <c r="AO141" i="10"/>
  <c r="AS141" i="10"/>
  <c r="AV141" i="10"/>
  <c r="AO32" i="10"/>
  <c r="AV32" i="10"/>
  <c r="AS32" i="10"/>
  <c r="AO48" i="10"/>
  <c r="AV48" i="10"/>
  <c r="AS48" i="10"/>
  <c r="AO160" i="10"/>
  <c r="AV160" i="10"/>
  <c r="AS160" i="10"/>
  <c r="AO99" i="10"/>
  <c r="AS99" i="10"/>
  <c r="AV99" i="10"/>
  <c r="AO154" i="10"/>
  <c r="AV154" i="10"/>
  <c r="AS154" i="10"/>
  <c r="AO149" i="10"/>
  <c r="AV149" i="10"/>
  <c r="AS149" i="10"/>
  <c r="AO876" i="10"/>
  <c r="AS876" i="10"/>
  <c r="AV876" i="10"/>
  <c r="AO925" i="10"/>
  <c r="AS925" i="10"/>
  <c r="AV925" i="10"/>
  <c r="AO921" i="10"/>
  <c r="AV921" i="10"/>
  <c r="AS921" i="10"/>
  <c r="AO463" i="10"/>
  <c r="AV463" i="10"/>
  <c r="AS463" i="10"/>
  <c r="AO606" i="10"/>
  <c r="AS606" i="10"/>
  <c r="AV606" i="10"/>
  <c r="AO869" i="10"/>
  <c r="AS869" i="10"/>
  <c r="AV869" i="10"/>
  <c r="AO330" i="10"/>
  <c r="AV330" i="10"/>
  <c r="AS330" i="10"/>
  <c r="AS814" i="10"/>
  <c r="AV814" i="10"/>
  <c r="AO814" i="10"/>
  <c r="AO688" i="10"/>
  <c r="AS688" i="10"/>
  <c r="AV688" i="10"/>
  <c r="AO834" i="10"/>
  <c r="AV834" i="10"/>
  <c r="AS834" i="10"/>
  <c r="AO753" i="10"/>
  <c r="AS753" i="10"/>
  <c r="AV753" i="10"/>
  <c r="AO349" i="10"/>
  <c r="AV349" i="10"/>
  <c r="AS349" i="10"/>
  <c r="AO178" i="10"/>
  <c r="AV178" i="10"/>
  <c r="AS178" i="10"/>
  <c r="AO102" i="10"/>
  <c r="AV102" i="10"/>
  <c r="AS102" i="10"/>
  <c r="AO68" i="10"/>
  <c r="AV68" i="10"/>
  <c r="AS68" i="10"/>
  <c r="AO81" i="10"/>
  <c r="AV81" i="10"/>
  <c r="AS81" i="10"/>
  <c r="AO29" i="10"/>
  <c r="AS29" i="10"/>
  <c r="AV29" i="10"/>
  <c r="AO63" i="10"/>
  <c r="AS63" i="10"/>
  <c r="AV63" i="10"/>
  <c r="AO758" i="10"/>
  <c r="AV758" i="10"/>
  <c r="AS758" i="10"/>
  <c r="AO206" i="10"/>
  <c r="AV206" i="10"/>
  <c r="AS206" i="10"/>
  <c r="AO542" i="10"/>
  <c r="AS542" i="10"/>
  <c r="AV542" i="10"/>
  <c r="AO567" i="10"/>
  <c r="AS567" i="10"/>
  <c r="AV567" i="10"/>
  <c r="AO135" i="10"/>
  <c r="AV135" i="10"/>
  <c r="AS135" i="10"/>
  <c r="AO110" i="10"/>
  <c r="AS110" i="10"/>
  <c r="AV110" i="10"/>
  <c r="AS52" i="10"/>
  <c r="AO52" i="10"/>
  <c r="AV52" i="10"/>
  <c r="AO877" i="10"/>
  <c r="AS877" i="10"/>
  <c r="AV877" i="10"/>
  <c r="AO644" i="10"/>
  <c r="AV644" i="10"/>
  <c r="AS644" i="10"/>
  <c r="AO212" i="10"/>
  <c r="AS212" i="10"/>
  <c r="AV212" i="10"/>
  <c r="AO698" i="10"/>
  <c r="AV698" i="10"/>
  <c r="AS698" i="10"/>
  <c r="AO67" i="10"/>
  <c r="AV67" i="10"/>
  <c r="AS67" i="10"/>
  <c r="AO211" i="10"/>
  <c r="AV211" i="10"/>
  <c r="AS211" i="10"/>
  <c r="AS613" i="10"/>
  <c r="AV613" i="10"/>
  <c r="AO613" i="10"/>
  <c r="AO162" i="10"/>
  <c r="AV162" i="10"/>
  <c r="AS162" i="10"/>
  <c r="AO152" i="10"/>
  <c r="AV152" i="10"/>
  <c r="AS152" i="10"/>
  <c r="AS309" i="10"/>
  <c r="AO309" i="10"/>
  <c r="AV309" i="10"/>
  <c r="AO640" i="10"/>
  <c r="AS640" i="10"/>
  <c r="AV640" i="10"/>
  <c r="AO118" i="10"/>
  <c r="AV118" i="10"/>
  <c r="AS118" i="10"/>
  <c r="AO23" i="10"/>
  <c r="AS23" i="10"/>
  <c r="AV23" i="10"/>
  <c r="AO749" i="10"/>
  <c r="AV749" i="10"/>
  <c r="AS749" i="10"/>
  <c r="AO718" i="10"/>
  <c r="AS718" i="10"/>
  <c r="AV718" i="10"/>
  <c r="AO666" i="10"/>
  <c r="AS666" i="10"/>
  <c r="AV666" i="10"/>
  <c r="AO683" i="10"/>
  <c r="AV683" i="10"/>
  <c r="AS683" i="10"/>
  <c r="AO133" i="10"/>
  <c r="AV133" i="10"/>
  <c r="AS133" i="10"/>
  <c r="AO69" i="10"/>
  <c r="AS69" i="10"/>
  <c r="AV69" i="10"/>
  <c r="AO40" i="10"/>
  <c r="AS40" i="10"/>
  <c r="AV40" i="10"/>
  <c r="AO66" i="10"/>
  <c r="AS66" i="10"/>
  <c r="AV66" i="10"/>
  <c r="AO51" i="10"/>
  <c r="AV51" i="10"/>
  <c r="AS51" i="10"/>
  <c r="AO24" i="10"/>
  <c r="AV24" i="10"/>
  <c r="AS24" i="10"/>
  <c r="AO39" i="10"/>
  <c r="AS39" i="10"/>
  <c r="AV39" i="10"/>
  <c r="AO27" i="10"/>
  <c r="AV27" i="10"/>
  <c r="AS27" i="10"/>
  <c r="AO151" i="10"/>
  <c r="AV151" i="10"/>
  <c r="AS151" i="10"/>
  <c r="AO84" i="10"/>
  <c r="AS84" i="10"/>
  <c r="AV84" i="10"/>
  <c r="AO46" i="10"/>
  <c r="AS46" i="10"/>
  <c r="AV46" i="10"/>
  <c r="AO911" i="10"/>
  <c r="AS911" i="10"/>
  <c r="AV911" i="10"/>
  <c r="AO795" i="10"/>
  <c r="AV795" i="10"/>
  <c r="AS795" i="10"/>
  <c r="AO878" i="10"/>
  <c r="AS878" i="10"/>
  <c r="AV878" i="10"/>
  <c r="AO907" i="10"/>
  <c r="AS907" i="10"/>
  <c r="AV907" i="10"/>
  <c r="AO282" i="10"/>
  <c r="AS282" i="10"/>
  <c r="AV282" i="10"/>
  <c r="AO286" i="10"/>
  <c r="AS286" i="10"/>
  <c r="AV286" i="10"/>
  <c r="AO804" i="10"/>
  <c r="AS804" i="10"/>
  <c r="AV804" i="10"/>
  <c r="AO742" i="10"/>
  <c r="AV742" i="10"/>
  <c r="AS742" i="10"/>
  <c r="AS368" i="10"/>
  <c r="AV368" i="10"/>
  <c r="AO368" i="10"/>
  <c r="AO733" i="10"/>
  <c r="AS733" i="10"/>
  <c r="AV733" i="10"/>
  <c r="AO213" i="10"/>
  <c r="AS213" i="10"/>
  <c r="AV213" i="10"/>
  <c r="AO100" i="10"/>
  <c r="AS100" i="10"/>
  <c r="AV100" i="10"/>
  <c r="AO774" i="10"/>
  <c r="AV774" i="10"/>
  <c r="AS774" i="10"/>
  <c r="AO209" i="10"/>
  <c r="AV209" i="10"/>
  <c r="AS209" i="10"/>
  <c r="AV717" i="10"/>
  <c r="AS717" i="10"/>
  <c r="AO717" i="10"/>
  <c r="AO79" i="10"/>
  <c r="AS79" i="10"/>
  <c r="AV79" i="10"/>
  <c r="AO50" i="10"/>
  <c r="AV50" i="10"/>
  <c r="AS50" i="10"/>
  <c r="AO177" i="10"/>
  <c r="AV177" i="10"/>
  <c r="AS177" i="10"/>
  <c r="AO771" i="10"/>
  <c r="AS771" i="10"/>
  <c r="AV771" i="10"/>
  <c r="AO322" i="10"/>
  <c r="AS322" i="10"/>
  <c r="AV322" i="10"/>
  <c r="AO501" i="10"/>
  <c r="AV501" i="10"/>
  <c r="AS501" i="10"/>
  <c r="AO142" i="10"/>
  <c r="AS142" i="10"/>
  <c r="AV142" i="10"/>
  <c r="AO57" i="10"/>
  <c r="AS57" i="10"/>
  <c r="AV57" i="10"/>
  <c r="AO174" i="10"/>
  <c r="AS174" i="10"/>
  <c r="AV174" i="10"/>
  <c r="AO899" i="10"/>
  <c r="AV899" i="10"/>
  <c r="AS899" i="10"/>
  <c r="AO104" i="10"/>
  <c r="AV104" i="10"/>
  <c r="AS104" i="10"/>
  <c r="AV938" i="10"/>
  <c r="AO938" i="10"/>
  <c r="AS938" i="10"/>
  <c r="AO359" i="10"/>
  <c r="AV359" i="10"/>
  <c r="AS359" i="10"/>
  <c r="AO719" i="10"/>
  <c r="AS719" i="10"/>
  <c r="AV719" i="10"/>
  <c r="AO190" i="10"/>
  <c r="AS190" i="10"/>
  <c r="AV190" i="10"/>
  <c r="AO136" i="10"/>
  <c r="AV136" i="10"/>
  <c r="AS136" i="10"/>
  <c r="AO746" i="10"/>
  <c r="AS746" i="10"/>
  <c r="AV746" i="10"/>
  <c r="AO208" i="10"/>
  <c r="AS208" i="10"/>
  <c r="AV208" i="10"/>
  <c r="AO897" i="10"/>
  <c r="AV897" i="10"/>
  <c r="AS897" i="10"/>
  <c r="AO284" i="10"/>
  <c r="AV284" i="10"/>
  <c r="AS284" i="10"/>
  <c r="AO848" i="10"/>
  <c r="AS848" i="10"/>
  <c r="AV848" i="10"/>
  <c r="AO730" i="10"/>
  <c r="AV730" i="10"/>
  <c r="AS730" i="10"/>
  <c r="AO47" i="10"/>
  <c r="AV47" i="10"/>
  <c r="AS47" i="10"/>
  <c r="AO18" i="10"/>
  <c r="AV18" i="10"/>
  <c r="AS18" i="10"/>
  <c r="AO914" i="10"/>
  <c r="AV914" i="10"/>
  <c r="AS914" i="10"/>
  <c r="AO885" i="10"/>
  <c r="AV885" i="10"/>
  <c r="AS885" i="10"/>
  <c r="AO892" i="10"/>
  <c r="AS892" i="10"/>
  <c r="AV892" i="10"/>
  <c r="AO446" i="10"/>
  <c r="AS446" i="10"/>
  <c r="AV446" i="10"/>
  <c r="AO867" i="10"/>
  <c r="AV867" i="10"/>
  <c r="AS867" i="10"/>
  <c r="AO780" i="10"/>
  <c r="AV780" i="10"/>
  <c r="AS780" i="10"/>
  <c r="AV97" i="10"/>
  <c r="AO97" i="10"/>
  <c r="AS97" i="10"/>
  <c r="AO186" i="10"/>
  <c r="AV186" i="10"/>
  <c r="AS186" i="10"/>
  <c r="AS847" i="10"/>
  <c r="AV847" i="10"/>
  <c r="AO847" i="10"/>
  <c r="AO729" i="10"/>
  <c r="AV729" i="10"/>
  <c r="AS729" i="10"/>
  <c r="AS743" i="10"/>
  <c r="AV743" i="10"/>
  <c r="AO743" i="10"/>
  <c r="AO706" i="10"/>
  <c r="AV706" i="10"/>
  <c r="AS706" i="10"/>
  <c r="AO682" i="10"/>
  <c r="AS682" i="10"/>
  <c r="AV682" i="10"/>
  <c r="AO690" i="10"/>
  <c r="AS690" i="10"/>
  <c r="AV690" i="10"/>
  <c r="AO204" i="10"/>
  <c r="AV204" i="10"/>
  <c r="AS204" i="10"/>
  <c r="AO159" i="10"/>
  <c r="AV159" i="10"/>
  <c r="AS159" i="10"/>
  <c r="AO155" i="10"/>
  <c r="AV155" i="10"/>
  <c r="AS155" i="10"/>
  <c r="AO53" i="10"/>
  <c r="AS53" i="10"/>
  <c r="AV53" i="10"/>
  <c r="AO168" i="10"/>
  <c r="AV168" i="10"/>
  <c r="AS168" i="10"/>
  <c r="AO138" i="10"/>
  <c r="AS138" i="10"/>
  <c r="AV138" i="10"/>
  <c r="AO34" i="10"/>
  <c r="AS34" i="10"/>
  <c r="AV34" i="10"/>
  <c r="AO80" i="10"/>
  <c r="AV80" i="10"/>
  <c r="AS80" i="10"/>
  <c r="AO86" i="10"/>
  <c r="AV86" i="10"/>
  <c r="AS86" i="10"/>
  <c r="AO198" i="10"/>
  <c r="AV198" i="10"/>
  <c r="AS198" i="10"/>
  <c r="AO184" i="10"/>
  <c r="AV184" i="10"/>
  <c r="AS184" i="10"/>
  <c r="AO831" i="10"/>
  <c r="AS831" i="10"/>
  <c r="AV831" i="10"/>
  <c r="AO833" i="10"/>
  <c r="AV833" i="10"/>
  <c r="AS833" i="10"/>
  <c r="AO827" i="10"/>
  <c r="AV827" i="10"/>
  <c r="AS827" i="10"/>
  <c r="AO951" i="10"/>
  <c r="AS951" i="10"/>
  <c r="AV951" i="10"/>
  <c r="AO417" i="10"/>
  <c r="AS417" i="10"/>
  <c r="AV417" i="10"/>
  <c r="AO258" i="10"/>
  <c r="AS258" i="10"/>
  <c r="AV258" i="10"/>
  <c r="AO458" i="10"/>
  <c r="AV458" i="10"/>
  <c r="AS458" i="10"/>
  <c r="AO259" i="10"/>
  <c r="AV259" i="10"/>
  <c r="AS259" i="10"/>
  <c r="AS805" i="10"/>
  <c r="AO805" i="10"/>
  <c r="AV805" i="10"/>
  <c r="AO941" i="10"/>
  <c r="AV941" i="10"/>
  <c r="AS941" i="10"/>
  <c r="AO580" i="10"/>
  <c r="AS580" i="10"/>
  <c r="AV580" i="10"/>
  <c r="AO950" i="10"/>
  <c r="AS950" i="10"/>
  <c r="AV950" i="10"/>
  <c r="AO30" i="10"/>
  <c r="AS30" i="10"/>
  <c r="AV30" i="10"/>
  <c r="AO679" i="10"/>
  <c r="AV679" i="10"/>
  <c r="AS679" i="10"/>
  <c r="AO189" i="10"/>
  <c r="AV189" i="10"/>
  <c r="AS189" i="10"/>
  <c r="AO17" i="10"/>
  <c r="AV17" i="10"/>
  <c r="AS17" i="10"/>
  <c r="AO55" i="10"/>
  <c r="AV55" i="10"/>
  <c r="AS55" i="10"/>
  <c r="AO285" i="10"/>
  <c r="AV285" i="10"/>
  <c r="AS285" i="10"/>
  <c r="AS765" i="10"/>
  <c r="AO765" i="10"/>
  <c r="AV765" i="10"/>
  <c r="AV677" i="10"/>
  <c r="AO677" i="10"/>
  <c r="AS677" i="10"/>
  <c r="AO674" i="10"/>
  <c r="AS674" i="10"/>
  <c r="AV674" i="10"/>
  <c r="AO711" i="10"/>
  <c r="AS711" i="10"/>
  <c r="AV711" i="10"/>
  <c r="AO125" i="10"/>
  <c r="AV125" i="10"/>
  <c r="AS125" i="10"/>
  <c r="AV172" i="10"/>
  <c r="AO172" i="10"/>
  <c r="AS172" i="10"/>
  <c r="AS214" i="10"/>
  <c r="AV214" i="10"/>
  <c r="AO214" i="10"/>
  <c r="AO74" i="10"/>
  <c r="AV74" i="10"/>
  <c r="AS74" i="10"/>
  <c r="AS33" i="10"/>
  <c r="AO33" i="10"/>
  <c r="AV33" i="10"/>
  <c r="AO45" i="10"/>
  <c r="AV45" i="10"/>
  <c r="AS45" i="10"/>
  <c r="AO201" i="10"/>
  <c r="AS201" i="10"/>
  <c r="AV201" i="10"/>
  <c r="AO54" i="10"/>
  <c r="AV54" i="10"/>
  <c r="AS54" i="10"/>
  <c r="AO176" i="10"/>
  <c r="AS176" i="10"/>
  <c r="AV176" i="10"/>
  <c r="AO169" i="10"/>
  <c r="AS169" i="10"/>
  <c r="AV169" i="10"/>
  <c r="AO196" i="10"/>
  <c r="AS196" i="10"/>
  <c r="AV196" i="10"/>
  <c r="AO969" i="10"/>
  <c r="AS969" i="10"/>
  <c r="AV969" i="10"/>
  <c r="AO887" i="10"/>
  <c r="AV887" i="10"/>
  <c r="AS887" i="10"/>
  <c r="AO503" i="10"/>
  <c r="AS503" i="10"/>
  <c r="AV503" i="10"/>
  <c r="AO954" i="10"/>
  <c r="AV954" i="10"/>
  <c r="AS954" i="10"/>
  <c r="AO59" i="10"/>
  <c r="AV59" i="10"/>
  <c r="AS59" i="10"/>
  <c r="AO397" i="10"/>
  <c r="AS397" i="10"/>
  <c r="AV397" i="10"/>
  <c r="AO244" i="10"/>
  <c r="AS244" i="10"/>
  <c r="AV244" i="10"/>
  <c r="AO230" i="10"/>
  <c r="AS230" i="10"/>
  <c r="AV230" i="10"/>
  <c r="AO849" i="10"/>
  <c r="AS849" i="10"/>
  <c r="AV849" i="10"/>
  <c r="AO394" i="10"/>
  <c r="AS394" i="10"/>
  <c r="AV394" i="10"/>
  <c r="AO262" i="10"/>
  <c r="AS262" i="10"/>
  <c r="AV262" i="10"/>
  <c r="AO873" i="10"/>
  <c r="AV873" i="10"/>
  <c r="AS873" i="10"/>
  <c r="AO65" i="10"/>
  <c r="AV65" i="10"/>
  <c r="AS65" i="10"/>
  <c r="AO37" i="10"/>
  <c r="AS37" i="10"/>
  <c r="AV37" i="10"/>
  <c r="AO564" i="10"/>
  <c r="AS564" i="10"/>
  <c r="AV564" i="10"/>
  <c r="AO963" i="10"/>
  <c r="AS963" i="10"/>
  <c r="AV963" i="10"/>
  <c r="AO108" i="10"/>
  <c r="AV108" i="10"/>
  <c r="AS108" i="10"/>
  <c r="AO689" i="10"/>
  <c r="AV689" i="10"/>
  <c r="AS689" i="10"/>
  <c r="AO89" i="10"/>
  <c r="AS89" i="10"/>
  <c r="AV89" i="10"/>
  <c r="AO148" i="10"/>
  <c r="AV148" i="10"/>
  <c r="AS148" i="10"/>
  <c r="AO776" i="10"/>
  <c r="AV776" i="10"/>
  <c r="AS776" i="10"/>
  <c r="AO82" i="10"/>
  <c r="AS82" i="10"/>
  <c r="AV82" i="10"/>
  <c r="AO970" i="10"/>
  <c r="AS970" i="10"/>
  <c r="AV970" i="10"/>
  <c r="AO246" i="10"/>
  <c r="AS246" i="10"/>
  <c r="AV246" i="10"/>
  <c r="AO179" i="10"/>
  <c r="AV179" i="10"/>
  <c r="AS179" i="10"/>
  <c r="AO128" i="10"/>
  <c r="AV128" i="10"/>
  <c r="AS128" i="10"/>
  <c r="AO552" i="10"/>
  <c r="AS552" i="10"/>
  <c r="AV552" i="10"/>
  <c r="AO830" i="10"/>
  <c r="AV830" i="10"/>
  <c r="AS830" i="10"/>
  <c r="AO967" i="10"/>
  <c r="AV967" i="10"/>
  <c r="AS967" i="10"/>
  <c r="AO763" i="10"/>
  <c r="AV763" i="10"/>
  <c r="AS763" i="10"/>
  <c r="AO16" i="10"/>
  <c r="AS16" i="10"/>
  <c r="AV16" i="10"/>
  <c r="AO21" i="10"/>
  <c r="AS21" i="10"/>
  <c r="AV21" i="10"/>
  <c r="AO918" i="10"/>
  <c r="AS918" i="10"/>
  <c r="AV918" i="10"/>
  <c r="AO756" i="10"/>
  <c r="AS756" i="10"/>
  <c r="AV756" i="10"/>
  <c r="AV837" i="10"/>
  <c r="AS837" i="10"/>
  <c r="AO837" i="10"/>
  <c r="AO880" i="10"/>
  <c r="AV880" i="10"/>
  <c r="AS880" i="10"/>
  <c r="AO60" i="10"/>
  <c r="AS60" i="10"/>
  <c r="AV60" i="10"/>
  <c r="AO526" i="10"/>
  <c r="AV526" i="10"/>
  <c r="AS526" i="10"/>
  <c r="AO599" i="10"/>
  <c r="AS599" i="10"/>
  <c r="AV599" i="10"/>
  <c r="AS399" i="10"/>
  <c r="AO399" i="10"/>
  <c r="AV399" i="10"/>
  <c r="AO398" i="10"/>
  <c r="AS398" i="10"/>
  <c r="AV398" i="10"/>
  <c r="AO92" i="10"/>
  <c r="AV92" i="10"/>
  <c r="AS92" i="10"/>
  <c r="AO31" i="10"/>
  <c r="AS31" i="10"/>
  <c r="AV31" i="10"/>
  <c r="AO947" i="10"/>
  <c r="AS947" i="10"/>
  <c r="AV947" i="10"/>
  <c r="AO755" i="10"/>
  <c r="AS755" i="10"/>
  <c r="AV755" i="10"/>
  <c r="AO697" i="10"/>
  <c r="AV697" i="10"/>
  <c r="AS697" i="10"/>
  <c r="AO134" i="10"/>
  <c r="AS134" i="10"/>
  <c r="AV134" i="10"/>
  <c r="AO26" i="10"/>
  <c r="AS26" i="10"/>
  <c r="AV26" i="10"/>
  <c r="AO520" i="10"/>
  <c r="AS520" i="10"/>
  <c r="AV520" i="10"/>
  <c r="AO273" i="10"/>
  <c r="AS273" i="10"/>
  <c r="AV273" i="10"/>
  <c r="AO731" i="10"/>
  <c r="AS731" i="10"/>
  <c r="AV731" i="10"/>
  <c r="AO453" i="10"/>
  <c r="AS453" i="10"/>
  <c r="AV453" i="10"/>
  <c r="AO510" i="10"/>
  <c r="AV510" i="10"/>
  <c r="AS510" i="10"/>
  <c r="AO783" i="10"/>
  <c r="AS783" i="10"/>
  <c r="AV783" i="10"/>
  <c r="AO681" i="10"/>
  <c r="AV681" i="10"/>
  <c r="AS681" i="10"/>
  <c r="AS191" i="10"/>
  <c r="AV191" i="10"/>
  <c r="AO191" i="10"/>
  <c r="AO455" i="10"/>
  <c r="AS455" i="10"/>
  <c r="AV455" i="10"/>
  <c r="AO740" i="10"/>
  <c r="AS740" i="10"/>
  <c r="AV740" i="10"/>
  <c r="AV506" i="10"/>
  <c r="AO506" i="10"/>
  <c r="AS506" i="10"/>
  <c r="AO705" i="10"/>
  <c r="AV705" i="10"/>
  <c r="AS705" i="10"/>
  <c r="AO709" i="10"/>
  <c r="AS709" i="10"/>
  <c r="AV709" i="10"/>
  <c r="AO781" i="10"/>
  <c r="AS781" i="10"/>
  <c r="AV781" i="10"/>
  <c r="AO199" i="10"/>
  <c r="AV199" i="10"/>
  <c r="AS199" i="10"/>
  <c r="AV44" i="10"/>
  <c r="AS44" i="10"/>
  <c r="AO44" i="10"/>
  <c r="AO121" i="10"/>
  <c r="AV121" i="10"/>
  <c r="AS121" i="10"/>
  <c r="AO200" i="10"/>
  <c r="AS200" i="10"/>
  <c r="AV200" i="10"/>
  <c r="AO170" i="10"/>
  <c r="AV170" i="10"/>
  <c r="AS170" i="10"/>
  <c r="AO19" i="10"/>
  <c r="AV19" i="10"/>
  <c r="AS19" i="10"/>
  <c r="AO25" i="10"/>
  <c r="AS25" i="10"/>
  <c r="AV25" i="10"/>
  <c r="AV90" i="10"/>
  <c r="AS90" i="10"/>
  <c r="AO90" i="10"/>
  <c r="AO96" i="10"/>
  <c r="AV96" i="10"/>
  <c r="AS96" i="10"/>
  <c r="AO64" i="10"/>
  <c r="AS64" i="10"/>
  <c r="AV64" i="10"/>
  <c r="AO181" i="10"/>
  <c r="AV181" i="10"/>
  <c r="AS181" i="10"/>
  <c r="AO43" i="10"/>
  <c r="AS43" i="10"/>
  <c r="AV43" i="10"/>
  <c r="AS866" i="10"/>
  <c r="AO866" i="10"/>
  <c r="AV866" i="10"/>
  <c r="AO865" i="10"/>
  <c r="AS865" i="10"/>
  <c r="AV865" i="10"/>
  <c r="AO304" i="10"/>
  <c r="AV304" i="10"/>
  <c r="AS304" i="10"/>
  <c r="AO751" i="10"/>
  <c r="AV751" i="10"/>
  <c r="AS751" i="10"/>
  <c r="AO340" i="10"/>
  <c r="AV340" i="10"/>
  <c r="AS340" i="10"/>
  <c r="AO546" i="10"/>
  <c r="AS546" i="10"/>
  <c r="AV546" i="10"/>
  <c r="AO527" i="10"/>
  <c r="AS527" i="10"/>
  <c r="AV527" i="10"/>
  <c r="AO413" i="10"/>
  <c r="AS413" i="10"/>
  <c r="AV413" i="10"/>
  <c r="AO851" i="10"/>
  <c r="AV851" i="10"/>
  <c r="AS851" i="10"/>
  <c r="AO488" i="10"/>
  <c r="AV488" i="10"/>
  <c r="AS488" i="10"/>
  <c r="AO796" i="10"/>
  <c r="AV796" i="10"/>
  <c r="AS796" i="10"/>
  <c r="AO809" i="10"/>
  <c r="AS809" i="10"/>
  <c r="AV809" i="10"/>
  <c r="C11" i="12"/>
  <c r="U149" i="29" l="1" a="1"/>
  <c r="U158" i="29" a="1"/>
  <c r="U141" i="29" a="1"/>
  <c r="U136" i="29" a="1"/>
  <c r="U135" i="29" a="1"/>
  <c r="U151" i="29" a="1"/>
  <c r="U140" i="29" a="1"/>
  <c r="U139" i="29" a="1"/>
  <c r="U157" i="29" a="1"/>
  <c r="U146" i="29" a="1"/>
  <c r="Z71" i="24"/>
  <c r="AF71" i="12" s="1"/>
  <c r="U138" i="29" a="1"/>
  <c r="U132" i="29" a="1"/>
  <c r="U143" i="29" a="1"/>
  <c r="U152" i="29" a="1"/>
  <c r="U71" i="24"/>
  <c r="AA71" i="12" s="1"/>
  <c r="U133" i="29" a="1"/>
  <c r="U150" i="29" a="1"/>
  <c r="U148" i="29" a="1"/>
  <c r="U134" i="29" a="1"/>
  <c r="U156" i="29" a="1"/>
  <c r="U137" i="29" a="1"/>
  <c r="U142" i="29" a="1"/>
  <c r="U154" i="29" a="1"/>
  <c r="V71" i="24"/>
  <c r="AB71" i="12" s="1"/>
  <c r="U42" i="29"/>
  <c r="AC29" i="29"/>
  <c r="Z29" i="29"/>
  <c r="U29" i="29"/>
  <c r="Z42" i="29"/>
  <c r="AC42" i="29"/>
  <c r="V42" i="29"/>
  <c r="V29" i="29"/>
  <c r="V85" i="29"/>
  <c r="Z85" i="29"/>
  <c r="U84" i="29"/>
  <c r="AC85" i="29"/>
  <c r="Z68" i="29"/>
  <c r="V59" i="29"/>
  <c r="U68" i="29"/>
  <c r="AC142" i="24"/>
  <c r="Z59" i="29"/>
  <c r="V68" i="29"/>
  <c r="AC68" i="29"/>
  <c r="Z90" i="29"/>
  <c r="V90" i="29"/>
  <c r="AC90" i="29"/>
  <c r="Z63" i="29"/>
  <c r="U63" i="29"/>
  <c r="V63" i="29"/>
  <c r="U90" i="29"/>
  <c r="AC63" i="29"/>
  <c r="U59" i="29"/>
  <c r="AC59" i="29"/>
  <c r="U62" i="29"/>
  <c r="Z157" i="24"/>
  <c r="AF157" i="12" s="1"/>
  <c r="Z137" i="24"/>
  <c r="AF137" i="12" s="1"/>
  <c r="V146" i="24"/>
  <c r="AB146" i="12" s="1"/>
  <c r="U129" i="24"/>
  <c r="AA129" i="12" s="1"/>
  <c r="V140" i="24"/>
  <c r="AB140" i="12" s="1"/>
  <c r="V137" i="24"/>
  <c r="AB137" i="12" s="1"/>
  <c r="Z142" i="24"/>
  <c r="AF142" i="12" s="1"/>
  <c r="U146" i="24"/>
  <c r="AA146" i="12" s="1"/>
  <c r="V136" i="24"/>
  <c r="AB136" i="12" s="1"/>
  <c r="AC136" i="24"/>
  <c r="Z146" i="24"/>
  <c r="AF146" i="12" s="1"/>
  <c r="U141" i="24"/>
  <c r="AA141" i="12" s="1"/>
  <c r="AC132" i="24"/>
  <c r="V132" i="24"/>
  <c r="AB132" i="12" s="1"/>
  <c r="AC157" i="24"/>
  <c r="Z150" i="24"/>
  <c r="AF150" i="12" s="1"/>
  <c r="Z140" i="24"/>
  <c r="AF140" i="12" s="1"/>
  <c r="Z152" i="24"/>
  <c r="AF152" i="12" s="1"/>
  <c r="V157" i="24"/>
  <c r="AB157" i="12" s="1"/>
  <c r="V134" i="24"/>
  <c r="AB134" i="12" s="1"/>
  <c r="AC65" i="24"/>
  <c r="Z132" i="24"/>
  <c r="AF132" i="12" s="1"/>
  <c r="AC150" i="24"/>
  <c r="AC140" i="24"/>
  <c r="U149" i="24"/>
  <c r="AA149" i="12" s="1"/>
  <c r="U137" i="24"/>
  <c r="AA137" i="12" s="1"/>
  <c r="Z65" i="24"/>
  <c r="AF65" i="12" s="1"/>
  <c r="V150" i="24"/>
  <c r="AB150" i="12" s="1"/>
  <c r="V154" i="24"/>
  <c r="AB154" i="12" s="1"/>
  <c r="V49" i="24"/>
  <c r="AB49" i="12" s="1"/>
  <c r="U154" i="24"/>
  <c r="AA154" i="12" s="1"/>
  <c r="Z148" i="24"/>
  <c r="AF148" i="12" s="1"/>
  <c r="V148" i="24"/>
  <c r="AB148" i="12" s="1"/>
  <c r="U148" i="24"/>
  <c r="AA148" i="12" s="1"/>
  <c r="AC127" i="24"/>
  <c r="U128" i="24"/>
  <c r="AA128" i="12" s="1"/>
  <c r="AC146" i="24"/>
  <c r="V149" i="24"/>
  <c r="AB149" i="12" s="1"/>
  <c r="V49" i="29"/>
  <c r="U131" i="29" a="1"/>
  <c r="AC129" i="24"/>
  <c r="AC137" i="24"/>
  <c r="U138" i="24"/>
  <c r="AA138" i="12" s="1"/>
  <c r="U132" i="24"/>
  <c r="AA132" i="12" s="1"/>
  <c r="V65" i="24"/>
  <c r="AB65" i="12" s="1"/>
  <c r="U135" i="24"/>
  <c r="AA135" i="12" s="1"/>
  <c r="AC104" i="24"/>
  <c r="U109" i="24"/>
  <c r="AA109" i="12" s="1"/>
  <c r="Z136" i="24"/>
  <c r="AF136" i="12" s="1"/>
  <c r="AC134" i="24"/>
  <c r="Z151" i="24"/>
  <c r="AF151" i="12" s="1"/>
  <c r="AC143" i="24"/>
  <c r="AC149" i="24"/>
  <c r="U142" i="24"/>
  <c r="AA142" i="12" s="1"/>
  <c r="U126" i="24"/>
  <c r="AA126" i="12" s="1"/>
  <c r="Z127" i="24"/>
  <c r="AF127" i="12" s="1"/>
  <c r="U156" i="24"/>
  <c r="AA156" i="12" s="1"/>
  <c r="Z149" i="24"/>
  <c r="AF149" i="12" s="1"/>
  <c r="U153" i="24"/>
  <c r="AA153" i="12" s="1"/>
  <c r="AC72" i="29"/>
  <c r="AC72" i="24"/>
  <c r="V129" i="24"/>
  <c r="AB129" i="12" s="1"/>
  <c r="V107" i="29"/>
  <c r="Z105" i="24"/>
  <c r="AF105" i="12" s="1"/>
  <c r="AC94" i="24"/>
  <c r="AC94" i="29"/>
  <c r="U65" i="29"/>
  <c r="U65" i="24"/>
  <c r="AA65" i="12" s="1"/>
  <c r="Z95" i="29"/>
  <c r="Z95" i="24"/>
  <c r="AF95" i="12" s="1"/>
  <c r="U93" i="29"/>
  <c r="U93" i="24"/>
  <c r="AA93" i="12" s="1"/>
  <c r="Z68" i="24"/>
  <c r="AF68" i="12" s="1"/>
  <c r="Z145" i="24"/>
  <c r="AF145" i="12" s="1"/>
  <c r="AC147" i="24"/>
  <c r="Z154" i="24"/>
  <c r="AF154" i="12" s="1"/>
  <c r="Z120" i="24"/>
  <c r="AF120" i="12" s="1"/>
  <c r="Z120" i="29"/>
  <c r="U107" i="29"/>
  <c r="V105" i="29"/>
  <c r="U85" i="29"/>
  <c r="Z93" i="24"/>
  <c r="AF93" i="12" s="1"/>
  <c r="Z93" i="29"/>
  <c r="V147" i="24"/>
  <c r="AB147" i="12" s="1"/>
  <c r="U32" i="29"/>
  <c r="U127" i="29" a="1"/>
  <c r="V87" i="29"/>
  <c r="V87" i="24"/>
  <c r="AB87" i="12" s="1"/>
  <c r="U140" i="24"/>
  <c r="AA140" i="12" s="1"/>
  <c r="U152" i="24"/>
  <c r="AA152" i="12" s="1"/>
  <c r="V93" i="29"/>
  <c r="V93" i="24"/>
  <c r="AB93" i="12" s="1"/>
  <c r="AC98" i="24"/>
  <c r="AC98" i="29"/>
  <c r="V142" i="24"/>
  <c r="AB142" i="12" s="1"/>
  <c r="V101" i="24"/>
  <c r="AB101" i="12" s="1"/>
  <c r="V101" i="29"/>
  <c r="Z138" i="24"/>
  <c r="AF138" i="12" s="1"/>
  <c r="U139" i="24"/>
  <c r="AA139" i="12" s="1"/>
  <c r="AC66" i="29"/>
  <c r="AC66" i="24"/>
  <c r="AC105" i="24"/>
  <c r="U56" i="24"/>
  <c r="AA56" i="12" s="1"/>
  <c r="U56" i="29"/>
  <c r="AC154" i="24"/>
  <c r="U99" i="24"/>
  <c r="AA99" i="12" s="1"/>
  <c r="U99" i="29"/>
  <c r="U87" i="29"/>
  <c r="U87" i="24"/>
  <c r="AA87" i="12" s="1"/>
  <c r="U49" i="29"/>
  <c r="U49" i="24"/>
  <c r="AA49" i="12" s="1"/>
  <c r="Z104" i="29"/>
  <c r="U104" i="29"/>
  <c r="U109" i="29"/>
  <c r="Z143" i="24"/>
  <c r="AF143" i="12" s="1"/>
  <c r="AC96" i="24"/>
  <c r="AC96" i="29"/>
  <c r="U128" i="29" a="1"/>
  <c r="Z62" i="29"/>
  <c r="Z62" i="24"/>
  <c r="AF62" i="12" s="1"/>
  <c r="Z96" i="24"/>
  <c r="AF96" i="12" s="1"/>
  <c r="Z96" i="29"/>
  <c r="Z107" i="29"/>
  <c r="Z72" i="29"/>
  <c r="Z72" i="24"/>
  <c r="AF72" i="12" s="1"/>
  <c r="U151" i="24"/>
  <c r="AA151" i="12" s="1"/>
  <c r="U102" i="29"/>
  <c r="U102" i="24"/>
  <c r="AA102" i="12" s="1"/>
  <c r="U62" i="24"/>
  <c r="AA62" i="12" s="1"/>
  <c r="V96" i="24"/>
  <c r="AB96" i="12" s="1"/>
  <c r="V96" i="29"/>
  <c r="V104" i="29"/>
  <c r="U11" i="29"/>
  <c r="AC99" i="29"/>
  <c r="AC99" i="24"/>
  <c r="U104" i="24"/>
  <c r="AA104" i="12" s="1"/>
  <c r="V98" i="29"/>
  <c r="V98" i="24"/>
  <c r="AB98" i="12" s="1"/>
  <c r="AC153" i="24"/>
  <c r="Z61" i="29"/>
  <c r="U26" i="29"/>
  <c r="AC138" i="24"/>
  <c r="AC128" i="24"/>
  <c r="V66" i="29"/>
  <c r="V66" i="24"/>
  <c r="AB66" i="12" s="1"/>
  <c r="U150" i="24"/>
  <c r="AA150" i="12" s="1"/>
  <c r="AC115" i="24"/>
  <c r="AC115" i="29"/>
  <c r="U105" i="24"/>
  <c r="AA105" i="12" s="1"/>
  <c r="U105" i="29"/>
  <c r="Z104" i="24"/>
  <c r="AF104" i="12" s="1"/>
  <c r="U129" i="29" a="1"/>
  <c r="AC62" i="29"/>
  <c r="AC62" i="24"/>
  <c r="U134" i="24"/>
  <c r="AA134" i="12" s="1"/>
  <c r="Z129" i="24"/>
  <c r="AF129" i="12" s="1"/>
  <c r="U100" i="24"/>
  <c r="AA100" i="12" s="1"/>
  <c r="U100" i="29"/>
  <c r="V152" i="24"/>
  <c r="AB152" i="12" s="1"/>
  <c r="V95" i="24"/>
  <c r="AB95" i="12" s="1"/>
  <c r="V95" i="29"/>
  <c r="AC49" i="24"/>
  <c r="AC49" i="29"/>
  <c r="AC87" i="29"/>
  <c r="AC87" i="24"/>
  <c r="U82" i="24"/>
  <c r="AA82" i="12" s="1"/>
  <c r="U82" i="29"/>
  <c r="Z94" i="24"/>
  <c r="AF94" i="12" s="1"/>
  <c r="Z94" i="29"/>
  <c r="AC93" i="24"/>
  <c r="AC93" i="29"/>
  <c r="U147" i="24"/>
  <c r="AA147" i="12" s="1"/>
  <c r="Z105" i="29"/>
  <c r="Z98" i="24"/>
  <c r="AF98" i="12" s="1"/>
  <c r="Z98" i="29"/>
  <c r="AC61" i="29"/>
  <c r="U96" i="29"/>
  <c r="U96" i="24"/>
  <c r="AA96" i="12" s="1"/>
  <c r="AC141" i="24"/>
  <c r="Z99" i="29"/>
  <c r="Z99" i="24"/>
  <c r="AF99" i="12" s="1"/>
  <c r="AC82" i="29"/>
  <c r="AC82" i="24"/>
  <c r="V100" i="24"/>
  <c r="AB100" i="12" s="1"/>
  <c r="V100" i="29"/>
  <c r="Z153" i="24"/>
  <c r="AF153" i="12" s="1"/>
  <c r="V61" i="29"/>
  <c r="V56" i="29"/>
  <c r="V56" i="24"/>
  <c r="AB56" i="12" s="1"/>
  <c r="Z128" i="24"/>
  <c r="AF128" i="12" s="1"/>
  <c r="Z139" i="24"/>
  <c r="AF139" i="12" s="1"/>
  <c r="AC148" i="24"/>
  <c r="Z115" i="24"/>
  <c r="AF115" i="12" s="1"/>
  <c r="Z79" i="24"/>
  <c r="AF79" i="12" s="1"/>
  <c r="Z79" i="29"/>
  <c r="V104" i="24"/>
  <c r="AB104" i="12" s="1"/>
  <c r="U79" i="24"/>
  <c r="AA79" i="12" s="1"/>
  <c r="U79" i="29"/>
  <c r="Z49" i="24"/>
  <c r="AF49" i="12" s="1"/>
  <c r="Z49" i="29"/>
  <c r="U126" i="29" a="1"/>
  <c r="U157" i="24"/>
  <c r="AA157" i="12" s="1"/>
  <c r="V105" i="24"/>
  <c r="AB105" i="12" s="1"/>
  <c r="U89" i="24"/>
  <c r="AA89" i="12" s="1"/>
  <c r="U89" i="29"/>
  <c r="U13" i="29"/>
  <c r="U45" i="29"/>
  <c r="V138" i="24"/>
  <c r="AB138" i="12" s="1"/>
  <c r="V67" i="24"/>
  <c r="AB67" i="12" s="1"/>
  <c r="V67" i="29"/>
  <c r="AC89" i="29"/>
  <c r="AC89" i="24"/>
  <c r="V141" i="24"/>
  <c r="AB141" i="12" s="1"/>
  <c r="U115" i="24"/>
  <c r="AA115" i="12" s="1"/>
  <c r="U115" i="29"/>
  <c r="AC126" i="24"/>
  <c r="AC156" i="24"/>
  <c r="Z82" i="29"/>
  <c r="Z82" i="24"/>
  <c r="AF82" i="12" s="1"/>
  <c r="Z100" i="24"/>
  <c r="AF100" i="12" s="1"/>
  <c r="Z100" i="29"/>
  <c r="Z109" i="24"/>
  <c r="AF109" i="12" s="1"/>
  <c r="U50" i="24"/>
  <c r="AA50" i="12" s="1"/>
  <c r="U50" i="29"/>
  <c r="V50" i="24"/>
  <c r="AB50" i="12" s="1"/>
  <c r="V50" i="29"/>
  <c r="Z56" i="29"/>
  <c r="Z56" i="24"/>
  <c r="AF56" i="12" s="1"/>
  <c r="Z135" i="24"/>
  <c r="AF135" i="12" s="1"/>
  <c r="V139" i="24"/>
  <c r="AB139" i="12" s="1"/>
  <c r="AC79" i="29"/>
  <c r="AC79" i="24"/>
  <c r="AC151" i="24"/>
  <c r="Z115" i="29"/>
  <c r="Z109" i="29"/>
  <c r="V72" i="29"/>
  <c r="V72" i="24"/>
  <c r="AB72" i="12" s="1"/>
  <c r="U98" i="29"/>
  <c r="U98" i="24"/>
  <c r="AA98" i="12" s="1"/>
  <c r="AC95" i="29"/>
  <c r="AC95" i="24"/>
  <c r="V120" i="29"/>
  <c r="V120" i="24"/>
  <c r="AB120" i="12" s="1"/>
  <c r="AC68" i="24"/>
  <c r="U67" i="29"/>
  <c r="U67" i="24"/>
  <c r="AA67" i="12" s="1"/>
  <c r="AC145" i="24"/>
  <c r="Z147" i="24"/>
  <c r="AF147" i="12" s="1"/>
  <c r="U95" i="24"/>
  <c r="AA95" i="12" s="1"/>
  <c r="U95" i="29"/>
  <c r="V89" i="24"/>
  <c r="AB89" i="12" s="1"/>
  <c r="V89" i="29"/>
  <c r="U72" i="24"/>
  <c r="AA72" i="12" s="1"/>
  <c r="U72" i="29"/>
  <c r="U61" i="29"/>
  <c r="Z141" i="24"/>
  <c r="AF141" i="12" s="1"/>
  <c r="V99" i="24"/>
  <c r="AB99" i="12" s="1"/>
  <c r="V99" i="29"/>
  <c r="V82" i="24"/>
  <c r="AB82" i="12" s="1"/>
  <c r="V82" i="29"/>
  <c r="AC100" i="24"/>
  <c r="AC100" i="29"/>
  <c r="U120" i="29"/>
  <c r="U120" i="24"/>
  <c r="AA120" i="12" s="1"/>
  <c r="AC56" i="29"/>
  <c r="AC56" i="24"/>
  <c r="AC135" i="24"/>
  <c r="AC139" i="24"/>
  <c r="U101" i="29"/>
  <c r="U101" i="24"/>
  <c r="AA101" i="12" s="1"/>
  <c r="U136" i="24"/>
  <c r="AA136" i="12" s="1"/>
  <c r="V115" i="24"/>
  <c r="AB115" i="12" s="1"/>
  <c r="V115" i="29"/>
  <c r="V79" i="24"/>
  <c r="AB79" i="12" s="1"/>
  <c r="V79" i="29"/>
  <c r="U40" i="29"/>
  <c r="AC104" i="29"/>
  <c r="AC67" i="24"/>
  <c r="AC67" i="29"/>
  <c r="Z89" i="24"/>
  <c r="AF89" i="12" s="1"/>
  <c r="Z89" i="29"/>
  <c r="AC102" i="29"/>
  <c r="AC102" i="24"/>
  <c r="Z126" i="24"/>
  <c r="AF126" i="12" s="1"/>
  <c r="Z156" i="24"/>
  <c r="AF156" i="12" s="1"/>
  <c r="U127" i="24"/>
  <c r="AA127" i="12" s="1"/>
  <c r="V123" i="24"/>
  <c r="AB123" i="12" s="1"/>
  <c r="V123" i="29"/>
  <c r="AC107" i="29"/>
  <c r="V109" i="24"/>
  <c r="AB109" i="12" s="1"/>
  <c r="AC50" i="24"/>
  <c r="AC50" i="29"/>
  <c r="V135" i="24"/>
  <c r="AB135" i="12" s="1"/>
  <c r="U143" i="24"/>
  <c r="AA143" i="12" s="1"/>
  <c r="V109" i="29"/>
  <c r="V102" i="29"/>
  <c r="V102" i="24"/>
  <c r="AB102" i="12" s="1"/>
  <c r="Z123" i="24"/>
  <c r="AF123" i="12" s="1"/>
  <c r="Z123" i="29"/>
  <c r="V62" i="29"/>
  <c r="V62" i="24"/>
  <c r="AB62" i="12" s="1"/>
  <c r="V68" i="24"/>
  <c r="AB68" i="12" s="1"/>
  <c r="V94" i="29"/>
  <c r="V94" i="24"/>
  <c r="AB94" i="12" s="1"/>
  <c r="V145" i="24"/>
  <c r="AB145" i="12" s="1"/>
  <c r="AC152" i="24"/>
  <c r="U145" i="24"/>
  <c r="AA145" i="12" s="1"/>
  <c r="AC120" i="29"/>
  <c r="AC120" i="24"/>
  <c r="AC105" i="29"/>
  <c r="Z87" i="29"/>
  <c r="Z87" i="24"/>
  <c r="AF87" i="12" s="1"/>
  <c r="Z101" i="24"/>
  <c r="AF101" i="12" s="1"/>
  <c r="Z101" i="29"/>
  <c r="AC101" i="29"/>
  <c r="AC101" i="24"/>
  <c r="V153" i="24"/>
  <c r="AB153" i="12" s="1"/>
  <c r="V128" i="24"/>
  <c r="AB128" i="12" s="1"/>
  <c r="Z66" i="29"/>
  <c r="Z66" i="24"/>
  <c r="AF66" i="12" s="1"/>
  <c r="U66" i="29"/>
  <c r="U66" i="24"/>
  <c r="AA66" i="12" s="1"/>
  <c r="AC109" i="29"/>
  <c r="Z67" i="29"/>
  <c r="Z67" i="24"/>
  <c r="AF67" i="12" s="1"/>
  <c r="Z102" i="29"/>
  <c r="Z102" i="24"/>
  <c r="AF102" i="12" s="1"/>
  <c r="Z134" i="24"/>
  <c r="AF134" i="12" s="1"/>
  <c r="U123" i="24"/>
  <c r="AA123" i="12" s="1"/>
  <c r="U123" i="29"/>
  <c r="V126" i="24"/>
  <c r="AB126" i="12" s="1"/>
  <c r="V156" i="24"/>
  <c r="AB156" i="12" s="1"/>
  <c r="AC123" i="29"/>
  <c r="AC123" i="24"/>
  <c r="U94" i="29"/>
  <c r="U94" i="24"/>
  <c r="AA94" i="12" s="1"/>
  <c r="V127" i="24"/>
  <c r="AB127" i="12" s="1"/>
  <c r="AC109" i="24"/>
  <c r="Z50" i="24"/>
  <c r="AF50" i="12" s="1"/>
  <c r="Z50" i="29"/>
  <c r="U68" i="24"/>
  <c r="AA68" i="12" s="1"/>
  <c r="V151" i="24"/>
  <c r="AB151" i="12" s="1"/>
  <c r="M125" i="29"/>
  <c r="L125" i="29"/>
  <c r="K125" i="29"/>
  <c r="J125" i="29"/>
  <c r="I125" i="29"/>
  <c r="H125" i="29"/>
  <c r="G125" i="29"/>
  <c r="E125" i="29"/>
  <c r="D125" i="29"/>
  <c r="C125" i="29"/>
  <c r="M124" i="29"/>
  <c r="L124" i="29"/>
  <c r="K124" i="29"/>
  <c r="J124" i="29"/>
  <c r="I124" i="29"/>
  <c r="H124" i="29"/>
  <c r="G124" i="29"/>
  <c r="E124" i="29"/>
  <c r="D124" i="29"/>
  <c r="C124" i="29"/>
  <c r="M123" i="29"/>
  <c r="L123" i="29"/>
  <c r="K123" i="29"/>
  <c r="J123" i="29"/>
  <c r="I123" i="29"/>
  <c r="H123" i="29"/>
  <c r="G123" i="29"/>
  <c r="E123" i="29"/>
  <c r="D123" i="29"/>
  <c r="C123" i="29"/>
  <c r="M122" i="29"/>
  <c r="L122" i="29"/>
  <c r="K122" i="29"/>
  <c r="J122" i="29"/>
  <c r="I122" i="29"/>
  <c r="H122" i="29"/>
  <c r="G122" i="29"/>
  <c r="E122" i="29"/>
  <c r="D122" i="29"/>
  <c r="C122" i="29"/>
  <c r="M121" i="29"/>
  <c r="L121" i="29"/>
  <c r="K121" i="29"/>
  <c r="J121" i="29"/>
  <c r="I121" i="29"/>
  <c r="H121" i="29"/>
  <c r="G121" i="29"/>
  <c r="E121" i="29"/>
  <c r="D121" i="29"/>
  <c r="C121" i="29"/>
  <c r="M120" i="29"/>
  <c r="L120" i="29"/>
  <c r="K120" i="29"/>
  <c r="J120" i="29"/>
  <c r="I120" i="29"/>
  <c r="H120" i="29"/>
  <c r="G120" i="29"/>
  <c r="E120" i="29"/>
  <c r="D120" i="29"/>
  <c r="C120" i="29"/>
  <c r="M119" i="29"/>
  <c r="L119" i="29"/>
  <c r="K119" i="29"/>
  <c r="J119" i="29"/>
  <c r="I119" i="29"/>
  <c r="H119" i="29"/>
  <c r="G119" i="29"/>
  <c r="E119" i="29"/>
  <c r="D119" i="29"/>
  <c r="C119" i="29"/>
  <c r="M118" i="29"/>
  <c r="L118" i="29"/>
  <c r="K118" i="29"/>
  <c r="J118" i="29"/>
  <c r="I118" i="29"/>
  <c r="H118" i="29"/>
  <c r="G118" i="29"/>
  <c r="E118" i="29"/>
  <c r="D118" i="29"/>
  <c r="C118" i="29"/>
  <c r="M117" i="29"/>
  <c r="L117" i="29"/>
  <c r="K117" i="29"/>
  <c r="J117" i="29"/>
  <c r="I117" i="29"/>
  <c r="H117" i="29"/>
  <c r="G117" i="29"/>
  <c r="E117" i="29"/>
  <c r="D117" i="29"/>
  <c r="C117" i="29"/>
  <c r="M116" i="29"/>
  <c r="L116" i="29"/>
  <c r="K116" i="29"/>
  <c r="J116" i="29"/>
  <c r="I116" i="29"/>
  <c r="H116" i="29"/>
  <c r="G116" i="29"/>
  <c r="E116" i="29"/>
  <c r="D116" i="29"/>
  <c r="C116" i="29"/>
  <c r="M115" i="29"/>
  <c r="L115" i="29"/>
  <c r="K115" i="29"/>
  <c r="J115" i="29"/>
  <c r="I115" i="29"/>
  <c r="H115" i="29"/>
  <c r="G115" i="29"/>
  <c r="E115" i="29"/>
  <c r="D115" i="29"/>
  <c r="C115" i="29"/>
  <c r="M114" i="29"/>
  <c r="L114" i="29"/>
  <c r="K114" i="29"/>
  <c r="J114" i="29"/>
  <c r="I114" i="29"/>
  <c r="H114" i="29"/>
  <c r="G114" i="29"/>
  <c r="E114" i="29"/>
  <c r="D114" i="29"/>
  <c r="C114" i="29"/>
  <c r="M113" i="29"/>
  <c r="L113" i="29"/>
  <c r="K113" i="29"/>
  <c r="J113" i="29"/>
  <c r="I113" i="29"/>
  <c r="H113" i="29"/>
  <c r="G113" i="29"/>
  <c r="E113" i="29"/>
  <c r="D113" i="29"/>
  <c r="C113" i="29"/>
  <c r="M112" i="29"/>
  <c r="L112" i="29"/>
  <c r="K112" i="29"/>
  <c r="J112" i="29"/>
  <c r="I112" i="29"/>
  <c r="H112" i="29"/>
  <c r="G112" i="29"/>
  <c r="E112" i="29"/>
  <c r="D112" i="29"/>
  <c r="C112" i="29"/>
  <c r="M111" i="29"/>
  <c r="L111" i="29"/>
  <c r="K111" i="29"/>
  <c r="J111" i="29"/>
  <c r="I111" i="29"/>
  <c r="H111" i="29"/>
  <c r="G111" i="29"/>
  <c r="E111" i="29"/>
  <c r="D111" i="29"/>
  <c r="C111" i="29"/>
  <c r="M110" i="29"/>
  <c r="L110" i="29"/>
  <c r="K110" i="29"/>
  <c r="J110" i="29"/>
  <c r="I110" i="29"/>
  <c r="H110" i="29"/>
  <c r="G110" i="29"/>
  <c r="E110" i="29"/>
  <c r="D110" i="29"/>
  <c r="C110" i="29"/>
  <c r="M109" i="29"/>
  <c r="L109" i="29"/>
  <c r="K109" i="29"/>
  <c r="J109" i="29"/>
  <c r="I109" i="29"/>
  <c r="H109" i="29"/>
  <c r="G109" i="29"/>
  <c r="E109" i="29"/>
  <c r="D109" i="29"/>
  <c r="C109" i="29"/>
  <c r="M108" i="29"/>
  <c r="L108" i="29"/>
  <c r="K108" i="29"/>
  <c r="J108" i="29"/>
  <c r="I108" i="29"/>
  <c r="H108" i="29"/>
  <c r="G108" i="29"/>
  <c r="E108" i="29"/>
  <c r="D108" i="29"/>
  <c r="C108" i="29"/>
  <c r="M107" i="29"/>
  <c r="L107" i="29"/>
  <c r="K107" i="29"/>
  <c r="J107" i="29"/>
  <c r="I107" i="29"/>
  <c r="H107" i="29"/>
  <c r="G107" i="29"/>
  <c r="E107" i="29"/>
  <c r="D107" i="29"/>
  <c r="C107" i="29"/>
  <c r="M106" i="29"/>
  <c r="L106" i="29"/>
  <c r="K106" i="29"/>
  <c r="J106" i="29"/>
  <c r="I106" i="29"/>
  <c r="H106" i="29"/>
  <c r="G106" i="29"/>
  <c r="E106" i="29"/>
  <c r="D106" i="29"/>
  <c r="C106" i="29"/>
  <c r="M105" i="29"/>
  <c r="L105" i="29"/>
  <c r="K105" i="29"/>
  <c r="J105" i="29"/>
  <c r="I105" i="29"/>
  <c r="H105" i="29"/>
  <c r="G105" i="29"/>
  <c r="E105" i="29"/>
  <c r="D105" i="29"/>
  <c r="C105" i="29"/>
  <c r="M104" i="29"/>
  <c r="L104" i="29"/>
  <c r="K104" i="29"/>
  <c r="J104" i="29"/>
  <c r="I104" i="29"/>
  <c r="H104" i="29"/>
  <c r="G104" i="29"/>
  <c r="E104" i="29"/>
  <c r="D104" i="29"/>
  <c r="C104" i="29"/>
  <c r="M103" i="29"/>
  <c r="L103" i="29"/>
  <c r="K103" i="29"/>
  <c r="J103" i="29"/>
  <c r="I103" i="29"/>
  <c r="H103" i="29"/>
  <c r="G103" i="29"/>
  <c r="E103" i="29"/>
  <c r="D103" i="29"/>
  <c r="C103" i="29"/>
  <c r="M102" i="29"/>
  <c r="L102" i="29"/>
  <c r="K102" i="29"/>
  <c r="J102" i="29"/>
  <c r="I102" i="29"/>
  <c r="H102" i="29"/>
  <c r="G102" i="29"/>
  <c r="E102" i="29"/>
  <c r="D102" i="29"/>
  <c r="C102" i="29"/>
  <c r="M101" i="29"/>
  <c r="L101" i="29"/>
  <c r="K101" i="29"/>
  <c r="J101" i="29"/>
  <c r="I101" i="29"/>
  <c r="H101" i="29"/>
  <c r="G101" i="29"/>
  <c r="E101" i="29"/>
  <c r="D101" i="29"/>
  <c r="C101" i="29"/>
  <c r="M100" i="29"/>
  <c r="L100" i="29"/>
  <c r="K100" i="29"/>
  <c r="J100" i="29"/>
  <c r="I100" i="29"/>
  <c r="H100" i="29"/>
  <c r="G100" i="29"/>
  <c r="E100" i="29"/>
  <c r="D100" i="29"/>
  <c r="C100" i="29"/>
  <c r="M99" i="29"/>
  <c r="L99" i="29"/>
  <c r="K99" i="29"/>
  <c r="J99" i="29"/>
  <c r="I99" i="29"/>
  <c r="H99" i="29"/>
  <c r="G99" i="29"/>
  <c r="E99" i="29"/>
  <c r="D99" i="29"/>
  <c r="C99" i="29"/>
  <c r="M98" i="29"/>
  <c r="L98" i="29"/>
  <c r="K98" i="29"/>
  <c r="J98" i="29"/>
  <c r="I98" i="29"/>
  <c r="H98" i="29"/>
  <c r="G98" i="29"/>
  <c r="E98" i="29"/>
  <c r="D98" i="29"/>
  <c r="C98" i="29"/>
  <c r="M97" i="29"/>
  <c r="L97" i="29"/>
  <c r="K97" i="29"/>
  <c r="J97" i="29"/>
  <c r="I97" i="29"/>
  <c r="H97" i="29"/>
  <c r="G97" i="29"/>
  <c r="E97" i="29"/>
  <c r="D97" i="29"/>
  <c r="C97" i="29"/>
  <c r="M96" i="29"/>
  <c r="L96" i="29"/>
  <c r="K96" i="29"/>
  <c r="J96" i="29"/>
  <c r="I96" i="29"/>
  <c r="H96" i="29"/>
  <c r="G96" i="29"/>
  <c r="E96" i="29"/>
  <c r="D96" i="29"/>
  <c r="C96" i="29"/>
  <c r="M95" i="29"/>
  <c r="L95" i="29"/>
  <c r="K95" i="29"/>
  <c r="J95" i="29"/>
  <c r="I95" i="29"/>
  <c r="H95" i="29"/>
  <c r="G95" i="29"/>
  <c r="E95" i="29"/>
  <c r="D95" i="29"/>
  <c r="C95" i="29"/>
  <c r="M94" i="29"/>
  <c r="L94" i="29"/>
  <c r="K94" i="29"/>
  <c r="J94" i="29"/>
  <c r="I94" i="29"/>
  <c r="H94" i="29"/>
  <c r="G94" i="29"/>
  <c r="E94" i="29"/>
  <c r="D94" i="29"/>
  <c r="C94" i="29"/>
  <c r="M93" i="29"/>
  <c r="L93" i="29"/>
  <c r="K93" i="29"/>
  <c r="J93" i="29"/>
  <c r="I93" i="29"/>
  <c r="H93" i="29"/>
  <c r="G93" i="29"/>
  <c r="E93" i="29"/>
  <c r="D93" i="29"/>
  <c r="C93" i="29"/>
  <c r="M92" i="29"/>
  <c r="L92" i="29"/>
  <c r="K92" i="29"/>
  <c r="J92" i="29"/>
  <c r="I92" i="29"/>
  <c r="H92" i="29"/>
  <c r="G92" i="29"/>
  <c r="E92" i="29"/>
  <c r="D92" i="29"/>
  <c r="C92" i="29"/>
  <c r="M91" i="29"/>
  <c r="L91" i="29"/>
  <c r="K91" i="29"/>
  <c r="J91" i="29"/>
  <c r="I91" i="29"/>
  <c r="H91" i="29"/>
  <c r="G91" i="29"/>
  <c r="E91" i="29"/>
  <c r="D91" i="29"/>
  <c r="C91" i="29"/>
  <c r="M90" i="29"/>
  <c r="L90" i="29"/>
  <c r="K90" i="29"/>
  <c r="J90" i="29"/>
  <c r="I90" i="29"/>
  <c r="H90" i="29"/>
  <c r="G90" i="29"/>
  <c r="E90" i="29"/>
  <c r="D90" i="29"/>
  <c r="C90" i="29"/>
  <c r="M89" i="29"/>
  <c r="L89" i="29"/>
  <c r="K89" i="29"/>
  <c r="J89" i="29"/>
  <c r="I89" i="29"/>
  <c r="H89" i="29"/>
  <c r="G89" i="29"/>
  <c r="E89" i="29"/>
  <c r="D89" i="29"/>
  <c r="C89" i="29"/>
  <c r="M88" i="29"/>
  <c r="L88" i="29"/>
  <c r="K88" i="29"/>
  <c r="J88" i="29"/>
  <c r="I88" i="29"/>
  <c r="H88" i="29"/>
  <c r="G88" i="29"/>
  <c r="E88" i="29"/>
  <c r="D88" i="29"/>
  <c r="C88" i="29"/>
  <c r="M87" i="29"/>
  <c r="L87" i="29"/>
  <c r="K87" i="29"/>
  <c r="J87" i="29"/>
  <c r="I87" i="29"/>
  <c r="H87" i="29"/>
  <c r="G87" i="29"/>
  <c r="E87" i="29"/>
  <c r="D87" i="29"/>
  <c r="C87" i="29"/>
  <c r="M86" i="29"/>
  <c r="L86" i="29"/>
  <c r="K86" i="29"/>
  <c r="J86" i="29"/>
  <c r="I86" i="29"/>
  <c r="H86" i="29"/>
  <c r="G86" i="29"/>
  <c r="E86" i="29"/>
  <c r="D86" i="29"/>
  <c r="C86" i="29"/>
  <c r="M85" i="29"/>
  <c r="L85" i="29"/>
  <c r="K85" i="29"/>
  <c r="J85" i="29"/>
  <c r="I85" i="29"/>
  <c r="H85" i="29"/>
  <c r="G85" i="29"/>
  <c r="E85" i="29"/>
  <c r="D85" i="29"/>
  <c r="C85" i="29"/>
  <c r="M84" i="29"/>
  <c r="L84" i="29"/>
  <c r="K84" i="29"/>
  <c r="J84" i="29"/>
  <c r="I84" i="29"/>
  <c r="H84" i="29"/>
  <c r="G84" i="29"/>
  <c r="E84" i="29"/>
  <c r="D84" i="29"/>
  <c r="C84" i="29"/>
  <c r="M83" i="29"/>
  <c r="L83" i="29"/>
  <c r="K83" i="29"/>
  <c r="J83" i="29"/>
  <c r="I83" i="29"/>
  <c r="H83" i="29"/>
  <c r="G83" i="29"/>
  <c r="E83" i="29"/>
  <c r="D83" i="29"/>
  <c r="C83" i="29"/>
  <c r="M82" i="29"/>
  <c r="L82" i="29"/>
  <c r="K82" i="29"/>
  <c r="J82" i="29"/>
  <c r="I82" i="29"/>
  <c r="H82" i="29"/>
  <c r="G82" i="29"/>
  <c r="E82" i="29"/>
  <c r="D82" i="29"/>
  <c r="C82" i="29"/>
  <c r="M81" i="29"/>
  <c r="L81" i="29"/>
  <c r="K81" i="29"/>
  <c r="J81" i="29"/>
  <c r="I81" i="29"/>
  <c r="H81" i="29"/>
  <c r="G81" i="29"/>
  <c r="E81" i="29"/>
  <c r="D81" i="29"/>
  <c r="C81" i="29"/>
  <c r="M80" i="29"/>
  <c r="L80" i="29"/>
  <c r="K80" i="29"/>
  <c r="J80" i="29"/>
  <c r="I80" i="29"/>
  <c r="H80" i="29"/>
  <c r="G80" i="29"/>
  <c r="E80" i="29"/>
  <c r="D80" i="29"/>
  <c r="C80" i="29"/>
  <c r="M79" i="29"/>
  <c r="L79" i="29"/>
  <c r="K79" i="29"/>
  <c r="J79" i="29"/>
  <c r="I79" i="29"/>
  <c r="H79" i="29"/>
  <c r="G79" i="29"/>
  <c r="E79" i="29"/>
  <c r="D79" i="29"/>
  <c r="C79" i="29"/>
  <c r="M78" i="29"/>
  <c r="L78" i="29"/>
  <c r="K78" i="29"/>
  <c r="J78" i="29"/>
  <c r="I78" i="29"/>
  <c r="H78" i="29"/>
  <c r="G78" i="29"/>
  <c r="E78" i="29"/>
  <c r="D78" i="29"/>
  <c r="C78" i="29"/>
  <c r="M77" i="29"/>
  <c r="L77" i="29"/>
  <c r="K77" i="29"/>
  <c r="J77" i="29"/>
  <c r="I77" i="29"/>
  <c r="H77" i="29"/>
  <c r="G77" i="29"/>
  <c r="E77" i="29"/>
  <c r="D77" i="29"/>
  <c r="C77" i="29"/>
  <c r="M76" i="29"/>
  <c r="L76" i="29"/>
  <c r="K76" i="29"/>
  <c r="J76" i="29"/>
  <c r="I76" i="29"/>
  <c r="H76" i="29"/>
  <c r="G76" i="29"/>
  <c r="E76" i="29"/>
  <c r="D76" i="29"/>
  <c r="C76" i="29"/>
  <c r="M75" i="29"/>
  <c r="L75" i="29"/>
  <c r="K75" i="29"/>
  <c r="J75" i="29"/>
  <c r="I75" i="29"/>
  <c r="H75" i="29"/>
  <c r="G75" i="29"/>
  <c r="E75" i="29"/>
  <c r="D75" i="29"/>
  <c r="C75" i="29"/>
  <c r="M74" i="29"/>
  <c r="L74" i="29"/>
  <c r="K74" i="29"/>
  <c r="J74" i="29"/>
  <c r="I74" i="29"/>
  <c r="H74" i="29"/>
  <c r="G74" i="29"/>
  <c r="E74" i="29"/>
  <c r="D74" i="29"/>
  <c r="C74" i="29"/>
  <c r="M73" i="29"/>
  <c r="L73" i="29"/>
  <c r="K73" i="29"/>
  <c r="J73" i="29"/>
  <c r="I73" i="29"/>
  <c r="H73" i="29"/>
  <c r="G73" i="29"/>
  <c r="E73" i="29"/>
  <c r="D73" i="29"/>
  <c r="C73" i="29"/>
  <c r="M72" i="29"/>
  <c r="L72" i="29"/>
  <c r="K72" i="29"/>
  <c r="J72" i="29"/>
  <c r="I72" i="29"/>
  <c r="H72" i="29"/>
  <c r="G72" i="29"/>
  <c r="E72" i="29"/>
  <c r="D72" i="29"/>
  <c r="C72" i="29"/>
  <c r="M71" i="29"/>
  <c r="L71" i="29"/>
  <c r="K71" i="29"/>
  <c r="J71" i="29"/>
  <c r="I71" i="29"/>
  <c r="H71" i="29"/>
  <c r="G71" i="29"/>
  <c r="E71" i="29"/>
  <c r="D71" i="29"/>
  <c r="C71" i="29"/>
  <c r="M70" i="29"/>
  <c r="L70" i="29"/>
  <c r="K70" i="29"/>
  <c r="J70" i="29"/>
  <c r="I70" i="29"/>
  <c r="H70" i="29"/>
  <c r="G70" i="29"/>
  <c r="E70" i="29"/>
  <c r="D70" i="29"/>
  <c r="C70" i="29"/>
  <c r="M69" i="29"/>
  <c r="L69" i="29"/>
  <c r="K69" i="29"/>
  <c r="J69" i="29"/>
  <c r="I69" i="29"/>
  <c r="H69" i="29"/>
  <c r="G69" i="29"/>
  <c r="E69" i="29"/>
  <c r="D69" i="29"/>
  <c r="C69" i="29"/>
  <c r="M68" i="29"/>
  <c r="L68" i="29"/>
  <c r="K68" i="29"/>
  <c r="J68" i="29"/>
  <c r="I68" i="29"/>
  <c r="H68" i="29"/>
  <c r="G68" i="29"/>
  <c r="E68" i="29"/>
  <c r="D68" i="29"/>
  <c r="C68" i="29"/>
  <c r="M67" i="29"/>
  <c r="L67" i="29"/>
  <c r="K67" i="29"/>
  <c r="J67" i="29"/>
  <c r="I67" i="29"/>
  <c r="H67" i="29"/>
  <c r="G67" i="29"/>
  <c r="E67" i="29"/>
  <c r="D67" i="29"/>
  <c r="C67" i="29"/>
  <c r="M66" i="29"/>
  <c r="L66" i="29"/>
  <c r="K66" i="29"/>
  <c r="J66" i="29"/>
  <c r="I66" i="29"/>
  <c r="H66" i="29"/>
  <c r="G66" i="29"/>
  <c r="E66" i="29"/>
  <c r="D66" i="29"/>
  <c r="C66" i="29"/>
  <c r="M65" i="29"/>
  <c r="L65" i="29"/>
  <c r="K65" i="29"/>
  <c r="J65" i="29"/>
  <c r="I65" i="29"/>
  <c r="H65" i="29"/>
  <c r="G65" i="29"/>
  <c r="E65" i="29"/>
  <c r="D65" i="29"/>
  <c r="C65" i="29"/>
  <c r="M64" i="29"/>
  <c r="L64" i="29"/>
  <c r="K64" i="29"/>
  <c r="J64" i="29"/>
  <c r="I64" i="29"/>
  <c r="H64" i="29"/>
  <c r="G64" i="29"/>
  <c r="E64" i="29"/>
  <c r="D64" i="29"/>
  <c r="C64" i="29"/>
  <c r="M63" i="29"/>
  <c r="L63" i="29"/>
  <c r="K63" i="29"/>
  <c r="J63" i="29"/>
  <c r="I63" i="29"/>
  <c r="H63" i="29"/>
  <c r="G63" i="29"/>
  <c r="E63" i="29"/>
  <c r="D63" i="29"/>
  <c r="C63" i="29"/>
  <c r="M62" i="29"/>
  <c r="L62" i="29"/>
  <c r="K62" i="29"/>
  <c r="J62" i="29"/>
  <c r="I62" i="29"/>
  <c r="H62" i="29"/>
  <c r="G62" i="29"/>
  <c r="E62" i="29"/>
  <c r="D62" i="29"/>
  <c r="C62" i="29"/>
  <c r="M61" i="29"/>
  <c r="L61" i="29"/>
  <c r="K61" i="29"/>
  <c r="J61" i="29"/>
  <c r="I61" i="29"/>
  <c r="H61" i="29"/>
  <c r="G61" i="29"/>
  <c r="E61" i="29"/>
  <c r="D61" i="29"/>
  <c r="C61" i="29"/>
  <c r="M60" i="29"/>
  <c r="L60" i="29"/>
  <c r="K60" i="29"/>
  <c r="J60" i="29"/>
  <c r="I60" i="29"/>
  <c r="H60" i="29"/>
  <c r="G60" i="29"/>
  <c r="E60" i="29"/>
  <c r="D60" i="29"/>
  <c r="C60" i="29"/>
  <c r="M59" i="29"/>
  <c r="L59" i="29"/>
  <c r="K59" i="29"/>
  <c r="J59" i="29"/>
  <c r="I59" i="29"/>
  <c r="H59" i="29"/>
  <c r="G59" i="29"/>
  <c r="E59" i="29"/>
  <c r="D59" i="29"/>
  <c r="C59" i="29"/>
  <c r="M58" i="29"/>
  <c r="L58" i="29"/>
  <c r="K58" i="29"/>
  <c r="J58" i="29"/>
  <c r="I58" i="29"/>
  <c r="H58" i="29"/>
  <c r="G58" i="29"/>
  <c r="E58" i="29"/>
  <c r="D58" i="29"/>
  <c r="C58" i="29"/>
  <c r="M57" i="29"/>
  <c r="L57" i="29"/>
  <c r="K57" i="29"/>
  <c r="J57" i="29"/>
  <c r="I57" i="29"/>
  <c r="H57" i="29"/>
  <c r="G57" i="29"/>
  <c r="E57" i="29"/>
  <c r="D57" i="29"/>
  <c r="C57" i="29"/>
  <c r="M56" i="29"/>
  <c r="L56" i="29"/>
  <c r="K56" i="29"/>
  <c r="J56" i="29"/>
  <c r="I56" i="29"/>
  <c r="H56" i="29"/>
  <c r="G56" i="29"/>
  <c r="E56" i="29"/>
  <c r="D56" i="29"/>
  <c r="C56" i="29"/>
  <c r="M55" i="29"/>
  <c r="L55" i="29"/>
  <c r="K55" i="29"/>
  <c r="J55" i="29"/>
  <c r="I55" i="29"/>
  <c r="H55" i="29"/>
  <c r="G55" i="29"/>
  <c r="E55" i="29"/>
  <c r="D55" i="29"/>
  <c r="C55" i="29"/>
  <c r="M54" i="29"/>
  <c r="L54" i="29"/>
  <c r="K54" i="29"/>
  <c r="J54" i="29"/>
  <c r="I54" i="29"/>
  <c r="H54" i="29"/>
  <c r="G54" i="29"/>
  <c r="E54" i="29"/>
  <c r="D54" i="29"/>
  <c r="C54" i="29"/>
  <c r="M53" i="29"/>
  <c r="L53" i="29"/>
  <c r="K53" i="29"/>
  <c r="J53" i="29"/>
  <c r="I53" i="29"/>
  <c r="H53" i="29"/>
  <c r="G53" i="29"/>
  <c r="E53" i="29"/>
  <c r="D53" i="29"/>
  <c r="C53" i="29"/>
  <c r="M52" i="29"/>
  <c r="L52" i="29"/>
  <c r="K52" i="29"/>
  <c r="J52" i="29"/>
  <c r="I52" i="29"/>
  <c r="H52" i="29"/>
  <c r="G52" i="29"/>
  <c r="E52" i="29"/>
  <c r="D52" i="29"/>
  <c r="C52" i="29"/>
  <c r="M51" i="29"/>
  <c r="L51" i="29"/>
  <c r="K51" i="29"/>
  <c r="J51" i="29"/>
  <c r="I51" i="29"/>
  <c r="H51" i="29"/>
  <c r="G51" i="29"/>
  <c r="E51" i="29"/>
  <c r="D51" i="29"/>
  <c r="C51" i="29"/>
  <c r="M50" i="29"/>
  <c r="L50" i="29"/>
  <c r="K50" i="29"/>
  <c r="J50" i="29"/>
  <c r="I50" i="29"/>
  <c r="H50" i="29"/>
  <c r="G50" i="29"/>
  <c r="E50" i="29"/>
  <c r="D50" i="29"/>
  <c r="C50" i="29"/>
  <c r="M49" i="29"/>
  <c r="L49" i="29"/>
  <c r="K49" i="29"/>
  <c r="J49" i="29"/>
  <c r="I49" i="29"/>
  <c r="H49" i="29"/>
  <c r="G49" i="29"/>
  <c r="E49" i="29"/>
  <c r="D49" i="29"/>
  <c r="C49" i="29"/>
  <c r="M48" i="29"/>
  <c r="L48" i="29"/>
  <c r="K48" i="29"/>
  <c r="J48" i="29"/>
  <c r="I48" i="29"/>
  <c r="H48" i="29"/>
  <c r="G48" i="29"/>
  <c r="E48" i="29"/>
  <c r="D48" i="29"/>
  <c r="C48" i="29"/>
  <c r="M47" i="29"/>
  <c r="L47" i="29"/>
  <c r="K47" i="29"/>
  <c r="J47" i="29"/>
  <c r="I47" i="29"/>
  <c r="H47" i="29"/>
  <c r="G47" i="29"/>
  <c r="E47" i="29"/>
  <c r="D47" i="29"/>
  <c r="C47" i="29"/>
  <c r="M46" i="29"/>
  <c r="L46" i="29"/>
  <c r="K46" i="29"/>
  <c r="J46" i="29"/>
  <c r="I46" i="29"/>
  <c r="H46" i="29"/>
  <c r="G46" i="29"/>
  <c r="E46" i="29"/>
  <c r="D46" i="29"/>
  <c r="C46" i="29"/>
  <c r="M45" i="29"/>
  <c r="L45" i="29"/>
  <c r="K45" i="29"/>
  <c r="J45" i="29"/>
  <c r="I45" i="29"/>
  <c r="H45" i="29"/>
  <c r="G45" i="29"/>
  <c r="E45" i="29"/>
  <c r="D45" i="29"/>
  <c r="C45" i="29"/>
  <c r="M44" i="29"/>
  <c r="L44" i="29"/>
  <c r="K44" i="29"/>
  <c r="J44" i="29"/>
  <c r="I44" i="29"/>
  <c r="H44" i="29"/>
  <c r="G44" i="29"/>
  <c r="E44" i="29"/>
  <c r="D44" i="29"/>
  <c r="C44" i="29"/>
  <c r="M43" i="29"/>
  <c r="L43" i="29"/>
  <c r="K43" i="29"/>
  <c r="J43" i="29"/>
  <c r="I43" i="29"/>
  <c r="H43" i="29"/>
  <c r="G43" i="29"/>
  <c r="E43" i="29"/>
  <c r="D43" i="29"/>
  <c r="C43" i="29"/>
  <c r="M42" i="29"/>
  <c r="L42" i="29"/>
  <c r="K42" i="29"/>
  <c r="J42" i="29"/>
  <c r="I42" i="29"/>
  <c r="H42" i="29"/>
  <c r="G42" i="29"/>
  <c r="E42" i="29"/>
  <c r="D42" i="29"/>
  <c r="C42" i="29"/>
  <c r="M41" i="29"/>
  <c r="L41" i="29"/>
  <c r="K41" i="29"/>
  <c r="J41" i="29"/>
  <c r="I41" i="29"/>
  <c r="H41" i="29"/>
  <c r="G41" i="29"/>
  <c r="E41" i="29"/>
  <c r="D41" i="29"/>
  <c r="C41" i="29"/>
  <c r="M40" i="29"/>
  <c r="L40" i="29"/>
  <c r="K40" i="29"/>
  <c r="J40" i="29"/>
  <c r="I40" i="29"/>
  <c r="H40" i="29"/>
  <c r="G40" i="29"/>
  <c r="E40" i="29"/>
  <c r="D40" i="29"/>
  <c r="C40" i="29"/>
  <c r="M39" i="29"/>
  <c r="L39" i="29"/>
  <c r="K39" i="29"/>
  <c r="J39" i="29"/>
  <c r="I39" i="29"/>
  <c r="H39" i="29"/>
  <c r="G39" i="29"/>
  <c r="E39" i="29"/>
  <c r="D39" i="29"/>
  <c r="C39" i="29"/>
  <c r="M38" i="29"/>
  <c r="L38" i="29"/>
  <c r="K38" i="29"/>
  <c r="J38" i="29"/>
  <c r="I38" i="29"/>
  <c r="H38" i="29"/>
  <c r="G38" i="29"/>
  <c r="E38" i="29"/>
  <c r="D38" i="29"/>
  <c r="C38" i="29"/>
  <c r="M37" i="29"/>
  <c r="L37" i="29"/>
  <c r="K37" i="29"/>
  <c r="J37" i="29"/>
  <c r="I37" i="29"/>
  <c r="H37" i="29"/>
  <c r="G37" i="29"/>
  <c r="E37" i="29"/>
  <c r="D37" i="29"/>
  <c r="C37" i="29"/>
  <c r="M36" i="29"/>
  <c r="L36" i="29"/>
  <c r="K36" i="29"/>
  <c r="J36" i="29"/>
  <c r="I36" i="29"/>
  <c r="H36" i="29"/>
  <c r="G36" i="29"/>
  <c r="E36" i="29"/>
  <c r="D36" i="29"/>
  <c r="C36" i="29"/>
  <c r="M35" i="29"/>
  <c r="L35" i="29"/>
  <c r="K35" i="29"/>
  <c r="J35" i="29"/>
  <c r="I35" i="29"/>
  <c r="H35" i="29"/>
  <c r="G35" i="29"/>
  <c r="E35" i="29"/>
  <c r="D35" i="29"/>
  <c r="C35" i="29"/>
  <c r="M34" i="29"/>
  <c r="L34" i="29"/>
  <c r="K34" i="29"/>
  <c r="J34" i="29"/>
  <c r="I34" i="29"/>
  <c r="H34" i="29"/>
  <c r="G34" i="29"/>
  <c r="E34" i="29"/>
  <c r="D34" i="29"/>
  <c r="C34" i="29"/>
  <c r="M33" i="29"/>
  <c r="L33" i="29"/>
  <c r="K33" i="29"/>
  <c r="J33" i="29"/>
  <c r="I33" i="29"/>
  <c r="H33" i="29"/>
  <c r="G33" i="29"/>
  <c r="E33" i="29"/>
  <c r="D33" i="29"/>
  <c r="C33" i="29"/>
  <c r="M32" i="29"/>
  <c r="L32" i="29"/>
  <c r="K32" i="29"/>
  <c r="J32" i="29"/>
  <c r="I32" i="29"/>
  <c r="H32" i="29"/>
  <c r="G32" i="29"/>
  <c r="E32" i="29"/>
  <c r="D32" i="29"/>
  <c r="C32" i="29"/>
  <c r="M31" i="29"/>
  <c r="L31" i="29"/>
  <c r="K31" i="29"/>
  <c r="J31" i="29"/>
  <c r="I31" i="29"/>
  <c r="H31" i="29"/>
  <c r="G31" i="29"/>
  <c r="E31" i="29"/>
  <c r="D31" i="29"/>
  <c r="C31" i="29"/>
  <c r="M30" i="29"/>
  <c r="L30" i="29"/>
  <c r="K30" i="29"/>
  <c r="J30" i="29"/>
  <c r="I30" i="29"/>
  <c r="H30" i="29"/>
  <c r="G30" i="29"/>
  <c r="E30" i="29"/>
  <c r="D30" i="29"/>
  <c r="C30" i="29"/>
  <c r="M29" i="29"/>
  <c r="L29" i="29"/>
  <c r="K29" i="29"/>
  <c r="J29" i="29"/>
  <c r="I29" i="29"/>
  <c r="H29" i="29"/>
  <c r="G29" i="29"/>
  <c r="E29" i="29"/>
  <c r="D29" i="29"/>
  <c r="C29" i="29"/>
  <c r="M28" i="29"/>
  <c r="L28" i="29"/>
  <c r="K28" i="29"/>
  <c r="J28" i="29"/>
  <c r="I28" i="29"/>
  <c r="H28" i="29"/>
  <c r="G28" i="29"/>
  <c r="E28" i="29"/>
  <c r="D28" i="29"/>
  <c r="C28" i="29"/>
  <c r="M27" i="29"/>
  <c r="L27" i="29"/>
  <c r="K27" i="29"/>
  <c r="J27" i="29"/>
  <c r="I27" i="29"/>
  <c r="H27" i="29"/>
  <c r="G27" i="29"/>
  <c r="E27" i="29"/>
  <c r="D27" i="29"/>
  <c r="C27" i="29"/>
  <c r="M26" i="29"/>
  <c r="L26" i="29"/>
  <c r="K26" i="29"/>
  <c r="J26" i="29"/>
  <c r="I26" i="29"/>
  <c r="H26" i="29"/>
  <c r="G26" i="29"/>
  <c r="E26" i="29"/>
  <c r="D26" i="29"/>
  <c r="C26" i="29"/>
  <c r="M25" i="29"/>
  <c r="L25" i="29"/>
  <c r="K25" i="29"/>
  <c r="J25" i="29"/>
  <c r="I25" i="29"/>
  <c r="H25" i="29"/>
  <c r="G25" i="29"/>
  <c r="E25" i="29"/>
  <c r="D25" i="29"/>
  <c r="C25" i="29"/>
  <c r="M24" i="29"/>
  <c r="L24" i="29"/>
  <c r="K24" i="29"/>
  <c r="J24" i="29"/>
  <c r="I24" i="29"/>
  <c r="H24" i="29"/>
  <c r="G24" i="29"/>
  <c r="E24" i="29"/>
  <c r="D24" i="29"/>
  <c r="C24" i="29"/>
  <c r="M23" i="29"/>
  <c r="L23" i="29"/>
  <c r="K23" i="29"/>
  <c r="J23" i="29"/>
  <c r="I23" i="29"/>
  <c r="H23" i="29"/>
  <c r="G23" i="29"/>
  <c r="E23" i="29"/>
  <c r="D23" i="29"/>
  <c r="C23" i="29"/>
  <c r="M22" i="29"/>
  <c r="L22" i="29"/>
  <c r="K22" i="29"/>
  <c r="J22" i="29"/>
  <c r="I22" i="29"/>
  <c r="H22" i="29"/>
  <c r="G22" i="29"/>
  <c r="E22" i="29"/>
  <c r="D22" i="29"/>
  <c r="C22" i="29"/>
  <c r="M21" i="29"/>
  <c r="L21" i="29"/>
  <c r="K21" i="29"/>
  <c r="J21" i="29"/>
  <c r="I21" i="29"/>
  <c r="H21" i="29"/>
  <c r="G21" i="29"/>
  <c r="E21" i="29"/>
  <c r="D21" i="29"/>
  <c r="C21" i="29"/>
  <c r="M20" i="29"/>
  <c r="L20" i="29"/>
  <c r="K20" i="29"/>
  <c r="J20" i="29"/>
  <c r="I20" i="29"/>
  <c r="H20" i="29"/>
  <c r="G20" i="29"/>
  <c r="E20" i="29"/>
  <c r="D20" i="29"/>
  <c r="C20" i="29"/>
  <c r="M19" i="29"/>
  <c r="L19" i="29"/>
  <c r="K19" i="29"/>
  <c r="J19" i="29"/>
  <c r="I19" i="29"/>
  <c r="H19" i="29"/>
  <c r="G19" i="29"/>
  <c r="E19" i="29"/>
  <c r="D19" i="29"/>
  <c r="C19" i="29"/>
  <c r="M18" i="29"/>
  <c r="L18" i="29"/>
  <c r="K18" i="29"/>
  <c r="J18" i="29"/>
  <c r="I18" i="29"/>
  <c r="H18" i="29"/>
  <c r="G18" i="29"/>
  <c r="E18" i="29"/>
  <c r="D18" i="29"/>
  <c r="C18" i="29"/>
  <c r="M17" i="29"/>
  <c r="L17" i="29"/>
  <c r="K17" i="29"/>
  <c r="J17" i="29"/>
  <c r="I17" i="29"/>
  <c r="H17" i="29"/>
  <c r="G17" i="29"/>
  <c r="E17" i="29"/>
  <c r="D17" i="29"/>
  <c r="C17" i="29"/>
  <c r="M16" i="29"/>
  <c r="L16" i="29"/>
  <c r="K16" i="29"/>
  <c r="J16" i="29"/>
  <c r="I16" i="29"/>
  <c r="H16" i="29"/>
  <c r="G16" i="29"/>
  <c r="E16" i="29"/>
  <c r="D16" i="29"/>
  <c r="C16" i="29"/>
  <c r="M15" i="29"/>
  <c r="L15" i="29"/>
  <c r="K15" i="29"/>
  <c r="J15" i="29"/>
  <c r="I15" i="29"/>
  <c r="H15" i="29"/>
  <c r="G15" i="29"/>
  <c r="E15" i="29"/>
  <c r="U15" i="29" s="1" a="1"/>
  <c r="D15" i="29"/>
  <c r="C15" i="29"/>
  <c r="M14" i="29"/>
  <c r="L14" i="29"/>
  <c r="K14" i="29"/>
  <c r="J14" i="29"/>
  <c r="I14" i="29"/>
  <c r="H14" i="29"/>
  <c r="G14" i="29"/>
  <c r="E14" i="29"/>
  <c r="D14" i="29"/>
  <c r="C14" i="29"/>
  <c r="M13" i="29"/>
  <c r="L13" i="29"/>
  <c r="K13" i="29"/>
  <c r="J13" i="29"/>
  <c r="I13" i="29"/>
  <c r="H13" i="29"/>
  <c r="G13" i="29"/>
  <c r="E13" i="29"/>
  <c r="D13" i="29"/>
  <c r="C13" i="29"/>
  <c r="M12" i="29"/>
  <c r="L12" i="29"/>
  <c r="K12" i="29"/>
  <c r="J12" i="29"/>
  <c r="I12" i="29"/>
  <c r="H12" i="29"/>
  <c r="G12" i="29"/>
  <c r="E12" i="29"/>
  <c r="D12" i="29"/>
  <c r="C12" i="29"/>
  <c r="M11" i="29"/>
  <c r="L11" i="29"/>
  <c r="K11" i="29"/>
  <c r="J11" i="29"/>
  <c r="I11" i="29"/>
  <c r="H11" i="29"/>
  <c r="G11" i="29"/>
  <c r="E11" i="29"/>
  <c r="D11" i="29"/>
  <c r="C11" i="29"/>
  <c r="B11" i="29"/>
  <c r="C11" i="15"/>
  <c r="D11" i="15"/>
  <c r="E11" i="15"/>
  <c r="F11" i="15"/>
  <c r="G11" i="15"/>
  <c r="H11" i="15"/>
  <c r="I11" i="15"/>
  <c r="J11" i="15"/>
  <c r="K11" i="15"/>
  <c r="L11" i="15"/>
  <c r="M11" i="15"/>
  <c r="B11" i="15"/>
  <c r="S71" i="29" l="1" a="1"/>
  <c r="R71" i="29" a="1"/>
  <c r="Q71" i="29" a="1"/>
  <c r="P71" i="29" a="1"/>
  <c r="W71" i="29" a="1"/>
  <c r="T71" i="29" a="1"/>
  <c r="Y71" i="29" a="1"/>
  <c r="AB71" i="29" a="1"/>
  <c r="X71" i="29" a="1"/>
  <c r="N71" i="29" a="1"/>
  <c r="O71" i="29" a="1"/>
  <c r="U71" i="29" a="1"/>
  <c r="X46" i="29" a="1"/>
  <c r="Y46" i="29" a="1"/>
  <c r="AB46" i="29" a="1"/>
  <c r="O46" i="29" a="1"/>
  <c r="N46" i="29" a="1"/>
  <c r="P46" i="29" a="1"/>
  <c r="Q46" i="29" a="1"/>
  <c r="R46" i="29" a="1"/>
  <c r="S46" i="29" a="1"/>
  <c r="T46" i="29" a="1"/>
  <c r="U46" i="29" a="1"/>
  <c r="W46" i="29" a="1"/>
  <c r="W17" i="29" a="1"/>
  <c r="X17" i="29" a="1"/>
  <c r="Y17" i="29" a="1"/>
  <c r="AB17" i="29" a="1"/>
  <c r="O17" i="29" a="1"/>
  <c r="P17" i="29" a="1"/>
  <c r="Q17" i="29" a="1"/>
  <c r="R17" i="29" a="1"/>
  <c r="S17" i="29" a="1"/>
  <c r="N17" i="29" a="1"/>
  <c r="T17" i="29" a="1"/>
  <c r="U17" i="29" a="1"/>
  <c r="N14" i="29" a="1"/>
  <c r="W14" i="29" a="1"/>
  <c r="X14" i="29" a="1"/>
  <c r="Y14" i="29" a="1"/>
  <c r="AB14" i="29" a="1"/>
  <c r="O14" i="29" a="1"/>
  <c r="P14" i="29" a="1"/>
  <c r="Q14" i="29" a="1"/>
  <c r="R14" i="29" a="1"/>
  <c r="S14" i="29" a="1"/>
  <c r="T14" i="29" a="1"/>
  <c r="U14" i="29" a="1"/>
  <c r="W30" i="29" a="1"/>
  <c r="X30" i="29" a="1"/>
  <c r="Y30" i="29" a="1"/>
  <c r="AB30" i="29" a="1"/>
  <c r="N30" i="29" a="1"/>
  <c r="O30" i="29" a="1"/>
  <c r="P30" i="29" a="1"/>
  <c r="Q30" i="29" a="1"/>
  <c r="R30" i="29" a="1"/>
  <c r="S30" i="29" a="1"/>
  <c r="T30" i="29" a="1"/>
  <c r="U30" i="29" a="1"/>
  <c r="N86" i="29" a="1"/>
  <c r="O86" i="29" a="1"/>
  <c r="AB86" i="29" a="1"/>
  <c r="P86" i="29" a="1"/>
  <c r="R86" i="29" a="1"/>
  <c r="S86" i="29" a="1"/>
  <c r="T86" i="29" a="1"/>
  <c r="U86" i="29" a="1"/>
  <c r="W86" i="29" a="1"/>
  <c r="Q86" i="29" a="1"/>
  <c r="X86" i="29" a="1"/>
  <c r="Y86" i="29" a="1"/>
  <c r="S11" i="29" a="1"/>
  <c r="O11" i="29" a="1"/>
  <c r="Q11" i="29" a="1"/>
  <c r="T11" i="29" a="1"/>
  <c r="N11" i="29" a="1"/>
  <c r="R11" i="29" a="1"/>
  <c r="P11" i="29" a="1"/>
  <c r="Y11" i="29" a="1"/>
  <c r="AB11" i="29" a="1"/>
  <c r="W11" i="29" a="1"/>
  <c r="X11" i="29" a="1"/>
  <c r="X19" i="29" a="1"/>
  <c r="Y19" i="29" a="1"/>
  <c r="AB19" i="29" a="1"/>
  <c r="O19" i="29" a="1"/>
  <c r="P19" i="29" a="1"/>
  <c r="Q19" i="29" a="1"/>
  <c r="R19" i="29" a="1"/>
  <c r="T19" i="29" a="1"/>
  <c r="U19" i="29" a="1"/>
  <c r="W19" i="29" a="1"/>
  <c r="S19" i="29" a="1"/>
  <c r="N19" i="29" a="1"/>
  <c r="O27" i="29" a="1"/>
  <c r="P27" i="29" a="1"/>
  <c r="Q27" i="29" a="1"/>
  <c r="R27" i="29" a="1"/>
  <c r="S27" i="29" a="1"/>
  <c r="T27" i="29" a="1"/>
  <c r="U27" i="29" a="1"/>
  <c r="N27" i="29" a="1"/>
  <c r="W27" i="29" a="1"/>
  <c r="X27" i="29" a="1"/>
  <c r="Y27" i="29" a="1"/>
  <c r="AB27" i="29" a="1"/>
  <c r="Y35" i="29" a="1"/>
  <c r="AB35" i="29" a="1"/>
  <c r="O35" i="29" a="1"/>
  <c r="P35" i="29" a="1"/>
  <c r="Q35" i="29" a="1"/>
  <c r="R35" i="29" a="1"/>
  <c r="S35" i="29" a="1"/>
  <c r="U35" i="29" a="1"/>
  <c r="X35" i="29" a="1"/>
  <c r="N35" i="29" a="1"/>
  <c r="W35" i="29" a="1"/>
  <c r="T35" i="29" a="1"/>
  <c r="O43" i="29" a="1"/>
  <c r="P43" i="29" a="1"/>
  <c r="Q43" i="29" a="1"/>
  <c r="R43" i="29" a="1"/>
  <c r="S43" i="29" a="1"/>
  <c r="T43" i="29" a="1"/>
  <c r="W43" i="29" a="1"/>
  <c r="X43" i="29" a="1"/>
  <c r="Y43" i="29" a="1"/>
  <c r="N43" i="29" a="1"/>
  <c r="AB43" i="29" a="1"/>
  <c r="N51" i="29" a="1"/>
  <c r="AB51" i="29" a="1"/>
  <c r="O51" i="29" a="1"/>
  <c r="P51" i="29" a="1"/>
  <c r="Q51" i="29" a="1"/>
  <c r="R51" i="29" a="1"/>
  <c r="S51" i="29" a="1"/>
  <c r="T51" i="29" a="1"/>
  <c r="Y51" i="29" a="1"/>
  <c r="W51" i="29" a="1"/>
  <c r="X51" i="29" a="1"/>
  <c r="U51" i="29" a="1"/>
  <c r="Q75" i="29" a="1"/>
  <c r="R75" i="29" a="1"/>
  <c r="S75" i="29" a="1"/>
  <c r="T75" i="29" a="1"/>
  <c r="U75" i="29" a="1"/>
  <c r="W75" i="29" a="1"/>
  <c r="Y75" i="29" a="1"/>
  <c r="O75" i="29" a="1"/>
  <c r="P75" i="29" a="1"/>
  <c r="AB75" i="29" a="1"/>
  <c r="X75" i="29" a="1"/>
  <c r="N75" i="29" a="1"/>
  <c r="N83" i="29" a="1"/>
  <c r="AB83" i="29" a="1"/>
  <c r="O83" i="29" a="1"/>
  <c r="P83" i="29" a="1"/>
  <c r="Q83" i="29" a="1"/>
  <c r="T83" i="29" a="1"/>
  <c r="U83" i="29" a="1"/>
  <c r="S83" i="29" a="1"/>
  <c r="Y83" i="29" a="1"/>
  <c r="W83" i="29" a="1"/>
  <c r="R83" i="29" a="1"/>
  <c r="X83" i="29" a="1"/>
  <c r="AB91" i="29" a="1"/>
  <c r="S91" i="29" a="1"/>
  <c r="T91" i="29" a="1"/>
  <c r="U91" i="29" a="1"/>
  <c r="W91" i="29" a="1"/>
  <c r="O91" i="29" a="1"/>
  <c r="X91" i="29" a="1"/>
  <c r="P91" i="29" a="1"/>
  <c r="Y91" i="29" a="1"/>
  <c r="Q91" i="29" a="1"/>
  <c r="R91" i="29" a="1"/>
  <c r="N91" i="29" a="1"/>
  <c r="N25" i="29" a="1"/>
  <c r="O25" i="29" a="1"/>
  <c r="P25" i="29" a="1"/>
  <c r="Q25" i="29" a="1"/>
  <c r="R25" i="29" a="1"/>
  <c r="S25" i="29" a="1"/>
  <c r="T25" i="29" a="1"/>
  <c r="U25" i="29" a="1"/>
  <c r="W25" i="29" a="1"/>
  <c r="X25" i="29" a="1"/>
  <c r="Y25" i="29" a="1"/>
  <c r="AB25" i="29" a="1"/>
  <c r="N57" i="29" a="1"/>
  <c r="W57" i="29" a="1"/>
  <c r="Q57" i="29" a="1"/>
  <c r="X57" i="29" a="1"/>
  <c r="Y57" i="29" a="1"/>
  <c r="U57" i="29" a="1"/>
  <c r="AB57" i="29" a="1"/>
  <c r="R57" i="29" a="1"/>
  <c r="O57" i="29" a="1"/>
  <c r="P57" i="29" a="1"/>
  <c r="T57" i="29" a="1"/>
  <c r="S57" i="29" a="1"/>
  <c r="N81" i="29" a="1"/>
  <c r="Q81" i="29" a="1"/>
  <c r="R81" i="29" a="1"/>
  <c r="S81" i="29" a="1"/>
  <c r="T81" i="29" a="1"/>
  <c r="U81" i="29" a="1"/>
  <c r="W81" i="29" a="1"/>
  <c r="X81" i="29" a="1"/>
  <c r="Y81" i="29" a="1"/>
  <c r="P81" i="29" a="1"/>
  <c r="AB81" i="29" a="1"/>
  <c r="O81" i="29" a="1"/>
  <c r="N78" i="29" a="1"/>
  <c r="Q78" i="29" a="1"/>
  <c r="R78" i="29" a="1"/>
  <c r="T78" i="29" a="1"/>
  <c r="U78" i="29" a="1"/>
  <c r="S78" i="29" a="1"/>
  <c r="X78" i="29" a="1"/>
  <c r="W78" i="29" a="1"/>
  <c r="Y78" i="29" a="1"/>
  <c r="O78" i="29" a="1"/>
  <c r="AB78" i="29" a="1"/>
  <c r="P78" i="29" a="1"/>
  <c r="X113" i="29" a="1"/>
  <c r="Y113" i="29" a="1"/>
  <c r="Q113" i="29" a="1"/>
  <c r="O113" i="29" a="1"/>
  <c r="R113" i="29" a="1"/>
  <c r="N113" i="29" a="1"/>
  <c r="P113" i="29" a="1"/>
  <c r="AB113" i="29" a="1"/>
  <c r="T113" i="29" a="1"/>
  <c r="S113" i="29" a="1"/>
  <c r="W113" i="29" a="1"/>
  <c r="U113" i="29" a="1"/>
  <c r="O54" i="29" a="1"/>
  <c r="N54" i="29" a="1"/>
  <c r="P54" i="29" a="1"/>
  <c r="Y54" i="29" a="1"/>
  <c r="AB54" i="29" a="1"/>
  <c r="U54" i="29" a="1"/>
  <c r="Q54" i="29" a="1"/>
  <c r="R54" i="29" a="1"/>
  <c r="S54" i="29" a="1"/>
  <c r="T54" i="29" a="1"/>
  <c r="W54" i="29" a="1"/>
  <c r="X54" i="29" a="1"/>
  <c r="AB16" i="29" a="1"/>
  <c r="O16" i="29" a="1"/>
  <c r="P16" i="29" a="1"/>
  <c r="Q16" i="29" a="1"/>
  <c r="R16" i="29" a="1"/>
  <c r="S16" i="29" a="1"/>
  <c r="T16" i="29" a="1"/>
  <c r="U16" i="29" a="1"/>
  <c r="W16" i="29" a="1"/>
  <c r="X16" i="29" a="1"/>
  <c r="Y16" i="29" a="1"/>
  <c r="N16" i="29" a="1"/>
  <c r="N24" i="29" a="1"/>
  <c r="Y24" i="29" a="1"/>
  <c r="AB24" i="29" a="1"/>
  <c r="P24" i="29" a="1"/>
  <c r="O24" i="29" a="1"/>
  <c r="Q24" i="29" a="1"/>
  <c r="R24" i="29" a="1"/>
  <c r="S24" i="29" a="1"/>
  <c r="T24" i="29" a="1"/>
  <c r="U24" i="29" a="1"/>
  <c r="W24" i="29" a="1"/>
  <c r="X24" i="29" a="1"/>
  <c r="N32" i="29" a="1"/>
  <c r="AB32" i="29" a="1"/>
  <c r="O32" i="29" a="1"/>
  <c r="P32" i="29" a="1"/>
  <c r="Q32" i="29" a="1"/>
  <c r="R32" i="29" a="1"/>
  <c r="S32" i="29" a="1"/>
  <c r="T32" i="29" a="1"/>
  <c r="W32" i="29" a="1"/>
  <c r="X32" i="29" a="1"/>
  <c r="Y32" i="29" a="1"/>
  <c r="Q40" i="29" a="1"/>
  <c r="O40" i="29" a="1"/>
  <c r="P40" i="29" a="1"/>
  <c r="R40" i="29" a="1"/>
  <c r="S40" i="29" a="1"/>
  <c r="T40" i="29" a="1"/>
  <c r="N40" i="29" a="1"/>
  <c r="W40" i="29" a="1"/>
  <c r="X40" i="29" a="1"/>
  <c r="Y40" i="29" a="1"/>
  <c r="AB40" i="29" a="1"/>
  <c r="AB48" i="29" a="1"/>
  <c r="O48" i="29" a="1"/>
  <c r="P48" i="29" a="1"/>
  <c r="Q48" i="29" a="1"/>
  <c r="R48" i="29" a="1"/>
  <c r="S48" i="29" a="1"/>
  <c r="T48" i="29" a="1"/>
  <c r="U48" i="29" a="1"/>
  <c r="W48" i="29" a="1"/>
  <c r="N48" i="29" a="1"/>
  <c r="X48" i="29" a="1"/>
  <c r="Y48" i="29" a="1"/>
  <c r="AB64" i="29" a="1"/>
  <c r="Q64" i="29" a="1"/>
  <c r="R64" i="29" a="1"/>
  <c r="N64" i="29" a="1"/>
  <c r="U64" i="29" a="1"/>
  <c r="P64" i="29" a="1"/>
  <c r="T64" i="29" a="1"/>
  <c r="W64" i="29" a="1"/>
  <c r="X64" i="29" a="1"/>
  <c r="Y64" i="29" a="1"/>
  <c r="O64" i="29" a="1"/>
  <c r="S64" i="29" a="1"/>
  <c r="N80" i="29" a="1"/>
  <c r="Y80" i="29" a="1"/>
  <c r="O80" i="29" a="1"/>
  <c r="U80" i="29" a="1"/>
  <c r="P80" i="29" a="1"/>
  <c r="Q80" i="29" a="1"/>
  <c r="AB80" i="29" a="1"/>
  <c r="R80" i="29" a="1"/>
  <c r="S80" i="29" a="1"/>
  <c r="T80" i="29" a="1"/>
  <c r="W80" i="29" a="1"/>
  <c r="X80" i="29" a="1"/>
  <c r="N88" i="29" a="1"/>
  <c r="Q88" i="29" a="1"/>
  <c r="AB88" i="29" a="1"/>
  <c r="R88" i="29" a="1"/>
  <c r="Y88" i="29" a="1"/>
  <c r="S88" i="29" a="1"/>
  <c r="T88" i="29" a="1"/>
  <c r="U88" i="29" a="1"/>
  <c r="W88" i="29" a="1"/>
  <c r="X88" i="29" a="1"/>
  <c r="O88" i="29" a="1"/>
  <c r="P88" i="29" a="1"/>
  <c r="N112" i="29" a="1"/>
  <c r="T112" i="29" a="1"/>
  <c r="X112" i="29" a="1"/>
  <c r="O112" i="29" a="1"/>
  <c r="U112" i="29" a="1"/>
  <c r="W112" i="29" a="1"/>
  <c r="Q112" i="29" a="1"/>
  <c r="Y112" i="29" a="1"/>
  <c r="P112" i="29" a="1"/>
  <c r="AB112" i="29" a="1"/>
  <c r="R112" i="29" a="1"/>
  <c r="S112" i="29" a="1"/>
  <c r="N41" i="29" a="1"/>
  <c r="O41" i="29" a="1"/>
  <c r="P41" i="29" a="1"/>
  <c r="Q41" i="29" a="1"/>
  <c r="R41" i="29" a="1"/>
  <c r="S41" i="29" a="1"/>
  <c r="T41" i="29" a="1"/>
  <c r="U41" i="29" a="1"/>
  <c r="Y41" i="29" a="1"/>
  <c r="W41" i="29" a="1"/>
  <c r="X41" i="29" a="1"/>
  <c r="AB41" i="29" a="1"/>
  <c r="AB97" i="29" a="1"/>
  <c r="R97" i="29" a="1"/>
  <c r="S97" i="29" a="1"/>
  <c r="T97" i="29" a="1"/>
  <c r="U97" i="29" a="1"/>
  <c r="W97" i="29" a="1"/>
  <c r="X97" i="29" a="1"/>
  <c r="Y97" i="29" a="1"/>
  <c r="O97" i="29" a="1"/>
  <c r="Q97" i="29" a="1"/>
  <c r="P97" i="29" a="1"/>
  <c r="N97" i="29" a="1"/>
  <c r="Y38" i="29" a="1"/>
  <c r="AB38" i="29" a="1"/>
  <c r="O38" i="29" a="1"/>
  <c r="P38" i="29" a="1"/>
  <c r="Q38" i="29" a="1"/>
  <c r="R38" i="29" a="1"/>
  <c r="S38" i="29" a="1"/>
  <c r="T38" i="29" a="1"/>
  <c r="U38" i="29" a="1"/>
  <c r="W38" i="29" a="1"/>
  <c r="X38" i="29" a="1"/>
  <c r="N38" i="29" a="1"/>
  <c r="W33" i="29" a="1"/>
  <c r="X33" i="29" a="1"/>
  <c r="Y33" i="29" a="1"/>
  <c r="AB33" i="29" a="1"/>
  <c r="O33" i="29" a="1"/>
  <c r="P33" i="29" a="1"/>
  <c r="Q33" i="29" a="1"/>
  <c r="R33" i="29" a="1"/>
  <c r="S33" i="29" a="1"/>
  <c r="N33" i="29" a="1"/>
  <c r="T33" i="29" a="1"/>
  <c r="U33" i="29" a="1"/>
  <c r="W13" i="29" a="1"/>
  <c r="X13" i="29" a="1"/>
  <c r="Y13" i="29" a="1"/>
  <c r="N13" i="29" a="1"/>
  <c r="AB13" i="29" a="1"/>
  <c r="O13" i="29" a="1"/>
  <c r="P13" i="29" a="1"/>
  <c r="Q13" i="29" a="1"/>
  <c r="R13" i="29" a="1"/>
  <c r="S13" i="29" a="1"/>
  <c r="T13" i="29" a="1"/>
  <c r="W21" i="29" a="1"/>
  <c r="N21" i="29" a="1"/>
  <c r="X21" i="29" a="1"/>
  <c r="Y21" i="29" a="1"/>
  <c r="AB21" i="29" a="1"/>
  <c r="O21" i="29" a="1"/>
  <c r="P21" i="29" a="1"/>
  <c r="R21" i="29" a="1"/>
  <c r="S21" i="29" a="1"/>
  <c r="Q21" i="29" a="1"/>
  <c r="T21" i="29" a="1"/>
  <c r="U21" i="29" a="1"/>
  <c r="N37" i="29" a="1"/>
  <c r="W37" i="29" a="1"/>
  <c r="X37" i="29" a="1"/>
  <c r="Y37" i="29" a="1"/>
  <c r="AB37" i="29" a="1"/>
  <c r="O37" i="29" a="1"/>
  <c r="P37" i="29" a="1"/>
  <c r="R37" i="29" a="1"/>
  <c r="S37" i="29" a="1"/>
  <c r="Q37" i="29" a="1"/>
  <c r="T37" i="29" a="1"/>
  <c r="U37" i="29" a="1"/>
  <c r="Y45" i="29" a="1"/>
  <c r="AB45" i="29" a="1"/>
  <c r="N45" i="29" a="1"/>
  <c r="O45" i="29" a="1"/>
  <c r="P45" i="29" a="1"/>
  <c r="Q45" i="29" a="1"/>
  <c r="R45" i="29" a="1"/>
  <c r="S45" i="29" a="1"/>
  <c r="T45" i="29" a="1"/>
  <c r="W45" i="29" a="1"/>
  <c r="X45" i="29" a="1"/>
  <c r="P53" i="29" a="1"/>
  <c r="Q53" i="29" a="1"/>
  <c r="O53" i="29" a="1"/>
  <c r="T53" i="29" a="1"/>
  <c r="U53" i="29" a="1"/>
  <c r="R53" i="29" a="1"/>
  <c r="S53" i="29" a="1"/>
  <c r="W53" i="29" a="1"/>
  <c r="Y53" i="29" a="1"/>
  <c r="N53" i="29" a="1"/>
  <c r="X53" i="29" a="1"/>
  <c r="AB53" i="29" a="1"/>
  <c r="T77" i="29" a="1"/>
  <c r="U77" i="29" a="1"/>
  <c r="X77" i="29" a="1"/>
  <c r="W77" i="29" a="1"/>
  <c r="Q77" i="29" a="1"/>
  <c r="AB77" i="29" a="1"/>
  <c r="Y77" i="29" a="1"/>
  <c r="O77" i="29" a="1"/>
  <c r="P77" i="29" a="1"/>
  <c r="R77" i="29" a="1"/>
  <c r="S77" i="29" a="1"/>
  <c r="N77" i="29" a="1"/>
  <c r="P117" i="29" a="1"/>
  <c r="W117" i="29" a="1"/>
  <c r="X117" i="29" a="1"/>
  <c r="N117" i="29" a="1"/>
  <c r="Y117" i="29" a="1"/>
  <c r="O117" i="29" a="1"/>
  <c r="Q117" i="29" a="1"/>
  <c r="R117" i="29" a="1"/>
  <c r="AB117" i="29" a="1"/>
  <c r="S117" i="29" a="1"/>
  <c r="U117" i="29" a="1"/>
  <c r="T117" i="29" a="1"/>
  <c r="N121" i="29" a="1"/>
  <c r="O121" i="29" a="1"/>
  <c r="Y121" i="29" a="1"/>
  <c r="T121" i="29" a="1"/>
  <c r="AB121" i="29" a="1"/>
  <c r="X121" i="29" a="1"/>
  <c r="U121" i="29" a="1"/>
  <c r="S121" i="29" a="1"/>
  <c r="W121" i="29" a="1"/>
  <c r="Q121" i="29" a="1"/>
  <c r="P121" i="29" a="1"/>
  <c r="R121" i="29" a="1"/>
  <c r="N18" i="29" a="1"/>
  <c r="R18" i="29" a="1"/>
  <c r="S18" i="29" a="1"/>
  <c r="T18" i="29" a="1"/>
  <c r="U18" i="29" a="1"/>
  <c r="W18" i="29" a="1"/>
  <c r="X18" i="29" a="1"/>
  <c r="Y18" i="29" a="1"/>
  <c r="AB18" i="29" a="1"/>
  <c r="Q18" i="29" a="1"/>
  <c r="O18" i="29" a="1"/>
  <c r="P18" i="29" a="1"/>
  <c r="N26" i="29" a="1"/>
  <c r="AB26" i="29" a="1"/>
  <c r="O26" i="29" a="1"/>
  <c r="P26" i="29" a="1"/>
  <c r="Q26" i="29" a="1"/>
  <c r="R26" i="29" a="1"/>
  <c r="S26" i="29" a="1"/>
  <c r="T26" i="29" a="1"/>
  <c r="X26" i="29" a="1"/>
  <c r="W26" i="29" a="1"/>
  <c r="Y26" i="29" a="1"/>
  <c r="N34" i="29" a="1"/>
  <c r="S34" i="29" a="1"/>
  <c r="T34" i="29" a="1"/>
  <c r="U34" i="29" a="1"/>
  <c r="W34" i="29" a="1"/>
  <c r="X34" i="29" a="1"/>
  <c r="Y34" i="29" a="1"/>
  <c r="AB34" i="29" a="1"/>
  <c r="O34" i="29" a="1"/>
  <c r="R34" i="29" a="1"/>
  <c r="P34" i="29" a="1"/>
  <c r="Q34" i="29" a="1"/>
  <c r="N74" i="29" a="1"/>
  <c r="S74" i="29" a="1"/>
  <c r="T74" i="29" a="1"/>
  <c r="U74" i="29" a="1"/>
  <c r="W74" i="29" a="1"/>
  <c r="X74" i="29" a="1"/>
  <c r="Y74" i="29" a="1"/>
  <c r="Q74" i="29" a="1"/>
  <c r="O74" i="29" a="1"/>
  <c r="AB74" i="29" a="1"/>
  <c r="P74" i="29" a="1"/>
  <c r="R74" i="29" a="1"/>
  <c r="N106" i="29" a="1"/>
  <c r="Y106" i="29" a="1"/>
  <c r="O106" i="29" a="1"/>
  <c r="P106" i="29" a="1"/>
  <c r="Q106" i="29" a="1"/>
  <c r="AB106" i="29" a="1"/>
  <c r="R106" i="29" a="1"/>
  <c r="S106" i="29" a="1"/>
  <c r="T106" i="29" a="1"/>
  <c r="U106" i="29" a="1"/>
  <c r="W106" i="29" a="1"/>
  <c r="X106" i="29" a="1"/>
  <c r="N114" i="29" a="1"/>
  <c r="AB114" i="29" a="1"/>
  <c r="R114" i="29" a="1"/>
  <c r="S114" i="29" a="1"/>
  <c r="T114" i="29" a="1"/>
  <c r="U114" i="29" a="1"/>
  <c r="W114" i="29" a="1"/>
  <c r="X114" i="29" a="1"/>
  <c r="Y114" i="29" a="1"/>
  <c r="O114" i="29" a="1"/>
  <c r="Q114" i="29" a="1"/>
  <c r="P114" i="29" a="1"/>
  <c r="N122" i="29" a="1"/>
  <c r="AB122" i="29" a="1"/>
  <c r="Q122" i="29" a="1"/>
  <c r="R122" i="29" a="1"/>
  <c r="S122" i="29" a="1"/>
  <c r="T122" i="29" a="1"/>
  <c r="U122" i="29" a="1"/>
  <c r="W122" i="29" a="1"/>
  <c r="X122" i="29" a="1"/>
  <c r="Y122" i="29" a="1"/>
  <c r="O122" i="29" a="1"/>
  <c r="P122" i="29" a="1"/>
  <c r="W65" i="29" a="1"/>
  <c r="X65" i="29" a="1"/>
  <c r="Y65" i="29" a="1"/>
  <c r="O65" i="29" a="1"/>
  <c r="P65" i="29" a="1"/>
  <c r="N65" i="29" a="1"/>
  <c r="Q65" i="29" a="1"/>
  <c r="AB65" i="29" a="1"/>
  <c r="R65" i="29" a="1"/>
  <c r="T65" i="29" a="1"/>
  <c r="S65" i="29" a="1"/>
  <c r="N15" i="29" a="1"/>
  <c r="AB15" i="29" a="1"/>
  <c r="O15" i="29" a="1"/>
  <c r="P15" i="29" a="1"/>
  <c r="Q15" i="29" a="1"/>
  <c r="R15" i="29" a="1"/>
  <c r="S15" i="29" a="1"/>
  <c r="T15" i="29" a="1"/>
  <c r="W15" i="29" a="1"/>
  <c r="X15" i="29" a="1"/>
  <c r="Y15" i="29" a="1"/>
  <c r="T23" i="29" a="1"/>
  <c r="U23" i="29" a="1"/>
  <c r="W23" i="29" a="1"/>
  <c r="X23" i="29" a="1"/>
  <c r="N23" i="29" a="1"/>
  <c r="Y23" i="29" a="1"/>
  <c r="AB23" i="29" a="1"/>
  <c r="O23" i="29" a="1"/>
  <c r="P23" i="29" a="1"/>
  <c r="Q23" i="29" a="1"/>
  <c r="R23" i="29" a="1"/>
  <c r="S23" i="29" a="1"/>
  <c r="N31" i="29" a="1"/>
  <c r="O31" i="29" a="1"/>
  <c r="P31" i="29" a="1"/>
  <c r="Q31" i="29" a="1"/>
  <c r="R31" i="29" a="1"/>
  <c r="S31" i="29" a="1"/>
  <c r="T31" i="29" a="1"/>
  <c r="U31" i="29" a="1"/>
  <c r="W31" i="29" a="1"/>
  <c r="X31" i="29" a="1"/>
  <c r="Y31" i="29" a="1"/>
  <c r="AB31" i="29" a="1"/>
  <c r="U39" i="29" a="1"/>
  <c r="W39" i="29" a="1"/>
  <c r="X39" i="29" a="1"/>
  <c r="N39" i="29" a="1"/>
  <c r="Y39" i="29" a="1"/>
  <c r="Q39" i="29" a="1"/>
  <c r="AB39" i="29" a="1"/>
  <c r="O39" i="29" a="1"/>
  <c r="P39" i="29" a="1"/>
  <c r="R39" i="29" a="1"/>
  <c r="S39" i="29" a="1"/>
  <c r="T39" i="29" a="1"/>
  <c r="O47" i="29" a="1"/>
  <c r="P47" i="29" a="1"/>
  <c r="Q47" i="29" a="1"/>
  <c r="N47" i="29" a="1"/>
  <c r="R47" i="29" a="1"/>
  <c r="S47" i="29" a="1"/>
  <c r="T47" i="29" a="1"/>
  <c r="U47" i="29" a="1"/>
  <c r="W47" i="29" a="1"/>
  <c r="X47" i="29" a="1"/>
  <c r="Y47" i="29" a="1"/>
  <c r="AB47" i="29" a="1"/>
  <c r="AB55" i="29" a="1"/>
  <c r="N55" i="29" a="1"/>
  <c r="O55" i="29" a="1"/>
  <c r="P55" i="29" a="1"/>
  <c r="Q55" i="29" a="1"/>
  <c r="S55" i="29" a="1"/>
  <c r="W55" i="29" a="1"/>
  <c r="R55" i="29" a="1"/>
  <c r="U55" i="29" a="1"/>
  <c r="T55" i="29" a="1"/>
  <c r="X55" i="29" a="1"/>
  <c r="Y55" i="29" a="1"/>
  <c r="N111" i="29" a="1"/>
  <c r="Q111" i="29" a="1"/>
  <c r="AB111" i="29" a="1"/>
  <c r="S111" i="29" a="1"/>
  <c r="T111" i="29" a="1"/>
  <c r="U111" i="29" a="1"/>
  <c r="O111" i="29" a="1"/>
  <c r="W111" i="29" a="1"/>
  <c r="X111" i="29" a="1"/>
  <c r="Y111" i="29" a="1"/>
  <c r="P111" i="29" a="1"/>
  <c r="R111" i="29" a="1"/>
  <c r="Y119" i="29" a="1"/>
  <c r="W119" i="29" a="1"/>
  <c r="S119" i="29" a="1"/>
  <c r="O119" i="29" a="1"/>
  <c r="Q119" i="29" a="1"/>
  <c r="N119" i="29" a="1"/>
  <c r="P119" i="29" a="1"/>
  <c r="AB119" i="29" a="1"/>
  <c r="R119" i="29" a="1"/>
  <c r="U119" i="29" a="1"/>
  <c r="X119" i="29" a="1"/>
  <c r="T119" i="29" a="1"/>
  <c r="N22" i="29" a="1"/>
  <c r="X22" i="29" a="1"/>
  <c r="Y22" i="29" a="1"/>
  <c r="AB22" i="29" a="1"/>
  <c r="O22" i="29" a="1"/>
  <c r="P22" i="29" a="1"/>
  <c r="T22" i="29" a="1"/>
  <c r="Q22" i="29" a="1"/>
  <c r="R22" i="29" a="1"/>
  <c r="S22" i="29" a="1"/>
  <c r="U22" i="29" a="1"/>
  <c r="W22" i="29" a="1"/>
  <c r="Y110" i="29" a="1"/>
  <c r="AB110" i="29" a="1"/>
  <c r="Q110" i="29" a="1"/>
  <c r="T110" i="29" a="1"/>
  <c r="U110" i="29" a="1"/>
  <c r="W110" i="29" a="1"/>
  <c r="O110" i="29" a="1"/>
  <c r="P110" i="29" a="1"/>
  <c r="R110" i="29" a="1"/>
  <c r="S110" i="29" a="1"/>
  <c r="X110" i="29" a="1"/>
  <c r="N110" i="29" a="1"/>
  <c r="W12" i="29" a="1"/>
  <c r="X12" i="29" a="1"/>
  <c r="Y12" i="29" a="1"/>
  <c r="N12" i="29" a="1"/>
  <c r="AB12" i="29" a="1"/>
  <c r="O12" i="29" a="1"/>
  <c r="P12" i="29" a="1"/>
  <c r="Q12" i="29" a="1"/>
  <c r="R12" i="29" a="1"/>
  <c r="S12" i="29" a="1"/>
  <c r="T12" i="29" a="1"/>
  <c r="U12" i="29" a="1"/>
  <c r="T20" i="29" a="1"/>
  <c r="U20" i="29" a="1"/>
  <c r="W20" i="29" a="1"/>
  <c r="X20" i="29" a="1"/>
  <c r="Y20" i="29" a="1"/>
  <c r="AB20" i="29" a="1"/>
  <c r="O20" i="29" a="1"/>
  <c r="P20" i="29" a="1"/>
  <c r="S20" i="29" a="1"/>
  <c r="Q20" i="29" a="1"/>
  <c r="R20" i="29" a="1"/>
  <c r="N20" i="29" a="1"/>
  <c r="X28" i="29" a="1"/>
  <c r="Y28" i="29" a="1"/>
  <c r="N28" i="29" a="1"/>
  <c r="AB28" i="29" a="1"/>
  <c r="O28" i="29" a="1"/>
  <c r="P28" i="29" a="1"/>
  <c r="Q28" i="29" a="1"/>
  <c r="R28" i="29" a="1"/>
  <c r="S28" i="29" a="1"/>
  <c r="T28" i="29" a="1"/>
  <c r="U28" i="29" a="1"/>
  <c r="W28" i="29" a="1"/>
  <c r="U36" i="29" a="1"/>
  <c r="W36" i="29" a="1"/>
  <c r="X36" i="29" a="1"/>
  <c r="Y36" i="29" a="1"/>
  <c r="AB36" i="29" a="1"/>
  <c r="P36" i="29" a="1"/>
  <c r="Q36" i="29" a="1"/>
  <c r="T36" i="29" a="1"/>
  <c r="O36" i="29" a="1"/>
  <c r="N36" i="29" a="1"/>
  <c r="R36" i="29" a="1"/>
  <c r="S36" i="29" a="1"/>
  <c r="Y44" i="29" a="1"/>
  <c r="AB44" i="29" a="1"/>
  <c r="N44" i="29" a="1"/>
  <c r="O44" i="29" a="1"/>
  <c r="P44" i="29" a="1"/>
  <c r="Q44" i="29" a="1"/>
  <c r="R44" i="29" a="1"/>
  <c r="S44" i="29" a="1"/>
  <c r="T44" i="29" a="1"/>
  <c r="U44" i="29" a="1"/>
  <c r="W44" i="29" a="1"/>
  <c r="X44" i="29" a="1"/>
  <c r="N52" i="29" a="1"/>
  <c r="Y52" i="29" a="1"/>
  <c r="W52" i="29" a="1"/>
  <c r="AB52" i="29" a="1"/>
  <c r="O52" i="29" a="1"/>
  <c r="P52" i="29" a="1"/>
  <c r="Q52" i="29" a="1"/>
  <c r="S52" i="29" a="1"/>
  <c r="T52" i="29" a="1"/>
  <c r="X52" i="29" a="1"/>
  <c r="R52" i="29" a="1"/>
  <c r="U52" i="29" a="1"/>
  <c r="O60" i="29" a="1"/>
  <c r="P60" i="29" a="1"/>
  <c r="Q60" i="29" a="1"/>
  <c r="AB60" i="29" a="1"/>
  <c r="R60" i="29" a="1"/>
  <c r="N60" i="29" a="1"/>
  <c r="S60" i="29" a="1"/>
  <c r="T60" i="29" a="1"/>
  <c r="U60" i="29" a="1"/>
  <c r="W60" i="29" a="1"/>
  <c r="X60" i="29" a="1"/>
  <c r="Y60" i="29" a="1"/>
  <c r="W76" i="29" a="1"/>
  <c r="X76" i="29" a="1"/>
  <c r="P76" i="29" a="1"/>
  <c r="O76" i="29" a="1"/>
  <c r="Y76" i="29" a="1"/>
  <c r="AB76" i="29" a="1"/>
  <c r="Q76" i="29" a="1"/>
  <c r="R76" i="29" a="1"/>
  <c r="S76" i="29" a="1"/>
  <c r="T76" i="29" a="1"/>
  <c r="U76" i="29" a="1"/>
  <c r="N76" i="29" a="1"/>
  <c r="T84" i="29" a="1"/>
  <c r="R84" i="29" a="1"/>
  <c r="Q84" i="29" a="1"/>
  <c r="S84" i="29" a="1"/>
  <c r="W84" i="29" a="1"/>
  <c r="X84" i="29" a="1"/>
  <c r="Y84" i="29" a="1"/>
  <c r="N84" i="29" a="1"/>
  <c r="P84" i="29" a="1"/>
  <c r="AB84" i="29" a="1"/>
  <c r="O84" i="29" a="1"/>
  <c r="W92" i="29" a="1"/>
  <c r="X92" i="29" a="1"/>
  <c r="O92" i="29" a="1"/>
  <c r="Y92" i="29" a="1"/>
  <c r="P92" i="29" a="1"/>
  <c r="Q92" i="29" a="1"/>
  <c r="R92" i="29" a="1"/>
  <c r="AB92" i="29" a="1"/>
  <c r="S92" i="29" a="1"/>
  <c r="T92" i="29" a="1"/>
  <c r="U92" i="29" a="1"/>
  <c r="N92" i="29" a="1"/>
  <c r="Y108" i="29" a="1"/>
  <c r="O108" i="29" a="1"/>
  <c r="P108" i="29" a="1"/>
  <c r="AB108" i="29" a="1"/>
  <c r="Q108" i="29" a="1"/>
  <c r="S108" i="29" a="1"/>
  <c r="T108" i="29" a="1"/>
  <c r="U108" i="29" a="1"/>
  <c r="R108" i="29" a="1"/>
  <c r="W108" i="29" a="1"/>
  <c r="X108" i="29" a="1"/>
  <c r="N108" i="29" a="1"/>
  <c r="P116" i="29" a="1"/>
  <c r="Q116" i="29" a="1"/>
  <c r="AB116" i="29" a="1"/>
  <c r="R116" i="29" a="1"/>
  <c r="S116" i="29" a="1"/>
  <c r="U116" i="29" a="1"/>
  <c r="O116" i="29" a="1"/>
  <c r="Y116" i="29" a="1"/>
  <c r="X116" i="29" a="1"/>
  <c r="N116" i="29" a="1"/>
  <c r="W116" i="29" a="1"/>
  <c r="T116" i="29" a="1"/>
  <c r="N118" i="29" a="1"/>
  <c r="P118" i="29" a="1"/>
  <c r="W118" i="29" a="1"/>
  <c r="X118" i="29" a="1"/>
  <c r="Y118" i="29" a="1"/>
  <c r="O118" i="29" a="1"/>
  <c r="AB118" i="29" a="1"/>
  <c r="Q118" i="29" a="1"/>
  <c r="S118" i="29" a="1"/>
  <c r="T118" i="29" a="1"/>
  <c r="U118" i="29" a="1"/>
  <c r="R118" i="29" a="1"/>
  <c r="C125" i="24"/>
  <c r="D125" i="24"/>
  <c r="E125" i="24"/>
  <c r="F125" i="24"/>
  <c r="G125" i="24"/>
  <c r="H125" i="24"/>
  <c r="I125" i="24"/>
  <c r="J125" i="24"/>
  <c r="K125" i="24"/>
  <c r="L125" i="24"/>
  <c r="M125" i="24"/>
  <c r="C116" i="24"/>
  <c r="D116" i="24"/>
  <c r="E116" i="24"/>
  <c r="F116" i="24"/>
  <c r="G116" i="24"/>
  <c r="H116" i="24"/>
  <c r="I116" i="24"/>
  <c r="J116" i="24"/>
  <c r="K116" i="24"/>
  <c r="L116" i="24"/>
  <c r="M116" i="24"/>
  <c r="C117" i="24"/>
  <c r="D117" i="24"/>
  <c r="E117" i="24"/>
  <c r="F117" i="24"/>
  <c r="G117" i="24"/>
  <c r="H117" i="24"/>
  <c r="I117" i="24"/>
  <c r="J117" i="24"/>
  <c r="K117" i="24"/>
  <c r="L117" i="24"/>
  <c r="M117" i="24"/>
  <c r="C118" i="24"/>
  <c r="D118" i="24"/>
  <c r="E118" i="24"/>
  <c r="F118" i="24"/>
  <c r="G118" i="24"/>
  <c r="H118" i="24"/>
  <c r="I118" i="24"/>
  <c r="J118" i="24"/>
  <c r="K118" i="24"/>
  <c r="L118" i="24"/>
  <c r="M118" i="24"/>
  <c r="C119" i="24"/>
  <c r="D119" i="24"/>
  <c r="E119" i="24"/>
  <c r="F119" i="24"/>
  <c r="G119" i="24"/>
  <c r="H119" i="24"/>
  <c r="I119" i="24"/>
  <c r="J119" i="24"/>
  <c r="K119" i="24"/>
  <c r="L119" i="24"/>
  <c r="M119" i="24"/>
  <c r="C120" i="24"/>
  <c r="D120" i="24"/>
  <c r="E120" i="24"/>
  <c r="F120" i="24"/>
  <c r="G120" i="24"/>
  <c r="H120" i="24"/>
  <c r="I120" i="24"/>
  <c r="J120" i="24"/>
  <c r="K120" i="24"/>
  <c r="L120" i="24"/>
  <c r="M120" i="24"/>
  <c r="C121" i="24"/>
  <c r="D121" i="24"/>
  <c r="E121" i="24"/>
  <c r="F121" i="24"/>
  <c r="G121" i="24"/>
  <c r="H121" i="24"/>
  <c r="I121" i="24"/>
  <c r="J121" i="24"/>
  <c r="K121" i="24"/>
  <c r="L121" i="24"/>
  <c r="M121" i="24"/>
  <c r="C122" i="24"/>
  <c r="D122" i="24"/>
  <c r="E122" i="24"/>
  <c r="F122" i="24"/>
  <c r="G122" i="24"/>
  <c r="H122" i="24"/>
  <c r="I122" i="24"/>
  <c r="J122" i="24"/>
  <c r="K122" i="24"/>
  <c r="L122" i="24"/>
  <c r="M122" i="24"/>
  <c r="C123" i="24"/>
  <c r="D123" i="24"/>
  <c r="E123" i="24"/>
  <c r="F123" i="24"/>
  <c r="G123" i="24"/>
  <c r="H123" i="24"/>
  <c r="I123" i="24"/>
  <c r="J123" i="24"/>
  <c r="K123" i="24"/>
  <c r="L123" i="24"/>
  <c r="M123" i="24"/>
  <c r="C124" i="24"/>
  <c r="D124" i="24"/>
  <c r="E124" i="24"/>
  <c r="F124" i="24"/>
  <c r="G124" i="24"/>
  <c r="H124" i="24"/>
  <c r="I124" i="24"/>
  <c r="J124" i="24"/>
  <c r="K124" i="24"/>
  <c r="L124" i="24"/>
  <c r="M124" i="24"/>
  <c r="C94" i="24"/>
  <c r="D94" i="24"/>
  <c r="E94" i="24"/>
  <c r="F94" i="24"/>
  <c r="G94" i="24"/>
  <c r="H94" i="24"/>
  <c r="I94" i="24"/>
  <c r="J94" i="24"/>
  <c r="K94" i="24"/>
  <c r="L94" i="24"/>
  <c r="M94" i="24"/>
  <c r="C95" i="24"/>
  <c r="D95" i="24"/>
  <c r="E95" i="24"/>
  <c r="F95" i="24"/>
  <c r="G95" i="24"/>
  <c r="H95" i="24"/>
  <c r="I95" i="24"/>
  <c r="J95" i="24"/>
  <c r="K95" i="24"/>
  <c r="L95" i="24"/>
  <c r="M95" i="24"/>
  <c r="C96" i="24"/>
  <c r="D96" i="24"/>
  <c r="E96" i="24"/>
  <c r="F96" i="24"/>
  <c r="G96" i="24"/>
  <c r="H96" i="24"/>
  <c r="I96" i="24"/>
  <c r="J96" i="24"/>
  <c r="K96" i="24"/>
  <c r="L96" i="24"/>
  <c r="M96" i="24"/>
  <c r="C97" i="24"/>
  <c r="D97" i="24"/>
  <c r="E97" i="24"/>
  <c r="F97" i="24"/>
  <c r="G97" i="24"/>
  <c r="H97" i="24"/>
  <c r="I97" i="24"/>
  <c r="J97" i="24"/>
  <c r="K97" i="24"/>
  <c r="L97" i="24"/>
  <c r="M97" i="24"/>
  <c r="C98" i="24"/>
  <c r="D98" i="24"/>
  <c r="E98" i="24"/>
  <c r="F98" i="24"/>
  <c r="G98" i="24"/>
  <c r="H98" i="24"/>
  <c r="I98" i="24"/>
  <c r="J98" i="24"/>
  <c r="K98" i="24"/>
  <c r="L98" i="24"/>
  <c r="M98" i="24"/>
  <c r="C99" i="24"/>
  <c r="D99" i="24"/>
  <c r="E99" i="24"/>
  <c r="F99" i="24"/>
  <c r="G99" i="24"/>
  <c r="H99" i="24"/>
  <c r="I99" i="24"/>
  <c r="J99" i="24"/>
  <c r="K99" i="24"/>
  <c r="L99" i="24"/>
  <c r="M99" i="24"/>
  <c r="C100" i="24"/>
  <c r="D100" i="24"/>
  <c r="E100" i="24"/>
  <c r="F100" i="24"/>
  <c r="G100" i="24"/>
  <c r="H100" i="24"/>
  <c r="I100" i="24"/>
  <c r="J100" i="24"/>
  <c r="K100" i="24"/>
  <c r="L100" i="24"/>
  <c r="M100" i="24"/>
  <c r="C101" i="24"/>
  <c r="D101" i="24"/>
  <c r="E101" i="24"/>
  <c r="F101" i="24"/>
  <c r="G101" i="24"/>
  <c r="H101" i="24"/>
  <c r="I101" i="24"/>
  <c r="J101" i="24"/>
  <c r="K101" i="24"/>
  <c r="L101" i="24"/>
  <c r="M101" i="24"/>
  <c r="C102" i="24"/>
  <c r="D102" i="24"/>
  <c r="E102" i="24"/>
  <c r="F102" i="24"/>
  <c r="G102" i="24"/>
  <c r="H102" i="24"/>
  <c r="I102" i="24"/>
  <c r="J102" i="24"/>
  <c r="K102" i="24"/>
  <c r="L102" i="24"/>
  <c r="M102" i="24"/>
  <c r="C103" i="24"/>
  <c r="D103" i="24"/>
  <c r="E103" i="24"/>
  <c r="F103" i="24"/>
  <c r="G103" i="24"/>
  <c r="H103" i="24"/>
  <c r="I103" i="24"/>
  <c r="J103" i="24"/>
  <c r="K103" i="24"/>
  <c r="L103" i="24"/>
  <c r="M103" i="24"/>
  <c r="C104" i="24"/>
  <c r="D104" i="24"/>
  <c r="E104" i="24"/>
  <c r="F104" i="24"/>
  <c r="G104" i="24"/>
  <c r="H104" i="24"/>
  <c r="I104" i="24"/>
  <c r="J104" i="24"/>
  <c r="K104" i="24"/>
  <c r="L104" i="24"/>
  <c r="M104" i="24"/>
  <c r="C105" i="24"/>
  <c r="D105" i="24"/>
  <c r="E105" i="24"/>
  <c r="F105" i="24"/>
  <c r="G105" i="24"/>
  <c r="H105" i="24"/>
  <c r="I105" i="24"/>
  <c r="J105" i="24"/>
  <c r="K105" i="24"/>
  <c r="L105" i="24"/>
  <c r="M105" i="24"/>
  <c r="C106" i="24"/>
  <c r="D106" i="24"/>
  <c r="E106" i="24"/>
  <c r="F106" i="24"/>
  <c r="G106" i="24"/>
  <c r="H106" i="24"/>
  <c r="I106" i="24"/>
  <c r="J106" i="24"/>
  <c r="K106" i="24"/>
  <c r="L106" i="24"/>
  <c r="M106" i="24"/>
  <c r="C107" i="24"/>
  <c r="D107" i="24"/>
  <c r="E107" i="24"/>
  <c r="F107" i="24"/>
  <c r="G107" i="24"/>
  <c r="H107" i="24"/>
  <c r="I107" i="24"/>
  <c r="J107" i="24"/>
  <c r="K107" i="24"/>
  <c r="L107" i="24"/>
  <c r="M107" i="24"/>
  <c r="C108" i="24"/>
  <c r="D108" i="24"/>
  <c r="E108" i="24"/>
  <c r="F108" i="24"/>
  <c r="G108" i="24"/>
  <c r="H108" i="24"/>
  <c r="I108" i="24"/>
  <c r="J108" i="24"/>
  <c r="K108" i="24"/>
  <c r="L108" i="24"/>
  <c r="M108" i="24"/>
  <c r="C109" i="24"/>
  <c r="D109" i="24"/>
  <c r="E109" i="24"/>
  <c r="F109" i="24"/>
  <c r="G109" i="24"/>
  <c r="H109" i="24"/>
  <c r="I109" i="24"/>
  <c r="J109" i="24"/>
  <c r="K109" i="24"/>
  <c r="L109" i="24"/>
  <c r="M109" i="24"/>
  <c r="C110" i="24"/>
  <c r="D110" i="24"/>
  <c r="E110" i="24"/>
  <c r="F110" i="24"/>
  <c r="G110" i="24"/>
  <c r="H110" i="24"/>
  <c r="I110" i="24"/>
  <c r="J110" i="24"/>
  <c r="K110" i="24"/>
  <c r="L110" i="24"/>
  <c r="M110" i="24"/>
  <c r="C111" i="24"/>
  <c r="D111" i="24"/>
  <c r="E111" i="24"/>
  <c r="F111" i="24"/>
  <c r="G111" i="24"/>
  <c r="H111" i="24"/>
  <c r="I111" i="24"/>
  <c r="J111" i="24"/>
  <c r="K111" i="24"/>
  <c r="L111" i="24"/>
  <c r="M111" i="24"/>
  <c r="C112" i="24"/>
  <c r="D112" i="24"/>
  <c r="E112" i="24"/>
  <c r="F112" i="24"/>
  <c r="G112" i="24"/>
  <c r="H112" i="24"/>
  <c r="I112" i="24"/>
  <c r="J112" i="24"/>
  <c r="K112" i="24"/>
  <c r="L112" i="24"/>
  <c r="M112" i="24"/>
  <c r="C113" i="24"/>
  <c r="D113" i="24"/>
  <c r="E113" i="24"/>
  <c r="F113" i="24"/>
  <c r="G113" i="24"/>
  <c r="H113" i="24"/>
  <c r="I113" i="24"/>
  <c r="J113" i="24"/>
  <c r="K113" i="24"/>
  <c r="L113" i="24"/>
  <c r="M113" i="24"/>
  <c r="C114" i="24"/>
  <c r="D114" i="24"/>
  <c r="E114" i="24"/>
  <c r="F114" i="24"/>
  <c r="G114" i="24"/>
  <c r="H114" i="24"/>
  <c r="I114" i="24"/>
  <c r="J114" i="24"/>
  <c r="K114" i="24"/>
  <c r="L114" i="24"/>
  <c r="M114" i="24"/>
  <c r="C115" i="24"/>
  <c r="D115" i="24"/>
  <c r="E115" i="24"/>
  <c r="F115" i="24"/>
  <c r="G115" i="24"/>
  <c r="H115" i="24"/>
  <c r="I115" i="24"/>
  <c r="J115" i="24"/>
  <c r="K115" i="24"/>
  <c r="L115" i="24"/>
  <c r="M115" i="24"/>
  <c r="C71" i="24"/>
  <c r="D71" i="24"/>
  <c r="E71" i="24"/>
  <c r="F71" i="24"/>
  <c r="G71" i="24"/>
  <c r="H71" i="24"/>
  <c r="I71" i="24"/>
  <c r="J71" i="24"/>
  <c r="K71" i="24"/>
  <c r="L71" i="24"/>
  <c r="M71" i="24"/>
  <c r="C72" i="24"/>
  <c r="D72" i="24"/>
  <c r="E72" i="24"/>
  <c r="F72" i="24"/>
  <c r="G72" i="24"/>
  <c r="H72" i="24"/>
  <c r="I72" i="24"/>
  <c r="J72" i="24"/>
  <c r="K72" i="24"/>
  <c r="L72" i="24"/>
  <c r="M72" i="24"/>
  <c r="C73" i="24"/>
  <c r="D73" i="24"/>
  <c r="E73" i="24"/>
  <c r="F73" i="24"/>
  <c r="G73" i="24"/>
  <c r="H73" i="24"/>
  <c r="I73" i="24"/>
  <c r="J73" i="24"/>
  <c r="K73" i="24"/>
  <c r="L73" i="24"/>
  <c r="M73" i="24"/>
  <c r="C74" i="24"/>
  <c r="D74" i="24"/>
  <c r="E74" i="24"/>
  <c r="F74" i="24"/>
  <c r="G74" i="24"/>
  <c r="H74" i="24"/>
  <c r="I74" i="24"/>
  <c r="J74" i="24"/>
  <c r="K74" i="24"/>
  <c r="L74" i="24"/>
  <c r="M74" i="24"/>
  <c r="C75" i="24"/>
  <c r="D75" i="24"/>
  <c r="E75" i="24"/>
  <c r="F75" i="24"/>
  <c r="G75" i="24"/>
  <c r="H75" i="24"/>
  <c r="I75" i="24"/>
  <c r="J75" i="24"/>
  <c r="K75" i="24"/>
  <c r="L75" i="24"/>
  <c r="M75" i="24"/>
  <c r="C76" i="24"/>
  <c r="D76" i="24"/>
  <c r="E76" i="24"/>
  <c r="F76" i="24"/>
  <c r="G76" i="24"/>
  <c r="H76" i="24"/>
  <c r="I76" i="24"/>
  <c r="J76" i="24"/>
  <c r="K76" i="24"/>
  <c r="L76" i="24"/>
  <c r="M76" i="24"/>
  <c r="C77" i="24"/>
  <c r="D77" i="24"/>
  <c r="E77" i="24"/>
  <c r="F77" i="24"/>
  <c r="G77" i="24"/>
  <c r="H77" i="24"/>
  <c r="I77" i="24"/>
  <c r="J77" i="24"/>
  <c r="K77" i="24"/>
  <c r="L77" i="24"/>
  <c r="M77" i="24"/>
  <c r="C78" i="24"/>
  <c r="D78" i="24"/>
  <c r="E78" i="24"/>
  <c r="F78" i="24"/>
  <c r="G78" i="24"/>
  <c r="H78" i="24"/>
  <c r="I78" i="24"/>
  <c r="J78" i="24"/>
  <c r="K78" i="24"/>
  <c r="L78" i="24"/>
  <c r="M78" i="24"/>
  <c r="C79" i="24"/>
  <c r="D79" i="24"/>
  <c r="E79" i="24"/>
  <c r="F79" i="24"/>
  <c r="G79" i="24"/>
  <c r="H79" i="24"/>
  <c r="I79" i="24"/>
  <c r="J79" i="24"/>
  <c r="K79" i="24"/>
  <c r="L79" i="24"/>
  <c r="M79" i="24"/>
  <c r="C80" i="24"/>
  <c r="D80" i="24"/>
  <c r="E80" i="24"/>
  <c r="F80" i="24"/>
  <c r="G80" i="24"/>
  <c r="H80" i="24"/>
  <c r="I80" i="24"/>
  <c r="J80" i="24"/>
  <c r="K80" i="24"/>
  <c r="L80" i="24"/>
  <c r="M80" i="24"/>
  <c r="C81" i="24"/>
  <c r="D81" i="24"/>
  <c r="E81" i="24"/>
  <c r="F81" i="24"/>
  <c r="G81" i="24"/>
  <c r="H81" i="24"/>
  <c r="I81" i="24"/>
  <c r="J81" i="24"/>
  <c r="K81" i="24"/>
  <c r="L81" i="24"/>
  <c r="M81" i="24"/>
  <c r="C82" i="24"/>
  <c r="D82" i="24"/>
  <c r="E82" i="24"/>
  <c r="F82" i="24"/>
  <c r="G82" i="24"/>
  <c r="H82" i="24"/>
  <c r="I82" i="24"/>
  <c r="J82" i="24"/>
  <c r="K82" i="24"/>
  <c r="L82" i="24"/>
  <c r="M82" i="24"/>
  <c r="C83" i="24"/>
  <c r="D83" i="24"/>
  <c r="E83" i="24"/>
  <c r="F83" i="24"/>
  <c r="G83" i="24"/>
  <c r="H83" i="24"/>
  <c r="I83" i="24"/>
  <c r="J83" i="24"/>
  <c r="K83" i="24"/>
  <c r="L83" i="24"/>
  <c r="M83" i="24"/>
  <c r="C84" i="24"/>
  <c r="D84" i="24"/>
  <c r="E84" i="24"/>
  <c r="F84" i="24"/>
  <c r="G84" i="24"/>
  <c r="H84" i="24"/>
  <c r="I84" i="24"/>
  <c r="J84" i="24"/>
  <c r="K84" i="24"/>
  <c r="L84" i="24"/>
  <c r="M84" i="24"/>
  <c r="C85" i="24"/>
  <c r="D85" i="24"/>
  <c r="E85" i="24"/>
  <c r="F85" i="24"/>
  <c r="G85" i="24"/>
  <c r="H85" i="24"/>
  <c r="I85" i="24"/>
  <c r="J85" i="24"/>
  <c r="K85" i="24"/>
  <c r="L85" i="24"/>
  <c r="M85" i="24"/>
  <c r="C86" i="24"/>
  <c r="D86" i="24"/>
  <c r="E86" i="24"/>
  <c r="F86" i="24"/>
  <c r="G86" i="24"/>
  <c r="H86" i="24"/>
  <c r="I86" i="24"/>
  <c r="J86" i="24"/>
  <c r="K86" i="24"/>
  <c r="L86" i="24"/>
  <c r="M86" i="24"/>
  <c r="C87" i="24"/>
  <c r="D87" i="24"/>
  <c r="E87" i="24"/>
  <c r="F87" i="24"/>
  <c r="G87" i="24"/>
  <c r="H87" i="24"/>
  <c r="I87" i="24"/>
  <c r="J87" i="24"/>
  <c r="K87" i="24"/>
  <c r="L87" i="24"/>
  <c r="M87" i="24"/>
  <c r="C88" i="24"/>
  <c r="D88" i="24"/>
  <c r="E88" i="24"/>
  <c r="F88" i="24"/>
  <c r="G88" i="24"/>
  <c r="H88" i="24"/>
  <c r="I88" i="24"/>
  <c r="J88" i="24"/>
  <c r="K88" i="24"/>
  <c r="L88" i="24"/>
  <c r="M88" i="24"/>
  <c r="C89" i="24"/>
  <c r="D89" i="24"/>
  <c r="E89" i="24"/>
  <c r="F89" i="24"/>
  <c r="G89" i="24"/>
  <c r="H89" i="24"/>
  <c r="I89" i="24"/>
  <c r="J89" i="24"/>
  <c r="K89" i="24"/>
  <c r="L89" i="24"/>
  <c r="M89" i="24"/>
  <c r="C90" i="24"/>
  <c r="D90" i="24"/>
  <c r="E90" i="24"/>
  <c r="F90" i="24"/>
  <c r="G90" i="24"/>
  <c r="H90" i="24"/>
  <c r="I90" i="24"/>
  <c r="J90" i="24"/>
  <c r="K90" i="24"/>
  <c r="L90" i="24"/>
  <c r="M90" i="24"/>
  <c r="C91" i="24"/>
  <c r="D91" i="24"/>
  <c r="E91" i="24"/>
  <c r="F91" i="24"/>
  <c r="G91" i="24"/>
  <c r="H91" i="24"/>
  <c r="I91" i="24"/>
  <c r="J91" i="24"/>
  <c r="K91" i="24"/>
  <c r="L91" i="24"/>
  <c r="M91" i="24"/>
  <c r="C92" i="24"/>
  <c r="D92" i="24"/>
  <c r="E92" i="24"/>
  <c r="F92" i="24"/>
  <c r="G92" i="24"/>
  <c r="H92" i="24"/>
  <c r="I92" i="24"/>
  <c r="J92" i="24"/>
  <c r="K92" i="24"/>
  <c r="L92" i="24"/>
  <c r="M92" i="24"/>
  <c r="C93" i="24"/>
  <c r="D93" i="24"/>
  <c r="E93" i="24"/>
  <c r="F93" i="24"/>
  <c r="G93" i="24"/>
  <c r="H93" i="24"/>
  <c r="I93" i="24"/>
  <c r="J93" i="24"/>
  <c r="K93" i="24"/>
  <c r="L93" i="24"/>
  <c r="M93" i="24"/>
  <c r="C66" i="24"/>
  <c r="D66" i="24"/>
  <c r="E66" i="24"/>
  <c r="F66" i="24"/>
  <c r="G66" i="24"/>
  <c r="H66" i="24"/>
  <c r="I66" i="24"/>
  <c r="J66" i="24"/>
  <c r="K66" i="24"/>
  <c r="L66" i="24"/>
  <c r="M66" i="24"/>
  <c r="C67" i="24"/>
  <c r="D67" i="24"/>
  <c r="E67" i="24"/>
  <c r="F67" i="24"/>
  <c r="G67" i="24"/>
  <c r="H67" i="24"/>
  <c r="I67" i="24"/>
  <c r="J67" i="24"/>
  <c r="K67" i="24"/>
  <c r="L67" i="24"/>
  <c r="M67" i="24"/>
  <c r="C68" i="24"/>
  <c r="D68" i="24"/>
  <c r="E68" i="24"/>
  <c r="F68" i="24"/>
  <c r="G68" i="24"/>
  <c r="H68" i="24"/>
  <c r="I68" i="24"/>
  <c r="J68" i="24"/>
  <c r="K68" i="24"/>
  <c r="L68" i="24"/>
  <c r="M68" i="24"/>
  <c r="C69" i="24"/>
  <c r="D69" i="24"/>
  <c r="E69" i="24"/>
  <c r="F69" i="24"/>
  <c r="G69" i="24"/>
  <c r="H69" i="24"/>
  <c r="I69" i="24"/>
  <c r="J69" i="24"/>
  <c r="K69" i="24"/>
  <c r="L69" i="24"/>
  <c r="M69" i="24"/>
  <c r="C70" i="24"/>
  <c r="D70" i="24"/>
  <c r="E70" i="24"/>
  <c r="F70" i="24"/>
  <c r="G70" i="24"/>
  <c r="H70" i="24"/>
  <c r="I70" i="24"/>
  <c r="J70" i="24"/>
  <c r="K70" i="24"/>
  <c r="L70" i="24"/>
  <c r="M70" i="24"/>
  <c r="C59" i="24"/>
  <c r="D59" i="24"/>
  <c r="E59" i="24"/>
  <c r="F59" i="24"/>
  <c r="G59" i="24"/>
  <c r="H59" i="24"/>
  <c r="I59" i="24"/>
  <c r="J59" i="24"/>
  <c r="K59" i="24"/>
  <c r="L59" i="24"/>
  <c r="M59" i="24"/>
  <c r="C60" i="24"/>
  <c r="D60" i="24"/>
  <c r="E60" i="24"/>
  <c r="F60" i="24"/>
  <c r="G60" i="24"/>
  <c r="H60" i="24"/>
  <c r="I60" i="24"/>
  <c r="J60" i="24"/>
  <c r="K60" i="24"/>
  <c r="L60" i="24"/>
  <c r="M60" i="24"/>
  <c r="C61" i="24"/>
  <c r="D61" i="24"/>
  <c r="E61" i="24"/>
  <c r="F61" i="24"/>
  <c r="G61" i="24"/>
  <c r="H61" i="24"/>
  <c r="I61" i="24"/>
  <c r="J61" i="24"/>
  <c r="K61" i="24"/>
  <c r="L61" i="24"/>
  <c r="M61" i="24"/>
  <c r="C62" i="24"/>
  <c r="D62" i="24"/>
  <c r="E62" i="24"/>
  <c r="F62" i="24"/>
  <c r="G62" i="24"/>
  <c r="H62" i="24"/>
  <c r="I62" i="24"/>
  <c r="J62" i="24"/>
  <c r="K62" i="24"/>
  <c r="L62" i="24"/>
  <c r="M62" i="24"/>
  <c r="C63" i="24"/>
  <c r="D63" i="24"/>
  <c r="E63" i="24"/>
  <c r="F63" i="24"/>
  <c r="G63" i="24"/>
  <c r="H63" i="24"/>
  <c r="I63" i="24"/>
  <c r="J63" i="24"/>
  <c r="K63" i="24"/>
  <c r="L63" i="24"/>
  <c r="M63" i="24"/>
  <c r="C64" i="24"/>
  <c r="D64" i="24"/>
  <c r="E64" i="24"/>
  <c r="F64" i="24"/>
  <c r="G64" i="24"/>
  <c r="H64" i="24"/>
  <c r="I64" i="24"/>
  <c r="J64" i="24"/>
  <c r="K64" i="24"/>
  <c r="L64" i="24"/>
  <c r="M64" i="24"/>
  <c r="C65" i="24"/>
  <c r="D65" i="24"/>
  <c r="E65" i="24"/>
  <c r="F65" i="24"/>
  <c r="G65" i="24"/>
  <c r="H65" i="24"/>
  <c r="I65" i="24"/>
  <c r="J65" i="24"/>
  <c r="K65" i="24"/>
  <c r="L65" i="24"/>
  <c r="M65" i="24"/>
  <c r="C47" i="24"/>
  <c r="D47" i="24"/>
  <c r="E47" i="24"/>
  <c r="F47" i="24"/>
  <c r="AB47" i="24" s="1"/>
  <c r="AH47" i="12" s="1"/>
  <c r="G47" i="24"/>
  <c r="H47" i="24"/>
  <c r="I47" i="24"/>
  <c r="J47" i="24"/>
  <c r="K47" i="24"/>
  <c r="L47" i="24"/>
  <c r="M47" i="24"/>
  <c r="C48" i="24"/>
  <c r="D48" i="24"/>
  <c r="E48" i="24"/>
  <c r="F48" i="24"/>
  <c r="G48" i="24"/>
  <c r="H48" i="24"/>
  <c r="I48" i="24"/>
  <c r="J48" i="24"/>
  <c r="K48" i="24"/>
  <c r="L48" i="24"/>
  <c r="M48" i="24"/>
  <c r="C49" i="24"/>
  <c r="D49" i="24"/>
  <c r="E49" i="24"/>
  <c r="F49" i="24"/>
  <c r="G49" i="24"/>
  <c r="H49" i="24"/>
  <c r="I49" i="24"/>
  <c r="J49" i="24"/>
  <c r="K49" i="24"/>
  <c r="L49" i="24"/>
  <c r="M49" i="24"/>
  <c r="C50" i="24"/>
  <c r="D50" i="24"/>
  <c r="E50" i="24"/>
  <c r="F50" i="24"/>
  <c r="G50" i="24"/>
  <c r="H50" i="24"/>
  <c r="I50" i="24"/>
  <c r="J50" i="24"/>
  <c r="K50" i="24"/>
  <c r="L50" i="24"/>
  <c r="M50" i="24"/>
  <c r="C51" i="24"/>
  <c r="D51" i="24"/>
  <c r="E51" i="24"/>
  <c r="F51" i="24"/>
  <c r="G51" i="24"/>
  <c r="H51" i="24"/>
  <c r="I51" i="24"/>
  <c r="J51" i="24"/>
  <c r="K51" i="24"/>
  <c r="L51" i="24"/>
  <c r="M51" i="24"/>
  <c r="C52" i="24"/>
  <c r="D52" i="24"/>
  <c r="E52" i="24"/>
  <c r="F52" i="24"/>
  <c r="G52" i="24"/>
  <c r="H52" i="24"/>
  <c r="I52" i="24"/>
  <c r="J52" i="24"/>
  <c r="K52" i="24"/>
  <c r="L52" i="24"/>
  <c r="M52" i="24"/>
  <c r="C53" i="24"/>
  <c r="D53" i="24"/>
  <c r="E53" i="24"/>
  <c r="F53" i="24"/>
  <c r="G53" i="24"/>
  <c r="H53" i="24"/>
  <c r="I53" i="24"/>
  <c r="J53" i="24"/>
  <c r="K53" i="24"/>
  <c r="L53" i="24"/>
  <c r="M53" i="24"/>
  <c r="C54" i="24"/>
  <c r="D54" i="24"/>
  <c r="E54" i="24"/>
  <c r="F54" i="24"/>
  <c r="G54" i="24"/>
  <c r="H54" i="24"/>
  <c r="I54" i="24"/>
  <c r="J54" i="24"/>
  <c r="K54" i="24"/>
  <c r="L54" i="24"/>
  <c r="M54" i="24"/>
  <c r="C55" i="24"/>
  <c r="D55" i="24"/>
  <c r="E55" i="24"/>
  <c r="F55" i="24"/>
  <c r="G55" i="24"/>
  <c r="H55" i="24"/>
  <c r="I55" i="24"/>
  <c r="J55" i="24"/>
  <c r="K55" i="24"/>
  <c r="L55" i="24"/>
  <c r="M55" i="24"/>
  <c r="C56" i="24"/>
  <c r="D56" i="24"/>
  <c r="E56" i="24"/>
  <c r="F56" i="24"/>
  <c r="G56" i="24"/>
  <c r="H56" i="24"/>
  <c r="I56" i="24"/>
  <c r="J56" i="24"/>
  <c r="K56" i="24"/>
  <c r="L56" i="24"/>
  <c r="M56" i="24"/>
  <c r="C57" i="24"/>
  <c r="D57" i="24"/>
  <c r="E57" i="24"/>
  <c r="F57" i="24"/>
  <c r="G57" i="24"/>
  <c r="H57" i="24"/>
  <c r="I57" i="24"/>
  <c r="J57" i="24"/>
  <c r="K57" i="24"/>
  <c r="L57" i="24"/>
  <c r="M57" i="24"/>
  <c r="C58" i="24"/>
  <c r="D58" i="24"/>
  <c r="E58" i="24"/>
  <c r="F58" i="24"/>
  <c r="G58" i="24"/>
  <c r="H58" i="24"/>
  <c r="I58" i="24"/>
  <c r="J58" i="24"/>
  <c r="K58" i="24"/>
  <c r="L58" i="24"/>
  <c r="M58" i="24"/>
  <c r="C20" i="24"/>
  <c r="D20" i="24"/>
  <c r="E20" i="24"/>
  <c r="F20" i="24"/>
  <c r="G20" i="24"/>
  <c r="H20" i="24"/>
  <c r="I20" i="24"/>
  <c r="J20" i="24"/>
  <c r="K20" i="24"/>
  <c r="L20" i="24"/>
  <c r="M20" i="24"/>
  <c r="C21" i="24"/>
  <c r="D21" i="24"/>
  <c r="E21" i="24"/>
  <c r="F21" i="24"/>
  <c r="G21" i="24"/>
  <c r="H21" i="24"/>
  <c r="I21" i="24"/>
  <c r="J21" i="24"/>
  <c r="K21" i="24"/>
  <c r="L21" i="24"/>
  <c r="M21" i="24"/>
  <c r="C22" i="24"/>
  <c r="D22" i="24"/>
  <c r="E22" i="24"/>
  <c r="F22" i="24"/>
  <c r="G22" i="24"/>
  <c r="H22" i="24"/>
  <c r="I22" i="24"/>
  <c r="J22" i="24"/>
  <c r="K22" i="24"/>
  <c r="L22" i="24"/>
  <c r="M22" i="24"/>
  <c r="C23" i="24"/>
  <c r="D23" i="24"/>
  <c r="E23" i="24"/>
  <c r="F23" i="24"/>
  <c r="G23" i="24"/>
  <c r="H23" i="24"/>
  <c r="I23" i="24"/>
  <c r="J23" i="24"/>
  <c r="K23" i="24"/>
  <c r="L23" i="24"/>
  <c r="M23" i="24"/>
  <c r="C24" i="24"/>
  <c r="D24" i="24"/>
  <c r="E24" i="24"/>
  <c r="F24" i="24"/>
  <c r="G24" i="24"/>
  <c r="H24" i="24"/>
  <c r="I24" i="24"/>
  <c r="J24" i="24"/>
  <c r="K24" i="24"/>
  <c r="L24" i="24"/>
  <c r="M24" i="24"/>
  <c r="C25" i="24"/>
  <c r="D25" i="24"/>
  <c r="E25" i="24"/>
  <c r="F25" i="24"/>
  <c r="G25" i="24"/>
  <c r="H25" i="24"/>
  <c r="I25" i="24"/>
  <c r="J25" i="24"/>
  <c r="K25" i="24"/>
  <c r="L25" i="24"/>
  <c r="M25" i="24"/>
  <c r="C26" i="24"/>
  <c r="D26" i="24"/>
  <c r="E26" i="24"/>
  <c r="F26" i="24"/>
  <c r="G26" i="24"/>
  <c r="H26" i="24"/>
  <c r="I26" i="24"/>
  <c r="J26" i="24"/>
  <c r="K26" i="24"/>
  <c r="L26" i="24"/>
  <c r="M26" i="24"/>
  <c r="C27" i="24"/>
  <c r="D27" i="24"/>
  <c r="E27" i="24"/>
  <c r="F27" i="24"/>
  <c r="G27" i="24"/>
  <c r="H27" i="24"/>
  <c r="I27" i="24"/>
  <c r="J27" i="24"/>
  <c r="K27" i="24"/>
  <c r="L27" i="24"/>
  <c r="M27" i="24"/>
  <c r="C28" i="24"/>
  <c r="D28" i="24"/>
  <c r="E28" i="24"/>
  <c r="F28" i="24"/>
  <c r="G28" i="24"/>
  <c r="H28" i="24"/>
  <c r="I28" i="24"/>
  <c r="J28" i="24"/>
  <c r="K28" i="24"/>
  <c r="L28" i="24"/>
  <c r="M28" i="24"/>
  <c r="C29" i="24"/>
  <c r="D29" i="24"/>
  <c r="E29" i="24"/>
  <c r="F29" i="24"/>
  <c r="G29" i="24"/>
  <c r="H29" i="24"/>
  <c r="I29" i="24"/>
  <c r="J29" i="24"/>
  <c r="K29" i="24"/>
  <c r="L29" i="24"/>
  <c r="M29" i="24"/>
  <c r="C30" i="24"/>
  <c r="D30" i="24"/>
  <c r="E30" i="24"/>
  <c r="F30" i="24"/>
  <c r="G30" i="24"/>
  <c r="H30" i="24"/>
  <c r="I30" i="24"/>
  <c r="J30" i="24"/>
  <c r="K30" i="24"/>
  <c r="L30" i="24"/>
  <c r="M30" i="24"/>
  <c r="C31" i="24"/>
  <c r="D31" i="24"/>
  <c r="E31" i="24"/>
  <c r="F31" i="24"/>
  <c r="G31" i="24"/>
  <c r="H31" i="24"/>
  <c r="I31" i="24"/>
  <c r="J31" i="24"/>
  <c r="K31" i="24"/>
  <c r="L31" i="24"/>
  <c r="M31" i="24"/>
  <c r="C32" i="24"/>
  <c r="D32" i="24"/>
  <c r="E32" i="24"/>
  <c r="F32" i="24"/>
  <c r="G32" i="24"/>
  <c r="H32" i="24"/>
  <c r="I32" i="24"/>
  <c r="J32" i="24"/>
  <c r="K32" i="24"/>
  <c r="L32" i="24"/>
  <c r="M32" i="24"/>
  <c r="C33" i="24"/>
  <c r="D33" i="24"/>
  <c r="E33" i="24"/>
  <c r="F33" i="24"/>
  <c r="G33" i="24"/>
  <c r="H33" i="24"/>
  <c r="I33" i="24"/>
  <c r="J33" i="24"/>
  <c r="K33" i="24"/>
  <c r="L33" i="24"/>
  <c r="M33" i="24"/>
  <c r="C34" i="24"/>
  <c r="D34" i="24"/>
  <c r="E34" i="24"/>
  <c r="F34" i="24"/>
  <c r="G34" i="24"/>
  <c r="H34" i="24"/>
  <c r="I34" i="24"/>
  <c r="J34" i="24"/>
  <c r="K34" i="24"/>
  <c r="L34" i="24"/>
  <c r="M34" i="24"/>
  <c r="C35" i="24"/>
  <c r="D35" i="24"/>
  <c r="E35" i="24"/>
  <c r="F35" i="24"/>
  <c r="G35" i="24"/>
  <c r="H35" i="24"/>
  <c r="I35" i="24"/>
  <c r="J35" i="24"/>
  <c r="K35" i="24"/>
  <c r="L35" i="24"/>
  <c r="M35" i="24"/>
  <c r="C36" i="24"/>
  <c r="D36" i="24"/>
  <c r="E36" i="24"/>
  <c r="F36" i="24"/>
  <c r="G36" i="24"/>
  <c r="H36" i="24"/>
  <c r="I36" i="24"/>
  <c r="J36" i="24"/>
  <c r="K36" i="24"/>
  <c r="L36" i="24"/>
  <c r="M36" i="24"/>
  <c r="C37" i="24"/>
  <c r="D37" i="24"/>
  <c r="E37" i="24"/>
  <c r="F37" i="24"/>
  <c r="G37" i="24"/>
  <c r="H37" i="24"/>
  <c r="I37" i="24"/>
  <c r="J37" i="24"/>
  <c r="K37" i="24"/>
  <c r="L37" i="24"/>
  <c r="M37" i="24"/>
  <c r="C38" i="24"/>
  <c r="D38" i="24"/>
  <c r="E38" i="24"/>
  <c r="F38" i="24"/>
  <c r="G38" i="24"/>
  <c r="H38" i="24"/>
  <c r="I38" i="24"/>
  <c r="J38" i="24"/>
  <c r="K38" i="24"/>
  <c r="L38" i="24"/>
  <c r="M38" i="24"/>
  <c r="C39" i="24"/>
  <c r="D39" i="24"/>
  <c r="E39" i="24"/>
  <c r="F39" i="24"/>
  <c r="G39" i="24"/>
  <c r="H39" i="24"/>
  <c r="I39" i="24"/>
  <c r="J39" i="24"/>
  <c r="K39" i="24"/>
  <c r="L39" i="24"/>
  <c r="M39" i="24"/>
  <c r="C40" i="24"/>
  <c r="D40" i="24"/>
  <c r="E40" i="24"/>
  <c r="F40" i="24"/>
  <c r="G40" i="24"/>
  <c r="H40" i="24"/>
  <c r="I40" i="24"/>
  <c r="J40" i="24"/>
  <c r="K40" i="24"/>
  <c r="L40" i="24"/>
  <c r="M40" i="24"/>
  <c r="C41" i="24"/>
  <c r="D41" i="24"/>
  <c r="E41" i="24"/>
  <c r="F41" i="24"/>
  <c r="G41" i="24"/>
  <c r="H41" i="24"/>
  <c r="I41" i="24"/>
  <c r="J41" i="24"/>
  <c r="K41" i="24"/>
  <c r="L41" i="24"/>
  <c r="M41" i="24"/>
  <c r="C42" i="24"/>
  <c r="D42" i="24"/>
  <c r="E42" i="24"/>
  <c r="F42" i="24"/>
  <c r="G42" i="24"/>
  <c r="H42" i="24"/>
  <c r="I42" i="24"/>
  <c r="J42" i="24"/>
  <c r="K42" i="24"/>
  <c r="L42" i="24"/>
  <c r="M42" i="24"/>
  <c r="C43" i="24"/>
  <c r="D43" i="24"/>
  <c r="E43" i="24"/>
  <c r="F43" i="24"/>
  <c r="G43" i="24"/>
  <c r="H43" i="24"/>
  <c r="I43" i="24"/>
  <c r="J43" i="24"/>
  <c r="K43" i="24"/>
  <c r="L43" i="24"/>
  <c r="M43" i="24"/>
  <c r="C44" i="24"/>
  <c r="D44" i="24"/>
  <c r="E44" i="24"/>
  <c r="F44" i="24"/>
  <c r="G44" i="24"/>
  <c r="H44" i="24"/>
  <c r="I44" i="24"/>
  <c r="J44" i="24"/>
  <c r="K44" i="24"/>
  <c r="L44" i="24"/>
  <c r="M44" i="24"/>
  <c r="C45" i="24"/>
  <c r="D45" i="24"/>
  <c r="E45" i="24"/>
  <c r="F45" i="24"/>
  <c r="G45" i="24"/>
  <c r="H45" i="24"/>
  <c r="I45" i="24"/>
  <c r="J45" i="24"/>
  <c r="K45" i="24"/>
  <c r="L45" i="24"/>
  <c r="M45" i="24"/>
  <c r="C46" i="24"/>
  <c r="D46" i="24"/>
  <c r="E46" i="24"/>
  <c r="F46" i="24"/>
  <c r="G46" i="24"/>
  <c r="H46" i="24"/>
  <c r="I46" i="24"/>
  <c r="J46" i="24"/>
  <c r="K46" i="24"/>
  <c r="L46" i="24"/>
  <c r="M46" i="24"/>
  <c r="C12" i="24"/>
  <c r="D12" i="24"/>
  <c r="E12" i="24"/>
  <c r="F12" i="24"/>
  <c r="G12" i="24"/>
  <c r="H12" i="24"/>
  <c r="I12" i="24"/>
  <c r="J12" i="24"/>
  <c r="K12" i="24"/>
  <c r="L12" i="24"/>
  <c r="M12" i="24"/>
  <c r="C13" i="24"/>
  <c r="D13" i="24"/>
  <c r="E13" i="24"/>
  <c r="F13" i="24"/>
  <c r="G13" i="24"/>
  <c r="H13" i="24"/>
  <c r="I13" i="24"/>
  <c r="J13" i="24"/>
  <c r="K13" i="24"/>
  <c r="L13" i="24"/>
  <c r="M13" i="24"/>
  <c r="C14" i="24"/>
  <c r="D14" i="24"/>
  <c r="E14" i="24"/>
  <c r="F14" i="24"/>
  <c r="G14" i="24"/>
  <c r="H14" i="24"/>
  <c r="I14" i="24"/>
  <c r="J14" i="24"/>
  <c r="K14" i="24"/>
  <c r="L14" i="24"/>
  <c r="M14" i="24"/>
  <c r="C15" i="24"/>
  <c r="D15" i="24"/>
  <c r="E15" i="24"/>
  <c r="F15" i="24"/>
  <c r="G15" i="24"/>
  <c r="H15" i="24"/>
  <c r="I15" i="24"/>
  <c r="J15" i="24"/>
  <c r="K15" i="24"/>
  <c r="L15" i="24"/>
  <c r="M15" i="24"/>
  <c r="C16" i="24"/>
  <c r="D16" i="24"/>
  <c r="E16" i="24"/>
  <c r="F16" i="24"/>
  <c r="G16" i="24"/>
  <c r="H16" i="24"/>
  <c r="I16" i="24"/>
  <c r="J16" i="24"/>
  <c r="K16" i="24"/>
  <c r="L16" i="24"/>
  <c r="M16" i="24"/>
  <c r="C17" i="24"/>
  <c r="D17" i="24"/>
  <c r="E17" i="24"/>
  <c r="F17" i="24"/>
  <c r="G17" i="24"/>
  <c r="H17" i="24"/>
  <c r="I17" i="24"/>
  <c r="J17" i="24"/>
  <c r="K17" i="24"/>
  <c r="L17" i="24"/>
  <c r="M17" i="24"/>
  <c r="C18" i="24"/>
  <c r="D18" i="24"/>
  <c r="E18" i="24"/>
  <c r="F18" i="24"/>
  <c r="G18" i="24"/>
  <c r="H18" i="24"/>
  <c r="I18" i="24"/>
  <c r="J18" i="24"/>
  <c r="K18" i="24"/>
  <c r="L18" i="24"/>
  <c r="M18" i="24"/>
  <c r="C19" i="24"/>
  <c r="D19" i="24"/>
  <c r="E19" i="24"/>
  <c r="F19" i="24"/>
  <c r="G19" i="24"/>
  <c r="H19" i="24"/>
  <c r="I19" i="24"/>
  <c r="J19" i="24"/>
  <c r="K19" i="24"/>
  <c r="L19" i="24"/>
  <c r="M19" i="24"/>
  <c r="M11" i="24"/>
  <c r="C11" i="24"/>
  <c r="D11" i="24"/>
  <c r="E11" i="24"/>
  <c r="F11" i="24"/>
  <c r="N11" i="24" s="1"/>
  <c r="T11" i="12" s="1"/>
  <c r="G11" i="24"/>
  <c r="H11" i="24"/>
  <c r="I11" i="24"/>
  <c r="J11" i="24"/>
  <c r="K11" i="24"/>
  <c r="L11" i="24"/>
  <c r="B11" i="24"/>
  <c r="Q107" i="24" l="1"/>
  <c r="W107" i="12" s="1"/>
  <c r="S107" i="24"/>
  <c r="Y107" i="12" s="1"/>
  <c r="T107" i="24"/>
  <c r="Z107" i="12" s="1"/>
  <c r="U107" i="24"/>
  <c r="AA107" i="12" s="1"/>
  <c r="R107" i="24"/>
  <c r="X107" i="12" s="1"/>
  <c r="P107" i="24"/>
  <c r="V107" i="12" s="1"/>
  <c r="V107" i="24"/>
  <c r="AB107" i="12" s="1"/>
  <c r="AC107" i="24"/>
  <c r="AB107" i="24"/>
  <c r="AH107" i="12" s="1"/>
  <c r="AA107" i="24"/>
  <c r="AG107" i="12" s="1"/>
  <c r="Y107" i="24"/>
  <c r="AE107" i="12" s="1"/>
  <c r="X107" i="24"/>
  <c r="AD107" i="12" s="1"/>
  <c r="Z107" i="24"/>
  <c r="AF107" i="12" s="1"/>
  <c r="W107" i="24"/>
  <c r="AC107" i="12" s="1"/>
  <c r="X25" i="24"/>
  <c r="AD25" i="12" s="1"/>
  <c r="Z25" i="24"/>
  <c r="AF25" i="12" s="1"/>
  <c r="P25" i="24"/>
  <c r="V25" i="12" s="1"/>
  <c r="U25" i="24"/>
  <c r="AA25" i="12" s="1"/>
  <c r="S25" i="24"/>
  <c r="Y25" i="12" s="1"/>
  <c r="Q25" i="24"/>
  <c r="W25" i="12" s="1"/>
  <c r="Y25" i="24"/>
  <c r="AE25" i="12" s="1"/>
  <c r="V25" i="24"/>
  <c r="AB25" i="12" s="1"/>
  <c r="AB25" i="24"/>
  <c r="AH25" i="12" s="1"/>
  <c r="AC25" i="24"/>
  <c r="O25" i="24"/>
  <c r="R25" i="24"/>
  <c r="X25" i="12" s="1"/>
  <c r="W25" i="24"/>
  <c r="AC25" i="12" s="1"/>
  <c r="T25" i="24"/>
  <c r="Z25" i="12" s="1"/>
  <c r="N25" i="24"/>
  <c r="T25" i="12" s="1"/>
  <c r="Z48" i="24"/>
  <c r="AF48" i="12" s="1"/>
  <c r="V48" i="24"/>
  <c r="AB48" i="12" s="1"/>
  <c r="U48" i="24"/>
  <c r="AA48" i="12" s="1"/>
  <c r="X48" i="24"/>
  <c r="AD48" i="12" s="1"/>
  <c r="W48" i="24"/>
  <c r="AC48" i="12" s="1"/>
  <c r="R48" i="24"/>
  <c r="X48" i="12" s="1"/>
  <c r="S48" i="24"/>
  <c r="Y48" i="12" s="1"/>
  <c r="Y48" i="24"/>
  <c r="AE48" i="12" s="1"/>
  <c r="Q48" i="24"/>
  <c r="W48" i="12" s="1"/>
  <c r="T48" i="24"/>
  <c r="Z48" i="12" s="1"/>
  <c r="O48" i="24"/>
  <c r="AB48" i="24"/>
  <c r="AH48" i="12" s="1"/>
  <c r="P48" i="24"/>
  <c r="V48" i="12" s="1"/>
  <c r="AC48" i="24"/>
  <c r="N48" i="24"/>
  <c r="T48" i="12" s="1"/>
  <c r="U61" i="24"/>
  <c r="AA61" i="12" s="1"/>
  <c r="AC61" i="24"/>
  <c r="T61" i="24"/>
  <c r="Z61" i="12" s="1"/>
  <c r="AB61" i="24"/>
  <c r="AH61" i="12" s="1"/>
  <c r="W61" i="24"/>
  <c r="AC61" i="12" s="1"/>
  <c r="Q61" i="24"/>
  <c r="W61" i="12" s="1"/>
  <c r="V61" i="24"/>
  <c r="AB61" i="12" s="1"/>
  <c r="P61" i="24"/>
  <c r="V61" i="12" s="1"/>
  <c r="Y61" i="24"/>
  <c r="AE61" i="12" s="1"/>
  <c r="X61" i="24"/>
  <c r="AD61" i="12" s="1"/>
  <c r="S61" i="24"/>
  <c r="Y61" i="12" s="1"/>
  <c r="R61" i="24"/>
  <c r="X61" i="12" s="1"/>
  <c r="Z61" i="24"/>
  <c r="AF61" i="12" s="1"/>
  <c r="O61" i="24"/>
  <c r="N61" i="24"/>
  <c r="T61" i="12" s="1"/>
  <c r="Q14" i="24"/>
  <c r="W14" i="12" s="1"/>
  <c r="Y14" i="24"/>
  <c r="AE14" i="12" s="1"/>
  <c r="T14" i="24"/>
  <c r="Z14" i="12" s="1"/>
  <c r="X14" i="24"/>
  <c r="AD14" i="12" s="1"/>
  <c r="AB14" i="24"/>
  <c r="AH14" i="12" s="1"/>
  <c r="W14" i="24"/>
  <c r="AC14" i="12" s="1"/>
  <c r="R14" i="24"/>
  <c r="X14" i="12" s="1"/>
  <c r="S14" i="24"/>
  <c r="Y14" i="12" s="1"/>
  <c r="AC14" i="24"/>
  <c r="U14" i="24"/>
  <c r="AA14" i="12" s="1"/>
  <c r="O14" i="24"/>
  <c r="Z14" i="24"/>
  <c r="AF14" i="12" s="1"/>
  <c r="V14" i="24"/>
  <c r="AB14" i="12" s="1"/>
  <c r="P14" i="24"/>
  <c r="V14" i="12" s="1"/>
  <c r="N14" i="24"/>
  <c r="T14" i="12" s="1"/>
  <c r="Z33" i="24"/>
  <c r="AF33" i="12" s="1"/>
  <c r="V33" i="24"/>
  <c r="AB33" i="12" s="1"/>
  <c r="S33" i="24"/>
  <c r="Y33" i="12" s="1"/>
  <c r="U33" i="24"/>
  <c r="AA33" i="12" s="1"/>
  <c r="AB33" i="24"/>
  <c r="AH33" i="12" s="1"/>
  <c r="W33" i="24"/>
  <c r="AC33" i="12" s="1"/>
  <c r="AC33" i="24"/>
  <c r="R33" i="24"/>
  <c r="X33" i="12" s="1"/>
  <c r="Q33" i="24"/>
  <c r="W33" i="12" s="1"/>
  <c r="X33" i="24"/>
  <c r="AD33" i="12" s="1"/>
  <c r="P33" i="24"/>
  <c r="V33" i="12" s="1"/>
  <c r="O33" i="24"/>
  <c r="Y33" i="24"/>
  <c r="AE33" i="12" s="1"/>
  <c r="T33" i="24"/>
  <c r="Z33" i="12" s="1"/>
  <c r="N33" i="24"/>
  <c r="T33" i="12" s="1"/>
  <c r="U59" i="24"/>
  <c r="AA59" i="12" s="1"/>
  <c r="AC59" i="24"/>
  <c r="Y59" i="24"/>
  <c r="AE59" i="12" s="1"/>
  <c r="AB59" i="24"/>
  <c r="AH59" i="12" s="1"/>
  <c r="T59" i="24"/>
  <c r="Z59" i="12" s="1"/>
  <c r="Q59" i="24"/>
  <c r="W59" i="12" s="1"/>
  <c r="V59" i="24"/>
  <c r="AB59" i="12" s="1"/>
  <c r="P59" i="24"/>
  <c r="V59" i="12" s="1"/>
  <c r="Z59" i="24"/>
  <c r="AF59" i="12" s="1"/>
  <c r="X59" i="24"/>
  <c r="AD59" i="12" s="1"/>
  <c r="W59" i="24"/>
  <c r="AC59" i="12" s="1"/>
  <c r="S59" i="24"/>
  <c r="Y59" i="12" s="1"/>
  <c r="O59" i="24"/>
  <c r="R59" i="24"/>
  <c r="X59" i="12" s="1"/>
  <c r="N59" i="24"/>
  <c r="T59" i="12" s="1"/>
  <c r="W83" i="24"/>
  <c r="AC83" i="12" s="1"/>
  <c r="S83" i="24"/>
  <c r="Y83" i="12" s="1"/>
  <c r="R83" i="24"/>
  <c r="X83" i="12" s="1"/>
  <c r="AC83" i="24"/>
  <c r="AB83" i="24"/>
  <c r="AH83" i="12" s="1"/>
  <c r="U83" i="24"/>
  <c r="AA83" i="12" s="1"/>
  <c r="T83" i="24"/>
  <c r="Z83" i="12" s="1"/>
  <c r="Z83" i="24"/>
  <c r="AF83" i="12" s="1"/>
  <c r="V83" i="24"/>
  <c r="AB83" i="12" s="1"/>
  <c r="P83" i="24"/>
  <c r="V83" i="12" s="1"/>
  <c r="Q83" i="24"/>
  <c r="W83" i="12" s="1"/>
  <c r="Y83" i="24"/>
  <c r="AE83" i="12" s="1"/>
  <c r="X83" i="24"/>
  <c r="AD83" i="12" s="1"/>
  <c r="N83" i="24"/>
  <c r="T83" i="12" s="1"/>
  <c r="Z112" i="24"/>
  <c r="AF112" i="12" s="1"/>
  <c r="V112" i="24"/>
  <c r="AB112" i="12" s="1"/>
  <c r="U112" i="24"/>
  <c r="AA112" i="12" s="1"/>
  <c r="X112" i="24"/>
  <c r="AD112" i="12" s="1"/>
  <c r="W112" i="24"/>
  <c r="AC112" i="12" s="1"/>
  <c r="Q112" i="24"/>
  <c r="W112" i="12" s="1"/>
  <c r="P112" i="24"/>
  <c r="V112" i="12" s="1"/>
  <c r="T112" i="24"/>
  <c r="Z112" i="12" s="1"/>
  <c r="Y112" i="24"/>
  <c r="AE112" i="12" s="1"/>
  <c r="AC112" i="24"/>
  <c r="S112" i="24"/>
  <c r="Y112" i="12" s="1"/>
  <c r="R112" i="24"/>
  <c r="X112" i="12" s="1"/>
  <c r="AB112" i="24"/>
  <c r="AH112" i="12" s="1"/>
  <c r="AA112" i="24"/>
  <c r="AG112" i="12" s="1"/>
  <c r="N112" i="24"/>
  <c r="T112" i="12" s="1"/>
  <c r="X41" i="24"/>
  <c r="AD41" i="12" s="1"/>
  <c r="AB41" i="24"/>
  <c r="AH41" i="12" s="1"/>
  <c r="AC41" i="24"/>
  <c r="Y41" i="24"/>
  <c r="AE41" i="12" s="1"/>
  <c r="P41" i="24"/>
  <c r="V41" i="12" s="1"/>
  <c r="T41" i="24"/>
  <c r="Z41" i="12" s="1"/>
  <c r="W41" i="24"/>
  <c r="AC41" i="12" s="1"/>
  <c r="U41" i="24"/>
  <c r="AA41" i="12" s="1"/>
  <c r="Z41" i="24"/>
  <c r="AF41" i="12" s="1"/>
  <c r="O41" i="24"/>
  <c r="Q41" i="24"/>
  <c r="W41" i="12" s="1"/>
  <c r="S41" i="24"/>
  <c r="Y41" i="12" s="1"/>
  <c r="R41" i="24"/>
  <c r="X41" i="12" s="1"/>
  <c r="V41" i="24"/>
  <c r="AB41" i="12" s="1"/>
  <c r="N41" i="24"/>
  <c r="T41" i="12" s="1"/>
  <c r="W19" i="24"/>
  <c r="AC19" i="12" s="1"/>
  <c r="R19" i="24"/>
  <c r="X19" i="12" s="1"/>
  <c r="AC19" i="24"/>
  <c r="AB19" i="24"/>
  <c r="AH19" i="12" s="1"/>
  <c r="S19" i="24"/>
  <c r="Y19" i="12" s="1"/>
  <c r="T19" i="24"/>
  <c r="Z19" i="12" s="1"/>
  <c r="O19" i="24"/>
  <c r="Y19" i="24"/>
  <c r="AE19" i="12" s="1"/>
  <c r="X19" i="24"/>
  <c r="AD19" i="12" s="1"/>
  <c r="V19" i="24"/>
  <c r="AB19" i="12" s="1"/>
  <c r="P19" i="24"/>
  <c r="V19" i="12" s="1"/>
  <c r="Q19" i="24"/>
  <c r="W19" i="12" s="1"/>
  <c r="Z19" i="24"/>
  <c r="AF19" i="12" s="1"/>
  <c r="U19" i="24"/>
  <c r="AA19" i="12" s="1"/>
  <c r="N19" i="24"/>
  <c r="T19" i="12" s="1"/>
  <c r="U29" i="24"/>
  <c r="AA29" i="12" s="1"/>
  <c r="X29" i="24"/>
  <c r="AD29" i="12" s="1"/>
  <c r="V29" i="24"/>
  <c r="AB29" i="12" s="1"/>
  <c r="T29" i="24"/>
  <c r="Z29" i="12" s="1"/>
  <c r="W29" i="24"/>
  <c r="AC29" i="12" s="1"/>
  <c r="R29" i="24"/>
  <c r="X29" i="12" s="1"/>
  <c r="Q29" i="24"/>
  <c r="W29" i="12" s="1"/>
  <c r="Z29" i="24"/>
  <c r="AF29" i="12" s="1"/>
  <c r="P29" i="24"/>
  <c r="V29" i="12" s="1"/>
  <c r="O29" i="24"/>
  <c r="Y29" i="24"/>
  <c r="AE29" i="12" s="1"/>
  <c r="AC29" i="24"/>
  <c r="AB29" i="24"/>
  <c r="AH29" i="12" s="1"/>
  <c r="S29" i="24"/>
  <c r="Y29" i="12" s="1"/>
  <c r="N29" i="24"/>
  <c r="T29" i="12" s="1"/>
  <c r="W52" i="24"/>
  <c r="AC52" i="12" s="1"/>
  <c r="Z52" i="24"/>
  <c r="AF52" i="12" s="1"/>
  <c r="V52" i="24"/>
  <c r="AB52" i="12" s="1"/>
  <c r="U52" i="24"/>
  <c r="AA52" i="12" s="1"/>
  <c r="S52" i="24"/>
  <c r="Y52" i="12" s="1"/>
  <c r="R52" i="24"/>
  <c r="X52" i="12" s="1"/>
  <c r="O52" i="24"/>
  <c r="AC52" i="24"/>
  <c r="Q52" i="24"/>
  <c r="W52" i="12" s="1"/>
  <c r="T52" i="24"/>
  <c r="Z52" i="12" s="1"/>
  <c r="Y52" i="24"/>
  <c r="AE52" i="12" s="1"/>
  <c r="AB52" i="24"/>
  <c r="AH52" i="12" s="1"/>
  <c r="X52" i="24"/>
  <c r="AD52" i="12" s="1"/>
  <c r="P52" i="24"/>
  <c r="V52" i="12" s="1"/>
  <c r="N52" i="24"/>
  <c r="T52" i="12" s="1"/>
  <c r="AC42" i="24"/>
  <c r="Y42" i="24"/>
  <c r="AE42" i="12" s="1"/>
  <c r="AB42" i="24"/>
  <c r="AH42" i="12" s="1"/>
  <c r="X42" i="24"/>
  <c r="AD42" i="12" s="1"/>
  <c r="P42" i="24"/>
  <c r="V42" i="12" s="1"/>
  <c r="W42" i="24"/>
  <c r="AC42" i="12" s="1"/>
  <c r="T42" i="24"/>
  <c r="Z42" i="12" s="1"/>
  <c r="R42" i="24"/>
  <c r="X42" i="12" s="1"/>
  <c r="U42" i="24"/>
  <c r="AA42" i="12" s="1"/>
  <c r="S42" i="24"/>
  <c r="Y42" i="12" s="1"/>
  <c r="Q42" i="24"/>
  <c r="W42" i="12" s="1"/>
  <c r="V42" i="24"/>
  <c r="AB42" i="12" s="1"/>
  <c r="O42" i="24"/>
  <c r="Z42" i="24"/>
  <c r="AF42" i="12" s="1"/>
  <c r="N42" i="24"/>
  <c r="T42" i="12" s="1"/>
  <c r="X23" i="24"/>
  <c r="AD23" i="12" s="1"/>
  <c r="AB23" i="24"/>
  <c r="AH23" i="12" s="1"/>
  <c r="W23" i="24"/>
  <c r="AC23" i="12" s="1"/>
  <c r="Z23" i="24"/>
  <c r="AF23" i="12" s="1"/>
  <c r="AC23" i="24"/>
  <c r="U23" i="24"/>
  <c r="AA23" i="12" s="1"/>
  <c r="S23" i="24"/>
  <c r="Y23" i="12" s="1"/>
  <c r="T23" i="24"/>
  <c r="Z23" i="12" s="1"/>
  <c r="Y23" i="24"/>
  <c r="AE23" i="12" s="1"/>
  <c r="P23" i="24"/>
  <c r="V23" i="12" s="1"/>
  <c r="V23" i="24"/>
  <c r="AB23" i="12" s="1"/>
  <c r="R23" i="24"/>
  <c r="X23" i="12" s="1"/>
  <c r="O23" i="24"/>
  <c r="Q23" i="24"/>
  <c r="W23" i="12" s="1"/>
  <c r="N23" i="24"/>
  <c r="T23" i="12" s="1"/>
  <c r="W46" i="24"/>
  <c r="AC46" i="12" s="1"/>
  <c r="Z46" i="24"/>
  <c r="AF46" i="12" s="1"/>
  <c r="T46" i="24"/>
  <c r="Z46" i="12" s="1"/>
  <c r="AC46" i="24"/>
  <c r="S46" i="24"/>
  <c r="Y46" i="12" s="1"/>
  <c r="Y46" i="24"/>
  <c r="AE46" i="12" s="1"/>
  <c r="Q46" i="24"/>
  <c r="W46" i="12" s="1"/>
  <c r="AB46" i="24"/>
  <c r="AH46" i="12" s="1"/>
  <c r="P46" i="24"/>
  <c r="V46" i="12" s="1"/>
  <c r="R46" i="24"/>
  <c r="X46" i="12" s="1"/>
  <c r="V46" i="24"/>
  <c r="AB46" i="12" s="1"/>
  <c r="O46" i="24"/>
  <c r="U46" i="24"/>
  <c r="AA46" i="12" s="1"/>
  <c r="X46" i="24"/>
  <c r="AD46" i="12" s="1"/>
  <c r="N46" i="24"/>
  <c r="T46" i="12" s="1"/>
  <c r="U30" i="24"/>
  <c r="AA30" i="12" s="1"/>
  <c r="X30" i="24"/>
  <c r="AD30" i="12" s="1"/>
  <c r="V30" i="24"/>
  <c r="AB30" i="12" s="1"/>
  <c r="T30" i="24"/>
  <c r="Z30" i="12" s="1"/>
  <c r="R30" i="24"/>
  <c r="X30" i="12" s="1"/>
  <c r="Q30" i="24"/>
  <c r="W30" i="12" s="1"/>
  <c r="Z30" i="24"/>
  <c r="AF30" i="12" s="1"/>
  <c r="O30" i="24"/>
  <c r="Y30" i="24"/>
  <c r="AE30" i="12" s="1"/>
  <c r="AC30" i="24"/>
  <c r="AB30" i="24"/>
  <c r="AH30" i="12" s="1"/>
  <c r="S30" i="24"/>
  <c r="Y30" i="12" s="1"/>
  <c r="P30" i="24"/>
  <c r="V30" i="12" s="1"/>
  <c r="W30" i="24"/>
  <c r="AC30" i="12" s="1"/>
  <c r="N30" i="24"/>
  <c r="T30" i="12" s="1"/>
  <c r="V53" i="24"/>
  <c r="AB53" i="12" s="1"/>
  <c r="U53" i="24"/>
  <c r="AA53" i="12" s="1"/>
  <c r="O53" i="24"/>
  <c r="S53" i="24"/>
  <c r="Y53" i="12" s="1"/>
  <c r="Y53" i="24"/>
  <c r="AE53" i="12" s="1"/>
  <c r="AC53" i="24"/>
  <c r="Q53" i="24"/>
  <c r="W53" i="12" s="1"/>
  <c r="R53" i="24"/>
  <c r="X53" i="12" s="1"/>
  <c r="W53" i="24"/>
  <c r="AC53" i="12" s="1"/>
  <c r="P53" i="24"/>
  <c r="V53" i="12" s="1"/>
  <c r="T53" i="24"/>
  <c r="Z53" i="12" s="1"/>
  <c r="Z53" i="24"/>
  <c r="AF53" i="12" s="1"/>
  <c r="AB53" i="24"/>
  <c r="AH53" i="12" s="1"/>
  <c r="X53" i="24"/>
  <c r="AD53" i="12" s="1"/>
  <c r="N53" i="24"/>
  <c r="T53" i="12" s="1"/>
  <c r="Z80" i="24"/>
  <c r="AF80" i="12" s="1"/>
  <c r="V80" i="24"/>
  <c r="AB80" i="12" s="1"/>
  <c r="U80" i="24"/>
  <c r="AA80" i="12" s="1"/>
  <c r="Y80" i="24"/>
  <c r="AE80" i="12" s="1"/>
  <c r="Q80" i="24"/>
  <c r="W80" i="12" s="1"/>
  <c r="W80" i="24"/>
  <c r="AC80" i="12" s="1"/>
  <c r="X80" i="24"/>
  <c r="AD80" i="12" s="1"/>
  <c r="AB80" i="24"/>
  <c r="AH80" i="12" s="1"/>
  <c r="T80" i="24"/>
  <c r="Z80" i="12" s="1"/>
  <c r="S80" i="24"/>
  <c r="Y80" i="12" s="1"/>
  <c r="R80" i="24"/>
  <c r="X80" i="12" s="1"/>
  <c r="AC80" i="24"/>
  <c r="P80" i="24"/>
  <c r="V80" i="12" s="1"/>
  <c r="N80" i="24"/>
  <c r="T80" i="12" s="1"/>
  <c r="U91" i="24"/>
  <c r="AA91" i="12" s="1"/>
  <c r="AC91" i="24"/>
  <c r="Y91" i="24"/>
  <c r="AE91" i="12" s="1"/>
  <c r="AB91" i="24"/>
  <c r="AH91" i="12" s="1"/>
  <c r="V91" i="24"/>
  <c r="AB91" i="12" s="1"/>
  <c r="T91" i="24"/>
  <c r="Z91" i="12" s="1"/>
  <c r="X91" i="24"/>
  <c r="AD91" i="12" s="1"/>
  <c r="W91" i="24"/>
  <c r="AC91" i="12" s="1"/>
  <c r="Q91" i="24"/>
  <c r="W91" i="12" s="1"/>
  <c r="P91" i="24"/>
  <c r="V91" i="12" s="1"/>
  <c r="Z91" i="24"/>
  <c r="AF91" i="12" s="1"/>
  <c r="R91" i="24"/>
  <c r="X91" i="12" s="1"/>
  <c r="S91" i="24"/>
  <c r="Y91" i="12" s="1"/>
  <c r="N91" i="24"/>
  <c r="T91" i="12" s="1"/>
  <c r="U75" i="24"/>
  <c r="AA75" i="12" s="1"/>
  <c r="AC75" i="24"/>
  <c r="Y75" i="24"/>
  <c r="AE75" i="12" s="1"/>
  <c r="AB75" i="24"/>
  <c r="AH75" i="12" s="1"/>
  <c r="T75" i="24"/>
  <c r="Z75" i="12" s="1"/>
  <c r="Q75" i="24"/>
  <c r="W75" i="12" s="1"/>
  <c r="X75" i="24"/>
  <c r="AD75" i="12" s="1"/>
  <c r="P75" i="24"/>
  <c r="V75" i="12" s="1"/>
  <c r="R75" i="24"/>
  <c r="X75" i="12" s="1"/>
  <c r="Z75" i="24"/>
  <c r="AF75" i="12" s="1"/>
  <c r="V75" i="24"/>
  <c r="AB75" i="12" s="1"/>
  <c r="W75" i="24"/>
  <c r="AC75" i="12" s="1"/>
  <c r="S75" i="24"/>
  <c r="Y75" i="12" s="1"/>
  <c r="N75" i="24"/>
  <c r="T75" i="12" s="1"/>
  <c r="AB22" i="24"/>
  <c r="AH22" i="12" s="1"/>
  <c r="R22" i="24"/>
  <c r="X22" i="12" s="1"/>
  <c r="Z22" i="24"/>
  <c r="AF22" i="12" s="1"/>
  <c r="U22" i="24"/>
  <c r="AA22" i="12" s="1"/>
  <c r="S22" i="24"/>
  <c r="Y22" i="12" s="1"/>
  <c r="Y22" i="24"/>
  <c r="AE22" i="12" s="1"/>
  <c r="X22" i="24"/>
  <c r="AD22" i="12" s="1"/>
  <c r="T22" i="24"/>
  <c r="Z22" i="12" s="1"/>
  <c r="V22" i="24"/>
  <c r="AB22" i="12" s="1"/>
  <c r="P22" i="24"/>
  <c r="V22" i="12" s="1"/>
  <c r="AC22" i="24"/>
  <c r="W22" i="24"/>
  <c r="AC22" i="12" s="1"/>
  <c r="Q22" i="24"/>
  <c r="W22" i="12" s="1"/>
  <c r="O22" i="24"/>
  <c r="N22" i="24"/>
  <c r="T22" i="12" s="1"/>
  <c r="X88" i="24"/>
  <c r="AD88" i="12" s="1"/>
  <c r="AB88" i="24"/>
  <c r="AH88" i="12" s="1"/>
  <c r="Z88" i="24"/>
  <c r="AF88" i="12" s="1"/>
  <c r="P88" i="24"/>
  <c r="V88" i="12" s="1"/>
  <c r="S88" i="24"/>
  <c r="Y88" i="12" s="1"/>
  <c r="V88" i="24"/>
  <c r="AB88" i="12" s="1"/>
  <c r="R88" i="24"/>
  <c r="X88" i="12" s="1"/>
  <c r="U88" i="24"/>
  <c r="AA88" i="12" s="1"/>
  <c r="W88" i="24"/>
  <c r="AC88" i="12" s="1"/>
  <c r="AC88" i="24"/>
  <c r="Q88" i="24"/>
  <c r="W88" i="12" s="1"/>
  <c r="T88" i="24"/>
  <c r="Z88" i="12" s="1"/>
  <c r="Y88" i="24"/>
  <c r="AE88" i="12" s="1"/>
  <c r="N88" i="24"/>
  <c r="T88" i="12" s="1"/>
  <c r="W35" i="24"/>
  <c r="AC35" i="12" s="1"/>
  <c r="R35" i="24"/>
  <c r="X35" i="12" s="1"/>
  <c r="Y35" i="24"/>
  <c r="AE35" i="12" s="1"/>
  <c r="O35" i="24"/>
  <c r="AB35" i="24"/>
  <c r="AH35" i="12" s="1"/>
  <c r="V35" i="24"/>
  <c r="AB35" i="12" s="1"/>
  <c r="AC35" i="24"/>
  <c r="U35" i="24"/>
  <c r="AA35" i="12" s="1"/>
  <c r="Z35" i="24"/>
  <c r="AF35" i="12" s="1"/>
  <c r="Q35" i="24"/>
  <c r="W35" i="12" s="1"/>
  <c r="X35" i="24"/>
  <c r="AD35" i="12" s="1"/>
  <c r="P35" i="24"/>
  <c r="V35" i="12" s="1"/>
  <c r="T35" i="24"/>
  <c r="Z35" i="12" s="1"/>
  <c r="S35" i="24"/>
  <c r="Y35" i="12" s="1"/>
  <c r="N35" i="24"/>
  <c r="T35" i="12" s="1"/>
  <c r="U13" i="24"/>
  <c r="AA13" i="12" s="1"/>
  <c r="Y13" i="24"/>
  <c r="AE13" i="12" s="1"/>
  <c r="T13" i="24"/>
  <c r="Z13" i="12" s="1"/>
  <c r="S13" i="24"/>
  <c r="Y13" i="12" s="1"/>
  <c r="AC13" i="24"/>
  <c r="P13" i="24"/>
  <c r="V13" i="12" s="1"/>
  <c r="W13" i="24"/>
  <c r="AC13" i="12" s="1"/>
  <c r="Z13" i="24"/>
  <c r="AF13" i="12" s="1"/>
  <c r="R13" i="24"/>
  <c r="X13" i="12" s="1"/>
  <c r="X13" i="24"/>
  <c r="AD13" i="12" s="1"/>
  <c r="V13" i="24"/>
  <c r="AB13" i="12" s="1"/>
  <c r="AB13" i="24"/>
  <c r="AH13" i="12" s="1"/>
  <c r="O13" i="24"/>
  <c r="Q13" i="24"/>
  <c r="W13" i="12" s="1"/>
  <c r="N13" i="24"/>
  <c r="T13" i="12" s="1"/>
  <c r="U76" i="24"/>
  <c r="AA76" i="12" s="1"/>
  <c r="AC76" i="24"/>
  <c r="Y76" i="24"/>
  <c r="AE76" i="12" s="1"/>
  <c r="X76" i="24"/>
  <c r="AD76" i="12" s="1"/>
  <c r="T76" i="24"/>
  <c r="Z76" i="12" s="1"/>
  <c r="Q76" i="24"/>
  <c r="W76" i="12" s="1"/>
  <c r="S76" i="24"/>
  <c r="Y76" i="12" s="1"/>
  <c r="R76" i="24"/>
  <c r="X76" i="12" s="1"/>
  <c r="Z76" i="24"/>
  <c r="AF76" i="12" s="1"/>
  <c r="V76" i="24"/>
  <c r="AB76" i="12" s="1"/>
  <c r="P76" i="24"/>
  <c r="V76" i="12" s="1"/>
  <c r="AB76" i="24"/>
  <c r="AH76" i="12" s="1"/>
  <c r="W76" i="24"/>
  <c r="AC76" i="12" s="1"/>
  <c r="N76" i="24"/>
  <c r="T76" i="12" s="1"/>
  <c r="U27" i="24"/>
  <c r="AA27" i="12" s="1"/>
  <c r="AC27" i="24"/>
  <c r="Y27" i="24"/>
  <c r="AE27" i="12" s="1"/>
  <c r="AB27" i="24"/>
  <c r="AH27" i="12" s="1"/>
  <c r="V27" i="24"/>
  <c r="AB27" i="12" s="1"/>
  <c r="T27" i="24"/>
  <c r="Z27" i="12" s="1"/>
  <c r="X27" i="24"/>
  <c r="AD27" i="12" s="1"/>
  <c r="W27" i="24"/>
  <c r="AC27" i="12" s="1"/>
  <c r="Q27" i="24"/>
  <c r="W27" i="12" s="1"/>
  <c r="Z27" i="24"/>
  <c r="AF27" i="12" s="1"/>
  <c r="P27" i="24"/>
  <c r="V27" i="12" s="1"/>
  <c r="O27" i="24"/>
  <c r="S27" i="24"/>
  <c r="Y27" i="12" s="1"/>
  <c r="R27" i="24"/>
  <c r="X27" i="12" s="1"/>
  <c r="N27" i="24"/>
  <c r="T27" i="12" s="1"/>
  <c r="U77" i="24"/>
  <c r="AA77" i="12" s="1"/>
  <c r="Y77" i="24"/>
  <c r="AE77" i="12" s="1"/>
  <c r="T77" i="24"/>
  <c r="Z77" i="12" s="1"/>
  <c r="Q77" i="24"/>
  <c r="W77" i="12" s="1"/>
  <c r="X77" i="24"/>
  <c r="AD77" i="12" s="1"/>
  <c r="P77" i="24"/>
  <c r="V77" i="12" s="1"/>
  <c r="AB77" i="24"/>
  <c r="AH77" i="12" s="1"/>
  <c r="S77" i="24"/>
  <c r="Y77" i="12" s="1"/>
  <c r="Z77" i="24"/>
  <c r="AF77" i="12" s="1"/>
  <c r="R77" i="24"/>
  <c r="X77" i="12" s="1"/>
  <c r="V77" i="24"/>
  <c r="AB77" i="12" s="1"/>
  <c r="AC77" i="24"/>
  <c r="W77" i="24"/>
  <c r="AC77" i="12" s="1"/>
  <c r="N77" i="24"/>
  <c r="T77" i="12" s="1"/>
  <c r="AC106" i="24"/>
  <c r="Y106" i="24"/>
  <c r="AE106" i="12" s="1"/>
  <c r="AB106" i="24"/>
  <c r="AH106" i="12" s="1"/>
  <c r="Z106" i="24"/>
  <c r="AF106" i="12" s="1"/>
  <c r="U106" i="24"/>
  <c r="AA106" i="12" s="1"/>
  <c r="S106" i="24"/>
  <c r="Y106" i="12" s="1"/>
  <c r="R106" i="24"/>
  <c r="X106" i="12" s="1"/>
  <c r="P106" i="24"/>
  <c r="V106" i="12" s="1"/>
  <c r="X106" i="24"/>
  <c r="AD106" i="12" s="1"/>
  <c r="T106" i="24"/>
  <c r="Z106" i="12" s="1"/>
  <c r="V106" i="24"/>
  <c r="AB106" i="12" s="1"/>
  <c r="AA106" i="24"/>
  <c r="AG106" i="12" s="1"/>
  <c r="Q106" i="24"/>
  <c r="W106" i="12" s="1"/>
  <c r="W106" i="24"/>
  <c r="AC106" i="12" s="1"/>
  <c r="N106" i="24"/>
  <c r="T106" i="12" s="1"/>
  <c r="X121" i="24"/>
  <c r="AD121" i="12" s="1"/>
  <c r="Y121" i="24"/>
  <c r="AE121" i="12" s="1"/>
  <c r="W121" i="24"/>
  <c r="AC121" i="12" s="1"/>
  <c r="AC121" i="24"/>
  <c r="AB121" i="24"/>
  <c r="AH121" i="12" s="1"/>
  <c r="P121" i="24"/>
  <c r="V121" i="12" s="1"/>
  <c r="AA121" i="24"/>
  <c r="AG121" i="12" s="1"/>
  <c r="V121" i="24"/>
  <c r="AB121" i="12" s="1"/>
  <c r="R121" i="24"/>
  <c r="X121" i="12" s="1"/>
  <c r="U121" i="24"/>
  <c r="AA121" i="12" s="1"/>
  <c r="Q121" i="24"/>
  <c r="W121" i="12" s="1"/>
  <c r="Z121" i="24"/>
  <c r="AF121" i="12" s="1"/>
  <c r="T121" i="24"/>
  <c r="Z121" i="12" s="1"/>
  <c r="S121" i="24"/>
  <c r="Y121" i="12" s="1"/>
  <c r="N121" i="24"/>
  <c r="T121" i="12" s="1"/>
  <c r="W114" i="24"/>
  <c r="AC114" i="12" s="1"/>
  <c r="V114" i="24"/>
  <c r="AB114" i="12" s="1"/>
  <c r="X114" i="24"/>
  <c r="AD114" i="12" s="1"/>
  <c r="AA114" i="24"/>
  <c r="AG114" i="12" s="1"/>
  <c r="Z114" i="24"/>
  <c r="AF114" i="12" s="1"/>
  <c r="AB114" i="24"/>
  <c r="AH114" i="12" s="1"/>
  <c r="P114" i="24"/>
  <c r="V114" i="12" s="1"/>
  <c r="AC114" i="24"/>
  <c r="T114" i="24"/>
  <c r="Z114" i="12" s="1"/>
  <c r="Q114" i="24"/>
  <c r="W114" i="12" s="1"/>
  <c r="Y114" i="24"/>
  <c r="AE114" i="12" s="1"/>
  <c r="U114" i="24"/>
  <c r="AA114" i="12" s="1"/>
  <c r="R114" i="24"/>
  <c r="X114" i="12" s="1"/>
  <c r="S114" i="24"/>
  <c r="Y114" i="12" s="1"/>
  <c r="N114" i="24"/>
  <c r="T114" i="12" s="1"/>
  <c r="X55" i="24"/>
  <c r="AD55" i="12" s="1"/>
  <c r="AB55" i="24"/>
  <c r="AH55" i="12" s="1"/>
  <c r="W55" i="24"/>
  <c r="AC55" i="12" s="1"/>
  <c r="Y55" i="24"/>
  <c r="AE55" i="12" s="1"/>
  <c r="Z55" i="24"/>
  <c r="AF55" i="12" s="1"/>
  <c r="U55" i="24"/>
  <c r="AA55" i="12" s="1"/>
  <c r="R55" i="24"/>
  <c r="X55" i="12" s="1"/>
  <c r="S55" i="24"/>
  <c r="Y55" i="12" s="1"/>
  <c r="AC55" i="24"/>
  <c r="Q55" i="24"/>
  <c r="W55" i="12" s="1"/>
  <c r="O55" i="24"/>
  <c r="V55" i="24"/>
  <c r="AB55" i="12" s="1"/>
  <c r="P55" i="24"/>
  <c r="V55" i="12" s="1"/>
  <c r="T55" i="24"/>
  <c r="Z55" i="12" s="1"/>
  <c r="N55" i="24"/>
  <c r="T55" i="12" s="1"/>
  <c r="Z11" i="24"/>
  <c r="AF11" i="12" s="1"/>
  <c r="V11" i="24"/>
  <c r="AB11" i="12" s="1"/>
  <c r="AC11" i="24"/>
  <c r="Y11" i="24"/>
  <c r="AE11" i="12" s="1"/>
  <c r="U11" i="24"/>
  <c r="AA11" i="12" s="1"/>
  <c r="X11" i="24"/>
  <c r="AD11" i="12" s="1"/>
  <c r="R11" i="24"/>
  <c r="X11" i="12" s="1"/>
  <c r="S11" i="24"/>
  <c r="Y11" i="12" s="1"/>
  <c r="O11" i="24"/>
  <c r="P11" i="24"/>
  <c r="V11" i="12" s="1"/>
  <c r="AB11" i="24"/>
  <c r="AH11" i="12" s="1"/>
  <c r="W11" i="24"/>
  <c r="AC11" i="12" s="1"/>
  <c r="T11" i="24"/>
  <c r="Z11" i="12" s="1"/>
  <c r="Q11" i="24"/>
  <c r="W11" i="12" s="1"/>
  <c r="AA117" i="24"/>
  <c r="AG117" i="12" s="1"/>
  <c r="V117" i="24"/>
  <c r="AB117" i="12" s="1"/>
  <c r="U117" i="24"/>
  <c r="AA117" i="12" s="1"/>
  <c r="AB117" i="24"/>
  <c r="AH117" i="12" s="1"/>
  <c r="Z117" i="24"/>
  <c r="AF117" i="12" s="1"/>
  <c r="X117" i="24"/>
  <c r="AD117" i="12" s="1"/>
  <c r="P117" i="24"/>
  <c r="V117" i="12" s="1"/>
  <c r="Q117" i="24"/>
  <c r="W117" i="12" s="1"/>
  <c r="W117" i="24"/>
  <c r="AC117" i="12" s="1"/>
  <c r="Y117" i="24"/>
  <c r="AE117" i="12" s="1"/>
  <c r="R117" i="24"/>
  <c r="X117" i="12" s="1"/>
  <c r="S117" i="24"/>
  <c r="Y117" i="12" s="1"/>
  <c r="AC117" i="24"/>
  <c r="T117" i="24"/>
  <c r="Z117" i="12" s="1"/>
  <c r="N117" i="24"/>
  <c r="T117" i="12" s="1"/>
  <c r="W20" i="24"/>
  <c r="AC20" i="12" s="1"/>
  <c r="Z20" i="24"/>
  <c r="AF20" i="12" s="1"/>
  <c r="V20" i="24"/>
  <c r="AB20" i="12" s="1"/>
  <c r="R20" i="24"/>
  <c r="X20" i="12" s="1"/>
  <c r="AC20" i="24"/>
  <c r="AB20" i="24"/>
  <c r="AH20" i="12" s="1"/>
  <c r="S20" i="24"/>
  <c r="Y20" i="12" s="1"/>
  <c r="T20" i="24"/>
  <c r="Z20" i="12" s="1"/>
  <c r="O20" i="24"/>
  <c r="Y20" i="24"/>
  <c r="AE20" i="12" s="1"/>
  <c r="P20" i="24"/>
  <c r="V20" i="12" s="1"/>
  <c r="Q20" i="24"/>
  <c r="W20" i="12" s="1"/>
  <c r="X20" i="24"/>
  <c r="AD20" i="12" s="1"/>
  <c r="U20" i="24"/>
  <c r="AA20" i="12" s="1"/>
  <c r="N20" i="24"/>
  <c r="T20" i="12" s="1"/>
  <c r="AB86" i="24"/>
  <c r="AH86" i="12" s="1"/>
  <c r="S86" i="24"/>
  <c r="Y86" i="12" s="1"/>
  <c r="V86" i="24"/>
  <c r="AB86" i="12" s="1"/>
  <c r="R86" i="24"/>
  <c r="X86" i="12" s="1"/>
  <c r="P86" i="24"/>
  <c r="V86" i="12" s="1"/>
  <c r="Z86" i="24"/>
  <c r="AF86" i="12" s="1"/>
  <c r="W86" i="24"/>
  <c r="AC86" i="12" s="1"/>
  <c r="U86" i="24"/>
  <c r="AA86" i="12" s="1"/>
  <c r="X86" i="24"/>
  <c r="AD86" i="12" s="1"/>
  <c r="Q86" i="24"/>
  <c r="W86" i="12" s="1"/>
  <c r="T86" i="24"/>
  <c r="Z86" i="12" s="1"/>
  <c r="AC86" i="24"/>
  <c r="Y86" i="24"/>
  <c r="AE86" i="12" s="1"/>
  <c r="N86" i="24"/>
  <c r="T86" i="12" s="1"/>
  <c r="X40" i="24"/>
  <c r="AD40" i="12" s="1"/>
  <c r="AB40" i="24"/>
  <c r="AH40" i="12" s="1"/>
  <c r="AC40" i="24"/>
  <c r="P40" i="24"/>
  <c r="V40" i="12" s="1"/>
  <c r="S40" i="24"/>
  <c r="Y40" i="12" s="1"/>
  <c r="T40" i="24"/>
  <c r="Z40" i="12" s="1"/>
  <c r="W40" i="24"/>
  <c r="AC40" i="12" s="1"/>
  <c r="Z40" i="24"/>
  <c r="AF40" i="12" s="1"/>
  <c r="U40" i="24"/>
  <c r="AA40" i="12" s="1"/>
  <c r="Q40" i="24"/>
  <c r="W40" i="12" s="1"/>
  <c r="O40" i="24"/>
  <c r="R40" i="24"/>
  <c r="X40" i="12" s="1"/>
  <c r="Y40" i="24"/>
  <c r="AE40" i="12" s="1"/>
  <c r="V40" i="24"/>
  <c r="AB40" i="12" s="1"/>
  <c r="N40" i="24"/>
  <c r="T40" i="12" s="1"/>
  <c r="X24" i="24"/>
  <c r="AD24" i="12" s="1"/>
  <c r="AB24" i="24"/>
  <c r="AH24" i="12" s="1"/>
  <c r="Z24" i="24"/>
  <c r="AF24" i="12" s="1"/>
  <c r="P24" i="24"/>
  <c r="V24" i="12" s="1"/>
  <c r="U24" i="24"/>
  <c r="AA24" i="12" s="1"/>
  <c r="V24" i="24"/>
  <c r="AB24" i="12" s="1"/>
  <c r="Y24" i="24"/>
  <c r="AE24" i="12" s="1"/>
  <c r="S24" i="24"/>
  <c r="Y24" i="12" s="1"/>
  <c r="AC24" i="24"/>
  <c r="Q24" i="24"/>
  <c r="W24" i="12" s="1"/>
  <c r="R24" i="24"/>
  <c r="X24" i="12" s="1"/>
  <c r="W24" i="24"/>
  <c r="AC24" i="12" s="1"/>
  <c r="O24" i="24"/>
  <c r="T24" i="24"/>
  <c r="Z24" i="12" s="1"/>
  <c r="N24" i="24"/>
  <c r="T24" i="12" s="1"/>
  <c r="Z47" i="24"/>
  <c r="AF47" i="12" s="1"/>
  <c r="V47" i="24"/>
  <c r="AB47" i="12" s="1"/>
  <c r="AC47" i="24"/>
  <c r="Y47" i="24"/>
  <c r="AE47" i="12" s="1"/>
  <c r="X47" i="24"/>
  <c r="AD47" i="12" s="1"/>
  <c r="W47" i="24"/>
  <c r="AC47" i="12" s="1"/>
  <c r="R47" i="24"/>
  <c r="X47" i="12" s="1"/>
  <c r="S47" i="24"/>
  <c r="Y47" i="12" s="1"/>
  <c r="T47" i="24"/>
  <c r="Z47" i="12" s="1"/>
  <c r="O47" i="24"/>
  <c r="P47" i="24"/>
  <c r="V47" i="12" s="1"/>
  <c r="U47" i="24"/>
  <c r="AA47" i="12" s="1"/>
  <c r="Q47" i="24"/>
  <c r="W47" i="12" s="1"/>
  <c r="N47" i="24"/>
  <c r="T47" i="12" s="1"/>
  <c r="AC90" i="24"/>
  <c r="Y90" i="24"/>
  <c r="AE90" i="12" s="1"/>
  <c r="X90" i="24"/>
  <c r="AD90" i="12" s="1"/>
  <c r="W90" i="24"/>
  <c r="AC90" i="12" s="1"/>
  <c r="Z90" i="24"/>
  <c r="AF90" i="12" s="1"/>
  <c r="P90" i="24"/>
  <c r="V90" i="12" s="1"/>
  <c r="S90" i="24"/>
  <c r="Y90" i="12" s="1"/>
  <c r="AB90" i="24"/>
  <c r="AH90" i="12" s="1"/>
  <c r="T90" i="24"/>
  <c r="Z90" i="12" s="1"/>
  <c r="V90" i="24"/>
  <c r="AB90" i="12" s="1"/>
  <c r="Q90" i="24"/>
  <c r="W90" i="12" s="1"/>
  <c r="U90" i="24"/>
  <c r="AA90" i="12" s="1"/>
  <c r="R90" i="24"/>
  <c r="X90" i="12" s="1"/>
  <c r="N90" i="24"/>
  <c r="T90" i="12" s="1"/>
  <c r="AC74" i="24"/>
  <c r="Y74" i="24"/>
  <c r="AE74" i="12" s="1"/>
  <c r="V74" i="24"/>
  <c r="AB74" i="12" s="1"/>
  <c r="U74" i="24"/>
  <c r="AA74" i="12" s="1"/>
  <c r="X74" i="24"/>
  <c r="AD74" i="12" s="1"/>
  <c r="P74" i="24"/>
  <c r="V74" i="12" s="1"/>
  <c r="W74" i="24"/>
  <c r="AC74" i="12" s="1"/>
  <c r="R74" i="24"/>
  <c r="X74" i="12" s="1"/>
  <c r="Z74" i="24"/>
  <c r="AF74" i="12" s="1"/>
  <c r="T74" i="24"/>
  <c r="Z74" i="12" s="1"/>
  <c r="Q74" i="24"/>
  <c r="W74" i="12" s="1"/>
  <c r="S74" i="24"/>
  <c r="Y74" i="12" s="1"/>
  <c r="AB74" i="24"/>
  <c r="AH74" i="12" s="1"/>
  <c r="N74" i="24"/>
  <c r="T74" i="12" s="1"/>
  <c r="AB118" i="24"/>
  <c r="AH118" i="12" s="1"/>
  <c r="Y118" i="24"/>
  <c r="AE118" i="12" s="1"/>
  <c r="V118" i="24"/>
  <c r="AB118" i="12" s="1"/>
  <c r="U118" i="24"/>
  <c r="AA118" i="12" s="1"/>
  <c r="S118" i="24"/>
  <c r="Y118" i="12" s="1"/>
  <c r="AA118" i="24"/>
  <c r="AG118" i="12" s="1"/>
  <c r="Z118" i="24"/>
  <c r="AF118" i="12" s="1"/>
  <c r="X118" i="24"/>
  <c r="AD118" i="12" s="1"/>
  <c r="R118" i="24"/>
  <c r="X118" i="12" s="1"/>
  <c r="P118" i="24"/>
  <c r="V118" i="12" s="1"/>
  <c r="T118" i="24"/>
  <c r="Z118" i="12" s="1"/>
  <c r="W118" i="24"/>
  <c r="AC118" i="12" s="1"/>
  <c r="AC118" i="24"/>
  <c r="Q118" i="24"/>
  <c r="W118" i="12" s="1"/>
  <c r="N118" i="24"/>
  <c r="T118" i="12" s="1"/>
  <c r="X119" i="24"/>
  <c r="AD119" i="12" s="1"/>
  <c r="AB119" i="24"/>
  <c r="AH119" i="12" s="1"/>
  <c r="W119" i="24"/>
  <c r="AC119" i="12" s="1"/>
  <c r="Y119" i="24"/>
  <c r="AE119" i="12" s="1"/>
  <c r="V119" i="24"/>
  <c r="AB119" i="12" s="1"/>
  <c r="AA119" i="24"/>
  <c r="AG119" i="12" s="1"/>
  <c r="Z119" i="24"/>
  <c r="AF119" i="12" s="1"/>
  <c r="U119" i="24"/>
  <c r="AA119" i="12" s="1"/>
  <c r="Q119" i="24"/>
  <c r="W119" i="12" s="1"/>
  <c r="P119" i="24"/>
  <c r="V119" i="12" s="1"/>
  <c r="R119" i="24"/>
  <c r="X119" i="12" s="1"/>
  <c r="S119" i="24"/>
  <c r="Y119" i="12" s="1"/>
  <c r="AC119" i="24"/>
  <c r="T119" i="24"/>
  <c r="Z119" i="12" s="1"/>
  <c r="N119" i="24"/>
  <c r="T119" i="12" s="1"/>
  <c r="AB38" i="24"/>
  <c r="AH38" i="12" s="1"/>
  <c r="AC38" i="24"/>
  <c r="R38" i="24"/>
  <c r="X38" i="12" s="1"/>
  <c r="X38" i="24"/>
  <c r="AD38" i="12" s="1"/>
  <c r="T38" i="24"/>
  <c r="Z38" i="12" s="1"/>
  <c r="W38" i="24"/>
  <c r="AC38" i="12" s="1"/>
  <c r="U38" i="24"/>
  <c r="AA38" i="12" s="1"/>
  <c r="Z38" i="24"/>
  <c r="AF38" i="12" s="1"/>
  <c r="O38" i="24"/>
  <c r="Y38" i="24"/>
  <c r="AE38" i="12" s="1"/>
  <c r="P38" i="24"/>
  <c r="V38" i="12" s="1"/>
  <c r="S38" i="24"/>
  <c r="Y38" i="12" s="1"/>
  <c r="Q38" i="24"/>
  <c r="W38" i="12" s="1"/>
  <c r="V38" i="24"/>
  <c r="AB38" i="12" s="1"/>
  <c r="N38" i="24"/>
  <c r="T38" i="12" s="1"/>
  <c r="Z64" i="24"/>
  <c r="AF64" i="12" s="1"/>
  <c r="V64" i="24"/>
  <c r="AB64" i="12" s="1"/>
  <c r="U64" i="24"/>
  <c r="AA64" i="12" s="1"/>
  <c r="AC64" i="24"/>
  <c r="AB64" i="24"/>
  <c r="AH64" i="12" s="1"/>
  <c r="T64" i="24"/>
  <c r="Z64" i="12" s="1"/>
  <c r="W64" i="24"/>
  <c r="AC64" i="12" s="1"/>
  <c r="Q64" i="24"/>
  <c r="W64" i="12" s="1"/>
  <c r="X64" i="24"/>
  <c r="AD64" i="12" s="1"/>
  <c r="Y64" i="24"/>
  <c r="AE64" i="12" s="1"/>
  <c r="S64" i="24"/>
  <c r="Y64" i="12" s="1"/>
  <c r="O64" i="24"/>
  <c r="P64" i="24"/>
  <c r="V64" i="12" s="1"/>
  <c r="R64" i="24"/>
  <c r="X64" i="12" s="1"/>
  <c r="N64" i="24"/>
  <c r="T64" i="12" s="1"/>
  <c r="Z16" i="24"/>
  <c r="AF16" i="12" s="1"/>
  <c r="V16" i="24"/>
  <c r="AB16" i="12" s="1"/>
  <c r="U16" i="24"/>
  <c r="AA16" i="12" s="1"/>
  <c r="Y16" i="24"/>
  <c r="AE16" i="12" s="1"/>
  <c r="X16" i="24"/>
  <c r="AD16" i="12" s="1"/>
  <c r="Q16" i="24"/>
  <c r="W16" i="12" s="1"/>
  <c r="R16" i="24"/>
  <c r="X16" i="12" s="1"/>
  <c r="T16" i="24"/>
  <c r="Z16" i="12" s="1"/>
  <c r="S16" i="24"/>
  <c r="Y16" i="12" s="1"/>
  <c r="AC16" i="24"/>
  <c r="P16" i="24"/>
  <c r="V16" i="12" s="1"/>
  <c r="AB16" i="24"/>
  <c r="AH16" i="12" s="1"/>
  <c r="O16" i="24"/>
  <c r="W16" i="24"/>
  <c r="AC16" i="12" s="1"/>
  <c r="N16" i="24"/>
  <c r="T16" i="12" s="1"/>
  <c r="Z17" i="24"/>
  <c r="AF17" i="12" s="1"/>
  <c r="V17" i="24"/>
  <c r="AB17" i="12" s="1"/>
  <c r="S17" i="24"/>
  <c r="Y17" i="12" s="1"/>
  <c r="Y17" i="24"/>
  <c r="AE17" i="12" s="1"/>
  <c r="X17" i="24"/>
  <c r="AD17" i="12" s="1"/>
  <c r="R17" i="24"/>
  <c r="X17" i="12" s="1"/>
  <c r="T17" i="24"/>
  <c r="Z17" i="12" s="1"/>
  <c r="AC17" i="24"/>
  <c r="W17" i="24"/>
  <c r="AC17" i="12" s="1"/>
  <c r="AB17" i="24"/>
  <c r="AH17" i="12" s="1"/>
  <c r="Q17" i="24"/>
  <c r="W17" i="12" s="1"/>
  <c r="U17" i="24"/>
  <c r="AA17" i="12" s="1"/>
  <c r="P17" i="24"/>
  <c r="V17" i="12" s="1"/>
  <c r="O17" i="24"/>
  <c r="N17" i="24"/>
  <c r="T17" i="12" s="1"/>
  <c r="W36" i="24"/>
  <c r="AC36" i="12" s="1"/>
  <c r="Z36" i="24"/>
  <c r="AF36" i="12" s="1"/>
  <c r="V36" i="24"/>
  <c r="AB36" i="12" s="1"/>
  <c r="R36" i="24"/>
  <c r="X36" i="12" s="1"/>
  <c r="Y36" i="24"/>
  <c r="AE36" i="12" s="1"/>
  <c r="S36" i="24"/>
  <c r="Y36" i="12" s="1"/>
  <c r="O36" i="24"/>
  <c r="AB36" i="24"/>
  <c r="AH36" i="12" s="1"/>
  <c r="P36" i="24"/>
  <c r="V36" i="12" s="1"/>
  <c r="T36" i="24"/>
  <c r="Z36" i="12" s="1"/>
  <c r="AC36" i="24"/>
  <c r="X36" i="24"/>
  <c r="AD36" i="12" s="1"/>
  <c r="Q36" i="24"/>
  <c r="W36" i="12" s="1"/>
  <c r="U36" i="24"/>
  <c r="AA36" i="12" s="1"/>
  <c r="N36" i="24"/>
  <c r="T36" i="12" s="1"/>
  <c r="W18" i="24"/>
  <c r="AC18" i="12" s="1"/>
  <c r="AC18" i="24"/>
  <c r="AB18" i="24"/>
  <c r="AH18" i="12" s="1"/>
  <c r="S18" i="24"/>
  <c r="Y18" i="12" s="1"/>
  <c r="T18" i="24"/>
  <c r="Z18" i="12" s="1"/>
  <c r="O18" i="24"/>
  <c r="Y18" i="24"/>
  <c r="AE18" i="12" s="1"/>
  <c r="V18" i="24"/>
  <c r="AB18" i="12" s="1"/>
  <c r="P18" i="24"/>
  <c r="V18" i="12" s="1"/>
  <c r="R18" i="24"/>
  <c r="X18" i="12" s="1"/>
  <c r="Q18" i="24"/>
  <c r="W18" i="12" s="1"/>
  <c r="Z18" i="24"/>
  <c r="AF18" i="12" s="1"/>
  <c r="X18" i="24"/>
  <c r="AD18" i="12" s="1"/>
  <c r="U18" i="24"/>
  <c r="AA18" i="12" s="1"/>
  <c r="N18" i="24"/>
  <c r="T18" i="12" s="1"/>
  <c r="Y37" i="24"/>
  <c r="AE37" i="12" s="1"/>
  <c r="W37" i="24"/>
  <c r="AC37" i="12" s="1"/>
  <c r="V37" i="24"/>
  <c r="AB37" i="12" s="1"/>
  <c r="O37" i="24"/>
  <c r="AC37" i="24"/>
  <c r="U37" i="24"/>
  <c r="AA37" i="12" s="1"/>
  <c r="AB37" i="24"/>
  <c r="AH37" i="12" s="1"/>
  <c r="Z37" i="24"/>
  <c r="AF37" i="12" s="1"/>
  <c r="T37" i="24"/>
  <c r="Z37" i="12" s="1"/>
  <c r="P37" i="24"/>
  <c r="V37" i="12" s="1"/>
  <c r="R37" i="24"/>
  <c r="X37" i="12" s="1"/>
  <c r="Q37" i="24"/>
  <c r="W37" i="12" s="1"/>
  <c r="S37" i="24"/>
  <c r="Y37" i="12" s="1"/>
  <c r="X37" i="24"/>
  <c r="AD37" i="12" s="1"/>
  <c r="N37" i="24"/>
  <c r="T37" i="12" s="1"/>
  <c r="AC21" i="24"/>
  <c r="AB21" i="24"/>
  <c r="AH21" i="12" s="1"/>
  <c r="S21" i="24"/>
  <c r="Y21" i="12" s="1"/>
  <c r="T21" i="24"/>
  <c r="Z21" i="12" s="1"/>
  <c r="O21" i="24"/>
  <c r="X21" i="24"/>
  <c r="AD21" i="12" s="1"/>
  <c r="Y21" i="24"/>
  <c r="AE21" i="12" s="1"/>
  <c r="V21" i="24"/>
  <c r="AB21" i="12" s="1"/>
  <c r="P21" i="24"/>
  <c r="V21" i="12" s="1"/>
  <c r="R21" i="24"/>
  <c r="X21" i="12" s="1"/>
  <c r="W21" i="24"/>
  <c r="AC21" i="12" s="1"/>
  <c r="Q21" i="24"/>
  <c r="W21" i="12" s="1"/>
  <c r="U21" i="24"/>
  <c r="AA21" i="12" s="1"/>
  <c r="Z21" i="24"/>
  <c r="AF21" i="12" s="1"/>
  <c r="N21" i="24"/>
  <c r="T21" i="12" s="1"/>
  <c r="Z63" i="24"/>
  <c r="AF63" i="12" s="1"/>
  <c r="V63" i="24"/>
  <c r="AB63" i="12" s="1"/>
  <c r="AC63" i="24"/>
  <c r="Y63" i="24"/>
  <c r="AE63" i="12" s="1"/>
  <c r="AB63" i="24"/>
  <c r="AH63" i="12" s="1"/>
  <c r="T63" i="24"/>
  <c r="Z63" i="12" s="1"/>
  <c r="W63" i="24"/>
  <c r="AC63" i="12" s="1"/>
  <c r="X63" i="24"/>
  <c r="AD63" i="12" s="1"/>
  <c r="R63" i="24"/>
  <c r="X63" i="12" s="1"/>
  <c r="O63" i="24"/>
  <c r="Q63" i="24"/>
  <c r="W63" i="12" s="1"/>
  <c r="U63" i="24"/>
  <c r="AA63" i="12" s="1"/>
  <c r="P63" i="24"/>
  <c r="V63" i="12" s="1"/>
  <c r="S63" i="24"/>
  <c r="Y63" i="12" s="1"/>
  <c r="N63" i="24"/>
  <c r="T63" i="12" s="1"/>
  <c r="AA116" i="24"/>
  <c r="AG116" i="12" s="1"/>
  <c r="W116" i="24"/>
  <c r="AC116" i="12" s="1"/>
  <c r="Z116" i="24"/>
  <c r="AF116" i="12" s="1"/>
  <c r="V116" i="24"/>
  <c r="AB116" i="12" s="1"/>
  <c r="U116" i="24"/>
  <c r="AA116" i="12" s="1"/>
  <c r="S116" i="24"/>
  <c r="Y116" i="12" s="1"/>
  <c r="R116" i="24"/>
  <c r="X116" i="12" s="1"/>
  <c r="AB116" i="24"/>
  <c r="AH116" i="12" s="1"/>
  <c r="X116" i="24"/>
  <c r="AD116" i="12" s="1"/>
  <c r="P116" i="24"/>
  <c r="V116" i="12" s="1"/>
  <c r="Y116" i="24"/>
  <c r="AE116" i="12" s="1"/>
  <c r="Q116" i="24"/>
  <c r="W116" i="12" s="1"/>
  <c r="AC116" i="24"/>
  <c r="T116" i="24"/>
  <c r="Z116" i="12" s="1"/>
  <c r="N116" i="24"/>
  <c r="T116" i="12" s="1"/>
  <c r="AC85" i="24"/>
  <c r="AB85" i="24"/>
  <c r="AH85" i="12" s="1"/>
  <c r="Z85" i="24"/>
  <c r="AF85" i="12" s="1"/>
  <c r="U85" i="24"/>
  <c r="AA85" i="12" s="1"/>
  <c r="T85" i="24"/>
  <c r="Z85" i="12" s="1"/>
  <c r="W85" i="24"/>
  <c r="AC85" i="12" s="1"/>
  <c r="X85" i="24"/>
  <c r="AD85" i="12" s="1"/>
  <c r="P85" i="24"/>
  <c r="V85" i="12" s="1"/>
  <c r="V85" i="24"/>
  <c r="AB85" i="12" s="1"/>
  <c r="R85" i="24"/>
  <c r="X85" i="12" s="1"/>
  <c r="Q85" i="24"/>
  <c r="W85" i="12" s="1"/>
  <c r="S85" i="24"/>
  <c r="Y85" i="12" s="1"/>
  <c r="Y85" i="24"/>
  <c r="AE85" i="12" s="1"/>
  <c r="N85" i="24"/>
  <c r="T85" i="12" s="1"/>
  <c r="Z32" i="24"/>
  <c r="AF32" i="12" s="1"/>
  <c r="V32" i="24"/>
  <c r="AB32" i="12" s="1"/>
  <c r="U32" i="24"/>
  <c r="AA32" i="12" s="1"/>
  <c r="AC32" i="24"/>
  <c r="Q32" i="24"/>
  <c r="W32" i="12" s="1"/>
  <c r="AB32" i="24"/>
  <c r="AH32" i="12" s="1"/>
  <c r="X32" i="24"/>
  <c r="AD32" i="12" s="1"/>
  <c r="O32" i="24"/>
  <c r="T32" i="24"/>
  <c r="Z32" i="12" s="1"/>
  <c r="Y32" i="24"/>
  <c r="AE32" i="12" s="1"/>
  <c r="R32" i="24"/>
  <c r="X32" i="12" s="1"/>
  <c r="S32" i="24"/>
  <c r="Y32" i="12" s="1"/>
  <c r="P32" i="24"/>
  <c r="V32" i="12" s="1"/>
  <c r="W32" i="24"/>
  <c r="AC32" i="12" s="1"/>
  <c r="N32" i="24"/>
  <c r="T32" i="12" s="1"/>
  <c r="U108" i="24"/>
  <c r="AA108" i="12" s="1"/>
  <c r="AC108" i="24"/>
  <c r="Y108" i="24"/>
  <c r="AE108" i="12" s="1"/>
  <c r="X108" i="24"/>
  <c r="AD108" i="12" s="1"/>
  <c r="AA108" i="24"/>
  <c r="AG108" i="12" s="1"/>
  <c r="Z108" i="24"/>
  <c r="AF108" i="12" s="1"/>
  <c r="T108" i="24"/>
  <c r="Z108" i="12" s="1"/>
  <c r="AB108" i="24"/>
  <c r="AH108" i="12" s="1"/>
  <c r="Q108" i="24"/>
  <c r="W108" i="12" s="1"/>
  <c r="S108" i="24"/>
  <c r="Y108" i="12" s="1"/>
  <c r="R108" i="24"/>
  <c r="X108" i="12" s="1"/>
  <c r="V108" i="24"/>
  <c r="AB108" i="12" s="1"/>
  <c r="W108" i="24"/>
  <c r="AC108" i="12" s="1"/>
  <c r="P108" i="24"/>
  <c r="V108" i="12" s="1"/>
  <c r="N108" i="24"/>
  <c r="T108" i="12" s="1"/>
  <c r="Z15" i="24"/>
  <c r="AF15" i="12" s="1"/>
  <c r="V15" i="24"/>
  <c r="AB15" i="12" s="1"/>
  <c r="AC15" i="24"/>
  <c r="Y15" i="24"/>
  <c r="AE15" i="12" s="1"/>
  <c r="Q15" i="24"/>
  <c r="W15" i="12" s="1"/>
  <c r="X15" i="24"/>
  <c r="AD15" i="12" s="1"/>
  <c r="R15" i="24"/>
  <c r="X15" i="12" s="1"/>
  <c r="T15" i="24"/>
  <c r="Z15" i="12" s="1"/>
  <c r="S15" i="24"/>
  <c r="Y15" i="12" s="1"/>
  <c r="W15" i="24"/>
  <c r="AC15" i="12" s="1"/>
  <c r="P15" i="24"/>
  <c r="V15" i="12" s="1"/>
  <c r="U15" i="24"/>
  <c r="AA15" i="12" s="1"/>
  <c r="O15" i="24"/>
  <c r="AB15" i="24"/>
  <c r="AH15" i="12" s="1"/>
  <c r="N15" i="24"/>
  <c r="T15" i="12" s="1"/>
  <c r="W34" i="24"/>
  <c r="AC34" i="12" s="1"/>
  <c r="Y34" i="24"/>
  <c r="AE34" i="12" s="1"/>
  <c r="S34" i="24"/>
  <c r="Y34" i="12" s="1"/>
  <c r="U34" i="24"/>
  <c r="AA34" i="12" s="1"/>
  <c r="O34" i="24"/>
  <c r="AB34" i="24"/>
  <c r="AH34" i="12" s="1"/>
  <c r="V34" i="24"/>
  <c r="AB34" i="12" s="1"/>
  <c r="AC34" i="24"/>
  <c r="Z34" i="24"/>
  <c r="AF34" i="12" s="1"/>
  <c r="X34" i="24"/>
  <c r="AD34" i="12" s="1"/>
  <c r="Q34" i="24"/>
  <c r="W34" i="12" s="1"/>
  <c r="R34" i="24"/>
  <c r="X34" i="12" s="1"/>
  <c r="T34" i="24"/>
  <c r="Z34" i="12" s="1"/>
  <c r="P34" i="24"/>
  <c r="V34" i="12" s="1"/>
  <c r="N34" i="24"/>
  <c r="T34" i="12" s="1"/>
  <c r="X57" i="24"/>
  <c r="AD57" i="12" s="1"/>
  <c r="Y57" i="24"/>
  <c r="AE57" i="12" s="1"/>
  <c r="AC57" i="24"/>
  <c r="P57" i="24"/>
  <c r="V57" i="12" s="1"/>
  <c r="Z57" i="24"/>
  <c r="AF57" i="12" s="1"/>
  <c r="U57" i="24"/>
  <c r="AA57" i="12" s="1"/>
  <c r="V57" i="24"/>
  <c r="AB57" i="12" s="1"/>
  <c r="S57" i="24"/>
  <c r="Y57" i="12" s="1"/>
  <c r="Q57" i="24"/>
  <c r="W57" i="12" s="1"/>
  <c r="O57" i="24"/>
  <c r="T57" i="24"/>
  <c r="Z57" i="12" s="1"/>
  <c r="R57" i="24"/>
  <c r="X57" i="12" s="1"/>
  <c r="W57" i="24"/>
  <c r="AC57" i="12" s="1"/>
  <c r="AB57" i="24"/>
  <c r="AH57" i="12" s="1"/>
  <c r="N57" i="24"/>
  <c r="T57" i="12" s="1"/>
  <c r="U60" i="24"/>
  <c r="AA60" i="12" s="1"/>
  <c r="AC60" i="24"/>
  <c r="Y60" i="24"/>
  <c r="AE60" i="12" s="1"/>
  <c r="X60" i="24"/>
  <c r="AD60" i="12" s="1"/>
  <c r="T60" i="24"/>
  <c r="Z60" i="12" s="1"/>
  <c r="Q60" i="24"/>
  <c r="W60" i="12" s="1"/>
  <c r="V60" i="24"/>
  <c r="AB60" i="12" s="1"/>
  <c r="W60" i="24"/>
  <c r="AC60" i="12" s="1"/>
  <c r="S60" i="24"/>
  <c r="Y60" i="12" s="1"/>
  <c r="R60" i="24"/>
  <c r="X60" i="12" s="1"/>
  <c r="Z60" i="24"/>
  <c r="AF60" i="12" s="1"/>
  <c r="AB60" i="24"/>
  <c r="AH60" i="12" s="1"/>
  <c r="P60" i="24"/>
  <c r="V60" i="12" s="1"/>
  <c r="O60" i="24"/>
  <c r="N60" i="24"/>
  <c r="T60" i="12" s="1"/>
  <c r="W84" i="24"/>
  <c r="AC84" i="12" s="1"/>
  <c r="Z84" i="24"/>
  <c r="AF84" i="12" s="1"/>
  <c r="V84" i="24"/>
  <c r="AB84" i="12" s="1"/>
  <c r="S84" i="24"/>
  <c r="Y84" i="12" s="1"/>
  <c r="R84" i="24"/>
  <c r="X84" i="12" s="1"/>
  <c r="AC84" i="24"/>
  <c r="AB84" i="24"/>
  <c r="AH84" i="12" s="1"/>
  <c r="U84" i="24"/>
  <c r="AA84" i="12" s="1"/>
  <c r="T84" i="24"/>
  <c r="Z84" i="12" s="1"/>
  <c r="Q84" i="24"/>
  <c r="W84" i="12" s="1"/>
  <c r="Y84" i="24"/>
  <c r="AE84" i="12" s="1"/>
  <c r="X84" i="24"/>
  <c r="AD84" i="12" s="1"/>
  <c r="P84" i="24"/>
  <c r="V84" i="12" s="1"/>
  <c r="N84" i="24"/>
  <c r="T84" i="12" s="1"/>
  <c r="Z113" i="24"/>
  <c r="AF113" i="12" s="1"/>
  <c r="V113" i="24"/>
  <c r="AB113" i="12" s="1"/>
  <c r="X113" i="24"/>
  <c r="AD113" i="12" s="1"/>
  <c r="W113" i="24"/>
  <c r="AC113" i="12" s="1"/>
  <c r="U113" i="24"/>
  <c r="AA113" i="12" s="1"/>
  <c r="P113" i="24"/>
  <c r="V113" i="12" s="1"/>
  <c r="AC113" i="24"/>
  <c r="S113" i="24"/>
  <c r="Y113" i="12" s="1"/>
  <c r="T113" i="24"/>
  <c r="Z113" i="12" s="1"/>
  <c r="Y113" i="24"/>
  <c r="AE113" i="12" s="1"/>
  <c r="Q113" i="24"/>
  <c r="W113" i="12" s="1"/>
  <c r="R113" i="24"/>
  <c r="X113" i="12" s="1"/>
  <c r="AA113" i="24"/>
  <c r="AG113" i="12" s="1"/>
  <c r="AB113" i="24"/>
  <c r="AH113" i="12" s="1"/>
  <c r="N113" i="24"/>
  <c r="T113" i="12" s="1"/>
  <c r="Z97" i="24"/>
  <c r="AF97" i="12" s="1"/>
  <c r="V97" i="24"/>
  <c r="AB97" i="12" s="1"/>
  <c r="U97" i="24"/>
  <c r="AA97" i="12" s="1"/>
  <c r="Y97" i="24"/>
  <c r="AE97" i="12" s="1"/>
  <c r="AC97" i="24"/>
  <c r="R97" i="24"/>
  <c r="X97" i="12" s="1"/>
  <c r="W97" i="24"/>
  <c r="AC97" i="12" s="1"/>
  <c r="AB97" i="24"/>
  <c r="AH97" i="12" s="1"/>
  <c r="S97" i="24"/>
  <c r="Y97" i="12" s="1"/>
  <c r="T97" i="24"/>
  <c r="Z97" i="12" s="1"/>
  <c r="P97" i="24"/>
  <c r="V97" i="12" s="1"/>
  <c r="X97" i="24"/>
  <c r="AD97" i="12" s="1"/>
  <c r="Q97" i="24"/>
  <c r="W97" i="12" s="1"/>
  <c r="N97" i="24"/>
  <c r="T97" i="12" s="1"/>
  <c r="Z111" i="24"/>
  <c r="AF111" i="12" s="1"/>
  <c r="V111" i="24"/>
  <c r="AB111" i="12" s="1"/>
  <c r="AC111" i="24"/>
  <c r="Y111" i="24"/>
  <c r="AE111" i="12" s="1"/>
  <c r="X111" i="24"/>
  <c r="AD111" i="12" s="1"/>
  <c r="W111" i="24"/>
  <c r="AC111" i="12" s="1"/>
  <c r="U111" i="24"/>
  <c r="AA111" i="12" s="1"/>
  <c r="T111" i="24"/>
  <c r="Z111" i="12" s="1"/>
  <c r="S111" i="24"/>
  <c r="Y111" i="12" s="1"/>
  <c r="P111" i="24"/>
  <c r="V111" i="12" s="1"/>
  <c r="R111" i="24"/>
  <c r="X111" i="12" s="1"/>
  <c r="Q111" i="24"/>
  <c r="W111" i="12" s="1"/>
  <c r="AA111" i="24"/>
  <c r="AG111" i="12" s="1"/>
  <c r="AB111" i="24"/>
  <c r="AH111" i="12" s="1"/>
  <c r="N111" i="24"/>
  <c r="T111" i="12" s="1"/>
  <c r="AC26" i="24"/>
  <c r="Y26" i="24"/>
  <c r="AE26" i="12" s="1"/>
  <c r="X26" i="24"/>
  <c r="AD26" i="12" s="1"/>
  <c r="W26" i="24"/>
  <c r="AC26" i="12" s="1"/>
  <c r="Z26" i="24"/>
  <c r="AF26" i="12" s="1"/>
  <c r="V26" i="24"/>
  <c r="AB26" i="12" s="1"/>
  <c r="P26" i="24"/>
  <c r="V26" i="12" s="1"/>
  <c r="Q26" i="24"/>
  <c r="W26" i="12" s="1"/>
  <c r="S26" i="24"/>
  <c r="Y26" i="12" s="1"/>
  <c r="R26" i="24"/>
  <c r="X26" i="12" s="1"/>
  <c r="AB26" i="24"/>
  <c r="AH26" i="12" s="1"/>
  <c r="U26" i="24"/>
  <c r="AA26" i="12" s="1"/>
  <c r="T26" i="24"/>
  <c r="Z26" i="12" s="1"/>
  <c r="O26" i="24"/>
  <c r="N26" i="24"/>
  <c r="T26" i="12" s="1"/>
  <c r="U92" i="24"/>
  <c r="AA92" i="12" s="1"/>
  <c r="AC92" i="24"/>
  <c r="Y92" i="24"/>
  <c r="AE92" i="12" s="1"/>
  <c r="X92" i="24"/>
  <c r="AD92" i="12" s="1"/>
  <c r="V92" i="24"/>
  <c r="AB92" i="12" s="1"/>
  <c r="T92" i="24"/>
  <c r="Z92" i="12" s="1"/>
  <c r="W92" i="24"/>
  <c r="AC92" i="12" s="1"/>
  <c r="Q92" i="24"/>
  <c r="W92" i="12" s="1"/>
  <c r="S92" i="24"/>
  <c r="Y92" i="12" s="1"/>
  <c r="P92" i="24"/>
  <c r="V92" i="12" s="1"/>
  <c r="R92" i="24"/>
  <c r="X92" i="12" s="1"/>
  <c r="AB92" i="24"/>
  <c r="AH92" i="12" s="1"/>
  <c r="Z92" i="24"/>
  <c r="AF92" i="12" s="1"/>
  <c r="N92" i="24"/>
  <c r="T92" i="12" s="1"/>
  <c r="X39" i="24"/>
  <c r="AD39" i="12" s="1"/>
  <c r="AB39" i="24"/>
  <c r="AH39" i="12" s="1"/>
  <c r="W39" i="24"/>
  <c r="AC39" i="12" s="1"/>
  <c r="AC39" i="24"/>
  <c r="S39" i="24"/>
  <c r="Y39" i="12" s="1"/>
  <c r="T39" i="24"/>
  <c r="Z39" i="12" s="1"/>
  <c r="V39" i="24"/>
  <c r="AB39" i="12" s="1"/>
  <c r="P39" i="24"/>
  <c r="V39" i="12" s="1"/>
  <c r="U39" i="24"/>
  <c r="AA39" i="12" s="1"/>
  <c r="Z39" i="24"/>
  <c r="AF39" i="12" s="1"/>
  <c r="Q39" i="24"/>
  <c r="W39" i="12" s="1"/>
  <c r="O39" i="24"/>
  <c r="R39" i="24"/>
  <c r="X39" i="12" s="1"/>
  <c r="Y39" i="24"/>
  <c r="AE39" i="12" s="1"/>
  <c r="N39" i="24"/>
  <c r="T39" i="12" s="1"/>
  <c r="Z12" i="24"/>
  <c r="AF12" i="12" s="1"/>
  <c r="V12" i="24"/>
  <c r="AB12" i="12" s="1"/>
  <c r="AC12" i="24"/>
  <c r="U12" i="24"/>
  <c r="AA12" i="12" s="1"/>
  <c r="X12" i="24"/>
  <c r="AD12" i="12" s="1"/>
  <c r="R12" i="24"/>
  <c r="X12" i="12" s="1"/>
  <c r="S12" i="24"/>
  <c r="Y12" i="12" s="1"/>
  <c r="AB12" i="24"/>
  <c r="AH12" i="12" s="1"/>
  <c r="Q12" i="24"/>
  <c r="W12" i="12" s="1"/>
  <c r="W12" i="24"/>
  <c r="AC12" i="12" s="1"/>
  <c r="O12" i="24"/>
  <c r="P12" i="24"/>
  <c r="V12" i="12" s="1"/>
  <c r="Y12" i="24"/>
  <c r="AE12" i="12" s="1"/>
  <c r="T12" i="24"/>
  <c r="Z12" i="12" s="1"/>
  <c r="N12" i="24"/>
  <c r="T12" i="12" s="1"/>
  <c r="Z31" i="24"/>
  <c r="AF31" i="12" s="1"/>
  <c r="V31" i="24"/>
  <c r="AB31" i="12" s="1"/>
  <c r="AC31" i="24"/>
  <c r="Y31" i="24"/>
  <c r="AE31" i="12" s="1"/>
  <c r="U31" i="24"/>
  <c r="AA31" i="12" s="1"/>
  <c r="R31" i="24"/>
  <c r="X31" i="12" s="1"/>
  <c r="AB31" i="24"/>
  <c r="AH31" i="12" s="1"/>
  <c r="X31" i="24"/>
  <c r="AD31" i="12" s="1"/>
  <c r="Q31" i="24"/>
  <c r="W31" i="12" s="1"/>
  <c r="O31" i="24"/>
  <c r="T31" i="24"/>
  <c r="Z31" i="12" s="1"/>
  <c r="S31" i="24"/>
  <c r="Y31" i="12" s="1"/>
  <c r="P31" i="24"/>
  <c r="V31" i="12" s="1"/>
  <c r="W31" i="24"/>
  <c r="AC31" i="12" s="1"/>
  <c r="N31" i="24"/>
  <c r="T31" i="12" s="1"/>
  <c r="AB54" i="24"/>
  <c r="AH54" i="12" s="1"/>
  <c r="Y54" i="24"/>
  <c r="AE54" i="12" s="1"/>
  <c r="V54" i="24"/>
  <c r="AB54" i="12" s="1"/>
  <c r="U54" i="24"/>
  <c r="AA54" i="12" s="1"/>
  <c r="S54" i="24"/>
  <c r="Y54" i="12" s="1"/>
  <c r="R54" i="24"/>
  <c r="X54" i="12" s="1"/>
  <c r="Z54" i="24"/>
  <c r="AF54" i="12" s="1"/>
  <c r="W54" i="24"/>
  <c r="AC54" i="12" s="1"/>
  <c r="AC54" i="24"/>
  <c r="Q54" i="24"/>
  <c r="W54" i="12" s="1"/>
  <c r="O54" i="24"/>
  <c r="P54" i="24"/>
  <c r="V54" i="12" s="1"/>
  <c r="X54" i="24"/>
  <c r="AD54" i="12" s="1"/>
  <c r="T54" i="24"/>
  <c r="Z54" i="12" s="1"/>
  <c r="N54" i="24"/>
  <c r="T54" i="12" s="1"/>
  <c r="Z81" i="24"/>
  <c r="AF81" i="12" s="1"/>
  <c r="V81" i="24"/>
  <c r="AB81" i="12" s="1"/>
  <c r="Y81" i="24"/>
  <c r="AE81" i="12" s="1"/>
  <c r="T81" i="24"/>
  <c r="Z81" i="12" s="1"/>
  <c r="W81" i="24"/>
  <c r="AC81" i="12" s="1"/>
  <c r="U81" i="24"/>
  <c r="AA81" i="12" s="1"/>
  <c r="S81" i="24"/>
  <c r="Y81" i="12" s="1"/>
  <c r="X81" i="24"/>
  <c r="AD81" i="12" s="1"/>
  <c r="AB81" i="24"/>
  <c r="AH81" i="12" s="1"/>
  <c r="Q81" i="24"/>
  <c r="W81" i="12" s="1"/>
  <c r="R81" i="24"/>
  <c r="X81" i="12" s="1"/>
  <c r="P81" i="24"/>
  <c r="V81" i="12" s="1"/>
  <c r="AC81" i="24"/>
  <c r="N81" i="24"/>
  <c r="T81" i="12" s="1"/>
  <c r="W110" i="24"/>
  <c r="AC110" i="12" s="1"/>
  <c r="AA110" i="24"/>
  <c r="AG110" i="12" s="1"/>
  <c r="Z110" i="24"/>
  <c r="AF110" i="12" s="1"/>
  <c r="T110" i="24"/>
  <c r="Z110" i="12" s="1"/>
  <c r="AC110" i="24"/>
  <c r="V110" i="24"/>
  <c r="AB110" i="12" s="1"/>
  <c r="U110" i="24"/>
  <c r="AA110" i="12" s="1"/>
  <c r="Q110" i="24"/>
  <c r="W110" i="12" s="1"/>
  <c r="X110" i="24"/>
  <c r="AD110" i="12" s="1"/>
  <c r="S110" i="24"/>
  <c r="Y110" i="12" s="1"/>
  <c r="Y110" i="24"/>
  <c r="AE110" i="12" s="1"/>
  <c r="R110" i="24"/>
  <c r="X110" i="12" s="1"/>
  <c r="P110" i="24"/>
  <c r="V110" i="12" s="1"/>
  <c r="AB110" i="24"/>
  <c r="AH110" i="12" s="1"/>
  <c r="N110" i="24"/>
  <c r="T110" i="12" s="1"/>
  <c r="U45" i="24"/>
  <c r="AA45" i="12" s="1"/>
  <c r="Z45" i="24"/>
  <c r="AF45" i="12" s="1"/>
  <c r="T45" i="24"/>
  <c r="Z45" i="12" s="1"/>
  <c r="AB45" i="24"/>
  <c r="AH45" i="12" s="1"/>
  <c r="Y45" i="24"/>
  <c r="AE45" i="12" s="1"/>
  <c r="Q45" i="24"/>
  <c r="W45" i="12" s="1"/>
  <c r="X45" i="24"/>
  <c r="AD45" i="12" s="1"/>
  <c r="P45" i="24"/>
  <c r="V45" i="12" s="1"/>
  <c r="S45" i="24"/>
  <c r="Y45" i="12" s="1"/>
  <c r="W45" i="24"/>
  <c r="AC45" i="12" s="1"/>
  <c r="R45" i="24"/>
  <c r="X45" i="12" s="1"/>
  <c r="O45" i="24"/>
  <c r="V45" i="24"/>
  <c r="AB45" i="12" s="1"/>
  <c r="AC45" i="24"/>
  <c r="N45" i="24"/>
  <c r="T45" i="12" s="1"/>
  <c r="U44" i="24"/>
  <c r="AA44" i="12" s="1"/>
  <c r="Y44" i="24"/>
  <c r="AE44" i="12" s="1"/>
  <c r="X44" i="24"/>
  <c r="AD44" i="12" s="1"/>
  <c r="T44" i="24"/>
  <c r="Z44" i="12" s="1"/>
  <c r="AB44" i="24"/>
  <c r="AH44" i="12" s="1"/>
  <c r="Q44" i="24"/>
  <c r="W44" i="12" s="1"/>
  <c r="S44" i="24"/>
  <c r="Y44" i="12" s="1"/>
  <c r="P44" i="24"/>
  <c r="V44" i="12" s="1"/>
  <c r="W44" i="24"/>
  <c r="AC44" i="12" s="1"/>
  <c r="R44" i="24"/>
  <c r="X44" i="12" s="1"/>
  <c r="O44" i="24"/>
  <c r="N44" i="24"/>
  <c r="T44" i="12" s="1"/>
  <c r="U28" i="24"/>
  <c r="AA28" i="12" s="1"/>
  <c r="AC28" i="24"/>
  <c r="Y28" i="24"/>
  <c r="AE28" i="12" s="1"/>
  <c r="X28" i="24"/>
  <c r="AD28" i="12" s="1"/>
  <c r="V28" i="24"/>
  <c r="AB28" i="12" s="1"/>
  <c r="T28" i="24"/>
  <c r="Z28" i="12" s="1"/>
  <c r="W28" i="24"/>
  <c r="AC28" i="12" s="1"/>
  <c r="R28" i="24"/>
  <c r="X28" i="12" s="1"/>
  <c r="Q28" i="24"/>
  <c r="W28" i="12" s="1"/>
  <c r="Z28" i="24"/>
  <c r="AF28" i="12" s="1"/>
  <c r="O28" i="24"/>
  <c r="AB28" i="24"/>
  <c r="AH28" i="12" s="1"/>
  <c r="S28" i="24"/>
  <c r="Y28" i="12" s="1"/>
  <c r="P28" i="24"/>
  <c r="V28" i="12" s="1"/>
  <c r="N28" i="24"/>
  <c r="T28" i="12" s="1"/>
  <c r="W51" i="24"/>
  <c r="AC51" i="12" s="1"/>
  <c r="U51" i="24"/>
  <c r="AA51" i="12" s="1"/>
  <c r="S51" i="24"/>
  <c r="Y51" i="12" s="1"/>
  <c r="R51" i="24"/>
  <c r="X51" i="12" s="1"/>
  <c r="V51" i="24"/>
  <c r="AB51" i="12" s="1"/>
  <c r="O51" i="24"/>
  <c r="X51" i="24"/>
  <c r="AD51" i="12" s="1"/>
  <c r="AC51" i="24"/>
  <c r="Q51" i="24"/>
  <c r="W51" i="12" s="1"/>
  <c r="T51" i="24"/>
  <c r="Z51" i="12" s="1"/>
  <c r="Y51" i="24"/>
  <c r="AE51" i="12" s="1"/>
  <c r="AB51" i="24"/>
  <c r="AH51" i="12" s="1"/>
  <c r="P51" i="24"/>
  <c r="V51" i="12" s="1"/>
  <c r="Z51" i="24"/>
  <c r="AF51" i="12" s="1"/>
  <c r="N51" i="24"/>
  <c r="T51" i="12" s="1"/>
  <c r="Y78" i="24"/>
  <c r="AE78" i="12" s="1"/>
  <c r="T78" i="24"/>
  <c r="Z78" i="12" s="1"/>
  <c r="Z78" i="24"/>
  <c r="AF78" i="12" s="1"/>
  <c r="Q78" i="24"/>
  <c r="W78" i="12" s="1"/>
  <c r="AB78" i="24"/>
  <c r="AH78" i="12" s="1"/>
  <c r="U78" i="24"/>
  <c r="AA78" i="12" s="1"/>
  <c r="R78" i="24"/>
  <c r="X78" i="12" s="1"/>
  <c r="S78" i="24"/>
  <c r="Y78" i="12" s="1"/>
  <c r="X78" i="24"/>
  <c r="AD78" i="12" s="1"/>
  <c r="W78" i="24"/>
  <c r="AC78" i="12" s="1"/>
  <c r="AC78" i="24"/>
  <c r="P78" i="24"/>
  <c r="V78" i="12" s="1"/>
  <c r="V78" i="24"/>
  <c r="AB78" i="12" s="1"/>
  <c r="N78" i="24"/>
  <c r="T78" i="12" s="1"/>
  <c r="AC122" i="24"/>
  <c r="Y122" i="24"/>
  <c r="AE122" i="12" s="1"/>
  <c r="T122" i="24"/>
  <c r="Z122" i="12" s="1"/>
  <c r="R122" i="24"/>
  <c r="X122" i="12" s="1"/>
  <c r="W122" i="24"/>
  <c r="AC122" i="12" s="1"/>
  <c r="AB122" i="24"/>
  <c r="AH122" i="12" s="1"/>
  <c r="P122" i="24"/>
  <c r="V122" i="12" s="1"/>
  <c r="U122" i="24"/>
  <c r="AA122" i="12" s="1"/>
  <c r="Q122" i="24"/>
  <c r="W122" i="12" s="1"/>
  <c r="Z122" i="24"/>
  <c r="AF122" i="12" s="1"/>
  <c r="S122" i="24"/>
  <c r="Y122" i="12" s="1"/>
  <c r="AA122" i="24"/>
  <c r="AG122" i="12" s="1"/>
  <c r="X122" i="24"/>
  <c r="AD122" i="12" s="1"/>
  <c r="V122" i="24"/>
  <c r="AB122" i="12" s="1"/>
  <c r="N122" i="24"/>
  <c r="T122" i="12" s="1"/>
  <c r="Y100" i="11"/>
  <c r="Z100" i="11" s="1"/>
  <c r="AA100" i="11" s="1"/>
  <c r="AT100" i="32" s="1"/>
  <c r="Y327" i="11"/>
  <c r="Z327" i="11" s="1"/>
  <c r="AA327" i="11" s="1"/>
  <c r="AT327" i="32" s="1"/>
  <c r="Y508" i="11"/>
  <c r="Z508" i="11" s="1"/>
  <c r="AA508" i="11" s="1"/>
  <c r="AT508" i="32" s="1"/>
  <c r="Y101" i="11"/>
  <c r="Z101" i="11" s="1"/>
  <c r="AA101" i="11" s="1"/>
  <c r="AT101" i="32" s="1"/>
  <c r="Y328" i="11"/>
  <c r="Z328" i="11" s="1"/>
  <c r="AA328" i="11" s="1"/>
  <c r="AT328" i="32" s="1"/>
  <c r="Y458" i="11"/>
  <c r="Z458" i="11" s="1"/>
  <c r="AA458" i="11" s="1"/>
  <c r="AT458" i="32" s="1"/>
  <c r="Y602" i="11"/>
  <c r="Z602" i="11" s="1"/>
  <c r="AA602" i="11" s="1"/>
  <c r="AT602" i="32" s="1"/>
  <c r="Z693" i="11"/>
  <c r="AA693" i="11" s="1"/>
  <c r="AT693" i="32" s="1"/>
  <c r="Y102" i="11"/>
  <c r="Z102" i="11" s="1"/>
  <c r="AA102" i="11" s="1"/>
  <c r="AT102" i="32" s="1"/>
  <c r="Y204" i="11"/>
  <c r="Z204" i="11" s="1"/>
  <c r="AA204" i="11" s="1"/>
  <c r="AT204" i="32" s="1"/>
  <c r="Y297" i="11"/>
  <c r="Z297" i="11" s="1"/>
  <c r="AA297" i="11" s="1"/>
  <c r="AT297" i="32" s="1"/>
  <c r="Y329" i="11"/>
  <c r="Z329" i="11" s="1"/>
  <c r="AA329" i="11" s="1"/>
  <c r="AT329" i="32" s="1"/>
  <c r="Y345" i="11"/>
  <c r="Z345" i="11" s="1"/>
  <c r="AA345" i="11" s="1"/>
  <c r="AT345" i="32" s="1"/>
  <c r="Y377" i="11"/>
  <c r="Z377" i="11" s="1"/>
  <c r="AA377" i="11" s="1"/>
  <c r="Y395" i="11"/>
  <c r="Z395" i="11" s="1"/>
  <c r="AA395" i="11" s="1"/>
  <c r="AT395" i="32" s="1"/>
  <c r="Y411" i="11"/>
  <c r="Z411" i="11" s="1"/>
  <c r="AA411" i="11" s="1"/>
  <c r="AT411" i="32" s="1"/>
  <c r="Y427" i="11"/>
  <c r="Z427" i="11" s="1"/>
  <c r="AA427" i="11" s="1"/>
  <c r="AT427" i="32" s="1"/>
  <c r="Y443" i="11"/>
  <c r="Z443" i="11" s="1"/>
  <c r="AA443" i="11" s="1"/>
  <c r="AT443" i="32" s="1"/>
  <c r="Y459" i="11"/>
  <c r="Z459" i="11" s="1"/>
  <c r="AA459" i="11" s="1"/>
  <c r="AT459" i="32" s="1"/>
  <c r="Y475" i="11"/>
  <c r="Z475" i="11" s="1"/>
  <c r="AA475" i="11" s="1"/>
  <c r="AT475" i="32" s="1"/>
  <c r="Y494" i="11"/>
  <c r="Z494" i="11" s="1"/>
  <c r="AA494" i="11" s="1"/>
  <c r="AT494" i="32" s="1"/>
  <c r="Y510" i="11"/>
  <c r="Z510" i="11" s="1"/>
  <c r="AA510" i="11" s="1"/>
  <c r="AT510" i="32" s="1"/>
  <c r="Y526" i="11"/>
  <c r="Z526" i="11" s="1"/>
  <c r="AA526" i="11" s="1"/>
  <c r="AT526" i="32" s="1"/>
  <c r="Y571" i="11"/>
  <c r="Z571" i="11" s="1"/>
  <c r="AA571" i="11" s="1"/>
  <c r="AT571" i="32" s="1"/>
  <c r="Y603" i="11"/>
  <c r="Z603" i="11" s="1"/>
  <c r="AA603" i="11" s="1"/>
  <c r="AT603" i="32" s="1"/>
  <c r="Y619" i="11"/>
  <c r="Z619" i="11" s="1"/>
  <c r="AA619" i="11" s="1"/>
  <c r="AT619" i="32" s="1"/>
  <c r="Y635" i="11"/>
  <c r="Z635" i="11" s="1"/>
  <c r="AA635" i="11" s="1"/>
  <c r="AT635" i="32" s="1"/>
  <c r="Y651" i="11"/>
  <c r="Z651" i="11" s="1"/>
  <c r="AA651" i="11" s="1"/>
  <c r="Z678" i="11"/>
  <c r="AA678" i="11" s="1"/>
  <c r="AT678" i="32" s="1"/>
  <c r="Z694" i="11"/>
  <c r="AA694" i="11" s="1"/>
  <c r="Z748" i="11"/>
  <c r="AA748" i="11" s="1"/>
  <c r="AT748" i="32" s="1"/>
  <c r="Z764" i="11"/>
  <c r="AA764" i="11" s="1"/>
  <c r="AT764" i="32" s="1"/>
  <c r="Z780" i="11"/>
  <c r="AA780" i="11" s="1"/>
  <c r="AT780" i="32" s="1"/>
  <c r="Y103" i="11"/>
  <c r="Z103" i="11" s="1"/>
  <c r="AA103" i="11" s="1"/>
  <c r="AT103" i="32" s="1"/>
  <c r="Y205" i="11"/>
  <c r="Z205" i="11" s="1"/>
  <c r="AA205" i="11" s="1"/>
  <c r="AT205" i="32" s="1"/>
  <c r="Y298" i="11"/>
  <c r="Z298" i="11" s="1"/>
  <c r="AA298" i="11" s="1"/>
  <c r="Y330" i="11"/>
  <c r="Z330" i="11" s="1"/>
  <c r="AA330" i="11" s="1"/>
  <c r="AT330" i="32" s="1"/>
  <c r="Y346" i="11"/>
  <c r="Z346" i="11" s="1"/>
  <c r="AA346" i="11" s="1"/>
  <c r="AT346" i="32" s="1"/>
  <c r="Y378" i="11"/>
  <c r="Z378" i="11" s="1"/>
  <c r="AA378" i="11" s="1"/>
  <c r="Y396" i="11"/>
  <c r="Z396" i="11" s="1"/>
  <c r="AA396" i="11" s="1"/>
  <c r="AT396" i="32" s="1"/>
  <c r="Y412" i="11"/>
  <c r="Z412" i="11" s="1"/>
  <c r="AA412" i="11" s="1"/>
  <c r="AT412" i="32" s="1"/>
  <c r="Y428" i="11"/>
  <c r="Z428" i="11" s="1"/>
  <c r="AA428" i="11" s="1"/>
  <c r="AT428" i="32" s="1"/>
  <c r="Y444" i="11"/>
  <c r="Z444" i="11" s="1"/>
  <c r="AA444" i="11" s="1"/>
  <c r="AT444" i="32" s="1"/>
  <c r="Y460" i="11"/>
  <c r="Z460" i="11" s="1"/>
  <c r="AA460" i="11" s="1"/>
  <c r="AT460" i="32" s="1"/>
  <c r="Y476" i="11"/>
  <c r="Z476" i="11" s="1"/>
  <c r="AA476" i="11" s="1"/>
  <c r="AT476" i="32" s="1"/>
  <c r="Y495" i="11"/>
  <c r="Z495" i="11" s="1"/>
  <c r="AA495" i="11" s="1"/>
  <c r="AT495" i="32" s="1"/>
  <c r="Y511" i="11"/>
  <c r="Z511" i="11" s="1"/>
  <c r="AA511" i="11" s="1"/>
  <c r="AT511" i="32" s="1"/>
  <c r="Y527" i="11"/>
  <c r="Z527" i="11" s="1"/>
  <c r="AA527" i="11" s="1"/>
  <c r="AT527" i="32" s="1"/>
  <c r="Y572" i="11"/>
  <c r="Z572" i="11" s="1"/>
  <c r="AA572" i="11" s="1"/>
  <c r="AT572" i="32" s="1"/>
  <c r="Y604" i="11"/>
  <c r="Z604" i="11" s="1"/>
  <c r="AA604" i="11" s="1"/>
  <c r="AT604" i="32" s="1"/>
  <c r="Y620" i="11"/>
  <c r="Z620" i="11" s="1"/>
  <c r="AA620" i="11" s="1"/>
  <c r="AT620" i="32" s="1"/>
  <c r="Y636" i="11"/>
  <c r="Z636" i="11" s="1"/>
  <c r="AA636" i="11" s="1"/>
  <c r="AT636" i="32" s="1"/>
  <c r="Y652" i="11"/>
  <c r="Z652" i="11" s="1"/>
  <c r="AA652" i="11" s="1"/>
  <c r="Z679" i="11"/>
  <c r="AA679" i="11" s="1"/>
  <c r="AT679" i="32" s="1"/>
  <c r="Z695" i="11"/>
  <c r="AA695" i="11" s="1"/>
  <c r="Z749" i="11"/>
  <c r="AA749" i="11" s="1"/>
  <c r="AT749" i="32" s="1"/>
  <c r="Z765" i="11"/>
  <c r="AA765" i="11" s="1"/>
  <c r="AT765" i="32" s="1"/>
  <c r="Z781" i="11"/>
  <c r="AA781" i="11" s="1"/>
  <c r="AT781" i="32" s="1"/>
  <c r="Z676" i="11"/>
  <c r="AA676" i="11" s="1"/>
  <c r="AT676" i="32" s="1"/>
  <c r="Z778" i="11"/>
  <c r="AA778" i="11" s="1"/>
  <c r="AT778" i="32" s="1"/>
  <c r="Y474" i="11"/>
  <c r="Z474" i="11" s="1"/>
  <c r="AA474" i="11" s="1"/>
  <c r="AT474" i="32" s="1"/>
  <c r="Y634" i="11"/>
  <c r="Z634" i="11" s="1"/>
  <c r="AA634" i="11" s="1"/>
  <c r="Y347" i="11"/>
  <c r="Z347" i="11" s="1"/>
  <c r="AA347" i="11" s="1"/>
  <c r="T295" i="10"/>
  <c r="Y295" i="11"/>
  <c r="Z295" i="11" s="1"/>
  <c r="AA295" i="11" s="1"/>
  <c r="AT295" i="32" s="1"/>
  <c r="Y653" i="11"/>
  <c r="Z653" i="11" s="1"/>
  <c r="AA653" i="11" s="1"/>
  <c r="AT653" i="32" s="1"/>
  <c r="Y497" i="11"/>
  <c r="Z497" i="11" s="1"/>
  <c r="AA497" i="11" s="1"/>
  <c r="AT497" i="32" s="1"/>
  <c r="Z697" i="11"/>
  <c r="AA697" i="11" s="1"/>
  <c r="AT697" i="32" s="1"/>
  <c r="Y333" i="11"/>
  <c r="Z333" i="11" s="1"/>
  <c r="AA333" i="11" s="1"/>
  <c r="AT333" i="32" s="1"/>
  <c r="Y463" i="11"/>
  <c r="Z463" i="11" s="1"/>
  <c r="AA463" i="11" s="1"/>
  <c r="AT463" i="32" s="1"/>
  <c r="Y575" i="11"/>
  <c r="Z575" i="11" s="1"/>
  <c r="AA575" i="11" s="1"/>
  <c r="AT575" i="32" s="1"/>
  <c r="Z682" i="11"/>
  <c r="AA682" i="11" s="1"/>
  <c r="AT682" i="32" s="1"/>
  <c r="Z784" i="11"/>
  <c r="AA784" i="11" s="1"/>
  <c r="AT784" i="32" s="1"/>
  <c r="Y382" i="11"/>
  <c r="Z382" i="11" s="1"/>
  <c r="AA382" i="11" s="1"/>
  <c r="AT382" i="32" s="1"/>
  <c r="Y576" i="11"/>
  <c r="Z576" i="11" s="1"/>
  <c r="AA576" i="11" s="1"/>
  <c r="AT576" i="32" s="1"/>
  <c r="Y108" i="11"/>
  <c r="Z108" i="11" s="1"/>
  <c r="AA108" i="11" s="1"/>
  <c r="AT108" i="32" s="1"/>
  <c r="Y210" i="11"/>
  <c r="Z210" i="11" s="1"/>
  <c r="AA210" i="11" s="1"/>
  <c r="AT210" i="32" s="1"/>
  <c r="Y303" i="11"/>
  <c r="Z303" i="11" s="1"/>
  <c r="AA303" i="11" s="1"/>
  <c r="AT303" i="32" s="1"/>
  <c r="Y319" i="11"/>
  <c r="Z319" i="11" s="1"/>
  <c r="AA319" i="11" s="1"/>
  <c r="AT319" i="32" s="1"/>
  <c r="Y335" i="11"/>
  <c r="Z335" i="11" s="1"/>
  <c r="AA335" i="11" s="1"/>
  <c r="AT335" i="32" s="1"/>
  <c r="Y383" i="11"/>
  <c r="Z383" i="11" s="1"/>
  <c r="AA383" i="11" s="1"/>
  <c r="AT383" i="32" s="1"/>
  <c r="Y401" i="11"/>
  <c r="Z401" i="11" s="1"/>
  <c r="AA401" i="11" s="1"/>
  <c r="AT401" i="32" s="1"/>
  <c r="Y417" i="11"/>
  <c r="Z417" i="11" s="1"/>
  <c r="AA417" i="11" s="1"/>
  <c r="AT417" i="32" s="1"/>
  <c r="Y433" i="11"/>
  <c r="Z433" i="11" s="1"/>
  <c r="AA433" i="11" s="1"/>
  <c r="AT433" i="32" s="1"/>
  <c r="Y449" i="11"/>
  <c r="Z449" i="11" s="1"/>
  <c r="AA449" i="11" s="1"/>
  <c r="AT449" i="32" s="1"/>
  <c r="Y465" i="11"/>
  <c r="Z465" i="11" s="1"/>
  <c r="AA465" i="11" s="1"/>
  <c r="AT465" i="32" s="1"/>
  <c r="Y484" i="11"/>
  <c r="Z484" i="11" s="1"/>
  <c r="AA484" i="11" s="1"/>
  <c r="AT484" i="32" s="1"/>
  <c r="Y500" i="11"/>
  <c r="Z500" i="11" s="1"/>
  <c r="AA500" i="11" s="1"/>
  <c r="Y516" i="11"/>
  <c r="Z516" i="11" s="1"/>
  <c r="AA516" i="11" s="1"/>
  <c r="AT516" i="32" s="1"/>
  <c r="Y532" i="11"/>
  <c r="Z532" i="11" s="1"/>
  <c r="AA532" i="11" s="1"/>
  <c r="AT532" i="32" s="1"/>
  <c r="Y564" i="11"/>
  <c r="Z564" i="11" s="1"/>
  <c r="AA564" i="11" s="1"/>
  <c r="Y577" i="11"/>
  <c r="Z577" i="11" s="1"/>
  <c r="AA577" i="11" s="1"/>
  <c r="AT577" i="32" s="1"/>
  <c r="Y609" i="11"/>
  <c r="Z609" i="11" s="1"/>
  <c r="AA609" i="11" s="1"/>
  <c r="AT609" i="32" s="1"/>
  <c r="Y625" i="11"/>
  <c r="Z625" i="11" s="1"/>
  <c r="AA625" i="11" s="1"/>
  <c r="AT625" i="32" s="1"/>
  <c r="Y641" i="11"/>
  <c r="Z641" i="11" s="1"/>
  <c r="AA641" i="11" s="1"/>
  <c r="AT641" i="32" s="1"/>
  <c r="Z668" i="11"/>
  <c r="AA668" i="11" s="1"/>
  <c r="AT668" i="32" s="1"/>
  <c r="Z684" i="11"/>
  <c r="AA684" i="11" s="1"/>
  <c r="AT684" i="32" s="1"/>
  <c r="Z700" i="11"/>
  <c r="AA700" i="11" s="1"/>
  <c r="AT700" i="32" s="1"/>
  <c r="Z738" i="11"/>
  <c r="AA738" i="11" s="1"/>
  <c r="Z754" i="11"/>
  <c r="AA754" i="11" s="1"/>
  <c r="AT754" i="32" s="1"/>
  <c r="Z770" i="11"/>
  <c r="AA770" i="11" s="1"/>
  <c r="AT770" i="32" s="1"/>
  <c r="Y343" i="11"/>
  <c r="Z343" i="11" s="1"/>
  <c r="AA343" i="11" s="1"/>
  <c r="AT343" i="32" s="1"/>
  <c r="Y457" i="11"/>
  <c r="Z457" i="11" s="1"/>
  <c r="AA457" i="11" s="1"/>
  <c r="AT457" i="32" s="1"/>
  <c r="Y569" i="11"/>
  <c r="Z569" i="11" s="1"/>
  <c r="AA569" i="11" s="1"/>
  <c r="AT569" i="32" s="1"/>
  <c r="Y393" i="11"/>
  <c r="Z393" i="11" s="1"/>
  <c r="AA393" i="11" s="1"/>
  <c r="AT393" i="32" s="1"/>
  <c r="Y525" i="11"/>
  <c r="Z525" i="11" s="1"/>
  <c r="AA525" i="11" s="1"/>
  <c r="Z779" i="11"/>
  <c r="AA779" i="11" s="1"/>
  <c r="AT779" i="32" s="1"/>
  <c r="Y397" i="11"/>
  <c r="Z397" i="11" s="1"/>
  <c r="AA397" i="11" s="1"/>
  <c r="AT397" i="32" s="1"/>
  <c r="Y528" i="11"/>
  <c r="Z528" i="11" s="1"/>
  <c r="AA528" i="11" s="1"/>
  <c r="AT528" i="32" s="1"/>
  <c r="Z696" i="11"/>
  <c r="AA696" i="11" s="1"/>
  <c r="Y332" i="11"/>
  <c r="Z332" i="11" s="1"/>
  <c r="AA332" i="11" s="1"/>
  <c r="AT332" i="32" s="1"/>
  <c r="Y446" i="11"/>
  <c r="Z446" i="11" s="1"/>
  <c r="AA446" i="11" s="1"/>
  <c r="AT446" i="32" s="1"/>
  <c r="Y574" i="11"/>
  <c r="Z574" i="11" s="1"/>
  <c r="AA574" i="11" s="1"/>
  <c r="AT574" i="32" s="1"/>
  <c r="Y415" i="11"/>
  <c r="Z415" i="11" s="1"/>
  <c r="AA415" i="11" s="1"/>
  <c r="AT415" i="32" s="1"/>
  <c r="Y562" i="11"/>
  <c r="Z562" i="11" s="1"/>
  <c r="AA562" i="11" s="1"/>
  <c r="Y400" i="11"/>
  <c r="Z400" i="11" s="1"/>
  <c r="AA400" i="11" s="1"/>
  <c r="AT400" i="32" s="1"/>
  <c r="Y531" i="11"/>
  <c r="Z531" i="11" s="1"/>
  <c r="AA531" i="11" s="1"/>
  <c r="AT531" i="32" s="1"/>
  <c r="Z667" i="11"/>
  <c r="AA667" i="11" s="1"/>
  <c r="AT667" i="32" s="1"/>
  <c r="Y109" i="11"/>
  <c r="Z109" i="11" s="1"/>
  <c r="AA109" i="11" s="1"/>
  <c r="AT109" i="32" s="1"/>
  <c r="Y211" i="11"/>
  <c r="Z211" i="11" s="1"/>
  <c r="AA211" i="11" s="1"/>
  <c r="AT211" i="32" s="1"/>
  <c r="Y304" i="11"/>
  <c r="Z304" i="11" s="1"/>
  <c r="AA304" i="11" s="1"/>
  <c r="AT304" i="32" s="1"/>
  <c r="Y320" i="11"/>
  <c r="Z320" i="11" s="1"/>
  <c r="AA320" i="11" s="1"/>
  <c r="AT320" i="32" s="1"/>
  <c r="Y336" i="11"/>
  <c r="Z336" i="11" s="1"/>
  <c r="AA336" i="11" s="1"/>
  <c r="AT336" i="32" s="1"/>
  <c r="Y384" i="11"/>
  <c r="Z384" i="11" s="1"/>
  <c r="AA384" i="11" s="1"/>
  <c r="AT384" i="32" s="1"/>
  <c r="Y402" i="11"/>
  <c r="Z402" i="11" s="1"/>
  <c r="AA402" i="11" s="1"/>
  <c r="AT402" i="32" s="1"/>
  <c r="Y418" i="11"/>
  <c r="Z418" i="11" s="1"/>
  <c r="AA418" i="11" s="1"/>
  <c r="AT418" i="32" s="1"/>
  <c r="Y434" i="11"/>
  <c r="Z434" i="11" s="1"/>
  <c r="AA434" i="11" s="1"/>
  <c r="AT434" i="32" s="1"/>
  <c r="Y450" i="11"/>
  <c r="Z450" i="11" s="1"/>
  <c r="AA450" i="11" s="1"/>
  <c r="AT450" i="32" s="1"/>
  <c r="Y466" i="11"/>
  <c r="Z466" i="11" s="1"/>
  <c r="AA466" i="11" s="1"/>
  <c r="AT466" i="32" s="1"/>
  <c r="Y485" i="11"/>
  <c r="Z485" i="11" s="1"/>
  <c r="AA485" i="11" s="1"/>
  <c r="AT485" i="32" s="1"/>
  <c r="Y501" i="11"/>
  <c r="Z501" i="11" s="1"/>
  <c r="AA501" i="11" s="1"/>
  <c r="AT501" i="32" s="1"/>
  <c r="Y517" i="11"/>
  <c r="Z517" i="11" s="1"/>
  <c r="AA517" i="11" s="1"/>
  <c r="AT517" i="32" s="1"/>
  <c r="Y533" i="11"/>
  <c r="Z533" i="11" s="1"/>
  <c r="AA533" i="11" s="1"/>
  <c r="AT533" i="32" s="1"/>
  <c r="Z565" i="11"/>
  <c r="AA565" i="11" s="1"/>
  <c r="AT565" i="32" s="1"/>
  <c r="Y578" i="11"/>
  <c r="Z578" i="11" s="1"/>
  <c r="AA578" i="11" s="1"/>
  <c r="AT578" i="32" s="1"/>
  <c r="Z594" i="11"/>
  <c r="AA594" i="11" s="1"/>
  <c r="Y610" i="11"/>
  <c r="Z610" i="11" s="1"/>
  <c r="AA610" i="11" s="1"/>
  <c r="AT610" i="32" s="1"/>
  <c r="Y626" i="11"/>
  <c r="Z626" i="11" s="1"/>
  <c r="AA626" i="11" s="1"/>
  <c r="AT626" i="32" s="1"/>
  <c r="Z669" i="11"/>
  <c r="AA669" i="11" s="1"/>
  <c r="AT669" i="32" s="1"/>
  <c r="Z685" i="11"/>
  <c r="AA685" i="11" s="1"/>
  <c r="AT685" i="32" s="1"/>
  <c r="Z701" i="11"/>
  <c r="AA701" i="11" s="1"/>
  <c r="Z739" i="11"/>
  <c r="AA739" i="11" s="1"/>
  <c r="AT739" i="32" s="1"/>
  <c r="Z755" i="11"/>
  <c r="AA755" i="11" s="1"/>
  <c r="AT755" i="32" s="1"/>
  <c r="Z771" i="11"/>
  <c r="AA771" i="11" s="1"/>
  <c r="AT771" i="32" s="1"/>
  <c r="Y311" i="11"/>
  <c r="Z311" i="11" s="1"/>
  <c r="AA311" i="11" s="1"/>
  <c r="AT311" i="32" s="1"/>
  <c r="Z409" i="11"/>
  <c r="AA409" i="11" s="1"/>
  <c r="AT409" i="32" s="1"/>
  <c r="Y524" i="11"/>
  <c r="Z524" i="11" s="1"/>
  <c r="AA524" i="11" s="1"/>
  <c r="Y633" i="11"/>
  <c r="Z633" i="11" s="1"/>
  <c r="AA633" i="11" s="1"/>
  <c r="Z746" i="11"/>
  <c r="AA746" i="11" s="1"/>
  <c r="AT746" i="32" s="1"/>
  <c r="Y410" i="11"/>
  <c r="Z410" i="11" s="1"/>
  <c r="AA410" i="11" s="1"/>
  <c r="AT410" i="32" s="1"/>
  <c r="Y379" i="11"/>
  <c r="Z379" i="11" s="1"/>
  <c r="AA379" i="11" s="1"/>
  <c r="AT379" i="32" s="1"/>
  <c r="Y512" i="11"/>
  <c r="Z512" i="11" s="1"/>
  <c r="AA512" i="11" s="1"/>
  <c r="AT512" i="32" s="1"/>
  <c r="Y637" i="11"/>
  <c r="Z637" i="11" s="1"/>
  <c r="AA637" i="11" s="1"/>
  <c r="AT637" i="32" s="1"/>
  <c r="Z750" i="11"/>
  <c r="AA750" i="11" s="1"/>
  <c r="AT750" i="32" s="1"/>
  <c r="Y380" i="11"/>
  <c r="Z380" i="11" s="1"/>
  <c r="AA380" i="11" s="1"/>
  <c r="Y513" i="11"/>
  <c r="Z513" i="11" s="1"/>
  <c r="AA513" i="11" s="1"/>
  <c r="AT513" i="32" s="1"/>
  <c r="Y622" i="11"/>
  <c r="Z622" i="11" s="1"/>
  <c r="AA622" i="11" s="1"/>
  <c r="AT622" i="32" s="1"/>
  <c r="Z751" i="11"/>
  <c r="AA751" i="11" s="1"/>
  <c r="AT751" i="32" s="1"/>
  <c r="Y447" i="11"/>
  <c r="Z447" i="11" s="1"/>
  <c r="AA447" i="11" s="1"/>
  <c r="AT447" i="32" s="1"/>
  <c r="Z666" i="11"/>
  <c r="AA666" i="11" s="1"/>
  <c r="AT666" i="32" s="1"/>
  <c r="Y302" i="11"/>
  <c r="Z302" i="11" s="1"/>
  <c r="AA302" i="11" s="1"/>
  <c r="AT302" i="32" s="1"/>
  <c r="Y483" i="11"/>
  <c r="Z483" i="11" s="1"/>
  <c r="AA483" i="11" s="1"/>
  <c r="AT483" i="32" s="1"/>
  <c r="Y608" i="11"/>
  <c r="Z608" i="11" s="1"/>
  <c r="AA608" i="11" s="1"/>
  <c r="Z753" i="11"/>
  <c r="AA753" i="11" s="1"/>
  <c r="AT753" i="32" s="1"/>
  <c r="Y110" i="11"/>
  <c r="Z110" i="11" s="1"/>
  <c r="AA110" i="11" s="1"/>
  <c r="AT110" i="32" s="1"/>
  <c r="Y212" i="11"/>
  <c r="Z212" i="11" s="1"/>
  <c r="AA212" i="11" s="1"/>
  <c r="AT212" i="32" s="1"/>
  <c r="Y305" i="11"/>
  <c r="Z305" i="11" s="1"/>
  <c r="AA305" i="11" s="1"/>
  <c r="AT305" i="32" s="1"/>
  <c r="Y321" i="11"/>
  <c r="Z321" i="11" s="1"/>
  <c r="AA321" i="11" s="1"/>
  <c r="AT321" i="32" s="1"/>
  <c r="Y337" i="11"/>
  <c r="Z337" i="11" s="1"/>
  <c r="AA337" i="11" s="1"/>
  <c r="Y387" i="11"/>
  <c r="Z387" i="11" s="1"/>
  <c r="AA387" i="11" s="1"/>
  <c r="AT387" i="32" s="1"/>
  <c r="Y403" i="11"/>
  <c r="Z403" i="11" s="1"/>
  <c r="AA403" i="11" s="1"/>
  <c r="AT403" i="32" s="1"/>
  <c r="Y419" i="11"/>
  <c r="Z419" i="11" s="1"/>
  <c r="AA419" i="11" s="1"/>
  <c r="AT419" i="32" s="1"/>
  <c r="Y435" i="11"/>
  <c r="Z435" i="11" s="1"/>
  <c r="AA435" i="11" s="1"/>
  <c r="AT435" i="32" s="1"/>
  <c r="Y451" i="11"/>
  <c r="Z451" i="11" s="1"/>
  <c r="AA451" i="11" s="1"/>
  <c r="AT451" i="32" s="1"/>
  <c r="Y467" i="11"/>
  <c r="Z467" i="11" s="1"/>
  <c r="AA467" i="11" s="1"/>
  <c r="AT467" i="32" s="1"/>
  <c r="Y486" i="11"/>
  <c r="Z486" i="11" s="1"/>
  <c r="AA486" i="11" s="1"/>
  <c r="AT486" i="32" s="1"/>
  <c r="Y502" i="11"/>
  <c r="Z502" i="11" s="1"/>
  <c r="AA502" i="11" s="1"/>
  <c r="AT502" i="32" s="1"/>
  <c r="Y518" i="11"/>
  <c r="Z518" i="11" s="1"/>
  <c r="AA518" i="11" s="1"/>
  <c r="Y534" i="11"/>
  <c r="Z534" i="11" s="1"/>
  <c r="AA534" i="11" s="1"/>
  <c r="AT534" i="32" s="1"/>
  <c r="Z566" i="11"/>
  <c r="AA566" i="11" s="1"/>
  <c r="AT566" i="32" s="1"/>
  <c r="Y579" i="11"/>
  <c r="Z579" i="11" s="1"/>
  <c r="AA579" i="11" s="1"/>
  <c r="AT579" i="32" s="1"/>
  <c r="Y595" i="11"/>
  <c r="Z595" i="11" s="1"/>
  <c r="AA595" i="11" s="1"/>
  <c r="AT595" i="32" s="1"/>
  <c r="Y611" i="11"/>
  <c r="Z611" i="11" s="1"/>
  <c r="AA611" i="11" s="1"/>
  <c r="AT611" i="32" s="1"/>
  <c r="Y627" i="11"/>
  <c r="Z627" i="11" s="1"/>
  <c r="AA627" i="11" s="1"/>
  <c r="Z670" i="11"/>
  <c r="AA670" i="11" s="1"/>
  <c r="AT670" i="32" s="1"/>
  <c r="Z686" i="11"/>
  <c r="AA686" i="11" s="1"/>
  <c r="AT686" i="32" s="1"/>
  <c r="Z720" i="11"/>
  <c r="AA720" i="11" s="1"/>
  <c r="Z740" i="11"/>
  <c r="AA740" i="11" s="1"/>
  <c r="AT740" i="32" s="1"/>
  <c r="Z756" i="11"/>
  <c r="AA756" i="11" s="1"/>
  <c r="AT756" i="32" s="1"/>
  <c r="Z772" i="11"/>
  <c r="AA772" i="11" s="1"/>
  <c r="AT772" i="32" s="1"/>
  <c r="Y425" i="11"/>
  <c r="Z425" i="11" s="1"/>
  <c r="AA425" i="11" s="1"/>
  <c r="AT425" i="32" s="1"/>
  <c r="Z762" i="11"/>
  <c r="AA762" i="11" s="1"/>
  <c r="AT762" i="32" s="1"/>
  <c r="Y376" i="11"/>
  <c r="Z376" i="11" s="1"/>
  <c r="AA376" i="11" s="1"/>
  <c r="Z763" i="11"/>
  <c r="AA763" i="11" s="1"/>
  <c r="AT763" i="32" s="1"/>
  <c r="Y206" i="11"/>
  <c r="Z206" i="11" s="1"/>
  <c r="AA206" i="11" s="1"/>
  <c r="AT206" i="32" s="1"/>
  <c r="Y429" i="11"/>
  <c r="Z429" i="11" s="1"/>
  <c r="AA429" i="11" s="1"/>
  <c r="AT429" i="32" s="1"/>
  <c r="Y605" i="11"/>
  <c r="Z605" i="11" s="1"/>
  <c r="AA605" i="11" s="1"/>
  <c r="AT605" i="32" s="1"/>
  <c r="Z782" i="11"/>
  <c r="AA782" i="11" s="1"/>
  <c r="AT782" i="32" s="1"/>
  <c r="Y316" i="11"/>
  <c r="Z316" i="11" s="1"/>
  <c r="AA316" i="11" s="1"/>
  <c r="AT316" i="32" s="1"/>
  <c r="Y462" i="11"/>
  <c r="Z462" i="11" s="1"/>
  <c r="AA462" i="11" s="1"/>
  <c r="AT462" i="32" s="1"/>
  <c r="Y606" i="11"/>
  <c r="Z606" i="11" s="1"/>
  <c r="AA606" i="11" s="1"/>
  <c r="AT606" i="32" s="1"/>
  <c r="Z767" i="11"/>
  <c r="AA767" i="11" s="1"/>
  <c r="AT767" i="32" s="1"/>
  <c r="Y498" i="11"/>
  <c r="Z498" i="11" s="1"/>
  <c r="AA498" i="11" s="1"/>
  <c r="AT498" i="32" s="1"/>
  <c r="Y623" i="11"/>
  <c r="Z623" i="11" s="1"/>
  <c r="AA623" i="11" s="1"/>
  <c r="AT623" i="32" s="1"/>
  <c r="Z768" i="11"/>
  <c r="AA768" i="11" s="1"/>
  <c r="AT768" i="32" s="1"/>
  <c r="Y318" i="11"/>
  <c r="Z318" i="11" s="1"/>
  <c r="AA318" i="11" s="1"/>
  <c r="AT318" i="32" s="1"/>
  <c r="Y416" i="11"/>
  <c r="Z416" i="11" s="1"/>
  <c r="AA416" i="11" s="1"/>
  <c r="AT416" i="32" s="1"/>
  <c r="Y515" i="11"/>
  <c r="Z515" i="11" s="1"/>
  <c r="AA515" i="11" s="1"/>
  <c r="AT515" i="32" s="1"/>
  <c r="Z785" i="11"/>
  <c r="AA785" i="11" s="1"/>
  <c r="AT785" i="32" s="1"/>
  <c r="Y111" i="11"/>
  <c r="Z111" i="11" s="1"/>
  <c r="AA111" i="11" s="1"/>
  <c r="Y213" i="11"/>
  <c r="Z213" i="11" s="1"/>
  <c r="AA213" i="11" s="1"/>
  <c r="AT213" i="32" s="1"/>
  <c r="Y306" i="11"/>
  <c r="Z306" i="11" s="1"/>
  <c r="AA306" i="11" s="1"/>
  <c r="AT306" i="32" s="1"/>
  <c r="Y322" i="11"/>
  <c r="Z322" i="11" s="1"/>
  <c r="AA322" i="11" s="1"/>
  <c r="AT322" i="32" s="1"/>
  <c r="Y338" i="11"/>
  <c r="Z338" i="11" s="1"/>
  <c r="AA338" i="11" s="1"/>
  <c r="Y388" i="11"/>
  <c r="Z388" i="11" s="1"/>
  <c r="AA388" i="11" s="1"/>
  <c r="AT388" i="32" s="1"/>
  <c r="Z404" i="11"/>
  <c r="AA404" i="11" s="1"/>
  <c r="AT404" i="32" s="1"/>
  <c r="Y420" i="11"/>
  <c r="Z420" i="11" s="1"/>
  <c r="AA420" i="11" s="1"/>
  <c r="Y436" i="11"/>
  <c r="Z436" i="11" s="1"/>
  <c r="AA436" i="11" s="1"/>
  <c r="AT436" i="32" s="1"/>
  <c r="Y452" i="11"/>
  <c r="Z452" i="11" s="1"/>
  <c r="AA452" i="11" s="1"/>
  <c r="AT452" i="32" s="1"/>
  <c r="Y468" i="11"/>
  <c r="Z468" i="11" s="1"/>
  <c r="AA468" i="11" s="1"/>
  <c r="AT468" i="32" s="1"/>
  <c r="Y487" i="11"/>
  <c r="Z487" i="11" s="1"/>
  <c r="AA487" i="11" s="1"/>
  <c r="AT487" i="32" s="1"/>
  <c r="Y503" i="11"/>
  <c r="Z503" i="11" s="1"/>
  <c r="AA503" i="11" s="1"/>
  <c r="AT503" i="32" s="1"/>
  <c r="Y519" i="11"/>
  <c r="Z519" i="11" s="1"/>
  <c r="AA519" i="11" s="1"/>
  <c r="AT519" i="32" s="1"/>
  <c r="Z567" i="11"/>
  <c r="AA567" i="11" s="1"/>
  <c r="AT567" i="32" s="1"/>
  <c r="Y580" i="11"/>
  <c r="Z580" i="11" s="1"/>
  <c r="AA580" i="11" s="1"/>
  <c r="AT580" i="32" s="1"/>
  <c r="Y596" i="11"/>
  <c r="Z596" i="11" s="1"/>
  <c r="AA596" i="11" s="1"/>
  <c r="AT596" i="32" s="1"/>
  <c r="Y612" i="11"/>
  <c r="Z612" i="11" s="1"/>
  <c r="AA612" i="11" s="1"/>
  <c r="AT612" i="32" s="1"/>
  <c r="Y628" i="11"/>
  <c r="Z628" i="11" s="1"/>
  <c r="AA628" i="11" s="1"/>
  <c r="AT628" i="32" s="1"/>
  <c r="Y644" i="11"/>
  <c r="Z644" i="11" s="1"/>
  <c r="AA644" i="11" s="1"/>
  <c r="AT644" i="32" s="1"/>
  <c r="Z671" i="11"/>
  <c r="AA671" i="11" s="1"/>
  <c r="AT671" i="32" s="1"/>
  <c r="Z687" i="11"/>
  <c r="AA687" i="11" s="1"/>
  <c r="AT687" i="32" s="1"/>
  <c r="Z721" i="11"/>
  <c r="AA721" i="11" s="1"/>
  <c r="Z741" i="11"/>
  <c r="AA741" i="11" s="1"/>
  <c r="AT741" i="32" s="1"/>
  <c r="Z757" i="11"/>
  <c r="AA757" i="11" s="1"/>
  <c r="AT757" i="32" s="1"/>
  <c r="Z773" i="11"/>
  <c r="AA773" i="11" s="1"/>
  <c r="AT773" i="32" s="1"/>
  <c r="Y218" i="11"/>
  <c r="Z218" i="11" s="1"/>
  <c r="AA218" i="11" s="1"/>
  <c r="AT218" i="32" s="1"/>
  <c r="Y441" i="11"/>
  <c r="Z441" i="11" s="1"/>
  <c r="AA441" i="11" s="1"/>
  <c r="AT441" i="32" s="1"/>
  <c r="Y617" i="11"/>
  <c r="Z617" i="11" s="1"/>
  <c r="AA617" i="11" s="1"/>
  <c r="AT617" i="32" s="1"/>
  <c r="Y493" i="11"/>
  <c r="Z493" i="11" s="1"/>
  <c r="AA493" i="11" s="1"/>
  <c r="AT493" i="32" s="1"/>
  <c r="Y618" i="11"/>
  <c r="Z618" i="11" s="1"/>
  <c r="AA618" i="11" s="1"/>
  <c r="AT618" i="32" s="1"/>
  <c r="Z747" i="11"/>
  <c r="AA747" i="11" s="1"/>
  <c r="AT747" i="32" s="1"/>
  <c r="Y331" i="11"/>
  <c r="Z331" i="11" s="1"/>
  <c r="AA331" i="11" s="1"/>
  <c r="AT331" i="32" s="1"/>
  <c r="Y461" i="11"/>
  <c r="Z461" i="11" s="1"/>
  <c r="AA461" i="11" s="1"/>
  <c r="AT461" i="32" s="1"/>
  <c r="Y621" i="11"/>
  <c r="Z621" i="11" s="1"/>
  <c r="AA621" i="11" s="1"/>
  <c r="AT621" i="32" s="1"/>
  <c r="Y300" i="11"/>
  <c r="Z300" i="11" s="1"/>
  <c r="AA300" i="11" s="1"/>
  <c r="AT300" i="32" s="1"/>
  <c r="Y430" i="11"/>
  <c r="Z430" i="11" s="1"/>
  <c r="AA430" i="11" s="1"/>
  <c r="AT430" i="32" s="1"/>
  <c r="Y529" i="11"/>
  <c r="Z529" i="11" s="1"/>
  <c r="AA529" i="11" s="1"/>
  <c r="AT529" i="32" s="1"/>
  <c r="Y638" i="11"/>
  <c r="Z638" i="11" s="1"/>
  <c r="AA638" i="11" s="1"/>
  <c r="AT638" i="32" s="1"/>
  <c r="Z783" i="11"/>
  <c r="AA783" i="11" s="1"/>
  <c r="AT783" i="32" s="1"/>
  <c r="Y208" i="11"/>
  <c r="Z208" i="11" s="1"/>
  <c r="AA208" i="11" s="1"/>
  <c r="AT208" i="32" s="1"/>
  <c r="Y431" i="11"/>
  <c r="Z431" i="11" s="1"/>
  <c r="AA431" i="11" s="1"/>
  <c r="AT431" i="32" s="1"/>
  <c r="Y209" i="11"/>
  <c r="Z209" i="11" s="1"/>
  <c r="AA209" i="11" s="1"/>
  <c r="AT209" i="32" s="1"/>
  <c r="Y432" i="11"/>
  <c r="Z432" i="11" s="1"/>
  <c r="AA432" i="11" s="1"/>
  <c r="AT432" i="32" s="1"/>
  <c r="Y624" i="11"/>
  <c r="Z624" i="11" s="1"/>
  <c r="AA624" i="11" s="1"/>
  <c r="AT624" i="32" s="1"/>
  <c r="Z769" i="11"/>
  <c r="AA769" i="11" s="1"/>
  <c r="AT769" i="32" s="1"/>
  <c r="Y112" i="11"/>
  <c r="Z112" i="11" s="1"/>
  <c r="AA112" i="11" s="1"/>
  <c r="Y214" i="11"/>
  <c r="Z214" i="11" s="1"/>
  <c r="AA214" i="11" s="1"/>
  <c r="AT214" i="32" s="1"/>
  <c r="Y307" i="11"/>
  <c r="Z307" i="11" s="1"/>
  <c r="AA307" i="11" s="1"/>
  <c r="AT307" i="32" s="1"/>
  <c r="Y323" i="11"/>
  <c r="Z323" i="11" s="1"/>
  <c r="AA323" i="11" s="1"/>
  <c r="AT323" i="32" s="1"/>
  <c r="Y339" i="11"/>
  <c r="Z339" i="11" s="1"/>
  <c r="AA339" i="11" s="1"/>
  <c r="Y389" i="11"/>
  <c r="Z389" i="11" s="1"/>
  <c r="AA389" i="11" s="1"/>
  <c r="AT389" i="32" s="1"/>
  <c r="Y421" i="11"/>
  <c r="Z421" i="11" s="1"/>
  <c r="AA421" i="11" s="1"/>
  <c r="AT421" i="32" s="1"/>
  <c r="Y437" i="11"/>
  <c r="Z437" i="11" s="1"/>
  <c r="AA437" i="11" s="1"/>
  <c r="AT437" i="32" s="1"/>
  <c r="Y453" i="11"/>
  <c r="Z453" i="11" s="1"/>
  <c r="AA453" i="11" s="1"/>
  <c r="AT453" i="32" s="1"/>
  <c r="Y469" i="11"/>
  <c r="Z469" i="11" s="1"/>
  <c r="AA469" i="11" s="1"/>
  <c r="AT469" i="32" s="1"/>
  <c r="Y488" i="11"/>
  <c r="Z488" i="11" s="1"/>
  <c r="AA488" i="11" s="1"/>
  <c r="AT488" i="32" s="1"/>
  <c r="Y504" i="11"/>
  <c r="Z504" i="11" s="1"/>
  <c r="AA504" i="11" s="1"/>
  <c r="AT504" i="32" s="1"/>
  <c r="Y520" i="11"/>
  <c r="Z520" i="11" s="1"/>
  <c r="AA520" i="11" s="1"/>
  <c r="AT520" i="32" s="1"/>
  <c r="Y581" i="11"/>
  <c r="Z581" i="11" s="1"/>
  <c r="AA581" i="11" s="1"/>
  <c r="AT581" i="32" s="1"/>
  <c r="Y597" i="11"/>
  <c r="Z597" i="11" s="1"/>
  <c r="AA597" i="11" s="1"/>
  <c r="AT597" i="32" s="1"/>
  <c r="Y613" i="11"/>
  <c r="Z613" i="11" s="1"/>
  <c r="AA613" i="11" s="1"/>
  <c r="Y629" i="11"/>
  <c r="Z629" i="11" s="1"/>
  <c r="AA629" i="11" s="1"/>
  <c r="Y645" i="11"/>
  <c r="Z645" i="11" s="1"/>
  <c r="AA645" i="11" s="1"/>
  <c r="Z672" i="11"/>
  <c r="AA672" i="11" s="1"/>
  <c r="AT672" i="32" s="1"/>
  <c r="Z688" i="11"/>
  <c r="AA688" i="11" s="1"/>
  <c r="AT688" i="32" s="1"/>
  <c r="Z722" i="11"/>
  <c r="AA722" i="11" s="1"/>
  <c r="AT722" i="32" s="1"/>
  <c r="Z742" i="11"/>
  <c r="AA742" i="11" s="1"/>
  <c r="AT742" i="32" s="1"/>
  <c r="Z758" i="11"/>
  <c r="AA758" i="11" s="1"/>
  <c r="AT758" i="32" s="1"/>
  <c r="Z774" i="11"/>
  <c r="AA774" i="11" s="1"/>
  <c r="AT774" i="32" s="1"/>
  <c r="Y394" i="11"/>
  <c r="Z394" i="11" s="1"/>
  <c r="AA394" i="11" s="1"/>
  <c r="AT394" i="32" s="1"/>
  <c r="Y344" i="11"/>
  <c r="Z344" i="11" s="1"/>
  <c r="AA344" i="11" s="1"/>
  <c r="AT344" i="32" s="1"/>
  <c r="Y509" i="11"/>
  <c r="Z509" i="11" s="1"/>
  <c r="AA509" i="11" s="1"/>
  <c r="AT509" i="32" s="1"/>
  <c r="Z677" i="11"/>
  <c r="AA677" i="11" s="1"/>
  <c r="AT677" i="32" s="1"/>
  <c r="Y104" i="11"/>
  <c r="Z104" i="11" s="1"/>
  <c r="AA104" i="11" s="1"/>
  <c r="AT104" i="32" s="1"/>
  <c r="Z315" i="11"/>
  <c r="AA315" i="11" s="1"/>
  <c r="AT315" i="32" s="1"/>
  <c r="Y445" i="11"/>
  <c r="Z445" i="11" s="1"/>
  <c r="AA445" i="11" s="1"/>
  <c r="AT445" i="32" s="1"/>
  <c r="Y573" i="11"/>
  <c r="Z573" i="11" s="1"/>
  <c r="AA573" i="11" s="1"/>
  <c r="AT573" i="32" s="1"/>
  <c r="Y207" i="11"/>
  <c r="Z207" i="11" s="1"/>
  <c r="AA207" i="11" s="1"/>
  <c r="Y414" i="11"/>
  <c r="Z414" i="11" s="1"/>
  <c r="AA414" i="11" s="1"/>
  <c r="AT414" i="32" s="1"/>
  <c r="Y654" i="11"/>
  <c r="Z654" i="11" s="1"/>
  <c r="AA654" i="11" s="1"/>
  <c r="Y381" i="11"/>
  <c r="Z381" i="11" s="1"/>
  <c r="AA381" i="11" s="1"/>
  <c r="AT381" i="32" s="1"/>
  <c r="Y514" i="11"/>
  <c r="Z514" i="11" s="1"/>
  <c r="AA514" i="11" s="1"/>
  <c r="AT514" i="32" s="1"/>
  <c r="Z752" i="11"/>
  <c r="AA752" i="11" s="1"/>
  <c r="AT752" i="32" s="1"/>
  <c r="Y334" i="11"/>
  <c r="Z334" i="11" s="1"/>
  <c r="AA334" i="11" s="1"/>
  <c r="AT334" i="32" s="1"/>
  <c r="Y448" i="11"/>
  <c r="Z448" i="11" s="1"/>
  <c r="AA448" i="11" s="1"/>
  <c r="AT448" i="32" s="1"/>
  <c r="Y563" i="11"/>
  <c r="Z563" i="11" s="1"/>
  <c r="AA563" i="11" s="1"/>
  <c r="Z683" i="11"/>
  <c r="AA683" i="11" s="1"/>
  <c r="AT683" i="32" s="1"/>
  <c r="Y113" i="11"/>
  <c r="Z113" i="11" s="1"/>
  <c r="AA113" i="11" s="1"/>
  <c r="AT113" i="32" s="1"/>
  <c r="Y215" i="11"/>
  <c r="Z215" i="11" s="1"/>
  <c r="AA215" i="11" s="1"/>
  <c r="AT215" i="32" s="1"/>
  <c r="Y308" i="11"/>
  <c r="Z308" i="11" s="1"/>
  <c r="AA308" i="11" s="1"/>
  <c r="AT308" i="32" s="1"/>
  <c r="Y324" i="11"/>
  <c r="Z324" i="11" s="1"/>
  <c r="AA324" i="11" s="1"/>
  <c r="AT324" i="32" s="1"/>
  <c r="Y340" i="11"/>
  <c r="Z340" i="11" s="1"/>
  <c r="AA340" i="11" s="1"/>
  <c r="AT340" i="32" s="1"/>
  <c r="Y390" i="11"/>
  <c r="Z390" i="11" s="1"/>
  <c r="AA390" i="11" s="1"/>
  <c r="AT390" i="32" s="1"/>
  <c r="Y422" i="11"/>
  <c r="Z422" i="11" s="1"/>
  <c r="AA422" i="11" s="1"/>
  <c r="AT422" i="32" s="1"/>
  <c r="Y438" i="11"/>
  <c r="Z438" i="11" s="1"/>
  <c r="AA438" i="11" s="1"/>
  <c r="AT438" i="32" s="1"/>
  <c r="Y454" i="11"/>
  <c r="Z454" i="11" s="1"/>
  <c r="AA454" i="11" s="1"/>
  <c r="AT454" i="32" s="1"/>
  <c r="Y470" i="11"/>
  <c r="Z470" i="11" s="1"/>
  <c r="AA470" i="11" s="1"/>
  <c r="AT470" i="32" s="1"/>
  <c r="Y489" i="11"/>
  <c r="Z489" i="11" s="1"/>
  <c r="AA489" i="11" s="1"/>
  <c r="AT489" i="32" s="1"/>
  <c r="Y505" i="11"/>
  <c r="Z505" i="11" s="1"/>
  <c r="AA505" i="11" s="1"/>
  <c r="AT505" i="32" s="1"/>
  <c r="Y521" i="11"/>
  <c r="Z521" i="11" s="1"/>
  <c r="AA521" i="11" s="1"/>
  <c r="Y598" i="11"/>
  <c r="Z598" i="11" s="1"/>
  <c r="AA598" i="11" s="1"/>
  <c r="AT598" i="32" s="1"/>
  <c r="Y614" i="11"/>
  <c r="Z614" i="11" s="1"/>
  <c r="AA614" i="11" s="1"/>
  <c r="AT614" i="32" s="1"/>
  <c r="Y630" i="11"/>
  <c r="Z630" i="11" s="1"/>
  <c r="AA630" i="11" s="1"/>
  <c r="AT630" i="32" s="1"/>
  <c r="Y646" i="11"/>
  <c r="Z646" i="11" s="1"/>
  <c r="AA646" i="11" s="1"/>
  <c r="AT646" i="32" s="1"/>
  <c r="Z673" i="11"/>
  <c r="AA673" i="11" s="1"/>
  <c r="AT673" i="32" s="1"/>
  <c r="Z689" i="11"/>
  <c r="AA689" i="11" s="1"/>
  <c r="AT689" i="32" s="1"/>
  <c r="Z723" i="11"/>
  <c r="AA723" i="11" s="1"/>
  <c r="Z743" i="11"/>
  <c r="AA743" i="11" s="1"/>
  <c r="AT743" i="32" s="1"/>
  <c r="Z759" i="11"/>
  <c r="AA759" i="11" s="1"/>
  <c r="AT759" i="32" s="1"/>
  <c r="Z775" i="11"/>
  <c r="AA775" i="11" s="1"/>
  <c r="AT775" i="32" s="1"/>
  <c r="Y492" i="11"/>
  <c r="Z492" i="11" s="1"/>
  <c r="AA492" i="11" s="1"/>
  <c r="AT492" i="32" s="1"/>
  <c r="Y601" i="11"/>
  <c r="Z601" i="11" s="1"/>
  <c r="AA601" i="11" s="1"/>
  <c r="Z692" i="11"/>
  <c r="AA692" i="11" s="1"/>
  <c r="AT692" i="32" s="1"/>
  <c r="Y426" i="11"/>
  <c r="Z426" i="11" s="1"/>
  <c r="AA426" i="11" s="1"/>
  <c r="AT426" i="32" s="1"/>
  <c r="Y570" i="11"/>
  <c r="Z570" i="11" s="1"/>
  <c r="AA570" i="11" s="1"/>
  <c r="AT570" i="32" s="1"/>
  <c r="Y650" i="11"/>
  <c r="Z650" i="11" s="1"/>
  <c r="AA650" i="11" s="1"/>
  <c r="AT650" i="32" s="1"/>
  <c r="Y496" i="11"/>
  <c r="Z496" i="11" s="1"/>
  <c r="AA496" i="11" s="1"/>
  <c r="Y481" i="11"/>
  <c r="Z481" i="11" s="1"/>
  <c r="AA481" i="11" s="1"/>
  <c r="AT481" i="32" s="1"/>
  <c r="Y106" i="11"/>
  <c r="Z106" i="11" s="1"/>
  <c r="AA106" i="11" s="1"/>
  <c r="AT106" i="32" s="1"/>
  <c r="Y317" i="11"/>
  <c r="Z317" i="11" s="1"/>
  <c r="AA317" i="11" s="1"/>
  <c r="AT317" i="32" s="1"/>
  <c r="Y482" i="11"/>
  <c r="Z482" i="11" s="1"/>
  <c r="AA482" i="11" s="1"/>
  <c r="AT482" i="32" s="1"/>
  <c r="Y607" i="11"/>
  <c r="Z607" i="11" s="1"/>
  <c r="AA607" i="11" s="1"/>
  <c r="AT607" i="32" s="1"/>
  <c r="Y107" i="11"/>
  <c r="Z107" i="11" s="1"/>
  <c r="AA107" i="11" s="1"/>
  <c r="AT107" i="32" s="1"/>
  <c r="Y464" i="11"/>
  <c r="Z464" i="11" s="1"/>
  <c r="AA464" i="11" s="1"/>
  <c r="AT464" i="32" s="1"/>
  <c r="Z699" i="11"/>
  <c r="AA699" i="11" s="1"/>
  <c r="Y216" i="11"/>
  <c r="Z216" i="11" s="1"/>
  <c r="AA216" i="11" s="1"/>
  <c r="AT216" i="32" s="1"/>
  <c r="Y309" i="11"/>
  <c r="Z309" i="11" s="1"/>
  <c r="AA309" i="11" s="1"/>
  <c r="AT309" i="32" s="1"/>
  <c r="Y325" i="11"/>
  <c r="Z325" i="11" s="1"/>
  <c r="AA325" i="11" s="1"/>
  <c r="AT325" i="32" s="1"/>
  <c r="Y341" i="11"/>
  <c r="Z341" i="11" s="1"/>
  <c r="AA341" i="11" s="1"/>
  <c r="AT341" i="32" s="1"/>
  <c r="Y391" i="11"/>
  <c r="Z391" i="11" s="1"/>
  <c r="AA391" i="11" s="1"/>
  <c r="AT391" i="32" s="1"/>
  <c r="Y423" i="11"/>
  <c r="Z423" i="11" s="1"/>
  <c r="AA423" i="11" s="1"/>
  <c r="AT423" i="32" s="1"/>
  <c r="Y439" i="11"/>
  <c r="Z439" i="11" s="1"/>
  <c r="AA439" i="11" s="1"/>
  <c r="AT439" i="32" s="1"/>
  <c r="Y455" i="11"/>
  <c r="Z455" i="11" s="1"/>
  <c r="AA455" i="11" s="1"/>
  <c r="AT455" i="32" s="1"/>
  <c r="Y471" i="11"/>
  <c r="Z471" i="11" s="1"/>
  <c r="AA471" i="11" s="1"/>
  <c r="AT471" i="32" s="1"/>
  <c r="Y490" i="11"/>
  <c r="Z490" i="11" s="1"/>
  <c r="AA490" i="11" s="1"/>
  <c r="AT490" i="32" s="1"/>
  <c r="Y506" i="11"/>
  <c r="Z506" i="11" s="1"/>
  <c r="AA506" i="11" s="1"/>
  <c r="AT506" i="32" s="1"/>
  <c r="Y522" i="11"/>
  <c r="Z522" i="11" s="1"/>
  <c r="AA522" i="11" s="1"/>
  <c r="AT522" i="32" s="1"/>
  <c r="Y599" i="11"/>
  <c r="Z599" i="11" s="1"/>
  <c r="AA599" i="11" s="1"/>
  <c r="AT599" i="32" s="1"/>
  <c r="Y615" i="11"/>
  <c r="Z615" i="11" s="1"/>
  <c r="AA615" i="11" s="1"/>
  <c r="AT615" i="32" s="1"/>
  <c r="Y631" i="11"/>
  <c r="Z631" i="11" s="1"/>
  <c r="AA631" i="11" s="1"/>
  <c r="AT631" i="32" s="1"/>
  <c r="Y647" i="11"/>
  <c r="Z647" i="11" s="1"/>
  <c r="AA647" i="11" s="1"/>
  <c r="Z674" i="11"/>
  <c r="AA674" i="11" s="1"/>
  <c r="AT674" i="32" s="1"/>
  <c r="Z690" i="11"/>
  <c r="AA690" i="11" s="1"/>
  <c r="AT690" i="32" s="1"/>
  <c r="Z724" i="11"/>
  <c r="AA724" i="11" s="1"/>
  <c r="Z744" i="11"/>
  <c r="AA744" i="11" s="1"/>
  <c r="AT744" i="32" s="1"/>
  <c r="Z776" i="11"/>
  <c r="AA776" i="11" s="1"/>
  <c r="AT776" i="32" s="1"/>
  <c r="Y473" i="11"/>
  <c r="Z473" i="11" s="1"/>
  <c r="AA473" i="11" s="1"/>
  <c r="AT473" i="32" s="1"/>
  <c r="Y296" i="11"/>
  <c r="Z296" i="11" s="1"/>
  <c r="AA296" i="11" s="1"/>
  <c r="AT296" i="32" s="1"/>
  <c r="Y442" i="11"/>
  <c r="Z442" i="11" s="1"/>
  <c r="AA442" i="11" s="1"/>
  <c r="AT442" i="32" s="1"/>
  <c r="Y299" i="11"/>
  <c r="Z299" i="11" s="1"/>
  <c r="AA299" i="11" s="1"/>
  <c r="AT299" i="32" s="1"/>
  <c r="Y413" i="11"/>
  <c r="Z413" i="11" s="1"/>
  <c r="AA413" i="11" s="1"/>
  <c r="AT413" i="32" s="1"/>
  <c r="Z680" i="11"/>
  <c r="AA680" i="11" s="1"/>
  <c r="AT680" i="32" s="1"/>
  <c r="Z766" i="11"/>
  <c r="AA766" i="11" s="1"/>
  <c r="AT766" i="32" s="1"/>
  <c r="Y105" i="11"/>
  <c r="Z105" i="11" s="1"/>
  <c r="AA105" i="11" s="1"/>
  <c r="AT105" i="32" s="1"/>
  <c r="Y398" i="11"/>
  <c r="Z398" i="11" s="1"/>
  <c r="AA398" i="11" s="1"/>
  <c r="AT398" i="32" s="1"/>
  <c r="Z681" i="11"/>
  <c r="AA681" i="11" s="1"/>
  <c r="AT681" i="32" s="1"/>
  <c r="Y301" i="11"/>
  <c r="Z301" i="11" s="1"/>
  <c r="AA301" i="11" s="1"/>
  <c r="AT301" i="32" s="1"/>
  <c r="Y399" i="11"/>
  <c r="Z399" i="11" s="1"/>
  <c r="AA399" i="11" s="1"/>
  <c r="AT399" i="32" s="1"/>
  <c r="Y530" i="11"/>
  <c r="Z530" i="11" s="1"/>
  <c r="AA530" i="11" s="1"/>
  <c r="AT530" i="32" s="1"/>
  <c r="Z698" i="11"/>
  <c r="AA698" i="11" s="1"/>
  <c r="AT698" i="32" s="1"/>
  <c r="Y499" i="11"/>
  <c r="Z499" i="11" s="1"/>
  <c r="AA499" i="11" s="1"/>
  <c r="AT499" i="32" s="1"/>
  <c r="Y99" i="11"/>
  <c r="Z99" i="11" s="1"/>
  <c r="AA99" i="11" s="1"/>
  <c r="AT99" i="32" s="1"/>
  <c r="Y217" i="11"/>
  <c r="Z217" i="11" s="1"/>
  <c r="AA217" i="11" s="1"/>
  <c r="AT217" i="32" s="1"/>
  <c r="Y310" i="11"/>
  <c r="Z310" i="11" s="1"/>
  <c r="AA310" i="11" s="1"/>
  <c r="AT310" i="32" s="1"/>
  <c r="Y326" i="11"/>
  <c r="Z326" i="11" s="1"/>
  <c r="AA326" i="11" s="1"/>
  <c r="AT326" i="32" s="1"/>
  <c r="Y342" i="11"/>
  <c r="Z342" i="11" s="1"/>
  <c r="AA342" i="11" s="1"/>
  <c r="AT342" i="32" s="1"/>
  <c r="Y392" i="11"/>
  <c r="Z392" i="11" s="1"/>
  <c r="AA392" i="11" s="1"/>
  <c r="AT392" i="32" s="1"/>
  <c r="Y424" i="11"/>
  <c r="Z424" i="11" s="1"/>
  <c r="AA424" i="11" s="1"/>
  <c r="AT424" i="32" s="1"/>
  <c r="Y440" i="11"/>
  <c r="Z440" i="11" s="1"/>
  <c r="AA440" i="11" s="1"/>
  <c r="AT440" i="32" s="1"/>
  <c r="Y456" i="11"/>
  <c r="Z456" i="11" s="1"/>
  <c r="AA456" i="11" s="1"/>
  <c r="AT456" i="32" s="1"/>
  <c r="Y472" i="11"/>
  <c r="Z472" i="11" s="1"/>
  <c r="AA472" i="11" s="1"/>
  <c r="AT472" i="32" s="1"/>
  <c r="Y491" i="11"/>
  <c r="Z491" i="11" s="1"/>
  <c r="AA491" i="11" s="1"/>
  <c r="AT491" i="32" s="1"/>
  <c r="Y507" i="11"/>
  <c r="Z507" i="11" s="1"/>
  <c r="AA507" i="11" s="1"/>
  <c r="AT507" i="32" s="1"/>
  <c r="Y523" i="11"/>
  <c r="Z523" i="11" s="1"/>
  <c r="AA523" i="11" s="1"/>
  <c r="Y568" i="11"/>
  <c r="Z568" i="11" s="1"/>
  <c r="AA568" i="11" s="1"/>
  <c r="AT568" i="32" s="1"/>
  <c r="Y600" i="11"/>
  <c r="Z600" i="11" s="1"/>
  <c r="AA600" i="11" s="1"/>
  <c r="AT600" i="32" s="1"/>
  <c r="Y616" i="11"/>
  <c r="Z616" i="11" s="1"/>
  <c r="AA616" i="11" s="1"/>
  <c r="AT616" i="32" s="1"/>
  <c r="Y632" i="11"/>
  <c r="Z632" i="11" s="1"/>
  <c r="AA632" i="11" s="1"/>
  <c r="AT632" i="32" s="1"/>
  <c r="Z675" i="11"/>
  <c r="AA675" i="11" s="1"/>
  <c r="AT675" i="32" s="1"/>
  <c r="Z691" i="11"/>
  <c r="AA691" i="11" s="1"/>
  <c r="AT691" i="32" s="1"/>
  <c r="Z725" i="11"/>
  <c r="AA725" i="11" s="1"/>
  <c r="AT725" i="32" s="1"/>
  <c r="Z745" i="11"/>
  <c r="AA745" i="11" s="1"/>
  <c r="AT745" i="32" s="1"/>
  <c r="Z777" i="11"/>
  <c r="AA777" i="11" s="1"/>
  <c r="AT777" i="32" s="1"/>
  <c r="AI45" i="12" l="1"/>
  <c r="U45" i="12"/>
  <c r="AI57" i="12"/>
  <c r="U57" i="12"/>
  <c r="AI17" i="12"/>
  <c r="U17" i="12"/>
  <c r="AI38" i="12"/>
  <c r="U38" i="12"/>
  <c r="AI11" i="12"/>
  <c r="U11" i="12"/>
  <c r="AI53" i="12"/>
  <c r="U53" i="12"/>
  <c r="AI13" i="12"/>
  <c r="U13" i="12"/>
  <c r="AI41" i="12"/>
  <c r="U41" i="12"/>
  <c r="AI26" i="12"/>
  <c r="U26" i="12"/>
  <c r="AI34" i="12"/>
  <c r="U34" i="12"/>
  <c r="AI24" i="12"/>
  <c r="U24" i="12"/>
  <c r="AI20" i="12"/>
  <c r="U20" i="12"/>
  <c r="AI42" i="12"/>
  <c r="U42" i="12"/>
  <c r="AI40" i="12"/>
  <c r="U40" i="12"/>
  <c r="AI23" i="12"/>
  <c r="U23" i="12"/>
  <c r="AI29" i="12"/>
  <c r="U29" i="12"/>
  <c r="U64" i="12"/>
  <c r="AI64" i="12"/>
  <c r="AI28" i="12"/>
  <c r="U28" i="12"/>
  <c r="AI16" i="12"/>
  <c r="U16" i="12"/>
  <c r="AI36" i="12"/>
  <c r="U36" i="12"/>
  <c r="AI27" i="12"/>
  <c r="U27" i="12"/>
  <c r="AI46" i="12"/>
  <c r="U46" i="12"/>
  <c r="AI19" i="12"/>
  <c r="U19" i="12"/>
  <c r="AI63" i="12"/>
  <c r="U63" i="12"/>
  <c r="AI47" i="12"/>
  <c r="U47" i="12"/>
  <c r="U61" i="12"/>
  <c r="AI61" i="12"/>
  <c r="AI39" i="12"/>
  <c r="U39" i="12"/>
  <c r="AI18" i="12"/>
  <c r="U18" i="12"/>
  <c r="AI52" i="12"/>
  <c r="U52" i="12"/>
  <c r="AI25" i="12"/>
  <c r="U25" i="12"/>
  <c r="AI44" i="12"/>
  <c r="U44" i="12"/>
  <c r="AI48" i="12"/>
  <c r="U48" i="12"/>
  <c r="AI12" i="12"/>
  <c r="U12" i="12"/>
  <c r="AI15" i="12"/>
  <c r="U15" i="12"/>
  <c r="AI35" i="12"/>
  <c r="U35" i="12"/>
  <c r="AI51" i="12"/>
  <c r="U51" i="12"/>
  <c r="AI21" i="12"/>
  <c r="U21" i="12"/>
  <c r="AI37" i="12"/>
  <c r="U37" i="12"/>
  <c r="AI30" i="12"/>
  <c r="U30" i="12"/>
  <c r="AI59" i="12"/>
  <c r="U59" i="12"/>
  <c r="AI33" i="12"/>
  <c r="U33" i="12"/>
  <c r="AI14" i="12"/>
  <c r="U14" i="12"/>
  <c r="AH7" i="12"/>
  <c r="AH6" i="12"/>
  <c r="AH5" i="12"/>
  <c r="AH2" i="12"/>
  <c r="AH3" i="12"/>
  <c r="AH4" i="12"/>
  <c r="AI54" i="12"/>
  <c r="U54" i="12"/>
  <c r="AI31" i="12"/>
  <c r="U31" i="12"/>
  <c r="AI60" i="12"/>
  <c r="U60" i="12"/>
  <c r="AI32" i="12"/>
  <c r="U32" i="12"/>
  <c r="AI55" i="12"/>
  <c r="U55" i="12"/>
  <c r="AI22" i="12"/>
  <c r="U22" i="12"/>
  <c r="AA71" i="24"/>
  <c r="AG71" i="12" s="1"/>
  <c r="AA103" i="29"/>
  <c r="AA73" i="29"/>
  <c r="AA42" i="29"/>
  <c r="AA85" i="29"/>
  <c r="AA90" i="29"/>
  <c r="AA59" i="29"/>
  <c r="AA80" i="24"/>
  <c r="AG80" i="12" s="1"/>
  <c r="AA50" i="24"/>
  <c r="AG50" i="12" s="1"/>
  <c r="AA50" i="29"/>
  <c r="AA61" i="29"/>
  <c r="AA56" i="29"/>
  <c r="AA56" i="24"/>
  <c r="AG56" i="12" s="1"/>
  <c r="AA49" i="24"/>
  <c r="AG49" i="12" s="1"/>
  <c r="AA49" i="29"/>
  <c r="AA102" i="24"/>
  <c r="AG102" i="12" s="1"/>
  <c r="AA102" i="29"/>
  <c r="AA101" i="24"/>
  <c r="AG101" i="12" s="1"/>
  <c r="AA101" i="29"/>
  <c r="AA100" i="29"/>
  <c r="AA100" i="24"/>
  <c r="AG100" i="12" s="1"/>
  <c r="AA99" i="29"/>
  <c r="AA99" i="24"/>
  <c r="AG99" i="12" s="1"/>
  <c r="AA98" i="29"/>
  <c r="AA98" i="24"/>
  <c r="AG98" i="12" s="1"/>
  <c r="AA96" i="29"/>
  <c r="AA96" i="24"/>
  <c r="AG96" i="12" s="1"/>
  <c r="AA95" i="24"/>
  <c r="AG95" i="12" s="1"/>
  <c r="AA95" i="29"/>
  <c r="AA93" i="24"/>
  <c r="AG93" i="12" s="1"/>
  <c r="AA93" i="29"/>
  <c r="AA94" i="29"/>
  <c r="AA94" i="24"/>
  <c r="AG94" i="12" s="1"/>
  <c r="AA89" i="29"/>
  <c r="AA89" i="24"/>
  <c r="AG89" i="12" s="1"/>
  <c r="AA87" i="24"/>
  <c r="AG87" i="12" s="1"/>
  <c r="AA87" i="29"/>
  <c r="AA82" i="24"/>
  <c r="AG82" i="12" s="1"/>
  <c r="AA82" i="29"/>
  <c r="AA79" i="24"/>
  <c r="AG79" i="12" s="1"/>
  <c r="AA79" i="29"/>
  <c r="AA72" i="24"/>
  <c r="AG72" i="12" s="1"/>
  <c r="AA72" i="29"/>
  <c r="AA39" i="24"/>
  <c r="AG39" i="12" s="1"/>
  <c r="AA46" i="24"/>
  <c r="AG46" i="12" s="1"/>
  <c r="AA78" i="24"/>
  <c r="AG78" i="12" s="1"/>
  <c r="AA73" i="24"/>
  <c r="AG73" i="12" s="1"/>
  <c r="AA43" i="24"/>
  <c r="AG43" i="12" s="1"/>
  <c r="AA81" i="24"/>
  <c r="AG81" i="12" s="1"/>
  <c r="AA54" i="24"/>
  <c r="AG54" i="12" s="1"/>
  <c r="AA48" i="24"/>
  <c r="AG48" i="12" s="1"/>
  <c r="AA85" i="24"/>
  <c r="AG85" i="12" s="1"/>
  <c r="AA47" i="24"/>
  <c r="AG47" i="12" s="1"/>
  <c r="AA91" i="24"/>
  <c r="AG91" i="12" s="1"/>
  <c r="AA44" i="24"/>
  <c r="AG44" i="12" s="1"/>
  <c r="AA83" i="24"/>
  <c r="AG83" i="12" s="1"/>
  <c r="AA52" i="24"/>
  <c r="AG52" i="12" s="1"/>
  <c r="AA59" i="24"/>
  <c r="AG59" i="12" s="1"/>
  <c r="AA92" i="24"/>
  <c r="AG92" i="12" s="1"/>
  <c r="AA90" i="24"/>
  <c r="AG90" i="12" s="1"/>
  <c r="AA41" i="24"/>
  <c r="AG41" i="12" s="1"/>
  <c r="AA42" i="24"/>
  <c r="AG42" i="12" s="1"/>
  <c r="AA97" i="24"/>
  <c r="AG97" i="12" s="1"/>
  <c r="AA40" i="24"/>
  <c r="AG40" i="12" s="1"/>
  <c r="AA77" i="24"/>
  <c r="AG77" i="12" s="1"/>
  <c r="AA51" i="24"/>
  <c r="AG51" i="12" s="1"/>
  <c r="AA45" i="24"/>
  <c r="AG45" i="12" s="1"/>
  <c r="AA57" i="24"/>
  <c r="AG57" i="12" s="1"/>
  <c r="AA60" i="24"/>
  <c r="AG60" i="12" s="1"/>
  <c r="AA61" i="24"/>
  <c r="AG61" i="12" s="1"/>
  <c r="AA86" i="24"/>
  <c r="AG86" i="12" s="1"/>
  <c r="AA53" i="24"/>
  <c r="AG53" i="12" s="1"/>
  <c r="AA55" i="24"/>
  <c r="AG55" i="12" s="1"/>
  <c r="AA88" i="24"/>
  <c r="AG88" i="12" s="1"/>
  <c r="AA84" i="24"/>
  <c r="AG84" i="12" s="1"/>
  <c r="AB7" i="24"/>
  <c r="AB2" i="24"/>
  <c r="AB3" i="24"/>
  <c r="AB4" i="24"/>
  <c r="AB5" i="24"/>
  <c r="AB6" i="24"/>
  <c r="AO295" i="32"/>
  <c r="AS295" i="32"/>
  <c r="AV295" i="32"/>
  <c r="AT647" i="10"/>
  <c r="AT390" i="10"/>
  <c r="AT573" i="10"/>
  <c r="AT613" i="10"/>
  <c r="AT493" i="10"/>
  <c r="AT519" i="10"/>
  <c r="AT416" i="10"/>
  <c r="AT425" i="10"/>
  <c r="AT467" i="10"/>
  <c r="AT447" i="10"/>
  <c r="AT434" i="10"/>
  <c r="AT332" i="10"/>
  <c r="AT668" i="10"/>
  <c r="AT335" i="10"/>
  <c r="AT527" i="10"/>
  <c r="AT411" i="10"/>
  <c r="AT464" i="10"/>
  <c r="AT340" i="10"/>
  <c r="AT445" i="10"/>
  <c r="AT597" i="10"/>
  <c r="AT624" i="10"/>
  <c r="AT617" i="10"/>
  <c r="AT503" i="10"/>
  <c r="AT318" i="10"/>
  <c r="AT451" i="10"/>
  <c r="AT418" i="10"/>
  <c r="AT696" i="10"/>
  <c r="AT641" i="10"/>
  <c r="AT319" i="10"/>
  <c r="AT347" i="10"/>
  <c r="AT511" i="10"/>
  <c r="AT395" i="10"/>
  <c r="AT402" i="10"/>
  <c r="AT105" i="10"/>
  <c r="AT599" i="10"/>
  <c r="AT607" i="10"/>
  <c r="AT689" i="10"/>
  <c r="AT308" i="10"/>
  <c r="AT104" i="10"/>
  <c r="AT520" i="10"/>
  <c r="AT209" i="10"/>
  <c r="AT218" i="10"/>
  <c r="AT468" i="10"/>
  <c r="AT623" i="10"/>
  <c r="AT419" i="10"/>
  <c r="AT513" i="10"/>
  <c r="AT685" i="10"/>
  <c r="AT384" i="10"/>
  <c r="AT397" i="10"/>
  <c r="AT609" i="10"/>
  <c r="AT210" i="10"/>
  <c r="AT474" i="10"/>
  <c r="AT476" i="10"/>
  <c r="AT678" i="10"/>
  <c r="AT345" i="10"/>
  <c r="AT315" i="10"/>
  <c r="AT701" i="10"/>
  <c r="AT431" i="10"/>
  <c r="AT329" i="10"/>
  <c r="AT424" i="10"/>
  <c r="AT680" i="10"/>
  <c r="AT506" i="10"/>
  <c r="AT317" i="10"/>
  <c r="AT646" i="10"/>
  <c r="AT113" i="10"/>
  <c r="AT509" i="10"/>
  <c r="AT488" i="10"/>
  <c r="AT208" i="10"/>
  <c r="AT436" i="10"/>
  <c r="AT686" i="10"/>
  <c r="AT387" i="10"/>
  <c r="AT626" i="10"/>
  <c r="AT320" i="10"/>
  <c r="AT525" i="10"/>
  <c r="AT564" i="10"/>
  <c r="AT576" i="10"/>
  <c r="AT676" i="10"/>
  <c r="AT444" i="10"/>
  <c r="AT635" i="10"/>
  <c r="AT297" i="10"/>
  <c r="AT301" i="10"/>
  <c r="AT681" i="10"/>
  <c r="AT432" i="10"/>
  <c r="AT625" i="10"/>
  <c r="AT456" i="10"/>
  <c r="AT677" i="10"/>
  <c r="AT498" i="10"/>
  <c r="AT460" i="10"/>
  <c r="AT413" i="10"/>
  <c r="AT490" i="10"/>
  <c r="AT106" i="10"/>
  <c r="AT630" i="10"/>
  <c r="AT683" i="10"/>
  <c r="AT344" i="10"/>
  <c r="AT469" i="10"/>
  <c r="AT420" i="10"/>
  <c r="AT606" i="10"/>
  <c r="AT670" i="10"/>
  <c r="AT337" i="10"/>
  <c r="AT637" i="10"/>
  <c r="AT610" i="10"/>
  <c r="AT304" i="10"/>
  <c r="AT393" i="10"/>
  <c r="AT532" i="10"/>
  <c r="AT382" i="10"/>
  <c r="AT428" i="10"/>
  <c r="AT619" i="10"/>
  <c r="AT204" i="10"/>
  <c r="AT491" i="10"/>
  <c r="AT615" i="10"/>
  <c r="AT487" i="10"/>
  <c r="AT694" i="10"/>
  <c r="AT522" i="10"/>
  <c r="AT720" i="10"/>
  <c r="AT725" i="10"/>
  <c r="AT481" i="10"/>
  <c r="AT563" i="10"/>
  <c r="AT394" i="10"/>
  <c r="AT453" i="10"/>
  <c r="AT638" i="10"/>
  <c r="AT721" i="10"/>
  <c r="AT404" i="10"/>
  <c r="AT462" i="10"/>
  <c r="AT627" i="10"/>
  <c r="AT321" i="10"/>
  <c r="AT512" i="10"/>
  <c r="AT594" i="10"/>
  <c r="AT211" i="10"/>
  <c r="AT516" i="10"/>
  <c r="AT412" i="10"/>
  <c r="AT603" i="10"/>
  <c r="AT102" i="10"/>
  <c r="AT507" i="10"/>
  <c r="AT631" i="10"/>
  <c r="AT723" i="10"/>
  <c r="AT441" i="10"/>
  <c r="AT495" i="10"/>
  <c r="AT215" i="10"/>
  <c r="AT452" i="10"/>
  <c r="AT108" i="10"/>
  <c r="AT392" i="10"/>
  <c r="AT342" i="10"/>
  <c r="AT471" i="10"/>
  <c r="AT614" i="10"/>
  <c r="AT691" i="10"/>
  <c r="AT326" i="10"/>
  <c r="AT442" i="10"/>
  <c r="AT455" i="10"/>
  <c r="AT496" i="10"/>
  <c r="AT598" i="10"/>
  <c r="AT448" i="10"/>
  <c r="AT437" i="10"/>
  <c r="AT529" i="10"/>
  <c r="AT687" i="10"/>
  <c r="AT388" i="10"/>
  <c r="AT316" i="10"/>
  <c r="AT611" i="10"/>
  <c r="AT305" i="10"/>
  <c r="AT379" i="10"/>
  <c r="AT578" i="10"/>
  <c r="AT109" i="10"/>
  <c r="AT569" i="10"/>
  <c r="AT500" i="10"/>
  <c r="AT682" i="10"/>
  <c r="AT396" i="10"/>
  <c r="AT571" i="10"/>
  <c r="AT693" i="10"/>
  <c r="AT472" i="10"/>
  <c r="AT622" i="10"/>
  <c r="AT673" i="10"/>
  <c r="AT651" i="10"/>
  <c r="AT299" i="10"/>
  <c r="AT675" i="10"/>
  <c r="AT310" i="10"/>
  <c r="AT296" i="10"/>
  <c r="AT439" i="10"/>
  <c r="AT650" i="10"/>
  <c r="AT521" i="10"/>
  <c r="AT334" i="10"/>
  <c r="AT421" i="10"/>
  <c r="AT430" i="10"/>
  <c r="AT671" i="10"/>
  <c r="AT338" i="10"/>
  <c r="AT595" i="10"/>
  <c r="AT212" i="10"/>
  <c r="AT410" i="10"/>
  <c r="AT565" i="10"/>
  <c r="AT667" i="10"/>
  <c r="AT457" i="10"/>
  <c r="AT484" i="10"/>
  <c r="AT575" i="10"/>
  <c r="AT695" i="10"/>
  <c r="AT378" i="10"/>
  <c r="AT526" i="10"/>
  <c r="AT602" i="10"/>
  <c r="AT669" i="10"/>
  <c r="AT473" i="10"/>
  <c r="AT423" i="10"/>
  <c r="AT570" i="10"/>
  <c r="AT505" i="10"/>
  <c r="AT389" i="10"/>
  <c r="AT300" i="10"/>
  <c r="AT644" i="10"/>
  <c r="AT322" i="10"/>
  <c r="AT605" i="10"/>
  <c r="AT579" i="10"/>
  <c r="AT110" i="10"/>
  <c r="AT533" i="10"/>
  <c r="AT531" i="10"/>
  <c r="AT343" i="10"/>
  <c r="AT465" i="10"/>
  <c r="AT463" i="10"/>
  <c r="AT679" i="10"/>
  <c r="AT346" i="10"/>
  <c r="AT510" i="10"/>
  <c r="AT458" i="10"/>
  <c r="AT435" i="10"/>
  <c r="AT440" i="10"/>
  <c r="AT577" i="10"/>
  <c r="AT391" i="10"/>
  <c r="AT489" i="10"/>
  <c r="AT339" i="10"/>
  <c r="AT628" i="10"/>
  <c r="AT306" i="10"/>
  <c r="AT429" i="10"/>
  <c r="AT566" i="10"/>
  <c r="AT633" i="10"/>
  <c r="AT517" i="10"/>
  <c r="AT400" i="10"/>
  <c r="AT449" i="10"/>
  <c r="AT333" i="10"/>
  <c r="AT652" i="10"/>
  <c r="AT330" i="10"/>
  <c r="AT494" i="10"/>
  <c r="AT328" i="10"/>
  <c r="AT581" i="10"/>
  <c r="AT634" i="10"/>
  <c r="AT336" i="10"/>
  <c r="AT632" i="10"/>
  <c r="AT426" i="10"/>
  <c r="AT514" i="10"/>
  <c r="AT722" i="10"/>
  <c r="AT621" i="10"/>
  <c r="AT616" i="10"/>
  <c r="AT499" i="10"/>
  <c r="AT341" i="10"/>
  <c r="AT692" i="10"/>
  <c r="AT470" i="10"/>
  <c r="AT381" i="10"/>
  <c r="AT688" i="10"/>
  <c r="AT323" i="10"/>
  <c r="AT461" i="10"/>
  <c r="AT612" i="10"/>
  <c r="AT213" i="10"/>
  <c r="AT206" i="10"/>
  <c r="AT534" i="10"/>
  <c r="AT608" i="10"/>
  <c r="AT524" i="10"/>
  <c r="AT501" i="10"/>
  <c r="AT562" i="10"/>
  <c r="AT433" i="10"/>
  <c r="AT697" i="10"/>
  <c r="AT636" i="10"/>
  <c r="AT298" i="10"/>
  <c r="AT475" i="10"/>
  <c r="AT101" i="10"/>
  <c r="AT398" i="10"/>
  <c r="AT377" i="10"/>
  <c r="AT504" i="10"/>
  <c r="AT217" i="10"/>
  <c r="AT600" i="10"/>
  <c r="AT698" i="10"/>
  <c r="AT325" i="10"/>
  <c r="AT601" i="10"/>
  <c r="AT654" i="10"/>
  <c r="AT672" i="10"/>
  <c r="AT307" i="10"/>
  <c r="AT331" i="10"/>
  <c r="AT596" i="10"/>
  <c r="AT111" i="10"/>
  <c r="AT518" i="10"/>
  <c r="AT483" i="10"/>
  <c r="AT409" i="10"/>
  <c r="AT485" i="10"/>
  <c r="AT415" i="10"/>
  <c r="AT417" i="10"/>
  <c r="AT497" i="10"/>
  <c r="AT620" i="10"/>
  <c r="AT205" i="10"/>
  <c r="AT459" i="10"/>
  <c r="AT508" i="10"/>
  <c r="AT324" i="10"/>
  <c r="AT528" i="10"/>
  <c r="AT482" i="10"/>
  <c r="AT403" i="10"/>
  <c r="AT99" i="10"/>
  <c r="AT724" i="10"/>
  <c r="AT454" i="10"/>
  <c r="AT568" i="10"/>
  <c r="AT530" i="10"/>
  <c r="AT690" i="10"/>
  <c r="AT309" i="10"/>
  <c r="AT492" i="10"/>
  <c r="AT438" i="10"/>
  <c r="AT414" i="10"/>
  <c r="AT645" i="10"/>
  <c r="AT214" i="10"/>
  <c r="AT580" i="10"/>
  <c r="AT376" i="10"/>
  <c r="AT502" i="10"/>
  <c r="AT302" i="10"/>
  <c r="AT311" i="10"/>
  <c r="AT466" i="10"/>
  <c r="AT574" i="10"/>
  <c r="AT700" i="10"/>
  <c r="AT401" i="10"/>
  <c r="AT653" i="10"/>
  <c r="AT604" i="10"/>
  <c r="AT103" i="10"/>
  <c r="AT443" i="10"/>
  <c r="AT327" i="10"/>
  <c r="AT107" i="10"/>
  <c r="AT303" i="10"/>
  <c r="AT380" i="10"/>
  <c r="AT523" i="10"/>
  <c r="AT399" i="10"/>
  <c r="AT674" i="10"/>
  <c r="AT216" i="10"/>
  <c r="AT422" i="10"/>
  <c r="AT207" i="10"/>
  <c r="AT629" i="10"/>
  <c r="AT112" i="10"/>
  <c r="AT618" i="10"/>
  <c r="AT567" i="10"/>
  <c r="AT515" i="10"/>
  <c r="AT486" i="10"/>
  <c r="AT666" i="10"/>
  <c r="AT450" i="10"/>
  <c r="AT446" i="10"/>
  <c r="AT684" i="10"/>
  <c r="AT383" i="10"/>
  <c r="AT295" i="10"/>
  <c r="AT572" i="10"/>
  <c r="AT427" i="10"/>
  <c r="AT100" i="10"/>
  <c r="AT740" i="10"/>
  <c r="AT756" i="10"/>
  <c r="AT778" i="10"/>
  <c r="AT777" i="10"/>
  <c r="AT757" i="10"/>
  <c r="AT767" i="10"/>
  <c r="AT750" i="10"/>
  <c r="AT779" i="10"/>
  <c r="AT783" i="10"/>
  <c r="AT741" i="10"/>
  <c r="AT781" i="10"/>
  <c r="AT773" i="10"/>
  <c r="AT745" i="10"/>
  <c r="AT784" i="10"/>
  <c r="AT765" i="10"/>
  <c r="AT774" i="10"/>
  <c r="AT749" i="10"/>
  <c r="AT768" i="10"/>
  <c r="AT766" i="10"/>
  <c r="AT758" i="10"/>
  <c r="AT782" i="10"/>
  <c r="AT752" i="10"/>
  <c r="AT742" i="10"/>
  <c r="AT746" i="10"/>
  <c r="AT753" i="10"/>
  <c r="AT770" i="10"/>
  <c r="AT776" i="10"/>
  <c r="AT744" i="10"/>
  <c r="AT754" i="10"/>
  <c r="AT763" i="10"/>
  <c r="AT738" i="10"/>
  <c r="AT747" i="10"/>
  <c r="AT785" i="10"/>
  <c r="AT775" i="10"/>
  <c r="AT771" i="10"/>
  <c r="AT780" i="10"/>
  <c r="AT759" i="10"/>
  <c r="AT769" i="10"/>
  <c r="AT755" i="10"/>
  <c r="AT764" i="10"/>
  <c r="AT762" i="10"/>
  <c r="AT743" i="10"/>
  <c r="AT772" i="10"/>
  <c r="AT751" i="10"/>
  <c r="AT739" i="10"/>
  <c r="AT748" i="10"/>
  <c r="AO295" i="10"/>
  <c r="AS295" i="10"/>
  <c r="AV295" i="10"/>
  <c r="AS13" i="10"/>
  <c r="AC71" i="29" l="1" a="1"/>
  <c r="AC137" i="29" a="1"/>
  <c r="AC158" i="29" a="1"/>
  <c r="AC138" i="29" a="1"/>
  <c r="AC148" i="29" a="1"/>
  <c r="AC140" i="29" a="1"/>
  <c r="AC141" i="29" a="1"/>
  <c r="AC139" i="29" a="1"/>
  <c r="AC149" i="29" a="1"/>
  <c r="AC146" i="29" a="1"/>
  <c r="AC135" i="29" a="1"/>
  <c r="AC142" i="29" a="1"/>
  <c r="AC150" i="29" a="1"/>
  <c r="AC133" i="29" a="1"/>
  <c r="AC157" i="29" a="1"/>
  <c r="AC136" i="29" a="1"/>
  <c r="AC154" i="29" a="1"/>
  <c r="AC143" i="29" a="1"/>
  <c r="AC156" i="29" a="1"/>
  <c r="AC151" i="29" a="1"/>
  <c r="AC152" i="29" a="1"/>
  <c r="AC134" i="29" a="1"/>
  <c r="AC132" i="29" a="1"/>
  <c r="Z71" i="29" a="1"/>
  <c r="Z143" i="29" a="1"/>
  <c r="Z157" i="29" a="1"/>
  <c r="Z140" i="29" a="1"/>
  <c r="Z137" i="29" a="1"/>
  <c r="Z138" i="29" a="1"/>
  <c r="Z139" i="29" a="1"/>
  <c r="Z135" i="29" a="1"/>
  <c r="Z149" i="29" a="1"/>
  <c r="Z141" i="29" a="1"/>
  <c r="Z132" i="29" a="1"/>
  <c r="Z133" i="29" a="1"/>
  <c r="Z152" i="29" a="1"/>
  <c r="Z136" i="29" a="1"/>
  <c r="Z142" i="29" a="1"/>
  <c r="Z150" i="29" a="1"/>
  <c r="Z151" i="29" a="1"/>
  <c r="Z146" i="29" a="1"/>
  <c r="Z158" i="29" a="1"/>
  <c r="Z154" i="29" a="1"/>
  <c r="Z156" i="29" a="1"/>
  <c r="Z148" i="29" a="1"/>
  <c r="Z134" i="29" a="1"/>
  <c r="V71" i="29" a="1"/>
  <c r="V146" i="29" a="1"/>
  <c r="V137" i="29" a="1"/>
  <c r="V158" i="29" a="1"/>
  <c r="V142" i="29" a="1"/>
  <c r="V156" i="29" a="1"/>
  <c r="V152" i="29" a="1"/>
  <c r="V139" i="29" a="1"/>
  <c r="V154" i="29" a="1"/>
  <c r="V135" i="29" a="1"/>
  <c r="V134" i="29" a="1"/>
  <c r="V148" i="29" a="1"/>
  <c r="V157" i="29" a="1"/>
  <c r="V133" i="29" a="1"/>
  <c r="V141" i="29" a="1"/>
  <c r="V132" i="29" a="1"/>
  <c r="V151" i="29" a="1"/>
  <c r="V149" i="29" a="1"/>
  <c r="V140" i="29" a="1"/>
  <c r="V138" i="29" a="1"/>
  <c r="V143" i="29" a="1"/>
  <c r="V150" i="29" a="1"/>
  <c r="V136" i="29" a="1"/>
  <c r="AC131" i="29" a="1"/>
  <c r="AC128" i="29" a="1"/>
  <c r="AC129" i="29" a="1"/>
  <c r="AC127" i="29" a="1"/>
  <c r="AC126" i="29" a="1"/>
  <c r="AC86" i="29" a="1"/>
  <c r="AC25" i="29" a="1"/>
  <c r="AC81" i="29" a="1"/>
  <c r="AC31" i="29" a="1"/>
  <c r="AC108" i="29" a="1"/>
  <c r="AC119" i="29" a="1"/>
  <c r="AC20" i="29" a="1"/>
  <c r="AC43" i="29" a="1"/>
  <c r="AC15" i="29" a="1"/>
  <c r="AC118" i="29" a="1"/>
  <c r="AC44" i="29" a="1"/>
  <c r="AC91" i="29" a="1"/>
  <c r="AC54" i="29" a="1"/>
  <c r="AC113" i="29" a="1"/>
  <c r="AC53" i="29" a="1"/>
  <c r="AC30" i="29" a="1"/>
  <c r="AC46" i="29" a="1"/>
  <c r="AC17" i="29" a="1"/>
  <c r="AC48" i="29" a="1"/>
  <c r="AC64" i="29" a="1"/>
  <c r="AC14" i="29" a="1"/>
  <c r="AC11" i="29" a="1"/>
  <c r="AC83" i="29" a="1"/>
  <c r="AC88" i="29" a="1"/>
  <c r="AC34" i="29" a="1"/>
  <c r="AC111" i="29" a="1"/>
  <c r="AC52" i="29" a="1"/>
  <c r="AC60" i="29" a="1"/>
  <c r="AC92" i="29" a="1"/>
  <c r="AC45" i="29" a="1"/>
  <c r="AC23" i="29" a="1"/>
  <c r="AC28" i="29" a="1"/>
  <c r="AC27" i="29" a="1"/>
  <c r="AC40" i="29" a="1"/>
  <c r="AC36" i="29" a="1"/>
  <c r="AC51" i="29" a="1"/>
  <c r="AC114" i="29" a="1"/>
  <c r="AC39" i="29" a="1"/>
  <c r="AC76" i="29" a="1"/>
  <c r="AC74" i="29" a="1"/>
  <c r="AC110" i="29" a="1"/>
  <c r="AC57" i="29" a="1"/>
  <c r="AC80" i="29" a="1"/>
  <c r="AC121" i="29" a="1"/>
  <c r="AC112" i="29" a="1"/>
  <c r="AC37" i="29" a="1"/>
  <c r="AC22" i="29" a="1"/>
  <c r="AC55" i="29" a="1"/>
  <c r="AC32" i="29" a="1"/>
  <c r="AC117" i="29" a="1"/>
  <c r="AC18" i="29" a="1"/>
  <c r="AC122" i="29" a="1"/>
  <c r="AC35" i="29" a="1"/>
  <c r="AC77" i="29" a="1"/>
  <c r="AC47" i="29" a="1"/>
  <c r="AC12" i="29" a="1"/>
  <c r="AC84" i="29" a="1"/>
  <c r="AC106" i="29" a="1"/>
  <c r="AC16" i="29" a="1"/>
  <c r="AC41" i="29" a="1"/>
  <c r="AC116" i="29" a="1"/>
  <c r="AC19" i="29" a="1"/>
  <c r="AC78" i="29" a="1"/>
  <c r="AC24" i="29" a="1"/>
  <c r="AC21" i="29" a="1"/>
  <c r="AC38" i="29" a="1"/>
  <c r="AC75" i="29" a="1"/>
  <c r="AC97" i="29" a="1"/>
  <c r="AC33" i="29" a="1"/>
  <c r="AC13" i="29" a="1"/>
  <c r="AC26" i="29" a="1"/>
  <c r="AC65" i="29" a="1"/>
  <c r="AC44" i="24"/>
  <c r="Z126" i="29" a="1"/>
  <c r="Z128" i="29" a="1"/>
  <c r="Z127" i="29" a="1"/>
  <c r="Z129" i="29" a="1"/>
  <c r="Z131" i="29" a="1"/>
  <c r="Z30" i="29" a="1"/>
  <c r="Z43" i="29" a="1"/>
  <c r="Z74" i="29" a="1"/>
  <c r="Z106" i="29" a="1"/>
  <c r="Z114" i="29" a="1"/>
  <c r="Z118" i="29" a="1"/>
  <c r="Z44" i="29" a="1"/>
  <c r="Z121" i="29" a="1"/>
  <c r="Z34" i="29" a="1"/>
  <c r="Z52" i="29" a="1"/>
  <c r="Z83" i="29" a="1"/>
  <c r="Z48" i="29" a="1"/>
  <c r="Z76" i="29" a="1"/>
  <c r="Z92" i="29" a="1"/>
  <c r="Z46" i="29" a="1"/>
  <c r="Z17" i="29" a="1"/>
  <c r="Z111" i="29" a="1"/>
  <c r="Z14" i="29" a="1"/>
  <c r="Z27" i="29" a="1"/>
  <c r="Z32" i="29" a="1"/>
  <c r="Z51" i="29" a="1"/>
  <c r="Z57" i="29" a="1"/>
  <c r="Z40" i="29" a="1"/>
  <c r="Z45" i="29" a="1"/>
  <c r="Z26" i="29" a="1"/>
  <c r="Z22" i="29" a="1"/>
  <c r="Z80" i="29" a="1"/>
  <c r="Z97" i="29" a="1"/>
  <c r="Z117" i="29" a="1"/>
  <c r="Z28" i="29" a="1"/>
  <c r="Z75" i="29" a="1"/>
  <c r="Z11" i="29" a="1"/>
  <c r="Z78" i="29" a="1"/>
  <c r="Z18" i="29" a="1"/>
  <c r="Z122" i="29" a="1"/>
  <c r="Z65" i="29" a="1"/>
  <c r="Z23" i="29" a="1"/>
  <c r="Z110" i="29" a="1"/>
  <c r="Z36" i="29" a="1"/>
  <c r="Z112" i="29" a="1"/>
  <c r="Z86" i="29" a="1"/>
  <c r="Z41" i="29" a="1"/>
  <c r="Z116" i="29" a="1"/>
  <c r="Z35" i="29" a="1"/>
  <c r="Z12" i="29" a="1"/>
  <c r="Z47" i="29" a="1"/>
  <c r="Z119" i="29" a="1"/>
  <c r="Z24" i="29" a="1"/>
  <c r="Z20" i="29" a="1"/>
  <c r="Z19" i="29" a="1"/>
  <c r="Z91" i="29" a="1"/>
  <c r="Z81" i="29" a="1"/>
  <c r="Z38" i="29" a="1"/>
  <c r="Z55" i="29" a="1"/>
  <c r="Z16" i="29" a="1"/>
  <c r="Z37" i="29" a="1"/>
  <c r="Z77" i="29" a="1"/>
  <c r="Z31" i="29" a="1"/>
  <c r="Z108" i="29" a="1"/>
  <c r="Z25" i="29" a="1"/>
  <c r="Z21" i="29" a="1"/>
  <c r="Z113" i="29" a="1"/>
  <c r="Z88" i="29" a="1"/>
  <c r="Z33" i="29" a="1"/>
  <c r="Z13" i="29" a="1"/>
  <c r="Z53" i="29" a="1"/>
  <c r="Z84" i="29" a="1"/>
  <c r="Z64" i="29" a="1"/>
  <c r="Z54" i="29" a="1"/>
  <c r="Z15" i="29" a="1"/>
  <c r="Z60" i="29" a="1"/>
  <c r="Z39" i="29" a="1"/>
  <c r="Z44" i="24"/>
  <c r="AF44" i="12" s="1"/>
  <c r="V128" i="29" a="1"/>
  <c r="V127" i="29" a="1"/>
  <c r="V131" i="29" a="1"/>
  <c r="V129" i="29" a="1"/>
  <c r="V126" i="29" a="1"/>
  <c r="V27" i="29" a="1"/>
  <c r="V32" i="29" a="1"/>
  <c r="V37" i="29" a="1"/>
  <c r="V28" i="29" a="1"/>
  <c r="V119" i="29" a="1"/>
  <c r="V106" i="29" a="1"/>
  <c r="V23" i="29" a="1"/>
  <c r="V77" i="29" a="1"/>
  <c r="V18" i="29" a="1"/>
  <c r="V65" i="29" a="1"/>
  <c r="V12" i="29" a="1"/>
  <c r="V36" i="29" a="1"/>
  <c r="V84" i="29" a="1"/>
  <c r="V121" i="29" a="1"/>
  <c r="V22" i="29" a="1"/>
  <c r="V57" i="29" a="1"/>
  <c r="V117" i="29" a="1"/>
  <c r="V116" i="29" a="1"/>
  <c r="V35" i="29" a="1"/>
  <c r="V16" i="29" a="1"/>
  <c r="V78" i="29" a="1"/>
  <c r="V97" i="29" a="1"/>
  <c r="V21" i="29" a="1"/>
  <c r="V112" i="29" a="1"/>
  <c r="V81" i="29" a="1"/>
  <c r="V24" i="29" a="1"/>
  <c r="V86" i="29" a="1"/>
  <c r="V19" i="29" a="1"/>
  <c r="V91" i="29" a="1"/>
  <c r="V47" i="29" a="1"/>
  <c r="V20" i="29" a="1"/>
  <c r="V55" i="29" a="1"/>
  <c r="V83" i="29" a="1"/>
  <c r="V53" i="29" a="1"/>
  <c r="V38" i="29" a="1"/>
  <c r="V13" i="29" a="1"/>
  <c r="V26" i="29" a="1"/>
  <c r="V74" i="29" a="1"/>
  <c r="V108" i="29" a="1"/>
  <c r="V75" i="29" a="1"/>
  <c r="V41" i="29" a="1"/>
  <c r="V33" i="29" a="1"/>
  <c r="V31" i="29" a="1"/>
  <c r="V11" i="29" a="1"/>
  <c r="V25" i="29" a="1"/>
  <c r="V15" i="29" a="1"/>
  <c r="V111" i="29" a="1"/>
  <c r="V44" i="29" a="1"/>
  <c r="V113" i="29" a="1"/>
  <c r="V88" i="29" a="1"/>
  <c r="V92" i="29" a="1"/>
  <c r="V64" i="29" a="1"/>
  <c r="V60" i="29" a="1"/>
  <c r="V30" i="29" a="1"/>
  <c r="V17" i="29" a="1"/>
  <c r="V48" i="29" a="1"/>
  <c r="V43" i="29" a="1"/>
  <c r="V76" i="29" a="1"/>
  <c r="V118" i="29" a="1"/>
  <c r="V114" i="29" a="1"/>
  <c r="V52" i="29" a="1"/>
  <c r="V46" i="29" a="1"/>
  <c r="V54" i="29" a="1"/>
  <c r="V80" i="29" a="1"/>
  <c r="V122" i="29" a="1"/>
  <c r="V110" i="29" a="1"/>
  <c r="V51" i="29" a="1"/>
  <c r="V40" i="29" a="1"/>
  <c r="V14" i="29" a="1"/>
  <c r="V45" i="29" a="1"/>
  <c r="V34" i="29" a="1"/>
  <c r="V39" i="29" a="1"/>
  <c r="V44" i="24"/>
  <c r="AB44" i="12" s="1"/>
  <c r="AN13" i="10"/>
  <c r="AC5" i="24" l="1"/>
  <c r="AC6" i="24"/>
  <c r="AC3" i="24"/>
  <c r="AC7" i="24"/>
  <c r="AC2" i="24"/>
  <c r="AC4" i="24"/>
  <c r="B12" i="28"/>
  <c r="B13" i="28" s="1"/>
  <c r="B14" i="28" s="1"/>
  <c r="B15" i="28" s="1"/>
  <c r="B16" i="28" s="1"/>
  <c r="B17" i="28" s="1"/>
  <c r="B18" i="28" s="1"/>
  <c r="B19" i="28" s="1"/>
  <c r="B20" i="28" s="1"/>
  <c r="B21" i="28" s="1"/>
  <c r="B22" i="28" s="1"/>
  <c r="B23" i="28" s="1"/>
  <c r="B24" i="28" s="1"/>
  <c r="B25" i="28" s="1"/>
  <c r="B26" i="28" s="1"/>
  <c r="B27" i="28" s="1"/>
  <c r="B28" i="28" s="1"/>
  <c r="B29" i="28" s="1"/>
  <c r="B30" i="28" s="1"/>
  <c r="B31" i="28" s="1"/>
  <c r="B32" i="28" s="1"/>
  <c r="B33" i="28" s="1"/>
  <c r="B34" i="28" s="1"/>
  <c r="B35" i="28" s="1"/>
  <c r="B36" i="28" s="1"/>
  <c r="B37" i="28" s="1"/>
  <c r="B38" i="28" s="1"/>
  <c r="B39" i="28" s="1"/>
  <c r="B40" i="28" s="1"/>
  <c r="B41" i="28" s="1"/>
  <c r="B42" i="28" s="1"/>
  <c r="B43" i="28" s="1"/>
  <c r="B44" i="28" s="1"/>
  <c r="B45" i="28" s="1"/>
  <c r="B46" i="28" s="1"/>
  <c r="B47" i="28" s="1"/>
  <c r="B48" i="28" s="1"/>
  <c r="B49" i="28" s="1"/>
  <c r="B50" i="28" s="1"/>
  <c r="B51" i="28" s="1"/>
  <c r="B52" i="28" s="1"/>
  <c r="B53" i="28" s="1"/>
  <c r="B54" i="28" s="1"/>
  <c r="B55" i="28" s="1"/>
  <c r="B56" i="28" s="1"/>
  <c r="B57" i="28" s="1"/>
  <c r="B58" i="28" s="1"/>
  <c r="B59" i="28" s="1"/>
  <c r="B60" i="28" s="1"/>
  <c r="B61" i="28" s="1"/>
  <c r="B62" i="28" s="1"/>
  <c r="B63" i="28" s="1"/>
  <c r="B64" i="28" s="1"/>
  <c r="B65" i="28" s="1"/>
  <c r="B66" i="28" s="1"/>
  <c r="B67" i="28" s="1"/>
  <c r="B68" i="28" s="1"/>
  <c r="B69" i="28" s="1"/>
  <c r="B70" i="28" s="1"/>
  <c r="B71" i="28" s="1"/>
  <c r="B72" i="28" s="1"/>
  <c r="B73" i="28" s="1"/>
  <c r="B74" i="28" s="1"/>
  <c r="B75" i="28" s="1"/>
  <c r="B76" i="28" s="1"/>
  <c r="B77" i="28" s="1"/>
  <c r="B78" i="28" s="1"/>
  <c r="B79" i="28" s="1"/>
  <c r="B80" i="28" s="1"/>
  <c r="B81" i="28" s="1"/>
  <c r="B82" i="28" s="1"/>
  <c r="B83" i="28" s="1"/>
  <c r="B84" i="28" s="1"/>
  <c r="B85" i="28" s="1"/>
  <c r="B86" i="28" s="1"/>
  <c r="B87" i="28" s="1"/>
  <c r="B88" i="28" s="1"/>
  <c r="B89" i="28" s="1"/>
  <c r="B90" i="28" s="1"/>
  <c r="B91" i="28" s="1"/>
  <c r="B92" i="28" s="1"/>
  <c r="B93" i="28" s="1"/>
  <c r="B94" i="28" s="1"/>
  <c r="B95" i="28" s="1"/>
  <c r="B96" i="28" s="1"/>
  <c r="B97" i="28" s="1"/>
  <c r="B98" i="28" s="1"/>
  <c r="B99" i="28" s="1"/>
  <c r="B100" i="28" s="1"/>
  <c r="B101" i="28" s="1"/>
  <c r="B102" i="28" s="1"/>
  <c r="B103" i="28" s="1"/>
  <c r="B104" i="28" s="1"/>
  <c r="B105" i="28" s="1"/>
  <c r="B106" i="28" s="1"/>
  <c r="B107" i="28" s="1"/>
  <c r="B108" i="28" s="1"/>
  <c r="B109" i="28" s="1"/>
  <c r="B110" i="28" s="1"/>
  <c r="B111" i="28" s="1"/>
  <c r="B112" i="28" s="1"/>
  <c r="B113" i="28" s="1"/>
  <c r="B114" i="28" s="1"/>
  <c r="B115" i="28" s="1"/>
  <c r="B116" i="28" s="1"/>
  <c r="B117" i="28" s="1"/>
  <c r="B118" i="28" s="1"/>
  <c r="B119" i="28" s="1"/>
  <c r="B120" i="28" s="1"/>
  <c r="B121" i="28" s="1"/>
  <c r="B122" i="28" s="1"/>
  <c r="B123" i="28" s="1"/>
  <c r="B124" i="28" s="1"/>
  <c r="B125" i="28" s="1"/>
  <c r="B126" i="28" s="1"/>
  <c r="B127" i="28" s="1"/>
  <c r="B128" i="28" s="1"/>
  <c r="B129" i="28" s="1"/>
  <c r="B130" i="28" s="1"/>
  <c r="B131" i="28" s="1"/>
  <c r="B132" i="28" s="1"/>
  <c r="B133" i="28" s="1"/>
  <c r="B134" i="28" s="1"/>
  <c r="B135" i="28" s="1"/>
  <c r="B136" i="28" s="1"/>
  <c r="B137" i="28" s="1"/>
  <c r="B138" i="28" s="1"/>
  <c r="B139" i="28" s="1"/>
  <c r="B140" i="28" s="1"/>
  <c r="B141" i="28" s="1"/>
  <c r="B142" i="28" s="1"/>
  <c r="B143" i="28" s="1"/>
  <c r="B144" i="28" s="1"/>
  <c r="B145" i="28" s="1"/>
  <c r="B146" i="28" s="1"/>
  <c r="B147" i="28" s="1"/>
  <c r="B148" i="28" s="1"/>
  <c r="B149" i="28" s="1"/>
  <c r="B150" i="28" s="1"/>
  <c r="B151" i="28" s="1"/>
  <c r="B152" i="28" s="1"/>
  <c r="B153" i="28" s="1"/>
  <c r="B154" i="28" s="1"/>
  <c r="B155" i="28" s="1"/>
  <c r="B156" i="28" s="1"/>
  <c r="B157" i="28" s="1"/>
  <c r="B158" i="28" s="1"/>
  <c r="B159" i="28" s="1"/>
  <c r="B160" i="28" s="1"/>
  <c r="B161" i="28" s="1"/>
  <c r="B162" i="28" s="1"/>
  <c r="B163" i="28" s="1"/>
  <c r="B164" i="28" s="1"/>
  <c r="B165" i="28" s="1"/>
  <c r="B166" i="28" s="1"/>
  <c r="B167" i="28" s="1"/>
  <c r="B168" i="28" s="1"/>
  <c r="B169" i="28" s="1"/>
  <c r="B170" i="28" s="1"/>
  <c r="B171" i="28" s="1"/>
  <c r="B172" i="28" s="1"/>
  <c r="B173" i="28" s="1"/>
  <c r="B174" i="28" s="1"/>
  <c r="B175" i="28" s="1"/>
  <c r="B176" i="28" s="1"/>
  <c r="B177" i="28" s="1"/>
  <c r="B178" i="28" s="1"/>
  <c r="B179" i="28" s="1"/>
  <c r="B180" i="28" s="1"/>
  <c r="B181" i="28" s="1"/>
  <c r="B182" i="28" s="1"/>
  <c r="B183" i="28" s="1"/>
  <c r="B184" i="28" s="1"/>
  <c r="B185" i="28" s="1"/>
  <c r="B186" i="28" s="1"/>
  <c r="B187" i="28" s="1"/>
  <c r="B188" i="28" s="1"/>
  <c r="B189" i="28" s="1"/>
  <c r="B190" i="28" s="1"/>
  <c r="B191" i="28" s="1"/>
  <c r="B192" i="28" s="1"/>
  <c r="B193" i="28" s="1"/>
  <c r="B194" i="28" s="1"/>
  <c r="B195" i="28" s="1"/>
  <c r="B196" i="28" s="1"/>
  <c r="B197" i="28" s="1"/>
  <c r="B198" i="28" s="1"/>
  <c r="B199" i="28" s="1"/>
  <c r="B200" i="28" s="1"/>
  <c r="B201" i="28" s="1"/>
  <c r="B202" i="28" s="1"/>
  <c r="B203" i="28" s="1"/>
  <c r="B204" i="28" s="1"/>
  <c r="B205" i="28" s="1"/>
  <c r="B206" i="28" s="1"/>
  <c r="B207" i="28" s="1"/>
  <c r="B208" i="28" s="1"/>
  <c r="B209" i="28" s="1"/>
  <c r="B210" i="28" s="1"/>
  <c r="B211" i="28" s="1"/>
  <c r="B212" i="28" s="1"/>
  <c r="B213" i="28" s="1"/>
  <c r="B214" i="28" s="1"/>
  <c r="B215" i="28" s="1"/>
  <c r="B216" i="28" s="1"/>
  <c r="B217" i="28" s="1"/>
  <c r="B218" i="28" s="1"/>
  <c r="B219" i="28" s="1"/>
  <c r="B220" i="28" s="1"/>
  <c r="B221" i="28" s="1"/>
  <c r="B222" i="28" s="1"/>
  <c r="B223" i="28" s="1"/>
  <c r="B224" i="28" s="1"/>
  <c r="B225" i="28" s="1"/>
  <c r="B226" i="28" s="1"/>
  <c r="B227" i="28" s="1"/>
  <c r="B228" i="28" s="1"/>
  <c r="B229" i="28" s="1"/>
  <c r="B230" i="28" s="1"/>
  <c r="B231" i="28" s="1"/>
  <c r="B232" i="28" s="1"/>
  <c r="B233" i="28" s="1"/>
  <c r="B234" i="28" s="1"/>
  <c r="B235" i="28" s="1"/>
  <c r="B236" i="28" s="1"/>
  <c r="B237" i="28" s="1"/>
  <c r="B238" i="28" s="1"/>
  <c r="B239" i="28" s="1"/>
  <c r="B240" i="28" s="1"/>
  <c r="W193" i="28" l="1"/>
  <c r="W145" i="28"/>
  <c r="Y127" i="28"/>
  <c r="Y125" i="28"/>
  <c r="O121" i="28"/>
  <c r="N66" i="15" s="1"/>
  <c r="N66" i="12" s="1"/>
  <c r="W105" i="28"/>
  <c r="Y105" i="28"/>
  <c r="W141" i="28"/>
  <c r="W127" i="28"/>
  <c r="W197" i="28"/>
  <c r="W195" i="28"/>
  <c r="W147" i="28"/>
  <c r="Y197" i="28"/>
  <c r="Y149" i="28"/>
  <c r="Y133" i="28"/>
  <c r="Y119" i="28"/>
  <c r="Y103" i="28"/>
  <c r="Q147" i="28"/>
  <c r="O79" i="15" s="1"/>
  <c r="O79" i="12" s="1"/>
  <c r="W129" i="28"/>
  <c r="Y193" i="28"/>
  <c r="Y145" i="28"/>
  <c r="W111" i="28"/>
  <c r="O119" i="28"/>
  <c r="N65" i="15" s="1"/>
  <c r="N65" i="12" s="1"/>
  <c r="W133" i="28"/>
  <c r="S101" i="28"/>
  <c r="P56" i="15" s="1"/>
  <c r="P56" i="12" s="1"/>
  <c r="Y115" i="28"/>
  <c r="Y195" i="28"/>
  <c r="Y147" i="28"/>
  <c r="Y117" i="28"/>
  <c r="Y101" i="28"/>
  <c r="Y123" i="28"/>
  <c r="Y107" i="28"/>
  <c r="W117" i="28"/>
  <c r="W113" i="28"/>
  <c r="W101" i="28"/>
  <c r="Y159" i="28"/>
  <c r="Y139" i="28"/>
  <c r="Y137" i="28"/>
  <c r="Y129" i="28"/>
  <c r="Y113" i="28"/>
  <c r="Y155" i="28"/>
  <c r="Y109" i="28"/>
  <c r="Y143" i="28"/>
  <c r="W159" i="28"/>
  <c r="W109" i="28"/>
  <c r="W115" i="28"/>
  <c r="W107" i="28"/>
  <c r="W157" i="28"/>
  <c r="W143" i="28"/>
  <c r="W103" i="28"/>
  <c r="O153" i="28"/>
  <c r="N82" i="15" s="1"/>
  <c r="N82" i="12" s="1"/>
  <c r="Q159" i="28"/>
  <c r="O85" i="15" s="1"/>
  <c r="O85" i="12" s="1"/>
  <c r="Q113" i="28"/>
  <c r="O62" i="15" s="1"/>
  <c r="O62" i="12" s="1"/>
  <c r="Q143" i="28"/>
  <c r="O77" i="15" s="1"/>
  <c r="O77" i="12" s="1"/>
  <c r="S103" i="28"/>
  <c r="P57" i="15" s="1"/>
  <c r="P57" i="12" s="1"/>
  <c r="O159" i="28"/>
  <c r="N85" i="15" s="1"/>
  <c r="N85" i="12" s="1"/>
  <c r="O129" i="28"/>
  <c r="N70" i="15" s="1"/>
  <c r="O155" i="28"/>
  <c r="N83" i="15" s="1"/>
  <c r="N83" i="12" s="1"/>
  <c r="O139" i="28"/>
  <c r="N75" i="15" s="1"/>
  <c r="N75" i="12" s="1"/>
  <c r="O125" i="28"/>
  <c r="N68" i="15" s="1"/>
  <c r="N68" i="12" s="1"/>
  <c r="O109" i="28"/>
  <c r="N60" i="15" s="1"/>
  <c r="N60" i="12" s="1"/>
  <c r="Q155" i="28"/>
  <c r="O83" i="15" s="1"/>
  <c r="O83" i="12" s="1"/>
  <c r="Q139" i="28"/>
  <c r="O75" i="15" s="1"/>
  <c r="O75" i="12" s="1"/>
  <c r="Q125" i="28"/>
  <c r="O68" i="15" s="1"/>
  <c r="O68" i="12" s="1"/>
  <c r="Q109" i="28"/>
  <c r="O60" i="15" s="1"/>
  <c r="O60" i="12" s="1"/>
  <c r="S149" i="28"/>
  <c r="P80" i="15" s="1"/>
  <c r="P80" i="12" s="1"/>
  <c r="S133" i="28"/>
  <c r="P72" i="15" s="1"/>
  <c r="P72" i="12" s="1"/>
  <c r="Q137" i="28"/>
  <c r="O74" i="15" s="1"/>
  <c r="O74" i="12" s="1"/>
  <c r="Q151" i="28"/>
  <c r="O81" i="15" s="1"/>
  <c r="O81" i="12" s="1"/>
  <c r="Q121" i="28"/>
  <c r="O66" i="15" s="1"/>
  <c r="O66" i="12" s="1"/>
  <c r="Q105" i="28"/>
  <c r="O58" i="15" s="1"/>
  <c r="S145" i="28"/>
  <c r="P78" i="15" s="1"/>
  <c r="P78" i="12" s="1"/>
  <c r="S115" i="28"/>
  <c r="P63" i="15" s="1"/>
  <c r="P63" i="12" s="1"/>
  <c r="Q145" i="28"/>
  <c r="O78" i="15" s="1"/>
  <c r="O78" i="12" s="1"/>
  <c r="S109" i="28"/>
  <c r="P60" i="15" s="1"/>
  <c r="P60" i="12" s="1"/>
  <c r="O141" i="28"/>
  <c r="N76" i="15" s="1"/>
  <c r="N76" i="12" s="1"/>
  <c r="Q127" i="28"/>
  <c r="O69" i="15" s="1"/>
  <c r="S147" i="28"/>
  <c r="P79" i="15" s="1"/>
  <c r="P79" i="12" s="1"/>
  <c r="O147" i="28"/>
  <c r="N79" i="15" s="1"/>
  <c r="N79" i="12" s="1"/>
  <c r="S119" i="28"/>
  <c r="P65" i="15" s="1"/>
  <c r="P65" i="12" s="1"/>
  <c r="S151" i="28"/>
  <c r="P81" i="15" s="1"/>
  <c r="P81" i="12" s="1"/>
  <c r="S121" i="28"/>
  <c r="P66" i="15" s="1"/>
  <c r="P66" i="12" s="1"/>
  <c r="Q141" i="28"/>
  <c r="O76" i="15" s="1"/>
  <c r="O76" i="12" s="1"/>
  <c r="O151" i="28"/>
  <c r="N81" i="15" s="1"/>
  <c r="N81" i="12" s="1"/>
  <c r="O105" i="28"/>
  <c r="N58" i="15" s="1"/>
  <c r="S157" i="28"/>
  <c r="P84" i="15" s="1"/>
  <c r="P84" i="12" s="1"/>
  <c r="S141" i="28"/>
  <c r="P76" i="15" s="1"/>
  <c r="P76" i="12" s="1"/>
  <c r="S127" i="28"/>
  <c r="P69" i="15" s="1"/>
  <c r="S111" i="28"/>
  <c r="P61" i="15" s="1"/>
  <c r="P61" i="12" s="1"/>
  <c r="O149" i="28"/>
  <c r="N80" i="15" s="1"/>
  <c r="N80" i="12" s="1"/>
  <c r="S153" i="28"/>
  <c r="P82" i="15" s="1"/>
  <c r="P82" i="12" s="1"/>
  <c r="S137" i="28"/>
  <c r="P74" i="15" s="1"/>
  <c r="P74" i="12" s="1"/>
  <c r="S123" i="28"/>
  <c r="P67" i="15" s="1"/>
  <c r="P67" i="12" s="1"/>
  <c r="S107" i="28"/>
  <c r="P59" i="15" s="1"/>
  <c r="P59" i="12" s="1"/>
  <c r="O157" i="28"/>
  <c r="N84" i="15" s="1"/>
  <c r="N84" i="12" s="1"/>
  <c r="O127" i="28"/>
  <c r="N69" i="15" s="1"/>
  <c r="O111" i="28"/>
  <c r="N61" i="15" s="1"/>
  <c r="N61" i="12" s="1"/>
  <c r="O137" i="28"/>
  <c r="N74" i="15" s="1"/>
  <c r="N74" i="12" s="1"/>
  <c r="O123" i="28"/>
  <c r="N67" i="15" s="1"/>
  <c r="N67" i="12" s="1"/>
  <c r="O107" i="28"/>
  <c r="N59" i="15" s="1"/>
  <c r="N59" i="12" s="1"/>
  <c r="Q117" i="28"/>
  <c r="O64" i="15" s="1"/>
  <c r="O64" i="12" s="1"/>
  <c r="Q101" i="28"/>
  <c r="O56" i="15" s="1"/>
  <c r="O56" i="12" s="1"/>
  <c r="O117" i="28"/>
  <c r="N64" i="15" s="1"/>
  <c r="N64" i="12" s="1"/>
  <c r="O145" i="28"/>
  <c r="N78" i="15" s="1"/>
  <c r="N78" i="12" s="1"/>
  <c r="O115" i="28"/>
  <c r="N63" i="15" s="1"/>
  <c r="N63" i="12" s="1"/>
  <c r="O143" i="28"/>
  <c r="N77" i="15" s="1"/>
  <c r="N77" i="12" s="1"/>
  <c r="O113" i="28"/>
  <c r="N62" i="15" s="1"/>
  <c r="N62" i="12" s="1"/>
  <c r="Q115" i="28"/>
  <c r="O63" i="15" s="1"/>
  <c r="O63" i="12" s="1"/>
  <c r="Q129" i="28"/>
  <c r="O70" i="15" s="1"/>
  <c r="Q153" i="28"/>
  <c r="O82" i="15" s="1"/>
  <c r="O82" i="12" s="1"/>
  <c r="S129" i="28"/>
  <c r="P70" i="15" s="1"/>
  <c r="W139" i="28"/>
  <c r="S113" i="28"/>
  <c r="P62" i="15" s="1"/>
  <c r="P62" i="12" s="1"/>
  <c r="W155" i="28"/>
  <c r="W125" i="28"/>
  <c r="S159" i="28"/>
  <c r="P85" i="15" s="1"/>
  <c r="P85" i="12" s="1"/>
  <c r="Q107" i="28"/>
  <c r="O59" i="15" s="1"/>
  <c r="O59" i="12" s="1"/>
  <c r="Q123" i="28"/>
  <c r="O67" i="15" s="1"/>
  <c r="O67" i="12" s="1"/>
  <c r="S143" i="28"/>
  <c r="P77" i="15" s="1"/>
  <c r="P77" i="12" s="1"/>
  <c r="Y157" i="28"/>
  <c r="Y141" i="28"/>
  <c r="Y111" i="28"/>
  <c r="W153" i="28"/>
  <c r="W137" i="28"/>
  <c r="W123" i="28"/>
  <c r="W151" i="28"/>
  <c r="W121" i="28"/>
  <c r="Q149" i="28"/>
  <c r="O80" i="15" s="1"/>
  <c r="O80" i="12" s="1"/>
  <c r="Q133" i="28"/>
  <c r="O72" i="15" s="1"/>
  <c r="O72" i="12" s="1"/>
  <c r="Q119" i="28"/>
  <c r="O65" i="15" s="1"/>
  <c r="O65" i="12" s="1"/>
  <c r="Q103" i="28"/>
  <c r="O57" i="15" s="1"/>
  <c r="O57" i="12" s="1"/>
  <c r="S155" i="28"/>
  <c r="P83" i="15" s="1"/>
  <c r="P83" i="12" s="1"/>
  <c r="S139" i="28"/>
  <c r="P75" i="15" s="1"/>
  <c r="P75" i="12" s="1"/>
  <c r="S125" i="28"/>
  <c r="P68" i="15" s="1"/>
  <c r="P68" i="12" s="1"/>
  <c r="Y153" i="28"/>
  <c r="W149" i="28"/>
  <c r="W119" i="28"/>
  <c r="Y151" i="28"/>
  <c r="Y121" i="28"/>
  <c r="O133" i="28"/>
  <c r="N72" i="15" s="1"/>
  <c r="N72" i="12" s="1"/>
  <c r="O103" i="28"/>
  <c r="N57" i="15" s="1"/>
  <c r="N57" i="12" s="1"/>
  <c r="O101" i="28"/>
  <c r="N56" i="15" s="1"/>
  <c r="N56" i="12" s="1"/>
  <c r="Q157" i="28"/>
  <c r="O84" i="15" s="1"/>
  <c r="O84" i="12" s="1"/>
  <c r="Q111" i="28"/>
  <c r="O61" i="15" s="1"/>
  <c r="O61" i="12" s="1"/>
  <c r="S117" i="28"/>
  <c r="P64" i="15" s="1"/>
  <c r="P64" i="12" s="1"/>
  <c r="S105" i="28"/>
  <c r="P58" i="15" s="1"/>
  <c r="N3" i="24" l="1"/>
  <c r="N6" i="24"/>
  <c r="N2" i="24"/>
  <c r="N5" i="24"/>
  <c r="N4" i="24"/>
  <c r="N7" i="24"/>
  <c r="T6" i="12" l="1"/>
  <c r="T4" i="12"/>
  <c r="T7" i="12"/>
  <c r="T2" i="12"/>
  <c r="T5" i="12"/>
  <c r="T3" i="12"/>
  <c r="R131" i="4"/>
  <c r="R129" i="4"/>
  <c r="B12" i="12" l="1"/>
  <c r="B13" i="12" l="1"/>
  <c r="B14" i="12" s="1"/>
  <c r="B15" i="12" s="1"/>
  <c r="B16" i="12" s="1"/>
  <c r="B17" i="12" s="1"/>
  <c r="B18" i="12" s="1"/>
  <c r="B19" i="12" s="1"/>
  <c r="B20" i="12" s="1"/>
  <c r="B21" i="12" s="1"/>
  <c r="B22" i="12" s="1"/>
  <c r="B23" i="12" s="1"/>
  <c r="B24" i="12" s="1"/>
  <c r="B25" i="12" s="1"/>
  <c r="B26" i="12" s="1"/>
  <c r="B27" i="12" s="1"/>
  <c r="B28" i="12" s="1"/>
  <c r="B29" i="12" s="1"/>
  <c r="B30" i="12" s="1"/>
  <c r="B31" i="12" s="1"/>
  <c r="B32" i="12" s="1"/>
  <c r="B33" i="12" s="1"/>
  <c r="B34" i="12" s="1"/>
  <c r="B35" i="12" s="1"/>
  <c r="B36" i="12" s="1"/>
  <c r="B37" i="12" s="1"/>
  <c r="B38" i="12" s="1"/>
  <c r="B39" i="12" s="1"/>
  <c r="B40" i="12" s="1"/>
  <c r="B41" i="12" s="1"/>
  <c r="B42" i="12" s="1"/>
  <c r="B43" i="12" s="1"/>
  <c r="B44" i="12" s="1"/>
  <c r="B45" i="12" s="1"/>
  <c r="B46" i="12" s="1"/>
  <c r="B47" i="12" s="1"/>
  <c r="B48" i="12" s="1"/>
  <c r="B49" i="12" s="1"/>
  <c r="B50" i="12" s="1"/>
  <c r="B51" i="12" s="1"/>
  <c r="B52" i="12" s="1"/>
  <c r="B53" i="12" s="1"/>
  <c r="B54" i="12" s="1"/>
  <c r="B55" i="12" s="1"/>
  <c r="B56" i="12" s="1"/>
  <c r="B57" i="12" s="1"/>
  <c r="B58" i="12" s="1"/>
  <c r="B59" i="12" s="1"/>
  <c r="B60" i="12" s="1"/>
  <c r="B61" i="12" s="1"/>
  <c r="B62" i="12" s="1"/>
  <c r="B63" i="12" s="1"/>
  <c r="B64" i="12" s="1"/>
  <c r="B65" i="12" s="1"/>
  <c r="B66" i="12" s="1"/>
  <c r="B67" i="12" s="1"/>
  <c r="B68" i="12" s="1"/>
  <c r="B69" i="12" s="1"/>
  <c r="B70" i="12" s="1"/>
  <c r="B71" i="12" s="1"/>
  <c r="B72" i="12" s="1"/>
  <c r="B73" i="12" s="1"/>
  <c r="B74" i="12" s="1"/>
  <c r="B75" i="12" s="1"/>
  <c r="B76" i="12" s="1"/>
  <c r="B77" i="12" s="1"/>
  <c r="B78" i="12" s="1"/>
  <c r="B79" i="12" s="1"/>
  <c r="B80" i="12" s="1"/>
  <c r="B81" i="12" s="1"/>
  <c r="B82" i="12" s="1"/>
  <c r="B83" i="12" s="1"/>
  <c r="B84" i="12" s="1"/>
  <c r="B85" i="12" s="1"/>
  <c r="B86" i="12" s="1"/>
  <c r="B87" i="12" s="1"/>
  <c r="B88" i="12" s="1"/>
  <c r="B89" i="12" s="1"/>
  <c r="B90" i="12" s="1"/>
  <c r="B91" i="12" s="1"/>
  <c r="B92" i="12" s="1"/>
  <c r="B93" i="12" s="1"/>
  <c r="B94" i="12" s="1"/>
  <c r="B95" i="12" s="1"/>
  <c r="B96" i="12" s="1"/>
  <c r="B97" i="12" s="1"/>
  <c r="B98" i="12" s="1"/>
  <c r="B99" i="12" s="1"/>
  <c r="B100" i="12" s="1"/>
  <c r="B101" i="12" s="1"/>
  <c r="B102" i="12" s="1"/>
  <c r="B103" i="12" s="1"/>
  <c r="B104" i="12" s="1"/>
  <c r="B105" i="12" s="1"/>
  <c r="B106" i="12" s="1"/>
  <c r="B107" i="12" s="1"/>
  <c r="B108" i="12" s="1"/>
  <c r="B109" i="12" s="1"/>
  <c r="B110" i="12" s="1"/>
  <c r="B111" i="12" s="1"/>
  <c r="B112" i="12" s="1"/>
  <c r="B113" i="12" s="1"/>
  <c r="B114" i="12" s="1"/>
  <c r="B115" i="12" s="1"/>
  <c r="B116" i="12" s="1"/>
  <c r="B117" i="12" s="1"/>
  <c r="B118" i="12" s="1"/>
  <c r="B119" i="12" s="1"/>
  <c r="B120" i="12" s="1"/>
  <c r="B121" i="12" s="1"/>
  <c r="B122" i="12" s="1"/>
  <c r="B123" i="12" s="1"/>
  <c r="B124" i="12" s="1"/>
  <c r="B125" i="12" s="1"/>
  <c r="B12" i="3"/>
  <c r="B12" i="11"/>
  <c r="B13" i="11" s="1"/>
  <c r="B14" i="11" s="1"/>
  <c r="B15" i="11" s="1"/>
  <c r="B16" i="11" s="1"/>
  <c r="B17" i="11" s="1"/>
  <c r="B18" i="11" s="1"/>
  <c r="B19" i="11" s="1"/>
  <c r="B20" i="11" s="1"/>
  <c r="B21" i="11" s="1"/>
  <c r="B22" i="11" s="1"/>
  <c r="B23" i="11" s="1"/>
  <c r="B24" i="11" s="1"/>
  <c r="B25" i="11" s="1"/>
  <c r="B26" i="11" s="1"/>
  <c r="B27" i="11" s="1"/>
  <c r="B28" i="11" s="1"/>
  <c r="B29" i="11" s="1"/>
  <c r="B30" i="11" s="1"/>
  <c r="B31" i="11" s="1"/>
  <c r="B32" i="11" s="1"/>
  <c r="B33" i="11" s="1"/>
  <c r="B34" i="11" s="1"/>
  <c r="B35" i="11" s="1"/>
  <c r="B36" i="11" s="1"/>
  <c r="B37" i="11" s="1"/>
  <c r="B38" i="11" s="1"/>
  <c r="B39" i="11" s="1"/>
  <c r="B40" i="11" s="1"/>
  <c r="B41" i="11" s="1"/>
  <c r="B42" i="11" s="1"/>
  <c r="B43" i="11" s="1"/>
  <c r="B44" i="11" s="1"/>
  <c r="B45" i="11" s="1"/>
  <c r="B46" i="11" s="1"/>
  <c r="B47" i="11" s="1"/>
  <c r="B48" i="11" s="1"/>
  <c r="B49" i="11" s="1"/>
  <c r="B50" i="11" s="1"/>
  <c r="B51" i="11" s="1"/>
  <c r="B52" i="11" s="1"/>
  <c r="B53" i="11" s="1"/>
  <c r="B54" i="11" s="1"/>
  <c r="B55" i="11" s="1"/>
  <c r="B56" i="11" s="1"/>
  <c r="B57" i="11" s="1"/>
  <c r="B58" i="11" s="1"/>
  <c r="B59" i="11" s="1"/>
  <c r="B60" i="11" s="1"/>
  <c r="B61" i="11" s="1"/>
  <c r="B62" i="11" s="1"/>
  <c r="B63" i="11" s="1"/>
  <c r="B64" i="11" s="1"/>
  <c r="B65" i="11" s="1"/>
  <c r="B66" i="11" s="1"/>
  <c r="B67" i="11" s="1"/>
  <c r="B68" i="11" s="1"/>
  <c r="B69" i="11" s="1"/>
  <c r="B70" i="11" s="1"/>
  <c r="B71" i="11" s="1"/>
  <c r="B72" i="11" s="1"/>
  <c r="B73" i="11" s="1"/>
  <c r="B74" i="11" s="1"/>
  <c r="B75" i="11" s="1"/>
  <c r="B76" i="11" s="1"/>
  <c r="B77" i="11" s="1"/>
  <c r="B78" i="11" s="1"/>
  <c r="B79" i="11" s="1"/>
  <c r="B80" i="11" s="1"/>
  <c r="B81" i="11" s="1"/>
  <c r="B82" i="11" s="1"/>
  <c r="B83" i="11" s="1"/>
  <c r="B84" i="11" s="1"/>
  <c r="B85" i="11" s="1"/>
  <c r="B86" i="11" s="1"/>
  <c r="B87" i="11" s="1"/>
  <c r="B88" i="11" s="1"/>
  <c r="B89" i="11" s="1"/>
  <c r="B90" i="11" s="1"/>
  <c r="B91" i="11" s="1"/>
  <c r="B92" i="11" s="1"/>
  <c r="B93" i="11" s="1"/>
  <c r="B94" i="11" s="1"/>
  <c r="B95" i="11" s="1"/>
  <c r="B96" i="11" s="1"/>
  <c r="B97" i="11" s="1"/>
  <c r="B98" i="11" s="1"/>
  <c r="B99" i="11" s="1"/>
  <c r="B100" i="11" s="1"/>
  <c r="B101" i="11" s="1"/>
  <c r="B102" i="11" s="1"/>
  <c r="B103" i="11" s="1"/>
  <c r="B104" i="11" s="1"/>
  <c r="B105" i="11" s="1"/>
  <c r="B106" i="11" s="1"/>
  <c r="B107" i="11" s="1"/>
  <c r="B108" i="11" s="1"/>
  <c r="B109" i="11" s="1"/>
  <c r="B110" i="11" s="1"/>
  <c r="B111" i="11" s="1"/>
  <c r="B112" i="11" s="1"/>
  <c r="B113" i="11" s="1"/>
  <c r="B114" i="11" s="1"/>
  <c r="B115" i="11" s="1"/>
  <c r="B116" i="11" s="1"/>
  <c r="B117" i="11" s="1"/>
  <c r="B118" i="11" s="1"/>
  <c r="B119" i="11" s="1"/>
  <c r="B120" i="11" s="1"/>
  <c r="B121" i="11" s="1"/>
  <c r="B122" i="11" s="1"/>
  <c r="B123" i="11" s="1"/>
  <c r="B124" i="11" s="1"/>
  <c r="B125" i="11" s="1"/>
  <c r="B126" i="11" s="1"/>
  <c r="B127" i="11" s="1"/>
  <c r="B128" i="11" s="1"/>
  <c r="B129" i="11" s="1"/>
  <c r="B130" i="11" s="1"/>
  <c r="B131" i="11" s="1"/>
  <c r="B132" i="11" s="1"/>
  <c r="B133" i="11" s="1"/>
  <c r="B134" i="11" s="1"/>
  <c r="B135" i="11" s="1"/>
  <c r="B136" i="11" s="1"/>
  <c r="B137" i="11" s="1"/>
  <c r="B138" i="11" s="1"/>
  <c r="B139" i="11" s="1"/>
  <c r="B140" i="11" s="1"/>
  <c r="B141" i="11" s="1"/>
  <c r="B142" i="11" s="1"/>
  <c r="B143" i="11" s="1"/>
  <c r="B144" i="11" s="1"/>
  <c r="B145" i="11" s="1"/>
  <c r="B146" i="11" s="1"/>
  <c r="B147" i="11" s="1"/>
  <c r="B148" i="11" s="1"/>
  <c r="B149" i="11" s="1"/>
  <c r="B150" i="11" s="1"/>
  <c r="B151" i="11" s="1"/>
  <c r="B152" i="11" s="1"/>
  <c r="B153" i="11" s="1"/>
  <c r="B154" i="11" s="1"/>
  <c r="B155" i="11" s="1"/>
  <c r="B156" i="11" s="1"/>
  <c r="B157" i="11" s="1"/>
  <c r="B158" i="11" s="1"/>
  <c r="B159" i="11" s="1"/>
  <c r="B160" i="11" s="1"/>
  <c r="B161" i="11" s="1"/>
  <c r="B162" i="11" s="1"/>
  <c r="B163" i="11" s="1"/>
  <c r="B164" i="11" s="1"/>
  <c r="B165" i="11" s="1"/>
  <c r="B166" i="11" s="1"/>
  <c r="B167" i="11" s="1"/>
  <c r="B168" i="11" s="1"/>
  <c r="B169" i="11" s="1"/>
  <c r="B170" i="11" s="1"/>
  <c r="B171" i="11" s="1"/>
  <c r="B172" i="11" s="1"/>
  <c r="B173" i="11" s="1"/>
  <c r="B174" i="11" s="1"/>
  <c r="B175" i="11" s="1"/>
  <c r="B176" i="11" s="1"/>
  <c r="B177" i="11" s="1"/>
  <c r="B178" i="11" s="1"/>
  <c r="B179" i="11" s="1"/>
  <c r="B180" i="11" s="1"/>
  <c r="B181" i="11" s="1"/>
  <c r="B182" i="11" s="1"/>
  <c r="B183" i="11" s="1"/>
  <c r="B184" i="11" s="1"/>
  <c r="B185" i="11" s="1"/>
  <c r="B186" i="11" s="1"/>
  <c r="B187" i="11" s="1"/>
  <c r="B188" i="11" s="1"/>
  <c r="B189" i="11" s="1"/>
  <c r="B190" i="11" s="1"/>
  <c r="B191" i="11" s="1"/>
  <c r="B192" i="11" s="1"/>
  <c r="B193" i="11" s="1"/>
  <c r="B194" i="11" s="1"/>
  <c r="B195" i="11" s="1"/>
  <c r="B196" i="11" s="1"/>
  <c r="B197" i="11" s="1"/>
  <c r="B198" i="11" s="1"/>
  <c r="B199" i="11" s="1"/>
  <c r="B200" i="11" s="1"/>
  <c r="B201" i="11" s="1"/>
  <c r="B202" i="11" s="1"/>
  <c r="B203" i="11" s="1"/>
  <c r="B204" i="11" s="1"/>
  <c r="B205" i="11" s="1"/>
  <c r="B206" i="11" s="1"/>
  <c r="B207" i="11" s="1"/>
  <c r="B208" i="11" s="1"/>
  <c r="B209" i="11" s="1"/>
  <c r="B210" i="11" s="1"/>
  <c r="B211" i="11" s="1"/>
  <c r="B212" i="11" s="1"/>
  <c r="B213" i="11" s="1"/>
  <c r="B214" i="11" s="1"/>
  <c r="B215" i="11" s="1"/>
  <c r="B216" i="11" s="1"/>
  <c r="B217" i="11" s="1"/>
  <c r="B218" i="11" s="1"/>
  <c r="B219" i="11" s="1"/>
  <c r="B220" i="11" s="1"/>
  <c r="B221" i="11" s="1"/>
  <c r="B222" i="11" s="1"/>
  <c r="B223" i="11" s="1"/>
  <c r="B224" i="11" s="1"/>
  <c r="B225" i="11" s="1"/>
  <c r="B226" i="11" s="1"/>
  <c r="B227" i="11" s="1"/>
  <c r="B228" i="11" s="1"/>
  <c r="B229" i="11" s="1"/>
  <c r="B230" i="11" s="1"/>
  <c r="B231" i="11" s="1"/>
  <c r="B232" i="11" s="1"/>
  <c r="B233" i="11" s="1"/>
  <c r="B234" i="11" s="1"/>
  <c r="B235" i="11" s="1"/>
  <c r="B236" i="11" s="1"/>
  <c r="B237" i="11" s="1"/>
  <c r="B238" i="11" s="1"/>
  <c r="B239" i="11" s="1"/>
  <c r="B240" i="11" s="1"/>
  <c r="B241" i="11" s="1"/>
  <c r="B242" i="11" s="1"/>
  <c r="B243" i="11" s="1"/>
  <c r="B244" i="11" s="1"/>
  <c r="B245" i="11" s="1"/>
  <c r="B246" i="11" s="1"/>
  <c r="B247" i="11" s="1"/>
  <c r="B248" i="11" s="1"/>
  <c r="B249" i="11" s="1"/>
  <c r="B250" i="11" s="1"/>
  <c r="B251" i="11" s="1"/>
  <c r="B252" i="11" s="1"/>
  <c r="B253" i="11" s="1"/>
  <c r="B254" i="11" s="1"/>
  <c r="B255" i="11" s="1"/>
  <c r="B256" i="11" s="1"/>
  <c r="B257" i="11" s="1"/>
  <c r="B258" i="11" s="1"/>
  <c r="B259" i="11" s="1"/>
  <c r="B260" i="11" s="1"/>
  <c r="B261" i="11" s="1"/>
  <c r="B262" i="11" s="1"/>
  <c r="B263" i="11" s="1"/>
  <c r="B264" i="11" s="1"/>
  <c r="B265" i="11" s="1"/>
  <c r="B266" i="11" s="1"/>
  <c r="B267" i="11" s="1"/>
  <c r="B268" i="11" s="1"/>
  <c r="B269" i="11" s="1"/>
  <c r="B270" i="11" s="1"/>
  <c r="B271" i="11" s="1"/>
  <c r="B272" i="11" s="1"/>
  <c r="B273" i="11" s="1"/>
  <c r="B274" i="11" s="1"/>
  <c r="B275" i="11" s="1"/>
  <c r="B276" i="11" s="1"/>
  <c r="B277" i="11" s="1"/>
  <c r="B278" i="11" s="1"/>
  <c r="B279" i="11" s="1"/>
  <c r="B280" i="11" s="1"/>
  <c r="B281" i="11" s="1"/>
  <c r="B282" i="11" s="1"/>
  <c r="B283" i="11" s="1"/>
  <c r="B284" i="11" s="1"/>
  <c r="B285" i="11" s="1"/>
  <c r="B286" i="11" s="1"/>
  <c r="B287" i="11" s="1"/>
  <c r="B288" i="11" s="1"/>
  <c r="B289" i="11" s="1"/>
  <c r="B290" i="11" s="1"/>
  <c r="B291" i="11" s="1"/>
  <c r="B292" i="11" s="1"/>
  <c r="B293" i="11" s="1"/>
  <c r="B294" i="11" s="1"/>
  <c r="B295" i="11" s="1"/>
  <c r="B296" i="11" s="1"/>
  <c r="B297" i="11" s="1"/>
  <c r="B298" i="11" s="1"/>
  <c r="B299" i="11" s="1"/>
  <c r="B300" i="11" s="1"/>
  <c r="B301" i="11" s="1"/>
  <c r="B302" i="11" s="1"/>
  <c r="B303" i="11" s="1"/>
  <c r="B304" i="11" s="1"/>
  <c r="B305" i="11" s="1"/>
  <c r="B306" i="11" s="1"/>
  <c r="B307" i="11" s="1"/>
  <c r="B308" i="11" s="1"/>
  <c r="B309" i="11" s="1"/>
  <c r="B310" i="11" s="1"/>
  <c r="B311" i="11" s="1"/>
  <c r="B312" i="11" s="1"/>
  <c r="B313" i="11" s="1"/>
  <c r="B314" i="11" s="1"/>
  <c r="B315" i="11" s="1"/>
  <c r="B316" i="11" s="1"/>
  <c r="B317" i="11" s="1"/>
  <c r="B318" i="11" s="1"/>
  <c r="B319" i="11" s="1"/>
  <c r="B320" i="11" s="1"/>
  <c r="B321" i="11" s="1"/>
  <c r="B322" i="11" s="1"/>
  <c r="B323" i="11" s="1"/>
  <c r="B324" i="11" s="1"/>
  <c r="B325" i="11" s="1"/>
  <c r="B326" i="11" s="1"/>
  <c r="B327" i="11" s="1"/>
  <c r="B328" i="11" s="1"/>
  <c r="B329" i="11" s="1"/>
  <c r="B330" i="11" s="1"/>
  <c r="B331" i="11" s="1"/>
  <c r="B332" i="11" s="1"/>
  <c r="B333" i="11" s="1"/>
  <c r="B334" i="11" s="1"/>
  <c r="B335" i="11" s="1"/>
  <c r="B336" i="11" s="1"/>
  <c r="B337" i="11" s="1"/>
  <c r="B338" i="11" s="1"/>
  <c r="B339" i="11" s="1"/>
  <c r="B340" i="11" s="1"/>
  <c r="B341" i="11" s="1"/>
  <c r="B342" i="11" s="1"/>
  <c r="B343" i="11" s="1"/>
  <c r="B344" i="11" s="1"/>
  <c r="B345" i="11" s="1"/>
  <c r="B346" i="11" s="1"/>
  <c r="B347" i="11" s="1"/>
  <c r="B348" i="11" s="1"/>
  <c r="B349" i="11" s="1"/>
  <c r="B350" i="11" s="1"/>
  <c r="B351" i="11" s="1"/>
  <c r="B352" i="11" s="1"/>
  <c r="B353" i="11" s="1"/>
  <c r="B354" i="11" s="1"/>
  <c r="B355" i="11" s="1"/>
  <c r="B356" i="11" s="1"/>
  <c r="B357" i="11" s="1"/>
  <c r="B358" i="11" s="1"/>
  <c r="B359" i="11" s="1"/>
  <c r="B360" i="11" s="1"/>
  <c r="B361" i="11" s="1"/>
  <c r="B362" i="11" s="1"/>
  <c r="B363" i="11" s="1"/>
  <c r="B364" i="11" s="1"/>
  <c r="B365" i="11" s="1"/>
  <c r="B366" i="11" s="1"/>
  <c r="B367" i="11" s="1"/>
  <c r="B368" i="11" s="1"/>
  <c r="B369" i="11" s="1"/>
  <c r="B370" i="11" s="1"/>
  <c r="B371" i="11" s="1"/>
  <c r="B372" i="11" s="1"/>
  <c r="B373" i="11" s="1"/>
  <c r="B374" i="11" s="1"/>
  <c r="B375" i="11" s="1"/>
  <c r="B376" i="11" s="1"/>
  <c r="B377" i="11" s="1"/>
  <c r="B378" i="11" s="1"/>
  <c r="B379" i="11" s="1"/>
  <c r="B380" i="11" s="1"/>
  <c r="B381" i="11" s="1"/>
  <c r="B382" i="11" s="1"/>
  <c r="B383" i="11" s="1"/>
  <c r="B384" i="11" s="1"/>
  <c r="B385" i="11" s="1"/>
  <c r="B386" i="11" s="1"/>
  <c r="B387" i="11" s="1"/>
  <c r="B388" i="11" s="1"/>
  <c r="B389" i="11" s="1"/>
  <c r="B390" i="11" s="1"/>
  <c r="B391" i="11" s="1"/>
  <c r="B392" i="11" s="1"/>
  <c r="B393" i="11" s="1"/>
  <c r="B394" i="11" s="1"/>
  <c r="B395" i="11" s="1"/>
  <c r="B396" i="11" s="1"/>
  <c r="B397" i="11" s="1"/>
  <c r="B398" i="11" s="1"/>
  <c r="B399" i="11" s="1"/>
  <c r="B400" i="11" s="1"/>
  <c r="B401" i="11" s="1"/>
  <c r="B402" i="11" s="1"/>
  <c r="B403" i="11" s="1"/>
  <c r="B404" i="11" s="1"/>
  <c r="B405" i="11" s="1"/>
  <c r="B406" i="11" s="1"/>
  <c r="B407" i="11" s="1"/>
  <c r="B408" i="11" s="1"/>
  <c r="B409" i="11" s="1"/>
  <c r="B410" i="11" s="1"/>
  <c r="B411" i="11" s="1"/>
  <c r="B412" i="11" s="1"/>
  <c r="B413" i="11" s="1"/>
  <c r="B414" i="11" s="1"/>
  <c r="B415" i="11" s="1"/>
  <c r="B416" i="11" s="1"/>
  <c r="B417" i="11" s="1"/>
  <c r="B418" i="11" s="1"/>
  <c r="B419" i="11" s="1"/>
  <c r="B420" i="11" s="1"/>
  <c r="B421" i="11" s="1"/>
  <c r="B422" i="11" s="1"/>
  <c r="B423" i="11" s="1"/>
  <c r="B424" i="11" s="1"/>
  <c r="B425" i="11" s="1"/>
  <c r="B426" i="11" s="1"/>
  <c r="B427" i="11" s="1"/>
  <c r="B428" i="11" s="1"/>
  <c r="B429" i="11" s="1"/>
  <c r="B430" i="11" s="1"/>
  <c r="B431" i="11" s="1"/>
  <c r="B432" i="11" s="1"/>
  <c r="B433" i="11" s="1"/>
  <c r="B434" i="11" s="1"/>
  <c r="B435" i="11" s="1"/>
  <c r="B436" i="11" s="1"/>
  <c r="B437" i="11" s="1"/>
  <c r="B438" i="11" s="1"/>
  <c r="B439" i="11" s="1"/>
  <c r="B440" i="11" s="1"/>
  <c r="B441" i="11" s="1"/>
  <c r="B442" i="11" s="1"/>
  <c r="B443" i="11" s="1"/>
  <c r="B444" i="11" s="1"/>
  <c r="B445" i="11" s="1"/>
  <c r="B446" i="11" s="1"/>
  <c r="B447" i="11" s="1"/>
  <c r="B448" i="11" s="1"/>
  <c r="B449" i="11" s="1"/>
  <c r="B450" i="11" s="1"/>
  <c r="B451" i="11" s="1"/>
  <c r="B452" i="11" s="1"/>
  <c r="B453" i="11" s="1"/>
  <c r="B454" i="11" s="1"/>
  <c r="B455" i="11" s="1"/>
  <c r="B456" i="11" s="1"/>
  <c r="B457" i="11" s="1"/>
  <c r="B458" i="11" s="1"/>
  <c r="B459" i="11" s="1"/>
  <c r="B460" i="11" s="1"/>
  <c r="B461" i="11" s="1"/>
  <c r="B462" i="11" s="1"/>
  <c r="B463" i="11" s="1"/>
  <c r="B464" i="11" s="1"/>
  <c r="B465" i="11" s="1"/>
  <c r="B466" i="11" s="1"/>
  <c r="B467" i="11" s="1"/>
  <c r="B468" i="11" s="1"/>
  <c r="B469" i="11" s="1"/>
  <c r="B470" i="11" s="1"/>
  <c r="B471" i="11" s="1"/>
  <c r="B472" i="11" s="1"/>
  <c r="B473" i="11" s="1"/>
  <c r="B474" i="11" s="1"/>
  <c r="B475" i="11" s="1"/>
  <c r="B476" i="11" s="1"/>
  <c r="B477" i="11" s="1"/>
  <c r="B478" i="11" s="1"/>
  <c r="B479" i="11" s="1"/>
  <c r="B480" i="11" s="1"/>
  <c r="B481" i="11" s="1"/>
  <c r="B482" i="11" s="1"/>
  <c r="B483" i="11" s="1"/>
  <c r="B484" i="11" s="1"/>
  <c r="B485" i="11" s="1"/>
  <c r="B486" i="11" s="1"/>
  <c r="B487" i="11" s="1"/>
  <c r="B488" i="11" s="1"/>
  <c r="B489" i="11" s="1"/>
  <c r="B490" i="11" s="1"/>
  <c r="B491" i="11" s="1"/>
  <c r="B492" i="11" s="1"/>
  <c r="B493" i="11" s="1"/>
  <c r="B494" i="11" s="1"/>
  <c r="B495" i="11" s="1"/>
  <c r="B496" i="11" s="1"/>
  <c r="B497" i="11" s="1"/>
  <c r="B498" i="11" s="1"/>
  <c r="B499" i="11" s="1"/>
  <c r="B500" i="11" s="1"/>
  <c r="B501" i="11" s="1"/>
  <c r="B502" i="11" s="1"/>
  <c r="B503" i="11" s="1"/>
  <c r="B504" i="11" s="1"/>
  <c r="B505" i="11" s="1"/>
  <c r="B506" i="11" s="1"/>
  <c r="B507" i="11" s="1"/>
  <c r="B508" i="11" s="1"/>
  <c r="B509" i="11" s="1"/>
  <c r="B510" i="11" s="1"/>
  <c r="B511" i="11" s="1"/>
  <c r="B512" i="11" s="1"/>
  <c r="B513" i="11" s="1"/>
  <c r="B514" i="11" s="1"/>
  <c r="B515" i="11" s="1"/>
  <c r="B516" i="11" s="1"/>
  <c r="B517" i="11" s="1"/>
  <c r="B518" i="11" s="1"/>
  <c r="B519" i="11" s="1"/>
  <c r="B520" i="11" s="1"/>
  <c r="B521" i="11" s="1"/>
  <c r="B522" i="11" s="1"/>
  <c r="B523" i="11" s="1"/>
  <c r="B524" i="11" s="1"/>
  <c r="B525" i="11" s="1"/>
  <c r="B526" i="11" s="1"/>
  <c r="B527" i="11" s="1"/>
  <c r="B528" i="11" s="1"/>
  <c r="B529" i="11" s="1"/>
  <c r="B530" i="11" s="1"/>
  <c r="B531" i="11" s="1"/>
  <c r="B532" i="11" s="1"/>
  <c r="B533" i="11" s="1"/>
  <c r="B534" i="11" s="1"/>
  <c r="B535" i="11" s="1"/>
  <c r="B536" i="11" s="1"/>
  <c r="B537" i="11" s="1"/>
  <c r="B538" i="11" s="1"/>
  <c r="B539" i="11" s="1"/>
  <c r="B540" i="11" s="1"/>
  <c r="B541" i="11" s="1"/>
  <c r="B542" i="11" s="1"/>
  <c r="B543" i="11" s="1"/>
  <c r="B544" i="11" s="1"/>
  <c r="B545" i="11" s="1"/>
  <c r="B546" i="11" s="1"/>
  <c r="B547" i="11" s="1"/>
  <c r="B548" i="11" s="1"/>
  <c r="B549" i="11" s="1"/>
  <c r="B550" i="11" s="1"/>
  <c r="B551" i="11" s="1"/>
  <c r="B552" i="11" s="1"/>
  <c r="B553" i="11" s="1"/>
  <c r="B554" i="11" s="1"/>
  <c r="B555" i="11" s="1"/>
  <c r="B556" i="11" s="1"/>
  <c r="B557" i="11" s="1"/>
  <c r="B558" i="11" s="1"/>
  <c r="B559" i="11" s="1"/>
  <c r="B560" i="11" s="1"/>
  <c r="B561" i="11" s="1"/>
  <c r="B562" i="11" s="1"/>
  <c r="B563" i="11" s="1"/>
  <c r="B564" i="11" s="1"/>
  <c r="B565" i="11" s="1"/>
  <c r="B566" i="11" s="1"/>
  <c r="B567" i="11" s="1"/>
  <c r="B568" i="11" s="1"/>
  <c r="B569" i="11" s="1"/>
  <c r="B570" i="11" s="1"/>
  <c r="B571" i="11" s="1"/>
  <c r="B572" i="11" s="1"/>
  <c r="B573" i="11" s="1"/>
  <c r="B574" i="11" s="1"/>
  <c r="B575" i="11" s="1"/>
  <c r="B576" i="11" s="1"/>
  <c r="B577" i="11" s="1"/>
  <c r="B578" i="11" s="1"/>
  <c r="B579" i="11" s="1"/>
  <c r="B580" i="11" s="1"/>
  <c r="B581" i="11" s="1"/>
  <c r="B582" i="11" s="1"/>
  <c r="B583" i="11" s="1"/>
  <c r="B584" i="11" s="1"/>
  <c r="B585" i="11" s="1"/>
  <c r="B586" i="11" s="1"/>
  <c r="B587" i="11" s="1"/>
  <c r="B588" i="11" s="1"/>
  <c r="B589" i="11" s="1"/>
  <c r="B590" i="11" s="1"/>
  <c r="B591" i="11" s="1"/>
  <c r="B592" i="11" s="1"/>
  <c r="B593" i="11" s="1"/>
  <c r="B594" i="11" s="1"/>
  <c r="B595" i="11" s="1"/>
  <c r="B596" i="11" s="1"/>
  <c r="B597" i="11" s="1"/>
  <c r="B598" i="11" s="1"/>
  <c r="B599" i="11" s="1"/>
  <c r="B600" i="11" s="1"/>
  <c r="B601" i="11" s="1"/>
  <c r="B602" i="11" s="1"/>
  <c r="B603" i="11" s="1"/>
  <c r="B604" i="11" s="1"/>
  <c r="B605" i="11" s="1"/>
  <c r="B606" i="11" s="1"/>
  <c r="B607" i="11" s="1"/>
  <c r="B608" i="11" s="1"/>
  <c r="B609" i="11" s="1"/>
  <c r="B610" i="11" s="1"/>
  <c r="B611" i="11" s="1"/>
  <c r="B612" i="11" s="1"/>
  <c r="B613" i="11" s="1"/>
  <c r="B614" i="11" s="1"/>
  <c r="B615" i="11" s="1"/>
  <c r="B616" i="11" s="1"/>
  <c r="B617" i="11" s="1"/>
  <c r="B618" i="11" s="1"/>
  <c r="B619" i="11" s="1"/>
  <c r="B620" i="11" s="1"/>
  <c r="B621" i="11" s="1"/>
  <c r="B622" i="11" s="1"/>
  <c r="B623" i="11" s="1"/>
  <c r="B624" i="11" s="1"/>
  <c r="B625" i="11" s="1"/>
  <c r="B626" i="11" s="1"/>
  <c r="B627" i="11" s="1"/>
  <c r="B628" i="11" s="1"/>
  <c r="B629" i="11" s="1"/>
  <c r="B630" i="11" s="1"/>
  <c r="B631" i="11" s="1"/>
  <c r="B632" i="11" s="1"/>
  <c r="B633" i="11" s="1"/>
  <c r="B634" i="11" s="1"/>
  <c r="B635" i="11" s="1"/>
  <c r="B636" i="11" s="1"/>
  <c r="B637" i="11" s="1"/>
  <c r="B638" i="11" s="1"/>
  <c r="B639" i="11" s="1"/>
  <c r="B640" i="11" s="1"/>
  <c r="B641" i="11" s="1"/>
  <c r="B642" i="11" s="1"/>
  <c r="B643" i="11" s="1"/>
  <c r="B644" i="11" s="1"/>
  <c r="B645" i="11" s="1"/>
  <c r="B646" i="11" s="1"/>
  <c r="B647" i="11" s="1"/>
  <c r="B648" i="11" s="1"/>
  <c r="B649" i="11" s="1"/>
  <c r="B650" i="11" s="1"/>
  <c r="B651" i="11" s="1"/>
  <c r="B652" i="11" s="1"/>
  <c r="B653" i="11" s="1"/>
  <c r="B654" i="11" s="1"/>
  <c r="B655" i="11" s="1"/>
  <c r="B656" i="11" s="1"/>
  <c r="B657" i="11" s="1"/>
  <c r="B658" i="11" s="1"/>
  <c r="B659" i="11" s="1"/>
  <c r="B660" i="11" s="1"/>
  <c r="B661" i="11" s="1"/>
  <c r="B662" i="11" s="1"/>
  <c r="B663" i="11" s="1"/>
  <c r="B664" i="11" s="1"/>
  <c r="B665" i="11" s="1"/>
  <c r="B666" i="11" s="1"/>
  <c r="B667" i="11" s="1"/>
  <c r="B668" i="11" s="1"/>
  <c r="B669" i="11" s="1"/>
  <c r="B670" i="11" s="1"/>
  <c r="B671" i="11" s="1"/>
  <c r="B672" i="11" s="1"/>
  <c r="B673" i="11" s="1"/>
  <c r="B674" i="11" s="1"/>
  <c r="B675" i="11" s="1"/>
  <c r="B676" i="11" s="1"/>
  <c r="B677" i="11" s="1"/>
  <c r="B678" i="11" s="1"/>
  <c r="B679" i="11" s="1"/>
  <c r="B680" i="11" s="1"/>
  <c r="B681" i="11" s="1"/>
  <c r="B682" i="11" s="1"/>
  <c r="B683" i="11" s="1"/>
  <c r="B684" i="11" s="1"/>
  <c r="B685" i="11" s="1"/>
  <c r="B686" i="11" s="1"/>
  <c r="B687" i="11" s="1"/>
  <c r="B688" i="11" s="1"/>
  <c r="B689" i="11" s="1"/>
  <c r="B690" i="11" s="1"/>
  <c r="B691" i="11" s="1"/>
  <c r="B692" i="11" s="1"/>
  <c r="B693" i="11" s="1"/>
  <c r="B694" i="11" s="1"/>
  <c r="B695" i="11" s="1"/>
  <c r="B696" i="11" s="1"/>
  <c r="B697" i="11" s="1"/>
  <c r="B698" i="11" s="1"/>
  <c r="B699" i="11" s="1"/>
  <c r="B700" i="11" s="1"/>
  <c r="B701" i="11" s="1"/>
  <c r="B702" i="11" s="1"/>
  <c r="B703" i="11" s="1"/>
  <c r="B704" i="11" s="1"/>
  <c r="B705" i="11" s="1"/>
  <c r="B706" i="11" s="1"/>
  <c r="B707" i="11" s="1"/>
  <c r="B708" i="11" s="1"/>
  <c r="B709" i="11" s="1"/>
  <c r="B710" i="11" s="1"/>
  <c r="B711" i="11" s="1"/>
  <c r="B712" i="11" s="1"/>
  <c r="B713" i="11" s="1"/>
  <c r="B714" i="11" s="1"/>
  <c r="B715" i="11" s="1"/>
  <c r="B716" i="11" s="1"/>
  <c r="B717" i="11" s="1"/>
  <c r="B718" i="11" s="1"/>
  <c r="B719" i="11" s="1"/>
  <c r="B720" i="11" s="1"/>
  <c r="B721" i="11" s="1"/>
  <c r="B722" i="11" s="1"/>
  <c r="B723" i="11" s="1"/>
  <c r="B724" i="11" s="1"/>
  <c r="B725" i="11" s="1"/>
  <c r="B726" i="11" s="1"/>
  <c r="B727" i="11" s="1"/>
  <c r="B728" i="11" s="1"/>
  <c r="B729" i="11" s="1"/>
  <c r="B730" i="11" s="1"/>
  <c r="B731" i="11" s="1"/>
  <c r="B732" i="11" s="1"/>
  <c r="B733" i="11" s="1"/>
  <c r="B734" i="11" s="1"/>
  <c r="B735" i="11" s="1"/>
  <c r="B736" i="11" s="1"/>
  <c r="B737" i="11" s="1"/>
  <c r="B738" i="11" s="1"/>
  <c r="B739" i="11" s="1"/>
  <c r="B740" i="11" s="1"/>
  <c r="B741" i="11" s="1"/>
  <c r="B742" i="11" s="1"/>
  <c r="B743" i="11" s="1"/>
  <c r="B744" i="11" s="1"/>
  <c r="B745" i="11" s="1"/>
  <c r="B746" i="11" s="1"/>
  <c r="B747" i="11" s="1"/>
  <c r="B748" i="11" s="1"/>
  <c r="B749" i="11" s="1"/>
  <c r="B750" i="11" s="1"/>
  <c r="B751" i="11" s="1"/>
  <c r="B752" i="11" s="1"/>
  <c r="B753" i="11" s="1"/>
  <c r="B754" i="11" s="1"/>
  <c r="B755" i="11" s="1"/>
  <c r="B756" i="11" s="1"/>
  <c r="B757" i="11" s="1"/>
  <c r="B758" i="11" s="1"/>
  <c r="B759" i="11" s="1"/>
  <c r="B760" i="11" s="1"/>
  <c r="B761" i="11" s="1"/>
  <c r="B762" i="11" s="1"/>
  <c r="B763" i="11" s="1"/>
  <c r="B764" i="11" s="1"/>
  <c r="B765" i="11" s="1"/>
  <c r="B766" i="11" s="1"/>
  <c r="B767" i="11" s="1"/>
  <c r="B768" i="11" s="1"/>
  <c r="B769" i="11" s="1"/>
  <c r="B770" i="11" s="1"/>
  <c r="B771" i="11" s="1"/>
  <c r="B772" i="11" s="1"/>
  <c r="B773" i="11" s="1"/>
  <c r="B774" i="11" s="1"/>
  <c r="B775" i="11" s="1"/>
  <c r="B776" i="11" s="1"/>
  <c r="B777" i="11" s="1"/>
  <c r="B778" i="11" s="1"/>
  <c r="B779" i="11" s="1"/>
  <c r="B780" i="11" s="1"/>
  <c r="B781" i="11" s="1"/>
  <c r="B782" i="11" s="1"/>
  <c r="B783" i="11" s="1"/>
  <c r="B784" i="11" s="1"/>
  <c r="B785" i="11" s="1"/>
  <c r="B786" i="11" s="1"/>
  <c r="B787" i="11" s="1"/>
  <c r="B788" i="11" s="1"/>
  <c r="B789" i="11" s="1"/>
  <c r="B790" i="11" s="1"/>
  <c r="B791" i="11" s="1"/>
  <c r="B792" i="11" s="1"/>
  <c r="B793" i="11" s="1"/>
  <c r="B794" i="11" s="1"/>
  <c r="B795" i="11" s="1"/>
  <c r="B796" i="11" s="1"/>
  <c r="B797" i="11" s="1"/>
  <c r="B798" i="11" s="1"/>
  <c r="B799" i="11" s="1"/>
  <c r="B800" i="11" s="1"/>
  <c r="B801" i="11" s="1"/>
  <c r="B802" i="11" s="1"/>
  <c r="B803" i="11" s="1"/>
  <c r="B804" i="11" s="1"/>
  <c r="B805" i="11" s="1"/>
  <c r="B806" i="11" s="1"/>
  <c r="B807" i="11" s="1"/>
  <c r="B808" i="11" s="1"/>
  <c r="B809" i="11" s="1"/>
  <c r="B810" i="11" s="1"/>
  <c r="B811" i="11" s="1"/>
  <c r="B812" i="11" s="1"/>
  <c r="B813" i="11" s="1"/>
  <c r="B814" i="11" s="1"/>
  <c r="B815" i="11" s="1"/>
  <c r="B816" i="11" s="1"/>
  <c r="B817" i="11" s="1"/>
  <c r="B818" i="11" s="1"/>
  <c r="B819" i="11" s="1"/>
  <c r="B820" i="11" s="1"/>
  <c r="B821" i="11" s="1"/>
  <c r="B822" i="11" s="1"/>
  <c r="B823" i="11" s="1"/>
  <c r="B824" i="11" s="1"/>
  <c r="B825" i="11" s="1"/>
  <c r="B826" i="11" s="1"/>
  <c r="B827" i="11" s="1"/>
  <c r="B828" i="11" s="1"/>
  <c r="B829" i="11" s="1"/>
  <c r="B830" i="11" s="1"/>
  <c r="B831" i="11" s="1"/>
  <c r="B832" i="11" s="1"/>
  <c r="B833" i="11" s="1"/>
  <c r="B834" i="11" s="1"/>
  <c r="B835" i="11" s="1"/>
  <c r="B836" i="11" s="1"/>
  <c r="B837" i="11" s="1"/>
  <c r="B838" i="11" s="1"/>
  <c r="B839" i="11" s="1"/>
  <c r="B840" i="11" s="1"/>
  <c r="B841" i="11" s="1"/>
  <c r="B842" i="11" s="1"/>
  <c r="B843" i="11" s="1"/>
  <c r="B844" i="11" s="1"/>
  <c r="B845" i="11" s="1"/>
  <c r="B846" i="11" s="1"/>
  <c r="B847" i="11" s="1"/>
  <c r="B848" i="11" s="1"/>
  <c r="B849" i="11" s="1"/>
  <c r="B850" i="11" s="1"/>
  <c r="B851" i="11" s="1"/>
  <c r="B852" i="11" s="1"/>
  <c r="B853" i="11" s="1"/>
  <c r="B854" i="11" s="1"/>
  <c r="B855" i="11" s="1"/>
  <c r="B856" i="11" s="1"/>
  <c r="B857" i="11" s="1"/>
  <c r="B858" i="11" s="1"/>
  <c r="B859" i="11" s="1"/>
  <c r="B860" i="11" s="1"/>
  <c r="B861" i="11" s="1"/>
  <c r="B862" i="11" s="1"/>
  <c r="B863" i="11" s="1"/>
  <c r="B864" i="11" s="1"/>
  <c r="B865" i="11" s="1"/>
  <c r="B866" i="11" s="1"/>
  <c r="B867" i="11" s="1"/>
  <c r="B868" i="11" s="1"/>
  <c r="B869" i="11" s="1"/>
  <c r="B870" i="11" s="1"/>
  <c r="B871" i="11" s="1"/>
  <c r="B872" i="11" s="1"/>
  <c r="B873" i="11" s="1"/>
  <c r="B874" i="11" s="1"/>
  <c r="B875" i="11" s="1"/>
  <c r="B876" i="11" s="1"/>
  <c r="B877" i="11" s="1"/>
  <c r="B878" i="11" s="1"/>
  <c r="B879" i="11" s="1"/>
  <c r="B880" i="11" s="1"/>
  <c r="B881" i="11" s="1"/>
  <c r="B882" i="11" s="1"/>
  <c r="B883" i="11" s="1"/>
  <c r="B884" i="11" s="1"/>
  <c r="B885" i="11" s="1"/>
  <c r="B886" i="11" s="1"/>
  <c r="B887" i="11" s="1"/>
  <c r="B888" i="11" s="1"/>
  <c r="B889" i="11" s="1"/>
  <c r="B890" i="11" s="1"/>
  <c r="B891" i="11" s="1"/>
  <c r="B892" i="11" s="1"/>
  <c r="B893" i="11" s="1"/>
  <c r="B894" i="11" s="1"/>
  <c r="B895" i="11" s="1"/>
  <c r="B896" i="11" s="1"/>
  <c r="B897" i="11" s="1"/>
  <c r="B898" i="11" s="1"/>
  <c r="B899" i="11" s="1"/>
  <c r="B900" i="11" s="1"/>
  <c r="B901" i="11" s="1"/>
  <c r="B902" i="11" s="1"/>
  <c r="B903" i="11" s="1"/>
  <c r="B904" i="11" s="1"/>
  <c r="B905" i="11" s="1"/>
  <c r="B906" i="11" s="1"/>
  <c r="B907" i="11" s="1"/>
  <c r="B908" i="11" s="1"/>
  <c r="B909" i="11" s="1"/>
  <c r="B910" i="11" s="1"/>
  <c r="B911" i="11" s="1"/>
  <c r="B912" i="11" s="1"/>
  <c r="B913" i="11" s="1"/>
  <c r="B914" i="11" s="1"/>
  <c r="B915" i="11" s="1"/>
  <c r="B916" i="11" s="1"/>
  <c r="B917" i="11" s="1"/>
  <c r="B918" i="11" s="1"/>
  <c r="B919" i="11" s="1"/>
  <c r="B920" i="11" s="1"/>
  <c r="B921" i="11" s="1"/>
  <c r="B922" i="11" s="1"/>
  <c r="B923" i="11" s="1"/>
  <c r="B924" i="11" s="1"/>
  <c r="B925" i="11" s="1"/>
  <c r="B926" i="11" s="1"/>
  <c r="B927" i="11" s="1"/>
  <c r="B928" i="11" s="1"/>
  <c r="B929" i="11" s="1"/>
  <c r="B930" i="11" s="1"/>
  <c r="B931" i="11" s="1"/>
  <c r="B932" i="11" s="1"/>
  <c r="B933" i="11" s="1"/>
  <c r="B934" i="11" s="1"/>
  <c r="B935" i="11" s="1"/>
  <c r="B936" i="11" s="1"/>
  <c r="B937" i="11" s="1"/>
  <c r="B938" i="11" s="1"/>
  <c r="B939" i="11" s="1"/>
  <c r="B940" i="11" s="1"/>
  <c r="B941" i="11" s="1"/>
  <c r="B942" i="11" s="1"/>
  <c r="B943" i="11" s="1"/>
  <c r="B944" i="11" s="1"/>
  <c r="B945" i="11" s="1"/>
  <c r="B946" i="11" s="1"/>
  <c r="B947" i="11" s="1"/>
  <c r="B948" i="11" s="1"/>
  <c r="B949" i="11" s="1"/>
  <c r="B950" i="11" s="1"/>
  <c r="B951" i="11" s="1"/>
  <c r="B952" i="11" s="1"/>
  <c r="B953" i="11" s="1"/>
  <c r="B954" i="11" s="1"/>
  <c r="B955" i="11" s="1"/>
  <c r="B956" i="11" s="1"/>
  <c r="B957" i="11" s="1"/>
  <c r="B958" i="11" s="1"/>
  <c r="B959" i="11" s="1"/>
  <c r="B960" i="11" s="1"/>
  <c r="B961" i="11" s="1"/>
  <c r="B962" i="11" s="1"/>
  <c r="B963" i="11" s="1"/>
  <c r="B964" i="11" s="1"/>
  <c r="B965" i="11" s="1"/>
  <c r="B966" i="11" s="1"/>
  <c r="B967" i="11" s="1"/>
  <c r="B968" i="11" s="1"/>
  <c r="B969" i="11" s="1"/>
  <c r="B970" i="11" s="1"/>
  <c r="B971" i="11" s="1"/>
  <c r="B972" i="11" s="1"/>
  <c r="B973" i="11" s="1"/>
  <c r="B974" i="11" s="1"/>
  <c r="B975" i="11" s="1"/>
  <c r="B976" i="11" s="1"/>
  <c r="B977" i="11" s="1"/>
  <c r="B978" i="11" s="1"/>
  <c r="B979" i="11" s="1"/>
  <c r="B980" i="11" s="1"/>
  <c r="B981" i="11" s="1"/>
  <c r="B982" i="11" s="1"/>
  <c r="B983" i="11" s="1"/>
  <c r="B984" i="11" s="1"/>
  <c r="B985" i="11" s="1"/>
  <c r="B986" i="11" s="1"/>
  <c r="B987" i="11" s="1"/>
  <c r="B988" i="11" s="1"/>
  <c r="B989" i="11" s="1"/>
  <c r="B990" i="11" s="1"/>
  <c r="B991" i="11" s="1"/>
  <c r="B992" i="11" s="1"/>
  <c r="B993" i="11" s="1"/>
  <c r="B994" i="11" s="1"/>
  <c r="B995" i="11" s="1"/>
  <c r="B996" i="11" s="1"/>
  <c r="B997" i="11" s="1"/>
  <c r="B998" i="11" s="1"/>
  <c r="B999" i="11" s="1"/>
  <c r="B1000" i="11" s="1"/>
  <c r="B1001" i="11" s="1"/>
  <c r="B1002" i="11" s="1"/>
  <c r="B1003" i="11" s="1"/>
  <c r="B1004" i="11" s="1"/>
  <c r="B1005" i="11" s="1"/>
  <c r="B1006" i="11" s="1"/>
  <c r="B1007" i="11" s="1"/>
  <c r="B1008" i="11" s="1"/>
  <c r="B1009" i="11" s="1"/>
  <c r="B1010" i="11" s="1"/>
  <c r="B1011" i="11" s="1"/>
  <c r="B1012" i="11" s="1"/>
  <c r="B1013" i="11" s="1"/>
  <c r="B1014" i="11" s="1"/>
  <c r="B1015" i="11" s="1"/>
  <c r="B1016" i="11" s="1"/>
  <c r="B1017" i="11" s="1"/>
  <c r="B1018" i="11" s="1"/>
  <c r="B1019" i="11" s="1"/>
  <c r="B1020" i="11" s="1"/>
  <c r="B1021" i="11" s="1"/>
  <c r="B1022" i="11" s="1"/>
  <c r="B1023" i="11" s="1"/>
  <c r="B1024" i="11" s="1"/>
  <c r="B1025" i="11" s="1"/>
  <c r="B1026" i="11" s="1"/>
  <c r="B1027" i="11" s="1"/>
  <c r="B1028" i="11" s="1"/>
  <c r="B1029" i="11" s="1"/>
  <c r="B1030" i="11" s="1"/>
  <c r="B1031" i="11" s="1"/>
  <c r="B1032" i="11" s="1"/>
  <c r="B1033" i="11" s="1"/>
  <c r="B1034" i="11" s="1"/>
  <c r="B1035" i="11" s="1"/>
  <c r="B1036" i="11" s="1"/>
  <c r="B1037" i="11" s="1"/>
  <c r="B1038" i="11" s="1"/>
  <c r="B1039" i="11" s="1"/>
  <c r="B1040" i="11" s="1"/>
  <c r="B1041" i="11" s="1"/>
  <c r="B1042" i="11" s="1"/>
  <c r="B1043" i="11" s="1"/>
  <c r="B1044" i="11" s="1"/>
  <c r="B1045" i="11" s="1"/>
  <c r="B1046" i="11" s="1"/>
  <c r="B1047" i="11" s="1"/>
  <c r="B1048" i="11" s="1"/>
  <c r="B1049" i="11" s="1"/>
  <c r="B1050" i="11" s="1"/>
  <c r="B1051" i="11" s="1"/>
  <c r="B1052" i="11" s="1"/>
  <c r="B1053" i="11" s="1"/>
  <c r="B1054" i="11" s="1"/>
  <c r="B1055" i="11" s="1"/>
  <c r="B1056" i="11" s="1"/>
  <c r="B1057" i="11" s="1"/>
  <c r="B1058" i="11" s="1"/>
  <c r="B1059" i="11" s="1"/>
  <c r="B1060" i="11" s="1"/>
  <c r="B1061" i="11" s="1"/>
  <c r="B1062" i="11" s="1"/>
  <c r="B1063" i="11" s="1"/>
  <c r="B1064" i="11" s="1"/>
  <c r="B1065" i="11" s="1"/>
  <c r="B1066" i="11" s="1"/>
  <c r="B1067" i="11" s="1"/>
  <c r="B1068" i="11" s="1"/>
  <c r="B1069" i="11" s="1"/>
  <c r="B1070" i="11" s="1"/>
  <c r="B1071" i="11" s="1"/>
  <c r="B1072" i="11" s="1"/>
  <c r="B1073" i="11" s="1"/>
  <c r="B1074" i="11" s="1"/>
  <c r="B1075" i="11" s="1"/>
  <c r="B1076" i="11" s="1"/>
  <c r="B1077" i="11" s="1"/>
  <c r="B1078" i="11" s="1"/>
  <c r="B1079" i="11" s="1"/>
  <c r="B1080" i="11" s="1"/>
  <c r="B1081" i="11" s="1"/>
  <c r="B1082" i="11" s="1"/>
  <c r="B1083" i="11" s="1"/>
  <c r="B1084" i="11" s="1"/>
  <c r="B1085" i="11" s="1"/>
  <c r="B1086" i="11" s="1"/>
  <c r="B1087" i="11" s="1"/>
  <c r="B1088" i="11" s="1"/>
  <c r="B1089" i="11" s="1"/>
  <c r="B1090" i="11" s="1"/>
  <c r="B1091" i="11" s="1"/>
  <c r="B1092" i="11" s="1"/>
  <c r="B1093" i="11" s="1"/>
  <c r="B1094" i="11" s="1"/>
  <c r="B1095" i="11" s="1"/>
  <c r="B1096" i="11" s="1"/>
  <c r="B1097" i="11" s="1"/>
  <c r="B1098" i="11" s="1"/>
  <c r="B1099" i="11" s="1"/>
  <c r="B1100" i="11" s="1"/>
  <c r="B1101" i="11" s="1"/>
  <c r="B1102" i="11" s="1"/>
  <c r="B1103" i="11" s="1"/>
  <c r="B1104" i="11" s="1"/>
  <c r="B1105" i="11" s="1"/>
  <c r="B1106" i="11" s="1"/>
  <c r="B1107" i="11" s="1"/>
  <c r="B1108" i="11" s="1"/>
  <c r="B1109" i="11" s="1"/>
  <c r="B1110" i="11" s="1"/>
  <c r="B1111" i="11" s="1"/>
  <c r="B1112" i="11" s="1"/>
  <c r="B1113" i="11" s="1"/>
  <c r="B1114" i="11" s="1"/>
  <c r="B1115" i="11" s="1"/>
  <c r="B1116" i="11" s="1"/>
  <c r="B1117" i="11" s="1"/>
  <c r="B1118" i="11" s="1"/>
  <c r="B1119" i="11" s="1"/>
  <c r="B1120" i="11" s="1"/>
  <c r="B1121" i="11" s="1"/>
  <c r="B1122" i="11" s="1"/>
  <c r="B1123" i="11" s="1"/>
  <c r="B1124" i="11" s="1"/>
  <c r="B1125" i="11" s="1"/>
  <c r="B1126" i="11" s="1"/>
  <c r="B1127" i="11" s="1"/>
  <c r="B1128" i="11" s="1"/>
  <c r="B1129" i="11" s="1"/>
  <c r="B1130" i="11" s="1"/>
  <c r="B1131" i="11" s="1"/>
  <c r="B1132" i="11" s="1"/>
  <c r="B1133" i="11" s="1"/>
  <c r="B1134" i="11" s="1"/>
  <c r="B1135" i="11" s="1"/>
  <c r="B1136" i="11" s="1"/>
  <c r="B1137" i="11" s="1"/>
  <c r="B1138" i="11" s="1"/>
  <c r="B1139" i="11" s="1"/>
  <c r="B1140" i="11" s="1"/>
  <c r="B1141" i="11" s="1"/>
  <c r="B1142" i="11" s="1"/>
  <c r="B1143" i="11" s="1"/>
  <c r="B1144" i="11" s="1"/>
  <c r="B1145" i="11" s="1"/>
  <c r="B1146" i="11" s="1"/>
  <c r="B1147" i="11" s="1"/>
  <c r="B1148" i="11" s="1"/>
  <c r="B1149" i="11" s="1"/>
  <c r="B1150" i="11" s="1"/>
  <c r="B1151" i="11" s="1"/>
  <c r="B1152" i="11" s="1"/>
  <c r="B1153" i="11" s="1"/>
  <c r="B1154" i="11" s="1"/>
  <c r="B1155" i="11" s="1"/>
  <c r="B1156" i="11" s="1"/>
  <c r="B1157" i="11" s="1"/>
  <c r="B1158" i="11" s="1"/>
  <c r="B1159" i="11" s="1"/>
  <c r="B1160" i="11" s="1"/>
  <c r="B1161" i="11" s="1"/>
  <c r="B1162" i="11" s="1"/>
  <c r="B1163" i="11" s="1"/>
  <c r="B1164" i="11" s="1"/>
  <c r="B1165" i="11" s="1"/>
  <c r="B1166" i="11" s="1"/>
  <c r="B1167" i="11" s="1"/>
  <c r="B1168" i="11" s="1"/>
  <c r="B1169" i="11" s="1"/>
  <c r="B1170" i="11" s="1"/>
  <c r="B1171" i="11" s="1"/>
  <c r="B1172" i="11" s="1"/>
  <c r="B1173" i="11" s="1"/>
  <c r="B1174" i="11" s="1"/>
  <c r="B1175" i="11" s="1"/>
  <c r="B1176" i="11" s="1"/>
  <c r="B1177" i="11" s="1"/>
  <c r="B1178" i="11" s="1"/>
  <c r="B1179" i="11" s="1"/>
  <c r="B1180" i="11" s="1"/>
  <c r="B1181" i="11" s="1"/>
  <c r="B1182" i="11" s="1"/>
  <c r="B1183" i="11" s="1"/>
  <c r="B1184" i="11" s="1"/>
  <c r="B1185" i="11" s="1"/>
  <c r="B1186" i="11" s="1"/>
  <c r="B1187" i="11" s="1"/>
  <c r="B1188" i="11" s="1"/>
  <c r="B1189" i="11" s="1"/>
  <c r="B1190" i="11" s="1"/>
  <c r="B1191" i="11" s="1"/>
  <c r="B1192" i="11" s="1"/>
  <c r="B1193" i="11" s="1"/>
  <c r="B1194" i="11" s="1"/>
  <c r="B1195" i="11" s="1"/>
  <c r="B1196" i="11" s="1"/>
  <c r="B1197" i="11" s="1"/>
  <c r="B1198" i="11" s="1"/>
  <c r="B1199" i="11" s="1"/>
  <c r="B1200" i="11" s="1"/>
  <c r="B1201" i="11" s="1"/>
  <c r="B1202" i="11" s="1"/>
  <c r="B1203" i="11" s="1"/>
  <c r="B1204" i="11" s="1"/>
  <c r="B1205" i="11" s="1"/>
  <c r="B1206" i="11" s="1"/>
  <c r="B1207" i="11" s="1"/>
  <c r="B1208" i="11" s="1"/>
  <c r="B1209" i="11" s="1"/>
  <c r="B1210" i="11" s="1"/>
  <c r="B1211" i="11" s="1"/>
  <c r="B1212" i="11" s="1"/>
  <c r="B1213" i="11" s="1"/>
  <c r="B1214" i="11" s="1"/>
  <c r="B1215" i="11" s="1"/>
  <c r="B1216" i="11" s="1"/>
  <c r="B1217" i="11" s="1"/>
  <c r="B1218" i="11" s="1"/>
  <c r="B1219" i="11" s="1"/>
  <c r="B1220" i="11" s="1"/>
  <c r="B1221" i="11" s="1"/>
  <c r="B1222" i="11" s="1"/>
  <c r="B1223" i="11" s="1"/>
  <c r="B1224" i="11" s="1"/>
  <c r="B1225" i="11" s="1"/>
  <c r="B1226" i="11" s="1"/>
  <c r="B1227" i="11" s="1"/>
  <c r="B1228" i="11" s="1"/>
  <c r="B1229" i="11" s="1"/>
  <c r="B1230" i="11" s="1"/>
  <c r="AI4" i="12" l="1"/>
  <c r="AI7" i="12"/>
  <c r="AI6" i="12"/>
  <c r="AI3" i="12"/>
  <c r="AI5" i="12"/>
  <c r="AI2" i="12"/>
  <c r="B12" i="9"/>
  <c r="B12" i="7"/>
  <c r="B13" i="3"/>
  <c r="B12" i="4"/>
  <c r="B13" i="9" l="1"/>
  <c r="B13" i="7"/>
  <c r="B14" i="3"/>
  <c r="B13" i="4"/>
  <c r="B14" i="9" l="1"/>
  <c r="B14" i="7"/>
  <c r="B15" i="3"/>
  <c r="B14" i="4"/>
  <c r="B15" i="9" l="1"/>
  <c r="B15" i="7"/>
  <c r="B16" i="3"/>
  <c r="B15" i="4"/>
  <c r="B12" i="1"/>
  <c r="B16" i="9" l="1"/>
  <c r="B16" i="7"/>
  <c r="B17" i="3"/>
  <c r="B16" i="4"/>
  <c r="B13" i="1"/>
  <c r="B12" i="15"/>
  <c r="B12" i="29"/>
  <c r="B12" i="24"/>
  <c r="B17" i="9" l="1"/>
  <c r="B17" i="7"/>
  <c r="B18" i="3"/>
  <c r="B17" i="4"/>
  <c r="B14" i="1"/>
  <c r="B13" i="29"/>
  <c r="B13" i="15"/>
  <c r="B13" i="24"/>
  <c r="B18" i="9" l="1"/>
  <c r="B18" i="7"/>
  <c r="B19" i="3"/>
  <c r="B18" i="4"/>
  <c r="B15" i="1"/>
  <c r="B14" i="15"/>
  <c r="B14" i="29"/>
  <c r="B14" i="24"/>
  <c r="B19" i="9" l="1"/>
  <c r="B19" i="7"/>
  <c r="B20" i="3"/>
  <c r="B19" i="4"/>
  <c r="B16" i="1"/>
  <c r="B15" i="15"/>
  <c r="B15" i="29"/>
  <c r="B15" i="24"/>
  <c r="B20" i="9" l="1"/>
  <c r="B20" i="7"/>
  <c r="B21" i="3"/>
  <c r="B20" i="4"/>
  <c r="B17" i="1"/>
  <c r="B16" i="15"/>
  <c r="B16" i="29"/>
  <c r="B16" i="24"/>
  <c r="B21" i="9" l="1"/>
  <c r="B21" i="7"/>
  <c r="B22" i="3"/>
  <c r="B21" i="4"/>
  <c r="O177" i="28"/>
  <c r="N94" i="15" s="1"/>
  <c r="N94" i="12" s="1"/>
  <c r="B18" i="1"/>
  <c r="B17" i="29"/>
  <c r="B17" i="15"/>
  <c r="B17" i="24"/>
  <c r="O53" i="28"/>
  <c r="N32" i="15" s="1"/>
  <c r="N32" i="12" s="1"/>
  <c r="O87" i="28"/>
  <c r="N49" i="15" s="1"/>
  <c r="N49" i="12" s="1"/>
  <c r="O71" i="28"/>
  <c r="N41" i="15" s="1"/>
  <c r="N41" i="12" s="1"/>
  <c r="O55" i="28"/>
  <c r="N33" i="15" s="1"/>
  <c r="N33" i="12" s="1"/>
  <c r="O33" i="28"/>
  <c r="N22" i="15" s="1"/>
  <c r="N22" i="12" s="1"/>
  <c r="O189" i="28"/>
  <c r="N100" i="15" s="1"/>
  <c r="N100" i="12" s="1"/>
  <c r="O173" i="28"/>
  <c r="N92" i="15" s="1"/>
  <c r="N92" i="12" s="1"/>
  <c r="O91" i="28"/>
  <c r="N51" i="15" s="1"/>
  <c r="N51" i="12" s="1"/>
  <c r="O75" i="28"/>
  <c r="N43" i="15" s="1"/>
  <c r="N43" i="12" s="1"/>
  <c r="O59" i="28"/>
  <c r="N35" i="15" s="1"/>
  <c r="N35" i="12" s="1"/>
  <c r="O23" i="28"/>
  <c r="N17" i="15" s="1"/>
  <c r="N17" i="12" s="1"/>
  <c r="O73" i="28"/>
  <c r="N42" i="15" s="1"/>
  <c r="N42" i="12" s="1"/>
  <c r="O85" i="28"/>
  <c r="N48" i="15" s="1"/>
  <c r="N48" i="12" s="1"/>
  <c r="O69" i="28"/>
  <c r="N40" i="15" s="1"/>
  <c r="N40" i="12" s="1"/>
  <c r="O15" i="28"/>
  <c r="N13" i="15" s="1"/>
  <c r="N13" i="12" s="1"/>
  <c r="O81" i="28"/>
  <c r="N46" i="15" s="1"/>
  <c r="N46" i="12" s="1"/>
  <c r="O185" i="28"/>
  <c r="N98" i="15" s="1"/>
  <c r="N98" i="12" s="1"/>
  <c r="O95" i="28"/>
  <c r="N53" i="15" s="1"/>
  <c r="N53" i="12" s="1"/>
  <c r="O183" i="28"/>
  <c r="N97" i="15" s="1"/>
  <c r="N97" i="12" s="1"/>
  <c r="O93" i="28"/>
  <c r="N52" i="15" s="1"/>
  <c r="N52" i="12" s="1"/>
  <c r="O77" i="28"/>
  <c r="N44" i="15" s="1"/>
  <c r="N44" i="12" s="1"/>
  <c r="O61" i="28"/>
  <c r="N36" i="15" s="1"/>
  <c r="N36" i="12" s="1"/>
  <c r="O41" i="28"/>
  <c r="N26" i="15" s="1"/>
  <c r="N26" i="12" s="1"/>
  <c r="O25" i="28"/>
  <c r="N18" i="15" s="1"/>
  <c r="N18" i="12" s="1"/>
  <c r="O197" i="28"/>
  <c r="N104" i="15" s="1"/>
  <c r="N104" i="12" s="1"/>
  <c r="O181" i="28"/>
  <c r="N96" i="15" s="1"/>
  <c r="N96" i="12" s="1"/>
  <c r="O165" i="28"/>
  <c r="N88" i="15" s="1"/>
  <c r="N88" i="12" s="1"/>
  <c r="O99" i="28"/>
  <c r="N55" i="15" s="1"/>
  <c r="N55" i="12" s="1"/>
  <c r="O171" i="28"/>
  <c r="N91" i="15" s="1"/>
  <c r="N91" i="12" s="1"/>
  <c r="O65" i="28"/>
  <c r="N38" i="15" s="1"/>
  <c r="N38" i="12" s="1"/>
  <c r="O169" i="28"/>
  <c r="N90" i="15" s="1"/>
  <c r="N90" i="12" s="1"/>
  <c r="O27" i="28"/>
  <c r="N19" i="15" s="1"/>
  <c r="N19" i="12" s="1"/>
  <c r="O39" i="28"/>
  <c r="N25" i="15" s="1"/>
  <c r="N25" i="12" s="1"/>
  <c r="O195" i="28"/>
  <c r="N103" i="15" s="1"/>
  <c r="N103" i="12" s="1"/>
  <c r="O163" i="28"/>
  <c r="N87" i="15" s="1"/>
  <c r="N87" i="12" s="1"/>
  <c r="O161" i="28"/>
  <c r="N86" i="15" s="1"/>
  <c r="N86" i="12" s="1"/>
  <c r="O89" i="28"/>
  <c r="N50" i="15" s="1"/>
  <c r="N50" i="12" s="1"/>
  <c r="O57" i="28"/>
  <c r="N34" i="15" s="1"/>
  <c r="N34" i="12" s="1"/>
  <c r="O51" i="28"/>
  <c r="N31" i="15" s="1"/>
  <c r="N31" i="12" s="1"/>
  <c r="O31" i="28"/>
  <c r="N21" i="15" s="1"/>
  <c r="N21" i="12" s="1"/>
  <c r="O49" i="28"/>
  <c r="N30" i="15" s="1"/>
  <c r="N30" i="12" s="1"/>
  <c r="O45" i="28"/>
  <c r="N28" i="15" s="1"/>
  <c r="N28" i="12" s="1"/>
  <c r="O63" i="28"/>
  <c r="N37" i="15" s="1"/>
  <c r="N37" i="12" s="1"/>
  <c r="O167" i="28"/>
  <c r="N89" i="15" s="1"/>
  <c r="N89" i="12" s="1"/>
  <c r="O179" i="28"/>
  <c r="N95" i="15" s="1"/>
  <c r="N95" i="12" s="1"/>
  <c r="O37" i="28"/>
  <c r="N24" i="15" s="1"/>
  <c r="N24" i="12" s="1"/>
  <c r="O21" i="28"/>
  <c r="N16" i="15" s="1"/>
  <c r="N16" i="12" s="1"/>
  <c r="O193" i="28"/>
  <c r="N102" i="15" s="1"/>
  <c r="N102" i="12" s="1"/>
  <c r="O83" i="28"/>
  <c r="N47" i="15" s="1"/>
  <c r="N47" i="12" s="1"/>
  <c r="O187" i="28"/>
  <c r="N99" i="15" s="1"/>
  <c r="N99" i="12" s="1"/>
  <c r="O29" i="28"/>
  <c r="N20" i="15" s="1"/>
  <c r="N20" i="12" s="1"/>
  <c r="O43" i="28"/>
  <c r="N27" i="15" s="1"/>
  <c r="N27" i="12" s="1"/>
  <c r="O35" i="28"/>
  <c r="N23" i="15" s="1"/>
  <c r="N23" i="12" s="1"/>
  <c r="O19" i="28"/>
  <c r="N15" i="15" s="1"/>
  <c r="N15" i="12" s="1"/>
  <c r="O191" i="28"/>
  <c r="N101" i="15" s="1"/>
  <c r="N101" i="12" s="1"/>
  <c r="O175" i="28"/>
  <c r="N93" i="15" s="1"/>
  <c r="N93" i="12" s="1"/>
  <c r="O67" i="28"/>
  <c r="N39" i="15" s="1"/>
  <c r="N39" i="12" s="1"/>
  <c r="O47" i="28"/>
  <c r="N29" i="15" s="1"/>
  <c r="N29" i="12" s="1"/>
  <c r="O97" i="28"/>
  <c r="N54" i="15" s="1"/>
  <c r="N54" i="12" s="1"/>
  <c r="O13" i="28"/>
  <c r="N12" i="15" s="1"/>
  <c r="N12" i="12" s="1"/>
  <c r="O79" i="28"/>
  <c r="N45" i="15" s="1"/>
  <c r="N45" i="12" s="1"/>
  <c r="O17" i="28"/>
  <c r="N14" i="15" s="1"/>
  <c r="N14" i="12" s="1"/>
  <c r="B22" i="9" l="1"/>
  <c r="B22" i="7"/>
  <c r="B23" i="3"/>
  <c r="B22" i="4"/>
  <c r="B19" i="1"/>
  <c r="B18" i="15"/>
  <c r="B18" i="29"/>
  <c r="B18" i="24"/>
  <c r="Q197" i="28"/>
  <c r="O104" i="15" s="1"/>
  <c r="O104" i="12" s="1"/>
  <c r="Q195" i="28"/>
  <c r="O103" i="15" s="1"/>
  <c r="O103" i="12" s="1"/>
  <c r="Q193" i="28"/>
  <c r="O102" i="15" s="1"/>
  <c r="O102" i="12" s="1"/>
  <c r="Q45" i="28"/>
  <c r="O28" i="15" s="1"/>
  <c r="O28" i="12" s="1"/>
  <c r="B23" i="9" l="1"/>
  <c r="B23" i="7"/>
  <c r="B24" i="3"/>
  <c r="B23" i="4"/>
  <c r="B20" i="1"/>
  <c r="B19" i="15"/>
  <c r="B19" i="29"/>
  <c r="B19" i="24"/>
  <c r="S197" i="28"/>
  <c r="P104" i="15" s="1"/>
  <c r="P104" i="12" s="1"/>
  <c r="S195" i="28"/>
  <c r="P103" i="15" s="1"/>
  <c r="P103" i="12" s="1"/>
  <c r="S193" i="28"/>
  <c r="P102" i="15" s="1"/>
  <c r="P102" i="12" s="1"/>
  <c r="B24" i="9" l="1"/>
  <c r="B24" i="7"/>
  <c r="B25" i="3"/>
  <c r="B24" i="4"/>
  <c r="B21" i="1"/>
  <c r="B20" i="15"/>
  <c r="B20" i="29"/>
  <c r="B20" i="24"/>
  <c r="O217" i="28"/>
  <c r="N114" i="15" s="1"/>
  <c r="N114" i="12" s="1"/>
  <c r="O209" i="28"/>
  <c r="N110" i="15" s="1"/>
  <c r="N110" i="12" s="1"/>
  <c r="O235" i="28"/>
  <c r="N123" i="15" s="1"/>
  <c r="N123" i="12" s="1"/>
  <c r="O219" i="28"/>
  <c r="N115" i="15" s="1"/>
  <c r="N115" i="12" s="1"/>
  <c r="O203" i="28"/>
  <c r="N107" i="15" s="1"/>
  <c r="N107" i="12" s="1"/>
  <c r="O233" i="28"/>
  <c r="N122" i="15" s="1"/>
  <c r="N122" i="12" s="1"/>
  <c r="O201" i="28"/>
  <c r="N106" i="15" s="1"/>
  <c r="N106" i="12" s="1"/>
  <c r="O227" i="28"/>
  <c r="N119" i="15" s="1"/>
  <c r="N119" i="12" s="1"/>
  <c r="O237" i="28"/>
  <c r="N124" i="15" s="1"/>
  <c r="O221" i="28"/>
  <c r="N116" i="15" s="1"/>
  <c r="N116" i="12" s="1"/>
  <c r="O205" i="28"/>
  <c r="N108" i="15" s="1"/>
  <c r="N108" i="12" s="1"/>
  <c r="O215" i="28"/>
  <c r="N113" i="15" s="1"/>
  <c r="N113" i="12" s="1"/>
  <c r="O229" i="28"/>
  <c r="N120" i="15" s="1"/>
  <c r="N120" i="12" s="1"/>
  <c r="O225" i="28"/>
  <c r="N118" i="15" s="1"/>
  <c r="N118" i="12" s="1"/>
  <c r="O223" i="28"/>
  <c r="N117" i="15" s="1"/>
  <c r="N117" i="12" s="1"/>
  <c r="O231" i="28"/>
  <c r="N121" i="15" s="1"/>
  <c r="N121" i="12" s="1"/>
  <c r="O213" i="28"/>
  <c r="N112" i="15" s="1"/>
  <c r="N112" i="12" s="1"/>
  <c r="O211" i="28"/>
  <c r="N111" i="15" s="1"/>
  <c r="N111" i="12" s="1"/>
  <c r="O207" i="28"/>
  <c r="N109" i="15" s="1"/>
  <c r="N109" i="12" s="1"/>
  <c r="O199" i="28"/>
  <c r="N105" i="15" s="1"/>
  <c r="N105" i="12" s="1"/>
  <c r="O239" i="28"/>
  <c r="N125" i="15" s="1"/>
  <c r="N125" i="12" s="1"/>
  <c r="Q169" i="28"/>
  <c r="O90" i="15" s="1"/>
  <c r="O90" i="12" s="1"/>
  <c r="Q191" i="28"/>
  <c r="O101" i="15" s="1"/>
  <c r="O101" i="12" s="1"/>
  <c r="Q167" i="28"/>
  <c r="O89" i="15" s="1"/>
  <c r="O89" i="12" s="1"/>
  <c r="B25" i="9" l="1"/>
  <c r="B25" i="7"/>
  <c r="B26" i="3"/>
  <c r="B25" i="4"/>
  <c r="B22" i="1"/>
  <c r="B21" i="29"/>
  <c r="B21" i="15"/>
  <c r="B21" i="24"/>
  <c r="Q171" i="28"/>
  <c r="O91" i="15" s="1"/>
  <c r="O91" i="12" s="1"/>
  <c r="Q213" i="28"/>
  <c r="O112" i="15" s="1"/>
  <c r="O112" i="12" s="1"/>
  <c r="Q233" i="28"/>
  <c r="O122" i="15" s="1"/>
  <c r="O122" i="12" s="1"/>
  <c r="Q209" i="28"/>
  <c r="O110" i="15" s="1"/>
  <c r="O110" i="12" s="1"/>
  <c r="Q219" i="28"/>
  <c r="O115" i="15" s="1"/>
  <c r="O115" i="12" s="1"/>
  <c r="Q203" i="28"/>
  <c r="O107" i="15" s="1"/>
  <c r="O107" i="12" s="1"/>
  <c r="Q227" i="28"/>
  <c r="O119" i="15" s="1"/>
  <c r="O119" i="12" s="1"/>
  <c r="Q229" i="28"/>
  <c r="O120" i="15" s="1"/>
  <c r="O120" i="12" s="1"/>
  <c r="Q189" i="28"/>
  <c r="O100" i="15" s="1"/>
  <c r="O100" i="12" s="1"/>
  <c r="Q201" i="28"/>
  <c r="O106" i="15" s="1"/>
  <c r="O106" i="12" s="1"/>
  <c r="Q217" i="28"/>
  <c r="O114" i="15" s="1"/>
  <c r="O114" i="12" s="1"/>
  <c r="Q237" i="28"/>
  <c r="O124" i="15" s="1"/>
  <c r="Q175" i="28"/>
  <c r="O93" i="15" s="1"/>
  <c r="O93" i="12" s="1"/>
  <c r="Q165" i="28"/>
  <c r="O88" i="15" s="1"/>
  <c r="O88" i="12" s="1"/>
  <c r="Q223" i="28"/>
  <c r="O117" i="15" s="1"/>
  <c r="O117" i="12" s="1"/>
  <c r="Q211" i="28"/>
  <c r="O111" i="15" s="1"/>
  <c r="O111" i="12" s="1"/>
  <c r="Q199" i="28"/>
  <c r="O105" i="15" s="1"/>
  <c r="O105" i="12" s="1"/>
  <c r="Q205" i="28"/>
  <c r="O108" i="15" s="1"/>
  <c r="O108" i="12" s="1"/>
  <c r="Q185" i="28"/>
  <c r="O98" i="15" s="1"/>
  <c r="O98" i="12" s="1"/>
  <c r="Q221" i="28"/>
  <c r="O116" i="15" s="1"/>
  <c r="O116" i="12" s="1"/>
  <c r="Q163" i="28"/>
  <c r="O87" i="15" s="1"/>
  <c r="O87" i="12" s="1"/>
  <c r="Q161" i="28"/>
  <c r="O86" i="15" s="1"/>
  <c r="O86" i="12" s="1"/>
  <c r="Q207" i="28"/>
  <c r="O109" i="15" s="1"/>
  <c r="O109" i="12" s="1"/>
  <c r="Q173" i="28"/>
  <c r="O92" i="15" s="1"/>
  <c r="O92" i="12" s="1"/>
  <c r="Q231" i="28"/>
  <c r="O121" i="15" s="1"/>
  <c r="O121" i="12" s="1"/>
  <c r="Q181" i="28"/>
  <c r="O96" i="15" s="1"/>
  <c r="O96" i="12" s="1"/>
  <c r="Q215" i="28"/>
  <c r="O113" i="15" s="1"/>
  <c r="O113" i="12" s="1"/>
  <c r="Q187" i="28"/>
  <c r="O99" i="15" s="1"/>
  <c r="O99" i="12" s="1"/>
  <c r="Q235" i="28"/>
  <c r="O123" i="15" s="1"/>
  <c r="O123" i="12" s="1"/>
  <c r="Q177" i="28"/>
  <c r="O94" i="15" s="1"/>
  <c r="O94" i="12" s="1"/>
  <c r="Q239" i="28"/>
  <c r="O125" i="15" s="1"/>
  <c r="O125" i="12" s="1"/>
  <c r="Q225" i="28"/>
  <c r="O118" i="15" s="1"/>
  <c r="O118" i="12" s="1"/>
  <c r="Q179" i="28"/>
  <c r="O95" i="15" s="1"/>
  <c r="O95" i="12" s="1"/>
  <c r="Q183" i="28"/>
  <c r="O97" i="15" s="1"/>
  <c r="O97" i="12" s="1"/>
  <c r="B26" i="9" l="1"/>
  <c r="B26" i="7"/>
  <c r="B27" i="3"/>
  <c r="B26" i="4"/>
  <c r="B23" i="1"/>
  <c r="B22" i="15"/>
  <c r="B22" i="29"/>
  <c r="B22" i="24"/>
  <c r="Y199" i="28"/>
  <c r="S167" i="28"/>
  <c r="P89" i="15" s="1"/>
  <c r="P89" i="12" s="1"/>
  <c r="S169" i="28"/>
  <c r="P90" i="15" s="1"/>
  <c r="P90" i="12" s="1"/>
  <c r="Y223" i="28"/>
  <c r="S181" i="28"/>
  <c r="P96" i="15" s="1"/>
  <c r="P96" i="12" s="1"/>
  <c r="S199" i="28"/>
  <c r="P105" i="15" s="1"/>
  <c r="P105" i="12" s="1"/>
  <c r="S221" i="28"/>
  <c r="P116" i="15" s="1"/>
  <c r="P116" i="12" s="1"/>
  <c r="S201" i="28"/>
  <c r="P106" i="15" s="1"/>
  <c r="P106" i="12" s="1"/>
  <c r="S171" i="28"/>
  <c r="P91" i="15" s="1"/>
  <c r="P91" i="12" s="1"/>
  <c r="S235" i="28"/>
  <c r="P123" i="15" s="1"/>
  <c r="P123" i="12" s="1"/>
  <c r="S203" i="28"/>
  <c r="P107" i="15" s="1"/>
  <c r="P107" i="12" s="1"/>
  <c r="S165" i="28"/>
  <c r="P88" i="15" s="1"/>
  <c r="P88" i="12" s="1"/>
  <c r="S223" i="28"/>
  <c r="P117" i="15" s="1"/>
  <c r="P117" i="12" s="1"/>
  <c r="S185" i="28"/>
  <c r="P98" i="15" s="1"/>
  <c r="P98" i="12" s="1"/>
  <c r="S215" i="28"/>
  <c r="P113" i="15" s="1"/>
  <c r="P113" i="12" s="1"/>
  <c r="S211" i="28"/>
  <c r="P111" i="15" s="1"/>
  <c r="P111" i="12" s="1"/>
  <c r="S231" i="28"/>
  <c r="P121" i="15" s="1"/>
  <c r="P121" i="12" s="1"/>
  <c r="S229" i="28"/>
  <c r="P120" i="15" s="1"/>
  <c r="P120" i="12" s="1"/>
  <c r="S209" i="28"/>
  <c r="P110" i="15" s="1"/>
  <c r="P110" i="12" s="1"/>
  <c r="S219" i="28"/>
  <c r="P115" i="15" s="1"/>
  <c r="P115" i="12" s="1"/>
  <c r="S177" i="28"/>
  <c r="P94" i="15" s="1"/>
  <c r="P94" i="12" s="1"/>
  <c r="S191" i="28"/>
  <c r="P101" i="15" s="1"/>
  <c r="P101" i="12" s="1"/>
  <c r="S205" i="28"/>
  <c r="P108" i="15" s="1"/>
  <c r="P108" i="12" s="1"/>
  <c r="S233" i="28"/>
  <c r="P122" i="15" s="1"/>
  <c r="P122" i="12" s="1"/>
  <c r="S225" i="28"/>
  <c r="P118" i="15" s="1"/>
  <c r="P118" i="12" s="1"/>
  <c r="S183" i="28"/>
  <c r="P97" i="15" s="1"/>
  <c r="P97" i="12" s="1"/>
  <c r="S187" i="28"/>
  <c r="P99" i="15" s="1"/>
  <c r="P99" i="12" s="1"/>
  <c r="S237" i="28"/>
  <c r="P124" i="15" s="1"/>
  <c r="S175" i="28"/>
  <c r="P93" i="15" s="1"/>
  <c r="P93" i="12" s="1"/>
  <c r="S189" i="28"/>
  <c r="P100" i="15" s="1"/>
  <c r="P100" i="12" s="1"/>
  <c r="W227" i="28"/>
  <c r="S213" i="28"/>
  <c r="P112" i="15" s="1"/>
  <c r="P112" i="12" s="1"/>
  <c r="S239" i="28"/>
  <c r="P125" i="15" s="1"/>
  <c r="P125" i="12" s="1"/>
  <c r="S173" i="28"/>
  <c r="P92" i="15" s="1"/>
  <c r="P92" i="12" s="1"/>
  <c r="S227" i="28"/>
  <c r="P119" i="15" s="1"/>
  <c r="P119" i="12" s="1"/>
  <c r="S207" i="28"/>
  <c r="P109" i="15" s="1"/>
  <c r="P109" i="12" s="1"/>
  <c r="S179" i="28"/>
  <c r="P95" i="15" s="1"/>
  <c r="P95" i="12" s="1"/>
  <c r="S217" i="28"/>
  <c r="P114" i="15" s="1"/>
  <c r="P114" i="12" s="1"/>
  <c r="W223" i="28"/>
  <c r="B27" i="9" l="1"/>
  <c r="B27" i="7"/>
  <c r="B28" i="3"/>
  <c r="B27" i="4"/>
  <c r="B24" i="1"/>
  <c r="B23" i="29"/>
  <c r="B23" i="15"/>
  <c r="B23" i="24"/>
  <c r="S163" i="28"/>
  <c r="P87" i="15" s="1"/>
  <c r="P87" i="12" s="1"/>
  <c r="S161" i="28"/>
  <c r="P86" i="15" s="1"/>
  <c r="P86" i="12" s="1"/>
  <c r="B28" i="9" l="1"/>
  <c r="B28" i="7"/>
  <c r="B29" i="3"/>
  <c r="B28" i="4"/>
  <c r="B25" i="1"/>
  <c r="B24" i="15"/>
  <c r="B24" i="29"/>
  <c r="B24" i="24"/>
  <c r="B29" i="9" l="1"/>
  <c r="B29" i="7"/>
  <c r="B30" i="3"/>
  <c r="B29" i="4"/>
  <c r="B26" i="1"/>
  <c r="B25" i="29"/>
  <c r="B25" i="15"/>
  <c r="B25" i="24"/>
  <c r="B30" i="9" l="1"/>
  <c r="B30" i="7"/>
  <c r="B31" i="3"/>
  <c r="B30" i="4"/>
  <c r="B27" i="1"/>
  <c r="B26" i="15"/>
  <c r="B26" i="29"/>
  <c r="B26" i="24"/>
  <c r="B31" i="9" l="1"/>
  <c r="B31" i="7"/>
  <c r="Y191" i="28"/>
  <c r="B32" i="3"/>
  <c r="B31" i="4"/>
  <c r="B28" i="1"/>
  <c r="B27" i="29"/>
  <c r="B27" i="15"/>
  <c r="B27" i="24"/>
  <c r="Y229" i="28"/>
  <c r="Y169" i="28"/>
  <c r="Y181" i="28"/>
  <c r="Y211" i="28"/>
  <c r="Y215" i="28"/>
  <c r="Y167" i="28"/>
  <c r="Y231" i="28"/>
  <c r="Y189" i="28"/>
  <c r="W169" i="28"/>
  <c r="W99" i="28"/>
  <c r="Y213" i="28"/>
  <c r="Y173" i="28"/>
  <c r="Y239" i="28"/>
  <c r="Y201" i="28"/>
  <c r="Y221" i="28"/>
  <c r="Y205" i="28"/>
  <c r="Y207" i="28"/>
  <c r="Y179" i="28"/>
  <c r="Y235" i="28"/>
  <c r="Y185" i="28"/>
  <c r="Y225" i="28"/>
  <c r="Y171" i="28"/>
  <c r="O11" i="28"/>
  <c r="N11" i="15" s="1"/>
  <c r="N3" i="15" s="1"/>
  <c r="Y209" i="28"/>
  <c r="Y175" i="28"/>
  <c r="W165" i="28"/>
  <c r="Y233" i="28"/>
  <c r="Y165" i="28"/>
  <c r="Y237" i="28"/>
  <c r="W71" i="28"/>
  <c r="R41" i="15" s="1"/>
  <c r="R41" i="12" s="1"/>
  <c r="Y217" i="28"/>
  <c r="Y163" i="28"/>
  <c r="Y161" i="28"/>
  <c r="Y219" i="28"/>
  <c r="Y187" i="28"/>
  <c r="Y177" i="28"/>
  <c r="W171" i="28"/>
  <c r="Y227" i="28"/>
  <c r="W167" i="28"/>
  <c r="Y183" i="28"/>
  <c r="Y203" i="28"/>
  <c r="U3" i="12" l="1"/>
  <c r="U6" i="12"/>
  <c r="U4" i="12"/>
  <c r="U7" i="12"/>
  <c r="U2" i="12"/>
  <c r="U5" i="12"/>
  <c r="N7" i="15"/>
  <c r="N6" i="15"/>
  <c r="N5" i="15"/>
  <c r="N11" i="12"/>
  <c r="N4" i="15"/>
  <c r="N2" i="15"/>
  <c r="O6" i="24"/>
  <c r="O5" i="24"/>
  <c r="O2" i="24"/>
  <c r="O4" i="24"/>
  <c r="O3" i="24"/>
  <c r="O7" i="24"/>
  <c r="Z729" i="11"/>
  <c r="AA729" i="11" s="1"/>
  <c r="AT729" i="32" s="1"/>
  <c r="Z730" i="11"/>
  <c r="AA730" i="11" s="1"/>
  <c r="AT730" i="32" s="1"/>
  <c r="Z728" i="11"/>
  <c r="AA728" i="11" s="1"/>
  <c r="AT728" i="32" s="1"/>
  <c r="Z732" i="11"/>
  <c r="AA732" i="11" s="1"/>
  <c r="AT732" i="32" s="1"/>
  <c r="AA76" i="24" s="1"/>
  <c r="AG76" i="12" s="1"/>
  <c r="Z731" i="11"/>
  <c r="AA731" i="11" s="1"/>
  <c r="AT731" i="32" s="1"/>
  <c r="Z733" i="11"/>
  <c r="AA733" i="11" s="1"/>
  <c r="AT733" i="32" s="1"/>
  <c r="B32" i="9"/>
  <c r="B32" i="7"/>
  <c r="B33" i="3"/>
  <c r="B32" i="4"/>
  <c r="B29" i="1"/>
  <c r="B28" i="15"/>
  <c r="B28" i="29"/>
  <c r="B28" i="24"/>
  <c r="Q13" i="28"/>
  <c r="O12" i="15" s="1"/>
  <c r="O12" i="12" s="1"/>
  <c r="Q91" i="28"/>
  <c r="O51" i="15" s="1"/>
  <c r="O51" i="12" s="1"/>
  <c r="W235" i="28"/>
  <c r="Q37" i="28"/>
  <c r="O24" i="15" s="1"/>
  <c r="O24" i="12" s="1"/>
  <c r="Q95" i="28"/>
  <c r="O53" i="15" s="1"/>
  <c r="O53" i="12" s="1"/>
  <c r="Q59" i="28"/>
  <c r="O35" i="15" s="1"/>
  <c r="O35" i="12" s="1"/>
  <c r="Q75" i="28"/>
  <c r="O43" i="15" s="1"/>
  <c r="O43" i="12" s="1"/>
  <c r="W221" i="28"/>
  <c r="W177" i="28"/>
  <c r="Q21" i="28"/>
  <c r="O16" i="15" s="1"/>
  <c r="O16" i="12" s="1"/>
  <c r="W239" i="28"/>
  <c r="W185" i="28"/>
  <c r="W209" i="28"/>
  <c r="W211" i="28"/>
  <c r="Q77" i="28"/>
  <c r="O44" i="15" s="1"/>
  <c r="O44" i="12" s="1"/>
  <c r="Q49" i="28"/>
  <c r="O30" i="15" s="1"/>
  <c r="O30" i="12" s="1"/>
  <c r="W213" i="28"/>
  <c r="W219" i="28"/>
  <c r="Q27" i="28"/>
  <c r="O19" i="15" s="1"/>
  <c r="O19" i="12" s="1"/>
  <c r="W205" i="28"/>
  <c r="Q43" i="28"/>
  <c r="O27" i="15" s="1"/>
  <c r="O27" i="12" s="1"/>
  <c r="Q81" i="28"/>
  <c r="O46" i="15" s="1"/>
  <c r="O46" i="12" s="1"/>
  <c r="Q11" i="28"/>
  <c r="O11" i="15" s="1"/>
  <c r="W191" i="28"/>
  <c r="W179" i="28"/>
  <c r="W237" i="28"/>
  <c r="Q41" i="28"/>
  <c r="O26" i="15" s="1"/>
  <c r="O26" i="12" s="1"/>
  <c r="Q33" i="28"/>
  <c r="O22" i="15" s="1"/>
  <c r="O22" i="12" s="1"/>
  <c r="W175" i="28"/>
  <c r="W187" i="28"/>
  <c r="W181" i="28"/>
  <c r="Q57" i="28"/>
  <c r="O34" i="15" s="1"/>
  <c r="O34" i="12" s="1"/>
  <c r="Q53" i="28"/>
  <c r="O32" i="15" s="1"/>
  <c r="O32" i="12" s="1"/>
  <c r="Q85" i="28"/>
  <c r="O48" i="15" s="1"/>
  <c r="O48" i="12" s="1"/>
  <c r="Q65" i="28"/>
  <c r="O38" i="15" s="1"/>
  <c r="O38" i="12" s="1"/>
  <c r="W233" i="28"/>
  <c r="W225" i="28"/>
  <c r="W183" i="28"/>
  <c r="Q73" i="28"/>
  <c r="O42" i="15" s="1"/>
  <c r="O42" i="12" s="1"/>
  <c r="Q63" i="28"/>
  <c r="O37" i="15" s="1"/>
  <c r="O37" i="12" s="1"/>
  <c r="Q69" i="28"/>
  <c r="O40" i="15" s="1"/>
  <c r="O40" i="12" s="1"/>
  <c r="Q97" i="28"/>
  <c r="O54" i="15" s="1"/>
  <c r="O54" i="12" s="1"/>
  <c r="W207" i="28"/>
  <c r="Q25" i="28"/>
  <c r="O18" i="15" s="1"/>
  <c r="O18" i="12" s="1"/>
  <c r="Q61" i="28"/>
  <c r="O36" i="15" s="1"/>
  <c r="O36" i="12" s="1"/>
  <c r="W199" i="28"/>
  <c r="W203" i="28"/>
  <c r="Q47" i="28"/>
  <c r="O29" i="15" s="1"/>
  <c r="O29" i="12" s="1"/>
  <c r="Q87" i="28"/>
  <c r="O49" i="15" s="1"/>
  <c r="O49" i="12" s="1"/>
  <c r="Q55" i="28"/>
  <c r="O33" i="15" s="1"/>
  <c r="O33" i="12" s="1"/>
  <c r="W215" i="28"/>
  <c r="Q93" i="28"/>
  <c r="O52" i="15" s="1"/>
  <c r="O52" i="12" s="1"/>
  <c r="Q31" i="28"/>
  <c r="O21" i="15" s="1"/>
  <c r="O21" i="12" s="1"/>
  <c r="Q35" i="28"/>
  <c r="O23" i="15" s="1"/>
  <c r="O23" i="12" s="1"/>
  <c r="Q71" i="28"/>
  <c r="O41" i="15" s="1"/>
  <c r="O41" i="12" s="1"/>
  <c r="W189" i="28"/>
  <c r="W201" i="28"/>
  <c r="Q89" i="28"/>
  <c r="O50" i="15" s="1"/>
  <c r="O50" i="12" s="1"/>
  <c r="Q67" i="28"/>
  <c r="O39" i="15" s="1"/>
  <c r="O39" i="12" s="1"/>
  <c r="Q23" i="28"/>
  <c r="O17" i="15" s="1"/>
  <c r="O17" i="12" s="1"/>
  <c r="Q79" i="28"/>
  <c r="O45" i="15" s="1"/>
  <c r="O45" i="12" s="1"/>
  <c r="Q51" i="28"/>
  <c r="O31" i="15" s="1"/>
  <c r="O31" i="12" s="1"/>
  <c r="Q99" i="28"/>
  <c r="O55" i="15" s="1"/>
  <c r="O55" i="12" s="1"/>
  <c r="W231" i="28"/>
  <c r="W163" i="28"/>
  <c r="W161" i="28"/>
  <c r="Q29" i="28"/>
  <c r="O20" i="15" s="1"/>
  <c r="O20" i="12" s="1"/>
  <c r="Q19" i="28"/>
  <c r="O15" i="15" s="1"/>
  <c r="O15" i="12" s="1"/>
  <c r="Q15" i="28"/>
  <c r="O13" i="15" s="1"/>
  <c r="O13" i="12" s="1"/>
  <c r="Q39" i="28"/>
  <c r="O25" i="15" s="1"/>
  <c r="O25" i="12" s="1"/>
  <c r="Q83" i="28"/>
  <c r="O47" i="15" s="1"/>
  <c r="O47" i="12" s="1"/>
  <c r="Q17" i="28"/>
  <c r="O14" i="15" s="1"/>
  <c r="O14" i="12" s="1"/>
  <c r="W217" i="28"/>
  <c r="W229" i="28"/>
  <c r="AA75" i="24" l="1"/>
  <c r="AG75" i="12" s="1"/>
  <c r="AA74" i="24"/>
  <c r="AG74" i="12" s="1"/>
  <c r="AT729" i="10"/>
  <c r="AT731" i="10"/>
  <c r="AT732" i="10"/>
  <c r="AT728" i="10"/>
  <c r="AT730" i="10"/>
  <c r="AT733" i="10"/>
  <c r="O5" i="15"/>
  <c r="O6" i="15"/>
  <c r="O7" i="15"/>
  <c r="O11" i="12"/>
  <c r="O7" i="12" s="1"/>
  <c r="O2" i="15"/>
  <c r="O3" i="15"/>
  <c r="O4" i="15"/>
  <c r="B33" i="9"/>
  <c r="B33" i="7"/>
  <c r="W11" i="28"/>
  <c r="R11" i="15" s="1"/>
  <c r="B34" i="3"/>
  <c r="B33" i="4"/>
  <c r="B30" i="1"/>
  <c r="B29" i="29"/>
  <c r="B29" i="15"/>
  <c r="B29" i="24"/>
  <c r="Y13" i="28"/>
  <c r="S12" i="15" s="1"/>
  <c r="S12" i="12" s="1"/>
  <c r="W31" i="28"/>
  <c r="R21" i="15" s="1"/>
  <c r="R21" i="12" s="1"/>
  <c r="Y39" i="28"/>
  <c r="S25" i="15" s="1"/>
  <c r="S25" i="12" s="1"/>
  <c r="Y17" i="28"/>
  <c r="S14" i="15" s="1"/>
  <c r="S14" i="12" s="1"/>
  <c r="U11" i="28"/>
  <c r="Q11" i="15" s="1"/>
  <c r="Y33" i="28"/>
  <c r="S22" i="15" s="1"/>
  <c r="S22" i="12" s="1"/>
  <c r="W37" i="28"/>
  <c r="R24" i="15" s="1"/>
  <c r="R24" i="12" s="1"/>
  <c r="Y31" i="28"/>
  <c r="S21" i="15" s="1"/>
  <c r="S21" i="12" s="1"/>
  <c r="W33" i="28"/>
  <c r="R22" i="15" s="1"/>
  <c r="R22" i="12" s="1"/>
  <c r="S97" i="28"/>
  <c r="P54" i="15" s="1"/>
  <c r="P54" i="12" s="1"/>
  <c r="S79" i="28"/>
  <c r="P45" i="15" s="1"/>
  <c r="P45" i="12" s="1"/>
  <c r="S41" i="28"/>
  <c r="P26" i="15" s="1"/>
  <c r="P26" i="12" s="1"/>
  <c r="S17" i="28"/>
  <c r="P14" i="15" s="1"/>
  <c r="P14" i="12" s="1"/>
  <c r="S85" i="28"/>
  <c r="P48" i="15" s="1"/>
  <c r="P48" i="12" s="1"/>
  <c r="S53" i="28"/>
  <c r="P32" i="15" s="1"/>
  <c r="P32" i="12" s="1"/>
  <c r="Y37" i="28"/>
  <c r="S24" i="15" s="1"/>
  <c r="S24" i="12" s="1"/>
  <c r="S35" i="28"/>
  <c r="P23" i="15" s="1"/>
  <c r="P23" i="12" s="1"/>
  <c r="S25" i="28"/>
  <c r="P18" i="15" s="1"/>
  <c r="P18" i="12" s="1"/>
  <c r="S55" i="28"/>
  <c r="P33" i="15" s="1"/>
  <c r="P33" i="12" s="1"/>
  <c r="Y11" i="28"/>
  <c r="S11" i="15" s="1"/>
  <c r="W39" i="28"/>
  <c r="R25" i="15" s="1"/>
  <c r="R25" i="12" s="1"/>
  <c r="S21" i="28"/>
  <c r="P16" i="15" s="1"/>
  <c r="P16" i="12" s="1"/>
  <c r="S75" i="28"/>
  <c r="P43" i="15" s="1"/>
  <c r="P43" i="12" s="1"/>
  <c r="S33" i="28"/>
  <c r="P22" i="15" s="1"/>
  <c r="P22" i="12" s="1"/>
  <c r="S15" i="28"/>
  <c r="P13" i="15" s="1"/>
  <c r="P13" i="12" s="1"/>
  <c r="S81" i="28"/>
  <c r="P46" i="15" s="1"/>
  <c r="P46" i="12" s="1"/>
  <c r="S89" i="28"/>
  <c r="P50" i="15" s="1"/>
  <c r="P50" i="12" s="1"/>
  <c r="S47" i="28"/>
  <c r="P29" i="15" s="1"/>
  <c r="P29" i="12" s="1"/>
  <c r="S99" i="28"/>
  <c r="P55" i="15" s="1"/>
  <c r="P55" i="12" s="1"/>
  <c r="S59" i="28"/>
  <c r="P35" i="15" s="1"/>
  <c r="P35" i="12" s="1"/>
  <c r="S31" i="28"/>
  <c r="P21" i="15" s="1"/>
  <c r="P21" i="12" s="1"/>
  <c r="S23" i="28"/>
  <c r="P17" i="15" s="1"/>
  <c r="P17" i="12" s="1"/>
  <c r="S51" i="28"/>
  <c r="P31" i="15" s="1"/>
  <c r="P31" i="12" s="1"/>
  <c r="S71" i="28"/>
  <c r="P41" i="15" s="1"/>
  <c r="P41" i="12" s="1"/>
  <c r="S29" i="28"/>
  <c r="P20" i="15" s="1"/>
  <c r="P20" i="12" s="1"/>
  <c r="S87" i="28"/>
  <c r="P49" i="15" s="1"/>
  <c r="P49" i="12" s="1"/>
  <c r="P12" i="15"/>
  <c r="P12" i="12" s="1"/>
  <c r="S83" i="28"/>
  <c r="P47" i="15" s="1"/>
  <c r="P47" i="12" s="1"/>
  <c r="Y35" i="28"/>
  <c r="S23" i="15" s="1"/>
  <c r="S23" i="12" s="1"/>
  <c r="W35" i="28"/>
  <c r="R23" i="15" s="1"/>
  <c r="R23" i="12" s="1"/>
  <c r="S19" i="28"/>
  <c r="P15" i="15" s="1"/>
  <c r="P15" i="12" s="1"/>
  <c r="S91" i="28"/>
  <c r="P51" i="15" s="1"/>
  <c r="P51" i="12" s="1"/>
  <c r="S37" i="28"/>
  <c r="P24" i="15" s="1"/>
  <c r="P24" i="12" s="1"/>
  <c r="S65" i="28"/>
  <c r="P38" i="15" s="1"/>
  <c r="P38" i="12" s="1"/>
  <c r="S95" i="28"/>
  <c r="P53" i="15" s="1"/>
  <c r="P53" i="12" s="1"/>
  <c r="S27" i="28"/>
  <c r="P19" i="15" s="1"/>
  <c r="P19" i="12" s="1"/>
  <c r="S63" i="28"/>
  <c r="P37" i="15" s="1"/>
  <c r="P37" i="12" s="1"/>
  <c r="S39" i="28"/>
  <c r="P25" i="15" s="1"/>
  <c r="P25" i="12" s="1"/>
  <c r="W17" i="28"/>
  <c r="R14" i="15" s="1"/>
  <c r="R14" i="12" s="1"/>
  <c r="S73" i="28"/>
  <c r="P42" i="15" s="1"/>
  <c r="P42" i="12" s="1"/>
  <c r="S43" i="28"/>
  <c r="P27" i="15" s="1"/>
  <c r="P27" i="12" s="1"/>
  <c r="S49" i="28"/>
  <c r="P30" i="15" s="1"/>
  <c r="P30" i="12" s="1"/>
  <c r="S45" i="28"/>
  <c r="P28" i="15" s="1"/>
  <c r="P28" i="12" s="1"/>
  <c r="S69" i="28"/>
  <c r="P40" i="15" s="1"/>
  <c r="P40" i="12" s="1"/>
  <c r="S93" i="28"/>
  <c r="P52" i="15" s="1"/>
  <c r="P52" i="12" s="1"/>
  <c r="S77" i="28"/>
  <c r="P44" i="15" s="1"/>
  <c r="P44" i="12" s="1"/>
  <c r="S61" i="28"/>
  <c r="P36" i="15" s="1"/>
  <c r="P36" i="12" s="1"/>
  <c r="S11" i="28"/>
  <c r="P11" i="15" s="1"/>
  <c r="S57" i="28"/>
  <c r="P34" i="15" s="1"/>
  <c r="P34" i="12" s="1"/>
  <c r="S67" i="28"/>
  <c r="P39" i="15" s="1"/>
  <c r="P39" i="12" s="1"/>
  <c r="W13" i="28"/>
  <c r="R12" i="15" s="1"/>
  <c r="R12" i="12" s="1"/>
  <c r="W27" i="28"/>
  <c r="R19" i="15" s="1"/>
  <c r="R19" i="12" s="1"/>
  <c r="W21" i="28"/>
  <c r="R16" i="15" s="1"/>
  <c r="R16" i="12" s="1"/>
  <c r="W15" i="28"/>
  <c r="R13" i="15" s="1"/>
  <c r="R13" i="12" s="1"/>
  <c r="R11" i="4"/>
  <c r="R13" i="9"/>
  <c r="R37" i="7"/>
  <c r="R37" i="4"/>
  <c r="R13" i="4"/>
  <c r="R17" i="4"/>
  <c r="R17" i="9"/>
  <c r="R31" i="4"/>
  <c r="R13" i="7"/>
  <c r="R35" i="7"/>
  <c r="R33" i="4"/>
  <c r="R39" i="7"/>
  <c r="R33" i="7"/>
  <c r="R11" i="7"/>
  <c r="Y79" i="28"/>
  <c r="R39" i="4"/>
  <c r="R31" i="7"/>
  <c r="R11" i="9"/>
  <c r="R35" i="4"/>
  <c r="R17" i="7"/>
  <c r="O3" i="12" l="1"/>
  <c r="O6" i="12"/>
  <c r="O4" i="12"/>
  <c r="O5" i="12"/>
  <c r="O2" i="12"/>
  <c r="Y229" i="11"/>
  <c r="Z229" i="11" s="1"/>
  <c r="AA229" i="11" s="1"/>
  <c r="AT229" i="32" s="1"/>
  <c r="Y230" i="11"/>
  <c r="Z230" i="11" s="1"/>
  <c r="AA230" i="11" s="1"/>
  <c r="AT230" i="32" s="1"/>
  <c r="Y225" i="11"/>
  <c r="Z225" i="11" s="1"/>
  <c r="AA225" i="11" s="1"/>
  <c r="AT225" i="32" s="1"/>
  <c r="Y226" i="11"/>
  <c r="Z226" i="11" s="1"/>
  <c r="AA226" i="11" s="1"/>
  <c r="AT226" i="32" s="1"/>
  <c r="Y223" i="11"/>
  <c r="Z223" i="11" s="1"/>
  <c r="AA223" i="11" s="1"/>
  <c r="AT223" i="32" s="1"/>
  <c r="Y224" i="11"/>
  <c r="Z224" i="11" s="1"/>
  <c r="AA224" i="11" s="1"/>
  <c r="AT224" i="32" s="1"/>
  <c r="S11" i="12"/>
  <c r="R11" i="12"/>
  <c r="Q11" i="12"/>
  <c r="Q6" i="15"/>
  <c r="Q2" i="15"/>
  <c r="Q5" i="15"/>
  <c r="Q3" i="15"/>
  <c r="Q4" i="15"/>
  <c r="Q7" i="15"/>
  <c r="P4" i="15"/>
  <c r="P5" i="15"/>
  <c r="P6" i="15"/>
  <c r="P7" i="15"/>
  <c r="P11" i="12"/>
  <c r="P2" i="15"/>
  <c r="P3" i="15"/>
  <c r="Y129" i="11"/>
  <c r="Z129" i="11" s="1"/>
  <c r="AA129" i="11" s="1"/>
  <c r="AT129" i="32" s="1"/>
  <c r="Y128" i="11"/>
  <c r="Z128" i="11" s="1"/>
  <c r="AA128" i="11" s="1"/>
  <c r="AT128" i="32" s="1"/>
  <c r="Y127" i="11"/>
  <c r="Z127" i="11" s="1"/>
  <c r="AA127" i="11" s="1"/>
  <c r="AT127" i="32" s="1"/>
  <c r="Y120" i="11"/>
  <c r="Z120" i="11" s="1"/>
  <c r="AA120" i="11" s="1"/>
  <c r="AT120" i="32" s="1"/>
  <c r="Y118" i="11"/>
  <c r="Z118" i="11" s="1"/>
  <c r="AA118" i="11" s="1"/>
  <c r="AT118" i="32" s="1"/>
  <c r="Y123" i="11"/>
  <c r="Z123" i="11" s="1"/>
  <c r="AA123" i="11" s="1"/>
  <c r="AT123" i="32" s="1"/>
  <c r="Y122" i="11"/>
  <c r="Z122" i="11" s="1"/>
  <c r="AA122" i="11" s="1"/>
  <c r="AT122" i="32" s="1"/>
  <c r="Y121" i="11"/>
  <c r="Z121" i="11" s="1"/>
  <c r="AA121" i="11" s="1"/>
  <c r="AT121" i="32" s="1"/>
  <c r="Y13" i="11"/>
  <c r="Z13" i="11" s="1"/>
  <c r="AA13" i="11" s="1"/>
  <c r="AT13" i="32" s="1"/>
  <c r="B34" i="9"/>
  <c r="B34" i="7"/>
  <c r="B35" i="3"/>
  <c r="B34" i="4"/>
  <c r="B31" i="1"/>
  <c r="B30" i="15"/>
  <c r="B30" i="29"/>
  <c r="B30" i="24"/>
  <c r="W43" i="28"/>
  <c r="R27" i="15" s="1"/>
  <c r="R27" i="12" s="1"/>
  <c r="Y57" i="28"/>
  <c r="S34" i="15" s="1"/>
  <c r="S34" i="12" s="1"/>
  <c r="W45" i="28"/>
  <c r="R28" i="15" s="1"/>
  <c r="R28" i="12" s="1"/>
  <c r="Y95" i="28"/>
  <c r="Y53" i="28"/>
  <c r="S32" i="15" s="1"/>
  <c r="S32" i="12" s="1"/>
  <c r="W75" i="28"/>
  <c r="Y97" i="28"/>
  <c r="Y65" i="28"/>
  <c r="S38" i="15" s="1"/>
  <c r="S38" i="12" s="1"/>
  <c r="Y77" i="28"/>
  <c r="W85" i="28"/>
  <c r="Y41" i="28"/>
  <c r="S26" i="15" s="1"/>
  <c r="S26" i="12" s="1"/>
  <c r="Y45" i="28"/>
  <c r="S28" i="15" s="1"/>
  <c r="S28" i="12" s="1"/>
  <c r="Y63" i="28"/>
  <c r="S37" i="15" s="1"/>
  <c r="S37" i="12" s="1"/>
  <c r="W51" i="28"/>
  <c r="R31" i="15" s="1"/>
  <c r="R31" i="12" s="1"/>
  <c r="W79" i="28"/>
  <c r="W65" i="28"/>
  <c r="R38" i="15" s="1"/>
  <c r="R38" i="12" s="1"/>
  <c r="Y81" i="28"/>
  <c r="Y27" i="28"/>
  <c r="S19" i="15" s="1"/>
  <c r="S19" i="12" s="1"/>
  <c r="Y55" i="28"/>
  <c r="S33" i="15" s="1"/>
  <c r="S33" i="12" s="1"/>
  <c r="Y51" i="28"/>
  <c r="S31" i="15" s="1"/>
  <c r="S31" i="12" s="1"/>
  <c r="W29" i="28"/>
  <c r="R20" i="15" s="1"/>
  <c r="R20" i="12" s="1"/>
  <c r="Y75" i="28"/>
  <c r="W91" i="28"/>
  <c r="W25" i="28"/>
  <c r="R18" i="15" s="1"/>
  <c r="R18" i="12" s="1"/>
  <c r="W53" i="28"/>
  <c r="R32" i="15" s="1"/>
  <c r="R32" i="12" s="1"/>
  <c r="Y29" i="28"/>
  <c r="S20" i="15" s="1"/>
  <c r="S20" i="12" s="1"/>
  <c r="W97" i="28"/>
  <c r="W87" i="28"/>
  <c r="W83" i="28"/>
  <c r="W73" i="28"/>
  <c r="R42" i="15" s="1"/>
  <c r="R42" i="12" s="1"/>
  <c r="Y23" i="28"/>
  <c r="S17" i="15" s="1"/>
  <c r="S17" i="12" s="1"/>
  <c r="Y21" i="28"/>
  <c r="S16" i="15" s="1"/>
  <c r="S16" i="12" s="1"/>
  <c r="Y93" i="28"/>
  <c r="Y71" i="28"/>
  <c r="S41" i="15" s="1"/>
  <c r="S41" i="12" s="1"/>
  <c r="W19" i="28"/>
  <c r="R15" i="15" s="1"/>
  <c r="R15" i="12" s="1"/>
  <c r="Y61" i="28"/>
  <c r="S36" i="15" s="1"/>
  <c r="S36" i="12" s="1"/>
  <c r="Y25" i="28"/>
  <c r="S18" i="15" s="1"/>
  <c r="S18" i="12" s="1"/>
  <c r="W57" i="28"/>
  <c r="R34" i="15" s="1"/>
  <c r="R34" i="12" s="1"/>
  <c r="W59" i="28"/>
  <c r="R35" i="15" s="1"/>
  <c r="R35" i="12" s="1"/>
  <c r="W69" i="28"/>
  <c r="R40" i="15" s="1"/>
  <c r="R40" i="12" s="1"/>
  <c r="Y89" i="28"/>
  <c r="Y99" i="28"/>
  <c r="W23" i="28"/>
  <c r="R17" i="15" s="1"/>
  <c r="R17" i="12" s="1"/>
  <c r="Y83" i="28"/>
  <c r="Y49" i="28"/>
  <c r="S30" i="15" s="1"/>
  <c r="S30" i="12" s="1"/>
  <c r="W63" i="28"/>
  <c r="R37" i="15" s="1"/>
  <c r="R37" i="12" s="1"/>
  <c r="W55" i="28"/>
  <c r="R33" i="15" s="1"/>
  <c r="R33" i="12" s="1"/>
  <c r="W95" i="28"/>
  <c r="W93" i="28"/>
  <c r="W89" i="28"/>
  <c r="W49" i="28"/>
  <c r="R30" i="15" s="1"/>
  <c r="R30" i="12" s="1"/>
  <c r="Y91" i="28"/>
  <c r="W67" i="28"/>
  <c r="R39" i="15" s="1"/>
  <c r="R39" i="12" s="1"/>
  <c r="W61" i="28"/>
  <c r="R36" i="15" s="1"/>
  <c r="R36" i="12" s="1"/>
  <c r="W81" i="28"/>
  <c r="W47" i="28"/>
  <c r="R29" i="15" s="1"/>
  <c r="R29" i="12" s="1"/>
  <c r="Y59" i="28"/>
  <c r="S35" i="15" s="1"/>
  <c r="S35" i="12" s="1"/>
  <c r="Y87" i="28"/>
  <c r="W77" i="28"/>
  <c r="Y67" i="28"/>
  <c r="S39" i="15" s="1"/>
  <c r="S39" i="12" s="1"/>
  <c r="W41" i="28"/>
  <c r="R26" i="15" s="1"/>
  <c r="R26" i="12" s="1"/>
  <c r="Y85" i="28"/>
  <c r="Y43" i="28"/>
  <c r="S27" i="15" s="1"/>
  <c r="S27" i="12" s="1"/>
  <c r="Y19" i="28"/>
  <c r="S15" i="15" s="1"/>
  <c r="S15" i="12" s="1"/>
  <c r="Y15" i="28"/>
  <c r="S13" i="15" s="1"/>
  <c r="S13" i="12" s="1"/>
  <c r="Y69" i="28"/>
  <c r="S40" i="15" s="1"/>
  <c r="S40" i="12" s="1"/>
  <c r="Y47" i="28"/>
  <c r="S29" i="15" s="1"/>
  <c r="S29" i="12" s="1"/>
  <c r="Y73" i="28"/>
  <c r="S42" i="15" s="1"/>
  <c r="S42" i="12" s="1"/>
  <c r="Y15" i="11"/>
  <c r="Z15" i="11" s="1"/>
  <c r="AA15" i="11" s="1"/>
  <c r="AT15" i="32" s="1"/>
  <c r="Y24" i="11"/>
  <c r="Z24" i="11" s="1"/>
  <c r="AA24" i="11" s="1"/>
  <c r="AT24" i="32" s="1"/>
  <c r="Y23" i="11"/>
  <c r="Y16" i="11"/>
  <c r="Z16" i="11" s="1"/>
  <c r="AA16" i="11" s="1"/>
  <c r="AT16" i="32" s="1"/>
  <c r="Y18" i="11"/>
  <c r="Z18" i="11" s="1"/>
  <c r="AA18" i="11" s="1"/>
  <c r="AT18" i="32" s="1"/>
  <c r="Y17" i="11"/>
  <c r="Z17" i="11" s="1"/>
  <c r="AA17" i="11" s="1"/>
  <c r="AT17" i="32" s="1"/>
  <c r="R43" i="4"/>
  <c r="R49" i="4"/>
  <c r="R45" i="4"/>
  <c r="R115" i="4"/>
  <c r="R121" i="4"/>
  <c r="R55" i="4"/>
  <c r="R65" i="4"/>
  <c r="R41" i="4"/>
  <c r="R125" i="4"/>
  <c r="R113" i="4"/>
  <c r="R27" i="4"/>
  <c r="R29" i="4"/>
  <c r="R127" i="4"/>
  <c r="R119" i="4"/>
  <c r="R117" i="4"/>
  <c r="R59" i="4"/>
  <c r="R61" i="4"/>
  <c r="R63" i="4"/>
  <c r="R57" i="4"/>
  <c r="R53" i="4"/>
  <c r="R47" i="4"/>
  <c r="R51" i="4"/>
  <c r="R25" i="4"/>
  <c r="R15" i="4"/>
  <c r="R23" i="4"/>
  <c r="R19" i="4"/>
  <c r="R21" i="4"/>
  <c r="R53" i="7"/>
  <c r="R29" i="9"/>
  <c r="R119" i="9"/>
  <c r="R49" i="9"/>
  <c r="R61" i="9"/>
  <c r="R59" i="7"/>
  <c r="R55" i="7"/>
  <c r="R27" i="7"/>
  <c r="R45" i="9"/>
  <c r="R59" i="9"/>
  <c r="R57" i="7"/>
  <c r="R113" i="9"/>
  <c r="R45" i="7"/>
  <c r="R23" i="9"/>
  <c r="R117" i="9"/>
  <c r="R51" i="7"/>
  <c r="R127" i="9"/>
  <c r="R55" i="9"/>
  <c r="R49" i="7"/>
  <c r="R25" i="9"/>
  <c r="Y237" i="11" s="1"/>
  <c r="Z237" i="11" s="1"/>
  <c r="AA237" i="11" s="1"/>
  <c r="AT237" i="32" s="1"/>
  <c r="AA133" i="24" s="1"/>
  <c r="AG133" i="12" s="1"/>
  <c r="R129" i="9"/>
  <c r="R53" i="9"/>
  <c r="R23" i="7"/>
  <c r="R29" i="7"/>
  <c r="R61" i="7"/>
  <c r="R47" i="7"/>
  <c r="R125" i="9"/>
  <c r="R115" i="9"/>
  <c r="R57" i="9"/>
  <c r="R63" i="7"/>
  <c r="R43" i="9"/>
  <c r="R121" i="9"/>
  <c r="R51" i="9"/>
  <c r="N6" i="12"/>
  <c r="R19" i="9"/>
  <c r="R15" i="9"/>
  <c r="R65" i="9"/>
  <c r="R43" i="7"/>
  <c r="R21" i="7"/>
  <c r="R27" i="9"/>
  <c r="R25" i="7"/>
  <c r="R19" i="7"/>
  <c r="R15" i="7"/>
  <c r="R41" i="9"/>
  <c r="R63" i="9"/>
  <c r="R47" i="9"/>
  <c r="R21" i="9"/>
  <c r="R41" i="7"/>
  <c r="R65" i="7"/>
  <c r="AA12" i="24" l="1"/>
  <c r="AG12" i="12" s="1"/>
  <c r="AA129" i="24"/>
  <c r="AG129" i="12" s="1"/>
  <c r="AA126" i="24"/>
  <c r="AG126" i="12" s="1"/>
  <c r="AA127" i="24"/>
  <c r="AG127" i="12" s="1"/>
  <c r="AA11" i="24"/>
  <c r="AG11" i="12" s="1"/>
  <c r="AT237" i="10"/>
  <c r="AT123" i="10"/>
  <c r="AT16" i="10"/>
  <c r="AT118" i="10"/>
  <c r="AT128" i="10"/>
  <c r="AT129" i="10"/>
  <c r="AT120" i="10"/>
  <c r="AT24" i="10"/>
  <c r="AT127" i="10"/>
  <c r="AT224" i="10"/>
  <c r="AT223" i="10"/>
  <c r="AT226" i="10"/>
  <c r="AT18" i="10"/>
  <c r="AT15" i="10"/>
  <c r="AT225" i="10"/>
  <c r="AT121" i="10"/>
  <c r="AT230" i="10"/>
  <c r="AT17" i="10"/>
  <c r="AT122" i="10"/>
  <c r="AT229" i="10"/>
  <c r="Y708" i="11"/>
  <c r="Z708" i="11" s="1"/>
  <c r="AA708" i="11" s="1"/>
  <c r="AT708" i="32" s="1"/>
  <c r="Y709" i="11"/>
  <c r="Z709" i="11" s="1"/>
  <c r="AA709" i="11" s="1"/>
  <c r="Y707" i="11"/>
  <c r="Z707" i="11" s="1"/>
  <c r="AA707" i="11" s="1"/>
  <c r="AT707" i="32" s="1"/>
  <c r="Y706" i="11"/>
  <c r="Z706" i="11" s="1"/>
  <c r="AA706" i="11" s="1"/>
  <c r="AT706" i="32" s="1"/>
  <c r="Y710" i="11"/>
  <c r="Z710" i="11" s="1"/>
  <c r="AA710" i="11" s="1"/>
  <c r="AT710" i="32" s="1"/>
  <c r="Y711" i="11"/>
  <c r="Z711" i="11" s="1"/>
  <c r="AA711" i="11" s="1"/>
  <c r="AT711" i="32" s="1"/>
  <c r="Y704" i="11"/>
  <c r="Z704" i="11" s="1"/>
  <c r="AA704" i="11" s="1"/>
  <c r="Y705" i="11"/>
  <c r="Z705" i="11" s="1"/>
  <c r="AA705" i="11" s="1"/>
  <c r="Y717" i="11"/>
  <c r="Z717" i="11" s="1"/>
  <c r="AA717" i="11" s="1"/>
  <c r="Y716" i="11"/>
  <c r="Z716" i="11" s="1"/>
  <c r="AA716" i="11" s="1"/>
  <c r="Y703" i="11"/>
  <c r="Z703" i="11" s="1"/>
  <c r="AA703" i="11" s="1"/>
  <c r="AT703" i="32" s="1"/>
  <c r="Y702" i="11"/>
  <c r="Z702" i="11" s="1"/>
  <c r="AA702" i="11" s="1"/>
  <c r="Y718" i="11"/>
  <c r="Z718" i="11" s="1"/>
  <c r="AA718" i="11" s="1"/>
  <c r="Y719" i="11"/>
  <c r="Z719" i="11" s="1"/>
  <c r="AA719" i="11" s="1"/>
  <c r="Y270" i="11"/>
  <c r="Z270" i="11" s="1"/>
  <c r="AA270" i="11" s="1"/>
  <c r="AT270" i="32" s="1"/>
  <c r="Y269" i="11"/>
  <c r="Z269" i="11" s="1"/>
  <c r="AA269" i="11" s="1"/>
  <c r="AT269" i="32" s="1"/>
  <c r="Y241" i="11"/>
  <c r="Z241" i="11" s="1"/>
  <c r="AA241" i="11" s="1"/>
  <c r="AT241" i="32" s="1"/>
  <c r="Y242" i="11"/>
  <c r="Z242" i="11" s="1"/>
  <c r="AA242" i="11" s="1"/>
  <c r="AT242" i="32" s="1"/>
  <c r="Y263" i="11"/>
  <c r="Z263" i="11" s="1"/>
  <c r="AA263" i="11" s="1"/>
  <c r="AT263" i="32" s="1"/>
  <c r="Y264" i="11"/>
  <c r="Z264" i="11" s="1"/>
  <c r="AA264" i="11" s="1"/>
  <c r="AT264" i="32" s="1"/>
  <c r="Y266" i="11"/>
  <c r="Z266" i="11" s="1"/>
  <c r="AA266" i="11" s="1"/>
  <c r="AT266" i="32" s="1"/>
  <c r="Y265" i="11"/>
  <c r="Z265" i="11" s="1"/>
  <c r="AA265" i="11" s="1"/>
  <c r="AT265" i="32" s="1"/>
  <c r="Y231" i="11"/>
  <c r="Z231" i="11" s="1"/>
  <c r="AA231" i="11" s="1"/>
  <c r="AT231" i="32" s="1"/>
  <c r="Y232" i="11"/>
  <c r="Z232" i="11" s="1"/>
  <c r="AA232" i="11" s="1"/>
  <c r="AT232" i="32" s="1"/>
  <c r="Y234" i="11"/>
  <c r="Z234" i="11" s="1"/>
  <c r="AA234" i="11" s="1"/>
  <c r="Y233" i="11"/>
  <c r="Z233" i="11" s="1"/>
  <c r="AA233" i="11" s="1"/>
  <c r="AT233" i="32" s="1"/>
  <c r="AA131" i="24" s="1"/>
  <c r="AG131" i="12" s="1"/>
  <c r="Y261" i="11"/>
  <c r="Z261" i="11" s="1"/>
  <c r="AA261" i="11" s="1"/>
  <c r="Y262" i="11"/>
  <c r="Z262" i="11" s="1"/>
  <c r="AA262" i="11" s="1"/>
  <c r="Y236" i="11"/>
  <c r="Z236" i="11" s="1"/>
  <c r="AA236" i="11" s="1"/>
  <c r="Y235" i="11"/>
  <c r="Z235" i="11" s="1"/>
  <c r="AA235" i="11" s="1"/>
  <c r="AT235" i="32" s="1"/>
  <c r="Y278" i="11"/>
  <c r="Z278" i="11" s="1"/>
  <c r="AA278" i="11" s="1"/>
  <c r="AT278" i="32" s="1"/>
  <c r="Y277" i="11"/>
  <c r="Z277" i="11" s="1"/>
  <c r="AA277" i="11" s="1"/>
  <c r="AT277" i="32" s="1"/>
  <c r="Y271" i="11"/>
  <c r="Z271" i="11" s="1"/>
  <c r="AA271" i="11" s="1"/>
  <c r="AT271" i="32" s="1"/>
  <c r="Y272" i="11"/>
  <c r="Z272" i="11" s="1"/>
  <c r="AA272" i="11" s="1"/>
  <c r="AT272" i="32" s="1"/>
  <c r="Y253" i="11"/>
  <c r="Z253" i="11" s="1"/>
  <c r="AA253" i="11" s="1"/>
  <c r="AT253" i="32" s="1"/>
  <c r="Y254" i="11"/>
  <c r="Z254" i="11" s="1"/>
  <c r="AA254" i="11" s="1"/>
  <c r="Y274" i="11"/>
  <c r="Z274" i="11" s="1"/>
  <c r="AA274" i="11" s="1"/>
  <c r="AT274" i="32" s="1"/>
  <c r="Y273" i="11"/>
  <c r="Z273" i="11" s="1"/>
  <c r="AA273" i="11" s="1"/>
  <c r="AT273" i="32" s="1"/>
  <c r="Y239" i="11"/>
  <c r="Z239" i="11" s="1"/>
  <c r="AA239" i="11" s="1"/>
  <c r="AT239" i="32" s="1"/>
  <c r="Y240" i="11"/>
  <c r="Z240" i="11" s="1"/>
  <c r="AA240" i="11" s="1"/>
  <c r="AT240" i="32" s="1"/>
  <c r="Y227" i="11"/>
  <c r="Z227" i="11" s="1"/>
  <c r="AA227" i="11" s="1"/>
  <c r="AT227" i="32" s="1"/>
  <c r="Y228" i="11"/>
  <c r="Z228" i="11" s="1"/>
  <c r="AA228" i="11" s="1"/>
  <c r="AT228" i="32" s="1"/>
  <c r="Y259" i="11"/>
  <c r="Z259" i="11" s="1"/>
  <c r="AA259" i="11" s="1"/>
  <c r="Y260" i="11"/>
  <c r="Z260" i="11" s="1"/>
  <c r="AA260" i="11" s="1"/>
  <c r="AT260" i="32" s="1"/>
  <c r="Y268" i="11"/>
  <c r="Z268" i="11" s="1"/>
  <c r="AA268" i="11" s="1"/>
  <c r="AT268" i="32" s="1"/>
  <c r="Y267" i="11"/>
  <c r="Z267" i="11" s="1"/>
  <c r="AA267" i="11" s="1"/>
  <c r="AT267" i="32" s="1"/>
  <c r="Y168" i="11"/>
  <c r="Z168" i="11" s="1"/>
  <c r="AA168" i="11" s="1"/>
  <c r="AT168" i="32" s="1"/>
  <c r="Y258" i="11"/>
  <c r="Z258" i="11" s="1"/>
  <c r="AA258" i="11" s="1"/>
  <c r="AT258" i="32" s="1"/>
  <c r="Y257" i="11"/>
  <c r="Z257" i="11" s="1"/>
  <c r="AA257" i="11" s="1"/>
  <c r="AT257" i="32" s="1"/>
  <c r="Y279" i="11"/>
  <c r="Z279" i="11" s="1"/>
  <c r="AA279" i="11" s="1"/>
  <c r="AT279" i="32" s="1"/>
  <c r="Y280" i="11"/>
  <c r="Z280" i="11" s="1"/>
  <c r="AA280" i="11" s="1"/>
  <c r="AT280" i="32" s="1"/>
  <c r="Y276" i="11"/>
  <c r="Z276" i="11" s="1"/>
  <c r="AA276" i="11" s="1"/>
  <c r="Y275" i="11"/>
  <c r="Z275" i="11" s="1"/>
  <c r="AA275" i="11" s="1"/>
  <c r="Z23" i="11"/>
  <c r="AA23" i="11" s="1"/>
  <c r="AT23" i="32" s="1"/>
  <c r="AA14" i="24" s="1"/>
  <c r="AG14" i="12" s="1"/>
  <c r="W3" i="12"/>
  <c r="W6" i="12"/>
  <c r="W4" i="12"/>
  <c r="W7" i="12"/>
  <c r="W2" i="12"/>
  <c r="W5" i="12"/>
  <c r="S5" i="15"/>
  <c r="S2" i="15"/>
  <c r="S3" i="15"/>
  <c r="S7" i="15"/>
  <c r="S6" i="15"/>
  <c r="S4" i="15"/>
  <c r="S2" i="12"/>
  <c r="S7" i="12"/>
  <c r="S5" i="12"/>
  <c r="S3" i="12"/>
  <c r="S6" i="12"/>
  <c r="S4" i="12"/>
  <c r="R3" i="15"/>
  <c r="R2" i="15"/>
  <c r="R7" i="15"/>
  <c r="R6" i="15"/>
  <c r="R5" i="15"/>
  <c r="R4" i="15"/>
  <c r="R2" i="12"/>
  <c r="R7" i="12"/>
  <c r="R5" i="12"/>
  <c r="R3" i="12"/>
  <c r="R6" i="12"/>
  <c r="R4" i="12"/>
  <c r="Q6" i="12"/>
  <c r="Q3" i="12"/>
  <c r="Q5" i="12"/>
  <c r="Q4" i="12"/>
  <c r="Q2" i="12"/>
  <c r="Q7" i="12"/>
  <c r="P2" i="12"/>
  <c r="P3" i="12"/>
  <c r="P4" i="12"/>
  <c r="P5" i="12"/>
  <c r="P6" i="12"/>
  <c r="P7" i="12"/>
  <c r="AT13" i="10"/>
  <c r="Q5" i="24"/>
  <c r="Q2" i="24"/>
  <c r="Q7" i="24"/>
  <c r="Q6" i="24"/>
  <c r="Q4" i="24"/>
  <c r="Q3" i="24"/>
  <c r="Y124" i="11"/>
  <c r="Z124" i="11" s="1"/>
  <c r="AA124" i="11" s="1"/>
  <c r="AT124" i="32" s="1"/>
  <c r="Y126" i="11"/>
  <c r="Z126" i="11" s="1"/>
  <c r="AA126" i="11" s="1"/>
  <c r="AT126" i="32" s="1"/>
  <c r="Y125" i="11"/>
  <c r="Z125" i="11" s="1"/>
  <c r="AA125" i="11" s="1"/>
  <c r="AT125" i="32" s="1"/>
  <c r="Y139" i="11"/>
  <c r="Z139" i="11" s="1"/>
  <c r="AA139" i="11" s="1"/>
  <c r="AT139" i="32" s="1"/>
  <c r="Y141" i="11"/>
  <c r="Z141" i="11" s="1"/>
  <c r="AA141" i="11" s="1"/>
  <c r="AT141" i="32" s="1"/>
  <c r="Y73" i="11"/>
  <c r="Z73" i="11" s="1"/>
  <c r="AA73" i="11" s="1"/>
  <c r="AT73" i="32" s="1"/>
  <c r="Y72" i="11"/>
  <c r="Z72" i="11" s="1"/>
  <c r="AA72" i="11" s="1"/>
  <c r="AT72" i="32" s="1"/>
  <c r="Y179" i="11"/>
  <c r="Z179" i="11" s="1"/>
  <c r="AA179" i="11" s="1"/>
  <c r="AT179" i="32" s="1"/>
  <c r="Y178" i="11"/>
  <c r="Z178" i="11" s="1"/>
  <c r="AA178" i="11" s="1"/>
  <c r="AT178" i="32" s="1"/>
  <c r="Y74" i="11"/>
  <c r="Z74" i="11" s="1"/>
  <c r="AA74" i="11" s="1"/>
  <c r="AT74" i="32" s="1"/>
  <c r="Y177" i="11"/>
  <c r="Z177" i="11" s="1"/>
  <c r="AA177" i="11" s="1"/>
  <c r="AT177" i="32" s="1"/>
  <c r="Y131" i="11"/>
  <c r="Z131" i="11" s="1"/>
  <c r="AA131" i="11" s="1"/>
  <c r="AT131" i="32" s="1"/>
  <c r="Y132" i="11"/>
  <c r="Z132" i="11" s="1"/>
  <c r="AA132" i="11" s="1"/>
  <c r="AT132" i="32" s="1"/>
  <c r="Y130" i="11"/>
  <c r="Z130" i="11" s="1"/>
  <c r="AA130" i="11" s="1"/>
  <c r="Y546" i="11"/>
  <c r="Y545" i="11"/>
  <c r="Y544" i="11"/>
  <c r="Y359" i="11"/>
  <c r="Z359" i="11" s="1"/>
  <c r="AA359" i="11" s="1"/>
  <c r="AT359" i="32" s="1"/>
  <c r="Y358" i="11"/>
  <c r="Z358" i="11" s="1"/>
  <c r="AA358" i="11" s="1"/>
  <c r="AT358" i="32" s="1"/>
  <c r="Y360" i="11"/>
  <c r="Z360" i="11" s="1"/>
  <c r="AA360" i="11" s="1"/>
  <c r="AT360" i="32" s="1"/>
  <c r="Y82" i="11"/>
  <c r="Z82" i="11" s="1"/>
  <c r="AA82" i="11" s="1"/>
  <c r="AT82" i="32" s="1"/>
  <c r="Y188" i="11"/>
  <c r="Z188" i="11" s="1"/>
  <c r="AA188" i="11" s="1"/>
  <c r="AT188" i="32" s="1"/>
  <c r="Y187" i="11"/>
  <c r="Z187" i="11" s="1"/>
  <c r="AA187" i="11" s="1"/>
  <c r="AT187" i="32" s="1"/>
  <c r="Y81" i="11"/>
  <c r="Z81" i="11" s="1"/>
  <c r="AA81" i="11" s="1"/>
  <c r="Y186" i="11"/>
  <c r="Z186" i="11" s="1"/>
  <c r="AA186" i="11" s="1"/>
  <c r="AT186" i="32" s="1"/>
  <c r="Y145" i="11"/>
  <c r="Z145" i="11" s="1"/>
  <c r="AA145" i="11" s="1"/>
  <c r="AT145" i="32" s="1"/>
  <c r="Y147" i="11"/>
  <c r="Z147" i="11" s="1"/>
  <c r="AA147" i="11" s="1"/>
  <c r="Y146" i="11"/>
  <c r="Z146" i="11" s="1"/>
  <c r="AA146" i="11" s="1"/>
  <c r="AT146" i="32" s="1"/>
  <c r="Y75" i="11"/>
  <c r="Z75" i="11" s="1"/>
  <c r="AA75" i="11" s="1"/>
  <c r="AT75" i="32" s="1"/>
  <c r="Y77" i="11"/>
  <c r="Z77" i="11" s="1"/>
  <c r="AA77" i="11" s="1"/>
  <c r="AT77" i="32" s="1"/>
  <c r="Y76" i="11"/>
  <c r="Z76" i="11" s="1"/>
  <c r="AA76" i="11" s="1"/>
  <c r="AT76" i="32" s="1"/>
  <c r="Y181" i="11"/>
  <c r="Z181" i="11" s="1"/>
  <c r="AA181" i="11" s="1"/>
  <c r="AT181" i="32" s="1"/>
  <c r="Y182" i="11"/>
  <c r="Z182" i="11" s="1"/>
  <c r="AA182" i="11" s="1"/>
  <c r="AT182" i="32" s="1"/>
  <c r="Y180" i="11"/>
  <c r="Z180" i="11" s="1"/>
  <c r="AA180" i="11" s="1"/>
  <c r="AT180" i="32" s="1"/>
  <c r="Y557" i="11"/>
  <c r="Y372" i="11"/>
  <c r="Z372" i="11" s="1"/>
  <c r="AA372" i="11" s="1"/>
  <c r="Y558" i="11"/>
  <c r="Y370" i="11"/>
  <c r="Z370" i="11" s="1"/>
  <c r="AA370" i="11" s="1"/>
  <c r="Y371" i="11"/>
  <c r="Z371" i="11" s="1"/>
  <c r="AA371" i="11" s="1"/>
  <c r="Y361" i="11"/>
  <c r="Z361" i="11" s="1"/>
  <c r="AA361" i="11" s="1"/>
  <c r="AT361" i="32" s="1"/>
  <c r="Y363" i="11"/>
  <c r="Z363" i="11" s="1"/>
  <c r="AA363" i="11" s="1"/>
  <c r="AT363" i="32" s="1"/>
  <c r="Y362" i="11"/>
  <c r="Z362" i="11" s="1"/>
  <c r="AA362" i="11" s="1"/>
  <c r="AT362" i="32" s="1"/>
  <c r="Y547" i="11"/>
  <c r="Y549" i="11"/>
  <c r="Y548" i="11"/>
  <c r="Y135" i="11"/>
  <c r="Z135" i="11" s="1"/>
  <c r="AA135" i="11" s="1"/>
  <c r="Y133" i="11"/>
  <c r="Z133" i="11" s="1"/>
  <c r="AA133" i="11" s="1"/>
  <c r="AT133" i="32" s="1"/>
  <c r="Y134" i="11"/>
  <c r="Z134" i="11" s="1"/>
  <c r="AA134" i="11" s="1"/>
  <c r="AT134" i="32" s="1"/>
  <c r="Y65" i="11"/>
  <c r="Z65" i="11" s="1"/>
  <c r="AA65" i="11" s="1"/>
  <c r="AT65" i="32" s="1"/>
  <c r="Y170" i="11"/>
  <c r="Z170" i="11" s="1"/>
  <c r="AA170" i="11" s="1"/>
  <c r="AT170" i="32" s="1"/>
  <c r="Y169" i="11"/>
  <c r="Z169" i="11" s="1"/>
  <c r="AA169" i="11" s="1"/>
  <c r="AT169" i="32" s="1"/>
  <c r="Y63" i="11"/>
  <c r="Z63" i="11" s="1"/>
  <c r="AA63" i="11" s="1"/>
  <c r="AT63" i="32" s="1"/>
  <c r="Y64" i="11"/>
  <c r="Z64" i="11" s="1"/>
  <c r="AA64" i="11" s="1"/>
  <c r="AT64" i="32" s="1"/>
  <c r="Y541" i="11"/>
  <c r="Y542" i="11"/>
  <c r="Y355" i="11"/>
  <c r="Z355" i="11" s="1"/>
  <c r="AA355" i="11" s="1"/>
  <c r="AT355" i="32" s="1"/>
  <c r="Y357" i="11"/>
  <c r="Z357" i="11" s="1"/>
  <c r="AA357" i="11" s="1"/>
  <c r="AT357" i="32" s="1"/>
  <c r="Y356" i="11"/>
  <c r="Z356" i="11" s="1"/>
  <c r="AA356" i="11" s="1"/>
  <c r="AT356" i="32" s="1"/>
  <c r="Y543" i="11"/>
  <c r="Y175" i="11"/>
  <c r="Z175" i="11" s="1"/>
  <c r="AA175" i="11" s="1"/>
  <c r="AT175" i="32" s="1"/>
  <c r="Y174" i="11"/>
  <c r="Z174" i="11" s="1"/>
  <c r="AA174" i="11" s="1"/>
  <c r="AT174" i="32" s="1"/>
  <c r="Y70" i="11"/>
  <c r="Z70" i="11" s="1"/>
  <c r="AA70" i="11" s="1"/>
  <c r="AT70" i="32" s="1"/>
  <c r="Y69" i="11"/>
  <c r="Z69" i="11" s="1"/>
  <c r="AA69" i="11" s="1"/>
  <c r="AT69" i="32" s="1"/>
  <c r="Y71" i="11"/>
  <c r="Z71" i="11" s="1"/>
  <c r="AA71" i="11" s="1"/>
  <c r="AT71" i="32" s="1"/>
  <c r="Y176" i="11"/>
  <c r="Z176" i="11" s="1"/>
  <c r="AA176" i="11" s="1"/>
  <c r="AT176" i="32" s="1"/>
  <c r="Y138" i="11"/>
  <c r="Z138" i="11" s="1"/>
  <c r="AA138" i="11" s="1"/>
  <c r="AT138" i="32" s="1"/>
  <c r="Y136" i="11"/>
  <c r="Z136" i="11" s="1"/>
  <c r="AA136" i="11" s="1"/>
  <c r="AT136" i="32" s="1"/>
  <c r="Y137" i="11"/>
  <c r="Z137" i="11" s="1"/>
  <c r="AA137" i="11" s="1"/>
  <c r="AT137" i="32" s="1"/>
  <c r="Y95" i="11"/>
  <c r="Z95" i="11" s="1"/>
  <c r="AA95" i="11" s="1"/>
  <c r="AT95" i="32" s="1"/>
  <c r="Y200" i="11"/>
  <c r="Z200" i="11" s="1"/>
  <c r="AA200" i="11" s="1"/>
  <c r="AT200" i="32" s="1"/>
  <c r="Y94" i="11"/>
  <c r="Z94" i="11" s="1"/>
  <c r="AA94" i="11" s="1"/>
  <c r="AT94" i="32" s="1"/>
  <c r="Y199" i="11"/>
  <c r="Z199" i="11" s="1"/>
  <c r="AA199" i="11" s="1"/>
  <c r="AT199" i="32" s="1"/>
  <c r="Y93" i="11"/>
  <c r="Z93" i="11" s="1"/>
  <c r="AA93" i="11" s="1"/>
  <c r="AT93" i="32" s="1"/>
  <c r="Y198" i="11"/>
  <c r="Z198" i="11" s="1"/>
  <c r="AA198" i="11" s="1"/>
  <c r="AT198" i="32" s="1"/>
  <c r="Y191" i="11"/>
  <c r="Z191" i="11" s="1"/>
  <c r="AA191" i="11" s="1"/>
  <c r="AT191" i="32" s="1"/>
  <c r="Y190" i="11"/>
  <c r="Z190" i="11" s="1"/>
  <c r="AA190" i="11" s="1"/>
  <c r="AT190" i="32" s="1"/>
  <c r="Y86" i="11"/>
  <c r="Z86" i="11" s="1"/>
  <c r="AA86" i="11" s="1"/>
  <c r="AT86" i="32" s="1"/>
  <c r="Y85" i="11"/>
  <c r="Z85" i="11" s="1"/>
  <c r="AA85" i="11" s="1"/>
  <c r="AT85" i="32" s="1"/>
  <c r="Y189" i="11"/>
  <c r="Z189" i="11" s="1"/>
  <c r="AA189" i="11" s="1"/>
  <c r="AT189" i="32" s="1"/>
  <c r="Y84" i="11"/>
  <c r="Z84" i="11" s="1"/>
  <c r="AA84" i="11" s="1"/>
  <c r="AT84" i="32" s="1"/>
  <c r="Y163" i="11"/>
  <c r="Z163" i="11" s="1"/>
  <c r="AA163" i="11" s="1"/>
  <c r="AT163" i="32" s="1"/>
  <c r="Y164" i="11"/>
  <c r="Z164" i="11" s="1"/>
  <c r="AA164" i="11" s="1"/>
  <c r="AT164" i="32" s="1"/>
  <c r="Y539" i="11"/>
  <c r="Y352" i="11"/>
  <c r="Z352" i="11" s="1"/>
  <c r="AA352" i="11" s="1"/>
  <c r="AT352" i="32" s="1"/>
  <c r="Y538" i="11"/>
  <c r="Y354" i="11"/>
  <c r="Z354" i="11" s="1"/>
  <c r="AA354" i="11" s="1"/>
  <c r="AT354" i="32" s="1"/>
  <c r="Y540" i="11"/>
  <c r="Y353" i="11"/>
  <c r="Z353" i="11" s="1"/>
  <c r="AA353" i="11" s="1"/>
  <c r="AT353" i="32" s="1"/>
  <c r="Y351" i="11"/>
  <c r="Z351" i="11" s="1"/>
  <c r="AA351" i="11" s="1"/>
  <c r="AT351" i="32" s="1"/>
  <c r="Y537" i="11"/>
  <c r="Y350" i="11"/>
  <c r="Z350" i="11" s="1"/>
  <c r="AA350" i="11" s="1"/>
  <c r="AT350" i="32" s="1"/>
  <c r="Y349" i="11"/>
  <c r="Z349" i="11" s="1"/>
  <c r="AA349" i="11" s="1"/>
  <c r="Y535" i="11"/>
  <c r="Y536" i="11"/>
  <c r="Y555" i="11"/>
  <c r="Y368" i="11"/>
  <c r="Z368" i="11" s="1"/>
  <c r="AA368" i="11" s="1"/>
  <c r="AT368" i="32" s="1"/>
  <c r="Y554" i="11"/>
  <c r="Y367" i="11"/>
  <c r="Z367" i="11" s="1"/>
  <c r="AA367" i="11" s="1"/>
  <c r="AT367" i="32" s="1"/>
  <c r="Y553" i="11"/>
  <c r="Y369" i="11"/>
  <c r="Z369" i="11" s="1"/>
  <c r="AA369" i="11" s="1"/>
  <c r="AT369" i="32" s="1"/>
  <c r="Y87" i="11"/>
  <c r="Z87" i="11" s="1"/>
  <c r="AA87" i="11" s="1"/>
  <c r="AT87" i="32" s="1"/>
  <c r="Y193" i="11"/>
  <c r="Z193" i="11" s="1"/>
  <c r="AA193" i="11" s="1"/>
  <c r="AT193" i="32" s="1"/>
  <c r="Y88" i="11"/>
  <c r="Z88" i="11" s="1"/>
  <c r="AA88" i="11" s="1"/>
  <c r="AT88" i="32" s="1"/>
  <c r="Y194" i="11"/>
  <c r="Z194" i="11" s="1"/>
  <c r="AA194" i="11" s="1"/>
  <c r="AT194" i="32" s="1"/>
  <c r="Y192" i="11"/>
  <c r="Z192" i="11" s="1"/>
  <c r="AA192" i="11" s="1"/>
  <c r="AT192" i="32" s="1"/>
  <c r="Y89" i="11"/>
  <c r="Z89" i="11" s="1"/>
  <c r="AA89" i="11" s="1"/>
  <c r="AT89" i="32" s="1"/>
  <c r="Y66" i="11"/>
  <c r="Z66" i="11" s="1"/>
  <c r="AA66" i="11" s="1"/>
  <c r="AT66" i="32" s="1"/>
  <c r="Y67" i="11"/>
  <c r="Z67" i="11" s="1"/>
  <c r="AA67" i="11" s="1"/>
  <c r="AT67" i="32" s="1"/>
  <c r="Y172" i="11"/>
  <c r="Z172" i="11" s="1"/>
  <c r="AA172" i="11" s="1"/>
  <c r="AT172" i="32" s="1"/>
  <c r="Y173" i="11"/>
  <c r="Z173" i="11" s="1"/>
  <c r="AA173" i="11" s="1"/>
  <c r="AT173" i="32" s="1"/>
  <c r="Y68" i="11"/>
  <c r="Z68" i="11" s="1"/>
  <c r="AA68" i="11" s="1"/>
  <c r="AT68" i="32" s="1"/>
  <c r="Y171" i="11"/>
  <c r="Z171" i="11" s="1"/>
  <c r="AA171" i="11" s="1"/>
  <c r="AT171" i="32" s="1"/>
  <c r="Y143" i="11"/>
  <c r="Z143" i="11" s="1"/>
  <c r="AA143" i="11" s="1"/>
  <c r="AT143" i="32" s="1"/>
  <c r="Y144" i="11"/>
  <c r="Z144" i="11" s="1"/>
  <c r="AA144" i="11" s="1"/>
  <c r="AT144" i="32" s="1"/>
  <c r="Y142" i="11"/>
  <c r="Z142" i="11" s="1"/>
  <c r="AA142" i="11" s="1"/>
  <c r="AT142" i="32" s="1"/>
  <c r="Y79" i="11"/>
  <c r="Z79" i="11" s="1"/>
  <c r="AA79" i="11" s="1"/>
  <c r="AT79" i="32" s="1"/>
  <c r="Y80" i="11"/>
  <c r="Z80" i="11" s="1"/>
  <c r="AA80" i="11" s="1"/>
  <c r="AT80" i="32" s="1"/>
  <c r="Y184" i="11"/>
  <c r="Z184" i="11" s="1"/>
  <c r="AA184" i="11" s="1"/>
  <c r="AT184" i="32" s="1"/>
  <c r="Y78" i="11"/>
  <c r="Z78" i="11" s="1"/>
  <c r="AA78" i="11" s="1"/>
  <c r="Y183" i="11"/>
  <c r="Z183" i="11" s="1"/>
  <c r="AA183" i="11" s="1"/>
  <c r="AT183" i="32" s="1"/>
  <c r="Y185" i="11"/>
  <c r="Z185" i="11" s="1"/>
  <c r="AA185" i="11" s="1"/>
  <c r="AT185" i="32" s="1"/>
  <c r="Y201" i="11"/>
  <c r="Z201" i="11" s="1"/>
  <c r="AA201" i="11" s="1"/>
  <c r="AT201" i="32" s="1"/>
  <c r="Y96" i="11"/>
  <c r="Z96" i="11" s="1"/>
  <c r="AA96" i="11" s="1"/>
  <c r="AT96" i="32" s="1"/>
  <c r="Y202" i="11"/>
  <c r="Z202" i="11" s="1"/>
  <c r="AA202" i="11" s="1"/>
  <c r="AT202" i="32" s="1"/>
  <c r="Y98" i="11"/>
  <c r="Z98" i="11" s="1"/>
  <c r="AA98" i="11" s="1"/>
  <c r="AT98" i="32" s="1"/>
  <c r="Y97" i="11"/>
  <c r="Z97" i="11" s="1"/>
  <c r="AA97" i="11" s="1"/>
  <c r="AT97" i="32" s="1"/>
  <c r="Y203" i="11"/>
  <c r="Z203" i="11" s="1"/>
  <c r="AA203" i="11" s="1"/>
  <c r="AT203" i="32" s="1"/>
  <c r="Y559" i="11"/>
  <c r="Y560" i="11"/>
  <c r="Y373" i="11"/>
  <c r="Z373" i="11" s="1"/>
  <c r="AA373" i="11" s="1"/>
  <c r="Y561" i="11"/>
  <c r="Y374" i="11"/>
  <c r="Z374" i="11" s="1"/>
  <c r="AA374" i="11" s="1"/>
  <c r="Y375" i="11"/>
  <c r="Z375" i="11" s="1"/>
  <c r="AA375" i="11" s="1"/>
  <c r="Y196" i="11"/>
  <c r="Z196" i="11" s="1"/>
  <c r="AA196" i="11" s="1"/>
  <c r="AT196" i="32" s="1"/>
  <c r="Y90" i="11"/>
  <c r="Z90" i="11" s="1"/>
  <c r="AA90" i="11" s="1"/>
  <c r="AT90" i="32" s="1"/>
  <c r="Y91" i="11"/>
  <c r="Z91" i="11" s="1"/>
  <c r="AA91" i="11" s="1"/>
  <c r="AT91" i="32" s="1"/>
  <c r="Y195" i="11"/>
  <c r="Z195" i="11" s="1"/>
  <c r="AA195" i="11" s="1"/>
  <c r="AT195" i="32" s="1"/>
  <c r="Y92" i="11"/>
  <c r="Z92" i="11" s="1"/>
  <c r="AA92" i="11" s="1"/>
  <c r="AT92" i="32" s="1"/>
  <c r="Y197" i="11"/>
  <c r="Z197" i="11" s="1"/>
  <c r="AA197" i="11" s="1"/>
  <c r="AT197" i="32" s="1"/>
  <c r="Y60" i="11"/>
  <c r="Z60" i="11" s="1"/>
  <c r="AA60" i="11" s="1"/>
  <c r="AT60" i="32" s="1"/>
  <c r="Y59" i="11"/>
  <c r="Z59" i="11" s="1"/>
  <c r="AA59" i="11" s="1"/>
  <c r="AT59" i="32" s="1"/>
  <c r="Y58" i="11"/>
  <c r="Z58" i="11" s="1"/>
  <c r="AA58" i="11" s="1"/>
  <c r="AT58" i="32" s="1"/>
  <c r="Y38" i="11"/>
  <c r="Z38" i="11" s="1"/>
  <c r="AA38" i="11" s="1"/>
  <c r="AT38" i="32" s="1"/>
  <c r="Y37" i="11"/>
  <c r="Z37" i="11" s="1"/>
  <c r="AA37" i="11" s="1"/>
  <c r="AT37" i="32" s="1"/>
  <c r="Y35" i="11"/>
  <c r="Z35" i="11" s="1"/>
  <c r="AA35" i="11" s="1"/>
  <c r="AT35" i="32" s="1"/>
  <c r="Y34" i="11"/>
  <c r="Z34" i="11" s="1"/>
  <c r="AA34" i="11" s="1"/>
  <c r="AT34" i="32" s="1"/>
  <c r="Y41" i="11"/>
  <c r="Z41" i="11" s="1"/>
  <c r="AA41" i="11" s="1"/>
  <c r="AT41" i="32" s="1"/>
  <c r="Y40" i="11"/>
  <c r="Z40" i="11" s="1"/>
  <c r="AA40" i="11" s="1"/>
  <c r="AT40" i="32" s="1"/>
  <c r="Y42" i="11"/>
  <c r="Z42" i="11" s="1"/>
  <c r="AA42" i="11" s="1"/>
  <c r="AT42" i="32" s="1"/>
  <c r="B35" i="9"/>
  <c r="B35" i="7"/>
  <c r="B36" i="3"/>
  <c r="B35" i="4"/>
  <c r="B32" i="1"/>
  <c r="B31" i="15"/>
  <c r="B31" i="29"/>
  <c r="B31" i="24"/>
  <c r="Y30" i="11"/>
  <c r="Z30" i="11" s="1"/>
  <c r="AA30" i="11" s="1"/>
  <c r="AT30" i="32" s="1"/>
  <c r="Y29" i="11"/>
  <c r="Z29" i="11" s="1"/>
  <c r="AA29" i="11" s="1"/>
  <c r="AT29" i="32" s="1"/>
  <c r="Y28" i="11"/>
  <c r="Z28" i="11" s="1"/>
  <c r="AA28" i="11" s="1"/>
  <c r="AT28" i="32" s="1"/>
  <c r="Y19" i="11"/>
  <c r="Z19" i="11" s="1"/>
  <c r="AA19" i="11" s="1"/>
  <c r="AT19" i="32" s="1"/>
  <c r="Y21" i="11"/>
  <c r="Z21" i="11" s="1"/>
  <c r="AA21" i="11" s="1"/>
  <c r="AT21" i="32" s="1"/>
  <c r="Y26" i="11"/>
  <c r="Z26" i="11" s="1"/>
  <c r="AA26" i="11" s="1"/>
  <c r="AT26" i="32" s="1"/>
  <c r="Y25" i="11"/>
  <c r="Z25" i="11" s="1"/>
  <c r="AA25" i="11" s="1"/>
  <c r="AT25" i="32" s="1"/>
  <c r="Y27" i="11"/>
  <c r="Z27" i="11" s="1"/>
  <c r="AA27" i="11" s="1"/>
  <c r="AT27" i="32" s="1"/>
  <c r="Y33" i="11"/>
  <c r="Z33" i="11" s="1"/>
  <c r="AA33" i="11" s="1"/>
  <c r="AT33" i="32" s="1"/>
  <c r="Y32" i="11"/>
  <c r="Z32" i="11" s="1"/>
  <c r="AA32" i="11" s="1"/>
  <c r="AT32" i="32" s="1"/>
  <c r="Y31" i="11"/>
  <c r="Z31" i="11" s="1"/>
  <c r="AA31" i="11" s="1"/>
  <c r="AT31" i="32" s="1"/>
  <c r="R123" i="4"/>
  <c r="R31" i="9"/>
  <c r="N7" i="12"/>
  <c r="R40" i="9"/>
  <c r="N3" i="12"/>
  <c r="N5" i="12"/>
  <c r="N4" i="12"/>
  <c r="N2" i="12"/>
  <c r="R32" i="9"/>
  <c r="R38" i="9"/>
  <c r="R35" i="9"/>
  <c r="R33" i="9"/>
  <c r="R34" i="9"/>
  <c r="R39" i="9"/>
  <c r="R37" i="9"/>
  <c r="R123" i="9"/>
  <c r="R36" i="9"/>
  <c r="AA29" i="29" l="1"/>
  <c r="AA152" i="24"/>
  <c r="AG152" i="12" s="1"/>
  <c r="AA148" i="24"/>
  <c r="AG148" i="12" s="1"/>
  <c r="AA153" i="24"/>
  <c r="AG153" i="12" s="1"/>
  <c r="AA147" i="24"/>
  <c r="AG147" i="12" s="1"/>
  <c r="AA145" i="24"/>
  <c r="AG145" i="12" s="1"/>
  <c r="AA149" i="24"/>
  <c r="AG149" i="12" s="1"/>
  <c r="AA135" i="24"/>
  <c r="AG135" i="12" s="1"/>
  <c r="AA134" i="24"/>
  <c r="AG134" i="12" s="1"/>
  <c r="AA132" i="24"/>
  <c r="AG132" i="12" s="1"/>
  <c r="AA150" i="24"/>
  <c r="AG150" i="12" s="1"/>
  <c r="AA146" i="24"/>
  <c r="AG146" i="12" s="1"/>
  <c r="AA142" i="24"/>
  <c r="AG142" i="12" s="1"/>
  <c r="AA19" i="24"/>
  <c r="AG19" i="12" s="1"/>
  <c r="AA143" i="24"/>
  <c r="AG143" i="12" s="1"/>
  <c r="AA28" i="24"/>
  <c r="AG28" i="12" s="1"/>
  <c r="AA38" i="24"/>
  <c r="AG38" i="12" s="1"/>
  <c r="AA16" i="24"/>
  <c r="AG16" i="12" s="1"/>
  <c r="AA37" i="24"/>
  <c r="AG37" i="12" s="1"/>
  <c r="AA13" i="24"/>
  <c r="AG13" i="12" s="1"/>
  <c r="AA17" i="24"/>
  <c r="AG17" i="12" s="1"/>
  <c r="AA18" i="24"/>
  <c r="AG18" i="12" s="1"/>
  <c r="AA151" i="24"/>
  <c r="AG151" i="12" s="1"/>
  <c r="AA33" i="24"/>
  <c r="AG33" i="12" s="1"/>
  <c r="AA141" i="24"/>
  <c r="AG141" i="12" s="1"/>
  <c r="AA32" i="24"/>
  <c r="AG32" i="12" s="1"/>
  <c r="AA30" i="24"/>
  <c r="AG30" i="12" s="1"/>
  <c r="AA35" i="24"/>
  <c r="AG35" i="12" s="1"/>
  <c r="AA20" i="24"/>
  <c r="AG20" i="12" s="1"/>
  <c r="AA27" i="24"/>
  <c r="AG27" i="12" s="1"/>
  <c r="AA36" i="24"/>
  <c r="AG36" i="12" s="1"/>
  <c r="AA34" i="24"/>
  <c r="AG34" i="12" s="1"/>
  <c r="AA29" i="24"/>
  <c r="AG29" i="12" s="1"/>
  <c r="AA15" i="24"/>
  <c r="AG15" i="12" s="1"/>
  <c r="AA26" i="24"/>
  <c r="AG26" i="12" s="1"/>
  <c r="AA128" i="24"/>
  <c r="AG128" i="12" s="1"/>
  <c r="AA31" i="24"/>
  <c r="AG31" i="12" s="1"/>
  <c r="Y715" i="11"/>
  <c r="Z715" i="11" s="1"/>
  <c r="AA715" i="11" s="1"/>
  <c r="AT715" i="10" s="1"/>
  <c r="Y714" i="11"/>
  <c r="Z714" i="11" s="1"/>
  <c r="AA714" i="11" s="1"/>
  <c r="AT714" i="10" s="1"/>
  <c r="Y713" i="11"/>
  <c r="Z713" i="11" s="1"/>
  <c r="AA713" i="11" s="1"/>
  <c r="AT98" i="10"/>
  <c r="AT86" i="10"/>
  <c r="AT174" i="10"/>
  <c r="AT75" i="10"/>
  <c r="AT132" i="10"/>
  <c r="AT240" i="10"/>
  <c r="AT232" i="10"/>
  <c r="AT705" i="10"/>
  <c r="AT19" i="10"/>
  <c r="AT60" i="10"/>
  <c r="AT202" i="10"/>
  <c r="AT67" i="10"/>
  <c r="AT349" i="10"/>
  <c r="AT190" i="10"/>
  <c r="AT175" i="10"/>
  <c r="AT146" i="10"/>
  <c r="AT131" i="10"/>
  <c r="AT239" i="10"/>
  <c r="AT231" i="10"/>
  <c r="AT704" i="10"/>
  <c r="AT147" i="10"/>
  <c r="AT362" i="10"/>
  <c r="AT93" i="10"/>
  <c r="AT276" i="10"/>
  <c r="AT254" i="10"/>
  <c r="AT264" i="10"/>
  <c r="AT706" i="10"/>
  <c r="AT191" i="10"/>
  <c r="AT89" i="10"/>
  <c r="AT199" i="10"/>
  <c r="AT355" i="10"/>
  <c r="AT361" i="10"/>
  <c r="AT81" i="10"/>
  <c r="AT179" i="10"/>
  <c r="AT280" i="10"/>
  <c r="AT253" i="10"/>
  <c r="AT263" i="10"/>
  <c r="AT707" i="10"/>
  <c r="AT192" i="10"/>
  <c r="AT72" i="10"/>
  <c r="AT279" i="10"/>
  <c r="AT272" i="10"/>
  <c r="AT242" i="10"/>
  <c r="AT709" i="10"/>
  <c r="AT172" i="10"/>
  <c r="AT88" i="10"/>
  <c r="AT193" i="10"/>
  <c r="AT354" i="10"/>
  <c r="AT200" i="10"/>
  <c r="AT370" i="10"/>
  <c r="AT188" i="10"/>
  <c r="AT73" i="10"/>
  <c r="AT257" i="10"/>
  <c r="AT271" i="10"/>
  <c r="AT241" i="10"/>
  <c r="AT708" i="10"/>
  <c r="AT350" i="10"/>
  <c r="AT23" i="10"/>
  <c r="AT74" i="10"/>
  <c r="AT178" i="10"/>
  <c r="AT194" i="10"/>
  <c r="AT94" i="10"/>
  <c r="AT184" i="10"/>
  <c r="AT42" i="10"/>
  <c r="AT375" i="10"/>
  <c r="AT80" i="10"/>
  <c r="AT87" i="10"/>
  <c r="AT95" i="10"/>
  <c r="AT64" i="10"/>
  <c r="AT82" i="10"/>
  <c r="AT141" i="10"/>
  <c r="AT258" i="10"/>
  <c r="AT277" i="10"/>
  <c r="AT269" i="10"/>
  <c r="AT197" i="10"/>
  <c r="AT711" i="10"/>
  <c r="AT198" i="10"/>
  <c r="AT195" i="10"/>
  <c r="AT183" i="10"/>
  <c r="AT78" i="10"/>
  <c r="AT371" i="10"/>
  <c r="AT196" i="10"/>
  <c r="AT40" i="10"/>
  <c r="AT374" i="10"/>
  <c r="AT79" i="10"/>
  <c r="AT369" i="10"/>
  <c r="AT352" i="10"/>
  <c r="AT137" i="10"/>
  <c r="AT63" i="10"/>
  <c r="AT372" i="10"/>
  <c r="AT360" i="10"/>
  <c r="AT139" i="10"/>
  <c r="AT168" i="10"/>
  <c r="AT278" i="10"/>
  <c r="AT270" i="10"/>
  <c r="AT66" i="10"/>
  <c r="AT265" i="10"/>
  <c r="AT356" i="10"/>
  <c r="AT266" i="10"/>
  <c r="AT357" i="10"/>
  <c r="AT91" i="10"/>
  <c r="AT90" i="10"/>
  <c r="AT31" i="10"/>
  <c r="AT41" i="10"/>
  <c r="AT142" i="10"/>
  <c r="AT136" i="10"/>
  <c r="AT169" i="10"/>
  <c r="AT358" i="10"/>
  <c r="AT125" i="10"/>
  <c r="AT267" i="10"/>
  <c r="AT235" i="10"/>
  <c r="AT719" i="10"/>
  <c r="AT28" i="10"/>
  <c r="AT96" i="10"/>
  <c r="AT177" i="10"/>
  <c r="AT29" i="10"/>
  <c r="AT274" i="10"/>
  <c r="AT30" i="10"/>
  <c r="AT186" i="10"/>
  <c r="AT353" i="10"/>
  <c r="AT187" i="10"/>
  <c r="AT32" i="10"/>
  <c r="AT34" i="10"/>
  <c r="AT373" i="10"/>
  <c r="AT144" i="10"/>
  <c r="AT367" i="10"/>
  <c r="AT164" i="10"/>
  <c r="AT138" i="10"/>
  <c r="AT170" i="10"/>
  <c r="AT180" i="10"/>
  <c r="AT359" i="10"/>
  <c r="AT126" i="10"/>
  <c r="AT268" i="10"/>
  <c r="AT236" i="10"/>
  <c r="AT718" i="10"/>
  <c r="AT710" i="10"/>
  <c r="AT363" i="10"/>
  <c r="AT33" i="10"/>
  <c r="AT35" i="10"/>
  <c r="AT143" i="10"/>
  <c r="AT163" i="10"/>
  <c r="AT176" i="10"/>
  <c r="AT65" i="10"/>
  <c r="AT182" i="10"/>
  <c r="AT124" i="10"/>
  <c r="AT260" i="10"/>
  <c r="AT262" i="10"/>
  <c r="AT702" i="10"/>
  <c r="AT92" i="10"/>
  <c r="AT71" i="10"/>
  <c r="AT259" i="10"/>
  <c r="AT261" i="10"/>
  <c r="AT703" i="10"/>
  <c r="AT21" i="10"/>
  <c r="AT273" i="10"/>
  <c r="AT201" i="10"/>
  <c r="AT275" i="10"/>
  <c r="AT351" i="10"/>
  <c r="AT171" i="10"/>
  <c r="AT84" i="10"/>
  <c r="AT134" i="10"/>
  <c r="AT25" i="10"/>
  <c r="AT38" i="10"/>
  <c r="AT203" i="10"/>
  <c r="AT68" i="10"/>
  <c r="AT189" i="10"/>
  <c r="AT69" i="10"/>
  <c r="AT133" i="10"/>
  <c r="AT76" i="10"/>
  <c r="AT228" i="10"/>
  <c r="AT233" i="10"/>
  <c r="AT716" i="10"/>
  <c r="AT59" i="10"/>
  <c r="AT145" i="10"/>
  <c r="AT185" i="10"/>
  <c r="AT27" i="10"/>
  <c r="AT37" i="10"/>
  <c r="AT368" i="10"/>
  <c r="AT181" i="10"/>
  <c r="AT26" i="10"/>
  <c r="AT58" i="10"/>
  <c r="AT97" i="10"/>
  <c r="AT173" i="10"/>
  <c r="AT85" i="10"/>
  <c r="AT70" i="10"/>
  <c r="AT135" i="10"/>
  <c r="AT77" i="10"/>
  <c r="AT130" i="10"/>
  <c r="AT227" i="10"/>
  <c r="AT717" i="10"/>
  <c r="Y712" i="11"/>
  <c r="Z712" i="11" s="1"/>
  <c r="AA712" i="11" s="1"/>
  <c r="AT712" i="32" s="1"/>
  <c r="Z546" i="11"/>
  <c r="AA546" i="11" s="1"/>
  <c r="AT546" i="32" s="1"/>
  <c r="Z543" i="11"/>
  <c r="AA543" i="11" s="1"/>
  <c r="AT543" i="32" s="1"/>
  <c r="Z537" i="11"/>
  <c r="AA537" i="11" s="1"/>
  <c r="AT537" i="32" s="1"/>
  <c r="Z547" i="11"/>
  <c r="AA547" i="11" s="1"/>
  <c r="AT547" i="32" s="1"/>
  <c r="Z559" i="11"/>
  <c r="AA559" i="11" s="1"/>
  <c r="Z544" i="11"/>
  <c r="AA544" i="11" s="1"/>
  <c r="Z540" i="11"/>
  <c r="AA540" i="11" s="1"/>
  <c r="AT540" i="32" s="1"/>
  <c r="Z542" i="11"/>
  <c r="AA542" i="11" s="1"/>
  <c r="AT542" i="32" s="1"/>
  <c r="Z560" i="11"/>
  <c r="AA560" i="11" s="1"/>
  <c r="Z535" i="11"/>
  <c r="AA535" i="11" s="1"/>
  <c r="AT535" i="32" s="1"/>
  <c r="Z538" i="11"/>
  <c r="AA538" i="11" s="1"/>
  <c r="AT538" i="32" s="1"/>
  <c r="Z558" i="11"/>
  <c r="AA558" i="11" s="1"/>
  <c r="Z555" i="11"/>
  <c r="AA555" i="11" s="1"/>
  <c r="AT555" i="32" s="1"/>
  <c r="Z545" i="11"/>
  <c r="AA545" i="11" s="1"/>
  <c r="AT545" i="32" s="1"/>
  <c r="Z548" i="11"/>
  <c r="AA548" i="11" s="1"/>
  <c r="Z561" i="11"/>
  <c r="AA561" i="11" s="1"/>
  <c r="Z553" i="11"/>
  <c r="AA553" i="11" s="1"/>
  <c r="AT553" i="32" s="1"/>
  <c r="Z539" i="11"/>
  <c r="AA539" i="11" s="1"/>
  <c r="AT539" i="32" s="1"/>
  <c r="Z554" i="11"/>
  <c r="AA554" i="11" s="1"/>
  <c r="Z536" i="11"/>
  <c r="AA536" i="11" s="1"/>
  <c r="Z549" i="11"/>
  <c r="AA549" i="11" s="1"/>
  <c r="AT549" i="32" s="1"/>
  <c r="Z541" i="11"/>
  <c r="AA541" i="11" s="1"/>
  <c r="AT541" i="32" s="1"/>
  <c r="Z557" i="11"/>
  <c r="AA557" i="11" s="1"/>
  <c r="Y246" i="11"/>
  <c r="Z246" i="11" s="1"/>
  <c r="AA246" i="11" s="1"/>
  <c r="AT246" i="32" s="1"/>
  <c r="Y245" i="11"/>
  <c r="Z245" i="11" s="1"/>
  <c r="AA245" i="11" s="1"/>
  <c r="AT245" i="32" s="1"/>
  <c r="Y243" i="11"/>
  <c r="Z243" i="11" s="1"/>
  <c r="AA243" i="11" s="1"/>
  <c r="AT243" i="32" s="1"/>
  <c r="Y244" i="11"/>
  <c r="Z244" i="11" s="1"/>
  <c r="AA244" i="11" s="1"/>
  <c r="AT244" i="32" s="1"/>
  <c r="Y250" i="11"/>
  <c r="Z250" i="11" s="1"/>
  <c r="AA250" i="11" s="1"/>
  <c r="AT250" i="32" s="1"/>
  <c r="Y249" i="11"/>
  <c r="Z249" i="11" s="1"/>
  <c r="AA249" i="11" s="1"/>
  <c r="AT249" i="32" s="1"/>
  <c r="Y252" i="11"/>
  <c r="Z252" i="11" s="1"/>
  <c r="AA252" i="11" s="1"/>
  <c r="AT252" i="32" s="1"/>
  <c r="Y251" i="11"/>
  <c r="Z251" i="11" s="1"/>
  <c r="AA251" i="11" s="1"/>
  <c r="AT251" i="32" s="1"/>
  <c r="Y247" i="11"/>
  <c r="Z247" i="11" s="1"/>
  <c r="AA247" i="11" s="1"/>
  <c r="Y248" i="11"/>
  <c r="Z248" i="11" s="1"/>
  <c r="AA248" i="11" s="1"/>
  <c r="AT248" i="32" s="1"/>
  <c r="AC5" i="12"/>
  <c r="AC2" i="12"/>
  <c r="AC7" i="12"/>
  <c r="AC4" i="12"/>
  <c r="AC6" i="12"/>
  <c r="AC3" i="12"/>
  <c r="V2" i="12"/>
  <c r="V5" i="12"/>
  <c r="V3" i="12"/>
  <c r="V6" i="12"/>
  <c r="V4" i="12"/>
  <c r="V7" i="12"/>
  <c r="X3" i="12"/>
  <c r="X2" i="12"/>
  <c r="X7" i="12"/>
  <c r="X5" i="12"/>
  <c r="X6" i="12"/>
  <c r="X4" i="12"/>
  <c r="R7" i="24"/>
  <c r="R6" i="24"/>
  <c r="R3" i="24"/>
  <c r="R2" i="24"/>
  <c r="R4" i="24"/>
  <c r="R5" i="24"/>
  <c r="P6" i="24"/>
  <c r="P3" i="24"/>
  <c r="P5" i="24"/>
  <c r="P2" i="24"/>
  <c r="P4" i="24"/>
  <c r="P7" i="24"/>
  <c r="W3" i="24"/>
  <c r="W5" i="24"/>
  <c r="W2" i="24"/>
  <c r="W7" i="24"/>
  <c r="W4" i="24"/>
  <c r="W6" i="24"/>
  <c r="Y149" i="11"/>
  <c r="Z149" i="11" s="1"/>
  <c r="AA149" i="11" s="1"/>
  <c r="AT149" i="32" s="1"/>
  <c r="Y148" i="11"/>
  <c r="Z148" i="11" s="1"/>
  <c r="AA148" i="11" s="1"/>
  <c r="AT148" i="32" s="1"/>
  <c r="Y150" i="11"/>
  <c r="Z150" i="11" s="1"/>
  <c r="AA150" i="11" s="1"/>
  <c r="AT150" i="32" s="1"/>
  <c r="Y551" i="11"/>
  <c r="Y552" i="11"/>
  <c r="Y364" i="11"/>
  <c r="Z364" i="11" s="1"/>
  <c r="AA364" i="11" s="1"/>
  <c r="AT364" i="32" s="1"/>
  <c r="Y550" i="11"/>
  <c r="Y365" i="11"/>
  <c r="Z365" i="11" s="1"/>
  <c r="AA365" i="11" s="1"/>
  <c r="AT365" i="32" s="1"/>
  <c r="Y366" i="11"/>
  <c r="Z366" i="11" s="1"/>
  <c r="AA366" i="11" s="1"/>
  <c r="AT366" i="32" s="1"/>
  <c r="Y161" i="11"/>
  <c r="Z161" i="11" s="1"/>
  <c r="AA161" i="11" s="1"/>
  <c r="AT161" i="32" s="1"/>
  <c r="Y160" i="11"/>
  <c r="Z160" i="11" s="1"/>
  <c r="AA160" i="11" s="1"/>
  <c r="AT160" i="32" s="1"/>
  <c r="Y162" i="11"/>
  <c r="Z162" i="11" s="1"/>
  <c r="AA162" i="11" s="1"/>
  <c r="AT162" i="32" s="1"/>
  <c r="Y159" i="11"/>
  <c r="Z159" i="11" s="1"/>
  <c r="AA159" i="11" s="1"/>
  <c r="AT159" i="32" s="1"/>
  <c r="Y157" i="11"/>
  <c r="Z157" i="11" s="1"/>
  <c r="AA157" i="11" s="1"/>
  <c r="AT157" i="32" s="1"/>
  <c r="Y158" i="11"/>
  <c r="Z158" i="11" s="1"/>
  <c r="AA158" i="11" s="1"/>
  <c r="AT158" i="32" s="1"/>
  <c r="Y152" i="11"/>
  <c r="Z152" i="11" s="1"/>
  <c r="AA152" i="11" s="1"/>
  <c r="AT152" i="32" s="1"/>
  <c r="Y151" i="11"/>
  <c r="Z151" i="11" s="1"/>
  <c r="AA151" i="11" s="1"/>
  <c r="AT151" i="32" s="1"/>
  <c r="Y153" i="11"/>
  <c r="Z153" i="11" s="1"/>
  <c r="AA153" i="11" s="1"/>
  <c r="AT153" i="32" s="1"/>
  <c r="Y154" i="11"/>
  <c r="Z154" i="11" s="1"/>
  <c r="AA154" i="11" s="1"/>
  <c r="AT154" i="32" s="1"/>
  <c r="Y156" i="11"/>
  <c r="Z156" i="11" s="1"/>
  <c r="AA156" i="11" s="1"/>
  <c r="AT156" i="32" s="1"/>
  <c r="Y155" i="11"/>
  <c r="Z155" i="11" s="1"/>
  <c r="AA155" i="11" s="1"/>
  <c r="AT155" i="32" s="1"/>
  <c r="Y57" i="11"/>
  <c r="Z57" i="11" s="1"/>
  <c r="AA57" i="11" s="1"/>
  <c r="AT57" i="32" s="1"/>
  <c r="Y49" i="11"/>
  <c r="Z49" i="11" s="1"/>
  <c r="AA49" i="11" s="1"/>
  <c r="AT49" i="32" s="1"/>
  <c r="B36" i="9"/>
  <c r="B36" i="7"/>
  <c r="B37" i="3"/>
  <c r="B36" i="4"/>
  <c r="B33" i="1"/>
  <c r="B32" i="15"/>
  <c r="B32" i="29"/>
  <c r="B32" i="24"/>
  <c r="Y54" i="11"/>
  <c r="Z54" i="11" s="1"/>
  <c r="AA54" i="11" s="1"/>
  <c r="AT54" i="32" s="1"/>
  <c r="Y53" i="11"/>
  <c r="Z53" i="11" s="1"/>
  <c r="AA53" i="11" s="1"/>
  <c r="AT53" i="32" s="1"/>
  <c r="Y52" i="11"/>
  <c r="Z52" i="11" s="1"/>
  <c r="AA52" i="11" s="1"/>
  <c r="AT52" i="32" s="1"/>
  <c r="Y45" i="11"/>
  <c r="Z45" i="11" s="1"/>
  <c r="AA45" i="11" s="1"/>
  <c r="AT45" i="32" s="1"/>
  <c r="Y43" i="11"/>
  <c r="Z43" i="11" s="1"/>
  <c r="AA43" i="11" s="1"/>
  <c r="AT43" i="32" s="1"/>
  <c r="Y44" i="11"/>
  <c r="Z44" i="11" s="1"/>
  <c r="AA44" i="11" s="1"/>
  <c r="AT44" i="32" s="1"/>
  <c r="Y56" i="11"/>
  <c r="Z56" i="11" s="1"/>
  <c r="AA56" i="11" s="1"/>
  <c r="AT56" i="32" s="1"/>
  <c r="Y55" i="11"/>
  <c r="Z55" i="11" s="1"/>
  <c r="AA55" i="11" s="1"/>
  <c r="AT55" i="32" s="1"/>
  <c r="Y51" i="11"/>
  <c r="Z51" i="11" s="1"/>
  <c r="AA51" i="11" s="1"/>
  <c r="AT51" i="32" s="1"/>
  <c r="Y50" i="11"/>
  <c r="Z50" i="11" s="1"/>
  <c r="AA50" i="11" s="1"/>
  <c r="AT50" i="32" s="1"/>
  <c r="Y47" i="11"/>
  <c r="Z47" i="11" s="1"/>
  <c r="AA47" i="11" s="1"/>
  <c r="AT47" i="32" s="1"/>
  <c r="Y46" i="11"/>
  <c r="Z46" i="11" s="1"/>
  <c r="AA46" i="11" s="1"/>
  <c r="AT46" i="32" s="1"/>
  <c r="Y48" i="11"/>
  <c r="Z48" i="11" s="1"/>
  <c r="AA48" i="11" s="1"/>
  <c r="AT48" i="32" s="1"/>
  <c r="AA138" i="29" l="1" a="1"/>
  <c r="AA154" i="29" a="1"/>
  <c r="AA152" i="29" a="1"/>
  <c r="AA68" i="29"/>
  <c r="AA63" i="29"/>
  <c r="AA62" i="24"/>
  <c r="AG62" i="12" s="1"/>
  <c r="AA62" i="29"/>
  <c r="AA68" i="24"/>
  <c r="AG68" i="12" s="1"/>
  <c r="AA65" i="24"/>
  <c r="AG65" i="12" s="1"/>
  <c r="AA66" i="29"/>
  <c r="AA66" i="24"/>
  <c r="AG66" i="12" s="1"/>
  <c r="AA137" i="24"/>
  <c r="AG137" i="12" s="1"/>
  <c r="AA64" i="24"/>
  <c r="AG64" i="12" s="1"/>
  <c r="AA21" i="24"/>
  <c r="AG21" i="12" s="1"/>
  <c r="AA22" i="24"/>
  <c r="AG22" i="12" s="1"/>
  <c r="AA139" i="24"/>
  <c r="AG139" i="12" s="1"/>
  <c r="AA63" i="24"/>
  <c r="AG63" i="12" s="1"/>
  <c r="AA136" i="24"/>
  <c r="AG136" i="12" s="1"/>
  <c r="AA25" i="24"/>
  <c r="AG25" i="12" s="1"/>
  <c r="AA23" i="24"/>
  <c r="AG23" i="12" s="1"/>
  <c r="AA24" i="24"/>
  <c r="AG24" i="12" s="1"/>
  <c r="AA138" i="24"/>
  <c r="AG138" i="12" s="1"/>
  <c r="AA140" i="24"/>
  <c r="AG140" i="12" s="1"/>
  <c r="AT246" i="10"/>
  <c r="AT153" i="10"/>
  <c r="AT148" i="10"/>
  <c r="AT557" i="10"/>
  <c r="AT559" i="10"/>
  <c r="AT48" i="10"/>
  <c r="AT158" i="10"/>
  <c r="AT536" i="10"/>
  <c r="AT547" i="10"/>
  <c r="AT152" i="10"/>
  <c r="AT46" i="10"/>
  <c r="AT157" i="10"/>
  <c r="AT554" i="10"/>
  <c r="AT537" i="10"/>
  <c r="AT52" i="10"/>
  <c r="AT150" i="10"/>
  <c r="AT159" i="10"/>
  <c r="AT539" i="10"/>
  <c r="AT543" i="10"/>
  <c r="AT54" i="10"/>
  <c r="AT50" i="10"/>
  <c r="AT162" i="10"/>
  <c r="AT248" i="10"/>
  <c r="AT553" i="10"/>
  <c r="AT546" i="10"/>
  <c r="AT151" i="10"/>
  <c r="AT47" i="10"/>
  <c r="AT247" i="10"/>
  <c r="AT713" i="10"/>
  <c r="AT243" i="10"/>
  <c r="AT251" i="10"/>
  <c r="AT548" i="10"/>
  <c r="AT712" i="10"/>
  <c r="AT155" i="10"/>
  <c r="AT156" i="10"/>
  <c r="AT51" i="10"/>
  <c r="AT160" i="10"/>
  <c r="AT55" i="10"/>
  <c r="AT161" i="10"/>
  <c r="AT56" i="10"/>
  <c r="AT366" i="10"/>
  <c r="AT252" i="10"/>
  <c r="AT545" i="10"/>
  <c r="AT535" i="10"/>
  <c r="AT154" i="10"/>
  <c r="AT149" i="10"/>
  <c r="AT365" i="10"/>
  <c r="AT53" i="10"/>
  <c r="AT541" i="10"/>
  <c r="AT49" i="10"/>
  <c r="AT555" i="10"/>
  <c r="AT43" i="10"/>
  <c r="AT57" i="10"/>
  <c r="AT250" i="10"/>
  <c r="AT558" i="10"/>
  <c r="AT245" i="10"/>
  <c r="AT544" i="10"/>
  <c r="AT44" i="10"/>
  <c r="AT249" i="10"/>
  <c r="AT45" i="10"/>
  <c r="AT364" i="10"/>
  <c r="AT244" i="10"/>
  <c r="AT538" i="10"/>
  <c r="AT561" i="10"/>
  <c r="AT560" i="10"/>
  <c r="AT549" i="10"/>
  <c r="AT542" i="10"/>
  <c r="AT540" i="10"/>
  <c r="Z550" i="11"/>
  <c r="AA550" i="11" s="1"/>
  <c r="AT550" i="32" s="1"/>
  <c r="AA139" i="29" s="1" a="1"/>
  <c r="Z552" i="11"/>
  <c r="AA552" i="11" s="1"/>
  <c r="Z551" i="11"/>
  <c r="AA551" i="11" s="1"/>
  <c r="AA26" i="29" s="1" a="1"/>
  <c r="S4" i="24"/>
  <c r="S5" i="24"/>
  <c r="S7" i="24"/>
  <c r="S6" i="24"/>
  <c r="S3" i="24"/>
  <c r="S2" i="24"/>
  <c r="B37" i="7"/>
  <c r="B37" i="9"/>
  <c r="B38" i="3"/>
  <c r="B37" i="4"/>
  <c r="B34" i="1"/>
  <c r="B33" i="29"/>
  <c r="B33" i="15"/>
  <c r="B33" i="24"/>
  <c r="AA149" i="29" l="1" a="1"/>
  <c r="AA148" i="29" a="1"/>
  <c r="AA146" i="29" a="1"/>
  <c r="AA136" i="29" a="1"/>
  <c r="AA141" i="29" a="1"/>
  <c r="AA71" i="29" a="1"/>
  <c r="AA140" i="29" a="1"/>
  <c r="AA133" i="29" a="1"/>
  <c r="AA151" i="29" a="1"/>
  <c r="AA157" i="29" a="1"/>
  <c r="AA132" i="29" a="1"/>
  <c r="AA143" i="29" a="1"/>
  <c r="AA142" i="29" a="1"/>
  <c r="AA137" i="29" a="1"/>
  <c r="AA135" i="29" a="1"/>
  <c r="AA156" i="29" a="1"/>
  <c r="AA150" i="29" a="1"/>
  <c r="AA158" i="29" a="1"/>
  <c r="AA134" i="29" a="1"/>
  <c r="AA67" i="29"/>
  <c r="AA67" i="24"/>
  <c r="AA116" i="29" a="1"/>
  <c r="AA12" i="29" a="1"/>
  <c r="AA11" i="29" a="1"/>
  <c r="AA131" i="29" a="1"/>
  <c r="AA33" i="29" a="1"/>
  <c r="AA54" i="29" a="1"/>
  <c r="AA21" i="29" a="1"/>
  <c r="AA37" i="29" a="1"/>
  <c r="AA97" i="29" a="1"/>
  <c r="AA55" i="29" a="1"/>
  <c r="AA92" i="29" a="1"/>
  <c r="AA30" i="29" a="1"/>
  <c r="AA51" i="29" a="1"/>
  <c r="AA44" i="29" a="1"/>
  <c r="AA52" i="29" a="1"/>
  <c r="AA24" i="29" a="1"/>
  <c r="AA121" i="29" a="1"/>
  <c r="AA17" i="29" a="1"/>
  <c r="AA32" i="29" a="1"/>
  <c r="AA74" i="29" a="1"/>
  <c r="AA127" i="29" a="1"/>
  <c r="AA45" i="29" a="1"/>
  <c r="AA86" i="29" a="1"/>
  <c r="AA28" i="29" a="1"/>
  <c r="AA15" i="29" a="1"/>
  <c r="AA129" i="29" a="1"/>
  <c r="AA119" i="29" a="1"/>
  <c r="AA27" i="29" a="1"/>
  <c r="AA22" i="29" a="1"/>
  <c r="AA81" i="29" a="1"/>
  <c r="AA128" i="29" a="1"/>
  <c r="AA16" i="29" a="1"/>
  <c r="AA108" i="29" a="1"/>
  <c r="AA43" i="29" a="1"/>
  <c r="AA110" i="29" a="1"/>
  <c r="AA20" i="29" a="1"/>
  <c r="AA38" i="29" a="1"/>
  <c r="AA111" i="29" a="1"/>
  <c r="AA57" i="29" a="1"/>
  <c r="AA75" i="29" a="1"/>
  <c r="AA47" i="29" a="1"/>
  <c r="AA83" i="29" a="1"/>
  <c r="AA14" i="29" a="1"/>
  <c r="AA60" i="29" a="1"/>
  <c r="AA35" i="29" a="1"/>
  <c r="AA76" i="29" a="1"/>
  <c r="AA39" i="29" a="1"/>
  <c r="AA106" i="29" a="1"/>
  <c r="AA23" i="29" a="1"/>
  <c r="AA84" i="29" a="1"/>
  <c r="AA88" i="29" a="1"/>
  <c r="AA13" i="29" a="1"/>
  <c r="AA78" i="29" a="1"/>
  <c r="AA91" i="29" a="1"/>
  <c r="AA48" i="29" a="1"/>
  <c r="AA114" i="29" a="1"/>
  <c r="AA126" i="29" a="1"/>
  <c r="AA113" i="29" a="1"/>
  <c r="AA80" i="29" a="1"/>
  <c r="AA18" i="29" a="1"/>
  <c r="AA31" i="29" a="1"/>
  <c r="AA118" i="29" a="1"/>
  <c r="AA117" i="29" a="1"/>
  <c r="AA122" i="29" a="1"/>
  <c r="AA25" i="29" a="1"/>
  <c r="AA46" i="29" a="1"/>
  <c r="AA65" i="29" a="1"/>
  <c r="AA19" i="29" a="1"/>
  <c r="AA36" i="29" a="1"/>
  <c r="AA40" i="29" a="1"/>
  <c r="AA112" i="29" a="1"/>
  <c r="AA2" i="24"/>
  <c r="AA64" i="29" a="1"/>
  <c r="AA41" i="29" a="1"/>
  <c r="AA53" i="29" a="1"/>
  <c r="AA34" i="29" a="1"/>
  <c r="AA77" i="29" a="1"/>
  <c r="AA3" i="24"/>
  <c r="AA4" i="24"/>
  <c r="AA6" i="24"/>
  <c r="AA5" i="24"/>
  <c r="AT551" i="10"/>
  <c r="AT552" i="10"/>
  <c r="AT550" i="10"/>
  <c r="Y2" i="12"/>
  <c r="Y6" i="12"/>
  <c r="Y7" i="12"/>
  <c r="Y5" i="12"/>
  <c r="Y4" i="12"/>
  <c r="Y3" i="12"/>
  <c r="X2" i="24"/>
  <c r="X5" i="24"/>
  <c r="T5" i="24"/>
  <c r="T4" i="24"/>
  <c r="T7" i="24"/>
  <c r="T2" i="24"/>
  <c r="T6" i="24"/>
  <c r="T3" i="24"/>
  <c r="Y5" i="24"/>
  <c r="Y7" i="24"/>
  <c r="Y4" i="24"/>
  <c r="Y3" i="24"/>
  <c r="Y2" i="24"/>
  <c r="Y6" i="24"/>
  <c r="AD3" i="12"/>
  <c r="U2" i="24"/>
  <c r="U6" i="24"/>
  <c r="U7" i="24"/>
  <c r="U4" i="24"/>
  <c r="U3" i="24"/>
  <c r="U5" i="24"/>
  <c r="B38" i="9"/>
  <c r="B38" i="7"/>
  <c r="B39" i="3"/>
  <c r="B38" i="4"/>
  <c r="B35" i="1"/>
  <c r="B34" i="15"/>
  <c r="B34" i="29"/>
  <c r="B34" i="24"/>
  <c r="W173" i="28"/>
  <c r="R121" i="7"/>
  <c r="R119" i="7"/>
  <c r="R115" i="7"/>
  <c r="R125" i="7"/>
  <c r="R127" i="7"/>
  <c r="R123" i="7"/>
  <c r="R113" i="7"/>
  <c r="R117" i="7"/>
  <c r="AA7" i="24" l="1"/>
  <c r="AG67" i="12"/>
  <c r="AA7" i="12"/>
  <c r="Z7" i="12"/>
  <c r="Z3" i="12"/>
  <c r="Z6" i="12"/>
  <c r="Z5" i="12"/>
  <c r="Z4" i="12"/>
  <c r="Z2" i="12"/>
  <c r="AA6" i="12"/>
  <c r="AA4" i="12"/>
  <c r="AA3" i="12"/>
  <c r="AD2" i="12"/>
  <c r="AA2" i="12"/>
  <c r="AD5" i="12"/>
  <c r="AA5" i="12"/>
  <c r="AD6" i="12"/>
  <c r="AD7" i="12"/>
  <c r="AD4" i="12"/>
  <c r="X7" i="24"/>
  <c r="X6" i="24"/>
  <c r="X3" i="24"/>
  <c r="X4" i="24"/>
  <c r="Z7" i="24"/>
  <c r="Z6" i="24"/>
  <c r="Z2" i="24"/>
  <c r="Z3" i="24"/>
  <c r="Z5" i="24"/>
  <c r="AF2" i="12"/>
  <c r="V3" i="24"/>
  <c r="V5" i="24"/>
  <c r="Z4" i="24"/>
  <c r="B39" i="9"/>
  <c r="B39" i="7"/>
  <c r="B40" i="3"/>
  <c r="B39" i="4"/>
  <c r="B36" i="1"/>
  <c r="B35" i="29"/>
  <c r="B35" i="15"/>
  <c r="B35" i="24"/>
  <c r="AG6" i="12" l="1"/>
  <c r="AG3" i="12"/>
  <c r="AG5" i="12"/>
  <c r="AG2" i="12"/>
  <c r="AG4" i="12"/>
  <c r="AG7" i="12"/>
  <c r="AB4" i="12"/>
  <c r="AB3" i="12"/>
  <c r="AB6" i="12"/>
  <c r="AF6" i="12"/>
  <c r="AF4" i="12"/>
  <c r="AB2" i="12"/>
  <c r="AB5" i="12"/>
  <c r="AB7" i="12"/>
  <c r="AF3" i="12"/>
  <c r="AF7" i="12"/>
  <c r="AF5" i="12"/>
  <c r="AE3" i="12"/>
  <c r="AE2" i="12"/>
  <c r="AE7" i="12"/>
  <c r="AE6" i="12"/>
  <c r="AE5" i="12"/>
  <c r="AE4" i="12"/>
  <c r="V7" i="24"/>
  <c r="V2" i="24"/>
  <c r="V4" i="24"/>
  <c r="V6" i="24"/>
  <c r="B40" i="9"/>
  <c r="B40" i="7"/>
  <c r="B41" i="3"/>
  <c r="B40" i="4"/>
  <c r="B37" i="1"/>
  <c r="B36" i="15"/>
  <c r="B36" i="29"/>
  <c r="B36" i="24"/>
  <c r="B41" i="9" l="1"/>
  <c r="B41" i="7"/>
  <c r="B42" i="3"/>
  <c r="B41" i="4"/>
  <c r="B38" i="1"/>
  <c r="B37" i="29"/>
  <c r="B37" i="15"/>
  <c r="B37" i="24"/>
  <c r="B42" i="9" l="1"/>
  <c r="B42" i="7"/>
  <c r="B43" i="3"/>
  <c r="B42" i="4"/>
  <c r="B39" i="1"/>
  <c r="B38" i="15"/>
  <c r="B38" i="29"/>
  <c r="B38" i="24"/>
  <c r="B43" i="9" l="1"/>
  <c r="B43" i="7"/>
  <c r="B44" i="3"/>
  <c r="B43" i="4"/>
  <c r="B40" i="1"/>
  <c r="B39" i="29"/>
  <c r="B39" i="15"/>
  <c r="B39" i="24"/>
  <c r="B44" i="9" l="1"/>
  <c r="B44" i="7"/>
  <c r="B45" i="3"/>
  <c r="B44" i="4"/>
  <c r="B41" i="1"/>
  <c r="B40" i="15"/>
  <c r="B40" i="29"/>
  <c r="B40" i="24"/>
  <c r="B45" i="9" l="1"/>
  <c r="B45" i="7"/>
  <c r="B46" i="3"/>
  <c r="B45" i="4"/>
  <c r="B42" i="1"/>
  <c r="B41" i="29"/>
  <c r="B41" i="15"/>
  <c r="B41" i="24"/>
  <c r="B46" i="9" l="1"/>
  <c r="B46" i="7"/>
  <c r="B47" i="3"/>
  <c r="B46" i="4"/>
  <c r="B43" i="1"/>
  <c r="B42" i="15"/>
  <c r="B42" i="29"/>
  <c r="B42" i="24"/>
  <c r="B47" i="9" l="1"/>
  <c r="B47" i="7"/>
  <c r="B48" i="3"/>
  <c r="B47" i="4"/>
  <c r="B44" i="1"/>
  <c r="B43" i="29"/>
  <c r="B43" i="15"/>
  <c r="B43" i="24"/>
  <c r="B48" i="9" l="1"/>
  <c r="B48" i="7"/>
  <c r="B49" i="3"/>
  <c r="B48" i="4"/>
  <c r="B45" i="1"/>
  <c r="B44" i="15"/>
  <c r="B44" i="29"/>
  <c r="B44" i="24"/>
  <c r="B49" i="9" l="1"/>
  <c r="B49" i="7"/>
  <c r="B50" i="3"/>
  <c r="B49" i="4"/>
  <c r="B46" i="1"/>
  <c r="B45" i="29"/>
  <c r="B45" i="15"/>
  <c r="B45" i="24"/>
  <c r="B50" i="9" l="1"/>
  <c r="B50" i="7"/>
  <c r="B51" i="3"/>
  <c r="B50" i="4"/>
  <c r="B47" i="1"/>
  <c r="B46" i="15"/>
  <c r="B46" i="29"/>
  <c r="B46" i="24"/>
  <c r="B51" i="9" l="1"/>
  <c r="B51" i="7"/>
  <c r="B52" i="3"/>
  <c r="B51" i="4"/>
  <c r="B48" i="1"/>
  <c r="B47" i="29"/>
  <c r="B47" i="15"/>
  <c r="B47" i="24"/>
  <c r="B52" i="9" l="1"/>
  <c r="B52" i="7"/>
  <c r="B53" i="3"/>
  <c r="B52" i="4"/>
  <c r="B49" i="1"/>
  <c r="B48" i="15"/>
  <c r="B48" i="29"/>
  <c r="B48" i="24"/>
  <c r="B53" i="9" l="1"/>
  <c r="B53" i="7"/>
  <c r="B54" i="3"/>
  <c r="B53" i="4"/>
  <c r="B50" i="1"/>
  <c r="B49" i="29"/>
  <c r="B49" i="15"/>
  <c r="B49" i="24"/>
  <c r="B54" i="9" l="1"/>
  <c r="B54" i="7"/>
  <c r="B55" i="3"/>
  <c r="B54" i="4"/>
  <c r="B51" i="1"/>
  <c r="B50" i="15"/>
  <c r="B50" i="29"/>
  <c r="B50" i="24"/>
  <c r="B55" i="9" l="1"/>
  <c r="B55" i="7"/>
  <c r="B56" i="3"/>
  <c r="B55" i="4"/>
  <c r="B52" i="1"/>
  <c r="B51" i="15"/>
  <c r="B51" i="29"/>
  <c r="B51" i="24"/>
  <c r="B56" i="9" l="1"/>
  <c r="B56" i="7"/>
  <c r="B57" i="3"/>
  <c r="B56" i="4"/>
  <c r="B53" i="1"/>
  <c r="B52" i="15"/>
  <c r="B52" i="29"/>
  <c r="B52" i="24"/>
  <c r="B57" i="9" l="1"/>
  <c r="B57" i="7"/>
  <c r="B58" i="3"/>
  <c r="B57" i="4"/>
  <c r="B54" i="1"/>
  <c r="B53" i="29"/>
  <c r="B53" i="15"/>
  <c r="B53" i="24"/>
  <c r="B58" i="9" l="1"/>
  <c r="B58" i="7"/>
  <c r="B59" i="3"/>
  <c r="B58" i="4"/>
  <c r="B55" i="1"/>
  <c r="B54" i="15"/>
  <c r="B54" i="29"/>
  <c r="B54" i="24"/>
  <c r="B59" i="9" l="1"/>
  <c r="B59" i="7"/>
  <c r="B60" i="3"/>
  <c r="B59" i="4"/>
  <c r="B56" i="1"/>
  <c r="B55" i="29"/>
  <c r="B55" i="15"/>
  <c r="B55" i="24"/>
  <c r="B60" i="9" l="1"/>
  <c r="B60" i="7"/>
  <c r="B61" i="3"/>
  <c r="B60" i="4"/>
  <c r="B57" i="1"/>
  <c r="B56" i="15"/>
  <c r="B56" i="29"/>
  <c r="B56" i="24"/>
  <c r="B61" i="9" l="1"/>
  <c r="B61" i="7"/>
  <c r="B62" i="3"/>
  <c r="B61" i="4"/>
  <c r="B58" i="1"/>
  <c r="B57" i="29"/>
  <c r="B57" i="15"/>
  <c r="B57" i="24"/>
  <c r="B62" i="9" l="1"/>
  <c r="B62" i="7"/>
  <c r="B63" i="3"/>
  <c r="B62" i="4"/>
  <c r="B59" i="1"/>
  <c r="B58" i="15"/>
  <c r="B58" i="29"/>
  <c r="B58" i="24"/>
  <c r="B63" i="9" l="1"/>
  <c r="B63" i="7"/>
  <c r="B64" i="3"/>
  <c r="B63" i="4"/>
  <c r="B60" i="1"/>
  <c r="B59" i="29"/>
  <c r="B59" i="15"/>
  <c r="B59" i="24"/>
  <c r="B64" i="9" l="1"/>
  <c r="B64" i="7"/>
  <c r="B65" i="3"/>
  <c r="B64" i="4"/>
  <c r="B61" i="1"/>
  <c r="B60" i="15"/>
  <c r="B60" i="29"/>
  <c r="B60" i="24"/>
  <c r="B65" i="9" l="1"/>
  <c r="B65" i="7"/>
  <c r="B66" i="3"/>
  <c r="B65" i="4"/>
  <c r="B62" i="1"/>
  <c r="B61" i="29"/>
  <c r="B61" i="15"/>
  <c r="B61" i="24"/>
  <c r="B66" i="9" l="1"/>
  <c r="B66" i="7"/>
  <c r="B67" i="3"/>
  <c r="B66" i="4"/>
  <c r="B63" i="1"/>
  <c r="B62" i="15"/>
  <c r="B62" i="29"/>
  <c r="B62" i="24"/>
  <c r="B67" i="9" l="1"/>
  <c r="B67" i="7"/>
  <c r="B68" i="3"/>
  <c r="B67" i="4"/>
  <c r="B64" i="1"/>
  <c r="B63" i="15"/>
  <c r="B63" i="29"/>
  <c r="B63" i="24"/>
  <c r="B68" i="9" l="1"/>
  <c r="B68" i="7"/>
  <c r="B69" i="3"/>
  <c r="B68" i="4"/>
  <c r="B65" i="1"/>
  <c r="B64" i="15"/>
  <c r="B64" i="29"/>
  <c r="B64" i="24"/>
  <c r="B69" i="9" l="1"/>
  <c r="B69" i="7"/>
  <c r="B70" i="3"/>
  <c r="B69" i="4"/>
  <c r="B66" i="1"/>
  <c r="B65" i="29"/>
  <c r="B65" i="15"/>
  <c r="B65" i="24"/>
  <c r="B70" i="9" l="1"/>
  <c r="B70" i="7"/>
  <c r="B71" i="3"/>
  <c r="B70" i="4"/>
  <c r="B67" i="1"/>
  <c r="B66" i="15"/>
  <c r="B66" i="29"/>
  <c r="B66" i="24"/>
  <c r="B71" i="9" l="1"/>
  <c r="B71" i="7"/>
  <c r="B72" i="3"/>
  <c r="B71" i="4"/>
  <c r="B68" i="1"/>
  <c r="B67" i="29"/>
  <c r="B67" i="15"/>
  <c r="B67" i="24"/>
  <c r="B72" i="9" l="1"/>
  <c r="B72" i="7"/>
  <c r="B73" i="3"/>
  <c r="B72" i="4"/>
  <c r="B69" i="1"/>
  <c r="B68" i="15"/>
  <c r="B68" i="29"/>
  <c r="B68" i="24"/>
  <c r="B73" i="9" l="1"/>
  <c r="B73" i="7"/>
  <c r="B74" i="3"/>
  <c r="B73" i="4"/>
  <c r="B70" i="1"/>
  <c r="B69" i="29"/>
  <c r="B69" i="15"/>
  <c r="B69" i="24"/>
  <c r="B74" i="9" l="1"/>
  <c r="B74" i="7"/>
  <c r="B75" i="3"/>
  <c r="B74" i="4"/>
  <c r="B71" i="1"/>
  <c r="B70" i="15"/>
  <c r="B70" i="29"/>
  <c r="B70" i="24"/>
  <c r="B75" i="9" l="1"/>
  <c r="B75" i="7"/>
  <c r="B76" i="3"/>
  <c r="B75" i="4"/>
  <c r="B72" i="1"/>
  <c r="B71" i="29"/>
  <c r="B71" i="15"/>
  <c r="B71" i="24"/>
  <c r="B76" i="9" l="1"/>
  <c r="B76" i="7"/>
  <c r="B77" i="3"/>
  <c r="B76" i="4"/>
  <c r="B73" i="1"/>
  <c r="B72" i="15"/>
  <c r="B72" i="29"/>
  <c r="B72" i="24"/>
  <c r="B77" i="9" l="1"/>
  <c r="B77" i="7"/>
  <c r="B78" i="3"/>
  <c r="B77" i="4"/>
  <c r="B74" i="1"/>
  <c r="B73" i="29"/>
  <c r="B73" i="15"/>
  <c r="B73" i="24"/>
  <c r="B78" i="9" l="1"/>
  <c r="B78" i="7"/>
  <c r="B79" i="3"/>
  <c r="B78" i="4"/>
  <c r="B75" i="1"/>
  <c r="B74" i="29"/>
  <c r="B74" i="15"/>
  <c r="B74" i="24"/>
  <c r="B79" i="9" l="1"/>
  <c r="B79" i="7"/>
  <c r="B80" i="3"/>
  <c r="B79" i="4"/>
  <c r="B76" i="1"/>
  <c r="B75" i="15"/>
  <c r="B75" i="29"/>
  <c r="B75" i="24"/>
  <c r="B80" i="9" l="1"/>
  <c r="B80" i="7"/>
  <c r="B81" i="3"/>
  <c r="B80" i="4"/>
  <c r="B77" i="1"/>
  <c r="B76" i="15"/>
  <c r="B76" i="29"/>
  <c r="B76" i="24"/>
  <c r="B81" i="9" l="1"/>
  <c r="B81" i="7"/>
  <c r="B82" i="3"/>
  <c r="B81" i="4"/>
  <c r="B78" i="1"/>
  <c r="B77" i="15"/>
  <c r="B77" i="29"/>
  <c r="B77" i="24"/>
  <c r="B82" i="9" l="1"/>
  <c r="B82" i="7"/>
  <c r="B83" i="3"/>
  <c r="B82" i="4"/>
  <c r="B79" i="1"/>
  <c r="B78" i="29"/>
  <c r="B78" i="15"/>
  <c r="B78" i="24"/>
  <c r="B83" i="9" l="1"/>
  <c r="B83" i="7"/>
  <c r="B84" i="3"/>
  <c r="B83" i="4"/>
  <c r="B80" i="1"/>
  <c r="B79" i="15"/>
  <c r="B79" i="29"/>
  <c r="B79" i="24"/>
  <c r="B84" i="9" l="1"/>
  <c r="B84" i="7"/>
  <c r="B85" i="3"/>
  <c r="B84" i="4"/>
  <c r="B81" i="1"/>
  <c r="B80" i="15"/>
  <c r="B80" i="29"/>
  <c r="B80" i="24"/>
  <c r="B85" i="9" l="1"/>
  <c r="B85" i="7"/>
  <c r="B86" i="3"/>
  <c r="B85" i="4"/>
  <c r="B82" i="1"/>
  <c r="B81" i="15"/>
  <c r="B81" i="29"/>
  <c r="B81" i="24"/>
  <c r="B86" i="9" l="1"/>
  <c r="B86" i="7"/>
  <c r="B87" i="3"/>
  <c r="B86" i="4"/>
  <c r="B83" i="1"/>
  <c r="B82" i="29"/>
  <c r="B82" i="15"/>
  <c r="B82" i="24"/>
  <c r="B87" i="9" l="1"/>
  <c r="B87" i="7"/>
  <c r="B88" i="3"/>
  <c r="B87" i="4"/>
  <c r="B84" i="1"/>
  <c r="B83" i="15"/>
  <c r="B83" i="29"/>
  <c r="B83" i="24"/>
  <c r="B88" i="9" l="1"/>
  <c r="B88" i="7"/>
  <c r="B89" i="3"/>
  <c r="B88" i="4"/>
  <c r="B85" i="1"/>
  <c r="B84" i="15"/>
  <c r="B84" i="29"/>
  <c r="B84" i="24"/>
  <c r="B89" i="9" l="1"/>
  <c r="B89" i="7"/>
  <c r="B90" i="3"/>
  <c r="B89" i="4"/>
  <c r="B86" i="1"/>
  <c r="B85" i="15"/>
  <c r="B85" i="29"/>
  <c r="B85" i="24"/>
  <c r="B90" i="9" l="1"/>
  <c r="B90" i="7"/>
  <c r="B91" i="3"/>
  <c r="B90" i="4"/>
  <c r="B87" i="1"/>
  <c r="B86" i="29"/>
  <c r="B86" i="15"/>
  <c r="B86" i="24"/>
  <c r="B91" i="9" l="1"/>
  <c r="B91" i="7"/>
  <c r="B92" i="3"/>
  <c r="B91" i="4"/>
  <c r="B88" i="1"/>
  <c r="B87" i="15"/>
  <c r="B87" i="29"/>
  <c r="B87" i="24"/>
  <c r="B92" i="9" l="1"/>
  <c r="B92" i="7"/>
  <c r="B93" i="3"/>
  <c r="B92" i="4"/>
  <c r="B89" i="1"/>
  <c r="B88" i="15"/>
  <c r="B88" i="29"/>
  <c r="B88" i="24"/>
  <c r="B93" i="9" l="1"/>
  <c r="B93" i="7"/>
  <c r="B94" i="3"/>
  <c r="B93" i="4"/>
  <c r="B90" i="1"/>
  <c r="B89" i="15"/>
  <c r="B89" i="29"/>
  <c r="B89" i="24"/>
  <c r="B94" i="9" l="1"/>
  <c r="B94" i="7"/>
  <c r="B95" i="3"/>
  <c r="B94" i="4"/>
  <c r="B91" i="1"/>
  <c r="B90" i="29"/>
  <c r="B90" i="15"/>
  <c r="B90" i="24"/>
  <c r="B95" i="9" l="1"/>
  <c r="B95" i="7"/>
  <c r="B96" i="3"/>
  <c r="B95" i="4"/>
  <c r="B92" i="1"/>
  <c r="B91" i="15"/>
  <c r="B91" i="29"/>
  <c r="B91" i="24"/>
  <c r="B96" i="9" l="1"/>
  <c r="B96" i="7"/>
  <c r="B97" i="3"/>
  <c r="B96" i="4"/>
  <c r="B93" i="1"/>
  <c r="B92" i="15"/>
  <c r="B92" i="29"/>
  <c r="B92" i="24"/>
  <c r="B97" i="9" l="1"/>
  <c r="B97" i="7"/>
  <c r="B98" i="3"/>
  <c r="B97" i="4"/>
  <c r="B94" i="1"/>
  <c r="B93" i="15"/>
  <c r="B93" i="29"/>
  <c r="B93" i="24"/>
  <c r="B98" i="9" l="1"/>
  <c r="B98" i="7"/>
  <c r="B99" i="3"/>
  <c r="B98" i="4"/>
  <c r="B95" i="1"/>
  <c r="B94" i="29"/>
  <c r="B94" i="15"/>
  <c r="B94" i="24"/>
  <c r="B99" i="9" l="1"/>
  <c r="B99" i="7"/>
  <c r="B100" i="3"/>
  <c r="B99" i="4"/>
  <c r="B96" i="1"/>
  <c r="B95" i="15"/>
  <c r="B95" i="29"/>
  <c r="B95" i="24"/>
  <c r="B100" i="9" l="1"/>
  <c r="B100" i="7"/>
  <c r="B101" i="3"/>
  <c r="B100" i="4"/>
  <c r="B97" i="1"/>
  <c r="B96" i="15"/>
  <c r="B96" i="29"/>
  <c r="B96" i="24"/>
  <c r="B101" i="9" l="1"/>
  <c r="B101" i="7"/>
  <c r="B102" i="3"/>
  <c r="B101" i="4"/>
  <c r="B98" i="1"/>
  <c r="B97" i="15"/>
  <c r="B97" i="29"/>
  <c r="B97" i="24"/>
  <c r="B102" i="9" l="1"/>
  <c r="B102" i="7"/>
  <c r="B103" i="3"/>
  <c r="B102" i="4"/>
  <c r="B99" i="1"/>
  <c r="B98" i="29"/>
  <c r="B98" i="15"/>
  <c r="B98" i="24"/>
  <c r="B103" i="9" l="1"/>
  <c r="B103" i="7"/>
  <c r="B104" i="3"/>
  <c r="B103" i="4"/>
  <c r="B100" i="1"/>
  <c r="B99" i="15"/>
  <c r="B99" i="29"/>
  <c r="B99" i="24"/>
  <c r="B104" i="9" l="1"/>
  <c r="B104" i="7"/>
  <c r="B105" i="3"/>
  <c r="B104" i="4"/>
  <c r="B101" i="1"/>
  <c r="B100" i="15"/>
  <c r="B100" i="29"/>
  <c r="B100" i="24"/>
  <c r="B105" i="9" l="1"/>
  <c r="B105" i="7"/>
  <c r="B106" i="3"/>
  <c r="B105" i="4"/>
  <c r="B102" i="1"/>
  <c r="B101" i="15"/>
  <c r="B101" i="29"/>
  <c r="B101" i="24"/>
  <c r="B106" i="9" l="1"/>
  <c r="B106" i="7"/>
  <c r="B107" i="3"/>
  <c r="B106" i="4"/>
  <c r="B103" i="1"/>
  <c r="B102" i="29"/>
  <c r="B102" i="15"/>
  <c r="B102" i="24"/>
  <c r="B107" i="9" l="1"/>
  <c r="B107" i="7"/>
  <c r="B108" i="3"/>
  <c r="B107" i="4"/>
  <c r="B104" i="1"/>
  <c r="B103" i="15"/>
  <c r="B103" i="29"/>
  <c r="B103" i="24"/>
  <c r="B108" i="9" l="1"/>
  <c r="B108" i="7"/>
  <c r="B109" i="3"/>
  <c r="B108" i="4"/>
  <c r="B105" i="1"/>
  <c r="B104" i="15"/>
  <c r="B104" i="29"/>
  <c r="B104" i="24"/>
  <c r="B109" i="9" l="1"/>
  <c r="B109" i="7"/>
  <c r="B110" i="3"/>
  <c r="B109" i="4"/>
  <c r="B106" i="1"/>
  <c r="B105" i="15"/>
  <c r="B105" i="29"/>
  <c r="B105" i="24"/>
  <c r="B110" i="9" l="1"/>
  <c r="B110" i="7"/>
  <c r="B111" i="3"/>
  <c r="B110" i="4"/>
  <c r="B107" i="1"/>
  <c r="B106" i="29"/>
  <c r="B106" i="15"/>
  <c r="B106" i="24"/>
  <c r="B111" i="9" l="1"/>
  <c r="B111" i="7"/>
  <c r="B112" i="3"/>
  <c r="B111" i="4"/>
  <c r="B108" i="1"/>
  <c r="B107" i="15"/>
  <c r="B107" i="29"/>
  <c r="B107" i="24"/>
  <c r="B112" i="9" l="1"/>
  <c r="B112" i="7"/>
  <c r="B113" i="3"/>
  <c r="B112" i="4"/>
  <c r="B109" i="1"/>
  <c r="B108" i="15"/>
  <c r="B108" i="29"/>
  <c r="B108" i="24"/>
  <c r="B113" i="9" l="1"/>
  <c r="B113" i="7"/>
  <c r="B114" i="3"/>
  <c r="B113" i="4"/>
  <c r="B110" i="1"/>
  <c r="B109" i="15"/>
  <c r="B109" i="29"/>
  <c r="B109" i="24"/>
  <c r="B114" i="9" l="1"/>
  <c r="B114" i="7"/>
  <c r="B115" i="3"/>
  <c r="B114" i="4"/>
  <c r="B111" i="1"/>
  <c r="B110" i="29"/>
  <c r="B110" i="15"/>
  <c r="B110" i="24"/>
  <c r="B115" i="9" l="1"/>
  <c r="B115" i="7"/>
  <c r="B116" i="3"/>
  <c r="B115" i="4"/>
  <c r="B112" i="1"/>
  <c r="B111" i="15"/>
  <c r="B111" i="29"/>
  <c r="B111" i="24"/>
  <c r="B116" i="9" l="1"/>
  <c r="B116" i="7"/>
  <c r="B117" i="3"/>
  <c r="B116" i="4"/>
  <c r="B113" i="1"/>
  <c r="B112" i="15"/>
  <c r="B112" i="29"/>
  <c r="B112" i="24"/>
  <c r="B117" i="9" l="1"/>
  <c r="B117" i="7"/>
  <c r="B118" i="3"/>
  <c r="B117" i="4"/>
  <c r="B114" i="1"/>
  <c r="B113" i="15"/>
  <c r="B113" i="29"/>
  <c r="B113" i="24"/>
  <c r="B118" i="9" l="1"/>
  <c r="B118" i="7"/>
  <c r="B119" i="3"/>
  <c r="B118" i="4"/>
  <c r="B115" i="1"/>
  <c r="B114" i="29"/>
  <c r="B114" i="15"/>
  <c r="B114" i="24"/>
  <c r="B119" i="9" l="1"/>
  <c r="B119" i="7"/>
  <c r="B120" i="3"/>
  <c r="B119" i="4"/>
  <c r="B116" i="1"/>
  <c r="B115" i="15"/>
  <c r="B115" i="29"/>
  <c r="B115" i="24"/>
  <c r="B120" i="9" l="1"/>
  <c r="B120" i="7"/>
  <c r="B121" i="3"/>
  <c r="B120" i="4"/>
  <c r="B117" i="1"/>
  <c r="B116" i="15"/>
  <c r="B116" i="29"/>
  <c r="B116" i="24"/>
  <c r="B121" i="9" l="1"/>
  <c r="B121" i="7"/>
  <c r="B122" i="3"/>
  <c r="B121" i="4"/>
  <c r="B118" i="1"/>
  <c r="B117" i="15"/>
  <c r="B117" i="29"/>
  <c r="B117" i="24"/>
  <c r="B122" i="9" l="1"/>
  <c r="B122" i="7"/>
  <c r="B123" i="3"/>
  <c r="B122" i="4"/>
  <c r="B119" i="1"/>
  <c r="B118" i="29"/>
  <c r="B118" i="15"/>
  <c r="B118" i="24"/>
  <c r="B123" i="9" l="1"/>
  <c r="B123" i="7"/>
  <c r="B124" i="3"/>
  <c r="B123" i="4"/>
  <c r="B120" i="1"/>
  <c r="B119" i="15"/>
  <c r="B119" i="29"/>
  <c r="B119" i="24"/>
  <c r="B124" i="9" l="1"/>
  <c r="B124" i="7"/>
  <c r="B125" i="3"/>
  <c r="B124" i="4"/>
  <c r="B121" i="1"/>
  <c r="B120" i="15"/>
  <c r="B120" i="29"/>
  <c r="B120" i="24"/>
  <c r="B125" i="9" l="1"/>
  <c r="B125" i="7"/>
  <c r="B126" i="3"/>
  <c r="B125" i="4"/>
  <c r="B122" i="1"/>
  <c r="B121" i="15"/>
  <c r="B121" i="29"/>
  <c r="B121" i="24"/>
  <c r="B126" i="9" l="1"/>
  <c r="B126" i="7"/>
  <c r="B127" i="3"/>
  <c r="B126" i="4"/>
  <c r="B123" i="1"/>
  <c r="B122" i="29"/>
  <c r="B122" i="15"/>
  <c r="B122" i="24"/>
  <c r="B127" i="9" l="1"/>
  <c r="B127" i="7"/>
  <c r="B128" i="3"/>
  <c r="B127" i="4"/>
  <c r="B124" i="1"/>
  <c r="B123" i="15"/>
  <c r="B123" i="29"/>
  <c r="B123" i="24"/>
  <c r="B128" i="9" l="1"/>
  <c r="B128" i="7"/>
  <c r="B129" i="3"/>
  <c r="B128" i="4"/>
  <c r="B125" i="1"/>
  <c r="B126" i="1" s="1"/>
  <c r="B124" i="15"/>
  <c r="B124" i="29"/>
  <c r="B124" i="24"/>
  <c r="B127" i="1" l="1"/>
  <c r="B126" i="29"/>
  <c r="B126" i="24"/>
  <c r="B126" i="15"/>
  <c r="B129" i="9"/>
  <c r="B129" i="7"/>
  <c r="B130" i="3"/>
  <c r="B129" i="4"/>
  <c r="B125" i="15"/>
  <c r="B125" i="29"/>
  <c r="B125" i="24"/>
  <c r="B128" i="1" l="1"/>
  <c r="B127" i="29"/>
  <c r="B127" i="24"/>
  <c r="B127" i="15"/>
  <c r="B130" i="9"/>
  <c r="B130" i="7"/>
  <c r="B131" i="3"/>
  <c r="B130" i="4"/>
  <c r="B129" i="1" l="1"/>
  <c r="B128" i="29"/>
  <c r="B128" i="24"/>
  <c r="B128" i="15"/>
  <c r="B131" i="9"/>
  <c r="B131" i="7"/>
  <c r="B132" i="3"/>
  <c r="B131" i="4"/>
  <c r="B130" i="1" l="1"/>
  <c r="B129" i="29"/>
  <c r="B129" i="24"/>
  <c r="B129" i="15"/>
  <c r="B132" i="9"/>
  <c r="B132" i="7"/>
  <c r="B133" i="3"/>
  <c r="B132" i="4"/>
  <c r="B131" i="1" l="1"/>
  <c r="B130" i="29"/>
  <c r="B130" i="24"/>
  <c r="B130" i="15"/>
  <c r="B133" i="9"/>
  <c r="B133" i="7"/>
  <c r="B134" i="3"/>
  <c r="B133" i="4"/>
  <c r="B132" i="1" l="1"/>
  <c r="B131" i="29"/>
  <c r="B131" i="24"/>
  <c r="B131" i="15"/>
  <c r="B134" i="9"/>
  <c r="B134" i="7"/>
  <c r="B135" i="3"/>
  <c r="B134" i="4"/>
  <c r="B133" i="1" l="1"/>
  <c r="B132" i="29"/>
  <c r="B132" i="24"/>
  <c r="B132" i="15"/>
  <c r="B135" i="9"/>
  <c r="B135" i="7"/>
  <c r="B136" i="3"/>
  <c r="B135" i="4"/>
  <c r="B134" i="1" l="1"/>
  <c r="B133" i="29"/>
  <c r="B133" i="24"/>
  <c r="B133" i="15"/>
  <c r="B136" i="9"/>
  <c r="B136" i="7"/>
  <c r="B137" i="3"/>
  <c r="B136" i="4"/>
  <c r="B135" i="1" l="1"/>
  <c r="B134" i="29"/>
  <c r="B134" i="24"/>
  <c r="B134" i="15"/>
  <c r="B137" i="9"/>
  <c r="B137" i="7"/>
  <c r="B138" i="3"/>
  <c r="B137" i="4"/>
  <c r="B136" i="1" l="1"/>
  <c r="B135" i="29"/>
  <c r="B135" i="24"/>
  <c r="B135" i="15"/>
  <c r="B138" i="9"/>
  <c r="B138" i="7"/>
  <c r="B139" i="3"/>
  <c r="B138" i="4"/>
  <c r="B137" i="1" l="1"/>
  <c r="B136" i="29"/>
  <c r="B136" i="24"/>
  <c r="B136" i="15"/>
  <c r="B139" i="9"/>
  <c r="B139" i="7"/>
  <c r="B140" i="3"/>
  <c r="B139" i="4"/>
  <c r="B138" i="1" l="1"/>
  <c r="B137" i="29"/>
  <c r="B137" i="24"/>
  <c r="B137" i="15"/>
  <c r="B140" i="9"/>
  <c r="B140" i="7"/>
  <c r="B141" i="3"/>
  <c r="B140" i="4"/>
  <c r="B139" i="1" l="1"/>
  <c r="B138" i="29"/>
  <c r="B138" i="24"/>
  <c r="B138" i="15"/>
  <c r="B141" i="9"/>
  <c r="B141" i="7"/>
  <c r="B142" i="3"/>
  <c r="B141" i="4"/>
  <c r="B140" i="1" l="1"/>
  <c r="B139" i="29"/>
  <c r="B139" i="24"/>
  <c r="B139" i="15"/>
  <c r="B142" i="9"/>
  <c r="B142" i="7"/>
  <c r="B143" i="3"/>
  <c r="B142" i="4"/>
  <c r="B141" i="1" l="1"/>
  <c r="B140" i="29"/>
  <c r="B140" i="24"/>
  <c r="B140" i="15"/>
  <c r="B143" i="9"/>
  <c r="B143" i="7"/>
  <c r="B144" i="3"/>
  <c r="B143" i="4"/>
  <c r="B142" i="1" l="1"/>
  <c r="B141" i="29"/>
  <c r="B141" i="24"/>
  <c r="B141" i="15"/>
  <c r="B144" i="9"/>
  <c r="B144" i="7"/>
  <c r="B145" i="3"/>
  <c r="B144" i="4"/>
  <c r="B143" i="1" l="1"/>
  <c r="B142" i="29"/>
  <c r="B142" i="24"/>
  <c r="B142" i="15"/>
  <c r="B145" i="9"/>
  <c r="B145" i="7"/>
  <c r="B146" i="3"/>
  <c r="B145" i="4"/>
  <c r="B144" i="1" l="1"/>
  <c r="B143" i="29"/>
  <c r="B143" i="24"/>
  <c r="B143" i="15"/>
  <c r="B146" i="9"/>
  <c r="B146" i="7"/>
  <c r="B147" i="3"/>
  <c r="B146" i="4"/>
  <c r="B145" i="1" l="1"/>
  <c r="B144" i="29"/>
  <c r="B144" i="24"/>
  <c r="B144" i="15"/>
  <c r="B147" i="9"/>
  <c r="B147" i="7"/>
  <c r="B148" i="3"/>
  <c r="B147" i="4"/>
  <c r="B146" i="1" l="1"/>
  <c r="B145" i="29"/>
  <c r="B145" i="24"/>
  <c r="B145" i="15"/>
  <c r="B148" i="9"/>
  <c r="B148" i="7"/>
  <c r="B149" i="3"/>
  <c r="B148" i="4"/>
  <c r="B147" i="1" l="1"/>
  <c r="B146" i="29"/>
  <c r="B146" i="24"/>
  <c r="B146" i="15"/>
  <c r="B149" i="9"/>
  <c r="B149" i="7"/>
  <c r="B150" i="3"/>
  <c r="B149" i="4"/>
  <c r="B148" i="1" l="1"/>
  <c r="B147" i="29"/>
  <c r="B147" i="24"/>
  <c r="B147" i="15"/>
  <c r="B150" i="9"/>
  <c r="B150" i="7"/>
  <c r="B151" i="3"/>
  <c r="B150" i="4"/>
  <c r="B149" i="1" l="1"/>
  <c r="B148" i="29"/>
  <c r="B148" i="24"/>
  <c r="B148" i="15"/>
  <c r="B151" i="9"/>
  <c r="B151" i="7"/>
  <c r="B152" i="3"/>
  <c r="B151" i="4"/>
  <c r="B150" i="1" l="1"/>
  <c r="B149" i="29"/>
  <c r="B149" i="24"/>
  <c r="B149" i="15"/>
  <c r="B152" i="9"/>
  <c r="B152" i="7"/>
  <c r="B153" i="3"/>
  <c r="B152" i="4"/>
  <c r="B151" i="1" l="1"/>
  <c r="B150" i="29"/>
  <c r="B150" i="24"/>
  <c r="B150" i="15"/>
  <c r="B153" i="9"/>
  <c r="B153" i="7"/>
  <c r="B154" i="3"/>
  <c r="B153" i="4"/>
  <c r="B152" i="1" l="1"/>
  <c r="B151" i="29"/>
  <c r="B151" i="24"/>
  <c r="B151" i="15"/>
  <c r="B154" i="9"/>
  <c r="B154" i="7"/>
  <c r="B155" i="3"/>
  <c r="B154" i="4"/>
  <c r="B153" i="1" l="1"/>
  <c r="B152" i="29"/>
  <c r="B152" i="24"/>
  <c r="B152" i="15"/>
  <c r="B155" i="9"/>
  <c r="B155" i="7"/>
  <c r="B156" i="3"/>
  <c r="B155" i="4"/>
  <c r="B154" i="1" l="1"/>
  <c r="B153" i="29"/>
  <c r="B153" i="24"/>
  <c r="B153" i="15"/>
  <c r="B156" i="9"/>
  <c r="B156" i="7"/>
  <c r="B157" i="3"/>
  <c r="B156" i="4"/>
  <c r="B155" i="1" l="1"/>
  <c r="B154" i="29"/>
  <c r="B154" i="24"/>
  <c r="B154" i="15"/>
  <c r="B157" i="9"/>
  <c r="B157" i="7"/>
  <c r="B158" i="3"/>
  <c r="B157" i="4"/>
  <c r="B156" i="1" l="1"/>
  <c r="B155" i="29"/>
  <c r="B155" i="24"/>
  <c r="B155" i="15"/>
  <c r="B158" i="9"/>
  <c r="B158" i="7"/>
  <c r="B159" i="3"/>
  <c r="B158" i="4"/>
  <c r="B157" i="1" l="1"/>
  <c r="B156" i="29"/>
  <c r="B156" i="24"/>
  <c r="B156" i="15"/>
  <c r="B159" i="9"/>
  <c r="B159" i="7"/>
  <c r="B160" i="3"/>
  <c r="B159" i="4"/>
  <c r="B158" i="1" l="1"/>
  <c r="B157" i="29"/>
  <c r="B157" i="24"/>
  <c r="B157" i="15"/>
  <c r="B160" i="9"/>
  <c r="B160" i="7"/>
  <c r="B161" i="3"/>
  <c r="B160" i="4"/>
  <c r="B158" i="29" l="1"/>
  <c r="B158" i="24"/>
  <c r="B158" i="15"/>
  <c r="B161" i="9"/>
  <c r="B161" i="7"/>
  <c r="B162" i="3"/>
  <c r="B161" i="4"/>
  <c r="B162" i="9" l="1"/>
  <c r="B162" i="7"/>
  <c r="B163" i="3"/>
  <c r="B162" i="4"/>
  <c r="B163" i="9" l="1"/>
  <c r="B163" i="7"/>
  <c r="B164" i="3"/>
  <c r="B163" i="4"/>
  <c r="B164" i="9" l="1"/>
  <c r="B164" i="7"/>
  <c r="B165" i="3"/>
  <c r="B164" i="4"/>
  <c r="B165" i="9" l="1"/>
  <c r="B165" i="7"/>
  <c r="B166" i="3"/>
  <c r="B165" i="4"/>
  <c r="B166" i="9" l="1"/>
  <c r="B166" i="7"/>
  <c r="B167" i="3"/>
  <c r="B166" i="4"/>
  <c r="B167" i="9" l="1"/>
  <c r="B167" i="7"/>
  <c r="B168" i="3"/>
  <c r="B167" i="4"/>
  <c r="B168" i="9" l="1"/>
  <c r="B168" i="7"/>
  <c r="B169" i="3"/>
  <c r="B168" i="4"/>
  <c r="B169" i="9" l="1"/>
  <c r="B169" i="7"/>
  <c r="B170" i="3"/>
  <c r="B169" i="4"/>
  <c r="B170" i="9" l="1"/>
  <c r="B170" i="7"/>
  <c r="B171" i="3"/>
  <c r="B170" i="4"/>
  <c r="B171" i="9" l="1"/>
  <c r="B171" i="7"/>
  <c r="B172" i="3"/>
  <c r="B171" i="4"/>
  <c r="B172" i="9" l="1"/>
  <c r="B172" i="7"/>
  <c r="B173" i="3"/>
  <c r="B172" i="4"/>
  <c r="B173" i="9" l="1"/>
  <c r="B173" i="7"/>
  <c r="B174" i="3"/>
  <c r="B173" i="4"/>
  <c r="B174" i="9" l="1"/>
  <c r="B174" i="7"/>
  <c r="B175" i="3"/>
  <c r="B174" i="4"/>
  <c r="B175" i="9" l="1"/>
  <c r="B175" i="7"/>
  <c r="B176" i="3"/>
  <c r="B175" i="4"/>
  <c r="B176" i="9" l="1"/>
  <c r="B176" i="7"/>
  <c r="B177" i="3"/>
  <c r="B176" i="4"/>
  <c r="B177" i="9" l="1"/>
  <c r="B177" i="7"/>
  <c r="B178" i="3"/>
  <c r="B177" i="4"/>
  <c r="B178" i="9" l="1"/>
  <c r="B178" i="7"/>
  <c r="B179" i="3"/>
  <c r="B178" i="4"/>
  <c r="B179" i="7" l="1"/>
  <c r="B179" i="9"/>
  <c r="B180" i="3"/>
  <c r="B179" i="4"/>
  <c r="B180" i="9" l="1"/>
  <c r="B180" i="7"/>
  <c r="B181" i="3"/>
  <c r="B180" i="4"/>
  <c r="B181" i="9" l="1"/>
  <c r="B181" i="7"/>
  <c r="B182" i="3"/>
  <c r="B181" i="4"/>
  <c r="B182" i="9" l="1"/>
  <c r="B182" i="7"/>
  <c r="B183" i="3"/>
  <c r="B182" i="4"/>
  <c r="B183" i="9" l="1"/>
  <c r="B183" i="7"/>
  <c r="B184" i="3"/>
  <c r="B183" i="4"/>
  <c r="B184" i="9" l="1"/>
  <c r="B184" i="7"/>
  <c r="B185" i="3"/>
  <c r="B184" i="4"/>
  <c r="B185" i="9" l="1"/>
  <c r="B185" i="7"/>
  <c r="B186" i="3"/>
  <c r="B185" i="4"/>
  <c r="B186" i="9" l="1"/>
  <c r="B186" i="7"/>
  <c r="B187" i="3"/>
  <c r="B186" i="4"/>
  <c r="B187" i="9" l="1"/>
  <c r="B187" i="7"/>
  <c r="B188" i="3"/>
  <c r="B187" i="4"/>
  <c r="B188" i="9" l="1"/>
  <c r="B188" i="7"/>
  <c r="B189" i="3"/>
  <c r="B188" i="4"/>
  <c r="B189" i="9" l="1"/>
  <c r="B189" i="7"/>
  <c r="B190" i="3"/>
  <c r="B189" i="4"/>
  <c r="B190" i="9" l="1"/>
  <c r="B190" i="7"/>
  <c r="B191" i="3"/>
  <c r="B190" i="4"/>
  <c r="B191" i="9" l="1"/>
  <c r="B191" i="7"/>
  <c r="B192" i="3"/>
  <c r="B191" i="4"/>
  <c r="B192" i="9" l="1"/>
  <c r="B192" i="7"/>
  <c r="B193" i="3"/>
  <c r="B192" i="4"/>
  <c r="B193" i="9" l="1"/>
  <c r="B193" i="7"/>
  <c r="B194" i="3"/>
  <c r="B193" i="4"/>
  <c r="B194" i="9" l="1"/>
  <c r="B194" i="7"/>
  <c r="B195" i="3"/>
  <c r="B194" i="4"/>
  <c r="B195" i="9" l="1"/>
  <c r="B195" i="7"/>
  <c r="B196" i="3"/>
  <c r="B195" i="4"/>
  <c r="B196" i="9" l="1"/>
  <c r="B196" i="7"/>
  <c r="B197" i="3"/>
  <c r="B196" i="4"/>
  <c r="B197" i="9" l="1"/>
  <c r="B197" i="7"/>
  <c r="B198" i="3"/>
  <c r="B197" i="4"/>
  <c r="B198" i="9" l="1"/>
  <c r="B198" i="7"/>
  <c r="B199" i="3"/>
  <c r="B198" i="4"/>
  <c r="B199" i="9" l="1"/>
  <c r="B199" i="7"/>
  <c r="B200" i="3"/>
  <c r="B199" i="4"/>
  <c r="B200" i="9" l="1"/>
  <c r="B200" i="7"/>
  <c r="B201" i="3"/>
  <c r="B200" i="4"/>
  <c r="B201" i="9" l="1"/>
  <c r="B201" i="7"/>
  <c r="B202" i="3"/>
  <c r="B201" i="4"/>
  <c r="B202" i="9" l="1"/>
  <c r="B202" i="7"/>
  <c r="B203" i="3"/>
  <c r="B202" i="4"/>
  <c r="B203" i="9" l="1"/>
  <c r="B203" i="7"/>
  <c r="B204" i="3"/>
  <c r="B203" i="4"/>
  <c r="B204" i="9" l="1"/>
  <c r="B204" i="7"/>
  <c r="B205" i="3"/>
  <c r="B204" i="4"/>
  <c r="B205" i="9" l="1"/>
  <c r="B205" i="7"/>
  <c r="B206" i="3"/>
  <c r="B205" i="4"/>
  <c r="B206" i="9" l="1"/>
  <c r="B206" i="7"/>
  <c r="B207" i="3"/>
  <c r="B206" i="4"/>
  <c r="B207" i="9" l="1"/>
  <c r="B207" i="7"/>
  <c r="B208" i="3"/>
  <c r="B207" i="4"/>
  <c r="B208" i="9" l="1"/>
  <c r="B208" i="7"/>
  <c r="B209" i="3"/>
  <c r="B208" i="4"/>
  <c r="B209" i="7" l="1"/>
  <c r="B209" i="9"/>
  <c r="B210" i="3"/>
  <c r="B209" i="4"/>
  <c r="B210" i="9" l="1"/>
  <c r="B210" i="7"/>
  <c r="B211" i="3"/>
  <c r="B210" i="4"/>
  <c r="B211" i="9" l="1"/>
  <c r="B211" i="7"/>
  <c r="B212" i="3"/>
  <c r="B211" i="4"/>
  <c r="B212" i="9" l="1"/>
  <c r="B212" i="7"/>
  <c r="B213" i="3"/>
  <c r="B212" i="4"/>
  <c r="B213" i="9" l="1"/>
  <c r="B213" i="7"/>
  <c r="B214" i="3"/>
  <c r="B213" i="4"/>
  <c r="B214" i="9" l="1"/>
  <c r="B214" i="7"/>
  <c r="B215" i="3"/>
  <c r="B214" i="4"/>
  <c r="B215" i="9" l="1"/>
  <c r="B215" i="7"/>
  <c r="B216" i="3"/>
  <c r="B215" i="4"/>
  <c r="B216" i="9" l="1"/>
  <c r="B216" i="7"/>
  <c r="B217" i="3"/>
  <c r="B216" i="4"/>
  <c r="B217" i="9" l="1"/>
  <c r="B217" i="7"/>
  <c r="B218" i="3"/>
  <c r="B217" i="4"/>
  <c r="B218" i="9" l="1"/>
  <c r="B218" i="7"/>
  <c r="B219" i="3"/>
  <c r="B218" i="4"/>
  <c r="B219" i="9" l="1"/>
  <c r="B219" i="7"/>
  <c r="B220" i="3"/>
  <c r="B219" i="4"/>
  <c r="B220" i="9" l="1"/>
  <c r="B220" i="7"/>
  <c r="B221" i="3"/>
  <c r="B220" i="4"/>
  <c r="B221" i="9" l="1"/>
  <c r="B221" i="7"/>
  <c r="B222" i="3"/>
  <c r="B221" i="4"/>
  <c r="B222" i="9" l="1"/>
  <c r="B222" i="7"/>
  <c r="B223" i="3"/>
  <c r="B222" i="4"/>
  <c r="B223" i="9" l="1"/>
  <c r="B223" i="7"/>
  <c r="B224" i="3"/>
  <c r="B223" i="4"/>
  <c r="B224" i="9" l="1"/>
  <c r="B224" i="7"/>
  <c r="B225" i="3"/>
  <c r="B224" i="4"/>
  <c r="B225" i="7" l="1"/>
  <c r="B225" i="9"/>
  <c r="B226" i="3"/>
  <c r="B225" i="4"/>
  <c r="B226" i="9" l="1"/>
  <c r="B226" i="7"/>
  <c r="B227" i="3"/>
  <c r="B226" i="4"/>
  <c r="B227" i="9" l="1"/>
  <c r="B227" i="7"/>
  <c r="B228" i="3"/>
  <c r="B227" i="4"/>
  <c r="B228" i="9" l="1"/>
  <c r="B228" i="7"/>
  <c r="B229" i="3"/>
  <c r="B228" i="4"/>
  <c r="B229" i="9" l="1"/>
  <c r="B229" i="7"/>
  <c r="B230" i="3"/>
  <c r="B229" i="4"/>
  <c r="B230" i="9" l="1"/>
  <c r="B230" i="7"/>
  <c r="B231" i="3"/>
  <c r="B230" i="4"/>
  <c r="B231" i="9" l="1"/>
  <c r="B231" i="7"/>
  <c r="B232" i="3"/>
  <c r="B231" i="4"/>
  <c r="B232" i="9" l="1"/>
  <c r="B232" i="7"/>
  <c r="B233" i="3"/>
  <c r="B232" i="4"/>
  <c r="B233" i="9" l="1"/>
  <c r="B233" i="7"/>
  <c r="B234" i="3"/>
  <c r="B233" i="4"/>
  <c r="B234" i="4" l="1"/>
  <c r="B234" i="9"/>
  <c r="B235" i="3"/>
  <c r="B234" i="7"/>
  <c r="B236" i="3" l="1"/>
  <c r="B235" i="9"/>
  <c r="B235" i="7"/>
  <c r="B235" i="4"/>
  <c r="B236" i="9" l="1"/>
  <c r="B236" i="7"/>
  <c r="B236" i="4"/>
  <c r="B237" i="3"/>
  <c r="B237" i="9" l="1"/>
  <c r="B237" i="7"/>
  <c r="B237" i="4"/>
  <c r="B238" i="3"/>
  <c r="B238" i="9" l="1"/>
  <c r="B238" i="7"/>
  <c r="B238" i="4"/>
  <c r="B239" i="3"/>
  <c r="B239" i="9" l="1"/>
  <c r="B239" i="7"/>
  <c r="B239" i="4"/>
  <c r="B240" i="3"/>
  <c r="B241" i="3" s="1"/>
  <c r="B241" i="4" l="1"/>
  <c r="B241" i="9"/>
  <c r="B242" i="3"/>
  <c r="B241" i="7"/>
  <c r="B240" i="4"/>
  <c r="B240" i="7"/>
  <c r="B240" i="9"/>
  <c r="B243" i="3" l="1"/>
  <c r="B242" i="4"/>
  <c r="B242" i="9"/>
  <c r="B242" i="7"/>
  <c r="B244" i="3" l="1"/>
  <c r="B243" i="4"/>
  <c r="B243" i="7"/>
  <c r="B243" i="9"/>
  <c r="B245" i="3" l="1"/>
  <c r="B244" i="9"/>
  <c r="B244" i="7"/>
  <c r="B244" i="4"/>
  <c r="B246" i="3" l="1"/>
  <c r="B245" i="7"/>
  <c r="B245" i="9"/>
  <c r="B245" i="4"/>
  <c r="B247" i="3" l="1"/>
  <c r="B246" i="7"/>
  <c r="B246" i="9"/>
  <c r="B246" i="4"/>
  <c r="B248" i="3" l="1"/>
  <c r="B247" i="7"/>
  <c r="B247" i="9"/>
  <c r="B247" i="4"/>
  <c r="B249" i="3" l="1"/>
  <c r="B248" i="9"/>
  <c r="B248" i="4"/>
  <c r="B248" i="7"/>
  <c r="B250" i="3" l="1"/>
  <c r="B249" i="4"/>
  <c r="B249" i="9"/>
  <c r="B249" i="7"/>
  <c r="B251" i="3" l="1"/>
  <c r="B250" i="9"/>
  <c r="B250" i="4"/>
  <c r="B250" i="7"/>
  <c r="B252" i="3" l="1"/>
  <c r="B251" i="4"/>
  <c r="B251" i="7"/>
  <c r="B251" i="9"/>
  <c r="B253" i="3" l="1"/>
  <c r="B252" i="9"/>
  <c r="B252" i="4"/>
  <c r="B252" i="7"/>
  <c r="B254" i="3" l="1"/>
  <c r="B253" i="9"/>
  <c r="B253" i="4"/>
  <c r="B253" i="7"/>
  <c r="B255" i="3" l="1"/>
  <c r="B254" i="9"/>
  <c r="B254" i="7"/>
  <c r="B254" i="4"/>
  <c r="B256" i="3" l="1"/>
  <c r="B255" i="7"/>
  <c r="B255" i="9"/>
  <c r="B255" i="4"/>
  <c r="B257" i="3" l="1"/>
  <c r="B256" i="9"/>
  <c r="B256" i="7"/>
  <c r="B256" i="4"/>
  <c r="B258" i="3" l="1"/>
  <c r="B257" i="9"/>
  <c r="B257" i="4"/>
  <c r="B257" i="7"/>
  <c r="B259" i="3" l="1"/>
  <c r="B258" i="7"/>
  <c r="B258" i="4"/>
  <c r="B258" i="9"/>
  <c r="B260" i="3" l="1"/>
  <c r="B259" i="4"/>
  <c r="B259" i="7"/>
  <c r="B259" i="9"/>
  <c r="B261" i="3" l="1"/>
  <c r="B260" i="7"/>
  <c r="B260" i="4"/>
  <c r="B260" i="9"/>
  <c r="B262" i="3" l="1"/>
  <c r="B261" i="4"/>
  <c r="B261" i="9"/>
  <c r="B261" i="7"/>
  <c r="B263" i="3" l="1"/>
  <c r="B262" i="9"/>
  <c r="B262" i="7"/>
  <c r="B262" i="4"/>
  <c r="B264" i="3" l="1"/>
  <c r="B263" i="7"/>
  <c r="B263" i="4"/>
  <c r="B263" i="9"/>
  <c r="B265" i="3" l="1"/>
  <c r="B264" i="7"/>
  <c r="B264" i="4"/>
  <c r="B264" i="9"/>
  <c r="B266" i="3" l="1"/>
  <c r="B265" i="4"/>
  <c r="B265" i="7"/>
  <c r="B265" i="9"/>
  <c r="B267" i="3" l="1"/>
  <c r="B266" i="7"/>
  <c r="B266" i="4"/>
  <c r="B266" i="9"/>
  <c r="B268" i="3" l="1"/>
  <c r="B267" i="4"/>
  <c r="B267" i="7"/>
  <c r="B267" i="9"/>
  <c r="B269" i="3" l="1"/>
  <c r="B268" i="9"/>
  <c r="B268" i="7"/>
  <c r="B268" i="4"/>
  <c r="B270" i="3" l="1"/>
  <c r="B269" i="9"/>
  <c r="B269" i="4"/>
  <c r="B269" i="7"/>
  <c r="B271" i="3" l="1"/>
  <c r="B270" i="7"/>
  <c r="B270" i="9"/>
  <c r="B270" i="4"/>
  <c r="B272" i="3" l="1"/>
  <c r="B271" i="9"/>
  <c r="B271" i="7"/>
  <c r="B271" i="4"/>
  <c r="B273" i="3" l="1"/>
  <c r="B272" i="9"/>
  <c r="B272" i="7"/>
  <c r="B272" i="4"/>
  <c r="B274" i="3" l="1"/>
  <c r="B273" i="9"/>
  <c r="B273" i="4"/>
  <c r="B273" i="7"/>
  <c r="B275" i="3" l="1"/>
  <c r="B274" i="4"/>
  <c r="B274" i="7"/>
  <c r="B274" i="9"/>
  <c r="B276" i="3" l="1"/>
  <c r="B275" i="9"/>
  <c r="B275" i="7"/>
  <c r="B275" i="4"/>
  <c r="B277" i="3" l="1"/>
  <c r="B276" i="4"/>
  <c r="B276" i="9"/>
  <c r="B276" i="7"/>
  <c r="B278" i="3" l="1"/>
  <c r="B277" i="9"/>
  <c r="B277" i="4"/>
  <c r="B277" i="7"/>
  <c r="B279" i="3" l="1"/>
  <c r="B278" i="9"/>
  <c r="B278" i="4"/>
  <c r="B278" i="7"/>
  <c r="B280" i="3" l="1"/>
  <c r="B279" i="4"/>
  <c r="B279" i="7"/>
  <c r="B279" i="9"/>
  <c r="B281" i="3" l="1"/>
  <c r="B280" i="4"/>
  <c r="B280" i="7"/>
  <c r="B280" i="9"/>
  <c r="B282" i="3" l="1"/>
  <c r="B281" i="4"/>
  <c r="B281" i="7"/>
  <c r="B281" i="9"/>
  <c r="B283" i="3" l="1"/>
  <c r="B282" i="4"/>
  <c r="B282" i="9"/>
  <c r="B282" i="7"/>
  <c r="B284" i="3" l="1"/>
  <c r="B283" i="9"/>
  <c r="B283" i="4"/>
  <c r="B283" i="7"/>
  <c r="B285" i="3" l="1"/>
  <c r="B284" i="4"/>
  <c r="B284" i="7"/>
  <c r="B286" i="3" l="1"/>
  <c r="B285" i="7"/>
  <c r="B285" i="4"/>
  <c r="B287" i="3" l="1"/>
  <c r="B286" i="7"/>
  <c r="B286" i="4"/>
  <c r="B288" i="3" l="1"/>
  <c r="B287" i="7"/>
  <c r="B287" i="4"/>
  <c r="B289" i="3" l="1"/>
  <c r="B288" i="7"/>
  <c r="B288" i="4"/>
  <c r="B290" i="3" l="1"/>
  <c r="B289" i="7"/>
  <c r="B289" i="4"/>
  <c r="B291" i="3" l="1"/>
  <c r="B290" i="7"/>
  <c r="B290" i="4"/>
  <c r="B292" i="3" l="1"/>
  <c r="B291" i="7"/>
  <c r="B291" i="4"/>
  <c r="B293" i="3" l="1"/>
  <c r="B292" i="4"/>
  <c r="B292" i="7"/>
  <c r="B294" i="3" l="1"/>
  <c r="B293" i="4"/>
  <c r="B293" i="7"/>
  <c r="B295" i="3" l="1"/>
  <c r="B294" i="4"/>
  <c r="B294" i="7"/>
  <c r="B296" i="3" l="1"/>
  <c r="B295" i="4"/>
  <c r="B295" i="7"/>
  <c r="B297" i="3" l="1"/>
  <c r="B296" i="4"/>
  <c r="B296" i="7"/>
  <c r="B298" i="3" l="1"/>
  <c r="B297" i="4"/>
  <c r="B297" i="7"/>
  <c r="B299" i="3" l="1"/>
  <c r="B298" i="4"/>
  <c r="B298" i="7"/>
  <c r="B300" i="3" l="1"/>
  <c r="B299" i="4"/>
  <c r="B299" i="7"/>
  <c r="B301" i="3" l="1"/>
  <c r="B300" i="4"/>
  <c r="B300" i="7"/>
  <c r="B302" i="3" l="1"/>
  <c r="B301" i="7"/>
  <c r="B301" i="4"/>
  <c r="B303" i="3" l="1"/>
  <c r="B302" i="7"/>
  <c r="B302" i="4"/>
  <c r="B304" i="3" l="1"/>
  <c r="B303" i="7"/>
  <c r="B303" i="4"/>
  <c r="B305" i="3" l="1"/>
  <c r="B304" i="7"/>
  <c r="B304" i="4"/>
  <c r="B306" i="3" l="1"/>
  <c r="B305" i="7"/>
  <c r="B305" i="4"/>
  <c r="B306" i="7" l="1"/>
  <c r="B306" i="4"/>
  <c r="X6" i="29" l="1"/>
  <c r="X7" i="29"/>
  <c r="X2" i="29"/>
  <c r="X3" i="29"/>
  <c r="X4" i="29"/>
  <c r="X5" i="29"/>
  <c r="Y3" i="29"/>
  <c r="Y5" i="29"/>
  <c r="Y4" i="29"/>
  <c r="Y6" i="29"/>
  <c r="Y7" i="29"/>
  <c r="Y2" i="29"/>
  <c r="U7" i="29"/>
  <c r="U4" i="29"/>
  <c r="U6" i="29"/>
  <c r="U5" i="29"/>
  <c r="U2" i="29"/>
  <c r="U3" i="29"/>
  <c r="Z7" i="29"/>
  <c r="Z6" i="29"/>
  <c r="Z4" i="29"/>
  <c r="Z5" i="29"/>
  <c r="Z3" i="29"/>
  <c r="Z2" i="29"/>
  <c r="N2" i="29"/>
  <c r="N5" i="29"/>
  <c r="N4" i="29"/>
  <c r="N6" i="29"/>
  <c r="N3" i="29"/>
  <c r="N7" i="29"/>
  <c r="AA6" i="29"/>
  <c r="AA4" i="29"/>
  <c r="AA3" i="29"/>
  <c r="AA2" i="29"/>
  <c r="AA5" i="29"/>
  <c r="AA7" i="29"/>
  <c r="O5" i="29"/>
  <c r="O2" i="29"/>
  <c r="O7" i="29"/>
  <c r="O3" i="29"/>
  <c r="O6" i="29"/>
  <c r="O4" i="29"/>
  <c r="AB6" i="29"/>
  <c r="AB2" i="29"/>
  <c r="AB3" i="29"/>
  <c r="AB4" i="29"/>
  <c r="AB5" i="29"/>
  <c r="AB7" i="29"/>
  <c r="P6" i="29"/>
  <c r="P5" i="29"/>
  <c r="P4" i="29"/>
  <c r="P7" i="29"/>
  <c r="P2" i="29"/>
  <c r="P3" i="29"/>
  <c r="AC2" i="29"/>
  <c r="AC3" i="29"/>
  <c r="AC7" i="29"/>
  <c r="AC5" i="29"/>
  <c r="AC6" i="29"/>
  <c r="AC4" i="29"/>
  <c r="Q3" i="29"/>
  <c r="Q4" i="29"/>
  <c r="Q2" i="29"/>
  <c r="Q7" i="29"/>
  <c r="Q6" i="29"/>
  <c r="Q5" i="29"/>
  <c r="R3" i="29"/>
  <c r="R4" i="29"/>
  <c r="R5" i="29"/>
  <c r="R6" i="29"/>
  <c r="R7" i="29"/>
  <c r="R2" i="29"/>
  <c r="S5" i="29"/>
  <c r="S3" i="29"/>
  <c r="S2" i="29"/>
  <c r="S7" i="29"/>
  <c r="S4" i="29"/>
  <c r="S6" i="29"/>
  <c r="T5" i="29"/>
  <c r="T6" i="29"/>
  <c r="T3" i="29"/>
  <c r="T2" i="29"/>
  <c r="T4" i="29"/>
  <c r="T7" i="29"/>
  <c r="V7" i="29"/>
  <c r="V6" i="29"/>
  <c r="V4" i="29"/>
  <c r="V5" i="29"/>
  <c r="V3" i="29"/>
  <c r="V2" i="29"/>
  <c r="W2" i="29"/>
  <c r="W3" i="29"/>
  <c r="W4" i="29"/>
  <c r="W6" i="29"/>
  <c r="W7" i="29"/>
  <c r="W5" i="29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RICHVALUE" minSupportedVersion="120000" copy="1" pasteAll="1" pasteValues="1" merge="1" splitFirst="1" rowColShift="1" clearFormats="1" clearComments="1" assign="1" coerce="1"/>
    <metadataType name="XLDAPR" minSupportedVersion="120000" copy="1" pasteAll="1" pasteValues="1" merge="1" splitFirst="1" rowColShift="1" clearFormats="1" clearComments="1" assign="1" coerce="1" cellMeta="1"/>
  </metadataTypes>
  <futureMetadata name="XLRICHVALUE" count="1">
    <bk>
      <extLst>
        <ext uri="{3e2802c4-a4d2-4d8b-9148-e3be6c30e623}">
          <xlrd:rvb i="0"/>
        </ext>
      </extLst>
    </bk>
  </futureMetadata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2" v="0"/>
    </bk>
  </cellMetadata>
  <valueMetadata count="1">
    <bk>
      <rc t="1" v="0"/>
    </bk>
  </valueMetadata>
</metadata>
</file>

<file path=xl/sharedStrings.xml><?xml version="1.0" encoding="utf-8"?>
<sst xmlns="http://schemas.openxmlformats.org/spreadsheetml/2006/main" count="50409" uniqueCount="832">
  <si>
    <t>INFORMATION SAMPLES</t>
  </si>
  <si>
    <t>Sample serial No</t>
  </si>
  <si>
    <t>Date (M,D.Y)</t>
  </si>
  <si>
    <t>Requisitioner</t>
  </si>
  <si>
    <t>Set CIAT</t>
  </si>
  <si>
    <t>CIAT Lab-ID</t>
  </si>
  <si>
    <t>Gene bank /Breeding program ID</t>
  </si>
  <si>
    <t>Genus</t>
  </si>
  <si>
    <t>Species</t>
  </si>
  <si>
    <t>Tax Name</t>
  </si>
  <si>
    <t>Family</t>
  </si>
  <si>
    <t>Order</t>
  </si>
  <si>
    <t>Functional Group</t>
  </si>
  <si>
    <t>Batches  CIAT</t>
  </si>
  <si>
    <t>ID LAB</t>
  </si>
  <si>
    <t>Observaciones</t>
  </si>
  <si>
    <t>Genbank</t>
  </si>
  <si>
    <t>F251728</t>
  </si>
  <si>
    <t>CIAT-13262</t>
  </si>
  <si>
    <t>Dendrolobium</t>
  </si>
  <si>
    <t>triangulare</t>
  </si>
  <si>
    <t>Dendrolobium triangulare</t>
  </si>
  <si>
    <t>Fabaceae</t>
  </si>
  <si>
    <t>Fabales</t>
  </si>
  <si>
    <t>Tree</t>
  </si>
  <si>
    <t>58,59, 69</t>
  </si>
  <si>
    <t>OT-010 (2025)</t>
  </si>
  <si>
    <t>F251729</t>
  </si>
  <si>
    <t>CIAT-13528</t>
  </si>
  <si>
    <t>lanceolatum</t>
  </si>
  <si>
    <t>Dendrolobium lanceolatum</t>
  </si>
  <si>
    <t>F251730</t>
  </si>
  <si>
    <t>CIAT-13529</t>
  </si>
  <si>
    <t>F251731</t>
  </si>
  <si>
    <t>CIAT-13710</t>
  </si>
  <si>
    <t>F251732</t>
  </si>
  <si>
    <t>CIAT-22004</t>
  </si>
  <si>
    <t>F251733</t>
  </si>
  <si>
    <t>CIAT-23104</t>
  </si>
  <si>
    <t>F251734</t>
  </si>
  <si>
    <t>CIAT-23106</t>
  </si>
  <si>
    <t>F251735</t>
  </si>
  <si>
    <t>CIAT-23107</t>
  </si>
  <si>
    <t>F251736</t>
  </si>
  <si>
    <t>CIAT-23108</t>
  </si>
  <si>
    <t>F251737</t>
  </si>
  <si>
    <t>CIAT-23412</t>
  </si>
  <si>
    <t>F251738</t>
  </si>
  <si>
    <t>CIAT-23413</t>
  </si>
  <si>
    <t>F251739</t>
  </si>
  <si>
    <t>CIAT-23419</t>
  </si>
  <si>
    <t>F251740</t>
  </si>
  <si>
    <t>CIAT-23422</t>
  </si>
  <si>
    <t>F251741</t>
  </si>
  <si>
    <t>CIAT-23734</t>
  </si>
  <si>
    <t>F251742</t>
  </si>
  <si>
    <t>CIAT-23932</t>
  </si>
  <si>
    <t>F251743</t>
  </si>
  <si>
    <t>CIAT-23933</t>
  </si>
  <si>
    <t>F251744</t>
  </si>
  <si>
    <t>CIAT-23934</t>
  </si>
  <si>
    <t>F251745</t>
  </si>
  <si>
    <t>CIAT-23936</t>
  </si>
  <si>
    <t>F251746</t>
  </si>
  <si>
    <t>CIAT-33119</t>
  </si>
  <si>
    <t>F251747</t>
  </si>
  <si>
    <t>CIAT-33383</t>
  </si>
  <si>
    <t>sp.</t>
  </si>
  <si>
    <t>Dendrolobium sp.</t>
  </si>
  <si>
    <t>F251748</t>
  </si>
  <si>
    <t>CIAT-33402</t>
  </si>
  <si>
    <t>F251749</t>
  </si>
  <si>
    <t>CIAT-33508</t>
  </si>
  <si>
    <t>umbellatum</t>
  </si>
  <si>
    <t>Dendrolobium umbellatum</t>
  </si>
  <si>
    <t>F251750</t>
  </si>
  <si>
    <t>CIAT-33515</t>
  </si>
  <si>
    <t>F251751</t>
  </si>
  <si>
    <t>CIAT-7353</t>
  </si>
  <si>
    <t>Prosopis</t>
  </si>
  <si>
    <t>juliflora</t>
  </si>
  <si>
    <t>Prosopis juliflora</t>
  </si>
  <si>
    <t>F251752</t>
  </si>
  <si>
    <t>CIAT-7976</t>
  </si>
  <si>
    <t>Cassia</t>
  </si>
  <si>
    <t>Cassia sp.</t>
  </si>
  <si>
    <t>F251753</t>
  </si>
  <si>
    <t>CIAT-8018</t>
  </si>
  <si>
    <t>Acacia</t>
  </si>
  <si>
    <t>aroma</t>
  </si>
  <si>
    <t>Acacia aroma</t>
  </si>
  <si>
    <t>F251754</t>
  </si>
  <si>
    <t>CIAT-9990</t>
  </si>
  <si>
    <t>F251755</t>
  </si>
  <si>
    <t>CIAT-13258</t>
  </si>
  <si>
    <t>F251756</t>
  </si>
  <si>
    <t>CIAT-13260</t>
  </si>
  <si>
    <t>F251757</t>
  </si>
  <si>
    <t>CIAT-17263</t>
  </si>
  <si>
    <t>Leucaena</t>
  </si>
  <si>
    <t>leucocephala</t>
  </si>
  <si>
    <t>Leucaena leucocephala</t>
  </si>
  <si>
    <t>Isabel Molina</t>
  </si>
  <si>
    <t>F252640</t>
  </si>
  <si>
    <t xml:space="preserve"> Cayman Br02_1752</t>
  </si>
  <si>
    <t>Urochloa</t>
  </si>
  <si>
    <t>interespecifico</t>
  </si>
  <si>
    <t>Urochloa interespecifico</t>
  </si>
  <si>
    <t>Poaceae</t>
  </si>
  <si>
    <t>Poales</t>
  </si>
  <si>
    <t>grasses</t>
  </si>
  <si>
    <t>OT-034 (2025)</t>
  </si>
  <si>
    <t>Mauricio Sotelo</t>
  </si>
  <si>
    <t>F252641</t>
  </si>
  <si>
    <t>N/A</t>
  </si>
  <si>
    <t xml:space="preserve">Gliricidia  </t>
  </si>
  <si>
    <t>sepium</t>
  </si>
  <si>
    <t xml:space="preserve">Gliricidia sepium </t>
  </si>
  <si>
    <t xml:space="preserve">Arbustiva </t>
  </si>
  <si>
    <t>OT-035 (2025)</t>
  </si>
  <si>
    <t>Jacobo Arango/Alejandro Montoya</t>
  </si>
  <si>
    <t>F250008</t>
  </si>
  <si>
    <t>Sample 8</t>
  </si>
  <si>
    <t>Cynodon</t>
  </si>
  <si>
    <t xml:space="preserve"> nlemfuensis </t>
  </si>
  <si>
    <t xml:space="preserve">Cynodon nlemfuensis </t>
  </si>
  <si>
    <t>OT-002</t>
  </si>
  <si>
    <t>F251758</t>
  </si>
  <si>
    <t>CIAT-17459</t>
  </si>
  <si>
    <t>Erythrina</t>
  </si>
  <si>
    <t>berteroana</t>
  </si>
  <si>
    <t>Erythrina berteroana</t>
  </si>
  <si>
    <t>60,61, 62</t>
  </si>
  <si>
    <t>OT-010</t>
  </si>
  <si>
    <t>F251759</t>
  </si>
  <si>
    <t>CIAT-17482</t>
  </si>
  <si>
    <t>F251760</t>
  </si>
  <si>
    <t>CIAT-17502</t>
  </si>
  <si>
    <t>F251761</t>
  </si>
  <si>
    <t>CIAT-19384</t>
  </si>
  <si>
    <t>F251762</t>
  </si>
  <si>
    <t>CIAT-19571</t>
  </si>
  <si>
    <t>Senna</t>
  </si>
  <si>
    <t>cobanensis</t>
  </si>
  <si>
    <t>Senna cobanensis</t>
  </si>
  <si>
    <t>F251763</t>
  </si>
  <si>
    <t>CIAT-20126</t>
  </si>
  <si>
    <t>angustissima</t>
  </si>
  <si>
    <t>Acacia angustissima</t>
  </si>
  <si>
    <t>F251764</t>
  </si>
  <si>
    <t>CIAT-20788</t>
  </si>
  <si>
    <t>pallida</t>
  </si>
  <si>
    <t>Senna pallida</t>
  </si>
  <si>
    <t>F251765</t>
  </si>
  <si>
    <t>CIAT-21242</t>
  </si>
  <si>
    <t>diversifolia</t>
  </si>
  <si>
    <t>Leucaena diversifolia</t>
  </si>
  <si>
    <t>F251766</t>
  </si>
  <si>
    <t>CIAT-21512</t>
  </si>
  <si>
    <t>Calliandra</t>
  </si>
  <si>
    <t>calothyrsus</t>
  </si>
  <si>
    <t>Calliandra calothyrsus</t>
  </si>
  <si>
    <t>F251767</t>
  </si>
  <si>
    <t>CIAT-21601</t>
  </si>
  <si>
    <t>fusca</t>
  </si>
  <si>
    <t>Erythrina fusca</t>
  </si>
  <si>
    <t>F251768</t>
  </si>
  <si>
    <t>CIAT-21809</t>
  </si>
  <si>
    <t>farnesiana</t>
  </si>
  <si>
    <t>Acacia farnesiana</t>
  </si>
  <si>
    <t>F251769</t>
  </si>
  <si>
    <t>CIAT-21810</t>
  </si>
  <si>
    <t>F251770</t>
  </si>
  <si>
    <t>CIAT-21888</t>
  </si>
  <si>
    <t>F251771</t>
  </si>
  <si>
    <t>CIAT-22310</t>
  </si>
  <si>
    <t>F251772</t>
  </si>
  <si>
    <t>CIAT-22311</t>
  </si>
  <si>
    <t>Se debera repetir</t>
  </si>
  <si>
    <t>Falta</t>
  </si>
  <si>
    <t>F251773</t>
  </si>
  <si>
    <t>CIAT-22316</t>
  </si>
  <si>
    <t>F251774</t>
  </si>
  <si>
    <t>CIAT-23239</t>
  </si>
  <si>
    <t>F251775</t>
  </si>
  <si>
    <t>CIAT-33116</t>
  </si>
  <si>
    <t>F252184</t>
  </si>
  <si>
    <t>CIAT-BH22_0303</t>
  </si>
  <si>
    <t>humidicola</t>
  </si>
  <si>
    <t>Urochloa humidicola</t>
  </si>
  <si>
    <t>OT-021</t>
  </si>
  <si>
    <t>Reproceso Joha Set 34</t>
  </si>
  <si>
    <t>F252185</t>
  </si>
  <si>
    <t>CIAT-BH22_1594</t>
  </si>
  <si>
    <t>F252186</t>
  </si>
  <si>
    <t>CIAT-BH22_0468</t>
  </si>
  <si>
    <t>F252187</t>
  </si>
  <si>
    <t>CIAT-BH22_3830</t>
  </si>
  <si>
    <t>F252188</t>
  </si>
  <si>
    <t>CIAT-BH22_1710</t>
  </si>
  <si>
    <t>F252189</t>
  </si>
  <si>
    <t>CIAT-BH22_2365</t>
  </si>
  <si>
    <t>F252190</t>
  </si>
  <si>
    <t>CIAT-BH22_3572</t>
  </si>
  <si>
    <t>F252191</t>
  </si>
  <si>
    <t>CIAT-BH22_0517</t>
  </si>
  <si>
    <t>F252192</t>
  </si>
  <si>
    <t>CIAT-BH22_0519</t>
  </si>
  <si>
    <t>F252193</t>
  </si>
  <si>
    <t>CIAT-BH22_0521</t>
  </si>
  <si>
    <t>F252574</t>
  </si>
  <si>
    <t>CIAT326</t>
  </si>
  <si>
    <t>Desmodium</t>
  </si>
  <si>
    <t>scorpiurus</t>
  </si>
  <si>
    <t>Desmodium scorpiurus</t>
  </si>
  <si>
    <t>Herbaceous</t>
  </si>
  <si>
    <t>OT-031</t>
  </si>
  <si>
    <t>F252575</t>
  </si>
  <si>
    <t>CIAT415</t>
  </si>
  <si>
    <t>Vigna</t>
  </si>
  <si>
    <t>radiata</t>
  </si>
  <si>
    <t>Vigna radiata</t>
  </si>
  <si>
    <t>F252576</t>
  </si>
  <si>
    <t>CIAT416</t>
  </si>
  <si>
    <t>F252577</t>
  </si>
  <si>
    <t>CIAT517</t>
  </si>
  <si>
    <t>Macroptilium</t>
  </si>
  <si>
    <t>atropurpureum</t>
  </si>
  <si>
    <t>Macroptilium atropurpureum</t>
  </si>
  <si>
    <t>F252578</t>
  </si>
  <si>
    <t>CIAT563</t>
  </si>
  <si>
    <t>bracteatum</t>
  </si>
  <si>
    <t>Macroptilium bracteatum</t>
  </si>
  <si>
    <t>F252579</t>
  </si>
  <si>
    <t>CIAT789</t>
  </si>
  <si>
    <t>Zornia</t>
  </si>
  <si>
    <t>latifolia</t>
  </si>
  <si>
    <t>Zornia latifolia</t>
  </si>
  <si>
    <t>F252580</t>
  </si>
  <si>
    <t>CIAT2085</t>
  </si>
  <si>
    <t>Stylosanthes</t>
  </si>
  <si>
    <t>seabrana</t>
  </si>
  <si>
    <t>Stylosanthes seabrana</t>
  </si>
  <si>
    <t>F252581</t>
  </si>
  <si>
    <t>CIAT2690</t>
  </si>
  <si>
    <t>angustifolia</t>
  </si>
  <si>
    <t>Stylosanthes angustifolia</t>
  </si>
  <si>
    <t>F252582</t>
  </si>
  <si>
    <t>CIAT4069</t>
  </si>
  <si>
    <t>F252583</t>
  </si>
  <si>
    <t>CIAT4141</t>
  </si>
  <si>
    <t>F252584</t>
  </si>
  <si>
    <t>CIAT4532</t>
  </si>
  <si>
    <t>unguiculata</t>
  </si>
  <si>
    <t>Vigna unguiculata</t>
  </si>
  <si>
    <t>F252585</t>
  </si>
  <si>
    <t>CIAT4537</t>
  </si>
  <si>
    <t>F252586</t>
  </si>
  <si>
    <t>CIAT7289</t>
  </si>
  <si>
    <t>Chamaecrista</t>
  </si>
  <si>
    <t>mimosoides</t>
  </si>
  <si>
    <t>Chamaecrista mimosoides</t>
  </si>
  <si>
    <t>F252587</t>
  </si>
  <si>
    <t>CIAT7826</t>
  </si>
  <si>
    <t>Tephrosia</t>
  </si>
  <si>
    <t>purpurea</t>
  </si>
  <si>
    <t>Tephrosia purpurea</t>
  </si>
  <si>
    <t>F252588</t>
  </si>
  <si>
    <t>CIAT8014</t>
  </si>
  <si>
    <t>Crotalaria</t>
  </si>
  <si>
    <t>retusa</t>
  </si>
  <si>
    <t>Crotalaria retusa</t>
  </si>
  <si>
    <t>F252589</t>
  </si>
  <si>
    <t>CIAT8849</t>
  </si>
  <si>
    <t>brasiliensis</t>
  </si>
  <si>
    <t>Zornia brasiliensis</t>
  </si>
  <si>
    <t>F252590</t>
  </si>
  <si>
    <t>CIAT9326</t>
  </si>
  <si>
    <t>F252591</t>
  </si>
  <si>
    <t>CIAT9337</t>
  </si>
  <si>
    <t>F252592</t>
  </si>
  <si>
    <t>CIAT9350</t>
  </si>
  <si>
    <t>pumila</t>
  </si>
  <si>
    <t>Crotalaria pumila</t>
  </si>
  <si>
    <t>F252593</t>
  </si>
  <si>
    <t>CIAT9352</t>
  </si>
  <si>
    <t>F252594</t>
  </si>
  <si>
    <t>CIAT9472</t>
  </si>
  <si>
    <t>F252595</t>
  </si>
  <si>
    <t>CIAT9531</t>
  </si>
  <si>
    <t>Indigofera</t>
  </si>
  <si>
    <t>spicata</t>
  </si>
  <si>
    <t>Indigofera spicata</t>
  </si>
  <si>
    <t>F252596</t>
  </si>
  <si>
    <t>CIAT10026</t>
  </si>
  <si>
    <t>F252597</t>
  </si>
  <si>
    <t>CIAT12411</t>
  </si>
  <si>
    <t>sympodialis</t>
  </si>
  <si>
    <t>Stylosanthes sympodialis</t>
  </si>
  <si>
    <t>F252598</t>
  </si>
  <si>
    <t>CIAT13494</t>
  </si>
  <si>
    <t>tortuosum</t>
  </si>
  <si>
    <t>Desmodium tortuosum</t>
  </si>
  <si>
    <t>Shurb_Tree</t>
  </si>
  <si>
    <t>F252599</t>
  </si>
  <si>
    <t>CIAT13562</t>
  </si>
  <si>
    <t>F252600</t>
  </si>
  <si>
    <t>CIAT13593</t>
  </si>
  <si>
    <t>F252601</t>
  </si>
  <si>
    <t>CIAT13608</t>
  </si>
  <si>
    <t>incanum</t>
  </si>
  <si>
    <t>Desmodium incanum</t>
  </si>
  <si>
    <t>F252602</t>
  </si>
  <si>
    <t>CIAT18277</t>
  </si>
  <si>
    <t>jamaicensis</t>
  </si>
  <si>
    <t>Indigofera jamaicensis</t>
  </si>
  <si>
    <t>F252603</t>
  </si>
  <si>
    <t>CIAT18952</t>
  </si>
  <si>
    <t>atriceps</t>
  </si>
  <si>
    <t>Indigofera atriceps</t>
  </si>
  <si>
    <t>Jacobo Arango/ Alejandro Montoya</t>
  </si>
  <si>
    <t>F252604</t>
  </si>
  <si>
    <t>CIAT18953</t>
  </si>
  <si>
    <t>62,63,70</t>
  </si>
  <si>
    <t>OT-031 (2025)</t>
  </si>
  <si>
    <t>F252605</t>
  </si>
  <si>
    <t>CIAT18954</t>
  </si>
  <si>
    <t>F252606</t>
  </si>
  <si>
    <t>CIAT19198</t>
  </si>
  <si>
    <t>villosa</t>
  </si>
  <si>
    <t>Tephrosia villosa</t>
  </si>
  <si>
    <t>F252607</t>
  </si>
  <si>
    <t>CIAT19460</t>
  </si>
  <si>
    <t>Sesbania</t>
  </si>
  <si>
    <t>cannabina</t>
  </si>
  <si>
    <t>Sesbania cannabina</t>
  </si>
  <si>
    <t>F252608</t>
  </si>
  <si>
    <t>CIAT20044</t>
  </si>
  <si>
    <t>F252609</t>
  </si>
  <si>
    <t>CIAT22423</t>
  </si>
  <si>
    <t>F252610</t>
  </si>
  <si>
    <t>CIAT22480</t>
  </si>
  <si>
    <t>F252611</t>
  </si>
  <si>
    <t>CIAT23116</t>
  </si>
  <si>
    <t>F252612</t>
  </si>
  <si>
    <t>CIAT23416</t>
  </si>
  <si>
    <t>Codariocalyx</t>
  </si>
  <si>
    <t>motorius</t>
  </si>
  <si>
    <t>Codariocalyx motorius</t>
  </si>
  <si>
    <t>F252613</t>
  </si>
  <si>
    <t>CIAT23806</t>
  </si>
  <si>
    <t>angustifolium</t>
  </si>
  <si>
    <t>Desmodium angustifolium</t>
  </si>
  <si>
    <t>F252614</t>
  </si>
  <si>
    <t>CIAT24104</t>
  </si>
  <si>
    <t>F252615</t>
  </si>
  <si>
    <t>CIAT24565</t>
  </si>
  <si>
    <t>F252616</t>
  </si>
  <si>
    <t>CIAT33561</t>
  </si>
  <si>
    <t>wigginsii</t>
  </si>
  <si>
    <t>Desmodium wigginsii</t>
  </si>
  <si>
    <t>F252617</t>
  </si>
  <si>
    <t>CIAT34038</t>
  </si>
  <si>
    <t>F252618</t>
  </si>
  <si>
    <t>CIAT34040</t>
  </si>
  <si>
    <t>aconitifolia</t>
  </si>
  <si>
    <t>Vigna aconitifolia</t>
  </si>
  <si>
    <t>F252619</t>
  </si>
  <si>
    <t>CIAT34042</t>
  </si>
  <si>
    <t>F252620</t>
  </si>
  <si>
    <t>CIAT34044</t>
  </si>
  <si>
    <t>F252621</t>
  </si>
  <si>
    <t>CIAT34148</t>
  </si>
  <si>
    <t>F252622</t>
  </si>
  <si>
    <t>CIAT34159</t>
  </si>
  <si>
    <t>F252623</t>
  </si>
  <si>
    <t>CIAT34347</t>
  </si>
  <si>
    <t>F251692</t>
  </si>
  <si>
    <t>CIAT-23715</t>
  </si>
  <si>
    <t>sequax</t>
  </si>
  <si>
    <t>Desmodium sequax</t>
  </si>
  <si>
    <t>Shrub</t>
  </si>
  <si>
    <t>OT-008 (2025)</t>
  </si>
  <si>
    <t>OT-002 (2025)</t>
  </si>
  <si>
    <t>F260013</t>
  </si>
  <si>
    <t>CIAT590</t>
  </si>
  <si>
    <t>64,65,71</t>
  </si>
  <si>
    <t>OT-002(2026)</t>
  </si>
  <si>
    <t>F260014</t>
  </si>
  <si>
    <t>CIAT778</t>
  </si>
  <si>
    <t>F260015</t>
  </si>
  <si>
    <t>CIAT827</t>
  </si>
  <si>
    <t>F260016</t>
  </si>
  <si>
    <t>CIAT997</t>
  </si>
  <si>
    <t>F260017</t>
  </si>
  <si>
    <t>CIAT1405</t>
  </si>
  <si>
    <t>capitata</t>
  </si>
  <si>
    <t>Stylosanthes capitata</t>
  </si>
  <si>
    <t>F260018</t>
  </si>
  <si>
    <t>CIAT1812</t>
  </si>
  <si>
    <t>viscosa</t>
  </si>
  <si>
    <t>Stylosanthes viscosa</t>
  </si>
  <si>
    <t>F260019</t>
  </si>
  <si>
    <t>CIAT3694</t>
  </si>
  <si>
    <t>sandwicense</t>
  </si>
  <si>
    <t>Desmodium sandwicense</t>
  </si>
  <si>
    <t>F260020</t>
  </si>
  <si>
    <t>CIAT4080</t>
  </si>
  <si>
    <t>F260021</t>
  </si>
  <si>
    <t>CIAT7162</t>
  </si>
  <si>
    <t>F260022</t>
  </si>
  <si>
    <t>CIAT8820</t>
  </si>
  <si>
    <t>cinerea</t>
  </si>
  <si>
    <t>Tephrosia cinerea</t>
  </si>
  <si>
    <t>F260023</t>
  </si>
  <si>
    <t>CIAT14080</t>
  </si>
  <si>
    <t>F260024</t>
  </si>
  <si>
    <t>CIAT18950</t>
  </si>
  <si>
    <t>F260025</t>
  </si>
  <si>
    <t>CIAT19193</t>
  </si>
  <si>
    <t>F260026</t>
  </si>
  <si>
    <t>CIAT19641</t>
  </si>
  <si>
    <t>F260027</t>
  </si>
  <si>
    <t>CIAT23503</t>
  </si>
  <si>
    <t>macrodesmum</t>
  </si>
  <si>
    <t>Desmodium macrodesmum</t>
  </si>
  <si>
    <t>F260028</t>
  </si>
  <si>
    <t>CIAT24333</t>
  </si>
  <si>
    <t>F260029</t>
  </si>
  <si>
    <t>CIAT33235</t>
  </si>
  <si>
    <t>F260030</t>
  </si>
  <si>
    <t>CIAT33605</t>
  </si>
  <si>
    <t>sandwicense x intortum</t>
  </si>
  <si>
    <t>Desmodium sandwicense x intortum</t>
  </si>
  <si>
    <t>F260031</t>
  </si>
  <si>
    <t>CIAT34144</t>
  </si>
  <si>
    <t>F260032</t>
  </si>
  <si>
    <t>CIAT7934</t>
  </si>
  <si>
    <t>sesban</t>
  </si>
  <si>
    <t>Sesbania sesban</t>
  </si>
  <si>
    <t>F260033</t>
  </si>
  <si>
    <t>CIAT7937</t>
  </si>
  <si>
    <t>Mimosa</t>
  </si>
  <si>
    <t>nuda</t>
  </si>
  <si>
    <t>Mimosa nuda</t>
  </si>
  <si>
    <t>F260034</t>
  </si>
  <si>
    <t>CIAT8056</t>
  </si>
  <si>
    <t>diplotricha</t>
  </si>
  <si>
    <t>Mimosa diplotricha</t>
  </si>
  <si>
    <t>F260035</t>
  </si>
  <si>
    <t>CIAT17514</t>
  </si>
  <si>
    <t>pudica</t>
  </si>
  <si>
    <t>Mimosa pudica</t>
  </si>
  <si>
    <t>F260036</t>
  </si>
  <si>
    <t>CIAT17725</t>
  </si>
  <si>
    <t>polycarpa</t>
  </si>
  <si>
    <t>Mimosa polycarpa</t>
  </si>
  <si>
    <t>F260037</t>
  </si>
  <si>
    <t>CIAT18947</t>
  </si>
  <si>
    <t>F260038</t>
  </si>
  <si>
    <t>CIAT19165</t>
  </si>
  <si>
    <t>keniensis</t>
  </si>
  <si>
    <t>Sesbania keniensis</t>
  </si>
  <si>
    <t>F260039</t>
  </si>
  <si>
    <t>CIAT21899</t>
  </si>
  <si>
    <t>F260040</t>
  </si>
  <si>
    <t>CIAT23414</t>
  </si>
  <si>
    <t>F260041</t>
  </si>
  <si>
    <t>CIAT23767</t>
  </si>
  <si>
    <t>nicaraguense</t>
  </si>
  <si>
    <t>Desmodium nicaraguense</t>
  </si>
  <si>
    <t>F260042</t>
  </si>
  <si>
    <t>CIAT33127</t>
  </si>
  <si>
    <t>Breeding</t>
  </si>
  <si>
    <t>F252104</t>
  </si>
  <si>
    <t>CIAT-BR06_1348</t>
  </si>
  <si>
    <t>Brachiaria interespecifico</t>
  </si>
  <si>
    <t>OT-013(2025)</t>
  </si>
  <si>
    <t>F252166</t>
  </si>
  <si>
    <t>CIAT-BH22_0528</t>
  </si>
  <si>
    <t>OT-020(2025)</t>
  </si>
  <si>
    <t>OT-001(2025)</t>
  </si>
  <si>
    <t>No</t>
  </si>
  <si>
    <t>Date</t>
  </si>
  <si>
    <t>DM, %</t>
  </si>
  <si>
    <t>Av DM 105</t>
  </si>
  <si>
    <t>Ash, %</t>
  </si>
  <si>
    <t>Av Ash, %</t>
  </si>
  <si>
    <t>OM, %</t>
  </si>
  <si>
    <t>PROTEIN</t>
  </si>
  <si>
    <t>Replication</t>
  </si>
  <si>
    <t>Av PC, %</t>
  </si>
  <si>
    <t>ACID DETERGENT FIBER</t>
  </si>
  <si>
    <t>ADF, % (DM)</t>
  </si>
  <si>
    <t xml:space="preserve"> Av ADF, % (DM)</t>
  </si>
  <si>
    <t>A</t>
  </si>
  <si>
    <t>B</t>
  </si>
  <si>
    <t>R</t>
  </si>
  <si>
    <t>NEUTRAL DETERGENT FIBRE</t>
  </si>
  <si>
    <t>NDF, % (DM)</t>
  </si>
  <si>
    <t>GAS AND METHANE PRODUCTION</t>
  </si>
  <si>
    <t>Gene Bank ID</t>
  </si>
  <si>
    <t>CIAT ID</t>
  </si>
  <si>
    <t>Batch</t>
  </si>
  <si>
    <t>Run</t>
  </si>
  <si>
    <t>Syrange No</t>
  </si>
  <si>
    <t>Sample weight, g</t>
  </si>
  <si>
    <t>DM Incubated, mg</t>
  </si>
  <si>
    <t>Digested feed, mg</t>
  </si>
  <si>
    <t>Time 0h</t>
  </si>
  <si>
    <t>Gas 0h, ml</t>
  </si>
  <si>
    <t>Time 8h</t>
  </si>
  <si>
    <t>Gas 8h, ml</t>
  </si>
  <si>
    <t>CH4 8h %</t>
  </si>
  <si>
    <t>V8 Push back, ml</t>
  </si>
  <si>
    <t>Time 24h</t>
  </si>
  <si>
    <t>Gas 24h, ml</t>
  </si>
  <si>
    <t>CH4 24h, %</t>
  </si>
  <si>
    <t>Remarks</t>
  </si>
  <si>
    <t>GP 8h, ml</t>
  </si>
  <si>
    <t>GP 8-24h, ml</t>
  </si>
  <si>
    <t>Net gas 8h, ml</t>
  </si>
  <si>
    <t>Net gas 8-24h, ml</t>
  </si>
  <si>
    <t>Net gas 24h, ml</t>
  </si>
  <si>
    <t>CH4 8h, ml</t>
  </si>
  <si>
    <t>CH4 8-24h, ml</t>
  </si>
  <si>
    <t>CH4 24h, ml</t>
  </si>
  <si>
    <t>Gas ml/g DM Incubated, 24h</t>
  </si>
  <si>
    <t>% DMD, Truly digestibility</t>
  </si>
  <si>
    <t>Part Fact</t>
  </si>
  <si>
    <t>CH4 ml in gas, h8</t>
  </si>
  <si>
    <t>CH4 ml in gas, 24h</t>
  </si>
  <si>
    <t>CH4 ml/gDM incubated, 24h</t>
  </si>
  <si>
    <t>CH4 ml/g DMD, 24h2</t>
  </si>
  <si>
    <t>CH4 ml/g NDF digested in 24 h</t>
  </si>
  <si>
    <t>CH4 g/g DM incubated, 24h</t>
  </si>
  <si>
    <t>CH4 g/g DMD, 24h</t>
  </si>
  <si>
    <t>BLANK 24 H</t>
  </si>
  <si>
    <t>BLANK</t>
  </si>
  <si>
    <t>BLANK24H</t>
  </si>
  <si>
    <t/>
  </si>
  <si>
    <t>BLANK 8H</t>
  </si>
  <si>
    <t>8H</t>
  </si>
  <si>
    <t>BLANK8H</t>
  </si>
  <si>
    <t>Gliricidia</t>
  </si>
  <si>
    <t>nlemfuensis</t>
  </si>
  <si>
    <t>*</t>
  </si>
  <si>
    <t>Descartada</t>
  </si>
  <si>
    <t>**</t>
  </si>
  <si>
    <t>Embolo duro 0h</t>
  </si>
  <si>
    <t>Cambio de maguera y quedo residuo de muestra en la maguera que se cambio 0H</t>
  </si>
  <si>
    <t>Muestra en la manguera despues del clip 8h</t>
  </si>
  <si>
    <t>Durante el proceso de filtración quedo residuo de muestras en la jeringa por ende el filtrado quedo incompleto</t>
  </si>
  <si>
    <t>Blank 24 H</t>
  </si>
  <si>
    <t>Blank</t>
  </si>
  <si>
    <t>Se tapona la manguera se destapa pero queda con residuo de muestra en la maguera 0H</t>
  </si>
  <si>
    <t>Debido al volumen de la muestra se corroboro con el estandar de 5 que el equipo estuviera leyendo bien se realizaron 2 lecturas la primera dio 4.8 con 20 ml  y la segunda 4.7 con 14 ml</t>
  </si>
  <si>
    <t>Debido al volumen de la muestra se corroboro con el estandar de 5 que el equipo estuviera leyendo bien se realizaron 2 lecturas la primera dio 4.8 con 20 ml y la segunda 4.7 con 14 ml</t>
  </si>
  <si>
    <t>Residuo de muetsra en la maguera 0H. Debido al volumen de la muestra se corroboro con el estandar de 5 que el equipo estuviera leyendo bien se realizaron 2 lecturas la primera dio 4.8 con 20 ml  y la segunda 4.7 con 14 ml</t>
  </si>
  <si>
    <t>Embolo duro 0H</t>
  </si>
  <si>
    <t>Muestra se riega en el baño maría por que estaba abierto el click</t>
  </si>
  <si>
    <t>Residuo de muestra en la maguera 0H</t>
  </si>
  <si>
    <t>***</t>
  </si>
  <si>
    <t>En el primer llenado marco 35 y se volvio a llenar para compeletar el volumen y quedo en 45, se ajusto el dispensador</t>
  </si>
  <si>
    <t>BLANK 8 H</t>
  </si>
  <si>
    <t>Embolo duro 0H y se tapona la maguera quedando residuo de muestra en ella, en la primera agitada se observa muestra por encima del embolo</t>
  </si>
  <si>
    <t>Muestra despues del clip</t>
  </si>
  <si>
    <t>Embolo duro 0H, en la primera agitada se observa muestra por encima del embolo</t>
  </si>
  <si>
    <t>Se observa liquido color marron por el embolo en la parte superior 24h</t>
  </si>
  <si>
    <t>Embolo duro 8h</t>
  </si>
  <si>
    <t>Embolo muy duro se descarta muestra por que no se pudo llenar</t>
  </si>
  <si>
    <t xml:space="preserve">Embolo duro 0H, Mta regada en </t>
  </si>
  <si>
    <t>La jeringa se rego en el baño 8h</t>
  </si>
  <si>
    <t>Cambio de maguera a las 0H</t>
  </si>
  <si>
    <t>No se filtra debido a que se abrio el click en el baño de hielo</t>
  </si>
  <si>
    <t>Blank  8H run 2 OT-010 y OT-021</t>
  </si>
  <si>
    <t>24H</t>
  </si>
  <si>
    <t>Blank  24H run 2 OT-010 y OT-021</t>
  </si>
  <si>
    <t>EN LA PUNTA ESTA CON COLOR ROJO</t>
  </si>
  <si>
    <t xml:space="preserve">Cambio de frasco de solución y de baño </t>
  </si>
  <si>
    <t>Embolo duro 24H</t>
  </si>
  <si>
    <t>En la primera agitación se observa líquido por encima del embolo</t>
  </si>
  <si>
    <t>Muestra regada por encima del embolo 4H</t>
  </si>
  <si>
    <t>Muestra regada por encima del embolo 8h</t>
  </si>
  <si>
    <t>Se filtra aunque se rego un poco de muestra en el  baño de hielo</t>
  </si>
  <si>
    <t>Embolo duro 8H</t>
  </si>
  <si>
    <t>Residio de muestra muestra por encima del  embolo</t>
  </si>
  <si>
    <t>Se rego en el baño 8h</t>
  </si>
  <si>
    <t xml:space="preserve">Embolo duro 8h </t>
  </si>
  <si>
    <t>Se descarta muestra debido a que se abrio el click en el bañode hielo</t>
  </si>
  <si>
    <t>Se acabó por completo el CO2</t>
  </si>
  <si>
    <t>Muestra en la manguera 0h, se realiza cambio de manguera</t>
  </si>
  <si>
    <t>Brachiaria</t>
  </si>
  <si>
    <t>Cambio de manguera</t>
  </si>
  <si>
    <t>Manguera con fisura, se realiza cambio 8h</t>
  </si>
  <si>
    <t>Cambio de maguera 0H</t>
  </si>
  <si>
    <t>Muestra en la amnguera despues del clip 24h</t>
  </si>
  <si>
    <t>En el momento del filtrado se desperdicio un poco de muestra</t>
  </si>
  <si>
    <t>Cambio de click 0H</t>
  </si>
  <si>
    <t xml:space="preserve">Muestra en la manguera despues del clip 8h </t>
  </si>
  <si>
    <t>Se observa líquido por encima del embolo en la primera agitación</t>
  </si>
  <si>
    <t xml:space="preserve">                                                                                                                              </t>
  </si>
  <si>
    <t>Cambio de maguera rota 0H, se rego un poco el líquido y se volvio a llenar quedando con mayor volumen</t>
  </si>
  <si>
    <t>Residuo de muestra despues del click</t>
  </si>
  <si>
    <t>En la primera agitción se observa líquido por encima del embolo</t>
  </si>
  <si>
    <t>Residuo de mmuestra despues del click</t>
  </si>
  <si>
    <t>Se fue un palito de la muestra lo que puede afectar en el peso de la muestra.</t>
  </si>
  <si>
    <t>Blank24H</t>
  </si>
  <si>
    <t>Elimn Dig neg</t>
  </si>
  <si>
    <t>Elimin Dig 7.3%</t>
  </si>
  <si>
    <t>Eliminado Dig neg</t>
  </si>
  <si>
    <t>Elimin Dig</t>
  </si>
  <si>
    <t>Eliminada</t>
  </si>
  <si>
    <t>Elimin Dig 8.96%</t>
  </si>
  <si>
    <t>Elimn Dig negativa</t>
  </si>
  <si>
    <t>Elimin Dig 8.24%</t>
  </si>
  <si>
    <t>Elimin dig neg</t>
  </si>
  <si>
    <t>Elimin Di 19.64</t>
  </si>
  <si>
    <t>Elimin Dig 4.7%</t>
  </si>
  <si>
    <t>Elimin 5.315 Dig</t>
  </si>
  <si>
    <t>Elimin Dig 2.58%</t>
  </si>
  <si>
    <t>Elimin Dig 9.93%</t>
  </si>
  <si>
    <t>Elimin Dig 27%</t>
  </si>
  <si>
    <t>Elimin Di 22</t>
  </si>
  <si>
    <t>Elimin Dig 1.12%</t>
  </si>
  <si>
    <t>Elimin Dig 4.42%</t>
  </si>
  <si>
    <t>Elimine Dig 27.2%</t>
  </si>
  <si>
    <t>Elimina Dog 26.88%</t>
  </si>
  <si>
    <t>Elimin Dig 14.723</t>
  </si>
  <si>
    <t>Repetir</t>
  </si>
  <si>
    <t>Elimin Dig 10.67%</t>
  </si>
  <si>
    <t>Elimin Dig 18.65%</t>
  </si>
  <si>
    <t>Elimin Dig 21%</t>
  </si>
  <si>
    <t>Eilimin idg 16.58%</t>
  </si>
  <si>
    <t>Elimin Dig 10.48%</t>
  </si>
  <si>
    <t>Elimin Dig 8.60%</t>
  </si>
  <si>
    <t>Elimin Dig 3%</t>
  </si>
  <si>
    <t>Elimin Dig 14.45%</t>
  </si>
  <si>
    <t>Elimin Dig 17.55%</t>
  </si>
  <si>
    <t>Elimin Dig 24.53%</t>
  </si>
  <si>
    <t>Elimin 25.25</t>
  </si>
  <si>
    <t>Eliminad</t>
  </si>
  <si>
    <t>Elimin Dig 8.80%</t>
  </si>
  <si>
    <t>Elimin Dig 17.93%</t>
  </si>
  <si>
    <t>Elimin Dig 17.28%</t>
  </si>
  <si>
    <t>Elimin Dig 1.37%</t>
  </si>
  <si>
    <t>Elimin Dig 9.27%</t>
  </si>
  <si>
    <t>Elimin 8.28%</t>
  </si>
  <si>
    <t>Elimin Dig 6.4%</t>
  </si>
  <si>
    <t>Elimin Dig Neg</t>
  </si>
  <si>
    <t>Elimin Dig 12.23</t>
  </si>
  <si>
    <t>Elimin Dig 5.21</t>
  </si>
  <si>
    <t>Elimin Dig 9.69</t>
  </si>
  <si>
    <t>Elimin Dig 9%</t>
  </si>
  <si>
    <t>Elimin Di 18.18%</t>
  </si>
  <si>
    <t>Elimin Dig 6.58%</t>
  </si>
  <si>
    <t>Elimin Dig 9.72%</t>
  </si>
  <si>
    <t>Elimin Dig 10.24%</t>
  </si>
  <si>
    <t>Elimine Dig 71%</t>
  </si>
  <si>
    <t>Elimin Dig 6.75%</t>
  </si>
  <si>
    <t>Elimin Dig 16.31%</t>
  </si>
  <si>
    <t xml:space="preserve">Elimin Dig </t>
  </si>
  <si>
    <t>Elimin Dig 40%</t>
  </si>
  <si>
    <t>Elimin Dig 51.9%</t>
  </si>
  <si>
    <t>Elimin Dig 48.11%</t>
  </si>
  <si>
    <t>Elimin Dig 60.1%</t>
  </si>
  <si>
    <t>Elimin Dig 15.40</t>
  </si>
  <si>
    <t>BREEDING</t>
  </si>
  <si>
    <t xml:space="preserve">EilinDig </t>
  </si>
  <si>
    <t>Elimin Dig 16..05</t>
  </si>
  <si>
    <t>DIGESTIBILITY OF DRY MATTER</t>
  </si>
  <si>
    <t>Bag weight, g</t>
  </si>
  <si>
    <t>Digested weight, g</t>
  </si>
  <si>
    <t>Undigested DM, g</t>
  </si>
  <si>
    <t>NDF incubated, mg</t>
  </si>
  <si>
    <t>NDF digestibility, mg</t>
  </si>
  <si>
    <t>% NDF digestibility in 24 h</t>
  </si>
  <si>
    <t>Eliminado Dig negativo</t>
  </si>
  <si>
    <t xml:space="preserve"> Muestra despues del clip 8h</t>
  </si>
  <si>
    <t>Emboloo duro</t>
  </si>
  <si>
    <t>Cambio recipiente Sln</t>
  </si>
  <si>
    <t xml:space="preserve">Residuo de muestra por encima del embolo, embolo duro 8h </t>
  </si>
  <si>
    <t>Se corroboro equipo STD 5 y STD 20: valors 4.8 y 20% respectivamente</t>
  </si>
  <si>
    <t xml:space="preserve">Mtra regada, muestra en la manguera despues del clip 8h </t>
  </si>
  <si>
    <t xml:space="preserve">Muestra en la maguera despues del clip 8h </t>
  </si>
  <si>
    <t>Embolo duro 8H y 24H</t>
  </si>
  <si>
    <t>13/11/24, Wed</t>
  </si>
  <si>
    <t>18/11/24, Mon</t>
  </si>
  <si>
    <t>El clip se abrio cuando estaba en el hielo, y la muestra se regó</t>
  </si>
  <si>
    <t>20/11/24, Wed</t>
  </si>
  <si>
    <t>25/11/24, Mon</t>
  </si>
  <si>
    <t>28/11/24, Thu</t>
  </si>
  <si>
    <t>03/12/24, Tue</t>
  </si>
  <si>
    <t>04/12/24, Wed</t>
  </si>
  <si>
    <t>09/12/24, Mon</t>
  </si>
  <si>
    <t>Elimin dig -2.5</t>
  </si>
  <si>
    <t>Elimin dig -0.4</t>
  </si>
  <si>
    <t>11/12/24, Wed</t>
  </si>
  <si>
    <t>Se fue un palito de la muestra lo que puede afectar en el peso de la misma.</t>
  </si>
  <si>
    <t>RESULT Nutritional quality raw data</t>
  </si>
  <si>
    <t>Ash/DM</t>
  </si>
  <si>
    <t>PC (%), DM</t>
  </si>
  <si>
    <t xml:space="preserve"> Av NDF, % (DM)</t>
  </si>
  <si>
    <t>stdev</t>
  </si>
  <si>
    <t>min</t>
  </si>
  <si>
    <t>max</t>
  </si>
  <si>
    <t>median</t>
  </si>
  <si>
    <t>Average</t>
  </si>
  <si>
    <t>N</t>
  </si>
  <si>
    <t>Column1</t>
  </si>
  <si>
    <t xml:space="preserve">Repetir </t>
  </si>
  <si>
    <t>Column4</t>
  </si>
  <si>
    <t>Column5</t>
  </si>
  <si>
    <t xml:space="preserve">Falta </t>
  </si>
  <si>
    <t>Coincide con Johanna</t>
  </si>
  <si>
    <t>Requisitioner2</t>
  </si>
  <si>
    <t>10_sample_serial_no</t>
  </si>
  <si>
    <t>10_date</t>
  </si>
  <si>
    <t>10_requisitioner</t>
  </si>
  <si>
    <t>10_ciat_lab_id</t>
  </si>
  <si>
    <t>10_gene_bank_breeding_program_id</t>
  </si>
  <si>
    <t>10_genus</t>
  </si>
  <si>
    <t>10_species</t>
  </si>
  <si>
    <t>10_tax_name</t>
  </si>
  <si>
    <t>10_family</t>
  </si>
  <si>
    <t>10_order</t>
  </si>
  <si>
    <t>10_functional_group</t>
  </si>
  <si>
    <t>10_batches_ciat</t>
  </si>
  <si>
    <t>10_id_lab</t>
  </si>
  <si>
    <t>10_remarks_1</t>
  </si>
  <si>
    <t>10_remarks_2</t>
  </si>
  <si>
    <t>32_no</t>
  </si>
  <si>
    <t>32_date</t>
  </si>
  <si>
    <t>32_date_2</t>
  </si>
  <si>
    <t>32_requisitioner</t>
  </si>
  <si>
    <t>32_gene_bank_id</t>
  </si>
  <si>
    <t>32_genus</t>
  </si>
  <si>
    <t>32_species</t>
  </si>
  <si>
    <t>32_tax_name</t>
  </si>
  <si>
    <t>32_family</t>
  </si>
  <si>
    <t>32_order</t>
  </si>
  <si>
    <t>32_functional_group</t>
  </si>
  <si>
    <t>32_ciat_id</t>
  </si>
  <si>
    <t>32_set_ciat</t>
  </si>
  <si>
    <t>32_batch</t>
  </si>
  <si>
    <t>32_run</t>
  </si>
  <si>
    <t>32_replication</t>
  </si>
  <si>
    <t>32_syrange_no</t>
  </si>
  <si>
    <t>32_bag_weight_g</t>
  </si>
  <si>
    <t>32_digested_weight_g</t>
  </si>
  <si>
    <t>32_remarks_1</t>
  </si>
  <si>
    <t>32_undigested_dm_g</t>
  </si>
  <si>
    <t>32_digested_feed_mg</t>
  </si>
  <si>
    <t>32_percentage_truly_digestibility</t>
  </si>
  <si>
    <t>32_ndf_incubated_mg</t>
  </si>
  <si>
    <t>32_ndf_digestibility_mg</t>
  </si>
  <si>
    <t>32_percentage_digestibility_in_24h</t>
  </si>
  <si>
    <t>32_remarks_2</t>
  </si>
  <si>
    <t>32_asterisk</t>
  </si>
  <si>
    <t>31_no</t>
  </si>
  <si>
    <t>31_date</t>
  </si>
  <si>
    <t>31_requisitioner</t>
  </si>
  <si>
    <t>31_gene_bank_id</t>
  </si>
  <si>
    <t>31_genus</t>
  </si>
  <si>
    <t>31_species</t>
  </si>
  <si>
    <t>31_tax_name</t>
  </si>
  <si>
    <t>31_family</t>
  </si>
  <si>
    <t>31_order</t>
  </si>
  <si>
    <t>31_functional_group</t>
  </si>
  <si>
    <t>31_ciat_id</t>
  </si>
  <si>
    <t>31_set_ciat</t>
  </si>
  <si>
    <t>31_batch</t>
  </si>
  <si>
    <t>31_run</t>
  </si>
  <si>
    <t>31_replication</t>
  </si>
  <si>
    <t>31_syrange_no</t>
  </si>
  <si>
    <t>31_sample_weight_g</t>
  </si>
  <si>
    <t>31_dm_incubated_mg</t>
  </si>
  <si>
    <t>31_digested_feed_mg</t>
  </si>
  <si>
    <t>31_time_0h</t>
  </si>
  <si>
    <t>31_gas_0h_ml</t>
  </si>
  <si>
    <t>31_time_8h</t>
  </si>
  <si>
    <t>31_gas_8h_ml</t>
  </si>
  <si>
    <t>31_ch4_8h_percentage</t>
  </si>
  <si>
    <t>31_v8_push_back_ml</t>
  </si>
  <si>
    <t>31_time_24h</t>
  </si>
  <si>
    <t>31_gas_24h_ml</t>
  </si>
  <si>
    <t>31_ch4_24h_percentage</t>
  </si>
  <si>
    <t>31_remarks_1</t>
  </si>
  <si>
    <t>31_gp_8h_ml</t>
  </si>
  <si>
    <t>31_gp_8_24h_ml</t>
  </si>
  <si>
    <t>31_net_gas_8h_ml</t>
  </si>
  <si>
    <t>31_net_gas_8_24h_ml</t>
  </si>
  <si>
    <t>31_net_gas_24h_ml</t>
  </si>
  <si>
    <t>31_ch4_8h_ml</t>
  </si>
  <si>
    <t>31_ch4_8_24h_ml</t>
  </si>
  <si>
    <t>31_ch4_24h_ml</t>
  </si>
  <si>
    <t>31_gas_ml_g_dm_incubated_24h</t>
  </si>
  <si>
    <t>31_percentage_dmd_truly_digestibility</t>
  </si>
  <si>
    <t>31_part_fact</t>
  </si>
  <si>
    <t>31_ch4_ml_in_gas_8h</t>
  </si>
  <si>
    <t>31_ch4_ml_gas_24h</t>
  </si>
  <si>
    <t>31_ch4_ml_g_dm_incubated_24h</t>
  </si>
  <si>
    <t>31_ch4_ml_g_dmd_24h2</t>
  </si>
  <si>
    <t>31_ch4_ml_g_ndf_digested_in_24h</t>
  </si>
  <si>
    <t>31_ch4_g_g_dm_incubated_24h</t>
  </si>
  <si>
    <t>31_ch4_g_g_dmd_24h</t>
  </si>
  <si>
    <t>31_remarks_2</t>
  </si>
  <si>
    <t>40_sample_serial_no</t>
  </si>
  <si>
    <t>40_date</t>
  </si>
  <si>
    <t>40_requisitioner</t>
  </si>
  <si>
    <t>40_set_ciat</t>
  </si>
  <si>
    <t>40_ciat_lab_id</t>
  </si>
  <si>
    <t>40_gene_bank_breeding_program_id</t>
  </si>
  <si>
    <t>40_genus</t>
  </si>
  <si>
    <t>40_species</t>
  </si>
  <si>
    <t>40_tax_name</t>
  </si>
  <si>
    <t>40_family</t>
  </si>
  <si>
    <t>40_order</t>
  </si>
  <si>
    <t>40_functional_group</t>
  </si>
  <si>
    <t>40_dm_percentage</t>
  </si>
  <si>
    <t>40_av_dm_105</t>
  </si>
  <si>
    <t>40_ash_dm</t>
  </si>
  <si>
    <t>40_av_ash_percentage</t>
  </si>
  <si>
    <t>40_om_percentage</t>
  </si>
  <si>
    <t>40_av_om_percentage</t>
  </si>
  <si>
    <t>40_pc_percentage_dm</t>
  </si>
  <si>
    <t>40_av_pc_percentage</t>
  </si>
  <si>
    <t>40_adf_percentage_dm</t>
  </si>
  <si>
    <t>40_av_adf_percentage_dm</t>
  </si>
  <si>
    <t>40_ndf_percentage_dm</t>
  </si>
  <si>
    <t>40_av_ndf_percentage_dm</t>
  </si>
  <si>
    <t>10_set_ciat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</si>
</sst>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"/>
    <numFmt numFmtId="165" formatCode="dd/mm/yy\,\ ddd"/>
    <numFmt numFmtId="166" formatCode="0.0000"/>
    <numFmt numFmtId="167" formatCode="[$-F400]h:mm:ss\ AM/PM"/>
    <numFmt numFmtId="168" formatCode="0.0"/>
  </numFmts>
  <fonts count="3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i/>
      <sz val="11"/>
      <color rgb="FF000000"/>
      <name val="Aptos Narrow"/>
      <family val="2"/>
      <scheme val="minor"/>
    </font>
    <font>
      <sz val="11"/>
      <name val="Aptos Narrow"/>
      <family val="2"/>
      <scheme val="minor"/>
    </font>
    <font>
      <sz val="10"/>
      <name val="Arial"/>
      <family val="2"/>
    </font>
    <font>
      <sz val="8"/>
      <name val="Aptos Narrow"/>
      <family val="2"/>
      <scheme val="minor"/>
    </font>
    <font>
      <b/>
      <sz val="14"/>
      <name val="Aptos Narrow"/>
      <family val="2"/>
      <scheme val="minor"/>
    </font>
    <font>
      <sz val="11"/>
      <color theme="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name val="Calibri"/>
      <family val="2"/>
    </font>
    <font>
      <sz val="26"/>
      <color theme="0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b/>
      <sz val="11"/>
      <color rgb="FFFFFF00"/>
      <name val="Aptos Narrow"/>
      <family val="2"/>
      <scheme val="minor"/>
    </font>
    <font>
      <b/>
      <sz val="11"/>
      <color rgb="FF00408A"/>
      <name val="Aptos Narrow"/>
      <family val="2"/>
      <scheme val="minor"/>
    </font>
    <font>
      <i/>
      <sz val="11"/>
      <name val="Aptos Narrow"/>
      <family val="2"/>
      <scheme val="minor"/>
    </font>
    <font>
      <b/>
      <sz val="11"/>
      <color theme="7" tint="0.59999389629810485"/>
      <name val="Aptos Narrow"/>
      <family val="2"/>
      <scheme val="minor"/>
    </font>
    <font>
      <b/>
      <sz val="11"/>
      <color theme="5" tint="0.39997558519241921"/>
      <name val="Aptos Narrow"/>
      <family val="2"/>
      <scheme val="minor"/>
    </font>
    <font>
      <sz val="18"/>
      <color theme="0"/>
      <name val="Aptos Narrow"/>
      <family val="2"/>
      <scheme val="minor"/>
    </font>
    <font>
      <b/>
      <sz val="11"/>
      <color theme="6"/>
      <name val="Aptos Narrow"/>
      <family val="2"/>
      <scheme val="minor"/>
    </font>
    <font>
      <i/>
      <sz val="11"/>
      <color rgb="FF242424"/>
      <name val="Aptos Narrow"/>
      <family val="2"/>
      <scheme val="minor"/>
    </font>
    <font>
      <sz val="11"/>
      <color rgb="FF242424"/>
      <name val="Aptos Narrow"/>
      <family val="2"/>
    </font>
    <font>
      <b/>
      <i/>
      <sz val="14"/>
      <name val="Aptos Narrow"/>
      <family val="2"/>
      <scheme val="minor"/>
    </font>
    <font>
      <b/>
      <i/>
      <sz val="11"/>
      <color theme="0"/>
      <name val="Aptos Narrow"/>
      <family val="2"/>
      <scheme val="minor"/>
    </font>
    <font>
      <sz val="11"/>
      <color theme="2" tint="-0.749992370372631"/>
      <name val="Aptos Narrow"/>
      <family val="2"/>
      <scheme val="minor"/>
    </font>
    <font>
      <b/>
      <sz val="11"/>
      <color theme="6" tint="0.39997558519241921"/>
      <name val="Aptos Narrow"/>
      <family val="2"/>
      <scheme val="minor"/>
    </font>
    <font>
      <sz val="11"/>
      <color theme="1"/>
      <name val="Aptos Narrow"/>
      <family val="2"/>
    </font>
    <font>
      <sz val="11"/>
      <color theme="5" tint="-0.249977111117893"/>
      <name val="Aptos Narrow"/>
      <family val="2"/>
      <scheme val="minor"/>
    </font>
    <font>
      <sz val="11"/>
      <color theme="8" tint="0.39997558519241921"/>
      <name val="Aptos Narrow"/>
      <family val="2"/>
      <scheme val="minor"/>
    </font>
    <font>
      <b/>
      <sz val="11"/>
      <color theme="3" tint="0.249977111117893"/>
      <name val="Aptos Narrow"/>
      <family val="2"/>
      <scheme val="minor"/>
    </font>
    <font>
      <sz val="11"/>
      <color theme="3" tint="0.249977111117893"/>
      <name val="Aptos Narrow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5DBFBD"/>
        <bgColor indexed="64"/>
      </patternFill>
    </fill>
    <fill>
      <patternFill patternType="solid">
        <fgColor theme="0"/>
        <bgColor theme="0" tint="-0.14999847407452621"/>
      </patternFill>
    </fill>
    <fill>
      <patternFill patternType="solid">
        <fgColor theme="0"/>
        <bgColor rgb="FFD9D9D9"/>
      </patternFill>
    </fill>
    <fill>
      <patternFill patternType="solid">
        <fgColor theme="0"/>
        <bgColor theme="4"/>
      </patternFill>
    </fill>
    <fill>
      <patternFill patternType="solid">
        <fgColor theme="0"/>
        <bgColor rgb="FF000000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59999389629810485"/>
        <bgColor rgb="FFD9D9D9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79998168889431442"/>
        <bgColor rgb="FFD9D9D9"/>
      </patternFill>
    </fill>
    <fill>
      <patternFill patternType="solid">
        <fgColor rgb="FFFFFF00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6" tint="0.59999389629810485"/>
        <bgColor theme="0" tint="-0.14999847407452621"/>
      </patternFill>
    </fill>
  </fills>
  <borders count="16">
    <border>
      <left/>
      <right/>
      <top/>
      <bottom/>
      <diagonal/>
    </border>
    <border>
      <left style="thin">
        <color rgb="FF5DBFBD"/>
      </left>
      <right style="thin">
        <color rgb="FF5DBFBD"/>
      </right>
      <top style="thin">
        <color rgb="FF5DBFBD"/>
      </top>
      <bottom style="thin">
        <color rgb="FF5DBFBD"/>
      </bottom>
      <diagonal/>
    </border>
    <border>
      <left style="thin">
        <color rgb="FF5DBFBD"/>
      </left>
      <right style="thin">
        <color rgb="FF5DBFBD"/>
      </right>
      <top style="thin">
        <color rgb="FF5DBFBD"/>
      </top>
      <bottom/>
      <diagonal/>
    </border>
    <border>
      <left style="thin">
        <color rgb="FF5DBFBD"/>
      </left>
      <right style="thin">
        <color rgb="FF5DBFBD"/>
      </right>
      <top/>
      <bottom style="thin">
        <color rgb="FF5DBFBD"/>
      </bottom>
      <diagonal/>
    </border>
    <border>
      <left style="thin">
        <color rgb="FF5DBFBD"/>
      </left>
      <right style="thin">
        <color rgb="FF5DBFBD"/>
      </right>
      <top/>
      <bottom/>
      <diagonal/>
    </border>
    <border>
      <left style="thin">
        <color rgb="FF5DBFBD"/>
      </left>
      <right/>
      <top style="thin">
        <color rgb="FF5DBFBD"/>
      </top>
      <bottom style="thin">
        <color rgb="FF5DBFBD"/>
      </bottom>
      <diagonal/>
    </border>
    <border>
      <left/>
      <right style="thin">
        <color rgb="FF5DBFBD"/>
      </right>
      <top/>
      <bottom style="thin">
        <color rgb="FF5DBFBD"/>
      </bottom>
      <diagonal/>
    </border>
    <border>
      <left/>
      <right style="thin">
        <color rgb="FF5DBFBD"/>
      </right>
      <top style="thin">
        <color rgb="FF5DBFBD"/>
      </top>
      <bottom style="thin">
        <color rgb="FF5DBFBD"/>
      </bottom>
      <diagonal/>
    </border>
    <border>
      <left/>
      <right/>
      <top style="thin">
        <color rgb="FF5DBFBD"/>
      </top>
      <bottom style="thin">
        <color rgb="FF5DBFBD"/>
      </bottom>
      <diagonal/>
    </border>
    <border>
      <left/>
      <right/>
      <top/>
      <bottom style="thin">
        <color rgb="FF5DBFBD"/>
      </bottom>
      <diagonal/>
    </border>
    <border>
      <left style="thin">
        <color rgb="FF5DBFBD"/>
      </left>
      <right style="thin">
        <color rgb="FF5DBFBD"/>
      </right>
      <top style="thin">
        <color rgb="FF5DBFBD"/>
      </top>
      <bottom style="medium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5DBFBD"/>
      </left>
      <right style="thin">
        <color rgb="FF5DBFBD"/>
      </right>
      <top/>
      <bottom style="medium">
        <color theme="1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rgb="FF5DBFBD"/>
      </left>
      <right/>
      <top/>
      <bottom/>
      <diagonal/>
    </border>
    <border>
      <left style="thin">
        <color rgb="FF5DBFBD"/>
      </left>
      <right/>
      <top/>
      <bottom style="thin">
        <color rgb="FF5DBFBD"/>
      </bottom>
      <diagonal/>
    </border>
  </borders>
  <cellStyleXfs count="2">
    <xf numFmtId="0" fontId="0" fillId="0" borderId="0"/>
    <xf numFmtId="0" fontId="6" fillId="0" borderId="0"/>
  </cellStyleXfs>
  <cellXfs count="348">
    <xf numFmtId="0" fontId="0" fillId="0" borderId="0" xfId="0"/>
    <xf numFmtId="0" fontId="3" fillId="2" borderId="0" xfId="0" applyFont="1" applyFill="1"/>
    <xf numFmtId="0" fontId="3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/>
    </xf>
    <xf numFmtId="0" fontId="0" fillId="2" borderId="0" xfId="0" applyFill="1"/>
    <xf numFmtId="0" fontId="0" fillId="2" borderId="1" xfId="0" applyFill="1" applyBorder="1" applyAlignment="1">
      <alignment horizontal="center"/>
    </xf>
    <xf numFmtId="14" fontId="0" fillId="2" borderId="1" xfId="0" applyNumberForma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0" fillId="2" borderId="1" xfId="0" applyFill="1" applyBorder="1"/>
    <xf numFmtId="0" fontId="3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14" fontId="1" fillId="3" borderId="1" xfId="0" applyNumberFormat="1" applyFont="1" applyFill="1" applyBorder="1" applyAlignment="1">
      <alignment horizontal="center" vertical="center" wrapText="1"/>
    </xf>
    <xf numFmtId="1" fontId="0" fillId="2" borderId="1" xfId="0" applyNumberFormat="1" applyFill="1" applyBorder="1" applyAlignment="1">
      <alignment horizontal="center"/>
    </xf>
    <xf numFmtId="0" fontId="0" fillId="2" borderId="0" xfId="0" applyFill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/>
    </xf>
    <xf numFmtId="2" fontId="5" fillId="4" borderId="1" xfId="0" applyNumberFormat="1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2" fontId="5" fillId="2" borderId="1" xfId="0" applyNumberFormat="1" applyFont="1" applyFill="1" applyBorder="1" applyAlignment="1">
      <alignment horizontal="center"/>
    </xf>
    <xf numFmtId="14" fontId="3" fillId="5" borderId="1" xfId="0" applyNumberFormat="1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/>
    </xf>
    <xf numFmtId="2" fontId="5" fillId="5" borderId="1" xfId="0" applyNumberFormat="1" applyFont="1" applyFill="1" applyBorder="1" applyAlignment="1">
      <alignment horizontal="center"/>
    </xf>
    <xf numFmtId="166" fontId="5" fillId="2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2" fontId="3" fillId="5" borderId="1" xfId="0" applyNumberFormat="1" applyFont="1" applyFill="1" applyBorder="1" applyAlignment="1">
      <alignment horizontal="center"/>
    </xf>
    <xf numFmtId="0" fontId="0" fillId="2" borderId="0" xfId="0" applyFill="1" applyAlignment="1">
      <alignment horizontal="left"/>
    </xf>
    <xf numFmtId="167" fontId="0" fillId="2" borderId="0" xfId="0" applyNumberFormat="1" applyFill="1"/>
    <xf numFmtId="0" fontId="8" fillId="2" borderId="0" xfId="0" applyFont="1" applyFill="1" applyAlignment="1">
      <alignment horizontal="center"/>
    </xf>
    <xf numFmtId="2" fontId="0" fillId="2" borderId="1" xfId="0" applyNumberFormat="1" applyFill="1" applyBorder="1" applyAlignment="1">
      <alignment horizontal="center"/>
    </xf>
    <xf numFmtId="168" fontId="0" fillId="2" borderId="1" xfId="0" applyNumberFormat="1" applyFill="1" applyBorder="1" applyAlignment="1">
      <alignment horizontal="center"/>
    </xf>
    <xf numFmtId="166" fontId="3" fillId="2" borderId="1" xfId="0" applyNumberFormat="1" applyFont="1" applyFill="1" applyBorder="1" applyAlignment="1">
      <alignment horizontal="center" vertical="center"/>
    </xf>
    <xf numFmtId="0" fontId="0" fillId="2" borderId="2" xfId="0" applyFill="1" applyBorder="1"/>
    <xf numFmtId="0" fontId="1" fillId="2" borderId="0" xfId="0" applyFont="1" applyFill="1" applyAlignment="1">
      <alignment horizontal="center" vertical="center" wrapText="1"/>
    </xf>
    <xf numFmtId="164" fontId="3" fillId="2" borderId="1" xfId="0" applyNumberFormat="1" applyFont="1" applyFill="1" applyBorder="1" applyAlignment="1">
      <alignment horizontal="center"/>
    </xf>
    <xf numFmtId="164" fontId="3" fillId="2" borderId="1" xfId="0" applyNumberFormat="1" applyFont="1" applyFill="1" applyBorder="1" applyAlignment="1">
      <alignment horizontal="center" vertical="center"/>
    </xf>
    <xf numFmtId="2" fontId="0" fillId="0" borderId="1" xfId="0" applyNumberFormat="1" applyBorder="1" applyAlignment="1">
      <alignment horizontal="center"/>
    </xf>
    <xf numFmtId="168" fontId="0" fillId="2" borderId="0" xfId="0" applyNumberFormat="1" applyFill="1"/>
    <xf numFmtId="0" fontId="0" fillId="2" borderId="0" xfId="0" applyFill="1" applyAlignment="1">
      <alignment horizontal="right"/>
    </xf>
    <xf numFmtId="0" fontId="9" fillId="3" borderId="1" xfId="0" applyFont="1" applyFill="1" applyBorder="1"/>
    <xf numFmtId="2" fontId="0" fillId="2" borderId="0" xfId="0" applyNumberFormat="1" applyFill="1"/>
    <xf numFmtId="14" fontId="5" fillId="2" borderId="1" xfId="0" applyNumberFormat="1" applyFont="1" applyFill="1" applyBorder="1" applyAlignment="1">
      <alignment horizontal="center"/>
    </xf>
    <xf numFmtId="2" fontId="1" fillId="3" borderId="1" xfId="0" applyNumberFormat="1" applyFont="1" applyFill="1" applyBorder="1" applyAlignment="1">
      <alignment horizontal="center" vertical="center" wrapText="1"/>
    </xf>
    <xf numFmtId="1" fontId="1" fillId="3" borderId="1" xfId="0" applyNumberFormat="1" applyFont="1" applyFill="1" applyBorder="1" applyAlignment="1">
      <alignment horizontal="center" vertical="center" wrapText="1"/>
    </xf>
    <xf numFmtId="1" fontId="3" fillId="5" borderId="1" xfId="0" applyNumberFormat="1" applyFont="1" applyFill="1" applyBorder="1" applyAlignment="1">
      <alignment horizontal="center"/>
    </xf>
    <xf numFmtId="1" fontId="0" fillId="2" borderId="0" xfId="0" applyNumberFormat="1" applyFill="1"/>
    <xf numFmtId="1" fontId="0" fillId="2" borderId="0" xfId="0" applyNumberFormat="1" applyFill="1" applyAlignment="1">
      <alignment horizontal="center"/>
    </xf>
    <xf numFmtId="0" fontId="3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/>
    </xf>
    <xf numFmtId="0" fontId="12" fillId="2" borderId="0" xfId="0" applyFont="1" applyFill="1" applyAlignment="1">
      <alignment vertical="center"/>
    </xf>
    <xf numFmtId="0" fontId="1" fillId="9" borderId="2" xfId="0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/>
    </xf>
    <xf numFmtId="0" fontId="13" fillId="2" borderId="0" xfId="0" applyFont="1" applyFill="1"/>
    <xf numFmtId="0" fontId="0" fillId="0" borderId="1" xfId="0" applyBorder="1" applyAlignment="1">
      <alignment horizontal="center"/>
    </xf>
    <xf numFmtId="2" fontId="5" fillId="0" borderId="1" xfId="0" applyNumberFormat="1" applyFont="1" applyBorder="1" applyAlignment="1">
      <alignment horizontal="center"/>
    </xf>
    <xf numFmtId="1" fontId="5" fillId="2" borderId="1" xfId="0" applyNumberFormat="1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168" fontId="0" fillId="0" borderId="1" xfId="0" applyNumberFormat="1" applyBorder="1" applyAlignment="1">
      <alignment horizontal="center"/>
    </xf>
    <xf numFmtId="0" fontId="5" fillId="2" borderId="7" xfId="0" applyFont="1" applyFill="1" applyBorder="1" applyAlignment="1">
      <alignment horizontal="center"/>
    </xf>
    <xf numFmtId="0" fontId="2" fillId="2" borderId="0" xfId="0" applyFont="1" applyFill="1"/>
    <xf numFmtId="0" fontId="5" fillId="2" borderId="1" xfId="0" applyFont="1" applyFill="1" applyBorder="1"/>
    <xf numFmtId="0" fontId="5" fillId="2" borderId="0" xfId="0" applyFont="1" applyFill="1"/>
    <xf numFmtId="2" fontId="5" fillId="4" borderId="1" xfId="0" applyNumberFormat="1" applyFont="1" applyFill="1" applyBorder="1" applyAlignment="1">
      <alignment horizontal="center" vertical="center"/>
    </xf>
    <xf numFmtId="166" fontId="5" fillId="2" borderId="1" xfId="0" applyNumberFormat="1" applyFont="1" applyFill="1" applyBorder="1"/>
    <xf numFmtId="0" fontId="1" fillId="3" borderId="7" xfId="0" applyFont="1" applyFill="1" applyBorder="1"/>
    <xf numFmtId="0" fontId="1" fillId="2" borderId="0" xfId="0" applyFont="1" applyFill="1"/>
    <xf numFmtId="2" fontId="5" fillId="2" borderId="3" xfId="0" applyNumberFormat="1" applyFont="1" applyFill="1" applyBorder="1" applyAlignment="1">
      <alignment horizontal="center"/>
    </xf>
    <xf numFmtId="0" fontId="14" fillId="2" borderId="0" xfId="0" applyFont="1" applyFill="1" applyAlignment="1">
      <alignment horizontal="center" vertical="center" wrapText="1"/>
    </xf>
    <xf numFmtId="0" fontId="0" fillId="2" borderId="0" xfId="0" applyFill="1" applyAlignment="1">
      <alignment vertical="center" wrapText="1"/>
    </xf>
    <xf numFmtId="2" fontId="3" fillId="2" borderId="1" xfId="0" applyNumberFormat="1" applyFont="1" applyFill="1" applyBorder="1" applyAlignment="1">
      <alignment horizontal="center" vertical="center"/>
    </xf>
    <xf numFmtId="2" fontId="0" fillId="2" borderId="0" xfId="0" applyNumberFormat="1" applyFill="1" applyAlignment="1">
      <alignment horizontal="center"/>
    </xf>
    <xf numFmtId="2" fontId="11" fillId="0" borderId="1" xfId="0" applyNumberFormat="1" applyFont="1" applyBorder="1" applyAlignment="1">
      <alignment horizontal="center"/>
    </xf>
    <xf numFmtId="2" fontId="0" fillId="2" borderId="1" xfId="0" applyNumberFormat="1" applyFill="1" applyBorder="1" applyAlignment="1">
      <alignment horizontal="center" vertical="center"/>
    </xf>
    <xf numFmtId="2" fontId="5" fillId="2" borderId="7" xfId="0" applyNumberFormat="1" applyFont="1" applyFill="1" applyBorder="1" applyAlignment="1">
      <alignment horizontal="center"/>
    </xf>
    <xf numFmtId="168" fontId="1" fillId="3" borderId="1" xfId="0" applyNumberFormat="1" applyFont="1" applyFill="1" applyBorder="1" applyAlignment="1">
      <alignment horizontal="center" vertical="center" wrapText="1"/>
    </xf>
    <xf numFmtId="0" fontId="1" fillId="2" borderId="0" xfId="0" applyFont="1" applyFill="1" applyAlignment="1" applyProtection="1">
      <alignment horizontal="center" vertical="center" wrapText="1"/>
      <protection locked="0"/>
    </xf>
    <xf numFmtId="14" fontId="1" fillId="3" borderId="6" xfId="0" applyNumberFormat="1" applyFont="1" applyFill="1" applyBorder="1" applyAlignment="1" applyProtection="1">
      <alignment horizontal="center" vertical="center" wrapText="1"/>
      <protection locked="0"/>
    </xf>
    <xf numFmtId="0" fontId="1" fillId="3" borderId="3" xfId="0" applyFont="1" applyFill="1" applyBorder="1" applyAlignment="1" applyProtection="1">
      <alignment horizontal="center" vertical="center" wrapText="1"/>
      <protection locked="0"/>
    </xf>
    <xf numFmtId="14" fontId="1" fillId="3" borderId="3" xfId="0" applyNumberFormat="1" applyFont="1" applyFill="1" applyBorder="1" applyAlignment="1" applyProtection="1">
      <alignment horizontal="center" vertical="center" wrapText="1"/>
      <protection locked="0"/>
    </xf>
    <xf numFmtId="14" fontId="1" fillId="9" borderId="3" xfId="0" applyNumberFormat="1" applyFont="1" applyFill="1" applyBorder="1" applyAlignment="1" applyProtection="1">
      <alignment horizontal="center" vertical="center" wrapText="1"/>
      <protection locked="0"/>
    </xf>
    <xf numFmtId="0" fontId="1" fillId="9" borderId="3" xfId="0" applyFont="1" applyFill="1" applyBorder="1" applyAlignment="1" applyProtection="1">
      <alignment horizontal="center" vertical="center" wrapText="1"/>
      <protection locked="0"/>
    </xf>
    <xf numFmtId="14" fontId="15" fillId="3" borderId="3" xfId="0" applyNumberFormat="1" applyFont="1" applyFill="1" applyBorder="1" applyAlignment="1" applyProtection="1">
      <alignment horizontal="center" vertical="center" wrapText="1"/>
      <protection locked="0"/>
    </xf>
    <xf numFmtId="0" fontId="0" fillId="2" borderId="0" xfId="0" applyFill="1" applyAlignment="1" applyProtection="1">
      <alignment vertical="center"/>
      <protection locked="0"/>
    </xf>
    <xf numFmtId="0" fontId="1" fillId="6" borderId="0" xfId="0" applyFont="1" applyFill="1" applyAlignment="1" applyProtection="1">
      <alignment vertical="center"/>
      <protection locked="0"/>
    </xf>
    <xf numFmtId="0" fontId="1" fillId="2" borderId="0" xfId="0" applyFont="1" applyFill="1" applyAlignment="1" applyProtection="1">
      <alignment vertical="center"/>
      <protection locked="0"/>
    </xf>
    <xf numFmtId="0" fontId="0" fillId="2" borderId="0" xfId="0" applyFill="1" applyProtection="1">
      <protection locked="0"/>
    </xf>
    <xf numFmtId="0" fontId="0" fillId="2" borderId="7" xfId="0" applyFill="1" applyBorder="1" applyAlignment="1" applyProtection="1">
      <alignment horizontal="center"/>
      <protection locked="0"/>
    </xf>
    <xf numFmtId="0" fontId="3" fillId="5" borderId="1" xfId="0" applyFont="1" applyFill="1" applyBorder="1" applyAlignment="1" applyProtection="1">
      <alignment horizontal="center"/>
      <protection locked="0"/>
    </xf>
    <xf numFmtId="165" fontId="0" fillId="2" borderId="1" xfId="0" applyNumberFormat="1" applyFill="1" applyBorder="1" applyAlignment="1" applyProtection="1">
      <alignment horizontal="center"/>
      <protection locked="0"/>
    </xf>
    <xf numFmtId="0" fontId="0" fillId="2" borderId="1" xfId="0" applyFill="1" applyBorder="1" applyAlignment="1" applyProtection="1">
      <alignment horizontal="center"/>
      <protection locked="0"/>
    </xf>
    <xf numFmtId="2" fontId="0" fillId="2" borderId="1" xfId="0" applyNumberFormat="1" applyFill="1" applyBorder="1" applyAlignment="1" applyProtection="1">
      <alignment horizontal="center"/>
      <protection locked="0"/>
    </xf>
    <xf numFmtId="168" fontId="3" fillId="5" borderId="1" xfId="0" applyNumberFormat="1" applyFont="1" applyFill="1" applyBorder="1" applyAlignment="1" applyProtection="1">
      <alignment horizontal="center"/>
      <protection locked="0"/>
    </xf>
    <xf numFmtId="0" fontId="3" fillId="2" borderId="1" xfId="0" applyFont="1" applyFill="1" applyBorder="1" applyAlignment="1" applyProtection="1">
      <alignment horizontal="center"/>
      <protection locked="0"/>
    </xf>
    <xf numFmtId="168" fontId="3" fillId="2" borderId="1" xfId="0" applyNumberFormat="1" applyFont="1" applyFill="1" applyBorder="1" applyAlignment="1" applyProtection="1">
      <alignment horizontal="center"/>
      <protection locked="0"/>
    </xf>
    <xf numFmtId="166" fontId="0" fillId="2" borderId="1" xfId="0" applyNumberFormat="1" applyFill="1" applyBorder="1" applyAlignment="1" applyProtection="1">
      <alignment horizontal="center"/>
      <protection locked="0"/>
    </xf>
    <xf numFmtId="168" fontId="0" fillId="2" borderId="0" xfId="0" applyNumberFormat="1" applyFill="1" applyProtection="1">
      <protection locked="0"/>
    </xf>
    <xf numFmtId="2" fontId="0" fillId="0" borderId="1" xfId="0" applyNumberFormat="1" applyBorder="1" applyAlignment="1" applyProtection="1">
      <alignment horizontal="center"/>
      <protection locked="0"/>
    </xf>
    <xf numFmtId="0" fontId="3" fillId="2" borderId="1" xfId="0" applyFont="1" applyFill="1" applyBorder="1" applyAlignment="1" applyProtection="1">
      <alignment horizontal="left"/>
      <protection locked="0"/>
    </xf>
    <xf numFmtId="0" fontId="3" fillId="5" borderId="1" xfId="0" applyFont="1" applyFill="1" applyBorder="1" applyAlignment="1" applyProtection="1">
      <alignment horizontal="left"/>
      <protection locked="0"/>
    </xf>
    <xf numFmtId="0" fontId="3" fillId="2" borderId="1" xfId="0" applyFont="1" applyFill="1" applyBorder="1" applyAlignment="1" applyProtection="1">
      <alignment horizontal="center" wrapText="1"/>
      <protection locked="0"/>
    </xf>
    <xf numFmtId="0" fontId="3" fillId="0" borderId="1" xfId="0" applyFont="1" applyBorder="1" applyAlignment="1" applyProtection="1">
      <alignment horizontal="center"/>
      <protection locked="0"/>
    </xf>
    <xf numFmtId="0" fontId="0" fillId="0" borderId="1" xfId="0" applyBorder="1" applyAlignment="1" applyProtection="1">
      <alignment horizontal="center"/>
      <protection locked="0"/>
    </xf>
    <xf numFmtId="166" fontId="0" fillId="0" borderId="1" xfId="0" applyNumberFormat="1" applyBorder="1" applyAlignment="1" applyProtection="1">
      <alignment horizontal="center"/>
      <protection locked="0"/>
    </xf>
    <xf numFmtId="168" fontId="3" fillId="0" borderId="1" xfId="0" applyNumberFormat="1" applyFont="1" applyBorder="1" applyAlignment="1" applyProtection="1">
      <alignment horizontal="center"/>
      <protection locked="0"/>
    </xf>
    <xf numFmtId="168" fontId="0" fillId="0" borderId="1" xfId="0" applyNumberFormat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64" fontId="0" fillId="2" borderId="1" xfId="0" applyNumberFormat="1" applyFill="1" applyBorder="1" applyAlignment="1" applyProtection="1">
      <alignment horizontal="center"/>
      <protection locked="0"/>
    </xf>
    <xf numFmtId="166" fontId="3" fillId="5" borderId="1" xfId="0" applyNumberFormat="1" applyFont="1" applyFill="1" applyBorder="1" applyAlignment="1" applyProtection="1">
      <alignment horizontal="center"/>
      <protection locked="0"/>
    </xf>
    <xf numFmtId="166" fontId="3" fillId="2" borderId="1" xfId="0" applyNumberFormat="1" applyFont="1" applyFill="1" applyBorder="1" applyAlignment="1" applyProtection="1">
      <alignment horizontal="center"/>
      <protection locked="0"/>
    </xf>
    <xf numFmtId="166" fontId="3" fillId="2" borderId="1" xfId="0" applyNumberFormat="1" applyFont="1" applyFill="1" applyBorder="1" applyAlignment="1" applyProtection="1">
      <alignment horizontal="center" vertical="center"/>
      <protection locked="0"/>
    </xf>
    <xf numFmtId="0" fontId="0" fillId="8" borderId="0" xfId="0" applyFill="1" applyProtection="1">
      <protection locked="0"/>
    </xf>
    <xf numFmtId="167" fontId="0" fillId="2" borderId="1" xfId="0" applyNumberFormat="1" applyFill="1" applyBorder="1" applyAlignment="1" applyProtection="1">
      <alignment horizontal="center"/>
      <protection locked="0"/>
    </xf>
    <xf numFmtId="2" fontId="3" fillId="7" borderId="1" xfId="0" applyNumberFormat="1" applyFont="1" applyFill="1" applyBorder="1" applyAlignment="1" applyProtection="1">
      <alignment horizontal="center"/>
      <protection locked="0"/>
    </xf>
    <xf numFmtId="167" fontId="3" fillId="2" borderId="1" xfId="0" applyNumberFormat="1" applyFont="1" applyFill="1" applyBorder="1" applyAlignment="1" applyProtection="1">
      <alignment horizontal="center"/>
      <protection locked="0"/>
    </xf>
    <xf numFmtId="165" fontId="0" fillId="2" borderId="3" xfId="0" applyNumberFormat="1" applyFill="1" applyBorder="1" applyAlignment="1" applyProtection="1">
      <alignment horizontal="center"/>
      <protection locked="0"/>
    </xf>
    <xf numFmtId="1" fontId="0" fillId="2" borderId="3" xfId="0" applyNumberFormat="1" applyFill="1" applyBorder="1" applyAlignment="1" applyProtection="1">
      <alignment horizontal="center"/>
      <protection locked="0"/>
    </xf>
    <xf numFmtId="164" fontId="0" fillId="2" borderId="0" xfId="0" applyNumberFormat="1" applyFill="1"/>
    <xf numFmtId="2" fontId="1" fillId="3" borderId="1" xfId="0" applyNumberFormat="1" applyFont="1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/>
    </xf>
    <xf numFmtId="0" fontId="16" fillId="2" borderId="1" xfId="0" applyFont="1" applyFill="1" applyBorder="1" applyAlignment="1">
      <alignment horizontal="center"/>
    </xf>
    <xf numFmtId="0" fontId="0" fillId="11" borderId="1" xfId="0" applyFill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21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12" borderId="1" xfId="0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21" fillId="2" borderId="1" xfId="0" applyFont="1" applyFill="1" applyBorder="1" applyAlignment="1">
      <alignment horizontal="center"/>
    </xf>
    <xf numFmtId="0" fontId="0" fillId="10" borderId="1" xfId="0" applyFill="1" applyBorder="1" applyAlignment="1">
      <alignment horizontal="center"/>
    </xf>
    <xf numFmtId="0" fontId="10" fillId="0" borderId="1" xfId="0" applyFont="1" applyBorder="1" applyAlignment="1">
      <alignment horizontal="center" vertical="center"/>
    </xf>
    <xf numFmtId="14" fontId="3" fillId="5" borderId="1" xfId="0" applyNumberFormat="1" applyFont="1" applyFill="1" applyBorder="1" applyAlignment="1" applyProtection="1">
      <alignment horizontal="center"/>
      <protection locked="0"/>
    </xf>
    <xf numFmtId="14" fontId="3" fillId="2" borderId="1" xfId="0" applyNumberFormat="1" applyFont="1" applyFill="1" applyBorder="1" applyAlignment="1" applyProtection="1">
      <alignment horizontal="center"/>
      <protection locked="0"/>
    </xf>
    <xf numFmtId="0" fontId="0" fillId="11" borderId="7" xfId="0" applyFill="1" applyBorder="1" applyAlignment="1" applyProtection="1">
      <alignment horizontal="center"/>
      <protection locked="0"/>
    </xf>
    <xf numFmtId="14" fontId="3" fillId="13" borderId="1" xfId="0" applyNumberFormat="1" applyFont="1" applyFill="1" applyBorder="1" applyAlignment="1" applyProtection="1">
      <alignment horizontal="center"/>
      <protection locked="0"/>
    </xf>
    <xf numFmtId="14" fontId="3" fillId="11" borderId="1" xfId="0" applyNumberFormat="1" applyFont="1" applyFill="1" applyBorder="1" applyAlignment="1" applyProtection="1">
      <alignment horizontal="center"/>
      <protection locked="0"/>
    </xf>
    <xf numFmtId="14" fontId="3" fillId="0" borderId="1" xfId="0" applyNumberFormat="1" applyFont="1" applyBorder="1" applyAlignment="1" applyProtection="1">
      <alignment horizontal="center"/>
      <protection locked="0"/>
    </xf>
    <xf numFmtId="165" fontId="0" fillId="11" borderId="1" xfId="0" applyNumberFormat="1" applyFill="1" applyBorder="1" applyAlignment="1">
      <alignment horizontal="center"/>
    </xf>
    <xf numFmtId="0" fontId="0" fillId="11" borderId="1" xfId="0" applyFill="1" applyBorder="1" applyAlignment="1">
      <alignment horizontal="center" vertical="center"/>
    </xf>
    <xf numFmtId="0" fontId="0" fillId="11" borderId="1" xfId="0" applyFill="1" applyBorder="1" applyAlignment="1" applyProtection="1">
      <alignment horizontal="center"/>
      <protection locked="0"/>
    </xf>
    <xf numFmtId="166" fontId="0" fillId="11" borderId="1" xfId="0" applyNumberFormat="1" applyFill="1" applyBorder="1" applyAlignment="1" applyProtection="1">
      <alignment horizontal="center"/>
      <protection locked="0"/>
    </xf>
    <xf numFmtId="167" fontId="3" fillId="13" borderId="1" xfId="0" applyNumberFormat="1" applyFont="1" applyFill="1" applyBorder="1" applyAlignment="1" applyProtection="1">
      <alignment horizontal="center"/>
      <protection locked="0"/>
    </xf>
    <xf numFmtId="2" fontId="3" fillId="13" borderId="1" xfId="0" applyNumberFormat="1" applyFont="1" applyFill="1" applyBorder="1" applyAlignment="1" applyProtection="1">
      <alignment horizontal="center"/>
      <protection locked="0"/>
    </xf>
    <xf numFmtId="167" fontId="3" fillId="11" borderId="1" xfId="0" applyNumberFormat="1" applyFont="1" applyFill="1" applyBorder="1" applyAlignment="1" applyProtection="1">
      <alignment horizontal="center"/>
      <protection locked="0"/>
    </xf>
    <xf numFmtId="2" fontId="3" fillId="11" borderId="1" xfId="0" applyNumberFormat="1" applyFont="1" applyFill="1" applyBorder="1" applyAlignment="1" applyProtection="1">
      <alignment horizontal="center"/>
      <protection locked="0"/>
    </xf>
    <xf numFmtId="167" fontId="3" fillId="5" borderId="1" xfId="0" applyNumberFormat="1" applyFont="1" applyFill="1" applyBorder="1" applyAlignment="1" applyProtection="1">
      <alignment horizontal="center"/>
      <protection locked="0"/>
    </xf>
    <xf numFmtId="2" fontId="3" fillId="5" borderId="1" xfId="0" applyNumberFormat="1" applyFont="1" applyFill="1" applyBorder="1" applyAlignment="1" applyProtection="1">
      <alignment horizontal="center"/>
      <protection locked="0"/>
    </xf>
    <xf numFmtId="2" fontId="3" fillId="2" borderId="1" xfId="0" applyNumberFormat="1" applyFont="1" applyFill="1" applyBorder="1" applyAlignment="1" applyProtection="1">
      <alignment horizontal="center"/>
      <protection locked="0"/>
    </xf>
    <xf numFmtId="167" fontId="3" fillId="7" borderId="1" xfId="0" applyNumberFormat="1" applyFont="1" applyFill="1" applyBorder="1" applyAlignment="1" applyProtection="1">
      <alignment horizontal="center"/>
      <protection locked="0"/>
    </xf>
    <xf numFmtId="167" fontId="3" fillId="0" borderId="1" xfId="0" applyNumberFormat="1" applyFont="1" applyBorder="1" applyAlignment="1" applyProtection="1">
      <alignment horizontal="center"/>
      <protection locked="0"/>
    </xf>
    <xf numFmtId="2" fontId="3" fillId="0" borderId="1" xfId="0" applyNumberFormat="1" applyFont="1" applyBorder="1" applyAlignment="1" applyProtection="1">
      <alignment horizontal="center"/>
      <protection locked="0"/>
    </xf>
    <xf numFmtId="167" fontId="0" fillId="11" borderId="1" xfId="0" applyNumberFormat="1" applyFill="1" applyBorder="1" applyAlignment="1" applyProtection="1">
      <alignment horizontal="center"/>
      <protection locked="0"/>
    </xf>
    <xf numFmtId="2" fontId="0" fillId="11" borderId="1" xfId="0" applyNumberFormat="1" applyFill="1" applyBorder="1" applyAlignment="1" applyProtection="1">
      <alignment horizontal="center"/>
      <protection locked="0"/>
    </xf>
    <xf numFmtId="168" fontId="3" fillId="13" borderId="1" xfId="0" applyNumberFormat="1" applyFont="1" applyFill="1" applyBorder="1" applyAlignment="1" applyProtection="1">
      <alignment horizontal="center"/>
      <protection locked="0"/>
    </xf>
    <xf numFmtId="168" fontId="3" fillId="11" borderId="1" xfId="0" applyNumberFormat="1" applyFont="1" applyFill="1" applyBorder="1" applyAlignment="1" applyProtection="1">
      <alignment horizontal="center"/>
      <protection locked="0"/>
    </xf>
    <xf numFmtId="0" fontId="3" fillId="13" borderId="1" xfId="0" applyFont="1" applyFill="1" applyBorder="1" applyAlignment="1" applyProtection="1">
      <alignment horizontal="center"/>
      <protection locked="0"/>
    </xf>
    <xf numFmtId="0" fontId="3" fillId="11" borderId="1" xfId="0" applyFont="1" applyFill="1" applyBorder="1" applyAlignment="1" applyProtection="1">
      <alignment horizontal="center"/>
      <protection locked="0"/>
    </xf>
    <xf numFmtId="14" fontId="3" fillId="14" borderId="1" xfId="0" applyNumberFormat="1" applyFont="1" applyFill="1" applyBorder="1" applyAlignment="1" applyProtection="1">
      <alignment horizontal="center"/>
      <protection locked="0"/>
    </xf>
    <xf numFmtId="0" fontId="0" fillId="14" borderId="1" xfId="0" applyFill="1" applyBorder="1" applyAlignment="1">
      <alignment horizontal="center"/>
    </xf>
    <xf numFmtId="0" fontId="0" fillId="14" borderId="1" xfId="0" applyFill="1" applyBorder="1" applyAlignment="1">
      <alignment horizontal="center" vertical="center"/>
    </xf>
    <xf numFmtId="0" fontId="3" fillId="15" borderId="1" xfId="0" applyFont="1" applyFill="1" applyBorder="1" applyAlignment="1">
      <alignment horizontal="center"/>
    </xf>
    <xf numFmtId="0" fontId="3" fillId="14" borderId="1" xfId="0" applyFont="1" applyFill="1" applyBorder="1" applyAlignment="1">
      <alignment horizontal="center"/>
    </xf>
    <xf numFmtId="166" fontId="0" fillId="14" borderId="1" xfId="0" applyNumberFormat="1" applyFill="1" applyBorder="1" applyAlignment="1" applyProtection="1">
      <alignment horizontal="center"/>
      <protection locked="0"/>
    </xf>
    <xf numFmtId="167" fontId="3" fillId="14" borderId="1" xfId="0" applyNumberFormat="1" applyFont="1" applyFill="1" applyBorder="1" applyAlignment="1" applyProtection="1">
      <alignment horizontal="center"/>
      <protection locked="0"/>
    </xf>
    <xf numFmtId="2" fontId="3" fillId="14" borderId="1" xfId="0" applyNumberFormat="1" applyFont="1" applyFill="1" applyBorder="1" applyAlignment="1" applyProtection="1">
      <alignment horizontal="center"/>
      <protection locked="0"/>
    </xf>
    <xf numFmtId="167" fontId="3" fillId="15" borderId="1" xfId="0" applyNumberFormat="1" applyFont="1" applyFill="1" applyBorder="1" applyAlignment="1" applyProtection="1">
      <alignment horizontal="center"/>
      <protection locked="0"/>
    </xf>
    <xf numFmtId="2" fontId="3" fillId="15" borderId="1" xfId="0" applyNumberFormat="1" applyFont="1" applyFill="1" applyBorder="1" applyAlignment="1" applyProtection="1">
      <alignment horizontal="center"/>
      <protection locked="0"/>
    </xf>
    <xf numFmtId="0" fontId="3" fillId="14" borderId="1" xfId="0" applyFont="1" applyFill="1" applyBorder="1" applyAlignment="1" applyProtection="1">
      <alignment horizontal="center"/>
      <protection locked="0"/>
    </xf>
    <xf numFmtId="0" fontId="3" fillId="15" borderId="1" xfId="0" applyFont="1" applyFill="1" applyBorder="1" applyAlignment="1" applyProtection="1">
      <alignment horizontal="center"/>
      <protection locked="0"/>
    </xf>
    <xf numFmtId="0" fontId="22" fillId="0" borderId="0" xfId="0" applyFont="1"/>
    <xf numFmtId="0" fontId="3" fillId="0" borderId="1" xfId="0" applyFont="1" applyBorder="1" applyAlignment="1" applyProtection="1">
      <alignment horizontal="center" wrapText="1"/>
      <protection locked="0"/>
    </xf>
    <xf numFmtId="14" fontId="0" fillId="11" borderId="7" xfId="0" applyNumberFormat="1" applyFill="1" applyBorder="1" applyAlignment="1" applyProtection="1">
      <alignment horizontal="center"/>
      <protection locked="0"/>
    </xf>
    <xf numFmtId="0" fontId="22" fillId="5" borderId="1" xfId="0" applyFont="1" applyFill="1" applyBorder="1" applyAlignment="1" applyProtection="1">
      <alignment horizontal="center"/>
      <protection locked="0"/>
    </xf>
    <xf numFmtId="0" fontId="10" fillId="2" borderId="0" xfId="0" applyFont="1" applyFill="1" applyAlignment="1">
      <alignment horizontal="center"/>
    </xf>
    <xf numFmtId="0" fontId="23" fillId="2" borderId="0" xfId="0" applyFont="1" applyFill="1" applyAlignment="1">
      <alignment horizontal="center"/>
    </xf>
    <xf numFmtId="165" fontId="10" fillId="11" borderId="1" xfId="0" applyNumberFormat="1" applyFont="1" applyFill="1" applyBorder="1" applyAlignment="1">
      <alignment horizontal="center"/>
    </xf>
    <xf numFmtId="0" fontId="10" fillId="0" borderId="0" xfId="0" applyFont="1"/>
    <xf numFmtId="0" fontId="10" fillId="11" borderId="1" xfId="0" applyFont="1" applyFill="1" applyBorder="1" applyAlignment="1">
      <alignment horizontal="center"/>
    </xf>
    <xf numFmtId="0" fontId="10" fillId="14" borderId="1" xfId="0" applyFont="1" applyFill="1" applyBorder="1" applyAlignment="1">
      <alignment horizontal="center"/>
    </xf>
    <xf numFmtId="165" fontId="10" fillId="2" borderId="8" xfId="0" applyNumberFormat="1" applyFont="1" applyFill="1" applyBorder="1" applyAlignment="1" applyProtection="1">
      <alignment horizontal="center"/>
      <protection locked="0"/>
    </xf>
    <xf numFmtId="165" fontId="10" fillId="2" borderId="7" xfId="0" applyNumberFormat="1" applyFont="1" applyFill="1" applyBorder="1" applyAlignment="1" applyProtection="1">
      <alignment horizontal="center"/>
      <protection locked="0"/>
    </xf>
    <xf numFmtId="165" fontId="10" fillId="2" borderId="9" xfId="0" applyNumberFormat="1" applyFont="1" applyFill="1" applyBorder="1" applyAlignment="1" applyProtection="1">
      <alignment horizontal="center"/>
      <protection locked="0"/>
    </xf>
    <xf numFmtId="165" fontId="10" fillId="2" borderId="6" xfId="0" applyNumberFormat="1" applyFont="1" applyFill="1" applyBorder="1" applyAlignment="1" applyProtection="1">
      <alignment horizontal="center"/>
      <protection locked="0"/>
    </xf>
    <xf numFmtId="14" fontId="0" fillId="2" borderId="0" xfId="0" applyNumberFormat="1" applyFill="1"/>
    <xf numFmtId="0" fontId="0" fillId="2" borderId="0" xfId="0" applyFill="1" applyAlignment="1">
      <alignment horizontal="center" wrapText="1"/>
    </xf>
    <xf numFmtId="14" fontId="0" fillId="2" borderId="0" xfId="0" applyNumberFormat="1" applyFill="1" applyAlignment="1">
      <alignment horizontal="center"/>
    </xf>
    <xf numFmtId="0" fontId="5" fillId="2" borderId="6" xfId="0" applyFont="1" applyFill="1" applyBorder="1" applyAlignment="1">
      <alignment horizontal="center"/>
    </xf>
    <xf numFmtId="0" fontId="1" fillId="3" borderId="11" xfId="0" applyFont="1" applyFill="1" applyBorder="1" applyAlignment="1">
      <alignment horizontal="center" vertical="center" wrapText="1"/>
    </xf>
    <xf numFmtId="14" fontId="1" fillId="3" borderId="11" xfId="0" applyNumberFormat="1" applyFont="1" applyFill="1" applyBorder="1" applyAlignment="1">
      <alignment horizontal="center" vertical="center" wrapText="1"/>
    </xf>
    <xf numFmtId="14" fontId="5" fillId="2" borderId="6" xfId="0" applyNumberFormat="1" applyFont="1" applyFill="1" applyBorder="1" applyAlignment="1">
      <alignment horizontal="center"/>
    </xf>
    <xf numFmtId="14" fontId="5" fillId="2" borderId="7" xfId="0" applyNumberFormat="1" applyFont="1" applyFill="1" applyBorder="1" applyAlignment="1">
      <alignment horizontal="center"/>
    </xf>
    <xf numFmtId="14" fontId="3" fillId="4" borderId="1" xfId="0" applyNumberFormat="1" applyFont="1" applyFill="1" applyBorder="1" applyAlignment="1">
      <alignment horizontal="center"/>
    </xf>
    <xf numFmtId="1" fontId="3" fillId="4" borderId="1" xfId="0" applyNumberFormat="1" applyFont="1" applyFill="1" applyBorder="1" applyAlignment="1">
      <alignment horizontal="center"/>
    </xf>
    <xf numFmtId="0" fontId="1" fillId="3" borderId="10" xfId="0" applyFont="1" applyFill="1" applyBorder="1" applyAlignment="1">
      <alignment horizontal="center" vertical="center" wrapText="1"/>
    </xf>
    <xf numFmtId="0" fontId="25" fillId="2" borderId="1" xfId="0" applyFont="1" applyFill="1" applyBorder="1" applyAlignment="1">
      <alignment horizontal="center"/>
    </xf>
    <xf numFmtId="14" fontId="0" fillId="2" borderId="0" xfId="0" applyNumberFormat="1" applyFill="1" applyAlignment="1">
      <alignment horizontal="left"/>
    </xf>
    <xf numFmtId="0" fontId="4" fillId="2" borderId="0" xfId="0" applyFont="1" applyFill="1" applyAlignment="1">
      <alignment horizontal="center" vertical="center"/>
    </xf>
    <xf numFmtId="0" fontId="24" fillId="3" borderId="2" xfId="0" applyFont="1" applyFill="1" applyBorder="1" applyAlignment="1">
      <alignment horizontal="center" vertical="center" wrapText="1"/>
    </xf>
    <xf numFmtId="0" fontId="16" fillId="0" borderId="1" xfId="0" applyFont="1" applyBorder="1" applyAlignment="1">
      <alignment horizontal="center"/>
    </xf>
    <xf numFmtId="0" fontId="16" fillId="0" borderId="1" xfId="0" applyFont="1" applyBorder="1" applyAlignment="1">
      <alignment horizontal="center" vertical="center"/>
    </xf>
    <xf numFmtId="0" fontId="10" fillId="2" borderId="0" xfId="0" applyFont="1" applyFill="1"/>
    <xf numFmtId="2" fontId="5" fillId="0" borderId="1" xfId="0" applyNumberFormat="1" applyFont="1" applyBorder="1" applyAlignment="1">
      <alignment horizontal="center" vertical="center"/>
    </xf>
    <xf numFmtId="2" fontId="5" fillId="2" borderId="1" xfId="0" applyNumberFormat="1" applyFont="1" applyFill="1" applyBorder="1" applyAlignment="1">
      <alignment horizontal="center" vertical="center"/>
    </xf>
    <xf numFmtId="164" fontId="0" fillId="2" borderId="2" xfId="0" applyNumberFormat="1" applyFill="1" applyBorder="1" applyAlignment="1">
      <alignment horizontal="center"/>
    </xf>
    <xf numFmtId="0" fontId="1" fillId="3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 applyProtection="1">
      <alignment horizontal="center" vertical="center" wrapText="1"/>
      <protection locked="0"/>
    </xf>
    <xf numFmtId="0" fontId="24" fillId="3" borderId="4" xfId="0" applyFont="1" applyFill="1" applyBorder="1" applyAlignment="1" applyProtection="1">
      <alignment horizontal="center" vertical="center" wrapText="1"/>
      <protection locked="0"/>
    </xf>
    <xf numFmtId="0" fontId="24" fillId="3" borderId="4" xfId="0" applyFont="1" applyFill="1" applyBorder="1" applyAlignment="1" applyProtection="1">
      <alignment horizontal="center" vertical="center"/>
      <protection locked="0"/>
    </xf>
    <xf numFmtId="0" fontId="1" fillId="9" borderId="12" xfId="0" applyFont="1" applyFill="1" applyBorder="1" applyAlignment="1">
      <alignment horizontal="center" vertical="center" wrapText="1"/>
    </xf>
    <xf numFmtId="0" fontId="1" fillId="17" borderId="12" xfId="0" applyFont="1" applyFill="1" applyBorder="1" applyAlignment="1">
      <alignment horizontal="center" vertical="center" wrapText="1"/>
    </xf>
    <xf numFmtId="14" fontId="1" fillId="9" borderId="12" xfId="0" applyNumberFormat="1" applyFont="1" applyFill="1" applyBorder="1" applyAlignment="1">
      <alignment horizontal="center" vertical="center" wrapText="1"/>
    </xf>
    <xf numFmtId="0" fontId="14" fillId="9" borderId="12" xfId="0" applyFont="1" applyFill="1" applyBorder="1" applyAlignment="1">
      <alignment horizontal="center" vertical="center" wrapText="1"/>
    </xf>
    <xf numFmtId="14" fontId="17" fillId="9" borderId="12" xfId="0" applyNumberFormat="1" applyFont="1" applyFill="1" applyBorder="1" applyAlignment="1">
      <alignment horizontal="center" vertical="center" wrapText="1"/>
    </xf>
    <xf numFmtId="0" fontId="18" fillId="9" borderId="12" xfId="0" applyFont="1" applyFill="1" applyBorder="1" applyAlignment="1">
      <alignment horizontal="center" vertical="center" wrapText="1"/>
    </xf>
    <xf numFmtId="167" fontId="0" fillId="2" borderId="0" xfId="0" applyNumberFormat="1" applyFill="1" applyAlignment="1">
      <alignment horizontal="center"/>
    </xf>
    <xf numFmtId="14" fontId="1" fillId="2" borderId="0" xfId="0" applyNumberFormat="1" applyFont="1" applyFill="1" applyAlignment="1">
      <alignment horizontal="center" vertical="center" wrapText="1"/>
    </xf>
    <xf numFmtId="14" fontId="17" fillId="2" borderId="0" xfId="0" applyNumberFormat="1" applyFont="1" applyFill="1" applyAlignment="1">
      <alignment horizontal="center" vertical="center" wrapText="1"/>
    </xf>
    <xf numFmtId="0" fontId="18" fillId="2" borderId="0" xfId="0" applyFont="1" applyFill="1" applyAlignment="1">
      <alignment horizontal="center" vertical="center" wrapText="1"/>
    </xf>
    <xf numFmtId="2" fontId="12" fillId="2" borderId="0" xfId="0" applyNumberFormat="1" applyFont="1" applyFill="1" applyAlignment="1">
      <alignment horizontal="center" vertical="center"/>
    </xf>
    <xf numFmtId="2" fontId="1" fillId="9" borderId="1" xfId="0" applyNumberFormat="1" applyFont="1" applyFill="1" applyBorder="1" applyAlignment="1">
      <alignment horizontal="center" vertical="center"/>
    </xf>
    <xf numFmtId="2" fontId="1" fillId="9" borderId="1" xfId="0" applyNumberFormat="1" applyFont="1" applyFill="1" applyBorder="1" applyAlignment="1">
      <alignment horizontal="center" vertical="center" wrapText="1"/>
    </xf>
    <xf numFmtId="2" fontId="0" fillId="2" borderId="0" xfId="0" applyNumberFormat="1" applyFill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8" fontId="27" fillId="0" borderId="1" xfId="0" applyNumberFormat="1" applyFont="1" applyBorder="1" applyAlignment="1" applyProtection="1">
      <alignment horizontal="center"/>
      <protection locked="0"/>
    </xf>
    <xf numFmtId="0" fontId="1" fillId="3" borderId="13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14" fontId="1" fillId="9" borderId="4" xfId="0" applyNumberFormat="1" applyFont="1" applyFill="1" applyBorder="1" applyAlignment="1">
      <alignment horizontal="center" vertical="center" wrapText="1"/>
    </xf>
    <xf numFmtId="0" fontId="14" fillId="9" borderId="4" xfId="0" applyFont="1" applyFill="1" applyBorder="1" applyAlignment="1">
      <alignment horizontal="center" vertical="center" wrapText="1"/>
    </xf>
    <xf numFmtId="14" fontId="17" fillId="9" borderId="4" xfId="0" applyNumberFormat="1" applyFont="1" applyFill="1" applyBorder="1" applyAlignment="1">
      <alignment horizontal="center" vertical="center" wrapText="1"/>
    </xf>
    <xf numFmtId="0" fontId="18" fillId="9" borderId="4" xfId="0" applyFont="1" applyFill="1" applyBorder="1" applyAlignment="1">
      <alignment horizontal="center" vertical="center" wrapText="1"/>
    </xf>
    <xf numFmtId="0" fontId="26" fillId="9" borderId="4" xfId="0" applyFont="1" applyFill="1" applyBorder="1" applyAlignment="1">
      <alignment horizontal="center" vertical="center" wrapText="1"/>
    </xf>
    <xf numFmtId="14" fontId="15" fillId="3" borderId="1" xfId="0" applyNumberFormat="1" applyFont="1" applyFill="1" applyBorder="1" applyAlignment="1">
      <alignment horizontal="center" vertical="center" wrapText="1"/>
    </xf>
    <xf numFmtId="164" fontId="0" fillId="0" borderId="1" xfId="0" applyNumberFormat="1" applyBorder="1" applyAlignment="1" applyProtection="1">
      <alignment horizontal="center"/>
      <protection locked="0"/>
    </xf>
    <xf numFmtId="165" fontId="10" fillId="2" borderId="1" xfId="0" applyNumberFormat="1" applyFont="1" applyFill="1" applyBorder="1" applyAlignment="1" applyProtection="1">
      <alignment horizontal="center"/>
      <protection locked="0"/>
    </xf>
    <xf numFmtId="165" fontId="10" fillId="2" borderId="1" xfId="0" applyNumberFormat="1" applyFont="1" applyFill="1" applyBorder="1" applyAlignment="1" applyProtection="1">
      <alignment horizontal="center" vertical="center"/>
      <protection locked="0"/>
    </xf>
    <xf numFmtId="0" fontId="24" fillId="3" borderId="10" xfId="0" applyFont="1" applyFill="1" applyBorder="1" applyAlignment="1">
      <alignment horizontal="center" vertical="center" wrapText="1"/>
    </xf>
    <xf numFmtId="0" fontId="24" fillId="3" borderId="10" xfId="0" applyFont="1" applyFill="1" applyBorder="1" applyAlignment="1">
      <alignment horizontal="center" vertical="center"/>
    </xf>
    <xf numFmtId="168" fontId="2" fillId="0" borderId="1" xfId="0" applyNumberFormat="1" applyFont="1" applyBorder="1" applyAlignment="1">
      <alignment horizontal="center"/>
    </xf>
    <xf numFmtId="168" fontId="2" fillId="0" borderId="1" xfId="0" applyNumberFormat="1" applyFont="1" applyBorder="1"/>
    <xf numFmtId="14" fontId="0" fillId="0" borderId="1" xfId="0" applyNumberFormat="1" applyBorder="1" applyAlignment="1">
      <alignment horizontal="center"/>
    </xf>
    <xf numFmtId="166" fontId="0" fillId="18" borderId="1" xfId="0" applyNumberFormat="1" applyFill="1" applyBorder="1" applyAlignment="1" applyProtection="1">
      <alignment horizontal="center"/>
      <protection locked="0"/>
    </xf>
    <xf numFmtId="166" fontId="0" fillId="4" borderId="1" xfId="0" applyNumberFormat="1" applyFill="1" applyBorder="1" applyAlignment="1" applyProtection="1">
      <alignment horizontal="center"/>
      <protection locked="0"/>
    </xf>
    <xf numFmtId="164" fontId="1" fillId="3" borderId="1" xfId="0" applyNumberFormat="1" applyFont="1" applyFill="1" applyBorder="1" applyAlignment="1">
      <alignment horizontal="center" vertical="center" wrapText="1"/>
    </xf>
    <xf numFmtId="166" fontId="0" fillId="2" borderId="0" xfId="0" applyNumberFormat="1" applyFill="1"/>
    <xf numFmtId="166" fontId="20" fillId="3" borderId="1" xfId="0" applyNumberFormat="1" applyFont="1" applyFill="1" applyBorder="1" applyAlignment="1">
      <alignment horizontal="center" vertical="center" wrapText="1"/>
    </xf>
    <xf numFmtId="166" fontId="0" fillId="0" borderId="1" xfId="0" applyNumberFormat="1" applyBorder="1" applyAlignment="1">
      <alignment horizontal="center"/>
    </xf>
    <xf numFmtId="2" fontId="0" fillId="2" borderId="2" xfId="0" applyNumberFormat="1" applyFill="1" applyBorder="1" applyAlignment="1" applyProtection="1">
      <alignment horizontal="center"/>
      <protection locked="0"/>
    </xf>
    <xf numFmtId="1" fontId="0" fillId="2" borderId="1" xfId="0" applyNumberFormat="1" applyFill="1" applyBorder="1" applyAlignment="1" applyProtection="1">
      <alignment horizontal="center"/>
      <protection locked="0"/>
    </xf>
    <xf numFmtId="0" fontId="0" fillId="2" borderId="1" xfId="0" applyFill="1" applyBorder="1" applyAlignment="1" applyProtection="1">
      <alignment horizontal="center" vertical="center"/>
      <protection locked="0"/>
    </xf>
    <xf numFmtId="2" fontId="2" fillId="2" borderId="1" xfId="0" applyNumberFormat="1" applyFont="1" applyFill="1" applyBorder="1" applyAlignment="1" applyProtection="1">
      <alignment horizontal="center"/>
      <protection locked="0"/>
    </xf>
    <xf numFmtId="1" fontId="2" fillId="2" borderId="1" xfId="0" applyNumberFormat="1" applyFont="1" applyFill="1" applyBorder="1" applyAlignment="1">
      <alignment horizontal="center"/>
    </xf>
    <xf numFmtId="14" fontId="2" fillId="2" borderId="1" xfId="0" applyNumberFormat="1" applyFont="1" applyFill="1" applyBorder="1" applyAlignment="1">
      <alignment horizontal="center"/>
    </xf>
    <xf numFmtId="0" fontId="2" fillId="2" borderId="1" xfId="0" applyFont="1" applyFill="1" applyBorder="1"/>
    <xf numFmtId="2" fontId="5" fillId="2" borderId="1" xfId="0" applyNumberFormat="1" applyFont="1" applyFill="1" applyBorder="1" applyAlignment="1" applyProtection="1">
      <alignment horizontal="center"/>
      <protection locked="0"/>
    </xf>
    <xf numFmtId="164" fontId="0" fillId="18" borderId="1" xfId="0" applyNumberFormat="1" applyFill="1" applyBorder="1" applyAlignment="1" applyProtection="1">
      <alignment horizontal="center"/>
      <protection locked="0"/>
    </xf>
    <xf numFmtId="164" fontId="0" fillId="11" borderId="1" xfId="0" applyNumberFormat="1" applyFill="1" applyBorder="1" applyAlignment="1" applyProtection="1">
      <alignment horizontal="center"/>
      <protection locked="0"/>
    </xf>
    <xf numFmtId="164" fontId="0" fillId="4" borderId="1" xfId="0" applyNumberFormat="1" applyFill="1" applyBorder="1" applyAlignment="1" applyProtection="1">
      <alignment horizontal="center"/>
      <protection locked="0"/>
    </xf>
    <xf numFmtId="164" fontId="3" fillId="5" borderId="1" xfId="0" applyNumberFormat="1" applyFont="1" applyFill="1" applyBorder="1" applyAlignment="1" applyProtection="1">
      <alignment horizontal="center"/>
      <protection locked="0"/>
    </xf>
    <xf numFmtId="164" fontId="5" fillId="5" borderId="1" xfId="0" applyNumberFormat="1" applyFont="1" applyFill="1" applyBorder="1" applyAlignment="1" applyProtection="1">
      <alignment horizontal="center"/>
      <protection locked="0"/>
    </xf>
    <xf numFmtId="164" fontId="3" fillId="2" borderId="1" xfId="0" applyNumberFormat="1" applyFont="1" applyFill="1" applyBorder="1" applyAlignment="1" applyProtection="1">
      <alignment horizontal="center"/>
      <protection locked="0"/>
    </xf>
    <xf numFmtId="164" fontId="5" fillId="2" borderId="1" xfId="0" applyNumberFormat="1" applyFont="1" applyFill="1" applyBorder="1" applyAlignment="1" applyProtection="1">
      <alignment horizontal="center"/>
      <protection locked="0"/>
    </xf>
    <xf numFmtId="166" fontId="3" fillId="0" borderId="1" xfId="0" applyNumberFormat="1" applyFont="1" applyBorder="1" applyAlignment="1" applyProtection="1">
      <alignment horizontal="center"/>
      <protection locked="0"/>
    </xf>
    <xf numFmtId="166" fontId="0" fillId="5" borderId="1" xfId="0" applyNumberFormat="1" applyFill="1" applyBorder="1" applyAlignment="1" applyProtection="1">
      <alignment horizontal="center"/>
      <protection locked="0"/>
    </xf>
    <xf numFmtId="166" fontId="3" fillId="5" borderId="1" xfId="0" applyNumberFormat="1" applyFont="1" applyFill="1" applyBorder="1" applyAlignment="1" applyProtection="1">
      <alignment horizontal="center" vertical="center"/>
      <protection locked="0"/>
    </xf>
    <xf numFmtId="166" fontId="3" fillId="16" borderId="1" xfId="0" applyNumberFormat="1" applyFont="1" applyFill="1" applyBorder="1" applyAlignment="1" applyProtection="1">
      <alignment horizontal="center"/>
      <protection locked="0"/>
    </xf>
    <xf numFmtId="0" fontId="22" fillId="2" borderId="0" xfId="0" applyFont="1" applyFill="1"/>
    <xf numFmtId="2" fontId="28" fillId="0" borderId="1" xfId="0" applyNumberFormat="1" applyFont="1" applyBorder="1" applyAlignment="1">
      <alignment horizontal="center"/>
    </xf>
    <xf numFmtId="0" fontId="1" fillId="3" borderId="4" xfId="0" applyFont="1" applyFill="1" applyBorder="1" applyAlignment="1" applyProtection="1">
      <alignment horizontal="center" vertical="center"/>
      <protection locked="0"/>
    </xf>
    <xf numFmtId="165" fontId="0" fillId="2" borderId="8" xfId="0" applyNumberFormat="1" applyFill="1" applyBorder="1" applyAlignment="1" applyProtection="1">
      <alignment horizontal="center"/>
      <protection locked="0"/>
    </xf>
    <xf numFmtId="165" fontId="0" fillId="2" borderId="7" xfId="0" applyNumberFormat="1" applyFill="1" applyBorder="1" applyAlignment="1" applyProtection="1">
      <alignment horizontal="center"/>
      <protection locked="0"/>
    </xf>
    <xf numFmtId="2" fontId="0" fillId="18" borderId="1" xfId="0" applyNumberFormat="1" applyFill="1" applyBorder="1" applyAlignment="1" applyProtection="1">
      <alignment horizontal="center"/>
      <protection locked="0"/>
    </xf>
    <xf numFmtId="164" fontId="22" fillId="4" borderId="1" xfId="0" applyNumberFormat="1" applyFont="1" applyFill="1" applyBorder="1" applyAlignment="1" applyProtection="1">
      <alignment horizontal="center"/>
      <protection locked="0"/>
    </xf>
    <xf numFmtId="164" fontId="2" fillId="4" borderId="1" xfId="0" applyNumberFormat="1" applyFont="1" applyFill="1" applyBorder="1" applyAlignment="1" applyProtection="1">
      <alignment horizontal="center"/>
      <protection locked="0"/>
    </xf>
    <xf numFmtId="164" fontId="2" fillId="2" borderId="1" xfId="0" applyNumberFormat="1" applyFont="1" applyFill="1" applyBorder="1" applyAlignment="1" applyProtection="1">
      <alignment horizontal="center"/>
      <protection locked="0"/>
    </xf>
    <xf numFmtId="164" fontId="5" fillId="0" borderId="1" xfId="0" applyNumberFormat="1" applyFont="1" applyBorder="1" applyAlignment="1">
      <alignment horizontal="center"/>
    </xf>
    <xf numFmtId="0" fontId="1" fillId="9" borderId="4" xfId="0" applyFont="1" applyFill="1" applyBorder="1" applyAlignment="1">
      <alignment horizontal="center" vertical="center" wrapText="1"/>
    </xf>
    <xf numFmtId="0" fontId="1" fillId="17" borderId="4" xfId="0" applyFont="1" applyFill="1" applyBorder="1" applyAlignment="1">
      <alignment horizontal="center" vertical="center" wrapText="1"/>
    </xf>
    <xf numFmtId="14" fontId="1" fillId="3" borderId="4" xfId="0" applyNumberFormat="1" applyFont="1" applyFill="1" applyBorder="1" applyAlignment="1" applyProtection="1">
      <alignment horizontal="center" vertical="center" wrapText="1"/>
      <protection locked="0"/>
    </xf>
    <xf numFmtId="1" fontId="0" fillId="2" borderId="2" xfId="0" applyNumberFormat="1" applyFill="1" applyBorder="1" applyAlignment="1" applyProtection="1">
      <alignment horizontal="center"/>
      <protection locked="0"/>
    </xf>
    <xf numFmtId="2" fontId="0" fillId="2" borderId="1" xfId="0" applyNumberFormat="1" applyFill="1" applyBorder="1" applyProtection="1">
      <protection locked="0"/>
    </xf>
    <xf numFmtId="0" fontId="16" fillId="2" borderId="1" xfId="0" applyFont="1" applyFill="1" applyBorder="1" applyAlignment="1">
      <alignment horizontal="center" vertical="center"/>
    </xf>
    <xf numFmtId="165" fontId="5" fillId="2" borderId="1" xfId="0" applyNumberFormat="1" applyFont="1" applyFill="1" applyBorder="1" applyAlignment="1">
      <alignment horizontal="center"/>
    </xf>
    <xf numFmtId="0" fontId="0" fillId="2" borderId="0" xfId="0" applyFill="1" applyAlignment="1">
      <alignment vertical="center"/>
    </xf>
    <xf numFmtId="0" fontId="5" fillId="5" borderId="5" xfId="0" applyFont="1" applyFill="1" applyBorder="1" applyAlignment="1">
      <alignment horizontal="center"/>
    </xf>
    <xf numFmtId="0" fontId="5" fillId="2" borderId="5" xfId="0" applyFont="1" applyFill="1" applyBorder="1" applyAlignment="1">
      <alignment horizontal="center"/>
    </xf>
    <xf numFmtId="2" fontId="11" fillId="0" borderId="1" xfId="0" applyNumberFormat="1" applyFont="1" applyBorder="1" applyAlignment="1">
      <alignment horizontal="center" vertical="center"/>
    </xf>
    <xf numFmtId="2" fontId="5" fillId="5" borderId="1" xfId="0" applyNumberFormat="1" applyFont="1" applyFill="1" applyBorder="1" applyAlignment="1">
      <alignment horizontal="center" vertical="center"/>
    </xf>
    <xf numFmtId="2" fontId="3" fillId="5" borderId="1" xfId="0" applyNumberFormat="1" applyFont="1" applyFill="1" applyBorder="1" applyAlignment="1">
      <alignment horizontal="center" vertical="center"/>
    </xf>
    <xf numFmtId="0" fontId="0" fillId="2" borderId="2" xfId="0" applyFill="1" applyBorder="1" applyAlignment="1" applyProtection="1">
      <alignment horizontal="center" vertical="center"/>
      <protection locked="0"/>
    </xf>
    <xf numFmtId="166" fontId="5" fillId="5" borderId="1" xfId="0" applyNumberFormat="1" applyFont="1" applyFill="1" applyBorder="1" applyAlignment="1" applyProtection="1">
      <alignment horizontal="center"/>
      <protection locked="0"/>
    </xf>
    <xf numFmtId="166" fontId="5" fillId="2" borderId="1" xfId="0" applyNumberFormat="1" applyFont="1" applyFill="1" applyBorder="1" applyAlignment="1" applyProtection="1">
      <alignment horizontal="center"/>
      <protection locked="0"/>
    </xf>
    <xf numFmtId="0" fontId="3" fillId="13" borderId="1" xfId="0" applyFont="1" applyFill="1" applyBorder="1" applyAlignment="1">
      <alignment horizontal="center"/>
    </xf>
    <xf numFmtId="0" fontId="3" fillId="11" borderId="1" xfId="0" applyFont="1" applyFill="1" applyBorder="1" applyAlignment="1">
      <alignment horizontal="center"/>
    </xf>
    <xf numFmtId="168" fontId="0" fillId="2" borderId="0" xfId="0" applyNumberFormat="1" applyFill="1" applyAlignment="1">
      <alignment horizontal="center"/>
    </xf>
    <xf numFmtId="0" fontId="5" fillId="2" borderId="1" xfId="0" applyFont="1" applyFill="1" applyBorder="1" applyProtection="1">
      <protection locked="0"/>
    </xf>
    <xf numFmtId="0" fontId="5" fillId="2" borderId="0" xfId="0" applyFont="1" applyFill="1" applyProtection="1">
      <protection locked="0"/>
    </xf>
    <xf numFmtId="168" fontId="5" fillId="2" borderId="1" xfId="0" applyNumberFormat="1" applyFont="1" applyFill="1" applyBorder="1" applyProtection="1">
      <protection locked="0"/>
    </xf>
    <xf numFmtId="168" fontId="5" fillId="2" borderId="0" xfId="0" applyNumberFormat="1" applyFont="1" applyFill="1" applyProtection="1">
      <protection locked="0"/>
    </xf>
    <xf numFmtId="0" fontId="5" fillId="2" borderId="0" xfId="0" applyFont="1" applyFill="1" applyAlignment="1">
      <alignment horizontal="center"/>
    </xf>
    <xf numFmtId="0" fontId="16" fillId="2" borderId="0" xfId="0" applyFont="1" applyFill="1" applyAlignment="1">
      <alignment horizontal="center"/>
    </xf>
    <xf numFmtId="167" fontId="5" fillId="2" borderId="0" xfId="0" applyNumberFormat="1" applyFont="1" applyFill="1"/>
    <xf numFmtId="2" fontId="3" fillId="4" borderId="1" xfId="0" applyNumberFormat="1" applyFont="1" applyFill="1" applyBorder="1" applyAlignment="1">
      <alignment horizontal="center"/>
    </xf>
    <xf numFmtId="2" fontId="0" fillId="2" borderId="14" xfId="0" applyNumberFormat="1" applyFill="1" applyBorder="1" applyAlignment="1">
      <alignment horizontal="center"/>
    </xf>
    <xf numFmtId="168" fontId="5" fillId="2" borderId="1" xfId="0" applyNumberFormat="1" applyFont="1" applyFill="1" applyBorder="1" applyAlignment="1">
      <alignment horizontal="center"/>
    </xf>
    <xf numFmtId="166" fontId="5" fillId="4" borderId="1" xfId="0" applyNumberFormat="1" applyFont="1" applyFill="1" applyBorder="1" applyAlignment="1" applyProtection="1">
      <alignment horizontal="center"/>
      <protection locked="0"/>
    </xf>
    <xf numFmtId="2" fontId="5" fillId="2" borderId="7" xfId="0" applyNumberFormat="1" applyFont="1" applyFill="1" applyBorder="1" applyAlignment="1">
      <alignment horizontal="center" wrapText="1"/>
    </xf>
    <xf numFmtId="1" fontId="5" fillId="2" borderId="6" xfId="0" applyNumberFormat="1" applyFont="1" applyFill="1" applyBorder="1" applyAlignment="1">
      <alignment horizontal="center"/>
    </xf>
    <xf numFmtId="1" fontId="5" fillId="2" borderId="7" xfId="0" applyNumberFormat="1" applyFont="1" applyFill="1" applyBorder="1" applyAlignment="1">
      <alignment horizontal="center"/>
    </xf>
    <xf numFmtId="2" fontId="5" fillId="2" borderId="0" xfId="0" applyNumberFormat="1" applyFont="1" applyFill="1"/>
    <xf numFmtId="2" fontId="5" fillId="2" borderId="0" xfId="0" applyNumberFormat="1" applyFont="1" applyFill="1" applyAlignment="1">
      <alignment horizontal="center"/>
    </xf>
    <xf numFmtId="0" fontId="29" fillId="2" borderId="7" xfId="0" applyFont="1" applyFill="1" applyBorder="1" applyAlignment="1">
      <alignment horizontal="center"/>
    </xf>
    <xf numFmtId="165" fontId="0" fillId="2" borderId="1" xfId="0" applyNumberFormat="1" applyFill="1" applyBorder="1" applyAlignment="1">
      <alignment horizontal="center"/>
    </xf>
    <xf numFmtId="165" fontId="10" fillId="2" borderId="1" xfId="0" applyNumberFormat="1" applyFont="1" applyFill="1" applyBorder="1" applyAlignment="1">
      <alignment horizontal="center"/>
    </xf>
    <xf numFmtId="14" fontId="0" fillId="2" borderId="7" xfId="0" applyNumberFormat="1" applyFill="1" applyBorder="1" applyAlignment="1" applyProtection="1">
      <alignment horizontal="center"/>
      <protection locked="0"/>
    </xf>
    <xf numFmtId="0" fontId="0" fillId="2" borderId="0" xfId="0" applyFill="1" applyAlignment="1">
      <alignment horizontal="center" vertical="center" wrapText="1"/>
    </xf>
    <xf numFmtId="0" fontId="3" fillId="2" borderId="1" xfId="0" applyFont="1" applyFill="1" applyBorder="1"/>
    <xf numFmtId="2" fontId="2" fillId="2" borderId="1" xfId="0" applyNumberFormat="1" applyFont="1" applyFill="1" applyBorder="1" applyAlignment="1">
      <alignment horizontal="center"/>
    </xf>
    <xf numFmtId="2" fontId="5" fillId="2" borderId="2" xfId="0" applyNumberFormat="1" applyFont="1" applyFill="1" applyBorder="1" applyAlignment="1">
      <alignment horizontal="center"/>
    </xf>
    <xf numFmtId="14" fontId="31" fillId="2" borderId="1" xfId="0" applyNumberFormat="1" applyFont="1" applyFill="1" applyBorder="1" applyAlignment="1">
      <alignment horizontal="center"/>
    </xf>
    <xf numFmtId="14" fontId="5" fillId="2" borderId="3" xfId="0" applyNumberFormat="1" applyFont="1" applyFill="1" applyBorder="1" applyAlignment="1">
      <alignment horizontal="center"/>
    </xf>
    <xf numFmtId="1" fontId="5" fillId="2" borderId="3" xfId="0" applyNumberFormat="1" applyFont="1" applyFill="1" applyBorder="1" applyAlignment="1">
      <alignment horizontal="center"/>
    </xf>
    <xf numFmtId="0" fontId="1" fillId="9" borderId="11" xfId="0" applyFont="1" applyFill="1" applyBorder="1" applyAlignment="1">
      <alignment horizontal="center" vertical="center"/>
    </xf>
    <xf numFmtId="0" fontId="1" fillId="9" borderId="11" xfId="0" applyFont="1" applyFill="1" applyBorder="1" applyAlignment="1">
      <alignment horizontal="center" vertical="center" wrapText="1"/>
    </xf>
    <xf numFmtId="14" fontId="30" fillId="3" borderId="11" xfId="0" applyNumberFormat="1" applyFont="1" applyFill="1" applyBorder="1" applyAlignment="1" applyProtection="1">
      <alignment horizontal="center" vertical="center" wrapText="1"/>
      <protection locked="0"/>
    </xf>
    <xf numFmtId="0" fontId="30" fillId="3" borderId="11" xfId="0" applyFont="1" applyFill="1" applyBorder="1" applyAlignment="1" applyProtection="1">
      <alignment horizontal="center" vertical="center" wrapText="1"/>
      <protection locked="0"/>
    </xf>
    <xf numFmtId="14" fontId="1" fillId="9" borderId="11" xfId="0" applyNumberFormat="1" applyFont="1" applyFill="1" applyBorder="1" applyAlignment="1">
      <alignment horizontal="center" vertical="center" wrapText="1"/>
    </xf>
    <xf numFmtId="0" fontId="14" fillId="9" borderId="11" xfId="0" applyFont="1" applyFill="1" applyBorder="1" applyAlignment="1">
      <alignment horizontal="center" vertical="center" wrapText="1"/>
    </xf>
    <xf numFmtId="14" fontId="17" fillId="9" borderId="11" xfId="0" applyNumberFormat="1" applyFont="1" applyFill="1" applyBorder="1" applyAlignment="1">
      <alignment horizontal="center" vertical="center" wrapText="1"/>
    </xf>
    <xf numFmtId="0" fontId="18" fillId="9" borderId="11" xfId="0" applyFont="1" applyFill="1" applyBorder="1" applyAlignment="1">
      <alignment horizontal="center" vertical="center" wrapText="1"/>
    </xf>
    <xf numFmtId="0" fontId="12" fillId="3" borderId="0" xfId="0" applyFont="1" applyFill="1" applyAlignment="1">
      <alignment horizontal="center" vertical="center"/>
    </xf>
    <xf numFmtId="0" fontId="1" fillId="3" borderId="15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2" fontId="5" fillId="4" borderId="1" xfId="0" applyNumberFormat="1" applyFont="1" applyFill="1" applyBorder="1" applyAlignment="1">
      <alignment horizontal="center" vertical="center"/>
    </xf>
    <xf numFmtId="2" fontId="5" fillId="4" borderId="2" xfId="0" applyNumberFormat="1" applyFont="1" applyFill="1" applyBorder="1" applyAlignment="1">
      <alignment horizontal="center" vertical="center"/>
    </xf>
    <xf numFmtId="2" fontId="5" fillId="4" borderId="3" xfId="0" applyNumberFormat="1" applyFont="1" applyFill="1" applyBorder="1" applyAlignment="1">
      <alignment horizontal="center" vertical="center"/>
    </xf>
    <xf numFmtId="0" fontId="19" fillId="3" borderId="0" xfId="0" applyFont="1" applyFill="1" applyAlignment="1">
      <alignment horizontal="center" vertical="center"/>
    </xf>
    <xf numFmtId="2" fontId="0" fillId="2" borderId="1" xfId="0" applyNumberFormat="1" applyFill="1" applyBorder="1" applyAlignment="1">
      <alignment horizontal="center" vertical="center"/>
    </xf>
    <xf numFmtId="164" fontId="12" fillId="3" borderId="0" xfId="0" applyNumberFormat="1" applyFont="1" applyFill="1" applyAlignment="1">
      <alignment horizontal="center" vertical="center"/>
    </xf>
    <xf numFmtId="166" fontId="12" fillId="3" borderId="0" xfId="0" applyNumberFormat="1" applyFont="1" applyFill="1" applyAlignment="1">
      <alignment horizontal="center" vertical="center"/>
    </xf>
  </cellXfs>
  <cellStyles count="2">
    <cellStyle name="Normal" xfId="0" builtinId="0"/>
    <cellStyle name="Normal 10" xfId="1" xr:uid="{96D365AA-6241-4569-B3D5-71E619D4ABA3}"/>
  </cellStyles>
  <dxfs count="44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5DBFBD"/>
        </left>
        <right style="thin">
          <color rgb="FF5DBFBD"/>
        </right>
        <top style="thin">
          <color rgb="FF5DBFBD"/>
        </top>
        <bottom/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2" formatCode="0.00"/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5DBFBD"/>
        </left>
        <right style="thin">
          <color rgb="FF5DBFBD"/>
        </right>
        <top style="thin">
          <color rgb="FF5DBFBD"/>
        </top>
        <bottom style="thin">
          <color rgb="FF5DBFBD"/>
        </bottom>
        <vertical style="thin">
          <color rgb="FF5DBFBD"/>
        </vertical>
        <horizontal style="thin">
          <color rgb="FF5DBFBD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5DBFBD"/>
        </left>
        <right style="thin">
          <color rgb="FF5DBFBD"/>
        </right>
        <top style="thin">
          <color rgb="FF5DBFBD"/>
        </top>
        <bottom/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2" formatCode="0.00"/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5DBFBD"/>
        </left>
        <right style="thin">
          <color rgb="FF5DBFBD"/>
        </right>
        <top style="thin">
          <color rgb="FF5DBFBD"/>
        </top>
        <bottom style="thin">
          <color rgb="FF5DBFBD"/>
        </bottom>
        <vertical style="thin">
          <color rgb="FF5DBFBD"/>
        </vertical>
        <horizontal style="thin">
          <color rgb="FF5DBFBD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5DBFBD"/>
        </left>
        <right style="thin">
          <color rgb="FF5DBFBD"/>
        </right>
        <top style="thin">
          <color rgb="FF5DBFBD"/>
        </top>
        <bottom/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2" formatCode="0.00"/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5DBFBD"/>
        </left>
        <right style="thin">
          <color rgb="FF5DBFBD"/>
        </right>
        <top style="thin">
          <color rgb="FF5DBFBD"/>
        </top>
        <bottom style="thin">
          <color rgb="FF5DBFBD"/>
        </bottom>
        <vertical style="thin">
          <color rgb="FF5DBFBD"/>
        </vertical>
        <horizontal style="thin">
          <color rgb="FF5DBFBD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5DBFBD"/>
        </left>
        <right style="thin">
          <color rgb="FF5DBFBD"/>
        </right>
        <top style="thin">
          <color rgb="FF5DBFBD"/>
        </top>
        <bottom/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2" formatCode="0.00"/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5DBFBD"/>
        </left>
        <right style="thin">
          <color rgb="FF5DBFBD"/>
        </right>
        <top style="thin">
          <color rgb="FF5DBFBD"/>
        </top>
        <bottom style="thin">
          <color rgb="FF5DBFBD"/>
        </bottom>
        <vertical style="thin">
          <color rgb="FF5DBFBD"/>
        </vertical>
        <horizontal style="thin">
          <color rgb="FF5DBFBD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5DBFBD"/>
        </left>
        <right style="thin">
          <color rgb="FF5DBFBD"/>
        </right>
        <top style="thin">
          <color rgb="FF5DBFBD"/>
        </top>
        <bottom/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2" formatCode="0.00"/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5DBFBD"/>
        </left>
        <right style="thin">
          <color rgb="FF5DBFBD"/>
        </right>
        <top style="thin">
          <color rgb="FF5DBFBD"/>
        </top>
        <bottom style="thin">
          <color rgb="FF5DBFBD"/>
        </bottom>
        <vertical style="thin">
          <color rgb="FF5DBFBD"/>
        </vertical>
        <horizontal style="thin">
          <color rgb="FF5DBFBD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5DBFBD"/>
        </left>
        <right style="thin">
          <color rgb="FF5DBFBD"/>
        </right>
        <top style="thin">
          <color rgb="FF5DBFBD"/>
        </top>
        <bottom/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2" formatCode="0.00"/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5DBFBD"/>
        </left>
        <right style="thin">
          <color rgb="FF5DBFBD"/>
        </right>
        <top style="thin">
          <color rgb="FF5DBFBD"/>
        </top>
        <bottom style="thin">
          <color rgb="FF5DBFBD"/>
        </bottom>
        <vertical style="thin">
          <color rgb="FF5DBFBD"/>
        </vertical>
        <horizontal style="thin">
          <color rgb="FF5DBFBD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5DBFBD"/>
        </left>
        <right style="thin">
          <color rgb="FF5DBFBD"/>
        </right>
        <top style="thin">
          <color rgb="FF5DBFBD"/>
        </top>
        <bottom/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2" formatCode="0.00"/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5DBFBD"/>
        </left>
        <right style="thin">
          <color rgb="FF5DBFBD"/>
        </right>
        <top style="thin">
          <color rgb="FF5DBFBD"/>
        </top>
        <bottom style="thin">
          <color rgb="FF5DBFBD"/>
        </bottom>
        <vertical style="thin">
          <color rgb="FF5DBFBD"/>
        </vertical>
        <horizontal style="thin">
          <color rgb="FF5DBFBD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5DBFBD"/>
        </left>
        <right style="thin">
          <color rgb="FF5DBFBD"/>
        </right>
        <top style="thin">
          <color rgb="FF5DBFBD"/>
        </top>
        <bottom/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2" formatCode="0.00"/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5DBFBD"/>
        </left>
        <right style="thin">
          <color rgb="FF5DBFBD"/>
        </right>
        <top style="thin">
          <color rgb="FF5DBFBD"/>
        </top>
        <bottom style="thin">
          <color rgb="FF5DBFBD"/>
        </bottom>
        <vertical style="thin">
          <color rgb="FF5DBFBD"/>
        </vertical>
        <horizontal style="thin">
          <color rgb="FF5DBFBD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5DBFBD"/>
        </left>
        <right style="thin">
          <color rgb="FF5DBFBD"/>
        </right>
        <top style="thin">
          <color rgb="FF5DBFBD"/>
        </top>
        <bottom/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2" formatCode="0.00"/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5DBFBD"/>
        </left>
        <right style="thin">
          <color rgb="FF5DBFBD"/>
        </right>
        <top style="thin">
          <color rgb="FF5DBFBD"/>
        </top>
        <bottom style="thin">
          <color rgb="FF5DBFBD"/>
        </bottom>
        <vertical style="thin">
          <color rgb="FF5DBFBD"/>
        </vertical>
        <horizontal style="thin">
          <color rgb="FF5DBFBD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5DBFBD"/>
        </left>
        <right style="thin">
          <color rgb="FF5DBFBD"/>
        </right>
        <top style="thin">
          <color rgb="FF5DBFBD"/>
        </top>
        <bottom/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2" formatCode="0.00"/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5DBFBD"/>
        </left>
        <right style="thin">
          <color rgb="FF5DBFBD"/>
        </right>
        <top style="thin">
          <color rgb="FF5DBFBD"/>
        </top>
        <bottom style="thin">
          <color rgb="FF5DBFBD"/>
        </bottom>
        <vertical style="thin">
          <color rgb="FF5DBFBD"/>
        </vertical>
        <horizontal style="thin">
          <color rgb="FF5DBFBD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2" formatCode="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/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2" formatCode="0.00"/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5DBFBD"/>
        </left>
        <right style="thin">
          <color rgb="FF5DBFBD"/>
        </right>
        <top style="thin">
          <color rgb="FF5DBFBD"/>
        </top>
        <bottom style="thin">
          <color rgb="FF5DBFBD"/>
        </bottom>
        <vertical style="thin">
          <color rgb="FF5DBFBD"/>
        </vertical>
        <horizontal style="thin">
          <color rgb="FF5DBFBD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2" formatCode="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/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2" formatCode="0.00"/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5DBFBD"/>
        </left>
        <right style="thin">
          <color rgb="FF5DBFBD"/>
        </right>
        <top style="thin">
          <color rgb="FF5DBFBD"/>
        </top>
        <bottom style="thin">
          <color rgb="FF5DBFBD"/>
        </bottom>
        <vertical style="thin">
          <color rgb="FF5DBFBD"/>
        </vertical>
        <horizontal style="thin">
          <color rgb="FF5DBFBD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2" formatCode="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/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2" formatCode="0.00"/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5DBFBD"/>
        </left>
        <right style="thin">
          <color rgb="FF5DBFBD"/>
        </right>
        <top style="thin">
          <color rgb="FF5DBFBD"/>
        </top>
        <bottom style="thin">
          <color rgb="FF5DBFBD"/>
        </bottom>
        <vertical style="thin">
          <color rgb="FF5DBFBD"/>
        </vertical>
        <horizontal style="thin">
          <color rgb="FF5DBFBD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2" formatCode="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/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2" formatCode="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5DBFBD"/>
        </left>
        <right style="thin">
          <color rgb="FF5DBFBD"/>
        </right>
        <top style="thin">
          <color rgb="FF5DBFBD"/>
        </top>
        <bottom style="thin">
          <color rgb="FF5DBFBD"/>
        </bottom>
        <vertical style="thin">
          <color rgb="FF5DBFBD"/>
        </vertical>
        <horizontal style="thin">
          <color rgb="FF5DBFBD"/>
        </horizontal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rgb="FF5DBFBD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2" formatCode="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5DBFBD"/>
        </left>
        <right style="thin">
          <color rgb="FF5DBFBD"/>
        </right>
        <top style="thin">
          <color rgb="FF5DBFBD"/>
        </top>
        <bottom style="thin">
          <color rgb="FF5DBFBD"/>
        </bottom>
        <vertical style="thin">
          <color rgb="FF5DBFBD"/>
        </vertical>
        <horizontal style="thin">
          <color rgb="FF5DBFBD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2" formatCode="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/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2" formatCode="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5DBFBD"/>
        </left>
        <right style="thin">
          <color rgb="FF5DBFBD"/>
        </right>
        <top style="thin">
          <color rgb="FF5DBFBD"/>
        </top>
        <bottom style="thin">
          <color rgb="FF5DBFBD"/>
        </bottom>
        <vertical style="thin">
          <color rgb="FF5DBFBD"/>
        </vertical>
        <horizontal style="thin">
          <color rgb="FF5DBFBD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2" formatCode="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/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2" formatCode="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5DBFBD"/>
        </left>
        <right style="thin">
          <color rgb="FF5DBFBD"/>
        </right>
        <top style="thin">
          <color rgb="FF5DBFBD"/>
        </top>
        <bottom style="thin">
          <color rgb="FF5DBFBD"/>
        </bottom>
        <vertical style="thin">
          <color rgb="FF5DBFBD"/>
        </vertical>
        <horizontal style="thin">
          <color rgb="FF5DBFBD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2" formatCode="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/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2" formatCode="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5DBFBD"/>
        </left>
        <right style="thin">
          <color rgb="FF5DBFBD"/>
        </right>
        <top style="thin">
          <color rgb="FF5DBFBD"/>
        </top>
        <bottom style="thin">
          <color rgb="FF5DBFBD"/>
        </bottom>
        <vertical style="thin">
          <color rgb="FF5DBFBD"/>
        </vertical>
        <horizontal style="thin">
          <color rgb="FF5DBFBD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2" formatCode="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2" formatCode="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5DBFBD"/>
        </left>
        <right style="thin">
          <color rgb="FF5DBFBD"/>
        </right>
        <top style="thin">
          <color rgb="FF5DBFBD"/>
        </top>
        <bottom style="thin">
          <color rgb="FF5DBFBD"/>
        </bottom>
        <vertical style="thin">
          <color rgb="FF5DBFBD"/>
        </vertical>
        <horizontal style="thin">
          <color rgb="FF5DBFBD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2" formatCode="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/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2" formatCode="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5DBFBD"/>
        </left>
        <right style="thin">
          <color rgb="FF5DBFBD"/>
        </right>
        <top style="thin">
          <color rgb="FF5DBFBD"/>
        </top>
        <bottom style="thin">
          <color rgb="FF5DBFBD"/>
        </bottom>
        <vertical style="thin">
          <color rgb="FF5DBFBD"/>
        </vertical>
        <horizontal style="thin">
          <color rgb="FF5DBFBD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2" formatCode="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/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2" formatCode="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5DBFBD"/>
        </left>
        <right style="thin">
          <color rgb="FF5DBFBD"/>
        </right>
        <top style="thin">
          <color rgb="FF5DBFBD"/>
        </top>
        <bottom style="thin">
          <color rgb="FF5DBFBD"/>
        </bottom>
        <vertical style="thin">
          <color rgb="FF5DBFBD"/>
        </vertical>
        <horizontal style="thin">
          <color rgb="FF5DBFBD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 style="thin">
          <color rgb="FF5DBFB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5DBFBD"/>
        </left>
        <right style="thin">
          <color rgb="FF5DBFBD"/>
        </right>
        <top style="thin">
          <color rgb="FF5DBFBD"/>
        </top>
        <bottom style="thin">
          <color rgb="FF5DBFB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5DBFBD"/>
        </left>
        <right style="thin">
          <color rgb="FF5DBFBD"/>
        </right>
        <top style="thin">
          <color rgb="FF5DBFBD"/>
        </top>
        <bottom style="thin">
          <color rgb="FF5DBFB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5DBFBD"/>
        </left>
        <right style="thin">
          <color rgb="FF5DBFBD"/>
        </right>
        <top style="thin">
          <color rgb="FF5DBFBD"/>
        </top>
        <bottom style="thin">
          <color rgb="FF5DBFB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 style="thin">
          <color rgb="FF5DBFB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rgb="FF5DBFBD"/>
        </right>
        <top style="thin">
          <color rgb="FF5DBFBD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rgb="FF5DBFBD"/>
        </right>
        <top style="thin">
          <color rgb="FF5DBFBD"/>
        </top>
        <bottom style="thin">
          <color rgb="FF5DBFB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 outline="0">
        <left/>
        <right style="thin">
          <color rgb="FF5DBFBD"/>
        </right>
        <top style="thin">
          <color rgb="FF5DBFBD"/>
        </top>
        <bottom/>
      </border>
    </dxf>
    <dxf>
      <font>
        <i val="0"/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>
          <fgColor indexed="64"/>
          <bgColor theme="0"/>
        </patternFill>
      </fill>
      <alignment horizontal="left" textRotation="0" indent="0" justifyLastLine="0" shrinkToFit="0" readingOrder="0"/>
      <border diagonalUp="0" diagonalDown="0" outline="0">
        <left/>
        <right style="thin">
          <color rgb="FF5DBFBD"/>
        </right>
        <top style="thin">
          <color rgb="FF5DBFBD"/>
        </top>
        <bottom style="thin">
          <color rgb="FF5DBFB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rgb="FF5DBFBD"/>
        </top>
        <bottom/>
      </border>
    </dxf>
    <dxf>
      <font>
        <i val="0"/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rgb="FF5DBFBD"/>
        </top>
        <bottom style="thin">
          <color rgb="FF5DBFB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rgb="FF5DBFBD"/>
        </left>
        <right/>
        <top style="thin">
          <color rgb="FF5DBFBD"/>
        </top>
        <bottom/>
      </border>
    </dxf>
    <dxf>
      <font>
        <i val="0"/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rgb="FF5DBFBD"/>
        </left>
        <right/>
        <top style="thin">
          <color rgb="FF5DBFBD"/>
        </top>
        <bottom style="thin">
          <color rgb="FF5DBFB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/>
        <top style="thin">
          <color rgb="FF5DBFBD"/>
        </top>
        <bottom/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/>
        <top style="thin">
          <color rgb="FF5DBFBD"/>
        </top>
        <bottom style="thin">
          <color rgb="FF5DBFB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/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9" formatCode="m/d/yyyy"/>
      <fill>
        <patternFill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 style="thin">
          <color rgb="FF5DBFB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rgb="FF5DBFBD"/>
        </right>
        <top style="thin">
          <color rgb="FF5DBFBD"/>
        </top>
        <bottom/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rgb="FF5DBFBD"/>
        </right>
        <top style="thin">
          <color rgb="FF5DBFBD"/>
        </top>
        <bottom style="thin">
          <color rgb="FF5DBFBD"/>
        </bottom>
      </border>
    </dxf>
    <dxf>
      <border>
        <top style="thin">
          <color rgb="FF5DBFBD"/>
        </top>
      </border>
    </dxf>
    <dxf>
      <border diagonalUp="0" diagonalDown="0">
        <left style="thin">
          <color rgb="FF5DBFBD"/>
        </left>
        <right style="thin">
          <color rgb="FF5DBFBD"/>
        </right>
        <top style="thin">
          <color rgb="FF5DBFBD"/>
        </top>
        <bottom style="thin">
          <color rgb="FF5DBFBD"/>
        </bottom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>
          <fgColor indexed="64"/>
          <bgColor theme="0"/>
        </patternFill>
      </fill>
    </dxf>
    <dxf>
      <border>
        <bottom style="thin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rgb="FF5DBFBD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0"/>
        </left>
        <right style="thin">
          <color theme="0"/>
        </right>
        <top/>
        <bottom/>
        <vertical style="thin">
          <color theme="0"/>
        </vertical>
        <horizontal/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5DBFBD"/>
        </left>
        <right style="thin">
          <color rgb="FF5DBFBD"/>
        </right>
        <top style="thin">
          <color rgb="FF5DBFBD"/>
        </top>
        <bottom/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2" formatCode="0.00"/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5DBFBD"/>
        </left>
        <right style="thin">
          <color rgb="FF5DBFBD"/>
        </right>
        <top style="thin">
          <color rgb="FF5DBFBD"/>
        </top>
        <bottom style="thin">
          <color rgb="FF5DBFBD"/>
        </bottom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5DBFBD"/>
        </left>
        <right style="thin">
          <color rgb="FF5DBFBD"/>
        </right>
        <top style="thin">
          <color rgb="FF5DBFBD"/>
        </top>
        <bottom/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2" formatCode="0.00"/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5DBFBD"/>
        </left>
        <right style="thin">
          <color rgb="FF5DBFBD"/>
        </right>
        <top style="thin">
          <color rgb="FF5DBFBD"/>
        </top>
        <bottom style="thin">
          <color rgb="FF5DBFBD"/>
        </bottom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5DBFBD"/>
        </left>
        <right style="thin">
          <color rgb="FF5DBFBD"/>
        </right>
        <top style="thin">
          <color rgb="FF5DBFBD"/>
        </top>
        <bottom/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2" formatCode="0.00"/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5DBFBD"/>
        </left>
        <right style="thin">
          <color rgb="FF5DBFBD"/>
        </right>
        <top style="thin">
          <color rgb="FF5DBFBD"/>
        </top>
        <bottom style="thin">
          <color rgb="FF5DBFBD"/>
        </bottom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5DBFBD"/>
        </left>
        <right style="thin">
          <color rgb="FF5DBFBD"/>
        </right>
        <top style="thin">
          <color rgb="FF5DBFBD"/>
        </top>
        <bottom/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2" formatCode="0.00"/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5DBFBD"/>
        </left>
        <right style="thin">
          <color rgb="FF5DBFBD"/>
        </right>
        <top style="thin">
          <color rgb="FF5DBFBD"/>
        </top>
        <bottom style="thin">
          <color rgb="FF5DBFBD"/>
        </bottom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5DBFBD"/>
        </left>
        <right style="thin">
          <color rgb="FF5DBFBD"/>
        </right>
        <top style="thin">
          <color rgb="FF5DBFBD"/>
        </top>
        <bottom/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2" formatCode="0.00"/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5DBFBD"/>
        </left>
        <right style="thin">
          <color rgb="FF5DBFBD"/>
        </right>
        <top style="thin">
          <color rgb="FF5DBFBD"/>
        </top>
        <bottom style="thin">
          <color rgb="FF5DBFBD"/>
        </bottom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5DBFBD"/>
        </left>
        <right style="thin">
          <color rgb="FF5DBFBD"/>
        </right>
        <top style="thin">
          <color rgb="FF5DBFBD"/>
        </top>
        <bottom/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2" formatCode="0.00"/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5DBFBD"/>
        </left>
        <right style="thin">
          <color rgb="FF5DBFBD"/>
        </right>
        <top style="thin">
          <color rgb="FF5DBFBD"/>
        </top>
        <bottom style="thin">
          <color rgb="FF5DBFBD"/>
        </bottom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5DBFBD"/>
        </left>
        <right style="thin">
          <color rgb="FF5DBFBD"/>
        </right>
        <top style="thin">
          <color rgb="FF5DBFBD"/>
        </top>
        <bottom/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2" formatCode="0.00"/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5DBFBD"/>
        </left>
        <right style="thin">
          <color rgb="FF5DBFBD"/>
        </right>
        <top style="thin">
          <color rgb="FF5DBFBD"/>
        </top>
        <bottom style="thin">
          <color rgb="FF5DBFBD"/>
        </bottom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5DBFBD"/>
        </left>
        <right style="thin">
          <color rgb="FF5DBFBD"/>
        </right>
        <top style="thin">
          <color rgb="FF5DBFBD"/>
        </top>
        <bottom/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2" formatCode="0.00"/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5DBFBD"/>
        </left>
        <right style="thin">
          <color rgb="FF5DBFBD"/>
        </right>
        <top style="thin">
          <color rgb="FF5DBFBD"/>
        </top>
        <bottom style="thin">
          <color rgb="FF5DBFBD"/>
        </bottom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5DBFBD"/>
        </left>
        <right style="thin">
          <color rgb="FF5DBFBD"/>
        </right>
        <top style="thin">
          <color rgb="FF5DBFBD"/>
        </top>
        <bottom/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2" formatCode="0.00"/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5DBFBD"/>
        </left>
        <right style="thin">
          <color rgb="FF5DBFBD"/>
        </right>
        <top style="thin">
          <color rgb="FF5DBFBD"/>
        </top>
        <bottom style="thin">
          <color rgb="FF5DBFBD"/>
        </bottom>
      </border>
    </dxf>
    <dxf>
      <numFmt numFmtId="2" formatCode="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/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2" formatCode="0.00"/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 style="thin">
          <color rgb="FF5DBFBD"/>
        </bottom>
      </border>
    </dxf>
    <dxf>
      <numFmt numFmtId="2" formatCode="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/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2" formatCode="0.00"/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 style="thin">
          <color rgb="FF5DBFBD"/>
        </bottom>
      </border>
    </dxf>
    <dxf>
      <numFmt numFmtId="2" formatCode="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/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2" formatCode="0.00"/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 style="thin">
          <color rgb="FF5DBFBD"/>
        </bottom>
      </border>
    </dxf>
    <dxf>
      <numFmt numFmtId="2" formatCode="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/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2" formatCode="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 style="thin">
          <color rgb="FF5DBFBD"/>
        </bottom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rgb="FF5DBFBD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2" formatCode="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5DBFBD"/>
        </left>
        <right style="thin">
          <color rgb="FF5DBFBD"/>
        </right>
        <top style="thin">
          <color rgb="FF5DBFBD"/>
        </top>
        <bottom style="thin">
          <color rgb="FF5DBFBD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rgb="FF5DBFBD"/>
        </top>
        <bottom/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2" formatCode="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 style="thin">
          <color rgb="FF5DBFBD"/>
        </bottom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rgb="FF5DBFBD"/>
        </top>
        <bottom/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2" formatCode="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 style="thin">
          <color rgb="FF5DBFBD"/>
        </bottom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rgb="FF5DBFBD"/>
        </top>
        <bottom/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2" formatCode="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 style="thin">
          <color rgb="FF5DBFBD"/>
        </bottom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rgb="FF5DBFBD"/>
        </top>
        <bottom/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2" formatCode="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 style="thin">
          <color rgb="FF5DBFBD"/>
        </bottom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rgb="FF5DBFBD"/>
        </top>
        <bottom/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2" formatCode="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rgb="FF5DBFBD"/>
        </right>
        <top style="thin">
          <color rgb="FF5DBFBD"/>
        </top>
        <bottom style="thin">
          <color rgb="FF5DBFBD"/>
        </bottom>
      </border>
    </dxf>
    <dxf>
      <numFmt numFmtId="0" formatCode="General"/>
      <fill>
        <patternFill patternType="solid">
          <fgColor indexed="64"/>
          <bgColor theme="0"/>
        </patternFill>
      </fill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/>
        <right style="thin">
          <color rgb="FF5DBFBD"/>
        </right>
        <top style="thin">
          <color rgb="FF5DBFBD"/>
        </top>
        <bottom style="thin">
          <color rgb="FF5DBFBD"/>
        </bottom>
      </border>
    </dxf>
    <dxf>
      <numFmt numFmtId="0" formatCode="General"/>
      <fill>
        <patternFill patternType="solid">
          <fgColor indexed="64"/>
          <bgColor theme="0"/>
        </patternFill>
      </fill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/>
        <right/>
        <top style="thin">
          <color rgb="FF5DBFBD"/>
        </top>
        <bottom style="thin">
          <color rgb="FF5DBFBD"/>
        </bottom>
      </border>
    </dxf>
    <dxf>
      <numFmt numFmtId="0" formatCode="General"/>
      <fill>
        <patternFill patternType="solid">
          <fgColor indexed="64"/>
          <bgColor theme="0"/>
        </patternFill>
      </fill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/>
        <right/>
        <top style="thin">
          <color rgb="FF5DBFBD"/>
        </top>
        <bottom style="thin">
          <color rgb="FF5DBFBD"/>
        </bottom>
      </border>
    </dxf>
    <dxf>
      <numFmt numFmtId="0" formatCode="General"/>
      <fill>
        <patternFill patternType="solid">
          <fgColor indexed="64"/>
          <bgColor theme="0"/>
        </patternFill>
      </fill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/>
      </border>
    </dxf>
    <dxf>
      <font>
        <i val="0"/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>
          <fgColor indexed="64"/>
          <bgColor theme="0"/>
        </patternFill>
      </fill>
      <alignment horizontal="left" textRotation="0" indent="0" justifyLastLine="0" shrinkToFit="0" readingOrder="0"/>
      <border diagonalUp="0" diagonalDown="0" outline="0">
        <left/>
        <right/>
        <top style="thin">
          <color rgb="FF5DBFBD"/>
        </top>
        <bottom style="thin">
          <color rgb="FF5DBFBD"/>
        </bottom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/>
      </border>
    </dxf>
    <dxf>
      <font>
        <i val="0"/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rgb="FF5DBFBD"/>
        </top>
        <bottom style="thin">
          <color rgb="FF5DBFBD"/>
        </bottom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/>
      </border>
    </dxf>
    <dxf>
      <font>
        <i val="0"/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rgb="FF5DBFBD"/>
        </left>
        <right/>
        <top style="thin">
          <color rgb="FF5DBFBD"/>
        </top>
        <bottom style="thin">
          <color rgb="FF5DBFBD"/>
        </bottom>
      </border>
    </dxf>
    <dxf>
      <numFmt numFmtId="0" formatCode="General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/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/>
        <top style="thin">
          <color rgb="FF5DBFBD"/>
        </top>
        <bottom style="thin">
          <color rgb="FF5DBFBD"/>
        </bottom>
      </border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/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" formatCode="0"/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 style="thin">
          <color rgb="FF5DBFBD"/>
        </bottom>
      </border>
    </dxf>
    <dxf>
      <numFmt numFmtId="0" formatCode="General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rgb="FF5DBFBD"/>
        </right>
        <top style="thin">
          <color rgb="FF5DBFBD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rgb="FF5DBFBD"/>
        </right>
        <top style="thin">
          <color rgb="FF5DBFBD"/>
        </top>
        <bottom style="thin">
          <color rgb="FF5DBFBD"/>
        </bottom>
      </border>
    </dxf>
    <dxf>
      <numFmt numFmtId="0" formatCode="General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rgb="FF5DBFBD"/>
        </right>
        <top style="thin">
          <color rgb="FF5DBFBD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9" formatCode="m/d/yyyy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rgb="FF5DBFBD"/>
        </right>
        <top style="thin">
          <color rgb="FF5DBFBD"/>
        </top>
        <bottom style="thin">
          <color rgb="FF5DBFBD"/>
        </bottom>
      </border>
    </dxf>
    <dxf>
      <numFmt numFmtId="0" formatCode="General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rgb="FF5DBFBD"/>
        </right>
        <top style="thin">
          <color rgb="FF5DBFBD"/>
        </top>
        <bottom/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rgb="FF5DBFBD"/>
        </right>
        <top style="thin">
          <color rgb="FF5DBFBD"/>
        </top>
        <bottom style="thin">
          <color rgb="FF5DBFBD"/>
        </bottom>
      </border>
    </dxf>
    <dxf>
      <border>
        <top style="thin">
          <color rgb="FF5DBFBD"/>
        </top>
      </border>
    </dxf>
    <dxf>
      <border diagonalUp="0" diagonalDown="0">
        <left style="thin">
          <color rgb="FF5DBFBD"/>
        </left>
        <right style="thin">
          <color rgb="FF5DBFBD"/>
        </right>
        <top style="thin">
          <color rgb="FF5DBFBD"/>
        </top>
        <bottom style="thin">
          <color rgb="FF5DBFBD"/>
        </bottom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>
          <fgColor indexed="64"/>
          <bgColor theme="0"/>
        </patternFill>
      </fill>
    </dxf>
    <dxf>
      <border>
        <bottom style="thin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rgb="FF5DBFBD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0"/>
        </left>
        <right style="thin">
          <color theme="0"/>
        </right>
        <top/>
        <bottom/>
        <vertical style="thin">
          <color theme="0"/>
        </vertical>
        <horizontal/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5DBFBD"/>
        </left>
        <right style="thin">
          <color rgb="FF5DBFBD"/>
        </right>
        <top style="thin">
          <color rgb="FF5DBFBD"/>
        </top>
        <bottom/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2" formatCode="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5DBFBD"/>
        </left>
        <right style="thin">
          <color rgb="FF5DBFBD"/>
        </right>
        <top style="thin">
          <color rgb="FF5DBFBD"/>
        </top>
        <bottom style="thin">
          <color rgb="FF5DBFBD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5DBFBD"/>
        </left>
        <right style="thin">
          <color rgb="FF5DBFBD"/>
        </right>
        <top style="thin">
          <color rgb="FF5DBFBD"/>
        </top>
        <bottom/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2" formatCode="0.00"/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5DBFBD"/>
        </left>
        <right style="thin">
          <color rgb="FF5DBFBD"/>
        </right>
        <top style="thin">
          <color rgb="FF5DBFBD"/>
        </top>
        <bottom style="thin">
          <color rgb="FF5DBFBD"/>
        </bottom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5DBFBD"/>
        </left>
        <right style="thin">
          <color rgb="FF5DBFBD"/>
        </right>
        <top style="thin">
          <color rgb="FF5DBFBD"/>
        </top>
        <bottom/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2" formatCode="0.00"/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5DBFBD"/>
        </left>
        <right style="thin">
          <color rgb="FF5DBFBD"/>
        </right>
        <top style="thin">
          <color rgb="FF5DBFBD"/>
        </top>
        <bottom style="thin">
          <color rgb="FF5DBFBD"/>
        </bottom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5DBFBD"/>
        </left>
        <right style="thin">
          <color rgb="FF5DBFBD"/>
        </right>
        <top style="thin">
          <color rgb="FF5DBFBD"/>
        </top>
        <bottom/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2" formatCode="0.00"/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5DBFBD"/>
        </left>
        <right style="thin">
          <color rgb="FF5DBFBD"/>
        </right>
        <top style="thin">
          <color rgb="FF5DBFBD"/>
        </top>
        <bottom style="thin">
          <color rgb="FF5DBFBD"/>
        </bottom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5DBFBD"/>
        </left>
        <right style="thin">
          <color rgb="FF5DBFBD"/>
        </right>
        <top style="thin">
          <color rgb="FF5DBFBD"/>
        </top>
        <bottom/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2" formatCode="0.00"/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5DBFBD"/>
        </left>
        <right style="thin">
          <color rgb="FF5DBFBD"/>
        </right>
        <top style="thin">
          <color rgb="FF5DBFBD"/>
        </top>
        <bottom style="thin">
          <color rgb="FF5DBFBD"/>
        </bottom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5DBFBD"/>
        </left>
        <right style="thin">
          <color rgb="FF5DBFBD"/>
        </right>
        <top style="thin">
          <color rgb="FF5DBFBD"/>
        </top>
        <bottom/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2" formatCode="0.00"/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5DBFBD"/>
        </left>
        <right style="thin">
          <color rgb="FF5DBFBD"/>
        </right>
        <top style="thin">
          <color rgb="FF5DBFBD"/>
        </top>
        <bottom style="thin">
          <color rgb="FF5DBFBD"/>
        </bottom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5DBFBD"/>
        </left>
        <right style="thin">
          <color rgb="FF5DBFBD"/>
        </right>
        <top style="thin">
          <color rgb="FF5DBFBD"/>
        </top>
        <bottom/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2" formatCode="0.00"/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5DBFBD"/>
        </left>
        <right style="thin">
          <color rgb="FF5DBFBD"/>
        </right>
        <top style="thin">
          <color rgb="FF5DBFBD"/>
        </top>
        <bottom style="thin">
          <color rgb="FF5DBFBD"/>
        </bottom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5DBFBD"/>
        </left>
        <right style="thin">
          <color rgb="FF5DBFBD"/>
        </right>
        <top style="thin">
          <color rgb="FF5DBFBD"/>
        </top>
        <bottom/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2" formatCode="0.00"/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5DBFBD"/>
        </left>
        <right style="thin">
          <color rgb="FF5DBFBD"/>
        </right>
        <top style="thin">
          <color rgb="FF5DBFBD"/>
        </top>
        <bottom style="thin">
          <color rgb="FF5DBFBD"/>
        </bottom>
      </border>
    </dxf>
    <dxf>
      <numFmt numFmtId="2" formatCode="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/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2" formatCode="0.00"/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 style="thin">
          <color rgb="FF5DBFBD"/>
        </bottom>
      </border>
    </dxf>
    <dxf>
      <numFmt numFmtId="2" formatCode="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/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2" formatCode="0.00"/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 style="thin">
          <color rgb="FF5DBFBD"/>
        </bottom>
      </border>
    </dxf>
    <dxf>
      <numFmt numFmtId="2" formatCode="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/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2" formatCode="0.00"/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 style="thin">
          <color rgb="FF5DBFBD"/>
        </bottom>
      </border>
    </dxf>
    <dxf>
      <numFmt numFmtId="2" formatCode="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/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2" formatCode="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 style="thin">
          <color rgb="FF5DBFBD"/>
        </bottom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rgb="FF5DBFBD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2" formatCode="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5DBFBD"/>
        </left>
        <right style="thin">
          <color rgb="FF5DBFBD"/>
        </right>
        <top style="thin">
          <color rgb="FF5DBFBD"/>
        </top>
        <bottom style="thin">
          <color rgb="FF5DBFBD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rgb="FF5DBFBD"/>
        </top>
        <bottom/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2" formatCode="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 style="thin">
          <color rgb="FF5DBFBD"/>
        </bottom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rgb="FF5DBFBD"/>
        </top>
        <bottom/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2" formatCode="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 style="thin">
          <color rgb="FF5DBFBD"/>
        </bottom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rgb="FF5DBFBD"/>
        </top>
        <bottom/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2" formatCode="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 style="thin">
          <color rgb="FF5DBFBD"/>
        </bottom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rgb="FF5DBFBD"/>
        </top>
        <bottom/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2" formatCode="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 style="thin">
          <color rgb="FF5DBFBD"/>
        </bottom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rgb="FF5DBFBD"/>
        </top>
        <bottom/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2" formatCode="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rgb="FF5DBFBD"/>
        </right>
        <top style="thin">
          <color rgb="FF5DBFBD"/>
        </top>
        <bottom style="thin">
          <color rgb="FF5DBFBD"/>
        </bottom>
      </border>
    </dxf>
    <dxf>
      <numFmt numFmtId="0" formatCode="General"/>
      <fill>
        <patternFill patternType="solid">
          <fgColor indexed="64"/>
          <bgColor theme="0"/>
        </patternFill>
      </fill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/>
        <right style="thin">
          <color rgb="FF5DBFBD"/>
        </right>
        <top style="thin">
          <color rgb="FF5DBFBD"/>
        </top>
        <bottom style="thin">
          <color rgb="FF5DBFBD"/>
        </bottom>
      </border>
    </dxf>
    <dxf>
      <numFmt numFmtId="0" formatCode="General"/>
      <fill>
        <patternFill patternType="solid">
          <fgColor indexed="64"/>
          <bgColor theme="0"/>
        </patternFill>
      </fill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/>
        <right/>
        <top style="thin">
          <color rgb="FF5DBFBD"/>
        </top>
        <bottom style="thin">
          <color rgb="FF5DBFBD"/>
        </bottom>
      </border>
    </dxf>
    <dxf>
      <numFmt numFmtId="0" formatCode="General"/>
      <fill>
        <patternFill patternType="solid">
          <fgColor indexed="64"/>
          <bgColor theme="0"/>
        </patternFill>
      </fill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/>
        <right/>
        <top style="thin">
          <color rgb="FF5DBFBD"/>
        </top>
        <bottom style="thin">
          <color rgb="FF5DBFBD"/>
        </bottom>
      </border>
    </dxf>
    <dxf>
      <numFmt numFmtId="0" formatCode="General"/>
      <fill>
        <patternFill patternType="solid">
          <fgColor indexed="64"/>
          <bgColor theme="0"/>
        </patternFill>
      </fill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/>
      </border>
    </dxf>
    <dxf>
      <font>
        <i val="0"/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>
          <fgColor indexed="64"/>
          <bgColor theme="0"/>
        </patternFill>
      </fill>
      <alignment horizontal="left" textRotation="0" indent="0" justifyLastLine="0" shrinkToFit="0" readingOrder="0"/>
      <border diagonalUp="0" diagonalDown="0" outline="0">
        <left/>
        <right/>
        <top style="thin">
          <color rgb="FF5DBFBD"/>
        </top>
        <bottom style="thin">
          <color rgb="FF5DBFBD"/>
        </bottom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/>
      </border>
    </dxf>
    <dxf>
      <font>
        <i val="0"/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rgb="FF5DBFBD"/>
        </top>
        <bottom style="thin">
          <color rgb="FF5DBFBD"/>
        </bottom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/>
      </border>
    </dxf>
    <dxf>
      <font>
        <i val="0"/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rgb="FF5DBFBD"/>
        </left>
        <right/>
        <top style="thin">
          <color rgb="FF5DBFBD"/>
        </top>
        <bottom style="thin">
          <color rgb="FF5DBFBD"/>
        </bottom>
      </border>
    </dxf>
    <dxf>
      <numFmt numFmtId="0" formatCode="General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/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/>
        <top style="thin">
          <color rgb="FF5DBFBD"/>
        </top>
        <bottom style="thin">
          <color rgb="FF5DBFBD"/>
        </bottom>
      </border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/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 style="thin">
          <color rgb="FF5DBFBD"/>
        </bottom>
      </border>
    </dxf>
    <dxf>
      <numFmt numFmtId="0" formatCode="General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rgb="FF5DBFBD"/>
        </right>
        <top style="thin">
          <color rgb="FF5DBFBD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rgb="FF5DBFBD"/>
        </right>
        <top style="thin">
          <color rgb="FF5DBFBD"/>
        </top>
        <bottom style="thin">
          <color rgb="FF5DBFBD"/>
        </bottom>
      </border>
    </dxf>
    <dxf>
      <numFmt numFmtId="0" formatCode="General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rgb="FF5DBFBD"/>
        </right>
        <top style="thin">
          <color rgb="FF5DBFBD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rgb="FF5DBFBD"/>
        </right>
        <top style="thin">
          <color rgb="FF5DBFBD"/>
        </top>
        <bottom style="thin">
          <color rgb="FF5DBFBD"/>
        </bottom>
      </border>
    </dxf>
    <dxf>
      <numFmt numFmtId="0" formatCode="General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rgb="FF5DBFBD"/>
        </right>
        <top style="thin">
          <color rgb="FF5DBFBD"/>
        </top>
        <bottom/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rgb="FF5DBFBD"/>
        </right>
        <top style="thin">
          <color rgb="FF5DBFBD"/>
        </top>
        <bottom style="thin">
          <color rgb="FF5DBFBD"/>
        </bottom>
      </border>
    </dxf>
    <dxf>
      <border>
        <top style="thin">
          <color rgb="FF5DBFBD"/>
        </top>
      </border>
    </dxf>
    <dxf>
      <border diagonalUp="0" diagonalDown="0">
        <left style="thin">
          <color rgb="FF5DBFBD"/>
        </left>
        <right style="thin">
          <color rgb="FF5DBFBD"/>
        </right>
        <top style="thin">
          <color rgb="FF5DBFBD"/>
        </top>
        <bottom style="thin">
          <color rgb="FF5DBFBD"/>
        </bottom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>
          <fgColor indexed="64"/>
          <bgColor theme="0"/>
        </patternFill>
      </fill>
    </dxf>
    <dxf>
      <border>
        <bottom style="thin">
          <color rgb="FF5DBFBD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rgb="FF5DBFBD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/>
        <bottom/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rgb="FF5DBFBD"/>
        </top>
        <bottom/>
      </border>
    </dxf>
    <dxf>
      <font>
        <color auto="1"/>
      </font>
      <numFmt numFmtId="2" formatCode="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 style="thin">
          <color rgb="FF5DBFBD"/>
        </bottom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rgb="FF5DBFBD"/>
        </top>
        <bottom/>
      </border>
    </dxf>
    <dxf>
      <font>
        <color auto="1"/>
      </font>
      <numFmt numFmtId="2" formatCode="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 style="thin">
          <color rgb="FF5DBFB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5DBFBD"/>
        </left>
        <right style="thin">
          <color rgb="FF5DBFBD"/>
        </right>
        <top style="thin">
          <color rgb="FF5DBFBD"/>
        </top>
        <bottom style="thin">
          <color rgb="FF5DBFB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5DBFBD"/>
        </left>
        <right style="thin">
          <color rgb="FF5DBFBD"/>
        </right>
        <top style="thin">
          <color rgb="FF5DBFBD"/>
        </top>
        <bottom style="thin">
          <color rgb="FF5DBFBD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/>
      </border>
    </dxf>
    <dxf>
      <numFmt numFmtId="0" formatCode="General"/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 style="thin">
          <color rgb="FF5DBFB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5DBFBD"/>
        </left>
        <right style="thin">
          <color rgb="FF5DBFBD"/>
        </right>
        <top style="thin">
          <color rgb="FF5DBFBD"/>
        </top>
        <bottom style="thin">
          <color rgb="FF5DBFB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5DBFBD"/>
        </left>
        <right style="thin">
          <color rgb="FF5DBFBD"/>
        </right>
        <top style="thin">
          <color rgb="FF5DBFBD"/>
        </top>
        <bottom style="thin">
          <color rgb="FF5DBFB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5DBFBD"/>
        </left>
        <right style="thin">
          <color rgb="FF5DBFBD"/>
        </right>
        <top style="thin">
          <color rgb="FF5DBFBD"/>
        </top>
        <bottom style="thin">
          <color rgb="FF5DBFB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5DBFBD"/>
        </left>
        <right style="thin">
          <color rgb="FF5DBFBD"/>
        </right>
        <top style="thin">
          <color rgb="FF5DBFBD"/>
        </top>
        <bottom style="thin">
          <color rgb="FF5DBFB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5DBFBD"/>
        </left>
        <right style="thin">
          <color rgb="FF5DBFBD"/>
        </right>
        <top style="thin">
          <color rgb="FF5DBFBD"/>
        </top>
        <bottom style="thin">
          <color rgb="FF5DBFB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5DBFBD"/>
        </left>
        <right style="thin">
          <color rgb="FF5DBFBD"/>
        </right>
        <top style="thin">
          <color rgb="FF5DBFBD"/>
        </top>
        <bottom style="thin">
          <color rgb="FF5DBFBD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/>
      </border>
    </dxf>
    <dxf>
      <numFmt numFmtId="0" formatCode="General"/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 style="thin">
          <color rgb="FF5DBFBD"/>
        </bottom>
      </border>
    </dxf>
    <dxf>
      <numFmt numFmtId="19" formatCode="m/d/yyyy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rgb="FF5DBFBD"/>
        </right>
        <top style="thin">
          <color rgb="FF5DBFBD"/>
        </top>
        <bottom/>
      </border>
    </dxf>
    <dxf>
      <numFmt numFmtId="19" formatCode="m/d/yyyy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rgb="FF5DBFBD"/>
        </right>
        <top style="thin">
          <color rgb="FF5DBFBD"/>
        </top>
        <bottom style="thin">
          <color rgb="FF5DBFBD"/>
        </bottom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rgb="FF5DBFBD"/>
        </right>
        <top style="thin">
          <color rgb="FF5DBFBD"/>
        </top>
        <bottom/>
      </border>
    </dxf>
    <dxf>
      <numFmt numFmtId="0" formatCode="General"/>
      <fill>
        <patternFill>
          <fgColor indexed="64"/>
          <bgColor theme="0"/>
        </patternFill>
      </fill>
      <alignment horizontal="center" textRotation="0" indent="0" justifyLastLine="0" shrinkToFit="0" readingOrder="0"/>
      <border diagonalUp="0" diagonalDown="0" outline="0">
        <left/>
        <right style="thin">
          <color rgb="FF5DBFBD"/>
        </right>
        <top style="thin">
          <color rgb="FF5DBFBD"/>
        </top>
        <bottom style="thin">
          <color rgb="FF5DBFBD"/>
        </bottom>
      </border>
    </dxf>
    <dxf>
      <border>
        <top style="thin">
          <color rgb="FF5DBFBD"/>
        </top>
      </border>
    </dxf>
    <dxf>
      <border diagonalUp="0" diagonalDown="0">
        <left style="thin">
          <color rgb="FF5DBFBD"/>
        </left>
        <right style="thin">
          <color rgb="FF5DBFBD"/>
        </right>
        <top style="thin">
          <color rgb="FF5DBFBD"/>
        </top>
        <bottom style="thin">
          <color rgb="FF5DBFBD"/>
        </bottom>
      </border>
    </dxf>
    <dxf>
      <fill>
        <patternFill>
          <fgColor indexed="64"/>
          <bgColor theme="0"/>
        </patternFill>
      </fill>
    </dxf>
    <dxf>
      <border>
        <bottom style="thin">
          <color rgb="FF5DBFBD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rgb="FF5DBFBD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5DBFBD"/>
        </left>
        <right style="thin">
          <color rgb="FF5DBFBD"/>
        </right>
        <top/>
        <bottom/>
        <vertical style="thin">
          <color rgb="FF5DBFBD"/>
        </vertical>
        <horizontal style="thin">
          <color rgb="FF5DBFBD"/>
        </horizontal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/>
        <top style="thin">
          <color rgb="FF5DBFBD"/>
        </top>
        <bottom/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</font>
      <numFmt numFmtId="2" formatCode="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 style="thin">
          <color rgb="FF5DBFBD"/>
        </bottom>
      </border>
      <protection locked="0" hidden="0"/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/>
        <top style="thin">
          <color rgb="FF5DBFBD"/>
        </top>
        <bottom/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</font>
      <numFmt numFmtId="2" formatCode="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 style="thin">
          <color rgb="FF5DBFBD"/>
        </bottom>
      </border>
      <protection locked="0" hidden="0"/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/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</font>
      <numFmt numFmtId="2" formatCode="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 style="thin">
          <color rgb="FF5DBFBD"/>
        </bottom>
      </border>
      <protection locked="0" hidden="0"/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/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</font>
      <numFmt numFmtId="2" formatCode="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 style="thin">
          <color rgb="FF5DBFBD"/>
        </bottom>
      </border>
      <protection locked="0" hidden="0"/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/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</font>
      <numFmt numFmtId="2" formatCode="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 style="thin">
          <color rgb="FF5DBFBD"/>
        </bottom>
      </border>
      <protection locked="0" hidden="0"/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/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</font>
      <numFmt numFmtId="2" formatCode="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 style="thin">
          <color rgb="FF5DBFBD"/>
        </bottom>
      </border>
      <protection locked="0" hidden="0"/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/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</font>
      <numFmt numFmtId="2" formatCode="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 style="thin">
          <color rgb="FF5DBFBD"/>
        </bottom>
      </border>
      <protection locked="0" hidden="0"/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/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</font>
      <numFmt numFmtId="2" formatCode="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 style="thin">
          <color rgb="FF5DBFBD"/>
        </bottom>
      </border>
      <protection locked="0" hidden="0"/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/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</font>
      <numFmt numFmtId="2" formatCode="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 style="thin">
          <color rgb="FF5DBFBD"/>
        </bottom>
      </border>
      <protection locked="0" hidden="0"/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/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</font>
      <numFmt numFmtId="2" formatCode="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 style="thin">
          <color rgb="FF5DBFBD"/>
        </bottom>
      </border>
      <protection locked="0" hidden="0"/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/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</font>
      <numFmt numFmtId="2" formatCode="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 style="thin">
          <color rgb="FF5DBFBD"/>
        </bottom>
      </border>
      <protection locked="0" hidden="0"/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/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</font>
      <numFmt numFmtId="2" formatCode="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 style="thin">
          <color rgb="FF5DBFBD"/>
        </bottom>
      </border>
      <protection locked="0" hidden="0"/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/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</font>
      <numFmt numFmtId="2" formatCode="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 style="thin">
          <color rgb="FF5DBFBD"/>
        </bottom>
      </border>
      <protection locked="0" hidden="0"/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/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</font>
      <numFmt numFmtId="2" formatCode="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 style="thin">
          <color rgb="FF5DBFBD"/>
        </bottom>
      </border>
      <protection locked="0" hidden="0"/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/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</font>
      <numFmt numFmtId="2" formatCode="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 style="thin">
          <color rgb="FF5DBFBD"/>
        </bottom>
      </border>
      <protection locked="0" hidden="0"/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/>
      </border>
    </dxf>
    <dxf>
      <font>
        <strike val="0"/>
        <outline val="0"/>
        <shadow val="0"/>
        <u val="none"/>
        <vertAlign val="baseline"/>
        <sz val="11"/>
        <color rgb="FF000000"/>
        <name val="Aptos Narrow"/>
        <family val="2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 style="thin">
          <color rgb="FF5DBFBD"/>
        </bottom>
      </border>
      <protection locked="0" hidden="0"/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/>
      </border>
    </dxf>
    <dxf>
      <font>
        <strike val="0"/>
        <outline val="0"/>
        <shadow val="0"/>
        <u val="none"/>
        <vertAlign val="baseline"/>
        <sz val="11"/>
        <color rgb="FF000000"/>
        <name val="Aptos Narrow"/>
        <family val="2"/>
      </font>
      <numFmt numFmtId="2" formatCode="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 style="thin">
          <color rgb="FF5DBFBD"/>
        </bottom>
      </border>
      <protection locked="0" hidden="0"/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/>
      </border>
    </dxf>
    <dxf>
      <font>
        <strike val="0"/>
        <outline val="0"/>
        <shadow val="0"/>
        <u val="none"/>
        <vertAlign val="baseline"/>
        <sz val="11"/>
        <color rgb="FF000000"/>
        <name val="Aptos Narrow"/>
        <family val="2"/>
      </font>
      <numFmt numFmtId="2" formatCode="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 style="thin">
          <color rgb="FF5DBFBD"/>
        </bottom>
      </border>
      <protection locked="0" hidden="0"/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/>
      </border>
    </dxf>
    <dxf>
      <font>
        <strike val="0"/>
        <outline val="0"/>
        <shadow val="0"/>
        <u val="none"/>
        <vertAlign val="baseline"/>
        <sz val="11"/>
        <color rgb="FF000000"/>
        <name val="Aptos Narrow"/>
        <family val="2"/>
      </font>
      <numFmt numFmtId="167" formatCode="[$-F400]h:mm:ss\ AM/PM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 style="thin">
          <color rgb="FF5DBFBD"/>
        </bottom>
      </border>
      <protection locked="0" hidden="0"/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/>
      </border>
    </dxf>
    <dxf>
      <font>
        <strike val="0"/>
        <outline val="0"/>
        <shadow val="0"/>
        <u val="none"/>
        <vertAlign val="baseline"/>
        <sz val="11"/>
        <color rgb="FF000000"/>
        <name val="Aptos Narrow"/>
        <family val="2"/>
      </font>
      <numFmt numFmtId="2" formatCode="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 style="thin">
          <color rgb="FF5DBFBD"/>
        </bottom>
      </border>
      <protection locked="0" hidden="0"/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/>
      </border>
    </dxf>
    <dxf>
      <font>
        <strike val="0"/>
        <outline val="0"/>
        <shadow val="0"/>
        <u val="none"/>
        <vertAlign val="baseline"/>
        <sz val="11"/>
        <color rgb="FF000000"/>
        <name val="Aptos Narrow"/>
        <family val="2"/>
      </font>
      <numFmt numFmtId="168" formatCode="0.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 style="thin">
          <color rgb="FF5DBFBD"/>
        </bottom>
      </border>
      <protection locked="0" hidden="0"/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/>
      </border>
    </dxf>
    <dxf>
      <font>
        <strike val="0"/>
        <outline val="0"/>
        <shadow val="0"/>
        <u val="none"/>
        <vertAlign val="baseline"/>
        <sz val="11"/>
        <color rgb="FF000000"/>
        <name val="Aptos Narrow"/>
        <family val="2"/>
      </font>
      <numFmt numFmtId="168" formatCode="0.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 style="thin">
          <color rgb="FF5DBFBD"/>
        </bottom>
      </border>
      <protection locked="0" hidden="0"/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/>
      </border>
    </dxf>
    <dxf>
      <font>
        <strike val="0"/>
        <outline val="0"/>
        <shadow val="0"/>
        <u val="none"/>
        <vertAlign val="baseline"/>
        <sz val="11"/>
        <color rgb="FF000000"/>
        <name val="Aptos Narrow"/>
        <family val="2"/>
      </font>
      <numFmt numFmtId="167" formatCode="[$-F400]h:mm:ss\ AM/PM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 style="thin">
          <color rgb="FF5DBFBD"/>
        </bottom>
      </border>
      <protection locked="0" hidden="0"/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/>
      </border>
    </dxf>
    <dxf>
      <font>
        <strike val="0"/>
        <outline val="0"/>
        <shadow val="0"/>
        <u val="none"/>
        <vertAlign val="baseline"/>
        <sz val="11"/>
        <color rgb="FF000000"/>
        <name val="Aptos Narrow"/>
        <family val="2"/>
      </font>
      <numFmt numFmtId="2" formatCode="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 style="thin">
          <color rgb="FF5DBFBD"/>
        </bottom>
      </border>
      <protection locked="0" hidden="0"/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/>
      </border>
    </dxf>
    <dxf>
      <font>
        <strike val="0"/>
        <outline val="0"/>
        <shadow val="0"/>
        <u val="none"/>
        <vertAlign val="baseline"/>
        <sz val="11"/>
        <color rgb="FF000000"/>
        <name val="Aptos Narrow"/>
        <family val="2"/>
      </font>
      <numFmt numFmtId="167" formatCode="[$-F400]h:mm:ss\ AM/PM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 style="thin">
          <color rgb="FF5DBFBD"/>
        </bottom>
      </border>
      <protection locked="0" hidden="0"/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/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</font>
      <numFmt numFmtId="2" formatCode="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 style="thin">
          <color rgb="FF5DBFBD"/>
        </bottom>
      </border>
      <protection locked="0" hidden="0"/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/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</font>
      <numFmt numFmtId="2" formatCode="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 style="thin">
          <color rgb="FF5DBFBD"/>
        </bottom>
      </border>
      <protection locked="0" hidden="0"/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</font>
      <numFmt numFmtId="166" formatCode="0.00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 style="thin">
          <color rgb="FF5DBFBD"/>
        </bottom>
      </border>
      <protection locked="0" hidden="0"/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/>
      </border>
    </dxf>
    <dxf>
      <font>
        <strike val="0"/>
        <outline val="0"/>
        <shadow val="0"/>
        <u val="none"/>
        <vertAlign val="baseline"/>
        <sz val="11"/>
        <color rgb="FF000000"/>
        <name val="Aptos Narrow"/>
        <family val="2"/>
      </font>
      <numFmt numFmtId="0" formatCode="General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 style="thin">
          <color rgb="FF5DBFBD"/>
        </bottom>
      </border>
      <protection locked="0" hidden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/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 style="thin">
          <color rgb="FF5DBFBD"/>
        </bottom>
      </border>
      <protection locked="0" hidden="0"/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/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</font>
      <numFmt numFmtId="1" formatCode="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 style="thin">
          <color rgb="FF5DBFBD"/>
        </bottom>
      </border>
      <protection locked="0" hidden="0"/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/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</font>
      <numFmt numFmtId="1" formatCode="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 style="thin">
          <color rgb="FF5DBFBD"/>
        </bottom>
      </border>
      <protection locked="0" hidden="0"/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/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</font>
      <numFmt numFmtId="1" formatCode="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 style="thin">
          <color rgb="FF5DBFBD"/>
        </bottom>
      </border>
      <protection locked="0" hidden="0"/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/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</font>
      <numFmt numFmtId="1" formatCode="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 style="thin">
          <color rgb="FF5DBFBD"/>
        </bottom>
      </border>
      <protection locked="0" hidden="0"/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/>
      </border>
    </dxf>
    <dxf>
      <font>
        <i/>
        <strike val="0"/>
        <outline val="0"/>
        <shadow val="0"/>
        <u val="none"/>
        <vertAlign val="baseline"/>
        <sz val="11"/>
        <color auto="1"/>
        <name val="Aptos Narrow"/>
        <family val="2"/>
      </font>
      <numFmt numFmtId="165" formatCode="dd/mm/yy\,\ ddd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 style="thin">
          <color rgb="FF5DBFBD"/>
        </bottom>
      </border>
      <protection locked="0" hidden="0"/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/>
      </border>
    </dxf>
    <dxf>
      <font>
        <i/>
        <strike val="0"/>
        <outline val="0"/>
        <shadow val="0"/>
        <u val="none"/>
        <vertAlign val="baseline"/>
        <sz val="11"/>
        <color auto="1"/>
        <name val="Aptos Narrow"/>
        <family val="2"/>
      </font>
      <numFmt numFmtId="165" formatCode="dd/mm/yy\,\ ddd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 style="thin">
          <color rgb="FF5DBFBD"/>
        </bottom>
      </border>
      <protection locked="0" hidden="0"/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/>
      </border>
    </dxf>
    <dxf>
      <font>
        <i/>
        <strike val="0"/>
        <outline val="0"/>
        <shadow val="0"/>
        <u val="none"/>
        <vertAlign val="baseline"/>
        <sz val="11"/>
        <color auto="1"/>
        <name val="Aptos Narrow"/>
        <family val="2"/>
      </font>
      <numFmt numFmtId="165" formatCode="dd/mm/yy\,\ ddd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 style="thin">
          <color rgb="FF5DBFBD"/>
        </bottom>
      </border>
      <protection locked="0" hidden="0"/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/>
      </border>
    </dxf>
    <dxf>
      <font>
        <i/>
        <strike val="0"/>
        <outline val="0"/>
        <shadow val="0"/>
        <u val="none"/>
        <vertAlign val="baseline"/>
        <sz val="11"/>
        <color auto="1"/>
        <name val="Aptos Narrow"/>
        <family val="2"/>
      </font>
      <numFmt numFmtId="165" formatCode="dd/mm/yy\,\ ddd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 style="thin">
          <color rgb="FF5DBFBD"/>
        </bottom>
      </border>
      <protection locked="0" hidden="0"/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/>
      </border>
    </dxf>
    <dxf>
      <font>
        <i/>
        <strike val="0"/>
        <outline val="0"/>
        <shadow val="0"/>
        <u val="none"/>
        <vertAlign val="baseline"/>
        <sz val="11"/>
        <color auto="1"/>
        <name val="Aptos Narrow"/>
        <family val="2"/>
      </font>
      <numFmt numFmtId="165" formatCode="dd/mm/yy\,\ ddd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 style="thin">
          <color rgb="FF5DBFBD"/>
        </bottom>
      </border>
      <protection locked="0" hidden="0"/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/>
      </border>
    </dxf>
    <dxf>
      <font>
        <i/>
        <strike val="0"/>
        <outline val="0"/>
        <shadow val="0"/>
        <u val="none"/>
        <vertAlign val="baseline"/>
        <sz val="11"/>
        <color auto="1"/>
        <name val="Aptos Narrow"/>
        <family val="2"/>
      </font>
      <numFmt numFmtId="165" formatCode="dd/mm/yy\,\ ddd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 style="thin">
          <color rgb="FF5DBFBD"/>
        </bottom>
      </border>
      <protection locked="0" hidden="0"/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/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</font>
      <numFmt numFmtId="1" formatCode="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 style="thin">
          <color rgb="FF5DBFBD"/>
        </bottom>
      </border>
      <protection locked="0" hidden="0"/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/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</font>
      <numFmt numFmtId="165" formatCode="dd/mm/yy\,\ ddd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 style="thin">
          <color rgb="FF5DBFBD"/>
        </bottom>
      </border>
      <protection locked="0" hidden="0"/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/>
      </border>
    </dxf>
    <dxf>
      <font>
        <strike val="0"/>
        <outline val="0"/>
        <shadow val="0"/>
        <u val="none"/>
        <vertAlign val="baseline"/>
        <sz val="11"/>
        <color rgb="FF000000"/>
        <name val="Aptos Narrow"/>
        <family val="2"/>
      </font>
      <numFmt numFmtId="19" formatCode="m/d/yyyy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 style="thin">
          <color rgb="FF5DBFBD"/>
        </bottom>
      </border>
      <protection locked="0" hidden="0"/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rgb="FF5DBFBD"/>
        </right>
        <top style="thin">
          <color rgb="FF5DBFBD"/>
        </top>
        <bottom/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</font>
      <numFmt numFmtId="0" formatCode="General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rgb="FF5DBFBD"/>
        </right>
        <top style="thin">
          <color rgb="FF5DBFBD"/>
        </top>
        <bottom style="thin">
          <color rgb="FF5DBFBD"/>
        </bottom>
      </border>
      <protection locked="0" hidden="0"/>
    </dxf>
    <dxf>
      <border>
        <top style="thin">
          <color rgb="FF5DBFBD"/>
        </top>
      </border>
    </dxf>
    <dxf>
      <numFmt numFmtId="2" formatCode="0.00"/>
    </dxf>
    <dxf>
      <border diagonalUp="0" diagonalDown="0">
        <left style="thin">
          <color rgb="FF5DBFBD"/>
        </left>
        <right style="thin">
          <color rgb="FF5DBFBD"/>
        </right>
        <top style="thin">
          <color rgb="FF5DBFBD"/>
        </top>
        <bottom style="thin">
          <color rgb="FF5DBFBD"/>
        </bottom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protection locked="0" hidden="0"/>
    </dxf>
    <dxf>
      <border>
        <bottom style="thin">
          <color rgb="FF5DBFBD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rgb="FF5DBFBD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5DBFBD"/>
        </left>
        <right style="thin">
          <color rgb="FF5DBFBD"/>
        </right>
        <top/>
        <bottom/>
      </border>
      <protection locked="0" hidden="0"/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/>
        <top style="thin">
          <color rgb="FF5DBFBD"/>
        </top>
        <bottom/>
      </border>
    </dxf>
    <dxf>
      <numFmt numFmtId="2" formatCode="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 style="thin">
          <color rgb="FF5DBFBD"/>
        </bottom>
      </border>
      <protection locked="0" hidden="0"/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/>
        <top style="thin">
          <color rgb="FF5DBFBD"/>
        </top>
        <bottom/>
      </border>
    </dxf>
    <dxf>
      <numFmt numFmtId="2" formatCode="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 style="thin">
          <color rgb="FF5DBFBD"/>
        </bottom>
      </border>
      <protection locked="0" hidden="0"/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/>
      </border>
    </dxf>
    <dxf>
      <numFmt numFmtId="2" formatCode="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 style="thin">
          <color rgb="FF5DBFBD"/>
        </bottom>
      </border>
      <protection locked="0" hidden="0"/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/>
      </border>
    </dxf>
    <dxf>
      <numFmt numFmtId="2" formatCode="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 style="thin">
          <color rgb="FF5DBFBD"/>
        </bottom>
      </border>
      <protection locked="0" hidden="0"/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/>
      </border>
    </dxf>
    <dxf>
      <numFmt numFmtId="2" formatCode="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 style="thin">
          <color rgb="FF5DBFBD"/>
        </bottom>
      </border>
      <protection locked="0" hidden="0"/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/>
      </border>
    </dxf>
    <dxf>
      <numFmt numFmtId="2" formatCode="0.00"/>
      <fill>
        <patternFill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 style="thin">
          <color rgb="FF5DBFBD"/>
        </bottom>
      </border>
      <protection locked="0" hidden="0"/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/>
      </border>
    </dxf>
    <dxf>
      <numFmt numFmtId="2" formatCode="0.00"/>
      <fill>
        <patternFill>
          <bgColor theme="0"/>
        </patternFill>
      </fill>
      <alignment horizontal="center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 style="thin">
          <color rgb="FF5DBFBD"/>
        </bottom>
      </border>
      <protection locked="0" hidden="0"/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/>
      </border>
    </dxf>
    <dxf>
      <numFmt numFmtId="2" formatCode="0.00"/>
      <fill>
        <patternFill>
          <bgColor theme="0"/>
        </patternFill>
      </fill>
      <alignment horizontal="center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 style="thin">
          <color rgb="FF5DBFBD"/>
        </bottom>
      </border>
      <protection locked="0" hidden="0"/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/>
      </border>
    </dxf>
    <dxf>
      <numFmt numFmtId="2" formatCode="0.00"/>
      <fill>
        <patternFill>
          <bgColor theme="0"/>
        </patternFill>
      </fill>
      <alignment horizontal="center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 style="thin">
          <color rgb="FF5DBFBD"/>
        </bottom>
      </border>
      <protection locked="0" hidden="0"/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/>
      </border>
    </dxf>
    <dxf>
      <numFmt numFmtId="2" formatCode="0.00"/>
      <fill>
        <patternFill>
          <bgColor theme="0"/>
        </patternFill>
      </fill>
      <alignment horizontal="center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 style="thin">
          <color rgb="FF5DBFBD"/>
        </bottom>
      </border>
      <protection locked="0" hidden="0"/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/>
      </border>
    </dxf>
    <dxf>
      <numFmt numFmtId="2" formatCode="0.00"/>
      <fill>
        <patternFill>
          <bgColor theme="0"/>
        </patternFill>
      </fill>
      <alignment horizontal="center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 style="thin">
          <color rgb="FF5DBFBD"/>
        </bottom>
      </border>
      <protection locked="0" hidden="0"/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/>
      </border>
    </dxf>
    <dxf>
      <numFmt numFmtId="2" formatCode="0.00"/>
      <fill>
        <patternFill>
          <bgColor theme="0"/>
        </patternFill>
      </fill>
      <alignment horizontal="center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 style="thin">
          <color rgb="FF5DBFBD"/>
        </bottom>
      </border>
      <protection locked="0" hidden="0"/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/>
      </border>
    </dxf>
    <dxf>
      <numFmt numFmtId="2" formatCode="0.00"/>
      <fill>
        <patternFill>
          <bgColor theme="0"/>
        </patternFill>
      </fill>
      <alignment horizontal="center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 style="thin">
          <color rgb="FF5DBFBD"/>
        </bottom>
      </border>
      <protection locked="0" hidden="0"/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/>
      </border>
    </dxf>
    <dxf>
      <numFmt numFmtId="2" formatCode="0.00"/>
      <fill>
        <patternFill>
          <bgColor theme="0"/>
        </patternFill>
      </fill>
      <alignment horizontal="center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 style="thin">
          <color rgb="FF5DBFBD"/>
        </bottom>
      </border>
      <protection locked="0" hidden="0"/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/>
      </border>
    </dxf>
    <dxf>
      <numFmt numFmtId="2" formatCode="0.00"/>
      <fill>
        <patternFill>
          <bgColor theme="0"/>
        </patternFill>
      </fill>
      <alignment horizontal="center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 style="thin">
          <color rgb="FF5DBFBD"/>
        </bottom>
      </border>
      <protection locked="0" hidden="0"/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/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 style="thin">
          <color rgb="FF5DBFBD"/>
        </bottom>
      </border>
      <protection locked="0" hidden="0"/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/>
      </border>
    </dxf>
    <dxf>
      <numFmt numFmtId="168" formatCode="0.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5DBFBD"/>
        </left>
        <right style="thin">
          <color rgb="FF5DBFBD"/>
        </right>
        <top style="thin">
          <color rgb="FF5DBFBD"/>
        </top>
        <bottom style="thin">
          <color rgb="FF5DBFBD"/>
        </bottom>
        <vertical style="thin">
          <color rgb="FF5DBFBD"/>
        </vertical>
        <horizontal style="thin">
          <color rgb="FF5DBFBD"/>
        </horizontal>
      </border>
      <protection locked="0" hidden="0"/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/>
      </border>
    </dxf>
    <dxf>
      <numFmt numFmtId="168" formatCode="0.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5DBFBD"/>
        </left>
        <right style="thin">
          <color rgb="FF5DBFBD"/>
        </right>
        <top style="thin">
          <color rgb="FF5DBFBD"/>
        </top>
        <bottom style="thin">
          <color rgb="FF5DBFBD"/>
        </bottom>
        <vertical style="thin">
          <color rgb="FF5DBFBD"/>
        </vertical>
        <horizontal style="thin">
          <color rgb="FF5DBFBD"/>
        </horizontal>
      </border>
      <protection locked="0" hidden="0"/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/>
      </border>
    </dxf>
    <dxf>
      <numFmt numFmtId="167" formatCode="[$-F400]h:mm:ss\ AM/PM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5DBFBD"/>
        </left>
        <right style="thin">
          <color rgb="FF5DBFBD"/>
        </right>
        <top style="thin">
          <color rgb="FF5DBFBD"/>
        </top>
        <bottom style="thin">
          <color rgb="FF5DBFBD"/>
        </bottom>
        <vertical style="thin">
          <color rgb="FF5DBFBD"/>
        </vertical>
        <horizontal style="thin">
          <color rgb="FF5DBFBD"/>
        </horizontal>
      </border>
      <protection locked="0" hidden="0"/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/>
      </border>
    </dxf>
    <dxf>
      <numFmt numFmtId="168" formatCode="0.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5DBFBD"/>
        </left>
        <right style="thin">
          <color rgb="FF5DBFBD"/>
        </right>
        <top style="thin">
          <color rgb="FF5DBFBD"/>
        </top>
        <bottom style="thin">
          <color rgb="FF5DBFBD"/>
        </bottom>
      </border>
      <protection locked="0" hidden="0"/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/>
      </border>
    </dxf>
    <dxf>
      <numFmt numFmtId="168" formatCode="0.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5DBFBD"/>
        </left>
        <right style="thin">
          <color rgb="FF5DBFBD"/>
        </right>
        <top style="thin">
          <color rgb="FF5DBFBD"/>
        </top>
        <bottom style="thin">
          <color rgb="FF5DBFBD"/>
        </bottom>
      </border>
      <protection locked="0" hidden="0"/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/>
      </border>
    </dxf>
    <dxf>
      <numFmt numFmtId="168" formatCode="0.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5DBFBD"/>
        </left>
        <right style="thin">
          <color rgb="FF5DBFBD"/>
        </right>
        <top style="thin">
          <color rgb="FF5DBFBD"/>
        </top>
        <bottom style="thin">
          <color rgb="FF5DBFBD"/>
        </bottom>
      </border>
      <protection locked="0" hidden="0"/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/>
      </border>
    </dxf>
    <dxf>
      <numFmt numFmtId="167" formatCode="[$-F400]h:mm:ss\ AM/PM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5DBFBD"/>
        </left>
        <right style="thin">
          <color rgb="FF5DBFBD"/>
        </right>
        <top style="thin">
          <color rgb="FF5DBFBD"/>
        </top>
        <bottom style="thin">
          <color rgb="FF5DBFBD"/>
        </bottom>
      </border>
      <protection locked="0" hidden="0"/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/>
      </border>
    </dxf>
    <dxf>
      <numFmt numFmtId="168" formatCode="0.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5DBFBD"/>
        </left>
        <right style="thin">
          <color rgb="FF5DBFBD"/>
        </right>
        <top style="thin">
          <color rgb="FF5DBFBD"/>
        </top>
        <bottom style="thin">
          <color rgb="FF5DBFBD"/>
        </bottom>
      </border>
      <protection locked="0" hidden="0"/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/>
      </border>
    </dxf>
    <dxf>
      <numFmt numFmtId="167" formatCode="[$-F400]h:mm:ss\ AM/PM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5DBFBD"/>
        </left>
        <right style="thin">
          <color rgb="FF5DBFBD"/>
        </right>
        <top style="thin">
          <color rgb="FF5DBFBD"/>
        </top>
        <bottom style="thin">
          <color rgb="FF5DBFBD"/>
        </bottom>
      </border>
      <protection locked="0" hidden="0"/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/>
      </border>
    </dxf>
    <dxf>
      <numFmt numFmtId="2" formatCode="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5DBFBD"/>
        </left>
        <right style="thin">
          <color rgb="FF5DBFBD"/>
        </right>
        <top style="thin">
          <color rgb="FF5DBFBD"/>
        </top>
        <bottom style="thin">
          <color rgb="FF5DBFBD"/>
        </bottom>
        <vertical/>
        <horizontal/>
      </border>
      <protection locked="0" hidden="0"/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/>
      </border>
    </dxf>
    <dxf>
      <numFmt numFmtId="2" formatCode="0.00"/>
      <fill>
        <patternFill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5DBFBD"/>
        </left>
        <right style="thin">
          <color rgb="FF5DBFBD"/>
        </right>
        <top style="thin">
          <color rgb="FF5DBFBD"/>
        </top>
        <bottom style="thin">
          <color rgb="FF5DBFBD"/>
        </bottom>
      </border>
      <protection locked="0" hidden="0"/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/>
        <bottom/>
      </border>
    </dxf>
    <dxf>
      <numFmt numFmtId="2" formatCode="0.00"/>
      <fill>
        <patternFill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5DBFBD"/>
        </left>
        <right style="thin">
          <color rgb="FF5DBFBD"/>
        </right>
        <top style="thin">
          <color rgb="FF5DBFBD"/>
        </top>
        <bottom style="thin">
          <color rgb="FF5DBFBD"/>
        </bottom>
        <vertical style="thin">
          <color rgb="FF5DBFBD"/>
        </vertical>
        <horizontal style="thin">
          <color rgb="FF5DBFBD"/>
        </horizontal>
      </border>
      <protection locked="0" hidden="0"/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/>
      </border>
    </dxf>
    <dxf>
      <numFmt numFmtId="0" formatCode="General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5DBFBD"/>
        </left>
        <right style="thin">
          <color rgb="FF5DBFBD"/>
        </right>
        <top style="thin">
          <color rgb="FF5DBFBD"/>
        </top>
        <bottom style="thin">
          <color rgb="FF5DBFBD"/>
        </bottom>
        <vertical/>
        <horizontal/>
      </border>
      <protection locked="0" hidden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/>
      </border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5DBFBD"/>
        </left>
        <right style="thin">
          <color rgb="FF5DBFBD"/>
        </right>
        <top style="thin">
          <color rgb="FF5DBFBD"/>
        </top>
        <bottom style="thin">
          <color rgb="FF5DBFBD"/>
        </bottom>
        <vertical/>
        <horizontal/>
      </border>
      <protection locked="0" hidden="0"/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/>
      </border>
    </dxf>
    <dxf>
      <numFmt numFmtId="1" formatCode="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5DBFBD"/>
        </left>
        <right style="thin">
          <color rgb="FF5DBFBD"/>
        </right>
        <top style="thin">
          <color rgb="FF5DBFBD"/>
        </top>
        <bottom style="thin">
          <color rgb="FF5DBFBD"/>
        </bottom>
        <vertical/>
        <horizontal/>
      </border>
      <protection locked="0" hidden="0"/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/>
      </border>
    </dxf>
    <dxf>
      <numFmt numFmtId="1" formatCode="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5DBFBD"/>
        </left>
        <right style="thin">
          <color rgb="FF5DBFBD"/>
        </right>
        <top style="thin">
          <color rgb="FF5DBFBD"/>
        </top>
        <bottom style="thin">
          <color rgb="FF5DBFBD"/>
        </bottom>
        <vertical/>
        <horizontal/>
      </border>
      <protection locked="0" hidden="0"/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/>
      </border>
    </dxf>
    <dxf>
      <numFmt numFmtId="1" formatCode="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5DBFBD"/>
        </left>
        <right style="thin">
          <color rgb="FF5DBFBD"/>
        </right>
        <top style="thin">
          <color rgb="FF5DBFBD"/>
        </top>
        <bottom style="thin">
          <color rgb="FF5DBFBD"/>
        </bottom>
        <vertical/>
        <horizontal/>
      </border>
      <protection locked="0" hidden="0"/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/>
      </border>
    </dxf>
    <dxf>
      <numFmt numFmtId="1" formatCode="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5DBFBD"/>
        </left>
        <right style="thin">
          <color rgb="FF5DBFBD"/>
        </right>
        <top style="thin">
          <color rgb="FF5DBFBD"/>
        </top>
        <bottom style="thin">
          <color rgb="FF5DBFBD"/>
        </bottom>
        <vertical/>
        <horizontal/>
      </border>
      <protection locked="0" hidden="0"/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/>
      </border>
    </dxf>
    <dxf>
      <font>
        <i/>
      </font>
      <numFmt numFmtId="165" formatCode="dd/mm/yy\,\ ddd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5DBFBD"/>
        </left>
        <right style="thin">
          <color rgb="FF5DBFBD"/>
        </right>
        <top style="thin">
          <color rgb="FF5DBFBD"/>
        </top>
        <bottom style="thin">
          <color rgb="FF5DBFBD"/>
        </bottom>
        <vertical/>
        <horizontal/>
      </border>
      <protection locked="0" hidden="0"/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/>
      </border>
    </dxf>
    <dxf>
      <font>
        <i/>
      </font>
      <numFmt numFmtId="165" formatCode="dd/mm/yy\,\ ddd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5DBFBD"/>
        </left>
        <right style="thin">
          <color rgb="FF5DBFBD"/>
        </right>
        <top style="thin">
          <color rgb="FF5DBFBD"/>
        </top>
        <bottom style="thin">
          <color rgb="FF5DBFBD"/>
        </bottom>
        <vertical/>
        <horizontal/>
      </border>
      <protection locked="0" hidden="0"/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/>
      </border>
    </dxf>
    <dxf>
      <font>
        <i/>
      </font>
      <numFmt numFmtId="165" formatCode="dd/mm/yy\,\ ddd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5DBFBD"/>
        </left>
        <right style="thin">
          <color rgb="FF5DBFBD"/>
        </right>
        <top style="thin">
          <color rgb="FF5DBFBD"/>
        </top>
        <bottom style="thin">
          <color rgb="FF5DBFBD"/>
        </bottom>
        <vertical/>
        <horizontal/>
      </border>
      <protection locked="0" hidden="0"/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/>
      </border>
    </dxf>
    <dxf>
      <font>
        <i/>
      </font>
      <numFmt numFmtId="165" formatCode="dd/mm/yy\,\ ddd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5DBFBD"/>
        </left>
        <right style="thin">
          <color rgb="FF5DBFBD"/>
        </right>
        <top style="thin">
          <color rgb="FF5DBFBD"/>
        </top>
        <bottom style="thin">
          <color rgb="FF5DBFBD"/>
        </bottom>
        <vertical/>
        <horizontal/>
      </border>
      <protection locked="0" hidden="0"/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/>
      </border>
    </dxf>
    <dxf>
      <font>
        <i/>
      </font>
      <numFmt numFmtId="165" formatCode="dd/mm/yy\,\ ddd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5DBFBD"/>
        </left>
        <right style="thin">
          <color rgb="FF5DBFBD"/>
        </right>
        <top style="thin">
          <color rgb="FF5DBFBD"/>
        </top>
        <bottom style="thin">
          <color rgb="FF5DBFBD"/>
        </bottom>
        <vertical/>
        <horizontal/>
      </border>
      <protection locked="0" hidden="0"/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/>
      </border>
    </dxf>
    <dxf>
      <font>
        <i/>
      </font>
      <numFmt numFmtId="165" formatCode="dd/mm/yy\,\ ddd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5DBFBD"/>
        </left>
        <right style="thin">
          <color rgb="FF5DBFBD"/>
        </right>
        <top style="thin">
          <color rgb="FF5DBFBD"/>
        </top>
        <bottom style="thin">
          <color rgb="FF5DBFBD"/>
        </bottom>
        <vertical/>
        <horizontal/>
      </border>
      <protection locked="0" hidden="0"/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/>
      </border>
    </dxf>
    <dxf>
      <numFmt numFmtId="1" formatCode="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5DBFBD"/>
        </left>
        <right style="thin">
          <color rgb="FF5DBFBD"/>
        </right>
        <top style="thin">
          <color rgb="FF5DBFBD"/>
        </top>
        <bottom style="thin">
          <color rgb="FF5DBFBD"/>
        </bottom>
        <vertical/>
        <horizontal/>
      </border>
      <protection locked="0" hidden="0"/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/>
      </border>
    </dxf>
    <dxf>
      <numFmt numFmtId="165" formatCode="dd/mm/yy\,\ ddd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5DBFBD"/>
        </left>
        <right style="thin">
          <color rgb="FF5DBFBD"/>
        </right>
        <top style="thin">
          <color rgb="FF5DBFBD"/>
        </top>
        <bottom style="thin">
          <color rgb="FF5DBFBD"/>
        </bottom>
        <vertical/>
        <horizontal/>
      </border>
      <protection locked="0" hidden="0"/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/>
      </border>
    </dxf>
    <dxf>
      <font>
        <color rgb="FF000000"/>
      </font>
      <numFmt numFmtId="19" formatCode="m/d/yyyy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5DBFBD"/>
        </left>
        <right style="thin">
          <color rgb="FF5DBFBD"/>
        </right>
        <top style="thin">
          <color rgb="FF5DBFBD"/>
        </top>
        <bottom style="thin">
          <color rgb="FF5DBFBD"/>
        </bottom>
        <vertical/>
        <horizontal/>
      </border>
      <protection locked="0" hidden="0"/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rgb="FF5DBFBD"/>
        </right>
        <top style="thin">
          <color rgb="FF5DBFBD"/>
        </top>
        <bottom/>
      </border>
    </dxf>
    <dxf>
      <numFmt numFmtId="0" formatCode="General"/>
      <fill>
        <patternFill>
          <bgColor theme="0"/>
        </patternFill>
      </fill>
      <alignment horizontal="center" textRotation="0" wrapText="0" indent="0" justifyLastLine="0" shrinkToFit="0" readingOrder="0"/>
      <border diagonalUp="0" diagonalDown="0">
        <left/>
        <right style="thin">
          <color rgb="FF5DBFBD"/>
        </right>
        <top style="thin">
          <color rgb="FF5DBFBD"/>
        </top>
        <bottom style="thin">
          <color rgb="FF5DBFBD"/>
        </bottom>
        <vertical style="thin">
          <color rgb="FF5DBFBD"/>
        </vertical>
        <horizontal style="thin">
          <color rgb="FF5DBFBD"/>
        </horizontal>
      </border>
      <protection locked="0" hidden="0"/>
    </dxf>
    <dxf>
      <border>
        <top style="thin">
          <color rgb="FF5DBFBD"/>
        </top>
      </border>
    </dxf>
    <dxf>
      <numFmt numFmtId="2" formatCode="0.00"/>
    </dxf>
    <dxf>
      <border diagonalUp="0" diagonalDown="0">
        <left style="thin">
          <color rgb="FF5DBFBD"/>
        </left>
        <right style="thin">
          <color rgb="FF5DBFBD"/>
        </right>
        <top style="thin">
          <color rgb="FF5DBFBD"/>
        </top>
        <bottom style="thin">
          <color rgb="FF5DBFBD"/>
        </bottom>
      </border>
    </dxf>
    <dxf>
      <fill>
        <patternFill>
          <bgColor theme="0"/>
        </patternFill>
      </fill>
      <protection locked="0" hidden="0"/>
    </dxf>
    <dxf>
      <border>
        <bottom style="thin">
          <color rgb="FF5DBFBD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rgb="FF5DBFBD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5DBFBD"/>
        </left>
        <right style="thin">
          <color rgb="FF5DBFBD"/>
        </right>
        <top/>
        <bottom/>
      </border>
      <protection locked="0" hidden="0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 style="thin">
          <color rgb="FF5DBFBD"/>
        </bottom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 style="thin">
          <color rgb="FF5DBFB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5DBFBD"/>
        </left>
        <right style="thin">
          <color rgb="FF5DBFBD"/>
        </right>
        <top style="thin">
          <color rgb="FF5DBFBD"/>
        </top>
        <bottom style="thin">
          <color rgb="FF5DBFB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5DBFBD"/>
        </left>
        <right style="thin">
          <color rgb="FF5DBFBD"/>
        </right>
        <top style="thin">
          <color rgb="FF5DBFBD"/>
        </top>
        <bottom style="thin">
          <color rgb="FF5DBFB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5DBFBD"/>
        </left>
        <right style="thin">
          <color rgb="FF5DBFBD"/>
        </right>
        <top style="thin">
          <color rgb="FF5DBFBD"/>
        </top>
        <bottom style="thin">
          <color rgb="FF5DBFB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5DBFBD"/>
        </left>
        <right style="thin">
          <color rgb="FF5DBFBD"/>
        </right>
        <top style="thin">
          <color rgb="FF5DBFBD"/>
        </top>
        <bottom style="thin">
          <color rgb="FF5DBFBD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 style="thin">
          <color rgb="FF5DBFB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theme="0" tint="-0.14999847407452621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5DBFBD"/>
        </left>
        <right style="thin">
          <color rgb="FF5DBFBD"/>
        </right>
        <top style="thin">
          <color rgb="FF5DBFBD"/>
        </top>
        <bottom style="thin">
          <color rgb="FF5DBFB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theme="0" tint="-0.14999847407452621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5DBFBD"/>
        </left>
        <right style="thin">
          <color rgb="FF5DBFBD"/>
        </right>
        <top style="thin">
          <color rgb="FF5DBFBD"/>
        </top>
        <bottom style="thin">
          <color rgb="FF5DBFB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theme="0" tint="-0.14999847407452621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5DBFBD"/>
        </left>
        <right style="thin">
          <color rgb="FF5DBFBD"/>
        </right>
        <top style="thin">
          <color rgb="FF5DBFBD"/>
        </top>
        <bottom style="thin">
          <color rgb="FF5DBFB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theme="0" tint="-0.14999847407452621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5DBFBD"/>
        </left>
        <right style="thin">
          <color rgb="FF5DBFBD"/>
        </right>
        <top style="thin">
          <color rgb="FF5DBFBD"/>
        </top>
        <bottom style="thin">
          <color rgb="FF5DBFBD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 style="thin">
          <color rgb="FF5DBFBD"/>
        </bottom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 style="thin">
          <color rgb="FF5DBFBD"/>
        </bottom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65" formatCode="dd/mm/yy\,\ ddd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 style="thin">
          <color rgb="FF5DBFBD"/>
        </bottom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9" formatCode="m/d/yyyy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 style="thin">
          <color rgb="FF5DBFBD"/>
        </bottom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 style="thin">
          <color rgb="FF5DBFBD"/>
        </bottom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rgb="FF5DBFBD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rgb="FF5DBFBD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/>
        <bottom/>
      </border>
    </dxf>
  </dxfs>
  <tableStyles count="0" defaultTableStyle="TableStyleMedium2" defaultPivotStyle="PivotStyleLight16"/>
  <colors>
    <mruColors>
      <color rgb="FF5DBFBD"/>
      <color rgb="FF00FF99"/>
      <color rgb="FF187888"/>
      <color rgb="FFCC9900"/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1.xml"/><Relationship Id="rId26" Type="http://schemas.microsoft.com/office/2017/06/relationships/rdRichValueStructure" Target="richData/rdrichvaluestructure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microsoft.com/office/2017/06/relationships/rdRichValue" Target="richData/rdrichvalue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29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microsoft.com/office/2022/10/relationships/richValueRel" Target="richData/richValueRel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2.xml"/><Relationship Id="rId31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microsoft.com/office/2017/06/relationships/rdRichValueTypes" Target="richData/rdRichValueTypes.xml"/><Relationship Id="rId30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2959</xdr:colOff>
      <xdr:row>1</xdr:row>
      <xdr:rowOff>166213</xdr:rowOff>
    </xdr:from>
    <xdr:to>
      <xdr:col>3</xdr:col>
      <xdr:colOff>881604</xdr:colOff>
      <xdr:row>6</xdr:row>
      <xdr:rowOff>97276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F70FC41-B5BC-44AB-878E-FE150F362F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59" y="347642"/>
          <a:ext cx="2726949" cy="8382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144</xdr:colOff>
      <xdr:row>1</xdr:row>
      <xdr:rowOff>166278</xdr:rowOff>
    </xdr:from>
    <xdr:to>
      <xdr:col>5</xdr:col>
      <xdr:colOff>271696</xdr:colOff>
      <xdr:row>6</xdr:row>
      <xdr:rowOff>104609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7321157-0776-4F86-A1D8-7323529286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8606" y="351893"/>
          <a:ext cx="2745262" cy="866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167124</xdr:colOff>
      <xdr:row>1</xdr:row>
      <xdr:rowOff>36635</xdr:rowOff>
    </xdr:from>
    <xdr:to>
      <xdr:col>6</xdr:col>
      <xdr:colOff>77986</xdr:colOff>
      <xdr:row>6</xdr:row>
      <xdr:rowOff>102577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9406BF8-B16F-4741-B60C-ED8ECC6DEC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6239" y="183173"/>
          <a:ext cx="2612501" cy="7986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265522</xdr:colOff>
      <xdr:row>2</xdr:row>
      <xdr:rowOff>32854</xdr:rowOff>
    </xdr:from>
    <xdr:to>
      <xdr:col>6</xdr:col>
      <xdr:colOff>101783</xdr:colOff>
      <xdr:row>6</xdr:row>
      <xdr:rowOff>112568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ED61119-53AB-41CD-959F-3D4CCFE331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5522" y="413854"/>
          <a:ext cx="2589852" cy="8157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5293</xdr:colOff>
      <xdr:row>2</xdr:row>
      <xdr:rowOff>74083</xdr:rowOff>
    </xdr:from>
    <xdr:to>
      <xdr:col>3</xdr:col>
      <xdr:colOff>672643</xdr:colOff>
      <xdr:row>5</xdr:row>
      <xdr:rowOff>169334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801853A-78F1-4561-8303-3B02132D58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5793" y="433916"/>
          <a:ext cx="2031088" cy="6350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728526</xdr:colOff>
      <xdr:row>1</xdr:row>
      <xdr:rowOff>158636</xdr:rowOff>
    </xdr:from>
    <xdr:ext cx="2711698" cy="912275"/>
    <xdr:pic>
      <xdr:nvPicPr>
        <xdr:cNvPr id="3" name="Picture 2">
          <a:extLst>
            <a:ext uri="{FF2B5EF4-FFF2-40B4-BE49-F238E27FC236}">
              <a16:creationId xmlns:a16="http://schemas.microsoft.com/office/drawing/2014/main" id="{785C5365-9965-486C-A2C9-6E0440E2C0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5776" y="342786"/>
          <a:ext cx="2711698" cy="912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122543</xdr:colOff>
      <xdr:row>2</xdr:row>
      <xdr:rowOff>24953</xdr:rowOff>
    </xdr:from>
    <xdr:ext cx="1793597" cy="710311"/>
    <xdr:pic>
      <xdr:nvPicPr>
        <xdr:cNvPr id="2" name="Picture 1">
          <a:extLst>
            <a:ext uri="{FF2B5EF4-FFF2-40B4-BE49-F238E27FC236}">
              <a16:creationId xmlns:a16="http://schemas.microsoft.com/office/drawing/2014/main" id="{38A30D96-9D34-4624-AF09-ABC03DADC2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0789" y="448286"/>
          <a:ext cx="1793597" cy="7103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302381</xdr:colOff>
      <xdr:row>1</xdr:row>
      <xdr:rowOff>105833</xdr:rowOff>
    </xdr:from>
    <xdr:to>
      <xdr:col>5</xdr:col>
      <xdr:colOff>626510</xdr:colOff>
      <xdr:row>5</xdr:row>
      <xdr:rowOff>90714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8C484D5-C9E6-44A7-89B0-B9A8CFA63E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3452" y="287262"/>
          <a:ext cx="2719755" cy="7105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407521</xdr:colOff>
      <xdr:row>1</xdr:row>
      <xdr:rowOff>156509</xdr:rowOff>
    </xdr:from>
    <xdr:to>
      <xdr:col>5</xdr:col>
      <xdr:colOff>502507</xdr:colOff>
      <xdr:row>6</xdr:row>
      <xdr:rowOff>98650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4F326C0-7B92-4B0D-A72C-E3F9068033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3721" y="340659"/>
          <a:ext cx="2725305" cy="85908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</xdr:row>
      <xdr:rowOff>0</xdr:rowOff>
    </xdr:from>
    <xdr:to>
      <xdr:col>6</xdr:col>
      <xdr:colOff>596122</xdr:colOff>
      <xdr:row>5</xdr:row>
      <xdr:rowOff>173639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8174590-1002-1FE1-039E-F69C7F5E7B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76566" y="183614"/>
          <a:ext cx="2730640" cy="908097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296334</xdr:colOff>
      <xdr:row>0</xdr:row>
      <xdr:rowOff>123977</xdr:rowOff>
    </xdr:from>
    <xdr:to>
      <xdr:col>6</xdr:col>
      <xdr:colOff>2595</xdr:colOff>
      <xdr:row>5</xdr:row>
      <xdr:rowOff>115834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0DE3448-65FA-4ACA-8EFE-2034B859F8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92048" y="123977"/>
          <a:ext cx="2971976" cy="899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260048</xdr:colOff>
      <xdr:row>1</xdr:row>
      <xdr:rowOff>33262</xdr:rowOff>
    </xdr:from>
    <xdr:to>
      <xdr:col>5</xdr:col>
      <xdr:colOff>28</xdr:colOff>
      <xdr:row>6</xdr:row>
      <xdr:rowOff>25120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8934230-68B0-4A93-B6DF-48B6B92CE1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498" y="217412"/>
          <a:ext cx="2967440" cy="9126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</xdr:row>
      <xdr:rowOff>8100</xdr:rowOff>
    </xdr:from>
    <xdr:to>
      <xdr:col>5</xdr:col>
      <xdr:colOff>89344</xdr:colOff>
      <xdr:row>5</xdr:row>
      <xdr:rowOff>179875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24CE983-CBE9-4F95-B67B-80DC6E7E50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583" y="188017"/>
          <a:ext cx="2973783" cy="8914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imolina\AppData\Local\Temp\1051d493-9342-486c-b80e-a5be8c76f0b2_OneDrive_1_5-13-2026.zip.0b2\%2327_Batch_58_59_69_OT-010_034_035%20(2025)\%2327_Batch_58_59_69_OT-010_034_035%20(2025).xlsx" TargetMode="External"/><Relationship Id="rId1" Type="http://schemas.openxmlformats.org/officeDocument/2006/relationships/externalLinkPath" Target="file:///C:\Users\imolina\AppData\Local\Temp\1051d493-9342-486c-b80e-a5be8c76f0b2_OneDrive_1_5-13-2026.zip.0b2\%2327_Batch_58_59_69_OT-010_034_035%20(2025)\%2327_Batch_58_59_69_OT-010_034_035%20(2025)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cgiar-my.sharepoint.com/personal/i_molina_cgiar_org/Documents/Desktop/C%20I%20A%20T/Proyecto%20LMF/In%20vitro/Mediciones%20in%20vitro/Set%204/#28_Batch_60_61_69_OT-010-OT-021-OT-031 (62)/#28_Batch_60_61_69_OT-010-OT-021-OT-031 (62).xlsx" TargetMode="External"/><Relationship Id="rId2" Type="http://schemas.microsoft.com/office/2019/04/relationships/externalLinkLongPath" Target="Mediciones%20in%20vitro/Set%204/#28_Batch_60_61_69_OT-010-OT-021-OT-031 (62)/#28_Batch_60_61_69_OT-010-OT-021-OT-031 (62).xlsx?169305CF" TargetMode="External"/><Relationship Id="rId1" Type="http://schemas.openxmlformats.org/officeDocument/2006/relationships/externalLinkPath" Target="file:///\\169305CF\%2328_Batch_60_61_69_OT-010-OT-021-OT-031%20(62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1. Information samples"/>
      <sheetName val="Sheet1"/>
      <sheetName val="2.1. DM"/>
      <sheetName val="2.2 Protein"/>
      <sheetName val="2.3 ADF"/>
      <sheetName val="2.4 NDF"/>
      <sheetName val="3.1. Gas prod"/>
      <sheetName val="3.2 Digest"/>
      <sheetName val="pH data"/>
      <sheetName val="4.1 Result Average"/>
      <sheetName val="4.2 Result Quality-raw data"/>
      <sheetName val="4.3 Result Gas prod-raw data"/>
      <sheetName val="Gases calibration"/>
    </sheetNames>
    <sheetDataSet>
      <sheetData sheetId="0">
        <row r="16">
          <cell r="E16" t="str">
            <v>F251728</v>
          </cell>
          <cell r="F16" t="str">
            <v>CIAT-13262</v>
          </cell>
          <cell r="I16" t="str">
            <v>Dendrolobium triangulare</v>
          </cell>
        </row>
        <row r="17">
          <cell r="E17" t="str">
            <v>F251729</v>
          </cell>
          <cell r="F17" t="str">
            <v>CIAT-13528</v>
          </cell>
          <cell r="I17" t="str">
            <v>Dendrolobium lanceolatum</v>
          </cell>
        </row>
        <row r="18">
          <cell r="E18" t="str">
            <v>F251730</v>
          </cell>
          <cell r="F18" t="str">
            <v>CIAT-13529</v>
          </cell>
          <cell r="I18" t="str">
            <v>Dendrolobium triangulare</v>
          </cell>
        </row>
        <row r="19">
          <cell r="E19" t="str">
            <v>F251731</v>
          </cell>
          <cell r="F19" t="str">
            <v>CIAT-13710</v>
          </cell>
          <cell r="I19" t="str">
            <v>Dendrolobium lanceolatum</v>
          </cell>
        </row>
        <row r="20">
          <cell r="E20" t="str">
            <v>F251732</v>
          </cell>
          <cell r="F20" t="str">
            <v>CIAT-22004</v>
          </cell>
          <cell r="I20" t="str">
            <v>Dendrolobium triangulare</v>
          </cell>
        </row>
        <row r="21">
          <cell r="E21" t="str">
            <v>F251733</v>
          </cell>
          <cell r="F21" t="str">
            <v>CIAT-23104</v>
          </cell>
          <cell r="I21" t="str">
            <v>Dendrolobium triangulare</v>
          </cell>
        </row>
        <row r="22">
          <cell r="E22" t="str">
            <v>F251734</v>
          </cell>
          <cell r="F22" t="str">
            <v>CIAT-23106</v>
          </cell>
          <cell r="I22" t="str">
            <v>Dendrolobium triangulare</v>
          </cell>
        </row>
        <row r="23">
          <cell r="E23" t="str">
            <v>F251735</v>
          </cell>
          <cell r="F23" t="str">
            <v>CIAT-23107</v>
          </cell>
          <cell r="I23" t="str">
            <v>Dendrolobium triangulare</v>
          </cell>
        </row>
        <row r="24">
          <cell r="E24" t="str">
            <v>F251736</v>
          </cell>
          <cell r="F24" t="str">
            <v>CIAT-23108</v>
          </cell>
          <cell r="I24" t="str">
            <v>Dendrolobium triangulare</v>
          </cell>
        </row>
        <row r="25">
          <cell r="E25" t="str">
            <v>F251737</v>
          </cell>
          <cell r="F25" t="str">
            <v>CIAT-23412</v>
          </cell>
          <cell r="I25" t="str">
            <v>Dendrolobium triangulare</v>
          </cell>
        </row>
        <row r="26">
          <cell r="E26" t="str">
            <v>F251738</v>
          </cell>
          <cell r="F26" t="str">
            <v>CIAT-23413</v>
          </cell>
          <cell r="I26" t="str">
            <v>Dendrolobium triangulare</v>
          </cell>
        </row>
        <row r="27">
          <cell r="E27" t="str">
            <v>F251739</v>
          </cell>
          <cell r="F27" t="str">
            <v>CIAT-23419</v>
          </cell>
          <cell r="I27" t="str">
            <v>Dendrolobium triangulare</v>
          </cell>
        </row>
        <row r="28">
          <cell r="E28" t="str">
            <v>F251740</v>
          </cell>
          <cell r="F28" t="str">
            <v>CIAT-23422</v>
          </cell>
          <cell r="I28" t="str">
            <v>Dendrolobium triangulare</v>
          </cell>
        </row>
        <row r="29">
          <cell r="E29" t="str">
            <v>F251741</v>
          </cell>
          <cell r="F29" t="str">
            <v>CIAT-23734</v>
          </cell>
          <cell r="I29" t="str">
            <v>Dendrolobium triangulare</v>
          </cell>
        </row>
        <row r="30">
          <cell r="E30" t="str">
            <v>F251742</v>
          </cell>
          <cell r="F30" t="str">
            <v>CIAT-23932</v>
          </cell>
          <cell r="I30" t="str">
            <v>Dendrolobium triangulare</v>
          </cell>
        </row>
        <row r="31">
          <cell r="E31" t="str">
            <v>F251743</v>
          </cell>
          <cell r="F31" t="str">
            <v>CIAT-23933</v>
          </cell>
          <cell r="I31" t="str">
            <v>Dendrolobium triangulare</v>
          </cell>
        </row>
        <row r="32">
          <cell r="E32" t="str">
            <v>F251744</v>
          </cell>
          <cell r="F32" t="str">
            <v>CIAT-23934</v>
          </cell>
          <cell r="I32" t="str">
            <v>Dendrolobium triangulare</v>
          </cell>
        </row>
        <row r="33">
          <cell r="E33" t="str">
            <v>F251745</v>
          </cell>
          <cell r="F33" t="str">
            <v>CIAT-23936</v>
          </cell>
          <cell r="I33" t="str">
            <v>Dendrolobium triangulare</v>
          </cell>
        </row>
        <row r="34">
          <cell r="E34" t="str">
            <v>F251746</v>
          </cell>
          <cell r="F34" t="str">
            <v>CIAT-33119</v>
          </cell>
          <cell r="I34" t="str">
            <v>Dendrolobium triangulare</v>
          </cell>
        </row>
        <row r="35">
          <cell r="E35" t="str">
            <v>F251747</v>
          </cell>
          <cell r="F35" t="str">
            <v>CIAT-33383</v>
          </cell>
          <cell r="I35" t="str">
            <v>Dendrolobium sp.</v>
          </cell>
        </row>
        <row r="36">
          <cell r="E36" t="str">
            <v>F251748</v>
          </cell>
          <cell r="F36" t="str">
            <v>CIAT-33402</v>
          </cell>
          <cell r="I36" t="str">
            <v>Dendrolobium triangulare</v>
          </cell>
        </row>
        <row r="37">
          <cell r="E37" t="str">
            <v>F251749</v>
          </cell>
          <cell r="F37" t="str">
            <v>CIAT-33508</v>
          </cell>
          <cell r="I37" t="str">
            <v>Dendrolobium umbellatum</v>
          </cell>
        </row>
        <row r="38">
          <cell r="E38" t="str">
            <v>F251750</v>
          </cell>
          <cell r="F38" t="str">
            <v>CIAT-33515</v>
          </cell>
          <cell r="I38" t="str">
            <v>Dendrolobium triangulare</v>
          </cell>
        </row>
        <row r="39">
          <cell r="E39" t="str">
            <v>F251751</v>
          </cell>
          <cell r="F39" t="str">
            <v>CIAT-7353</v>
          </cell>
          <cell r="I39" t="str">
            <v>Prosopis juliflora</v>
          </cell>
        </row>
        <row r="40">
          <cell r="E40" t="str">
            <v>F251752</v>
          </cell>
          <cell r="F40" t="str">
            <v>CIAT-7976</v>
          </cell>
          <cell r="I40" t="str">
            <v>Cassia sp.</v>
          </cell>
        </row>
        <row r="41">
          <cell r="E41" t="str">
            <v>F251753</v>
          </cell>
          <cell r="F41" t="str">
            <v>CIAT-8018</v>
          </cell>
          <cell r="I41" t="str">
            <v>Acacia aroma</v>
          </cell>
        </row>
        <row r="42">
          <cell r="E42" t="str">
            <v>F251754</v>
          </cell>
          <cell r="F42" t="str">
            <v>CIAT-9990</v>
          </cell>
          <cell r="I42" t="str">
            <v>Prosopis juliflora</v>
          </cell>
        </row>
        <row r="43">
          <cell r="E43" t="str">
            <v>F251755</v>
          </cell>
          <cell r="F43" t="str">
            <v>CIAT-13258</v>
          </cell>
          <cell r="I43" t="str">
            <v>Dendrolobium lanceolatum</v>
          </cell>
        </row>
        <row r="44">
          <cell r="E44" t="str">
            <v>F251756</v>
          </cell>
          <cell r="F44" t="str">
            <v>CIAT-13260</v>
          </cell>
          <cell r="I44" t="str">
            <v>Dendrolobium lanceolatum</v>
          </cell>
        </row>
        <row r="45">
          <cell r="E45" t="str">
            <v>F251757</v>
          </cell>
          <cell r="F45" t="str">
            <v>CIAT-17263</v>
          </cell>
          <cell r="I45" t="str">
            <v>Leucaena leucocephala</v>
          </cell>
        </row>
        <row r="46">
          <cell r="E46" t="str">
            <v>F252640</v>
          </cell>
          <cell r="F46" t="str">
            <v xml:space="preserve"> Cayman Br02_1752</v>
          </cell>
          <cell r="I46" t="str">
            <v>Urochloa interespecifico</v>
          </cell>
        </row>
        <row r="47">
          <cell r="E47" t="str">
            <v>F252641</v>
          </cell>
          <cell r="F47" t="str">
            <v>N/A</v>
          </cell>
          <cell r="I47" t="str">
            <v xml:space="preserve">Gliricidia sepium </v>
          </cell>
        </row>
        <row r="48">
          <cell r="E48" t="str">
            <v>F250008</v>
          </cell>
          <cell r="F48" t="str">
            <v>Sample 8</v>
          </cell>
          <cell r="I48" t="str">
            <v xml:space="preserve">Cynodon nlemfuensis 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1. Information samples"/>
      <sheetName val="2.1. DM"/>
      <sheetName val="2.2 Protein"/>
      <sheetName val="2.3 ADF"/>
      <sheetName val="2.4 NDF"/>
      <sheetName val="3.1. Gas prod"/>
      <sheetName val="3.2 Digest"/>
      <sheetName val="pH data"/>
      <sheetName val="4.1 Result Average"/>
      <sheetName val="4.2 Result Quality-raw data"/>
      <sheetName val="4.3 Result Gas prod-raw data"/>
      <sheetName val="Gases calibration"/>
    </sheetNames>
    <sheetDataSet>
      <sheetData sheetId="0">
        <row r="16">
          <cell r="K16" t="str">
            <v>Erythrina berteroana</v>
          </cell>
        </row>
        <row r="17">
          <cell r="K17" t="str">
            <v>Leucaena leucocephala</v>
          </cell>
        </row>
        <row r="18">
          <cell r="K18" t="str">
            <v>Leucaena leucocephala</v>
          </cell>
        </row>
        <row r="19">
          <cell r="K19" t="str">
            <v>Prosopis juliflora</v>
          </cell>
        </row>
        <row r="20">
          <cell r="K20" t="str">
            <v>Senna cobanensis</v>
          </cell>
        </row>
        <row r="21">
          <cell r="K21" t="str">
            <v>Acacia angustissima</v>
          </cell>
        </row>
        <row r="22">
          <cell r="K22" t="str">
            <v>Senna pallida</v>
          </cell>
        </row>
        <row r="23">
          <cell r="K23" t="str">
            <v>Leucaena diversifolia</v>
          </cell>
        </row>
        <row r="24">
          <cell r="K24" t="str">
            <v>Calliandra calothyrsus</v>
          </cell>
        </row>
        <row r="25">
          <cell r="K25" t="str">
            <v>Erythrina fusca</v>
          </cell>
        </row>
        <row r="26">
          <cell r="K26" t="str">
            <v>Acacia farnesiana</v>
          </cell>
        </row>
        <row r="27">
          <cell r="K27" t="str">
            <v>Acacia angustissima</v>
          </cell>
        </row>
        <row r="28">
          <cell r="K28" t="str">
            <v>Leucaena leucocephala</v>
          </cell>
        </row>
        <row r="29">
          <cell r="K29" t="str">
            <v>Calliandra calothyrsus</v>
          </cell>
        </row>
        <row r="30">
          <cell r="K30" t="str">
            <v>Calliandra calothyrsus</v>
          </cell>
        </row>
        <row r="31">
          <cell r="K31" t="str">
            <v>Calliandra calothyrsus</v>
          </cell>
        </row>
        <row r="32">
          <cell r="K32" t="str">
            <v>Dendrolobium triangulare</v>
          </cell>
        </row>
        <row r="33">
          <cell r="K33" t="str">
            <v>Dendrolobium triangulare</v>
          </cell>
        </row>
        <row r="34">
          <cell r="K34" t="str">
            <v>Urochloa humidicola</v>
          </cell>
        </row>
        <row r="35">
          <cell r="K35" t="str">
            <v>Urochloa humidicola</v>
          </cell>
        </row>
        <row r="36">
          <cell r="K36" t="str">
            <v>Urochloa humidicola</v>
          </cell>
        </row>
        <row r="37">
          <cell r="K37" t="str">
            <v>Urochloa humidicola</v>
          </cell>
        </row>
        <row r="38">
          <cell r="K38" t="str">
            <v>Urochloa humidicola</v>
          </cell>
        </row>
        <row r="39">
          <cell r="K39" t="str">
            <v>Urochloa humidicola</v>
          </cell>
        </row>
        <row r="40">
          <cell r="K40" t="str">
            <v>Urochloa humidicola</v>
          </cell>
        </row>
        <row r="41">
          <cell r="K41" t="str">
            <v>Urochloa humidicola</v>
          </cell>
        </row>
        <row r="42">
          <cell r="K42" t="str">
            <v>Urochloa humidicola</v>
          </cell>
        </row>
        <row r="43">
          <cell r="K43" t="str">
            <v>Urochloa humidicola</v>
          </cell>
        </row>
        <row r="44">
          <cell r="K44" t="str">
            <v>Desmodium scorpiurus</v>
          </cell>
        </row>
        <row r="45">
          <cell r="K45" t="str">
            <v xml:space="preserve">Cynodon nlemfuensis </v>
          </cell>
        </row>
        <row r="46">
          <cell r="K46" t="str">
            <v>Vigna radiata</v>
          </cell>
        </row>
        <row r="47">
          <cell r="K47" t="str">
            <v>Vigna radiata</v>
          </cell>
        </row>
        <row r="48">
          <cell r="K48" t="str">
            <v>Macroptilium atropurpureum</v>
          </cell>
        </row>
        <row r="49">
          <cell r="K49" t="str">
            <v>Macroptilium bracteatum</v>
          </cell>
        </row>
        <row r="50">
          <cell r="K50" t="str">
            <v>Zornia latifolia</v>
          </cell>
        </row>
        <row r="51">
          <cell r="K51" t="str">
            <v>Stylosanthes seabrana</v>
          </cell>
        </row>
        <row r="52">
          <cell r="K52" t="str">
            <v>Stylosanthes angustifolia</v>
          </cell>
        </row>
        <row r="53">
          <cell r="K53" t="str">
            <v>Macroptilium atropurpureum</v>
          </cell>
        </row>
        <row r="54">
          <cell r="K54" t="str">
            <v>Vigna radiata</v>
          </cell>
        </row>
        <row r="55">
          <cell r="K55" t="str">
            <v>Vigna unguiculata</v>
          </cell>
        </row>
        <row r="56">
          <cell r="K56" t="str">
            <v>Vigna unguiculata</v>
          </cell>
        </row>
        <row r="57">
          <cell r="K57" t="str">
            <v>Chamaecrista mimosoides</v>
          </cell>
        </row>
        <row r="58">
          <cell r="K58" t="str">
            <v>Tephrosia purpurea</v>
          </cell>
        </row>
        <row r="59">
          <cell r="K59" t="str">
            <v>Crotalaria retusa</v>
          </cell>
        </row>
        <row r="60">
          <cell r="K60" t="str">
            <v>Zornia brasiliensis</v>
          </cell>
        </row>
        <row r="61">
          <cell r="K61" t="str">
            <v>Crotalaria retusa</v>
          </cell>
        </row>
        <row r="62">
          <cell r="K62" t="str">
            <v>Crotalaria retusa</v>
          </cell>
        </row>
        <row r="63">
          <cell r="K63" t="str">
            <v>Crotalaria pumila</v>
          </cell>
        </row>
        <row r="64">
          <cell r="K64" t="str">
            <v>Crotalaria pumila</v>
          </cell>
        </row>
        <row r="65">
          <cell r="K65" t="str">
            <v>Zornia brasiliensis</v>
          </cell>
        </row>
        <row r="66">
          <cell r="K66" t="str">
            <v>Indigofera spicata</v>
          </cell>
        </row>
        <row r="67">
          <cell r="K67" t="str">
            <v>Stylosanthes seabrana</v>
          </cell>
        </row>
        <row r="68">
          <cell r="K68" t="str">
            <v>Stylosanthes sympodialis</v>
          </cell>
        </row>
        <row r="69">
          <cell r="K69" t="str">
            <v>Desmodium tortuosum</v>
          </cell>
        </row>
        <row r="70">
          <cell r="K70" t="str">
            <v>Desmodium tortuosum</v>
          </cell>
        </row>
        <row r="71">
          <cell r="K71" t="str">
            <v>Desmodium scorpiurus</v>
          </cell>
        </row>
        <row r="72">
          <cell r="K72" t="str">
            <v>Desmodium incanum</v>
          </cell>
        </row>
        <row r="73">
          <cell r="K73" t="str">
            <v>Indigofera jamaicensis</v>
          </cell>
        </row>
        <row r="74">
          <cell r="K74" t="str">
            <v>Indigofera atriceps</v>
          </cell>
        </row>
        <row r="75">
          <cell r="K75" t="str">
            <v xml:space="preserve">Cynodon nlemfuensis 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8E7E127-4E9F-40BB-9AD2-894188D7606E}" name="TablePC" displayName="TablePC" ref="B10:Q306" totalsRowShown="0" headerRowDxfId="445" dataDxfId="443" headerRowBorderDxfId="444">
  <autoFilter ref="B10:Q306" xr:uid="{38E7E127-4E9F-40BB-9AD2-894188D7606E}"/>
  <tableColumns count="16">
    <tableColumn id="1" xr3:uid="{32D09687-7861-4454-983F-403626CE40DF}" name="No" dataDxfId="442">
      <calculatedColumnFormula>'2.1. DM'!B11</calculatedColumnFormula>
    </tableColumn>
    <tableColumn id="2" xr3:uid="{4C28E13A-F366-4466-8E50-018E08CB21F2}" name="Date" dataDxfId="441">
      <calculatedColumnFormula>'2.1. DM'!C11</calculatedColumnFormula>
    </tableColumn>
    <tableColumn id="20" xr3:uid="{CE13EFE3-63A3-4983-ABBA-193AFB566578}" name="Requisitioner" dataDxfId="440">
      <calculatedColumnFormula>'2.1. DM'!D11</calculatedColumnFormula>
    </tableColumn>
    <tableColumn id="3" xr3:uid="{2A10D499-152F-411D-98F9-9D5BF796585F}" name="Set CIAT" dataDxfId="439">
      <calculatedColumnFormula>'2.1. DM'!E11</calculatedColumnFormula>
    </tableColumn>
    <tableColumn id="21" xr3:uid="{ACAE9419-65A0-4870-B174-A434A2A354B0}" name="CIAT Lab-ID" dataDxfId="438">
      <calculatedColumnFormula>'2.1. DM'!F11</calculatedColumnFormula>
    </tableColumn>
    <tableColumn id="12" xr3:uid="{50D5242A-FE6C-4CE0-B53C-D6976D5C349D}" name="Gene bank /Breeding program ID" dataDxfId="437">
      <calculatedColumnFormula>'2.1. DM'!G11</calculatedColumnFormula>
    </tableColumn>
    <tableColumn id="14" xr3:uid="{B1365E2E-EB2C-49F8-843D-FCFF0E86B205}" name="Genus" dataDxfId="436">
      <calculatedColumnFormula>'2.1. DM'!H11</calculatedColumnFormula>
    </tableColumn>
    <tableColumn id="15" xr3:uid="{2EC5284A-710C-48E7-BB16-9AE05CE559F4}" name="Species" dataDxfId="435">
      <calculatedColumnFormula>'2.1. DM'!I11</calculatedColumnFormula>
    </tableColumn>
    <tableColumn id="8" xr3:uid="{0525F65D-2F66-4B38-8D07-AEA38B910593}" name="Tax Name" dataDxfId="434">
      <calculatedColumnFormula>'2.1. DM'!J11</calculatedColumnFormula>
    </tableColumn>
    <tableColumn id="22" xr3:uid="{CD2C8414-50EA-4692-B05C-540BAD80571E}" name="Family" dataDxfId="433">
      <calculatedColumnFormula>'2.1. DM'!K11</calculatedColumnFormula>
    </tableColumn>
    <tableColumn id="9" xr3:uid="{4A6C0D00-AD1E-45A6-976D-79AFB500BFF0}" name="Order" dataDxfId="432">
      <calculatedColumnFormula>'2.1. DM'!L11</calculatedColumnFormula>
    </tableColumn>
    <tableColumn id="10" xr3:uid="{5FAF976F-6A7C-4E11-A035-AA226BB9407F}" name="Functional Group" dataDxfId="431">
      <calculatedColumnFormula>'2.1. DM'!M11</calculatedColumnFormula>
    </tableColumn>
    <tableColumn id="11" xr3:uid="{EA94C643-76CB-4635-A76F-B591F38EADF6}" name="Batches  CIAT" dataDxfId="430">
      <calculatedColumnFormula>'2.1. DM'!N11</calculatedColumnFormula>
    </tableColumn>
    <tableColumn id="16" xr3:uid="{936E1393-6764-46C7-A4F5-7CEFA8F741C3}" name="ID LAB" dataDxfId="429">
      <calculatedColumnFormula>'2.1. DM'!O11</calculatedColumnFormula>
    </tableColumn>
    <tableColumn id="4" xr3:uid="{9FFFB1D7-C849-4CFE-9E2E-E3BAE4ACEFF3}" name="Replication" dataDxfId="428"/>
    <tableColumn id="13" xr3:uid="{DCB5C6F5-F5CE-45C2-A053-EB08AAC12CB9}" name="Av DM 105" dataDxfId="427"/>
  </tableColumns>
  <tableStyleInfo name="TableStyleMedium1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776B2828-B55B-4CA7-A1E3-A9A0BE69C653}" name="Table3.110" displayName="Table3.110" ref="B10:AS1230" totalsRowShown="0" headerRowDxfId="426" dataDxfId="424" totalsRowDxfId="422" headerRowBorderDxfId="425" tableBorderDxfId="423" totalsRowBorderDxfId="421">
  <autoFilter ref="B10:AS1230" xr:uid="{776B2828-B55B-4CA7-A1E3-A9A0BE69C653}">
    <filterColumn colId="10">
      <filters>
        <filter val="F260017"/>
      </filters>
    </filterColumn>
  </autoFilter>
  <tableColumns count="44">
    <tableColumn id="1" xr3:uid="{A4D14EB5-78BE-47F4-ACD2-5687E8E28EFE}" name="No" dataDxfId="420" totalsRowDxfId="419">
      <calculatedColumnFormula>#REF!</calculatedColumnFormula>
    </tableColumn>
    <tableColumn id="3" xr3:uid="{88EED0B1-6D07-4DBF-B6B7-102830A6FAEB}" name="Date" dataDxfId="418" totalsRowDxfId="417"/>
    <tableColumn id="46" xr3:uid="{1538E7A3-F32D-4B3A-9CE6-38BBEBF76729}" name="Requisitioner" dataDxfId="416" totalsRowDxfId="415"/>
    <tableColumn id="39" xr3:uid="{CBF4AFA2-52AF-4259-8935-177EA5799BD4}" name="Gene Bank ID" dataDxfId="414" totalsRowDxfId="413"/>
    <tableColumn id="42" xr3:uid="{AA091EAB-6708-42EC-A1D1-98F366EEA30D}" name="Genus" dataDxfId="412" totalsRowDxfId="411"/>
    <tableColumn id="41" xr3:uid="{DAC4C83C-443F-43B5-BAD0-91FD5E5A556D}" name="Species" dataDxfId="410" totalsRowDxfId="409"/>
    <tableColumn id="35" xr3:uid="{35D9A13D-D361-4B8E-A7F8-AA172F302D43}" name="Tax Name" dataDxfId="408" totalsRowDxfId="407"/>
    <tableColumn id="33" xr3:uid="{0FBA71A6-3973-4FE6-9D06-C351D642359C}" name="Family" dataDxfId="406" totalsRowDxfId="405"/>
    <tableColumn id="43" xr3:uid="{8716D88B-DFFB-406D-939E-CF1ED45D3975}" name="Order" dataDxfId="404" totalsRowDxfId="403"/>
    <tableColumn id="38" xr3:uid="{B3A834EE-988D-4B22-BBE9-7EE9436315FE}" name="Functional Group" dataDxfId="402" totalsRowDxfId="401"/>
    <tableColumn id="40" xr3:uid="{18A516D6-375A-4392-A62D-54CD5DD990F9}" name="CIAT ID" dataDxfId="400" totalsRowDxfId="399"/>
    <tableColumn id="2" xr3:uid="{39FF09B4-08FA-4A41-B3BE-2100DDB44324}" name="Set CIAT" dataDxfId="398" totalsRowDxfId="397"/>
    <tableColumn id="16" xr3:uid="{0321895D-CDD5-47AB-A394-1E673916BBAB}" name="Batch" dataDxfId="396" totalsRowDxfId="395"/>
    <tableColumn id="21" xr3:uid="{0829D751-F3A4-4403-ACB1-8981E66301B0}" name="Run" dataDxfId="394" totalsRowDxfId="393"/>
    <tableColumn id="4" xr3:uid="{A35F2682-3775-42EF-BC7C-BC631A5BD4F4}" name="Replication" dataDxfId="392" totalsRowDxfId="391"/>
    <tableColumn id="5" xr3:uid="{EFB4B023-6490-4A4A-B6E6-96072B9BF7A4}" name="Syrange No" dataDxfId="390" totalsRowDxfId="389"/>
    <tableColumn id="28" xr3:uid="{746D6450-30DB-42BF-BF48-8382B3BB7C44}" name="Sample weight, g" dataDxfId="388" totalsRowDxfId="387"/>
    <tableColumn id="32" xr3:uid="{7623DCCB-BC76-4E37-8F9B-92B273908EDF}" name="DM Incubated, mg" dataDxfId="386" totalsRowDxfId="385"/>
    <tableColumn id="34" xr3:uid="{3D317206-3471-4B52-886E-A2DF3FB793CB}" name="Digested feed, mg" dataDxfId="384" totalsRowDxfId="383">
      <calculatedColumnFormula>'3.2 Digest'!W11</calculatedColumnFormula>
    </tableColumn>
    <tableColumn id="6" xr3:uid="{C33BCE29-694B-4C63-AAAF-CE7A52ACA1AC}" name="Time 0h" dataDxfId="382" totalsRowDxfId="381"/>
    <tableColumn id="7" xr3:uid="{C923B378-2ABB-4BCB-AA3E-49D8BA8DAD58}" name="Gas 0h, ml" dataDxfId="380" totalsRowDxfId="379"/>
    <tableColumn id="8" xr3:uid="{8C31145D-C056-4E32-B5C9-3FA7FF6029D9}" name="Time 8h" dataDxfId="378" totalsRowDxfId="377"/>
    <tableColumn id="9" xr3:uid="{224BEB4A-310F-4432-AB65-B8E098F3B225}" name="Gas 8h, ml" dataDxfId="376" totalsRowDxfId="375"/>
    <tableColumn id="10" xr3:uid="{7A862A96-668D-4986-A732-E14BF19170E7}" name="CH4 8h %" dataDxfId="374" totalsRowDxfId="373"/>
    <tableColumn id="11" xr3:uid="{B3A3D163-D1DF-460F-B38A-41A838B26F63}" name="V8 Push back, ml" dataDxfId="372" totalsRowDxfId="371"/>
    <tableColumn id="12" xr3:uid="{4691A3F1-F7BE-43B7-8888-642D5EB83C41}" name="Time 24h" dataDxfId="370" totalsRowDxfId="369"/>
    <tableColumn id="13" xr3:uid="{1C50B2DD-4F3D-482F-BD64-136E6A37A084}" name="Gas 24h, ml" dataDxfId="368" totalsRowDxfId="367"/>
    <tableColumn id="14" xr3:uid="{F461588A-A811-4543-AD2C-BF099B143093}" name="CH4 24h, %" dataDxfId="366" totalsRowDxfId="365"/>
    <tableColumn id="15" xr3:uid="{D15F91C8-0CBA-4125-9A7E-228B16ADFC38}" name="Remarks" dataDxfId="364" totalsRowDxfId="363"/>
    <tableColumn id="18" xr3:uid="{A6B56CF0-69FA-4FB2-A818-D443D15FE76B}" name="GP 8h, ml" dataDxfId="362" totalsRowDxfId="361">
      <calculatedColumnFormula>Table3.110[[#This Row],[Gas 8h, ml]]-Table3.110[[#This Row],[Gas 0h, ml]]</calculatedColumnFormula>
    </tableColumn>
    <tableColumn id="19" xr3:uid="{61C502D5-52C9-47C4-B4CF-60437260D02F}" name="GP 8-24h, ml" dataDxfId="360" totalsRowDxfId="359">
      <calculatedColumnFormula>Table3.110[[#This Row],[Gas 24h, ml]]-Table3.110[[#This Row],[V8 Push back, ml]]</calculatedColumnFormula>
    </tableColumn>
    <tableColumn id="20" xr3:uid="{F0AF1E34-B110-42A0-9D44-92C9A47BC910}" name="Net gas 8h, ml" dataDxfId="358" totalsRowDxfId="357">
      <calculatedColumnFormula>Table3.110[[#This Row],[GP 8h, ml]]-AVERAGEIFS(Table3.110[GP 8h, ml],#REF!,"Blank",Table3.110[Set CIAT],Table3.110[[#This Row],[Set CIAT]])</calculatedColumnFormula>
    </tableColumn>
    <tableColumn id="22" xr3:uid="{6C85FAB1-4A46-4ADB-A675-312F18DADF43}" name="Net gas 8-24h, ml" dataDxfId="356" totalsRowDxfId="355">
      <calculatedColumnFormula>Table3.110[[#This Row],[GP 8h, ml]]-AVERAGEIFS(Table3.110[GP 8h, ml],#REF!,"Blank",Table3.110[Set CIAT],Table3.110[[#This Row],[Set CIAT]])</calculatedColumnFormula>
    </tableColumn>
    <tableColumn id="23" xr3:uid="{91E3A504-AB1D-47CA-97D6-F661E12336F9}" name="Net gas 24h, ml" dataDxfId="354" totalsRowDxfId="353">
      <calculatedColumnFormula>Table3.110[[#This Row],[Net gas 8-24h, ml]]+Table3.110[[#This Row],[Net gas 8h, ml]]</calculatedColumnFormula>
    </tableColumn>
    <tableColumn id="24" xr3:uid="{3757316E-4CEA-4F2E-81F8-4D480295BC61}" name="CH4 8h, ml" dataDxfId="352" totalsRowDxfId="351">
      <calculatedColumnFormula>Table3.110[[#This Row],[Net gas 8h, ml]]*Table3.110[[#This Row],[CH4 8h %]]%</calculatedColumnFormula>
    </tableColumn>
    <tableColumn id="25" xr3:uid="{94E50F3C-4A77-45CF-8F1D-251DC237478B}" name="CH4 8-24h, ml" dataDxfId="350" totalsRowDxfId="349">
      <calculatedColumnFormula>Table3.110[[#This Row],[Net gas 8-24h, ml]]*Table3.110[[#This Row],[CH4 24h, %]]%</calculatedColumnFormula>
    </tableColumn>
    <tableColumn id="26" xr3:uid="{5C8BD6DD-ECE1-4C79-BA17-55EF81F9E2A1}" name="CH4 24h, ml" dataDxfId="348" totalsRowDxfId="347">
      <calculatedColumnFormula>Table3.110[[#This Row],[CH4 8-24h, ml]]+Table3.110[[#This Row],[CH4 8h, ml]]</calculatedColumnFormula>
    </tableColumn>
    <tableColumn id="30" xr3:uid="{21747CF7-0DEE-432B-B669-90F3CC259514}" name="Gas ml/g DM Incubated, 24h" dataDxfId="346" totalsRowDxfId="345">
      <calculatedColumnFormula>Table3.110[[#This Row],[Net gas 24h, ml]]/#REF!*1000</calculatedColumnFormula>
    </tableColumn>
    <tableColumn id="31" xr3:uid="{14D993EC-C58C-4FC9-B8A4-273BD4BD12E8}" name="% DMD, Truly digestibility" dataDxfId="344" totalsRowDxfId="343"/>
    <tableColumn id="37" xr3:uid="{181B0373-CF93-4B49-81D4-FD0C60DA4C86}" name="Part Fact" dataDxfId="342" totalsRowDxfId="341"/>
    <tableColumn id="29" xr3:uid="{866BC30A-D1BE-49A4-BEB7-2CCA75DBA6DD}" name="CH4 ml in gas, h8" dataDxfId="340" totalsRowDxfId="339"/>
    <tableColumn id="27" xr3:uid="{F8C7BF1F-2966-492C-93C5-CE25D949534D}" name="CH4 ml in gas, 24h" dataDxfId="338" totalsRowDxfId="337">
      <calculatedColumnFormula>Table3.110[[#This Row],[CH4 24h, ml]]/Table3.110[[#This Row],[Net gas 24h, ml]]%</calculatedColumnFormula>
    </tableColumn>
    <tableColumn id="36" xr3:uid="{C5C6611C-81CC-4BA8-8659-5DD651826470}" name="CH4 ml/gDM incubated, 24h" dataDxfId="336" totalsRowDxfId="335"/>
    <tableColumn id="17" xr3:uid="{B85FC645-7E86-4FDA-9DC1-BECC3C3926DB}" name="CH4 ml/g DMD, 24h2" dataDxfId="334" totalsRowDxfId="333"/>
  </tableColumns>
  <tableStyleInfo name="TableStyleMedium17"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3EBC7F1-4540-422D-B4EA-4D025352B845}" name="Table3.1" displayName="Table3.1" ref="B10:AS1230" totalsRowShown="0" headerRowDxfId="332" dataDxfId="330" totalsRowDxfId="328" headerRowBorderDxfId="331" tableBorderDxfId="329" totalsRowBorderDxfId="327">
  <autoFilter ref="B10:AS1230" xr:uid="{03EBC7F1-4540-422D-B4EA-4D025352B845}"/>
  <tableColumns count="44">
    <tableColumn id="1" xr3:uid="{9AA4B705-AC49-4D51-9AA1-EAA71FA143AA}" name="No" dataDxfId="326" totalsRowDxfId="325"/>
    <tableColumn id="3" xr3:uid="{50B68B5B-CDBA-4D81-918F-FBFDB6234D97}" name="Date" dataDxfId="324" totalsRowDxfId="323"/>
    <tableColumn id="46" xr3:uid="{C82E2741-4A78-4FC7-911F-EEB8F37348EC}" name="Requisitioner" dataDxfId="322" totalsRowDxfId="321"/>
    <tableColumn id="39" xr3:uid="{E38EFCE7-352E-49C9-90BD-1A86C0867D6A}" name="Gene Bank ID" dataDxfId="320" totalsRowDxfId="319"/>
    <tableColumn id="42" xr3:uid="{DBA0A1C4-61C1-443F-961F-A97CAB463554}" name="Genus" dataDxfId="318" totalsRowDxfId="317"/>
    <tableColumn id="41" xr3:uid="{4700E5F6-1361-423C-80FD-2738AEAC477F}" name="Species" dataDxfId="316" totalsRowDxfId="315"/>
    <tableColumn id="35" xr3:uid="{97714416-D899-4B50-BAF5-09CFA9A23F4E}" name="Tax Name" dataDxfId="314" totalsRowDxfId="313"/>
    <tableColumn id="33" xr3:uid="{2412D6AA-96F2-43E7-8EA2-E692E057C9F2}" name="Family" dataDxfId="312" totalsRowDxfId="311"/>
    <tableColumn id="43" xr3:uid="{D9DE75FE-A9D9-4132-96B4-8F14C7C8BE2C}" name="Order" dataDxfId="310" totalsRowDxfId="309"/>
    <tableColumn id="38" xr3:uid="{181E795E-66F6-407A-9A3B-104DD101F877}" name="Functional Group" dataDxfId="308" totalsRowDxfId="307"/>
    <tableColumn id="40" xr3:uid="{0167B7D1-C245-4FF8-A070-F128CEBA4F1E}" name="CIAT ID" dataDxfId="306" totalsRowDxfId="305"/>
    <tableColumn id="2" xr3:uid="{5B4D2EBE-1A0D-4C38-9760-7FD6E500075A}" name="Set CIAT" dataDxfId="304" totalsRowDxfId="303"/>
    <tableColumn id="16" xr3:uid="{7FD0112B-DD64-4777-9157-FCAB6902BF77}" name="Batch" dataDxfId="302" totalsRowDxfId="301"/>
    <tableColumn id="21" xr3:uid="{18785796-2B54-4197-A1C4-79C46BB5B6AC}" name="Run" dataDxfId="300" totalsRowDxfId="299"/>
    <tableColumn id="4" xr3:uid="{46EFEA62-6243-4836-94E1-F138B9F67D7E}" name="Replication" dataDxfId="298" totalsRowDxfId="297"/>
    <tableColumn id="5" xr3:uid="{0D35AE59-53B8-4620-A54E-4F1BA6450B31}" name="Syrange No" dataDxfId="296" totalsRowDxfId="295"/>
    <tableColumn id="28" xr3:uid="{97842534-15AF-47DB-9411-EA055382E204}" name="Sample weight, g" dataDxfId="294" totalsRowDxfId="293"/>
    <tableColumn id="32" xr3:uid="{80AE671C-60A7-4DD2-8630-3168C95C1439}" name="DM Incubated, mg" dataDxfId="292" totalsRowDxfId="291"/>
    <tableColumn id="34" xr3:uid="{C54529A3-49C9-4C78-940F-CDD8476E3315}" name="Digested feed, mg" dataDxfId="290" totalsRowDxfId="289"/>
    <tableColumn id="6" xr3:uid="{536F49D1-2C11-4E53-896B-1474F1662D35}" name="Time 0h" dataDxfId="288" totalsRowDxfId="287"/>
    <tableColumn id="7" xr3:uid="{91418072-69D1-472D-A13B-F09BD0A98DE1}" name="Gas 0h, ml" dataDxfId="286" totalsRowDxfId="285"/>
    <tableColumn id="8" xr3:uid="{B607A419-E5BB-4051-A01A-ED8AFFE2366A}" name="Time 8h" dataDxfId="284" totalsRowDxfId="283"/>
    <tableColumn id="9" xr3:uid="{A2E75FEB-7A8E-436B-A66C-6EC8A6665CC2}" name="Gas 8h, ml" dataDxfId="282" totalsRowDxfId="281"/>
    <tableColumn id="10" xr3:uid="{12BEE830-655F-491D-AD2F-6B0D49DBF792}" name="CH4 8h %" dataDxfId="280" totalsRowDxfId="279"/>
    <tableColumn id="11" xr3:uid="{1E185E7E-00AE-4855-9F95-8D18D1E42740}" name="V8 Push back, ml" dataDxfId="278" totalsRowDxfId="277"/>
    <tableColumn id="12" xr3:uid="{C445E849-4EDA-4897-A3CF-C2CCE3172DA3}" name="Time 24h" dataDxfId="276" totalsRowDxfId="275"/>
    <tableColumn id="13" xr3:uid="{55371944-2772-4805-B7CD-AC20A9C55BBC}" name="Gas 24h, ml" dataDxfId="274" totalsRowDxfId="273"/>
    <tableColumn id="14" xr3:uid="{58818BCA-0A85-423A-8FAC-4B5EE7A7C0E0}" name="CH4 24h, %" dataDxfId="272" totalsRowDxfId="271"/>
    <tableColumn id="15" xr3:uid="{DADAC198-8040-46BE-9010-AFE935B1542C}" name="Remarks" dataDxfId="270" totalsRowDxfId="269"/>
    <tableColumn id="18" xr3:uid="{2726D20D-1A4A-4490-9AE0-08AC8E0BFBA7}" name="GP 8h, ml" dataDxfId="268" totalsRowDxfId="267"/>
    <tableColumn id="19" xr3:uid="{C5BC035F-50BE-4CA2-9B15-20DD87254FBA}" name="GP 8-24h, ml" dataDxfId="266" totalsRowDxfId="265"/>
    <tableColumn id="20" xr3:uid="{086FB222-16E5-424C-B992-91C678FB683C}" name="Net gas 8h, ml" dataDxfId="264" totalsRowDxfId="263"/>
    <tableColumn id="22" xr3:uid="{3F391969-401B-47BD-8956-664974BC0E5D}" name="Net gas 8-24h, ml" dataDxfId="262" totalsRowDxfId="261"/>
    <tableColumn id="23" xr3:uid="{0CB62446-EFF2-4413-A8F0-6778F5AAFB04}" name="Net gas 24h, ml" dataDxfId="260" totalsRowDxfId="259"/>
    <tableColumn id="24" xr3:uid="{D04890E4-2ACE-4829-A048-4D541FE27670}" name="CH4 8h, ml" dataDxfId="258" totalsRowDxfId="257"/>
    <tableColumn id="25" xr3:uid="{5C40B6F1-9DD7-4391-9BAA-82B332641FAA}" name="CH4 8-24h, ml" dataDxfId="256" totalsRowDxfId="255"/>
    <tableColumn id="26" xr3:uid="{C2CC8BBB-A363-433D-91D7-788300D73D03}" name="CH4 24h, ml" dataDxfId="254" totalsRowDxfId="253"/>
    <tableColumn id="30" xr3:uid="{C7FE0167-4A55-4B4A-A3F1-F4AFF372AA38}" name="Gas ml/g DM Incubated, 24h" dataDxfId="252" totalsRowDxfId="251"/>
    <tableColumn id="31" xr3:uid="{C55604CB-009D-4857-A818-D94B90C451B2}" name="% DMD, Truly digestibility" dataDxfId="250" totalsRowDxfId="249"/>
    <tableColumn id="37" xr3:uid="{5323D8B4-46A2-4526-BD64-AD90AAD035C0}" name="Part Fact" dataDxfId="248" totalsRowDxfId="247"/>
    <tableColumn id="29" xr3:uid="{CE8FD006-A573-4C4D-AF3D-55CD59AD7F42}" name="CH4 ml in gas, h8" dataDxfId="246" totalsRowDxfId="245"/>
    <tableColumn id="27" xr3:uid="{BE7E6A71-B226-49D5-BB17-0D28AC67CA42}" name="CH4 ml in gas, 24h" dataDxfId="244" totalsRowDxfId="243"/>
    <tableColumn id="36" xr3:uid="{B61513FE-37CD-477A-8648-E2FABC70F455}" name="CH4 ml/gDM incubated, 24h" dataDxfId="242" totalsRowDxfId="241"/>
    <tableColumn id="17" xr3:uid="{57C95DDE-2EFB-424F-84D8-65827815E855}" name="CH4 ml/g DMD, 24h2" dataDxfId="240" totalsRowDxfId="239"/>
  </tableColumns>
  <tableStyleInfo name="TableStyleMedium17" showFirstColumn="0" showLastColumn="0" showRowStripes="0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C6120D2-3EFE-47E7-AE08-0DE7559B5EC9}" name="Table95" displayName="Table95" ref="B10:O158" totalsRowShown="0" headerRowDxfId="238" dataDxfId="236" headerRowBorderDxfId="237" tableBorderDxfId="235" totalsRowBorderDxfId="234">
  <autoFilter ref="B10:O158" xr:uid="{9C6120D2-3EFE-47E7-AE08-0DE7559B5EC9}"/>
  <tableColumns count="14">
    <tableColumn id="4" xr3:uid="{0E3689C1-0326-47CF-ABAB-DD8B4E9C7A5A}" name="Sample serial No" dataDxfId="233" totalsRowDxfId="232"/>
    <tableColumn id="11" xr3:uid="{27334E8F-72D8-490E-8634-ADF4342219BF}" name="Date (M,D.Y)" dataDxfId="231" totalsRowDxfId="230">
      <calculatedColumnFormula>'1. Information samples'!C11</calculatedColumnFormula>
    </tableColumn>
    <tableColumn id="1" xr3:uid="{AA5B25CE-5F7D-48FF-B09F-1EE2A04CBC5F}" name="Requisitioner" dataDxfId="229" totalsRowDxfId="228">
      <calculatedColumnFormula>'1. Information samples'!D11</calculatedColumnFormula>
    </tableColumn>
    <tableColumn id="2" xr3:uid="{15F7AAC5-9567-4973-BD2D-4992085B7B3E}" name="Set CIAT" dataDxfId="227" totalsRowDxfId="226">
      <calculatedColumnFormula>'1. Information samples'!E11</calculatedColumnFormula>
    </tableColumn>
    <tableColumn id="14" xr3:uid="{A7784976-F6AD-493D-988A-123CF32D0C61}" name="CIAT Lab-ID" dataDxfId="225" totalsRowDxfId="224">
      <calculatedColumnFormula>'1. Information samples'!F11</calculatedColumnFormula>
    </tableColumn>
    <tableColumn id="16" xr3:uid="{62D47EB9-D593-4D15-9F82-6C60BD7B329F}" name="Gene bank /Breeding program ID" dataDxfId="223" totalsRowDxfId="222">
      <calculatedColumnFormula>'1. Information samples'!G11</calculatedColumnFormula>
    </tableColumn>
    <tableColumn id="18" xr3:uid="{D9BEECF2-FD17-4ABD-839B-299E2CB0B7F1}" name="Genus" dataDxfId="221" totalsRowDxfId="220">
      <calculatedColumnFormula>'1. Information samples'!H11</calculatedColumnFormula>
    </tableColumn>
    <tableColumn id="12" xr3:uid="{806DE19B-E5E2-4ED8-ABFA-E8D92BAF9BF1}" name="Species" dataDxfId="219" totalsRowDxfId="218">
      <calculatedColumnFormula>'1. Information samples'!I11</calculatedColumnFormula>
    </tableColumn>
    <tableColumn id="13" xr3:uid="{CD0EA3C6-D5ED-4141-A329-108F3B6869B1}" name="Tax Name" dataDxfId="217" totalsRowDxfId="216">
      <calculatedColumnFormula>'1. Information samples'!J11</calculatedColumnFormula>
    </tableColumn>
    <tableColumn id="15" xr3:uid="{ADFC9D2D-3ADA-440B-B60F-5157D8499DD3}" name="Family" dataDxfId="215" totalsRowDxfId="214">
      <calculatedColumnFormula>'1. Information samples'!K11</calculatedColumnFormula>
    </tableColumn>
    <tableColumn id="10" xr3:uid="{8DB93FDA-BDF8-436F-97A7-4A6720DE9F49}" name="Order" dataDxfId="213" totalsRowDxfId="212">
      <calculatedColumnFormula>'1. Information samples'!L11</calculatedColumnFormula>
    </tableColumn>
    <tableColumn id="8" xr3:uid="{C24C1EAE-CB8A-473E-A256-E91A8A3F3D88}" name="Functional Group" dataDxfId="211" totalsRowDxfId="210">
      <calculatedColumnFormula>'1. Information samples'!M11</calculatedColumnFormula>
    </tableColumn>
    <tableColumn id="17" xr3:uid="{DC353093-2008-4E6D-8AA0-358D7B4C4E62}" name="Av DM 105" dataDxfId="209" totalsRowDxfId="208"/>
    <tableColumn id="6" xr3:uid="{5486BEA8-CF89-4185-982A-C285B6066AFE}" name="Av Ash, %" dataDxfId="207" totalsRowDxfId="206"/>
  </tableColumns>
  <tableStyleInfo name="TableStyleMedium1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52DEB6B-C99E-4C16-9D42-4735D3B167AE}" name="Table4.17" displayName="Table4.17" ref="B10:AD158" totalsRowShown="0" headerRowDxfId="205" dataDxfId="203" headerRowBorderDxfId="204" tableBorderDxfId="202" totalsRowBorderDxfId="201">
  <autoFilter ref="B10:AD158" xr:uid="{952DEB6B-C99E-4C16-9D42-4735D3B167AE}"/>
  <sortState xmlns:xlrd2="http://schemas.microsoft.com/office/spreadsheetml/2017/richdata2" ref="B11:V156">
    <sortCondition ref="B10:B156"/>
  </sortState>
  <tableColumns count="29">
    <tableColumn id="4" xr3:uid="{6D45BE10-4583-4BF8-9E35-D12A4E60F4EA}" name="Sample serial No" dataDxfId="200" totalsRowDxfId="199"/>
    <tableColumn id="8" xr3:uid="{43FE1AFA-773E-40E4-868A-02D8C4C04854}" name="Date (M,D.Y)" dataDxfId="198" totalsRowDxfId="197">
      <calculatedColumnFormula>'1. Information samples'!D11</calculatedColumnFormula>
    </tableColumn>
    <tableColumn id="2" xr3:uid="{0696158D-81F3-4E54-88A2-B3200C3984F5}" name="Requisitioner" dataDxfId="196" totalsRowDxfId="195">
      <calculatedColumnFormula>'1. Information samples'!E11</calculatedColumnFormula>
    </tableColumn>
    <tableColumn id="1" xr3:uid="{EDDAEF6C-ACD5-4A3C-AE5D-D0AEB9018DAB}" name="Set CIAT" dataDxfId="194" totalsRowDxfId="193">
      <calculatedColumnFormula>'1. Information samples'!F11</calculatedColumnFormula>
    </tableColumn>
    <tableColumn id="15" xr3:uid="{C3C9F231-9F0B-4CF4-973C-2F12FCD32FB8}" name="CIAT Lab-ID" dataDxfId="192" totalsRowDxfId="191">
      <calculatedColumnFormula>'1. Information samples'!G11</calculatedColumnFormula>
    </tableColumn>
    <tableColumn id="13" xr3:uid="{9537BEA4-7DC2-4E39-ABDD-FAFBAD1AFABD}" name="Gene bank /Breeding program ID" dataDxfId="190" totalsRowDxfId="189"/>
    <tableColumn id="11" xr3:uid="{767A4BCA-4FD0-4DC2-900A-5516C53AE656}" name="Genus" dataDxfId="188" totalsRowDxfId="187"/>
    <tableColumn id="5" xr3:uid="{E9C5CCEA-07DB-48E6-9DA8-711A2F1448DE}" name="Species" dataDxfId="186" totalsRowDxfId="185">
      <calculatedColumnFormula>'1. Information samples'!J11</calculatedColumnFormula>
    </tableColumn>
    <tableColumn id="10" xr3:uid="{042ED9A4-BAA9-41C6-8452-3BB096833694}" name="Tax Name" dataDxfId="184" totalsRowDxfId="183">
      <calculatedColumnFormula>'1. Information samples'!K11</calculatedColumnFormula>
    </tableColumn>
    <tableColumn id="14" xr3:uid="{242F21C6-DE00-4CB1-A183-500FAD2762BD}" name="Family" dataDxfId="182" totalsRowDxfId="181">
      <calculatedColumnFormula>'1. Information samples'!L11</calculatedColumnFormula>
    </tableColumn>
    <tableColumn id="16" xr3:uid="{2B27872A-5354-4C45-BCB4-430E52C9D4E2}" name="Order" dataDxfId="180" totalsRowDxfId="179">
      <calculatedColumnFormula>'1. Information samples'!M11</calculatedColumnFormula>
    </tableColumn>
    <tableColumn id="9" xr3:uid="{F3B4EE2D-BE43-4B34-96C3-23520769B5A9}" name="Functional Group" dataDxfId="178" totalsRowDxfId="177"/>
    <tableColumn id="17" xr3:uid="{7ACC4B37-833D-4057-A63C-E5AD2D227C22}" name="Net gas 8h, ml" dataDxfId="176" totalsRowDxfId="175"/>
    <tableColumn id="7" xr3:uid="{C975DA0B-FF5B-4F83-81AE-E6CFCC87FE4D}" name="Net gas 8-24h, ml" dataDxfId="174" totalsRowDxfId="173"/>
    <tableColumn id="6" xr3:uid="{860A7C7A-4385-4E0B-8673-D2BCBA7D8A87}" name="Net gas 24h, ml" dataDxfId="172" totalsRowDxfId="171"/>
    <tableColumn id="3" xr3:uid="{1D1F82AE-BE00-4A23-BD1B-E6D813BA3A07}" name="CH4 8h, ml" dataDxfId="170" totalsRowDxfId="169"/>
    <tableColumn id="18" xr3:uid="{FA74A2A7-A43B-4299-A760-B9C8A96AB16A}" name="CH4 8-24h, ml" dataDxfId="168" totalsRowDxfId="167"/>
    <tableColumn id="12" xr3:uid="{86F22590-1142-44F6-A55D-DDD78CB9212E}" name="CH4 24h, ml" dataDxfId="166" totalsRowDxfId="165"/>
    <tableColumn id="19" xr3:uid="{5438F1C4-FF49-4806-AB0E-D6C98D99C3BD}" name="Gas ml/g DM Incubated, 24h" dataDxfId="164" totalsRowDxfId="163"/>
    <tableColumn id="21" xr3:uid="{7C429E6F-2C34-45C1-AC17-8917B13A4B3D}" name="% DMD, Truly digestibility" dataDxfId="162" totalsRowDxfId="161"/>
    <tableColumn id="22" xr3:uid="{1AEB154A-C392-44E8-9065-0822A6D35B09}" name="Part Fact" dataDxfId="160" totalsRowDxfId="159"/>
    <tableColumn id="20" xr3:uid="{2630046B-FA7C-4BE3-B807-0FB8B2699DA3}" name="CH4 ml in gas, h8" dataDxfId="158" totalsRowDxfId="157"/>
    <tableColumn id="23" xr3:uid="{120E7882-8E03-48B7-88C3-F12164D98429}" name="CH4 ml in gas, 24h" dataDxfId="156" totalsRowDxfId="155"/>
    <tableColumn id="24" xr3:uid="{E20D2667-4C52-444A-AC1A-A3F09C86856D}" name="CH4 ml/gDM incubated, 24h" dataDxfId="154" totalsRowDxfId="153"/>
    <tableColumn id="25" xr3:uid="{861D5BB6-B23A-45E1-AD19-8E70E517DA77}" name="CH4 ml/g DMD, 24h2" dataDxfId="152" totalsRowDxfId="151"/>
    <tableColumn id="26" xr3:uid="{52F341B2-F21E-48CD-A94B-DC6D25107B49}" name="CH4 ml/g NDF digested in 24 h" dataDxfId="150" totalsRowDxfId="149"/>
    <tableColumn id="27" xr3:uid="{352C07D2-A14D-4B47-8313-F169AD08264E}" name="CH4 g/g DM incubated, 24h" dataDxfId="148" totalsRowDxfId="147"/>
    <tableColumn id="28" xr3:uid="{C94B48EF-51EA-408F-9AB8-CA510B1491DC}" name="CH4 g/g DMD, 24h" dataDxfId="146" totalsRowDxfId="145"/>
    <tableColumn id="29" xr3:uid="{EC8D5E10-F381-4778-946D-8DAEE3BFFC49}" name="Column1" dataDxfId="144" totalsRowDxfId="143"/>
  </tableColumns>
  <tableStyleInfo name="TableStyleMedium1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F58B30B4-DB80-4638-89B6-D610EC151294}" name="Table4.179" displayName="Table4.179" ref="B10:AE158" totalsRowShown="0" headerRowDxfId="142" dataDxfId="140" headerRowBorderDxfId="141" tableBorderDxfId="139" totalsRowBorderDxfId="138">
  <autoFilter ref="B10:AE158" xr:uid="{F58B30B4-DB80-4638-89B6-D610EC151294}"/>
  <sortState xmlns:xlrd2="http://schemas.microsoft.com/office/spreadsheetml/2017/richdata2" ref="B11:V156">
    <sortCondition ref="B10:B156"/>
  </sortState>
  <tableColumns count="30">
    <tableColumn id="4" xr3:uid="{3A0996A6-5A4E-409A-8BC6-976A09299E4A}" name="Sample serial No" dataDxfId="137" totalsRowDxfId="136"/>
    <tableColumn id="8" xr3:uid="{A00329EA-8AED-44EB-871C-D24F31C26E7F}" name="Date (M,D.Y)" dataDxfId="135" totalsRowDxfId="134">
      <calculatedColumnFormula>'1. Information samples'!D11</calculatedColumnFormula>
    </tableColumn>
    <tableColumn id="2" xr3:uid="{18248685-E4A7-44CC-BCB0-DD113688CF01}" name="Requisitioner" dataDxfId="133" totalsRowDxfId="132">
      <calculatedColumnFormula>'1. Information samples'!E11</calculatedColumnFormula>
    </tableColumn>
    <tableColumn id="1" xr3:uid="{5B7DF4E5-D9D0-4765-A849-20C7E6A929C9}" name="Set CIAT" dataDxfId="131" totalsRowDxfId="130">
      <calculatedColumnFormula>'1. Information samples'!F11</calculatedColumnFormula>
    </tableColumn>
    <tableColumn id="15" xr3:uid="{7FA296DE-B0A8-4A2D-AA65-296BD2A3238A}" name="CIAT Lab-ID" dataDxfId="129" totalsRowDxfId="128">
      <calculatedColumnFormula>'1. Information samples'!G11</calculatedColumnFormula>
    </tableColumn>
    <tableColumn id="13" xr3:uid="{BFC0ABDE-6708-4C53-B288-C1363540BA6B}" name="Gene bank /Breeding program ID" dataDxfId="127" totalsRowDxfId="126"/>
    <tableColumn id="11" xr3:uid="{CE7B172F-2B03-4F18-8364-E44FABDFDCF7}" name="Genus" dataDxfId="125" totalsRowDxfId="124"/>
    <tableColumn id="5" xr3:uid="{ECCA1468-EB04-4E6F-941C-BE9D78C22A59}" name="Species" dataDxfId="123" totalsRowDxfId="122">
      <calculatedColumnFormula>'1. Information samples'!J11</calculatedColumnFormula>
    </tableColumn>
    <tableColumn id="10" xr3:uid="{92DF43C6-FE23-45D7-A443-E2356C7E243E}" name="Tax Name" dataDxfId="121" totalsRowDxfId="120">
      <calculatedColumnFormula>'1. Information samples'!K11</calculatedColumnFormula>
    </tableColumn>
    <tableColumn id="14" xr3:uid="{ADCA9D69-19B8-4415-BC71-E97150C271B8}" name="Family" dataDxfId="119" totalsRowDxfId="118">
      <calculatedColumnFormula>'1. Information samples'!L11</calculatedColumnFormula>
    </tableColumn>
    <tableColumn id="16" xr3:uid="{8A4CBDAE-93E7-4058-BA59-66521380F054}" name="Order" dataDxfId="117" totalsRowDxfId="116">
      <calculatedColumnFormula>'1. Information samples'!M11</calculatedColumnFormula>
    </tableColumn>
    <tableColumn id="9" xr3:uid="{07289A73-3458-403A-A4DB-5A3F7C09B5DE}" name="Functional Group" dataDxfId="115" totalsRowDxfId="114"/>
    <tableColumn id="17" xr3:uid="{68254668-2E04-410F-A830-E5855279E998}" name="Net gas 8h, ml" dataDxfId="113" totalsRowDxfId="112"/>
    <tableColumn id="7" xr3:uid="{BDE24950-B53C-4833-BCF2-227D0062365E}" name="Net gas 8-24h, ml" dataDxfId="111" totalsRowDxfId="110"/>
    <tableColumn id="6" xr3:uid="{C6A94205-93D7-4C6A-92E4-945441D348F6}" name="Net gas 24h, ml" dataDxfId="109" totalsRowDxfId="108"/>
    <tableColumn id="3" xr3:uid="{414C5717-8C11-45DB-B55B-CF46422CB20F}" name="CH4 8h, ml" dataDxfId="107" totalsRowDxfId="106"/>
    <tableColumn id="18" xr3:uid="{8828D39A-CDD2-4334-BEE6-35FC6F436044}" name="CH4 8-24h, ml" dataDxfId="105" totalsRowDxfId="104"/>
    <tableColumn id="12" xr3:uid="{60C849F0-1BF9-4F62-834F-292FFB406135}" name="CH4 24h, ml" dataDxfId="103" totalsRowDxfId="102"/>
    <tableColumn id="19" xr3:uid="{CCCA6F54-110C-4584-9BA4-623577C2EAA6}" name="Gas ml/g DM Incubated, 24h" dataDxfId="101" totalsRowDxfId="100"/>
    <tableColumn id="21" xr3:uid="{65B708D6-6A7F-4AD4-AEE3-1D5A2289EE2E}" name="% DMD, Truly digestibility" dataDxfId="99" totalsRowDxfId="98"/>
    <tableColumn id="22" xr3:uid="{757CD687-3AD1-4547-AAD0-88117C868FE0}" name="Part Fact" dataDxfId="97" totalsRowDxfId="96"/>
    <tableColumn id="20" xr3:uid="{BE5F25D4-8136-459B-AE12-A57CCBC38547}" name="CH4 ml in gas, h8" dataDxfId="95" totalsRowDxfId="94"/>
    <tableColumn id="23" xr3:uid="{60A3CEC6-1693-416F-9C0E-F1F200EDBFB3}" name="CH4 ml in gas, 24h" dataDxfId="93" totalsRowDxfId="92"/>
    <tableColumn id="24" xr3:uid="{59A16207-F9F6-4178-A31F-C12B4BF425C8}" name="CH4 ml/gDM incubated, 24h" dataDxfId="91" totalsRowDxfId="90"/>
    <tableColumn id="25" xr3:uid="{64ADD463-DA18-4F30-89E3-08C754B09E61}" name="CH4 ml/g DMD, 24h2" dataDxfId="89" totalsRowDxfId="88"/>
    <tableColumn id="26" xr3:uid="{18A6BFA3-4F71-4D23-B0F8-F1EC3E21502B}" name="CH4 ml/g NDF digested in 24 h" dataDxfId="87" totalsRowDxfId="86"/>
    <tableColumn id="27" xr3:uid="{4F3F7C34-31FD-49A1-BD78-F4A282B61E50}" name="CH4 g/g DM incubated, 24h" dataDxfId="85" totalsRowDxfId="84"/>
    <tableColumn id="28" xr3:uid="{6BF117C6-D075-4903-8363-0D4FF5D7A1FA}" name="CH4 g/g DMD, 24h" dataDxfId="83" totalsRowDxfId="82"/>
    <tableColumn id="29" xr3:uid="{AC796F78-7066-49FC-9DA1-264D006EB553}" name="Column4" dataDxfId="81" totalsRowDxfId="80"/>
    <tableColumn id="30" xr3:uid="{4C08EDA0-101E-4CD0-9E41-65DA4AF2C5CE}" name="Column5" dataDxfId="79" totalsRowDxfId="78"/>
  </tableColumns>
  <tableStyleInfo name="TableStyleMedium1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1C43A60-3255-4EC1-95EE-7249578BECFB}" name="Table4.1" displayName="Table4.1" ref="B10:AH158" totalsRowShown="0" headerRowDxfId="77" dataDxfId="75" headerRowBorderDxfId="76" tableBorderDxfId="74" totalsRowBorderDxfId="73">
  <autoFilter ref="B10:AH158" xr:uid="{91C43A60-3255-4EC1-95EE-7249578BECFB}"/>
  <sortState xmlns:xlrd2="http://schemas.microsoft.com/office/spreadsheetml/2017/richdata2" ref="B11:X125">
    <sortCondition ref="B10:B125"/>
  </sortState>
  <tableColumns count="33">
    <tableColumn id="4" xr3:uid="{E44C99F8-948F-4F08-9EED-F8F08AD7A60B}" name="No" dataDxfId="72" totalsRowDxfId="71"/>
    <tableColumn id="1" xr3:uid="{B40D2F19-DC61-4631-9B15-111348718D42}" name="Date (M,D.Y)" dataDxfId="70" totalsRowDxfId="69">
      <calculatedColumnFormula>'1. Information samples'!C11</calculatedColumnFormula>
    </tableColumn>
    <tableColumn id="15" xr3:uid="{FA982E15-FE48-4D53-8108-162B4252575E}" name="Requisitioner2" dataDxfId="68" totalsRowDxfId="67">
      <calculatedColumnFormula>'1. Information samples'!D11</calculatedColumnFormula>
    </tableColumn>
    <tableColumn id="13" xr3:uid="{60C4DF92-95D3-4858-ADC2-734AD5151385}" name="Set CIAT" dataDxfId="66" totalsRowDxfId="65">
      <calculatedColumnFormula>'1. Information samples'!E11</calculatedColumnFormula>
    </tableColumn>
    <tableColumn id="11" xr3:uid="{5220B08F-5857-4241-B11F-74A7CDA136E1}" name="CIAT Lab-ID" dataDxfId="64" totalsRowDxfId="63">
      <calculatedColumnFormula>'1. Information samples'!F11</calculatedColumnFormula>
    </tableColumn>
    <tableColumn id="5" xr3:uid="{81033D5B-9508-4E25-B5BD-437C8CFDB4B6}" name="Gene bank /Breeding program ID" dataDxfId="62" totalsRowDxfId="61">
      <calculatedColumnFormula>'1. Information samples'!G11</calculatedColumnFormula>
    </tableColumn>
    <tableColumn id="10" xr3:uid="{F2FF1425-AA6E-40FB-93CA-3CA004B23B7D}" name="Genus" dataDxfId="60" totalsRowDxfId="59">
      <calculatedColumnFormula>'1. Information samples'!H11</calculatedColumnFormula>
    </tableColumn>
    <tableColumn id="14" xr3:uid="{E16F0734-C47E-4143-B3EC-7D7390CCE29C}" name="Species" dataDxfId="58" totalsRowDxfId="57">
      <calculatedColumnFormula>'1. Information samples'!I11</calculatedColumnFormula>
    </tableColumn>
    <tableColumn id="24" xr3:uid="{6E0D300B-F45E-461A-B9E8-BD3C1D87E7F0}" name="Tax Name" dataDxfId="56" totalsRowDxfId="55">
      <calculatedColumnFormula>'1. Information samples'!J11</calculatedColumnFormula>
    </tableColumn>
    <tableColumn id="23" xr3:uid="{3E76C37F-55CF-4A4F-A8A9-20455746456D}" name="Family" dataDxfId="54" totalsRowDxfId="53">
      <calculatedColumnFormula>'1. Information samples'!K11</calculatedColumnFormula>
    </tableColumn>
    <tableColumn id="20" xr3:uid="{BFF8138D-DC42-416A-B9C8-6A5C016922A5}" name="Order" dataDxfId="52" totalsRowDxfId="51">
      <calculatedColumnFormula>'1. Information samples'!L11</calculatedColumnFormula>
    </tableColumn>
    <tableColumn id="16" xr3:uid="{59ED54A5-ECB7-4674-85C0-45467B6E1FB3}" name="Functional Group" dataDxfId="50" totalsRowDxfId="49">
      <calculatedColumnFormula>'1. Information samples'!M11</calculatedColumnFormula>
    </tableColumn>
    <tableColumn id="9" xr3:uid="{B5E4D8CF-8618-4934-B74B-00C4A6E41EE3}" name="Av DM 105" dataDxfId="48" totalsRowDxfId="47">
      <calculatedColumnFormula>#REF!</calculatedColumnFormula>
    </tableColumn>
    <tableColumn id="17" xr3:uid="{49C161AF-4D01-4AEA-ACFA-69783111FD34}" name="Av Ash, %" dataDxfId="46" totalsRowDxfId="45">
      <calculatedColumnFormula>Table95[[#This Row],[Av Ash, %]]</calculatedColumnFormula>
    </tableColumn>
    <tableColumn id="2" xr3:uid="{19D4AFF2-07DC-42D7-B8D4-172224C55163}" name="OM, %" dataDxfId="44" totalsRowDxfId="43">
      <calculatedColumnFormula>'4.0 Result Quality Average'!P11</calculatedColumnFormula>
    </tableColumn>
    <tableColumn id="7" xr3:uid="{531532FD-BFD4-4866-A175-2ED9434BE9E5}" name="Av PC, %" dataDxfId="42" totalsRowDxfId="41">
      <calculatedColumnFormula>'4.0 Result Quality Average'!Q11</calculatedColumnFormula>
    </tableColumn>
    <tableColumn id="6" xr3:uid="{793FE79E-9245-4294-809F-BEE349186048}" name=" Av ADF, % (DM)" dataDxfId="40" totalsRowDxfId="39">
      <calculatedColumnFormula>'4.0 Result Quality Average'!R11</calculatedColumnFormula>
    </tableColumn>
    <tableColumn id="3" xr3:uid="{D1BBB03C-C35F-4F07-8622-F721FB0575BE}" name=" Av NDF, % (DM)" dataDxfId="38" totalsRowDxfId="37">
      <calculatedColumnFormula>'4.0 Result Quality Average'!S11</calculatedColumnFormula>
    </tableColumn>
    <tableColumn id="18" xr3:uid="{9CA5BEE2-FF62-493C-9385-66EB3A505431}" name="Net gas 8h, ml" dataDxfId="36" totalsRowDxfId="35">
      <calculatedColumnFormula>Table4.17[[#This Row],[Net gas 8h, ml]]</calculatedColumnFormula>
    </tableColumn>
    <tableColumn id="12" xr3:uid="{4A4101E5-534C-43FA-9604-22AA5F31E34E}" name="Net gas 8-24h, ml" dataDxfId="34" totalsRowDxfId="33">
      <calculatedColumnFormula>Table4.17[[#This Row],[Net gas 8-24h, ml]]</calculatedColumnFormula>
    </tableColumn>
    <tableColumn id="19" xr3:uid="{5F87F61E-E049-4872-8778-48BC0AF3F014}" name="Net gas 24h, ml" dataDxfId="32" totalsRowDxfId="31">
      <calculatedColumnFormula>Table4.17[[#This Row],[Net gas 24h, ml]]</calculatedColumnFormula>
    </tableColumn>
    <tableColumn id="21" xr3:uid="{8DF6A9F0-5C0B-447D-A8A3-C2686E565527}" name="CH4 8h, ml" dataDxfId="30" totalsRowDxfId="29">
      <calculatedColumnFormula>Table4.17[[#This Row],[CH4 8h, ml]]</calculatedColumnFormula>
    </tableColumn>
    <tableColumn id="22" xr3:uid="{461069C8-1F01-4FA8-A0D3-DE98C6E7A170}" name="CH4 8-24h, ml" dataDxfId="28" totalsRowDxfId="27">
      <calculatedColumnFormula>Table4.17[[#This Row],[CH4 8-24h, ml]]</calculatedColumnFormula>
    </tableColumn>
    <tableColumn id="25" xr3:uid="{465F7EBA-025C-459D-BF23-803C70C9E369}" name="CH4 24h, ml" dataDxfId="26" totalsRowDxfId="25">
      <calculatedColumnFormula>Table4.17[[#This Row],[CH4 24h, ml]]</calculatedColumnFormula>
    </tableColumn>
    <tableColumn id="26" xr3:uid="{91D3D3B3-2F53-41DB-ABD5-5408F4B4C919}" name="Gas ml/g DM Incubated, 24h" dataDxfId="24" totalsRowDxfId="23">
      <calculatedColumnFormula>Table4.17[[#This Row],[Gas ml/g DM Incubated, 24h]]</calculatedColumnFormula>
    </tableColumn>
    <tableColumn id="27" xr3:uid="{5A1A2D43-DE52-46A1-81F9-3F4A9EE9A686}" name="% DMD, Truly digestibility" dataDxfId="22" totalsRowDxfId="21">
      <calculatedColumnFormula>Table4.17[[#This Row],[% DMD, Truly digestibility]]</calculatedColumnFormula>
    </tableColumn>
    <tableColumn id="28" xr3:uid="{857583C2-063C-44DD-952F-8D6728A6A78F}" name="Part Fact" dataDxfId="20" totalsRowDxfId="19">
      <calculatedColumnFormula>Table4.17[[#This Row],[Part Fact]]</calculatedColumnFormula>
    </tableColumn>
    <tableColumn id="29" xr3:uid="{3A5EA076-BBD9-4295-A598-42385396EC9E}" name="CH4 ml in gas, h8" dataDxfId="18" totalsRowDxfId="17">
      <calculatedColumnFormula>Table4.17[[#This Row],[CH4 ml in gas, h8]]</calculatedColumnFormula>
    </tableColumn>
    <tableColumn id="30" xr3:uid="{50C3F824-8296-42D2-A998-60DE2D2B496F}" name="CH4 ml in gas, 24h" dataDxfId="16" totalsRowDxfId="15">
      <calculatedColumnFormula>Table4.17[[#This Row],[CH4 ml in gas, 24h]]</calculatedColumnFormula>
    </tableColumn>
    <tableColumn id="31" xr3:uid="{704A6500-0B6A-4E4C-B61E-D1685F5BE9EF}" name="CH4 ml/gDM incubated, 24h" dataDxfId="14" totalsRowDxfId="13">
      <calculatedColumnFormula>Table4.17[[#This Row],[CH4 ml/gDM incubated, 24h]]</calculatedColumnFormula>
    </tableColumn>
    <tableColumn id="32" xr3:uid="{F99BCFF5-45B6-4849-ABCA-653E91769244}" name="CH4 ml/g DMD, 24h2" dataDxfId="12" totalsRowDxfId="11">
      <calculatedColumnFormula>Table4.17[[#This Row],[CH4 ml/g DMD, 24h2]]</calculatedColumnFormula>
    </tableColumn>
    <tableColumn id="8" xr3:uid="{26EBD45A-11AC-45AF-992E-5DC01C88CF1B}" name="CH4 ml/g NDF digested in 24 h" dataDxfId="10" totalsRowDxfId="9">
      <calculatedColumnFormula>Table4.17[[#This Row],[CH4 ml/g NDF digested in 24 h]]</calculatedColumnFormula>
    </tableColumn>
    <tableColumn id="33" xr3:uid="{010E29AC-55F5-4AE4-86F2-14690005C5DF}" name="CH4 g/g DM incubated, 24h" dataDxfId="8" totalsRowDxfId="7">
      <calculatedColumnFormula>Table4.17[[#This Row],[CH4 g/g DM incubated, 24h]]</calculatedColumnFormula>
    </tableColumn>
  </tableColumns>
  <tableStyleInfo name="TableStyleMedium1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7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7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11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8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03631-0DA6-451D-AC8F-DFB90B812F14}">
  <sheetPr codeName="Sheet1"/>
  <dimension ref="A4:Q158"/>
  <sheetViews>
    <sheetView topLeftCell="D1" zoomScale="110" zoomScaleNormal="110" workbookViewId="0">
      <selection activeCell="D1" sqref="A1:XFD1048576"/>
    </sheetView>
  </sheetViews>
  <sheetFormatPr defaultColWidth="8.6328125" defaultRowHeight="14.5" x14ac:dyDescent="0.35"/>
  <cols>
    <col min="1" max="1" width="3.90625" style="5" customWidth="1"/>
    <col min="2" max="2" width="7.54296875" style="5" customWidth="1"/>
    <col min="3" max="3" width="15" style="5" customWidth="1"/>
    <col min="4" max="4" width="14.54296875" style="5" customWidth="1"/>
    <col min="5" max="5" width="12.453125" style="5" customWidth="1"/>
    <col min="6" max="6" width="15" style="5" customWidth="1"/>
    <col min="7" max="7" width="20.08984375" style="5" customWidth="1"/>
    <col min="8" max="8" width="15" style="208" customWidth="1"/>
    <col min="9" max="9" width="15.36328125" style="208" customWidth="1"/>
    <col min="10" max="10" width="27.08984375" style="208" customWidth="1"/>
    <col min="11" max="13" width="15" style="15" customWidth="1"/>
    <col min="14" max="14" width="20.6328125" style="15" customWidth="1"/>
    <col min="15" max="15" width="12.54296875" style="5" bestFit="1" customWidth="1"/>
    <col min="16" max="16" width="14.54296875" style="5" bestFit="1" customWidth="1"/>
    <col min="17" max="17" width="20.453125" style="5" customWidth="1"/>
    <col min="18" max="18" width="10.453125" style="5" customWidth="1"/>
    <col min="19" max="16384" width="8.6328125" style="5"/>
  </cols>
  <sheetData>
    <row r="4" spans="1:17" ht="14.4" customHeight="1" x14ac:dyDescent="0.35">
      <c r="A4" s="1"/>
      <c r="B4" s="2"/>
      <c r="C4"/>
      <c r="D4" s="2"/>
      <c r="E4" s="338" t="s">
        <v>0</v>
      </c>
      <c r="F4" s="338"/>
      <c r="G4" s="338"/>
      <c r="H4" s="338"/>
      <c r="I4" s="338"/>
      <c r="J4" s="338"/>
      <c r="K4" s="338"/>
      <c r="L4" s="338"/>
      <c r="M4" s="338"/>
      <c r="N4" s="338"/>
      <c r="O4" s="338"/>
      <c r="P4" s="1"/>
      <c r="Q4" s="1"/>
    </row>
    <row r="5" spans="1:17" ht="14.4" customHeight="1" x14ac:dyDescent="0.35">
      <c r="A5" s="1"/>
      <c r="B5" s="2"/>
      <c r="C5" s="2"/>
      <c r="D5" s="2"/>
      <c r="E5" s="338"/>
      <c r="F5" s="338"/>
      <c r="G5" s="338"/>
      <c r="H5" s="338"/>
      <c r="I5" s="338"/>
      <c r="J5" s="338"/>
      <c r="K5" s="338"/>
      <c r="L5" s="338"/>
      <c r="M5" s="338"/>
      <c r="N5" s="338"/>
      <c r="O5" s="338"/>
      <c r="P5" s="1"/>
      <c r="Q5" s="1"/>
    </row>
    <row r="6" spans="1:17" ht="14.4" customHeight="1" x14ac:dyDescent="0.35">
      <c r="A6" s="1"/>
      <c r="B6" s="2"/>
      <c r="C6" s="2"/>
      <c r="D6" s="2"/>
      <c r="E6" s="338"/>
      <c r="F6" s="338"/>
      <c r="G6" s="338"/>
      <c r="H6" s="338"/>
      <c r="I6" s="338"/>
      <c r="J6" s="338"/>
      <c r="K6" s="338"/>
      <c r="L6" s="338"/>
      <c r="M6" s="338"/>
      <c r="N6" s="338"/>
      <c r="O6" s="338"/>
      <c r="P6" s="1"/>
      <c r="Q6" s="1"/>
    </row>
    <row r="7" spans="1:17" x14ac:dyDescent="0.35">
      <c r="A7" s="1"/>
      <c r="B7" s="2"/>
      <c r="C7" s="2"/>
      <c r="D7" s="2"/>
      <c r="E7" s="2"/>
      <c r="F7" s="2"/>
      <c r="G7" s="3"/>
      <c r="H7" s="204"/>
      <c r="I7" s="4"/>
      <c r="J7" s="4"/>
      <c r="K7" s="2"/>
      <c r="L7" s="2"/>
      <c r="M7" s="2"/>
      <c r="N7" s="2"/>
      <c r="O7" s="1"/>
      <c r="P7" s="1"/>
      <c r="Q7" s="1"/>
    </row>
    <row r="8" spans="1:17" ht="14.15" customHeight="1" x14ac:dyDescent="0.35">
      <c r="A8" s="1"/>
      <c r="B8" s="2"/>
      <c r="C8" s="2"/>
      <c r="D8" s="2"/>
      <c r="E8" s="2"/>
      <c r="F8" s="2"/>
      <c r="G8" s="2"/>
      <c r="H8" s="204"/>
      <c r="I8" s="4"/>
      <c r="J8" s="4"/>
      <c r="K8" s="2"/>
      <c r="L8" s="2"/>
      <c r="M8" s="2"/>
      <c r="N8" s="2"/>
      <c r="O8" s="1"/>
      <c r="P8" s="1"/>
      <c r="Q8" s="1"/>
    </row>
    <row r="9" spans="1:17" x14ac:dyDescent="0.35">
      <c r="A9" s="1"/>
      <c r="B9" s="2"/>
      <c r="C9" s="2"/>
      <c r="D9" s="2"/>
      <c r="E9" s="2"/>
      <c r="F9" s="2"/>
      <c r="G9" s="2"/>
      <c r="H9" s="204"/>
      <c r="I9" s="4"/>
      <c r="J9" s="4"/>
      <c r="K9" s="2"/>
      <c r="L9" s="2"/>
      <c r="M9" s="2"/>
      <c r="N9" s="2"/>
      <c r="O9" s="1"/>
      <c r="P9" s="1"/>
      <c r="Q9" s="1"/>
    </row>
    <row r="10" spans="1:17" ht="43.5" x14ac:dyDescent="0.35">
      <c r="A10" s="1"/>
      <c r="B10" s="12" t="s">
        <v>1</v>
      </c>
      <c r="C10" s="13" t="s">
        <v>2</v>
      </c>
      <c r="D10" s="12" t="s">
        <v>3</v>
      </c>
      <c r="E10" s="50" t="s">
        <v>4</v>
      </c>
      <c r="F10" s="51" t="s">
        <v>5</v>
      </c>
      <c r="G10" s="50" t="s">
        <v>6</v>
      </c>
      <c r="H10" s="205" t="s">
        <v>7</v>
      </c>
      <c r="I10" s="205" t="s">
        <v>8</v>
      </c>
      <c r="J10" s="205" t="s">
        <v>9</v>
      </c>
      <c r="K10" s="51" t="s">
        <v>10</v>
      </c>
      <c r="L10" s="51" t="s">
        <v>11</v>
      </c>
      <c r="M10" s="51" t="s">
        <v>12</v>
      </c>
      <c r="N10" s="12" t="s">
        <v>13</v>
      </c>
      <c r="O10" s="16" t="s">
        <v>14</v>
      </c>
      <c r="P10" s="339" t="s">
        <v>15</v>
      </c>
      <c r="Q10" s="340"/>
    </row>
    <row r="11" spans="1:17" x14ac:dyDescent="0.35">
      <c r="A11" s="1"/>
      <c r="B11" s="6">
        <v>1</v>
      </c>
      <c r="C11" s="7">
        <v>46041</v>
      </c>
      <c r="D11" s="6" t="s">
        <v>16</v>
      </c>
      <c r="E11" s="11">
        <v>27</v>
      </c>
      <c r="F11" s="6" t="s">
        <v>17</v>
      </c>
      <c r="G11" s="6" t="s">
        <v>18</v>
      </c>
      <c r="H11" s="132" t="s">
        <v>19</v>
      </c>
      <c r="I11" s="132" t="s">
        <v>20</v>
      </c>
      <c r="J11" s="133" t="s">
        <v>21</v>
      </c>
      <c r="K11" s="6" t="s">
        <v>22</v>
      </c>
      <c r="L11" s="129" t="s">
        <v>23</v>
      </c>
      <c r="M11" s="129" t="s">
        <v>24</v>
      </c>
      <c r="N11" s="129" t="s">
        <v>25</v>
      </c>
      <c r="O11" s="129" t="s">
        <v>26</v>
      </c>
      <c r="P11" s="324"/>
      <c r="Q11" s="324"/>
    </row>
    <row r="12" spans="1:17" x14ac:dyDescent="0.35">
      <c r="A12" s="1"/>
      <c r="B12" s="6">
        <f>B11+1</f>
        <v>2</v>
      </c>
      <c r="C12" s="7">
        <v>46041</v>
      </c>
      <c r="D12" s="6" t="s">
        <v>16</v>
      </c>
      <c r="E12" s="11">
        <v>27</v>
      </c>
      <c r="F12" s="6" t="s">
        <v>27</v>
      </c>
      <c r="G12" s="6" t="s">
        <v>28</v>
      </c>
      <c r="H12" s="134" t="s">
        <v>19</v>
      </c>
      <c r="I12" s="134" t="s">
        <v>29</v>
      </c>
      <c r="J12" s="133" t="s">
        <v>30</v>
      </c>
      <c r="K12" s="6" t="s">
        <v>22</v>
      </c>
      <c r="L12" s="129" t="s">
        <v>23</v>
      </c>
      <c r="M12" s="129" t="s">
        <v>24</v>
      </c>
      <c r="N12" s="129" t="s">
        <v>25</v>
      </c>
      <c r="O12" s="129" t="s">
        <v>26</v>
      </c>
      <c r="P12" s="324"/>
      <c r="Q12" s="324"/>
    </row>
    <row r="13" spans="1:17" x14ac:dyDescent="0.35">
      <c r="A13" s="1"/>
      <c r="B13" s="6">
        <f t="shared" ref="B13:B76" si="0">B12+1</f>
        <v>3</v>
      </c>
      <c r="C13" s="7">
        <v>46041</v>
      </c>
      <c r="D13" s="6" t="s">
        <v>16</v>
      </c>
      <c r="E13" s="11">
        <v>27</v>
      </c>
      <c r="F13" s="6" t="s">
        <v>31</v>
      </c>
      <c r="G13" s="6" t="s">
        <v>32</v>
      </c>
      <c r="H13" s="134" t="s">
        <v>19</v>
      </c>
      <c r="I13" s="134" t="s">
        <v>20</v>
      </c>
      <c r="J13" s="133" t="s">
        <v>21</v>
      </c>
      <c r="K13" s="6" t="s">
        <v>22</v>
      </c>
      <c r="L13" s="129" t="s">
        <v>23</v>
      </c>
      <c r="M13" s="129" t="s">
        <v>24</v>
      </c>
      <c r="N13" s="129" t="s">
        <v>25</v>
      </c>
      <c r="O13" s="129" t="s">
        <v>26</v>
      </c>
      <c r="P13" s="324"/>
      <c r="Q13" s="324"/>
    </row>
    <row r="14" spans="1:17" x14ac:dyDescent="0.35">
      <c r="A14" s="1"/>
      <c r="B14" s="6">
        <f t="shared" si="0"/>
        <v>4</v>
      </c>
      <c r="C14" s="7">
        <v>46041</v>
      </c>
      <c r="D14" s="6" t="s">
        <v>16</v>
      </c>
      <c r="E14" s="11">
        <v>27</v>
      </c>
      <c r="F14" s="6" t="s">
        <v>33</v>
      </c>
      <c r="G14" s="6" t="s">
        <v>34</v>
      </c>
      <c r="H14" s="134" t="s">
        <v>19</v>
      </c>
      <c r="I14" s="134" t="s">
        <v>29</v>
      </c>
      <c r="J14" s="133" t="s">
        <v>30</v>
      </c>
      <c r="K14" s="6" t="s">
        <v>22</v>
      </c>
      <c r="L14" s="129" t="s">
        <v>23</v>
      </c>
      <c r="M14" s="129" t="s">
        <v>24</v>
      </c>
      <c r="N14" s="129" t="s">
        <v>25</v>
      </c>
      <c r="O14" s="129" t="s">
        <v>26</v>
      </c>
      <c r="P14" s="324"/>
      <c r="Q14" s="324"/>
    </row>
    <row r="15" spans="1:17" x14ac:dyDescent="0.35">
      <c r="A15" s="1"/>
      <c r="B15" s="6">
        <f t="shared" si="0"/>
        <v>5</v>
      </c>
      <c r="C15" s="7">
        <v>46041</v>
      </c>
      <c r="D15" s="6" t="s">
        <v>16</v>
      </c>
      <c r="E15" s="11">
        <v>27</v>
      </c>
      <c r="F15" s="6" t="s">
        <v>35</v>
      </c>
      <c r="G15" s="6" t="s">
        <v>36</v>
      </c>
      <c r="H15" s="134" t="s">
        <v>19</v>
      </c>
      <c r="I15" s="134" t="s">
        <v>20</v>
      </c>
      <c r="J15" s="133" t="s">
        <v>21</v>
      </c>
      <c r="K15" s="6" t="s">
        <v>22</v>
      </c>
      <c r="L15" s="129" t="s">
        <v>23</v>
      </c>
      <c r="M15" s="129" t="s">
        <v>24</v>
      </c>
      <c r="N15" s="129" t="s">
        <v>25</v>
      </c>
      <c r="O15" s="129" t="s">
        <v>26</v>
      </c>
      <c r="P15" s="324"/>
      <c r="Q15" s="324"/>
    </row>
    <row r="16" spans="1:17" x14ac:dyDescent="0.35">
      <c r="A16" s="1"/>
      <c r="B16" s="6">
        <f t="shared" si="0"/>
        <v>6</v>
      </c>
      <c r="C16" s="7">
        <v>46041</v>
      </c>
      <c r="D16" s="6" t="s">
        <v>16</v>
      </c>
      <c r="E16" s="11">
        <v>27</v>
      </c>
      <c r="F16" s="6" t="s">
        <v>37</v>
      </c>
      <c r="G16" s="6" t="s">
        <v>38</v>
      </c>
      <c r="H16" s="134" t="s">
        <v>19</v>
      </c>
      <c r="I16" s="134" t="s">
        <v>20</v>
      </c>
      <c r="J16" s="133" t="s">
        <v>21</v>
      </c>
      <c r="K16" s="6" t="s">
        <v>22</v>
      </c>
      <c r="L16" s="129" t="s">
        <v>23</v>
      </c>
      <c r="M16" s="129" t="s">
        <v>24</v>
      </c>
      <c r="N16" s="129" t="s">
        <v>25</v>
      </c>
      <c r="O16" s="129" t="s">
        <v>26</v>
      </c>
      <c r="P16" s="324"/>
      <c r="Q16" s="324"/>
    </row>
    <row r="17" spans="1:17" x14ac:dyDescent="0.35">
      <c r="A17" s="1"/>
      <c r="B17" s="6">
        <f t="shared" si="0"/>
        <v>7</v>
      </c>
      <c r="C17" s="7">
        <v>46041</v>
      </c>
      <c r="D17" s="6" t="s">
        <v>16</v>
      </c>
      <c r="E17" s="11">
        <v>27</v>
      </c>
      <c r="F17" s="6" t="s">
        <v>39</v>
      </c>
      <c r="G17" s="6" t="s">
        <v>40</v>
      </c>
      <c r="H17" s="134" t="s">
        <v>19</v>
      </c>
      <c r="I17" s="134" t="s">
        <v>20</v>
      </c>
      <c r="J17" s="133" t="s">
        <v>21</v>
      </c>
      <c r="K17" s="6" t="s">
        <v>22</v>
      </c>
      <c r="L17" s="129" t="s">
        <v>23</v>
      </c>
      <c r="M17" s="129" t="s">
        <v>24</v>
      </c>
      <c r="N17" s="129" t="s">
        <v>25</v>
      </c>
      <c r="O17" s="129" t="s">
        <v>26</v>
      </c>
      <c r="P17" s="324"/>
      <c r="Q17" s="324"/>
    </row>
    <row r="18" spans="1:17" x14ac:dyDescent="0.35">
      <c r="A18" s="1"/>
      <c r="B18" s="6">
        <f t="shared" si="0"/>
        <v>8</v>
      </c>
      <c r="C18" s="7">
        <v>46041</v>
      </c>
      <c r="D18" s="6" t="s">
        <v>16</v>
      </c>
      <c r="E18" s="11">
        <v>27</v>
      </c>
      <c r="F18" s="6" t="s">
        <v>41</v>
      </c>
      <c r="G18" s="6" t="s">
        <v>42</v>
      </c>
      <c r="H18" s="134" t="s">
        <v>19</v>
      </c>
      <c r="I18" s="134" t="s">
        <v>20</v>
      </c>
      <c r="J18" s="133" t="s">
        <v>21</v>
      </c>
      <c r="K18" s="6" t="s">
        <v>22</v>
      </c>
      <c r="L18" s="129" t="s">
        <v>23</v>
      </c>
      <c r="M18" s="129" t="s">
        <v>24</v>
      </c>
      <c r="N18" s="129" t="s">
        <v>25</v>
      </c>
      <c r="O18" s="129" t="s">
        <v>26</v>
      </c>
      <c r="P18" s="324"/>
      <c r="Q18" s="324"/>
    </row>
    <row r="19" spans="1:17" x14ac:dyDescent="0.35">
      <c r="A19" s="1"/>
      <c r="B19" s="6">
        <f t="shared" si="0"/>
        <v>9</v>
      </c>
      <c r="C19" s="7">
        <v>46041</v>
      </c>
      <c r="D19" s="6" t="s">
        <v>16</v>
      </c>
      <c r="E19" s="11">
        <v>27</v>
      </c>
      <c r="F19" s="6" t="s">
        <v>43</v>
      </c>
      <c r="G19" s="6" t="s">
        <v>44</v>
      </c>
      <c r="H19" s="134" t="s">
        <v>19</v>
      </c>
      <c r="I19" s="134" t="s">
        <v>20</v>
      </c>
      <c r="J19" s="133" t="s">
        <v>21</v>
      </c>
      <c r="K19" s="6" t="s">
        <v>22</v>
      </c>
      <c r="L19" s="129" t="s">
        <v>23</v>
      </c>
      <c r="M19" s="129" t="s">
        <v>24</v>
      </c>
      <c r="N19" s="129" t="s">
        <v>25</v>
      </c>
      <c r="O19" s="129" t="s">
        <v>26</v>
      </c>
      <c r="P19" s="324"/>
      <c r="Q19" s="324"/>
    </row>
    <row r="20" spans="1:17" x14ac:dyDescent="0.35">
      <c r="A20" s="1"/>
      <c r="B20" s="6">
        <f t="shared" si="0"/>
        <v>10</v>
      </c>
      <c r="C20" s="7">
        <v>46041</v>
      </c>
      <c r="D20" s="6" t="s">
        <v>16</v>
      </c>
      <c r="E20" s="11">
        <v>27</v>
      </c>
      <c r="F20" s="6" t="s">
        <v>45</v>
      </c>
      <c r="G20" s="6" t="s">
        <v>46</v>
      </c>
      <c r="H20" s="134" t="s">
        <v>19</v>
      </c>
      <c r="I20" s="134" t="s">
        <v>20</v>
      </c>
      <c r="J20" s="133" t="s">
        <v>21</v>
      </c>
      <c r="K20" s="6" t="s">
        <v>22</v>
      </c>
      <c r="L20" s="129" t="s">
        <v>23</v>
      </c>
      <c r="M20" s="129" t="s">
        <v>24</v>
      </c>
      <c r="N20" s="129" t="s">
        <v>25</v>
      </c>
      <c r="O20" s="129" t="s">
        <v>26</v>
      </c>
      <c r="P20" s="324"/>
      <c r="Q20" s="324"/>
    </row>
    <row r="21" spans="1:17" x14ac:dyDescent="0.35">
      <c r="B21" s="6">
        <f t="shared" si="0"/>
        <v>11</v>
      </c>
      <c r="C21" s="7">
        <v>46041</v>
      </c>
      <c r="D21" s="6" t="s">
        <v>16</v>
      </c>
      <c r="E21" s="11">
        <v>27</v>
      </c>
      <c r="F21" s="6" t="s">
        <v>47</v>
      </c>
      <c r="G21" s="8" t="s">
        <v>48</v>
      </c>
      <c r="H21" s="135" t="s">
        <v>19</v>
      </c>
      <c r="I21" s="134" t="s">
        <v>20</v>
      </c>
      <c r="J21" s="136" t="s">
        <v>21</v>
      </c>
      <c r="K21" s="6" t="s">
        <v>22</v>
      </c>
      <c r="L21" s="129" t="s">
        <v>23</v>
      </c>
      <c r="M21" s="129" t="s">
        <v>24</v>
      </c>
      <c r="N21" s="129" t="s">
        <v>25</v>
      </c>
      <c r="O21" s="129" t="s">
        <v>26</v>
      </c>
      <c r="P21" s="9"/>
      <c r="Q21" s="9"/>
    </row>
    <row r="22" spans="1:17" x14ac:dyDescent="0.35">
      <c r="B22" s="6">
        <f t="shared" si="0"/>
        <v>12</v>
      </c>
      <c r="C22" s="7">
        <v>46041</v>
      </c>
      <c r="D22" s="6" t="s">
        <v>16</v>
      </c>
      <c r="E22" s="11">
        <v>27</v>
      </c>
      <c r="F22" s="6" t="s">
        <v>49</v>
      </c>
      <c r="G22" s="10" t="s">
        <v>50</v>
      </c>
      <c r="H22" s="135" t="s">
        <v>19</v>
      </c>
      <c r="I22" s="134" t="s">
        <v>20</v>
      </c>
      <c r="J22" s="136" t="s">
        <v>21</v>
      </c>
      <c r="K22" s="6" t="s">
        <v>22</v>
      </c>
      <c r="L22" s="129" t="s">
        <v>23</v>
      </c>
      <c r="M22" s="129" t="s">
        <v>24</v>
      </c>
      <c r="N22" s="129" t="s">
        <v>25</v>
      </c>
      <c r="O22" s="129" t="s">
        <v>26</v>
      </c>
      <c r="P22" s="9"/>
      <c r="Q22" s="9"/>
    </row>
    <row r="23" spans="1:17" x14ac:dyDescent="0.35">
      <c r="B23" s="6">
        <f t="shared" si="0"/>
        <v>13</v>
      </c>
      <c r="C23" s="7">
        <v>46041</v>
      </c>
      <c r="D23" s="6" t="s">
        <v>16</v>
      </c>
      <c r="E23" s="11">
        <v>27</v>
      </c>
      <c r="F23" s="6" t="s">
        <v>51</v>
      </c>
      <c r="G23" s="10" t="s">
        <v>52</v>
      </c>
      <c r="H23" s="135" t="s">
        <v>19</v>
      </c>
      <c r="I23" s="134" t="s">
        <v>20</v>
      </c>
      <c r="J23" s="136" t="s">
        <v>21</v>
      </c>
      <c r="K23" s="6" t="s">
        <v>22</v>
      </c>
      <c r="L23" s="129" t="s">
        <v>23</v>
      </c>
      <c r="M23" s="129" t="s">
        <v>24</v>
      </c>
      <c r="N23" s="129" t="s">
        <v>25</v>
      </c>
      <c r="O23" s="129" t="s">
        <v>26</v>
      </c>
      <c r="P23" s="9"/>
      <c r="Q23" s="9"/>
    </row>
    <row r="24" spans="1:17" x14ac:dyDescent="0.35">
      <c r="B24" s="6">
        <f t="shared" si="0"/>
        <v>14</v>
      </c>
      <c r="C24" s="7">
        <v>46041</v>
      </c>
      <c r="D24" s="6" t="s">
        <v>16</v>
      </c>
      <c r="E24" s="11">
        <v>27</v>
      </c>
      <c r="F24" s="6" t="s">
        <v>53</v>
      </c>
      <c r="G24" s="10" t="s">
        <v>54</v>
      </c>
      <c r="H24" s="135" t="s">
        <v>19</v>
      </c>
      <c r="I24" s="134" t="s">
        <v>20</v>
      </c>
      <c r="J24" s="136" t="s">
        <v>21</v>
      </c>
      <c r="K24" s="6" t="s">
        <v>22</v>
      </c>
      <c r="L24" s="129" t="s">
        <v>23</v>
      </c>
      <c r="M24" s="129" t="s">
        <v>24</v>
      </c>
      <c r="N24" s="129" t="s">
        <v>25</v>
      </c>
      <c r="O24" s="129" t="s">
        <v>26</v>
      </c>
      <c r="P24" s="9"/>
      <c r="Q24" s="9"/>
    </row>
    <row r="25" spans="1:17" x14ac:dyDescent="0.35">
      <c r="B25" s="6">
        <f t="shared" si="0"/>
        <v>15</v>
      </c>
      <c r="C25" s="7">
        <v>46041</v>
      </c>
      <c r="D25" s="6" t="s">
        <v>16</v>
      </c>
      <c r="E25" s="11">
        <v>27</v>
      </c>
      <c r="F25" s="6" t="s">
        <v>55</v>
      </c>
      <c r="G25" s="10" t="s">
        <v>56</v>
      </c>
      <c r="H25" s="135" t="s">
        <v>19</v>
      </c>
      <c r="I25" s="134" t="s">
        <v>20</v>
      </c>
      <c r="J25" s="136" t="s">
        <v>21</v>
      </c>
      <c r="K25" s="6" t="s">
        <v>22</v>
      </c>
      <c r="L25" s="129" t="s">
        <v>23</v>
      </c>
      <c r="M25" s="129" t="s">
        <v>24</v>
      </c>
      <c r="N25" s="129" t="s">
        <v>25</v>
      </c>
      <c r="O25" s="129" t="s">
        <v>26</v>
      </c>
      <c r="P25" s="9"/>
      <c r="Q25" s="9"/>
    </row>
    <row r="26" spans="1:17" x14ac:dyDescent="0.35">
      <c r="B26" s="6">
        <f t="shared" si="0"/>
        <v>16</v>
      </c>
      <c r="C26" s="7">
        <v>46041</v>
      </c>
      <c r="D26" s="6" t="s">
        <v>16</v>
      </c>
      <c r="E26" s="11">
        <v>27</v>
      </c>
      <c r="F26" s="6" t="s">
        <v>57</v>
      </c>
      <c r="G26" s="8" t="s">
        <v>58</v>
      </c>
      <c r="H26" s="134" t="s">
        <v>19</v>
      </c>
      <c r="I26" s="134" t="s">
        <v>20</v>
      </c>
      <c r="J26" s="132" t="s">
        <v>21</v>
      </c>
      <c r="K26" s="6" t="s">
        <v>22</v>
      </c>
      <c r="L26" s="129" t="s">
        <v>23</v>
      </c>
      <c r="M26" s="129" t="s">
        <v>24</v>
      </c>
      <c r="N26" s="129" t="s">
        <v>25</v>
      </c>
      <c r="O26" s="129" t="s">
        <v>26</v>
      </c>
      <c r="P26" s="9"/>
      <c r="Q26" s="9"/>
    </row>
    <row r="27" spans="1:17" x14ac:dyDescent="0.35">
      <c r="B27" s="6">
        <f t="shared" si="0"/>
        <v>17</v>
      </c>
      <c r="C27" s="7">
        <v>46041</v>
      </c>
      <c r="D27" s="6" t="s">
        <v>16</v>
      </c>
      <c r="E27" s="11">
        <v>27</v>
      </c>
      <c r="F27" s="6" t="s">
        <v>59</v>
      </c>
      <c r="G27" s="8" t="s">
        <v>60</v>
      </c>
      <c r="H27" s="134" t="s">
        <v>19</v>
      </c>
      <c r="I27" s="134" t="s">
        <v>20</v>
      </c>
      <c r="J27" s="132" t="s">
        <v>21</v>
      </c>
      <c r="K27" s="6" t="s">
        <v>22</v>
      </c>
      <c r="L27" s="129" t="s">
        <v>23</v>
      </c>
      <c r="M27" s="129" t="s">
        <v>24</v>
      </c>
      <c r="N27" s="129" t="s">
        <v>25</v>
      </c>
      <c r="O27" s="129" t="s">
        <v>26</v>
      </c>
      <c r="P27" s="9"/>
      <c r="Q27" s="9"/>
    </row>
    <row r="28" spans="1:17" x14ac:dyDescent="0.35">
      <c r="B28" s="6">
        <f t="shared" si="0"/>
        <v>18</v>
      </c>
      <c r="C28" s="7">
        <v>46041</v>
      </c>
      <c r="D28" s="6" t="s">
        <v>16</v>
      </c>
      <c r="E28" s="11">
        <v>27</v>
      </c>
      <c r="F28" s="6" t="s">
        <v>61</v>
      </c>
      <c r="G28" s="8" t="s">
        <v>62</v>
      </c>
      <c r="H28" s="134" t="s">
        <v>19</v>
      </c>
      <c r="I28" s="134" t="s">
        <v>20</v>
      </c>
      <c r="J28" s="132" t="s">
        <v>21</v>
      </c>
      <c r="K28" s="6" t="s">
        <v>22</v>
      </c>
      <c r="L28" s="129" t="s">
        <v>23</v>
      </c>
      <c r="M28" s="129" t="s">
        <v>24</v>
      </c>
      <c r="N28" s="129" t="s">
        <v>25</v>
      </c>
      <c r="O28" s="129" t="s">
        <v>26</v>
      </c>
      <c r="P28" s="9"/>
      <c r="Q28" s="9"/>
    </row>
    <row r="29" spans="1:17" x14ac:dyDescent="0.35">
      <c r="B29" s="6">
        <f t="shared" si="0"/>
        <v>19</v>
      </c>
      <c r="C29" s="7">
        <v>46041</v>
      </c>
      <c r="D29" s="6" t="s">
        <v>16</v>
      </c>
      <c r="E29" s="11">
        <v>27</v>
      </c>
      <c r="F29" s="6" t="s">
        <v>63</v>
      </c>
      <c r="G29" s="8" t="s">
        <v>64</v>
      </c>
      <c r="H29" s="134" t="s">
        <v>19</v>
      </c>
      <c r="I29" s="134" t="s">
        <v>20</v>
      </c>
      <c r="J29" s="132" t="s">
        <v>21</v>
      </c>
      <c r="K29" s="6" t="s">
        <v>22</v>
      </c>
      <c r="L29" s="129" t="s">
        <v>23</v>
      </c>
      <c r="M29" s="129" t="s">
        <v>24</v>
      </c>
      <c r="N29" s="129" t="s">
        <v>25</v>
      </c>
      <c r="O29" s="129" t="s">
        <v>26</v>
      </c>
      <c r="P29" s="9"/>
      <c r="Q29" s="9"/>
    </row>
    <row r="30" spans="1:17" x14ac:dyDescent="0.35">
      <c r="B30" s="6">
        <f t="shared" si="0"/>
        <v>20</v>
      </c>
      <c r="C30" s="7">
        <v>46041</v>
      </c>
      <c r="D30" s="6" t="s">
        <v>16</v>
      </c>
      <c r="E30" s="11">
        <v>27</v>
      </c>
      <c r="F30" s="6" t="s">
        <v>65</v>
      </c>
      <c r="G30" s="8" t="s">
        <v>66</v>
      </c>
      <c r="H30" s="134" t="s">
        <v>19</v>
      </c>
      <c r="I30" s="134" t="s">
        <v>67</v>
      </c>
      <c r="J30" s="132" t="s">
        <v>68</v>
      </c>
      <c r="K30" s="6" t="s">
        <v>22</v>
      </c>
      <c r="L30" s="129" t="s">
        <v>23</v>
      </c>
      <c r="M30" s="129" t="s">
        <v>24</v>
      </c>
      <c r="N30" s="129" t="s">
        <v>25</v>
      </c>
      <c r="O30" s="129" t="s">
        <v>26</v>
      </c>
      <c r="P30" s="9"/>
      <c r="Q30" s="9"/>
    </row>
    <row r="31" spans="1:17" x14ac:dyDescent="0.35">
      <c r="B31" s="6">
        <f t="shared" si="0"/>
        <v>21</v>
      </c>
      <c r="C31" s="7">
        <v>46041</v>
      </c>
      <c r="D31" s="6" t="s">
        <v>16</v>
      </c>
      <c r="E31" s="11">
        <v>27</v>
      </c>
      <c r="F31" s="6" t="s">
        <v>69</v>
      </c>
      <c r="G31" s="8" t="s">
        <v>70</v>
      </c>
      <c r="H31" s="134" t="s">
        <v>19</v>
      </c>
      <c r="I31" s="134" t="s">
        <v>20</v>
      </c>
      <c r="J31" s="132" t="s">
        <v>21</v>
      </c>
      <c r="K31" s="6" t="s">
        <v>22</v>
      </c>
      <c r="L31" s="129" t="s">
        <v>23</v>
      </c>
      <c r="M31" s="129" t="s">
        <v>24</v>
      </c>
      <c r="N31" s="129" t="s">
        <v>25</v>
      </c>
      <c r="O31" s="129" t="s">
        <v>26</v>
      </c>
      <c r="P31" s="9"/>
      <c r="Q31" s="9"/>
    </row>
    <row r="32" spans="1:17" x14ac:dyDescent="0.35">
      <c r="B32" s="6">
        <f t="shared" si="0"/>
        <v>22</v>
      </c>
      <c r="C32" s="7">
        <v>46041</v>
      </c>
      <c r="D32" s="6" t="s">
        <v>16</v>
      </c>
      <c r="E32" s="11">
        <v>27</v>
      </c>
      <c r="F32" s="6" t="s">
        <v>71</v>
      </c>
      <c r="G32" s="8" t="s">
        <v>72</v>
      </c>
      <c r="H32" s="134" t="s">
        <v>19</v>
      </c>
      <c r="I32" s="134" t="s">
        <v>73</v>
      </c>
      <c r="J32" s="132" t="s">
        <v>74</v>
      </c>
      <c r="K32" s="6" t="s">
        <v>22</v>
      </c>
      <c r="L32" s="129" t="s">
        <v>23</v>
      </c>
      <c r="M32" s="129" t="s">
        <v>24</v>
      </c>
      <c r="N32" s="129" t="s">
        <v>25</v>
      </c>
      <c r="O32" s="129" t="s">
        <v>26</v>
      </c>
      <c r="P32" s="9"/>
      <c r="Q32" s="9"/>
    </row>
    <row r="33" spans="2:17" x14ac:dyDescent="0.35">
      <c r="B33" s="6">
        <f t="shared" si="0"/>
        <v>23</v>
      </c>
      <c r="C33" s="7">
        <v>46041</v>
      </c>
      <c r="D33" s="6" t="s">
        <v>16</v>
      </c>
      <c r="E33" s="11">
        <v>27</v>
      </c>
      <c r="F33" s="6" t="s">
        <v>75</v>
      </c>
      <c r="G33" s="8" t="s">
        <v>76</v>
      </c>
      <c r="H33" s="134" t="s">
        <v>19</v>
      </c>
      <c r="I33" s="134" t="s">
        <v>20</v>
      </c>
      <c r="J33" s="132" t="s">
        <v>21</v>
      </c>
      <c r="K33" s="6" t="s">
        <v>22</v>
      </c>
      <c r="L33" s="129" t="s">
        <v>23</v>
      </c>
      <c r="M33" s="129" t="s">
        <v>24</v>
      </c>
      <c r="N33" s="129" t="s">
        <v>25</v>
      </c>
      <c r="O33" s="129" t="s">
        <v>26</v>
      </c>
      <c r="P33" s="9"/>
      <c r="Q33" s="9"/>
    </row>
    <row r="34" spans="2:17" x14ac:dyDescent="0.35">
      <c r="B34" s="6">
        <f t="shared" si="0"/>
        <v>24</v>
      </c>
      <c r="C34" s="7">
        <v>46041</v>
      </c>
      <c r="D34" s="6" t="s">
        <v>16</v>
      </c>
      <c r="E34" s="11">
        <v>27</v>
      </c>
      <c r="F34" s="6" t="s">
        <v>77</v>
      </c>
      <c r="G34" s="8" t="s">
        <v>78</v>
      </c>
      <c r="H34" s="134" t="s">
        <v>79</v>
      </c>
      <c r="I34" s="134" t="s">
        <v>80</v>
      </c>
      <c r="J34" s="132" t="s">
        <v>81</v>
      </c>
      <c r="K34" s="6" t="s">
        <v>22</v>
      </c>
      <c r="L34" s="129" t="s">
        <v>23</v>
      </c>
      <c r="M34" s="129" t="s">
        <v>24</v>
      </c>
      <c r="N34" s="129" t="s">
        <v>25</v>
      </c>
      <c r="O34" s="129" t="s">
        <v>26</v>
      </c>
      <c r="P34" s="9"/>
      <c r="Q34" s="9"/>
    </row>
    <row r="35" spans="2:17" x14ac:dyDescent="0.35">
      <c r="B35" s="6">
        <f t="shared" si="0"/>
        <v>25</v>
      </c>
      <c r="C35" s="7">
        <v>46041</v>
      </c>
      <c r="D35" s="6" t="s">
        <v>16</v>
      </c>
      <c r="E35" s="11">
        <v>27</v>
      </c>
      <c r="F35" s="6" t="s">
        <v>82</v>
      </c>
      <c r="G35" s="8" t="s">
        <v>83</v>
      </c>
      <c r="H35" s="134" t="s">
        <v>84</v>
      </c>
      <c r="I35" s="134" t="s">
        <v>67</v>
      </c>
      <c r="J35" s="132" t="s">
        <v>85</v>
      </c>
      <c r="K35" s="6" t="s">
        <v>22</v>
      </c>
      <c r="L35" s="129" t="s">
        <v>23</v>
      </c>
      <c r="M35" s="129" t="s">
        <v>24</v>
      </c>
      <c r="N35" s="129" t="s">
        <v>25</v>
      </c>
      <c r="O35" s="129" t="s">
        <v>26</v>
      </c>
      <c r="P35" s="9"/>
      <c r="Q35" s="9"/>
    </row>
    <row r="36" spans="2:17" x14ac:dyDescent="0.35">
      <c r="B36" s="6">
        <f t="shared" si="0"/>
        <v>26</v>
      </c>
      <c r="C36" s="7">
        <v>46041</v>
      </c>
      <c r="D36" s="6" t="s">
        <v>16</v>
      </c>
      <c r="E36" s="11">
        <v>27</v>
      </c>
      <c r="F36" s="6" t="s">
        <v>86</v>
      </c>
      <c r="G36" s="8" t="s">
        <v>87</v>
      </c>
      <c r="H36" s="134" t="s">
        <v>88</v>
      </c>
      <c r="I36" s="134" t="s">
        <v>89</v>
      </c>
      <c r="J36" s="132" t="s">
        <v>90</v>
      </c>
      <c r="K36" s="6" t="s">
        <v>22</v>
      </c>
      <c r="L36" s="129" t="s">
        <v>23</v>
      </c>
      <c r="M36" s="129" t="s">
        <v>24</v>
      </c>
      <c r="N36" s="129" t="s">
        <v>25</v>
      </c>
      <c r="O36" s="129" t="s">
        <v>26</v>
      </c>
      <c r="P36" s="9"/>
      <c r="Q36" s="9"/>
    </row>
    <row r="37" spans="2:17" x14ac:dyDescent="0.35">
      <c r="B37" s="6">
        <f t="shared" si="0"/>
        <v>27</v>
      </c>
      <c r="C37" s="7">
        <v>46041</v>
      </c>
      <c r="D37" s="6" t="s">
        <v>16</v>
      </c>
      <c r="E37" s="11">
        <v>27</v>
      </c>
      <c r="F37" s="6" t="s">
        <v>91</v>
      </c>
      <c r="G37" s="10" t="s">
        <v>92</v>
      </c>
      <c r="H37" s="134" t="s">
        <v>79</v>
      </c>
      <c r="I37" s="134" t="s">
        <v>80</v>
      </c>
      <c r="J37" s="134" t="s">
        <v>81</v>
      </c>
      <c r="K37" s="6" t="s">
        <v>22</v>
      </c>
      <c r="L37" s="129" t="s">
        <v>23</v>
      </c>
      <c r="M37" s="129" t="s">
        <v>24</v>
      </c>
      <c r="N37" s="129" t="s">
        <v>25</v>
      </c>
      <c r="O37" s="129" t="s">
        <v>26</v>
      </c>
      <c r="P37" s="9"/>
      <c r="Q37" s="9"/>
    </row>
    <row r="38" spans="2:17" x14ac:dyDescent="0.35">
      <c r="B38" s="6">
        <f t="shared" si="0"/>
        <v>28</v>
      </c>
      <c r="C38" s="7">
        <v>46041</v>
      </c>
      <c r="D38" s="6" t="s">
        <v>16</v>
      </c>
      <c r="E38" s="11">
        <v>27</v>
      </c>
      <c r="F38" s="6" t="s">
        <v>93</v>
      </c>
      <c r="G38" s="10" t="s">
        <v>94</v>
      </c>
      <c r="H38" s="134" t="s">
        <v>19</v>
      </c>
      <c r="I38" s="134" t="s">
        <v>29</v>
      </c>
      <c r="J38" s="134" t="s">
        <v>30</v>
      </c>
      <c r="K38" s="6" t="s">
        <v>22</v>
      </c>
      <c r="L38" s="129" t="s">
        <v>23</v>
      </c>
      <c r="M38" s="129" t="s">
        <v>24</v>
      </c>
      <c r="N38" s="129" t="s">
        <v>25</v>
      </c>
      <c r="O38" s="129" t="s">
        <v>26</v>
      </c>
      <c r="P38" s="9"/>
      <c r="Q38" s="9"/>
    </row>
    <row r="39" spans="2:17" x14ac:dyDescent="0.35">
      <c r="B39" s="6">
        <f t="shared" si="0"/>
        <v>29</v>
      </c>
      <c r="C39" s="7">
        <v>46041</v>
      </c>
      <c r="D39" s="6" t="s">
        <v>16</v>
      </c>
      <c r="E39" s="11">
        <v>27</v>
      </c>
      <c r="F39" s="6" t="s">
        <v>95</v>
      </c>
      <c r="G39" s="6" t="s">
        <v>96</v>
      </c>
      <c r="H39" s="132" t="s">
        <v>19</v>
      </c>
      <c r="I39" s="133" t="s">
        <v>29</v>
      </c>
      <c r="J39" s="132" t="s">
        <v>30</v>
      </c>
      <c r="K39" s="6" t="s">
        <v>22</v>
      </c>
      <c r="L39" s="8" t="s">
        <v>23</v>
      </c>
      <c r="M39" s="6" t="s">
        <v>24</v>
      </c>
      <c r="N39" s="129" t="s">
        <v>25</v>
      </c>
      <c r="O39" s="10" t="s">
        <v>26</v>
      </c>
      <c r="P39" s="9"/>
      <c r="Q39" s="9"/>
    </row>
    <row r="40" spans="2:17" x14ac:dyDescent="0.35">
      <c r="B40" s="6">
        <f t="shared" si="0"/>
        <v>30</v>
      </c>
      <c r="C40" s="7">
        <v>46041</v>
      </c>
      <c r="D40" s="6" t="s">
        <v>16</v>
      </c>
      <c r="E40" s="11">
        <v>27</v>
      </c>
      <c r="F40" s="6" t="s">
        <v>97</v>
      </c>
      <c r="G40" s="6" t="s">
        <v>98</v>
      </c>
      <c r="H40" s="132" t="s">
        <v>99</v>
      </c>
      <c r="I40" s="133" t="s">
        <v>100</v>
      </c>
      <c r="J40" s="132" t="s">
        <v>101</v>
      </c>
      <c r="K40" s="6" t="s">
        <v>22</v>
      </c>
      <c r="L40" s="8" t="s">
        <v>23</v>
      </c>
      <c r="M40" s="6" t="s">
        <v>24</v>
      </c>
      <c r="N40" s="129" t="s">
        <v>25</v>
      </c>
      <c r="O40" s="10" t="s">
        <v>26</v>
      </c>
      <c r="P40" s="9"/>
      <c r="Q40" s="9"/>
    </row>
    <row r="41" spans="2:17" x14ac:dyDescent="0.35">
      <c r="B41" s="6">
        <f t="shared" si="0"/>
        <v>31</v>
      </c>
      <c r="C41" s="7">
        <v>46041</v>
      </c>
      <c r="D41" s="8" t="s">
        <v>102</v>
      </c>
      <c r="E41" s="11">
        <v>27</v>
      </c>
      <c r="F41" s="6" t="s">
        <v>103</v>
      </c>
      <c r="G41" s="8" t="s">
        <v>104</v>
      </c>
      <c r="H41" s="132" t="s">
        <v>105</v>
      </c>
      <c r="I41" s="133" t="s">
        <v>106</v>
      </c>
      <c r="J41" s="132" t="s">
        <v>107</v>
      </c>
      <c r="K41" s="6" t="s">
        <v>108</v>
      </c>
      <c r="L41" s="8" t="s">
        <v>109</v>
      </c>
      <c r="M41" s="6" t="s">
        <v>110</v>
      </c>
      <c r="N41" s="129" t="s">
        <v>25</v>
      </c>
      <c r="O41" s="10" t="s">
        <v>111</v>
      </c>
      <c r="P41" s="9"/>
      <c r="Q41" s="9"/>
    </row>
    <row r="42" spans="2:17" x14ac:dyDescent="0.35">
      <c r="B42" s="6">
        <f t="shared" si="0"/>
        <v>32</v>
      </c>
      <c r="C42" s="7">
        <v>46041</v>
      </c>
      <c r="D42" s="8" t="s">
        <v>112</v>
      </c>
      <c r="E42" s="11">
        <v>27</v>
      </c>
      <c r="F42" s="6" t="s">
        <v>113</v>
      </c>
      <c r="G42" s="8" t="s">
        <v>114</v>
      </c>
      <c r="H42" s="132" t="s">
        <v>115</v>
      </c>
      <c r="I42" s="133" t="s">
        <v>116</v>
      </c>
      <c r="J42" s="132" t="s">
        <v>117</v>
      </c>
      <c r="K42" s="6" t="s">
        <v>22</v>
      </c>
      <c r="L42" s="8" t="s">
        <v>23</v>
      </c>
      <c r="M42" s="6" t="s">
        <v>118</v>
      </c>
      <c r="N42" s="129" t="s">
        <v>25</v>
      </c>
      <c r="O42" s="10" t="s">
        <v>119</v>
      </c>
      <c r="P42" s="9"/>
      <c r="Q42" s="9"/>
    </row>
    <row r="43" spans="2:17" x14ac:dyDescent="0.35">
      <c r="B43" s="6">
        <f t="shared" si="0"/>
        <v>33</v>
      </c>
      <c r="C43" s="7">
        <v>46041</v>
      </c>
      <c r="D43" s="8" t="s">
        <v>120</v>
      </c>
      <c r="E43" s="11">
        <v>27</v>
      </c>
      <c r="F43" s="6" t="s">
        <v>121</v>
      </c>
      <c r="G43" s="8" t="s">
        <v>122</v>
      </c>
      <c r="H43" s="132" t="s">
        <v>123</v>
      </c>
      <c r="I43" s="133" t="s">
        <v>124</v>
      </c>
      <c r="J43" s="132" t="s">
        <v>125</v>
      </c>
      <c r="K43" s="57" t="s">
        <v>108</v>
      </c>
      <c r="L43" s="130" t="s">
        <v>109</v>
      </c>
      <c r="M43" s="130" t="s">
        <v>110</v>
      </c>
      <c r="N43" s="129" t="s">
        <v>25</v>
      </c>
      <c r="O43" s="10" t="s">
        <v>126</v>
      </c>
      <c r="P43" s="9"/>
      <c r="Q43" s="9"/>
    </row>
    <row r="44" spans="2:17" x14ac:dyDescent="0.35">
      <c r="B44" s="124">
        <f t="shared" si="0"/>
        <v>34</v>
      </c>
      <c r="C44" s="7">
        <v>46048</v>
      </c>
      <c r="D44" s="6" t="s">
        <v>16</v>
      </c>
      <c r="E44" s="19">
        <v>28</v>
      </c>
      <c r="F44" s="6" t="s">
        <v>127</v>
      </c>
      <c r="G44" s="6" t="s">
        <v>128</v>
      </c>
      <c r="H44" s="127" t="s">
        <v>129</v>
      </c>
      <c r="I44" s="127" t="s">
        <v>130</v>
      </c>
      <c r="J44" s="125" t="s">
        <v>131</v>
      </c>
      <c r="K44" s="57" t="s">
        <v>22</v>
      </c>
      <c r="L44" s="130" t="s">
        <v>23</v>
      </c>
      <c r="M44" s="130" t="s">
        <v>24</v>
      </c>
      <c r="N44" s="6" t="s">
        <v>132</v>
      </c>
      <c r="O44" s="129" t="s">
        <v>133</v>
      </c>
      <c r="P44" s="9"/>
      <c r="Q44" s="9"/>
    </row>
    <row r="45" spans="2:17" x14ac:dyDescent="0.35">
      <c r="B45" s="6">
        <f t="shared" si="0"/>
        <v>35</v>
      </c>
      <c r="C45" s="7">
        <v>46048</v>
      </c>
      <c r="D45" s="6" t="s">
        <v>16</v>
      </c>
      <c r="E45" s="19">
        <v>28</v>
      </c>
      <c r="F45" s="6" t="s">
        <v>134</v>
      </c>
      <c r="G45" s="6" t="s">
        <v>135</v>
      </c>
      <c r="H45" s="128" t="s">
        <v>99</v>
      </c>
      <c r="I45" s="128" t="s">
        <v>100</v>
      </c>
      <c r="J45" s="125" t="s">
        <v>101</v>
      </c>
      <c r="K45" s="57" t="s">
        <v>22</v>
      </c>
      <c r="L45" s="130" t="s">
        <v>23</v>
      </c>
      <c r="M45" s="130" t="s">
        <v>24</v>
      </c>
      <c r="N45" s="6" t="s">
        <v>132</v>
      </c>
      <c r="O45" s="129" t="s">
        <v>133</v>
      </c>
      <c r="P45" s="9"/>
      <c r="Q45" s="9"/>
    </row>
    <row r="46" spans="2:17" x14ac:dyDescent="0.35">
      <c r="B46" s="6">
        <f t="shared" si="0"/>
        <v>36</v>
      </c>
      <c r="C46" s="7">
        <v>46048</v>
      </c>
      <c r="D46" s="6" t="s">
        <v>16</v>
      </c>
      <c r="E46" s="19">
        <v>28</v>
      </c>
      <c r="F46" s="6" t="s">
        <v>136</v>
      </c>
      <c r="G46" s="6" t="s">
        <v>137</v>
      </c>
      <c r="H46" s="128" t="s">
        <v>99</v>
      </c>
      <c r="I46" s="128" t="s">
        <v>100</v>
      </c>
      <c r="J46" s="125" t="s">
        <v>101</v>
      </c>
      <c r="K46" s="57" t="s">
        <v>22</v>
      </c>
      <c r="L46" s="130" t="s">
        <v>23</v>
      </c>
      <c r="M46" s="130" t="s">
        <v>24</v>
      </c>
      <c r="N46" s="6" t="s">
        <v>132</v>
      </c>
      <c r="O46" s="129" t="s">
        <v>133</v>
      </c>
      <c r="P46" s="9"/>
      <c r="Q46" s="9"/>
    </row>
    <row r="47" spans="2:17" x14ac:dyDescent="0.35">
      <c r="B47" s="6">
        <f t="shared" si="0"/>
        <v>37</v>
      </c>
      <c r="C47" s="7">
        <v>46048</v>
      </c>
      <c r="D47" s="6" t="s">
        <v>16</v>
      </c>
      <c r="E47" s="19">
        <v>28</v>
      </c>
      <c r="F47" s="6" t="s">
        <v>138</v>
      </c>
      <c r="G47" s="6" t="s">
        <v>139</v>
      </c>
      <c r="H47" s="128" t="s">
        <v>79</v>
      </c>
      <c r="I47" s="128" t="s">
        <v>80</v>
      </c>
      <c r="J47" s="125" t="s">
        <v>81</v>
      </c>
      <c r="K47" s="57" t="s">
        <v>22</v>
      </c>
      <c r="L47" s="130" t="s">
        <v>23</v>
      </c>
      <c r="M47" s="130" t="s">
        <v>24</v>
      </c>
      <c r="N47" s="6" t="s">
        <v>132</v>
      </c>
      <c r="O47" s="129" t="s">
        <v>133</v>
      </c>
      <c r="P47" s="9"/>
      <c r="Q47" s="9"/>
    </row>
    <row r="48" spans="2:17" x14ac:dyDescent="0.35">
      <c r="B48" s="6">
        <f t="shared" si="0"/>
        <v>38</v>
      </c>
      <c r="C48" s="7">
        <v>46048</v>
      </c>
      <c r="D48" s="6" t="s">
        <v>16</v>
      </c>
      <c r="E48" s="19">
        <v>28</v>
      </c>
      <c r="F48" s="6" t="s">
        <v>140</v>
      </c>
      <c r="G48" s="6" t="s">
        <v>141</v>
      </c>
      <c r="H48" s="128" t="s">
        <v>142</v>
      </c>
      <c r="I48" s="128" t="s">
        <v>143</v>
      </c>
      <c r="J48" s="125" t="s">
        <v>144</v>
      </c>
      <c r="K48" s="57" t="s">
        <v>22</v>
      </c>
      <c r="L48" s="130" t="s">
        <v>23</v>
      </c>
      <c r="M48" s="130" t="s">
        <v>24</v>
      </c>
      <c r="N48" s="6" t="s">
        <v>132</v>
      </c>
      <c r="O48" s="129" t="s">
        <v>133</v>
      </c>
      <c r="P48" s="9"/>
      <c r="Q48" s="9"/>
    </row>
    <row r="49" spans="2:17" x14ac:dyDescent="0.35">
      <c r="B49" s="6">
        <f t="shared" si="0"/>
        <v>39</v>
      </c>
      <c r="C49" s="7">
        <v>46048</v>
      </c>
      <c r="D49" s="6" t="s">
        <v>16</v>
      </c>
      <c r="E49" s="19">
        <v>28</v>
      </c>
      <c r="F49" s="6" t="s">
        <v>145</v>
      </c>
      <c r="G49" s="6" t="s">
        <v>146</v>
      </c>
      <c r="H49" s="128" t="s">
        <v>88</v>
      </c>
      <c r="I49" s="128" t="s">
        <v>147</v>
      </c>
      <c r="J49" s="125" t="s">
        <v>148</v>
      </c>
      <c r="K49" s="57" t="s">
        <v>22</v>
      </c>
      <c r="L49" s="130" t="s">
        <v>23</v>
      </c>
      <c r="M49" s="130" t="s">
        <v>24</v>
      </c>
      <c r="N49" s="6" t="s">
        <v>132</v>
      </c>
      <c r="O49" s="129" t="s">
        <v>133</v>
      </c>
      <c r="P49" s="9"/>
      <c r="Q49" s="9"/>
    </row>
    <row r="50" spans="2:17" x14ac:dyDescent="0.35">
      <c r="B50" s="6">
        <f t="shared" si="0"/>
        <v>40</v>
      </c>
      <c r="C50" s="7">
        <v>46048</v>
      </c>
      <c r="D50" s="6" t="s">
        <v>16</v>
      </c>
      <c r="E50" s="19">
        <v>28</v>
      </c>
      <c r="F50" s="6" t="s">
        <v>149</v>
      </c>
      <c r="G50" s="6" t="s">
        <v>150</v>
      </c>
      <c r="H50" s="128" t="s">
        <v>142</v>
      </c>
      <c r="I50" s="128" t="s">
        <v>151</v>
      </c>
      <c r="J50" s="125" t="s">
        <v>152</v>
      </c>
      <c r="K50" s="57" t="s">
        <v>22</v>
      </c>
      <c r="L50" s="130" t="s">
        <v>23</v>
      </c>
      <c r="M50" s="130" t="s">
        <v>24</v>
      </c>
      <c r="N50" s="6" t="s">
        <v>132</v>
      </c>
      <c r="O50" s="129" t="s">
        <v>133</v>
      </c>
      <c r="P50" s="9"/>
      <c r="Q50" s="9"/>
    </row>
    <row r="51" spans="2:17" x14ac:dyDescent="0.35">
      <c r="B51" s="6">
        <f t="shared" si="0"/>
        <v>41</v>
      </c>
      <c r="C51" s="7">
        <v>46048</v>
      </c>
      <c r="D51" s="6" t="s">
        <v>16</v>
      </c>
      <c r="E51" s="19">
        <v>28</v>
      </c>
      <c r="F51" s="6" t="s">
        <v>153</v>
      </c>
      <c r="G51" s="6" t="s">
        <v>154</v>
      </c>
      <c r="H51" s="128" t="s">
        <v>99</v>
      </c>
      <c r="I51" s="128" t="s">
        <v>155</v>
      </c>
      <c r="J51" s="125" t="s">
        <v>156</v>
      </c>
      <c r="K51" s="57" t="s">
        <v>22</v>
      </c>
      <c r="L51" s="130" t="s">
        <v>23</v>
      </c>
      <c r="M51" s="130" t="s">
        <v>24</v>
      </c>
      <c r="N51" s="6" t="s">
        <v>132</v>
      </c>
      <c r="O51" s="129" t="s">
        <v>133</v>
      </c>
      <c r="P51" s="9"/>
      <c r="Q51" s="9"/>
    </row>
    <row r="52" spans="2:17" x14ac:dyDescent="0.35">
      <c r="B52" s="6">
        <f t="shared" si="0"/>
        <v>42</v>
      </c>
      <c r="C52" s="7">
        <v>46048</v>
      </c>
      <c r="D52" s="6" t="s">
        <v>16</v>
      </c>
      <c r="E52" s="19">
        <v>28</v>
      </c>
      <c r="F52" s="6" t="s">
        <v>157</v>
      </c>
      <c r="G52" s="6" t="s">
        <v>158</v>
      </c>
      <c r="H52" s="128" t="s">
        <v>159</v>
      </c>
      <c r="I52" s="128" t="s">
        <v>160</v>
      </c>
      <c r="J52" s="125" t="s">
        <v>161</v>
      </c>
      <c r="K52" s="57" t="s">
        <v>22</v>
      </c>
      <c r="L52" s="130" t="s">
        <v>23</v>
      </c>
      <c r="M52" s="130" t="s">
        <v>24</v>
      </c>
      <c r="N52" s="6" t="s">
        <v>132</v>
      </c>
      <c r="O52" s="129" t="s">
        <v>133</v>
      </c>
      <c r="P52" s="9"/>
      <c r="Q52" s="9"/>
    </row>
    <row r="53" spans="2:17" x14ac:dyDescent="0.35">
      <c r="B53" s="6">
        <f t="shared" si="0"/>
        <v>43</v>
      </c>
      <c r="C53" s="7">
        <v>46048</v>
      </c>
      <c r="D53" s="6" t="s">
        <v>16</v>
      </c>
      <c r="E53" s="19">
        <v>28</v>
      </c>
      <c r="F53" s="6" t="s">
        <v>162</v>
      </c>
      <c r="G53" s="6" t="s">
        <v>163</v>
      </c>
      <c r="H53" s="128" t="s">
        <v>129</v>
      </c>
      <c r="I53" s="128" t="s">
        <v>164</v>
      </c>
      <c r="J53" s="125" t="s">
        <v>165</v>
      </c>
      <c r="K53" s="57" t="s">
        <v>22</v>
      </c>
      <c r="L53" s="130" t="s">
        <v>23</v>
      </c>
      <c r="M53" s="130" t="s">
        <v>24</v>
      </c>
      <c r="N53" s="6" t="s">
        <v>132</v>
      </c>
      <c r="O53" s="129" t="s">
        <v>133</v>
      </c>
      <c r="P53" s="9"/>
      <c r="Q53" s="9"/>
    </row>
    <row r="54" spans="2:17" x14ac:dyDescent="0.35">
      <c r="B54" s="6">
        <f t="shared" si="0"/>
        <v>44</v>
      </c>
      <c r="C54" s="7">
        <v>46048</v>
      </c>
      <c r="D54" s="6" t="s">
        <v>16</v>
      </c>
      <c r="E54" s="19">
        <v>28</v>
      </c>
      <c r="F54" s="6" t="s">
        <v>166</v>
      </c>
      <c r="G54" s="8" t="s">
        <v>167</v>
      </c>
      <c r="H54" s="138" t="s">
        <v>88</v>
      </c>
      <c r="I54" s="128" t="s">
        <v>168</v>
      </c>
      <c r="J54" s="126" t="s">
        <v>169</v>
      </c>
      <c r="K54" s="57" t="s">
        <v>22</v>
      </c>
      <c r="L54" s="130" t="s">
        <v>23</v>
      </c>
      <c r="M54" s="130" t="s">
        <v>24</v>
      </c>
      <c r="N54" s="6" t="s">
        <v>132</v>
      </c>
      <c r="O54" s="129" t="s">
        <v>133</v>
      </c>
      <c r="P54" s="9"/>
      <c r="Q54" s="9"/>
    </row>
    <row r="55" spans="2:17" x14ac:dyDescent="0.35">
      <c r="B55" s="6">
        <f t="shared" si="0"/>
        <v>45</v>
      </c>
      <c r="C55" s="7">
        <v>46048</v>
      </c>
      <c r="D55" s="6" t="s">
        <v>16</v>
      </c>
      <c r="E55" s="19">
        <v>28</v>
      </c>
      <c r="F55" s="6" t="s">
        <v>170</v>
      </c>
      <c r="G55" s="10" t="s">
        <v>171</v>
      </c>
      <c r="H55" s="138" t="s">
        <v>88</v>
      </c>
      <c r="I55" s="128" t="s">
        <v>147</v>
      </c>
      <c r="J55" s="126" t="s">
        <v>148</v>
      </c>
      <c r="K55" s="57" t="s">
        <v>22</v>
      </c>
      <c r="L55" s="130" t="s">
        <v>23</v>
      </c>
      <c r="M55" s="130" t="s">
        <v>24</v>
      </c>
      <c r="N55" s="6" t="s">
        <v>132</v>
      </c>
      <c r="O55" s="129" t="s">
        <v>133</v>
      </c>
      <c r="P55" s="9"/>
      <c r="Q55" s="9"/>
    </row>
    <row r="56" spans="2:17" x14ac:dyDescent="0.35">
      <c r="B56" s="6">
        <f t="shared" si="0"/>
        <v>46</v>
      </c>
      <c r="C56" s="7">
        <v>46048</v>
      </c>
      <c r="D56" s="6" t="s">
        <v>16</v>
      </c>
      <c r="E56" s="19">
        <v>28</v>
      </c>
      <c r="F56" s="6" t="s">
        <v>172</v>
      </c>
      <c r="G56" s="10" t="s">
        <v>173</v>
      </c>
      <c r="H56" s="138" t="s">
        <v>99</v>
      </c>
      <c r="I56" s="128" t="s">
        <v>100</v>
      </c>
      <c r="J56" s="126" t="s">
        <v>101</v>
      </c>
      <c r="K56" s="57" t="s">
        <v>22</v>
      </c>
      <c r="L56" s="130" t="s">
        <v>23</v>
      </c>
      <c r="M56" s="130" t="s">
        <v>24</v>
      </c>
      <c r="N56" s="6" t="s">
        <v>132</v>
      </c>
      <c r="O56" s="129" t="s">
        <v>133</v>
      </c>
      <c r="P56" s="9"/>
      <c r="Q56" s="9"/>
    </row>
    <row r="57" spans="2:17" x14ac:dyDescent="0.35">
      <c r="B57" s="6">
        <f t="shared" si="0"/>
        <v>47</v>
      </c>
      <c r="C57" s="7">
        <v>46048</v>
      </c>
      <c r="D57" s="6" t="s">
        <v>16</v>
      </c>
      <c r="E57" s="19">
        <v>28</v>
      </c>
      <c r="F57" s="6" t="s">
        <v>174</v>
      </c>
      <c r="G57" s="10" t="s">
        <v>175</v>
      </c>
      <c r="H57" s="138" t="s">
        <v>159</v>
      </c>
      <c r="I57" s="128" t="s">
        <v>160</v>
      </c>
      <c r="J57" s="126" t="s">
        <v>161</v>
      </c>
      <c r="K57" s="57" t="s">
        <v>22</v>
      </c>
      <c r="L57" s="130" t="s">
        <v>23</v>
      </c>
      <c r="M57" s="130" t="s">
        <v>24</v>
      </c>
      <c r="N57" s="6" t="s">
        <v>132</v>
      </c>
      <c r="O57" s="129" t="s">
        <v>133</v>
      </c>
      <c r="P57" s="9"/>
      <c r="Q57" s="9"/>
    </row>
    <row r="58" spans="2:17" x14ac:dyDescent="0.35">
      <c r="B58" s="6">
        <f t="shared" si="0"/>
        <v>48</v>
      </c>
      <c r="C58" s="7">
        <v>46048</v>
      </c>
      <c r="D58" s="6" t="s">
        <v>16</v>
      </c>
      <c r="E58" s="19">
        <v>28</v>
      </c>
      <c r="F58" s="6" t="s">
        <v>176</v>
      </c>
      <c r="G58" s="10" t="s">
        <v>177</v>
      </c>
      <c r="H58" s="138" t="s">
        <v>159</v>
      </c>
      <c r="I58" s="128" t="s">
        <v>160</v>
      </c>
      <c r="J58" s="126" t="s">
        <v>161</v>
      </c>
      <c r="K58" s="57" t="s">
        <v>22</v>
      </c>
      <c r="L58" s="130" t="s">
        <v>23</v>
      </c>
      <c r="M58" s="130" t="s">
        <v>24</v>
      </c>
      <c r="N58" s="6" t="s">
        <v>132</v>
      </c>
      <c r="O58" s="129" t="s">
        <v>133</v>
      </c>
      <c r="P58" s="261" t="s">
        <v>178</v>
      </c>
      <c r="Q58" s="9" t="s">
        <v>179</v>
      </c>
    </row>
    <row r="59" spans="2:17" x14ac:dyDescent="0.35">
      <c r="B59" s="6">
        <f t="shared" si="0"/>
        <v>49</v>
      </c>
      <c r="C59" s="7">
        <v>46048</v>
      </c>
      <c r="D59" s="6" t="s">
        <v>16</v>
      </c>
      <c r="E59" s="19">
        <v>28</v>
      </c>
      <c r="F59" s="6" t="s">
        <v>180</v>
      </c>
      <c r="G59" s="8" t="s">
        <v>181</v>
      </c>
      <c r="H59" s="128" t="s">
        <v>159</v>
      </c>
      <c r="I59" s="128" t="s">
        <v>160</v>
      </c>
      <c r="J59" s="127" t="s">
        <v>161</v>
      </c>
      <c r="K59" s="57" t="s">
        <v>22</v>
      </c>
      <c r="L59" s="130" t="s">
        <v>23</v>
      </c>
      <c r="M59" s="130" t="s">
        <v>24</v>
      </c>
      <c r="N59" s="6" t="s">
        <v>132</v>
      </c>
      <c r="O59" s="129" t="s">
        <v>133</v>
      </c>
      <c r="P59" s="9"/>
      <c r="Q59" s="9"/>
    </row>
    <row r="60" spans="2:17" x14ac:dyDescent="0.35">
      <c r="B60" s="6">
        <f t="shared" si="0"/>
        <v>50</v>
      </c>
      <c r="C60" s="7">
        <v>46048</v>
      </c>
      <c r="D60" s="6" t="s">
        <v>16</v>
      </c>
      <c r="E60" s="19">
        <v>28</v>
      </c>
      <c r="F60" s="6" t="s">
        <v>182</v>
      </c>
      <c r="G60" s="8" t="s">
        <v>183</v>
      </c>
      <c r="H60" s="128" t="s">
        <v>19</v>
      </c>
      <c r="I60" s="128" t="s">
        <v>20</v>
      </c>
      <c r="J60" s="127" t="s">
        <v>21</v>
      </c>
      <c r="K60" s="57" t="s">
        <v>22</v>
      </c>
      <c r="L60" s="130" t="s">
        <v>23</v>
      </c>
      <c r="M60" s="130" t="s">
        <v>24</v>
      </c>
      <c r="N60" s="6" t="s">
        <v>132</v>
      </c>
      <c r="O60" s="129" t="s">
        <v>133</v>
      </c>
      <c r="P60" s="9"/>
      <c r="Q60" s="9"/>
    </row>
    <row r="61" spans="2:17" x14ac:dyDescent="0.35">
      <c r="B61" s="6">
        <f t="shared" si="0"/>
        <v>51</v>
      </c>
      <c r="C61" s="7">
        <v>46048</v>
      </c>
      <c r="D61" s="202" t="s">
        <v>16</v>
      </c>
      <c r="E61" s="19">
        <v>28</v>
      </c>
      <c r="F61" s="6" t="s">
        <v>184</v>
      </c>
      <c r="G61" s="8" t="s">
        <v>185</v>
      </c>
      <c r="H61" s="128" t="s">
        <v>19</v>
      </c>
      <c r="I61" s="128" t="s">
        <v>20</v>
      </c>
      <c r="J61" s="127" t="s">
        <v>21</v>
      </c>
      <c r="K61" s="57" t="s">
        <v>22</v>
      </c>
      <c r="L61" s="130" t="s">
        <v>23</v>
      </c>
      <c r="M61" s="130" t="s">
        <v>24</v>
      </c>
      <c r="N61" s="6" t="s">
        <v>132</v>
      </c>
      <c r="O61" s="129" t="s">
        <v>133</v>
      </c>
      <c r="P61" s="9"/>
      <c r="Q61" s="9"/>
    </row>
    <row r="62" spans="2:17" x14ac:dyDescent="0.35">
      <c r="B62" s="6">
        <f t="shared" si="0"/>
        <v>52</v>
      </c>
      <c r="C62" s="7">
        <v>46048</v>
      </c>
      <c r="D62" s="202" t="s">
        <v>16</v>
      </c>
      <c r="E62" s="19">
        <v>28</v>
      </c>
      <c r="F62" s="6" t="s">
        <v>186</v>
      </c>
      <c r="G62" s="8" t="s">
        <v>187</v>
      </c>
      <c r="H62" s="128" t="s">
        <v>105</v>
      </c>
      <c r="I62" s="128" t="s">
        <v>188</v>
      </c>
      <c r="J62" s="127" t="s">
        <v>189</v>
      </c>
      <c r="K62" s="57" t="s">
        <v>108</v>
      </c>
      <c r="L62" s="130" t="s">
        <v>109</v>
      </c>
      <c r="M62" s="130" t="s">
        <v>110</v>
      </c>
      <c r="N62" s="6" t="s">
        <v>132</v>
      </c>
      <c r="O62" s="129" t="s">
        <v>190</v>
      </c>
      <c r="P62" s="9"/>
      <c r="Q62" s="9" t="s">
        <v>191</v>
      </c>
    </row>
    <row r="63" spans="2:17" x14ac:dyDescent="0.35">
      <c r="B63" s="6">
        <f t="shared" si="0"/>
        <v>53</v>
      </c>
      <c r="C63" s="7">
        <v>46048</v>
      </c>
      <c r="D63" s="202" t="s">
        <v>16</v>
      </c>
      <c r="E63" s="19">
        <v>28</v>
      </c>
      <c r="F63" s="6" t="s">
        <v>192</v>
      </c>
      <c r="G63" s="8" t="s">
        <v>193</v>
      </c>
      <c r="H63" s="128" t="s">
        <v>105</v>
      </c>
      <c r="I63" s="128" t="s">
        <v>188</v>
      </c>
      <c r="J63" s="127" t="s">
        <v>189</v>
      </c>
      <c r="K63" s="57" t="s">
        <v>108</v>
      </c>
      <c r="L63" s="130" t="s">
        <v>109</v>
      </c>
      <c r="M63" s="130" t="s">
        <v>110</v>
      </c>
      <c r="N63" s="6" t="s">
        <v>132</v>
      </c>
      <c r="O63" s="129" t="s">
        <v>190</v>
      </c>
      <c r="P63" s="9"/>
      <c r="Q63" s="9"/>
    </row>
    <row r="64" spans="2:17" x14ac:dyDescent="0.35">
      <c r="B64" s="6">
        <f t="shared" si="0"/>
        <v>54</v>
      </c>
      <c r="C64" s="7">
        <v>46048</v>
      </c>
      <c r="D64" s="202" t="s">
        <v>16</v>
      </c>
      <c r="E64" s="19">
        <v>28</v>
      </c>
      <c r="F64" s="6" t="s">
        <v>194</v>
      </c>
      <c r="G64" s="8" t="s">
        <v>195</v>
      </c>
      <c r="H64" s="128" t="s">
        <v>105</v>
      </c>
      <c r="I64" s="128" t="s">
        <v>188</v>
      </c>
      <c r="J64" s="127" t="s">
        <v>189</v>
      </c>
      <c r="K64" s="57" t="s">
        <v>108</v>
      </c>
      <c r="L64" s="130" t="s">
        <v>109</v>
      </c>
      <c r="M64" s="130" t="s">
        <v>110</v>
      </c>
      <c r="N64" s="6" t="s">
        <v>132</v>
      </c>
      <c r="O64" s="129" t="s">
        <v>190</v>
      </c>
      <c r="P64" s="9"/>
      <c r="Q64" s="9"/>
    </row>
    <row r="65" spans="2:17" x14ac:dyDescent="0.35">
      <c r="B65" s="6">
        <f t="shared" si="0"/>
        <v>55</v>
      </c>
      <c r="C65" s="7">
        <v>46048</v>
      </c>
      <c r="D65" s="202" t="s">
        <v>16</v>
      </c>
      <c r="E65" s="19">
        <v>28</v>
      </c>
      <c r="F65" s="6" t="s">
        <v>196</v>
      </c>
      <c r="G65" s="8" t="s">
        <v>197</v>
      </c>
      <c r="H65" s="128" t="s">
        <v>105</v>
      </c>
      <c r="I65" s="128" t="s">
        <v>188</v>
      </c>
      <c r="J65" s="127" t="s">
        <v>189</v>
      </c>
      <c r="K65" s="57" t="s">
        <v>108</v>
      </c>
      <c r="L65" s="130" t="s">
        <v>109</v>
      </c>
      <c r="M65" s="130" t="s">
        <v>110</v>
      </c>
      <c r="N65" s="6" t="s">
        <v>132</v>
      </c>
      <c r="O65" s="129" t="s">
        <v>190</v>
      </c>
      <c r="P65" s="9"/>
      <c r="Q65" s="9"/>
    </row>
    <row r="66" spans="2:17" x14ac:dyDescent="0.35">
      <c r="B66" s="6">
        <f t="shared" si="0"/>
        <v>56</v>
      </c>
      <c r="C66" s="7">
        <v>46048</v>
      </c>
      <c r="D66" s="202" t="s">
        <v>16</v>
      </c>
      <c r="E66" s="19">
        <v>28</v>
      </c>
      <c r="F66" s="6" t="s">
        <v>198</v>
      </c>
      <c r="G66" s="8" t="s">
        <v>199</v>
      </c>
      <c r="H66" s="128" t="s">
        <v>105</v>
      </c>
      <c r="I66" s="128" t="s">
        <v>188</v>
      </c>
      <c r="J66" s="127" t="s">
        <v>189</v>
      </c>
      <c r="K66" s="57" t="s">
        <v>108</v>
      </c>
      <c r="L66" s="130" t="s">
        <v>109</v>
      </c>
      <c r="M66" s="130" t="s">
        <v>110</v>
      </c>
      <c r="N66" s="6" t="s">
        <v>132</v>
      </c>
      <c r="O66" s="129" t="s">
        <v>190</v>
      </c>
      <c r="P66" s="9"/>
      <c r="Q66" s="9"/>
    </row>
    <row r="67" spans="2:17" x14ac:dyDescent="0.35">
      <c r="B67" s="6">
        <f t="shared" si="0"/>
        <v>57</v>
      </c>
      <c r="C67" s="7">
        <v>46048</v>
      </c>
      <c r="D67" s="202" t="s">
        <v>16</v>
      </c>
      <c r="E67" s="19">
        <v>28</v>
      </c>
      <c r="F67" s="6" t="s">
        <v>200</v>
      </c>
      <c r="G67" s="8" t="s">
        <v>201</v>
      </c>
      <c r="H67" s="128" t="s">
        <v>105</v>
      </c>
      <c r="I67" s="128" t="s">
        <v>188</v>
      </c>
      <c r="J67" s="127" t="s">
        <v>189</v>
      </c>
      <c r="K67" s="57" t="s">
        <v>108</v>
      </c>
      <c r="L67" s="130" t="s">
        <v>109</v>
      </c>
      <c r="M67" s="130" t="s">
        <v>110</v>
      </c>
      <c r="N67" s="6" t="s">
        <v>132</v>
      </c>
      <c r="O67" s="129" t="s">
        <v>190</v>
      </c>
      <c r="P67" s="9"/>
      <c r="Q67" s="9"/>
    </row>
    <row r="68" spans="2:17" x14ac:dyDescent="0.35">
      <c r="B68" s="6">
        <f t="shared" si="0"/>
        <v>58</v>
      </c>
      <c r="C68" s="7">
        <v>46048</v>
      </c>
      <c r="D68" s="202" t="s">
        <v>16</v>
      </c>
      <c r="E68" s="19">
        <v>28</v>
      </c>
      <c r="F68" s="6" t="s">
        <v>202</v>
      </c>
      <c r="G68" s="8" t="s">
        <v>203</v>
      </c>
      <c r="H68" s="128" t="s">
        <v>105</v>
      </c>
      <c r="I68" s="128" t="s">
        <v>188</v>
      </c>
      <c r="J68" s="127" t="s">
        <v>189</v>
      </c>
      <c r="K68" s="57" t="s">
        <v>108</v>
      </c>
      <c r="L68" s="130" t="s">
        <v>109</v>
      </c>
      <c r="M68" s="130" t="s">
        <v>110</v>
      </c>
      <c r="N68" s="6" t="s">
        <v>132</v>
      </c>
      <c r="O68" s="129" t="s">
        <v>190</v>
      </c>
      <c r="P68" s="9"/>
      <c r="Q68" s="9"/>
    </row>
    <row r="69" spans="2:17" x14ac:dyDescent="0.35">
      <c r="B69" s="6">
        <f t="shared" si="0"/>
        <v>59</v>
      </c>
      <c r="C69" s="7">
        <v>46048</v>
      </c>
      <c r="D69" s="202" t="s">
        <v>16</v>
      </c>
      <c r="E69" s="19">
        <v>28</v>
      </c>
      <c r="F69" s="19" t="s">
        <v>204</v>
      </c>
      <c r="G69" s="19" t="s">
        <v>205</v>
      </c>
      <c r="H69" s="207" t="s">
        <v>105</v>
      </c>
      <c r="I69" s="207" t="s">
        <v>188</v>
      </c>
      <c r="J69" s="206" t="s">
        <v>189</v>
      </c>
      <c r="K69" s="60" t="s">
        <v>108</v>
      </c>
      <c r="L69" s="49" t="s">
        <v>109</v>
      </c>
      <c r="M69" s="49" t="s">
        <v>110</v>
      </c>
      <c r="N69" s="19" t="s">
        <v>132</v>
      </c>
      <c r="O69" s="11" t="s">
        <v>190</v>
      </c>
      <c r="P69" s="261" t="s">
        <v>178</v>
      </c>
      <c r="Q69" s="9" t="s">
        <v>191</v>
      </c>
    </row>
    <row r="70" spans="2:17" x14ac:dyDescent="0.35">
      <c r="B70" s="6">
        <f t="shared" si="0"/>
        <v>60</v>
      </c>
      <c r="C70" s="7">
        <v>46048</v>
      </c>
      <c r="D70" s="202" t="s">
        <v>16</v>
      </c>
      <c r="E70" s="19">
        <v>28</v>
      </c>
      <c r="F70" s="19" t="s">
        <v>206</v>
      </c>
      <c r="G70" s="11" t="s">
        <v>207</v>
      </c>
      <c r="H70" s="207" t="s">
        <v>105</v>
      </c>
      <c r="I70" s="207" t="s">
        <v>188</v>
      </c>
      <c r="J70" s="207" t="s">
        <v>189</v>
      </c>
      <c r="K70" s="60" t="s">
        <v>108</v>
      </c>
      <c r="L70" s="49" t="s">
        <v>109</v>
      </c>
      <c r="M70" s="49" t="s">
        <v>110</v>
      </c>
      <c r="N70" s="19" t="s">
        <v>132</v>
      </c>
      <c r="O70" s="11" t="s">
        <v>190</v>
      </c>
      <c r="P70" s="261" t="s">
        <v>178</v>
      </c>
      <c r="Q70" s="9" t="s">
        <v>191</v>
      </c>
    </row>
    <row r="71" spans="2:17" x14ac:dyDescent="0.35">
      <c r="B71" s="6">
        <f t="shared" si="0"/>
        <v>61</v>
      </c>
      <c r="C71" s="7">
        <v>46048</v>
      </c>
      <c r="D71" s="202" t="s">
        <v>16</v>
      </c>
      <c r="E71" s="19">
        <v>28</v>
      </c>
      <c r="F71" s="6" t="s">
        <v>208</v>
      </c>
      <c r="G71" s="10" t="s">
        <v>209</v>
      </c>
      <c r="H71" s="128" t="s">
        <v>105</v>
      </c>
      <c r="I71" s="128" t="s">
        <v>188</v>
      </c>
      <c r="J71" s="128" t="s">
        <v>189</v>
      </c>
      <c r="K71" s="57" t="s">
        <v>108</v>
      </c>
      <c r="L71" s="130" t="s">
        <v>109</v>
      </c>
      <c r="M71" s="130" t="s">
        <v>110</v>
      </c>
      <c r="N71" s="6" t="s">
        <v>132</v>
      </c>
      <c r="O71" s="129" t="s">
        <v>190</v>
      </c>
      <c r="P71" s="261"/>
      <c r="Q71" s="9"/>
    </row>
    <row r="72" spans="2:17" x14ac:dyDescent="0.35">
      <c r="B72" s="6">
        <f t="shared" si="0"/>
        <v>62</v>
      </c>
      <c r="C72" s="7">
        <v>46048</v>
      </c>
      <c r="D72" s="202" t="s">
        <v>16</v>
      </c>
      <c r="E72" s="19">
        <v>28</v>
      </c>
      <c r="F72" s="6" t="s">
        <v>210</v>
      </c>
      <c r="G72" s="6" t="s">
        <v>211</v>
      </c>
      <c r="H72" s="127" t="s">
        <v>212</v>
      </c>
      <c r="I72" s="125" t="s">
        <v>213</v>
      </c>
      <c r="J72" s="127" t="s">
        <v>214</v>
      </c>
      <c r="K72" s="57" t="s">
        <v>22</v>
      </c>
      <c r="L72" s="48" t="s">
        <v>23</v>
      </c>
      <c r="M72" s="57" t="s">
        <v>215</v>
      </c>
      <c r="N72" s="6" t="s">
        <v>132</v>
      </c>
      <c r="O72" s="10" t="s">
        <v>216</v>
      </c>
      <c r="P72" s="9"/>
      <c r="Q72" s="9"/>
    </row>
    <row r="73" spans="2:17" x14ac:dyDescent="0.35">
      <c r="B73" s="6">
        <f t="shared" si="0"/>
        <v>63</v>
      </c>
      <c r="C73" s="7">
        <v>46048</v>
      </c>
      <c r="D73" s="8" t="s">
        <v>120</v>
      </c>
      <c r="E73" s="19">
        <v>28</v>
      </c>
      <c r="F73" s="6" t="s">
        <v>121</v>
      </c>
      <c r="G73" s="6" t="s">
        <v>122</v>
      </c>
      <c r="H73" s="127" t="s">
        <v>123</v>
      </c>
      <c r="I73" s="125" t="s">
        <v>124</v>
      </c>
      <c r="J73" s="127" t="s">
        <v>125</v>
      </c>
      <c r="K73" s="57" t="s">
        <v>108</v>
      </c>
      <c r="L73" s="130" t="s">
        <v>109</v>
      </c>
      <c r="M73" s="130" t="s">
        <v>110</v>
      </c>
      <c r="N73" s="6" t="s">
        <v>132</v>
      </c>
      <c r="O73" s="10" t="s">
        <v>126</v>
      </c>
      <c r="P73" s="9"/>
      <c r="Q73" s="9"/>
    </row>
    <row r="74" spans="2:17" x14ac:dyDescent="0.35">
      <c r="B74" s="6">
        <f t="shared" si="0"/>
        <v>64</v>
      </c>
      <c r="C74" s="7">
        <v>46048</v>
      </c>
      <c r="D74" s="202" t="s">
        <v>16</v>
      </c>
      <c r="E74" s="19">
        <v>28</v>
      </c>
      <c r="F74" s="6" t="s">
        <v>217</v>
      </c>
      <c r="G74" s="8" t="s">
        <v>218</v>
      </c>
      <c r="H74" s="127" t="s">
        <v>219</v>
      </c>
      <c r="I74" s="125" t="s">
        <v>220</v>
      </c>
      <c r="J74" s="127" t="s">
        <v>221</v>
      </c>
      <c r="K74" s="57" t="s">
        <v>22</v>
      </c>
      <c r="L74" s="48" t="s">
        <v>23</v>
      </c>
      <c r="M74" s="57" t="s">
        <v>215</v>
      </c>
      <c r="N74" s="6" t="s">
        <v>132</v>
      </c>
      <c r="O74" s="10" t="s">
        <v>216</v>
      </c>
      <c r="P74" s="9"/>
      <c r="Q74" s="9"/>
    </row>
    <row r="75" spans="2:17" x14ac:dyDescent="0.35">
      <c r="B75" s="6">
        <f t="shared" si="0"/>
        <v>65</v>
      </c>
      <c r="C75" s="7">
        <v>46048</v>
      </c>
      <c r="D75" s="202" t="s">
        <v>16</v>
      </c>
      <c r="E75" s="19">
        <v>28</v>
      </c>
      <c r="F75" s="6" t="s">
        <v>222</v>
      </c>
      <c r="G75" s="8" t="s">
        <v>223</v>
      </c>
      <c r="H75" s="127" t="s">
        <v>219</v>
      </c>
      <c r="I75" s="125" t="s">
        <v>220</v>
      </c>
      <c r="J75" s="127" t="s">
        <v>221</v>
      </c>
      <c r="K75" s="57" t="s">
        <v>22</v>
      </c>
      <c r="L75" s="48" t="s">
        <v>23</v>
      </c>
      <c r="M75" s="57" t="s">
        <v>215</v>
      </c>
      <c r="N75" s="6" t="s">
        <v>132</v>
      </c>
      <c r="O75" s="10" t="s">
        <v>216</v>
      </c>
      <c r="P75" s="9"/>
      <c r="Q75" s="9"/>
    </row>
    <row r="76" spans="2:17" x14ac:dyDescent="0.35">
      <c r="B76" s="6">
        <f t="shared" si="0"/>
        <v>66</v>
      </c>
      <c r="C76" s="7">
        <v>46048</v>
      </c>
      <c r="D76" s="202" t="s">
        <v>16</v>
      </c>
      <c r="E76" s="19">
        <v>28</v>
      </c>
      <c r="F76" s="6" t="s">
        <v>224</v>
      </c>
      <c r="G76" s="8" t="s">
        <v>225</v>
      </c>
      <c r="H76" s="127" t="s">
        <v>226</v>
      </c>
      <c r="I76" s="125" t="s">
        <v>227</v>
      </c>
      <c r="J76" s="127" t="s">
        <v>228</v>
      </c>
      <c r="K76" s="57" t="s">
        <v>22</v>
      </c>
      <c r="L76" s="48" t="s">
        <v>23</v>
      </c>
      <c r="M76" s="57" t="s">
        <v>215</v>
      </c>
      <c r="N76" s="6" t="s">
        <v>132</v>
      </c>
      <c r="O76" s="10" t="s">
        <v>216</v>
      </c>
      <c r="P76" s="9"/>
      <c r="Q76" s="9"/>
    </row>
    <row r="77" spans="2:17" x14ac:dyDescent="0.35">
      <c r="B77" s="6">
        <f t="shared" ref="B77:B125" si="1">B76+1</f>
        <v>67</v>
      </c>
      <c r="C77" s="7">
        <v>46048</v>
      </c>
      <c r="D77" s="202" t="s">
        <v>16</v>
      </c>
      <c r="E77" s="19">
        <v>28</v>
      </c>
      <c r="F77" s="6" t="s">
        <v>229</v>
      </c>
      <c r="G77" s="8" t="s">
        <v>230</v>
      </c>
      <c r="H77" s="128" t="s">
        <v>226</v>
      </c>
      <c r="I77" s="128" t="s">
        <v>231</v>
      </c>
      <c r="J77" s="127" t="s">
        <v>232</v>
      </c>
      <c r="K77" s="57" t="s">
        <v>22</v>
      </c>
      <c r="L77" s="130" t="s">
        <v>23</v>
      </c>
      <c r="M77" s="130" t="s">
        <v>215</v>
      </c>
      <c r="N77" s="6" t="s">
        <v>132</v>
      </c>
      <c r="O77" s="129" t="s">
        <v>216</v>
      </c>
      <c r="P77" s="9"/>
      <c r="Q77" s="9"/>
    </row>
    <row r="78" spans="2:17" x14ac:dyDescent="0.35">
      <c r="B78" s="6">
        <f t="shared" si="1"/>
        <v>68</v>
      </c>
      <c r="C78" s="7">
        <v>46048</v>
      </c>
      <c r="D78" s="202" t="s">
        <v>16</v>
      </c>
      <c r="E78" s="19">
        <v>28</v>
      </c>
      <c r="F78" s="6" t="s">
        <v>233</v>
      </c>
      <c r="G78" s="8" t="s">
        <v>234</v>
      </c>
      <c r="H78" s="128" t="s">
        <v>235</v>
      </c>
      <c r="I78" s="128" t="s">
        <v>236</v>
      </c>
      <c r="J78" s="127" t="s">
        <v>237</v>
      </c>
      <c r="K78" s="57" t="s">
        <v>22</v>
      </c>
      <c r="L78" s="130" t="s">
        <v>23</v>
      </c>
      <c r="M78" s="130" t="s">
        <v>215</v>
      </c>
      <c r="N78" s="6" t="s">
        <v>132</v>
      </c>
      <c r="O78" s="129" t="s">
        <v>216</v>
      </c>
      <c r="P78" s="9"/>
      <c r="Q78" s="9"/>
    </row>
    <row r="79" spans="2:17" x14ac:dyDescent="0.35">
      <c r="B79" s="6">
        <f t="shared" si="1"/>
        <v>69</v>
      </c>
      <c r="C79" s="7">
        <v>46048</v>
      </c>
      <c r="D79" s="202" t="s">
        <v>16</v>
      </c>
      <c r="E79" s="19">
        <v>28</v>
      </c>
      <c r="F79" s="6" t="s">
        <v>238</v>
      </c>
      <c r="G79" s="8" t="s">
        <v>239</v>
      </c>
      <c r="H79" s="128" t="s">
        <v>240</v>
      </c>
      <c r="I79" s="128" t="s">
        <v>241</v>
      </c>
      <c r="J79" s="127" t="s">
        <v>242</v>
      </c>
      <c r="K79" s="57" t="s">
        <v>22</v>
      </c>
      <c r="L79" s="130" t="s">
        <v>23</v>
      </c>
      <c r="M79" s="130" t="s">
        <v>215</v>
      </c>
      <c r="N79" s="6" t="s">
        <v>132</v>
      </c>
      <c r="O79" s="129" t="s">
        <v>216</v>
      </c>
      <c r="P79" s="9"/>
      <c r="Q79" s="9"/>
    </row>
    <row r="80" spans="2:17" x14ac:dyDescent="0.35">
      <c r="B80" s="6">
        <f t="shared" si="1"/>
        <v>70</v>
      </c>
      <c r="C80" s="7">
        <v>46048</v>
      </c>
      <c r="D80" s="202" t="s">
        <v>16</v>
      </c>
      <c r="E80" s="19">
        <v>28</v>
      </c>
      <c r="F80" s="6" t="s">
        <v>243</v>
      </c>
      <c r="G80" s="8" t="s">
        <v>244</v>
      </c>
      <c r="H80" s="128" t="s">
        <v>240</v>
      </c>
      <c r="I80" s="128" t="s">
        <v>245</v>
      </c>
      <c r="J80" s="127" t="s">
        <v>246</v>
      </c>
      <c r="K80" s="57" t="s">
        <v>22</v>
      </c>
      <c r="L80" s="130" t="s">
        <v>23</v>
      </c>
      <c r="M80" s="130" t="s">
        <v>215</v>
      </c>
      <c r="N80" s="6" t="s">
        <v>132</v>
      </c>
      <c r="O80" s="129" t="s">
        <v>216</v>
      </c>
      <c r="P80" s="9"/>
      <c r="Q80" s="9"/>
    </row>
    <row r="81" spans="2:17" x14ac:dyDescent="0.35">
      <c r="B81" s="6">
        <f t="shared" si="1"/>
        <v>71</v>
      </c>
      <c r="C81" s="7">
        <v>46048</v>
      </c>
      <c r="D81" s="202" t="s">
        <v>16</v>
      </c>
      <c r="E81" s="19">
        <v>28</v>
      </c>
      <c r="F81" s="6" t="s">
        <v>247</v>
      </c>
      <c r="G81" s="8" t="s">
        <v>248</v>
      </c>
      <c r="H81" s="128" t="s">
        <v>226</v>
      </c>
      <c r="I81" s="128" t="s">
        <v>227</v>
      </c>
      <c r="J81" s="127" t="s">
        <v>228</v>
      </c>
      <c r="K81" s="57" t="s">
        <v>22</v>
      </c>
      <c r="L81" s="130" t="s">
        <v>23</v>
      </c>
      <c r="M81" s="130" t="s">
        <v>215</v>
      </c>
      <c r="N81" s="6" t="s">
        <v>132</v>
      </c>
      <c r="O81" s="129" t="s">
        <v>216</v>
      </c>
      <c r="P81" s="9"/>
      <c r="Q81" s="9"/>
    </row>
    <row r="82" spans="2:17" x14ac:dyDescent="0.35">
      <c r="B82" s="6">
        <f t="shared" si="1"/>
        <v>72</v>
      </c>
      <c r="C82" s="7">
        <v>46048</v>
      </c>
      <c r="D82" s="202" t="s">
        <v>16</v>
      </c>
      <c r="E82" s="19">
        <v>28</v>
      </c>
      <c r="F82" s="19" t="s">
        <v>249</v>
      </c>
      <c r="G82" s="19" t="s">
        <v>250</v>
      </c>
      <c r="H82" s="207" t="s">
        <v>219</v>
      </c>
      <c r="I82" s="207" t="s">
        <v>220</v>
      </c>
      <c r="J82" s="206" t="s">
        <v>221</v>
      </c>
      <c r="K82" s="60" t="s">
        <v>22</v>
      </c>
      <c r="L82" s="49" t="s">
        <v>23</v>
      </c>
      <c r="M82" s="49" t="s">
        <v>215</v>
      </c>
      <c r="N82" s="19" t="s">
        <v>132</v>
      </c>
      <c r="O82" s="11" t="s">
        <v>216</v>
      </c>
      <c r="P82" s="261"/>
      <c r="Q82" s="9"/>
    </row>
    <row r="83" spans="2:17" x14ac:dyDescent="0.35">
      <c r="B83" s="6">
        <f t="shared" si="1"/>
        <v>73</v>
      </c>
      <c r="C83" s="7">
        <v>46048</v>
      </c>
      <c r="D83" s="6" t="s">
        <v>16</v>
      </c>
      <c r="E83" s="19">
        <v>28</v>
      </c>
      <c r="F83" s="19" t="s">
        <v>251</v>
      </c>
      <c r="G83" s="19" t="s">
        <v>252</v>
      </c>
      <c r="H83" s="207" t="s">
        <v>219</v>
      </c>
      <c r="I83" s="207" t="s">
        <v>253</v>
      </c>
      <c r="J83" s="206" t="s">
        <v>254</v>
      </c>
      <c r="K83" s="60" t="s">
        <v>22</v>
      </c>
      <c r="L83" s="49" t="s">
        <v>23</v>
      </c>
      <c r="M83" s="49" t="s">
        <v>215</v>
      </c>
      <c r="N83" s="19" t="s">
        <v>132</v>
      </c>
      <c r="O83" s="11" t="s">
        <v>216</v>
      </c>
      <c r="P83" s="9"/>
      <c r="Q83" s="9"/>
    </row>
    <row r="84" spans="2:17" x14ac:dyDescent="0.35">
      <c r="B84" s="6">
        <f t="shared" si="1"/>
        <v>74</v>
      </c>
      <c r="C84" s="7">
        <v>46048</v>
      </c>
      <c r="D84" s="6" t="s">
        <v>16</v>
      </c>
      <c r="E84" s="19">
        <v>28</v>
      </c>
      <c r="F84" s="19" t="s">
        <v>255</v>
      </c>
      <c r="G84" s="11" t="s">
        <v>256</v>
      </c>
      <c r="H84" s="207" t="s">
        <v>219</v>
      </c>
      <c r="I84" s="207" t="s">
        <v>253</v>
      </c>
      <c r="J84" s="207" t="s">
        <v>254</v>
      </c>
      <c r="K84" s="60" t="s">
        <v>22</v>
      </c>
      <c r="L84" s="49" t="s">
        <v>23</v>
      </c>
      <c r="M84" s="49" t="s">
        <v>215</v>
      </c>
      <c r="N84" s="19" t="s">
        <v>132</v>
      </c>
      <c r="O84" s="11" t="s">
        <v>216</v>
      </c>
      <c r="P84" s="9"/>
      <c r="Q84" s="9"/>
    </row>
    <row r="85" spans="2:17" x14ac:dyDescent="0.35">
      <c r="B85" s="6">
        <f t="shared" si="1"/>
        <v>75</v>
      </c>
      <c r="C85" s="7">
        <v>46048</v>
      </c>
      <c r="D85" s="6" t="s">
        <v>16</v>
      </c>
      <c r="E85" s="19">
        <v>28</v>
      </c>
      <c r="F85" s="19" t="s">
        <v>257</v>
      </c>
      <c r="G85" s="11" t="s">
        <v>258</v>
      </c>
      <c r="H85" s="207" t="s">
        <v>259</v>
      </c>
      <c r="I85" s="207" t="s">
        <v>260</v>
      </c>
      <c r="J85" s="207" t="s">
        <v>261</v>
      </c>
      <c r="K85" s="60" t="s">
        <v>22</v>
      </c>
      <c r="L85" s="49" t="s">
        <v>23</v>
      </c>
      <c r="M85" s="49" t="s">
        <v>215</v>
      </c>
      <c r="N85" s="19" t="s">
        <v>132</v>
      </c>
      <c r="O85" s="11" t="s">
        <v>216</v>
      </c>
      <c r="P85" s="9"/>
      <c r="Q85" s="9" t="s">
        <v>191</v>
      </c>
    </row>
    <row r="86" spans="2:17" x14ac:dyDescent="0.35">
      <c r="B86" s="6">
        <f t="shared" si="1"/>
        <v>76</v>
      </c>
      <c r="C86" s="7">
        <v>46048</v>
      </c>
      <c r="D86" s="8" t="s">
        <v>16</v>
      </c>
      <c r="E86" s="19">
        <v>28</v>
      </c>
      <c r="F86" s="19" t="s">
        <v>262</v>
      </c>
      <c r="G86" s="19" t="s">
        <v>263</v>
      </c>
      <c r="H86" s="206" t="s">
        <v>264</v>
      </c>
      <c r="I86" s="206" t="s">
        <v>265</v>
      </c>
      <c r="J86" s="206" t="s">
        <v>266</v>
      </c>
      <c r="K86" s="60" t="s">
        <v>22</v>
      </c>
      <c r="L86" s="60" t="s">
        <v>23</v>
      </c>
      <c r="M86" s="60" t="s">
        <v>215</v>
      </c>
      <c r="N86" s="19" t="s">
        <v>132</v>
      </c>
      <c r="O86" s="11" t="s">
        <v>216</v>
      </c>
      <c r="P86" s="9"/>
      <c r="Q86" s="9"/>
    </row>
    <row r="87" spans="2:17" x14ac:dyDescent="0.35">
      <c r="B87" s="6">
        <f t="shared" si="1"/>
        <v>77</v>
      </c>
      <c r="C87" s="7">
        <v>46048</v>
      </c>
      <c r="D87" s="8" t="s">
        <v>16</v>
      </c>
      <c r="E87" s="19">
        <v>28</v>
      </c>
      <c r="F87" s="19" t="s">
        <v>267</v>
      </c>
      <c r="G87" s="19" t="s">
        <v>268</v>
      </c>
      <c r="H87" s="206" t="s">
        <v>269</v>
      </c>
      <c r="I87" s="206" t="s">
        <v>270</v>
      </c>
      <c r="J87" s="206" t="s">
        <v>271</v>
      </c>
      <c r="K87" s="60" t="s">
        <v>22</v>
      </c>
      <c r="L87" s="60" t="s">
        <v>23</v>
      </c>
      <c r="M87" s="60" t="s">
        <v>215</v>
      </c>
      <c r="N87" s="19" t="s">
        <v>132</v>
      </c>
      <c r="O87" s="11" t="s">
        <v>216</v>
      </c>
      <c r="P87" s="261"/>
      <c r="Q87" s="9"/>
    </row>
    <row r="88" spans="2:17" x14ac:dyDescent="0.35">
      <c r="B88" s="6">
        <f t="shared" si="1"/>
        <v>78</v>
      </c>
      <c r="C88" s="7">
        <v>46048</v>
      </c>
      <c r="D88" s="8" t="s">
        <v>16</v>
      </c>
      <c r="E88" s="19">
        <v>28</v>
      </c>
      <c r="F88" s="19" t="s">
        <v>272</v>
      </c>
      <c r="G88" s="19" t="s">
        <v>273</v>
      </c>
      <c r="H88" s="206" t="s">
        <v>235</v>
      </c>
      <c r="I88" s="206" t="s">
        <v>274</v>
      </c>
      <c r="J88" s="206" t="s">
        <v>275</v>
      </c>
      <c r="K88" s="60" t="s">
        <v>22</v>
      </c>
      <c r="L88" s="60" t="s">
        <v>23</v>
      </c>
      <c r="M88" s="60" t="s">
        <v>215</v>
      </c>
      <c r="N88" s="19" t="s">
        <v>132</v>
      </c>
      <c r="O88" s="11" t="s">
        <v>216</v>
      </c>
      <c r="P88" s="9"/>
      <c r="Q88" s="9"/>
    </row>
    <row r="89" spans="2:17" x14ac:dyDescent="0.35">
      <c r="B89" s="6">
        <f t="shared" si="1"/>
        <v>79</v>
      </c>
      <c r="C89" s="7">
        <v>46048</v>
      </c>
      <c r="D89" s="8" t="s">
        <v>16</v>
      </c>
      <c r="E89" s="19">
        <v>28</v>
      </c>
      <c r="F89" s="6" t="s">
        <v>276</v>
      </c>
      <c r="G89" s="8" t="s">
        <v>277</v>
      </c>
      <c r="H89" s="127" t="s">
        <v>269</v>
      </c>
      <c r="I89" s="125" t="s">
        <v>270</v>
      </c>
      <c r="J89" s="127" t="s">
        <v>271</v>
      </c>
      <c r="K89" s="57" t="s">
        <v>22</v>
      </c>
      <c r="L89" s="48" t="s">
        <v>23</v>
      </c>
      <c r="M89" s="57" t="s">
        <v>215</v>
      </c>
      <c r="N89" s="6" t="s">
        <v>132</v>
      </c>
      <c r="O89" s="10" t="s">
        <v>216</v>
      </c>
      <c r="P89" s="9"/>
      <c r="Q89" s="9"/>
    </row>
    <row r="90" spans="2:17" x14ac:dyDescent="0.35">
      <c r="B90" s="6">
        <f t="shared" si="1"/>
        <v>80</v>
      </c>
      <c r="C90" s="7">
        <v>46048</v>
      </c>
      <c r="D90" s="8" t="s">
        <v>16</v>
      </c>
      <c r="E90" s="19">
        <v>28</v>
      </c>
      <c r="F90" s="6" t="s">
        <v>278</v>
      </c>
      <c r="G90" s="8" t="s">
        <v>279</v>
      </c>
      <c r="H90" s="127" t="s">
        <v>269</v>
      </c>
      <c r="I90" s="125" t="s">
        <v>270</v>
      </c>
      <c r="J90" s="127" t="s">
        <v>271</v>
      </c>
      <c r="K90" s="57" t="s">
        <v>22</v>
      </c>
      <c r="L90" s="48" t="s">
        <v>23</v>
      </c>
      <c r="M90" s="57" t="s">
        <v>215</v>
      </c>
      <c r="N90" s="6" t="s">
        <v>132</v>
      </c>
      <c r="O90" s="10" t="s">
        <v>216</v>
      </c>
      <c r="P90" s="9"/>
      <c r="Q90" s="9"/>
    </row>
    <row r="91" spans="2:17" x14ac:dyDescent="0.35">
      <c r="B91" s="6">
        <f t="shared" si="1"/>
        <v>81</v>
      </c>
      <c r="C91" s="7">
        <v>46048</v>
      </c>
      <c r="D91" s="6" t="s">
        <v>16</v>
      </c>
      <c r="E91" s="19">
        <v>28</v>
      </c>
      <c r="F91" s="6" t="s">
        <v>280</v>
      </c>
      <c r="G91" s="8" t="s">
        <v>281</v>
      </c>
      <c r="H91" s="128" t="s">
        <v>269</v>
      </c>
      <c r="I91" s="128" t="s">
        <v>282</v>
      </c>
      <c r="J91" s="127" t="s">
        <v>283</v>
      </c>
      <c r="K91" s="57" t="s">
        <v>22</v>
      </c>
      <c r="L91" s="130" t="s">
        <v>23</v>
      </c>
      <c r="M91" s="130" t="s">
        <v>215</v>
      </c>
      <c r="N91" s="6" t="s">
        <v>132</v>
      </c>
      <c r="O91" s="129" t="s">
        <v>216</v>
      </c>
      <c r="P91" s="9"/>
      <c r="Q91" s="9"/>
    </row>
    <row r="92" spans="2:17" x14ac:dyDescent="0.35">
      <c r="B92" s="6">
        <f t="shared" si="1"/>
        <v>82</v>
      </c>
      <c r="C92" s="7">
        <v>46048</v>
      </c>
      <c r="D92" s="6" t="s">
        <v>16</v>
      </c>
      <c r="E92" s="19">
        <v>28</v>
      </c>
      <c r="F92" s="6" t="s">
        <v>284</v>
      </c>
      <c r="G92" s="8" t="s">
        <v>285</v>
      </c>
      <c r="H92" s="128" t="s">
        <v>269</v>
      </c>
      <c r="I92" s="128" t="s">
        <v>282</v>
      </c>
      <c r="J92" s="127" t="s">
        <v>283</v>
      </c>
      <c r="K92" s="57" t="s">
        <v>22</v>
      </c>
      <c r="L92" s="130" t="s">
        <v>23</v>
      </c>
      <c r="M92" s="130" t="s">
        <v>215</v>
      </c>
      <c r="N92" s="6" t="s">
        <v>132</v>
      </c>
      <c r="O92" s="129" t="s">
        <v>216</v>
      </c>
      <c r="P92" s="9"/>
      <c r="Q92" s="9"/>
    </row>
    <row r="93" spans="2:17" x14ac:dyDescent="0.35">
      <c r="B93" s="6">
        <f t="shared" si="1"/>
        <v>83</v>
      </c>
      <c r="C93" s="7">
        <v>46048</v>
      </c>
      <c r="D93" s="6" t="s">
        <v>16</v>
      </c>
      <c r="E93" s="19">
        <v>28</v>
      </c>
      <c r="F93" s="6" t="s">
        <v>286</v>
      </c>
      <c r="G93" s="8" t="s">
        <v>287</v>
      </c>
      <c r="H93" s="128" t="s">
        <v>235</v>
      </c>
      <c r="I93" s="128" t="s">
        <v>274</v>
      </c>
      <c r="J93" s="127" t="s">
        <v>275</v>
      </c>
      <c r="K93" s="57" t="s">
        <v>22</v>
      </c>
      <c r="L93" s="130" t="s">
        <v>23</v>
      </c>
      <c r="M93" s="130" t="s">
        <v>215</v>
      </c>
      <c r="N93" s="6" t="s">
        <v>132</v>
      </c>
      <c r="O93" s="129" t="s">
        <v>216</v>
      </c>
      <c r="P93" s="9"/>
      <c r="Q93" s="9"/>
    </row>
    <row r="94" spans="2:17" x14ac:dyDescent="0.35">
      <c r="B94" s="6">
        <f t="shared" si="1"/>
        <v>84</v>
      </c>
      <c r="C94" s="7">
        <v>46048</v>
      </c>
      <c r="D94" s="6" t="s">
        <v>16</v>
      </c>
      <c r="E94" s="19">
        <v>28</v>
      </c>
      <c r="F94" s="6" t="s">
        <v>288</v>
      </c>
      <c r="G94" s="8" t="s">
        <v>289</v>
      </c>
      <c r="H94" s="128" t="s">
        <v>290</v>
      </c>
      <c r="I94" s="128" t="s">
        <v>291</v>
      </c>
      <c r="J94" s="127" t="s">
        <v>292</v>
      </c>
      <c r="K94" s="57" t="s">
        <v>22</v>
      </c>
      <c r="L94" s="130" t="s">
        <v>23</v>
      </c>
      <c r="M94" s="130" t="s">
        <v>215</v>
      </c>
      <c r="N94" s="6" t="s">
        <v>132</v>
      </c>
      <c r="O94" s="129" t="s">
        <v>216</v>
      </c>
      <c r="P94" s="9"/>
      <c r="Q94" s="9"/>
    </row>
    <row r="95" spans="2:17" x14ac:dyDescent="0.35">
      <c r="B95" s="6">
        <f t="shared" si="1"/>
        <v>85</v>
      </c>
      <c r="C95" s="7">
        <v>46048</v>
      </c>
      <c r="D95" s="6" t="s">
        <v>16</v>
      </c>
      <c r="E95" s="19">
        <v>28</v>
      </c>
      <c r="F95" s="6" t="s">
        <v>293</v>
      </c>
      <c r="G95" s="8" t="s">
        <v>294</v>
      </c>
      <c r="H95" s="128" t="s">
        <v>240</v>
      </c>
      <c r="I95" s="128" t="s">
        <v>241</v>
      </c>
      <c r="J95" s="127" t="s">
        <v>242</v>
      </c>
      <c r="K95" s="57" t="s">
        <v>22</v>
      </c>
      <c r="L95" s="130" t="s">
        <v>23</v>
      </c>
      <c r="M95" s="130" t="s">
        <v>215</v>
      </c>
      <c r="N95" s="6" t="s">
        <v>132</v>
      </c>
      <c r="O95" s="129" t="s">
        <v>216</v>
      </c>
      <c r="P95" s="9"/>
      <c r="Q95" s="9"/>
    </row>
    <row r="96" spans="2:17" x14ac:dyDescent="0.35">
      <c r="B96" s="6">
        <f t="shared" si="1"/>
        <v>86</v>
      </c>
      <c r="C96" s="7">
        <v>46048</v>
      </c>
      <c r="D96" s="6" t="s">
        <v>16</v>
      </c>
      <c r="E96" s="19">
        <v>28</v>
      </c>
      <c r="F96" s="6" t="s">
        <v>295</v>
      </c>
      <c r="G96" s="8" t="s">
        <v>296</v>
      </c>
      <c r="H96" s="128" t="s">
        <v>240</v>
      </c>
      <c r="I96" s="128" t="s">
        <v>297</v>
      </c>
      <c r="J96" s="127" t="s">
        <v>298</v>
      </c>
      <c r="K96" s="57" t="s">
        <v>22</v>
      </c>
      <c r="L96" s="130" t="s">
        <v>23</v>
      </c>
      <c r="M96" s="130" t="s">
        <v>215</v>
      </c>
      <c r="N96" s="6" t="s">
        <v>132</v>
      </c>
      <c r="O96" s="129" t="s">
        <v>216</v>
      </c>
      <c r="P96" s="9"/>
      <c r="Q96" s="9"/>
    </row>
    <row r="97" spans="2:17" x14ac:dyDescent="0.35">
      <c r="B97" s="6">
        <f t="shared" si="1"/>
        <v>87</v>
      </c>
      <c r="C97" s="7">
        <v>46048</v>
      </c>
      <c r="D97" s="6" t="s">
        <v>16</v>
      </c>
      <c r="E97" s="19">
        <v>28</v>
      </c>
      <c r="F97" s="6" t="s">
        <v>299</v>
      </c>
      <c r="G97" s="8" t="s">
        <v>300</v>
      </c>
      <c r="H97" s="128" t="s">
        <v>212</v>
      </c>
      <c r="I97" s="128" t="s">
        <v>301</v>
      </c>
      <c r="J97" s="127" t="s">
        <v>302</v>
      </c>
      <c r="K97" s="57" t="s">
        <v>22</v>
      </c>
      <c r="L97" s="130" t="s">
        <v>23</v>
      </c>
      <c r="M97" s="130" t="s">
        <v>303</v>
      </c>
      <c r="N97" s="6" t="s">
        <v>132</v>
      </c>
      <c r="O97" s="129" t="s">
        <v>216</v>
      </c>
      <c r="P97" s="9"/>
      <c r="Q97" s="9"/>
    </row>
    <row r="98" spans="2:17" x14ac:dyDescent="0.35">
      <c r="B98" s="6">
        <f t="shared" si="1"/>
        <v>88</v>
      </c>
      <c r="C98" s="7">
        <v>46048</v>
      </c>
      <c r="D98" s="6" t="s">
        <v>16</v>
      </c>
      <c r="E98" s="19">
        <v>28</v>
      </c>
      <c r="F98" s="6" t="s">
        <v>304</v>
      </c>
      <c r="G98" s="10" t="s">
        <v>305</v>
      </c>
      <c r="H98" s="128" t="s">
        <v>212</v>
      </c>
      <c r="I98" s="128" t="s">
        <v>301</v>
      </c>
      <c r="J98" s="128" t="s">
        <v>302</v>
      </c>
      <c r="K98" s="57" t="s">
        <v>22</v>
      </c>
      <c r="L98" s="130" t="s">
        <v>23</v>
      </c>
      <c r="M98" s="130" t="s">
        <v>303</v>
      </c>
      <c r="N98" s="6" t="s">
        <v>132</v>
      </c>
      <c r="O98" s="129" t="s">
        <v>216</v>
      </c>
      <c r="P98" s="9"/>
      <c r="Q98" s="9"/>
    </row>
    <row r="99" spans="2:17" x14ac:dyDescent="0.35">
      <c r="B99" s="6">
        <f t="shared" si="1"/>
        <v>89</v>
      </c>
      <c r="C99" s="7">
        <v>46048</v>
      </c>
      <c r="D99" s="6" t="s">
        <v>16</v>
      </c>
      <c r="E99" s="19">
        <v>28</v>
      </c>
      <c r="F99" s="6" t="s">
        <v>306</v>
      </c>
      <c r="G99" s="10" t="s">
        <v>307</v>
      </c>
      <c r="H99" s="128" t="s">
        <v>212</v>
      </c>
      <c r="I99" s="128" t="s">
        <v>213</v>
      </c>
      <c r="J99" s="128" t="s">
        <v>214</v>
      </c>
      <c r="K99" s="57" t="s">
        <v>22</v>
      </c>
      <c r="L99" s="130" t="s">
        <v>23</v>
      </c>
      <c r="M99" s="130" t="s">
        <v>215</v>
      </c>
      <c r="N99" s="6" t="s">
        <v>132</v>
      </c>
      <c r="O99" s="129" t="s">
        <v>216</v>
      </c>
      <c r="P99" s="9"/>
      <c r="Q99" s="9"/>
    </row>
    <row r="100" spans="2:17" x14ac:dyDescent="0.35">
      <c r="B100" s="6">
        <f t="shared" si="1"/>
        <v>90</v>
      </c>
      <c r="C100" s="7">
        <v>46048</v>
      </c>
      <c r="D100" s="8" t="s">
        <v>16</v>
      </c>
      <c r="E100" s="19">
        <v>28</v>
      </c>
      <c r="F100" s="6" t="s">
        <v>308</v>
      </c>
      <c r="G100" s="6" t="s">
        <v>309</v>
      </c>
      <c r="H100" s="127" t="s">
        <v>212</v>
      </c>
      <c r="I100" s="125" t="s">
        <v>310</v>
      </c>
      <c r="J100" s="127" t="s">
        <v>311</v>
      </c>
      <c r="K100" s="57" t="s">
        <v>22</v>
      </c>
      <c r="L100" s="48" t="s">
        <v>23</v>
      </c>
      <c r="M100" s="57" t="s">
        <v>215</v>
      </c>
      <c r="N100" s="6" t="s">
        <v>132</v>
      </c>
      <c r="O100" s="10" t="s">
        <v>216</v>
      </c>
      <c r="P100" s="9"/>
      <c r="Q100" s="9"/>
    </row>
    <row r="101" spans="2:17" x14ac:dyDescent="0.35">
      <c r="B101" s="6">
        <f t="shared" si="1"/>
        <v>91</v>
      </c>
      <c r="C101" s="7">
        <v>46048</v>
      </c>
      <c r="D101" s="8" t="s">
        <v>16</v>
      </c>
      <c r="E101" s="19">
        <v>28</v>
      </c>
      <c r="F101" s="6" t="s">
        <v>312</v>
      </c>
      <c r="G101" s="6" t="s">
        <v>313</v>
      </c>
      <c r="H101" s="127" t="s">
        <v>290</v>
      </c>
      <c r="I101" s="125" t="s">
        <v>314</v>
      </c>
      <c r="J101" s="127" t="s">
        <v>315</v>
      </c>
      <c r="K101" s="57" t="s">
        <v>22</v>
      </c>
      <c r="L101" s="48" t="s">
        <v>23</v>
      </c>
      <c r="M101" s="57" t="s">
        <v>215</v>
      </c>
      <c r="N101" s="6" t="s">
        <v>132</v>
      </c>
      <c r="O101" s="10" t="s">
        <v>216</v>
      </c>
      <c r="P101" s="9"/>
      <c r="Q101" s="9"/>
    </row>
    <row r="102" spans="2:17" x14ac:dyDescent="0.35">
      <c r="B102" s="6">
        <f t="shared" si="1"/>
        <v>92</v>
      </c>
      <c r="C102" s="7">
        <v>46048</v>
      </c>
      <c r="D102" s="8" t="s">
        <v>16</v>
      </c>
      <c r="E102" s="19">
        <v>28</v>
      </c>
      <c r="F102" s="6" t="s">
        <v>316</v>
      </c>
      <c r="G102" s="8" t="s">
        <v>317</v>
      </c>
      <c r="H102" s="127" t="s">
        <v>290</v>
      </c>
      <c r="I102" s="125" t="s">
        <v>318</v>
      </c>
      <c r="J102" s="127" t="s">
        <v>319</v>
      </c>
      <c r="K102" s="57" t="s">
        <v>22</v>
      </c>
      <c r="L102" s="48" t="s">
        <v>23</v>
      </c>
      <c r="M102" s="57" t="s">
        <v>215</v>
      </c>
      <c r="N102" s="6" t="s">
        <v>132</v>
      </c>
      <c r="O102" s="10" t="s">
        <v>216</v>
      </c>
      <c r="P102" s="9"/>
      <c r="Q102" s="9"/>
    </row>
    <row r="103" spans="2:17" x14ac:dyDescent="0.35">
      <c r="B103" s="6">
        <f t="shared" si="1"/>
        <v>93</v>
      </c>
      <c r="C103" s="7">
        <v>46048</v>
      </c>
      <c r="D103" s="8" t="s">
        <v>320</v>
      </c>
      <c r="E103" s="19">
        <v>28</v>
      </c>
      <c r="F103" s="6" t="s">
        <v>121</v>
      </c>
      <c r="G103" s="8" t="s">
        <v>122</v>
      </c>
      <c r="H103" s="132" t="s">
        <v>123</v>
      </c>
      <c r="I103" s="133" t="s">
        <v>124</v>
      </c>
      <c r="J103" s="132" t="s">
        <v>125</v>
      </c>
      <c r="K103" s="57" t="s">
        <v>108</v>
      </c>
      <c r="L103" s="130" t="s">
        <v>109</v>
      </c>
      <c r="M103" s="130" t="s">
        <v>110</v>
      </c>
      <c r="N103" s="6" t="s">
        <v>132</v>
      </c>
      <c r="O103" s="10" t="s">
        <v>126</v>
      </c>
      <c r="P103" s="9"/>
      <c r="Q103" s="9"/>
    </row>
    <row r="104" spans="2:17" x14ac:dyDescent="0.35">
      <c r="B104" s="131">
        <f t="shared" si="1"/>
        <v>94</v>
      </c>
      <c r="C104" s="7">
        <v>46055</v>
      </c>
      <c r="D104" s="6" t="s">
        <v>16</v>
      </c>
      <c r="E104" s="59">
        <v>29</v>
      </c>
      <c r="F104" s="6" t="s">
        <v>321</v>
      </c>
      <c r="G104" s="6" t="s">
        <v>322</v>
      </c>
      <c r="H104" s="132" t="s">
        <v>290</v>
      </c>
      <c r="I104" s="132" t="s">
        <v>318</v>
      </c>
      <c r="J104" s="133" t="s">
        <v>319</v>
      </c>
      <c r="K104" s="133" t="s">
        <v>22</v>
      </c>
      <c r="L104" s="135" t="s">
        <v>23</v>
      </c>
      <c r="M104" s="135" t="s">
        <v>215</v>
      </c>
      <c r="N104" s="129" t="s">
        <v>323</v>
      </c>
      <c r="O104" s="129" t="s">
        <v>324</v>
      </c>
      <c r="P104" s="9"/>
      <c r="Q104" s="9"/>
    </row>
    <row r="105" spans="2:17" x14ac:dyDescent="0.35">
      <c r="B105" s="6">
        <f t="shared" si="1"/>
        <v>95</v>
      </c>
      <c r="C105" s="7">
        <v>46055</v>
      </c>
      <c r="D105" s="6" t="s">
        <v>16</v>
      </c>
      <c r="E105" s="59">
        <v>29</v>
      </c>
      <c r="F105" s="6" t="s">
        <v>325</v>
      </c>
      <c r="G105" s="6" t="s">
        <v>326</v>
      </c>
      <c r="H105" s="134" t="s">
        <v>290</v>
      </c>
      <c r="I105" s="134" t="s">
        <v>318</v>
      </c>
      <c r="J105" s="133" t="s">
        <v>319</v>
      </c>
      <c r="K105" s="133" t="s">
        <v>22</v>
      </c>
      <c r="L105" s="135" t="s">
        <v>23</v>
      </c>
      <c r="M105" s="135" t="s">
        <v>215</v>
      </c>
      <c r="N105" s="129" t="s">
        <v>323</v>
      </c>
      <c r="O105" s="129" t="s">
        <v>324</v>
      </c>
      <c r="P105" s="9"/>
      <c r="Q105" s="9"/>
    </row>
    <row r="106" spans="2:17" x14ac:dyDescent="0.35">
      <c r="B106" s="6">
        <f t="shared" si="1"/>
        <v>96</v>
      </c>
      <c r="C106" s="7">
        <v>46055</v>
      </c>
      <c r="D106" s="6" t="s">
        <v>16</v>
      </c>
      <c r="E106" s="59">
        <v>29</v>
      </c>
      <c r="F106" s="6" t="s">
        <v>327</v>
      </c>
      <c r="G106" s="6" t="s">
        <v>328</v>
      </c>
      <c r="H106" s="134" t="s">
        <v>264</v>
      </c>
      <c r="I106" s="134" t="s">
        <v>329</v>
      </c>
      <c r="J106" s="133" t="s">
        <v>330</v>
      </c>
      <c r="K106" s="133" t="s">
        <v>22</v>
      </c>
      <c r="L106" s="135" t="s">
        <v>23</v>
      </c>
      <c r="M106" s="135" t="s">
        <v>215</v>
      </c>
      <c r="N106" s="129" t="s">
        <v>323</v>
      </c>
      <c r="O106" s="129" t="s">
        <v>324</v>
      </c>
      <c r="P106" s="9"/>
      <c r="Q106" s="9"/>
    </row>
    <row r="107" spans="2:17" x14ac:dyDescent="0.35">
      <c r="B107" s="6">
        <f t="shared" si="1"/>
        <v>97</v>
      </c>
      <c r="C107" s="7">
        <v>46055</v>
      </c>
      <c r="D107" s="6" t="s">
        <v>16</v>
      </c>
      <c r="E107" s="59">
        <v>29</v>
      </c>
      <c r="F107" s="6" t="s">
        <v>331</v>
      </c>
      <c r="G107" s="6" t="s">
        <v>332</v>
      </c>
      <c r="H107" s="134" t="s">
        <v>333</v>
      </c>
      <c r="I107" s="134" t="s">
        <v>334</v>
      </c>
      <c r="J107" s="133" t="s">
        <v>335</v>
      </c>
      <c r="K107" s="133" t="s">
        <v>22</v>
      </c>
      <c r="L107" s="135" t="s">
        <v>23</v>
      </c>
      <c r="M107" s="135" t="s">
        <v>303</v>
      </c>
      <c r="N107" s="129" t="s">
        <v>323</v>
      </c>
      <c r="O107" s="129" t="s">
        <v>324</v>
      </c>
      <c r="P107" s="9"/>
      <c r="Q107" s="9"/>
    </row>
    <row r="108" spans="2:17" x14ac:dyDescent="0.35">
      <c r="B108" s="6">
        <f t="shared" si="1"/>
        <v>98</v>
      </c>
      <c r="C108" s="7">
        <v>46055</v>
      </c>
      <c r="D108" s="6" t="s">
        <v>16</v>
      </c>
      <c r="E108" s="59">
        <v>29</v>
      </c>
      <c r="F108" s="6" t="s">
        <v>336</v>
      </c>
      <c r="G108" s="6" t="s">
        <v>337</v>
      </c>
      <c r="H108" s="134" t="s">
        <v>264</v>
      </c>
      <c r="I108" s="134" t="s">
        <v>265</v>
      </c>
      <c r="J108" s="133" t="s">
        <v>266</v>
      </c>
      <c r="K108" s="133" t="s">
        <v>22</v>
      </c>
      <c r="L108" s="135" t="s">
        <v>23</v>
      </c>
      <c r="M108" s="135" t="s">
        <v>215</v>
      </c>
      <c r="N108" s="129" t="s">
        <v>323</v>
      </c>
      <c r="O108" s="129" t="s">
        <v>324</v>
      </c>
      <c r="P108" s="9"/>
      <c r="Q108" s="9"/>
    </row>
    <row r="109" spans="2:17" x14ac:dyDescent="0.35">
      <c r="B109" s="6">
        <f t="shared" si="1"/>
        <v>99</v>
      </c>
      <c r="C109" s="7">
        <v>46055</v>
      </c>
      <c r="D109" s="6" t="s">
        <v>16</v>
      </c>
      <c r="E109" s="59">
        <v>29</v>
      </c>
      <c r="F109" s="6" t="s">
        <v>338</v>
      </c>
      <c r="G109" s="6" t="s">
        <v>339</v>
      </c>
      <c r="H109" s="134" t="s">
        <v>219</v>
      </c>
      <c r="I109" s="134" t="s">
        <v>253</v>
      </c>
      <c r="J109" s="133" t="s">
        <v>254</v>
      </c>
      <c r="K109" s="133" t="s">
        <v>22</v>
      </c>
      <c r="L109" s="135" t="s">
        <v>23</v>
      </c>
      <c r="M109" s="135" t="s">
        <v>215</v>
      </c>
      <c r="N109" s="129" t="s">
        <v>323</v>
      </c>
      <c r="O109" s="129" t="s">
        <v>324</v>
      </c>
      <c r="P109" s="9"/>
      <c r="Q109" s="9"/>
    </row>
    <row r="110" spans="2:17" x14ac:dyDescent="0.35">
      <c r="B110" s="6">
        <f t="shared" si="1"/>
        <v>100</v>
      </c>
      <c r="C110" s="7">
        <v>46055</v>
      </c>
      <c r="D110" s="6" t="s">
        <v>16</v>
      </c>
      <c r="E110" s="59">
        <v>29</v>
      </c>
      <c r="F110" s="6" t="s">
        <v>340</v>
      </c>
      <c r="G110" s="6" t="s">
        <v>341</v>
      </c>
      <c r="H110" s="134" t="s">
        <v>333</v>
      </c>
      <c r="I110" s="134" t="s">
        <v>334</v>
      </c>
      <c r="J110" s="133" t="s">
        <v>335</v>
      </c>
      <c r="K110" s="133" t="s">
        <v>22</v>
      </c>
      <c r="L110" s="135" t="s">
        <v>23</v>
      </c>
      <c r="M110" s="135" t="s">
        <v>303</v>
      </c>
      <c r="N110" s="129" t="s">
        <v>323</v>
      </c>
      <c r="O110" s="129" t="s">
        <v>324</v>
      </c>
      <c r="P110" s="9"/>
      <c r="Q110" s="9"/>
    </row>
    <row r="111" spans="2:17" x14ac:dyDescent="0.35">
      <c r="B111" s="6">
        <f t="shared" si="1"/>
        <v>101</v>
      </c>
      <c r="C111" s="7">
        <v>46055</v>
      </c>
      <c r="D111" s="6" t="s">
        <v>16</v>
      </c>
      <c r="E111" s="59">
        <v>29</v>
      </c>
      <c r="F111" s="6" t="s">
        <v>342</v>
      </c>
      <c r="G111" s="6" t="s">
        <v>343</v>
      </c>
      <c r="H111" s="134" t="s">
        <v>212</v>
      </c>
      <c r="I111" s="134" t="s">
        <v>301</v>
      </c>
      <c r="J111" s="133" t="s">
        <v>302</v>
      </c>
      <c r="K111" s="133" t="s">
        <v>22</v>
      </c>
      <c r="L111" s="135" t="s">
        <v>23</v>
      </c>
      <c r="M111" s="135" t="s">
        <v>303</v>
      </c>
      <c r="N111" s="129" t="s">
        <v>323</v>
      </c>
      <c r="O111" s="129" t="s">
        <v>324</v>
      </c>
      <c r="P111" s="9"/>
      <c r="Q111" s="9"/>
    </row>
    <row r="112" spans="2:17" s="65" customFormat="1" x14ac:dyDescent="0.35">
      <c r="B112" s="19">
        <f t="shared" si="1"/>
        <v>102</v>
      </c>
      <c r="C112" s="42">
        <v>46055</v>
      </c>
      <c r="D112" s="19" t="s">
        <v>16</v>
      </c>
      <c r="E112" s="59">
        <v>29</v>
      </c>
      <c r="F112" s="19" t="s">
        <v>344</v>
      </c>
      <c r="G112" s="19" t="s">
        <v>345</v>
      </c>
      <c r="H112" s="289" t="s">
        <v>346</v>
      </c>
      <c r="I112" s="289" t="s">
        <v>347</v>
      </c>
      <c r="J112" s="123" t="s">
        <v>348</v>
      </c>
      <c r="K112" s="123" t="s">
        <v>22</v>
      </c>
      <c r="L112" s="289" t="s">
        <v>23</v>
      </c>
      <c r="M112" s="289" t="s">
        <v>303</v>
      </c>
      <c r="N112" s="11" t="s">
        <v>323</v>
      </c>
      <c r="O112" s="11" t="s">
        <v>324</v>
      </c>
      <c r="P112" s="64"/>
      <c r="Q112" s="64"/>
    </row>
    <row r="113" spans="2:17" x14ac:dyDescent="0.35">
      <c r="B113" s="6">
        <f t="shared" si="1"/>
        <v>103</v>
      </c>
      <c r="C113" s="7">
        <v>46055</v>
      </c>
      <c r="D113" s="6" t="s">
        <v>16</v>
      </c>
      <c r="E113" s="59">
        <v>29</v>
      </c>
      <c r="F113" s="6" t="s">
        <v>349</v>
      </c>
      <c r="G113" s="6" t="s">
        <v>350</v>
      </c>
      <c r="H113" s="134" t="s">
        <v>212</v>
      </c>
      <c r="I113" s="134" t="s">
        <v>351</v>
      </c>
      <c r="J113" s="133" t="s">
        <v>352</v>
      </c>
      <c r="K113" s="133" t="s">
        <v>22</v>
      </c>
      <c r="L113" s="135" t="s">
        <v>23</v>
      </c>
      <c r="M113" s="135" t="s">
        <v>215</v>
      </c>
      <c r="N113" s="129" t="s">
        <v>323</v>
      </c>
      <c r="O113" s="129" t="s">
        <v>324</v>
      </c>
      <c r="P113" s="9"/>
      <c r="Q113" s="9"/>
    </row>
    <row r="114" spans="2:17" x14ac:dyDescent="0.35">
      <c r="B114" s="6">
        <f t="shared" si="1"/>
        <v>104</v>
      </c>
      <c r="C114" s="7">
        <v>46055</v>
      </c>
      <c r="D114" s="6" t="s">
        <v>16</v>
      </c>
      <c r="E114" s="59">
        <v>29</v>
      </c>
      <c r="F114" s="6" t="s">
        <v>353</v>
      </c>
      <c r="G114" s="8" t="s">
        <v>354</v>
      </c>
      <c r="H114" s="135" t="s">
        <v>226</v>
      </c>
      <c r="I114" s="134" t="s">
        <v>227</v>
      </c>
      <c r="J114" s="136" t="s">
        <v>228</v>
      </c>
      <c r="K114" s="133" t="s">
        <v>22</v>
      </c>
      <c r="L114" s="135" t="s">
        <v>23</v>
      </c>
      <c r="M114" s="135" t="s">
        <v>215</v>
      </c>
      <c r="N114" s="129" t="s">
        <v>323</v>
      </c>
      <c r="O114" s="129" t="s">
        <v>324</v>
      </c>
      <c r="P114" s="9"/>
      <c r="Q114" s="9"/>
    </row>
    <row r="115" spans="2:17" x14ac:dyDescent="0.35">
      <c r="B115" s="6">
        <f t="shared" si="1"/>
        <v>105</v>
      </c>
      <c r="C115" s="7">
        <v>46055</v>
      </c>
      <c r="D115" s="6" t="s">
        <v>16</v>
      </c>
      <c r="E115" s="59">
        <v>29</v>
      </c>
      <c r="F115" s="6" t="s">
        <v>355</v>
      </c>
      <c r="G115" s="10" t="s">
        <v>356</v>
      </c>
      <c r="H115" s="135" t="s">
        <v>219</v>
      </c>
      <c r="I115" s="134" t="s">
        <v>253</v>
      </c>
      <c r="J115" s="136" t="s">
        <v>254</v>
      </c>
      <c r="K115" s="133" t="s">
        <v>22</v>
      </c>
      <c r="L115" s="135" t="s">
        <v>23</v>
      </c>
      <c r="M115" s="135" t="s">
        <v>215</v>
      </c>
      <c r="N115" s="129" t="s">
        <v>323</v>
      </c>
      <c r="O115" s="129" t="s">
        <v>324</v>
      </c>
      <c r="P115" s="9"/>
      <c r="Q115" s="9"/>
    </row>
    <row r="116" spans="2:17" x14ac:dyDescent="0.35">
      <c r="B116" s="6">
        <f t="shared" si="1"/>
        <v>106</v>
      </c>
      <c r="C116" s="7">
        <v>46055</v>
      </c>
      <c r="D116" s="6" t="s">
        <v>16</v>
      </c>
      <c r="E116" s="59">
        <v>29</v>
      </c>
      <c r="F116" s="6" t="s">
        <v>357</v>
      </c>
      <c r="G116" s="10" t="s">
        <v>358</v>
      </c>
      <c r="H116" s="135" t="s">
        <v>212</v>
      </c>
      <c r="I116" s="134" t="s">
        <v>359</v>
      </c>
      <c r="J116" s="136" t="s">
        <v>360</v>
      </c>
      <c r="K116" s="133" t="s">
        <v>22</v>
      </c>
      <c r="L116" s="135" t="s">
        <v>23</v>
      </c>
      <c r="M116" s="135" t="s">
        <v>215</v>
      </c>
      <c r="N116" s="129" t="s">
        <v>323</v>
      </c>
      <c r="O116" s="129" t="s">
        <v>324</v>
      </c>
      <c r="P116" s="9"/>
      <c r="Q116" s="9"/>
    </row>
    <row r="117" spans="2:17" x14ac:dyDescent="0.35">
      <c r="B117" s="6">
        <f t="shared" si="1"/>
        <v>107</v>
      </c>
      <c r="C117" s="7">
        <v>46055</v>
      </c>
      <c r="D117" s="6" t="s">
        <v>16</v>
      </c>
      <c r="E117" s="59">
        <v>29</v>
      </c>
      <c r="F117" s="6" t="s">
        <v>361</v>
      </c>
      <c r="G117" s="10" t="s">
        <v>362</v>
      </c>
      <c r="H117" s="135" t="s">
        <v>219</v>
      </c>
      <c r="I117" s="134" t="s">
        <v>253</v>
      </c>
      <c r="J117" s="136" t="s">
        <v>254</v>
      </c>
      <c r="K117" s="133" t="s">
        <v>22</v>
      </c>
      <c r="L117" s="135" t="s">
        <v>23</v>
      </c>
      <c r="M117" s="135" t="s">
        <v>215</v>
      </c>
      <c r="N117" s="129" t="s">
        <v>323</v>
      </c>
      <c r="O117" s="129" t="s">
        <v>324</v>
      </c>
      <c r="P117" s="9"/>
      <c r="Q117" s="9"/>
    </row>
    <row r="118" spans="2:17" x14ac:dyDescent="0.35">
      <c r="B118" s="6">
        <f t="shared" si="1"/>
        <v>108</v>
      </c>
      <c r="C118" s="7">
        <v>46055</v>
      </c>
      <c r="D118" s="6" t="s">
        <v>16</v>
      </c>
      <c r="E118" s="59">
        <v>29</v>
      </c>
      <c r="F118" s="6" t="s">
        <v>363</v>
      </c>
      <c r="G118" s="10" t="s">
        <v>364</v>
      </c>
      <c r="H118" s="135" t="s">
        <v>219</v>
      </c>
      <c r="I118" s="134" t="s">
        <v>365</v>
      </c>
      <c r="J118" s="136" t="s">
        <v>366</v>
      </c>
      <c r="K118" s="133" t="s">
        <v>22</v>
      </c>
      <c r="L118" s="135" t="s">
        <v>23</v>
      </c>
      <c r="M118" s="135" t="s">
        <v>215</v>
      </c>
      <c r="N118" s="129" t="s">
        <v>323</v>
      </c>
      <c r="O118" s="129" t="s">
        <v>324</v>
      </c>
      <c r="P118" s="9"/>
      <c r="Q118" s="9"/>
    </row>
    <row r="119" spans="2:17" x14ac:dyDescent="0.35">
      <c r="B119" s="6">
        <f t="shared" si="1"/>
        <v>109</v>
      </c>
      <c r="C119" s="7">
        <v>46055</v>
      </c>
      <c r="D119" s="6" t="s">
        <v>16</v>
      </c>
      <c r="E119" s="59">
        <v>29</v>
      </c>
      <c r="F119" s="6" t="s">
        <v>367</v>
      </c>
      <c r="G119" s="8" t="s">
        <v>368</v>
      </c>
      <c r="H119" s="134" t="s">
        <v>219</v>
      </c>
      <c r="I119" s="134" t="s">
        <v>365</v>
      </c>
      <c r="J119" s="132" t="s">
        <v>366</v>
      </c>
      <c r="K119" s="133" t="s">
        <v>22</v>
      </c>
      <c r="L119" s="135" t="s">
        <v>23</v>
      </c>
      <c r="M119" s="135" t="s">
        <v>215</v>
      </c>
      <c r="N119" s="129" t="s">
        <v>323</v>
      </c>
      <c r="O119" s="129" t="s">
        <v>324</v>
      </c>
      <c r="P119" s="9"/>
      <c r="Q119" s="9"/>
    </row>
    <row r="120" spans="2:17" x14ac:dyDescent="0.35">
      <c r="B120" s="6">
        <f t="shared" si="1"/>
        <v>110</v>
      </c>
      <c r="C120" s="7">
        <v>46055</v>
      </c>
      <c r="D120" s="6" t="s">
        <v>16</v>
      </c>
      <c r="E120" s="59">
        <v>29</v>
      </c>
      <c r="F120" s="6" t="s">
        <v>369</v>
      </c>
      <c r="G120" s="8" t="s">
        <v>370</v>
      </c>
      <c r="H120" s="134" t="s">
        <v>219</v>
      </c>
      <c r="I120" s="134" t="s">
        <v>365</v>
      </c>
      <c r="J120" s="132" t="s">
        <v>366</v>
      </c>
      <c r="K120" s="133" t="s">
        <v>22</v>
      </c>
      <c r="L120" s="135" t="s">
        <v>23</v>
      </c>
      <c r="M120" s="135" t="s">
        <v>215</v>
      </c>
      <c r="N120" s="129" t="s">
        <v>323</v>
      </c>
      <c r="O120" s="129" t="s">
        <v>324</v>
      </c>
      <c r="P120" s="9"/>
      <c r="Q120" s="9"/>
    </row>
    <row r="121" spans="2:17" x14ac:dyDescent="0.35">
      <c r="B121" s="6">
        <f t="shared" si="1"/>
        <v>111</v>
      </c>
      <c r="C121" s="7">
        <v>46055</v>
      </c>
      <c r="D121" s="6" t="s">
        <v>16</v>
      </c>
      <c r="E121" s="59">
        <v>29</v>
      </c>
      <c r="F121" s="6" t="s">
        <v>371</v>
      </c>
      <c r="G121" s="8" t="s">
        <v>372</v>
      </c>
      <c r="H121" s="134" t="s">
        <v>219</v>
      </c>
      <c r="I121" s="134" t="s">
        <v>220</v>
      </c>
      <c r="J121" s="132" t="s">
        <v>221</v>
      </c>
      <c r="K121" s="133" t="s">
        <v>22</v>
      </c>
      <c r="L121" s="135" t="s">
        <v>23</v>
      </c>
      <c r="M121" s="135" t="s">
        <v>215</v>
      </c>
      <c r="N121" s="129" t="s">
        <v>323</v>
      </c>
      <c r="O121" s="129" t="s">
        <v>324</v>
      </c>
      <c r="P121" s="9"/>
      <c r="Q121" s="9"/>
    </row>
    <row r="122" spans="2:17" x14ac:dyDescent="0.35">
      <c r="B122" s="6">
        <f t="shared" si="1"/>
        <v>112</v>
      </c>
      <c r="C122" s="7">
        <v>46055</v>
      </c>
      <c r="D122" s="6" t="s">
        <v>16</v>
      </c>
      <c r="E122" s="59">
        <v>29</v>
      </c>
      <c r="F122" s="6" t="s">
        <v>373</v>
      </c>
      <c r="G122" s="8" t="s">
        <v>374</v>
      </c>
      <c r="H122" s="134" t="s">
        <v>219</v>
      </c>
      <c r="I122" s="134" t="s">
        <v>253</v>
      </c>
      <c r="J122" s="132" t="s">
        <v>254</v>
      </c>
      <c r="K122" s="133" t="s">
        <v>22</v>
      </c>
      <c r="L122" s="135" t="s">
        <v>23</v>
      </c>
      <c r="M122" s="135" t="s">
        <v>215</v>
      </c>
      <c r="N122" s="129" t="s">
        <v>323</v>
      </c>
      <c r="O122" s="129" t="s">
        <v>324</v>
      </c>
      <c r="P122" s="9"/>
      <c r="Q122" s="9"/>
    </row>
    <row r="123" spans="2:17" x14ac:dyDescent="0.35">
      <c r="B123" s="6">
        <f t="shared" si="1"/>
        <v>113</v>
      </c>
      <c r="C123" s="7">
        <v>46055</v>
      </c>
      <c r="D123" s="6" t="s">
        <v>16</v>
      </c>
      <c r="E123" s="59">
        <v>29</v>
      </c>
      <c r="F123" s="6" t="s">
        <v>375</v>
      </c>
      <c r="G123" s="8" t="s">
        <v>376</v>
      </c>
      <c r="H123" s="134" t="s">
        <v>219</v>
      </c>
      <c r="I123" s="134" t="s">
        <v>253</v>
      </c>
      <c r="J123" s="132" t="s">
        <v>254</v>
      </c>
      <c r="K123" s="133" t="s">
        <v>22</v>
      </c>
      <c r="L123" s="135" t="s">
        <v>23</v>
      </c>
      <c r="M123" s="135" t="s">
        <v>215</v>
      </c>
      <c r="N123" s="129" t="s">
        <v>323</v>
      </c>
      <c r="O123" s="129" t="s">
        <v>324</v>
      </c>
      <c r="P123" s="9"/>
      <c r="Q123" s="9"/>
    </row>
    <row r="124" spans="2:17" x14ac:dyDescent="0.35">
      <c r="B124" s="6">
        <f t="shared" si="1"/>
        <v>114</v>
      </c>
      <c r="C124" s="7">
        <v>46055</v>
      </c>
      <c r="D124" s="6" t="s">
        <v>16</v>
      </c>
      <c r="E124" s="59">
        <v>29</v>
      </c>
      <c r="F124" s="6" t="s">
        <v>377</v>
      </c>
      <c r="G124" s="8" t="s">
        <v>378</v>
      </c>
      <c r="H124" s="132" t="s">
        <v>212</v>
      </c>
      <c r="I124" s="133" t="s">
        <v>379</v>
      </c>
      <c r="J124" s="132" t="s">
        <v>380</v>
      </c>
      <c r="K124" s="6" t="s">
        <v>22</v>
      </c>
      <c r="L124" s="129" t="s">
        <v>23</v>
      </c>
      <c r="M124" s="129" t="s">
        <v>381</v>
      </c>
      <c r="N124" s="129" t="s">
        <v>323</v>
      </c>
      <c r="O124" s="129" t="s">
        <v>382</v>
      </c>
      <c r="P124" s="261" t="s">
        <v>178</v>
      </c>
      <c r="Q124" s="9" t="s">
        <v>179</v>
      </c>
    </row>
    <row r="125" spans="2:17" x14ac:dyDescent="0.35">
      <c r="B125" s="6">
        <f t="shared" si="1"/>
        <v>115</v>
      </c>
      <c r="C125" s="7">
        <v>46055</v>
      </c>
      <c r="D125" s="8" t="s">
        <v>320</v>
      </c>
      <c r="E125" s="59">
        <v>29</v>
      </c>
      <c r="F125" s="6" t="s">
        <v>121</v>
      </c>
      <c r="G125" s="8" t="s">
        <v>122</v>
      </c>
      <c r="H125" s="132" t="s">
        <v>123</v>
      </c>
      <c r="I125" s="133" t="s">
        <v>124</v>
      </c>
      <c r="J125" s="132" t="s">
        <v>125</v>
      </c>
      <c r="K125" s="57" t="s">
        <v>108</v>
      </c>
      <c r="L125" s="130" t="s">
        <v>109</v>
      </c>
      <c r="M125" s="130" t="s">
        <v>110</v>
      </c>
      <c r="N125" s="129" t="s">
        <v>323</v>
      </c>
      <c r="O125" s="129" t="s">
        <v>383</v>
      </c>
      <c r="P125" s="9"/>
      <c r="Q125" s="9"/>
    </row>
    <row r="126" spans="2:17" x14ac:dyDescent="0.35">
      <c r="B126" s="137">
        <f>B125+1</f>
        <v>116</v>
      </c>
      <c r="C126" s="7">
        <v>46062</v>
      </c>
      <c r="D126" s="6" t="s">
        <v>16</v>
      </c>
      <c r="E126" s="59">
        <v>30</v>
      </c>
      <c r="F126" s="6" t="s">
        <v>384</v>
      </c>
      <c r="G126" s="6" t="s">
        <v>385</v>
      </c>
      <c r="H126" s="132" t="s">
        <v>226</v>
      </c>
      <c r="I126" s="132" t="s">
        <v>231</v>
      </c>
      <c r="J126" s="133" t="s">
        <v>232</v>
      </c>
      <c r="K126" s="133" t="s">
        <v>22</v>
      </c>
      <c r="L126" s="135" t="s">
        <v>23</v>
      </c>
      <c r="M126" s="135" t="s">
        <v>215</v>
      </c>
      <c r="N126" s="129" t="s">
        <v>386</v>
      </c>
      <c r="O126" s="129" t="s">
        <v>387</v>
      </c>
      <c r="P126" s="9"/>
      <c r="Q126" s="9"/>
    </row>
    <row r="127" spans="2:17" x14ac:dyDescent="0.35">
      <c r="B127" s="6">
        <f>B126+1</f>
        <v>117</v>
      </c>
      <c r="C127" s="7">
        <v>46062</v>
      </c>
      <c r="D127" s="6" t="s">
        <v>16</v>
      </c>
      <c r="E127" s="59">
        <v>30</v>
      </c>
      <c r="F127" s="6" t="s">
        <v>388</v>
      </c>
      <c r="G127" s="6" t="s">
        <v>389</v>
      </c>
      <c r="H127" s="134" t="s">
        <v>226</v>
      </c>
      <c r="I127" s="134" t="s">
        <v>227</v>
      </c>
      <c r="J127" s="133" t="s">
        <v>228</v>
      </c>
      <c r="K127" s="133" t="s">
        <v>22</v>
      </c>
      <c r="L127" s="135" t="s">
        <v>23</v>
      </c>
      <c r="M127" s="135" t="s">
        <v>215</v>
      </c>
      <c r="N127" s="129" t="s">
        <v>386</v>
      </c>
      <c r="O127" s="129" t="s">
        <v>387</v>
      </c>
      <c r="P127" s="9"/>
      <c r="Q127" s="9"/>
    </row>
    <row r="128" spans="2:17" x14ac:dyDescent="0.35">
      <c r="B128" s="6">
        <f t="shared" ref="B128:B158" si="2">B127+1</f>
        <v>118</v>
      </c>
      <c r="C128" s="7">
        <v>46062</v>
      </c>
      <c r="D128" s="6" t="s">
        <v>16</v>
      </c>
      <c r="E128" s="59">
        <v>30</v>
      </c>
      <c r="F128" s="6" t="s">
        <v>390</v>
      </c>
      <c r="G128" s="6" t="s">
        <v>391</v>
      </c>
      <c r="H128" s="134" t="s">
        <v>290</v>
      </c>
      <c r="I128" s="134" t="s">
        <v>314</v>
      </c>
      <c r="J128" s="133" t="s">
        <v>315</v>
      </c>
      <c r="K128" s="133" t="s">
        <v>22</v>
      </c>
      <c r="L128" s="135" t="s">
        <v>23</v>
      </c>
      <c r="M128" s="135" t="s">
        <v>215</v>
      </c>
      <c r="N128" s="129" t="s">
        <v>386</v>
      </c>
      <c r="O128" s="129" t="s">
        <v>387</v>
      </c>
      <c r="P128" s="9"/>
      <c r="Q128" s="9"/>
    </row>
    <row r="129" spans="1:17" x14ac:dyDescent="0.35">
      <c r="B129" s="6">
        <f t="shared" si="2"/>
        <v>119</v>
      </c>
      <c r="C129" s="7">
        <v>46062</v>
      </c>
      <c r="D129" s="6" t="s">
        <v>16</v>
      </c>
      <c r="E129" s="59">
        <v>30</v>
      </c>
      <c r="F129" s="6" t="s">
        <v>392</v>
      </c>
      <c r="G129" s="6" t="s">
        <v>393</v>
      </c>
      <c r="H129" s="134" t="s">
        <v>226</v>
      </c>
      <c r="I129" s="134" t="s">
        <v>227</v>
      </c>
      <c r="J129" s="133" t="s">
        <v>228</v>
      </c>
      <c r="K129" s="133" t="s">
        <v>22</v>
      </c>
      <c r="L129" s="135" t="s">
        <v>23</v>
      </c>
      <c r="M129" s="135" t="s">
        <v>215</v>
      </c>
      <c r="N129" s="129" t="s">
        <v>386</v>
      </c>
      <c r="O129" s="129" t="s">
        <v>387</v>
      </c>
      <c r="P129" s="9"/>
      <c r="Q129" s="9"/>
    </row>
    <row r="130" spans="1:17" x14ac:dyDescent="0.35">
      <c r="B130" s="6">
        <f t="shared" si="2"/>
        <v>120</v>
      </c>
      <c r="C130" s="7">
        <v>46062</v>
      </c>
      <c r="D130" s="6" t="s">
        <v>16</v>
      </c>
      <c r="E130" s="59">
        <v>30</v>
      </c>
      <c r="F130" s="6" t="s">
        <v>394</v>
      </c>
      <c r="G130" s="6" t="s">
        <v>395</v>
      </c>
      <c r="H130" s="134" t="s">
        <v>240</v>
      </c>
      <c r="I130" s="134" t="s">
        <v>396</v>
      </c>
      <c r="J130" s="133" t="s">
        <v>397</v>
      </c>
      <c r="K130" s="133" t="s">
        <v>22</v>
      </c>
      <c r="L130" s="135" t="s">
        <v>23</v>
      </c>
      <c r="M130" s="135" t="s">
        <v>215</v>
      </c>
      <c r="N130" s="129" t="s">
        <v>386</v>
      </c>
      <c r="O130" s="129" t="s">
        <v>387</v>
      </c>
      <c r="P130" s="261"/>
      <c r="Q130" s="9"/>
    </row>
    <row r="131" spans="1:17" x14ac:dyDescent="0.35">
      <c r="B131" s="6">
        <f t="shared" si="2"/>
        <v>121</v>
      </c>
      <c r="C131" s="7">
        <v>46062</v>
      </c>
      <c r="D131" s="6" t="s">
        <v>16</v>
      </c>
      <c r="E131" s="59">
        <v>30</v>
      </c>
      <c r="F131" s="6" t="s">
        <v>398</v>
      </c>
      <c r="G131" s="6" t="s">
        <v>399</v>
      </c>
      <c r="H131" s="134" t="s">
        <v>240</v>
      </c>
      <c r="I131" s="134" t="s">
        <v>400</v>
      </c>
      <c r="J131" s="133" t="s">
        <v>401</v>
      </c>
      <c r="K131" s="133" t="s">
        <v>22</v>
      </c>
      <c r="L131" s="135" t="s">
        <v>23</v>
      </c>
      <c r="M131" s="135" t="s">
        <v>215</v>
      </c>
      <c r="N131" s="129" t="s">
        <v>386</v>
      </c>
      <c r="O131" s="129" t="s">
        <v>387</v>
      </c>
      <c r="P131" s="9"/>
      <c r="Q131" s="9"/>
    </row>
    <row r="132" spans="1:17" x14ac:dyDescent="0.35">
      <c r="B132" s="6">
        <f t="shared" si="2"/>
        <v>122</v>
      </c>
      <c r="C132" s="7">
        <v>46062</v>
      </c>
      <c r="D132" s="6" t="s">
        <v>16</v>
      </c>
      <c r="E132" s="59">
        <v>30</v>
      </c>
      <c r="F132" s="6" t="s">
        <v>402</v>
      </c>
      <c r="G132" s="6" t="s">
        <v>403</v>
      </c>
      <c r="H132" s="134" t="s">
        <v>212</v>
      </c>
      <c r="I132" s="134" t="s">
        <v>404</v>
      </c>
      <c r="J132" s="133" t="s">
        <v>405</v>
      </c>
      <c r="K132" s="133" t="s">
        <v>22</v>
      </c>
      <c r="L132" s="135" t="s">
        <v>23</v>
      </c>
      <c r="M132" s="135" t="s">
        <v>215</v>
      </c>
      <c r="N132" s="129" t="s">
        <v>386</v>
      </c>
      <c r="O132" s="129" t="s">
        <v>387</v>
      </c>
      <c r="P132" s="9"/>
      <c r="Q132" s="9"/>
    </row>
    <row r="133" spans="1:17" x14ac:dyDescent="0.35">
      <c r="B133" s="6">
        <f t="shared" si="2"/>
        <v>123</v>
      </c>
      <c r="C133" s="7">
        <v>46062</v>
      </c>
      <c r="D133" s="6" t="s">
        <v>16</v>
      </c>
      <c r="E133" s="59">
        <v>30</v>
      </c>
      <c r="F133" s="6" t="s">
        <v>406</v>
      </c>
      <c r="G133" s="6" t="s">
        <v>407</v>
      </c>
      <c r="H133" s="134" t="s">
        <v>226</v>
      </c>
      <c r="I133" s="134" t="s">
        <v>231</v>
      </c>
      <c r="J133" s="133" t="s">
        <v>232</v>
      </c>
      <c r="K133" s="133" t="s">
        <v>22</v>
      </c>
      <c r="L133" s="135" t="s">
        <v>23</v>
      </c>
      <c r="M133" s="135" t="s">
        <v>215</v>
      </c>
      <c r="N133" s="129" t="s">
        <v>386</v>
      </c>
      <c r="O133" s="129" t="s">
        <v>387</v>
      </c>
      <c r="P133" s="9"/>
      <c r="Q133" s="9"/>
    </row>
    <row r="134" spans="1:17" x14ac:dyDescent="0.35">
      <c r="A134" s="9"/>
      <c r="B134" s="6">
        <f t="shared" si="2"/>
        <v>124</v>
      </c>
      <c r="C134" s="7">
        <v>46062</v>
      </c>
      <c r="D134" s="6" t="s">
        <v>16</v>
      </c>
      <c r="E134" s="59">
        <v>30</v>
      </c>
      <c r="F134" s="6" t="s">
        <v>408</v>
      </c>
      <c r="G134" s="6" t="s">
        <v>409</v>
      </c>
      <c r="H134" s="134" t="s">
        <v>290</v>
      </c>
      <c r="I134" s="134" t="s">
        <v>314</v>
      </c>
      <c r="J134" s="133" t="s">
        <v>315</v>
      </c>
      <c r="K134" s="133" t="s">
        <v>22</v>
      </c>
      <c r="L134" s="135" t="s">
        <v>23</v>
      </c>
      <c r="M134" s="135" t="s">
        <v>215</v>
      </c>
      <c r="N134" s="129" t="s">
        <v>386</v>
      </c>
      <c r="O134" s="129" t="s">
        <v>387</v>
      </c>
      <c r="P134" s="9"/>
      <c r="Q134" s="9"/>
    </row>
    <row r="135" spans="1:17" x14ac:dyDescent="0.35">
      <c r="A135" s="9"/>
      <c r="B135" s="6">
        <f t="shared" si="2"/>
        <v>125</v>
      </c>
      <c r="C135" s="7">
        <v>46062</v>
      </c>
      <c r="D135" s="6" t="s">
        <v>16</v>
      </c>
      <c r="E135" s="59">
        <v>30</v>
      </c>
      <c r="F135" s="6" t="s">
        <v>410</v>
      </c>
      <c r="G135" s="6" t="s">
        <v>411</v>
      </c>
      <c r="H135" s="134" t="s">
        <v>264</v>
      </c>
      <c r="I135" s="134" t="s">
        <v>412</v>
      </c>
      <c r="J135" s="133" t="s">
        <v>413</v>
      </c>
      <c r="K135" s="133" t="s">
        <v>22</v>
      </c>
      <c r="L135" s="135" t="s">
        <v>23</v>
      </c>
      <c r="M135" s="135" t="s">
        <v>215</v>
      </c>
      <c r="N135" s="129" t="s">
        <v>386</v>
      </c>
      <c r="O135" s="129" t="s">
        <v>387</v>
      </c>
      <c r="P135" s="9"/>
      <c r="Q135" s="9"/>
    </row>
    <row r="136" spans="1:17" x14ac:dyDescent="0.35">
      <c r="A136" s="9"/>
      <c r="B136" s="6">
        <f t="shared" si="2"/>
        <v>126</v>
      </c>
      <c r="C136" s="7">
        <v>46062</v>
      </c>
      <c r="D136" s="6" t="s">
        <v>16</v>
      </c>
      <c r="E136" s="59">
        <v>30</v>
      </c>
      <c r="F136" s="6" t="s">
        <v>414</v>
      </c>
      <c r="G136" s="8" t="s">
        <v>415</v>
      </c>
      <c r="H136" s="135" t="s">
        <v>235</v>
      </c>
      <c r="I136" s="134" t="s">
        <v>274</v>
      </c>
      <c r="J136" s="136" t="s">
        <v>275</v>
      </c>
      <c r="K136" s="133" t="s">
        <v>22</v>
      </c>
      <c r="L136" s="135" t="s">
        <v>23</v>
      </c>
      <c r="M136" s="135" t="s">
        <v>215</v>
      </c>
      <c r="N136" s="129" t="s">
        <v>386</v>
      </c>
      <c r="O136" s="129" t="s">
        <v>387</v>
      </c>
      <c r="P136" s="9"/>
      <c r="Q136" s="9"/>
    </row>
    <row r="137" spans="1:17" x14ac:dyDescent="0.35">
      <c r="A137" s="33"/>
      <c r="B137" s="6">
        <f t="shared" si="2"/>
        <v>127</v>
      </c>
      <c r="C137" s="7">
        <v>46062</v>
      </c>
      <c r="D137" s="6" t="s">
        <v>16</v>
      </c>
      <c r="E137" s="59">
        <v>30</v>
      </c>
      <c r="F137" s="6" t="s">
        <v>416</v>
      </c>
      <c r="G137" s="10" t="s">
        <v>417</v>
      </c>
      <c r="H137" s="135" t="s">
        <v>290</v>
      </c>
      <c r="I137" s="134" t="s">
        <v>291</v>
      </c>
      <c r="J137" s="136" t="s">
        <v>292</v>
      </c>
      <c r="K137" s="133" t="s">
        <v>22</v>
      </c>
      <c r="L137" s="135" t="s">
        <v>23</v>
      </c>
      <c r="M137" s="135" t="s">
        <v>215</v>
      </c>
      <c r="N137" s="129" t="s">
        <v>386</v>
      </c>
      <c r="O137" s="129" t="s">
        <v>387</v>
      </c>
      <c r="P137" s="9"/>
      <c r="Q137" s="9"/>
    </row>
    <row r="138" spans="1:17" x14ac:dyDescent="0.35">
      <c r="B138" s="6">
        <f t="shared" si="2"/>
        <v>128</v>
      </c>
      <c r="C138" s="7">
        <v>46062</v>
      </c>
      <c r="D138" s="6" t="s">
        <v>16</v>
      </c>
      <c r="E138" s="59">
        <v>30</v>
      </c>
      <c r="F138" s="6" t="s">
        <v>418</v>
      </c>
      <c r="G138" s="10" t="s">
        <v>419</v>
      </c>
      <c r="H138" s="135" t="s">
        <v>264</v>
      </c>
      <c r="I138" s="134" t="s">
        <v>329</v>
      </c>
      <c r="J138" s="136" t="s">
        <v>330</v>
      </c>
      <c r="K138" s="133" t="s">
        <v>22</v>
      </c>
      <c r="L138" s="135" t="s">
        <v>23</v>
      </c>
      <c r="M138" s="135" t="s">
        <v>215</v>
      </c>
      <c r="N138" s="129" t="s">
        <v>386</v>
      </c>
      <c r="O138" s="129" t="s">
        <v>387</v>
      </c>
      <c r="P138" s="9"/>
      <c r="Q138" s="9"/>
    </row>
    <row r="139" spans="1:17" x14ac:dyDescent="0.35">
      <c r="B139" s="6">
        <f t="shared" si="2"/>
        <v>129</v>
      </c>
      <c r="C139" s="7">
        <v>46062</v>
      </c>
      <c r="D139" s="6" t="s">
        <v>16</v>
      </c>
      <c r="E139" s="59">
        <v>30</v>
      </c>
      <c r="F139" s="6" t="s">
        <v>420</v>
      </c>
      <c r="G139" s="10" t="s">
        <v>421</v>
      </c>
      <c r="H139" s="135" t="s">
        <v>264</v>
      </c>
      <c r="I139" s="134" t="s">
        <v>265</v>
      </c>
      <c r="J139" s="136" t="s">
        <v>266</v>
      </c>
      <c r="K139" s="133" t="s">
        <v>22</v>
      </c>
      <c r="L139" s="135" t="s">
        <v>23</v>
      </c>
      <c r="M139" s="135" t="s">
        <v>215</v>
      </c>
      <c r="N139" s="129" t="s">
        <v>386</v>
      </c>
      <c r="O139" s="129" t="s">
        <v>387</v>
      </c>
      <c r="P139" s="9"/>
      <c r="Q139" s="9"/>
    </row>
    <row r="140" spans="1:17" x14ac:dyDescent="0.35">
      <c r="B140" s="6">
        <f t="shared" si="2"/>
        <v>130</v>
      </c>
      <c r="C140" s="7">
        <v>46062</v>
      </c>
      <c r="D140" s="6" t="s">
        <v>16</v>
      </c>
      <c r="E140" s="59">
        <v>30</v>
      </c>
      <c r="F140" s="6" t="s">
        <v>422</v>
      </c>
      <c r="G140" s="10" t="s">
        <v>423</v>
      </c>
      <c r="H140" s="135" t="s">
        <v>212</v>
      </c>
      <c r="I140" s="134" t="s">
        <v>424</v>
      </c>
      <c r="J140" s="136" t="s">
        <v>425</v>
      </c>
      <c r="K140" s="133" t="s">
        <v>22</v>
      </c>
      <c r="L140" s="135" t="s">
        <v>23</v>
      </c>
      <c r="M140" s="135" t="s">
        <v>215</v>
      </c>
      <c r="N140" s="129" t="s">
        <v>386</v>
      </c>
      <c r="O140" s="129" t="s">
        <v>387</v>
      </c>
      <c r="P140" s="9"/>
      <c r="Q140" s="9"/>
    </row>
    <row r="141" spans="1:17" x14ac:dyDescent="0.35">
      <c r="B141" s="6">
        <f t="shared" si="2"/>
        <v>131</v>
      </c>
      <c r="C141" s="7">
        <v>46062</v>
      </c>
      <c r="D141" s="6" t="s">
        <v>16</v>
      </c>
      <c r="E141" s="59">
        <v>30</v>
      </c>
      <c r="F141" s="6" t="s">
        <v>426</v>
      </c>
      <c r="G141" s="8" t="s">
        <v>427</v>
      </c>
      <c r="H141" s="134" t="s">
        <v>226</v>
      </c>
      <c r="I141" s="134" t="s">
        <v>231</v>
      </c>
      <c r="J141" s="132" t="s">
        <v>232</v>
      </c>
      <c r="K141" s="133" t="s">
        <v>22</v>
      </c>
      <c r="L141" s="135" t="s">
        <v>23</v>
      </c>
      <c r="M141" s="135" t="s">
        <v>215</v>
      </c>
      <c r="N141" s="129" t="s">
        <v>386</v>
      </c>
      <c r="O141" s="129" t="s">
        <v>387</v>
      </c>
      <c r="P141" s="9"/>
      <c r="Q141" s="9"/>
    </row>
    <row r="142" spans="1:17" x14ac:dyDescent="0.35">
      <c r="B142" s="6">
        <f t="shared" si="2"/>
        <v>132</v>
      </c>
      <c r="C142" s="7">
        <v>46062</v>
      </c>
      <c r="D142" s="6" t="s">
        <v>16</v>
      </c>
      <c r="E142" s="59">
        <v>30</v>
      </c>
      <c r="F142" s="6" t="s">
        <v>428</v>
      </c>
      <c r="G142" s="8" t="s">
        <v>429</v>
      </c>
      <c r="H142" s="134" t="s">
        <v>212</v>
      </c>
      <c r="I142" s="134" t="s">
        <v>213</v>
      </c>
      <c r="J142" s="132" t="s">
        <v>214</v>
      </c>
      <c r="K142" s="133" t="s">
        <v>22</v>
      </c>
      <c r="L142" s="135" t="s">
        <v>23</v>
      </c>
      <c r="M142" s="135" t="s">
        <v>215</v>
      </c>
      <c r="N142" s="129" t="s">
        <v>386</v>
      </c>
      <c r="O142" s="129" t="s">
        <v>387</v>
      </c>
      <c r="P142" s="9"/>
      <c r="Q142" s="9"/>
    </row>
    <row r="143" spans="1:17" x14ac:dyDescent="0.35">
      <c r="B143" s="6">
        <f t="shared" si="2"/>
        <v>133</v>
      </c>
      <c r="C143" s="7">
        <v>46062</v>
      </c>
      <c r="D143" s="6" t="s">
        <v>16</v>
      </c>
      <c r="E143" s="59">
        <v>30</v>
      </c>
      <c r="F143" s="6" t="s">
        <v>430</v>
      </c>
      <c r="G143" s="8" t="s">
        <v>431</v>
      </c>
      <c r="H143" s="134" t="s">
        <v>212</v>
      </c>
      <c r="I143" s="134" t="s">
        <v>432</v>
      </c>
      <c r="J143" s="132" t="s">
        <v>433</v>
      </c>
      <c r="K143" s="133" t="s">
        <v>22</v>
      </c>
      <c r="L143" s="135" t="s">
        <v>23</v>
      </c>
      <c r="M143" s="135" t="s">
        <v>215</v>
      </c>
      <c r="N143" s="129" t="s">
        <v>386</v>
      </c>
      <c r="O143" s="129" t="s">
        <v>387</v>
      </c>
      <c r="P143" s="9"/>
      <c r="Q143" s="9"/>
    </row>
    <row r="144" spans="1:17" x14ac:dyDescent="0.35">
      <c r="B144" s="6">
        <f t="shared" si="2"/>
        <v>134</v>
      </c>
      <c r="C144" s="7">
        <v>46062</v>
      </c>
      <c r="D144" s="6" t="s">
        <v>16</v>
      </c>
      <c r="E144" s="59">
        <v>30</v>
      </c>
      <c r="F144" s="6" t="s">
        <v>434</v>
      </c>
      <c r="G144" s="8" t="s">
        <v>435</v>
      </c>
      <c r="H144" s="134" t="s">
        <v>219</v>
      </c>
      <c r="I144" s="134" t="s">
        <v>220</v>
      </c>
      <c r="J144" s="132" t="s">
        <v>221</v>
      </c>
      <c r="K144" s="133" t="s">
        <v>22</v>
      </c>
      <c r="L144" s="135" t="s">
        <v>23</v>
      </c>
      <c r="M144" s="135" t="s">
        <v>215</v>
      </c>
      <c r="N144" s="129" t="s">
        <v>386</v>
      </c>
      <c r="O144" s="129" t="s">
        <v>387</v>
      </c>
      <c r="P144" s="9"/>
      <c r="Q144" s="9"/>
    </row>
    <row r="145" spans="2:17" x14ac:dyDescent="0.35">
      <c r="B145" s="6">
        <f t="shared" si="2"/>
        <v>135</v>
      </c>
      <c r="C145" s="7">
        <v>46062</v>
      </c>
      <c r="D145" s="6" t="s">
        <v>16</v>
      </c>
      <c r="E145" s="59">
        <v>30</v>
      </c>
      <c r="F145" s="6" t="s">
        <v>436</v>
      </c>
      <c r="G145" s="8" t="s">
        <v>437</v>
      </c>
      <c r="H145" s="134" t="s">
        <v>333</v>
      </c>
      <c r="I145" s="134" t="s">
        <v>438</v>
      </c>
      <c r="J145" s="132" t="s">
        <v>439</v>
      </c>
      <c r="K145" s="133" t="s">
        <v>22</v>
      </c>
      <c r="L145" s="135" t="s">
        <v>23</v>
      </c>
      <c r="M145" s="135" t="s">
        <v>303</v>
      </c>
      <c r="N145" s="129" t="s">
        <v>386</v>
      </c>
      <c r="O145" s="129" t="s">
        <v>387</v>
      </c>
      <c r="P145" s="9"/>
      <c r="Q145" s="9"/>
    </row>
    <row r="146" spans="2:17" x14ac:dyDescent="0.35">
      <c r="B146" s="6">
        <f t="shared" si="2"/>
        <v>136</v>
      </c>
      <c r="C146" s="7">
        <v>46062</v>
      </c>
      <c r="D146" s="6" t="s">
        <v>16</v>
      </c>
      <c r="E146" s="59">
        <v>30</v>
      </c>
      <c r="F146" s="6" t="s">
        <v>440</v>
      </c>
      <c r="G146" s="8" t="s">
        <v>441</v>
      </c>
      <c r="H146" s="134" t="s">
        <v>442</v>
      </c>
      <c r="I146" s="134" t="s">
        <v>443</v>
      </c>
      <c r="J146" s="132" t="s">
        <v>444</v>
      </c>
      <c r="K146" s="133" t="s">
        <v>22</v>
      </c>
      <c r="L146" s="135" t="s">
        <v>23</v>
      </c>
      <c r="M146" s="135" t="s">
        <v>303</v>
      </c>
      <c r="N146" s="129" t="s">
        <v>386</v>
      </c>
      <c r="O146" s="129" t="s">
        <v>387</v>
      </c>
      <c r="P146" s="9"/>
      <c r="Q146" s="9"/>
    </row>
    <row r="147" spans="2:17" x14ac:dyDescent="0.35">
      <c r="B147" s="6">
        <f t="shared" si="2"/>
        <v>137</v>
      </c>
      <c r="C147" s="7">
        <v>46062</v>
      </c>
      <c r="D147" s="6" t="s">
        <v>16</v>
      </c>
      <c r="E147" s="59">
        <v>30</v>
      </c>
      <c r="F147" s="6" t="s">
        <v>445</v>
      </c>
      <c r="G147" s="8" t="s">
        <v>446</v>
      </c>
      <c r="H147" s="134" t="s">
        <v>442</v>
      </c>
      <c r="I147" s="134" t="s">
        <v>447</v>
      </c>
      <c r="J147" s="132" t="s">
        <v>448</v>
      </c>
      <c r="K147" s="133" t="s">
        <v>22</v>
      </c>
      <c r="L147" s="135" t="s">
        <v>23</v>
      </c>
      <c r="M147" s="135" t="s">
        <v>303</v>
      </c>
      <c r="N147" s="129" t="s">
        <v>386</v>
      </c>
      <c r="O147" s="129" t="s">
        <v>387</v>
      </c>
      <c r="P147" s="9"/>
      <c r="Q147" s="9"/>
    </row>
    <row r="148" spans="2:17" x14ac:dyDescent="0.35">
      <c r="B148" s="6">
        <f t="shared" si="2"/>
        <v>138</v>
      </c>
      <c r="C148" s="7">
        <v>46062</v>
      </c>
      <c r="D148" s="6" t="s">
        <v>16</v>
      </c>
      <c r="E148" s="59">
        <v>30</v>
      </c>
      <c r="F148" s="6" t="s">
        <v>449</v>
      </c>
      <c r="G148" s="8" t="s">
        <v>450</v>
      </c>
      <c r="H148" s="134" t="s">
        <v>442</v>
      </c>
      <c r="I148" s="134" t="s">
        <v>451</v>
      </c>
      <c r="J148" s="132" t="s">
        <v>452</v>
      </c>
      <c r="K148" s="133" t="s">
        <v>22</v>
      </c>
      <c r="L148" s="135" t="s">
        <v>23</v>
      </c>
      <c r="M148" s="135" t="s">
        <v>303</v>
      </c>
      <c r="N148" s="129" t="s">
        <v>386</v>
      </c>
      <c r="O148" s="129" t="s">
        <v>387</v>
      </c>
      <c r="P148" s="9"/>
      <c r="Q148" s="9"/>
    </row>
    <row r="149" spans="2:17" x14ac:dyDescent="0.35">
      <c r="B149" s="6">
        <f t="shared" si="2"/>
        <v>139</v>
      </c>
      <c r="C149" s="7">
        <v>46062</v>
      </c>
      <c r="D149" s="6" t="s">
        <v>16</v>
      </c>
      <c r="E149" s="59">
        <v>30</v>
      </c>
      <c r="F149" s="6" t="s">
        <v>453</v>
      </c>
      <c r="G149" s="8" t="s">
        <v>454</v>
      </c>
      <c r="H149" s="134" t="s">
        <v>442</v>
      </c>
      <c r="I149" s="134" t="s">
        <v>455</v>
      </c>
      <c r="J149" s="132" t="s">
        <v>456</v>
      </c>
      <c r="K149" s="133" t="s">
        <v>22</v>
      </c>
      <c r="L149" s="135" t="s">
        <v>23</v>
      </c>
      <c r="M149" s="135" t="s">
        <v>303</v>
      </c>
      <c r="N149" s="129" t="s">
        <v>386</v>
      </c>
      <c r="O149" s="129" t="s">
        <v>387</v>
      </c>
      <c r="P149" s="9"/>
      <c r="Q149" s="9"/>
    </row>
    <row r="150" spans="2:17" x14ac:dyDescent="0.35">
      <c r="B150" s="6">
        <f t="shared" si="2"/>
        <v>140</v>
      </c>
      <c r="C150" s="7">
        <v>46062</v>
      </c>
      <c r="D150" s="6" t="s">
        <v>16</v>
      </c>
      <c r="E150" s="59">
        <v>30</v>
      </c>
      <c r="F150" s="6" t="s">
        <v>457</v>
      </c>
      <c r="G150" s="8" t="s">
        <v>458</v>
      </c>
      <c r="H150" s="134" t="s">
        <v>333</v>
      </c>
      <c r="I150" s="134" t="s">
        <v>438</v>
      </c>
      <c r="J150" s="132" t="s">
        <v>439</v>
      </c>
      <c r="K150" s="133" t="s">
        <v>22</v>
      </c>
      <c r="L150" s="135" t="s">
        <v>23</v>
      </c>
      <c r="M150" s="135" t="s">
        <v>303</v>
      </c>
      <c r="N150" s="129" t="s">
        <v>386</v>
      </c>
      <c r="O150" s="129" t="s">
        <v>387</v>
      </c>
      <c r="P150" s="9"/>
      <c r="Q150" s="9"/>
    </row>
    <row r="151" spans="2:17" x14ac:dyDescent="0.35">
      <c r="B151" s="6">
        <f t="shared" si="2"/>
        <v>141</v>
      </c>
      <c r="C151" s="7">
        <v>46062</v>
      </c>
      <c r="D151" s="6" t="s">
        <v>16</v>
      </c>
      <c r="E151" s="59">
        <v>30</v>
      </c>
      <c r="F151" s="6" t="s">
        <v>459</v>
      </c>
      <c r="G151" s="8" t="s">
        <v>460</v>
      </c>
      <c r="H151" s="134" t="s">
        <v>333</v>
      </c>
      <c r="I151" s="134" t="s">
        <v>461</v>
      </c>
      <c r="J151" s="132" t="s">
        <v>462</v>
      </c>
      <c r="K151" s="133" t="s">
        <v>22</v>
      </c>
      <c r="L151" s="135" t="s">
        <v>23</v>
      </c>
      <c r="M151" s="135" t="s">
        <v>303</v>
      </c>
      <c r="N151" s="129" t="s">
        <v>386</v>
      </c>
      <c r="O151" s="129" t="s">
        <v>387</v>
      </c>
      <c r="P151" s="9"/>
      <c r="Q151" s="9"/>
    </row>
    <row r="152" spans="2:17" x14ac:dyDescent="0.35">
      <c r="B152" s="6">
        <f t="shared" si="2"/>
        <v>142</v>
      </c>
      <c r="C152" s="7">
        <v>46062</v>
      </c>
      <c r="D152" s="6" t="s">
        <v>16</v>
      </c>
      <c r="E152" s="59">
        <v>30</v>
      </c>
      <c r="F152" s="6" t="s">
        <v>463</v>
      </c>
      <c r="G152" s="10" t="s">
        <v>464</v>
      </c>
      <c r="H152" s="134" t="s">
        <v>333</v>
      </c>
      <c r="I152" s="134" t="s">
        <v>438</v>
      </c>
      <c r="J152" s="134" t="s">
        <v>439</v>
      </c>
      <c r="K152" s="133" t="s">
        <v>22</v>
      </c>
      <c r="L152" s="135" t="s">
        <v>23</v>
      </c>
      <c r="M152" s="135" t="s">
        <v>303</v>
      </c>
      <c r="N152" s="129" t="s">
        <v>386</v>
      </c>
      <c r="O152" s="129" t="s">
        <v>387</v>
      </c>
      <c r="P152" s="9"/>
      <c r="Q152" s="9"/>
    </row>
    <row r="153" spans="2:17" x14ac:dyDescent="0.35">
      <c r="B153" s="6">
        <f t="shared" si="2"/>
        <v>143</v>
      </c>
      <c r="C153" s="7">
        <v>46062</v>
      </c>
      <c r="D153" s="6" t="s">
        <v>16</v>
      </c>
      <c r="E153" s="59">
        <v>30</v>
      </c>
      <c r="F153" s="6" t="s">
        <v>465</v>
      </c>
      <c r="G153" s="10" t="s">
        <v>466</v>
      </c>
      <c r="H153" s="134" t="s">
        <v>346</v>
      </c>
      <c r="I153" s="134" t="s">
        <v>347</v>
      </c>
      <c r="J153" s="134" t="s">
        <v>348</v>
      </c>
      <c r="K153" s="133" t="s">
        <v>22</v>
      </c>
      <c r="L153" s="135" t="s">
        <v>23</v>
      </c>
      <c r="M153" s="135" t="s">
        <v>303</v>
      </c>
      <c r="N153" s="129" t="s">
        <v>386</v>
      </c>
      <c r="O153" s="129" t="s">
        <v>387</v>
      </c>
      <c r="P153" s="9"/>
      <c r="Q153" s="9"/>
    </row>
    <row r="154" spans="2:17" x14ac:dyDescent="0.35">
      <c r="B154" s="6">
        <f t="shared" si="2"/>
        <v>144</v>
      </c>
      <c r="C154" s="7">
        <v>46062</v>
      </c>
      <c r="D154" s="6" t="s">
        <v>16</v>
      </c>
      <c r="E154" s="59">
        <v>30</v>
      </c>
      <c r="F154" s="6" t="s">
        <v>467</v>
      </c>
      <c r="G154" s="6" t="s">
        <v>468</v>
      </c>
      <c r="H154" s="132" t="s">
        <v>212</v>
      </c>
      <c r="I154" s="133" t="s">
        <v>469</v>
      </c>
      <c r="J154" s="132" t="s">
        <v>470</v>
      </c>
      <c r="K154" s="133" t="s">
        <v>22</v>
      </c>
      <c r="L154" s="132" t="s">
        <v>23</v>
      </c>
      <c r="M154" s="133" t="s">
        <v>303</v>
      </c>
      <c r="N154" s="129" t="s">
        <v>386</v>
      </c>
      <c r="O154" s="129" t="s">
        <v>387</v>
      </c>
      <c r="P154" s="9"/>
      <c r="Q154" s="9"/>
    </row>
    <row r="155" spans="2:17" x14ac:dyDescent="0.35">
      <c r="B155" s="6">
        <f t="shared" si="2"/>
        <v>145</v>
      </c>
      <c r="C155" s="7">
        <v>46062</v>
      </c>
      <c r="D155" s="6" t="s">
        <v>16</v>
      </c>
      <c r="E155" s="59">
        <v>30</v>
      </c>
      <c r="F155" s="6" t="s">
        <v>471</v>
      </c>
      <c r="G155" s="6" t="s">
        <v>472</v>
      </c>
      <c r="H155" s="132" t="s">
        <v>346</v>
      </c>
      <c r="I155" s="133" t="s">
        <v>347</v>
      </c>
      <c r="J155" s="132" t="s">
        <v>348</v>
      </c>
      <c r="K155" s="133" t="s">
        <v>22</v>
      </c>
      <c r="L155" s="132" t="s">
        <v>23</v>
      </c>
      <c r="M155" s="133" t="s">
        <v>303</v>
      </c>
      <c r="N155" s="129" t="s">
        <v>386</v>
      </c>
      <c r="O155" s="129" t="s">
        <v>387</v>
      </c>
      <c r="P155" s="261" t="s">
        <v>178</v>
      </c>
      <c r="Q155" s="9" t="s">
        <v>191</v>
      </c>
    </row>
    <row r="156" spans="2:17" x14ac:dyDescent="0.35">
      <c r="B156" s="6">
        <f t="shared" si="2"/>
        <v>146</v>
      </c>
      <c r="C156" s="7">
        <v>46062</v>
      </c>
      <c r="D156" s="6" t="s">
        <v>473</v>
      </c>
      <c r="E156" s="59">
        <v>30</v>
      </c>
      <c r="F156" s="6" t="s">
        <v>474</v>
      </c>
      <c r="G156" s="8" t="s">
        <v>475</v>
      </c>
      <c r="H156" s="132" t="s">
        <v>105</v>
      </c>
      <c r="I156" s="133" t="s">
        <v>106</v>
      </c>
      <c r="J156" s="132" t="s">
        <v>476</v>
      </c>
      <c r="K156" s="133" t="s">
        <v>108</v>
      </c>
      <c r="L156" s="132" t="s">
        <v>109</v>
      </c>
      <c r="M156" s="133" t="s">
        <v>110</v>
      </c>
      <c r="N156" s="129" t="s">
        <v>386</v>
      </c>
      <c r="O156" s="10" t="s">
        <v>477</v>
      </c>
      <c r="P156" s="9"/>
      <c r="Q156" s="9"/>
    </row>
    <row r="157" spans="2:17" x14ac:dyDescent="0.35">
      <c r="B157" s="6">
        <f t="shared" si="2"/>
        <v>147</v>
      </c>
      <c r="C157" s="7">
        <v>46062</v>
      </c>
      <c r="D157" s="6" t="s">
        <v>473</v>
      </c>
      <c r="E157" s="59">
        <v>30</v>
      </c>
      <c r="F157" s="6" t="s">
        <v>478</v>
      </c>
      <c r="G157" s="8" t="s">
        <v>479</v>
      </c>
      <c r="H157" s="132" t="s">
        <v>105</v>
      </c>
      <c r="I157" s="133" t="s">
        <v>188</v>
      </c>
      <c r="J157" s="132" t="s">
        <v>189</v>
      </c>
      <c r="K157" s="133" t="s">
        <v>108</v>
      </c>
      <c r="L157" s="132" t="s">
        <v>109</v>
      </c>
      <c r="M157" s="133" t="s">
        <v>110</v>
      </c>
      <c r="N157" s="129" t="s">
        <v>386</v>
      </c>
      <c r="O157" s="10" t="s">
        <v>480</v>
      </c>
      <c r="P157" s="9"/>
      <c r="Q157" s="9"/>
    </row>
    <row r="158" spans="2:17" x14ac:dyDescent="0.35">
      <c r="B158" s="6">
        <f t="shared" si="2"/>
        <v>148</v>
      </c>
      <c r="C158" s="7">
        <v>46062</v>
      </c>
      <c r="D158" s="8" t="s">
        <v>320</v>
      </c>
      <c r="E158" s="59">
        <v>30</v>
      </c>
      <c r="F158" s="8" t="s">
        <v>121</v>
      </c>
      <c r="G158" s="8" t="s">
        <v>122</v>
      </c>
      <c r="H158" s="132" t="s">
        <v>123</v>
      </c>
      <c r="I158" s="133" t="s">
        <v>124</v>
      </c>
      <c r="J158" s="132" t="s">
        <v>125</v>
      </c>
      <c r="K158" s="57" t="s">
        <v>108</v>
      </c>
      <c r="L158" s="130" t="s">
        <v>109</v>
      </c>
      <c r="M158" s="130" t="s">
        <v>110</v>
      </c>
      <c r="N158" s="129" t="s">
        <v>386</v>
      </c>
      <c r="O158" s="10" t="s">
        <v>481</v>
      </c>
      <c r="P158" s="9"/>
      <c r="Q158" s="9"/>
    </row>
  </sheetData>
  <autoFilter ref="B10:Q158" xr:uid="{D4703631-0DA6-451D-AC8F-DFB90B812F14}">
    <filterColumn colId="14" showButton="0"/>
  </autoFilter>
  <mergeCells count="2">
    <mergeCell ref="E4:O6"/>
    <mergeCell ref="P10:Q10"/>
  </mergeCells>
  <phoneticPr fontId="7" type="noConversion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A4CF03-9952-4EFF-9DFD-24F8B9854408}">
  <sheetPr>
    <tabColor rgb="FF0070C0"/>
  </sheetPr>
  <dimension ref="A1:P150"/>
  <sheetViews>
    <sheetView tabSelected="1" topLeftCell="C1" zoomScale="150" zoomScaleNormal="150" workbookViewId="0">
      <selection activeCell="D1" sqref="D1"/>
    </sheetView>
  </sheetViews>
  <sheetFormatPr defaultRowHeight="14.5" x14ac:dyDescent="0.35"/>
  <cols>
    <col min="1" max="1" width="18" customWidth="1"/>
    <col min="2" max="2" width="17.1796875" customWidth="1"/>
    <col min="3" max="3" width="29.36328125" bestFit="1" customWidth="1"/>
    <col min="4" max="4" width="14.36328125" customWidth="1"/>
    <col min="5" max="5" width="17.81640625" customWidth="1"/>
    <col min="6" max="6" width="32.90625" customWidth="1"/>
    <col min="7" max="7" width="14.453125" customWidth="1"/>
    <col min="8" max="8" width="20.453125" bestFit="1" customWidth="1"/>
    <col min="9" max="9" width="28.6328125" customWidth="1"/>
    <col min="10" max="10" width="12.90625" customWidth="1"/>
    <col min="12" max="12" width="17.6328125" bestFit="1" customWidth="1"/>
    <col min="13" max="13" width="14.453125" bestFit="1" customWidth="1"/>
    <col min="14" max="14" width="12.6328125" bestFit="1" customWidth="1"/>
    <col min="15" max="15" width="15" bestFit="1" customWidth="1"/>
  </cols>
  <sheetData>
    <row r="1" spans="1:16" x14ac:dyDescent="0.35">
      <c r="A1" t="s">
        <v>716</v>
      </c>
      <c r="B1" t="s">
        <v>717</v>
      </c>
      <c r="C1" t="s">
        <v>718</v>
      </c>
      <c r="D1" t="s">
        <v>831</v>
      </c>
      <c r="E1" t="s">
        <v>719</v>
      </c>
      <c r="F1" t="s">
        <v>720</v>
      </c>
      <c r="G1" t="s">
        <v>721</v>
      </c>
      <c r="H1" t="s">
        <v>722</v>
      </c>
      <c r="I1" t="s">
        <v>723</v>
      </c>
      <c r="J1" t="s">
        <v>724</v>
      </c>
      <c r="K1" t="s">
        <v>725</v>
      </c>
      <c r="L1" t="s">
        <v>726</v>
      </c>
      <c r="M1" t="s">
        <v>727</v>
      </c>
      <c r="N1" t="s">
        <v>728</v>
      </c>
      <c r="O1" t="s">
        <v>729</v>
      </c>
      <c r="P1" t="s">
        <v>730</v>
      </c>
    </row>
    <row r="2" spans="1:16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</row>
    <row r="3" spans="1:16" x14ac:dyDescent="0.35">
      <c r="A3">
        <v>1</v>
      </c>
      <c r="B3">
        <v>46041</v>
      </c>
      <c r="C3" t="s">
        <v>16</v>
      </c>
      <c r="D3">
        <v>27</v>
      </c>
      <c r="E3" t="s">
        <v>17</v>
      </c>
      <c r="F3" t="s">
        <v>18</v>
      </c>
      <c r="G3" t="s">
        <v>19</v>
      </c>
      <c r="H3" t="s">
        <v>20</v>
      </c>
      <c r="I3" t="s">
        <v>21</v>
      </c>
      <c r="J3" t="s">
        <v>22</v>
      </c>
      <c r="K3" t="s">
        <v>23</v>
      </c>
      <c r="L3" t="s">
        <v>24</v>
      </c>
      <c r="M3" t="s">
        <v>25</v>
      </c>
      <c r="N3" t="s">
        <v>26</v>
      </c>
    </row>
    <row r="4" spans="1:16" x14ac:dyDescent="0.35">
      <c r="A4">
        <v>2</v>
      </c>
      <c r="B4">
        <v>46041</v>
      </c>
      <c r="C4" t="s">
        <v>16</v>
      </c>
      <c r="D4">
        <v>27</v>
      </c>
      <c r="E4" t="s">
        <v>27</v>
      </c>
      <c r="F4" t="s">
        <v>28</v>
      </c>
      <c r="G4" t="s">
        <v>19</v>
      </c>
      <c r="H4" t="s">
        <v>29</v>
      </c>
      <c r="I4" t="s">
        <v>30</v>
      </c>
      <c r="J4" t="s">
        <v>22</v>
      </c>
      <c r="K4" t="s">
        <v>23</v>
      </c>
      <c r="L4" t="s">
        <v>24</v>
      </c>
      <c r="M4" t="s">
        <v>25</v>
      </c>
      <c r="N4" t="s">
        <v>26</v>
      </c>
    </row>
    <row r="5" spans="1:16" x14ac:dyDescent="0.35">
      <c r="A5">
        <v>3</v>
      </c>
      <c r="B5">
        <v>46041</v>
      </c>
      <c r="C5" t="s">
        <v>16</v>
      </c>
      <c r="D5">
        <v>27</v>
      </c>
      <c r="E5" t="s">
        <v>31</v>
      </c>
      <c r="F5" t="s">
        <v>32</v>
      </c>
      <c r="G5" t="s">
        <v>19</v>
      </c>
      <c r="H5" t="s">
        <v>20</v>
      </c>
      <c r="I5" t="s">
        <v>21</v>
      </c>
      <c r="J5" t="s">
        <v>22</v>
      </c>
      <c r="K5" t="s">
        <v>23</v>
      </c>
      <c r="L5" t="s">
        <v>24</v>
      </c>
      <c r="M5" t="s">
        <v>25</v>
      </c>
      <c r="N5" t="s">
        <v>26</v>
      </c>
    </row>
    <row r="6" spans="1:16" x14ac:dyDescent="0.35">
      <c r="A6">
        <v>4</v>
      </c>
      <c r="B6">
        <v>46041</v>
      </c>
      <c r="C6" t="s">
        <v>16</v>
      </c>
      <c r="D6">
        <v>27</v>
      </c>
      <c r="E6" t="s">
        <v>33</v>
      </c>
      <c r="F6" t="s">
        <v>34</v>
      </c>
      <c r="G6" t="s">
        <v>19</v>
      </c>
      <c r="H6" t="s">
        <v>29</v>
      </c>
      <c r="I6" t="s">
        <v>30</v>
      </c>
      <c r="J6" t="s">
        <v>22</v>
      </c>
      <c r="K6" t="s">
        <v>23</v>
      </c>
      <c r="L6" t="s">
        <v>24</v>
      </c>
      <c r="M6" t="s">
        <v>25</v>
      </c>
      <c r="N6" t="s">
        <v>26</v>
      </c>
    </row>
    <row r="7" spans="1:16" x14ac:dyDescent="0.35">
      <c r="A7">
        <v>5</v>
      </c>
      <c r="B7">
        <v>46041</v>
      </c>
      <c r="C7" t="s">
        <v>16</v>
      </c>
      <c r="D7">
        <v>27</v>
      </c>
      <c r="E7" t="s">
        <v>35</v>
      </c>
      <c r="F7" t="s">
        <v>36</v>
      </c>
      <c r="G7" t="s">
        <v>19</v>
      </c>
      <c r="H7" t="s">
        <v>20</v>
      </c>
      <c r="I7" t="s">
        <v>21</v>
      </c>
      <c r="J7" t="s">
        <v>22</v>
      </c>
      <c r="K7" t="s">
        <v>23</v>
      </c>
      <c r="L7" t="s">
        <v>24</v>
      </c>
      <c r="M7" t="s">
        <v>25</v>
      </c>
      <c r="N7" t="s">
        <v>26</v>
      </c>
    </row>
    <row r="8" spans="1:16" x14ac:dyDescent="0.35">
      <c r="A8">
        <v>6</v>
      </c>
      <c r="B8">
        <v>46041</v>
      </c>
      <c r="C8" t="s">
        <v>16</v>
      </c>
      <c r="D8">
        <v>27</v>
      </c>
      <c r="E8" t="s">
        <v>37</v>
      </c>
      <c r="F8" t="s">
        <v>38</v>
      </c>
      <c r="G8" t="s">
        <v>19</v>
      </c>
      <c r="H8" t="s">
        <v>20</v>
      </c>
      <c r="I8" t="s">
        <v>21</v>
      </c>
      <c r="J8" t="s">
        <v>22</v>
      </c>
      <c r="K8" t="s">
        <v>23</v>
      </c>
      <c r="L8" t="s">
        <v>24</v>
      </c>
      <c r="M8" t="s">
        <v>25</v>
      </c>
      <c r="N8" t="s">
        <v>26</v>
      </c>
    </row>
    <row r="9" spans="1:16" x14ac:dyDescent="0.35">
      <c r="A9">
        <v>7</v>
      </c>
      <c r="B9">
        <v>46041</v>
      </c>
      <c r="C9" t="s">
        <v>16</v>
      </c>
      <c r="D9">
        <v>27</v>
      </c>
      <c r="E9" t="s">
        <v>39</v>
      </c>
      <c r="F9" t="s">
        <v>40</v>
      </c>
      <c r="G9" t="s">
        <v>19</v>
      </c>
      <c r="H9" t="s">
        <v>20</v>
      </c>
      <c r="I9" t="s">
        <v>21</v>
      </c>
      <c r="J9" t="s">
        <v>22</v>
      </c>
      <c r="K9" t="s">
        <v>23</v>
      </c>
      <c r="L9" t="s">
        <v>24</v>
      </c>
      <c r="M9" t="s">
        <v>25</v>
      </c>
      <c r="N9" t="s">
        <v>26</v>
      </c>
    </row>
    <row r="10" spans="1:16" x14ac:dyDescent="0.35">
      <c r="A10">
        <v>8</v>
      </c>
      <c r="B10">
        <v>46041</v>
      </c>
      <c r="C10" t="s">
        <v>16</v>
      </c>
      <c r="D10">
        <v>27</v>
      </c>
      <c r="E10" t="s">
        <v>41</v>
      </c>
      <c r="F10" t="s">
        <v>42</v>
      </c>
      <c r="G10" t="s">
        <v>19</v>
      </c>
      <c r="H10" t="s">
        <v>20</v>
      </c>
      <c r="I10" t="s">
        <v>21</v>
      </c>
      <c r="J10" t="s">
        <v>22</v>
      </c>
      <c r="K10" t="s">
        <v>23</v>
      </c>
      <c r="L10" t="s">
        <v>24</v>
      </c>
      <c r="M10" t="s">
        <v>25</v>
      </c>
      <c r="N10" t="s">
        <v>26</v>
      </c>
    </row>
    <row r="11" spans="1:16" x14ac:dyDescent="0.35">
      <c r="A11">
        <v>9</v>
      </c>
      <c r="B11">
        <v>46041</v>
      </c>
      <c r="C11" t="s">
        <v>16</v>
      </c>
      <c r="D11">
        <v>27</v>
      </c>
      <c r="E11" t="s">
        <v>43</v>
      </c>
      <c r="F11" t="s">
        <v>44</v>
      </c>
      <c r="G11" t="s">
        <v>19</v>
      </c>
      <c r="H11" t="s">
        <v>20</v>
      </c>
      <c r="I11" t="s">
        <v>21</v>
      </c>
      <c r="J11" t="s">
        <v>22</v>
      </c>
      <c r="K11" t="s">
        <v>23</v>
      </c>
      <c r="L11" t="s">
        <v>24</v>
      </c>
      <c r="M11" t="s">
        <v>25</v>
      </c>
      <c r="N11" t="s">
        <v>26</v>
      </c>
    </row>
    <row r="12" spans="1:16" x14ac:dyDescent="0.35">
      <c r="A12">
        <v>10</v>
      </c>
      <c r="B12">
        <v>46041</v>
      </c>
      <c r="C12" t="s">
        <v>16</v>
      </c>
      <c r="D12">
        <v>27</v>
      </c>
      <c r="E12" t="s">
        <v>45</v>
      </c>
      <c r="F12" t="s">
        <v>46</v>
      </c>
      <c r="G12" t="s">
        <v>19</v>
      </c>
      <c r="H12" t="s">
        <v>20</v>
      </c>
      <c r="I12" t="s">
        <v>21</v>
      </c>
      <c r="J12" t="s">
        <v>22</v>
      </c>
      <c r="K12" t="s">
        <v>23</v>
      </c>
      <c r="L12" t="s">
        <v>24</v>
      </c>
      <c r="M12" t="s">
        <v>25</v>
      </c>
      <c r="N12" t="s">
        <v>26</v>
      </c>
    </row>
    <row r="13" spans="1:16" x14ac:dyDescent="0.35">
      <c r="A13">
        <v>11</v>
      </c>
      <c r="B13">
        <v>46041</v>
      </c>
      <c r="C13" t="s">
        <v>16</v>
      </c>
      <c r="D13">
        <v>27</v>
      </c>
      <c r="E13" t="s">
        <v>47</v>
      </c>
      <c r="F13" t="s">
        <v>48</v>
      </c>
      <c r="G13" t="s">
        <v>19</v>
      </c>
      <c r="H13" t="s">
        <v>20</v>
      </c>
      <c r="I13" t="s">
        <v>21</v>
      </c>
      <c r="J13" t="s">
        <v>22</v>
      </c>
      <c r="K13" t="s">
        <v>23</v>
      </c>
      <c r="L13" t="s">
        <v>24</v>
      </c>
      <c r="M13" t="s">
        <v>25</v>
      </c>
      <c r="N13" t="s">
        <v>26</v>
      </c>
    </row>
    <row r="14" spans="1:16" x14ac:dyDescent="0.35">
      <c r="A14">
        <v>12</v>
      </c>
      <c r="B14">
        <v>46041</v>
      </c>
      <c r="C14" t="s">
        <v>16</v>
      </c>
      <c r="D14">
        <v>27</v>
      </c>
      <c r="E14" t="s">
        <v>49</v>
      </c>
      <c r="F14" t="s">
        <v>50</v>
      </c>
      <c r="G14" t="s">
        <v>19</v>
      </c>
      <c r="H14" t="s">
        <v>20</v>
      </c>
      <c r="I14" t="s">
        <v>21</v>
      </c>
      <c r="J14" t="s">
        <v>22</v>
      </c>
      <c r="K14" t="s">
        <v>23</v>
      </c>
      <c r="L14" t="s">
        <v>24</v>
      </c>
      <c r="M14" t="s">
        <v>25</v>
      </c>
      <c r="N14" t="s">
        <v>26</v>
      </c>
    </row>
    <row r="15" spans="1:16" x14ac:dyDescent="0.35">
      <c r="A15">
        <v>13</v>
      </c>
      <c r="B15">
        <v>46041</v>
      </c>
      <c r="C15" t="s">
        <v>16</v>
      </c>
      <c r="D15">
        <v>27</v>
      </c>
      <c r="E15" t="s">
        <v>51</v>
      </c>
      <c r="F15" t="s">
        <v>52</v>
      </c>
      <c r="G15" t="s">
        <v>19</v>
      </c>
      <c r="H15" t="s">
        <v>20</v>
      </c>
      <c r="I15" t="s">
        <v>21</v>
      </c>
      <c r="J15" t="s">
        <v>22</v>
      </c>
      <c r="K15" t="s">
        <v>23</v>
      </c>
      <c r="L15" t="s">
        <v>24</v>
      </c>
      <c r="M15" t="s">
        <v>25</v>
      </c>
      <c r="N15" t="s">
        <v>26</v>
      </c>
    </row>
    <row r="16" spans="1:16" x14ac:dyDescent="0.35">
      <c r="A16">
        <v>14</v>
      </c>
      <c r="B16">
        <v>46041</v>
      </c>
      <c r="C16" t="s">
        <v>16</v>
      </c>
      <c r="D16">
        <v>27</v>
      </c>
      <c r="E16" t="s">
        <v>53</v>
      </c>
      <c r="F16" t="s">
        <v>54</v>
      </c>
      <c r="G16" t="s">
        <v>19</v>
      </c>
      <c r="H16" t="s">
        <v>20</v>
      </c>
      <c r="I16" t="s">
        <v>21</v>
      </c>
      <c r="J16" t="s">
        <v>22</v>
      </c>
      <c r="K16" t="s">
        <v>23</v>
      </c>
      <c r="L16" t="s">
        <v>24</v>
      </c>
      <c r="M16" t="s">
        <v>25</v>
      </c>
      <c r="N16" t="s">
        <v>26</v>
      </c>
    </row>
    <row r="17" spans="1:14" x14ac:dyDescent="0.35">
      <c r="A17">
        <v>15</v>
      </c>
      <c r="B17">
        <v>46041</v>
      </c>
      <c r="C17" t="s">
        <v>16</v>
      </c>
      <c r="D17">
        <v>27</v>
      </c>
      <c r="E17" t="s">
        <v>55</v>
      </c>
      <c r="F17" t="s">
        <v>56</v>
      </c>
      <c r="G17" t="s">
        <v>19</v>
      </c>
      <c r="H17" t="s">
        <v>20</v>
      </c>
      <c r="I17" t="s">
        <v>21</v>
      </c>
      <c r="J17" t="s">
        <v>22</v>
      </c>
      <c r="K17" t="s">
        <v>23</v>
      </c>
      <c r="L17" t="s">
        <v>24</v>
      </c>
      <c r="M17" t="s">
        <v>25</v>
      </c>
      <c r="N17" t="s">
        <v>26</v>
      </c>
    </row>
    <row r="18" spans="1:14" x14ac:dyDescent="0.35">
      <c r="A18">
        <v>16</v>
      </c>
      <c r="B18">
        <v>46041</v>
      </c>
      <c r="C18" t="s">
        <v>16</v>
      </c>
      <c r="D18">
        <v>27</v>
      </c>
      <c r="E18" t="s">
        <v>57</v>
      </c>
      <c r="F18" t="s">
        <v>58</v>
      </c>
      <c r="G18" t="s">
        <v>19</v>
      </c>
      <c r="H18" t="s">
        <v>20</v>
      </c>
      <c r="I18" t="s">
        <v>21</v>
      </c>
      <c r="J18" t="s">
        <v>22</v>
      </c>
      <c r="K18" t="s">
        <v>23</v>
      </c>
      <c r="L18" t="s">
        <v>24</v>
      </c>
      <c r="M18" t="s">
        <v>25</v>
      </c>
      <c r="N18" t="s">
        <v>26</v>
      </c>
    </row>
    <row r="19" spans="1:14" x14ac:dyDescent="0.35">
      <c r="A19">
        <v>17</v>
      </c>
      <c r="B19">
        <v>46041</v>
      </c>
      <c r="C19" t="s">
        <v>16</v>
      </c>
      <c r="D19">
        <v>27</v>
      </c>
      <c r="E19" t="s">
        <v>59</v>
      </c>
      <c r="F19" t="s">
        <v>60</v>
      </c>
      <c r="G19" t="s">
        <v>19</v>
      </c>
      <c r="H19" t="s">
        <v>20</v>
      </c>
      <c r="I19" t="s">
        <v>21</v>
      </c>
      <c r="J19" t="s">
        <v>22</v>
      </c>
      <c r="K19" t="s">
        <v>23</v>
      </c>
      <c r="L19" t="s">
        <v>24</v>
      </c>
      <c r="M19" t="s">
        <v>25</v>
      </c>
      <c r="N19" t="s">
        <v>26</v>
      </c>
    </row>
    <row r="20" spans="1:14" x14ac:dyDescent="0.35">
      <c r="A20">
        <v>18</v>
      </c>
      <c r="B20">
        <v>46041</v>
      </c>
      <c r="C20" t="s">
        <v>16</v>
      </c>
      <c r="D20">
        <v>27</v>
      </c>
      <c r="E20" t="s">
        <v>61</v>
      </c>
      <c r="F20" t="s">
        <v>62</v>
      </c>
      <c r="G20" t="s">
        <v>19</v>
      </c>
      <c r="H20" t="s">
        <v>20</v>
      </c>
      <c r="I20" t="s">
        <v>21</v>
      </c>
      <c r="J20" t="s">
        <v>22</v>
      </c>
      <c r="K20" t="s">
        <v>23</v>
      </c>
      <c r="L20" t="s">
        <v>24</v>
      </c>
      <c r="M20" t="s">
        <v>25</v>
      </c>
      <c r="N20" t="s">
        <v>26</v>
      </c>
    </row>
    <row r="21" spans="1:14" x14ac:dyDescent="0.35">
      <c r="A21">
        <v>19</v>
      </c>
      <c r="B21">
        <v>46041</v>
      </c>
      <c r="C21" t="s">
        <v>16</v>
      </c>
      <c r="D21">
        <v>27</v>
      </c>
      <c r="E21" t="s">
        <v>63</v>
      </c>
      <c r="F21" t="s">
        <v>64</v>
      </c>
      <c r="G21" t="s">
        <v>19</v>
      </c>
      <c r="H21" t="s">
        <v>20</v>
      </c>
      <c r="I21" t="s">
        <v>21</v>
      </c>
      <c r="J21" t="s">
        <v>22</v>
      </c>
      <c r="K21" t="s">
        <v>23</v>
      </c>
      <c r="L21" t="s">
        <v>24</v>
      </c>
      <c r="M21" t="s">
        <v>25</v>
      </c>
      <c r="N21" t="s">
        <v>26</v>
      </c>
    </row>
    <row r="22" spans="1:14" x14ac:dyDescent="0.35">
      <c r="A22">
        <v>20</v>
      </c>
      <c r="B22">
        <v>46041</v>
      </c>
      <c r="C22" t="s">
        <v>16</v>
      </c>
      <c r="D22">
        <v>27</v>
      </c>
      <c r="E22" t="s">
        <v>65</v>
      </c>
      <c r="F22" t="s">
        <v>66</v>
      </c>
      <c r="G22" t="s">
        <v>19</v>
      </c>
      <c r="H22" t="s">
        <v>67</v>
      </c>
      <c r="I22" t="s">
        <v>68</v>
      </c>
      <c r="J22" t="s">
        <v>22</v>
      </c>
      <c r="K22" t="s">
        <v>23</v>
      </c>
      <c r="L22" t="s">
        <v>24</v>
      </c>
      <c r="M22" t="s">
        <v>25</v>
      </c>
      <c r="N22" t="s">
        <v>26</v>
      </c>
    </row>
    <row r="23" spans="1:14" x14ac:dyDescent="0.35">
      <c r="A23">
        <v>21</v>
      </c>
      <c r="B23">
        <v>46041</v>
      </c>
      <c r="C23" t="s">
        <v>16</v>
      </c>
      <c r="D23">
        <v>27</v>
      </c>
      <c r="E23" t="s">
        <v>69</v>
      </c>
      <c r="F23" t="s">
        <v>70</v>
      </c>
      <c r="G23" t="s">
        <v>19</v>
      </c>
      <c r="H23" t="s">
        <v>20</v>
      </c>
      <c r="I23" t="s">
        <v>21</v>
      </c>
      <c r="J23" t="s">
        <v>22</v>
      </c>
      <c r="K23" t="s">
        <v>23</v>
      </c>
      <c r="L23" t="s">
        <v>24</v>
      </c>
      <c r="M23" t="s">
        <v>25</v>
      </c>
      <c r="N23" t="s">
        <v>26</v>
      </c>
    </row>
    <row r="24" spans="1:14" x14ac:dyDescent="0.35">
      <c r="A24">
        <v>22</v>
      </c>
      <c r="B24">
        <v>46041</v>
      </c>
      <c r="C24" t="s">
        <v>16</v>
      </c>
      <c r="D24">
        <v>27</v>
      </c>
      <c r="E24" t="s">
        <v>71</v>
      </c>
      <c r="F24" t="s">
        <v>72</v>
      </c>
      <c r="G24" t="s">
        <v>19</v>
      </c>
      <c r="H24" t="s">
        <v>73</v>
      </c>
      <c r="I24" t="s">
        <v>74</v>
      </c>
      <c r="J24" t="s">
        <v>22</v>
      </c>
      <c r="K24" t="s">
        <v>23</v>
      </c>
      <c r="L24" t="s">
        <v>24</v>
      </c>
      <c r="M24" t="s">
        <v>25</v>
      </c>
      <c r="N24" t="s">
        <v>26</v>
      </c>
    </row>
    <row r="25" spans="1:14" x14ac:dyDescent="0.35">
      <c r="A25">
        <v>23</v>
      </c>
      <c r="B25">
        <v>46041</v>
      </c>
      <c r="C25" t="s">
        <v>16</v>
      </c>
      <c r="D25">
        <v>27</v>
      </c>
      <c r="E25" t="s">
        <v>75</v>
      </c>
      <c r="F25" t="s">
        <v>76</v>
      </c>
      <c r="G25" t="s">
        <v>19</v>
      </c>
      <c r="H25" t="s">
        <v>20</v>
      </c>
      <c r="I25" t="s">
        <v>21</v>
      </c>
      <c r="J25" t="s">
        <v>22</v>
      </c>
      <c r="K25" t="s">
        <v>23</v>
      </c>
      <c r="L25" t="s">
        <v>24</v>
      </c>
      <c r="M25" t="s">
        <v>25</v>
      </c>
      <c r="N25" t="s">
        <v>26</v>
      </c>
    </row>
    <row r="26" spans="1:14" x14ac:dyDescent="0.35">
      <c r="A26">
        <v>24</v>
      </c>
      <c r="B26">
        <v>46041</v>
      </c>
      <c r="C26" t="s">
        <v>16</v>
      </c>
      <c r="D26">
        <v>27</v>
      </c>
      <c r="E26" t="s">
        <v>77</v>
      </c>
      <c r="F26" t="s">
        <v>78</v>
      </c>
      <c r="G26" t="s">
        <v>79</v>
      </c>
      <c r="H26" t="s">
        <v>80</v>
      </c>
      <c r="I26" t="s">
        <v>81</v>
      </c>
      <c r="J26" t="s">
        <v>22</v>
      </c>
      <c r="K26" t="s">
        <v>23</v>
      </c>
      <c r="L26" t="s">
        <v>24</v>
      </c>
      <c r="M26" t="s">
        <v>25</v>
      </c>
      <c r="N26" t="s">
        <v>26</v>
      </c>
    </row>
    <row r="27" spans="1:14" x14ac:dyDescent="0.35">
      <c r="A27">
        <v>25</v>
      </c>
      <c r="B27">
        <v>46041</v>
      </c>
      <c r="C27" t="s">
        <v>16</v>
      </c>
      <c r="D27">
        <v>27</v>
      </c>
      <c r="E27" t="s">
        <v>82</v>
      </c>
      <c r="F27" t="s">
        <v>83</v>
      </c>
      <c r="G27" t="s">
        <v>84</v>
      </c>
      <c r="H27" t="s">
        <v>67</v>
      </c>
      <c r="I27" t="s">
        <v>85</v>
      </c>
      <c r="J27" t="s">
        <v>22</v>
      </c>
      <c r="K27" t="s">
        <v>23</v>
      </c>
      <c r="L27" t="s">
        <v>24</v>
      </c>
      <c r="M27" t="s">
        <v>25</v>
      </c>
      <c r="N27" t="s">
        <v>26</v>
      </c>
    </row>
    <row r="28" spans="1:14" x14ac:dyDescent="0.35">
      <c r="A28">
        <v>26</v>
      </c>
      <c r="B28">
        <v>46041</v>
      </c>
      <c r="C28" t="s">
        <v>16</v>
      </c>
      <c r="D28">
        <v>27</v>
      </c>
      <c r="E28" t="s">
        <v>86</v>
      </c>
      <c r="F28" t="s">
        <v>87</v>
      </c>
      <c r="G28" t="s">
        <v>88</v>
      </c>
      <c r="H28" t="s">
        <v>89</v>
      </c>
      <c r="I28" t="s">
        <v>90</v>
      </c>
      <c r="J28" t="s">
        <v>22</v>
      </c>
      <c r="K28" t="s">
        <v>23</v>
      </c>
      <c r="L28" t="s">
        <v>24</v>
      </c>
      <c r="M28" t="s">
        <v>25</v>
      </c>
      <c r="N28" t="s">
        <v>26</v>
      </c>
    </row>
    <row r="29" spans="1:14" x14ac:dyDescent="0.35">
      <c r="A29">
        <v>27</v>
      </c>
      <c r="B29">
        <v>46041</v>
      </c>
      <c r="C29" t="s">
        <v>16</v>
      </c>
      <c r="D29">
        <v>27</v>
      </c>
      <c r="E29" t="s">
        <v>91</v>
      </c>
      <c r="F29" t="s">
        <v>92</v>
      </c>
      <c r="G29" t="s">
        <v>79</v>
      </c>
      <c r="H29" t="s">
        <v>80</v>
      </c>
      <c r="I29" t="s">
        <v>81</v>
      </c>
      <c r="J29" t="s">
        <v>22</v>
      </c>
      <c r="K29" t="s">
        <v>23</v>
      </c>
      <c r="L29" t="s">
        <v>24</v>
      </c>
      <c r="M29" t="s">
        <v>25</v>
      </c>
      <c r="N29" t="s">
        <v>26</v>
      </c>
    </row>
    <row r="30" spans="1:14" x14ac:dyDescent="0.35">
      <c r="A30">
        <v>28</v>
      </c>
      <c r="B30">
        <v>46041</v>
      </c>
      <c r="C30" t="s">
        <v>16</v>
      </c>
      <c r="D30">
        <v>27</v>
      </c>
      <c r="E30" t="s">
        <v>93</v>
      </c>
      <c r="F30" t="s">
        <v>94</v>
      </c>
      <c r="G30" t="s">
        <v>19</v>
      </c>
      <c r="H30" t="s">
        <v>29</v>
      </c>
      <c r="I30" t="s">
        <v>30</v>
      </c>
      <c r="J30" t="s">
        <v>22</v>
      </c>
      <c r="K30" t="s">
        <v>23</v>
      </c>
      <c r="L30" t="s">
        <v>24</v>
      </c>
      <c r="M30" t="s">
        <v>25</v>
      </c>
      <c r="N30" t="s">
        <v>26</v>
      </c>
    </row>
    <row r="31" spans="1:14" x14ac:dyDescent="0.35">
      <c r="A31">
        <v>29</v>
      </c>
      <c r="B31">
        <v>46041</v>
      </c>
      <c r="C31" t="s">
        <v>16</v>
      </c>
      <c r="D31">
        <v>27</v>
      </c>
      <c r="E31" t="s">
        <v>95</v>
      </c>
      <c r="F31" t="s">
        <v>96</v>
      </c>
      <c r="G31" t="s">
        <v>19</v>
      </c>
      <c r="H31" t="s">
        <v>29</v>
      </c>
      <c r="I31" t="s">
        <v>30</v>
      </c>
      <c r="J31" t="s">
        <v>22</v>
      </c>
      <c r="K31" t="s">
        <v>23</v>
      </c>
      <c r="L31" t="s">
        <v>24</v>
      </c>
      <c r="M31" t="s">
        <v>25</v>
      </c>
      <c r="N31" t="s">
        <v>26</v>
      </c>
    </row>
    <row r="32" spans="1:14" x14ac:dyDescent="0.35">
      <c r="A32">
        <v>30</v>
      </c>
      <c r="B32">
        <v>46041</v>
      </c>
      <c r="C32" t="s">
        <v>16</v>
      </c>
      <c r="D32">
        <v>27</v>
      </c>
      <c r="E32" t="s">
        <v>97</v>
      </c>
      <c r="F32" t="s">
        <v>98</v>
      </c>
      <c r="G32" t="s">
        <v>99</v>
      </c>
      <c r="H32" t="s">
        <v>100</v>
      </c>
      <c r="I32" t="s">
        <v>101</v>
      </c>
      <c r="J32" t="s">
        <v>22</v>
      </c>
      <c r="K32" t="s">
        <v>23</v>
      </c>
      <c r="L32" t="s">
        <v>24</v>
      </c>
      <c r="M32" t="s">
        <v>25</v>
      </c>
      <c r="N32" t="s">
        <v>26</v>
      </c>
    </row>
    <row r="33" spans="1:14" x14ac:dyDescent="0.35">
      <c r="A33">
        <v>31</v>
      </c>
      <c r="B33">
        <v>46041</v>
      </c>
      <c r="C33" t="s">
        <v>102</v>
      </c>
      <c r="D33">
        <v>27</v>
      </c>
      <c r="E33" t="s">
        <v>103</v>
      </c>
      <c r="F33" t="s">
        <v>104</v>
      </c>
      <c r="G33" t="s">
        <v>105</v>
      </c>
      <c r="H33" t="s">
        <v>106</v>
      </c>
      <c r="I33" t="s">
        <v>107</v>
      </c>
      <c r="J33" t="s">
        <v>108</v>
      </c>
      <c r="K33" t="s">
        <v>109</v>
      </c>
      <c r="L33" t="s">
        <v>110</v>
      </c>
      <c r="M33" t="s">
        <v>25</v>
      </c>
      <c r="N33" t="s">
        <v>111</v>
      </c>
    </row>
    <row r="34" spans="1:14" x14ac:dyDescent="0.35">
      <c r="A34">
        <v>32</v>
      </c>
      <c r="B34">
        <v>46041</v>
      </c>
      <c r="C34" t="s">
        <v>112</v>
      </c>
      <c r="D34">
        <v>27</v>
      </c>
      <c r="E34" t="s">
        <v>113</v>
      </c>
      <c r="F34" t="s">
        <v>114</v>
      </c>
      <c r="G34" t="s">
        <v>115</v>
      </c>
      <c r="H34" t="s">
        <v>116</v>
      </c>
      <c r="I34" t="s">
        <v>117</v>
      </c>
      <c r="J34" t="s">
        <v>22</v>
      </c>
      <c r="K34" t="s">
        <v>23</v>
      </c>
      <c r="L34" t="s">
        <v>118</v>
      </c>
      <c r="M34" t="s">
        <v>25</v>
      </c>
      <c r="N34" t="s">
        <v>119</v>
      </c>
    </row>
    <row r="35" spans="1:14" x14ac:dyDescent="0.35">
      <c r="A35">
        <v>33</v>
      </c>
      <c r="B35">
        <v>46041</v>
      </c>
      <c r="C35" t="s">
        <v>120</v>
      </c>
      <c r="D35">
        <v>27</v>
      </c>
      <c r="E35" t="s">
        <v>121</v>
      </c>
      <c r="F35" t="s">
        <v>122</v>
      </c>
      <c r="G35" t="s">
        <v>123</v>
      </c>
      <c r="H35" t="s">
        <v>124</v>
      </c>
      <c r="I35" t="s">
        <v>125</v>
      </c>
      <c r="J35" t="s">
        <v>108</v>
      </c>
      <c r="K35" t="s">
        <v>109</v>
      </c>
      <c r="L35" t="s">
        <v>110</v>
      </c>
      <c r="M35" t="s">
        <v>25</v>
      </c>
      <c r="N35" t="s">
        <v>126</v>
      </c>
    </row>
    <row r="36" spans="1:14" x14ac:dyDescent="0.35">
      <c r="A36">
        <v>34</v>
      </c>
      <c r="B36">
        <v>46048</v>
      </c>
      <c r="C36" t="s">
        <v>16</v>
      </c>
      <c r="D36">
        <v>28</v>
      </c>
      <c r="E36" t="s">
        <v>127</v>
      </c>
      <c r="F36" t="s">
        <v>128</v>
      </c>
      <c r="G36" t="s">
        <v>129</v>
      </c>
      <c r="H36" t="s">
        <v>130</v>
      </c>
      <c r="I36" t="s">
        <v>131</v>
      </c>
      <c r="J36" t="s">
        <v>22</v>
      </c>
      <c r="K36" t="s">
        <v>23</v>
      </c>
      <c r="L36" t="s">
        <v>24</v>
      </c>
      <c r="M36" t="s">
        <v>132</v>
      </c>
      <c r="N36" t="s">
        <v>133</v>
      </c>
    </row>
    <row r="37" spans="1:14" x14ac:dyDescent="0.35">
      <c r="A37">
        <v>35</v>
      </c>
      <c r="B37">
        <v>46048</v>
      </c>
      <c r="C37" t="s">
        <v>16</v>
      </c>
      <c r="D37">
        <v>28</v>
      </c>
      <c r="E37" t="s">
        <v>134</v>
      </c>
      <c r="F37" t="s">
        <v>135</v>
      </c>
      <c r="G37" t="s">
        <v>99</v>
      </c>
      <c r="H37" t="s">
        <v>100</v>
      </c>
      <c r="I37" t="s">
        <v>101</v>
      </c>
      <c r="J37" t="s">
        <v>22</v>
      </c>
      <c r="K37" t="s">
        <v>23</v>
      </c>
      <c r="L37" t="s">
        <v>24</v>
      </c>
      <c r="M37" t="s">
        <v>132</v>
      </c>
      <c r="N37" t="s">
        <v>133</v>
      </c>
    </row>
    <row r="38" spans="1:14" x14ac:dyDescent="0.35">
      <c r="A38">
        <v>36</v>
      </c>
      <c r="B38">
        <v>46048</v>
      </c>
      <c r="C38" t="s">
        <v>16</v>
      </c>
      <c r="D38">
        <v>28</v>
      </c>
      <c r="E38" t="s">
        <v>136</v>
      </c>
      <c r="F38" t="s">
        <v>137</v>
      </c>
      <c r="G38" t="s">
        <v>99</v>
      </c>
      <c r="H38" t="s">
        <v>100</v>
      </c>
      <c r="I38" t="s">
        <v>101</v>
      </c>
      <c r="J38" t="s">
        <v>22</v>
      </c>
      <c r="K38" t="s">
        <v>23</v>
      </c>
      <c r="L38" t="s">
        <v>24</v>
      </c>
      <c r="M38" t="s">
        <v>132</v>
      </c>
      <c r="N38" t="s">
        <v>133</v>
      </c>
    </row>
    <row r="39" spans="1:14" x14ac:dyDescent="0.35">
      <c r="A39">
        <v>37</v>
      </c>
      <c r="B39">
        <v>46048</v>
      </c>
      <c r="C39" t="s">
        <v>16</v>
      </c>
      <c r="D39">
        <v>28</v>
      </c>
      <c r="E39" t="s">
        <v>138</v>
      </c>
      <c r="F39" t="s">
        <v>139</v>
      </c>
      <c r="G39" t="s">
        <v>79</v>
      </c>
      <c r="H39" t="s">
        <v>80</v>
      </c>
      <c r="I39" t="s">
        <v>81</v>
      </c>
      <c r="J39" t="s">
        <v>22</v>
      </c>
      <c r="K39" t="s">
        <v>23</v>
      </c>
      <c r="L39" t="s">
        <v>24</v>
      </c>
      <c r="M39" t="s">
        <v>132</v>
      </c>
      <c r="N39" t="s">
        <v>133</v>
      </c>
    </row>
    <row r="40" spans="1:14" x14ac:dyDescent="0.35">
      <c r="A40">
        <v>38</v>
      </c>
      <c r="B40">
        <v>46048</v>
      </c>
      <c r="C40" t="s">
        <v>16</v>
      </c>
      <c r="D40">
        <v>28</v>
      </c>
      <c r="E40" t="s">
        <v>140</v>
      </c>
      <c r="F40" t="s">
        <v>141</v>
      </c>
      <c r="G40" t="s">
        <v>142</v>
      </c>
      <c r="H40" t="s">
        <v>143</v>
      </c>
      <c r="I40" t="s">
        <v>144</v>
      </c>
      <c r="J40" t="s">
        <v>22</v>
      </c>
      <c r="K40" t="s">
        <v>23</v>
      </c>
      <c r="L40" t="s">
        <v>24</v>
      </c>
      <c r="M40" t="s">
        <v>132</v>
      </c>
      <c r="N40" t="s">
        <v>133</v>
      </c>
    </row>
    <row r="41" spans="1:14" x14ac:dyDescent="0.35">
      <c r="A41">
        <v>39</v>
      </c>
      <c r="B41">
        <v>46048</v>
      </c>
      <c r="C41" t="s">
        <v>16</v>
      </c>
      <c r="D41">
        <v>28</v>
      </c>
      <c r="E41" t="s">
        <v>145</v>
      </c>
      <c r="F41" t="s">
        <v>146</v>
      </c>
      <c r="G41" t="s">
        <v>88</v>
      </c>
      <c r="H41" t="s">
        <v>147</v>
      </c>
      <c r="I41" t="s">
        <v>148</v>
      </c>
      <c r="J41" t="s">
        <v>22</v>
      </c>
      <c r="K41" t="s">
        <v>23</v>
      </c>
      <c r="L41" t="s">
        <v>24</v>
      </c>
      <c r="M41" t="s">
        <v>132</v>
      </c>
      <c r="N41" t="s">
        <v>133</v>
      </c>
    </row>
    <row r="42" spans="1:14" x14ac:dyDescent="0.35">
      <c r="A42">
        <v>40</v>
      </c>
      <c r="B42">
        <v>46048</v>
      </c>
      <c r="C42" t="s">
        <v>16</v>
      </c>
      <c r="D42">
        <v>28</v>
      </c>
      <c r="E42" t="s">
        <v>149</v>
      </c>
      <c r="F42" t="s">
        <v>150</v>
      </c>
      <c r="G42" t="s">
        <v>142</v>
      </c>
      <c r="H42" t="s">
        <v>151</v>
      </c>
      <c r="I42" t="s">
        <v>152</v>
      </c>
      <c r="J42" t="s">
        <v>22</v>
      </c>
      <c r="K42" t="s">
        <v>23</v>
      </c>
      <c r="L42" t="s">
        <v>24</v>
      </c>
      <c r="M42" t="s">
        <v>132</v>
      </c>
      <c r="N42" t="s">
        <v>133</v>
      </c>
    </row>
    <row r="43" spans="1:14" x14ac:dyDescent="0.35">
      <c r="A43">
        <v>41</v>
      </c>
      <c r="B43">
        <v>46048</v>
      </c>
      <c r="C43" t="s">
        <v>16</v>
      </c>
      <c r="D43">
        <v>28</v>
      </c>
      <c r="E43" t="s">
        <v>153</v>
      </c>
      <c r="F43" t="s">
        <v>154</v>
      </c>
      <c r="G43" t="s">
        <v>99</v>
      </c>
      <c r="H43" t="s">
        <v>155</v>
      </c>
      <c r="I43" t="s">
        <v>156</v>
      </c>
      <c r="J43" t="s">
        <v>22</v>
      </c>
      <c r="K43" t="s">
        <v>23</v>
      </c>
      <c r="L43" t="s">
        <v>24</v>
      </c>
      <c r="M43" t="s">
        <v>132</v>
      </c>
      <c r="N43" t="s">
        <v>133</v>
      </c>
    </row>
    <row r="44" spans="1:14" x14ac:dyDescent="0.35">
      <c r="A44">
        <v>42</v>
      </c>
      <c r="B44">
        <v>46048</v>
      </c>
      <c r="C44" t="s">
        <v>16</v>
      </c>
      <c r="D44">
        <v>28</v>
      </c>
      <c r="E44" t="s">
        <v>157</v>
      </c>
      <c r="F44" t="s">
        <v>158</v>
      </c>
      <c r="G44" t="s">
        <v>159</v>
      </c>
      <c r="H44" t="s">
        <v>160</v>
      </c>
      <c r="I44" t="s">
        <v>161</v>
      </c>
      <c r="J44" t="s">
        <v>22</v>
      </c>
      <c r="K44" t="s">
        <v>23</v>
      </c>
      <c r="L44" t="s">
        <v>24</v>
      </c>
      <c r="M44" t="s">
        <v>132</v>
      </c>
      <c r="N44" t="s">
        <v>133</v>
      </c>
    </row>
    <row r="45" spans="1:14" x14ac:dyDescent="0.35">
      <c r="A45">
        <v>43</v>
      </c>
      <c r="B45">
        <v>46048</v>
      </c>
      <c r="C45" t="s">
        <v>16</v>
      </c>
      <c r="D45">
        <v>28</v>
      </c>
      <c r="E45" t="s">
        <v>162</v>
      </c>
      <c r="F45" t="s">
        <v>163</v>
      </c>
      <c r="G45" t="s">
        <v>129</v>
      </c>
      <c r="H45" t="s">
        <v>164</v>
      </c>
      <c r="I45" t="s">
        <v>165</v>
      </c>
      <c r="J45" t="s">
        <v>22</v>
      </c>
      <c r="K45" t="s">
        <v>23</v>
      </c>
      <c r="L45" t="s">
        <v>24</v>
      </c>
      <c r="M45" t="s">
        <v>132</v>
      </c>
      <c r="N45" t="s">
        <v>133</v>
      </c>
    </row>
    <row r="46" spans="1:14" x14ac:dyDescent="0.35">
      <c r="A46">
        <v>44</v>
      </c>
      <c r="B46">
        <v>46048</v>
      </c>
      <c r="C46" t="s">
        <v>16</v>
      </c>
      <c r="D46">
        <v>28</v>
      </c>
      <c r="E46" t="s">
        <v>166</v>
      </c>
      <c r="F46" t="s">
        <v>167</v>
      </c>
      <c r="G46" t="s">
        <v>88</v>
      </c>
      <c r="H46" t="s">
        <v>168</v>
      </c>
      <c r="I46" t="s">
        <v>169</v>
      </c>
      <c r="J46" t="s">
        <v>22</v>
      </c>
      <c r="K46" t="s">
        <v>23</v>
      </c>
      <c r="L46" t="s">
        <v>24</v>
      </c>
      <c r="M46" t="s">
        <v>132</v>
      </c>
      <c r="N46" t="s">
        <v>133</v>
      </c>
    </row>
    <row r="47" spans="1:14" x14ac:dyDescent="0.35">
      <c r="A47">
        <v>45</v>
      </c>
      <c r="B47">
        <v>46048</v>
      </c>
      <c r="C47" t="s">
        <v>16</v>
      </c>
      <c r="D47">
        <v>28</v>
      </c>
      <c r="E47" t="s">
        <v>170</v>
      </c>
      <c r="F47" t="s">
        <v>171</v>
      </c>
      <c r="G47" t="s">
        <v>88</v>
      </c>
      <c r="H47" t="s">
        <v>147</v>
      </c>
      <c r="I47" t="s">
        <v>148</v>
      </c>
      <c r="J47" t="s">
        <v>22</v>
      </c>
      <c r="K47" t="s">
        <v>23</v>
      </c>
      <c r="L47" t="s">
        <v>24</v>
      </c>
      <c r="M47" t="s">
        <v>132</v>
      </c>
      <c r="N47" t="s">
        <v>133</v>
      </c>
    </row>
    <row r="48" spans="1:14" x14ac:dyDescent="0.35">
      <c r="A48">
        <v>46</v>
      </c>
      <c r="B48">
        <v>46048</v>
      </c>
      <c r="C48" t="s">
        <v>16</v>
      </c>
      <c r="D48">
        <v>28</v>
      </c>
      <c r="E48" t="s">
        <v>172</v>
      </c>
      <c r="F48" t="s">
        <v>173</v>
      </c>
      <c r="G48" t="s">
        <v>99</v>
      </c>
      <c r="H48" t="s">
        <v>100</v>
      </c>
      <c r="I48" t="s">
        <v>101</v>
      </c>
      <c r="J48" t="s">
        <v>22</v>
      </c>
      <c r="K48" t="s">
        <v>23</v>
      </c>
      <c r="L48" t="s">
        <v>24</v>
      </c>
      <c r="M48" t="s">
        <v>132</v>
      </c>
      <c r="N48" t="s">
        <v>133</v>
      </c>
    </row>
    <row r="49" spans="1:16" x14ac:dyDescent="0.35">
      <c r="A49">
        <v>47</v>
      </c>
      <c r="B49">
        <v>46048</v>
      </c>
      <c r="C49" t="s">
        <v>16</v>
      </c>
      <c r="D49">
        <v>28</v>
      </c>
      <c r="E49" t="s">
        <v>174</v>
      </c>
      <c r="F49" t="s">
        <v>175</v>
      </c>
      <c r="G49" t="s">
        <v>159</v>
      </c>
      <c r="H49" t="s">
        <v>160</v>
      </c>
      <c r="I49" t="s">
        <v>161</v>
      </c>
      <c r="J49" t="s">
        <v>22</v>
      </c>
      <c r="K49" t="s">
        <v>23</v>
      </c>
      <c r="L49" t="s">
        <v>24</v>
      </c>
      <c r="M49" t="s">
        <v>132</v>
      </c>
      <c r="N49" t="s">
        <v>133</v>
      </c>
    </row>
    <row r="50" spans="1:16" x14ac:dyDescent="0.35">
      <c r="A50">
        <v>48</v>
      </c>
      <c r="B50">
        <v>46048</v>
      </c>
      <c r="C50" t="s">
        <v>16</v>
      </c>
      <c r="D50">
        <v>28</v>
      </c>
      <c r="E50" t="s">
        <v>176</v>
      </c>
      <c r="F50" t="s">
        <v>177</v>
      </c>
      <c r="G50" t="s">
        <v>159</v>
      </c>
      <c r="H50" t="s">
        <v>160</v>
      </c>
      <c r="I50" t="s">
        <v>161</v>
      </c>
      <c r="J50" t="s">
        <v>22</v>
      </c>
      <c r="K50" t="s">
        <v>23</v>
      </c>
      <c r="L50" t="s">
        <v>24</v>
      </c>
      <c r="M50" t="s">
        <v>132</v>
      </c>
      <c r="N50" t="s">
        <v>133</v>
      </c>
      <c r="O50" t="s">
        <v>178</v>
      </c>
      <c r="P50" t="s">
        <v>179</v>
      </c>
    </row>
    <row r="51" spans="1:16" x14ac:dyDescent="0.35">
      <c r="A51">
        <v>49</v>
      </c>
      <c r="B51">
        <v>46048</v>
      </c>
      <c r="C51" t="s">
        <v>16</v>
      </c>
      <c r="D51">
        <v>28</v>
      </c>
      <c r="E51" t="s">
        <v>180</v>
      </c>
      <c r="F51" t="s">
        <v>181</v>
      </c>
      <c r="G51" t="s">
        <v>159</v>
      </c>
      <c r="H51" t="s">
        <v>160</v>
      </c>
      <c r="I51" t="s">
        <v>161</v>
      </c>
      <c r="J51" t="s">
        <v>22</v>
      </c>
      <c r="K51" t="s">
        <v>23</v>
      </c>
      <c r="L51" t="s">
        <v>24</v>
      </c>
      <c r="M51" t="s">
        <v>132</v>
      </c>
      <c r="N51" t="s">
        <v>133</v>
      </c>
    </row>
    <row r="52" spans="1:16" x14ac:dyDescent="0.35">
      <c r="A52">
        <v>50</v>
      </c>
      <c r="B52">
        <v>46048</v>
      </c>
      <c r="C52" t="s">
        <v>16</v>
      </c>
      <c r="D52">
        <v>28</v>
      </c>
      <c r="E52" t="s">
        <v>182</v>
      </c>
      <c r="F52" t="s">
        <v>183</v>
      </c>
      <c r="G52" t="s">
        <v>19</v>
      </c>
      <c r="H52" t="s">
        <v>20</v>
      </c>
      <c r="I52" t="s">
        <v>21</v>
      </c>
      <c r="J52" t="s">
        <v>22</v>
      </c>
      <c r="K52" t="s">
        <v>23</v>
      </c>
      <c r="L52" t="s">
        <v>24</v>
      </c>
      <c r="M52" t="s">
        <v>132</v>
      </c>
      <c r="N52" t="s">
        <v>133</v>
      </c>
    </row>
    <row r="53" spans="1:16" x14ac:dyDescent="0.35">
      <c r="A53">
        <v>51</v>
      </c>
      <c r="B53">
        <v>46048</v>
      </c>
      <c r="C53" t="s">
        <v>16</v>
      </c>
      <c r="D53">
        <v>28</v>
      </c>
      <c r="E53" t="s">
        <v>184</v>
      </c>
      <c r="F53" t="s">
        <v>185</v>
      </c>
      <c r="G53" t="s">
        <v>19</v>
      </c>
      <c r="H53" t="s">
        <v>20</v>
      </c>
      <c r="I53" t="s">
        <v>21</v>
      </c>
      <c r="J53" t="s">
        <v>22</v>
      </c>
      <c r="K53" t="s">
        <v>23</v>
      </c>
      <c r="L53" t="s">
        <v>24</v>
      </c>
      <c r="M53" t="s">
        <v>132</v>
      </c>
      <c r="N53" t="s">
        <v>133</v>
      </c>
    </row>
    <row r="54" spans="1:16" x14ac:dyDescent="0.35">
      <c r="A54">
        <v>52</v>
      </c>
      <c r="B54">
        <v>46048</v>
      </c>
      <c r="C54" t="s">
        <v>16</v>
      </c>
      <c r="D54">
        <v>28</v>
      </c>
      <c r="E54" t="s">
        <v>186</v>
      </c>
      <c r="F54" t="s">
        <v>187</v>
      </c>
      <c r="G54" t="s">
        <v>105</v>
      </c>
      <c r="H54" t="s">
        <v>188</v>
      </c>
      <c r="I54" t="s">
        <v>189</v>
      </c>
      <c r="J54" t="s">
        <v>108</v>
      </c>
      <c r="K54" t="s">
        <v>109</v>
      </c>
      <c r="L54" t="s">
        <v>110</v>
      </c>
      <c r="M54" t="s">
        <v>132</v>
      </c>
      <c r="N54" t="s">
        <v>190</v>
      </c>
      <c r="P54" t="s">
        <v>191</v>
      </c>
    </row>
    <row r="55" spans="1:16" x14ac:dyDescent="0.35">
      <c r="A55">
        <v>53</v>
      </c>
      <c r="B55">
        <v>46048</v>
      </c>
      <c r="C55" t="s">
        <v>16</v>
      </c>
      <c r="D55">
        <v>28</v>
      </c>
      <c r="E55" t="s">
        <v>192</v>
      </c>
      <c r="F55" t="s">
        <v>193</v>
      </c>
      <c r="G55" t="s">
        <v>105</v>
      </c>
      <c r="H55" t="s">
        <v>188</v>
      </c>
      <c r="I55" t="s">
        <v>189</v>
      </c>
      <c r="J55" t="s">
        <v>108</v>
      </c>
      <c r="K55" t="s">
        <v>109</v>
      </c>
      <c r="L55" t="s">
        <v>110</v>
      </c>
      <c r="M55" t="s">
        <v>132</v>
      </c>
      <c r="N55" t="s">
        <v>190</v>
      </c>
    </row>
    <row r="56" spans="1:16" x14ac:dyDescent="0.35">
      <c r="A56">
        <v>54</v>
      </c>
      <c r="B56">
        <v>46048</v>
      </c>
      <c r="C56" t="s">
        <v>16</v>
      </c>
      <c r="D56">
        <v>28</v>
      </c>
      <c r="E56" t="s">
        <v>194</v>
      </c>
      <c r="F56" t="s">
        <v>195</v>
      </c>
      <c r="G56" t="s">
        <v>105</v>
      </c>
      <c r="H56" t="s">
        <v>188</v>
      </c>
      <c r="I56" t="s">
        <v>189</v>
      </c>
      <c r="J56" t="s">
        <v>108</v>
      </c>
      <c r="K56" t="s">
        <v>109</v>
      </c>
      <c r="L56" t="s">
        <v>110</v>
      </c>
      <c r="M56" t="s">
        <v>132</v>
      </c>
      <c r="N56" t="s">
        <v>190</v>
      </c>
    </row>
    <row r="57" spans="1:16" x14ac:dyDescent="0.35">
      <c r="A57">
        <v>55</v>
      </c>
      <c r="B57">
        <v>46048</v>
      </c>
      <c r="C57" t="s">
        <v>16</v>
      </c>
      <c r="D57">
        <v>28</v>
      </c>
      <c r="E57" t="s">
        <v>196</v>
      </c>
      <c r="F57" t="s">
        <v>197</v>
      </c>
      <c r="G57" t="s">
        <v>105</v>
      </c>
      <c r="H57" t="s">
        <v>188</v>
      </c>
      <c r="I57" t="s">
        <v>189</v>
      </c>
      <c r="J57" t="s">
        <v>108</v>
      </c>
      <c r="K57" t="s">
        <v>109</v>
      </c>
      <c r="L57" t="s">
        <v>110</v>
      </c>
      <c r="M57" t="s">
        <v>132</v>
      </c>
      <c r="N57" t="s">
        <v>190</v>
      </c>
    </row>
    <row r="58" spans="1:16" x14ac:dyDescent="0.35">
      <c r="A58">
        <v>56</v>
      </c>
      <c r="B58">
        <v>46048</v>
      </c>
      <c r="C58" t="s">
        <v>16</v>
      </c>
      <c r="D58">
        <v>28</v>
      </c>
      <c r="E58" t="s">
        <v>198</v>
      </c>
      <c r="F58" t="s">
        <v>199</v>
      </c>
      <c r="G58" t="s">
        <v>105</v>
      </c>
      <c r="H58" t="s">
        <v>188</v>
      </c>
      <c r="I58" t="s">
        <v>189</v>
      </c>
      <c r="J58" t="s">
        <v>108</v>
      </c>
      <c r="K58" t="s">
        <v>109</v>
      </c>
      <c r="L58" t="s">
        <v>110</v>
      </c>
      <c r="M58" t="s">
        <v>132</v>
      </c>
      <c r="N58" t="s">
        <v>190</v>
      </c>
    </row>
    <row r="59" spans="1:16" x14ac:dyDescent="0.35">
      <c r="A59">
        <v>57</v>
      </c>
      <c r="B59">
        <v>46048</v>
      </c>
      <c r="C59" t="s">
        <v>16</v>
      </c>
      <c r="D59">
        <v>28</v>
      </c>
      <c r="E59" t="s">
        <v>200</v>
      </c>
      <c r="F59" t="s">
        <v>201</v>
      </c>
      <c r="G59" t="s">
        <v>105</v>
      </c>
      <c r="H59" t="s">
        <v>188</v>
      </c>
      <c r="I59" t="s">
        <v>189</v>
      </c>
      <c r="J59" t="s">
        <v>108</v>
      </c>
      <c r="K59" t="s">
        <v>109</v>
      </c>
      <c r="L59" t="s">
        <v>110</v>
      </c>
      <c r="M59" t="s">
        <v>132</v>
      </c>
      <c r="N59" t="s">
        <v>190</v>
      </c>
    </row>
    <row r="60" spans="1:16" x14ac:dyDescent="0.35">
      <c r="A60">
        <v>58</v>
      </c>
      <c r="B60">
        <v>46048</v>
      </c>
      <c r="C60" t="s">
        <v>16</v>
      </c>
      <c r="D60">
        <v>28</v>
      </c>
      <c r="E60" t="s">
        <v>202</v>
      </c>
      <c r="F60" t="s">
        <v>203</v>
      </c>
      <c r="G60" t="s">
        <v>105</v>
      </c>
      <c r="H60" t="s">
        <v>188</v>
      </c>
      <c r="I60" t="s">
        <v>189</v>
      </c>
      <c r="J60" t="s">
        <v>108</v>
      </c>
      <c r="K60" t="s">
        <v>109</v>
      </c>
      <c r="L60" t="s">
        <v>110</v>
      </c>
      <c r="M60" t="s">
        <v>132</v>
      </c>
      <c r="N60" t="s">
        <v>190</v>
      </c>
    </row>
    <row r="61" spans="1:16" x14ac:dyDescent="0.35">
      <c r="A61">
        <v>59</v>
      </c>
      <c r="B61">
        <v>46048</v>
      </c>
      <c r="C61" t="s">
        <v>16</v>
      </c>
      <c r="D61">
        <v>28</v>
      </c>
      <c r="E61" t="s">
        <v>204</v>
      </c>
      <c r="F61" t="s">
        <v>205</v>
      </c>
      <c r="G61" t="s">
        <v>105</v>
      </c>
      <c r="H61" t="s">
        <v>188</v>
      </c>
      <c r="I61" t="s">
        <v>189</v>
      </c>
      <c r="J61" t="s">
        <v>108</v>
      </c>
      <c r="K61" t="s">
        <v>109</v>
      </c>
      <c r="L61" t="s">
        <v>110</v>
      </c>
      <c r="M61" t="s">
        <v>132</v>
      </c>
      <c r="N61" t="s">
        <v>190</v>
      </c>
      <c r="O61" t="s">
        <v>178</v>
      </c>
      <c r="P61" t="s">
        <v>191</v>
      </c>
    </row>
    <row r="62" spans="1:16" x14ac:dyDescent="0.35">
      <c r="A62">
        <v>60</v>
      </c>
      <c r="B62">
        <v>46048</v>
      </c>
      <c r="C62" t="s">
        <v>16</v>
      </c>
      <c r="D62">
        <v>28</v>
      </c>
      <c r="E62" t="s">
        <v>206</v>
      </c>
      <c r="F62" t="s">
        <v>207</v>
      </c>
      <c r="G62" t="s">
        <v>105</v>
      </c>
      <c r="H62" t="s">
        <v>188</v>
      </c>
      <c r="I62" t="s">
        <v>189</v>
      </c>
      <c r="J62" t="s">
        <v>108</v>
      </c>
      <c r="K62" t="s">
        <v>109</v>
      </c>
      <c r="L62" t="s">
        <v>110</v>
      </c>
      <c r="M62" t="s">
        <v>132</v>
      </c>
      <c r="N62" t="s">
        <v>190</v>
      </c>
      <c r="O62" t="s">
        <v>178</v>
      </c>
      <c r="P62" t="s">
        <v>191</v>
      </c>
    </row>
    <row r="63" spans="1:16" x14ac:dyDescent="0.35">
      <c r="A63">
        <v>61</v>
      </c>
      <c r="B63">
        <v>46048</v>
      </c>
      <c r="C63" t="s">
        <v>16</v>
      </c>
      <c r="D63">
        <v>28</v>
      </c>
      <c r="E63" t="s">
        <v>208</v>
      </c>
      <c r="F63" t="s">
        <v>209</v>
      </c>
      <c r="G63" t="s">
        <v>105</v>
      </c>
      <c r="H63" t="s">
        <v>188</v>
      </c>
      <c r="I63" t="s">
        <v>189</v>
      </c>
      <c r="J63" t="s">
        <v>108</v>
      </c>
      <c r="K63" t="s">
        <v>109</v>
      </c>
      <c r="L63" t="s">
        <v>110</v>
      </c>
      <c r="M63" t="s">
        <v>132</v>
      </c>
      <c r="N63" t="s">
        <v>190</v>
      </c>
    </row>
    <row r="64" spans="1:16" x14ac:dyDescent="0.35">
      <c r="A64">
        <v>62</v>
      </c>
      <c r="B64">
        <v>46048</v>
      </c>
      <c r="C64" t="s">
        <v>16</v>
      </c>
      <c r="D64">
        <v>28</v>
      </c>
      <c r="E64" t="s">
        <v>210</v>
      </c>
      <c r="F64" t="s">
        <v>211</v>
      </c>
      <c r="G64" t="s">
        <v>212</v>
      </c>
      <c r="H64" t="s">
        <v>213</v>
      </c>
      <c r="I64" t="s">
        <v>214</v>
      </c>
      <c r="J64" t="s">
        <v>22</v>
      </c>
      <c r="K64" t="s">
        <v>23</v>
      </c>
      <c r="L64" t="s">
        <v>215</v>
      </c>
      <c r="M64" t="s">
        <v>132</v>
      </c>
      <c r="N64" t="s">
        <v>216</v>
      </c>
    </row>
    <row r="65" spans="1:16" x14ac:dyDescent="0.35">
      <c r="A65">
        <v>63</v>
      </c>
      <c r="B65">
        <v>46048</v>
      </c>
      <c r="C65" t="s">
        <v>120</v>
      </c>
      <c r="D65">
        <v>28</v>
      </c>
      <c r="E65" t="s">
        <v>121</v>
      </c>
      <c r="F65" t="s">
        <v>122</v>
      </c>
      <c r="G65" t="s">
        <v>123</v>
      </c>
      <c r="H65" t="s">
        <v>124</v>
      </c>
      <c r="I65" t="s">
        <v>125</v>
      </c>
      <c r="J65" t="s">
        <v>108</v>
      </c>
      <c r="K65" t="s">
        <v>109</v>
      </c>
      <c r="L65" t="s">
        <v>110</v>
      </c>
      <c r="M65" t="s">
        <v>132</v>
      </c>
      <c r="N65" t="s">
        <v>126</v>
      </c>
    </row>
    <row r="66" spans="1:16" x14ac:dyDescent="0.35">
      <c r="A66">
        <v>64</v>
      </c>
      <c r="B66">
        <v>46048</v>
      </c>
      <c r="C66" t="s">
        <v>16</v>
      </c>
      <c r="D66">
        <v>28</v>
      </c>
      <c r="E66" t="s">
        <v>217</v>
      </c>
      <c r="F66" t="s">
        <v>218</v>
      </c>
      <c r="G66" t="s">
        <v>219</v>
      </c>
      <c r="H66" t="s">
        <v>220</v>
      </c>
      <c r="I66" t="s">
        <v>221</v>
      </c>
      <c r="J66" t="s">
        <v>22</v>
      </c>
      <c r="K66" t="s">
        <v>23</v>
      </c>
      <c r="L66" t="s">
        <v>215</v>
      </c>
      <c r="M66" t="s">
        <v>132</v>
      </c>
      <c r="N66" t="s">
        <v>216</v>
      </c>
    </row>
    <row r="67" spans="1:16" x14ac:dyDescent="0.35">
      <c r="A67">
        <v>65</v>
      </c>
      <c r="B67">
        <v>46048</v>
      </c>
      <c r="C67" t="s">
        <v>16</v>
      </c>
      <c r="D67">
        <v>28</v>
      </c>
      <c r="E67" t="s">
        <v>222</v>
      </c>
      <c r="F67" t="s">
        <v>223</v>
      </c>
      <c r="G67" t="s">
        <v>219</v>
      </c>
      <c r="H67" t="s">
        <v>220</v>
      </c>
      <c r="I67" t="s">
        <v>221</v>
      </c>
      <c r="J67" t="s">
        <v>22</v>
      </c>
      <c r="K67" t="s">
        <v>23</v>
      </c>
      <c r="L67" t="s">
        <v>215</v>
      </c>
      <c r="M67" t="s">
        <v>132</v>
      </c>
      <c r="N67" t="s">
        <v>216</v>
      </c>
    </row>
    <row r="68" spans="1:16" x14ac:dyDescent="0.35">
      <c r="A68">
        <v>66</v>
      </c>
      <c r="B68">
        <v>46048</v>
      </c>
      <c r="C68" t="s">
        <v>16</v>
      </c>
      <c r="D68">
        <v>28</v>
      </c>
      <c r="E68" t="s">
        <v>224</v>
      </c>
      <c r="F68" t="s">
        <v>225</v>
      </c>
      <c r="G68" t="s">
        <v>226</v>
      </c>
      <c r="H68" t="s">
        <v>227</v>
      </c>
      <c r="I68" t="s">
        <v>228</v>
      </c>
      <c r="J68" t="s">
        <v>22</v>
      </c>
      <c r="K68" t="s">
        <v>23</v>
      </c>
      <c r="L68" t="s">
        <v>215</v>
      </c>
      <c r="M68" t="s">
        <v>132</v>
      </c>
      <c r="N68" t="s">
        <v>216</v>
      </c>
    </row>
    <row r="69" spans="1:16" x14ac:dyDescent="0.35">
      <c r="A69">
        <v>67</v>
      </c>
      <c r="B69">
        <v>46048</v>
      </c>
      <c r="C69" t="s">
        <v>16</v>
      </c>
      <c r="D69">
        <v>28</v>
      </c>
      <c r="E69" t="s">
        <v>229</v>
      </c>
      <c r="F69" t="s">
        <v>230</v>
      </c>
      <c r="G69" t="s">
        <v>226</v>
      </c>
      <c r="H69" t="s">
        <v>231</v>
      </c>
      <c r="I69" t="s">
        <v>232</v>
      </c>
      <c r="J69" t="s">
        <v>22</v>
      </c>
      <c r="K69" t="s">
        <v>23</v>
      </c>
      <c r="L69" t="s">
        <v>215</v>
      </c>
      <c r="M69" t="s">
        <v>132</v>
      </c>
      <c r="N69" t="s">
        <v>216</v>
      </c>
    </row>
    <row r="70" spans="1:16" x14ac:dyDescent="0.35">
      <c r="A70">
        <v>68</v>
      </c>
      <c r="B70">
        <v>46048</v>
      </c>
      <c r="C70" t="s">
        <v>16</v>
      </c>
      <c r="D70">
        <v>28</v>
      </c>
      <c r="E70" t="s">
        <v>233</v>
      </c>
      <c r="F70" t="s">
        <v>234</v>
      </c>
      <c r="G70" t="s">
        <v>235</v>
      </c>
      <c r="H70" t="s">
        <v>236</v>
      </c>
      <c r="I70" t="s">
        <v>237</v>
      </c>
      <c r="J70" t="s">
        <v>22</v>
      </c>
      <c r="K70" t="s">
        <v>23</v>
      </c>
      <c r="L70" t="s">
        <v>215</v>
      </c>
      <c r="M70" t="s">
        <v>132</v>
      </c>
      <c r="N70" t="s">
        <v>216</v>
      </c>
    </row>
    <row r="71" spans="1:16" x14ac:dyDescent="0.35">
      <c r="A71">
        <v>69</v>
      </c>
      <c r="B71">
        <v>46048</v>
      </c>
      <c r="C71" t="s">
        <v>16</v>
      </c>
      <c r="D71">
        <v>28</v>
      </c>
      <c r="E71" t="s">
        <v>238</v>
      </c>
      <c r="F71" t="s">
        <v>239</v>
      </c>
      <c r="G71" t="s">
        <v>240</v>
      </c>
      <c r="H71" t="s">
        <v>241</v>
      </c>
      <c r="I71" t="s">
        <v>242</v>
      </c>
      <c r="J71" t="s">
        <v>22</v>
      </c>
      <c r="K71" t="s">
        <v>23</v>
      </c>
      <c r="L71" t="s">
        <v>215</v>
      </c>
      <c r="M71" t="s">
        <v>132</v>
      </c>
      <c r="N71" t="s">
        <v>216</v>
      </c>
    </row>
    <row r="72" spans="1:16" x14ac:dyDescent="0.35">
      <c r="A72">
        <v>70</v>
      </c>
      <c r="B72">
        <v>46048</v>
      </c>
      <c r="C72" t="s">
        <v>16</v>
      </c>
      <c r="D72">
        <v>28</v>
      </c>
      <c r="E72" t="s">
        <v>243</v>
      </c>
      <c r="F72" t="s">
        <v>244</v>
      </c>
      <c r="G72" t="s">
        <v>240</v>
      </c>
      <c r="H72" t="s">
        <v>245</v>
      </c>
      <c r="I72" t="s">
        <v>246</v>
      </c>
      <c r="J72" t="s">
        <v>22</v>
      </c>
      <c r="K72" t="s">
        <v>23</v>
      </c>
      <c r="L72" t="s">
        <v>215</v>
      </c>
      <c r="M72" t="s">
        <v>132</v>
      </c>
      <c r="N72" t="s">
        <v>216</v>
      </c>
    </row>
    <row r="73" spans="1:16" x14ac:dyDescent="0.35">
      <c r="A73">
        <v>71</v>
      </c>
      <c r="B73">
        <v>46048</v>
      </c>
      <c r="C73" t="s">
        <v>16</v>
      </c>
      <c r="D73">
        <v>28</v>
      </c>
      <c r="E73" t="s">
        <v>247</v>
      </c>
      <c r="F73" t="s">
        <v>248</v>
      </c>
      <c r="G73" t="s">
        <v>226</v>
      </c>
      <c r="H73" t="s">
        <v>227</v>
      </c>
      <c r="I73" t="s">
        <v>228</v>
      </c>
      <c r="J73" t="s">
        <v>22</v>
      </c>
      <c r="K73" t="s">
        <v>23</v>
      </c>
      <c r="L73" t="s">
        <v>215</v>
      </c>
      <c r="M73" t="s">
        <v>132</v>
      </c>
      <c r="N73" t="s">
        <v>216</v>
      </c>
    </row>
    <row r="74" spans="1:16" x14ac:dyDescent="0.35">
      <c r="A74">
        <v>72</v>
      </c>
      <c r="B74">
        <v>46048</v>
      </c>
      <c r="C74" t="s">
        <v>16</v>
      </c>
      <c r="D74">
        <v>28</v>
      </c>
      <c r="E74" t="s">
        <v>249</v>
      </c>
      <c r="F74" t="s">
        <v>250</v>
      </c>
      <c r="G74" t="s">
        <v>219</v>
      </c>
      <c r="H74" t="s">
        <v>220</v>
      </c>
      <c r="I74" t="s">
        <v>221</v>
      </c>
      <c r="J74" t="s">
        <v>22</v>
      </c>
      <c r="K74" t="s">
        <v>23</v>
      </c>
      <c r="L74" t="s">
        <v>215</v>
      </c>
      <c r="M74" t="s">
        <v>132</v>
      </c>
      <c r="N74" t="s">
        <v>216</v>
      </c>
    </row>
    <row r="75" spans="1:16" x14ac:dyDescent="0.35">
      <c r="A75">
        <v>73</v>
      </c>
      <c r="B75">
        <v>46048</v>
      </c>
      <c r="C75" t="s">
        <v>16</v>
      </c>
      <c r="D75">
        <v>28</v>
      </c>
      <c r="E75" t="s">
        <v>251</v>
      </c>
      <c r="F75" t="s">
        <v>252</v>
      </c>
      <c r="G75" t="s">
        <v>219</v>
      </c>
      <c r="H75" t="s">
        <v>253</v>
      </c>
      <c r="I75" t="s">
        <v>254</v>
      </c>
      <c r="J75" t="s">
        <v>22</v>
      </c>
      <c r="K75" t="s">
        <v>23</v>
      </c>
      <c r="L75" t="s">
        <v>215</v>
      </c>
      <c r="M75" t="s">
        <v>132</v>
      </c>
      <c r="N75" t="s">
        <v>216</v>
      </c>
    </row>
    <row r="76" spans="1:16" x14ac:dyDescent="0.35">
      <c r="A76">
        <v>74</v>
      </c>
      <c r="B76">
        <v>46048</v>
      </c>
      <c r="C76" t="s">
        <v>16</v>
      </c>
      <c r="D76">
        <v>28</v>
      </c>
      <c r="E76" t="s">
        <v>255</v>
      </c>
      <c r="F76" t="s">
        <v>256</v>
      </c>
      <c r="G76" t="s">
        <v>219</v>
      </c>
      <c r="H76" t="s">
        <v>253</v>
      </c>
      <c r="I76" t="s">
        <v>254</v>
      </c>
      <c r="J76" t="s">
        <v>22</v>
      </c>
      <c r="K76" t="s">
        <v>23</v>
      </c>
      <c r="L76" t="s">
        <v>215</v>
      </c>
      <c r="M76" t="s">
        <v>132</v>
      </c>
      <c r="N76" t="s">
        <v>216</v>
      </c>
    </row>
    <row r="77" spans="1:16" x14ac:dyDescent="0.35">
      <c r="A77">
        <v>75</v>
      </c>
      <c r="B77">
        <v>46048</v>
      </c>
      <c r="C77" t="s">
        <v>16</v>
      </c>
      <c r="D77">
        <v>28</v>
      </c>
      <c r="E77" t="s">
        <v>257</v>
      </c>
      <c r="F77" t="s">
        <v>258</v>
      </c>
      <c r="G77" t="s">
        <v>259</v>
      </c>
      <c r="H77" t="s">
        <v>260</v>
      </c>
      <c r="I77" t="s">
        <v>261</v>
      </c>
      <c r="J77" t="s">
        <v>22</v>
      </c>
      <c r="K77" t="s">
        <v>23</v>
      </c>
      <c r="L77" t="s">
        <v>215</v>
      </c>
      <c r="M77" t="s">
        <v>132</v>
      </c>
      <c r="N77" t="s">
        <v>216</v>
      </c>
      <c r="P77" t="s">
        <v>191</v>
      </c>
    </row>
    <row r="78" spans="1:16" x14ac:dyDescent="0.35">
      <c r="A78">
        <v>76</v>
      </c>
      <c r="B78">
        <v>46048</v>
      </c>
      <c r="C78" t="s">
        <v>16</v>
      </c>
      <c r="D78">
        <v>28</v>
      </c>
      <c r="E78" t="s">
        <v>262</v>
      </c>
      <c r="F78" t="s">
        <v>263</v>
      </c>
      <c r="G78" t="s">
        <v>264</v>
      </c>
      <c r="H78" t="s">
        <v>265</v>
      </c>
      <c r="I78" t="s">
        <v>266</v>
      </c>
      <c r="J78" t="s">
        <v>22</v>
      </c>
      <c r="K78" t="s">
        <v>23</v>
      </c>
      <c r="L78" t="s">
        <v>215</v>
      </c>
      <c r="M78" t="s">
        <v>132</v>
      </c>
      <c r="N78" t="s">
        <v>216</v>
      </c>
    </row>
    <row r="79" spans="1:16" x14ac:dyDescent="0.35">
      <c r="A79">
        <v>77</v>
      </c>
      <c r="B79">
        <v>46048</v>
      </c>
      <c r="C79" t="s">
        <v>16</v>
      </c>
      <c r="D79">
        <v>28</v>
      </c>
      <c r="E79" t="s">
        <v>267</v>
      </c>
      <c r="F79" t="s">
        <v>268</v>
      </c>
      <c r="G79" t="s">
        <v>269</v>
      </c>
      <c r="H79" t="s">
        <v>270</v>
      </c>
      <c r="I79" t="s">
        <v>271</v>
      </c>
      <c r="J79" t="s">
        <v>22</v>
      </c>
      <c r="K79" t="s">
        <v>23</v>
      </c>
      <c r="L79" t="s">
        <v>215</v>
      </c>
      <c r="M79" t="s">
        <v>132</v>
      </c>
      <c r="N79" t="s">
        <v>216</v>
      </c>
    </row>
    <row r="80" spans="1:16" x14ac:dyDescent="0.35">
      <c r="A80">
        <v>78</v>
      </c>
      <c r="B80">
        <v>46048</v>
      </c>
      <c r="C80" t="s">
        <v>16</v>
      </c>
      <c r="D80">
        <v>28</v>
      </c>
      <c r="E80" t="s">
        <v>272</v>
      </c>
      <c r="F80" t="s">
        <v>273</v>
      </c>
      <c r="G80" t="s">
        <v>235</v>
      </c>
      <c r="H80" t="s">
        <v>274</v>
      </c>
      <c r="I80" t="s">
        <v>275</v>
      </c>
      <c r="J80" t="s">
        <v>22</v>
      </c>
      <c r="K80" t="s">
        <v>23</v>
      </c>
      <c r="L80" t="s">
        <v>215</v>
      </c>
      <c r="M80" t="s">
        <v>132</v>
      </c>
      <c r="N80" t="s">
        <v>216</v>
      </c>
    </row>
    <row r="81" spans="1:14" x14ac:dyDescent="0.35">
      <c r="A81">
        <v>79</v>
      </c>
      <c r="B81">
        <v>46048</v>
      </c>
      <c r="C81" t="s">
        <v>16</v>
      </c>
      <c r="D81">
        <v>28</v>
      </c>
      <c r="E81" t="s">
        <v>276</v>
      </c>
      <c r="F81" t="s">
        <v>277</v>
      </c>
      <c r="G81" t="s">
        <v>269</v>
      </c>
      <c r="H81" t="s">
        <v>270</v>
      </c>
      <c r="I81" t="s">
        <v>271</v>
      </c>
      <c r="J81" t="s">
        <v>22</v>
      </c>
      <c r="K81" t="s">
        <v>23</v>
      </c>
      <c r="L81" t="s">
        <v>215</v>
      </c>
      <c r="M81" t="s">
        <v>132</v>
      </c>
      <c r="N81" t="s">
        <v>216</v>
      </c>
    </row>
    <row r="82" spans="1:14" x14ac:dyDescent="0.35">
      <c r="A82">
        <v>80</v>
      </c>
      <c r="B82">
        <v>46048</v>
      </c>
      <c r="C82" t="s">
        <v>16</v>
      </c>
      <c r="D82">
        <v>28</v>
      </c>
      <c r="E82" t="s">
        <v>278</v>
      </c>
      <c r="F82" t="s">
        <v>279</v>
      </c>
      <c r="G82" t="s">
        <v>269</v>
      </c>
      <c r="H82" t="s">
        <v>270</v>
      </c>
      <c r="I82" t="s">
        <v>271</v>
      </c>
      <c r="J82" t="s">
        <v>22</v>
      </c>
      <c r="K82" t="s">
        <v>23</v>
      </c>
      <c r="L82" t="s">
        <v>215</v>
      </c>
      <c r="M82" t="s">
        <v>132</v>
      </c>
      <c r="N82" t="s">
        <v>216</v>
      </c>
    </row>
    <row r="83" spans="1:14" x14ac:dyDescent="0.35">
      <c r="A83">
        <v>81</v>
      </c>
      <c r="B83">
        <v>46048</v>
      </c>
      <c r="C83" t="s">
        <v>16</v>
      </c>
      <c r="D83">
        <v>28</v>
      </c>
      <c r="E83" t="s">
        <v>280</v>
      </c>
      <c r="F83" t="s">
        <v>281</v>
      </c>
      <c r="G83" t="s">
        <v>269</v>
      </c>
      <c r="H83" t="s">
        <v>282</v>
      </c>
      <c r="I83" t="s">
        <v>283</v>
      </c>
      <c r="J83" t="s">
        <v>22</v>
      </c>
      <c r="K83" t="s">
        <v>23</v>
      </c>
      <c r="L83" t="s">
        <v>215</v>
      </c>
      <c r="M83" t="s">
        <v>132</v>
      </c>
      <c r="N83" t="s">
        <v>216</v>
      </c>
    </row>
    <row r="84" spans="1:14" x14ac:dyDescent="0.35">
      <c r="A84">
        <v>82</v>
      </c>
      <c r="B84">
        <v>46048</v>
      </c>
      <c r="C84" t="s">
        <v>16</v>
      </c>
      <c r="D84">
        <v>28</v>
      </c>
      <c r="E84" t="s">
        <v>284</v>
      </c>
      <c r="F84" t="s">
        <v>285</v>
      </c>
      <c r="G84" t="s">
        <v>269</v>
      </c>
      <c r="H84" t="s">
        <v>282</v>
      </c>
      <c r="I84" t="s">
        <v>283</v>
      </c>
      <c r="J84" t="s">
        <v>22</v>
      </c>
      <c r="K84" t="s">
        <v>23</v>
      </c>
      <c r="L84" t="s">
        <v>215</v>
      </c>
      <c r="M84" t="s">
        <v>132</v>
      </c>
      <c r="N84" t="s">
        <v>216</v>
      </c>
    </row>
    <row r="85" spans="1:14" x14ac:dyDescent="0.35">
      <c r="A85">
        <v>83</v>
      </c>
      <c r="B85">
        <v>46048</v>
      </c>
      <c r="C85" t="s">
        <v>16</v>
      </c>
      <c r="D85">
        <v>28</v>
      </c>
      <c r="E85" t="s">
        <v>286</v>
      </c>
      <c r="F85" t="s">
        <v>287</v>
      </c>
      <c r="G85" t="s">
        <v>235</v>
      </c>
      <c r="H85" t="s">
        <v>274</v>
      </c>
      <c r="I85" t="s">
        <v>275</v>
      </c>
      <c r="J85" t="s">
        <v>22</v>
      </c>
      <c r="K85" t="s">
        <v>23</v>
      </c>
      <c r="L85" t="s">
        <v>215</v>
      </c>
      <c r="M85" t="s">
        <v>132</v>
      </c>
      <c r="N85" t="s">
        <v>216</v>
      </c>
    </row>
    <row r="86" spans="1:14" x14ac:dyDescent="0.35">
      <c r="A86">
        <v>84</v>
      </c>
      <c r="B86">
        <v>46048</v>
      </c>
      <c r="C86" t="s">
        <v>16</v>
      </c>
      <c r="D86">
        <v>28</v>
      </c>
      <c r="E86" t="s">
        <v>288</v>
      </c>
      <c r="F86" t="s">
        <v>289</v>
      </c>
      <c r="G86" t="s">
        <v>290</v>
      </c>
      <c r="H86" t="s">
        <v>291</v>
      </c>
      <c r="I86" t="s">
        <v>292</v>
      </c>
      <c r="J86" t="s">
        <v>22</v>
      </c>
      <c r="K86" t="s">
        <v>23</v>
      </c>
      <c r="L86" t="s">
        <v>215</v>
      </c>
      <c r="M86" t="s">
        <v>132</v>
      </c>
      <c r="N86" t="s">
        <v>216</v>
      </c>
    </row>
    <row r="87" spans="1:14" x14ac:dyDescent="0.35">
      <c r="A87">
        <v>85</v>
      </c>
      <c r="B87">
        <v>46048</v>
      </c>
      <c r="C87" t="s">
        <v>16</v>
      </c>
      <c r="D87">
        <v>28</v>
      </c>
      <c r="E87" t="s">
        <v>293</v>
      </c>
      <c r="F87" t="s">
        <v>294</v>
      </c>
      <c r="G87" t="s">
        <v>240</v>
      </c>
      <c r="H87" t="s">
        <v>241</v>
      </c>
      <c r="I87" t="s">
        <v>242</v>
      </c>
      <c r="J87" t="s">
        <v>22</v>
      </c>
      <c r="K87" t="s">
        <v>23</v>
      </c>
      <c r="L87" t="s">
        <v>215</v>
      </c>
      <c r="M87" t="s">
        <v>132</v>
      </c>
      <c r="N87" t="s">
        <v>216</v>
      </c>
    </row>
    <row r="88" spans="1:14" x14ac:dyDescent="0.35">
      <c r="A88">
        <v>86</v>
      </c>
      <c r="B88">
        <v>46048</v>
      </c>
      <c r="C88" t="s">
        <v>16</v>
      </c>
      <c r="D88">
        <v>28</v>
      </c>
      <c r="E88" t="s">
        <v>295</v>
      </c>
      <c r="F88" t="s">
        <v>296</v>
      </c>
      <c r="G88" t="s">
        <v>240</v>
      </c>
      <c r="H88" t="s">
        <v>297</v>
      </c>
      <c r="I88" t="s">
        <v>298</v>
      </c>
      <c r="J88" t="s">
        <v>22</v>
      </c>
      <c r="K88" t="s">
        <v>23</v>
      </c>
      <c r="L88" t="s">
        <v>215</v>
      </c>
      <c r="M88" t="s">
        <v>132</v>
      </c>
      <c r="N88" t="s">
        <v>216</v>
      </c>
    </row>
    <row r="89" spans="1:14" x14ac:dyDescent="0.35">
      <c r="A89">
        <v>87</v>
      </c>
      <c r="B89">
        <v>46048</v>
      </c>
      <c r="C89" t="s">
        <v>16</v>
      </c>
      <c r="D89">
        <v>28</v>
      </c>
      <c r="E89" t="s">
        <v>299</v>
      </c>
      <c r="F89" t="s">
        <v>300</v>
      </c>
      <c r="G89" t="s">
        <v>212</v>
      </c>
      <c r="H89" t="s">
        <v>301</v>
      </c>
      <c r="I89" t="s">
        <v>302</v>
      </c>
      <c r="J89" t="s">
        <v>22</v>
      </c>
      <c r="K89" t="s">
        <v>23</v>
      </c>
      <c r="L89" t="s">
        <v>303</v>
      </c>
      <c r="M89" t="s">
        <v>132</v>
      </c>
      <c r="N89" t="s">
        <v>216</v>
      </c>
    </row>
    <row r="90" spans="1:14" x14ac:dyDescent="0.35">
      <c r="A90">
        <v>88</v>
      </c>
      <c r="B90">
        <v>46048</v>
      </c>
      <c r="C90" t="s">
        <v>16</v>
      </c>
      <c r="D90">
        <v>28</v>
      </c>
      <c r="E90" t="s">
        <v>304</v>
      </c>
      <c r="F90" t="s">
        <v>305</v>
      </c>
      <c r="G90" t="s">
        <v>212</v>
      </c>
      <c r="H90" t="s">
        <v>301</v>
      </c>
      <c r="I90" t="s">
        <v>302</v>
      </c>
      <c r="J90" t="s">
        <v>22</v>
      </c>
      <c r="K90" t="s">
        <v>23</v>
      </c>
      <c r="L90" t="s">
        <v>303</v>
      </c>
      <c r="M90" t="s">
        <v>132</v>
      </c>
      <c r="N90" t="s">
        <v>216</v>
      </c>
    </row>
    <row r="91" spans="1:14" x14ac:dyDescent="0.35">
      <c r="A91">
        <v>89</v>
      </c>
      <c r="B91">
        <v>46048</v>
      </c>
      <c r="C91" t="s">
        <v>16</v>
      </c>
      <c r="D91">
        <v>28</v>
      </c>
      <c r="E91" t="s">
        <v>306</v>
      </c>
      <c r="F91" t="s">
        <v>307</v>
      </c>
      <c r="G91" t="s">
        <v>212</v>
      </c>
      <c r="H91" t="s">
        <v>213</v>
      </c>
      <c r="I91" t="s">
        <v>214</v>
      </c>
      <c r="J91" t="s">
        <v>22</v>
      </c>
      <c r="K91" t="s">
        <v>23</v>
      </c>
      <c r="L91" t="s">
        <v>215</v>
      </c>
      <c r="M91" t="s">
        <v>132</v>
      </c>
      <c r="N91" t="s">
        <v>216</v>
      </c>
    </row>
    <row r="92" spans="1:14" x14ac:dyDescent="0.35">
      <c r="A92">
        <v>90</v>
      </c>
      <c r="B92">
        <v>46048</v>
      </c>
      <c r="C92" t="s">
        <v>16</v>
      </c>
      <c r="D92">
        <v>28</v>
      </c>
      <c r="E92" t="s">
        <v>308</v>
      </c>
      <c r="F92" t="s">
        <v>309</v>
      </c>
      <c r="G92" t="s">
        <v>212</v>
      </c>
      <c r="H92" t="s">
        <v>310</v>
      </c>
      <c r="I92" t="s">
        <v>311</v>
      </c>
      <c r="J92" t="s">
        <v>22</v>
      </c>
      <c r="K92" t="s">
        <v>23</v>
      </c>
      <c r="L92" t="s">
        <v>215</v>
      </c>
      <c r="M92" t="s">
        <v>132</v>
      </c>
      <c r="N92" t="s">
        <v>216</v>
      </c>
    </row>
    <row r="93" spans="1:14" x14ac:dyDescent="0.35">
      <c r="A93">
        <v>91</v>
      </c>
      <c r="B93">
        <v>46048</v>
      </c>
      <c r="C93" t="s">
        <v>16</v>
      </c>
      <c r="D93">
        <v>28</v>
      </c>
      <c r="E93" t="s">
        <v>312</v>
      </c>
      <c r="F93" t="s">
        <v>313</v>
      </c>
      <c r="G93" t="s">
        <v>290</v>
      </c>
      <c r="H93" t="s">
        <v>314</v>
      </c>
      <c r="I93" t="s">
        <v>315</v>
      </c>
      <c r="J93" t="s">
        <v>22</v>
      </c>
      <c r="K93" t="s">
        <v>23</v>
      </c>
      <c r="L93" t="s">
        <v>215</v>
      </c>
      <c r="M93" t="s">
        <v>132</v>
      </c>
      <c r="N93" t="s">
        <v>216</v>
      </c>
    </row>
    <row r="94" spans="1:14" x14ac:dyDescent="0.35">
      <c r="A94">
        <v>92</v>
      </c>
      <c r="B94">
        <v>46048</v>
      </c>
      <c r="C94" t="s">
        <v>16</v>
      </c>
      <c r="D94">
        <v>28</v>
      </c>
      <c r="E94" t="s">
        <v>316</v>
      </c>
      <c r="F94" t="s">
        <v>317</v>
      </c>
      <c r="G94" t="s">
        <v>290</v>
      </c>
      <c r="H94" t="s">
        <v>318</v>
      </c>
      <c r="I94" t="s">
        <v>319</v>
      </c>
      <c r="J94" t="s">
        <v>22</v>
      </c>
      <c r="K94" t="s">
        <v>23</v>
      </c>
      <c r="L94" t="s">
        <v>215</v>
      </c>
      <c r="M94" t="s">
        <v>132</v>
      </c>
      <c r="N94" t="s">
        <v>216</v>
      </c>
    </row>
    <row r="95" spans="1:14" x14ac:dyDescent="0.35">
      <c r="A95">
        <v>93</v>
      </c>
      <c r="B95">
        <v>46048</v>
      </c>
      <c r="C95" t="s">
        <v>320</v>
      </c>
      <c r="D95">
        <v>28</v>
      </c>
      <c r="E95" t="s">
        <v>121</v>
      </c>
      <c r="F95" t="s">
        <v>122</v>
      </c>
      <c r="G95" t="s">
        <v>123</v>
      </c>
      <c r="H95" t="s">
        <v>124</v>
      </c>
      <c r="I95" t="s">
        <v>125</v>
      </c>
      <c r="J95" t="s">
        <v>108</v>
      </c>
      <c r="K95" t="s">
        <v>109</v>
      </c>
      <c r="L95" t="s">
        <v>110</v>
      </c>
      <c r="M95" t="s">
        <v>132</v>
      </c>
      <c r="N95" t="s">
        <v>126</v>
      </c>
    </row>
    <row r="96" spans="1:14" x14ac:dyDescent="0.35">
      <c r="A96">
        <v>94</v>
      </c>
      <c r="B96">
        <v>46055</v>
      </c>
      <c r="C96" t="s">
        <v>16</v>
      </c>
      <c r="D96">
        <v>29</v>
      </c>
      <c r="E96" t="s">
        <v>321</v>
      </c>
      <c r="F96" t="s">
        <v>322</v>
      </c>
      <c r="G96" t="s">
        <v>290</v>
      </c>
      <c r="H96" t="s">
        <v>318</v>
      </c>
      <c r="I96" t="s">
        <v>319</v>
      </c>
      <c r="J96" t="s">
        <v>22</v>
      </c>
      <c r="K96" t="s">
        <v>23</v>
      </c>
      <c r="L96" t="s">
        <v>215</v>
      </c>
      <c r="M96" t="s">
        <v>323</v>
      </c>
      <c r="N96" t="s">
        <v>324</v>
      </c>
    </row>
    <row r="97" spans="1:14" x14ac:dyDescent="0.35">
      <c r="A97">
        <v>95</v>
      </c>
      <c r="B97">
        <v>46055</v>
      </c>
      <c r="C97" t="s">
        <v>16</v>
      </c>
      <c r="D97">
        <v>29</v>
      </c>
      <c r="E97" t="s">
        <v>325</v>
      </c>
      <c r="F97" t="s">
        <v>326</v>
      </c>
      <c r="G97" t="s">
        <v>290</v>
      </c>
      <c r="H97" t="s">
        <v>318</v>
      </c>
      <c r="I97" t="s">
        <v>319</v>
      </c>
      <c r="J97" t="s">
        <v>22</v>
      </c>
      <c r="K97" t="s">
        <v>23</v>
      </c>
      <c r="L97" t="s">
        <v>215</v>
      </c>
      <c r="M97" t="s">
        <v>323</v>
      </c>
      <c r="N97" t="s">
        <v>324</v>
      </c>
    </row>
    <row r="98" spans="1:14" x14ac:dyDescent="0.35">
      <c r="A98">
        <v>96</v>
      </c>
      <c r="B98">
        <v>46055</v>
      </c>
      <c r="C98" t="s">
        <v>16</v>
      </c>
      <c r="D98">
        <v>29</v>
      </c>
      <c r="E98" t="s">
        <v>327</v>
      </c>
      <c r="F98" t="s">
        <v>328</v>
      </c>
      <c r="G98" t="s">
        <v>264</v>
      </c>
      <c r="H98" t="s">
        <v>329</v>
      </c>
      <c r="I98" t="s">
        <v>330</v>
      </c>
      <c r="J98" t="s">
        <v>22</v>
      </c>
      <c r="K98" t="s">
        <v>23</v>
      </c>
      <c r="L98" t="s">
        <v>215</v>
      </c>
      <c r="M98" t="s">
        <v>323</v>
      </c>
      <c r="N98" t="s">
        <v>324</v>
      </c>
    </row>
    <row r="99" spans="1:14" x14ac:dyDescent="0.35">
      <c r="A99">
        <v>97</v>
      </c>
      <c r="B99">
        <v>46055</v>
      </c>
      <c r="C99" t="s">
        <v>16</v>
      </c>
      <c r="D99">
        <v>29</v>
      </c>
      <c r="E99" t="s">
        <v>331</v>
      </c>
      <c r="F99" t="s">
        <v>332</v>
      </c>
      <c r="G99" t="s">
        <v>333</v>
      </c>
      <c r="H99" t="s">
        <v>334</v>
      </c>
      <c r="I99" t="s">
        <v>335</v>
      </c>
      <c r="J99" t="s">
        <v>22</v>
      </c>
      <c r="K99" t="s">
        <v>23</v>
      </c>
      <c r="L99" t="s">
        <v>303</v>
      </c>
      <c r="M99" t="s">
        <v>323</v>
      </c>
      <c r="N99" t="s">
        <v>324</v>
      </c>
    </row>
    <row r="100" spans="1:14" x14ac:dyDescent="0.35">
      <c r="A100">
        <v>98</v>
      </c>
      <c r="B100">
        <v>46055</v>
      </c>
      <c r="C100" t="s">
        <v>16</v>
      </c>
      <c r="D100">
        <v>29</v>
      </c>
      <c r="E100" t="s">
        <v>336</v>
      </c>
      <c r="F100" t="s">
        <v>337</v>
      </c>
      <c r="G100" t="s">
        <v>264</v>
      </c>
      <c r="H100" t="s">
        <v>265</v>
      </c>
      <c r="I100" t="s">
        <v>266</v>
      </c>
      <c r="J100" t="s">
        <v>22</v>
      </c>
      <c r="K100" t="s">
        <v>23</v>
      </c>
      <c r="L100" t="s">
        <v>215</v>
      </c>
      <c r="M100" t="s">
        <v>323</v>
      </c>
      <c r="N100" t="s">
        <v>324</v>
      </c>
    </row>
    <row r="101" spans="1:14" x14ac:dyDescent="0.35">
      <c r="A101">
        <v>99</v>
      </c>
      <c r="B101">
        <v>46055</v>
      </c>
      <c r="C101" t="s">
        <v>16</v>
      </c>
      <c r="D101">
        <v>29</v>
      </c>
      <c r="E101" t="s">
        <v>338</v>
      </c>
      <c r="F101" t="s">
        <v>339</v>
      </c>
      <c r="G101" t="s">
        <v>219</v>
      </c>
      <c r="H101" t="s">
        <v>253</v>
      </c>
      <c r="I101" t="s">
        <v>254</v>
      </c>
      <c r="J101" t="s">
        <v>22</v>
      </c>
      <c r="K101" t="s">
        <v>23</v>
      </c>
      <c r="L101" t="s">
        <v>215</v>
      </c>
      <c r="M101" t="s">
        <v>323</v>
      </c>
      <c r="N101" t="s">
        <v>324</v>
      </c>
    </row>
    <row r="102" spans="1:14" x14ac:dyDescent="0.35">
      <c r="A102">
        <v>100</v>
      </c>
      <c r="B102">
        <v>46055</v>
      </c>
      <c r="C102" t="s">
        <v>16</v>
      </c>
      <c r="D102">
        <v>29</v>
      </c>
      <c r="E102" t="s">
        <v>340</v>
      </c>
      <c r="F102" t="s">
        <v>341</v>
      </c>
      <c r="G102" t="s">
        <v>333</v>
      </c>
      <c r="H102" t="s">
        <v>334</v>
      </c>
      <c r="I102" t="s">
        <v>335</v>
      </c>
      <c r="J102" t="s">
        <v>22</v>
      </c>
      <c r="K102" t="s">
        <v>23</v>
      </c>
      <c r="L102" t="s">
        <v>303</v>
      </c>
      <c r="M102" t="s">
        <v>323</v>
      </c>
      <c r="N102" t="s">
        <v>324</v>
      </c>
    </row>
    <row r="103" spans="1:14" x14ac:dyDescent="0.35">
      <c r="A103">
        <v>101</v>
      </c>
      <c r="B103">
        <v>46055</v>
      </c>
      <c r="C103" t="s">
        <v>16</v>
      </c>
      <c r="D103">
        <v>29</v>
      </c>
      <c r="E103" t="s">
        <v>342</v>
      </c>
      <c r="F103" t="s">
        <v>343</v>
      </c>
      <c r="G103" t="s">
        <v>212</v>
      </c>
      <c r="H103" t="s">
        <v>301</v>
      </c>
      <c r="I103" t="s">
        <v>302</v>
      </c>
      <c r="J103" t="s">
        <v>22</v>
      </c>
      <c r="K103" t="s">
        <v>23</v>
      </c>
      <c r="L103" t="s">
        <v>303</v>
      </c>
      <c r="M103" t="s">
        <v>323</v>
      </c>
      <c r="N103" t="s">
        <v>324</v>
      </c>
    </row>
    <row r="104" spans="1:14" x14ac:dyDescent="0.35">
      <c r="A104">
        <v>102</v>
      </c>
      <c r="B104">
        <v>46055</v>
      </c>
      <c r="C104" t="s">
        <v>16</v>
      </c>
      <c r="D104">
        <v>29</v>
      </c>
      <c r="E104" t="s">
        <v>344</v>
      </c>
      <c r="F104" t="s">
        <v>345</v>
      </c>
      <c r="G104" t="s">
        <v>346</v>
      </c>
      <c r="H104" t="s">
        <v>347</v>
      </c>
      <c r="I104" t="s">
        <v>348</v>
      </c>
      <c r="J104" t="s">
        <v>22</v>
      </c>
      <c r="K104" t="s">
        <v>23</v>
      </c>
      <c r="L104" t="s">
        <v>303</v>
      </c>
      <c r="M104" t="s">
        <v>323</v>
      </c>
      <c r="N104" t="s">
        <v>324</v>
      </c>
    </row>
    <row r="105" spans="1:14" x14ac:dyDescent="0.35">
      <c r="A105">
        <v>103</v>
      </c>
      <c r="B105">
        <v>46055</v>
      </c>
      <c r="C105" t="s">
        <v>16</v>
      </c>
      <c r="D105">
        <v>29</v>
      </c>
      <c r="E105" t="s">
        <v>349</v>
      </c>
      <c r="F105" t="s">
        <v>350</v>
      </c>
      <c r="G105" t="s">
        <v>212</v>
      </c>
      <c r="H105" t="s">
        <v>351</v>
      </c>
      <c r="I105" t="s">
        <v>352</v>
      </c>
      <c r="J105" t="s">
        <v>22</v>
      </c>
      <c r="K105" t="s">
        <v>23</v>
      </c>
      <c r="L105" t="s">
        <v>215</v>
      </c>
      <c r="M105" t="s">
        <v>323</v>
      </c>
      <c r="N105" t="s">
        <v>324</v>
      </c>
    </row>
    <row r="106" spans="1:14" x14ac:dyDescent="0.35">
      <c r="A106">
        <v>104</v>
      </c>
      <c r="B106">
        <v>46055</v>
      </c>
      <c r="C106" t="s">
        <v>16</v>
      </c>
      <c r="D106">
        <v>29</v>
      </c>
      <c r="E106" t="s">
        <v>353</v>
      </c>
      <c r="F106" t="s">
        <v>354</v>
      </c>
      <c r="G106" t="s">
        <v>226</v>
      </c>
      <c r="H106" t="s">
        <v>227</v>
      </c>
      <c r="I106" t="s">
        <v>228</v>
      </c>
      <c r="J106" t="s">
        <v>22</v>
      </c>
      <c r="K106" t="s">
        <v>23</v>
      </c>
      <c r="L106" t="s">
        <v>215</v>
      </c>
      <c r="M106" t="s">
        <v>323</v>
      </c>
      <c r="N106" t="s">
        <v>324</v>
      </c>
    </row>
    <row r="107" spans="1:14" x14ac:dyDescent="0.35">
      <c r="A107">
        <v>105</v>
      </c>
      <c r="B107">
        <v>46055</v>
      </c>
      <c r="C107" t="s">
        <v>16</v>
      </c>
      <c r="D107">
        <v>29</v>
      </c>
      <c r="E107" t="s">
        <v>355</v>
      </c>
      <c r="F107" t="s">
        <v>356</v>
      </c>
      <c r="G107" t="s">
        <v>219</v>
      </c>
      <c r="H107" t="s">
        <v>253</v>
      </c>
      <c r="I107" t="s">
        <v>254</v>
      </c>
      <c r="J107" t="s">
        <v>22</v>
      </c>
      <c r="K107" t="s">
        <v>23</v>
      </c>
      <c r="L107" t="s">
        <v>215</v>
      </c>
      <c r="M107" t="s">
        <v>323</v>
      </c>
      <c r="N107" t="s">
        <v>324</v>
      </c>
    </row>
    <row r="108" spans="1:14" x14ac:dyDescent="0.35">
      <c r="A108">
        <v>106</v>
      </c>
      <c r="B108">
        <v>46055</v>
      </c>
      <c r="C108" t="s">
        <v>16</v>
      </c>
      <c r="D108">
        <v>29</v>
      </c>
      <c r="E108" t="s">
        <v>357</v>
      </c>
      <c r="F108" t="s">
        <v>358</v>
      </c>
      <c r="G108" t="s">
        <v>212</v>
      </c>
      <c r="H108" t="s">
        <v>359</v>
      </c>
      <c r="I108" t="s">
        <v>360</v>
      </c>
      <c r="J108" t="s">
        <v>22</v>
      </c>
      <c r="K108" t="s">
        <v>23</v>
      </c>
      <c r="L108" t="s">
        <v>215</v>
      </c>
      <c r="M108" t="s">
        <v>323</v>
      </c>
      <c r="N108" t="s">
        <v>324</v>
      </c>
    </row>
    <row r="109" spans="1:14" x14ac:dyDescent="0.35">
      <c r="A109">
        <v>107</v>
      </c>
      <c r="B109">
        <v>46055</v>
      </c>
      <c r="C109" t="s">
        <v>16</v>
      </c>
      <c r="D109">
        <v>29</v>
      </c>
      <c r="E109" t="s">
        <v>361</v>
      </c>
      <c r="F109" t="s">
        <v>362</v>
      </c>
      <c r="G109" t="s">
        <v>219</v>
      </c>
      <c r="H109" t="s">
        <v>253</v>
      </c>
      <c r="I109" t="s">
        <v>254</v>
      </c>
      <c r="J109" t="s">
        <v>22</v>
      </c>
      <c r="K109" t="s">
        <v>23</v>
      </c>
      <c r="L109" t="s">
        <v>215</v>
      </c>
      <c r="M109" t="s">
        <v>323</v>
      </c>
      <c r="N109" t="s">
        <v>324</v>
      </c>
    </row>
    <row r="110" spans="1:14" x14ac:dyDescent="0.35">
      <c r="A110">
        <v>108</v>
      </c>
      <c r="B110">
        <v>46055</v>
      </c>
      <c r="C110" t="s">
        <v>16</v>
      </c>
      <c r="D110">
        <v>29</v>
      </c>
      <c r="E110" t="s">
        <v>363</v>
      </c>
      <c r="F110" t="s">
        <v>364</v>
      </c>
      <c r="G110" t="s">
        <v>219</v>
      </c>
      <c r="H110" t="s">
        <v>365</v>
      </c>
      <c r="I110" t="s">
        <v>366</v>
      </c>
      <c r="J110" t="s">
        <v>22</v>
      </c>
      <c r="K110" t="s">
        <v>23</v>
      </c>
      <c r="L110" t="s">
        <v>215</v>
      </c>
      <c r="M110" t="s">
        <v>323</v>
      </c>
      <c r="N110" t="s">
        <v>324</v>
      </c>
    </row>
    <row r="111" spans="1:14" x14ac:dyDescent="0.35">
      <c r="A111">
        <v>109</v>
      </c>
      <c r="B111">
        <v>46055</v>
      </c>
      <c r="C111" t="s">
        <v>16</v>
      </c>
      <c r="D111">
        <v>29</v>
      </c>
      <c r="E111" t="s">
        <v>367</v>
      </c>
      <c r="F111" t="s">
        <v>368</v>
      </c>
      <c r="G111" t="s">
        <v>219</v>
      </c>
      <c r="H111" t="s">
        <v>365</v>
      </c>
      <c r="I111" t="s">
        <v>366</v>
      </c>
      <c r="J111" t="s">
        <v>22</v>
      </c>
      <c r="K111" t="s">
        <v>23</v>
      </c>
      <c r="L111" t="s">
        <v>215</v>
      </c>
      <c r="M111" t="s">
        <v>323</v>
      </c>
      <c r="N111" t="s">
        <v>324</v>
      </c>
    </row>
    <row r="112" spans="1:14" x14ac:dyDescent="0.35">
      <c r="A112">
        <v>110</v>
      </c>
      <c r="B112">
        <v>46055</v>
      </c>
      <c r="C112" t="s">
        <v>16</v>
      </c>
      <c r="D112">
        <v>29</v>
      </c>
      <c r="E112" t="s">
        <v>369</v>
      </c>
      <c r="F112" t="s">
        <v>370</v>
      </c>
      <c r="G112" t="s">
        <v>219</v>
      </c>
      <c r="H112" t="s">
        <v>365</v>
      </c>
      <c r="I112" t="s">
        <v>366</v>
      </c>
      <c r="J112" t="s">
        <v>22</v>
      </c>
      <c r="K112" t="s">
        <v>23</v>
      </c>
      <c r="L112" t="s">
        <v>215</v>
      </c>
      <c r="M112" t="s">
        <v>323</v>
      </c>
      <c r="N112" t="s">
        <v>324</v>
      </c>
    </row>
    <row r="113" spans="1:16" x14ac:dyDescent="0.35">
      <c r="A113">
        <v>111</v>
      </c>
      <c r="B113">
        <v>46055</v>
      </c>
      <c r="C113" t="s">
        <v>16</v>
      </c>
      <c r="D113">
        <v>29</v>
      </c>
      <c r="E113" t="s">
        <v>371</v>
      </c>
      <c r="F113" t="s">
        <v>372</v>
      </c>
      <c r="G113" t="s">
        <v>219</v>
      </c>
      <c r="H113" t="s">
        <v>220</v>
      </c>
      <c r="I113" t="s">
        <v>221</v>
      </c>
      <c r="J113" t="s">
        <v>22</v>
      </c>
      <c r="K113" t="s">
        <v>23</v>
      </c>
      <c r="L113" t="s">
        <v>215</v>
      </c>
      <c r="M113" t="s">
        <v>323</v>
      </c>
      <c r="N113" t="s">
        <v>324</v>
      </c>
    </row>
    <row r="114" spans="1:16" x14ac:dyDescent="0.35">
      <c r="A114">
        <v>112</v>
      </c>
      <c r="B114">
        <v>46055</v>
      </c>
      <c r="C114" t="s">
        <v>16</v>
      </c>
      <c r="D114">
        <v>29</v>
      </c>
      <c r="E114" t="s">
        <v>373</v>
      </c>
      <c r="F114" t="s">
        <v>374</v>
      </c>
      <c r="G114" t="s">
        <v>219</v>
      </c>
      <c r="H114" t="s">
        <v>253</v>
      </c>
      <c r="I114" t="s">
        <v>254</v>
      </c>
      <c r="J114" t="s">
        <v>22</v>
      </c>
      <c r="K114" t="s">
        <v>23</v>
      </c>
      <c r="L114" t="s">
        <v>215</v>
      </c>
      <c r="M114" t="s">
        <v>323</v>
      </c>
      <c r="N114" t="s">
        <v>324</v>
      </c>
    </row>
    <row r="115" spans="1:16" x14ac:dyDescent="0.35">
      <c r="A115">
        <v>113</v>
      </c>
      <c r="B115">
        <v>46055</v>
      </c>
      <c r="C115" t="s">
        <v>16</v>
      </c>
      <c r="D115">
        <v>29</v>
      </c>
      <c r="E115" t="s">
        <v>375</v>
      </c>
      <c r="F115" t="s">
        <v>376</v>
      </c>
      <c r="G115" t="s">
        <v>219</v>
      </c>
      <c r="H115" t="s">
        <v>253</v>
      </c>
      <c r="I115" t="s">
        <v>254</v>
      </c>
      <c r="J115" t="s">
        <v>22</v>
      </c>
      <c r="K115" t="s">
        <v>23</v>
      </c>
      <c r="L115" t="s">
        <v>215</v>
      </c>
      <c r="M115" t="s">
        <v>323</v>
      </c>
      <c r="N115" t="s">
        <v>324</v>
      </c>
    </row>
    <row r="116" spans="1:16" x14ac:dyDescent="0.35">
      <c r="A116">
        <v>114</v>
      </c>
      <c r="B116">
        <v>46055</v>
      </c>
      <c r="C116" t="s">
        <v>16</v>
      </c>
      <c r="D116">
        <v>29</v>
      </c>
      <c r="E116" t="s">
        <v>377</v>
      </c>
      <c r="F116" t="s">
        <v>378</v>
      </c>
      <c r="G116" t="s">
        <v>212</v>
      </c>
      <c r="H116" t="s">
        <v>379</v>
      </c>
      <c r="I116" t="s">
        <v>380</v>
      </c>
      <c r="J116" t="s">
        <v>22</v>
      </c>
      <c r="K116" t="s">
        <v>23</v>
      </c>
      <c r="L116" t="s">
        <v>381</v>
      </c>
      <c r="M116" t="s">
        <v>323</v>
      </c>
      <c r="N116" t="s">
        <v>382</v>
      </c>
      <c r="O116" t="s">
        <v>178</v>
      </c>
      <c r="P116" t="s">
        <v>179</v>
      </c>
    </row>
    <row r="117" spans="1:16" x14ac:dyDescent="0.35">
      <c r="A117">
        <v>115</v>
      </c>
      <c r="B117">
        <v>46055</v>
      </c>
      <c r="C117" t="s">
        <v>320</v>
      </c>
      <c r="D117">
        <v>29</v>
      </c>
      <c r="E117" t="s">
        <v>121</v>
      </c>
      <c r="F117" t="s">
        <v>122</v>
      </c>
      <c r="G117" t="s">
        <v>123</v>
      </c>
      <c r="H117" t="s">
        <v>124</v>
      </c>
      <c r="I117" t="s">
        <v>125</v>
      </c>
      <c r="J117" t="s">
        <v>108</v>
      </c>
      <c r="K117" t="s">
        <v>109</v>
      </c>
      <c r="L117" t="s">
        <v>110</v>
      </c>
      <c r="M117" t="s">
        <v>323</v>
      </c>
      <c r="N117" t="s">
        <v>383</v>
      </c>
    </row>
    <row r="118" spans="1:16" x14ac:dyDescent="0.35">
      <c r="A118">
        <v>116</v>
      </c>
      <c r="B118">
        <v>46062</v>
      </c>
      <c r="C118" t="s">
        <v>16</v>
      </c>
      <c r="D118">
        <v>30</v>
      </c>
      <c r="E118" t="s">
        <v>384</v>
      </c>
      <c r="F118" t="s">
        <v>385</v>
      </c>
      <c r="G118" t="s">
        <v>226</v>
      </c>
      <c r="H118" t="s">
        <v>231</v>
      </c>
      <c r="I118" t="s">
        <v>232</v>
      </c>
      <c r="J118" t="s">
        <v>22</v>
      </c>
      <c r="K118" t="s">
        <v>23</v>
      </c>
      <c r="L118" t="s">
        <v>215</v>
      </c>
      <c r="M118" t="s">
        <v>386</v>
      </c>
      <c r="N118" t="s">
        <v>387</v>
      </c>
    </row>
    <row r="119" spans="1:16" x14ac:dyDescent="0.35">
      <c r="A119">
        <v>117</v>
      </c>
      <c r="B119">
        <v>46062</v>
      </c>
      <c r="C119" t="s">
        <v>16</v>
      </c>
      <c r="D119">
        <v>30</v>
      </c>
      <c r="E119" t="s">
        <v>388</v>
      </c>
      <c r="F119" t="s">
        <v>389</v>
      </c>
      <c r="G119" t="s">
        <v>226</v>
      </c>
      <c r="H119" t="s">
        <v>227</v>
      </c>
      <c r="I119" t="s">
        <v>228</v>
      </c>
      <c r="J119" t="s">
        <v>22</v>
      </c>
      <c r="K119" t="s">
        <v>23</v>
      </c>
      <c r="L119" t="s">
        <v>215</v>
      </c>
      <c r="M119" t="s">
        <v>386</v>
      </c>
      <c r="N119" t="s">
        <v>387</v>
      </c>
    </row>
    <row r="120" spans="1:16" x14ac:dyDescent="0.35">
      <c r="A120">
        <v>118</v>
      </c>
      <c r="B120">
        <v>46062</v>
      </c>
      <c r="C120" t="s">
        <v>16</v>
      </c>
      <c r="D120">
        <v>30</v>
      </c>
      <c r="E120" t="s">
        <v>390</v>
      </c>
      <c r="F120" t="s">
        <v>391</v>
      </c>
      <c r="G120" t="s">
        <v>290</v>
      </c>
      <c r="H120" t="s">
        <v>314</v>
      </c>
      <c r="I120" t="s">
        <v>315</v>
      </c>
      <c r="J120" t="s">
        <v>22</v>
      </c>
      <c r="K120" t="s">
        <v>23</v>
      </c>
      <c r="L120" t="s">
        <v>215</v>
      </c>
      <c r="M120" t="s">
        <v>386</v>
      </c>
      <c r="N120" t="s">
        <v>387</v>
      </c>
    </row>
    <row r="121" spans="1:16" x14ac:dyDescent="0.35">
      <c r="A121">
        <v>119</v>
      </c>
      <c r="B121">
        <v>46062</v>
      </c>
      <c r="C121" t="s">
        <v>16</v>
      </c>
      <c r="D121">
        <v>30</v>
      </c>
      <c r="E121" t="s">
        <v>392</v>
      </c>
      <c r="F121" t="s">
        <v>393</v>
      </c>
      <c r="G121" t="s">
        <v>226</v>
      </c>
      <c r="H121" t="s">
        <v>227</v>
      </c>
      <c r="I121" t="s">
        <v>228</v>
      </c>
      <c r="J121" t="s">
        <v>22</v>
      </c>
      <c r="K121" t="s">
        <v>23</v>
      </c>
      <c r="L121" t="s">
        <v>215</v>
      </c>
      <c r="M121" t="s">
        <v>386</v>
      </c>
      <c r="N121" t="s">
        <v>387</v>
      </c>
    </row>
    <row r="122" spans="1:16" x14ac:dyDescent="0.35">
      <c r="A122">
        <v>120</v>
      </c>
      <c r="B122">
        <v>46062</v>
      </c>
      <c r="C122" t="s">
        <v>16</v>
      </c>
      <c r="D122">
        <v>30</v>
      </c>
      <c r="E122" t="s">
        <v>394</v>
      </c>
      <c r="F122" t="s">
        <v>395</v>
      </c>
      <c r="G122" t="s">
        <v>240</v>
      </c>
      <c r="H122" t="s">
        <v>396</v>
      </c>
      <c r="I122" t="s">
        <v>397</v>
      </c>
      <c r="J122" t="s">
        <v>22</v>
      </c>
      <c r="K122" t="s">
        <v>23</v>
      </c>
      <c r="L122" t="s">
        <v>215</v>
      </c>
      <c r="M122" t="s">
        <v>386</v>
      </c>
      <c r="N122" t="s">
        <v>387</v>
      </c>
    </row>
    <row r="123" spans="1:16" x14ac:dyDescent="0.35">
      <c r="A123">
        <v>121</v>
      </c>
      <c r="B123">
        <v>46062</v>
      </c>
      <c r="C123" t="s">
        <v>16</v>
      </c>
      <c r="D123">
        <v>30</v>
      </c>
      <c r="E123" t="s">
        <v>398</v>
      </c>
      <c r="F123" t="s">
        <v>399</v>
      </c>
      <c r="G123" t="s">
        <v>240</v>
      </c>
      <c r="H123" t="s">
        <v>400</v>
      </c>
      <c r="I123" t="s">
        <v>401</v>
      </c>
      <c r="J123" t="s">
        <v>22</v>
      </c>
      <c r="K123" t="s">
        <v>23</v>
      </c>
      <c r="L123" t="s">
        <v>215</v>
      </c>
      <c r="M123" t="s">
        <v>386</v>
      </c>
      <c r="N123" t="s">
        <v>387</v>
      </c>
    </row>
    <row r="124" spans="1:16" x14ac:dyDescent="0.35">
      <c r="A124">
        <v>122</v>
      </c>
      <c r="B124">
        <v>46062</v>
      </c>
      <c r="C124" t="s">
        <v>16</v>
      </c>
      <c r="D124">
        <v>30</v>
      </c>
      <c r="E124" t="s">
        <v>402</v>
      </c>
      <c r="F124" t="s">
        <v>403</v>
      </c>
      <c r="G124" t="s">
        <v>212</v>
      </c>
      <c r="H124" t="s">
        <v>404</v>
      </c>
      <c r="I124" t="s">
        <v>405</v>
      </c>
      <c r="J124" t="s">
        <v>22</v>
      </c>
      <c r="K124" t="s">
        <v>23</v>
      </c>
      <c r="L124" t="s">
        <v>215</v>
      </c>
      <c r="M124" t="s">
        <v>386</v>
      </c>
      <c r="N124" t="s">
        <v>387</v>
      </c>
    </row>
    <row r="125" spans="1:16" x14ac:dyDescent="0.35">
      <c r="A125">
        <v>123</v>
      </c>
      <c r="B125">
        <v>46062</v>
      </c>
      <c r="C125" t="s">
        <v>16</v>
      </c>
      <c r="D125">
        <v>30</v>
      </c>
      <c r="E125" t="s">
        <v>406</v>
      </c>
      <c r="F125" t="s">
        <v>407</v>
      </c>
      <c r="G125" t="s">
        <v>226</v>
      </c>
      <c r="H125" t="s">
        <v>231</v>
      </c>
      <c r="I125" t="s">
        <v>232</v>
      </c>
      <c r="J125" t="s">
        <v>22</v>
      </c>
      <c r="K125" t="s">
        <v>23</v>
      </c>
      <c r="L125" t="s">
        <v>215</v>
      </c>
      <c r="M125" t="s">
        <v>386</v>
      </c>
      <c r="N125" t="s">
        <v>387</v>
      </c>
    </row>
    <row r="126" spans="1:16" x14ac:dyDescent="0.35">
      <c r="A126">
        <v>124</v>
      </c>
      <c r="B126">
        <v>46062</v>
      </c>
      <c r="C126" t="s">
        <v>16</v>
      </c>
      <c r="D126">
        <v>30</v>
      </c>
      <c r="E126" t="s">
        <v>408</v>
      </c>
      <c r="F126" t="s">
        <v>409</v>
      </c>
      <c r="G126" t="s">
        <v>290</v>
      </c>
      <c r="H126" t="s">
        <v>314</v>
      </c>
      <c r="I126" t="s">
        <v>315</v>
      </c>
      <c r="J126" t="s">
        <v>22</v>
      </c>
      <c r="K126" t="s">
        <v>23</v>
      </c>
      <c r="L126" t="s">
        <v>215</v>
      </c>
      <c r="M126" t="s">
        <v>386</v>
      </c>
      <c r="N126" t="s">
        <v>387</v>
      </c>
    </row>
    <row r="127" spans="1:16" x14ac:dyDescent="0.35">
      <c r="A127">
        <v>125</v>
      </c>
      <c r="B127">
        <v>46062</v>
      </c>
      <c r="C127" t="s">
        <v>16</v>
      </c>
      <c r="D127">
        <v>30</v>
      </c>
      <c r="E127" t="s">
        <v>410</v>
      </c>
      <c r="F127" t="s">
        <v>411</v>
      </c>
      <c r="G127" t="s">
        <v>264</v>
      </c>
      <c r="H127" t="s">
        <v>412</v>
      </c>
      <c r="I127" t="s">
        <v>413</v>
      </c>
      <c r="J127" t="s">
        <v>22</v>
      </c>
      <c r="K127" t="s">
        <v>23</v>
      </c>
      <c r="L127" t="s">
        <v>215</v>
      </c>
      <c r="M127" t="s">
        <v>386</v>
      </c>
      <c r="N127" t="s">
        <v>387</v>
      </c>
    </row>
    <row r="128" spans="1:16" x14ac:dyDescent="0.35">
      <c r="A128">
        <v>126</v>
      </c>
      <c r="B128">
        <v>46062</v>
      </c>
      <c r="C128" t="s">
        <v>16</v>
      </c>
      <c r="D128">
        <v>30</v>
      </c>
      <c r="E128" t="s">
        <v>414</v>
      </c>
      <c r="F128" t="s">
        <v>415</v>
      </c>
      <c r="G128" t="s">
        <v>235</v>
      </c>
      <c r="H128" t="s">
        <v>274</v>
      </c>
      <c r="I128" t="s">
        <v>275</v>
      </c>
      <c r="J128" t="s">
        <v>22</v>
      </c>
      <c r="K128" t="s">
        <v>23</v>
      </c>
      <c r="L128" t="s">
        <v>215</v>
      </c>
      <c r="M128" t="s">
        <v>386</v>
      </c>
      <c r="N128" t="s">
        <v>387</v>
      </c>
    </row>
    <row r="129" spans="1:14" x14ac:dyDescent="0.35">
      <c r="A129">
        <v>127</v>
      </c>
      <c r="B129">
        <v>46062</v>
      </c>
      <c r="C129" t="s">
        <v>16</v>
      </c>
      <c r="D129">
        <v>30</v>
      </c>
      <c r="E129" t="s">
        <v>416</v>
      </c>
      <c r="F129" t="s">
        <v>417</v>
      </c>
      <c r="G129" t="s">
        <v>290</v>
      </c>
      <c r="H129" t="s">
        <v>291</v>
      </c>
      <c r="I129" t="s">
        <v>292</v>
      </c>
      <c r="J129" t="s">
        <v>22</v>
      </c>
      <c r="K129" t="s">
        <v>23</v>
      </c>
      <c r="L129" t="s">
        <v>215</v>
      </c>
      <c r="M129" t="s">
        <v>386</v>
      </c>
      <c r="N129" t="s">
        <v>387</v>
      </c>
    </row>
    <row r="130" spans="1:14" x14ac:dyDescent="0.35">
      <c r="A130">
        <v>128</v>
      </c>
      <c r="B130">
        <v>46062</v>
      </c>
      <c r="C130" t="s">
        <v>16</v>
      </c>
      <c r="D130">
        <v>30</v>
      </c>
      <c r="E130" t="s">
        <v>418</v>
      </c>
      <c r="F130" t="s">
        <v>419</v>
      </c>
      <c r="G130" t="s">
        <v>264</v>
      </c>
      <c r="H130" t="s">
        <v>329</v>
      </c>
      <c r="I130" t="s">
        <v>330</v>
      </c>
      <c r="J130" t="s">
        <v>22</v>
      </c>
      <c r="K130" t="s">
        <v>23</v>
      </c>
      <c r="L130" t="s">
        <v>215</v>
      </c>
      <c r="M130" t="s">
        <v>386</v>
      </c>
      <c r="N130" t="s">
        <v>387</v>
      </c>
    </row>
    <row r="131" spans="1:14" x14ac:dyDescent="0.35">
      <c r="A131">
        <v>129</v>
      </c>
      <c r="B131">
        <v>46062</v>
      </c>
      <c r="C131" t="s">
        <v>16</v>
      </c>
      <c r="D131">
        <v>30</v>
      </c>
      <c r="E131" t="s">
        <v>420</v>
      </c>
      <c r="F131" t="s">
        <v>421</v>
      </c>
      <c r="G131" t="s">
        <v>264</v>
      </c>
      <c r="H131" t="s">
        <v>265</v>
      </c>
      <c r="I131" t="s">
        <v>266</v>
      </c>
      <c r="J131" t="s">
        <v>22</v>
      </c>
      <c r="K131" t="s">
        <v>23</v>
      </c>
      <c r="L131" t="s">
        <v>215</v>
      </c>
      <c r="M131" t="s">
        <v>386</v>
      </c>
      <c r="N131" t="s">
        <v>387</v>
      </c>
    </row>
    <row r="132" spans="1:14" x14ac:dyDescent="0.35">
      <c r="A132">
        <v>130</v>
      </c>
      <c r="B132">
        <v>46062</v>
      </c>
      <c r="C132" t="s">
        <v>16</v>
      </c>
      <c r="D132">
        <v>30</v>
      </c>
      <c r="E132" t="s">
        <v>422</v>
      </c>
      <c r="F132" t="s">
        <v>423</v>
      </c>
      <c r="G132" t="s">
        <v>212</v>
      </c>
      <c r="H132" t="s">
        <v>424</v>
      </c>
      <c r="I132" t="s">
        <v>425</v>
      </c>
      <c r="J132" t="s">
        <v>22</v>
      </c>
      <c r="K132" t="s">
        <v>23</v>
      </c>
      <c r="L132" t="s">
        <v>215</v>
      </c>
      <c r="M132" t="s">
        <v>386</v>
      </c>
      <c r="N132" t="s">
        <v>387</v>
      </c>
    </row>
    <row r="133" spans="1:14" x14ac:dyDescent="0.35">
      <c r="A133">
        <v>131</v>
      </c>
      <c r="B133">
        <v>46062</v>
      </c>
      <c r="C133" t="s">
        <v>16</v>
      </c>
      <c r="D133">
        <v>30</v>
      </c>
      <c r="E133" t="s">
        <v>426</v>
      </c>
      <c r="F133" t="s">
        <v>427</v>
      </c>
      <c r="G133" t="s">
        <v>226</v>
      </c>
      <c r="H133" t="s">
        <v>231</v>
      </c>
      <c r="I133" t="s">
        <v>232</v>
      </c>
      <c r="J133" t="s">
        <v>22</v>
      </c>
      <c r="K133" t="s">
        <v>23</v>
      </c>
      <c r="L133" t="s">
        <v>215</v>
      </c>
      <c r="M133" t="s">
        <v>386</v>
      </c>
      <c r="N133" t="s">
        <v>387</v>
      </c>
    </row>
    <row r="134" spans="1:14" x14ac:dyDescent="0.35">
      <c r="A134">
        <v>132</v>
      </c>
      <c r="B134">
        <v>46062</v>
      </c>
      <c r="C134" t="s">
        <v>16</v>
      </c>
      <c r="D134">
        <v>30</v>
      </c>
      <c r="E134" t="s">
        <v>428</v>
      </c>
      <c r="F134" t="s">
        <v>429</v>
      </c>
      <c r="G134" t="s">
        <v>212</v>
      </c>
      <c r="H134" t="s">
        <v>213</v>
      </c>
      <c r="I134" t="s">
        <v>214</v>
      </c>
      <c r="J134" t="s">
        <v>22</v>
      </c>
      <c r="K134" t="s">
        <v>23</v>
      </c>
      <c r="L134" t="s">
        <v>215</v>
      </c>
      <c r="M134" t="s">
        <v>386</v>
      </c>
      <c r="N134" t="s">
        <v>387</v>
      </c>
    </row>
    <row r="135" spans="1:14" x14ac:dyDescent="0.35">
      <c r="A135">
        <v>133</v>
      </c>
      <c r="B135">
        <v>46062</v>
      </c>
      <c r="C135" t="s">
        <v>16</v>
      </c>
      <c r="D135">
        <v>30</v>
      </c>
      <c r="E135" t="s">
        <v>430</v>
      </c>
      <c r="F135" t="s">
        <v>431</v>
      </c>
      <c r="G135" t="s">
        <v>212</v>
      </c>
      <c r="H135" t="s">
        <v>432</v>
      </c>
      <c r="I135" t="s">
        <v>433</v>
      </c>
      <c r="J135" t="s">
        <v>22</v>
      </c>
      <c r="K135" t="s">
        <v>23</v>
      </c>
      <c r="L135" t="s">
        <v>215</v>
      </c>
      <c r="M135" t="s">
        <v>386</v>
      </c>
      <c r="N135" t="s">
        <v>387</v>
      </c>
    </row>
    <row r="136" spans="1:14" x14ac:dyDescent="0.35">
      <c r="A136">
        <v>134</v>
      </c>
      <c r="B136">
        <v>46062</v>
      </c>
      <c r="C136" t="s">
        <v>16</v>
      </c>
      <c r="D136">
        <v>30</v>
      </c>
      <c r="E136" t="s">
        <v>434</v>
      </c>
      <c r="F136" t="s">
        <v>435</v>
      </c>
      <c r="G136" t="s">
        <v>219</v>
      </c>
      <c r="H136" t="s">
        <v>220</v>
      </c>
      <c r="I136" t="s">
        <v>221</v>
      </c>
      <c r="J136" t="s">
        <v>22</v>
      </c>
      <c r="K136" t="s">
        <v>23</v>
      </c>
      <c r="L136" t="s">
        <v>215</v>
      </c>
      <c r="M136" t="s">
        <v>386</v>
      </c>
      <c r="N136" t="s">
        <v>387</v>
      </c>
    </row>
    <row r="137" spans="1:14" x14ac:dyDescent="0.35">
      <c r="A137">
        <v>135</v>
      </c>
      <c r="B137">
        <v>46062</v>
      </c>
      <c r="C137" t="s">
        <v>16</v>
      </c>
      <c r="D137">
        <v>30</v>
      </c>
      <c r="E137" t="s">
        <v>436</v>
      </c>
      <c r="F137" t="s">
        <v>437</v>
      </c>
      <c r="G137" t="s">
        <v>333</v>
      </c>
      <c r="H137" t="s">
        <v>438</v>
      </c>
      <c r="I137" t="s">
        <v>439</v>
      </c>
      <c r="J137" t="s">
        <v>22</v>
      </c>
      <c r="K137" t="s">
        <v>23</v>
      </c>
      <c r="L137" t="s">
        <v>303</v>
      </c>
      <c r="M137" t="s">
        <v>386</v>
      </c>
      <c r="N137" t="s">
        <v>387</v>
      </c>
    </row>
    <row r="138" spans="1:14" x14ac:dyDescent="0.35">
      <c r="A138">
        <v>136</v>
      </c>
      <c r="B138">
        <v>46062</v>
      </c>
      <c r="C138" t="s">
        <v>16</v>
      </c>
      <c r="D138">
        <v>30</v>
      </c>
      <c r="E138" t="s">
        <v>440</v>
      </c>
      <c r="F138" t="s">
        <v>441</v>
      </c>
      <c r="G138" t="s">
        <v>442</v>
      </c>
      <c r="H138" t="s">
        <v>443</v>
      </c>
      <c r="I138" t="s">
        <v>444</v>
      </c>
      <c r="J138" t="s">
        <v>22</v>
      </c>
      <c r="K138" t="s">
        <v>23</v>
      </c>
      <c r="L138" t="s">
        <v>303</v>
      </c>
      <c r="M138" t="s">
        <v>386</v>
      </c>
      <c r="N138" t="s">
        <v>387</v>
      </c>
    </row>
    <row r="139" spans="1:14" x14ac:dyDescent="0.35">
      <c r="A139">
        <v>137</v>
      </c>
      <c r="B139">
        <v>46062</v>
      </c>
      <c r="C139" t="s">
        <v>16</v>
      </c>
      <c r="D139">
        <v>30</v>
      </c>
      <c r="E139" t="s">
        <v>445</v>
      </c>
      <c r="F139" t="s">
        <v>446</v>
      </c>
      <c r="G139" t="s">
        <v>442</v>
      </c>
      <c r="H139" t="s">
        <v>447</v>
      </c>
      <c r="I139" t="s">
        <v>448</v>
      </c>
      <c r="J139" t="s">
        <v>22</v>
      </c>
      <c r="K139" t="s">
        <v>23</v>
      </c>
      <c r="L139" t="s">
        <v>303</v>
      </c>
      <c r="M139" t="s">
        <v>386</v>
      </c>
      <c r="N139" t="s">
        <v>387</v>
      </c>
    </row>
    <row r="140" spans="1:14" x14ac:dyDescent="0.35">
      <c r="A140">
        <v>138</v>
      </c>
      <c r="B140">
        <v>46062</v>
      </c>
      <c r="C140" t="s">
        <v>16</v>
      </c>
      <c r="D140">
        <v>30</v>
      </c>
      <c r="E140" t="s">
        <v>449</v>
      </c>
      <c r="F140" t="s">
        <v>450</v>
      </c>
      <c r="G140" t="s">
        <v>442</v>
      </c>
      <c r="H140" t="s">
        <v>451</v>
      </c>
      <c r="I140" t="s">
        <v>452</v>
      </c>
      <c r="J140" t="s">
        <v>22</v>
      </c>
      <c r="K140" t="s">
        <v>23</v>
      </c>
      <c r="L140" t="s">
        <v>303</v>
      </c>
      <c r="M140" t="s">
        <v>386</v>
      </c>
      <c r="N140" t="s">
        <v>387</v>
      </c>
    </row>
    <row r="141" spans="1:14" x14ac:dyDescent="0.35">
      <c r="A141">
        <v>139</v>
      </c>
      <c r="B141">
        <v>46062</v>
      </c>
      <c r="C141" t="s">
        <v>16</v>
      </c>
      <c r="D141">
        <v>30</v>
      </c>
      <c r="E141" t="s">
        <v>453</v>
      </c>
      <c r="F141" t="s">
        <v>454</v>
      </c>
      <c r="G141" t="s">
        <v>442</v>
      </c>
      <c r="H141" t="s">
        <v>455</v>
      </c>
      <c r="I141" t="s">
        <v>456</v>
      </c>
      <c r="J141" t="s">
        <v>22</v>
      </c>
      <c r="K141" t="s">
        <v>23</v>
      </c>
      <c r="L141" t="s">
        <v>303</v>
      </c>
      <c r="M141" t="s">
        <v>386</v>
      </c>
      <c r="N141" t="s">
        <v>387</v>
      </c>
    </row>
    <row r="142" spans="1:14" x14ac:dyDescent="0.35">
      <c r="A142">
        <v>140</v>
      </c>
      <c r="B142">
        <v>46062</v>
      </c>
      <c r="C142" t="s">
        <v>16</v>
      </c>
      <c r="D142">
        <v>30</v>
      </c>
      <c r="E142" t="s">
        <v>457</v>
      </c>
      <c r="F142" t="s">
        <v>458</v>
      </c>
      <c r="G142" t="s">
        <v>333</v>
      </c>
      <c r="H142" t="s">
        <v>438</v>
      </c>
      <c r="I142" t="s">
        <v>439</v>
      </c>
      <c r="J142" t="s">
        <v>22</v>
      </c>
      <c r="K142" t="s">
        <v>23</v>
      </c>
      <c r="L142" t="s">
        <v>303</v>
      </c>
      <c r="M142" t="s">
        <v>386</v>
      </c>
      <c r="N142" t="s">
        <v>387</v>
      </c>
    </row>
    <row r="143" spans="1:14" x14ac:dyDescent="0.35">
      <c r="A143">
        <v>141</v>
      </c>
      <c r="B143">
        <v>46062</v>
      </c>
      <c r="C143" t="s">
        <v>16</v>
      </c>
      <c r="D143">
        <v>30</v>
      </c>
      <c r="E143" t="s">
        <v>459</v>
      </c>
      <c r="F143" t="s">
        <v>460</v>
      </c>
      <c r="G143" t="s">
        <v>333</v>
      </c>
      <c r="H143" t="s">
        <v>461</v>
      </c>
      <c r="I143" t="s">
        <v>462</v>
      </c>
      <c r="J143" t="s">
        <v>22</v>
      </c>
      <c r="K143" t="s">
        <v>23</v>
      </c>
      <c r="L143" t="s">
        <v>303</v>
      </c>
      <c r="M143" t="s">
        <v>386</v>
      </c>
      <c r="N143" t="s">
        <v>387</v>
      </c>
    </row>
    <row r="144" spans="1:14" x14ac:dyDescent="0.35">
      <c r="A144">
        <v>142</v>
      </c>
      <c r="B144">
        <v>46062</v>
      </c>
      <c r="C144" t="s">
        <v>16</v>
      </c>
      <c r="D144">
        <v>30</v>
      </c>
      <c r="E144" t="s">
        <v>463</v>
      </c>
      <c r="F144" t="s">
        <v>464</v>
      </c>
      <c r="G144" t="s">
        <v>333</v>
      </c>
      <c r="H144" t="s">
        <v>438</v>
      </c>
      <c r="I144" t="s">
        <v>439</v>
      </c>
      <c r="J144" t="s">
        <v>22</v>
      </c>
      <c r="K144" t="s">
        <v>23</v>
      </c>
      <c r="L144" t="s">
        <v>303</v>
      </c>
      <c r="M144" t="s">
        <v>386</v>
      </c>
      <c r="N144" t="s">
        <v>387</v>
      </c>
    </row>
    <row r="145" spans="1:16" x14ac:dyDescent="0.35">
      <c r="A145">
        <v>143</v>
      </c>
      <c r="B145">
        <v>46062</v>
      </c>
      <c r="C145" t="s">
        <v>16</v>
      </c>
      <c r="D145">
        <v>30</v>
      </c>
      <c r="E145" t="s">
        <v>465</v>
      </c>
      <c r="F145" t="s">
        <v>466</v>
      </c>
      <c r="G145" t="s">
        <v>346</v>
      </c>
      <c r="H145" t="s">
        <v>347</v>
      </c>
      <c r="I145" t="s">
        <v>348</v>
      </c>
      <c r="J145" t="s">
        <v>22</v>
      </c>
      <c r="K145" t="s">
        <v>23</v>
      </c>
      <c r="L145" t="s">
        <v>303</v>
      </c>
      <c r="M145" t="s">
        <v>386</v>
      </c>
      <c r="N145" t="s">
        <v>387</v>
      </c>
    </row>
    <row r="146" spans="1:16" x14ac:dyDescent="0.35">
      <c r="A146">
        <v>144</v>
      </c>
      <c r="B146">
        <v>46062</v>
      </c>
      <c r="C146" t="s">
        <v>16</v>
      </c>
      <c r="D146">
        <v>30</v>
      </c>
      <c r="E146" t="s">
        <v>467</v>
      </c>
      <c r="F146" t="s">
        <v>468</v>
      </c>
      <c r="G146" t="s">
        <v>212</v>
      </c>
      <c r="H146" t="s">
        <v>469</v>
      </c>
      <c r="I146" t="s">
        <v>470</v>
      </c>
      <c r="J146" t="s">
        <v>22</v>
      </c>
      <c r="K146" t="s">
        <v>23</v>
      </c>
      <c r="L146" t="s">
        <v>303</v>
      </c>
      <c r="M146" t="s">
        <v>386</v>
      </c>
      <c r="N146" t="s">
        <v>387</v>
      </c>
    </row>
    <row r="147" spans="1:16" x14ac:dyDescent="0.35">
      <c r="A147">
        <v>145</v>
      </c>
      <c r="B147">
        <v>46062</v>
      </c>
      <c r="C147" t="s">
        <v>16</v>
      </c>
      <c r="D147">
        <v>30</v>
      </c>
      <c r="E147" t="s">
        <v>471</v>
      </c>
      <c r="F147" t="s">
        <v>472</v>
      </c>
      <c r="G147" t="s">
        <v>346</v>
      </c>
      <c r="H147" t="s">
        <v>347</v>
      </c>
      <c r="I147" t="s">
        <v>348</v>
      </c>
      <c r="J147" t="s">
        <v>22</v>
      </c>
      <c r="K147" t="s">
        <v>23</v>
      </c>
      <c r="L147" t="s">
        <v>303</v>
      </c>
      <c r="M147" t="s">
        <v>386</v>
      </c>
      <c r="N147" t="s">
        <v>387</v>
      </c>
      <c r="O147" t="s">
        <v>178</v>
      </c>
      <c r="P147" t="s">
        <v>191</v>
      </c>
    </row>
    <row r="148" spans="1:16" x14ac:dyDescent="0.35">
      <c r="A148">
        <v>146</v>
      </c>
      <c r="B148">
        <v>46062</v>
      </c>
      <c r="C148" t="s">
        <v>473</v>
      </c>
      <c r="D148">
        <v>30</v>
      </c>
      <c r="E148" t="s">
        <v>474</v>
      </c>
      <c r="F148" t="s">
        <v>475</v>
      </c>
      <c r="G148" t="s">
        <v>105</v>
      </c>
      <c r="H148" t="s">
        <v>106</v>
      </c>
      <c r="I148" t="s">
        <v>476</v>
      </c>
      <c r="J148" t="s">
        <v>108</v>
      </c>
      <c r="K148" t="s">
        <v>109</v>
      </c>
      <c r="L148" t="s">
        <v>110</v>
      </c>
      <c r="M148" t="s">
        <v>386</v>
      </c>
      <c r="N148" t="s">
        <v>477</v>
      </c>
    </row>
    <row r="149" spans="1:16" x14ac:dyDescent="0.35">
      <c r="A149">
        <v>147</v>
      </c>
      <c r="B149">
        <v>46062</v>
      </c>
      <c r="C149" t="s">
        <v>473</v>
      </c>
      <c r="D149">
        <v>30</v>
      </c>
      <c r="E149" t="s">
        <v>478</v>
      </c>
      <c r="F149" t="s">
        <v>479</v>
      </c>
      <c r="G149" t="s">
        <v>105</v>
      </c>
      <c r="H149" t="s">
        <v>188</v>
      </c>
      <c r="I149" t="s">
        <v>189</v>
      </c>
      <c r="J149" t="s">
        <v>108</v>
      </c>
      <c r="K149" t="s">
        <v>109</v>
      </c>
      <c r="L149" t="s">
        <v>110</v>
      </c>
      <c r="M149" t="s">
        <v>386</v>
      </c>
      <c r="N149" t="s">
        <v>480</v>
      </c>
    </row>
    <row r="150" spans="1:16" x14ac:dyDescent="0.35">
      <c r="A150">
        <v>148</v>
      </c>
      <c r="B150">
        <v>46062</v>
      </c>
      <c r="C150" t="s">
        <v>320</v>
      </c>
      <c r="D150">
        <v>30</v>
      </c>
      <c r="E150" t="s">
        <v>121</v>
      </c>
      <c r="F150" t="s">
        <v>122</v>
      </c>
      <c r="G150" t="s">
        <v>123</v>
      </c>
      <c r="H150" t="s">
        <v>124</v>
      </c>
      <c r="I150" t="s">
        <v>125</v>
      </c>
      <c r="J150" t="s">
        <v>108</v>
      </c>
      <c r="K150" t="s">
        <v>109</v>
      </c>
      <c r="L150" t="s">
        <v>110</v>
      </c>
      <c r="M150" t="s">
        <v>386</v>
      </c>
      <c r="N150" t="s">
        <v>481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292F9-8840-43A6-BDAA-40AF537E4B07}">
  <sheetPr codeName="Sheet2"/>
  <dimension ref="B4:V306"/>
  <sheetViews>
    <sheetView zoomScale="70" zoomScaleNormal="70" workbookViewId="0">
      <selection activeCell="T300" sqref="T300"/>
    </sheetView>
  </sheetViews>
  <sheetFormatPr defaultColWidth="8.6328125" defaultRowHeight="14.5" x14ac:dyDescent="0.35"/>
  <cols>
    <col min="1" max="1" width="2.6328125" style="5" customWidth="1"/>
    <col min="2" max="2" width="6.08984375" style="5" customWidth="1"/>
    <col min="3" max="3" width="10.90625" style="15" customWidth="1"/>
    <col min="4" max="4" width="13.08984375" style="5" customWidth="1"/>
    <col min="5" max="5" width="11.36328125" style="47" customWidth="1"/>
    <col min="6" max="6" width="14.6328125" style="15" customWidth="1"/>
    <col min="7" max="7" width="16.36328125" style="15" hidden="1" customWidth="1"/>
    <col min="8" max="9" width="17.54296875" style="15" hidden="1" customWidth="1"/>
    <col min="10" max="10" width="24.453125" style="5" hidden="1" customWidth="1"/>
    <col min="11" max="11" width="11" style="5" hidden="1" customWidth="1"/>
    <col min="12" max="12" width="10" style="5" hidden="1" customWidth="1"/>
    <col min="13" max="13" width="14.453125" style="5" hidden="1" customWidth="1"/>
    <col min="14" max="14" width="16.54296875" style="5" hidden="1" customWidth="1"/>
    <col min="15" max="15" width="12.54296875" style="41" hidden="1" customWidth="1"/>
    <col min="16" max="16" width="10.54296875" style="74" bestFit="1" customWidth="1"/>
    <col min="17" max="21" width="13.08984375" style="229" customWidth="1"/>
    <col min="22" max="22" width="26.6328125" style="5" bestFit="1" customWidth="1"/>
    <col min="23" max="16384" width="8.6328125" style="5"/>
  </cols>
  <sheetData>
    <row r="4" spans="2:22" ht="14.4" customHeight="1" x14ac:dyDescent="0.35">
      <c r="P4" s="338"/>
      <c r="Q4" s="338"/>
      <c r="R4" s="338"/>
      <c r="S4" s="338"/>
      <c r="T4" s="338"/>
      <c r="U4" s="226"/>
      <c r="V4" s="52"/>
    </row>
    <row r="5" spans="2:22" ht="14.4" customHeight="1" x14ac:dyDescent="0.35">
      <c r="P5" s="338"/>
      <c r="Q5" s="338"/>
      <c r="R5" s="338"/>
      <c r="S5" s="338"/>
      <c r="T5" s="338"/>
      <c r="U5" s="226"/>
      <c r="V5" s="52"/>
    </row>
    <row r="6" spans="2:22" ht="14.4" customHeight="1" x14ac:dyDescent="0.35">
      <c r="P6" s="338"/>
      <c r="Q6" s="338"/>
      <c r="R6" s="338"/>
      <c r="S6" s="338"/>
      <c r="T6" s="338"/>
      <c r="U6" s="226"/>
      <c r="V6" s="52"/>
    </row>
    <row r="10" spans="2:22" ht="35.4" customHeight="1" x14ac:dyDescent="0.35">
      <c r="B10" s="12" t="s">
        <v>482</v>
      </c>
      <c r="C10" s="13" t="s">
        <v>483</v>
      </c>
      <c r="D10" s="12" t="str">
        <f>'1. Information samples'!D10</f>
        <v>Requisitioner</v>
      </c>
      <c r="E10" s="44" t="str">
        <f>'1. Information samples'!E10</f>
        <v>Set CIAT</v>
      </c>
      <c r="F10" s="12" t="str">
        <f>'1. Information samples'!F10</f>
        <v>CIAT Lab-ID</v>
      </c>
      <c r="G10" s="12" t="str">
        <f>'1. Information samples'!G10</f>
        <v>Gene bank /Breeding program ID</v>
      </c>
      <c r="H10" s="12" t="str">
        <f>'1. Information samples'!H10</f>
        <v>Genus</v>
      </c>
      <c r="I10" s="12" t="str">
        <f>'1. Information samples'!I10</f>
        <v>Species</v>
      </c>
      <c r="J10" s="12" t="str">
        <f>'1. Information samples'!J10</f>
        <v>Tax Name</v>
      </c>
      <c r="K10" s="12" t="str">
        <f>'1. Information samples'!K10</f>
        <v>Family</v>
      </c>
      <c r="L10" s="12" t="str">
        <f>'1. Information samples'!L10</f>
        <v>Order</v>
      </c>
      <c r="M10" s="12" t="str">
        <f>'1. Information samples'!M10</f>
        <v>Functional Group</v>
      </c>
      <c r="N10" s="12" t="str">
        <f>'1. Information samples'!N10</f>
        <v>Batches  CIAT</v>
      </c>
      <c r="O10" s="43" t="str">
        <f>'1. Information samples'!O10</f>
        <v>ID LAB</v>
      </c>
      <c r="P10" s="121" t="s">
        <v>484</v>
      </c>
      <c r="Q10" s="227" t="s">
        <v>485</v>
      </c>
      <c r="R10" s="43" t="s">
        <v>486</v>
      </c>
      <c r="S10" s="228" t="s">
        <v>487</v>
      </c>
      <c r="T10" s="43" t="s">
        <v>488</v>
      </c>
      <c r="U10" s="228" t="s">
        <v>488</v>
      </c>
    </row>
    <row r="11" spans="2:22" x14ac:dyDescent="0.35">
      <c r="B11" s="17">
        <v>1</v>
      </c>
      <c r="C11" s="42">
        <f>'1. Information samples'!C11</f>
        <v>46041</v>
      </c>
      <c r="D11" s="42" t="str">
        <f>'1. Information samples'!D11</f>
        <v>Genbank</v>
      </c>
      <c r="E11" s="59">
        <f>'1. Information samples'!E11</f>
        <v>27</v>
      </c>
      <c r="F11" s="42" t="str">
        <f>'1. Information samples'!F11</f>
        <v>F251728</v>
      </c>
      <c r="G11" s="42" t="str">
        <f>'1. Information samples'!G11</f>
        <v>CIAT-13262</v>
      </c>
      <c r="H11" s="42" t="str">
        <f>'1. Information samples'!H11</f>
        <v>Dendrolobium</v>
      </c>
      <c r="I11" s="42" t="str">
        <f>'1. Information samples'!I11</f>
        <v>triangulare</v>
      </c>
      <c r="J11" s="42" t="str">
        <f>'1. Information samples'!J11</f>
        <v>Dendrolobium triangulare</v>
      </c>
      <c r="K11" s="42" t="str">
        <f>'1. Information samples'!K11</f>
        <v>Fabaceae</v>
      </c>
      <c r="L11" s="42" t="str">
        <f>'1. Information samples'!L11</f>
        <v>Fabales</v>
      </c>
      <c r="M11" s="42" t="str">
        <f>'1. Information samples'!M11</f>
        <v>Tree</v>
      </c>
      <c r="N11" s="42" t="str">
        <f>'1. Information samples'!N11</f>
        <v>58,59, 69</v>
      </c>
      <c r="O11" s="20" t="str">
        <f>'1. Information samples'!O11</f>
        <v>OT-010 (2025)</v>
      </c>
      <c r="P11" s="18">
        <v>94.902548725637061</v>
      </c>
      <c r="Q11" s="341">
        <f>AVERAGE(P11:P12)</f>
        <v>94.932281959779715</v>
      </c>
      <c r="R11" s="66">
        <v>8.6755336424545462</v>
      </c>
      <c r="S11" s="341">
        <f>AVERAGE(R11:R12)</f>
        <v>8.6970264710569118</v>
      </c>
      <c r="T11" s="66">
        <v>91.324466357545447</v>
      </c>
      <c r="U11" s="341">
        <f>AVERAGE(T11:T12)</f>
        <v>91.302973528943085</v>
      </c>
      <c r="V11" s="65"/>
    </row>
    <row r="12" spans="2:22" x14ac:dyDescent="0.35">
      <c r="B12" s="19">
        <f>B11+1</f>
        <v>2</v>
      </c>
      <c r="C12" s="7">
        <f>C11</f>
        <v>46041</v>
      </c>
      <c r="D12" s="7" t="str">
        <f t="shared" ref="D12:O12" si="0">D11</f>
        <v>Genbank</v>
      </c>
      <c r="E12" s="14">
        <f t="shared" si="0"/>
        <v>27</v>
      </c>
      <c r="F12" s="7" t="str">
        <f t="shared" si="0"/>
        <v>F251728</v>
      </c>
      <c r="G12" s="7" t="str">
        <f t="shared" si="0"/>
        <v>CIAT-13262</v>
      </c>
      <c r="H12" s="7" t="str">
        <f t="shared" si="0"/>
        <v>Dendrolobium</v>
      </c>
      <c r="I12" s="7" t="str">
        <f t="shared" si="0"/>
        <v>triangulare</v>
      </c>
      <c r="J12" s="7" t="str">
        <f t="shared" si="0"/>
        <v>Dendrolobium triangulare</v>
      </c>
      <c r="K12" s="7" t="str">
        <f t="shared" si="0"/>
        <v>Fabaceae</v>
      </c>
      <c r="L12" s="7" t="str">
        <f t="shared" si="0"/>
        <v>Fabales</v>
      </c>
      <c r="M12" s="7" t="str">
        <f t="shared" si="0"/>
        <v>Tree</v>
      </c>
      <c r="N12" s="7" t="str">
        <f t="shared" si="0"/>
        <v>58,59, 69</v>
      </c>
      <c r="O12" s="30" t="str">
        <f t="shared" si="0"/>
        <v>OT-010 (2025)</v>
      </c>
      <c r="P12" s="18">
        <v>94.962015193922369</v>
      </c>
      <c r="Q12" s="341"/>
      <c r="R12" s="66">
        <v>8.7185192996592775</v>
      </c>
      <c r="S12" s="341"/>
      <c r="T12" s="66">
        <v>91.281480700340722</v>
      </c>
      <c r="U12" s="341"/>
      <c r="V12" s="65"/>
    </row>
    <row r="13" spans="2:22" x14ac:dyDescent="0.35">
      <c r="B13" s="19">
        <f t="shared" ref="B13:B76" si="1">B12+1</f>
        <v>3</v>
      </c>
      <c r="C13" s="42">
        <f>'1. Information samples'!C12</f>
        <v>46041</v>
      </c>
      <c r="D13" s="42" t="str">
        <f>'1. Information samples'!D12</f>
        <v>Genbank</v>
      </c>
      <c r="E13" s="59">
        <f>'1. Information samples'!E12</f>
        <v>27</v>
      </c>
      <c r="F13" s="42" t="str">
        <f>'1. Information samples'!F12</f>
        <v>F251729</v>
      </c>
      <c r="G13" s="42" t="str">
        <f>'1. Information samples'!G12</f>
        <v>CIAT-13528</v>
      </c>
      <c r="H13" s="42" t="str">
        <f>'1. Information samples'!H12</f>
        <v>Dendrolobium</v>
      </c>
      <c r="I13" s="42" t="str">
        <f>'1. Information samples'!I12</f>
        <v>lanceolatum</v>
      </c>
      <c r="J13" s="42" t="str">
        <f>'1. Information samples'!J12</f>
        <v>Dendrolobium lanceolatum</v>
      </c>
      <c r="K13" s="42" t="str">
        <f>'1. Information samples'!K12</f>
        <v>Fabaceae</v>
      </c>
      <c r="L13" s="42" t="str">
        <f>'1. Information samples'!L12</f>
        <v>Fabales</v>
      </c>
      <c r="M13" s="42" t="str">
        <f>'1. Information samples'!M12</f>
        <v>Tree</v>
      </c>
      <c r="N13" s="42" t="str">
        <f>'1. Information samples'!N12</f>
        <v>58,59, 69</v>
      </c>
      <c r="O13" s="20" t="str">
        <f>'1. Information samples'!O12</f>
        <v>OT-010 (2025)</v>
      </c>
      <c r="P13" s="18">
        <v>95.000499950005079</v>
      </c>
      <c r="Q13" s="341">
        <f t="shared" ref="Q13" si="2">AVERAGE(P13:P14)</f>
        <v>95.045740876822194</v>
      </c>
      <c r="R13" s="66">
        <v>7.585062734621614</v>
      </c>
      <c r="S13" s="341">
        <f t="shared" ref="S13" si="3">AVERAGE(R13:R14)</f>
        <v>7.5846835573203437</v>
      </c>
      <c r="T13" s="66">
        <v>92.414937265378384</v>
      </c>
      <c r="U13" s="341">
        <f t="shared" ref="U13" si="4">AVERAGE(T13:T14)</f>
        <v>92.415316442679654</v>
      </c>
      <c r="V13" s="65"/>
    </row>
    <row r="14" spans="2:22" x14ac:dyDescent="0.35">
      <c r="B14" s="19">
        <f t="shared" si="1"/>
        <v>4</v>
      </c>
      <c r="C14" s="7">
        <f>C13</f>
        <v>46041</v>
      </c>
      <c r="D14" s="7" t="str">
        <f t="shared" ref="D14" si="5">D13</f>
        <v>Genbank</v>
      </c>
      <c r="E14" s="14">
        <f t="shared" ref="E14" si="6">E13</f>
        <v>27</v>
      </c>
      <c r="F14" s="7" t="str">
        <f t="shared" ref="F14" si="7">F13</f>
        <v>F251729</v>
      </c>
      <c r="G14" s="7" t="str">
        <f t="shared" ref="G14" si="8">G13</f>
        <v>CIAT-13528</v>
      </c>
      <c r="H14" s="7" t="str">
        <f t="shared" ref="H14" si="9">H13</f>
        <v>Dendrolobium</v>
      </c>
      <c r="I14" s="7" t="str">
        <f t="shared" ref="I14" si="10">I13</f>
        <v>lanceolatum</v>
      </c>
      <c r="J14" s="7" t="str">
        <f t="shared" ref="J14" si="11">J13</f>
        <v>Dendrolobium lanceolatum</v>
      </c>
      <c r="K14" s="7" t="str">
        <f t="shared" ref="K14" si="12">K13</f>
        <v>Fabaceae</v>
      </c>
      <c r="L14" s="7" t="str">
        <f t="shared" ref="L14" si="13">L13</f>
        <v>Fabales</v>
      </c>
      <c r="M14" s="7" t="str">
        <f t="shared" ref="M14" si="14">M13</f>
        <v>Tree</v>
      </c>
      <c r="N14" s="7" t="str">
        <f t="shared" ref="N14" si="15">N13</f>
        <v>58,59, 69</v>
      </c>
      <c r="O14" s="30" t="str">
        <f t="shared" ref="O14" si="16">O13</f>
        <v>OT-010 (2025)</v>
      </c>
      <c r="P14" s="18">
        <v>95.090981803639309</v>
      </c>
      <c r="Q14" s="341"/>
      <c r="R14" s="66">
        <v>7.5843043800190735</v>
      </c>
      <c r="S14" s="341"/>
      <c r="T14" s="66">
        <v>92.415695619980923</v>
      </c>
      <c r="U14" s="341"/>
      <c r="V14" s="65"/>
    </row>
    <row r="15" spans="2:22" x14ac:dyDescent="0.35">
      <c r="B15" s="19">
        <f t="shared" si="1"/>
        <v>5</v>
      </c>
      <c r="C15" s="42">
        <f>'1. Information samples'!C13</f>
        <v>46041</v>
      </c>
      <c r="D15" s="42" t="str">
        <f>'1. Information samples'!D13</f>
        <v>Genbank</v>
      </c>
      <c r="E15" s="59">
        <f>'1. Information samples'!E13</f>
        <v>27</v>
      </c>
      <c r="F15" s="42" t="str">
        <f>'1. Information samples'!F13</f>
        <v>F251730</v>
      </c>
      <c r="G15" s="42" t="str">
        <f>'1. Information samples'!G13</f>
        <v>CIAT-13529</v>
      </c>
      <c r="H15" s="42" t="str">
        <f>'1. Information samples'!H13</f>
        <v>Dendrolobium</v>
      </c>
      <c r="I15" s="42" t="str">
        <f>'1. Information samples'!I13</f>
        <v>triangulare</v>
      </c>
      <c r="J15" s="42" t="str">
        <f>'1. Information samples'!J13</f>
        <v>Dendrolobium triangulare</v>
      </c>
      <c r="K15" s="42" t="str">
        <f>'1. Information samples'!K13</f>
        <v>Fabaceae</v>
      </c>
      <c r="L15" s="42" t="str">
        <f>'1. Information samples'!L13</f>
        <v>Fabales</v>
      </c>
      <c r="M15" s="42" t="str">
        <f>'1. Information samples'!M13</f>
        <v>Tree</v>
      </c>
      <c r="N15" s="42" t="str">
        <f>'1. Information samples'!N13</f>
        <v>58,59, 69</v>
      </c>
      <c r="O15" s="20" t="str">
        <f>'1. Information samples'!O13</f>
        <v>OT-010 (2025)</v>
      </c>
      <c r="P15" s="18">
        <v>94.30284857571209</v>
      </c>
      <c r="Q15" s="341">
        <f t="shared" ref="Q15" si="17">AVERAGE(P15:P16)</f>
        <v>94.356983176078415</v>
      </c>
      <c r="R15" s="66">
        <v>6.7158056255176994</v>
      </c>
      <c r="S15" s="341">
        <f t="shared" ref="S15" si="18">AVERAGE(R15:R16)</f>
        <v>6.6903229685698147</v>
      </c>
      <c r="T15" s="66">
        <v>93.284194374482297</v>
      </c>
      <c r="U15" s="341">
        <f t="shared" ref="U15" si="19">AVERAGE(T15:T16)</f>
        <v>93.309677031430184</v>
      </c>
      <c r="V15" s="65"/>
    </row>
    <row r="16" spans="2:22" x14ac:dyDescent="0.35">
      <c r="B16" s="19">
        <f t="shared" si="1"/>
        <v>6</v>
      </c>
      <c r="C16" s="7">
        <f>C15</f>
        <v>46041</v>
      </c>
      <c r="D16" s="7" t="str">
        <f t="shared" ref="D16" si="20">D15</f>
        <v>Genbank</v>
      </c>
      <c r="E16" s="14">
        <f t="shared" ref="E16" si="21">E15</f>
        <v>27</v>
      </c>
      <c r="F16" s="7" t="str">
        <f t="shared" ref="F16" si="22">F15</f>
        <v>F251730</v>
      </c>
      <c r="G16" s="7" t="str">
        <f t="shared" ref="G16" si="23">G15</f>
        <v>CIAT-13529</v>
      </c>
      <c r="H16" s="7" t="str">
        <f t="shared" ref="H16" si="24">H15</f>
        <v>Dendrolobium</v>
      </c>
      <c r="I16" s="7" t="str">
        <f t="shared" ref="I16" si="25">I15</f>
        <v>triangulare</v>
      </c>
      <c r="J16" s="7" t="str">
        <f t="shared" ref="J16" si="26">J15</f>
        <v>Dendrolobium triangulare</v>
      </c>
      <c r="K16" s="7" t="str">
        <f t="shared" ref="K16" si="27">K15</f>
        <v>Fabaceae</v>
      </c>
      <c r="L16" s="7" t="str">
        <f t="shared" ref="L16" si="28">L15</f>
        <v>Fabales</v>
      </c>
      <c r="M16" s="7" t="str">
        <f t="shared" ref="M16" si="29">M15</f>
        <v>Tree</v>
      </c>
      <c r="N16" s="7" t="str">
        <f t="shared" ref="N16" si="30">N15</f>
        <v>58,59, 69</v>
      </c>
      <c r="O16" s="30" t="str">
        <f t="shared" ref="O16" si="31">O15</f>
        <v>OT-010 (2025)</v>
      </c>
      <c r="P16" s="18">
        <v>94.411117776444726</v>
      </c>
      <c r="Q16" s="341"/>
      <c r="R16" s="66">
        <v>6.664840311621929</v>
      </c>
      <c r="S16" s="341"/>
      <c r="T16" s="66">
        <v>93.33515968837807</v>
      </c>
      <c r="U16" s="341"/>
      <c r="V16" s="65"/>
    </row>
    <row r="17" spans="2:22" x14ac:dyDescent="0.35">
      <c r="B17" s="19">
        <f t="shared" si="1"/>
        <v>7</v>
      </c>
      <c r="C17" s="42">
        <f>'1. Information samples'!C14</f>
        <v>46041</v>
      </c>
      <c r="D17" s="42" t="str">
        <f>'1. Information samples'!D14</f>
        <v>Genbank</v>
      </c>
      <c r="E17" s="59">
        <f>'1. Information samples'!E14</f>
        <v>27</v>
      </c>
      <c r="F17" s="42" t="str">
        <f>'1. Information samples'!F14</f>
        <v>F251731</v>
      </c>
      <c r="G17" s="42" t="str">
        <f>'1. Information samples'!G14</f>
        <v>CIAT-13710</v>
      </c>
      <c r="H17" s="42" t="str">
        <f>'1. Information samples'!H14</f>
        <v>Dendrolobium</v>
      </c>
      <c r="I17" s="42" t="str">
        <f>'1. Information samples'!I14</f>
        <v>lanceolatum</v>
      </c>
      <c r="J17" s="42" t="str">
        <f>'1. Information samples'!J14</f>
        <v>Dendrolobium lanceolatum</v>
      </c>
      <c r="K17" s="42" t="str">
        <f>'1. Information samples'!K14</f>
        <v>Fabaceae</v>
      </c>
      <c r="L17" s="42" t="str">
        <f>'1. Information samples'!L14</f>
        <v>Fabales</v>
      </c>
      <c r="M17" s="42" t="str">
        <f>'1. Information samples'!M14</f>
        <v>Tree</v>
      </c>
      <c r="N17" s="42" t="str">
        <f>'1. Information samples'!N14</f>
        <v>58,59, 69</v>
      </c>
      <c r="O17" s="20" t="str">
        <f>'1. Information samples'!O14</f>
        <v>OT-010 (2025)</v>
      </c>
      <c r="P17" s="18">
        <v>94.09295352323845</v>
      </c>
      <c r="Q17" s="341">
        <f t="shared" ref="Q17" si="32">AVERAGE(P17:P18)</f>
        <v>94.132642295405702</v>
      </c>
      <c r="R17" s="66">
        <v>7.5493968971042964</v>
      </c>
      <c r="S17" s="341">
        <f t="shared" ref="S17" si="33">AVERAGE(R17:R18)</f>
        <v>7.4913693869890468</v>
      </c>
      <c r="T17" s="66">
        <v>92.450603102895698</v>
      </c>
      <c r="U17" s="341">
        <f t="shared" ref="U17" si="34">AVERAGE(T17:T18)</f>
        <v>92.508630613010951</v>
      </c>
      <c r="V17" s="65"/>
    </row>
    <row r="18" spans="2:22" x14ac:dyDescent="0.35">
      <c r="B18" s="19">
        <f t="shared" si="1"/>
        <v>8</v>
      </c>
      <c r="C18" s="7">
        <f>C17</f>
        <v>46041</v>
      </c>
      <c r="D18" s="7" t="str">
        <f t="shared" ref="D18" si="35">D17</f>
        <v>Genbank</v>
      </c>
      <c r="E18" s="14">
        <f t="shared" ref="E18" si="36">E17</f>
        <v>27</v>
      </c>
      <c r="F18" s="7" t="str">
        <f t="shared" ref="F18" si="37">F17</f>
        <v>F251731</v>
      </c>
      <c r="G18" s="7" t="str">
        <f t="shared" ref="G18" si="38">G17</f>
        <v>CIAT-13710</v>
      </c>
      <c r="H18" s="7" t="str">
        <f t="shared" ref="H18" si="39">H17</f>
        <v>Dendrolobium</v>
      </c>
      <c r="I18" s="7" t="str">
        <f t="shared" ref="I18" si="40">I17</f>
        <v>lanceolatum</v>
      </c>
      <c r="J18" s="7" t="str">
        <f t="shared" ref="J18" si="41">J17</f>
        <v>Dendrolobium lanceolatum</v>
      </c>
      <c r="K18" s="7" t="str">
        <f t="shared" ref="K18" si="42">K17</f>
        <v>Fabaceae</v>
      </c>
      <c r="L18" s="7" t="str">
        <f t="shared" ref="L18" si="43">L17</f>
        <v>Fabales</v>
      </c>
      <c r="M18" s="7" t="str">
        <f t="shared" ref="M18" si="44">M17</f>
        <v>Tree</v>
      </c>
      <c r="N18" s="7" t="str">
        <f t="shared" ref="N18" si="45">N17</f>
        <v>58,59, 69</v>
      </c>
      <c r="O18" s="30" t="str">
        <f t="shared" ref="O18" si="46">O17</f>
        <v>OT-010 (2025)</v>
      </c>
      <c r="P18" s="18">
        <v>94.172331067572969</v>
      </c>
      <c r="Q18" s="341"/>
      <c r="R18" s="66">
        <v>7.4333418768737971</v>
      </c>
      <c r="S18" s="341"/>
      <c r="T18" s="66">
        <v>92.566658123126203</v>
      </c>
      <c r="U18" s="341"/>
      <c r="V18" s="65"/>
    </row>
    <row r="19" spans="2:22" x14ac:dyDescent="0.35">
      <c r="B19" s="19">
        <f t="shared" si="1"/>
        <v>9</v>
      </c>
      <c r="C19" s="42">
        <f>'1. Information samples'!C15</f>
        <v>46041</v>
      </c>
      <c r="D19" s="42" t="str">
        <f>'1. Information samples'!D15</f>
        <v>Genbank</v>
      </c>
      <c r="E19" s="59">
        <f>'1. Information samples'!E15</f>
        <v>27</v>
      </c>
      <c r="F19" s="42" t="str">
        <f>'1. Information samples'!F15</f>
        <v>F251732</v>
      </c>
      <c r="G19" s="42" t="str">
        <f>'1. Information samples'!G15</f>
        <v>CIAT-22004</v>
      </c>
      <c r="H19" s="42" t="str">
        <f>'1. Information samples'!H15</f>
        <v>Dendrolobium</v>
      </c>
      <c r="I19" s="42" t="str">
        <f>'1. Information samples'!I15</f>
        <v>triangulare</v>
      </c>
      <c r="J19" s="42" t="str">
        <f>'1. Information samples'!J15</f>
        <v>Dendrolobium triangulare</v>
      </c>
      <c r="K19" s="42" t="str">
        <f>'1. Information samples'!K15</f>
        <v>Fabaceae</v>
      </c>
      <c r="L19" s="42" t="str">
        <f>'1. Information samples'!L15</f>
        <v>Fabales</v>
      </c>
      <c r="M19" s="42" t="str">
        <f>'1. Information samples'!M15</f>
        <v>Tree</v>
      </c>
      <c r="N19" s="42" t="str">
        <f>'1. Information samples'!N15</f>
        <v>58,59, 69</v>
      </c>
      <c r="O19" s="20" t="str">
        <f>'1. Information samples'!O15</f>
        <v>OT-010 (2025)</v>
      </c>
      <c r="P19" s="18">
        <v>94.180581941805769</v>
      </c>
      <c r="Q19" s="341">
        <f t="shared" ref="Q19" si="47">AVERAGE(P19:P20)</f>
        <v>94.295849859125241</v>
      </c>
      <c r="R19" s="66">
        <v>6.7864705324296128</v>
      </c>
      <c r="S19" s="341">
        <f t="shared" ref="S19" si="48">AVERAGE(R19:R20)</f>
        <v>6.8126382768364504</v>
      </c>
      <c r="T19" s="66">
        <v>93.213529467570382</v>
      </c>
      <c r="U19" s="341">
        <f t="shared" ref="U19" si="49">AVERAGE(T19:T20)</f>
        <v>93.187361723163548</v>
      </c>
      <c r="V19" s="65"/>
    </row>
    <row r="20" spans="2:22" x14ac:dyDescent="0.35">
      <c r="B20" s="19">
        <f t="shared" si="1"/>
        <v>10</v>
      </c>
      <c r="C20" s="7">
        <f>C19</f>
        <v>46041</v>
      </c>
      <c r="D20" s="7" t="str">
        <f t="shared" ref="D20" si="50">D19</f>
        <v>Genbank</v>
      </c>
      <c r="E20" s="14">
        <f t="shared" ref="E20" si="51">E19</f>
        <v>27</v>
      </c>
      <c r="F20" s="7" t="str">
        <f t="shared" ref="F20" si="52">F19</f>
        <v>F251732</v>
      </c>
      <c r="G20" s="7" t="str">
        <f t="shared" ref="G20" si="53">G19</f>
        <v>CIAT-22004</v>
      </c>
      <c r="H20" s="7" t="str">
        <f t="shared" ref="H20" si="54">H19</f>
        <v>Dendrolobium</v>
      </c>
      <c r="I20" s="7" t="str">
        <f t="shared" ref="I20" si="55">I19</f>
        <v>triangulare</v>
      </c>
      <c r="J20" s="7" t="str">
        <f t="shared" ref="J20" si="56">J19</f>
        <v>Dendrolobium triangulare</v>
      </c>
      <c r="K20" s="7" t="str">
        <f t="shared" ref="K20" si="57">K19</f>
        <v>Fabaceae</v>
      </c>
      <c r="L20" s="7" t="str">
        <f t="shared" ref="L20" si="58">L19</f>
        <v>Fabales</v>
      </c>
      <c r="M20" s="7" t="str">
        <f t="shared" ref="M20" si="59">M19</f>
        <v>Tree</v>
      </c>
      <c r="N20" s="7" t="str">
        <f t="shared" ref="N20" si="60">N19</f>
        <v>58,59, 69</v>
      </c>
      <c r="O20" s="30" t="str">
        <f t="shared" ref="O20" si="61">O19</f>
        <v>OT-010 (2025)</v>
      </c>
      <c r="P20" s="18">
        <v>94.411117776444726</v>
      </c>
      <c r="Q20" s="341"/>
      <c r="R20" s="66">
        <v>6.8388060212432888</v>
      </c>
      <c r="S20" s="341"/>
      <c r="T20" s="66">
        <v>93.161193978756714</v>
      </c>
      <c r="U20" s="341"/>
      <c r="V20" s="65"/>
    </row>
    <row r="21" spans="2:22" x14ac:dyDescent="0.35">
      <c r="B21" s="19">
        <f t="shared" si="1"/>
        <v>11</v>
      </c>
      <c r="C21" s="42">
        <f>'1. Information samples'!C16</f>
        <v>46041</v>
      </c>
      <c r="D21" s="42" t="str">
        <f>'1. Information samples'!D16</f>
        <v>Genbank</v>
      </c>
      <c r="E21" s="59">
        <f>'1. Information samples'!E16</f>
        <v>27</v>
      </c>
      <c r="F21" s="42" t="str">
        <f>'1. Information samples'!F16</f>
        <v>F251733</v>
      </c>
      <c r="G21" s="42" t="str">
        <f>'1. Information samples'!G16</f>
        <v>CIAT-23104</v>
      </c>
      <c r="H21" s="42" t="str">
        <f>'1. Information samples'!H16</f>
        <v>Dendrolobium</v>
      </c>
      <c r="I21" s="42" t="str">
        <f>'1. Information samples'!I16</f>
        <v>triangulare</v>
      </c>
      <c r="J21" s="42" t="str">
        <f>'1. Information samples'!J16</f>
        <v>Dendrolobium triangulare</v>
      </c>
      <c r="K21" s="42" t="str">
        <f>'1. Information samples'!K16</f>
        <v>Fabaceae</v>
      </c>
      <c r="L21" s="42" t="str">
        <f>'1. Information samples'!L16</f>
        <v>Fabales</v>
      </c>
      <c r="M21" s="42" t="str">
        <f>'1. Information samples'!M16</f>
        <v>Tree</v>
      </c>
      <c r="N21" s="42" t="str">
        <f>'1. Information samples'!N16</f>
        <v>58,59, 69</v>
      </c>
      <c r="O21" s="20" t="str">
        <f>'1. Information samples'!O16</f>
        <v>OT-010 (2025)</v>
      </c>
      <c r="P21" s="18">
        <v>92.622950819672013</v>
      </c>
      <c r="Q21" s="341">
        <f t="shared" ref="Q21" si="62">AVERAGE(P21:P22)</f>
        <v>92.632579078735347</v>
      </c>
      <c r="R21" s="66">
        <v>7.0357460707675763</v>
      </c>
      <c r="S21" s="341">
        <f t="shared" ref="S21" si="63">AVERAGE(R21:R22)</f>
        <v>6.9983254013085654</v>
      </c>
      <c r="T21" s="66">
        <v>92.964253929232427</v>
      </c>
      <c r="U21" s="341">
        <f t="shared" ref="U21" si="64">AVERAGE(T21:T22)</f>
        <v>93.001674598691437</v>
      </c>
      <c r="V21" s="65"/>
    </row>
    <row r="22" spans="2:22" x14ac:dyDescent="0.35">
      <c r="B22" s="19">
        <f t="shared" si="1"/>
        <v>12</v>
      </c>
      <c r="C22" s="7">
        <f>C21</f>
        <v>46041</v>
      </c>
      <c r="D22" s="7" t="str">
        <f t="shared" ref="D22" si="65">D21</f>
        <v>Genbank</v>
      </c>
      <c r="E22" s="14">
        <f t="shared" ref="E22" si="66">E21</f>
        <v>27</v>
      </c>
      <c r="F22" s="7" t="str">
        <f t="shared" ref="F22" si="67">F21</f>
        <v>F251733</v>
      </c>
      <c r="G22" s="7" t="str">
        <f t="shared" ref="G22" si="68">G21</f>
        <v>CIAT-23104</v>
      </c>
      <c r="H22" s="7" t="str">
        <f t="shared" ref="H22" si="69">H21</f>
        <v>Dendrolobium</v>
      </c>
      <c r="I22" s="7" t="str">
        <f t="shared" ref="I22" si="70">I21</f>
        <v>triangulare</v>
      </c>
      <c r="J22" s="7" t="str">
        <f t="shared" ref="J22" si="71">J21</f>
        <v>Dendrolobium triangulare</v>
      </c>
      <c r="K22" s="7" t="str">
        <f t="shared" ref="K22" si="72">K21</f>
        <v>Fabaceae</v>
      </c>
      <c r="L22" s="7" t="str">
        <f t="shared" ref="L22" si="73">L21</f>
        <v>Fabales</v>
      </c>
      <c r="M22" s="7" t="str">
        <f t="shared" ref="M22" si="74">M21</f>
        <v>Tree</v>
      </c>
      <c r="N22" s="7" t="str">
        <f t="shared" ref="N22" si="75">N21</f>
        <v>58,59, 69</v>
      </c>
      <c r="O22" s="30" t="str">
        <f t="shared" ref="O22" si="76">O21</f>
        <v>OT-010 (2025)</v>
      </c>
      <c r="P22" s="18">
        <v>92.642207337798695</v>
      </c>
      <c r="Q22" s="341"/>
      <c r="R22" s="66">
        <v>6.9609047318495545</v>
      </c>
      <c r="S22" s="341"/>
      <c r="T22" s="66">
        <v>93.039095268150447</v>
      </c>
      <c r="U22" s="341"/>
      <c r="V22" s="65"/>
    </row>
    <row r="23" spans="2:22" x14ac:dyDescent="0.35">
      <c r="B23" s="19">
        <f t="shared" si="1"/>
        <v>13</v>
      </c>
      <c r="C23" s="42">
        <f>'1. Information samples'!C17</f>
        <v>46041</v>
      </c>
      <c r="D23" s="42" t="str">
        <f>'1. Information samples'!D17</f>
        <v>Genbank</v>
      </c>
      <c r="E23" s="59">
        <f>'1. Information samples'!E17</f>
        <v>27</v>
      </c>
      <c r="F23" s="42" t="str">
        <f>'1. Information samples'!F17</f>
        <v>F251734</v>
      </c>
      <c r="G23" s="42" t="str">
        <f>'1. Information samples'!G17</f>
        <v>CIAT-23106</v>
      </c>
      <c r="H23" s="42" t="str">
        <f>'1. Information samples'!H17</f>
        <v>Dendrolobium</v>
      </c>
      <c r="I23" s="42" t="str">
        <f>'1. Information samples'!I17</f>
        <v>triangulare</v>
      </c>
      <c r="J23" s="42" t="str">
        <f>'1. Information samples'!J17</f>
        <v>Dendrolobium triangulare</v>
      </c>
      <c r="K23" s="42" t="str">
        <f>'1. Information samples'!K17</f>
        <v>Fabaceae</v>
      </c>
      <c r="L23" s="42" t="str">
        <f>'1. Information samples'!L17</f>
        <v>Fabales</v>
      </c>
      <c r="M23" s="42" t="str">
        <f>'1. Information samples'!M17</f>
        <v>Tree</v>
      </c>
      <c r="N23" s="42" t="str">
        <f>'1. Information samples'!N17</f>
        <v>58,59, 69</v>
      </c>
      <c r="O23" s="20" t="str">
        <f>'1. Information samples'!O17</f>
        <v>OT-010 (2025)</v>
      </c>
      <c r="P23" s="18">
        <v>94.502748625687076</v>
      </c>
      <c r="Q23" s="341">
        <f t="shared" ref="Q23" si="77">AVERAGE(P23:P24)</f>
        <v>94.652673663168372</v>
      </c>
      <c r="R23" s="66">
        <v>6.8004223864835431</v>
      </c>
      <c r="S23" s="341">
        <f t="shared" ref="S23" si="78">AVERAGE(R23:R24)</f>
        <v>6.8532206969376732</v>
      </c>
      <c r="T23" s="66">
        <v>93.199577613516453</v>
      </c>
      <c r="U23" s="341">
        <f t="shared" ref="U23" si="79">AVERAGE(T23:T24)</f>
        <v>93.146779303062317</v>
      </c>
      <c r="V23" s="65"/>
    </row>
    <row r="24" spans="2:22" x14ac:dyDescent="0.35">
      <c r="B24" s="19">
        <f t="shared" si="1"/>
        <v>14</v>
      </c>
      <c r="C24" s="7">
        <f>C23</f>
        <v>46041</v>
      </c>
      <c r="D24" s="7" t="str">
        <f t="shared" ref="D24" si="80">D23</f>
        <v>Genbank</v>
      </c>
      <c r="E24" s="14">
        <f t="shared" ref="E24" si="81">E23</f>
        <v>27</v>
      </c>
      <c r="F24" s="7" t="str">
        <f t="shared" ref="F24" si="82">F23</f>
        <v>F251734</v>
      </c>
      <c r="G24" s="7" t="str">
        <f t="shared" ref="G24" si="83">G23</f>
        <v>CIAT-23106</v>
      </c>
      <c r="H24" s="7" t="str">
        <f t="shared" ref="H24" si="84">H23</f>
        <v>Dendrolobium</v>
      </c>
      <c r="I24" s="7" t="str">
        <f t="shared" ref="I24" si="85">I23</f>
        <v>triangulare</v>
      </c>
      <c r="J24" s="7" t="str">
        <f t="shared" ref="J24" si="86">J23</f>
        <v>Dendrolobium triangulare</v>
      </c>
      <c r="K24" s="7" t="str">
        <f t="shared" ref="K24" si="87">K23</f>
        <v>Fabaceae</v>
      </c>
      <c r="L24" s="7" t="str">
        <f t="shared" ref="L24" si="88">L23</f>
        <v>Fabales</v>
      </c>
      <c r="M24" s="7" t="str">
        <f t="shared" ref="M24" si="89">M23</f>
        <v>Tree</v>
      </c>
      <c r="N24" s="7" t="str">
        <f t="shared" ref="N24" si="90">N23</f>
        <v>58,59, 69</v>
      </c>
      <c r="O24" s="30" t="str">
        <f t="shared" ref="O24" si="91">O23</f>
        <v>OT-010 (2025)</v>
      </c>
      <c r="P24" s="18">
        <v>94.802598700649682</v>
      </c>
      <c r="Q24" s="341"/>
      <c r="R24" s="66">
        <v>6.9060190073918033</v>
      </c>
      <c r="S24" s="341"/>
      <c r="T24" s="66">
        <v>93.093980992608195</v>
      </c>
      <c r="U24" s="341"/>
      <c r="V24" s="65"/>
    </row>
    <row r="25" spans="2:22" x14ac:dyDescent="0.35">
      <c r="B25" s="19">
        <f t="shared" si="1"/>
        <v>15</v>
      </c>
      <c r="C25" s="42">
        <f>'1. Information samples'!C18</f>
        <v>46041</v>
      </c>
      <c r="D25" s="42" t="str">
        <f>'1. Information samples'!D18</f>
        <v>Genbank</v>
      </c>
      <c r="E25" s="59">
        <f>'1. Information samples'!E18</f>
        <v>27</v>
      </c>
      <c r="F25" s="42" t="str">
        <f>'1. Information samples'!F18</f>
        <v>F251735</v>
      </c>
      <c r="G25" s="42" t="str">
        <f>'1. Information samples'!G18</f>
        <v>CIAT-23107</v>
      </c>
      <c r="H25" s="42" t="str">
        <f>'1. Information samples'!H18</f>
        <v>Dendrolobium</v>
      </c>
      <c r="I25" s="42" t="str">
        <f>'1. Information samples'!I18</f>
        <v>triangulare</v>
      </c>
      <c r="J25" s="42" t="str">
        <f>'1. Information samples'!J18</f>
        <v>Dendrolobium triangulare</v>
      </c>
      <c r="K25" s="42" t="str">
        <f>'1. Information samples'!K18</f>
        <v>Fabaceae</v>
      </c>
      <c r="L25" s="42" t="str">
        <f>'1. Information samples'!L18</f>
        <v>Fabales</v>
      </c>
      <c r="M25" s="42" t="str">
        <f>'1. Information samples'!M18</f>
        <v>Tree</v>
      </c>
      <c r="N25" s="42" t="str">
        <f>'1. Information samples'!N18</f>
        <v>58,59, 69</v>
      </c>
      <c r="O25" s="20" t="str">
        <f>'1. Information samples'!O18</f>
        <v>OT-010 (2025)</v>
      </c>
      <c r="P25" s="18">
        <v>94.962518740629605</v>
      </c>
      <c r="Q25" s="341">
        <f t="shared" ref="Q25" si="92">AVERAGE(P25:P26)</f>
        <v>94.987007645832151</v>
      </c>
      <c r="R25" s="66">
        <v>6.8396213179086507</v>
      </c>
      <c r="S25" s="341">
        <f t="shared" ref="S25" si="93">AVERAGE(R25:R26)</f>
        <v>6.9192395614354751</v>
      </c>
      <c r="T25" s="66">
        <v>93.160378682091348</v>
      </c>
      <c r="U25" s="341">
        <f t="shared" ref="U25" si="94">AVERAGE(T25:T26)</f>
        <v>93.080760438564525</v>
      </c>
      <c r="V25" s="65"/>
    </row>
    <row r="26" spans="2:22" x14ac:dyDescent="0.35">
      <c r="B26" s="19">
        <f t="shared" si="1"/>
        <v>16</v>
      </c>
      <c r="C26" s="7">
        <f>C25</f>
        <v>46041</v>
      </c>
      <c r="D26" s="7" t="str">
        <f t="shared" ref="D26" si="95">D25</f>
        <v>Genbank</v>
      </c>
      <c r="E26" s="14">
        <f t="shared" ref="E26" si="96">E25</f>
        <v>27</v>
      </c>
      <c r="F26" s="7" t="str">
        <f t="shared" ref="F26" si="97">F25</f>
        <v>F251735</v>
      </c>
      <c r="G26" s="7" t="str">
        <f t="shared" ref="G26" si="98">G25</f>
        <v>CIAT-23107</v>
      </c>
      <c r="H26" s="7" t="str">
        <f t="shared" ref="H26" si="99">H25</f>
        <v>Dendrolobium</v>
      </c>
      <c r="I26" s="7" t="str">
        <f t="shared" ref="I26" si="100">I25</f>
        <v>triangulare</v>
      </c>
      <c r="J26" s="7" t="str">
        <f t="shared" ref="J26" si="101">J25</f>
        <v>Dendrolobium triangulare</v>
      </c>
      <c r="K26" s="7" t="str">
        <f t="shared" ref="K26" si="102">K25</f>
        <v>Fabaceae</v>
      </c>
      <c r="L26" s="7" t="str">
        <f t="shared" ref="L26" si="103">L25</f>
        <v>Fabales</v>
      </c>
      <c r="M26" s="7" t="str">
        <f t="shared" ref="M26" si="104">M25</f>
        <v>Tree</v>
      </c>
      <c r="N26" s="7" t="str">
        <f t="shared" ref="N26" si="105">N25</f>
        <v>58,59, 69</v>
      </c>
      <c r="O26" s="30" t="str">
        <f t="shared" ref="O26" si="106">O25</f>
        <v>OT-010 (2025)</v>
      </c>
      <c r="P26" s="18">
        <v>95.011496551034696</v>
      </c>
      <c r="Q26" s="341"/>
      <c r="R26" s="66">
        <v>6.9988578049622996</v>
      </c>
      <c r="S26" s="341"/>
      <c r="T26" s="66">
        <v>93.001142195037701</v>
      </c>
      <c r="U26" s="341"/>
      <c r="V26" s="65"/>
    </row>
    <row r="27" spans="2:22" x14ac:dyDescent="0.35">
      <c r="B27" s="19">
        <f t="shared" si="1"/>
        <v>17</v>
      </c>
      <c r="C27" s="42">
        <f>'1. Information samples'!C19</f>
        <v>46041</v>
      </c>
      <c r="D27" s="42" t="str">
        <f>'1. Information samples'!D19</f>
        <v>Genbank</v>
      </c>
      <c r="E27" s="59">
        <f>'1. Information samples'!E19</f>
        <v>27</v>
      </c>
      <c r="F27" s="42" t="str">
        <f>'1. Information samples'!F19</f>
        <v>F251736</v>
      </c>
      <c r="G27" s="42" t="str">
        <f>'1. Information samples'!G19</f>
        <v>CIAT-23108</v>
      </c>
      <c r="H27" s="42" t="str">
        <f>'1. Information samples'!H19</f>
        <v>Dendrolobium</v>
      </c>
      <c r="I27" s="42" t="str">
        <f>'1. Information samples'!I19</f>
        <v>triangulare</v>
      </c>
      <c r="J27" s="42" t="str">
        <f>'1. Information samples'!J19</f>
        <v>Dendrolobium triangulare</v>
      </c>
      <c r="K27" s="42" t="str">
        <f>'1. Information samples'!K19</f>
        <v>Fabaceae</v>
      </c>
      <c r="L27" s="42" t="str">
        <f>'1. Information samples'!L19</f>
        <v>Fabales</v>
      </c>
      <c r="M27" s="42" t="str">
        <f>'1. Information samples'!M19</f>
        <v>Tree</v>
      </c>
      <c r="N27" s="42" t="str">
        <f>'1. Information samples'!N19</f>
        <v>58,59, 69</v>
      </c>
      <c r="O27" s="20" t="str">
        <f>'1. Information samples'!O19</f>
        <v>OT-010 (2025)</v>
      </c>
      <c r="P27" s="18">
        <v>94.473316010393901</v>
      </c>
      <c r="Q27" s="341">
        <f t="shared" ref="Q27" si="107">AVERAGE(P27:P28)</f>
        <v>94.543274035578719</v>
      </c>
      <c r="R27" s="66">
        <v>6.8710359408035133</v>
      </c>
      <c r="S27" s="341">
        <f t="shared" ref="S27" si="108">AVERAGE(R27:R28)</f>
        <v>6.9291754756871917</v>
      </c>
      <c r="T27" s="66">
        <v>93.128964059196491</v>
      </c>
      <c r="U27" s="341">
        <f t="shared" ref="U27" si="109">AVERAGE(T27:T28)</f>
        <v>93.070824524312812</v>
      </c>
      <c r="V27" s="65"/>
    </row>
    <row r="28" spans="2:22" x14ac:dyDescent="0.35">
      <c r="B28" s="19">
        <f t="shared" si="1"/>
        <v>18</v>
      </c>
      <c r="C28" s="7">
        <f>C27</f>
        <v>46041</v>
      </c>
      <c r="D28" s="7" t="str">
        <f t="shared" ref="D28" si="110">D27</f>
        <v>Genbank</v>
      </c>
      <c r="E28" s="14">
        <f t="shared" ref="E28" si="111">E27</f>
        <v>27</v>
      </c>
      <c r="F28" s="7" t="str">
        <f t="shared" ref="F28" si="112">F27</f>
        <v>F251736</v>
      </c>
      <c r="G28" s="7" t="str">
        <f t="shared" ref="G28" si="113">G27</f>
        <v>CIAT-23108</v>
      </c>
      <c r="H28" s="7" t="str">
        <f t="shared" ref="H28" si="114">H27</f>
        <v>Dendrolobium</v>
      </c>
      <c r="I28" s="7" t="str">
        <f t="shared" ref="I28" si="115">I27</f>
        <v>triangulare</v>
      </c>
      <c r="J28" s="7" t="str">
        <f t="shared" ref="J28" si="116">J27</f>
        <v>Dendrolobium triangulare</v>
      </c>
      <c r="K28" s="7" t="str">
        <f t="shared" ref="K28" si="117">K27</f>
        <v>Fabaceae</v>
      </c>
      <c r="L28" s="7" t="str">
        <f t="shared" ref="L28" si="118">L27</f>
        <v>Fabales</v>
      </c>
      <c r="M28" s="7" t="str">
        <f t="shared" ref="M28" si="119">M27</f>
        <v>Tree</v>
      </c>
      <c r="N28" s="7" t="str">
        <f t="shared" ref="N28" si="120">N27</f>
        <v>58,59, 69</v>
      </c>
      <c r="O28" s="30" t="str">
        <f t="shared" ref="O28" si="121">O27</f>
        <v>OT-010 (2025)</v>
      </c>
      <c r="P28" s="18">
        <v>94.613232060763536</v>
      </c>
      <c r="Q28" s="341"/>
      <c r="R28" s="66">
        <v>6.987315010570871</v>
      </c>
      <c r="S28" s="341"/>
      <c r="T28" s="66">
        <v>93.012684989429133</v>
      </c>
      <c r="U28" s="341"/>
      <c r="V28" s="65"/>
    </row>
    <row r="29" spans="2:22" x14ac:dyDescent="0.35">
      <c r="B29" s="19">
        <f t="shared" si="1"/>
        <v>19</v>
      </c>
      <c r="C29" s="42">
        <f>'1. Information samples'!C20</f>
        <v>46041</v>
      </c>
      <c r="D29" s="42" t="str">
        <f>'1. Information samples'!D20</f>
        <v>Genbank</v>
      </c>
      <c r="E29" s="59">
        <f>'1. Information samples'!E20</f>
        <v>27</v>
      </c>
      <c r="F29" s="42" t="str">
        <f>'1. Information samples'!F20</f>
        <v>F251737</v>
      </c>
      <c r="G29" s="42" t="str">
        <f>'1. Information samples'!G20</f>
        <v>CIAT-23412</v>
      </c>
      <c r="H29" s="42" t="str">
        <f>'1. Information samples'!H20</f>
        <v>Dendrolobium</v>
      </c>
      <c r="I29" s="42" t="str">
        <f>'1. Information samples'!I20</f>
        <v>triangulare</v>
      </c>
      <c r="J29" s="42" t="str">
        <f>'1. Information samples'!J20</f>
        <v>Dendrolobium triangulare</v>
      </c>
      <c r="K29" s="42" t="str">
        <f>'1. Information samples'!K20</f>
        <v>Fabaceae</v>
      </c>
      <c r="L29" s="42" t="str">
        <f>'1. Information samples'!L20</f>
        <v>Fabales</v>
      </c>
      <c r="M29" s="42" t="str">
        <f>'1. Information samples'!M20</f>
        <v>Tree</v>
      </c>
      <c r="N29" s="42" t="str">
        <f>'1. Information samples'!N20</f>
        <v>58,59, 69</v>
      </c>
      <c r="O29" s="20" t="str">
        <f>'1. Information samples'!O20</f>
        <v>OT-010 (2025)</v>
      </c>
      <c r="P29" s="18">
        <v>94.381685494351586</v>
      </c>
      <c r="Q29" s="341">
        <f t="shared" ref="Q29" si="122">AVERAGE(P29:P30)</f>
        <v>94.187644666024497</v>
      </c>
      <c r="R29" s="66">
        <v>7.2386931829448473</v>
      </c>
      <c r="S29" s="341">
        <f t="shared" ref="S29" si="123">AVERAGE(R29:R30)</f>
        <v>7.2747456108071029</v>
      </c>
      <c r="T29" s="66">
        <v>92.761306817055157</v>
      </c>
      <c r="U29" s="341">
        <f t="shared" ref="U29" si="124">AVERAGE(T29:T30)</f>
        <v>92.725254389192898</v>
      </c>
      <c r="V29" s="65"/>
    </row>
    <row r="30" spans="2:22" x14ac:dyDescent="0.35">
      <c r="B30" s="19">
        <f t="shared" si="1"/>
        <v>20</v>
      </c>
      <c r="C30" s="7">
        <f>C29</f>
        <v>46041</v>
      </c>
      <c r="D30" s="7" t="str">
        <f t="shared" ref="D30" si="125">D29</f>
        <v>Genbank</v>
      </c>
      <c r="E30" s="14">
        <f t="shared" ref="E30" si="126">E29</f>
        <v>27</v>
      </c>
      <c r="F30" s="7" t="str">
        <f t="shared" ref="F30" si="127">F29</f>
        <v>F251737</v>
      </c>
      <c r="G30" s="7" t="str">
        <f t="shared" ref="G30" si="128">G29</f>
        <v>CIAT-23412</v>
      </c>
      <c r="H30" s="7" t="str">
        <f t="shared" ref="H30" si="129">H29</f>
        <v>Dendrolobium</v>
      </c>
      <c r="I30" s="7" t="str">
        <f t="shared" ref="I30" si="130">I29</f>
        <v>triangulare</v>
      </c>
      <c r="J30" s="7" t="str">
        <f t="shared" ref="J30" si="131">J29</f>
        <v>Dendrolobium triangulare</v>
      </c>
      <c r="K30" s="7" t="str">
        <f t="shared" ref="K30" si="132">K29</f>
        <v>Fabaceae</v>
      </c>
      <c r="L30" s="7" t="str">
        <f t="shared" ref="L30" si="133">L29</f>
        <v>Fabales</v>
      </c>
      <c r="M30" s="7" t="str">
        <f t="shared" ref="M30" si="134">M29</f>
        <v>Tree</v>
      </c>
      <c r="N30" s="7" t="str">
        <f t="shared" ref="N30" si="135">N29</f>
        <v>58,59, 69</v>
      </c>
      <c r="O30" s="30" t="str">
        <f t="shared" ref="O30" si="136">O29</f>
        <v>OT-010 (2025)</v>
      </c>
      <c r="P30" s="18">
        <v>93.993603837697407</v>
      </c>
      <c r="Q30" s="341"/>
      <c r="R30" s="66">
        <v>7.3107980386693585</v>
      </c>
      <c r="S30" s="341"/>
      <c r="T30" s="66">
        <v>92.689201961330639</v>
      </c>
      <c r="U30" s="341"/>
      <c r="V30" s="65"/>
    </row>
    <row r="31" spans="2:22" x14ac:dyDescent="0.35">
      <c r="B31" s="19">
        <f t="shared" si="1"/>
        <v>21</v>
      </c>
      <c r="C31" s="42">
        <f>'1. Information samples'!C21</f>
        <v>46041</v>
      </c>
      <c r="D31" s="42" t="str">
        <f>'1. Information samples'!D21</f>
        <v>Genbank</v>
      </c>
      <c r="E31" s="59">
        <f>'1. Information samples'!E21</f>
        <v>27</v>
      </c>
      <c r="F31" s="42" t="str">
        <f>'1. Information samples'!F21</f>
        <v>F251738</v>
      </c>
      <c r="G31" s="42" t="str">
        <f>'1. Information samples'!G21</f>
        <v>CIAT-23413</v>
      </c>
      <c r="H31" s="42" t="str">
        <f>'1. Information samples'!H21</f>
        <v>Dendrolobium</v>
      </c>
      <c r="I31" s="42" t="str">
        <f>'1. Information samples'!I21</f>
        <v>triangulare</v>
      </c>
      <c r="J31" s="42" t="str">
        <f>'1. Information samples'!J21</f>
        <v>Dendrolobium triangulare</v>
      </c>
      <c r="K31" s="42" t="str">
        <f>'1. Information samples'!K21</f>
        <v>Fabaceae</v>
      </c>
      <c r="L31" s="42" t="str">
        <f>'1. Information samples'!L21</f>
        <v>Fabales</v>
      </c>
      <c r="M31" s="42" t="str">
        <f>'1. Information samples'!M21</f>
        <v>Tree</v>
      </c>
      <c r="N31" s="42" t="str">
        <f>'1. Information samples'!N21</f>
        <v>58,59, 69</v>
      </c>
      <c r="O31" s="20" t="str">
        <f>'1. Information samples'!O21</f>
        <v>OT-010 (2025)</v>
      </c>
      <c r="P31" s="18">
        <v>93.172730907636975</v>
      </c>
      <c r="Q31" s="341">
        <f t="shared" ref="Q31" si="137">AVERAGE(P31:P32)</f>
        <v>93.526671423221515</v>
      </c>
      <c r="R31" s="66">
        <v>7.502879142354038</v>
      </c>
      <c r="S31" s="341">
        <f t="shared" ref="S31" si="138">AVERAGE(R31:R32)</f>
        <v>7.4986589276613946</v>
      </c>
      <c r="T31" s="66">
        <v>92.497120857645967</v>
      </c>
      <c r="U31" s="341">
        <f t="shared" ref="U31" si="139">AVERAGE(T31:T32)</f>
        <v>92.501341072338604</v>
      </c>
      <c r="V31" s="65"/>
    </row>
    <row r="32" spans="2:22" x14ac:dyDescent="0.35">
      <c r="B32" s="19">
        <f t="shared" si="1"/>
        <v>22</v>
      </c>
      <c r="C32" s="7">
        <f>C31</f>
        <v>46041</v>
      </c>
      <c r="D32" s="7" t="str">
        <f t="shared" ref="D32" si="140">D31</f>
        <v>Genbank</v>
      </c>
      <c r="E32" s="14">
        <f t="shared" ref="E32" si="141">E31</f>
        <v>27</v>
      </c>
      <c r="F32" s="7" t="str">
        <f t="shared" ref="F32" si="142">F31</f>
        <v>F251738</v>
      </c>
      <c r="G32" s="7" t="str">
        <f t="shared" ref="G32" si="143">G31</f>
        <v>CIAT-23413</v>
      </c>
      <c r="H32" s="7" t="str">
        <f t="shared" ref="H32" si="144">H31</f>
        <v>Dendrolobium</v>
      </c>
      <c r="I32" s="7" t="str">
        <f t="shared" ref="I32" si="145">I31</f>
        <v>triangulare</v>
      </c>
      <c r="J32" s="7" t="str">
        <f t="shared" ref="J32" si="146">J31</f>
        <v>Dendrolobium triangulare</v>
      </c>
      <c r="K32" s="7" t="str">
        <f t="shared" ref="K32" si="147">K31</f>
        <v>Fabaceae</v>
      </c>
      <c r="L32" s="7" t="str">
        <f t="shared" ref="L32" si="148">L31</f>
        <v>Fabales</v>
      </c>
      <c r="M32" s="7" t="str">
        <f t="shared" ref="M32" si="149">M31</f>
        <v>Tree</v>
      </c>
      <c r="N32" s="7" t="str">
        <f t="shared" ref="N32" si="150">N31</f>
        <v>58,59, 69</v>
      </c>
      <c r="O32" s="30" t="str">
        <f t="shared" ref="O32" si="151">O31</f>
        <v>OT-010 (2025)</v>
      </c>
      <c r="P32" s="18">
        <v>93.880611938806055</v>
      </c>
      <c r="Q32" s="341"/>
      <c r="R32" s="66">
        <v>7.4944387129687513</v>
      </c>
      <c r="S32" s="341"/>
      <c r="T32" s="66">
        <v>92.505561287031242</v>
      </c>
      <c r="U32" s="341"/>
      <c r="V32" s="65"/>
    </row>
    <row r="33" spans="2:22" x14ac:dyDescent="0.35">
      <c r="B33" s="19">
        <f t="shared" si="1"/>
        <v>23</v>
      </c>
      <c r="C33" s="42">
        <f>'1. Information samples'!C22</f>
        <v>46041</v>
      </c>
      <c r="D33" s="42" t="str">
        <f>'1. Information samples'!D22</f>
        <v>Genbank</v>
      </c>
      <c r="E33" s="59">
        <f>'1. Information samples'!E22</f>
        <v>27</v>
      </c>
      <c r="F33" s="42" t="str">
        <f>'1. Information samples'!F22</f>
        <v>F251739</v>
      </c>
      <c r="G33" s="42" t="str">
        <f>'1. Information samples'!G22</f>
        <v>CIAT-23419</v>
      </c>
      <c r="H33" s="42" t="str">
        <f>'1. Information samples'!H22</f>
        <v>Dendrolobium</v>
      </c>
      <c r="I33" s="42" t="str">
        <f>'1. Information samples'!I22</f>
        <v>triangulare</v>
      </c>
      <c r="J33" s="42" t="str">
        <f>'1. Information samples'!J22</f>
        <v>Dendrolobium triangulare</v>
      </c>
      <c r="K33" s="42" t="str">
        <f>'1. Information samples'!K22</f>
        <v>Fabaceae</v>
      </c>
      <c r="L33" s="42" t="str">
        <f>'1. Information samples'!L22</f>
        <v>Fabales</v>
      </c>
      <c r="M33" s="42" t="str">
        <f>'1. Information samples'!M22</f>
        <v>Tree</v>
      </c>
      <c r="N33" s="42" t="str">
        <f>'1. Information samples'!N22</f>
        <v>58,59, 69</v>
      </c>
      <c r="O33" s="20" t="str">
        <f>'1. Information samples'!O22</f>
        <v>OT-010 (2025)</v>
      </c>
      <c r="P33" s="18">
        <v>93.813093453273282</v>
      </c>
      <c r="Q33" s="341">
        <f t="shared" ref="Q33" si="152">AVERAGE(P33:P34)</f>
        <v>93.957431461216231</v>
      </c>
      <c r="R33" s="66">
        <v>7.2230653723788052</v>
      </c>
      <c r="S33" s="341">
        <f t="shared" ref="S33" si="153">AVERAGE(R33:R34)</f>
        <v>7.2025076108834778</v>
      </c>
      <c r="T33" s="66">
        <v>92.776934627621188</v>
      </c>
      <c r="U33" s="341">
        <f t="shared" ref="U33" si="154">AVERAGE(T33:T34)</f>
        <v>92.797492389116513</v>
      </c>
      <c r="V33" s="65"/>
    </row>
    <row r="34" spans="2:22" x14ac:dyDescent="0.35">
      <c r="B34" s="19">
        <f t="shared" si="1"/>
        <v>24</v>
      </c>
      <c r="C34" s="7">
        <f>C33</f>
        <v>46041</v>
      </c>
      <c r="D34" s="7" t="str">
        <f t="shared" ref="D34" si="155">D33</f>
        <v>Genbank</v>
      </c>
      <c r="E34" s="14">
        <f t="shared" ref="E34" si="156">E33</f>
        <v>27</v>
      </c>
      <c r="F34" s="7" t="str">
        <f t="shared" ref="F34" si="157">F33</f>
        <v>F251739</v>
      </c>
      <c r="G34" s="7" t="str">
        <f t="shared" ref="G34" si="158">G33</f>
        <v>CIAT-23419</v>
      </c>
      <c r="H34" s="7" t="str">
        <f t="shared" ref="H34" si="159">H33</f>
        <v>Dendrolobium</v>
      </c>
      <c r="I34" s="7" t="str">
        <f t="shared" ref="I34" si="160">I33</f>
        <v>triangulare</v>
      </c>
      <c r="J34" s="7" t="str">
        <f t="shared" ref="J34" si="161">J33</f>
        <v>Dendrolobium triangulare</v>
      </c>
      <c r="K34" s="7" t="str">
        <f t="shared" ref="K34" si="162">K33</f>
        <v>Fabaceae</v>
      </c>
      <c r="L34" s="7" t="str">
        <f t="shared" ref="L34" si="163">L33</f>
        <v>Fabales</v>
      </c>
      <c r="M34" s="7" t="str">
        <f t="shared" ref="M34" si="164">M33</f>
        <v>Tree</v>
      </c>
      <c r="N34" s="7" t="str">
        <f t="shared" ref="N34" si="165">N33</f>
        <v>58,59, 69</v>
      </c>
      <c r="O34" s="30" t="str">
        <f t="shared" ref="O34" si="166">O33</f>
        <v>OT-010 (2025)</v>
      </c>
      <c r="P34" s="18">
        <v>94.101769469159166</v>
      </c>
      <c r="Q34" s="341"/>
      <c r="R34" s="66">
        <v>7.1819498493881504</v>
      </c>
      <c r="S34" s="341"/>
      <c r="T34" s="66">
        <v>92.818050150611853</v>
      </c>
      <c r="U34" s="341"/>
      <c r="V34" s="65"/>
    </row>
    <row r="35" spans="2:22" x14ac:dyDescent="0.35">
      <c r="B35" s="19">
        <f t="shared" si="1"/>
        <v>25</v>
      </c>
      <c r="C35" s="42">
        <f>'1. Information samples'!C23</f>
        <v>46041</v>
      </c>
      <c r="D35" s="42" t="str">
        <f>'1. Information samples'!D23</f>
        <v>Genbank</v>
      </c>
      <c r="E35" s="59">
        <f>'1. Information samples'!E23</f>
        <v>27</v>
      </c>
      <c r="F35" s="42" t="str">
        <f>'1. Information samples'!F23</f>
        <v>F251740</v>
      </c>
      <c r="G35" s="42" t="str">
        <f>'1. Information samples'!G23</f>
        <v>CIAT-23422</v>
      </c>
      <c r="H35" s="42" t="str">
        <f>'1. Information samples'!H23</f>
        <v>Dendrolobium</v>
      </c>
      <c r="I35" s="42" t="str">
        <f>'1. Information samples'!I23</f>
        <v>triangulare</v>
      </c>
      <c r="J35" s="42" t="str">
        <f>'1. Information samples'!J23</f>
        <v>Dendrolobium triangulare</v>
      </c>
      <c r="K35" s="42" t="str">
        <f>'1. Information samples'!K23</f>
        <v>Fabaceae</v>
      </c>
      <c r="L35" s="42" t="str">
        <f>'1. Information samples'!L23</f>
        <v>Fabales</v>
      </c>
      <c r="M35" s="42" t="str">
        <f>'1. Information samples'!M23</f>
        <v>Tree</v>
      </c>
      <c r="N35" s="42" t="str">
        <f>'1. Information samples'!N23</f>
        <v>58,59, 69</v>
      </c>
      <c r="O35" s="20" t="str">
        <f>'1. Information samples'!O23</f>
        <v>OT-010 (2025)</v>
      </c>
      <c r="P35" s="18">
        <v>91.793282686925266</v>
      </c>
      <c r="Q35" s="341">
        <f t="shared" ref="Q35" si="167">AVERAGE(P35:P36)</f>
        <v>91.857449181894964</v>
      </c>
      <c r="R35" s="66">
        <v>7.0842344296951643</v>
      </c>
      <c r="S35" s="341">
        <f t="shared" ref="S35" si="168">AVERAGE(R35:R36)</f>
        <v>7.0631741984456244</v>
      </c>
      <c r="T35" s="66">
        <v>92.915765570304842</v>
      </c>
      <c r="U35" s="341">
        <f t="shared" ref="U35" si="169">AVERAGE(T35:T36)</f>
        <v>92.936825801554377</v>
      </c>
      <c r="V35" s="65"/>
    </row>
    <row r="36" spans="2:22" x14ac:dyDescent="0.35">
      <c r="B36" s="19">
        <f t="shared" si="1"/>
        <v>26</v>
      </c>
      <c r="C36" s="7">
        <f>C35</f>
        <v>46041</v>
      </c>
      <c r="D36" s="7" t="str">
        <f t="shared" ref="D36" si="170">D35</f>
        <v>Genbank</v>
      </c>
      <c r="E36" s="14">
        <f t="shared" ref="E36" si="171">E35</f>
        <v>27</v>
      </c>
      <c r="F36" s="7" t="str">
        <f t="shared" ref="F36" si="172">F35</f>
        <v>F251740</v>
      </c>
      <c r="G36" s="7" t="str">
        <f t="shared" ref="G36" si="173">G35</f>
        <v>CIAT-23422</v>
      </c>
      <c r="H36" s="7" t="str">
        <f t="shared" ref="H36" si="174">H35</f>
        <v>Dendrolobium</v>
      </c>
      <c r="I36" s="7" t="str">
        <f t="shared" ref="I36" si="175">I35</f>
        <v>triangulare</v>
      </c>
      <c r="J36" s="7" t="str">
        <f t="shared" ref="J36" si="176">J35</f>
        <v>Dendrolobium triangulare</v>
      </c>
      <c r="K36" s="7" t="str">
        <f t="shared" ref="K36" si="177">K35</f>
        <v>Fabaceae</v>
      </c>
      <c r="L36" s="7" t="str">
        <f t="shared" ref="L36" si="178">L35</f>
        <v>Fabales</v>
      </c>
      <c r="M36" s="7" t="str">
        <f t="shared" ref="M36" si="179">M35</f>
        <v>Tree</v>
      </c>
      <c r="N36" s="7" t="str">
        <f t="shared" ref="N36" si="180">N35</f>
        <v>58,59, 69</v>
      </c>
      <c r="O36" s="30" t="str">
        <f t="shared" ref="O36" si="181">O35</f>
        <v>OT-010 (2025)</v>
      </c>
      <c r="P36" s="18">
        <v>91.921615676864675</v>
      </c>
      <c r="Q36" s="341"/>
      <c r="R36" s="66">
        <v>7.0421139671960837</v>
      </c>
      <c r="S36" s="341"/>
      <c r="T36" s="66">
        <v>92.957886032803913</v>
      </c>
      <c r="U36" s="341"/>
      <c r="V36" s="65"/>
    </row>
    <row r="37" spans="2:22" x14ac:dyDescent="0.35">
      <c r="B37" s="19">
        <f t="shared" si="1"/>
        <v>27</v>
      </c>
      <c r="C37" s="42">
        <f>'1. Information samples'!C24</f>
        <v>46041</v>
      </c>
      <c r="D37" s="42" t="str">
        <f>'1. Information samples'!D24</f>
        <v>Genbank</v>
      </c>
      <c r="E37" s="59">
        <f>'1. Information samples'!E24</f>
        <v>27</v>
      </c>
      <c r="F37" s="42" t="str">
        <f>'1. Information samples'!F24</f>
        <v>F251741</v>
      </c>
      <c r="G37" s="42" t="str">
        <f>'1. Information samples'!G24</f>
        <v>CIAT-23734</v>
      </c>
      <c r="H37" s="42" t="str">
        <f>'1. Information samples'!H24</f>
        <v>Dendrolobium</v>
      </c>
      <c r="I37" s="42" t="str">
        <f>'1. Information samples'!I24</f>
        <v>triangulare</v>
      </c>
      <c r="J37" s="42" t="str">
        <f>'1. Information samples'!J24</f>
        <v>Dendrolobium triangulare</v>
      </c>
      <c r="K37" s="42" t="str">
        <f>'1. Information samples'!K24</f>
        <v>Fabaceae</v>
      </c>
      <c r="L37" s="42" t="str">
        <f>'1. Information samples'!L24</f>
        <v>Fabales</v>
      </c>
      <c r="M37" s="42" t="str">
        <f>'1. Information samples'!M24</f>
        <v>Tree</v>
      </c>
      <c r="N37" s="42" t="str">
        <f>'1. Information samples'!N24</f>
        <v>58,59, 69</v>
      </c>
      <c r="O37" s="20" t="str">
        <f>'1. Information samples'!O24</f>
        <v>OT-010 (2025)</v>
      </c>
      <c r="P37" s="18">
        <v>94.630536946305426</v>
      </c>
      <c r="Q37" s="341">
        <f t="shared" ref="Q37" si="182">AVERAGE(P37:P38)</f>
        <v>94.71104973877307</v>
      </c>
      <c r="R37" s="66">
        <v>7.8441291642143556</v>
      </c>
      <c r="S37" s="341">
        <f t="shared" ref="S37" si="183">AVERAGE(R37:R38)</f>
        <v>7.859177881858507</v>
      </c>
      <c r="T37" s="66">
        <v>92.155870835785649</v>
      </c>
      <c r="U37" s="341">
        <f t="shared" ref="U37" si="184">AVERAGE(T37:T38)</f>
        <v>92.1408221181415</v>
      </c>
      <c r="V37" s="65"/>
    </row>
    <row r="38" spans="2:22" x14ac:dyDescent="0.35">
      <c r="B38" s="19">
        <f t="shared" si="1"/>
        <v>28</v>
      </c>
      <c r="C38" s="7">
        <f>C37</f>
        <v>46041</v>
      </c>
      <c r="D38" s="7" t="str">
        <f t="shared" ref="D38" si="185">D37</f>
        <v>Genbank</v>
      </c>
      <c r="E38" s="14">
        <f t="shared" ref="E38" si="186">E37</f>
        <v>27</v>
      </c>
      <c r="F38" s="7" t="str">
        <f t="shared" ref="F38" si="187">F37</f>
        <v>F251741</v>
      </c>
      <c r="G38" s="7" t="str">
        <f t="shared" ref="G38" si="188">G37</f>
        <v>CIAT-23734</v>
      </c>
      <c r="H38" s="7" t="str">
        <f t="shared" ref="H38" si="189">H37</f>
        <v>Dendrolobium</v>
      </c>
      <c r="I38" s="7" t="str">
        <f t="shared" ref="I38" si="190">I37</f>
        <v>triangulare</v>
      </c>
      <c r="J38" s="7" t="str">
        <f t="shared" ref="J38" si="191">J37</f>
        <v>Dendrolobium triangulare</v>
      </c>
      <c r="K38" s="7" t="str">
        <f t="shared" ref="K38" si="192">K37</f>
        <v>Fabaceae</v>
      </c>
      <c r="L38" s="7" t="str">
        <f t="shared" ref="L38" si="193">L37</f>
        <v>Fabales</v>
      </c>
      <c r="M38" s="7" t="str">
        <f t="shared" ref="M38" si="194">M37</f>
        <v>Tree</v>
      </c>
      <c r="N38" s="7" t="str">
        <f t="shared" ref="N38" si="195">N37</f>
        <v>58,59, 69</v>
      </c>
      <c r="O38" s="30" t="str">
        <f t="shared" ref="O38" si="196">O37</f>
        <v>OT-010 (2025)</v>
      </c>
      <c r="P38" s="18">
        <v>94.791562531240714</v>
      </c>
      <c r="Q38" s="341"/>
      <c r="R38" s="66">
        <v>7.8742265995026592</v>
      </c>
      <c r="S38" s="341"/>
      <c r="T38" s="66">
        <v>92.125773400497337</v>
      </c>
      <c r="U38" s="341"/>
      <c r="V38" s="65"/>
    </row>
    <row r="39" spans="2:22" x14ac:dyDescent="0.35">
      <c r="B39" s="19">
        <f t="shared" si="1"/>
        <v>29</v>
      </c>
      <c r="C39" s="42">
        <f>'1. Information samples'!C25</f>
        <v>46041</v>
      </c>
      <c r="D39" s="42" t="str">
        <f>'1. Information samples'!D25</f>
        <v>Genbank</v>
      </c>
      <c r="E39" s="59">
        <f>'1. Information samples'!E25</f>
        <v>27</v>
      </c>
      <c r="F39" s="42" t="str">
        <f>'1. Information samples'!F25</f>
        <v>F251742</v>
      </c>
      <c r="G39" s="42" t="str">
        <f>'1. Information samples'!G25</f>
        <v>CIAT-23932</v>
      </c>
      <c r="H39" s="42" t="str">
        <f>'1. Information samples'!H25</f>
        <v>Dendrolobium</v>
      </c>
      <c r="I39" s="42" t="str">
        <f>'1. Information samples'!I25</f>
        <v>triangulare</v>
      </c>
      <c r="J39" s="42" t="str">
        <f>'1. Information samples'!J25</f>
        <v>Dendrolobium triangulare</v>
      </c>
      <c r="K39" s="42" t="str">
        <f>'1. Information samples'!K25</f>
        <v>Fabaceae</v>
      </c>
      <c r="L39" s="42" t="str">
        <f>'1. Information samples'!L25</f>
        <v>Fabales</v>
      </c>
      <c r="M39" s="42" t="str">
        <f>'1. Information samples'!M25</f>
        <v>Tree</v>
      </c>
      <c r="N39" s="42" t="str">
        <f>'1. Information samples'!N25</f>
        <v>58,59, 69</v>
      </c>
      <c r="O39" s="20" t="str">
        <f>'1. Information samples'!O25</f>
        <v>OT-010 (2025)</v>
      </c>
      <c r="P39" s="18">
        <v>95.121951219512113</v>
      </c>
      <c r="Q39" s="341">
        <f t="shared" ref="Q39" si="197">AVERAGE(P39:P40)</f>
        <v>95.121951219512113</v>
      </c>
      <c r="R39" s="66">
        <v>7.2929802437999109</v>
      </c>
      <c r="S39" s="341">
        <f t="shared" ref="S39" si="198">AVERAGE(R39:R40)</f>
        <v>7.2929802437999109</v>
      </c>
      <c r="T39" s="66">
        <v>92.707019756200083</v>
      </c>
      <c r="U39" s="341">
        <f t="shared" ref="U39" si="199">AVERAGE(T39:T40)</f>
        <v>92.707019756200083</v>
      </c>
      <c r="V39" s="65"/>
    </row>
    <row r="40" spans="2:22" x14ac:dyDescent="0.35">
      <c r="B40" s="19">
        <f t="shared" si="1"/>
        <v>30</v>
      </c>
      <c r="C40" s="7">
        <f>C39</f>
        <v>46041</v>
      </c>
      <c r="D40" s="7" t="str">
        <f t="shared" ref="D40" si="200">D39</f>
        <v>Genbank</v>
      </c>
      <c r="E40" s="14">
        <f t="shared" ref="E40" si="201">E39</f>
        <v>27</v>
      </c>
      <c r="F40" s="7" t="str">
        <f t="shared" ref="F40" si="202">F39</f>
        <v>F251742</v>
      </c>
      <c r="G40" s="7" t="str">
        <f t="shared" ref="G40" si="203">G39</f>
        <v>CIAT-23932</v>
      </c>
      <c r="H40" s="7" t="str">
        <f t="shared" ref="H40" si="204">H39</f>
        <v>Dendrolobium</v>
      </c>
      <c r="I40" s="7" t="str">
        <f t="shared" ref="I40" si="205">I39</f>
        <v>triangulare</v>
      </c>
      <c r="J40" s="7" t="str">
        <f t="shared" ref="J40" si="206">J39</f>
        <v>Dendrolobium triangulare</v>
      </c>
      <c r="K40" s="7" t="str">
        <f t="shared" ref="K40" si="207">K39</f>
        <v>Fabaceae</v>
      </c>
      <c r="L40" s="7" t="str">
        <f t="shared" ref="L40" si="208">L39</f>
        <v>Fabales</v>
      </c>
      <c r="M40" s="7" t="str">
        <f t="shared" ref="M40" si="209">M39</f>
        <v>Tree</v>
      </c>
      <c r="N40" s="7" t="str">
        <f t="shared" ref="N40" si="210">N39</f>
        <v>58,59, 69</v>
      </c>
      <c r="O40" s="30" t="str">
        <f t="shared" ref="O40" si="211">O39</f>
        <v>OT-010 (2025)</v>
      </c>
      <c r="P40" s="18">
        <v>95.121951219512113</v>
      </c>
      <c r="Q40" s="341"/>
      <c r="R40" s="66">
        <v>7.2929802437999109</v>
      </c>
      <c r="S40" s="341"/>
      <c r="T40" s="66">
        <v>92.707019756200083</v>
      </c>
      <c r="U40" s="341"/>
      <c r="V40" s="65"/>
    </row>
    <row r="41" spans="2:22" x14ac:dyDescent="0.35">
      <c r="B41" s="19">
        <f t="shared" si="1"/>
        <v>31</v>
      </c>
      <c r="C41" s="42">
        <f>'1. Information samples'!C26</f>
        <v>46041</v>
      </c>
      <c r="D41" s="42" t="str">
        <f>'1. Information samples'!D26</f>
        <v>Genbank</v>
      </c>
      <c r="E41" s="59">
        <f>'1. Information samples'!E26</f>
        <v>27</v>
      </c>
      <c r="F41" s="42" t="str">
        <f>'1. Information samples'!F26</f>
        <v>F251743</v>
      </c>
      <c r="G41" s="42" t="str">
        <f>'1. Information samples'!G26</f>
        <v>CIAT-23933</v>
      </c>
      <c r="H41" s="42" t="str">
        <f>'1. Information samples'!H26</f>
        <v>Dendrolobium</v>
      </c>
      <c r="I41" s="42" t="str">
        <f>'1. Information samples'!I26</f>
        <v>triangulare</v>
      </c>
      <c r="J41" s="42" t="str">
        <f>'1. Information samples'!J26</f>
        <v>Dendrolobium triangulare</v>
      </c>
      <c r="K41" s="42" t="str">
        <f>'1. Information samples'!K26</f>
        <v>Fabaceae</v>
      </c>
      <c r="L41" s="42" t="str">
        <f>'1. Information samples'!L26</f>
        <v>Fabales</v>
      </c>
      <c r="M41" s="42" t="str">
        <f>'1. Information samples'!M26</f>
        <v>Tree</v>
      </c>
      <c r="N41" s="42" t="str">
        <f>'1. Information samples'!N26</f>
        <v>58,59, 69</v>
      </c>
      <c r="O41" s="20" t="str">
        <f>'1. Information samples'!O26</f>
        <v>OT-010 (2025)</v>
      </c>
      <c r="P41" s="18">
        <v>93.640635936406412</v>
      </c>
      <c r="Q41" s="341">
        <f t="shared" ref="Q41" si="212">AVERAGE(P41:P42)</f>
        <v>93.721247689286884</v>
      </c>
      <c r="R41" s="66">
        <v>7.3295151719138971</v>
      </c>
      <c r="S41" s="341">
        <f t="shared" ref="S41" si="213">AVERAGE(R41:R42)</f>
        <v>7.3714493963065175</v>
      </c>
      <c r="T41" s="66">
        <v>92.670484828086103</v>
      </c>
      <c r="U41" s="341">
        <f t="shared" ref="U41" si="214">AVERAGE(T41:T42)</f>
        <v>92.628550603693483</v>
      </c>
      <c r="V41" s="65"/>
    </row>
    <row r="42" spans="2:22" x14ac:dyDescent="0.35">
      <c r="B42" s="19">
        <f t="shared" si="1"/>
        <v>32</v>
      </c>
      <c r="C42" s="7">
        <f>C41</f>
        <v>46041</v>
      </c>
      <c r="D42" s="7" t="str">
        <f t="shared" ref="D42" si="215">D41</f>
        <v>Genbank</v>
      </c>
      <c r="E42" s="14">
        <f t="shared" ref="E42" si="216">E41</f>
        <v>27</v>
      </c>
      <c r="F42" s="7" t="str">
        <f t="shared" ref="F42" si="217">F41</f>
        <v>F251743</v>
      </c>
      <c r="G42" s="7" t="str">
        <f t="shared" ref="G42" si="218">G41</f>
        <v>CIAT-23933</v>
      </c>
      <c r="H42" s="7" t="str">
        <f t="shared" ref="H42" si="219">H41</f>
        <v>Dendrolobium</v>
      </c>
      <c r="I42" s="7" t="str">
        <f t="shared" ref="I42" si="220">I41</f>
        <v>triangulare</v>
      </c>
      <c r="J42" s="7" t="str">
        <f t="shared" ref="J42" si="221">J41</f>
        <v>Dendrolobium triangulare</v>
      </c>
      <c r="K42" s="7" t="str">
        <f t="shared" ref="K42" si="222">K41</f>
        <v>Fabaceae</v>
      </c>
      <c r="L42" s="7" t="str">
        <f t="shared" ref="L42" si="223">L41</f>
        <v>Fabales</v>
      </c>
      <c r="M42" s="7" t="str">
        <f t="shared" ref="M42" si="224">M41</f>
        <v>Tree</v>
      </c>
      <c r="N42" s="7" t="str">
        <f t="shared" ref="N42" si="225">N41</f>
        <v>58,59, 69</v>
      </c>
      <c r="O42" s="30" t="str">
        <f t="shared" ref="O42" si="226">O41</f>
        <v>OT-010 (2025)</v>
      </c>
      <c r="P42" s="18">
        <v>93.801859442167341</v>
      </c>
      <c r="Q42" s="341"/>
      <c r="R42" s="66">
        <v>7.4133836206991379</v>
      </c>
      <c r="S42" s="341"/>
      <c r="T42" s="66">
        <v>92.586616379300864</v>
      </c>
      <c r="U42" s="341"/>
      <c r="V42" s="65"/>
    </row>
    <row r="43" spans="2:22" x14ac:dyDescent="0.35">
      <c r="B43" s="19">
        <f t="shared" si="1"/>
        <v>33</v>
      </c>
      <c r="C43" s="42">
        <f>'1. Information samples'!C27</f>
        <v>46041</v>
      </c>
      <c r="D43" s="42" t="str">
        <f>'1. Information samples'!D27</f>
        <v>Genbank</v>
      </c>
      <c r="E43" s="59">
        <f>'1. Information samples'!E27</f>
        <v>27</v>
      </c>
      <c r="F43" s="42" t="str">
        <f>'1. Information samples'!F27</f>
        <v>F251744</v>
      </c>
      <c r="G43" s="42" t="str">
        <f>'1. Information samples'!G27</f>
        <v>CIAT-23934</v>
      </c>
      <c r="H43" s="42" t="str">
        <f>'1. Information samples'!H27</f>
        <v>Dendrolobium</v>
      </c>
      <c r="I43" s="42" t="str">
        <f>'1. Information samples'!I27</f>
        <v>triangulare</v>
      </c>
      <c r="J43" s="42" t="str">
        <f>'1. Information samples'!J27</f>
        <v>Dendrolobium triangulare</v>
      </c>
      <c r="K43" s="42" t="str">
        <f>'1. Information samples'!K27</f>
        <v>Fabaceae</v>
      </c>
      <c r="L43" s="42" t="str">
        <f>'1. Information samples'!L27</f>
        <v>Fabales</v>
      </c>
      <c r="M43" s="42" t="str">
        <f>'1. Information samples'!M27</f>
        <v>Tree</v>
      </c>
      <c r="N43" s="42" t="str">
        <f>'1. Information samples'!N27</f>
        <v>58,59, 69</v>
      </c>
      <c r="O43" s="20" t="str">
        <f>'1. Information samples'!O27</f>
        <v>OT-010 (2025)</v>
      </c>
      <c r="P43" s="18">
        <v>94.133519888067212</v>
      </c>
      <c r="Q43" s="341">
        <f t="shared" ref="Q43" si="227">AVERAGE(P43:P44)</f>
        <v>94.171759944033596</v>
      </c>
      <c r="R43" s="66">
        <v>8.1610333833703574</v>
      </c>
      <c r="S43" s="341">
        <f t="shared" ref="S43" si="228">AVERAGE(R43:R44)</f>
        <v>8.1953383774038073</v>
      </c>
      <c r="T43" s="66">
        <v>91.838966616629648</v>
      </c>
      <c r="U43" s="341">
        <f t="shared" ref="U43" si="229">AVERAGE(T43:T44)</f>
        <v>91.8046616225962</v>
      </c>
      <c r="V43" s="65"/>
    </row>
    <row r="44" spans="2:22" x14ac:dyDescent="0.35">
      <c r="B44" s="19">
        <f t="shared" si="1"/>
        <v>34</v>
      </c>
      <c r="C44" s="7">
        <f>C43</f>
        <v>46041</v>
      </c>
      <c r="D44" s="7" t="str">
        <f t="shared" ref="D44" si="230">D43</f>
        <v>Genbank</v>
      </c>
      <c r="E44" s="14">
        <f t="shared" ref="E44" si="231">E43</f>
        <v>27</v>
      </c>
      <c r="F44" s="7" t="str">
        <f t="shared" ref="F44" si="232">F43</f>
        <v>F251744</v>
      </c>
      <c r="G44" s="7" t="str">
        <f t="shared" ref="G44" si="233">G43</f>
        <v>CIAT-23934</v>
      </c>
      <c r="H44" s="7" t="str">
        <f t="shared" ref="H44" si="234">H43</f>
        <v>Dendrolobium</v>
      </c>
      <c r="I44" s="7" t="str">
        <f t="shared" ref="I44" si="235">I43</f>
        <v>triangulare</v>
      </c>
      <c r="J44" s="7" t="str">
        <f t="shared" ref="J44" si="236">J43</f>
        <v>Dendrolobium triangulare</v>
      </c>
      <c r="K44" s="7" t="str">
        <f t="shared" ref="K44" si="237">K43</f>
        <v>Fabaceae</v>
      </c>
      <c r="L44" s="7" t="str">
        <f t="shared" ref="L44" si="238">L43</f>
        <v>Fabales</v>
      </c>
      <c r="M44" s="7" t="str">
        <f t="shared" ref="M44" si="239">M43</f>
        <v>Tree</v>
      </c>
      <c r="N44" s="7" t="str">
        <f t="shared" ref="N44" si="240">N43</f>
        <v>58,59, 69</v>
      </c>
      <c r="O44" s="30" t="str">
        <f t="shared" ref="O44" si="241">O43</f>
        <v>OT-010 (2025)</v>
      </c>
      <c r="P44" s="18">
        <v>94.21</v>
      </c>
      <c r="Q44" s="341"/>
      <c r="R44" s="66">
        <v>8.2296433714372572</v>
      </c>
      <c r="S44" s="341"/>
      <c r="T44" s="66">
        <v>91.770356628562737</v>
      </c>
      <c r="U44" s="341"/>
      <c r="V44" s="65"/>
    </row>
    <row r="45" spans="2:22" x14ac:dyDescent="0.35">
      <c r="B45" s="19">
        <f t="shared" si="1"/>
        <v>35</v>
      </c>
      <c r="C45" s="42">
        <f>'1. Information samples'!C28</f>
        <v>46041</v>
      </c>
      <c r="D45" s="42" t="str">
        <f>'1. Information samples'!D28</f>
        <v>Genbank</v>
      </c>
      <c r="E45" s="59">
        <f>'1. Information samples'!E28</f>
        <v>27</v>
      </c>
      <c r="F45" s="42" t="str">
        <f>'1. Information samples'!F28</f>
        <v>F251745</v>
      </c>
      <c r="G45" s="42" t="str">
        <f>'1. Information samples'!G28</f>
        <v>CIAT-23936</v>
      </c>
      <c r="H45" s="42" t="str">
        <f>'1. Information samples'!H28</f>
        <v>Dendrolobium</v>
      </c>
      <c r="I45" s="42" t="str">
        <f>'1. Information samples'!I28</f>
        <v>triangulare</v>
      </c>
      <c r="J45" s="42" t="str">
        <f>'1. Information samples'!J28</f>
        <v>Dendrolobium triangulare</v>
      </c>
      <c r="K45" s="42" t="str">
        <f>'1. Information samples'!K28</f>
        <v>Fabaceae</v>
      </c>
      <c r="L45" s="42" t="str">
        <f>'1. Information samples'!L28</f>
        <v>Fabales</v>
      </c>
      <c r="M45" s="42" t="str">
        <f>'1. Information samples'!M28</f>
        <v>Tree</v>
      </c>
      <c r="N45" s="42" t="str">
        <f>'1. Information samples'!N28</f>
        <v>58,59, 69</v>
      </c>
      <c r="O45" s="20" t="str">
        <f>'1. Information samples'!O28</f>
        <v>OT-010 (2025)</v>
      </c>
      <c r="P45" s="18">
        <v>94.06356186288221</v>
      </c>
      <c r="Q45" s="341">
        <f t="shared" ref="Q45" si="242">AVERAGE(P45:P46)</f>
        <v>94.05856486108334</v>
      </c>
      <c r="R45" s="66">
        <v>7.7458428518301812</v>
      </c>
      <c r="S45" s="341">
        <f t="shared" ref="S45" si="243">AVERAGE(R45:R46)</f>
        <v>7.7989693460128482</v>
      </c>
      <c r="T45" s="66">
        <v>92.254157148169824</v>
      </c>
      <c r="U45" s="341">
        <f t="shared" ref="U45" si="244">AVERAGE(T45:T46)</f>
        <v>92.201030653987146</v>
      </c>
      <c r="V45" s="65"/>
    </row>
    <row r="46" spans="2:22" x14ac:dyDescent="0.35">
      <c r="B46" s="19">
        <f t="shared" si="1"/>
        <v>36</v>
      </c>
      <c r="C46" s="7">
        <f>C45</f>
        <v>46041</v>
      </c>
      <c r="D46" s="7" t="str">
        <f t="shared" ref="D46" si="245">D45</f>
        <v>Genbank</v>
      </c>
      <c r="E46" s="14">
        <f t="shared" ref="E46" si="246">E45</f>
        <v>27</v>
      </c>
      <c r="F46" s="7" t="str">
        <f t="shared" ref="F46" si="247">F45</f>
        <v>F251745</v>
      </c>
      <c r="G46" s="7" t="str">
        <f t="shared" ref="G46" si="248">G45</f>
        <v>CIAT-23936</v>
      </c>
      <c r="H46" s="7" t="str">
        <f t="shared" ref="H46" si="249">H45</f>
        <v>Dendrolobium</v>
      </c>
      <c r="I46" s="7" t="str">
        <f t="shared" ref="I46" si="250">I45</f>
        <v>triangulare</v>
      </c>
      <c r="J46" s="7" t="str">
        <f t="shared" ref="J46" si="251">J45</f>
        <v>Dendrolobium triangulare</v>
      </c>
      <c r="K46" s="7" t="str">
        <f t="shared" ref="K46" si="252">K45</f>
        <v>Fabaceae</v>
      </c>
      <c r="L46" s="7" t="str">
        <f t="shared" ref="L46" si="253">L45</f>
        <v>Fabales</v>
      </c>
      <c r="M46" s="7" t="str">
        <f t="shared" ref="M46" si="254">M45</f>
        <v>Tree</v>
      </c>
      <c r="N46" s="7" t="str">
        <f t="shared" ref="N46" si="255">N45</f>
        <v>58,59, 69</v>
      </c>
      <c r="O46" s="30" t="str">
        <f t="shared" ref="O46" si="256">O45</f>
        <v>OT-010 (2025)</v>
      </c>
      <c r="P46" s="18">
        <v>94.053567859284485</v>
      </c>
      <c r="Q46" s="341"/>
      <c r="R46" s="66">
        <v>7.8520958401955152</v>
      </c>
      <c r="S46" s="341"/>
      <c r="T46" s="66">
        <v>92.147904159804483</v>
      </c>
      <c r="U46" s="341"/>
      <c r="V46" s="65"/>
    </row>
    <row r="47" spans="2:22" x14ac:dyDescent="0.35">
      <c r="B47" s="19">
        <f t="shared" si="1"/>
        <v>37</v>
      </c>
      <c r="C47" s="42">
        <f>'1. Information samples'!C29</f>
        <v>46041</v>
      </c>
      <c r="D47" s="42" t="str">
        <f>'1. Information samples'!D29</f>
        <v>Genbank</v>
      </c>
      <c r="E47" s="59">
        <f>'1. Information samples'!E29</f>
        <v>27</v>
      </c>
      <c r="F47" s="42" t="str">
        <f>'1. Information samples'!F29</f>
        <v>F251746</v>
      </c>
      <c r="G47" s="42" t="str">
        <f>'1. Information samples'!G29</f>
        <v>CIAT-33119</v>
      </c>
      <c r="H47" s="42" t="str">
        <f>'1. Information samples'!H29</f>
        <v>Dendrolobium</v>
      </c>
      <c r="I47" s="42" t="str">
        <f>'1. Information samples'!I29</f>
        <v>triangulare</v>
      </c>
      <c r="J47" s="42" t="str">
        <f>'1. Information samples'!J29</f>
        <v>Dendrolobium triangulare</v>
      </c>
      <c r="K47" s="42" t="str">
        <f>'1. Information samples'!K29</f>
        <v>Fabaceae</v>
      </c>
      <c r="L47" s="42" t="str">
        <f>'1. Information samples'!L29</f>
        <v>Fabales</v>
      </c>
      <c r="M47" s="42" t="str">
        <f>'1. Information samples'!M29</f>
        <v>Tree</v>
      </c>
      <c r="N47" s="42" t="str">
        <f>'1. Information samples'!N29</f>
        <v>58,59, 69</v>
      </c>
      <c r="O47" s="20" t="str">
        <f>'1. Information samples'!O29</f>
        <v>OT-010 (2025)</v>
      </c>
      <c r="P47" s="18">
        <v>95.211436569029189</v>
      </c>
      <c r="Q47" s="341">
        <f t="shared" ref="Q47" si="257">AVERAGE(P47:P48)</f>
        <v>95.287109449815432</v>
      </c>
      <c r="R47" s="66">
        <v>7.4279476813562075</v>
      </c>
      <c r="S47" s="341">
        <f t="shared" ref="S47" si="258">AVERAGE(R47:R48)</f>
        <v>7.3953692393808703</v>
      </c>
      <c r="T47" s="66">
        <v>92.572052318643799</v>
      </c>
      <c r="U47" s="341">
        <f t="shared" ref="U47" si="259">AVERAGE(T47:T48)</f>
        <v>92.604630760619131</v>
      </c>
      <c r="V47" s="65"/>
    </row>
    <row r="48" spans="2:22" x14ac:dyDescent="0.35">
      <c r="B48" s="19">
        <f t="shared" si="1"/>
        <v>38</v>
      </c>
      <c r="C48" s="7">
        <f>C47</f>
        <v>46041</v>
      </c>
      <c r="D48" s="7" t="str">
        <f t="shared" ref="D48" si="260">D47</f>
        <v>Genbank</v>
      </c>
      <c r="E48" s="14">
        <f t="shared" ref="E48" si="261">E47</f>
        <v>27</v>
      </c>
      <c r="F48" s="7" t="str">
        <f t="shared" ref="F48" si="262">F47</f>
        <v>F251746</v>
      </c>
      <c r="G48" s="7" t="str">
        <f t="shared" ref="G48" si="263">G47</f>
        <v>CIAT-33119</v>
      </c>
      <c r="H48" s="7" t="str">
        <f t="shared" ref="H48" si="264">H47</f>
        <v>Dendrolobium</v>
      </c>
      <c r="I48" s="7" t="str">
        <f t="shared" ref="I48" si="265">I47</f>
        <v>triangulare</v>
      </c>
      <c r="J48" s="7" t="str">
        <f t="shared" ref="J48" si="266">J47</f>
        <v>Dendrolobium triangulare</v>
      </c>
      <c r="K48" s="7" t="str">
        <f t="shared" ref="K48" si="267">K47</f>
        <v>Fabaceae</v>
      </c>
      <c r="L48" s="7" t="str">
        <f t="shared" ref="L48" si="268">L47</f>
        <v>Fabales</v>
      </c>
      <c r="M48" s="7" t="str">
        <f t="shared" ref="M48" si="269">M47</f>
        <v>Tree</v>
      </c>
      <c r="N48" s="7" t="str">
        <f t="shared" ref="N48" si="270">N47</f>
        <v>58,59, 69</v>
      </c>
      <c r="O48" s="30" t="str">
        <f t="shared" ref="O48" si="271">O47</f>
        <v>OT-010 (2025)</v>
      </c>
      <c r="P48" s="18">
        <v>95.362782330601661</v>
      </c>
      <c r="Q48" s="341"/>
      <c r="R48" s="66">
        <v>7.3627907974055331</v>
      </c>
      <c r="S48" s="341"/>
      <c r="T48" s="66">
        <v>92.637209202594462</v>
      </c>
      <c r="U48" s="341"/>
      <c r="V48" s="65"/>
    </row>
    <row r="49" spans="2:22" x14ac:dyDescent="0.35">
      <c r="B49" s="19">
        <f t="shared" si="1"/>
        <v>39</v>
      </c>
      <c r="C49" s="42">
        <f>'1. Information samples'!C30</f>
        <v>46041</v>
      </c>
      <c r="D49" s="42" t="str">
        <f>'1. Information samples'!D30</f>
        <v>Genbank</v>
      </c>
      <c r="E49" s="59">
        <f>'1. Information samples'!E30</f>
        <v>27</v>
      </c>
      <c r="F49" s="42" t="str">
        <f>'1. Information samples'!F30</f>
        <v>F251747</v>
      </c>
      <c r="G49" s="42" t="str">
        <f>'1. Information samples'!G30</f>
        <v>CIAT-33383</v>
      </c>
      <c r="H49" s="42" t="str">
        <f>'1. Information samples'!H30</f>
        <v>Dendrolobium</v>
      </c>
      <c r="I49" s="42" t="str">
        <f>'1. Information samples'!I30</f>
        <v>sp.</v>
      </c>
      <c r="J49" s="42" t="str">
        <f>'1. Information samples'!J30</f>
        <v>Dendrolobium sp.</v>
      </c>
      <c r="K49" s="42" t="str">
        <f>'1. Information samples'!K30</f>
        <v>Fabaceae</v>
      </c>
      <c r="L49" s="42" t="str">
        <f>'1. Information samples'!L30</f>
        <v>Fabales</v>
      </c>
      <c r="M49" s="42" t="str">
        <f>'1. Information samples'!M30</f>
        <v>Tree</v>
      </c>
      <c r="N49" s="42" t="str">
        <f>'1. Information samples'!N30</f>
        <v>58,59, 69</v>
      </c>
      <c r="O49" s="20" t="str">
        <f>'1. Information samples'!O30</f>
        <v>OT-010 (2025)</v>
      </c>
      <c r="P49" s="18">
        <v>94.550000000000097</v>
      </c>
      <c r="Q49" s="341">
        <f t="shared" ref="Q49" si="272">AVERAGE(P49:P50)</f>
        <v>94.671562062762405</v>
      </c>
      <c r="R49" s="66">
        <v>9.5699276557766169</v>
      </c>
      <c r="S49" s="341">
        <f t="shared" ref="S49" si="273">AVERAGE(R49:R50)</f>
        <v>9.8045796525676145</v>
      </c>
      <c r="T49" s="66">
        <v>90.43007234422339</v>
      </c>
      <c r="U49" s="341">
        <f t="shared" ref="U49" si="274">AVERAGE(T49:T50)</f>
        <v>90.195420347432389</v>
      </c>
      <c r="V49" s="65"/>
    </row>
    <row r="50" spans="2:22" x14ac:dyDescent="0.35">
      <c r="B50" s="19">
        <f t="shared" si="1"/>
        <v>40</v>
      </c>
      <c r="C50" s="7">
        <f>C49</f>
        <v>46041</v>
      </c>
      <c r="D50" s="7" t="str">
        <f t="shared" ref="D50" si="275">D49</f>
        <v>Genbank</v>
      </c>
      <c r="E50" s="14">
        <f t="shared" ref="E50" si="276">E49</f>
        <v>27</v>
      </c>
      <c r="F50" s="7" t="str">
        <f t="shared" ref="F50" si="277">F49</f>
        <v>F251747</v>
      </c>
      <c r="G50" s="7" t="str">
        <f t="shared" ref="G50" si="278">G49</f>
        <v>CIAT-33383</v>
      </c>
      <c r="H50" s="7" t="str">
        <f t="shared" ref="H50" si="279">H49</f>
        <v>Dendrolobium</v>
      </c>
      <c r="I50" s="7" t="str">
        <f t="shared" ref="I50" si="280">I49</f>
        <v>sp.</v>
      </c>
      <c r="J50" s="7" t="str">
        <f t="shared" ref="J50" si="281">J49</f>
        <v>Dendrolobium sp.</v>
      </c>
      <c r="K50" s="7" t="str">
        <f t="shared" ref="K50" si="282">K49</f>
        <v>Fabaceae</v>
      </c>
      <c r="L50" s="7" t="str">
        <f t="shared" ref="L50" si="283">L49</f>
        <v>Fabales</v>
      </c>
      <c r="M50" s="7" t="str">
        <f t="shared" ref="M50" si="284">M49</f>
        <v>Tree</v>
      </c>
      <c r="N50" s="7" t="str">
        <f t="shared" ref="N50" si="285">N49</f>
        <v>58,59, 69</v>
      </c>
      <c r="O50" s="30" t="str">
        <f t="shared" ref="O50" si="286">O49</f>
        <v>OT-010 (2025)</v>
      </c>
      <c r="P50" s="18">
        <v>94.793124125524713</v>
      </c>
      <c r="Q50" s="341"/>
      <c r="R50" s="66">
        <v>10.039231649358612</v>
      </c>
      <c r="S50" s="341"/>
      <c r="T50" s="66">
        <v>89.960768350641388</v>
      </c>
      <c r="U50" s="341"/>
      <c r="V50" s="65"/>
    </row>
    <row r="51" spans="2:22" x14ac:dyDescent="0.35">
      <c r="B51" s="19">
        <f t="shared" si="1"/>
        <v>41</v>
      </c>
      <c r="C51" s="42">
        <f>'1. Information samples'!C31</f>
        <v>46041</v>
      </c>
      <c r="D51" s="42" t="str">
        <f>'1. Information samples'!D31</f>
        <v>Genbank</v>
      </c>
      <c r="E51" s="59">
        <f>'1. Information samples'!E31</f>
        <v>27</v>
      </c>
      <c r="F51" s="42" t="str">
        <f>'1. Information samples'!F31</f>
        <v>F251748</v>
      </c>
      <c r="G51" s="42" t="str">
        <f>'1. Information samples'!G31</f>
        <v>CIAT-33402</v>
      </c>
      <c r="H51" s="42" t="str">
        <f>'1. Information samples'!H31</f>
        <v>Dendrolobium</v>
      </c>
      <c r="I51" s="42" t="str">
        <f>'1. Information samples'!I31</f>
        <v>triangulare</v>
      </c>
      <c r="J51" s="42" t="str">
        <f>'1. Information samples'!J31</f>
        <v>Dendrolobium triangulare</v>
      </c>
      <c r="K51" s="42" t="str">
        <f>'1. Information samples'!K31</f>
        <v>Fabaceae</v>
      </c>
      <c r="L51" s="42" t="str">
        <f>'1. Information samples'!L31</f>
        <v>Fabales</v>
      </c>
      <c r="M51" s="42" t="str">
        <f>'1. Information samples'!M31</f>
        <v>Tree</v>
      </c>
      <c r="N51" s="42" t="str">
        <f>'1. Information samples'!N31</f>
        <v>58,59, 69</v>
      </c>
      <c r="O51" s="20" t="str">
        <f>'1. Information samples'!O31</f>
        <v>OT-010 (2025)</v>
      </c>
      <c r="P51" s="18">
        <v>94.583250049969905</v>
      </c>
      <c r="Q51" s="341">
        <f t="shared" ref="Q51" si="287">AVERAGE(P51:P52)</f>
        <v>94.631890998387576</v>
      </c>
      <c r="R51" s="66">
        <v>6.9068453393787008</v>
      </c>
      <c r="S51" s="341">
        <f t="shared" ref="S51" si="288">AVERAGE(R51:R52)</f>
        <v>6.9085718780597709</v>
      </c>
      <c r="T51" s="66">
        <v>93.093154660621295</v>
      </c>
      <c r="U51" s="341">
        <f t="shared" ref="U51" si="289">AVERAGE(T51:T52)</f>
        <v>93.091428121940226</v>
      </c>
      <c r="V51" s="65"/>
    </row>
    <row r="52" spans="2:22" x14ac:dyDescent="0.35">
      <c r="B52" s="19">
        <f t="shared" si="1"/>
        <v>42</v>
      </c>
      <c r="C52" s="7">
        <f>C51</f>
        <v>46041</v>
      </c>
      <c r="D52" s="7" t="str">
        <f t="shared" ref="D52" si="290">D51</f>
        <v>Genbank</v>
      </c>
      <c r="E52" s="14">
        <f t="shared" ref="E52" si="291">E51</f>
        <v>27</v>
      </c>
      <c r="F52" s="7" t="str">
        <f t="shared" ref="F52" si="292">F51</f>
        <v>F251748</v>
      </c>
      <c r="G52" s="7" t="str">
        <f t="shared" ref="G52" si="293">G51</f>
        <v>CIAT-33402</v>
      </c>
      <c r="H52" s="7" t="str">
        <f t="shared" ref="H52" si="294">H51</f>
        <v>Dendrolobium</v>
      </c>
      <c r="I52" s="7" t="str">
        <f t="shared" ref="I52" si="295">I51</f>
        <v>triangulare</v>
      </c>
      <c r="J52" s="7" t="str">
        <f t="shared" ref="J52" si="296">J51</f>
        <v>Dendrolobium triangulare</v>
      </c>
      <c r="K52" s="7" t="str">
        <f t="shared" ref="K52" si="297">K51</f>
        <v>Fabaceae</v>
      </c>
      <c r="L52" s="7" t="str">
        <f t="shared" ref="L52" si="298">L51</f>
        <v>Fabales</v>
      </c>
      <c r="M52" s="7" t="str">
        <f t="shared" ref="M52" si="299">M51</f>
        <v>Tree</v>
      </c>
      <c r="N52" s="7" t="str">
        <f t="shared" ref="N52" si="300">N51</f>
        <v>58,59, 69</v>
      </c>
      <c r="O52" s="30" t="str">
        <f t="shared" ref="O52" si="301">O51</f>
        <v>OT-010 (2025)</v>
      </c>
      <c r="P52" s="18">
        <v>94.68053194680526</v>
      </c>
      <c r="Q52" s="341"/>
      <c r="R52" s="66">
        <v>6.910298416740841</v>
      </c>
      <c r="S52" s="341"/>
      <c r="T52" s="66">
        <v>93.089701583259156</v>
      </c>
      <c r="U52" s="341"/>
      <c r="V52" s="65"/>
    </row>
    <row r="53" spans="2:22" x14ac:dyDescent="0.35">
      <c r="B53" s="19">
        <f t="shared" si="1"/>
        <v>43</v>
      </c>
      <c r="C53" s="42">
        <f>'1. Information samples'!C32</f>
        <v>46041</v>
      </c>
      <c r="D53" s="42" t="str">
        <f>'1. Information samples'!D32</f>
        <v>Genbank</v>
      </c>
      <c r="E53" s="59">
        <f>'1. Information samples'!E32</f>
        <v>27</v>
      </c>
      <c r="F53" s="42" t="str">
        <f>'1. Information samples'!F32</f>
        <v>F251749</v>
      </c>
      <c r="G53" s="42" t="str">
        <f>'1. Information samples'!G32</f>
        <v>CIAT-33508</v>
      </c>
      <c r="H53" s="42" t="str">
        <f>'1. Information samples'!H32</f>
        <v>Dendrolobium</v>
      </c>
      <c r="I53" s="42" t="str">
        <f>'1. Information samples'!I32</f>
        <v>umbellatum</v>
      </c>
      <c r="J53" s="42" t="str">
        <f>'1. Information samples'!J32</f>
        <v>Dendrolobium umbellatum</v>
      </c>
      <c r="K53" s="42" t="str">
        <f>'1. Information samples'!K32</f>
        <v>Fabaceae</v>
      </c>
      <c r="L53" s="42" t="str">
        <f>'1. Information samples'!L32</f>
        <v>Fabales</v>
      </c>
      <c r="M53" s="42" t="str">
        <f>'1. Information samples'!M32</f>
        <v>Tree</v>
      </c>
      <c r="N53" s="42" t="str">
        <f>'1. Information samples'!N32</f>
        <v>58,59, 69</v>
      </c>
      <c r="O53" s="20" t="str">
        <f>'1. Information samples'!O32</f>
        <v>OT-010 (2025)</v>
      </c>
      <c r="P53" s="18">
        <v>93.71062893710635</v>
      </c>
      <c r="Q53" s="341">
        <f t="shared" ref="Q53" si="302">AVERAGE(P53:P54)</f>
        <v>93.746247188737129</v>
      </c>
      <c r="R53" s="66">
        <v>8.6608139788740477</v>
      </c>
      <c r="S53" s="341">
        <f t="shared" ref="S53" si="303">AVERAGE(R53:R54)</f>
        <v>8.6652801044736112</v>
      </c>
      <c r="T53" s="66">
        <v>91.339186021125954</v>
      </c>
      <c r="U53" s="341">
        <f t="shared" ref="U53" si="304">AVERAGE(T53:T54)</f>
        <v>91.334719895526391</v>
      </c>
      <c r="V53" s="65"/>
    </row>
    <row r="54" spans="2:22" x14ac:dyDescent="0.35">
      <c r="B54" s="19">
        <f t="shared" si="1"/>
        <v>44</v>
      </c>
      <c r="C54" s="7">
        <f>C53</f>
        <v>46041</v>
      </c>
      <c r="D54" s="7" t="str">
        <f t="shared" ref="D54" si="305">D53</f>
        <v>Genbank</v>
      </c>
      <c r="E54" s="14">
        <f t="shared" ref="E54" si="306">E53</f>
        <v>27</v>
      </c>
      <c r="F54" s="7" t="str">
        <f t="shared" ref="F54" si="307">F53</f>
        <v>F251749</v>
      </c>
      <c r="G54" s="7" t="str">
        <f t="shared" ref="G54" si="308">G53</f>
        <v>CIAT-33508</v>
      </c>
      <c r="H54" s="7" t="str">
        <f t="shared" ref="H54" si="309">H53</f>
        <v>Dendrolobium</v>
      </c>
      <c r="I54" s="7" t="str">
        <f t="shared" ref="I54" si="310">I53</f>
        <v>umbellatum</v>
      </c>
      <c r="J54" s="7" t="str">
        <f t="shared" ref="J54" si="311">J53</f>
        <v>Dendrolobium umbellatum</v>
      </c>
      <c r="K54" s="7" t="str">
        <f t="shared" ref="K54" si="312">K53</f>
        <v>Fabaceae</v>
      </c>
      <c r="L54" s="7" t="str">
        <f t="shared" ref="L54" si="313">L53</f>
        <v>Fabales</v>
      </c>
      <c r="M54" s="7" t="str">
        <f t="shared" ref="M54" si="314">M53</f>
        <v>Tree</v>
      </c>
      <c r="N54" s="7" t="str">
        <f t="shared" ref="N54" si="315">N53</f>
        <v>58,59, 69</v>
      </c>
      <c r="O54" s="30" t="str">
        <f t="shared" ref="O54" si="316">O53</f>
        <v>OT-010 (2025)</v>
      </c>
      <c r="P54" s="18">
        <v>93.781865440367923</v>
      </c>
      <c r="Q54" s="341"/>
      <c r="R54" s="66">
        <v>8.6697462300731747</v>
      </c>
      <c r="S54" s="341"/>
      <c r="T54" s="66">
        <v>91.330253769926827</v>
      </c>
      <c r="U54" s="341"/>
      <c r="V54" s="65"/>
    </row>
    <row r="55" spans="2:22" x14ac:dyDescent="0.35">
      <c r="B55" s="19">
        <f t="shared" si="1"/>
        <v>45</v>
      </c>
      <c r="C55" s="42">
        <f>'1. Information samples'!C33</f>
        <v>46041</v>
      </c>
      <c r="D55" s="42" t="str">
        <f>'1. Information samples'!D33</f>
        <v>Genbank</v>
      </c>
      <c r="E55" s="59">
        <f>'1. Information samples'!E33</f>
        <v>27</v>
      </c>
      <c r="F55" s="42" t="str">
        <f>'1. Information samples'!F33</f>
        <v>F251750</v>
      </c>
      <c r="G55" s="42" t="str">
        <f>'1. Information samples'!G33</f>
        <v>CIAT-33515</v>
      </c>
      <c r="H55" s="42" t="str">
        <f>'1. Information samples'!H33</f>
        <v>Dendrolobium</v>
      </c>
      <c r="I55" s="42" t="str">
        <f>'1. Information samples'!I33</f>
        <v>triangulare</v>
      </c>
      <c r="J55" s="42" t="str">
        <f>'1. Information samples'!J33</f>
        <v>Dendrolobium triangulare</v>
      </c>
      <c r="K55" s="42" t="str">
        <f>'1. Information samples'!K33</f>
        <v>Fabaceae</v>
      </c>
      <c r="L55" s="42" t="str">
        <f>'1. Information samples'!L33</f>
        <v>Fabales</v>
      </c>
      <c r="M55" s="42" t="str">
        <f>'1. Information samples'!M33</f>
        <v>Tree</v>
      </c>
      <c r="N55" s="42" t="str">
        <f>'1. Information samples'!N33</f>
        <v>58,59, 69</v>
      </c>
      <c r="O55" s="20" t="str">
        <f>'1. Information samples'!O33</f>
        <v>OT-010 (2025)</v>
      </c>
      <c r="P55" s="18">
        <v>93.401979406178185</v>
      </c>
      <c r="Q55" s="341">
        <f t="shared" ref="Q55" si="317">AVERAGE(P55:P56)</f>
        <v>93.410989703089115</v>
      </c>
      <c r="R55" s="66">
        <v>8.2299670695365919</v>
      </c>
      <c r="S55" s="341">
        <f t="shared" ref="S55" si="318">AVERAGE(R55:R56)</f>
        <v>11.110948378703402</v>
      </c>
      <c r="T55" s="66">
        <v>91.770032930463401</v>
      </c>
      <c r="U55" s="341">
        <f t="shared" ref="U55" si="319">AVERAGE(T55:T56)</f>
        <v>88.889051621296602</v>
      </c>
      <c r="V55" s="65"/>
    </row>
    <row r="56" spans="2:22" x14ac:dyDescent="0.35">
      <c r="B56" s="19">
        <f t="shared" si="1"/>
        <v>46</v>
      </c>
      <c r="C56" s="7">
        <f>C55</f>
        <v>46041</v>
      </c>
      <c r="D56" s="7" t="str">
        <f t="shared" ref="D56" si="320">D55</f>
        <v>Genbank</v>
      </c>
      <c r="E56" s="14">
        <f t="shared" ref="E56" si="321">E55</f>
        <v>27</v>
      </c>
      <c r="F56" s="7" t="str">
        <f t="shared" ref="F56" si="322">F55</f>
        <v>F251750</v>
      </c>
      <c r="G56" s="7" t="str">
        <f t="shared" ref="G56" si="323">G55</f>
        <v>CIAT-33515</v>
      </c>
      <c r="H56" s="7" t="str">
        <f t="shared" ref="H56" si="324">H55</f>
        <v>Dendrolobium</v>
      </c>
      <c r="I56" s="7" t="str">
        <f t="shared" ref="I56" si="325">I55</f>
        <v>triangulare</v>
      </c>
      <c r="J56" s="7" t="str">
        <f t="shared" ref="J56" si="326">J55</f>
        <v>Dendrolobium triangulare</v>
      </c>
      <c r="K56" s="7" t="str">
        <f t="shared" ref="K56" si="327">K55</f>
        <v>Fabaceae</v>
      </c>
      <c r="L56" s="7" t="str">
        <f t="shared" ref="L56" si="328">L55</f>
        <v>Fabales</v>
      </c>
      <c r="M56" s="7" t="str">
        <f t="shared" ref="M56" si="329">M55</f>
        <v>Tree</v>
      </c>
      <c r="N56" s="7" t="str">
        <f t="shared" ref="N56" si="330">N55</f>
        <v>58,59, 69</v>
      </c>
      <c r="O56" s="30" t="str">
        <f t="shared" ref="O56" si="331">O55</f>
        <v>OT-010 (2025)</v>
      </c>
      <c r="P56" s="18">
        <v>93.420000000000059</v>
      </c>
      <c r="Q56" s="341"/>
      <c r="R56" s="66">
        <v>13.991929687870213</v>
      </c>
      <c r="S56" s="341"/>
      <c r="T56" s="66">
        <v>86.008070312129789</v>
      </c>
      <c r="U56" s="341"/>
      <c r="V56" s="65"/>
    </row>
    <row r="57" spans="2:22" x14ac:dyDescent="0.35">
      <c r="B57" s="19">
        <f t="shared" si="1"/>
        <v>47</v>
      </c>
      <c r="C57" s="42">
        <f>'1. Information samples'!C34</f>
        <v>46041</v>
      </c>
      <c r="D57" s="42" t="str">
        <f>'1. Information samples'!D34</f>
        <v>Genbank</v>
      </c>
      <c r="E57" s="59">
        <f>'1. Information samples'!E34</f>
        <v>27</v>
      </c>
      <c r="F57" s="42" t="str">
        <f>'1. Information samples'!F34</f>
        <v>F251751</v>
      </c>
      <c r="G57" s="42" t="str">
        <f>'1. Information samples'!G34</f>
        <v>CIAT-7353</v>
      </c>
      <c r="H57" s="42" t="str">
        <f>'1. Information samples'!H34</f>
        <v>Prosopis</v>
      </c>
      <c r="I57" s="42" t="str">
        <f>'1. Information samples'!I34</f>
        <v>juliflora</v>
      </c>
      <c r="J57" s="42" t="str">
        <f>'1. Information samples'!J34</f>
        <v>Prosopis juliflora</v>
      </c>
      <c r="K57" s="42" t="str">
        <f>'1. Information samples'!K34</f>
        <v>Fabaceae</v>
      </c>
      <c r="L57" s="42" t="str">
        <f>'1. Information samples'!L34</f>
        <v>Fabales</v>
      </c>
      <c r="M57" s="42" t="str">
        <f>'1. Information samples'!M34</f>
        <v>Tree</v>
      </c>
      <c r="N57" s="42" t="str">
        <f>'1. Information samples'!N34</f>
        <v>58,59, 69</v>
      </c>
      <c r="O57" s="20" t="str">
        <f>'1. Information samples'!O34</f>
        <v>OT-010 (2025)</v>
      </c>
      <c r="P57" s="18">
        <v>94.572171131547506</v>
      </c>
      <c r="Q57" s="341">
        <f t="shared" ref="Q57" si="332">AVERAGE(P57:P58)</f>
        <v>94.626617459395078</v>
      </c>
      <c r="R57" s="66">
        <v>9.8452990720095883</v>
      </c>
      <c r="S57" s="341">
        <f t="shared" ref="S57" si="333">AVERAGE(R57:R58)</f>
        <v>9.4183710194356927</v>
      </c>
      <c r="T57" s="66">
        <v>90.154700927990405</v>
      </c>
      <c r="U57" s="341">
        <f t="shared" ref="U57" si="334">AVERAGE(T57:T58)</f>
        <v>90.581628980564304</v>
      </c>
      <c r="V57" s="65"/>
    </row>
    <row r="58" spans="2:22" x14ac:dyDescent="0.35">
      <c r="B58" s="19">
        <f t="shared" si="1"/>
        <v>48</v>
      </c>
      <c r="C58" s="7">
        <f>C57</f>
        <v>46041</v>
      </c>
      <c r="D58" s="7" t="str">
        <f t="shared" ref="D58" si="335">D57</f>
        <v>Genbank</v>
      </c>
      <c r="E58" s="14">
        <f t="shared" ref="E58" si="336">E57</f>
        <v>27</v>
      </c>
      <c r="F58" s="7" t="str">
        <f t="shared" ref="F58" si="337">F57</f>
        <v>F251751</v>
      </c>
      <c r="G58" s="7" t="str">
        <f t="shared" ref="G58" si="338">G57</f>
        <v>CIAT-7353</v>
      </c>
      <c r="H58" s="7" t="str">
        <f t="shared" ref="H58" si="339">H57</f>
        <v>Prosopis</v>
      </c>
      <c r="I58" s="7" t="str">
        <f t="shared" ref="I58" si="340">I57</f>
        <v>juliflora</v>
      </c>
      <c r="J58" s="7" t="str">
        <f t="shared" ref="J58" si="341">J57</f>
        <v>Prosopis juliflora</v>
      </c>
      <c r="K58" s="7" t="str">
        <f t="shared" ref="K58" si="342">K57</f>
        <v>Fabaceae</v>
      </c>
      <c r="L58" s="7" t="str">
        <f t="shared" ref="L58" si="343">L57</f>
        <v>Fabales</v>
      </c>
      <c r="M58" s="7" t="str">
        <f t="shared" ref="M58" si="344">M57</f>
        <v>Tree</v>
      </c>
      <c r="N58" s="7" t="str">
        <f t="shared" ref="N58" si="345">N57</f>
        <v>58,59, 69</v>
      </c>
      <c r="O58" s="30" t="str">
        <f t="shared" ref="O58" si="346">O57</f>
        <v>OT-010 (2025)</v>
      </c>
      <c r="P58" s="18">
        <v>94.68106378724265</v>
      </c>
      <c r="Q58" s="341"/>
      <c r="R58" s="66">
        <v>8.9914429668617952</v>
      </c>
      <c r="S58" s="341"/>
      <c r="T58" s="66">
        <v>91.008557033138203</v>
      </c>
      <c r="U58" s="341"/>
      <c r="V58" s="65"/>
    </row>
    <row r="59" spans="2:22" x14ac:dyDescent="0.35">
      <c r="B59" s="19">
        <f t="shared" si="1"/>
        <v>49</v>
      </c>
      <c r="C59" s="42">
        <f>'1. Information samples'!C35</f>
        <v>46041</v>
      </c>
      <c r="D59" s="42" t="str">
        <f>'1. Information samples'!D35</f>
        <v>Genbank</v>
      </c>
      <c r="E59" s="59">
        <f>'1. Information samples'!E35</f>
        <v>27</v>
      </c>
      <c r="F59" s="42" t="str">
        <f>'1. Information samples'!F35</f>
        <v>F251752</v>
      </c>
      <c r="G59" s="42" t="str">
        <f>'1. Information samples'!G35</f>
        <v>CIAT-7976</v>
      </c>
      <c r="H59" s="42" t="str">
        <f>'1. Information samples'!H35</f>
        <v>Cassia</v>
      </c>
      <c r="I59" s="42" t="str">
        <f>'1. Information samples'!I35</f>
        <v>sp.</v>
      </c>
      <c r="J59" s="42" t="str">
        <f>'1. Information samples'!J35</f>
        <v>Cassia sp.</v>
      </c>
      <c r="K59" s="42" t="str">
        <f>'1. Information samples'!K35</f>
        <v>Fabaceae</v>
      </c>
      <c r="L59" s="42" t="str">
        <f>'1. Information samples'!L35</f>
        <v>Fabales</v>
      </c>
      <c r="M59" s="42" t="str">
        <f>'1. Information samples'!M35</f>
        <v>Tree</v>
      </c>
      <c r="N59" s="42" t="str">
        <f>'1. Information samples'!N35</f>
        <v>58,59, 69</v>
      </c>
      <c r="O59" s="20" t="str">
        <f>'1. Information samples'!O35</f>
        <v>OT-010 (2025)</v>
      </c>
      <c r="P59" s="18">
        <v>93.40197940617827</v>
      </c>
      <c r="Q59" s="341">
        <f t="shared" ref="Q59" si="347">AVERAGE(P59:P60)</f>
        <v>93.417631382249596</v>
      </c>
      <c r="R59" s="66">
        <v>8.0581594353366821</v>
      </c>
      <c r="S59" s="341">
        <f t="shared" ref="S59" si="348">AVERAGE(R59:R60)</f>
        <v>12.053530523308613</v>
      </c>
      <c r="T59" s="66">
        <v>91.941840564663323</v>
      </c>
      <c r="U59" s="341">
        <f t="shared" ref="U59" si="349">AVERAGE(T59:T60)</f>
        <v>87.946469476691391</v>
      </c>
      <c r="V59" s="65"/>
    </row>
    <row r="60" spans="2:22" x14ac:dyDescent="0.35">
      <c r="B60" s="19">
        <f t="shared" si="1"/>
        <v>50</v>
      </c>
      <c r="C60" s="7">
        <f>C59</f>
        <v>46041</v>
      </c>
      <c r="D60" s="7" t="str">
        <f t="shared" ref="D60" si="350">D59</f>
        <v>Genbank</v>
      </c>
      <c r="E60" s="14">
        <f t="shared" ref="E60" si="351">E59</f>
        <v>27</v>
      </c>
      <c r="F60" s="7" t="str">
        <f t="shared" ref="F60" si="352">F59</f>
        <v>F251752</v>
      </c>
      <c r="G60" s="7" t="str">
        <f t="shared" ref="G60" si="353">G59</f>
        <v>CIAT-7976</v>
      </c>
      <c r="H60" s="7" t="str">
        <f t="shared" ref="H60" si="354">H59</f>
        <v>Cassia</v>
      </c>
      <c r="I60" s="7" t="str">
        <f t="shared" ref="I60" si="355">I59</f>
        <v>sp.</v>
      </c>
      <c r="J60" s="7" t="str">
        <f t="shared" ref="J60" si="356">J59</f>
        <v>Cassia sp.</v>
      </c>
      <c r="K60" s="7" t="str">
        <f t="shared" ref="K60" si="357">K59</f>
        <v>Fabaceae</v>
      </c>
      <c r="L60" s="7" t="str">
        <f t="shared" ref="L60" si="358">L59</f>
        <v>Fabales</v>
      </c>
      <c r="M60" s="7" t="str">
        <f t="shared" ref="M60" si="359">M59</f>
        <v>Tree</v>
      </c>
      <c r="N60" s="7" t="str">
        <f t="shared" ref="N60" si="360">N59</f>
        <v>58,59, 69</v>
      </c>
      <c r="O60" s="30" t="str">
        <f t="shared" ref="O60" si="361">O59</f>
        <v>OT-010 (2025)</v>
      </c>
      <c r="P60" s="18">
        <v>93.433283358320935</v>
      </c>
      <c r="Q60" s="341"/>
      <c r="R60" s="66">
        <v>16.048901611280542</v>
      </c>
      <c r="S60" s="341"/>
      <c r="T60" s="66">
        <v>83.951098388719458</v>
      </c>
      <c r="U60" s="341"/>
      <c r="V60" s="65"/>
    </row>
    <row r="61" spans="2:22" x14ac:dyDescent="0.35">
      <c r="B61" s="19">
        <f t="shared" si="1"/>
        <v>51</v>
      </c>
      <c r="C61" s="42">
        <f>'1. Information samples'!C36</f>
        <v>46041</v>
      </c>
      <c r="D61" s="42" t="str">
        <f>'1. Information samples'!D36</f>
        <v>Genbank</v>
      </c>
      <c r="E61" s="59">
        <f>'1. Information samples'!E36</f>
        <v>27</v>
      </c>
      <c r="F61" s="42" t="str">
        <f>'1. Information samples'!F36</f>
        <v>F251753</v>
      </c>
      <c r="G61" s="42" t="str">
        <f>'1. Information samples'!G36</f>
        <v>CIAT-8018</v>
      </c>
      <c r="H61" s="42" t="str">
        <f>'1. Information samples'!H36</f>
        <v>Acacia</v>
      </c>
      <c r="I61" s="42" t="str">
        <f>'1. Information samples'!I36</f>
        <v>aroma</v>
      </c>
      <c r="J61" s="42" t="str">
        <f>'1. Information samples'!J36</f>
        <v>Acacia aroma</v>
      </c>
      <c r="K61" s="42" t="str">
        <f>'1. Information samples'!K36</f>
        <v>Fabaceae</v>
      </c>
      <c r="L61" s="42" t="str">
        <f>'1. Information samples'!L36</f>
        <v>Fabales</v>
      </c>
      <c r="M61" s="42" t="str">
        <f>'1. Information samples'!M36</f>
        <v>Tree</v>
      </c>
      <c r="N61" s="42" t="str">
        <f>'1. Information samples'!N36</f>
        <v>58,59, 69</v>
      </c>
      <c r="O61" s="20" t="str">
        <f>'1. Information samples'!O36</f>
        <v>OT-010 (2025)</v>
      </c>
      <c r="P61" s="18">
        <v>93.759999999999891</v>
      </c>
      <c r="Q61" s="341">
        <f t="shared" ref="Q61" si="362">AVERAGE(P61:P62)</f>
        <v>93.795616876624592</v>
      </c>
      <c r="R61" s="66">
        <v>17.698055146686649</v>
      </c>
      <c r="S61" s="341">
        <f t="shared" ref="S61" si="363">AVERAGE(R61:R62)</f>
        <v>18.112000233311775</v>
      </c>
      <c r="T61" s="66">
        <v>82.301944853313358</v>
      </c>
      <c r="U61" s="341">
        <f t="shared" ref="U61" si="364">AVERAGE(T61:T62)</f>
        <v>81.887999766688225</v>
      </c>
      <c r="V61" s="65"/>
    </row>
    <row r="62" spans="2:22" x14ac:dyDescent="0.35">
      <c r="B62" s="19">
        <f t="shared" si="1"/>
        <v>52</v>
      </c>
      <c r="C62" s="7">
        <f>C61</f>
        <v>46041</v>
      </c>
      <c r="D62" s="7" t="str">
        <f t="shared" ref="D62" si="365">D61</f>
        <v>Genbank</v>
      </c>
      <c r="E62" s="14">
        <f t="shared" ref="E62" si="366">E61</f>
        <v>27</v>
      </c>
      <c r="F62" s="7" t="str">
        <f t="shared" ref="F62" si="367">F61</f>
        <v>F251753</v>
      </c>
      <c r="G62" s="7" t="str">
        <f t="shared" ref="G62" si="368">G61</f>
        <v>CIAT-8018</v>
      </c>
      <c r="H62" s="7" t="str">
        <f t="shared" ref="H62" si="369">H61</f>
        <v>Acacia</v>
      </c>
      <c r="I62" s="7" t="str">
        <f t="shared" ref="I62" si="370">I61</f>
        <v>aroma</v>
      </c>
      <c r="J62" s="7" t="str">
        <f t="shared" ref="J62" si="371">J61</f>
        <v>Acacia aroma</v>
      </c>
      <c r="K62" s="7" t="str">
        <f t="shared" ref="K62" si="372">K61</f>
        <v>Fabaceae</v>
      </c>
      <c r="L62" s="7" t="str">
        <f t="shared" ref="L62" si="373">L61</f>
        <v>Fabales</v>
      </c>
      <c r="M62" s="7" t="str">
        <f t="shared" ref="M62" si="374">M61</f>
        <v>Tree</v>
      </c>
      <c r="N62" s="7" t="str">
        <f t="shared" ref="N62" si="375">N61</f>
        <v>58,59, 69</v>
      </c>
      <c r="O62" s="30" t="str">
        <f t="shared" ref="O62" si="376">O61</f>
        <v>OT-010 (2025)</v>
      </c>
      <c r="P62" s="18">
        <v>93.831233753249293</v>
      </c>
      <c r="Q62" s="341"/>
      <c r="R62" s="66">
        <v>18.525945319936906</v>
      </c>
      <c r="S62" s="341"/>
      <c r="T62" s="66">
        <v>81.474054680063091</v>
      </c>
      <c r="U62" s="341"/>
      <c r="V62" s="65"/>
    </row>
    <row r="63" spans="2:22" x14ac:dyDescent="0.35">
      <c r="B63" s="19">
        <f t="shared" si="1"/>
        <v>53</v>
      </c>
      <c r="C63" s="42">
        <f>'1. Information samples'!C37</f>
        <v>46041</v>
      </c>
      <c r="D63" s="42" t="str">
        <f>'1. Information samples'!D37</f>
        <v>Genbank</v>
      </c>
      <c r="E63" s="59">
        <f>'1. Information samples'!E37</f>
        <v>27</v>
      </c>
      <c r="F63" s="42" t="str">
        <f>'1. Information samples'!F37</f>
        <v>F251754</v>
      </c>
      <c r="G63" s="42" t="str">
        <f>'1. Information samples'!G37</f>
        <v>CIAT-9990</v>
      </c>
      <c r="H63" s="42" t="str">
        <f>'1. Information samples'!H37</f>
        <v>Prosopis</v>
      </c>
      <c r="I63" s="42" t="str">
        <f>'1. Information samples'!I37</f>
        <v>juliflora</v>
      </c>
      <c r="J63" s="42" t="str">
        <f>'1. Information samples'!J37</f>
        <v>Prosopis juliflora</v>
      </c>
      <c r="K63" s="42" t="str">
        <f>'1. Information samples'!K37</f>
        <v>Fabaceae</v>
      </c>
      <c r="L63" s="42" t="str">
        <f>'1. Information samples'!L37</f>
        <v>Fabales</v>
      </c>
      <c r="M63" s="42" t="str">
        <f>'1. Information samples'!M37</f>
        <v>Tree</v>
      </c>
      <c r="N63" s="42" t="str">
        <f>'1. Information samples'!N37</f>
        <v>58,59, 69</v>
      </c>
      <c r="O63" s="20" t="str">
        <f>'1. Information samples'!O37</f>
        <v>OT-010 (2025)</v>
      </c>
      <c r="P63" s="18">
        <v>92.964221467119657</v>
      </c>
      <c r="Q63" s="341">
        <f t="shared" ref="Q63" si="377">AVERAGE(P63:P64)</f>
        <v>92.974215470717525</v>
      </c>
      <c r="R63" s="66">
        <v>10.147264323336593</v>
      </c>
      <c r="S63" s="341">
        <f t="shared" ref="S63" si="378">AVERAGE(R63:R64)</f>
        <v>12.38310222508871</v>
      </c>
      <c r="T63" s="66">
        <v>89.8527356766634</v>
      </c>
      <c r="U63" s="341">
        <f t="shared" ref="U63" si="379">AVERAGE(T63:T64)</f>
        <v>87.61689777491128</v>
      </c>
      <c r="V63" s="65"/>
    </row>
    <row r="64" spans="2:22" x14ac:dyDescent="0.35">
      <c r="B64" s="19">
        <f t="shared" si="1"/>
        <v>54</v>
      </c>
      <c r="C64" s="7">
        <f>C63</f>
        <v>46041</v>
      </c>
      <c r="D64" s="7" t="str">
        <f t="shared" ref="D64" si="380">D63</f>
        <v>Genbank</v>
      </c>
      <c r="E64" s="14">
        <f t="shared" ref="E64" si="381">E63</f>
        <v>27</v>
      </c>
      <c r="F64" s="7" t="str">
        <f t="shared" ref="F64" si="382">F63</f>
        <v>F251754</v>
      </c>
      <c r="G64" s="7" t="str">
        <f t="shared" ref="G64" si="383">G63</f>
        <v>CIAT-9990</v>
      </c>
      <c r="H64" s="7" t="str">
        <f t="shared" ref="H64" si="384">H63</f>
        <v>Prosopis</v>
      </c>
      <c r="I64" s="7" t="str">
        <f t="shared" ref="I64" si="385">I63</f>
        <v>juliflora</v>
      </c>
      <c r="J64" s="7" t="str">
        <f t="shared" ref="J64" si="386">J63</f>
        <v>Prosopis juliflora</v>
      </c>
      <c r="K64" s="7" t="str">
        <f t="shared" ref="K64" si="387">K63</f>
        <v>Fabaceae</v>
      </c>
      <c r="L64" s="7" t="str">
        <f t="shared" ref="L64" si="388">L63</f>
        <v>Fabales</v>
      </c>
      <c r="M64" s="7" t="str">
        <f t="shared" ref="M64" si="389">M63</f>
        <v>Tree</v>
      </c>
      <c r="N64" s="7" t="str">
        <f t="shared" ref="N64" si="390">N63</f>
        <v>58,59, 69</v>
      </c>
      <c r="O64" s="30" t="str">
        <f t="shared" ref="O64" si="391">O63</f>
        <v>OT-010 (2025)</v>
      </c>
      <c r="P64" s="18">
        <v>92.984209474315378</v>
      </c>
      <c r="Q64" s="341"/>
      <c r="R64" s="66">
        <v>14.618940126840826</v>
      </c>
      <c r="S64" s="341"/>
      <c r="T64" s="66">
        <v>85.381059873159174</v>
      </c>
      <c r="U64" s="341"/>
      <c r="V64" s="65"/>
    </row>
    <row r="65" spans="2:22" x14ac:dyDescent="0.35">
      <c r="B65" s="19">
        <f t="shared" si="1"/>
        <v>55</v>
      </c>
      <c r="C65" s="42">
        <f>'1. Information samples'!C38</f>
        <v>46041</v>
      </c>
      <c r="D65" s="42" t="str">
        <f>'1. Information samples'!D38</f>
        <v>Genbank</v>
      </c>
      <c r="E65" s="59">
        <f>'1. Information samples'!E38</f>
        <v>27</v>
      </c>
      <c r="F65" s="42" t="str">
        <f>'1. Information samples'!F38</f>
        <v>F251755</v>
      </c>
      <c r="G65" s="42" t="str">
        <f>'1. Information samples'!G38</f>
        <v>CIAT-13258</v>
      </c>
      <c r="H65" s="42" t="str">
        <f>'1. Information samples'!H38</f>
        <v>Dendrolobium</v>
      </c>
      <c r="I65" s="42" t="str">
        <f>'1. Information samples'!I38</f>
        <v>lanceolatum</v>
      </c>
      <c r="J65" s="42" t="str">
        <f>'1. Information samples'!J38</f>
        <v>Dendrolobium lanceolatum</v>
      </c>
      <c r="K65" s="42" t="str">
        <f>'1. Information samples'!K38</f>
        <v>Fabaceae</v>
      </c>
      <c r="L65" s="42" t="str">
        <f>'1. Information samples'!L38</f>
        <v>Fabales</v>
      </c>
      <c r="M65" s="42" t="str">
        <f>'1. Information samples'!M38</f>
        <v>Tree</v>
      </c>
      <c r="N65" s="42" t="str">
        <f>'1. Information samples'!N38</f>
        <v>58,59, 69</v>
      </c>
      <c r="O65" s="20" t="str">
        <f>'1. Information samples'!O38</f>
        <v>OT-010 (2025)</v>
      </c>
      <c r="P65" s="30">
        <v>94.552179128348655</v>
      </c>
      <c r="Q65" s="341">
        <f t="shared" ref="Q65" si="392">AVERAGE(P65:P66)</f>
        <v>94.597428894509136</v>
      </c>
      <c r="R65" s="66">
        <v>14.888741076889941</v>
      </c>
      <c r="S65" s="341">
        <f t="shared" ref="S65" si="393">AVERAGE(R65:R66)</f>
        <v>14.866865354030644</v>
      </c>
      <c r="T65" s="66">
        <v>85.111258923110057</v>
      </c>
      <c r="U65" s="341">
        <f t="shared" ref="U65" si="394">AVERAGE(T65:T66)</f>
        <v>85.133134645969363</v>
      </c>
      <c r="V65" s="65"/>
    </row>
    <row r="66" spans="2:22" x14ac:dyDescent="0.35">
      <c r="B66" s="19">
        <f t="shared" si="1"/>
        <v>56</v>
      </c>
      <c r="C66" s="7">
        <f>C65</f>
        <v>46041</v>
      </c>
      <c r="D66" s="7" t="str">
        <f t="shared" ref="D66" si="395">D65</f>
        <v>Genbank</v>
      </c>
      <c r="E66" s="14">
        <f t="shared" ref="E66" si="396">E65</f>
        <v>27</v>
      </c>
      <c r="F66" s="7" t="str">
        <f t="shared" ref="F66" si="397">F65</f>
        <v>F251755</v>
      </c>
      <c r="G66" s="7" t="str">
        <f t="shared" ref="G66" si="398">G65</f>
        <v>CIAT-13258</v>
      </c>
      <c r="H66" s="7" t="str">
        <f t="shared" ref="H66" si="399">H65</f>
        <v>Dendrolobium</v>
      </c>
      <c r="I66" s="7" t="str">
        <f t="shared" ref="I66" si="400">I65</f>
        <v>lanceolatum</v>
      </c>
      <c r="J66" s="7" t="str">
        <f t="shared" ref="J66" si="401">J65</f>
        <v>Dendrolobium lanceolatum</v>
      </c>
      <c r="K66" s="7" t="str">
        <f t="shared" ref="K66" si="402">K65</f>
        <v>Fabaceae</v>
      </c>
      <c r="L66" s="7" t="str">
        <f t="shared" ref="L66" si="403">L65</f>
        <v>Fabales</v>
      </c>
      <c r="M66" s="7" t="str">
        <f t="shared" ref="M66" si="404">M65</f>
        <v>Tree</v>
      </c>
      <c r="N66" s="7" t="str">
        <f t="shared" ref="N66" si="405">N65</f>
        <v>58,59, 69</v>
      </c>
      <c r="O66" s="30" t="str">
        <f t="shared" ref="O66" si="406">O65</f>
        <v>OT-010 (2025)</v>
      </c>
      <c r="P66" s="30">
        <v>94.642678660669617</v>
      </c>
      <c r="Q66" s="341"/>
      <c r="R66" s="66">
        <v>14.844989631171348</v>
      </c>
      <c r="S66" s="341"/>
      <c r="T66" s="66">
        <v>85.155010368828655</v>
      </c>
      <c r="U66" s="341"/>
      <c r="V66" s="65"/>
    </row>
    <row r="67" spans="2:22" x14ac:dyDescent="0.35">
      <c r="B67" s="19">
        <f t="shared" si="1"/>
        <v>57</v>
      </c>
      <c r="C67" s="42">
        <f>'1. Information samples'!C39</f>
        <v>46041</v>
      </c>
      <c r="D67" s="42" t="str">
        <f>'1. Information samples'!D39</f>
        <v>Genbank</v>
      </c>
      <c r="E67" s="59">
        <f>'1. Information samples'!E39</f>
        <v>27</v>
      </c>
      <c r="F67" s="42" t="str">
        <f>'1. Information samples'!F39</f>
        <v>F251756</v>
      </c>
      <c r="G67" s="42" t="str">
        <f>'1. Information samples'!G39</f>
        <v>CIAT-13260</v>
      </c>
      <c r="H67" s="42" t="str">
        <f>'1. Information samples'!H39</f>
        <v>Dendrolobium</v>
      </c>
      <c r="I67" s="42" t="str">
        <f>'1. Information samples'!I39</f>
        <v>lanceolatum</v>
      </c>
      <c r="J67" s="42" t="str">
        <f>'1. Information samples'!J39</f>
        <v>Dendrolobium lanceolatum</v>
      </c>
      <c r="K67" s="42" t="str">
        <f>'1. Information samples'!K39</f>
        <v>Fabaceae</v>
      </c>
      <c r="L67" s="42" t="str">
        <f>'1. Information samples'!L39</f>
        <v>Fabales</v>
      </c>
      <c r="M67" s="42" t="str">
        <f>'1. Information samples'!M39</f>
        <v>Tree</v>
      </c>
      <c r="N67" s="42" t="str">
        <f>'1. Information samples'!N39</f>
        <v>58,59, 69</v>
      </c>
      <c r="O67" s="20" t="str">
        <f>'1. Information samples'!O39</f>
        <v>OT-010 (2025)</v>
      </c>
      <c r="P67" s="30">
        <v>94.041191761647653</v>
      </c>
      <c r="Q67" s="341">
        <f t="shared" ref="Q67" si="407">AVERAGE(P67:P68)</f>
        <v>94.076479115853317</v>
      </c>
      <c r="R67" s="66">
        <v>9.3522211232999606</v>
      </c>
      <c r="S67" s="341">
        <f t="shared" ref="S67" si="408">AVERAGE(R67:R68)</f>
        <v>12.082754275995448</v>
      </c>
      <c r="T67" s="66">
        <v>90.647778876700045</v>
      </c>
      <c r="U67" s="341">
        <f t="shared" ref="U67:U73" si="409">AVERAGE(T67:T68)</f>
        <v>87.917245724004545</v>
      </c>
      <c r="V67" s="65"/>
    </row>
    <row r="68" spans="2:22" x14ac:dyDescent="0.35">
      <c r="B68" s="19">
        <f t="shared" si="1"/>
        <v>58</v>
      </c>
      <c r="C68" s="7">
        <f>C67</f>
        <v>46041</v>
      </c>
      <c r="D68" s="7" t="str">
        <f t="shared" ref="D68" si="410">D67</f>
        <v>Genbank</v>
      </c>
      <c r="E68" s="14">
        <f t="shared" ref="E68" si="411">E67</f>
        <v>27</v>
      </c>
      <c r="F68" s="7" t="str">
        <f t="shared" ref="F68" si="412">F67</f>
        <v>F251756</v>
      </c>
      <c r="G68" s="7" t="str">
        <f t="shared" ref="G68" si="413">G67</f>
        <v>CIAT-13260</v>
      </c>
      <c r="H68" s="7" t="str">
        <f t="shared" ref="H68" si="414">H67</f>
        <v>Dendrolobium</v>
      </c>
      <c r="I68" s="7" t="str">
        <f t="shared" ref="I68" si="415">I67</f>
        <v>lanceolatum</v>
      </c>
      <c r="J68" s="7" t="str">
        <f t="shared" ref="J68" si="416">J67</f>
        <v>Dendrolobium lanceolatum</v>
      </c>
      <c r="K68" s="7" t="str">
        <f t="shared" ref="K68" si="417">K67</f>
        <v>Fabaceae</v>
      </c>
      <c r="L68" s="7" t="str">
        <f t="shared" ref="L68" si="418">L67</f>
        <v>Fabales</v>
      </c>
      <c r="M68" s="7" t="str">
        <f t="shared" ref="M68" si="419">M67</f>
        <v>Tree</v>
      </c>
      <c r="N68" s="7" t="str">
        <f t="shared" ref="N68" si="420">N67</f>
        <v>58,59, 69</v>
      </c>
      <c r="O68" s="30" t="str">
        <f t="shared" ref="O68" si="421">O67</f>
        <v>OT-010 (2025)</v>
      </c>
      <c r="P68" s="30">
        <v>94.111766470058967</v>
      </c>
      <c r="Q68" s="341"/>
      <c r="R68" s="66">
        <v>14.813287428690936</v>
      </c>
      <c r="S68" s="341"/>
      <c r="T68" s="66">
        <v>85.186712571309059</v>
      </c>
      <c r="U68" s="341"/>
      <c r="V68" s="65"/>
    </row>
    <row r="69" spans="2:22" x14ac:dyDescent="0.35">
      <c r="B69" s="19">
        <f t="shared" si="1"/>
        <v>59</v>
      </c>
      <c r="C69" s="42">
        <f>'1. Information samples'!C40</f>
        <v>46041</v>
      </c>
      <c r="D69" s="42" t="str">
        <f>'1. Information samples'!D40</f>
        <v>Genbank</v>
      </c>
      <c r="E69" s="59">
        <f>'1. Information samples'!E40</f>
        <v>27</v>
      </c>
      <c r="F69" s="42" t="str">
        <f>'1. Information samples'!F40</f>
        <v>F251757</v>
      </c>
      <c r="G69" s="42" t="str">
        <f>'1. Information samples'!G40</f>
        <v>CIAT-17263</v>
      </c>
      <c r="H69" s="42" t="str">
        <f>'1. Information samples'!H40</f>
        <v>Leucaena</v>
      </c>
      <c r="I69" s="42" t="str">
        <f>'1. Information samples'!I40</f>
        <v>leucocephala</v>
      </c>
      <c r="J69" s="42" t="str">
        <f>'1. Information samples'!J40</f>
        <v>Leucaena leucocephala</v>
      </c>
      <c r="K69" s="42" t="str">
        <f>'1. Information samples'!K40</f>
        <v>Fabaceae</v>
      </c>
      <c r="L69" s="42" t="str">
        <f>'1. Information samples'!L40</f>
        <v>Fabales</v>
      </c>
      <c r="M69" s="42" t="str">
        <f>'1. Information samples'!M40</f>
        <v>Tree</v>
      </c>
      <c r="N69" s="42" t="str">
        <f>'1. Information samples'!N40</f>
        <v>58,59, 69</v>
      </c>
      <c r="O69" s="20" t="str">
        <f>'1. Information samples'!O40</f>
        <v>OT-010 (2025)</v>
      </c>
      <c r="P69" s="30">
        <v>94.413351988806639</v>
      </c>
      <c r="Q69" s="341">
        <f t="shared" ref="Q69" si="422">AVERAGE(P69:P70)</f>
        <v>94.471675994403398</v>
      </c>
      <c r="R69" s="66">
        <v>15.423942776791399</v>
      </c>
      <c r="S69" s="341">
        <f t="shared" ref="S69" si="423">AVERAGE(R69:R70)</f>
        <v>13.814329517769407</v>
      </c>
      <c r="T69" s="66">
        <v>84.576057223208608</v>
      </c>
      <c r="U69" s="341">
        <f t="shared" si="409"/>
        <v>86.185670482230591</v>
      </c>
      <c r="V69" s="65"/>
    </row>
    <row r="70" spans="2:22" x14ac:dyDescent="0.35">
      <c r="B70" s="19">
        <f t="shared" si="1"/>
        <v>60</v>
      </c>
      <c r="C70" s="7">
        <f>C69</f>
        <v>46041</v>
      </c>
      <c r="D70" s="7" t="str">
        <f t="shared" ref="D70" si="424">D69</f>
        <v>Genbank</v>
      </c>
      <c r="E70" s="14">
        <f t="shared" ref="E70" si="425">E69</f>
        <v>27</v>
      </c>
      <c r="F70" s="7" t="str">
        <f>F69</f>
        <v>F251757</v>
      </c>
      <c r="G70" s="7" t="str">
        <f t="shared" ref="G70" si="426">G69</f>
        <v>CIAT-17263</v>
      </c>
      <c r="H70" s="7" t="str">
        <f t="shared" ref="H70" si="427">H69</f>
        <v>Leucaena</v>
      </c>
      <c r="I70" s="7" t="str">
        <f t="shared" ref="I70" si="428">I69</f>
        <v>leucocephala</v>
      </c>
      <c r="J70" s="7" t="str">
        <f t="shared" ref="J70" si="429">J69</f>
        <v>Leucaena leucocephala</v>
      </c>
      <c r="K70" s="7" t="str">
        <f t="shared" ref="K70" si="430">K69</f>
        <v>Fabaceae</v>
      </c>
      <c r="L70" s="7" t="str">
        <f t="shared" ref="L70" si="431">L69</f>
        <v>Fabales</v>
      </c>
      <c r="M70" s="7" t="str">
        <f t="shared" ref="M70" si="432">M69</f>
        <v>Tree</v>
      </c>
      <c r="N70" s="7" t="str">
        <f t="shared" ref="N70" si="433">N69</f>
        <v>58,59, 69</v>
      </c>
      <c r="O70" s="30" t="str">
        <f t="shared" ref="O70" si="434">O69</f>
        <v>OT-010 (2025)</v>
      </c>
      <c r="P70" s="30">
        <v>94.530000000000143</v>
      </c>
      <c r="Q70" s="341"/>
      <c r="R70" s="66">
        <v>12.204716258747414</v>
      </c>
      <c r="S70" s="341"/>
      <c r="T70" s="66">
        <v>87.795283741252589</v>
      </c>
      <c r="U70" s="341"/>
      <c r="V70" s="65"/>
    </row>
    <row r="71" spans="2:22" x14ac:dyDescent="0.35">
      <c r="B71" s="19">
        <f t="shared" si="1"/>
        <v>61</v>
      </c>
      <c r="C71" s="42">
        <f>'1. Information samples'!C41</f>
        <v>46041</v>
      </c>
      <c r="D71" s="42" t="str">
        <f>'1. Information samples'!D41</f>
        <v>Isabel Molina</v>
      </c>
      <c r="E71" s="59">
        <f>'1. Information samples'!E41</f>
        <v>27</v>
      </c>
      <c r="F71" s="42" t="str">
        <f>'1. Information samples'!F41</f>
        <v>F252640</v>
      </c>
      <c r="G71" s="42" t="str">
        <f>'1. Information samples'!G41</f>
        <v xml:space="preserve"> Cayman Br02_1752</v>
      </c>
      <c r="H71" s="42" t="str">
        <f>'1. Information samples'!H41</f>
        <v>Urochloa</v>
      </c>
      <c r="I71" s="42" t="str">
        <f>'1. Information samples'!I41</f>
        <v>interespecifico</v>
      </c>
      <c r="J71" s="42" t="str">
        <f>'1. Information samples'!J41</f>
        <v>Urochloa interespecifico</v>
      </c>
      <c r="K71" s="42" t="str">
        <f>'1. Information samples'!K41</f>
        <v>Poaceae</v>
      </c>
      <c r="L71" s="42" t="str">
        <f>'1. Information samples'!L41</f>
        <v>Poales</v>
      </c>
      <c r="M71" s="42" t="str">
        <f>'1. Information samples'!M41</f>
        <v>grasses</v>
      </c>
      <c r="N71" s="42" t="str">
        <f>'1. Information samples'!N41</f>
        <v>58,59, 69</v>
      </c>
      <c r="O71" s="20" t="str">
        <f>'1. Information samples'!O41</f>
        <v>OT-034 (2025)</v>
      </c>
      <c r="P71" s="74">
        <v>97.010896730980861</v>
      </c>
      <c r="Q71" s="341">
        <f t="shared" ref="Q71" si="435">AVERAGE(P71:P72)</f>
        <v>97.001050124786801</v>
      </c>
      <c r="R71" s="229">
        <v>9.6258739759373544</v>
      </c>
      <c r="S71" s="341">
        <f>AVERAGE(T71:T72)</f>
        <v>90.348844513507601</v>
      </c>
      <c r="T71" s="229">
        <v>90.374126024062647</v>
      </c>
      <c r="U71" s="341">
        <f t="shared" si="409"/>
        <v>90.348844513507601</v>
      </c>
      <c r="V71" s="65"/>
    </row>
    <row r="72" spans="2:22" x14ac:dyDescent="0.35">
      <c r="B72" s="19">
        <f t="shared" si="1"/>
        <v>62</v>
      </c>
      <c r="C72" s="7">
        <f>C71</f>
        <v>46041</v>
      </c>
      <c r="D72" s="7" t="str">
        <f t="shared" ref="D72" si="436">D71</f>
        <v>Isabel Molina</v>
      </c>
      <c r="E72" s="14">
        <f t="shared" ref="E72" si="437">E71</f>
        <v>27</v>
      </c>
      <c r="F72" s="7" t="str">
        <f t="shared" ref="F72" si="438">F71</f>
        <v>F252640</v>
      </c>
      <c r="G72" s="7" t="str">
        <f t="shared" ref="G72" si="439">G71</f>
        <v xml:space="preserve"> Cayman Br02_1752</v>
      </c>
      <c r="H72" s="7" t="str">
        <f t="shared" ref="H72" si="440">H71</f>
        <v>Urochloa</v>
      </c>
      <c r="I72" s="7" t="str">
        <f t="shared" ref="I72" si="441">I71</f>
        <v>interespecifico</v>
      </c>
      <c r="J72" s="7" t="str">
        <f t="shared" ref="J72" si="442">J71</f>
        <v>Urochloa interespecifico</v>
      </c>
      <c r="K72" s="7" t="str">
        <f t="shared" ref="K72" si="443">K71</f>
        <v>Poaceae</v>
      </c>
      <c r="L72" s="7" t="str">
        <f t="shared" ref="L72" si="444">L71</f>
        <v>Poales</v>
      </c>
      <c r="M72" s="7" t="str">
        <f t="shared" ref="M72" si="445">M71</f>
        <v>grasses</v>
      </c>
      <c r="N72" s="7" t="str">
        <f t="shared" ref="N72" si="446">N71</f>
        <v>58,59, 69</v>
      </c>
      <c r="O72" s="30" t="str">
        <f t="shared" ref="O72" si="447">O71</f>
        <v>OT-034 (2025)</v>
      </c>
      <c r="P72" s="74">
        <v>96.991203518592741</v>
      </c>
      <c r="Q72" s="341"/>
      <c r="R72" s="229">
        <v>9.6764369970474604</v>
      </c>
      <c r="S72" s="341"/>
      <c r="T72" s="229">
        <v>90.32356300295254</v>
      </c>
      <c r="U72" s="341"/>
      <c r="V72" s="65"/>
    </row>
    <row r="73" spans="2:22" x14ac:dyDescent="0.35">
      <c r="B73" s="19">
        <f t="shared" si="1"/>
        <v>63</v>
      </c>
      <c r="C73" s="42">
        <f>'1. Information samples'!C42</f>
        <v>46041</v>
      </c>
      <c r="D73" s="42" t="str">
        <f>'1. Information samples'!D42</f>
        <v>Mauricio Sotelo</v>
      </c>
      <c r="E73" s="59">
        <f>'1. Information samples'!E42</f>
        <v>27</v>
      </c>
      <c r="F73" s="42" t="str">
        <f>'1. Information samples'!F42</f>
        <v>F252641</v>
      </c>
      <c r="G73" s="42" t="str">
        <f>'1. Information samples'!G42</f>
        <v>N/A</v>
      </c>
      <c r="H73" s="42" t="str">
        <f>'1. Information samples'!H42</f>
        <v xml:space="preserve">Gliricidia  </v>
      </c>
      <c r="I73" s="42" t="str">
        <f>'1. Information samples'!I42</f>
        <v>sepium</v>
      </c>
      <c r="J73" s="42" t="str">
        <f>'1. Information samples'!J42</f>
        <v xml:space="preserve">Gliricidia sepium </v>
      </c>
      <c r="K73" s="42" t="str">
        <f>'1. Information samples'!K42</f>
        <v>Fabaceae</v>
      </c>
      <c r="L73" s="42" t="str">
        <f>'1. Information samples'!L42</f>
        <v>Fabales</v>
      </c>
      <c r="M73" s="42" t="str">
        <f>'1. Information samples'!M42</f>
        <v xml:space="preserve">Arbustiva </v>
      </c>
      <c r="N73" s="42" t="str">
        <f>'1. Information samples'!N42</f>
        <v>58,59, 69</v>
      </c>
      <c r="O73" s="20" t="str">
        <f>'1. Information samples'!O42</f>
        <v>OT-035 (2025)</v>
      </c>
      <c r="P73" s="74">
        <v>93.53258696521398</v>
      </c>
      <c r="Q73" s="341">
        <f t="shared" ref="Q73" si="448">AVERAGE(P73:P74)</f>
        <v>93.49727418839538</v>
      </c>
      <c r="R73" s="229">
        <v>9.4296582303252556</v>
      </c>
      <c r="S73" s="341">
        <f t="shared" ref="S73" si="449">AVERAGE(R73:R74)</f>
        <v>9.4087449892644308</v>
      </c>
      <c r="T73" s="229">
        <v>90.570341769674741</v>
      </c>
      <c r="U73" s="341">
        <f t="shared" si="409"/>
        <v>90.591255010735566</v>
      </c>
      <c r="V73" s="65"/>
    </row>
    <row r="74" spans="2:22" x14ac:dyDescent="0.35">
      <c r="B74" s="19">
        <f t="shared" si="1"/>
        <v>64</v>
      </c>
      <c r="C74" s="7">
        <f>C73</f>
        <v>46041</v>
      </c>
      <c r="D74" s="7" t="str">
        <f t="shared" ref="D74" si="450">D73</f>
        <v>Mauricio Sotelo</v>
      </c>
      <c r="E74" s="14">
        <f t="shared" ref="E74" si="451">E73</f>
        <v>27</v>
      </c>
      <c r="F74" s="7" t="str">
        <f t="shared" ref="F74" si="452">F73</f>
        <v>F252641</v>
      </c>
      <c r="G74" s="7" t="str">
        <f t="shared" ref="G74" si="453">G73</f>
        <v>N/A</v>
      </c>
      <c r="H74" s="7" t="str">
        <f t="shared" ref="H74" si="454">H73</f>
        <v xml:space="preserve">Gliricidia  </v>
      </c>
      <c r="I74" s="7" t="str">
        <f t="shared" ref="I74" si="455">I73</f>
        <v>sepium</v>
      </c>
      <c r="J74" s="7" t="str">
        <f t="shared" ref="J74" si="456">J73</f>
        <v xml:space="preserve">Gliricidia sepium </v>
      </c>
      <c r="K74" s="7" t="str">
        <f t="shared" ref="K74" si="457">K73</f>
        <v>Fabaceae</v>
      </c>
      <c r="L74" s="7" t="str">
        <f t="shared" ref="L74" si="458">L73</f>
        <v>Fabales</v>
      </c>
      <c r="M74" s="7" t="str">
        <f t="shared" ref="M74" si="459">M73</f>
        <v xml:space="preserve">Arbustiva </v>
      </c>
      <c r="N74" s="7" t="str">
        <f t="shared" ref="N74" si="460">N73</f>
        <v>58,59, 69</v>
      </c>
      <c r="O74" s="30" t="str">
        <f t="shared" ref="O74" si="461">O73</f>
        <v>OT-035 (2025)</v>
      </c>
      <c r="P74" s="74">
        <v>93.46196141157678</v>
      </c>
      <c r="Q74" s="341"/>
      <c r="R74" s="229">
        <v>9.3878317482036042</v>
      </c>
      <c r="S74" s="341"/>
      <c r="T74" s="229">
        <v>90.61216825179639</v>
      </c>
      <c r="U74" s="341"/>
      <c r="V74" s="65"/>
    </row>
    <row r="75" spans="2:22" x14ac:dyDescent="0.35">
      <c r="B75" s="19">
        <f t="shared" si="1"/>
        <v>65</v>
      </c>
      <c r="C75" s="42">
        <f>'1. Information samples'!C43</f>
        <v>46041</v>
      </c>
      <c r="D75" s="42" t="str">
        <f>'1. Information samples'!D43</f>
        <v>Jacobo Arango/Alejandro Montoya</v>
      </c>
      <c r="E75" s="59">
        <f>'1. Information samples'!E43</f>
        <v>27</v>
      </c>
      <c r="F75" s="42" t="str">
        <f>'1. Information samples'!F43</f>
        <v>F250008</v>
      </c>
      <c r="G75" s="42" t="str">
        <f>'1. Information samples'!G43</f>
        <v>Sample 8</v>
      </c>
      <c r="H75" s="42" t="str">
        <f>'1. Information samples'!H43</f>
        <v>Cynodon</v>
      </c>
      <c r="I75" s="42" t="str">
        <f>'1. Information samples'!I43</f>
        <v xml:space="preserve"> nlemfuensis </v>
      </c>
      <c r="J75" s="42" t="str">
        <f>'1. Information samples'!J43</f>
        <v xml:space="preserve">Cynodon nlemfuensis </v>
      </c>
      <c r="K75" s="42" t="str">
        <f>'1. Information samples'!K43</f>
        <v>Poaceae</v>
      </c>
      <c r="L75" s="42" t="str">
        <f>'1. Information samples'!L43</f>
        <v>Poales</v>
      </c>
      <c r="M75" s="42" t="str">
        <f>'1. Information samples'!M43</f>
        <v>grasses</v>
      </c>
      <c r="N75" s="42" t="str">
        <f>'1. Information samples'!N43</f>
        <v>58,59, 69</v>
      </c>
      <c r="O75" s="42" t="str">
        <f>'1. Information samples'!O43</f>
        <v>OT-002</v>
      </c>
      <c r="P75" s="74">
        <v>93.3</v>
      </c>
      <c r="Q75" s="342">
        <f>AVERAGE(P75:P76)</f>
        <v>93.55</v>
      </c>
      <c r="R75" s="229">
        <v>11.3</v>
      </c>
      <c r="S75" s="342">
        <f>AVERAGE(R75:R76)</f>
        <v>11.4</v>
      </c>
      <c r="T75" s="229">
        <v>88.7</v>
      </c>
      <c r="U75" s="342">
        <f>AVERAGE(T75:T76)</f>
        <v>88.6</v>
      </c>
      <c r="V75" s="65"/>
    </row>
    <row r="76" spans="2:22" x14ac:dyDescent="0.35">
      <c r="B76" s="19">
        <f t="shared" si="1"/>
        <v>66</v>
      </c>
      <c r="C76" s="7">
        <f>C75</f>
        <v>46041</v>
      </c>
      <c r="D76" s="7" t="str">
        <f t="shared" ref="D76" si="462">D75</f>
        <v>Jacobo Arango/Alejandro Montoya</v>
      </c>
      <c r="E76" s="14">
        <f t="shared" ref="E76" si="463">E75</f>
        <v>27</v>
      </c>
      <c r="F76" s="7" t="str">
        <f t="shared" ref="F76" si="464">F75</f>
        <v>F250008</v>
      </c>
      <c r="G76" s="7" t="str">
        <f t="shared" ref="G76" si="465">G75</f>
        <v>Sample 8</v>
      </c>
      <c r="H76" s="7" t="str">
        <f t="shared" ref="H76" si="466">H75</f>
        <v>Cynodon</v>
      </c>
      <c r="I76" s="7" t="str">
        <f t="shared" ref="I76" si="467">I75</f>
        <v xml:space="preserve"> nlemfuensis </v>
      </c>
      <c r="J76" s="7" t="str">
        <f t="shared" ref="J76" si="468">J75</f>
        <v xml:space="preserve">Cynodon nlemfuensis </v>
      </c>
      <c r="K76" s="7" t="str">
        <f t="shared" ref="K76" si="469">K75</f>
        <v>Poaceae</v>
      </c>
      <c r="L76" s="7" t="str">
        <f t="shared" ref="L76" si="470">L75</f>
        <v>Poales</v>
      </c>
      <c r="M76" s="7" t="str">
        <f t="shared" ref="M76" si="471">M75</f>
        <v>grasses</v>
      </c>
      <c r="N76" s="7" t="str">
        <f t="shared" ref="N76:O76" si="472">N75</f>
        <v>58,59, 69</v>
      </c>
      <c r="O76" s="7" t="str">
        <f t="shared" si="472"/>
        <v>OT-002</v>
      </c>
      <c r="P76" s="74">
        <v>93.8</v>
      </c>
      <c r="Q76" s="343"/>
      <c r="R76" s="229">
        <v>11.5</v>
      </c>
      <c r="S76" s="343"/>
      <c r="T76" s="229">
        <v>88.5</v>
      </c>
      <c r="U76" s="343"/>
      <c r="V76" s="65"/>
    </row>
    <row r="77" spans="2:22" x14ac:dyDescent="0.35">
      <c r="B77" s="19">
        <f t="shared" ref="B77:B140" si="473">B76+1</f>
        <v>67</v>
      </c>
      <c r="C77" s="42">
        <f>'1. Information samples'!C44</f>
        <v>46048</v>
      </c>
      <c r="D77" s="42" t="str">
        <f>'1. Information samples'!D44</f>
        <v>Genbank</v>
      </c>
      <c r="E77" s="59">
        <f>'1. Information samples'!E44</f>
        <v>28</v>
      </c>
      <c r="F77" s="42" t="str">
        <f>'1. Information samples'!F44</f>
        <v>F251758</v>
      </c>
      <c r="G77" s="42" t="str">
        <f>'1. Information samples'!G44</f>
        <v>CIAT-17459</v>
      </c>
      <c r="H77" s="42" t="str">
        <f>'1. Information samples'!H44</f>
        <v>Erythrina</v>
      </c>
      <c r="I77" s="42" t="str">
        <f>'1. Information samples'!I44</f>
        <v>berteroana</v>
      </c>
      <c r="J77" s="42" t="str">
        <f>'1. Information samples'!J44</f>
        <v>Erythrina berteroana</v>
      </c>
      <c r="K77" s="42" t="str">
        <f>'1. Information samples'!K44</f>
        <v>Fabaceae</v>
      </c>
      <c r="L77" s="42" t="str">
        <f>'1. Information samples'!L44</f>
        <v>Fabales</v>
      </c>
      <c r="M77" s="42" t="str">
        <f>'1. Information samples'!M44</f>
        <v>Tree</v>
      </c>
      <c r="N77" s="42" t="str">
        <f>'1. Information samples'!N44</f>
        <v>60,61, 62</v>
      </c>
      <c r="O77" s="20" t="str">
        <f>'1. Information samples'!O44</f>
        <v>OT-010</v>
      </c>
      <c r="P77" s="30">
        <v>94.512195121951308</v>
      </c>
      <c r="Q77" s="341">
        <f t="shared" ref="Q77" si="474">AVERAGE(P77:P78)</f>
        <v>94.587165133946471</v>
      </c>
      <c r="R77" s="66">
        <v>10.821664464993512</v>
      </c>
      <c r="S77" s="341">
        <f t="shared" ref="S77" si="475">AVERAGE(R77:R78)</f>
        <v>11.867899603698884</v>
      </c>
      <c r="T77" s="66">
        <v>89.178335535006482</v>
      </c>
      <c r="U77" s="341">
        <f t="shared" ref="U77" si="476">AVERAGE(T77:T78)</f>
        <v>88.132100396301112</v>
      </c>
      <c r="V77" s="65"/>
    </row>
    <row r="78" spans="2:22" x14ac:dyDescent="0.35">
      <c r="B78" s="19">
        <f t="shared" si="473"/>
        <v>68</v>
      </c>
      <c r="C78" s="7">
        <f>C77</f>
        <v>46048</v>
      </c>
      <c r="D78" s="7" t="str">
        <f t="shared" ref="D78" si="477">D77</f>
        <v>Genbank</v>
      </c>
      <c r="E78" s="14">
        <f t="shared" ref="E78" si="478">E77</f>
        <v>28</v>
      </c>
      <c r="F78" s="7" t="str">
        <f t="shared" ref="F78" si="479">F77</f>
        <v>F251758</v>
      </c>
      <c r="G78" s="7" t="str">
        <f t="shared" ref="G78" si="480">G77</f>
        <v>CIAT-17459</v>
      </c>
      <c r="H78" s="7" t="str">
        <f t="shared" ref="H78" si="481">H77</f>
        <v>Erythrina</v>
      </c>
      <c r="I78" s="7" t="str">
        <f t="shared" ref="I78" si="482">I77</f>
        <v>berteroana</v>
      </c>
      <c r="J78" s="7" t="str">
        <f t="shared" ref="J78" si="483">J77</f>
        <v>Erythrina berteroana</v>
      </c>
      <c r="K78" s="7" t="str">
        <f t="shared" ref="K78" si="484">K77</f>
        <v>Fabaceae</v>
      </c>
      <c r="L78" s="7" t="str">
        <f t="shared" ref="L78" si="485">L77</f>
        <v>Fabales</v>
      </c>
      <c r="M78" s="7" t="str">
        <f t="shared" ref="M78" si="486">M77</f>
        <v>Tree</v>
      </c>
      <c r="N78" s="7" t="str">
        <f t="shared" ref="N78" si="487">N77</f>
        <v>60,61, 62</v>
      </c>
      <c r="O78" s="30" t="str">
        <f t="shared" ref="O78" si="488">O77</f>
        <v>OT-010</v>
      </c>
      <c r="P78" s="30">
        <v>94.662135145941633</v>
      </c>
      <c r="Q78" s="341"/>
      <c r="R78" s="66">
        <v>12.914134742404254</v>
      </c>
      <c r="S78" s="341"/>
      <c r="T78" s="66">
        <v>87.085865257595742</v>
      </c>
      <c r="U78" s="341"/>
      <c r="V78" s="65"/>
    </row>
    <row r="79" spans="2:22" x14ac:dyDescent="0.35">
      <c r="B79" s="19">
        <f t="shared" si="473"/>
        <v>69</v>
      </c>
      <c r="C79" s="42">
        <f>'1. Information samples'!C45</f>
        <v>46048</v>
      </c>
      <c r="D79" s="42" t="str">
        <f>'1. Information samples'!D45</f>
        <v>Genbank</v>
      </c>
      <c r="E79" s="59">
        <f>'1. Information samples'!E45</f>
        <v>28</v>
      </c>
      <c r="F79" s="42" t="str">
        <f>'1. Information samples'!F45</f>
        <v>F251759</v>
      </c>
      <c r="G79" s="42" t="str">
        <f>'1. Information samples'!G45</f>
        <v>CIAT-17482</v>
      </c>
      <c r="H79" s="42" t="str">
        <f>'1. Information samples'!H45</f>
        <v>Leucaena</v>
      </c>
      <c r="I79" s="42" t="str">
        <f>'1. Information samples'!I45</f>
        <v>leucocephala</v>
      </c>
      <c r="J79" s="42" t="str">
        <f>'1. Information samples'!J45</f>
        <v>Leucaena leucocephala</v>
      </c>
      <c r="K79" s="42" t="str">
        <f>'1. Information samples'!K45</f>
        <v>Fabaceae</v>
      </c>
      <c r="L79" s="42" t="str">
        <f>'1. Information samples'!L45</f>
        <v>Fabales</v>
      </c>
      <c r="M79" s="42" t="str">
        <f>'1. Information samples'!M45</f>
        <v>Tree</v>
      </c>
      <c r="N79" s="42" t="str">
        <f>'1. Information samples'!N45</f>
        <v>60,61, 62</v>
      </c>
      <c r="O79" s="20" t="str">
        <f>'1. Information samples'!O45</f>
        <v>OT-010</v>
      </c>
      <c r="P79" s="30">
        <v>92.621475704858952</v>
      </c>
      <c r="Q79" s="341">
        <f t="shared" ref="Q79" si="489">AVERAGE(P79:P80)</f>
        <v>92.661832524028</v>
      </c>
      <c r="R79" s="66">
        <v>14.781987550633266</v>
      </c>
      <c r="S79" s="341">
        <f t="shared" ref="S79" si="490">AVERAGE(R79:R80)</f>
        <v>14.236419662219873</v>
      </c>
      <c r="T79" s="66">
        <v>85.218012449366739</v>
      </c>
      <c r="U79" s="341">
        <f t="shared" ref="U79" si="491">AVERAGE(T79:T80)</f>
        <v>85.763580337780127</v>
      </c>
      <c r="V79" s="65"/>
    </row>
    <row r="80" spans="2:22" x14ac:dyDescent="0.35">
      <c r="B80" s="19">
        <f t="shared" si="473"/>
        <v>70</v>
      </c>
      <c r="C80" s="7">
        <f>C79</f>
        <v>46048</v>
      </c>
      <c r="D80" s="7" t="str">
        <f t="shared" ref="D80" si="492">D79</f>
        <v>Genbank</v>
      </c>
      <c r="E80" s="14">
        <f t="shared" ref="E80" si="493">E79</f>
        <v>28</v>
      </c>
      <c r="F80" s="7" t="str">
        <f t="shared" ref="F80" si="494">F79</f>
        <v>F251759</v>
      </c>
      <c r="G80" s="7" t="str">
        <f t="shared" ref="G80" si="495">G79</f>
        <v>CIAT-17482</v>
      </c>
      <c r="H80" s="7" t="str">
        <f t="shared" ref="H80" si="496">H79</f>
        <v>Leucaena</v>
      </c>
      <c r="I80" s="7" t="str">
        <f t="shared" ref="I80" si="497">I79</f>
        <v>leucocephala</v>
      </c>
      <c r="J80" s="7" t="str">
        <f t="shared" ref="J80" si="498">J79</f>
        <v>Leucaena leucocephala</v>
      </c>
      <c r="K80" s="7" t="str">
        <f t="shared" ref="K80" si="499">K79</f>
        <v>Fabaceae</v>
      </c>
      <c r="L80" s="7" t="str">
        <f t="shared" ref="L80" si="500">L79</f>
        <v>Fabales</v>
      </c>
      <c r="M80" s="7" t="str">
        <f t="shared" ref="M80" si="501">M79</f>
        <v>Tree</v>
      </c>
      <c r="N80" s="7" t="str">
        <f t="shared" ref="N80" si="502">N79</f>
        <v>60,61, 62</v>
      </c>
      <c r="O80" s="30" t="str">
        <f t="shared" ref="O80" si="503">O79</f>
        <v>OT-010</v>
      </c>
      <c r="P80" s="30">
        <v>92.702189343197034</v>
      </c>
      <c r="Q80" s="341"/>
      <c r="R80" s="66">
        <v>13.690851773806479</v>
      </c>
      <c r="S80" s="341"/>
      <c r="T80" s="66">
        <v>86.309148226193514</v>
      </c>
      <c r="U80" s="341"/>
      <c r="V80" s="65"/>
    </row>
    <row r="81" spans="2:22" x14ac:dyDescent="0.35">
      <c r="B81" s="19">
        <f t="shared" si="473"/>
        <v>71</v>
      </c>
      <c r="C81" s="42">
        <f>'1. Information samples'!C46</f>
        <v>46048</v>
      </c>
      <c r="D81" s="42" t="str">
        <f>'1. Information samples'!D46</f>
        <v>Genbank</v>
      </c>
      <c r="E81" s="59">
        <f>'1. Information samples'!E46</f>
        <v>28</v>
      </c>
      <c r="F81" s="42" t="str">
        <f>'1. Information samples'!F46</f>
        <v>F251760</v>
      </c>
      <c r="G81" s="42" t="str">
        <f>'1. Information samples'!G46</f>
        <v>CIAT-17502</v>
      </c>
      <c r="H81" s="42" t="str">
        <f>'1. Information samples'!H46</f>
        <v>Leucaena</v>
      </c>
      <c r="I81" s="42" t="str">
        <f>'1. Information samples'!I46</f>
        <v>leucocephala</v>
      </c>
      <c r="J81" s="42" t="str">
        <f>'1. Information samples'!J46</f>
        <v>Leucaena leucocephala</v>
      </c>
      <c r="K81" s="42" t="str">
        <f>'1. Information samples'!K46</f>
        <v>Fabaceae</v>
      </c>
      <c r="L81" s="42" t="str">
        <f>'1. Information samples'!L46</f>
        <v>Fabales</v>
      </c>
      <c r="M81" s="42" t="str">
        <f>'1. Information samples'!M46</f>
        <v>Tree</v>
      </c>
      <c r="N81" s="42" t="str">
        <f>'1. Information samples'!N46</f>
        <v>60,61, 62</v>
      </c>
      <c r="O81" s="20" t="str">
        <f>'1. Information samples'!O46</f>
        <v>OT-010</v>
      </c>
      <c r="P81" s="30">
        <v>94.22115576884633</v>
      </c>
      <c r="Q81" s="341">
        <f t="shared" ref="Q81" si="504">AVERAGE(P81:P82)</f>
        <v>94.260862855925978</v>
      </c>
      <c r="R81" s="66">
        <v>11.158285742399837</v>
      </c>
      <c r="S81" s="341">
        <f t="shared" ref="S81" si="505">AVERAGE(R81:R82)</f>
        <v>12.956865033761142</v>
      </c>
      <c r="T81" s="66">
        <v>88.841714257600159</v>
      </c>
      <c r="U81" s="341">
        <f t="shared" ref="U81" si="506">AVERAGE(T81:T82)</f>
        <v>87.043134966238853</v>
      </c>
      <c r="V81" s="65"/>
    </row>
    <row r="82" spans="2:22" x14ac:dyDescent="0.35">
      <c r="B82" s="19">
        <f t="shared" si="473"/>
        <v>72</v>
      </c>
      <c r="C82" s="7">
        <f>C81</f>
        <v>46048</v>
      </c>
      <c r="D82" s="7" t="str">
        <f t="shared" ref="D82" si="507">D81</f>
        <v>Genbank</v>
      </c>
      <c r="E82" s="14">
        <f t="shared" ref="E82" si="508">E81</f>
        <v>28</v>
      </c>
      <c r="F82" s="7" t="str">
        <f t="shared" ref="F82" si="509">F81</f>
        <v>F251760</v>
      </c>
      <c r="G82" s="7" t="str">
        <f t="shared" ref="G82" si="510">G81</f>
        <v>CIAT-17502</v>
      </c>
      <c r="H82" s="7" t="str">
        <f t="shared" ref="H82" si="511">H81</f>
        <v>Leucaena</v>
      </c>
      <c r="I82" s="7" t="str">
        <f t="shared" ref="I82" si="512">I81</f>
        <v>leucocephala</v>
      </c>
      <c r="J82" s="7" t="str">
        <f t="shared" ref="J82" si="513">J81</f>
        <v>Leucaena leucocephala</v>
      </c>
      <c r="K82" s="7" t="str">
        <f t="shared" ref="K82" si="514">K81</f>
        <v>Fabaceae</v>
      </c>
      <c r="L82" s="7" t="str">
        <f t="shared" ref="L82" si="515">L81</f>
        <v>Fabales</v>
      </c>
      <c r="M82" s="7" t="str">
        <f t="shared" ref="M82" si="516">M81</f>
        <v>Tree</v>
      </c>
      <c r="N82" s="7" t="str">
        <f t="shared" ref="N82" si="517">N81</f>
        <v>60,61, 62</v>
      </c>
      <c r="O82" s="30" t="str">
        <f t="shared" ref="O82" si="518">O81</f>
        <v>OT-010</v>
      </c>
      <c r="P82" s="30">
        <v>94.300569943005641</v>
      </c>
      <c r="Q82" s="341"/>
      <c r="R82" s="66">
        <v>14.755444325122447</v>
      </c>
      <c r="S82" s="341"/>
      <c r="T82" s="66">
        <v>85.244555674877546</v>
      </c>
      <c r="U82" s="341"/>
      <c r="V82" s="65"/>
    </row>
    <row r="83" spans="2:22" x14ac:dyDescent="0.35">
      <c r="B83" s="19">
        <f t="shared" si="473"/>
        <v>73</v>
      </c>
      <c r="C83" s="42">
        <f>'1. Information samples'!C47</f>
        <v>46048</v>
      </c>
      <c r="D83" s="42" t="str">
        <f>'1. Information samples'!D47</f>
        <v>Genbank</v>
      </c>
      <c r="E83" s="59">
        <f>'1. Information samples'!E47</f>
        <v>28</v>
      </c>
      <c r="F83" s="42" t="str">
        <f>'1. Information samples'!F47</f>
        <v>F251761</v>
      </c>
      <c r="G83" s="42" t="str">
        <f>'1. Information samples'!G47</f>
        <v>CIAT-19384</v>
      </c>
      <c r="H83" s="42" t="str">
        <f>'1. Information samples'!H47</f>
        <v>Prosopis</v>
      </c>
      <c r="I83" s="42" t="str">
        <f>'1. Information samples'!I47</f>
        <v>juliflora</v>
      </c>
      <c r="J83" s="42" t="str">
        <f>'1. Information samples'!J47</f>
        <v>Prosopis juliflora</v>
      </c>
      <c r="K83" s="42" t="str">
        <f>'1. Information samples'!K47</f>
        <v>Fabaceae</v>
      </c>
      <c r="L83" s="42" t="str">
        <f>'1. Information samples'!L47</f>
        <v>Fabales</v>
      </c>
      <c r="M83" s="42" t="str">
        <f>'1. Information samples'!M47</f>
        <v>Tree</v>
      </c>
      <c r="N83" s="42" t="str">
        <f>'1. Information samples'!N47</f>
        <v>60,61, 62</v>
      </c>
      <c r="O83" s="20" t="str">
        <f>'1. Information samples'!O47</f>
        <v>OT-010</v>
      </c>
      <c r="P83" s="30">
        <v>93.313343328335861</v>
      </c>
      <c r="Q83" s="341">
        <f t="shared" ref="Q83" si="519">AVERAGE(P83:P84)</f>
        <v>93.387652369956228</v>
      </c>
      <c r="R83" s="66">
        <v>11.91210775600168</v>
      </c>
      <c r="S83" s="341">
        <f t="shared" ref="S83" si="520">AVERAGE(R83:R84)</f>
        <v>10.334334372505555</v>
      </c>
      <c r="T83" s="66">
        <v>88.087892243998326</v>
      </c>
      <c r="U83" s="341">
        <f t="shared" ref="U83" si="521">AVERAGE(T83:T84)</f>
        <v>89.665665627494448</v>
      </c>
      <c r="V83" s="65"/>
    </row>
    <row r="84" spans="2:22" x14ac:dyDescent="0.35">
      <c r="B84" s="19">
        <f t="shared" si="473"/>
        <v>74</v>
      </c>
      <c r="C84" s="7">
        <f>C83</f>
        <v>46048</v>
      </c>
      <c r="D84" s="7" t="str">
        <f t="shared" ref="D84" si="522">D83</f>
        <v>Genbank</v>
      </c>
      <c r="E84" s="14">
        <f t="shared" ref="E84" si="523">E83</f>
        <v>28</v>
      </c>
      <c r="F84" s="7" t="str">
        <f t="shared" ref="F84" si="524">F83</f>
        <v>F251761</v>
      </c>
      <c r="G84" s="7" t="str">
        <f t="shared" ref="G84" si="525">G83</f>
        <v>CIAT-19384</v>
      </c>
      <c r="H84" s="7" t="str">
        <f t="shared" ref="H84" si="526">H83</f>
        <v>Prosopis</v>
      </c>
      <c r="I84" s="7" t="str">
        <f t="shared" ref="I84" si="527">I83</f>
        <v>juliflora</v>
      </c>
      <c r="J84" s="7" t="str">
        <f t="shared" ref="J84" si="528">J83</f>
        <v>Prosopis juliflora</v>
      </c>
      <c r="K84" s="7" t="str">
        <f t="shared" ref="K84" si="529">K83</f>
        <v>Fabaceae</v>
      </c>
      <c r="L84" s="7" t="str">
        <f t="shared" ref="L84" si="530">L83</f>
        <v>Fabales</v>
      </c>
      <c r="M84" s="7" t="str">
        <f t="shared" ref="M84" si="531">M83</f>
        <v>Tree</v>
      </c>
      <c r="N84" s="7" t="str">
        <f t="shared" ref="N84" si="532">N83</f>
        <v>60,61, 62</v>
      </c>
      <c r="O84" s="30" t="str">
        <f t="shared" ref="O84" si="533">O83</f>
        <v>OT-010</v>
      </c>
      <c r="P84" s="30">
        <v>93.461961411576596</v>
      </c>
      <c r="Q84" s="341"/>
      <c r="R84" s="66">
        <v>8.7565609890094294</v>
      </c>
      <c r="S84" s="341"/>
      <c r="T84" s="66">
        <v>91.243439010990571</v>
      </c>
      <c r="U84" s="341"/>
      <c r="V84" s="65"/>
    </row>
    <row r="85" spans="2:22" x14ac:dyDescent="0.35">
      <c r="B85" s="19">
        <f t="shared" si="473"/>
        <v>75</v>
      </c>
      <c r="C85" s="42">
        <f>'1. Information samples'!C48</f>
        <v>46048</v>
      </c>
      <c r="D85" s="42" t="str">
        <f>'1. Information samples'!D48</f>
        <v>Genbank</v>
      </c>
      <c r="E85" s="59">
        <f>'1. Information samples'!E48</f>
        <v>28</v>
      </c>
      <c r="F85" s="42" t="str">
        <f>'1. Information samples'!F48</f>
        <v>F251762</v>
      </c>
      <c r="G85" s="42" t="str">
        <f>'1. Information samples'!G48</f>
        <v>CIAT-19571</v>
      </c>
      <c r="H85" s="42" t="str">
        <f>'1. Information samples'!H48</f>
        <v>Senna</v>
      </c>
      <c r="I85" s="42" t="str">
        <f>'1. Information samples'!I48</f>
        <v>cobanensis</v>
      </c>
      <c r="J85" s="42" t="str">
        <f>'1. Information samples'!J48</f>
        <v>Senna cobanensis</v>
      </c>
      <c r="K85" s="42" t="str">
        <f>'1. Information samples'!K48</f>
        <v>Fabaceae</v>
      </c>
      <c r="L85" s="42" t="str">
        <f>'1. Information samples'!L48</f>
        <v>Fabales</v>
      </c>
      <c r="M85" s="42" t="str">
        <f>'1. Information samples'!M48</f>
        <v>Tree</v>
      </c>
      <c r="N85" s="42" t="str">
        <f>'1. Information samples'!N48</f>
        <v>60,61, 62</v>
      </c>
      <c r="O85" s="20" t="str">
        <f>'1. Information samples'!O48</f>
        <v>OT-010</v>
      </c>
      <c r="P85" s="30">
        <v>93.154107535478829</v>
      </c>
      <c r="Q85" s="341">
        <f t="shared" ref="Q85" si="534">AVERAGE(P85:P86)</f>
        <v>93.207390734042775</v>
      </c>
      <c r="R85" s="66">
        <v>6.1117278425099979</v>
      </c>
      <c r="S85" s="341">
        <f t="shared" ref="S85" si="535">AVERAGE(R85:R86)</f>
        <v>6.081072551161764</v>
      </c>
      <c r="T85" s="66">
        <v>93.888272157490007</v>
      </c>
      <c r="U85" s="341">
        <f t="shared" ref="U85" si="536">AVERAGE(T85:T86)</f>
        <v>93.918927448838247</v>
      </c>
      <c r="V85" s="65"/>
    </row>
    <row r="86" spans="2:22" x14ac:dyDescent="0.35">
      <c r="B86" s="19">
        <f t="shared" si="473"/>
        <v>76</v>
      </c>
      <c r="C86" s="7">
        <f>C85</f>
        <v>46048</v>
      </c>
      <c r="D86" s="7" t="str">
        <f t="shared" ref="D86" si="537">D85</f>
        <v>Genbank</v>
      </c>
      <c r="E86" s="14">
        <f t="shared" ref="E86" si="538">E85</f>
        <v>28</v>
      </c>
      <c r="F86" s="7" t="str">
        <f t="shared" ref="F86" si="539">F85</f>
        <v>F251762</v>
      </c>
      <c r="G86" s="7" t="str">
        <f t="shared" ref="G86" si="540">G85</f>
        <v>CIAT-19571</v>
      </c>
      <c r="H86" s="7" t="str">
        <f t="shared" ref="H86" si="541">H85</f>
        <v>Senna</v>
      </c>
      <c r="I86" s="7" t="str">
        <f t="shared" ref="I86" si="542">I85</f>
        <v>cobanensis</v>
      </c>
      <c r="J86" s="7" t="str">
        <f t="shared" ref="J86" si="543">J85</f>
        <v>Senna cobanensis</v>
      </c>
      <c r="K86" s="7" t="str">
        <f t="shared" ref="K86" si="544">K85</f>
        <v>Fabaceae</v>
      </c>
      <c r="L86" s="7" t="str">
        <f t="shared" ref="L86" si="545">L85</f>
        <v>Fabales</v>
      </c>
      <c r="M86" s="7" t="str">
        <f t="shared" ref="M86" si="546">M85</f>
        <v>Tree</v>
      </c>
      <c r="N86" s="7" t="str">
        <f t="shared" ref="N86" si="547">N85</f>
        <v>60,61, 62</v>
      </c>
      <c r="O86" s="30" t="str">
        <f t="shared" ref="O86" si="548">O85</f>
        <v>OT-010</v>
      </c>
      <c r="P86" s="30">
        <v>93.260673932606707</v>
      </c>
      <c r="Q86" s="341"/>
      <c r="R86" s="66">
        <v>6.0504172598135302</v>
      </c>
      <c r="S86" s="341"/>
      <c r="T86" s="66">
        <v>93.949582740186472</v>
      </c>
      <c r="U86" s="341"/>
      <c r="V86" s="65"/>
    </row>
    <row r="87" spans="2:22" x14ac:dyDescent="0.35">
      <c r="B87" s="19">
        <f t="shared" si="473"/>
        <v>77</v>
      </c>
      <c r="C87" s="42">
        <f>'1. Information samples'!C49</f>
        <v>46048</v>
      </c>
      <c r="D87" s="42" t="str">
        <f>'1. Information samples'!D49</f>
        <v>Genbank</v>
      </c>
      <c r="E87" s="59">
        <f>'1. Information samples'!E49</f>
        <v>28</v>
      </c>
      <c r="F87" s="42" t="str">
        <f>'1. Information samples'!F49</f>
        <v>F251763</v>
      </c>
      <c r="G87" s="42" t="str">
        <f>'1. Information samples'!G49</f>
        <v>CIAT-20126</v>
      </c>
      <c r="H87" s="42" t="str">
        <f>'1. Information samples'!H49</f>
        <v>Acacia</v>
      </c>
      <c r="I87" s="42" t="str">
        <f>'1. Information samples'!I49</f>
        <v>angustissima</v>
      </c>
      <c r="J87" s="42" t="str">
        <f>'1. Information samples'!J49</f>
        <v>Acacia angustissima</v>
      </c>
      <c r="K87" s="42" t="str">
        <f>'1. Information samples'!K49</f>
        <v>Fabaceae</v>
      </c>
      <c r="L87" s="42" t="str">
        <f>'1. Information samples'!L49</f>
        <v>Fabales</v>
      </c>
      <c r="M87" s="42" t="str">
        <f>'1. Information samples'!M49</f>
        <v>Tree</v>
      </c>
      <c r="N87" s="42" t="str">
        <f>'1. Information samples'!N49</f>
        <v>60,61, 62</v>
      </c>
      <c r="O87" s="20" t="str">
        <f>'1. Information samples'!O49</f>
        <v>OT-010</v>
      </c>
      <c r="P87" s="18">
        <v>93.923038480759729</v>
      </c>
      <c r="Q87" s="341">
        <f t="shared" ref="Q87" si="549">AVERAGE(P87:P88)</f>
        <v>93.972117120803745</v>
      </c>
      <c r="R87" s="66">
        <v>5.7966943054145155</v>
      </c>
      <c r="S87" s="341">
        <f t="shared" ref="S87" si="550">AVERAGE(R87:R88)</f>
        <v>5.7762849826081304</v>
      </c>
      <c r="T87" s="66">
        <v>94.203305694585481</v>
      </c>
      <c r="U87" s="341">
        <f t="shared" ref="U87" si="551">AVERAGE(T87:T88)</f>
        <v>94.223715017391868</v>
      </c>
      <c r="V87" s="65"/>
    </row>
    <row r="88" spans="2:22" x14ac:dyDescent="0.35">
      <c r="B88" s="19">
        <f t="shared" si="473"/>
        <v>78</v>
      </c>
      <c r="C88" s="7">
        <f>C87</f>
        <v>46048</v>
      </c>
      <c r="D88" s="7" t="str">
        <f t="shared" ref="D88" si="552">D87</f>
        <v>Genbank</v>
      </c>
      <c r="E88" s="14">
        <f t="shared" ref="E88" si="553">E87</f>
        <v>28</v>
      </c>
      <c r="F88" s="7" t="str">
        <f t="shared" ref="F88" si="554">F87</f>
        <v>F251763</v>
      </c>
      <c r="G88" s="7" t="str">
        <f t="shared" ref="G88" si="555">G87</f>
        <v>CIAT-20126</v>
      </c>
      <c r="H88" s="7" t="str">
        <f t="shared" ref="H88" si="556">H87</f>
        <v>Acacia</v>
      </c>
      <c r="I88" s="7" t="str">
        <f t="shared" ref="I88" si="557">I87</f>
        <v>angustissima</v>
      </c>
      <c r="J88" s="7" t="str">
        <f t="shared" ref="J88" si="558">J87</f>
        <v>Acacia angustissima</v>
      </c>
      <c r="K88" s="7" t="str">
        <f t="shared" ref="K88" si="559">K87</f>
        <v>Fabaceae</v>
      </c>
      <c r="L88" s="7" t="str">
        <f t="shared" ref="L88" si="560">L87</f>
        <v>Fabales</v>
      </c>
      <c r="M88" s="7" t="str">
        <f t="shared" ref="M88" si="561">M87</f>
        <v>Tree</v>
      </c>
      <c r="N88" s="7" t="str">
        <f t="shared" ref="N88" si="562">N87</f>
        <v>60,61, 62</v>
      </c>
      <c r="O88" s="30" t="str">
        <f t="shared" ref="O88" si="563">O87</f>
        <v>OT-010</v>
      </c>
      <c r="P88" s="18">
        <v>94.021195760847775</v>
      </c>
      <c r="Q88" s="341"/>
      <c r="R88" s="66">
        <v>5.7558756598017462</v>
      </c>
      <c r="S88" s="341"/>
      <c r="T88" s="66">
        <v>94.244124340198255</v>
      </c>
      <c r="U88" s="341"/>
      <c r="V88" s="65"/>
    </row>
    <row r="89" spans="2:22" x14ac:dyDescent="0.35">
      <c r="B89" s="19">
        <f t="shared" si="473"/>
        <v>79</v>
      </c>
      <c r="C89" s="42">
        <f>'1. Information samples'!C50</f>
        <v>46048</v>
      </c>
      <c r="D89" s="42" t="str">
        <f>'1. Information samples'!D50</f>
        <v>Genbank</v>
      </c>
      <c r="E89" s="59">
        <f>'1. Information samples'!E50</f>
        <v>28</v>
      </c>
      <c r="F89" s="42" t="str">
        <f>'1. Information samples'!F50</f>
        <v>F251764</v>
      </c>
      <c r="G89" s="42" t="str">
        <f>'1. Information samples'!G50</f>
        <v>CIAT-20788</v>
      </c>
      <c r="H89" s="42" t="str">
        <f>'1. Information samples'!H50</f>
        <v>Senna</v>
      </c>
      <c r="I89" s="42" t="str">
        <f>'1. Information samples'!I50</f>
        <v>pallida</v>
      </c>
      <c r="J89" s="42" t="str">
        <f>'1. Information samples'!J50</f>
        <v>Senna pallida</v>
      </c>
      <c r="K89" s="42" t="str">
        <f>'1. Information samples'!K50</f>
        <v>Fabaceae</v>
      </c>
      <c r="L89" s="42" t="str">
        <f>'1. Information samples'!L50</f>
        <v>Fabales</v>
      </c>
      <c r="M89" s="42" t="str">
        <f>'1. Information samples'!M50</f>
        <v>Tree</v>
      </c>
      <c r="N89" s="42" t="str">
        <f>'1. Information samples'!N50</f>
        <v>60,61, 62</v>
      </c>
      <c r="O89" s="20" t="str">
        <f>'1. Information samples'!O50</f>
        <v>OT-010</v>
      </c>
      <c r="P89" s="18">
        <v>93.871838448465468</v>
      </c>
      <c r="Q89" s="341">
        <f t="shared" ref="Q89" si="564">AVERAGE(P89:P90)</f>
        <v>93.916824952514233</v>
      </c>
      <c r="R89" s="66">
        <v>9.7290968119642738</v>
      </c>
      <c r="S89" s="341">
        <f t="shared" ref="S89" si="565">AVERAGE(R89:R90)</f>
        <v>9.7450636010430483</v>
      </c>
      <c r="T89" s="66">
        <v>90.270903188035732</v>
      </c>
      <c r="U89" s="341">
        <f t="shared" ref="U89" si="566">AVERAGE(T89:T90)</f>
        <v>90.254936398956957</v>
      </c>
      <c r="V89" s="65"/>
    </row>
    <row r="90" spans="2:22" x14ac:dyDescent="0.35">
      <c r="B90" s="19">
        <f t="shared" si="473"/>
        <v>80</v>
      </c>
      <c r="C90" s="7">
        <f>C89</f>
        <v>46048</v>
      </c>
      <c r="D90" s="7" t="str">
        <f t="shared" ref="D90" si="567">D89</f>
        <v>Genbank</v>
      </c>
      <c r="E90" s="14">
        <f t="shared" ref="E90" si="568">E89</f>
        <v>28</v>
      </c>
      <c r="F90" s="7" t="str">
        <f t="shared" ref="F90" si="569">F89</f>
        <v>F251764</v>
      </c>
      <c r="G90" s="7" t="str">
        <f t="shared" ref="G90" si="570">G89</f>
        <v>CIAT-20788</v>
      </c>
      <c r="H90" s="7" t="str">
        <f t="shared" ref="H90" si="571">H89</f>
        <v>Senna</v>
      </c>
      <c r="I90" s="7" t="str">
        <f t="shared" ref="I90" si="572">I89</f>
        <v>pallida</v>
      </c>
      <c r="J90" s="7" t="str">
        <f t="shared" ref="J90" si="573">J89</f>
        <v>Senna pallida</v>
      </c>
      <c r="K90" s="7" t="str">
        <f t="shared" ref="K90" si="574">K89</f>
        <v>Fabaceae</v>
      </c>
      <c r="L90" s="7" t="str">
        <f t="shared" ref="L90" si="575">L89</f>
        <v>Fabales</v>
      </c>
      <c r="M90" s="7" t="str">
        <f t="shared" ref="M90" si="576">M89</f>
        <v>Tree</v>
      </c>
      <c r="N90" s="7" t="str">
        <f t="shared" ref="N90" si="577">N89</f>
        <v>60,61, 62</v>
      </c>
      <c r="O90" s="30" t="str">
        <f t="shared" ref="O90" si="578">O89</f>
        <v>OT-010</v>
      </c>
      <c r="P90" s="18">
        <v>93.961811456562998</v>
      </c>
      <c r="Q90" s="341"/>
      <c r="R90" s="66">
        <v>9.7610303901218227</v>
      </c>
      <c r="S90" s="341"/>
      <c r="T90" s="66">
        <v>90.238969609878183</v>
      </c>
      <c r="U90" s="341"/>
      <c r="V90" s="65"/>
    </row>
    <row r="91" spans="2:22" x14ac:dyDescent="0.35">
      <c r="B91" s="19">
        <f t="shared" si="473"/>
        <v>81</v>
      </c>
      <c r="C91" s="42">
        <f>'1. Information samples'!C51</f>
        <v>46048</v>
      </c>
      <c r="D91" s="42" t="str">
        <f>'1. Information samples'!D51</f>
        <v>Genbank</v>
      </c>
      <c r="E91" s="59">
        <f>'1. Information samples'!E51</f>
        <v>28</v>
      </c>
      <c r="F91" s="42" t="str">
        <f>'1. Information samples'!F51</f>
        <v>F251765</v>
      </c>
      <c r="G91" s="42" t="str">
        <f>'1. Information samples'!G51</f>
        <v>CIAT-21242</v>
      </c>
      <c r="H91" s="42" t="str">
        <f>'1. Information samples'!H51</f>
        <v>Leucaena</v>
      </c>
      <c r="I91" s="42" t="str">
        <f>'1. Information samples'!I51</f>
        <v>diversifolia</v>
      </c>
      <c r="J91" s="42" t="str">
        <f>'1. Information samples'!J51</f>
        <v>Leucaena diversifolia</v>
      </c>
      <c r="K91" s="42" t="str">
        <f>'1. Information samples'!K51</f>
        <v>Fabaceae</v>
      </c>
      <c r="L91" s="42" t="str">
        <f>'1. Information samples'!L51</f>
        <v>Fabales</v>
      </c>
      <c r="M91" s="42" t="str">
        <f>'1. Information samples'!M51</f>
        <v>Tree</v>
      </c>
      <c r="N91" s="42" t="str">
        <f>'1. Information samples'!N51</f>
        <v>60,61, 62</v>
      </c>
      <c r="O91" s="20" t="str">
        <f>'1. Information samples'!O51</f>
        <v>OT-010</v>
      </c>
      <c r="P91" s="18">
        <v>93.132060381885481</v>
      </c>
      <c r="Q91" s="341">
        <f t="shared" ref="Q91" si="579">AVERAGE(P91:P92)</f>
        <v>93.211365657396129</v>
      </c>
      <c r="R91" s="66">
        <v>6.842606080325857</v>
      </c>
      <c r="S91" s="341">
        <f t="shared" ref="S91" si="580">AVERAGE(R91:R92)</f>
        <v>6.8754719706245817</v>
      </c>
      <c r="T91" s="66">
        <v>93.157393919674149</v>
      </c>
      <c r="U91" s="341">
        <f t="shared" ref="U91" si="581">AVERAGE(T91:T92)</f>
        <v>93.124528029375426</v>
      </c>
      <c r="V91" s="65"/>
    </row>
    <row r="92" spans="2:22" x14ac:dyDescent="0.35">
      <c r="B92" s="19">
        <f t="shared" si="473"/>
        <v>82</v>
      </c>
      <c r="C92" s="7">
        <f>C91</f>
        <v>46048</v>
      </c>
      <c r="D92" s="7" t="str">
        <f t="shared" ref="D92" si="582">D91</f>
        <v>Genbank</v>
      </c>
      <c r="E92" s="14">
        <f t="shared" ref="E92" si="583">E91</f>
        <v>28</v>
      </c>
      <c r="F92" s="7" t="str">
        <f t="shared" ref="F92" si="584">F91</f>
        <v>F251765</v>
      </c>
      <c r="G92" s="7" t="str">
        <f t="shared" ref="G92" si="585">G91</f>
        <v>CIAT-21242</v>
      </c>
      <c r="H92" s="7" t="str">
        <f t="shared" ref="H92" si="586">H91</f>
        <v>Leucaena</v>
      </c>
      <c r="I92" s="7" t="str">
        <f t="shared" ref="I92" si="587">I91</f>
        <v>diversifolia</v>
      </c>
      <c r="J92" s="7" t="str">
        <f t="shared" ref="J92" si="588">J91</f>
        <v>Leucaena diversifolia</v>
      </c>
      <c r="K92" s="7" t="str">
        <f t="shared" ref="K92" si="589">K91</f>
        <v>Fabaceae</v>
      </c>
      <c r="L92" s="7" t="str">
        <f t="shared" ref="L92" si="590">L91</f>
        <v>Fabales</v>
      </c>
      <c r="M92" s="7" t="str">
        <f t="shared" ref="M92" si="591">M91</f>
        <v>Tree</v>
      </c>
      <c r="N92" s="7" t="str">
        <f t="shared" ref="N92" si="592">N91</f>
        <v>60,61, 62</v>
      </c>
      <c r="O92" s="30" t="str">
        <f t="shared" ref="O92" si="593">O91</f>
        <v>OT-010</v>
      </c>
      <c r="P92" s="18">
        <v>93.290670932906778</v>
      </c>
      <c r="Q92" s="341"/>
      <c r="R92" s="66">
        <v>6.9083378609233064</v>
      </c>
      <c r="S92" s="341"/>
      <c r="T92" s="66">
        <v>93.091662139076689</v>
      </c>
      <c r="U92" s="341"/>
      <c r="V92" s="65"/>
    </row>
    <row r="93" spans="2:22" x14ac:dyDescent="0.35">
      <c r="B93" s="19">
        <f t="shared" si="473"/>
        <v>83</v>
      </c>
      <c r="C93" s="42">
        <f>'1. Information samples'!C52</f>
        <v>46048</v>
      </c>
      <c r="D93" s="42" t="str">
        <f>'1. Information samples'!D52</f>
        <v>Genbank</v>
      </c>
      <c r="E93" s="59">
        <f>'1. Information samples'!E52</f>
        <v>28</v>
      </c>
      <c r="F93" s="42" t="str">
        <f>'1. Information samples'!F52</f>
        <v>F251766</v>
      </c>
      <c r="G93" s="42" t="str">
        <f>'1. Information samples'!G52</f>
        <v>CIAT-21512</v>
      </c>
      <c r="H93" s="42" t="str">
        <f>'1. Information samples'!H52</f>
        <v>Calliandra</v>
      </c>
      <c r="I93" s="42" t="str">
        <f>'1. Information samples'!I52</f>
        <v>calothyrsus</v>
      </c>
      <c r="J93" s="42" t="str">
        <f>'1. Information samples'!J52</f>
        <v>Calliandra calothyrsus</v>
      </c>
      <c r="K93" s="42" t="str">
        <f>'1. Information samples'!K52</f>
        <v>Fabaceae</v>
      </c>
      <c r="L93" s="42" t="str">
        <f>'1. Information samples'!L52</f>
        <v>Fabales</v>
      </c>
      <c r="M93" s="42" t="str">
        <f>'1. Information samples'!M52</f>
        <v>Tree</v>
      </c>
      <c r="N93" s="42" t="str">
        <f>'1. Information samples'!N52</f>
        <v>60,61, 62</v>
      </c>
      <c r="O93" s="20" t="str">
        <f>'1. Information samples'!O52</f>
        <v>OT-010</v>
      </c>
      <c r="P93" s="18">
        <v>92.393042782886809</v>
      </c>
      <c r="Q93" s="341">
        <f t="shared" ref="Q93" si="594">AVERAGE(P93:P94)</f>
        <v>92.787884846061559</v>
      </c>
      <c r="R93" s="66">
        <v>4.7939671424724173</v>
      </c>
      <c r="S93" s="341">
        <f t="shared" ref="S93" si="595">AVERAGE(R93:R94)</f>
        <v>4.7831941826016706</v>
      </c>
      <c r="T93" s="66">
        <v>95.206032857527589</v>
      </c>
      <c r="U93" s="341">
        <f t="shared" ref="U93" si="596">AVERAGE(T93:T94)</f>
        <v>95.216805817398324</v>
      </c>
      <c r="V93" s="65"/>
    </row>
    <row r="94" spans="2:22" x14ac:dyDescent="0.35">
      <c r="B94" s="19">
        <f t="shared" si="473"/>
        <v>84</v>
      </c>
      <c r="C94" s="7">
        <f>C93</f>
        <v>46048</v>
      </c>
      <c r="D94" s="7" t="str">
        <f t="shared" ref="D94" si="597">D93</f>
        <v>Genbank</v>
      </c>
      <c r="E94" s="14">
        <f t="shared" ref="E94" si="598">E93</f>
        <v>28</v>
      </c>
      <c r="F94" s="7" t="str">
        <f t="shared" ref="F94" si="599">F93</f>
        <v>F251766</v>
      </c>
      <c r="G94" s="7" t="str">
        <f t="shared" ref="G94" si="600">G93</f>
        <v>CIAT-21512</v>
      </c>
      <c r="H94" s="7" t="str">
        <f t="shared" ref="H94" si="601">H93</f>
        <v>Calliandra</v>
      </c>
      <c r="I94" s="7" t="str">
        <f t="shared" ref="I94" si="602">I93</f>
        <v>calothyrsus</v>
      </c>
      <c r="J94" s="7" t="str">
        <f t="shared" ref="J94" si="603">J93</f>
        <v>Calliandra calothyrsus</v>
      </c>
      <c r="K94" s="7" t="str">
        <f t="shared" ref="K94" si="604">K93</f>
        <v>Fabaceae</v>
      </c>
      <c r="L94" s="7" t="str">
        <f t="shared" ref="L94" si="605">L93</f>
        <v>Fabales</v>
      </c>
      <c r="M94" s="7" t="str">
        <f t="shared" ref="M94" si="606">M93</f>
        <v>Tree</v>
      </c>
      <c r="N94" s="7" t="str">
        <f t="shared" ref="N94" si="607">N93</f>
        <v>60,61, 62</v>
      </c>
      <c r="O94" s="30" t="str">
        <f t="shared" ref="O94" si="608">O93</f>
        <v>OT-010</v>
      </c>
      <c r="P94" s="18">
        <v>93.182726909236308</v>
      </c>
      <c r="Q94" s="341"/>
      <c r="R94" s="66">
        <v>4.7724212227309231</v>
      </c>
      <c r="S94" s="341"/>
      <c r="T94" s="66">
        <v>95.227578777269073</v>
      </c>
      <c r="U94" s="341"/>
      <c r="V94" s="65"/>
    </row>
    <row r="95" spans="2:22" x14ac:dyDescent="0.35">
      <c r="B95" s="19">
        <f t="shared" si="473"/>
        <v>85</v>
      </c>
      <c r="C95" s="42">
        <f>'1. Information samples'!C53</f>
        <v>46048</v>
      </c>
      <c r="D95" s="42" t="str">
        <f>'1. Information samples'!D53</f>
        <v>Genbank</v>
      </c>
      <c r="E95" s="59">
        <f>'1. Information samples'!E53</f>
        <v>28</v>
      </c>
      <c r="F95" s="42" t="str">
        <f>'1. Information samples'!F53</f>
        <v>F251767</v>
      </c>
      <c r="G95" s="42" t="str">
        <f>'1. Information samples'!G53</f>
        <v>CIAT-21601</v>
      </c>
      <c r="H95" s="42" t="str">
        <f>'1. Information samples'!H53</f>
        <v>Erythrina</v>
      </c>
      <c r="I95" s="42" t="str">
        <f>'1. Information samples'!I53</f>
        <v>fusca</v>
      </c>
      <c r="J95" s="42" t="str">
        <f>'1. Information samples'!J53</f>
        <v>Erythrina fusca</v>
      </c>
      <c r="K95" s="42" t="str">
        <f>'1. Information samples'!K53</f>
        <v>Fabaceae</v>
      </c>
      <c r="L95" s="42" t="str">
        <f>'1. Information samples'!L53</f>
        <v>Fabales</v>
      </c>
      <c r="M95" s="42" t="str">
        <f>'1. Information samples'!M53</f>
        <v>Tree</v>
      </c>
      <c r="N95" s="42" t="str">
        <f>'1. Information samples'!N53</f>
        <v>60,61, 62</v>
      </c>
      <c r="O95" s="20" t="str">
        <f>'1. Information samples'!O53</f>
        <v>OT-010</v>
      </c>
      <c r="P95" s="18">
        <v>93.870612938706174</v>
      </c>
      <c r="Q95" s="341">
        <f t="shared" ref="Q95" si="609">AVERAGE(P95:P96)</f>
        <v>93.236785877589853</v>
      </c>
      <c r="R95" s="66">
        <v>7.1745620614547398</v>
      </c>
      <c r="S95" s="341">
        <f t="shared" ref="S95" si="610">AVERAGE(R95:R96)</f>
        <v>7.0448332033495689</v>
      </c>
      <c r="T95" s="66">
        <v>92.825437938545264</v>
      </c>
      <c r="U95" s="341">
        <f t="shared" ref="U95" si="611">AVERAGE(T95:T96)</f>
        <v>92.955166796650431</v>
      </c>
      <c r="V95" s="65"/>
    </row>
    <row r="96" spans="2:22" x14ac:dyDescent="0.35">
      <c r="B96" s="19">
        <f t="shared" si="473"/>
        <v>86</v>
      </c>
      <c r="C96" s="7">
        <f>C95</f>
        <v>46048</v>
      </c>
      <c r="D96" s="7" t="str">
        <f t="shared" ref="D96" si="612">D95</f>
        <v>Genbank</v>
      </c>
      <c r="E96" s="14">
        <f t="shared" ref="E96" si="613">E95</f>
        <v>28</v>
      </c>
      <c r="F96" s="7" t="str">
        <f t="shared" ref="F96" si="614">F95</f>
        <v>F251767</v>
      </c>
      <c r="G96" s="7" t="str">
        <f t="shared" ref="G96" si="615">G95</f>
        <v>CIAT-21601</v>
      </c>
      <c r="H96" s="7" t="str">
        <f t="shared" ref="H96" si="616">H95</f>
        <v>Erythrina</v>
      </c>
      <c r="I96" s="7" t="str">
        <f t="shared" ref="I96" si="617">I95</f>
        <v>fusca</v>
      </c>
      <c r="J96" s="7" t="str">
        <f t="shared" ref="J96" si="618">J95</f>
        <v>Erythrina fusca</v>
      </c>
      <c r="K96" s="7" t="str">
        <f t="shared" ref="K96" si="619">K95</f>
        <v>Fabaceae</v>
      </c>
      <c r="L96" s="7" t="str">
        <f t="shared" ref="L96" si="620">L95</f>
        <v>Fabales</v>
      </c>
      <c r="M96" s="7" t="str">
        <f t="shared" ref="M96" si="621">M95</f>
        <v>Tree</v>
      </c>
      <c r="N96" s="7" t="str">
        <f t="shared" ref="N96" si="622">N95</f>
        <v>60,61, 62</v>
      </c>
      <c r="O96" s="30" t="str">
        <f t="shared" ref="O96" si="623">O95</f>
        <v>OT-010</v>
      </c>
      <c r="P96" s="18">
        <v>92.602958816473517</v>
      </c>
      <c r="Q96" s="341"/>
      <c r="R96" s="66">
        <v>6.9151043452443979</v>
      </c>
      <c r="S96" s="341"/>
      <c r="T96" s="66">
        <v>93.084895654755599</v>
      </c>
      <c r="U96" s="341"/>
      <c r="V96" s="65"/>
    </row>
    <row r="97" spans="2:22" x14ac:dyDescent="0.35">
      <c r="B97" s="19">
        <f t="shared" si="473"/>
        <v>87</v>
      </c>
      <c r="C97" s="42">
        <f>'1. Information samples'!C54</f>
        <v>46048</v>
      </c>
      <c r="D97" s="42" t="str">
        <f>'1. Information samples'!D54</f>
        <v>Genbank</v>
      </c>
      <c r="E97" s="59">
        <f>'1. Information samples'!E54</f>
        <v>28</v>
      </c>
      <c r="F97" s="42" t="str">
        <f>'1. Information samples'!F54</f>
        <v>F251768</v>
      </c>
      <c r="G97" s="42" t="str">
        <f>'1. Information samples'!G54</f>
        <v>CIAT-21809</v>
      </c>
      <c r="H97" s="42" t="str">
        <f>'1. Information samples'!H54</f>
        <v>Acacia</v>
      </c>
      <c r="I97" s="42" t="str">
        <f>'1. Information samples'!I54</f>
        <v>farnesiana</v>
      </c>
      <c r="J97" s="42" t="str">
        <f>'1. Information samples'!J54</f>
        <v>Acacia farnesiana</v>
      </c>
      <c r="K97" s="42" t="str">
        <f>'1. Information samples'!K54</f>
        <v>Fabaceae</v>
      </c>
      <c r="L97" s="42" t="str">
        <f>'1. Information samples'!L54</f>
        <v>Fabales</v>
      </c>
      <c r="M97" s="42" t="str">
        <f>'1. Information samples'!M54</f>
        <v>Tree</v>
      </c>
      <c r="N97" s="42" t="str">
        <f>'1. Information samples'!N54</f>
        <v>60,61, 62</v>
      </c>
      <c r="O97" s="20" t="str">
        <f>'1. Information samples'!O54</f>
        <v>OT-010</v>
      </c>
      <c r="P97" s="18">
        <v>94.571628511446534</v>
      </c>
      <c r="Q97" s="341">
        <f t="shared" ref="Q97" si="624">AVERAGE(P97:P98)</f>
        <v>94.615814255723279</v>
      </c>
      <c r="R97" s="66">
        <v>7.427819215840116</v>
      </c>
      <c r="S97" s="341">
        <f t="shared" ref="S97" si="625">AVERAGE(R97:R98)</f>
        <v>7.4606405618161311</v>
      </c>
      <c r="T97" s="66">
        <v>92.572180784159883</v>
      </c>
      <c r="U97" s="341">
        <f t="shared" ref="U97" si="626">AVERAGE(T97:T98)</f>
        <v>92.539359438183865</v>
      </c>
      <c r="V97" s="65"/>
    </row>
    <row r="98" spans="2:22" x14ac:dyDescent="0.35">
      <c r="B98" s="19">
        <f t="shared" si="473"/>
        <v>88</v>
      </c>
      <c r="C98" s="7">
        <f>C97</f>
        <v>46048</v>
      </c>
      <c r="D98" s="7" t="str">
        <f t="shared" ref="D98" si="627">D97</f>
        <v>Genbank</v>
      </c>
      <c r="E98" s="14">
        <f t="shared" ref="E98" si="628">E97</f>
        <v>28</v>
      </c>
      <c r="F98" s="7" t="str">
        <f t="shared" ref="F98" si="629">F97</f>
        <v>F251768</v>
      </c>
      <c r="G98" s="7" t="str">
        <f t="shared" ref="G98" si="630">G97</f>
        <v>CIAT-21809</v>
      </c>
      <c r="H98" s="7" t="str">
        <f t="shared" ref="H98" si="631">H97</f>
        <v>Acacia</v>
      </c>
      <c r="I98" s="7" t="str">
        <f t="shared" ref="I98" si="632">I97</f>
        <v>farnesiana</v>
      </c>
      <c r="J98" s="7" t="str">
        <f t="shared" ref="J98" si="633">J97</f>
        <v>Acacia farnesiana</v>
      </c>
      <c r="K98" s="7" t="str">
        <f t="shared" ref="K98" si="634">K97</f>
        <v>Fabaceae</v>
      </c>
      <c r="L98" s="7" t="str">
        <f t="shared" ref="L98" si="635">L97</f>
        <v>Fabales</v>
      </c>
      <c r="M98" s="7" t="str">
        <f t="shared" ref="M98" si="636">M97</f>
        <v>Tree</v>
      </c>
      <c r="N98" s="7" t="str">
        <f t="shared" ref="N98" si="637">N97</f>
        <v>60,61, 62</v>
      </c>
      <c r="O98" s="30" t="str">
        <f t="shared" ref="O98" si="638">O97</f>
        <v>OT-010</v>
      </c>
      <c r="P98" s="18">
        <v>94.660000000000011</v>
      </c>
      <c r="Q98" s="341"/>
      <c r="R98" s="66">
        <v>7.4934619077921472</v>
      </c>
      <c r="S98" s="341"/>
      <c r="T98" s="66">
        <v>92.506538092207848</v>
      </c>
      <c r="U98" s="341"/>
      <c r="V98" s="65"/>
    </row>
    <row r="99" spans="2:22" x14ac:dyDescent="0.35">
      <c r="B99" s="19">
        <f t="shared" si="473"/>
        <v>89</v>
      </c>
      <c r="C99" s="42">
        <f>'1. Information samples'!C55</f>
        <v>46048</v>
      </c>
      <c r="D99" s="42" t="str">
        <f>'1. Information samples'!D55</f>
        <v>Genbank</v>
      </c>
      <c r="E99" s="59">
        <f>'1. Information samples'!E55</f>
        <v>28</v>
      </c>
      <c r="F99" s="42" t="str">
        <f>'1. Information samples'!F55</f>
        <v>F251769</v>
      </c>
      <c r="G99" s="42" t="str">
        <f>'1. Information samples'!G55</f>
        <v>CIAT-21810</v>
      </c>
      <c r="H99" s="42" t="str">
        <f>'1. Information samples'!H55</f>
        <v>Acacia</v>
      </c>
      <c r="I99" s="42" t="str">
        <f>'1. Information samples'!I55</f>
        <v>angustissima</v>
      </c>
      <c r="J99" s="42" t="str">
        <f>'1. Information samples'!J55</f>
        <v>Acacia angustissima</v>
      </c>
      <c r="K99" s="42" t="str">
        <f>'1. Information samples'!K55</f>
        <v>Fabaceae</v>
      </c>
      <c r="L99" s="42" t="str">
        <f>'1. Information samples'!L55</f>
        <v>Fabales</v>
      </c>
      <c r="M99" s="42" t="str">
        <f>'1. Information samples'!M55</f>
        <v>Tree</v>
      </c>
      <c r="N99" s="42" t="str">
        <f>'1. Information samples'!N55</f>
        <v>60,61, 62</v>
      </c>
      <c r="O99" s="20" t="str">
        <f>'1. Information samples'!O55</f>
        <v>OT-010</v>
      </c>
      <c r="P99" s="18">
        <v>94.740525947405246</v>
      </c>
      <c r="Q99" s="341">
        <f t="shared" ref="Q99" si="639">AVERAGE(P99:P100)</f>
        <v>94.786813043660658</v>
      </c>
      <c r="R99" s="66">
        <v>5.3905062181395982</v>
      </c>
      <c r="S99" s="341">
        <f t="shared" ref="S99" si="640">AVERAGE(R99:R100)</f>
        <v>5.3891593996761422</v>
      </c>
      <c r="T99" s="66">
        <v>94.609493781860408</v>
      </c>
      <c r="U99" s="341">
        <f t="shared" ref="U99" si="641">AVERAGE(T99:T100)</f>
        <v>94.610840600323854</v>
      </c>
      <c r="V99" s="65"/>
    </row>
    <row r="100" spans="2:22" x14ac:dyDescent="0.35">
      <c r="B100" s="19">
        <f t="shared" si="473"/>
        <v>90</v>
      </c>
      <c r="C100" s="7">
        <f>C99</f>
        <v>46048</v>
      </c>
      <c r="D100" s="7" t="str">
        <f t="shared" ref="D100" si="642">D99</f>
        <v>Genbank</v>
      </c>
      <c r="E100" s="14">
        <f t="shared" ref="E100" si="643">E99</f>
        <v>28</v>
      </c>
      <c r="F100" s="7" t="str">
        <f t="shared" ref="F100" si="644">F99</f>
        <v>F251769</v>
      </c>
      <c r="G100" s="7" t="str">
        <f t="shared" ref="G100" si="645">G99</f>
        <v>CIAT-21810</v>
      </c>
      <c r="H100" s="7" t="str">
        <f t="shared" ref="H100" si="646">H99</f>
        <v>Acacia</v>
      </c>
      <c r="I100" s="7" t="str">
        <f t="shared" ref="I100" si="647">I99</f>
        <v>angustissima</v>
      </c>
      <c r="J100" s="7" t="str">
        <f t="shared" ref="J100" si="648">J99</f>
        <v>Acacia angustissima</v>
      </c>
      <c r="K100" s="7" t="str">
        <f t="shared" ref="K100" si="649">K99</f>
        <v>Fabaceae</v>
      </c>
      <c r="L100" s="7" t="str">
        <f t="shared" ref="L100" si="650">L99</f>
        <v>Fabales</v>
      </c>
      <c r="M100" s="7" t="str">
        <f t="shared" ref="M100" si="651">M99</f>
        <v>Tree</v>
      </c>
      <c r="N100" s="7" t="str">
        <f t="shared" ref="N100" si="652">N99</f>
        <v>60,61, 62</v>
      </c>
      <c r="O100" s="30" t="str">
        <f t="shared" ref="O100" si="653">O99</f>
        <v>OT-010</v>
      </c>
      <c r="P100" s="18">
        <v>94.833100139916056</v>
      </c>
      <c r="Q100" s="341"/>
      <c r="R100" s="66">
        <v>5.3878125812126854</v>
      </c>
      <c r="S100" s="341"/>
      <c r="T100" s="66">
        <v>94.612187418787315</v>
      </c>
      <c r="U100" s="341"/>
      <c r="V100" s="65"/>
    </row>
    <row r="101" spans="2:22" x14ac:dyDescent="0.35">
      <c r="B101" s="19">
        <f t="shared" si="473"/>
        <v>91</v>
      </c>
      <c r="C101" s="42">
        <f>'1. Information samples'!C56</f>
        <v>46048</v>
      </c>
      <c r="D101" s="42" t="str">
        <f>'1. Information samples'!D56</f>
        <v>Genbank</v>
      </c>
      <c r="E101" s="59">
        <f>'1. Information samples'!E56</f>
        <v>28</v>
      </c>
      <c r="F101" s="42" t="str">
        <f>'1. Information samples'!F56</f>
        <v>F251770</v>
      </c>
      <c r="G101" s="42" t="str">
        <f>'1. Information samples'!G56</f>
        <v>CIAT-21888</v>
      </c>
      <c r="H101" s="42" t="str">
        <f>'1. Information samples'!H56</f>
        <v>Leucaena</v>
      </c>
      <c r="I101" s="42" t="str">
        <f>'1. Information samples'!I56</f>
        <v>leucocephala</v>
      </c>
      <c r="J101" s="42" t="str">
        <f>'1. Information samples'!J56</f>
        <v>Leucaena leucocephala</v>
      </c>
      <c r="K101" s="42" t="str">
        <f>'1. Information samples'!K56</f>
        <v>Fabaceae</v>
      </c>
      <c r="L101" s="42" t="str">
        <f>'1. Information samples'!L56</f>
        <v>Fabales</v>
      </c>
      <c r="M101" s="42" t="str">
        <f>'1. Information samples'!M56</f>
        <v>Tree</v>
      </c>
      <c r="N101" s="42" t="str">
        <f>'1. Information samples'!N56</f>
        <v>60,61, 62</v>
      </c>
      <c r="O101" s="20" t="str">
        <f>'1. Information samples'!O56</f>
        <v>OT-010</v>
      </c>
      <c r="P101" s="18">
        <v>93.671898430470804</v>
      </c>
      <c r="Q101" s="341">
        <f t="shared" ref="Q101" si="654">AVERAGE(P101:P102)</f>
        <v>93.707200714635661</v>
      </c>
      <c r="R101" s="66">
        <v>9.0574189594217138</v>
      </c>
      <c r="S101" s="341">
        <f t="shared" ref="S101" si="655">AVERAGE(R101:R102)</f>
        <v>9.1369708064726893</v>
      </c>
      <c r="T101" s="66">
        <v>90.94258104057829</v>
      </c>
      <c r="U101" s="341">
        <f t="shared" ref="U101" si="656">AVERAGE(T101:T102)</f>
        <v>90.863029193527311</v>
      </c>
      <c r="V101" s="65"/>
    </row>
    <row r="102" spans="2:22" x14ac:dyDescent="0.35">
      <c r="B102" s="19">
        <f t="shared" si="473"/>
        <v>92</v>
      </c>
      <c r="C102" s="7">
        <f>C101</f>
        <v>46048</v>
      </c>
      <c r="D102" s="7" t="str">
        <f t="shared" ref="D102" si="657">D101</f>
        <v>Genbank</v>
      </c>
      <c r="E102" s="14">
        <f t="shared" ref="E102" si="658">E101</f>
        <v>28</v>
      </c>
      <c r="F102" s="7" t="str">
        <f t="shared" ref="F102" si="659">F101</f>
        <v>F251770</v>
      </c>
      <c r="G102" s="7" t="str">
        <f t="shared" ref="G102" si="660">G101</f>
        <v>CIAT-21888</v>
      </c>
      <c r="H102" s="7" t="str">
        <f t="shared" ref="H102" si="661">H101</f>
        <v>Leucaena</v>
      </c>
      <c r="I102" s="7" t="str">
        <f t="shared" ref="I102" si="662">I101</f>
        <v>leucocephala</v>
      </c>
      <c r="J102" s="7" t="str">
        <f t="shared" ref="J102" si="663">J101</f>
        <v>Leucaena leucocephala</v>
      </c>
      <c r="K102" s="7" t="str">
        <f t="shared" ref="K102" si="664">K101</f>
        <v>Fabaceae</v>
      </c>
      <c r="L102" s="7" t="str">
        <f t="shared" ref="L102" si="665">L101</f>
        <v>Fabales</v>
      </c>
      <c r="M102" s="7" t="str">
        <f t="shared" ref="M102" si="666">M101</f>
        <v>Tree</v>
      </c>
      <c r="N102" s="7" t="str">
        <f t="shared" ref="N102" si="667">N101</f>
        <v>60,61, 62</v>
      </c>
      <c r="O102" s="30" t="str">
        <f t="shared" ref="O102" si="668">O101</f>
        <v>OT-010</v>
      </c>
      <c r="P102" s="18">
        <v>93.742502998800504</v>
      </c>
      <c r="Q102" s="341"/>
      <c r="R102" s="66">
        <v>9.2165226535236666</v>
      </c>
      <c r="S102" s="341"/>
      <c r="T102" s="66">
        <v>90.783477346476332</v>
      </c>
      <c r="U102" s="341"/>
      <c r="V102" s="65"/>
    </row>
    <row r="103" spans="2:22" x14ac:dyDescent="0.35">
      <c r="B103" s="19">
        <f t="shared" si="473"/>
        <v>93</v>
      </c>
      <c r="C103" s="42">
        <f>'1. Information samples'!C57</f>
        <v>46048</v>
      </c>
      <c r="D103" s="42" t="str">
        <f>'1. Information samples'!D57</f>
        <v>Genbank</v>
      </c>
      <c r="E103" s="59">
        <f>'1. Information samples'!E57</f>
        <v>28</v>
      </c>
      <c r="F103" s="42" t="str">
        <f>'1. Information samples'!F57</f>
        <v>F251771</v>
      </c>
      <c r="G103" s="42" t="str">
        <f>'1. Information samples'!G57</f>
        <v>CIAT-22310</v>
      </c>
      <c r="H103" s="42" t="str">
        <f>'1. Information samples'!H57</f>
        <v>Calliandra</v>
      </c>
      <c r="I103" s="42" t="str">
        <f>'1. Information samples'!I57</f>
        <v>calothyrsus</v>
      </c>
      <c r="J103" s="42" t="str">
        <f>'1. Information samples'!J57</f>
        <v>Calliandra calothyrsus</v>
      </c>
      <c r="K103" s="42" t="str">
        <f>'1. Information samples'!K57</f>
        <v>Fabaceae</v>
      </c>
      <c r="L103" s="42" t="str">
        <f>'1. Information samples'!L57</f>
        <v>Fabales</v>
      </c>
      <c r="M103" s="42" t="str">
        <f>'1. Information samples'!M57</f>
        <v>Tree</v>
      </c>
      <c r="N103" s="42" t="str">
        <f>'1. Information samples'!N57</f>
        <v>60,61, 62</v>
      </c>
      <c r="O103" s="20" t="str">
        <f>'1. Information samples'!O57</f>
        <v>OT-010</v>
      </c>
      <c r="P103" s="18">
        <v>94.82</v>
      </c>
      <c r="Q103" s="341">
        <f t="shared" ref="Q103" si="669">AVERAGE(P103:P104)</f>
        <v>94.860509898020354</v>
      </c>
      <c r="R103" s="66">
        <v>5.6504018434670042</v>
      </c>
      <c r="S103" s="341">
        <f t="shared" ref="S103" si="670">AVERAGE(R103:R104)</f>
        <v>5.7130750355487638</v>
      </c>
      <c r="T103" s="66">
        <v>94.349598156532991</v>
      </c>
      <c r="U103" s="341">
        <f t="shared" ref="U103" si="671">AVERAGE(T103:T104)</f>
        <v>94.286924964451231</v>
      </c>
      <c r="V103" s="65"/>
    </row>
    <row r="104" spans="2:22" x14ac:dyDescent="0.35">
      <c r="B104" s="19">
        <f t="shared" si="473"/>
        <v>94</v>
      </c>
      <c r="C104" s="7">
        <f>C103</f>
        <v>46048</v>
      </c>
      <c r="D104" s="7" t="str">
        <f t="shared" ref="D104" si="672">D103</f>
        <v>Genbank</v>
      </c>
      <c r="E104" s="14">
        <f t="shared" ref="E104" si="673">E103</f>
        <v>28</v>
      </c>
      <c r="F104" s="7" t="str">
        <f t="shared" ref="F104" si="674">F103</f>
        <v>F251771</v>
      </c>
      <c r="G104" s="7" t="str">
        <f t="shared" ref="G104" si="675">G103</f>
        <v>CIAT-22310</v>
      </c>
      <c r="H104" s="7" t="str">
        <f t="shared" ref="H104" si="676">H103</f>
        <v>Calliandra</v>
      </c>
      <c r="I104" s="7" t="str">
        <f t="shared" ref="I104" si="677">I103</f>
        <v>calothyrsus</v>
      </c>
      <c r="J104" s="7" t="str">
        <f t="shared" ref="J104" si="678">J103</f>
        <v>Calliandra calothyrsus</v>
      </c>
      <c r="K104" s="7" t="str">
        <f t="shared" ref="K104" si="679">K103</f>
        <v>Fabaceae</v>
      </c>
      <c r="L104" s="7" t="str">
        <f t="shared" ref="L104" si="680">L103</f>
        <v>Fabales</v>
      </c>
      <c r="M104" s="7" t="str">
        <f t="shared" ref="M104" si="681">M103</f>
        <v>Tree</v>
      </c>
      <c r="N104" s="7" t="str">
        <f t="shared" ref="N104" si="682">N103</f>
        <v>60,61, 62</v>
      </c>
      <c r="O104" s="30" t="str">
        <f t="shared" ref="O104" si="683">O103</f>
        <v>OT-010</v>
      </c>
      <c r="P104" s="18">
        <v>94.901019796040728</v>
      </c>
      <c r="Q104" s="341"/>
      <c r="R104" s="66">
        <v>5.7757482276305225</v>
      </c>
      <c r="S104" s="341"/>
      <c r="T104" s="66">
        <v>94.224251772369485</v>
      </c>
      <c r="U104" s="341"/>
      <c r="V104" s="65"/>
    </row>
    <row r="105" spans="2:22" x14ac:dyDescent="0.35">
      <c r="B105" s="19">
        <f t="shared" si="473"/>
        <v>95</v>
      </c>
      <c r="C105" s="42">
        <f>'1. Information samples'!C58</f>
        <v>46048</v>
      </c>
      <c r="D105" s="42" t="str">
        <f>'1. Information samples'!D58</f>
        <v>Genbank</v>
      </c>
      <c r="E105" s="59">
        <f>'1. Information samples'!E58</f>
        <v>28</v>
      </c>
      <c r="F105" s="42" t="str">
        <f>'1. Information samples'!F58</f>
        <v>F251772</v>
      </c>
      <c r="G105" s="42" t="str">
        <f>'1. Information samples'!G58</f>
        <v>CIAT-22311</v>
      </c>
      <c r="H105" s="42" t="str">
        <f>'1. Information samples'!H58</f>
        <v>Calliandra</v>
      </c>
      <c r="I105" s="42" t="str">
        <f>'1. Information samples'!I58</f>
        <v>calothyrsus</v>
      </c>
      <c r="J105" s="42" t="str">
        <f>'1. Information samples'!J58</f>
        <v>Calliandra calothyrsus</v>
      </c>
      <c r="K105" s="42" t="str">
        <f>'1. Information samples'!K58</f>
        <v>Fabaceae</v>
      </c>
      <c r="L105" s="42" t="str">
        <f>'1. Information samples'!L58</f>
        <v>Fabales</v>
      </c>
      <c r="M105" s="42" t="str">
        <f>'1. Information samples'!M58</f>
        <v>Tree</v>
      </c>
      <c r="N105" s="42" t="str">
        <f>'1. Information samples'!N58</f>
        <v>60,61, 62</v>
      </c>
      <c r="O105" s="20" t="str">
        <f>'1. Information samples'!O58</f>
        <v>OT-010</v>
      </c>
      <c r="P105" s="18">
        <v>93.80371776933832</v>
      </c>
      <c r="Q105" s="341">
        <f t="shared" ref="Q105" si="684">AVERAGE(P105:P106)</f>
        <v>93.877161354422213</v>
      </c>
      <c r="R105" s="66">
        <v>6.8772065868408321</v>
      </c>
      <c r="S105" s="341">
        <f t="shared" ref="S105" si="685">AVERAGE(R105:R106)</f>
        <v>6.953483787664565</v>
      </c>
      <c r="T105" s="66">
        <v>93.122793413159172</v>
      </c>
      <c r="U105" s="341">
        <f t="shared" ref="U105" si="686">AVERAGE(T105:T106)</f>
        <v>93.046516212335433</v>
      </c>
      <c r="V105" s="65"/>
    </row>
    <row r="106" spans="2:22" x14ac:dyDescent="0.35">
      <c r="B106" s="19">
        <f t="shared" si="473"/>
        <v>96</v>
      </c>
      <c r="C106" s="7">
        <f>C105</f>
        <v>46048</v>
      </c>
      <c r="D106" s="7" t="str">
        <f t="shared" ref="D106" si="687">D105</f>
        <v>Genbank</v>
      </c>
      <c r="E106" s="14">
        <f t="shared" ref="E106" si="688">E105</f>
        <v>28</v>
      </c>
      <c r="F106" s="7" t="str">
        <f t="shared" ref="F106" si="689">F105</f>
        <v>F251772</v>
      </c>
      <c r="G106" s="7" t="str">
        <f t="shared" ref="G106" si="690">G105</f>
        <v>CIAT-22311</v>
      </c>
      <c r="H106" s="7" t="str">
        <f t="shared" ref="H106" si="691">H105</f>
        <v>Calliandra</v>
      </c>
      <c r="I106" s="7" t="str">
        <f t="shared" ref="I106" si="692">I105</f>
        <v>calothyrsus</v>
      </c>
      <c r="J106" s="7" t="str">
        <f t="shared" ref="J106" si="693">J105</f>
        <v>Calliandra calothyrsus</v>
      </c>
      <c r="K106" s="7" t="str">
        <f t="shared" ref="K106" si="694">K105</f>
        <v>Fabaceae</v>
      </c>
      <c r="L106" s="7" t="str">
        <f t="shared" ref="L106" si="695">L105</f>
        <v>Fabales</v>
      </c>
      <c r="M106" s="7" t="str">
        <f t="shared" ref="M106" si="696">M105</f>
        <v>Tree</v>
      </c>
      <c r="N106" s="7" t="str">
        <f t="shared" ref="N106" si="697">N105</f>
        <v>60,61, 62</v>
      </c>
      <c r="O106" s="30" t="str">
        <f t="shared" ref="O106" si="698">O105</f>
        <v>OT-010</v>
      </c>
      <c r="P106" s="18">
        <v>93.950604939506093</v>
      </c>
      <c r="Q106" s="341"/>
      <c r="R106" s="66">
        <v>7.029760988488297</v>
      </c>
      <c r="S106" s="341"/>
      <c r="T106" s="66">
        <v>92.970239011511708</v>
      </c>
      <c r="U106" s="341"/>
      <c r="V106" s="65"/>
    </row>
    <row r="107" spans="2:22" x14ac:dyDescent="0.35">
      <c r="B107" s="19">
        <f t="shared" si="473"/>
        <v>97</v>
      </c>
      <c r="C107" s="42">
        <f>'1. Information samples'!C59</f>
        <v>46048</v>
      </c>
      <c r="D107" s="42" t="str">
        <f>'1. Information samples'!D59</f>
        <v>Genbank</v>
      </c>
      <c r="E107" s="59">
        <f>'1. Information samples'!E59</f>
        <v>28</v>
      </c>
      <c r="F107" s="42" t="str">
        <f>'1. Information samples'!F59</f>
        <v>F251773</v>
      </c>
      <c r="G107" s="42" t="str">
        <f>'1. Information samples'!G59</f>
        <v>CIAT-22316</v>
      </c>
      <c r="H107" s="42" t="str">
        <f>'1. Information samples'!H59</f>
        <v>Calliandra</v>
      </c>
      <c r="I107" s="42" t="str">
        <f>'1. Information samples'!I59</f>
        <v>calothyrsus</v>
      </c>
      <c r="J107" s="42" t="str">
        <f>'1. Information samples'!J59</f>
        <v>Calliandra calothyrsus</v>
      </c>
      <c r="K107" s="42" t="str">
        <f>'1. Information samples'!K59</f>
        <v>Fabaceae</v>
      </c>
      <c r="L107" s="42" t="str">
        <f>'1. Information samples'!L59</f>
        <v>Fabales</v>
      </c>
      <c r="M107" s="42" t="str">
        <f>'1. Information samples'!M59</f>
        <v>Tree</v>
      </c>
      <c r="N107" s="42" t="str">
        <f>'1. Information samples'!N59</f>
        <v>60,61, 62</v>
      </c>
      <c r="O107" s="20" t="str">
        <f>'1. Information samples'!O59</f>
        <v>OT-010</v>
      </c>
      <c r="P107" s="58">
        <v>95.540445955404437</v>
      </c>
      <c r="Q107" s="341">
        <f t="shared" ref="Q107" si="699">AVERAGE(P107:P108)</f>
        <v>95.515899274813165</v>
      </c>
      <c r="R107" s="66">
        <v>8.6678470764028521</v>
      </c>
      <c r="S107" s="341">
        <f t="shared" ref="S107" si="700">AVERAGE(R107:R108)</f>
        <v>8.6460479090756266</v>
      </c>
      <c r="T107" s="209">
        <v>91.33215292359715</v>
      </c>
      <c r="U107" s="341">
        <f t="shared" ref="U107" si="701">AVERAGE(T107:T108)</f>
        <v>91.353952090924366</v>
      </c>
      <c r="V107" s="65"/>
    </row>
    <row r="108" spans="2:22" x14ac:dyDescent="0.35">
      <c r="B108" s="19">
        <f t="shared" si="473"/>
        <v>98</v>
      </c>
      <c r="C108" s="7">
        <f>C107</f>
        <v>46048</v>
      </c>
      <c r="D108" s="7" t="str">
        <f t="shared" ref="D108" si="702">D107</f>
        <v>Genbank</v>
      </c>
      <c r="E108" s="14">
        <f t="shared" ref="E108" si="703">E107</f>
        <v>28</v>
      </c>
      <c r="F108" s="7" t="str">
        <f t="shared" ref="F108" si="704">F107</f>
        <v>F251773</v>
      </c>
      <c r="G108" s="7" t="str">
        <f t="shared" ref="G108" si="705">G107</f>
        <v>CIAT-22316</v>
      </c>
      <c r="H108" s="7" t="str">
        <f t="shared" ref="H108" si="706">H107</f>
        <v>Calliandra</v>
      </c>
      <c r="I108" s="7" t="str">
        <f t="shared" ref="I108" si="707">I107</f>
        <v>calothyrsus</v>
      </c>
      <c r="J108" s="7" t="str">
        <f t="shared" ref="J108" si="708">J107</f>
        <v>Calliandra calothyrsus</v>
      </c>
      <c r="K108" s="7" t="str">
        <f t="shared" ref="K108" si="709">K107</f>
        <v>Fabaceae</v>
      </c>
      <c r="L108" s="7" t="str">
        <f t="shared" ref="L108" si="710">L107</f>
        <v>Fabales</v>
      </c>
      <c r="M108" s="7" t="str">
        <f t="shared" ref="M108" si="711">M107</f>
        <v>Tree</v>
      </c>
      <c r="N108" s="7" t="str">
        <f t="shared" ref="N108" si="712">N107</f>
        <v>60,61, 62</v>
      </c>
      <c r="O108" s="30" t="str">
        <f t="shared" ref="O108" si="713">O107</f>
        <v>OT-010</v>
      </c>
      <c r="P108" s="58">
        <v>95.49135259422188</v>
      </c>
      <c r="Q108" s="341"/>
      <c r="R108" s="66">
        <v>8.6242487417484011</v>
      </c>
      <c r="S108" s="341"/>
      <c r="T108" s="209">
        <v>91.375751258251597</v>
      </c>
      <c r="U108" s="341"/>
      <c r="V108" s="65"/>
    </row>
    <row r="109" spans="2:22" x14ac:dyDescent="0.35">
      <c r="B109" s="19">
        <f t="shared" si="473"/>
        <v>99</v>
      </c>
      <c r="C109" s="42">
        <f>'1. Information samples'!C60</f>
        <v>46048</v>
      </c>
      <c r="D109" s="42" t="str">
        <f>'1. Information samples'!D60</f>
        <v>Genbank</v>
      </c>
      <c r="E109" s="59">
        <f>'1. Information samples'!E60</f>
        <v>28</v>
      </c>
      <c r="F109" s="42" t="str">
        <f>'1. Information samples'!F60</f>
        <v>F251774</v>
      </c>
      <c r="G109" s="42" t="str">
        <f>'1. Information samples'!G60</f>
        <v>CIAT-23239</v>
      </c>
      <c r="H109" s="42" t="str">
        <f>'1. Information samples'!H60</f>
        <v>Dendrolobium</v>
      </c>
      <c r="I109" s="42" t="str">
        <f>'1. Information samples'!I60</f>
        <v>triangulare</v>
      </c>
      <c r="J109" s="42" t="str">
        <f>'1. Information samples'!J60</f>
        <v>Dendrolobium triangulare</v>
      </c>
      <c r="K109" s="42" t="str">
        <f>'1. Information samples'!K60</f>
        <v>Fabaceae</v>
      </c>
      <c r="L109" s="42" t="str">
        <f>'1. Information samples'!L60</f>
        <v>Fabales</v>
      </c>
      <c r="M109" s="42" t="str">
        <f>'1. Information samples'!M60</f>
        <v>Tree</v>
      </c>
      <c r="N109" s="42" t="str">
        <f>'1. Information samples'!N60</f>
        <v>60,61, 62</v>
      </c>
      <c r="O109" s="20" t="str">
        <f>'1. Information samples'!O60</f>
        <v>OT-010</v>
      </c>
      <c r="P109" s="58">
        <v>95.850414958504118</v>
      </c>
      <c r="Q109" s="341">
        <f t="shared" ref="Q109" si="714">AVERAGE(P109:P110)</f>
        <v>95.855828293007932</v>
      </c>
      <c r="R109" s="66">
        <v>7.5731170465742181</v>
      </c>
      <c r="S109" s="341">
        <f t="shared" ref="S109" si="715">AVERAGE(R109:R110)</f>
        <v>7.5515015518643622</v>
      </c>
      <c r="T109" s="209">
        <v>92.426882953425775</v>
      </c>
      <c r="U109" s="341">
        <f t="shared" ref="U109" si="716">AVERAGE(T109:T110)</f>
        <v>92.448498448135638</v>
      </c>
      <c r="V109" s="65"/>
    </row>
    <row r="110" spans="2:22" x14ac:dyDescent="0.35">
      <c r="B110" s="19">
        <f t="shared" si="473"/>
        <v>100</v>
      </c>
      <c r="C110" s="7">
        <f>C109</f>
        <v>46048</v>
      </c>
      <c r="D110" s="7" t="str">
        <f t="shared" ref="D110" si="717">D109</f>
        <v>Genbank</v>
      </c>
      <c r="E110" s="14">
        <f t="shared" ref="E110" si="718">E109</f>
        <v>28</v>
      </c>
      <c r="F110" s="7" t="str">
        <f t="shared" ref="F110" si="719">F109</f>
        <v>F251774</v>
      </c>
      <c r="G110" s="7" t="str">
        <f t="shared" ref="G110" si="720">G109</f>
        <v>CIAT-23239</v>
      </c>
      <c r="H110" s="7" t="str">
        <f t="shared" ref="H110" si="721">H109</f>
        <v>Dendrolobium</v>
      </c>
      <c r="I110" s="7" t="str">
        <f t="shared" ref="I110" si="722">I109</f>
        <v>triangulare</v>
      </c>
      <c r="J110" s="7" t="str">
        <f t="shared" ref="J110" si="723">J109</f>
        <v>Dendrolobium triangulare</v>
      </c>
      <c r="K110" s="7" t="str">
        <f t="shared" ref="K110" si="724">K109</f>
        <v>Fabaceae</v>
      </c>
      <c r="L110" s="7" t="str">
        <f t="shared" ref="L110" si="725">L109</f>
        <v>Fabales</v>
      </c>
      <c r="M110" s="7" t="str">
        <f t="shared" ref="M110" si="726">M109</f>
        <v>Tree</v>
      </c>
      <c r="N110" s="7" t="str">
        <f t="shared" ref="N110" si="727">N109</f>
        <v>60,61, 62</v>
      </c>
      <c r="O110" s="30" t="str">
        <f t="shared" ref="O110" si="728">O109</f>
        <v>OT-010</v>
      </c>
      <c r="P110" s="58">
        <v>95.861241627511745</v>
      </c>
      <c r="Q110" s="341"/>
      <c r="R110" s="66">
        <v>7.5298860571545054</v>
      </c>
      <c r="S110" s="341"/>
      <c r="T110" s="209">
        <v>92.470113942845501</v>
      </c>
      <c r="U110" s="341"/>
      <c r="V110" s="65"/>
    </row>
    <row r="111" spans="2:22" x14ac:dyDescent="0.35">
      <c r="B111" s="19">
        <f t="shared" si="473"/>
        <v>101</v>
      </c>
      <c r="C111" s="42">
        <f>'1. Information samples'!C61</f>
        <v>46048</v>
      </c>
      <c r="D111" s="42" t="str">
        <f>'1. Information samples'!D61</f>
        <v>Genbank</v>
      </c>
      <c r="E111" s="59">
        <f>'1. Information samples'!E61</f>
        <v>28</v>
      </c>
      <c r="F111" s="42" t="str">
        <f>'1. Information samples'!F61</f>
        <v>F251775</v>
      </c>
      <c r="G111" s="42" t="str">
        <f>'1. Information samples'!G61</f>
        <v>CIAT-33116</v>
      </c>
      <c r="H111" s="42" t="str">
        <f>'1. Information samples'!H61</f>
        <v>Dendrolobium</v>
      </c>
      <c r="I111" s="42" t="str">
        <f>'1. Information samples'!I61</f>
        <v>triangulare</v>
      </c>
      <c r="J111" s="42" t="str">
        <f>'1. Information samples'!J61</f>
        <v>Dendrolobium triangulare</v>
      </c>
      <c r="K111" s="42" t="str">
        <f>'1. Information samples'!K61</f>
        <v>Fabaceae</v>
      </c>
      <c r="L111" s="42" t="str">
        <f>'1. Information samples'!L61</f>
        <v>Fabales</v>
      </c>
      <c r="M111" s="42" t="str">
        <f>'1. Information samples'!M61</f>
        <v>Tree</v>
      </c>
      <c r="N111" s="42" t="str">
        <f>'1. Information samples'!N61</f>
        <v>60,61, 62</v>
      </c>
      <c r="O111" s="20" t="str">
        <f>'1. Information samples'!O61</f>
        <v>OT-010</v>
      </c>
      <c r="P111" s="58">
        <v>95.640871825635045</v>
      </c>
      <c r="Q111" s="341">
        <f t="shared" ref="Q111" si="729">AVERAGE(P111:P112)</f>
        <v>95.631092715776646</v>
      </c>
      <c r="R111" s="66">
        <v>7.7574312768643141</v>
      </c>
      <c r="S111" s="341">
        <f t="shared" ref="S111" si="730">AVERAGE(R111:R112)</f>
        <v>7.8824880892774889</v>
      </c>
      <c r="T111" s="209">
        <v>92.24256872313569</v>
      </c>
      <c r="U111" s="341">
        <f t="shared" ref="U111" si="731">AVERAGE(T111:T112)</f>
        <v>92.117511910722513</v>
      </c>
      <c r="V111" s="65"/>
    </row>
    <row r="112" spans="2:22" x14ac:dyDescent="0.35">
      <c r="B112" s="19">
        <f t="shared" si="473"/>
        <v>102</v>
      </c>
      <c r="C112" s="7">
        <f>C111</f>
        <v>46048</v>
      </c>
      <c r="D112" s="7" t="str">
        <f t="shared" ref="D112" si="732">D111</f>
        <v>Genbank</v>
      </c>
      <c r="E112" s="14">
        <f t="shared" ref="E112" si="733">E111</f>
        <v>28</v>
      </c>
      <c r="F112" s="7" t="str">
        <f t="shared" ref="F112" si="734">F111</f>
        <v>F251775</v>
      </c>
      <c r="G112" s="7" t="str">
        <f t="shared" ref="G112" si="735">G111</f>
        <v>CIAT-33116</v>
      </c>
      <c r="H112" s="7" t="str">
        <f t="shared" ref="H112" si="736">H111</f>
        <v>Dendrolobium</v>
      </c>
      <c r="I112" s="7" t="str">
        <f t="shared" ref="I112" si="737">I111</f>
        <v>triangulare</v>
      </c>
      <c r="J112" s="7" t="str">
        <f t="shared" ref="J112" si="738">J111</f>
        <v>Dendrolobium triangulare</v>
      </c>
      <c r="K112" s="7" t="str">
        <f t="shared" ref="K112" si="739">K111</f>
        <v>Fabaceae</v>
      </c>
      <c r="L112" s="7" t="str">
        <f t="shared" ref="L112" si="740">L111</f>
        <v>Fabales</v>
      </c>
      <c r="M112" s="7" t="str">
        <f t="shared" ref="M112" si="741">M111</f>
        <v>Tree</v>
      </c>
      <c r="N112" s="7" t="str">
        <f t="shared" ref="N112" si="742">N111</f>
        <v>60,61, 62</v>
      </c>
      <c r="O112" s="30" t="str">
        <f t="shared" ref="O112" si="743">O111</f>
        <v>OT-010</v>
      </c>
      <c r="P112" s="58">
        <v>95.621313605918246</v>
      </c>
      <c r="Q112" s="341"/>
      <c r="R112" s="66">
        <v>8.0075449016906628</v>
      </c>
      <c r="S112" s="341"/>
      <c r="T112" s="209">
        <v>91.992455098309335</v>
      </c>
      <c r="U112" s="341"/>
      <c r="V112" s="65"/>
    </row>
    <row r="113" spans="2:22" x14ac:dyDescent="0.35">
      <c r="B113" s="19">
        <f t="shared" si="473"/>
        <v>103</v>
      </c>
      <c r="C113" s="42">
        <f>'1. Information samples'!C62</f>
        <v>46048</v>
      </c>
      <c r="D113" s="42" t="str">
        <f>'1. Information samples'!D62</f>
        <v>Genbank</v>
      </c>
      <c r="E113" s="59">
        <f>'1. Information samples'!E62</f>
        <v>28</v>
      </c>
      <c r="F113" s="42" t="str">
        <f>'1. Information samples'!F62</f>
        <v>F252184</v>
      </c>
      <c r="G113" s="42" t="str">
        <f>'1. Information samples'!G62</f>
        <v>CIAT-BH22_0303</v>
      </c>
      <c r="H113" s="42" t="str">
        <f>'1. Information samples'!H62</f>
        <v>Urochloa</v>
      </c>
      <c r="I113" s="42" t="str">
        <f>'1. Information samples'!I62</f>
        <v>humidicola</v>
      </c>
      <c r="J113" s="42" t="str">
        <f>'1. Information samples'!J62</f>
        <v>Urochloa humidicola</v>
      </c>
      <c r="K113" s="42" t="str">
        <f>'1. Information samples'!K62</f>
        <v>Poaceae</v>
      </c>
      <c r="L113" s="42" t="str">
        <f>'1. Information samples'!L62</f>
        <v>Poales</v>
      </c>
      <c r="M113" s="42" t="str">
        <f>'1. Information samples'!M62</f>
        <v>grasses</v>
      </c>
      <c r="N113" s="42" t="str">
        <f>'1. Information samples'!N62</f>
        <v>60,61, 62</v>
      </c>
      <c r="O113" s="20" t="str">
        <f>'1. Information samples'!O62</f>
        <v>OT-021</v>
      </c>
      <c r="P113" s="58">
        <v>94.831550534839621</v>
      </c>
      <c r="Q113" s="341">
        <f t="shared" ref="Q113" si="744">AVERAGE(P113:P114)</f>
        <v>94.841290164440437</v>
      </c>
      <c r="R113" s="66">
        <v>9.4972324765296356</v>
      </c>
      <c r="S113" s="341">
        <f t="shared" ref="S113" si="745">AVERAGE(R113:R114)</f>
        <v>9.5082490656305918</v>
      </c>
      <c r="T113" s="209">
        <v>90.502767523470368</v>
      </c>
      <c r="U113" s="341">
        <f t="shared" ref="U113" si="746">AVERAGE(T113:T114)</f>
        <v>90.491750934369406</v>
      </c>
      <c r="V113" s="65"/>
    </row>
    <row r="114" spans="2:22" x14ac:dyDescent="0.35">
      <c r="B114" s="19">
        <f t="shared" si="473"/>
        <v>104</v>
      </c>
      <c r="C114" s="7">
        <f>C113</f>
        <v>46048</v>
      </c>
      <c r="D114" s="7" t="str">
        <f t="shared" ref="D114" si="747">D113</f>
        <v>Genbank</v>
      </c>
      <c r="E114" s="14">
        <f t="shared" ref="E114" si="748">E113</f>
        <v>28</v>
      </c>
      <c r="F114" s="7" t="str">
        <f t="shared" ref="F114" si="749">F113</f>
        <v>F252184</v>
      </c>
      <c r="G114" s="7" t="str">
        <f t="shared" ref="G114" si="750">G113</f>
        <v>CIAT-BH22_0303</v>
      </c>
      <c r="H114" s="7" t="str">
        <f t="shared" ref="H114" si="751">H113</f>
        <v>Urochloa</v>
      </c>
      <c r="I114" s="7" t="str">
        <f t="shared" ref="I114" si="752">I113</f>
        <v>humidicola</v>
      </c>
      <c r="J114" s="7" t="str">
        <f t="shared" ref="J114" si="753">J113</f>
        <v>Urochloa humidicola</v>
      </c>
      <c r="K114" s="7" t="str">
        <f t="shared" ref="K114" si="754">K113</f>
        <v>Poaceae</v>
      </c>
      <c r="L114" s="7" t="str">
        <f t="shared" ref="L114" si="755">L113</f>
        <v>Poales</v>
      </c>
      <c r="M114" s="7" t="str">
        <f t="shared" ref="M114" si="756">M113</f>
        <v>grasses</v>
      </c>
      <c r="N114" s="7" t="str">
        <f t="shared" ref="N114" si="757">N113</f>
        <v>60,61, 62</v>
      </c>
      <c r="O114" s="30" t="str">
        <f t="shared" ref="O114" si="758">O113</f>
        <v>OT-021</v>
      </c>
      <c r="P114" s="58">
        <v>94.851029794041253</v>
      </c>
      <c r="Q114" s="341"/>
      <c r="R114" s="66">
        <v>9.519265654731548</v>
      </c>
      <c r="S114" s="341"/>
      <c r="T114" s="209">
        <v>90.480734345268445</v>
      </c>
      <c r="U114" s="341"/>
      <c r="V114" s="65"/>
    </row>
    <row r="115" spans="2:22" x14ac:dyDescent="0.35">
      <c r="B115" s="19">
        <f t="shared" si="473"/>
        <v>105</v>
      </c>
      <c r="C115" s="42">
        <f>'1. Information samples'!C63</f>
        <v>46048</v>
      </c>
      <c r="D115" s="42" t="str">
        <f>'1. Information samples'!D63</f>
        <v>Genbank</v>
      </c>
      <c r="E115" s="59">
        <f>'1. Information samples'!E63</f>
        <v>28</v>
      </c>
      <c r="F115" s="42" t="str">
        <f>'1. Information samples'!F63</f>
        <v>F252185</v>
      </c>
      <c r="G115" s="42" t="str">
        <f>'1. Information samples'!G63</f>
        <v>CIAT-BH22_1594</v>
      </c>
      <c r="H115" s="42" t="str">
        <f>'1. Information samples'!H63</f>
        <v>Urochloa</v>
      </c>
      <c r="I115" s="42" t="str">
        <f>'1. Information samples'!I63</f>
        <v>humidicola</v>
      </c>
      <c r="J115" s="42" t="str">
        <f>'1. Information samples'!J63</f>
        <v>Urochloa humidicola</v>
      </c>
      <c r="K115" s="42" t="str">
        <f>'1. Information samples'!K63</f>
        <v>Poaceae</v>
      </c>
      <c r="L115" s="42" t="str">
        <f>'1. Information samples'!L63</f>
        <v>Poales</v>
      </c>
      <c r="M115" s="42" t="str">
        <f>'1. Information samples'!M63</f>
        <v>grasses</v>
      </c>
      <c r="N115" s="42" t="str">
        <f>'1. Information samples'!N63</f>
        <v>60,61, 62</v>
      </c>
      <c r="O115" s="20" t="str">
        <f>'1. Information samples'!O63</f>
        <v>OT-021</v>
      </c>
      <c r="P115" s="58">
        <v>94.950000000000045</v>
      </c>
      <c r="Q115" s="341">
        <f t="shared" ref="Q115" si="759">AVERAGE(P115:P116)</f>
        <v>95.075959616153568</v>
      </c>
      <c r="R115" s="66">
        <v>11.727465118433098</v>
      </c>
      <c r="S115" s="341">
        <f t="shared" ref="S115" si="760">AVERAGE(R115:R116)</f>
        <v>11.588442457308311</v>
      </c>
      <c r="T115" s="209">
        <v>88.272534881566898</v>
      </c>
      <c r="U115" s="341">
        <f t="shared" ref="U115" si="761">AVERAGE(T115:T116)</f>
        <v>88.411557542691696</v>
      </c>
      <c r="V115" s="65"/>
    </row>
    <row r="116" spans="2:22" x14ac:dyDescent="0.35">
      <c r="B116" s="19">
        <f t="shared" si="473"/>
        <v>106</v>
      </c>
      <c r="C116" s="7">
        <f>C115</f>
        <v>46048</v>
      </c>
      <c r="D116" s="7" t="str">
        <f t="shared" ref="D116" si="762">D115</f>
        <v>Genbank</v>
      </c>
      <c r="E116" s="14">
        <f t="shared" ref="E116" si="763">E115</f>
        <v>28</v>
      </c>
      <c r="F116" s="7" t="str">
        <f t="shared" ref="F116" si="764">F115</f>
        <v>F252185</v>
      </c>
      <c r="G116" s="7" t="str">
        <f t="shared" ref="G116" si="765">G115</f>
        <v>CIAT-BH22_1594</v>
      </c>
      <c r="H116" s="7" t="str">
        <f t="shared" ref="H116" si="766">H115</f>
        <v>Urochloa</v>
      </c>
      <c r="I116" s="7" t="str">
        <f t="shared" ref="I116" si="767">I115</f>
        <v>humidicola</v>
      </c>
      <c r="J116" s="7" t="str">
        <f t="shared" ref="J116" si="768">J115</f>
        <v>Urochloa humidicola</v>
      </c>
      <c r="K116" s="7" t="str">
        <f t="shared" ref="K116" si="769">K115</f>
        <v>Poaceae</v>
      </c>
      <c r="L116" s="7" t="str">
        <f t="shared" ref="L116" si="770">L115</f>
        <v>Poales</v>
      </c>
      <c r="M116" s="7" t="str">
        <f t="shared" ref="M116" si="771">M115</f>
        <v>grasses</v>
      </c>
      <c r="N116" s="7" t="str">
        <f t="shared" ref="N116" si="772">N115</f>
        <v>60,61, 62</v>
      </c>
      <c r="O116" s="30" t="str">
        <f t="shared" ref="O116" si="773">O115</f>
        <v>OT-021</v>
      </c>
      <c r="P116" s="58">
        <v>95.201919232307077</v>
      </c>
      <c r="Q116" s="341"/>
      <c r="R116" s="66">
        <v>11.449419796183525</v>
      </c>
      <c r="S116" s="341"/>
      <c r="T116" s="209">
        <v>88.55058020381648</v>
      </c>
      <c r="U116" s="341"/>
      <c r="V116" s="65"/>
    </row>
    <row r="117" spans="2:22" x14ac:dyDescent="0.35">
      <c r="B117" s="19">
        <f t="shared" si="473"/>
        <v>107</v>
      </c>
      <c r="C117" s="42">
        <f>'1. Information samples'!C64</f>
        <v>46048</v>
      </c>
      <c r="D117" s="42" t="str">
        <f>'1. Information samples'!D64</f>
        <v>Genbank</v>
      </c>
      <c r="E117" s="59">
        <f>'1. Information samples'!E64</f>
        <v>28</v>
      </c>
      <c r="F117" s="42" t="str">
        <f>'1. Information samples'!F64</f>
        <v>F252186</v>
      </c>
      <c r="G117" s="42" t="str">
        <f>'1. Information samples'!G64</f>
        <v>CIAT-BH22_0468</v>
      </c>
      <c r="H117" s="42" t="str">
        <f>'1. Information samples'!H64</f>
        <v>Urochloa</v>
      </c>
      <c r="I117" s="42" t="str">
        <f>'1. Information samples'!I64</f>
        <v>humidicola</v>
      </c>
      <c r="J117" s="42" t="str">
        <f>'1. Information samples'!J64</f>
        <v>Urochloa humidicola</v>
      </c>
      <c r="K117" s="42" t="str">
        <f>'1. Information samples'!K64</f>
        <v>Poaceae</v>
      </c>
      <c r="L117" s="42" t="str">
        <f>'1. Information samples'!L64</f>
        <v>Poales</v>
      </c>
      <c r="M117" s="42" t="str">
        <f>'1. Information samples'!M64</f>
        <v>grasses</v>
      </c>
      <c r="N117" s="42" t="str">
        <f>'1. Information samples'!N64</f>
        <v>60,61, 62</v>
      </c>
      <c r="O117" s="20" t="str">
        <f>'1. Information samples'!O64</f>
        <v>OT-021</v>
      </c>
      <c r="P117" s="58">
        <v>95.970805838832163</v>
      </c>
      <c r="Q117" s="341">
        <f t="shared" ref="Q117" si="774">AVERAGE(P117:P118)</f>
        <v>96.020599399768003</v>
      </c>
      <c r="R117" s="66">
        <v>10.693482934811497</v>
      </c>
      <c r="S117" s="341">
        <f t="shared" ref="S117" si="775">AVERAGE(R117:R118)</f>
        <v>10.673190774237739</v>
      </c>
      <c r="T117" s="209">
        <v>89.306517065188501</v>
      </c>
      <c r="U117" s="341">
        <f t="shared" ref="U117" si="776">AVERAGE(T117:T118)</f>
        <v>89.326809225762261</v>
      </c>
      <c r="V117" s="65"/>
    </row>
    <row r="118" spans="2:22" x14ac:dyDescent="0.35">
      <c r="B118" s="19">
        <f t="shared" si="473"/>
        <v>108</v>
      </c>
      <c r="C118" s="7">
        <f>C117</f>
        <v>46048</v>
      </c>
      <c r="D118" s="7" t="str">
        <f t="shared" ref="D118" si="777">D117</f>
        <v>Genbank</v>
      </c>
      <c r="E118" s="14">
        <f t="shared" ref="E118" si="778">E117</f>
        <v>28</v>
      </c>
      <c r="F118" s="7" t="str">
        <f t="shared" ref="F118" si="779">F117</f>
        <v>F252186</v>
      </c>
      <c r="G118" s="7" t="str">
        <f t="shared" ref="G118" si="780">G117</f>
        <v>CIAT-BH22_0468</v>
      </c>
      <c r="H118" s="7" t="str">
        <f t="shared" ref="H118" si="781">H117</f>
        <v>Urochloa</v>
      </c>
      <c r="I118" s="7" t="str">
        <f t="shared" ref="I118" si="782">I117</f>
        <v>humidicola</v>
      </c>
      <c r="J118" s="7" t="str">
        <f t="shared" ref="J118" si="783">J117</f>
        <v>Urochloa humidicola</v>
      </c>
      <c r="K118" s="7" t="str">
        <f t="shared" ref="K118" si="784">K117</f>
        <v>Poaceae</v>
      </c>
      <c r="L118" s="7" t="str">
        <f t="shared" ref="L118" si="785">L117</f>
        <v>Poales</v>
      </c>
      <c r="M118" s="7" t="str">
        <f t="shared" ref="M118" si="786">M117</f>
        <v>grasses</v>
      </c>
      <c r="N118" s="7" t="str">
        <f t="shared" ref="N118" si="787">N117</f>
        <v>60,61, 62</v>
      </c>
      <c r="O118" s="30" t="str">
        <f t="shared" ref="O118" si="788">O117</f>
        <v>OT-021</v>
      </c>
      <c r="P118" s="58">
        <v>96.070392960703828</v>
      </c>
      <c r="Q118" s="341"/>
      <c r="R118" s="66">
        <v>10.652898613663982</v>
      </c>
      <c r="S118" s="341"/>
      <c r="T118" s="209">
        <v>89.347101386336021</v>
      </c>
      <c r="U118" s="341"/>
      <c r="V118" s="65"/>
    </row>
    <row r="119" spans="2:22" x14ac:dyDescent="0.35">
      <c r="B119" s="19">
        <f t="shared" si="473"/>
        <v>109</v>
      </c>
      <c r="C119" s="42">
        <f>'1. Information samples'!C65</f>
        <v>46048</v>
      </c>
      <c r="D119" s="42" t="str">
        <f>'1. Information samples'!D65</f>
        <v>Genbank</v>
      </c>
      <c r="E119" s="59">
        <f>'1. Information samples'!E65</f>
        <v>28</v>
      </c>
      <c r="F119" s="42" t="str">
        <f>'1. Information samples'!F65</f>
        <v>F252187</v>
      </c>
      <c r="G119" s="42" t="str">
        <f>'1. Information samples'!G65</f>
        <v>CIAT-BH22_3830</v>
      </c>
      <c r="H119" s="42" t="str">
        <f>'1. Information samples'!H65</f>
        <v>Urochloa</v>
      </c>
      <c r="I119" s="42" t="str">
        <f>'1. Information samples'!I65</f>
        <v>humidicola</v>
      </c>
      <c r="J119" s="42" t="str">
        <f>'1. Information samples'!J65</f>
        <v>Urochloa humidicola</v>
      </c>
      <c r="K119" s="42" t="str">
        <f>'1. Information samples'!K65</f>
        <v>Poaceae</v>
      </c>
      <c r="L119" s="42" t="str">
        <f>'1. Information samples'!L65</f>
        <v>Poales</v>
      </c>
      <c r="M119" s="42" t="str">
        <f>'1. Information samples'!M65</f>
        <v>grasses</v>
      </c>
      <c r="N119" s="42" t="str">
        <f>'1. Information samples'!N65</f>
        <v>60,61, 62</v>
      </c>
      <c r="O119" s="20" t="str">
        <f>'1. Information samples'!O65</f>
        <v>OT-021</v>
      </c>
      <c r="P119" s="58">
        <v>95.840415958404051</v>
      </c>
      <c r="Q119" s="341">
        <f t="shared" ref="Q119" si="789">AVERAGE(P119:P120)</f>
        <v>95.960403959604008</v>
      </c>
      <c r="R119" s="66">
        <v>10.25320412628945</v>
      </c>
      <c r="S119" s="341">
        <f t="shared" ref="S119" si="790">AVERAGE(R119:R120)</f>
        <v>10.190684588934079</v>
      </c>
      <c r="T119" s="209">
        <v>89.746795873710553</v>
      </c>
      <c r="U119" s="341">
        <f t="shared" ref="U119" si="791">AVERAGE(T119:T120)</f>
        <v>89.809315411065924</v>
      </c>
      <c r="V119" s="65"/>
    </row>
    <row r="120" spans="2:22" x14ac:dyDescent="0.35">
      <c r="B120" s="19">
        <f t="shared" si="473"/>
        <v>110</v>
      </c>
      <c r="C120" s="7">
        <f>C119</f>
        <v>46048</v>
      </c>
      <c r="D120" s="7" t="str">
        <f t="shared" ref="D120" si="792">D119</f>
        <v>Genbank</v>
      </c>
      <c r="E120" s="14">
        <f t="shared" ref="E120" si="793">E119</f>
        <v>28</v>
      </c>
      <c r="F120" s="7" t="str">
        <f t="shared" ref="F120" si="794">F119</f>
        <v>F252187</v>
      </c>
      <c r="G120" s="7" t="str">
        <f t="shared" ref="G120" si="795">G119</f>
        <v>CIAT-BH22_3830</v>
      </c>
      <c r="H120" s="7" t="str">
        <f t="shared" ref="H120" si="796">H119</f>
        <v>Urochloa</v>
      </c>
      <c r="I120" s="7" t="str">
        <f t="shared" ref="I120" si="797">I119</f>
        <v>humidicola</v>
      </c>
      <c r="J120" s="7" t="str">
        <f t="shared" ref="J120" si="798">J119</f>
        <v>Urochloa humidicola</v>
      </c>
      <c r="K120" s="7" t="str">
        <f t="shared" ref="K120" si="799">K119</f>
        <v>Poaceae</v>
      </c>
      <c r="L120" s="7" t="str">
        <f t="shared" ref="L120" si="800">L119</f>
        <v>Poales</v>
      </c>
      <c r="M120" s="7" t="str">
        <f t="shared" ref="M120" si="801">M119</f>
        <v>grasses</v>
      </c>
      <c r="N120" s="7" t="str">
        <f t="shared" ref="N120" si="802">N119</f>
        <v>60,61, 62</v>
      </c>
      <c r="O120" s="30" t="str">
        <f t="shared" ref="O120" si="803">O119</f>
        <v>OT-021</v>
      </c>
      <c r="P120" s="58">
        <v>96.080391960803979</v>
      </c>
      <c r="Q120" s="341"/>
      <c r="R120" s="66">
        <v>10.12816505157871</v>
      </c>
      <c r="S120" s="341"/>
      <c r="T120" s="209">
        <v>89.871834948421295</v>
      </c>
      <c r="U120" s="341"/>
      <c r="V120" s="65"/>
    </row>
    <row r="121" spans="2:22" x14ac:dyDescent="0.35">
      <c r="B121" s="19">
        <f t="shared" si="473"/>
        <v>111</v>
      </c>
      <c r="C121" s="42">
        <f>'1. Information samples'!C66</f>
        <v>46048</v>
      </c>
      <c r="D121" s="42" t="str">
        <f>'1. Information samples'!D66</f>
        <v>Genbank</v>
      </c>
      <c r="E121" s="59">
        <f>'1. Information samples'!E66</f>
        <v>28</v>
      </c>
      <c r="F121" s="42" t="str">
        <f>'1. Information samples'!F66</f>
        <v>F252188</v>
      </c>
      <c r="G121" s="42" t="str">
        <f>'1. Information samples'!G66</f>
        <v>CIAT-BH22_1710</v>
      </c>
      <c r="H121" s="42" t="str">
        <f>'1. Information samples'!H66</f>
        <v>Urochloa</v>
      </c>
      <c r="I121" s="42" t="str">
        <f>'1. Information samples'!I66</f>
        <v>humidicola</v>
      </c>
      <c r="J121" s="42" t="str">
        <f>'1. Information samples'!J66</f>
        <v>Urochloa humidicola</v>
      </c>
      <c r="K121" s="42" t="str">
        <f>'1. Information samples'!K66</f>
        <v>Poaceae</v>
      </c>
      <c r="L121" s="42" t="str">
        <f>'1. Information samples'!L66</f>
        <v>Poales</v>
      </c>
      <c r="M121" s="42" t="str">
        <f>'1. Information samples'!M66</f>
        <v>grasses</v>
      </c>
      <c r="N121" s="42" t="str">
        <f>'1. Information samples'!N66</f>
        <v>60,61, 62</v>
      </c>
      <c r="O121" s="20" t="str">
        <f>'1. Information samples'!O66</f>
        <v>OT-021</v>
      </c>
      <c r="P121" s="58">
        <v>97.230276972302804</v>
      </c>
      <c r="Q121" s="341">
        <f t="shared" ref="Q121" si="804">AVERAGE(P121:P122)</f>
        <v>97.27027297270277</v>
      </c>
      <c r="R121" s="66">
        <v>9.7656250000000622</v>
      </c>
      <c r="S121" s="341">
        <f t="shared" ref="S121" si="805">AVERAGE(R121:R122)</f>
        <v>9.9403782894737045</v>
      </c>
      <c r="T121" s="209">
        <v>90.234374999999943</v>
      </c>
      <c r="U121" s="341">
        <f t="shared" ref="U121" si="806">AVERAGE(T121:T122)</f>
        <v>90.059621710526301</v>
      </c>
      <c r="V121" s="65"/>
    </row>
    <row r="122" spans="2:22" x14ac:dyDescent="0.35">
      <c r="B122" s="19">
        <f t="shared" si="473"/>
        <v>112</v>
      </c>
      <c r="C122" s="7">
        <f>C121</f>
        <v>46048</v>
      </c>
      <c r="D122" s="7" t="str">
        <f t="shared" ref="D122" si="807">D121</f>
        <v>Genbank</v>
      </c>
      <c r="E122" s="14">
        <f t="shared" ref="E122" si="808">E121</f>
        <v>28</v>
      </c>
      <c r="F122" s="7" t="str">
        <f t="shared" ref="F122" si="809">F121</f>
        <v>F252188</v>
      </c>
      <c r="G122" s="7" t="str">
        <f t="shared" ref="G122" si="810">G121</f>
        <v>CIAT-BH22_1710</v>
      </c>
      <c r="H122" s="7" t="str">
        <f t="shared" ref="H122" si="811">H121</f>
        <v>Urochloa</v>
      </c>
      <c r="I122" s="7" t="str">
        <f t="shared" ref="I122" si="812">I121</f>
        <v>humidicola</v>
      </c>
      <c r="J122" s="7" t="str">
        <f t="shared" ref="J122" si="813">J121</f>
        <v>Urochloa humidicola</v>
      </c>
      <c r="K122" s="7" t="str">
        <f t="shared" ref="K122" si="814">K121</f>
        <v>Poaceae</v>
      </c>
      <c r="L122" s="7" t="str">
        <f t="shared" ref="L122" si="815">L121</f>
        <v>Poales</v>
      </c>
      <c r="M122" s="7" t="str">
        <f t="shared" ref="M122" si="816">M121</f>
        <v>grasses</v>
      </c>
      <c r="N122" s="7" t="str">
        <f t="shared" ref="N122" si="817">N121</f>
        <v>60,61, 62</v>
      </c>
      <c r="O122" s="30" t="str">
        <f t="shared" ref="O122" si="818">O121</f>
        <v>OT-021</v>
      </c>
      <c r="P122" s="58">
        <v>97.310268973102723</v>
      </c>
      <c r="Q122" s="341"/>
      <c r="R122" s="66">
        <v>10.115131578947347</v>
      </c>
      <c r="S122" s="341"/>
      <c r="T122" s="209">
        <v>89.884868421052659</v>
      </c>
      <c r="U122" s="341"/>
      <c r="V122" s="65"/>
    </row>
    <row r="123" spans="2:22" x14ac:dyDescent="0.35">
      <c r="B123" s="19">
        <f t="shared" si="473"/>
        <v>113</v>
      </c>
      <c r="C123" s="42">
        <f>'1. Information samples'!C67</f>
        <v>46048</v>
      </c>
      <c r="D123" s="42" t="str">
        <f>'1. Information samples'!D67</f>
        <v>Genbank</v>
      </c>
      <c r="E123" s="59">
        <f>'1. Information samples'!E67</f>
        <v>28</v>
      </c>
      <c r="F123" s="42" t="str">
        <f>'1. Information samples'!F67</f>
        <v>F252189</v>
      </c>
      <c r="G123" s="42" t="str">
        <f>'1. Information samples'!G67</f>
        <v>CIAT-BH22_2365</v>
      </c>
      <c r="H123" s="42" t="str">
        <f>'1. Information samples'!H67</f>
        <v>Urochloa</v>
      </c>
      <c r="I123" s="42" t="str">
        <f>'1. Information samples'!I67</f>
        <v>humidicola</v>
      </c>
      <c r="J123" s="42" t="str">
        <f>'1. Information samples'!J67</f>
        <v>Urochloa humidicola</v>
      </c>
      <c r="K123" s="42" t="str">
        <f>'1. Information samples'!K67</f>
        <v>Poaceae</v>
      </c>
      <c r="L123" s="42" t="str">
        <f>'1. Information samples'!L67</f>
        <v>Poales</v>
      </c>
      <c r="M123" s="42" t="str">
        <f>'1. Information samples'!M67</f>
        <v>grasses</v>
      </c>
      <c r="N123" s="42" t="str">
        <f>'1. Information samples'!N67</f>
        <v>60,61, 62</v>
      </c>
      <c r="O123" s="20" t="str">
        <f>'1. Information samples'!O67</f>
        <v>OT-021</v>
      </c>
      <c r="P123" s="58">
        <v>97.060000000000016</v>
      </c>
      <c r="Q123" s="341">
        <f t="shared" ref="Q123" si="819">AVERAGE(P123:P124)</f>
        <v>97.099999999999966</v>
      </c>
      <c r="R123" s="66">
        <v>12.626158599382112</v>
      </c>
      <c r="S123" s="341">
        <f t="shared" ref="S123" si="820">AVERAGE(R123:R124)</f>
        <v>12.342945417095738</v>
      </c>
      <c r="T123" s="209">
        <v>87.373841400617891</v>
      </c>
      <c r="U123" s="341">
        <f t="shared" ref="U123" si="821">AVERAGE(T123:T124)</f>
        <v>87.657054582904266</v>
      </c>
      <c r="V123" s="65"/>
    </row>
    <row r="124" spans="2:22" x14ac:dyDescent="0.35">
      <c r="B124" s="19">
        <f t="shared" si="473"/>
        <v>114</v>
      </c>
      <c r="C124" s="7">
        <f>C123</f>
        <v>46048</v>
      </c>
      <c r="D124" s="7" t="str">
        <f t="shared" ref="D124" si="822">D123</f>
        <v>Genbank</v>
      </c>
      <c r="E124" s="14">
        <f t="shared" ref="E124" si="823">E123</f>
        <v>28</v>
      </c>
      <c r="F124" s="7" t="str">
        <f t="shared" ref="F124" si="824">F123</f>
        <v>F252189</v>
      </c>
      <c r="G124" s="7" t="str">
        <f t="shared" ref="G124" si="825">G123</f>
        <v>CIAT-BH22_2365</v>
      </c>
      <c r="H124" s="7" t="str">
        <f t="shared" ref="H124" si="826">H123</f>
        <v>Urochloa</v>
      </c>
      <c r="I124" s="7" t="str">
        <f t="shared" ref="I124" si="827">I123</f>
        <v>humidicola</v>
      </c>
      <c r="J124" s="7" t="str">
        <f t="shared" ref="J124" si="828">J123</f>
        <v>Urochloa humidicola</v>
      </c>
      <c r="K124" s="7" t="str">
        <f t="shared" ref="K124" si="829">K123</f>
        <v>Poaceae</v>
      </c>
      <c r="L124" s="7" t="str">
        <f t="shared" ref="L124" si="830">L123</f>
        <v>Poales</v>
      </c>
      <c r="M124" s="7" t="str">
        <f t="shared" ref="M124" si="831">M123</f>
        <v>grasses</v>
      </c>
      <c r="N124" s="7" t="str">
        <f t="shared" ref="N124" si="832">N123</f>
        <v>60,61, 62</v>
      </c>
      <c r="O124" s="30" t="str">
        <f t="shared" ref="O124" si="833">O123</f>
        <v>OT-021</v>
      </c>
      <c r="P124" s="58">
        <v>97.139999999999915</v>
      </c>
      <c r="Q124" s="341"/>
      <c r="R124" s="66">
        <v>12.059732234809363</v>
      </c>
      <c r="S124" s="341"/>
      <c r="T124" s="209">
        <v>87.94026776519064</v>
      </c>
      <c r="U124" s="341"/>
      <c r="V124" s="65"/>
    </row>
    <row r="125" spans="2:22" x14ac:dyDescent="0.35">
      <c r="B125" s="19">
        <f t="shared" si="473"/>
        <v>115</v>
      </c>
      <c r="C125" s="42">
        <f>'1. Information samples'!C68</f>
        <v>46048</v>
      </c>
      <c r="D125" s="42" t="str">
        <f>'1. Information samples'!D68</f>
        <v>Genbank</v>
      </c>
      <c r="E125" s="59">
        <f>'1. Information samples'!E68</f>
        <v>28</v>
      </c>
      <c r="F125" s="42" t="str">
        <f>'1. Information samples'!F68</f>
        <v>F252190</v>
      </c>
      <c r="G125" s="42" t="str">
        <f>'1. Information samples'!G68</f>
        <v>CIAT-BH22_3572</v>
      </c>
      <c r="H125" s="42" t="str">
        <f>'1. Information samples'!H68</f>
        <v>Urochloa</v>
      </c>
      <c r="I125" s="42" t="str">
        <f>'1. Information samples'!I68</f>
        <v>humidicola</v>
      </c>
      <c r="J125" s="42" t="str">
        <f>'1. Information samples'!J68</f>
        <v>Urochloa humidicola</v>
      </c>
      <c r="K125" s="42" t="str">
        <f>'1. Information samples'!K68</f>
        <v>Poaceae</v>
      </c>
      <c r="L125" s="42" t="str">
        <f>'1. Information samples'!L68</f>
        <v>Poales</v>
      </c>
      <c r="M125" s="42" t="str">
        <f>'1. Information samples'!M68</f>
        <v>grasses</v>
      </c>
      <c r="N125" s="42" t="str">
        <f>'1. Information samples'!N68</f>
        <v>60,61, 62</v>
      </c>
      <c r="O125" s="20" t="str">
        <f>'1. Information samples'!O68</f>
        <v>OT-021</v>
      </c>
      <c r="P125" s="58">
        <v>96.440355964403494</v>
      </c>
      <c r="Q125" s="341">
        <f t="shared" ref="Q125" si="834">AVERAGE(P125:P126)</f>
        <v>96.500349965003466</v>
      </c>
      <c r="R125" s="66">
        <v>9.853901150139837</v>
      </c>
      <c r="S125" s="341">
        <f t="shared" ref="S125" si="835">AVERAGE(R125:R126)</f>
        <v>10.0404103201741</v>
      </c>
      <c r="T125" s="209">
        <v>90.146098849860167</v>
      </c>
      <c r="U125" s="341">
        <f t="shared" ref="U125" si="836">AVERAGE(T125:T126)</f>
        <v>89.95958967982591</v>
      </c>
      <c r="V125" s="65"/>
    </row>
    <row r="126" spans="2:22" x14ac:dyDescent="0.35">
      <c r="B126" s="19">
        <f t="shared" si="473"/>
        <v>116</v>
      </c>
      <c r="C126" s="7">
        <f>C125</f>
        <v>46048</v>
      </c>
      <c r="D126" s="7" t="str">
        <f t="shared" ref="D126" si="837">D125</f>
        <v>Genbank</v>
      </c>
      <c r="E126" s="14">
        <f t="shared" ref="E126" si="838">E125</f>
        <v>28</v>
      </c>
      <c r="F126" s="7" t="str">
        <f t="shared" ref="F126" si="839">F125</f>
        <v>F252190</v>
      </c>
      <c r="G126" s="7" t="str">
        <f t="shared" ref="G126" si="840">G125</f>
        <v>CIAT-BH22_3572</v>
      </c>
      <c r="H126" s="7" t="str">
        <f t="shared" ref="H126" si="841">H125</f>
        <v>Urochloa</v>
      </c>
      <c r="I126" s="7" t="str">
        <f t="shared" ref="I126" si="842">I125</f>
        <v>humidicola</v>
      </c>
      <c r="J126" s="7" t="str">
        <f t="shared" ref="J126" si="843">J125</f>
        <v>Urochloa humidicola</v>
      </c>
      <c r="K126" s="7" t="str">
        <f t="shared" ref="K126" si="844">K125</f>
        <v>Poaceae</v>
      </c>
      <c r="L126" s="7" t="str">
        <f t="shared" ref="L126" si="845">L125</f>
        <v>Poales</v>
      </c>
      <c r="M126" s="7" t="str">
        <f t="shared" ref="M126" si="846">M125</f>
        <v>grasses</v>
      </c>
      <c r="N126" s="7" t="str">
        <f t="shared" ref="N126" si="847">N125</f>
        <v>60,61, 62</v>
      </c>
      <c r="O126" s="30" t="str">
        <f t="shared" ref="O126" si="848">O125</f>
        <v>OT-021</v>
      </c>
      <c r="P126" s="58">
        <v>96.560343965603451</v>
      </c>
      <c r="Q126" s="341"/>
      <c r="R126" s="66">
        <v>10.226919490208365</v>
      </c>
      <c r="S126" s="341"/>
      <c r="T126" s="209">
        <v>89.77308050979164</v>
      </c>
      <c r="U126" s="341"/>
      <c r="V126" s="65"/>
    </row>
    <row r="127" spans="2:22" x14ac:dyDescent="0.35">
      <c r="B127" s="19">
        <f t="shared" si="473"/>
        <v>117</v>
      </c>
      <c r="C127" s="42">
        <f>'1. Information samples'!C69</f>
        <v>46048</v>
      </c>
      <c r="D127" s="42" t="str">
        <f>'1. Information samples'!D69</f>
        <v>Genbank</v>
      </c>
      <c r="E127" s="59">
        <f>'1. Information samples'!E69</f>
        <v>28</v>
      </c>
      <c r="F127" s="42" t="str">
        <f>'1. Information samples'!F69</f>
        <v>F252191</v>
      </c>
      <c r="G127" s="42" t="str">
        <f>'1. Information samples'!G69</f>
        <v>CIAT-BH22_0517</v>
      </c>
      <c r="H127" s="42" t="str">
        <f>'1. Information samples'!H69</f>
        <v>Urochloa</v>
      </c>
      <c r="I127" s="42" t="str">
        <f>'1. Information samples'!I69</f>
        <v>humidicola</v>
      </c>
      <c r="J127" s="42" t="str">
        <f>'1. Information samples'!J69</f>
        <v>Urochloa humidicola</v>
      </c>
      <c r="K127" s="42" t="str">
        <f>'1. Information samples'!K69</f>
        <v>Poaceae</v>
      </c>
      <c r="L127" s="42" t="str">
        <f>'1. Information samples'!L69</f>
        <v>Poales</v>
      </c>
      <c r="M127" s="42" t="str">
        <f>'1. Information samples'!M69</f>
        <v>grasses</v>
      </c>
      <c r="N127" s="42" t="str">
        <f>'1. Information samples'!N69</f>
        <v>60,61, 62</v>
      </c>
      <c r="O127" s="20" t="str">
        <f>'1. Information samples'!O69</f>
        <v>OT-021</v>
      </c>
      <c r="P127" s="58">
        <v>96.841263494602146</v>
      </c>
      <c r="Q127" s="341">
        <f t="shared" ref="Q127" si="849">AVERAGE(P127:P128)</f>
        <v>96.866719485884062</v>
      </c>
      <c r="R127" s="66">
        <v>10.22646130429716</v>
      </c>
      <c r="S127" s="341">
        <f t="shared" ref="S127" si="850">AVERAGE(R127:R128)</f>
        <v>10.26103525403385</v>
      </c>
      <c r="T127" s="209">
        <v>89.77353869570284</v>
      </c>
      <c r="U127" s="341">
        <f t="shared" ref="U127" si="851">AVERAGE(T127:T128)</f>
        <v>89.738964745966143</v>
      </c>
      <c r="V127" s="65"/>
    </row>
    <row r="128" spans="2:22" x14ac:dyDescent="0.35">
      <c r="B128" s="19">
        <f t="shared" si="473"/>
        <v>118</v>
      </c>
      <c r="C128" s="7">
        <f>C127</f>
        <v>46048</v>
      </c>
      <c r="D128" s="7" t="str">
        <f t="shared" ref="D128" si="852">D127</f>
        <v>Genbank</v>
      </c>
      <c r="E128" s="14">
        <f t="shared" ref="E128" si="853">E127</f>
        <v>28</v>
      </c>
      <c r="F128" s="7" t="str">
        <f t="shared" ref="F128" si="854">F127</f>
        <v>F252191</v>
      </c>
      <c r="G128" s="7" t="str">
        <f t="shared" ref="G128" si="855">G127</f>
        <v>CIAT-BH22_0517</v>
      </c>
      <c r="H128" s="7" t="str">
        <f t="shared" ref="H128" si="856">H127</f>
        <v>Urochloa</v>
      </c>
      <c r="I128" s="7" t="str">
        <f t="shared" ref="I128" si="857">I127</f>
        <v>humidicola</v>
      </c>
      <c r="J128" s="7" t="str">
        <f t="shared" ref="J128" si="858">J127</f>
        <v>Urochloa humidicola</v>
      </c>
      <c r="K128" s="7" t="str">
        <f t="shared" ref="K128" si="859">K127</f>
        <v>Poaceae</v>
      </c>
      <c r="L128" s="7" t="str">
        <f t="shared" ref="L128" si="860">L127</f>
        <v>Poales</v>
      </c>
      <c r="M128" s="7" t="str">
        <f t="shared" ref="M128" si="861">M127</f>
        <v>grasses</v>
      </c>
      <c r="N128" s="7" t="str">
        <f t="shared" ref="N128" si="862">N127</f>
        <v>60,61, 62</v>
      </c>
      <c r="O128" s="30" t="str">
        <f t="shared" ref="O128" si="863">O127</f>
        <v>OT-021</v>
      </c>
      <c r="P128" s="58">
        <v>96.892175477165978</v>
      </c>
      <c r="Q128" s="341"/>
      <c r="R128" s="66">
        <v>10.295609203770537</v>
      </c>
      <c r="S128" s="341"/>
      <c r="T128" s="209">
        <v>89.704390796229461</v>
      </c>
      <c r="U128" s="341"/>
      <c r="V128" s="65"/>
    </row>
    <row r="129" spans="2:22" x14ac:dyDescent="0.35">
      <c r="B129" s="19">
        <f t="shared" si="473"/>
        <v>119</v>
      </c>
      <c r="C129" s="42">
        <f>'1. Information samples'!C70</f>
        <v>46048</v>
      </c>
      <c r="D129" s="42" t="str">
        <f>'1. Information samples'!D70</f>
        <v>Genbank</v>
      </c>
      <c r="E129" s="59">
        <f>'1. Information samples'!E70</f>
        <v>28</v>
      </c>
      <c r="F129" s="42" t="str">
        <f>'1. Information samples'!F70</f>
        <v>F252192</v>
      </c>
      <c r="G129" s="42" t="str">
        <f>'1. Information samples'!G70</f>
        <v>CIAT-BH22_0519</v>
      </c>
      <c r="H129" s="42" t="str">
        <f>'1. Information samples'!H70</f>
        <v>Urochloa</v>
      </c>
      <c r="I129" s="42" t="str">
        <f>'1. Information samples'!I70</f>
        <v>humidicola</v>
      </c>
      <c r="J129" s="42" t="str">
        <f>'1. Information samples'!J70</f>
        <v>Urochloa humidicola</v>
      </c>
      <c r="K129" s="42" t="str">
        <f>'1. Information samples'!K70</f>
        <v>Poaceae</v>
      </c>
      <c r="L129" s="42" t="str">
        <f>'1. Information samples'!L70</f>
        <v>Poales</v>
      </c>
      <c r="M129" s="42" t="str">
        <f>'1. Information samples'!M70</f>
        <v>grasses</v>
      </c>
      <c r="N129" s="42" t="str">
        <f>'1. Information samples'!N70</f>
        <v>60,61, 62</v>
      </c>
      <c r="O129" s="20" t="str">
        <f>'1. Information samples'!O70</f>
        <v>OT-021</v>
      </c>
      <c r="P129" s="58">
        <v>97.680000000000078</v>
      </c>
      <c r="Q129" s="341">
        <f t="shared" ref="Q129" si="864">AVERAGE(P129:P130)</f>
        <v>97.655355393381996</v>
      </c>
      <c r="R129" s="66">
        <v>11.141222062192577</v>
      </c>
      <c r="S129" s="341">
        <f t="shared" ref="S129" si="865">AVERAGE(R129:R130)</f>
        <v>11.144669891437953</v>
      </c>
      <c r="T129" s="209">
        <v>88.858777937807417</v>
      </c>
      <c r="U129" s="341">
        <f t="shared" ref="U129" si="866">AVERAGE(T129:T130)</f>
        <v>88.855330108562043</v>
      </c>
      <c r="V129" s="65"/>
    </row>
    <row r="130" spans="2:22" x14ac:dyDescent="0.35">
      <c r="B130" s="19">
        <f t="shared" si="473"/>
        <v>120</v>
      </c>
      <c r="C130" s="7">
        <f>C129</f>
        <v>46048</v>
      </c>
      <c r="D130" s="7" t="str">
        <f t="shared" ref="D130" si="867">D129</f>
        <v>Genbank</v>
      </c>
      <c r="E130" s="14">
        <f t="shared" ref="E130" si="868">E129</f>
        <v>28</v>
      </c>
      <c r="F130" s="7" t="str">
        <f t="shared" ref="F130" si="869">F129</f>
        <v>F252192</v>
      </c>
      <c r="G130" s="7" t="str">
        <f t="shared" ref="G130" si="870">G129</f>
        <v>CIAT-BH22_0519</v>
      </c>
      <c r="H130" s="7" t="str">
        <f t="shared" ref="H130" si="871">H129</f>
        <v>Urochloa</v>
      </c>
      <c r="I130" s="7" t="str">
        <f t="shared" ref="I130" si="872">I129</f>
        <v>humidicola</v>
      </c>
      <c r="J130" s="7" t="str">
        <f t="shared" ref="J130" si="873">J129</f>
        <v>Urochloa humidicola</v>
      </c>
      <c r="K130" s="7" t="str">
        <f t="shared" ref="K130" si="874">K129</f>
        <v>Poaceae</v>
      </c>
      <c r="L130" s="7" t="str">
        <f t="shared" ref="L130" si="875">L129</f>
        <v>Poales</v>
      </c>
      <c r="M130" s="7" t="str">
        <f t="shared" ref="M130" si="876">M129</f>
        <v>grasses</v>
      </c>
      <c r="N130" s="7" t="str">
        <f t="shared" ref="N130" si="877">N129</f>
        <v>60,61, 62</v>
      </c>
      <c r="O130" s="30" t="str">
        <f t="shared" ref="O130" si="878">O129</f>
        <v>OT-021</v>
      </c>
      <c r="P130" s="58">
        <v>97.630710786763913</v>
      </c>
      <c r="Q130" s="341"/>
      <c r="R130" s="66">
        <v>11.148117720683331</v>
      </c>
      <c r="S130" s="341"/>
      <c r="T130" s="209">
        <v>88.851882279316669</v>
      </c>
      <c r="U130" s="341"/>
      <c r="V130" s="65"/>
    </row>
    <row r="131" spans="2:22" x14ac:dyDescent="0.35">
      <c r="B131" s="19">
        <f t="shared" si="473"/>
        <v>121</v>
      </c>
      <c r="C131" s="42">
        <f>'1. Information samples'!C71</f>
        <v>46048</v>
      </c>
      <c r="D131" s="42" t="str">
        <f>'1. Information samples'!D71</f>
        <v>Genbank</v>
      </c>
      <c r="E131" s="59">
        <f>'1. Information samples'!E71</f>
        <v>28</v>
      </c>
      <c r="F131" s="42" t="str">
        <f>'1. Information samples'!F71</f>
        <v>F252193</v>
      </c>
      <c r="G131" s="42" t="str">
        <f>'1. Information samples'!G71</f>
        <v>CIAT-BH22_0521</v>
      </c>
      <c r="H131" s="42" t="str">
        <f>'1. Information samples'!H71</f>
        <v>Urochloa</v>
      </c>
      <c r="I131" s="42" t="str">
        <f>'1. Information samples'!I71</f>
        <v>humidicola</v>
      </c>
      <c r="J131" s="42" t="str">
        <f>'1. Information samples'!J71</f>
        <v>Urochloa humidicola</v>
      </c>
      <c r="K131" s="42" t="str">
        <f>'1. Information samples'!K71</f>
        <v>Poaceae</v>
      </c>
      <c r="L131" s="42" t="str">
        <f>'1. Information samples'!L71</f>
        <v>Poales</v>
      </c>
      <c r="M131" s="42" t="str">
        <f>'1. Information samples'!M71</f>
        <v>grasses</v>
      </c>
      <c r="N131" s="42" t="str">
        <f>'1. Information samples'!N71</f>
        <v>60,61, 62</v>
      </c>
      <c r="O131" s="20" t="str">
        <f>'1. Information samples'!O71</f>
        <v>OT-021</v>
      </c>
      <c r="P131" s="20">
        <v>96.431070678796345</v>
      </c>
      <c r="Q131" s="341">
        <f t="shared" ref="Q131" si="879">AVERAGE(P131:P132)</f>
        <v>96.526548731362993</v>
      </c>
      <c r="R131" s="66">
        <v>11.040281766180799</v>
      </c>
      <c r="S131" s="341">
        <f t="shared" ref="S131" si="880">AVERAGE(R131:R132)</f>
        <v>10.992035373132349</v>
      </c>
      <c r="T131" s="210">
        <v>88.959718233819203</v>
      </c>
      <c r="U131" s="341">
        <f t="shared" ref="U131:U193" si="881">AVERAGE(T131:T132)</f>
        <v>89.007964626867647</v>
      </c>
      <c r="V131" s="65"/>
    </row>
    <row r="132" spans="2:22" x14ac:dyDescent="0.35">
      <c r="B132" s="19">
        <f t="shared" si="473"/>
        <v>122</v>
      </c>
      <c r="C132" s="7">
        <f>C131</f>
        <v>46048</v>
      </c>
      <c r="D132" s="7" t="str">
        <f t="shared" ref="D132" si="882">D131</f>
        <v>Genbank</v>
      </c>
      <c r="E132" s="14">
        <f t="shared" ref="E132" si="883">E131</f>
        <v>28</v>
      </c>
      <c r="F132" s="7" t="str">
        <f t="shared" ref="F132" si="884">F131</f>
        <v>F252193</v>
      </c>
      <c r="G132" s="7" t="str">
        <f t="shared" ref="G132" si="885">G131</f>
        <v>CIAT-BH22_0521</v>
      </c>
      <c r="H132" s="7" t="str">
        <f t="shared" ref="H132" si="886">H131</f>
        <v>Urochloa</v>
      </c>
      <c r="I132" s="7" t="str">
        <f t="shared" ref="I132" si="887">I131</f>
        <v>humidicola</v>
      </c>
      <c r="J132" s="7" t="str">
        <f t="shared" ref="J132" si="888">J131</f>
        <v>Urochloa humidicola</v>
      </c>
      <c r="K132" s="7" t="str">
        <f t="shared" ref="K132" si="889">K131</f>
        <v>Poaceae</v>
      </c>
      <c r="L132" s="7" t="str">
        <f t="shared" ref="L132" si="890">L131</f>
        <v>Poales</v>
      </c>
      <c r="M132" s="7" t="str">
        <f t="shared" ref="M132" si="891">M131</f>
        <v>grasses</v>
      </c>
      <c r="N132" s="7" t="str">
        <f t="shared" ref="N132" si="892">N131</f>
        <v>60,61, 62</v>
      </c>
      <c r="O132" s="30" t="str">
        <f t="shared" ref="O132" si="893">O131</f>
        <v>OT-021</v>
      </c>
      <c r="P132" s="20">
        <v>96.622026783929655</v>
      </c>
      <c r="Q132" s="341"/>
      <c r="R132" s="66">
        <v>10.9437889800839</v>
      </c>
      <c r="S132" s="341"/>
      <c r="T132" s="210">
        <v>89.056211019916105</v>
      </c>
      <c r="U132" s="341"/>
      <c r="V132" s="65"/>
    </row>
    <row r="133" spans="2:22" x14ac:dyDescent="0.35">
      <c r="B133" s="19">
        <f t="shared" si="473"/>
        <v>123</v>
      </c>
      <c r="C133" s="42">
        <f>'1. Information samples'!C72</f>
        <v>46048</v>
      </c>
      <c r="D133" s="42" t="str">
        <f>'1. Information samples'!D72</f>
        <v>Genbank</v>
      </c>
      <c r="E133" s="59">
        <f>'1. Information samples'!E72</f>
        <v>28</v>
      </c>
      <c r="F133" s="42" t="str">
        <f>'1. Information samples'!F72</f>
        <v>F252574</v>
      </c>
      <c r="G133" s="42" t="str">
        <f>'1. Information samples'!G72</f>
        <v>CIAT326</v>
      </c>
      <c r="H133" s="42" t="str">
        <f>'1. Information samples'!H72</f>
        <v>Desmodium</v>
      </c>
      <c r="I133" s="42" t="str">
        <f>'1. Information samples'!I72</f>
        <v>scorpiurus</v>
      </c>
      <c r="J133" s="42" t="str">
        <f>'1. Information samples'!J72</f>
        <v>Desmodium scorpiurus</v>
      </c>
      <c r="K133" s="42" t="str">
        <f>'1. Information samples'!K72</f>
        <v>Fabaceae</v>
      </c>
      <c r="L133" s="42" t="str">
        <f>'1. Information samples'!L72</f>
        <v>Fabales</v>
      </c>
      <c r="M133" s="42" t="str">
        <f>'1. Information samples'!M72</f>
        <v>Herbaceous</v>
      </c>
      <c r="N133" s="42" t="str">
        <f>'1. Information samples'!N72</f>
        <v>60,61, 62</v>
      </c>
      <c r="O133" s="20" t="str">
        <f>'1. Information samples'!O72</f>
        <v>OT-031</v>
      </c>
      <c r="P133" s="58">
        <v>91.67249825052501</v>
      </c>
      <c r="Q133" s="341">
        <f t="shared" ref="Q133:Q193" si="894">AVERAGE(P133:P134)</f>
        <v>91.676665083666677</v>
      </c>
      <c r="R133" s="66">
        <v>13.39088533997718</v>
      </c>
      <c r="S133" s="341">
        <f t="shared" ref="S133:S193" si="895">AVERAGE(R133:R134)</f>
        <v>13.174088085344401</v>
      </c>
      <c r="T133" s="209">
        <v>86.609114660022826</v>
      </c>
      <c r="U133" s="341">
        <f t="shared" si="881"/>
        <v>86.825911914655592</v>
      </c>
      <c r="V133" s="65"/>
    </row>
    <row r="134" spans="2:22" x14ac:dyDescent="0.35">
      <c r="B134" s="19">
        <f t="shared" si="473"/>
        <v>124</v>
      </c>
      <c r="C134" s="7">
        <f>C133</f>
        <v>46048</v>
      </c>
      <c r="D134" s="7" t="str">
        <f t="shared" ref="D134" si="896">D133</f>
        <v>Genbank</v>
      </c>
      <c r="E134" s="14">
        <f t="shared" ref="E134" si="897">E133</f>
        <v>28</v>
      </c>
      <c r="F134" s="7" t="str">
        <f t="shared" ref="F134" si="898">F133</f>
        <v>F252574</v>
      </c>
      <c r="G134" s="7" t="str">
        <f t="shared" ref="G134" si="899">G133</f>
        <v>CIAT326</v>
      </c>
      <c r="H134" s="7" t="str">
        <f t="shared" ref="H134" si="900">H133</f>
        <v>Desmodium</v>
      </c>
      <c r="I134" s="7" t="str">
        <f t="shared" ref="I134" si="901">I133</f>
        <v>scorpiurus</v>
      </c>
      <c r="J134" s="7" t="str">
        <f t="shared" ref="J134" si="902">J133</f>
        <v>Desmodium scorpiurus</v>
      </c>
      <c r="K134" s="7" t="str">
        <f t="shared" ref="K134" si="903">K133</f>
        <v>Fabaceae</v>
      </c>
      <c r="L134" s="7" t="str">
        <f t="shared" ref="L134" si="904">L133</f>
        <v>Fabales</v>
      </c>
      <c r="M134" s="7" t="str">
        <f t="shared" ref="M134" si="905">M133</f>
        <v>Herbaceous</v>
      </c>
      <c r="N134" s="7" t="str">
        <f t="shared" ref="N134" si="906">N133</f>
        <v>60,61, 62</v>
      </c>
      <c r="O134" s="30" t="str">
        <f t="shared" ref="O134" si="907">O133</f>
        <v>OT-031</v>
      </c>
      <c r="P134" s="58">
        <v>91.68083191680833</v>
      </c>
      <c r="Q134" s="341"/>
      <c r="R134" s="66">
        <v>12.957290830711621</v>
      </c>
      <c r="S134" s="341"/>
      <c r="T134" s="209">
        <v>87.042709169288372</v>
      </c>
      <c r="U134" s="341"/>
      <c r="V134" s="65"/>
    </row>
    <row r="135" spans="2:22" x14ac:dyDescent="0.35">
      <c r="B135" s="19">
        <f t="shared" si="473"/>
        <v>125</v>
      </c>
      <c r="C135" s="42">
        <f>'1. Information samples'!C73</f>
        <v>46048</v>
      </c>
      <c r="D135" s="260" t="str">
        <f>'1. Information samples'!D73</f>
        <v>Jacobo Arango/Alejandro Montoya</v>
      </c>
      <c r="E135" s="259">
        <f>'1. Information samples'!E73</f>
        <v>28</v>
      </c>
      <c r="F135" s="260" t="str">
        <f>'1. Information samples'!F73</f>
        <v>F250008</v>
      </c>
      <c r="G135" s="260" t="str">
        <f>'1. Information samples'!G73</f>
        <v>Sample 8</v>
      </c>
      <c r="H135" s="260" t="str">
        <f>'1. Information samples'!H73</f>
        <v>Cynodon</v>
      </c>
      <c r="I135" s="260" t="str">
        <f>'1. Information samples'!I73</f>
        <v xml:space="preserve"> nlemfuensis </v>
      </c>
      <c r="J135" s="260" t="str">
        <f>'1. Information samples'!J73</f>
        <v xml:space="preserve">Cynodon nlemfuensis </v>
      </c>
      <c r="K135" s="42" t="str">
        <f>'1. Information samples'!K73</f>
        <v>Poaceae</v>
      </c>
      <c r="L135" s="42" t="str">
        <f>'1. Information samples'!L73</f>
        <v>Poales</v>
      </c>
      <c r="M135" s="42" t="str">
        <f>'1. Information samples'!M73</f>
        <v>grasses</v>
      </c>
      <c r="N135" s="42" t="str">
        <f>'1. Information samples'!N73</f>
        <v>60,61, 62</v>
      </c>
      <c r="O135" s="20" t="str">
        <f>'1. Information samples'!O73</f>
        <v>OT-002</v>
      </c>
      <c r="P135" s="74">
        <v>93.3</v>
      </c>
      <c r="Q135" s="342">
        <f>AVERAGE(P135:P136)</f>
        <v>93.55</v>
      </c>
      <c r="R135" s="229">
        <v>11.3</v>
      </c>
      <c r="S135" s="342">
        <f>AVERAGE(R135:R136)</f>
        <v>11.4</v>
      </c>
      <c r="T135" s="229">
        <v>88.7</v>
      </c>
      <c r="U135" s="342">
        <f>AVERAGE(T135:T136)</f>
        <v>88.6</v>
      </c>
      <c r="V135" s="65"/>
    </row>
    <row r="136" spans="2:22" x14ac:dyDescent="0.35">
      <c r="B136" s="19">
        <f t="shared" si="473"/>
        <v>126</v>
      </c>
      <c r="C136" s="7">
        <f>C135</f>
        <v>46048</v>
      </c>
      <c r="D136" s="260" t="str">
        <f t="shared" ref="D136" si="908">D135</f>
        <v>Jacobo Arango/Alejandro Montoya</v>
      </c>
      <c r="E136" s="259">
        <f t="shared" ref="E136" si="909">E135</f>
        <v>28</v>
      </c>
      <c r="F136" s="260" t="str">
        <f t="shared" ref="F136" si="910">F135</f>
        <v>F250008</v>
      </c>
      <c r="G136" s="260" t="str">
        <f t="shared" ref="G136" si="911">G135</f>
        <v>Sample 8</v>
      </c>
      <c r="H136" s="260" t="str">
        <f t="shared" ref="H136" si="912">H135</f>
        <v>Cynodon</v>
      </c>
      <c r="I136" s="260" t="str">
        <f t="shared" ref="I136" si="913">I135</f>
        <v xml:space="preserve"> nlemfuensis </v>
      </c>
      <c r="J136" s="260" t="str">
        <f t="shared" ref="J136" si="914">J135</f>
        <v xml:space="preserve">Cynodon nlemfuensis </v>
      </c>
      <c r="K136" s="7" t="str">
        <f t="shared" ref="K136" si="915">K135</f>
        <v>Poaceae</v>
      </c>
      <c r="L136" s="7" t="str">
        <f t="shared" ref="L136" si="916">L135</f>
        <v>Poales</v>
      </c>
      <c r="M136" s="7" t="str">
        <f t="shared" ref="M136" si="917">M135</f>
        <v>grasses</v>
      </c>
      <c r="N136" s="7" t="str">
        <f t="shared" ref="N136" si="918">N135</f>
        <v>60,61, 62</v>
      </c>
      <c r="O136" s="30" t="str">
        <f t="shared" ref="O136" si="919">O135</f>
        <v>OT-002</v>
      </c>
      <c r="P136" s="74">
        <v>93.8</v>
      </c>
      <c r="Q136" s="343"/>
      <c r="R136" s="229">
        <v>11.5</v>
      </c>
      <c r="S136" s="343"/>
      <c r="T136" s="229">
        <v>88.5</v>
      </c>
      <c r="U136" s="343"/>
      <c r="V136" s="65"/>
    </row>
    <row r="137" spans="2:22" x14ac:dyDescent="0.35">
      <c r="B137" s="19">
        <f t="shared" si="473"/>
        <v>127</v>
      </c>
      <c r="C137" s="42">
        <f>'1. Information samples'!C74</f>
        <v>46048</v>
      </c>
      <c r="D137" s="42" t="str">
        <f>'1. Information samples'!D74</f>
        <v>Genbank</v>
      </c>
      <c r="E137" s="59">
        <f>'1. Information samples'!E74</f>
        <v>28</v>
      </c>
      <c r="F137" s="42" t="str">
        <f>'1. Information samples'!F74</f>
        <v>F252575</v>
      </c>
      <c r="G137" s="42" t="str">
        <f>'1. Information samples'!G74</f>
        <v>CIAT415</v>
      </c>
      <c r="H137" s="42" t="str">
        <f>'1. Information samples'!H74</f>
        <v>Vigna</v>
      </c>
      <c r="I137" s="42" t="str">
        <f>'1. Information samples'!I74</f>
        <v>radiata</v>
      </c>
      <c r="J137" s="42" t="str">
        <f>'1. Information samples'!J74</f>
        <v>Vigna radiata</v>
      </c>
      <c r="K137" s="42" t="str">
        <f>'1. Information samples'!K74</f>
        <v>Fabaceae</v>
      </c>
      <c r="L137" s="42" t="str">
        <f>'1. Information samples'!L74</f>
        <v>Fabales</v>
      </c>
      <c r="M137" s="42" t="str">
        <f>'1. Information samples'!M74</f>
        <v>Herbaceous</v>
      </c>
      <c r="N137" s="42" t="str">
        <f>'1. Information samples'!N74</f>
        <v>60,61, 62</v>
      </c>
      <c r="O137" s="20" t="str">
        <f>'1. Information samples'!O74</f>
        <v>OT-031</v>
      </c>
      <c r="P137" s="58">
        <v>92</v>
      </c>
      <c r="Q137" s="341">
        <f t="shared" si="894"/>
        <v>91.936625349860066</v>
      </c>
      <c r="R137" s="66">
        <v>21.242894141132062</v>
      </c>
      <c r="S137" s="341">
        <f t="shared" si="895"/>
        <v>20.265539819121617</v>
      </c>
      <c r="T137" s="209">
        <v>78.757105858867931</v>
      </c>
      <c r="U137" s="341">
        <f t="shared" si="881"/>
        <v>79.734460180878386</v>
      </c>
      <c r="V137" s="65"/>
    </row>
    <row r="138" spans="2:22" x14ac:dyDescent="0.35">
      <c r="B138" s="19">
        <f t="shared" si="473"/>
        <v>128</v>
      </c>
      <c r="C138" s="7">
        <f>C137</f>
        <v>46048</v>
      </c>
      <c r="D138" s="7" t="str">
        <f t="shared" ref="D138" si="920">D137</f>
        <v>Genbank</v>
      </c>
      <c r="E138" s="14">
        <f t="shared" ref="E138" si="921">E137</f>
        <v>28</v>
      </c>
      <c r="F138" s="7" t="str">
        <f t="shared" ref="F138" si="922">F137</f>
        <v>F252575</v>
      </c>
      <c r="G138" s="7" t="str">
        <f t="shared" ref="G138" si="923">G137</f>
        <v>CIAT415</v>
      </c>
      <c r="H138" s="7" t="str">
        <f t="shared" ref="H138" si="924">H137</f>
        <v>Vigna</v>
      </c>
      <c r="I138" s="7" t="str">
        <f t="shared" ref="I138" si="925">I137</f>
        <v>radiata</v>
      </c>
      <c r="J138" s="7" t="str">
        <f t="shared" ref="J138" si="926">J137</f>
        <v>Vigna radiata</v>
      </c>
      <c r="K138" s="7" t="str">
        <f t="shared" ref="K138" si="927">K137</f>
        <v>Fabaceae</v>
      </c>
      <c r="L138" s="7" t="str">
        <f t="shared" ref="L138" si="928">L137</f>
        <v>Fabales</v>
      </c>
      <c r="M138" s="7" t="str">
        <f t="shared" ref="M138" si="929">M137</f>
        <v>Herbaceous</v>
      </c>
      <c r="N138" s="7" t="str">
        <f t="shared" ref="N138" si="930">N137</f>
        <v>60,61, 62</v>
      </c>
      <c r="O138" s="30" t="str">
        <f t="shared" ref="O138" si="931">O137</f>
        <v>OT-031</v>
      </c>
      <c r="P138" s="58">
        <v>91.873250699720145</v>
      </c>
      <c r="Q138" s="341"/>
      <c r="R138" s="66">
        <v>19.288185497111172</v>
      </c>
      <c r="S138" s="341"/>
      <c r="T138" s="209">
        <v>80.711814502888828</v>
      </c>
      <c r="U138" s="341"/>
      <c r="V138" s="65"/>
    </row>
    <row r="139" spans="2:22" x14ac:dyDescent="0.35">
      <c r="B139" s="19">
        <f t="shared" si="473"/>
        <v>129</v>
      </c>
      <c r="C139" s="42">
        <f>'1. Information samples'!C75</f>
        <v>46048</v>
      </c>
      <c r="D139" s="42" t="str">
        <f>'1. Information samples'!D75</f>
        <v>Genbank</v>
      </c>
      <c r="E139" s="59">
        <f>'1. Information samples'!E75</f>
        <v>28</v>
      </c>
      <c r="F139" s="42" t="str">
        <f>'1. Information samples'!F75</f>
        <v>F252576</v>
      </c>
      <c r="G139" s="42" t="str">
        <f>'1. Information samples'!G75</f>
        <v>CIAT416</v>
      </c>
      <c r="H139" s="42" t="str">
        <f>'1. Information samples'!H75</f>
        <v>Vigna</v>
      </c>
      <c r="I139" s="42" t="str">
        <f>'1. Information samples'!I75</f>
        <v>radiata</v>
      </c>
      <c r="J139" s="42" t="str">
        <f>'1. Information samples'!J75</f>
        <v>Vigna radiata</v>
      </c>
      <c r="K139" s="42" t="str">
        <f>'1. Information samples'!K75</f>
        <v>Fabaceae</v>
      </c>
      <c r="L139" s="42" t="str">
        <f>'1. Information samples'!L75</f>
        <v>Fabales</v>
      </c>
      <c r="M139" s="42" t="str">
        <f>'1. Information samples'!M75</f>
        <v>Herbaceous</v>
      </c>
      <c r="N139" s="42" t="str">
        <f>'1. Information samples'!N75</f>
        <v>60,61, 62</v>
      </c>
      <c r="O139" s="20" t="str">
        <f>'1. Information samples'!O75</f>
        <v>OT-031</v>
      </c>
      <c r="P139" s="58">
        <v>91.403438624550233</v>
      </c>
      <c r="Q139" s="341">
        <f t="shared" si="894"/>
        <v>91.428855744059177</v>
      </c>
      <c r="R139" s="66">
        <v>10.769096359394812</v>
      </c>
      <c r="S139" s="341">
        <f t="shared" si="895"/>
        <v>10.75762617368197</v>
      </c>
      <c r="T139" s="209">
        <v>89.230903640605192</v>
      </c>
      <c r="U139" s="341">
        <f t="shared" si="881"/>
        <v>89.24237382631803</v>
      </c>
      <c r="V139" s="65"/>
    </row>
    <row r="140" spans="2:22" x14ac:dyDescent="0.35">
      <c r="B140" s="19">
        <f t="shared" si="473"/>
        <v>130</v>
      </c>
      <c r="C140" s="7">
        <f>C139</f>
        <v>46048</v>
      </c>
      <c r="D140" s="7" t="str">
        <f t="shared" ref="D140" si="932">D139</f>
        <v>Genbank</v>
      </c>
      <c r="E140" s="14">
        <f t="shared" ref="E140" si="933">E139</f>
        <v>28</v>
      </c>
      <c r="F140" s="7" t="str">
        <f t="shared" ref="F140" si="934">F139</f>
        <v>F252576</v>
      </c>
      <c r="G140" s="7" t="str">
        <f t="shared" ref="G140" si="935">G139</f>
        <v>CIAT416</v>
      </c>
      <c r="H140" s="7" t="str">
        <f t="shared" ref="H140" si="936">H139</f>
        <v>Vigna</v>
      </c>
      <c r="I140" s="7" t="str">
        <f t="shared" ref="I140" si="937">I139</f>
        <v>radiata</v>
      </c>
      <c r="J140" s="7" t="str">
        <f t="shared" ref="J140" si="938">J139</f>
        <v>Vigna radiata</v>
      </c>
      <c r="K140" s="7" t="str">
        <f t="shared" ref="K140" si="939">K139</f>
        <v>Fabaceae</v>
      </c>
      <c r="L140" s="7" t="str">
        <f t="shared" ref="L140" si="940">L139</f>
        <v>Fabales</v>
      </c>
      <c r="M140" s="7" t="str">
        <f t="shared" ref="M140" si="941">M139</f>
        <v>Herbaceous</v>
      </c>
      <c r="N140" s="7" t="str">
        <f t="shared" ref="N140" si="942">N139</f>
        <v>60,61, 62</v>
      </c>
      <c r="O140" s="30" t="str">
        <f t="shared" ref="O140" si="943">O139</f>
        <v>OT-031</v>
      </c>
      <c r="P140" s="58">
        <v>91.454272863568136</v>
      </c>
      <c r="Q140" s="341"/>
      <c r="R140" s="66">
        <v>10.746155987969127</v>
      </c>
      <c r="S140" s="341"/>
      <c r="T140" s="209">
        <v>89.253844012030868</v>
      </c>
      <c r="U140" s="341"/>
      <c r="V140" s="65"/>
    </row>
    <row r="141" spans="2:22" x14ac:dyDescent="0.35">
      <c r="B141" s="19">
        <f t="shared" ref="B141:B204" si="944">B140+1</f>
        <v>131</v>
      </c>
      <c r="C141" s="42">
        <f>'1. Information samples'!C76</f>
        <v>46048</v>
      </c>
      <c r="D141" s="42" t="str">
        <f>'1. Information samples'!D76</f>
        <v>Genbank</v>
      </c>
      <c r="E141" s="59">
        <f>'1. Information samples'!E76</f>
        <v>28</v>
      </c>
      <c r="F141" s="42" t="str">
        <f>'1. Information samples'!F76</f>
        <v>F252577</v>
      </c>
      <c r="G141" s="42" t="str">
        <f>'1. Information samples'!G76</f>
        <v>CIAT517</v>
      </c>
      <c r="H141" s="42" t="str">
        <f>'1. Information samples'!H76</f>
        <v>Macroptilium</v>
      </c>
      <c r="I141" s="42" t="str">
        <f>'1. Information samples'!I76</f>
        <v>atropurpureum</v>
      </c>
      <c r="J141" s="42" t="str">
        <f>'1. Information samples'!J76</f>
        <v>Macroptilium atropurpureum</v>
      </c>
      <c r="K141" s="42" t="str">
        <f>'1. Information samples'!K76</f>
        <v>Fabaceae</v>
      </c>
      <c r="L141" s="42" t="str">
        <f>'1. Information samples'!L76</f>
        <v>Fabales</v>
      </c>
      <c r="M141" s="42" t="str">
        <f>'1. Information samples'!M76</f>
        <v>Herbaceous</v>
      </c>
      <c r="N141" s="42" t="str">
        <f>'1. Information samples'!N76</f>
        <v>60,61, 62</v>
      </c>
      <c r="O141" s="20" t="str">
        <f>'1. Information samples'!O76</f>
        <v>OT-031</v>
      </c>
      <c r="P141" s="58">
        <v>91.034482758620797</v>
      </c>
      <c r="Q141" s="341">
        <f t="shared" si="894"/>
        <v>91.083128201945883</v>
      </c>
      <c r="R141" s="66">
        <v>13.694921732139564</v>
      </c>
      <c r="S141" s="341">
        <f t="shared" si="895"/>
        <v>13.685998773265922</v>
      </c>
      <c r="T141" s="209">
        <v>86.305078267860438</v>
      </c>
      <c r="U141" s="341">
        <f t="shared" si="881"/>
        <v>86.314001226734078</v>
      </c>
      <c r="V141" s="65"/>
    </row>
    <row r="142" spans="2:22" x14ac:dyDescent="0.35">
      <c r="B142" s="19">
        <f t="shared" si="944"/>
        <v>132</v>
      </c>
      <c r="C142" s="7">
        <f>C141</f>
        <v>46048</v>
      </c>
      <c r="D142" s="7" t="str">
        <f t="shared" ref="D142" si="945">D141</f>
        <v>Genbank</v>
      </c>
      <c r="E142" s="14">
        <f t="shared" ref="E142" si="946">E141</f>
        <v>28</v>
      </c>
      <c r="F142" s="7" t="str">
        <f t="shared" ref="F142" si="947">F141</f>
        <v>F252577</v>
      </c>
      <c r="G142" s="7" t="str">
        <f t="shared" ref="G142" si="948">G141</f>
        <v>CIAT517</v>
      </c>
      <c r="H142" s="7" t="str">
        <f t="shared" ref="H142" si="949">H141</f>
        <v>Macroptilium</v>
      </c>
      <c r="I142" s="7" t="str">
        <f t="shared" ref="I142" si="950">I141</f>
        <v>atropurpureum</v>
      </c>
      <c r="J142" s="7" t="str">
        <f t="shared" ref="J142" si="951">J141</f>
        <v>Macroptilium atropurpureum</v>
      </c>
      <c r="K142" s="7" t="str">
        <f t="shared" ref="K142" si="952">K141</f>
        <v>Fabaceae</v>
      </c>
      <c r="L142" s="7" t="str">
        <f t="shared" ref="L142" si="953">L141</f>
        <v>Fabales</v>
      </c>
      <c r="M142" s="7" t="str">
        <f t="shared" ref="M142" si="954">M141</f>
        <v>Herbaceous</v>
      </c>
      <c r="N142" s="7" t="str">
        <f t="shared" ref="N142" si="955">N141</f>
        <v>60,61, 62</v>
      </c>
      <c r="O142" s="30" t="str">
        <f t="shared" ref="O142" si="956">O141</f>
        <v>OT-031</v>
      </c>
      <c r="P142" s="58">
        <v>91.131773645270968</v>
      </c>
      <c r="Q142" s="341"/>
      <c r="R142" s="66">
        <v>13.677075814392282</v>
      </c>
      <c r="S142" s="341"/>
      <c r="T142" s="209">
        <v>86.322924185607718</v>
      </c>
      <c r="U142" s="341"/>
      <c r="V142" s="65"/>
    </row>
    <row r="143" spans="2:22" x14ac:dyDescent="0.35">
      <c r="B143" s="19">
        <f t="shared" si="944"/>
        <v>133</v>
      </c>
      <c r="C143" s="42">
        <f>'1. Information samples'!C77</f>
        <v>46048</v>
      </c>
      <c r="D143" s="42" t="str">
        <f>'1. Information samples'!D77</f>
        <v>Genbank</v>
      </c>
      <c r="E143" s="59">
        <f>'1. Information samples'!E77</f>
        <v>28</v>
      </c>
      <c r="F143" s="42" t="str">
        <f>'1. Information samples'!F77</f>
        <v>F252578</v>
      </c>
      <c r="G143" s="42" t="str">
        <f>'1. Information samples'!G77</f>
        <v>CIAT563</v>
      </c>
      <c r="H143" s="42" t="str">
        <f>'1. Information samples'!H77</f>
        <v>Macroptilium</v>
      </c>
      <c r="I143" s="42" t="str">
        <f>'1. Information samples'!I77</f>
        <v>bracteatum</v>
      </c>
      <c r="J143" s="42" t="str">
        <f>'1. Information samples'!J77</f>
        <v>Macroptilium bracteatum</v>
      </c>
      <c r="K143" s="42" t="str">
        <f>'1. Information samples'!K77</f>
        <v>Fabaceae</v>
      </c>
      <c r="L143" s="42" t="str">
        <f>'1. Information samples'!L77</f>
        <v>Fabales</v>
      </c>
      <c r="M143" s="42" t="str">
        <f>'1. Information samples'!M77</f>
        <v>Herbaceous</v>
      </c>
      <c r="N143" s="42" t="str">
        <f>'1. Information samples'!N77</f>
        <v>60,61, 62</v>
      </c>
      <c r="O143" s="20" t="str">
        <f>'1. Information samples'!O77</f>
        <v>OT-031</v>
      </c>
      <c r="P143" s="58">
        <v>92.944233459924106</v>
      </c>
      <c r="Q143" s="341">
        <f t="shared" si="894"/>
        <v>92.997811590989883</v>
      </c>
      <c r="R143" s="66">
        <v>12.971017420976787</v>
      </c>
      <c r="S143" s="341">
        <f t="shared" si="895"/>
        <v>12.887604777369589</v>
      </c>
      <c r="T143" s="209">
        <v>87.028982579023207</v>
      </c>
      <c r="U143" s="341">
        <f t="shared" si="881"/>
        <v>87.112395222630411</v>
      </c>
      <c r="V143" s="65"/>
    </row>
    <row r="144" spans="2:22" x14ac:dyDescent="0.35">
      <c r="B144" s="19">
        <f t="shared" si="944"/>
        <v>134</v>
      </c>
      <c r="C144" s="7">
        <f>C143</f>
        <v>46048</v>
      </c>
      <c r="D144" s="7" t="str">
        <f t="shared" ref="D144" si="957">D143</f>
        <v>Genbank</v>
      </c>
      <c r="E144" s="14">
        <f t="shared" ref="E144" si="958">E143</f>
        <v>28</v>
      </c>
      <c r="F144" s="7" t="str">
        <f t="shared" ref="F144" si="959">F143</f>
        <v>F252578</v>
      </c>
      <c r="G144" s="7" t="str">
        <f t="shared" ref="G144" si="960">G143</f>
        <v>CIAT563</v>
      </c>
      <c r="H144" s="7" t="str">
        <f t="shared" ref="H144" si="961">H143</f>
        <v>Macroptilium</v>
      </c>
      <c r="I144" s="7" t="str">
        <f t="shared" ref="I144" si="962">I143</f>
        <v>bracteatum</v>
      </c>
      <c r="J144" s="7" t="str">
        <f t="shared" ref="J144" si="963">J143</f>
        <v>Macroptilium bracteatum</v>
      </c>
      <c r="K144" s="7" t="str">
        <f t="shared" ref="K144" si="964">K143</f>
        <v>Fabaceae</v>
      </c>
      <c r="L144" s="7" t="str">
        <f t="shared" ref="L144" si="965">L143</f>
        <v>Fabales</v>
      </c>
      <c r="M144" s="7" t="str">
        <f t="shared" ref="M144" si="966">M143</f>
        <v>Herbaceous</v>
      </c>
      <c r="N144" s="7" t="str">
        <f t="shared" ref="N144" si="967">N143</f>
        <v>60,61, 62</v>
      </c>
      <c r="O144" s="30" t="str">
        <f t="shared" ref="O144" si="968">O143</f>
        <v>OT-031</v>
      </c>
      <c r="P144" s="58">
        <v>93.05138972205566</v>
      </c>
      <c r="Q144" s="341"/>
      <c r="R144" s="66">
        <v>12.804192133762388</v>
      </c>
      <c r="S144" s="341"/>
      <c r="T144" s="209">
        <v>87.195807866237615</v>
      </c>
      <c r="U144" s="341"/>
      <c r="V144" s="65"/>
    </row>
    <row r="145" spans="2:22" x14ac:dyDescent="0.35">
      <c r="B145" s="19">
        <f t="shared" si="944"/>
        <v>135</v>
      </c>
      <c r="C145" s="42">
        <f>'1. Information samples'!C78</f>
        <v>46048</v>
      </c>
      <c r="D145" s="42" t="str">
        <f>'1. Information samples'!D78</f>
        <v>Genbank</v>
      </c>
      <c r="E145" s="59">
        <f>'1. Information samples'!E78</f>
        <v>28</v>
      </c>
      <c r="F145" s="42" t="str">
        <f>'1. Information samples'!F78</f>
        <v>F252579</v>
      </c>
      <c r="G145" s="42" t="str">
        <f>'1. Information samples'!G78</f>
        <v>CIAT789</v>
      </c>
      <c r="H145" s="42" t="str">
        <f>'1. Information samples'!H78</f>
        <v>Zornia</v>
      </c>
      <c r="I145" s="42" t="str">
        <f>'1. Information samples'!I78</f>
        <v>latifolia</v>
      </c>
      <c r="J145" s="42" t="str">
        <f>'1. Information samples'!J78</f>
        <v>Zornia latifolia</v>
      </c>
      <c r="K145" s="42" t="str">
        <f>'1. Information samples'!K78</f>
        <v>Fabaceae</v>
      </c>
      <c r="L145" s="42" t="str">
        <f>'1. Information samples'!L78</f>
        <v>Fabales</v>
      </c>
      <c r="M145" s="42" t="str">
        <f>'1. Information samples'!M78</f>
        <v>Herbaceous</v>
      </c>
      <c r="N145" s="42" t="str">
        <f>'1. Information samples'!N78</f>
        <v>60,61, 62</v>
      </c>
      <c r="O145" s="20" t="str">
        <f>'1. Information samples'!O78</f>
        <v>OT-031</v>
      </c>
      <c r="P145" s="58">
        <v>88.951104889511029</v>
      </c>
      <c r="Q145" s="341">
        <f t="shared" si="894"/>
        <v>88.84780354431571</v>
      </c>
      <c r="R145" s="66">
        <v>8.519336183608802</v>
      </c>
      <c r="S145" s="341">
        <f t="shared" si="895"/>
        <v>8.4449292312171735</v>
      </c>
      <c r="T145" s="209">
        <v>91.4806638163912</v>
      </c>
      <c r="U145" s="341">
        <f t="shared" si="881"/>
        <v>91.555070768782826</v>
      </c>
      <c r="V145" s="65"/>
    </row>
    <row r="146" spans="2:22" x14ac:dyDescent="0.35">
      <c r="B146" s="19">
        <f t="shared" si="944"/>
        <v>136</v>
      </c>
      <c r="C146" s="7">
        <f>C145</f>
        <v>46048</v>
      </c>
      <c r="D146" s="7" t="str">
        <f t="shared" ref="D146" si="969">D145</f>
        <v>Genbank</v>
      </c>
      <c r="E146" s="14">
        <f t="shared" ref="E146" si="970">E145</f>
        <v>28</v>
      </c>
      <c r="F146" s="7" t="str">
        <f t="shared" ref="F146" si="971">F145</f>
        <v>F252579</v>
      </c>
      <c r="G146" s="7" t="str">
        <f t="shared" ref="G146" si="972">G145</f>
        <v>CIAT789</v>
      </c>
      <c r="H146" s="7" t="str">
        <f t="shared" ref="H146" si="973">H145</f>
        <v>Zornia</v>
      </c>
      <c r="I146" s="7" t="str">
        <f t="shared" ref="I146" si="974">I145</f>
        <v>latifolia</v>
      </c>
      <c r="J146" s="7" t="str">
        <f t="shared" ref="J146" si="975">J145</f>
        <v>Zornia latifolia</v>
      </c>
      <c r="K146" s="7" t="str">
        <f t="shared" ref="K146" si="976">K145</f>
        <v>Fabaceae</v>
      </c>
      <c r="L146" s="7" t="str">
        <f t="shared" ref="L146" si="977">L145</f>
        <v>Fabales</v>
      </c>
      <c r="M146" s="7" t="str">
        <f t="shared" ref="M146" si="978">M145</f>
        <v>Herbaceous</v>
      </c>
      <c r="N146" s="7" t="str">
        <f t="shared" ref="N146" si="979">N145</f>
        <v>60,61, 62</v>
      </c>
      <c r="O146" s="30" t="str">
        <f t="shared" ref="O146" si="980">O145</f>
        <v>OT-031</v>
      </c>
      <c r="P146" s="58">
        <v>88.74450219912039</v>
      </c>
      <c r="Q146" s="341"/>
      <c r="R146" s="66">
        <v>8.3705222788255451</v>
      </c>
      <c r="S146" s="341"/>
      <c r="T146" s="209">
        <v>91.629477721174453</v>
      </c>
      <c r="U146" s="341"/>
      <c r="V146" s="65"/>
    </row>
    <row r="147" spans="2:22" x14ac:dyDescent="0.35">
      <c r="B147" s="19">
        <f t="shared" si="944"/>
        <v>137</v>
      </c>
      <c r="C147" s="42">
        <f>'1. Information samples'!C79</f>
        <v>46048</v>
      </c>
      <c r="D147" s="42" t="str">
        <f>'1. Information samples'!D79</f>
        <v>Genbank</v>
      </c>
      <c r="E147" s="59">
        <f>'1. Information samples'!E79</f>
        <v>28</v>
      </c>
      <c r="F147" s="42" t="str">
        <f>'1. Information samples'!F79</f>
        <v>F252580</v>
      </c>
      <c r="G147" s="42" t="str">
        <f>'1. Information samples'!G79</f>
        <v>CIAT2085</v>
      </c>
      <c r="H147" s="42" t="str">
        <f>'1. Information samples'!H79</f>
        <v>Stylosanthes</v>
      </c>
      <c r="I147" s="42" t="str">
        <f>'1. Information samples'!I79</f>
        <v>seabrana</v>
      </c>
      <c r="J147" s="42" t="str">
        <f>'1. Information samples'!J79</f>
        <v>Stylosanthes seabrana</v>
      </c>
      <c r="K147" s="42" t="str">
        <f>'1. Information samples'!K79</f>
        <v>Fabaceae</v>
      </c>
      <c r="L147" s="42" t="str">
        <f>'1. Information samples'!L79</f>
        <v>Fabales</v>
      </c>
      <c r="M147" s="42" t="str">
        <f>'1. Information samples'!M79</f>
        <v>Herbaceous</v>
      </c>
      <c r="N147" s="42" t="str">
        <f>'1. Information samples'!N79</f>
        <v>60,61, 62</v>
      </c>
      <c r="O147" s="20" t="str">
        <f>'1. Information samples'!O79</f>
        <v>OT-031</v>
      </c>
      <c r="P147" s="58">
        <v>91.954022988505741</v>
      </c>
      <c r="Q147" s="341">
        <f t="shared" si="894"/>
        <v>91.972812334084935</v>
      </c>
      <c r="R147" s="66">
        <v>9.2589776400472807</v>
      </c>
      <c r="S147" s="341">
        <f t="shared" si="895"/>
        <v>9.3310251362757555</v>
      </c>
      <c r="T147" s="209">
        <v>90.741022359952723</v>
      </c>
      <c r="U147" s="341">
        <f t="shared" si="881"/>
        <v>90.668974863724245</v>
      </c>
      <c r="V147" s="65"/>
    </row>
    <row r="148" spans="2:22" x14ac:dyDescent="0.35">
      <c r="B148" s="19">
        <f t="shared" si="944"/>
        <v>138</v>
      </c>
      <c r="C148" s="7">
        <f>C147</f>
        <v>46048</v>
      </c>
      <c r="D148" s="7" t="str">
        <f t="shared" ref="D148" si="981">D147</f>
        <v>Genbank</v>
      </c>
      <c r="E148" s="14">
        <f t="shared" ref="E148" si="982">E147</f>
        <v>28</v>
      </c>
      <c r="F148" s="7" t="str">
        <f t="shared" ref="F148" si="983">F147</f>
        <v>F252580</v>
      </c>
      <c r="G148" s="7" t="str">
        <f t="shared" ref="G148" si="984">G147</f>
        <v>CIAT2085</v>
      </c>
      <c r="H148" s="7" t="str">
        <f t="shared" ref="H148" si="985">H147</f>
        <v>Stylosanthes</v>
      </c>
      <c r="I148" s="7" t="str">
        <f t="shared" ref="I148" si="986">I147</f>
        <v>seabrana</v>
      </c>
      <c r="J148" s="7" t="str">
        <f t="shared" ref="J148" si="987">J147</f>
        <v>Stylosanthes seabrana</v>
      </c>
      <c r="K148" s="7" t="str">
        <f t="shared" ref="K148" si="988">K147</f>
        <v>Fabaceae</v>
      </c>
      <c r="L148" s="7" t="str">
        <f t="shared" ref="L148" si="989">L147</f>
        <v>Fabales</v>
      </c>
      <c r="M148" s="7" t="str">
        <f t="shared" ref="M148" si="990">M147</f>
        <v>Herbaceous</v>
      </c>
      <c r="N148" s="7" t="str">
        <f t="shared" ref="N148" si="991">N147</f>
        <v>60,61, 62</v>
      </c>
      <c r="O148" s="30" t="str">
        <f t="shared" ref="O148" si="992">O147</f>
        <v>OT-031</v>
      </c>
      <c r="P148" s="58">
        <v>91.991601679664129</v>
      </c>
      <c r="Q148" s="341"/>
      <c r="R148" s="66">
        <v>9.4030726325042302</v>
      </c>
      <c r="S148" s="341"/>
      <c r="T148" s="209">
        <v>90.596927367495766</v>
      </c>
      <c r="U148" s="341"/>
      <c r="V148" s="65"/>
    </row>
    <row r="149" spans="2:22" x14ac:dyDescent="0.35">
      <c r="B149" s="19">
        <f t="shared" si="944"/>
        <v>139</v>
      </c>
      <c r="C149" s="42">
        <f>'1. Information samples'!C80</f>
        <v>46048</v>
      </c>
      <c r="D149" s="42" t="str">
        <f>'1. Information samples'!D80</f>
        <v>Genbank</v>
      </c>
      <c r="E149" s="59">
        <f>'1. Information samples'!E80</f>
        <v>28</v>
      </c>
      <c r="F149" s="42" t="str">
        <f>'1. Information samples'!F80</f>
        <v>F252581</v>
      </c>
      <c r="G149" s="42" t="str">
        <f>'1. Information samples'!G80</f>
        <v>CIAT2690</v>
      </c>
      <c r="H149" s="42" t="str">
        <f>'1. Information samples'!H80</f>
        <v>Stylosanthes</v>
      </c>
      <c r="I149" s="42" t="str">
        <f>'1. Information samples'!I80</f>
        <v>angustifolia</v>
      </c>
      <c r="J149" s="42" t="str">
        <f>'1. Information samples'!J80</f>
        <v>Stylosanthes angustifolia</v>
      </c>
      <c r="K149" s="42" t="str">
        <f>'1. Information samples'!K80</f>
        <v>Fabaceae</v>
      </c>
      <c r="L149" s="42" t="str">
        <f>'1. Information samples'!L80</f>
        <v>Fabales</v>
      </c>
      <c r="M149" s="42" t="str">
        <f>'1. Information samples'!M80</f>
        <v>Herbaceous</v>
      </c>
      <c r="N149" s="42" t="str">
        <f>'1. Information samples'!N80</f>
        <v>60,61, 62</v>
      </c>
      <c r="O149" s="20" t="str">
        <f>'1. Information samples'!O80</f>
        <v>OT-031</v>
      </c>
      <c r="P149" s="58">
        <v>90.92453773113435</v>
      </c>
      <c r="Q149" s="341">
        <f t="shared" si="894"/>
        <v>91.013158687602811</v>
      </c>
      <c r="R149" s="66">
        <v>9.620171758853802</v>
      </c>
      <c r="S149" s="341">
        <f t="shared" si="895"/>
        <v>9.4513435062118116</v>
      </c>
      <c r="T149" s="209">
        <v>90.3798282411462</v>
      </c>
      <c r="U149" s="341">
        <f t="shared" si="881"/>
        <v>90.548656493788187</v>
      </c>
      <c r="V149" s="65"/>
    </row>
    <row r="150" spans="2:22" x14ac:dyDescent="0.35">
      <c r="B150" s="19">
        <f t="shared" si="944"/>
        <v>140</v>
      </c>
      <c r="C150" s="7">
        <f>C149</f>
        <v>46048</v>
      </c>
      <c r="D150" s="7" t="str">
        <f t="shared" ref="D150" si="993">D149</f>
        <v>Genbank</v>
      </c>
      <c r="E150" s="14">
        <f t="shared" ref="E150" si="994">E149</f>
        <v>28</v>
      </c>
      <c r="F150" s="7" t="str">
        <f t="shared" ref="F150" si="995">F149</f>
        <v>F252581</v>
      </c>
      <c r="G150" s="7" t="str">
        <f t="shared" ref="G150" si="996">G149</f>
        <v>CIAT2690</v>
      </c>
      <c r="H150" s="7" t="str">
        <f t="shared" ref="H150" si="997">H149</f>
        <v>Stylosanthes</v>
      </c>
      <c r="I150" s="7" t="str">
        <f t="shared" ref="I150" si="998">I149</f>
        <v>angustifolia</v>
      </c>
      <c r="J150" s="7" t="str">
        <f t="shared" ref="J150" si="999">J149</f>
        <v>Stylosanthes angustifolia</v>
      </c>
      <c r="K150" s="7" t="str">
        <f t="shared" ref="K150" si="1000">K149</f>
        <v>Fabaceae</v>
      </c>
      <c r="L150" s="7" t="str">
        <f t="shared" ref="L150" si="1001">L149</f>
        <v>Fabales</v>
      </c>
      <c r="M150" s="7" t="str">
        <f t="shared" ref="M150" si="1002">M149</f>
        <v>Herbaceous</v>
      </c>
      <c r="N150" s="7" t="str">
        <f t="shared" ref="N150" si="1003">N149</f>
        <v>60,61, 62</v>
      </c>
      <c r="O150" s="30" t="str">
        <f t="shared" ref="O150" si="1004">O149</f>
        <v>OT-031</v>
      </c>
      <c r="P150" s="58">
        <v>91.101779644071286</v>
      </c>
      <c r="Q150" s="341"/>
      <c r="R150" s="66">
        <v>9.2825152535698212</v>
      </c>
      <c r="S150" s="341"/>
      <c r="T150" s="209">
        <v>90.717484746430173</v>
      </c>
      <c r="U150" s="341"/>
      <c r="V150" s="65"/>
    </row>
    <row r="151" spans="2:22" x14ac:dyDescent="0.35">
      <c r="B151" s="19">
        <f t="shared" si="944"/>
        <v>141</v>
      </c>
      <c r="C151" s="42">
        <f>'1. Information samples'!C81</f>
        <v>46048</v>
      </c>
      <c r="D151" s="42" t="str">
        <f>'1. Information samples'!D81</f>
        <v>Genbank</v>
      </c>
      <c r="E151" s="59">
        <f>'1. Information samples'!E81</f>
        <v>28</v>
      </c>
      <c r="F151" s="42" t="str">
        <f>'1. Information samples'!F81</f>
        <v>F252582</v>
      </c>
      <c r="G151" s="42" t="str">
        <f>'1. Information samples'!G81</f>
        <v>CIAT4069</v>
      </c>
      <c r="H151" s="42" t="str">
        <f>'1. Information samples'!H81</f>
        <v>Macroptilium</v>
      </c>
      <c r="I151" s="42" t="str">
        <f>'1. Information samples'!I81</f>
        <v>atropurpureum</v>
      </c>
      <c r="J151" s="42" t="str">
        <f>'1. Information samples'!J81</f>
        <v>Macroptilium atropurpureum</v>
      </c>
      <c r="K151" s="42" t="str">
        <f>'1. Information samples'!K81</f>
        <v>Fabaceae</v>
      </c>
      <c r="L151" s="42" t="str">
        <f>'1. Information samples'!L81</f>
        <v>Fabales</v>
      </c>
      <c r="M151" s="42" t="str">
        <f>'1. Information samples'!M81</f>
        <v>Herbaceous</v>
      </c>
      <c r="N151" s="42" t="str">
        <f>'1. Information samples'!N81</f>
        <v>60,61, 62</v>
      </c>
      <c r="O151" s="20" t="str">
        <f>'1. Information samples'!O81</f>
        <v>OT-031</v>
      </c>
      <c r="P151" s="58">
        <v>92.244653208075164</v>
      </c>
      <c r="Q151" s="341">
        <f t="shared" si="894"/>
        <v>92.303090451268133</v>
      </c>
      <c r="R151" s="66">
        <v>14.367929296297117</v>
      </c>
      <c r="S151" s="341">
        <f t="shared" si="895"/>
        <v>14.760743763075807</v>
      </c>
      <c r="T151" s="209">
        <v>85.63207070370288</v>
      </c>
      <c r="U151" s="341">
        <f t="shared" si="881"/>
        <v>85.239256236924192</v>
      </c>
      <c r="V151" s="65"/>
    </row>
    <row r="152" spans="2:22" x14ac:dyDescent="0.35">
      <c r="B152" s="19">
        <f t="shared" si="944"/>
        <v>142</v>
      </c>
      <c r="C152" s="7">
        <f>C151</f>
        <v>46048</v>
      </c>
      <c r="D152" s="7" t="str">
        <f t="shared" ref="D152" si="1005">D151</f>
        <v>Genbank</v>
      </c>
      <c r="E152" s="14">
        <f t="shared" ref="E152" si="1006">E151</f>
        <v>28</v>
      </c>
      <c r="F152" s="7" t="str">
        <f t="shared" ref="F152" si="1007">F151</f>
        <v>F252582</v>
      </c>
      <c r="G152" s="7" t="str">
        <f t="shared" ref="G152" si="1008">G151</f>
        <v>CIAT4069</v>
      </c>
      <c r="H152" s="7" t="str">
        <f t="shared" ref="H152" si="1009">H151</f>
        <v>Macroptilium</v>
      </c>
      <c r="I152" s="7" t="str">
        <f t="shared" ref="I152" si="1010">I151</f>
        <v>atropurpureum</v>
      </c>
      <c r="J152" s="7" t="str">
        <f t="shared" ref="J152" si="1011">J151</f>
        <v>Macroptilium atropurpureum</v>
      </c>
      <c r="K152" s="7" t="str">
        <f t="shared" ref="K152" si="1012">K151</f>
        <v>Fabaceae</v>
      </c>
      <c r="L152" s="7" t="str">
        <f t="shared" ref="L152" si="1013">L151</f>
        <v>Fabales</v>
      </c>
      <c r="M152" s="7" t="str">
        <f t="shared" ref="M152" si="1014">M151</f>
        <v>Herbaceous</v>
      </c>
      <c r="N152" s="7" t="str">
        <f t="shared" ref="N152" si="1015">N151</f>
        <v>60,61, 62</v>
      </c>
      <c r="O152" s="30" t="str">
        <f t="shared" ref="O152" si="1016">O151</f>
        <v>OT-031</v>
      </c>
      <c r="P152" s="58">
        <v>92.361527694461103</v>
      </c>
      <c r="Q152" s="341"/>
      <c r="R152" s="66">
        <v>15.153558229854497</v>
      </c>
      <c r="S152" s="341"/>
      <c r="T152" s="209">
        <v>84.846441770145503</v>
      </c>
      <c r="U152" s="341"/>
      <c r="V152" s="65"/>
    </row>
    <row r="153" spans="2:22" x14ac:dyDescent="0.35">
      <c r="B153" s="19">
        <f t="shared" si="944"/>
        <v>143</v>
      </c>
      <c r="C153" s="42">
        <f>'1. Information samples'!C82</f>
        <v>46048</v>
      </c>
      <c r="D153" s="42" t="str">
        <f>'1. Information samples'!D82</f>
        <v>Genbank</v>
      </c>
      <c r="E153" s="59">
        <f>'1. Information samples'!E82</f>
        <v>28</v>
      </c>
      <c r="F153" s="42" t="str">
        <f>'1. Information samples'!F82</f>
        <v>F252583</v>
      </c>
      <c r="G153" s="42" t="str">
        <f>'1. Information samples'!G82</f>
        <v>CIAT4141</v>
      </c>
      <c r="H153" s="42" t="str">
        <f>'1. Information samples'!H82</f>
        <v>Vigna</v>
      </c>
      <c r="I153" s="42" t="str">
        <f>'1. Information samples'!I82</f>
        <v>radiata</v>
      </c>
      <c r="J153" s="42" t="str">
        <f>'1. Information samples'!J82</f>
        <v>Vigna radiata</v>
      </c>
      <c r="K153" s="42" t="str">
        <f>'1. Information samples'!K82</f>
        <v>Fabaceae</v>
      </c>
      <c r="L153" s="42" t="str">
        <f>'1. Information samples'!L82</f>
        <v>Fabales</v>
      </c>
      <c r="M153" s="42" t="str">
        <f>'1. Information samples'!M82</f>
        <v>Herbaceous</v>
      </c>
      <c r="N153" s="42" t="str">
        <f>'1. Information samples'!N82</f>
        <v>60,61, 62</v>
      </c>
      <c r="O153" s="20" t="str">
        <f>'1. Information samples'!O82</f>
        <v>OT-031</v>
      </c>
      <c r="P153" s="58">
        <v>90.879999999999939</v>
      </c>
      <c r="Q153" s="341">
        <f t="shared" si="894"/>
        <v>90.940899820036037</v>
      </c>
      <c r="R153" s="66">
        <v>11.919829275333054</v>
      </c>
      <c r="S153" s="341">
        <f t="shared" si="895"/>
        <v>11.819691947658916</v>
      </c>
      <c r="T153" s="209">
        <v>88.080170724666942</v>
      </c>
      <c r="U153" s="341">
        <f t="shared" si="881"/>
        <v>88.180308052341076</v>
      </c>
      <c r="V153" s="65"/>
    </row>
    <row r="154" spans="2:22" x14ac:dyDescent="0.35">
      <c r="B154" s="19">
        <f t="shared" si="944"/>
        <v>144</v>
      </c>
      <c r="C154" s="7">
        <f>C153</f>
        <v>46048</v>
      </c>
      <c r="D154" s="7" t="str">
        <f t="shared" ref="D154" si="1017">D153</f>
        <v>Genbank</v>
      </c>
      <c r="E154" s="14">
        <f t="shared" ref="E154" si="1018">E153</f>
        <v>28</v>
      </c>
      <c r="F154" s="7" t="str">
        <f t="shared" ref="F154" si="1019">F153</f>
        <v>F252583</v>
      </c>
      <c r="G154" s="7" t="str">
        <f t="shared" ref="G154" si="1020">G153</f>
        <v>CIAT4141</v>
      </c>
      <c r="H154" s="7" t="str">
        <f t="shared" ref="H154" si="1021">H153</f>
        <v>Vigna</v>
      </c>
      <c r="I154" s="7" t="str">
        <f t="shared" ref="I154" si="1022">I153</f>
        <v>radiata</v>
      </c>
      <c r="J154" s="7" t="str">
        <f t="shared" ref="J154" si="1023">J153</f>
        <v>Vigna radiata</v>
      </c>
      <c r="K154" s="7" t="str">
        <f t="shared" ref="K154" si="1024">K153</f>
        <v>Fabaceae</v>
      </c>
      <c r="L154" s="7" t="str">
        <f t="shared" ref="L154" si="1025">L153</f>
        <v>Fabales</v>
      </c>
      <c r="M154" s="7" t="str">
        <f t="shared" ref="M154" si="1026">M153</f>
        <v>Herbaceous</v>
      </c>
      <c r="N154" s="7" t="str">
        <f t="shared" ref="N154" si="1027">N153</f>
        <v>60,61, 62</v>
      </c>
      <c r="O154" s="30" t="str">
        <f t="shared" ref="O154" si="1028">O153</f>
        <v>OT-031</v>
      </c>
      <c r="P154" s="58">
        <v>91.001799640072136</v>
      </c>
      <c r="Q154" s="341"/>
      <c r="R154" s="66">
        <v>11.719554619984777</v>
      </c>
      <c r="S154" s="341"/>
      <c r="T154" s="209">
        <v>88.280445380015223</v>
      </c>
      <c r="U154" s="341"/>
      <c r="V154" s="65"/>
    </row>
    <row r="155" spans="2:22" x14ac:dyDescent="0.35">
      <c r="B155" s="19">
        <f t="shared" si="944"/>
        <v>145</v>
      </c>
      <c r="C155" s="42">
        <f>'1. Information samples'!C83</f>
        <v>46048</v>
      </c>
      <c r="D155" s="42" t="str">
        <f>'1. Information samples'!D83</f>
        <v>Genbank</v>
      </c>
      <c r="E155" s="59">
        <f>'1. Information samples'!E83</f>
        <v>28</v>
      </c>
      <c r="F155" s="42" t="str">
        <f>'1. Information samples'!F83</f>
        <v>F252584</v>
      </c>
      <c r="G155" s="42" t="str">
        <f>'1. Information samples'!G83</f>
        <v>CIAT4532</v>
      </c>
      <c r="H155" s="42" t="str">
        <f>'1. Information samples'!H83</f>
        <v>Vigna</v>
      </c>
      <c r="I155" s="42" t="str">
        <f>'1. Information samples'!I83</f>
        <v>unguiculata</v>
      </c>
      <c r="J155" s="42" t="str">
        <f>'1. Information samples'!J83</f>
        <v>Vigna unguiculata</v>
      </c>
      <c r="K155" s="42" t="str">
        <f>'1. Information samples'!K83</f>
        <v>Fabaceae</v>
      </c>
      <c r="L155" s="42" t="str">
        <f>'1. Information samples'!L83</f>
        <v>Fabales</v>
      </c>
      <c r="M155" s="42" t="str">
        <f>'1. Information samples'!M83</f>
        <v>Herbaceous</v>
      </c>
      <c r="N155" s="42" t="str">
        <f>'1. Information samples'!N83</f>
        <v>60,61, 62</v>
      </c>
      <c r="O155" s="20" t="str">
        <f>'1. Information samples'!O83</f>
        <v>OT-031</v>
      </c>
      <c r="P155" s="58">
        <v>92.0315936812638</v>
      </c>
      <c r="Q155" s="341">
        <f t="shared" si="894"/>
        <v>92.056984484338841</v>
      </c>
      <c r="R155" s="66">
        <v>12.06619846015148</v>
      </c>
      <c r="S155" s="341">
        <f t="shared" si="895"/>
        <v>11.967859120708429</v>
      </c>
      <c r="T155" s="209">
        <v>87.933801539848517</v>
      </c>
      <c r="U155" s="341">
        <f t="shared" si="881"/>
        <v>88.032140879291575</v>
      </c>
      <c r="V155" s="65"/>
    </row>
    <row r="156" spans="2:22" x14ac:dyDescent="0.35">
      <c r="B156" s="19">
        <f t="shared" si="944"/>
        <v>146</v>
      </c>
      <c r="C156" s="7">
        <f>C155</f>
        <v>46048</v>
      </c>
      <c r="D156" s="7" t="str">
        <f t="shared" ref="D156" si="1029">D155</f>
        <v>Genbank</v>
      </c>
      <c r="E156" s="14">
        <f t="shared" ref="E156" si="1030">E155</f>
        <v>28</v>
      </c>
      <c r="F156" s="7" t="str">
        <f t="shared" ref="F156" si="1031">F155</f>
        <v>F252584</v>
      </c>
      <c r="G156" s="7" t="str">
        <f t="shared" ref="G156" si="1032">G155</f>
        <v>CIAT4532</v>
      </c>
      <c r="H156" s="7" t="str">
        <f t="shared" ref="H156" si="1033">H155</f>
        <v>Vigna</v>
      </c>
      <c r="I156" s="7" t="str">
        <f t="shared" ref="I156" si="1034">I155</f>
        <v>unguiculata</v>
      </c>
      <c r="J156" s="7" t="str">
        <f t="shared" ref="J156" si="1035">J155</f>
        <v>Vigna unguiculata</v>
      </c>
      <c r="K156" s="7" t="str">
        <f t="shared" ref="K156" si="1036">K155</f>
        <v>Fabaceae</v>
      </c>
      <c r="L156" s="7" t="str">
        <f t="shared" ref="L156" si="1037">L155</f>
        <v>Fabales</v>
      </c>
      <c r="M156" s="7" t="str">
        <f t="shared" ref="M156" si="1038">M155</f>
        <v>Herbaceous</v>
      </c>
      <c r="N156" s="7" t="str">
        <f t="shared" ref="N156" si="1039">N155</f>
        <v>60,61, 62</v>
      </c>
      <c r="O156" s="30" t="str">
        <f t="shared" ref="O156" si="1040">O155</f>
        <v>OT-031</v>
      </c>
      <c r="P156" s="58">
        <v>92.082375287413882</v>
      </c>
      <c r="Q156" s="341"/>
      <c r="R156" s="66">
        <v>11.869519781265376</v>
      </c>
      <c r="S156" s="341"/>
      <c r="T156" s="209">
        <v>88.130480218734618</v>
      </c>
      <c r="U156" s="341"/>
      <c r="V156" s="65"/>
    </row>
    <row r="157" spans="2:22" x14ac:dyDescent="0.35">
      <c r="B157" s="19">
        <f t="shared" si="944"/>
        <v>147</v>
      </c>
      <c r="C157" s="42">
        <f>'1. Information samples'!C84</f>
        <v>46048</v>
      </c>
      <c r="D157" s="42" t="str">
        <f>'1. Information samples'!D84</f>
        <v>Genbank</v>
      </c>
      <c r="E157" s="59">
        <f>'1. Information samples'!E84</f>
        <v>28</v>
      </c>
      <c r="F157" s="42" t="str">
        <f>'1. Information samples'!F84</f>
        <v>F252585</v>
      </c>
      <c r="G157" s="42" t="str">
        <f>'1. Information samples'!G84</f>
        <v>CIAT4537</v>
      </c>
      <c r="H157" s="42" t="str">
        <f>'1. Information samples'!H84</f>
        <v>Vigna</v>
      </c>
      <c r="I157" s="42" t="str">
        <f>'1. Information samples'!I84</f>
        <v>unguiculata</v>
      </c>
      <c r="J157" s="42" t="str">
        <f>'1. Information samples'!J84</f>
        <v>Vigna unguiculata</v>
      </c>
      <c r="K157" s="42" t="str">
        <f>'1. Information samples'!K84</f>
        <v>Fabaceae</v>
      </c>
      <c r="L157" s="42" t="str">
        <f>'1. Information samples'!L84</f>
        <v>Fabales</v>
      </c>
      <c r="M157" s="42" t="str">
        <f>'1. Information samples'!M84</f>
        <v>Herbaceous</v>
      </c>
      <c r="N157" s="42" t="str">
        <f>'1. Information samples'!N84</f>
        <v>60,61, 62</v>
      </c>
      <c r="O157" s="20" t="str">
        <f>'1. Information samples'!O84</f>
        <v>OT-031</v>
      </c>
      <c r="P157" s="58">
        <v>92.251549690062063</v>
      </c>
      <c r="Q157" s="341">
        <f t="shared" si="894"/>
        <v>92.22311644007398</v>
      </c>
      <c r="R157" s="66">
        <v>12.06614444908911</v>
      </c>
      <c r="S157" s="341">
        <f t="shared" si="895"/>
        <v>12.063732667268386</v>
      </c>
      <c r="T157" s="209">
        <v>87.933855550910891</v>
      </c>
      <c r="U157" s="341">
        <f t="shared" si="881"/>
        <v>87.936267332731617</v>
      </c>
      <c r="V157" s="65"/>
    </row>
    <row r="158" spans="2:22" x14ac:dyDescent="0.35">
      <c r="B158" s="19">
        <f t="shared" si="944"/>
        <v>148</v>
      </c>
      <c r="C158" s="7">
        <f>C157</f>
        <v>46048</v>
      </c>
      <c r="D158" s="7" t="str">
        <f t="shared" ref="D158" si="1041">D157</f>
        <v>Genbank</v>
      </c>
      <c r="E158" s="14">
        <f t="shared" ref="E158" si="1042">E157</f>
        <v>28</v>
      </c>
      <c r="F158" s="7" t="str">
        <f t="shared" ref="F158" si="1043">F157</f>
        <v>F252585</v>
      </c>
      <c r="G158" s="7" t="str">
        <f t="shared" ref="G158" si="1044">G157</f>
        <v>CIAT4537</v>
      </c>
      <c r="H158" s="7" t="str">
        <f t="shared" ref="H158" si="1045">H157</f>
        <v>Vigna</v>
      </c>
      <c r="I158" s="7" t="str">
        <f t="shared" ref="I158" si="1046">I157</f>
        <v>unguiculata</v>
      </c>
      <c r="J158" s="7" t="str">
        <f t="shared" ref="J158" si="1047">J157</f>
        <v>Vigna unguiculata</v>
      </c>
      <c r="K158" s="7" t="str">
        <f t="shared" ref="K158" si="1048">K157</f>
        <v>Fabaceae</v>
      </c>
      <c r="L158" s="7" t="str">
        <f t="shared" ref="L158" si="1049">L157</f>
        <v>Fabales</v>
      </c>
      <c r="M158" s="7" t="str">
        <f t="shared" ref="M158" si="1050">M157</f>
        <v>Herbaceous</v>
      </c>
      <c r="N158" s="7" t="str">
        <f t="shared" ref="N158" si="1051">N157</f>
        <v>60,61, 62</v>
      </c>
      <c r="O158" s="30" t="str">
        <f t="shared" ref="O158" si="1052">O157</f>
        <v>OT-031</v>
      </c>
      <c r="P158" s="58">
        <v>92.194683190085897</v>
      </c>
      <c r="Q158" s="341"/>
      <c r="R158" s="66">
        <v>12.06132088544766</v>
      </c>
      <c r="S158" s="341"/>
      <c r="T158" s="209">
        <v>87.938679114552343</v>
      </c>
      <c r="U158" s="341"/>
      <c r="V158" s="65"/>
    </row>
    <row r="159" spans="2:22" x14ac:dyDescent="0.35">
      <c r="B159" s="19">
        <f t="shared" si="944"/>
        <v>149</v>
      </c>
      <c r="C159" s="42">
        <f>'1. Information samples'!C85</f>
        <v>46048</v>
      </c>
      <c r="D159" s="42" t="str">
        <f>'1. Information samples'!D85</f>
        <v>Genbank</v>
      </c>
      <c r="E159" s="59">
        <f>'1. Information samples'!E85</f>
        <v>28</v>
      </c>
      <c r="F159" s="42" t="str">
        <f>'1. Information samples'!F85</f>
        <v>F252586</v>
      </c>
      <c r="G159" s="42" t="str">
        <f>'1. Information samples'!G85</f>
        <v>CIAT7289</v>
      </c>
      <c r="H159" s="42" t="str">
        <f>'1. Information samples'!H85</f>
        <v>Chamaecrista</v>
      </c>
      <c r="I159" s="42" t="str">
        <f>'1. Information samples'!I85</f>
        <v>mimosoides</v>
      </c>
      <c r="J159" s="42" t="str">
        <f>'1. Information samples'!J85</f>
        <v>Chamaecrista mimosoides</v>
      </c>
      <c r="K159" s="42" t="str">
        <f>'1. Information samples'!K85</f>
        <v>Fabaceae</v>
      </c>
      <c r="L159" s="42" t="str">
        <f>'1. Information samples'!L85</f>
        <v>Fabales</v>
      </c>
      <c r="M159" s="42" t="str">
        <f>'1. Information samples'!M85</f>
        <v>Herbaceous</v>
      </c>
      <c r="N159" s="42" t="str">
        <f>'1. Information samples'!N85</f>
        <v>60,61, 62</v>
      </c>
      <c r="O159" s="20" t="str">
        <f>'1. Information samples'!O85</f>
        <v>OT-031</v>
      </c>
      <c r="P159" s="58">
        <v>91.449999999999946</v>
      </c>
      <c r="Q159" s="341">
        <f t="shared" si="894"/>
        <v>91.40629561131658</v>
      </c>
      <c r="R159" s="66">
        <v>5.8639286978570384</v>
      </c>
      <c r="S159" s="341">
        <f t="shared" si="895"/>
        <v>5.7482120859845942</v>
      </c>
      <c r="T159" s="209">
        <v>94.136071302142966</v>
      </c>
      <c r="U159" s="341">
        <f t="shared" si="881"/>
        <v>94.251787914015409</v>
      </c>
      <c r="V159" s="65"/>
    </row>
    <row r="160" spans="2:22" x14ac:dyDescent="0.35">
      <c r="B160" s="19">
        <f t="shared" si="944"/>
        <v>150</v>
      </c>
      <c r="C160" s="7">
        <f>C159</f>
        <v>46048</v>
      </c>
      <c r="D160" s="7" t="str">
        <f t="shared" ref="D160" si="1053">D159</f>
        <v>Genbank</v>
      </c>
      <c r="E160" s="14">
        <f t="shared" ref="E160" si="1054">E159</f>
        <v>28</v>
      </c>
      <c r="F160" s="7" t="str">
        <f t="shared" ref="F160" si="1055">F159</f>
        <v>F252586</v>
      </c>
      <c r="G160" s="7" t="str">
        <f t="shared" ref="G160" si="1056">G159</f>
        <v>CIAT7289</v>
      </c>
      <c r="H160" s="7" t="str">
        <f t="shared" ref="H160" si="1057">H159</f>
        <v>Chamaecrista</v>
      </c>
      <c r="I160" s="7" t="str">
        <f t="shared" ref="I160" si="1058">I159</f>
        <v>mimosoides</v>
      </c>
      <c r="J160" s="7" t="str">
        <f t="shared" ref="J160" si="1059">J159</f>
        <v>Chamaecrista mimosoides</v>
      </c>
      <c r="K160" s="7" t="str">
        <f t="shared" ref="K160" si="1060">K159</f>
        <v>Fabaceae</v>
      </c>
      <c r="L160" s="7" t="str">
        <f t="shared" ref="L160" si="1061">L159</f>
        <v>Fabales</v>
      </c>
      <c r="M160" s="7" t="str">
        <f t="shared" ref="M160" si="1062">M159</f>
        <v>Herbaceous</v>
      </c>
      <c r="N160" s="7" t="str">
        <f t="shared" ref="N160" si="1063">N159</f>
        <v>60,61, 62</v>
      </c>
      <c r="O160" s="30" t="str">
        <f t="shared" ref="O160" si="1064">O159</f>
        <v>OT-031</v>
      </c>
      <c r="P160" s="58">
        <v>91.362591222633199</v>
      </c>
      <c r="Q160" s="341"/>
      <c r="R160" s="66">
        <v>5.6324954741121509</v>
      </c>
      <c r="S160" s="341"/>
      <c r="T160" s="209">
        <v>94.367504525887853</v>
      </c>
      <c r="U160" s="341"/>
      <c r="V160" s="65"/>
    </row>
    <row r="161" spans="2:22" x14ac:dyDescent="0.35">
      <c r="B161" s="19">
        <f t="shared" si="944"/>
        <v>151</v>
      </c>
      <c r="C161" s="42">
        <f>'1. Information samples'!C86</f>
        <v>46048</v>
      </c>
      <c r="D161" s="42" t="str">
        <f>'1. Information samples'!D86</f>
        <v>Genbank</v>
      </c>
      <c r="E161" s="59">
        <f>'1. Information samples'!E86</f>
        <v>28</v>
      </c>
      <c r="F161" s="42" t="str">
        <f>'1. Information samples'!F86</f>
        <v>F252587</v>
      </c>
      <c r="G161" s="42" t="str">
        <f>'1. Information samples'!G86</f>
        <v>CIAT7826</v>
      </c>
      <c r="H161" s="42" t="str">
        <f>'1. Information samples'!H86</f>
        <v>Tephrosia</v>
      </c>
      <c r="I161" s="42" t="str">
        <f>'1. Information samples'!I86</f>
        <v>purpurea</v>
      </c>
      <c r="J161" s="42" t="str">
        <f>'1. Information samples'!J86</f>
        <v>Tephrosia purpurea</v>
      </c>
      <c r="K161" s="42" t="str">
        <f>'1. Information samples'!K86</f>
        <v>Fabaceae</v>
      </c>
      <c r="L161" s="42" t="str">
        <f>'1. Information samples'!L86</f>
        <v>Fabales</v>
      </c>
      <c r="M161" s="42" t="str">
        <f>'1. Information samples'!M86</f>
        <v>Herbaceous</v>
      </c>
      <c r="N161" s="42" t="str">
        <f>'1. Information samples'!N86</f>
        <v>60,61, 62</v>
      </c>
      <c r="O161" s="20" t="str">
        <f>'1. Information samples'!O86</f>
        <v>OT-031</v>
      </c>
      <c r="P161" s="58">
        <v>90.742777166849962</v>
      </c>
      <c r="Q161" s="341">
        <f t="shared" si="894"/>
        <v>90.756850037279605</v>
      </c>
      <c r="R161" s="66">
        <v>8.2613606264626611</v>
      </c>
      <c r="S161" s="341">
        <f t="shared" si="895"/>
        <v>8.3227821066313989</v>
      </c>
      <c r="T161" s="209">
        <v>91.738639373537339</v>
      </c>
      <c r="U161" s="341">
        <f t="shared" si="881"/>
        <v>91.677217893368606</v>
      </c>
      <c r="V161" s="65"/>
    </row>
    <row r="162" spans="2:22" x14ac:dyDescent="0.35">
      <c r="B162" s="19">
        <f t="shared" si="944"/>
        <v>152</v>
      </c>
      <c r="C162" s="7">
        <f>C161</f>
        <v>46048</v>
      </c>
      <c r="D162" s="7" t="str">
        <f t="shared" ref="D162" si="1065">D161</f>
        <v>Genbank</v>
      </c>
      <c r="E162" s="14">
        <f t="shared" ref="E162" si="1066">E161</f>
        <v>28</v>
      </c>
      <c r="F162" s="7" t="str">
        <f t="shared" ref="F162" si="1067">F161</f>
        <v>F252587</v>
      </c>
      <c r="G162" s="7" t="str">
        <f t="shared" ref="G162" si="1068">G161</f>
        <v>CIAT7826</v>
      </c>
      <c r="H162" s="7" t="str">
        <f t="shared" ref="H162" si="1069">H161</f>
        <v>Tephrosia</v>
      </c>
      <c r="I162" s="7" t="str">
        <f t="shared" ref="I162" si="1070">I161</f>
        <v>purpurea</v>
      </c>
      <c r="J162" s="7" t="str">
        <f t="shared" ref="J162" si="1071">J161</f>
        <v>Tephrosia purpurea</v>
      </c>
      <c r="K162" s="7" t="str">
        <f t="shared" ref="K162" si="1072">K161</f>
        <v>Fabaceae</v>
      </c>
      <c r="L162" s="7" t="str">
        <f t="shared" ref="L162" si="1073">L161</f>
        <v>Fabales</v>
      </c>
      <c r="M162" s="7" t="str">
        <f t="shared" ref="M162" si="1074">M161</f>
        <v>Herbaceous</v>
      </c>
      <c r="N162" s="7" t="str">
        <f t="shared" ref="N162" si="1075">N161</f>
        <v>60,61, 62</v>
      </c>
      <c r="O162" s="30" t="str">
        <f t="shared" ref="O162" si="1076">O161</f>
        <v>OT-031</v>
      </c>
      <c r="P162" s="58">
        <v>90.770922907709235</v>
      </c>
      <c r="Q162" s="341"/>
      <c r="R162" s="66">
        <v>8.3842035868001368</v>
      </c>
      <c r="S162" s="341"/>
      <c r="T162" s="209">
        <v>91.61579641319986</v>
      </c>
      <c r="U162" s="341"/>
      <c r="V162" s="65"/>
    </row>
    <row r="163" spans="2:22" x14ac:dyDescent="0.35">
      <c r="B163" s="19">
        <f t="shared" si="944"/>
        <v>153</v>
      </c>
      <c r="C163" s="42">
        <f>'1. Information samples'!C87</f>
        <v>46048</v>
      </c>
      <c r="D163" s="42" t="str">
        <f>'1. Information samples'!D87</f>
        <v>Genbank</v>
      </c>
      <c r="E163" s="59">
        <f>'1. Information samples'!E87</f>
        <v>28</v>
      </c>
      <c r="F163" s="42" t="str">
        <f>'1. Information samples'!F87</f>
        <v>F252588</v>
      </c>
      <c r="G163" s="42" t="str">
        <f>'1. Information samples'!G87</f>
        <v>CIAT8014</v>
      </c>
      <c r="H163" s="42" t="str">
        <f>'1. Information samples'!H87</f>
        <v>Crotalaria</v>
      </c>
      <c r="I163" s="42" t="str">
        <f>'1. Information samples'!I87</f>
        <v>retusa</v>
      </c>
      <c r="J163" s="42" t="str">
        <f>'1. Information samples'!J87</f>
        <v>Crotalaria retusa</v>
      </c>
      <c r="K163" s="42" t="str">
        <f>'1. Information samples'!K87</f>
        <v>Fabaceae</v>
      </c>
      <c r="L163" s="42" t="str">
        <f>'1. Information samples'!L87</f>
        <v>Fabales</v>
      </c>
      <c r="M163" s="42" t="str">
        <f>'1. Information samples'!M87</f>
        <v>Herbaceous</v>
      </c>
      <c r="N163" s="42" t="str">
        <f>'1. Information samples'!N87</f>
        <v>60,61, 62</v>
      </c>
      <c r="O163" s="20" t="str">
        <f>'1. Information samples'!O87</f>
        <v>OT-031</v>
      </c>
      <c r="P163" s="58">
        <v>91.322603219034207</v>
      </c>
      <c r="Q163" s="341">
        <f t="shared" si="894"/>
        <v>91.313910044456179</v>
      </c>
      <c r="R163" s="66">
        <v>8.911631019215335</v>
      </c>
      <c r="S163" s="341">
        <f t="shared" si="895"/>
        <v>8.9321844106076647</v>
      </c>
      <c r="T163" s="209">
        <v>91.088368980784665</v>
      </c>
      <c r="U163" s="341">
        <f t="shared" si="881"/>
        <v>91.067815589392325</v>
      </c>
      <c r="V163" s="65"/>
    </row>
    <row r="164" spans="2:22" x14ac:dyDescent="0.35">
      <c r="B164" s="19">
        <f t="shared" si="944"/>
        <v>154</v>
      </c>
      <c r="C164" s="7">
        <f>C163</f>
        <v>46048</v>
      </c>
      <c r="D164" s="7" t="str">
        <f t="shared" ref="D164" si="1077">D163</f>
        <v>Genbank</v>
      </c>
      <c r="E164" s="14">
        <f t="shared" ref="E164" si="1078">E163</f>
        <v>28</v>
      </c>
      <c r="F164" s="7" t="str">
        <f t="shared" ref="F164" si="1079">F163</f>
        <v>F252588</v>
      </c>
      <c r="G164" s="7" t="str">
        <f t="shared" ref="G164" si="1080">G163</f>
        <v>CIAT8014</v>
      </c>
      <c r="H164" s="7" t="str">
        <f t="shared" ref="H164" si="1081">H163</f>
        <v>Crotalaria</v>
      </c>
      <c r="I164" s="7" t="str">
        <f t="shared" ref="I164" si="1082">I163</f>
        <v>retusa</v>
      </c>
      <c r="J164" s="7" t="str">
        <f t="shared" ref="J164" si="1083">J163</f>
        <v>Crotalaria retusa</v>
      </c>
      <c r="K164" s="7" t="str">
        <f t="shared" ref="K164" si="1084">K163</f>
        <v>Fabaceae</v>
      </c>
      <c r="L164" s="7" t="str">
        <f t="shared" ref="L164" si="1085">L163</f>
        <v>Fabales</v>
      </c>
      <c r="M164" s="7" t="str">
        <f t="shared" ref="M164" si="1086">M163</f>
        <v>Herbaceous</v>
      </c>
      <c r="N164" s="7" t="str">
        <f t="shared" ref="N164" si="1087">N163</f>
        <v>60,61, 62</v>
      </c>
      <c r="O164" s="30" t="str">
        <f t="shared" ref="O164" si="1088">O163</f>
        <v>OT-031</v>
      </c>
      <c r="P164" s="58">
        <v>91.305216869878151</v>
      </c>
      <c r="Q164" s="341"/>
      <c r="R164" s="66">
        <v>8.9527378019999944</v>
      </c>
      <c r="S164" s="341"/>
      <c r="T164" s="209">
        <v>91.047262197999999</v>
      </c>
      <c r="U164" s="341"/>
      <c r="V164" s="65"/>
    </row>
    <row r="165" spans="2:22" x14ac:dyDescent="0.35">
      <c r="B165" s="19">
        <f t="shared" si="944"/>
        <v>155</v>
      </c>
      <c r="C165" s="42">
        <f>'1. Information samples'!C88</f>
        <v>46048</v>
      </c>
      <c r="D165" s="42" t="str">
        <f>'1. Information samples'!D88</f>
        <v>Genbank</v>
      </c>
      <c r="E165" s="59">
        <f>'1. Information samples'!E88</f>
        <v>28</v>
      </c>
      <c r="F165" s="42" t="str">
        <f>'1. Information samples'!F88</f>
        <v>F252589</v>
      </c>
      <c r="G165" s="42" t="str">
        <f>'1. Information samples'!G88</f>
        <v>CIAT8849</v>
      </c>
      <c r="H165" s="42" t="str">
        <f>'1. Information samples'!H88</f>
        <v>Zornia</v>
      </c>
      <c r="I165" s="42" t="str">
        <f>'1. Information samples'!I88</f>
        <v>brasiliensis</v>
      </c>
      <c r="J165" s="42" t="str">
        <f>'1. Information samples'!J88</f>
        <v>Zornia brasiliensis</v>
      </c>
      <c r="K165" s="42" t="str">
        <f>'1. Information samples'!K88</f>
        <v>Fabaceae</v>
      </c>
      <c r="L165" s="42" t="str">
        <f>'1. Information samples'!L88</f>
        <v>Fabales</v>
      </c>
      <c r="M165" s="42" t="str">
        <f>'1. Information samples'!M88</f>
        <v>Herbaceous</v>
      </c>
      <c r="N165" s="42" t="str">
        <f>'1. Information samples'!N88</f>
        <v>60,61, 62</v>
      </c>
      <c r="O165" s="20" t="str">
        <f>'1. Information samples'!O88</f>
        <v>OT-031</v>
      </c>
      <c r="P165" s="18">
        <v>90.240000000000009</v>
      </c>
      <c r="Q165" s="341">
        <f t="shared" si="894"/>
        <v>90.255486451354926</v>
      </c>
      <c r="R165" s="66">
        <v>9.5949845715667994</v>
      </c>
      <c r="S165" s="341">
        <f t="shared" si="895"/>
        <v>9.6166619723153879</v>
      </c>
      <c r="T165" s="66">
        <v>90.405015428433202</v>
      </c>
      <c r="U165" s="341">
        <f t="shared" si="881"/>
        <v>90.383338027684616</v>
      </c>
      <c r="V165" s="65"/>
    </row>
    <row r="166" spans="2:22" x14ac:dyDescent="0.35">
      <c r="B166" s="19">
        <f t="shared" si="944"/>
        <v>156</v>
      </c>
      <c r="C166" s="7">
        <f>C165</f>
        <v>46048</v>
      </c>
      <c r="D166" s="7" t="str">
        <f t="shared" ref="D166" si="1089">D165</f>
        <v>Genbank</v>
      </c>
      <c r="E166" s="14">
        <f t="shared" ref="E166" si="1090">E165</f>
        <v>28</v>
      </c>
      <c r="F166" s="7" t="str">
        <f t="shared" ref="F166" si="1091">F165</f>
        <v>F252589</v>
      </c>
      <c r="G166" s="7" t="str">
        <f t="shared" ref="G166" si="1092">G165</f>
        <v>CIAT8849</v>
      </c>
      <c r="H166" s="7" t="str">
        <f t="shared" ref="H166" si="1093">H165</f>
        <v>Zornia</v>
      </c>
      <c r="I166" s="7" t="str">
        <f t="shared" ref="I166" si="1094">I165</f>
        <v>brasiliensis</v>
      </c>
      <c r="J166" s="7" t="str">
        <f t="shared" ref="J166" si="1095">J165</f>
        <v>Zornia brasiliensis</v>
      </c>
      <c r="K166" s="7" t="str">
        <f t="shared" ref="K166" si="1096">K165</f>
        <v>Fabaceae</v>
      </c>
      <c r="L166" s="7" t="str">
        <f t="shared" ref="L166" si="1097">L165</f>
        <v>Fabales</v>
      </c>
      <c r="M166" s="7" t="str">
        <f t="shared" ref="M166" si="1098">M165</f>
        <v>Herbaceous</v>
      </c>
      <c r="N166" s="7" t="str">
        <f t="shared" ref="N166" si="1099">N165</f>
        <v>60,61, 62</v>
      </c>
      <c r="O166" s="30" t="str">
        <f t="shared" ref="O166" si="1100">O165</f>
        <v>OT-031</v>
      </c>
      <c r="P166" s="18">
        <v>90.270972902709829</v>
      </c>
      <c r="Q166" s="341"/>
      <c r="R166" s="66">
        <v>9.6383393730639764</v>
      </c>
      <c r="S166" s="341"/>
      <c r="T166" s="66">
        <v>90.361660626936029</v>
      </c>
      <c r="U166" s="341"/>
      <c r="V166" s="65"/>
    </row>
    <row r="167" spans="2:22" x14ac:dyDescent="0.35">
      <c r="B167" s="19">
        <f t="shared" si="944"/>
        <v>157</v>
      </c>
      <c r="C167" s="42">
        <f>'1. Information samples'!C89</f>
        <v>46048</v>
      </c>
      <c r="D167" s="42" t="str">
        <f>'1. Information samples'!D89</f>
        <v>Genbank</v>
      </c>
      <c r="E167" s="59">
        <f>'1. Information samples'!E89</f>
        <v>28</v>
      </c>
      <c r="F167" s="42" t="str">
        <f>'1. Information samples'!F89</f>
        <v>F252590</v>
      </c>
      <c r="G167" s="42" t="str">
        <f>'1. Information samples'!G89</f>
        <v>CIAT9326</v>
      </c>
      <c r="H167" s="42" t="str">
        <f>'1. Information samples'!H89</f>
        <v>Crotalaria</v>
      </c>
      <c r="I167" s="42" t="str">
        <f>'1. Information samples'!I89</f>
        <v>retusa</v>
      </c>
      <c r="J167" s="42" t="str">
        <f>'1. Information samples'!J89</f>
        <v>Crotalaria retusa</v>
      </c>
      <c r="K167" s="42" t="str">
        <f>'1. Information samples'!K89</f>
        <v>Fabaceae</v>
      </c>
      <c r="L167" s="42" t="str">
        <f>'1. Information samples'!L89</f>
        <v>Fabales</v>
      </c>
      <c r="M167" s="42" t="str">
        <f>'1. Information samples'!M89</f>
        <v>Herbaceous</v>
      </c>
      <c r="N167" s="42" t="str">
        <f>'1. Information samples'!N89</f>
        <v>60,61, 62</v>
      </c>
      <c r="O167" s="20" t="str">
        <f>'1. Information samples'!O89</f>
        <v>OT-031</v>
      </c>
      <c r="P167" s="18">
        <v>91.940805919407993</v>
      </c>
      <c r="Q167" s="341">
        <f t="shared" si="894"/>
        <v>92.005799420057954</v>
      </c>
      <c r="R167" s="66">
        <v>7.7270010324403113</v>
      </c>
      <c r="S167" s="341">
        <f t="shared" si="895"/>
        <v>7.7541705156767726</v>
      </c>
      <c r="T167" s="66">
        <v>92.272998967559687</v>
      </c>
      <c r="U167" s="341">
        <f t="shared" si="881"/>
        <v>92.245829484323224</v>
      </c>
      <c r="V167" s="65"/>
    </row>
    <row r="168" spans="2:22" x14ac:dyDescent="0.35">
      <c r="B168" s="19">
        <f t="shared" si="944"/>
        <v>158</v>
      </c>
      <c r="C168" s="7">
        <f>C167</f>
        <v>46048</v>
      </c>
      <c r="D168" s="7" t="str">
        <f t="shared" ref="D168" si="1101">D167</f>
        <v>Genbank</v>
      </c>
      <c r="E168" s="14">
        <f t="shared" ref="E168" si="1102">E167</f>
        <v>28</v>
      </c>
      <c r="F168" s="7" t="str">
        <f t="shared" ref="F168" si="1103">F167</f>
        <v>F252590</v>
      </c>
      <c r="G168" s="7" t="str">
        <f t="shared" ref="G168" si="1104">G167</f>
        <v>CIAT9326</v>
      </c>
      <c r="H168" s="7" t="str">
        <f t="shared" ref="H168" si="1105">H167</f>
        <v>Crotalaria</v>
      </c>
      <c r="I168" s="7" t="str">
        <f t="shared" ref="I168" si="1106">I167</f>
        <v>retusa</v>
      </c>
      <c r="J168" s="7" t="str">
        <f t="shared" ref="J168" si="1107">J167</f>
        <v>Crotalaria retusa</v>
      </c>
      <c r="K168" s="7" t="str">
        <f t="shared" ref="K168" si="1108">K167</f>
        <v>Fabaceae</v>
      </c>
      <c r="L168" s="7" t="str">
        <f t="shared" ref="L168" si="1109">L167</f>
        <v>Fabales</v>
      </c>
      <c r="M168" s="7" t="str">
        <f t="shared" ref="M168" si="1110">M167</f>
        <v>Herbaceous</v>
      </c>
      <c r="N168" s="7" t="str">
        <f t="shared" ref="N168" si="1111">N167</f>
        <v>60,61, 62</v>
      </c>
      <c r="O168" s="30" t="str">
        <f t="shared" ref="O168" si="1112">O167</f>
        <v>OT-031</v>
      </c>
      <c r="P168" s="18">
        <v>92.070792920707916</v>
      </c>
      <c r="Q168" s="341"/>
      <c r="R168" s="66">
        <v>7.7813399989132348</v>
      </c>
      <c r="S168" s="341"/>
      <c r="T168" s="66">
        <v>92.218660001086761</v>
      </c>
      <c r="U168" s="341"/>
      <c r="V168" s="65"/>
    </row>
    <row r="169" spans="2:22" x14ac:dyDescent="0.35">
      <c r="B169" s="19">
        <f t="shared" si="944"/>
        <v>159</v>
      </c>
      <c r="C169" s="42">
        <f>'1. Information samples'!C90</f>
        <v>46048</v>
      </c>
      <c r="D169" s="42" t="str">
        <f>'1. Information samples'!D90</f>
        <v>Genbank</v>
      </c>
      <c r="E169" s="59">
        <f>'1. Information samples'!E90</f>
        <v>28</v>
      </c>
      <c r="F169" s="42" t="str">
        <f>'1. Information samples'!F90</f>
        <v>F252591</v>
      </c>
      <c r="G169" s="42" t="str">
        <f>'1. Information samples'!G90</f>
        <v>CIAT9337</v>
      </c>
      <c r="H169" s="42" t="str">
        <f>'1. Information samples'!H90</f>
        <v>Crotalaria</v>
      </c>
      <c r="I169" s="42" t="str">
        <f>'1. Information samples'!I90</f>
        <v>retusa</v>
      </c>
      <c r="J169" s="42" t="str">
        <f>'1. Information samples'!J90</f>
        <v>Crotalaria retusa</v>
      </c>
      <c r="K169" s="42" t="str">
        <f>'1. Information samples'!K90</f>
        <v>Fabaceae</v>
      </c>
      <c r="L169" s="42" t="str">
        <f>'1. Information samples'!L90</f>
        <v>Fabales</v>
      </c>
      <c r="M169" s="42" t="str">
        <f>'1. Information samples'!M90</f>
        <v>Herbaceous</v>
      </c>
      <c r="N169" s="42" t="str">
        <f>'1. Information samples'!N90</f>
        <v>60,61, 62</v>
      </c>
      <c r="O169" s="20" t="str">
        <f>'1. Information samples'!O90</f>
        <v>OT-031</v>
      </c>
      <c r="P169" s="18">
        <v>92.13157368526295</v>
      </c>
      <c r="Q169" s="341">
        <f t="shared" si="894"/>
        <v>92.167346218880965</v>
      </c>
      <c r="R169" s="66">
        <v>8.7866046448847062</v>
      </c>
      <c r="S169" s="341">
        <f t="shared" si="895"/>
        <v>8.7531898615712507</v>
      </c>
      <c r="T169" s="66">
        <v>91.213395355115296</v>
      </c>
      <c r="U169" s="341">
        <f t="shared" si="881"/>
        <v>91.246810138428742</v>
      </c>
      <c r="V169" s="65"/>
    </row>
    <row r="170" spans="2:22" x14ac:dyDescent="0.35">
      <c r="B170" s="19">
        <f t="shared" si="944"/>
        <v>160</v>
      </c>
      <c r="C170" s="7">
        <f>C169</f>
        <v>46048</v>
      </c>
      <c r="D170" s="7" t="str">
        <f t="shared" ref="D170" si="1113">D169</f>
        <v>Genbank</v>
      </c>
      <c r="E170" s="14">
        <f t="shared" ref="E170" si="1114">E169</f>
        <v>28</v>
      </c>
      <c r="F170" s="7" t="str">
        <f t="shared" ref="F170" si="1115">F169</f>
        <v>F252591</v>
      </c>
      <c r="G170" s="7" t="str">
        <f t="shared" ref="G170" si="1116">G169</f>
        <v>CIAT9337</v>
      </c>
      <c r="H170" s="7" t="str">
        <f t="shared" ref="H170" si="1117">H169</f>
        <v>Crotalaria</v>
      </c>
      <c r="I170" s="7" t="str">
        <f t="shared" ref="I170" si="1118">I169</f>
        <v>retusa</v>
      </c>
      <c r="J170" s="7" t="str">
        <f t="shared" ref="J170" si="1119">J169</f>
        <v>Crotalaria retusa</v>
      </c>
      <c r="K170" s="7" t="str">
        <f t="shared" ref="K170" si="1120">K169</f>
        <v>Fabaceae</v>
      </c>
      <c r="L170" s="7" t="str">
        <f t="shared" ref="L170" si="1121">L169</f>
        <v>Fabales</v>
      </c>
      <c r="M170" s="7" t="str">
        <f t="shared" ref="M170" si="1122">M169</f>
        <v>Herbaceous</v>
      </c>
      <c r="N170" s="7" t="str">
        <f t="shared" ref="N170" si="1123">N169</f>
        <v>60,61, 62</v>
      </c>
      <c r="O170" s="30" t="str">
        <f t="shared" ref="O170" si="1124">O169</f>
        <v>OT-031</v>
      </c>
      <c r="P170" s="18">
        <v>92.203118752498966</v>
      </c>
      <c r="Q170" s="341"/>
      <c r="R170" s="66">
        <v>8.7197750782577952</v>
      </c>
      <c r="S170" s="341"/>
      <c r="T170" s="66">
        <v>91.280224921742203</v>
      </c>
      <c r="U170" s="341"/>
      <c r="V170" s="65"/>
    </row>
    <row r="171" spans="2:22" x14ac:dyDescent="0.35">
      <c r="B171" s="19">
        <f t="shared" si="944"/>
        <v>161</v>
      </c>
      <c r="C171" s="42">
        <f>'1. Information samples'!C91</f>
        <v>46048</v>
      </c>
      <c r="D171" s="42" t="str">
        <f>'1. Information samples'!D91</f>
        <v>Genbank</v>
      </c>
      <c r="E171" s="59">
        <f>'1. Information samples'!E91</f>
        <v>28</v>
      </c>
      <c r="F171" s="42" t="str">
        <f>'1. Information samples'!F91</f>
        <v>F252592</v>
      </c>
      <c r="G171" s="42" t="str">
        <f>'1. Information samples'!G91</f>
        <v>CIAT9350</v>
      </c>
      <c r="H171" s="42" t="str">
        <f>'1. Information samples'!H91</f>
        <v>Crotalaria</v>
      </c>
      <c r="I171" s="42" t="str">
        <f>'1. Information samples'!I91</f>
        <v>pumila</v>
      </c>
      <c r="J171" s="42" t="str">
        <f>'1. Information samples'!J91</f>
        <v>Crotalaria pumila</v>
      </c>
      <c r="K171" s="42" t="str">
        <f>'1. Information samples'!K91</f>
        <v>Fabaceae</v>
      </c>
      <c r="L171" s="42" t="str">
        <f>'1. Information samples'!L91</f>
        <v>Fabales</v>
      </c>
      <c r="M171" s="42" t="str">
        <f>'1. Information samples'!M91</f>
        <v>Herbaceous</v>
      </c>
      <c r="N171" s="42" t="str">
        <f>'1. Information samples'!N91</f>
        <v>60,61, 62</v>
      </c>
      <c r="O171" s="20" t="str">
        <f>'1. Information samples'!O91</f>
        <v>OT-031</v>
      </c>
      <c r="P171" s="18">
        <v>91.072678196541005</v>
      </c>
      <c r="Q171" s="341">
        <f t="shared" si="894"/>
        <v>91.19264220733784</v>
      </c>
      <c r="R171" s="66">
        <v>7.5860556895416087</v>
      </c>
      <c r="S171" s="341">
        <f t="shared" si="895"/>
        <v>7.5750931813198505</v>
      </c>
      <c r="T171" s="66">
        <v>92.41394431045839</v>
      </c>
      <c r="U171" s="341">
        <f t="shared" si="881"/>
        <v>92.424906818680142</v>
      </c>
      <c r="V171" s="65"/>
    </row>
    <row r="172" spans="2:22" x14ac:dyDescent="0.35">
      <c r="B172" s="19">
        <f t="shared" si="944"/>
        <v>162</v>
      </c>
      <c r="C172" s="7">
        <f>C171</f>
        <v>46048</v>
      </c>
      <c r="D172" s="7" t="str">
        <f t="shared" ref="D172" si="1125">D171</f>
        <v>Genbank</v>
      </c>
      <c r="E172" s="14">
        <f t="shared" ref="E172" si="1126">E171</f>
        <v>28</v>
      </c>
      <c r="F172" s="7" t="str">
        <f t="shared" ref="F172" si="1127">F171</f>
        <v>F252592</v>
      </c>
      <c r="G172" s="7" t="str">
        <f t="shared" ref="G172" si="1128">G171</f>
        <v>CIAT9350</v>
      </c>
      <c r="H172" s="7" t="str">
        <f t="shared" ref="H172" si="1129">H171</f>
        <v>Crotalaria</v>
      </c>
      <c r="I172" s="7" t="str">
        <f t="shared" ref="I172" si="1130">I171</f>
        <v>pumila</v>
      </c>
      <c r="J172" s="7" t="str">
        <f t="shared" ref="J172" si="1131">J171</f>
        <v>Crotalaria pumila</v>
      </c>
      <c r="K172" s="7" t="str">
        <f t="shared" ref="K172" si="1132">K171</f>
        <v>Fabaceae</v>
      </c>
      <c r="L172" s="7" t="str">
        <f t="shared" ref="L172" si="1133">L171</f>
        <v>Fabales</v>
      </c>
      <c r="M172" s="7" t="str">
        <f t="shared" ref="M172" si="1134">M171</f>
        <v>Herbaceous</v>
      </c>
      <c r="N172" s="7" t="str">
        <f t="shared" ref="N172" si="1135">N171</f>
        <v>60,61, 62</v>
      </c>
      <c r="O172" s="30" t="str">
        <f t="shared" ref="O172" si="1136">O171</f>
        <v>OT-031</v>
      </c>
      <c r="P172" s="18">
        <v>91.312606218134675</v>
      </c>
      <c r="Q172" s="341"/>
      <c r="R172" s="66">
        <v>7.5641306730980933</v>
      </c>
      <c r="S172" s="341"/>
      <c r="T172" s="66">
        <v>92.435869326901908</v>
      </c>
      <c r="U172" s="341"/>
      <c r="V172" s="65"/>
    </row>
    <row r="173" spans="2:22" x14ac:dyDescent="0.35">
      <c r="B173" s="19">
        <f t="shared" si="944"/>
        <v>163</v>
      </c>
      <c r="C173" s="42">
        <f>'1. Information samples'!C92</f>
        <v>46048</v>
      </c>
      <c r="D173" s="42" t="str">
        <f>'1. Information samples'!D92</f>
        <v>Genbank</v>
      </c>
      <c r="E173" s="59">
        <f>'1. Information samples'!E92</f>
        <v>28</v>
      </c>
      <c r="F173" s="42" t="str">
        <f>'1. Information samples'!F92</f>
        <v>F252593</v>
      </c>
      <c r="G173" s="42" t="str">
        <f>'1. Information samples'!G92</f>
        <v>CIAT9352</v>
      </c>
      <c r="H173" s="42" t="str">
        <f>'1. Information samples'!H92</f>
        <v>Crotalaria</v>
      </c>
      <c r="I173" s="42" t="str">
        <f>'1. Information samples'!I92</f>
        <v>pumila</v>
      </c>
      <c r="J173" s="42" t="str">
        <f>'1. Information samples'!J92</f>
        <v>Crotalaria pumila</v>
      </c>
      <c r="K173" s="42" t="str">
        <f>'1. Information samples'!K92</f>
        <v>Fabaceae</v>
      </c>
      <c r="L173" s="42" t="str">
        <f>'1. Information samples'!L92</f>
        <v>Fabales</v>
      </c>
      <c r="M173" s="42" t="str">
        <f>'1. Information samples'!M92</f>
        <v>Herbaceous</v>
      </c>
      <c r="N173" s="42" t="str">
        <f>'1. Information samples'!N92</f>
        <v>60,61, 62</v>
      </c>
      <c r="O173" s="20" t="str">
        <f>'1. Information samples'!O92</f>
        <v>OT-031</v>
      </c>
      <c r="P173" s="18">
        <v>93.322003398980186</v>
      </c>
      <c r="Q173" s="341">
        <f t="shared" si="894"/>
        <v>93.40632716694337</v>
      </c>
      <c r="R173" s="66">
        <v>9.3327561943251904</v>
      </c>
      <c r="S173" s="341">
        <f t="shared" si="895"/>
        <v>9.4032708521230148</v>
      </c>
      <c r="T173" s="66">
        <v>90.667243805674815</v>
      </c>
      <c r="U173" s="341">
        <f t="shared" si="881"/>
        <v>90.596729147876985</v>
      </c>
      <c r="V173" s="65"/>
    </row>
    <row r="174" spans="2:22" x14ac:dyDescent="0.35">
      <c r="B174" s="19">
        <f t="shared" si="944"/>
        <v>164</v>
      </c>
      <c r="C174" s="7">
        <f>C173</f>
        <v>46048</v>
      </c>
      <c r="D174" s="7" t="str">
        <f t="shared" ref="D174" si="1137">D173</f>
        <v>Genbank</v>
      </c>
      <c r="E174" s="14">
        <f t="shared" ref="E174" si="1138">E173</f>
        <v>28</v>
      </c>
      <c r="F174" s="7" t="str">
        <f t="shared" ref="F174" si="1139">F173</f>
        <v>F252593</v>
      </c>
      <c r="G174" s="7" t="str">
        <f t="shared" ref="G174" si="1140">G173</f>
        <v>CIAT9352</v>
      </c>
      <c r="H174" s="7" t="str">
        <f t="shared" ref="H174" si="1141">H173</f>
        <v>Crotalaria</v>
      </c>
      <c r="I174" s="7" t="str">
        <f t="shared" ref="I174" si="1142">I173</f>
        <v>pumila</v>
      </c>
      <c r="J174" s="7" t="str">
        <f t="shared" ref="J174" si="1143">J173</f>
        <v>Crotalaria pumila</v>
      </c>
      <c r="K174" s="7" t="str">
        <f t="shared" ref="K174" si="1144">K173</f>
        <v>Fabaceae</v>
      </c>
      <c r="L174" s="7" t="str">
        <f t="shared" ref="L174" si="1145">L173</f>
        <v>Fabales</v>
      </c>
      <c r="M174" s="7" t="str">
        <f t="shared" ref="M174" si="1146">M173</f>
        <v>Herbaceous</v>
      </c>
      <c r="N174" s="7" t="str">
        <f t="shared" ref="N174" si="1147">N173</f>
        <v>60,61, 62</v>
      </c>
      <c r="O174" s="30" t="str">
        <f t="shared" ref="O174" si="1148">O173</f>
        <v>OT-031</v>
      </c>
      <c r="P174" s="18">
        <v>93.490650934906554</v>
      </c>
      <c r="Q174" s="341"/>
      <c r="R174" s="66">
        <v>9.4737855099208375</v>
      </c>
      <c r="S174" s="341"/>
      <c r="T174" s="66">
        <v>90.526214490079155</v>
      </c>
      <c r="U174" s="341"/>
      <c r="V174" s="65"/>
    </row>
    <row r="175" spans="2:22" x14ac:dyDescent="0.35">
      <c r="B175" s="19">
        <f t="shared" si="944"/>
        <v>165</v>
      </c>
      <c r="C175" s="42">
        <f>'1. Information samples'!C93</f>
        <v>46048</v>
      </c>
      <c r="D175" s="42" t="str">
        <f>'1. Information samples'!D93</f>
        <v>Genbank</v>
      </c>
      <c r="E175" s="59">
        <f>'1. Information samples'!E93</f>
        <v>28</v>
      </c>
      <c r="F175" s="42" t="str">
        <f>'1. Information samples'!F93</f>
        <v>F252594</v>
      </c>
      <c r="G175" s="42" t="str">
        <f>'1. Information samples'!G93</f>
        <v>CIAT9472</v>
      </c>
      <c r="H175" s="42" t="str">
        <f>'1. Information samples'!H93</f>
        <v>Zornia</v>
      </c>
      <c r="I175" s="42" t="str">
        <f>'1. Information samples'!I93</f>
        <v>brasiliensis</v>
      </c>
      <c r="J175" s="42" t="str">
        <f>'1. Information samples'!J93</f>
        <v>Zornia brasiliensis</v>
      </c>
      <c r="K175" s="42" t="str">
        <f>'1. Information samples'!K93</f>
        <v>Fabaceae</v>
      </c>
      <c r="L175" s="42" t="str">
        <f>'1. Information samples'!L93</f>
        <v>Fabales</v>
      </c>
      <c r="M175" s="42" t="str">
        <f>'1. Information samples'!M93</f>
        <v>Herbaceous</v>
      </c>
      <c r="N175" s="42" t="str">
        <f>'1. Information samples'!N93</f>
        <v>60,61, 62</v>
      </c>
      <c r="O175" s="20" t="str">
        <f>'1. Information samples'!O93</f>
        <v>OT-031</v>
      </c>
      <c r="P175" s="18">
        <v>92.050794920507983</v>
      </c>
      <c r="Q175" s="341">
        <f t="shared" si="894"/>
        <v>92.096183303085411</v>
      </c>
      <c r="R175" s="66">
        <v>10.075414376569389</v>
      </c>
      <c r="S175" s="341">
        <f t="shared" si="895"/>
        <v>10.150903001041684</v>
      </c>
      <c r="T175" s="66">
        <v>89.924585623430616</v>
      </c>
      <c r="U175" s="341">
        <f t="shared" si="881"/>
        <v>89.849096998958316</v>
      </c>
      <c r="V175" s="65"/>
    </row>
    <row r="176" spans="2:22" x14ac:dyDescent="0.35">
      <c r="B176" s="19">
        <f t="shared" si="944"/>
        <v>166</v>
      </c>
      <c r="C176" s="7">
        <f>C175</f>
        <v>46048</v>
      </c>
      <c r="D176" s="7" t="str">
        <f t="shared" ref="D176" si="1149">D175</f>
        <v>Genbank</v>
      </c>
      <c r="E176" s="14">
        <f t="shared" ref="E176" si="1150">E175</f>
        <v>28</v>
      </c>
      <c r="F176" s="7" t="str">
        <f t="shared" ref="F176" si="1151">F175</f>
        <v>F252594</v>
      </c>
      <c r="G176" s="7" t="str">
        <f t="shared" ref="G176" si="1152">G175</f>
        <v>CIAT9472</v>
      </c>
      <c r="H176" s="7" t="str">
        <f t="shared" ref="H176" si="1153">H175</f>
        <v>Zornia</v>
      </c>
      <c r="I176" s="7" t="str">
        <f t="shared" ref="I176" si="1154">I175</f>
        <v>brasiliensis</v>
      </c>
      <c r="J176" s="7" t="str">
        <f t="shared" ref="J176" si="1155">J175</f>
        <v>Zornia brasiliensis</v>
      </c>
      <c r="K176" s="7" t="str">
        <f t="shared" ref="K176" si="1156">K175</f>
        <v>Fabaceae</v>
      </c>
      <c r="L176" s="7" t="str">
        <f t="shared" ref="L176" si="1157">L175</f>
        <v>Fabales</v>
      </c>
      <c r="M176" s="7" t="str">
        <f t="shared" ref="M176" si="1158">M175</f>
        <v>Herbaceous</v>
      </c>
      <c r="N176" s="7" t="str">
        <f t="shared" ref="N176" si="1159">N175</f>
        <v>60,61, 62</v>
      </c>
      <c r="O176" s="30" t="str">
        <f t="shared" ref="O176" si="1160">O175</f>
        <v>OT-031</v>
      </c>
      <c r="P176" s="18">
        <v>92.141571685662853</v>
      </c>
      <c r="Q176" s="341"/>
      <c r="R176" s="66">
        <v>10.226391625513976</v>
      </c>
      <c r="S176" s="341"/>
      <c r="T176" s="66">
        <v>89.773608374486031</v>
      </c>
      <c r="U176" s="341"/>
      <c r="V176" s="65"/>
    </row>
    <row r="177" spans="2:22" x14ac:dyDescent="0.35">
      <c r="B177" s="19">
        <f t="shared" si="944"/>
        <v>167</v>
      </c>
      <c r="C177" s="42">
        <f>'1. Information samples'!C94</f>
        <v>46048</v>
      </c>
      <c r="D177" s="42" t="str">
        <f>'1. Information samples'!D94</f>
        <v>Genbank</v>
      </c>
      <c r="E177" s="59">
        <f>'1. Information samples'!E94</f>
        <v>28</v>
      </c>
      <c r="F177" s="42" t="str">
        <f>'1. Information samples'!F94</f>
        <v>F252595</v>
      </c>
      <c r="G177" s="42" t="str">
        <f>'1. Information samples'!G94</f>
        <v>CIAT9531</v>
      </c>
      <c r="H177" s="42" t="str">
        <f>'1. Information samples'!H94</f>
        <v>Indigofera</v>
      </c>
      <c r="I177" s="42" t="str">
        <f>'1. Information samples'!I94</f>
        <v>spicata</v>
      </c>
      <c r="J177" s="42" t="str">
        <f>'1. Information samples'!J94</f>
        <v>Indigofera spicata</v>
      </c>
      <c r="K177" s="42" t="str">
        <f>'1. Information samples'!K94</f>
        <v>Fabaceae</v>
      </c>
      <c r="L177" s="42" t="str">
        <f>'1. Information samples'!L94</f>
        <v>Fabales</v>
      </c>
      <c r="M177" s="42" t="str">
        <f>'1. Information samples'!M94</f>
        <v>Herbaceous</v>
      </c>
      <c r="N177" s="42" t="str">
        <f>'1. Information samples'!N94</f>
        <v>60,61, 62</v>
      </c>
      <c r="O177" s="20" t="str">
        <f>'1. Information samples'!O94</f>
        <v>OT-031</v>
      </c>
      <c r="P177" s="18">
        <v>91.721655668866205</v>
      </c>
      <c r="Q177" s="341">
        <f t="shared" si="894"/>
        <v>91.598385299953804</v>
      </c>
      <c r="R177" s="66">
        <v>16.405305128328955</v>
      </c>
      <c r="S177" s="341">
        <f t="shared" si="895"/>
        <v>16.189267840911622</v>
      </c>
      <c r="T177" s="66">
        <v>83.594694871671038</v>
      </c>
      <c r="U177" s="341">
        <f t="shared" si="881"/>
        <v>83.810732159088374</v>
      </c>
      <c r="V177" s="65"/>
    </row>
    <row r="178" spans="2:22" x14ac:dyDescent="0.35">
      <c r="B178" s="19">
        <f t="shared" si="944"/>
        <v>168</v>
      </c>
      <c r="C178" s="7">
        <f>C177</f>
        <v>46048</v>
      </c>
      <c r="D178" s="7" t="str">
        <f t="shared" ref="D178" si="1161">D177</f>
        <v>Genbank</v>
      </c>
      <c r="E178" s="14">
        <f t="shared" ref="E178" si="1162">E177</f>
        <v>28</v>
      </c>
      <c r="F178" s="7" t="str">
        <f t="shared" ref="F178" si="1163">F177</f>
        <v>F252595</v>
      </c>
      <c r="G178" s="7" t="str">
        <f t="shared" ref="G178" si="1164">G177</f>
        <v>CIAT9531</v>
      </c>
      <c r="H178" s="7" t="str">
        <f t="shared" ref="H178" si="1165">H177</f>
        <v>Indigofera</v>
      </c>
      <c r="I178" s="7" t="str">
        <f t="shared" ref="I178" si="1166">I177</f>
        <v>spicata</v>
      </c>
      <c r="J178" s="7" t="str">
        <f t="shared" ref="J178" si="1167">J177</f>
        <v>Indigofera spicata</v>
      </c>
      <c r="K178" s="7" t="str">
        <f t="shared" ref="K178" si="1168">K177</f>
        <v>Fabaceae</v>
      </c>
      <c r="L178" s="7" t="str">
        <f t="shared" ref="L178" si="1169">L177</f>
        <v>Fabales</v>
      </c>
      <c r="M178" s="7" t="str">
        <f t="shared" ref="M178" si="1170">M177</f>
        <v>Herbaceous</v>
      </c>
      <c r="N178" s="7" t="str">
        <f t="shared" ref="N178" si="1171">N177</f>
        <v>60,61, 62</v>
      </c>
      <c r="O178" s="30" t="str">
        <f t="shared" ref="O178" si="1172">O177</f>
        <v>OT-031</v>
      </c>
      <c r="P178" s="18">
        <v>91.475114931041404</v>
      </c>
      <c r="Q178" s="341"/>
      <c r="R178" s="66">
        <v>15.973230553494291</v>
      </c>
      <c r="S178" s="341"/>
      <c r="T178" s="66">
        <v>84.02676944650571</v>
      </c>
      <c r="U178" s="341"/>
      <c r="V178" s="65"/>
    </row>
    <row r="179" spans="2:22" x14ac:dyDescent="0.35">
      <c r="B179" s="19">
        <f t="shared" si="944"/>
        <v>169</v>
      </c>
      <c r="C179" s="42">
        <f>'1. Information samples'!C95</f>
        <v>46048</v>
      </c>
      <c r="D179" s="42" t="str">
        <f>'1. Information samples'!D95</f>
        <v>Genbank</v>
      </c>
      <c r="E179" s="59">
        <f>'1. Information samples'!E95</f>
        <v>28</v>
      </c>
      <c r="F179" s="42" t="str">
        <f>'1. Information samples'!F95</f>
        <v>F252596</v>
      </c>
      <c r="G179" s="42" t="str">
        <f>'1. Information samples'!G95</f>
        <v>CIAT10026</v>
      </c>
      <c r="H179" s="42" t="str">
        <f>'1. Information samples'!H95</f>
        <v>Stylosanthes</v>
      </c>
      <c r="I179" s="42" t="str">
        <f>'1. Information samples'!I95</f>
        <v>seabrana</v>
      </c>
      <c r="J179" s="42" t="str">
        <f>'1. Information samples'!J95</f>
        <v>Stylosanthes seabrana</v>
      </c>
      <c r="K179" s="42" t="str">
        <f>'1. Information samples'!K95</f>
        <v>Fabaceae</v>
      </c>
      <c r="L179" s="42" t="str">
        <f>'1. Information samples'!L95</f>
        <v>Fabales</v>
      </c>
      <c r="M179" s="42" t="str">
        <f>'1. Information samples'!M95</f>
        <v>Herbaceous</v>
      </c>
      <c r="N179" s="42" t="str">
        <f>'1. Information samples'!N95</f>
        <v>60,61, 62</v>
      </c>
      <c r="O179" s="20" t="str">
        <f>'1. Information samples'!O95</f>
        <v>OT-031</v>
      </c>
      <c r="P179" s="18">
        <v>92.751449710057969</v>
      </c>
      <c r="Q179" s="341">
        <f t="shared" si="894"/>
        <v>92.746813528426955</v>
      </c>
      <c r="R179" s="66">
        <v>9.9067148702745502</v>
      </c>
      <c r="S179" s="341">
        <f t="shared" si="895"/>
        <v>9.9708925307209171</v>
      </c>
      <c r="T179" s="66">
        <v>90.093285129725444</v>
      </c>
      <c r="U179" s="341">
        <f t="shared" si="881"/>
        <v>90.029107469279083</v>
      </c>
      <c r="V179" s="65"/>
    </row>
    <row r="180" spans="2:22" x14ac:dyDescent="0.35">
      <c r="B180" s="19">
        <f t="shared" si="944"/>
        <v>170</v>
      </c>
      <c r="C180" s="7">
        <f>C179</f>
        <v>46048</v>
      </c>
      <c r="D180" s="7" t="str">
        <f t="shared" ref="D180" si="1173">D179</f>
        <v>Genbank</v>
      </c>
      <c r="E180" s="14">
        <f t="shared" ref="E180" si="1174">E179</f>
        <v>28</v>
      </c>
      <c r="F180" s="7" t="str">
        <f t="shared" ref="F180" si="1175">F179</f>
        <v>F252596</v>
      </c>
      <c r="G180" s="7" t="str">
        <f t="shared" ref="G180" si="1176">G179</f>
        <v>CIAT10026</v>
      </c>
      <c r="H180" s="7" t="str">
        <f t="shared" ref="H180" si="1177">H179</f>
        <v>Stylosanthes</v>
      </c>
      <c r="I180" s="7" t="str">
        <f t="shared" ref="I180" si="1178">I179</f>
        <v>seabrana</v>
      </c>
      <c r="J180" s="7" t="str">
        <f t="shared" ref="J180" si="1179">J179</f>
        <v>Stylosanthes seabrana</v>
      </c>
      <c r="K180" s="7" t="str">
        <f t="shared" ref="K180" si="1180">K179</f>
        <v>Fabaceae</v>
      </c>
      <c r="L180" s="7" t="str">
        <f t="shared" ref="L180" si="1181">L179</f>
        <v>Fabales</v>
      </c>
      <c r="M180" s="7" t="str">
        <f t="shared" ref="M180" si="1182">M179</f>
        <v>Herbaceous</v>
      </c>
      <c r="N180" s="7" t="str">
        <f t="shared" ref="N180" si="1183">N179</f>
        <v>60,61, 62</v>
      </c>
      <c r="O180" s="30" t="str">
        <f t="shared" ref="O180" si="1184">O179</f>
        <v>OT-031</v>
      </c>
      <c r="P180" s="18">
        <v>92.742177346795941</v>
      </c>
      <c r="Q180" s="341"/>
      <c r="R180" s="66">
        <v>10.035070191167284</v>
      </c>
      <c r="S180" s="341"/>
      <c r="T180" s="66">
        <v>89.964929808832721</v>
      </c>
      <c r="U180" s="341"/>
      <c r="V180" s="65"/>
    </row>
    <row r="181" spans="2:22" x14ac:dyDescent="0.35">
      <c r="B181" s="19">
        <f t="shared" si="944"/>
        <v>171</v>
      </c>
      <c r="C181" s="42">
        <f>'1. Information samples'!C96</f>
        <v>46048</v>
      </c>
      <c r="D181" s="42" t="str">
        <f>'1. Information samples'!D96</f>
        <v>Genbank</v>
      </c>
      <c r="E181" s="59">
        <f>'1. Information samples'!E96</f>
        <v>28</v>
      </c>
      <c r="F181" s="42" t="str">
        <f>'1. Information samples'!F96</f>
        <v>F252597</v>
      </c>
      <c r="G181" s="42" t="str">
        <f>'1. Information samples'!G96</f>
        <v>CIAT12411</v>
      </c>
      <c r="H181" s="42" t="str">
        <f>'1. Information samples'!H96</f>
        <v>Stylosanthes</v>
      </c>
      <c r="I181" s="42" t="str">
        <f>'1. Information samples'!I96</f>
        <v>sympodialis</v>
      </c>
      <c r="J181" s="42" t="str">
        <f>'1. Information samples'!J96</f>
        <v>Stylosanthes sympodialis</v>
      </c>
      <c r="K181" s="42" t="str">
        <f>'1. Information samples'!K96</f>
        <v>Fabaceae</v>
      </c>
      <c r="L181" s="42" t="str">
        <f>'1. Information samples'!L96</f>
        <v>Fabales</v>
      </c>
      <c r="M181" s="42" t="str">
        <f>'1. Information samples'!M96</f>
        <v>Herbaceous</v>
      </c>
      <c r="N181" s="42" t="str">
        <f>'1. Information samples'!N96</f>
        <v>60,61, 62</v>
      </c>
      <c r="O181" s="20" t="str">
        <f>'1. Information samples'!O96</f>
        <v>OT-031</v>
      </c>
      <c r="P181" s="18">
        <v>91.691661667666423</v>
      </c>
      <c r="Q181" s="341">
        <f t="shared" si="894"/>
        <v>91.721243292587246</v>
      </c>
      <c r="R181" s="66">
        <v>11.957760323554915</v>
      </c>
      <c r="S181" s="341">
        <f t="shared" si="895"/>
        <v>11.778483244157979</v>
      </c>
      <c r="T181" s="66">
        <v>88.042239676445092</v>
      </c>
      <c r="U181" s="341">
        <f t="shared" si="881"/>
        <v>88.221516755842032</v>
      </c>
      <c r="V181" s="65"/>
    </row>
    <row r="182" spans="2:22" x14ac:dyDescent="0.35">
      <c r="B182" s="19">
        <f t="shared" si="944"/>
        <v>172</v>
      </c>
      <c r="C182" s="7">
        <f>C181</f>
        <v>46048</v>
      </c>
      <c r="D182" s="7" t="str">
        <f t="shared" ref="D182" si="1185">D181</f>
        <v>Genbank</v>
      </c>
      <c r="E182" s="14">
        <f t="shared" ref="E182" si="1186">E181</f>
        <v>28</v>
      </c>
      <c r="F182" s="7" t="str">
        <f t="shared" ref="F182" si="1187">F181</f>
        <v>F252597</v>
      </c>
      <c r="G182" s="7" t="str">
        <f t="shared" ref="G182" si="1188">G181</f>
        <v>CIAT12411</v>
      </c>
      <c r="H182" s="7" t="str">
        <f t="shared" ref="H182" si="1189">H181</f>
        <v>Stylosanthes</v>
      </c>
      <c r="I182" s="7" t="str">
        <f t="shared" ref="I182" si="1190">I181</f>
        <v>sympodialis</v>
      </c>
      <c r="J182" s="7" t="str">
        <f t="shared" ref="J182" si="1191">J181</f>
        <v>Stylosanthes sympodialis</v>
      </c>
      <c r="K182" s="7" t="str">
        <f t="shared" ref="K182" si="1192">K181</f>
        <v>Fabaceae</v>
      </c>
      <c r="L182" s="7" t="str">
        <f t="shared" ref="L182" si="1193">L181</f>
        <v>Fabales</v>
      </c>
      <c r="M182" s="7" t="str">
        <f t="shared" ref="M182" si="1194">M181</f>
        <v>Herbaceous</v>
      </c>
      <c r="N182" s="7" t="str">
        <f t="shared" ref="N182" si="1195">N181</f>
        <v>60,61, 62</v>
      </c>
      <c r="O182" s="30" t="str">
        <f t="shared" ref="O182" si="1196">O181</f>
        <v>OT-031</v>
      </c>
      <c r="P182" s="18">
        <v>91.750824917508083</v>
      </c>
      <c r="Q182" s="341"/>
      <c r="R182" s="66">
        <v>11.599206164761043</v>
      </c>
      <c r="S182" s="341"/>
      <c r="T182" s="66">
        <v>88.400793835238957</v>
      </c>
      <c r="U182" s="341"/>
      <c r="V182" s="65"/>
    </row>
    <row r="183" spans="2:22" x14ac:dyDescent="0.35">
      <c r="B183" s="19">
        <f t="shared" si="944"/>
        <v>173</v>
      </c>
      <c r="C183" s="42">
        <f>'1. Information samples'!C97</f>
        <v>46048</v>
      </c>
      <c r="D183" s="42" t="str">
        <f>'1. Information samples'!D97</f>
        <v>Genbank</v>
      </c>
      <c r="E183" s="59">
        <f>'1. Information samples'!E97</f>
        <v>28</v>
      </c>
      <c r="F183" s="42" t="str">
        <f>'1. Information samples'!F97</f>
        <v>F252598</v>
      </c>
      <c r="G183" s="42" t="str">
        <f>'1. Information samples'!G97</f>
        <v>CIAT13494</v>
      </c>
      <c r="H183" s="42" t="str">
        <f>'1. Information samples'!H97</f>
        <v>Desmodium</v>
      </c>
      <c r="I183" s="42" t="str">
        <f>'1. Information samples'!I97</f>
        <v>tortuosum</v>
      </c>
      <c r="J183" s="42" t="str">
        <f>'1. Information samples'!J97</f>
        <v>Desmodium tortuosum</v>
      </c>
      <c r="K183" s="42" t="str">
        <f>'1. Information samples'!K97</f>
        <v>Fabaceae</v>
      </c>
      <c r="L183" s="42" t="str">
        <f>'1. Information samples'!L97</f>
        <v>Fabales</v>
      </c>
      <c r="M183" s="42" t="str">
        <f>'1. Information samples'!M97</f>
        <v>Shurb_Tree</v>
      </c>
      <c r="N183" s="42" t="str">
        <f>'1. Information samples'!N97</f>
        <v>60,61, 62</v>
      </c>
      <c r="O183" s="20" t="str">
        <f>'1. Information samples'!O97</f>
        <v>OT-031</v>
      </c>
      <c r="P183" s="18">
        <v>91.710828917108316</v>
      </c>
      <c r="Q183" s="341">
        <f t="shared" si="894"/>
        <v>91.666252290987643</v>
      </c>
      <c r="R183" s="66">
        <v>10.897141369083862</v>
      </c>
      <c r="S183" s="341">
        <f t="shared" si="895"/>
        <v>10.880236182717553</v>
      </c>
      <c r="T183" s="66">
        <v>89.102858630916131</v>
      </c>
      <c r="U183" s="341">
        <f t="shared" si="881"/>
        <v>89.119763817282447</v>
      </c>
      <c r="V183" s="65"/>
    </row>
    <row r="184" spans="2:22" x14ac:dyDescent="0.35">
      <c r="B184" s="19">
        <f t="shared" si="944"/>
        <v>174</v>
      </c>
      <c r="C184" s="7">
        <f>C183</f>
        <v>46048</v>
      </c>
      <c r="D184" s="7" t="str">
        <f t="shared" ref="D184" si="1197">D183</f>
        <v>Genbank</v>
      </c>
      <c r="E184" s="14">
        <f t="shared" ref="E184" si="1198">E183</f>
        <v>28</v>
      </c>
      <c r="F184" s="7" t="str">
        <f t="shared" ref="F184" si="1199">F183</f>
        <v>F252598</v>
      </c>
      <c r="G184" s="7" t="str">
        <f t="shared" ref="G184" si="1200">G183</f>
        <v>CIAT13494</v>
      </c>
      <c r="H184" s="7" t="str">
        <f t="shared" ref="H184" si="1201">H183</f>
        <v>Desmodium</v>
      </c>
      <c r="I184" s="7" t="str">
        <f t="shared" ref="I184" si="1202">I183</f>
        <v>tortuosum</v>
      </c>
      <c r="J184" s="7" t="str">
        <f t="shared" ref="J184" si="1203">J183</f>
        <v>Desmodium tortuosum</v>
      </c>
      <c r="K184" s="7" t="str">
        <f t="shared" ref="K184" si="1204">K183</f>
        <v>Fabaceae</v>
      </c>
      <c r="L184" s="7" t="str">
        <f t="shared" ref="L184" si="1205">L183</f>
        <v>Fabales</v>
      </c>
      <c r="M184" s="7" t="str">
        <f t="shared" ref="M184" si="1206">M183</f>
        <v>Shurb_Tree</v>
      </c>
      <c r="N184" s="7" t="str">
        <f t="shared" ref="N184" si="1207">N183</f>
        <v>60,61, 62</v>
      </c>
      <c r="O184" s="30" t="str">
        <f t="shared" ref="O184" si="1208">O183</f>
        <v>OT-031</v>
      </c>
      <c r="P184" s="18">
        <v>91.62167566486697</v>
      </c>
      <c r="Q184" s="341"/>
      <c r="R184" s="66">
        <v>10.863330996351245</v>
      </c>
      <c r="S184" s="341"/>
      <c r="T184" s="66">
        <v>89.136669003648763</v>
      </c>
      <c r="U184" s="341"/>
      <c r="V184" s="65"/>
    </row>
    <row r="185" spans="2:22" x14ac:dyDescent="0.35">
      <c r="B185" s="19">
        <f t="shared" si="944"/>
        <v>175</v>
      </c>
      <c r="C185" s="42">
        <f>'1. Information samples'!C98</f>
        <v>46048</v>
      </c>
      <c r="D185" s="42" t="str">
        <f>'1. Information samples'!D98</f>
        <v>Genbank</v>
      </c>
      <c r="E185" s="59">
        <f>'1. Information samples'!E98</f>
        <v>28</v>
      </c>
      <c r="F185" s="42" t="str">
        <f>'1. Information samples'!F98</f>
        <v>F252599</v>
      </c>
      <c r="G185" s="42" t="str">
        <f>'1. Information samples'!G98</f>
        <v>CIAT13562</v>
      </c>
      <c r="H185" s="42" t="str">
        <f>'1. Information samples'!H98</f>
        <v>Desmodium</v>
      </c>
      <c r="I185" s="42" t="str">
        <f>'1. Information samples'!I98</f>
        <v>tortuosum</v>
      </c>
      <c r="J185" s="42" t="str">
        <f>'1. Information samples'!J98</f>
        <v>Desmodium tortuosum</v>
      </c>
      <c r="K185" s="42" t="str">
        <f>'1. Information samples'!K98</f>
        <v>Fabaceae</v>
      </c>
      <c r="L185" s="42" t="str">
        <f>'1. Information samples'!L98</f>
        <v>Fabales</v>
      </c>
      <c r="M185" s="42" t="str">
        <f>'1. Information samples'!M98</f>
        <v>Shurb_Tree</v>
      </c>
      <c r="N185" s="42" t="str">
        <f>'1. Information samples'!N98</f>
        <v>60,61, 62</v>
      </c>
      <c r="O185" s="20" t="str">
        <f>'1. Information samples'!O98</f>
        <v>OT-031</v>
      </c>
      <c r="P185" s="18">
        <v>91.761647670465891</v>
      </c>
      <c r="Q185" s="341">
        <f t="shared" si="894"/>
        <v>91.812044469042831</v>
      </c>
      <c r="R185" s="66">
        <v>14.592116550035081</v>
      </c>
      <c r="S185" s="341">
        <f t="shared" si="895"/>
        <v>14.803713899316438</v>
      </c>
      <c r="T185" s="66">
        <v>85.407883449964913</v>
      </c>
      <c r="U185" s="341">
        <f t="shared" si="881"/>
        <v>85.196286100683551</v>
      </c>
      <c r="V185" s="65"/>
    </row>
    <row r="186" spans="2:22" x14ac:dyDescent="0.35">
      <c r="B186" s="19">
        <f t="shared" si="944"/>
        <v>176</v>
      </c>
      <c r="C186" s="7">
        <f>C185</f>
        <v>46048</v>
      </c>
      <c r="D186" s="7" t="str">
        <f t="shared" ref="D186" si="1209">D185</f>
        <v>Genbank</v>
      </c>
      <c r="E186" s="14">
        <f t="shared" ref="E186" si="1210">E185</f>
        <v>28</v>
      </c>
      <c r="F186" s="7" t="str">
        <f t="shared" ref="F186" si="1211">F185</f>
        <v>F252599</v>
      </c>
      <c r="G186" s="7" t="str">
        <f t="shared" ref="G186" si="1212">G185</f>
        <v>CIAT13562</v>
      </c>
      <c r="H186" s="7" t="str">
        <f t="shared" ref="H186" si="1213">H185</f>
        <v>Desmodium</v>
      </c>
      <c r="I186" s="7" t="str">
        <f t="shared" ref="I186" si="1214">I185</f>
        <v>tortuosum</v>
      </c>
      <c r="J186" s="7" t="str">
        <f t="shared" ref="J186" si="1215">J185</f>
        <v>Desmodium tortuosum</v>
      </c>
      <c r="K186" s="7" t="str">
        <f t="shared" ref="K186" si="1216">K185</f>
        <v>Fabaceae</v>
      </c>
      <c r="L186" s="7" t="str">
        <f t="shared" ref="L186" si="1217">L185</f>
        <v>Fabales</v>
      </c>
      <c r="M186" s="7" t="str">
        <f t="shared" ref="M186" si="1218">M185</f>
        <v>Shurb_Tree</v>
      </c>
      <c r="N186" s="7" t="str">
        <f t="shared" ref="N186" si="1219">N185</f>
        <v>60,61, 62</v>
      </c>
      <c r="O186" s="30" t="str">
        <f t="shared" ref="O186" si="1220">O185</f>
        <v>OT-031</v>
      </c>
      <c r="P186" s="18">
        <v>91.862441267619786</v>
      </c>
      <c r="Q186" s="341"/>
      <c r="R186" s="66">
        <v>15.015311248597794</v>
      </c>
      <c r="S186" s="341"/>
      <c r="T186" s="66">
        <v>84.984688751402203</v>
      </c>
      <c r="U186" s="341"/>
      <c r="V186" s="65"/>
    </row>
    <row r="187" spans="2:22" x14ac:dyDescent="0.35">
      <c r="B187" s="19">
        <f t="shared" si="944"/>
        <v>177</v>
      </c>
      <c r="C187" s="42">
        <f>'1. Information samples'!C99</f>
        <v>46048</v>
      </c>
      <c r="D187" s="42" t="str">
        <f>'1. Information samples'!D99</f>
        <v>Genbank</v>
      </c>
      <c r="E187" s="59">
        <f>'1. Information samples'!E99</f>
        <v>28</v>
      </c>
      <c r="F187" s="42" t="str">
        <f>'1. Information samples'!F99</f>
        <v>F252600</v>
      </c>
      <c r="G187" s="42" t="str">
        <f>'1. Information samples'!G99</f>
        <v>CIAT13593</v>
      </c>
      <c r="H187" s="42" t="str">
        <f>'1. Information samples'!H99</f>
        <v>Desmodium</v>
      </c>
      <c r="I187" s="42" t="str">
        <f>'1. Information samples'!I99</f>
        <v>scorpiurus</v>
      </c>
      <c r="J187" s="42" t="str">
        <f>'1. Information samples'!J99</f>
        <v>Desmodium scorpiurus</v>
      </c>
      <c r="K187" s="42" t="str">
        <f>'1. Information samples'!K99</f>
        <v>Fabaceae</v>
      </c>
      <c r="L187" s="42" t="str">
        <f>'1. Information samples'!L99</f>
        <v>Fabales</v>
      </c>
      <c r="M187" s="42" t="str">
        <f>'1. Information samples'!M99</f>
        <v>Herbaceous</v>
      </c>
      <c r="N187" s="42" t="str">
        <f>'1. Information samples'!N99</f>
        <v>60,61, 62</v>
      </c>
      <c r="O187" s="20" t="str">
        <f>'1. Information samples'!O99</f>
        <v>OT-031</v>
      </c>
      <c r="P187" s="18">
        <v>90.70185962807443</v>
      </c>
      <c r="Q187" s="341">
        <f t="shared" si="894"/>
        <v>90.708715142839907</v>
      </c>
      <c r="R187" s="66">
        <v>10.371791025272142</v>
      </c>
      <c r="S187" s="341">
        <f t="shared" si="895"/>
        <v>10.47989479506532</v>
      </c>
      <c r="T187" s="66">
        <v>89.628208974727855</v>
      </c>
      <c r="U187" s="341">
        <f t="shared" si="881"/>
        <v>89.52010520493468</v>
      </c>
      <c r="V187" s="65"/>
    </row>
    <row r="188" spans="2:22" x14ac:dyDescent="0.35">
      <c r="B188" s="19">
        <f t="shared" si="944"/>
        <v>178</v>
      </c>
      <c r="C188" s="7">
        <f>C187</f>
        <v>46048</v>
      </c>
      <c r="D188" s="7" t="str">
        <f t="shared" ref="D188" si="1221">D187</f>
        <v>Genbank</v>
      </c>
      <c r="E188" s="14">
        <f t="shared" ref="E188" si="1222">E187</f>
        <v>28</v>
      </c>
      <c r="F188" s="7" t="str">
        <f t="shared" ref="F188" si="1223">F187</f>
        <v>F252600</v>
      </c>
      <c r="G188" s="7" t="str">
        <f t="shared" ref="G188" si="1224">G187</f>
        <v>CIAT13593</v>
      </c>
      <c r="H188" s="7" t="str">
        <f t="shared" ref="H188" si="1225">H187</f>
        <v>Desmodium</v>
      </c>
      <c r="I188" s="7" t="str">
        <f t="shared" ref="I188" si="1226">I187</f>
        <v>scorpiurus</v>
      </c>
      <c r="J188" s="7" t="str">
        <f t="shared" ref="J188" si="1227">J187</f>
        <v>Desmodium scorpiurus</v>
      </c>
      <c r="K188" s="7" t="str">
        <f t="shared" ref="K188" si="1228">K187</f>
        <v>Fabaceae</v>
      </c>
      <c r="L188" s="7" t="str">
        <f t="shared" ref="L188" si="1229">L187</f>
        <v>Fabales</v>
      </c>
      <c r="M188" s="7" t="str">
        <f t="shared" ref="M188" si="1230">M187</f>
        <v>Herbaceous</v>
      </c>
      <c r="N188" s="7" t="str">
        <f t="shared" ref="N188" si="1231">N187</f>
        <v>60,61, 62</v>
      </c>
      <c r="O188" s="30" t="str">
        <f t="shared" ref="O188" si="1232">O187</f>
        <v>OT-031</v>
      </c>
      <c r="P188" s="18">
        <v>90.715570657605369</v>
      </c>
      <c r="Q188" s="341"/>
      <c r="R188" s="66">
        <v>10.587998564858497</v>
      </c>
      <c r="S188" s="341"/>
      <c r="T188" s="66">
        <v>89.412001435141505</v>
      </c>
      <c r="U188" s="341"/>
      <c r="V188" s="65"/>
    </row>
    <row r="189" spans="2:22" x14ac:dyDescent="0.35">
      <c r="B189" s="19">
        <f t="shared" si="944"/>
        <v>179</v>
      </c>
      <c r="C189" s="42">
        <f>'1. Information samples'!C100</f>
        <v>46048</v>
      </c>
      <c r="D189" s="42" t="str">
        <f>'1. Information samples'!D100</f>
        <v>Genbank</v>
      </c>
      <c r="E189" s="59">
        <f>'1. Information samples'!E100</f>
        <v>28</v>
      </c>
      <c r="F189" s="42" t="str">
        <f>'1. Information samples'!F100</f>
        <v>F252601</v>
      </c>
      <c r="G189" s="42" t="str">
        <f>'1. Information samples'!G100</f>
        <v>CIAT13608</v>
      </c>
      <c r="H189" s="42" t="str">
        <f>'1. Information samples'!H100</f>
        <v>Desmodium</v>
      </c>
      <c r="I189" s="42" t="str">
        <f>'1. Information samples'!I100</f>
        <v>incanum</v>
      </c>
      <c r="J189" s="42" t="str">
        <f>'1. Information samples'!J100</f>
        <v>Desmodium incanum</v>
      </c>
      <c r="K189" s="42" t="str">
        <f>'1. Information samples'!K100</f>
        <v>Fabaceae</v>
      </c>
      <c r="L189" s="42" t="str">
        <f>'1. Information samples'!L100</f>
        <v>Fabales</v>
      </c>
      <c r="M189" s="42" t="str">
        <f>'1. Information samples'!M100</f>
        <v>Herbaceous</v>
      </c>
      <c r="N189" s="42" t="str">
        <f>'1. Information samples'!N100</f>
        <v>60,61, 62</v>
      </c>
      <c r="O189" s="20" t="str">
        <f>'1. Information samples'!O100</f>
        <v>OT-031</v>
      </c>
      <c r="P189" s="18">
        <v>92.334599240455617</v>
      </c>
      <c r="Q189" s="341">
        <f t="shared" si="894"/>
        <v>92.609078730672564</v>
      </c>
      <c r="R189" s="66">
        <v>9.7664002061287398</v>
      </c>
      <c r="S189" s="341">
        <f t="shared" si="895"/>
        <v>9.9773455627446666</v>
      </c>
      <c r="T189" s="66">
        <v>90.233599793871264</v>
      </c>
      <c r="U189" s="341">
        <f t="shared" si="881"/>
        <v>90.022654437255341</v>
      </c>
      <c r="V189" s="65"/>
    </row>
    <row r="190" spans="2:22" x14ac:dyDescent="0.35">
      <c r="B190" s="19">
        <f t="shared" si="944"/>
        <v>180</v>
      </c>
      <c r="C190" s="7">
        <f>C189</f>
        <v>46048</v>
      </c>
      <c r="D190" s="7" t="str">
        <f t="shared" ref="D190" si="1233">D189</f>
        <v>Genbank</v>
      </c>
      <c r="E190" s="14">
        <f t="shared" ref="E190" si="1234">E189</f>
        <v>28</v>
      </c>
      <c r="F190" s="7" t="str">
        <f t="shared" ref="F190" si="1235">F189</f>
        <v>F252601</v>
      </c>
      <c r="G190" s="7" t="str">
        <f t="shared" ref="G190" si="1236">G189</f>
        <v>CIAT13608</v>
      </c>
      <c r="H190" s="7" t="str">
        <f t="shared" ref="H190" si="1237">H189</f>
        <v>Desmodium</v>
      </c>
      <c r="I190" s="7" t="str">
        <f t="shared" ref="I190" si="1238">I189</f>
        <v>incanum</v>
      </c>
      <c r="J190" s="7" t="str">
        <f t="shared" ref="J190" si="1239">J189</f>
        <v>Desmodium incanum</v>
      </c>
      <c r="K190" s="7" t="str">
        <f t="shared" ref="K190" si="1240">K189</f>
        <v>Fabaceae</v>
      </c>
      <c r="L190" s="7" t="str">
        <f t="shared" ref="L190" si="1241">L189</f>
        <v>Fabales</v>
      </c>
      <c r="M190" s="7" t="str">
        <f t="shared" ref="M190" si="1242">M189</f>
        <v>Herbaceous</v>
      </c>
      <c r="N190" s="7" t="str">
        <f t="shared" ref="N190" si="1243">N189</f>
        <v>60,61, 62</v>
      </c>
      <c r="O190" s="30" t="str">
        <f t="shared" ref="O190" si="1244">O189</f>
        <v>OT-031</v>
      </c>
      <c r="P190" s="18">
        <v>92.883558220889512</v>
      </c>
      <c r="Q190" s="341"/>
      <c r="R190" s="66">
        <v>10.188290919360595</v>
      </c>
      <c r="S190" s="341"/>
      <c r="T190" s="66">
        <v>89.811709080639403</v>
      </c>
      <c r="U190" s="341"/>
      <c r="V190" s="65"/>
    </row>
    <row r="191" spans="2:22" x14ac:dyDescent="0.35">
      <c r="B191" s="19">
        <f t="shared" si="944"/>
        <v>181</v>
      </c>
      <c r="C191" s="42">
        <f>'1. Information samples'!C101</f>
        <v>46048</v>
      </c>
      <c r="D191" s="42" t="str">
        <f>'1. Information samples'!D101</f>
        <v>Genbank</v>
      </c>
      <c r="E191" s="59">
        <f>'1. Information samples'!E101</f>
        <v>28</v>
      </c>
      <c r="F191" s="42" t="str">
        <f>'1. Information samples'!F101</f>
        <v>F252602</v>
      </c>
      <c r="G191" s="42" t="str">
        <f>'1. Information samples'!G101</f>
        <v>CIAT18277</v>
      </c>
      <c r="H191" s="42" t="str">
        <f>'1. Information samples'!H101</f>
        <v>Indigofera</v>
      </c>
      <c r="I191" s="42" t="str">
        <f>'1. Information samples'!I101</f>
        <v>jamaicensis</v>
      </c>
      <c r="J191" s="42" t="str">
        <f>'1. Information samples'!J101</f>
        <v>Indigofera jamaicensis</v>
      </c>
      <c r="K191" s="42" t="str">
        <f>'1. Information samples'!K101</f>
        <v>Fabaceae</v>
      </c>
      <c r="L191" s="42" t="str">
        <f>'1. Information samples'!L101</f>
        <v>Fabales</v>
      </c>
      <c r="M191" s="42" t="str">
        <f>'1. Information samples'!M101</f>
        <v>Herbaceous</v>
      </c>
      <c r="N191" s="42" t="str">
        <f>'1. Information samples'!N101</f>
        <v>60,61, 62</v>
      </c>
      <c r="O191" s="20" t="str">
        <f>'1. Information samples'!O101</f>
        <v>OT-031</v>
      </c>
      <c r="P191" s="18">
        <v>89.66413434626152</v>
      </c>
      <c r="Q191" s="341">
        <f t="shared" si="894"/>
        <v>89.827567623085784</v>
      </c>
      <c r="R191" s="66">
        <v>10.8831729755775</v>
      </c>
      <c r="S191" s="341">
        <f t="shared" si="895"/>
        <v>10.328238948772755</v>
      </c>
      <c r="T191" s="66">
        <v>89.116827024422506</v>
      </c>
      <c r="U191" s="341">
        <f t="shared" si="881"/>
        <v>89.67176105122725</v>
      </c>
      <c r="V191" s="65"/>
    </row>
    <row r="192" spans="2:22" x14ac:dyDescent="0.35">
      <c r="B192" s="19">
        <f t="shared" si="944"/>
        <v>182</v>
      </c>
      <c r="C192" s="7">
        <f>C191</f>
        <v>46048</v>
      </c>
      <c r="D192" s="7" t="str">
        <f t="shared" ref="D192" si="1245">D191</f>
        <v>Genbank</v>
      </c>
      <c r="E192" s="14">
        <f t="shared" ref="E192" si="1246">E191</f>
        <v>28</v>
      </c>
      <c r="F192" s="7" t="str">
        <f t="shared" ref="F192" si="1247">F191</f>
        <v>F252602</v>
      </c>
      <c r="G192" s="7" t="str">
        <f t="shared" ref="G192" si="1248">G191</f>
        <v>CIAT18277</v>
      </c>
      <c r="H192" s="7" t="str">
        <f t="shared" ref="H192" si="1249">H191</f>
        <v>Indigofera</v>
      </c>
      <c r="I192" s="7" t="str">
        <f t="shared" ref="I192" si="1250">I191</f>
        <v>jamaicensis</v>
      </c>
      <c r="J192" s="7" t="str">
        <f t="shared" ref="J192" si="1251">J191</f>
        <v>Indigofera jamaicensis</v>
      </c>
      <c r="K192" s="7" t="str">
        <f t="shared" ref="K192" si="1252">K191</f>
        <v>Fabaceae</v>
      </c>
      <c r="L192" s="7" t="str">
        <f t="shared" ref="L192" si="1253">L191</f>
        <v>Fabales</v>
      </c>
      <c r="M192" s="7" t="str">
        <f t="shared" ref="M192" si="1254">M191</f>
        <v>Herbaceous</v>
      </c>
      <c r="N192" s="7" t="str">
        <f t="shared" ref="N192" si="1255">N191</f>
        <v>60,61, 62</v>
      </c>
      <c r="O192" s="30" t="str">
        <f t="shared" ref="O192" si="1256">O191</f>
        <v>OT-031</v>
      </c>
      <c r="P192" s="18">
        <v>89.991000899910048</v>
      </c>
      <c r="Q192" s="341"/>
      <c r="R192" s="66">
        <v>9.7733049219680108</v>
      </c>
      <c r="S192" s="341"/>
      <c r="T192" s="66">
        <v>90.226695078031995</v>
      </c>
      <c r="U192" s="341"/>
      <c r="V192" s="65"/>
    </row>
    <row r="193" spans="2:22" x14ac:dyDescent="0.35">
      <c r="B193" s="19">
        <f t="shared" si="944"/>
        <v>183</v>
      </c>
      <c r="C193" s="42">
        <f>'1. Information samples'!C102</f>
        <v>46048</v>
      </c>
      <c r="D193" s="42" t="str">
        <f>'1. Information samples'!D102</f>
        <v>Genbank</v>
      </c>
      <c r="E193" s="59">
        <f>'1. Information samples'!E102</f>
        <v>28</v>
      </c>
      <c r="F193" s="42" t="str">
        <f>'1. Information samples'!F102</f>
        <v>F252603</v>
      </c>
      <c r="G193" s="42" t="str">
        <f>'1. Information samples'!G102</f>
        <v>CIAT18952</v>
      </c>
      <c r="H193" s="42" t="str">
        <f>'1. Information samples'!H102</f>
        <v>Indigofera</v>
      </c>
      <c r="I193" s="42" t="str">
        <f>'1. Information samples'!I102</f>
        <v>atriceps</v>
      </c>
      <c r="J193" s="42" t="str">
        <f>'1. Information samples'!J102</f>
        <v>Indigofera atriceps</v>
      </c>
      <c r="K193" s="42" t="str">
        <f>'1. Information samples'!K102</f>
        <v>Fabaceae</v>
      </c>
      <c r="L193" s="42" t="str">
        <f>'1. Information samples'!L102</f>
        <v>Fabales</v>
      </c>
      <c r="M193" s="42" t="str">
        <f>'1. Information samples'!M102</f>
        <v>Herbaceous</v>
      </c>
      <c r="N193" s="42" t="str">
        <f>'1. Information samples'!N102</f>
        <v>60,61, 62</v>
      </c>
      <c r="O193" s="20" t="str">
        <f>'1. Information samples'!O102</f>
        <v>OT-031</v>
      </c>
      <c r="P193" s="18">
        <v>90.284857571214374</v>
      </c>
      <c r="Q193" s="341">
        <f t="shared" si="894"/>
        <v>90.342908737611964</v>
      </c>
      <c r="R193" s="66">
        <v>17.745702714264517</v>
      </c>
      <c r="S193" s="341">
        <f t="shared" si="895"/>
        <v>18.092354248590603</v>
      </c>
      <c r="T193" s="66">
        <v>82.254297285735475</v>
      </c>
      <c r="U193" s="341">
        <f t="shared" si="881"/>
        <v>81.90764575140939</v>
      </c>
      <c r="V193" s="65"/>
    </row>
    <row r="194" spans="2:22" x14ac:dyDescent="0.35">
      <c r="B194" s="19">
        <f t="shared" si="944"/>
        <v>184</v>
      </c>
      <c r="C194" s="7">
        <f>C193</f>
        <v>46048</v>
      </c>
      <c r="D194" s="7" t="str">
        <f t="shared" ref="D194" si="1257">D193</f>
        <v>Genbank</v>
      </c>
      <c r="E194" s="14">
        <f t="shared" ref="E194" si="1258">E193</f>
        <v>28</v>
      </c>
      <c r="F194" s="7" t="str">
        <f t="shared" ref="F194" si="1259">F193</f>
        <v>F252603</v>
      </c>
      <c r="G194" s="7" t="str">
        <f t="shared" ref="G194" si="1260">G193</f>
        <v>CIAT18952</v>
      </c>
      <c r="H194" s="7" t="str">
        <f t="shared" ref="H194" si="1261">H193</f>
        <v>Indigofera</v>
      </c>
      <c r="I194" s="7" t="str">
        <f t="shared" ref="I194" si="1262">I193</f>
        <v>atriceps</v>
      </c>
      <c r="J194" s="7" t="str">
        <f t="shared" ref="J194" si="1263">J193</f>
        <v>Indigofera atriceps</v>
      </c>
      <c r="K194" s="7" t="str">
        <f t="shared" ref="K194" si="1264">K193</f>
        <v>Fabaceae</v>
      </c>
      <c r="L194" s="7" t="str">
        <f t="shared" ref="L194" si="1265">L193</f>
        <v>Fabales</v>
      </c>
      <c r="M194" s="7" t="str">
        <f t="shared" ref="M194" si="1266">M193</f>
        <v>Herbaceous</v>
      </c>
      <c r="N194" s="7" t="str">
        <f t="shared" ref="N194" si="1267">N193</f>
        <v>60,61, 62</v>
      </c>
      <c r="O194" s="30" t="str">
        <f t="shared" ref="O194" si="1268">O193</f>
        <v>OT-031</v>
      </c>
      <c r="P194" s="18">
        <v>90.400959904009568</v>
      </c>
      <c r="Q194" s="341"/>
      <c r="R194" s="66">
        <v>18.439005782916688</v>
      </c>
      <c r="S194" s="341"/>
      <c r="T194" s="66">
        <v>81.560994217083305</v>
      </c>
      <c r="U194" s="341"/>
      <c r="V194" s="65"/>
    </row>
    <row r="195" spans="2:22" x14ac:dyDescent="0.35">
      <c r="B195" s="19">
        <f t="shared" si="944"/>
        <v>185</v>
      </c>
      <c r="C195" s="42">
        <f>'1. Information samples'!C103</f>
        <v>46048</v>
      </c>
      <c r="D195" s="42" t="str">
        <f>'1. Information samples'!D103</f>
        <v>Jacobo Arango/ Alejandro Montoya</v>
      </c>
      <c r="E195" s="59">
        <f>'1. Information samples'!E103</f>
        <v>28</v>
      </c>
      <c r="F195" s="42" t="str">
        <f>'1. Information samples'!F103</f>
        <v>F250008</v>
      </c>
      <c r="G195" s="42" t="str">
        <f>'1. Information samples'!G103</f>
        <v>Sample 8</v>
      </c>
      <c r="H195" s="42" t="str">
        <f>'1. Information samples'!H103</f>
        <v>Cynodon</v>
      </c>
      <c r="I195" s="42" t="str">
        <f>'1. Information samples'!I103</f>
        <v xml:space="preserve"> nlemfuensis </v>
      </c>
      <c r="J195" s="42" t="str">
        <f>'1. Information samples'!J103</f>
        <v xml:space="preserve">Cynodon nlemfuensis </v>
      </c>
      <c r="K195" s="42" t="str">
        <f>'1. Information samples'!K103</f>
        <v>Poaceae</v>
      </c>
      <c r="L195" s="42" t="str">
        <f>'1. Information samples'!L103</f>
        <v>Poales</v>
      </c>
      <c r="M195" s="42" t="str">
        <f>'1. Information samples'!M103</f>
        <v>grasses</v>
      </c>
      <c r="N195" s="42" t="str">
        <f>'1. Information samples'!N103</f>
        <v>60,61, 62</v>
      </c>
      <c r="O195" s="20" t="str">
        <f>'1. Information samples'!O103</f>
        <v>OT-002</v>
      </c>
      <c r="P195" s="74">
        <v>93.3</v>
      </c>
      <c r="Q195" s="342">
        <f>AVERAGE(P195:P196)</f>
        <v>93.55</v>
      </c>
      <c r="R195" s="229">
        <v>11.3</v>
      </c>
      <c r="S195" s="342">
        <f>AVERAGE(R195:R196)</f>
        <v>11.4</v>
      </c>
      <c r="T195" s="229">
        <v>88.7</v>
      </c>
      <c r="U195" s="342">
        <f>AVERAGE(T195:T196)</f>
        <v>88.6</v>
      </c>
      <c r="V195" s="65"/>
    </row>
    <row r="196" spans="2:22" x14ac:dyDescent="0.35">
      <c r="B196" s="19">
        <f t="shared" si="944"/>
        <v>186</v>
      </c>
      <c r="C196" s="7">
        <f>C195</f>
        <v>46048</v>
      </c>
      <c r="D196" s="7" t="str">
        <f t="shared" ref="D196:O196" si="1269">D195</f>
        <v>Jacobo Arango/ Alejandro Montoya</v>
      </c>
      <c r="E196" s="14">
        <f t="shared" si="1269"/>
        <v>28</v>
      </c>
      <c r="F196" s="7" t="str">
        <f t="shared" si="1269"/>
        <v>F250008</v>
      </c>
      <c r="G196" s="7" t="str">
        <f t="shared" si="1269"/>
        <v>Sample 8</v>
      </c>
      <c r="H196" s="7" t="str">
        <f t="shared" si="1269"/>
        <v>Cynodon</v>
      </c>
      <c r="I196" s="7" t="str">
        <f t="shared" si="1269"/>
        <v xml:space="preserve"> nlemfuensis </v>
      </c>
      <c r="J196" s="7" t="str">
        <f t="shared" si="1269"/>
        <v xml:space="preserve">Cynodon nlemfuensis </v>
      </c>
      <c r="K196" s="7" t="str">
        <f t="shared" si="1269"/>
        <v>Poaceae</v>
      </c>
      <c r="L196" s="7" t="str">
        <f t="shared" si="1269"/>
        <v>Poales</v>
      </c>
      <c r="M196" s="7" t="str">
        <f t="shared" si="1269"/>
        <v>grasses</v>
      </c>
      <c r="N196" s="7" t="str">
        <f t="shared" si="1269"/>
        <v>60,61, 62</v>
      </c>
      <c r="O196" s="30" t="str">
        <f t="shared" si="1269"/>
        <v>OT-002</v>
      </c>
      <c r="P196" s="74">
        <v>93.8</v>
      </c>
      <c r="Q196" s="343"/>
      <c r="R196" s="229">
        <v>11.5</v>
      </c>
      <c r="S196" s="343"/>
      <c r="T196" s="229">
        <v>88.5</v>
      </c>
      <c r="U196" s="343"/>
      <c r="V196" s="65"/>
    </row>
    <row r="197" spans="2:22" x14ac:dyDescent="0.35">
      <c r="B197" s="19">
        <f t="shared" si="944"/>
        <v>187</v>
      </c>
      <c r="C197" s="42">
        <f>'1. Information samples'!C104</f>
        <v>46055</v>
      </c>
      <c r="D197" s="42" t="str">
        <f>'1. Information samples'!D104</f>
        <v>Genbank</v>
      </c>
      <c r="E197" s="59">
        <f>'1. Information samples'!E104</f>
        <v>29</v>
      </c>
      <c r="F197" s="42" t="str">
        <f>'1. Information samples'!F104</f>
        <v>F252604</v>
      </c>
      <c r="G197" s="42" t="str">
        <f>'1. Information samples'!G104</f>
        <v>CIAT18953</v>
      </c>
      <c r="H197" s="42" t="str">
        <f>'1. Information samples'!H104</f>
        <v>Indigofera</v>
      </c>
      <c r="I197" s="42" t="str">
        <f>'1. Information samples'!I104</f>
        <v>atriceps</v>
      </c>
      <c r="J197" s="42" t="str">
        <f>'1. Information samples'!J104</f>
        <v>Indigofera atriceps</v>
      </c>
      <c r="K197" s="42" t="str">
        <f>'1. Information samples'!K104</f>
        <v>Fabaceae</v>
      </c>
      <c r="L197" s="42" t="str">
        <f>'1. Information samples'!L104</f>
        <v>Fabales</v>
      </c>
      <c r="M197" s="42" t="str">
        <f>'1. Information samples'!M104</f>
        <v>Herbaceous</v>
      </c>
      <c r="N197" s="42" t="str">
        <f>'1. Information samples'!N104</f>
        <v>62,63,70</v>
      </c>
      <c r="O197" s="20" t="str">
        <f>'1. Information samples'!O104</f>
        <v>OT-031 (2025)</v>
      </c>
      <c r="P197" s="18">
        <v>89.519999999999911</v>
      </c>
      <c r="Q197" s="341">
        <f t="shared" ref="Q197:Q235" si="1270">AVERAGE(P197:P198)</f>
        <v>89.536567029890961</v>
      </c>
      <c r="R197" s="66">
        <v>13.614549233198201</v>
      </c>
      <c r="S197" s="341">
        <f t="shared" ref="S197:S235" si="1271">AVERAGE(R197:R198)</f>
        <v>11.971212736520121</v>
      </c>
      <c r="T197" s="66">
        <v>86.385450766801796</v>
      </c>
      <c r="U197" s="341">
        <f t="shared" ref="U197:U235" si="1272">AVERAGE(T197:T198)</f>
        <v>88.02878726347987</v>
      </c>
      <c r="V197" s="65"/>
    </row>
    <row r="198" spans="2:22" x14ac:dyDescent="0.35">
      <c r="B198" s="19">
        <f t="shared" si="944"/>
        <v>188</v>
      </c>
      <c r="C198" s="7">
        <f>C197</f>
        <v>46055</v>
      </c>
      <c r="D198" s="7" t="str">
        <f t="shared" ref="D198" si="1273">D197</f>
        <v>Genbank</v>
      </c>
      <c r="E198" s="14">
        <f t="shared" ref="E198" si="1274">E197</f>
        <v>29</v>
      </c>
      <c r="F198" s="7" t="str">
        <f t="shared" ref="F198" si="1275">F197</f>
        <v>F252604</v>
      </c>
      <c r="G198" s="7" t="str">
        <f t="shared" ref="G198" si="1276">G197</f>
        <v>CIAT18953</v>
      </c>
      <c r="H198" s="7" t="str">
        <f t="shared" ref="H198" si="1277">H197</f>
        <v>Indigofera</v>
      </c>
      <c r="I198" s="7" t="str">
        <f t="shared" ref="I198" si="1278">I197</f>
        <v>atriceps</v>
      </c>
      <c r="J198" s="7" t="str">
        <f t="shared" ref="J198" si="1279">J197</f>
        <v>Indigofera atriceps</v>
      </c>
      <c r="K198" s="7" t="str">
        <f t="shared" ref="K198" si="1280">K197</f>
        <v>Fabaceae</v>
      </c>
      <c r="L198" s="7" t="str">
        <f t="shared" ref="L198" si="1281">L197</f>
        <v>Fabales</v>
      </c>
      <c r="M198" s="7" t="str">
        <f t="shared" ref="M198" si="1282">M197</f>
        <v>Herbaceous</v>
      </c>
      <c r="N198" s="7" t="str">
        <f t="shared" ref="N198" si="1283">N197</f>
        <v>62,63,70</v>
      </c>
      <c r="O198" s="30" t="str">
        <f t="shared" ref="O198" si="1284">O197</f>
        <v>OT-031 (2025)</v>
      </c>
      <c r="P198" s="18">
        <v>89.55313405978201</v>
      </c>
      <c r="Q198" s="341"/>
      <c r="R198" s="66">
        <v>10.327876239842041</v>
      </c>
      <c r="S198" s="341"/>
      <c r="T198" s="66">
        <v>89.672123760157959</v>
      </c>
      <c r="U198" s="341"/>
      <c r="V198" s="65"/>
    </row>
    <row r="199" spans="2:22" x14ac:dyDescent="0.35">
      <c r="B199" s="19">
        <f t="shared" si="944"/>
        <v>189</v>
      </c>
      <c r="C199" s="42">
        <f>'1. Information samples'!C105</f>
        <v>46055</v>
      </c>
      <c r="D199" s="42" t="str">
        <f>'1. Information samples'!D105</f>
        <v>Genbank</v>
      </c>
      <c r="E199" s="59">
        <f>'1. Information samples'!E105</f>
        <v>29</v>
      </c>
      <c r="F199" s="42" t="str">
        <f>'1. Information samples'!F105</f>
        <v>F252605</v>
      </c>
      <c r="G199" s="42" t="str">
        <f>'1. Information samples'!G105</f>
        <v>CIAT18954</v>
      </c>
      <c r="H199" s="42" t="str">
        <f>'1. Information samples'!H105</f>
        <v>Indigofera</v>
      </c>
      <c r="I199" s="42" t="str">
        <f>'1. Information samples'!I105</f>
        <v>atriceps</v>
      </c>
      <c r="J199" s="42" t="str">
        <f>'1. Information samples'!J105</f>
        <v>Indigofera atriceps</v>
      </c>
      <c r="K199" s="42" t="str">
        <f>'1. Information samples'!K105</f>
        <v>Fabaceae</v>
      </c>
      <c r="L199" s="42" t="str">
        <f>'1. Information samples'!L105</f>
        <v>Fabales</v>
      </c>
      <c r="M199" s="42" t="str">
        <f>'1. Information samples'!M105</f>
        <v>Herbaceous</v>
      </c>
      <c r="N199" s="42" t="str">
        <f>'1. Information samples'!N105</f>
        <v>62,63,70</v>
      </c>
      <c r="O199" s="20" t="str">
        <f>'1. Information samples'!O105</f>
        <v>OT-031 (2025)</v>
      </c>
      <c r="P199" s="18">
        <v>92.921415716856558</v>
      </c>
      <c r="Q199" s="341">
        <f t="shared" si="1270"/>
        <v>92.941059823231768</v>
      </c>
      <c r="R199" s="66">
        <v>18.889916615595787</v>
      </c>
      <c r="S199" s="341">
        <f t="shared" si="1271"/>
        <v>20.284077874435134</v>
      </c>
      <c r="T199" s="66">
        <v>81.11008338440422</v>
      </c>
      <c r="U199" s="341">
        <f t="shared" si="1272"/>
        <v>79.715922125564873</v>
      </c>
      <c r="V199" s="65"/>
    </row>
    <row r="200" spans="2:22" x14ac:dyDescent="0.35">
      <c r="B200" s="19">
        <f t="shared" si="944"/>
        <v>190</v>
      </c>
      <c r="C200" s="7">
        <f>C199</f>
        <v>46055</v>
      </c>
      <c r="D200" s="7" t="str">
        <f t="shared" ref="D200" si="1285">D199</f>
        <v>Genbank</v>
      </c>
      <c r="E200" s="14">
        <f t="shared" ref="E200" si="1286">E199</f>
        <v>29</v>
      </c>
      <c r="F200" s="7" t="str">
        <f t="shared" ref="F200" si="1287">F199</f>
        <v>F252605</v>
      </c>
      <c r="G200" s="7" t="str">
        <f t="shared" ref="G200" si="1288">G199</f>
        <v>CIAT18954</v>
      </c>
      <c r="H200" s="7" t="str">
        <f t="shared" ref="H200" si="1289">H199</f>
        <v>Indigofera</v>
      </c>
      <c r="I200" s="7" t="str">
        <f t="shared" ref="I200" si="1290">I199</f>
        <v>atriceps</v>
      </c>
      <c r="J200" s="7" t="str">
        <f t="shared" ref="J200" si="1291">J199</f>
        <v>Indigofera atriceps</v>
      </c>
      <c r="K200" s="7" t="str">
        <f t="shared" ref="K200" si="1292">K199</f>
        <v>Fabaceae</v>
      </c>
      <c r="L200" s="7" t="str">
        <f t="shared" ref="L200" si="1293">L199</f>
        <v>Fabales</v>
      </c>
      <c r="M200" s="7" t="str">
        <f t="shared" ref="M200" si="1294">M199</f>
        <v>Herbaceous</v>
      </c>
      <c r="N200" s="7" t="str">
        <f t="shared" ref="N200" si="1295">N199</f>
        <v>62,63,70</v>
      </c>
      <c r="O200" s="30" t="str">
        <f t="shared" ref="O200" si="1296">O199</f>
        <v>OT-031 (2025)</v>
      </c>
      <c r="P200" s="18">
        <v>92.960703929606993</v>
      </c>
      <c r="Q200" s="341"/>
      <c r="R200" s="66">
        <v>21.678239133274481</v>
      </c>
      <c r="S200" s="341"/>
      <c r="T200" s="66">
        <v>78.321760866725526</v>
      </c>
      <c r="U200" s="341"/>
      <c r="V200" s="65"/>
    </row>
    <row r="201" spans="2:22" x14ac:dyDescent="0.35">
      <c r="B201" s="19">
        <f t="shared" si="944"/>
        <v>191</v>
      </c>
      <c r="C201" s="42">
        <f>'1. Information samples'!C106</f>
        <v>46055</v>
      </c>
      <c r="D201" s="42" t="str">
        <f>'1. Information samples'!D106</f>
        <v>Genbank</v>
      </c>
      <c r="E201" s="59">
        <f>'1. Information samples'!E106</f>
        <v>29</v>
      </c>
      <c r="F201" s="42" t="str">
        <f>'1. Information samples'!F106</f>
        <v>F252606</v>
      </c>
      <c r="G201" s="42" t="str">
        <f>'1. Information samples'!G106</f>
        <v>CIAT19198</v>
      </c>
      <c r="H201" s="42" t="str">
        <f>'1. Information samples'!H106</f>
        <v>Tephrosia</v>
      </c>
      <c r="I201" s="42" t="str">
        <f>'1. Information samples'!I106</f>
        <v>villosa</v>
      </c>
      <c r="J201" s="42" t="str">
        <f>'1. Information samples'!J106</f>
        <v>Tephrosia villosa</v>
      </c>
      <c r="K201" s="42" t="str">
        <f>'1. Information samples'!K106</f>
        <v>Fabaceae</v>
      </c>
      <c r="L201" s="42" t="str">
        <f>'1. Information samples'!L106</f>
        <v>Fabales</v>
      </c>
      <c r="M201" s="42" t="str">
        <f>'1. Information samples'!M106</f>
        <v>Herbaceous</v>
      </c>
      <c r="N201" s="42" t="str">
        <f>'1. Information samples'!N106</f>
        <v>62,63,70</v>
      </c>
      <c r="O201" s="20" t="str">
        <f>'1. Information samples'!O106</f>
        <v>OT-031 (2025)</v>
      </c>
      <c r="P201" s="18">
        <v>90.544727636182003</v>
      </c>
      <c r="Q201" s="341">
        <f t="shared" si="1270"/>
        <v>90.542836770795731</v>
      </c>
      <c r="R201" s="66">
        <v>12.198069063241238</v>
      </c>
      <c r="S201" s="341">
        <f t="shared" si="1271"/>
        <v>11.322558794802035</v>
      </c>
      <c r="T201" s="66">
        <v>87.801930936758765</v>
      </c>
      <c r="U201" s="341">
        <f t="shared" si="1272"/>
        <v>88.677441205197965</v>
      </c>
      <c r="V201" s="65"/>
    </row>
    <row r="202" spans="2:22" x14ac:dyDescent="0.35">
      <c r="B202" s="19">
        <f t="shared" si="944"/>
        <v>192</v>
      </c>
      <c r="C202" s="7">
        <f>C201</f>
        <v>46055</v>
      </c>
      <c r="D202" s="7" t="str">
        <f t="shared" ref="D202" si="1297">D201</f>
        <v>Genbank</v>
      </c>
      <c r="E202" s="14">
        <f t="shared" ref="E202" si="1298">E201</f>
        <v>29</v>
      </c>
      <c r="F202" s="7" t="str">
        <f t="shared" ref="F202" si="1299">F201</f>
        <v>F252606</v>
      </c>
      <c r="G202" s="7" t="str">
        <f t="shared" ref="G202" si="1300">G201</f>
        <v>CIAT19198</v>
      </c>
      <c r="H202" s="7" t="str">
        <f t="shared" ref="H202" si="1301">H201</f>
        <v>Tephrosia</v>
      </c>
      <c r="I202" s="7" t="str">
        <f t="shared" ref="I202" si="1302">I201</f>
        <v>villosa</v>
      </c>
      <c r="J202" s="7" t="str">
        <f t="shared" ref="J202" si="1303">J201</f>
        <v>Tephrosia villosa</v>
      </c>
      <c r="K202" s="7" t="str">
        <f t="shared" ref="K202" si="1304">K201</f>
        <v>Fabaceae</v>
      </c>
      <c r="L202" s="7" t="str">
        <f t="shared" ref="L202" si="1305">L201</f>
        <v>Fabales</v>
      </c>
      <c r="M202" s="7" t="str">
        <f t="shared" ref="M202" si="1306">M201</f>
        <v>Herbaceous</v>
      </c>
      <c r="N202" s="7" t="str">
        <f t="shared" ref="N202" si="1307">N201</f>
        <v>62,63,70</v>
      </c>
      <c r="O202" s="30" t="str">
        <f t="shared" ref="O202" si="1308">O201</f>
        <v>OT-031 (2025)</v>
      </c>
      <c r="P202" s="18">
        <v>90.540945905409458</v>
      </c>
      <c r="Q202" s="341"/>
      <c r="R202" s="66">
        <v>10.447048526362833</v>
      </c>
      <c r="S202" s="341"/>
      <c r="T202" s="66">
        <v>89.552951473637165</v>
      </c>
      <c r="U202" s="341"/>
      <c r="V202" s="65"/>
    </row>
    <row r="203" spans="2:22" x14ac:dyDescent="0.35">
      <c r="B203" s="19">
        <f t="shared" si="944"/>
        <v>193</v>
      </c>
      <c r="C203" s="42">
        <f>'1. Information samples'!C107</f>
        <v>46055</v>
      </c>
      <c r="D203" s="42" t="str">
        <f>'1. Information samples'!D107</f>
        <v>Genbank</v>
      </c>
      <c r="E203" s="59">
        <f>'1. Information samples'!E107</f>
        <v>29</v>
      </c>
      <c r="F203" s="42" t="str">
        <f>'1. Information samples'!F107</f>
        <v>F252607</v>
      </c>
      <c r="G203" s="42" t="str">
        <f>'1. Information samples'!G107</f>
        <v>CIAT19460</v>
      </c>
      <c r="H203" s="42" t="str">
        <f>'1. Information samples'!H107</f>
        <v>Sesbania</v>
      </c>
      <c r="I203" s="42" t="str">
        <f>'1. Information samples'!I107</f>
        <v>cannabina</v>
      </c>
      <c r="J203" s="42" t="str">
        <f>'1. Information samples'!J107</f>
        <v>Sesbania cannabina</v>
      </c>
      <c r="K203" s="42" t="str">
        <f>'1. Information samples'!K107</f>
        <v>Fabaceae</v>
      </c>
      <c r="L203" s="42" t="str">
        <f>'1. Information samples'!L107</f>
        <v>Fabales</v>
      </c>
      <c r="M203" s="42" t="str">
        <f>'1. Information samples'!M107</f>
        <v>Shurb_Tree</v>
      </c>
      <c r="N203" s="42" t="str">
        <f>'1. Information samples'!N107</f>
        <v>62,63,70</v>
      </c>
      <c r="O203" s="20" t="str">
        <f>'1. Information samples'!O107</f>
        <v>OT-031 (2025)</v>
      </c>
      <c r="P203" s="18">
        <v>91.014492753623244</v>
      </c>
      <c r="Q203" s="341">
        <f t="shared" si="1270"/>
        <v>91.03358847418238</v>
      </c>
      <c r="R203" s="66">
        <v>8.0040311974032736</v>
      </c>
      <c r="S203" s="341">
        <f t="shared" si="1271"/>
        <v>10.426287808953671</v>
      </c>
      <c r="T203" s="66">
        <v>91.995968802596721</v>
      </c>
      <c r="U203" s="341">
        <f t="shared" si="1272"/>
        <v>89.573712191046326</v>
      </c>
      <c r="V203" s="65"/>
    </row>
    <row r="204" spans="2:22" x14ac:dyDescent="0.35">
      <c r="B204" s="19">
        <f t="shared" si="944"/>
        <v>194</v>
      </c>
      <c r="C204" s="7">
        <f>C203</f>
        <v>46055</v>
      </c>
      <c r="D204" s="7" t="str">
        <f t="shared" ref="D204" si="1309">D203</f>
        <v>Genbank</v>
      </c>
      <c r="E204" s="14">
        <f t="shared" ref="E204" si="1310">E203</f>
        <v>29</v>
      </c>
      <c r="F204" s="7" t="str">
        <f t="shared" ref="F204" si="1311">F203</f>
        <v>F252607</v>
      </c>
      <c r="G204" s="7" t="str">
        <f t="shared" ref="G204" si="1312">G203</f>
        <v>CIAT19460</v>
      </c>
      <c r="H204" s="7" t="str">
        <f t="shared" ref="H204" si="1313">H203</f>
        <v>Sesbania</v>
      </c>
      <c r="I204" s="7" t="str">
        <f t="shared" ref="I204" si="1314">I203</f>
        <v>cannabina</v>
      </c>
      <c r="J204" s="7" t="str">
        <f t="shared" ref="J204" si="1315">J203</f>
        <v>Sesbania cannabina</v>
      </c>
      <c r="K204" s="7" t="str">
        <f t="shared" ref="K204" si="1316">K203</f>
        <v>Fabaceae</v>
      </c>
      <c r="L204" s="7" t="str">
        <f t="shared" ref="L204" si="1317">L203</f>
        <v>Fabales</v>
      </c>
      <c r="M204" s="7" t="str">
        <f t="shared" ref="M204" si="1318">M203</f>
        <v>Shurb_Tree</v>
      </c>
      <c r="N204" s="7" t="str">
        <f t="shared" ref="N204" si="1319">N203</f>
        <v>62,63,70</v>
      </c>
      <c r="O204" s="30" t="str">
        <f t="shared" ref="O204" si="1320">O203</f>
        <v>OT-031 (2025)</v>
      </c>
      <c r="P204" s="18">
        <v>91.052684194741502</v>
      </c>
      <c r="Q204" s="341"/>
      <c r="R204" s="66">
        <v>12.848544420504068</v>
      </c>
      <c r="S204" s="341"/>
      <c r="T204" s="66">
        <v>87.151455579495931</v>
      </c>
      <c r="U204" s="341"/>
      <c r="V204" s="65"/>
    </row>
    <row r="205" spans="2:22" x14ac:dyDescent="0.35">
      <c r="B205" s="19">
        <f t="shared" ref="B205:B268" si="1321">B204+1</f>
        <v>195</v>
      </c>
      <c r="C205" s="42">
        <f>'1. Information samples'!C108</f>
        <v>46055</v>
      </c>
      <c r="D205" s="42" t="str">
        <f>'1. Information samples'!D108</f>
        <v>Genbank</v>
      </c>
      <c r="E205" s="59">
        <f>'1. Information samples'!E108</f>
        <v>29</v>
      </c>
      <c r="F205" s="42" t="str">
        <f>'1. Information samples'!F108</f>
        <v>F252608</v>
      </c>
      <c r="G205" s="42" t="str">
        <f>'1. Information samples'!G108</f>
        <v>CIAT20044</v>
      </c>
      <c r="H205" s="42" t="str">
        <f>'1. Information samples'!H108</f>
        <v>Tephrosia</v>
      </c>
      <c r="I205" s="42" t="str">
        <f>'1. Information samples'!I108</f>
        <v>purpurea</v>
      </c>
      <c r="J205" s="42" t="str">
        <f>'1. Information samples'!J108</f>
        <v>Tephrosia purpurea</v>
      </c>
      <c r="K205" s="42" t="str">
        <f>'1. Information samples'!K108</f>
        <v>Fabaceae</v>
      </c>
      <c r="L205" s="42" t="str">
        <f>'1. Information samples'!L108</f>
        <v>Fabales</v>
      </c>
      <c r="M205" s="42" t="str">
        <f>'1. Information samples'!M108</f>
        <v>Herbaceous</v>
      </c>
      <c r="N205" s="42" t="str">
        <f>'1. Information samples'!N108</f>
        <v>62,63,70</v>
      </c>
      <c r="O205" s="20" t="str">
        <f>'1. Information samples'!O108</f>
        <v>OT-031 (2025)</v>
      </c>
      <c r="P205" s="18">
        <v>92.12157568486306</v>
      </c>
      <c r="Q205" s="341">
        <f t="shared" si="1270"/>
        <v>92.176176303585407</v>
      </c>
      <c r="R205" s="66">
        <v>11.942129606306716</v>
      </c>
      <c r="S205" s="341">
        <f t="shared" si="1271"/>
        <v>11.530513846002735</v>
      </c>
      <c r="T205" s="66">
        <v>88.057870393693278</v>
      </c>
      <c r="U205" s="341">
        <f t="shared" si="1272"/>
        <v>88.469486153997252</v>
      </c>
      <c r="V205" s="65"/>
    </row>
    <row r="206" spans="2:22" x14ac:dyDescent="0.35">
      <c r="B206" s="19">
        <f t="shared" si="1321"/>
        <v>196</v>
      </c>
      <c r="C206" s="7">
        <f>C205</f>
        <v>46055</v>
      </c>
      <c r="D206" s="7" t="str">
        <f t="shared" ref="D206" si="1322">D205</f>
        <v>Genbank</v>
      </c>
      <c r="E206" s="14">
        <f t="shared" ref="E206" si="1323">E205</f>
        <v>29</v>
      </c>
      <c r="F206" s="7" t="str">
        <f t="shared" ref="F206" si="1324">F205</f>
        <v>F252608</v>
      </c>
      <c r="G206" s="7" t="str">
        <f t="shared" ref="G206" si="1325">G205</f>
        <v>CIAT20044</v>
      </c>
      <c r="H206" s="7" t="str">
        <f t="shared" ref="H206" si="1326">H205</f>
        <v>Tephrosia</v>
      </c>
      <c r="I206" s="7" t="str">
        <f t="shared" ref="I206" si="1327">I205</f>
        <v>purpurea</v>
      </c>
      <c r="J206" s="7" t="str">
        <f t="shared" ref="J206" si="1328">J205</f>
        <v>Tephrosia purpurea</v>
      </c>
      <c r="K206" s="7" t="str">
        <f t="shared" ref="K206" si="1329">K205</f>
        <v>Fabaceae</v>
      </c>
      <c r="L206" s="7" t="str">
        <f t="shared" ref="L206" si="1330">L205</f>
        <v>Fabales</v>
      </c>
      <c r="M206" s="7" t="str">
        <f t="shared" ref="M206" si="1331">M205</f>
        <v>Herbaceous</v>
      </c>
      <c r="N206" s="7" t="str">
        <f t="shared" ref="N206" si="1332">N205</f>
        <v>62,63,70</v>
      </c>
      <c r="O206" s="30" t="str">
        <f t="shared" ref="O206" si="1333">O205</f>
        <v>OT-031 (2025)</v>
      </c>
      <c r="P206" s="18">
        <v>92.23077692230774</v>
      </c>
      <c r="Q206" s="341"/>
      <c r="R206" s="66">
        <v>11.118898085698754</v>
      </c>
      <c r="S206" s="341"/>
      <c r="T206" s="66">
        <v>88.88110191430124</v>
      </c>
      <c r="U206" s="341"/>
      <c r="V206" s="65"/>
    </row>
    <row r="207" spans="2:22" x14ac:dyDescent="0.35">
      <c r="B207" s="19">
        <f t="shared" si="1321"/>
        <v>197</v>
      </c>
      <c r="C207" s="42">
        <f>'1. Information samples'!C109</f>
        <v>46055</v>
      </c>
      <c r="D207" s="42" t="str">
        <f>'1. Information samples'!D109</f>
        <v>Genbank</v>
      </c>
      <c r="E207" s="59">
        <f>'1. Information samples'!E109</f>
        <v>29</v>
      </c>
      <c r="F207" s="42" t="str">
        <f>'1. Information samples'!F109</f>
        <v>F252609</v>
      </c>
      <c r="G207" s="42" t="str">
        <f>'1. Information samples'!G109</f>
        <v>CIAT22423</v>
      </c>
      <c r="H207" s="42" t="str">
        <f>'1. Information samples'!H109</f>
        <v>Vigna</v>
      </c>
      <c r="I207" s="42" t="str">
        <f>'1. Information samples'!I109</f>
        <v>unguiculata</v>
      </c>
      <c r="J207" s="42" t="str">
        <f>'1. Information samples'!J109</f>
        <v>Vigna unguiculata</v>
      </c>
      <c r="K207" s="42" t="str">
        <f>'1. Information samples'!K109</f>
        <v>Fabaceae</v>
      </c>
      <c r="L207" s="42" t="str">
        <f>'1. Information samples'!L109</f>
        <v>Fabales</v>
      </c>
      <c r="M207" s="42" t="str">
        <f>'1. Information samples'!M109</f>
        <v>Herbaceous</v>
      </c>
      <c r="N207" s="42" t="str">
        <f>'1. Information samples'!N109</f>
        <v>62,63,70</v>
      </c>
      <c r="O207" s="20" t="str">
        <f>'1. Information samples'!O109</f>
        <v>OT-031 (2025)</v>
      </c>
      <c r="P207" s="18">
        <v>90.499999999999943</v>
      </c>
      <c r="Q207" s="341">
        <f t="shared" si="1270"/>
        <v>90.605928814237089</v>
      </c>
      <c r="R207" s="66">
        <v>11.401019927932941</v>
      </c>
      <c r="S207" s="341">
        <f t="shared" si="1271"/>
        <v>12.050921361382503</v>
      </c>
      <c r="T207" s="66">
        <v>88.598980072067064</v>
      </c>
      <c r="U207" s="341">
        <f t="shared" si="1272"/>
        <v>87.949078638617493</v>
      </c>
      <c r="V207" s="65"/>
    </row>
    <row r="208" spans="2:22" x14ac:dyDescent="0.35">
      <c r="B208" s="19">
        <f t="shared" si="1321"/>
        <v>198</v>
      </c>
      <c r="C208" s="7">
        <f>C207</f>
        <v>46055</v>
      </c>
      <c r="D208" s="7" t="str">
        <f t="shared" ref="D208" si="1334">D207</f>
        <v>Genbank</v>
      </c>
      <c r="E208" s="14">
        <f t="shared" ref="E208" si="1335">E207</f>
        <v>29</v>
      </c>
      <c r="F208" s="7" t="str">
        <f t="shared" ref="F208" si="1336">F207</f>
        <v>F252609</v>
      </c>
      <c r="G208" s="7" t="str">
        <f t="shared" ref="G208" si="1337">G207</f>
        <v>CIAT22423</v>
      </c>
      <c r="H208" s="7" t="str">
        <f t="shared" ref="H208" si="1338">H207</f>
        <v>Vigna</v>
      </c>
      <c r="I208" s="7" t="str">
        <f t="shared" ref="I208" si="1339">I207</f>
        <v>unguiculata</v>
      </c>
      <c r="J208" s="7" t="str">
        <f t="shared" ref="J208" si="1340">J207</f>
        <v>Vigna unguiculata</v>
      </c>
      <c r="K208" s="7" t="str">
        <f t="shared" ref="K208" si="1341">K207</f>
        <v>Fabaceae</v>
      </c>
      <c r="L208" s="7" t="str">
        <f t="shared" ref="L208" si="1342">L207</f>
        <v>Fabales</v>
      </c>
      <c r="M208" s="7" t="str">
        <f t="shared" ref="M208" si="1343">M207</f>
        <v>Herbaceous</v>
      </c>
      <c r="N208" s="7" t="str">
        <f t="shared" ref="N208" si="1344">N207</f>
        <v>62,63,70</v>
      </c>
      <c r="O208" s="30" t="str">
        <f t="shared" ref="O208" si="1345">O207</f>
        <v>OT-031 (2025)</v>
      </c>
      <c r="P208" s="18">
        <v>90.711857628474235</v>
      </c>
      <c r="Q208" s="341"/>
      <c r="R208" s="66">
        <v>12.700822794832064</v>
      </c>
      <c r="S208" s="341"/>
      <c r="T208" s="66">
        <v>87.299177205167936</v>
      </c>
      <c r="U208" s="341"/>
      <c r="V208" s="65"/>
    </row>
    <row r="209" spans="2:22" x14ac:dyDescent="0.35">
      <c r="B209" s="19">
        <f t="shared" si="1321"/>
        <v>199</v>
      </c>
      <c r="C209" s="42">
        <f>'1. Information samples'!C110</f>
        <v>46055</v>
      </c>
      <c r="D209" s="42" t="str">
        <f>'1. Information samples'!D110</f>
        <v>Genbank</v>
      </c>
      <c r="E209" s="59">
        <f>'1. Information samples'!E110</f>
        <v>29</v>
      </c>
      <c r="F209" s="42" t="str">
        <f>'1. Information samples'!F110</f>
        <v>F252610</v>
      </c>
      <c r="G209" s="42" t="str">
        <f>'1. Information samples'!G110</f>
        <v>CIAT22480</v>
      </c>
      <c r="H209" s="42" t="str">
        <f>'1. Information samples'!H110</f>
        <v>Sesbania</v>
      </c>
      <c r="I209" s="42" t="str">
        <f>'1. Information samples'!I110</f>
        <v>cannabina</v>
      </c>
      <c r="J209" s="42" t="str">
        <f>'1. Information samples'!J110</f>
        <v>Sesbania cannabina</v>
      </c>
      <c r="K209" s="42" t="str">
        <f>'1. Information samples'!K110</f>
        <v>Fabaceae</v>
      </c>
      <c r="L209" s="42" t="str">
        <f>'1. Information samples'!L110</f>
        <v>Fabales</v>
      </c>
      <c r="M209" s="42" t="str">
        <f>'1. Information samples'!M110</f>
        <v>Shurb_Tree</v>
      </c>
      <c r="N209" s="42" t="str">
        <f>'1. Information samples'!N110</f>
        <v>62,63,70</v>
      </c>
      <c r="O209" s="20" t="str">
        <f>'1. Information samples'!O110</f>
        <v>OT-031 (2025)</v>
      </c>
      <c r="P209" s="18">
        <v>92.554467319608236</v>
      </c>
      <c r="Q209" s="341">
        <f t="shared" si="1270"/>
        <v>92.479132710278932</v>
      </c>
      <c r="R209" s="66">
        <v>15.388834979573776</v>
      </c>
      <c r="S209" s="341">
        <f t="shared" si="1271"/>
        <v>11.677108841714169</v>
      </c>
      <c r="T209" s="66">
        <v>84.611165020426228</v>
      </c>
      <c r="U209" s="341">
        <f t="shared" si="1272"/>
        <v>88.322891158285842</v>
      </c>
      <c r="V209" s="65"/>
    </row>
    <row r="210" spans="2:22" x14ac:dyDescent="0.35">
      <c r="B210" s="19">
        <f t="shared" si="1321"/>
        <v>200</v>
      </c>
      <c r="C210" s="7">
        <f>C209</f>
        <v>46055</v>
      </c>
      <c r="D210" s="7" t="str">
        <f t="shared" ref="D210" si="1346">D209</f>
        <v>Genbank</v>
      </c>
      <c r="E210" s="14">
        <f t="shared" ref="E210" si="1347">E209</f>
        <v>29</v>
      </c>
      <c r="F210" s="7" t="str">
        <f t="shared" ref="F210" si="1348">F209</f>
        <v>F252610</v>
      </c>
      <c r="G210" s="7" t="str">
        <f t="shared" ref="G210" si="1349">G209</f>
        <v>CIAT22480</v>
      </c>
      <c r="H210" s="7" t="str">
        <f t="shared" ref="H210" si="1350">H209</f>
        <v>Sesbania</v>
      </c>
      <c r="I210" s="7" t="str">
        <f t="shared" ref="I210" si="1351">I209</f>
        <v>cannabina</v>
      </c>
      <c r="J210" s="7" t="str">
        <f t="shared" ref="J210" si="1352">J209</f>
        <v>Sesbania cannabina</v>
      </c>
      <c r="K210" s="7" t="str">
        <f t="shared" ref="K210" si="1353">K209</f>
        <v>Fabaceae</v>
      </c>
      <c r="L210" s="7" t="str">
        <f t="shared" ref="L210" si="1354">L209</f>
        <v>Fabales</v>
      </c>
      <c r="M210" s="7" t="str">
        <f t="shared" ref="M210" si="1355">M209</f>
        <v>Shurb_Tree</v>
      </c>
      <c r="N210" s="7" t="str">
        <f t="shared" ref="N210" si="1356">N209</f>
        <v>62,63,70</v>
      </c>
      <c r="O210" s="30" t="str">
        <f t="shared" ref="O210" si="1357">O209</f>
        <v>OT-031 (2025)</v>
      </c>
      <c r="P210" s="18">
        <v>92.403798100949629</v>
      </c>
      <c r="Q210" s="341"/>
      <c r="R210" s="66">
        <v>7.9653827038545622</v>
      </c>
      <c r="S210" s="341"/>
      <c r="T210" s="66">
        <v>92.034617296145441</v>
      </c>
      <c r="U210" s="341"/>
      <c r="V210" s="65"/>
    </row>
    <row r="211" spans="2:22" x14ac:dyDescent="0.35">
      <c r="B211" s="19">
        <f t="shared" si="1321"/>
        <v>201</v>
      </c>
      <c r="C211" s="42">
        <f>'1. Information samples'!C111</f>
        <v>46055</v>
      </c>
      <c r="D211" s="42" t="str">
        <f>'1. Information samples'!D111</f>
        <v>Genbank</v>
      </c>
      <c r="E211" s="59">
        <f>'1. Information samples'!E111</f>
        <v>29</v>
      </c>
      <c r="F211" s="42" t="str">
        <f>'1. Information samples'!F111</f>
        <v>F252611</v>
      </c>
      <c r="G211" s="42" t="str">
        <f>'1. Information samples'!G111</f>
        <v>CIAT23116</v>
      </c>
      <c r="H211" s="42" t="str">
        <f>'1. Information samples'!H111</f>
        <v>Desmodium</v>
      </c>
      <c r="I211" s="42" t="str">
        <f>'1. Information samples'!I111</f>
        <v>tortuosum</v>
      </c>
      <c r="J211" s="42" t="str">
        <f>'1. Information samples'!J111</f>
        <v>Desmodium tortuosum</v>
      </c>
      <c r="K211" s="42" t="str">
        <f>'1. Information samples'!K111</f>
        <v>Fabaceae</v>
      </c>
      <c r="L211" s="42" t="str">
        <f>'1. Information samples'!L111</f>
        <v>Fabales</v>
      </c>
      <c r="M211" s="42" t="str">
        <f>'1. Information samples'!M111</f>
        <v>Shurb_Tree</v>
      </c>
      <c r="N211" s="42" t="str">
        <f>'1. Information samples'!N111</f>
        <v>62,63,70</v>
      </c>
      <c r="O211" s="20" t="str">
        <f>'1. Information samples'!O111</f>
        <v>OT-031 (2025)</v>
      </c>
      <c r="P211" s="18">
        <v>92.581483703259366</v>
      </c>
      <c r="Q211" s="341">
        <f t="shared" si="1270"/>
        <v>92.565741851629753</v>
      </c>
      <c r="R211" s="66">
        <v>10.768569666624227</v>
      </c>
      <c r="S211" s="341">
        <f t="shared" si="1271"/>
        <v>10.866874718600904</v>
      </c>
      <c r="T211" s="66">
        <v>89.231430333375769</v>
      </c>
      <c r="U211" s="341">
        <f t="shared" si="1272"/>
        <v>89.133125281399089</v>
      </c>
      <c r="V211" s="65"/>
    </row>
    <row r="212" spans="2:22" x14ac:dyDescent="0.35">
      <c r="B212" s="19">
        <f t="shared" si="1321"/>
        <v>202</v>
      </c>
      <c r="C212" s="7">
        <f>C211</f>
        <v>46055</v>
      </c>
      <c r="D212" s="7" t="str">
        <f t="shared" ref="D212" si="1358">D211</f>
        <v>Genbank</v>
      </c>
      <c r="E212" s="14">
        <f t="shared" ref="E212" si="1359">E211</f>
        <v>29</v>
      </c>
      <c r="F212" s="7" t="str">
        <f t="shared" ref="F212" si="1360">F211</f>
        <v>F252611</v>
      </c>
      <c r="G212" s="7" t="str">
        <f t="shared" ref="G212" si="1361">G211</f>
        <v>CIAT23116</v>
      </c>
      <c r="H212" s="7" t="str">
        <f t="shared" ref="H212" si="1362">H211</f>
        <v>Desmodium</v>
      </c>
      <c r="I212" s="7" t="str">
        <f t="shared" ref="I212" si="1363">I211</f>
        <v>tortuosum</v>
      </c>
      <c r="J212" s="7" t="str">
        <f t="shared" ref="J212" si="1364">J211</f>
        <v>Desmodium tortuosum</v>
      </c>
      <c r="K212" s="7" t="str">
        <f t="shared" ref="K212" si="1365">K211</f>
        <v>Fabaceae</v>
      </c>
      <c r="L212" s="7" t="str">
        <f t="shared" ref="L212" si="1366">L211</f>
        <v>Fabales</v>
      </c>
      <c r="M212" s="7" t="str">
        <f t="shared" ref="M212" si="1367">M211</f>
        <v>Shurb_Tree</v>
      </c>
      <c r="N212" s="7" t="str">
        <f t="shared" ref="N212" si="1368">N211</f>
        <v>62,63,70</v>
      </c>
      <c r="O212" s="30" t="str">
        <f t="shared" ref="O212" si="1369">O211</f>
        <v>OT-031 (2025)</v>
      </c>
      <c r="P212" s="18">
        <v>92.550000000000125</v>
      </c>
      <c r="Q212" s="341"/>
      <c r="R212" s="66">
        <v>10.96517977057758</v>
      </c>
      <c r="S212" s="341"/>
      <c r="T212" s="66">
        <v>89.034820229422422</v>
      </c>
      <c r="U212" s="341"/>
      <c r="V212" s="65"/>
    </row>
    <row r="213" spans="2:22" x14ac:dyDescent="0.35">
      <c r="B213" s="19">
        <f t="shared" si="1321"/>
        <v>203</v>
      </c>
      <c r="C213" s="42">
        <f>'1. Information samples'!C112</f>
        <v>46055</v>
      </c>
      <c r="D213" s="42" t="str">
        <f>'1. Information samples'!D112</f>
        <v>Genbank</v>
      </c>
      <c r="E213" s="59">
        <f>'1. Information samples'!E112</f>
        <v>29</v>
      </c>
      <c r="F213" s="42" t="str">
        <f>'1. Information samples'!F112</f>
        <v>F252612</v>
      </c>
      <c r="G213" s="42" t="str">
        <f>'1. Information samples'!G112</f>
        <v>CIAT23416</v>
      </c>
      <c r="H213" s="42" t="str">
        <f>'1. Information samples'!H112</f>
        <v>Codariocalyx</v>
      </c>
      <c r="I213" s="42" t="str">
        <f>'1. Information samples'!I112</f>
        <v>motorius</v>
      </c>
      <c r="J213" s="42" t="str">
        <f>'1. Information samples'!J112</f>
        <v>Codariocalyx motorius</v>
      </c>
      <c r="K213" s="42" t="str">
        <f>'1. Information samples'!K112</f>
        <v>Fabaceae</v>
      </c>
      <c r="L213" s="42" t="str">
        <f>'1. Information samples'!L112</f>
        <v>Fabales</v>
      </c>
      <c r="M213" s="42" t="str">
        <f>'1. Information samples'!M112</f>
        <v>Shurb_Tree</v>
      </c>
      <c r="N213" s="42" t="str">
        <f>'1. Information samples'!N112</f>
        <v>62,63,70</v>
      </c>
      <c r="O213" s="20" t="str">
        <f>'1. Information samples'!O112</f>
        <v>OT-031 (2025)</v>
      </c>
      <c r="P213" s="18">
        <v>92.781443711257836</v>
      </c>
      <c r="Q213" s="341">
        <f t="shared" si="1270"/>
        <v>92.807513459826822</v>
      </c>
      <c r="R213" s="66">
        <v>12.356441877598884</v>
      </c>
      <c r="S213" s="341">
        <f t="shared" si="1271"/>
        <v>12.273817300985836</v>
      </c>
      <c r="T213" s="66">
        <v>87.643558122401117</v>
      </c>
      <c r="U213" s="341">
        <f t="shared" si="1272"/>
        <v>87.726182699014174</v>
      </c>
      <c r="V213" s="65"/>
    </row>
    <row r="214" spans="2:22" x14ac:dyDescent="0.35">
      <c r="B214" s="19">
        <f t="shared" si="1321"/>
        <v>204</v>
      </c>
      <c r="C214" s="7">
        <f>C213</f>
        <v>46055</v>
      </c>
      <c r="D214" s="7" t="str">
        <f t="shared" ref="D214" si="1370">D213</f>
        <v>Genbank</v>
      </c>
      <c r="E214" s="14">
        <f t="shared" ref="E214" si="1371">E213</f>
        <v>29</v>
      </c>
      <c r="F214" s="7" t="str">
        <f t="shared" ref="F214" si="1372">F213</f>
        <v>F252612</v>
      </c>
      <c r="G214" s="7" t="str">
        <f t="shared" ref="G214" si="1373">G213</f>
        <v>CIAT23416</v>
      </c>
      <c r="H214" s="7" t="str">
        <f t="shared" ref="H214" si="1374">H213</f>
        <v>Codariocalyx</v>
      </c>
      <c r="I214" s="7" t="str">
        <f t="shared" ref="I214" si="1375">I213</f>
        <v>motorius</v>
      </c>
      <c r="J214" s="7" t="str">
        <f t="shared" ref="J214" si="1376">J213</f>
        <v>Codariocalyx motorius</v>
      </c>
      <c r="K214" s="7" t="str">
        <f t="shared" ref="K214" si="1377">K213</f>
        <v>Fabaceae</v>
      </c>
      <c r="L214" s="7" t="str">
        <f t="shared" ref="L214" si="1378">L213</f>
        <v>Fabales</v>
      </c>
      <c r="M214" s="7" t="str">
        <f t="shared" ref="M214" si="1379">M213</f>
        <v>Shurb_Tree</v>
      </c>
      <c r="N214" s="7" t="str">
        <f t="shared" ref="N214" si="1380">N213</f>
        <v>62,63,70</v>
      </c>
      <c r="O214" s="30" t="str">
        <f t="shared" ref="O214" si="1381">O213</f>
        <v>OT-031 (2025)</v>
      </c>
      <c r="P214" s="18">
        <v>92.833583208395794</v>
      </c>
      <c r="Q214" s="341"/>
      <c r="R214" s="66">
        <v>12.191192724372788</v>
      </c>
      <c r="S214" s="341"/>
      <c r="T214" s="66">
        <v>87.808807275627217</v>
      </c>
      <c r="U214" s="341"/>
      <c r="V214" s="65"/>
    </row>
    <row r="215" spans="2:22" x14ac:dyDescent="0.35">
      <c r="B215" s="19">
        <f t="shared" si="1321"/>
        <v>205</v>
      </c>
      <c r="C215" s="42">
        <f>'1. Information samples'!C113</f>
        <v>46055</v>
      </c>
      <c r="D215" s="42" t="str">
        <f>'1. Information samples'!D113</f>
        <v>Genbank</v>
      </c>
      <c r="E215" s="59">
        <f>'1. Information samples'!E113</f>
        <v>29</v>
      </c>
      <c r="F215" s="42" t="str">
        <f>'1. Information samples'!F113</f>
        <v>F252613</v>
      </c>
      <c r="G215" s="42" t="str">
        <f>'1. Information samples'!G113</f>
        <v>CIAT23806</v>
      </c>
      <c r="H215" s="42" t="str">
        <f>'1. Information samples'!H113</f>
        <v>Desmodium</v>
      </c>
      <c r="I215" s="42" t="str">
        <f>'1. Information samples'!I113</f>
        <v>angustifolium</v>
      </c>
      <c r="J215" s="42" t="str">
        <f>'1. Information samples'!J113</f>
        <v>Desmodium angustifolium</v>
      </c>
      <c r="K215" s="42" t="str">
        <f>'1. Information samples'!K113</f>
        <v>Fabaceae</v>
      </c>
      <c r="L215" s="42" t="str">
        <f>'1. Information samples'!L113</f>
        <v>Fabales</v>
      </c>
      <c r="M215" s="42" t="str">
        <f>'1. Information samples'!M113</f>
        <v>Herbaceous</v>
      </c>
      <c r="N215" s="42" t="str">
        <f>'1. Information samples'!N113</f>
        <v>62,63,70</v>
      </c>
      <c r="O215" s="20" t="str">
        <f>'1. Information samples'!O113</f>
        <v>OT-031 (2025)</v>
      </c>
      <c r="P215" s="18">
        <v>92.75072492750725</v>
      </c>
      <c r="Q215" s="341">
        <f t="shared" si="1270"/>
        <v>92.766084319382458</v>
      </c>
      <c r="R215" s="66">
        <v>9.8194174712920717</v>
      </c>
      <c r="S215" s="341">
        <f t="shared" si="1271"/>
        <v>9.9267030610067515</v>
      </c>
      <c r="T215" s="66">
        <v>90.18058252870793</v>
      </c>
      <c r="U215" s="341">
        <f t="shared" si="1272"/>
        <v>90.073296938993252</v>
      </c>
      <c r="V215" s="65"/>
    </row>
    <row r="216" spans="2:22" x14ac:dyDescent="0.35">
      <c r="B216" s="19">
        <f t="shared" si="1321"/>
        <v>206</v>
      </c>
      <c r="C216" s="7">
        <f>C215</f>
        <v>46055</v>
      </c>
      <c r="D216" s="7" t="str">
        <f t="shared" ref="D216" si="1382">D215</f>
        <v>Genbank</v>
      </c>
      <c r="E216" s="14">
        <f t="shared" ref="E216" si="1383">E215</f>
        <v>29</v>
      </c>
      <c r="F216" s="7" t="str">
        <f t="shared" ref="F216" si="1384">F215</f>
        <v>F252613</v>
      </c>
      <c r="G216" s="7" t="str">
        <f t="shared" ref="G216" si="1385">G215</f>
        <v>CIAT23806</v>
      </c>
      <c r="H216" s="7" t="str">
        <f t="shared" ref="H216" si="1386">H215</f>
        <v>Desmodium</v>
      </c>
      <c r="I216" s="7" t="str">
        <f t="shared" ref="I216" si="1387">I215</f>
        <v>angustifolium</v>
      </c>
      <c r="J216" s="7" t="str">
        <f t="shared" ref="J216" si="1388">J215</f>
        <v>Desmodium angustifolium</v>
      </c>
      <c r="K216" s="7" t="str">
        <f t="shared" ref="K216" si="1389">K215</f>
        <v>Fabaceae</v>
      </c>
      <c r="L216" s="7" t="str">
        <f t="shared" ref="L216" si="1390">L215</f>
        <v>Fabales</v>
      </c>
      <c r="M216" s="7" t="str">
        <f t="shared" ref="M216" si="1391">M215</f>
        <v>Herbaceous</v>
      </c>
      <c r="N216" s="7" t="str">
        <f t="shared" ref="N216" si="1392">N215</f>
        <v>62,63,70</v>
      </c>
      <c r="O216" s="30" t="str">
        <f t="shared" ref="O216" si="1393">O215</f>
        <v>OT-031 (2025)</v>
      </c>
      <c r="P216" s="18">
        <v>92.781443711257666</v>
      </c>
      <c r="Q216" s="341"/>
      <c r="R216" s="66">
        <v>10.03398865072143</v>
      </c>
      <c r="S216" s="341"/>
      <c r="T216" s="66">
        <v>89.966011349278574</v>
      </c>
      <c r="U216" s="341"/>
      <c r="V216" s="65"/>
    </row>
    <row r="217" spans="2:22" x14ac:dyDescent="0.35">
      <c r="B217" s="19">
        <f t="shared" si="1321"/>
        <v>207</v>
      </c>
      <c r="C217" s="42">
        <f>'1. Information samples'!C114</f>
        <v>46055</v>
      </c>
      <c r="D217" s="42" t="str">
        <f>'1. Information samples'!D114</f>
        <v>Genbank</v>
      </c>
      <c r="E217" s="59">
        <f>'1. Information samples'!E114</f>
        <v>29</v>
      </c>
      <c r="F217" s="42" t="str">
        <f>'1. Information samples'!F114</f>
        <v>F252614</v>
      </c>
      <c r="G217" s="42" t="str">
        <f>'1. Information samples'!G114</f>
        <v>CIAT24104</v>
      </c>
      <c r="H217" s="42" t="str">
        <f>'1. Information samples'!H114</f>
        <v>Macroptilium</v>
      </c>
      <c r="I217" s="42" t="str">
        <f>'1. Information samples'!I114</f>
        <v>atropurpureum</v>
      </c>
      <c r="J217" s="42" t="str">
        <f>'1. Information samples'!J114</f>
        <v>Macroptilium atropurpureum</v>
      </c>
      <c r="K217" s="42" t="str">
        <f>'1. Information samples'!K114</f>
        <v>Fabaceae</v>
      </c>
      <c r="L217" s="42" t="str">
        <f>'1. Information samples'!L114</f>
        <v>Fabales</v>
      </c>
      <c r="M217" s="42" t="str">
        <f>'1. Information samples'!M114</f>
        <v>Herbaceous</v>
      </c>
      <c r="N217" s="42" t="str">
        <f>'1. Information samples'!N114</f>
        <v>62,63,70</v>
      </c>
      <c r="O217" s="20" t="str">
        <f>'1. Information samples'!O114</f>
        <v>OT-031 (2025)</v>
      </c>
      <c r="P217" s="18">
        <v>92.24387806096955</v>
      </c>
      <c r="Q217" s="341">
        <f t="shared" si="1270"/>
        <v>92.297703877515374</v>
      </c>
      <c r="R217" s="66">
        <v>13.038225766120446</v>
      </c>
      <c r="S217" s="341">
        <f t="shared" si="1271"/>
        <v>13.072678126653653</v>
      </c>
      <c r="T217" s="66">
        <v>86.961774233879552</v>
      </c>
      <c r="U217" s="341">
        <f t="shared" si="1272"/>
        <v>86.927321873346358</v>
      </c>
      <c r="V217" s="65"/>
    </row>
    <row r="218" spans="2:22" x14ac:dyDescent="0.35">
      <c r="B218" s="19">
        <f t="shared" si="1321"/>
        <v>208</v>
      </c>
      <c r="C218" s="7">
        <f>C217</f>
        <v>46055</v>
      </c>
      <c r="D218" s="7" t="str">
        <f t="shared" ref="D218" si="1394">D217</f>
        <v>Genbank</v>
      </c>
      <c r="E218" s="14">
        <f t="shared" ref="E218" si="1395">E217</f>
        <v>29</v>
      </c>
      <c r="F218" s="7" t="str">
        <f t="shared" ref="F218" si="1396">F217</f>
        <v>F252614</v>
      </c>
      <c r="G218" s="7" t="str">
        <f t="shared" ref="G218" si="1397">G217</f>
        <v>CIAT24104</v>
      </c>
      <c r="H218" s="7" t="str">
        <f t="shared" ref="H218" si="1398">H217</f>
        <v>Macroptilium</v>
      </c>
      <c r="I218" s="7" t="str">
        <f t="shared" ref="I218" si="1399">I217</f>
        <v>atropurpureum</v>
      </c>
      <c r="J218" s="7" t="str">
        <f t="shared" ref="J218" si="1400">J217</f>
        <v>Macroptilium atropurpureum</v>
      </c>
      <c r="K218" s="7" t="str">
        <f t="shared" ref="K218" si="1401">K217</f>
        <v>Fabaceae</v>
      </c>
      <c r="L218" s="7" t="str">
        <f t="shared" ref="L218" si="1402">L217</f>
        <v>Fabales</v>
      </c>
      <c r="M218" s="7" t="str">
        <f t="shared" ref="M218" si="1403">M217</f>
        <v>Herbaceous</v>
      </c>
      <c r="N218" s="7" t="str">
        <f t="shared" ref="N218" si="1404">N217</f>
        <v>62,63,70</v>
      </c>
      <c r="O218" s="30" t="str">
        <f t="shared" ref="O218" si="1405">O217</f>
        <v>OT-031 (2025)</v>
      </c>
      <c r="P218" s="18">
        <v>92.351529694061213</v>
      </c>
      <c r="Q218" s="341"/>
      <c r="R218" s="66">
        <v>13.107130487186858</v>
      </c>
      <c r="S218" s="341"/>
      <c r="T218" s="66">
        <v>86.892869512813149</v>
      </c>
      <c r="U218" s="341"/>
      <c r="V218" s="65"/>
    </row>
    <row r="219" spans="2:22" x14ac:dyDescent="0.35">
      <c r="B219" s="19">
        <f t="shared" si="1321"/>
        <v>209</v>
      </c>
      <c r="C219" s="42">
        <f>'1. Information samples'!C115</f>
        <v>46055</v>
      </c>
      <c r="D219" s="42" t="str">
        <f>'1. Information samples'!D115</f>
        <v>Genbank</v>
      </c>
      <c r="E219" s="59">
        <f>'1. Information samples'!E115</f>
        <v>29</v>
      </c>
      <c r="F219" s="42" t="str">
        <f>'1. Information samples'!F115</f>
        <v>F252615</v>
      </c>
      <c r="G219" s="42" t="str">
        <f>'1. Information samples'!G115</f>
        <v>CIAT24565</v>
      </c>
      <c r="H219" s="42" t="str">
        <f>'1. Information samples'!H115</f>
        <v>Vigna</v>
      </c>
      <c r="I219" s="42" t="str">
        <f>'1. Information samples'!I115</f>
        <v>unguiculata</v>
      </c>
      <c r="J219" s="42" t="str">
        <f>'1. Information samples'!J115</f>
        <v>Vigna unguiculata</v>
      </c>
      <c r="K219" s="42" t="str">
        <f>'1. Information samples'!K115</f>
        <v>Fabaceae</v>
      </c>
      <c r="L219" s="42" t="str">
        <f>'1. Information samples'!L115</f>
        <v>Fabales</v>
      </c>
      <c r="M219" s="42" t="str">
        <f>'1. Information samples'!M115</f>
        <v>Herbaceous</v>
      </c>
      <c r="N219" s="42" t="str">
        <f>'1. Information samples'!N115</f>
        <v>62,63,70</v>
      </c>
      <c r="O219" s="20" t="str">
        <f>'1. Information samples'!O115</f>
        <v>OT-031 (2025)</v>
      </c>
      <c r="P219" s="18">
        <v>90.039999999999935</v>
      </c>
      <c r="Q219" s="341">
        <f t="shared" si="1270"/>
        <v>90.072473763118381</v>
      </c>
      <c r="R219" s="66">
        <v>11.435236060117488</v>
      </c>
      <c r="S219" s="341">
        <f t="shared" si="1271"/>
        <v>11.421282057171805</v>
      </c>
      <c r="T219" s="66">
        <v>88.564763939882511</v>
      </c>
      <c r="U219" s="341">
        <f t="shared" si="1272"/>
        <v>88.578717942828192</v>
      </c>
      <c r="V219" s="65"/>
    </row>
    <row r="220" spans="2:22" x14ac:dyDescent="0.35">
      <c r="B220" s="19">
        <f t="shared" si="1321"/>
        <v>210</v>
      </c>
      <c r="C220" s="7">
        <f>C219</f>
        <v>46055</v>
      </c>
      <c r="D220" s="7" t="str">
        <f t="shared" ref="D220" si="1406">D219</f>
        <v>Genbank</v>
      </c>
      <c r="E220" s="14">
        <f t="shared" ref="E220" si="1407">E219</f>
        <v>29</v>
      </c>
      <c r="F220" s="7" t="str">
        <f t="shared" ref="F220" si="1408">F219</f>
        <v>F252615</v>
      </c>
      <c r="G220" s="7" t="str">
        <f t="shared" ref="G220" si="1409">G219</f>
        <v>CIAT24565</v>
      </c>
      <c r="H220" s="7" t="str">
        <f t="shared" ref="H220" si="1410">H219</f>
        <v>Vigna</v>
      </c>
      <c r="I220" s="7" t="str">
        <f t="shared" ref="I220" si="1411">I219</f>
        <v>unguiculata</v>
      </c>
      <c r="J220" s="7" t="str">
        <f t="shared" ref="J220" si="1412">J219</f>
        <v>Vigna unguiculata</v>
      </c>
      <c r="K220" s="7" t="str">
        <f t="shared" ref="K220" si="1413">K219</f>
        <v>Fabaceae</v>
      </c>
      <c r="L220" s="7" t="str">
        <f t="shared" ref="L220" si="1414">L219</f>
        <v>Fabales</v>
      </c>
      <c r="M220" s="7" t="str">
        <f t="shared" ref="M220" si="1415">M219</f>
        <v>Herbaceous</v>
      </c>
      <c r="N220" s="7" t="str">
        <f t="shared" ref="N220" si="1416">N219</f>
        <v>62,63,70</v>
      </c>
      <c r="O220" s="30" t="str">
        <f t="shared" ref="O220" si="1417">O219</f>
        <v>OT-031 (2025)</v>
      </c>
      <c r="P220" s="18">
        <v>90.104947526236828</v>
      </c>
      <c r="Q220" s="341"/>
      <c r="R220" s="66">
        <v>11.40732805422612</v>
      </c>
      <c r="S220" s="341"/>
      <c r="T220" s="66">
        <v>88.592671945773873</v>
      </c>
      <c r="U220" s="341"/>
      <c r="V220" s="65"/>
    </row>
    <row r="221" spans="2:22" x14ac:dyDescent="0.35">
      <c r="B221" s="19">
        <f t="shared" si="1321"/>
        <v>211</v>
      </c>
      <c r="C221" s="42">
        <f>'1. Information samples'!C116</f>
        <v>46055</v>
      </c>
      <c r="D221" s="42" t="str">
        <f>'1. Information samples'!D116</f>
        <v>Genbank</v>
      </c>
      <c r="E221" s="59">
        <f>'1. Information samples'!E116</f>
        <v>29</v>
      </c>
      <c r="F221" s="42" t="str">
        <f>'1. Information samples'!F116</f>
        <v>F252616</v>
      </c>
      <c r="G221" s="42" t="str">
        <f>'1. Information samples'!G116</f>
        <v>CIAT33561</v>
      </c>
      <c r="H221" s="42" t="str">
        <f>'1. Information samples'!H116</f>
        <v>Desmodium</v>
      </c>
      <c r="I221" s="42" t="str">
        <f>'1. Information samples'!I116</f>
        <v>wigginsii</v>
      </c>
      <c r="J221" s="42" t="str">
        <f>'1. Information samples'!J116</f>
        <v>Desmodium wigginsii</v>
      </c>
      <c r="K221" s="42" t="str">
        <f>'1. Information samples'!K116</f>
        <v>Fabaceae</v>
      </c>
      <c r="L221" s="42" t="str">
        <f>'1. Information samples'!L116</f>
        <v>Fabales</v>
      </c>
      <c r="M221" s="42" t="str">
        <f>'1. Information samples'!M116</f>
        <v>Herbaceous</v>
      </c>
      <c r="N221" s="42" t="str">
        <f>'1. Information samples'!N116</f>
        <v>62,63,70</v>
      </c>
      <c r="O221" s="20" t="str">
        <f>'1. Information samples'!O116</f>
        <v>OT-031 (2025)</v>
      </c>
      <c r="P221" s="18">
        <v>91.830816918308173</v>
      </c>
      <c r="Q221" s="341">
        <f t="shared" si="1270"/>
        <v>91.875812418758159</v>
      </c>
      <c r="R221" s="66">
        <v>9.8383849376937373</v>
      </c>
      <c r="S221" s="341">
        <f t="shared" si="1271"/>
        <v>9.9091255373564344</v>
      </c>
      <c r="T221" s="66">
        <v>90.161615062306268</v>
      </c>
      <c r="U221" s="341">
        <f t="shared" si="1272"/>
        <v>90.090874462643569</v>
      </c>
      <c r="V221" s="65"/>
    </row>
    <row r="222" spans="2:22" x14ac:dyDescent="0.35">
      <c r="B222" s="19">
        <f t="shared" si="1321"/>
        <v>212</v>
      </c>
      <c r="C222" s="7">
        <f>C221</f>
        <v>46055</v>
      </c>
      <c r="D222" s="7" t="str">
        <f t="shared" ref="D222" si="1418">D221</f>
        <v>Genbank</v>
      </c>
      <c r="E222" s="14">
        <f t="shared" ref="E222" si="1419">E221</f>
        <v>29</v>
      </c>
      <c r="F222" s="7" t="str">
        <f t="shared" ref="F222" si="1420">F221</f>
        <v>F252616</v>
      </c>
      <c r="G222" s="7" t="str">
        <f t="shared" ref="G222" si="1421">G221</f>
        <v>CIAT33561</v>
      </c>
      <c r="H222" s="7" t="str">
        <f t="shared" ref="H222" si="1422">H221</f>
        <v>Desmodium</v>
      </c>
      <c r="I222" s="7" t="str">
        <f t="shared" ref="I222" si="1423">I221</f>
        <v>wigginsii</v>
      </c>
      <c r="J222" s="7" t="str">
        <f t="shared" ref="J222" si="1424">J221</f>
        <v>Desmodium wigginsii</v>
      </c>
      <c r="K222" s="7" t="str">
        <f t="shared" ref="K222" si="1425">K221</f>
        <v>Fabaceae</v>
      </c>
      <c r="L222" s="7" t="str">
        <f t="shared" ref="L222" si="1426">L221</f>
        <v>Fabales</v>
      </c>
      <c r="M222" s="7" t="str">
        <f t="shared" ref="M222" si="1427">M221</f>
        <v>Herbaceous</v>
      </c>
      <c r="N222" s="7" t="str">
        <f t="shared" ref="N222" si="1428">N221</f>
        <v>62,63,70</v>
      </c>
      <c r="O222" s="30" t="str">
        <f t="shared" ref="O222" si="1429">O221</f>
        <v>OT-031 (2025)</v>
      </c>
      <c r="P222" s="18">
        <v>91.920807919208144</v>
      </c>
      <c r="Q222" s="341"/>
      <c r="R222" s="66">
        <v>9.9798661370191333</v>
      </c>
      <c r="S222" s="341"/>
      <c r="T222" s="66">
        <v>90.02013386298087</v>
      </c>
      <c r="U222" s="341"/>
      <c r="V222" s="65"/>
    </row>
    <row r="223" spans="2:22" x14ac:dyDescent="0.35">
      <c r="B223" s="19">
        <f t="shared" si="1321"/>
        <v>213</v>
      </c>
      <c r="C223" s="42">
        <f>'1. Information samples'!C117</f>
        <v>46055</v>
      </c>
      <c r="D223" s="42" t="str">
        <f>'1. Information samples'!D117</f>
        <v>Genbank</v>
      </c>
      <c r="E223" s="59">
        <f>'1. Information samples'!E117</f>
        <v>29</v>
      </c>
      <c r="F223" s="42" t="str">
        <f>'1. Information samples'!F117</f>
        <v>F252617</v>
      </c>
      <c r="G223" s="42" t="str">
        <f>'1. Information samples'!G117</f>
        <v>CIAT34038</v>
      </c>
      <c r="H223" s="42" t="str">
        <f>'1. Information samples'!H117</f>
        <v>Vigna</v>
      </c>
      <c r="I223" s="42" t="str">
        <f>'1. Information samples'!I117</f>
        <v>unguiculata</v>
      </c>
      <c r="J223" s="42" t="str">
        <f>'1. Information samples'!J117</f>
        <v>Vigna unguiculata</v>
      </c>
      <c r="K223" s="42" t="str">
        <f>'1. Information samples'!K117</f>
        <v>Fabaceae</v>
      </c>
      <c r="L223" s="42" t="str">
        <f>'1. Information samples'!L117</f>
        <v>Fabales</v>
      </c>
      <c r="M223" s="42" t="str">
        <f>'1. Information samples'!M117</f>
        <v>Herbaceous</v>
      </c>
      <c r="N223" s="42" t="str">
        <f>'1. Information samples'!N117</f>
        <v>62,63,70</v>
      </c>
      <c r="O223" s="20" t="str">
        <f>'1. Information samples'!O117</f>
        <v>OT-031 (2025)</v>
      </c>
      <c r="P223" s="18">
        <v>91.754947031781015</v>
      </c>
      <c r="Q223" s="341">
        <f t="shared" si="1270"/>
        <v>91.789108861752226</v>
      </c>
      <c r="R223" s="66">
        <v>12.281670666771719</v>
      </c>
      <c r="S223" s="341">
        <f t="shared" si="1271"/>
        <v>12.24478270352537</v>
      </c>
      <c r="T223" s="66">
        <v>87.718329333228283</v>
      </c>
      <c r="U223" s="341">
        <f t="shared" si="1272"/>
        <v>87.755217296474626</v>
      </c>
      <c r="V223" s="65"/>
    </row>
    <row r="224" spans="2:22" x14ac:dyDescent="0.35">
      <c r="B224" s="19">
        <f t="shared" si="1321"/>
        <v>214</v>
      </c>
      <c r="C224" s="7">
        <f>C223</f>
        <v>46055</v>
      </c>
      <c r="D224" s="7" t="str">
        <f t="shared" ref="D224" si="1430">D223</f>
        <v>Genbank</v>
      </c>
      <c r="E224" s="14">
        <f t="shared" ref="E224" si="1431">E223</f>
        <v>29</v>
      </c>
      <c r="F224" s="7" t="str">
        <f t="shared" ref="F224" si="1432">F223</f>
        <v>F252617</v>
      </c>
      <c r="G224" s="7" t="str">
        <f t="shared" ref="G224" si="1433">G223</f>
        <v>CIAT34038</v>
      </c>
      <c r="H224" s="7" t="str">
        <f t="shared" ref="H224" si="1434">H223</f>
        <v>Vigna</v>
      </c>
      <c r="I224" s="7" t="str">
        <f t="shared" ref="I224" si="1435">I223</f>
        <v>unguiculata</v>
      </c>
      <c r="J224" s="7" t="str">
        <f t="shared" ref="J224" si="1436">J223</f>
        <v>Vigna unguiculata</v>
      </c>
      <c r="K224" s="7" t="str">
        <f t="shared" ref="K224" si="1437">K223</f>
        <v>Fabaceae</v>
      </c>
      <c r="L224" s="7" t="str">
        <f t="shared" ref="L224" si="1438">L223</f>
        <v>Fabales</v>
      </c>
      <c r="M224" s="7" t="str">
        <f t="shared" ref="M224" si="1439">M223</f>
        <v>Herbaceous</v>
      </c>
      <c r="N224" s="7" t="str">
        <f t="shared" ref="N224" si="1440">N223</f>
        <v>62,63,70</v>
      </c>
      <c r="O224" s="30" t="str">
        <f t="shared" ref="O224" si="1441">O223</f>
        <v>OT-031 (2025)</v>
      </c>
      <c r="P224" s="18">
        <v>91.823270691723451</v>
      </c>
      <c r="Q224" s="341"/>
      <c r="R224" s="66">
        <v>12.20789474027902</v>
      </c>
      <c r="S224" s="341"/>
      <c r="T224" s="66">
        <v>87.792105259720984</v>
      </c>
      <c r="U224" s="341"/>
      <c r="V224" s="65"/>
    </row>
    <row r="225" spans="2:22" x14ac:dyDescent="0.35">
      <c r="B225" s="19">
        <f t="shared" si="1321"/>
        <v>215</v>
      </c>
      <c r="C225" s="42">
        <f>'1. Information samples'!C118</f>
        <v>46055</v>
      </c>
      <c r="D225" s="42" t="str">
        <f>'1. Information samples'!D118</f>
        <v>Genbank</v>
      </c>
      <c r="E225" s="59">
        <f>'1. Information samples'!E118</f>
        <v>29</v>
      </c>
      <c r="F225" s="42" t="str">
        <f>'1. Information samples'!F118</f>
        <v>F252618</v>
      </c>
      <c r="G225" s="42" t="str">
        <f>'1. Information samples'!G118</f>
        <v>CIAT34040</v>
      </c>
      <c r="H225" s="42" t="str">
        <f>'1. Information samples'!H118</f>
        <v>Vigna</v>
      </c>
      <c r="I225" s="42" t="str">
        <f>'1. Information samples'!I118</f>
        <v>aconitifolia</v>
      </c>
      <c r="J225" s="42" t="str">
        <f>'1. Information samples'!J118</f>
        <v>Vigna aconitifolia</v>
      </c>
      <c r="K225" s="42" t="str">
        <f>'1. Information samples'!K118</f>
        <v>Fabaceae</v>
      </c>
      <c r="L225" s="42" t="str">
        <f>'1. Information samples'!L118</f>
        <v>Fabales</v>
      </c>
      <c r="M225" s="42" t="str">
        <f>'1. Information samples'!M118</f>
        <v>Herbaceous</v>
      </c>
      <c r="N225" s="42" t="str">
        <f>'1. Information samples'!N118</f>
        <v>62,63,70</v>
      </c>
      <c r="O225" s="20" t="str">
        <f>'1. Information samples'!O118</f>
        <v>OT-031 (2025)</v>
      </c>
      <c r="P225" s="18">
        <v>90.721855628874138</v>
      </c>
      <c r="Q225" s="341">
        <f t="shared" si="1270"/>
        <v>90.655927814437064</v>
      </c>
      <c r="R225" s="66">
        <v>12.748960537875631</v>
      </c>
      <c r="S225" s="341">
        <f t="shared" si="1271"/>
        <v>12.810904384461349</v>
      </c>
      <c r="T225" s="66">
        <v>87.251039462124368</v>
      </c>
      <c r="U225" s="341">
        <f t="shared" si="1272"/>
        <v>87.189095615538648</v>
      </c>
      <c r="V225" s="65"/>
    </row>
    <row r="226" spans="2:22" x14ac:dyDescent="0.35">
      <c r="B226" s="19">
        <f t="shared" si="1321"/>
        <v>216</v>
      </c>
      <c r="C226" s="7">
        <f>C225</f>
        <v>46055</v>
      </c>
      <c r="D226" s="7" t="str">
        <f t="shared" ref="D226" si="1442">D225</f>
        <v>Genbank</v>
      </c>
      <c r="E226" s="14">
        <f t="shared" ref="E226" si="1443">E225</f>
        <v>29</v>
      </c>
      <c r="F226" s="7" t="str">
        <f t="shared" ref="F226" si="1444">F225</f>
        <v>F252618</v>
      </c>
      <c r="G226" s="7" t="str">
        <f t="shared" ref="G226" si="1445">G225</f>
        <v>CIAT34040</v>
      </c>
      <c r="H226" s="7" t="str">
        <f t="shared" ref="H226" si="1446">H225</f>
        <v>Vigna</v>
      </c>
      <c r="I226" s="7" t="str">
        <f t="shared" ref="I226" si="1447">I225</f>
        <v>aconitifolia</v>
      </c>
      <c r="J226" s="7" t="str">
        <f t="shared" ref="J226" si="1448">J225</f>
        <v>Vigna aconitifolia</v>
      </c>
      <c r="K226" s="7" t="str">
        <f t="shared" ref="K226" si="1449">K225</f>
        <v>Fabaceae</v>
      </c>
      <c r="L226" s="7" t="str">
        <f t="shared" ref="L226" si="1450">L225</f>
        <v>Fabales</v>
      </c>
      <c r="M226" s="7" t="str">
        <f t="shared" ref="M226" si="1451">M225</f>
        <v>Herbaceous</v>
      </c>
      <c r="N226" s="7" t="str">
        <f t="shared" ref="N226" si="1452">N225</f>
        <v>62,63,70</v>
      </c>
      <c r="O226" s="30" t="str">
        <f t="shared" ref="O226" si="1453">O225</f>
        <v>OT-031 (2025)</v>
      </c>
      <c r="P226" s="18">
        <v>90.589999999999989</v>
      </c>
      <c r="Q226" s="341"/>
      <c r="R226" s="66">
        <v>12.872848231047069</v>
      </c>
      <c r="S226" s="341"/>
      <c r="T226" s="66">
        <v>87.127151768952928</v>
      </c>
      <c r="U226" s="341"/>
      <c r="V226" s="65"/>
    </row>
    <row r="227" spans="2:22" x14ac:dyDescent="0.35">
      <c r="B227" s="19">
        <f t="shared" si="1321"/>
        <v>217</v>
      </c>
      <c r="C227" s="42">
        <f>'1. Information samples'!C119</f>
        <v>46055</v>
      </c>
      <c r="D227" s="42" t="str">
        <f>'1. Information samples'!D119</f>
        <v>Genbank</v>
      </c>
      <c r="E227" s="59">
        <f>'1. Information samples'!E119</f>
        <v>29</v>
      </c>
      <c r="F227" s="42" t="str">
        <f>'1. Information samples'!F119</f>
        <v>F252619</v>
      </c>
      <c r="G227" s="42" t="str">
        <f>'1. Information samples'!G119</f>
        <v>CIAT34042</v>
      </c>
      <c r="H227" s="42" t="str">
        <f>'1. Information samples'!H119</f>
        <v>Vigna</v>
      </c>
      <c r="I227" s="42" t="str">
        <f>'1. Information samples'!I119</f>
        <v>aconitifolia</v>
      </c>
      <c r="J227" s="42" t="str">
        <f>'1. Information samples'!J119</f>
        <v>Vigna aconitifolia</v>
      </c>
      <c r="K227" s="42" t="str">
        <f>'1. Information samples'!K119</f>
        <v>Fabaceae</v>
      </c>
      <c r="L227" s="42" t="str">
        <f>'1. Information samples'!L119</f>
        <v>Fabales</v>
      </c>
      <c r="M227" s="42" t="str">
        <f>'1. Information samples'!M119</f>
        <v>Herbaceous</v>
      </c>
      <c r="N227" s="42" t="str">
        <f>'1. Information samples'!N119</f>
        <v>62,63,70</v>
      </c>
      <c r="O227" s="20" t="str">
        <f>'1. Information samples'!O119</f>
        <v>OT-031 (2025)</v>
      </c>
      <c r="P227" s="18">
        <v>91.060893910608968</v>
      </c>
      <c r="Q227" s="341">
        <f t="shared" si="1270"/>
        <v>91.070892910708935</v>
      </c>
      <c r="R227" s="66">
        <v>12.351778656126461</v>
      </c>
      <c r="S227" s="341">
        <f t="shared" si="1271"/>
        <v>12.36824769433464</v>
      </c>
      <c r="T227" s="66">
        <v>87.648221343873544</v>
      </c>
      <c r="U227" s="341">
        <f t="shared" si="1272"/>
        <v>87.631752305665373</v>
      </c>
      <c r="V227" s="65"/>
    </row>
    <row r="228" spans="2:22" x14ac:dyDescent="0.35">
      <c r="B228" s="19">
        <f t="shared" si="1321"/>
        <v>218</v>
      </c>
      <c r="C228" s="7">
        <f>C227</f>
        <v>46055</v>
      </c>
      <c r="D228" s="7" t="str">
        <f t="shared" ref="D228" si="1454">D227</f>
        <v>Genbank</v>
      </c>
      <c r="E228" s="14">
        <f t="shared" ref="E228" si="1455">E227</f>
        <v>29</v>
      </c>
      <c r="F228" s="7" t="str">
        <f t="shared" ref="F228" si="1456">F227</f>
        <v>F252619</v>
      </c>
      <c r="G228" s="7" t="str">
        <f t="shared" ref="G228" si="1457">G227</f>
        <v>CIAT34042</v>
      </c>
      <c r="H228" s="7" t="str">
        <f t="shared" ref="H228" si="1458">H227</f>
        <v>Vigna</v>
      </c>
      <c r="I228" s="7" t="str">
        <f t="shared" ref="I228" si="1459">I227</f>
        <v>aconitifolia</v>
      </c>
      <c r="J228" s="7" t="str">
        <f t="shared" ref="J228" si="1460">J227</f>
        <v>Vigna aconitifolia</v>
      </c>
      <c r="K228" s="7" t="str">
        <f t="shared" ref="K228" si="1461">K227</f>
        <v>Fabaceae</v>
      </c>
      <c r="L228" s="7" t="str">
        <f t="shared" ref="L228" si="1462">L227</f>
        <v>Fabales</v>
      </c>
      <c r="M228" s="7" t="str">
        <f t="shared" ref="M228" si="1463">M227</f>
        <v>Herbaceous</v>
      </c>
      <c r="N228" s="7" t="str">
        <f t="shared" ref="N228" si="1464">N227</f>
        <v>62,63,70</v>
      </c>
      <c r="O228" s="30" t="str">
        <f t="shared" ref="O228" si="1465">O227</f>
        <v>OT-031 (2025)</v>
      </c>
      <c r="P228" s="18">
        <v>91.080891910808901</v>
      </c>
      <c r="Q228" s="341"/>
      <c r="R228" s="66">
        <v>12.384716732542818</v>
      </c>
      <c r="S228" s="341"/>
      <c r="T228" s="66">
        <v>87.615283267457187</v>
      </c>
      <c r="U228" s="341"/>
      <c r="V228" s="65"/>
    </row>
    <row r="229" spans="2:22" x14ac:dyDescent="0.35">
      <c r="B229" s="19">
        <f t="shared" si="1321"/>
        <v>219</v>
      </c>
      <c r="C229" s="42">
        <f>'1. Information samples'!C120</f>
        <v>46055</v>
      </c>
      <c r="D229" s="42" t="str">
        <f>'1. Information samples'!D120</f>
        <v>Genbank</v>
      </c>
      <c r="E229" s="59">
        <f>'1. Information samples'!E120</f>
        <v>29</v>
      </c>
      <c r="F229" s="42" t="str">
        <f>'1. Information samples'!F120</f>
        <v>F252620</v>
      </c>
      <c r="G229" s="42" t="str">
        <f>'1. Information samples'!G120</f>
        <v>CIAT34044</v>
      </c>
      <c r="H229" s="42" t="str">
        <f>'1. Information samples'!H120</f>
        <v>Vigna</v>
      </c>
      <c r="I229" s="42" t="str">
        <f>'1. Information samples'!I120</f>
        <v>aconitifolia</v>
      </c>
      <c r="J229" s="42" t="str">
        <f>'1. Information samples'!J120</f>
        <v>Vigna aconitifolia</v>
      </c>
      <c r="K229" s="42" t="str">
        <f>'1. Information samples'!K120</f>
        <v>Fabaceae</v>
      </c>
      <c r="L229" s="42" t="str">
        <f>'1. Information samples'!L120</f>
        <v>Fabales</v>
      </c>
      <c r="M229" s="42" t="str">
        <f>'1. Information samples'!M120</f>
        <v>Herbaceous</v>
      </c>
      <c r="N229" s="42" t="str">
        <f>'1. Information samples'!N120</f>
        <v>62,63,70</v>
      </c>
      <c r="O229" s="20" t="str">
        <f>'1. Information samples'!O120</f>
        <v>OT-031 (2025)</v>
      </c>
      <c r="P229" s="18">
        <v>91.605036977813299</v>
      </c>
      <c r="Q229" s="341">
        <f t="shared" si="1270"/>
        <v>91.574632431935072</v>
      </c>
      <c r="R229" s="66">
        <v>10.346004301786929</v>
      </c>
      <c r="S229" s="341">
        <f t="shared" si="1271"/>
        <v>10.439295421829192</v>
      </c>
      <c r="T229" s="66">
        <v>89.653995698213066</v>
      </c>
      <c r="U229" s="341">
        <f t="shared" si="1272"/>
        <v>89.5607045781708</v>
      </c>
      <c r="V229" s="65"/>
    </row>
    <row r="230" spans="2:22" x14ac:dyDescent="0.35">
      <c r="B230" s="19">
        <f t="shared" si="1321"/>
        <v>220</v>
      </c>
      <c r="C230" s="7">
        <f>C229</f>
        <v>46055</v>
      </c>
      <c r="D230" s="7" t="str">
        <f t="shared" ref="D230" si="1466">D229</f>
        <v>Genbank</v>
      </c>
      <c r="E230" s="14">
        <f t="shared" ref="E230" si="1467">E229</f>
        <v>29</v>
      </c>
      <c r="F230" s="7" t="str">
        <f t="shared" ref="F230" si="1468">F229</f>
        <v>F252620</v>
      </c>
      <c r="G230" s="7" t="str">
        <f t="shared" ref="G230" si="1469">G229</f>
        <v>CIAT34044</v>
      </c>
      <c r="H230" s="7" t="str">
        <f t="shared" ref="H230" si="1470">H229</f>
        <v>Vigna</v>
      </c>
      <c r="I230" s="7" t="str">
        <f t="shared" ref="I230" si="1471">I229</f>
        <v>aconitifolia</v>
      </c>
      <c r="J230" s="7" t="str">
        <f t="shared" ref="J230" si="1472">J229</f>
        <v>Vigna aconitifolia</v>
      </c>
      <c r="K230" s="7" t="str">
        <f t="shared" ref="K230" si="1473">K229</f>
        <v>Fabaceae</v>
      </c>
      <c r="L230" s="7" t="str">
        <f t="shared" ref="L230" si="1474">L229</f>
        <v>Fabales</v>
      </c>
      <c r="M230" s="7" t="str">
        <f t="shared" ref="M230" si="1475">M229</f>
        <v>Herbaceous</v>
      </c>
      <c r="N230" s="7" t="str">
        <f t="shared" ref="N230" si="1476">N229</f>
        <v>62,63,70</v>
      </c>
      <c r="O230" s="30" t="str">
        <f t="shared" ref="O230" si="1477">O229</f>
        <v>OT-031 (2025)</v>
      </c>
      <c r="P230" s="18">
        <v>91.544227886056859</v>
      </c>
      <c r="Q230" s="341"/>
      <c r="R230" s="66">
        <v>10.532586541871455</v>
      </c>
      <c r="S230" s="341"/>
      <c r="T230" s="66">
        <v>89.467413458128547</v>
      </c>
      <c r="U230" s="341"/>
      <c r="V230" s="65"/>
    </row>
    <row r="231" spans="2:22" x14ac:dyDescent="0.35">
      <c r="B231" s="19">
        <f t="shared" si="1321"/>
        <v>221</v>
      </c>
      <c r="C231" s="42">
        <f>'1. Information samples'!C121</f>
        <v>46055</v>
      </c>
      <c r="D231" s="42" t="str">
        <f>'1. Information samples'!D121</f>
        <v>Genbank</v>
      </c>
      <c r="E231" s="59">
        <f>'1. Information samples'!E121</f>
        <v>29</v>
      </c>
      <c r="F231" s="42" t="str">
        <f>'1. Information samples'!F121</f>
        <v>F252621</v>
      </c>
      <c r="G231" s="42" t="str">
        <f>'1. Information samples'!G121</f>
        <v>CIAT34148</v>
      </c>
      <c r="H231" s="42" t="str">
        <f>'1. Information samples'!H121</f>
        <v>Vigna</v>
      </c>
      <c r="I231" s="42" t="str">
        <f>'1. Information samples'!I121</f>
        <v>radiata</v>
      </c>
      <c r="J231" s="42" t="str">
        <f>'1. Information samples'!J121</f>
        <v>Vigna radiata</v>
      </c>
      <c r="K231" s="42" t="str">
        <f>'1. Information samples'!K121</f>
        <v>Fabaceae</v>
      </c>
      <c r="L231" s="42" t="str">
        <f>'1. Information samples'!L121</f>
        <v>Fabales</v>
      </c>
      <c r="M231" s="42" t="str">
        <f>'1. Information samples'!M121</f>
        <v>Herbaceous</v>
      </c>
      <c r="N231" s="42" t="str">
        <f>'1. Information samples'!N121</f>
        <v>62,63,70</v>
      </c>
      <c r="O231" s="20" t="str">
        <f>'1. Information samples'!O121</f>
        <v>OT-031 (2025)</v>
      </c>
      <c r="P231" s="18">
        <v>89.593122063381031</v>
      </c>
      <c r="Q231" s="341">
        <f t="shared" si="1270"/>
        <v>89.542611821532518</v>
      </c>
      <c r="R231" s="66">
        <v>10.260191924223884</v>
      </c>
      <c r="S231" s="341">
        <f t="shared" si="1271"/>
        <v>10.260704831238595</v>
      </c>
      <c r="T231" s="66">
        <v>89.739808075776111</v>
      </c>
      <c r="U231" s="341">
        <f t="shared" si="1272"/>
        <v>89.739295168761402</v>
      </c>
      <c r="V231" s="65"/>
    </row>
    <row r="232" spans="2:22" x14ac:dyDescent="0.35">
      <c r="B232" s="19">
        <f t="shared" si="1321"/>
        <v>222</v>
      </c>
      <c r="C232" s="7">
        <f>C231</f>
        <v>46055</v>
      </c>
      <c r="D232" s="7" t="str">
        <f t="shared" ref="D232" si="1478">D231</f>
        <v>Genbank</v>
      </c>
      <c r="E232" s="14">
        <f t="shared" ref="E232" si="1479">E231</f>
        <v>29</v>
      </c>
      <c r="F232" s="7" t="str">
        <f t="shared" ref="F232" si="1480">F231</f>
        <v>F252621</v>
      </c>
      <c r="G232" s="7" t="str">
        <f t="shared" ref="G232" si="1481">G231</f>
        <v>CIAT34148</v>
      </c>
      <c r="H232" s="7" t="str">
        <f t="shared" ref="H232" si="1482">H231</f>
        <v>Vigna</v>
      </c>
      <c r="I232" s="7" t="str">
        <f t="shared" ref="I232" si="1483">I231</f>
        <v>radiata</v>
      </c>
      <c r="J232" s="7" t="str">
        <f t="shared" ref="J232" si="1484">J231</f>
        <v>Vigna radiata</v>
      </c>
      <c r="K232" s="7" t="str">
        <f t="shared" ref="K232" si="1485">K231</f>
        <v>Fabaceae</v>
      </c>
      <c r="L232" s="7" t="str">
        <f t="shared" ref="L232" si="1486">L231</f>
        <v>Fabales</v>
      </c>
      <c r="M232" s="7" t="str">
        <f t="shared" ref="M232" si="1487">M231</f>
        <v>Herbaceous</v>
      </c>
      <c r="N232" s="7" t="str">
        <f t="shared" ref="N232" si="1488">N231</f>
        <v>62,63,70</v>
      </c>
      <c r="O232" s="30" t="str">
        <f t="shared" ref="O232" si="1489">O231</f>
        <v>OT-031 (2025)</v>
      </c>
      <c r="P232" s="18">
        <v>89.492101579684004</v>
      </c>
      <c r="Q232" s="341"/>
      <c r="R232" s="66">
        <v>10.261217738253304</v>
      </c>
      <c r="S232" s="341"/>
      <c r="T232" s="66">
        <v>89.738782261746692</v>
      </c>
      <c r="U232" s="341"/>
      <c r="V232" s="65"/>
    </row>
    <row r="233" spans="2:22" x14ac:dyDescent="0.35">
      <c r="B233" s="19">
        <f t="shared" si="1321"/>
        <v>223</v>
      </c>
      <c r="C233" s="42">
        <f>'1. Information samples'!C122</f>
        <v>46055</v>
      </c>
      <c r="D233" s="42" t="str">
        <f>'1. Information samples'!D122</f>
        <v>Genbank</v>
      </c>
      <c r="E233" s="59">
        <f>'1. Information samples'!E122</f>
        <v>29</v>
      </c>
      <c r="F233" s="42" t="str">
        <f>'1. Information samples'!F122</f>
        <v>F252622</v>
      </c>
      <c r="G233" s="42" t="str">
        <f>'1. Information samples'!G122</f>
        <v>CIAT34159</v>
      </c>
      <c r="H233" s="42" t="str">
        <f>'1. Information samples'!H122</f>
        <v>Vigna</v>
      </c>
      <c r="I233" s="42" t="str">
        <f>'1. Information samples'!I122</f>
        <v>unguiculata</v>
      </c>
      <c r="J233" s="42" t="str">
        <f>'1. Information samples'!J122</f>
        <v>Vigna unguiculata</v>
      </c>
      <c r="K233" s="42" t="str">
        <f>'1. Information samples'!K122</f>
        <v>Fabaceae</v>
      </c>
      <c r="L233" s="42" t="str">
        <f>'1. Information samples'!L122</f>
        <v>Fabales</v>
      </c>
      <c r="M233" s="42" t="str">
        <f>'1. Information samples'!M122</f>
        <v>Herbaceous</v>
      </c>
      <c r="N233" s="42" t="str">
        <f>'1. Information samples'!N122</f>
        <v>62,63,70</v>
      </c>
      <c r="O233" s="20" t="str">
        <f>'1. Information samples'!O122</f>
        <v>OT-031 (2025)</v>
      </c>
      <c r="P233" s="18">
        <v>90.561887622475524</v>
      </c>
      <c r="Q233" s="341">
        <f t="shared" si="1270"/>
        <v>90.482383379367292</v>
      </c>
      <c r="R233" s="66">
        <v>12.165681350544594</v>
      </c>
      <c r="S233" s="341">
        <f t="shared" si="1271"/>
        <v>11.993820560639854</v>
      </c>
      <c r="T233" s="66">
        <v>87.834318649455412</v>
      </c>
      <c r="U233" s="341">
        <f t="shared" si="1272"/>
        <v>88.006179439360153</v>
      </c>
      <c r="V233" s="65"/>
    </row>
    <row r="234" spans="2:22" x14ac:dyDescent="0.35">
      <c r="B234" s="19">
        <f t="shared" si="1321"/>
        <v>224</v>
      </c>
      <c r="C234" s="7">
        <f>C233</f>
        <v>46055</v>
      </c>
      <c r="D234" s="7" t="str">
        <f t="shared" ref="D234" si="1490">D233</f>
        <v>Genbank</v>
      </c>
      <c r="E234" s="14">
        <f t="shared" ref="E234" si="1491">E233</f>
        <v>29</v>
      </c>
      <c r="F234" s="7" t="str">
        <f t="shared" ref="F234" si="1492">F233</f>
        <v>F252622</v>
      </c>
      <c r="G234" s="7" t="str">
        <f t="shared" ref="G234" si="1493">G233</f>
        <v>CIAT34159</v>
      </c>
      <c r="H234" s="7" t="str">
        <f t="shared" ref="H234" si="1494">H233</f>
        <v>Vigna</v>
      </c>
      <c r="I234" s="7" t="str">
        <f t="shared" ref="I234" si="1495">I233</f>
        <v>unguiculata</v>
      </c>
      <c r="J234" s="7" t="str">
        <f t="shared" ref="J234" si="1496">J233</f>
        <v>Vigna unguiculata</v>
      </c>
      <c r="K234" s="7" t="str">
        <f t="shared" ref="K234" si="1497">K233</f>
        <v>Fabaceae</v>
      </c>
      <c r="L234" s="7" t="str">
        <f t="shared" ref="L234" si="1498">L233</f>
        <v>Fabales</v>
      </c>
      <c r="M234" s="7" t="str">
        <f t="shared" ref="M234" si="1499">M233</f>
        <v>Herbaceous</v>
      </c>
      <c r="N234" s="7" t="str">
        <f t="shared" ref="N234" si="1500">N233</f>
        <v>62,63,70</v>
      </c>
      <c r="O234" s="30" t="str">
        <f t="shared" ref="O234" si="1501">O233</f>
        <v>OT-031 (2025)</v>
      </c>
      <c r="P234" s="18">
        <v>90.402879136259045</v>
      </c>
      <c r="Q234" s="341"/>
      <c r="R234" s="66">
        <v>11.821959770735116</v>
      </c>
      <c r="S234" s="341"/>
      <c r="T234" s="66">
        <v>88.17804022926488</v>
      </c>
      <c r="U234" s="341"/>
      <c r="V234" s="65"/>
    </row>
    <row r="235" spans="2:22" x14ac:dyDescent="0.35">
      <c r="B235" s="19">
        <f t="shared" si="1321"/>
        <v>225</v>
      </c>
      <c r="C235" s="42">
        <f>'1. Information samples'!C123</f>
        <v>46055</v>
      </c>
      <c r="D235" s="42" t="str">
        <f>'1. Information samples'!D123</f>
        <v>Genbank</v>
      </c>
      <c r="E235" s="59">
        <f>'1. Information samples'!E123</f>
        <v>29</v>
      </c>
      <c r="F235" s="42" t="str">
        <f>'1. Information samples'!F123</f>
        <v>F252623</v>
      </c>
      <c r="G235" s="42" t="str">
        <f>'1. Information samples'!G123</f>
        <v>CIAT34347</v>
      </c>
      <c r="H235" s="42" t="str">
        <f>'1. Information samples'!H123</f>
        <v>Vigna</v>
      </c>
      <c r="I235" s="42" t="str">
        <f>'1. Information samples'!I123</f>
        <v>unguiculata</v>
      </c>
      <c r="J235" s="42" t="str">
        <f>'1. Information samples'!J123</f>
        <v>Vigna unguiculata</v>
      </c>
      <c r="K235" s="42" t="str">
        <f>'1. Information samples'!K123</f>
        <v>Fabaceae</v>
      </c>
      <c r="L235" s="42" t="str">
        <f>'1. Information samples'!L123</f>
        <v>Fabales</v>
      </c>
      <c r="M235" s="42" t="str">
        <f>'1. Information samples'!M123</f>
        <v>Herbaceous</v>
      </c>
      <c r="N235" s="42" t="str">
        <f>'1. Information samples'!N123</f>
        <v>62,63,70</v>
      </c>
      <c r="O235" s="20" t="str">
        <f>'1. Information samples'!O123</f>
        <v>OT-031 (2025)</v>
      </c>
      <c r="P235" s="18">
        <v>89.462107578484392</v>
      </c>
      <c r="Q235" s="341">
        <f t="shared" si="1270"/>
        <v>89.492625317783649</v>
      </c>
      <c r="R235" s="66">
        <v>11.92038605285477</v>
      </c>
      <c r="S235" s="341">
        <f t="shared" si="1271"/>
        <v>11.997985489344817</v>
      </c>
      <c r="T235" s="66">
        <v>88.079613947145234</v>
      </c>
      <c r="U235" s="341">
        <f t="shared" si="1272"/>
        <v>88.002014510655187</v>
      </c>
    </row>
    <row r="236" spans="2:22" x14ac:dyDescent="0.35">
      <c r="B236" s="19">
        <f t="shared" si="1321"/>
        <v>226</v>
      </c>
      <c r="C236" s="7">
        <f>C235</f>
        <v>46055</v>
      </c>
      <c r="D236" s="7" t="str">
        <f t="shared" ref="D236" si="1502">D235</f>
        <v>Genbank</v>
      </c>
      <c r="E236" s="14">
        <f t="shared" ref="E236" si="1503">E235</f>
        <v>29</v>
      </c>
      <c r="F236" s="7" t="str">
        <f t="shared" ref="F236" si="1504">F235</f>
        <v>F252623</v>
      </c>
      <c r="G236" s="7" t="str">
        <f t="shared" ref="G236" si="1505">G235</f>
        <v>CIAT34347</v>
      </c>
      <c r="H236" s="7" t="str">
        <f t="shared" ref="H236" si="1506">H235</f>
        <v>Vigna</v>
      </c>
      <c r="I236" s="7" t="str">
        <f t="shared" ref="I236" si="1507">I235</f>
        <v>unguiculata</v>
      </c>
      <c r="J236" s="7" t="str">
        <f t="shared" ref="J236" si="1508">J235</f>
        <v>Vigna unguiculata</v>
      </c>
      <c r="K236" s="7" t="str">
        <f t="shared" ref="K236" si="1509">K235</f>
        <v>Fabaceae</v>
      </c>
      <c r="L236" s="7" t="str">
        <f t="shared" ref="L236" si="1510">L235</f>
        <v>Fabales</v>
      </c>
      <c r="M236" s="7" t="str">
        <f t="shared" ref="M236" si="1511">M235</f>
        <v>Herbaceous</v>
      </c>
      <c r="N236" s="7" t="str">
        <f t="shared" ref="N236" si="1512">N235</f>
        <v>62,63,70</v>
      </c>
      <c r="O236" s="30" t="str">
        <f t="shared" ref="O236" si="1513">O235</f>
        <v>OT-031 (2025)</v>
      </c>
      <c r="P236" s="18">
        <v>89.523143057082905</v>
      </c>
      <c r="Q236" s="341"/>
      <c r="R236" s="66">
        <v>12.075584925834866</v>
      </c>
      <c r="S236" s="341"/>
      <c r="T236" s="66">
        <v>87.92441507416514</v>
      </c>
      <c r="U236" s="341"/>
    </row>
    <row r="237" spans="2:22" x14ac:dyDescent="0.35">
      <c r="B237" s="19">
        <f t="shared" si="1321"/>
        <v>227</v>
      </c>
      <c r="C237" s="42">
        <f>'1. Information samples'!C124</f>
        <v>46055</v>
      </c>
      <c r="D237" s="42" t="str">
        <f>'1. Information samples'!D124</f>
        <v>Genbank</v>
      </c>
      <c r="E237" s="59">
        <f>'1. Information samples'!E124</f>
        <v>29</v>
      </c>
      <c r="F237" s="42" t="str">
        <f>'1. Information samples'!F124</f>
        <v>F251692</v>
      </c>
      <c r="G237" s="42" t="str">
        <f>'1. Information samples'!G124</f>
        <v>CIAT-23715</v>
      </c>
      <c r="H237" s="42" t="str">
        <f>'1. Information samples'!H124</f>
        <v>Desmodium</v>
      </c>
      <c r="I237" s="42" t="str">
        <f>'1. Information samples'!I124</f>
        <v>sequax</v>
      </c>
      <c r="J237" s="42" t="str">
        <f>'1. Information samples'!J124</f>
        <v>Desmodium sequax</v>
      </c>
      <c r="K237" s="42" t="str">
        <f>'1. Information samples'!K124</f>
        <v>Fabaceae</v>
      </c>
      <c r="L237" s="42" t="str">
        <f>'1. Information samples'!L124</f>
        <v>Fabales</v>
      </c>
      <c r="M237" s="42" t="str">
        <f>'1. Information samples'!M124</f>
        <v>Shrub</v>
      </c>
      <c r="N237" s="42" t="str">
        <f>'1. Information samples'!N124</f>
        <v>62,63,70</v>
      </c>
      <c r="O237" s="20" t="str">
        <f>'1. Information samples'!O124</f>
        <v>OT-008 (2025)</v>
      </c>
      <c r="P237" s="58">
        <v>93.763741754947048</v>
      </c>
      <c r="Q237" s="341">
        <f t="shared" ref="Q237" si="1514">AVERAGE(P237:P238)</f>
        <v>93.792488753898226</v>
      </c>
      <c r="R237" s="58">
        <v>5.1998553621319132</v>
      </c>
      <c r="S237" s="341">
        <f t="shared" ref="S237" si="1515">AVERAGE(R237:R238)</f>
        <v>5.2168846792118364</v>
      </c>
      <c r="T237" s="58">
        <v>94.800144637868087</v>
      </c>
      <c r="U237" s="341">
        <f t="shared" ref="U237" si="1516">AVERAGE(T237:T238)</f>
        <v>94.78311532078817</v>
      </c>
    </row>
    <row r="238" spans="2:22" x14ac:dyDescent="0.35">
      <c r="B238" s="19">
        <f t="shared" si="1321"/>
        <v>228</v>
      </c>
      <c r="C238" s="7">
        <f>C237</f>
        <v>46055</v>
      </c>
      <c r="D238" s="7" t="str">
        <f t="shared" ref="D238" si="1517">D237</f>
        <v>Genbank</v>
      </c>
      <c r="E238" s="14">
        <f t="shared" ref="E238" si="1518">E237</f>
        <v>29</v>
      </c>
      <c r="F238" s="7" t="str">
        <f t="shared" ref="F238" si="1519">F237</f>
        <v>F251692</v>
      </c>
      <c r="G238" s="7" t="str">
        <f t="shared" ref="G238" si="1520">G237</f>
        <v>CIAT-23715</v>
      </c>
      <c r="H238" s="7" t="str">
        <f t="shared" ref="H238" si="1521">H237</f>
        <v>Desmodium</v>
      </c>
      <c r="I238" s="7" t="str">
        <f t="shared" ref="I238" si="1522">I237</f>
        <v>sequax</v>
      </c>
      <c r="J238" s="7" t="str">
        <f t="shared" ref="J238" si="1523">J237</f>
        <v>Desmodium sequax</v>
      </c>
      <c r="K238" s="7" t="str">
        <f t="shared" ref="K238" si="1524">K237</f>
        <v>Fabaceae</v>
      </c>
      <c r="L238" s="7" t="str">
        <f t="shared" ref="L238" si="1525">L237</f>
        <v>Fabales</v>
      </c>
      <c r="M238" s="7" t="str">
        <f t="shared" ref="M238" si="1526">M237</f>
        <v>Shrub</v>
      </c>
      <c r="N238" s="7" t="str">
        <f t="shared" ref="N238" si="1527">N237</f>
        <v>62,63,70</v>
      </c>
      <c r="O238" s="30" t="str">
        <f t="shared" ref="O238" si="1528">O237</f>
        <v>OT-008 (2025)</v>
      </c>
      <c r="P238" s="58">
        <v>93.82123575284939</v>
      </c>
      <c r="Q238" s="341"/>
      <c r="R238" s="58">
        <v>5.2339139962917596</v>
      </c>
      <c r="S238" s="341"/>
      <c r="T238" s="58">
        <v>94.766086003708239</v>
      </c>
      <c r="U238" s="341"/>
    </row>
    <row r="239" spans="2:22" x14ac:dyDescent="0.35">
      <c r="B239" s="19">
        <f t="shared" si="1321"/>
        <v>229</v>
      </c>
      <c r="C239" s="42">
        <f>'1. Information samples'!C125</f>
        <v>46055</v>
      </c>
      <c r="D239" s="42" t="str">
        <f>'1. Information samples'!D125</f>
        <v>Jacobo Arango/ Alejandro Montoya</v>
      </c>
      <c r="E239" s="59">
        <f>'1. Information samples'!E125</f>
        <v>29</v>
      </c>
      <c r="F239" s="42" t="str">
        <f>'1. Information samples'!F125</f>
        <v>F250008</v>
      </c>
      <c r="G239" s="42" t="str">
        <f>'1. Information samples'!G125</f>
        <v>Sample 8</v>
      </c>
      <c r="H239" s="42" t="str">
        <f>'1. Information samples'!H125</f>
        <v>Cynodon</v>
      </c>
      <c r="I239" s="42" t="str">
        <f>'1. Information samples'!I125</f>
        <v xml:space="preserve"> nlemfuensis </v>
      </c>
      <c r="J239" s="42" t="str">
        <f>'1. Information samples'!J125</f>
        <v xml:space="preserve">Cynodon nlemfuensis </v>
      </c>
      <c r="K239" s="42" t="str">
        <f>'1. Information samples'!K125</f>
        <v>Poaceae</v>
      </c>
      <c r="L239" s="42" t="str">
        <f>'1. Information samples'!L125</f>
        <v>Poales</v>
      </c>
      <c r="M239" s="42" t="str">
        <f>'1. Information samples'!M125</f>
        <v>grasses</v>
      </c>
      <c r="N239" s="42" t="str">
        <f>'1. Information samples'!N125</f>
        <v>62,63,70</v>
      </c>
      <c r="O239" s="20" t="str">
        <f>'1. Information samples'!O125</f>
        <v>OT-002 (2025)</v>
      </c>
      <c r="P239" s="30">
        <v>93.3</v>
      </c>
      <c r="Q239" s="341">
        <f>AVERAGE(P239:P240)</f>
        <v>93.55</v>
      </c>
      <c r="R239" s="76">
        <v>11.3</v>
      </c>
      <c r="S239" s="341">
        <f>AVERAGE(R239:R240)</f>
        <v>11.4</v>
      </c>
      <c r="T239" s="76">
        <v>88.7</v>
      </c>
      <c r="U239" s="341">
        <f>AVERAGE(T239:T240)</f>
        <v>88.6</v>
      </c>
    </row>
    <row r="240" spans="2:22" x14ac:dyDescent="0.35">
      <c r="B240" s="19">
        <f t="shared" si="1321"/>
        <v>230</v>
      </c>
      <c r="C240" s="7">
        <f>C239</f>
        <v>46055</v>
      </c>
      <c r="D240" s="14" t="str">
        <f t="shared" ref="D240:E240" si="1529">D239</f>
        <v>Jacobo Arango/ Alejandro Montoya</v>
      </c>
      <c r="E240" s="14">
        <f t="shared" si="1529"/>
        <v>29</v>
      </c>
      <c r="F240" s="7" t="str">
        <f t="shared" ref="F240" si="1530">F239</f>
        <v>F250008</v>
      </c>
      <c r="G240" s="7" t="str">
        <f t="shared" ref="G240" si="1531">G239</f>
        <v>Sample 8</v>
      </c>
      <c r="H240" s="7" t="str">
        <f t="shared" ref="H240" si="1532">H239</f>
        <v>Cynodon</v>
      </c>
      <c r="I240" s="7" t="str">
        <f t="shared" ref="I240" si="1533">I239</f>
        <v xml:space="preserve"> nlemfuensis </v>
      </c>
      <c r="J240" s="7" t="str">
        <f t="shared" ref="J240" si="1534">J239</f>
        <v xml:space="preserve">Cynodon nlemfuensis </v>
      </c>
      <c r="K240" s="7" t="str">
        <f t="shared" ref="K240" si="1535">K239</f>
        <v>Poaceae</v>
      </c>
      <c r="L240" s="7" t="str">
        <f t="shared" ref="L240" si="1536">L239</f>
        <v>Poales</v>
      </c>
      <c r="M240" s="7" t="str">
        <f t="shared" ref="M240" si="1537">M239</f>
        <v>grasses</v>
      </c>
      <c r="N240" s="7" t="str">
        <f t="shared" ref="N240" si="1538">N239</f>
        <v>62,63,70</v>
      </c>
      <c r="O240" s="30" t="str">
        <f t="shared" ref="O240" si="1539">O239</f>
        <v>OT-002 (2025)</v>
      </c>
      <c r="P240" s="30">
        <v>93.8</v>
      </c>
      <c r="Q240" s="341"/>
      <c r="R240" s="76">
        <v>11.5</v>
      </c>
      <c r="S240" s="341"/>
      <c r="T240" s="76">
        <v>88.5</v>
      </c>
      <c r="U240" s="341"/>
    </row>
    <row r="241" spans="2:21" x14ac:dyDescent="0.35">
      <c r="B241" s="19">
        <f t="shared" si="1321"/>
        <v>231</v>
      </c>
      <c r="C241" s="42">
        <f>'1. Information samples'!C126</f>
        <v>46062</v>
      </c>
      <c r="D241" s="42" t="str">
        <f>'1. Information samples'!D126</f>
        <v>Genbank</v>
      </c>
      <c r="E241" s="59">
        <f>'1. Information samples'!E126</f>
        <v>30</v>
      </c>
      <c r="F241" s="42" t="str">
        <f>'1. Information samples'!F126</f>
        <v>F260013</v>
      </c>
      <c r="G241" s="42" t="str">
        <f>'1. Information samples'!G126</f>
        <v>CIAT590</v>
      </c>
      <c r="H241" s="42" t="str">
        <f>'1. Information samples'!H126</f>
        <v>Macroptilium</v>
      </c>
      <c r="I241" s="42" t="str">
        <f>'1. Information samples'!I126</f>
        <v>bracteatum</v>
      </c>
      <c r="J241" s="42" t="str">
        <f>'1. Information samples'!J126</f>
        <v>Macroptilium bracteatum</v>
      </c>
      <c r="K241" s="42" t="str">
        <f>'1. Information samples'!K126</f>
        <v>Fabaceae</v>
      </c>
      <c r="L241" s="42" t="str">
        <f>'1. Information samples'!L126</f>
        <v>Fabales</v>
      </c>
      <c r="M241" s="42" t="str">
        <f>'1. Information samples'!M126</f>
        <v>Herbaceous</v>
      </c>
      <c r="N241" s="42" t="str">
        <f>'1. Information samples'!N126</f>
        <v>64,65,71</v>
      </c>
      <c r="O241" s="42" t="str">
        <f>'1. Information samples'!O126</f>
        <v>OT-002(2026)</v>
      </c>
      <c r="P241" s="30">
        <v>92.734359384369498</v>
      </c>
      <c r="Q241" s="341">
        <f t="shared" ref="Q241:S241" si="1540">AVERAGE(P241:P242)</f>
        <v>92.602932541614905</v>
      </c>
      <c r="R241" s="76">
        <v>10.673603186187734</v>
      </c>
      <c r="S241" s="341">
        <f t="shared" si="1540"/>
        <v>10.540779545515475</v>
      </c>
      <c r="T241" s="76">
        <v>89.326396813812266</v>
      </c>
      <c r="U241" s="341">
        <f t="shared" ref="U241" si="1541">AVERAGE(T241:T242)</f>
        <v>89.459220454484523</v>
      </c>
    </row>
    <row r="242" spans="2:21" x14ac:dyDescent="0.35">
      <c r="B242" s="19">
        <f t="shared" si="1321"/>
        <v>232</v>
      </c>
      <c r="C242" s="7">
        <f>C241</f>
        <v>46062</v>
      </c>
      <c r="D242" s="7" t="str">
        <f t="shared" ref="D242:O242" si="1542">D241</f>
        <v>Genbank</v>
      </c>
      <c r="E242" s="14">
        <f t="shared" si="1542"/>
        <v>30</v>
      </c>
      <c r="F242" s="7" t="str">
        <f t="shared" si="1542"/>
        <v>F260013</v>
      </c>
      <c r="G242" s="7" t="str">
        <f t="shared" si="1542"/>
        <v>CIAT590</v>
      </c>
      <c r="H242" s="7" t="str">
        <f t="shared" si="1542"/>
        <v>Macroptilium</v>
      </c>
      <c r="I242" s="7" t="str">
        <f t="shared" si="1542"/>
        <v>bracteatum</v>
      </c>
      <c r="J242" s="7" t="str">
        <f t="shared" si="1542"/>
        <v>Macroptilium bracteatum</v>
      </c>
      <c r="K242" s="7" t="str">
        <f t="shared" si="1542"/>
        <v>Fabaceae</v>
      </c>
      <c r="L242" s="7" t="str">
        <f t="shared" si="1542"/>
        <v>Fabales</v>
      </c>
      <c r="M242" s="7" t="str">
        <f t="shared" si="1542"/>
        <v>Herbaceous</v>
      </c>
      <c r="N242" s="7" t="str">
        <f t="shared" si="1542"/>
        <v>64,65,71</v>
      </c>
      <c r="O242" s="7" t="str">
        <f t="shared" si="1542"/>
        <v>OT-002(2026)</v>
      </c>
      <c r="P242" s="30">
        <v>92.471505698860327</v>
      </c>
      <c r="Q242" s="341"/>
      <c r="R242" s="76">
        <v>10.407955904843217</v>
      </c>
      <c r="S242" s="341"/>
      <c r="T242" s="76">
        <v>89.59204409515678</v>
      </c>
      <c r="U242" s="341"/>
    </row>
    <row r="243" spans="2:21" x14ac:dyDescent="0.35">
      <c r="B243" s="19">
        <f t="shared" si="1321"/>
        <v>233</v>
      </c>
      <c r="C243" s="7">
        <f>'1. Information samples'!C127</f>
        <v>46062</v>
      </c>
      <c r="D243" s="7" t="str">
        <f>'1. Information samples'!D127</f>
        <v>Genbank</v>
      </c>
      <c r="E243" s="14">
        <f>'1. Information samples'!E127</f>
        <v>30</v>
      </c>
      <c r="F243" s="7" t="str">
        <f>'1. Information samples'!F127</f>
        <v>F260014</v>
      </c>
      <c r="G243" s="7" t="str">
        <f>'1. Information samples'!G127</f>
        <v>CIAT778</v>
      </c>
      <c r="H243" s="7" t="str">
        <f>'1. Information samples'!H127</f>
        <v>Macroptilium</v>
      </c>
      <c r="I243" s="7" t="str">
        <f>'1. Information samples'!I127</f>
        <v>atropurpureum</v>
      </c>
      <c r="J243" s="7" t="str">
        <f>'1. Information samples'!J127</f>
        <v>Macroptilium atropurpureum</v>
      </c>
      <c r="K243" s="7" t="str">
        <f>'1. Information samples'!K127</f>
        <v>Fabaceae</v>
      </c>
      <c r="L243" s="7" t="str">
        <f>'1. Information samples'!L127</f>
        <v>Fabales</v>
      </c>
      <c r="M243" s="7" t="str">
        <f>'1. Information samples'!M127</f>
        <v>Herbaceous</v>
      </c>
      <c r="N243" s="7" t="str">
        <f>'1. Information samples'!N127</f>
        <v>64,65,71</v>
      </c>
      <c r="O243" s="7" t="str">
        <f>'1. Information samples'!O127</f>
        <v>OT-002(2026)</v>
      </c>
      <c r="P243" s="30">
        <v>92.573713143428265</v>
      </c>
      <c r="Q243" s="341">
        <f t="shared" ref="Q243:S243" si="1543">AVERAGE(P243:P244)</f>
        <v>92.582967738364118</v>
      </c>
      <c r="R243" s="76">
        <v>12.37190073225724</v>
      </c>
      <c r="S243" s="341">
        <f t="shared" si="1543"/>
        <v>12.356940726192665</v>
      </c>
      <c r="T243" s="76">
        <v>87.628099267742755</v>
      </c>
      <c r="U243" s="341">
        <f t="shared" ref="U243" si="1544">AVERAGE(T243:T244)</f>
        <v>87.643059273807324</v>
      </c>
    </row>
    <row r="244" spans="2:21" x14ac:dyDescent="0.35">
      <c r="B244" s="19">
        <f t="shared" si="1321"/>
        <v>234</v>
      </c>
      <c r="C244" s="7">
        <f>C243</f>
        <v>46062</v>
      </c>
      <c r="D244" s="7" t="str">
        <f t="shared" ref="D244:O244" si="1545">D243</f>
        <v>Genbank</v>
      </c>
      <c r="E244" s="14">
        <f t="shared" si="1545"/>
        <v>30</v>
      </c>
      <c r="F244" s="7" t="str">
        <f t="shared" si="1545"/>
        <v>F260014</v>
      </c>
      <c r="G244" s="7" t="str">
        <f t="shared" si="1545"/>
        <v>CIAT778</v>
      </c>
      <c r="H244" s="7" t="str">
        <f t="shared" si="1545"/>
        <v>Macroptilium</v>
      </c>
      <c r="I244" s="7" t="str">
        <f t="shared" si="1545"/>
        <v>atropurpureum</v>
      </c>
      <c r="J244" s="7" t="str">
        <f t="shared" si="1545"/>
        <v>Macroptilium atropurpureum</v>
      </c>
      <c r="K244" s="7" t="str">
        <f t="shared" si="1545"/>
        <v>Fabaceae</v>
      </c>
      <c r="L244" s="7" t="str">
        <f t="shared" si="1545"/>
        <v>Fabales</v>
      </c>
      <c r="M244" s="7" t="str">
        <f t="shared" si="1545"/>
        <v>Herbaceous</v>
      </c>
      <c r="N244" s="7" t="str">
        <f t="shared" si="1545"/>
        <v>64,65,71</v>
      </c>
      <c r="O244" s="7" t="str">
        <f t="shared" si="1545"/>
        <v>OT-002(2026)</v>
      </c>
      <c r="P244" s="30">
        <v>92.592222333299972</v>
      </c>
      <c r="Q244" s="341"/>
      <c r="R244" s="76">
        <v>12.341980720128092</v>
      </c>
      <c r="S244" s="341"/>
      <c r="T244" s="76">
        <v>87.658019279871908</v>
      </c>
      <c r="U244" s="341"/>
    </row>
    <row r="245" spans="2:21" x14ac:dyDescent="0.35">
      <c r="B245" s="19">
        <f t="shared" si="1321"/>
        <v>235</v>
      </c>
      <c r="C245" s="7">
        <f>'1. Information samples'!C128</f>
        <v>46062</v>
      </c>
      <c r="D245" s="7" t="str">
        <f>'1. Information samples'!D128</f>
        <v>Genbank</v>
      </c>
      <c r="E245" s="14">
        <f>'1. Information samples'!E128</f>
        <v>30</v>
      </c>
      <c r="F245" s="7" t="str">
        <f>'1. Information samples'!F128</f>
        <v>F260015</v>
      </c>
      <c r="G245" s="7" t="str">
        <f>'1. Information samples'!G128</f>
        <v>CIAT827</v>
      </c>
      <c r="H245" s="7" t="str">
        <f>'1. Information samples'!H128</f>
        <v>Indigofera</v>
      </c>
      <c r="I245" s="7" t="str">
        <f>'1. Information samples'!I128</f>
        <v>jamaicensis</v>
      </c>
      <c r="J245" s="7" t="str">
        <f>'1. Information samples'!J128</f>
        <v>Indigofera jamaicensis</v>
      </c>
      <c r="K245" s="7" t="str">
        <f>'1. Information samples'!K128</f>
        <v>Fabaceae</v>
      </c>
      <c r="L245" s="7" t="str">
        <f>'1. Information samples'!L128</f>
        <v>Fabales</v>
      </c>
      <c r="M245" s="7" t="str">
        <f>'1. Information samples'!M128</f>
        <v>Herbaceous</v>
      </c>
      <c r="N245" s="7" t="str">
        <f>'1. Information samples'!N128</f>
        <v>64,65,71</v>
      </c>
      <c r="O245" s="7" t="str">
        <f>'1. Information samples'!O128</f>
        <v>OT-002(2026)</v>
      </c>
      <c r="P245" s="30">
        <v>94.789999999999978</v>
      </c>
      <c r="Q245" s="341">
        <f t="shared" ref="Q245:S245" si="1546">AVERAGE(P245:P246)</f>
        <v>94.764999999999986</v>
      </c>
      <c r="R245" s="76">
        <v>11.639318313723383</v>
      </c>
      <c r="S245" s="341">
        <f t="shared" si="1546"/>
        <v>11.787052181712696</v>
      </c>
      <c r="T245" s="76">
        <v>88.360681686276621</v>
      </c>
      <c r="U245" s="341">
        <f t="shared" ref="U245" si="1547">AVERAGE(T245:T246)</f>
        <v>88.212947818287304</v>
      </c>
    </row>
    <row r="246" spans="2:21" x14ac:dyDescent="0.35">
      <c r="B246" s="19">
        <f t="shared" si="1321"/>
        <v>236</v>
      </c>
      <c r="C246" s="7">
        <f>C245</f>
        <v>46062</v>
      </c>
      <c r="D246" s="7" t="str">
        <f t="shared" ref="D246" si="1548">D245</f>
        <v>Genbank</v>
      </c>
      <c r="E246" s="14">
        <f t="shared" ref="E246" si="1549">E245</f>
        <v>30</v>
      </c>
      <c r="F246" s="7" t="str">
        <f t="shared" ref="F246" si="1550">F245</f>
        <v>F260015</v>
      </c>
      <c r="G246" s="7" t="str">
        <f t="shared" ref="G246" si="1551">G245</f>
        <v>CIAT827</v>
      </c>
      <c r="H246" s="7" t="str">
        <f t="shared" ref="H246" si="1552">H245</f>
        <v>Indigofera</v>
      </c>
      <c r="I246" s="7" t="str">
        <f t="shared" ref="I246" si="1553">I245</f>
        <v>jamaicensis</v>
      </c>
      <c r="J246" s="7" t="str">
        <f t="shared" ref="J246" si="1554">J245</f>
        <v>Indigofera jamaicensis</v>
      </c>
      <c r="K246" s="7" t="str">
        <f t="shared" ref="K246" si="1555">K245</f>
        <v>Fabaceae</v>
      </c>
      <c r="L246" s="7" t="str">
        <f t="shared" ref="L246" si="1556">L245</f>
        <v>Fabales</v>
      </c>
      <c r="M246" s="7" t="str">
        <f t="shared" ref="M246" si="1557">M245</f>
        <v>Herbaceous</v>
      </c>
      <c r="N246" s="7" t="str">
        <f t="shared" ref="N246" si="1558">N245</f>
        <v>64,65,71</v>
      </c>
      <c r="O246" s="7" t="str">
        <f t="shared" ref="O246" si="1559">O245</f>
        <v>OT-002(2026)</v>
      </c>
      <c r="P246" s="30">
        <v>94.740000000000009</v>
      </c>
      <c r="Q246" s="341"/>
      <c r="R246" s="76">
        <v>11.93478604970201</v>
      </c>
      <c r="S246" s="341"/>
      <c r="T246" s="76">
        <v>88.065213950297988</v>
      </c>
      <c r="U246" s="341"/>
    </row>
    <row r="247" spans="2:21" x14ac:dyDescent="0.35">
      <c r="B247" s="19">
        <f t="shared" si="1321"/>
        <v>237</v>
      </c>
      <c r="C247" s="7">
        <f>'1. Information samples'!C129</f>
        <v>46062</v>
      </c>
      <c r="D247" s="7" t="str">
        <f>'1. Information samples'!D129</f>
        <v>Genbank</v>
      </c>
      <c r="E247" s="14">
        <f>'1. Information samples'!E129</f>
        <v>30</v>
      </c>
      <c r="F247" s="7" t="str">
        <f>'1. Information samples'!F129</f>
        <v>F260016</v>
      </c>
      <c r="G247" s="7" t="str">
        <f>'1. Information samples'!G129</f>
        <v>CIAT997</v>
      </c>
      <c r="H247" s="7" t="str">
        <f>'1. Information samples'!H129</f>
        <v>Macroptilium</v>
      </c>
      <c r="I247" s="7" t="str">
        <f>'1. Information samples'!I129</f>
        <v>atropurpureum</v>
      </c>
      <c r="J247" s="7" t="str">
        <f>'1. Information samples'!J129</f>
        <v>Macroptilium atropurpureum</v>
      </c>
      <c r="K247" s="7" t="str">
        <f>'1. Information samples'!K129</f>
        <v>Fabaceae</v>
      </c>
      <c r="L247" s="7" t="str">
        <f>'1. Information samples'!L129</f>
        <v>Fabales</v>
      </c>
      <c r="M247" s="7" t="str">
        <f>'1. Information samples'!M129</f>
        <v>Herbaceous</v>
      </c>
      <c r="N247" s="7" t="str">
        <f>'1. Information samples'!N129</f>
        <v>64,65,71</v>
      </c>
      <c r="O247" s="7" t="str">
        <f>'1. Information samples'!O129</f>
        <v>OT-002(2026)</v>
      </c>
      <c r="P247" s="30">
        <v>93.58192542237326</v>
      </c>
      <c r="Q247" s="341">
        <f t="shared" ref="Q247:S247" si="1560">AVERAGE(P247:P248)</f>
        <v>93.561285678889831</v>
      </c>
      <c r="R247" s="76">
        <v>12.298407350964329</v>
      </c>
      <c r="S247" s="341">
        <f t="shared" si="1560"/>
        <v>12.304980625107518</v>
      </c>
      <c r="T247" s="76">
        <v>87.701592649035675</v>
      </c>
      <c r="U247" s="341">
        <f t="shared" ref="U247" si="1561">AVERAGE(T247:T248)</f>
        <v>87.695019374892482</v>
      </c>
    </row>
    <row r="248" spans="2:21" x14ac:dyDescent="0.35">
      <c r="B248" s="19">
        <f t="shared" si="1321"/>
        <v>238</v>
      </c>
      <c r="C248" s="7">
        <f>C247</f>
        <v>46062</v>
      </c>
      <c r="D248" s="7" t="str">
        <f t="shared" ref="D248" si="1562">D247</f>
        <v>Genbank</v>
      </c>
      <c r="E248" s="14">
        <f t="shared" ref="E248" si="1563">E247</f>
        <v>30</v>
      </c>
      <c r="F248" s="7" t="str">
        <f t="shared" ref="F248" si="1564">F247</f>
        <v>F260016</v>
      </c>
      <c r="G248" s="7" t="str">
        <f t="shared" ref="G248" si="1565">G247</f>
        <v>CIAT997</v>
      </c>
      <c r="H248" s="7" t="str">
        <f t="shared" ref="H248" si="1566">H247</f>
        <v>Macroptilium</v>
      </c>
      <c r="I248" s="7" t="str">
        <f t="shared" ref="I248" si="1567">I247</f>
        <v>atropurpureum</v>
      </c>
      <c r="J248" s="7" t="str">
        <f t="shared" ref="J248" si="1568">J247</f>
        <v>Macroptilium atropurpureum</v>
      </c>
      <c r="K248" s="7" t="str">
        <f t="shared" ref="K248" si="1569">K247</f>
        <v>Fabaceae</v>
      </c>
      <c r="L248" s="7" t="str">
        <f t="shared" ref="L248" si="1570">L247</f>
        <v>Fabales</v>
      </c>
      <c r="M248" s="7" t="str">
        <f t="shared" ref="M248" si="1571">M247</f>
        <v>Herbaceous</v>
      </c>
      <c r="N248" s="7" t="str">
        <f t="shared" ref="N248" si="1572">N247</f>
        <v>64,65,71</v>
      </c>
      <c r="O248" s="7" t="str">
        <f t="shared" ref="O248" si="1573">O247</f>
        <v>OT-002(2026)</v>
      </c>
      <c r="P248" s="30">
        <v>93.540645935406403</v>
      </c>
      <c r="Q248" s="341"/>
      <c r="R248" s="76">
        <v>12.311553899250709</v>
      </c>
      <c r="S248" s="341"/>
      <c r="T248" s="76">
        <v>87.688446100749289</v>
      </c>
      <c r="U248" s="341"/>
    </row>
    <row r="249" spans="2:21" x14ac:dyDescent="0.35">
      <c r="B249" s="19">
        <f t="shared" si="1321"/>
        <v>239</v>
      </c>
      <c r="C249" s="7">
        <f>'1. Information samples'!C130</f>
        <v>46062</v>
      </c>
      <c r="D249" s="7" t="str">
        <f>'1. Information samples'!D130</f>
        <v>Genbank</v>
      </c>
      <c r="E249" s="14">
        <f>'1. Information samples'!E130</f>
        <v>30</v>
      </c>
      <c r="F249" s="7" t="str">
        <f>'1. Information samples'!F130</f>
        <v>F260017</v>
      </c>
      <c r="G249" s="7" t="str">
        <f>'1. Information samples'!G130</f>
        <v>CIAT1405</v>
      </c>
      <c r="H249" s="7" t="str">
        <f>'1. Information samples'!H130</f>
        <v>Stylosanthes</v>
      </c>
      <c r="I249" s="7" t="str">
        <f>'1. Information samples'!I130</f>
        <v>capitata</v>
      </c>
      <c r="J249" s="7" t="str">
        <f>'1. Information samples'!J130</f>
        <v>Stylosanthes capitata</v>
      </c>
      <c r="K249" s="7" t="str">
        <f>'1. Information samples'!K130</f>
        <v>Fabaceae</v>
      </c>
      <c r="L249" s="7" t="str">
        <f>'1. Information samples'!L130</f>
        <v>Fabales</v>
      </c>
      <c r="M249" s="7" t="str">
        <f>'1. Information samples'!M130</f>
        <v>Herbaceous</v>
      </c>
      <c r="N249" s="7" t="str">
        <f>'1. Information samples'!N130</f>
        <v>64,65,71</v>
      </c>
      <c r="O249" s="7" t="str">
        <f>'1. Information samples'!O130</f>
        <v>OT-002(2026)</v>
      </c>
      <c r="P249" s="30">
        <v>94.551089782043547</v>
      </c>
      <c r="Q249" s="341">
        <f t="shared" ref="Q249:S249" si="1574">AVERAGE(P249:P250)</f>
        <v>94.626869228852883</v>
      </c>
      <c r="R249" s="76">
        <v>13.397320032261081</v>
      </c>
      <c r="S249" s="341">
        <f t="shared" si="1574"/>
        <v>14.277283668477793</v>
      </c>
      <c r="T249" s="76">
        <v>86.602679967738922</v>
      </c>
      <c r="U249" s="341">
        <f t="shared" ref="U249" si="1575">AVERAGE(T249:T250)</f>
        <v>85.722716331522207</v>
      </c>
    </row>
    <row r="250" spans="2:21" x14ac:dyDescent="0.35">
      <c r="B250" s="19">
        <f t="shared" si="1321"/>
        <v>240</v>
      </c>
      <c r="C250" s="7">
        <f>C249</f>
        <v>46062</v>
      </c>
      <c r="D250" s="7" t="str">
        <f t="shared" ref="D250" si="1576">D249</f>
        <v>Genbank</v>
      </c>
      <c r="E250" s="14">
        <f t="shared" ref="E250" si="1577">E249</f>
        <v>30</v>
      </c>
      <c r="F250" s="7" t="str">
        <f t="shared" ref="F250" si="1578">F249</f>
        <v>F260017</v>
      </c>
      <c r="G250" s="7" t="str">
        <f t="shared" ref="G250" si="1579">G249</f>
        <v>CIAT1405</v>
      </c>
      <c r="H250" s="7" t="str">
        <f t="shared" ref="H250" si="1580">H249</f>
        <v>Stylosanthes</v>
      </c>
      <c r="I250" s="7" t="str">
        <f t="shared" ref="I250" si="1581">I249</f>
        <v>capitata</v>
      </c>
      <c r="J250" s="7" t="str">
        <f t="shared" ref="J250" si="1582">J249</f>
        <v>Stylosanthes capitata</v>
      </c>
      <c r="K250" s="7" t="str">
        <f t="shared" ref="K250" si="1583">K249</f>
        <v>Fabaceae</v>
      </c>
      <c r="L250" s="7" t="str">
        <f t="shared" ref="L250" si="1584">L249</f>
        <v>Fabales</v>
      </c>
      <c r="M250" s="7" t="str">
        <f t="shared" ref="M250" si="1585">M249</f>
        <v>Herbaceous</v>
      </c>
      <c r="N250" s="7" t="str">
        <f t="shared" ref="N250" si="1586">N249</f>
        <v>64,65,71</v>
      </c>
      <c r="O250" s="7" t="str">
        <f t="shared" ref="O250" si="1587">O249</f>
        <v>OT-002(2026)</v>
      </c>
      <c r="P250" s="30">
        <v>94.702648675662232</v>
      </c>
      <c r="Q250" s="341"/>
      <c r="R250" s="76">
        <v>15.157247304694504</v>
      </c>
      <c r="S250" s="341"/>
      <c r="T250" s="76">
        <v>84.842752695305492</v>
      </c>
      <c r="U250" s="341"/>
    </row>
    <row r="251" spans="2:21" x14ac:dyDescent="0.35">
      <c r="B251" s="19">
        <f t="shared" si="1321"/>
        <v>241</v>
      </c>
      <c r="C251" s="7">
        <f>'1. Information samples'!C131</f>
        <v>46062</v>
      </c>
      <c r="D251" s="7" t="str">
        <f>'1. Information samples'!D131</f>
        <v>Genbank</v>
      </c>
      <c r="E251" s="14">
        <f>'1. Information samples'!E131</f>
        <v>30</v>
      </c>
      <c r="F251" s="7" t="str">
        <f>'1. Information samples'!F131</f>
        <v>F260018</v>
      </c>
      <c r="G251" s="7" t="str">
        <f>'1. Information samples'!G131</f>
        <v>CIAT1812</v>
      </c>
      <c r="H251" s="7" t="str">
        <f>'1. Information samples'!H131</f>
        <v>Stylosanthes</v>
      </c>
      <c r="I251" s="7" t="str">
        <f>'1. Information samples'!I131</f>
        <v>viscosa</v>
      </c>
      <c r="J251" s="7" t="str">
        <f>'1. Information samples'!J131</f>
        <v>Stylosanthes viscosa</v>
      </c>
      <c r="K251" s="7" t="str">
        <f>'1. Information samples'!K131</f>
        <v>Fabaceae</v>
      </c>
      <c r="L251" s="7" t="str">
        <f>'1. Information samples'!L131</f>
        <v>Fabales</v>
      </c>
      <c r="M251" s="7" t="str">
        <f>'1. Information samples'!M131</f>
        <v>Herbaceous</v>
      </c>
      <c r="N251" s="7" t="str">
        <f>'1. Information samples'!N131</f>
        <v>64,65,71</v>
      </c>
      <c r="O251" s="7" t="str">
        <f>'1. Information samples'!O131</f>
        <v>OT-002(2026)</v>
      </c>
      <c r="P251" s="30">
        <v>95.421831267493104</v>
      </c>
      <c r="Q251" s="341">
        <f t="shared" ref="Q251:S251" si="1588">AVERAGE(P251:P252)</f>
        <v>95.457042570278247</v>
      </c>
      <c r="R251" s="76">
        <v>11.340881134188679</v>
      </c>
      <c r="S251" s="341">
        <f t="shared" si="1588"/>
        <v>10.539307270666562</v>
      </c>
      <c r="T251" s="76">
        <v>88.659118865811323</v>
      </c>
      <c r="U251" s="341">
        <f t="shared" ref="U251" si="1589">AVERAGE(T251:T252)</f>
        <v>89.460692729333431</v>
      </c>
    </row>
    <row r="252" spans="2:21" x14ac:dyDescent="0.35">
      <c r="B252" s="19">
        <f t="shared" si="1321"/>
        <v>242</v>
      </c>
      <c r="C252" s="7">
        <f>C251</f>
        <v>46062</v>
      </c>
      <c r="D252" s="7" t="str">
        <f t="shared" ref="D252" si="1590">D251</f>
        <v>Genbank</v>
      </c>
      <c r="E252" s="14">
        <f t="shared" ref="E252" si="1591">E251</f>
        <v>30</v>
      </c>
      <c r="F252" s="7" t="str">
        <f t="shared" ref="F252" si="1592">F251</f>
        <v>F260018</v>
      </c>
      <c r="G252" s="7" t="str">
        <f t="shared" ref="G252" si="1593">G251</f>
        <v>CIAT1812</v>
      </c>
      <c r="H252" s="7" t="str">
        <f t="shared" ref="H252" si="1594">H251</f>
        <v>Stylosanthes</v>
      </c>
      <c r="I252" s="7" t="str">
        <f t="shared" ref="I252" si="1595">I251</f>
        <v>viscosa</v>
      </c>
      <c r="J252" s="7" t="str">
        <f t="shared" ref="J252" si="1596">J251</f>
        <v>Stylosanthes viscosa</v>
      </c>
      <c r="K252" s="7" t="str">
        <f t="shared" ref="K252" si="1597">K251</f>
        <v>Fabaceae</v>
      </c>
      <c r="L252" s="7" t="str">
        <f t="shared" ref="L252" si="1598">L251</f>
        <v>Fabales</v>
      </c>
      <c r="M252" s="7" t="str">
        <f t="shared" ref="M252" si="1599">M251</f>
        <v>Herbaceous</v>
      </c>
      <c r="N252" s="7" t="str">
        <f t="shared" ref="N252" si="1600">N251</f>
        <v>64,65,71</v>
      </c>
      <c r="O252" s="7" t="str">
        <f t="shared" ref="O252" si="1601">O251</f>
        <v>OT-002(2026)</v>
      </c>
      <c r="P252" s="30">
        <v>95.49225387306339</v>
      </c>
      <c r="Q252" s="341"/>
      <c r="R252" s="76">
        <v>9.737733407144443</v>
      </c>
      <c r="S252" s="341"/>
      <c r="T252" s="76">
        <v>90.262266592855553</v>
      </c>
      <c r="U252" s="341"/>
    </row>
    <row r="253" spans="2:21" x14ac:dyDescent="0.35">
      <c r="B253" s="19">
        <f t="shared" si="1321"/>
        <v>243</v>
      </c>
      <c r="C253" s="7">
        <f>'1. Information samples'!C132</f>
        <v>46062</v>
      </c>
      <c r="D253" s="7" t="str">
        <f>'1. Information samples'!D132</f>
        <v>Genbank</v>
      </c>
      <c r="E253" s="14">
        <f>'1. Information samples'!E132</f>
        <v>30</v>
      </c>
      <c r="F253" s="7" t="str">
        <f>'1. Information samples'!F132</f>
        <v>F260019</v>
      </c>
      <c r="G253" s="7" t="str">
        <f>'1. Information samples'!G132</f>
        <v>CIAT3694</v>
      </c>
      <c r="H253" s="7" t="str">
        <f>'1. Information samples'!H132</f>
        <v>Desmodium</v>
      </c>
      <c r="I253" s="7" t="str">
        <f>'1. Information samples'!I132</f>
        <v>sandwicense</v>
      </c>
      <c r="J253" s="7" t="str">
        <f>'1. Information samples'!J132</f>
        <v>Desmodium sandwicense</v>
      </c>
      <c r="K253" s="7" t="str">
        <f>'1. Information samples'!K132</f>
        <v>Fabaceae</v>
      </c>
      <c r="L253" s="7" t="str">
        <f>'1. Information samples'!L132</f>
        <v>Fabales</v>
      </c>
      <c r="M253" s="7" t="str">
        <f>'1. Information samples'!M132</f>
        <v>Herbaceous</v>
      </c>
      <c r="N253" s="7" t="str">
        <f>'1. Information samples'!N132</f>
        <v>64,65,71</v>
      </c>
      <c r="O253" s="7" t="str">
        <f>'1. Information samples'!O132</f>
        <v>OT-002(2026)</v>
      </c>
      <c r="P253" s="30">
        <v>94.38112377524503</v>
      </c>
      <c r="Q253" s="341">
        <f t="shared" ref="Q253:S253" si="1602">AVERAGE(P253:P254)</f>
        <v>94.45110977804444</v>
      </c>
      <c r="R253" s="76">
        <v>10.924102889806395</v>
      </c>
      <c r="S253" s="341">
        <f t="shared" si="1602"/>
        <v>12.930030697575988</v>
      </c>
      <c r="T253" s="76">
        <v>89.075897110193608</v>
      </c>
      <c r="U253" s="341">
        <f t="shared" ref="U253" si="1603">AVERAGE(T253:T254)</f>
        <v>87.069969302424013</v>
      </c>
    </row>
    <row r="254" spans="2:21" x14ac:dyDescent="0.35">
      <c r="B254" s="19">
        <f t="shared" si="1321"/>
        <v>244</v>
      </c>
      <c r="C254" s="7">
        <f>C253</f>
        <v>46062</v>
      </c>
      <c r="D254" s="7" t="str">
        <f t="shared" ref="D254" si="1604">D253</f>
        <v>Genbank</v>
      </c>
      <c r="E254" s="14">
        <f t="shared" ref="E254" si="1605">E253</f>
        <v>30</v>
      </c>
      <c r="F254" s="7" t="str">
        <f t="shared" ref="F254" si="1606">F253</f>
        <v>F260019</v>
      </c>
      <c r="G254" s="7" t="str">
        <f t="shared" ref="G254" si="1607">G253</f>
        <v>CIAT3694</v>
      </c>
      <c r="H254" s="7" t="str">
        <f t="shared" ref="H254" si="1608">H253</f>
        <v>Desmodium</v>
      </c>
      <c r="I254" s="7" t="str">
        <f t="shared" ref="I254" si="1609">I253</f>
        <v>sandwicense</v>
      </c>
      <c r="J254" s="7" t="str">
        <f t="shared" ref="J254" si="1610">J253</f>
        <v>Desmodium sandwicense</v>
      </c>
      <c r="K254" s="7" t="str">
        <f t="shared" ref="K254" si="1611">K253</f>
        <v>Fabaceae</v>
      </c>
      <c r="L254" s="7" t="str">
        <f t="shared" ref="L254" si="1612">L253</f>
        <v>Fabales</v>
      </c>
      <c r="M254" s="7" t="str">
        <f t="shared" ref="M254" si="1613">M253</f>
        <v>Herbaceous</v>
      </c>
      <c r="N254" s="7" t="str">
        <f t="shared" ref="N254" si="1614">N253</f>
        <v>64,65,71</v>
      </c>
      <c r="O254" s="7" t="str">
        <f t="shared" ref="O254" si="1615">O253</f>
        <v>OT-002(2026)</v>
      </c>
      <c r="P254" s="30">
        <v>94.521095780843851</v>
      </c>
      <c r="Q254" s="341"/>
      <c r="R254" s="76">
        <v>14.935958505345582</v>
      </c>
      <c r="S254" s="341"/>
      <c r="T254" s="76">
        <v>85.064041494654418</v>
      </c>
      <c r="U254" s="341"/>
    </row>
    <row r="255" spans="2:21" x14ac:dyDescent="0.35">
      <c r="B255" s="19">
        <f t="shared" si="1321"/>
        <v>245</v>
      </c>
      <c r="C255" s="7">
        <f>'1. Information samples'!C133</f>
        <v>46062</v>
      </c>
      <c r="D255" s="7" t="str">
        <f>'1. Information samples'!D133</f>
        <v>Genbank</v>
      </c>
      <c r="E255" s="14">
        <f>'1. Information samples'!E133</f>
        <v>30</v>
      </c>
      <c r="F255" s="7" t="str">
        <f>'1. Information samples'!F133</f>
        <v>F260020</v>
      </c>
      <c r="G255" s="7" t="str">
        <f>'1. Information samples'!G133</f>
        <v>CIAT4080</v>
      </c>
      <c r="H255" s="7" t="str">
        <f>'1. Information samples'!H133</f>
        <v>Macroptilium</v>
      </c>
      <c r="I255" s="7" t="str">
        <f>'1. Information samples'!I133</f>
        <v>bracteatum</v>
      </c>
      <c r="J255" s="7" t="str">
        <f>'1. Information samples'!J133</f>
        <v>Macroptilium bracteatum</v>
      </c>
      <c r="K255" s="7" t="str">
        <f>'1. Information samples'!K133</f>
        <v>Fabaceae</v>
      </c>
      <c r="L255" s="7" t="str">
        <f>'1. Information samples'!L133</f>
        <v>Fabales</v>
      </c>
      <c r="M255" s="7" t="str">
        <f>'1. Information samples'!M133</f>
        <v>Herbaceous</v>
      </c>
      <c r="N255" s="7" t="str">
        <f>'1. Information samples'!N133</f>
        <v>64,65,71</v>
      </c>
      <c r="O255" s="7" t="str">
        <f>'1. Information samples'!O133</f>
        <v>OT-002(2026)</v>
      </c>
      <c r="P255" s="30">
        <v>94.672131147541066</v>
      </c>
      <c r="Q255" s="341">
        <f t="shared" ref="Q255:S255" si="1616">AVERAGE(P255:P256)</f>
        <v>94.687389911601656</v>
      </c>
      <c r="R255" s="76">
        <v>17.640489074759607</v>
      </c>
      <c r="S255" s="341">
        <f t="shared" si="1616"/>
        <v>16.188186298834058</v>
      </c>
      <c r="T255" s="76">
        <v>82.359510925240386</v>
      </c>
      <c r="U255" s="341">
        <f t="shared" ref="U255" si="1617">AVERAGE(T255:T256)</f>
        <v>83.811813701165931</v>
      </c>
    </row>
    <row r="256" spans="2:21" x14ac:dyDescent="0.35">
      <c r="B256" s="19">
        <f t="shared" si="1321"/>
        <v>246</v>
      </c>
      <c r="C256" s="7">
        <f>C255</f>
        <v>46062</v>
      </c>
      <c r="D256" s="7" t="str">
        <f t="shared" ref="D256" si="1618">D255</f>
        <v>Genbank</v>
      </c>
      <c r="E256" s="14">
        <f t="shared" ref="E256" si="1619">E255</f>
        <v>30</v>
      </c>
      <c r="F256" s="7" t="str">
        <f t="shared" ref="F256" si="1620">F255</f>
        <v>F260020</v>
      </c>
      <c r="G256" s="7" t="str">
        <f t="shared" ref="G256" si="1621">G255</f>
        <v>CIAT4080</v>
      </c>
      <c r="H256" s="7" t="str">
        <f t="shared" ref="H256" si="1622">H255</f>
        <v>Macroptilium</v>
      </c>
      <c r="I256" s="7" t="str">
        <f t="shared" ref="I256" si="1623">I255</f>
        <v>bracteatum</v>
      </c>
      <c r="J256" s="7" t="str">
        <f t="shared" ref="J256" si="1624">J255</f>
        <v>Macroptilium bracteatum</v>
      </c>
      <c r="K256" s="7" t="str">
        <f t="shared" ref="K256" si="1625">K255</f>
        <v>Fabaceae</v>
      </c>
      <c r="L256" s="7" t="str">
        <f t="shared" ref="L256" si="1626">L255</f>
        <v>Fabales</v>
      </c>
      <c r="M256" s="7" t="str">
        <f t="shared" ref="M256" si="1627">M255</f>
        <v>Herbaceous</v>
      </c>
      <c r="N256" s="7" t="str">
        <f t="shared" ref="N256" si="1628">N255</f>
        <v>64,65,71</v>
      </c>
      <c r="O256" s="7" t="str">
        <f t="shared" ref="O256" si="1629">O255</f>
        <v>OT-002(2026)</v>
      </c>
      <c r="P256" s="30">
        <v>94.702648675662232</v>
      </c>
      <c r="Q256" s="341"/>
      <c r="R256" s="76">
        <v>14.735883522908511</v>
      </c>
      <c r="S256" s="341"/>
      <c r="T256" s="76">
        <v>85.264116477091491</v>
      </c>
      <c r="U256" s="341"/>
    </row>
    <row r="257" spans="2:21" x14ac:dyDescent="0.35">
      <c r="B257" s="19">
        <f t="shared" si="1321"/>
        <v>247</v>
      </c>
      <c r="C257" s="7">
        <f>'1. Information samples'!C134</f>
        <v>46062</v>
      </c>
      <c r="D257" s="7" t="str">
        <f>'1. Information samples'!D134</f>
        <v>Genbank</v>
      </c>
      <c r="E257" s="14">
        <f>'1. Information samples'!E134</f>
        <v>30</v>
      </c>
      <c r="F257" s="7" t="str">
        <f>'1. Information samples'!F134</f>
        <v>F260021</v>
      </c>
      <c r="G257" s="7" t="str">
        <f>'1. Information samples'!G134</f>
        <v>CIAT7162</v>
      </c>
      <c r="H257" s="7" t="str">
        <f>'1. Information samples'!H134</f>
        <v>Indigofera</v>
      </c>
      <c r="I257" s="7" t="str">
        <f>'1. Information samples'!I134</f>
        <v>jamaicensis</v>
      </c>
      <c r="J257" s="7" t="str">
        <f>'1. Information samples'!J134</f>
        <v>Indigofera jamaicensis</v>
      </c>
      <c r="K257" s="7" t="str">
        <f>'1. Information samples'!K134</f>
        <v>Fabaceae</v>
      </c>
      <c r="L257" s="7" t="str">
        <f>'1. Information samples'!L134</f>
        <v>Fabales</v>
      </c>
      <c r="M257" s="7" t="str">
        <f>'1. Information samples'!M134</f>
        <v>Herbaceous</v>
      </c>
      <c r="N257" s="7" t="str">
        <f>'1. Information samples'!N134</f>
        <v>64,65,71</v>
      </c>
      <c r="O257" s="7" t="str">
        <f>'1. Information samples'!O134</f>
        <v>OT-002(2026)</v>
      </c>
      <c r="P257" s="30">
        <v>93.932427029188176</v>
      </c>
      <c r="Q257" s="341">
        <f t="shared" ref="Q257:S257" si="1630">AVERAGE(P257:P258)</f>
        <v>94.017098249173713</v>
      </c>
      <c r="R257" s="76">
        <v>14.480934246923749</v>
      </c>
      <c r="S257" s="341">
        <f t="shared" si="1630"/>
        <v>15.83738766020349</v>
      </c>
      <c r="T257" s="76">
        <v>85.519065753076248</v>
      </c>
      <c r="U257" s="341">
        <f t="shared" ref="U257" si="1631">AVERAGE(T257:T258)</f>
        <v>84.16261233979651</v>
      </c>
    </row>
    <row r="258" spans="2:21" x14ac:dyDescent="0.35">
      <c r="B258" s="19">
        <f t="shared" si="1321"/>
        <v>248</v>
      </c>
      <c r="C258" s="7">
        <f>C257</f>
        <v>46062</v>
      </c>
      <c r="D258" s="7" t="str">
        <f t="shared" ref="D258" si="1632">D257</f>
        <v>Genbank</v>
      </c>
      <c r="E258" s="14">
        <f t="shared" ref="E258" si="1633">E257</f>
        <v>30</v>
      </c>
      <c r="F258" s="7" t="str">
        <f t="shared" ref="F258" si="1634">F257</f>
        <v>F260021</v>
      </c>
      <c r="G258" s="7" t="str">
        <f t="shared" ref="G258" si="1635">G257</f>
        <v>CIAT7162</v>
      </c>
      <c r="H258" s="7" t="str">
        <f t="shared" ref="H258" si="1636">H257</f>
        <v>Indigofera</v>
      </c>
      <c r="I258" s="7" t="str">
        <f t="shared" ref="I258" si="1637">I257</f>
        <v>jamaicensis</v>
      </c>
      <c r="J258" s="7" t="str">
        <f t="shared" ref="J258" si="1638">J257</f>
        <v>Indigofera jamaicensis</v>
      </c>
      <c r="K258" s="7" t="str">
        <f t="shared" ref="K258" si="1639">K257</f>
        <v>Fabaceae</v>
      </c>
      <c r="L258" s="7" t="str">
        <f t="shared" ref="L258" si="1640">L257</f>
        <v>Fabales</v>
      </c>
      <c r="M258" s="7" t="str">
        <f t="shared" ref="M258" si="1641">M257</f>
        <v>Herbaceous</v>
      </c>
      <c r="N258" s="7" t="str">
        <f t="shared" ref="N258" si="1642">N257</f>
        <v>64,65,71</v>
      </c>
      <c r="O258" s="7" t="str">
        <f t="shared" ref="O258" si="1643">O257</f>
        <v>OT-002(2026)</v>
      </c>
      <c r="P258" s="30">
        <v>94.101769469159251</v>
      </c>
      <c r="Q258" s="341"/>
      <c r="R258" s="76">
        <v>17.193841073483231</v>
      </c>
      <c r="S258" s="341"/>
      <c r="T258" s="76">
        <v>82.806158926516773</v>
      </c>
      <c r="U258" s="341"/>
    </row>
    <row r="259" spans="2:21" x14ac:dyDescent="0.35">
      <c r="B259" s="19">
        <f t="shared" si="1321"/>
        <v>249</v>
      </c>
      <c r="C259" s="7">
        <f>'1. Information samples'!C135</f>
        <v>46062</v>
      </c>
      <c r="D259" s="7" t="str">
        <f>'1. Information samples'!D135</f>
        <v>Genbank</v>
      </c>
      <c r="E259" s="14">
        <f>'1. Information samples'!E135</f>
        <v>30</v>
      </c>
      <c r="F259" s="7" t="str">
        <f>'1. Information samples'!F135</f>
        <v>F260022</v>
      </c>
      <c r="G259" s="7" t="str">
        <f>'1. Information samples'!G135</f>
        <v>CIAT8820</v>
      </c>
      <c r="H259" s="7" t="str">
        <f>'1. Information samples'!H135</f>
        <v>Tephrosia</v>
      </c>
      <c r="I259" s="7" t="str">
        <f>'1. Information samples'!I135</f>
        <v>cinerea</v>
      </c>
      <c r="J259" s="7" t="str">
        <f>'1. Information samples'!J135</f>
        <v>Tephrosia cinerea</v>
      </c>
      <c r="K259" s="7" t="str">
        <f>'1. Information samples'!K135</f>
        <v>Fabaceae</v>
      </c>
      <c r="L259" s="7" t="str">
        <f>'1. Information samples'!L135</f>
        <v>Fabales</v>
      </c>
      <c r="M259" s="7" t="str">
        <f>'1. Information samples'!M135</f>
        <v>Herbaceous</v>
      </c>
      <c r="N259" s="7" t="str">
        <f>'1. Information samples'!N135</f>
        <v>64,65,71</v>
      </c>
      <c r="O259" s="7" t="str">
        <f>'1. Information samples'!O135</f>
        <v>OT-002(2026)</v>
      </c>
      <c r="P259" s="30">
        <v>95.040991801639635</v>
      </c>
      <c r="Q259" s="341">
        <f t="shared" ref="Q259:S259" si="1644">AVERAGE(P259:P260)</f>
        <v>95.075740376372266</v>
      </c>
      <c r="R259" s="76">
        <v>10.526342851185426</v>
      </c>
      <c r="S259" s="341">
        <f t="shared" si="1644"/>
        <v>9.5330240972893527</v>
      </c>
      <c r="T259" s="76">
        <v>89.473657148814567</v>
      </c>
      <c r="U259" s="341">
        <f t="shared" ref="U259" si="1645">AVERAGE(T259:T260)</f>
        <v>90.466975902710644</v>
      </c>
    </row>
    <row r="260" spans="2:21" x14ac:dyDescent="0.35">
      <c r="B260" s="19">
        <f t="shared" si="1321"/>
        <v>250</v>
      </c>
      <c r="C260" s="7">
        <f>C259</f>
        <v>46062</v>
      </c>
      <c r="D260" s="7" t="str">
        <f t="shared" ref="D260" si="1646">D259</f>
        <v>Genbank</v>
      </c>
      <c r="E260" s="14">
        <f t="shared" ref="E260" si="1647">E259</f>
        <v>30</v>
      </c>
      <c r="F260" s="7" t="str">
        <f t="shared" ref="F260" si="1648">F259</f>
        <v>F260022</v>
      </c>
      <c r="G260" s="7" t="str">
        <f t="shared" ref="G260" si="1649">G259</f>
        <v>CIAT8820</v>
      </c>
      <c r="H260" s="7" t="str">
        <f t="shared" ref="H260" si="1650">H259</f>
        <v>Tephrosia</v>
      </c>
      <c r="I260" s="7" t="str">
        <f t="shared" ref="I260" si="1651">I259</f>
        <v>cinerea</v>
      </c>
      <c r="J260" s="7" t="str">
        <f t="shared" ref="J260" si="1652">J259</f>
        <v>Tephrosia cinerea</v>
      </c>
      <c r="K260" s="7" t="str">
        <f t="shared" ref="K260" si="1653">K259</f>
        <v>Fabaceae</v>
      </c>
      <c r="L260" s="7" t="str">
        <f t="shared" ref="L260" si="1654">L259</f>
        <v>Fabales</v>
      </c>
      <c r="M260" s="7" t="str">
        <f t="shared" ref="M260" si="1655">M259</f>
        <v>Herbaceous</v>
      </c>
      <c r="N260" s="7" t="str">
        <f t="shared" ref="N260" si="1656">N259</f>
        <v>64,65,71</v>
      </c>
      <c r="O260" s="7" t="str">
        <f t="shared" ref="O260" si="1657">O259</f>
        <v>OT-002(2026)</v>
      </c>
      <c r="P260" s="30">
        <v>95.110488951104898</v>
      </c>
      <c r="Q260" s="341"/>
      <c r="R260" s="76">
        <v>8.5397053433932815</v>
      </c>
      <c r="S260" s="341"/>
      <c r="T260" s="76">
        <v>91.46029465660672</v>
      </c>
      <c r="U260" s="341"/>
    </row>
    <row r="261" spans="2:21" x14ac:dyDescent="0.35">
      <c r="B261" s="19">
        <f t="shared" si="1321"/>
        <v>251</v>
      </c>
      <c r="C261" s="7">
        <f>'1. Information samples'!C136</f>
        <v>46062</v>
      </c>
      <c r="D261" s="7" t="str">
        <f>'1. Information samples'!D136</f>
        <v>Genbank</v>
      </c>
      <c r="E261" s="14">
        <f>'1. Information samples'!E136</f>
        <v>30</v>
      </c>
      <c r="F261" s="7" t="str">
        <f>'1. Information samples'!F136</f>
        <v>F260023</v>
      </c>
      <c r="G261" s="7" t="str">
        <f>'1. Information samples'!G136</f>
        <v>CIAT14080</v>
      </c>
      <c r="H261" s="7" t="str">
        <f>'1. Information samples'!H136</f>
        <v>Zornia</v>
      </c>
      <c r="I261" s="7" t="str">
        <f>'1. Information samples'!I136</f>
        <v>brasiliensis</v>
      </c>
      <c r="J261" s="7" t="str">
        <f>'1. Information samples'!J136</f>
        <v>Zornia brasiliensis</v>
      </c>
      <c r="K261" s="7" t="str">
        <f>'1. Information samples'!K136</f>
        <v>Fabaceae</v>
      </c>
      <c r="L261" s="7" t="str">
        <f>'1. Information samples'!L136</f>
        <v>Fabales</v>
      </c>
      <c r="M261" s="7" t="str">
        <f>'1. Information samples'!M136</f>
        <v>Herbaceous</v>
      </c>
      <c r="N261" s="7" t="str">
        <f>'1. Information samples'!N136</f>
        <v>64,65,71</v>
      </c>
      <c r="O261" s="7" t="str">
        <f>'1. Information samples'!O136</f>
        <v>OT-002(2026)</v>
      </c>
      <c r="P261" s="30">
        <v>94.68053194680526</v>
      </c>
      <c r="Q261" s="341">
        <f t="shared" ref="Q261:S261" si="1658">AVERAGE(P261:P262)</f>
        <v>94.725788868823486</v>
      </c>
      <c r="R261" s="76">
        <v>18.535864821244271</v>
      </c>
      <c r="S261" s="341">
        <f t="shared" si="1658"/>
        <v>18.455778140978239</v>
      </c>
      <c r="T261" s="76">
        <v>81.464135178755726</v>
      </c>
      <c r="U261" s="341">
        <f t="shared" ref="U261" si="1659">AVERAGE(T261:T262)</f>
        <v>81.544221859021761</v>
      </c>
    </row>
    <row r="262" spans="2:21" x14ac:dyDescent="0.35">
      <c r="B262" s="19">
        <f t="shared" si="1321"/>
        <v>252</v>
      </c>
      <c r="C262" s="7">
        <f>C261</f>
        <v>46062</v>
      </c>
      <c r="D262" s="7" t="str">
        <f t="shared" ref="D262" si="1660">D261</f>
        <v>Genbank</v>
      </c>
      <c r="E262" s="14">
        <f t="shared" ref="E262" si="1661">E261</f>
        <v>30</v>
      </c>
      <c r="F262" s="7" t="str">
        <f t="shared" ref="F262" si="1662">F261</f>
        <v>F260023</v>
      </c>
      <c r="G262" s="7" t="str">
        <f t="shared" ref="G262" si="1663">G261</f>
        <v>CIAT14080</v>
      </c>
      <c r="H262" s="7" t="str">
        <f t="shared" ref="H262" si="1664">H261</f>
        <v>Zornia</v>
      </c>
      <c r="I262" s="7" t="str">
        <f t="shared" ref="I262" si="1665">I261</f>
        <v>brasiliensis</v>
      </c>
      <c r="J262" s="7" t="str">
        <f t="shared" ref="J262" si="1666">J261</f>
        <v>Zornia brasiliensis</v>
      </c>
      <c r="K262" s="7" t="str">
        <f t="shared" ref="K262" si="1667">K261</f>
        <v>Fabaceae</v>
      </c>
      <c r="L262" s="7" t="str">
        <f t="shared" ref="L262" si="1668">L261</f>
        <v>Fabales</v>
      </c>
      <c r="M262" s="7" t="str">
        <f t="shared" ref="M262" si="1669">M261</f>
        <v>Herbaceous</v>
      </c>
      <c r="N262" s="7" t="str">
        <f t="shared" ref="N262" si="1670">N261</f>
        <v>64,65,71</v>
      </c>
      <c r="O262" s="7" t="str">
        <f t="shared" ref="O262" si="1671">O261</f>
        <v>OT-002(2026)</v>
      </c>
      <c r="P262" s="30">
        <v>94.771045790841725</v>
      </c>
      <c r="Q262" s="341"/>
      <c r="R262" s="76">
        <v>18.375691460712208</v>
      </c>
      <c r="S262" s="341"/>
      <c r="T262" s="76">
        <v>81.624308539287796</v>
      </c>
      <c r="U262" s="341"/>
    </row>
    <row r="263" spans="2:21" x14ac:dyDescent="0.35">
      <c r="B263" s="19">
        <f t="shared" si="1321"/>
        <v>253</v>
      </c>
      <c r="C263" s="7">
        <f>'1. Information samples'!C137</f>
        <v>46062</v>
      </c>
      <c r="D263" s="7" t="str">
        <f>'1. Information samples'!D137</f>
        <v>Genbank</v>
      </c>
      <c r="E263" s="14">
        <f>'1. Information samples'!E137</f>
        <v>30</v>
      </c>
      <c r="F263" s="7" t="str">
        <f>'1. Information samples'!F137</f>
        <v>F260024</v>
      </c>
      <c r="G263" s="7" t="str">
        <f>'1. Information samples'!G137</f>
        <v>CIAT18950</v>
      </c>
      <c r="H263" s="7" t="str">
        <f>'1. Information samples'!H137</f>
        <v>Indigofera</v>
      </c>
      <c r="I263" s="7" t="str">
        <f>'1. Information samples'!I137</f>
        <v>spicata</v>
      </c>
      <c r="J263" s="7" t="str">
        <f>'1. Information samples'!J137</f>
        <v>Indigofera spicata</v>
      </c>
      <c r="K263" s="7" t="str">
        <f>'1. Information samples'!K137</f>
        <v>Fabaceae</v>
      </c>
      <c r="L263" s="7" t="str">
        <f>'1. Information samples'!L137</f>
        <v>Fabales</v>
      </c>
      <c r="M263" s="7" t="str">
        <f>'1. Information samples'!M137</f>
        <v>Herbaceous</v>
      </c>
      <c r="N263" s="7" t="str">
        <f>'1. Information samples'!N137</f>
        <v>64,65,71</v>
      </c>
      <c r="O263" s="7" t="str">
        <f>'1. Information samples'!O137</f>
        <v>OT-002(2026)</v>
      </c>
      <c r="P263" s="30">
        <v>93.523238380809488</v>
      </c>
      <c r="Q263" s="341">
        <f t="shared" ref="Q263:S263" si="1672">AVERAGE(P263:P264)</f>
        <v>93.518240879560167</v>
      </c>
      <c r="R263" s="76">
        <v>16.640837920162411</v>
      </c>
      <c r="S263" s="341">
        <f t="shared" si="1672"/>
        <v>15.892694917971408</v>
      </c>
      <c r="T263" s="76">
        <v>83.359162079837589</v>
      </c>
      <c r="U263" s="341">
        <f t="shared" ref="U263" si="1673">AVERAGE(T263:T264)</f>
        <v>84.107305082028603</v>
      </c>
    </row>
    <row r="264" spans="2:21" x14ac:dyDescent="0.35">
      <c r="B264" s="19">
        <f t="shared" si="1321"/>
        <v>254</v>
      </c>
      <c r="C264" s="7">
        <f>C263</f>
        <v>46062</v>
      </c>
      <c r="D264" s="7" t="str">
        <f t="shared" ref="D264" si="1674">D263</f>
        <v>Genbank</v>
      </c>
      <c r="E264" s="14">
        <f t="shared" ref="E264" si="1675">E263</f>
        <v>30</v>
      </c>
      <c r="F264" s="7" t="str">
        <f t="shared" ref="F264" si="1676">F263</f>
        <v>F260024</v>
      </c>
      <c r="G264" s="7" t="str">
        <f t="shared" ref="G264" si="1677">G263</f>
        <v>CIAT18950</v>
      </c>
      <c r="H264" s="7" t="str">
        <f t="shared" ref="H264" si="1678">H263</f>
        <v>Indigofera</v>
      </c>
      <c r="I264" s="7" t="str">
        <f t="shared" ref="I264" si="1679">I263</f>
        <v>spicata</v>
      </c>
      <c r="J264" s="7" t="str">
        <f t="shared" ref="J264" si="1680">J263</f>
        <v>Indigofera spicata</v>
      </c>
      <c r="K264" s="7" t="str">
        <f t="shared" ref="K264" si="1681">K263</f>
        <v>Fabaceae</v>
      </c>
      <c r="L264" s="7" t="str">
        <f t="shared" ref="L264" si="1682">L263</f>
        <v>Fabales</v>
      </c>
      <c r="M264" s="7" t="str">
        <f t="shared" ref="M264" si="1683">M263</f>
        <v>Herbaceous</v>
      </c>
      <c r="N264" s="7" t="str">
        <f t="shared" ref="N264" si="1684">N263</f>
        <v>64,65,71</v>
      </c>
      <c r="O264" s="7" t="str">
        <f t="shared" ref="O264" si="1685">O263</f>
        <v>OT-002(2026)</v>
      </c>
      <c r="P264" s="30">
        <v>93.513243378310847</v>
      </c>
      <c r="Q264" s="341"/>
      <c r="R264" s="76">
        <v>15.144551915780404</v>
      </c>
      <c r="S264" s="341"/>
      <c r="T264" s="76">
        <v>84.855448084219603</v>
      </c>
      <c r="U264" s="341"/>
    </row>
    <row r="265" spans="2:21" x14ac:dyDescent="0.35">
      <c r="B265" s="19">
        <f t="shared" si="1321"/>
        <v>255</v>
      </c>
      <c r="C265" s="7">
        <f>'1. Information samples'!C138</f>
        <v>46062</v>
      </c>
      <c r="D265" s="7" t="str">
        <f>'1. Information samples'!D138</f>
        <v>Genbank</v>
      </c>
      <c r="E265" s="14">
        <f>'1. Information samples'!E138</f>
        <v>30</v>
      </c>
      <c r="F265" s="7" t="str">
        <f>'1. Information samples'!F138</f>
        <v>F260025</v>
      </c>
      <c r="G265" s="7" t="str">
        <f>'1. Information samples'!G138</f>
        <v>CIAT19193</v>
      </c>
      <c r="H265" s="7" t="str">
        <f>'1. Information samples'!H138</f>
        <v>Tephrosia</v>
      </c>
      <c r="I265" s="7" t="str">
        <f>'1. Information samples'!I138</f>
        <v>villosa</v>
      </c>
      <c r="J265" s="7" t="str">
        <f>'1. Information samples'!J138</f>
        <v>Tephrosia villosa</v>
      </c>
      <c r="K265" s="7" t="str">
        <f>'1. Information samples'!K138</f>
        <v>Fabaceae</v>
      </c>
      <c r="L265" s="7" t="str">
        <f>'1. Information samples'!L138</f>
        <v>Fabales</v>
      </c>
      <c r="M265" s="7" t="str">
        <f>'1. Information samples'!M138</f>
        <v>Herbaceous</v>
      </c>
      <c r="N265" s="7" t="str">
        <f>'1. Information samples'!N138</f>
        <v>64,65,71</v>
      </c>
      <c r="O265" s="7" t="str">
        <f>'1. Information samples'!O138</f>
        <v>OT-002(2026)</v>
      </c>
      <c r="P265" s="30">
        <v>94.321135772845395</v>
      </c>
      <c r="Q265" s="341">
        <f t="shared" ref="Q265:S265" si="1686">AVERAGE(P265:P266)</f>
        <v>94.331699433803763</v>
      </c>
      <c r="R265" s="76">
        <v>7.1223738245709916</v>
      </c>
      <c r="S265" s="341">
        <f t="shared" si="1686"/>
        <v>7.1587501527996249</v>
      </c>
      <c r="T265" s="76">
        <v>92.877626175429015</v>
      </c>
      <c r="U265" s="341">
        <f t="shared" ref="U265" si="1687">AVERAGE(T265:T266)</f>
        <v>92.841249847200373</v>
      </c>
    </row>
    <row r="266" spans="2:21" x14ac:dyDescent="0.35">
      <c r="B266" s="19">
        <f t="shared" si="1321"/>
        <v>256</v>
      </c>
      <c r="C266" s="7">
        <f>C265</f>
        <v>46062</v>
      </c>
      <c r="D266" s="7" t="str">
        <f t="shared" ref="D266" si="1688">D265</f>
        <v>Genbank</v>
      </c>
      <c r="E266" s="14">
        <f t="shared" ref="E266" si="1689">E265</f>
        <v>30</v>
      </c>
      <c r="F266" s="7" t="str">
        <f t="shared" ref="F266" si="1690">F265</f>
        <v>F260025</v>
      </c>
      <c r="G266" s="7" t="str">
        <f t="shared" ref="G266" si="1691">G265</f>
        <v>CIAT19193</v>
      </c>
      <c r="H266" s="7" t="str">
        <f t="shared" ref="H266" si="1692">H265</f>
        <v>Tephrosia</v>
      </c>
      <c r="I266" s="7" t="str">
        <f t="shared" ref="I266" si="1693">I265</f>
        <v>villosa</v>
      </c>
      <c r="J266" s="7" t="str">
        <f t="shared" ref="J266" si="1694">J265</f>
        <v>Tephrosia villosa</v>
      </c>
      <c r="K266" s="7" t="str">
        <f t="shared" ref="K266" si="1695">K265</f>
        <v>Fabaceae</v>
      </c>
      <c r="L266" s="7" t="str">
        <f t="shared" ref="L266" si="1696">L265</f>
        <v>Fabales</v>
      </c>
      <c r="M266" s="7" t="str">
        <f t="shared" ref="M266" si="1697">M265</f>
        <v>Herbaceous</v>
      </c>
      <c r="N266" s="7" t="str">
        <f t="shared" ref="N266" si="1698">N265</f>
        <v>64,65,71</v>
      </c>
      <c r="O266" s="7" t="str">
        <f t="shared" ref="O266" si="1699">O265</f>
        <v>OT-002(2026)</v>
      </c>
      <c r="P266" s="30">
        <v>94.342263094762131</v>
      </c>
      <c r="Q266" s="341"/>
      <c r="R266" s="76">
        <v>7.1951264810282574</v>
      </c>
      <c r="S266" s="341"/>
      <c r="T266" s="76">
        <v>92.804873518971746</v>
      </c>
      <c r="U266" s="341"/>
    </row>
    <row r="267" spans="2:21" x14ac:dyDescent="0.35">
      <c r="B267" s="19">
        <f t="shared" si="1321"/>
        <v>257</v>
      </c>
      <c r="C267" s="7">
        <f>'1. Information samples'!C139</f>
        <v>46062</v>
      </c>
      <c r="D267" s="7" t="str">
        <f>'1. Information samples'!D139</f>
        <v>Genbank</v>
      </c>
      <c r="E267" s="14">
        <f>'1. Information samples'!E139</f>
        <v>30</v>
      </c>
      <c r="F267" s="7" t="str">
        <f>'1. Information samples'!F139</f>
        <v>F260026</v>
      </c>
      <c r="G267" s="7" t="str">
        <f>'1. Information samples'!G139</f>
        <v>CIAT19641</v>
      </c>
      <c r="H267" s="7" t="str">
        <f>'1. Information samples'!H139</f>
        <v>Tephrosia</v>
      </c>
      <c r="I267" s="7" t="str">
        <f>'1. Information samples'!I139</f>
        <v>purpurea</v>
      </c>
      <c r="J267" s="7" t="str">
        <f>'1. Information samples'!J139</f>
        <v>Tephrosia purpurea</v>
      </c>
      <c r="K267" s="7" t="str">
        <f>'1. Information samples'!K139</f>
        <v>Fabaceae</v>
      </c>
      <c r="L267" s="7" t="str">
        <f>'1. Information samples'!L139</f>
        <v>Fabales</v>
      </c>
      <c r="M267" s="7" t="str">
        <f>'1. Information samples'!M139</f>
        <v>Herbaceous</v>
      </c>
      <c r="N267" s="7" t="str">
        <f>'1. Information samples'!N139</f>
        <v>64,65,71</v>
      </c>
      <c r="O267" s="7" t="str">
        <f>'1. Information samples'!O139</f>
        <v>OT-002(2026)</v>
      </c>
      <c r="P267" s="30">
        <v>96.061575369852093</v>
      </c>
      <c r="Q267" s="341">
        <f t="shared" ref="Q267:S267" si="1700">AVERAGE(P267:P268)</f>
        <v>96.046581367453044</v>
      </c>
      <c r="R267" s="76">
        <v>8.3988135505021813</v>
      </c>
      <c r="S267" s="341">
        <f t="shared" si="1700"/>
        <v>8.3363688400895324</v>
      </c>
      <c r="T267" s="76">
        <v>91.601186449497817</v>
      </c>
      <c r="U267" s="341">
        <f t="shared" ref="U267" si="1701">AVERAGE(T267:T268)</f>
        <v>91.663631159910466</v>
      </c>
    </row>
    <row r="268" spans="2:21" x14ac:dyDescent="0.35">
      <c r="B268" s="19">
        <f t="shared" si="1321"/>
        <v>258</v>
      </c>
      <c r="C268" s="7">
        <f>C267</f>
        <v>46062</v>
      </c>
      <c r="D268" s="7" t="str">
        <f t="shared" ref="D268" si="1702">D267</f>
        <v>Genbank</v>
      </c>
      <c r="E268" s="14">
        <f t="shared" ref="E268" si="1703">E267</f>
        <v>30</v>
      </c>
      <c r="F268" s="7" t="str">
        <f t="shared" ref="F268" si="1704">F267</f>
        <v>F260026</v>
      </c>
      <c r="G268" s="7" t="str">
        <f t="shared" ref="G268" si="1705">G267</f>
        <v>CIAT19641</v>
      </c>
      <c r="H268" s="7" t="str">
        <f t="shared" ref="H268" si="1706">H267</f>
        <v>Tephrosia</v>
      </c>
      <c r="I268" s="7" t="str">
        <f t="shared" ref="I268" si="1707">I267</f>
        <v>purpurea</v>
      </c>
      <c r="J268" s="7" t="str">
        <f t="shared" ref="J268" si="1708">J267</f>
        <v>Tephrosia purpurea</v>
      </c>
      <c r="K268" s="7" t="str">
        <f t="shared" ref="K268" si="1709">K267</f>
        <v>Fabaceae</v>
      </c>
      <c r="L268" s="7" t="str">
        <f t="shared" ref="L268" si="1710">L267</f>
        <v>Fabales</v>
      </c>
      <c r="M268" s="7" t="str">
        <f t="shared" ref="M268" si="1711">M267</f>
        <v>Herbaceous</v>
      </c>
      <c r="N268" s="7" t="str">
        <f t="shared" ref="N268" si="1712">N267</f>
        <v>64,65,71</v>
      </c>
      <c r="O268" s="7" t="str">
        <f t="shared" ref="O268" si="1713">O267</f>
        <v>OT-002(2026)</v>
      </c>
      <c r="P268" s="30">
        <v>96.031587365053994</v>
      </c>
      <c r="Q268" s="341"/>
      <c r="R268" s="76">
        <v>8.2739241296768835</v>
      </c>
      <c r="S268" s="341"/>
      <c r="T268" s="76">
        <v>91.726075870323115</v>
      </c>
      <c r="U268" s="341"/>
    </row>
    <row r="269" spans="2:21" x14ac:dyDescent="0.35">
      <c r="B269" s="19">
        <f t="shared" ref="B269:B306" si="1714">B268+1</f>
        <v>259</v>
      </c>
      <c r="C269" s="7">
        <f>'1. Information samples'!C140</f>
        <v>46062</v>
      </c>
      <c r="D269" s="7" t="str">
        <f>'1. Information samples'!D140</f>
        <v>Genbank</v>
      </c>
      <c r="E269" s="14">
        <f>'1. Information samples'!E140</f>
        <v>30</v>
      </c>
      <c r="F269" s="7" t="str">
        <f>'1. Information samples'!F140</f>
        <v>F260027</v>
      </c>
      <c r="G269" s="7" t="str">
        <f>'1. Information samples'!G140</f>
        <v>CIAT23503</v>
      </c>
      <c r="H269" s="7" t="str">
        <f>'1. Information samples'!H140</f>
        <v>Desmodium</v>
      </c>
      <c r="I269" s="7" t="str">
        <f>'1. Information samples'!I140</f>
        <v>macrodesmum</v>
      </c>
      <c r="J269" s="7" t="str">
        <f>'1. Information samples'!J140</f>
        <v>Desmodium macrodesmum</v>
      </c>
      <c r="K269" s="7" t="str">
        <f>'1. Information samples'!K140</f>
        <v>Fabaceae</v>
      </c>
      <c r="L269" s="7" t="str">
        <f>'1. Information samples'!L140</f>
        <v>Fabales</v>
      </c>
      <c r="M269" s="7" t="str">
        <f>'1. Information samples'!M140</f>
        <v>Herbaceous</v>
      </c>
      <c r="N269" s="7" t="str">
        <f>'1. Information samples'!N140</f>
        <v>64,65,71</v>
      </c>
      <c r="O269" s="7" t="str">
        <f>'1. Information samples'!O140</f>
        <v>OT-002(2026)</v>
      </c>
      <c r="P269" s="30">
        <v>93.353323338330938</v>
      </c>
      <c r="Q269" s="341">
        <f t="shared" ref="Q269:S269" si="1715">AVERAGE(P269:P270)</f>
        <v>93.327331535192229</v>
      </c>
      <c r="R269" s="76">
        <v>12.273224440419266</v>
      </c>
      <c r="S269" s="341">
        <f t="shared" si="1715"/>
        <v>13.223150703368908</v>
      </c>
      <c r="T269" s="76">
        <v>87.72677555958073</v>
      </c>
      <c r="U269" s="341">
        <f t="shared" ref="U269" si="1716">AVERAGE(T269:T270)</f>
        <v>86.776849296631099</v>
      </c>
    </row>
    <row r="270" spans="2:21" x14ac:dyDescent="0.35">
      <c r="B270" s="19">
        <f t="shared" si="1714"/>
        <v>260</v>
      </c>
      <c r="C270" s="7">
        <f>C269</f>
        <v>46062</v>
      </c>
      <c r="D270" s="7" t="str">
        <f t="shared" ref="D270" si="1717">D269</f>
        <v>Genbank</v>
      </c>
      <c r="E270" s="14">
        <f t="shared" ref="E270" si="1718">E269</f>
        <v>30</v>
      </c>
      <c r="F270" s="7" t="str">
        <f t="shared" ref="F270" si="1719">F269</f>
        <v>F260027</v>
      </c>
      <c r="G270" s="7" t="str">
        <f t="shared" ref="G270" si="1720">G269</f>
        <v>CIAT23503</v>
      </c>
      <c r="H270" s="7" t="str">
        <f t="shared" ref="H270" si="1721">H269</f>
        <v>Desmodium</v>
      </c>
      <c r="I270" s="7" t="str">
        <f t="shared" ref="I270" si="1722">I269</f>
        <v>macrodesmum</v>
      </c>
      <c r="J270" s="7" t="str">
        <f t="shared" ref="J270" si="1723">J269</f>
        <v>Desmodium macrodesmum</v>
      </c>
      <c r="K270" s="7" t="str">
        <f t="shared" ref="K270" si="1724">K269</f>
        <v>Fabaceae</v>
      </c>
      <c r="L270" s="7" t="str">
        <f t="shared" ref="L270" si="1725">L269</f>
        <v>Fabales</v>
      </c>
      <c r="M270" s="7" t="str">
        <f t="shared" ref="M270" si="1726">M269</f>
        <v>Herbaceous</v>
      </c>
      <c r="N270" s="7" t="str">
        <f t="shared" ref="N270" si="1727">N269</f>
        <v>64,65,71</v>
      </c>
      <c r="O270" s="7" t="str">
        <f t="shared" ref="O270" si="1728">O269</f>
        <v>OT-002(2026)</v>
      </c>
      <c r="P270" s="30">
        <v>93.30133973205352</v>
      </c>
      <c r="Q270" s="341"/>
      <c r="R270" s="76">
        <v>14.173076966318551</v>
      </c>
      <c r="S270" s="341"/>
      <c r="T270" s="76">
        <v>85.826923033681453</v>
      </c>
      <c r="U270" s="341"/>
    </row>
    <row r="271" spans="2:21" x14ac:dyDescent="0.35">
      <c r="B271" s="19">
        <f t="shared" si="1714"/>
        <v>261</v>
      </c>
      <c r="C271" s="7">
        <f>'1. Information samples'!C141</f>
        <v>46062</v>
      </c>
      <c r="D271" s="7" t="str">
        <f>'1. Information samples'!D141</f>
        <v>Genbank</v>
      </c>
      <c r="E271" s="14">
        <f>'1. Information samples'!E141</f>
        <v>30</v>
      </c>
      <c r="F271" s="7" t="str">
        <f>'1. Information samples'!F141</f>
        <v>F260028</v>
      </c>
      <c r="G271" s="7" t="str">
        <f>'1. Information samples'!G141</f>
        <v>CIAT24333</v>
      </c>
      <c r="H271" s="7" t="str">
        <f>'1. Information samples'!H141</f>
        <v>Macroptilium</v>
      </c>
      <c r="I271" s="7" t="str">
        <f>'1. Information samples'!I141</f>
        <v>bracteatum</v>
      </c>
      <c r="J271" s="7" t="str">
        <f>'1. Information samples'!J141</f>
        <v>Macroptilium bracteatum</v>
      </c>
      <c r="K271" s="7" t="str">
        <f>'1. Information samples'!K141</f>
        <v>Fabaceae</v>
      </c>
      <c r="L271" s="7" t="str">
        <f>'1. Information samples'!L141</f>
        <v>Fabales</v>
      </c>
      <c r="M271" s="7" t="str">
        <f>'1. Information samples'!M141</f>
        <v>Herbaceous</v>
      </c>
      <c r="N271" s="7" t="str">
        <f>'1. Information samples'!N141</f>
        <v>64,65,71</v>
      </c>
      <c r="O271" s="7" t="str">
        <f>'1. Information samples'!O141</f>
        <v>OT-002(2026)</v>
      </c>
      <c r="P271" s="30">
        <v>94.361691492552168</v>
      </c>
      <c r="Q271" s="341">
        <f t="shared" ref="Q271:S271" si="1729">AVERAGE(P271:P272)</f>
        <v>94.412230054122119</v>
      </c>
      <c r="R271" s="76">
        <v>9.7945211409043722</v>
      </c>
      <c r="S271" s="341">
        <f t="shared" si="1729"/>
        <v>9.692969907408278</v>
      </c>
      <c r="T271" s="76">
        <v>90.205478859095621</v>
      </c>
      <c r="U271" s="341">
        <f t="shared" ref="U271" si="1730">AVERAGE(T271:T272)</f>
        <v>90.307030092591717</v>
      </c>
    </row>
    <row r="272" spans="2:21" x14ac:dyDescent="0.35">
      <c r="B272" s="19">
        <f t="shared" si="1714"/>
        <v>262</v>
      </c>
      <c r="C272" s="7">
        <f>C271</f>
        <v>46062</v>
      </c>
      <c r="D272" s="7" t="str">
        <f t="shared" ref="D272" si="1731">D271</f>
        <v>Genbank</v>
      </c>
      <c r="E272" s="14">
        <f t="shared" ref="E272" si="1732">E271</f>
        <v>30</v>
      </c>
      <c r="F272" s="7" t="str">
        <f t="shared" ref="F272" si="1733">F271</f>
        <v>F260028</v>
      </c>
      <c r="G272" s="7" t="str">
        <f t="shared" ref="G272" si="1734">G271</f>
        <v>CIAT24333</v>
      </c>
      <c r="H272" s="7" t="str">
        <f t="shared" ref="H272" si="1735">H271</f>
        <v>Macroptilium</v>
      </c>
      <c r="I272" s="7" t="str">
        <f t="shared" ref="I272" si="1736">I271</f>
        <v>bracteatum</v>
      </c>
      <c r="J272" s="7" t="str">
        <f t="shared" ref="J272" si="1737">J271</f>
        <v>Macroptilium bracteatum</v>
      </c>
      <c r="K272" s="7" t="str">
        <f t="shared" ref="K272" si="1738">K271</f>
        <v>Fabaceae</v>
      </c>
      <c r="L272" s="7" t="str">
        <f t="shared" ref="L272" si="1739">L271</f>
        <v>Fabales</v>
      </c>
      <c r="M272" s="7" t="str">
        <f t="shared" ref="M272" si="1740">M271</f>
        <v>Herbaceous</v>
      </c>
      <c r="N272" s="7" t="str">
        <f t="shared" ref="N272" si="1741">N271</f>
        <v>64,65,71</v>
      </c>
      <c r="O272" s="7" t="str">
        <f t="shared" ref="O272" si="1742">O271</f>
        <v>OT-002(2026)</v>
      </c>
      <c r="P272" s="30">
        <v>94.46276861569207</v>
      </c>
      <c r="Q272" s="341"/>
      <c r="R272" s="76">
        <v>9.5914186739121838</v>
      </c>
      <c r="S272" s="341"/>
      <c r="T272" s="76">
        <v>90.408581326087813</v>
      </c>
      <c r="U272" s="341"/>
    </row>
    <row r="273" spans="2:21" x14ac:dyDescent="0.35">
      <c r="B273" s="19">
        <f t="shared" si="1714"/>
        <v>263</v>
      </c>
      <c r="C273" s="7">
        <f>'1. Information samples'!C142</f>
        <v>46062</v>
      </c>
      <c r="D273" s="7" t="str">
        <f>'1. Information samples'!D142</f>
        <v>Genbank</v>
      </c>
      <c r="E273" s="14">
        <f>'1. Information samples'!E142</f>
        <v>30</v>
      </c>
      <c r="F273" s="7" t="str">
        <f>'1. Information samples'!F142</f>
        <v>F260029</v>
      </c>
      <c r="G273" s="7" t="str">
        <f>'1. Information samples'!G142</f>
        <v>CIAT33235</v>
      </c>
      <c r="H273" s="7" t="str">
        <f>'1. Information samples'!H142</f>
        <v>Desmodium</v>
      </c>
      <c r="I273" s="7" t="str">
        <f>'1. Information samples'!I142</f>
        <v>scorpiurus</v>
      </c>
      <c r="J273" s="7" t="str">
        <f>'1. Information samples'!J142</f>
        <v>Desmodium scorpiurus</v>
      </c>
      <c r="K273" s="7" t="str">
        <f>'1. Information samples'!K142</f>
        <v>Fabaceae</v>
      </c>
      <c r="L273" s="7" t="str">
        <f>'1. Information samples'!L142</f>
        <v>Fabales</v>
      </c>
      <c r="M273" s="7" t="str">
        <f>'1. Information samples'!M142</f>
        <v>Herbaceous</v>
      </c>
      <c r="N273" s="7" t="str">
        <f>'1. Information samples'!N142</f>
        <v>64,65,71</v>
      </c>
      <c r="O273" s="7" t="str">
        <f>'1. Information samples'!O142</f>
        <v>OT-002(2026)</v>
      </c>
      <c r="P273" s="30">
        <v>93.253373313343488</v>
      </c>
      <c r="Q273" s="341">
        <f t="shared" ref="Q273:S273" si="1743">AVERAGE(P273:P274)</f>
        <v>93.331686656671707</v>
      </c>
      <c r="R273" s="76">
        <v>15.720988437871682</v>
      </c>
      <c r="S273" s="341">
        <f t="shared" si="1743"/>
        <v>15.451699578871871</v>
      </c>
      <c r="T273" s="76">
        <v>84.279011562128318</v>
      </c>
      <c r="U273" s="341">
        <f t="shared" ref="U273" si="1744">AVERAGE(T273:T274)</f>
        <v>84.548300421128118</v>
      </c>
    </row>
    <row r="274" spans="2:21" x14ac:dyDescent="0.35">
      <c r="B274" s="19">
        <f t="shared" si="1714"/>
        <v>264</v>
      </c>
      <c r="C274" s="7">
        <f>C273</f>
        <v>46062</v>
      </c>
      <c r="D274" s="7" t="str">
        <f t="shared" ref="D274" si="1745">D273</f>
        <v>Genbank</v>
      </c>
      <c r="E274" s="14">
        <f t="shared" ref="E274" si="1746">E273</f>
        <v>30</v>
      </c>
      <c r="F274" s="7" t="str">
        <f t="shared" ref="F274" si="1747">F273</f>
        <v>F260029</v>
      </c>
      <c r="G274" s="7" t="str">
        <f t="shared" ref="G274" si="1748">G273</f>
        <v>CIAT33235</v>
      </c>
      <c r="H274" s="7" t="str">
        <f t="shared" ref="H274" si="1749">H273</f>
        <v>Desmodium</v>
      </c>
      <c r="I274" s="7" t="str">
        <f t="shared" ref="I274" si="1750">I273</f>
        <v>scorpiurus</v>
      </c>
      <c r="J274" s="7" t="str">
        <f t="shared" ref="J274" si="1751">J273</f>
        <v>Desmodium scorpiurus</v>
      </c>
      <c r="K274" s="7" t="str">
        <f t="shared" ref="K274" si="1752">K273</f>
        <v>Fabaceae</v>
      </c>
      <c r="L274" s="7" t="str">
        <f t="shared" ref="L274" si="1753">L273</f>
        <v>Fabales</v>
      </c>
      <c r="M274" s="7" t="str">
        <f t="shared" ref="M274" si="1754">M273</f>
        <v>Herbaceous</v>
      </c>
      <c r="N274" s="7" t="str">
        <f t="shared" ref="N274" si="1755">N273</f>
        <v>64,65,71</v>
      </c>
      <c r="O274" s="7" t="str">
        <f t="shared" ref="O274" si="1756">O273</f>
        <v>OT-002(2026)</v>
      </c>
      <c r="P274" s="30">
        <v>93.409999999999911</v>
      </c>
      <c r="Q274" s="341"/>
      <c r="R274" s="76">
        <v>15.182410719872061</v>
      </c>
      <c r="S274" s="341"/>
      <c r="T274" s="76">
        <v>84.817589280127933</v>
      </c>
      <c r="U274" s="341"/>
    </row>
    <row r="275" spans="2:21" x14ac:dyDescent="0.35">
      <c r="B275" s="19">
        <f t="shared" si="1714"/>
        <v>265</v>
      </c>
      <c r="C275" s="7">
        <f>'1. Information samples'!C143</f>
        <v>46062</v>
      </c>
      <c r="D275" s="7" t="str">
        <f>'1. Information samples'!D143</f>
        <v>Genbank</v>
      </c>
      <c r="E275" s="14">
        <f>'1. Information samples'!E143</f>
        <v>30</v>
      </c>
      <c r="F275" s="7" t="str">
        <f>'1. Information samples'!F143</f>
        <v>F260030</v>
      </c>
      <c r="G275" s="7" t="str">
        <f>'1. Information samples'!G143</f>
        <v>CIAT33605</v>
      </c>
      <c r="H275" s="7" t="str">
        <f>'1. Information samples'!H143</f>
        <v>Desmodium</v>
      </c>
      <c r="I275" s="7" t="str">
        <f>'1. Information samples'!I143</f>
        <v>sandwicense x intortum</v>
      </c>
      <c r="J275" s="7" t="str">
        <f>'1. Information samples'!J143</f>
        <v>Desmodium sandwicense x intortum</v>
      </c>
      <c r="K275" s="7" t="str">
        <f>'1. Information samples'!K143</f>
        <v>Fabaceae</v>
      </c>
      <c r="L275" s="7" t="str">
        <f>'1. Information samples'!L143</f>
        <v>Fabales</v>
      </c>
      <c r="M275" s="7" t="str">
        <f>'1. Information samples'!M143</f>
        <v>Herbaceous</v>
      </c>
      <c r="N275" s="7" t="str">
        <f>'1. Information samples'!N143</f>
        <v>64,65,71</v>
      </c>
      <c r="O275" s="7" t="str">
        <f>'1. Information samples'!O143</f>
        <v>OT-002(2026)</v>
      </c>
      <c r="P275" s="30">
        <v>95.592203898051025</v>
      </c>
      <c r="Q275" s="341">
        <f t="shared" ref="Q275:S275" si="1757">AVERAGE(P275:P276)</f>
        <v>95.552448141310151</v>
      </c>
      <c r="R275" s="76">
        <v>11.087840086532799</v>
      </c>
      <c r="S275" s="341">
        <f t="shared" si="1757"/>
        <v>10.574786152999778</v>
      </c>
      <c r="T275" s="76">
        <v>88.912159913467207</v>
      </c>
      <c r="U275" s="341">
        <f t="shared" ref="U275" si="1758">AVERAGE(T275:T276)</f>
        <v>89.425213847000222</v>
      </c>
    </row>
    <row r="276" spans="2:21" x14ac:dyDescent="0.35">
      <c r="B276" s="19">
        <f t="shared" si="1714"/>
        <v>266</v>
      </c>
      <c r="C276" s="7">
        <f>C275</f>
        <v>46062</v>
      </c>
      <c r="D276" s="7" t="str">
        <f t="shared" ref="D276" si="1759">D275</f>
        <v>Genbank</v>
      </c>
      <c r="E276" s="14">
        <f t="shared" ref="E276" si="1760">E275</f>
        <v>30</v>
      </c>
      <c r="F276" s="7" t="str">
        <f t="shared" ref="F276" si="1761">F275</f>
        <v>F260030</v>
      </c>
      <c r="G276" s="7" t="str">
        <f t="shared" ref="G276" si="1762">G275</f>
        <v>CIAT33605</v>
      </c>
      <c r="H276" s="7" t="str">
        <f t="shared" ref="H276" si="1763">H275</f>
        <v>Desmodium</v>
      </c>
      <c r="I276" s="7" t="str">
        <f t="shared" ref="I276" si="1764">I275</f>
        <v>sandwicense x intortum</v>
      </c>
      <c r="J276" s="7" t="str">
        <f t="shared" ref="J276" si="1765">J275</f>
        <v>Desmodium sandwicense x intortum</v>
      </c>
      <c r="K276" s="7" t="str">
        <f t="shared" ref="K276" si="1766">K275</f>
        <v>Fabaceae</v>
      </c>
      <c r="L276" s="7" t="str">
        <f t="shared" ref="L276" si="1767">L275</f>
        <v>Fabales</v>
      </c>
      <c r="M276" s="7" t="str">
        <f t="shared" ref="M276" si="1768">M275</f>
        <v>Herbaceous</v>
      </c>
      <c r="N276" s="7" t="str">
        <f t="shared" ref="N276" si="1769">N275</f>
        <v>64,65,71</v>
      </c>
      <c r="O276" s="7" t="str">
        <f t="shared" ref="O276" si="1770">O275</f>
        <v>OT-002(2026)</v>
      </c>
      <c r="P276" s="30">
        <v>95.512692384569291</v>
      </c>
      <c r="Q276" s="341"/>
      <c r="R276" s="76">
        <v>10.061732219466755</v>
      </c>
      <c r="S276" s="341"/>
      <c r="T276" s="76">
        <v>89.938267780533238</v>
      </c>
      <c r="U276" s="341"/>
    </row>
    <row r="277" spans="2:21" x14ac:dyDescent="0.35">
      <c r="B277" s="19">
        <f t="shared" si="1714"/>
        <v>267</v>
      </c>
      <c r="C277" s="7">
        <f>'1. Information samples'!C144</f>
        <v>46062</v>
      </c>
      <c r="D277" s="7" t="str">
        <f>'1. Information samples'!D144</f>
        <v>Genbank</v>
      </c>
      <c r="E277" s="14">
        <f>'1. Information samples'!E144</f>
        <v>30</v>
      </c>
      <c r="F277" s="7" t="str">
        <f>'1. Information samples'!F144</f>
        <v>F260031</v>
      </c>
      <c r="G277" s="7" t="str">
        <f>'1. Information samples'!G144</f>
        <v>CIAT34144</v>
      </c>
      <c r="H277" s="7" t="str">
        <f>'1. Information samples'!H144</f>
        <v>Vigna</v>
      </c>
      <c r="I277" s="7" t="str">
        <f>'1. Information samples'!I144</f>
        <v>radiata</v>
      </c>
      <c r="J277" s="7" t="str">
        <f>'1. Information samples'!J144</f>
        <v>Vigna radiata</v>
      </c>
      <c r="K277" s="7" t="str">
        <f>'1. Information samples'!K144</f>
        <v>Fabaceae</v>
      </c>
      <c r="L277" s="7" t="str">
        <f>'1. Information samples'!L144</f>
        <v>Fabales</v>
      </c>
      <c r="M277" s="7" t="str">
        <f>'1. Information samples'!M144</f>
        <v>Herbaceous</v>
      </c>
      <c r="N277" s="7" t="str">
        <f>'1. Information samples'!N144</f>
        <v>64,65,71</v>
      </c>
      <c r="O277" s="7" t="str">
        <f>'1. Information samples'!O144</f>
        <v>OT-002(2026)</v>
      </c>
      <c r="P277" s="30">
        <v>90.842747175847222</v>
      </c>
      <c r="Q277" s="341">
        <f t="shared" ref="Q277:S277" si="1771">AVERAGE(P277:P278)</f>
        <v>90.898634957238954</v>
      </c>
      <c r="R277" s="76">
        <v>11.404890665186485</v>
      </c>
      <c r="S277" s="341">
        <f t="shared" si="1771"/>
        <v>11.678644931879287</v>
      </c>
      <c r="T277" s="76">
        <v>88.595109334813515</v>
      </c>
      <c r="U277" s="341">
        <f t="shared" ref="U277" si="1772">AVERAGE(T277:T278)</f>
        <v>88.32135506812071</v>
      </c>
    </row>
    <row r="278" spans="2:21" x14ac:dyDescent="0.35">
      <c r="B278" s="19">
        <f t="shared" si="1714"/>
        <v>268</v>
      </c>
      <c r="C278" s="7">
        <f>C277</f>
        <v>46062</v>
      </c>
      <c r="D278" s="7" t="str">
        <f t="shared" ref="D278" si="1773">D277</f>
        <v>Genbank</v>
      </c>
      <c r="E278" s="14">
        <f t="shared" ref="E278" si="1774">E277</f>
        <v>30</v>
      </c>
      <c r="F278" s="7" t="str">
        <f t="shared" ref="F278" si="1775">F277</f>
        <v>F260031</v>
      </c>
      <c r="G278" s="7" t="str">
        <f t="shared" ref="G278" si="1776">G277</f>
        <v>CIAT34144</v>
      </c>
      <c r="H278" s="7" t="str">
        <f t="shared" ref="H278" si="1777">H277</f>
        <v>Vigna</v>
      </c>
      <c r="I278" s="7" t="str">
        <f t="shared" ref="I278" si="1778">I277</f>
        <v>radiata</v>
      </c>
      <c r="J278" s="7" t="str">
        <f t="shared" ref="J278" si="1779">J277</f>
        <v>Vigna radiata</v>
      </c>
      <c r="K278" s="7" t="str">
        <f t="shared" ref="K278" si="1780">K277</f>
        <v>Fabaceae</v>
      </c>
      <c r="L278" s="7" t="str">
        <f t="shared" ref="L278" si="1781">L277</f>
        <v>Fabales</v>
      </c>
      <c r="M278" s="7" t="str">
        <f t="shared" ref="M278" si="1782">M277</f>
        <v>Herbaceous</v>
      </c>
      <c r="N278" s="7" t="str">
        <f t="shared" ref="N278" si="1783">N277</f>
        <v>64,65,71</v>
      </c>
      <c r="O278" s="7" t="str">
        <f t="shared" ref="O278" si="1784">O277</f>
        <v>OT-002(2026)</v>
      </c>
      <c r="P278" s="30">
        <v>90.9545227386307</v>
      </c>
      <c r="Q278" s="341"/>
      <c r="R278" s="76">
        <v>11.95239919857209</v>
      </c>
      <c r="S278" s="341"/>
      <c r="T278" s="76">
        <v>88.047600801427905</v>
      </c>
      <c r="U278" s="341"/>
    </row>
    <row r="279" spans="2:21" x14ac:dyDescent="0.35">
      <c r="B279" s="19">
        <f t="shared" si="1714"/>
        <v>269</v>
      </c>
      <c r="C279" s="7">
        <f>'1. Information samples'!C145</f>
        <v>46062</v>
      </c>
      <c r="D279" s="7" t="str">
        <f>'1. Information samples'!D145</f>
        <v>Genbank</v>
      </c>
      <c r="E279" s="14">
        <f>'1. Information samples'!E145</f>
        <v>30</v>
      </c>
      <c r="F279" s="7" t="str">
        <f>'1. Information samples'!F145</f>
        <v>F260032</v>
      </c>
      <c r="G279" s="7" t="str">
        <f>'1. Information samples'!G145</f>
        <v>CIAT7934</v>
      </c>
      <c r="H279" s="7" t="str">
        <f>'1. Information samples'!H145</f>
        <v>Sesbania</v>
      </c>
      <c r="I279" s="7" t="str">
        <f>'1. Information samples'!I145</f>
        <v>sesban</v>
      </c>
      <c r="J279" s="7" t="str">
        <f>'1. Information samples'!J145</f>
        <v>Sesbania sesban</v>
      </c>
      <c r="K279" s="7" t="str">
        <f>'1. Information samples'!K145</f>
        <v>Fabaceae</v>
      </c>
      <c r="L279" s="7" t="str">
        <f>'1. Information samples'!L145</f>
        <v>Fabales</v>
      </c>
      <c r="M279" s="7" t="str">
        <f>'1. Information samples'!M145</f>
        <v>Shurb_Tree</v>
      </c>
      <c r="N279" s="7" t="str">
        <f>'1. Information samples'!N145</f>
        <v>64,65,71</v>
      </c>
      <c r="O279" s="7" t="str">
        <f>'1. Information samples'!O145</f>
        <v>OT-002(2026)</v>
      </c>
      <c r="P279" s="30">
        <v>96.332200679592319</v>
      </c>
      <c r="Q279" s="341">
        <f t="shared" ref="Q279:S279" si="1785">AVERAGE(P279:P280)</f>
        <v>96.466440271809788</v>
      </c>
      <c r="R279" s="76">
        <v>15.022120828796441</v>
      </c>
      <c r="S279" s="341">
        <f t="shared" si="1785"/>
        <v>12.957461458485808</v>
      </c>
      <c r="T279" s="76">
        <v>84.977879171203554</v>
      </c>
      <c r="U279" s="341">
        <f t="shared" ref="U279" si="1786">AVERAGE(T279:T280)</f>
        <v>87.04253854151419</v>
      </c>
    </row>
    <row r="280" spans="2:21" x14ac:dyDescent="0.35">
      <c r="B280" s="19">
        <f t="shared" si="1714"/>
        <v>270</v>
      </c>
      <c r="C280" s="7">
        <f>C279</f>
        <v>46062</v>
      </c>
      <c r="D280" s="7" t="str">
        <f t="shared" ref="D280" si="1787">D279</f>
        <v>Genbank</v>
      </c>
      <c r="E280" s="14">
        <f t="shared" ref="E280" si="1788">E279</f>
        <v>30</v>
      </c>
      <c r="F280" s="7" t="str">
        <f t="shared" ref="F280" si="1789">F279</f>
        <v>F260032</v>
      </c>
      <c r="G280" s="7" t="str">
        <f t="shared" ref="G280" si="1790">G279</f>
        <v>CIAT7934</v>
      </c>
      <c r="H280" s="7" t="str">
        <f t="shared" ref="H280" si="1791">H279</f>
        <v>Sesbania</v>
      </c>
      <c r="I280" s="7" t="str">
        <f t="shared" ref="I280" si="1792">I279</f>
        <v>sesban</v>
      </c>
      <c r="J280" s="7" t="str">
        <f t="shared" ref="J280" si="1793">J279</f>
        <v>Sesbania sesban</v>
      </c>
      <c r="K280" s="7" t="str">
        <f t="shared" ref="K280" si="1794">K279</f>
        <v>Fabaceae</v>
      </c>
      <c r="L280" s="7" t="str">
        <f t="shared" ref="L280" si="1795">L279</f>
        <v>Fabales</v>
      </c>
      <c r="M280" s="7" t="str">
        <f t="shared" ref="M280" si="1796">M279</f>
        <v>Shurb_Tree</v>
      </c>
      <c r="N280" s="7" t="str">
        <f t="shared" ref="N280" si="1797">N279</f>
        <v>64,65,71</v>
      </c>
      <c r="O280" s="7" t="str">
        <f t="shared" ref="O280" si="1798">O279</f>
        <v>OT-002(2026)</v>
      </c>
      <c r="P280" s="30">
        <v>96.600679864027256</v>
      </c>
      <c r="Q280" s="341"/>
      <c r="R280" s="76">
        <v>10.892802088175175</v>
      </c>
      <c r="S280" s="341"/>
      <c r="T280" s="76">
        <v>89.107197911824827</v>
      </c>
      <c r="U280" s="341"/>
    </row>
    <row r="281" spans="2:21" x14ac:dyDescent="0.35">
      <c r="B281" s="19">
        <f t="shared" si="1714"/>
        <v>271</v>
      </c>
      <c r="C281" s="7">
        <f>'1. Information samples'!C146</f>
        <v>46062</v>
      </c>
      <c r="D281" s="7" t="str">
        <f>'1. Information samples'!D146</f>
        <v>Genbank</v>
      </c>
      <c r="E281" s="14">
        <f>'1. Information samples'!E146</f>
        <v>30</v>
      </c>
      <c r="F281" s="7" t="str">
        <f>'1. Information samples'!F146</f>
        <v>F260033</v>
      </c>
      <c r="G281" s="7" t="str">
        <f>'1. Information samples'!G146</f>
        <v>CIAT7937</v>
      </c>
      <c r="H281" s="7" t="str">
        <f>'1. Information samples'!H146</f>
        <v>Mimosa</v>
      </c>
      <c r="I281" s="7" t="str">
        <f>'1. Information samples'!I146</f>
        <v>nuda</v>
      </c>
      <c r="J281" s="7" t="str">
        <f>'1. Information samples'!J146</f>
        <v>Mimosa nuda</v>
      </c>
      <c r="K281" s="7" t="str">
        <f>'1. Information samples'!K146</f>
        <v>Fabaceae</v>
      </c>
      <c r="L281" s="7" t="str">
        <f>'1. Information samples'!L146</f>
        <v>Fabales</v>
      </c>
      <c r="M281" s="7" t="str">
        <f>'1. Information samples'!M146</f>
        <v>Shurb_Tree</v>
      </c>
      <c r="N281" s="7" t="str">
        <f>'1. Information samples'!N146</f>
        <v>64,65,71</v>
      </c>
      <c r="O281" s="7" t="str">
        <f>'1. Information samples'!O146</f>
        <v>OT-002(2026)</v>
      </c>
      <c r="P281" s="30">
        <v>96.180381961803818</v>
      </c>
      <c r="Q281" s="341">
        <f t="shared" ref="Q281:S281" si="1799">AVERAGE(P281:P282)</f>
        <v>96.201135508638032</v>
      </c>
      <c r="R281" s="76">
        <v>6.6936383134638513</v>
      </c>
      <c r="S281" s="341">
        <f t="shared" si="1799"/>
        <v>8.1936108718343554</v>
      </c>
      <c r="T281" s="76">
        <v>93.30636168653615</v>
      </c>
      <c r="U281" s="341">
        <f t="shared" ref="U281" si="1800">AVERAGE(T281:T282)</f>
        <v>91.806389128165648</v>
      </c>
    </row>
    <row r="282" spans="2:21" x14ac:dyDescent="0.35">
      <c r="B282" s="19">
        <f t="shared" si="1714"/>
        <v>272</v>
      </c>
      <c r="C282" s="7">
        <f>C281</f>
        <v>46062</v>
      </c>
      <c r="D282" s="7" t="str">
        <f t="shared" ref="D282" si="1801">D281</f>
        <v>Genbank</v>
      </c>
      <c r="E282" s="14">
        <f t="shared" ref="E282" si="1802">E281</f>
        <v>30</v>
      </c>
      <c r="F282" s="7" t="str">
        <f t="shared" ref="F282" si="1803">F281</f>
        <v>F260033</v>
      </c>
      <c r="G282" s="7" t="str">
        <f t="shared" ref="G282" si="1804">G281</f>
        <v>CIAT7937</v>
      </c>
      <c r="H282" s="7" t="str">
        <f t="shared" ref="H282" si="1805">H281</f>
        <v>Mimosa</v>
      </c>
      <c r="I282" s="7" t="str">
        <f t="shared" ref="I282" si="1806">I281</f>
        <v>nuda</v>
      </c>
      <c r="J282" s="7" t="str">
        <f t="shared" ref="J282" si="1807">J281</f>
        <v>Mimosa nuda</v>
      </c>
      <c r="K282" s="7" t="str">
        <f t="shared" ref="K282" si="1808">K281</f>
        <v>Fabaceae</v>
      </c>
      <c r="L282" s="7" t="str">
        <f t="shared" ref="L282" si="1809">L281</f>
        <v>Fabales</v>
      </c>
      <c r="M282" s="7" t="str">
        <f t="shared" ref="M282" si="1810">M281</f>
        <v>Shurb_Tree</v>
      </c>
      <c r="N282" s="7" t="str">
        <f t="shared" ref="N282" si="1811">N281</f>
        <v>64,65,71</v>
      </c>
      <c r="O282" s="7" t="str">
        <f t="shared" ref="O282" si="1812">O281</f>
        <v>OT-002(2026)</v>
      </c>
      <c r="P282" s="30">
        <v>96.221889055472261</v>
      </c>
      <c r="Q282" s="341"/>
      <c r="R282" s="76">
        <v>9.6935834302048605</v>
      </c>
      <c r="S282" s="341"/>
      <c r="T282" s="76">
        <v>90.306416569795147</v>
      </c>
      <c r="U282" s="341"/>
    </row>
    <row r="283" spans="2:21" x14ac:dyDescent="0.35">
      <c r="B283" s="19">
        <f t="shared" si="1714"/>
        <v>273</v>
      </c>
      <c r="C283" s="7">
        <f>'1. Information samples'!C147</f>
        <v>46062</v>
      </c>
      <c r="D283" s="7" t="str">
        <f>'1. Information samples'!D147</f>
        <v>Genbank</v>
      </c>
      <c r="E283" s="14">
        <f>'1. Information samples'!E147</f>
        <v>30</v>
      </c>
      <c r="F283" s="7" t="str">
        <f>'1. Information samples'!F147</f>
        <v>F260034</v>
      </c>
      <c r="G283" s="7" t="str">
        <f>'1. Information samples'!G147</f>
        <v>CIAT8056</v>
      </c>
      <c r="H283" s="7" t="str">
        <f>'1. Information samples'!H147</f>
        <v>Mimosa</v>
      </c>
      <c r="I283" s="7" t="str">
        <f>'1. Information samples'!I147</f>
        <v>diplotricha</v>
      </c>
      <c r="J283" s="7" t="str">
        <f>'1. Information samples'!J147</f>
        <v>Mimosa diplotricha</v>
      </c>
      <c r="K283" s="7" t="str">
        <f>'1. Information samples'!K147</f>
        <v>Fabaceae</v>
      </c>
      <c r="L283" s="7" t="str">
        <f>'1. Information samples'!L147</f>
        <v>Fabales</v>
      </c>
      <c r="M283" s="7" t="str">
        <f>'1. Information samples'!M147</f>
        <v>Shurb_Tree</v>
      </c>
      <c r="N283" s="7" t="str">
        <f>'1. Information samples'!N147</f>
        <v>64,65,71</v>
      </c>
      <c r="O283" s="7" t="str">
        <f>'1. Information samples'!O147</f>
        <v>OT-002(2026)</v>
      </c>
      <c r="P283" s="30">
        <v>95.311406578026535</v>
      </c>
      <c r="Q283" s="341">
        <f t="shared" ref="Q283:S283" si="1813">AVERAGE(P283:P284)</f>
        <v>95.291885198058793</v>
      </c>
      <c r="R283" s="76">
        <v>11.991128105653399</v>
      </c>
      <c r="S283" s="341">
        <f t="shared" si="1813"/>
        <v>9.9183859455442462</v>
      </c>
      <c r="T283" s="76">
        <v>88.008871894346598</v>
      </c>
      <c r="U283" s="341">
        <f t="shared" ref="U283" si="1814">AVERAGE(T283:T284)</f>
        <v>90.081614054455741</v>
      </c>
    </row>
    <row r="284" spans="2:21" x14ac:dyDescent="0.35">
      <c r="B284" s="19">
        <f t="shared" si="1714"/>
        <v>274</v>
      </c>
      <c r="C284" s="7">
        <f>C283</f>
        <v>46062</v>
      </c>
      <c r="D284" s="7" t="str">
        <f t="shared" ref="D284" si="1815">D283</f>
        <v>Genbank</v>
      </c>
      <c r="E284" s="14">
        <f t="shared" ref="E284" si="1816">E283</f>
        <v>30</v>
      </c>
      <c r="F284" s="7" t="str">
        <f t="shared" ref="F284" si="1817">F283</f>
        <v>F260034</v>
      </c>
      <c r="G284" s="7" t="str">
        <f t="shared" ref="G284" si="1818">G283</f>
        <v>CIAT8056</v>
      </c>
      <c r="H284" s="7" t="str">
        <f t="shared" ref="H284" si="1819">H283</f>
        <v>Mimosa</v>
      </c>
      <c r="I284" s="7" t="str">
        <f t="shared" ref="I284" si="1820">I283</f>
        <v>diplotricha</v>
      </c>
      <c r="J284" s="7" t="str">
        <f t="shared" ref="J284" si="1821">J283</f>
        <v>Mimosa diplotricha</v>
      </c>
      <c r="K284" s="7" t="str">
        <f t="shared" ref="K284" si="1822">K283</f>
        <v>Fabaceae</v>
      </c>
      <c r="L284" s="7" t="str">
        <f t="shared" ref="L284" si="1823">L283</f>
        <v>Fabales</v>
      </c>
      <c r="M284" s="7" t="str">
        <f t="shared" ref="M284" si="1824">M283</f>
        <v>Shurb_Tree</v>
      </c>
      <c r="N284" s="7" t="str">
        <f t="shared" ref="N284" si="1825">N283</f>
        <v>64,65,71</v>
      </c>
      <c r="O284" s="7" t="str">
        <f t="shared" ref="O284" si="1826">O283</f>
        <v>OT-002(2026)</v>
      </c>
      <c r="P284" s="30">
        <v>95.272363818091037</v>
      </c>
      <c r="Q284" s="341"/>
      <c r="R284" s="76">
        <v>7.8456437854350938</v>
      </c>
      <c r="S284" s="341"/>
      <c r="T284" s="76">
        <v>92.154356214564899</v>
      </c>
      <c r="U284" s="341"/>
    </row>
    <row r="285" spans="2:21" x14ac:dyDescent="0.35">
      <c r="B285" s="19">
        <f t="shared" si="1714"/>
        <v>275</v>
      </c>
      <c r="C285" s="7">
        <f>'1. Information samples'!C148</f>
        <v>46062</v>
      </c>
      <c r="D285" s="7" t="str">
        <f>'1. Information samples'!D148</f>
        <v>Genbank</v>
      </c>
      <c r="E285" s="14">
        <f>'1. Information samples'!E148</f>
        <v>30</v>
      </c>
      <c r="F285" s="7" t="str">
        <f>'1. Information samples'!F148</f>
        <v>F260035</v>
      </c>
      <c r="G285" s="7" t="str">
        <f>'1. Information samples'!G148</f>
        <v>CIAT17514</v>
      </c>
      <c r="H285" s="7" t="str">
        <f>'1. Information samples'!H148</f>
        <v>Mimosa</v>
      </c>
      <c r="I285" s="7" t="str">
        <f>'1. Information samples'!I148</f>
        <v>pudica</v>
      </c>
      <c r="J285" s="7" t="str">
        <f>'1. Information samples'!J148</f>
        <v>Mimosa pudica</v>
      </c>
      <c r="K285" s="7" t="str">
        <f>'1. Information samples'!K148</f>
        <v>Fabaceae</v>
      </c>
      <c r="L285" s="7" t="str">
        <f>'1. Information samples'!L148</f>
        <v>Fabales</v>
      </c>
      <c r="M285" s="7" t="str">
        <f>'1. Information samples'!M148</f>
        <v>Shurb_Tree</v>
      </c>
      <c r="N285" s="7" t="str">
        <f>'1. Information samples'!N148</f>
        <v>64,65,71</v>
      </c>
      <c r="O285" s="7" t="str">
        <f>'1. Information samples'!O148</f>
        <v>OT-002(2026)</v>
      </c>
      <c r="P285" s="30">
        <v>96.38</v>
      </c>
      <c r="Q285" s="341">
        <f t="shared" ref="Q285:S285" si="1827">AVERAGE(P285:P286)</f>
        <v>96.435877061469313</v>
      </c>
      <c r="R285" s="76">
        <v>8.8037774516100455</v>
      </c>
      <c r="S285" s="341">
        <f t="shared" si="1827"/>
        <v>10.034941510308036</v>
      </c>
      <c r="T285" s="76">
        <v>91.196222548389954</v>
      </c>
      <c r="U285" s="341">
        <f t="shared" ref="U285" si="1828">AVERAGE(T285:T286)</f>
        <v>89.965058489691955</v>
      </c>
    </row>
    <row r="286" spans="2:21" x14ac:dyDescent="0.35">
      <c r="B286" s="19">
        <f t="shared" si="1714"/>
        <v>276</v>
      </c>
      <c r="C286" s="7">
        <f>C285</f>
        <v>46062</v>
      </c>
      <c r="D286" s="7" t="str">
        <f t="shared" ref="D286" si="1829">D285</f>
        <v>Genbank</v>
      </c>
      <c r="E286" s="14">
        <f t="shared" ref="E286" si="1830">E285</f>
        <v>30</v>
      </c>
      <c r="F286" s="7" t="str">
        <f t="shared" ref="F286" si="1831">F285</f>
        <v>F260035</v>
      </c>
      <c r="G286" s="7" t="str">
        <f t="shared" ref="G286" si="1832">G285</f>
        <v>CIAT17514</v>
      </c>
      <c r="H286" s="7" t="str">
        <f t="shared" ref="H286" si="1833">H285</f>
        <v>Mimosa</v>
      </c>
      <c r="I286" s="7" t="str">
        <f t="shared" ref="I286" si="1834">I285</f>
        <v>pudica</v>
      </c>
      <c r="J286" s="7" t="str">
        <f t="shared" ref="J286" si="1835">J285</f>
        <v>Mimosa pudica</v>
      </c>
      <c r="K286" s="7" t="str">
        <f t="shared" ref="K286" si="1836">K285</f>
        <v>Fabaceae</v>
      </c>
      <c r="L286" s="7" t="str">
        <f t="shared" ref="L286" si="1837">L285</f>
        <v>Fabales</v>
      </c>
      <c r="M286" s="7" t="str">
        <f t="shared" ref="M286" si="1838">M285</f>
        <v>Shurb_Tree</v>
      </c>
      <c r="N286" s="7" t="str">
        <f t="shared" ref="N286" si="1839">N285</f>
        <v>64,65,71</v>
      </c>
      <c r="O286" s="7" t="str">
        <f t="shared" ref="O286" si="1840">O285</f>
        <v>OT-002(2026)</v>
      </c>
      <c r="P286" s="30">
        <v>96.491754122938616</v>
      </c>
      <c r="Q286" s="341"/>
      <c r="R286" s="76">
        <v>11.266105569006026</v>
      </c>
      <c r="S286" s="341"/>
      <c r="T286" s="76">
        <v>88.733894430993971</v>
      </c>
      <c r="U286" s="341"/>
    </row>
    <row r="287" spans="2:21" x14ac:dyDescent="0.35">
      <c r="B287" s="19">
        <f t="shared" si="1714"/>
        <v>277</v>
      </c>
      <c r="C287" s="7">
        <f>'1. Information samples'!C149</f>
        <v>46062</v>
      </c>
      <c r="D287" s="7" t="str">
        <f>'1. Information samples'!D149</f>
        <v>Genbank</v>
      </c>
      <c r="E287" s="14">
        <f>'1. Information samples'!E149</f>
        <v>30</v>
      </c>
      <c r="F287" s="7" t="str">
        <f>'1. Information samples'!F149</f>
        <v>F260036</v>
      </c>
      <c r="G287" s="7" t="str">
        <f>'1. Information samples'!G149</f>
        <v>CIAT17725</v>
      </c>
      <c r="H287" s="7" t="str">
        <f>'1. Information samples'!H149</f>
        <v>Mimosa</v>
      </c>
      <c r="I287" s="7" t="str">
        <f>'1. Information samples'!I149</f>
        <v>polycarpa</v>
      </c>
      <c r="J287" s="7" t="str">
        <f>'1. Information samples'!J149</f>
        <v>Mimosa polycarpa</v>
      </c>
      <c r="K287" s="7" t="str">
        <f>'1. Information samples'!K149</f>
        <v>Fabaceae</v>
      </c>
      <c r="L287" s="7" t="str">
        <f>'1. Information samples'!L149</f>
        <v>Fabales</v>
      </c>
      <c r="M287" s="7" t="str">
        <f>'1. Information samples'!M149</f>
        <v>Shurb_Tree</v>
      </c>
      <c r="N287" s="7" t="str">
        <f>'1. Information samples'!N149</f>
        <v>64,65,71</v>
      </c>
      <c r="O287" s="7" t="str">
        <f>'1. Information samples'!O149</f>
        <v>OT-002(2026)</v>
      </c>
      <c r="P287" s="30">
        <v>95.731707317073273</v>
      </c>
      <c r="Q287" s="341">
        <f t="shared" ref="Q287:S287" si="1841">AVERAGE(P287:P288)</f>
        <v>95.667172867011544</v>
      </c>
      <c r="R287" s="76">
        <v>9.7800083525072043</v>
      </c>
      <c r="S287" s="341">
        <f t="shared" si="1841"/>
        <v>7.9978790943207372</v>
      </c>
      <c r="T287" s="76">
        <v>90.21999164749279</v>
      </c>
      <c r="U287" s="341">
        <f t="shared" ref="U287" si="1842">AVERAGE(T287:T288)</f>
        <v>92.002120905679263</v>
      </c>
    </row>
    <row r="288" spans="2:21" x14ac:dyDescent="0.35">
      <c r="B288" s="19">
        <f t="shared" si="1714"/>
        <v>278</v>
      </c>
      <c r="C288" s="7">
        <f>C287</f>
        <v>46062</v>
      </c>
      <c r="D288" s="7" t="str">
        <f t="shared" ref="D288" si="1843">D287</f>
        <v>Genbank</v>
      </c>
      <c r="E288" s="14">
        <f t="shared" ref="E288" si="1844">E287</f>
        <v>30</v>
      </c>
      <c r="F288" s="7" t="str">
        <f t="shared" ref="F288" si="1845">F287</f>
        <v>F260036</v>
      </c>
      <c r="G288" s="7" t="str">
        <f t="shared" ref="G288" si="1846">G287</f>
        <v>CIAT17725</v>
      </c>
      <c r="H288" s="7" t="str">
        <f t="shared" ref="H288" si="1847">H287</f>
        <v>Mimosa</v>
      </c>
      <c r="I288" s="7" t="str">
        <f t="shared" ref="I288" si="1848">I287</f>
        <v>polycarpa</v>
      </c>
      <c r="J288" s="7" t="str">
        <f t="shared" ref="J288" si="1849">J287</f>
        <v>Mimosa polycarpa</v>
      </c>
      <c r="K288" s="7" t="str">
        <f t="shared" ref="K288" si="1850">K287</f>
        <v>Fabaceae</v>
      </c>
      <c r="L288" s="7" t="str">
        <f t="shared" ref="L288" si="1851">L287</f>
        <v>Fabales</v>
      </c>
      <c r="M288" s="7" t="str">
        <f t="shared" ref="M288" si="1852">M287</f>
        <v>Shurb_Tree</v>
      </c>
      <c r="N288" s="7" t="str">
        <f t="shared" ref="N288" si="1853">N287</f>
        <v>64,65,71</v>
      </c>
      <c r="O288" s="7" t="str">
        <f t="shared" ref="O288" si="1854">O287</f>
        <v>OT-002(2026)</v>
      </c>
      <c r="P288" s="30">
        <v>95.60263841694983</v>
      </c>
      <c r="Q288" s="341"/>
      <c r="R288" s="76">
        <v>6.2157498361342709</v>
      </c>
      <c r="S288" s="341"/>
      <c r="T288" s="76">
        <v>93.784250163865735</v>
      </c>
      <c r="U288" s="341"/>
    </row>
    <row r="289" spans="2:21" x14ac:dyDescent="0.35">
      <c r="B289" s="19">
        <f t="shared" si="1714"/>
        <v>279</v>
      </c>
      <c r="C289" s="7">
        <f>'1. Information samples'!C150</f>
        <v>46062</v>
      </c>
      <c r="D289" s="7" t="str">
        <f>'1. Information samples'!D150</f>
        <v>Genbank</v>
      </c>
      <c r="E289" s="14">
        <f>'1. Information samples'!E150</f>
        <v>30</v>
      </c>
      <c r="F289" s="7" t="str">
        <f>'1. Information samples'!F150</f>
        <v>F260037</v>
      </c>
      <c r="G289" s="7" t="str">
        <f>'1. Information samples'!G150</f>
        <v>CIAT18947</v>
      </c>
      <c r="H289" s="7" t="str">
        <f>'1. Information samples'!H150</f>
        <v>Sesbania</v>
      </c>
      <c r="I289" s="7" t="str">
        <f>'1. Information samples'!I150</f>
        <v>sesban</v>
      </c>
      <c r="J289" s="7" t="str">
        <f>'1. Information samples'!J150</f>
        <v>Sesbania sesban</v>
      </c>
      <c r="K289" s="7" t="str">
        <f>'1. Information samples'!K150</f>
        <v>Fabaceae</v>
      </c>
      <c r="L289" s="7" t="str">
        <f>'1. Information samples'!L150</f>
        <v>Fabales</v>
      </c>
      <c r="M289" s="7" t="str">
        <f>'1. Information samples'!M150</f>
        <v>Shurb_Tree</v>
      </c>
      <c r="N289" s="7" t="str">
        <f>'1. Information samples'!N150</f>
        <v>64,65,71</v>
      </c>
      <c r="O289" s="7" t="str">
        <f>'1. Information samples'!O150</f>
        <v>OT-002(2026)</v>
      </c>
      <c r="P289" s="30">
        <v>95.520000000000053</v>
      </c>
      <c r="Q289" s="341">
        <f t="shared" ref="Q289:S289" si="1855">AVERAGE(P289:P290)</f>
        <v>95.480911635345876</v>
      </c>
      <c r="R289" s="76">
        <v>9.2479217560499993</v>
      </c>
      <c r="S289" s="341">
        <f t="shared" si="1855"/>
        <v>9.7276519679246789</v>
      </c>
      <c r="T289" s="76">
        <v>90.752078243949995</v>
      </c>
      <c r="U289" s="341">
        <f t="shared" ref="U289" si="1856">AVERAGE(T289:T290)</f>
        <v>90.272348032075314</v>
      </c>
    </row>
    <row r="290" spans="2:21" x14ac:dyDescent="0.35">
      <c r="B290" s="19">
        <f t="shared" si="1714"/>
        <v>280</v>
      </c>
      <c r="C290" s="7">
        <f>C289</f>
        <v>46062</v>
      </c>
      <c r="D290" s="7" t="str">
        <f t="shared" ref="D290" si="1857">D289</f>
        <v>Genbank</v>
      </c>
      <c r="E290" s="14">
        <f t="shared" ref="E290" si="1858">E289</f>
        <v>30</v>
      </c>
      <c r="F290" s="7" t="str">
        <f t="shared" ref="F290" si="1859">F289</f>
        <v>F260037</v>
      </c>
      <c r="G290" s="7" t="str">
        <f t="shared" ref="G290" si="1860">G289</f>
        <v>CIAT18947</v>
      </c>
      <c r="H290" s="7" t="str">
        <f t="shared" ref="H290" si="1861">H289</f>
        <v>Sesbania</v>
      </c>
      <c r="I290" s="7" t="str">
        <f t="shared" ref="I290" si="1862">I289</f>
        <v>sesban</v>
      </c>
      <c r="J290" s="7" t="str">
        <f t="shared" ref="J290" si="1863">J289</f>
        <v>Sesbania sesban</v>
      </c>
      <c r="K290" s="7" t="str">
        <f t="shared" ref="K290" si="1864">K289</f>
        <v>Fabaceae</v>
      </c>
      <c r="L290" s="7" t="str">
        <f t="shared" ref="L290" si="1865">L289</f>
        <v>Fabales</v>
      </c>
      <c r="M290" s="7" t="str">
        <f t="shared" ref="M290" si="1866">M289</f>
        <v>Shurb_Tree</v>
      </c>
      <c r="N290" s="7" t="str">
        <f t="shared" ref="N290" si="1867">N289</f>
        <v>64,65,71</v>
      </c>
      <c r="O290" s="7" t="str">
        <f t="shared" ref="O290" si="1868">O289</f>
        <v>OT-002(2026)</v>
      </c>
      <c r="P290" s="30">
        <v>95.4418232706917</v>
      </c>
      <c r="Q290" s="341"/>
      <c r="R290" s="76">
        <v>10.207382179799357</v>
      </c>
      <c r="S290" s="341"/>
      <c r="T290" s="76">
        <v>89.792617820200647</v>
      </c>
      <c r="U290" s="341"/>
    </row>
    <row r="291" spans="2:21" x14ac:dyDescent="0.35">
      <c r="B291" s="19">
        <f t="shared" si="1714"/>
        <v>281</v>
      </c>
      <c r="C291" s="7">
        <f>'1. Information samples'!C151</f>
        <v>46062</v>
      </c>
      <c r="D291" s="7" t="str">
        <f>'1. Information samples'!D151</f>
        <v>Genbank</v>
      </c>
      <c r="E291" s="14">
        <f>'1. Information samples'!E151</f>
        <v>30</v>
      </c>
      <c r="F291" s="7" t="str">
        <f>'1. Information samples'!F151</f>
        <v>F260038</v>
      </c>
      <c r="G291" s="7" t="str">
        <f>'1. Information samples'!G151</f>
        <v>CIAT19165</v>
      </c>
      <c r="H291" s="7" t="str">
        <f>'1. Information samples'!H151</f>
        <v>Sesbania</v>
      </c>
      <c r="I291" s="7" t="str">
        <f>'1. Information samples'!I151</f>
        <v>keniensis</v>
      </c>
      <c r="J291" s="7" t="str">
        <f>'1. Information samples'!J151</f>
        <v>Sesbania keniensis</v>
      </c>
      <c r="K291" s="7" t="str">
        <f>'1. Information samples'!K151</f>
        <v>Fabaceae</v>
      </c>
      <c r="L291" s="7" t="str">
        <f>'1. Information samples'!L151</f>
        <v>Fabales</v>
      </c>
      <c r="M291" s="7" t="str">
        <f>'1. Information samples'!M151</f>
        <v>Shurb_Tree</v>
      </c>
      <c r="N291" s="7" t="str">
        <f>'1. Information samples'!N151</f>
        <v>64,65,71</v>
      </c>
      <c r="O291" s="7" t="str">
        <f>'1. Information samples'!O151</f>
        <v>OT-002(2026)</v>
      </c>
      <c r="P291" s="30">
        <v>96.401439424230261</v>
      </c>
      <c r="Q291" s="341">
        <f t="shared" ref="Q291:S291" si="1869">AVERAGE(P291:P292)</f>
        <v>96.441599272334983</v>
      </c>
      <c r="R291" s="76">
        <v>12.292680737659664</v>
      </c>
      <c r="S291" s="341">
        <f t="shared" si="1869"/>
        <v>10.395493281480912</v>
      </c>
      <c r="T291" s="76">
        <v>87.707319262340334</v>
      </c>
      <c r="U291" s="341">
        <f t="shared" ref="U291" si="1870">AVERAGE(T291:T292)</f>
        <v>89.60450671851909</v>
      </c>
    </row>
    <row r="292" spans="2:21" x14ac:dyDescent="0.35">
      <c r="B292" s="19">
        <f t="shared" si="1714"/>
        <v>282</v>
      </c>
      <c r="C292" s="7">
        <f>C291</f>
        <v>46062</v>
      </c>
      <c r="D292" s="7" t="str">
        <f t="shared" ref="D292" si="1871">D291</f>
        <v>Genbank</v>
      </c>
      <c r="E292" s="14">
        <f t="shared" ref="E292" si="1872">E291</f>
        <v>30</v>
      </c>
      <c r="F292" s="7" t="str">
        <f t="shared" ref="F292" si="1873">F291</f>
        <v>F260038</v>
      </c>
      <c r="G292" s="7" t="str">
        <f t="shared" ref="G292" si="1874">G291</f>
        <v>CIAT19165</v>
      </c>
      <c r="H292" s="7" t="str">
        <f t="shared" ref="H292" si="1875">H291</f>
        <v>Sesbania</v>
      </c>
      <c r="I292" s="7" t="str">
        <f t="shared" ref="I292" si="1876">I291</f>
        <v>keniensis</v>
      </c>
      <c r="J292" s="7" t="str">
        <f t="shared" ref="J292" si="1877">J291</f>
        <v>Sesbania keniensis</v>
      </c>
      <c r="K292" s="7" t="str">
        <f t="shared" ref="K292" si="1878">K291</f>
        <v>Fabaceae</v>
      </c>
      <c r="L292" s="7" t="str">
        <f t="shared" ref="L292" si="1879">L291</f>
        <v>Fabales</v>
      </c>
      <c r="M292" s="7" t="str">
        <f t="shared" ref="M292" si="1880">M291</f>
        <v>Shurb_Tree</v>
      </c>
      <c r="N292" s="7" t="str">
        <f t="shared" ref="N292" si="1881">N291</f>
        <v>64,65,71</v>
      </c>
      <c r="O292" s="7" t="str">
        <f t="shared" ref="O292" si="1882">O291</f>
        <v>OT-002(2026)</v>
      </c>
      <c r="P292" s="30">
        <v>96.481759120439705</v>
      </c>
      <c r="Q292" s="341"/>
      <c r="R292" s="76">
        <v>8.4983058253021593</v>
      </c>
      <c r="S292" s="341"/>
      <c r="T292" s="76">
        <v>91.501694174697846</v>
      </c>
      <c r="U292" s="341"/>
    </row>
    <row r="293" spans="2:21" x14ac:dyDescent="0.35">
      <c r="B293" s="19">
        <f t="shared" si="1714"/>
        <v>283</v>
      </c>
      <c r="C293" s="7">
        <f>'1. Information samples'!C152</f>
        <v>46062</v>
      </c>
      <c r="D293" s="7" t="str">
        <f>'1. Information samples'!D152</f>
        <v>Genbank</v>
      </c>
      <c r="E293" s="14">
        <f>'1. Information samples'!E152</f>
        <v>30</v>
      </c>
      <c r="F293" s="7" t="str">
        <f>'1. Information samples'!F152</f>
        <v>F260039</v>
      </c>
      <c r="G293" s="7" t="str">
        <f>'1. Information samples'!G152</f>
        <v>CIAT21899</v>
      </c>
      <c r="H293" s="7" t="str">
        <f>'1. Information samples'!H152</f>
        <v>Sesbania</v>
      </c>
      <c r="I293" s="7" t="str">
        <f>'1. Information samples'!I152</f>
        <v>sesban</v>
      </c>
      <c r="J293" s="7" t="str">
        <f>'1. Information samples'!J152</f>
        <v>Sesbania sesban</v>
      </c>
      <c r="K293" s="7" t="str">
        <f>'1. Information samples'!K152</f>
        <v>Fabaceae</v>
      </c>
      <c r="L293" s="7" t="str">
        <f>'1. Information samples'!L152</f>
        <v>Fabales</v>
      </c>
      <c r="M293" s="7" t="str">
        <f>'1. Information samples'!M152</f>
        <v>Shurb_Tree</v>
      </c>
      <c r="N293" s="7" t="str">
        <f>'1. Information samples'!N152</f>
        <v>64,65,71</v>
      </c>
      <c r="O293" s="7" t="str">
        <f>'1. Information samples'!O152</f>
        <v>OT-002(2026)</v>
      </c>
      <c r="P293" s="30">
        <v>95.881647341063669</v>
      </c>
      <c r="Q293" s="341">
        <f t="shared" ref="Q293:S293" si="1883">AVERAGE(P293:P294)</f>
        <v>95.83687564454479</v>
      </c>
      <c r="R293" s="76">
        <v>7.9582615449609522</v>
      </c>
      <c r="S293" s="341">
        <f t="shared" si="1883"/>
        <v>7.9891513777258432</v>
      </c>
      <c r="T293" s="76">
        <v>92.041738455039052</v>
      </c>
      <c r="U293" s="341">
        <f t="shared" ref="U293" si="1884">AVERAGE(T293:T294)</f>
        <v>92.010848622274153</v>
      </c>
    </row>
    <row r="294" spans="2:21" x14ac:dyDescent="0.35">
      <c r="B294" s="19">
        <f t="shared" si="1714"/>
        <v>284</v>
      </c>
      <c r="C294" s="7">
        <f>C293</f>
        <v>46062</v>
      </c>
      <c r="D294" s="7" t="str">
        <f t="shared" ref="D294" si="1885">D293</f>
        <v>Genbank</v>
      </c>
      <c r="E294" s="14">
        <f t="shared" ref="E294" si="1886">E293</f>
        <v>30</v>
      </c>
      <c r="F294" s="7" t="str">
        <f t="shared" ref="F294" si="1887">F293</f>
        <v>F260039</v>
      </c>
      <c r="G294" s="7" t="str">
        <f t="shared" ref="G294" si="1888">G293</f>
        <v>CIAT21899</v>
      </c>
      <c r="H294" s="7" t="str">
        <f t="shared" ref="H294" si="1889">H293</f>
        <v>Sesbania</v>
      </c>
      <c r="I294" s="7" t="str">
        <f t="shared" ref="I294" si="1890">I293</f>
        <v>sesban</v>
      </c>
      <c r="J294" s="7" t="str">
        <f t="shared" ref="J294" si="1891">J293</f>
        <v>Sesbania sesban</v>
      </c>
      <c r="K294" s="7" t="str">
        <f t="shared" ref="K294" si="1892">K293</f>
        <v>Fabaceae</v>
      </c>
      <c r="L294" s="7" t="str">
        <f t="shared" ref="L294" si="1893">L293</f>
        <v>Fabales</v>
      </c>
      <c r="M294" s="7" t="str">
        <f t="shared" ref="M294" si="1894">M293</f>
        <v>Shurb_Tree</v>
      </c>
      <c r="N294" s="7" t="str">
        <f t="shared" ref="N294" si="1895">N293</f>
        <v>64,65,71</v>
      </c>
      <c r="O294" s="7" t="str">
        <f t="shared" ref="O294" si="1896">O293</f>
        <v>OT-002(2026)</v>
      </c>
      <c r="P294" s="30">
        <v>95.792103948025925</v>
      </c>
      <c r="Q294" s="341"/>
      <c r="R294" s="76">
        <v>8.020041210490735</v>
      </c>
      <c r="S294" s="341"/>
      <c r="T294" s="76">
        <v>91.979958789509269</v>
      </c>
      <c r="U294" s="341"/>
    </row>
    <row r="295" spans="2:21" x14ac:dyDescent="0.35">
      <c r="B295" s="19">
        <f t="shared" si="1714"/>
        <v>285</v>
      </c>
      <c r="C295" s="7">
        <f>'1. Information samples'!C153</f>
        <v>46062</v>
      </c>
      <c r="D295" s="7" t="str">
        <f>'1. Information samples'!D153</f>
        <v>Genbank</v>
      </c>
      <c r="E295" s="14">
        <f>'1. Information samples'!E153</f>
        <v>30</v>
      </c>
      <c r="F295" s="7" t="str">
        <f>'1. Information samples'!F153</f>
        <v>F260040</v>
      </c>
      <c r="G295" s="7" t="str">
        <f>'1. Information samples'!G153</f>
        <v>CIAT23414</v>
      </c>
      <c r="H295" s="7" t="str">
        <f>'1. Information samples'!H153</f>
        <v>Codariocalyx</v>
      </c>
      <c r="I295" s="7" t="str">
        <f>'1. Information samples'!I153</f>
        <v>motorius</v>
      </c>
      <c r="J295" s="7" t="str">
        <f>'1. Information samples'!J153</f>
        <v>Codariocalyx motorius</v>
      </c>
      <c r="K295" s="7" t="str">
        <f>'1. Information samples'!K153</f>
        <v>Fabaceae</v>
      </c>
      <c r="L295" s="7" t="str">
        <f>'1. Information samples'!L153</f>
        <v>Fabales</v>
      </c>
      <c r="M295" s="7" t="str">
        <f>'1. Information samples'!M153</f>
        <v>Shurb_Tree</v>
      </c>
      <c r="N295" s="7" t="str">
        <f>'1. Information samples'!N153</f>
        <v>64,65,71</v>
      </c>
      <c r="O295" s="7" t="str">
        <f>'1. Information samples'!O153</f>
        <v>OT-002(2026)</v>
      </c>
      <c r="P295" s="30">
        <v>96.472116729962124</v>
      </c>
      <c r="Q295" s="341">
        <f t="shared" ref="Q295:S295" si="1897">AVERAGE(P295:P296)</f>
        <v>96.306637191333095</v>
      </c>
      <c r="R295" s="76">
        <v>9.4329420436407094</v>
      </c>
      <c r="S295" s="341">
        <f t="shared" si="1897"/>
        <v>9.3357428914648342</v>
      </c>
      <c r="T295" s="76">
        <v>90.567057956359292</v>
      </c>
      <c r="U295" s="341">
        <f t="shared" ref="U295" si="1898">AVERAGE(T295:T296)</f>
        <v>90.664257108535168</v>
      </c>
    </row>
    <row r="296" spans="2:21" x14ac:dyDescent="0.35">
      <c r="B296" s="19">
        <f t="shared" si="1714"/>
        <v>286</v>
      </c>
      <c r="C296" s="7">
        <f>C295</f>
        <v>46062</v>
      </c>
      <c r="D296" s="7" t="str">
        <f t="shared" ref="D296" si="1899">D295</f>
        <v>Genbank</v>
      </c>
      <c r="E296" s="14">
        <f t="shared" ref="E296" si="1900">E295</f>
        <v>30</v>
      </c>
      <c r="F296" s="7" t="str">
        <f t="shared" ref="F296" si="1901">F295</f>
        <v>F260040</v>
      </c>
      <c r="G296" s="7" t="str">
        <f t="shared" ref="G296" si="1902">G295</f>
        <v>CIAT23414</v>
      </c>
      <c r="H296" s="7" t="str">
        <f t="shared" ref="H296" si="1903">H295</f>
        <v>Codariocalyx</v>
      </c>
      <c r="I296" s="7" t="str">
        <f t="shared" ref="I296" si="1904">I295</f>
        <v>motorius</v>
      </c>
      <c r="J296" s="7" t="str">
        <f t="shared" ref="J296" si="1905">J295</f>
        <v>Codariocalyx motorius</v>
      </c>
      <c r="K296" s="7" t="str">
        <f t="shared" ref="K296" si="1906">K295</f>
        <v>Fabaceae</v>
      </c>
      <c r="L296" s="7" t="str">
        <f t="shared" ref="L296" si="1907">L295</f>
        <v>Fabales</v>
      </c>
      <c r="M296" s="7" t="str">
        <f t="shared" ref="M296" si="1908">M295</f>
        <v>Shurb_Tree</v>
      </c>
      <c r="N296" s="7" t="str">
        <f t="shared" ref="N296" si="1909">N295</f>
        <v>64,65,71</v>
      </c>
      <c r="O296" s="7" t="str">
        <f t="shared" ref="O296" si="1910">O295</f>
        <v>OT-002(2026)</v>
      </c>
      <c r="P296" s="30">
        <v>96.141157652704052</v>
      </c>
      <c r="Q296" s="341"/>
      <c r="R296" s="76">
        <v>9.2385437392889589</v>
      </c>
      <c r="S296" s="341"/>
      <c r="T296" s="76">
        <v>90.761456260711043</v>
      </c>
      <c r="U296" s="341"/>
    </row>
    <row r="297" spans="2:21" x14ac:dyDescent="0.35">
      <c r="B297" s="19">
        <f t="shared" si="1714"/>
        <v>287</v>
      </c>
      <c r="C297" s="7">
        <f>'1. Information samples'!C154</f>
        <v>46062</v>
      </c>
      <c r="D297" s="7" t="str">
        <f>'1. Information samples'!D154</f>
        <v>Genbank</v>
      </c>
      <c r="E297" s="14">
        <f>'1. Information samples'!E154</f>
        <v>30</v>
      </c>
      <c r="F297" s="7" t="str">
        <f>'1. Information samples'!F154</f>
        <v>F260041</v>
      </c>
      <c r="G297" s="7" t="str">
        <f>'1. Information samples'!G154</f>
        <v>CIAT23767</v>
      </c>
      <c r="H297" s="7" t="str">
        <f>'1. Information samples'!H154</f>
        <v>Desmodium</v>
      </c>
      <c r="I297" s="7" t="str">
        <f>'1. Information samples'!I154</f>
        <v>nicaraguense</v>
      </c>
      <c r="J297" s="7" t="str">
        <f>'1. Information samples'!J154</f>
        <v>Desmodium nicaraguense</v>
      </c>
      <c r="K297" s="7" t="str">
        <f>'1. Information samples'!K154</f>
        <v>Fabaceae</v>
      </c>
      <c r="L297" s="7" t="str">
        <f>'1. Information samples'!L154</f>
        <v>Fabales</v>
      </c>
      <c r="M297" s="7" t="str">
        <f>'1. Information samples'!M154</f>
        <v>Shurb_Tree</v>
      </c>
      <c r="N297" s="7" t="str">
        <f>'1. Information samples'!N154</f>
        <v>64,65,71</v>
      </c>
      <c r="O297" s="7" t="str">
        <f>'1. Information samples'!O154</f>
        <v>OT-002(2026)</v>
      </c>
      <c r="P297" s="30">
        <v>94.952019192323206</v>
      </c>
      <c r="Q297" s="341">
        <f t="shared" ref="Q297:S297" si="1911">AVERAGE(P297:P298)</f>
        <v>94.996009596161613</v>
      </c>
      <c r="R297" s="76">
        <v>10.049034236249529</v>
      </c>
      <c r="S297" s="341">
        <f t="shared" si="1911"/>
        <v>10.098414453907923</v>
      </c>
      <c r="T297" s="76">
        <v>89.950965763750474</v>
      </c>
      <c r="U297" s="341">
        <f t="shared" ref="U297" si="1912">AVERAGE(T297:T298)</f>
        <v>89.901585546092079</v>
      </c>
    </row>
    <row r="298" spans="2:21" x14ac:dyDescent="0.35">
      <c r="B298" s="19">
        <f t="shared" si="1714"/>
        <v>288</v>
      </c>
      <c r="C298" s="7">
        <f>C297</f>
        <v>46062</v>
      </c>
      <c r="D298" s="7" t="str">
        <f t="shared" ref="D298" si="1913">D297</f>
        <v>Genbank</v>
      </c>
      <c r="E298" s="14">
        <f t="shared" ref="E298" si="1914">E297</f>
        <v>30</v>
      </c>
      <c r="F298" s="7" t="str">
        <f t="shared" ref="F298" si="1915">F297</f>
        <v>F260041</v>
      </c>
      <c r="G298" s="7" t="str">
        <f t="shared" ref="G298" si="1916">G297</f>
        <v>CIAT23767</v>
      </c>
      <c r="H298" s="7" t="str">
        <f t="shared" ref="H298" si="1917">H297</f>
        <v>Desmodium</v>
      </c>
      <c r="I298" s="7" t="str">
        <f t="shared" ref="I298" si="1918">I297</f>
        <v>nicaraguense</v>
      </c>
      <c r="J298" s="7" t="str">
        <f t="shared" ref="J298" si="1919">J297</f>
        <v>Desmodium nicaraguense</v>
      </c>
      <c r="K298" s="7" t="str">
        <f t="shared" ref="K298" si="1920">K297</f>
        <v>Fabaceae</v>
      </c>
      <c r="L298" s="7" t="str">
        <f t="shared" ref="L298" si="1921">L297</f>
        <v>Fabales</v>
      </c>
      <c r="M298" s="7" t="str">
        <f t="shared" ref="M298" si="1922">M297</f>
        <v>Shurb_Tree</v>
      </c>
      <c r="N298" s="7" t="str">
        <f t="shared" ref="N298" si="1923">N297</f>
        <v>64,65,71</v>
      </c>
      <c r="O298" s="7" t="str">
        <f t="shared" ref="O298" si="1924">O297</f>
        <v>OT-002(2026)</v>
      </c>
      <c r="P298" s="30">
        <v>95.04000000000002</v>
      </c>
      <c r="Q298" s="341"/>
      <c r="R298" s="76">
        <v>10.147794671566317</v>
      </c>
      <c r="S298" s="341"/>
      <c r="T298" s="76">
        <v>89.852205328433683</v>
      </c>
      <c r="U298" s="341"/>
    </row>
    <row r="299" spans="2:21" x14ac:dyDescent="0.35">
      <c r="B299" s="19">
        <f t="shared" si="1714"/>
        <v>289</v>
      </c>
      <c r="C299" s="7">
        <f>'1. Information samples'!C155</f>
        <v>46062</v>
      </c>
      <c r="D299" s="7" t="str">
        <f>'1. Information samples'!D155</f>
        <v>Genbank</v>
      </c>
      <c r="E299" s="14">
        <f>'1. Information samples'!E155</f>
        <v>30</v>
      </c>
      <c r="F299" s="7" t="str">
        <f>'1. Information samples'!F155</f>
        <v>F260042</v>
      </c>
      <c r="G299" s="7" t="str">
        <f>'1. Information samples'!G155</f>
        <v>CIAT33127</v>
      </c>
      <c r="H299" s="7" t="str">
        <f>'1. Information samples'!H155</f>
        <v>Codariocalyx</v>
      </c>
      <c r="I299" s="7" t="str">
        <f>'1. Information samples'!I155</f>
        <v>motorius</v>
      </c>
      <c r="J299" s="7" t="str">
        <f>'1. Information samples'!J155</f>
        <v>Codariocalyx motorius</v>
      </c>
      <c r="K299" s="7" t="str">
        <f>'1. Information samples'!K155</f>
        <v>Fabaceae</v>
      </c>
      <c r="L299" s="7" t="str">
        <f>'1. Information samples'!L155</f>
        <v>Fabales</v>
      </c>
      <c r="M299" s="7" t="str">
        <f>'1. Information samples'!M155</f>
        <v>Shurb_Tree</v>
      </c>
      <c r="N299" s="7" t="str">
        <f>'1. Information samples'!N155</f>
        <v>64,65,71</v>
      </c>
      <c r="O299" s="7" t="str">
        <f>'1. Information samples'!O155</f>
        <v>OT-002(2026)</v>
      </c>
      <c r="P299" s="30">
        <v>95.532233883058467</v>
      </c>
      <c r="Q299" s="341">
        <f t="shared" ref="Q299:S299" si="1925">AVERAGE(P299:P300)</f>
        <v>95.601549854946512</v>
      </c>
      <c r="R299" s="76">
        <v>9.3048200969388724</v>
      </c>
      <c r="S299" s="341">
        <f t="shared" si="1925"/>
        <v>9.5310623230814127</v>
      </c>
      <c r="T299" s="76">
        <v>90.695179903061131</v>
      </c>
      <c r="U299" s="341">
        <f t="shared" ref="U299" si="1926">AVERAGE(T299:T300)</f>
        <v>90.468937676918586</v>
      </c>
    </row>
    <row r="300" spans="2:21" x14ac:dyDescent="0.35">
      <c r="B300" s="19">
        <f t="shared" si="1714"/>
        <v>290</v>
      </c>
      <c r="C300" s="7">
        <f>C299</f>
        <v>46062</v>
      </c>
      <c r="D300" s="7" t="str">
        <f t="shared" ref="D300" si="1927">D299</f>
        <v>Genbank</v>
      </c>
      <c r="E300" s="14">
        <f t="shared" ref="E300" si="1928">E299</f>
        <v>30</v>
      </c>
      <c r="F300" s="7" t="str">
        <f t="shared" ref="F300" si="1929">F299</f>
        <v>F260042</v>
      </c>
      <c r="G300" s="7" t="str">
        <f t="shared" ref="G300" si="1930">G299</f>
        <v>CIAT33127</v>
      </c>
      <c r="H300" s="7" t="str">
        <f t="shared" ref="H300" si="1931">H299</f>
        <v>Codariocalyx</v>
      </c>
      <c r="I300" s="7" t="str">
        <f t="shared" ref="I300" si="1932">I299</f>
        <v>motorius</v>
      </c>
      <c r="J300" s="7" t="str">
        <f t="shared" ref="J300" si="1933">J299</f>
        <v>Codariocalyx motorius</v>
      </c>
      <c r="K300" s="7" t="str">
        <f t="shared" ref="K300" si="1934">K299</f>
        <v>Fabaceae</v>
      </c>
      <c r="L300" s="7" t="str">
        <f t="shared" ref="L300" si="1935">L299</f>
        <v>Fabales</v>
      </c>
      <c r="M300" s="7" t="str">
        <f t="shared" ref="M300" si="1936">M299</f>
        <v>Shurb_Tree</v>
      </c>
      <c r="N300" s="7" t="str">
        <f t="shared" ref="N300" si="1937">N299</f>
        <v>64,65,71</v>
      </c>
      <c r="O300" s="7" t="str">
        <f t="shared" ref="O300" si="1938">O299</f>
        <v>OT-002(2026)</v>
      </c>
      <c r="P300" s="30">
        <v>95.670865826834557</v>
      </c>
      <c r="Q300" s="341"/>
      <c r="R300" s="76">
        <v>9.757304549223953</v>
      </c>
      <c r="S300" s="341"/>
      <c r="T300" s="76">
        <v>90.24269545077604</v>
      </c>
      <c r="U300" s="341"/>
    </row>
    <row r="301" spans="2:21" x14ac:dyDescent="0.35">
      <c r="B301" s="19">
        <f t="shared" si="1714"/>
        <v>291</v>
      </c>
      <c r="C301" s="7">
        <f>'1. Information samples'!C156</f>
        <v>46062</v>
      </c>
      <c r="D301" s="7" t="str">
        <f>'1. Information samples'!D156</f>
        <v>Breeding</v>
      </c>
      <c r="E301" s="14">
        <f>'1. Information samples'!E156</f>
        <v>30</v>
      </c>
      <c r="F301" s="42" t="str">
        <f>'1. Information samples'!F156</f>
        <v>F252104</v>
      </c>
      <c r="G301" s="42" t="str">
        <f>'1. Information samples'!G156</f>
        <v>CIAT-BR06_1348</v>
      </c>
      <c r="H301" s="42" t="str">
        <f>'1. Information samples'!H156</f>
        <v>Urochloa</v>
      </c>
      <c r="I301" s="42" t="str">
        <f>'1. Information samples'!I156</f>
        <v>interespecifico</v>
      </c>
      <c r="J301" s="42" t="str">
        <f>'1. Information samples'!J156</f>
        <v>Brachiaria interespecifico</v>
      </c>
      <c r="K301" s="42" t="str">
        <f>'1. Information samples'!K156</f>
        <v>Poaceae</v>
      </c>
      <c r="L301" s="42" t="str">
        <f>'1. Information samples'!L156</f>
        <v>Poales</v>
      </c>
      <c r="M301" s="42" t="str">
        <f>'1. Information samples'!M156</f>
        <v>grasses</v>
      </c>
      <c r="N301" s="42" t="str">
        <f>'1. Information samples'!N156</f>
        <v>64,65,71</v>
      </c>
      <c r="O301" s="42" t="str">
        <f>'1. Information samples'!O156</f>
        <v>OT-013(2025)</v>
      </c>
      <c r="P301" s="20">
        <v>93.02</v>
      </c>
      <c r="Q301" s="341">
        <f t="shared" ref="Q301:S301" si="1939">AVERAGE(P301:P302)</f>
        <v>93.09</v>
      </c>
      <c r="R301" s="210">
        <v>14.27</v>
      </c>
      <c r="S301" s="341">
        <f t="shared" si="1939"/>
        <v>14.475</v>
      </c>
      <c r="T301" s="210">
        <v>85.73</v>
      </c>
      <c r="U301" s="341">
        <f t="shared" ref="U301" si="1940">AVERAGE(T301:T302)</f>
        <v>85.525000000000006</v>
      </c>
    </row>
    <row r="302" spans="2:21" x14ac:dyDescent="0.35">
      <c r="B302" s="19">
        <f t="shared" si="1714"/>
        <v>292</v>
      </c>
      <c r="C302" s="7">
        <f>C301</f>
        <v>46062</v>
      </c>
      <c r="D302" s="7" t="str">
        <f t="shared" ref="D302" si="1941">D301</f>
        <v>Breeding</v>
      </c>
      <c r="E302" s="14">
        <f t="shared" ref="E302" si="1942">E301</f>
        <v>30</v>
      </c>
      <c r="F302" s="42" t="str">
        <f t="shared" ref="F302" si="1943">F301</f>
        <v>F252104</v>
      </c>
      <c r="G302" s="42" t="str">
        <f t="shared" ref="G302" si="1944">G301</f>
        <v>CIAT-BR06_1348</v>
      </c>
      <c r="H302" s="42" t="str">
        <f t="shared" ref="H302" si="1945">H301</f>
        <v>Urochloa</v>
      </c>
      <c r="I302" s="42" t="str">
        <f t="shared" ref="I302" si="1946">I301</f>
        <v>interespecifico</v>
      </c>
      <c r="J302" s="42" t="str">
        <f t="shared" ref="J302" si="1947">J301</f>
        <v>Brachiaria interespecifico</v>
      </c>
      <c r="K302" s="42" t="str">
        <f t="shared" ref="K302" si="1948">K301</f>
        <v>Poaceae</v>
      </c>
      <c r="L302" s="42" t="str">
        <f t="shared" ref="L302" si="1949">L301</f>
        <v>Poales</v>
      </c>
      <c r="M302" s="42" t="str">
        <f t="shared" ref="M302" si="1950">M301</f>
        <v>grasses</v>
      </c>
      <c r="N302" s="42" t="str">
        <f t="shared" ref="N302" si="1951">N301</f>
        <v>64,65,71</v>
      </c>
      <c r="O302" s="42" t="str">
        <f t="shared" ref="O302" si="1952">O301</f>
        <v>OT-013(2025)</v>
      </c>
      <c r="P302" s="20">
        <v>93.16</v>
      </c>
      <c r="Q302" s="341"/>
      <c r="R302" s="210">
        <v>14.68</v>
      </c>
      <c r="S302" s="341"/>
      <c r="T302" s="210">
        <v>85.32</v>
      </c>
      <c r="U302" s="341"/>
    </row>
    <row r="303" spans="2:21" x14ac:dyDescent="0.35">
      <c r="B303" s="19">
        <f t="shared" si="1714"/>
        <v>293</v>
      </c>
      <c r="C303" s="7">
        <f>'1. Information samples'!C157</f>
        <v>46062</v>
      </c>
      <c r="D303" s="7" t="str">
        <f>'1. Information samples'!D157</f>
        <v>Breeding</v>
      </c>
      <c r="E303" s="14">
        <f>'1. Information samples'!E157</f>
        <v>30</v>
      </c>
      <c r="F303" s="42" t="str">
        <f>'1. Information samples'!F157</f>
        <v>F252166</v>
      </c>
      <c r="G303" s="42" t="str">
        <f>'1. Information samples'!G157</f>
        <v>CIAT-BH22_0528</v>
      </c>
      <c r="H303" s="42" t="str">
        <f>'1. Information samples'!H157</f>
        <v>Urochloa</v>
      </c>
      <c r="I303" s="42" t="str">
        <f>'1. Information samples'!I157</f>
        <v>humidicola</v>
      </c>
      <c r="J303" s="42" t="str">
        <f>'1. Information samples'!J157</f>
        <v>Urochloa humidicola</v>
      </c>
      <c r="K303" s="42" t="str">
        <f>'1. Information samples'!K157</f>
        <v>Poaceae</v>
      </c>
      <c r="L303" s="42" t="str">
        <f>'1. Information samples'!L157</f>
        <v>Poales</v>
      </c>
      <c r="M303" s="42" t="str">
        <f>'1. Information samples'!M157</f>
        <v>grasses</v>
      </c>
      <c r="N303" s="42" t="str">
        <f>'1. Information samples'!N157</f>
        <v>64,65,71</v>
      </c>
      <c r="O303" s="42" t="str">
        <f>'1. Information samples'!O157</f>
        <v>OT-020(2025)</v>
      </c>
      <c r="P303" s="20">
        <v>98.22</v>
      </c>
      <c r="Q303" s="341">
        <f t="shared" ref="Q303:S305" si="1953">AVERAGE(P303:P304)</f>
        <v>98.210000000000008</v>
      </c>
      <c r="R303" s="210">
        <v>15.08</v>
      </c>
      <c r="S303" s="341">
        <f t="shared" si="1953"/>
        <v>13.780000000000001</v>
      </c>
      <c r="T303" s="210">
        <v>84.92</v>
      </c>
      <c r="U303" s="341">
        <f t="shared" ref="U303:U305" si="1954">AVERAGE(T303:T304)</f>
        <v>86.22</v>
      </c>
    </row>
    <row r="304" spans="2:21" x14ac:dyDescent="0.35">
      <c r="B304" s="19">
        <f t="shared" si="1714"/>
        <v>294</v>
      </c>
      <c r="C304" s="7">
        <f>C303</f>
        <v>46062</v>
      </c>
      <c r="D304" s="7" t="str">
        <f t="shared" ref="D304" si="1955">D303</f>
        <v>Breeding</v>
      </c>
      <c r="E304" s="14">
        <f t="shared" ref="E304" si="1956">E303</f>
        <v>30</v>
      </c>
      <c r="F304" s="42" t="str">
        <f t="shared" ref="F304" si="1957">F303</f>
        <v>F252166</v>
      </c>
      <c r="G304" s="42" t="str">
        <f t="shared" ref="G304" si="1958">G303</f>
        <v>CIAT-BH22_0528</v>
      </c>
      <c r="H304" s="42" t="str">
        <f t="shared" ref="H304" si="1959">H303</f>
        <v>Urochloa</v>
      </c>
      <c r="I304" s="42" t="str">
        <f t="shared" ref="I304" si="1960">I303</f>
        <v>humidicola</v>
      </c>
      <c r="J304" s="42" t="str">
        <f t="shared" ref="J304" si="1961">J303</f>
        <v>Urochloa humidicola</v>
      </c>
      <c r="K304" s="42" t="str">
        <f t="shared" ref="K304" si="1962">K303</f>
        <v>Poaceae</v>
      </c>
      <c r="L304" s="42" t="str">
        <f t="shared" ref="L304" si="1963">L303</f>
        <v>Poales</v>
      </c>
      <c r="M304" s="42" t="str">
        <f t="shared" ref="M304" si="1964">M303</f>
        <v>grasses</v>
      </c>
      <c r="N304" s="42" t="str">
        <f t="shared" ref="N304" si="1965">N303</f>
        <v>64,65,71</v>
      </c>
      <c r="O304" s="42" t="str">
        <f t="shared" ref="O304" si="1966">O303</f>
        <v>OT-020(2025)</v>
      </c>
      <c r="P304" s="20">
        <v>98.2</v>
      </c>
      <c r="Q304" s="341"/>
      <c r="R304" s="210">
        <v>12.48</v>
      </c>
      <c r="S304" s="341"/>
      <c r="T304" s="210">
        <v>87.52</v>
      </c>
      <c r="U304" s="341"/>
    </row>
    <row r="305" spans="2:21" x14ac:dyDescent="0.35">
      <c r="B305" s="19">
        <f t="shared" si="1714"/>
        <v>295</v>
      </c>
      <c r="C305" s="7">
        <f>'1. Information samples'!C158</f>
        <v>46062</v>
      </c>
      <c r="D305" s="7" t="str">
        <f>'1. Information samples'!D158</f>
        <v>Jacobo Arango/ Alejandro Montoya</v>
      </c>
      <c r="E305" s="14">
        <f>'1. Information samples'!E158</f>
        <v>30</v>
      </c>
      <c r="F305" s="42" t="str">
        <f>'1. Information samples'!F158</f>
        <v>F250008</v>
      </c>
      <c r="G305" s="42" t="str">
        <f>'1. Information samples'!G158</f>
        <v>Sample 8</v>
      </c>
      <c r="H305" s="42" t="str">
        <f>'1. Information samples'!H158</f>
        <v>Cynodon</v>
      </c>
      <c r="I305" s="42" t="str">
        <f>'1. Information samples'!I158</f>
        <v xml:space="preserve"> nlemfuensis </v>
      </c>
      <c r="J305" s="42" t="str">
        <f>'1. Information samples'!J158</f>
        <v xml:space="preserve">Cynodon nlemfuensis </v>
      </c>
      <c r="K305" s="42" t="str">
        <f>'1. Information samples'!K158</f>
        <v>Poaceae</v>
      </c>
      <c r="L305" s="42" t="str">
        <f>'1. Information samples'!L158</f>
        <v>Poales</v>
      </c>
      <c r="M305" s="42" t="str">
        <f>'1. Information samples'!M158</f>
        <v>grasses</v>
      </c>
      <c r="N305" s="42" t="str">
        <f>'1. Information samples'!N158</f>
        <v>64,65,71</v>
      </c>
      <c r="O305" s="42" t="str">
        <f>'1. Information samples'!O158</f>
        <v>OT-001(2025)</v>
      </c>
      <c r="P305" s="312">
        <v>93.6</v>
      </c>
      <c r="Q305" s="341">
        <f t="shared" si="1953"/>
        <v>93.699999999999989</v>
      </c>
      <c r="R305" s="312">
        <v>11.3</v>
      </c>
      <c r="S305" s="341">
        <f t="shared" si="1953"/>
        <v>11.4</v>
      </c>
      <c r="T305" s="312">
        <v>88.7</v>
      </c>
      <c r="U305" s="341">
        <f t="shared" si="1954"/>
        <v>88.6</v>
      </c>
    </row>
    <row r="306" spans="2:21" x14ac:dyDescent="0.35">
      <c r="B306" s="19">
        <f t="shared" si="1714"/>
        <v>296</v>
      </c>
      <c r="C306" s="7">
        <f>C305</f>
        <v>46062</v>
      </c>
      <c r="D306" s="7" t="str">
        <f t="shared" ref="D306" si="1967">D305</f>
        <v>Jacobo Arango/ Alejandro Montoya</v>
      </c>
      <c r="E306" s="14">
        <f t="shared" ref="E306" si="1968">E305</f>
        <v>30</v>
      </c>
      <c r="F306" s="42" t="str">
        <f t="shared" ref="F306" si="1969">F305</f>
        <v>F250008</v>
      </c>
      <c r="G306" s="42" t="str">
        <f t="shared" ref="G306" si="1970">G305</f>
        <v>Sample 8</v>
      </c>
      <c r="H306" s="42" t="str">
        <f t="shared" ref="H306" si="1971">H305</f>
        <v>Cynodon</v>
      </c>
      <c r="I306" s="42" t="str">
        <f t="shared" ref="I306" si="1972">I305</f>
        <v xml:space="preserve"> nlemfuensis </v>
      </c>
      <c r="J306" s="42" t="str">
        <f t="shared" ref="J306" si="1973">J305</f>
        <v xml:space="preserve">Cynodon nlemfuensis </v>
      </c>
      <c r="K306" s="42" t="str">
        <f t="shared" ref="K306" si="1974">K305</f>
        <v>Poaceae</v>
      </c>
      <c r="L306" s="42" t="str">
        <f t="shared" ref="L306" si="1975">L305</f>
        <v>Poales</v>
      </c>
      <c r="M306" s="42" t="str">
        <f t="shared" ref="M306" si="1976">M305</f>
        <v>grasses</v>
      </c>
      <c r="N306" s="42" t="str">
        <f t="shared" ref="N306" si="1977">N305</f>
        <v>64,65,71</v>
      </c>
      <c r="O306" s="42" t="str">
        <f t="shared" ref="O306" si="1978">O305</f>
        <v>OT-001(2025)</v>
      </c>
      <c r="P306" s="312">
        <v>93.8</v>
      </c>
      <c r="Q306" s="341"/>
      <c r="R306" s="312">
        <v>11.5</v>
      </c>
      <c r="S306" s="341"/>
      <c r="T306" s="312">
        <v>88.5</v>
      </c>
      <c r="U306" s="341"/>
    </row>
  </sheetData>
  <autoFilter ref="B10:T306" xr:uid="{A17292F9-8840-43A6-BDAA-40AF537E4B07}"/>
  <mergeCells count="445">
    <mergeCell ref="U295:U296"/>
    <mergeCell ref="U297:U298"/>
    <mergeCell ref="U299:U300"/>
    <mergeCell ref="U301:U302"/>
    <mergeCell ref="U303:U304"/>
    <mergeCell ref="U305:U306"/>
    <mergeCell ref="U277:U278"/>
    <mergeCell ref="U279:U280"/>
    <mergeCell ref="U281:U282"/>
    <mergeCell ref="U283:U284"/>
    <mergeCell ref="U285:U286"/>
    <mergeCell ref="U287:U288"/>
    <mergeCell ref="U289:U290"/>
    <mergeCell ref="U291:U292"/>
    <mergeCell ref="U293:U294"/>
    <mergeCell ref="S295:S296"/>
    <mergeCell ref="S297:S298"/>
    <mergeCell ref="S299:S300"/>
    <mergeCell ref="S301:S302"/>
    <mergeCell ref="S303:S304"/>
    <mergeCell ref="S305:S306"/>
    <mergeCell ref="U241:U242"/>
    <mergeCell ref="U243:U244"/>
    <mergeCell ref="U245:U246"/>
    <mergeCell ref="U247:U248"/>
    <mergeCell ref="U249:U250"/>
    <mergeCell ref="U251:U252"/>
    <mergeCell ref="U253:U254"/>
    <mergeCell ref="U255:U256"/>
    <mergeCell ref="U257:U258"/>
    <mergeCell ref="U259:U260"/>
    <mergeCell ref="U261:U262"/>
    <mergeCell ref="U263:U264"/>
    <mergeCell ref="U265:U266"/>
    <mergeCell ref="U267:U268"/>
    <mergeCell ref="U269:U270"/>
    <mergeCell ref="U271:U272"/>
    <mergeCell ref="U273:U274"/>
    <mergeCell ref="U275:U276"/>
    <mergeCell ref="S277:S278"/>
    <mergeCell ref="S279:S280"/>
    <mergeCell ref="S281:S282"/>
    <mergeCell ref="S283:S284"/>
    <mergeCell ref="S285:S286"/>
    <mergeCell ref="S287:S288"/>
    <mergeCell ref="S289:S290"/>
    <mergeCell ref="S291:S292"/>
    <mergeCell ref="S293:S294"/>
    <mergeCell ref="Q295:Q296"/>
    <mergeCell ref="Q297:Q298"/>
    <mergeCell ref="Q299:Q300"/>
    <mergeCell ref="Q301:Q302"/>
    <mergeCell ref="Q303:Q304"/>
    <mergeCell ref="Q305:Q306"/>
    <mergeCell ref="S241:S242"/>
    <mergeCell ref="S243:S244"/>
    <mergeCell ref="S245:S246"/>
    <mergeCell ref="S247:S248"/>
    <mergeCell ref="S249:S250"/>
    <mergeCell ref="S251:S252"/>
    <mergeCell ref="S253:S254"/>
    <mergeCell ref="S255:S256"/>
    <mergeCell ref="S257:S258"/>
    <mergeCell ref="S259:S260"/>
    <mergeCell ref="S261:S262"/>
    <mergeCell ref="S263:S264"/>
    <mergeCell ref="S265:S266"/>
    <mergeCell ref="S267:S268"/>
    <mergeCell ref="S269:S270"/>
    <mergeCell ref="S271:S272"/>
    <mergeCell ref="S273:S274"/>
    <mergeCell ref="S275:S276"/>
    <mergeCell ref="Q277:Q278"/>
    <mergeCell ref="Q279:Q280"/>
    <mergeCell ref="Q281:Q282"/>
    <mergeCell ref="Q283:Q284"/>
    <mergeCell ref="Q285:Q286"/>
    <mergeCell ref="Q287:Q288"/>
    <mergeCell ref="Q289:Q290"/>
    <mergeCell ref="Q291:Q292"/>
    <mergeCell ref="Q293:Q294"/>
    <mergeCell ref="Q259:Q260"/>
    <mergeCell ref="Q261:Q262"/>
    <mergeCell ref="Q263:Q264"/>
    <mergeCell ref="Q265:Q266"/>
    <mergeCell ref="Q267:Q268"/>
    <mergeCell ref="Q269:Q270"/>
    <mergeCell ref="Q271:Q272"/>
    <mergeCell ref="Q273:Q274"/>
    <mergeCell ref="Q275:Q276"/>
    <mergeCell ref="Q241:Q242"/>
    <mergeCell ref="Q243:Q244"/>
    <mergeCell ref="Q245:Q246"/>
    <mergeCell ref="Q247:Q248"/>
    <mergeCell ref="Q249:Q250"/>
    <mergeCell ref="Q251:Q252"/>
    <mergeCell ref="Q253:Q254"/>
    <mergeCell ref="Q255:Q256"/>
    <mergeCell ref="Q257:Q258"/>
    <mergeCell ref="S239:S240"/>
    <mergeCell ref="Q193:Q194"/>
    <mergeCell ref="S193:S194"/>
    <mergeCell ref="Q195:Q196"/>
    <mergeCell ref="S195:S196"/>
    <mergeCell ref="Q197:Q198"/>
    <mergeCell ref="S197:S198"/>
    <mergeCell ref="Q239:Q240"/>
    <mergeCell ref="P4:T6"/>
    <mergeCell ref="Q229:Q230"/>
    <mergeCell ref="S229:S230"/>
    <mergeCell ref="Q231:Q232"/>
    <mergeCell ref="S231:S232"/>
    <mergeCell ref="Q233:Q234"/>
    <mergeCell ref="S233:S234"/>
    <mergeCell ref="Q235:Q236"/>
    <mergeCell ref="Q237:Q238"/>
    <mergeCell ref="S235:S236"/>
    <mergeCell ref="S237:S238"/>
    <mergeCell ref="Q219:Q220"/>
    <mergeCell ref="S219:S220"/>
    <mergeCell ref="Q221:Q222"/>
    <mergeCell ref="S221:S222"/>
    <mergeCell ref="Q223:Q224"/>
    <mergeCell ref="S223:S224"/>
    <mergeCell ref="Q225:Q226"/>
    <mergeCell ref="S225:S226"/>
    <mergeCell ref="Q227:Q228"/>
    <mergeCell ref="S227:S228"/>
    <mergeCell ref="Q209:Q210"/>
    <mergeCell ref="S209:S210"/>
    <mergeCell ref="Q211:Q212"/>
    <mergeCell ref="S211:S212"/>
    <mergeCell ref="Q213:Q214"/>
    <mergeCell ref="S213:S214"/>
    <mergeCell ref="Q215:Q216"/>
    <mergeCell ref="S215:S216"/>
    <mergeCell ref="Q217:Q218"/>
    <mergeCell ref="S217:S218"/>
    <mergeCell ref="Q199:Q200"/>
    <mergeCell ref="S199:S200"/>
    <mergeCell ref="Q201:Q202"/>
    <mergeCell ref="S201:S202"/>
    <mergeCell ref="Q203:Q204"/>
    <mergeCell ref="S203:S204"/>
    <mergeCell ref="Q205:Q206"/>
    <mergeCell ref="S205:S206"/>
    <mergeCell ref="Q207:Q208"/>
    <mergeCell ref="S207:S208"/>
    <mergeCell ref="Q181:Q182"/>
    <mergeCell ref="Q183:Q184"/>
    <mergeCell ref="Q185:Q186"/>
    <mergeCell ref="Q187:Q188"/>
    <mergeCell ref="Q189:Q190"/>
    <mergeCell ref="Q191:Q192"/>
    <mergeCell ref="S163:S164"/>
    <mergeCell ref="S165:S166"/>
    <mergeCell ref="S167:S168"/>
    <mergeCell ref="S169:S170"/>
    <mergeCell ref="S171:S172"/>
    <mergeCell ref="S173:S174"/>
    <mergeCell ref="S175:S176"/>
    <mergeCell ref="S177:S178"/>
    <mergeCell ref="S179:S180"/>
    <mergeCell ref="S181:S182"/>
    <mergeCell ref="S183:S184"/>
    <mergeCell ref="S185:S186"/>
    <mergeCell ref="S187:S188"/>
    <mergeCell ref="S189:S190"/>
    <mergeCell ref="S191:S192"/>
    <mergeCell ref="Q163:Q164"/>
    <mergeCell ref="Q165:Q166"/>
    <mergeCell ref="Q167:Q168"/>
    <mergeCell ref="S147:S148"/>
    <mergeCell ref="Q169:Q170"/>
    <mergeCell ref="Q171:Q172"/>
    <mergeCell ref="Q173:Q174"/>
    <mergeCell ref="Q175:Q176"/>
    <mergeCell ref="Q177:Q178"/>
    <mergeCell ref="Q179:Q180"/>
    <mergeCell ref="Q149:Q150"/>
    <mergeCell ref="Q151:Q152"/>
    <mergeCell ref="Q153:Q154"/>
    <mergeCell ref="Q155:Q156"/>
    <mergeCell ref="Q157:Q158"/>
    <mergeCell ref="Q159:Q160"/>
    <mergeCell ref="Q161:Q162"/>
    <mergeCell ref="S149:S150"/>
    <mergeCell ref="S151:S152"/>
    <mergeCell ref="S153:S154"/>
    <mergeCell ref="S155:S156"/>
    <mergeCell ref="S157:S158"/>
    <mergeCell ref="S159:S160"/>
    <mergeCell ref="S161:S162"/>
    <mergeCell ref="Q131:Q132"/>
    <mergeCell ref="Q133:Q134"/>
    <mergeCell ref="Q135:Q136"/>
    <mergeCell ref="Q137:Q138"/>
    <mergeCell ref="Q139:Q140"/>
    <mergeCell ref="Q141:Q142"/>
    <mergeCell ref="Q143:Q144"/>
    <mergeCell ref="Q145:Q146"/>
    <mergeCell ref="Q147:Q148"/>
    <mergeCell ref="S131:S132"/>
    <mergeCell ref="S133:S134"/>
    <mergeCell ref="S135:S136"/>
    <mergeCell ref="S137:S138"/>
    <mergeCell ref="S139:S140"/>
    <mergeCell ref="S141:S142"/>
    <mergeCell ref="S143:S144"/>
    <mergeCell ref="S145:S146"/>
    <mergeCell ref="Q23:Q24"/>
    <mergeCell ref="Q25:Q26"/>
    <mergeCell ref="Q27:Q28"/>
    <mergeCell ref="Q29:Q30"/>
    <mergeCell ref="Q31:Q32"/>
    <mergeCell ref="Q33:Q34"/>
    <mergeCell ref="Q53:Q54"/>
    <mergeCell ref="Q55:Q56"/>
    <mergeCell ref="Q57:Q58"/>
    <mergeCell ref="Q71:Q72"/>
    <mergeCell ref="Q73:Q74"/>
    <mergeCell ref="Q75:Q76"/>
    <mergeCell ref="Q77:Q78"/>
    <mergeCell ref="Q79:Q80"/>
    <mergeCell ref="Q81:Q82"/>
    <mergeCell ref="Q59:Q60"/>
    <mergeCell ref="Q11:Q12"/>
    <mergeCell ref="Q13:Q14"/>
    <mergeCell ref="Q15:Q16"/>
    <mergeCell ref="Q17:Q18"/>
    <mergeCell ref="Q19:Q20"/>
    <mergeCell ref="Q21:Q22"/>
    <mergeCell ref="Q47:Q48"/>
    <mergeCell ref="Q49:Q50"/>
    <mergeCell ref="Q51:Q52"/>
    <mergeCell ref="Q35:Q36"/>
    <mergeCell ref="Q37:Q38"/>
    <mergeCell ref="Q39:Q40"/>
    <mergeCell ref="Q41:Q42"/>
    <mergeCell ref="Q43:Q44"/>
    <mergeCell ref="Q45:Q46"/>
    <mergeCell ref="Q61:Q62"/>
    <mergeCell ref="Q63:Q64"/>
    <mergeCell ref="Q65:Q66"/>
    <mergeCell ref="Q67:Q68"/>
    <mergeCell ref="Q69:Q70"/>
    <mergeCell ref="Q95:Q96"/>
    <mergeCell ref="Q97:Q98"/>
    <mergeCell ref="Q99:Q100"/>
    <mergeCell ref="Q101:Q102"/>
    <mergeCell ref="Q103:Q104"/>
    <mergeCell ref="Q105:Q106"/>
    <mergeCell ref="Q83:Q84"/>
    <mergeCell ref="Q85:Q86"/>
    <mergeCell ref="Q87:Q88"/>
    <mergeCell ref="Q89:Q90"/>
    <mergeCell ref="Q91:Q92"/>
    <mergeCell ref="Q93:Q94"/>
    <mergeCell ref="Q119:Q120"/>
    <mergeCell ref="Q121:Q122"/>
    <mergeCell ref="Q123:Q124"/>
    <mergeCell ref="Q125:Q126"/>
    <mergeCell ref="Q127:Q128"/>
    <mergeCell ref="Q129:Q130"/>
    <mergeCell ref="Q107:Q108"/>
    <mergeCell ref="Q109:Q110"/>
    <mergeCell ref="Q111:Q112"/>
    <mergeCell ref="Q113:Q114"/>
    <mergeCell ref="Q115:Q116"/>
    <mergeCell ref="Q117:Q118"/>
    <mergeCell ref="S23:S24"/>
    <mergeCell ref="S25:S26"/>
    <mergeCell ref="S27:S28"/>
    <mergeCell ref="S29:S30"/>
    <mergeCell ref="S31:S32"/>
    <mergeCell ref="S33:S34"/>
    <mergeCell ref="S11:S12"/>
    <mergeCell ref="S13:S14"/>
    <mergeCell ref="S15:S16"/>
    <mergeCell ref="S17:S18"/>
    <mergeCell ref="S19:S20"/>
    <mergeCell ref="S21:S22"/>
    <mergeCell ref="S47:S48"/>
    <mergeCell ref="S49:S50"/>
    <mergeCell ref="S51:S52"/>
    <mergeCell ref="S53:S54"/>
    <mergeCell ref="S55:S56"/>
    <mergeCell ref="S57:S58"/>
    <mergeCell ref="S35:S36"/>
    <mergeCell ref="S37:S38"/>
    <mergeCell ref="S39:S40"/>
    <mergeCell ref="S41:S42"/>
    <mergeCell ref="S43:S44"/>
    <mergeCell ref="S45:S46"/>
    <mergeCell ref="S71:S72"/>
    <mergeCell ref="S73:S74"/>
    <mergeCell ref="S75:S76"/>
    <mergeCell ref="S77:S78"/>
    <mergeCell ref="S79:S80"/>
    <mergeCell ref="S81:S82"/>
    <mergeCell ref="S59:S60"/>
    <mergeCell ref="S61:S62"/>
    <mergeCell ref="S63:S64"/>
    <mergeCell ref="S65:S66"/>
    <mergeCell ref="S67:S68"/>
    <mergeCell ref="S69:S70"/>
    <mergeCell ref="S95:S96"/>
    <mergeCell ref="S97:S98"/>
    <mergeCell ref="S99:S100"/>
    <mergeCell ref="S101:S102"/>
    <mergeCell ref="S103:S104"/>
    <mergeCell ref="S105:S106"/>
    <mergeCell ref="S83:S84"/>
    <mergeCell ref="S85:S86"/>
    <mergeCell ref="S87:S88"/>
    <mergeCell ref="S89:S90"/>
    <mergeCell ref="S91:S92"/>
    <mergeCell ref="S93:S94"/>
    <mergeCell ref="S119:S120"/>
    <mergeCell ref="S121:S122"/>
    <mergeCell ref="S123:S124"/>
    <mergeCell ref="S125:S126"/>
    <mergeCell ref="S127:S128"/>
    <mergeCell ref="S129:S130"/>
    <mergeCell ref="S107:S108"/>
    <mergeCell ref="S109:S110"/>
    <mergeCell ref="S111:S112"/>
    <mergeCell ref="S113:S114"/>
    <mergeCell ref="S115:S116"/>
    <mergeCell ref="S117:S118"/>
    <mergeCell ref="U11:U12"/>
    <mergeCell ref="U13:U14"/>
    <mergeCell ref="U15:U16"/>
    <mergeCell ref="U17:U18"/>
    <mergeCell ref="U19:U20"/>
    <mergeCell ref="U21:U22"/>
    <mergeCell ref="U23:U24"/>
    <mergeCell ref="U25:U26"/>
    <mergeCell ref="U27:U28"/>
    <mergeCell ref="U29:U30"/>
    <mergeCell ref="U31:U32"/>
    <mergeCell ref="U33:U34"/>
    <mergeCell ref="U35:U36"/>
    <mergeCell ref="U37:U38"/>
    <mergeCell ref="U39:U40"/>
    <mergeCell ref="U41:U42"/>
    <mergeCell ref="U43:U44"/>
    <mergeCell ref="U45:U46"/>
    <mergeCell ref="U47:U48"/>
    <mergeCell ref="U49:U50"/>
    <mergeCell ref="U51:U52"/>
    <mergeCell ref="U53:U54"/>
    <mergeCell ref="U55:U56"/>
    <mergeCell ref="U57:U58"/>
    <mergeCell ref="U59:U60"/>
    <mergeCell ref="U61:U62"/>
    <mergeCell ref="U63:U64"/>
    <mergeCell ref="U65:U66"/>
    <mergeCell ref="U67:U68"/>
    <mergeCell ref="U69:U70"/>
    <mergeCell ref="U71:U72"/>
    <mergeCell ref="U73:U74"/>
    <mergeCell ref="U75:U76"/>
    <mergeCell ref="U77:U78"/>
    <mergeCell ref="U79:U80"/>
    <mergeCell ref="U81:U82"/>
    <mergeCell ref="U83:U84"/>
    <mergeCell ref="U85:U86"/>
    <mergeCell ref="U87:U88"/>
    <mergeCell ref="U89:U90"/>
    <mergeCell ref="U91:U92"/>
    <mergeCell ref="U93:U94"/>
    <mergeCell ref="U95:U96"/>
    <mergeCell ref="U97:U98"/>
    <mergeCell ref="U99:U100"/>
    <mergeCell ref="U101:U102"/>
    <mergeCell ref="U103:U104"/>
    <mergeCell ref="U105:U106"/>
    <mergeCell ref="U107:U108"/>
    <mergeCell ref="U109:U110"/>
    <mergeCell ref="U111:U112"/>
    <mergeCell ref="U113:U114"/>
    <mergeCell ref="U115:U116"/>
    <mergeCell ref="U117:U118"/>
    <mergeCell ref="U119:U120"/>
    <mergeCell ref="U121:U122"/>
    <mergeCell ref="U123:U124"/>
    <mergeCell ref="U125:U126"/>
    <mergeCell ref="U127:U128"/>
    <mergeCell ref="U129:U130"/>
    <mergeCell ref="U131:U132"/>
    <mergeCell ref="U133:U134"/>
    <mergeCell ref="U135:U136"/>
    <mergeCell ref="U137:U138"/>
    <mergeCell ref="U139:U140"/>
    <mergeCell ref="U141:U142"/>
    <mergeCell ref="U143:U144"/>
    <mergeCell ref="U145:U146"/>
    <mergeCell ref="U147:U148"/>
    <mergeCell ref="U149:U150"/>
    <mergeCell ref="U151:U152"/>
    <mergeCell ref="U153:U154"/>
    <mergeCell ref="U155:U156"/>
    <mergeCell ref="U157:U158"/>
    <mergeCell ref="U159:U160"/>
    <mergeCell ref="U161:U162"/>
    <mergeCell ref="U163:U164"/>
    <mergeCell ref="U165:U166"/>
    <mergeCell ref="U167:U168"/>
    <mergeCell ref="U169:U170"/>
    <mergeCell ref="U171:U172"/>
    <mergeCell ref="U173:U174"/>
    <mergeCell ref="U175:U176"/>
    <mergeCell ref="U177:U178"/>
    <mergeCell ref="U179:U180"/>
    <mergeCell ref="U181:U182"/>
    <mergeCell ref="U183:U184"/>
    <mergeCell ref="U185:U186"/>
    <mergeCell ref="U187:U188"/>
    <mergeCell ref="U189:U190"/>
    <mergeCell ref="U191:U192"/>
    <mergeCell ref="U193:U194"/>
    <mergeCell ref="U195:U196"/>
    <mergeCell ref="U197:U198"/>
    <mergeCell ref="U199:U200"/>
    <mergeCell ref="U201:U202"/>
    <mergeCell ref="U203:U204"/>
    <mergeCell ref="U205:U206"/>
    <mergeCell ref="U207:U208"/>
    <mergeCell ref="U235:U236"/>
    <mergeCell ref="U237:U238"/>
    <mergeCell ref="U239:U240"/>
    <mergeCell ref="U227:U228"/>
    <mergeCell ref="U229:U230"/>
    <mergeCell ref="U231:U232"/>
    <mergeCell ref="U233:U234"/>
    <mergeCell ref="U209:U210"/>
    <mergeCell ref="U211:U212"/>
    <mergeCell ref="U213:U214"/>
    <mergeCell ref="U215:U216"/>
    <mergeCell ref="U217:U218"/>
    <mergeCell ref="U219:U220"/>
    <mergeCell ref="U221:U222"/>
    <mergeCell ref="U223:U224"/>
    <mergeCell ref="U225:U226"/>
  </mergeCells>
  <pageMargins left="0.7" right="0.7" top="0.75" bottom="0.75" header="0.3" footer="0.3"/>
  <pageSetup orientation="portrait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B7A134-0A28-4DCA-8D54-2E486728FF17}">
  <sheetPr codeName="Sheet3"/>
  <dimension ref="B1:S306"/>
  <sheetViews>
    <sheetView topLeftCell="E1" zoomScale="105" zoomScaleNormal="55" workbookViewId="0">
      <selection activeCell="R303" sqref="R303:R306"/>
    </sheetView>
  </sheetViews>
  <sheetFormatPr defaultColWidth="8.6328125" defaultRowHeight="14.5" x14ac:dyDescent="0.35"/>
  <cols>
    <col min="1" max="1" width="3.6328125" style="5" customWidth="1"/>
    <col min="2" max="2" width="13.54296875" style="15" bestFit="1" customWidth="1"/>
    <col min="3" max="3" width="15.54296875" style="15" hidden="1" customWidth="1"/>
    <col min="4" max="4" width="23.08984375" style="15" hidden="1" customWidth="1"/>
    <col min="5" max="5" width="13.36328125" style="5" bestFit="1" customWidth="1"/>
    <col min="6" max="9" width="13.54296875" style="5" customWidth="1"/>
    <col min="10" max="10" width="24.90625" style="5" bestFit="1" customWidth="1"/>
    <col min="11" max="15" width="13.54296875" style="15" customWidth="1"/>
    <col min="16" max="16" width="16.6328125" style="5" hidden="1" customWidth="1"/>
    <col min="17" max="17" width="15.54296875" style="5" bestFit="1" customWidth="1"/>
    <col min="18" max="18" width="8" style="291" bestFit="1" customWidth="1"/>
    <col min="19" max="16384" width="8.6328125" style="5"/>
  </cols>
  <sheetData>
    <row r="1" spans="2:18" ht="11.25" customHeight="1" x14ac:dyDescent="0.35"/>
    <row r="2" spans="2:18" ht="11.25" customHeight="1" x14ac:dyDescent="0.35"/>
    <row r="3" spans="2:18" ht="11.25" customHeight="1" x14ac:dyDescent="0.35"/>
    <row r="4" spans="2:18" ht="11.25" customHeight="1" x14ac:dyDescent="0.35">
      <c r="P4" s="344" t="s">
        <v>489</v>
      </c>
      <c r="Q4" s="344"/>
      <c r="R4" s="344"/>
    </row>
    <row r="5" spans="2:18" ht="11.25" customHeight="1" x14ac:dyDescent="0.35">
      <c r="P5" s="344"/>
      <c r="Q5" s="344"/>
      <c r="R5" s="344"/>
    </row>
    <row r="6" spans="2:18" ht="11.25" customHeight="1" x14ac:dyDescent="0.35">
      <c r="P6" s="344"/>
      <c r="Q6" s="344"/>
      <c r="R6" s="344"/>
    </row>
    <row r="7" spans="2:18" ht="11.25" customHeight="1" x14ac:dyDescent="0.35"/>
    <row r="8" spans="2:18" ht="11.15" customHeight="1" x14ac:dyDescent="0.35"/>
    <row r="9" spans="2:18" ht="11.15" customHeight="1" x14ac:dyDescent="0.35"/>
    <row r="10" spans="2:18" s="72" customFormat="1" ht="43.5" x14ac:dyDescent="0.35">
      <c r="B10" s="12" t="s">
        <v>482</v>
      </c>
      <c r="C10" s="13" t="s">
        <v>483</v>
      </c>
      <c r="D10" s="12" t="s">
        <v>3</v>
      </c>
      <c r="E10" s="44" t="s">
        <v>4</v>
      </c>
      <c r="F10" s="12" t="s">
        <v>5</v>
      </c>
      <c r="G10" s="12" t="s">
        <v>6</v>
      </c>
      <c r="H10" s="12" t="s">
        <v>7</v>
      </c>
      <c r="I10" s="12" t="s">
        <v>8</v>
      </c>
      <c r="J10" s="12" t="s">
        <v>9</v>
      </c>
      <c r="K10" s="12" t="s">
        <v>10</v>
      </c>
      <c r="L10" s="12" t="s">
        <v>11</v>
      </c>
      <c r="M10" s="12" t="s">
        <v>12</v>
      </c>
      <c r="N10" s="12" t="s">
        <v>13</v>
      </c>
      <c r="O10" s="12" t="s">
        <v>14</v>
      </c>
      <c r="P10" s="12" t="s">
        <v>490</v>
      </c>
      <c r="Q10" s="55" t="s">
        <v>485</v>
      </c>
      <c r="R10" s="54" t="s">
        <v>491</v>
      </c>
    </row>
    <row r="11" spans="2:18" x14ac:dyDescent="0.35">
      <c r="B11" s="17">
        <f>'2.1. DM'!B11</f>
        <v>1</v>
      </c>
      <c r="C11" s="17">
        <f>'2.1. DM'!C11</f>
        <v>46041</v>
      </c>
      <c r="D11" s="17" t="str">
        <f>'2.1. DM'!D11</f>
        <v>Genbank</v>
      </c>
      <c r="E11" s="17">
        <f>'2.1. DM'!E11</f>
        <v>27</v>
      </c>
      <c r="F11" s="17" t="str">
        <f>'2.1. DM'!F11</f>
        <v>F251728</v>
      </c>
      <c r="G11" s="17" t="str">
        <f>'2.1. DM'!G11</f>
        <v>CIAT-13262</v>
      </c>
      <c r="H11" s="17" t="str">
        <f>'2.1. DM'!H11</f>
        <v>Dendrolobium</v>
      </c>
      <c r="I11" s="17" t="str">
        <f>'2.1. DM'!I11</f>
        <v>triangulare</v>
      </c>
      <c r="J11" s="17" t="str">
        <f>'2.1. DM'!J11</f>
        <v>Dendrolobium triangulare</v>
      </c>
      <c r="K11" s="17" t="str">
        <f>'2.1. DM'!K11</f>
        <v>Fabaceae</v>
      </c>
      <c r="L11" s="17" t="str">
        <f>'2.1. DM'!L11</f>
        <v>Fabales</v>
      </c>
      <c r="M11" s="17" t="str">
        <f>'2.1. DM'!M11</f>
        <v>Tree</v>
      </c>
      <c r="N11" s="17" t="str">
        <f>'2.1. DM'!N11</f>
        <v>58,59, 69</v>
      </c>
      <c r="O11" s="17" t="str">
        <f>'2.1. DM'!O11</f>
        <v>OT-010 (2025)</v>
      </c>
      <c r="P11" s="36"/>
      <c r="Q11" s="26">
        <v>18.980951082197933</v>
      </c>
      <c r="R11" s="341">
        <f>AVERAGE(Q11:Q12)</f>
        <v>18.980951082197933</v>
      </c>
    </row>
    <row r="12" spans="2:18" x14ac:dyDescent="0.35">
      <c r="B12" s="17">
        <f>'2.1. DM'!B12</f>
        <v>2</v>
      </c>
      <c r="C12" s="17">
        <f>'2.1. DM'!C12</f>
        <v>46041</v>
      </c>
      <c r="D12" s="17" t="str">
        <f>'2.1. DM'!D12</f>
        <v>Genbank</v>
      </c>
      <c r="E12" s="17">
        <f>'2.1. DM'!E12</f>
        <v>27</v>
      </c>
      <c r="F12" s="17" t="str">
        <f>'2.1. DM'!F12</f>
        <v>F251728</v>
      </c>
      <c r="G12" s="17" t="str">
        <f>'2.1. DM'!G12</f>
        <v>CIAT-13262</v>
      </c>
      <c r="H12" s="17" t="str">
        <f>'2.1. DM'!H12</f>
        <v>Dendrolobium</v>
      </c>
      <c r="I12" s="17" t="str">
        <f>'2.1. DM'!I12</f>
        <v>triangulare</v>
      </c>
      <c r="J12" s="17" t="str">
        <f>'2.1. DM'!J12</f>
        <v>Dendrolobium triangulare</v>
      </c>
      <c r="K12" s="17" t="str">
        <f>'2.1. DM'!K12</f>
        <v>Fabaceae</v>
      </c>
      <c r="L12" s="17" t="str">
        <f>'2.1. DM'!L12</f>
        <v>Fabales</v>
      </c>
      <c r="M12" s="17" t="str">
        <f>'2.1. DM'!M12</f>
        <v>Tree</v>
      </c>
      <c r="N12" s="17" t="str">
        <f>'2.1. DM'!N12</f>
        <v>58,59, 69</v>
      </c>
      <c r="O12" s="17" t="str">
        <f>'2.1. DM'!O12</f>
        <v>OT-010 (2025)</v>
      </c>
      <c r="P12" s="36"/>
      <c r="Q12" s="26">
        <v>18.980951082197933</v>
      </c>
      <c r="R12" s="341"/>
    </row>
    <row r="13" spans="2:18" x14ac:dyDescent="0.35">
      <c r="B13" s="17">
        <f>'2.1. DM'!B13</f>
        <v>3</v>
      </c>
      <c r="C13" s="17">
        <f>'2.1. DM'!C13</f>
        <v>46041</v>
      </c>
      <c r="D13" s="17" t="str">
        <f>'2.1. DM'!D13</f>
        <v>Genbank</v>
      </c>
      <c r="E13" s="17">
        <f>'2.1. DM'!E13</f>
        <v>27</v>
      </c>
      <c r="F13" s="17" t="str">
        <f>'2.1. DM'!F13</f>
        <v>F251729</v>
      </c>
      <c r="G13" s="17" t="str">
        <f>'2.1. DM'!G13</f>
        <v>CIAT-13528</v>
      </c>
      <c r="H13" s="17" t="str">
        <f>'2.1. DM'!H13</f>
        <v>Dendrolobium</v>
      </c>
      <c r="I13" s="17" t="str">
        <f>'2.1. DM'!I13</f>
        <v>lanceolatum</v>
      </c>
      <c r="J13" s="17" t="str">
        <f>'2.1. DM'!J13</f>
        <v>Dendrolobium lanceolatum</v>
      </c>
      <c r="K13" s="17" t="str">
        <f>'2.1. DM'!K13</f>
        <v>Fabaceae</v>
      </c>
      <c r="L13" s="17" t="str">
        <f>'2.1. DM'!L13</f>
        <v>Fabales</v>
      </c>
      <c r="M13" s="17" t="str">
        <f>'2.1. DM'!M13</f>
        <v>Tree</v>
      </c>
      <c r="N13" s="17" t="str">
        <f>'2.1. DM'!N13</f>
        <v>58,59, 69</v>
      </c>
      <c r="O13" s="17" t="str">
        <f>'2.1. DM'!O13</f>
        <v>OT-010 (2025)</v>
      </c>
      <c r="P13" s="36"/>
      <c r="Q13" s="26">
        <v>16.897001614940418</v>
      </c>
      <c r="R13" s="341">
        <f>AVERAGE(Q13:Q14)</f>
        <v>16.897001614940418</v>
      </c>
    </row>
    <row r="14" spans="2:18" x14ac:dyDescent="0.35">
      <c r="B14" s="17">
        <f>'2.1. DM'!B14</f>
        <v>4</v>
      </c>
      <c r="C14" s="17">
        <f>'2.1. DM'!C14</f>
        <v>46041</v>
      </c>
      <c r="D14" s="17" t="str">
        <f>'2.1. DM'!D14</f>
        <v>Genbank</v>
      </c>
      <c r="E14" s="17">
        <f>'2.1. DM'!E14</f>
        <v>27</v>
      </c>
      <c r="F14" s="17" t="str">
        <f>'2.1. DM'!F14</f>
        <v>F251729</v>
      </c>
      <c r="G14" s="17" t="str">
        <f>'2.1. DM'!G14</f>
        <v>CIAT-13528</v>
      </c>
      <c r="H14" s="17" t="str">
        <f>'2.1. DM'!H14</f>
        <v>Dendrolobium</v>
      </c>
      <c r="I14" s="17" t="str">
        <f>'2.1. DM'!I14</f>
        <v>lanceolatum</v>
      </c>
      <c r="J14" s="17" t="str">
        <f>'2.1. DM'!J14</f>
        <v>Dendrolobium lanceolatum</v>
      </c>
      <c r="K14" s="17" t="str">
        <f>'2.1. DM'!K14</f>
        <v>Fabaceae</v>
      </c>
      <c r="L14" s="17" t="str">
        <f>'2.1. DM'!L14</f>
        <v>Fabales</v>
      </c>
      <c r="M14" s="17" t="str">
        <f>'2.1. DM'!M14</f>
        <v>Tree</v>
      </c>
      <c r="N14" s="17" t="str">
        <f>'2.1. DM'!N14</f>
        <v>58,59, 69</v>
      </c>
      <c r="O14" s="17" t="str">
        <f>'2.1. DM'!O14</f>
        <v>OT-010 (2025)</v>
      </c>
      <c r="P14" s="36"/>
      <c r="Q14" s="26">
        <v>16.897001614940418</v>
      </c>
      <c r="R14" s="341"/>
    </row>
    <row r="15" spans="2:18" x14ac:dyDescent="0.35">
      <c r="B15" s="17">
        <f>'2.1. DM'!B15</f>
        <v>5</v>
      </c>
      <c r="C15" s="17">
        <f>'2.1. DM'!C15</f>
        <v>46041</v>
      </c>
      <c r="D15" s="17" t="str">
        <f>'2.1. DM'!D15</f>
        <v>Genbank</v>
      </c>
      <c r="E15" s="17">
        <f>'2.1. DM'!E15</f>
        <v>27</v>
      </c>
      <c r="F15" s="17" t="str">
        <f>'2.1. DM'!F15</f>
        <v>F251730</v>
      </c>
      <c r="G15" s="17" t="str">
        <f>'2.1. DM'!G15</f>
        <v>CIAT-13529</v>
      </c>
      <c r="H15" s="17" t="str">
        <f>'2.1. DM'!H15</f>
        <v>Dendrolobium</v>
      </c>
      <c r="I15" s="17" t="str">
        <f>'2.1. DM'!I15</f>
        <v>triangulare</v>
      </c>
      <c r="J15" s="17" t="str">
        <f>'2.1. DM'!J15</f>
        <v>Dendrolobium triangulare</v>
      </c>
      <c r="K15" s="17" t="str">
        <f>'2.1. DM'!K15</f>
        <v>Fabaceae</v>
      </c>
      <c r="L15" s="17" t="str">
        <f>'2.1. DM'!L15</f>
        <v>Fabales</v>
      </c>
      <c r="M15" s="17" t="str">
        <f>'2.1. DM'!M15</f>
        <v>Tree</v>
      </c>
      <c r="N15" s="17" t="str">
        <f>'2.1. DM'!N15</f>
        <v>58,59, 69</v>
      </c>
      <c r="O15" s="17" t="str">
        <f>'2.1. DM'!O15</f>
        <v>OT-010 (2025)</v>
      </c>
      <c r="P15" s="36"/>
      <c r="Q15" s="26">
        <v>18.170976041618641</v>
      </c>
      <c r="R15" s="341">
        <f>AVERAGE(Q15:Q16)</f>
        <v>18.170976041618641</v>
      </c>
    </row>
    <row r="16" spans="2:18" x14ac:dyDescent="0.35">
      <c r="B16" s="17">
        <f>'2.1. DM'!B16</f>
        <v>6</v>
      </c>
      <c r="C16" s="17">
        <f>'2.1. DM'!C16</f>
        <v>46041</v>
      </c>
      <c r="D16" s="17" t="str">
        <f>'2.1. DM'!D16</f>
        <v>Genbank</v>
      </c>
      <c r="E16" s="17">
        <f>'2.1. DM'!E16</f>
        <v>27</v>
      </c>
      <c r="F16" s="17" t="str">
        <f>'2.1. DM'!F16</f>
        <v>F251730</v>
      </c>
      <c r="G16" s="17" t="str">
        <f>'2.1. DM'!G16</f>
        <v>CIAT-13529</v>
      </c>
      <c r="H16" s="17" t="str">
        <f>'2.1. DM'!H16</f>
        <v>Dendrolobium</v>
      </c>
      <c r="I16" s="17" t="str">
        <f>'2.1. DM'!I16</f>
        <v>triangulare</v>
      </c>
      <c r="J16" s="17" t="str">
        <f>'2.1. DM'!J16</f>
        <v>Dendrolobium triangulare</v>
      </c>
      <c r="K16" s="17" t="str">
        <f>'2.1. DM'!K16</f>
        <v>Fabaceae</v>
      </c>
      <c r="L16" s="17" t="str">
        <f>'2.1. DM'!L16</f>
        <v>Fabales</v>
      </c>
      <c r="M16" s="17" t="str">
        <f>'2.1. DM'!M16</f>
        <v>Tree</v>
      </c>
      <c r="N16" s="17" t="str">
        <f>'2.1. DM'!N16</f>
        <v>58,59, 69</v>
      </c>
      <c r="O16" s="17" t="str">
        <f>'2.1. DM'!O16</f>
        <v>OT-010 (2025)</v>
      </c>
      <c r="P16" s="36"/>
      <c r="Q16" s="26">
        <v>18.170976041618641</v>
      </c>
      <c r="R16" s="341"/>
    </row>
    <row r="17" spans="2:18" x14ac:dyDescent="0.35">
      <c r="B17" s="17">
        <f>'2.1. DM'!B17</f>
        <v>7</v>
      </c>
      <c r="C17" s="17">
        <f>'2.1. DM'!C17</f>
        <v>46041</v>
      </c>
      <c r="D17" s="17" t="str">
        <f>'2.1. DM'!D17</f>
        <v>Genbank</v>
      </c>
      <c r="E17" s="17">
        <f>'2.1. DM'!E17</f>
        <v>27</v>
      </c>
      <c r="F17" s="17" t="str">
        <f>'2.1. DM'!F17</f>
        <v>F251731</v>
      </c>
      <c r="G17" s="17" t="str">
        <f>'2.1. DM'!G17</f>
        <v>CIAT-13710</v>
      </c>
      <c r="H17" s="17" t="str">
        <f>'2.1. DM'!H17</f>
        <v>Dendrolobium</v>
      </c>
      <c r="I17" s="17" t="str">
        <f>'2.1. DM'!I17</f>
        <v>lanceolatum</v>
      </c>
      <c r="J17" s="17" t="str">
        <f>'2.1. DM'!J17</f>
        <v>Dendrolobium lanceolatum</v>
      </c>
      <c r="K17" s="17" t="str">
        <f>'2.1. DM'!K17</f>
        <v>Fabaceae</v>
      </c>
      <c r="L17" s="17" t="str">
        <f>'2.1. DM'!L17</f>
        <v>Fabales</v>
      </c>
      <c r="M17" s="17" t="str">
        <f>'2.1. DM'!M17</f>
        <v>Tree</v>
      </c>
      <c r="N17" s="17" t="str">
        <f>'2.1. DM'!N17</f>
        <v>58,59, 69</v>
      </c>
      <c r="O17" s="17" t="str">
        <f>'2.1. DM'!O17</f>
        <v>OT-010 (2025)</v>
      </c>
      <c r="P17" s="36"/>
      <c r="Q17" s="26">
        <v>19.138187821274556</v>
      </c>
      <c r="R17" s="341">
        <f>AVERAGE(Q17:Q18)</f>
        <v>19.138187821274556</v>
      </c>
    </row>
    <row r="18" spans="2:18" x14ac:dyDescent="0.35">
      <c r="B18" s="17">
        <f>'2.1. DM'!B18</f>
        <v>8</v>
      </c>
      <c r="C18" s="17">
        <f>'2.1. DM'!C18</f>
        <v>46041</v>
      </c>
      <c r="D18" s="17" t="str">
        <f>'2.1. DM'!D18</f>
        <v>Genbank</v>
      </c>
      <c r="E18" s="17">
        <f>'2.1. DM'!E18</f>
        <v>27</v>
      </c>
      <c r="F18" s="17" t="str">
        <f>'2.1. DM'!F18</f>
        <v>F251731</v>
      </c>
      <c r="G18" s="17" t="str">
        <f>'2.1. DM'!G18</f>
        <v>CIAT-13710</v>
      </c>
      <c r="H18" s="17" t="str">
        <f>'2.1. DM'!H18</f>
        <v>Dendrolobium</v>
      </c>
      <c r="I18" s="17" t="str">
        <f>'2.1. DM'!I18</f>
        <v>lanceolatum</v>
      </c>
      <c r="J18" s="17" t="str">
        <f>'2.1. DM'!J18</f>
        <v>Dendrolobium lanceolatum</v>
      </c>
      <c r="K18" s="17" t="str">
        <f>'2.1. DM'!K18</f>
        <v>Fabaceae</v>
      </c>
      <c r="L18" s="17" t="str">
        <f>'2.1. DM'!L18</f>
        <v>Fabales</v>
      </c>
      <c r="M18" s="17" t="str">
        <f>'2.1. DM'!M18</f>
        <v>Tree</v>
      </c>
      <c r="N18" s="17" t="str">
        <f>'2.1. DM'!N18</f>
        <v>58,59, 69</v>
      </c>
      <c r="O18" s="17" t="str">
        <f>'2.1. DM'!O18</f>
        <v>OT-010 (2025)</v>
      </c>
      <c r="P18" s="36"/>
      <c r="Q18" s="26">
        <v>19.138187821274556</v>
      </c>
      <c r="R18" s="341"/>
    </row>
    <row r="19" spans="2:18" x14ac:dyDescent="0.35">
      <c r="B19" s="17">
        <f>'2.1. DM'!B19</f>
        <v>9</v>
      </c>
      <c r="C19" s="17">
        <f>'2.1. DM'!C19</f>
        <v>46041</v>
      </c>
      <c r="D19" s="17" t="str">
        <f>'2.1. DM'!D19</f>
        <v>Genbank</v>
      </c>
      <c r="E19" s="17">
        <f>'2.1. DM'!E19</f>
        <v>27</v>
      </c>
      <c r="F19" s="17" t="str">
        <f>'2.1. DM'!F19</f>
        <v>F251732</v>
      </c>
      <c r="G19" s="17" t="str">
        <f>'2.1. DM'!G19</f>
        <v>CIAT-22004</v>
      </c>
      <c r="H19" s="17" t="str">
        <f>'2.1. DM'!H19</f>
        <v>Dendrolobium</v>
      </c>
      <c r="I19" s="17" t="str">
        <f>'2.1. DM'!I19</f>
        <v>triangulare</v>
      </c>
      <c r="J19" s="17" t="str">
        <f>'2.1. DM'!J19</f>
        <v>Dendrolobium triangulare</v>
      </c>
      <c r="K19" s="17" t="str">
        <f>'2.1. DM'!K19</f>
        <v>Fabaceae</v>
      </c>
      <c r="L19" s="17" t="str">
        <f>'2.1. DM'!L19</f>
        <v>Fabales</v>
      </c>
      <c r="M19" s="17" t="str">
        <f>'2.1. DM'!M19</f>
        <v>Tree</v>
      </c>
      <c r="N19" s="17" t="str">
        <f>'2.1. DM'!N19</f>
        <v>58,59, 69</v>
      </c>
      <c r="O19" s="17" t="str">
        <f>'2.1. DM'!O19</f>
        <v>OT-010 (2025)</v>
      </c>
      <c r="P19" s="36"/>
      <c r="Q19" s="26">
        <v>17.582279628179812</v>
      </c>
      <c r="R19" s="341">
        <f>AVERAGE(Q19:Q20)</f>
        <v>17.582279628179812</v>
      </c>
    </row>
    <row r="20" spans="2:18" x14ac:dyDescent="0.35">
      <c r="B20" s="17">
        <f>'2.1. DM'!B20</f>
        <v>10</v>
      </c>
      <c r="C20" s="17">
        <f>'2.1. DM'!C20</f>
        <v>46041</v>
      </c>
      <c r="D20" s="17" t="str">
        <f>'2.1. DM'!D20</f>
        <v>Genbank</v>
      </c>
      <c r="E20" s="17">
        <f>'2.1. DM'!E20</f>
        <v>27</v>
      </c>
      <c r="F20" s="17" t="str">
        <f>'2.1. DM'!F20</f>
        <v>F251732</v>
      </c>
      <c r="G20" s="17" t="str">
        <f>'2.1. DM'!G20</f>
        <v>CIAT-22004</v>
      </c>
      <c r="H20" s="17" t="str">
        <f>'2.1. DM'!H20</f>
        <v>Dendrolobium</v>
      </c>
      <c r="I20" s="17" t="str">
        <f>'2.1. DM'!I20</f>
        <v>triangulare</v>
      </c>
      <c r="J20" s="17" t="str">
        <f>'2.1. DM'!J20</f>
        <v>Dendrolobium triangulare</v>
      </c>
      <c r="K20" s="17" t="str">
        <f>'2.1. DM'!K20</f>
        <v>Fabaceae</v>
      </c>
      <c r="L20" s="17" t="str">
        <f>'2.1. DM'!L20</f>
        <v>Fabales</v>
      </c>
      <c r="M20" s="17" t="str">
        <f>'2.1. DM'!M20</f>
        <v>Tree</v>
      </c>
      <c r="N20" s="17" t="str">
        <f>'2.1. DM'!N20</f>
        <v>58,59, 69</v>
      </c>
      <c r="O20" s="17" t="str">
        <f>'2.1. DM'!O20</f>
        <v>OT-010 (2025)</v>
      </c>
      <c r="P20" s="36"/>
      <c r="Q20" s="26">
        <v>17.582279628179812</v>
      </c>
      <c r="R20" s="341"/>
    </row>
    <row r="21" spans="2:18" x14ac:dyDescent="0.35">
      <c r="B21" s="17">
        <f>'2.1. DM'!B21</f>
        <v>11</v>
      </c>
      <c r="C21" s="17">
        <f>'2.1. DM'!C21</f>
        <v>46041</v>
      </c>
      <c r="D21" s="17" t="str">
        <f>'2.1. DM'!D21</f>
        <v>Genbank</v>
      </c>
      <c r="E21" s="17">
        <f>'2.1. DM'!E21</f>
        <v>27</v>
      </c>
      <c r="F21" s="17" t="str">
        <f>'2.1. DM'!F21</f>
        <v>F251733</v>
      </c>
      <c r="G21" s="17" t="str">
        <f>'2.1. DM'!G21</f>
        <v>CIAT-23104</v>
      </c>
      <c r="H21" s="17" t="str">
        <f>'2.1. DM'!H21</f>
        <v>Dendrolobium</v>
      </c>
      <c r="I21" s="17" t="str">
        <f>'2.1. DM'!I21</f>
        <v>triangulare</v>
      </c>
      <c r="J21" s="17" t="str">
        <f>'2.1. DM'!J21</f>
        <v>Dendrolobium triangulare</v>
      </c>
      <c r="K21" s="17" t="str">
        <f>'2.1. DM'!K21</f>
        <v>Fabaceae</v>
      </c>
      <c r="L21" s="17" t="str">
        <f>'2.1. DM'!L21</f>
        <v>Fabales</v>
      </c>
      <c r="M21" s="17" t="str">
        <f>'2.1. DM'!M21</f>
        <v>Tree</v>
      </c>
      <c r="N21" s="17" t="str">
        <f>'2.1. DM'!N21</f>
        <v>58,59, 69</v>
      </c>
      <c r="O21" s="17" t="str">
        <f>'2.1. DM'!O21</f>
        <v>OT-010 (2025)</v>
      </c>
      <c r="P21" s="36"/>
      <c r="Q21" s="26">
        <v>19.394716052821558</v>
      </c>
      <c r="R21" s="341">
        <f>AVERAGE(Q21:Q22)</f>
        <v>19.394716052821558</v>
      </c>
    </row>
    <row r="22" spans="2:18" x14ac:dyDescent="0.35">
      <c r="B22" s="17">
        <f>'2.1. DM'!B22</f>
        <v>12</v>
      </c>
      <c r="C22" s="17">
        <f>'2.1. DM'!C22</f>
        <v>46041</v>
      </c>
      <c r="D22" s="17" t="str">
        <f>'2.1. DM'!D22</f>
        <v>Genbank</v>
      </c>
      <c r="E22" s="17">
        <f>'2.1. DM'!E22</f>
        <v>27</v>
      </c>
      <c r="F22" s="17" t="str">
        <f>'2.1. DM'!F22</f>
        <v>F251733</v>
      </c>
      <c r="G22" s="17" t="str">
        <f>'2.1. DM'!G22</f>
        <v>CIAT-23104</v>
      </c>
      <c r="H22" s="17" t="str">
        <f>'2.1. DM'!H22</f>
        <v>Dendrolobium</v>
      </c>
      <c r="I22" s="17" t="str">
        <f>'2.1. DM'!I22</f>
        <v>triangulare</v>
      </c>
      <c r="J22" s="17" t="str">
        <f>'2.1. DM'!J22</f>
        <v>Dendrolobium triangulare</v>
      </c>
      <c r="K22" s="17" t="str">
        <f>'2.1. DM'!K22</f>
        <v>Fabaceae</v>
      </c>
      <c r="L22" s="17" t="str">
        <f>'2.1. DM'!L22</f>
        <v>Fabales</v>
      </c>
      <c r="M22" s="17" t="str">
        <f>'2.1. DM'!M22</f>
        <v>Tree</v>
      </c>
      <c r="N22" s="17" t="str">
        <f>'2.1. DM'!N22</f>
        <v>58,59, 69</v>
      </c>
      <c r="O22" s="17" t="str">
        <f>'2.1. DM'!O22</f>
        <v>OT-010 (2025)</v>
      </c>
      <c r="P22" s="36"/>
      <c r="Q22" s="26">
        <v>19.394716052821558</v>
      </c>
      <c r="R22" s="341"/>
    </row>
    <row r="23" spans="2:18" x14ac:dyDescent="0.35">
      <c r="B23" s="17">
        <f>'2.1. DM'!B23</f>
        <v>13</v>
      </c>
      <c r="C23" s="17">
        <f>'2.1. DM'!C23</f>
        <v>46041</v>
      </c>
      <c r="D23" s="17" t="str">
        <f>'2.1. DM'!D23</f>
        <v>Genbank</v>
      </c>
      <c r="E23" s="17">
        <f>'2.1. DM'!E23</f>
        <v>27</v>
      </c>
      <c r="F23" s="17" t="str">
        <f>'2.1. DM'!F23</f>
        <v>F251734</v>
      </c>
      <c r="G23" s="17" t="str">
        <f>'2.1. DM'!G23</f>
        <v>CIAT-23106</v>
      </c>
      <c r="H23" s="17" t="str">
        <f>'2.1. DM'!H23</f>
        <v>Dendrolobium</v>
      </c>
      <c r="I23" s="17" t="str">
        <f>'2.1. DM'!I23</f>
        <v>triangulare</v>
      </c>
      <c r="J23" s="17" t="str">
        <f>'2.1. DM'!J23</f>
        <v>Dendrolobium triangulare</v>
      </c>
      <c r="K23" s="17" t="str">
        <f>'2.1. DM'!K23</f>
        <v>Fabaceae</v>
      </c>
      <c r="L23" s="17" t="str">
        <f>'2.1. DM'!L23</f>
        <v>Fabales</v>
      </c>
      <c r="M23" s="17" t="str">
        <f>'2.1. DM'!M23</f>
        <v>Tree</v>
      </c>
      <c r="N23" s="17" t="str">
        <f>'2.1. DM'!N23</f>
        <v>58,59, 69</v>
      </c>
      <c r="O23" s="17" t="str">
        <f>'2.1. DM'!O23</f>
        <v>OT-010 (2025)</v>
      </c>
      <c r="P23" s="36"/>
      <c r="Q23" s="26">
        <v>21.885308885955659</v>
      </c>
      <c r="R23" s="341">
        <f>AVERAGE(Q23:Q24)</f>
        <v>21.885308885955659</v>
      </c>
    </row>
    <row r="24" spans="2:18" x14ac:dyDescent="0.35">
      <c r="B24" s="17">
        <f>'2.1. DM'!B24</f>
        <v>14</v>
      </c>
      <c r="C24" s="17">
        <f>'2.1. DM'!C24</f>
        <v>46041</v>
      </c>
      <c r="D24" s="17" t="str">
        <f>'2.1. DM'!D24</f>
        <v>Genbank</v>
      </c>
      <c r="E24" s="17">
        <f>'2.1. DM'!E24</f>
        <v>27</v>
      </c>
      <c r="F24" s="17" t="str">
        <f>'2.1. DM'!F24</f>
        <v>F251734</v>
      </c>
      <c r="G24" s="17" t="str">
        <f>'2.1. DM'!G24</f>
        <v>CIAT-23106</v>
      </c>
      <c r="H24" s="17" t="str">
        <f>'2.1. DM'!H24</f>
        <v>Dendrolobium</v>
      </c>
      <c r="I24" s="17" t="str">
        <f>'2.1. DM'!I24</f>
        <v>triangulare</v>
      </c>
      <c r="J24" s="17" t="str">
        <f>'2.1. DM'!J24</f>
        <v>Dendrolobium triangulare</v>
      </c>
      <c r="K24" s="17" t="str">
        <f>'2.1. DM'!K24</f>
        <v>Fabaceae</v>
      </c>
      <c r="L24" s="17" t="str">
        <f>'2.1. DM'!L24</f>
        <v>Fabales</v>
      </c>
      <c r="M24" s="17" t="str">
        <f>'2.1. DM'!M24</f>
        <v>Tree</v>
      </c>
      <c r="N24" s="17" t="str">
        <f>'2.1. DM'!N24</f>
        <v>58,59, 69</v>
      </c>
      <c r="O24" s="17" t="str">
        <f>'2.1. DM'!O24</f>
        <v>OT-010 (2025)</v>
      </c>
      <c r="P24" s="36"/>
      <c r="Q24" s="26">
        <v>21.885308885955659</v>
      </c>
      <c r="R24" s="341"/>
    </row>
    <row r="25" spans="2:18" x14ac:dyDescent="0.35">
      <c r="B25" s="17">
        <f>'2.1. DM'!B25</f>
        <v>15</v>
      </c>
      <c r="C25" s="17">
        <f>'2.1. DM'!C25</f>
        <v>46041</v>
      </c>
      <c r="D25" s="17" t="str">
        <f>'2.1. DM'!D25</f>
        <v>Genbank</v>
      </c>
      <c r="E25" s="17">
        <f>'2.1. DM'!E25</f>
        <v>27</v>
      </c>
      <c r="F25" s="17" t="str">
        <f>'2.1. DM'!F25</f>
        <v>F251735</v>
      </c>
      <c r="G25" s="17" t="str">
        <f>'2.1. DM'!G25</f>
        <v>CIAT-23107</v>
      </c>
      <c r="H25" s="17" t="str">
        <f>'2.1. DM'!H25</f>
        <v>Dendrolobium</v>
      </c>
      <c r="I25" s="17" t="str">
        <f>'2.1. DM'!I25</f>
        <v>triangulare</v>
      </c>
      <c r="J25" s="17" t="str">
        <f>'2.1. DM'!J25</f>
        <v>Dendrolobium triangulare</v>
      </c>
      <c r="K25" s="17" t="str">
        <f>'2.1. DM'!K25</f>
        <v>Fabaceae</v>
      </c>
      <c r="L25" s="17" t="str">
        <f>'2.1. DM'!L25</f>
        <v>Fabales</v>
      </c>
      <c r="M25" s="17" t="str">
        <f>'2.1. DM'!M25</f>
        <v>Tree</v>
      </c>
      <c r="N25" s="17" t="str">
        <f>'2.1. DM'!N25</f>
        <v>58,59, 69</v>
      </c>
      <c r="O25" s="17" t="str">
        <f>'2.1. DM'!O25</f>
        <v>OT-010 (2025)</v>
      </c>
      <c r="P25" s="36"/>
      <c r="Q25" s="26">
        <v>21.240817132160643</v>
      </c>
      <c r="R25" s="341">
        <f>AVERAGE(Q25:Q26)</f>
        <v>21.240817132160643</v>
      </c>
    </row>
    <row r="26" spans="2:18" x14ac:dyDescent="0.35">
      <c r="B26" s="17">
        <f>'2.1. DM'!B26</f>
        <v>16</v>
      </c>
      <c r="C26" s="17">
        <f>'2.1. DM'!C26</f>
        <v>46041</v>
      </c>
      <c r="D26" s="17" t="str">
        <f>'2.1. DM'!D26</f>
        <v>Genbank</v>
      </c>
      <c r="E26" s="17">
        <f>'2.1. DM'!E26</f>
        <v>27</v>
      </c>
      <c r="F26" s="17" t="str">
        <f>'2.1. DM'!F26</f>
        <v>F251735</v>
      </c>
      <c r="G26" s="17" t="str">
        <f>'2.1. DM'!G26</f>
        <v>CIAT-23107</v>
      </c>
      <c r="H26" s="17" t="str">
        <f>'2.1. DM'!H26</f>
        <v>Dendrolobium</v>
      </c>
      <c r="I26" s="17" t="str">
        <f>'2.1. DM'!I26</f>
        <v>triangulare</v>
      </c>
      <c r="J26" s="17" t="str">
        <f>'2.1. DM'!J26</f>
        <v>Dendrolobium triangulare</v>
      </c>
      <c r="K26" s="17" t="str">
        <f>'2.1. DM'!K26</f>
        <v>Fabaceae</v>
      </c>
      <c r="L26" s="17" t="str">
        <f>'2.1. DM'!L26</f>
        <v>Fabales</v>
      </c>
      <c r="M26" s="17" t="str">
        <f>'2.1. DM'!M26</f>
        <v>Tree</v>
      </c>
      <c r="N26" s="17" t="str">
        <f>'2.1. DM'!N26</f>
        <v>58,59, 69</v>
      </c>
      <c r="O26" s="17" t="str">
        <f>'2.1. DM'!O26</f>
        <v>OT-010 (2025)</v>
      </c>
      <c r="P26" s="36"/>
      <c r="Q26" s="26">
        <v>21.240817132160643</v>
      </c>
      <c r="R26" s="341"/>
    </row>
    <row r="27" spans="2:18" x14ac:dyDescent="0.35">
      <c r="B27" s="17">
        <f>'2.1. DM'!B27</f>
        <v>17</v>
      </c>
      <c r="C27" s="17">
        <f>'2.1. DM'!C27</f>
        <v>46041</v>
      </c>
      <c r="D27" s="17" t="str">
        <f>'2.1. DM'!D27</f>
        <v>Genbank</v>
      </c>
      <c r="E27" s="17">
        <f>'2.1. DM'!E27</f>
        <v>27</v>
      </c>
      <c r="F27" s="17" t="str">
        <f>'2.1. DM'!F27</f>
        <v>F251736</v>
      </c>
      <c r="G27" s="17" t="str">
        <f>'2.1. DM'!G27</f>
        <v>CIAT-23108</v>
      </c>
      <c r="H27" s="17" t="str">
        <f>'2.1. DM'!H27</f>
        <v>Dendrolobium</v>
      </c>
      <c r="I27" s="17" t="str">
        <f>'2.1. DM'!I27</f>
        <v>triangulare</v>
      </c>
      <c r="J27" s="17" t="str">
        <f>'2.1. DM'!J27</f>
        <v>Dendrolobium triangulare</v>
      </c>
      <c r="K27" s="17" t="str">
        <f>'2.1. DM'!K27</f>
        <v>Fabaceae</v>
      </c>
      <c r="L27" s="17" t="str">
        <f>'2.1. DM'!L27</f>
        <v>Fabales</v>
      </c>
      <c r="M27" s="17" t="str">
        <f>'2.1. DM'!M27</f>
        <v>Tree</v>
      </c>
      <c r="N27" s="17" t="str">
        <f>'2.1. DM'!N27</f>
        <v>58,59, 69</v>
      </c>
      <c r="O27" s="17" t="str">
        <f>'2.1. DM'!O27</f>
        <v>OT-010 (2025)</v>
      </c>
      <c r="P27" s="36"/>
      <c r="Q27" s="26">
        <v>21.587331260994091</v>
      </c>
      <c r="R27" s="341">
        <f>AVERAGE(Q27:Q28)</f>
        <v>21.587331260994091</v>
      </c>
    </row>
    <row r="28" spans="2:18" x14ac:dyDescent="0.35">
      <c r="B28" s="17">
        <f>'2.1. DM'!B28</f>
        <v>18</v>
      </c>
      <c r="C28" s="17">
        <f>'2.1. DM'!C28</f>
        <v>46041</v>
      </c>
      <c r="D28" s="17" t="str">
        <f>'2.1. DM'!D28</f>
        <v>Genbank</v>
      </c>
      <c r="E28" s="17">
        <f>'2.1. DM'!E28</f>
        <v>27</v>
      </c>
      <c r="F28" s="17" t="str">
        <f>'2.1. DM'!F28</f>
        <v>F251736</v>
      </c>
      <c r="G28" s="17" t="str">
        <f>'2.1. DM'!G28</f>
        <v>CIAT-23108</v>
      </c>
      <c r="H28" s="17" t="str">
        <f>'2.1. DM'!H28</f>
        <v>Dendrolobium</v>
      </c>
      <c r="I28" s="17" t="str">
        <f>'2.1. DM'!I28</f>
        <v>triangulare</v>
      </c>
      <c r="J28" s="17" t="str">
        <f>'2.1. DM'!J28</f>
        <v>Dendrolobium triangulare</v>
      </c>
      <c r="K28" s="17" t="str">
        <f>'2.1. DM'!K28</f>
        <v>Fabaceae</v>
      </c>
      <c r="L28" s="17" t="str">
        <f>'2.1. DM'!L28</f>
        <v>Fabales</v>
      </c>
      <c r="M28" s="17" t="str">
        <f>'2.1. DM'!M28</f>
        <v>Tree</v>
      </c>
      <c r="N28" s="17" t="str">
        <f>'2.1. DM'!N28</f>
        <v>58,59, 69</v>
      </c>
      <c r="O28" s="17" t="str">
        <f>'2.1. DM'!O28</f>
        <v>OT-010 (2025)</v>
      </c>
      <c r="P28" s="36"/>
      <c r="Q28" s="26">
        <v>21.587331260994091</v>
      </c>
      <c r="R28" s="341"/>
    </row>
    <row r="29" spans="2:18" ht="12.65" customHeight="1" x14ac:dyDescent="0.35">
      <c r="B29" s="17">
        <f>'2.1. DM'!B29</f>
        <v>19</v>
      </c>
      <c r="C29" s="17">
        <f>'2.1. DM'!C29</f>
        <v>46041</v>
      </c>
      <c r="D29" s="17" t="str">
        <f>'2.1. DM'!D29</f>
        <v>Genbank</v>
      </c>
      <c r="E29" s="17">
        <f>'2.1. DM'!E29</f>
        <v>27</v>
      </c>
      <c r="F29" s="17" t="str">
        <f>'2.1. DM'!F29</f>
        <v>F251737</v>
      </c>
      <c r="G29" s="17" t="str">
        <f>'2.1. DM'!G29</f>
        <v>CIAT-23412</v>
      </c>
      <c r="H29" s="17" t="str">
        <f>'2.1. DM'!H29</f>
        <v>Dendrolobium</v>
      </c>
      <c r="I29" s="17" t="str">
        <f>'2.1. DM'!I29</f>
        <v>triangulare</v>
      </c>
      <c r="J29" s="17" t="str">
        <f>'2.1. DM'!J29</f>
        <v>Dendrolobium triangulare</v>
      </c>
      <c r="K29" s="17" t="str">
        <f>'2.1. DM'!K29</f>
        <v>Fabaceae</v>
      </c>
      <c r="L29" s="17" t="str">
        <f>'2.1. DM'!L29</f>
        <v>Fabales</v>
      </c>
      <c r="M29" s="17" t="str">
        <f>'2.1. DM'!M29</f>
        <v>Tree</v>
      </c>
      <c r="N29" s="17" t="str">
        <f>'2.1. DM'!N29</f>
        <v>58,59, 69</v>
      </c>
      <c r="O29" s="17" t="str">
        <f>'2.1. DM'!O29</f>
        <v>OT-010 (2025)</v>
      </c>
      <c r="P29" s="36"/>
      <c r="Q29" s="26">
        <v>21.259809928527385</v>
      </c>
      <c r="R29" s="341">
        <f>AVERAGE(Q29:Q30)</f>
        <v>21.147143051903054</v>
      </c>
    </row>
    <row r="30" spans="2:18" ht="14.4" customHeight="1" x14ac:dyDescent="0.35">
      <c r="B30" s="17">
        <f>'2.1. DM'!B30</f>
        <v>20</v>
      </c>
      <c r="C30" s="17">
        <f>'2.1. DM'!C30</f>
        <v>46041</v>
      </c>
      <c r="D30" s="17" t="str">
        <f>'2.1. DM'!D30</f>
        <v>Genbank</v>
      </c>
      <c r="E30" s="17">
        <f>'2.1. DM'!E30</f>
        <v>27</v>
      </c>
      <c r="F30" s="17" t="str">
        <f>'2.1. DM'!F30</f>
        <v>F251737</v>
      </c>
      <c r="G30" s="17" t="str">
        <f>'2.1. DM'!G30</f>
        <v>CIAT-23412</v>
      </c>
      <c r="H30" s="17" t="str">
        <f>'2.1. DM'!H30</f>
        <v>Dendrolobium</v>
      </c>
      <c r="I30" s="17" t="str">
        <f>'2.1. DM'!I30</f>
        <v>triangulare</v>
      </c>
      <c r="J30" s="17" t="str">
        <f>'2.1. DM'!J30</f>
        <v>Dendrolobium triangulare</v>
      </c>
      <c r="K30" s="17" t="str">
        <f>'2.1. DM'!K30</f>
        <v>Fabaceae</v>
      </c>
      <c r="L30" s="17" t="str">
        <f>'2.1. DM'!L30</f>
        <v>Fabales</v>
      </c>
      <c r="M30" s="17" t="str">
        <f>'2.1. DM'!M30</f>
        <v>Tree</v>
      </c>
      <c r="N30" s="17" t="str">
        <f>'2.1. DM'!N30</f>
        <v>58,59, 69</v>
      </c>
      <c r="O30" s="17" t="str">
        <f>'2.1. DM'!O30</f>
        <v>OT-010 (2025)</v>
      </c>
      <c r="P30" s="36"/>
      <c r="Q30" s="26">
        <v>21.034476175278723</v>
      </c>
      <c r="R30" s="341"/>
    </row>
    <row r="31" spans="2:18" x14ac:dyDescent="0.35">
      <c r="B31" s="17">
        <f>'2.1. DM'!B31</f>
        <v>21</v>
      </c>
      <c r="C31" s="17">
        <f>'2.1. DM'!C31</f>
        <v>46041</v>
      </c>
      <c r="D31" s="17" t="str">
        <f>'2.1. DM'!D31</f>
        <v>Genbank</v>
      </c>
      <c r="E31" s="17">
        <f>'2.1. DM'!E31</f>
        <v>27</v>
      </c>
      <c r="F31" s="17" t="str">
        <f>'2.1. DM'!F31</f>
        <v>F251738</v>
      </c>
      <c r="G31" s="17" t="str">
        <f>'2.1. DM'!G31</f>
        <v>CIAT-23413</v>
      </c>
      <c r="H31" s="17" t="str">
        <f>'2.1. DM'!H31</f>
        <v>Dendrolobium</v>
      </c>
      <c r="I31" s="17" t="str">
        <f>'2.1. DM'!I31</f>
        <v>triangulare</v>
      </c>
      <c r="J31" s="17" t="str">
        <f>'2.1. DM'!J31</f>
        <v>Dendrolobium triangulare</v>
      </c>
      <c r="K31" s="17" t="str">
        <f>'2.1. DM'!K31</f>
        <v>Fabaceae</v>
      </c>
      <c r="L31" s="17" t="str">
        <f>'2.1. DM'!L31</f>
        <v>Fabales</v>
      </c>
      <c r="M31" s="17" t="str">
        <f>'2.1. DM'!M31</f>
        <v>Tree</v>
      </c>
      <c r="N31" s="17" t="str">
        <f>'2.1. DM'!N31</f>
        <v>58,59, 69</v>
      </c>
      <c r="O31" s="17" t="str">
        <f>'2.1. DM'!O31</f>
        <v>OT-010 (2025)</v>
      </c>
      <c r="P31" s="35"/>
      <c r="Q31" s="26">
        <v>21.317526281540893</v>
      </c>
      <c r="R31" s="341">
        <f>AVERAGE(Q31:Q32)</f>
        <v>21.317526281540893</v>
      </c>
    </row>
    <row r="32" spans="2:18" x14ac:dyDescent="0.35">
      <c r="B32" s="17">
        <f>'2.1. DM'!B32</f>
        <v>22</v>
      </c>
      <c r="C32" s="17">
        <f>'2.1. DM'!C32</f>
        <v>46041</v>
      </c>
      <c r="D32" s="17" t="str">
        <f>'2.1. DM'!D32</f>
        <v>Genbank</v>
      </c>
      <c r="E32" s="17">
        <f>'2.1. DM'!E32</f>
        <v>27</v>
      </c>
      <c r="F32" s="17" t="str">
        <f>'2.1. DM'!F32</f>
        <v>F251738</v>
      </c>
      <c r="G32" s="17" t="str">
        <f>'2.1. DM'!G32</f>
        <v>CIAT-23413</v>
      </c>
      <c r="H32" s="17" t="str">
        <f>'2.1. DM'!H32</f>
        <v>Dendrolobium</v>
      </c>
      <c r="I32" s="17" t="str">
        <f>'2.1. DM'!I32</f>
        <v>triangulare</v>
      </c>
      <c r="J32" s="17" t="str">
        <f>'2.1. DM'!J32</f>
        <v>Dendrolobium triangulare</v>
      </c>
      <c r="K32" s="17" t="str">
        <f>'2.1. DM'!K32</f>
        <v>Fabaceae</v>
      </c>
      <c r="L32" s="17" t="str">
        <f>'2.1. DM'!L32</f>
        <v>Fabales</v>
      </c>
      <c r="M32" s="17" t="str">
        <f>'2.1. DM'!M32</f>
        <v>Tree</v>
      </c>
      <c r="N32" s="17" t="str">
        <f>'2.1. DM'!N32</f>
        <v>58,59, 69</v>
      </c>
      <c r="O32" s="17" t="str">
        <f>'2.1. DM'!O32</f>
        <v>OT-010 (2025)</v>
      </c>
      <c r="P32" s="35"/>
      <c r="Q32" s="26">
        <v>21.317526281540893</v>
      </c>
      <c r="R32" s="341"/>
    </row>
    <row r="33" spans="2:18" x14ac:dyDescent="0.35">
      <c r="B33" s="17">
        <f>'2.1. DM'!B33</f>
        <v>23</v>
      </c>
      <c r="C33" s="17">
        <f>'2.1. DM'!C33</f>
        <v>46041</v>
      </c>
      <c r="D33" s="17" t="str">
        <f>'2.1. DM'!D33</f>
        <v>Genbank</v>
      </c>
      <c r="E33" s="17">
        <f>'2.1. DM'!E33</f>
        <v>27</v>
      </c>
      <c r="F33" s="17" t="str">
        <f>'2.1. DM'!F33</f>
        <v>F251739</v>
      </c>
      <c r="G33" s="17" t="str">
        <f>'2.1. DM'!G33</f>
        <v>CIAT-23419</v>
      </c>
      <c r="H33" s="17" t="str">
        <f>'2.1. DM'!H33</f>
        <v>Dendrolobium</v>
      </c>
      <c r="I33" s="17" t="str">
        <f>'2.1. DM'!I33</f>
        <v>triangulare</v>
      </c>
      <c r="J33" s="17" t="str">
        <f>'2.1. DM'!J33</f>
        <v>Dendrolobium triangulare</v>
      </c>
      <c r="K33" s="17" t="str">
        <f>'2.1. DM'!K33</f>
        <v>Fabaceae</v>
      </c>
      <c r="L33" s="17" t="str">
        <f>'2.1. DM'!L33</f>
        <v>Fabales</v>
      </c>
      <c r="M33" s="17" t="str">
        <f>'2.1. DM'!M33</f>
        <v>Tree</v>
      </c>
      <c r="N33" s="17" t="str">
        <f>'2.1. DM'!N33</f>
        <v>58,59, 69</v>
      </c>
      <c r="O33" s="17" t="str">
        <f>'2.1. DM'!O33</f>
        <v>OT-010 (2025)</v>
      </c>
      <c r="P33" s="36"/>
      <c r="Q33" s="26">
        <v>20.194918293638743</v>
      </c>
      <c r="R33" s="341">
        <f>AVERAGE(Q33:Q34)</f>
        <v>20.194918293638743</v>
      </c>
    </row>
    <row r="34" spans="2:18" x14ac:dyDescent="0.35">
      <c r="B34" s="17">
        <f>'2.1. DM'!B34</f>
        <v>24</v>
      </c>
      <c r="C34" s="17">
        <f>'2.1. DM'!C34</f>
        <v>46041</v>
      </c>
      <c r="D34" s="17" t="str">
        <f>'2.1. DM'!D34</f>
        <v>Genbank</v>
      </c>
      <c r="E34" s="17">
        <f>'2.1. DM'!E34</f>
        <v>27</v>
      </c>
      <c r="F34" s="17" t="str">
        <f>'2.1. DM'!F34</f>
        <v>F251739</v>
      </c>
      <c r="G34" s="17" t="str">
        <f>'2.1. DM'!G34</f>
        <v>CIAT-23419</v>
      </c>
      <c r="H34" s="17" t="str">
        <f>'2.1. DM'!H34</f>
        <v>Dendrolobium</v>
      </c>
      <c r="I34" s="17" t="str">
        <f>'2.1. DM'!I34</f>
        <v>triangulare</v>
      </c>
      <c r="J34" s="17" t="str">
        <f>'2.1. DM'!J34</f>
        <v>Dendrolobium triangulare</v>
      </c>
      <c r="K34" s="17" t="str">
        <f>'2.1. DM'!K34</f>
        <v>Fabaceae</v>
      </c>
      <c r="L34" s="17" t="str">
        <f>'2.1. DM'!L34</f>
        <v>Fabales</v>
      </c>
      <c r="M34" s="17" t="str">
        <f>'2.1. DM'!M34</f>
        <v>Tree</v>
      </c>
      <c r="N34" s="17" t="str">
        <f>'2.1. DM'!N34</f>
        <v>58,59, 69</v>
      </c>
      <c r="O34" s="17" t="str">
        <f>'2.1. DM'!O34</f>
        <v>OT-010 (2025)</v>
      </c>
      <c r="P34" s="36"/>
      <c r="Q34" s="26">
        <v>20.194918293638743</v>
      </c>
      <c r="R34" s="341"/>
    </row>
    <row r="35" spans="2:18" x14ac:dyDescent="0.35">
      <c r="B35" s="17">
        <f>'2.1. DM'!B35</f>
        <v>25</v>
      </c>
      <c r="C35" s="17">
        <f>'2.1. DM'!C35</f>
        <v>46041</v>
      </c>
      <c r="D35" s="17" t="str">
        <f>'2.1. DM'!D35</f>
        <v>Genbank</v>
      </c>
      <c r="E35" s="17">
        <f>'2.1. DM'!E35</f>
        <v>27</v>
      </c>
      <c r="F35" s="17" t="str">
        <f>'2.1. DM'!F35</f>
        <v>F251740</v>
      </c>
      <c r="G35" s="17" t="str">
        <f>'2.1. DM'!G35</f>
        <v>CIAT-23422</v>
      </c>
      <c r="H35" s="17" t="str">
        <f>'2.1. DM'!H35</f>
        <v>Dendrolobium</v>
      </c>
      <c r="I35" s="17" t="str">
        <f>'2.1. DM'!I35</f>
        <v>triangulare</v>
      </c>
      <c r="J35" s="17" t="str">
        <f>'2.1. DM'!J35</f>
        <v>Dendrolobium triangulare</v>
      </c>
      <c r="K35" s="17" t="str">
        <f>'2.1. DM'!K35</f>
        <v>Fabaceae</v>
      </c>
      <c r="L35" s="17" t="str">
        <f>'2.1. DM'!L35</f>
        <v>Fabales</v>
      </c>
      <c r="M35" s="17" t="str">
        <f>'2.1. DM'!M35</f>
        <v>Tree</v>
      </c>
      <c r="N35" s="17" t="str">
        <f>'2.1. DM'!N35</f>
        <v>58,59, 69</v>
      </c>
      <c r="O35" s="17" t="str">
        <f>'2.1. DM'!O35</f>
        <v>OT-010 (2025)</v>
      </c>
      <c r="P35" s="36"/>
      <c r="Q35" s="26">
        <v>21.674954169008064</v>
      </c>
      <c r="R35" s="341">
        <f>AVERAGE(Q35:Q36)</f>
        <v>21.674954169008064</v>
      </c>
    </row>
    <row r="36" spans="2:18" x14ac:dyDescent="0.35">
      <c r="B36" s="17">
        <f>'2.1. DM'!B36</f>
        <v>26</v>
      </c>
      <c r="C36" s="17">
        <f>'2.1. DM'!C36</f>
        <v>46041</v>
      </c>
      <c r="D36" s="17" t="str">
        <f>'2.1. DM'!D36</f>
        <v>Genbank</v>
      </c>
      <c r="E36" s="17">
        <f>'2.1. DM'!E36</f>
        <v>27</v>
      </c>
      <c r="F36" s="17" t="str">
        <f>'2.1. DM'!F36</f>
        <v>F251740</v>
      </c>
      <c r="G36" s="17" t="str">
        <f>'2.1. DM'!G36</f>
        <v>CIAT-23422</v>
      </c>
      <c r="H36" s="17" t="str">
        <f>'2.1. DM'!H36</f>
        <v>Dendrolobium</v>
      </c>
      <c r="I36" s="17" t="str">
        <f>'2.1. DM'!I36</f>
        <v>triangulare</v>
      </c>
      <c r="J36" s="17" t="str">
        <f>'2.1. DM'!J36</f>
        <v>Dendrolobium triangulare</v>
      </c>
      <c r="K36" s="17" t="str">
        <f>'2.1. DM'!K36</f>
        <v>Fabaceae</v>
      </c>
      <c r="L36" s="17" t="str">
        <f>'2.1. DM'!L36</f>
        <v>Fabales</v>
      </c>
      <c r="M36" s="17" t="str">
        <f>'2.1. DM'!M36</f>
        <v>Tree</v>
      </c>
      <c r="N36" s="17" t="str">
        <f>'2.1. DM'!N36</f>
        <v>58,59, 69</v>
      </c>
      <c r="O36" s="17" t="str">
        <f>'2.1. DM'!O36</f>
        <v>OT-010 (2025)</v>
      </c>
      <c r="P36" s="36"/>
      <c r="Q36" s="26">
        <v>21.674954169008064</v>
      </c>
      <c r="R36" s="341"/>
    </row>
    <row r="37" spans="2:18" x14ac:dyDescent="0.35">
      <c r="B37" s="17">
        <f>'2.1. DM'!B37</f>
        <v>27</v>
      </c>
      <c r="C37" s="17">
        <f>'2.1. DM'!C37</f>
        <v>46041</v>
      </c>
      <c r="D37" s="17" t="str">
        <f>'2.1. DM'!D37</f>
        <v>Genbank</v>
      </c>
      <c r="E37" s="17">
        <f>'2.1. DM'!E37</f>
        <v>27</v>
      </c>
      <c r="F37" s="17" t="str">
        <f>'2.1. DM'!F37</f>
        <v>F251741</v>
      </c>
      <c r="G37" s="17" t="str">
        <f>'2.1. DM'!G37</f>
        <v>CIAT-23734</v>
      </c>
      <c r="H37" s="17" t="str">
        <f>'2.1. DM'!H37</f>
        <v>Dendrolobium</v>
      </c>
      <c r="I37" s="17" t="str">
        <f>'2.1. DM'!I37</f>
        <v>triangulare</v>
      </c>
      <c r="J37" s="17" t="str">
        <f>'2.1. DM'!J37</f>
        <v>Dendrolobium triangulare</v>
      </c>
      <c r="K37" s="17" t="str">
        <f>'2.1. DM'!K37</f>
        <v>Fabaceae</v>
      </c>
      <c r="L37" s="17" t="str">
        <f>'2.1. DM'!L37</f>
        <v>Fabales</v>
      </c>
      <c r="M37" s="17" t="str">
        <f>'2.1. DM'!M37</f>
        <v>Tree</v>
      </c>
      <c r="N37" s="17" t="str">
        <f>'2.1. DM'!N37</f>
        <v>58,59, 69</v>
      </c>
      <c r="O37" s="17" t="str">
        <f>'2.1. DM'!O37</f>
        <v>OT-010 (2025)</v>
      </c>
      <c r="P37" s="36"/>
      <c r="Q37" s="26">
        <v>21.435013684619474</v>
      </c>
      <c r="R37" s="341">
        <f>AVERAGE(Q37:Q38)</f>
        <v>21.435013684619474</v>
      </c>
    </row>
    <row r="38" spans="2:18" x14ac:dyDescent="0.35">
      <c r="B38" s="17">
        <f>'2.1. DM'!B38</f>
        <v>28</v>
      </c>
      <c r="C38" s="17">
        <f>'2.1. DM'!C38</f>
        <v>46041</v>
      </c>
      <c r="D38" s="17" t="str">
        <f>'2.1. DM'!D38</f>
        <v>Genbank</v>
      </c>
      <c r="E38" s="17">
        <f>'2.1. DM'!E38</f>
        <v>27</v>
      </c>
      <c r="F38" s="17" t="str">
        <f>'2.1. DM'!F38</f>
        <v>F251741</v>
      </c>
      <c r="G38" s="17" t="str">
        <f>'2.1. DM'!G38</f>
        <v>CIAT-23734</v>
      </c>
      <c r="H38" s="17" t="str">
        <f>'2.1. DM'!H38</f>
        <v>Dendrolobium</v>
      </c>
      <c r="I38" s="17" t="str">
        <f>'2.1. DM'!I38</f>
        <v>triangulare</v>
      </c>
      <c r="J38" s="17" t="str">
        <f>'2.1. DM'!J38</f>
        <v>Dendrolobium triangulare</v>
      </c>
      <c r="K38" s="17" t="str">
        <f>'2.1. DM'!K38</f>
        <v>Fabaceae</v>
      </c>
      <c r="L38" s="17" t="str">
        <f>'2.1. DM'!L38</f>
        <v>Fabales</v>
      </c>
      <c r="M38" s="17" t="str">
        <f>'2.1. DM'!M38</f>
        <v>Tree</v>
      </c>
      <c r="N38" s="17" t="str">
        <f>'2.1. DM'!N38</f>
        <v>58,59, 69</v>
      </c>
      <c r="O38" s="17" t="str">
        <f>'2.1. DM'!O38</f>
        <v>OT-010 (2025)</v>
      </c>
      <c r="P38" s="36"/>
      <c r="Q38" s="26">
        <v>21.435013684619474</v>
      </c>
      <c r="R38" s="341"/>
    </row>
    <row r="39" spans="2:18" x14ac:dyDescent="0.35">
      <c r="B39" s="17">
        <f>'2.1. DM'!B39</f>
        <v>29</v>
      </c>
      <c r="C39" s="17">
        <f>'2.1. DM'!C39</f>
        <v>46041</v>
      </c>
      <c r="D39" s="17" t="str">
        <f>'2.1. DM'!D39</f>
        <v>Genbank</v>
      </c>
      <c r="E39" s="17">
        <f>'2.1. DM'!E39</f>
        <v>27</v>
      </c>
      <c r="F39" s="17" t="str">
        <f>'2.1. DM'!F39</f>
        <v>F251742</v>
      </c>
      <c r="G39" s="17" t="str">
        <f>'2.1. DM'!G39</f>
        <v>CIAT-23932</v>
      </c>
      <c r="H39" s="17" t="str">
        <f>'2.1. DM'!H39</f>
        <v>Dendrolobium</v>
      </c>
      <c r="I39" s="17" t="str">
        <f>'2.1. DM'!I39</f>
        <v>triangulare</v>
      </c>
      <c r="J39" s="17" t="str">
        <f>'2.1. DM'!J39</f>
        <v>Dendrolobium triangulare</v>
      </c>
      <c r="K39" s="17" t="str">
        <f>'2.1. DM'!K39</f>
        <v>Fabaceae</v>
      </c>
      <c r="L39" s="17" t="str">
        <f>'2.1. DM'!L39</f>
        <v>Fabales</v>
      </c>
      <c r="M39" s="17" t="str">
        <f>'2.1. DM'!M39</f>
        <v>Tree</v>
      </c>
      <c r="N39" s="17" t="str">
        <f>'2.1. DM'!N39</f>
        <v>58,59, 69</v>
      </c>
      <c r="O39" s="17" t="str">
        <f>'2.1. DM'!O39</f>
        <v>OT-010 (2025)</v>
      </c>
      <c r="P39" s="36"/>
      <c r="Q39" s="26">
        <v>18.840827307961472</v>
      </c>
      <c r="R39" s="341">
        <f>AVERAGE(Q39:Q40)</f>
        <v>18.840827307961472</v>
      </c>
    </row>
    <row r="40" spans="2:18" x14ac:dyDescent="0.35">
      <c r="B40" s="17">
        <f>'2.1. DM'!B40</f>
        <v>30</v>
      </c>
      <c r="C40" s="17">
        <f>'2.1. DM'!C40</f>
        <v>46041</v>
      </c>
      <c r="D40" s="17" t="str">
        <f>'2.1. DM'!D40</f>
        <v>Genbank</v>
      </c>
      <c r="E40" s="17">
        <f>'2.1. DM'!E40</f>
        <v>27</v>
      </c>
      <c r="F40" s="17" t="str">
        <f>'2.1. DM'!F40</f>
        <v>F251742</v>
      </c>
      <c r="G40" s="17" t="str">
        <f>'2.1. DM'!G40</f>
        <v>CIAT-23932</v>
      </c>
      <c r="H40" s="17" t="str">
        <f>'2.1. DM'!H40</f>
        <v>Dendrolobium</v>
      </c>
      <c r="I40" s="17" t="str">
        <f>'2.1. DM'!I40</f>
        <v>triangulare</v>
      </c>
      <c r="J40" s="17" t="str">
        <f>'2.1. DM'!J40</f>
        <v>Dendrolobium triangulare</v>
      </c>
      <c r="K40" s="17" t="str">
        <f>'2.1. DM'!K40</f>
        <v>Fabaceae</v>
      </c>
      <c r="L40" s="17" t="str">
        <f>'2.1. DM'!L40</f>
        <v>Fabales</v>
      </c>
      <c r="M40" s="17" t="str">
        <f>'2.1. DM'!M40</f>
        <v>Tree</v>
      </c>
      <c r="N40" s="17" t="str">
        <f>'2.1. DM'!N40</f>
        <v>58,59, 69</v>
      </c>
      <c r="O40" s="17" t="str">
        <f>'2.1. DM'!O40</f>
        <v>OT-010 (2025)</v>
      </c>
      <c r="P40" s="36"/>
      <c r="Q40" s="26">
        <v>18.840827307961472</v>
      </c>
      <c r="R40" s="341"/>
    </row>
    <row r="41" spans="2:18" x14ac:dyDescent="0.35">
      <c r="B41" s="17">
        <f>'2.1. DM'!B41</f>
        <v>31</v>
      </c>
      <c r="C41" s="17">
        <f>'2.1. DM'!C41</f>
        <v>46041</v>
      </c>
      <c r="D41" s="17" t="str">
        <f>'2.1. DM'!D41</f>
        <v>Genbank</v>
      </c>
      <c r="E41" s="17">
        <f>'2.1. DM'!E41</f>
        <v>27</v>
      </c>
      <c r="F41" s="17" t="str">
        <f>'2.1. DM'!F41</f>
        <v>F251743</v>
      </c>
      <c r="G41" s="17" t="str">
        <f>'2.1. DM'!G41</f>
        <v>CIAT-23933</v>
      </c>
      <c r="H41" s="17" t="str">
        <f>'2.1. DM'!H41</f>
        <v>Dendrolobium</v>
      </c>
      <c r="I41" s="17" t="str">
        <f>'2.1. DM'!I41</f>
        <v>triangulare</v>
      </c>
      <c r="J41" s="17" t="str">
        <f>'2.1. DM'!J41</f>
        <v>Dendrolobium triangulare</v>
      </c>
      <c r="K41" s="17" t="str">
        <f>'2.1. DM'!K41</f>
        <v>Fabaceae</v>
      </c>
      <c r="L41" s="17" t="str">
        <f>'2.1. DM'!L41</f>
        <v>Fabales</v>
      </c>
      <c r="M41" s="17" t="str">
        <f>'2.1. DM'!M41</f>
        <v>Tree</v>
      </c>
      <c r="N41" s="17" t="str">
        <f>'2.1. DM'!N41</f>
        <v>58,59, 69</v>
      </c>
      <c r="O41" s="17" t="str">
        <f>'2.1. DM'!O41</f>
        <v>OT-010 (2025)</v>
      </c>
      <c r="P41" s="36"/>
      <c r="Q41" s="26">
        <v>17.584205926024783</v>
      </c>
      <c r="R41" s="341">
        <f t="shared" ref="R41" si="0">AVERAGE(Q41:Q42)</f>
        <v>17.584205926024783</v>
      </c>
    </row>
    <row r="42" spans="2:18" x14ac:dyDescent="0.35">
      <c r="B42" s="17">
        <f>'2.1. DM'!B42</f>
        <v>32</v>
      </c>
      <c r="C42" s="17">
        <f>'2.1. DM'!C42</f>
        <v>46041</v>
      </c>
      <c r="D42" s="17" t="str">
        <f>'2.1. DM'!D42</f>
        <v>Genbank</v>
      </c>
      <c r="E42" s="17">
        <f>'2.1. DM'!E42</f>
        <v>27</v>
      </c>
      <c r="F42" s="17" t="str">
        <f>'2.1. DM'!F42</f>
        <v>F251743</v>
      </c>
      <c r="G42" s="17" t="str">
        <f>'2.1. DM'!G42</f>
        <v>CIAT-23933</v>
      </c>
      <c r="H42" s="17" t="str">
        <f>'2.1. DM'!H42</f>
        <v>Dendrolobium</v>
      </c>
      <c r="I42" s="17" t="str">
        <f>'2.1. DM'!I42</f>
        <v>triangulare</v>
      </c>
      <c r="J42" s="17" t="str">
        <f>'2.1. DM'!J42</f>
        <v>Dendrolobium triangulare</v>
      </c>
      <c r="K42" s="17" t="str">
        <f>'2.1. DM'!K42</f>
        <v>Fabaceae</v>
      </c>
      <c r="L42" s="17" t="str">
        <f>'2.1. DM'!L42</f>
        <v>Fabales</v>
      </c>
      <c r="M42" s="17" t="str">
        <f>'2.1. DM'!M42</f>
        <v>Tree</v>
      </c>
      <c r="N42" s="17" t="str">
        <f>'2.1. DM'!N42</f>
        <v>58,59, 69</v>
      </c>
      <c r="O42" s="17" t="str">
        <f>'2.1. DM'!O42</f>
        <v>OT-010 (2025)</v>
      </c>
      <c r="P42" s="36"/>
      <c r="Q42" s="26">
        <v>17.584205926024783</v>
      </c>
      <c r="R42" s="341"/>
    </row>
    <row r="43" spans="2:18" x14ac:dyDescent="0.35">
      <c r="B43" s="17">
        <f>'2.1. DM'!B43</f>
        <v>33</v>
      </c>
      <c r="C43" s="17">
        <f>'2.1. DM'!C43</f>
        <v>46041</v>
      </c>
      <c r="D43" s="17" t="str">
        <f>'2.1. DM'!D43</f>
        <v>Genbank</v>
      </c>
      <c r="E43" s="17">
        <f>'2.1. DM'!E43</f>
        <v>27</v>
      </c>
      <c r="F43" s="17" t="str">
        <f>'2.1. DM'!F43</f>
        <v>F251744</v>
      </c>
      <c r="G43" s="17" t="str">
        <f>'2.1. DM'!G43</f>
        <v>CIAT-23934</v>
      </c>
      <c r="H43" s="17" t="str">
        <f>'2.1. DM'!H43</f>
        <v>Dendrolobium</v>
      </c>
      <c r="I43" s="17" t="str">
        <f>'2.1. DM'!I43</f>
        <v>triangulare</v>
      </c>
      <c r="J43" s="17" t="str">
        <f>'2.1. DM'!J43</f>
        <v>Dendrolobium triangulare</v>
      </c>
      <c r="K43" s="17" t="str">
        <f>'2.1. DM'!K43</f>
        <v>Fabaceae</v>
      </c>
      <c r="L43" s="17" t="str">
        <f>'2.1. DM'!L43</f>
        <v>Fabales</v>
      </c>
      <c r="M43" s="17" t="str">
        <f>'2.1. DM'!M43</f>
        <v>Tree</v>
      </c>
      <c r="N43" s="17" t="str">
        <f>'2.1. DM'!N43</f>
        <v>58,59, 69</v>
      </c>
      <c r="O43" s="17" t="str">
        <f>'2.1. DM'!O43</f>
        <v>OT-010 (2025)</v>
      </c>
      <c r="P43" s="36"/>
      <c r="Q43" s="26">
        <v>22.612796485152785</v>
      </c>
      <c r="R43" s="341">
        <f t="shared" ref="R43" si="1">AVERAGE(Q43:Q44)</f>
        <v>22.612796485152785</v>
      </c>
    </row>
    <row r="44" spans="2:18" x14ac:dyDescent="0.35">
      <c r="B44" s="17">
        <f>'2.1. DM'!B44</f>
        <v>34</v>
      </c>
      <c r="C44" s="17">
        <f>'2.1. DM'!C44</f>
        <v>46041</v>
      </c>
      <c r="D44" s="17" t="str">
        <f>'2.1. DM'!D44</f>
        <v>Genbank</v>
      </c>
      <c r="E44" s="17">
        <f>'2.1. DM'!E44</f>
        <v>27</v>
      </c>
      <c r="F44" s="17" t="str">
        <f>'2.1. DM'!F44</f>
        <v>F251744</v>
      </c>
      <c r="G44" s="17" t="str">
        <f>'2.1. DM'!G44</f>
        <v>CIAT-23934</v>
      </c>
      <c r="H44" s="17" t="str">
        <f>'2.1. DM'!H44</f>
        <v>Dendrolobium</v>
      </c>
      <c r="I44" s="17" t="str">
        <f>'2.1. DM'!I44</f>
        <v>triangulare</v>
      </c>
      <c r="J44" s="17" t="str">
        <f>'2.1. DM'!J44</f>
        <v>Dendrolobium triangulare</v>
      </c>
      <c r="K44" s="17" t="str">
        <f>'2.1. DM'!K44</f>
        <v>Fabaceae</v>
      </c>
      <c r="L44" s="17" t="str">
        <f>'2.1. DM'!L44</f>
        <v>Fabales</v>
      </c>
      <c r="M44" s="17" t="str">
        <f>'2.1. DM'!M44</f>
        <v>Tree</v>
      </c>
      <c r="N44" s="17" t="str">
        <f>'2.1. DM'!N44</f>
        <v>58,59, 69</v>
      </c>
      <c r="O44" s="17" t="str">
        <f>'2.1. DM'!O44</f>
        <v>OT-010 (2025)</v>
      </c>
      <c r="P44" s="36"/>
      <c r="Q44" s="26">
        <v>22.612796485152785</v>
      </c>
      <c r="R44" s="341"/>
    </row>
    <row r="45" spans="2:18" x14ac:dyDescent="0.35">
      <c r="B45" s="17">
        <f>'2.1. DM'!B45</f>
        <v>35</v>
      </c>
      <c r="C45" s="17">
        <f>'2.1. DM'!C45</f>
        <v>46041</v>
      </c>
      <c r="D45" s="17" t="str">
        <f>'2.1. DM'!D45</f>
        <v>Genbank</v>
      </c>
      <c r="E45" s="17">
        <f>'2.1. DM'!E45</f>
        <v>27</v>
      </c>
      <c r="F45" s="17" t="str">
        <f>'2.1. DM'!F45</f>
        <v>F251745</v>
      </c>
      <c r="G45" s="17" t="str">
        <f>'2.1. DM'!G45</f>
        <v>CIAT-23936</v>
      </c>
      <c r="H45" s="17" t="str">
        <f>'2.1. DM'!H45</f>
        <v>Dendrolobium</v>
      </c>
      <c r="I45" s="17" t="str">
        <f>'2.1. DM'!I45</f>
        <v>triangulare</v>
      </c>
      <c r="J45" s="17" t="str">
        <f>'2.1. DM'!J45</f>
        <v>Dendrolobium triangulare</v>
      </c>
      <c r="K45" s="17" t="str">
        <f>'2.1. DM'!K45</f>
        <v>Fabaceae</v>
      </c>
      <c r="L45" s="17" t="str">
        <f>'2.1. DM'!L45</f>
        <v>Fabales</v>
      </c>
      <c r="M45" s="17" t="str">
        <f>'2.1. DM'!M45</f>
        <v>Tree</v>
      </c>
      <c r="N45" s="17" t="str">
        <f>'2.1. DM'!N45</f>
        <v>58,59, 69</v>
      </c>
      <c r="O45" s="17" t="str">
        <f>'2.1. DM'!O45</f>
        <v>OT-010 (2025)</v>
      </c>
      <c r="P45" s="36"/>
      <c r="Q45" s="26">
        <v>19.2663130290344</v>
      </c>
      <c r="R45" s="76">
        <f t="shared" ref="R45:R65" si="2">AVERAGE(Q45:Q46)</f>
        <v>19.2663130290344</v>
      </c>
    </row>
    <row r="46" spans="2:18" x14ac:dyDescent="0.35">
      <c r="B46" s="17">
        <f>'2.1. DM'!B46</f>
        <v>36</v>
      </c>
      <c r="C46" s="17">
        <f>'2.1. DM'!C46</f>
        <v>46041</v>
      </c>
      <c r="D46" s="17" t="str">
        <f>'2.1. DM'!D46</f>
        <v>Genbank</v>
      </c>
      <c r="E46" s="17">
        <f>'2.1. DM'!E46</f>
        <v>27</v>
      </c>
      <c r="F46" s="17" t="str">
        <f>'2.1. DM'!F46</f>
        <v>F251745</v>
      </c>
      <c r="G46" s="17" t="str">
        <f>'2.1. DM'!G46</f>
        <v>CIAT-23936</v>
      </c>
      <c r="H46" s="17" t="str">
        <f>'2.1. DM'!H46</f>
        <v>Dendrolobium</v>
      </c>
      <c r="I46" s="17" t="str">
        <f>'2.1. DM'!I46</f>
        <v>triangulare</v>
      </c>
      <c r="J46" s="17" t="str">
        <f>'2.1. DM'!J46</f>
        <v>Dendrolobium triangulare</v>
      </c>
      <c r="K46" s="17" t="str">
        <f>'2.1. DM'!K46</f>
        <v>Fabaceae</v>
      </c>
      <c r="L46" s="17" t="str">
        <f>'2.1. DM'!L46</f>
        <v>Fabales</v>
      </c>
      <c r="M46" s="17" t="str">
        <f>'2.1. DM'!M46</f>
        <v>Tree</v>
      </c>
      <c r="N46" s="17" t="str">
        <f>'2.1. DM'!N46</f>
        <v>58,59, 69</v>
      </c>
      <c r="O46" s="17" t="str">
        <f>'2.1. DM'!O46</f>
        <v>OT-010 (2025)</v>
      </c>
      <c r="P46" s="36"/>
      <c r="Q46" s="26">
        <v>19.2663130290344</v>
      </c>
      <c r="R46" s="76"/>
    </row>
    <row r="47" spans="2:18" x14ac:dyDescent="0.35">
      <c r="B47" s="17">
        <f>'2.1. DM'!B47</f>
        <v>37</v>
      </c>
      <c r="C47" s="17">
        <f>'2.1. DM'!C47</f>
        <v>46041</v>
      </c>
      <c r="D47" s="17" t="str">
        <f>'2.1. DM'!D47</f>
        <v>Genbank</v>
      </c>
      <c r="E47" s="17">
        <f>'2.1. DM'!E47</f>
        <v>27</v>
      </c>
      <c r="F47" s="17" t="str">
        <f>'2.1. DM'!F47</f>
        <v>F251746</v>
      </c>
      <c r="G47" s="17" t="str">
        <f>'2.1. DM'!G47</f>
        <v>CIAT-33119</v>
      </c>
      <c r="H47" s="17" t="str">
        <f>'2.1. DM'!H47</f>
        <v>Dendrolobium</v>
      </c>
      <c r="I47" s="17" t="str">
        <f>'2.1. DM'!I47</f>
        <v>triangulare</v>
      </c>
      <c r="J47" s="17" t="str">
        <f>'2.1. DM'!J47</f>
        <v>Dendrolobium triangulare</v>
      </c>
      <c r="K47" s="17" t="str">
        <f>'2.1. DM'!K47</f>
        <v>Fabaceae</v>
      </c>
      <c r="L47" s="17" t="str">
        <f>'2.1. DM'!L47</f>
        <v>Fabales</v>
      </c>
      <c r="M47" s="17" t="str">
        <f>'2.1. DM'!M47</f>
        <v>Tree</v>
      </c>
      <c r="N47" s="17" t="str">
        <f>'2.1. DM'!N47</f>
        <v>58,59, 69</v>
      </c>
      <c r="O47" s="17" t="str">
        <f>'2.1. DM'!O47</f>
        <v>OT-010 (2025)</v>
      </c>
      <c r="P47" s="36"/>
      <c r="Q47" s="26">
        <v>17.300431120337905</v>
      </c>
      <c r="R47" s="345">
        <f t="shared" ref="R47:R63" si="3">AVERAGE(Q47:Q48)</f>
        <v>17.300431120337905</v>
      </c>
    </row>
    <row r="48" spans="2:18" x14ac:dyDescent="0.35">
      <c r="B48" s="17">
        <f>'2.1. DM'!B48</f>
        <v>38</v>
      </c>
      <c r="C48" s="17">
        <f>'2.1. DM'!C48</f>
        <v>46041</v>
      </c>
      <c r="D48" s="17" t="str">
        <f>'2.1. DM'!D48</f>
        <v>Genbank</v>
      </c>
      <c r="E48" s="17">
        <f>'2.1. DM'!E48</f>
        <v>27</v>
      </c>
      <c r="F48" s="17" t="str">
        <f>'2.1. DM'!F48</f>
        <v>F251746</v>
      </c>
      <c r="G48" s="17" t="str">
        <f>'2.1. DM'!G48</f>
        <v>CIAT-33119</v>
      </c>
      <c r="H48" s="17" t="str">
        <f>'2.1. DM'!H48</f>
        <v>Dendrolobium</v>
      </c>
      <c r="I48" s="17" t="str">
        <f>'2.1. DM'!I48</f>
        <v>triangulare</v>
      </c>
      <c r="J48" s="17" t="str">
        <f>'2.1. DM'!J48</f>
        <v>Dendrolobium triangulare</v>
      </c>
      <c r="K48" s="17" t="str">
        <f>'2.1. DM'!K48</f>
        <v>Fabaceae</v>
      </c>
      <c r="L48" s="17" t="str">
        <f>'2.1. DM'!L48</f>
        <v>Fabales</v>
      </c>
      <c r="M48" s="17" t="str">
        <f>'2.1. DM'!M48</f>
        <v>Tree</v>
      </c>
      <c r="N48" s="17" t="str">
        <f>'2.1. DM'!N48</f>
        <v>58,59, 69</v>
      </c>
      <c r="O48" s="17" t="str">
        <f>'2.1. DM'!O48</f>
        <v>OT-010 (2025)</v>
      </c>
      <c r="P48" s="36"/>
      <c r="Q48" s="26">
        <v>17.300431120337905</v>
      </c>
      <c r="R48" s="345"/>
    </row>
    <row r="49" spans="2:18" x14ac:dyDescent="0.35">
      <c r="B49" s="17">
        <f>'2.1. DM'!B49</f>
        <v>39</v>
      </c>
      <c r="C49" s="17">
        <f>'2.1. DM'!C49</f>
        <v>46041</v>
      </c>
      <c r="D49" s="17" t="str">
        <f>'2.1. DM'!D49</f>
        <v>Genbank</v>
      </c>
      <c r="E49" s="17">
        <f>'2.1. DM'!E49</f>
        <v>27</v>
      </c>
      <c r="F49" s="17" t="str">
        <f>'2.1. DM'!F49</f>
        <v>F251747</v>
      </c>
      <c r="G49" s="17" t="str">
        <f>'2.1. DM'!G49</f>
        <v>CIAT-33383</v>
      </c>
      <c r="H49" s="17" t="str">
        <f>'2.1. DM'!H49</f>
        <v>Dendrolobium</v>
      </c>
      <c r="I49" s="17" t="str">
        <f>'2.1. DM'!I49</f>
        <v>sp.</v>
      </c>
      <c r="J49" s="17" t="str">
        <f>'2.1. DM'!J49</f>
        <v>Dendrolobium sp.</v>
      </c>
      <c r="K49" s="17" t="str">
        <f>'2.1. DM'!K49</f>
        <v>Fabaceae</v>
      </c>
      <c r="L49" s="17" t="str">
        <f>'2.1. DM'!L49</f>
        <v>Fabales</v>
      </c>
      <c r="M49" s="17" t="str">
        <f>'2.1. DM'!M49</f>
        <v>Tree</v>
      </c>
      <c r="N49" s="17" t="str">
        <f>'2.1. DM'!N49</f>
        <v>58,59, 69</v>
      </c>
      <c r="O49" s="17" t="str">
        <f>'2.1. DM'!O49</f>
        <v>OT-010 (2025)</v>
      </c>
      <c r="P49" s="36"/>
      <c r="Q49" s="26">
        <v>14.842100984909424</v>
      </c>
      <c r="R49" s="345">
        <f t="shared" si="2"/>
        <v>14.663947536188356</v>
      </c>
    </row>
    <row r="50" spans="2:18" x14ac:dyDescent="0.35">
      <c r="B50" s="17">
        <f>'2.1. DM'!B50</f>
        <v>40</v>
      </c>
      <c r="C50" s="17">
        <f>'2.1. DM'!C50</f>
        <v>46041</v>
      </c>
      <c r="D50" s="17" t="str">
        <f>'2.1. DM'!D50</f>
        <v>Genbank</v>
      </c>
      <c r="E50" s="17">
        <f>'2.1. DM'!E50</f>
        <v>27</v>
      </c>
      <c r="F50" s="17" t="str">
        <f>'2.1. DM'!F50</f>
        <v>F251747</v>
      </c>
      <c r="G50" s="17" t="str">
        <f>'2.1. DM'!G50</f>
        <v>CIAT-33383</v>
      </c>
      <c r="H50" s="17" t="str">
        <f>'2.1. DM'!H50</f>
        <v>Dendrolobium</v>
      </c>
      <c r="I50" s="17" t="str">
        <f>'2.1. DM'!I50</f>
        <v>sp.</v>
      </c>
      <c r="J50" s="17" t="str">
        <f>'2.1. DM'!J50</f>
        <v>Dendrolobium sp.</v>
      </c>
      <c r="K50" s="17" t="str">
        <f>'2.1. DM'!K50</f>
        <v>Fabaceae</v>
      </c>
      <c r="L50" s="17" t="str">
        <f>'2.1. DM'!L50</f>
        <v>Fabales</v>
      </c>
      <c r="M50" s="17" t="str">
        <f>'2.1. DM'!M50</f>
        <v>Tree</v>
      </c>
      <c r="N50" s="17" t="str">
        <f>'2.1. DM'!N50</f>
        <v>58,59, 69</v>
      </c>
      <c r="O50" s="17" t="str">
        <f>'2.1. DM'!O50</f>
        <v>OT-010 (2025)</v>
      </c>
      <c r="P50" s="36"/>
      <c r="Q50" s="26">
        <v>14.485794087467289</v>
      </c>
      <c r="R50" s="345"/>
    </row>
    <row r="51" spans="2:18" x14ac:dyDescent="0.35">
      <c r="B51" s="17">
        <f>'2.1. DM'!B51</f>
        <v>41</v>
      </c>
      <c r="C51" s="17">
        <f>'2.1. DM'!C51</f>
        <v>46041</v>
      </c>
      <c r="D51" s="17" t="str">
        <f>'2.1. DM'!D51</f>
        <v>Genbank</v>
      </c>
      <c r="E51" s="17">
        <f>'2.1. DM'!E51</f>
        <v>27</v>
      </c>
      <c r="F51" s="17" t="str">
        <f>'2.1. DM'!F51</f>
        <v>F251748</v>
      </c>
      <c r="G51" s="17" t="str">
        <f>'2.1. DM'!G51</f>
        <v>CIAT-33402</v>
      </c>
      <c r="H51" s="17" t="str">
        <f>'2.1. DM'!H51</f>
        <v>Dendrolobium</v>
      </c>
      <c r="I51" s="17" t="str">
        <f>'2.1. DM'!I51</f>
        <v>triangulare</v>
      </c>
      <c r="J51" s="17" t="str">
        <f>'2.1. DM'!J51</f>
        <v>Dendrolobium triangulare</v>
      </c>
      <c r="K51" s="17" t="str">
        <f>'2.1. DM'!K51</f>
        <v>Fabaceae</v>
      </c>
      <c r="L51" s="17" t="str">
        <f>'2.1. DM'!L51</f>
        <v>Fabales</v>
      </c>
      <c r="M51" s="17" t="str">
        <f>'2.1. DM'!M51</f>
        <v>Tree</v>
      </c>
      <c r="N51" s="17" t="str">
        <f>'2.1. DM'!N51</f>
        <v>58,59, 69</v>
      </c>
      <c r="O51" s="17" t="str">
        <f>'2.1. DM'!O51</f>
        <v>OT-010 (2025)</v>
      </c>
      <c r="P51" s="36"/>
      <c r="Q51" s="26">
        <v>20.084073911761312</v>
      </c>
      <c r="R51" s="345">
        <f t="shared" si="3"/>
        <v>20.084073911761312</v>
      </c>
    </row>
    <row r="52" spans="2:18" x14ac:dyDescent="0.35">
      <c r="B52" s="17">
        <f>'2.1. DM'!B52</f>
        <v>42</v>
      </c>
      <c r="C52" s="17">
        <f>'2.1. DM'!C52</f>
        <v>46041</v>
      </c>
      <c r="D52" s="17" t="str">
        <f>'2.1. DM'!D52</f>
        <v>Genbank</v>
      </c>
      <c r="E52" s="17">
        <f>'2.1. DM'!E52</f>
        <v>27</v>
      </c>
      <c r="F52" s="17" t="str">
        <f>'2.1. DM'!F52</f>
        <v>F251748</v>
      </c>
      <c r="G52" s="17" t="str">
        <f>'2.1. DM'!G52</f>
        <v>CIAT-33402</v>
      </c>
      <c r="H52" s="17" t="str">
        <f>'2.1. DM'!H52</f>
        <v>Dendrolobium</v>
      </c>
      <c r="I52" s="17" t="str">
        <f>'2.1. DM'!I52</f>
        <v>triangulare</v>
      </c>
      <c r="J52" s="17" t="str">
        <f>'2.1. DM'!J52</f>
        <v>Dendrolobium triangulare</v>
      </c>
      <c r="K52" s="17" t="str">
        <f>'2.1. DM'!K52</f>
        <v>Fabaceae</v>
      </c>
      <c r="L52" s="17" t="str">
        <f>'2.1. DM'!L52</f>
        <v>Fabales</v>
      </c>
      <c r="M52" s="17" t="str">
        <f>'2.1. DM'!M52</f>
        <v>Tree</v>
      </c>
      <c r="N52" s="17" t="str">
        <f>'2.1. DM'!N52</f>
        <v>58,59, 69</v>
      </c>
      <c r="O52" s="17" t="str">
        <f>'2.1. DM'!O52</f>
        <v>OT-010 (2025)</v>
      </c>
      <c r="P52" s="36"/>
      <c r="Q52" s="26">
        <v>20.084073911761312</v>
      </c>
      <c r="R52" s="345"/>
    </row>
    <row r="53" spans="2:18" x14ac:dyDescent="0.35">
      <c r="B53" s="17">
        <f>'2.1. DM'!B53</f>
        <v>43</v>
      </c>
      <c r="C53" s="17">
        <f>'2.1. DM'!C53</f>
        <v>46041</v>
      </c>
      <c r="D53" s="17" t="str">
        <f>'2.1. DM'!D53</f>
        <v>Genbank</v>
      </c>
      <c r="E53" s="17">
        <f>'2.1. DM'!E53</f>
        <v>27</v>
      </c>
      <c r="F53" s="17" t="str">
        <f>'2.1. DM'!F53</f>
        <v>F251749</v>
      </c>
      <c r="G53" s="17" t="str">
        <f>'2.1. DM'!G53</f>
        <v>CIAT-33508</v>
      </c>
      <c r="H53" s="17" t="str">
        <f>'2.1. DM'!H53</f>
        <v>Dendrolobium</v>
      </c>
      <c r="I53" s="17" t="str">
        <f>'2.1. DM'!I53</f>
        <v>umbellatum</v>
      </c>
      <c r="J53" s="17" t="str">
        <f>'2.1. DM'!J53</f>
        <v>Dendrolobium umbellatum</v>
      </c>
      <c r="K53" s="17" t="str">
        <f>'2.1. DM'!K53</f>
        <v>Fabaceae</v>
      </c>
      <c r="L53" s="17" t="str">
        <f>'2.1. DM'!L53</f>
        <v>Fabales</v>
      </c>
      <c r="M53" s="17" t="str">
        <f>'2.1. DM'!M53</f>
        <v>Tree</v>
      </c>
      <c r="N53" s="17" t="str">
        <f>'2.1. DM'!N53</f>
        <v>58,59, 69</v>
      </c>
      <c r="O53" s="17" t="str">
        <f>'2.1. DM'!O53</f>
        <v>OT-010 (2025)</v>
      </c>
      <c r="P53" s="36"/>
      <c r="Q53" s="26">
        <v>22.605566233851366</v>
      </c>
      <c r="R53" s="345">
        <f t="shared" si="2"/>
        <v>22.605566233851366</v>
      </c>
    </row>
    <row r="54" spans="2:18" x14ac:dyDescent="0.35">
      <c r="B54" s="17">
        <f>'2.1. DM'!B54</f>
        <v>44</v>
      </c>
      <c r="C54" s="17">
        <f>'2.1. DM'!C54</f>
        <v>46041</v>
      </c>
      <c r="D54" s="17" t="str">
        <f>'2.1. DM'!D54</f>
        <v>Genbank</v>
      </c>
      <c r="E54" s="17">
        <f>'2.1. DM'!E54</f>
        <v>27</v>
      </c>
      <c r="F54" s="17" t="str">
        <f>'2.1. DM'!F54</f>
        <v>F251749</v>
      </c>
      <c r="G54" s="17" t="str">
        <f>'2.1. DM'!G54</f>
        <v>CIAT-33508</v>
      </c>
      <c r="H54" s="17" t="str">
        <f>'2.1. DM'!H54</f>
        <v>Dendrolobium</v>
      </c>
      <c r="I54" s="17" t="str">
        <f>'2.1. DM'!I54</f>
        <v>umbellatum</v>
      </c>
      <c r="J54" s="17" t="str">
        <f>'2.1. DM'!J54</f>
        <v>Dendrolobium umbellatum</v>
      </c>
      <c r="K54" s="17" t="str">
        <f>'2.1. DM'!K54</f>
        <v>Fabaceae</v>
      </c>
      <c r="L54" s="17" t="str">
        <f>'2.1. DM'!L54</f>
        <v>Fabales</v>
      </c>
      <c r="M54" s="17" t="str">
        <f>'2.1. DM'!M54</f>
        <v>Tree</v>
      </c>
      <c r="N54" s="17" t="str">
        <f>'2.1. DM'!N54</f>
        <v>58,59, 69</v>
      </c>
      <c r="O54" s="17" t="str">
        <f>'2.1. DM'!O54</f>
        <v>OT-010 (2025)</v>
      </c>
      <c r="P54" s="36"/>
      <c r="Q54" s="26">
        <v>22.605566233851366</v>
      </c>
      <c r="R54" s="345"/>
    </row>
    <row r="55" spans="2:18" x14ac:dyDescent="0.35">
      <c r="B55" s="17">
        <f>'2.1. DM'!B55</f>
        <v>45</v>
      </c>
      <c r="C55" s="17">
        <f>'2.1. DM'!C55</f>
        <v>46041</v>
      </c>
      <c r="D55" s="17" t="str">
        <f>'2.1. DM'!D55</f>
        <v>Genbank</v>
      </c>
      <c r="E55" s="17">
        <f>'2.1. DM'!E55</f>
        <v>27</v>
      </c>
      <c r="F55" s="17" t="str">
        <f>'2.1. DM'!F55</f>
        <v>F251750</v>
      </c>
      <c r="G55" s="17" t="str">
        <f>'2.1. DM'!G55</f>
        <v>CIAT-33515</v>
      </c>
      <c r="H55" s="17" t="str">
        <f>'2.1. DM'!H55</f>
        <v>Dendrolobium</v>
      </c>
      <c r="I55" s="17" t="str">
        <f>'2.1. DM'!I55</f>
        <v>triangulare</v>
      </c>
      <c r="J55" s="17" t="str">
        <f>'2.1. DM'!J55</f>
        <v>Dendrolobium triangulare</v>
      </c>
      <c r="K55" s="17" t="str">
        <f>'2.1. DM'!K55</f>
        <v>Fabaceae</v>
      </c>
      <c r="L55" s="17" t="str">
        <f>'2.1. DM'!L55</f>
        <v>Fabales</v>
      </c>
      <c r="M55" s="17" t="str">
        <f>'2.1. DM'!M55</f>
        <v>Tree</v>
      </c>
      <c r="N55" s="17" t="str">
        <f>'2.1. DM'!N55</f>
        <v>58,59, 69</v>
      </c>
      <c r="O55" s="17" t="str">
        <f>'2.1. DM'!O55</f>
        <v>OT-010 (2025)</v>
      </c>
      <c r="P55" s="36"/>
      <c r="Q55" s="26">
        <v>20.963127013124584</v>
      </c>
      <c r="R55" s="345">
        <f t="shared" si="3"/>
        <v>20.963127013124584</v>
      </c>
    </row>
    <row r="56" spans="2:18" x14ac:dyDescent="0.35">
      <c r="B56" s="17">
        <f>'2.1. DM'!B56</f>
        <v>46</v>
      </c>
      <c r="C56" s="17">
        <f>'2.1. DM'!C56</f>
        <v>46041</v>
      </c>
      <c r="D56" s="17" t="str">
        <f>'2.1. DM'!D56</f>
        <v>Genbank</v>
      </c>
      <c r="E56" s="17">
        <f>'2.1. DM'!E56</f>
        <v>27</v>
      </c>
      <c r="F56" s="17" t="str">
        <f>'2.1. DM'!F56</f>
        <v>F251750</v>
      </c>
      <c r="G56" s="17" t="str">
        <f>'2.1. DM'!G56</f>
        <v>CIAT-33515</v>
      </c>
      <c r="H56" s="17" t="str">
        <f>'2.1. DM'!H56</f>
        <v>Dendrolobium</v>
      </c>
      <c r="I56" s="17" t="str">
        <f>'2.1. DM'!I56</f>
        <v>triangulare</v>
      </c>
      <c r="J56" s="17" t="str">
        <f>'2.1. DM'!J56</f>
        <v>Dendrolobium triangulare</v>
      </c>
      <c r="K56" s="17" t="str">
        <f>'2.1. DM'!K56</f>
        <v>Fabaceae</v>
      </c>
      <c r="L56" s="17" t="str">
        <f>'2.1. DM'!L56</f>
        <v>Fabales</v>
      </c>
      <c r="M56" s="17" t="str">
        <f>'2.1. DM'!M56</f>
        <v>Tree</v>
      </c>
      <c r="N56" s="17" t="str">
        <f>'2.1. DM'!N56</f>
        <v>58,59, 69</v>
      </c>
      <c r="O56" s="17" t="str">
        <f>'2.1. DM'!O56</f>
        <v>OT-010 (2025)</v>
      </c>
      <c r="P56" s="36"/>
      <c r="Q56" s="26">
        <v>20.963127013124584</v>
      </c>
      <c r="R56" s="345"/>
    </row>
    <row r="57" spans="2:18" x14ac:dyDescent="0.35">
      <c r="B57" s="17">
        <f>'2.1. DM'!B57</f>
        <v>47</v>
      </c>
      <c r="C57" s="17">
        <f>'2.1. DM'!C57</f>
        <v>46041</v>
      </c>
      <c r="D57" s="17" t="str">
        <f>'2.1. DM'!D57</f>
        <v>Genbank</v>
      </c>
      <c r="E57" s="17">
        <f>'2.1. DM'!E57</f>
        <v>27</v>
      </c>
      <c r="F57" s="17" t="str">
        <f>'2.1. DM'!F57</f>
        <v>F251751</v>
      </c>
      <c r="G57" s="17" t="str">
        <f>'2.1. DM'!G57</f>
        <v>CIAT-7353</v>
      </c>
      <c r="H57" s="17" t="str">
        <f>'2.1. DM'!H57</f>
        <v>Prosopis</v>
      </c>
      <c r="I57" s="17" t="str">
        <f>'2.1. DM'!I57</f>
        <v>juliflora</v>
      </c>
      <c r="J57" s="17" t="str">
        <f>'2.1. DM'!J57</f>
        <v>Prosopis juliflora</v>
      </c>
      <c r="K57" s="17" t="str">
        <f>'2.1. DM'!K57</f>
        <v>Fabaceae</v>
      </c>
      <c r="L57" s="17" t="str">
        <f>'2.1. DM'!L57</f>
        <v>Fabales</v>
      </c>
      <c r="M57" s="17" t="str">
        <f>'2.1. DM'!M57</f>
        <v>Tree</v>
      </c>
      <c r="N57" s="17" t="str">
        <f>'2.1. DM'!N57</f>
        <v>58,59, 69</v>
      </c>
      <c r="O57" s="17" t="str">
        <f>'2.1. DM'!O57</f>
        <v>OT-010 (2025)</v>
      </c>
      <c r="P57" s="36"/>
      <c r="Q57" s="26">
        <v>30.486453959263638</v>
      </c>
      <c r="R57" s="345">
        <f t="shared" si="2"/>
        <v>30.486453959263638</v>
      </c>
    </row>
    <row r="58" spans="2:18" x14ac:dyDescent="0.35">
      <c r="B58" s="17">
        <f>'2.1. DM'!B58</f>
        <v>48</v>
      </c>
      <c r="C58" s="17">
        <f>'2.1. DM'!C58</f>
        <v>46041</v>
      </c>
      <c r="D58" s="17" t="str">
        <f>'2.1. DM'!D58</f>
        <v>Genbank</v>
      </c>
      <c r="E58" s="17">
        <f>'2.1. DM'!E58</f>
        <v>27</v>
      </c>
      <c r="F58" s="17" t="str">
        <f>'2.1. DM'!F58</f>
        <v>F251751</v>
      </c>
      <c r="G58" s="17" t="str">
        <f>'2.1. DM'!G58</f>
        <v>CIAT-7353</v>
      </c>
      <c r="H58" s="17" t="str">
        <f>'2.1. DM'!H58</f>
        <v>Prosopis</v>
      </c>
      <c r="I58" s="17" t="str">
        <f>'2.1. DM'!I58</f>
        <v>juliflora</v>
      </c>
      <c r="J58" s="17" t="str">
        <f>'2.1. DM'!J58</f>
        <v>Prosopis juliflora</v>
      </c>
      <c r="K58" s="17" t="str">
        <f>'2.1. DM'!K58</f>
        <v>Fabaceae</v>
      </c>
      <c r="L58" s="17" t="str">
        <f>'2.1. DM'!L58</f>
        <v>Fabales</v>
      </c>
      <c r="M58" s="17" t="str">
        <f>'2.1. DM'!M58</f>
        <v>Tree</v>
      </c>
      <c r="N58" s="17" t="str">
        <f>'2.1. DM'!N58</f>
        <v>58,59, 69</v>
      </c>
      <c r="O58" s="17" t="str">
        <f>'2.1. DM'!O58</f>
        <v>OT-010 (2025)</v>
      </c>
      <c r="P58" s="36"/>
      <c r="Q58" s="26">
        <v>30.486453959263638</v>
      </c>
      <c r="R58" s="345"/>
    </row>
    <row r="59" spans="2:18" x14ac:dyDescent="0.35">
      <c r="B59" s="17">
        <f>'2.1. DM'!B59</f>
        <v>49</v>
      </c>
      <c r="C59" s="17">
        <f>'2.1. DM'!C59</f>
        <v>46041</v>
      </c>
      <c r="D59" s="17" t="str">
        <f>'2.1. DM'!D59</f>
        <v>Genbank</v>
      </c>
      <c r="E59" s="17">
        <f>'2.1. DM'!E59</f>
        <v>27</v>
      </c>
      <c r="F59" s="17" t="str">
        <f>'2.1. DM'!F59</f>
        <v>F251752</v>
      </c>
      <c r="G59" s="17" t="str">
        <f>'2.1. DM'!G59</f>
        <v>CIAT-7976</v>
      </c>
      <c r="H59" s="17" t="str">
        <f>'2.1. DM'!H59</f>
        <v>Cassia</v>
      </c>
      <c r="I59" s="17" t="str">
        <f>'2.1. DM'!I59</f>
        <v>sp.</v>
      </c>
      <c r="J59" s="17" t="str">
        <f>'2.1. DM'!J59</f>
        <v>Cassia sp.</v>
      </c>
      <c r="K59" s="17" t="str">
        <f>'2.1. DM'!K59</f>
        <v>Fabaceae</v>
      </c>
      <c r="L59" s="17" t="str">
        <f>'2.1. DM'!L59</f>
        <v>Fabales</v>
      </c>
      <c r="M59" s="17" t="str">
        <f>'2.1. DM'!M59</f>
        <v>Tree</v>
      </c>
      <c r="N59" s="17" t="str">
        <f>'2.1. DM'!N59</f>
        <v>58,59, 69</v>
      </c>
      <c r="O59" s="17" t="str">
        <f>'2.1. DM'!O59</f>
        <v>OT-010 (2025)</v>
      </c>
      <c r="P59" s="36"/>
      <c r="Q59" s="26">
        <v>25.588518268733985</v>
      </c>
      <c r="R59" s="345">
        <f t="shared" si="3"/>
        <v>25.588518268733985</v>
      </c>
    </row>
    <row r="60" spans="2:18" x14ac:dyDescent="0.35">
      <c r="B60" s="17">
        <f>'2.1. DM'!B60</f>
        <v>50</v>
      </c>
      <c r="C60" s="17">
        <f>'2.1. DM'!C60</f>
        <v>46041</v>
      </c>
      <c r="D60" s="17" t="str">
        <f>'2.1. DM'!D60</f>
        <v>Genbank</v>
      </c>
      <c r="E60" s="17">
        <f>'2.1. DM'!E60</f>
        <v>27</v>
      </c>
      <c r="F60" s="17" t="str">
        <f>'2.1. DM'!F60</f>
        <v>F251752</v>
      </c>
      <c r="G60" s="17" t="str">
        <f>'2.1. DM'!G60</f>
        <v>CIAT-7976</v>
      </c>
      <c r="H60" s="17" t="str">
        <f>'2.1. DM'!H60</f>
        <v>Cassia</v>
      </c>
      <c r="I60" s="17" t="str">
        <f>'2.1. DM'!I60</f>
        <v>sp.</v>
      </c>
      <c r="J60" s="17" t="str">
        <f>'2.1. DM'!J60</f>
        <v>Cassia sp.</v>
      </c>
      <c r="K60" s="17" t="str">
        <f>'2.1. DM'!K60</f>
        <v>Fabaceae</v>
      </c>
      <c r="L60" s="17" t="str">
        <f>'2.1. DM'!L60</f>
        <v>Fabales</v>
      </c>
      <c r="M60" s="17" t="str">
        <f>'2.1. DM'!M60</f>
        <v>Tree</v>
      </c>
      <c r="N60" s="17" t="str">
        <f>'2.1. DM'!N60</f>
        <v>58,59, 69</v>
      </c>
      <c r="O60" s="17" t="str">
        <f>'2.1. DM'!O60</f>
        <v>OT-010 (2025)</v>
      </c>
      <c r="P60" s="36"/>
      <c r="Q60" s="26">
        <v>25.588518268733985</v>
      </c>
      <c r="R60" s="345"/>
    </row>
    <row r="61" spans="2:18" x14ac:dyDescent="0.35">
      <c r="B61" s="17">
        <f>'2.1. DM'!B61</f>
        <v>51</v>
      </c>
      <c r="C61" s="17">
        <f>'2.1. DM'!C61</f>
        <v>46041</v>
      </c>
      <c r="D61" s="17" t="str">
        <f>'2.1. DM'!D61</f>
        <v>Genbank</v>
      </c>
      <c r="E61" s="17">
        <f>'2.1. DM'!E61</f>
        <v>27</v>
      </c>
      <c r="F61" s="17" t="str">
        <f>'2.1. DM'!F61</f>
        <v>F251753</v>
      </c>
      <c r="G61" s="17" t="str">
        <f>'2.1. DM'!G61</f>
        <v>CIAT-8018</v>
      </c>
      <c r="H61" s="17" t="str">
        <f>'2.1. DM'!H61</f>
        <v>Acacia</v>
      </c>
      <c r="I61" s="17" t="str">
        <f>'2.1. DM'!I61</f>
        <v>aroma</v>
      </c>
      <c r="J61" s="17" t="str">
        <f>'2.1. DM'!J61</f>
        <v>Acacia aroma</v>
      </c>
      <c r="K61" s="17" t="str">
        <f>'2.1. DM'!K61</f>
        <v>Fabaceae</v>
      </c>
      <c r="L61" s="17" t="str">
        <f>'2.1. DM'!L61</f>
        <v>Fabales</v>
      </c>
      <c r="M61" s="17" t="str">
        <f>'2.1. DM'!M61</f>
        <v>Tree</v>
      </c>
      <c r="N61" s="17" t="str">
        <f>'2.1. DM'!N61</f>
        <v>58,59, 69</v>
      </c>
      <c r="O61" s="17" t="str">
        <f>'2.1. DM'!O61</f>
        <v>OT-010 (2025)</v>
      </c>
      <c r="P61" s="36"/>
      <c r="Q61" s="26">
        <v>23.536924058087447</v>
      </c>
      <c r="R61" s="345">
        <f t="shared" si="2"/>
        <v>23.536924058087447</v>
      </c>
    </row>
    <row r="62" spans="2:18" x14ac:dyDescent="0.35">
      <c r="B62" s="17">
        <f>'2.1. DM'!B62</f>
        <v>52</v>
      </c>
      <c r="C62" s="17">
        <f>'2.1. DM'!C62</f>
        <v>46041</v>
      </c>
      <c r="D62" s="17" t="str">
        <f>'2.1. DM'!D62</f>
        <v>Genbank</v>
      </c>
      <c r="E62" s="17">
        <f>'2.1. DM'!E62</f>
        <v>27</v>
      </c>
      <c r="F62" s="17" t="str">
        <f>'2.1. DM'!F62</f>
        <v>F251753</v>
      </c>
      <c r="G62" s="17" t="str">
        <f>'2.1. DM'!G62</f>
        <v>CIAT-8018</v>
      </c>
      <c r="H62" s="17" t="str">
        <f>'2.1. DM'!H62</f>
        <v>Acacia</v>
      </c>
      <c r="I62" s="17" t="str">
        <f>'2.1. DM'!I62</f>
        <v>aroma</v>
      </c>
      <c r="J62" s="17" t="str">
        <f>'2.1. DM'!J62</f>
        <v>Acacia aroma</v>
      </c>
      <c r="K62" s="17" t="str">
        <f>'2.1. DM'!K62</f>
        <v>Fabaceae</v>
      </c>
      <c r="L62" s="17" t="str">
        <f>'2.1. DM'!L62</f>
        <v>Fabales</v>
      </c>
      <c r="M62" s="17" t="str">
        <f>'2.1. DM'!M62</f>
        <v>Tree</v>
      </c>
      <c r="N62" s="17" t="str">
        <f>'2.1. DM'!N62</f>
        <v>58,59, 69</v>
      </c>
      <c r="O62" s="17" t="str">
        <f>'2.1. DM'!O62</f>
        <v>OT-010 (2025)</v>
      </c>
      <c r="P62" s="36"/>
      <c r="Q62" s="26">
        <v>23.536924058087447</v>
      </c>
      <c r="R62" s="345"/>
    </row>
    <row r="63" spans="2:18" x14ac:dyDescent="0.35">
      <c r="B63" s="17">
        <f>'2.1. DM'!B63</f>
        <v>53</v>
      </c>
      <c r="C63" s="17">
        <f>'2.1. DM'!C63</f>
        <v>46041</v>
      </c>
      <c r="D63" s="17" t="str">
        <f>'2.1. DM'!D63</f>
        <v>Genbank</v>
      </c>
      <c r="E63" s="17">
        <f>'2.1. DM'!E63</f>
        <v>27</v>
      </c>
      <c r="F63" s="17" t="str">
        <f>'2.1. DM'!F63</f>
        <v>F251754</v>
      </c>
      <c r="G63" s="17" t="str">
        <f>'2.1. DM'!G63</f>
        <v>CIAT-9990</v>
      </c>
      <c r="H63" s="17" t="str">
        <f>'2.1. DM'!H63</f>
        <v>Prosopis</v>
      </c>
      <c r="I63" s="17" t="str">
        <f>'2.1. DM'!I63</f>
        <v>juliflora</v>
      </c>
      <c r="J63" s="17" t="str">
        <f>'2.1. DM'!J63</f>
        <v>Prosopis juliflora</v>
      </c>
      <c r="K63" s="17" t="str">
        <f>'2.1. DM'!K63</f>
        <v>Fabaceae</v>
      </c>
      <c r="L63" s="17" t="str">
        <f>'2.1. DM'!L63</f>
        <v>Fabales</v>
      </c>
      <c r="M63" s="17" t="str">
        <f>'2.1. DM'!M63</f>
        <v>Tree</v>
      </c>
      <c r="N63" s="17" t="str">
        <f>'2.1. DM'!N63</f>
        <v>58,59, 69</v>
      </c>
      <c r="O63" s="17" t="str">
        <f>'2.1. DM'!O63</f>
        <v>OT-010 (2025)</v>
      </c>
      <c r="P63" s="36"/>
      <c r="Q63" s="26">
        <v>31.752008331859145</v>
      </c>
      <c r="R63" s="345">
        <f t="shared" si="3"/>
        <v>31.752008331859145</v>
      </c>
    </row>
    <row r="64" spans="2:18" x14ac:dyDescent="0.35">
      <c r="B64" s="17">
        <f>'2.1. DM'!B64</f>
        <v>54</v>
      </c>
      <c r="C64" s="17">
        <f>'2.1. DM'!C64</f>
        <v>46041</v>
      </c>
      <c r="D64" s="17" t="str">
        <f>'2.1. DM'!D64</f>
        <v>Genbank</v>
      </c>
      <c r="E64" s="17">
        <f>'2.1. DM'!E64</f>
        <v>27</v>
      </c>
      <c r="F64" s="17" t="str">
        <f>'2.1. DM'!F64</f>
        <v>F251754</v>
      </c>
      <c r="G64" s="17" t="str">
        <f>'2.1. DM'!G64</f>
        <v>CIAT-9990</v>
      </c>
      <c r="H64" s="17" t="str">
        <f>'2.1. DM'!H64</f>
        <v>Prosopis</v>
      </c>
      <c r="I64" s="17" t="str">
        <f>'2.1. DM'!I64</f>
        <v>juliflora</v>
      </c>
      <c r="J64" s="17" t="str">
        <f>'2.1. DM'!J64</f>
        <v>Prosopis juliflora</v>
      </c>
      <c r="K64" s="17" t="str">
        <f>'2.1. DM'!K64</f>
        <v>Fabaceae</v>
      </c>
      <c r="L64" s="17" t="str">
        <f>'2.1. DM'!L64</f>
        <v>Fabales</v>
      </c>
      <c r="M64" s="17" t="str">
        <f>'2.1. DM'!M64</f>
        <v>Tree</v>
      </c>
      <c r="N64" s="17" t="str">
        <f>'2.1. DM'!N64</f>
        <v>58,59, 69</v>
      </c>
      <c r="O64" s="17" t="str">
        <f>'2.1. DM'!O64</f>
        <v>OT-010 (2025)</v>
      </c>
      <c r="P64" s="36"/>
      <c r="Q64" s="26">
        <v>31.752008331859145</v>
      </c>
      <c r="R64" s="345"/>
    </row>
    <row r="65" spans="2:18" x14ac:dyDescent="0.35">
      <c r="B65" s="17">
        <f>'2.1. DM'!B65</f>
        <v>55</v>
      </c>
      <c r="C65" s="17">
        <f>'2.1. DM'!C65</f>
        <v>46041</v>
      </c>
      <c r="D65" s="17" t="str">
        <f>'2.1. DM'!D65</f>
        <v>Genbank</v>
      </c>
      <c r="E65" s="17">
        <f>'2.1. DM'!E65</f>
        <v>27</v>
      </c>
      <c r="F65" s="17" t="str">
        <f>'2.1. DM'!F65</f>
        <v>F251755</v>
      </c>
      <c r="G65" s="17" t="str">
        <f>'2.1. DM'!G65</f>
        <v>CIAT-13258</v>
      </c>
      <c r="H65" s="17" t="str">
        <f>'2.1. DM'!H65</f>
        <v>Dendrolobium</v>
      </c>
      <c r="I65" s="17" t="str">
        <f>'2.1. DM'!I65</f>
        <v>lanceolatum</v>
      </c>
      <c r="J65" s="17" t="str">
        <f>'2.1. DM'!J65</f>
        <v>Dendrolobium lanceolatum</v>
      </c>
      <c r="K65" s="17" t="str">
        <f>'2.1. DM'!K65</f>
        <v>Fabaceae</v>
      </c>
      <c r="L65" s="17" t="str">
        <f>'2.1. DM'!L65</f>
        <v>Fabales</v>
      </c>
      <c r="M65" s="17" t="str">
        <f>'2.1. DM'!M65</f>
        <v>Tree</v>
      </c>
      <c r="N65" s="17" t="str">
        <f>'2.1. DM'!N65</f>
        <v>58,59, 69</v>
      </c>
      <c r="O65" s="17" t="str">
        <f>'2.1. DM'!O65</f>
        <v>OT-010 (2025)</v>
      </c>
      <c r="P65" s="36"/>
      <c r="Q65" s="26">
        <v>15.550264369544495</v>
      </c>
      <c r="R65" s="345">
        <f t="shared" si="2"/>
        <v>15.550264369544495</v>
      </c>
    </row>
    <row r="66" spans="2:18" x14ac:dyDescent="0.35">
      <c r="B66" s="17">
        <f>'2.1. DM'!B66</f>
        <v>56</v>
      </c>
      <c r="C66" s="17">
        <f>'2.1. DM'!C66</f>
        <v>46041</v>
      </c>
      <c r="D66" s="17" t="str">
        <f>'2.1. DM'!D66</f>
        <v>Genbank</v>
      </c>
      <c r="E66" s="17">
        <f>'2.1. DM'!E66</f>
        <v>27</v>
      </c>
      <c r="F66" s="17" t="str">
        <f>'2.1. DM'!F66</f>
        <v>F251755</v>
      </c>
      <c r="G66" s="17" t="str">
        <f>'2.1. DM'!G66</f>
        <v>CIAT-13258</v>
      </c>
      <c r="H66" s="17" t="str">
        <f>'2.1. DM'!H66</f>
        <v>Dendrolobium</v>
      </c>
      <c r="I66" s="17" t="str">
        <f>'2.1. DM'!I66</f>
        <v>lanceolatum</v>
      </c>
      <c r="J66" s="17" t="str">
        <f>'2.1. DM'!J66</f>
        <v>Dendrolobium lanceolatum</v>
      </c>
      <c r="K66" s="17" t="str">
        <f>'2.1. DM'!K66</f>
        <v>Fabaceae</v>
      </c>
      <c r="L66" s="17" t="str">
        <f>'2.1. DM'!L66</f>
        <v>Fabales</v>
      </c>
      <c r="M66" s="17" t="str">
        <f>'2.1. DM'!M66</f>
        <v>Tree</v>
      </c>
      <c r="N66" s="17" t="str">
        <f>'2.1. DM'!N66</f>
        <v>58,59, 69</v>
      </c>
      <c r="O66" s="17" t="str">
        <f>'2.1. DM'!O66</f>
        <v>OT-010 (2025)</v>
      </c>
      <c r="P66" s="36"/>
      <c r="Q66" s="26">
        <v>15.550264369544495</v>
      </c>
      <c r="R66" s="345"/>
    </row>
    <row r="67" spans="2:18" x14ac:dyDescent="0.35">
      <c r="B67" s="17">
        <f>'2.1. DM'!B67</f>
        <v>57</v>
      </c>
      <c r="C67" s="17">
        <f>'2.1. DM'!C67</f>
        <v>46041</v>
      </c>
      <c r="D67" s="17" t="str">
        <f>'2.1. DM'!D67</f>
        <v>Genbank</v>
      </c>
      <c r="E67" s="17">
        <f>'2.1. DM'!E67</f>
        <v>27</v>
      </c>
      <c r="F67" s="17" t="str">
        <f>'2.1. DM'!F67</f>
        <v>F251756</v>
      </c>
      <c r="G67" s="17" t="str">
        <f>'2.1. DM'!G67</f>
        <v>CIAT-13260</v>
      </c>
      <c r="H67" s="17" t="str">
        <f>'2.1. DM'!H67</f>
        <v>Dendrolobium</v>
      </c>
      <c r="I67" s="17" t="str">
        <f>'2.1. DM'!I67</f>
        <v>lanceolatum</v>
      </c>
      <c r="J67" s="17" t="str">
        <f>'2.1. DM'!J67</f>
        <v>Dendrolobium lanceolatum</v>
      </c>
      <c r="K67" s="17" t="str">
        <f>'2.1. DM'!K67</f>
        <v>Fabaceae</v>
      </c>
      <c r="L67" s="17" t="str">
        <f>'2.1. DM'!L67</f>
        <v>Fabales</v>
      </c>
      <c r="M67" s="17" t="str">
        <f>'2.1. DM'!M67</f>
        <v>Tree</v>
      </c>
      <c r="N67" s="17" t="str">
        <f>'2.1. DM'!N67</f>
        <v>58,59, 69</v>
      </c>
      <c r="O67" s="17" t="str">
        <f>'2.1. DM'!O67</f>
        <v>OT-010 (2025)</v>
      </c>
      <c r="P67" s="36"/>
      <c r="Q67" s="26">
        <v>15.813425412661195</v>
      </c>
      <c r="R67" s="345">
        <f>AVERAGE(Q67:Q68)</f>
        <v>15.813425412661195</v>
      </c>
    </row>
    <row r="68" spans="2:18" x14ac:dyDescent="0.35">
      <c r="B68" s="17">
        <f>'2.1. DM'!B68</f>
        <v>58</v>
      </c>
      <c r="C68" s="17">
        <f>'2.1. DM'!C68</f>
        <v>46041</v>
      </c>
      <c r="D68" s="17" t="str">
        <f>'2.1. DM'!D68</f>
        <v>Genbank</v>
      </c>
      <c r="E68" s="17">
        <f>'2.1. DM'!E68</f>
        <v>27</v>
      </c>
      <c r="F68" s="17" t="str">
        <f>'2.1. DM'!F68</f>
        <v>F251756</v>
      </c>
      <c r="G68" s="17" t="str">
        <f>'2.1. DM'!G68</f>
        <v>CIAT-13260</v>
      </c>
      <c r="H68" s="17" t="str">
        <f>'2.1. DM'!H68</f>
        <v>Dendrolobium</v>
      </c>
      <c r="I68" s="17" t="str">
        <f>'2.1. DM'!I68</f>
        <v>lanceolatum</v>
      </c>
      <c r="J68" s="17" t="str">
        <f>'2.1. DM'!J68</f>
        <v>Dendrolobium lanceolatum</v>
      </c>
      <c r="K68" s="17" t="str">
        <f>'2.1. DM'!K68</f>
        <v>Fabaceae</v>
      </c>
      <c r="L68" s="17" t="str">
        <f>'2.1. DM'!L68</f>
        <v>Fabales</v>
      </c>
      <c r="M68" s="17" t="str">
        <f>'2.1. DM'!M68</f>
        <v>Tree</v>
      </c>
      <c r="N68" s="17" t="str">
        <f>'2.1. DM'!N68</f>
        <v>58,59, 69</v>
      </c>
      <c r="O68" s="17" t="str">
        <f>'2.1. DM'!O68</f>
        <v>OT-010 (2025)</v>
      </c>
      <c r="P68" s="36"/>
      <c r="Q68" s="26">
        <v>15.813425412661195</v>
      </c>
      <c r="R68" s="345"/>
    </row>
    <row r="69" spans="2:18" x14ac:dyDescent="0.35">
      <c r="B69" s="17">
        <f>'2.1. DM'!B69</f>
        <v>59</v>
      </c>
      <c r="C69" s="17">
        <f>'2.1. DM'!C69</f>
        <v>46041</v>
      </c>
      <c r="D69" s="17" t="str">
        <f>'2.1. DM'!D69</f>
        <v>Genbank</v>
      </c>
      <c r="E69" s="17">
        <f>'2.1. DM'!E69</f>
        <v>27</v>
      </c>
      <c r="F69" s="17" t="str">
        <f>'2.1. DM'!F69</f>
        <v>F251757</v>
      </c>
      <c r="G69" s="17" t="str">
        <f>'2.1. DM'!G69</f>
        <v>CIAT-17263</v>
      </c>
      <c r="H69" s="17" t="str">
        <f>'2.1. DM'!H69</f>
        <v>Leucaena</v>
      </c>
      <c r="I69" s="17" t="str">
        <f>'2.1. DM'!I69</f>
        <v>leucocephala</v>
      </c>
      <c r="J69" s="17" t="str">
        <f>'2.1. DM'!J69</f>
        <v>Leucaena leucocephala</v>
      </c>
      <c r="K69" s="17" t="str">
        <f>'2.1. DM'!K69</f>
        <v>Fabaceae</v>
      </c>
      <c r="L69" s="17" t="str">
        <f>'2.1. DM'!L69</f>
        <v>Fabales</v>
      </c>
      <c r="M69" s="17" t="str">
        <f>'2.1. DM'!M69</f>
        <v>Tree</v>
      </c>
      <c r="N69" s="17" t="str">
        <f>'2.1. DM'!N69</f>
        <v>58,59, 69</v>
      </c>
      <c r="O69" s="17" t="str">
        <f>'2.1. DM'!O69</f>
        <v>OT-010 (2025)</v>
      </c>
      <c r="P69" s="36"/>
      <c r="Q69" s="26">
        <v>27.42940648425769</v>
      </c>
      <c r="R69" s="345">
        <f t="shared" ref="R69" si="4">AVERAGE(Q69:Q70)</f>
        <v>27.42940648425769</v>
      </c>
    </row>
    <row r="70" spans="2:18" x14ac:dyDescent="0.35">
      <c r="B70" s="17">
        <f>'2.1. DM'!B70</f>
        <v>60</v>
      </c>
      <c r="C70" s="17">
        <f>'2.1. DM'!C70</f>
        <v>46041</v>
      </c>
      <c r="D70" s="17" t="str">
        <f>'2.1. DM'!D70</f>
        <v>Genbank</v>
      </c>
      <c r="E70" s="17">
        <f>'2.1. DM'!E70</f>
        <v>27</v>
      </c>
      <c r="F70" s="17" t="str">
        <f>'2.1. DM'!F70</f>
        <v>F251757</v>
      </c>
      <c r="G70" s="17" t="str">
        <f>'2.1. DM'!G70</f>
        <v>CIAT-17263</v>
      </c>
      <c r="H70" s="17" t="str">
        <f>'2.1. DM'!H70</f>
        <v>Leucaena</v>
      </c>
      <c r="I70" s="17" t="str">
        <f>'2.1. DM'!I70</f>
        <v>leucocephala</v>
      </c>
      <c r="J70" s="17" t="str">
        <f>'2.1. DM'!J70</f>
        <v>Leucaena leucocephala</v>
      </c>
      <c r="K70" s="17" t="str">
        <f>'2.1. DM'!K70</f>
        <v>Fabaceae</v>
      </c>
      <c r="L70" s="17" t="str">
        <f>'2.1. DM'!L70</f>
        <v>Fabales</v>
      </c>
      <c r="M70" s="17" t="str">
        <f>'2.1. DM'!M70</f>
        <v>Tree</v>
      </c>
      <c r="N70" s="17" t="str">
        <f>'2.1. DM'!N70</f>
        <v>58,59, 69</v>
      </c>
      <c r="O70" s="17" t="str">
        <f>'2.1. DM'!O70</f>
        <v>OT-010 (2025)</v>
      </c>
      <c r="P70" s="36"/>
      <c r="Q70" s="26"/>
      <c r="R70" s="345"/>
    </row>
    <row r="71" spans="2:18" x14ac:dyDescent="0.35">
      <c r="B71" s="17">
        <f>'2.1. DM'!B71</f>
        <v>61</v>
      </c>
      <c r="C71" s="17">
        <f>'2.1. DM'!C71</f>
        <v>46041</v>
      </c>
      <c r="D71" s="17" t="str">
        <f>'2.1. DM'!D71</f>
        <v>Isabel Molina</v>
      </c>
      <c r="E71" s="17">
        <f>'2.1. DM'!E71</f>
        <v>27</v>
      </c>
      <c r="F71" s="17" t="str">
        <f>'2.1. DM'!F71</f>
        <v>F252640</v>
      </c>
      <c r="G71" s="17" t="str">
        <f>'2.1. DM'!G71</f>
        <v xml:space="preserve"> Cayman Br02_1752</v>
      </c>
      <c r="H71" s="17" t="str">
        <f>'2.1. DM'!H71</f>
        <v>Urochloa</v>
      </c>
      <c r="I71" s="17" t="str">
        <f>'2.1. DM'!I71</f>
        <v>interespecifico</v>
      </c>
      <c r="J71" s="17" t="str">
        <f>'2.1. DM'!J71</f>
        <v>Urochloa interespecifico</v>
      </c>
      <c r="K71" s="17" t="str">
        <f>'2.1. DM'!K71</f>
        <v>Poaceae</v>
      </c>
      <c r="L71" s="17" t="str">
        <f>'2.1. DM'!L71</f>
        <v>Poales</v>
      </c>
      <c r="M71" s="17" t="str">
        <f>'2.1. DM'!M71</f>
        <v>grasses</v>
      </c>
      <c r="N71" s="17" t="str">
        <f>'2.1. DM'!N71</f>
        <v>58,59, 69</v>
      </c>
      <c r="O71" s="17" t="str">
        <f>'2.1. DM'!O71</f>
        <v>OT-034 (2025)</v>
      </c>
      <c r="P71" s="36"/>
      <c r="Q71" s="26">
        <v>8.0410104701209058</v>
      </c>
      <c r="R71" s="345">
        <f t="shared" ref="R71" si="5">AVERAGE(Q71:Q72)</f>
        <v>8.0543856929248818</v>
      </c>
    </row>
    <row r="72" spans="2:18" x14ac:dyDescent="0.35">
      <c r="B72" s="17">
        <f>'2.1. DM'!B72</f>
        <v>62</v>
      </c>
      <c r="C72" s="17">
        <f>'2.1. DM'!C72</f>
        <v>46041</v>
      </c>
      <c r="D72" s="17" t="str">
        <f>'2.1. DM'!D72</f>
        <v>Isabel Molina</v>
      </c>
      <c r="E72" s="17">
        <f>'2.1. DM'!E72</f>
        <v>27</v>
      </c>
      <c r="F72" s="17" t="str">
        <f>'2.1. DM'!F72</f>
        <v>F252640</v>
      </c>
      <c r="G72" s="17" t="str">
        <f>'2.1. DM'!G72</f>
        <v xml:space="preserve"> Cayman Br02_1752</v>
      </c>
      <c r="H72" s="17" t="str">
        <f>'2.1. DM'!H72</f>
        <v>Urochloa</v>
      </c>
      <c r="I72" s="17" t="str">
        <f>'2.1. DM'!I72</f>
        <v>interespecifico</v>
      </c>
      <c r="J72" s="17" t="str">
        <f>'2.1. DM'!J72</f>
        <v>Urochloa interespecifico</v>
      </c>
      <c r="K72" s="17" t="str">
        <f>'2.1. DM'!K72</f>
        <v>Poaceae</v>
      </c>
      <c r="L72" s="17" t="str">
        <f>'2.1. DM'!L72</f>
        <v>Poales</v>
      </c>
      <c r="M72" s="17" t="str">
        <f>'2.1. DM'!M72</f>
        <v>grasses</v>
      </c>
      <c r="N72" s="17" t="str">
        <f>'2.1. DM'!N72</f>
        <v>58,59, 69</v>
      </c>
      <c r="O72" s="17" t="str">
        <f>'2.1. DM'!O72</f>
        <v>OT-034 (2025)</v>
      </c>
      <c r="P72" s="36"/>
      <c r="Q72" s="20">
        <v>8.0677609157288597</v>
      </c>
      <c r="R72" s="345"/>
    </row>
    <row r="73" spans="2:18" x14ac:dyDescent="0.35">
      <c r="B73" s="17">
        <f>'2.1. DM'!B73</f>
        <v>63</v>
      </c>
      <c r="C73" s="17">
        <f>'2.1. DM'!C73</f>
        <v>46041</v>
      </c>
      <c r="D73" s="17" t="str">
        <f>'2.1. DM'!D73</f>
        <v>Mauricio Sotelo</v>
      </c>
      <c r="E73" s="17">
        <f>'2.1. DM'!E73</f>
        <v>27</v>
      </c>
      <c r="F73" s="17" t="str">
        <f>'2.1. DM'!F73</f>
        <v>F252641</v>
      </c>
      <c r="G73" s="17" t="str">
        <f>'2.1. DM'!G73</f>
        <v>N/A</v>
      </c>
      <c r="H73" s="17" t="str">
        <f>'2.1. DM'!H73</f>
        <v xml:space="preserve">Gliricidia  </v>
      </c>
      <c r="I73" s="17" t="str">
        <f>'2.1. DM'!I73</f>
        <v>sepium</v>
      </c>
      <c r="J73" s="17" t="str">
        <f>'2.1. DM'!J73</f>
        <v xml:space="preserve">Gliricidia sepium </v>
      </c>
      <c r="K73" s="17" t="str">
        <f>'2.1. DM'!K73</f>
        <v>Fabaceae</v>
      </c>
      <c r="L73" s="17" t="str">
        <f>'2.1. DM'!L73</f>
        <v>Fabales</v>
      </c>
      <c r="M73" s="17" t="str">
        <f>'2.1. DM'!M73</f>
        <v xml:space="preserve">Arbustiva </v>
      </c>
      <c r="N73" s="17" t="str">
        <f>'2.1. DM'!N73</f>
        <v>58,59, 69</v>
      </c>
      <c r="O73" s="17" t="str">
        <f>'2.1. DM'!O73</f>
        <v>OT-035 (2025)</v>
      </c>
      <c r="P73" s="36"/>
      <c r="Q73" s="20">
        <v>22.32</v>
      </c>
      <c r="R73" s="345">
        <f t="shared" ref="R73" si="6">AVERAGE(Q73:Q74)</f>
        <v>22.375</v>
      </c>
    </row>
    <row r="74" spans="2:18" x14ac:dyDescent="0.35">
      <c r="B74" s="17">
        <f>'2.1. DM'!B74</f>
        <v>64</v>
      </c>
      <c r="C74" s="17">
        <f>'2.1. DM'!C74</f>
        <v>46041</v>
      </c>
      <c r="D74" s="17" t="str">
        <f>'2.1. DM'!D74</f>
        <v>Mauricio Sotelo</v>
      </c>
      <c r="E74" s="17">
        <f>'2.1. DM'!E74</f>
        <v>27</v>
      </c>
      <c r="F74" s="17" t="str">
        <f>'2.1. DM'!F74</f>
        <v>F252641</v>
      </c>
      <c r="G74" s="17" t="str">
        <f>'2.1. DM'!G74</f>
        <v>N/A</v>
      </c>
      <c r="H74" s="17" t="str">
        <f>'2.1. DM'!H74</f>
        <v xml:space="preserve">Gliricidia  </v>
      </c>
      <c r="I74" s="17" t="str">
        <f>'2.1. DM'!I74</f>
        <v>sepium</v>
      </c>
      <c r="J74" s="17" t="str">
        <f>'2.1. DM'!J74</f>
        <v xml:space="preserve">Gliricidia sepium </v>
      </c>
      <c r="K74" s="17" t="str">
        <f>'2.1. DM'!K74</f>
        <v>Fabaceae</v>
      </c>
      <c r="L74" s="17" t="str">
        <f>'2.1. DM'!L74</f>
        <v>Fabales</v>
      </c>
      <c r="M74" s="17" t="str">
        <f>'2.1. DM'!M74</f>
        <v xml:space="preserve">Arbustiva </v>
      </c>
      <c r="N74" s="17" t="str">
        <f>'2.1. DM'!N74</f>
        <v>58,59, 69</v>
      </c>
      <c r="O74" s="17" t="str">
        <f>'2.1. DM'!O74</f>
        <v>OT-035 (2025)</v>
      </c>
      <c r="P74" s="36"/>
      <c r="Q74" s="20">
        <v>22.43</v>
      </c>
      <c r="R74" s="345"/>
    </row>
    <row r="75" spans="2:18" x14ac:dyDescent="0.35">
      <c r="B75" s="17">
        <f>'2.1. DM'!B75</f>
        <v>65</v>
      </c>
      <c r="C75" s="17">
        <f>'2.1. DM'!C75</f>
        <v>46041</v>
      </c>
      <c r="D75" s="17" t="str">
        <f>'2.1. DM'!D75</f>
        <v>Jacobo Arango/Alejandro Montoya</v>
      </c>
      <c r="E75" s="17">
        <f>'2.1. DM'!E75</f>
        <v>27</v>
      </c>
      <c r="F75" s="17" t="str">
        <f>'2.1. DM'!F75</f>
        <v>F250008</v>
      </c>
      <c r="G75" s="17" t="str">
        <f>'2.1. DM'!G75</f>
        <v>Sample 8</v>
      </c>
      <c r="H75" s="17" t="str">
        <f>'2.1. DM'!H75</f>
        <v>Cynodon</v>
      </c>
      <c r="I75" s="17" t="str">
        <f>'2.1. DM'!I75</f>
        <v xml:space="preserve"> nlemfuensis </v>
      </c>
      <c r="J75" s="17" t="str">
        <f>'2.1. DM'!J75</f>
        <v xml:space="preserve">Cynodon nlemfuensis </v>
      </c>
      <c r="K75" s="17" t="str">
        <f>'2.1. DM'!K75</f>
        <v>Poaceae</v>
      </c>
      <c r="L75" s="17" t="str">
        <f>'2.1. DM'!L75</f>
        <v>Poales</v>
      </c>
      <c r="M75" s="17" t="str">
        <f>'2.1. DM'!M75</f>
        <v>grasses</v>
      </c>
      <c r="N75" s="17" t="str">
        <f>'2.1. DM'!N75</f>
        <v>58,59, 69</v>
      </c>
      <c r="O75" s="17" t="str">
        <f>'2.1. DM'!O75</f>
        <v>OT-002</v>
      </c>
      <c r="P75" s="36"/>
      <c r="Q75" s="20"/>
      <c r="R75" s="345">
        <v>13.1</v>
      </c>
    </row>
    <row r="76" spans="2:18" x14ac:dyDescent="0.35">
      <c r="B76" s="17">
        <f>'2.1. DM'!B76</f>
        <v>66</v>
      </c>
      <c r="C76" s="17">
        <f>'2.1. DM'!C76</f>
        <v>46041</v>
      </c>
      <c r="D76" s="17" t="str">
        <f>'2.1. DM'!D76</f>
        <v>Jacobo Arango/Alejandro Montoya</v>
      </c>
      <c r="E76" s="17">
        <f>'2.1. DM'!E76</f>
        <v>27</v>
      </c>
      <c r="F76" s="17" t="str">
        <f>'2.1. DM'!F76</f>
        <v>F250008</v>
      </c>
      <c r="G76" s="17" t="str">
        <f>'2.1. DM'!G76</f>
        <v>Sample 8</v>
      </c>
      <c r="H76" s="17" t="str">
        <f>'2.1. DM'!H76</f>
        <v>Cynodon</v>
      </c>
      <c r="I76" s="17" t="str">
        <f>'2.1. DM'!I76</f>
        <v xml:space="preserve"> nlemfuensis </v>
      </c>
      <c r="J76" s="17" t="str">
        <f>'2.1. DM'!J76</f>
        <v xml:space="preserve">Cynodon nlemfuensis </v>
      </c>
      <c r="K76" s="17" t="str">
        <f>'2.1. DM'!K76</f>
        <v>Poaceae</v>
      </c>
      <c r="L76" s="17" t="str">
        <f>'2.1. DM'!L76</f>
        <v>Poales</v>
      </c>
      <c r="M76" s="17" t="str">
        <f>'2.1. DM'!M76</f>
        <v>grasses</v>
      </c>
      <c r="N76" s="17" t="str">
        <f>'2.1. DM'!N76</f>
        <v>58,59, 69</v>
      </c>
      <c r="O76" s="17" t="str">
        <f>'2.1. DM'!O76</f>
        <v>OT-002</v>
      </c>
      <c r="P76" s="36"/>
      <c r="Q76" s="20"/>
      <c r="R76" s="345"/>
    </row>
    <row r="77" spans="2:18" x14ac:dyDescent="0.35">
      <c r="B77" s="17">
        <f>'2.1. DM'!B77</f>
        <v>67</v>
      </c>
      <c r="C77" s="17">
        <f>'2.1. DM'!C77</f>
        <v>46048</v>
      </c>
      <c r="D77" s="17" t="str">
        <f>'2.1. DM'!D77</f>
        <v>Genbank</v>
      </c>
      <c r="E77" s="17">
        <f>'2.1. DM'!E77</f>
        <v>28</v>
      </c>
      <c r="F77" s="17" t="str">
        <f>'2.1. DM'!F77</f>
        <v>F251758</v>
      </c>
      <c r="G77" s="17" t="str">
        <f>'2.1. DM'!G77</f>
        <v>CIAT-17459</v>
      </c>
      <c r="H77" s="17" t="str">
        <f>'2.1. DM'!H77</f>
        <v>Erythrina</v>
      </c>
      <c r="I77" s="17" t="str">
        <f>'2.1. DM'!I77</f>
        <v>berteroana</v>
      </c>
      <c r="J77" s="17" t="str">
        <f>'2.1. DM'!J77</f>
        <v>Erythrina berteroana</v>
      </c>
      <c r="K77" s="17" t="str">
        <f>'2.1. DM'!K77</f>
        <v>Fabaceae</v>
      </c>
      <c r="L77" s="17" t="str">
        <f>'2.1. DM'!L77</f>
        <v>Fabales</v>
      </c>
      <c r="M77" s="17" t="str">
        <f>'2.1. DM'!M77</f>
        <v>Tree</v>
      </c>
      <c r="N77" s="17" t="str">
        <f>'2.1. DM'!N77</f>
        <v>60,61, 62</v>
      </c>
      <c r="O77" s="17" t="str">
        <f>'2.1. DM'!O77</f>
        <v>OT-010</v>
      </c>
      <c r="P77" s="36"/>
      <c r="Q77" s="20">
        <v>24.25144619344341</v>
      </c>
      <c r="R77" s="345">
        <f t="shared" ref="R77" si="7">AVERAGE(Q77:Q78)</f>
        <v>24.25144619344341</v>
      </c>
    </row>
    <row r="78" spans="2:18" x14ac:dyDescent="0.35">
      <c r="B78" s="17">
        <f>'2.1. DM'!B78</f>
        <v>68</v>
      </c>
      <c r="C78" s="17">
        <f>'2.1. DM'!C78</f>
        <v>46048</v>
      </c>
      <c r="D78" s="17" t="str">
        <f>'2.1. DM'!D78</f>
        <v>Genbank</v>
      </c>
      <c r="E78" s="17">
        <f>'2.1. DM'!E78</f>
        <v>28</v>
      </c>
      <c r="F78" s="17" t="str">
        <f>'2.1. DM'!F78</f>
        <v>F251758</v>
      </c>
      <c r="G78" s="17" t="str">
        <f>'2.1. DM'!G78</f>
        <v>CIAT-17459</v>
      </c>
      <c r="H78" s="17" t="str">
        <f>'2.1. DM'!H78</f>
        <v>Erythrina</v>
      </c>
      <c r="I78" s="17" t="str">
        <f>'2.1. DM'!I78</f>
        <v>berteroana</v>
      </c>
      <c r="J78" s="17" t="str">
        <f>'2.1. DM'!J78</f>
        <v>Erythrina berteroana</v>
      </c>
      <c r="K78" s="17" t="str">
        <f>'2.1. DM'!K78</f>
        <v>Fabaceae</v>
      </c>
      <c r="L78" s="17" t="str">
        <f>'2.1. DM'!L78</f>
        <v>Fabales</v>
      </c>
      <c r="M78" s="17" t="str">
        <f>'2.1. DM'!M78</f>
        <v>Tree</v>
      </c>
      <c r="N78" s="17" t="str">
        <f>'2.1. DM'!N78</f>
        <v>60,61, 62</v>
      </c>
      <c r="O78" s="17" t="str">
        <f>'2.1. DM'!O78</f>
        <v>OT-010</v>
      </c>
      <c r="P78" s="36"/>
      <c r="Q78" s="20">
        <v>24.25144619344341</v>
      </c>
      <c r="R78" s="345"/>
    </row>
    <row r="79" spans="2:18" x14ac:dyDescent="0.35">
      <c r="B79" s="17">
        <f>'2.1. DM'!B79</f>
        <v>69</v>
      </c>
      <c r="C79" s="17">
        <f>'2.1. DM'!C79</f>
        <v>46048</v>
      </c>
      <c r="D79" s="17" t="str">
        <f>'2.1. DM'!D79</f>
        <v>Genbank</v>
      </c>
      <c r="E79" s="17">
        <f>'2.1. DM'!E79</f>
        <v>28</v>
      </c>
      <c r="F79" s="17" t="str">
        <f>'2.1. DM'!F79</f>
        <v>F251759</v>
      </c>
      <c r="G79" s="17" t="str">
        <f>'2.1. DM'!G79</f>
        <v>CIAT-17482</v>
      </c>
      <c r="H79" s="17" t="str">
        <f>'2.1. DM'!H79</f>
        <v>Leucaena</v>
      </c>
      <c r="I79" s="17" t="str">
        <f>'2.1. DM'!I79</f>
        <v>leucocephala</v>
      </c>
      <c r="J79" s="17" t="str">
        <f>'2.1. DM'!J79</f>
        <v>Leucaena leucocephala</v>
      </c>
      <c r="K79" s="17" t="str">
        <f>'2.1. DM'!K79</f>
        <v>Fabaceae</v>
      </c>
      <c r="L79" s="17" t="str">
        <f>'2.1. DM'!L79</f>
        <v>Fabales</v>
      </c>
      <c r="M79" s="17" t="str">
        <f>'2.1. DM'!M79</f>
        <v>Tree</v>
      </c>
      <c r="N79" s="17" t="str">
        <f>'2.1. DM'!N79</f>
        <v>60,61, 62</v>
      </c>
      <c r="O79" s="17" t="str">
        <f>'2.1. DM'!O79</f>
        <v>OT-010</v>
      </c>
      <c r="P79" s="36"/>
      <c r="Q79" s="20">
        <v>26.542323041506798</v>
      </c>
      <c r="R79" s="345">
        <f t="shared" ref="R79" si="8">AVERAGE(Q79:Q80)</f>
        <v>26.542323041506798</v>
      </c>
    </row>
    <row r="80" spans="2:18" x14ac:dyDescent="0.35">
      <c r="B80" s="17">
        <f>'2.1. DM'!B80</f>
        <v>70</v>
      </c>
      <c r="C80" s="17">
        <f>'2.1. DM'!C80</f>
        <v>46048</v>
      </c>
      <c r="D80" s="17" t="str">
        <f>'2.1. DM'!D80</f>
        <v>Genbank</v>
      </c>
      <c r="E80" s="17">
        <f>'2.1. DM'!E80</f>
        <v>28</v>
      </c>
      <c r="F80" s="17" t="str">
        <f>'2.1. DM'!F80</f>
        <v>F251759</v>
      </c>
      <c r="G80" s="17" t="str">
        <f>'2.1. DM'!G80</f>
        <v>CIAT-17482</v>
      </c>
      <c r="H80" s="17" t="str">
        <f>'2.1. DM'!H80</f>
        <v>Leucaena</v>
      </c>
      <c r="I80" s="17" t="str">
        <f>'2.1. DM'!I80</f>
        <v>leucocephala</v>
      </c>
      <c r="J80" s="17" t="str">
        <f>'2.1. DM'!J80</f>
        <v>Leucaena leucocephala</v>
      </c>
      <c r="K80" s="17" t="str">
        <f>'2.1. DM'!K80</f>
        <v>Fabaceae</v>
      </c>
      <c r="L80" s="17" t="str">
        <f>'2.1. DM'!L80</f>
        <v>Fabales</v>
      </c>
      <c r="M80" s="17" t="str">
        <f>'2.1. DM'!M80</f>
        <v>Tree</v>
      </c>
      <c r="N80" s="17" t="str">
        <f>'2.1. DM'!N80</f>
        <v>60,61, 62</v>
      </c>
      <c r="O80" s="17" t="str">
        <f>'2.1. DM'!O80</f>
        <v>OT-010</v>
      </c>
      <c r="P80" s="36"/>
      <c r="Q80" s="20">
        <v>26.542323041506798</v>
      </c>
      <c r="R80" s="345"/>
    </row>
    <row r="81" spans="2:18" x14ac:dyDescent="0.35">
      <c r="B81" s="17">
        <f>'2.1. DM'!B81</f>
        <v>71</v>
      </c>
      <c r="C81" s="17">
        <f>'2.1. DM'!C81</f>
        <v>46048</v>
      </c>
      <c r="D81" s="17" t="str">
        <f>'2.1. DM'!D81</f>
        <v>Genbank</v>
      </c>
      <c r="E81" s="17">
        <f>'2.1. DM'!E81</f>
        <v>28</v>
      </c>
      <c r="F81" s="17" t="str">
        <f>'2.1. DM'!F81</f>
        <v>F251760</v>
      </c>
      <c r="G81" s="17" t="str">
        <f>'2.1. DM'!G81</f>
        <v>CIAT-17502</v>
      </c>
      <c r="H81" s="17" t="str">
        <f>'2.1. DM'!H81</f>
        <v>Leucaena</v>
      </c>
      <c r="I81" s="17" t="str">
        <f>'2.1. DM'!I81</f>
        <v>leucocephala</v>
      </c>
      <c r="J81" s="17" t="str">
        <f>'2.1. DM'!J81</f>
        <v>Leucaena leucocephala</v>
      </c>
      <c r="K81" s="17" t="str">
        <f>'2.1. DM'!K81</f>
        <v>Fabaceae</v>
      </c>
      <c r="L81" s="17" t="str">
        <f>'2.1. DM'!L81</f>
        <v>Fabales</v>
      </c>
      <c r="M81" s="17" t="str">
        <f>'2.1. DM'!M81</f>
        <v>Tree</v>
      </c>
      <c r="N81" s="17" t="str">
        <f>'2.1. DM'!N81</f>
        <v>60,61, 62</v>
      </c>
      <c r="O81" s="17" t="str">
        <f>'2.1. DM'!O81</f>
        <v>OT-010</v>
      </c>
      <c r="P81" s="36"/>
      <c r="Q81" s="20">
        <v>28.859971347998314</v>
      </c>
      <c r="R81" s="345">
        <f t="shared" ref="R81" si="9">AVERAGE(Q81:Q82)</f>
        <v>28.859971347998314</v>
      </c>
    </row>
    <row r="82" spans="2:18" x14ac:dyDescent="0.35">
      <c r="B82" s="17">
        <f>'2.1. DM'!B82</f>
        <v>72</v>
      </c>
      <c r="C82" s="17">
        <f>'2.1. DM'!C82</f>
        <v>46048</v>
      </c>
      <c r="D82" s="17" t="str">
        <f>'2.1. DM'!D82</f>
        <v>Genbank</v>
      </c>
      <c r="E82" s="17">
        <f>'2.1. DM'!E82</f>
        <v>28</v>
      </c>
      <c r="F82" s="17" t="str">
        <f>'2.1. DM'!F82</f>
        <v>F251760</v>
      </c>
      <c r="G82" s="17" t="str">
        <f>'2.1. DM'!G82</f>
        <v>CIAT-17502</v>
      </c>
      <c r="H82" s="17" t="str">
        <f>'2.1. DM'!H82</f>
        <v>Leucaena</v>
      </c>
      <c r="I82" s="17" t="str">
        <f>'2.1. DM'!I82</f>
        <v>leucocephala</v>
      </c>
      <c r="J82" s="17" t="str">
        <f>'2.1. DM'!J82</f>
        <v>Leucaena leucocephala</v>
      </c>
      <c r="K82" s="17" t="str">
        <f>'2.1. DM'!K82</f>
        <v>Fabaceae</v>
      </c>
      <c r="L82" s="17" t="str">
        <f>'2.1. DM'!L82</f>
        <v>Fabales</v>
      </c>
      <c r="M82" s="17" t="str">
        <f>'2.1. DM'!M82</f>
        <v>Tree</v>
      </c>
      <c r="N82" s="17" t="str">
        <f>'2.1. DM'!N82</f>
        <v>60,61, 62</v>
      </c>
      <c r="O82" s="17" t="str">
        <f>'2.1. DM'!O82</f>
        <v>OT-010</v>
      </c>
      <c r="P82" s="36"/>
      <c r="Q82" s="20">
        <v>28.859971347998314</v>
      </c>
      <c r="R82" s="345"/>
    </row>
    <row r="83" spans="2:18" x14ac:dyDescent="0.35">
      <c r="B83" s="17">
        <f>'2.1. DM'!B83</f>
        <v>73</v>
      </c>
      <c r="C83" s="17">
        <f>'2.1. DM'!C83</f>
        <v>46048</v>
      </c>
      <c r="D83" s="17" t="str">
        <f>'2.1. DM'!D83</f>
        <v>Genbank</v>
      </c>
      <c r="E83" s="17">
        <f>'2.1. DM'!E83</f>
        <v>28</v>
      </c>
      <c r="F83" s="17" t="str">
        <f>'2.1. DM'!F83</f>
        <v>F251761</v>
      </c>
      <c r="G83" s="17" t="str">
        <f>'2.1. DM'!G83</f>
        <v>CIAT-19384</v>
      </c>
      <c r="H83" s="17" t="str">
        <f>'2.1. DM'!H83</f>
        <v>Prosopis</v>
      </c>
      <c r="I83" s="17" t="str">
        <f>'2.1. DM'!I83</f>
        <v>juliflora</v>
      </c>
      <c r="J83" s="17" t="str">
        <f>'2.1. DM'!J83</f>
        <v>Prosopis juliflora</v>
      </c>
      <c r="K83" s="17" t="str">
        <f>'2.1. DM'!K83</f>
        <v>Fabaceae</v>
      </c>
      <c r="L83" s="17" t="str">
        <f>'2.1. DM'!L83</f>
        <v>Fabales</v>
      </c>
      <c r="M83" s="17" t="str">
        <f>'2.1. DM'!M83</f>
        <v>Tree</v>
      </c>
      <c r="N83" s="17" t="str">
        <f>'2.1. DM'!N83</f>
        <v>60,61, 62</v>
      </c>
      <c r="O83" s="17" t="str">
        <f>'2.1. DM'!O83</f>
        <v>OT-010</v>
      </c>
      <c r="P83" s="36"/>
      <c r="Q83" s="20">
        <v>36.95492579631334</v>
      </c>
      <c r="R83" s="345">
        <f t="shared" ref="R83" si="10">AVERAGE(Q83:Q84)</f>
        <v>36.95492579631334</v>
      </c>
    </row>
    <row r="84" spans="2:18" x14ac:dyDescent="0.35">
      <c r="B84" s="17">
        <f>'2.1. DM'!B84</f>
        <v>74</v>
      </c>
      <c r="C84" s="17">
        <f>'2.1. DM'!C84</f>
        <v>46048</v>
      </c>
      <c r="D84" s="17" t="str">
        <f>'2.1. DM'!D84</f>
        <v>Genbank</v>
      </c>
      <c r="E84" s="17">
        <f>'2.1. DM'!E84</f>
        <v>28</v>
      </c>
      <c r="F84" s="17" t="str">
        <f>'2.1. DM'!F84</f>
        <v>F251761</v>
      </c>
      <c r="G84" s="17" t="str">
        <f>'2.1. DM'!G84</f>
        <v>CIAT-19384</v>
      </c>
      <c r="H84" s="17" t="str">
        <f>'2.1. DM'!H84</f>
        <v>Prosopis</v>
      </c>
      <c r="I84" s="17" t="str">
        <f>'2.1. DM'!I84</f>
        <v>juliflora</v>
      </c>
      <c r="J84" s="17" t="str">
        <f>'2.1. DM'!J84</f>
        <v>Prosopis juliflora</v>
      </c>
      <c r="K84" s="17" t="str">
        <f>'2.1. DM'!K84</f>
        <v>Fabaceae</v>
      </c>
      <c r="L84" s="17" t="str">
        <f>'2.1. DM'!L84</f>
        <v>Fabales</v>
      </c>
      <c r="M84" s="17" t="str">
        <f>'2.1. DM'!M84</f>
        <v>Tree</v>
      </c>
      <c r="N84" s="17" t="str">
        <f>'2.1. DM'!N84</f>
        <v>60,61, 62</v>
      </c>
      <c r="O84" s="17" t="str">
        <f>'2.1. DM'!O84</f>
        <v>OT-010</v>
      </c>
      <c r="P84" s="36"/>
      <c r="Q84" s="20">
        <v>36.95492579631334</v>
      </c>
      <c r="R84" s="345"/>
    </row>
    <row r="85" spans="2:18" x14ac:dyDescent="0.35">
      <c r="B85" s="17">
        <f>'2.1. DM'!B85</f>
        <v>75</v>
      </c>
      <c r="C85" s="17">
        <f>'2.1. DM'!C85</f>
        <v>46048</v>
      </c>
      <c r="D85" s="17" t="str">
        <f>'2.1. DM'!D85</f>
        <v>Genbank</v>
      </c>
      <c r="E85" s="17">
        <f>'2.1. DM'!E85</f>
        <v>28</v>
      </c>
      <c r="F85" s="17" t="str">
        <f>'2.1. DM'!F85</f>
        <v>F251762</v>
      </c>
      <c r="G85" s="17" t="str">
        <f>'2.1. DM'!G85</f>
        <v>CIAT-19571</v>
      </c>
      <c r="H85" s="17" t="str">
        <f>'2.1. DM'!H85</f>
        <v>Senna</v>
      </c>
      <c r="I85" s="17" t="str">
        <f>'2.1. DM'!I85</f>
        <v>cobanensis</v>
      </c>
      <c r="J85" s="17" t="str">
        <f>'2.1. DM'!J85</f>
        <v>Senna cobanensis</v>
      </c>
      <c r="K85" s="17" t="str">
        <f>'2.1. DM'!K85</f>
        <v>Fabaceae</v>
      </c>
      <c r="L85" s="17" t="str">
        <f>'2.1. DM'!L85</f>
        <v>Fabales</v>
      </c>
      <c r="M85" s="17" t="str">
        <f>'2.1. DM'!M85</f>
        <v>Tree</v>
      </c>
      <c r="N85" s="17" t="str">
        <f>'2.1. DM'!N85</f>
        <v>60,61, 62</v>
      </c>
      <c r="O85" s="17" t="str">
        <f>'2.1. DM'!O85</f>
        <v>OT-010</v>
      </c>
      <c r="P85" s="36"/>
      <c r="Q85" s="20">
        <v>23.200972853253763</v>
      </c>
      <c r="R85" s="345">
        <f t="shared" ref="R85" si="11">AVERAGE(Q85:Q86)</f>
        <v>23.200972853253763</v>
      </c>
    </row>
    <row r="86" spans="2:18" x14ac:dyDescent="0.35">
      <c r="B86" s="17">
        <f>'2.1. DM'!B86</f>
        <v>76</v>
      </c>
      <c r="C86" s="17">
        <f>'2.1. DM'!C86</f>
        <v>46048</v>
      </c>
      <c r="D86" s="17" t="str">
        <f>'2.1. DM'!D86</f>
        <v>Genbank</v>
      </c>
      <c r="E86" s="17">
        <f>'2.1. DM'!E86</f>
        <v>28</v>
      </c>
      <c r="F86" s="17" t="str">
        <f>'2.1. DM'!F86</f>
        <v>F251762</v>
      </c>
      <c r="G86" s="17" t="str">
        <f>'2.1. DM'!G86</f>
        <v>CIAT-19571</v>
      </c>
      <c r="H86" s="17" t="str">
        <f>'2.1. DM'!H86</f>
        <v>Senna</v>
      </c>
      <c r="I86" s="17" t="str">
        <f>'2.1. DM'!I86</f>
        <v>cobanensis</v>
      </c>
      <c r="J86" s="17" t="str">
        <f>'2.1. DM'!J86</f>
        <v>Senna cobanensis</v>
      </c>
      <c r="K86" s="17" t="str">
        <f>'2.1. DM'!K86</f>
        <v>Fabaceae</v>
      </c>
      <c r="L86" s="17" t="str">
        <f>'2.1. DM'!L86</f>
        <v>Fabales</v>
      </c>
      <c r="M86" s="17" t="str">
        <f>'2.1. DM'!M86</f>
        <v>Tree</v>
      </c>
      <c r="N86" s="17" t="str">
        <f>'2.1. DM'!N86</f>
        <v>60,61, 62</v>
      </c>
      <c r="O86" s="17" t="str">
        <f>'2.1. DM'!O86</f>
        <v>OT-010</v>
      </c>
      <c r="P86" s="36"/>
      <c r="Q86" s="20">
        <v>23.200972853253763</v>
      </c>
      <c r="R86" s="345"/>
    </row>
    <row r="87" spans="2:18" x14ac:dyDescent="0.35">
      <c r="B87" s="17">
        <f>'2.1. DM'!B87</f>
        <v>77</v>
      </c>
      <c r="C87" s="17">
        <f>'2.1. DM'!C87</f>
        <v>46048</v>
      </c>
      <c r="D87" s="17" t="str">
        <f>'2.1. DM'!D87</f>
        <v>Genbank</v>
      </c>
      <c r="E87" s="17">
        <f>'2.1. DM'!E87</f>
        <v>28</v>
      </c>
      <c r="F87" s="17" t="str">
        <f>'2.1. DM'!F87</f>
        <v>F251763</v>
      </c>
      <c r="G87" s="17" t="str">
        <f>'2.1. DM'!G87</f>
        <v>CIAT-20126</v>
      </c>
      <c r="H87" s="17" t="str">
        <f>'2.1. DM'!H87</f>
        <v>Acacia</v>
      </c>
      <c r="I87" s="17" t="str">
        <f>'2.1. DM'!I87</f>
        <v>angustissima</v>
      </c>
      <c r="J87" s="17" t="str">
        <f>'2.1. DM'!J87</f>
        <v>Acacia angustissima</v>
      </c>
      <c r="K87" s="17" t="str">
        <f>'2.1. DM'!K87</f>
        <v>Fabaceae</v>
      </c>
      <c r="L87" s="17" t="str">
        <f>'2.1. DM'!L87</f>
        <v>Fabales</v>
      </c>
      <c r="M87" s="17" t="str">
        <f>'2.1. DM'!M87</f>
        <v>Tree</v>
      </c>
      <c r="N87" s="17" t="str">
        <f>'2.1. DM'!N87</f>
        <v>60,61, 62</v>
      </c>
      <c r="O87" s="17" t="str">
        <f>'2.1. DM'!O87</f>
        <v>OT-010</v>
      </c>
      <c r="P87" s="36"/>
      <c r="Q87" s="20">
        <v>29.90215547495993</v>
      </c>
      <c r="R87" s="345">
        <f t="shared" ref="R87" si="12">AVERAGE(Q87:Q88)</f>
        <v>29.90215547495993</v>
      </c>
    </row>
    <row r="88" spans="2:18" x14ac:dyDescent="0.35">
      <c r="B88" s="17">
        <f>'2.1. DM'!B88</f>
        <v>78</v>
      </c>
      <c r="C88" s="17">
        <f>'2.1. DM'!C88</f>
        <v>46048</v>
      </c>
      <c r="D88" s="17" t="str">
        <f>'2.1. DM'!D88</f>
        <v>Genbank</v>
      </c>
      <c r="E88" s="17">
        <f>'2.1. DM'!E88</f>
        <v>28</v>
      </c>
      <c r="F88" s="17" t="str">
        <f>'2.1. DM'!F88</f>
        <v>F251763</v>
      </c>
      <c r="G88" s="17" t="str">
        <f>'2.1. DM'!G88</f>
        <v>CIAT-20126</v>
      </c>
      <c r="H88" s="17" t="str">
        <f>'2.1. DM'!H88</f>
        <v>Acacia</v>
      </c>
      <c r="I88" s="17" t="str">
        <f>'2.1. DM'!I88</f>
        <v>angustissima</v>
      </c>
      <c r="J88" s="17" t="str">
        <f>'2.1. DM'!J88</f>
        <v>Acacia angustissima</v>
      </c>
      <c r="K88" s="17" t="str">
        <f>'2.1. DM'!K88</f>
        <v>Fabaceae</v>
      </c>
      <c r="L88" s="17" t="str">
        <f>'2.1. DM'!L88</f>
        <v>Fabales</v>
      </c>
      <c r="M88" s="17" t="str">
        <f>'2.1. DM'!M88</f>
        <v>Tree</v>
      </c>
      <c r="N88" s="17" t="str">
        <f>'2.1. DM'!N88</f>
        <v>60,61, 62</v>
      </c>
      <c r="O88" s="17" t="str">
        <f>'2.1. DM'!O88</f>
        <v>OT-010</v>
      </c>
      <c r="P88" s="36"/>
      <c r="Q88" s="20">
        <v>29.90215547495993</v>
      </c>
      <c r="R88" s="345"/>
    </row>
    <row r="89" spans="2:18" x14ac:dyDescent="0.35">
      <c r="B89" s="17">
        <f>'2.1. DM'!B89</f>
        <v>79</v>
      </c>
      <c r="C89" s="17">
        <f>'2.1. DM'!C89</f>
        <v>46048</v>
      </c>
      <c r="D89" s="17" t="str">
        <f>'2.1. DM'!D89</f>
        <v>Genbank</v>
      </c>
      <c r="E89" s="17">
        <f>'2.1. DM'!E89</f>
        <v>28</v>
      </c>
      <c r="F89" s="17" t="str">
        <f>'2.1. DM'!F89</f>
        <v>F251764</v>
      </c>
      <c r="G89" s="17" t="str">
        <f>'2.1. DM'!G89</f>
        <v>CIAT-20788</v>
      </c>
      <c r="H89" s="17" t="str">
        <f>'2.1. DM'!H89</f>
        <v>Senna</v>
      </c>
      <c r="I89" s="17" t="str">
        <f>'2.1. DM'!I89</f>
        <v>pallida</v>
      </c>
      <c r="J89" s="17" t="str">
        <f>'2.1. DM'!J89</f>
        <v>Senna pallida</v>
      </c>
      <c r="K89" s="17" t="str">
        <f>'2.1. DM'!K89</f>
        <v>Fabaceae</v>
      </c>
      <c r="L89" s="17" t="str">
        <f>'2.1. DM'!L89</f>
        <v>Fabales</v>
      </c>
      <c r="M89" s="17" t="str">
        <f>'2.1. DM'!M89</f>
        <v>Tree</v>
      </c>
      <c r="N89" s="17" t="str">
        <f>'2.1. DM'!N89</f>
        <v>60,61, 62</v>
      </c>
      <c r="O89" s="17" t="str">
        <f>'2.1. DM'!O89</f>
        <v>OT-010</v>
      </c>
      <c r="P89" s="36"/>
      <c r="Q89" s="20">
        <v>24.302493202405671</v>
      </c>
      <c r="R89" s="345">
        <f t="shared" ref="R89" si="13">AVERAGE(Q89:Q90)</f>
        <v>24.302493202405671</v>
      </c>
    </row>
    <row r="90" spans="2:18" x14ac:dyDescent="0.35">
      <c r="B90" s="17">
        <f>'2.1. DM'!B90</f>
        <v>80</v>
      </c>
      <c r="C90" s="17">
        <f>'2.1. DM'!C90</f>
        <v>46048</v>
      </c>
      <c r="D90" s="17" t="str">
        <f>'2.1. DM'!D90</f>
        <v>Genbank</v>
      </c>
      <c r="E90" s="17">
        <f>'2.1. DM'!E90</f>
        <v>28</v>
      </c>
      <c r="F90" s="17" t="str">
        <f>'2.1. DM'!F90</f>
        <v>F251764</v>
      </c>
      <c r="G90" s="17" t="str">
        <f>'2.1. DM'!G90</f>
        <v>CIAT-20788</v>
      </c>
      <c r="H90" s="17" t="str">
        <f>'2.1. DM'!H90</f>
        <v>Senna</v>
      </c>
      <c r="I90" s="17" t="str">
        <f>'2.1. DM'!I90</f>
        <v>pallida</v>
      </c>
      <c r="J90" s="17" t="str">
        <f>'2.1. DM'!J90</f>
        <v>Senna pallida</v>
      </c>
      <c r="K90" s="17" t="str">
        <f>'2.1. DM'!K90</f>
        <v>Fabaceae</v>
      </c>
      <c r="L90" s="17" t="str">
        <f>'2.1. DM'!L90</f>
        <v>Fabales</v>
      </c>
      <c r="M90" s="17" t="str">
        <f>'2.1. DM'!M90</f>
        <v>Tree</v>
      </c>
      <c r="N90" s="17" t="str">
        <f>'2.1. DM'!N90</f>
        <v>60,61, 62</v>
      </c>
      <c r="O90" s="17" t="str">
        <f>'2.1. DM'!O90</f>
        <v>OT-010</v>
      </c>
      <c r="P90" s="36"/>
      <c r="Q90" s="20">
        <v>24.302493202405671</v>
      </c>
      <c r="R90" s="345"/>
    </row>
    <row r="91" spans="2:18" x14ac:dyDescent="0.35">
      <c r="B91" s="17">
        <f>'2.1. DM'!B91</f>
        <v>81</v>
      </c>
      <c r="C91" s="17">
        <f>'2.1. DM'!C91</f>
        <v>46048</v>
      </c>
      <c r="D91" s="17" t="str">
        <f>'2.1. DM'!D91</f>
        <v>Genbank</v>
      </c>
      <c r="E91" s="17">
        <f>'2.1. DM'!E91</f>
        <v>28</v>
      </c>
      <c r="F91" s="17" t="str">
        <f>'2.1. DM'!F91</f>
        <v>F251765</v>
      </c>
      <c r="G91" s="17" t="str">
        <f>'2.1. DM'!G91</f>
        <v>CIAT-21242</v>
      </c>
      <c r="H91" s="17" t="str">
        <f>'2.1. DM'!H91</f>
        <v>Leucaena</v>
      </c>
      <c r="I91" s="17" t="str">
        <f>'2.1. DM'!I91</f>
        <v>diversifolia</v>
      </c>
      <c r="J91" s="17" t="str">
        <f>'2.1. DM'!J91</f>
        <v>Leucaena diversifolia</v>
      </c>
      <c r="K91" s="17" t="str">
        <f>'2.1. DM'!K91</f>
        <v>Fabaceae</v>
      </c>
      <c r="L91" s="17" t="str">
        <f>'2.1. DM'!L91</f>
        <v>Fabales</v>
      </c>
      <c r="M91" s="17" t="str">
        <f>'2.1. DM'!M91</f>
        <v>Tree</v>
      </c>
      <c r="N91" s="17" t="str">
        <f>'2.1. DM'!N91</f>
        <v>60,61, 62</v>
      </c>
      <c r="O91" s="17" t="str">
        <f>'2.1. DM'!O91</f>
        <v>OT-010</v>
      </c>
      <c r="P91" s="36"/>
      <c r="Q91" s="20">
        <v>23.275835301403752</v>
      </c>
      <c r="R91" s="345">
        <f t="shared" ref="R91" si="14">AVERAGE(Q91:Q92)</f>
        <v>23.275835301403752</v>
      </c>
    </row>
    <row r="92" spans="2:18" x14ac:dyDescent="0.35">
      <c r="B92" s="17">
        <f>'2.1. DM'!B92</f>
        <v>82</v>
      </c>
      <c r="C92" s="17">
        <f>'2.1. DM'!C92</f>
        <v>46048</v>
      </c>
      <c r="D92" s="17" t="str">
        <f>'2.1. DM'!D92</f>
        <v>Genbank</v>
      </c>
      <c r="E92" s="17">
        <f>'2.1. DM'!E92</f>
        <v>28</v>
      </c>
      <c r="F92" s="17" t="str">
        <f>'2.1. DM'!F92</f>
        <v>F251765</v>
      </c>
      <c r="G92" s="17" t="str">
        <f>'2.1. DM'!G92</f>
        <v>CIAT-21242</v>
      </c>
      <c r="H92" s="17" t="str">
        <f>'2.1. DM'!H92</f>
        <v>Leucaena</v>
      </c>
      <c r="I92" s="17" t="str">
        <f>'2.1. DM'!I92</f>
        <v>diversifolia</v>
      </c>
      <c r="J92" s="17" t="str">
        <f>'2.1. DM'!J92</f>
        <v>Leucaena diversifolia</v>
      </c>
      <c r="K92" s="17" t="str">
        <f>'2.1. DM'!K92</f>
        <v>Fabaceae</v>
      </c>
      <c r="L92" s="17" t="str">
        <f>'2.1. DM'!L92</f>
        <v>Fabales</v>
      </c>
      <c r="M92" s="17" t="str">
        <f>'2.1. DM'!M92</f>
        <v>Tree</v>
      </c>
      <c r="N92" s="17" t="str">
        <f>'2.1. DM'!N92</f>
        <v>60,61, 62</v>
      </c>
      <c r="O92" s="17" t="str">
        <f>'2.1. DM'!O92</f>
        <v>OT-010</v>
      </c>
      <c r="P92" s="36"/>
      <c r="Q92" s="20">
        <v>23.275835301403752</v>
      </c>
      <c r="R92" s="345"/>
    </row>
    <row r="93" spans="2:18" x14ac:dyDescent="0.35">
      <c r="B93" s="17">
        <f>'2.1. DM'!B93</f>
        <v>83</v>
      </c>
      <c r="C93" s="17">
        <f>'2.1. DM'!C93</f>
        <v>46048</v>
      </c>
      <c r="D93" s="17" t="str">
        <f>'2.1. DM'!D93</f>
        <v>Genbank</v>
      </c>
      <c r="E93" s="17">
        <f>'2.1. DM'!E93</f>
        <v>28</v>
      </c>
      <c r="F93" s="17" t="str">
        <f>'2.1. DM'!F93</f>
        <v>F251766</v>
      </c>
      <c r="G93" s="17" t="str">
        <f>'2.1. DM'!G93</f>
        <v>CIAT-21512</v>
      </c>
      <c r="H93" s="17" t="str">
        <f>'2.1. DM'!H93</f>
        <v>Calliandra</v>
      </c>
      <c r="I93" s="17" t="str">
        <f>'2.1. DM'!I93</f>
        <v>calothyrsus</v>
      </c>
      <c r="J93" s="17" t="str">
        <f>'2.1. DM'!J93</f>
        <v>Calliandra calothyrsus</v>
      </c>
      <c r="K93" s="17" t="str">
        <f>'2.1. DM'!K93</f>
        <v>Fabaceae</v>
      </c>
      <c r="L93" s="17" t="str">
        <f>'2.1. DM'!L93</f>
        <v>Fabales</v>
      </c>
      <c r="M93" s="17" t="str">
        <f>'2.1. DM'!M93</f>
        <v>Tree</v>
      </c>
      <c r="N93" s="17" t="str">
        <f>'2.1. DM'!N93</f>
        <v>60,61, 62</v>
      </c>
      <c r="O93" s="17" t="str">
        <f>'2.1. DM'!O93</f>
        <v>OT-010</v>
      </c>
      <c r="P93" s="36"/>
      <c r="Q93" s="20">
        <v>24.069321644433145</v>
      </c>
      <c r="R93" s="345">
        <f t="shared" ref="R93" si="15">AVERAGE(Q93:Q94)</f>
        <v>24.069321644433145</v>
      </c>
    </row>
    <row r="94" spans="2:18" x14ac:dyDescent="0.35">
      <c r="B94" s="17">
        <f>'2.1. DM'!B94</f>
        <v>84</v>
      </c>
      <c r="C94" s="17">
        <f>'2.1. DM'!C94</f>
        <v>46048</v>
      </c>
      <c r="D94" s="17" t="str">
        <f>'2.1. DM'!D94</f>
        <v>Genbank</v>
      </c>
      <c r="E94" s="17">
        <f>'2.1. DM'!E94</f>
        <v>28</v>
      </c>
      <c r="F94" s="17" t="str">
        <f>'2.1. DM'!F94</f>
        <v>F251766</v>
      </c>
      <c r="G94" s="17" t="str">
        <f>'2.1. DM'!G94</f>
        <v>CIAT-21512</v>
      </c>
      <c r="H94" s="17" t="str">
        <f>'2.1. DM'!H94</f>
        <v>Calliandra</v>
      </c>
      <c r="I94" s="17" t="str">
        <f>'2.1. DM'!I94</f>
        <v>calothyrsus</v>
      </c>
      <c r="J94" s="17" t="str">
        <f>'2.1. DM'!J94</f>
        <v>Calliandra calothyrsus</v>
      </c>
      <c r="K94" s="17" t="str">
        <f>'2.1. DM'!K94</f>
        <v>Fabaceae</v>
      </c>
      <c r="L94" s="17" t="str">
        <f>'2.1. DM'!L94</f>
        <v>Fabales</v>
      </c>
      <c r="M94" s="17" t="str">
        <f>'2.1. DM'!M94</f>
        <v>Tree</v>
      </c>
      <c r="N94" s="17" t="str">
        <f>'2.1. DM'!N94</f>
        <v>60,61, 62</v>
      </c>
      <c r="O94" s="17" t="str">
        <f>'2.1. DM'!O94</f>
        <v>OT-010</v>
      </c>
      <c r="P94" s="36"/>
      <c r="Q94" s="20">
        <v>24.069321644433145</v>
      </c>
      <c r="R94" s="345"/>
    </row>
    <row r="95" spans="2:18" x14ac:dyDescent="0.35">
      <c r="B95" s="17">
        <f>'2.1. DM'!B95</f>
        <v>85</v>
      </c>
      <c r="C95" s="17">
        <f>'2.1. DM'!C95</f>
        <v>46048</v>
      </c>
      <c r="D95" s="17" t="str">
        <f>'2.1. DM'!D95</f>
        <v>Genbank</v>
      </c>
      <c r="E95" s="17">
        <f>'2.1. DM'!E95</f>
        <v>28</v>
      </c>
      <c r="F95" s="17" t="str">
        <f>'2.1. DM'!F95</f>
        <v>F251767</v>
      </c>
      <c r="G95" s="17" t="str">
        <f>'2.1. DM'!G95</f>
        <v>CIAT-21601</v>
      </c>
      <c r="H95" s="17" t="str">
        <f>'2.1. DM'!H95</f>
        <v>Erythrina</v>
      </c>
      <c r="I95" s="17" t="str">
        <f>'2.1. DM'!I95</f>
        <v>fusca</v>
      </c>
      <c r="J95" s="17" t="str">
        <f>'2.1. DM'!J95</f>
        <v>Erythrina fusca</v>
      </c>
      <c r="K95" s="17" t="str">
        <f>'2.1. DM'!K95</f>
        <v>Fabaceae</v>
      </c>
      <c r="L95" s="17" t="str">
        <f>'2.1. DM'!L95</f>
        <v>Fabales</v>
      </c>
      <c r="M95" s="17" t="str">
        <f>'2.1. DM'!M95</f>
        <v>Tree</v>
      </c>
      <c r="N95" s="17" t="str">
        <f>'2.1. DM'!N95</f>
        <v>60,61, 62</v>
      </c>
      <c r="O95" s="17" t="str">
        <f>'2.1. DM'!O95</f>
        <v>OT-010</v>
      </c>
      <c r="P95" s="36"/>
      <c r="Q95" s="20">
        <v>23.751605611660302</v>
      </c>
      <c r="R95" s="345">
        <f t="shared" ref="R95" si="16">AVERAGE(Q95:Q96)</f>
        <v>23.410848588713336</v>
      </c>
    </row>
    <row r="96" spans="2:18" x14ac:dyDescent="0.35">
      <c r="B96" s="17">
        <f>'2.1. DM'!B96</f>
        <v>86</v>
      </c>
      <c r="C96" s="17">
        <f>'2.1. DM'!C96</f>
        <v>46048</v>
      </c>
      <c r="D96" s="17" t="str">
        <f>'2.1. DM'!D96</f>
        <v>Genbank</v>
      </c>
      <c r="E96" s="17">
        <f>'2.1. DM'!E96</f>
        <v>28</v>
      </c>
      <c r="F96" s="17" t="str">
        <f>'2.1. DM'!F96</f>
        <v>F251767</v>
      </c>
      <c r="G96" s="17" t="str">
        <f>'2.1. DM'!G96</f>
        <v>CIAT-21601</v>
      </c>
      <c r="H96" s="17" t="str">
        <f>'2.1. DM'!H96</f>
        <v>Erythrina</v>
      </c>
      <c r="I96" s="17" t="str">
        <f>'2.1. DM'!I96</f>
        <v>fusca</v>
      </c>
      <c r="J96" s="17" t="str">
        <f>'2.1. DM'!J96</f>
        <v>Erythrina fusca</v>
      </c>
      <c r="K96" s="17" t="str">
        <f>'2.1. DM'!K96</f>
        <v>Fabaceae</v>
      </c>
      <c r="L96" s="17" t="str">
        <f>'2.1. DM'!L96</f>
        <v>Fabales</v>
      </c>
      <c r="M96" s="17" t="str">
        <f>'2.1. DM'!M96</f>
        <v>Tree</v>
      </c>
      <c r="N96" s="17" t="str">
        <f>'2.1. DM'!N96</f>
        <v>60,61, 62</v>
      </c>
      <c r="O96" s="17" t="str">
        <f>'2.1. DM'!O96</f>
        <v>OT-010</v>
      </c>
      <c r="P96" s="36"/>
      <c r="Q96" s="20">
        <v>23.070091565766372</v>
      </c>
      <c r="R96" s="345"/>
    </row>
    <row r="97" spans="2:18" x14ac:dyDescent="0.35">
      <c r="B97" s="17">
        <f>'2.1. DM'!B97</f>
        <v>87</v>
      </c>
      <c r="C97" s="17">
        <f>'2.1. DM'!C97</f>
        <v>46048</v>
      </c>
      <c r="D97" s="17" t="str">
        <f>'2.1. DM'!D97</f>
        <v>Genbank</v>
      </c>
      <c r="E97" s="17">
        <f>'2.1. DM'!E97</f>
        <v>28</v>
      </c>
      <c r="F97" s="17" t="str">
        <f>'2.1. DM'!F97</f>
        <v>F251768</v>
      </c>
      <c r="G97" s="17" t="str">
        <f>'2.1. DM'!G97</f>
        <v>CIAT-21809</v>
      </c>
      <c r="H97" s="17" t="str">
        <f>'2.1. DM'!H97</f>
        <v>Acacia</v>
      </c>
      <c r="I97" s="17" t="str">
        <f>'2.1. DM'!I97</f>
        <v>farnesiana</v>
      </c>
      <c r="J97" s="17" t="str">
        <f>'2.1. DM'!J97</f>
        <v>Acacia farnesiana</v>
      </c>
      <c r="K97" s="17" t="str">
        <f>'2.1. DM'!K97</f>
        <v>Fabaceae</v>
      </c>
      <c r="L97" s="17" t="str">
        <f>'2.1. DM'!L97</f>
        <v>Fabales</v>
      </c>
      <c r="M97" s="17" t="str">
        <f>'2.1. DM'!M97</f>
        <v>Tree</v>
      </c>
      <c r="N97" s="17" t="str">
        <f>'2.1. DM'!N97</f>
        <v>60,61, 62</v>
      </c>
      <c r="O97" s="17" t="str">
        <f>'2.1. DM'!O97</f>
        <v>OT-010</v>
      </c>
      <c r="P97" s="36"/>
      <c r="Q97" s="20">
        <v>31.000656289562979</v>
      </c>
      <c r="R97" s="345">
        <f t="shared" ref="R97" si="17">AVERAGE(Q97:Q98)</f>
        <v>31.000656289562979</v>
      </c>
    </row>
    <row r="98" spans="2:18" x14ac:dyDescent="0.35">
      <c r="B98" s="17">
        <f>'2.1. DM'!B98</f>
        <v>88</v>
      </c>
      <c r="C98" s="17">
        <f>'2.1. DM'!C98</f>
        <v>46048</v>
      </c>
      <c r="D98" s="17" t="str">
        <f>'2.1. DM'!D98</f>
        <v>Genbank</v>
      </c>
      <c r="E98" s="17">
        <f>'2.1. DM'!E98</f>
        <v>28</v>
      </c>
      <c r="F98" s="17" t="str">
        <f>'2.1. DM'!F98</f>
        <v>F251768</v>
      </c>
      <c r="G98" s="17" t="str">
        <f>'2.1. DM'!G98</f>
        <v>CIAT-21809</v>
      </c>
      <c r="H98" s="17" t="str">
        <f>'2.1. DM'!H98</f>
        <v>Acacia</v>
      </c>
      <c r="I98" s="17" t="str">
        <f>'2.1. DM'!I98</f>
        <v>farnesiana</v>
      </c>
      <c r="J98" s="17" t="str">
        <f>'2.1. DM'!J98</f>
        <v>Acacia farnesiana</v>
      </c>
      <c r="K98" s="17" t="str">
        <f>'2.1. DM'!K98</f>
        <v>Fabaceae</v>
      </c>
      <c r="L98" s="17" t="str">
        <f>'2.1. DM'!L98</f>
        <v>Fabales</v>
      </c>
      <c r="M98" s="17" t="str">
        <f>'2.1. DM'!M98</f>
        <v>Tree</v>
      </c>
      <c r="N98" s="17" t="str">
        <f>'2.1. DM'!N98</f>
        <v>60,61, 62</v>
      </c>
      <c r="O98" s="17" t="str">
        <f>'2.1. DM'!O98</f>
        <v>OT-010</v>
      </c>
      <c r="P98" s="36"/>
      <c r="Q98" s="20">
        <v>31.000656289562979</v>
      </c>
      <c r="R98" s="345"/>
    </row>
    <row r="99" spans="2:18" x14ac:dyDescent="0.35">
      <c r="B99" s="17">
        <f>'2.1. DM'!B99</f>
        <v>89</v>
      </c>
      <c r="C99" s="17">
        <f>'2.1. DM'!C99</f>
        <v>46048</v>
      </c>
      <c r="D99" s="17" t="str">
        <f>'2.1. DM'!D99</f>
        <v>Genbank</v>
      </c>
      <c r="E99" s="17">
        <f>'2.1. DM'!E99</f>
        <v>28</v>
      </c>
      <c r="F99" s="17" t="str">
        <f>'2.1. DM'!F99</f>
        <v>F251769</v>
      </c>
      <c r="G99" s="17" t="str">
        <f>'2.1. DM'!G99</f>
        <v>CIAT-21810</v>
      </c>
      <c r="H99" s="17" t="str">
        <f>'2.1. DM'!H99</f>
        <v>Acacia</v>
      </c>
      <c r="I99" s="17" t="str">
        <f>'2.1. DM'!I99</f>
        <v>angustissima</v>
      </c>
      <c r="J99" s="17" t="str">
        <f>'2.1. DM'!J99</f>
        <v>Acacia angustissima</v>
      </c>
      <c r="K99" s="17" t="str">
        <f>'2.1. DM'!K99</f>
        <v>Fabaceae</v>
      </c>
      <c r="L99" s="17" t="str">
        <f>'2.1. DM'!L99</f>
        <v>Fabales</v>
      </c>
      <c r="M99" s="17" t="str">
        <f>'2.1. DM'!M99</f>
        <v>Tree</v>
      </c>
      <c r="N99" s="17" t="str">
        <f>'2.1. DM'!N99</f>
        <v>60,61, 62</v>
      </c>
      <c r="O99" s="17" t="str">
        <f>'2.1. DM'!O99</f>
        <v>OT-010</v>
      </c>
      <c r="P99" s="36"/>
      <c r="Q99" s="20">
        <v>31.663939854461496</v>
      </c>
      <c r="R99" s="345">
        <f t="shared" ref="R99" si="18">AVERAGE(Q99:Q100)</f>
        <v>31.663939854461496</v>
      </c>
    </row>
    <row r="100" spans="2:18" x14ac:dyDescent="0.35">
      <c r="B100" s="17">
        <f>'2.1. DM'!B100</f>
        <v>90</v>
      </c>
      <c r="C100" s="17">
        <f>'2.1. DM'!C100</f>
        <v>46048</v>
      </c>
      <c r="D100" s="17" t="str">
        <f>'2.1. DM'!D100</f>
        <v>Genbank</v>
      </c>
      <c r="E100" s="17">
        <f>'2.1. DM'!E100</f>
        <v>28</v>
      </c>
      <c r="F100" s="17" t="str">
        <f>'2.1. DM'!F100</f>
        <v>F251769</v>
      </c>
      <c r="G100" s="17" t="str">
        <f>'2.1. DM'!G100</f>
        <v>CIAT-21810</v>
      </c>
      <c r="H100" s="17" t="str">
        <f>'2.1. DM'!H100</f>
        <v>Acacia</v>
      </c>
      <c r="I100" s="17" t="str">
        <f>'2.1. DM'!I100</f>
        <v>angustissima</v>
      </c>
      <c r="J100" s="17" t="str">
        <f>'2.1. DM'!J100</f>
        <v>Acacia angustissima</v>
      </c>
      <c r="K100" s="17" t="str">
        <f>'2.1. DM'!K100</f>
        <v>Fabaceae</v>
      </c>
      <c r="L100" s="17" t="str">
        <f>'2.1. DM'!L100</f>
        <v>Fabales</v>
      </c>
      <c r="M100" s="17" t="str">
        <f>'2.1. DM'!M100</f>
        <v>Tree</v>
      </c>
      <c r="N100" s="17" t="str">
        <f>'2.1. DM'!N100</f>
        <v>60,61, 62</v>
      </c>
      <c r="O100" s="17" t="str">
        <f>'2.1. DM'!O100</f>
        <v>OT-010</v>
      </c>
      <c r="P100" s="36"/>
      <c r="Q100" s="20">
        <v>31.663939854461496</v>
      </c>
      <c r="R100" s="345"/>
    </row>
    <row r="101" spans="2:18" x14ac:dyDescent="0.35">
      <c r="B101" s="17">
        <f>'2.1. DM'!B101</f>
        <v>91</v>
      </c>
      <c r="C101" s="17">
        <f>'2.1. DM'!C101</f>
        <v>46048</v>
      </c>
      <c r="D101" s="17" t="str">
        <f>'2.1. DM'!D101</f>
        <v>Genbank</v>
      </c>
      <c r="E101" s="17">
        <f>'2.1. DM'!E101</f>
        <v>28</v>
      </c>
      <c r="F101" s="17" t="str">
        <f>'2.1. DM'!F101</f>
        <v>F251770</v>
      </c>
      <c r="G101" s="17" t="str">
        <f>'2.1. DM'!G101</f>
        <v>CIAT-21888</v>
      </c>
      <c r="H101" s="17" t="str">
        <f>'2.1. DM'!H101</f>
        <v>Leucaena</v>
      </c>
      <c r="I101" s="17" t="str">
        <f>'2.1. DM'!I101</f>
        <v>leucocephala</v>
      </c>
      <c r="J101" s="17" t="str">
        <f>'2.1. DM'!J101</f>
        <v>Leucaena leucocephala</v>
      </c>
      <c r="K101" s="17" t="str">
        <f>'2.1. DM'!K101</f>
        <v>Fabaceae</v>
      </c>
      <c r="L101" s="17" t="str">
        <f>'2.1. DM'!L101</f>
        <v>Fabales</v>
      </c>
      <c r="M101" s="17" t="str">
        <f>'2.1. DM'!M101</f>
        <v>Tree</v>
      </c>
      <c r="N101" s="17" t="str">
        <f>'2.1. DM'!N101</f>
        <v>60,61, 62</v>
      </c>
      <c r="O101" s="17" t="str">
        <f>'2.1. DM'!O101</f>
        <v>OT-010</v>
      </c>
      <c r="P101" s="10"/>
      <c r="Q101" s="20">
        <v>29.904588346217004</v>
      </c>
      <c r="R101" s="345">
        <f t="shared" ref="R101" si="19">AVERAGE(Q101:Q102)</f>
        <v>29.904588346217004</v>
      </c>
    </row>
    <row r="102" spans="2:18" x14ac:dyDescent="0.35">
      <c r="B102" s="17">
        <f>'2.1. DM'!B102</f>
        <v>92</v>
      </c>
      <c r="C102" s="17">
        <f>'2.1. DM'!C102</f>
        <v>46048</v>
      </c>
      <c r="D102" s="17" t="str">
        <f>'2.1. DM'!D102</f>
        <v>Genbank</v>
      </c>
      <c r="E102" s="17">
        <f>'2.1. DM'!E102</f>
        <v>28</v>
      </c>
      <c r="F102" s="17" t="str">
        <f>'2.1. DM'!F102</f>
        <v>F251770</v>
      </c>
      <c r="G102" s="17" t="str">
        <f>'2.1. DM'!G102</f>
        <v>CIAT-21888</v>
      </c>
      <c r="H102" s="17" t="str">
        <f>'2.1. DM'!H102</f>
        <v>Leucaena</v>
      </c>
      <c r="I102" s="17" t="str">
        <f>'2.1. DM'!I102</f>
        <v>leucocephala</v>
      </c>
      <c r="J102" s="17" t="str">
        <f>'2.1. DM'!J102</f>
        <v>Leucaena leucocephala</v>
      </c>
      <c r="K102" s="17" t="str">
        <f>'2.1. DM'!K102</f>
        <v>Fabaceae</v>
      </c>
      <c r="L102" s="17" t="str">
        <f>'2.1. DM'!L102</f>
        <v>Fabales</v>
      </c>
      <c r="M102" s="17" t="str">
        <f>'2.1. DM'!M102</f>
        <v>Tree</v>
      </c>
      <c r="N102" s="17" t="str">
        <f>'2.1. DM'!N102</f>
        <v>60,61, 62</v>
      </c>
      <c r="O102" s="17" t="str">
        <f>'2.1. DM'!O102</f>
        <v>OT-010</v>
      </c>
      <c r="P102" s="10"/>
      <c r="Q102" s="20">
        <v>29.904588346217004</v>
      </c>
      <c r="R102" s="345"/>
    </row>
    <row r="103" spans="2:18" x14ac:dyDescent="0.35">
      <c r="B103" s="17">
        <f>'2.1. DM'!B103</f>
        <v>93</v>
      </c>
      <c r="C103" s="17">
        <f>'2.1. DM'!C103</f>
        <v>46048</v>
      </c>
      <c r="D103" s="17" t="str">
        <f>'2.1. DM'!D103</f>
        <v>Genbank</v>
      </c>
      <c r="E103" s="17">
        <f>'2.1. DM'!E103</f>
        <v>28</v>
      </c>
      <c r="F103" s="17" t="str">
        <f>'2.1. DM'!F103</f>
        <v>F251771</v>
      </c>
      <c r="G103" s="17" t="str">
        <f>'2.1. DM'!G103</f>
        <v>CIAT-22310</v>
      </c>
      <c r="H103" s="17" t="str">
        <f>'2.1. DM'!H103</f>
        <v>Calliandra</v>
      </c>
      <c r="I103" s="17" t="str">
        <f>'2.1. DM'!I103</f>
        <v>calothyrsus</v>
      </c>
      <c r="J103" s="17" t="str">
        <f>'2.1. DM'!J103</f>
        <v>Calliandra calothyrsus</v>
      </c>
      <c r="K103" s="17" t="str">
        <f>'2.1. DM'!K103</f>
        <v>Fabaceae</v>
      </c>
      <c r="L103" s="17" t="str">
        <f>'2.1. DM'!L103</f>
        <v>Fabales</v>
      </c>
      <c r="M103" s="17" t="str">
        <f>'2.1. DM'!M103</f>
        <v>Tree</v>
      </c>
      <c r="N103" s="17" t="str">
        <f>'2.1. DM'!N103</f>
        <v>60,61, 62</v>
      </c>
      <c r="O103" s="17" t="str">
        <f>'2.1. DM'!O103</f>
        <v>OT-010</v>
      </c>
      <c r="P103" s="10"/>
      <c r="Q103" s="20">
        <v>21.754706236142574</v>
      </c>
      <c r="R103" s="345">
        <f t="shared" ref="R103" si="20">AVERAGE(Q103:Q104)</f>
        <v>21.754706236142574</v>
      </c>
    </row>
    <row r="104" spans="2:18" x14ac:dyDescent="0.35">
      <c r="B104" s="17">
        <f>'2.1. DM'!B104</f>
        <v>94</v>
      </c>
      <c r="C104" s="17">
        <f>'2.1. DM'!C104</f>
        <v>46048</v>
      </c>
      <c r="D104" s="17" t="str">
        <f>'2.1. DM'!D104</f>
        <v>Genbank</v>
      </c>
      <c r="E104" s="17">
        <f>'2.1. DM'!E104</f>
        <v>28</v>
      </c>
      <c r="F104" s="17" t="str">
        <f>'2.1. DM'!F104</f>
        <v>F251771</v>
      </c>
      <c r="G104" s="17" t="str">
        <f>'2.1. DM'!G104</f>
        <v>CIAT-22310</v>
      </c>
      <c r="H104" s="17" t="str">
        <f>'2.1. DM'!H104</f>
        <v>Calliandra</v>
      </c>
      <c r="I104" s="17" t="str">
        <f>'2.1. DM'!I104</f>
        <v>calothyrsus</v>
      </c>
      <c r="J104" s="17" t="str">
        <f>'2.1. DM'!J104</f>
        <v>Calliandra calothyrsus</v>
      </c>
      <c r="K104" s="17" t="str">
        <f>'2.1. DM'!K104</f>
        <v>Fabaceae</v>
      </c>
      <c r="L104" s="17" t="str">
        <f>'2.1. DM'!L104</f>
        <v>Fabales</v>
      </c>
      <c r="M104" s="17" t="str">
        <f>'2.1. DM'!M104</f>
        <v>Tree</v>
      </c>
      <c r="N104" s="17" t="str">
        <f>'2.1. DM'!N104</f>
        <v>60,61, 62</v>
      </c>
      <c r="O104" s="17" t="str">
        <f>'2.1. DM'!O104</f>
        <v>OT-010</v>
      </c>
      <c r="P104" s="10"/>
      <c r="Q104" s="20">
        <v>21.754706236142574</v>
      </c>
      <c r="R104" s="345"/>
    </row>
    <row r="105" spans="2:18" x14ac:dyDescent="0.35">
      <c r="B105" s="17">
        <f>'2.1. DM'!B105</f>
        <v>95</v>
      </c>
      <c r="C105" s="17">
        <f>'2.1. DM'!C105</f>
        <v>46048</v>
      </c>
      <c r="D105" s="17" t="str">
        <f>'2.1. DM'!D105</f>
        <v>Genbank</v>
      </c>
      <c r="E105" s="17">
        <f>'2.1. DM'!E105</f>
        <v>28</v>
      </c>
      <c r="F105" s="17" t="str">
        <f>'2.1. DM'!F105</f>
        <v>F251772</v>
      </c>
      <c r="G105" s="17" t="str">
        <f>'2.1. DM'!G105</f>
        <v>CIAT-22311</v>
      </c>
      <c r="H105" s="17" t="str">
        <f>'2.1. DM'!H105</f>
        <v>Calliandra</v>
      </c>
      <c r="I105" s="17" t="str">
        <f>'2.1. DM'!I105</f>
        <v>calothyrsus</v>
      </c>
      <c r="J105" s="17" t="str">
        <f>'2.1. DM'!J105</f>
        <v>Calliandra calothyrsus</v>
      </c>
      <c r="K105" s="17" t="str">
        <f>'2.1. DM'!K105</f>
        <v>Fabaceae</v>
      </c>
      <c r="L105" s="17" t="str">
        <f>'2.1. DM'!L105</f>
        <v>Fabales</v>
      </c>
      <c r="M105" s="17" t="str">
        <f>'2.1. DM'!M105</f>
        <v>Tree</v>
      </c>
      <c r="N105" s="17" t="str">
        <f>'2.1. DM'!N105</f>
        <v>60,61, 62</v>
      </c>
      <c r="O105" s="17" t="str">
        <f>'2.1. DM'!O105</f>
        <v>OT-010</v>
      </c>
      <c r="P105" s="10"/>
      <c r="Q105" s="20">
        <v>21.513621593833555</v>
      </c>
      <c r="R105" s="345">
        <f t="shared" ref="R105" si="21">AVERAGE(Q105:Q106)</f>
        <v>21.513621593833555</v>
      </c>
    </row>
    <row r="106" spans="2:18" x14ac:dyDescent="0.35">
      <c r="B106" s="17">
        <f>'2.1. DM'!B106</f>
        <v>96</v>
      </c>
      <c r="C106" s="17">
        <f>'2.1. DM'!C106</f>
        <v>46048</v>
      </c>
      <c r="D106" s="17" t="str">
        <f>'2.1. DM'!D106</f>
        <v>Genbank</v>
      </c>
      <c r="E106" s="17">
        <f>'2.1. DM'!E106</f>
        <v>28</v>
      </c>
      <c r="F106" s="17" t="str">
        <f>'2.1. DM'!F106</f>
        <v>F251772</v>
      </c>
      <c r="G106" s="17" t="str">
        <f>'2.1. DM'!G106</f>
        <v>CIAT-22311</v>
      </c>
      <c r="H106" s="17" t="str">
        <f>'2.1. DM'!H106</f>
        <v>Calliandra</v>
      </c>
      <c r="I106" s="17" t="str">
        <f>'2.1. DM'!I106</f>
        <v>calothyrsus</v>
      </c>
      <c r="J106" s="17" t="str">
        <f>'2.1. DM'!J106</f>
        <v>Calliandra calothyrsus</v>
      </c>
      <c r="K106" s="17" t="str">
        <f>'2.1. DM'!K106</f>
        <v>Fabaceae</v>
      </c>
      <c r="L106" s="17" t="str">
        <f>'2.1. DM'!L106</f>
        <v>Fabales</v>
      </c>
      <c r="M106" s="17" t="str">
        <f>'2.1. DM'!M106</f>
        <v>Tree</v>
      </c>
      <c r="N106" s="17" t="str">
        <f>'2.1. DM'!N106</f>
        <v>60,61, 62</v>
      </c>
      <c r="O106" s="17" t="str">
        <f>'2.1. DM'!O106</f>
        <v>OT-010</v>
      </c>
      <c r="P106" s="10"/>
      <c r="Q106" s="20">
        <v>21.513621593833555</v>
      </c>
      <c r="R106" s="345"/>
    </row>
    <row r="107" spans="2:18" x14ac:dyDescent="0.35">
      <c r="B107" s="17">
        <f>'2.1. DM'!B107</f>
        <v>97</v>
      </c>
      <c r="C107" s="17">
        <f>'2.1. DM'!C107</f>
        <v>46048</v>
      </c>
      <c r="D107" s="17" t="str">
        <f>'2.1. DM'!D107</f>
        <v>Genbank</v>
      </c>
      <c r="E107" s="17">
        <f>'2.1. DM'!E107</f>
        <v>28</v>
      </c>
      <c r="F107" s="17" t="str">
        <f>'2.1. DM'!F107</f>
        <v>F251773</v>
      </c>
      <c r="G107" s="17" t="str">
        <f>'2.1. DM'!G107</f>
        <v>CIAT-22316</v>
      </c>
      <c r="H107" s="17" t="str">
        <f>'2.1. DM'!H107</f>
        <v>Calliandra</v>
      </c>
      <c r="I107" s="17" t="str">
        <f>'2.1. DM'!I107</f>
        <v>calothyrsus</v>
      </c>
      <c r="J107" s="17" t="str">
        <f>'2.1. DM'!J107</f>
        <v>Calliandra calothyrsus</v>
      </c>
      <c r="K107" s="17" t="str">
        <f>'2.1. DM'!K107</f>
        <v>Fabaceae</v>
      </c>
      <c r="L107" s="17" t="str">
        <f>'2.1. DM'!L107</f>
        <v>Fabales</v>
      </c>
      <c r="M107" s="17" t="str">
        <f>'2.1. DM'!M107</f>
        <v>Tree</v>
      </c>
      <c r="N107" s="17" t="str">
        <f>'2.1. DM'!N107</f>
        <v>60,61, 62</v>
      </c>
      <c r="O107" s="17" t="str">
        <f>'2.1. DM'!O107</f>
        <v>OT-010</v>
      </c>
      <c r="P107" s="10"/>
      <c r="Q107" s="73">
        <v>20.815955680729736</v>
      </c>
      <c r="R107" s="345">
        <f t="shared" ref="R107" si="22">AVERAGE(Q107:Q108)</f>
        <v>20.815955680729736</v>
      </c>
    </row>
    <row r="108" spans="2:18" x14ac:dyDescent="0.35">
      <c r="B108" s="17">
        <f>'2.1. DM'!B108</f>
        <v>98</v>
      </c>
      <c r="C108" s="17">
        <f>'2.1. DM'!C108</f>
        <v>46048</v>
      </c>
      <c r="D108" s="17" t="str">
        <f>'2.1. DM'!D108</f>
        <v>Genbank</v>
      </c>
      <c r="E108" s="17">
        <f>'2.1. DM'!E108</f>
        <v>28</v>
      </c>
      <c r="F108" s="17" t="str">
        <f>'2.1. DM'!F108</f>
        <v>F251773</v>
      </c>
      <c r="G108" s="17" t="str">
        <f>'2.1. DM'!G108</f>
        <v>CIAT-22316</v>
      </c>
      <c r="H108" s="17" t="str">
        <f>'2.1. DM'!H108</f>
        <v>Calliandra</v>
      </c>
      <c r="I108" s="17" t="str">
        <f>'2.1. DM'!I108</f>
        <v>calothyrsus</v>
      </c>
      <c r="J108" s="17" t="str">
        <f>'2.1. DM'!J108</f>
        <v>Calliandra calothyrsus</v>
      </c>
      <c r="K108" s="17" t="str">
        <f>'2.1. DM'!K108</f>
        <v>Fabaceae</v>
      </c>
      <c r="L108" s="17" t="str">
        <f>'2.1. DM'!L108</f>
        <v>Fabales</v>
      </c>
      <c r="M108" s="17" t="str">
        <f>'2.1. DM'!M108</f>
        <v>Tree</v>
      </c>
      <c r="N108" s="17" t="str">
        <f>'2.1. DM'!N108</f>
        <v>60,61, 62</v>
      </c>
      <c r="O108" s="17" t="str">
        <f>'2.1. DM'!O108</f>
        <v>OT-010</v>
      </c>
      <c r="P108" s="10"/>
      <c r="Q108" s="73">
        <v>20.815955680729736</v>
      </c>
      <c r="R108" s="345"/>
    </row>
    <row r="109" spans="2:18" x14ac:dyDescent="0.35">
      <c r="B109" s="17">
        <f>'2.1. DM'!B109</f>
        <v>99</v>
      </c>
      <c r="C109" s="17">
        <f>'2.1. DM'!C109</f>
        <v>46048</v>
      </c>
      <c r="D109" s="17" t="str">
        <f>'2.1. DM'!D109</f>
        <v>Genbank</v>
      </c>
      <c r="E109" s="17">
        <f>'2.1. DM'!E109</f>
        <v>28</v>
      </c>
      <c r="F109" s="17" t="str">
        <f>'2.1. DM'!F109</f>
        <v>F251774</v>
      </c>
      <c r="G109" s="17" t="str">
        <f>'2.1. DM'!G109</f>
        <v>CIAT-23239</v>
      </c>
      <c r="H109" s="17" t="str">
        <f>'2.1. DM'!H109</f>
        <v>Dendrolobium</v>
      </c>
      <c r="I109" s="17" t="str">
        <f>'2.1. DM'!I109</f>
        <v>triangulare</v>
      </c>
      <c r="J109" s="17" t="str">
        <f>'2.1. DM'!J109</f>
        <v>Dendrolobium triangulare</v>
      </c>
      <c r="K109" s="17" t="str">
        <f>'2.1. DM'!K109</f>
        <v>Fabaceae</v>
      </c>
      <c r="L109" s="17" t="str">
        <f>'2.1. DM'!L109</f>
        <v>Fabales</v>
      </c>
      <c r="M109" s="17" t="str">
        <f>'2.1. DM'!M109</f>
        <v>Tree</v>
      </c>
      <c r="N109" s="17" t="str">
        <f>'2.1. DM'!N109</f>
        <v>60,61, 62</v>
      </c>
      <c r="O109" s="17" t="str">
        <f>'2.1. DM'!O109</f>
        <v>OT-010</v>
      </c>
      <c r="P109" s="10"/>
      <c r="Q109" s="73">
        <v>20.355371333791691</v>
      </c>
      <c r="R109" s="345">
        <f t="shared" ref="R109" si="23">AVERAGE(Q109:Q110)</f>
        <v>20.355371333791691</v>
      </c>
    </row>
    <row r="110" spans="2:18" x14ac:dyDescent="0.35">
      <c r="B110" s="17">
        <f>'2.1. DM'!B110</f>
        <v>100</v>
      </c>
      <c r="C110" s="17">
        <f>'2.1. DM'!C110</f>
        <v>46048</v>
      </c>
      <c r="D110" s="17" t="str">
        <f>'2.1. DM'!D110</f>
        <v>Genbank</v>
      </c>
      <c r="E110" s="17">
        <f>'2.1. DM'!E110</f>
        <v>28</v>
      </c>
      <c r="F110" s="17" t="str">
        <f>'2.1. DM'!F110</f>
        <v>F251774</v>
      </c>
      <c r="G110" s="17" t="str">
        <f>'2.1. DM'!G110</f>
        <v>CIAT-23239</v>
      </c>
      <c r="H110" s="17" t="str">
        <f>'2.1. DM'!H110</f>
        <v>Dendrolobium</v>
      </c>
      <c r="I110" s="17" t="str">
        <f>'2.1. DM'!I110</f>
        <v>triangulare</v>
      </c>
      <c r="J110" s="17" t="str">
        <f>'2.1. DM'!J110</f>
        <v>Dendrolobium triangulare</v>
      </c>
      <c r="K110" s="17" t="str">
        <f>'2.1. DM'!K110</f>
        <v>Fabaceae</v>
      </c>
      <c r="L110" s="17" t="str">
        <f>'2.1. DM'!L110</f>
        <v>Fabales</v>
      </c>
      <c r="M110" s="17" t="str">
        <f>'2.1. DM'!M110</f>
        <v>Tree</v>
      </c>
      <c r="N110" s="17" t="str">
        <f>'2.1. DM'!N110</f>
        <v>60,61, 62</v>
      </c>
      <c r="O110" s="17" t="str">
        <f>'2.1. DM'!O110</f>
        <v>OT-010</v>
      </c>
      <c r="P110" s="10"/>
      <c r="Q110" s="73">
        <v>20.355371333791691</v>
      </c>
      <c r="R110" s="345"/>
    </row>
    <row r="111" spans="2:18" x14ac:dyDescent="0.35">
      <c r="B111" s="17">
        <f>'2.1. DM'!B111</f>
        <v>101</v>
      </c>
      <c r="C111" s="17">
        <f>'2.1. DM'!C111</f>
        <v>46048</v>
      </c>
      <c r="D111" s="17" t="str">
        <f>'2.1. DM'!D111</f>
        <v>Genbank</v>
      </c>
      <c r="E111" s="17">
        <f>'2.1. DM'!E111</f>
        <v>28</v>
      </c>
      <c r="F111" s="17" t="str">
        <f>'2.1. DM'!F111</f>
        <v>F251775</v>
      </c>
      <c r="G111" s="17" t="str">
        <f>'2.1. DM'!G111</f>
        <v>CIAT-33116</v>
      </c>
      <c r="H111" s="17" t="str">
        <f>'2.1. DM'!H111</f>
        <v>Dendrolobium</v>
      </c>
      <c r="I111" s="17" t="str">
        <f>'2.1. DM'!I111</f>
        <v>triangulare</v>
      </c>
      <c r="J111" s="17" t="str">
        <f>'2.1. DM'!J111</f>
        <v>Dendrolobium triangulare</v>
      </c>
      <c r="K111" s="17" t="str">
        <f>'2.1. DM'!K111</f>
        <v>Fabaceae</v>
      </c>
      <c r="L111" s="17" t="str">
        <f>'2.1. DM'!L111</f>
        <v>Fabales</v>
      </c>
      <c r="M111" s="17" t="str">
        <f>'2.1. DM'!M111</f>
        <v>Tree</v>
      </c>
      <c r="N111" s="17" t="str">
        <f>'2.1. DM'!N111</f>
        <v>60,61, 62</v>
      </c>
      <c r="O111" s="17" t="str">
        <f>'2.1. DM'!O111</f>
        <v>OT-010</v>
      </c>
      <c r="P111" s="10"/>
      <c r="Q111" s="73">
        <v>18.299339394295366</v>
      </c>
      <c r="R111" s="345">
        <f t="shared" ref="R111" si="24">AVERAGE(Q111:Q112)</f>
        <v>18.299339394295366</v>
      </c>
    </row>
    <row r="112" spans="2:18" x14ac:dyDescent="0.35">
      <c r="B112" s="17">
        <f>'2.1. DM'!B112</f>
        <v>102</v>
      </c>
      <c r="C112" s="17">
        <f>'2.1. DM'!C112</f>
        <v>46048</v>
      </c>
      <c r="D112" s="17" t="str">
        <f>'2.1. DM'!D112</f>
        <v>Genbank</v>
      </c>
      <c r="E112" s="17">
        <f>'2.1. DM'!E112</f>
        <v>28</v>
      </c>
      <c r="F112" s="17" t="str">
        <f>'2.1. DM'!F112</f>
        <v>F251775</v>
      </c>
      <c r="G112" s="17" t="str">
        <f>'2.1. DM'!G112</f>
        <v>CIAT-33116</v>
      </c>
      <c r="H112" s="17" t="str">
        <f>'2.1. DM'!H112</f>
        <v>Dendrolobium</v>
      </c>
      <c r="I112" s="17" t="str">
        <f>'2.1. DM'!I112</f>
        <v>triangulare</v>
      </c>
      <c r="J112" s="17" t="str">
        <f>'2.1. DM'!J112</f>
        <v>Dendrolobium triangulare</v>
      </c>
      <c r="K112" s="17" t="str">
        <f>'2.1. DM'!K112</f>
        <v>Fabaceae</v>
      </c>
      <c r="L112" s="17" t="str">
        <f>'2.1. DM'!L112</f>
        <v>Fabales</v>
      </c>
      <c r="M112" s="17" t="str">
        <f>'2.1. DM'!M112</f>
        <v>Tree</v>
      </c>
      <c r="N112" s="17" t="str">
        <f>'2.1. DM'!N112</f>
        <v>60,61, 62</v>
      </c>
      <c r="O112" s="17" t="str">
        <f>'2.1. DM'!O112</f>
        <v>OT-010</v>
      </c>
      <c r="P112" s="10"/>
      <c r="Q112" s="73">
        <v>18.299339394295366</v>
      </c>
      <c r="R112" s="345"/>
    </row>
    <row r="113" spans="2:18" x14ac:dyDescent="0.35">
      <c r="B113" s="17">
        <f>'2.1. DM'!B113</f>
        <v>103</v>
      </c>
      <c r="C113" s="17">
        <f>'2.1. DM'!C113</f>
        <v>46048</v>
      </c>
      <c r="D113" s="17" t="str">
        <f>'2.1. DM'!D113</f>
        <v>Genbank</v>
      </c>
      <c r="E113" s="17">
        <f>'2.1. DM'!E113</f>
        <v>28</v>
      </c>
      <c r="F113" s="17" t="str">
        <f>'2.1. DM'!F113</f>
        <v>F252184</v>
      </c>
      <c r="G113" s="17" t="str">
        <f>'2.1. DM'!G113</f>
        <v>CIAT-BH22_0303</v>
      </c>
      <c r="H113" s="17" t="str">
        <f>'2.1. DM'!H113</f>
        <v>Urochloa</v>
      </c>
      <c r="I113" s="17" t="str">
        <f>'2.1. DM'!I113</f>
        <v>humidicola</v>
      </c>
      <c r="J113" s="17" t="str">
        <f>'2.1. DM'!J113</f>
        <v>Urochloa humidicola</v>
      </c>
      <c r="K113" s="17" t="str">
        <f>'2.1. DM'!K113</f>
        <v>Poaceae</v>
      </c>
      <c r="L113" s="17" t="str">
        <f>'2.1. DM'!L113</f>
        <v>Poales</v>
      </c>
      <c r="M113" s="17" t="str">
        <f>'2.1. DM'!M113</f>
        <v>grasses</v>
      </c>
      <c r="N113" s="17" t="str">
        <f>'2.1. DM'!N113</f>
        <v>60,61, 62</v>
      </c>
      <c r="O113" s="17" t="str">
        <f>'2.1. DM'!O113</f>
        <v>OT-021</v>
      </c>
      <c r="P113" s="10"/>
      <c r="Q113" s="73">
        <v>8.0229961856412029</v>
      </c>
      <c r="R113" s="345">
        <f t="shared" ref="R113:R125" si="25">AVERAGE(Q113:Q114)</f>
        <v>8.0243727363164616</v>
      </c>
    </row>
    <row r="114" spans="2:18" x14ac:dyDescent="0.35">
      <c r="B114" s="17">
        <f>'2.1. DM'!B114</f>
        <v>104</v>
      </c>
      <c r="C114" s="17">
        <f>'2.1. DM'!C114</f>
        <v>46048</v>
      </c>
      <c r="D114" s="17" t="str">
        <f>'2.1. DM'!D114</f>
        <v>Genbank</v>
      </c>
      <c r="E114" s="17">
        <f>'2.1. DM'!E114</f>
        <v>28</v>
      </c>
      <c r="F114" s="17" t="str">
        <f>'2.1. DM'!F114</f>
        <v>F252184</v>
      </c>
      <c r="G114" s="17" t="str">
        <f>'2.1. DM'!G114</f>
        <v>CIAT-BH22_0303</v>
      </c>
      <c r="H114" s="17" t="str">
        <f>'2.1. DM'!H114</f>
        <v>Urochloa</v>
      </c>
      <c r="I114" s="17" t="str">
        <f>'2.1. DM'!I114</f>
        <v>humidicola</v>
      </c>
      <c r="J114" s="17" t="str">
        <f>'2.1. DM'!J114</f>
        <v>Urochloa humidicola</v>
      </c>
      <c r="K114" s="17" t="str">
        <f>'2.1. DM'!K114</f>
        <v>Poaceae</v>
      </c>
      <c r="L114" s="17" t="str">
        <f>'2.1. DM'!L114</f>
        <v>Poales</v>
      </c>
      <c r="M114" s="17" t="str">
        <f>'2.1. DM'!M114</f>
        <v>grasses</v>
      </c>
      <c r="N114" s="17" t="str">
        <f>'2.1. DM'!N114</f>
        <v>60,61, 62</v>
      </c>
      <c r="O114" s="17" t="str">
        <f>'2.1. DM'!O114</f>
        <v>OT-021</v>
      </c>
      <c r="P114" s="10"/>
      <c r="Q114" s="73">
        <v>8.0257492869917204</v>
      </c>
      <c r="R114" s="345"/>
    </row>
    <row r="115" spans="2:18" x14ac:dyDescent="0.35">
      <c r="B115" s="17">
        <f>'2.1. DM'!B115</f>
        <v>105</v>
      </c>
      <c r="C115" s="17">
        <f>'2.1. DM'!C115</f>
        <v>46048</v>
      </c>
      <c r="D115" s="17" t="str">
        <f>'2.1. DM'!D115</f>
        <v>Genbank</v>
      </c>
      <c r="E115" s="17">
        <f>'2.1. DM'!E115</f>
        <v>28</v>
      </c>
      <c r="F115" s="17" t="str">
        <f>'2.1. DM'!F115</f>
        <v>F252185</v>
      </c>
      <c r="G115" s="17" t="str">
        <f>'2.1. DM'!G115</f>
        <v>CIAT-BH22_1594</v>
      </c>
      <c r="H115" s="17" t="str">
        <f>'2.1. DM'!H115</f>
        <v>Urochloa</v>
      </c>
      <c r="I115" s="17" t="str">
        <f>'2.1. DM'!I115</f>
        <v>humidicola</v>
      </c>
      <c r="J115" s="17" t="str">
        <f>'2.1. DM'!J115</f>
        <v>Urochloa humidicola</v>
      </c>
      <c r="K115" s="17" t="str">
        <f>'2.1. DM'!K115</f>
        <v>Poaceae</v>
      </c>
      <c r="L115" s="17" t="str">
        <f>'2.1. DM'!L115</f>
        <v>Poales</v>
      </c>
      <c r="M115" s="17" t="str">
        <f>'2.1. DM'!M115</f>
        <v>grasses</v>
      </c>
      <c r="N115" s="17" t="str">
        <f>'2.1. DM'!N115</f>
        <v>60,61, 62</v>
      </c>
      <c r="O115" s="17" t="str">
        <f>'2.1. DM'!O115</f>
        <v>OT-021</v>
      </c>
      <c r="P115" s="10"/>
      <c r="Q115" s="73">
        <v>8.0474660562403315</v>
      </c>
      <c r="R115" s="345">
        <f t="shared" ref="R115:R127" si="26">AVERAGE(Q115:Q116)</f>
        <v>7.956214446940522</v>
      </c>
    </row>
    <row r="116" spans="2:18" x14ac:dyDescent="0.35">
      <c r="B116" s="17">
        <f>'2.1. DM'!B116</f>
        <v>106</v>
      </c>
      <c r="C116" s="17">
        <f>'2.1. DM'!C116</f>
        <v>46048</v>
      </c>
      <c r="D116" s="17" t="str">
        <f>'2.1. DM'!D116</f>
        <v>Genbank</v>
      </c>
      <c r="E116" s="17">
        <f>'2.1. DM'!E116</f>
        <v>28</v>
      </c>
      <c r="F116" s="17" t="str">
        <f>'2.1. DM'!F116</f>
        <v>F252185</v>
      </c>
      <c r="G116" s="17" t="str">
        <f>'2.1. DM'!G116</f>
        <v>CIAT-BH22_1594</v>
      </c>
      <c r="H116" s="17" t="str">
        <f>'2.1. DM'!H116</f>
        <v>Urochloa</v>
      </c>
      <c r="I116" s="17" t="str">
        <f>'2.1. DM'!I116</f>
        <v>humidicola</v>
      </c>
      <c r="J116" s="17" t="str">
        <f>'2.1. DM'!J116</f>
        <v>Urochloa humidicola</v>
      </c>
      <c r="K116" s="17" t="str">
        <f>'2.1. DM'!K116</f>
        <v>Poaceae</v>
      </c>
      <c r="L116" s="17" t="str">
        <f>'2.1. DM'!L116</f>
        <v>Poales</v>
      </c>
      <c r="M116" s="17" t="str">
        <f>'2.1. DM'!M116</f>
        <v>grasses</v>
      </c>
      <c r="N116" s="17" t="str">
        <f>'2.1. DM'!N116</f>
        <v>60,61, 62</v>
      </c>
      <c r="O116" s="17" t="str">
        <f>'2.1. DM'!O116</f>
        <v>OT-021</v>
      </c>
      <c r="P116" s="10"/>
      <c r="Q116" s="73">
        <v>7.8649628376407126</v>
      </c>
      <c r="R116" s="345"/>
    </row>
    <row r="117" spans="2:18" x14ac:dyDescent="0.35">
      <c r="B117" s="17">
        <f>'2.1. DM'!B117</f>
        <v>107</v>
      </c>
      <c r="C117" s="17">
        <f>'2.1. DM'!C117</f>
        <v>46048</v>
      </c>
      <c r="D117" s="17" t="str">
        <f>'2.1. DM'!D117</f>
        <v>Genbank</v>
      </c>
      <c r="E117" s="17">
        <f>'2.1. DM'!E117</f>
        <v>28</v>
      </c>
      <c r="F117" s="17" t="str">
        <f>'2.1. DM'!F117</f>
        <v>F252186</v>
      </c>
      <c r="G117" s="17" t="str">
        <f>'2.1. DM'!G117</f>
        <v>CIAT-BH22_0468</v>
      </c>
      <c r="H117" s="17" t="str">
        <f>'2.1. DM'!H117</f>
        <v>Urochloa</v>
      </c>
      <c r="I117" s="17" t="str">
        <f>'2.1. DM'!I117</f>
        <v>humidicola</v>
      </c>
      <c r="J117" s="17" t="str">
        <f>'2.1. DM'!J117</f>
        <v>Urochloa humidicola</v>
      </c>
      <c r="K117" s="17" t="str">
        <f>'2.1. DM'!K117</f>
        <v>Poaceae</v>
      </c>
      <c r="L117" s="17" t="str">
        <f>'2.1. DM'!L117</f>
        <v>Poales</v>
      </c>
      <c r="M117" s="17" t="str">
        <f>'2.1. DM'!M117</f>
        <v>grasses</v>
      </c>
      <c r="N117" s="17" t="str">
        <f>'2.1. DM'!N117</f>
        <v>60,61, 62</v>
      </c>
      <c r="O117" s="17" t="str">
        <f>'2.1. DM'!O117</f>
        <v>OT-021</v>
      </c>
      <c r="P117" s="10"/>
      <c r="Q117" s="73">
        <v>9.5768284222095428</v>
      </c>
      <c r="R117" s="345">
        <f t="shared" si="25"/>
        <v>9.5938843043388999</v>
      </c>
    </row>
    <row r="118" spans="2:18" x14ac:dyDescent="0.35">
      <c r="B118" s="17">
        <f>'2.1. DM'!B118</f>
        <v>108</v>
      </c>
      <c r="C118" s="17">
        <f>'2.1. DM'!C118</f>
        <v>46048</v>
      </c>
      <c r="D118" s="17" t="str">
        <f>'2.1. DM'!D118</f>
        <v>Genbank</v>
      </c>
      <c r="E118" s="17">
        <f>'2.1. DM'!E118</f>
        <v>28</v>
      </c>
      <c r="F118" s="17" t="str">
        <f>'2.1. DM'!F118</f>
        <v>F252186</v>
      </c>
      <c r="G118" s="17" t="str">
        <f>'2.1. DM'!G118</f>
        <v>CIAT-BH22_0468</v>
      </c>
      <c r="H118" s="17" t="str">
        <f>'2.1. DM'!H118</f>
        <v>Urochloa</v>
      </c>
      <c r="I118" s="17" t="str">
        <f>'2.1. DM'!I118</f>
        <v>humidicola</v>
      </c>
      <c r="J118" s="17" t="str">
        <f>'2.1. DM'!J118</f>
        <v>Urochloa humidicola</v>
      </c>
      <c r="K118" s="17" t="str">
        <f>'2.1. DM'!K118</f>
        <v>Poaceae</v>
      </c>
      <c r="L118" s="17" t="str">
        <f>'2.1. DM'!L118</f>
        <v>Poales</v>
      </c>
      <c r="M118" s="17" t="str">
        <f>'2.1. DM'!M118</f>
        <v>grasses</v>
      </c>
      <c r="N118" s="17" t="str">
        <f>'2.1. DM'!N118</f>
        <v>60,61, 62</v>
      </c>
      <c r="O118" s="17" t="str">
        <f>'2.1. DM'!O118</f>
        <v>OT-021</v>
      </c>
      <c r="P118" s="10"/>
      <c r="Q118" s="73">
        <v>9.6109401864682553</v>
      </c>
      <c r="R118" s="345"/>
    </row>
    <row r="119" spans="2:18" x14ac:dyDescent="0.35">
      <c r="B119" s="17">
        <f>'2.1. DM'!B119</f>
        <v>109</v>
      </c>
      <c r="C119" s="17">
        <f>'2.1. DM'!C119</f>
        <v>46048</v>
      </c>
      <c r="D119" s="17" t="str">
        <f>'2.1. DM'!D119</f>
        <v>Genbank</v>
      </c>
      <c r="E119" s="17">
        <f>'2.1. DM'!E119</f>
        <v>28</v>
      </c>
      <c r="F119" s="17" t="str">
        <f>'2.1. DM'!F119</f>
        <v>F252187</v>
      </c>
      <c r="G119" s="17" t="str">
        <f>'2.1. DM'!G119</f>
        <v>CIAT-BH22_3830</v>
      </c>
      <c r="H119" s="17" t="str">
        <f>'2.1. DM'!H119</f>
        <v>Urochloa</v>
      </c>
      <c r="I119" s="17" t="str">
        <f>'2.1. DM'!I119</f>
        <v>humidicola</v>
      </c>
      <c r="J119" s="17" t="str">
        <f>'2.1. DM'!J119</f>
        <v>Urochloa humidicola</v>
      </c>
      <c r="K119" s="17" t="str">
        <f>'2.1. DM'!K119</f>
        <v>Poaceae</v>
      </c>
      <c r="L119" s="17" t="str">
        <f>'2.1. DM'!L119</f>
        <v>Poales</v>
      </c>
      <c r="M119" s="17" t="str">
        <f>'2.1. DM'!M119</f>
        <v>grasses</v>
      </c>
      <c r="N119" s="17" t="str">
        <f>'2.1. DM'!N119</f>
        <v>60,61, 62</v>
      </c>
      <c r="O119" s="17" t="str">
        <f>'2.1. DM'!O119</f>
        <v>OT-021</v>
      </c>
      <c r="P119" s="10"/>
      <c r="Q119" s="73">
        <v>8.1087803447301283</v>
      </c>
      <c r="R119" s="345">
        <f t="shared" si="26"/>
        <v>8.0395675459505505</v>
      </c>
    </row>
    <row r="120" spans="2:18" x14ac:dyDescent="0.35">
      <c r="B120" s="17">
        <f>'2.1. DM'!B120</f>
        <v>110</v>
      </c>
      <c r="C120" s="17">
        <f>'2.1. DM'!C120</f>
        <v>46048</v>
      </c>
      <c r="D120" s="17" t="str">
        <f>'2.1. DM'!D120</f>
        <v>Genbank</v>
      </c>
      <c r="E120" s="17">
        <f>'2.1. DM'!E120</f>
        <v>28</v>
      </c>
      <c r="F120" s="17" t="str">
        <f>'2.1. DM'!F120</f>
        <v>F252187</v>
      </c>
      <c r="G120" s="17" t="str">
        <f>'2.1. DM'!G120</f>
        <v>CIAT-BH22_3830</v>
      </c>
      <c r="H120" s="17" t="str">
        <f>'2.1. DM'!H120</f>
        <v>Urochloa</v>
      </c>
      <c r="I120" s="17" t="str">
        <f>'2.1. DM'!I120</f>
        <v>humidicola</v>
      </c>
      <c r="J120" s="17" t="str">
        <f>'2.1. DM'!J120</f>
        <v>Urochloa humidicola</v>
      </c>
      <c r="K120" s="17" t="str">
        <f>'2.1. DM'!K120</f>
        <v>Poaceae</v>
      </c>
      <c r="L120" s="17" t="str">
        <f>'2.1. DM'!L120</f>
        <v>Poales</v>
      </c>
      <c r="M120" s="17" t="str">
        <f>'2.1. DM'!M120</f>
        <v>grasses</v>
      </c>
      <c r="N120" s="17" t="str">
        <f>'2.1. DM'!N120</f>
        <v>60,61, 62</v>
      </c>
      <c r="O120" s="17" t="str">
        <f>'2.1. DM'!O120</f>
        <v>OT-021</v>
      </c>
      <c r="P120" s="10"/>
      <c r="Q120" s="73">
        <v>7.9703547471709726</v>
      </c>
      <c r="R120" s="345"/>
    </row>
    <row r="121" spans="2:18" x14ac:dyDescent="0.35">
      <c r="B121" s="17">
        <f>'2.1. DM'!B121</f>
        <v>111</v>
      </c>
      <c r="C121" s="17">
        <f>'2.1. DM'!C121</f>
        <v>46048</v>
      </c>
      <c r="D121" s="17" t="str">
        <f>'2.1. DM'!D121</f>
        <v>Genbank</v>
      </c>
      <c r="E121" s="17">
        <f>'2.1. DM'!E121</f>
        <v>28</v>
      </c>
      <c r="F121" s="17" t="str">
        <f>'2.1. DM'!F121</f>
        <v>F252188</v>
      </c>
      <c r="G121" s="17" t="str">
        <f>'2.1. DM'!G121</f>
        <v>CIAT-BH22_1710</v>
      </c>
      <c r="H121" s="17" t="str">
        <f>'2.1. DM'!H121</f>
        <v>Urochloa</v>
      </c>
      <c r="I121" s="17" t="str">
        <f>'2.1. DM'!I121</f>
        <v>humidicola</v>
      </c>
      <c r="J121" s="17" t="str">
        <f>'2.1. DM'!J121</f>
        <v>Urochloa humidicola</v>
      </c>
      <c r="K121" s="17" t="str">
        <f>'2.1. DM'!K121</f>
        <v>Poaceae</v>
      </c>
      <c r="L121" s="17" t="str">
        <f>'2.1. DM'!L121</f>
        <v>Poales</v>
      </c>
      <c r="M121" s="17" t="str">
        <f>'2.1. DM'!M121</f>
        <v>grasses</v>
      </c>
      <c r="N121" s="17" t="str">
        <f>'2.1. DM'!N121</f>
        <v>60,61, 62</v>
      </c>
      <c r="O121" s="17" t="str">
        <f>'2.1. DM'!O121</f>
        <v>OT-021</v>
      </c>
      <c r="P121" s="10"/>
      <c r="Q121" s="73">
        <v>7.6003872158442771</v>
      </c>
      <c r="R121" s="345">
        <f t="shared" si="25"/>
        <v>7.5583491812288406</v>
      </c>
    </row>
    <row r="122" spans="2:18" x14ac:dyDescent="0.35">
      <c r="B122" s="17">
        <f>'2.1. DM'!B122</f>
        <v>112</v>
      </c>
      <c r="C122" s="17">
        <f>'2.1. DM'!C122</f>
        <v>46048</v>
      </c>
      <c r="D122" s="17" t="str">
        <f>'2.1. DM'!D122</f>
        <v>Genbank</v>
      </c>
      <c r="E122" s="17">
        <f>'2.1. DM'!E122</f>
        <v>28</v>
      </c>
      <c r="F122" s="17" t="str">
        <f>'2.1. DM'!F122</f>
        <v>F252188</v>
      </c>
      <c r="G122" s="17" t="str">
        <f>'2.1. DM'!G122</f>
        <v>CIAT-BH22_1710</v>
      </c>
      <c r="H122" s="17" t="str">
        <f>'2.1. DM'!H122</f>
        <v>Urochloa</v>
      </c>
      <c r="I122" s="17" t="str">
        <f>'2.1. DM'!I122</f>
        <v>humidicola</v>
      </c>
      <c r="J122" s="17" t="str">
        <f>'2.1. DM'!J122</f>
        <v>Urochloa humidicola</v>
      </c>
      <c r="K122" s="17" t="str">
        <f>'2.1. DM'!K122</f>
        <v>Poaceae</v>
      </c>
      <c r="L122" s="17" t="str">
        <f>'2.1. DM'!L122</f>
        <v>Poales</v>
      </c>
      <c r="M122" s="17" t="str">
        <f>'2.1. DM'!M122</f>
        <v>grasses</v>
      </c>
      <c r="N122" s="17" t="str">
        <f>'2.1. DM'!N122</f>
        <v>60,61, 62</v>
      </c>
      <c r="O122" s="17" t="str">
        <f>'2.1. DM'!O122</f>
        <v>OT-021</v>
      </c>
      <c r="P122" s="10"/>
      <c r="Q122" s="73">
        <v>7.516311146613404</v>
      </c>
      <c r="R122" s="345"/>
    </row>
    <row r="123" spans="2:18" x14ac:dyDescent="0.35">
      <c r="B123" s="17">
        <f>'2.1. DM'!B123</f>
        <v>113</v>
      </c>
      <c r="C123" s="17">
        <f>'2.1. DM'!C123</f>
        <v>46048</v>
      </c>
      <c r="D123" s="17" t="str">
        <f>'2.1. DM'!D123</f>
        <v>Genbank</v>
      </c>
      <c r="E123" s="17">
        <f>'2.1. DM'!E123</f>
        <v>28</v>
      </c>
      <c r="F123" s="17" t="str">
        <f>'2.1. DM'!F123</f>
        <v>F252189</v>
      </c>
      <c r="G123" s="17" t="str">
        <f>'2.1. DM'!G123</f>
        <v>CIAT-BH22_2365</v>
      </c>
      <c r="H123" s="17" t="str">
        <f>'2.1. DM'!H123</f>
        <v>Urochloa</v>
      </c>
      <c r="I123" s="17" t="str">
        <f>'2.1. DM'!I123</f>
        <v>humidicola</v>
      </c>
      <c r="J123" s="17" t="str">
        <f>'2.1. DM'!J123</f>
        <v>Urochloa humidicola</v>
      </c>
      <c r="K123" s="17" t="str">
        <f>'2.1. DM'!K123</f>
        <v>Poaceae</v>
      </c>
      <c r="L123" s="17" t="str">
        <f>'2.1. DM'!L123</f>
        <v>Poales</v>
      </c>
      <c r="M123" s="17" t="str">
        <f>'2.1. DM'!M123</f>
        <v>grasses</v>
      </c>
      <c r="N123" s="17" t="str">
        <f>'2.1. DM'!N123</f>
        <v>60,61, 62</v>
      </c>
      <c r="O123" s="17" t="str">
        <f>'2.1. DM'!O123</f>
        <v>OT-021</v>
      </c>
      <c r="P123" s="10"/>
      <c r="Q123" s="73">
        <v>10.017195066781124</v>
      </c>
      <c r="R123" s="345">
        <f t="shared" si="26"/>
        <v>9.9837827915039128</v>
      </c>
    </row>
    <row r="124" spans="2:18" x14ac:dyDescent="0.35">
      <c r="B124" s="17">
        <f>'2.1. DM'!B124</f>
        <v>114</v>
      </c>
      <c r="C124" s="17">
        <f>'2.1. DM'!C124</f>
        <v>46048</v>
      </c>
      <c r="D124" s="17" t="str">
        <f>'2.1. DM'!D124</f>
        <v>Genbank</v>
      </c>
      <c r="E124" s="17">
        <f>'2.1. DM'!E124</f>
        <v>28</v>
      </c>
      <c r="F124" s="17" t="str">
        <f>'2.1. DM'!F124</f>
        <v>F252189</v>
      </c>
      <c r="G124" s="17" t="str">
        <f>'2.1. DM'!G124</f>
        <v>CIAT-BH22_2365</v>
      </c>
      <c r="H124" s="17" t="str">
        <f>'2.1. DM'!H124</f>
        <v>Urochloa</v>
      </c>
      <c r="I124" s="17" t="str">
        <f>'2.1. DM'!I124</f>
        <v>humidicola</v>
      </c>
      <c r="J124" s="17" t="str">
        <f>'2.1. DM'!J124</f>
        <v>Urochloa humidicola</v>
      </c>
      <c r="K124" s="17" t="str">
        <f>'2.1. DM'!K124</f>
        <v>Poaceae</v>
      </c>
      <c r="L124" s="17" t="str">
        <f>'2.1. DM'!L124</f>
        <v>Poales</v>
      </c>
      <c r="M124" s="17" t="str">
        <f>'2.1. DM'!M124</f>
        <v>grasses</v>
      </c>
      <c r="N124" s="17" t="str">
        <f>'2.1. DM'!N124</f>
        <v>60,61, 62</v>
      </c>
      <c r="O124" s="17" t="str">
        <f>'2.1. DM'!O124</f>
        <v>OT-021</v>
      </c>
      <c r="P124" s="10"/>
      <c r="Q124" s="73">
        <v>9.9503705162267018</v>
      </c>
      <c r="R124" s="345"/>
    </row>
    <row r="125" spans="2:18" x14ac:dyDescent="0.35">
      <c r="B125" s="17">
        <f>'2.1. DM'!B125</f>
        <v>115</v>
      </c>
      <c r="C125" s="17">
        <f>'2.1. DM'!C125</f>
        <v>46048</v>
      </c>
      <c r="D125" s="17" t="str">
        <f>'2.1. DM'!D125</f>
        <v>Genbank</v>
      </c>
      <c r="E125" s="17">
        <f>'2.1. DM'!E125</f>
        <v>28</v>
      </c>
      <c r="F125" s="17" t="str">
        <f>'2.1. DM'!F125</f>
        <v>F252190</v>
      </c>
      <c r="G125" s="17" t="str">
        <f>'2.1. DM'!G125</f>
        <v>CIAT-BH22_3572</v>
      </c>
      <c r="H125" s="17" t="str">
        <f>'2.1. DM'!H125</f>
        <v>Urochloa</v>
      </c>
      <c r="I125" s="17" t="str">
        <f>'2.1. DM'!I125</f>
        <v>humidicola</v>
      </c>
      <c r="J125" s="17" t="str">
        <f>'2.1. DM'!J125</f>
        <v>Urochloa humidicola</v>
      </c>
      <c r="K125" s="17" t="str">
        <f>'2.1. DM'!K125</f>
        <v>Poaceae</v>
      </c>
      <c r="L125" s="17" t="str">
        <f>'2.1. DM'!L125</f>
        <v>Poales</v>
      </c>
      <c r="M125" s="17" t="str">
        <f>'2.1. DM'!M125</f>
        <v>grasses</v>
      </c>
      <c r="N125" s="17" t="str">
        <f>'2.1. DM'!N125</f>
        <v>60,61, 62</v>
      </c>
      <c r="O125" s="17" t="str">
        <f>'2.1. DM'!O125</f>
        <v>OT-021</v>
      </c>
      <c r="P125" s="10"/>
      <c r="Q125" s="73">
        <v>7.9704717617286525</v>
      </c>
      <c r="R125" s="345">
        <f t="shared" si="25"/>
        <v>7.9759318357459463</v>
      </c>
    </row>
    <row r="126" spans="2:18" x14ac:dyDescent="0.35">
      <c r="B126" s="17">
        <f>'2.1. DM'!B126</f>
        <v>116</v>
      </c>
      <c r="C126" s="17">
        <f>'2.1. DM'!C126</f>
        <v>46048</v>
      </c>
      <c r="D126" s="17" t="str">
        <f>'2.1. DM'!D126</f>
        <v>Genbank</v>
      </c>
      <c r="E126" s="17">
        <f>'2.1. DM'!E126</f>
        <v>28</v>
      </c>
      <c r="F126" s="17" t="str">
        <f>'2.1. DM'!F126</f>
        <v>F252190</v>
      </c>
      <c r="G126" s="17" t="str">
        <f>'2.1. DM'!G126</f>
        <v>CIAT-BH22_3572</v>
      </c>
      <c r="H126" s="17" t="str">
        <f>'2.1. DM'!H126</f>
        <v>Urochloa</v>
      </c>
      <c r="I126" s="17" t="str">
        <f>'2.1. DM'!I126</f>
        <v>humidicola</v>
      </c>
      <c r="J126" s="17" t="str">
        <f>'2.1. DM'!J126</f>
        <v>Urochloa humidicola</v>
      </c>
      <c r="K126" s="17" t="str">
        <f>'2.1. DM'!K126</f>
        <v>Poaceae</v>
      </c>
      <c r="L126" s="17" t="str">
        <f>'2.1. DM'!L126</f>
        <v>Poales</v>
      </c>
      <c r="M126" s="17" t="str">
        <f>'2.1. DM'!M126</f>
        <v>grasses</v>
      </c>
      <c r="N126" s="17" t="str">
        <f>'2.1. DM'!N126</f>
        <v>60,61, 62</v>
      </c>
      <c r="O126" s="17" t="str">
        <f>'2.1. DM'!O126</f>
        <v>OT-021</v>
      </c>
      <c r="P126" s="10"/>
      <c r="Q126" s="73">
        <v>7.9813919097632402</v>
      </c>
      <c r="R126" s="345"/>
    </row>
    <row r="127" spans="2:18" x14ac:dyDescent="0.35">
      <c r="B127" s="17">
        <f>'2.1. DM'!B127</f>
        <v>117</v>
      </c>
      <c r="C127" s="17">
        <f>'2.1. DM'!C127</f>
        <v>46048</v>
      </c>
      <c r="D127" s="17" t="str">
        <f>'2.1. DM'!D127</f>
        <v>Genbank</v>
      </c>
      <c r="E127" s="17">
        <f>'2.1. DM'!E127</f>
        <v>28</v>
      </c>
      <c r="F127" s="17" t="str">
        <f>'2.1. DM'!F127</f>
        <v>F252191</v>
      </c>
      <c r="G127" s="17" t="str">
        <f>'2.1. DM'!G127</f>
        <v>CIAT-BH22_0517</v>
      </c>
      <c r="H127" s="17" t="str">
        <f>'2.1. DM'!H127</f>
        <v>Urochloa</v>
      </c>
      <c r="I127" s="17" t="str">
        <f>'2.1. DM'!I127</f>
        <v>humidicola</v>
      </c>
      <c r="J127" s="17" t="str">
        <f>'2.1. DM'!J127</f>
        <v>Urochloa humidicola</v>
      </c>
      <c r="K127" s="17" t="str">
        <f>'2.1. DM'!K127</f>
        <v>Poaceae</v>
      </c>
      <c r="L127" s="17" t="str">
        <f>'2.1. DM'!L127</f>
        <v>Poales</v>
      </c>
      <c r="M127" s="17" t="str">
        <f>'2.1. DM'!M127</f>
        <v>grasses</v>
      </c>
      <c r="N127" s="17" t="str">
        <f>'2.1. DM'!N127</f>
        <v>60,61, 62</v>
      </c>
      <c r="O127" s="17" t="str">
        <f>'2.1. DM'!O127</f>
        <v>OT-021</v>
      </c>
      <c r="P127" s="10"/>
      <c r="Q127" s="73">
        <v>8.1673498535180489</v>
      </c>
      <c r="R127" s="345">
        <f t="shared" si="26"/>
        <v>8.2099390330563473</v>
      </c>
    </row>
    <row r="128" spans="2:18" x14ac:dyDescent="0.35">
      <c r="B128" s="17">
        <f>'2.1. DM'!B128</f>
        <v>118</v>
      </c>
      <c r="C128" s="17">
        <f>'2.1. DM'!C128</f>
        <v>46048</v>
      </c>
      <c r="D128" s="17" t="str">
        <f>'2.1. DM'!D128</f>
        <v>Genbank</v>
      </c>
      <c r="E128" s="17">
        <f>'2.1. DM'!E128</f>
        <v>28</v>
      </c>
      <c r="F128" s="17" t="str">
        <f>'2.1. DM'!F128</f>
        <v>F252191</v>
      </c>
      <c r="G128" s="17" t="str">
        <f>'2.1. DM'!G128</f>
        <v>CIAT-BH22_0517</v>
      </c>
      <c r="H128" s="17" t="str">
        <f>'2.1. DM'!H128</f>
        <v>Urochloa</v>
      </c>
      <c r="I128" s="17" t="str">
        <f>'2.1. DM'!I128</f>
        <v>humidicola</v>
      </c>
      <c r="J128" s="17" t="str">
        <f>'2.1. DM'!J128</f>
        <v>Urochloa humidicola</v>
      </c>
      <c r="K128" s="17" t="str">
        <f>'2.1. DM'!K128</f>
        <v>Poaceae</v>
      </c>
      <c r="L128" s="17" t="str">
        <f>'2.1. DM'!L128</f>
        <v>Poales</v>
      </c>
      <c r="M128" s="17" t="str">
        <f>'2.1. DM'!M128</f>
        <v>grasses</v>
      </c>
      <c r="N128" s="17" t="str">
        <f>'2.1. DM'!N128</f>
        <v>60,61, 62</v>
      </c>
      <c r="O128" s="17" t="str">
        <f>'2.1. DM'!O128</f>
        <v>OT-021</v>
      </c>
      <c r="P128" s="10"/>
      <c r="Q128" s="73">
        <v>8.2525282125946475</v>
      </c>
      <c r="R128" s="345"/>
    </row>
    <row r="129" spans="2:18" x14ac:dyDescent="0.35">
      <c r="B129" s="17">
        <f>'2.1. DM'!B129</f>
        <v>119</v>
      </c>
      <c r="C129" s="17">
        <f>'2.1. DM'!C129</f>
        <v>46048</v>
      </c>
      <c r="D129" s="17" t="str">
        <f>'2.1. DM'!D129</f>
        <v>Genbank</v>
      </c>
      <c r="E129" s="17">
        <f>'2.1. DM'!E129</f>
        <v>28</v>
      </c>
      <c r="F129" s="17" t="str">
        <f>'2.1. DM'!F129</f>
        <v>F252192</v>
      </c>
      <c r="G129" s="17" t="str">
        <f>'2.1. DM'!G129</f>
        <v>CIAT-BH22_0519</v>
      </c>
      <c r="H129" s="17" t="str">
        <f>'2.1. DM'!H129</f>
        <v>Urochloa</v>
      </c>
      <c r="I129" s="17" t="str">
        <f>'2.1. DM'!I129</f>
        <v>humidicola</v>
      </c>
      <c r="J129" s="17" t="str">
        <f>'2.1. DM'!J129</f>
        <v>Urochloa humidicola</v>
      </c>
      <c r="K129" s="17" t="str">
        <f>'2.1. DM'!K129</f>
        <v>Poaceae</v>
      </c>
      <c r="L129" s="17" t="str">
        <f>'2.1. DM'!L129</f>
        <v>Poales</v>
      </c>
      <c r="M129" s="17" t="str">
        <f>'2.1. DM'!M129</f>
        <v>grasses</v>
      </c>
      <c r="N129" s="17" t="str">
        <f>'2.1. DM'!N129</f>
        <v>60,61, 62</v>
      </c>
      <c r="O129" s="17" t="str">
        <f>'2.1. DM'!O129</f>
        <v>OT-021</v>
      </c>
      <c r="P129" s="10"/>
      <c r="Q129" s="73">
        <v>9.3832551098585064</v>
      </c>
      <c r="R129" s="345">
        <f>AVERAGE(Q129:Q130)</f>
        <v>9.3605866828112365</v>
      </c>
    </row>
    <row r="130" spans="2:18" x14ac:dyDescent="0.35">
      <c r="B130" s="17">
        <f>'2.1. DM'!B130</f>
        <v>120</v>
      </c>
      <c r="C130" s="17">
        <f>'2.1. DM'!C130</f>
        <v>46048</v>
      </c>
      <c r="D130" s="17" t="str">
        <f>'2.1. DM'!D130</f>
        <v>Genbank</v>
      </c>
      <c r="E130" s="17">
        <f>'2.1. DM'!E130</f>
        <v>28</v>
      </c>
      <c r="F130" s="17" t="str">
        <f>'2.1. DM'!F130</f>
        <v>F252192</v>
      </c>
      <c r="G130" s="17" t="str">
        <f>'2.1. DM'!G130</f>
        <v>CIAT-BH22_0519</v>
      </c>
      <c r="H130" s="17" t="str">
        <f>'2.1. DM'!H130</f>
        <v>Urochloa</v>
      </c>
      <c r="I130" s="17" t="str">
        <f>'2.1. DM'!I130</f>
        <v>humidicola</v>
      </c>
      <c r="J130" s="17" t="str">
        <f>'2.1. DM'!J130</f>
        <v>Urochloa humidicola</v>
      </c>
      <c r="K130" s="17" t="str">
        <f>'2.1. DM'!K130</f>
        <v>Poaceae</v>
      </c>
      <c r="L130" s="17" t="str">
        <f>'2.1. DM'!L130</f>
        <v>Poales</v>
      </c>
      <c r="M130" s="17" t="str">
        <f>'2.1. DM'!M130</f>
        <v>grasses</v>
      </c>
      <c r="N130" s="17" t="str">
        <f>'2.1. DM'!N130</f>
        <v>60,61, 62</v>
      </c>
      <c r="O130" s="17" t="str">
        <f>'2.1. DM'!O130</f>
        <v>OT-021</v>
      </c>
      <c r="P130" s="10"/>
      <c r="Q130" s="73">
        <v>9.3379182557639666</v>
      </c>
      <c r="R130" s="345"/>
    </row>
    <row r="131" spans="2:18" x14ac:dyDescent="0.35">
      <c r="B131" s="17">
        <f>'2.1. DM'!B131</f>
        <v>121</v>
      </c>
      <c r="C131" s="17">
        <f>'2.1. DM'!C131</f>
        <v>46048</v>
      </c>
      <c r="D131" s="17" t="str">
        <f>'2.1. DM'!D131</f>
        <v>Genbank</v>
      </c>
      <c r="E131" s="17">
        <f>'2.1. DM'!E131</f>
        <v>28</v>
      </c>
      <c r="F131" s="17" t="str">
        <f>'2.1. DM'!F131</f>
        <v>F252193</v>
      </c>
      <c r="G131" s="17" t="str">
        <f>'2.1. DM'!G131</f>
        <v>CIAT-BH22_0521</v>
      </c>
      <c r="H131" s="17" t="str">
        <f>'2.1. DM'!H131</f>
        <v>Urochloa</v>
      </c>
      <c r="I131" s="17" t="str">
        <f>'2.1. DM'!I131</f>
        <v>humidicola</v>
      </c>
      <c r="J131" s="17" t="str">
        <f>'2.1. DM'!J131</f>
        <v>Urochloa humidicola</v>
      </c>
      <c r="K131" s="17" t="str">
        <f>'2.1. DM'!K131</f>
        <v>Poaceae</v>
      </c>
      <c r="L131" s="17" t="str">
        <f>'2.1. DM'!L131</f>
        <v>Poales</v>
      </c>
      <c r="M131" s="17" t="str">
        <f>'2.1. DM'!M131</f>
        <v>grasses</v>
      </c>
      <c r="N131" s="17" t="str">
        <f>'2.1. DM'!N131</f>
        <v>60,61, 62</v>
      </c>
      <c r="O131" s="17" t="str">
        <f>'2.1. DM'!O131</f>
        <v>OT-021</v>
      </c>
      <c r="P131" s="17"/>
      <c r="Q131" s="18">
        <v>9.0028106702587074</v>
      </c>
      <c r="R131" s="345">
        <f t="shared" ref="R131:R193" si="27">AVERAGE(Q131:Q132)</f>
        <v>9.0289474871743671</v>
      </c>
    </row>
    <row r="132" spans="2:18" x14ac:dyDescent="0.35">
      <c r="B132" s="17">
        <f>'2.1. DM'!B132</f>
        <v>122</v>
      </c>
      <c r="C132" s="17">
        <f>'2.1. DM'!C132</f>
        <v>46048</v>
      </c>
      <c r="D132" s="17" t="str">
        <f>'2.1. DM'!D132</f>
        <v>Genbank</v>
      </c>
      <c r="E132" s="17">
        <f>'2.1. DM'!E132</f>
        <v>28</v>
      </c>
      <c r="F132" s="17" t="str">
        <f>'2.1. DM'!F132</f>
        <v>F252193</v>
      </c>
      <c r="G132" s="17" t="str">
        <f>'2.1. DM'!G132</f>
        <v>CIAT-BH22_0521</v>
      </c>
      <c r="H132" s="17" t="str">
        <f>'2.1. DM'!H132</f>
        <v>Urochloa</v>
      </c>
      <c r="I132" s="17" t="str">
        <f>'2.1. DM'!I132</f>
        <v>humidicola</v>
      </c>
      <c r="J132" s="17" t="str">
        <f>'2.1. DM'!J132</f>
        <v>Urochloa humidicola</v>
      </c>
      <c r="K132" s="17" t="str">
        <f>'2.1. DM'!K132</f>
        <v>Poaceae</v>
      </c>
      <c r="L132" s="17" t="str">
        <f>'2.1. DM'!L132</f>
        <v>Poales</v>
      </c>
      <c r="M132" s="17" t="str">
        <f>'2.1. DM'!M132</f>
        <v>grasses</v>
      </c>
      <c r="N132" s="17" t="str">
        <f>'2.1. DM'!N132</f>
        <v>60,61, 62</v>
      </c>
      <c r="O132" s="17" t="str">
        <f>'2.1. DM'!O132</f>
        <v>OT-021</v>
      </c>
      <c r="P132" s="19"/>
      <c r="Q132" s="20">
        <v>9.0550843040900286</v>
      </c>
      <c r="R132" s="345"/>
    </row>
    <row r="133" spans="2:18" x14ac:dyDescent="0.35">
      <c r="B133" s="17">
        <f>'2.1. DM'!B133</f>
        <v>123</v>
      </c>
      <c r="C133" s="17">
        <f>'2.1. DM'!C133</f>
        <v>46048</v>
      </c>
      <c r="D133" s="17" t="str">
        <f>'2.1. DM'!D133</f>
        <v>Genbank</v>
      </c>
      <c r="E133" s="17">
        <f>'2.1. DM'!E133</f>
        <v>28</v>
      </c>
      <c r="F133" s="17" t="str">
        <f>'2.1. DM'!F133</f>
        <v>F252574</v>
      </c>
      <c r="G133" s="17" t="str">
        <f>'2.1. DM'!G133</f>
        <v>CIAT326</v>
      </c>
      <c r="H133" s="17" t="str">
        <f>'2.1. DM'!H133</f>
        <v>Desmodium</v>
      </c>
      <c r="I133" s="17" t="str">
        <f>'2.1. DM'!I133</f>
        <v>scorpiurus</v>
      </c>
      <c r="J133" s="17" t="str">
        <f>'2.1. DM'!J133</f>
        <v>Desmodium scorpiurus</v>
      </c>
      <c r="K133" s="17" t="str">
        <f>'2.1. DM'!K133</f>
        <v>Fabaceae</v>
      </c>
      <c r="L133" s="17" t="str">
        <f>'2.1. DM'!L133</f>
        <v>Fabales</v>
      </c>
      <c r="M133" s="17" t="str">
        <f>'2.1. DM'!M133</f>
        <v>Herbaceous</v>
      </c>
      <c r="N133" s="17" t="str">
        <f>'2.1. DM'!N133</f>
        <v>60,61, 62</v>
      </c>
      <c r="O133" s="17" t="str">
        <f>'2.1. DM'!O133</f>
        <v>OT-031</v>
      </c>
      <c r="P133" s="10"/>
      <c r="Q133" s="73">
        <v>28.60156824647801</v>
      </c>
      <c r="R133" s="345">
        <f t="shared" si="27"/>
        <v>28.623722525353291</v>
      </c>
    </row>
    <row r="134" spans="2:18" x14ac:dyDescent="0.35">
      <c r="B134" s="17">
        <f>'2.1. DM'!B134</f>
        <v>124</v>
      </c>
      <c r="C134" s="17">
        <f>'2.1. DM'!C134</f>
        <v>46048</v>
      </c>
      <c r="D134" s="17" t="str">
        <f>'2.1. DM'!D134</f>
        <v>Genbank</v>
      </c>
      <c r="E134" s="17">
        <f>'2.1. DM'!E134</f>
        <v>28</v>
      </c>
      <c r="F134" s="17" t="str">
        <f>'2.1. DM'!F134</f>
        <v>F252574</v>
      </c>
      <c r="G134" s="17" t="str">
        <f>'2.1. DM'!G134</f>
        <v>CIAT326</v>
      </c>
      <c r="H134" s="17" t="str">
        <f>'2.1. DM'!H134</f>
        <v>Desmodium</v>
      </c>
      <c r="I134" s="17" t="str">
        <f>'2.1. DM'!I134</f>
        <v>scorpiurus</v>
      </c>
      <c r="J134" s="17" t="str">
        <f>'2.1. DM'!J134</f>
        <v>Desmodium scorpiurus</v>
      </c>
      <c r="K134" s="17" t="str">
        <f>'2.1. DM'!K134</f>
        <v>Fabaceae</v>
      </c>
      <c r="L134" s="17" t="str">
        <f>'2.1. DM'!L134</f>
        <v>Fabales</v>
      </c>
      <c r="M134" s="17" t="str">
        <f>'2.1. DM'!M134</f>
        <v>Herbaceous</v>
      </c>
      <c r="N134" s="17" t="str">
        <f>'2.1. DM'!N134</f>
        <v>60,61, 62</v>
      </c>
      <c r="O134" s="17" t="str">
        <f>'2.1. DM'!O134</f>
        <v>OT-031</v>
      </c>
      <c r="P134" s="10"/>
      <c r="Q134" s="73">
        <v>28.645876804228571</v>
      </c>
      <c r="R134" s="345"/>
    </row>
    <row r="135" spans="2:18" x14ac:dyDescent="0.35">
      <c r="B135" s="17">
        <f>'2.1. DM'!B135</f>
        <v>125</v>
      </c>
      <c r="C135" s="17">
        <f>'2.1. DM'!C135</f>
        <v>46048</v>
      </c>
      <c r="D135" s="17" t="str">
        <f>'2.1. DM'!D135</f>
        <v>Jacobo Arango/Alejandro Montoya</v>
      </c>
      <c r="E135" s="17">
        <f>'2.1. DM'!E135</f>
        <v>28</v>
      </c>
      <c r="F135" s="17" t="str">
        <f>'2.1. DM'!F135</f>
        <v>F250008</v>
      </c>
      <c r="G135" s="17" t="str">
        <f>'2.1. DM'!G135</f>
        <v>Sample 8</v>
      </c>
      <c r="H135" s="17" t="str">
        <f>'2.1. DM'!H135</f>
        <v>Cynodon</v>
      </c>
      <c r="I135" s="17" t="str">
        <f>'2.1. DM'!I135</f>
        <v xml:space="preserve"> nlemfuensis </v>
      </c>
      <c r="J135" s="17" t="str">
        <f>'2.1. DM'!J135</f>
        <v xml:space="preserve">Cynodon nlemfuensis </v>
      </c>
      <c r="K135" s="17" t="str">
        <f>'2.1. DM'!K135</f>
        <v>Poaceae</v>
      </c>
      <c r="L135" s="17" t="str">
        <f>'2.1. DM'!L135</f>
        <v>Poales</v>
      </c>
      <c r="M135" s="17" t="str">
        <f>'2.1. DM'!M135</f>
        <v>grasses</v>
      </c>
      <c r="N135" s="17" t="str">
        <f>'2.1. DM'!N135</f>
        <v>60,61, 62</v>
      </c>
      <c r="O135" s="17" t="str">
        <f>'2.1. DM'!O135</f>
        <v>OT-002</v>
      </c>
      <c r="P135" s="10"/>
      <c r="Q135" s="20"/>
      <c r="R135" s="345">
        <v>13.1</v>
      </c>
    </row>
    <row r="136" spans="2:18" x14ac:dyDescent="0.35">
      <c r="B136" s="17">
        <f>'2.1. DM'!B136</f>
        <v>126</v>
      </c>
      <c r="C136" s="17">
        <f>'2.1. DM'!C136</f>
        <v>46048</v>
      </c>
      <c r="D136" s="17" t="str">
        <f>'2.1. DM'!D136</f>
        <v>Jacobo Arango/Alejandro Montoya</v>
      </c>
      <c r="E136" s="17">
        <f>'2.1. DM'!E136</f>
        <v>28</v>
      </c>
      <c r="F136" s="17" t="str">
        <f>'2.1. DM'!F136</f>
        <v>F250008</v>
      </c>
      <c r="G136" s="17" t="str">
        <f>'2.1. DM'!G136</f>
        <v>Sample 8</v>
      </c>
      <c r="H136" s="17" t="str">
        <f>'2.1. DM'!H136</f>
        <v>Cynodon</v>
      </c>
      <c r="I136" s="17" t="str">
        <f>'2.1. DM'!I136</f>
        <v xml:space="preserve"> nlemfuensis </v>
      </c>
      <c r="J136" s="17" t="str">
        <f>'2.1. DM'!J136</f>
        <v xml:space="preserve">Cynodon nlemfuensis </v>
      </c>
      <c r="K136" s="17" t="str">
        <f>'2.1. DM'!K136</f>
        <v>Poaceae</v>
      </c>
      <c r="L136" s="17" t="str">
        <f>'2.1. DM'!L136</f>
        <v>Poales</v>
      </c>
      <c r="M136" s="17" t="str">
        <f>'2.1. DM'!M136</f>
        <v>grasses</v>
      </c>
      <c r="N136" s="17" t="str">
        <f>'2.1. DM'!N136</f>
        <v>60,61, 62</v>
      </c>
      <c r="O136" s="17" t="str">
        <f>'2.1. DM'!O136</f>
        <v>OT-002</v>
      </c>
      <c r="P136" s="10"/>
      <c r="Q136" s="20"/>
      <c r="R136" s="345"/>
    </row>
    <row r="137" spans="2:18" x14ac:dyDescent="0.35">
      <c r="B137" s="17">
        <f>'2.1. DM'!B137</f>
        <v>127</v>
      </c>
      <c r="C137" s="17">
        <f>'2.1. DM'!C137</f>
        <v>46048</v>
      </c>
      <c r="D137" s="17" t="str">
        <f>'2.1. DM'!D137</f>
        <v>Genbank</v>
      </c>
      <c r="E137" s="17">
        <f>'2.1. DM'!E137</f>
        <v>28</v>
      </c>
      <c r="F137" s="17" t="str">
        <f>'2.1. DM'!F137</f>
        <v>F252575</v>
      </c>
      <c r="G137" s="17" t="str">
        <f>'2.1. DM'!G137</f>
        <v>CIAT415</v>
      </c>
      <c r="H137" s="17" t="str">
        <f>'2.1. DM'!H137</f>
        <v>Vigna</v>
      </c>
      <c r="I137" s="17" t="str">
        <f>'2.1. DM'!I137</f>
        <v>radiata</v>
      </c>
      <c r="J137" s="17" t="str">
        <f>'2.1. DM'!J137</f>
        <v>Vigna radiata</v>
      </c>
      <c r="K137" s="17" t="str">
        <f>'2.1. DM'!K137</f>
        <v>Fabaceae</v>
      </c>
      <c r="L137" s="17" t="str">
        <f>'2.1. DM'!L137</f>
        <v>Fabales</v>
      </c>
      <c r="M137" s="17" t="str">
        <f>'2.1. DM'!M137</f>
        <v>Herbaceous</v>
      </c>
      <c r="N137" s="17" t="str">
        <f>'2.1. DM'!N137</f>
        <v>60,61, 62</v>
      </c>
      <c r="O137" s="17" t="str">
        <f>'2.1. DM'!O137</f>
        <v>OT-031</v>
      </c>
      <c r="P137" s="10"/>
      <c r="Q137" s="20">
        <v>26.957736093732475</v>
      </c>
      <c r="R137" s="345">
        <f t="shared" si="27"/>
        <v>26.957736093732475</v>
      </c>
    </row>
    <row r="138" spans="2:18" x14ac:dyDescent="0.35">
      <c r="B138" s="17">
        <f>'2.1. DM'!B138</f>
        <v>128</v>
      </c>
      <c r="C138" s="17">
        <f>'2.1. DM'!C138</f>
        <v>46048</v>
      </c>
      <c r="D138" s="17" t="str">
        <f>'2.1. DM'!D138</f>
        <v>Genbank</v>
      </c>
      <c r="E138" s="17">
        <f>'2.1. DM'!E138</f>
        <v>28</v>
      </c>
      <c r="F138" s="17" t="str">
        <f>'2.1. DM'!F138</f>
        <v>F252575</v>
      </c>
      <c r="G138" s="17" t="str">
        <f>'2.1. DM'!G138</f>
        <v>CIAT415</v>
      </c>
      <c r="H138" s="17" t="str">
        <f>'2.1. DM'!H138</f>
        <v>Vigna</v>
      </c>
      <c r="I138" s="17" t="str">
        <f>'2.1. DM'!I138</f>
        <v>radiata</v>
      </c>
      <c r="J138" s="17" t="str">
        <f>'2.1. DM'!J138</f>
        <v>Vigna radiata</v>
      </c>
      <c r="K138" s="17" t="str">
        <f>'2.1. DM'!K138</f>
        <v>Fabaceae</v>
      </c>
      <c r="L138" s="17" t="str">
        <f>'2.1. DM'!L138</f>
        <v>Fabales</v>
      </c>
      <c r="M138" s="17" t="str">
        <f>'2.1. DM'!M138</f>
        <v>Herbaceous</v>
      </c>
      <c r="N138" s="17" t="str">
        <f>'2.1. DM'!N138</f>
        <v>60,61, 62</v>
      </c>
      <c r="O138" s="17" t="str">
        <f>'2.1. DM'!O138</f>
        <v>OT-031</v>
      </c>
      <c r="P138" s="10"/>
      <c r="Q138" s="20">
        <v>26.957736093732475</v>
      </c>
      <c r="R138" s="345"/>
    </row>
    <row r="139" spans="2:18" x14ac:dyDescent="0.35">
      <c r="B139" s="17">
        <f>'2.1. DM'!B139</f>
        <v>129</v>
      </c>
      <c r="C139" s="17">
        <f>'2.1. DM'!C139</f>
        <v>46048</v>
      </c>
      <c r="D139" s="17" t="str">
        <f>'2.1. DM'!D139</f>
        <v>Genbank</v>
      </c>
      <c r="E139" s="17">
        <f>'2.1. DM'!E139</f>
        <v>28</v>
      </c>
      <c r="F139" s="17" t="str">
        <f>'2.1. DM'!F139</f>
        <v>F252576</v>
      </c>
      <c r="G139" s="17" t="str">
        <f>'2.1. DM'!G139</f>
        <v>CIAT416</v>
      </c>
      <c r="H139" s="17" t="str">
        <f>'2.1. DM'!H139</f>
        <v>Vigna</v>
      </c>
      <c r="I139" s="17" t="str">
        <f>'2.1. DM'!I139</f>
        <v>radiata</v>
      </c>
      <c r="J139" s="17" t="str">
        <f>'2.1. DM'!J139</f>
        <v>Vigna radiata</v>
      </c>
      <c r="K139" s="17" t="str">
        <f>'2.1. DM'!K139</f>
        <v>Fabaceae</v>
      </c>
      <c r="L139" s="17" t="str">
        <f>'2.1. DM'!L139</f>
        <v>Fabales</v>
      </c>
      <c r="M139" s="17" t="str">
        <f>'2.1. DM'!M139</f>
        <v>Herbaceous</v>
      </c>
      <c r="N139" s="17" t="str">
        <f>'2.1. DM'!N139</f>
        <v>60,61, 62</v>
      </c>
      <c r="O139" s="17" t="str">
        <f>'2.1. DM'!O139</f>
        <v>OT-031</v>
      </c>
      <c r="P139" s="10"/>
      <c r="Q139" s="20">
        <v>26.837377821064617</v>
      </c>
      <c r="R139" s="345">
        <f t="shared" si="27"/>
        <v>26.837377821064617</v>
      </c>
    </row>
    <row r="140" spans="2:18" x14ac:dyDescent="0.35">
      <c r="B140" s="17">
        <f>'2.1. DM'!B140</f>
        <v>130</v>
      </c>
      <c r="C140" s="17">
        <f>'2.1. DM'!C140</f>
        <v>46048</v>
      </c>
      <c r="D140" s="17" t="str">
        <f>'2.1. DM'!D140</f>
        <v>Genbank</v>
      </c>
      <c r="E140" s="17">
        <f>'2.1. DM'!E140</f>
        <v>28</v>
      </c>
      <c r="F140" s="17" t="str">
        <f>'2.1. DM'!F140</f>
        <v>F252576</v>
      </c>
      <c r="G140" s="17" t="str">
        <f>'2.1. DM'!G140</f>
        <v>CIAT416</v>
      </c>
      <c r="H140" s="17" t="str">
        <f>'2.1. DM'!H140</f>
        <v>Vigna</v>
      </c>
      <c r="I140" s="17" t="str">
        <f>'2.1. DM'!I140</f>
        <v>radiata</v>
      </c>
      <c r="J140" s="17" t="str">
        <f>'2.1. DM'!J140</f>
        <v>Vigna radiata</v>
      </c>
      <c r="K140" s="17" t="str">
        <f>'2.1. DM'!K140</f>
        <v>Fabaceae</v>
      </c>
      <c r="L140" s="17" t="str">
        <f>'2.1. DM'!L140</f>
        <v>Fabales</v>
      </c>
      <c r="M140" s="17" t="str">
        <f>'2.1. DM'!M140</f>
        <v>Herbaceous</v>
      </c>
      <c r="N140" s="17" t="str">
        <f>'2.1. DM'!N140</f>
        <v>60,61, 62</v>
      </c>
      <c r="O140" s="17" t="str">
        <f>'2.1. DM'!O140</f>
        <v>OT-031</v>
      </c>
      <c r="P140" s="10"/>
      <c r="Q140" s="20">
        <v>26.837377821064617</v>
      </c>
      <c r="R140" s="345"/>
    </row>
    <row r="141" spans="2:18" x14ac:dyDescent="0.35">
      <c r="B141" s="17">
        <f>'2.1. DM'!B141</f>
        <v>131</v>
      </c>
      <c r="C141" s="17">
        <f>'2.1. DM'!C141</f>
        <v>46048</v>
      </c>
      <c r="D141" s="17" t="str">
        <f>'2.1. DM'!D141</f>
        <v>Genbank</v>
      </c>
      <c r="E141" s="17">
        <f>'2.1. DM'!E141</f>
        <v>28</v>
      </c>
      <c r="F141" s="17" t="str">
        <f>'2.1. DM'!F141</f>
        <v>F252577</v>
      </c>
      <c r="G141" s="17" t="str">
        <f>'2.1. DM'!G141</f>
        <v>CIAT517</v>
      </c>
      <c r="H141" s="17" t="str">
        <f>'2.1. DM'!H141</f>
        <v>Macroptilium</v>
      </c>
      <c r="I141" s="17" t="str">
        <f>'2.1. DM'!I141</f>
        <v>atropurpureum</v>
      </c>
      <c r="J141" s="17" t="str">
        <f>'2.1. DM'!J141</f>
        <v>Macroptilium atropurpureum</v>
      </c>
      <c r="K141" s="17" t="str">
        <f>'2.1. DM'!K141</f>
        <v>Fabaceae</v>
      </c>
      <c r="L141" s="17" t="str">
        <f>'2.1. DM'!L141</f>
        <v>Fabales</v>
      </c>
      <c r="M141" s="17" t="str">
        <f>'2.1. DM'!M141</f>
        <v>Herbaceous</v>
      </c>
      <c r="N141" s="17" t="str">
        <f>'2.1. DM'!N141</f>
        <v>60,61, 62</v>
      </c>
      <c r="O141" s="17" t="str">
        <f>'2.1. DM'!O141</f>
        <v>OT-031</v>
      </c>
      <c r="P141" s="10"/>
      <c r="Q141" s="20">
        <v>23.684026559220481</v>
      </c>
      <c r="R141" s="345">
        <f t="shared" si="27"/>
        <v>23.684026559220481</v>
      </c>
    </row>
    <row r="142" spans="2:18" x14ac:dyDescent="0.35">
      <c r="B142" s="17">
        <f>'2.1. DM'!B142</f>
        <v>132</v>
      </c>
      <c r="C142" s="17">
        <f>'2.1. DM'!C142</f>
        <v>46048</v>
      </c>
      <c r="D142" s="17" t="str">
        <f>'2.1. DM'!D142</f>
        <v>Genbank</v>
      </c>
      <c r="E142" s="17">
        <f>'2.1. DM'!E142</f>
        <v>28</v>
      </c>
      <c r="F142" s="17" t="str">
        <f>'2.1. DM'!F142</f>
        <v>F252577</v>
      </c>
      <c r="G142" s="17" t="str">
        <f>'2.1. DM'!G142</f>
        <v>CIAT517</v>
      </c>
      <c r="H142" s="17" t="str">
        <f>'2.1. DM'!H142</f>
        <v>Macroptilium</v>
      </c>
      <c r="I142" s="17" t="str">
        <f>'2.1. DM'!I142</f>
        <v>atropurpureum</v>
      </c>
      <c r="J142" s="17" t="str">
        <f>'2.1. DM'!J142</f>
        <v>Macroptilium atropurpureum</v>
      </c>
      <c r="K142" s="17" t="str">
        <f>'2.1. DM'!K142</f>
        <v>Fabaceae</v>
      </c>
      <c r="L142" s="17" t="str">
        <f>'2.1. DM'!L142</f>
        <v>Fabales</v>
      </c>
      <c r="M142" s="17" t="str">
        <f>'2.1. DM'!M142</f>
        <v>Herbaceous</v>
      </c>
      <c r="N142" s="17" t="str">
        <f>'2.1. DM'!N142</f>
        <v>60,61, 62</v>
      </c>
      <c r="O142" s="17" t="str">
        <f>'2.1. DM'!O142</f>
        <v>OT-031</v>
      </c>
      <c r="P142" s="10"/>
      <c r="Q142" s="20">
        <v>23.684026559220481</v>
      </c>
      <c r="R142" s="345"/>
    </row>
    <row r="143" spans="2:18" x14ac:dyDescent="0.35">
      <c r="B143" s="17">
        <f>'2.1. DM'!B143</f>
        <v>133</v>
      </c>
      <c r="C143" s="17">
        <f>'2.1. DM'!C143</f>
        <v>46048</v>
      </c>
      <c r="D143" s="17" t="str">
        <f>'2.1. DM'!D143</f>
        <v>Genbank</v>
      </c>
      <c r="E143" s="17">
        <f>'2.1. DM'!E143</f>
        <v>28</v>
      </c>
      <c r="F143" s="17" t="str">
        <f>'2.1. DM'!F143</f>
        <v>F252578</v>
      </c>
      <c r="G143" s="17" t="str">
        <f>'2.1. DM'!G143</f>
        <v>CIAT563</v>
      </c>
      <c r="H143" s="17" t="str">
        <f>'2.1. DM'!H143</f>
        <v>Macroptilium</v>
      </c>
      <c r="I143" s="17" t="str">
        <f>'2.1. DM'!I143</f>
        <v>bracteatum</v>
      </c>
      <c r="J143" s="17" t="str">
        <f>'2.1. DM'!J143</f>
        <v>Macroptilium bracteatum</v>
      </c>
      <c r="K143" s="17" t="str">
        <f>'2.1. DM'!K143</f>
        <v>Fabaceae</v>
      </c>
      <c r="L143" s="17" t="str">
        <f>'2.1. DM'!L143</f>
        <v>Fabales</v>
      </c>
      <c r="M143" s="17" t="str">
        <f>'2.1. DM'!M143</f>
        <v>Herbaceous</v>
      </c>
      <c r="N143" s="17" t="str">
        <f>'2.1. DM'!N143</f>
        <v>60,61, 62</v>
      </c>
      <c r="O143" s="17" t="str">
        <f>'2.1. DM'!O143</f>
        <v>OT-031</v>
      </c>
      <c r="P143" s="10"/>
      <c r="Q143" s="20">
        <v>21.857304649704218</v>
      </c>
      <c r="R143" s="345">
        <f t="shared" si="27"/>
        <v>21.857304649704218</v>
      </c>
    </row>
    <row r="144" spans="2:18" x14ac:dyDescent="0.35">
      <c r="B144" s="17">
        <f>'2.1. DM'!B144</f>
        <v>134</v>
      </c>
      <c r="C144" s="17">
        <f>'2.1. DM'!C144</f>
        <v>46048</v>
      </c>
      <c r="D144" s="17" t="str">
        <f>'2.1. DM'!D144</f>
        <v>Genbank</v>
      </c>
      <c r="E144" s="17">
        <f>'2.1. DM'!E144</f>
        <v>28</v>
      </c>
      <c r="F144" s="17" t="str">
        <f>'2.1. DM'!F144</f>
        <v>F252578</v>
      </c>
      <c r="G144" s="17" t="str">
        <f>'2.1. DM'!G144</f>
        <v>CIAT563</v>
      </c>
      <c r="H144" s="17" t="str">
        <f>'2.1. DM'!H144</f>
        <v>Macroptilium</v>
      </c>
      <c r="I144" s="17" t="str">
        <f>'2.1. DM'!I144</f>
        <v>bracteatum</v>
      </c>
      <c r="J144" s="17" t="str">
        <f>'2.1. DM'!J144</f>
        <v>Macroptilium bracteatum</v>
      </c>
      <c r="K144" s="17" t="str">
        <f>'2.1. DM'!K144</f>
        <v>Fabaceae</v>
      </c>
      <c r="L144" s="17" t="str">
        <f>'2.1. DM'!L144</f>
        <v>Fabales</v>
      </c>
      <c r="M144" s="17" t="str">
        <f>'2.1. DM'!M144</f>
        <v>Herbaceous</v>
      </c>
      <c r="N144" s="17" t="str">
        <f>'2.1. DM'!N144</f>
        <v>60,61, 62</v>
      </c>
      <c r="O144" s="17" t="str">
        <f>'2.1. DM'!O144</f>
        <v>OT-031</v>
      </c>
      <c r="P144" s="10"/>
      <c r="Q144" s="20">
        <v>21.857304649704218</v>
      </c>
      <c r="R144" s="345"/>
    </row>
    <row r="145" spans="2:18" x14ac:dyDescent="0.35">
      <c r="B145" s="17">
        <f>'2.1. DM'!B145</f>
        <v>135</v>
      </c>
      <c r="C145" s="17">
        <f>'2.1. DM'!C145</f>
        <v>46048</v>
      </c>
      <c r="D145" s="17" t="str">
        <f>'2.1. DM'!D145</f>
        <v>Genbank</v>
      </c>
      <c r="E145" s="17">
        <f>'2.1. DM'!E145</f>
        <v>28</v>
      </c>
      <c r="F145" s="17" t="str">
        <f>'2.1. DM'!F145</f>
        <v>F252579</v>
      </c>
      <c r="G145" s="17" t="str">
        <f>'2.1. DM'!G145</f>
        <v>CIAT789</v>
      </c>
      <c r="H145" s="17" t="str">
        <f>'2.1. DM'!H145</f>
        <v>Zornia</v>
      </c>
      <c r="I145" s="17" t="str">
        <f>'2.1. DM'!I145</f>
        <v>latifolia</v>
      </c>
      <c r="J145" s="17" t="str">
        <f>'2.1. DM'!J145</f>
        <v>Zornia latifolia</v>
      </c>
      <c r="K145" s="17" t="str">
        <f>'2.1. DM'!K145</f>
        <v>Fabaceae</v>
      </c>
      <c r="L145" s="17" t="str">
        <f>'2.1. DM'!L145</f>
        <v>Fabales</v>
      </c>
      <c r="M145" s="17" t="str">
        <f>'2.1. DM'!M145</f>
        <v>Herbaceous</v>
      </c>
      <c r="N145" s="17" t="str">
        <f>'2.1. DM'!N145</f>
        <v>60,61, 62</v>
      </c>
      <c r="O145" s="17" t="str">
        <f>'2.1. DM'!O145</f>
        <v>OT-031</v>
      </c>
      <c r="P145" s="10"/>
      <c r="Q145" s="20">
        <v>14.788570035286847</v>
      </c>
      <c r="R145" s="345">
        <f t="shared" si="27"/>
        <v>14.788570035286847</v>
      </c>
    </row>
    <row r="146" spans="2:18" x14ac:dyDescent="0.35">
      <c r="B146" s="17">
        <f>'2.1. DM'!B146</f>
        <v>136</v>
      </c>
      <c r="C146" s="17">
        <f>'2.1. DM'!C146</f>
        <v>46048</v>
      </c>
      <c r="D146" s="17" t="str">
        <f>'2.1. DM'!D146</f>
        <v>Genbank</v>
      </c>
      <c r="E146" s="17">
        <f>'2.1. DM'!E146</f>
        <v>28</v>
      </c>
      <c r="F146" s="17" t="str">
        <f>'2.1. DM'!F146</f>
        <v>F252579</v>
      </c>
      <c r="G146" s="17" t="str">
        <f>'2.1. DM'!G146</f>
        <v>CIAT789</v>
      </c>
      <c r="H146" s="17" t="str">
        <f>'2.1. DM'!H146</f>
        <v>Zornia</v>
      </c>
      <c r="I146" s="17" t="str">
        <f>'2.1. DM'!I146</f>
        <v>latifolia</v>
      </c>
      <c r="J146" s="17" t="str">
        <f>'2.1. DM'!J146</f>
        <v>Zornia latifolia</v>
      </c>
      <c r="K146" s="17" t="str">
        <f>'2.1. DM'!K146</f>
        <v>Fabaceae</v>
      </c>
      <c r="L146" s="17" t="str">
        <f>'2.1. DM'!L146</f>
        <v>Fabales</v>
      </c>
      <c r="M146" s="17" t="str">
        <f>'2.1. DM'!M146</f>
        <v>Herbaceous</v>
      </c>
      <c r="N146" s="17" t="str">
        <f>'2.1. DM'!N146</f>
        <v>60,61, 62</v>
      </c>
      <c r="O146" s="17" t="str">
        <f>'2.1. DM'!O146</f>
        <v>OT-031</v>
      </c>
      <c r="P146" s="10"/>
      <c r="Q146" s="20">
        <v>14.788570035286847</v>
      </c>
      <c r="R146" s="345"/>
    </row>
    <row r="147" spans="2:18" x14ac:dyDescent="0.35">
      <c r="B147" s="17">
        <f>'2.1. DM'!B147</f>
        <v>137</v>
      </c>
      <c r="C147" s="17">
        <f>'2.1. DM'!C147</f>
        <v>46048</v>
      </c>
      <c r="D147" s="17" t="str">
        <f>'2.1. DM'!D147</f>
        <v>Genbank</v>
      </c>
      <c r="E147" s="17">
        <f>'2.1. DM'!E147</f>
        <v>28</v>
      </c>
      <c r="F147" s="17" t="str">
        <f>'2.1. DM'!F147</f>
        <v>F252580</v>
      </c>
      <c r="G147" s="17" t="str">
        <f>'2.1. DM'!G147</f>
        <v>CIAT2085</v>
      </c>
      <c r="H147" s="17" t="str">
        <f>'2.1. DM'!H147</f>
        <v>Stylosanthes</v>
      </c>
      <c r="I147" s="17" t="str">
        <f>'2.1. DM'!I147</f>
        <v>seabrana</v>
      </c>
      <c r="J147" s="17" t="str">
        <f>'2.1. DM'!J147</f>
        <v>Stylosanthes seabrana</v>
      </c>
      <c r="K147" s="17" t="str">
        <f>'2.1. DM'!K147</f>
        <v>Fabaceae</v>
      </c>
      <c r="L147" s="17" t="str">
        <f>'2.1. DM'!L147</f>
        <v>Fabales</v>
      </c>
      <c r="M147" s="17" t="str">
        <f>'2.1. DM'!M147</f>
        <v>Herbaceous</v>
      </c>
      <c r="N147" s="17" t="str">
        <f>'2.1. DM'!N147</f>
        <v>60,61, 62</v>
      </c>
      <c r="O147" s="17" t="str">
        <f>'2.1. DM'!O147</f>
        <v>OT-031</v>
      </c>
      <c r="P147" s="10"/>
      <c r="Q147" s="20">
        <v>18.709963746160142</v>
      </c>
      <c r="R147" s="345">
        <f t="shared" si="27"/>
        <v>18.709963746160142</v>
      </c>
    </row>
    <row r="148" spans="2:18" x14ac:dyDescent="0.35">
      <c r="B148" s="17">
        <f>'2.1. DM'!B148</f>
        <v>138</v>
      </c>
      <c r="C148" s="17">
        <f>'2.1. DM'!C148</f>
        <v>46048</v>
      </c>
      <c r="D148" s="17" t="str">
        <f>'2.1. DM'!D148</f>
        <v>Genbank</v>
      </c>
      <c r="E148" s="17">
        <f>'2.1. DM'!E148</f>
        <v>28</v>
      </c>
      <c r="F148" s="17" t="str">
        <f>'2.1. DM'!F148</f>
        <v>F252580</v>
      </c>
      <c r="G148" s="17" t="str">
        <f>'2.1. DM'!G148</f>
        <v>CIAT2085</v>
      </c>
      <c r="H148" s="17" t="str">
        <f>'2.1. DM'!H148</f>
        <v>Stylosanthes</v>
      </c>
      <c r="I148" s="17" t="str">
        <f>'2.1. DM'!I148</f>
        <v>seabrana</v>
      </c>
      <c r="J148" s="17" t="str">
        <f>'2.1. DM'!J148</f>
        <v>Stylosanthes seabrana</v>
      </c>
      <c r="K148" s="17" t="str">
        <f>'2.1. DM'!K148</f>
        <v>Fabaceae</v>
      </c>
      <c r="L148" s="17" t="str">
        <f>'2.1. DM'!L148</f>
        <v>Fabales</v>
      </c>
      <c r="M148" s="17" t="str">
        <f>'2.1. DM'!M148</f>
        <v>Herbaceous</v>
      </c>
      <c r="N148" s="17" t="str">
        <f>'2.1. DM'!N148</f>
        <v>60,61, 62</v>
      </c>
      <c r="O148" s="17" t="str">
        <f>'2.1. DM'!O148</f>
        <v>OT-031</v>
      </c>
      <c r="P148" s="10"/>
      <c r="Q148" s="20">
        <v>18.709963746160142</v>
      </c>
      <c r="R148" s="345"/>
    </row>
    <row r="149" spans="2:18" x14ac:dyDescent="0.35">
      <c r="B149" s="17">
        <f>'2.1. DM'!B149</f>
        <v>139</v>
      </c>
      <c r="C149" s="17">
        <f>'2.1. DM'!C149</f>
        <v>46048</v>
      </c>
      <c r="D149" s="17" t="str">
        <f>'2.1. DM'!D149</f>
        <v>Genbank</v>
      </c>
      <c r="E149" s="17">
        <f>'2.1. DM'!E149</f>
        <v>28</v>
      </c>
      <c r="F149" s="17" t="str">
        <f>'2.1. DM'!F149</f>
        <v>F252581</v>
      </c>
      <c r="G149" s="17" t="str">
        <f>'2.1. DM'!G149</f>
        <v>CIAT2690</v>
      </c>
      <c r="H149" s="17" t="str">
        <f>'2.1. DM'!H149</f>
        <v>Stylosanthes</v>
      </c>
      <c r="I149" s="17" t="str">
        <f>'2.1. DM'!I149</f>
        <v>angustifolia</v>
      </c>
      <c r="J149" s="17" t="str">
        <f>'2.1. DM'!J149</f>
        <v>Stylosanthes angustifolia</v>
      </c>
      <c r="K149" s="17" t="str">
        <f>'2.1. DM'!K149</f>
        <v>Fabaceae</v>
      </c>
      <c r="L149" s="17" t="str">
        <f>'2.1. DM'!L149</f>
        <v>Fabales</v>
      </c>
      <c r="M149" s="17" t="str">
        <f>'2.1. DM'!M149</f>
        <v>Herbaceous</v>
      </c>
      <c r="N149" s="17" t="str">
        <f>'2.1. DM'!N149</f>
        <v>60,61, 62</v>
      </c>
      <c r="O149" s="17" t="str">
        <f>'2.1. DM'!O149</f>
        <v>OT-031</v>
      </c>
      <c r="P149" s="10"/>
      <c r="Q149" s="20">
        <v>17.543140012820359</v>
      </c>
      <c r="R149" s="345">
        <f t="shared" si="27"/>
        <v>17.543140012820359</v>
      </c>
    </row>
    <row r="150" spans="2:18" x14ac:dyDescent="0.35">
      <c r="B150" s="17">
        <f>'2.1. DM'!B150</f>
        <v>140</v>
      </c>
      <c r="C150" s="17">
        <f>'2.1. DM'!C150</f>
        <v>46048</v>
      </c>
      <c r="D150" s="17" t="str">
        <f>'2.1. DM'!D150</f>
        <v>Genbank</v>
      </c>
      <c r="E150" s="17">
        <f>'2.1. DM'!E150</f>
        <v>28</v>
      </c>
      <c r="F150" s="17" t="str">
        <f>'2.1. DM'!F150</f>
        <v>F252581</v>
      </c>
      <c r="G150" s="17" t="str">
        <f>'2.1. DM'!G150</f>
        <v>CIAT2690</v>
      </c>
      <c r="H150" s="17" t="str">
        <f>'2.1. DM'!H150</f>
        <v>Stylosanthes</v>
      </c>
      <c r="I150" s="17" t="str">
        <f>'2.1. DM'!I150</f>
        <v>angustifolia</v>
      </c>
      <c r="J150" s="17" t="str">
        <f>'2.1. DM'!J150</f>
        <v>Stylosanthes angustifolia</v>
      </c>
      <c r="K150" s="17" t="str">
        <f>'2.1. DM'!K150</f>
        <v>Fabaceae</v>
      </c>
      <c r="L150" s="17" t="str">
        <f>'2.1. DM'!L150</f>
        <v>Fabales</v>
      </c>
      <c r="M150" s="17" t="str">
        <f>'2.1. DM'!M150</f>
        <v>Herbaceous</v>
      </c>
      <c r="N150" s="17" t="str">
        <f>'2.1. DM'!N150</f>
        <v>60,61, 62</v>
      </c>
      <c r="O150" s="17" t="str">
        <f>'2.1. DM'!O150</f>
        <v>OT-031</v>
      </c>
      <c r="P150" s="10"/>
      <c r="Q150" s="20">
        <v>17.543140012820359</v>
      </c>
      <c r="R150" s="345"/>
    </row>
    <row r="151" spans="2:18" x14ac:dyDescent="0.35">
      <c r="B151" s="17">
        <f>'2.1. DM'!B151</f>
        <v>141</v>
      </c>
      <c r="C151" s="17">
        <f>'2.1. DM'!C151</f>
        <v>46048</v>
      </c>
      <c r="D151" s="17" t="str">
        <f>'2.1. DM'!D151</f>
        <v>Genbank</v>
      </c>
      <c r="E151" s="17">
        <f>'2.1. DM'!E151</f>
        <v>28</v>
      </c>
      <c r="F151" s="17" t="str">
        <f>'2.1. DM'!F151</f>
        <v>F252582</v>
      </c>
      <c r="G151" s="17" t="str">
        <f>'2.1. DM'!G151</f>
        <v>CIAT4069</v>
      </c>
      <c r="H151" s="17" t="str">
        <f>'2.1. DM'!H151</f>
        <v>Macroptilium</v>
      </c>
      <c r="I151" s="17" t="str">
        <f>'2.1. DM'!I151</f>
        <v>atropurpureum</v>
      </c>
      <c r="J151" s="17" t="str">
        <f>'2.1. DM'!J151</f>
        <v>Macroptilium atropurpureum</v>
      </c>
      <c r="K151" s="17" t="str">
        <f>'2.1. DM'!K151</f>
        <v>Fabaceae</v>
      </c>
      <c r="L151" s="17" t="str">
        <f>'2.1. DM'!L151</f>
        <v>Fabales</v>
      </c>
      <c r="M151" s="17" t="str">
        <f>'2.1. DM'!M151</f>
        <v>Herbaceous</v>
      </c>
      <c r="N151" s="17" t="str">
        <f>'2.1. DM'!N151</f>
        <v>60,61, 62</v>
      </c>
      <c r="O151" s="17" t="str">
        <f>'2.1. DM'!O151</f>
        <v>OT-031</v>
      </c>
      <c r="P151" s="10"/>
      <c r="Q151" s="20">
        <v>20.831379821909206</v>
      </c>
      <c r="R151" s="345">
        <f t="shared" si="27"/>
        <v>20.831379821909206</v>
      </c>
    </row>
    <row r="152" spans="2:18" x14ac:dyDescent="0.35">
      <c r="B152" s="17">
        <f>'2.1. DM'!B152</f>
        <v>142</v>
      </c>
      <c r="C152" s="17">
        <f>'2.1. DM'!C152</f>
        <v>46048</v>
      </c>
      <c r="D152" s="17" t="str">
        <f>'2.1. DM'!D152</f>
        <v>Genbank</v>
      </c>
      <c r="E152" s="17">
        <f>'2.1. DM'!E152</f>
        <v>28</v>
      </c>
      <c r="F152" s="17" t="str">
        <f>'2.1. DM'!F152</f>
        <v>F252582</v>
      </c>
      <c r="G152" s="17" t="str">
        <f>'2.1. DM'!G152</f>
        <v>CIAT4069</v>
      </c>
      <c r="H152" s="17" t="str">
        <f>'2.1. DM'!H152</f>
        <v>Macroptilium</v>
      </c>
      <c r="I152" s="17" t="str">
        <f>'2.1. DM'!I152</f>
        <v>atropurpureum</v>
      </c>
      <c r="J152" s="17" t="str">
        <f>'2.1. DM'!J152</f>
        <v>Macroptilium atropurpureum</v>
      </c>
      <c r="K152" s="17" t="str">
        <f>'2.1. DM'!K152</f>
        <v>Fabaceae</v>
      </c>
      <c r="L152" s="17" t="str">
        <f>'2.1. DM'!L152</f>
        <v>Fabales</v>
      </c>
      <c r="M152" s="17" t="str">
        <f>'2.1. DM'!M152</f>
        <v>Herbaceous</v>
      </c>
      <c r="N152" s="17" t="str">
        <f>'2.1. DM'!N152</f>
        <v>60,61, 62</v>
      </c>
      <c r="O152" s="17" t="str">
        <f>'2.1. DM'!O152</f>
        <v>OT-031</v>
      </c>
      <c r="P152" s="10"/>
      <c r="Q152" s="20">
        <v>20.831379821909206</v>
      </c>
      <c r="R152" s="345"/>
    </row>
    <row r="153" spans="2:18" x14ac:dyDescent="0.35">
      <c r="B153" s="17">
        <f>'2.1. DM'!B153</f>
        <v>143</v>
      </c>
      <c r="C153" s="17">
        <f>'2.1. DM'!C153</f>
        <v>46048</v>
      </c>
      <c r="D153" s="17" t="str">
        <f>'2.1. DM'!D153</f>
        <v>Genbank</v>
      </c>
      <c r="E153" s="17">
        <f>'2.1. DM'!E153</f>
        <v>28</v>
      </c>
      <c r="F153" s="17" t="str">
        <f>'2.1. DM'!F153</f>
        <v>F252583</v>
      </c>
      <c r="G153" s="17" t="str">
        <f>'2.1. DM'!G153</f>
        <v>CIAT4141</v>
      </c>
      <c r="H153" s="17" t="str">
        <f>'2.1. DM'!H153</f>
        <v>Vigna</v>
      </c>
      <c r="I153" s="17" t="str">
        <f>'2.1. DM'!I153</f>
        <v>radiata</v>
      </c>
      <c r="J153" s="17" t="str">
        <f>'2.1. DM'!J153</f>
        <v>Vigna radiata</v>
      </c>
      <c r="K153" s="17" t="str">
        <f>'2.1. DM'!K153</f>
        <v>Fabaceae</v>
      </c>
      <c r="L153" s="17" t="str">
        <f>'2.1. DM'!L153</f>
        <v>Fabales</v>
      </c>
      <c r="M153" s="17" t="str">
        <f>'2.1. DM'!M153</f>
        <v>Herbaceous</v>
      </c>
      <c r="N153" s="17" t="str">
        <f>'2.1. DM'!N153</f>
        <v>60,61, 62</v>
      </c>
      <c r="O153" s="17" t="str">
        <f>'2.1. DM'!O153</f>
        <v>OT-031</v>
      </c>
      <c r="P153" s="10"/>
      <c r="Q153" s="20">
        <v>19.795833763339559</v>
      </c>
      <c r="R153" s="345">
        <f t="shared" si="27"/>
        <v>19.482004753296192</v>
      </c>
    </row>
    <row r="154" spans="2:18" x14ac:dyDescent="0.35">
      <c r="B154" s="17">
        <f>'2.1. DM'!B154</f>
        <v>144</v>
      </c>
      <c r="C154" s="17">
        <f>'2.1. DM'!C154</f>
        <v>46048</v>
      </c>
      <c r="D154" s="17" t="str">
        <f>'2.1. DM'!D154</f>
        <v>Genbank</v>
      </c>
      <c r="E154" s="17">
        <f>'2.1. DM'!E154</f>
        <v>28</v>
      </c>
      <c r="F154" s="17" t="str">
        <f>'2.1. DM'!F154</f>
        <v>F252583</v>
      </c>
      <c r="G154" s="17" t="str">
        <f>'2.1. DM'!G154</f>
        <v>CIAT4141</v>
      </c>
      <c r="H154" s="17" t="str">
        <f>'2.1. DM'!H154</f>
        <v>Vigna</v>
      </c>
      <c r="I154" s="17" t="str">
        <f>'2.1. DM'!I154</f>
        <v>radiata</v>
      </c>
      <c r="J154" s="17" t="str">
        <f>'2.1. DM'!J154</f>
        <v>Vigna radiata</v>
      </c>
      <c r="K154" s="17" t="str">
        <f>'2.1. DM'!K154</f>
        <v>Fabaceae</v>
      </c>
      <c r="L154" s="17" t="str">
        <f>'2.1. DM'!L154</f>
        <v>Fabales</v>
      </c>
      <c r="M154" s="17" t="str">
        <f>'2.1. DM'!M154</f>
        <v>Herbaceous</v>
      </c>
      <c r="N154" s="17" t="str">
        <f>'2.1. DM'!N154</f>
        <v>60,61, 62</v>
      </c>
      <c r="O154" s="17" t="str">
        <f>'2.1. DM'!O154</f>
        <v>OT-031</v>
      </c>
      <c r="P154" s="10"/>
      <c r="Q154" s="20">
        <v>19.168175743252824</v>
      </c>
      <c r="R154" s="345"/>
    </row>
    <row r="155" spans="2:18" x14ac:dyDescent="0.35">
      <c r="B155" s="17">
        <f>'2.1. DM'!B155</f>
        <v>145</v>
      </c>
      <c r="C155" s="17">
        <f>'2.1. DM'!C155</f>
        <v>46048</v>
      </c>
      <c r="D155" s="17" t="str">
        <f>'2.1. DM'!D155</f>
        <v>Genbank</v>
      </c>
      <c r="E155" s="17">
        <f>'2.1. DM'!E155</f>
        <v>28</v>
      </c>
      <c r="F155" s="17" t="str">
        <f>'2.1. DM'!F155</f>
        <v>F252584</v>
      </c>
      <c r="G155" s="17" t="str">
        <f>'2.1. DM'!G155</f>
        <v>CIAT4532</v>
      </c>
      <c r="H155" s="17" t="str">
        <f>'2.1. DM'!H155</f>
        <v>Vigna</v>
      </c>
      <c r="I155" s="17" t="str">
        <f>'2.1. DM'!I155</f>
        <v>unguiculata</v>
      </c>
      <c r="J155" s="17" t="str">
        <f>'2.1. DM'!J155</f>
        <v>Vigna unguiculata</v>
      </c>
      <c r="K155" s="17" t="str">
        <f>'2.1. DM'!K155</f>
        <v>Fabaceae</v>
      </c>
      <c r="L155" s="17" t="str">
        <f>'2.1. DM'!L155</f>
        <v>Fabales</v>
      </c>
      <c r="M155" s="17" t="str">
        <f>'2.1. DM'!M155</f>
        <v>Herbaceous</v>
      </c>
      <c r="N155" s="17" t="str">
        <f>'2.1. DM'!N155</f>
        <v>60,61, 62</v>
      </c>
      <c r="O155" s="17" t="str">
        <f>'2.1. DM'!O155</f>
        <v>OT-031</v>
      </c>
      <c r="P155" s="10"/>
      <c r="Q155" s="20">
        <v>18.936281801589576</v>
      </c>
      <c r="R155" s="345">
        <f t="shared" si="27"/>
        <v>18.936281801589576</v>
      </c>
    </row>
    <row r="156" spans="2:18" x14ac:dyDescent="0.35">
      <c r="B156" s="17">
        <f>'2.1. DM'!B156</f>
        <v>146</v>
      </c>
      <c r="C156" s="17">
        <f>'2.1. DM'!C156</f>
        <v>46048</v>
      </c>
      <c r="D156" s="17" t="str">
        <f>'2.1. DM'!D156</f>
        <v>Genbank</v>
      </c>
      <c r="E156" s="17">
        <f>'2.1. DM'!E156</f>
        <v>28</v>
      </c>
      <c r="F156" s="17" t="str">
        <f>'2.1. DM'!F156</f>
        <v>F252584</v>
      </c>
      <c r="G156" s="17" t="str">
        <f>'2.1. DM'!G156</f>
        <v>CIAT4532</v>
      </c>
      <c r="H156" s="17" t="str">
        <f>'2.1. DM'!H156</f>
        <v>Vigna</v>
      </c>
      <c r="I156" s="17" t="str">
        <f>'2.1. DM'!I156</f>
        <v>unguiculata</v>
      </c>
      <c r="J156" s="17" t="str">
        <f>'2.1. DM'!J156</f>
        <v>Vigna unguiculata</v>
      </c>
      <c r="K156" s="17" t="str">
        <f>'2.1. DM'!K156</f>
        <v>Fabaceae</v>
      </c>
      <c r="L156" s="17" t="str">
        <f>'2.1. DM'!L156</f>
        <v>Fabales</v>
      </c>
      <c r="M156" s="17" t="str">
        <f>'2.1. DM'!M156</f>
        <v>Herbaceous</v>
      </c>
      <c r="N156" s="17" t="str">
        <f>'2.1. DM'!N156</f>
        <v>60,61, 62</v>
      </c>
      <c r="O156" s="17" t="str">
        <f>'2.1. DM'!O156</f>
        <v>OT-031</v>
      </c>
      <c r="P156" s="10"/>
      <c r="Q156" s="20">
        <v>18.936281801589576</v>
      </c>
      <c r="R156" s="345"/>
    </row>
    <row r="157" spans="2:18" x14ac:dyDescent="0.35">
      <c r="B157" s="17">
        <f>'2.1. DM'!B157</f>
        <v>147</v>
      </c>
      <c r="C157" s="17">
        <f>'2.1. DM'!C157</f>
        <v>46048</v>
      </c>
      <c r="D157" s="17" t="str">
        <f>'2.1. DM'!D157</f>
        <v>Genbank</v>
      </c>
      <c r="E157" s="17">
        <f>'2.1. DM'!E157</f>
        <v>28</v>
      </c>
      <c r="F157" s="17" t="str">
        <f>'2.1. DM'!F157</f>
        <v>F252585</v>
      </c>
      <c r="G157" s="17" t="str">
        <f>'2.1. DM'!G157</f>
        <v>CIAT4537</v>
      </c>
      <c r="H157" s="17" t="str">
        <f>'2.1. DM'!H157</f>
        <v>Vigna</v>
      </c>
      <c r="I157" s="17" t="str">
        <f>'2.1. DM'!I157</f>
        <v>unguiculata</v>
      </c>
      <c r="J157" s="17" t="str">
        <f>'2.1. DM'!J157</f>
        <v>Vigna unguiculata</v>
      </c>
      <c r="K157" s="17" t="str">
        <f>'2.1. DM'!K157</f>
        <v>Fabaceae</v>
      </c>
      <c r="L157" s="17" t="str">
        <f>'2.1. DM'!L157</f>
        <v>Fabales</v>
      </c>
      <c r="M157" s="17" t="str">
        <f>'2.1. DM'!M157</f>
        <v>Herbaceous</v>
      </c>
      <c r="N157" s="17" t="str">
        <f>'2.1. DM'!N157</f>
        <v>60,61, 62</v>
      </c>
      <c r="O157" s="17" t="str">
        <f>'2.1. DM'!O157</f>
        <v>OT-031</v>
      </c>
      <c r="P157" s="10"/>
      <c r="Q157" s="20">
        <v>25.084380889854529</v>
      </c>
      <c r="R157" s="345">
        <f t="shared" si="27"/>
        <v>25.084380889854529</v>
      </c>
    </row>
    <row r="158" spans="2:18" x14ac:dyDescent="0.35">
      <c r="B158" s="17">
        <f>'2.1. DM'!B158</f>
        <v>148</v>
      </c>
      <c r="C158" s="17">
        <f>'2.1. DM'!C158</f>
        <v>46048</v>
      </c>
      <c r="D158" s="17" t="str">
        <f>'2.1. DM'!D158</f>
        <v>Genbank</v>
      </c>
      <c r="E158" s="17">
        <f>'2.1. DM'!E158</f>
        <v>28</v>
      </c>
      <c r="F158" s="17" t="str">
        <f>'2.1. DM'!F158</f>
        <v>F252585</v>
      </c>
      <c r="G158" s="17" t="str">
        <f>'2.1. DM'!G158</f>
        <v>CIAT4537</v>
      </c>
      <c r="H158" s="17" t="str">
        <f>'2.1. DM'!H158</f>
        <v>Vigna</v>
      </c>
      <c r="I158" s="17" t="str">
        <f>'2.1. DM'!I158</f>
        <v>unguiculata</v>
      </c>
      <c r="J158" s="17" t="str">
        <f>'2.1. DM'!J158</f>
        <v>Vigna unguiculata</v>
      </c>
      <c r="K158" s="17" t="str">
        <f>'2.1. DM'!K158</f>
        <v>Fabaceae</v>
      </c>
      <c r="L158" s="17" t="str">
        <f>'2.1. DM'!L158</f>
        <v>Fabales</v>
      </c>
      <c r="M158" s="17" t="str">
        <f>'2.1. DM'!M158</f>
        <v>Herbaceous</v>
      </c>
      <c r="N158" s="17" t="str">
        <f>'2.1. DM'!N158</f>
        <v>60,61, 62</v>
      </c>
      <c r="O158" s="17" t="str">
        <f>'2.1. DM'!O158</f>
        <v>OT-031</v>
      </c>
      <c r="P158" s="10"/>
      <c r="Q158" s="20">
        <v>25.084380889854529</v>
      </c>
      <c r="R158" s="345"/>
    </row>
    <row r="159" spans="2:18" x14ac:dyDescent="0.35">
      <c r="B159" s="17">
        <f>'2.1. DM'!B159</f>
        <v>149</v>
      </c>
      <c r="C159" s="17">
        <f>'2.1. DM'!C159</f>
        <v>46048</v>
      </c>
      <c r="D159" s="17" t="str">
        <f>'2.1. DM'!D159</f>
        <v>Genbank</v>
      </c>
      <c r="E159" s="17">
        <f>'2.1. DM'!E159</f>
        <v>28</v>
      </c>
      <c r="F159" s="17" t="str">
        <f>'2.1. DM'!F159</f>
        <v>F252586</v>
      </c>
      <c r="G159" s="17" t="str">
        <f>'2.1. DM'!G159</f>
        <v>CIAT7289</v>
      </c>
      <c r="H159" s="17" t="str">
        <f>'2.1. DM'!H159</f>
        <v>Chamaecrista</v>
      </c>
      <c r="I159" s="17" t="str">
        <f>'2.1. DM'!I159</f>
        <v>mimosoides</v>
      </c>
      <c r="J159" s="17" t="str">
        <f>'2.1. DM'!J159</f>
        <v>Chamaecrista mimosoides</v>
      </c>
      <c r="K159" s="17" t="str">
        <f>'2.1. DM'!K159</f>
        <v>Fabaceae</v>
      </c>
      <c r="L159" s="17" t="str">
        <f>'2.1. DM'!L159</f>
        <v>Fabales</v>
      </c>
      <c r="M159" s="17" t="str">
        <f>'2.1. DM'!M159</f>
        <v>Herbaceous</v>
      </c>
      <c r="N159" s="17" t="str">
        <f>'2.1. DM'!N159</f>
        <v>60,61, 62</v>
      </c>
      <c r="O159" s="17" t="str">
        <f>'2.1. DM'!O159</f>
        <v>OT-031</v>
      </c>
      <c r="P159" s="10"/>
      <c r="Q159" s="20">
        <v>18.559443730372223</v>
      </c>
      <c r="R159" s="345">
        <f t="shared" si="27"/>
        <v>18.559443730372223</v>
      </c>
    </row>
    <row r="160" spans="2:18" x14ac:dyDescent="0.35">
      <c r="B160" s="17">
        <f>'2.1. DM'!B160</f>
        <v>150</v>
      </c>
      <c r="C160" s="17">
        <f>'2.1. DM'!C160</f>
        <v>46048</v>
      </c>
      <c r="D160" s="17" t="str">
        <f>'2.1. DM'!D160</f>
        <v>Genbank</v>
      </c>
      <c r="E160" s="17">
        <f>'2.1. DM'!E160</f>
        <v>28</v>
      </c>
      <c r="F160" s="17" t="str">
        <f>'2.1. DM'!F160</f>
        <v>F252586</v>
      </c>
      <c r="G160" s="17" t="str">
        <f>'2.1. DM'!G160</f>
        <v>CIAT7289</v>
      </c>
      <c r="H160" s="17" t="str">
        <f>'2.1. DM'!H160</f>
        <v>Chamaecrista</v>
      </c>
      <c r="I160" s="17" t="str">
        <f>'2.1. DM'!I160</f>
        <v>mimosoides</v>
      </c>
      <c r="J160" s="17" t="str">
        <f>'2.1. DM'!J160</f>
        <v>Chamaecrista mimosoides</v>
      </c>
      <c r="K160" s="17" t="str">
        <f>'2.1. DM'!K160</f>
        <v>Fabaceae</v>
      </c>
      <c r="L160" s="17" t="str">
        <f>'2.1. DM'!L160</f>
        <v>Fabales</v>
      </c>
      <c r="M160" s="17" t="str">
        <f>'2.1. DM'!M160</f>
        <v>Herbaceous</v>
      </c>
      <c r="N160" s="17" t="str">
        <f>'2.1. DM'!N160</f>
        <v>60,61, 62</v>
      </c>
      <c r="O160" s="17" t="str">
        <f>'2.1. DM'!O160</f>
        <v>OT-031</v>
      </c>
      <c r="P160" s="10"/>
      <c r="Q160" s="20">
        <v>18.559443730372223</v>
      </c>
      <c r="R160" s="345"/>
    </row>
    <row r="161" spans="2:19" x14ac:dyDescent="0.35">
      <c r="B161" s="17">
        <f>'2.1. DM'!B161</f>
        <v>151</v>
      </c>
      <c r="C161" s="17">
        <f>'2.1. DM'!C161</f>
        <v>46048</v>
      </c>
      <c r="D161" s="17" t="str">
        <f>'2.1. DM'!D161</f>
        <v>Genbank</v>
      </c>
      <c r="E161" s="17">
        <f>'2.1. DM'!E161</f>
        <v>28</v>
      </c>
      <c r="F161" s="17" t="str">
        <f>'2.1. DM'!F161</f>
        <v>F252587</v>
      </c>
      <c r="G161" s="17" t="str">
        <f>'2.1. DM'!G161</f>
        <v>CIAT7826</v>
      </c>
      <c r="H161" s="17" t="str">
        <f>'2.1. DM'!H161</f>
        <v>Tephrosia</v>
      </c>
      <c r="I161" s="17" t="str">
        <f>'2.1. DM'!I161</f>
        <v>purpurea</v>
      </c>
      <c r="J161" s="17" t="str">
        <f>'2.1. DM'!J161</f>
        <v>Tephrosia purpurea</v>
      </c>
      <c r="K161" s="17" t="str">
        <f>'2.1. DM'!K161</f>
        <v>Fabaceae</v>
      </c>
      <c r="L161" s="17" t="str">
        <f>'2.1. DM'!L161</f>
        <v>Fabales</v>
      </c>
      <c r="M161" s="17" t="str">
        <f>'2.1. DM'!M161</f>
        <v>Herbaceous</v>
      </c>
      <c r="N161" s="17" t="str">
        <f>'2.1. DM'!N161</f>
        <v>60,61, 62</v>
      </c>
      <c r="O161" s="17" t="str">
        <f>'2.1. DM'!O161</f>
        <v>OT-031</v>
      </c>
      <c r="P161" s="10"/>
      <c r="Q161" s="20">
        <v>21.70179374941814</v>
      </c>
      <c r="R161" s="345">
        <f t="shared" si="27"/>
        <v>21.70179374941814</v>
      </c>
    </row>
    <row r="162" spans="2:19" x14ac:dyDescent="0.35">
      <c r="B162" s="17">
        <f>'2.1. DM'!B162</f>
        <v>152</v>
      </c>
      <c r="C162" s="17">
        <f>'2.1. DM'!C162</f>
        <v>46048</v>
      </c>
      <c r="D162" s="17" t="str">
        <f>'2.1. DM'!D162</f>
        <v>Genbank</v>
      </c>
      <c r="E162" s="17">
        <f>'2.1. DM'!E162</f>
        <v>28</v>
      </c>
      <c r="F162" s="17" t="str">
        <f>'2.1. DM'!F162</f>
        <v>F252587</v>
      </c>
      <c r="G162" s="17" t="str">
        <f>'2.1. DM'!G162</f>
        <v>CIAT7826</v>
      </c>
      <c r="H162" s="17" t="str">
        <f>'2.1. DM'!H162</f>
        <v>Tephrosia</v>
      </c>
      <c r="I162" s="17" t="str">
        <f>'2.1. DM'!I162</f>
        <v>purpurea</v>
      </c>
      <c r="J162" s="17" t="str">
        <f>'2.1. DM'!J162</f>
        <v>Tephrosia purpurea</v>
      </c>
      <c r="K162" s="17" t="str">
        <f>'2.1. DM'!K162</f>
        <v>Fabaceae</v>
      </c>
      <c r="L162" s="17" t="str">
        <f>'2.1. DM'!L162</f>
        <v>Fabales</v>
      </c>
      <c r="M162" s="17" t="str">
        <f>'2.1. DM'!M162</f>
        <v>Herbaceous</v>
      </c>
      <c r="N162" s="17" t="str">
        <f>'2.1. DM'!N162</f>
        <v>60,61, 62</v>
      </c>
      <c r="O162" s="17" t="str">
        <f>'2.1. DM'!O162</f>
        <v>OT-031</v>
      </c>
      <c r="P162" s="10"/>
      <c r="Q162" s="20">
        <v>21.70179374941814</v>
      </c>
      <c r="R162" s="345"/>
    </row>
    <row r="163" spans="2:19" x14ac:dyDescent="0.35">
      <c r="B163" s="17">
        <f>'2.1. DM'!B163</f>
        <v>153</v>
      </c>
      <c r="C163" s="17">
        <f>'2.1. DM'!C163</f>
        <v>46048</v>
      </c>
      <c r="D163" s="17" t="str">
        <f>'2.1. DM'!D163</f>
        <v>Genbank</v>
      </c>
      <c r="E163" s="17">
        <f>'2.1. DM'!E163</f>
        <v>28</v>
      </c>
      <c r="F163" s="17" t="str">
        <f>'2.1. DM'!F163</f>
        <v>F252588</v>
      </c>
      <c r="G163" s="17" t="str">
        <f>'2.1. DM'!G163</f>
        <v>CIAT8014</v>
      </c>
      <c r="H163" s="17" t="str">
        <f>'2.1. DM'!H163</f>
        <v>Crotalaria</v>
      </c>
      <c r="I163" s="17" t="str">
        <f>'2.1. DM'!I163</f>
        <v>retusa</v>
      </c>
      <c r="J163" s="17" t="str">
        <f>'2.1. DM'!J163</f>
        <v>Crotalaria retusa</v>
      </c>
      <c r="K163" s="17" t="str">
        <f>'2.1. DM'!K163</f>
        <v>Fabaceae</v>
      </c>
      <c r="L163" s="17" t="str">
        <f>'2.1. DM'!L163</f>
        <v>Fabales</v>
      </c>
      <c r="M163" s="17" t="str">
        <f>'2.1. DM'!M163</f>
        <v>Herbaceous</v>
      </c>
      <c r="N163" s="17" t="str">
        <f>'2.1. DM'!N163</f>
        <v>60,61, 62</v>
      </c>
      <c r="O163" s="17" t="str">
        <f>'2.1. DM'!O163</f>
        <v>OT-031</v>
      </c>
      <c r="P163" s="32"/>
      <c r="Q163" s="20">
        <v>21.183406489283914</v>
      </c>
      <c r="R163" s="345">
        <f t="shared" si="27"/>
        <v>21.183406489283914</v>
      </c>
      <c r="S163" s="74"/>
    </row>
    <row r="164" spans="2:19" x14ac:dyDescent="0.35">
      <c r="B164" s="17">
        <f>'2.1. DM'!B164</f>
        <v>154</v>
      </c>
      <c r="C164" s="17">
        <f>'2.1. DM'!C164</f>
        <v>46048</v>
      </c>
      <c r="D164" s="17" t="str">
        <f>'2.1. DM'!D164</f>
        <v>Genbank</v>
      </c>
      <c r="E164" s="17">
        <f>'2.1. DM'!E164</f>
        <v>28</v>
      </c>
      <c r="F164" s="17" t="str">
        <f>'2.1. DM'!F164</f>
        <v>F252588</v>
      </c>
      <c r="G164" s="17" t="str">
        <f>'2.1. DM'!G164</f>
        <v>CIAT8014</v>
      </c>
      <c r="H164" s="17" t="str">
        <f>'2.1. DM'!H164</f>
        <v>Crotalaria</v>
      </c>
      <c r="I164" s="17" t="str">
        <f>'2.1. DM'!I164</f>
        <v>retusa</v>
      </c>
      <c r="J164" s="17" t="str">
        <f>'2.1. DM'!J164</f>
        <v>Crotalaria retusa</v>
      </c>
      <c r="K164" s="17" t="str">
        <f>'2.1. DM'!K164</f>
        <v>Fabaceae</v>
      </c>
      <c r="L164" s="17" t="str">
        <f>'2.1. DM'!L164</f>
        <v>Fabales</v>
      </c>
      <c r="M164" s="17" t="str">
        <f>'2.1. DM'!M164</f>
        <v>Herbaceous</v>
      </c>
      <c r="N164" s="17" t="str">
        <f>'2.1. DM'!N164</f>
        <v>60,61, 62</v>
      </c>
      <c r="O164" s="17" t="str">
        <f>'2.1. DM'!O164</f>
        <v>OT-031</v>
      </c>
      <c r="P164" s="32"/>
      <c r="Q164" s="20">
        <v>21.183406489283914</v>
      </c>
      <c r="R164" s="345"/>
      <c r="S164" s="74"/>
    </row>
    <row r="165" spans="2:19" x14ac:dyDescent="0.35">
      <c r="B165" s="17">
        <f>'2.1. DM'!B165</f>
        <v>155</v>
      </c>
      <c r="C165" s="17">
        <f>'2.1. DM'!C165</f>
        <v>46048</v>
      </c>
      <c r="D165" s="17" t="str">
        <f>'2.1. DM'!D165</f>
        <v>Genbank</v>
      </c>
      <c r="E165" s="17">
        <f>'2.1. DM'!E165</f>
        <v>28</v>
      </c>
      <c r="F165" s="17" t="str">
        <f>'2.1. DM'!F165</f>
        <v>F252589</v>
      </c>
      <c r="G165" s="17" t="str">
        <f>'2.1. DM'!G165</f>
        <v>CIAT8849</v>
      </c>
      <c r="H165" s="17" t="str">
        <f>'2.1. DM'!H165</f>
        <v>Zornia</v>
      </c>
      <c r="I165" s="17" t="str">
        <f>'2.1. DM'!I165</f>
        <v>brasiliensis</v>
      </c>
      <c r="J165" s="17" t="str">
        <f>'2.1. DM'!J165</f>
        <v>Zornia brasiliensis</v>
      </c>
      <c r="K165" s="17" t="str">
        <f>'2.1. DM'!K165</f>
        <v>Fabaceae</v>
      </c>
      <c r="L165" s="17" t="str">
        <f>'2.1. DM'!L165</f>
        <v>Fabales</v>
      </c>
      <c r="M165" s="17" t="str">
        <f>'2.1. DM'!M165</f>
        <v>Herbaceous</v>
      </c>
      <c r="N165" s="17" t="str">
        <f>'2.1. DM'!N165</f>
        <v>60,61, 62</v>
      </c>
      <c r="O165" s="17" t="str">
        <f>'2.1. DM'!O165</f>
        <v>OT-031</v>
      </c>
      <c r="P165" s="32"/>
      <c r="Q165" s="20">
        <v>17.570233853358662</v>
      </c>
      <c r="R165" s="345">
        <f t="shared" si="27"/>
        <v>17.570233853358662</v>
      </c>
      <c r="S165" s="74"/>
    </row>
    <row r="166" spans="2:19" x14ac:dyDescent="0.35">
      <c r="B166" s="17">
        <f>'2.1. DM'!B166</f>
        <v>156</v>
      </c>
      <c r="C166" s="17">
        <f>'2.1. DM'!C166</f>
        <v>46048</v>
      </c>
      <c r="D166" s="17" t="str">
        <f>'2.1. DM'!D166</f>
        <v>Genbank</v>
      </c>
      <c r="E166" s="17">
        <f>'2.1. DM'!E166</f>
        <v>28</v>
      </c>
      <c r="F166" s="17" t="str">
        <f>'2.1. DM'!F166</f>
        <v>F252589</v>
      </c>
      <c r="G166" s="17" t="str">
        <f>'2.1. DM'!G166</f>
        <v>CIAT8849</v>
      </c>
      <c r="H166" s="17" t="str">
        <f>'2.1. DM'!H166</f>
        <v>Zornia</v>
      </c>
      <c r="I166" s="17" t="str">
        <f>'2.1. DM'!I166</f>
        <v>brasiliensis</v>
      </c>
      <c r="J166" s="17" t="str">
        <f>'2.1. DM'!J166</f>
        <v>Zornia brasiliensis</v>
      </c>
      <c r="K166" s="17" t="str">
        <f>'2.1. DM'!K166</f>
        <v>Fabaceae</v>
      </c>
      <c r="L166" s="17" t="str">
        <f>'2.1. DM'!L166</f>
        <v>Fabales</v>
      </c>
      <c r="M166" s="17" t="str">
        <f>'2.1. DM'!M166</f>
        <v>Herbaceous</v>
      </c>
      <c r="N166" s="17" t="str">
        <f>'2.1. DM'!N166</f>
        <v>60,61, 62</v>
      </c>
      <c r="O166" s="17" t="str">
        <f>'2.1. DM'!O166</f>
        <v>OT-031</v>
      </c>
      <c r="P166" s="32"/>
      <c r="Q166" s="20">
        <v>17.570233853358662</v>
      </c>
      <c r="R166" s="345"/>
      <c r="S166" s="74"/>
    </row>
    <row r="167" spans="2:19" x14ac:dyDescent="0.35">
      <c r="B167" s="17">
        <f>'2.1. DM'!B167</f>
        <v>157</v>
      </c>
      <c r="C167" s="17">
        <f>'2.1. DM'!C167</f>
        <v>46048</v>
      </c>
      <c r="D167" s="17" t="str">
        <f>'2.1. DM'!D167</f>
        <v>Genbank</v>
      </c>
      <c r="E167" s="17">
        <f>'2.1. DM'!E167</f>
        <v>28</v>
      </c>
      <c r="F167" s="17" t="str">
        <f>'2.1. DM'!F167</f>
        <v>F252590</v>
      </c>
      <c r="G167" s="17" t="str">
        <f>'2.1. DM'!G167</f>
        <v>CIAT9326</v>
      </c>
      <c r="H167" s="17" t="str">
        <f>'2.1. DM'!H167</f>
        <v>Crotalaria</v>
      </c>
      <c r="I167" s="17" t="str">
        <f>'2.1. DM'!I167</f>
        <v>retusa</v>
      </c>
      <c r="J167" s="17" t="str">
        <f>'2.1. DM'!J167</f>
        <v>Crotalaria retusa</v>
      </c>
      <c r="K167" s="17" t="str">
        <f>'2.1. DM'!K167</f>
        <v>Fabaceae</v>
      </c>
      <c r="L167" s="17" t="str">
        <f>'2.1. DM'!L167</f>
        <v>Fabales</v>
      </c>
      <c r="M167" s="17" t="str">
        <f>'2.1. DM'!M167</f>
        <v>Herbaceous</v>
      </c>
      <c r="N167" s="17" t="str">
        <f>'2.1. DM'!N167</f>
        <v>60,61, 62</v>
      </c>
      <c r="O167" s="17" t="str">
        <f>'2.1. DM'!O167</f>
        <v>OT-031</v>
      </c>
      <c r="P167" s="32"/>
      <c r="Q167" s="20">
        <v>18.839065087506274</v>
      </c>
      <c r="R167" s="345">
        <f t="shared" si="27"/>
        <v>18.839065087506274</v>
      </c>
      <c r="S167" s="74"/>
    </row>
    <row r="168" spans="2:19" x14ac:dyDescent="0.35">
      <c r="B168" s="17">
        <f>'2.1. DM'!B168</f>
        <v>158</v>
      </c>
      <c r="C168" s="17">
        <f>'2.1. DM'!C168</f>
        <v>46048</v>
      </c>
      <c r="D168" s="17" t="str">
        <f>'2.1. DM'!D168</f>
        <v>Genbank</v>
      </c>
      <c r="E168" s="17">
        <f>'2.1. DM'!E168</f>
        <v>28</v>
      </c>
      <c r="F168" s="17" t="str">
        <f>'2.1. DM'!F168</f>
        <v>F252590</v>
      </c>
      <c r="G168" s="17" t="str">
        <f>'2.1. DM'!G168</f>
        <v>CIAT9326</v>
      </c>
      <c r="H168" s="17" t="str">
        <f>'2.1. DM'!H168</f>
        <v>Crotalaria</v>
      </c>
      <c r="I168" s="17" t="str">
        <f>'2.1. DM'!I168</f>
        <v>retusa</v>
      </c>
      <c r="J168" s="17" t="str">
        <f>'2.1. DM'!J168</f>
        <v>Crotalaria retusa</v>
      </c>
      <c r="K168" s="17" t="str">
        <f>'2.1. DM'!K168</f>
        <v>Fabaceae</v>
      </c>
      <c r="L168" s="17" t="str">
        <f>'2.1. DM'!L168</f>
        <v>Fabales</v>
      </c>
      <c r="M168" s="17" t="str">
        <f>'2.1. DM'!M168</f>
        <v>Herbaceous</v>
      </c>
      <c r="N168" s="17" t="str">
        <f>'2.1. DM'!N168</f>
        <v>60,61, 62</v>
      </c>
      <c r="O168" s="17" t="str">
        <f>'2.1. DM'!O168</f>
        <v>OT-031</v>
      </c>
      <c r="P168" s="32"/>
      <c r="Q168" s="20">
        <v>18.839065087506274</v>
      </c>
      <c r="R168" s="345"/>
      <c r="S168" s="74"/>
    </row>
    <row r="169" spans="2:19" x14ac:dyDescent="0.35">
      <c r="B169" s="17">
        <f>'2.1. DM'!B169</f>
        <v>159</v>
      </c>
      <c r="C169" s="17">
        <f>'2.1. DM'!C169</f>
        <v>46048</v>
      </c>
      <c r="D169" s="17" t="str">
        <f>'2.1. DM'!D169</f>
        <v>Genbank</v>
      </c>
      <c r="E169" s="17">
        <f>'2.1. DM'!E169</f>
        <v>28</v>
      </c>
      <c r="F169" s="17" t="str">
        <f>'2.1. DM'!F169</f>
        <v>F252591</v>
      </c>
      <c r="G169" s="17" t="str">
        <f>'2.1. DM'!G169</f>
        <v>CIAT9337</v>
      </c>
      <c r="H169" s="17" t="str">
        <f>'2.1. DM'!H169</f>
        <v>Crotalaria</v>
      </c>
      <c r="I169" s="17" t="str">
        <f>'2.1. DM'!I169</f>
        <v>retusa</v>
      </c>
      <c r="J169" s="17" t="str">
        <f>'2.1. DM'!J169</f>
        <v>Crotalaria retusa</v>
      </c>
      <c r="K169" s="17" t="str">
        <f>'2.1. DM'!K169</f>
        <v>Fabaceae</v>
      </c>
      <c r="L169" s="17" t="str">
        <f>'2.1. DM'!L169</f>
        <v>Fabales</v>
      </c>
      <c r="M169" s="17" t="str">
        <f>'2.1. DM'!M169</f>
        <v>Herbaceous</v>
      </c>
      <c r="N169" s="17" t="str">
        <f>'2.1. DM'!N169</f>
        <v>60,61, 62</v>
      </c>
      <c r="O169" s="17" t="str">
        <f>'2.1. DM'!O169</f>
        <v>OT-031</v>
      </c>
      <c r="P169" s="32"/>
      <c r="Q169" s="20">
        <v>22.457800610107149</v>
      </c>
      <c r="R169" s="345">
        <f t="shared" si="27"/>
        <v>22.457800610107149</v>
      </c>
      <c r="S169" s="74"/>
    </row>
    <row r="170" spans="2:19" x14ac:dyDescent="0.35">
      <c r="B170" s="17">
        <f>'2.1. DM'!B170</f>
        <v>160</v>
      </c>
      <c r="C170" s="17">
        <f>'2.1. DM'!C170</f>
        <v>46048</v>
      </c>
      <c r="D170" s="17" t="str">
        <f>'2.1. DM'!D170</f>
        <v>Genbank</v>
      </c>
      <c r="E170" s="17">
        <f>'2.1. DM'!E170</f>
        <v>28</v>
      </c>
      <c r="F170" s="17" t="str">
        <f>'2.1. DM'!F170</f>
        <v>F252591</v>
      </c>
      <c r="G170" s="17" t="str">
        <f>'2.1. DM'!G170</f>
        <v>CIAT9337</v>
      </c>
      <c r="H170" s="17" t="str">
        <f>'2.1. DM'!H170</f>
        <v>Crotalaria</v>
      </c>
      <c r="I170" s="17" t="str">
        <f>'2.1. DM'!I170</f>
        <v>retusa</v>
      </c>
      <c r="J170" s="17" t="str">
        <f>'2.1. DM'!J170</f>
        <v>Crotalaria retusa</v>
      </c>
      <c r="K170" s="17" t="str">
        <f>'2.1. DM'!K170</f>
        <v>Fabaceae</v>
      </c>
      <c r="L170" s="17" t="str">
        <f>'2.1. DM'!L170</f>
        <v>Fabales</v>
      </c>
      <c r="M170" s="17" t="str">
        <f>'2.1. DM'!M170</f>
        <v>Herbaceous</v>
      </c>
      <c r="N170" s="17" t="str">
        <f>'2.1. DM'!N170</f>
        <v>60,61, 62</v>
      </c>
      <c r="O170" s="17" t="str">
        <f>'2.1. DM'!O170</f>
        <v>OT-031</v>
      </c>
      <c r="P170" s="32"/>
      <c r="Q170" s="20">
        <v>22.457800610107149</v>
      </c>
      <c r="R170" s="345"/>
      <c r="S170" s="74"/>
    </row>
    <row r="171" spans="2:19" x14ac:dyDescent="0.35">
      <c r="B171" s="17">
        <f>'2.1. DM'!B171</f>
        <v>161</v>
      </c>
      <c r="C171" s="17">
        <f>'2.1. DM'!C171</f>
        <v>46048</v>
      </c>
      <c r="D171" s="17" t="str">
        <f>'2.1. DM'!D171</f>
        <v>Genbank</v>
      </c>
      <c r="E171" s="17">
        <f>'2.1. DM'!E171</f>
        <v>28</v>
      </c>
      <c r="F171" s="17" t="str">
        <f>'2.1. DM'!F171</f>
        <v>F252592</v>
      </c>
      <c r="G171" s="17" t="str">
        <f>'2.1. DM'!G171</f>
        <v>CIAT9350</v>
      </c>
      <c r="H171" s="17" t="str">
        <f>'2.1. DM'!H171</f>
        <v>Crotalaria</v>
      </c>
      <c r="I171" s="17" t="str">
        <f>'2.1. DM'!I171</f>
        <v>pumila</v>
      </c>
      <c r="J171" s="17" t="str">
        <f>'2.1. DM'!J171</f>
        <v>Crotalaria pumila</v>
      </c>
      <c r="K171" s="17" t="str">
        <f>'2.1. DM'!K171</f>
        <v>Fabaceae</v>
      </c>
      <c r="L171" s="17" t="str">
        <f>'2.1. DM'!L171</f>
        <v>Fabales</v>
      </c>
      <c r="M171" s="17" t="str">
        <f>'2.1. DM'!M171</f>
        <v>Herbaceous</v>
      </c>
      <c r="N171" s="17" t="str">
        <f>'2.1. DM'!N171</f>
        <v>60,61, 62</v>
      </c>
      <c r="O171" s="17" t="str">
        <f>'2.1. DM'!O171</f>
        <v>OT-031</v>
      </c>
      <c r="P171" s="32"/>
      <c r="Q171" s="20">
        <v>21.993873838557636</v>
      </c>
      <c r="R171" s="345">
        <f t="shared" si="27"/>
        <v>21.993873838557636</v>
      </c>
      <c r="S171" s="74"/>
    </row>
    <row r="172" spans="2:19" x14ac:dyDescent="0.35">
      <c r="B172" s="17">
        <f>'2.1. DM'!B172</f>
        <v>162</v>
      </c>
      <c r="C172" s="17">
        <f>'2.1. DM'!C172</f>
        <v>46048</v>
      </c>
      <c r="D172" s="17" t="str">
        <f>'2.1. DM'!D172</f>
        <v>Genbank</v>
      </c>
      <c r="E172" s="17">
        <f>'2.1. DM'!E172</f>
        <v>28</v>
      </c>
      <c r="F172" s="17" t="str">
        <f>'2.1. DM'!F172</f>
        <v>F252592</v>
      </c>
      <c r="G172" s="17" t="str">
        <f>'2.1. DM'!G172</f>
        <v>CIAT9350</v>
      </c>
      <c r="H172" s="17" t="str">
        <f>'2.1. DM'!H172</f>
        <v>Crotalaria</v>
      </c>
      <c r="I172" s="17" t="str">
        <f>'2.1. DM'!I172</f>
        <v>pumila</v>
      </c>
      <c r="J172" s="17" t="str">
        <f>'2.1. DM'!J172</f>
        <v>Crotalaria pumila</v>
      </c>
      <c r="K172" s="17" t="str">
        <f>'2.1. DM'!K172</f>
        <v>Fabaceae</v>
      </c>
      <c r="L172" s="17" t="str">
        <f>'2.1. DM'!L172</f>
        <v>Fabales</v>
      </c>
      <c r="M172" s="17" t="str">
        <f>'2.1. DM'!M172</f>
        <v>Herbaceous</v>
      </c>
      <c r="N172" s="17" t="str">
        <f>'2.1. DM'!N172</f>
        <v>60,61, 62</v>
      </c>
      <c r="O172" s="17" t="str">
        <f>'2.1. DM'!O172</f>
        <v>OT-031</v>
      </c>
      <c r="P172" s="32"/>
      <c r="Q172" s="20">
        <v>21.993873838557636</v>
      </c>
      <c r="R172" s="345"/>
      <c r="S172" s="74"/>
    </row>
    <row r="173" spans="2:19" x14ac:dyDescent="0.35">
      <c r="B173" s="17">
        <f>'2.1. DM'!B173</f>
        <v>163</v>
      </c>
      <c r="C173" s="17">
        <f>'2.1. DM'!C173</f>
        <v>46048</v>
      </c>
      <c r="D173" s="17" t="str">
        <f>'2.1. DM'!D173</f>
        <v>Genbank</v>
      </c>
      <c r="E173" s="17">
        <f>'2.1. DM'!E173</f>
        <v>28</v>
      </c>
      <c r="F173" s="17" t="str">
        <f>'2.1. DM'!F173</f>
        <v>F252593</v>
      </c>
      <c r="G173" s="17" t="str">
        <f>'2.1. DM'!G173</f>
        <v>CIAT9352</v>
      </c>
      <c r="H173" s="17" t="str">
        <f>'2.1. DM'!H173</f>
        <v>Crotalaria</v>
      </c>
      <c r="I173" s="17" t="str">
        <f>'2.1. DM'!I173</f>
        <v>pumila</v>
      </c>
      <c r="J173" s="17" t="str">
        <f>'2.1. DM'!J173</f>
        <v>Crotalaria pumila</v>
      </c>
      <c r="K173" s="17" t="str">
        <f>'2.1. DM'!K173</f>
        <v>Fabaceae</v>
      </c>
      <c r="L173" s="17" t="str">
        <f>'2.1. DM'!L173</f>
        <v>Fabales</v>
      </c>
      <c r="M173" s="17" t="str">
        <f>'2.1. DM'!M173</f>
        <v>Herbaceous</v>
      </c>
      <c r="N173" s="17" t="str">
        <f>'2.1. DM'!N173</f>
        <v>60,61, 62</v>
      </c>
      <c r="O173" s="17" t="str">
        <f>'2.1. DM'!O173</f>
        <v>OT-031</v>
      </c>
      <c r="P173" s="32"/>
      <c r="Q173" s="20">
        <v>22.912973068825917</v>
      </c>
      <c r="R173" s="345">
        <f t="shared" si="27"/>
        <v>22.819671206779695</v>
      </c>
      <c r="S173" s="74"/>
    </row>
    <row r="174" spans="2:19" x14ac:dyDescent="0.35">
      <c r="B174" s="17">
        <f>'2.1. DM'!B174</f>
        <v>164</v>
      </c>
      <c r="C174" s="17">
        <f>'2.1. DM'!C174</f>
        <v>46048</v>
      </c>
      <c r="D174" s="17" t="str">
        <f>'2.1. DM'!D174</f>
        <v>Genbank</v>
      </c>
      <c r="E174" s="17">
        <f>'2.1. DM'!E174</f>
        <v>28</v>
      </c>
      <c r="F174" s="17" t="str">
        <f>'2.1. DM'!F174</f>
        <v>F252593</v>
      </c>
      <c r="G174" s="17" t="str">
        <f>'2.1. DM'!G174</f>
        <v>CIAT9352</v>
      </c>
      <c r="H174" s="17" t="str">
        <f>'2.1. DM'!H174</f>
        <v>Crotalaria</v>
      </c>
      <c r="I174" s="17" t="str">
        <f>'2.1. DM'!I174</f>
        <v>pumila</v>
      </c>
      <c r="J174" s="17" t="str">
        <f>'2.1. DM'!J174</f>
        <v>Crotalaria pumila</v>
      </c>
      <c r="K174" s="17" t="str">
        <f>'2.1. DM'!K174</f>
        <v>Fabaceae</v>
      </c>
      <c r="L174" s="17" t="str">
        <f>'2.1. DM'!L174</f>
        <v>Fabales</v>
      </c>
      <c r="M174" s="17" t="str">
        <f>'2.1. DM'!M174</f>
        <v>Herbaceous</v>
      </c>
      <c r="N174" s="17" t="str">
        <f>'2.1. DM'!N174</f>
        <v>60,61, 62</v>
      </c>
      <c r="O174" s="17" t="str">
        <f>'2.1. DM'!O174</f>
        <v>OT-031</v>
      </c>
      <c r="P174" s="32"/>
      <c r="Q174" s="20">
        <v>22.72636934473347</v>
      </c>
      <c r="R174" s="345"/>
      <c r="S174" s="74"/>
    </row>
    <row r="175" spans="2:19" x14ac:dyDescent="0.35">
      <c r="B175" s="17">
        <f>'2.1. DM'!B175</f>
        <v>165</v>
      </c>
      <c r="C175" s="17">
        <f>'2.1. DM'!C175</f>
        <v>46048</v>
      </c>
      <c r="D175" s="17" t="str">
        <f>'2.1. DM'!D175</f>
        <v>Genbank</v>
      </c>
      <c r="E175" s="17">
        <f>'2.1. DM'!E175</f>
        <v>28</v>
      </c>
      <c r="F175" s="17" t="str">
        <f>'2.1. DM'!F175</f>
        <v>F252594</v>
      </c>
      <c r="G175" s="17" t="str">
        <f>'2.1. DM'!G175</f>
        <v>CIAT9472</v>
      </c>
      <c r="H175" s="17" t="str">
        <f>'2.1. DM'!H175</f>
        <v>Zornia</v>
      </c>
      <c r="I175" s="17" t="str">
        <f>'2.1. DM'!I175</f>
        <v>brasiliensis</v>
      </c>
      <c r="J175" s="17" t="str">
        <f>'2.1. DM'!J175</f>
        <v>Zornia brasiliensis</v>
      </c>
      <c r="K175" s="17" t="str">
        <f>'2.1. DM'!K175</f>
        <v>Fabaceae</v>
      </c>
      <c r="L175" s="17" t="str">
        <f>'2.1. DM'!L175</f>
        <v>Fabales</v>
      </c>
      <c r="M175" s="17" t="str">
        <f>'2.1. DM'!M175</f>
        <v>Herbaceous</v>
      </c>
      <c r="N175" s="17" t="str">
        <f>'2.1. DM'!N175</f>
        <v>60,61, 62</v>
      </c>
      <c r="O175" s="17" t="str">
        <f>'2.1. DM'!O175</f>
        <v>OT-031</v>
      </c>
      <c r="P175" s="32"/>
      <c r="Q175" s="20">
        <v>18.21313969894895</v>
      </c>
      <c r="R175" s="345">
        <f t="shared" si="27"/>
        <v>18.21313969894895</v>
      </c>
      <c r="S175" s="74"/>
    </row>
    <row r="176" spans="2:19" x14ac:dyDescent="0.35">
      <c r="B176" s="17">
        <f>'2.1. DM'!B176</f>
        <v>166</v>
      </c>
      <c r="C176" s="17">
        <f>'2.1. DM'!C176</f>
        <v>46048</v>
      </c>
      <c r="D176" s="17" t="str">
        <f>'2.1. DM'!D176</f>
        <v>Genbank</v>
      </c>
      <c r="E176" s="17">
        <f>'2.1. DM'!E176</f>
        <v>28</v>
      </c>
      <c r="F176" s="17" t="str">
        <f>'2.1. DM'!F176</f>
        <v>F252594</v>
      </c>
      <c r="G176" s="17" t="str">
        <f>'2.1. DM'!G176</f>
        <v>CIAT9472</v>
      </c>
      <c r="H176" s="17" t="str">
        <f>'2.1. DM'!H176</f>
        <v>Zornia</v>
      </c>
      <c r="I176" s="17" t="str">
        <f>'2.1. DM'!I176</f>
        <v>brasiliensis</v>
      </c>
      <c r="J176" s="17" t="str">
        <f>'2.1. DM'!J176</f>
        <v>Zornia brasiliensis</v>
      </c>
      <c r="K176" s="17" t="str">
        <f>'2.1. DM'!K176</f>
        <v>Fabaceae</v>
      </c>
      <c r="L176" s="17" t="str">
        <f>'2.1. DM'!L176</f>
        <v>Fabales</v>
      </c>
      <c r="M176" s="17" t="str">
        <f>'2.1. DM'!M176</f>
        <v>Herbaceous</v>
      </c>
      <c r="N176" s="17" t="str">
        <f>'2.1. DM'!N176</f>
        <v>60,61, 62</v>
      </c>
      <c r="O176" s="17" t="str">
        <f>'2.1. DM'!O176</f>
        <v>OT-031</v>
      </c>
      <c r="P176" s="32"/>
      <c r="Q176" s="20">
        <v>18.21313969894895</v>
      </c>
      <c r="R176" s="345"/>
      <c r="S176" s="74"/>
    </row>
    <row r="177" spans="2:19" x14ac:dyDescent="0.35">
      <c r="B177" s="17">
        <f>'2.1. DM'!B177</f>
        <v>167</v>
      </c>
      <c r="C177" s="17">
        <f>'2.1. DM'!C177</f>
        <v>46048</v>
      </c>
      <c r="D177" s="17" t="str">
        <f>'2.1. DM'!D177</f>
        <v>Genbank</v>
      </c>
      <c r="E177" s="17">
        <f>'2.1. DM'!E177</f>
        <v>28</v>
      </c>
      <c r="F177" s="17" t="str">
        <f>'2.1. DM'!F177</f>
        <v>F252595</v>
      </c>
      <c r="G177" s="17" t="str">
        <f>'2.1. DM'!G177</f>
        <v>CIAT9531</v>
      </c>
      <c r="H177" s="17" t="str">
        <f>'2.1. DM'!H177</f>
        <v>Indigofera</v>
      </c>
      <c r="I177" s="17" t="str">
        <f>'2.1. DM'!I177</f>
        <v>spicata</v>
      </c>
      <c r="J177" s="17" t="str">
        <f>'2.1. DM'!J177</f>
        <v>Indigofera spicata</v>
      </c>
      <c r="K177" s="17" t="str">
        <f>'2.1. DM'!K177</f>
        <v>Fabaceae</v>
      </c>
      <c r="L177" s="17" t="str">
        <f>'2.1. DM'!L177</f>
        <v>Fabales</v>
      </c>
      <c r="M177" s="17" t="str">
        <f>'2.1. DM'!M177</f>
        <v>Herbaceous</v>
      </c>
      <c r="N177" s="17" t="str">
        <f>'2.1. DM'!N177</f>
        <v>60,61, 62</v>
      </c>
      <c r="O177" s="17" t="str">
        <f>'2.1. DM'!O177</f>
        <v>OT-031</v>
      </c>
      <c r="P177" s="32"/>
      <c r="Q177" s="20">
        <v>20.552774962518356</v>
      </c>
      <c r="R177" s="345">
        <f t="shared" si="27"/>
        <v>20.552774962518356</v>
      </c>
      <c r="S177" s="74"/>
    </row>
    <row r="178" spans="2:19" x14ac:dyDescent="0.35">
      <c r="B178" s="17">
        <f>'2.1. DM'!B178</f>
        <v>168</v>
      </c>
      <c r="C178" s="17">
        <f>'2.1. DM'!C178</f>
        <v>46048</v>
      </c>
      <c r="D178" s="17" t="str">
        <f>'2.1. DM'!D178</f>
        <v>Genbank</v>
      </c>
      <c r="E178" s="17">
        <f>'2.1. DM'!E178</f>
        <v>28</v>
      </c>
      <c r="F178" s="17" t="str">
        <f>'2.1. DM'!F178</f>
        <v>F252595</v>
      </c>
      <c r="G178" s="17" t="str">
        <f>'2.1. DM'!G178</f>
        <v>CIAT9531</v>
      </c>
      <c r="H178" s="17" t="str">
        <f>'2.1. DM'!H178</f>
        <v>Indigofera</v>
      </c>
      <c r="I178" s="17" t="str">
        <f>'2.1. DM'!I178</f>
        <v>spicata</v>
      </c>
      <c r="J178" s="17" t="str">
        <f>'2.1. DM'!J178</f>
        <v>Indigofera spicata</v>
      </c>
      <c r="K178" s="17" t="str">
        <f>'2.1. DM'!K178</f>
        <v>Fabaceae</v>
      </c>
      <c r="L178" s="17" t="str">
        <f>'2.1. DM'!L178</f>
        <v>Fabales</v>
      </c>
      <c r="M178" s="17" t="str">
        <f>'2.1. DM'!M178</f>
        <v>Herbaceous</v>
      </c>
      <c r="N178" s="17" t="str">
        <f>'2.1. DM'!N178</f>
        <v>60,61, 62</v>
      </c>
      <c r="O178" s="17" t="str">
        <f>'2.1. DM'!O178</f>
        <v>OT-031</v>
      </c>
      <c r="P178" s="32"/>
      <c r="Q178" s="20">
        <v>20.552774962518356</v>
      </c>
      <c r="R178" s="345"/>
      <c r="S178" s="74"/>
    </row>
    <row r="179" spans="2:19" x14ac:dyDescent="0.35">
      <c r="B179" s="17">
        <f>'2.1. DM'!B179</f>
        <v>169</v>
      </c>
      <c r="C179" s="17">
        <f>'2.1. DM'!C179</f>
        <v>46048</v>
      </c>
      <c r="D179" s="17" t="str">
        <f>'2.1. DM'!D179</f>
        <v>Genbank</v>
      </c>
      <c r="E179" s="17">
        <f>'2.1. DM'!E179</f>
        <v>28</v>
      </c>
      <c r="F179" s="17" t="str">
        <f>'2.1. DM'!F179</f>
        <v>F252596</v>
      </c>
      <c r="G179" s="17" t="str">
        <f>'2.1. DM'!G179</f>
        <v>CIAT10026</v>
      </c>
      <c r="H179" s="17" t="str">
        <f>'2.1. DM'!H179</f>
        <v>Stylosanthes</v>
      </c>
      <c r="I179" s="17" t="str">
        <f>'2.1. DM'!I179</f>
        <v>seabrana</v>
      </c>
      <c r="J179" s="17" t="str">
        <f>'2.1. DM'!J179</f>
        <v>Stylosanthes seabrana</v>
      </c>
      <c r="K179" s="17" t="str">
        <f>'2.1. DM'!K179</f>
        <v>Fabaceae</v>
      </c>
      <c r="L179" s="17" t="str">
        <f>'2.1. DM'!L179</f>
        <v>Fabales</v>
      </c>
      <c r="M179" s="17" t="str">
        <f>'2.1. DM'!M179</f>
        <v>Herbaceous</v>
      </c>
      <c r="N179" s="17" t="str">
        <f>'2.1. DM'!N179</f>
        <v>60,61, 62</v>
      </c>
      <c r="O179" s="17" t="str">
        <f>'2.1. DM'!O179</f>
        <v>OT-031</v>
      </c>
      <c r="P179" s="32"/>
      <c r="Q179" s="20">
        <v>16.293993750381642</v>
      </c>
      <c r="R179" s="345">
        <f t="shared" si="27"/>
        <v>16.293993750381642</v>
      </c>
      <c r="S179" s="74"/>
    </row>
    <row r="180" spans="2:19" x14ac:dyDescent="0.35">
      <c r="B180" s="17">
        <f>'2.1. DM'!B180</f>
        <v>170</v>
      </c>
      <c r="C180" s="17">
        <f>'2.1. DM'!C180</f>
        <v>46048</v>
      </c>
      <c r="D180" s="17" t="str">
        <f>'2.1. DM'!D180</f>
        <v>Genbank</v>
      </c>
      <c r="E180" s="17">
        <f>'2.1. DM'!E180</f>
        <v>28</v>
      </c>
      <c r="F180" s="17" t="str">
        <f>'2.1. DM'!F180</f>
        <v>F252596</v>
      </c>
      <c r="G180" s="17" t="str">
        <f>'2.1. DM'!G180</f>
        <v>CIAT10026</v>
      </c>
      <c r="H180" s="17" t="str">
        <f>'2.1. DM'!H180</f>
        <v>Stylosanthes</v>
      </c>
      <c r="I180" s="17" t="str">
        <f>'2.1. DM'!I180</f>
        <v>seabrana</v>
      </c>
      <c r="J180" s="17" t="str">
        <f>'2.1. DM'!J180</f>
        <v>Stylosanthes seabrana</v>
      </c>
      <c r="K180" s="17" t="str">
        <f>'2.1. DM'!K180</f>
        <v>Fabaceae</v>
      </c>
      <c r="L180" s="17" t="str">
        <f>'2.1. DM'!L180</f>
        <v>Fabales</v>
      </c>
      <c r="M180" s="17" t="str">
        <f>'2.1. DM'!M180</f>
        <v>Herbaceous</v>
      </c>
      <c r="N180" s="17" t="str">
        <f>'2.1. DM'!N180</f>
        <v>60,61, 62</v>
      </c>
      <c r="O180" s="17" t="str">
        <f>'2.1. DM'!O180</f>
        <v>OT-031</v>
      </c>
      <c r="P180" s="32"/>
      <c r="Q180" s="20">
        <v>16.293993750381642</v>
      </c>
      <c r="R180" s="345"/>
      <c r="S180" s="74"/>
    </row>
    <row r="181" spans="2:19" x14ac:dyDescent="0.35">
      <c r="B181" s="17">
        <f>'2.1. DM'!B181</f>
        <v>171</v>
      </c>
      <c r="C181" s="17">
        <f>'2.1. DM'!C181</f>
        <v>46048</v>
      </c>
      <c r="D181" s="17" t="str">
        <f>'2.1. DM'!D181</f>
        <v>Genbank</v>
      </c>
      <c r="E181" s="17">
        <f>'2.1. DM'!E181</f>
        <v>28</v>
      </c>
      <c r="F181" s="17" t="str">
        <f>'2.1. DM'!F181</f>
        <v>F252597</v>
      </c>
      <c r="G181" s="17" t="str">
        <f>'2.1. DM'!G181</f>
        <v>CIAT12411</v>
      </c>
      <c r="H181" s="17" t="str">
        <f>'2.1. DM'!H181</f>
        <v>Stylosanthes</v>
      </c>
      <c r="I181" s="17" t="str">
        <f>'2.1. DM'!I181</f>
        <v>sympodialis</v>
      </c>
      <c r="J181" s="17" t="str">
        <f>'2.1. DM'!J181</f>
        <v>Stylosanthes sympodialis</v>
      </c>
      <c r="K181" s="17" t="str">
        <f>'2.1. DM'!K181</f>
        <v>Fabaceae</v>
      </c>
      <c r="L181" s="17" t="str">
        <f>'2.1. DM'!L181</f>
        <v>Fabales</v>
      </c>
      <c r="M181" s="17" t="str">
        <f>'2.1. DM'!M181</f>
        <v>Herbaceous</v>
      </c>
      <c r="N181" s="17" t="str">
        <f>'2.1. DM'!N181</f>
        <v>60,61, 62</v>
      </c>
      <c r="O181" s="17" t="str">
        <f>'2.1. DM'!O181</f>
        <v>OT-031</v>
      </c>
      <c r="P181" s="32"/>
      <c r="Q181" s="20">
        <v>17.93763783569818</v>
      </c>
      <c r="R181" s="345">
        <f t="shared" si="27"/>
        <v>17.93763783569818</v>
      </c>
      <c r="S181" s="74"/>
    </row>
    <row r="182" spans="2:19" x14ac:dyDescent="0.35">
      <c r="B182" s="17">
        <f>'2.1. DM'!B182</f>
        <v>172</v>
      </c>
      <c r="C182" s="17">
        <f>'2.1. DM'!C182</f>
        <v>46048</v>
      </c>
      <c r="D182" s="17" t="str">
        <f>'2.1. DM'!D182</f>
        <v>Genbank</v>
      </c>
      <c r="E182" s="17">
        <f>'2.1. DM'!E182</f>
        <v>28</v>
      </c>
      <c r="F182" s="17" t="str">
        <f>'2.1. DM'!F182</f>
        <v>F252597</v>
      </c>
      <c r="G182" s="17" t="str">
        <f>'2.1. DM'!G182</f>
        <v>CIAT12411</v>
      </c>
      <c r="H182" s="17" t="str">
        <f>'2.1. DM'!H182</f>
        <v>Stylosanthes</v>
      </c>
      <c r="I182" s="17" t="str">
        <f>'2.1. DM'!I182</f>
        <v>sympodialis</v>
      </c>
      <c r="J182" s="17" t="str">
        <f>'2.1. DM'!J182</f>
        <v>Stylosanthes sympodialis</v>
      </c>
      <c r="K182" s="17" t="str">
        <f>'2.1. DM'!K182</f>
        <v>Fabaceae</v>
      </c>
      <c r="L182" s="17" t="str">
        <f>'2.1. DM'!L182</f>
        <v>Fabales</v>
      </c>
      <c r="M182" s="17" t="str">
        <f>'2.1. DM'!M182</f>
        <v>Herbaceous</v>
      </c>
      <c r="N182" s="17" t="str">
        <f>'2.1. DM'!N182</f>
        <v>60,61, 62</v>
      </c>
      <c r="O182" s="17" t="str">
        <f>'2.1. DM'!O182</f>
        <v>OT-031</v>
      </c>
      <c r="P182" s="32"/>
      <c r="Q182" s="20">
        <v>17.93763783569818</v>
      </c>
      <c r="R182" s="345"/>
      <c r="S182" s="74"/>
    </row>
    <row r="183" spans="2:19" x14ac:dyDescent="0.35">
      <c r="B183" s="17">
        <f>'2.1. DM'!B183</f>
        <v>173</v>
      </c>
      <c r="C183" s="17">
        <f>'2.1. DM'!C183</f>
        <v>46048</v>
      </c>
      <c r="D183" s="17" t="str">
        <f>'2.1. DM'!D183</f>
        <v>Genbank</v>
      </c>
      <c r="E183" s="17">
        <f>'2.1. DM'!E183</f>
        <v>28</v>
      </c>
      <c r="F183" s="17" t="str">
        <f>'2.1. DM'!F183</f>
        <v>F252598</v>
      </c>
      <c r="G183" s="17" t="str">
        <f>'2.1. DM'!G183</f>
        <v>CIAT13494</v>
      </c>
      <c r="H183" s="17" t="str">
        <f>'2.1. DM'!H183</f>
        <v>Desmodium</v>
      </c>
      <c r="I183" s="17" t="str">
        <f>'2.1. DM'!I183</f>
        <v>tortuosum</v>
      </c>
      <c r="J183" s="17" t="str">
        <f>'2.1. DM'!J183</f>
        <v>Desmodium tortuosum</v>
      </c>
      <c r="K183" s="17" t="str">
        <f>'2.1. DM'!K183</f>
        <v>Fabaceae</v>
      </c>
      <c r="L183" s="17" t="str">
        <f>'2.1. DM'!L183</f>
        <v>Fabales</v>
      </c>
      <c r="M183" s="17" t="str">
        <f>'2.1. DM'!M183</f>
        <v>Shurb_Tree</v>
      </c>
      <c r="N183" s="17" t="str">
        <f>'2.1. DM'!N183</f>
        <v>60,61, 62</v>
      </c>
      <c r="O183" s="17" t="str">
        <f>'2.1. DM'!O183</f>
        <v>OT-031</v>
      </c>
      <c r="P183" s="32"/>
      <c r="Q183" s="20">
        <v>21.076179676537187</v>
      </c>
      <c r="R183" s="345">
        <f t="shared" si="27"/>
        <v>21.076179676537187</v>
      </c>
      <c r="S183" s="74"/>
    </row>
    <row r="184" spans="2:19" x14ac:dyDescent="0.35">
      <c r="B184" s="17">
        <f>'2.1. DM'!B184</f>
        <v>174</v>
      </c>
      <c r="C184" s="17">
        <f>'2.1. DM'!C184</f>
        <v>46048</v>
      </c>
      <c r="D184" s="17" t="str">
        <f>'2.1. DM'!D184</f>
        <v>Genbank</v>
      </c>
      <c r="E184" s="17">
        <f>'2.1. DM'!E184</f>
        <v>28</v>
      </c>
      <c r="F184" s="17" t="str">
        <f>'2.1. DM'!F184</f>
        <v>F252598</v>
      </c>
      <c r="G184" s="17" t="str">
        <f>'2.1. DM'!G184</f>
        <v>CIAT13494</v>
      </c>
      <c r="H184" s="17" t="str">
        <f>'2.1. DM'!H184</f>
        <v>Desmodium</v>
      </c>
      <c r="I184" s="17" t="str">
        <f>'2.1. DM'!I184</f>
        <v>tortuosum</v>
      </c>
      <c r="J184" s="17" t="str">
        <f>'2.1. DM'!J184</f>
        <v>Desmodium tortuosum</v>
      </c>
      <c r="K184" s="17" t="str">
        <f>'2.1. DM'!K184</f>
        <v>Fabaceae</v>
      </c>
      <c r="L184" s="17" t="str">
        <f>'2.1. DM'!L184</f>
        <v>Fabales</v>
      </c>
      <c r="M184" s="17" t="str">
        <f>'2.1. DM'!M184</f>
        <v>Shurb_Tree</v>
      </c>
      <c r="N184" s="17" t="str">
        <f>'2.1. DM'!N184</f>
        <v>60,61, 62</v>
      </c>
      <c r="O184" s="17" t="str">
        <f>'2.1. DM'!O184</f>
        <v>OT-031</v>
      </c>
      <c r="P184" s="32"/>
      <c r="Q184" s="20">
        <v>21.076179676537187</v>
      </c>
      <c r="R184" s="345"/>
      <c r="S184" s="74"/>
    </row>
    <row r="185" spans="2:19" x14ac:dyDescent="0.35">
      <c r="B185" s="17">
        <f>'2.1. DM'!B185</f>
        <v>175</v>
      </c>
      <c r="C185" s="17">
        <f>'2.1. DM'!C185</f>
        <v>46048</v>
      </c>
      <c r="D185" s="17" t="str">
        <f>'2.1. DM'!D185</f>
        <v>Genbank</v>
      </c>
      <c r="E185" s="17">
        <f>'2.1. DM'!E185</f>
        <v>28</v>
      </c>
      <c r="F185" s="17" t="str">
        <f>'2.1. DM'!F185</f>
        <v>F252599</v>
      </c>
      <c r="G185" s="17" t="str">
        <f>'2.1. DM'!G185</f>
        <v>CIAT13562</v>
      </c>
      <c r="H185" s="17" t="str">
        <f>'2.1. DM'!H185</f>
        <v>Desmodium</v>
      </c>
      <c r="I185" s="17" t="str">
        <f>'2.1. DM'!I185</f>
        <v>tortuosum</v>
      </c>
      <c r="J185" s="17" t="str">
        <f>'2.1. DM'!J185</f>
        <v>Desmodium tortuosum</v>
      </c>
      <c r="K185" s="17" t="str">
        <f>'2.1. DM'!K185</f>
        <v>Fabaceae</v>
      </c>
      <c r="L185" s="17" t="str">
        <f>'2.1. DM'!L185</f>
        <v>Fabales</v>
      </c>
      <c r="M185" s="17" t="str">
        <f>'2.1. DM'!M185</f>
        <v>Shurb_Tree</v>
      </c>
      <c r="N185" s="17" t="str">
        <f>'2.1. DM'!N185</f>
        <v>60,61, 62</v>
      </c>
      <c r="O185" s="17" t="str">
        <f>'2.1. DM'!O185</f>
        <v>OT-031</v>
      </c>
      <c r="P185" s="32"/>
      <c r="Q185" s="20">
        <v>18.556611437559916</v>
      </c>
      <c r="R185" s="345">
        <f t="shared" si="27"/>
        <v>18.556611437559916</v>
      </c>
      <c r="S185" s="74"/>
    </row>
    <row r="186" spans="2:19" x14ac:dyDescent="0.35">
      <c r="B186" s="17">
        <f>'2.1. DM'!B186</f>
        <v>176</v>
      </c>
      <c r="C186" s="17">
        <f>'2.1. DM'!C186</f>
        <v>46048</v>
      </c>
      <c r="D186" s="17" t="str">
        <f>'2.1. DM'!D186</f>
        <v>Genbank</v>
      </c>
      <c r="E186" s="17">
        <f>'2.1. DM'!E186</f>
        <v>28</v>
      </c>
      <c r="F186" s="17" t="str">
        <f>'2.1. DM'!F186</f>
        <v>F252599</v>
      </c>
      <c r="G186" s="17" t="str">
        <f>'2.1. DM'!G186</f>
        <v>CIAT13562</v>
      </c>
      <c r="H186" s="17" t="str">
        <f>'2.1. DM'!H186</f>
        <v>Desmodium</v>
      </c>
      <c r="I186" s="17" t="str">
        <f>'2.1. DM'!I186</f>
        <v>tortuosum</v>
      </c>
      <c r="J186" s="17" t="str">
        <f>'2.1. DM'!J186</f>
        <v>Desmodium tortuosum</v>
      </c>
      <c r="K186" s="17" t="str">
        <f>'2.1. DM'!K186</f>
        <v>Fabaceae</v>
      </c>
      <c r="L186" s="17" t="str">
        <f>'2.1. DM'!L186</f>
        <v>Fabales</v>
      </c>
      <c r="M186" s="17" t="str">
        <f>'2.1. DM'!M186</f>
        <v>Shurb_Tree</v>
      </c>
      <c r="N186" s="17" t="str">
        <f>'2.1. DM'!N186</f>
        <v>60,61, 62</v>
      </c>
      <c r="O186" s="17" t="str">
        <f>'2.1. DM'!O186</f>
        <v>OT-031</v>
      </c>
      <c r="P186" s="32"/>
      <c r="Q186" s="20">
        <v>18.556611437559916</v>
      </c>
      <c r="R186" s="345"/>
      <c r="S186" s="74"/>
    </row>
    <row r="187" spans="2:19" x14ac:dyDescent="0.35">
      <c r="B187" s="17">
        <f>'2.1. DM'!B187</f>
        <v>177</v>
      </c>
      <c r="C187" s="17">
        <f>'2.1. DM'!C187</f>
        <v>46048</v>
      </c>
      <c r="D187" s="17" t="str">
        <f>'2.1. DM'!D187</f>
        <v>Genbank</v>
      </c>
      <c r="E187" s="17">
        <f>'2.1. DM'!E187</f>
        <v>28</v>
      </c>
      <c r="F187" s="17" t="str">
        <f>'2.1. DM'!F187</f>
        <v>F252600</v>
      </c>
      <c r="G187" s="17" t="str">
        <f>'2.1. DM'!G187</f>
        <v>CIAT13593</v>
      </c>
      <c r="H187" s="17" t="str">
        <f>'2.1. DM'!H187</f>
        <v>Desmodium</v>
      </c>
      <c r="I187" s="17" t="str">
        <f>'2.1. DM'!I187</f>
        <v>scorpiurus</v>
      </c>
      <c r="J187" s="17" t="str">
        <f>'2.1. DM'!J187</f>
        <v>Desmodium scorpiurus</v>
      </c>
      <c r="K187" s="17" t="str">
        <f>'2.1. DM'!K187</f>
        <v>Fabaceae</v>
      </c>
      <c r="L187" s="17" t="str">
        <f>'2.1. DM'!L187</f>
        <v>Fabales</v>
      </c>
      <c r="M187" s="17" t="str">
        <f>'2.1. DM'!M187</f>
        <v>Herbaceous</v>
      </c>
      <c r="N187" s="17" t="str">
        <f>'2.1. DM'!N187</f>
        <v>60,61, 62</v>
      </c>
      <c r="O187" s="17" t="str">
        <f>'2.1. DM'!O187</f>
        <v>OT-031</v>
      </c>
      <c r="P187" s="32"/>
      <c r="Q187" s="20">
        <v>16.648198451736118</v>
      </c>
      <c r="R187" s="345">
        <f t="shared" si="27"/>
        <v>16.648198451736118</v>
      </c>
      <c r="S187" s="74"/>
    </row>
    <row r="188" spans="2:19" x14ac:dyDescent="0.35">
      <c r="B188" s="17">
        <f>'2.1. DM'!B188</f>
        <v>178</v>
      </c>
      <c r="C188" s="17">
        <f>'2.1. DM'!C188</f>
        <v>46048</v>
      </c>
      <c r="D188" s="17" t="str">
        <f>'2.1. DM'!D188</f>
        <v>Genbank</v>
      </c>
      <c r="E188" s="17">
        <f>'2.1. DM'!E188</f>
        <v>28</v>
      </c>
      <c r="F188" s="17" t="str">
        <f>'2.1. DM'!F188</f>
        <v>F252600</v>
      </c>
      <c r="G188" s="17" t="str">
        <f>'2.1. DM'!G188</f>
        <v>CIAT13593</v>
      </c>
      <c r="H188" s="17" t="str">
        <f>'2.1. DM'!H188</f>
        <v>Desmodium</v>
      </c>
      <c r="I188" s="17" t="str">
        <f>'2.1. DM'!I188</f>
        <v>scorpiurus</v>
      </c>
      <c r="J188" s="17" t="str">
        <f>'2.1. DM'!J188</f>
        <v>Desmodium scorpiurus</v>
      </c>
      <c r="K188" s="17" t="str">
        <f>'2.1. DM'!K188</f>
        <v>Fabaceae</v>
      </c>
      <c r="L188" s="17" t="str">
        <f>'2.1. DM'!L188</f>
        <v>Fabales</v>
      </c>
      <c r="M188" s="17" t="str">
        <f>'2.1. DM'!M188</f>
        <v>Herbaceous</v>
      </c>
      <c r="N188" s="17" t="str">
        <f>'2.1. DM'!N188</f>
        <v>60,61, 62</v>
      </c>
      <c r="O188" s="17" t="str">
        <f>'2.1. DM'!O188</f>
        <v>OT-031</v>
      </c>
      <c r="P188" s="32"/>
      <c r="Q188" s="20">
        <v>16.648198451736118</v>
      </c>
      <c r="R188" s="345"/>
      <c r="S188" s="74"/>
    </row>
    <row r="189" spans="2:19" x14ac:dyDescent="0.35">
      <c r="B189" s="17">
        <f>'2.1. DM'!B189</f>
        <v>179</v>
      </c>
      <c r="C189" s="17">
        <f>'2.1. DM'!C189</f>
        <v>46048</v>
      </c>
      <c r="D189" s="17" t="str">
        <f>'2.1. DM'!D189</f>
        <v>Genbank</v>
      </c>
      <c r="E189" s="17">
        <f>'2.1. DM'!E189</f>
        <v>28</v>
      </c>
      <c r="F189" s="17" t="str">
        <f>'2.1. DM'!F189</f>
        <v>F252601</v>
      </c>
      <c r="G189" s="17" t="str">
        <f>'2.1. DM'!G189</f>
        <v>CIAT13608</v>
      </c>
      <c r="H189" s="17" t="str">
        <f>'2.1. DM'!H189</f>
        <v>Desmodium</v>
      </c>
      <c r="I189" s="17" t="str">
        <f>'2.1. DM'!I189</f>
        <v>incanum</v>
      </c>
      <c r="J189" s="17" t="str">
        <f>'2.1. DM'!J189</f>
        <v>Desmodium incanum</v>
      </c>
      <c r="K189" s="17" t="str">
        <f>'2.1. DM'!K189</f>
        <v>Fabaceae</v>
      </c>
      <c r="L189" s="17" t="str">
        <f>'2.1. DM'!L189</f>
        <v>Fabales</v>
      </c>
      <c r="M189" s="17" t="str">
        <f>'2.1. DM'!M189</f>
        <v>Herbaceous</v>
      </c>
      <c r="N189" s="17" t="str">
        <f>'2.1. DM'!N189</f>
        <v>60,61, 62</v>
      </c>
      <c r="O189" s="17" t="str">
        <f>'2.1. DM'!O189</f>
        <v>OT-031</v>
      </c>
      <c r="P189" s="32"/>
      <c r="Q189" s="20">
        <v>17.577517504014267</v>
      </c>
      <c r="R189" s="345">
        <f t="shared" si="27"/>
        <v>17.577517504014267</v>
      </c>
      <c r="S189" s="74"/>
    </row>
    <row r="190" spans="2:19" x14ac:dyDescent="0.35">
      <c r="B190" s="17">
        <f>'2.1. DM'!B190</f>
        <v>180</v>
      </c>
      <c r="C190" s="17">
        <f>'2.1. DM'!C190</f>
        <v>46048</v>
      </c>
      <c r="D190" s="17" t="str">
        <f>'2.1. DM'!D190</f>
        <v>Genbank</v>
      </c>
      <c r="E190" s="17">
        <f>'2.1. DM'!E190</f>
        <v>28</v>
      </c>
      <c r="F190" s="17" t="str">
        <f>'2.1. DM'!F190</f>
        <v>F252601</v>
      </c>
      <c r="G190" s="17" t="str">
        <f>'2.1. DM'!G190</f>
        <v>CIAT13608</v>
      </c>
      <c r="H190" s="17" t="str">
        <f>'2.1. DM'!H190</f>
        <v>Desmodium</v>
      </c>
      <c r="I190" s="17" t="str">
        <f>'2.1. DM'!I190</f>
        <v>incanum</v>
      </c>
      <c r="J190" s="17" t="str">
        <f>'2.1. DM'!J190</f>
        <v>Desmodium incanum</v>
      </c>
      <c r="K190" s="17" t="str">
        <f>'2.1. DM'!K190</f>
        <v>Fabaceae</v>
      </c>
      <c r="L190" s="17" t="str">
        <f>'2.1. DM'!L190</f>
        <v>Fabales</v>
      </c>
      <c r="M190" s="17" t="str">
        <f>'2.1. DM'!M190</f>
        <v>Herbaceous</v>
      </c>
      <c r="N190" s="17" t="str">
        <f>'2.1. DM'!N190</f>
        <v>60,61, 62</v>
      </c>
      <c r="O190" s="17" t="str">
        <f>'2.1. DM'!O190</f>
        <v>OT-031</v>
      </c>
      <c r="P190" s="32"/>
      <c r="Q190" s="20">
        <v>17.577517504014267</v>
      </c>
      <c r="R190" s="345"/>
      <c r="S190" s="74"/>
    </row>
    <row r="191" spans="2:19" x14ac:dyDescent="0.35">
      <c r="B191" s="17">
        <f>'2.1. DM'!B191</f>
        <v>181</v>
      </c>
      <c r="C191" s="17">
        <f>'2.1. DM'!C191</f>
        <v>46048</v>
      </c>
      <c r="D191" s="17" t="str">
        <f>'2.1. DM'!D191</f>
        <v>Genbank</v>
      </c>
      <c r="E191" s="17">
        <f>'2.1. DM'!E191</f>
        <v>28</v>
      </c>
      <c r="F191" s="17" t="str">
        <f>'2.1. DM'!F191</f>
        <v>F252602</v>
      </c>
      <c r="G191" s="17" t="str">
        <f>'2.1. DM'!G191</f>
        <v>CIAT18277</v>
      </c>
      <c r="H191" s="17" t="str">
        <f>'2.1. DM'!H191</f>
        <v>Indigofera</v>
      </c>
      <c r="I191" s="17" t="str">
        <f>'2.1. DM'!I191</f>
        <v>jamaicensis</v>
      </c>
      <c r="J191" s="17" t="str">
        <f>'2.1. DM'!J191</f>
        <v>Indigofera jamaicensis</v>
      </c>
      <c r="K191" s="17" t="str">
        <f>'2.1. DM'!K191</f>
        <v>Fabaceae</v>
      </c>
      <c r="L191" s="17" t="str">
        <f>'2.1. DM'!L191</f>
        <v>Fabales</v>
      </c>
      <c r="M191" s="17" t="str">
        <f>'2.1. DM'!M191</f>
        <v>Herbaceous</v>
      </c>
      <c r="N191" s="17" t="str">
        <f>'2.1. DM'!N191</f>
        <v>60,61, 62</v>
      </c>
      <c r="O191" s="17" t="str">
        <f>'2.1. DM'!O191</f>
        <v>OT-031</v>
      </c>
      <c r="P191" s="32"/>
      <c r="Q191" s="20">
        <v>21.940146401110969</v>
      </c>
      <c r="R191" s="345">
        <f t="shared" si="27"/>
        <v>21.940146401110969</v>
      </c>
      <c r="S191" s="74"/>
    </row>
    <row r="192" spans="2:19" x14ac:dyDescent="0.35">
      <c r="B192" s="17">
        <f>'2.1. DM'!B192</f>
        <v>182</v>
      </c>
      <c r="C192" s="17">
        <f>'2.1. DM'!C192</f>
        <v>46048</v>
      </c>
      <c r="D192" s="17" t="str">
        <f>'2.1. DM'!D192</f>
        <v>Genbank</v>
      </c>
      <c r="E192" s="17">
        <f>'2.1. DM'!E192</f>
        <v>28</v>
      </c>
      <c r="F192" s="17" t="str">
        <f>'2.1. DM'!F192</f>
        <v>F252602</v>
      </c>
      <c r="G192" s="17" t="str">
        <f>'2.1. DM'!G192</f>
        <v>CIAT18277</v>
      </c>
      <c r="H192" s="17" t="str">
        <f>'2.1. DM'!H192</f>
        <v>Indigofera</v>
      </c>
      <c r="I192" s="17" t="str">
        <f>'2.1. DM'!I192</f>
        <v>jamaicensis</v>
      </c>
      <c r="J192" s="17" t="str">
        <f>'2.1. DM'!J192</f>
        <v>Indigofera jamaicensis</v>
      </c>
      <c r="K192" s="17" t="str">
        <f>'2.1. DM'!K192</f>
        <v>Fabaceae</v>
      </c>
      <c r="L192" s="17" t="str">
        <f>'2.1. DM'!L192</f>
        <v>Fabales</v>
      </c>
      <c r="M192" s="17" t="str">
        <f>'2.1. DM'!M192</f>
        <v>Herbaceous</v>
      </c>
      <c r="N192" s="17" t="str">
        <f>'2.1. DM'!N192</f>
        <v>60,61, 62</v>
      </c>
      <c r="O192" s="17" t="str">
        <f>'2.1. DM'!O192</f>
        <v>OT-031</v>
      </c>
      <c r="P192" s="32"/>
      <c r="Q192" s="20">
        <v>21.940146401110969</v>
      </c>
      <c r="R192" s="345"/>
      <c r="S192" s="74"/>
    </row>
    <row r="193" spans="2:19" x14ac:dyDescent="0.35">
      <c r="B193" s="17">
        <f>'2.1. DM'!B193</f>
        <v>183</v>
      </c>
      <c r="C193" s="17">
        <f>'2.1. DM'!C193</f>
        <v>46048</v>
      </c>
      <c r="D193" s="17" t="str">
        <f>'2.1. DM'!D193</f>
        <v>Genbank</v>
      </c>
      <c r="E193" s="17">
        <f>'2.1. DM'!E193</f>
        <v>28</v>
      </c>
      <c r="F193" s="17" t="str">
        <f>'2.1. DM'!F193</f>
        <v>F252603</v>
      </c>
      <c r="G193" s="17" t="str">
        <f>'2.1. DM'!G193</f>
        <v>CIAT18952</v>
      </c>
      <c r="H193" s="17" t="str">
        <f>'2.1. DM'!H193</f>
        <v>Indigofera</v>
      </c>
      <c r="I193" s="17" t="str">
        <f>'2.1. DM'!I193</f>
        <v>atriceps</v>
      </c>
      <c r="J193" s="17" t="str">
        <f>'2.1. DM'!J193</f>
        <v>Indigofera atriceps</v>
      </c>
      <c r="K193" s="17" t="str">
        <f>'2.1. DM'!K193</f>
        <v>Fabaceae</v>
      </c>
      <c r="L193" s="17" t="str">
        <f>'2.1. DM'!L193</f>
        <v>Fabales</v>
      </c>
      <c r="M193" s="17" t="str">
        <f>'2.1. DM'!M193</f>
        <v>Herbaceous</v>
      </c>
      <c r="N193" s="17" t="str">
        <f>'2.1. DM'!N193</f>
        <v>60,61, 62</v>
      </c>
      <c r="O193" s="17" t="str">
        <f>'2.1. DM'!O193</f>
        <v>OT-031</v>
      </c>
      <c r="P193" s="24"/>
      <c r="Q193" s="20">
        <v>16.681806242228959</v>
      </c>
      <c r="R193" s="345">
        <f t="shared" si="27"/>
        <v>16.658173479258529</v>
      </c>
      <c r="S193" s="74"/>
    </row>
    <row r="194" spans="2:19" x14ac:dyDescent="0.35">
      <c r="B194" s="17">
        <f>'2.1. DM'!B194</f>
        <v>184</v>
      </c>
      <c r="C194" s="17">
        <f>'2.1. DM'!C194</f>
        <v>46048</v>
      </c>
      <c r="D194" s="17" t="str">
        <f>'2.1. DM'!D194</f>
        <v>Genbank</v>
      </c>
      <c r="E194" s="17">
        <f>'2.1. DM'!E194</f>
        <v>28</v>
      </c>
      <c r="F194" s="17" t="str">
        <f>'2.1. DM'!F194</f>
        <v>F252603</v>
      </c>
      <c r="G194" s="17" t="str">
        <f>'2.1. DM'!G194</f>
        <v>CIAT18952</v>
      </c>
      <c r="H194" s="17" t="str">
        <f>'2.1. DM'!H194</f>
        <v>Indigofera</v>
      </c>
      <c r="I194" s="17" t="str">
        <f>'2.1. DM'!I194</f>
        <v>atriceps</v>
      </c>
      <c r="J194" s="17" t="str">
        <f>'2.1. DM'!J194</f>
        <v>Indigofera atriceps</v>
      </c>
      <c r="K194" s="17" t="str">
        <f>'2.1. DM'!K194</f>
        <v>Fabaceae</v>
      </c>
      <c r="L194" s="17" t="str">
        <f>'2.1. DM'!L194</f>
        <v>Fabales</v>
      </c>
      <c r="M194" s="17" t="str">
        <f>'2.1. DM'!M194</f>
        <v>Herbaceous</v>
      </c>
      <c r="N194" s="17" t="str">
        <f>'2.1. DM'!N194</f>
        <v>60,61, 62</v>
      </c>
      <c r="O194" s="17" t="str">
        <f>'2.1. DM'!O194</f>
        <v>OT-031</v>
      </c>
      <c r="P194" s="24"/>
      <c r="Q194" s="20">
        <v>16.634540716288097</v>
      </c>
      <c r="R194" s="345"/>
      <c r="S194" s="74"/>
    </row>
    <row r="195" spans="2:19" x14ac:dyDescent="0.35">
      <c r="B195" s="17">
        <f>'2.1. DM'!B195</f>
        <v>185</v>
      </c>
      <c r="C195" s="17">
        <f>'2.1. DM'!C195</f>
        <v>46048</v>
      </c>
      <c r="D195" s="17" t="str">
        <f>'2.1. DM'!D195</f>
        <v>Jacobo Arango/ Alejandro Montoya</v>
      </c>
      <c r="E195" s="17">
        <f>'2.1. DM'!E195</f>
        <v>28</v>
      </c>
      <c r="F195" s="17" t="str">
        <f>'2.1. DM'!F195</f>
        <v>F250008</v>
      </c>
      <c r="G195" s="17" t="str">
        <f>'2.1. DM'!G195</f>
        <v>Sample 8</v>
      </c>
      <c r="H195" s="17" t="str">
        <f>'2.1. DM'!H195</f>
        <v>Cynodon</v>
      </c>
      <c r="I195" s="17" t="str">
        <f>'2.1. DM'!I195</f>
        <v xml:space="preserve"> nlemfuensis </v>
      </c>
      <c r="J195" s="17" t="str">
        <f>'2.1. DM'!J195</f>
        <v xml:space="preserve">Cynodon nlemfuensis </v>
      </c>
      <c r="K195" s="17" t="str">
        <f>'2.1. DM'!K195</f>
        <v>Poaceae</v>
      </c>
      <c r="L195" s="17" t="str">
        <f>'2.1. DM'!L195</f>
        <v>Poales</v>
      </c>
      <c r="M195" s="17" t="str">
        <f>'2.1. DM'!M195</f>
        <v>grasses</v>
      </c>
      <c r="N195" s="17" t="str">
        <f>'2.1. DM'!N195</f>
        <v>60,61, 62</v>
      </c>
      <c r="O195" s="17" t="str">
        <f>'2.1. DM'!O195</f>
        <v>OT-002</v>
      </c>
      <c r="P195" s="24"/>
      <c r="Q195" s="20"/>
      <c r="R195" s="345">
        <v>13.1</v>
      </c>
      <c r="S195" s="74"/>
    </row>
    <row r="196" spans="2:19" x14ac:dyDescent="0.35">
      <c r="B196" s="17">
        <f>'2.1. DM'!B196</f>
        <v>186</v>
      </c>
      <c r="C196" s="17">
        <f>'2.1. DM'!C196</f>
        <v>46048</v>
      </c>
      <c r="D196" s="17" t="str">
        <f>'2.1. DM'!D196</f>
        <v>Jacobo Arango/ Alejandro Montoya</v>
      </c>
      <c r="E196" s="17">
        <f>'2.1. DM'!E196</f>
        <v>28</v>
      </c>
      <c r="F196" s="17" t="str">
        <f>'2.1. DM'!F196</f>
        <v>F250008</v>
      </c>
      <c r="G196" s="17" t="str">
        <f>'2.1. DM'!G196</f>
        <v>Sample 8</v>
      </c>
      <c r="H196" s="17" t="str">
        <f>'2.1. DM'!H196</f>
        <v>Cynodon</v>
      </c>
      <c r="I196" s="17" t="str">
        <f>'2.1. DM'!I196</f>
        <v xml:space="preserve"> nlemfuensis </v>
      </c>
      <c r="J196" s="17" t="str">
        <f>'2.1. DM'!J196</f>
        <v xml:space="preserve">Cynodon nlemfuensis </v>
      </c>
      <c r="K196" s="17" t="str">
        <f>'2.1. DM'!K196</f>
        <v>Poaceae</v>
      </c>
      <c r="L196" s="17" t="str">
        <f>'2.1. DM'!L196</f>
        <v>Poales</v>
      </c>
      <c r="M196" s="17" t="str">
        <f>'2.1. DM'!M196</f>
        <v>grasses</v>
      </c>
      <c r="N196" s="17" t="str">
        <f>'2.1. DM'!N196</f>
        <v>60,61, 62</v>
      </c>
      <c r="O196" s="17" t="str">
        <f>'2.1. DM'!O196</f>
        <v>OT-002</v>
      </c>
      <c r="P196" s="24"/>
      <c r="Q196" s="20"/>
      <c r="R196" s="345"/>
      <c r="S196" s="74"/>
    </row>
    <row r="197" spans="2:19" x14ac:dyDescent="0.35">
      <c r="B197" s="17">
        <f>'2.1. DM'!B197</f>
        <v>187</v>
      </c>
      <c r="C197" s="17">
        <f>'2.1. DM'!C197</f>
        <v>46055</v>
      </c>
      <c r="D197" s="17" t="str">
        <f>'2.1. DM'!D197</f>
        <v>Genbank</v>
      </c>
      <c r="E197" s="17">
        <f>'2.1. DM'!E197</f>
        <v>29</v>
      </c>
      <c r="F197" s="17" t="str">
        <f>'2.1. DM'!F197</f>
        <v>F252604</v>
      </c>
      <c r="G197" s="17" t="str">
        <f>'2.1. DM'!G197</f>
        <v>CIAT18953</v>
      </c>
      <c r="H197" s="17" t="str">
        <f>'2.1. DM'!H197</f>
        <v>Indigofera</v>
      </c>
      <c r="I197" s="17" t="str">
        <f>'2.1. DM'!I197</f>
        <v>atriceps</v>
      </c>
      <c r="J197" s="17" t="str">
        <f>'2.1. DM'!J197</f>
        <v>Indigofera atriceps</v>
      </c>
      <c r="K197" s="17" t="str">
        <f>'2.1. DM'!K197</f>
        <v>Fabaceae</v>
      </c>
      <c r="L197" s="17" t="str">
        <f>'2.1. DM'!L197</f>
        <v>Fabales</v>
      </c>
      <c r="M197" s="17" t="str">
        <f>'2.1. DM'!M197</f>
        <v>Herbaceous</v>
      </c>
      <c r="N197" s="17" t="str">
        <f>'2.1. DM'!N197</f>
        <v>62,63,70</v>
      </c>
      <c r="O197" s="17" t="str">
        <f>'2.1. DM'!O197</f>
        <v>OT-031 (2025)</v>
      </c>
      <c r="P197" s="24"/>
      <c r="Q197" s="20">
        <v>13.46691821367828</v>
      </c>
      <c r="R197" s="345">
        <f t="shared" ref="R197:R259" si="28">AVERAGE(Q197:Q198)</f>
        <v>13.46691821367828</v>
      </c>
      <c r="S197" s="74"/>
    </row>
    <row r="198" spans="2:19" x14ac:dyDescent="0.35">
      <c r="B198" s="17">
        <f>'2.1. DM'!B198</f>
        <v>188</v>
      </c>
      <c r="C198" s="17">
        <f>'2.1. DM'!C198</f>
        <v>46055</v>
      </c>
      <c r="D198" s="17" t="str">
        <f>'2.1. DM'!D198</f>
        <v>Genbank</v>
      </c>
      <c r="E198" s="17">
        <f>'2.1. DM'!E198</f>
        <v>29</v>
      </c>
      <c r="F198" s="17" t="str">
        <f>'2.1. DM'!F198</f>
        <v>F252604</v>
      </c>
      <c r="G198" s="17" t="str">
        <f>'2.1. DM'!G198</f>
        <v>CIAT18953</v>
      </c>
      <c r="H198" s="17" t="str">
        <f>'2.1. DM'!H198</f>
        <v>Indigofera</v>
      </c>
      <c r="I198" s="17" t="str">
        <f>'2.1. DM'!I198</f>
        <v>atriceps</v>
      </c>
      <c r="J198" s="17" t="str">
        <f>'2.1. DM'!J198</f>
        <v>Indigofera atriceps</v>
      </c>
      <c r="K198" s="17" t="str">
        <f>'2.1. DM'!K198</f>
        <v>Fabaceae</v>
      </c>
      <c r="L198" s="17" t="str">
        <f>'2.1. DM'!L198</f>
        <v>Fabales</v>
      </c>
      <c r="M198" s="17" t="str">
        <f>'2.1. DM'!M198</f>
        <v>Herbaceous</v>
      </c>
      <c r="N198" s="17" t="str">
        <f>'2.1. DM'!N198</f>
        <v>62,63,70</v>
      </c>
      <c r="O198" s="17" t="str">
        <f>'2.1. DM'!O198</f>
        <v>OT-031 (2025)</v>
      </c>
      <c r="P198" s="24"/>
      <c r="Q198" s="20">
        <v>13.46691821367828</v>
      </c>
      <c r="R198" s="345"/>
      <c r="S198" s="74"/>
    </row>
    <row r="199" spans="2:19" x14ac:dyDescent="0.35">
      <c r="B199" s="17">
        <f>'2.1. DM'!B199</f>
        <v>189</v>
      </c>
      <c r="C199" s="17">
        <f>'2.1. DM'!C199</f>
        <v>46055</v>
      </c>
      <c r="D199" s="17" t="str">
        <f>'2.1. DM'!D199</f>
        <v>Genbank</v>
      </c>
      <c r="E199" s="17">
        <f>'2.1. DM'!E199</f>
        <v>29</v>
      </c>
      <c r="F199" s="17" t="str">
        <f>'2.1. DM'!F199</f>
        <v>F252605</v>
      </c>
      <c r="G199" s="17" t="str">
        <f>'2.1. DM'!G199</f>
        <v>CIAT18954</v>
      </c>
      <c r="H199" s="17" t="str">
        <f>'2.1. DM'!H199</f>
        <v>Indigofera</v>
      </c>
      <c r="I199" s="17" t="str">
        <f>'2.1. DM'!I199</f>
        <v>atriceps</v>
      </c>
      <c r="J199" s="17" t="str">
        <f>'2.1. DM'!J199</f>
        <v>Indigofera atriceps</v>
      </c>
      <c r="K199" s="17" t="str">
        <f>'2.1. DM'!K199</f>
        <v>Fabaceae</v>
      </c>
      <c r="L199" s="17" t="str">
        <f>'2.1. DM'!L199</f>
        <v>Fabales</v>
      </c>
      <c r="M199" s="17" t="str">
        <f>'2.1. DM'!M199</f>
        <v>Herbaceous</v>
      </c>
      <c r="N199" s="17" t="str">
        <f>'2.1. DM'!N199</f>
        <v>62,63,70</v>
      </c>
      <c r="O199" s="17" t="str">
        <f>'2.1. DM'!O199</f>
        <v>OT-031 (2025)</v>
      </c>
      <c r="P199" s="32"/>
      <c r="Q199" s="20">
        <v>17.605298353449115</v>
      </c>
      <c r="R199" s="345">
        <f t="shared" si="28"/>
        <v>17.605298353449115</v>
      </c>
      <c r="S199" s="74"/>
    </row>
    <row r="200" spans="2:19" x14ac:dyDescent="0.35">
      <c r="B200" s="17">
        <f>'2.1. DM'!B200</f>
        <v>190</v>
      </c>
      <c r="C200" s="17">
        <f>'2.1. DM'!C200</f>
        <v>46055</v>
      </c>
      <c r="D200" s="17" t="str">
        <f>'2.1. DM'!D200</f>
        <v>Genbank</v>
      </c>
      <c r="E200" s="17">
        <f>'2.1. DM'!E200</f>
        <v>29</v>
      </c>
      <c r="F200" s="17" t="str">
        <f>'2.1. DM'!F200</f>
        <v>F252605</v>
      </c>
      <c r="G200" s="17" t="str">
        <f>'2.1. DM'!G200</f>
        <v>CIAT18954</v>
      </c>
      <c r="H200" s="17" t="str">
        <f>'2.1. DM'!H200</f>
        <v>Indigofera</v>
      </c>
      <c r="I200" s="17" t="str">
        <f>'2.1. DM'!I200</f>
        <v>atriceps</v>
      </c>
      <c r="J200" s="17" t="str">
        <f>'2.1. DM'!J200</f>
        <v>Indigofera atriceps</v>
      </c>
      <c r="K200" s="17" t="str">
        <f>'2.1. DM'!K200</f>
        <v>Fabaceae</v>
      </c>
      <c r="L200" s="17" t="str">
        <f>'2.1. DM'!L200</f>
        <v>Fabales</v>
      </c>
      <c r="M200" s="17" t="str">
        <f>'2.1. DM'!M200</f>
        <v>Herbaceous</v>
      </c>
      <c r="N200" s="17" t="str">
        <f>'2.1. DM'!N200</f>
        <v>62,63,70</v>
      </c>
      <c r="O200" s="17" t="str">
        <f>'2.1. DM'!O200</f>
        <v>OT-031 (2025)</v>
      </c>
      <c r="P200" s="32"/>
      <c r="Q200" s="20">
        <v>17.605298353449115</v>
      </c>
      <c r="R200" s="345"/>
      <c r="S200" s="74"/>
    </row>
    <row r="201" spans="2:19" x14ac:dyDescent="0.35">
      <c r="B201" s="17">
        <f>'2.1. DM'!B201</f>
        <v>191</v>
      </c>
      <c r="C201" s="17">
        <f>'2.1. DM'!C201</f>
        <v>46055</v>
      </c>
      <c r="D201" s="17" t="str">
        <f>'2.1. DM'!D201</f>
        <v>Genbank</v>
      </c>
      <c r="E201" s="17">
        <f>'2.1. DM'!E201</f>
        <v>29</v>
      </c>
      <c r="F201" s="17" t="str">
        <f>'2.1. DM'!F201</f>
        <v>F252606</v>
      </c>
      <c r="G201" s="17" t="str">
        <f>'2.1. DM'!G201</f>
        <v>CIAT19198</v>
      </c>
      <c r="H201" s="17" t="str">
        <f>'2.1. DM'!H201</f>
        <v>Tephrosia</v>
      </c>
      <c r="I201" s="17" t="str">
        <f>'2.1. DM'!I201</f>
        <v>villosa</v>
      </c>
      <c r="J201" s="17" t="str">
        <f>'2.1. DM'!J201</f>
        <v>Tephrosia villosa</v>
      </c>
      <c r="K201" s="17" t="str">
        <f>'2.1. DM'!K201</f>
        <v>Fabaceae</v>
      </c>
      <c r="L201" s="17" t="str">
        <f>'2.1. DM'!L201</f>
        <v>Fabales</v>
      </c>
      <c r="M201" s="17" t="str">
        <f>'2.1. DM'!M201</f>
        <v>Herbaceous</v>
      </c>
      <c r="N201" s="17" t="str">
        <f>'2.1. DM'!N201</f>
        <v>62,63,70</v>
      </c>
      <c r="O201" s="17" t="str">
        <f>'2.1. DM'!O201</f>
        <v>OT-031 (2025)</v>
      </c>
      <c r="P201" s="32"/>
      <c r="Q201" s="20">
        <v>26.998023936265938</v>
      </c>
      <c r="R201" s="345">
        <f t="shared" si="28"/>
        <v>26.998023936265938</v>
      </c>
      <c r="S201" s="74"/>
    </row>
    <row r="202" spans="2:19" x14ac:dyDescent="0.35">
      <c r="B202" s="17">
        <f>'2.1. DM'!B202</f>
        <v>192</v>
      </c>
      <c r="C202" s="17">
        <f>'2.1. DM'!C202</f>
        <v>46055</v>
      </c>
      <c r="D202" s="17" t="str">
        <f>'2.1. DM'!D202</f>
        <v>Genbank</v>
      </c>
      <c r="E202" s="17">
        <f>'2.1. DM'!E202</f>
        <v>29</v>
      </c>
      <c r="F202" s="17" t="str">
        <f>'2.1. DM'!F202</f>
        <v>F252606</v>
      </c>
      <c r="G202" s="17" t="str">
        <f>'2.1. DM'!G202</f>
        <v>CIAT19198</v>
      </c>
      <c r="H202" s="17" t="str">
        <f>'2.1. DM'!H202</f>
        <v>Tephrosia</v>
      </c>
      <c r="I202" s="17" t="str">
        <f>'2.1. DM'!I202</f>
        <v>villosa</v>
      </c>
      <c r="J202" s="17" t="str">
        <f>'2.1. DM'!J202</f>
        <v>Tephrosia villosa</v>
      </c>
      <c r="K202" s="17" t="str">
        <f>'2.1. DM'!K202</f>
        <v>Fabaceae</v>
      </c>
      <c r="L202" s="17" t="str">
        <f>'2.1. DM'!L202</f>
        <v>Fabales</v>
      </c>
      <c r="M202" s="17" t="str">
        <f>'2.1. DM'!M202</f>
        <v>Herbaceous</v>
      </c>
      <c r="N202" s="17" t="str">
        <f>'2.1. DM'!N202</f>
        <v>62,63,70</v>
      </c>
      <c r="O202" s="17" t="str">
        <f>'2.1. DM'!O202</f>
        <v>OT-031 (2025)</v>
      </c>
      <c r="P202" s="32"/>
      <c r="Q202" s="20">
        <v>26.998023936265938</v>
      </c>
      <c r="R202" s="345"/>
      <c r="S202" s="74"/>
    </row>
    <row r="203" spans="2:19" x14ac:dyDescent="0.35">
      <c r="B203" s="17">
        <f>'2.1. DM'!B203</f>
        <v>193</v>
      </c>
      <c r="C203" s="17">
        <f>'2.1. DM'!C203</f>
        <v>46055</v>
      </c>
      <c r="D203" s="17" t="str">
        <f>'2.1. DM'!D203</f>
        <v>Genbank</v>
      </c>
      <c r="E203" s="17">
        <f>'2.1. DM'!E203</f>
        <v>29</v>
      </c>
      <c r="F203" s="17" t="str">
        <f>'2.1. DM'!F203</f>
        <v>F252607</v>
      </c>
      <c r="G203" s="17" t="str">
        <f>'2.1. DM'!G203</f>
        <v>CIAT19460</v>
      </c>
      <c r="H203" s="17" t="str">
        <f>'2.1. DM'!H203</f>
        <v>Sesbania</v>
      </c>
      <c r="I203" s="17" t="str">
        <f>'2.1. DM'!I203</f>
        <v>cannabina</v>
      </c>
      <c r="J203" s="17" t="str">
        <f>'2.1. DM'!J203</f>
        <v>Sesbania cannabina</v>
      </c>
      <c r="K203" s="17" t="str">
        <f>'2.1. DM'!K203</f>
        <v>Fabaceae</v>
      </c>
      <c r="L203" s="17" t="str">
        <f>'2.1. DM'!L203</f>
        <v>Fabales</v>
      </c>
      <c r="M203" s="17" t="str">
        <f>'2.1. DM'!M203</f>
        <v>Shurb_Tree</v>
      </c>
      <c r="N203" s="17" t="str">
        <f>'2.1. DM'!N203</f>
        <v>62,63,70</v>
      </c>
      <c r="O203" s="17" t="str">
        <f>'2.1. DM'!O203</f>
        <v>OT-031 (2025)</v>
      </c>
      <c r="P203" s="32"/>
      <c r="Q203" s="20">
        <v>21.69628457518186</v>
      </c>
      <c r="R203" s="345">
        <f t="shared" si="28"/>
        <v>21.69628457518186</v>
      </c>
      <c r="S203" s="74"/>
    </row>
    <row r="204" spans="2:19" x14ac:dyDescent="0.35">
      <c r="B204" s="17">
        <f>'2.1. DM'!B204</f>
        <v>194</v>
      </c>
      <c r="C204" s="17">
        <f>'2.1. DM'!C204</f>
        <v>46055</v>
      </c>
      <c r="D204" s="17" t="str">
        <f>'2.1. DM'!D204</f>
        <v>Genbank</v>
      </c>
      <c r="E204" s="17">
        <f>'2.1. DM'!E204</f>
        <v>29</v>
      </c>
      <c r="F204" s="17" t="str">
        <f>'2.1. DM'!F204</f>
        <v>F252607</v>
      </c>
      <c r="G204" s="17" t="str">
        <f>'2.1. DM'!G204</f>
        <v>CIAT19460</v>
      </c>
      <c r="H204" s="17" t="str">
        <f>'2.1. DM'!H204</f>
        <v>Sesbania</v>
      </c>
      <c r="I204" s="17" t="str">
        <f>'2.1. DM'!I204</f>
        <v>cannabina</v>
      </c>
      <c r="J204" s="17" t="str">
        <f>'2.1. DM'!J204</f>
        <v>Sesbania cannabina</v>
      </c>
      <c r="K204" s="17" t="str">
        <f>'2.1. DM'!K204</f>
        <v>Fabaceae</v>
      </c>
      <c r="L204" s="17" t="str">
        <f>'2.1. DM'!L204</f>
        <v>Fabales</v>
      </c>
      <c r="M204" s="17" t="str">
        <f>'2.1. DM'!M204</f>
        <v>Shurb_Tree</v>
      </c>
      <c r="N204" s="17" t="str">
        <f>'2.1. DM'!N204</f>
        <v>62,63,70</v>
      </c>
      <c r="O204" s="17" t="str">
        <f>'2.1. DM'!O204</f>
        <v>OT-031 (2025)</v>
      </c>
      <c r="P204" s="32"/>
      <c r="Q204" s="20">
        <v>21.69628457518186</v>
      </c>
      <c r="R204" s="345"/>
      <c r="S204" s="74"/>
    </row>
    <row r="205" spans="2:19" x14ac:dyDescent="0.35">
      <c r="B205" s="17">
        <f>'2.1. DM'!B205</f>
        <v>195</v>
      </c>
      <c r="C205" s="17">
        <f>'2.1. DM'!C205</f>
        <v>46055</v>
      </c>
      <c r="D205" s="17" t="str">
        <f>'2.1. DM'!D205</f>
        <v>Genbank</v>
      </c>
      <c r="E205" s="17">
        <f>'2.1. DM'!E205</f>
        <v>29</v>
      </c>
      <c r="F205" s="17" t="str">
        <f>'2.1. DM'!F205</f>
        <v>F252608</v>
      </c>
      <c r="G205" s="17" t="str">
        <f>'2.1. DM'!G205</f>
        <v>CIAT20044</v>
      </c>
      <c r="H205" s="17" t="str">
        <f>'2.1. DM'!H205</f>
        <v>Tephrosia</v>
      </c>
      <c r="I205" s="17" t="str">
        <f>'2.1. DM'!I205</f>
        <v>purpurea</v>
      </c>
      <c r="J205" s="17" t="str">
        <f>'2.1. DM'!J205</f>
        <v>Tephrosia purpurea</v>
      </c>
      <c r="K205" s="17" t="str">
        <f>'2.1. DM'!K205</f>
        <v>Fabaceae</v>
      </c>
      <c r="L205" s="17" t="str">
        <f>'2.1. DM'!L205</f>
        <v>Fabales</v>
      </c>
      <c r="M205" s="17" t="str">
        <f>'2.1. DM'!M205</f>
        <v>Herbaceous</v>
      </c>
      <c r="N205" s="17" t="str">
        <f>'2.1. DM'!N205</f>
        <v>62,63,70</v>
      </c>
      <c r="O205" s="17" t="str">
        <f>'2.1. DM'!O205</f>
        <v>OT-031 (2025)</v>
      </c>
      <c r="P205" s="32"/>
      <c r="Q205" s="20">
        <v>27.96478551583979</v>
      </c>
      <c r="R205" s="345">
        <f t="shared" si="28"/>
        <v>27.96478551583979</v>
      </c>
    </row>
    <row r="206" spans="2:19" x14ac:dyDescent="0.35">
      <c r="B206" s="17">
        <f>'2.1. DM'!B206</f>
        <v>196</v>
      </c>
      <c r="C206" s="17">
        <f>'2.1. DM'!C206</f>
        <v>46055</v>
      </c>
      <c r="D206" s="17" t="str">
        <f>'2.1. DM'!D206</f>
        <v>Genbank</v>
      </c>
      <c r="E206" s="17">
        <f>'2.1. DM'!E206</f>
        <v>29</v>
      </c>
      <c r="F206" s="17" t="str">
        <f>'2.1. DM'!F206</f>
        <v>F252608</v>
      </c>
      <c r="G206" s="17" t="str">
        <f>'2.1. DM'!G206</f>
        <v>CIAT20044</v>
      </c>
      <c r="H206" s="17" t="str">
        <f>'2.1. DM'!H206</f>
        <v>Tephrosia</v>
      </c>
      <c r="I206" s="17" t="str">
        <f>'2.1. DM'!I206</f>
        <v>purpurea</v>
      </c>
      <c r="J206" s="17" t="str">
        <f>'2.1. DM'!J206</f>
        <v>Tephrosia purpurea</v>
      </c>
      <c r="K206" s="17" t="str">
        <f>'2.1. DM'!K206</f>
        <v>Fabaceae</v>
      </c>
      <c r="L206" s="17" t="str">
        <f>'2.1. DM'!L206</f>
        <v>Fabales</v>
      </c>
      <c r="M206" s="17" t="str">
        <f>'2.1. DM'!M206</f>
        <v>Herbaceous</v>
      </c>
      <c r="N206" s="17" t="str">
        <f>'2.1. DM'!N206</f>
        <v>62,63,70</v>
      </c>
      <c r="O206" s="17" t="str">
        <f>'2.1. DM'!O206</f>
        <v>OT-031 (2025)</v>
      </c>
      <c r="P206" s="32"/>
      <c r="Q206" s="20">
        <v>27.96478551583979</v>
      </c>
      <c r="R206" s="345"/>
    </row>
    <row r="207" spans="2:19" x14ac:dyDescent="0.35">
      <c r="B207" s="17">
        <f>'2.1. DM'!B207</f>
        <v>197</v>
      </c>
      <c r="C207" s="17">
        <f>'2.1. DM'!C207</f>
        <v>46055</v>
      </c>
      <c r="D207" s="17" t="str">
        <f>'2.1. DM'!D207</f>
        <v>Genbank</v>
      </c>
      <c r="E207" s="17">
        <f>'2.1. DM'!E207</f>
        <v>29</v>
      </c>
      <c r="F207" s="17" t="str">
        <f>'2.1. DM'!F207</f>
        <v>F252609</v>
      </c>
      <c r="G207" s="17" t="str">
        <f>'2.1. DM'!G207</f>
        <v>CIAT22423</v>
      </c>
      <c r="H207" s="17" t="str">
        <f>'2.1. DM'!H207</f>
        <v>Vigna</v>
      </c>
      <c r="I207" s="17" t="str">
        <f>'2.1. DM'!I207</f>
        <v>unguiculata</v>
      </c>
      <c r="J207" s="17" t="str">
        <f>'2.1. DM'!J207</f>
        <v>Vigna unguiculata</v>
      </c>
      <c r="K207" s="17" t="str">
        <f>'2.1. DM'!K207</f>
        <v>Fabaceae</v>
      </c>
      <c r="L207" s="17" t="str">
        <f>'2.1. DM'!L207</f>
        <v>Fabales</v>
      </c>
      <c r="M207" s="17" t="str">
        <f>'2.1. DM'!M207</f>
        <v>Herbaceous</v>
      </c>
      <c r="N207" s="17" t="str">
        <f>'2.1. DM'!N207</f>
        <v>62,63,70</v>
      </c>
      <c r="O207" s="17" t="str">
        <f>'2.1. DM'!O207</f>
        <v>OT-031 (2025)</v>
      </c>
      <c r="P207" s="32"/>
      <c r="Q207" s="20">
        <v>27.744721817861834</v>
      </c>
      <c r="R207" s="345">
        <f t="shared" si="28"/>
        <v>27.744721817861834</v>
      </c>
    </row>
    <row r="208" spans="2:19" x14ac:dyDescent="0.35">
      <c r="B208" s="17">
        <f>'2.1. DM'!B208</f>
        <v>198</v>
      </c>
      <c r="C208" s="17">
        <f>'2.1. DM'!C208</f>
        <v>46055</v>
      </c>
      <c r="D208" s="17" t="str">
        <f>'2.1. DM'!D208</f>
        <v>Genbank</v>
      </c>
      <c r="E208" s="17">
        <f>'2.1. DM'!E208</f>
        <v>29</v>
      </c>
      <c r="F208" s="17" t="str">
        <f>'2.1. DM'!F208</f>
        <v>F252609</v>
      </c>
      <c r="G208" s="17" t="str">
        <f>'2.1. DM'!G208</f>
        <v>CIAT22423</v>
      </c>
      <c r="H208" s="17" t="str">
        <f>'2.1. DM'!H208</f>
        <v>Vigna</v>
      </c>
      <c r="I208" s="17" t="str">
        <f>'2.1. DM'!I208</f>
        <v>unguiculata</v>
      </c>
      <c r="J208" s="17" t="str">
        <f>'2.1. DM'!J208</f>
        <v>Vigna unguiculata</v>
      </c>
      <c r="K208" s="17" t="str">
        <f>'2.1. DM'!K208</f>
        <v>Fabaceae</v>
      </c>
      <c r="L208" s="17" t="str">
        <f>'2.1. DM'!L208</f>
        <v>Fabales</v>
      </c>
      <c r="M208" s="17" t="str">
        <f>'2.1. DM'!M208</f>
        <v>Herbaceous</v>
      </c>
      <c r="N208" s="17" t="str">
        <f>'2.1. DM'!N208</f>
        <v>62,63,70</v>
      </c>
      <c r="O208" s="17" t="str">
        <f>'2.1. DM'!O208</f>
        <v>OT-031 (2025)</v>
      </c>
      <c r="P208" s="32"/>
      <c r="Q208" s="20">
        <v>27.744721817861834</v>
      </c>
      <c r="R208" s="345"/>
    </row>
    <row r="209" spans="2:18" x14ac:dyDescent="0.35">
      <c r="B209" s="17">
        <f>'2.1. DM'!B209</f>
        <v>199</v>
      </c>
      <c r="C209" s="17">
        <f>'2.1. DM'!C209</f>
        <v>46055</v>
      </c>
      <c r="D209" s="17" t="str">
        <f>'2.1. DM'!D209</f>
        <v>Genbank</v>
      </c>
      <c r="E209" s="17">
        <f>'2.1. DM'!E209</f>
        <v>29</v>
      </c>
      <c r="F209" s="17" t="str">
        <f>'2.1. DM'!F209</f>
        <v>F252610</v>
      </c>
      <c r="G209" s="17" t="str">
        <f>'2.1. DM'!G209</f>
        <v>CIAT22480</v>
      </c>
      <c r="H209" s="17" t="str">
        <f>'2.1. DM'!H209</f>
        <v>Sesbania</v>
      </c>
      <c r="I209" s="17" t="str">
        <f>'2.1. DM'!I209</f>
        <v>cannabina</v>
      </c>
      <c r="J209" s="17" t="str">
        <f>'2.1. DM'!J209</f>
        <v>Sesbania cannabina</v>
      </c>
      <c r="K209" s="17" t="str">
        <f>'2.1. DM'!K209</f>
        <v>Fabaceae</v>
      </c>
      <c r="L209" s="17" t="str">
        <f>'2.1. DM'!L209</f>
        <v>Fabales</v>
      </c>
      <c r="M209" s="17" t="str">
        <f>'2.1. DM'!M209</f>
        <v>Shurb_Tree</v>
      </c>
      <c r="N209" s="17" t="str">
        <f>'2.1. DM'!N209</f>
        <v>62,63,70</v>
      </c>
      <c r="O209" s="17" t="str">
        <f>'2.1. DM'!O209</f>
        <v>OT-031 (2025)</v>
      </c>
      <c r="P209" s="32"/>
      <c r="Q209" s="20">
        <v>26.980756921854944</v>
      </c>
      <c r="R209" s="345">
        <f t="shared" si="28"/>
        <v>26.980756921854944</v>
      </c>
    </row>
    <row r="210" spans="2:18" x14ac:dyDescent="0.35">
      <c r="B210" s="17">
        <f>'2.1. DM'!B210</f>
        <v>200</v>
      </c>
      <c r="C210" s="17">
        <f>'2.1. DM'!C210</f>
        <v>46055</v>
      </c>
      <c r="D210" s="17" t="str">
        <f>'2.1. DM'!D210</f>
        <v>Genbank</v>
      </c>
      <c r="E210" s="17">
        <f>'2.1. DM'!E210</f>
        <v>29</v>
      </c>
      <c r="F210" s="17" t="str">
        <f>'2.1. DM'!F210</f>
        <v>F252610</v>
      </c>
      <c r="G210" s="17" t="str">
        <f>'2.1. DM'!G210</f>
        <v>CIAT22480</v>
      </c>
      <c r="H210" s="17" t="str">
        <f>'2.1. DM'!H210</f>
        <v>Sesbania</v>
      </c>
      <c r="I210" s="17" t="str">
        <f>'2.1. DM'!I210</f>
        <v>cannabina</v>
      </c>
      <c r="J210" s="17" t="str">
        <f>'2.1. DM'!J210</f>
        <v>Sesbania cannabina</v>
      </c>
      <c r="K210" s="17" t="str">
        <f>'2.1. DM'!K210</f>
        <v>Fabaceae</v>
      </c>
      <c r="L210" s="17" t="str">
        <f>'2.1. DM'!L210</f>
        <v>Fabales</v>
      </c>
      <c r="M210" s="17" t="str">
        <f>'2.1. DM'!M210</f>
        <v>Shurb_Tree</v>
      </c>
      <c r="N210" s="17" t="str">
        <f>'2.1. DM'!N210</f>
        <v>62,63,70</v>
      </c>
      <c r="O210" s="17" t="str">
        <f>'2.1. DM'!O210</f>
        <v>OT-031 (2025)</v>
      </c>
      <c r="P210" s="32"/>
      <c r="Q210" s="20">
        <v>26.980756921854944</v>
      </c>
      <c r="R210" s="345"/>
    </row>
    <row r="211" spans="2:18" x14ac:dyDescent="0.35">
      <c r="B211" s="17">
        <f>'2.1. DM'!B211</f>
        <v>201</v>
      </c>
      <c r="C211" s="17">
        <f>'2.1. DM'!C211</f>
        <v>46055</v>
      </c>
      <c r="D211" s="17" t="str">
        <f>'2.1. DM'!D211</f>
        <v>Genbank</v>
      </c>
      <c r="E211" s="17">
        <f>'2.1. DM'!E211</f>
        <v>29</v>
      </c>
      <c r="F211" s="17" t="str">
        <f>'2.1. DM'!F211</f>
        <v>F252611</v>
      </c>
      <c r="G211" s="17" t="str">
        <f>'2.1. DM'!G211</f>
        <v>CIAT23116</v>
      </c>
      <c r="H211" s="17" t="str">
        <f>'2.1. DM'!H211</f>
        <v>Desmodium</v>
      </c>
      <c r="I211" s="17" t="str">
        <f>'2.1. DM'!I211</f>
        <v>tortuosum</v>
      </c>
      <c r="J211" s="17" t="str">
        <f>'2.1. DM'!J211</f>
        <v>Desmodium tortuosum</v>
      </c>
      <c r="K211" s="17" t="str">
        <f>'2.1. DM'!K211</f>
        <v>Fabaceae</v>
      </c>
      <c r="L211" s="17" t="str">
        <f>'2.1. DM'!L211</f>
        <v>Fabales</v>
      </c>
      <c r="M211" s="17" t="str">
        <f>'2.1. DM'!M211</f>
        <v>Shurb_Tree</v>
      </c>
      <c r="N211" s="17" t="str">
        <f>'2.1. DM'!N211</f>
        <v>62,63,70</v>
      </c>
      <c r="O211" s="17" t="str">
        <f>'2.1. DM'!O211</f>
        <v>OT-031 (2025)</v>
      </c>
      <c r="P211" s="32"/>
      <c r="Q211" s="20">
        <v>18.225289875128052</v>
      </c>
      <c r="R211" s="345">
        <f t="shared" si="28"/>
        <v>18.225289875128052</v>
      </c>
    </row>
    <row r="212" spans="2:18" x14ac:dyDescent="0.35">
      <c r="B212" s="17">
        <f>'2.1. DM'!B212</f>
        <v>202</v>
      </c>
      <c r="C212" s="17">
        <f>'2.1. DM'!C212</f>
        <v>46055</v>
      </c>
      <c r="D212" s="17" t="str">
        <f>'2.1. DM'!D212</f>
        <v>Genbank</v>
      </c>
      <c r="E212" s="17">
        <f>'2.1. DM'!E212</f>
        <v>29</v>
      </c>
      <c r="F212" s="17" t="str">
        <f>'2.1. DM'!F212</f>
        <v>F252611</v>
      </c>
      <c r="G212" s="17" t="str">
        <f>'2.1. DM'!G212</f>
        <v>CIAT23116</v>
      </c>
      <c r="H212" s="17" t="str">
        <f>'2.1. DM'!H212</f>
        <v>Desmodium</v>
      </c>
      <c r="I212" s="17" t="str">
        <f>'2.1. DM'!I212</f>
        <v>tortuosum</v>
      </c>
      <c r="J212" s="17" t="str">
        <f>'2.1. DM'!J212</f>
        <v>Desmodium tortuosum</v>
      </c>
      <c r="K212" s="17" t="str">
        <f>'2.1. DM'!K212</f>
        <v>Fabaceae</v>
      </c>
      <c r="L212" s="17" t="str">
        <f>'2.1. DM'!L212</f>
        <v>Fabales</v>
      </c>
      <c r="M212" s="17" t="str">
        <f>'2.1. DM'!M212</f>
        <v>Shurb_Tree</v>
      </c>
      <c r="N212" s="17" t="str">
        <f>'2.1. DM'!N212</f>
        <v>62,63,70</v>
      </c>
      <c r="O212" s="17" t="str">
        <f>'2.1. DM'!O212</f>
        <v>OT-031 (2025)</v>
      </c>
      <c r="P212" s="32"/>
      <c r="Q212" s="20">
        <v>18.225289875128052</v>
      </c>
      <c r="R212" s="345"/>
    </row>
    <row r="213" spans="2:18" x14ac:dyDescent="0.35">
      <c r="B213" s="17">
        <f>'2.1. DM'!B213</f>
        <v>203</v>
      </c>
      <c r="C213" s="17">
        <f>'2.1. DM'!C213</f>
        <v>46055</v>
      </c>
      <c r="D213" s="17" t="str">
        <f>'2.1. DM'!D213</f>
        <v>Genbank</v>
      </c>
      <c r="E213" s="17">
        <f>'2.1. DM'!E213</f>
        <v>29</v>
      </c>
      <c r="F213" s="17" t="str">
        <f>'2.1. DM'!F213</f>
        <v>F252612</v>
      </c>
      <c r="G213" s="17" t="str">
        <f>'2.1. DM'!G213</f>
        <v>CIAT23416</v>
      </c>
      <c r="H213" s="17" t="str">
        <f>'2.1. DM'!H213</f>
        <v>Codariocalyx</v>
      </c>
      <c r="I213" s="17" t="str">
        <f>'2.1. DM'!I213</f>
        <v>motorius</v>
      </c>
      <c r="J213" s="17" t="str">
        <f>'2.1. DM'!J213</f>
        <v>Codariocalyx motorius</v>
      </c>
      <c r="K213" s="17" t="str">
        <f>'2.1. DM'!K213</f>
        <v>Fabaceae</v>
      </c>
      <c r="L213" s="17" t="str">
        <f>'2.1. DM'!L213</f>
        <v>Fabales</v>
      </c>
      <c r="M213" s="17" t="str">
        <f>'2.1. DM'!M213</f>
        <v>Shurb_Tree</v>
      </c>
      <c r="N213" s="17" t="str">
        <f>'2.1. DM'!N213</f>
        <v>62,63,70</v>
      </c>
      <c r="O213" s="17" t="str">
        <f>'2.1. DM'!O213</f>
        <v>OT-031 (2025)</v>
      </c>
      <c r="P213" s="32"/>
      <c r="Q213" s="20">
        <v>18.142715294395835</v>
      </c>
      <c r="R213" s="345">
        <f t="shared" si="28"/>
        <v>18.142715294395835</v>
      </c>
    </row>
    <row r="214" spans="2:18" x14ac:dyDescent="0.35">
      <c r="B214" s="17">
        <f>'2.1. DM'!B214</f>
        <v>204</v>
      </c>
      <c r="C214" s="17">
        <f>'2.1. DM'!C214</f>
        <v>46055</v>
      </c>
      <c r="D214" s="17" t="str">
        <f>'2.1. DM'!D214</f>
        <v>Genbank</v>
      </c>
      <c r="E214" s="17">
        <f>'2.1. DM'!E214</f>
        <v>29</v>
      </c>
      <c r="F214" s="17" t="str">
        <f>'2.1. DM'!F214</f>
        <v>F252612</v>
      </c>
      <c r="G214" s="17" t="str">
        <f>'2.1. DM'!G214</f>
        <v>CIAT23416</v>
      </c>
      <c r="H214" s="17" t="str">
        <f>'2.1. DM'!H214</f>
        <v>Codariocalyx</v>
      </c>
      <c r="I214" s="17" t="str">
        <f>'2.1. DM'!I214</f>
        <v>motorius</v>
      </c>
      <c r="J214" s="17" t="str">
        <f>'2.1. DM'!J214</f>
        <v>Codariocalyx motorius</v>
      </c>
      <c r="K214" s="17" t="str">
        <f>'2.1. DM'!K214</f>
        <v>Fabaceae</v>
      </c>
      <c r="L214" s="17" t="str">
        <f>'2.1. DM'!L214</f>
        <v>Fabales</v>
      </c>
      <c r="M214" s="17" t="str">
        <f>'2.1. DM'!M214</f>
        <v>Shurb_Tree</v>
      </c>
      <c r="N214" s="17" t="str">
        <f>'2.1. DM'!N214</f>
        <v>62,63,70</v>
      </c>
      <c r="O214" s="17" t="str">
        <f>'2.1. DM'!O214</f>
        <v>OT-031 (2025)</v>
      </c>
      <c r="P214" s="32"/>
      <c r="Q214" s="20">
        <v>18.142715294395835</v>
      </c>
      <c r="R214" s="345"/>
    </row>
    <row r="215" spans="2:18" x14ac:dyDescent="0.35">
      <c r="B215" s="17">
        <f>'2.1. DM'!B215</f>
        <v>205</v>
      </c>
      <c r="C215" s="17">
        <f>'2.1. DM'!C215</f>
        <v>46055</v>
      </c>
      <c r="D215" s="17" t="str">
        <f>'2.1. DM'!D215</f>
        <v>Genbank</v>
      </c>
      <c r="E215" s="17">
        <f>'2.1. DM'!E215</f>
        <v>29</v>
      </c>
      <c r="F215" s="17" t="str">
        <f>'2.1. DM'!F215</f>
        <v>F252613</v>
      </c>
      <c r="G215" s="17" t="str">
        <f>'2.1. DM'!G215</f>
        <v>CIAT23806</v>
      </c>
      <c r="H215" s="17" t="str">
        <f>'2.1. DM'!H215</f>
        <v>Desmodium</v>
      </c>
      <c r="I215" s="17" t="str">
        <f>'2.1. DM'!I215</f>
        <v>angustifolium</v>
      </c>
      <c r="J215" s="17" t="str">
        <f>'2.1. DM'!J215</f>
        <v>Desmodium angustifolium</v>
      </c>
      <c r="K215" s="17" t="str">
        <f>'2.1. DM'!K215</f>
        <v>Fabaceae</v>
      </c>
      <c r="L215" s="17" t="str">
        <f>'2.1. DM'!L215</f>
        <v>Fabales</v>
      </c>
      <c r="M215" s="17" t="str">
        <f>'2.1. DM'!M215</f>
        <v>Herbaceous</v>
      </c>
      <c r="N215" s="17" t="str">
        <f>'2.1. DM'!N215</f>
        <v>62,63,70</v>
      </c>
      <c r="O215" s="17" t="str">
        <f>'2.1. DM'!O215</f>
        <v>OT-031 (2025)</v>
      </c>
      <c r="P215" s="32"/>
      <c r="Q215" s="20">
        <v>13.603227278666502</v>
      </c>
      <c r="R215" s="345">
        <f t="shared" si="28"/>
        <v>13.497157695731715</v>
      </c>
    </row>
    <row r="216" spans="2:18" x14ac:dyDescent="0.35">
      <c r="B216" s="17">
        <f>'2.1. DM'!B216</f>
        <v>206</v>
      </c>
      <c r="C216" s="17">
        <f>'2.1. DM'!C216</f>
        <v>46055</v>
      </c>
      <c r="D216" s="17" t="str">
        <f>'2.1. DM'!D216</f>
        <v>Genbank</v>
      </c>
      <c r="E216" s="17">
        <f>'2.1. DM'!E216</f>
        <v>29</v>
      </c>
      <c r="F216" s="17" t="str">
        <f>'2.1. DM'!F216</f>
        <v>F252613</v>
      </c>
      <c r="G216" s="17" t="str">
        <f>'2.1. DM'!G216</f>
        <v>CIAT23806</v>
      </c>
      <c r="H216" s="17" t="str">
        <f>'2.1. DM'!H216</f>
        <v>Desmodium</v>
      </c>
      <c r="I216" s="17" t="str">
        <f>'2.1. DM'!I216</f>
        <v>angustifolium</v>
      </c>
      <c r="J216" s="17" t="str">
        <f>'2.1. DM'!J216</f>
        <v>Desmodium angustifolium</v>
      </c>
      <c r="K216" s="17" t="str">
        <f>'2.1. DM'!K216</f>
        <v>Fabaceae</v>
      </c>
      <c r="L216" s="17" t="str">
        <f>'2.1. DM'!L216</f>
        <v>Fabales</v>
      </c>
      <c r="M216" s="17" t="str">
        <f>'2.1. DM'!M216</f>
        <v>Herbaceous</v>
      </c>
      <c r="N216" s="17" t="str">
        <f>'2.1. DM'!N216</f>
        <v>62,63,70</v>
      </c>
      <c r="O216" s="17" t="str">
        <f>'2.1. DM'!O216</f>
        <v>OT-031 (2025)</v>
      </c>
      <c r="P216" s="32"/>
      <c r="Q216" s="20">
        <v>13.391088112796931</v>
      </c>
      <c r="R216" s="345"/>
    </row>
    <row r="217" spans="2:18" x14ac:dyDescent="0.35">
      <c r="B217" s="17">
        <f>'2.1. DM'!B217</f>
        <v>207</v>
      </c>
      <c r="C217" s="17">
        <f>'2.1. DM'!C217</f>
        <v>46055</v>
      </c>
      <c r="D217" s="17" t="str">
        <f>'2.1. DM'!D217</f>
        <v>Genbank</v>
      </c>
      <c r="E217" s="17">
        <f>'2.1. DM'!E217</f>
        <v>29</v>
      </c>
      <c r="F217" s="17" t="str">
        <f>'2.1. DM'!F217</f>
        <v>F252614</v>
      </c>
      <c r="G217" s="17" t="str">
        <f>'2.1. DM'!G217</f>
        <v>CIAT24104</v>
      </c>
      <c r="H217" s="17" t="str">
        <f>'2.1. DM'!H217</f>
        <v>Macroptilium</v>
      </c>
      <c r="I217" s="17" t="str">
        <f>'2.1. DM'!I217</f>
        <v>atropurpureum</v>
      </c>
      <c r="J217" s="17" t="str">
        <f>'2.1. DM'!J217</f>
        <v>Macroptilium atropurpureum</v>
      </c>
      <c r="K217" s="17" t="str">
        <f>'2.1. DM'!K217</f>
        <v>Fabaceae</v>
      </c>
      <c r="L217" s="17" t="str">
        <f>'2.1. DM'!L217</f>
        <v>Fabales</v>
      </c>
      <c r="M217" s="17" t="str">
        <f>'2.1. DM'!M217</f>
        <v>Herbaceous</v>
      </c>
      <c r="N217" s="17" t="str">
        <f>'2.1. DM'!N217</f>
        <v>62,63,70</v>
      </c>
      <c r="O217" s="17" t="str">
        <f>'2.1. DM'!O217</f>
        <v>OT-031 (2025)</v>
      </c>
      <c r="P217" s="32"/>
      <c r="Q217" s="20">
        <v>26.641708781822125</v>
      </c>
      <c r="R217" s="345">
        <f t="shared" si="28"/>
        <v>26.641708781822125</v>
      </c>
    </row>
    <row r="218" spans="2:18" x14ac:dyDescent="0.35">
      <c r="B218" s="17">
        <f>'2.1. DM'!B218</f>
        <v>208</v>
      </c>
      <c r="C218" s="17">
        <f>'2.1. DM'!C218</f>
        <v>46055</v>
      </c>
      <c r="D218" s="17" t="str">
        <f>'2.1. DM'!D218</f>
        <v>Genbank</v>
      </c>
      <c r="E218" s="17">
        <f>'2.1. DM'!E218</f>
        <v>29</v>
      </c>
      <c r="F218" s="17" t="str">
        <f>'2.1. DM'!F218</f>
        <v>F252614</v>
      </c>
      <c r="G218" s="17" t="str">
        <f>'2.1. DM'!G218</f>
        <v>CIAT24104</v>
      </c>
      <c r="H218" s="17" t="str">
        <f>'2.1. DM'!H218</f>
        <v>Macroptilium</v>
      </c>
      <c r="I218" s="17" t="str">
        <f>'2.1. DM'!I218</f>
        <v>atropurpureum</v>
      </c>
      <c r="J218" s="17" t="str">
        <f>'2.1. DM'!J218</f>
        <v>Macroptilium atropurpureum</v>
      </c>
      <c r="K218" s="17" t="str">
        <f>'2.1. DM'!K218</f>
        <v>Fabaceae</v>
      </c>
      <c r="L218" s="17" t="str">
        <f>'2.1. DM'!L218</f>
        <v>Fabales</v>
      </c>
      <c r="M218" s="17" t="str">
        <f>'2.1. DM'!M218</f>
        <v>Herbaceous</v>
      </c>
      <c r="N218" s="17" t="str">
        <f>'2.1. DM'!N218</f>
        <v>62,63,70</v>
      </c>
      <c r="O218" s="17" t="str">
        <f>'2.1. DM'!O218</f>
        <v>OT-031 (2025)</v>
      </c>
      <c r="P218" s="32"/>
      <c r="Q218" s="20">
        <v>26.641708781822125</v>
      </c>
      <c r="R218" s="345"/>
    </row>
    <row r="219" spans="2:18" x14ac:dyDescent="0.35">
      <c r="B219" s="17">
        <f>'2.1. DM'!B219</f>
        <v>209</v>
      </c>
      <c r="C219" s="17">
        <f>'2.1. DM'!C219</f>
        <v>46055</v>
      </c>
      <c r="D219" s="17" t="str">
        <f>'2.1. DM'!D219</f>
        <v>Genbank</v>
      </c>
      <c r="E219" s="17">
        <f>'2.1. DM'!E219</f>
        <v>29</v>
      </c>
      <c r="F219" s="17" t="str">
        <f>'2.1. DM'!F219</f>
        <v>F252615</v>
      </c>
      <c r="G219" s="17" t="str">
        <f>'2.1. DM'!G219</f>
        <v>CIAT24565</v>
      </c>
      <c r="H219" s="17" t="str">
        <f>'2.1. DM'!H219</f>
        <v>Vigna</v>
      </c>
      <c r="I219" s="17" t="str">
        <f>'2.1. DM'!I219</f>
        <v>unguiculata</v>
      </c>
      <c r="J219" s="17" t="str">
        <f>'2.1. DM'!J219</f>
        <v>Vigna unguiculata</v>
      </c>
      <c r="K219" s="17" t="str">
        <f>'2.1. DM'!K219</f>
        <v>Fabaceae</v>
      </c>
      <c r="L219" s="17" t="str">
        <f>'2.1. DM'!L219</f>
        <v>Fabales</v>
      </c>
      <c r="M219" s="17" t="str">
        <f>'2.1. DM'!M219</f>
        <v>Herbaceous</v>
      </c>
      <c r="N219" s="17" t="str">
        <f>'2.1. DM'!N219</f>
        <v>62,63,70</v>
      </c>
      <c r="O219" s="17" t="str">
        <f>'2.1. DM'!O219</f>
        <v>OT-031 (2025)</v>
      </c>
      <c r="P219" s="32"/>
      <c r="Q219" s="20">
        <v>23.163386625456138</v>
      </c>
      <c r="R219" s="345">
        <f t="shared" si="28"/>
        <v>23.162229034920131</v>
      </c>
    </row>
    <row r="220" spans="2:18" x14ac:dyDescent="0.35">
      <c r="B220" s="17">
        <f>'2.1. DM'!B220</f>
        <v>210</v>
      </c>
      <c r="C220" s="17">
        <f>'2.1. DM'!C220</f>
        <v>46055</v>
      </c>
      <c r="D220" s="17" t="str">
        <f>'2.1. DM'!D220</f>
        <v>Genbank</v>
      </c>
      <c r="E220" s="17">
        <f>'2.1. DM'!E220</f>
        <v>29</v>
      </c>
      <c r="F220" s="17" t="str">
        <f>'2.1. DM'!F220</f>
        <v>F252615</v>
      </c>
      <c r="G220" s="17" t="str">
        <f>'2.1. DM'!G220</f>
        <v>CIAT24565</v>
      </c>
      <c r="H220" s="17" t="str">
        <f>'2.1. DM'!H220</f>
        <v>Vigna</v>
      </c>
      <c r="I220" s="17" t="str">
        <f>'2.1. DM'!I220</f>
        <v>unguiculata</v>
      </c>
      <c r="J220" s="17" t="str">
        <f>'2.1. DM'!J220</f>
        <v>Vigna unguiculata</v>
      </c>
      <c r="K220" s="17" t="str">
        <f>'2.1. DM'!K220</f>
        <v>Fabaceae</v>
      </c>
      <c r="L220" s="17" t="str">
        <f>'2.1. DM'!L220</f>
        <v>Fabales</v>
      </c>
      <c r="M220" s="17" t="str">
        <f>'2.1. DM'!M220</f>
        <v>Herbaceous</v>
      </c>
      <c r="N220" s="17" t="str">
        <f>'2.1. DM'!N220</f>
        <v>62,63,70</v>
      </c>
      <c r="O220" s="17" t="str">
        <f>'2.1. DM'!O220</f>
        <v>OT-031 (2025)</v>
      </c>
      <c r="P220" s="32"/>
      <c r="Q220" s="20">
        <v>23.161071444384127</v>
      </c>
      <c r="R220" s="345"/>
    </row>
    <row r="221" spans="2:18" x14ac:dyDescent="0.35">
      <c r="B221" s="17">
        <f>'2.1. DM'!B221</f>
        <v>211</v>
      </c>
      <c r="C221" s="17">
        <f>'2.1. DM'!C221</f>
        <v>46055</v>
      </c>
      <c r="D221" s="17" t="str">
        <f>'2.1. DM'!D221</f>
        <v>Genbank</v>
      </c>
      <c r="E221" s="17">
        <f>'2.1. DM'!E221</f>
        <v>29</v>
      </c>
      <c r="F221" s="17" t="str">
        <f>'2.1. DM'!F221</f>
        <v>F252616</v>
      </c>
      <c r="G221" s="17" t="str">
        <f>'2.1. DM'!G221</f>
        <v>CIAT33561</v>
      </c>
      <c r="H221" s="17" t="str">
        <f>'2.1. DM'!H221</f>
        <v>Desmodium</v>
      </c>
      <c r="I221" s="17" t="str">
        <f>'2.1. DM'!I221</f>
        <v>wigginsii</v>
      </c>
      <c r="J221" s="17" t="str">
        <f>'2.1. DM'!J221</f>
        <v>Desmodium wigginsii</v>
      </c>
      <c r="K221" s="17" t="str">
        <f>'2.1. DM'!K221</f>
        <v>Fabaceae</v>
      </c>
      <c r="L221" s="17" t="str">
        <f>'2.1. DM'!L221</f>
        <v>Fabales</v>
      </c>
      <c r="M221" s="17" t="str">
        <f>'2.1. DM'!M221</f>
        <v>Herbaceous</v>
      </c>
      <c r="N221" s="17" t="str">
        <f>'2.1. DM'!N221</f>
        <v>62,63,70</v>
      </c>
      <c r="O221" s="17" t="str">
        <f>'2.1. DM'!O221</f>
        <v>OT-031 (2025)</v>
      </c>
      <c r="P221" s="32"/>
      <c r="Q221" s="20">
        <v>16.293655903712867</v>
      </c>
      <c r="R221" s="345">
        <f t="shared" si="28"/>
        <v>16.293655903712867</v>
      </c>
    </row>
    <row r="222" spans="2:18" x14ac:dyDescent="0.35">
      <c r="B222" s="17">
        <f>'2.1. DM'!B222</f>
        <v>212</v>
      </c>
      <c r="C222" s="17">
        <f>'2.1. DM'!C222</f>
        <v>46055</v>
      </c>
      <c r="D222" s="17" t="str">
        <f>'2.1. DM'!D222</f>
        <v>Genbank</v>
      </c>
      <c r="E222" s="17">
        <f>'2.1. DM'!E222</f>
        <v>29</v>
      </c>
      <c r="F222" s="17" t="str">
        <f>'2.1. DM'!F222</f>
        <v>F252616</v>
      </c>
      <c r="G222" s="17" t="str">
        <f>'2.1. DM'!G222</f>
        <v>CIAT33561</v>
      </c>
      <c r="H222" s="17" t="str">
        <f>'2.1. DM'!H222</f>
        <v>Desmodium</v>
      </c>
      <c r="I222" s="17" t="str">
        <f>'2.1. DM'!I222</f>
        <v>wigginsii</v>
      </c>
      <c r="J222" s="17" t="str">
        <f>'2.1. DM'!J222</f>
        <v>Desmodium wigginsii</v>
      </c>
      <c r="K222" s="17" t="str">
        <f>'2.1. DM'!K222</f>
        <v>Fabaceae</v>
      </c>
      <c r="L222" s="17" t="str">
        <f>'2.1. DM'!L222</f>
        <v>Fabales</v>
      </c>
      <c r="M222" s="17" t="str">
        <f>'2.1. DM'!M222</f>
        <v>Herbaceous</v>
      </c>
      <c r="N222" s="17" t="str">
        <f>'2.1. DM'!N222</f>
        <v>62,63,70</v>
      </c>
      <c r="O222" s="17" t="str">
        <f>'2.1. DM'!O222</f>
        <v>OT-031 (2025)</v>
      </c>
      <c r="P222" s="32"/>
      <c r="Q222" s="20">
        <v>16.293655903712867</v>
      </c>
      <c r="R222" s="345"/>
    </row>
    <row r="223" spans="2:18" x14ac:dyDescent="0.35">
      <c r="B223" s="17">
        <f>'2.1. DM'!B223</f>
        <v>213</v>
      </c>
      <c r="C223" s="17">
        <f>'2.1. DM'!C223</f>
        <v>46055</v>
      </c>
      <c r="D223" s="17" t="str">
        <f>'2.1. DM'!D223</f>
        <v>Genbank</v>
      </c>
      <c r="E223" s="17">
        <f>'2.1. DM'!E223</f>
        <v>29</v>
      </c>
      <c r="F223" s="17" t="str">
        <f>'2.1. DM'!F223</f>
        <v>F252617</v>
      </c>
      <c r="G223" s="17" t="str">
        <f>'2.1. DM'!G223</f>
        <v>CIAT34038</v>
      </c>
      <c r="H223" s="17" t="str">
        <f>'2.1. DM'!H223</f>
        <v>Vigna</v>
      </c>
      <c r="I223" s="17" t="str">
        <f>'2.1. DM'!I223</f>
        <v>unguiculata</v>
      </c>
      <c r="J223" s="17" t="str">
        <f>'2.1. DM'!J223</f>
        <v>Vigna unguiculata</v>
      </c>
      <c r="K223" s="17" t="str">
        <f>'2.1. DM'!K223</f>
        <v>Fabaceae</v>
      </c>
      <c r="L223" s="17" t="str">
        <f>'2.1. DM'!L223</f>
        <v>Fabales</v>
      </c>
      <c r="M223" s="17" t="str">
        <f>'2.1. DM'!M223</f>
        <v>Herbaceous</v>
      </c>
      <c r="N223" s="17" t="str">
        <f>'2.1. DM'!N223</f>
        <v>62,63,70</v>
      </c>
      <c r="O223" s="17" t="str">
        <f>'2.1. DM'!O223</f>
        <v>OT-031 (2025)</v>
      </c>
      <c r="P223" s="32"/>
      <c r="Q223" s="20">
        <v>20.568244123206618</v>
      </c>
      <c r="R223" s="345">
        <f t="shared" si="28"/>
        <v>20.568244123206618</v>
      </c>
    </row>
    <row r="224" spans="2:18" x14ac:dyDescent="0.35">
      <c r="B224" s="17">
        <f>'2.1. DM'!B224</f>
        <v>214</v>
      </c>
      <c r="C224" s="17">
        <f>'2.1. DM'!C224</f>
        <v>46055</v>
      </c>
      <c r="D224" s="17" t="str">
        <f>'2.1. DM'!D224</f>
        <v>Genbank</v>
      </c>
      <c r="E224" s="17">
        <f>'2.1. DM'!E224</f>
        <v>29</v>
      </c>
      <c r="F224" s="17" t="str">
        <f>'2.1. DM'!F224</f>
        <v>F252617</v>
      </c>
      <c r="G224" s="17" t="str">
        <f>'2.1. DM'!G224</f>
        <v>CIAT34038</v>
      </c>
      <c r="H224" s="17" t="str">
        <f>'2.1. DM'!H224</f>
        <v>Vigna</v>
      </c>
      <c r="I224" s="17" t="str">
        <f>'2.1. DM'!I224</f>
        <v>unguiculata</v>
      </c>
      <c r="J224" s="17" t="str">
        <f>'2.1. DM'!J224</f>
        <v>Vigna unguiculata</v>
      </c>
      <c r="K224" s="17" t="str">
        <f>'2.1. DM'!K224</f>
        <v>Fabaceae</v>
      </c>
      <c r="L224" s="17" t="str">
        <f>'2.1. DM'!L224</f>
        <v>Fabales</v>
      </c>
      <c r="M224" s="17" t="str">
        <f>'2.1. DM'!M224</f>
        <v>Herbaceous</v>
      </c>
      <c r="N224" s="17" t="str">
        <f>'2.1. DM'!N224</f>
        <v>62,63,70</v>
      </c>
      <c r="O224" s="17" t="str">
        <f>'2.1. DM'!O224</f>
        <v>OT-031 (2025)</v>
      </c>
      <c r="P224" s="32"/>
      <c r="Q224" s="20">
        <v>20.568244123206618</v>
      </c>
      <c r="R224" s="345"/>
    </row>
    <row r="225" spans="2:18" x14ac:dyDescent="0.35">
      <c r="B225" s="17">
        <f>'2.1. DM'!B225</f>
        <v>215</v>
      </c>
      <c r="C225" s="17">
        <f>'2.1. DM'!C225</f>
        <v>46055</v>
      </c>
      <c r="D225" s="17" t="str">
        <f>'2.1. DM'!D225</f>
        <v>Genbank</v>
      </c>
      <c r="E225" s="17">
        <f>'2.1. DM'!E225</f>
        <v>29</v>
      </c>
      <c r="F225" s="17" t="str">
        <f>'2.1. DM'!F225</f>
        <v>F252618</v>
      </c>
      <c r="G225" s="17" t="str">
        <f>'2.1. DM'!G225</f>
        <v>CIAT34040</v>
      </c>
      <c r="H225" s="17" t="str">
        <f>'2.1. DM'!H225</f>
        <v>Vigna</v>
      </c>
      <c r="I225" s="17" t="str">
        <f>'2.1. DM'!I225</f>
        <v>aconitifolia</v>
      </c>
      <c r="J225" s="17" t="str">
        <f>'2.1. DM'!J225</f>
        <v>Vigna aconitifolia</v>
      </c>
      <c r="K225" s="17" t="str">
        <f>'2.1. DM'!K225</f>
        <v>Fabaceae</v>
      </c>
      <c r="L225" s="17" t="str">
        <f>'2.1. DM'!L225</f>
        <v>Fabales</v>
      </c>
      <c r="M225" s="17" t="str">
        <f>'2.1. DM'!M225</f>
        <v>Herbaceous</v>
      </c>
      <c r="N225" s="17" t="str">
        <f>'2.1. DM'!N225</f>
        <v>62,63,70</v>
      </c>
      <c r="O225" s="17" t="str">
        <f>'2.1. DM'!O225</f>
        <v>OT-031 (2025)</v>
      </c>
      <c r="P225" s="32"/>
      <c r="Q225" s="20">
        <v>25.56369149675103</v>
      </c>
      <c r="R225" s="345">
        <f t="shared" si="28"/>
        <v>25.56369149675103</v>
      </c>
    </row>
    <row r="226" spans="2:18" x14ac:dyDescent="0.35">
      <c r="B226" s="17">
        <f>'2.1. DM'!B226</f>
        <v>216</v>
      </c>
      <c r="C226" s="17">
        <f>'2.1. DM'!C226</f>
        <v>46055</v>
      </c>
      <c r="D226" s="17" t="str">
        <f>'2.1. DM'!D226</f>
        <v>Genbank</v>
      </c>
      <c r="E226" s="17">
        <f>'2.1. DM'!E226</f>
        <v>29</v>
      </c>
      <c r="F226" s="17" t="str">
        <f>'2.1. DM'!F226</f>
        <v>F252618</v>
      </c>
      <c r="G226" s="17" t="str">
        <f>'2.1. DM'!G226</f>
        <v>CIAT34040</v>
      </c>
      <c r="H226" s="17" t="str">
        <f>'2.1. DM'!H226</f>
        <v>Vigna</v>
      </c>
      <c r="I226" s="17" t="str">
        <f>'2.1. DM'!I226</f>
        <v>aconitifolia</v>
      </c>
      <c r="J226" s="17" t="str">
        <f>'2.1. DM'!J226</f>
        <v>Vigna aconitifolia</v>
      </c>
      <c r="K226" s="17" t="str">
        <f>'2.1. DM'!K226</f>
        <v>Fabaceae</v>
      </c>
      <c r="L226" s="17" t="str">
        <f>'2.1. DM'!L226</f>
        <v>Fabales</v>
      </c>
      <c r="M226" s="17" t="str">
        <f>'2.1. DM'!M226</f>
        <v>Herbaceous</v>
      </c>
      <c r="N226" s="17" t="str">
        <f>'2.1. DM'!N226</f>
        <v>62,63,70</v>
      </c>
      <c r="O226" s="17" t="str">
        <f>'2.1. DM'!O226</f>
        <v>OT-031 (2025)</v>
      </c>
      <c r="P226" s="32"/>
      <c r="Q226" s="20">
        <v>25.56369149675103</v>
      </c>
      <c r="R226" s="345"/>
    </row>
    <row r="227" spans="2:18" x14ac:dyDescent="0.35">
      <c r="B227" s="17">
        <f>'2.1. DM'!B227</f>
        <v>217</v>
      </c>
      <c r="C227" s="17">
        <f>'2.1. DM'!C227</f>
        <v>46055</v>
      </c>
      <c r="D227" s="17" t="str">
        <f>'2.1. DM'!D227</f>
        <v>Genbank</v>
      </c>
      <c r="E227" s="17">
        <f>'2.1. DM'!E227</f>
        <v>29</v>
      </c>
      <c r="F227" s="17" t="str">
        <f>'2.1. DM'!F227</f>
        <v>F252619</v>
      </c>
      <c r="G227" s="17" t="str">
        <f>'2.1. DM'!G227</f>
        <v>CIAT34042</v>
      </c>
      <c r="H227" s="17" t="str">
        <f>'2.1. DM'!H227</f>
        <v>Vigna</v>
      </c>
      <c r="I227" s="17" t="str">
        <f>'2.1. DM'!I227</f>
        <v>aconitifolia</v>
      </c>
      <c r="J227" s="17" t="str">
        <f>'2.1. DM'!J227</f>
        <v>Vigna aconitifolia</v>
      </c>
      <c r="K227" s="17" t="str">
        <f>'2.1. DM'!K227</f>
        <v>Fabaceae</v>
      </c>
      <c r="L227" s="17" t="str">
        <f>'2.1. DM'!L227</f>
        <v>Fabales</v>
      </c>
      <c r="M227" s="17" t="str">
        <f>'2.1. DM'!M227</f>
        <v>Herbaceous</v>
      </c>
      <c r="N227" s="17" t="str">
        <f>'2.1. DM'!N227</f>
        <v>62,63,70</v>
      </c>
      <c r="O227" s="17" t="str">
        <f>'2.1. DM'!O227</f>
        <v>OT-031 (2025)</v>
      </c>
      <c r="P227" s="32"/>
      <c r="Q227" s="20">
        <v>24.707049982964765</v>
      </c>
      <c r="R227" s="345">
        <f t="shared" si="28"/>
        <v>24.707049982964765</v>
      </c>
    </row>
    <row r="228" spans="2:18" x14ac:dyDescent="0.35">
      <c r="B228" s="17">
        <f>'2.1. DM'!B228</f>
        <v>218</v>
      </c>
      <c r="C228" s="17">
        <f>'2.1. DM'!C228</f>
        <v>46055</v>
      </c>
      <c r="D228" s="17" t="str">
        <f>'2.1. DM'!D228</f>
        <v>Genbank</v>
      </c>
      <c r="E228" s="17">
        <f>'2.1. DM'!E228</f>
        <v>29</v>
      </c>
      <c r="F228" s="17" t="str">
        <f>'2.1. DM'!F228</f>
        <v>F252619</v>
      </c>
      <c r="G228" s="17" t="str">
        <f>'2.1. DM'!G228</f>
        <v>CIAT34042</v>
      </c>
      <c r="H228" s="17" t="str">
        <f>'2.1. DM'!H228</f>
        <v>Vigna</v>
      </c>
      <c r="I228" s="17" t="str">
        <f>'2.1. DM'!I228</f>
        <v>aconitifolia</v>
      </c>
      <c r="J228" s="17" t="str">
        <f>'2.1. DM'!J228</f>
        <v>Vigna aconitifolia</v>
      </c>
      <c r="K228" s="17" t="str">
        <f>'2.1. DM'!K228</f>
        <v>Fabaceae</v>
      </c>
      <c r="L228" s="17" t="str">
        <f>'2.1. DM'!L228</f>
        <v>Fabales</v>
      </c>
      <c r="M228" s="17" t="str">
        <f>'2.1. DM'!M228</f>
        <v>Herbaceous</v>
      </c>
      <c r="N228" s="17" t="str">
        <f>'2.1. DM'!N228</f>
        <v>62,63,70</v>
      </c>
      <c r="O228" s="17" t="str">
        <f>'2.1. DM'!O228</f>
        <v>OT-031 (2025)</v>
      </c>
      <c r="P228" s="32"/>
      <c r="Q228" s="20">
        <v>24.707049982964765</v>
      </c>
      <c r="R228" s="345"/>
    </row>
    <row r="229" spans="2:18" x14ac:dyDescent="0.35">
      <c r="B229" s="17">
        <f>'2.1. DM'!B229</f>
        <v>219</v>
      </c>
      <c r="C229" s="17">
        <f>'2.1. DM'!C229</f>
        <v>46055</v>
      </c>
      <c r="D229" s="17" t="str">
        <f>'2.1. DM'!D229</f>
        <v>Genbank</v>
      </c>
      <c r="E229" s="17">
        <f>'2.1. DM'!E229</f>
        <v>29</v>
      </c>
      <c r="F229" s="17" t="str">
        <f>'2.1. DM'!F229</f>
        <v>F252620</v>
      </c>
      <c r="G229" s="17" t="str">
        <f>'2.1. DM'!G229</f>
        <v>CIAT34044</v>
      </c>
      <c r="H229" s="17" t="str">
        <f>'2.1. DM'!H229</f>
        <v>Vigna</v>
      </c>
      <c r="I229" s="17" t="str">
        <f>'2.1. DM'!I229</f>
        <v>aconitifolia</v>
      </c>
      <c r="J229" s="17" t="str">
        <f>'2.1. DM'!J229</f>
        <v>Vigna aconitifolia</v>
      </c>
      <c r="K229" s="17" t="str">
        <f>'2.1. DM'!K229</f>
        <v>Fabaceae</v>
      </c>
      <c r="L229" s="17" t="str">
        <f>'2.1. DM'!L229</f>
        <v>Fabales</v>
      </c>
      <c r="M229" s="17" t="str">
        <f>'2.1. DM'!M229</f>
        <v>Herbaceous</v>
      </c>
      <c r="N229" s="17" t="str">
        <f>'2.1. DM'!N229</f>
        <v>62,63,70</v>
      </c>
      <c r="O229" s="17" t="str">
        <f>'2.1. DM'!O229</f>
        <v>OT-031 (2025)</v>
      </c>
      <c r="P229" s="32"/>
      <c r="Q229" s="20">
        <v>22.362805395352606</v>
      </c>
      <c r="R229" s="345">
        <f t="shared" si="28"/>
        <v>22.362805395352606</v>
      </c>
    </row>
    <row r="230" spans="2:18" x14ac:dyDescent="0.35">
      <c r="B230" s="17">
        <f>'2.1. DM'!B230</f>
        <v>220</v>
      </c>
      <c r="C230" s="17">
        <f>'2.1. DM'!C230</f>
        <v>46055</v>
      </c>
      <c r="D230" s="17" t="str">
        <f>'2.1. DM'!D230</f>
        <v>Genbank</v>
      </c>
      <c r="E230" s="17">
        <f>'2.1. DM'!E230</f>
        <v>29</v>
      </c>
      <c r="F230" s="17" t="str">
        <f>'2.1. DM'!F230</f>
        <v>F252620</v>
      </c>
      <c r="G230" s="17" t="str">
        <f>'2.1. DM'!G230</f>
        <v>CIAT34044</v>
      </c>
      <c r="H230" s="17" t="str">
        <f>'2.1. DM'!H230</f>
        <v>Vigna</v>
      </c>
      <c r="I230" s="17" t="str">
        <f>'2.1. DM'!I230</f>
        <v>aconitifolia</v>
      </c>
      <c r="J230" s="17" t="str">
        <f>'2.1. DM'!J230</f>
        <v>Vigna aconitifolia</v>
      </c>
      <c r="K230" s="17" t="str">
        <f>'2.1. DM'!K230</f>
        <v>Fabaceae</v>
      </c>
      <c r="L230" s="17" t="str">
        <f>'2.1. DM'!L230</f>
        <v>Fabales</v>
      </c>
      <c r="M230" s="17" t="str">
        <f>'2.1. DM'!M230</f>
        <v>Herbaceous</v>
      </c>
      <c r="N230" s="17" t="str">
        <f>'2.1. DM'!N230</f>
        <v>62,63,70</v>
      </c>
      <c r="O230" s="17" t="str">
        <f>'2.1. DM'!O230</f>
        <v>OT-031 (2025)</v>
      </c>
      <c r="P230" s="32"/>
      <c r="Q230" s="20">
        <v>22.362805395352606</v>
      </c>
      <c r="R230" s="345"/>
    </row>
    <row r="231" spans="2:18" x14ac:dyDescent="0.35">
      <c r="B231" s="17">
        <f>'2.1. DM'!B231</f>
        <v>221</v>
      </c>
      <c r="C231" s="17">
        <f>'2.1. DM'!C231</f>
        <v>46055</v>
      </c>
      <c r="D231" s="17" t="str">
        <f>'2.1. DM'!D231</f>
        <v>Genbank</v>
      </c>
      <c r="E231" s="17">
        <f>'2.1. DM'!E231</f>
        <v>29</v>
      </c>
      <c r="F231" s="17" t="str">
        <f>'2.1. DM'!F231</f>
        <v>F252621</v>
      </c>
      <c r="G231" s="17" t="str">
        <f>'2.1. DM'!G231</f>
        <v>CIAT34148</v>
      </c>
      <c r="H231" s="17" t="str">
        <f>'2.1. DM'!H231</f>
        <v>Vigna</v>
      </c>
      <c r="I231" s="17" t="str">
        <f>'2.1. DM'!I231</f>
        <v>radiata</v>
      </c>
      <c r="J231" s="17" t="str">
        <f>'2.1. DM'!J231</f>
        <v>Vigna radiata</v>
      </c>
      <c r="K231" s="17" t="str">
        <f>'2.1. DM'!K231</f>
        <v>Fabaceae</v>
      </c>
      <c r="L231" s="17" t="str">
        <f>'2.1. DM'!L231</f>
        <v>Fabales</v>
      </c>
      <c r="M231" s="17" t="str">
        <f>'2.1. DM'!M231</f>
        <v>Herbaceous</v>
      </c>
      <c r="N231" s="17" t="str">
        <f>'2.1. DM'!N231</f>
        <v>62,63,70</v>
      </c>
      <c r="O231" s="17" t="str">
        <f>'2.1. DM'!O231</f>
        <v>OT-031 (2025)</v>
      </c>
      <c r="P231" s="32"/>
      <c r="Q231" s="20">
        <v>23.287884478466296</v>
      </c>
      <c r="R231" s="345">
        <f t="shared" si="28"/>
        <v>23.287884478466296</v>
      </c>
    </row>
    <row r="232" spans="2:18" x14ac:dyDescent="0.35">
      <c r="B232" s="17">
        <f>'2.1. DM'!B232</f>
        <v>222</v>
      </c>
      <c r="C232" s="17">
        <f>'2.1. DM'!C232</f>
        <v>46055</v>
      </c>
      <c r="D232" s="17" t="str">
        <f>'2.1. DM'!D232</f>
        <v>Genbank</v>
      </c>
      <c r="E232" s="17">
        <f>'2.1. DM'!E232</f>
        <v>29</v>
      </c>
      <c r="F232" s="17" t="str">
        <f>'2.1. DM'!F232</f>
        <v>F252621</v>
      </c>
      <c r="G232" s="17" t="str">
        <f>'2.1. DM'!G232</f>
        <v>CIAT34148</v>
      </c>
      <c r="H232" s="17" t="str">
        <f>'2.1. DM'!H232</f>
        <v>Vigna</v>
      </c>
      <c r="I232" s="17" t="str">
        <f>'2.1. DM'!I232</f>
        <v>radiata</v>
      </c>
      <c r="J232" s="17" t="str">
        <f>'2.1. DM'!J232</f>
        <v>Vigna radiata</v>
      </c>
      <c r="K232" s="17" t="str">
        <f>'2.1. DM'!K232</f>
        <v>Fabaceae</v>
      </c>
      <c r="L232" s="17" t="str">
        <f>'2.1. DM'!L232</f>
        <v>Fabales</v>
      </c>
      <c r="M232" s="17" t="str">
        <f>'2.1. DM'!M232</f>
        <v>Herbaceous</v>
      </c>
      <c r="N232" s="17" t="str">
        <f>'2.1. DM'!N232</f>
        <v>62,63,70</v>
      </c>
      <c r="O232" s="17" t="str">
        <f>'2.1. DM'!O232</f>
        <v>OT-031 (2025)</v>
      </c>
      <c r="P232" s="32"/>
      <c r="Q232" s="20">
        <v>23.287884478466296</v>
      </c>
      <c r="R232" s="345"/>
    </row>
    <row r="233" spans="2:18" x14ac:dyDescent="0.35">
      <c r="B233" s="17">
        <f>'2.1. DM'!B233</f>
        <v>223</v>
      </c>
      <c r="C233" s="17">
        <f>'2.1. DM'!C233</f>
        <v>46055</v>
      </c>
      <c r="D233" s="17" t="str">
        <f>'2.1. DM'!D233</f>
        <v>Genbank</v>
      </c>
      <c r="E233" s="17">
        <f>'2.1. DM'!E233</f>
        <v>29</v>
      </c>
      <c r="F233" s="17" t="str">
        <f>'2.1. DM'!F233</f>
        <v>F252622</v>
      </c>
      <c r="G233" s="17" t="str">
        <f>'2.1. DM'!G233</f>
        <v>CIAT34159</v>
      </c>
      <c r="H233" s="17" t="str">
        <f>'2.1. DM'!H233</f>
        <v>Vigna</v>
      </c>
      <c r="I233" s="17" t="str">
        <f>'2.1. DM'!I233</f>
        <v>unguiculata</v>
      </c>
      <c r="J233" s="17" t="str">
        <f>'2.1. DM'!J233</f>
        <v>Vigna unguiculata</v>
      </c>
      <c r="K233" s="17" t="str">
        <f>'2.1. DM'!K233</f>
        <v>Fabaceae</v>
      </c>
      <c r="L233" s="17" t="str">
        <f>'2.1. DM'!L233</f>
        <v>Fabales</v>
      </c>
      <c r="M233" s="17" t="str">
        <f>'2.1. DM'!M233</f>
        <v>Herbaceous</v>
      </c>
      <c r="N233" s="17" t="str">
        <f>'2.1. DM'!N233</f>
        <v>62,63,70</v>
      </c>
      <c r="O233" s="17" t="str">
        <f>'2.1. DM'!O233</f>
        <v>OT-031 (2025)</v>
      </c>
      <c r="P233" s="32"/>
      <c r="Q233" s="26">
        <v>22.863588720097063</v>
      </c>
      <c r="R233" s="345">
        <f t="shared" si="28"/>
        <v>22.863588720097063</v>
      </c>
    </row>
    <row r="234" spans="2:18" x14ac:dyDescent="0.35">
      <c r="B234" s="17">
        <f>'2.1. DM'!B234</f>
        <v>224</v>
      </c>
      <c r="C234" s="17">
        <f>'2.1. DM'!C234</f>
        <v>46055</v>
      </c>
      <c r="D234" s="17" t="str">
        <f>'2.1. DM'!D234</f>
        <v>Genbank</v>
      </c>
      <c r="E234" s="17">
        <f>'2.1. DM'!E234</f>
        <v>29</v>
      </c>
      <c r="F234" s="17" t="str">
        <f>'2.1. DM'!F234</f>
        <v>F252622</v>
      </c>
      <c r="G234" s="17" t="str">
        <f>'2.1. DM'!G234</f>
        <v>CIAT34159</v>
      </c>
      <c r="H234" s="17" t="str">
        <f>'2.1. DM'!H234</f>
        <v>Vigna</v>
      </c>
      <c r="I234" s="17" t="str">
        <f>'2.1. DM'!I234</f>
        <v>unguiculata</v>
      </c>
      <c r="J234" s="17" t="str">
        <f>'2.1. DM'!J234</f>
        <v>Vigna unguiculata</v>
      </c>
      <c r="K234" s="17" t="str">
        <f>'2.1. DM'!K234</f>
        <v>Fabaceae</v>
      </c>
      <c r="L234" s="17" t="str">
        <f>'2.1. DM'!L234</f>
        <v>Fabales</v>
      </c>
      <c r="M234" s="17" t="str">
        <f>'2.1. DM'!M234</f>
        <v>Herbaceous</v>
      </c>
      <c r="N234" s="17" t="str">
        <f>'2.1. DM'!N234</f>
        <v>62,63,70</v>
      </c>
      <c r="O234" s="17" t="str">
        <f>'2.1. DM'!O234</f>
        <v>OT-031 (2025)</v>
      </c>
      <c r="P234" s="32"/>
      <c r="Q234" s="26">
        <v>22.863588720097063</v>
      </c>
      <c r="R234" s="345"/>
    </row>
    <row r="235" spans="2:18" x14ac:dyDescent="0.35">
      <c r="B235" s="17">
        <f>'2.1. DM'!B235</f>
        <v>225</v>
      </c>
      <c r="C235" s="17">
        <f>'2.1. DM'!C235</f>
        <v>46055</v>
      </c>
      <c r="D235" s="17" t="str">
        <f>'2.1. DM'!D235</f>
        <v>Genbank</v>
      </c>
      <c r="E235" s="17">
        <f>'2.1. DM'!E235</f>
        <v>29</v>
      </c>
      <c r="F235" s="17" t="str">
        <f>'2.1. DM'!F235</f>
        <v>F252623</v>
      </c>
      <c r="G235" s="17" t="str">
        <f>'2.1. DM'!G235</f>
        <v>CIAT34347</v>
      </c>
      <c r="H235" s="17" t="str">
        <f>'2.1. DM'!H235</f>
        <v>Vigna</v>
      </c>
      <c r="I235" s="17" t="str">
        <f>'2.1. DM'!I235</f>
        <v>unguiculata</v>
      </c>
      <c r="J235" s="17" t="str">
        <f>'2.1. DM'!J235</f>
        <v>Vigna unguiculata</v>
      </c>
      <c r="K235" s="17" t="str">
        <f>'2.1. DM'!K235</f>
        <v>Fabaceae</v>
      </c>
      <c r="L235" s="17" t="str">
        <f>'2.1. DM'!L235</f>
        <v>Fabales</v>
      </c>
      <c r="M235" s="17" t="str">
        <f>'2.1. DM'!M235</f>
        <v>Herbaceous</v>
      </c>
      <c r="N235" s="17" t="str">
        <f>'2.1. DM'!N235</f>
        <v>62,63,70</v>
      </c>
      <c r="O235" s="17" t="str">
        <f>'2.1. DM'!O235</f>
        <v>OT-031 (2025)</v>
      </c>
      <c r="P235" s="32"/>
      <c r="Q235" s="26">
        <v>32.509384991699882</v>
      </c>
      <c r="R235" s="345">
        <f t="shared" si="28"/>
        <v>32.464899703970843</v>
      </c>
    </row>
    <row r="236" spans="2:18" x14ac:dyDescent="0.35">
      <c r="B236" s="17">
        <f>'2.1. DM'!B236</f>
        <v>226</v>
      </c>
      <c r="C236" s="17">
        <f>'2.1. DM'!C236</f>
        <v>46055</v>
      </c>
      <c r="D236" s="17" t="str">
        <f>'2.1. DM'!D236</f>
        <v>Genbank</v>
      </c>
      <c r="E236" s="17">
        <f>'2.1. DM'!E236</f>
        <v>29</v>
      </c>
      <c r="F236" s="17" t="str">
        <f>'2.1. DM'!F236</f>
        <v>F252623</v>
      </c>
      <c r="G236" s="17" t="str">
        <f>'2.1. DM'!G236</f>
        <v>CIAT34347</v>
      </c>
      <c r="H236" s="17" t="str">
        <f>'2.1. DM'!H236</f>
        <v>Vigna</v>
      </c>
      <c r="I236" s="17" t="str">
        <f>'2.1. DM'!I236</f>
        <v>unguiculata</v>
      </c>
      <c r="J236" s="17" t="str">
        <f>'2.1. DM'!J236</f>
        <v>Vigna unguiculata</v>
      </c>
      <c r="K236" s="17" t="str">
        <f>'2.1. DM'!K236</f>
        <v>Fabaceae</v>
      </c>
      <c r="L236" s="17" t="str">
        <f>'2.1. DM'!L236</f>
        <v>Fabales</v>
      </c>
      <c r="M236" s="17" t="str">
        <f>'2.1. DM'!M236</f>
        <v>Herbaceous</v>
      </c>
      <c r="N236" s="17" t="str">
        <f>'2.1. DM'!N236</f>
        <v>62,63,70</v>
      </c>
      <c r="O236" s="17" t="str">
        <f>'2.1. DM'!O236</f>
        <v>OT-031 (2025)</v>
      </c>
      <c r="P236" s="32"/>
      <c r="Q236" s="26">
        <v>32.420414416241812</v>
      </c>
      <c r="R236" s="345"/>
    </row>
    <row r="237" spans="2:18" x14ac:dyDescent="0.35">
      <c r="B237" s="17">
        <f>'2.1. DM'!B237</f>
        <v>227</v>
      </c>
      <c r="C237" s="17">
        <f>'2.1. DM'!C237</f>
        <v>46055</v>
      </c>
      <c r="D237" s="17" t="str">
        <f>'2.1. DM'!D237</f>
        <v>Genbank</v>
      </c>
      <c r="E237" s="17">
        <f>'2.1. DM'!E237</f>
        <v>29</v>
      </c>
      <c r="F237" s="17" t="str">
        <f>'2.1. DM'!F237</f>
        <v>F251692</v>
      </c>
      <c r="G237" s="17" t="str">
        <f>'2.1. DM'!G237</f>
        <v>CIAT-23715</v>
      </c>
      <c r="H237" s="17" t="str">
        <f>'2.1. DM'!H237</f>
        <v>Desmodium</v>
      </c>
      <c r="I237" s="17" t="str">
        <f>'2.1. DM'!I237</f>
        <v>sequax</v>
      </c>
      <c r="J237" s="17" t="str">
        <f>'2.1. DM'!J237</f>
        <v>Desmodium sequax</v>
      </c>
      <c r="K237" s="17" t="str">
        <f>'2.1. DM'!K237</f>
        <v>Fabaceae</v>
      </c>
      <c r="L237" s="17" t="str">
        <f>'2.1. DM'!L237</f>
        <v>Fabales</v>
      </c>
      <c r="M237" s="17" t="str">
        <f>'2.1. DM'!M237</f>
        <v>Shrub</v>
      </c>
      <c r="N237" s="17" t="str">
        <f>'2.1. DM'!N237</f>
        <v>62,63,70</v>
      </c>
      <c r="O237" s="17" t="str">
        <f>'2.1. DM'!O237</f>
        <v>OT-008 (2025)</v>
      </c>
      <c r="P237" s="32"/>
      <c r="Q237" s="18">
        <v>16.813216997484169</v>
      </c>
      <c r="R237" s="345">
        <f t="shared" si="28"/>
        <v>16.813216997484169</v>
      </c>
    </row>
    <row r="238" spans="2:18" x14ac:dyDescent="0.35">
      <c r="B238" s="17">
        <f>'2.1. DM'!B238</f>
        <v>228</v>
      </c>
      <c r="C238" s="17">
        <f>'2.1. DM'!C238</f>
        <v>46055</v>
      </c>
      <c r="D238" s="17" t="str">
        <f>'2.1. DM'!D238</f>
        <v>Genbank</v>
      </c>
      <c r="E238" s="17">
        <f>'2.1. DM'!E238</f>
        <v>29</v>
      </c>
      <c r="F238" s="17" t="str">
        <f>'2.1. DM'!F238</f>
        <v>F251692</v>
      </c>
      <c r="G238" s="17" t="str">
        <f>'2.1. DM'!G238</f>
        <v>CIAT-23715</v>
      </c>
      <c r="H238" s="17" t="str">
        <f>'2.1. DM'!H238</f>
        <v>Desmodium</v>
      </c>
      <c r="I238" s="17" t="str">
        <f>'2.1. DM'!I238</f>
        <v>sequax</v>
      </c>
      <c r="J238" s="17" t="str">
        <f>'2.1. DM'!J238</f>
        <v>Desmodium sequax</v>
      </c>
      <c r="K238" s="17" t="str">
        <f>'2.1. DM'!K238</f>
        <v>Fabaceae</v>
      </c>
      <c r="L238" s="17" t="str">
        <f>'2.1. DM'!L238</f>
        <v>Fabales</v>
      </c>
      <c r="M238" s="17" t="str">
        <f>'2.1. DM'!M238</f>
        <v>Shrub</v>
      </c>
      <c r="N238" s="17" t="str">
        <f>'2.1. DM'!N238</f>
        <v>62,63,70</v>
      </c>
      <c r="O238" s="17" t="str">
        <f>'2.1. DM'!O238</f>
        <v>OT-008 (2025)</v>
      </c>
      <c r="P238" s="32"/>
      <c r="Q238" s="18">
        <v>16.813216997484169</v>
      </c>
      <c r="R238" s="345"/>
    </row>
    <row r="239" spans="2:18" x14ac:dyDescent="0.35">
      <c r="B239" s="17">
        <f>'2.1. DM'!B239</f>
        <v>229</v>
      </c>
      <c r="C239" s="17">
        <f>'2.1. DM'!C239</f>
        <v>46055</v>
      </c>
      <c r="D239" s="17" t="str">
        <f>'2.1. DM'!D239</f>
        <v>Jacobo Arango/ Alejandro Montoya</v>
      </c>
      <c r="E239" s="17">
        <f>'2.1. DM'!E239</f>
        <v>29</v>
      </c>
      <c r="F239" s="17" t="str">
        <f>'2.1. DM'!F239</f>
        <v>F250008</v>
      </c>
      <c r="G239" s="17" t="str">
        <f>'2.1. DM'!G239</f>
        <v>Sample 8</v>
      </c>
      <c r="H239" s="17" t="str">
        <f>'2.1. DM'!H239</f>
        <v>Cynodon</v>
      </c>
      <c r="I239" s="17" t="str">
        <f>'2.1. DM'!I239</f>
        <v xml:space="preserve"> nlemfuensis </v>
      </c>
      <c r="J239" s="17" t="str">
        <f>'2.1. DM'!J239</f>
        <v xml:space="preserve">Cynodon nlemfuensis </v>
      </c>
      <c r="K239" s="17" t="str">
        <f>'2.1. DM'!K239</f>
        <v>Poaceae</v>
      </c>
      <c r="L239" s="17" t="str">
        <f>'2.1. DM'!L239</f>
        <v>Poales</v>
      </c>
      <c r="M239" s="17" t="str">
        <f>'2.1. DM'!M239</f>
        <v>grasses</v>
      </c>
      <c r="N239" s="17" t="str">
        <f>'2.1. DM'!N239</f>
        <v>62,63,70</v>
      </c>
      <c r="O239" s="17" t="str">
        <f>'2.1. DM'!O239</f>
        <v>OT-002 (2025)</v>
      </c>
      <c r="P239" s="32"/>
      <c r="Q239" s="26"/>
      <c r="R239" s="345"/>
    </row>
    <row r="240" spans="2:18" x14ac:dyDescent="0.35">
      <c r="B240" s="17">
        <f>'2.1. DM'!B240</f>
        <v>230</v>
      </c>
      <c r="C240" s="17">
        <f>'2.1. DM'!C240</f>
        <v>46055</v>
      </c>
      <c r="D240" s="17" t="str">
        <f>'2.1. DM'!D241</f>
        <v>Genbank</v>
      </c>
      <c r="E240" s="17">
        <f>'2.1. DM'!E240</f>
        <v>29</v>
      </c>
      <c r="F240" s="17" t="str">
        <f>'2.1. DM'!F240</f>
        <v>F250008</v>
      </c>
      <c r="G240" s="17" t="str">
        <f>'2.1. DM'!G240</f>
        <v>Sample 8</v>
      </c>
      <c r="H240" s="17" t="str">
        <f>'2.1. DM'!H240</f>
        <v>Cynodon</v>
      </c>
      <c r="I240" s="17" t="str">
        <f>'2.1. DM'!I240</f>
        <v xml:space="preserve"> nlemfuensis </v>
      </c>
      <c r="J240" s="17" t="str">
        <f>'2.1. DM'!J240</f>
        <v xml:space="preserve">Cynodon nlemfuensis </v>
      </c>
      <c r="K240" s="17" t="str">
        <f>'2.1. DM'!K240</f>
        <v>Poaceae</v>
      </c>
      <c r="L240" s="17" t="str">
        <f>'2.1. DM'!L240</f>
        <v>Poales</v>
      </c>
      <c r="M240" s="17" t="str">
        <f>'2.1. DM'!M240</f>
        <v>grasses</v>
      </c>
      <c r="N240" s="17" t="str">
        <f>'2.1. DM'!N240</f>
        <v>62,63,70</v>
      </c>
      <c r="O240" s="17" t="str">
        <f>'2.1. DM'!O240</f>
        <v>OT-002 (2025)</v>
      </c>
      <c r="P240" s="32"/>
      <c r="Q240" s="26"/>
      <c r="R240" s="345"/>
    </row>
    <row r="241" spans="2:18" x14ac:dyDescent="0.35">
      <c r="B241" s="17">
        <f>'2.1. DM'!B241</f>
        <v>231</v>
      </c>
      <c r="C241" s="17">
        <f>'2.1. DM'!C241</f>
        <v>46062</v>
      </c>
      <c r="D241" s="17" t="str">
        <f>'2.1. DM'!D242</f>
        <v>Genbank</v>
      </c>
      <c r="E241" s="17">
        <f>'2.1. DM'!E241</f>
        <v>30</v>
      </c>
      <c r="F241" s="17" t="str">
        <f>'2.1. DM'!F241</f>
        <v>F260013</v>
      </c>
      <c r="G241" s="17" t="str">
        <f>'2.1. DM'!G241</f>
        <v>CIAT590</v>
      </c>
      <c r="H241" s="17" t="str">
        <f>'2.1. DM'!H241</f>
        <v>Macroptilium</v>
      </c>
      <c r="I241" s="17" t="str">
        <f>'2.1. DM'!I241</f>
        <v>bracteatum</v>
      </c>
      <c r="J241" s="17" t="str">
        <f>'2.1. DM'!J241</f>
        <v>Macroptilium bracteatum</v>
      </c>
      <c r="K241" s="17" t="str">
        <f>'2.1. DM'!K241</f>
        <v>Fabaceae</v>
      </c>
      <c r="L241" s="17" t="str">
        <f>'2.1. DM'!L241</f>
        <v>Fabales</v>
      </c>
      <c r="M241" s="17" t="str">
        <f>'2.1. DM'!M241</f>
        <v>Herbaceous</v>
      </c>
      <c r="N241" s="17" t="str">
        <f>'2.1. DM'!N241</f>
        <v>64,65,71</v>
      </c>
      <c r="O241" s="17" t="str">
        <f>'2.1. DM'!O241</f>
        <v>OT-002(2026)</v>
      </c>
      <c r="P241" s="19"/>
      <c r="Q241" s="20">
        <v>18.342831355874488</v>
      </c>
      <c r="R241" s="345">
        <f t="shared" si="28"/>
        <v>18.469606162913962</v>
      </c>
    </row>
    <row r="242" spans="2:18" x14ac:dyDescent="0.35">
      <c r="B242" s="17">
        <f>'2.1. DM'!B242</f>
        <v>232</v>
      </c>
      <c r="C242" s="17">
        <f>'2.1. DM'!C242</f>
        <v>46062</v>
      </c>
      <c r="D242" s="17" t="str">
        <f>'2.1. DM'!D247</f>
        <v>Genbank</v>
      </c>
      <c r="E242" s="17">
        <f>'2.1. DM'!E242</f>
        <v>30</v>
      </c>
      <c r="F242" s="17" t="str">
        <f>'2.1. DM'!F242</f>
        <v>F260013</v>
      </c>
      <c r="G242" s="17" t="str">
        <f>'2.1. DM'!G242</f>
        <v>CIAT590</v>
      </c>
      <c r="H242" s="17" t="str">
        <f>'2.1. DM'!H242</f>
        <v>Macroptilium</v>
      </c>
      <c r="I242" s="17" t="str">
        <f>'2.1. DM'!I242</f>
        <v>bracteatum</v>
      </c>
      <c r="J242" s="17" t="str">
        <f>'2.1. DM'!J242</f>
        <v>Macroptilium bracteatum</v>
      </c>
      <c r="K242" s="17" t="str">
        <f>'2.1. DM'!K242</f>
        <v>Fabaceae</v>
      </c>
      <c r="L242" s="17" t="str">
        <f>'2.1. DM'!L242</f>
        <v>Fabales</v>
      </c>
      <c r="M242" s="17" t="str">
        <f>'2.1. DM'!M242</f>
        <v>Herbaceous</v>
      </c>
      <c r="N242" s="17" t="str">
        <f>'2.1. DM'!N242</f>
        <v>64,65,71</v>
      </c>
      <c r="O242" s="17" t="str">
        <f>'2.1. DM'!O242</f>
        <v>OT-002(2026)</v>
      </c>
      <c r="P242" s="19"/>
      <c r="Q242" s="20">
        <v>18.596380969953437</v>
      </c>
      <c r="R242" s="345"/>
    </row>
    <row r="243" spans="2:18" x14ac:dyDescent="0.35">
      <c r="B243" s="17">
        <f>'2.1. DM'!B243</f>
        <v>233</v>
      </c>
      <c r="C243" s="17">
        <f>'2.1. DM'!C247</f>
        <v>46062</v>
      </c>
      <c r="D243" s="17" t="str">
        <f>'2.1. DM'!D249</f>
        <v>Genbank</v>
      </c>
      <c r="E243" s="17">
        <f>'2.1. DM'!E243</f>
        <v>30</v>
      </c>
      <c r="F243" s="17" t="str">
        <f>'2.1. DM'!F243</f>
        <v>F260014</v>
      </c>
      <c r="G243" s="17" t="str">
        <f>'2.1. DM'!G243</f>
        <v>CIAT778</v>
      </c>
      <c r="H243" s="17" t="str">
        <f>'2.1. DM'!H243</f>
        <v>Macroptilium</v>
      </c>
      <c r="I243" s="17" t="str">
        <f>'2.1. DM'!I243</f>
        <v>atropurpureum</v>
      </c>
      <c r="J243" s="17" t="str">
        <f>'2.1. DM'!J243</f>
        <v>Macroptilium atropurpureum</v>
      </c>
      <c r="K243" s="17" t="str">
        <f>'2.1. DM'!K243</f>
        <v>Fabaceae</v>
      </c>
      <c r="L243" s="17" t="str">
        <f>'2.1. DM'!L243</f>
        <v>Fabales</v>
      </c>
      <c r="M243" s="17" t="str">
        <f>'2.1. DM'!M243</f>
        <v>Herbaceous</v>
      </c>
      <c r="N243" s="17" t="str">
        <f>'2.1. DM'!N243</f>
        <v>64,65,71</v>
      </c>
      <c r="O243" s="17" t="str">
        <f>'2.1. DM'!O243</f>
        <v>OT-002(2026)</v>
      </c>
      <c r="P243" s="19"/>
      <c r="Q243" s="20">
        <v>22.842056715834623</v>
      </c>
      <c r="R243" s="345">
        <f t="shared" si="28"/>
        <v>22.842056715834623</v>
      </c>
    </row>
    <row r="244" spans="2:18" x14ac:dyDescent="0.35">
      <c r="B244" s="17">
        <f>'2.1. DM'!B244</f>
        <v>234</v>
      </c>
      <c r="C244" s="17">
        <f>'2.1. DM'!C249</f>
        <v>46062</v>
      </c>
      <c r="D244" s="17" t="str">
        <f>'2.1. DM'!D251</f>
        <v>Genbank</v>
      </c>
      <c r="E244" s="17">
        <f>'2.1. DM'!E244</f>
        <v>30</v>
      </c>
      <c r="F244" s="17" t="str">
        <f>'2.1. DM'!F244</f>
        <v>F260014</v>
      </c>
      <c r="G244" s="17" t="str">
        <f>'2.1. DM'!G244</f>
        <v>CIAT778</v>
      </c>
      <c r="H244" s="17" t="str">
        <f>'2.1. DM'!H244</f>
        <v>Macroptilium</v>
      </c>
      <c r="I244" s="17" t="str">
        <f>'2.1. DM'!I244</f>
        <v>atropurpureum</v>
      </c>
      <c r="J244" s="17" t="str">
        <f>'2.1. DM'!J244</f>
        <v>Macroptilium atropurpureum</v>
      </c>
      <c r="K244" s="17" t="str">
        <f>'2.1. DM'!K244</f>
        <v>Fabaceae</v>
      </c>
      <c r="L244" s="17" t="str">
        <f>'2.1. DM'!L244</f>
        <v>Fabales</v>
      </c>
      <c r="M244" s="17" t="str">
        <f>'2.1. DM'!M244</f>
        <v>Herbaceous</v>
      </c>
      <c r="N244" s="17" t="str">
        <f>'2.1. DM'!N244</f>
        <v>64,65,71</v>
      </c>
      <c r="O244" s="17" t="str">
        <f>'2.1. DM'!O244</f>
        <v>OT-002(2026)</v>
      </c>
      <c r="P244" s="19"/>
      <c r="Q244" s="20">
        <v>22.842056715834623</v>
      </c>
      <c r="R244" s="345"/>
    </row>
    <row r="245" spans="2:18" x14ac:dyDescent="0.35">
      <c r="B245" s="17">
        <f>'2.1. DM'!B245</f>
        <v>235</v>
      </c>
      <c r="C245" s="17">
        <f>'2.1. DM'!C251</f>
        <v>46062</v>
      </c>
      <c r="D245" s="17" t="str">
        <f>'2.1. DM'!D253</f>
        <v>Genbank</v>
      </c>
      <c r="E245" s="17">
        <f>'2.1. DM'!E245</f>
        <v>30</v>
      </c>
      <c r="F245" s="17" t="str">
        <f>'2.1. DM'!F245</f>
        <v>F260015</v>
      </c>
      <c r="G245" s="17" t="str">
        <f>'2.1. DM'!G245</f>
        <v>CIAT827</v>
      </c>
      <c r="H245" s="17" t="str">
        <f>'2.1. DM'!H245</f>
        <v>Indigofera</v>
      </c>
      <c r="I245" s="17" t="str">
        <f>'2.1. DM'!I245</f>
        <v>jamaicensis</v>
      </c>
      <c r="J245" s="17" t="str">
        <f>'2.1. DM'!J245</f>
        <v>Indigofera jamaicensis</v>
      </c>
      <c r="K245" s="17" t="str">
        <f>'2.1. DM'!K245</f>
        <v>Fabaceae</v>
      </c>
      <c r="L245" s="17" t="str">
        <f>'2.1. DM'!L245</f>
        <v>Fabales</v>
      </c>
      <c r="M245" s="17" t="str">
        <f>'2.1. DM'!M245</f>
        <v>Herbaceous</v>
      </c>
      <c r="N245" s="17" t="str">
        <f>'2.1. DM'!N245</f>
        <v>64,65,71</v>
      </c>
      <c r="O245" s="17" t="str">
        <f>'2.1. DM'!O245</f>
        <v>OT-002(2026)</v>
      </c>
      <c r="P245" s="19"/>
      <c r="Q245" s="20">
        <v>21.616260812288019</v>
      </c>
      <c r="R245" s="345">
        <f t="shared" si="28"/>
        <v>21.616260812288019</v>
      </c>
    </row>
    <row r="246" spans="2:18" x14ac:dyDescent="0.35">
      <c r="B246" s="17">
        <f>'2.1. DM'!B246</f>
        <v>236</v>
      </c>
      <c r="C246" s="17">
        <f>'2.1. DM'!C253</f>
        <v>46062</v>
      </c>
      <c r="D246" s="17" t="str">
        <f>'2.1. DM'!D255</f>
        <v>Genbank</v>
      </c>
      <c r="E246" s="17">
        <f>'2.1. DM'!E246</f>
        <v>30</v>
      </c>
      <c r="F246" s="17" t="str">
        <f>'2.1. DM'!F246</f>
        <v>F260015</v>
      </c>
      <c r="G246" s="17" t="str">
        <f>'2.1. DM'!G246</f>
        <v>CIAT827</v>
      </c>
      <c r="H246" s="17" t="str">
        <f>'2.1. DM'!H246</f>
        <v>Indigofera</v>
      </c>
      <c r="I246" s="17" t="str">
        <f>'2.1. DM'!I246</f>
        <v>jamaicensis</v>
      </c>
      <c r="J246" s="17" t="str">
        <f>'2.1. DM'!J246</f>
        <v>Indigofera jamaicensis</v>
      </c>
      <c r="K246" s="17" t="str">
        <f>'2.1. DM'!K246</f>
        <v>Fabaceae</v>
      </c>
      <c r="L246" s="17" t="str">
        <f>'2.1. DM'!L246</f>
        <v>Fabales</v>
      </c>
      <c r="M246" s="17" t="str">
        <f>'2.1. DM'!M246</f>
        <v>Herbaceous</v>
      </c>
      <c r="N246" s="17" t="str">
        <f>'2.1. DM'!N246</f>
        <v>64,65,71</v>
      </c>
      <c r="O246" s="17" t="str">
        <f>'2.1. DM'!O246</f>
        <v>OT-002(2026)</v>
      </c>
      <c r="P246" s="19"/>
      <c r="Q246" s="20">
        <v>21.616260812288019</v>
      </c>
      <c r="R246" s="345"/>
    </row>
    <row r="247" spans="2:18" x14ac:dyDescent="0.35">
      <c r="B247" s="17">
        <f>'2.1. DM'!B247</f>
        <v>237</v>
      </c>
      <c r="C247" s="17">
        <f>'2.1. DM'!C255</f>
        <v>46062</v>
      </c>
      <c r="D247" s="17" t="str">
        <f>'2.1. DM'!D257</f>
        <v>Genbank</v>
      </c>
      <c r="E247" s="17">
        <f>'2.1. DM'!E247</f>
        <v>30</v>
      </c>
      <c r="F247" s="17" t="str">
        <f>'2.1. DM'!F247</f>
        <v>F260016</v>
      </c>
      <c r="G247" s="17" t="str">
        <f>'2.1. DM'!G247</f>
        <v>CIAT997</v>
      </c>
      <c r="H247" s="17" t="str">
        <f>'2.1. DM'!H247</f>
        <v>Macroptilium</v>
      </c>
      <c r="I247" s="17" t="str">
        <f>'2.1. DM'!I247</f>
        <v>atropurpureum</v>
      </c>
      <c r="J247" s="17" t="str">
        <f>'2.1. DM'!J247</f>
        <v>Macroptilium atropurpureum</v>
      </c>
      <c r="K247" s="17" t="str">
        <f>'2.1. DM'!K247</f>
        <v>Fabaceae</v>
      </c>
      <c r="L247" s="17" t="str">
        <f>'2.1. DM'!L247</f>
        <v>Fabales</v>
      </c>
      <c r="M247" s="17" t="str">
        <f>'2.1. DM'!M247</f>
        <v>Herbaceous</v>
      </c>
      <c r="N247" s="17" t="str">
        <f>'2.1. DM'!N247</f>
        <v>64,65,71</v>
      </c>
      <c r="O247" s="17" t="str">
        <f>'2.1. DM'!O247</f>
        <v>OT-002(2026)</v>
      </c>
      <c r="P247" s="19"/>
      <c r="Q247" s="20">
        <v>21.435036701956502</v>
      </c>
      <c r="R247" s="345">
        <f t="shared" si="28"/>
        <v>21.435036701956502</v>
      </c>
    </row>
    <row r="248" spans="2:18" x14ac:dyDescent="0.35">
      <c r="B248" s="17">
        <f>'2.1. DM'!B248</f>
        <v>238</v>
      </c>
      <c r="C248" s="17">
        <f>'2.1. DM'!C257</f>
        <v>46062</v>
      </c>
      <c r="D248" s="17" t="str">
        <f>'2.1. DM'!D259</f>
        <v>Genbank</v>
      </c>
      <c r="E248" s="17">
        <f>'2.1. DM'!E248</f>
        <v>30</v>
      </c>
      <c r="F248" s="17" t="str">
        <f>'2.1. DM'!F248</f>
        <v>F260016</v>
      </c>
      <c r="G248" s="17" t="str">
        <f>'2.1. DM'!G248</f>
        <v>CIAT997</v>
      </c>
      <c r="H248" s="17" t="str">
        <f>'2.1. DM'!H248</f>
        <v>Macroptilium</v>
      </c>
      <c r="I248" s="17" t="str">
        <f>'2.1. DM'!I248</f>
        <v>atropurpureum</v>
      </c>
      <c r="J248" s="17" t="str">
        <f>'2.1. DM'!J248</f>
        <v>Macroptilium atropurpureum</v>
      </c>
      <c r="K248" s="17" t="str">
        <f>'2.1. DM'!K248</f>
        <v>Fabaceae</v>
      </c>
      <c r="L248" s="17" t="str">
        <f>'2.1. DM'!L248</f>
        <v>Fabales</v>
      </c>
      <c r="M248" s="17" t="str">
        <f>'2.1. DM'!M248</f>
        <v>Herbaceous</v>
      </c>
      <c r="N248" s="17" t="str">
        <f>'2.1. DM'!N248</f>
        <v>64,65,71</v>
      </c>
      <c r="O248" s="17" t="str">
        <f>'2.1. DM'!O248</f>
        <v>OT-002(2026)</v>
      </c>
      <c r="P248" s="19"/>
      <c r="Q248" s="20">
        <v>21.435036701956502</v>
      </c>
      <c r="R248" s="345"/>
    </row>
    <row r="249" spans="2:18" x14ac:dyDescent="0.35">
      <c r="B249" s="17">
        <f>'2.1. DM'!B249</f>
        <v>239</v>
      </c>
      <c r="C249" s="17">
        <f>'2.1. DM'!C259</f>
        <v>46062</v>
      </c>
      <c r="D249" s="17" t="str">
        <f>'2.1. DM'!D261</f>
        <v>Genbank</v>
      </c>
      <c r="E249" s="17">
        <f>'2.1. DM'!E249</f>
        <v>30</v>
      </c>
      <c r="F249" s="17" t="str">
        <f>'2.1. DM'!F249</f>
        <v>F260017</v>
      </c>
      <c r="G249" s="17" t="str">
        <f>'2.1. DM'!G249</f>
        <v>CIAT1405</v>
      </c>
      <c r="H249" s="17" t="str">
        <f>'2.1. DM'!H249</f>
        <v>Stylosanthes</v>
      </c>
      <c r="I249" s="17" t="str">
        <f>'2.1. DM'!I249</f>
        <v>capitata</v>
      </c>
      <c r="J249" s="17" t="str">
        <f>'2.1. DM'!J249</f>
        <v>Stylosanthes capitata</v>
      </c>
      <c r="K249" s="17" t="str">
        <f>'2.1. DM'!K249</f>
        <v>Fabaceae</v>
      </c>
      <c r="L249" s="17" t="str">
        <f>'2.1. DM'!L249</f>
        <v>Fabales</v>
      </c>
      <c r="M249" s="17" t="str">
        <f>'2.1. DM'!M249</f>
        <v>Herbaceous</v>
      </c>
      <c r="N249" s="17" t="str">
        <f>'2.1. DM'!N249</f>
        <v>64,65,71</v>
      </c>
      <c r="O249" s="17" t="str">
        <f>'2.1. DM'!O249</f>
        <v>OT-002(2026)</v>
      </c>
      <c r="P249" s="19"/>
      <c r="Q249" s="20">
        <v>16.068776133039876</v>
      </c>
      <c r="R249" s="345">
        <f t="shared" si="28"/>
        <v>16.068776133039876</v>
      </c>
    </row>
    <row r="250" spans="2:18" x14ac:dyDescent="0.35">
      <c r="B250" s="17">
        <f>'2.1. DM'!B250</f>
        <v>240</v>
      </c>
      <c r="C250" s="17">
        <f>'2.1. DM'!C261</f>
        <v>46062</v>
      </c>
      <c r="D250" s="17" t="str">
        <f>'2.1. DM'!D263</f>
        <v>Genbank</v>
      </c>
      <c r="E250" s="17">
        <f>'2.1. DM'!E250</f>
        <v>30</v>
      </c>
      <c r="F250" s="17" t="str">
        <f>'2.1. DM'!F250</f>
        <v>F260017</v>
      </c>
      <c r="G250" s="17" t="str">
        <f>'2.1. DM'!G250</f>
        <v>CIAT1405</v>
      </c>
      <c r="H250" s="17" t="str">
        <f>'2.1. DM'!H250</f>
        <v>Stylosanthes</v>
      </c>
      <c r="I250" s="17" t="str">
        <f>'2.1. DM'!I250</f>
        <v>capitata</v>
      </c>
      <c r="J250" s="17" t="str">
        <f>'2.1. DM'!J250</f>
        <v>Stylosanthes capitata</v>
      </c>
      <c r="K250" s="17" t="str">
        <f>'2.1. DM'!K250</f>
        <v>Fabaceae</v>
      </c>
      <c r="L250" s="17" t="str">
        <f>'2.1. DM'!L250</f>
        <v>Fabales</v>
      </c>
      <c r="M250" s="17" t="str">
        <f>'2.1. DM'!M250</f>
        <v>Herbaceous</v>
      </c>
      <c r="N250" s="17" t="str">
        <f>'2.1. DM'!N250</f>
        <v>64,65,71</v>
      </c>
      <c r="O250" s="17" t="str">
        <f>'2.1. DM'!O250</f>
        <v>OT-002(2026)</v>
      </c>
      <c r="P250" s="19"/>
      <c r="Q250" s="20">
        <v>16.068776133039876</v>
      </c>
      <c r="R250" s="345"/>
    </row>
    <row r="251" spans="2:18" x14ac:dyDescent="0.35">
      <c r="B251" s="17">
        <f>'2.1. DM'!B251</f>
        <v>241</v>
      </c>
      <c r="C251" s="17">
        <f>'2.1. DM'!C263</f>
        <v>46062</v>
      </c>
      <c r="D251" s="17" t="str">
        <f>'2.1. DM'!D265</f>
        <v>Genbank</v>
      </c>
      <c r="E251" s="17">
        <f>'2.1. DM'!E251</f>
        <v>30</v>
      </c>
      <c r="F251" s="17" t="str">
        <f>'2.1. DM'!F251</f>
        <v>F260018</v>
      </c>
      <c r="G251" s="17" t="str">
        <f>'2.1. DM'!G251</f>
        <v>CIAT1812</v>
      </c>
      <c r="H251" s="17" t="str">
        <f>'2.1. DM'!H251</f>
        <v>Stylosanthes</v>
      </c>
      <c r="I251" s="17" t="str">
        <f>'2.1. DM'!I251</f>
        <v>viscosa</v>
      </c>
      <c r="J251" s="17" t="str">
        <f>'2.1. DM'!J251</f>
        <v>Stylosanthes viscosa</v>
      </c>
      <c r="K251" s="17" t="str">
        <f>'2.1. DM'!K251</f>
        <v>Fabaceae</v>
      </c>
      <c r="L251" s="17" t="str">
        <f>'2.1. DM'!L251</f>
        <v>Fabales</v>
      </c>
      <c r="M251" s="17" t="str">
        <f>'2.1. DM'!M251</f>
        <v>Herbaceous</v>
      </c>
      <c r="N251" s="17" t="str">
        <f>'2.1. DM'!N251</f>
        <v>64,65,71</v>
      </c>
      <c r="O251" s="17" t="str">
        <f>'2.1. DM'!O251</f>
        <v>OT-002(2026)</v>
      </c>
      <c r="P251" s="19"/>
      <c r="Q251" s="20">
        <v>11.385700844625955</v>
      </c>
      <c r="R251" s="345">
        <f t="shared" si="28"/>
        <v>11.385700844625955</v>
      </c>
    </row>
    <row r="252" spans="2:18" x14ac:dyDescent="0.35">
      <c r="B252" s="17">
        <f>'2.1. DM'!B252</f>
        <v>242</v>
      </c>
      <c r="C252" s="17">
        <f>'2.1. DM'!C265</f>
        <v>46062</v>
      </c>
      <c r="D252" s="17" t="str">
        <f>'2.1. DM'!D267</f>
        <v>Genbank</v>
      </c>
      <c r="E252" s="17">
        <f>'2.1. DM'!E252</f>
        <v>30</v>
      </c>
      <c r="F252" s="17" t="str">
        <f>'2.1. DM'!F252</f>
        <v>F260018</v>
      </c>
      <c r="G252" s="17" t="str">
        <f>'2.1. DM'!G252</f>
        <v>CIAT1812</v>
      </c>
      <c r="H252" s="17" t="str">
        <f>'2.1. DM'!H252</f>
        <v>Stylosanthes</v>
      </c>
      <c r="I252" s="17" t="str">
        <f>'2.1. DM'!I252</f>
        <v>viscosa</v>
      </c>
      <c r="J252" s="17" t="str">
        <f>'2.1. DM'!J252</f>
        <v>Stylosanthes viscosa</v>
      </c>
      <c r="K252" s="17" t="str">
        <f>'2.1. DM'!K252</f>
        <v>Fabaceae</v>
      </c>
      <c r="L252" s="17" t="str">
        <f>'2.1. DM'!L252</f>
        <v>Fabales</v>
      </c>
      <c r="M252" s="17" t="str">
        <f>'2.1. DM'!M252</f>
        <v>Herbaceous</v>
      </c>
      <c r="N252" s="17" t="str">
        <f>'2.1. DM'!N252</f>
        <v>64,65,71</v>
      </c>
      <c r="O252" s="17" t="str">
        <f>'2.1. DM'!O252</f>
        <v>OT-002(2026)</v>
      </c>
      <c r="P252" s="19"/>
      <c r="Q252" s="20">
        <v>11.385700844625955</v>
      </c>
      <c r="R252" s="345"/>
    </row>
    <row r="253" spans="2:18" x14ac:dyDescent="0.35">
      <c r="B253" s="17">
        <f>'2.1. DM'!B253</f>
        <v>243</v>
      </c>
      <c r="C253" s="17">
        <f>'2.1. DM'!C267</f>
        <v>46062</v>
      </c>
      <c r="D253" s="17" t="str">
        <f>'2.1. DM'!D269</f>
        <v>Genbank</v>
      </c>
      <c r="E253" s="17">
        <f>'2.1. DM'!E253</f>
        <v>30</v>
      </c>
      <c r="F253" s="17" t="str">
        <f>'2.1. DM'!F253</f>
        <v>F260019</v>
      </c>
      <c r="G253" s="17" t="str">
        <f>'2.1. DM'!G253</f>
        <v>CIAT3694</v>
      </c>
      <c r="H253" s="17" t="str">
        <f>'2.1. DM'!H253</f>
        <v>Desmodium</v>
      </c>
      <c r="I253" s="17" t="str">
        <f>'2.1. DM'!I253</f>
        <v>sandwicense</v>
      </c>
      <c r="J253" s="17" t="str">
        <f>'2.1. DM'!J253</f>
        <v>Desmodium sandwicense</v>
      </c>
      <c r="K253" s="17" t="str">
        <f>'2.1. DM'!K253</f>
        <v>Fabaceae</v>
      </c>
      <c r="L253" s="17" t="str">
        <f>'2.1. DM'!L253</f>
        <v>Fabales</v>
      </c>
      <c r="M253" s="17" t="str">
        <f>'2.1. DM'!M253</f>
        <v>Herbaceous</v>
      </c>
      <c r="N253" s="17" t="str">
        <f>'2.1. DM'!N253</f>
        <v>64,65,71</v>
      </c>
      <c r="O253" s="17" t="str">
        <f>'2.1. DM'!O253</f>
        <v>OT-002(2026)</v>
      </c>
      <c r="P253" s="19"/>
      <c r="Q253" s="20">
        <v>17.415881529056833</v>
      </c>
      <c r="R253" s="345">
        <f t="shared" si="28"/>
        <v>17.415881529056833</v>
      </c>
    </row>
    <row r="254" spans="2:18" x14ac:dyDescent="0.35">
      <c r="B254" s="17">
        <f>'2.1. DM'!B254</f>
        <v>244</v>
      </c>
      <c r="C254" s="17">
        <f>'2.1. DM'!C269</f>
        <v>46062</v>
      </c>
      <c r="D254" s="17" t="str">
        <f>'2.1. DM'!D271</f>
        <v>Genbank</v>
      </c>
      <c r="E254" s="17">
        <f>'2.1. DM'!E254</f>
        <v>30</v>
      </c>
      <c r="F254" s="17" t="str">
        <f>'2.1. DM'!F254</f>
        <v>F260019</v>
      </c>
      <c r="G254" s="17" t="str">
        <f>'2.1. DM'!G254</f>
        <v>CIAT3694</v>
      </c>
      <c r="H254" s="17" t="str">
        <f>'2.1. DM'!H254</f>
        <v>Desmodium</v>
      </c>
      <c r="I254" s="17" t="str">
        <f>'2.1. DM'!I254</f>
        <v>sandwicense</v>
      </c>
      <c r="J254" s="17" t="str">
        <f>'2.1. DM'!J254</f>
        <v>Desmodium sandwicense</v>
      </c>
      <c r="K254" s="17" t="str">
        <f>'2.1. DM'!K254</f>
        <v>Fabaceae</v>
      </c>
      <c r="L254" s="17" t="str">
        <f>'2.1. DM'!L254</f>
        <v>Fabales</v>
      </c>
      <c r="M254" s="17" t="str">
        <f>'2.1. DM'!M254</f>
        <v>Herbaceous</v>
      </c>
      <c r="N254" s="17" t="str">
        <f>'2.1. DM'!N254</f>
        <v>64,65,71</v>
      </c>
      <c r="O254" s="17" t="str">
        <f>'2.1. DM'!O254</f>
        <v>OT-002(2026)</v>
      </c>
      <c r="P254" s="19"/>
      <c r="Q254" s="20">
        <v>17.415881529056833</v>
      </c>
      <c r="R254" s="345"/>
    </row>
    <row r="255" spans="2:18" x14ac:dyDescent="0.35">
      <c r="B255" s="17">
        <f>'2.1. DM'!B255</f>
        <v>245</v>
      </c>
      <c r="C255" s="17">
        <f>'2.1. DM'!C271</f>
        <v>46062</v>
      </c>
      <c r="D255" s="17" t="str">
        <f>'2.1. DM'!D273</f>
        <v>Genbank</v>
      </c>
      <c r="E255" s="17">
        <f>'2.1. DM'!E255</f>
        <v>30</v>
      </c>
      <c r="F255" s="17" t="str">
        <f>'2.1. DM'!F255</f>
        <v>F260020</v>
      </c>
      <c r="G255" s="17" t="str">
        <f>'2.1. DM'!G255</f>
        <v>CIAT4080</v>
      </c>
      <c r="H255" s="17" t="str">
        <f>'2.1. DM'!H255</f>
        <v>Macroptilium</v>
      </c>
      <c r="I255" s="17" t="str">
        <f>'2.1. DM'!I255</f>
        <v>bracteatum</v>
      </c>
      <c r="J255" s="17" t="str">
        <f>'2.1. DM'!J255</f>
        <v>Macroptilium bracteatum</v>
      </c>
      <c r="K255" s="17" t="str">
        <f>'2.1. DM'!K255</f>
        <v>Fabaceae</v>
      </c>
      <c r="L255" s="17" t="str">
        <f>'2.1. DM'!L255</f>
        <v>Fabales</v>
      </c>
      <c r="M255" s="17" t="str">
        <f>'2.1. DM'!M255</f>
        <v>Herbaceous</v>
      </c>
      <c r="N255" s="17" t="str">
        <f>'2.1. DM'!N255</f>
        <v>64,65,71</v>
      </c>
      <c r="O255" s="17" t="str">
        <f>'2.1. DM'!O255</f>
        <v>OT-002(2026)</v>
      </c>
      <c r="P255" s="19"/>
      <c r="Q255" s="20">
        <v>21.553506221955995</v>
      </c>
      <c r="R255" s="345">
        <f t="shared" si="28"/>
        <v>21.553506221955995</v>
      </c>
    </row>
    <row r="256" spans="2:18" x14ac:dyDescent="0.35">
      <c r="B256" s="17">
        <f>'2.1. DM'!B256</f>
        <v>246</v>
      </c>
      <c r="C256" s="17">
        <f>'2.1. DM'!C273</f>
        <v>46062</v>
      </c>
      <c r="D256" s="17" t="str">
        <f>'2.1. DM'!D275</f>
        <v>Genbank</v>
      </c>
      <c r="E256" s="17">
        <f>'2.1. DM'!E256</f>
        <v>30</v>
      </c>
      <c r="F256" s="17" t="str">
        <f>'2.1. DM'!F256</f>
        <v>F260020</v>
      </c>
      <c r="G256" s="17" t="str">
        <f>'2.1. DM'!G256</f>
        <v>CIAT4080</v>
      </c>
      <c r="H256" s="17" t="str">
        <f>'2.1. DM'!H256</f>
        <v>Macroptilium</v>
      </c>
      <c r="I256" s="17" t="str">
        <f>'2.1. DM'!I256</f>
        <v>bracteatum</v>
      </c>
      <c r="J256" s="17" t="str">
        <f>'2.1. DM'!J256</f>
        <v>Macroptilium bracteatum</v>
      </c>
      <c r="K256" s="17" t="str">
        <f>'2.1. DM'!K256</f>
        <v>Fabaceae</v>
      </c>
      <c r="L256" s="17" t="str">
        <f>'2.1. DM'!L256</f>
        <v>Fabales</v>
      </c>
      <c r="M256" s="17" t="str">
        <f>'2.1. DM'!M256</f>
        <v>Herbaceous</v>
      </c>
      <c r="N256" s="17" t="str">
        <f>'2.1. DM'!N256</f>
        <v>64,65,71</v>
      </c>
      <c r="O256" s="17" t="str">
        <f>'2.1. DM'!O256</f>
        <v>OT-002(2026)</v>
      </c>
      <c r="P256" s="19"/>
      <c r="Q256" s="20">
        <v>21.553506221955995</v>
      </c>
      <c r="R256" s="345"/>
    </row>
    <row r="257" spans="2:18" x14ac:dyDescent="0.35">
      <c r="B257" s="17">
        <f>'2.1. DM'!B257</f>
        <v>247</v>
      </c>
      <c r="C257" s="17">
        <f>'2.1. DM'!C275</f>
        <v>46062</v>
      </c>
      <c r="D257" s="17" t="str">
        <f>'2.1. DM'!D277</f>
        <v>Genbank</v>
      </c>
      <c r="E257" s="17">
        <f>'2.1. DM'!E257</f>
        <v>30</v>
      </c>
      <c r="F257" s="17" t="str">
        <f>'2.1. DM'!F257</f>
        <v>F260021</v>
      </c>
      <c r="G257" s="17" t="str">
        <f>'2.1. DM'!G257</f>
        <v>CIAT7162</v>
      </c>
      <c r="H257" s="17" t="str">
        <f>'2.1. DM'!H257</f>
        <v>Indigofera</v>
      </c>
      <c r="I257" s="17" t="str">
        <f>'2.1. DM'!I257</f>
        <v>jamaicensis</v>
      </c>
      <c r="J257" s="17" t="str">
        <f>'2.1. DM'!J257</f>
        <v>Indigofera jamaicensis</v>
      </c>
      <c r="K257" s="17" t="str">
        <f>'2.1. DM'!K257</f>
        <v>Fabaceae</v>
      </c>
      <c r="L257" s="17" t="str">
        <f>'2.1. DM'!L257</f>
        <v>Fabales</v>
      </c>
      <c r="M257" s="17" t="str">
        <f>'2.1. DM'!M257</f>
        <v>Herbaceous</v>
      </c>
      <c r="N257" s="17" t="str">
        <f>'2.1. DM'!N257</f>
        <v>64,65,71</v>
      </c>
      <c r="O257" s="17" t="str">
        <f>'2.1. DM'!O257</f>
        <v>OT-002(2026)</v>
      </c>
      <c r="P257" s="19"/>
      <c r="Q257" s="20">
        <v>23.423334361776607</v>
      </c>
      <c r="R257" s="345">
        <f t="shared" si="28"/>
        <v>23.423334361776607</v>
      </c>
    </row>
    <row r="258" spans="2:18" x14ac:dyDescent="0.35">
      <c r="B258" s="17">
        <f>'2.1. DM'!B258</f>
        <v>248</v>
      </c>
      <c r="C258" s="17">
        <f>'2.1. DM'!C277</f>
        <v>46062</v>
      </c>
      <c r="D258" s="17" t="str">
        <f>'2.1. DM'!D279</f>
        <v>Genbank</v>
      </c>
      <c r="E258" s="17">
        <f>'2.1. DM'!E258</f>
        <v>30</v>
      </c>
      <c r="F258" s="17" t="str">
        <f>'2.1. DM'!F258</f>
        <v>F260021</v>
      </c>
      <c r="G258" s="17" t="str">
        <f>'2.1. DM'!G258</f>
        <v>CIAT7162</v>
      </c>
      <c r="H258" s="17" t="str">
        <f>'2.1. DM'!H258</f>
        <v>Indigofera</v>
      </c>
      <c r="I258" s="17" t="str">
        <f>'2.1. DM'!I258</f>
        <v>jamaicensis</v>
      </c>
      <c r="J258" s="17" t="str">
        <f>'2.1. DM'!J258</f>
        <v>Indigofera jamaicensis</v>
      </c>
      <c r="K258" s="17" t="str">
        <f>'2.1. DM'!K258</f>
        <v>Fabaceae</v>
      </c>
      <c r="L258" s="17" t="str">
        <f>'2.1. DM'!L258</f>
        <v>Fabales</v>
      </c>
      <c r="M258" s="17" t="str">
        <f>'2.1. DM'!M258</f>
        <v>Herbaceous</v>
      </c>
      <c r="N258" s="17" t="str">
        <f>'2.1. DM'!N258</f>
        <v>64,65,71</v>
      </c>
      <c r="O258" s="17" t="str">
        <f>'2.1. DM'!O258</f>
        <v>OT-002(2026)</v>
      </c>
      <c r="P258" s="19"/>
      <c r="Q258" s="20">
        <v>23.423334361776607</v>
      </c>
      <c r="R258" s="345"/>
    </row>
    <row r="259" spans="2:18" x14ac:dyDescent="0.35">
      <c r="B259" s="17">
        <f>'2.1. DM'!B259</f>
        <v>249</v>
      </c>
      <c r="C259" s="17">
        <f>'2.1. DM'!C279</f>
        <v>46062</v>
      </c>
      <c r="D259" s="17" t="str">
        <f>'2.1. DM'!D281</f>
        <v>Genbank</v>
      </c>
      <c r="E259" s="17">
        <f>'2.1. DM'!E259</f>
        <v>30</v>
      </c>
      <c r="F259" s="17" t="str">
        <f>'2.1. DM'!F259</f>
        <v>F260022</v>
      </c>
      <c r="G259" s="17" t="str">
        <f>'2.1. DM'!G259</f>
        <v>CIAT8820</v>
      </c>
      <c r="H259" s="17" t="str">
        <f>'2.1. DM'!H259</f>
        <v>Tephrosia</v>
      </c>
      <c r="I259" s="17" t="str">
        <f>'2.1. DM'!I259</f>
        <v>cinerea</v>
      </c>
      <c r="J259" s="17" t="str">
        <f>'2.1. DM'!J259</f>
        <v>Tephrosia cinerea</v>
      </c>
      <c r="K259" s="17" t="str">
        <f>'2.1. DM'!K259</f>
        <v>Fabaceae</v>
      </c>
      <c r="L259" s="17" t="str">
        <f>'2.1. DM'!L259</f>
        <v>Fabales</v>
      </c>
      <c r="M259" s="17" t="str">
        <f>'2.1. DM'!M259</f>
        <v>Herbaceous</v>
      </c>
      <c r="N259" s="17" t="str">
        <f>'2.1. DM'!N259</f>
        <v>64,65,71</v>
      </c>
      <c r="O259" s="17" t="str">
        <f>'2.1. DM'!O259</f>
        <v>OT-002(2026)</v>
      </c>
      <c r="P259" s="19"/>
      <c r="Q259" s="20">
        <v>24.386271311921252</v>
      </c>
      <c r="R259" s="345">
        <f t="shared" si="28"/>
        <v>24.274636894266422</v>
      </c>
    </row>
    <row r="260" spans="2:18" x14ac:dyDescent="0.35">
      <c r="B260" s="17">
        <f>'2.1. DM'!B260</f>
        <v>250</v>
      </c>
      <c r="C260" s="17">
        <f>'2.1. DM'!C281</f>
        <v>46062</v>
      </c>
      <c r="D260" s="17" t="str">
        <f>'2.1. DM'!D283</f>
        <v>Genbank</v>
      </c>
      <c r="E260" s="17">
        <f>'2.1. DM'!E260</f>
        <v>30</v>
      </c>
      <c r="F260" s="17" t="str">
        <f>'2.1. DM'!F260</f>
        <v>F260022</v>
      </c>
      <c r="G260" s="17" t="str">
        <f>'2.1. DM'!G260</f>
        <v>CIAT8820</v>
      </c>
      <c r="H260" s="17" t="str">
        <f>'2.1. DM'!H260</f>
        <v>Tephrosia</v>
      </c>
      <c r="I260" s="17" t="str">
        <f>'2.1. DM'!I260</f>
        <v>cinerea</v>
      </c>
      <c r="J260" s="17" t="str">
        <f>'2.1. DM'!J260</f>
        <v>Tephrosia cinerea</v>
      </c>
      <c r="K260" s="17" t="str">
        <f>'2.1. DM'!K260</f>
        <v>Fabaceae</v>
      </c>
      <c r="L260" s="17" t="str">
        <f>'2.1. DM'!L260</f>
        <v>Fabales</v>
      </c>
      <c r="M260" s="17" t="str">
        <f>'2.1. DM'!M260</f>
        <v>Herbaceous</v>
      </c>
      <c r="N260" s="17" t="str">
        <f>'2.1. DM'!N260</f>
        <v>64,65,71</v>
      </c>
      <c r="O260" s="17" t="str">
        <f>'2.1. DM'!O260</f>
        <v>OT-002(2026)</v>
      </c>
      <c r="P260" s="19"/>
      <c r="Q260" s="20">
        <v>24.163002476611595</v>
      </c>
      <c r="R260" s="345"/>
    </row>
    <row r="261" spans="2:18" x14ac:dyDescent="0.35">
      <c r="B261" s="17">
        <f>'2.1. DM'!B261</f>
        <v>251</v>
      </c>
      <c r="C261" s="17">
        <f>'2.1. DM'!C283</f>
        <v>46062</v>
      </c>
      <c r="D261" s="17" t="str">
        <f>'2.1. DM'!D285</f>
        <v>Genbank</v>
      </c>
      <c r="E261" s="17">
        <f>'2.1. DM'!E261</f>
        <v>30</v>
      </c>
      <c r="F261" s="17" t="str">
        <f>'2.1. DM'!F261</f>
        <v>F260023</v>
      </c>
      <c r="G261" s="17" t="str">
        <f>'2.1. DM'!G261</f>
        <v>CIAT14080</v>
      </c>
      <c r="H261" s="17" t="str">
        <f>'2.1. DM'!H261</f>
        <v>Zornia</v>
      </c>
      <c r="I261" s="17" t="str">
        <f>'2.1. DM'!I261</f>
        <v>brasiliensis</v>
      </c>
      <c r="J261" s="17" t="str">
        <f>'2.1. DM'!J261</f>
        <v>Zornia brasiliensis</v>
      </c>
      <c r="K261" s="17" t="str">
        <f>'2.1. DM'!K261</f>
        <v>Fabaceae</v>
      </c>
      <c r="L261" s="17" t="str">
        <f>'2.1. DM'!L261</f>
        <v>Fabales</v>
      </c>
      <c r="M261" s="17" t="str">
        <f>'2.1. DM'!M261</f>
        <v>Herbaceous</v>
      </c>
      <c r="N261" s="17" t="str">
        <f>'2.1. DM'!N261</f>
        <v>64,65,71</v>
      </c>
      <c r="O261" s="17" t="str">
        <f>'2.1. DM'!O261</f>
        <v>OT-002(2026)</v>
      </c>
      <c r="P261" s="19"/>
      <c r="Q261" s="20">
        <v>17.228089047769188</v>
      </c>
      <c r="R261" s="345">
        <f t="shared" ref="R261:R305" si="29">AVERAGE(Q261:Q262)</f>
        <v>17.228089047769188</v>
      </c>
    </row>
    <row r="262" spans="2:18" x14ac:dyDescent="0.35">
      <c r="B262" s="17">
        <f>'2.1. DM'!B262</f>
        <v>252</v>
      </c>
      <c r="C262" s="17">
        <f>'2.1. DM'!C285</f>
        <v>46062</v>
      </c>
      <c r="D262" s="17" t="e">
        <f>'2.1. DM'!#REF!</f>
        <v>#REF!</v>
      </c>
      <c r="E262" s="17">
        <f>'2.1. DM'!E262</f>
        <v>30</v>
      </c>
      <c r="F262" s="17" t="str">
        <f>'2.1. DM'!F262</f>
        <v>F260023</v>
      </c>
      <c r="G262" s="17" t="str">
        <f>'2.1. DM'!G262</f>
        <v>CIAT14080</v>
      </c>
      <c r="H262" s="17" t="str">
        <f>'2.1. DM'!H262</f>
        <v>Zornia</v>
      </c>
      <c r="I262" s="17" t="str">
        <f>'2.1. DM'!I262</f>
        <v>brasiliensis</v>
      </c>
      <c r="J262" s="17" t="str">
        <f>'2.1. DM'!J262</f>
        <v>Zornia brasiliensis</v>
      </c>
      <c r="K262" s="17" t="str">
        <f>'2.1. DM'!K262</f>
        <v>Fabaceae</v>
      </c>
      <c r="L262" s="17" t="str">
        <f>'2.1. DM'!L262</f>
        <v>Fabales</v>
      </c>
      <c r="M262" s="17" t="str">
        <f>'2.1. DM'!M262</f>
        <v>Herbaceous</v>
      </c>
      <c r="N262" s="17" t="str">
        <f>'2.1. DM'!N262</f>
        <v>64,65,71</v>
      </c>
      <c r="O262" s="17" t="str">
        <f>'2.1. DM'!O262</f>
        <v>OT-002(2026)</v>
      </c>
      <c r="P262" s="19"/>
      <c r="Q262" s="20">
        <v>17.228089047769188</v>
      </c>
      <c r="R262" s="345"/>
    </row>
    <row r="263" spans="2:18" x14ac:dyDescent="0.35">
      <c r="B263" s="17">
        <f>'2.1. DM'!B263</f>
        <v>253</v>
      </c>
      <c r="C263" s="17" t="e">
        <f>'2.1. DM'!#REF!</f>
        <v>#REF!</v>
      </c>
      <c r="D263" s="17" t="e">
        <f>'2.1. DM'!#REF!</f>
        <v>#REF!</v>
      </c>
      <c r="E263" s="17">
        <f>'2.1. DM'!E263</f>
        <v>30</v>
      </c>
      <c r="F263" s="17" t="str">
        <f>'2.1. DM'!F263</f>
        <v>F260024</v>
      </c>
      <c r="G263" s="17" t="str">
        <f>'2.1. DM'!G263</f>
        <v>CIAT18950</v>
      </c>
      <c r="H263" s="17" t="str">
        <f>'2.1. DM'!H263</f>
        <v>Indigofera</v>
      </c>
      <c r="I263" s="17" t="str">
        <f>'2.1. DM'!I263</f>
        <v>spicata</v>
      </c>
      <c r="J263" s="17" t="str">
        <f>'2.1. DM'!J263</f>
        <v>Indigofera spicata</v>
      </c>
      <c r="K263" s="17" t="str">
        <f>'2.1. DM'!K263</f>
        <v>Fabaceae</v>
      </c>
      <c r="L263" s="17" t="str">
        <f>'2.1. DM'!L263</f>
        <v>Fabales</v>
      </c>
      <c r="M263" s="17" t="str">
        <f>'2.1. DM'!M263</f>
        <v>Herbaceous</v>
      </c>
      <c r="N263" s="17" t="str">
        <f>'2.1. DM'!N263</f>
        <v>64,65,71</v>
      </c>
      <c r="O263" s="17" t="str">
        <f>'2.1. DM'!O263</f>
        <v>OT-002(2026)</v>
      </c>
      <c r="P263" s="19"/>
      <c r="Q263" s="20">
        <v>21.86273111008844</v>
      </c>
      <c r="R263" s="345">
        <f t="shared" si="29"/>
        <v>21.86273111008844</v>
      </c>
    </row>
    <row r="264" spans="2:18" x14ac:dyDescent="0.35">
      <c r="B264" s="17">
        <f>'2.1. DM'!B264</f>
        <v>254</v>
      </c>
      <c r="C264" s="17" t="e">
        <f>'2.1. DM'!#REF!</f>
        <v>#REF!</v>
      </c>
      <c r="D264" s="17" t="e">
        <f>'2.1. DM'!#REF!</f>
        <v>#REF!</v>
      </c>
      <c r="E264" s="17">
        <f>'2.1. DM'!E264</f>
        <v>30</v>
      </c>
      <c r="F264" s="17" t="str">
        <f>'2.1. DM'!F264</f>
        <v>F260024</v>
      </c>
      <c r="G264" s="17" t="str">
        <f>'2.1. DM'!G264</f>
        <v>CIAT18950</v>
      </c>
      <c r="H264" s="17" t="str">
        <f>'2.1. DM'!H264</f>
        <v>Indigofera</v>
      </c>
      <c r="I264" s="17" t="str">
        <f>'2.1. DM'!I264</f>
        <v>spicata</v>
      </c>
      <c r="J264" s="17" t="str">
        <f>'2.1. DM'!J264</f>
        <v>Indigofera spicata</v>
      </c>
      <c r="K264" s="17" t="str">
        <f>'2.1. DM'!K264</f>
        <v>Fabaceae</v>
      </c>
      <c r="L264" s="17" t="str">
        <f>'2.1. DM'!L264</f>
        <v>Fabales</v>
      </c>
      <c r="M264" s="17" t="str">
        <f>'2.1. DM'!M264</f>
        <v>Herbaceous</v>
      </c>
      <c r="N264" s="17" t="str">
        <f>'2.1. DM'!N264</f>
        <v>64,65,71</v>
      </c>
      <c r="O264" s="17" t="str">
        <f>'2.1. DM'!O264</f>
        <v>OT-002(2026)</v>
      </c>
      <c r="P264" s="19"/>
      <c r="Q264" s="20">
        <v>21.86273111008844</v>
      </c>
      <c r="R264" s="345"/>
    </row>
    <row r="265" spans="2:18" x14ac:dyDescent="0.35">
      <c r="B265" s="17">
        <f>'2.1. DM'!B265</f>
        <v>255</v>
      </c>
      <c r="C265" s="17" t="e">
        <f>'2.1. DM'!#REF!</f>
        <v>#REF!</v>
      </c>
      <c r="D265" s="17" t="e">
        <f>'2.1. DM'!#REF!</f>
        <v>#REF!</v>
      </c>
      <c r="E265" s="17">
        <f>'2.1. DM'!E265</f>
        <v>30</v>
      </c>
      <c r="F265" s="17" t="str">
        <f>'2.1. DM'!F265</f>
        <v>F260025</v>
      </c>
      <c r="G265" s="17" t="str">
        <f>'2.1. DM'!G265</f>
        <v>CIAT19193</v>
      </c>
      <c r="H265" s="17" t="str">
        <f>'2.1. DM'!H265</f>
        <v>Tephrosia</v>
      </c>
      <c r="I265" s="17" t="str">
        <f>'2.1. DM'!I265</f>
        <v>villosa</v>
      </c>
      <c r="J265" s="17" t="str">
        <f>'2.1. DM'!J265</f>
        <v>Tephrosia villosa</v>
      </c>
      <c r="K265" s="17" t="str">
        <f>'2.1. DM'!K265</f>
        <v>Fabaceae</v>
      </c>
      <c r="L265" s="17" t="str">
        <f>'2.1. DM'!L265</f>
        <v>Fabales</v>
      </c>
      <c r="M265" s="17" t="str">
        <f>'2.1. DM'!M265</f>
        <v>Herbaceous</v>
      </c>
      <c r="N265" s="17" t="str">
        <f>'2.1. DM'!N265</f>
        <v>64,65,71</v>
      </c>
      <c r="O265" s="17" t="str">
        <f>'2.1. DM'!O265</f>
        <v>OT-002(2026)</v>
      </c>
      <c r="P265" s="19"/>
      <c r="Q265" s="20">
        <v>21.657672984512406</v>
      </c>
      <c r="R265" s="345">
        <f t="shared" si="29"/>
        <v>21.657672984512406</v>
      </c>
    </row>
    <row r="266" spans="2:18" x14ac:dyDescent="0.35">
      <c r="B266" s="17">
        <f>'2.1. DM'!B266</f>
        <v>256</v>
      </c>
      <c r="C266" s="17" t="e">
        <f>'2.1. DM'!#REF!</f>
        <v>#REF!</v>
      </c>
      <c r="D266" s="17" t="e">
        <f>'2.1. DM'!#REF!</f>
        <v>#REF!</v>
      </c>
      <c r="E266" s="17">
        <f>'2.1. DM'!E266</f>
        <v>30</v>
      </c>
      <c r="F266" s="17" t="str">
        <f>'2.1. DM'!F266</f>
        <v>F260025</v>
      </c>
      <c r="G266" s="17" t="str">
        <f>'2.1. DM'!G266</f>
        <v>CIAT19193</v>
      </c>
      <c r="H266" s="17" t="str">
        <f>'2.1. DM'!H266</f>
        <v>Tephrosia</v>
      </c>
      <c r="I266" s="17" t="str">
        <f>'2.1. DM'!I266</f>
        <v>villosa</v>
      </c>
      <c r="J266" s="17" t="str">
        <f>'2.1. DM'!J266</f>
        <v>Tephrosia villosa</v>
      </c>
      <c r="K266" s="17" t="str">
        <f>'2.1. DM'!K266</f>
        <v>Fabaceae</v>
      </c>
      <c r="L266" s="17" t="str">
        <f>'2.1. DM'!L266</f>
        <v>Fabales</v>
      </c>
      <c r="M266" s="17" t="str">
        <f>'2.1. DM'!M266</f>
        <v>Herbaceous</v>
      </c>
      <c r="N266" s="17" t="str">
        <f>'2.1. DM'!N266</f>
        <v>64,65,71</v>
      </c>
      <c r="O266" s="17" t="str">
        <f>'2.1. DM'!O266</f>
        <v>OT-002(2026)</v>
      </c>
      <c r="P266" s="19"/>
      <c r="Q266" s="20">
        <v>21.657672984512406</v>
      </c>
      <c r="R266" s="345"/>
    </row>
    <row r="267" spans="2:18" x14ac:dyDescent="0.35">
      <c r="B267" s="17">
        <f>'2.1. DM'!B267</f>
        <v>257</v>
      </c>
      <c r="C267" s="17" t="e">
        <f>'2.1. DM'!#REF!</f>
        <v>#REF!</v>
      </c>
      <c r="D267" s="17" t="e">
        <f>'2.1. DM'!#REF!</f>
        <v>#REF!</v>
      </c>
      <c r="E267" s="17">
        <f>'2.1. DM'!E267</f>
        <v>30</v>
      </c>
      <c r="F267" s="17" t="str">
        <f>'2.1. DM'!F267</f>
        <v>F260026</v>
      </c>
      <c r="G267" s="17" t="str">
        <f>'2.1. DM'!G267</f>
        <v>CIAT19641</v>
      </c>
      <c r="H267" s="17" t="str">
        <f>'2.1. DM'!H267</f>
        <v>Tephrosia</v>
      </c>
      <c r="I267" s="17" t="str">
        <f>'2.1. DM'!I267</f>
        <v>purpurea</v>
      </c>
      <c r="J267" s="17" t="str">
        <f>'2.1. DM'!J267</f>
        <v>Tephrosia purpurea</v>
      </c>
      <c r="K267" s="17" t="str">
        <f>'2.1. DM'!K267</f>
        <v>Fabaceae</v>
      </c>
      <c r="L267" s="17" t="str">
        <f>'2.1. DM'!L267</f>
        <v>Fabales</v>
      </c>
      <c r="M267" s="17" t="str">
        <f>'2.1. DM'!M267</f>
        <v>Herbaceous</v>
      </c>
      <c r="N267" s="17" t="str">
        <f>'2.1. DM'!N267</f>
        <v>64,65,71</v>
      </c>
      <c r="O267" s="17" t="str">
        <f>'2.1. DM'!O267</f>
        <v>OT-002(2026)</v>
      </c>
      <c r="P267" s="19"/>
      <c r="Q267" s="20">
        <v>20.316141441952436</v>
      </c>
      <c r="R267" s="345">
        <f t="shared" si="29"/>
        <v>20.316141441952436</v>
      </c>
    </row>
    <row r="268" spans="2:18" x14ac:dyDescent="0.35">
      <c r="B268" s="17">
        <f>'2.1. DM'!B268</f>
        <v>258</v>
      </c>
      <c r="C268" s="17" t="e">
        <f>'2.1. DM'!#REF!</f>
        <v>#REF!</v>
      </c>
      <c r="D268" s="17" t="e">
        <f>'2.1. DM'!#REF!</f>
        <v>#REF!</v>
      </c>
      <c r="E268" s="17">
        <f>'2.1. DM'!E268</f>
        <v>30</v>
      </c>
      <c r="F268" s="17" t="str">
        <f>'2.1. DM'!F268</f>
        <v>F260026</v>
      </c>
      <c r="G268" s="17" t="str">
        <f>'2.1. DM'!G268</f>
        <v>CIAT19641</v>
      </c>
      <c r="H268" s="17" t="str">
        <f>'2.1. DM'!H268</f>
        <v>Tephrosia</v>
      </c>
      <c r="I268" s="17" t="str">
        <f>'2.1. DM'!I268</f>
        <v>purpurea</v>
      </c>
      <c r="J268" s="17" t="str">
        <f>'2.1. DM'!J268</f>
        <v>Tephrosia purpurea</v>
      </c>
      <c r="K268" s="17" t="str">
        <f>'2.1. DM'!K268</f>
        <v>Fabaceae</v>
      </c>
      <c r="L268" s="17" t="str">
        <f>'2.1. DM'!L268</f>
        <v>Fabales</v>
      </c>
      <c r="M268" s="17" t="str">
        <f>'2.1. DM'!M268</f>
        <v>Herbaceous</v>
      </c>
      <c r="N268" s="17" t="str">
        <f>'2.1. DM'!N268</f>
        <v>64,65,71</v>
      </c>
      <c r="O268" s="17" t="str">
        <f>'2.1. DM'!O268</f>
        <v>OT-002(2026)</v>
      </c>
      <c r="P268" s="19"/>
      <c r="Q268" s="20">
        <v>20.316141441952436</v>
      </c>
      <c r="R268" s="345"/>
    </row>
    <row r="269" spans="2:18" x14ac:dyDescent="0.35">
      <c r="B269" s="17">
        <f>'2.1. DM'!B269</f>
        <v>259</v>
      </c>
      <c r="C269" s="17" t="e">
        <f>'2.1. DM'!#REF!</f>
        <v>#REF!</v>
      </c>
      <c r="D269" s="17" t="e">
        <f>'2.1. DM'!#REF!</f>
        <v>#REF!</v>
      </c>
      <c r="E269" s="17">
        <f>'2.1. DM'!E269</f>
        <v>30</v>
      </c>
      <c r="F269" s="17" t="str">
        <f>'2.1. DM'!F269</f>
        <v>F260027</v>
      </c>
      <c r="G269" s="17" t="str">
        <f>'2.1. DM'!G269</f>
        <v>CIAT23503</v>
      </c>
      <c r="H269" s="17" t="str">
        <f>'2.1. DM'!H269</f>
        <v>Desmodium</v>
      </c>
      <c r="I269" s="17" t="str">
        <f>'2.1. DM'!I269</f>
        <v>macrodesmum</v>
      </c>
      <c r="J269" s="17" t="str">
        <f>'2.1. DM'!J269</f>
        <v>Desmodium macrodesmum</v>
      </c>
      <c r="K269" s="17" t="str">
        <f>'2.1. DM'!K269</f>
        <v>Fabaceae</v>
      </c>
      <c r="L269" s="17" t="str">
        <f>'2.1. DM'!L269</f>
        <v>Fabales</v>
      </c>
      <c r="M269" s="17" t="str">
        <f>'2.1. DM'!M269</f>
        <v>Herbaceous</v>
      </c>
      <c r="N269" s="17" t="str">
        <f>'2.1. DM'!N269</f>
        <v>64,65,71</v>
      </c>
      <c r="O269" s="17" t="str">
        <f>'2.1. DM'!O269</f>
        <v>OT-002(2026)</v>
      </c>
      <c r="P269" s="19"/>
      <c r="Q269" s="20">
        <v>20.344312159338216</v>
      </c>
      <c r="R269" s="345">
        <f t="shared" si="29"/>
        <v>20.344312159338216</v>
      </c>
    </row>
    <row r="270" spans="2:18" x14ac:dyDescent="0.35">
      <c r="B270" s="17">
        <f>'2.1. DM'!B270</f>
        <v>260</v>
      </c>
      <c r="C270" s="17" t="e">
        <f>'2.1. DM'!#REF!</f>
        <v>#REF!</v>
      </c>
      <c r="D270" s="17" t="e">
        <f>'2.1. DM'!#REF!</f>
        <v>#REF!</v>
      </c>
      <c r="E270" s="17">
        <f>'2.1. DM'!E270</f>
        <v>30</v>
      </c>
      <c r="F270" s="17" t="str">
        <f>'2.1. DM'!F270</f>
        <v>F260027</v>
      </c>
      <c r="G270" s="17" t="str">
        <f>'2.1. DM'!G270</f>
        <v>CIAT23503</v>
      </c>
      <c r="H270" s="17" t="str">
        <f>'2.1. DM'!H270</f>
        <v>Desmodium</v>
      </c>
      <c r="I270" s="17" t="str">
        <f>'2.1. DM'!I270</f>
        <v>macrodesmum</v>
      </c>
      <c r="J270" s="17" t="str">
        <f>'2.1. DM'!J270</f>
        <v>Desmodium macrodesmum</v>
      </c>
      <c r="K270" s="17" t="str">
        <f>'2.1. DM'!K270</f>
        <v>Fabaceae</v>
      </c>
      <c r="L270" s="17" t="str">
        <f>'2.1. DM'!L270</f>
        <v>Fabales</v>
      </c>
      <c r="M270" s="17" t="str">
        <f>'2.1. DM'!M270</f>
        <v>Herbaceous</v>
      </c>
      <c r="N270" s="17" t="str">
        <f>'2.1. DM'!N270</f>
        <v>64,65,71</v>
      </c>
      <c r="O270" s="17" t="str">
        <f>'2.1. DM'!O270</f>
        <v>OT-002(2026)</v>
      </c>
      <c r="P270" s="19"/>
      <c r="Q270" s="20">
        <v>20.344312159338216</v>
      </c>
      <c r="R270" s="345"/>
    </row>
    <row r="271" spans="2:18" x14ac:dyDescent="0.35">
      <c r="B271" s="17">
        <f>'2.1. DM'!B271</f>
        <v>261</v>
      </c>
      <c r="C271" s="17" t="e">
        <f>'2.1. DM'!#REF!</f>
        <v>#REF!</v>
      </c>
      <c r="D271" s="17" t="e">
        <f>'2.1. DM'!#REF!</f>
        <v>#REF!</v>
      </c>
      <c r="E271" s="17">
        <f>'2.1. DM'!E271</f>
        <v>30</v>
      </c>
      <c r="F271" s="17" t="str">
        <f>'2.1. DM'!F271</f>
        <v>F260028</v>
      </c>
      <c r="G271" s="17" t="str">
        <f>'2.1. DM'!G271</f>
        <v>CIAT24333</v>
      </c>
      <c r="H271" s="17" t="str">
        <f>'2.1. DM'!H271</f>
        <v>Macroptilium</v>
      </c>
      <c r="I271" s="17" t="str">
        <f>'2.1. DM'!I271</f>
        <v>bracteatum</v>
      </c>
      <c r="J271" s="17" t="str">
        <f>'2.1. DM'!J271</f>
        <v>Macroptilium bracteatum</v>
      </c>
      <c r="K271" s="17" t="str">
        <f>'2.1. DM'!K271</f>
        <v>Fabaceae</v>
      </c>
      <c r="L271" s="17" t="str">
        <f>'2.1. DM'!L271</f>
        <v>Fabales</v>
      </c>
      <c r="M271" s="17" t="str">
        <f>'2.1. DM'!M271</f>
        <v>Herbaceous</v>
      </c>
      <c r="N271" s="17" t="str">
        <f>'2.1. DM'!N271</f>
        <v>64,65,71</v>
      </c>
      <c r="O271" s="17" t="str">
        <f>'2.1. DM'!O271</f>
        <v>OT-002(2026)</v>
      </c>
      <c r="P271" s="19"/>
      <c r="Q271" s="20">
        <v>15.853006438401252</v>
      </c>
      <c r="R271" s="345">
        <f t="shared" si="29"/>
        <v>15.853006438401252</v>
      </c>
    </row>
    <row r="272" spans="2:18" x14ac:dyDescent="0.35">
      <c r="B272" s="17">
        <f>'2.1. DM'!B272</f>
        <v>262</v>
      </c>
      <c r="C272" s="17" t="e">
        <f>'2.1. DM'!#REF!</f>
        <v>#REF!</v>
      </c>
      <c r="D272" s="17" t="e">
        <f>'2.1. DM'!#REF!</f>
        <v>#REF!</v>
      </c>
      <c r="E272" s="17">
        <f>'2.1. DM'!E272</f>
        <v>30</v>
      </c>
      <c r="F272" s="17" t="str">
        <f>'2.1. DM'!F272</f>
        <v>F260028</v>
      </c>
      <c r="G272" s="17" t="str">
        <f>'2.1. DM'!G272</f>
        <v>CIAT24333</v>
      </c>
      <c r="H272" s="17" t="str">
        <f>'2.1. DM'!H272</f>
        <v>Macroptilium</v>
      </c>
      <c r="I272" s="17" t="str">
        <f>'2.1. DM'!I272</f>
        <v>bracteatum</v>
      </c>
      <c r="J272" s="17" t="str">
        <f>'2.1. DM'!J272</f>
        <v>Macroptilium bracteatum</v>
      </c>
      <c r="K272" s="17" t="str">
        <f>'2.1. DM'!K272</f>
        <v>Fabaceae</v>
      </c>
      <c r="L272" s="17" t="str">
        <f>'2.1. DM'!L272</f>
        <v>Fabales</v>
      </c>
      <c r="M272" s="17" t="str">
        <f>'2.1. DM'!M272</f>
        <v>Herbaceous</v>
      </c>
      <c r="N272" s="17" t="str">
        <f>'2.1. DM'!N272</f>
        <v>64,65,71</v>
      </c>
      <c r="O272" s="17" t="str">
        <f>'2.1. DM'!O272</f>
        <v>OT-002(2026)</v>
      </c>
      <c r="P272" s="19"/>
      <c r="Q272" s="20">
        <v>15.853006438401252</v>
      </c>
      <c r="R272" s="345"/>
    </row>
    <row r="273" spans="2:18" x14ac:dyDescent="0.35">
      <c r="B273" s="17">
        <f>'2.1. DM'!B273</f>
        <v>263</v>
      </c>
      <c r="C273" s="17" t="e">
        <f>'2.1. DM'!#REF!</f>
        <v>#REF!</v>
      </c>
      <c r="D273" s="17" t="e">
        <f>'2.1. DM'!#REF!</f>
        <v>#REF!</v>
      </c>
      <c r="E273" s="17">
        <f>'2.1. DM'!E273</f>
        <v>30</v>
      </c>
      <c r="F273" s="17" t="str">
        <f>'2.1. DM'!F273</f>
        <v>F260029</v>
      </c>
      <c r="G273" s="17" t="str">
        <f>'2.1. DM'!G273</f>
        <v>CIAT33235</v>
      </c>
      <c r="H273" s="17" t="str">
        <f>'2.1. DM'!H273</f>
        <v>Desmodium</v>
      </c>
      <c r="I273" s="17" t="str">
        <f>'2.1. DM'!I273</f>
        <v>scorpiurus</v>
      </c>
      <c r="J273" s="17" t="str">
        <f>'2.1. DM'!J273</f>
        <v>Desmodium scorpiurus</v>
      </c>
      <c r="K273" s="17" t="str">
        <f>'2.1. DM'!K273</f>
        <v>Fabaceae</v>
      </c>
      <c r="L273" s="17" t="str">
        <f>'2.1. DM'!L273</f>
        <v>Fabales</v>
      </c>
      <c r="M273" s="17" t="str">
        <f>'2.1. DM'!M273</f>
        <v>Herbaceous</v>
      </c>
      <c r="N273" s="17" t="str">
        <f>'2.1. DM'!N273</f>
        <v>64,65,71</v>
      </c>
      <c r="O273" s="17" t="str">
        <f>'2.1. DM'!O273</f>
        <v>OT-002(2026)</v>
      </c>
      <c r="P273" s="19"/>
      <c r="Q273" s="20">
        <v>20.052274661550623</v>
      </c>
      <c r="R273" s="345">
        <f t="shared" si="29"/>
        <v>20.052274661550623</v>
      </c>
    </row>
    <row r="274" spans="2:18" x14ac:dyDescent="0.35">
      <c r="B274" s="17">
        <f>'2.1. DM'!B274</f>
        <v>264</v>
      </c>
      <c r="C274" s="17" t="e">
        <f>'2.1. DM'!#REF!</f>
        <v>#REF!</v>
      </c>
      <c r="D274" s="17" t="e">
        <f>'2.1. DM'!#REF!</f>
        <v>#REF!</v>
      </c>
      <c r="E274" s="17">
        <f>'2.1. DM'!E274</f>
        <v>30</v>
      </c>
      <c r="F274" s="17" t="str">
        <f>'2.1. DM'!F274</f>
        <v>F260029</v>
      </c>
      <c r="G274" s="17" t="str">
        <f>'2.1. DM'!G274</f>
        <v>CIAT33235</v>
      </c>
      <c r="H274" s="17" t="str">
        <f>'2.1. DM'!H274</f>
        <v>Desmodium</v>
      </c>
      <c r="I274" s="17" t="str">
        <f>'2.1. DM'!I274</f>
        <v>scorpiurus</v>
      </c>
      <c r="J274" s="17" t="str">
        <f>'2.1. DM'!J274</f>
        <v>Desmodium scorpiurus</v>
      </c>
      <c r="K274" s="17" t="str">
        <f>'2.1. DM'!K274</f>
        <v>Fabaceae</v>
      </c>
      <c r="L274" s="17" t="str">
        <f>'2.1. DM'!L274</f>
        <v>Fabales</v>
      </c>
      <c r="M274" s="17" t="str">
        <f>'2.1. DM'!M274</f>
        <v>Herbaceous</v>
      </c>
      <c r="N274" s="17" t="str">
        <f>'2.1. DM'!N274</f>
        <v>64,65,71</v>
      </c>
      <c r="O274" s="17" t="str">
        <f>'2.1. DM'!O274</f>
        <v>OT-002(2026)</v>
      </c>
      <c r="P274" s="19"/>
      <c r="Q274" s="20">
        <v>20.052274661550623</v>
      </c>
      <c r="R274" s="345"/>
    </row>
    <row r="275" spans="2:18" x14ac:dyDescent="0.35">
      <c r="B275" s="17">
        <f>'2.1. DM'!B275</f>
        <v>265</v>
      </c>
      <c r="C275" s="17"/>
      <c r="D275" s="17"/>
      <c r="E275" s="17">
        <f>'2.1. DM'!E275</f>
        <v>30</v>
      </c>
      <c r="F275" s="17" t="str">
        <f>'2.1. DM'!F275</f>
        <v>F260030</v>
      </c>
      <c r="G275" s="17" t="str">
        <f>'2.1. DM'!G275</f>
        <v>CIAT33605</v>
      </c>
      <c r="H275" s="17" t="str">
        <f>'2.1. DM'!H275</f>
        <v>Desmodium</v>
      </c>
      <c r="I275" s="17" t="str">
        <f>'2.1. DM'!I275</f>
        <v>sandwicense x intortum</v>
      </c>
      <c r="J275" s="17" t="str">
        <f>'2.1. DM'!J275</f>
        <v>Desmodium sandwicense x intortum</v>
      </c>
      <c r="K275" s="17" t="str">
        <f>'2.1. DM'!K275</f>
        <v>Fabaceae</v>
      </c>
      <c r="L275" s="17" t="str">
        <f>'2.1. DM'!L275</f>
        <v>Fabales</v>
      </c>
      <c r="M275" s="17" t="str">
        <f>'2.1. DM'!M275</f>
        <v>Herbaceous</v>
      </c>
      <c r="N275" s="17" t="str">
        <f>'2.1. DM'!N275</f>
        <v>64,65,71</v>
      </c>
      <c r="O275" s="17" t="str">
        <f>'2.1. DM'!O275</f>
        <v>OT-002(2026)</v>
      </c>
      <c r="P275" s="19"/>
      <c r="Q275" s="20">
        <v>19.3223043607377</v>
      </c>
      <c r="R275" s="345">
        <f t="shared" si="29"/>
        <v>19.3223043607377</v>
      </c>
    </row>
    <row r="276" spans="2:18" x14ac:dyDescent="0.35">
      <c r="B276" s="17">
        <f>'2.1. DM'!B276</f>
        <v>266</v>
      </c>
      <c r="C276" s="17"/>
      <c r="D276" s="17"/>
      <c r="E276" s="17">
        <f>'2.1. DM'!E276</f>
        <v>30</v>
      </c>
      <c r="F276" s="17" t="str">
        <f>'2.1. DM'!F276</f>
        <v>F260030</v>
      </c>
      <c r="G276" s="17" t="str">
        <f>'2.1. DM'!G276</f>
        <v>CIAT33605</v>
      </c>
      <c r="H276" s="17" t="str">
        <f>'2.1. DM'!H276</f>
        <v>Desmodium</v>
      </c>
      <c r="I276" s="17" t="str">
        <f>'2.1. DM'!I276</f>
        <v>sandwicense x intortum</v>
      </c>
      <c r="J276" s="17" t="str">
        <f>'2.1. DM'!J276</f>
        <v>Desmodium sandwicense x intortum</v>
      </c>
      <c r="K276" s="17" t="str">
        <f>'2.1. DM'!K276</f>
        <v>Fabaceae</v>
      </c>
      <c r="L276" s="17" t="str">
        <f>'2.1. DM'!L276</f>
        <v>Fabales</v>
      </c>
      <c r="M276" s="17" t="str">
        <f>'2.1. DM'!M276</f>
        <v>Herbaceous</v>
      </c>
      <c r="N276" s="17" t="str">
        <f>'2.1. DM'!N276</f>
        <v>64,65,71</v>
      </c>
      <c r="O276" s="17" t="str">
        <f>'2.1. DM'!O276</f>
        <v>OT-002(2026)</v>
      </c>
      <c r="P276" s="19"/>
      <c r="Q276" s="20">
        <v>19.3223043607377</v>
      </c>
      <c r="R276" s="345"/>
    </row>
    <row r="277" spans="2:18" x14ac:dyDescent="0.35">
      <c r="B277" s="17">
        <f>'2.1. DM'!B277</f>
        <v>267</v>
      </c>
      <c r="C277" s="17"/>
      <c r="D277" s="17"/>
      <c r="E277" s="17">
        <f>'2.1. DM'!E277</f>
        <v>30</v>
      </c>
      <c r="F277" s="17" t="str">
        <f>'2.1. DM'!F277</f>
        <v>F260031</v>
      </c>
      <c r="G277" s="17" t="str">
        <f>'2.1. DM'!G277</f>
        <v>CIAT34144</v>
      </c>
      <c r="H277" s="17" t="str">
        <f>'2.1. DM'!H277</f>
        <v>Vigna</v>
      </c>
      <c r="I277" s="17" t="str">
        <f>'2.1. DM'!I277</f>
        <v>radiata</v>
      </c>
      <c r="J277" s="17" t="str">
        <f>'2.1. DM'!J277</f>
        <v>Vigna radiata</v>
      </c>
      <c r="K277" s="17" t="str">
        <f>'2.1. DM'!K277</f>
        <v>Fabaceae</v>
      </c>
      <c r="L277" s="17" t="str">
        <f>'2.1. DM'!L277</f>
        <v>Fabales</v>
      </c>
      <c r="M277" s="17" t="str">
        <f>'2.1. DM'!M277</f>
        <v>Herbaceous</v>
      </c>
      <c r="N277" s="17" t="str">
        <f>'2.1. DM'!N277</f>
        <v>64,65,71</v>
      </c>
      <c r="O277" s="17" t="str">
        <f>'2.1. DM'!O277</f>
        <v>OT-002(2026)</v>
      </c>
      <c r="P277" s="19"/>
      <c r="Q277" s="20">
        <v>24.930335875406787</v>
      </c>
      <c r="R277" s="345">
        <f t="shared" si="29"/>
        <v>24.930335875406787</v>
      </c>
    </row>
    <row r="278" spans="2:18" x14ac:dyDescent="0.35">
      <c r="B278" s="17">
        <f>'2.1. DM'!B278</f>
        <v>268</v>
      </c>
      <c r="C278" s="17"/>
      <c r="D278" s="17"/>
      <c r="E278" s="17">
        <f>'2.1. DM'!E278</f>
        <v>30</v>
      </c>
      <c r="F278" s="17" t="str">
        <f>'2.1. DM'!F278</f>
        <v>F260031</v>
      </c>
      <c r="G278" s="17" t="str">
        <f>'2.1. DM'!G278</f>
        <v>CIAT34144</v>
      </c>
      <c r="H278" s="17" t="str">
        <f>'2.1. DM'!H278</f>
        <v>Vigna</v>
      </c>
      <c r="I278" s="17" t="str">
        <f>'2.1. DM'!I278</f>
        <v>radiata</v>
      </c>
      <c r="J278" s="17" t="str">
        <f>'2.1. DM'!J278</f>
        <v>Vigna radiata</v>
      </c>
      <c r="K278" s="17" t="str">
        <f>'2.1. DM'!K278</f>
        <v>Fabaceae</v>
      </c>
      <c r="L278" s="17" t="str">
        <f>'2.1. DM'!L278</f>
        <v>Fabales</v>
      </c>
      <c r="M278" s="17" t="str">
        <f>'2.1. DM'!M278</f>
        <v>Herbaceous</v>
      </c>
      <c r="N278" s="17" t="str">
        <f>'2.1. DM'!N278</f>
        <v>64,65,71</v>
      </c>
      <c r="O278" s="17" t="str">
        <f>'2.1. DM'!O278</f>
        <v>OT-002(2026)</v>
      </c>
      <c r="P278" s="19"/>
      <c r="Q278" s="20">
        <v>24.930335875406787</v>
      </c>
      <c r="R278" s="345"/>
    </row>
    <row r="279" spans="2:18" x14ac:dyDescent="0.35">
      <c r="B279" s="17">
        <f>'2.1. DM'!B279</f>
        <v>269</v>
      </c>
      <c r="C279" s="17"/>
      <c r="D279" s="17"/>
      <c r="E279" s="17">
        <f>'2.1. DM'!E279</f>
        <v>30</v>
      </c>
      <c r="F279" s="17" t="str">
        <f>'2.1. DM'!F279</f>
        <v>F260032</v>
      </c>
      <c r="G279" s="17" t="str">
        <f>'2.1. DM'!G279</f>
        <v>CIAT7934</v>
      </c>
      <c r="H279" s="17" t="str">
        <f>'2.1. DM'!H279</f>
        <v>Sesbania</v>
      </c>
      <c r="I279" s="17" t="str">
        <f>'2.1. DM'!I279</f>
        <v>sesban</v>
      </c>
      <c r="J279" s="17" t="str">
        <f>'2.1. DM'!J279</f>
        <v>Sesbania sesban</v>
      </c>
      <c r="K279" s="17" t="str">
        <f>'2.1. DM'!K279</f>
        <v>Fabaceae</v>
      </c>
      <c r="L279" s="17" t="str">
        <f>'2.1. DM'!L279</f>
        <v>Fabales</v>
      </c>
      <c r="M279" s="17" t="str">
        <f>'2.1. DM'!M279</f>
        <v>Shurb_Tree</v>
      </c>
      <c r="N279" s="17" t="str">
        <f>'2.1. DM'!N279</f>
        <v>64,65,71</v>
      </c>
      <c r="O279" s="17" t="str">
        <f>'2.1. DM'!O279</f>
        <v>OT-002(2026)</v>
      </c>
      <c r="P279" s="19"/>
      <c r="Q279" s="20">
        <v>26.701514501639117</v>
      </c>
      <c r="R279" s="345">
        <f t="shared" si="29"/>
        <v>26.817681002087667</v>
      </c>
    </row>
    <row r="280" spans="2:18" x14ac:dyDescent="0.35">
      <c r="B280" s="17">
        <f>'2.1. DM'!B280</f>
        <v>270</v>
      </c>
      <c r="C280" s="17"/>
      <c r="D280" s="17"/>
      <c r="E280" s="17">
        <f>'2.1. DM'!E280</f>
        <v>30</v>
      </c>
      <c r="F280" s="17" t="str">
        <f>'2.1. DM'!F280</f>
        <v>F260032</v>
      </c>
      <c r="G280" s="17" t="str">
        <f>'2.1. DM'!G280</f>
        <v>CIAT7934</v>
      </c>
      <c r="H280" s="17" t="str">
        <f>'2.1. DM'!H280</f>
        <v>Sesbania</v>
      </c>
      <c r="I280" s="17" t="str">
        <f>'2.1. DM'!I280</f>
        <v>sesban</v>
      </c>
      <c r="J280" s="17" t="str">
        <f>'2.1. DM'!J280</f>
        <v>Sesbania sesban</v>
      </c>
      <c r="K280" s="17" t="str">
        <f>'2.1. DM'!K280</f>
        <v>Fabaceae</v>
      </c>
      <c r="L280" s="17" t="str">
        <f>'2.1. DM'!L280</f>
        <v>Fabales</v>
      </c>
      <c r="M280" s="17" t="str">
        <f>'2.1. DM'!M280</f>
        <v>Shurb_Tree</v>
      </c>
      <c r="N280" s="17" t="str">
        <f>'2.1. DM'!N280</f>
        <v>64,65,71</v>
      </c>
      <c r="O280" s="17" t="str">
        <f>'2.1. DM'!O280</f>
        <v>OT-002(2026)</v>
      </c>
      <c r="P280" s="19"/>
      <c r="Q280" s="20">
        <v>26.933847502536214</v>
      </c>
      <c r="R280" s="345"/>
    </row>
    <row r="281" spans="2:18" x14ac:dyDescent="0.35">
      <c r="B281" s="17">
        <f>'2.1. DM'!B281</f>
        <v>271</v>
      </c>
      <c r="C281" s="17"/>
      <c r="D281" s="17"/>
      <c r="E281" s="17">
        <f>'2.1. DM'!E281</f>
        <v>30</v>
      </c>
      <c r="F281" s="17" t="str">
        <f>'2.1. DM'!F281</f>
        <v>F260033</v>
      </c>
      <c r="G281" s="17" t="str">
        <f>'2.1. DM'!G281</f>
        <v>CIAT7937</v>
      </c>
      <c r="H281" s="17" t="str">
        <f>'2.1. DM'!H281</f>
        <v>Mimosa</v>
      </c>
      <c r="I281" s="17" t="str">
        <f>'2.1. DM'!I281</f>
        <v>nuda</v>
      </c>
      <c r="J281" s="17" t="str">
        <f>'2.1. DM'!J281</f>
        <v>Mimosa nuda</v>
      </c>
      <c r="K281" s="17" t="str">
        <f>'2.1. DM'!K281</f>
        <v>Fabaceae</v>
      </c>
      <c r="L281" s="17" t="str">
        <f>'2.1. DM'!L281</f>
        <v>Fabales</v>
      </c>
      <c r="M281" s="17" t="str">
        <f>'2.1. DM'!M281</f>
        <v>Shurb_Tree</v>
      </c>
      <c r="N281" s="17" t="str">
        <f>'2.1. DM'!N281</f>
        <v>64,65,71</v>
      </c>
      <c r="O281" s="17" t="str">
        <f>'2.1. DM'!O281</f>
        <v>OT-002(2026)</v>
      </c>
      <c r="P281" s="19"/>
      <c r="Q281" s="20">
        <v>14.646737347226853</v>
      </c>
      <c r="R281" s="345">
        <f t="shared" si="29"/>
        <v>14.646737347226853</v>
      </c>
    </row>
    <row r="282" spans="2:18" x14ac:dyDescent="0.35">
      <c r="B282" s="17">
        <f>'2.1. DM'!B282</f>
        <v>272</v>
      </c>
      <c r="C282" s="17"/>
      <c r="D282" s="17"/>
      <c r="E282" s="17">
        <f>'2.1. DM'!E282</f>
        <v>30</v>
      </c>
      <c r="F282" s="17" t="str">
        <f>'2.1. DM'!F282</f>
        <v>F260033</v>
      </c>
      <c r="G282" s="17" t="str">
        <f>'2.1. DM'!G282</f>
        <v>CIAT7937</v>
      </c>
      <c r="H282" s="17" t="str">
        <f>'2.1. DM'!H282</f>
        <v>Mimosa</v>
      </c>
      <c r="I282" s="17" t="str">
        <f>'2.1. DM'!I282</f>
        <v>nuda</v>
      </c>
      <c r="J282" s="17" t="str">
        <f>'2.1. DM'!J282</f>
        <v>Mimosa nuda</v>
      </c>
      <c r="K282" s="17" t="str">
        <f>'2.1. DM'!K282</f>
        <v>Fabaceae</v>
      </c>
      <c r="L282" s="17" t="str">
        <f>'2.1. DM'!L282</f>
        <v>Fabales</v>
      </c>
      <c r="M282" s="17" t="str">
        <f>'2.1. DM'!M282</f>
        <v>Shurb_Tree</v>
      </c>
      <c r="N282" s="17" t="str">
        <f>'2.1. DM'!N282</f>
        <v>64,65,71</v>
      </c>
      <c r="O282" s="17" t="str">
        <f>'2.1. DM'!O282</f>
        <v>OT-002(2026)</v>
      </c>
      <c r="P282" s="19"/>
      <c r="Q282" s="20">
        <v>14.646737347226853</v>
      </c>
      <c r="R282" s="345"/>
    </row>
    <row r="283" spans="2:18" x14ac:dyDescent="0.35">
      <c r="B283" s="17">
        <f>'2.1. DM'!B283</f>
        <v>273</v>
      </c>
      <c r="C283" s="17"/>
      <c r="D283" s="17"/>
      <c r="E283" s="17">
        <f>'2.1. DM'!E283</f>
        <v>30</v>
      </c>
      <c r="F283" s="17" t="str">
        <f>'2.1. DM'!F283</f>
        <v>F260034</v>
      </c>
      <c r="G283" s="17" t="str">
        <f>'2.1. DM'!G283</f>
        <v>CIAT8056</v>
      </c>
      <c r="H283" s="17" t="str">
        <f>'2.1. DM'!H283</f>
        <v>Mimosa</v>
      </c>
      <c r="I283" s="17" t="str">
        <f>'2.1. DM'!I283</f>
        <v>diplotricha</v>
      </c>
      <c r="J283" s="17" t="str">
        <f>'2.1. DM'!J283</f>
        <v>Mimosa diplotricha</v>
      </c>
      <c r="K283" s="17" t="str">
        <f>'2.1. DM'!K283</f>
        <v>Fabaceae</v>
      </c>
      <c r="L283" s="17" t="str">
        <f>'2.1. DM'!L283</f>
        <v>Fabales</v>
      </c>
      <c r="M283" s="17" t="str">
        <f>'2.1. DM'!M283</f>
        <v>Shurb_Tree</v>
      </c>
      <c r="N283" s="17" t="str">
        <f>'2.1. DM'!N283</f>
        <v>64,65,71</v>
      </c>
      <c r="O283" s="17" t="str">
        <f>'2.1. DM'!O283</f>
        <v>OT-002(2026)</v>
      </c>
      <c r="P283" s="19"/>
      <c r="Q283" s="20">
        <v>18.616653686775535</v>
      </c>
      <c r="R283" s="345">
        <f t="shared" si="29"/>
        <v>18.616653686775535</v>
      </c>
    </row>
    <row r="284" spans="2:18" x14ac:dyDescent="0.35">
      <c r="B284" s="17">
        <f>'2.1. DM'!B284</f>
        <v>274</v>
      </c>
      <c r="C284" s="17"/>
      <c r="D284" s="17"/>
      <c r="E284" s="17">
        <f>'2.1. DM'!E284</f>
        <v>30</v>
      </c>
      <c r="F284" s="17" t="str">
        <f>'2.1. DM'!F284</f>
        <v>F260034</v>
      </c>
      <c r="G284" s="17" t="str">
        <f>'2.1. DM'!G284</f>
        <v>CIAT8056</v>
      </c>
      <c r="H284" s="17" t="str">
        <f>'2.1. DM'!H284</f>
        <v>Mimosa</v>
      </c>
      <c r="I284" s="17" t="str">
        <f>'2.1. DM'!I284</f>
        <v>diplotricha</v>
      </c>
      <c r="J284" s="17" t="str">
        <f>'2.1. DM'!J284</f>
        <v>Mimosa diplotricha</v>
      </c>
      <c r="K284" s="17" t="str">
        <f>'2.1. DM'!K284</f>
        <v>Fabaceae</v>
      </c>
      <c r="L284" s="17" t="str">
        <f>'2.1. DM'!L284</f>
        <v>Fabales</v>
      </c>
      <c r="M284" s="17" t="str">
        <f>'2.1. DM'!M284</f>
        <v>Shurb_Tree</v>
      </c>
      <c r="N284" s="17" t="str">
        <f>'2.1. DM'!N284</f>
        <v>64,65,71</v>
      </c>
      <c r="O284" s="17" t="str">
        <f>'2.1. DM'!O284</f>
        <v>OT-002(2026)</v>
      </c>
      <c r="P284" s="19"/>
      <c r="Q284" s="20">
        <v>18.616653686775535</v>
      </c>
      <c r="R284" s="345"/>
    </row>
    <row r="285" spans="2:18" x14ac:dyDescent="0.35">
      <c r="B285" s="17">
        <f>'2.1. DM'!B285</f>
        <v>275</v>
      </c>
      <c r="C285" s="17"/>
      <c r="D285" s="17"/>
      <c r="E285" s="17">
        <f>'2.1. DM'!E285</f>
        <v>30</v>
      </c>
      <c r="F285" s="17" t="str">
        <f>'2.1. DM'!F285</f>
        <v>F260035</v>
      </c>
      <c r="G285" s="17" t="str">
        <f>'2.1. DM'!G285</f>
        <v>CIAT17514</v>
      </c>
      <c r="H285" s="17" t="str">
        <f>'2.1. DM'!H285</f>
        <v>Mimosa</v>
      </c>
      <c r="I285" s="17" t="str">
        <f>'2.1. DM'!I285</f>
        <v>pudica</v>
      </c>
      <c r="J285" s="17" t="str">
        <f>'2.1. DM'!J285</f>
        <v>Mimosa pudica</v>
      </c>
      <c r="K285" s="17" t="str">
        <f>'2.1. DM'!K285</f>
        <v>Fabaceae</v>
      </c>
      <c r="L285" s="17" t="str">
        <f>'2.1. DM'!L285</f>
        <v>Fabales</v>
      </c>
      <c r="M285" s="17" t="str">
        <f>'2.1. DM'!M285</f>
        <v>Shurb_Tree</v>
      </c>
      <c r="N285" s="17" t="str">
        <f>'2.1. DM'!N285</f>
        <v>64,65,71</v>
      </c>
      <c r="O285" s="17" t="str">
        <f>'2.1. DM'!O285</f>
        <v>OT-002(2026)</v>
      </c>
      <c r="P285" s="19"/>
      <c r="Q285" s="20">
        <v>19.832973521790223</v>
      </c>
      <c r="R285" s="345">
        <f t="shared" si="29"/>
        <v>19.832973521790223</v>
      </c>
    </row>
    <row r="286" spans="2:18" x14ac:dyDescent="0.35">
      <c r="B286" s="17">
        <f>'2.1. DM'!B286</f>
        <v>276</v>
      </c>
      <c r="C286" s="17"/>
      <c r="D286" s="17"/>
      <c r="E286" s="17">
        <f>'2.1. DM'!E286</f>
        <v>30</v>
      </c>
      <c r="F286" s="17" t="str">
        <f>'2.1. DM'!F286</f>
        <v>F260035</v>
      </c>
      <c r="G286" s="17" t="str">
        <f>'2.1. DM'!G286</f>
        <v>CIAT17514</v>
      </c>
      <c r="H286" s="17" t="str">
        <f>'2.1. DM'!H286</f>
        <v>Mimosa</v>
      </c>
      <c r="I286" s="17" t="str">
        <f>'2.1. DM'!I286</f>
        <v>pudica</v>
      </c>
      <c r="J286" s="17" t="str">
        <f>'2.1. DM'!J286</f>
        <v>Mimosa pudica</v>
      </c>
      <c r="K286" s="17" t="str">
        <f>'2.1. DM'!K286</f>
        <v>Fabaceae</v>
      </c>
      <c r="L286" s="17" t="str">
        <f>'2.1. DM'!L286</f>
        <v>Fabales</v>
      </c>
      <c r="M286" s="17" t="str">
        <f>'2.1. DM'!M286</f>
        <v>Shurb_Tree</v>
      </c>
      <c r="N286" s="17" t="str">
        <f>'2.1. DM'!N286</f>
        <v>64,65,71</v>
      </c>
      <c r="O286" s="17" t="str">
        <f>'2.1. DM'!O286</f>
        <v>OT-002(2026)</v>
      </c>
      <c r="P286" s="19"/>
      <c r="Q286" s="20">
        <v>19.832973521790223</v>
      </c>
      <c r="R286" s="345"/>
    </row>
    <row r="287" spans="2:18" x14ac:dyDescent="0.35">
      <c r="B287" s="17">
        <f>'2.1. DM'!B287</f>
        <v>277</v>
      </c>
      <c r="C287" s="17"/>
      <c r="D287" s="17"/>
      <c r="E287" s="17">
        <f>'2.1. DM'!E287</f>
        <v>30</v>
      </c>
      <c r="F287" s="17" t="str">
        <f>'2.1. DM'!F287</f>
        <v>F260036</v>
      </c>
      <c r="G287" s="17" t="str">
        <f>'2.1. DM'!G287</f>
        <v>CIAT17725</v>
      </c>
      <c r="H287" s="17" t="str">
        <f>'2.1. DM'!H287</f>
        <v>Mimosa</v>
      </c>
      <c r="I287" s="17" t="str">
        <f>'2.1. DM'!I287</f>
        <v>polycarpa</v>
      </c>
      <c r="J287" s="17" t="str">
        <f>'2.1. DM'!J287</f>
        <v>Mimosa polycarpa</v>
      </c>
      <c r="K287" s="17" t="str">
        <f>'2.1. DM'!K287</f>
        <v>Fabaceae</v>
      </c>
      <c r="L287" s="17" t="str">
        <f>'2.1. DM'!L287</f>
        <v>Fabales</v>
      </c>
      <c r="M287" s="17" t="str">
        <f>'2.1. DM'!M287</f>
        <v>Shurb_Tree</v>
      </c>
      <c r="N287" s="17" t="str">
        <f>'2.1. DM'!N287</f>
        <v>64,65,71</v>
      </c>
      <c r="O287" s="17" t="str">
        <f>'2.1. DM'!O287</f>
        <v>OT-002(2026)</v>
      </c>
      <c r="P287" s="19"/>
      <c r="Q287" s="20">
        <v>21.375911130411364</v>
      </c>
      <c r="R287" s="345">
        <f t="shared" si="29"/>
        <v>21.375911130411364</v>
      </c>
    </row>
    <row r="288" spans="2:18" x14ac:dyDescent="0.35">
      <c r="B288" s="17">
        <f>'2.1. DM'!B288</f>
        <v>278</v>
      </c>
      <c r="C288" s="42">
        <f>'2.1. DM'!C288</f>
        <v>46062</v>
      </c>
      <c r="D288" s="290" t="str">
        <f>'2.1. DM'!D288</f>
        <v>Genbank</v>
      </c>
      <c r="E288" s="17">
        <f>'2.1. DM'!E288</f>
        <v>30</v>
      </c>
      <c r="F288" s="17" t="str">
        <f>'2.1. DM'!F288</f>
        <v>F260036</v>
      </c>
      <c r="G288" s="17" t="str">
        <f>'2.1. DM'!G288</f>
        <v>CIAT17725</v>
      </c>
      <c r="H288" s="17" t="str">
        <f>'2.1. DM'!H288</f>
        <v>Mimosa</v>
      </c>
      <c r="I288" s="17" t="str">
        <f>'2.1. DM'!I288</f>
        <v>polycarpa</v>
      </c>
      <c r="J288" s="17" t="str">
        <f>'2.1. DM'!J288</f>
        <v>Mimosa polycarpa</v>
      </c>
      <c r="K288" s="17" t="str">
        <f>'2.1. DM'!K288</f>
        <v>Fabaceae</v>
      </c>
      <c r="L288" s="17" t="str">
        <f>'2.1. DM'!L288</f>
        <v>Fabales</v>
      </c>
      <c r="M288" s="17" t="str">
        <f>'2.1. DM'!M288</f>
        <v>Shurb_Tree</v>
      </c>
      <c r="N288" s="17" t="str">
        <f>'2.1. DM'!N288</f>
        <v>64,65,71</v>
      </c>
      <c r="O288" s="17" t="str">
        <f>'2.1. DM'!O288</f>
        <v>OT-002(2026)</v>
      </c>
      <c r="P288" s="19"/>
      <c r="Q288" s="20">
        <v>21.375911130411364</v>
      </c>
      <c r="R288" s="345"/>
    </row>
    <row r="289" spans="2:18" x14ac:dyDescent="0.35">
      <c r="B289" s="17">
        <f>'2.1. DM'!B289</f>
        <v>279</v>
      </c>
      <c r="C289" s="42">
        <f>'2.1. DM'!C289</f>
        <v>46062</v>
      </c>
      <c r="D289" s="290" t="str">
        <f>'2.1. DM'!D289</f>
        <v>Genbank</v>
      </c>
      <c r="E289" s="17">
        <f>'2.1. DM'!E289</f>
        <v>30</v>
      </c>
      <c r="F289" s="17" t="str">
        <f>'2.1. DM'!F289</f>
        <v>F260037</v>
      </c>
      <c r="G289" s="17" t="str">
        <f>'2.1. DM'!G289</f>
        <v>CIAT18947</v>
      </c>
      <c r="H289" s="17" t="str">
        <f>'2.1. DM'!H289</f>
        <v>Sesbania</v>
      </c>
      <c r="I289" s="17" t="str">
        <f>'2.1. DM'!I289</f>
        <v>sesban</v>
      </c>
      <c r="J289" s="17" t="str">
        <f>'2.1. DM'!J289</f>
        <v>Sesbania sesban</v>
      </c>
      <c r="K289" s="17" t="str">
        <f>'2.1. DM'!K289</f>
        <v>Fabaceae</v>
      </c>
      <c r="L289" s="17" t="str">
        <f>'2.1. DM'!L289</f>
        <v>Fabales</v>
      </c>
      <c r="M289" s="17" t="str">
        <f>'2.1. DM'!M289</f>
        <v>Shurb_Tree</v>
      </c>
      <c r="N289" s="17" t="str">
        <f>'2.1. DM'!N289</f>
        <v>64,65,71</v>
      </c>
      <c r="O289" s="17" t="str">
        <f>'2.1. DM'!O289</f>
        <v>OT-002(2026)</v>
      </c>
      <c r="P289" s="19"/>
      <c r="Q289" s="20">
        <v>28.79378419999593</v>
      </c>
      <c r="R289" s="345">
        <f t="shared" si="29"/>
        <v>28.79378419999593</v>
      </c>
    </row>
    <row r="290" spans="2:18" x14ac:dyDescent="0.35">
      <c r="B290" s="17">
        <f>'2.1. DM'!B290</f>
        <v>280</v>
      </c>
      <c r="C290" s="42">
        <f>'2.1. DM'!C290</f>
        <v>46062</v>
      </c>
      <c r="D290" s="290" t="str">
        <f>'2.1. DM'!D290</f>
        <v>Genbank</v>
      </c>
      <c r="E290" s="17">
        <f>'2.1. DM'!E290</f>
        <v>30</v>
      </c>
      <c r="F290" s="17" t="str">
        <f>'2.1. DM'!F290</f>
        <v>F260037</v>
      </c>
      <c r="G290" s="17" t="str">
        <f>'2.1. DM'!G290</f>
        <v>CIAT18947</v>
      </c>
      <c r="H290" s="17" t="str">
        <f>'2.1. DM'!H290</f>
        <v>Sesbania</v>
      </c>
      <c r="I290" s="17" t="str">
        <f>'2.1. DM'!I290</f>
        <v>sesban</v>
      </c>
      <c r="J290" s="17" t="str">
        <f>'2.1. DM'!J290</f>
        <v>Sesbania sesban</v>
      </c>
      <c r="K290" s="17" t="str">
        <f>'2.1. DM'!K290</f>
        <v>Fabaceae</v>
      </c>
      <c r="L290" s="17" t="str">
        <f>'2.1. DM'!L290</f>
        <v>Fabales</v>
      </c>
      <c r="M290" s="17" t="str">
        <f>'2.1. DM'!M290</f>
        <v>Shurb_Tree</v>
      </c>
      <c r="N290" s="17" t="str">
        <f>'2.1. DM'!N290</f>
        <v>64,65,71</v>
      </c>
      <c r="O290" s="17" t="str">
        <f>'2.1. DM'!O290</f>
        <v>OT-002(2026)</v>
      </c>
      <c r="P290" s="19"/>
      <c r="Q290" s="20">
        <v>28.79378419999593</v>
      </c>
      <c r="R290" s="345"/>
    </row>
    <row r="291" spans="2:18" x14ac:dyDescent="0.35">
      <c r="B291" s="17">
        <f>'2.1. DM'!B291</f>
        <v>281</v>
      </c>
      <c r="C291" s="42">
        <f>'2.1. DM'!C291</f>
        <v>46062</v>
      </c>
      <c r="D291" s="290" t="str">
        <f>'2.1. DM'!D291</f>
        <v>Genbank</v>
      </c>
      <c r="E291" s="17">
        <f>'2.1. DM'!E291</f>
        <v>30</v>
      </c>
      <c r="F291" s="17" t="str">
        <f>'2.1. DM'!F291</f>
        <v>F260038</v>
      </c>
      <c r="G291" s="17" t="str">
        <f>'2.1. DM'!G291</f>
        <v>CIAT19165</v>
      </c>
      <c r="H291" s="17" t="str">
        <f>'2.1. DM'!H291</f>
        <v>Sesbania</v>
      </c>
      <c r="I291" s="17" t="str">
        <f>'2.1. DM'!I291</f>
        <v>keniensis</v>
      </c>
      <c r="J291" s="17" t="str">
        <f>'2.1. DM'!J291</f>
        <v>Sesbania keniensis</v>
      </c>
      <c r="K291" s="17" t="str">
        <f>'2.1. DM'!K291</f>
        <v>Fabaceae</v>
      </c>
      <c r="L291" s="17" t="str">
        <f>'2.1. DM'!L291</f>
        <v>Fabales</v>
      </c>
      <c r="M291" s="17" t="str">
        <f>'2.1. DM'!M291</f>
        <v>Shurb_Tree</v>
      </c>
      <c r="N291" s="17" t="str">
        <f>'2.1. DM'!N291</f>
        <v>64,65,71</v>
      </c>
      <c r="O291" s="17" t="str">
        <f>'2.1. DM'!O291</f>
        <v>OT-002(2026)</v>
      </c>
      <c r="P291" s="19"/>
      <c r="Q291" s="20">
        <v>25.521093019694892</v>
      </c>
      <c r="R291" s="345">
        <f t="shared" si="29"/>
        <v>25.521093019694892</v>
      </c>
    </row>
    <row r="292" spans="2:18" x14ac:dyDescent="0.35">
      <c r="B292" s="17">
        <f>'2.1. DM'!B292</f>
        <v>282</v>
      </c>
      <c r="C292" s="42">
        <f>'2.1. DM'!C292</f>
        <v>46062</v>
      </c>
      <c r="D292" s="290" t="str">
        <f>'2.1. DM'!D292</f>
        <v>Genbank</v>
      </c>
      <c r="E292" s="17">
        <f>'2.1. DM'!E292</f>
        <v>30</v>
      </c>
      <c r="F292" s="17" t="str">
        <f>'2.1. DM'!F292</f>
        <v>F260038</v>
      </c>
      <c r="G292" s="17" t="str">
        <f>'2.1. DM'!G292</f>
        <v>CIAT19165</v>
      </c>
      <c r="H292" s="17" t="str">
        <f>'2.1. DM'!H292</f>
        <v>Sesbania</v>
      </c>
      <c r="I292" s="17" t="str">
        <f>'2.1. DM'!I292</f>
        <v>keniensis</v>
      </c>
      <c r="J292" s="17" t="str">
        <f>'2.1. DM'!J292</f>
        <v>Sesbania keniensis</v>
      </c>
      <c r="K292" s="17" t="str">
        <f>'2.1. DM'!K292</f>
        <v>Fabaceae</v>
      </c>
      <c r="L292" s="17" t="str">
        <f>'2.1. DM'!L292</f>
        <v>Fabales</v>
      </c>
      <c r="M292" s="17" t="str">
        <f>'2.1. DM'!M292</f>
        <v>Shurb_Tree</v>
      </c>
      <c r="N292" s="17" t="str">
        <f>'2.1. DM'!N292</f>
        <v>64,65,71</v>
      </c>
      <c r="O292" s="17" t="str">
        <f>'2.1. DM'!O292</f>
        <v>OT-002(2026)</v>
      </c>
      <c r="P292" s="19"/>
      <c r="Q292" s="20">
        <v>25.521093019694892</v>
      </c>
      <c r="R292" s="345"/>
    </row>
    <row r="293" spans="2:18" x14ac:dyDescent="0.35">
      <c r="B293" s="17">
        <f>'2.1. DM'!B293</f>
        <v>283</v>
      </c>
      <c r="C293" s="42">
        <f>'2.1. DM'!C293</f>
        <v>46062</v>
      </c>
      <c r="D293" s="290" t="str">
        <f>'2.1. DM'!D293</f>
        <v>Genbank</v>
      </c>
      <c r="E293" s="17">
        <f>'2.1. DM'!E293</f>
        <v>30</v>
      </c>
      <c r="F293" s="17" t="str">
        <f>'2.1. DM'!F293</f>
        <v>F260039</v>
      </c>
      <c r="G293" s="17" t="str">
        <f>'2.1. DM'!G293</f>
        <v>CIAT21899</v>
      </c>
      <c r="H293" s="17" t="str">
        <f>'2.1. DM'!H293</f>
        <v>Sesbania</v>
      </c>
      <c r="I293" s="17" t="str">
        <f>'2.1. DM'!I293</f>
        <v>sesban</v>
      </c>
      <c r="J293" s="17" t="str">
        <f>'2.1. DM'!J293</f>
        <v>Sesbania sesban</v>
      </c>
      <c r="K293" s="17" t="str">
        <f>'2.1. DM'!K293</f>
        <v>Fabaceae</v>
      </c>
      <c r="L293" s="17" t="str">
        <f>'2.1. DM'!L293</f>
        <v>Fabales</v>
      </c>
      <c r="M293" s="17" t="str">
        <f>'2.1. DM'!M293</f>
        <v>Shurb_Tree</v>
      </c>
      <c r="N293" s="17" t="str">
        <f>'2.1. DM'!N293</f>
        <v>64,65,71</v>
      </c>
      <c r="O293" s="17" t="str">
        <f>'2.1. DM'!O293</f>
        <v>OT-002(2026)</v>
      </c>
      <c r="P293" s="19"/>
      <c r="Q293" s="20">
        <v>18.324960198207332</v>
      </c>
      <c r="R293" s="345">
        <f t="shared" si="29"/>
        <v>18.324960198207332</v>
      </c>
    </row>
    <row r="294" spans="2:18" x14ac:dyDescent="0.35">
      <c r="B294" s="17">
        <f>'2.1. DM'!B294</f>
        <v>284</v>
      </c>
      <c r="C294" s="42">
        <f>'2.1. DM'!C294</f>
        <v>46062</v>
      </c>
      <c r="D294" s="290" t="str">
        <f>'2.1. DM'!D294</f>
        <v>Genbank</v>
      </c>
      <c r="E294" s="17">
        <f>'2.1. DM'!E294</f>
        <v>30</v>
      </c>
      <c r="F294" s="17" t="str">
        <f>'2.1. DM'!F294</f>
        <v>F260039</v>
      </c>
      <c r="G294" s="17" t="str">
        <f>'2.1. DM'!G294</f>
        <v>CIAT21899</v>
      </c>
      <c r="H294" s="17" t="str">
        <f>'2.1. DM'!H294</f>
        <v>Sesbania</v>
      </c>
      <c r="I294" s="17" t="str">
        <f>'2.1. DM'!I294</f>
        <v>sesban</v>
      </c>
      <c r="J294" s="17" t="str">
        <f>'2.1. DM'!J294</f>
        <v>Sesbania sesban</v>
      </c>
      <c r="K294" s="17" t="str">
        <f>'2.1. DM'!K294</f>
        <v>Fabaceae</v>
      </c>
      <c r="L294" s="17" t="str">
        <f>'2.1. DM'!L294</f>
        <v>Fabales</v>
      </c>
      <c r="M294" s="17" t="str">
        <f>'2.1. DM'!M294</f>
        <v>Shurb_Tree</v>
      </c>
      <c r="N294" s="17" t="str">
        <f>'2.1. DM'!N294</f>
        <v>64,65,71</v>
      </c>
      <c r="O294" s="17" t="str">
        <f>'2.1. DM'!O294</f>
        <v>OT-002(2026)</v>
      </c>
      <c r="P294" s="19"/>
      <c r="Q294" s="20">
        <v>18.324960198207332</v>
      </c>
      <c r="R294" s="345"/>
    </row>
    <row r="295" spans="2:18" x14ac:dyDescent="0.35">
      <c r="B295" s="17">
        <f>'2.1. DM'!B295</f>
        <v>285</v>
      </c>
      <c r="C295" s="42">
        <f>'2.1. DM'!C295</f>
        <v>46062</v>
      </c>
      <c r="D295" s="290" t="str">
        <f>'2.1. DM'!D295</f>
        <v>Genbank</v>
      </c>
      <c r="E295" s="17">
        <f>'2.1. DM'!E295</f>
        <v>30</v>
      </c>
      <c r="F295" s="17" t="str">
        <f>'2.1. DM'!F295</f>
        <v>F260040</v>
      </c>
      <c r="G295" s="17" t="str">
        <f>'2.1. DM'!G295</f>
        <v>CIAT23414</v>
      </c>
      <c r="H295" s="17" t="str">
        <f>'2.1. DM'!H295</f>
        <v>Codariocalyx</v>
      </c>
      <c r="I295" s="17" t="str">
        <f>'2.1. DM'!I295</f>
        <v>motorius</v>
      </c>
      <c r="J295" s="17" t="str">
        <f>'2.1. DM'!J295</f>
        <v>Codariocalyx motorius</v>
      </c>
      <c r="K295" s="17" t="str">
        <f>'2.1. DM'!K295</f>
        <v>Fabaceae</v>
      </c>
      <c r="L295" s="17" t="str">
        <f>'2.1. DM'!L295</f>
        <v>Fabales</v>
      </c>
      <c r="M295" s="17" t="str">
        <f>'2.1. DM'!M295</f>
        <v>Shurb_Tree</v>
      </c>
      <c r="N295" s="17" t="str">
        <f>'2.1. DM'!N295</f>
        <v>64,65,71</v>
      </c>
      <c r="O295" s="17" t="str">
        <f>'2.1. DM'!O295</f>
        <v>OT-002(2026)</v>
      </c>
      <c r="P295" s="19"/>
      <c r="Q295" s="20">
        <v>15.866404880370927</v>
      </c>
      <c r="R295" s="345">
        <f t="shared" si="29"/>
        <v>16.194493709548571</v>
      </c>
    </row>
    <row r="296" spans="2:18" x14ac:dyDescent="0.35">
      <c r="B296" s="17">
        <f>'2.1. DM'!B296</f>
        <v>286</v>
      </c>
      <c r="C296" s="42">
        <f>'2.1. DM'!C296</f>
        <v>46062</v>
      </c>
      <c r="D296" s="290" t="str">
        <f>'2.1. DM'!D296</f>
        <v>Genbank</v>
      </c>
      <c r="E296" s="17">
        <f>'2.1. DM'!E296</f>
        <v>30</v>
      </c>
      <c r="F296" s="17" t="str">
        <f>'2.1. DM'!F296</f>
        <v>F260040</v>
      </c>
      <c r="G296" s="17" t="str">
        <f>'2.1. DM'!G296</f>
        <v>CIAT23414</v>
      </c>
      <c r="H296" s="17" t="str">
        <f>'2.1. DM'!H296</f>
        <v>Codariocalyx</v>
      </c>
      <c r="I296" s="17" t="str">
        <f>'2.1. DM'!I296</f>
        <v>motorius</v>
      </c>
      <c r="J296" s="17" t="str">
        <f>'2.1. DM'!J296</f>
        <v>Codariocalyx motorius</v>
      </c>
      <c r="K296" s="17" t="str">
        <f>'2.1. DM'!K296</f>
        <v>Fabaceae</v>
      </c>
      <c r="L296" s="17" t="str">
        <f>'2.1. DM'!L296</f>
        <v>Fabales</v>
      </c>
      <c r="M296" s="17" t="str">
        <f>'2.1. DM'!M296</f>
        <v>Shurb_Tree</v>
      </c>
      <c r="N296" s="17" t="str">
        <f>'2.1. DM'!N296</f>
        <v>64,65,71</v>
      </c>
      <c r="O296" s="17" t="str">
        <f>'2.1. DM'!O296</f>
        <v>OT-002(2026)</v>
      </c>
      <c r="P296" s="19"/>
      <c r="Q296" s="20">
        <v>16.522582538726212</v>
      </c>
      <c r="R296" s="345"/>
    </row>
    <row r="297" spans="2:18" x14ac:dyDescent="0.35">
      <c r="B297" s="17">
        <f>'2.1. DM'!B297</f>
        <v>287</v>
      </c>
      <c r="C297" s="42">
        <f>'2.1. DM'!C297</f>
        <v>46062</v>
      </c>
      <c r="D297" s="290" t="str">
        <f>'2.1. DM'!D297</f>
        <v>Genbank</v>
      </c>
      <c r="E297" s="17">
        <f>'2.1. DM'!E297</f>
        <v>30</v>
      </c>
      <c r="F297" s="17" t="str">
        <f>'2.1. DM'!F297</f>
        <v>F260041</v>
      </c>
      <c r="G297" s="17" t="str">
        <f>'2.1. DM'!G297</f>
        <v>CIAT23767</v>
      </c>
      <c r="H297" s="17" t="str">
        <f>'2.1. DM'!H297</f>
        <v>Desmodium</v>
      </c>
      <c r="I297" s="17" t="str">
        <f>'2.1. DM'!I297</f>
        <v>nicaraguense</v>
      </c>
      <c r="J297" s="17" t="str">
        <f>'2.1. DM'!J297</f>
        <v>Desmodium nicaraguense</v>
      </c>
      <c r="K297" s="17" t="str">
        <f>'2.1. DM'!K297</f>
        <v>Fabaceae</v>
      </c>
      <c r="L297" s="17" t="str">
        <f>'2.1. DM'!L297</f>
        <v>Fabales</v>
      </c>
      <c r="M297" s="17" t="str">
        <f>'2.1. DM'!M297</f>
        <v>Shurb_Tree</v>
      </c>
      <c r="N297" s="17" t="str">
        <f>'2.1. DM'!N297</f>
        <v>64,65,71</v>
      </c>
      <c r="O297" s="17" t="str">
        <f>'2.1. DM'!O297</f>
        <v>OT-002(2026)</v>
      </c>
      <c r="P297" s="19"/>
      <c r="Q297" s="20">
        <v>19.053138278667557</v>
      </c>
      <c r="R297" s="345">
        <f t="shared" si="29"/>
        <v>19.053138278667557</v>
      </c>
    </row>
    <row r="298" spans="2:18" x14ac:dyDescent="0.35">
      <c r="B298" s="17">
        <f>'2.1. DM'!B298</f>
        <v>288</v>
      </c>
      <c r="C298" s="42">
        <f>'2.1. DM'!C298</f>
        <v>46062</v>
      </c>
      <c r="D298" s="290" t="str">
        <f>'2.1. DM'!D298</f>
        <v>Genbank</v>
      </c>
      <c r="E298" s="17">
        <f>'2.1. DM'!E298</f>
        <v>30</v>
      </c>
      <c r="F298" s="17" t="str">
        <f>'2.1. DM'!F298</f>
        <v>F260041</v>
      </c>
      <c r="G298" s="17" t="str">
        <f>'2.1. DM'!G298</f>
        <v>CIAT23767</v>
      </c>
      <c r="H298" s="17" t="str">
        <f>'2.1. DM'!H298</f>
        <v>Desmodium</v>
      </c>
      <c r="I298" s="17" t="str">
        <f>'2.1. DM'!I298</f>
        <v>nicaraguense</v>
      </c>
      <c r="J298" s="17" t="str">
        <f>'2.1. DM'!J298</f>
        <v>Desmodium nicaraguense</v>
      </c>
      <c r="K298" s="17" t="str">
        <f>'2.1. DM'!K298</f>
        <v>Fabaceae</v>
      </c>
      <c r="L298" s="17" t="str">
        <f>'2.1. DM'!L298</f>
        <v>Fabales</v>
      </c>
      <c r="M298" s="17" t="str">
        <f>'2.1. DM'!M298</f>
        <v>Shurb_Tree</v>
      </c>
      <c r="N298" s="17" t="str">
        <f>'2.1. DM'!N298</f>
        <v>64,65,71</v>
      </c>
      <c r="O298" s="17" t="str">
        <f>'2.1. DM'!O298</f>
        <v>OT-002(2026)</v>
      </c>
      <c r="P298" s="19"/>
      <c r="Q298" s="20">
        <v>19.053138278667557</v>
      </c>
      <c r="R298" s="345"/>
    </row>
    <row r="299" spans="2:18" x14ac:dyDescent="0.35">
      <c r="B299" s="17">
        <f>'2.1. DM'!B299</f>
        <v>289</v>
      </c>
      <c r="C299" s="42">
        <f>'2.1. DM'!C299</f>
        <v>46062</v>
      </c>
      <c r="D299" s="290" t="str">
        <f>'2.1. DM'!D299</f>
        <v>Genbank</v>
      </c>
      <c r="E299" s="17">
        <f>'2.1. DM'!E299</f>
        <v>30</v>
      </c>
      <c r="F299" s="17" t="str">
        <f>'2.1. DM'!F299</f>
        <v>F260042</v>
      </c>
      <c r="G299" s="17" t="str">
        <f>'2.1. DM'!G299</f>
        <v>CIAT33127</v>
      </c>
      <c r="H299" s="17" t="str">
        <f>'2.1. DM'!H299</f>
        <v>Codariocalyx</v>
      </c>
      <c r="I299" s="17" t="str">
        <f>'2.1. DM'!I299</f>
        <v>motorius</v>
      </c>
      <c r="J299" s="17" t="str">
        <f>'2.1. DM'!J299</f>
        <v>Codariocalyx motorius</v>
      </c>
      <c r="K299" s="17" t="str">
        <f>'2.1. DM'!K299</f>
        <v>Fabaceae</v>
      </c>
      <c r="L299" s="17" t="str">
        <f>'2.1. DM'!L299</f>
        <v>Fabales</v>
      </c>
      <c r="M299" s="17" t="str">
        <f>'2.1. DM'!M299</f>
        <v>Shurb_Tree</v>
      </c>
      <c r="N299" s="17" t="str">
        <f>'2.1. DM'!N299</f>
        <v>64,65,71</v>
      </c>
      <c r="O299" s="17" t="str">
        <f>'2.1. DM'!O299</f>
        <v>OT-002(2026)</v>
      </c>
      <c r="P299" s="19"/>
      <c r="Q299" s="20">
        <v>13.668304683335682</v>
      </c>
      <c r="R299" s="345">
        <f t="shared" si="29"/>
        <v>13.662068705204028</v>
      </c>
    </row>
    <row r="300" spans="2:18" x14ac:dyDescent="0.35">
      <c r="B300" s="17">
        <f>'2.1. DM'!B300</f>
        <v>290</v>
      </c>
      <c r="C300" s="42">
        <f>'2.1. DM'!C300</f>
        <v>46062</v>
      </c>
      <c r="D300" s="290" t="str">
        <f>'2.1. DM'!D300</f>
        <v>Genbank</v>
      </c>
      <c r="E300" s="17">
        <f>'2.1. DM'!E300</f>
        <v>30</v>
      </c>
      <c r="F300" s="17" t="str">
        <f>'2.1. DM'!F300</f>
        <v>F260042</v>
      </c>
      <c r="G300" s="17" t="str">
        <f>'2.1. DM'!G300</f>
        <v>CIAT33127</v>
      </c>
      <c r="H300" s="17" t="str">
        <f>'2.1. DM'!H300</f>
        <v>Codariocalyx</v>
      </c>
      <c r="I300" s="17" t="str">
        <f>'2.1. DM'!I300</f>
        <v>motorius</v>
      </c>
      <c r="J300" s="17" t="str">
        <f>'2.1. DM'!J300</f>
        <v>Codariocalyx motorius</v>
      </c>
      <c r="K300" s="17" t="str">
        <f>'2.1. DM'!K300</f>
        <v>Fabaceae</v>
      </c>
      <c r="L300" s="17" t="str">
        <f>'2.1. DM'!L300</f>
        <v>Fabales</v>
      </c>
      <c r="M300" s="17" t="str">
        <f>'2.1. DM'!M300</f>
        <v>Shurb_Tree</v>
      </c>
      <c r="N300" s="17" t="str">
        <f>'2.1. DM'!N300</f>
        <v>64,65,71</v>
      </c>
      <c r="O300" s="17" t="str">
        <f>'2.1. DM'!O300</f>
        <v>OT-002(2026)</v>
      </c>
      <c r="P300" s="19"/>
      <c r="Q300" s="20">
        <v>13.655832727072376</v>
      </c>
      <c r="R300" s="345"/>
    </row>
    <row r="301" spans="2:18" x14ac:dyDescent="0.35">
      <c r="B301" s="17">
        <f>'2.1. DM'!B301</f>
        <v>291</v>
      </c>
      <c r="C301" s="42">
        <f>'2.1. DM'!C301</f>
        <v>46062</v>
      </c>
      <c r="D301" s="290" t="str">
        <f>'2.1. DM'!D301</f>
        <v>Breeding</v>
      </c>
      <c r="E301" s="17">
        <f>'2.1. DM'!E301</f>
        <v>30</v>
      </c>
      <c r="F301" s="17" t="str">
        <f>'2.1. DM'!F301</f>
        <v>F252104</v>
      </c>
      <c r="G301" s="17" t="str">
        <f>'2.1. DM'!G301</f>
        <v>CIAT-BR06_1348</v>
      </c>
      <c r="H301" s="17" t="str">
        <f>'2.1. DM'!H301</f>
        <v>Urochloa</v>
      </c>
      <c r="I301" s="17" t="str">
        <f>'2.1. DM'!I301</f>
        <v>interespecifico</v>
      </c>
      <c r="J301" s="17" t="str">
        <f>'2.1. DM'!J301</f>
        <v>Brachiaria interespecifico</v>
      </c>
      <c r="K301" s="17" t="str">
        <f>'2.1. DM'!K301</f>
        <v>Poaceae</v>
      </c>
      <c r="L301" s="17" t="str">
        <f>'2.1. DM'!L301</f>
        <v>Poales</v>
      </c>
      <c r="M301" s="17" t="str">
        <f>'2.1. DM'!M301</f>
        <v>grasses</v>
      </c>
      <c r="N301" s="17" t="str">
        <f>'2.1. DM'!N301</f>
        <v>64,65,71</v>
      </c>
      <c r="O301" s="17" t="str">
        <f>'2.1. DM'!O301</f>
        <v>OT-013(2025)</v>
      </c>
      <c r="P301" s="19"/>
      <c r="Q301" s="19">
        <v>12.27</v>
      </c>
      <c r="R301" s="345">
        <f t="shared" si="29"/>
        <v>12.225</v>
      </c>
    </row>
    <row r="302" spans="2:18" x14ac:dyDescent="0.35">
      <c r="B302" s="17">
        <f>'2.1. DM'!B302</f>
        <v>292</v>
      </c>
      <c r="C302" s="42">
        <f>'2.1. DM'!C302</f>
        <v>46062</v>
      </c>
      <c r="D302" s="290" t="str">
        <f>'2.1. DM'!D302</f>
        <v>Breeding</v>
      </c>
      <c r="E302" s="17">
        <f>'2.1. DM'!E302</f>
        <v>30</v>
      </c>
      <c r="F302" s="17" t="str">
        <f>'2.1. DM'!F302</f>
        <v>F252104</v>
      </c>
      <c r="G302" s="17" t="str">
        <f>'2.1. DM'!G302</f>
        <v>CIAT-BR06_1348</v>
      </c>
      <c r="H302" s="17" t="str">
        <f>'2.1. DM'!H302</f>
        <v>Urochloa</v>
      </c>
      <c r="I302" s="17" t="str">
        <f>'2.1. DM'!I302</f>
        <v>interespecifico</v>
      </c>
      <c r="J302" s="17" t="str">
        <f>'2.1. DM'!J302</f>
        <v>Brachiaria interespecifico</v>
      </c>
      <c r="K302" s="17" t="str">
        <f>'2.1. DM'!K302</f>
        <v>Poaceae</v>
      </c>
      <c r="L302" s="17" t="str">
        <f>'2.1. DM'!L302</f>
        <v>Poales</v>
      </c>
      <c r="M302" s="17" t="str">
        <f>'2.1. DM'!M302</f>
        <v>grasses</v>
      </c>
      <c r="N302" s="17" t="str">
        <f>'2.1. DM'!N302</f>
        <v>64,65,71</v>
      </c>
      <c r="O302" s="17" t="str">
        <f>'2.1. DM'!O302</f>
        <v>OT-013(2025)</v>
      </c>
      <c r="P302" s="19"/>
      <c r="Q302" s="19">
        <v>12.18</v>
      </c>
      <c r="R302" s="345"/>
    </row>
    <row r="303" spans="2:18" x14ac:dyDescent="0.35">
      <c r="B303" s="17">
        <f>'2.1. DM'!B303</f>
        <v>293</v>
      </c>
      <c r="C303" s="42">
        <f>'2.1. DM'!C303</f>
        <v>46062</v>
      </c>
      <c r="D303" s="290" t="str">
        <f>'2.1. DM'!D303</f>
        <v>Breeding</v>
      </c>
      <c r="E303" s="19">
        <f>'2.1. DM'!E303</f>
        <v>30</v>
      </c>
      <c r="F303" s="19" t="str">
        <f>'2.1. DM'!F303</f>
        <v>F252166</v>
      </c>
      <c r="G303" s="17" t="str">
        <f>'2.1. DM'!G303</f>
        <v>CIAT-BH22_0528</v>
      </c>
      <c r="H303" s="17" t="str">
        <f>'2.1. DM'!H303</f>
        <v>Urochloa</v>
      </c>
      <c r="I303" s="17" t="str">
        <f>'2.1. DM'!I303</f>
        <v>humidicola</v>
      </c>
      <c r="J303" s="17" t="str">
        <f>'2.1. DM'!J303</f>
        <v>Urochloa humidicola</v>
      </c>
      <c r="K303" s="19" t="str">
        <f>'2.1. DM'!K303</f>
        <v>Poaceae</v>
      </c>
      <c r="L303" s="19" t="str">
        <f>'2.1. DM'!L303</f>
        <v>Poales</v>
      </c>
      <c r="M303" s="19" t="str">
        <f>'2.1. DM'!M303</f>
        <v>grasses</v>
      </c>
      <c r="N303" s="19" t="str">
        <f>'2.1. DM'!N303</f>
        <v>64,65,71</v>
      </c>
      <c r="O303" s="19" t="str">
        <f>'2.1. DM'!O303</f>
        <v>OT-020(2025)</v>
      </c>
      <c r="P303" s="19"/>
      <c r="Q303" s="19">
        <v>8.73</v>
      </c>
      <c r="R303" s="345">
        <f t="shared" si="29"/>
        <v>8.7650000000000006</v>
      </c>
    </row>
    <row r="304" spans="2:18" x14ac:dyDescent="0.35">
      <c r="B304" s="17">
        <f>'2.1. DM'!B304</f>
        <v>294</v>
      </c>
      <c r="C304" s="42">
        <f>'2.1. DM'!C304</f>
        <v>46062</v>
      </c>
      <c r="D304" s="290" t="str">
        <f>'2.1. DM'!D304</f>
        <v>Breeding</v>
      </c>
      <c r="E304" s="19">
        <f>'2.1. DM'!E304</f>
        <v>30</v>
      </c>
      <c r="F304" s="19" t="str">
        <f>'2.1. DM'!F304</f>
        <v>F252166</v>
      </c>
      <c r="G304" s="17" t="str">
        <f>'2.1. DM'!G304</f>
        <v>CIAT-BH22_0528</v>
      </c>
      <c r="H304" s="17" t="str">
        <f>'2.1. DM'!H304</f>
        <v>Urochloa</v>
      </c>
      <c r="I304" s="17" t="str">
        <f>'2.1. DM'!I304</f>
        <v>humidicola</v>
      </c>
      <c r="J304" s="17" t="str">
        <f>'2.1. DM'!J304</f>
        <v>Urochloa humidicola</v>
      </c>
      <c r="K304" s="19" t="str">
        <f>'2.1. DM'!K304</f>
        <v>Poaceae</v>
      </c>
      <c r="L304" s="19" t="str">
        <f>'2.1. DM'!L304</f>
        <v>Poales</v>
      </c>
      <c r="M304" s="19" t="str">
        <f>'2.1. DM'!M304</f>
        <v>grasses</v>
      </c>
      <c r="N304" s="19" t="str">
        <f>'2.1. DM'!N304</f>
        <v>64,65,71</v>
      </c>
      <c r="O304" s="19" t="str">
        <f>'2.1. DM'!O304</f>
        <v>OT-020(2025)</v>
      </c>
      <c r="P304" s="19"/>
      <c r="Q304" s="19">
        <v>8.8000000000000007</v>
      </c>
      <c r="R304" s="345"/>
    </row>
    <row r="305" spans="2:18" x14ac:dyDescent="0.35">
      <c r="B305" s="17">
        <f>'2.1. DM'!B305</f>
        <v>295</v>
      </c>
      <c r="C305" s="42">
        <f>'2.1. DM'!C305</f>
        <v>46062</v>
      </c>
      <c r="D305" s="290" t="str">
        <f>'2.1. DM'!D305</f>
        <v>Jacobo Arango/ Alejandro Montoya</v>
      </c>
      <c r="E305" s="19">
        <f>'2.1. DM'!E305</f>
        <v>30</v>
      </c>
      <c r="F305" s="19" t="str">
        <f>'2.1. DM'!F305</f>
        <v>F250008</v>
      </c>
      <c r="G305" s="17" t="str">
        <f>'2.1. DM'!G305</f>
        <v>Sample 8</v>
      </c>
      <c r="H305" s="17" t="str">
        <f>'2.1. DM'!H305</f>
        <v>Cynodon</v>
      </c>
      <c r="I305" s="17" t="str">
        <f>'2.1. DM'!I305</f>
        <v xml:space="preserve"> nlemfuensis </v>
      </c>
      <c r="J305" s="17" t="str">
        <f>'2.1. DM'!J305</f>
        <v xml:space="preserve">Cynodon nlemfuensis </v>
      </c>
      <c r="K305" s="19" t="str">
        <f>'2.1. DM'!K305</f>
        <v>Poaceae</v>
      </c>
      <c r="L305" s="19" t="str">
        <f>'2.1. DM'!L305</f>
        <v>Poales</v>
      </c>
      <c r="M305" s="19" t="str">
        <f>'2.1. DM'!M305</f>
        <v>grasses</v>
      </c>
      <c r="N305" s="19" t="str">
        <f>'2.1. DM'!N305</f>
        <v>64,65,71</v>
      </c>
      <c r="O305" s="19" t="str">
        <f>'2.1. DM'!O305</f>
        <v>OT-001(2025)</v>
      </c>
      <c r="P305" s="19"/>
      <c r="Q305" s="19">
        <v>13.1</v>
      </c>
      <c r="R305" s="345">
        <f t="shared" si="29"/>
        <v>13.1</v>
      </c>
    </row>
    <row r="306" spans="2:18" x14ac:dyDescent="0.35">
      <c r="B306" s="17">
        <f>'2.1. DM'!B306</f>
        <v>296</v>
      </c>
      <c r="C306" s="42">
        <f>'2.1. DM'!C306</f>
        <v>46062</v>
      </c>
      <c r="D306" s="290" t="str">
        <f>'2.1. DM'!D306</f>
        <v>Jacobo Arango/ Alejandro Montoya</v>
      </c>
      <c r="E306" s="19">
        <f>'2.1. DM'!E306</f>
        <v>30</v>
      </c>
      <c r="F306" s="19" t="str">
        <f>'2.1. DM'!F306</f>
        <v>F250008</v>
      </c>
      <c r="G306" s="17" t="str">
        <f>'2.1. DM'!G306</f>
        <v>Sample 8</v>
      </c>
      <c r="H306" s="17" t="str">
        <f>'2.1. DM'!H306</f>
        <v>Cynodon</v>
      </c>
      <c r="I306" s="17" t="str">
        <f>'2.1. DM'!I306</f>
        <v xml:space="preserve"> nlemfuensis </v>
      </c>
      <c r="J306" s="17" t="str">
        <f>'2.1. DM'!J306</f>
        <v xml:space="preserve">Cynodon nlemfuensis </v>
      </c>
      <c r="K306" s="19" t="str">
        <f>'2.1. DM'!K306</f>
        <v>Poaceae</v>
      </c>
      <c r="L306" s="19" t="str">
        <f>'2.1. DM'!L306</f>
        <v>Poales</v>
      </c>
      <c r="M306" s="19" t="str">
        <f>'2.1. DM'!M306</f>
        <v>grasses</v>
      </c>
      <c r="N306" s="19" t="str">
        <f>'2.1. DM'!N306</f>
        <v>64,65,71</v>
      </c>
      <c r="O306" s="19" t="str">
        <f>'2.1. DM'!O306</f>
        <v>OT-001(2025)</v>
      </c>
      <c r="P306" s="19"/>
      <c r="Q306" s="19">
        <v>13.1</v>
      </c>
      <c r="R306" s="345"/>
    </row>
  </sheetData>
  <mergeCells count="148">
    <mergeCell ref="R295:R296"/>
    <mergeCell ref="R297:R298"/>
    <mergeCell ref="R299:R300"/>
    <mergeCell ref="R301:R302"/>
    <mergeCell ref="R303:R304"/>
    <mergeCell ref="R305:R306"/>
    <mergeCell ref="R277:R278"/>
    <mergeCell ref="R279:R280"/>
    <mergeCell ref="R281:R282"/>
    <mergeCell ref="R283:R284"/>
    <mergeCell ref="R285:R286"/>
    <mergeCell ref="R287:R288"/>
    <mergeCell ref="R289:R290"/>
    <mergeCell ref="R291:R292"/>
    <mergeCell ref="R293:R294"/>
    <mergeCell ref="R259:R260"/>
    <mergeCell ref="R261:R262"/>
    <mergeCell ref="R263:R264"/>
    <mergeCell ref="R265:R266"/>
    <mergeCell ref="R267:R268"/>
    <mergeCell ref="R269:R270"/>
    <mergeCell ref="R271:R272"/>
    <mergeCell ref="R273:R274"/>
    <mergeCell ref="R275:R276"/>
    <mergeCell ref="R241:R242"/>
    <mergeCell ref="R243:R244"/>
    <mergeCell ref="R245:R246"/>
    <mergeCell ref="R247:R248"/>
    <mergeCell ref="R249:R250"/>
    <mergeCell ref="R251:R252"/>
    <mergeCell ref="R253:R254"/>
    <mergeCell ref="R255:R256"/>
    <mergeCell ref="R257:R258"/>
    <mergeCell ref="R239:R240"/>
    <mergeCell ref="R229:R230"/>
    <mergeCell ref="R231:R232"/>
    <mergeCell ref="R233:R234"/>
    <mergeCell ref="R235:R236"/>
    <mergeCell ref="R237:R238"/>
    <mergeCell ref="R219:R220"/>
    <mergeCell ref="R221:R222"/>
    <mergeCell ref="R223:R224"/>
    <mergeCell ref="R225:R226"/>
    <mergeCell ref="R227:R228"/>
    <mergeCell ref="R209:R210"/>
    <mergeCell ref="R211:R212"/>
    <mergeCell ref="R213:R214"/>
    <mergeCell ref="R215:R216"/>
    <mergeCell ref="R217:R218"/>
    <mergeCell ref="R199:R200"/>
    <mergeCell ref="R201:R202"/>
    <mergeCell ref="R203:R204"/>
    <mergeCell ref="R205:R206"/>
    <mergeCell ref="R207:R208"/>
    <mergeCell ref="R189:R190"/>
    <mergeCell ref="R191:R192"/>
    <mergeCell ref="R193:R194"/>
    <mergeCell ref="R195:R196"/>
    <mergeCell ref="R197:R198"/>
    <mergeCell ref="R179:R180"/>
    <mergeCell ref="R181:R182"/>
    <mergeCell ref="R183:R184"/>
    <mergeCell ref="R185:R186"/>
    <mergeCell ref="R187:R188"/>
    <mergeCell ref="R169:R170"/>
    <mergeCell ref="R171:R172"/>
    <mergeCell ref="R173:R174"/>
    <mergeCell ref="R175:R176"/>
    <mergeCell ref="R177:R178"/>
    <mergeCell ref="R159:R160"/>
    <mergeCell ref="R161:R162"/>
    <mergeCell ref="R163:R164"/>
    <mergeCell ref="R165:R166"/>
    <mergeCell ref="R167:R168"/>
    <mergeCell ref="R149:R150"/>
    <mergeCell ref="R151:R152"/>
    <mergeCell ref="R153:R154"/>
    <mergeCell ref="R155:R156"/>
    <mergeCell ref="R157:R158"/>
    <mergeCell ref="R139:R140"/>
    <mergeCell ref="R141:R142"/>
    <mergeCell ref="R143:R144"/>
    <mergeCell ref="R145:R146"/>
    <mergeCell ref="R147:R148"/>
    <mergeCell ref="R129:R130"/>
    <mergeCell ref="R131:R132"/>
    <mergeCell ref="R133:R134"/>
    <mergeCell ref="R135:R136"/>
    <mergeCell ref="R137:R138"/>
    <mergeCell ref="R119:R120"/>
    <mergeCell ref="R121:R122"/>
    <mergeCell ref="R123:R124"/>
    <mergeCell ref="R125:R126"/>
    <mergeCell ref="R127:R128"/>
    <mergeCell ref="R111:R112"/>
    <mergeCell ref="R113:R114"/>
    <mergeCell ref="R115:R116"/>
    <mergeCell ref="R117:R118"/>
    <mergeCell ref="R99:R100"/>
    <mergeCell ref="R101:R102"/>
    <mergeCell ref="R103:R104"/>
    <mergeCell ref="R105:R106"/>
    <mergeCell ref="R107:R108"/>
    <mergeCell ref="R93:R94"/>
    <mergeCell ref="R95:R96"/>
    <mergeCell ref="R97:R98"/>
    <mergeCell ref="R79:R80"/>
    <mergeCell ref="R81:R82"/>
    <mergeCell ref="R83:R84"/>
    <mergeCell ref="R85:R86"/>
    <mergeCell ref="R87:R88"/>
    <mergeCell ref="R109:R110"/>
    <mergeCell ref="R75:R76"/>
    <mergeCell ref="R77:R78"/>
    <mergeCell ref="R59:R60"/>
    <mergeCell ref="R61:R62"/>
    <mergeCell ref="R63:R64"/>
    <mergeCell ref="R65:R66"/>
    <mergeCell ref="R67:R68"/>
    <mergeCell ref="R89:R90"/>
    <mergeCell ref="R91:R92"/>
    <mergeCell ref="R55:R56"/>
    <mergeCell ref="R57:R58"/>
    <mergeCell ref="R39:R40"/>
    <mergeCell ref="R41:R42"/>
    <mergeCell ref="R43:R44"/>
    <mergeCell ref="R47:R48"/>
    <mergeCell ref="R69:R70"/>
    <mergeCell ref="R71:R72"/>
    <mergeCell ref="R73:R74"/>
    <mergeCell ref="R37:R38"/>
    <mergeCell ref="R19:R20"/>
    <mergeCell ref="R21:R22"/>
    <mergeCell ref="R23:R24"/>
    <mergeCell ref="R25:R26"/>
    <mergeCell ref="R27:R28"/>
    <mergeCell ref="R49:R50"/>
    <mergeCell ref="R51:R52"/>
    <mergeCell ref="R53:R54"/>
    <mergeCell ref="R11:R12"/>
    <mergeCell ref="R13:R14"/>
    <mergeCell ref="R15:R16"/>
    <mergeCell ref="R17:R18"/>
    <mergeCell ref="R29:R30"/>
    <mergeCell ref="R31:R32"/>
    <mergeCell ref="R33:R34"/>
    <mergeCell ref="R35:R36"/>
    <mergeCell ref="P4:R6"/>
  </mergeCells>
  <phoneticPr fontId="7" type="noConversion"/>
  <pageMargins left="0.7" right="0.7" top="0.75" bottom="0.75" header="0.3" footer="0.3"/>
  <ignoredErrors>
    <ignoredError sqref="R39:R40" calculatedColumn="1"/>
    <ignoredError sqref="R12 R11" evalError="1"/>
  </ignoredErrors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100F3-8EE0-488B-89D0-0B7A484913E9}">
  <sheetPr codeName="Sheet5"/>
  <dimension ref="B4:T306"/>
  <sheetViews>
    <sheetView zoomScale="67" zoomScaleNormal="85" workbookViewId="0">
      <selection activeCell="R303" sqref="R303:R306"/>
    </sheetView>
  </sheetViews>
  <sheetFormatPr defaultColWidth="8.6328125" defaultRowHeight="14.5" x14ac:dyDescent="0.35"/>
  <cols>
    <col min="1" max="1" width="4.36328125" style="5" customWidth="1"/>
    <col min="2" max="2" width="12.36328125" style="15" customWidth="1"/>
    <col min="3" max="4" width="12.36328125" style="5" hidden="1" customWidth="1"/>
    <col min="5" max="6" width="12.36328125" style="5" customWidth="1"/>
    <col min="7" max="15" width="14.54296875" style="5" customWidth="1"/>
    <col min="16" max="16" width="16.08984375" style="5" hidden="1" customWidth="1"/>
    <col min="17" max="17" width="16.90625" style="5" bestFit="1" customWidth="1"/>
    <col min="18" max="18" width="15" style="5" customWidth="1"/>
    <col min="19" max="16384" width="8.6328125" style="5"/>
  </cols>
  <sheetData>
    <row r="4" spans="2:20" ht="14.4" customHeight="1" x14ac:dyDescent="0.35">
      <c r="P4" s="338" t="s">
        <v>492</v>
      </c>
      <c r="Q4" s="338"/>
      <c r="R4" s="338"/>
      <c r="S4" s="338"/>
      <c r="T4" s="338"/>
    </row>
    <row r="5" spans="2:20" ht="14.4" customHeight="1" x14ac:dyDescent="0.35">
      <c r="P5" s="338"/>
      <c r="Q5" s="338"/>
      <c r="R5" s="338"/>
      <c r="S5" s="338"/>
      <c r="T5" s="338"/>
    </row>
    <row r="6" spans="2:20" ht="14.4" customHeight="1" x14ac:dyDescent="0.35">
      <c r="P6" s="338"/>
      <c r="Q6" s="338"/>
      <c r="R6" s="338"/>
      <c r="S6" s="338"/>
      <c r="T6" s="338"/>
    </row>
    <row r="10" spans="2:20" ht="43.5" x14ac:dyDescent="0.35">
      <c r="B10" s="12" t="s">
        <v>482</v>
      </c>
      <c r="C10" s="13" t="s">
        <v>483</v>
      </c>
      <c r="D10" s="12" t="str">
        <f>'1. Information samples'!D10</f>
        <v>Requisitioner</v>
      </c>
      <c r="E10" s="44" t="str">
        <f>'1. Information samples'!E10</f>
        <v>Set CIAT</v>
      </c>
      <c r="F10" s="12" t="str">
        <f>'1. Information samples'!F10</f>
        <v>CIAT Lab-ID</v>
      </c>
      <c r="G10" s="12" t="str">
        <f>'1. Information samples'!G10</f>
        <v>Gene bank /Breeding program ID</v>
      </c>
      <c r="H10" s="12" t="str">
        <f>'1. Information samples'!H10</f>
        <v>Genus</v>
      </c>
      <c r="I10" s="12" t="str">
        <f>'1. Information samples'!I10</f>
        <v>Species</v>
      </c>
      <c r="J10" s="12" t="str">
        <f>'1. Information samples'!J10</f>
        <v>Tax Name</v>
      </c>
      <c r="K10" s="12" t="str">
        <f>'1. Information samples'!K10</f>
        <v>Family</v>
      </c>
      <c r="L10" s="12" t="str">
        <f>'1. Information samples'!L10</f>
        <v>Order</v>
      </c>
      <c r="M10" s="12" t="str">
        <f>'1. Information samples'!M10</f>
        <v>Functional Group</v>
      </c>
      <c r="N10" s="12" t="str">
        <f>'1. Information samples'!N10</f>
        <v>Batches  CIAT</v>
      </c>
      <c r="O10" s="12" t="str">
        <f>'1. Information samples'!O10</f>
        <v>ID LAB</v>
      </c>
      <c r="P10" s="12" t="s">
        <v>490</v>
      </c>
      <c r="Q10" s="53" t="s">
        <v>493</v>
      </c>
      <c r="R10" s="53" t="s">
        <v>494</v>
      </c>
    </row>
    <row r="11" spans="2:20" x14ac:dyDescent="0.35">
      <c r="B11" s="25">
        <f>'2.1. DM'!B11</f>
        <v>1</v>
      </c>
      <c r="C11" s="25">
        <f>'2.1. DM'!C11</f>
        <v>46041</v>
      </c>
      <c r="D11" s="25" t="str">
        <f>'2.1. DM'!D11</f>
        <v>Genbank</v>
      </c>
      <c r="E11" s="25">
        <f>'2.1. DM'!E11</f>
        <v>27</v>
      </c>
      <c r="F11" s="25" t="str">
        <f>'2.1. DM'!F11</f>
        <v>F251728</v>
      </c>
      <c r="G11" s="25" t="str">
        <f>'2.1. DM'!G11</f>
        <v>CIAT-13262</v>
      </c>
      <c r="H11" s="25" t="str">
        <f>'2.1. DM'!H11</f>
        <v>Dendrolobium</v>
      </c>
      <c r="I11" s="25" t="str">
        <f>'2.1. DM'!I11</f>
        <v>triangulare</v>
      </c>
      <c r="J11" s="25" t="str">
        <f>'2.1. DM'!J11</f>
        <v>Dendrolobium triangulare</v>
      </c>
      <c r="K11" s="25" t="str">
        <f>'2.1. DM'!K11</f>
        <v>Fabaceae</v>
      </c>
      <c r="L11" s="25" t="str">
        <f>'2.1. DM'!L11</f>
        <v>Fabales</v>
      </c>
      <c r="M11" s="25" t="str">
        <f>'2.1. DM'!M11</f>
        <v>Tree</v>
      </c>
      <c r="N11" s="25" t="str">
        <f>'2.1. DM'!N11</f>
        <v>58,59, 69</v>
      </c>
      <c r="O11" s="25" t="str">
        <f>'2.1. DM'!O11</f>
        <v>OT-010 (2025)</v>
      </c>
      <c r="P11" s="292" t="s">
        <v>495</v>
      </c>
      <c r="Q11" s="295">
        <v>47.874993257035051</v>
      </c>
      <c r="R11" s="341">
        <f>AVERAGE(Q11:Q12)</f>
        <v>47.523177057750779</v>
      </c>
    </row>
    <row r="12" spans="2:20" x14ac:dyDescent="0.35">
      <c r="B12" s="25">
        <f>'2.1. DM'!B12</f>
        <v>2</v>
      </c>
      <c r="C12" s="25">
        <f>'2.1. DM'!C12</f>
        <v>46041</v>
      </c>
      <c r="D12" s="25" t="str">
        <f>'2.1. DM'!D12</f>
        <v>Genbank</v>
      </c>
      <c r="E12" s="25">
        <f>'2.1. DM'!E12</f>
        <v>27</v>
      </c>
      <c r="F12" s="25" t="str">
        <f>'2.1. DM'!F12</f>
        <v>F251728</v>
      </c>
      <c r="G12" s="25" t="str">
        <f>'2.1. DM'!G12</f>
        <v>CIAT-13262</v>
      </c>
      <c r="H12" s="25" t="str">
        <f>'2.1. DM'!H12</f>
        <v>Dendrolobium</v>
      </c>
      <c r="I12" s="25" t="str">
        <f>'2.1. DM'!I12</f>
        <v>triangulare</v>
      </c>
      <c r="J12" s="25" t="str">
        <f>'2.1. DM'!J12</f>
        <v>Dendrolobium triangulare</v>
      </c>
      <c r="K12" s="25" t="str">
        <f>'2.1. DM'!K12</f>
        <v>Fabaceae</v>
      </c>
      <c r="L12" s="25" t="str">
        <f>'2.1. DM'!L12</f>
        <v>Fabales</v>
      </c>
      <c r="M12" s="25" t="str">
        <f>'2.1. DM'!M12</f>
        <v>Tree</v>
      </c>
      <c r="N12" s="25" t="str">
        <f>'2.1. DM'!N12</f>
        <v>58,59, 69</v>
      </c>
      <c r="O12" s="25" t="str">
        <f>'2.1. DM'!O12</f>
        <v>OT-010 (2025)</v>
      </c>
      <c r="P12" s="293" t="s">
        <v>496</v>
      </c>
      <c r="Q12" s="295">
        <v>47.171360858466507</v>
      </c>
      <c r="R12" s="341"/>
    </row>
    <row r="13" spans="2:20" x14ac:dyDescent="0.35">
      <c r="B13" s="25">
        <f>'2.1. DM'!B13</f>
        <v>3</v>
      </c>
      <c r="C13" s="25">
        <f>'2.1. DM'!C13</f>
        <v>46041</v>
      </c>
      <c r="D13" s="25" t="str">
        <f>'2.1. DM'!D13</f>
        <v>Genbank</v>
      </c>
      <c r="E13" s="25">
        <f>'2.1. DM'!E13</f>
        <v>27</v>
      </c>
      <c r="F13" s="25" t="str">
        <f>'2.1. DM'!F13</f>
        <v>F251729</v>
      </c>
      <c r="G13" s="25" t="str">
        <f>'2.1. DM'!G13</f>
        <v>CIAT-13528</v>
      </c>
      <c r="H13" s="25" t="str">
        <f>'2.1. DM'!H13</f>
        <v>Dendrolobium</v>
      </c>
      <c r="I13" s="25" t="str">
        <f>'2.1. DM'!I13</f>
        <v>lanceolatum</v>
      </c>
      <c r="J13" s="25" t="str">
        <f>'2.1. DM'!J13</f>
        <v>Dendrolobium lanceolatum</v>
      </c>
      <c r="K13" s="25" t="str">
        <f>'2.1. DM'!K13</f>
        <v>Fabaceae</v>
      </c>
      <c r="L13" s="25" t="str">
        <f>'2.1. DM'!L13</f>
        <v>Fabales</v>
      </c>
      <c r="M13" s="25" t="str">
        <f>'2.1. DM'!M13</f>
        <v>Tree</v>
      </c>
      <c r="N13" s="25" t="str">
        <f>'2.1. DM'!N13</f>
        <v>58,59, 69</v>
      </c>
      <c r="O13" s="25" t="str">
        <f>'2.1. DM'!O13</f>
        <v>OT-010 (2025)</v>
      </c>
      <c r="P13" s="292" t="s">
        <v>495</v>
      </c>
      <c r="Q13" s="295">
        <v>48.312754224691041</v>
      </c>
      <c r="R13" s="341">
        <f>AVERAGE(Q13:Q14)</f>
        <v>48.362187242896454</v>
      </c>
    </row>
    <row r="14" spans="2:20" x14ac:dyDescent="0.35">
      <c r="B14" s="25">
        <f>'2.1. DM'!B14</f>
        <v>4</v>
      </c>
      <c r="C14" s="25">
        <f>'2.1. DM'!C14</f>
        <v>46041</v>
      </c>
      <c r="D14" s="25" t="str">
        <f>'2.1. DM'!D14</f>
        <v>Genbank</v>
      </c>
      <c r="E14" s="25">
        <f>'2.1. DM'!E14</f>
        <v>27</v>
      </c>
      <c r="F14" s="25" t="str">
        <f>'2.1. DM'!F14</f>
        <v>F251729</v>
      </c>
      <c r="G14" s="25" t="str">
        <f>'2.1. DM'!G14</f>
        <v>CIAT-13528</v>
      </c>
      <c r="H14" s="25" t="str">
        <f>'2.1. DM'!H14</f>
        <v>Dendrolobium</v>
      </c>
      <c r="I14" s="25" t="str">
        <f>'2.1. DM'!I14</f>
        <v>lanceolatum</v>
      </c>
      <c r="J14" s="25" t="str">
        <f>'2.1. DM'!J14</f>
        <v>Dendrolobium lanceolatum</v>
      </c>
      <c r="K14" s="25" t="str">
        <f>'2.1. DM'!K14</f>
        <v>Fabaceae</v>
      </c>
      <c r="L14" s="25" t="str">
        <f>'2.1. DM'!L14</f>
        <v>Fabales</v>
      </c>
      <c r="M14" s="25" t="str">
        <f>'2.1. DM'!M14</f>
        <v>Tree</v>
      </c>
      <c r="N14" s="25" t="str">
        <f>'2.1. DM'!N14</f>
        <v>58,59, 69</v>
      </c>
      <c r="O14" s="25" t="str">
        <f>'2.1. DM'!O14</f>
        <v>OT-010 (2025)</v>
      </c>
      <c r="P14" s="293" t="s">
        <v>496</v>
      </c>
      <c r="Q14" s="295">
        <v>48.411620261101874</v>
      </c>
      <c r="R14" s="341"/>
    </row>
    <row r="15" spans="2:20" x14ac:dyDescent="0.35">
      <c r="B15" s="25">
        <f>'2.1. DM'!B15</f>
        <v>5</v>
      </c>
      <c r="C15" s="25">
        <f>'2.1. DM'!C15</f>
        <v>46041</v>
      </c>
      <c r="D15" s="25" t="str">
        <f>'2.1. DM'!D15</f>
        <v>Genbank</v>
      </c>
      <c r="E15" s="25">
        <f>'2.1. DM'!E15</f>
        <v>27</v>
      </c>
      <c r="F15" s="25" t="str">
        <f>'2.1. DM'!F15</f>
        <v>F251730</v>
      </c>
      <c r="G15" s="25" t="str">
        <f>'2.1. DM'!G15</f>
        <v>CIAT-13529</v>
      </c>
      <c r="H15" s="25" t="str">
        <f>'2.1. DM'!H15</f>
        <v>Dendrolobium</v>
      </c>
      <c r="I15" s="25" t="str">
        <f>'2.1. DM'!I15</f>
        <v>triangulare</v>
      </c>
      <c r="J15" s="25" t="str">
        <f>'2.1. DM'!J15</f>
        <v>Dendrolobium triangulare</v>
      </c>
      <c r="K15" s="25" t="str">
        <f>'2.1. DM'!K15</f>
        <v>Fabaceae</v>
      </c>
      <c r="L15" s="25" t="str">
        <f>'2.1. DM'!L15</f>
        <v>Fabales</v>
      </c>
      <c r="M15" s="25" t="str">
        <f>'2.1. DM'!M15</f>
        <v>Tree</v>
      </c>
      <c r="N15" s="25" t="str">
        <f>'2.1. DM'!N15</f>
        <v>58,59, 69</v>
      </c>
      <c r="O15" s="25" t="str">
        <f>'2.1. DM'!O15</f>
        <v>OT-010 (2025)</v>
      </c>
      <c r="P15" s="292" t="s">
        <v>495</v>
      </c>
      <c r="Q15" s="295">
        <v>44.493065843207802</v>
      </c>
      <c r="R15" s="341">
        <f>AVERAGE(Q15:Q16)</f>
        <v>45.328121185749261</v>
      </c>
    </row>
    <row r="16" spans="2:20" x14ac:dyDescent="0.35">
      <c r="B16" s="25">
        <f>'2.1. DM'!B16</f>
        <v>6</v>
      </c>
      <c r="C16" s="25">
        <f>'2.1. DM'!C16</f>
        <v>46041</v>
      </c>
      <c r="D16" s="25" t="str">
        <f>'2.1. DM'!D16</f>
        <v>Genbank</v>
      </c>
      <c r="E16" s="25">
        <f>'2.1. DM'!E16</f>
        <v>27</v>
      </c>
      <c r="F16" s="25" t="str">
        <f>'2.1. DM'!F16</f>
        <v>F251730</v>
      </c>
      <c r="G16" s="25" t="str">
        <f>'2.1. DM'!G16</f>
        <v>CIAT-13529</v>
      </c>
      <c r="H16" s="25" t="str">
        <f>'2.1. DM'!H16</f>
        <v>Dendrolobium</v>
      </c>
      <c r="I16" s="25" t="str">
        <f>'2.1. DM'!I16</f>
        <v>triangulare</v>
      </c>
      <c r="J16" s="25" t="str">
        <f>'2.1. DM'!J16</f>
        <v>Dendrolobium triangulare</v>
      </c>
      <c r="K16" s="25" t="str">
        <f>'2.1. DM'!K16</f>
        <v>Fabaceae</v>
      </c>
      <c r="L16" s="25" t="str">
        <f>'2.1. DM'!L16</f>
        <v>Fabales</v>
      </c>
      <c r="M16" s="25" t="str">
        <f>'2.1. DM'!M16</f>
        <v>Tree</v>
      </c>
      <c r="N16" s="25" t="str">
        <f>'2.1. DM'!N16</f>
        <v>58,59, 69</v>
      </c>
      <c r="O16" s="25" t="str">
        <f>'2.1. DM'!O16</f>
        <v>OT-010 (2025)</v>
      </c>
      <c r="P16" s="293" t="s">
        <v>496</v>
      </c>
      <c r="Q16" s="295">
        <v>46.16317652829072</v>
      </c>
      <c r="R16" s="341"/>
    </row>
    <row r="17" spans="2:18" x14ac:dyDescent="0.35">
      <c r="B17" s="25">
        <f>'2.1. DM'!B17</f>
        <v>7</v>
      </c>
      <c r="C17" s="25">
        <f>'2.1. DM'!C17</f>
        <v>46041</v>
      </c>
      <c r="D17" s="25" t="str">
        <f>'2.1. DM'!D17</f>
        <v>Genbank</v>
      </c>
      <c r="E17" s="25">
        <f>'2.1. DM'!E17</f>
        <v>27</v>
      </c>
      <c r="F17" s="25" t="str">
        <f>'2.1. DM'!F17</f>
        <v>F251731</v>
      </c>
      <c r="G17" s="25" t="str">
        <f>'2.1. DM'!G17</f>
        <v>CIAT-13710</v>
      </c>
      <c r="H17" s="25" t="str">
        <f>'2.1. DM'!H17</f>
        <v>Dendrolobium</v>
      </c>
      <c r="I17" s="25" t="str">
        <f>'2.1. DM'!I17</f>
        <v>lanceolatum</v>
      </c>
      <c r="J17" s="25" t="str">
        <f>'2.1. DM'!J17</f>
        <v>Dendrolobium lanceolatum</v>
      </c>
      <c r="K17" s="25" t="str">
        <f>'2.1. DM'!K17</f>
        <v>Fabaceae</v>
      </c>
      <c r="L17" s="25" t="str">
        <f>'2.1. DM'!L17</f>
        <v>Fabales</v>
      </c>
      <c r="M17" s="25" t="str">
        <f>'2.1. DM'!M17</f>
        <v>Tree</v>
      </c>
      <c r="N17" s="25" t="str">
        <f>'2.1. DM'!N17</f>
        <v>58,59, 69</v>
      </c>
      <c r="O17" s="25" t="str">
        <f>'2.1. DM'!O17</f>
        <v>OT-010 (2025)</v>
      </c>
      <c r="P17" s="292" t="s">
        <v>495</v>
      </c>
      <c r="Q17" s="295">
        <v>53.587566889009054</v>
      </c>
      <c r="R17" s="341">
        <f>AVERAGE(Q17:Q18)</f>
        <v>55.171776839485076</v>
      </c>
    </row>
    <row r="18" spans="2:18" x14ac:dyDescent="0.35">
      <c r="B18" s="25">
        <f>'2.1. DM'!B18</f>
        <v>8</v>
      </c>
      <c r="C18" s="25">
        <f>'2.1. DM'!C18</f>
        <v>46041</v>
      </c>
      <c r="D18" s="25" t="str">
        <f>'2.1. DM'!D18</f>
        <v>Genbank</v>
      </c>
      <c r="E18" s="25">
        <f>'2.1. DM'!E18</f>
        <v>27</v>
      </c>
      <c r="F18" s="25" t="str">
        <f>'2.1. DM'!F18</f>
        <v>F251731</v>
      </c>
      <c r="G18" s="25" t="str">
        <f>'2.1. DM'!G18</f>
        <v>CIAT-13710</v>
      </c>
      <c r="H18" s="25" t="str">
        <f>'2.1. DM'!H18</f>
        <v>Dendrolobium</v>
      </c>
      <c r="I18" s="25" t="str">
        <f>'2.1. DM'!I18</f>
        <v>lanceolatum</v>
      </c>
      <c r="J18" s="25" t="str">
        <f>'2.1. DM'!J18</f>
        <v>Dendrolobium lanceolatum</v>
      </c>
      <c r="K18" s="25" t="str">
        <f>'2.1. DM'!K18</f>
        <v>Fabaceae</v>
      </c>
      <c r="L18" s="25" t="str">
        <f>'2.1. DM'!L18</f>
        <v>Fabales</v>
      </c>
      <c r="M18" s="25" t="str">
        <f>'2.1. DM'!M18</f>
        <v>Tree</v>
      </c>
      <c r="N18" s="25" t="str">
        <f>'2.1. DM'!N18</f>
        <v>58,59, 69</v>
      </c>
      <c r="O18" s="25" t="str">
        <f>'2.1. DM'!O18</f>
        <v>OT-010 (2025)</v>
      </c>
      <c r="P18" s="293" t="s">
        <v>496</v>
      </c>
      <c r="Q18" s="295">
        <v>56.755986789961099</v>
      </c>
      <c r="R18" s="341"/>
    </row>
    <row r="19" spans="2:18" x14ac:dyDescent="0.35">
      <c r="B19" s="25">
        <f>'2.1. DM'!B19</f>
        <v>9</v>
      </c>
      <c r="C19" s="25">
        <f>'2.1. DM'!C19</f>
        <v>46041</v>
      </c>
      <c r="D19" s="25" t="str">
        <f>'2.1. DM'!D19</f>
        <v>Genbank</v>
      </c>
      <c r="E19" s="25">
        <f>'2.1. DM'!E19</f>
        <v>27</v>
      </c>
      <c r="F19" s="25" t="str">
        <f>'2.1. DM'!F19</f>
        <v>F251732</v>
      </c>
      <c r="G19" s="25" t="str">
        <f>'2.1. DM'!G19</f>
        <v>CIAT-22004</v>
      </c>
      <c r="H19" s="25" t="str">
        <f>'2.1. DM'!H19</f>
        <v>Dendrolobium</v>
      </c>
      <c r="I19" s="25" t="str">
        <f>'2.1. DM'!I19</f>
        <v>triangulare</v>
      </c>
      <c r="J19" s="25" t="str">
        <f>'2.1. DM'!J19</f>
        <v>Dendrolobium triangulare</v>
      </c>
      <c r="K19" s="25" t="str">
        <f>'2.1. DM'!K19</f>
        <v>Fabaceae</v>
      </c>
      <c r="L19" s="25" t="str">
        <f>'2.1. DM'!L19</f>
        <v>Fabales</v>
      </c>
      <c r="M19" s="25" t="str">
        <f>'2.1. DM'!M19</f>
        <v>Tree</v>
      </c>
      <c r="N19" s="25" t="str">
        <f>'2.1. DM'!N19</f>
        <v>58,59, 69</v>
      </c>
      <c r="O19" s="25" t="str">
        <f>'2.1. DM'!O19</f>
        <v>OT-010 (2025)</v>
      </c>
      <c r="P19" s="292" t="s">
        <v>495</v>
      </c>
      <c r="Q19" s="295">
        <v>49.288703373375412</v>
      </c>
      <c r="R19" s="341">
        <f>AVERAGE(Q19:Q20)</f>
        <v>49.203135014066248</v>
      </c>
    </row>
    <row r="20" spans="2:18" x14ac:dyDescent="0.35">
      <c r="B20" s="25">
        <f>'2.1. DM'!B20</f>
        <v>10</v>
      </c>
      <c r="C20" s="25">
        <f>'2.1. DM'!C20</f>
        <v>46041</v>
      </c>
      <c r="D20" s="25" t="str">
        <f>'2.1. DM'!D20</f>
        <v>Genbank</v>
      </c>
      <c r="E20" s="25">
        <f>'2.1. DM'!E20</f>
        <v>27</v>
      </c>
      <c r="F20" s="25" t="str">
        <f>'2.1. DM'!F20</f>
        <v>F251732</v>
      </c>
      <c r="G20" s="25" t="str">
        <f>'2.1. DM'!G20</f>
        <v>CIAT-22004</v>
      </c>
      <c r="H20" s="25" t="str">
        <f>'2.1. DM'!H20</f>
        <v>Dendrolobium</v>
      </c>
      <c r="I20" s="25" t="str">
        <f>'2.1. DM'!I20</f>
        <v>triangulare</v>
      </c>
      <c r="J20" s="25" t="str">
        <f>'2.1. DM'!J20</f>
        <v>Dendrolobium triangulare</v>
      </c>
      <c r="K20" s="25" t="str">
        <f>'2.1. DM'!K20</f>
        <v>Fabaceae</v>
      </c>
      <c r="L20" s="25" t="str">
        <f>'2.1. DM'!L20</f>
        <v>Fabales</v>
      </c>
      <c r="M20" s="25" t="str">
        <f>'2.1. DM'!M20</f>
        <v>Tree</v>
      </c>
      <c r="N20" s="25" t="str">
        <f>'2.1. DM'!N20</f>
        <v>58,59, 69</v>
      </c>
      <c r="O20" s="25" t="str">
        <f>'2.1. DM'!O20</f>
        <v>OT-010 (2025)</v>
      </c>
      <c r="P20" s="293" t="s">
        <v>496</v>
      </c>
      <c r="Q20" s="295">
        <v>49.117566654757091</v>
      </c>
      <c r="R20" s="341"/>
    </row>
    <row r="21" spans="2:18" x14ac:dyDescent="0.35">
      <c r="B21" s="25">
        <f>'2.1. DM'!B21</f>
        <v>11</v>
      </c>
      <c r="C21" s="25">
        <f>'2.1. DM'!C21</f>
        <v>46041</v>
      </c>
      <c r="D21" s="25" t="str">
        <f>'2.1. DM'!D21</f>
        <v>Genbank</v>
      </c>
      <c r="E21" s="25">
        <f>'2.1. DM'!E21</f>
        <v>27</v>
      </c>
      <c r="F21" s="25" t="str">
        <f>'2.1. DM'!F21</f>
        <v>F251733</v>
      </c>
      <c r="G21" s="25" t="str">
        <f>'2.1. DM'!G21</f>
        <v>CIAT-23104</v>
      </c>
      <c r="H21" s="25" t="str">
        <f>'2.1. DM'!H21</f>
        <v>Dendrolobium</v>
      </c>
      <c r="I21" s="25" t="str">
        <f>'2.1. DM'!I21</f>
        <v>triangulare</v>
      </c>
      <c r="J21" s="25" t="str">
        <f>'2.1. DM'!J21</f>
        <v>Dendrolobium triangulare</v>
      </c>
      <c r="K21" s="25" t="str">
        <f>'2.1. DM'!K21</f>
        <v>Fabaceae</v>
      </c>
      <c r="L21" s="25" t="str">
        <f>'2.1. DM'!L21</f>
        <v>Fabales</v>
      </c>
      <c r="M21" s="25" t="str">
        <f>'2.1. DM'!M21</f>
        <v>Tree</v>
      </c>
      <c r="N21" s="25" t="str">
        <f>'2.1. DM'!N21</f>
        <v>58,59, 69</v>
      </c>
      <c r="O21" s="25" t="str">
        <f>'2.1. DM'!O21</f>
        <v>OT-010 (2025)</v>
      </c>
      <c r="P21" s="292" t="s">
        <v>495</v>
      </c>
      <c r="Q21" s="295">
        <v>55.829591289909239</v>
      </c>
      <c r="R21" s="341">
        <f>AVERAGE(Q21:Q22)</f>
        <v>57.005039033422221</v>
      </c>
    </row>
    <row r="22" spans="2:18" x14ac:dyDescent="0.35">
      <c r="B22" s="25">
        <f>'2.1. DM'!B22</f>
        <v>12</v>
      </c>
      <c r="C22" s="25">
        <f>'2.1. DM'!C22</f>
        <v>46041</v>
      </c>
      <c r="D22" s="25" t="str">
        <f>'2.1. DM'!D22</f>
        <v>Genbank</v>
      </c>
      <c r="E22" s="25">
        <f>'2.1. DM'!E22</f>
        <v>27</v>
      </c>
      <c r="F22" s="25" t="str">
        <f>'2.1. DM'!F22</f>
        <v>F251733</v>
      </c>
      <c r="G22" s="25" t="str">
        <f>'2.1. DM'!G22</f>
        <v>CIAT-23104</v>
      </c>
      <c r="H22" s="25" t="str">
        <f>'2.1. DM'!H22</f>
        <v>Dendrolobium</v>
      </c>
      <c r="I22" s="25" t="str">
        <f>'2.1. DM'!I22</f>
        <v>triangulare</v>
      </c>
      <c r="J22" s="25" t="str">
        <f>'2.1. DM'!J22</f>
        <v>Dendrolobium triangulare</v>
      </c>
      <c r="K22" s="25" t="str">
        <f>'2.1. DM'!K22</f>
        <v>Fabaceae</v>
      </c>
      <c r="L22" s="25" t="str">
        <f>'2.1. DM'!L22</f>
        <v>Fabales</v>
      </c>
      <c r="M22" s="25" t="str">
        <f>'2.1. DM'!M22</f>
        <v>Tree</v>
      </c>
      <c r="N22" s="25" t="str">
        <f>'2.1. DM'!N22</f>
        <v>58,59, 69</v>
      </c>
      <c r="O22" s="25" t="str">
        <f>'2.1. DM'!O22</f>
        <v>OT-010 (2025)</v>
      </c>
      <c r="P22" s="293" t="s">
        <v>496</v>
      </c>
      <c r="Q22" s="295">
        <v>58.180486776935211</v>
      </c>
      <c r="R22" s="341"/>
    </row>
    <row r="23" spans="2:18" x14ac:dyDescent="0.35">
      <c r="B23" s="25">
        <f>'2.1. DM'!B23</f>
        <v>13</v>
      </c>
      <c r="C23" s="25">
        <f>'2.1. DM'!C23</f>
        <v>46041</v>
      </c>
      <c r="D23" s="25" t="str">
        <f>'2.1. DM'!D23</f>
        <v>Genbank</v>
      </c>
      <c r="E23" s="25">
        <f>'2.1. DM'!E23</f>
        <v>27</v>
      </c>
      <c r="F23" s="25" t="str">
        <f>'2.1. DM'!F23</f>
        <v>F251734</v>
      </c>
      <c r="G23" s="25" t="str">
        <f>'2.1. DM'!G23</f>
        <v>CIAT-23106</v>
      </c>
      <c r="H23" s="25" t="str">
        <f>'2.1. DM'!H23</f>
        <v>Dendrolobium</v>
      </c>
      <c r="I23" s="25" t="str">
        <f>'2.1. DM'!I23</f>
        <v>triangulare</v>
      </c>
      <c r="J23" s="25" t="str">
        <f>'2.1. DM'!J23</f>
        <v>Dendrolobium triangulare</v>
      </c>
      <c r="K23" s="25" t="str">
        <f>'2.1. DM'!K23</f>
        <v>Fabaceae</v>
      </c>
      <c r="L23" s="25" t="str">
        <f>'2.1. DM'!L23</f>
        <v>Fabales</v>
      </c>
      <c r="M23" s="25" t="str">
        <f>'2.1. DM'!M23</f>
        <v>Tree</v>
      </c>
      <c r="N23" s="25" t="str">
        <f>'2.1. DM'!N23</f>
        <v>58,59, 69</v>
      </c>
      <c r="O23" s="25" t="str">
        <f>'2.1. DM'!O23</f>
        <v>OT-010 (2025)</v>
      </c>
      <c r="P23" s="292" t="s">
        <v>495</v>
      </c>
      <c r="Q23" s="295">
        <v>56.170695531436941</v>
      </c>
      <c r="R23" s="341">
        <f>AVERAGE(Q23:Q24)</f>
        <v>55.750984880021235</v>
      </c>
    </row>
    <row r="24" spans="2:18" x14ac:dyDescent="0.35">
      <c r="B24" s="25">
        <f>'2.1. DM'!B24</f>
        <v>14</v>
      </c>
      <c r="C24" s="25">
        <f>'2.1. DM'!C24</f>
        <v>46041</v>
      </c>
      <c r="D24" s="25" t="str">
        <f>'2.1. DM'!D24</f>
        <v>Genbank</v>
      </c>
      <c r="E24" s="25">
        <f>'2.1. DM'!E24</f>
        <v>27</v>
      </c>
      <c r="F24" s="25" t="str">
        <f>'2.1. DM'!F24</f>
        <v>F251734</v>
      </c>
      <c r="G24" s="25" t="str">
        <f>'2.1. DM'!G24</f>
        <v>CIAT-23106</v>
      </c>
      <c r="H24" s="25" t="str">
        <f>'2.1. DM'!H24</f>
        <v>Dendrolobium</v>
      </c>
      <c r="I24" s="25" t="str">
        <f>'2.1. DM'!I24</f>
        <v>triangulare</v>
      </c>
      <c r="J24" s="25" t="str">
        <f>'2.1. DM'!J24</f>
        <v>Dendrolobium triangulare</v>
      </c>
      <c r="K24" s="25" t="str">
        <f>'2.1. DM'!K24</f>
        <v>Fabaceae</v>
      </c>
      <c r="L24" s="25" t="str">
        <f>'2.1. DM'!L24</f>
        <v>Fabales</v>
      </c>
      <c r="M24" s="25" t="str">
        <f>'2.1. DM'!M24</f>
        <v>Tree</v>
      </c>
      <c r="N24" s="25" t="str">
        <f>'2.1. DM'!N24</f>
        <v>58,59, 69</v>
      </c>
      <c r="O24" s="25" t="str">
        <f>'2.1. DM'!O24</f>
        <v>OT-010 (2025)</v>
      </c>
      <c r="P24" s="293" t="s">
        <v>496</v>
      </c>
      <c r="Q24" s="295">
        <v>55.331274228605523</v>
      </c>
      <c r="R24" s="341"/>
    </row>
    <row r="25" spans="2:18" x14ac:dyDescent="0.35">
      <c r="B25" s="25">
        <f>'2.1. DM'!B25</f>
        <v>15</v>
      </c>
      <c r="C25" s="25">
        <f>'2.1. DM'!C25</f>
        <v>46041</v>
      </c>
      <c r="D25" s="25" t="str">
        <f>'2.1. DM'!D25</f>
        <v>Genbank</v>
      </c>
      <c r="E25" s="25">
        <f>'2.1. DM'!E25</f>
        <v>27</v>
      </c>
      <c r="F25" s="25" t="str">
        <f>'2.1. DM'!F25</f>
        <v>F251735</v>
      </c>
      <c r="G25" s="25" t="str">
        <f>'2.1. DM'!G25</f>
        <v>CIAT-23107</v>
      </c>
      <c r="H25" s="25" t="str">
        <f>'2.1. DM'!H25</f>
        <v>Dendrolobium</v>
      </c>
      <c r="I25" s="25" t="str">
        <f>'2.1. DM'!I25</f>
        <v>triangulare</v>
      </c>
      <c r="J25" s="25" t="str">
        <f>'2.1. DM'!J25</f>
        <v>Dendrolobium triangulare</v>
      </c>
      <c r="K25" s="25" t="str">
        <f>'2.1. DM'!K25</f>
        <v>Fabaceae</v>
      </c>
      <c r="L25" s="25" t="str">
        <f>'2.1. DM'!L25</f>
        <v>Fabales</v>
      </c>
      <c r="M25" s="25" t="str">
        <f>'2.1. DM'!M25</f>
        <v>Tree</v>
      </c>
      <c r="N25" s="25" t="str">
        <f>'2.1. DM'!N25</f>
        <v>58,59, 69</v>
      </c>
      <c r="O25" s="25" t="str">
        <f>'2.1. DM'!O25</f>
        <v>OT-010 (2025)</v>
      </c>
      <c r="P25" s="292" t="s">
        <v>495</v>
      </c>
      <c r="Q25" s="295">
        <v>51.066965583557888</v>
      </c>
      <c r="R25" s="341">
        <f>AVERAGE(Q25:Q26)</f>
        <v>51.070861809657387</v>
      </c>
    </row>
    <row r="26" spans="2:18" x14ac:dyDescent="0.35">
      <c r="B26" s="25">
        <f>'2.1. DM'!B26</f>
        <v>16</v>
      </c>
      <c r="C26" s="25">
        <f>'2.1. DM'!C26</f>
        <v>46041</v>
      </c>
      <c r="D26" s="25" t="str">
        <f>'2.1. DM'!D26</f>
        <v>Genbank</v>
      </c>
      <c r="E26" s="25">
        <f>'2.1. DM'!E26</f>
        <v>27</v>
      </c>
      <c r="F26" s="25" t="str">
        <f>'2.1. DM'!F26</f>
        <v>F251735</v>
      </c>
      <c r="G26" s="25" t="str">
        <f>'2.1. DM'!G26</f>
        <v>CIAT-23107</v>
      </c>
      <c r="H26" s="25" t="str">
        <f>'2.1. DM'!H26</f>
        <v>Dendrolobium</v>
      </c>
      <c r="I26" s="25" t="str">
        <f>'2.1. DM'!I26</f>
        <v>triangulare</v>
      </c>
      <c r="J26" s="25" t="str">
        <f>'2.1. DM'!J26</f>
        <v>Dendrolobium triangulare</v>
      </c>
      <c r="K26" s="25" t="str">
        <f>'2.1. DM'!K26</f>
        <v>Fabaceae</v>
      </c>
      <c r="L26" s="25" t="str">
        <f>'2.1. DM'!L26</f>
        <v>Fabales</v>
      </c>
      <c r="M26" s="25" t="str">
        <f>'2.1. DM'!M26</f>
        <v>Tree</v>
      </c>
      <c r="N26" s="25" t="str">
        <f>'2.1. DM'!N26</f>
        <v>58,59, 69</v>
      </c>
      <c r="O26" s="25" t="str">
        <f>'2.1. DM'!O26</f>
        <v>OT-010 (2025)</v>
      </c>
      <c r="P26" s="293" t="s">
        <v>496</v>
      </c>
      <c r="Q26" s="295">
        <v>51.074758035756894</v>
      </c>
      <c r="R26" s="341"/>
    </row>
    <row r="27" spans="2:18" x14ac:dyDescent="0.35">
      <c r="B27" s="25">
        <f>'2.1. DM'!B27</f>
        <v>17</v>
      </c>
      <c r="C27" s="25">
        <f>'2.1. DM'!C27</f>
        <v>46041</v>
      </c>
      <c r="D27" s="25" t="str">
        <f>'2.1. DM'!D27</f>
        <v>Genbank</v>
      </c>
      <c r="E27" s="25">
        <f>'2.1. DM'!E27</f>
        <v>27</v>
      </c>
      <c r="F27" s="25" t="str">
        <f>'2.1. DM'!F27</f>
        <v>F251736</v>
      </c>
      <c r="G27" s="25" t="str">
        <f>'2.1. DM'!G27</f>
        <v>CIAT-23108</v>
      </c>
      <c r="H27" s="25" t="str">
        <f>'2.1. DM'!H27</f>
        <v>Dendrolobium</v>
      </c>
      <c r="I27" s="25" t="str">
        <f>'2.1. DM'!I27</f>
        <v>triangulare</v>
      </c>
      <c r="J27" s="25" t="str">
        <f>'2.1. DM'!J27</f>
        <v>Dendrolobium triangulare</v>
      </c>
      <c r="K27" s="25" t="str">
        <f>'2.1. DM'!K27</f>
        <v>Fabaceae</v>
      </c>
      <c r="L27" s="25" t="str">
        <f>'2.1. DM'!L27</f>
        <v>Fabales</v>
      </c>
      <c r="M27" s="25" t="str">
        <f>'2.1. DM'!M27</f>
        <v>Tree</v>
      </c>
      <c r="N27" s="25" t="str">
        <f>'2.1. DM'!N27</f>
        <v>58,59, 69</v>
      </c>
      <c r="O27" s="25" t="str">
        <f>'2.1. DM'!O27</f>
        <v>OT-010 (2025)</v>
      </c>
      <c r="P27" s="292" t="s">
        <v>495</v>
      </c>
      <c r="Q27" s="295">
        <v>58.313248197392156</v>
      </c>
      <c r="R27" s="341">
        <f>AVERAGE(Q27:Q28)</f>
        <v>58.167411455478486</v>
      </c>
    </row>
    <row r="28" spans="2:18" x14ac:dyDescent="0.35">
      <c r="B28" s="25">
        <f>'2.1. DM'!B28</f>
        <v>18</v>
      </c>
      <c r="C28" s="25">
        <f>'2.1. DM'!C28</f>
        <v>46041</v>
      </c>
      <c r="D28" s="25" t="str">
        <f>'2.1. DM'!D28</f>
        <v>Genbank</v>
      </c>
      <c r="E28" s="25">
        <f>'2.1. DM'!E28</f>
        <v>27</v>
      </c>
      <c r="F28" s="25" t="str">
        <f>'2.1. DM'!F28</f>
        <v>F251736</v>
      </c>
      <c r="G28" s="25" t="str">
        <f>'2.1. DM'!G28</f>
        <v>CIAT-23108</v>
      </c>
      <c r="H28" s="25" t="str">
        <f>'2.1. DM'!H28</f>
        <v>Dendrolobium</v>
      </c>
      <c r="I28" s="25" t="str">
        <f>'2.1. DM'!I28</f>
        <v>triangulare</v>
      </c>
      <c r="J28" s="25" t="str">
        <f>'2.1. DM'!J28</f>
        <v>Dendrolobium triangulare</v>
      </c>
      <c r="K28" s="25" t="str">
        <f>'2.1. DM'!K28</f>
        <v>Fabaceae</v>
      </c>
      <c r="L28" s="25" t="str">
        <f>'2.1. DM'!L28</f>
        <v>Fabales</v>
      </c>
      <c r="M28" s="25" t="str">
        <f>'2.1. DM'!M28</f>
        <v>Tree</v>
      </c>
      <c r="N28" s="25" t="str">
        <f>'2.1. DM'!N28</f>
        <v>58,59, 69</v>
      </c>
      <c r="O28" s="25" t="str">
        <f>'2.1. DM'!O28</f>
        <v>OT-010 (2025)</v>
      </c>
      <c r="P28" s="293" t="s">
        <v>496</v>
      </c>
      <c r="Q28" s="295">
        <v>58.021574713564817</v>
      </c>
      <c r="R28" s="341"/>
    </row>
    <row r="29" spans="2:18" x14ac:dyDescent="0.35">
      <c r="B29" s="25">
        <f>'2.1. DM'!B29</f>
        <v>19</v>
      </c>
      <c r="C29" s="25">
        <f>'2.1. DM'!C29</f>
        <v>46041</v>
      </c>
      <c r="D29" s="25" t="str">
        <f>'2.1. DM'!D29</f>
        <v>Genbank</v>
      </c>
      <c r="E29" s="25">
        <f>'2.1. DM'!E29</f>
        <v>27</v>
      </c>
      <c r="F29" s="25" t="str">
        <f>'2.1. DM'!F29</f>
        <v>F251737</v>
      </c>
      <c r="G29" s="25" t="str">
        <f>'2.1. DM'!G29</f>
        <v>CIAT-23412</v>
      </c>
      <c r="H29" s="25" t="str">
        <f>'2.1. DM'!H29</f>
        <v>Dendrolobium</v>
      </c>
      <c r="I29" s="25" t="str">
        <f>'2.1. DM'!I29</f>
        <v>triangulare</v>
      </c>
      <c r="J29" s="25" t="str">
        <f>'2.1. DM'!J29</f>
        <v>Dendrolobium triangulare</v>
      </c>
      <c r="K29" s="25" t="str">
        <f>'2.1. DM'!K29</f>
        <v>Fabaceae</v>
      </c>
      <c r="L29" s="25" t="str">
        <f>'2.1. DM'!L29</f>
        <v>Fabales</v>
      </c>
      <c r="M29" s="25" t="str">
        <f>'2.1. DM'!M29</f>
        <v>Tree</v>
      </c>
      <c r="N29" s="25" t="str">
        <f>'2.1. DM'!N29</f>
        <v>58,59, 69</v>
      </c>
      <c r="O29" s="25" t="str">
        <f>'2.1. DM'!O29</f>
        <v>OT-010 (2025)</v>
      </c>
      <c r="P29" s="292" t="s">
        <v>495</v>
      </c>
      <c r="Q29" s="295">
        <v>49.559882982686091</v>
      </c>
      <c r="R29" s="341">
        <f>AVERAGE(Q29:Q30)</f>
        <v>50.977070074497377</v>
      </c>
    </row>
    <row r="30" spans="2:18" x14ac:dyDescent="0.35">
      <c r="B30" s="25">
        <f>'2.1. DM'!B30</f>
        <v>20</v>
      </c>
      <c r="C30" s="25">
        <f>'2.1. DM'!C30</f>
        <v>46041</v>
      </c>
      <c r="D30" s="25" t="str">
        <f>'2.1. DM'!D30</f>
        <v>Genbank</v>
      </c>
      <c r="E30" s="25">
        <f>'2.1. DM'!E30</f>
        <v>27</v>
      </c>
      <c r="F30" s="25" t="str">
        <f>'2.1. DM'!F30</f>
        <v>F251737</v>
      </c>
      <c r="G30" s="25" t="str">
        <f>'2.1. DM'!G30</f>
        <v>CIAT-23412</v>
      </c>
      <c r="H30" s="25" t="str">
        <f>'2.1. DM'!H30</f>
        <v>Dendrolobium</v>
      </c>
      <c r="I30" s="25" t="str">
        <f>'2.1. DM'!I30</f>
        <v>triangulare</v>
      </c>
      <c r="J30" s="25" t="str">
        <f>'2.1. DM'!J30</f>
        <v>Dendrolobium triangulare</v>
      </c>
      <c r="K30" s="25" t="str">
        <f>'2.1. DM'!K30</f>
        <v>Fabaceae</v>
      </c>
      <c r="L30" s="25" t="str">
        <f>'2.1. DM'!L30</f>
        <v>Fabales</v>
      </c>
      <c r="M30" s="25" t="str">
        <f>'2.1. DM'!M30</f>
        <v>Tree</v>
      </c>
      <c r="N30" s="25" t="str">
        <f>'2.1. DM'!N30</f>
        <v>58,59, 69</v>
      </c>
      <c r="O30" s="25" t="str">
        <f>'2.1. DM'!O30</f>
        <v>OT-010 (2025)</v>
      </c>
      <c r="P30" s="293" t="s">
        <v>496</v>
      </c>
      <c r="Q30" s="295">
        <v>52.394257166308655</v>
      </c>
      <c r="R30" s="341"/>
    </row>
    <row r="31" spans="2:18" x14ac:dyDescent="0.35">
      <c r="B31" s="25">
        <f>'2.1. DM'!B31</f>
        <v>21</v>
      </c>
      <c r="C31" s="25">
        <f>'2.1. DM'!C31</f>
        <v>46041</v>
      </c>
      <c r="D31" s="25" t="str">
        <f>'2.1. DM'!D31</f>
        <v>Genbank</v>
      </c>
      <c r="E31" s="25">
        <f>'2.1. DM'!E31</f>
        <v>27</v>
      </c>
      <c r="F31" s="25" t="str">
        <f>'2.1. DM'!F31</f>
        <v>F251738</v>
      </c>
      <c r="G31" s="25" t="str">
        <f>'2.1. DM'!G31</f>
        <v>CIAT-23413</v>
      </c>
      <c r="H31" s="25" t="str">
        <f>'2.1. DM'!H31</f>
        <v>Dendrolobium</v>
      </c>
      <c r="I31" s="25" t="str">
        <f>'2.1. DM'!I31</f>
        <v>triangulare</v>
      </c>
      <c r="J31" s="25" t="str">
        <f>'2.1. DM'!J31</f>
        <v>Dendrolobium triangulare</v>
      </c>
      <c r="K31" s="25" t="str">
        <f>'2.1. DM'!K31</f>
        <v>Fabaceae</v>
      </c>
      <c r="L31" s="25" t="str">
        <f>'2.1. DM'!L31</f>
        <v>Fabales</v>
      </c>
      <c r="M31" s="25" t="str">
        <f>'2.1. DM'!M31</f>
        <v>Tree</v>
      </c>
      <c r="N31" s="25" t="str">
        <f>'2.1. DM'!N31</f>
        <v>58,59, 69</v>
      </c>
      <c r="O31" s="25" t="str">
        <f>'2.1. DM'!O31</f>
        <v>OT-010 (2025)</v>
      </c>
      <c r="P31" s="292" t="s">
        <v>495</v>
      </c>
      <c r="Q31" s="295">
        <v>53.27133251114968</v>
      </c>
      <c r="R31" s="341">
        <f t="shared" ref="R31" si="0">AVERAGE(Q31:Q32)</f>
        <v>54.591146532301323</v>
      </c>
    </row>
    <row r="32" spans="2:18" x14ac:dyDescent="0.35">
      <c r="B32" s="25">
        <f>'2.1. DM'!B32</f>
        <v>22</v>
      </c>
      <c r="C32" s="25">
        <f>'2.1. DM'!C32</f>
        <v>46041</v>
      </c>
      <c r="D32" s="25" t="str">
        <f>'2.1. DM'!D32</f>
        <v>Genbank</v>
      </c>
      <c r="E32" s="25">
        <f>'2.1. DM'!E32</f>
        <v>27</v>
      </c>
      <c r="F32" s="25" t="str">
        <f>'2.1. DM'!F32</f>
        <v>F251738</v>
      </c>
      <c r="G32" s="25" t="str">
        <f>'2.1. DM'!G32</f>
        <v>CIAT-23413</v>
      </c>
      <c r="H32" s="25" t="str">
        <f>'2.1. DM'!H32</f>
        <v>Dendrolobium</v>
      </c>
      <c r="I32" s="25" t="str">
        <f>'2.1. DM'!I32</f>
        <v>triangulare</v>
      </c>
      <c r="J32" s="25" t="str">
        <f>'2.1. DM'!J32</f>
        <v>Dendrolobium triangulare</v>
      </c>
      <c r="K32" s="25" t="str">
        <f>'2.1. DM'!K32</f>
        <v>Fabaceae</v>
      </c>
      <c r="L32" s="25" t="str">
        <f>'2.1. DM'!L32</f>
        <v>Fabales</v>
      </c>
      <c r="M32" s="25" t="str">
        <f>'2.1. DM'!M32</f>
        <v>Tree</v>
      </c>
      <c r="N32" s="25" t="str">
        <f>'2.1. DM'!N32</f>
        <v>58,59, 69</v>
      </c>
      <c r="O32" s="25" t="str">
        <f>'2.1. DM'!O32</f>
        <v>OT-010 (2025)</v>
      </c>
      <c r="P32" s="293" t="s">
        <v>496</v>
      </c>
      <c r="Q32" s="295">
        <v>55.910960553452973</v>
      </c>
      <c r="R32" s="341"/>
    </row>
    <row r="33" spans="2:18" x14ac:dyDescent="0.35">
      <c r="B33" s="25">
        <f>'2.1. DM'!B33</f>
        <v>23</v>
      </c>
      <c r="C33" s="25">
        <f>'2.1. DM'!C33</f>
        <v>46041</v>
      </c>
      <c r="D33" s="25" t="str">
        <f>'2.1. DM'!D33</f>
        <v>Genbank</v>
      </c>
      <c r="E33" s="25">
        <f>'2.1. DM'!E33</f>
        <v>27</v>
      </c>
      <c r="F33" s="25" t="str">
        <f>'2.1. DM'!F33</f>
        <v>F251739</v>
      </c>
      <c r="G33" s="25" t="str">
        <f>'2.1. DM'!G33</f>
        <v>CIAT-23419</v>
      </c>
      <c r="H33" s="25" t="str">
        <f>'2.1. DM'!H33</f>
        <v>Dendrolobium</v>
      </c>
      <c r="I33" s="25" t="str">
        <f>'2.1. DM'!I33</f>
        <v>triangulare</v>
      </c>
      <c r="J33" s="25" t="str">
        <f>'2.1. DM'!J33</f>
        <v>Dendrolobium triangulare</v>
      </c>
      <c r="K33" s="25" t="str">
        <f>'2.1. DM'!K33</f>
        <v>Fabaceae</v>
      </c>
      <c r="L33" s="25" t="str">
        <f>'2.1. DM'!L33</f>
        <v>Fabales</v>
      </c>
      <c r="M33" s="25" t="str">
        <f>'2.1. DM'!M33</f>
        <v>Tree</v>
      </c>
      <c r="N33" s="25" t="str">
        <f>'2.1. DM'!N33</f>
        <v>58,59, 69</v>
      </c>
      <c r="O33" s="25" t="str">
        <f>'2.1. DM'!O33</f>
        <v>OT-010 (2025)</v>
      </c>
      <c r="P33" s="292" t="s">
        <v>495</v>
      </c>
      <c r="Q33" s="295">
        <v>56.136356269671239</v>
      </c>
      <c r="R33" s="341">
        <f t="shared" ref="R33" si="1">AVERAGE(Q33:Q34)</f>
        <v>56.434424137767706</v>
      </c>
    </row>
    <row r="34" spans="2:18" x14ac:dyDescent="0.35">
      <c r="B34" s="25">
        <f>'2.1. DM'!B34</f>
        <v>24</v>
      </c>
      <c r="C34" s="25">
        <f>'2.1. DM'!C34</f>
        <v>46041</v>
      </c>
      <c r="D34" s="25" t="str">
        <f>'2.1. DM'!D34</f>
        <v>Genbank</v>
      </c>
      <c r="E34" s="25">
        <f>'2.1. DM'!E34</f>
        <v>27</v>
      </c>
      <c r="F34" s="25" t="str">
        <f>'2.1. DM'!F34</f>
        <v>F251739</v>
      </c>
      <c r="G34" s="25" t="str">
        <f>'2.1. DM'!G34</f>
        <v>CIAT-23419</v>
      </c>
      <c r="H34" s="25" t="str">
        <f>'2.1. DM'!H34</f>
        <v>Dendrolobium</v>
      </c>
      <c r="I34" s="25" t="str">
        <f>'2.1. DM'!I34</f>
        <v>triangulare</v>
      </c>
      <c r="J34" s="25" t="str">
        <f>'2.1. DM'!J34</f>
        <v>Dendrolobium triangulare</v>
      </c>
      <c r="K34" s="25" t="str">
        <f>'2.1. DM'!K34</f>
        <v>Fabaceae</v>
      </c>
      <c r="L34" s="25" t="str">
        <f>'2.1. DM'!L34</f>
        <v>Fabales</v>
      </c>
      <c r="M34" s="25" t="str">
        <f>'2.1. DM'!M34</f>
        <v>Tree</v>
      </c>
      <c r="N34" s="25" t="str">
        <f>'2.1. DM'!N34</f>
        <v>58,59, 69</v>
      </c>
      <c r="O34" s="25" t="str">
        <f>'2.1. DM'!O34</f>
        <v>OT-010 (2025)</v>
      </c>
      <c r="P34" s="293" t="s">
        <v>496</v>
      </c>
      <c r="Q34" s="295">
        <v>56.732492005864174</v>
      </c>
      <c r="R34" s="341"/>
    </row>
    <row r="35" spans="2:18" x14ac:dyDescent="0.35">
      <c r="B35" s="25">
        <f>'2.1. DM'!B35</f>
        <v>25</v>
      </c>
      <c r="C35" s="25">
        <f>'2.1. DM'!C35</f>
        <v>46041</v>
      </c>
      <c r="D35" s="25" t="str">
        <f>'2.1. DM'!D35</f>
        <v>Genbank</v>
      </c>
      <c r="E35" s="25">
        <f>'2.1. DM'!E35</f>
        <v>27</v>
      </c>
      <c r="F35" s="25" t="str">
        <f>'2.1. DM'!F35</f>
        <v>F251740</v>
      </c>
      <c r="G35" s="25" t="str">
        <f>'2.1. DM'!G35</f>
        <v>CIAT-23422</v>
      </c>
      <c r="H35" s="25" t="str">
        <f>'2.1. DM'!H35</f>
        <v>Dendrolobium</v>
      </c>
      <c r="I35" s="25" t="str">
        <f>'2.1. DM'!I35</f>
        <v>triangulare</v>
      </c>
      <c r="J35" s="25" t="str">
        <f>'2.1. DM'!J35</f>
        <v>Dendrolobium triangulare</v>
      </c>
      <c r="K35" s="25" t="str">
        <f>'2.1. DM'!K35</f>
        <v>Fabaceae</v>
      </c>
      <c r="L35" s="25" t="str">
        <f>'2.1. DM'!L35</f>
        <v>Fabales</v>
      </c>
      <c r="M35" s="25" t="str">
        <f>'2.1. DM'!M35</f>
        <v>Tree</v>
      </c>
      <c r="N35" s="25" t="str">
        <f>'2.1. DM'!N35</f>
        <v>58,59, 69</v>
      </c>
      <c r="O35" s="25" t="str">
        <f>'2.1. DM'!O35</f>
        <v>OT-010 (2025)</v>
      </c>
      <c r="P35" s="292" t="s">
        <v>495</v>
      </c>
      <c r="Q35" s="295">
        <v>52.996015334494828</v>
      </c>
      <c r="R35" s="341">
        <f t="shared" ref="R35" si="2">AVERAGE(Q35:Q36)</f>
        <v>54.629756108743862</v>
      </c>
    </row>
    <row r="36" spans="2:18" x14ac:dyDescent="0.35">
      <c r="B36" s="25">
        <f>'2.1. DM'!B36</f>
        <v>26</v>
      </c>
      <c r="C36" s="25">
        <f>'2.1. DM'!C36</f>
        <v>46041</v>
      </c>
      <c r="D36" s="25" t="str">
        <f>'2.1. DM'!D36</f>
        <v>Genbank</v>
      </c>
      <c r="E36" s="25">
        <f>'2.1. DM'!E36</f>
        <v>27</v>
      </c>
      <c r="F36" s="25" t="str">
        <f>'2.1. DM'!F36</f>
        <v>F251740</v>
      </c>
      <c r="G36" s="25" t="str">
        <f>'2.1. DM'!G36</f>
        <v>CIAT-23422</v>
      </c>
      <c r="H36" s="25" t="str">
        <f>'2.1. DM'!H36</f>
        <v>Dendrolobium</v>
      </c>
      <c r="I36" s="25" t="str">
        <f>'2.1. DM'!I36</f>
        <v>triangulare</v>
      </c>
      <c r="J36" s="25" t="str">
        <f>'2.1. DM'!J36</f>
        <v>Dendrolobium triangulare</v>
      </c>
      <c r="K36" s="25" t="str">
        <f>'2.1. DM'!K36</f>
        <v>Fabaceae</v>
      </c>
      <c r="L36" s="25" t="str">
        <f>'2.1. DM'!L36</f>
        <v>Fabales</v>
      </c>
      <c r="M36" s="25" t="str">
        <f>'2.1. DM'!M36</f>
        <v>Tree</v>
      </c>
      <c r="N36" s="25" t="str">
        <f>'2.1. DM'!N36</f>
        <v>58,59, 69</v>
      </c>
      <c r="O36" s="25" t="str">
        <f>'2.1. DM'!O36</f>
        <v>OT-010 (2025)</v>
      </c>
      <c r="P36" s="293" t="s">
        <v>496</v>
      </c>
      <c r="Q36" s="295">
        <v>56.263496882992889</v>
      </c>
      <c r="R36" s="341"/>
    </row>
    <row r="37" spans="2:18" x14ac:dyDescent="0.35">
      <c r="B37" s="25">
        <f>'2.1. DM'!B37</f>
        <v>27</v>
      </c>
      <c r="C37" s="25">
        <f>'2.1. DM'!C37</f>
        <v>46041</v>
      </c>
      <c r="D37" s="25" t="str">
        <f>'2.1. DM'!D37</f>
        <v>Genbank</v>
      </c>
      <c r="E37" s="25">
        <f>'2.1. DM'!E37</f>
        <v>27</v>
      </c>
      <c r="F37" s="25" t="str">
        <f>'2.1. DM'!F37</f>
        <v>F251741</v>
      </c>
      <c r="G37" s="25" t="str">
        <f>'2.1. DM'!G37</f>
        <v>CIAT-23734</v>
      </c>
      <c r="H37" s="25" t="str">
        <f>'2.1. DM'!H37</f>
        <v>Dendrolobium</v>
      </c>
      <c r="I37" s="25" t="str">
        <f>'2.1. DM'!I37</f>
        <v>triangulare</v>
      </c>
      <c r="J37" s="25" t="str">
        <f>'2.1. DM'!J37</f>
        <v>Dendrolobium triangulare</v>
      </c>
      <c r="K37" s="25" t="str">
        <f>'2.1. DM'!K37</f>
        <v>Fabaceae</v>
      </c>
      <c r="L37" s="25" t="str">
        <f>'2.1. DM'!L37</f>
        <v>Fabales</v>
      </c>
      <c r="M37" s="25" t="str">
        <f>'2.1. DM'!M37</f>
        <v>Tree</v>
      </c>
      <c r="N37" s="25" t="str">
        <f>'2.1. DM'!N37</f>
        <v>58,59, 69</v>
      </c>
      <c r="O37" s="25" t="str">
        <f>'2.1. DM'!O37</f>
        <v>OT-010 (2025)</v>
      </c>
      <c r="P37" s="292" t="s">
        <v>495</v>
      </c>
      <c r="Q37" s="295">
        <v>46.542857848730677</v>
      </c>
      <c r="R37" s="341">
        <f t="shared" ref="R37" si="3">AVERAGE(Q37:Q38)</f>
        <v>47.219601144823621</v>
      </c>
    </row>
    <row r="38" spans="2:18" x14ac:dyDescent="0.35">
      <c r="B38" s="25">
        <f>'2.1. DM'!B38</f>
        <v>28</v>
      </c>
      <c r="C38" s="25">
        <f>'2.1. DM'!C38</f>
        <v>46041</v>
      </c>
      <c r="D38" s="25" t="str">
        <f>'2.1. DM'!D38</f>
        <v>Genbank</v>
      </c>
      <c r="E38" s="25">
        <f>'2.1. DM'!E38</f>
        <v>27</v>
      </c>
      <c r="F38" s="25" t="str">
        <f>'2.1. DM'!F38</f>
        <v>F251741</v>
      </c>
      <c r="G38" s="25" t="str">
        <f>'2.1. DM'!G38</f>
        <v>CIAT-23734</v>
      </c>
      <c r="H38" s="25" t="str">
        <f>'2.1. DM'!H38</f>
        <v>Dendrolobium</v>
      </c>
      <c r="I38" s="25" t="str">
        <f>'2.1. DM'!I38</f>
        <v>triangulare</v>
      </c>
      <c r="J38" s="25" t="str">
        <f>'2.1. DM'!J38</f>
        <v>Dendrolobium triangulare</v>
      </c>
      <c r="K38" s="25" t="str">
        <f>'2.1. DM'!K38</f>
        <v>Fabaceae</v>
      </c>
      <c r="L38" s="25" t="str">
        <f>'2.1. DM'!L38</f>
        <v>Fabales</v>
      </c>
      <c r="M38" s="25" t="str">
        <f>'2.1. DM'!M38</f>
        <v>Tree</v>
      </c>
      <c r="N38" s="25" t="str">
        <f>'2.1. DM'!N38</f>
        <v>58,59, 69</v>
      </c>
      <c r="O38" s="25" t="str">
        <f>'2.1. DM'!O38</f>
        <v>OT-010 (2025)</v>
      </c>
      <c r="P38" s="293" t="s">
        <v>496</v>
      </c>
      <c r="Q38" s="295">
        <v>47.896344440916565</v>
      </c>
      <c r="R38" s="341"/>
    </row>
    <row r="39" spans="2:18" x14ac:dyDescent="0.35">
      <c r="B39" s="25">
        <f>'2.1. DM'!B39</f>
        <v>29</v>
      </c>
      <c r="C39" s="25">
        <f>'2.1. DM'!C39</f>
        <v>46041</v>
      </c>
      <c r="D39" s="25" t="str">
        <f>'2.1. DM'!D39</f>
        <v>Genbank</v>
      </c>
      <c r="E39" s="25">
        <f>'2.1. DM'!E39</f>
        <v>27</v>
      </c>
      <c r="F39" s="25" t="str">
        <f>'2.1. DM'!F39</f>
        <v>F251742</v>
      </c>
      <c r="G39" s="25" t="str">
        <f>'2.1. DM'!G39</f>
        <v>CIAT-23932</v>
      </c>
      <c r="H39" s="25" t="str">
        <f>'2.1. DM'!H39</f>
        <v>Dendrolobium</v>
      </c>
      <c r="I39" s="25" t="str">
        <f>'2.1. DM'!I39</f>
        <v>triangulare</v>
      </c>
      <c r="J39" s="25" t="str">
        <f>'2.1. DM'!J39</f>
        <v>Dendrolobium triangulare</v>
      </c>
      <c r="K39" s="25" t="str">
        <f>'2.1. DM'!K39</f>
        <v>Fabaceae</v>
      </c>
      <c r="L39" s="25" t="str">
        <f>'2.1. DM'!L39</f>
        <v>Fabales</v>
      </c>
      <c r="M39" s="25" t="str">
        <f>'2.1. DM'!M39</f>
        <v>Tree</v>
      </c>
      <c r="N39" s="25" t="str">
        <f>'2.1. DM'!N39</f>
        <v>58,59, 69</v>
      </c>
      <c r="O39" s="25" t="str">
        <f>'2.1. DM'!O39</f>
        <v>OT-010 (2025)</v>
      </c>
      <c r="P39" s="292" t="s">
        <v>495</v>
      </c>
      <c r="Q39" s="295">
        <v>48.776254446859987</v>
      </c>
      <c r="R39" s="341">
        <f t="shared" ref="R39" si="4">AVERAGE(Q39:Q40)</f>
        <v>49.892248931655672</v>
      </c>
    </row>
    <row r="40" spans="2:18" x14ac:dyDescent="0.35">
      <c r="B40" s="25">
        <f>'2.1. DM'!B40</f>
        <v>30</v>
      </c>
      <c r="C40" s="25">
        <f>'2.1. DM'!C40</f>
        <v>46041</v>
      </c>
      <c r="D40" s="25" t="str">
        <f>'2.1. DM'!D40</f>
        <v>Genbank</v>
      </c>
      <c r="E40" s="25">
        <f>'2.1. DM'!E40</f>
        <v>27</v>
      </c>
      <c r="F40" s="25" t="str">
        <f>'2.1. DM'!F40</f>
        <v>F251742</v>
      </c>
      <c r="G40" s="25" t="str">
        <f>'2.1. DM'!G40</f>
        <v>CIAT-23932</v>
      </c>
      <c r="H40" s="25" t="str">
        <f>'2.1. DM'!H40</f>
        <v>Dendrolobium</v>
      </c>
      <c r="I40" s="25" t="str">
        <f>'2.1. DM'!I40</f>
        <v>triangulare</v>
      </c>
      <c r="J40" s="25" t="str">
        <f>'2.1. DM'!J40</f>
        <v>Dendrolobium triangulare</v>
      </c>
      <c r="K40" s="25" t="str">
        <f>'2.1. DM'!K40</f>
        <v>Fabaceae</v>
      </c>
      <c r="L40" s="25" t="str">
        <f>'2.1. DM'!L40</f>
        <v>Fabales</v>
      </c>
      <c r="M40" s="25" t="str">
        <f>'2.1. DM'!M40</f>
        <v>Tree</v>
      </c>
      <c r="N40" s="25" t="str">
        <f>'2.1. DM'!N40</f>
        <v>58,59, 69</v>
      </c>
      <c r="O40" s="25" t="str">
        <f>'2.1. DM'!O40</f>
        <v>OT-010 (2025)</v>
      </c>
      <c r="P40" s="293" t="s">
        <v>496</v>
      </c>
      <c r="Q40" s="295">
        <v>51.00824341645135</v>
      </c>
      <c r="R40" s="341"/>
    </row>
    <row r="41" spans="2:18" x14ac:dyDescent="0.35">
      <c r="B41" s="25">
        <f>'2.1. DM'!B41</f>
        <v>31</v>
      </c>
      <c r="C41" s="25">
        <f>'2.1. DM'!C41</f>
        <v>46041</v>
      </c>
      <c r="D41" s="25" t="str">
        <f>'2.1. DM'!D41</f>
        <v>Genbank</v>
      </c>
      <c r="E41" s="25">
        <f>'2.1. DM'!E41</f>
        <v>27</v>
      </c>
      <c r="F41" s="25" t="str">
        <f>'2.1. DM'!F41</f>
        <v>F251743</v>
      </c>
      <c r="G41" s="25" t="str">
        <f>'2.1. DM'!G41</f>
        <v>CIAT-23933</v>
      </c>
      <c r="H41" s="25" t="str">
        <f>'2.1. DM'!H41</f>
        <v>Dendrolobium</v>
      </c>
      <c r="I41" s="25" t="str">
        <f>'2.1. DM'!I41</f>
        <v>triangulare</v>
      </c>
      <c r="J41" s="25" t="str">
        <f>'2.1. DM'!J41</f>
        <v>Dendrolobium triangulare</v>
      </c>
      <c r="K41" s="25" t="str">
        <f>'2.1. DM'!K41</f>
        <v>Fabaceae</v>
      </c>
      <c r="L41" s="25" t="str">
        <f>'2.1. DM'!L41</f>
        <v>Fabales</v>
      </c>
      <c r="M41" s="25" t="str">
        <f>'2.1. DM'!M41</f>
        <v>Tree</v>
      </c>
      <c r="N41" s="25" t="str">
        <f>'2.1. DM'!N41</f>
        <v>58,59, 69</v>
      </c>
      <c r="O41" s="25" t="str">
        <f>'2.1. DM'!O41</f>
        <v>OT-010 (2025)</v>
      </c>
      <c r="P41" s="292" t="s">
        <v>495</v>
      </c>
      <c r="Q41" s="295">
        <v>47.918116179467987</v>
      </c>
      <c r="R41" s="341">
        <f>AVERAGE(Q41:Q42)</f>
        <v>49.308483536149055</v>
      </c>
    </row>
    <row r="42" spans="2:18" x14ac:dyDescent="0.35">
      <c r="B42" s="25">
        <f>'2.1. DM'!B42</f>
        <v>32</v>
      </c>
      <c r="C42" s="25">
        <f>'2.1. DM'!C42</f>
        <v>46041</v>
      </c>
      <c r="D42" s="25" t="str">
        <f>'2.1. DM'!D42</f>
        <v>Genbank</v>
      </c>
      <c r="E42" s="25">
        <f>'2.1. DM'!E42</f>
        <v>27</v>
      </c>
      <c r="F42" s="25" t="str">
        <f>'2.1. DM'!F42</f>
        <v>F251743</v>
      </c>
      <c r="G42" s="25" t="str">
        <f>'2.1. DM'!G42</f>
        <v>CIAT-23933</v>
      </c>
      <c r="H42" s="25" t="str">
        <f>'2.1. DM'!H42</f>
        <v>Dendrolobium</v>
      </c>
      <c r="I42" s="25" t="str">
        <f>'2.1. DM'!I42</f>
        <v>triangulare</v>
      </c>
      <c r="J42" s="25" t="str">
        <f>'2.1. DM'!J42</f>
        <v>Dendrolobium triangulare</v>
      </c>
      <c r="K42" s="25" t="str">
        <f>'2.1. DM'!K42</f>
        <v>Fabaceae</v>
      </c>
      <c r="L42" s="25" t="str">
        <f>'2.1. DM'!L42</f>
        <v>Fabales</v>
      </c>
      <c r="M42" s="25" t="str">
        <f>'2.1. DM'!M42</f>
        <v>Tree</v>
      </c>
      <c r="N42" s="25" t="str">
        <f>'2.1. DM'!N42</f>
        <v>58,59, 69</v>
      </c>
      <c r="O42" s="25" t="str">
        <f>'2.1. DM'!O42</f>
        <v>OT-010 (2025)</v>
      </c>
      <c r="P42" s="293" t="s">
        <v>496</v>
      </c>
      <c r="Q42" s="295">
        <v>50.69885089283013</v>
      </c>
      <c r="R42" s="341"/>
    </row>
    <row r="43" spans="2:18" x14ac:dyDescent="0.35">
      <c r="B43" s="25">
        <f>'2.1. DM'!B43</f>
        <v>33</v>
      </c>
      <c r="C43" s="25">
        <f>'2.1. DM'!C43</f>
        <v>46041</v>
      </c>
      <c r="D43" s="25" t="str">
        <f>'2.1. DM'!D43</f>
        <v>Genbank</v>
      </c>
      <c r="E43" s="25">
        <f>'2.1. DM'!E43</f>
        <v>27</v>
      </c>
      <c r="F43" s="25" t="str">
        <f>'2.1. DM'!F43</f>
        <v>F251744</v>
      </c>
      <c r="G43" s="25" t="str">
        <f>'2.1. DM'!G43</f>
        <v>CIAT-23934</v>
      </c>
      <c r="H43" s="25" t="str">
        <f>'2.1. DM'!H43</f>
        <v>Dendrolobium</v>
      </c>
      <c r="I43" s="25" t="str">
        <f>'2.1. DM'!I43</f>
        <v>triangulare</v>
      </c>
      <c r="J43" s="25" t="str">
        <f>'2.1. DM'!J43</f>
        <v>Dendrolobium triangulare</v>
      </c>
      <c r="K43" s="25" t="str">
        <f>'2.1. DM'!K43</f>
        <v>Fabaceae</v>
      </c>
      <c r="L43" s="25" t="str">
        <f>'2.1. DM'!L43</f>
        <v>Fabales</v>
      </c>
      <c r="M43" s="25" t="str">
        <f>'2.1. DM'!M43</f>
        <v>Tree</v>
      </c>
      <c r="N43" s="25" t="str">
        <f>'2.1. DM'!N43</f>
        <v>58,59, 69</v>
      </c>
      <c r="O43" s="25" t="str">
        <f>'2.1. DM'!O43</f>
        <v>OT-010 (2025)</v>
      </c>
      <c r="P43" s="292" t="s">
        <v>495</v>
      </c>
      <c r="Q43" s="295">
        <v>42.440536982268917</v>
      </c>
      <c r="R43" s="341">
        <f>AVERAGE(Q43:Q44)</f>
        <v>43.737007368661075</v>
      </c>
    </row>
    <row r="44" spans="2:18" x14ac:dyDescent="0.35">
      <c r="B44" s="25">
        <f>'2.1. DM'!B44</f>
        <v>34</v>
      </c>
      <c r="C44" s="25">
        <f>'2.1. DM'!C44</f>
        <v>46041</v>
      </c>
      <c r="D44" s="25" t="str">
        <f>'2.1. DM'!D44</f>
        <v>Genbank</v>
      </c>
      <c r="E44" s="25">
        <f>'2.1. DM'!E44</f>
        <v>27</v>
      </c>
      <c r="F44" s="25" t="str">
        <f>'2.1. DM'!F44</f>
        <v>F251744</v>
      </c>
      <c r="G44" s="25" t="str">
        <f>'2.1. DM'!G44</f>
        <v>CIAT-23934</v>
      </c>
      <c r="H44" s="25" t="str">
        <f>'2.1. DM'!H44</f>
        <v>Dendrolobium</v>
      </c>
      <c r="I44" s="25" t="str">
        <f>'2.1. DM'!I44</f>
        <v>triangulare</v>
      </c>
      <c r="J44" s="25" t="str">
        <f>'2.1. DM'!J44</f>
        <v>Dendrolobium triangulare</v>
      </c>
      <c r="K44" s="25" t="str">
        <f>'2.1. DM'!K44</f>
        <v>Fabaceae</v>
      </c>
      <c r="L44" s="25" t="str">
        <f>'2.1. DM'!L44</f>
        <v>Fabales</v>
      </c>
      <c r="M44" s="25" t="str">
        <f>'2.1. DM'!M44</f>
        <v>Tree</v>
      </c>
      <c r="N44" s="25" t="str">
        <f>'2.1. DM'!N44</f>
        <v>58,59, 69</v>
      </c>
      <c r="O44" s="25" t="str">
        <f>'2.1. DM'!O44</f>
        <v>OT-010 (2025)</v>
      </c>
      <c r="P44" s="293" t="s">
        <v>496</v>
      </c>
      <c r="Q44" s="295">
        <v>45.033477755053234</v>
      </c>
      <c r="R44" s="341"/>
    </row>
    <row r="45" spans="2:18" x14ac:dyDescent="0.35">
      <c r="B45" s="25">
        <f>'2.1. DM'!B45</f>
        <v>35</v>
      </c>
      <c r="C45" s="25">
        <f>'2.1. DM'!C45</f>
        <v>46041</v>
      </c>
      <c r="D45" s="25" t="str">
        <f>'2.1. DM'!D45</f>
        <v>Genbank</v>
      </c>
      <c r="E45" s="25">
        <f>'2.1. DM'!E45</f>
        <v>27</v>
      </c>
      <c r="F45" s="25" t="str">
        <f>'2.1. DM'!F45</f>
        <v>F251745</v>
      </c>
      <c r="G45" s="25" t="str">
        <f>'2.1. DM'!G45</f>
        <v>CIAT-23936</v>
      </c>
      <c r="H45" s="25" t="str">
        <f>'2.1. DM'!H45</f>
        <v>Dendrolobium</v>
      </c>
      <c r="I45" s="25" t="str">
        <f>'2.1. DM'!I45</f>
        <v>triangulare</v>
      </c>
      <c r="J45" s="25" t="str">
        <f>'2.1. DM'!J45</f>
        <v>Dendrolobium triangulare</v>
      </c>
      <c r="K45" s="25" t="str">
        <f>'2.1. DM'!K45</f>
        <v>Fabaceae</v>
      </c>
      <c r="L45" s="25" t="str">
        <f>'2.1. DM'!L45</f>
        <v>Fabales</v>
      </c>
      <c r="M45" s="25" t="str">
        <f>'2.1. DM'!M45</f>
        <v>Tree</v>
      </c>
      <c r="N45" s="25" t="str">
        <f>'2.1. DM'!N45</f>
        <v>58,59, 69</v>
      </c>
      <c r="O45" s="25" t="str">
        <f>'2.1. DM'!O45</f>
        <v>OT-010 (2025)</v>
      </c>
      <c r="P45" s="292" t="s">
        <v>495</v>
      </c>
      <c r="Q45" s="295">
        <v>48.068152657356414</v>
      </c>
      <c r="R45" s="341">
        <f>AVERAGE(Q45:Q46)</f>
        <v>49.209674688172143</v>
      </c>
    </row>
    <row r="46" spans="2:18" x14ac:dyDescent="0.35">
      <c r="B46" s="25">
        <f>'2.1. DM'!B46</f>
        <v>36</v>
      </c>
      <c r="C46" s="25">
        <f>'2.1. DM'!C46</f>
        <v>46041</v>
      </c>
      <c r="D46" s="25" t="str">
        <f>'2.1. DM'!D46</f>
        <v>Genbank</v>
      </c>
      <c r="E46" s="25">
        <f>'2.1. DM'!E46</f>
        <v>27</v>
      </c>
      <c r="F46" s="25" t="str">
        <f>'2.1. DM'!F46</f>
        <v>F251745</v>
      </c>
      <c r="G46" s="25" t="str">
        <f>'2.1. DM'!G46</f>
        <v>CIAT-23936</v>
      </c>
      <c r="H46" s="25" t="str">
        <f>'2.1. DM'!H46</f>
        <v>Dendrolobium</v>
      </c>
      <c r="I46" s="25" t="str">
        <f>'2.1. DM'!I46</f>
        <v>triangulare</v>
      </c>
      <c r="J46" s="25" t="str">
        <f>'2.1. DM'!J46</f>
        <v>Dendrolobium triangulare</v>
      </c>
      <c r="K46" s="25" t="str">
        <f>'2.1. DM'!K46</f>
        <v>Fabaceae</v>
      </c>
      <c r="L46" s="25" t="str">
        <f>'2.1. DM'!L46</f>
        <v>Fabales</v>
      </c>
      <c r="M46" s="25" t="str">
        <f>'2.1. DM'!M46</f>
        <v>Tree</v>
      </c>
      <c r="N46" s="25" t="str">
        <f>'2.1. DM'!N46</f>
        <v>58,59, 69</v>
      </c>
      <c r="O46" s="25" t="str">
        <f>'2.1. DM'!O46</f>
        <v>OT-010 (2025)</v>
      </c>
      <c r="P46" s="293" t="s">
        <v>496</v>
      </c>
      <c r="Q46" s="295">
        <v>50.351196718987865</v>
      </c>
      <c r="R46" s="341"/>
    </row>
    <row r="47" spans="2:18" x14ac:dyDescent="0.35">
      <c r="B47" s="25">
        <f>'2.1. DM'!B47</f>
        <v>37</v>
      </c>
      <c r="C47" s="25">
        <f>'2.1. DM'!C47</f>
        <v>46041</v>
      </c>
      <c r="D47" s="25" t="str">
        <f>'2.1. DM'!D47</f>
        <v>Genbank</v>
      </c>
      <c r="E47" s="25">
        <f>'2.1. DM'!E47</f>
        <v>27</v>
      </c>
      <c r="F47" s="25" t="str">
        <f>'2.1. DM'!F47</f>
        <v>F251746</v>
      </c>
      <c r="G47" s="25" t="str">
        <f>'2.1. DM'!G47</f>
        <v>CIAT-33119</v>
      </c>
      <c r="H47" s="25" t="str">
        <f>'2.1. DM'!H47</f>
        <v>Dendrolobium</v>
      </c>
      <c r="I47" s="25" t="str">
        <f>'2.1. DM'!I47</f>
        <v>triangulare</v>
      </c>
      <c r="J47" s="25" t="str">
        <f>'2.1. DM'!J47</f>
        <v>Dendrolobium triangulare</v>
      </c>
      <c r="K47" s="25" t="str">
        <f>'2.1. DM'!K47</f>
        <v>Fabaceae</v>
      </c>
      <c r="L47" s="25" t="str">
        <f>'2.1. DM'!L47</f>
        <v>Fabales</v>
      </c>
      <c r="M47" s="25" t="str">
        <f>'2.1. DM'!M47</f>
        <v>Tree</v>
      </c>
      <c r="N47" s="25" t="str">
        <f>'2.1. DM'!N47</f>
        <v>58,59, 69</v>
      </c>
      <c r="O47" s="25" t="str">
        <f>'2.1. DM'!O47</f>
        <v>OT-010 (2025)</v>
      </c>
      <c r="P47" s="292" t="s">
        <v>495</v>
      </c>
      <c r="Q47" s="295">
        <v>41.534198985672482</v>
      </c>
      <c r="R47" s="341">
        <f>AVERAGE(Q47:Q48)</f>
        <v>40.977473092905498</v>
      </c>
    </row>
    <row r="48" spans="2:18" x14ac:dyDescent="0.35">
      <c r="B48" s="25">
        <f>'2.1. DM'!B48</f>
        <v>38</v>
      </c>
      <c r="C48" s="25">
        <f>'2.1. DM'!C48</f>
        <v>46041</v>
      </c>
      <c r="D48" s="25" t="str">
        <f>'2.1. DM'!D48</f>
        <v>Genbank</v>
      </c>
      <c r="E48" s="25">
        <f>'2.1. DM'!E48</f>
        <v>27</v>
      </c>
      <c r="F48" s="25" t="str">
        <f>'2.1. DM'!F48</f>
        <v>F251746</v>
      </c>
      <c r="G48" s="25" t="str">
        <f>'2.1. DM'!G48</f>
        <v>CIAT-33119</v>
      </c>
      <c r="H48" s="25" t="str">
        <f>'2.1. DM'!H48</f>
        <v>Dendrolobium</v>
      </c>
      <c r="I48" s="25" t="str">
        <f>'2.1. DM'!I48</f>
        <v>triangulare</v>
      </c>
      <c r="J48" s="25" t="str">
        <f>'2.1. DM'!J48</f>
        <v>Dendrolobium triangulare</v>
      </c>
      <c r="K48" s="25" t="str">
        <f>'2.1. DM'!K48</f>
        <v>Fabaceae</v>
      </c>
      <c r="L48" s="25" t="str">
        <f>'2.1. DM'!L48</f>
        <v>Fabales</v>
      </c>
      <c r="M48" s="25" t="str">
        <f>'2.1. DM'!M48</f>
        <v>Tree</v>
      </c>
      <c r="N48" s="25" t="str">
        <f>'2.1. DM'!N48</f>
        <v>58,59, 69</v>
      </c>
      <c r="O48" s="25" t="str">
        <f>'2.1. DM'!O48</f>
        <v>OT-010 (2025)</v>
      </c>
      <c r="P48" s="293" t="s">
        <v>496</v>
      </c>
      <c r="Q48" s="295">
        <v>40.420747200138521</v>
      </c>
      <c r="R48" s="341"/>
    </row>
    <row r="49" spans="2:18" x14ac:dyDescent="0.35">
      <c r="B49" s="25">
        <f>'2.1. DM'!B49</f>
        <v>39</v>
      </c>
      <c r="C49" s="25">
        <f>'2.1. DM'!C49</f>
        <v>46041</v>
      </c>
      <c r="D49" s="25" t="str">
        <f>'2.1. DM'!D49</f>
        <v>Genbank</v>
      </c>
      <c r="E49" s="25">
        <f>'2.1. DM'!E49</f>
        <v>27</v>
      </c>
      <c r="F49" s="25" t="str">
        <f>'2.1. DM'!F49</f>
        <v>F251747</v>
      </c>
      <c r="G49" s="25" t="str">
        <f>'2.1. DM'!G49</f>
        <v>CIAT-33383</v>
      </c>
      <c r="H49" s="25" t="str">
        <f>'2.1. DM'!H49</f>
        <v>Dendrolobium</v>
      </c>
      <c r="I49" s="25" t="str">
        <f>'2.1. DM'!I49</f>
        <v>sp.</v>
      </c>
      <c r="J49" s="25" t="str">
        <f>'2.1. DM'!J49</f>
        <v>Dendrolobium sp.</v>
      </c>
      <c r="K49" s="25" t="str">
        <f>'2.1. DM'!K49</f>
        <v>Fabaceae</v>
      </c>
      <c r="L49" s="25" t="str">
        <f>'2.1. DM'!L49</f>
        <v>Fabales</v>
      </c>
      <c r="M49" s="25" t="str">
        <f>'2.1. DM'!M49</f>
        <v>Tree</v>
      </c>
      <c r="N49" s="25" t="str">
        <f>'2.1. DM'!N49</f>
        <v>58,59, 69</v>
      </c>
      <c r="O49" s="25" t="str">
        <f>'2.1. DM'!O49</f>
        <v>OT-010 (2025)</v>
      </c>
      <c r="P49" s="292" t="s">
        <v>495</v>
      </c>
      <c r="Q49" s="295">
        <v>46.509000281942058</v>
      </c>
      <c r="R49" s="341">
        <f>AVERAGE(Q49:Q50)</f>
        <v>47.338086342816538</v>
      </c>
    </row>
    <row r="50" spans="2:18" x14ac:dyDescent="0.35">
      <c r="B50" s="25">
        <f>'2.1. DM'!B50</f>
        <v>40</v>
      </c>
      <c r="C50" s="25">
        <f>'2.1. DM'!C50</f>
        <v>46041</v>
      </c>
      <c r="D50" s="25" t="str">
        <f>'2.1. DM'!D50</f>
        <v>Genbank</v>
      </c>
      <c r="E50" s="25">
        <f>'2.1. DM'!E50</f>
        <v>27</v>
      </c>
      <c r="F50" s="25" t="str">
        <f>'2.1. DM'!F50</f>
        <v>F251747</v>
      </c>
      <c r="G50" s="25" t="str">
        <f>'2.1. DM'!G50</f>
        <v>CIAT-33383</v>
      </c>
      <c r="H50" s="25" t="str">
        <f>'2.1. DM'!H50</f>
        <v>Dendrolobium</v>
      </c>
      <c r="I50" s="25" t="str">
        <f>'2.1. DM'!I50</f>
        <v>sp.</v>
      </c>
      <c r="J50" s="25" t="str">
        <f>'2.1. DM'!J50</f>
        <v>Dendrolobium sp.</v>
      </c>
      <c r="K50" s="25" t="str">
        <f>'2.1. DM'!K50</f>
        <v>Fabaceae</v>
      </c>
      <c r="L50" s="25" t="str">
        <f>'2.1. DM'!L50</f>
        <v>Fabales</v>
      </c>
      <c r="M50" s="25" t="str">
        <f>'2.1. DM'!M50</f>
        <v>Tree</v>
      </c>
      <c r="N50" s="25" t="str">
        <f>'2.1. DM'!N50</f>
        <v>58,59, 69</v>
      </c>
      <c r="O50" s="25" t="str">
        <f>'2.1. DM'!O50</f>
        <v>OT-010 (2025)</v>
      </c>
      <c r="P50" s="293" t="s">
        <v>496</v>
      </c>
      <c r="Q50" s="295">
        <v>48.167172403691012</v>
      </c>
      <c r="R50" s="341"/>
    </row>
    <row r="51" spans="2:18" x14ac:dyDescent="0.35">
      <c r="B51" s="25">
        <f>'2.1. DM'!B51</f>
        <v>41</v>
      </c>
      <c r="C51" s="25">
        <f>'2.1. DM'!C51</f>
        <v>46041</v>
      </c>
      <c r="D51" s="25" t="str">
        <f>'2.1. DM'!D51</f>
        <v>Genbank</v>
      </c>
      <c r="E51" s="25">
        <f>'2.1. DM'!E51</f>
        <v>27</v>
      </c>
      <c r="F51" s="25" t="str">
        <f>'2.1. DM'!F51</f>
        <v>F251748</v>
      </c>
      <c r="G51" s="25" t="str">
        <f>'2.1. DM'!G51</f>
        <v>CIAT-33402</v>
      </c>
      <c r="H51" s="25" t="str">
        <f>'2.1. DM'!H51</f>
        <v>Dendrolobium</v>
      </c>
      <c r="I51" s="25" t="str">
        <f>'2.1. DM'!I51</f>
        <v>triangulare</v>
      </c>
      <c r="J51" s="25" t="str">
        <f>'2.1. DM'!J51</f>
        <v>Dendrolobium triangulare</v>
      </c>
      <c r="K51" s="25" t="str">
        <f>'2.1. DM'!K51</f>
        <v>Fabaceae</v>
      </c>
      <c r="L51" s="25" t="str">
        <f>'2.1. DM'!L51</f>
        <v>Fabales</v>
      </c>
      <c r="M51" s="25" t="str">
        <f>'2.1. DM'!M51</f>
        <v>Tree</v>
      </c>
      <c r="N51" s="25" t="str">
        <f>'2.1. DM'!N51</f>
        <v>58,59, 69</v>
      </c>
      <c r="O51" s="25" t="str">
        <f>'2.1. DM'!O51</f>
        <v>OT-010 (2025)</v>
      </c>
      <c r="P51" s="292" t="s">
        <v>495</v>
      </c>
      <c r="Q51" s="295">
        <v>45.17473390058359</v>
      </c>
      <c r="R51" s="341">
        <f>AVERAGE(Q51:Q52)</f>
        <v>45.181599814728301</v>
      </c>
    </row>
    <row r="52" spans="2:18" x14ac:dyDescent="0.35">
      <c r="B52" s="25">
        <f>'2.1. DM'!B52</f>
        <v>42</v>
      </c>
      <c r="C52" s="25">
        <f>'2.1. DM'!C52</f>
        <v>46041</v>
      </c>
      <c r="D52" s="25" t="str">
        <f>'2.1. DM'!D52</f>
        <v>Genbank</v>
      </c>
      <c r="E52" s="25">
        <f>'2.1. DM'!E52</f>
        <v>27</v>
      </c>
      <c r="F52" s="25" t="str">
        <f>'2.1. DM'!F52</f>
        <v>F251748</v>
      </c>
      <c r="G52" s="25" t="str">
        <f>'2.1. DM'!G52</f>
        <v>CIAT-33402</v>
      </c>
      <c r="H52" s="25" t="str">
        <f>'2.1. DM'!H52</f>
        <v>Dendrolobium</v>
      </c>
      <c r="I52" s="25" t="str">
        <f>'2.1. DM'!I52</f>
        <v>triangulare</v>
      </c>
      <c r="J52" s="25" t="str">
        <f>'2.1. DM'!J52</f>
        <v>Dendrolobium triangulare</v>
      </c>
      <c r="K52" s="25" t="str">
        <f>'2.1. DM'!K52</f>
        <v>Fabaceae</v>
      </c>
      <c r="L52" s="25" t="str">
        <f>'2.1. DM'!L52</f>
        <v>Fabales</v>
      </c>
      <c r="M52" s="25" t="str">
        <f>'2.1. DM'!M52</f>
        <v>Tree</v>
      </c>
      <c r="N52" s="25" t="str">
        <f>'2.1. DM'!N52</f>
        <v>58,59, 69</v>
      </c>
      <c r="O52" s="25" t="str">
        <f>'2.1. DM'!O52</f>
        <v>OT-010 (2025)</v>
      </c>
      <c r="P52" s="293" t="s">
        <v>496</v>
      </c>
      <c r="Q52" s="295">
        <v>45.18846572887302</v>
      </c>
      <c r="R52" s="341"/>
    </row>
    <row r="53" spans="2:18" x14ac:dyDescent="0.35">
      <c r="B53" s="25">
        <f>'2.1. DM'!B53</f>
        <v>43</v>
      </c>
      <c r="C53" s="25">
        <f>'2.1. DM'!C53</f>
        <v>46041</v>
      </c>
      <c r="D53" s="25" t="str">
        <f>'2.1. DM'!D53</f>
        <v>Genbank</v>
      </c>
      <c r="E53" s="25">
        <f>'2.1. DM'!E53</f>
        <v>27</v>
      </c>
      <c r="F53" s="25" t="str">
        <f>'2.1. DM'!F53</f>
        <v>F251749</v>
      </c>
      <c r="G53" s="25" t="str">
        <f>'2.1. DM'!G53</f>
        <v>CIAT-33508</v>
      </c>
      <c r="H53" s="25" t="str">
        <f>'2.1. DM'!H53</f>
        <v>Dendrolobium</v>
      </c>
      <c r="I53" s="25" t="str">
        <f>'2.1. DM'!I53</f>
        <v>umbellatum</v>
      </c>
      <c r="J53" s="25" t="str">
        <f>'2.1. DM'!J53</f>
        <v>Dendrolobium umbellatum</v>
      </c>
      <c r="K53" s="25" t="str">
        <f>'2.1. DM'!K53</f>
        <v>Fabaceae</v>
      </c>
      <c r="L53" s="25" t="str">
        <f>'2.1. DM'!L53</f>
        <v>Fabales</v>
      </c>
      <c r="M53" s="25" t="str">
        <f>'2.1. DM'!M53</f>
        <v>Tree</v>
      </c>
      <c r="N53" s="25" t="str">
        <f>'2.1. DM'!N53</f>
        <v>58,59, 69</v>
      </c>
      <c r="O53" s="25" t="str">
        <f>'2.1. DM'!O53</f>
        <v>OT-010 (2025)</v>
      </c>
      <c r="P53" s="292" t="s">
        <v>495</v>
      </c>
      <c r="Q53" s="295">
        <v>44.315203432792657</v>
      </c>
      <c r="R53" s="341">
        <f>AVERAGE(Q53:Q54)</f>
        <v>45.811663840735562</v>
      </c>
    </row>
    <row r="54" spans="2:18" x14ac:dyDescent="0.35">
      <c r="B54" s="25">
        <f>'2.1. DM'!B54</f>
        <v>44</v>
      </c>
      <c r="C54" s="25">
        <f>'2.1. DM'!C54</f>
        <v>46041</v>
      </c>
      <c r="D54" s="25" t="str">
        <f>'2.1. DM'!D54</f>
        <v>Genbank</v>
      </c>
      <c r="E54" s="25">
        <f>'2.1. DM'!E54</f>
        <v>27</v>
      </c>
      <c r="F54" s="25" t="str">
        <f>'2.1. DM'!F54</f>
        <v>F251749</v>
      </c>
      <c r="G54" s="25" t="str">
        <f>'2.1. DM'!G54</f>
        <v>CIAT-33508</v>
      </c>
      <c r="H54" s="25" t="str">
        <f>'2.1. DM'!H54</f>
        <v>Dendrolobium</v>
      </c>
      <c r="I54" s="25" t="str">
        <f>'2.1. DM'!I54</f>
        <v>umbellatum</v>
      </c>
      <c r="J54" s="25" t="str">
        <f>'2.1. DM'!J54</f>
        <v>Dendrolobium umbellatum</v>
      </c>
      <c r="K54" s="25" t="str">
        <f>'2.1. DM'!K54</f>
        <v>Fabaceae</v>
      </c>
      <c r="L54" s="25" t="str">
        <f>'2.1. DM'!L54</f>
        <v>Fabales</v>
      </c>
      <c r="M54" s="25" t="str">
        <f>'2.1. DM'!M54</f>
        <v>Tree</v>
      </c>
      <c r="N54" s="25" t="str">
        <f>'2.1. DM'!N54</f>
        <v>58,59, 69</v>
      </c>
      <c r="O54" s="25" t="str">
        <f>'2.1. DM'!O54</f>
        <v>OT-010 (2025)</v>
      </c>
      <c r="P54" s="293" t="s">
        <v>496</v>
      </c>
      <c r="Q54" s="295">
        <v>47.30812424867846</v>
      </c>
      <c r="R54" s="341"/>
    </row>
    <row r="55" spans="2:18" x14ac:dyDescent="0.35">
      <c r="B55" s="25">
        <f>'2.1. DM'!B55</f>
        <v>45</v>
      </c>
      <c r="C55" s="25">
        <f>'2.1. DM'!C55</f>
        <v>46041</v>
      </c>
      <c r="D55" s="25" t="str">
        <f>'2.1. DM'!D55</f>
        <v>Genbank</v>
      </c>
      <c r="E55" s="25">
        <f>'2.1. DM'!E55</f>
        <v>27</v>
      </c>
      <c r="F55" s="25" t="str">
        <f>'2.1. DM'!F55</f>
        <v>F251750</v>
      </c>
      <c r="G55" s="25" t="str">
        <f>'2.1. DM'!G55</f>
        <v>CIAT-33515</v>
      </c>
      <c r="H55" s="25" t="str">
        <f>'2.1. DM'!H55</f>
        <v>Dendrolobium</v>
      </c>
      <c r="I55" s="25" t="str">
        <f>'2.1. DM'!I55</f>
        <v>triangulare</v>
      </c>
      <c r="J55" s="25" t="str">
        <f>'2.1. DM'!J55</f>
        <v>Dendrolobium triangulare</v>
      </c>
      <c r="K55" s="25" t="str">
        <f>'2.1. DM'!K55</f>
        <v>Fabaceae</v>
      </c>
      <c r="L55" s="25" t="str">
        <f>'2.1. DM'!L55</f>
        <v>Fabales</v>
      </c>
      <c r="M55" s="25" t="str">
        <f>'2.1. DM'!M55</f>
        <v>Tree</v>
      </c>
      <c r="N55" s="25" t="str">
        <f>'2.1. DM'!N55</f>
        <v>58,59, 69</v>
      </c>
      <c r="O55" s="25" t="str">
        <f>'2.1. DM'!O55</f>
        <v>OT-010 (2025)</v>
      </c>
      <c r="P55" s="292" t="s">
        <v>495</v>
      </c>
      <c r="Q55" s="295">
        <v>50.956053709713444</v>
      </c>
      <c r="R55" s="341">
        <f>AVERAGE(Q55:Q56)</f>
        <v>51.470994796675967</v>
      </c>
    </row>
    <row r="56" spans="2:18" x14ac:dyDescent="0.35">
      <c r="B56" s="25">
        <f>'2.1. DM'!B56</f>
        <v>46</v>
      </c>
      <c r="C56" s="25">
        <f>'2.1. DM'!C56</f>
        <v>46041</v>
      </c>
      <c r="D56" s="25" t="str">
        <f>'2.1. DM'!D56</f>
        <v>Genbank</v>
      </c>
      <c r="E56" s="25">
        <f>'2.1. DM'!E56</f>
        <v>27</v>
      </c>
      <c r="F56" s="25" t="str">
        <f>'2.1. DM'!F56</f>
        <v>F251750</v>
      </c>
      <c r="G56" s="25" t="str">
        <f>'2.1. DM'!G56</f>
        <v>CIAT-33515</v>
      </c>
      <c r="H56" s="25" t="str">
        <f>'2.1. DM'!H56</f>
        <v>Dendrolobium</v>
      </c>
      <c r="I56" s="25" t="str">
        <f>'2.1. DM'!I56</f>
        <v>triangulare</v>
      </c>
      <c r="J56" s="25" t="str">
        <f>'2.1. DM'!J56</f>
        <v>Dendrolobium triangulare</v>
      </c>
      <c r="K56" s="25" t="str">
        <f>'2.1. DM'!K56</f>
        <v>Fabaceae</v>
      </c>
      <c r="L56" s="25" t="str">
        <f>'2.1. DM'!L56</f>
        <v>Fabales</v>
      </c>
      <c r="M56" s="25" t="str">
        <f>'2.1. DM'!M56</f>
        <v>Tree</v>
      </c>
      <c r="N56" s="25" t="str">
        <f>'2.1. DM'!N56</f>
        <v>58,59, 69</v>
      </c>
      <c r="O56" s="25" t="str">
        <f>'2.1. DM'!O56</f>
        <v>OT-010 (2025)</v>
      </c>
      <c r="P56" s="293" t="s">
        <v>496</v>
      </c>
      <c r="Q56" s="295">
        <v>51.98593588363849</v>
      </c>
      <c r="R56" s="341"/>
    </row>
    <row r="57" spans="2:18" x14ac:dyDescent="0.35">
      <c r="B57" s="25">
        <f>'2.1. DM'!B57</f>
        <v>47</v>
      </c>
      <c r="C57" s="25">
        <f>'2.1. DM'!C57</f>
        <v>46041</v>
      </c>
      <c r="D57" s="25" t="str">
        <f>'2.1. DM'!D57</f>
        <v>Genbank</v>
      </c>
      <c r="E57" s="25">
        <f>'2.1. DM'!E57</f>
        <v>27</v>
      </c>
      <c r="F57" s="25" t="str">
        <f>'2.1. DM'!F57</f>
        <v>F251751</v>
      </c>
      <c r="G57" s="25" t="str">
        <f>'2.1. DM'!G57</f>
        <v>CIAT-7353</v>
      </c>
      <c r="H57" s="25" t="str">
        <f>'2.1. DM'!H57</f>
        <v>Prosopis</v>
      </c>
      <c r="I57" s="25" t="str">
        <f>'2.1. DM'!I57</f>
        <v>juliflora</v>
      </c>
      <c r="J57" s="25" t="str">
        <f>'2.1. DM'!J57</f>
        <v>Prosopis juliflora</v>
      </c>
      <c r="K57" s="25" t="str">
        <f>'2.1. DM'!K57</f>
        <v>Fabaceae</v>
      </c>
      <c r="L57" s="25" t="str">
        <f>'2.1. DM'!L57</f>
        <v>Fabales</v>
      </c>
      <c r="M57" s="25" t="str">
        <f>'2.1. DM'!M57</f>
        <v>Tree</v>
      </c>
      <c r="N57" s="25" t="str">
        <f>'2.1. DM'!N57</f>
        <v>58,59, 69</v>
      </c>
      <c r="O57" s="25" t="str">
        <f>'2.1. DM'!O57</f>
        <v>OT-010 (2025)</v>
      </c>
      <c r="P57" s="292" t="s">
        <v>495</v>
      </c>
      <c r="Q57" s="295">
        <v>28.995439891096471</v>
      </c>
      <c r="R57" s="341">
        <f>AVERAGE(Q57:Q58)</f>
        <v>29.377469406089595</v>
      </c>
    </row>
    <row r="58" spans="2:18" x14ac:dyDescent="0.35">
      <c r="B58" s="25">
        <f>'2.1. DM'!B58</f>
        <v>48</v>
      </c>
      <c r="C58" s="25">
        <f>'2.1. DM'!C58</f>
        <v>46041</v>
      </c>
      <c r="D58" s="25" t="str">
        <f>'2.1. DM'!D58</f>
        <v>Genbank</v>
      </c>
      <c r="E58" s="25">
        <f>'2.1. DM'!E58</f>
        <v>27</v>
      </c>
      <c r="F58" s="25" t="str">
        <f>'2.1. DM'!F58</f>
        <v>F251751</v>
      </c>
      <c r="G58" s="25" t="str">
        <f>'2.1. DM'!G58</f>
        <v>CIAT-7353</v>
      </c>
      <c r="H58" s="25" t="str">
        <f>'2.1. DM'!H58</f>
        <v>Prosopis</v>
      </c>
      <c r="I58" s="25" t="str">
        <f>'2.1. DM'!I58</f>
        <v>juliflora</v>
      </c>
      <c r="J58" s="25" t="str">
        <f>'2.1. DM'!J58</f>
        <v>Prosopis juliflora</v>
      </c>
      <c r="K58" s="25" t="str">
        <f>'2.1. DM'!K58</f>
        <v>Fabaceae</v>
      </c>
      <c r="L58" s="25" t="str">
        <f>'2.1. DM'!L58</f>
        <v>Fabales</v>
      </c>
      <c r="M58" s="25" t="str">
        <f>'2.1. DM'!M58</f>
        <v>Tree</v>
      </c>
      <c r="N58" s="25" t="str">
        <f>'2.1. DM'!N58</f>
        <v>58,59, 69</v>
      </c>
      <c r="O58" s="25" t="str">
        <f>'2.1. DM'!O58</f>
        <v>OT-010 (2025)</v>
      </c>
      <c r="P58" s="293" t="s">
        <v>496</v>
      </c>
      <c r="Q58" s="295">
        <v>29.759498921082717</v>
      </c>
      <c r="R58" s="341"/>
    </row>
    <row r="59" spans="2:18" x14ac:dyDescent="0.35">
      <c r="B59" s="25">
        <f>'2.1. DM'!B59</f>
        <v>49</v>
      </c>
      <c r="C59" s="25">
        <f>'2.1. DM'!C59</f>
        <v>46041</v>
      </c>
      <c r="D59" s="25" t="str">
        <f>'2.1. DM'!D59</f>
        <v>Genbank</v>
      </c>
      <c r="E59" s="25">
        <f>'2.1. DM'!E59</f>
        <v>27</v>
      </c>
      <c r="F59" s="25" t="str">
        <f>'2.1. DM'!F59</f>
        <v>F251752</v>
      </c>
      <c r="G59" s="25" t="str">
        <f>'2.1. DM'!G59</f>
        <v>CIAT-7976</v>
      </c>
      <c r="H59" s="25" t="str">
        <f>'2.1. DM'!H59</f>
        <v>Cassia</v>
      </c>
      <c r="I59" s="25" t="str">
        <f>'2.1. DM'!I59</f>
        <v>sp.</v>
      </c>
      <c r="J59" s="25" t="str">
        <f>'2.1. DM'!J59</f>
        <v>Cassia sp.</v>
      </c>
      <c r="K59" s="25" t="str">
        <f>'2.1. DM'!K59</f>
        <v>Fabaceae</v>
      </c>
      <c r="L59" s="25" t="str">
        <f>'2.1. DM'!L59</f>
        <v>Fabales</v>
      </c>
      <c r="M59" s="25" t="str">
        <f>'2.1. DM'!M59</f>
        <v>Tree</v>
      </c>
      <c r="N59" s="25" t="str">
        <f>'2.1. DM'!N59</f>
        <v>58,59, 69</v>
      </c>
      <c r="O59" s="25" t="str">
        <f>'2.1. DM'!O59</f>
        <v>OT-010 (2025)</v>
      </c>
      <c r="P59" s="292" t="s">
        <v>495</v>
      </c>
      <c r="Q59" s="295">
        <v>38.508302667087136</v>
      </c>
      <c r="R59" s="341">
        <f>AVERAGE(Q59:Q60)</f>
        <v>39.53895727197682</v>
      </c>
    </row>
    <row r="60" spans="2:18" x14ac:dyDescent="0.35">
      <c r="B60" s="25">
        <f>'2.1. DM'!B60</f>
        <v>50</v>
      </c>
      <c r="C60" s="25">
        <f>'2.1. DM'!C60</f>
        <v>46041</v>
      </c>
      <c r="D60" s="25" t="str">
        <f>'2.1. DM'!D60</f>
        <v>Genbank</v>
      </c>
      <c r="E60" s="25">
        <f>'2.1. DM'!E60</f>
        <v>27</v>
      </c>
      <c r="F60" s="25" t="str">
        <f>'2.1. DM'!F60</f>
        <v>F251752</v>
      </c>
      <c r="G60" s="25" t="str">
        <f>'2.1. DM'!G60</f>
        <v>CIAT-7976</v>
      </c>
      <c r="H60" s="25" t="str">
        <f>'2.1. DM'!H60</f>
        <v>Cassia</v>
      </c>
      <c r="I60" s="25" t="str">
        <f>'2.1. DM'!I60</f>
        <v>sp.</v>
      </c>
      <c r="J60" s="25" t="str">
        <f>'2.1. DM'!J60</f>
        <v>Cassia sp.</v>
      </c>
      <c r="K60" s="25" t="str">
        <f>'2.1. DM'!K60</f>
        <v>Fabaceae</v>
      </c>
      <c r="L60" s="25" t="str">
        <f>'2.1. DM'!L60</f>
        <v>Fabales</v>
      </c>
      <c r="M60" s="25" t="str">
        <f>'2.1. DM'!M60</f>
        <v>Tree</v>
      </c>
      <c r="N60" s="25" t="str">
        <f>'2.1. DM'!N60</f>
        <v>58,59, 69</v>
      </c>
      <c r="O60" s="25" t="str">
        <f>'2.1. DM'!O60</f>
        <v>OT-010 (2025)</v>
      </c>
      <c r="P60" s="293" t="s">
        <v>496</v>
      </c>
      <c r="Q60" s="295">
        <v>40.569611876866503</v>
      </c>
      <c r="R60" s="341"/>
    </row>
    <row r="61" spans="2:18" x14ac:dyDescent="0.35">
      <c r="B61" s="25">
        <f>'2.1. DM'!B61</f>
        <v>51</v>
      </c>
      <c r="C61" s="25">
        <f>'2.1. DM'!C61</f>
        <v>46041</v>
      </c>
      <c r="D61" s="25" t="str">
        <f>'2.1. DM'!D61</f>
        <v>Genbank</v>
      </c>
      <c r="E61" s="25">
        <f>'2.1. DM'!E61</f>
        <v>27</v>
      </c>
      <c r="F61" s="25" t="str">
        <f>'2.1. DM'!F61</f>
        <v>F251753</v>
      </c>
      <c r="G61" s="25" t="str">
        <f>'2.1. DM'!G61</f>
        <v>CIAT-8018</v>
      </c>
      <c r="H61" s="25" t="str">
        <f>'2.1. DM'!H61</f>
        <v>Acacia</v>
      </c>
      <c r="I61" s="25" t="str">
        <f>'2.1. DM'!I61</f>
        <v>aroma</v>
      </c>
      <c r="J61" s="25" t="str">
        <f>'2.1. DM'!J61</f>
        <v>Acacia aroma</v>
      </c>
      <c r="K61" s="25" t="str">
        <f>'2.1. DM'!K61</f>
        <v>Fabaceae</v>
      </c>
      <c r="L61" s="25" t="str">
        <f>'2.1. DM'!L61</f>
        <v>Fabales</v>
      </c>
      <c r="M61" s="25" t="str">
        <f>'2.1. DM'!M61</f>
        <v>Tree</v>
      </c>
      <c r="N61" s="25" t="str">
        <f>'2.1. DM'!N61</f>
        <v>58,59, 69</v>
      </c>
      <c r="O61" s="25" t="str">
        <f>'2.1. DM'!O61</f>
        <v>OT-010 (2025)</v>
      </c>
      <c r="P61" s="292" t="s">
        <v>495</v>
      </c>
      <c r="Q61" s="295">
        <v>57.853846160204533</v>
      </c>
      <c r="R61" s="341">
        <f>AVERAGE(Q61:Q62)</f>
        <v>58.526711306777671</v>
      </c>
    </row>
    <row r="62" spans="2:18" x14ac:dyDescent="0.35">
      <c r="B62" s="25">
        <f>'2.1. DM'!B62</f>
        <v>52</v>
      </c>
      <c r="C62" s="25">
        <f>'2.1. DM'!C62</f>
        <v>46041</v>
      </c>
      <c r="D62" s="25" t="str">
        <f>'2.1. DM'!D62</f>
        <v>Genbank</v>
      </c>
      <c r="E62" s="25">
        <f>'2.1. DM'!E62</f>
        <v>27</v>
      </c>
      <c r="F62" s="25" t="str">
        <f>'2.1. DM'!F62</f>
        <v>F251753</v>
      </c>
      <c r="G62" s="25" t="str">
        <f>'2.1. DM'!G62</f>
        <v>CIAT-8018</v>
      </c>
      <c r="H62" s="25" t="str">
        <f>'2.1. DM'!H62</f>
        <v>Acacia</v>
      </c>
      <c r="I62" s="25" t="str">
        <f>'2.1. DM'!I62</f>
        <v>aroma</v>
      </c>
      <c r="J62" s="25" t="str">
        <f>'2.1. DM'!J62</f>
        <v>Acacia aroma</v>
      </c>
      <c r="K62" s="25" t="str">
        <f>'2.1. DM'!K62</f>
        <v>Fabaceae</v>
      </c>
      <c r="L62" s="25" t="str">
        <f>'2.1. DM'!L62</f>
        <v>Fabales</v>
      </c>
      <c r="M62" s="25" t="str">
        <f>'2.1. DM'!M62</f>
        <v>Tree</v>
      </c>
      <c r="N62" s="25" t="str">
        <f>'2.1. DM'!N62</f>
        <v>58,59, 69</v>
      </c>
      <c r="O62" s="25" t="str">
        <f>'2.1. DM'!O62</f>
        <v>OT-010 (2025)</v>
      </c>
      <c r="P62" s="293" t="s">
        <v>496</v>
      </c>
      <c r="Q62" s="295">
        <v>59.199576453350808</v>
      </c>
      <c r="R62" s="341"/>
    </row>
    <row r="63" spans="2:18" x14ac:dyDescent="0.35">
      <c r="B63" s="25">
        <f>'2.1. DM'!B63</f>
        <v>53</v>
      </c>
      <c r="C63" s="25">
        <f>'2.1. DM'!C63</f>
        <v>46041</v>
      </c>
      <c r="D63" s="25" t="str">
        <f>'2.1. DM'!D63</f>
        <v>Genbank</v>
      </c>
      <c r="E63" s="25">
        <f>'2.1. DM'!E63</f>
        <v>27</v>
      </c>
      <c r="F63" s="25" t="str">
        <f>'2.1. DM'!F63</f>
        <v>F251754</v>
      </c>
      <c r="G63" s="25" t="str">
        <f>'2.1. DM'!G63</f>
        <v>CIAT-9990</v>
      </c>
      <c r="H63" s="25" t="str">
        <f>'2.1. DM'!H63</f>
        <v>Prosopis</v>
      </c>
      <c r="I63" s="25" t="str">
        <f>'2.1. DM'!I63</f>
        <v>juliflora</v>
      </c>
      <c r="J63" s="25" t="str">
        <f>'2.1. DM'!J63</f>
        <v>Prosopis juliflora</v>
      </c>
      <c r="K63" s="25" t="str">
        <f>'2.1. DM'!K63</f>
        <v>Fabaceae</v>
      </c>
      <c r="L63" s="25" t="str">
        <f>'2.1. DM'!L63</f>
        <v>Fabales</v>
      </c>
      <c r="M63" s="25" t="str">
        <f>'2.1. DM'!M63</f>
        <v>Tree</v>
      </c>
      <c r="N63" s="25" t="str">
        <f>'2.1. DM'!N63</f>
        <v>58,59, 69</v>
      </c>
      <c r="O63" s="25" t="str">
        <f>'2.1. DM'!O63</f>
        <v>OT-010 (2025)</v>
      </c>
      <c r="P63" s="292" t="s">
        <v>495</v>
      </c>
      <c r="Q63" s="295">
        <v>28.740804663610607</v>
      </c>
      <c r="R63" s="341">
        <f>AVERAGE(Q63:Q64)</f>
        <v>28.642297250900654</v>
      </c>
    </row>
    <row r="64" spans="2:18" x14ac:dyDescent="0.35">
      <c r="B64" s="25">
        <f>'2.1. DM'!B64</f>
        <v>54</v>
      </c>
      <c r="C64" s="25">
        <f>'2.1. DM'!C64</f>
        <v>46041</v>
      </c>
      <c r="D64" s="25" t="str">
        <f>'2.1. DM'!D64</f>
        <v>Genbank</v>
      </c>
      <c r="E64" s="25">
        <f>'2.1. DM'!E64</f>
        <v>27</v>
      </c>
      <c r="F64" s="25" t="str">
        <f>'2.1. DM'!F64</f>
        <v>F251754</v>
      </c>
      <c r="G64" s="25" t="str">
        <f>'2.1. DM'!G64</f>
        <v>CIAT-9990</v>
      </c>
      <c r="H64" s="25" t="str">
        <f>'2.1. DM'!H64</f>
        <v>Prosopis</v>
      </c>
      <c r="I64" s="25" t="str">
        <f>'2.1. DM'!I64</f>
        <v>juliflora</v>
      </c>
      <c r="J64" s="25" t="str">
        <f>'2.1. DM'!J64</f>
        <v>Prosopis juliflora</v>
      </c>
      <c r="K64" s="25" t="str">
        <f>'2.1. DM'!K64</f>
        <v>Fabaceae</v>
      </c>
      <c r="L64" s="25" t="str">
        <f>'2.1. DM'!L64</f>
        <v>Fabales</v>
      </c>
      <c r="M64" s="25" t="str">
        <f>'2.1. DM'!M64</f>
        <v>Tree</v>
      </c>
      <c r="N64" s="25" t="str">
        <f>'2.1. DM'!N64</f>
        <v>58,59, 69</v>
      </c>
      <c r="O64" s="25" t="str">
        <f>'2.1. DM'!O64</f>
        <v>OT-010 (2025)</v>
      </c>
      <c r="P64" s="293" t="s">
        <v>496</v>
      </c>
      <c r="Q64" s="295">
        <v>28.543789838190705</v>
      </c>
      <c r="R64" s="341"/>
    </row>
    <row r="65" spans="2:18" x14ac:dyDescent="0.35">
      <c r="B65" s="25">
        <f>'2.1. DM'!B65</f>
        <v>55</v>
      </c>
      <c r="C65" s="25">
        <f>'2.1. DM'!C65</f>
        <v>46041</v>
      </c>
      <c r="D65" s="25" t="str">
        <f>'2.1. DM'!D65</f>
        <v>Genbank</v>
      </c>
      <c r="E65" s="25">
        <f>'2.1. DM'!E65</f>
        <v>27</v>
      </c>
      <c r="F65" s="25" t="str">
        <f>'2.1. DM'!F65</f>
        <v>F251755</v>
      </c>
      <c r="G65" s="25" t="str">
        <f>'2.1. DM'!G65</f>
        <v>CIAT-13258</v>
      </c>
      <c r="H65" s="25" t="str">
        <f>'2.1. DM'!H65</f>
        <v>Dendrolobium</v>
      </c>
      <c r="I65" s="25" t="str">
        <f>'2.1. DM'!I65</f>
        <v>lanceolatum</v>
      </c>
      <c r="J65" s="25" t="str">
        <f>'2.1. DM'!J65</f>
        <v>Dendrolobium lanceolatum</v>
      </c>
      <c r="K65" s="25" t="str">
        <f>'2.1. DM'!K65</f>
        <v>Fabaceae</v>
      </c>
      <c r="L65" s="25" t="str">
        <f>'2.1. DM'!L65</f>
        <v>Fabales</v>
      </c>
      <c r="M65" s="25" t="str">
        <f>'2.1. DM'!M65</f>
        <v>Tree</v>
      </c>
      <c r="N65" s="25" t="str">
        <f>'2.1. DM'!N65</f>
        <v>58,59, 69</v>
      </c>
      <c r="O65" s="25" t="str">
        <f>'2.1. DM'!O65</f>
        <v>OT-010 (2025)</v>
      </c>
      <c r="P65" s="292" t="s">
        <v>495</v>
      </c>
      <c r="Q65" s="295">
        <v>53.990401487179938</v>
      </c>
      <c r="R65" s="341">
        <f>AVERAGE(Q65:Q66)</f>
        <v>54.957144053029076</v>
      </c>
    </row>
    <row r="66" spans="2:18" x14ac:dyDescent="0.35">
      <c r="B66" s="25">
        <f>'2.1. DM'!B66</f>
        <v>56</v>
      </c>
      <c r="C66" s="25">
        <f>'2.1. DM'!C66</f>
        <v>46041</v>
      </c>
      <c r="D66" s="25" t="str">
        <f>'2.1. DM'!D66</f>
        <v>Genbank</v>
      </c>
      <c r="E66" s="25">
        <f>'2.1. DM'!E66</f>
        <v>27</v>
      </c>
      <c r="F66" s="25" t="str">
        <f>'2.1. DM'!F66</f>
        <v>F251755</v>
      </c>
      <c r="G66" s="25" t="str">
        <f>'2.1. DM'!G66</f>
        <v>CIAT-13258</v>
      </c>
      <c r="H66" s="25" t="str">
        <f>'2.1. DM'!H66</f>
        <v>Dendrolobium</v>
      </c>
      <c r="I66" s="25" t="str">
        <f>'2.1. DM'!I66</f>
        <v>lanceolatum</v>
      </c>
      <c r="J66" s="25" t="str">
        <f>'2.1. DM'!J66</f>
        <v>Dendrolobium lanceolatum</v>
      </c>
      <c r="K66" s="25" t="str">
        <f>'2.1. DM'!K66</f>
        <v>Fabaceae</v>
      </c>
      <c r="L66" s="25" t="str">
        <f>'2.1. DM'!L66</f>
        <v>Fabales</v>
      </c>
      <c r="M66" s="25" t="str">
        <f>'2.1. DM'!M66</f>
        <v>Tree</v>
      </c>
      <c r="N66" s="25" t="str">
        <f>'2.1. DM'!N66</f>
        <v>58,59, 69</v>
      </c>
      <c r="O66" s="25" t="str">
        <f>'2.1. DM'!O66</f>
        <v>OT-010 (2025)</v>
      </c>
      <c r="P66" s="293" t="s">
        <v>496</v>
      </c>
      <c r="Q66" s="295">
        <v>55.923886618878214</v>
      </c>
      <c r="R66" s="341"/>
    </row>
    <row r="67" spans="2:18" x14ac:dyDescent="0.35">
      <c r="B67" s="25">
        <f>'2.1. DM'!B67</f>
        <v>57</v>
      </c>
      <c r="C67" s="25">
        <f>'2.1. DM'!C67</f>
        <v>46041</v>
      </c>
      <c r="D67" s="25" t="str">
        <f>'2.1. DM'!D67</f>
        <v>Genbank</v>
      </c>
      <c r="E67" s="25">
        <f>'2.1. DM'!E67</f>
        <v>27</v>
      </c>
      <c r="F67" s="25" t="str">
        <f>'2.1. DM'!F67</f>
        <v>F251756</v>
      </c>
      <c r="G67" s="25" t="str">
        <f>'2.1. DM'!G67</f>
        <v>CIAT-13260</v>
      </c>
      <c r="H67" s="25" t="str">
        <f>'2.1. DM'!H67</f>
        <v>Dendrolobium</v>
      </c>
      <c r="I67" s="25" t="str">
        <f>'2.1. DM'!I67</f>
        <v>lanceolatum</v>
      </c>
      <c r="J67" s="25" t="str">
        <f>'2.1. DM'!J67</f>
        <v>Dendrolobium lanceolatum</v>
      </c>
      <c r="K67" s="25" t="str">
        <f>'2.1. DM'!K67</f>
        <v>Fabaceae</v>
      </c>
      <c r="L67" s="25" t="str">
        <f>'2.1. DM'!L67</f>
        <v>Fabales</v>
      </c>
      <c r="M67" s="25" t="str">
        <f>'2.1. DM'!M67</f>
        <v>Tree</v>
      </c>
      <c r="N67" s="25" t="str">
        <f>'2.1. DM'!N67</f>
        <v>58,59, 69</v>
      </c>
      <c r="O67" s="25" t="str">
        <f>'2.1. DM'!O67</f>
        <v>OT-010 (2025)</v>
      </c>
      <c r="P67" s="292" t="s">
        <v>495</v>
      </c>
      <c r="Q67" s="295">
        <v>57.398417704360625</v>
      </c>
      <c r="R67" s="341">
        <f t="shared" ref="R67" si="5">AVERAGE(Q67:Q68)</f>
        <v>57.392576547550817</v>
      </c>
    </row>
    <row r="68" spans="2:18" x14ac:dyDescent="0.35">
      <c r="B68" s="25">
        <f>'2.1. DM'!B68</f>
        <v>58</v>
      </c>
      <c r="C68" s="25">
        <f>'2.1. DM'!C68</f>
        <v>46041</v>
      </c>
      <c r="D68" s="25" t="str">
        <f>'2.1. DM'!D68</f>
        <v>Genbank</v>
      </c>
      <c r="E68" s="25">
        <f>'2.1. DM'!E68</f>
        <v>27</v>
      </c>
      <c r="F68" s="25" t="str">
        <f>'2.1. DM'!F68</f>
        <v>F251756</v>
      </c>
      <c r="G68" s="25" t="str">
        <f>'2.1. DM'!G68</f>
        <v>CIAT-13260</v>
      </c>
      <c r="H68" s="25" t="str">
        <f>'2.1. DM'!H68</f>
        <v>Dendrolobium</v>
      </c>
      <c r="I68" s="25" t="str">
        <f>'2.1. DM'!I68</f>
        <v>lanceolatum</v>
      </c>
      <c r="J68" s="25" t="str">
        <f>'2.1. DM'!J68</f>
        <v>Dendrolobium lanceolatum</v>
      </c>
      <c r="K68" s="25" t="str">
        <f>'2.1. DM'!K68</f>
        <v>Fabaceae</v>
      </c>
      <c r="L68" s="25" t="str">
        <f>'2.1. DM'!L68</f>
        <v>Fabales</v>
      </c>
      <c r="M68" s="25" t="str">
        <f>'2.1. DM'!M68</f>
        <v>Tree</v>
      </c>
      <c r="N68" s="25" t="str">
        <f>'2.1. DM'!N68</f>
        <v>58,59, 69</v>
      </c>
      <c r="O68" s="25" t="str">
        <f>'2.1. DM'!O68</f>
        <v>OT-010 (2025)</v>
      </c>
      <c r="P68" s="293" t="s">
        <v>496</v>
      </c>
      <c r="Q68" s="295">
        <v>57.386735390741016</v>
      </c>
      <c r="R68" s="341"/>
    </row>
    <row r="69" spans="2:18" x14ac:dyDescent="0.35">
      <c r="B69" s="25">
        <f>'2.1. DM'!B69</f>
        <v>59</v>
      </c>
      <c r="C69" s="25">
        <f>'2.1. DM'!C69</f>
        <v>46041</v>
      </c>
      <c r="D69" s="25" t="str">
        <f>'2.1. DM'!D69</f>
        <v>Genbank</v>
      </c>
      <c r="E69" s="25">
        <f>'2.1. DM'!E69</f>
        <v>27</v>
      </c>
      <c r="F69" s="25" t="str">
        <f>'2.1. DM'!F69</f>
        <v>F251757</v>
      </c>
      <c r="G69" s="25" t="str">
        <f>'2.1. DM'!G69</f>
        <v>CIAT-17263</v>
      </c>
      <c r="H69" s="25" t="str">
        <f>'2.1. DM'!H69</f>
        <v>Leucaena</v>
      </c>
      <c r="I69" s="25" t="str">
        <f>'2.1. DM'!I69</f>
        <v>leucocephala</v>
      </c>
      <c r="J69" s="25" t="str">
        <f>'2.1. DM'!J69</f>
        <v>Leucaena leucocephala</v>
      </c>
      <c r="K69" s="25" t="str">
        <f>'2.1. DM'!K69</f>
        <v>Fabaceae</v>
      </c>
      <c r="L69" s="25" t="str">
        <f>'2.1. DM'!L69</f>
        <v>Fabales</v>
      </c>
      <c r="M69" s="25" t="str">
        <f>'2.1. DM'!M69</f>
        <v>Tree</v>
      </c>
      <c r="N69" s="25" t="str">
        <f>'2.1. DM'!N69</f>
        <v>58,59, 69</v>
      </c>
      <c r="O69" s="25" t="str">
        <f>'2.1. DM'!O69</f>
        <v>OT-010 (2025)</v>
      </c>
      <c r="P69" s="292" t="s">
        <v>495</v>
      </c>
      <c r="Q69" s="295">
        <v>36.709312615326922</v>
      </c>
      <c r="R69" s="341">
        <f t="shared" ref="R69" si="6">AVERAGE(Q69:Q70)</f>
        <v>36.267308380154496</v>
      </c>
    </row>
    <row r="70" spans="2:18" x14ac:dyDescent="0.35">
      <c r="B70" s="25">
        <f>'2.1. DM'!B70</f>
        <v>60</v>
      </c>
      <c r="C70" s="25">
        <f>'2.1. DM'!C70</f>
        <v>46041</v>
      </c>
      <c r="D70" s="25" t="str">
        <f>'2.1. DM'!D70</f>
        <v>Genbank</v>
      </c>
      <c r="E70" s="25">
        <f>'2.1. DM'!E70</f>
        <v>27</v>
      </c>
      <c r="F70" s="25" t="str">
        <f>'2.1. DM'!F70</f>
        <v>F251757</v>
      </c>
      <c r="G70" s="25" t="str">
        <f>'2.1. DM'!G70</f>
        <v>CIAT-17263</v>
      </c>
      <c r="H70" s="25" t="str">
        <f>'2.1. DM'!H70</f>
        <v>Leucaena</v>
      </c>
      <c r="I70" s="25" t="str">
        <f>'2.1. DM'!I70</f>
        <v>leucocephala</v>
      </c>
      <c r="J70" s="25" t="str">
        <f>'2.1. DM'!J70</f>
        <v>Leucaena leucocephala</v>
      </c>
      <c r="K70" s="25" t="str">
        <f>'2.1. DM'!K70</f>
        <v>Fabaceae</v>
      </c>
      <c r="L70" s="25" t="str">
        <f>'2.1. DM'!L70</f>
        <v>Fabales</v>
      </c>
      <c r="M70" s="25" t="str">
        <f>'2.1. DM'!M70</f>
        <v>Tree</v>
      </c>
      <c r="N70" s="25" t="str">
        <f>'2.1. DM'!N70</f>
        <v>58,59, 69</v>
      </c>
      <c r="O70" s="25" t="str">
        <f>'2.1. DM'!O70</f>
        <v>OT-010 (2025)</v>
      </c>
      <c r="P70" s="293" t="s">
        <v>496</v>
      </c>
      <c r="Q70" s="295">
        <v>35.82530414498207</v>
      </c>
      <c r="R70" s="341"/>
    </row>
    <row r="71" spans="2:18" x14ac:dyDescent="0.35">
      <c r="B71" s="25">
        <f>'2.1. DM'!B71</f>
        <v>61</v>
      </c>
      <c r="C71" s="25">
        <f>'2.1. DM'!C71</f>
        <v>46041</v>
      </c>
      <c r="D71" s="25" t="str">
        <f>'2.1. DM'!D71</f>
        <v>Isabel Molina</v>
      </c>
      <c r="E71" s="25">
        <f>'2.1. DM'!E71</f>
        <v>27</v>
      </c>
      <c r="F71" s="25" t="str">
        <f>'2.1. DM'!F71</f>
        <v>F252640</v>
      </c>
      <c r="G71" s="25" t="str">
        <f>'2.1. DM'!G71</f>
        <v xml:space="preserve"> Cayman Br02_1752</v>
      </c>
      <c r="H71" s="25" t="str">
        <f>'2.1. DM'!H71</f>
        <v>Urochloa</v>
      </c>
      <c r="I71" s="25" t="str">
        <f>'2.1. DM'!I71</f>
        <v>interespecifico</v>
      </c>
      <c r="J71" s="25" t="str">
        <f>'2.1. DM'!J71</f>
        <v>Urochloa interespecifico</v>
      </c>
      <c r="K71" s="25" t="str">
        <f>'2.1. DM'!K71</f>
        <v>Poaceae</v>
      </c>
      <c r="L71" s="25" t="str">
        <f>'2.1. DM'!L71</f>
        <v>Poales</v>
      </c>
      <c r="M71" s="25" t="str">
        <f>'2.1. DM'!M71</f>
        <v>grasses</v>
      </c>
      <c r="N71" s="25" t="str">
        <f>'2.1. DM'!N71</f>
        <v>58,59, 69</v>
      </c>
      <c r="O71" s="25" t="str">
        <f>'2.1. DM'!O71</f>
        <v>OT-034 (2025)</v>
      </c>
      <c r="P71" s="292" t="s">
        <v>495</v>
      </c>
      <c r="Q71" s="76">
        <v>26.267021853926213</v>
      </c>
      <c r="R71" s="341">
        <f t="shared" ref="R71" si="7">AVERAGE(Q71:Q72)</f>
        <v>26.241815612724281</v>
      </c>
    </row>
    <row r="72" spans="2:18" x14ac:dyDescent="0.35">
      <c r="B72" s="25">
        <f>'2.1. DM'!B72</f>
        <v>62</v>
      </c>
      <c r="C72" s="25">
        <f>'2.1. DM'!C72</f>
        <v>46041</v>
      </c>
      <c r="D72" s="25" t="str">
        <f>'2.1. DM'!D72</f>
        <v>Isabel Molina</v>
      </c>
      <c r="E72" s="25">
        <f>'2.1. DM'!E72</f>
        <v>27</v>
      </c>
      <c r="F72" s="25" t="str">
        <f>'2.1. DM'!F72</f>
        <v>F252640</v>
      </c>
      <c r="G72" s="25" t="str">
        <f>'2.1. DM'!G72</f>
        <v xml:space="preserve"> Cayman Br02_1752</v>
      </c>
      <c r="H72" s="25" t="str">
        <f>'2.1. DM'!H72</f>
        <v>Urochloa</v>
      </c>
      <c r="I72" s="25" t="str">
        <f>'2.1. DM'!I72</f>
        <v>interespecifico</v>
      </c>
      <c r="J72" s="25" t="str">
        <f>'2.1. DM'!J72</f>
        <v>Urochloa interespecifico</v>
      </c>
      <c r="K72" s="25" t="str">
        <f>'2.1. DM'!K72</f>
        <v>Poaceae</v>
      </c>
      <c r="L72" s="25" t="str">
        <f>'2.1. DM'!L72</f>
        <v>Poales</v>
      </c>
      <c r="M72" s="25" t="str">
        <f>'2.1. DM'!M72</f>
        <v>grasses</v>
      </c>
      <c r="N72" s="25" t="str">
        <f>'2.1. DM'!N72</f>
        <v>58,59, 69</v>
      </c>
      <c r="O72" s="25" t="str">
        <f>'2.1. DM'!O72</f>
        <v>OT-034 (2025)</v>
      </c>
      <c r="P72" s="293" t="s">
        <v>496</v>
      </c>
      <c r="Q72" s="76">
        <v>26.216609371522352</v>
      </c>
      <c r="R72" s="341"/>
    </row>
    <row r="73" spans="2:18" x14ac:dyDescent="0.35">
      <c r="B73" s="25">
        <f>'2.1. DM'!B73</f>
        <v>63</v>
      </c>
      <c r="C73" s="25">
        <f>'2.1. DM'!C73</f>
        <v>46041</v>
      </c>
      <c r="D73" s="25" t="str">
        <f>'2.1. DM'!D73</f>
        <v>Mauricio Sotelo</v>
      </c>
      <c r="E73" s="25">
        <f>'2.1. DM'!E73</f>
        <v>27</v>
      </c>
      <c r="F73" s="25" t="str">
        <f>'2.1. DM'!F73</f>
        <v>F252641</v>
      </c>
      <c r="G73" s="25" t="str">
        <f>'2.1. DM'!G73</f>
        <v>N/A</v>
      </c>
      <c r="H73" s="25" t="str">
        <f>'2.1. DM'!H73</f>
        <v xml:space="preserve">Gliricidia  </v>
      </c>
      <c r="I73" s="25" t="str">
        <f>'2.1. DM'!I73</f>
        <v>sepium</v>
      </c>
      <c r="J73" s="25" t="str">
        <f>'2.1. DM'!J73</f>
        <v xml:space="preserve">Gliricidia sepium </v>
      </c>
      <c r="K73" s="25" t="str">
        <f>'2.1. DM'!K73</f>
        <v>Fabaceae</v>
      </c>
      <c r="L73" s="25" t="str">
        <f>'2.1. DM'!L73</f>
        <v>Fabales</v>
      </c>
      <c r="M73" s="25" t="str">
        <f>'2.1. DM'!M73</f>
        <v xml:space="preserve">Arbustiva </v>
      </c>
      <c r="N73" s="25" t="str">
        <f>'2.1. DM'!N73</f>
        <v>58,59, 69</v>
      </c>
      <c r="O73" s="25" t="str">
        <f>'2.1. DM'!O73</f>
        <v>OT-035 (2025)</v>
      </c>
      <c r="P73" s="292" t="s">
        <v>495</v>
      </c>
      <c r="Q73" s="76">
        <v>22.47</v>
      </c>
      <c r="R73" s="341">
        <f t="shared" ref="R73" si="8">AVERAGE(Q73:Q74)</f>
        <v>21.939999999999998</v>
      </c>
    </row>
    <row r="74" spans="2:18" x14ac:dyDescent="0.35">
      <c r="B74" s="25">
        <f>'2.1. DM'!B74</f>
        <v>64</v>
      </c>
      <c r="C74" s="25">
        <f>'2.1. DM'!C74</f>
        <v>46041</v>
      </c>
      <c r="D74" s="25" t="str">
        <f>'2.1. DM'!D74</f>
        <v>Mauricio Sotelo</v>
      </c>
      <c r="E74" s="25">
        <f>'2.1. DM'!E74</f>
        <v>27</v>
      </c>
      <c r="F74" s="25" t="str">
        <f>'2.1. DM'!F74</f>
        <v>F252641</v>
      </c>
      <c r="G74" s="25" t="str">
        <f>'2.1. DM'!G74</f>
        <v>N/A</v>
      </c>
      <c r="H74" s="25" t="str">
        <f>'2.1. DM'!H74</f>
        <v xml:space="preserve">Gliricidia  </v>
      </c>
      <c r="I74" s="25" t="str">
        <f>'2.1. DM'!I74</f>
        <v>sepium</v>
      </c>
      <c r="J74" s="25" t="str">
        <f>'2.1. DM'!J74</f>
        <v xml:space="preserve">Gliricidia sepium </v>
      </c>
      <c r="K74" s="25" t="str">
        <f>'2.1. DM'!K74</f>
        <v>Fabaceae</v>
      </c>
      <c r="L74" s="25" t="str">
        <f>'2.1. DM'!L74</f>
        <v>Fabales</v>
      </c>
      <c r="M74" s="25" t="str">
        <f>'2.1. DM'!M74</f>
        <v xml:space="preserve">Arbustiva </v>
      </c>
      <c r="N74" s="25" t="str">
        <f>'2.1. DM'!N74</f>
        <v>58,59, 69</v>
      </c>
      <c r="O74" s="25" t="str">
        <f>'2.1. DM'!O74</f>
        <v>OT-035 (2025)</v>
      </c>
      <c r="P74" s="293" t="s">
        <v>496</v>
      </c>
      <c r="Q74" s="76">
        <v>21.41</v>
      </c>
      <c r="R74" s="341"/>
    </row>
    <row r="75" spans="2:18" x14ac:dyDescent="0.35">
      <c r="B75" s="25">
        <f>'2.1. DM'!B75</f>
        <v>65</v>
      </c>
      <c r="C75" s="25">
        <f>'2.1. DM'!C75</f>
        <v>46041</v>
      </c>
      <c r="D75" s="25" t="str">
        <f>'2.1. DM'!D75</f>
        <v>Jacobo Arango/Alejandro Montoya</v>
      </c>
      <c r="E75" s="25">
        <f>'2.1. DM'!E75</f>
        <v>27</v>
      </c>
      <c r="F75" s="25" t="str">
        <f>'2.1. DM'!F75</f>
        <v>F250008</v>
      </c>
      <c r="G75" s="25" t="str">
        <f>'2.1. DM'!G75</f>
        <v>Sample 8</v>
      </c>
      <c r="H75" s="25" t="str">
        <f>'2.1. DM'!H75</f>
        <v>Cynodon</v>
      </c>
      <c r="I75" s="25" t="str">
        <f>'2.1. DM'!I75</f>
        <v xml:space="preserve"> nlemfuensis </v>
      </c>
      <c r="J75" s="25" t="str">
        <f>'2.1. DM'!J75</f>
        <v xml:space="preserve">Cynodon nlemfuensis </v>
      </c>
      <c r="K75" s="25" t="str">
        <f>'2.1. DM'!K75</f>
        <v>Poaceae</v>
      </c>
      <c r="L75" s="25" t="str">
        <f>'2.1. DM'!L75</f>
        <v>Poales</v>
      </c>
      <c r="M75" s="25" t="str">
        <f>'2.1. DM'!M75</f>
        <v>grasses</v>
      </c>
      <c r="N75" s="25" t="str">
        <f>'2.1. DM'!N75</f>
        <v>58,59, 69</v>
      </c>
      <c r="O75" s="25" t="str">
        <f>'2.1. DM'!O75</f>
        <v>OT-002</v>
      </c>
      <c r="P75" s="292" t="s">
        <v>495</v>
      </c>
      <c r="Q75" s="76"/>
      <c r="R75" s="341">
        <v>37.799999999999997</v>
      </c>
    </row>
    <row r="76" spans="2:18" x14ac:dyDescent="0.35">
      <c r="B76" s="25">
        <f>'2.1. DM'!B76</f>
        <v>66</v>
      </c>
      <c r="C76" s="25">
        <f>'2.1. DM'!C76</f>
        <v>46041</v>
      </c>
      <c r="D76" s="25" t="str">
        <f>'2.1. DM'!D76</f>
        <v>Jacobo Arango/Alejandro Montoya</v>
      </c>
      <c r="E76" s="25">
        <f>'2.1. DM'!E76</f>
        <v>27</v>
      </c>
      <c r="F76" s="25" t="str">
        <f>'2.1. DM'!F76</f>
        <v>F250008</v>
      </c>
      <c r="G76" s="25" t="str">
        <f>'2.1. DM'!G76</f>
        <v>Sample 8</v>
      </c>
      <c r="H76" s="25" t="str">
        <f>'2.1. DM'!H76</f>
        <v>Cynodon</v>
      </c>
      <c r="I76" s="25" t="str">
        <f>'2.1. DM'!I76</f>
        <v xml:space="preserve"> nlemfuensis </v>
      </c>
      <c r="J76" s="25" t="str">
        <f>'2.1. DM'!J76</f>
        <v xml:space="preserve">Cynodon nlemfuensis </v>
      </c>
      <c r="K76" s="25" t="str">
        <f>'2.1. DM'!K76</f>
        <v>Poaceae</v>
      </c>
      <c r="L76" s="25" t="str">
        <f>'2.1. DM'!L76</f>
        <v>Poales</v>
      </c>
      <c r="M76" s="25" t="str">
        <f>'2.1. DM'!M76</f>
        <v>grasses</v>
      </c>
      <c r="N76" s="25" t="str">
        <f>'2.1. DM'!N76</f>
        <v>58,59, 69</v>
      </c>
      <c r="O76" s="25" t="str">
        <f>'2.1. DM'!O76</f>
        <v>OT-002</v>
      </c>
      <c r="P76" s="293" t="s">
        <v>496</v>
      </c>
      <c r="Q76" s="76"/>
      <c r="R76" s="341"/>
    </row>
    <row r="77" spans="2:18" x14ac:dyDescent="0.35">
      <c r="B77" s="25">
        <f>'2.1. DM'!B77</f>
        <v>67</v>
      </c>
      <c r="C77" s="25">
        <f>'2.1. DM'!C77</f>
        <v>46048</v>
      </c>
      <c r="D77" s="25" t="str">
        <f>'2.1. DM'!D77</f>
        <v>Genbank</v>
      </c>
      <c r="E77" s="25">
        <f>'2.1. DM'!E77</f>
        <v>28</v>
      </c>
      <c r="F77" s="25" t="str">
        <f>'2.1. DM'!F77</f>
        <v>F251758</v>
      </c>
      <c r="G77" s="25" t="str">
        <f>'2.1. DM'!G77</f>
        <v>CIAT-17459</v>
      </c>
      <c r="H77" s="25" t="str">
        <f>'2.1. DM'!H77</f>
        <v>Erythrina</v>
      </c>
      <c r="I77" s="25" t="str">
        <f>'2.1. DM'!I77</f>
        <v>berteroana</v>
      </c>
      <c r="J77" s="25" t="str">
        <f>'2.1. DM'!J77</f>
        <v>Erythrina berteroana</v>
      </c>
      <c r="K77" s="25" t="str">
        <f>'2.1. DM'!K77</f>
        <v>Fabaceae</v>
      </c>
      <c r="L77" s="25" t="str">
        <f>'2.1. DM'!L77</f>
        <v>Fabales</v>
      </c>
      <c r="M77" s="25" t="str">
        <f>'2.1. DM'!M77</f>
        <v>Tree</v>
      </c>
      <c r="N77" s="25" t="str">
        <f>'2.1. DM'!N77</f>
        <v>60,61, 62</v>
      </c>
      <c r="O77" s="25" t="str">
        <f>'2.1. DM'!O77</f>
        <v>OT-010</v>
      </c>
      <c r="P77" s="292" t="s">
        <v>495</v>
      </c>
      <c r="Q77" s="295">
        <v>37.936299023150497</v>
      </c>
      <c r="R77" s="341">
        <f t="shared" ref="R77" si="9">AVERAGE(Q77:Q78)</f>
        <v>38.255378696896031</v>
      </c>
    </row>
    <row r="78" spans="2:18" x14ac:dyDescent="0.35">
      <c r="B78" s="25">
        <f>'2.1. DM'!B78</f>
        <v>68</v>
      </c>
      <c r="C78" s="25">
        <f>'2.1. DM'!C78</f>
        <v>46048</v>
      </c>
      <c r="D78" s="25" t="str">
        <f>'2.1. DM'!D78</f>
        <v>Genbank</v>
      </c>
      <c r="E78" s="25">
        <f>'2.1. DM'!E78</f>
        <v>28</v>
      </c>
      <c r="F78" s="25" t="str">
        <f>'2.1. DM'!F78</f>
        <v>F251758</v>
      </c>
      <c r="G78" s="25" t="str">
        <f>'2.1. DM'!G78</f>
        <v>CIAT-17459</v>
      </c>
      <c r="H78" s="25" t="str">
        <f>'2.1. DM'!H78</f>
        <v>Erythrina</v>
      </c>
      <c r="I78" s="25" t="str">
        <f>'2.1. DM'!I78</f>
        <v>berteroana</v>
      </c>
      <c r="J78" s="25" t="str">
        <f>'2.1. DM'!J78</f>
        <v>Erythrina berteroana</v>
      </c>
      <c r="K78" s="25" t="str">
        <f>'2.1. DM'!K78</f>
        <v>Fabaceae</v>
      </c>
      <c r="L78" s="25" t="str">
        <f>'2.1. DM'!L78</f>
        <v>Fabales</v>
      </c>
      <c r="M78" s="25" t="str">
        <f>'2.1. DM'!M78</f>
        <v>Tree</v>
      </c>
      <c r="N78" s="25" t="str">
        <f>'2.1. DM'!N78</f>
        <v>60,61, 62</v>
      </c>
      <c r="O78" s="25" t="str">
        <f>'2.1. DM'!O78</f>
        <v>OT-010</v>
      </c>
      <c r="P78" s="293" t="s">
        <v>496</v>
      </c>
      <c r="Q78" s="295">
        <v>38.574458370641572</v>
      </c>
      <c r="R78" s="341"/>
    </row>
    <row r="79" spans="2:18" x14ac:dyDescent="0.35">
      <c r="B79" s="25">
        <f>'2.1. DM'!B79</f>
        <v>69</v>
      </c>
      <c r="C79" s="25">
        <f>'2.1. DM'!C79</f>
        <v>46048</v>
      </c>
      <c r="D79" s="25" t="str">
        <f>'2.1. DM'!D79</f>
        <v>Genbank</v>
      </c>
      <c r="E79" s="25">
        <f>'2.1. DM'!E79</f>
        <v>28</v>
      </c>
      <c r="F79" s="25" t="str">
        <f>'2.1. DM'!F79</f>
        <v>F251759</v>
      </c>
      <c r="G79" s="25" t="str">
        <f>'2.1. DM'!G79</f>
        <v>CIAT-17482</v>
      </c>
      <c r="H79" s="25" t="str">
        <f>'2.1. DM'!H79</f>
        <v>Leucaena</v>
      </c>
      <c r="I79" s="25" t="str">
        <f>'2.1. DM'!I79</f>
        <v>leucocephala</v>
      </c>
      <c r="J79" s="25" t="str">
        <f>'2.1. DM'!J79</f>
        <v>Leucaena leucocephala</v>
      </c>
      <c r="K79" s="25" t="str">
        <f>'2.1. DM'!K79</f>
        <v>Fabaceae</v>
      </c>
      <c r="L79" s="25" t="str">
        <f>'2.1. DM'!L79</f>
        <v>Fabales</v>
      </c>
      <c r="M79" s="25" t="str">
        <f>'2.1. DM'!M79</f>
        <v>Tree</v>
      </c>
      <c r="N79" s="25" t="str">
        <f>'2.1. DM'!N79</f>
        <v>60,61, 62</v>
      </c>
      <c r="O79" s="25" t="str">
        <f>'2.1. DM'!O79</f>
        <v>OT-010</v>
      </c>
      <c r="P79" s="292" t="s">
        <v>495</v>
      </c>
      <c r="Q79" s="295">
        <v>32.666747322267156</v>
      </c>
      <c r="R79" s="341">
        <f t="shared" ref="R79" si="10">AVERAGE(Q79:Q80)</f>
        <v>33.112273468271319</v>
      </c>
    </row>
    <row r="80" spans="2:18" x14ac:dyDescent="0.35">
      <c r="B80" s="25">
        <f>'2.1. DM'!B80</f>
        <v>70</v>
      </c>
      <c r="C80" s="25">
        <f>'2.1. DM'!C80</f>
        <v>46048</v>
      </c>
      <c r="D80" s="25" t="str">
        <f>'2.1. DM'!D80</f>
        <v>Genbank</v>
      </c>
      <c r="E80" s="25">
        <f>'2.1. DM'!E80</f>
        <v>28</v>
      </c>
      <c r="F80" s="25" t="str">
        <f>'2.1. DM'!F80</f>
        <v>F251759</v>
      </c>
      <c r="G80" s="25" t="str">
        <f>'2.1. DM'!G80</f>
        <v>CIAT-17482</v>
      </c>
      <c r="H80" s="25" t="str">
        <f>'2.1. DM'!H80</f>
        <v>Leucaena</v>
      </c>
      <c r="I80" s="25" t="str">
        <f>'2.1. DM'!I80</f>
        <v>leucocephala</v>
      </c>
      <c r="J80" s="25" t="str">
        <f>'2.1. DM'!J80</f>
        <v>Leucaena leucocephala</v>
      </c>
      <c r="K80" s="25" t="str">
        <f>'2.1. DM'!K80</f>
        <v>Fabaceae</v>
      </c>
      <c r="L80" s="25" t="str">
        <f>'2.1. DM'!L80</f>
        <v>Fabales</v>
      </c>
      <c r="M80" s="25" t="str">
        <f>'2.1. DM'!M80</f>
        <v>Tree</v>
      </c>
      <c r="N80" s="25" t="str">
        <f>'2.1. DM'!N80</f>
        <v>60,61, 62</v>
      </c>
      <c r="O80" s="25" t="str">
        <f>'2.1. DM'!O80</f>
        <v>OT-010</v>
      </c>
      <c r="P80" s="293" t="s">
        <v>496</v>
      </c>
      <c r="Q80" s="295">
        <v>33.557799614275481</v>
      </c>
      <c r="R80" s="341"/>
    </row>
    <row r="81" spans="2:18" x14ac:dyDescent="0.35">
      <c r="B81" s="25">
        <f>'2.1. DM'!B81</f>
        <v>71</v>
      </c>
      <c r="C81" s="25">
        <f>'2.1. DM'!C81</f>
        <v>46048</v>
      </c>
      <c r="D81" s="25" t="str">
        <f>'2.1. DM'!D81</f>
        <v>Genbank</v>
      </c>
      <c r="E81" s="25">
        <f>'2.1. DM'!E81</f>
        <v>28</v>
      </c>
      <c r="F81" s="25" t="str">
        <f>'2.1. DM'!F81</f>
        <v>F251760</v>
      </c>
      <c r="G81" s="25" t="str">
        <f>'2.1. DM'!G81</f>
        <v>CIAT-17502</v>
      </c>
      <c r="H81" s="25" t="str">
        <f>'2.1. DM'!H81</f>
        <v>Leucaena</v>
      </c>
      <c r="I81" s="25" t="str">
        <f>'2.1. DM'!I81</f>
        <v>leucocephala</v>
      </c>
      <c r="J81" s="25" t="str">
        <f>'2.1. DM'!J81</f>
        <v>Leucaena leucocephala</v>
      </c>
      <c r="K81" s="25" t="str">
        <f>'2.1. DM'!K81</f>
        <v>Fabaceae</v>
      </c>
      <c r="L81" s="25" t="str">
        <f>'2.1. DM'!L81</f>
        <v>Fabales</v>
      </c>
      <c r="M81" s="25" t="str">
        <f>'2.1. DM'!M81</f>
        <v>Tree</v>
      </c>
      <c r="N81" s="25" t="str">
        <f>'2.1. DM'!N81</f>
        <v>60,61, 62</v>
      </c>
      <c r="O81" s="25" t="str">
        <f>'2.1. DM'!O81</f>
        <v>OT-010</v>
      </c>
      <c r="P81" s="292" t="s">
        <v>495</v>
      </c>
      <c r="Q81" s="295">
        <v>36.633509942340545</v>
      </c>
      <c r="R81" s="341">
        <f t="shared" ref="R81" si="11">AVERAGE(Q81:Q82)</f>
        <v>35.484542060923772</v>
      </c>
    </row>
    <row r="82" spans="2:18" x14ac:dyDescent="0.35">
      <c r="B82" s="25">
        <f>'2.1. DM'!B82</f>
        <v>72</v>
      </c>
      <c r="C82" s="25">
        <f>'2.1. DM'!C82</f>
        <v>46048</v>
      </c>
      <c r="D82" s="25" t="str">
        <f>'2.1. DM'!D82</f>
        <v>Genbank</v>
      </c>
      <c r="E82" s="25">
        <f>'2.1. DM'!E82</f>
        <v>28</v>
      </c>
      <c r="F82" s="25" t="str">
        <f>'2.1. DM'!F82</f>
        <v>F251760</v>
      </c>
      <c r="G82" s="25" t="str">
        <f>'2.1. DM'!G82</f>
        <v>CIAT-17502</v>
      </c>
      <c r="H82" s="25" t="str">
        <f>'2.1. DM'!H82</f>
        <v>Leucaena</v>
      </c>
      <c r="I82" s="25" t="str">
        <f>'2.1. DM'!I82</f>
        <v>leucocephala</v>
      </c>
      <c r="J82" s="25" t="str">
        <f>'2.1. DM'!J82</f>
        <v>Leucaena leucocephala</v>
      </c>
      <c r="K82" s="25" t="str">
        <f>'2.1. DM'!K82</f>
        <v>Fabaceae</v>
      </c>
      <c r="L82" s="25" t="str">
        <f>'2.1. DM'!L82</f>
        <v>Fabales</v>
      </c>
      <c r="M82" s="25" t="str">
        <f>'2.1. DM'!M82</f>
        <v>Tree</v>
      </c>
      <c r="N82" s="25" t="str">
        <f>'2.1. DM'!N82</f>
        <v>60,61, 62</v>
      </c>
      <c r="O82" s="25" t="str">
        <f>'2.1. DM'!O82</f>
        <v>OT-010</v>
      </c>
      <c r="P82" s="293" t="s">
        <v>496</v>
      </c>
      <c r="Q82" s="295">
        <v>34.335574179506992</v>
      </c>
      <c r="R82" s="341"/>
    </row>
    <row r="83" spans="2:18" x14ac:dyDescent="0.35">
      <c r="B83" s="25">
        <f>'2.1. DM'!B83</f>
        <v>73</v>
      </c>
      <c r="C83" s="25">
        <f>'2.1. DM'!C83</f>
        <v>46048</v>
      </c>
      <c r="D83" s="25" t="str">
        <f>'2.1. DM'!D83</f>
        <v>Genbank</v>
      </c>
      <c r="E83" s="25">
        <f>'2.1. DM'!E83</f>
        <v>28</v>
      </c>
      <c r="F83" s="25" t="str">
        <f>'2.1. DM'!F83</f>
        <v>F251761</v>
      </c>
      <c r="G83" s="25" t="str">
        <f>'2.1. DM'!G83</f>
        <v>CIAT-19384</v>
      </c>
      <c r="H83" s="25" t="str">
        <f>'2.1. DM'!H83</f>
        <v>Prosopis</v>
      </c>
      <c r="I83" s="25" t="str">
        <f>'2.1. DM'!I83</f>
        <v>juliflora</v>
      </c>
      <c r="J83" s="25" t="str">
        <f>'2.1. DM'!J83</f>
        <v>Prosopis juliflora</v>
      </c>
      <c r="K83" s="25" t="str">
        <f>'2.1. DM'!K83</f>
        <v>Fabaceae</v>
      </c>
      <c r="L83" s="25" t="str">
        <f>'2.1. DM'!L83</f>
        <v>Fabales</v>
      </c>
      <c r="M83" s="25" t="str">
        <f>'2.1. DM'!M83</f>
        <v>Tree</v>
      </c>
      <c r="N83" s="25" t="str">
        <f>'2.1. DM'!N83</f>
        <v>60,61, 62</v>
      </c>
      <c r="O83" s="25" t="str">
        <f>'2.1. DM'!O83</f>
        <v>OT-010</v>
      </c>
      <c r="P83" s="292" t="s">
        <v>495</v>
      </c>
      <c r="Q83" s="295">
        <v>30.728014202455089</v>
      </c>
      <c r="R83" s="341">
        <f t="shared" ref="R83" si="12">AVERAGE(Q83:Q84)</f>
        <v>31.536903466218028</v>
      </c>
    </row>
    <row r="84" spans="2:18" x14ac:dyDescent="0.35">
      <c r="B84" s="25">
        <f>'2.1. DM'!B84</f>
        <v>74</v>
      </c>
      <c r="C84" s="25">
        <f>'2.1. DM'!C84</f>
        <v>46048</v>
      </c>
      <c r="D84" s="25" t="str">
        <f>'2.1. DM'!D84</f>
        <v>Genbank</v>
      </c>
      <c r="E84" s="25">
        <f>'2.1. DM'!E84</f>
        <v>28</v>
      </c>
      <c r="F84" s="25" t="str">
        <f>'2.1. DM'!F84</f>
        <v>F251761</v>
      </c>
      <c r="G84" s="25" t="str">
        <f>'2.1. DM'!G84</f>
        <v>CIAT-19384</v>
      </c>
      <c r="H84" s="25" t="str">
        <f>'2.1. DM'!H84</f>
        <v>Prosopis</v>
      </c>
      <c r="I84" s="25" t="str">
        <f>'2.1. DM'!I84</f>
        <v>juliflora</v>
      </c>
      <c r="J84" s="25" t="str">
        <f>'2.1. DM'!J84</f>
        <v>Prosopis juliflora</v>
      </c>
      <c r="K84" s="25" t="str">
        <f>'2.1. DM'!K84</f>
        <v>Fabaceae</v>
      </c>
      <c r="L84" s="25" t="str">
        <f>'2.1. DM'!L84</f>
        <v>Fabales</v>
      </c>
      <c r="M84" s="25" t="str">
        <f>'2.1. DM'!M84</f>
        <v>Tree</v>
      </c>
      <c r="N84" s="25" t="str">
        <f>'2.1. DM'!N84</f>
        <v>60,61, 62</v>
      </c>
      <c r="O84" s="25" t="str">
        <f>'2.1. DM'!O84</f>
        <v>OT-010</v>
      </c>
      <c r="P84" s="293" t="s">
        <v>496</v>
      </c>
      <c r="Q84" s="295">
        <v>32.345792729980964</v>
      </c>
      <c r="R84" s="341"/>
    </row>
    <row r="85" spans="2:18" x14ac:dyDescent="0.35">
      <c r="B85" s="25">
        <f>'2.1. DM'!B85</f>
        <v>75</v>
      </c>
      <c r="C85" s="25">
        <f>'2.1. DM'!C85</f>
        <v>46048</v>
      </c>
      <c r="D85" s="25" t="str">
        <f>'2.1. DM'!D85</f>
        <v>Genbank</v>
      </c>
      <c r="E85" s="25">
        <f>'2.1. DM'!E85</f>
        <v>28</v>
      </c>
      <c r="F85" s="25" t="str">
        <f>'2.1. DM'!F85</f>
        <v>F251762</v>
      </c>
      <c r="G85" s="25" t="str">
        <f>'2.1. DM'!G85</f>
        <v>CIAT-19571</v>
      </c>
      <c r="H85" s="25" t="str">
        <f>'2.1. DM'!H85</f>
        <v>Senna</v>
      </c>
      <c r="I85" s="25" t="str">
        <f>'2.1. DM'!I85</f>
        <v>cobanensis</v>
      </c>
      <c r="J85" s="25" t="str">
        <f>'2.1. DM'!J85</f>
        <v>Senna cobanensis</v>
      </c>
      <c r="K85" s="25" t="str">
        <f>'2.1. DM'!K85</f>
        <v>Fabaceae</v>
      </c>
      <c r="L85" s="25" t="str">
        <f>'2.1. DM'!L85</f>
        <v>Fabales</v>
      </c>
      <c r="M85" s="25" t="str">
        <f>'2.1. DM'!M85</f>
        <v>Tree</v>
      </c>
      <c r="N85" s="25" t="str">
        <f>'2.1. DM'!N85</f>
        <v>60,61, 62</v>
      </c>
      <c r="O85" s="25" t="str">
        <f>'2.1. DM'!O85</f>
        <v>OT-010</v>
      </c>
      <c r="P85" s="292" t="s">
        <v>495</v>
      </c>
      <c r="Q85" s="295">
        <v>42.547984735778918</v>
      </c>
      <c r="R85" s="341">
        <f t="shared" ref="R85:R103" si="13">AVERAGE(Q85:Q86)</f>
        <v>42.269414623947</v>
      </c>
    </row>
    <row r="86" spans="2:18" x14ac:dyDescent="0.35">
      <c r="B86" s="25">
        <f>'2.1. DM'!B86</f>
        <v>76</v>
      </c>
      <c r="C86" s="25">
        <f>'2.1. DM'!C86</f>
        <v>46048</v>
      </c>
      <c r="D86" s="25" t="str">
        <f>'2.1. DM'!D86</f>
        <v>Genbank</v>
      </c>
      <c r="E86" s="25">
        <f>'2.1. DM'!E86</f>
        <v>28</v>
      </c>
      <c r="F86" s="25" t="str">
        <f>'2.1. DM'!F86</f>
        <v>F251762</v>
      </c>
      <c r="G86" s="25" t="str">
        <f>'2.1. DM'!G86</f>
        <v>CIAT-19571</v>
      </c>
      <c r="H86" s="25" t="str">
        <f>'2.1. DM'!H86</f>
        <v>Senna</v>
      </c>
      <c r="I86" s="25" t="str">
        <f>'2.1. DM'!I86</f>
        <v>cobanensis</v>
      </c>
      <c r="J86" s="25" t="str">
        <f>'2.1. DM'!J86</f>
        <v>Senna cobanensis</v>
      </c>
      <c r="K86" s="25" t="str">
        <f>'2.1. DM'!K86</f>
        <v>Fabaceae</v>
      </c>
      <c r="L86" s="25" t="str">
        <f>'2.1. DM'!L86</f>
        <v>Fabales</v>
      </c>
      <c r="M86" s="25" t="str">
        <f>'2.1. DM'!M86</f>
        <v>Tree</v>
      </c>
      <c r="N86" s="25" t="str">
        <f>'2.1. DM'!N86</f>
        <v>60,61, 62</v>
      </c>
      <c r="O86" s="25" t="str">
        <f>'2.1. DM'!O86</f>
        <v>OT-010</v>
      </c>
      <c r="P86" s="293" t="s">
        <v>496</v>
      </c>
      <c r="Q86" s="295">
        <v>41.990844512115089</v>
      </c>
      <c r="R86" s="341"/>
    </row>
    <row r="87" spans="2:18" x14ac:dyDescent="0.35">
      <c r="B87" s="25">
        <f>'2.1. DM'!B87</f>
        <v>77</v>
      </c>
      <c r="C87" s="25">
        <f>'2.1. DM'!C87</f>
        <v>46048</v>
      </c>
      <c r="D87" s="25" t="str">
        <f>'2.1. DM'!D87</f>
        <v>Genbank</v>
      </c>
      <c r="E87" s="25">
        <f>'2.1. DM'!E87</f>
        <v>28</v>
      </c>
      <c r="F87" s="25" t="str">
        <f>'2.1. DM'!F87</f>
        <v>F251763</v>
      </c>
      <c r="G87" s="25" t="str">
        <f>'2.1. DM'!G87</f>
        <v>CIAT-20126</v>
      </c>
      <c r="H87" s="25" t="str">
        <f>'2.1. DM'!H87</f>
        <v>Acacia</v>
      </c>
      <c r="I87" s="25" t="str">
        <f>'2.1. DM'!I87</f>
        <v>angustissima</v>
      </c>
      <c r="J87" s="25" t="str">
        <f>'2.1. DM'!J87</f>
        <v>Acacia angustissima</v>
      </c>
      <c r="K87" s="25" t="str">
        <f>'2.1. DM'!K87</f>
        <v>Fabaceae</v>
      </c>
      <c r="L87" s="25" t="str">
        <f>'2.1. DM'!L87</f>
        <v>Fabales</v>
      </c>
      <c r="M87" s="25" t="str">
        <f>'2.1. DM'!M87</f>
        <v>Tree</v>
      </c>
      <c r="N87" s="25" t="str">
        <f>'2.1. DM'!N87</f>
        <v>60,61, 62</v>
      </c>
      <c r="O87" s="25" t="str">
        <f>'2.1. DM'!O87</f>
        <v>OT-010</v>
      </c>
      <c r="P87" s="292" t="s">
        <v>495</v>
      </c>
      <c r="Q87" s="295">
        <v>48.097888552549549</v>
      </c>
      <c r="R87" s="341">
        <f t="shared" ref="R87:R105" si="14">AVERAGE(Q87:Q88)</f>
        <v>47.802178005032687</v>
      </c>
    </row>
    <row r="88" spans="2:18" x14ac:dyDescent="0.35">
      <c r="B88" s="25">
        <f>'2.1. DM'!B88</f>
        <v>78</v>
      </c>
      <c r="C88" s="25">
        <f>'2.1. DM'!C88</f>
        <v>46048</v>
      </c>
      <c r="D88" s="25" t="str">
        <f>'2.1. DM'!D88</f>
        <v>Genbank</v>
      </c>
      <c r="E88" s="25">
        <f>'2.1. DM'!E88</f>
        <v>28</v>
      </c>
      <c r="F88" s="25" t="str">
        <f>'2.1. DM'!F88</f>
        <v>F251763</v>
      </c>
      <c r="G88" s="25" t="str">
        <f>'2.1. DM'!G88</f>
        <v>CIAT-20126</v>
      </c>
      <c r="H88" s="25" t="str">
        <f>'2.1. DM'!H88</f>
        <v>Acacia</v>
      </c>
      <c r="I88" s="25" t="str">
        <f>'2.1. DM'!I88</f>
        <v>angustissima</v>
      </c>
      <c r="J88" s="25" t="str">
        <f>'2.1. DM'!J88</f>
        <v>Acacia angustissima</v>
      </c>
      <c r="K88" s="25" t="str">
        <f>'2.1. DM'!K88</f>
        <v>Fabaceae</v>
      </c>
      <c r="L88" s="25" t="str">
        <f>'2.1. DM'!L88</f>
        <v>Fabales</v>
      </c>
      <c r="M88" s="25" t="str">
        <f>'2.1. DM'!M88</f>
        <v>Tree</v>
      </c>
      <c r="N88" s="25" t="str">
        <f>'2.1. DM'!N88</f>
        <v>60,61, 62</v>
      </c>
      <c r="O88" s="25" t="str">
        <f>'2.1. DM'!O88</f>
        <v>OT-010</v>
      </c>
      <c r="P88" s="293" t="s">
        <v>496</v>
      </c>
      <c r="Q88" s="295">
        <v>47.506467457515832</v>
      </c>
      <c r="R88" s="341"/>
    </row>
    <row r="89" spans="2:18" x14ac:dyDescent="0.35">
      <c r="B89" s="25">
        <f>'2.1. DM'!B89</f>
        <v>79</v>
      </c>
      <c r="C89" s="25">
        <f>'2.1. DM'!C89</f>
        <v>46048</v>
      </c>
      <c r="D89" s="25" t="str">
        <f>'2.1. DM'!D89</f>
        <v>Genbank</v>
      </c>
      <c r="E89" s="25">
        <f>'2.1. DM'!E89</f>
        <v>28</v>
      </c>
      <c r="F89" s="25" t="str">
        <f>'2.1. DM'!F89</f>
        <v>F251764</v>
      </c>
      <c r="G89" s="25" t="str">
        <f>'2.1. DM'!G89</f>
        <v>CIAT-20788</v>
      </c>
      <c r="H89" s="25" t="str">
        <f>'2.1. DM'!H89</f>
        <v>Senna</v>
      </c>
      <c r="I89" s="25" t="str">
        <f>'2.1. DM'!I89</f>
        <v>pallida</v>
      </c>
      <c r="J89" s="25" t="str">
        <f>'2.1. DM'!J89</f>
        <v>Senna pallida</v>
      </c>
      <c r="K89" s="25" t="str">
        <f>'2.1. DM'!K89</f>
        <v>Fabaceae</v>
      </c>
      <c r="L89" s="25" t="str">
        <f>'2.1. DM'!L89</f>
        <v>Fabales</v>
      </c>
      <c r="M89" s="25" t="str">
        <f>'2.1. DM'!M89</f>
        <v>Tree</v>
      </c>
      <c r="N89" s="25" t="str">
        <f>'2.1. DM'!N89</f>
        <v>60,61, 62</v>
      </c>
      <c r="O89" s="25" t="str">
        <f>'2.1. DM'!O89</f>
        <v>OT-010</v>
      </c>
      <c r="P89" s="292" t="s">
        <v>495</v>
      </c>
      <c r="Q89" s="295">
        <v>30.232350736776002</v>
      </c>
      <c r="R89" s="341">
        <f t="shared" ref="R89:R107" si="15">AVERAGE(Q89:Q90)</f>
        <v>30.685165397246124</v>
      </c>
    </row>
    <row r="90" spans="2:18" x14ac:dyDescent="0.35">
      <c r="B90" s="25">
        <f>'2.1. DM'!B90</f>
        <v>80</v>
      </c>
      <c r="C90" s="25">
        <f>'2.1. DM'!C90</f>
        <v>46048</v>
      </c>
      <c r="D90" s="25" t="str">
        <f>'2.1. DM'!D90</f>
        <v>Genbank</v>
      </c>
      <c r="E90" s="25">
        <f>'2.1. DM'!E90</f>
        <v>28</v>
      </c>
      <c r="F90" s="25" t="str">
        <f>'2.1. DM'!F90</f>
        <v>F251764</v>
      </c>
      <c r="G90" s="25" t="str">
        <f>'2.1. DM'!G90</f>
        <v>CIAT-20788</v>
      </c>
      <c r="H90" s="25" t="str">
        <f>'2.1. DM'!H90</f>
        <v>Senna</v>
      </c>
      <c r="I90" s="25" t="str">
        <f>'2.1. DM'!I90</f>
        <v>pallida</v>
      </c>
      <c r="J90" s="25" t="str">
        <f>'2.1. DM'!J90</f>
        <v>Senna pallida</v>
      </c>
      <c r="K90" s="25" t="str">
        <f>'2.1. DM'!K90</f>
        <v>Fabaceae</v>
      </c>
      <c r="L90" s="25" t="str">
        <f>'2.1. DM'!L90</f>
        <v>Fabales</v>
      </c>
      <c r="M90" s="25" t="str">
        <f>'2.1. DM'!M90</f>
        <v>Tree</v>
      </c>
      <c r="N90" s="25" t="str">
        <f>'2.1. DM'!N90</f>
        <v>60,61, 62</v>
      </c>
      <c r="O90" s="25" t="str">
        <f>'2.1. DM'!O90</f>
        <v>OT-010</v>
      </c>
      <c r="P90" s="293" t="s">
        <v>496</v>
      </c>
      <c r="Q90" s="295">
        <v>31.137980057716248</v>
      </c>
      <c r="R90" s="341"/>
    </row>
    <row r="91" spans="2:18" x14ac:dyDescent="0.35">
      <c r="B91" s="25">
        <f>'2.1. DM'!B91</f>
        <v>81</v>
      </c>
      <c r="C91" s="25">
        <f>'2.1. DM'!C91</f>
        <v>46048</v>
      </c>
      <c r="D91" s="25" t="str">
        <f>'2.1. DM'!D91</f>
        <v>Genbank</v>
      </c>
      <c r="E91" s="25">
        <f>'2.1. DM'!E91</f>
        <v>28</v>
      </c>
      <c r="F91" s="25" t="str">
        <f>'2.1. DM'!F91</f>
        <v>F251765</v>
      </c>
      <c r="G91" s="25" t="str">
        <f>'2.1. DM'!G91</f>
        <v>CIAT-21242</v>
      </c>
      <c r="H91" s="25" t="str">
        <f>'2.1. DM'!H91</f>
        <v>Leucaena</v>
      </c>
      <c r="I91" s="25" t="str">
        <f>'2.1. DM'!I91</f>
        <v>diversifolia</v>
      </c>
      <c r="J91" s="25" t="str">
        <f>'2.1. DM'!J91</f>
        <v>Leucaena diversifolia</v>
      </c>
      <c r="K91" s="25" t="str">
        <f>'2.1. DM'!K91</f>
        <v>Fabaceae</v>
      </c>
      <c r="L91" s="25" t="str">
        <f>'2.1. DM'!L91</f>
        <v>Fabales</v>
      </c>
      <c r="M91" s="25" t="str">
        <f>'2.1. DM'!M91</f>
        <v>Tree</v>
      </c>
      <c r="N91" s="25" t="str">
        <f>'2.1. DM'!N91</f>
        <v>60,61, 62</v>
      </c>
      <c r="O91" s="25" t="str">
        <f>'2.1. DM'!O91</f>
        <v>OT-010</v>
      </c>
      <c r="P91" s="292" t="s">
        <v>495</v>
      </c>
      <c r="Q91" s="295">
        <v>45.048343912260478</v>
      </c>
      <c r="R91" s="341">
        <f t="shared" ref="R91:R109" si="16">AVERAGE(Q91:Q92)</f>
        <v>45.755774826170828</v>
      </c>
    </row>
    <row r="92" spans="2:18" x14ac:dyDescent="0.35">
      <c r="B92" s="25">
        <f>'2.1. DM'!B92</f>
        <v>82</v>
      </c>
      <c r="C92" s="25">
        <f>'2.1. DM'!C92</f>
        <v>46048</v>
      </c>
      <c r="D92" s="25" t="str">
        <f>'2.1. DM'!D92</f>
        <v>Genbank</v>
      </c>
      <c r="E92" s="25">
        <f>'2.1. DM'!E92</f>
        <v>28</v>
      </c>
      <c r="F92" s="25" t="str">
        <f>'2.1. DM'!F92</f>
        <v>F251765</v>
      </c>
      <c r="G92" s="25" t="str">
        <f>'2.1. DM'!G92</f>
        <v>CIAT-21242</v>
      </c>
      <c r="H92" s="25" t="str">
        <f>'2.1. DM'!H92</f>
        <v>Leucaena</v>
      </c>
      <c r="I92" s="25" t="str">
        <f>'2.1. DM'!I92</f>
        <v>diversifolia</v>
      </c>
      <c r="J92" s="25" t="str">
        <f>'2.1. DM'!J92</f>
        <v>Leucaena diversifolia</v>
      </c>
      <c r="K92" s="25" t="str">
        <f>'2.1. DM'!K92</f>
        <v>Fabaceae</v>
      </c>
      <c r="L92" s="25" t="str">
        <f>'2.1. DM'!L92</f>
        <v>Fabales</v>
      </c>
      <c r="M92" s="25" t="str">
        <f>'2.1. DM'!M92</f>
        <v>Tree</v>
      </c>
      <c r="N92" s="25" t="str">
        <f>'2.1. DM'!N92</f>
        <v>60,61, 62</v>
      </c>
      <c r="O92" s="25" t="str">
        <f>'2.1. DM'!O92</f>
        <v>OT-010</v>
      </c>
      <c r="P92" s="293" t="s">
        <v>496</v>
      </c>
      <c r="Q92" s="295">
        <v>46.463205740081179</v>
      </c>
      <c r="R92" s="341"/>
    </row>
    <row r="93" spans="2:18" x14ac:dyDescent="0.35">
      <c r="B93" s="25">
        <f>'2.1. DM'!B93</f>
        <v>83</v>
      </c>
      <c r="C93" s="25">
        <f>'2.1. DM'!C93</f>
        <v>46048</v>
      </c>
      <c r="D93" s="25" t="str">
        <f>'2.1. DM'!D93</f>
        <v>Genbank</v>
      </c>
      <c r="E93" s="25">
        <f>'2.1. DM'!E93</f>
        <v>28</v>
      </c>
      <c r="F93" s="25" t="str">
        <f>'2.1. DM'!F93</f>
        <v>F251766</v>
      </c>
      <c r="G93" s="25" t="str">
        <f>'2.1. DM'!G93</f>
        <v>CIAT-21512</v>
      </c>
      <c r="H93" s="25" t="str">
        <f>'2.1. DM'!H93</f>
        <v>Calliandra</v>
      </c>
      <c r="I93" s="25" t="str">
        <f>'2.1. DM'!I93</f>
        <v>calothyrsus</v>
      </c>
      <c r="J93" s="25" t="str">
        <f>'2.1. DM'!J93</f>
        <v>Calliandra calothyrsus</v>
      </c>
      <c r="K93" s="25" t="str">
        <f>'2.1. DM'!K93</f>
        <v>Fabaceae</v>
      </c>
      <c r="L93" s="25" t="str">
        <f>'2.1. DM'!L93</f>
        <v>Fabales</v>
      </c>
      <c r="M93" s="25" t="str">
        <f>'2.1. DM'!M93</f>
        <v>Tree</v>
      </c>
      <c r="N93" s="25" t="str">
        <f>'2.1. DM'!N93</f>
        <v>60,61, 62</v>
      </c>
      <c r="O93" s="25" t="str">
        <f>'2.1. DM'!O93</f>
        <v>OT-010</v>
      </c>
      <c r="P93" s="292" t="s">
        <v>495</v>
      </c>
      <c r="Q93" s="295">
        <v>46.571954064815877</v>
      </c>
      <c r="R93" s="341">
        <f t="shared" ref="R93:R111" si="17">AVERAGE(Q93:Q94)</f>
        <v>46.723798521553235</v>
      </c>
    </row>
    <row r="94" spans="2:18" x14ac:dyDescent="0.35">
      <c r="B94" s="25">
        <f>'2.1. DM'!B94</f>
        <v>84</v>
      </c>
      <c r="C94" s="25">
        <f>'2.1. DM'!C94</f>
        <v>46048</v>
      </c>
      <c r="D94" s="25" t="str">
        <f>'2.1. DM'!D94</f>
        <v>Genbank</v>
      </c>
      <c r="E94" s="25">
        <f>'2.1. DM'!E94</f>
        <v>28</v>
      </c>
      <c r="F94" s="25" t="str">
        <f>'2.1. DM'!F94</f>
        <v>F251766</v>
      </c>
      <c r="G94" s="25" t="str">
        <f>'2.1. DM'!G94</f>
        <v>CIAT-21512</v>
      </c>
      <c r="H94" s="25" t="str">
        <f>'2.1. DM'!H94</f>
        <v>Calliandra</v>
      </c>
      <c r="I94" s="25" t="str">
        <f>'2.1. DM'!I94</f>
        <v>calothyrsus</v>
      </c>
      <c r="J94" s="25" t="str">
        <f>'2.1. DM'!J94</f>
        <v>Calliandra calothyrsus</v>
      </c>
      <c r="K94" s="25" t="str">
        <f>'2.1. DM'!K94</f>
        <v>Fabaceae</v>
      </c>
      <c r="L94" s="25" t="str">
        <f>'2.1. DM'!L94</f>
        <v>Fabales</v>
      </c>
      <c r="M94" s="25" t="str">
        <f>'2.1. DM'!M94</f>
        <v>Tree</v>
      </c>
      <c r="N94" s="25" t="str">
        <f>'2.1. DM'!N94</f>
        <v>60,61, 62</v>
      </c>
      <c r="O94" s="25" t="str">
        <f>'2.1. DM'!O94</f>
        <v>OT-010</v>
      </c>
      <c r="P94" s="293" t="s">
        <v>496</v>
      </c>
      <c r="Q94" s="295">
        <v>46.875642978290593</v>
      </c>
      <c r="R94" s="341"/>
    </row>
    <row r="95" spans="2:18" x14ac:dyDescent="0.35">
      <c r="B95" s="25">
        <f>'2.1. DM'!B95</f>
        <v>85</v>
      </c>
      <c r="C95" s="25">
        <f>'2.1. DM'!C95</f>
        <v>46048</v>
      </c>
      <c r="D95" s="25" t="str">
        <f>'2.1. DM'!D95</f>
        <v>Genbank</v>
      </c>
      <c r="E95" s="25">
        <f>'2.1. DM'!E95</f>
        <v>28</v>
      </c>
      <c r="F95" s="25" t="str">
        <f>'2.1. DM'!F95</f>
        <v>F251767</v>
      </c>
      <c r="G95" s="25" t="str">
        <f>'2.1. DM'!G95</f>
        <v>CIAT-21601</v>
      </c>
      <c r="H95" s="25" t="str">
        <f>'2.1. DM'!H95</f>
        <v>Erythrina</v>
      </c>
      <c r="I95" s="25" t="str">
        <f>'2.1. DM'!I95</f>
        <v>fusca</v>
      </c>
      <c r="J95" s="25" t="str">
        <f>'2.1. DM'!J95</f>
        <v>Erythrina fusca</v>
      </c>
      <c r="K95" s="25" t="str">
        <f>'2.1. DM'!K95</f>
        <v>Fabaceae</v>
      </c>
      <c r="L95" s="25" t="str">
        <f>'2.1. DM'!L95</f>
        <v>Fabales</v>
      </c>
      <c r="M95" s="25" t="str">
        <f>'2.1. DM'!M95</f>
        <v>Tree</v>
      </c>
      <c r="N95" s="25" t="str">
        <f>'2.1. DM'!N95</f>
        <v>60,61, 62</v>
      </c>
      <c r="O95" s="25" t="str">
        <f>'2.1. DM'!O95</f>
        <v>OT-010</v>
      </c>
      <c r="P95" s="292" t="s">
        <v>495</v>
      </c>
      <c r="Q95" s="295">
        <v>56.108954424654989</v>
      </c>
      <c r="R95" s="341">
        <f t="shared" ref="R95" si="18">AVERAGE(Q95:Q96)</f>
        <v>54.967608166241035</v>
      </c>
    </row>
    <row r="96" spans="2:18" x14ac:dyDescent="0.35">
      <c r="B96" s="25">
        <f>'2.1. DM'!B96</f>
        <v>86</v>
      </c>
      <c r="C96" s="25">
        <f>'2.1. DM'!C96</f>
        <v>46048</v>
      </c>
      <c r="D96" s="25" t="str">
        <f>'2.1. DM'!D96</f>
        <v>Genbank</v>
      </c>
      <c r="E96" s="25">
        <f>'2.1. DM'!E96</f>
        <v>28</v>
      </c>
      <c r="F96" s="25" t="str">
        <f>'2.1. DM'!F96</f>
        <v>F251767</v>
      </c>
      <c r="G96" s="25" t="str">
        <f>'2.1. DM'!G96</f>
        <v>CIAT-21601</v>
      </c>
      <c r="H96" s="25" t="str">
        <f>'2.1. DM'!H96</f>
        <v>Erythrina</v>
      </c>
      <c r="I96" s="25" t="str">
        <f>'2.1. DM'!I96</f>
        <v>fusca</v>
      </c>
      <c r="J96" s="25" t="str">
        <f>'2.1. DM'!J96</f>
        <v>Erythrina fusca</v>
      </c>
      <c r="K96" s="25" t="str">
        <f>'2.1. DM'!K96</f>
        <v>Fabaceae</v>
      </c>
      <c r="L96" s="25" t="str">
        <f>'2.1. DM'!L96</f>
        <v>Fabales</v>
      </c>
      <c r="M96" s="25" t="str">
        <f>'2.1. DM'!M96</f>
        <v>Tree</v>
      </c>
      <c r="N96" s="25" t="str">
        <f>'2.1. DM'!N96</f>
        <v>60,61, 62</v>
      </c>
      <c r="O96" s="25" t="str">
        <f>'2.1. DM'!O96</f>
        <v>OT-010</v>
      </c>
      <c r="P96" s="293" t="s">
        <v>496</v>
      </c>
      <c r="Q96" s="295">
        <v>53.826261907827075</v>
      </c>
      <c r="R96" s="341"/>
    </row>
    <row r="97" spans="2:18" x14ac:dyDescent="0.35">
      <c r="B97" s="25">
        <f>'2.1. DM'!B97</f>
        <v>87</v>
      </c>
      <c r="C97" s="25">
        <f>'2.1. DM'!C97</f>
        <v>46048</v>
      </c>
      <c r="D97" s="25" t="str">
        <f>'2.1. DM'!D97</f>
        <v>Genbank</v>
      </c>
      <c r="E97" s="25">
        <f>'2.1. DM'!E97</f>
        <v>28</v>
      </c>
      <c r="F97" s="25" t="str">
        <f>'2.1. DM'!F97</f>
        <v>F251768</v>
      </c>
      <c r="G97" s="25" t="str">
        <f>'2.1. DM'!G97</f>
        <v>CIAT-21809</v>
      </c>
      <c r="H97" s="25" t="str">
        <f>'2.1. DM'!H97</f>
        <v>Acacia</v>
      </c>
      <c r="I97" s="25" t="str">
        <f>'2.1. DM'!I97</f>
        <v>farnesiana</v>
      </c>
      <c r="J97" s="25" t="str">
        <f>'2.1. DM'!J97</f>
        <v>Acacia farnesiana</v>
      </c>
      <c r="K97" s="25" t="str">
        <f>'2.1. DM'!K97</f>
        <v>Fabaceae</v>
      </c>
      <c r="L97" s="25" t="str">
        <f>'2.1. DM'!L97</f>
        <v>Fabales</v>
      </c>
      <c r="M97" s="25" t="str">
        <f>'2.1. DM'!M97</f>
        <v>Tree</v>
      </c>
      <c r="N97" s="25" t="str">
        <f>'2.1. DM'!N97</f>
        <v>60,61, 62</v>
      </c>
      <c r="O97" s="25" t="str">
        <f>'2.1. DM'!O97</f>
        <v>OT-010</v>
      </c>
      <c r="P97" s="292" t="s">
        <v>495</v>
      </c>
      <c r="Q97" s="295">
        <v>49.040359793723461</v>
      </c>
      <c r="R97" s="341">
        <f t="shared" ref="R97" si="19">AVERAGE(Q97:Q98)</f>
        <v>48.090150596284076</v>
      </c>
    </row>
    <row r="98" spans="2:18" x14ac:dyDescent="0.35">
      <c r="B98" s="25">
        <f>'2.1. DM'!B98</f>
        <v>88</v>
      </c>
      <c r="C98" s="25">
        <f>'2.1. DM'!C98</f>
        <v>46048</v>
      </c>
      <c r="D98" s="25" t="str">
        <f>'2.1. DM'!D98</f>
        <v>Genbank</v>
      </c>
      <c r="E98" s="25">
        <f>'2.1. DM'!E98</f>
        <v>28</v>
      </c>
      <c r="F98" s="25" t="str">
        <f>'2.1. DM'!F98</f>
        <v>F251768</v>
      </c>
      <c r="G98" s="25" t="str">
        <f>'2.1. DM'!G98</f>
        <v>CIAT-21809</v>
      </c>
      <c r="H98" s="25" t="str">
        <f>'2.1. DM'!H98</f>
        <v>Acacia</v>
      </c>
      <c r="I98" s="25" t="str">
        <f>'2.1. DM'!I98</f>
        <v>farnesiana</v>
      </c>
      <c r="J98" s="25" t="str">
        <f>'2.1. DM'!J98</f>
        <v>Acacia farnesiana</v>
      </c>
      <c r="K98" s="25" t="str">
        <f>'2.1. DM'!K98</f>
        <v>Fabaceae</v>
      </c>
      <c r="L98" s="25" t="str">
        <f>'2.1. DM'!L98</f>
        <v>Fabales</v>
      </c>
      <c r="M98" s="25" t="str">
        <f>'2.1. DM'!M98</f>
        <v>Tree</v>
      </c>
      <c r="N98" s="25" t="str">
        <f>'2.1. DM'!N98</f>
        <v>60,61, 62</v>
      </c>
      <c r="O98" s="25" t="str">
        <f>'2.1. DM'!O98</f>
        <v>OT-010</v>
      </c>
      <c r="P98" s="293" t="s">
        <v>496</v>
      </c>
      <c r="Q98" s="295">
        <v>47.139941398844698</v>
      </c>
      <c r="R98" s="341"/>
    </row>
    <row r="99" spans="2:18" x14ac:dyDescent="0.35">
      <c r="B99" s="25">
        <f>'2.1. DM'!B99</f>
        <v>89</v>
      </c>
      <c r="C99" s="25">
        <f>'2.1. DM'!C99</f>
        <v>46048</v>
      </c>
      <c r="D99" s="25" t="str">
        <f>'2.1. DM'!D99</f>
        <v>Genbank</v>
      </c>
      <c r="E99" s="25">
        <f>'2.1. DM'!E99</f>
        <v>28</v>
      </c>
      <c r="F99" s="25" t="str">
        <f>'2.1. DM'!F99</f>
        <v>F251769</v>
      </c>
      <c r="G99" s="25" t="str">
        <f>'2.1. DM'!G99</f>
        <v>CIAT-21810</v>
      </c>
      <c r="H99" s="25" t="str">
        <f>'2.1. DM'!H99</f>
        <v>Acacia</v>
      </c>
      <c r="I99" s="25" t="str">
        <f>'2.1. DM'!I99</f>
        <v>angustissima</v>
      </c>
      <c r="J99" s="25" t="str">
        <f>'2.1. DM'!J99</f>
        <v>Acacia angustissima</v>
      </c>
      <c r="K99" s="25" t="str">
        <f>'2.1. DM'!K99</f>
        <v>Fabaceae</v>
      </c>
      <c r="L99" s="25" t="str">
        <f>'2.1. DM'!L99</f>
        <v>Fabales</v>
      </c>
      <c r="M99" s="25" t="str">
        <f>'2.1. DM'!M99</f>
        <v>Tree</v>
      </c>
      <c r="N99" s="25" t="str">
        <f>'2.1. DM'!N99</f>
        <v>60,61, 62</v>
      </c>
      <c r="O99" s="25" t="str">
        <f>'2.1. DM'!O99</f>
        <v>OT-010</v>
      </c>
      <c r="P99" s="292" t="s">
        <v>495</v>
      </c>
      <c r="Q99" s="295">
        <v>40.173169657697386</v>
      </c>
      <c r="R99" s="341">
        <f t="shared" ref="R99" si="20">AVERAGE(Q99:Q100)</f>
        <v>38.916287565421669</v>
      </c>
    </row>
    <row r="100" spans="2:18" x14ac:dyDescent="0.35">
      <c r="B100" s="25">
        <f>'2.1. DM'!B100</f>
        <v>90</v>
      </c>
      <c r="C100" s="25">
        <f>'2.1. DM'!C100</f>
        <v>46048</v>
      </c>
      <c r="D100" s="25" t="str">
        <f>'2.1. DM'!D100</f>
        <v>Genbank</v>
      </c>
      <c r="E100" s="25">
        <f>'2.1. DM'!E100</f>
        <v>28</v>
      </c>
      <c r="F100" s="25" t="str">
        <f>'2.1. DM'!F100</f>
        <v>F251769</v>
      </c>
      <c r="G100" s="25" t="str">
        <f>'2.1. DM'!G100</f>
        <v>CIAT-21810</v>
      </c>
      <c r="H100" s="25" t="str">
        <f>'2.1. DM'!H100</f>
        <v>Acacia</v>
      </c>
      <c r="I100" s="25" t="str">
        <f>'2.1. DM'!I100</f>
        <v>angustissima</v>
      </c>
      <c r="J100" s="25" t="str">
        <f>'2.1. DM'!J100</f>
        <v>Acacia angustissima</v>
      </c>
      <c r="K100" s="25" t="str">
        <f>'2.1. DM'!K100</f>
        <v>Fabaceae</v>
      </c>
      <c r="L100" s="25" t="str">
        <f>'2.1. DM'!L100</f>
        <v>Fabales</v>
      </c>
      <c r="M100" s="25" t="str">
        <f>'2.1. DM'!M100</f>
        <v>Tree</v>
      </c>
      <c r="N100" s="25" t="str">
        <f>'2.1. DM'!N100</f>
        <v>60,61, 62</v>
      </c>
      <c r="O100" s="25" t="str">
        <f>'2.1. DM'!O100</f>
        <v>OT-010</v>
      </c>
      <c r="P100" s="293" t="s">
        <v>496</v>
      </c>
      <c r="Q100" s="295">
        <v>37.659405473145959</v>
      </c>
      <c r="R100" s="341"/>
    </row>
    <row r="101" spans="2:18" x14ac:dyDescent="0.35">
      <c r="B101" s="25">
        <f>'2.1. DM'!B101</f>
        <v>91</v>
      </c>
      <c r="C101" s="25">
        <f>'2.1. DM'!C101</f>
        <v>46048</v>
      </c>
      <c r="D101" s="25" t="str">
        <f>'2.1. DM'!D101</f>
        <v>Genbank</v>
      </c>
      <c r="E101" s="25">
        <f>'2.1. DM'!E101</f>
        <v>28</v>
      </c>
      <c r="F101" s="25" t="str">
        <f>'2.1. DM'!F101</f>
        <v>F251770</v>
      </c>
      <c r="G101" s="25" t="str">
        <f>'2.1. DM'!G101</f>
        <v>CIAT-21888</v>
      </c>
      <c r="H101" s="25" t="str">
        <f>'2.1. DM'!H101</f>
        <v>Leucaena</v>
      </c>
      <c r="I101" s="25" t="str">
        <f>'2.1. DM'!I101</f>
        <v>leucocephala</v>
      </c>
      <c r="J101" s="25" t="str">
        <f>'2.1. DM'!J101</f>
        <v>Leucaena leucocephala</v>
      </c>
      <c r="K101" s="25" t="str">
        <f>'2.1. DM'!K101</f>
        <v>Fabaceae</v>
      </c>
      <c r="L101" s="25" t="str">
        <f>'2.1. DM'!L101</f>
        <v>Fabales</v>
      </c>
      <c r="M101" s="25" t="str">
        <f>'2.1. DM'!M101</f>
        <v>Tree</v>
      </c>
      <c r="N101" s="25" t="str">
        <f>'2.1. DM'!N101</f>
        <v>60,61, 62</v>
      </c>
      <c r="O101" s="25" t="str">
        <f>'2.1. DM'!O101</f>
        <v>OT-010</v>
      </c>
      <c r="P101" s="292" t="s">
        <v>495</v>
      </c>
      <c r="Q101" s="295">
        <v>31.166699589735593</v>
      </c>
      <c r="R101" s="341">
        <f t="shared" ref="R101" si="21">AVERAGE(Q101:Q102)</f>
        <v>30.163106973441941</v>
      </c>
    </row>
    <row r="102" spans="2:18" x14ac:dyDescent="0.35">
      <c r="B102" s="25">
        <f>'2.1. DM'!B102</f>
        <v>92</v>
      </c>
      <c r="C102" s="25">
        <f>'2.1. DM'!C102</f>
        <v>46048</v>
      </c>
      <c r="D102" s="25" t="str">
        <f>'2.1. DM'!D102</f>
        <v>Genbank</v>
      </c>
      <c r="E102" s="25">
        <f>'2.1. DM'!E102</f>
        <v>28</v>
      </c>
      <c r="F102" s="25" t="str">
        <f>'2.1. DM'!F102</f>
        <v>F251770</v>
      </c>
      <c r="G102" s="25" t="str">
        <f>'2.1. DM'!G102</f>
        <v>CIAT-21888</v>
      </c>
      <c r="H102" s="25" t="str">
        <f>'2.1. DM'!H102</f>
        <v>Leucaena</v>
      </c>
      <c r="I102" s="25" t="str">
        <f>'2.1. DM'!I102</f>
        <v>leucocephala</v>
      </c>
      <c r="J102" s="25" t="str">
        <f>'2.1. DM'!J102</f>
        <v>Leucaena leucocephala</v>
      </c>
      <c r="K102" s="25" t="str">
        <f>'2.1. DM'!K102</f>
        <v>Fabaceae</v>
      </c>
      <c r="L102" s="25" t="str">
        <f>'2.1. DM'!L102</f>
        <v>Fabales</v>
      </c>
      <c r="M102" s="25" t="str">
        <f>'2.1. DM'!M102</f>
        <v>Tree</v>
      </c>
      <c r="N102" s="25" t="str">
        <f>'2.1. DM'!N102</f>
        <v>60,61, 62</v>
      </c>
      <c r="O102" s="25" t="str">
        <f>'2.1. DM'!O102</f>
        <v>OT-010</v>
      </c>
      <c r="P102" s="293" t="s">
        <v>496</v>
      </c>
      <c r="Q102" s="295">
        <v>29.159514357148293</v>
      </c>
      <c r="R102" s="341"/>
    </row>
    <row r="103" spans="2:18" x14ac:dyDescent="0.35">
      <c r="B103" s="25">
        <f>'2.1. DM'!B103</f>
        <v>93</v>
      </c>
      <c r="C103" s="25">
        <f>'2.1. DM'!C103</f>
        <v>46048</v>
      </c>
      <c r="D103" s="25" t="str">
        <f>'2.1. DM'!D103</f>
        <v>Genbank</v>
      </c>
      <c r="E103" s="25">
        <f>'2.1. DM'!E103</f>
        <v>28</v>
      </c>
      <c r="F103" s="25" t="str">
        <f>'2.1. DM'!F103</f>
        <v>F251771</v>
      </c>
      <c r="G103" s="25" t="str">
        <f>'2.1. DM'!G103</f>
        <v>CIAT-22310</v>
      </c>
      <c r="H103" s="25" t="str">
        <f>'2.1. DM'!H103</f>
        <v>Calliandra</v>
      </c>
      <c r="I103" s="25" t="str">
        <f>'2.1. DM'!I103</f>
        <v>calothyrsus</v>
      </c>
      <c r="J103" s="25" t="str">
        <f>'2.1. DM'!J103</f>
        <v>Calliandra calothyrsus</v>
      </c>
      <c r="K103" s="25" t="str">
        <f>'2.1. DM'!K103</f>
        <v>Fabaceae</v>
      </c>
      <c r="L103" s="25" t="str">
        <f>'2.1. DM'!L103</f>
        <v>Fabales</v>
      </c>
      <c r="M103" s="25" t="str">
        <f>'2.1. DM'!M103</f>
        <v>Tree</v>
      </c>
      <c r="N103" s="25" t="str">
        <f>'2.1. DM'!N103</f>
        <v>60,61, 62</v>
      </c>
      <c r="O103" s="25" t="str">
        <f>'2.1. DM'!O103</f>
        <v>OT-010</v>
      </c>
      <c r="P103" s="292" t="s">
        <v>495</v>
      </c>
      <c r="Q103" s="295">
        <v>52.180364738496685</v>
      </c>
      <c r="R103" s="341">
        <f t="shared" si="13"/>
        <v>50.768412175494994</v>
      </c>
    </row>
    <row r="104" spans="2:18" x14ac:dyDescent="0.35">
      <c r="B104" s="25">
        <f>'2.1. DM'!B104</f>
        <v>94</v>
      </c>
      <c r="C104" s="25">
        <f>'2.1. DM'!C104</f>
        <v>46048</v>
      </c>
      <c r="D104" s="25" t="str">
        <f>'2.1. DM'!D104</f>
        <v>Genbank</v>
      </c>
      <c r="E104" s="25">
        <f>'2.1. DM'!E104</f>
        <v>28</v>
      </c>
      <c r="F104" s="25" t="str">
        <f>'2.1. DM'!F104</f>
        <v>F251771</v>
      </c>
      <c r="G104" s="25" t="str">
        <f>'2.1. DM'!G104</f>
        <v>CIAT-22310</v>
      </c>
      <c r="H104" s="25" t="str">
        <f>'2.1. DM'!H104</f>
        <v>Calliandra</v>
      </c>
      <c r="I104" s="25" t="str">
        <f>'2.1. DM'!I104</f>
        <v>calothyrsus</v>
      </c>
      <c r="J104" s="25" t="str">
        <f>'2.1. DM'!J104</f>
        <v>Calliandra calothyrsus</v>
      </c>
      <c r="K104" s="25" t="str">
        <f>'2.1. DM'!K104</f>
        <v>Fabaceae</v>
      </c>
      <c r="L104" s="25" t="str">
        <f>'2.1. DM'!L104</f>
        <v>Fabales</v>
      </c>
      <c r="M104" s="25" t="str">
        <f>'2.1. DM'!M104</f>
        <v>Tree</v>
      </c>
      <c r="N104" s="25" t="str">
        <f>'2.1. DM'!N104</f>
        <v>60,61, 62</v>
      </c>
      <c r="O104" s="25" t="str">
        <f>'2.1. DM'!O104</f>
        <v>OT-010</v>
      </c>
      <c r="P104" s="293" t="s">
        <v>496</v>
      </c>
      <c r="Q104" s="295">
        <v>49.356459612493303</v>
      </c>
      <c r="R104" s="341"/>
    </row>
    <row r="105" spans="2:18" x14ac:dyDescent="0.35">
      <c r="B105" s="25">
        <f>'2.1. DM'!B105</f>
        <v>95</v>
      </c>
      <c r="C105" s="25">
        <f>'2.1. DM'!C105</f>
        <v>46048</v>
      </c>
      <c r="D105" s="25" t="str">
        <f>'2.1. DM'!D105</f>
        <v>Genbank</v>
      </c>
      <c r="E105" s="25">
        <f>'2.1. DM'!E105</f>
        <v>28</v>
      </c>
      <c r="F105" s="25" t="str">
        <f>'2.1. DM'!F105</f>
        <v>F251772</v>
      </c>
      <c r="G105" s="25" t="str">
        <f>'2.1. DM'!G105</f>
        <v>CIAT-22311</v>
      </c>
      <c r="H105" s="25" t="str">
        <f>'2.1. DM'!H105</f>
        <v>Calliandra</v>
      </c>
      <c r="I105" s="25" t="str">
        <f>'2.1. DM'!I105</f>
        <v>calothyrsus</v>
      </c>
      <c r="J105" s="25" t="str">
        <f>'2.1. DM'!J105</f>
        <v>Calliandra calothyrsus</v>
      </c>
      <c r="K105" s="25" t="str">
        <f>'2.1. DM'!K105</f>
        <v>Fabaceae</v>
      </c>
      <c r="L105" s="25" t="str">
        <f>'2.1. DM'!L105</f>
        <v>Fabales</v>
      </c>
      <c r="M105" s="25" t="str">
        <f>'2.1. DM'!M105</f>
        <v>Tree</v>
      </c>
      <c r="N105" s="25" t="str">
        <f>'2.1. DM'!N105</f>
        <v>60,61, 62</v>
      </c>
      <c r="O105" s="25" t="str">
        <f>'2.1. DM'!O105</f>
        <v>OT-010</v>
      </c>
      <c r="P105" s="292" t="s">
        <v>495</v>
      </c>
      <c r="Q105" s="295">
        <v>48.23549136249526</v>
      </c>
      <c r="R105" s="341">
        <f t="shared" si="14"/>
        <v>49.182546382240204</v>
      </c>
    </row>
    <row r="106" spans="2:18" x14ac:dyDescent="0.35">
      <c r="B106" s="25">
        <f>'2.1. DM'!B106</f>
        <v>96</v>
      </c>
      <c r="C106" s="25">
        <f>'2.1. DM'!C106</f>
        <v>46048</v>
      </c>
      <c r="D106" s="25" t="str">
        <f>'2.1. DM'!D106</f>
        <v>Genbank</v>
      </c>
      <c r="E106" s="25">
        <f>'2.1. DM'!E106</f>
        <v>28</v>
      </c>
      <c r="F106" s="25" t="str">
        <f>'2.1. DM'!F106</f>
        <v>F251772</v>
      </c>
      <c r="G106" s="25" t="str">
        <f>'2.1. DM'!G106</f>
        <v>CIAT-22311</v>
      </c>
      <c r="H106" s="25" t="str">
        <f>'2.1. DM'!H106</f>
        <v>Calliandra</v>
      </c>
      <c r="I106" s="25" t="str">
        <f>'2.1. DM'!I106</f>
        <v>calothyrsus</v>
      </c>
      <c r="J106" s="25" t="str">
        <f>'2.1. DM'!J106</f>
        <v>Calliandra calothyrsus</v>
      </c>
      <c r="K106" s="25" t="str">
        <f>'2.1. DM'!K106</f>
        <v>Fabaceae</v>
      </c>
      <c r="L106" s="25" t="str">
        <f>'2.1. DM'!L106</f>
        <v>Fabales</v>
      </c>
      <c r="M106" s="25" t="str">
        <f>'2.1. DM'!M106</f>
        <v>Tree</v>
      </c>
      <c r="N106" s="25" t="str">
        <f>'2.1. DM'!N106</f>
        <v>60,61, 62</v>
      </c>
      <c r="O106" s="25" t="str">
        <f>'2.1. DM'!O106</f>
        <v>OT-010</v>
      </c>
      <c r="P106" s="293" t="s">
        <v>496</v>
      </c>
      <c r="Q106" s="295">
        <v>50.129601401985148</v>
      </c>
      <c r="R106" s="341"/>
    </row>
    <row r="107" spans="2:18" x14ac:dyDescent="0.35">
      <c r="B107" s="25">
        <f>'2.1. DM'!B107</f>
        <v>97</v>
      </c>
      <c r="C107" s="25">
        <f>'2.1. DM'!C107</f>
        <v>46048</v>
      </c>
      <c r="D107" s="25" t="str">
        <f>'2.1. DM'!D107</f>
        <v>Genbank</v>
      </c>
      <c r="E107" s="25">
        <f>'2.1. DM'!E107</f>
        <v>28</v>
      </c>
      <c r="F107" s="25" t="str">
        <f>'2.1. DM'!F107</f>
        <v>F251773</v>
      </c>
      <c r="G107" s="25" t="str">
        <f>'2.1. DM'!G107</f>
        <v>CIAT-22316</v>
      </c>
      <c r="H107" s="25" t="str">
        <f>'2.1. DM'!H107</f>
        <v>Calliandra</v>
      </c>
      <c r="I107" s="25" t="str">
        <f>'2.1. DM'!I107</f>
        <v>calothyrsus</v>
      </c>
      <c r="J107" s="25" t="str">
        <f>'2.1. DM'!J107</f>
        <v>Calliandra calothyrsus</v>
      </c>
      <c r="K107" s="25" t="str">
        <f>'2.1. DM'!K107</f>
        <v>Fabaceae</v>
      </c>
      <c r="L107" s="25" t="str">
        <f>'2.1. DM'!L107</f>
        <v>Fabales</v>
      </c>
      <c r="M107" s="25" t="str">
        <f>'2.1. DM'!M107</f>
        <v>Tree</v>
      </c>
      <c r="N107" s="25" t="str">
        <f>'2.1. DM'!N107</f>
        <v>60,61, 62</v>
      </c>
      <c r="O107" s="25" t="str">
        <f>'2.1. DM'!O107</f>
        <v>OT-010</v>
      </c>
      <c r="P107" s="292" t="s">
        <v>495</v>
      </c>
      <c r="Q107" s="294">
        <v>43.605486669064007</v>
      </c>
      <c r="R107" s="341">
        <f t="shared" si="15"/>
        <v>44.541586138733123</v>
      </c>
    </row>
    <row r="108" spans="2:18" x14ac:dyDescent="0.35">
      <c r="B108" s="25">
        <f>'2.1. DM'!B108</f>
        <v>98</v>
      </c>
      <c r="C108" s="25">
        <f>'2.1. DM'!C108</f>
        <v>46048</v>
      </c>
      <c r="D108" s="25" t="str">
        <f>'2.1. DM'!D108</f>
        <v>Genbank</v>
      </c>
      <c r="E108" s="25">
        <f>'2.1. DM'!E108</f>
        <v>28</v>
      </c>
      <c r="F108" s="25" t="str">
        <f>'2.1. DM'!F108</f>
        <v>F251773</v>
      </c>
      <c r="G108" s="25" t="str">
        <f>'2.1. DM'!G108</f>
        <v>CIAT-22316</v>
      </c>
      <c r="H108" s="25" t="str">
        <f>'2.1. DM'!H108</f>
        <v>Calliandra</v>
      </c>
      <c r="I108" s="25" t="str">
        <f>'2.1. DM'!I108</f>
        <v>calothyrsus</v>
      </c>
      <c r="J108" s="25" t="str">
        <f>'2.1. DM'!J108</f>
        <v>Calliandra calothyrsus</v>
      </c>
      <c r="K108" s="25" t="str">
        <f>'2.1. DM'!K108</f>
        <v>Fabaceae</v>
      </c>
      <c r="L108" s="25" t="str">
        <f>'2.1. DM'!L108</f>
        <v>Fabales</v>
      </c>
      <c r="M108" s="25" t="str">
        <f>'2.1. DM'!M108</f>
        <v>Tree</v>
      </c>
      <c r="N108" s="25" t="str">
        <f>'2.1. DM'!N108</f>
        <v>60,61, 62</v>
      </c>
      <c r="O108" s="25" t="str">
        <f>'2.1. DM'!O108</f>
        <v>OT-010</v>
      </c>
      <c r="P108" s="293" t="s">
        <v>496</v>
      </c>
      <c r="Q108" s="294">
        <v>45.477685608402247</v>
      </c>
      <c r="R108" s="341"/>
    </row>
    <row r="109" spans="2:18" x14ac:dyDescent="0.35">
      <c r="B109" s="25">
        <f>'2.1. DM'!B109</f>
        <v>99</v>
      </c>
      <c r="C109" s="25">
        <f>'2.1. DM'!C109</f>
        <v>46048</v>
      </c>
      <c r="D109" s="25" t="str">
        <f>'2.1. DM'!D109</f>
        <v>Genbank</v>
      </c>
      <c r="E109" s="25">
        <f>'2.1. DM'!E109</f>
        <v>28</v>
      </c>
      <c r="F109" s="25" t="str">
        <f>'2.1. DM'!F109</f>
        <v>F251774</v>
      </c>
      <c r="G109" s="25" t="str">
        <f>'2.1. DM'!G109</f>
        <v>CIAT-23239</v>
      </c>
      <c r="H109" s="25" t="str">
        <f>'2.1. DM'!H109</f>
        <v>Dendrolobium</v>
      </c>
      <c r="I109" s="25" t="str">
        <f>'2.1. DM'!I109</f>
        <v>triangulare</v>
      </c>
      <c r="J109" s="25" t="str">
        <f>'2.1. DM'!J109</f>
        <v>Dendrolobium triangulare</v>
      </c>
      <c r="K109" s="25" t="str">
        <f>'2.1. DM'!K109</f>
        <v>Fabaceae</v>
      </c>
      <c r="L109" s="25" t="str">
        <f>'2.1. DM'!L109</f>
        <v>Fabales</v>
      </c>
      <c r="M109" s="25" t="str">
        <f>'2.1. DM'!M109</f>
        <v>Tree</v>
      </c>
      <c r="N109" s="25" t="str">
        <f>'2.1. DM'!N109</f>
        <v>60,61, 62</v>
      </c>
      <c r="O109" s="25" t="str">
        <f>'2.1. DM'!O109</f>
        <v>OT-010</v>
      </c>
      <c r="P109" s="292" t="s">
        <v>495</v>
      </c>
      <c r="Q109" s="294">
        <v>53.215456991873658</v>
      </c>
      <c r="R109" s="341">
        <f t="shared" si="16"/>
        <v>52.757940793567954</v>
      </c>
    </row>
    <row r="110" spans="2:18" x14ac:dyDescent="0.35">
      <c r="B110" s="25">
        <f>'2.1. DM'!B110</f>
        <v>100</v>
      </c>
      <c r="C110" s="25">
        <f>'2.1. DM'!C110</f>
        <v>46048</v>
      </c>
      <c r="D110" s="25" t="str">
        <f>'2.1. DM'!D110</f>
        <v>Genbank</v>
      </c>
      <c r="E110" s="25">
        <f>'2.1. DM'!E110</f>
        <v>28</v>
      </c>
      <c r="F110" s="25" t="str">
        <f>'2.1. DM'!F110</f>
        <v>F251774</v>
      </c>
      <c r="G110" s="25" t="str">
        <f>'2.1. DM'!G110</f>
        <v>CIAT-23239</v>
      </c>
      <c r="H110" s="25" t="str">
        <f>'2.1. DM'!H110</f>
        <v>Dendrolobium</v>
      </c>
      <c r="I110" s="25" t="str">
        <f>'2.1. DM'!I110</f>
        <v>triangulare</v>
      </c>
      <c r="J110" s="25" t="str">
        <f>'2.1. DM'!J110</f>
        <v>Dendrolobium triangulare</v>
      </c>
      <c r="K110" s="25" t="str">
        <f>'2.1. DM'!K110</f>
        <v>Fabaceae</v>
      </c>
      <c r="L110" s="25" t="str">
        <f>'2.1. DM'!L110</f>
        <v>Fabales</v>
      </c>
      <c r="M110" s="25" t="str">
        <f>'2.1. DM'!M110</f>
        <v>Tree</v>
      </c>
      <c r="N110" s="25" t="str">
        <f>'2.1. DM'!N110</f>
        <v>60,61, 62</v>
      </c>
      <c r="O110" s="25" t="str">
        <f>'2.1. DM'!O110</f>
        <v>OT-010</v>
      </c>
      <c r="P110" s="293" t="s">
        <v>496</v>
      </c>
      <c r="Q110" s="294">
        <v>52.30042459526225</v>
      </c>
      <c r="R110" s="341"/>
    </row>
    <row r="111" spans="2:18" x14ac:dyDescent="0.35">
      <c r="B111" s="25">
        <f>'2.1. DM'!B111</f>
        <v>101</v>
      </c>
      <c r="C111" s="25">
        <f>'2.1. DM'!C111</f>
        <v>46048</v>
      </c>
      <c r="D111" s="25" t="str">
        <f>'2.1. DM'!D111</f>
        <v>Genbank</v>
      </c>
      <c r="E111" s="25">
        <f>'2.1. DM'!E111</f>
        <v>28</v>
      </c>
      <c r="F111" s="25" t="str">
        <f>'2.1. DM'!F111</f>
        <v>F251775</v>
      </c>
      <c r="G111" s="25" t="str">
        <f>'2.1. DM'!G111</f>
        <v>CIAT-33116</v>
      </c>
      <c r="H111" s="25" t="str">
        <f>'2.1. DM'!H111</f>
        <v>Dendrolobium</v>
      </c>
      <c r="I111" s="25" t="str">
        <f>'2.1. DM'!I111</f>
        <v>triangulare</v>
      </c>
      <c r="J111" s="25" t="str">
        <f>'2.1. DM'!J111</f>
        <v>Dendrolobium triangulare</v>
      </c>
      <c r="K111" s="25" t="str">
        <f>'2.1. DM'!K111</f>
        <v>Fabaceae</v>
      </c>
      <c r="L111" s="25" t="str">
        <f>'2.1. DM'!L111</f>
        <v>Fabales</v>
      </c>
      <c r="M111" s="25" t="str">
        <f>'2.1. DM'!M111</f>
        <v>Tree</v>
      </c>
      <c r="N111" s="25" t="str">
        <f>'2.1. DM'!N111</f>
        <v>60,61, 62</v>
      </c>
      <c r="O111" s="25" t="str">
        <f>'2.1. DM'!O111</f>
        <v>OT-010</v>
      </c>
      <c r="P111" s="292" t="s">
        <v>495</v>
      </c>
      <c r="Q111" s="294">
        <v>56.563412217914511</v>
      </c>
      <c r="R111" s="341">
        <f t="shared" si="17"/>
        <v>57.419672235613312</v>
      </c>
    </row>
    <row r="112" spans="2:18" x14ac:dyDescent="0.35">
      <c r="B112" s="25">
        <f>'2.1. DM'!B112</f>
        <v>102</v>
      </c>
      <c r="C112" s="25">
        <f>'2.1. DM'!C112</f>
        <v>46048</v>
      </c>
      <c r="D112" s="25" t="str">
        <f>'2.1. DM'!D112</f>
        <v>Genbank</v>
      </c>
      <c r="E112" s="25">
        <f>'2.1. DM'!E112</f>
        <v>28</v>
      </c>
      <c r="F112" s="25" t="str">
        <f>'2.1. DM'!F112</f>
        <v>F251775</v>
      </c>
      <c r="G112" s="25" t="str">
        <f>'2.1. DM'!G112</f>
        <v>CIAT-33116</v>
      </c>
      <c r="H112" s="25" t="str">
        <f>'2.1. DM'!H112</f>
        <v>Dendrolobium</v>
      </c>
      <c r="I112" s="25" t="str">
        <f>'2.1. DM'!I112</f>
        <v>triangulare</v>
      </c>
      <c r="J112" s="25" t="str">
        <f>'2.1. DM'!J112</f>
        <v>Dendrolobium triangulare</v>
      </c>
      <c r="K112" s="25" t="str">
        <f>'2.1. DM'!K112</f>
        <v>Fabaceae</v>
      </c>
      <c r="L112" s="25" t="str">
        <f>'2.1. DM'!L112</f>
        <v>Fabales</v>
      </c>
      <c r="M112" s="25" t="str">
        <f>'2.1. DM'!M112</f>
        <v>Tree</v>
      </c>
      <c r="N112" s="25" t="str">
        <f>'2.1. DM'!N112</f>
        <v>60,61, 62</v>
      </c>
      <c r="O112" s="25" t="str">
        <f>'2.1. DM'!O112</f>
        <v>OT-010</v>
      </c>
      <c r="P112" s="293" t="s">
        <v>496</v>
      </c>
      <c r="Q112" s="294">
        <v>58.275932253312114</v>
      </c>
      <c r="R112" s="341"/>
    </row>
    <row r="113" spans="2:18" x14ac:dyDescent="0.35">
      <c r="B113" s="25">
        <f>'2.1. DM'!B113</f>
        <v>103</v>
      </c>
      <c r="C113" s="25">
        <f>'2.1. DM'!C113</f>
        <v>46048</v>
      </c>
      <c r="D113" s="25" t="str">
        <f>'2.1. DM'!D113</f>
        <v>Genbank</v>
      </c>
      <c r="E113" s="25">
        <f>'2.1. DM'!E113</f>
        <v>28</v>
      </c>
      <c r="F113" s="25" t="str">
        <f>'2.1. DM'!F113</f>
        <v>F252184</v>
      </c>
      <c r="G113" s="25" t="str">
        <f>'2.1. DM'!G113</f>
        <v>CIAT-BH22_0303</v>
      </c>
      <c r="H113" s="25" t="str">
        <f>'2.1. DM'!H113</f>
        <v>Urochloa</v>
      </c>
      <c r="I113" s="25" t="str">
        <f>'2.1. DM'!I113</f>
        <v>humidicola</v>
      </c>
      <c r="J113" s="25" t="str">
        <f>'2.1. DM'!J113</f>
        <v>Urochloa humidicola</v>
      </c>
      <c r="K113" s="25" t="str">
        <f>'2.1. DM'!K113</f>
        <v>Poaceae</v>
      </c>
      <c r="L113" s="25" t="str">
        <f>'2.1. DM'!L113</f>
        <v>Poales</v>
      </c>
      <c r="M113" s="25" t="str">
        <f>'2.1. DM'!M113</f>
        <v>grasses</v>
      </c>
      <c r="N113" s="25" t="str">
        <f>'2.1. DM'!N113</f>
        <v>60,61, 62</v>
      </c>
      <c r="O113" s="25" t="str">
        <f>'2.1. DM'!O113</f>
        <v>OT-021</v>
      </c>
      <c r="P113" s="292" t="s">
        <v>495</v>
      </c>
      <c r="Q113" s="294">
        <v>32.561605963080488</v>
      </c>
      <c r="R113" s="341">
        <f t="shared" ref="R113" si="22">AVERAGE(Q113:Q114)</f>
        <v>33.134015860138412</v>
      </c>
    </row>
    <row r="114" spans="2:18" x14ac:dyDescent="0.35">
      <c r="B114" s="25">
        <f>'2.1. DM'!B114</f>
        <v>104</v>
      </c>
      <c r="C114" s="25">
        <f>'2.1. DM'!C114</f>
        <v>46048</v>
      </c>
      <c r="D114" s="25" t="str">
        <f>'2.1. DM'!D114</f>
        <v>Genbank</v>
      </c>
      <c r="E114" s="25">
        <f>'2.1. DM'!E114</f>
        <v>28</v>
      </c>
      <c r="F114" s="25" t="str">
        <f>'2.1. DM'!F114</f>
        <v>F252184</v>
      </c>
      <c r="G114" s="25" t="str">
        <f>'2.1. DM'!G114</f>
        <v>CIAT-BH22_0303</v>
      </c>
      <c r="H114" s="25" t="str">
        <f>'2.1. DM'!H114</f>
        <v>Urochloa</v>
      </c>
      <c r="I114" s="25" t="str">
        <f>'2.1. DM'!I114</f>
        <v>humidicola</v>
      </c>
      <c r="J114" s="25" t="str">
        <f>'2.1. DM'!J114</f>
        <v>Urochloa humidicola</v>
      </c>
      <c r="K114" s="25" t="str">
        <f>'2.1. DM'!K114</f>
        <v>Poaceae</v>
      </c>
      <c r="L114" s="25" t="str">
        <f>'2.1. DM'!L114</f>
        <v>Poales</v>
      </c>
      <c r="M114" s="25" t="str">
        <f>'2.1. DM'!M114</f>
        <v>grasses</v>
      </c>
      <c r="N114" s="25" t="str">
        <f>'2.1. DM'!N114</f>
        <v>60,61, 62</v>
      </c>
      <c r="O114" s="25" t="str">
        <f>'2.1. DM'!O114</f>
        <v>OT-021</v>
      </c>
      <c r="P114" s="293" t="s">
        <v>496</v>
      </c>
      <c r="Q114" s="294">
        <v>33.706425757196335</v>
      </c>
      <c r="R114" s="341"/>
    </row>
    <row r="115" spans="2:18" x14ac:dyDescent="0.35">
      <c r="B115" s="25">
        <f>'2.1. DM'!B115</f>
        <v>105</v>
      </c>
      <c r="C115" s="25">
        <f>'2.1. DM'!C115</f>
        <v>46048</v>
      </c>
      <c r="D115" s="25" t="str">
        <f>'2.1. DM'!D115</f>
        <v>Genbank</v>
      </c>
      <c r="E115" s="25">
        <f>'2.1. DM'!E115</f>
        <v>28</v>
      </c>
      <c r="F115" s="25" t="str">
        <f>'2.1. DM'!F115</f>
        <v>F252185</v>
      </c>
      <c r="G115" s="25" t="str">
        <f>'2.1. DM'!G115</f>
        <v>CIAT-BH22_1594</v>
      </c>
      <c r="H115" s="25" t="str">
        <f>'2.1. DM'!H115</f>
        <v>Urochloa</v>
      </c>
      <c r="I115" s="25" t="str">
        <f>'2.1. DM'!I115</f>
        <v>humidicola</v>
      </c>
      <c r="J115" s="25" t="str">
        <f>'2.1. DM'!J115</f>
        <v>Urochloa humidicola</v>
      </c>
      <c r="K115" s="25" t="str">
        <f>'2.1. DM'!K115</f>
        <v>Poaceae</v>
      </c>
      <c r="L115" s="25" t="str">
        <f>'2.1. DM'!L115</f>
        <v>Poales</v>
      </c>
      <c r="M115" s="25" t="str">
        <f>'2.1. DM'!M115</f>
        <v>grasses</v>
      </c>
      <c r="N115" s="25" t="str">
        <f>'2.1. DM'!N115</f>
        <v>60,61, 62</v>
      </c>
      <c r="O115" s="25" t="str">
        <f>'2.1. DM'!O115</f>
        <v>OT-021</v>
      </c>
      <c r="P115" s="292" t="s">
        <v>495</v>
      </c>
      <c r="Q115" s="294">
        <v>34.124477797431481</v>
      </c>
      <c r="R115" s="341">
        <f t="shared" ref="R115" si="23">AVERAGE(Q115:Q116)</f>
        <v>34.078557191895065</v>
      </c>
    </row>
    <row r="116" spans="2:18" x14ac:dyDescent="0.35">
      <c r="B116" s="25">
        <f>'2.1. DM'!B116</f>
        <v>106</v>
      </c>
      <c r="C116" s="25">
        <f>'2.1. DM'!C116</f>
        <v>46048</v>
      </c>
      <c r="D116" s="25" t="str">
        <f>'2.1. DM'!D116</f>
        <v>Genbank</v>
      </c>
      <c r="E116" s="25">
        <f>'2.1. DM'!E116</f>
        <v>28</v>
      </c>
      <c r="F116" s="25" t="str">
        <f>'2.1. DM'!F116</f>
        <v>F252185</v>
      </c>
      <c r="G116" s="25" t="str">
        <f>'2.1. DM'!G116</f>
        <v>CIAT-BH22_1594</v>
      </c>
      <c r="H116" s="25" t="str">
        <f>'2.1. DM'!H116</f>
        <v>Urochloa</v>
      </c>
      <c r="I116" s="25" t="str">
        <f>'2.1. DM'!I116</f>
        <v>humidicola</v>
      </c>
      <c r="J116" s="25" t="str">
        <f>'2.1. DM'!J116</f>
        <v>Urochloa humidicola</v>
      </c>
      <c r="K116" s="25" t="str">
        <f>'2.1. DM'!K116</f>
        <v>Poaceae</v>
      </c>
      <c r="L116" s="25" t="str">
        <f>'2.1. DM'!L116</f>
        <v>Poales</v>
      </c>
      <c r="M116" s="25" t="str">
        <f>'2.1. DM'!M116</f>
        <v>grasses</v>
      </c>
      <c r="N116" s="25" t="str">
        <f>'2.1. DM'!N116</f>
        <v>60,61, 62</v>
      </c>
      <c r="O116" s="25" t="str">
        <f>'2.1. DM'!O116</f>
        <v>OT-021</v>
      </c>
      <c r="P116" s="293" t="s">
        <v>496</v>
      </c>
      <c r="Q116" s="294">
        <v>34.032636586358649</v>
      </c>
      <c r="R116" s="341"/>
    </row>
    <row r="117" spans="2:18" x14ac:dyDescent="0.35">
      <c r="B117" s="25">
        <f>'2.1. DM'!B117</f>
        <v>107</v>
      </c>
      <c r="C117" s="25">
        <f>'2.1. DM'!C117</f>
        <v>46048</v>
      </c>
      <c r="D117" s="25" t="str">
        <f>'2.1. DM'!D117</f>
        <v>Genbank</v>
      </c>
      <c r="E117" s="25">
        <f>'2.1. DM'!E117</f>
        <v>28</v>
      </c>
      <c r="F117" s="25" t="str">
        <f>'2.1. DM'!F117</f>
        <v>F252186</v>
      </c>
      <c r="G117" s="25" t="str">
        <f>'2.1. DM'!G117</f>
        <v>CIAT-BH22_0468</v>
      </c>
      <c r="H117" s="25" t="str">
        <f>'2.1. DM'!H117</f>
        <v>Urochloa</v>
      </c>
      <c r="I117" s="25" t="str">
        <f>'2.1. DM'!I117</f>
        <v>humidicola</v>
      </c>
      <c r="J117" s="25" t="str">
        <f>'2.1. DM'!J117</f>
        <v>Urochloa humidicola</v>
      </c>
      <c r="K117" s="25" t="str">
        <f>'2.1. DM'!K117</f>
        <v>Poaceae</v>
      </c>
      <c r="L117" s="25" t="str">
        <f>'2.1. DM'!L117</f>
        <v>Poales</v>
      </c>
      <c r="M117" s="25" t="str">
        <f>'2.1. DM'!M117</f>
        <v>grasses</v>
      </c>
      <c r="N117" s="25" t="str">
        <f>'2.1. DM'!N117</f>
        <v>60,61, 62</v>
      </c>
      <c r="O117" s="25" t="str">
        <f>'2.1. DM'!O117</f>
        <v>OT-021</v>
      </c>
      <c r="P117" s="292" t="s">
        <v>495</v>
      </c>
      <c r="Q117" s="294">
        <v>33.959598757120148</v>
      </c>
      <c r="R117" s="341">
        <f t="shared" ref="R117" si="24">AVERAGE(Q117:Q118)</f>
        <v>33.181715528197131</v>
      </c>
    </row>
    <row r="118" spans="2:18" x14ac:dyDescent="0.35">
      <c r="B118" s="25">
        <f>'2.1. DM'!B118</f>
        <v>108</v>
      </c>
      <c r="C118" s="25">
        <f>'2.1. DM'!C118</f>
        <v>46048</v>
      </c>
      <c r="D118" s="25" t="str">
        <f>'2.1. DM'!D118</f>
        <v>Genbank</v>
      </c>
      <c r="E118" s="25">
        <f>'2.1. DM'!E118</f>
        <v>28</v>
      </c>
      <c r="F118" s="25" t="str">
        <f>'2.1. DM'!F118</f>
        <v>F252186</v>
      </c>
      <c r="G118" s="25" t="str">
        <f>'2.1. DM'!G118</f>
        <v>CIAT-BH22_0468</v>
      </c>
      <c r="H118" s="25" t="str">
        <f>'2.1. DM'!H118</f>
        <v>Urochloa</v>
      </c>
      <c r="I118" s="25" t="str">
        <f>'2.1. DM'!I118</f>
        <v>humidicola</v>
      </c>
      <c r="J118" s="25" t="str">
        <f>'2.1. DM'!J118</f>
        <v>Urochloa humidicola</v>
      </c>
      <c r="K118" s="25" t="str">
        <f>'2.1. DM'!K118</f>
        <v>Poaceae</v>
      </c>
      <c r="L118" s="25" t="str">
        <f>'2.1. DM'!L118</f>
        <v>Poales</v>
      </c>
      <c r="M118" s="25" t="str">
        <f>'2.1. DM'!M118</f>
        <v>grasses</v>
      </c>
      <c r="N118" s="25" t="str">
        <f>'2.1. DM'!N118</f>
        <v>60,61, 62</v>
      </c>
      <c r="O118" s="25" t="str">
        <f>'2.1. DM'!O118</f>
        <v>OT-021</v>
      </c>
      <c r="P118" s="293" t="s">
        <v>496</v>
      </c>
      <c r="Q118" s="294">
        <v>32.403832299274107</v>
      </c>
      <c r="R118" s="341"/>
    </row>
    <row r="119" spans="2:18" x14ac:dyDescent="0.35">
      <c r="B119" s="25">
        <f>'2.1. DM'!B119</f>
        <v>109</v>
      </c>
      <c r="C119" s="25">
        <f>'2.1. DM'!C119</f>
        <v>46048</v>
      </c>
      <c r="D119" s="25" t="str">
        <f>'2.1. DM'!D119</f>
        <v>Genbank</v>
      </c>
      <c r="E119" s="25">
        <f>'2.1. DM'!E119</f>
        <v>28</v>
      </c>
      <c r="F119" s="25" t="str">
        <f>'2.1. DM'!F119</f>
        <v>F252187</v>
      </c>
      <c r="G119" s="25" t="str">
        <f>'2.1. DM'!G119</f>
        <v>CIAT-BH22_3830</v>
      </c>
      <c r="H119" s="25" t="str">
        <f>'2.1. DM'!H119</f>
        <v>Urochloa</v>
      </c>
      <c r="I119" s="25" t="str">
        <f>'2.1. DM'!I119</f>
        <v>humidicola</v>
      </c>
      <c r="J119" s="25" t="str">
        <f>'2.1. DM'!J119</f>
        <v>Urochloa humidicola</v>
      </c>
      <c r="K119" s="25" t="str">
        <f>'2.1. DM'!K119</f>
        <v>Poaceae</v>
      </c>
      <c r="L119" s="25" t="str">
        <f>'2.1. DM'!L119</f>
        <v>Poales</v>
      </c>
      <c r="M119" s="25" t="str">
        <f>'2.1. DM'!M119</f>
        <v>grasses</v>
      </c>
      <c r="N119" s="25" t="str">
        <f>'2.1. DM'!N119</f>
        <v>60,61, 62</v>
      </c>
      <c r="O119" s="25" t="str">
        <f>'2.1. DM'!O119</f>
        <v>OT-021</v>
      </c>
      <c r="P119" s="292" t="s">
        <v>495</v>
      </c>
      <c r="Q119" s="294">
        <v>32.617685081512136</v>
      </c>
      <c r="R119" s="341">
        <f t="shared" ref="R119" si="25">AVERAGE(Q119:Q120)</f>
        <v>32.624245492797797</v>
      </c>
    </row>
    <row r="120" spans="2:18" x14ac:dyDescent="0.35">
      <c r="B120" s="25">
        <f>'2.1. DM'!B120</f>
        <v>110</v>
      </c>
      <c r="C120" s="25">
        <f>'2.1. DM'!C120</f>
        <v>46048</v>
      </c>
      <c r="D120" s="25" t="str">
        <f>'2.1. DM'!D120</f>
        <v>Genbank</v>
      </c>
      <c r="E120" s="25">
        <f>'2.1. DM'!E120</f>
        <v>28</v>
      </c>
      <c r="F120" s="25" t="str">
        <f>'2.1. DM'!F120</f>
        <v>F252187</v>
      </c>
      <c r="G120" s="25" t="str">
        <f>'2.1. DM'!G120</f>
        <v>CIAT-BH22_3830</v>
      </c>
      <c r="H120" s="25" t="str">
        <f>'2.1. DM'!H120</f>
        <v>Urochloa</v>
      </c>
      <c r="I120" s="25" t="str">
        <f>'2.1. DM'!I120</f>
        <v>humidicola</v>
      </c>
      <c r="J120" s="25" t="str">
        <f>'2.1. DM'!J120</f>
        <v>Urochloa humidicola</v>
      </c>
      <c r="K120" s="25" t="str">
        <f>'2.1. DM'!K120</f>
        <v>Poaceae</v>
      </c>
      <c r="L120" s="25" t="str">
        <f>'2.1. DM'!L120</f>
        <v>Poales</v>
      </c>
      <c r="M120" s="25" t="str">
        <f>'2.1. DM'!M120</f>
        <v>grasses</v>
      </c>
      <c r="N120" s="25" t="str">
        <f>'2.1. DM'!N120</f>
        <v>60,61, 62</v>
      </c>
      <c r="O120" s="25" t="str">
        <f>'2.1. DM'!O120</f>
        <v>OT-021</v>
      </c>
      <c r="P120" s="293" t="s">
        <v>496</v>
      </c>
      <c r="Q120" s="294">
        <v>32.630805904083452</v>
      </c>
      <c r="R120" s="341"/>
    </row>
    <row r="121" spans="2:18" x14ac:dyDescent="0.35">
      <c r="B121" s="25">
        <f>'2.1. DM'!B121</f>
        <v>111</v>
      </c>
      <c r="C121" s="25">
        <f>'2.1. DM'!C121</f>
        <v>46048</v>
      </c>
      <c r="D121" s="25" t="str">
        <f>'2.1. DM'!D121</f>
        <v>Genbank</v>
      </c>
      <c r="E121" s="25">
        <f>'2.1. DM'!E121</f>
        <v>28</v>
      </c>
      <c r="F121" s="25" t="str">
        <f>'2.1. DM'!F121</f>
        <v>F252188</v>
      </c>
      <c r="G121" s="25" t="str">
        <f>'2.1. DM'!G121</f>
        <v>CIAT-BH22_1710</v>
      </c>
      <c r="H121" s="25" t="str">
        <f>'2.1. DM'!H121</f>
        <v>Urochloa</v>
      </c>
      <c r="I121" s="25" t="str">
        <f>'2.1. DM'!I121</f>
        <v>humidicola</v>
      </c>
      <c r="J121" s="25" t="str">
        <f>'2.1. DM'!J121</f>
        <v>Urochloa humidicola</v>
      </c>
      <c r="K121" s="25" t="str">
        <f>'2.1. DM'!K121</f>
        <v>Poaceae</v>
      </c>
      <c r="L121" s="25" t="str">
        <f>'2.1. DM'!L121</f>
        <v>Poales</v>
      </c>
      <c r="M121" s="25" t="str">
        <f>'2.1. DM'!M121</f>
        <v>grasses</v>
      </c>
      <c r="N121" s="25" t="str">
        <f>'2.1. DM'!N121</f>
        <v>60,61, 62</v>
      </c>
      <c r="O121" s="25" t="str">
        <f>'2.1. DM'!O121</f>
        <v>OT-021</v>
      </c>
      <c r="P121" s="292" t="s">
        <v>495</v>
      </c>
      <c r="Q121" s="294">
        <v>34.968255876968591</v>
      </c>
      <c r="R121" s="341">
        <f t="shared" ref="R121" si="26">AVERAGE(Q121:Q122)</f>
        <v>35.297170357230435</v>
      </c>
    </row>
    <row r="122" spans="2:18" x14ac:dyDescent="0.35">
      <c r="B122" s="25">
        <f>'2.1. DM'!B122</f>
        <v>112</v>
      </c>
      <c r="C122" s="25">
        <f>'2.1. DM'!C122</f>
        <v>46048</v>
      </c>
      <c r="D122" s="25" t="str">
        <f>'2.1. DM'!D122</f>
        <v>Genbank</v>
      </c>
      <c r="E122" s="25">
        <f>'2.1. DM'!E122</f>
        <v>28</v>
      </c>
      <c r="F122" s="25" t="str">
        <f>'2.1. DM'!F122</f>
        <v>F252188</v>
      </c>
      <c r="G122" s="25" t="str">
        <f>'2.1. DM'!G122</f>
        <v>CIAT-BH22_1710</v>
      </c>
      <c r="H122" s="25" t="str">
        <f>'2.1. DM'!H122</f>
        <v>Urochloa</v>
      </c>
      <c r="I122" s="25" t="str">
        <f>'2.1. DM'!I122</f>
        <v>humidicola</v>
      </c>
      <c r="J122" s="25" t="str">
        <f>'2.1. DM'!J122</f>
        <v>Urochloa humidicola</v>
      </c>
      <c r="K122" s="25" t="str">
        <f>'2.1. DM'!K122</f>
        <v>Poaceae</v>
      </c>
      <c r="L122" s="25" t="str">
        <f>'2.1. DM'!L122</f>
        <v>Poales</v>
      </c>
      <c r="M122" s="25" t="str">
        <f>'2.1. DM'!M122</f>
        <v>grasses</v>
      </c>
      <c r="N122" s="25" t="str">
        <f>'2.1. DM'!N122</f>
        <v>60,61, 62</v>
      </c>
      <c r="O122" s="25" t="str">
        <f>'2.1. DM'!O122</f>
        <v>OT-021</v>
      </c>
      <c r="P122" s="293" t="s">
        <v>496</v>
      </c>
      <c r="Q122" s="294">
        <v>35.626084837492279</v>
      </c>
      <c r="R122" s="341"/>
    </row>
    <row r="123" spans="2:18" x14ac:dyDescent="0.35">
      <c r="B123" s="25">
        <f>'2.1. DM'!B123</f>
        <v>113</v>
      </c>
      <c r="C123" s="25">
        <f>'2.1. DM'!C123</f>
        <v>46048</v>
      </c>
      <c r="D123" s="25" t="str">
        <f>'2.1. DM'!D123</f>
        <v>Genbank</v>
      </c>
      <c r="E123" s="25">
        <f>'2.1. DM'!E123</f>
        <v>28</v>
      </c>
      <c r="F123" s="25" t="str">
        <f>'2.1. DM'!F123</f>
        <v>F252189</v>
      </c>
      <c r="G123" s="25" t="str">
        <f>'2.1. DM'!G123</f>
        <v>CIAT-BH22_2365</v>
      </c>
      <c r="H123" s="25" t="str">
        <f>'2.1. DM'!H123</f>
        <v>Urochloa</v>
      </c>
      <c r="I123" s="25" t="str">
        <f>'2.1. DM'!I123</f>
        <v>humidicola</v>
      </c>
      <c r="J123" s="25" t="str">
        <f>'2.1. DM'!J123</f>
        <v>Urochloa humidicola</v>
      </c>
      <c r="K123" s="25" t="str">
        <f>'2.1. DM'!K123</f>
        <v>Poaceae</v>
      </c>
      <c r="L123" s="25" t="str">
        <f>'2.1. DM'!L123</f>
        <v>Poales</v>
      </c>
      <c r="M123" s="25" t="str">
        <f>'2.1. DM'!M123</f>
        <v>grasses</v>
      </c>
      <c r="N123" s="25" t="str">
        <f>'2.1. DM'!N123</f>
        <v>60,61, 62</v>
      </c>
      <c r="O123" s="25" t="str">
        <f>'2.1. DM'!O123</f>
        <v>OT-021</v>
      </c>
      <c r="P123" s="292" t="s">
        <v>495</v>
      </c>
      <c r="Q123" s="294">
        <v>31.845743086172039</v>
      </c>
      <c r="R123" s="341">
        <f t="shared" ref="R123" si="27">AVERAGE(Q123:Q124)</f>
        <v>31.982736589249733</v>
      </c>
    </row>
    <row r="124" spans="2:18" x14ac:dyDescent="0.35">
      <c r="B124" s="25">
        <f>'2.1. DM'!B124</f>
        <v>114</v>
      </c>
      <c r="C124" s="25">
        <f>'2.1. DM'!C124</f>
        <v>46048</v>
      </c>
      <c r="D124" s="25" t="str">
        <f>'2.1. DM'!D124</f>
        <v>Genbank</v>
      </c>
      <c r="E124" s="25">
        <f>'2.1. DM'!E124</f>
        <v>28</v>
      </c>
      <c r="F124" s="25" t="str">
        <f>'2.1. DM'!F124</f>
        <v>F252189</v>
      </c>
      <c r="G124" s="25" t="str">
        <f>'2.1. DM'!G124</f>
        <v>CIAT-BH22_2365</v>
      </c>
      <c r="H124" s="25" t="str">
        <f>'2.1. DM'!H124</f>
        <v>Urochloa</v>
      </c>
      <c r="I124" s="25" t="str">
        <f>'2.1. DM'!I124</f>
        <v>humidicola</v>
      </c>
      <c r="J124" s="25" t="str">
        <f>'2.1. DM'!J124</f>
        <v>Urochloa humidicola</v>
      </c>
      <c r="K124" s="25" t="str">
        <f>'2.1. DM'!K124</f>
        <v>Poaceae</v>
      </c>
      <c r="L124" s="25" t="str">
        <f>'2.1. DM'!L124</f>
        <v>Poales</v>
      </c>
      <c r="M124" s="25" t="str">
        <f>'2.1. DM'!M124</f>
        <v>grasses</v>
      </c>
      <c r="N124" s="25" t="str">
        <f>'2.1. DM'!N124</f>
        <v>60,61, 62</v>
      </c>
      <c r="O124" s="25" t="str">
        <f>'2.1. DM'!O124</f>
        <v>OT-021</v>
      </c>
      <c r="P124" s="293" t="s">
        <v>496</v>
      </c>
      <c r="Q124" s="294">
        <v>32.119730092327423</v>
      </c>
      <c r="R124" s="341"/>
    </row>
    <row r="125" spans="2:18" x14ac:dyDescent="0.35">
      <c r="B125" s="25">
        <f>'2.1. DM'!B125</f>
        <v>115</v>
      </c>
      <c r="C125" s="25">
        <f>'2.1. DM'!C125</f>
        <v>46048</v>
      </c>
      <c r="D125" s="25" t="str">
        <f>'2.1. DM'!D125</f>
        <v>Genbank</v>
      </c>
      <c r="E125" s="25">
        <f>'2.1. DM'!E125</f>
        <v>28</v>
      </c>
      <c r="F125" s="25" t="str">
        <f>'2.1. DM'!F125</f>
        <v>F252190</v>
      </c>
      <c r="G125" s="25" t="str">
        <f>'2.1. DM'!G125</f>
        <v>CIAT-BH22_3572</v>
      </c>
      <c r="H125" s="25" t="str">
        <f>'2.1. DM'!H125</f>
        <v>Urochloa</v>
      </c>
      <c r="I125" s="25" t="str">
        <f>'2.1. DM'!I125</f>
        <v>humidicola</v>
      </c>
      <c r="J125" s="25" t="str">
        <f>'2.1. DM'!J125</f>
        <v>Urochloa humidicola</v>
      </c>
      <c r="K125" s="25" t="str">
        <f>'2.1. DM'!K125</f>
        <v>Poaceae</v>
      </c>
      <c r="L125" s="25" t="str">
        <f>'2.1. DM'!L125</f>
        <v>Poales</v>
      </c>
      <c r="M125" s="25" t="str">
        <f>'2.1. DM'!M125</f>
        <v>grasses</v>
      </c>
      <c r="N125" s="25" t="str">
        <f>'2.1. DM'!N125</f>
        <v>60,61, 62</v>
      </c>
      <c r="O125" s="25" t="str">
        <f>'2.1. DM'!O125</f>
        <v>OT-021</v>
      </c>
      <c r="P125" s="292" t="s">
        <v>495</v>
      </c>
      <c r="Q125" s="294">
        <v>33.064911661588695</v>
      </c>
      <c r="R125" s="341">
        <f t="shared" ref="R125" si="28">AVERAGE(Q125:Q126)</f>
        <v>32.767336426059344</v>
      </c>
    </row>
    <row r="126" spans="2:18" x14ac:dyDescent="0.35">
      <c r="B126" s="25">
        <f>'2.1. DM'!B126</f>
        <v>116</v>
      </c>
      <c r="C126" s="25">
        <f>'2.1. DM'!C126</f>
        <v>46048</v>
      </c>
      <c r="D126" s="25" t="str">
        <f>'2.1. DM'!D126</f>
        <v>Genbank</v>
      </c>
      <c r="E126" s="25">
        <f>'2.1. DM'!E126</f>
        <v>28</v>
      </c>
      <c r="F126" s="25" t="str">
        <f>'2.1. DM'!F126</f>
        <v>F252190</v>
      </c>
      <c r="G126" s="25" t="str">
        <f>'2.1. DM'!G126</f>
        <v>CIAT-BH22_3572</v>
      </c>
      <c r="H126" s="25" t="str">
        <f>'2.1. DM'!H126</f>
        <v>Urochloa</v>
      </c>
      <c r="I126" s="25" t="str">
        <f>'2.1. DM'!I126</f>
        <v>humidicola</v>
      </c>
      <c r="J126" s="25" t="str">
        <f>'2.1. DM'!J126</f>
        <v>Urochloa humidicola</v>
      </c>
      <c r="K126" s="25" t="str">
        <f>'2.1. DM'!K126</f>
        <v>Poaceae</v>
      </c>
      <c r="L126" s="25" t="str">
        <f>'2.1. DM'!L126</f>
        <v>Poales</v>
      </c>
      <c r="M126" s="25" t="str">
        <f>'2.1. DM'!M126</f>
        <v>grasses</v>
      </c>
      <c r="N126" s="25" t="str">
        <f>'2.1. DM'!N126</f>
        <v>60,61, 62</v>
      </c>
      <c r="O126" s="25" t="str">
        <f>'2.1. DM'!O126</f>
        <v>OT-021</v>
      </c>
      <c r="P126" s="293" t="s">
        <v>496</v>
      </c>
      <c r="Q126" s="294">
        <v>32.469761190529994</v>
      </c>
      <c r="R126" s="341"/>
    </row>
    <row r="127" spans="2:18" x14ac:dyDescent="0.35">
      <c r="B127" s="25">
        <f>'2.1. DM'!B127</f>
        <v>117</v>
      </c>
      <c r="C127" s="25">
        <f>'2.1. DM'!C127</f>
        <v>46048</v>
      </c>
      <c r="D127" s="25" t="str">
        <f>'2.1. DM'!D127</f>
        <v>Genbank</v>
      </c>
      <c r="E127" s="25">
        <f>'2.1. DM'!E127</f>
        <v>28</v>
      </c>
      <c r="F127" s="25" t="str">
        <f>'2.1. DM'!F127</f>
        <v>F252191</v>
      </c>
      <c r="G127" s="25" t="str">
        <f>'2.1. DM'!G127</f>
        <v>CIAT-BH22_0517</v>
      </c>
      <c r="H127" s="25" t="str">
        <f>'2.1. DM'!H127</f>
        <v>Urochloa</v>
      </c>
      <c r="I127" s="25" t="str">
        <f>'2.1. DM'!I127</f>
        <v>humidicola</v>
      </c>
      <c r="J127" s="25" t="str">
        <f>'2.1. DM'!J127</f>
        <v>Urochloa humidicola</v>
      </c>
      <c r="K127" s="25" t="str">
        <f>'2.1. DM'!K127</f>
        <v>Poaceae</v>
      </c>
      <c r="L127" s="25" t="str">
        <f>'2.1. DM'!L127</f>
        <v>Poales</v>
      </c>
      <c r="M127" s="25" t="str">
        <f>'2.1. DM'!M127</f>
        <v>grasses</v>
      </c>
      <c r="N127" s="25" t="str">
        <f>'2.1. DM'!N127</f>
        <v>60,61, 62</v>
      </c>
      <c r="O127" s="25" t="str">
        <f>'2.1. DM'!O127</f>
        <v>OT-021</v>
      </c>
      <c r="P127" s="292" t="s">
        <v>495</v>
      </c>
      <c r="Q127" s="294">
        <v>34.349403141707448</v>
      </c>
      <c r="R127" s="341">
        <f t="shared" ref="R127:R189" si="29">AVERAGE(Q127:Q128)</f>
        <v>34.305607128281594</v>
      </c>
    </row>
    <row r="128" spans="2:18" x14ac:dyDescent="0.35">
      <c r="B128" s="25">
        <f>'2.1. DM'!B128</f>
        <v>118</v>
      </c>
      <c r="C128" s="25">
        <f>'2.1. DM'!C128</f>
        <v>46048</v>
      </c>
      <c r="D128" s="25" t="str">
        <f>'2.1. DM'!D128</f>
        <v>Genbank</v>
      </c>
      <c r="E128" s="25">
        <f>'2.1. DM'!E128</f>
        <v>28</v>
      </c>
      <c r="F128" s="25" t="str">
        <f>'2.1. DM'!F128</f>
        <v>F252191</v>
      </c>
      <c r="G128" s="25" t="str">
        <f>'2.1. DM'!G128</f>
        <v>CIAT-BH22_0517</v>
      </c>
      <c r="H128" s="25" t="str">
        <f>'2.1. DM'!H128</f>
        <v>Urochloa</v>
      </c>
      <c r="I128" s="25" t="str">
        <f>'2.1. DM'!I128</f>
        <v>humidicola</v>
      </c>
      <c r="J128" s="25" t="str">
        <f>'2.1. DM'!J128</f>
        <v>Urochloa humidicola</v>
      </c>
      <c r="K128" s="25" t="str">
        <f>'2.1. DM'!K128</f>
        <v>Poaceae</v>
      </c>
      <c r="L128" s="25" t="str">
        <f>'2.1. DM'!L128</f>
        <v>Poales</v>
      </c>
      <c r="M128" s="25" t="str">
        <f>'2.1. DM'!M128</f>
        <v>grasses</v>
      </c>
      <c r="N128" s="25" t="str">
        <f>'2.1. DM'!N128</f>
        <v>60,61, 62</v>
      </c>
      <c r="O128" s="25" t="str">
        <f>'2.1. DM'!O128</f>
        <v>OT-021</v>
      </c>
      <c r="P128" s="293" t="s">
        <v>496</v>
      </c>
      <c r="Q128" s="294">
        <v>34.261811114855739</v>
      </c>
      <c r="R128" s="341"/>
    </row>
    <row r="129" spans="2:18" x14ac:dyDescent="0.35">
      <c r="B129" s="25">
        <f>'2.1. DM'!B129</f>
        <v>119</v>
      </c>
      <c r="C129" s="25">
        <f>'2.1. DM'!C129</f>
        <v>46048</v>
      </c>
      <c r="D129" s="25" t="str">
        <f>'2.1. DM'!D129</f>
        <v>Genbank</v>
      </c>
      <c r="E129" s="25">
        <f>'2.1. DM'!E129</f>
        <v>28</v>
      </c>
      <c r="F129" s="25" t="str">
        <f>'2.1. DM'!F129</f>
        <v>F252192</v>
      </c>
      <c r="G129" s="25" t="str">
        <f>'2.1. DM'!G129</f>
        <v>CIAT-BH22_0519</v>
      </c>
      <c r="H129" s="25" t="str">
        <f>'2.1. DM'!H129</f>
        <v>Urochloa</v>
      </c>
      <c r="I129" s="25" t="str">
        <f>'2.1. DM'!I129</f>
        <v>humidicola</v>
      </c>
      <c r="J129" s="25" t="str">
        <f>'2.1. DM'!J129</f>
        <v>Urochloa humidicola</v>
      </c>
      <c r="K129" s="25" t="str">
        <f>'2.1. DM'!K129</f>
        <v>Poaceae</v>
      </c>
      <c r="L129" s="25" t="str">
        <f>'2.1. DM'!L129</f>
        <v>Poales</v>
      </c>
      <c r="M129" s="25" t="str">
        <f>'2.1. DM'!M129</f>
        <v>grasses</v>
      </c>
      <c r="N129" s="25" t="str">
        <f>'2.1. DM'!N129</f>
        <v>60,61, 62</v>
      </c>
      <c r="O129" s="25" t="str">
        <f>'2.1. DM'!O129</f>
        <v>OT-021</v>
      </c>
      <c r="P129" s="292" t="s">
        <v>495</v>
      </c>
      <c r="Q129" s="294">
        <v>31.767286849225052</v>
      </c>
      <c r="R129" s="341">
        <f t="shared" si="29"/>
        <v>31.684815204607752</v>
      </c>
    </row>
    <row r="130" spans="2:18" x14ac:dyDescent="0.35">
      <c r="B130" s="25">
        <f>'2.1. DM'!B130</f>
        <v>120</v>
      </c>
      <c r="C130" s="25">
        <f>'2.1. DM'!C130</f>
        <v>46048</v>
      </c>
      <c r="D130" s="25" t="str">
        <f>'2.1. DM'!D130</f>
        <v>Genbank</v>
      </c>
      <c r="E130" s="25">
        <f>'2.1. DM'!E130</f>
        <v>28</v>
      </c>
      <c r="F130" s="25" t="str">
        <f>'2.1. DM'!F130</f>
        <v>F252192</v>
      </c>
      <c r="G130" s="25" t="str">
        <f>'2.1. DM'!G130</f>
        <v>CIAT-BH22_0519</v>
      </c>
      <c r="H130" s="25" t="str">
        <f>'2.1. DM'!H130</f>
        <v>Urochloa</v>
      </c>
      <c r="I130" s="25" t="str">
        <f>'2.1. DM'!I130</f>
        <v>humidicola</v>
      </c>
      <c r="J130" s="25" t="str">
        <f>'2.1. DM'!J130</f>
        <v>Urochloa humidicola</v>
      </c>
      <c r="K130" s="25" t="str">
        <f>'2.1. DM'!K130</f>
        <v>Poaceae</v>
      </c>
      <c r="L130" s="25" t="str">
        <f>'2.1. DM'!L130</f>
        <v>Poales</v>
      </c>
      <c r="M130" s="25" t="str">
        <f>'2.1. DM'!M130</f>
        <v>grasses</v>
      </c>
      <c r="N130" s="25" t="str">
        <f>'2.1. DM'!N130</f>
        <v>60,61, 62</v>
      </c>
      <c r="O130" s="25" t="str">
        <f>'2.1. DM'!O130</f>
        <v>OT-021</v>
      </c>
      <c r="P130" s="293" t="s">
        <v>496</v>
      </c>
      <c r="Q130" s="210">
        <v>31.602343559990448</v>
      </c>
      <c r="R130" s="341"/>
    </row>
    <row r="131" spans="2:18" x14ac:dyDescent="0.35">
      <c r="B131" s="25">
        <f>'2.1. DM'!B131</f>
        <v>121</v>
      </c>
      <c r="C131" s="25">
        <f>'2.1. DM'!C131</f>
        <v>46048</v>
      </c>
      <c r="D131" s="25" t="str">
        <f>'2.1. DM'!D131</f>
        <v>Genbank</v>
      </c>
      <c r="E131" s="25">
        <f>'2.1. DM'!E131</f>
        <v>28</v>
      </c>
      <c r="F131" s="25" t="str">
        <f>'2.1. DM'!F131</f>
        <v>F252193</v>
      </c>
      <c r="G131" s="25" t="str">
        <f>'2.1. DM'!G131</f>
        <v>CIAT-BH22_0521</v>
      </c>
      <c r="H131" s="25" t="str">
        <f>'2.1. DM'!H131</f>
        <v>Urochloa</v>
      </c>
      <c r="I131" s="25" t="str">
        <f>'2.1. DM'!I131</f>
        <v>humidicola</v>
      </c>
      <c r="J131" s="25" t="str">
        <f>'2.1. DM'!J131</f>
        <v>Urochloa humidicola</v>
      </c>
      <c r="K131" s="25" t="str">
        <f>'2.1. DM'!K131</f>
        <v>Poaceae</v>
      </c>
      <c r="L131" s="25" t="str">
        <f>'2.1. DM'!L131</f>
        <v>Poales</v>
      </c>
      <c r="M131" s="25" t="str">
        <f>'2.1. DM'!M131</f>
        <v>grasses</v>
      </c>
      <c r="N131" s="25" t="str">
        <f>'2.1. DM'!N131</f>
        <v>60,61, 62</v>
      </c>
      <c r="O131" s="25" t="str">
        <f>'2.1. DM'!O131</f>
        <v>OT-021</v>
      </c>
      <c r="P131" s="292" t="s">
        <v>495</v>
      </c>
      <c r="Q131" s="210">
        <v>31.578380546816643</v>
      </c>
      <c r="R131" s="341">
        <f t="shared" si="29"/>
        <v>31.720348010110389</v>
      </c>
    </row>
    <row r="132" spans="2:18" x14ac:dyDescent="0.35">
      <c r="B132" s="25">
        <f>'2.1. DM'!B132</f>
        <v>122</v>
      </c>
      <c r="C132" s="25">
        <f>'2.1. DM'!C132</f>
        <v>46048</v>
      </c>
      <c r="D132" s="25" t="str">
        <f>'2.1. DM'!D132</f>
        <v>Genbank</v>
      </c>
      <c r="E132" s="25">
        <f>'2.1. DM'!E132</f>
        <v>28</v>
      </c>
      <c r="F132" s="25" t="str">
        <f>'2.1. DM'!F132</f>
        <v>F252193</v>
      </c>
      <c r="G132" s="25" t="str">
        <f>'2.1. DM'!G132</f>
        <v>CIAT-BH22_0521</v>
      </c>
      <c r="H132" s="25" t="str">
        <f>'2.1. DM'!H132</f>
        <v>Urochloa</v>
      </c>
      <c r="I132" s="25" t="str">
        <f>'2.1. DM'!I132</f>
        <v>humidicola</v>
      </c>
      <c r="J132" s="25" t="str">
        <f>'2.1. DM'!J132</f>
        <v>Urochloa humidicola</v>
      </c>
      <c r="K132" s="25" t="str">
        <f>'2.1. DM'!K132</f>
        <v>Poaceae</v>
      </c>
      <c r="L132" s="25" t="str">
        <f>'2.1. DM'!L132</f>
        <v>Poales</v>
      </c>
      <c r="M132" s="25" t="str">
        <f>'2.1. DM'!M132</f>
        <v>grasses</v>
      </c>
      <c r="N132" s="25" t="str">
        <f>'2.1. DM'!N132</f>
        <v>60,61, 62</v>
      </c>
      <c r="O132" s="25" t="str">
        <f>'2.1. DM'!O132</f>
        <v>OT-021</v>
      </c>
      <c r="P132" s="293" t="s">
        <v>496</v>
      </c>
      <c r="Q132" s="294">
        <v>31.862315473404134</v>
      </c>
      <c r="R132" s="341"/>
    </row>
    <row r="133" spans="2:18" x14ac:dyDescent="0.35">
      <c r="B133" s="25">
        <f>'2.1. DM'!B133</f>
        <v>123</v>
      </c>
      <c r="C133" s="25">
        <f>'2.1. DM'!C133</f>
        <v>46048</v>
      </c>
      <c r="D133" s="25" t="str">
        <f>'2.1. DM'!D133</f>
        <v>Genbank</v>
      </c>
      <c r="E133" s="25">
        <f>'2.1. DM'!E133</f>
        <v>28</v>
      </c>
      <c r="F133" s="25" t="str">
        <f>'2.1. DM'!F133</f>
        <v>F252574</v>
      </c>
      <c r="G133" s="25" t="str">
        <f>'2.1. DM'!G133</f>
        <v>CIAT326</v>
      </c>
      <c r="H133" s="25" t="str">
        <f>'2.1. DM'!H133</f>
        <v>Desmodium</v>
      </c>
      <c r="I133" s="25" t="str">
        <f>'2.1. DM'!I133</f>
        <v>scorpiurus</v>
      </c>
      <c r="J133" s="25" t="str">
        <f>'2.1. DM'!J133</f>
        <v>Desmodium scorpiurus</v>
      </c>
      <c r="K133" s="25" t="str">
        <f>'2.1. DM'!K133</f>
        <v>Fabaceae</v>
      </c>
      <c r="L133" s="25" t="str">
        <f>'2.1. DM'!L133</f>
        <v>Fabales</v>
      </c>
      <c r="M133" s="25" t="str">
        <f>'2.1. DM'!M133</f>
        <v>Herbaceous</v>
      </c>
      <c r="N133" s="25" t="str">
        <f>'2.1. DM'!N133</f>
        <v>60,61, 62</v>
      </c>
      <c r="O133" s="25" t="str">
        <f>'2.1. DM'!O133</f>
        <v>OT-031</v>
      </c>
      <c r="P133" s="292" t="s">
        <v>495</v>
      </c>
      <c r="Q133" s="294">
        <v>39.488482725543101</v>
      </c>
      <c r="R133" s="341">
        <f t="shared" si="29"/>
        <v>38.936212102250892</v>
      </c>
    </row>
    <row r="134" spans="2:18" x14ac:dyDescent="0.35">
      <c r="B134" s="25">
        <f>'2.1. DM'!B134</f>
        <v>124</v>
      </c>
      <c r="C134" s="25">
        <f>'2.1. DM'!C134</f>
        <v>46048</v>
      </c>
      <c r="D134" s="25" t="str">
        <f>'2.1. DM'!D134</f>
        <v>Genbank</v>
      </c>
      <c r="E134" s="25">
        <f>'2.1. DM'!E134</f>
        <v>28</v>
      </c>
      <c r="F134" s="25" t="str">
        <f>'2.1. DM'!F134</f>
        <v>F252574</v>
      </c>
      <c r="G134" s="25" t="str">
        <f>'2.1. DM'!G134</f>
        <v>CIAT326</v>
      </c>
      <c r="H134" s="25" t="str">
        <f>'2.1. DM'!H134</f>
        <v>Desmodium</v>
      </c>
      <c r="I134" s="25" t="str">
        <f>'2.1. DM'!I134</f>
        <v>scorpiurus</v>
      </c>
      <c r="J134" s="25" t="str">
        <f>'2.1. DM'!J134</f>
        <v>Desmodium scorpiurus</v>
      </c>
      <c r="K134" s="25" t="str">
        <f>'2.1. DM'!K134</f>
        <v>Fabaceae</v>
      </c>
      <c r="L134" s="25" t="str">
        <f>'2.1. DM'!L134</f>
        <v>Fabales</v>
      </c>
      <c r="M134" s="25" t="str">
        <f>'2.1. DM'!M134</f>
        <v>Herbaceous</v>
      </c>
      <c r="N134" s="25" t="str">
        <f>'2.1. DM'!N134</f>
        <v>60,61, 62</v>
      </c>
      <c r="O134" s="25" t="str">
        <f>'2.1. DM'!O134</f>
        <v>OT-031</v>
      </c>
      <c r="P134" s="293" t="s">
        <v>496</v>
      </c>
      <c r="Q134" s="294">
        <v>38.383941478958675</v>
      </c>
      <c r="R134" s="341"/>
    </row>
    <row r="135" spans="2:18" x14ac:dyDescent="0.35">
      <c r="B135" s="25">
        <f>'2.1. DM'!B135</f>
        <v>125</v>
      </c>
      <c r="C135" s="25">
        <f>'2.1. DM'!C135</f>
        <v>46048</v>
      </c>
      <c r="D135" s="25" t="str">
        <f>'2.1. DM'!D135</f>
        <v>Jacobo Arango/Alejandro Montoya</v>
      </c>
      <c r="E135" s="25">
        <f>'2.1. DM'!E135</f>
        <v>28</v>
      </c>
      <c r="F135" s="25" t="str">
        <f>'2.1. DM'!F135</f>
        <v>F250008</v>
      </c>
      <c r="G135" s="25" t="str">
        <f>'2.1. DM'!G135</f>
        <v>Sample 8</v>
      </c>
      <c r="H135" s="25" t="str">
        <f>'2.1. DM'!H135</f>
        <v>Cynodon</v>
      </c>
      <c r="I135" s="25" t="str">
        <f>'2.1. DM'!I135</f>
        <v xml:space="preserve"> nlemfuensis </v>
      </c>
      <c r="J135" s="25" t="str">
        <f>'2.1. DM'!J135</f>
        <v xml:space="preserve">Cynodon nlemfuensis </v>
      </c>
      <c r="K135" s="25" t="str">
        <f>'2.1. DM'!K135</f>
        <v>Poaceae</v>
      </c>
      <c r="L135" s="25" t="str">
        <f>'2.1. DM'!L135</f>
        <v>Poales</v>
      </c>
      <c r="M135" s="25" t="str">
        <f>'2.1. DM'!M135</f>
        <v>grasses</v>
      </c>
      <c r="N135" s="25" t="str">
        <f>'2.1. DM'!N135</f>
        <v>60,61, 62</v>
      </c>
      <c r="O135" s="25" t="str">
        <f>'2.1. DM'!O135</f>
        <v>OT-002</v>
      </c>
      <c r="P135" s="292" t="s">
        <v>495</v>
      </c>
      <c r="Q135" s="76"/>
      <c r="R135" s="341">
        <v>37.799999999999997</v>
      </c>
    </row>
    <row r="136" spans="2:18" x14ac:dyDescent="0.35">
      <c r="B136" s="25">
        <f>'2.1. DM'!B136</f>
        <v>126</v>
      </c>
      <c r="C136" s="25">
        <f>'2.1. DM'!C136</f>
        <v>46048</v>
      </c>
      <c r="D136" s="25" t="str">
        <f>'2.1. DM'!D136</f>
        <v>Jacobo Arango/Alejandro Montoya</v>
      </c>
      <c r="E136" s="25">
        <f>'2.1. DM'!E136</f>
        <v>28</v>
      </c>
      <c r="F136" s="25" t="str">
        <f>'2.1. DM'!F136</f>
        <v>F250008</v>
      </c>
      <c r="G136" s="25" t="str">
        <f>'2.1. DM'!G136</f>
        <v>Sample 8</v>
      </c>
      <c r="H136" s="25" t="str">
        <f>'2.1. DM'!H136</f>
        <v>Cynodon</v>
      </c>
      <c r="I136" s="25" t="str">
        <f>'2.1. DM'!I136</f>
        <v xml:space="preserve"> nlemfuensis </v>
      </c>
      <c r="J136" s="25" t="str">
        <f>'2.1. DM'!J136</f>
        <v xml:space="preserve">Cynodon nlemfuensis </v>
      </c>
      <c r="K136" s="25" t="str">
        <f>'2.1. DM'!K136</f>
        <v>Poaceae</v>
      </c>
      <c r="L136" s="25" t="str">
        <f>'2.1. DM'!L136</f>
        <v>Poales</v>
      </c>
      <c r="M136" s="25" t="str">
        <f>'2.1. DM'!M136</f>
        <v>grasses</v>
      </c>
      <c r="N136" s="25" t="str">
        <f>'2.1. DM'!N136</f>
        <v>60,61, 62</v>
      </c>
      <c r="O136" s="25" t="str">
        <f>'2.1. DM'!O136</f>
        <v>OT-002</v>
      </c>
      <c r="P136" s="293" t="s">
        <v>496</v>
      </c>
      <c r="Q136" s="76"/>
      <c r="R136" s="341"/>
    </row>
    <row r="137" spans="2:18" x14ac:dyDescent="0.35">
      <c r="B137" s="25">
        <f>'2.1. DM'!B137</f>
        <v>127</v>
      </c>
      <c r="C137" s="25">
        <f>'2.1. DM'!C137</f>
        <v>46048</v>
      </c>
      <c r="D137" s="25" t="str">
        <f>'2.1. DM'!D137</f>
        <v>Genbank</v>
      </c>
      <c r="E137" s="25">
        <f>'2.1. DM'!E137</f>
        <v>28</v>
      </c>
      <c r="F137" s="25" t="str">
        <f>'2.1. DM'!F137</f>
        <v>F252575</v>
      </c>
      <c r="G137" s="25" t="str">
        <f>'2.1. DM'!G137</f>
        <v>CIAT415</v>
      </c>
      <c r="H137" s="25" t="str">
        <f>'2.1. DM'!H137</f>
        <v>Vigna</v>
      </c>
      <c r="I137" s="25" t="str">
        <f>'2.1. DM'!I137</f>
        <v>radiata</v>
      </c>
      <c r="J137" s="25" t="str">
        <f>'2.1. DM'!J137</f>
        <v>Vigna radiata</v>
      </c>
      <c r="K137" s="25" t="str">
        <f>'2.1. DM'!K137</f>
        <v>Fabaceae</v>
      </c>
      <c r="L137" s="25" t="str">
        <f>'2.1. DM'!L137</f>
        <v>Fabales</v>
      </c>
      <c r="M137" s="25" t="str">
        <f>'2.1. DM'!M137</f>
        <v>Herbaceous</v>
      </c>
      <c r="N137" s="25" t="str">
        <f>'2.1. DM'!N137</f>
        <v>60,61, 62</v>
      </c>
      <c r="O137" s="25" t="str">
        <f>'2.1. DM'!O137</f>
        <v>OT-031</v>
      </c>
      <c r="P137" s="292" t="s">
        <v>495</v>
      </c>
      <c r="Q137" s="294">
        <v>25.378712784655448</v>
      </c>
      <c r="R137" s="341">
        <f t="shared" si="29"/>
        <v>25.274577526235923</v>
      </c>
    </row>
    <row r="138" spans="2:18" x14ac:dyDescent="0.35">
      <c r="B138" s="25">
        <f>'2.1. DM'!B138</f>
        <v>128</v>
      </c>
      <c r="C138" s="25">
        <f>'2.1. DM'!C138</f>
        <v>46048</v>
      </c>
      <c r="D138" s="25" t="str">
        <f>'2.1. DM'!D138</f>
        <v>Genbank</v>
      </c>
      <c r="E138" s="25">
        <f>'2.1. DM'!E138</f>
        <v>28</v>
      </c>
      <c r="F138" s="25" t="str">
        <f>'2.1. DM'!F138</f>
        <v>F252575</v>
      </c>
      <c r="G138" s="25" t="str">
        <f>'2.1. DM'!G138</f>
        <v>CIAT415</v>
      </c>
      <c r="H138" s="25" t="str">
        <f>'2.1. DM'!H138</f>
        <v>Vigna</v>
      </c>
      <c r="I138" s="25" t="str">
        <f>'2.1. DM'!I138</f>
        <v>radiata</v>
      </c>
      <c r="J138" s="25" t="str">
        <f>'2.1. DM'!J138</f>
        <v>Vigna radiata</v>
      </c>
      <c r="K138" s="25" t="str">
        <f>'2.1. DM'!K138</f>
        <v>Fabaceae</v>
      </c>
      <c r="L138" s="25" t="str">
        <f>'2.1. DM'!L138</f>
        <v>Fabales</v>
      </c>
      <c r="M138" s="25" t="str">
        <f>'2.1. DM'!M138</f>
        <v>Herbaceous</v>
      </c>
      <c r="N138" s="25" t="str">
        <f>'2.1. DM'!N138</f>
        <v>60,61, 62</v>
      </c>
      <c r="O138" s="25" t="str">
        <f>'2.1. DM'!O138</f>
        <v>OT-031</v>
      </c>
      <c r="P138" s="293" t="s">
        <v>496</v>
      </c>
      <c r="Q138" s="294">
        <v>25.170442267816401</v>
      </c>
      <c r="R138" s="341"/>
    </row>
    <row r="139" spans="2:18" x14ac:dyDescent="0.35">
      <c r="B139" s="25">
        <f>'2.1. DM'!B139</f>
        <v>129</v>
      </c>
      <c r="C139" s="25">
        <f>'2.1. DM'!C139</f>
        <v>46048</v>
      </c>
      <c r="D139" s="25" t="str">
        <f>'2.1. DM'!D139</f>
        <v>Genbank</v>
      </c>
      <c r="E139" s="25">
        <f>'2.1. DM'!E139</f>
        <v>28</v>
      </c>
      <c r="F139" s="25" t="str">
        <f>'2.1. DM'!F139</f>
        <v>F252576</v>
      </c>
      <c r="G139" s="25" t="str">
        <f>'2.1. DM'!G139</f>
        <v>CIAT416</v>
      </c>
      <c r="H139" s="25" t="str">
        <f>'2.1. DM'!H139</f>
        <v>Vigna</v>
      </c>
      <c r="I139" s="25" t="str">
        <f>'2.1. DM'!I139</f>
        <v>radiata</v>
      </c>
      <c r="J139" s="25" t="str">
        <f>'2.1. DM'!J139</f>
        <v>Vigna radiata</v>
      </c>
      <c r="K139" s="25" t="str">
        <f>'2.1. DM'!K139</f>
        <v>Fabaceae</v>
      </c>
      <c r="L139" s="25" t="str">
        <f>'2.1. DM'!L139</f>
        <v>Fabales</v>
      </c>
      <c r="M139" s="25" t="str">
        <f>'2.1. DM'!M139</f>
        <v>Herbaceous</v>
      </c>
      <c r="N139" s="25" t="str">
        <f>'2.1. DM'!N139</f>
        <v>60,61, 62</v>
      </c>
      <c r="O139" s="25" t="str">
        <f>'2.1. DM'!O139</f>
        <v>OT-031</v>
      </c>
      <c r="P139" s="292" t="s">
        <v>495</v>
      </c>
      <c r="Q139" s="294">
        <v>24.613924161721449</v>
      </c>
      <c r="R139" s="341">
        <f t="shared" si="29"/>
        <v>23.980459764400585</v>
      </c>
    </row>
    <row r="140" spans="2:18" x14ac:dyDescent="0.35">
      <c r="B140" s="25">
        <f>'2.1. DM'!B140</f>
        <v>130</v>
      </c>
      <c r="C140" s="25">
        <f>'2.1. DM'!C140</f>
        <v>46048</v>
      </c>
      <c r="D140" s="25" t="str">
        <f>'2.1. DM'!D140</f>
        <v>Genbank</v>
      </c>
      <c r="E140" s="25">
        <f>'2.1. DM'!E140</f>
        <v>28</v>
      </c>
      <c r="F140" s="25" t="str">
        <f>'2.1. DM'!F140</f>
        <v>F252576</v>
      </c>
      <c r="G140" s="25" t="str">
        <f>'2.1. DM'!G140</f>
        <v>CIAT416</v>
      </c>
      <c r="H140" s="25" t="str">
        <f>'2.1. DM'!H140</f>
        <v>Vigna</v>
      </c>
      <c r="I140" s="25" t="str">
        <f>'2.1. DM'!I140</f>
        <v>radiata</v>
      </c>
      <c r="J140" s="25" t="str">
        <f>'2.1. DM'!J140</f>
        <v>Vigna radiata</v>
      </c>
      <c r="K140" s="25" t="str">
        <f>'2.1. DM'!K140</f>
        <v>Fabaceae</v>
      </c>
      <c r="L140" s="25" t="str">
        <f>'2.1. DM'!L140</f>
        <v>Fabales</v>
      </c>
      <c r="M140" s="25" t="str">
        <f>'2.1. DM'!M140</f>
        <v>Herbaceous</v>
      </c>
      <c r="N140" s="25" t="str">
        <f>'2.1. DM'!N140</f>
        <v>60,61, 62</v>
      </c>
      <c r="O140" s="25" t="str">
        <f>'2.1. DM'!O140</f>
        <v>OT-031</v>
      </c>
      <c r="P140" s="293" t="s">
        <v>496</v>
      </c>
      <c r="Q140" s="294">
        <v>23.346995367079721</v>
      </c>
      <c r="R140" s="341"/>
    </row>
    <row r="141" spans="2:18" x14ac:dyDescent="0.35">
      <c r="B141" s="25">
        <f>'2.1. DM'!B141</f>
        <v>131</v>
      </c>
      <c r="C141" s="25">
        <f>'2.1. DM'!C141</f>
        <v>46048</v>
      </c>
      <c r="D141" s="25" t="str">
        <f>'2.1. DM'!D141</f>
        <v>Genbank</v>
      </c>
      <c r="E141" s="25">
        <f>'2.1. DM'!E141</f>
        <v>28</v>
      </c>
      <c r="F141" s="25" t="str">
        <f>'2.1. DM'!F141</f>
        <v>F252577</v>
      </c>
      <c r="G141" s="25" t="str">
        <f>'2.1. DM'!G141</f>
        <v>CIAT517</v>
      </c>
      <c r="H141" s="25" t="str">
        <f>'2.1. DM'!H141</f>
        <v>Macroptilium</v>
      </c>
      <c r="I141" s="25" t="str">
        <f>'2.1. DM'!I141</f>
        <v>atropurpureum</v>
      </c>
      <c r="J141" s="25" t="str">
        <f>'2.1. DM'!J141</f>
        <v>Macroptilium atropurpureum</v>
      </c>
      <c r="K141" s="25" t="str">
        <f>'2.1. DM'!K141</f>
        <v>Fabaceae</v>
      </c>
      <c r="L141" s="25" t="str">
        <f>'2.1. DM'!L141</f>
        <v>Fabales</v>
      </c>
      <c r="M141" s="25" t="str">
        <f>'2.1. DM'!M141</f>
        <v>Herbaceous</v>
      </c>
      <c r="N141" s="25" t="str">
        <f>'2.1. DM'!N141</f>
        <v>60,61, 62</v>
      </c>
      <c r="O141" s="25" t="str">
        <f>'2.1. DM'!O141</f>
        <v>OT-031</v>
      </c>
      <c r="P141" s="292" t="s">
        <v>495</v>
      </c>
      <c r="Q141" s="294">
        <v>26.727252261387918</v>
      </c>
      <c r="R141" s="341">
        <f t="shared" si="29"/>
        <v>26.525040040434263</v>
      </c>
    </row>
    <row r="142" spans="2:18" x14ac:dyDescent="0.35">
      <c r="B142" s="25">
        <f>'2.1. DM'!B142</f>
        <v>132</v>
      </c>
      <c r="C142" s="25">
        <f>'2.1. DM'!C142</f>
        <v>46048</v>
      </c>
      <c r="D142" s="25" t="str">
        <f>'2.1. DM'!D142</f>
        <v>Genbank</v>
      </c>
      <c r="E142" s="25">
        <f>'2.1. DM'!E142</f>
        <v>28</v>
      </c>
      <c r="F142" s="25" t="str">
        <f>'2.1. DM'!F142</f>
        <v>F252577</v>
      </c>
      <c r="G142" s="25" t="str">
        <f>'2.1. DM'!G142</f>
        <v>CIAT517</v>
      </c>
      <c r="H142" s="25" t="str">
        <f>'2.1. DM'!H142</f>
        <v>Macroptilium</v>
      </c>
      <c r="I142" s="25" t="str">
        <f>'2.1. DM'!I142</f>
        <v>atropurpureum</v>
      </c>
      <c r="J142" s="25" t="str">
        <f>'2.1. DM'!J142</f>
        <v>Macroptilium atropurpureum</v>
      </c>
      <c r="K142" s="25" t="str">
        <f>'2.1. DM'!K142</f>
        <v>Fabaceae</v>
      </c>
      <c r="L142" s="25" t="str">
        <f>'2.1. DM'!L142</f>
        <v>Fabales</v>
      </c>
      <c r="M142" s="25" t="str">
        <f>'2.1. DM'!M142</f>
        <v>Herbaceous</v>
      </c>
      <c r="N142" s="25" t="str">
        <f>'2.1. DM'!N142</f>
        <v>60,61, 62</v>
      </c>
      <c r="O142" s="25" t="str">
        <f>'2.1. DM'!O142</f>
        <v>OT-031</v>
      </c>
      <c r="P142" s="293" t="s">
        <v>496</v>
      </c>
      <c r="Q142" s="294">
        <v>26.322827819480604</v>
      </c>
      <c r="R142" s="341"/>
    </row>
    <row r="143" spans="2:18" x14ac:dyDescent="0.35">
      <c r="B143" s="25">
        <f>'2.1. DM'!B143</f>
        <v>133</v>
      </c>
      <c r="C143" s="25">
        <f>'2.1. DM'!C143</f>
        <v>46048</v>
      </c>
      <c r="D143" s="25" t="str">
        <f>'2.1. DM'!D143</f>
        <v>Genbank</v>
      </c>
      <c r="E143" s="25">
        <f>'2.1. DM'!E143</f>
        <v>28</v>
      </c>
      <c r="F143" s="25" t="str">
        <f>'2.1. DM'!F143</f>
        <v>F252578</v>
      </c>
      <c r="G143" s="25" t="str">
        <f>'2.1. DM'!G143</f>
        <v>CIAT563</v>
      </c>
      <c r="H143" s="25" t="str">
        <f>'2.1. DM'!H143</f>
        <v>Macroptilium</v>
      </c>
      <c r="I143" s="25" t="str">
        <f>'2.1. DM'!I143</f>
        <v>bracteatum</v>
      </c>
      <c r="J143" s="25" t="str">
        <f>'2.1. DM'!J143</f>
        <v>Macroptilium bracteatum</v>
      </c>
      <c r="K143" s="25" t="str">
        <f>'2.1. DM'!K143</f>
        <v>Fabaceae</v>
      </c>
      <c r="L143" s="25" t="str">
        <f>'2.1. DM'!L143</f>
        <v>Fabales</v>
      </c>
      <c r="M143" s="25" t="str">
        <f>'2.1. DM'!M143</f>
        <v>Herbaceous</v>
      </c>
      <c r="N143" s="25" t="str">
        <f>'2.1. DM'!N143</f>
        <v>60,61, 62</v>
      </c>
      <c r="O143" s="25" t="str">
        <f>'2.1. DM'!O143</f>
        <v>OT-031</v>
      </c>
      <c r="P143" s="292" t="s">
        <v>495</v>
      </c>
      <c r="Q143" s="294">
        <v>29.990838788280033</v>
      </c>
      <c r="R143" s="341">
        <f t="shared" si="29"/>
        <v>30.285187611689931</v>
      </c>
    </row>
    <row r="144" spans="2:18" x14ac:dyDescent="0.35">
      <c r="B144" s="25">
        <f>'2.1. DM'!B144</f>
        <v>134</v>
      </c>
      <c r="C144" s="25">
        <f>'2.1. DM'!C144</f>
        <v>46048</v>
      </c>
      <c r="D144" s="25" t="str">
        <f>'2.1. DM'!D144</f>
        <v>Genbank</v>
      </c>
      <c r="E144" s="25">
        <f>'2.1. DM'!E144</f>
        <v>28</v>
      </c>
      <c r="F144" s="25" t="str">
        <f>'2.1. DM'!F144</f>
        <v>F252578</v>
      </c>
      <c r="G144" s="25" t="str">
        <f>'2.1. DM'!G144</f>
        <v>CIAT563</v>
      </c>
      <c r="H144" s="25" t="str">
        <f>'2.1. DM'!H144</f>
        <v>Macroptilium</v>
      </c>
      <c r="I144" s="25" t="str">
        <f>'2.1. DM'!I144</f>
        <v>bracteatum</v>
      </c>
      <c r="J144" s="25" t="str">
        <f>'2.1. DM'!J144</f>
        <v>Macroptilium bracteatum</v>
      </c>
      <c r="K144" s="25" t="str">
        <f>'2.1. DM'!K144</f>
        <v>Fabaceae</v>
      </c>
      <c r="L144" s="25" t="str">
        <f>'2.1. DM'!L144</f>
        <v>Fabales</v>
      </c>
      <c r="M144" s="25" t="str">
        <f>'2.1. DM'!M144</f>
        <v>Herbaceous</v>
      </c>
      <c r="N144" s="25" t="str">
        <f>'2.1. DM'!N144</f>
        <v>60,61, 62</v>
      </c>
      <c r="O144" s="25" t="str">
        <f>'2.1. DM'!O144</f>
        <v>OT-031</v>
      </c>
      <c r="P144" s="293" t="s">
        <v>496</v>
      </c>
      <c r="Q144" s="294">
        <v>30.579536435099829</v>
      </c>
      <c r="R144" s="341"/>
    </row>
    <row r="145" spans="2:18" x14ac:dyDescent="0.35">
      <c r="B145" s="25">
        <f>'2.1. DM'!B145</f>
        <v>135</v>
      </c>
      <c r="C145" s="25">
        <f>'2.1. DM'!C145</f>
        <v>46048</v>
      </c>
      <c r="D145" s="25" t="str">
        <f>'2.1. DM'!D145</f>
        <v>Genbank</v>
      </c>
      <c r="E145" s="25">
        <f>'2.1. DM'!E145</f>
        <v>28</v>
      </c>
      <c r="F145" s="25" t="str">
        <f>'2.1. DM'!F145</f>
        <v>F252579</v>
      </c>
      <c r="G145" s="25" t="str">
        <f>'2.1. DM'!G145</f>
        <v>CIAT789</v>
      </c>
      <c r="H145" s="25" t="str">
        <f>'2.1. DM'!H145</f>
        <v>Zornia</v>
      </c>
      <c r="I145" s="25" t="str">
        <f>'2.1. DM'!I145</f>
        <v>latifolia</v>
      </c>
      <c r="J145" s="25" t="str">
        <f>'2.1. DM'!J145</f>
        <v>Zornia latifolia</v>
      </c>
      <c r="K145" s="25" t="str">
        <f>'2.1. DM'!K145</f>
        <v>Fabaceae</v>
      </c>
      <c r="L145" s="25" t="str">
        <f>'2.1. DM'!L145</f>
        <v>Fabales</v>
      </c>
      <c r="M145" s="25" t="str">
        <f>'2.1. DM'!M145</f>
        <v>Herbaceous</v>
      </c>
      <c r="N145" s="25" t="str">
        <f>'2.1. DM'!N145</f>
        <v>60,61, 62</v>
      </c>
      <c r="O145" s="25" t="str">
        <f>'2.1. DM'!O145</f>
        <v>OT-031</v>
      </c>
      <c r="P145" s="292" t="s">
        <v>495</v>
      </c>
      <c r="Q145" s="294">
        <v>24.832265368222433</v>
      </c>
      <c r="R145" s="341">
        <f t="shared" si="29"/>
        <v>24.85387739056619</v>
      </c>
    </row>
    <row r="146" spans="2:18" x14ac:dyDescent="0.35">
      <c r="B146" s="25">
        <f>'2.1. DM'!B146</f>
        <v>136</v>
      </c>
      <c r="C146" s="25">
        <f>'2.1. DM'!C146</f>
        <v>46048</v>
      </c>
      <c r="D146" s="25" t="str">
        <f>'2.1. DM'!D146</f>
        <v>Genbank</v>
      </c>
      <c r="E146" s="25">
        <f>'2.1. DM'!E146</f>
        <v>28</v>
      </c>
      <c r="F146" s="25" t="str">
        <f>'2.1. DM'!F146</f>
        <v>F252579</v>
      </c>
      <c r="G146" s="25" t="str">
        <f>'2.1. DM'!G146</f>
        <v>CIAT789</v>
      </c>
      <c r="H146" s="25" t="str">
        <f>'2.1. DM'!H146</f>
        <v>Zornia</v>
      </c>
      <c r="I146" s="25" t="str">
        <f>'2.1. DM'!I146</f>
        <v>latifolia</v>
      </c>
      <c r="J146" s="25" t="str">
        <f>'2.1. DM'!J146</f>
        <v>Zornia latifolia</v>
      </c>
      <c r="K146" s="25" t="str">
        <f>'2.1. DM'!K146</f>
        <v>Fabaceae</v>
      </c>
      <c r="L146" s="25" t="str">
        <f>'2.1. DM'!L146</f>
        <v>Fabales</v>
      </c>
      <c r="M146" s="25" t="str">
        <f>'2.1. DM'!M146</f>
        <v>Herbaceous</v>
      </c>
      <c r="N146" s="25" t="str">
        <f>'2.1. DM'!N146</f>
        <v>60,61, 62</v>
      </c>
      <c r="O146" s="25" t="str">
        <f>'2.1. DM'!O146</f>
        <v>OT-031</v>
      </c>
      <c r="P146" s="293" t="s">
        <v>496</v>
      </c>
      <c r="Q146" s="294">
        <v>24.875489412909943</v>
      </c>
      <c r="R146" s="341"/>
    </row>
    <row r="147" spans="2:18" x14ac:dyDescent="0.35">
      <c r="B147" s="25">
        <f>'2.1. DM'!B147</f>
        <v>137</v>
      </c>
      <c r="C147" s="25">
        <f>'2.1. DM'!C147</f>
        <v>46048</v>
      </c>
      <c r="D147" s="25" t="str">
        <f>'2.1. DM'!D147</f>
        <v>Genbank</v>
      </c>
      <c r="E147" s="25">
        <f>'2.1. DM'!E147</f>
        <v>28</v>
      </c>
      <c r="F147" s="25" t="str">
        <f>'2.1. DM'!F147</f>
        <v>F252580</v>
      </c>
      <c r="G147" s="25" t="str">
        <f>'2.1. DM'!G147</f>
        <v>CIAT2085</v>
      </c>
      <c r="H147" s="25" t="str">
        <f>'2.1. DM'!H147</f>
        <v>Stylosanthes</v>
      </c>
      <c r="I147" s="25" t="str">
        <f>'2.1. DM'!I147</f>
        <v>seabrana</v>
      </c>
      <c r="J147" s="25" t="str">
        <f>'2.1. DM'!J147</f>
        <v>Stylosanthes seabrana</v>
      </c>
      <c r="K147" s="25" t="str">
        <f>'2.1. DM'!K147</f>
        <v>Fabaceae</v>
      </c>
      <c r="L147" s="25" t="str">
        <f>'2.1. DM'!L147</f>
        <v>Fabales</v>
      </c>
      <c r="M147" s="25" t="str">
        <f>'2.1. DM'!M147</f>
        <v>Herbaceous</v>
      </c>
      <c r="N147" s="25" t="str">
        <f>'2.1. DM'!N147</f>
        <v>60,61, 62</v>
      </c>
      <c r="O147" s="25" t="str">
        <f>'2.1. DM'!O147</f>
        <v>OT-031</v>
      </c>
      <c r="P147" s="292" t="s">
        <v>495</v>
      </c>
      <c r="Q147" s="294">
        <v>37.039597242954855</v>
      </c>
      <c r="R147" s="341">
        <f t="shared" si="29"/>
        <v>37.915377668858667</v>
      </c>
    </row>
    <row r="148" spans="2:18" x14ac:dyDescent="0.35">
      <c r="B148" s="25">
        <f>'2.1. DM'!B148</f>
        <v>138</v>
      </c>
      <c r="C148" s="25">
        <f>'2.1. DM'!C148</f>
        <v>46048</v>
      </c>
      <c r="D148" s="25" t="str">
        <f>'2.1. DM'!D148</f>
        <v>Genbank</v>
      </c>
      <c r="E148" s="25">
        <f>'2.1. DM'!E148</f>
        <v>28</v>
      </c>
      <c r="F148" s="25" t="str">
        <f>'2.1. DM'!F148</f>
        <v>F252580</v>
      </c>
      <c r="G148" s="25" t="str">
        <f>'2.1. DM'!G148</f>
        <v>CIAT2085</v>
      </c>
      <c r="H148" s="25" t="str">
        <f>'2.1. DM'!H148</f>
        <v>Stylosanthes</v>
      </c>
      <c r="I148" s="25" t="str">
        <f>'2.1. DM'!I148</f>
        <v>seabrana</v>
      </c>
      <c r="J148" s="25" t="str">
        <f>'2.1. DM'!J148</f>
        <v>Stylosanthes seabrana</v>
      </c>
      <c r="K148" s="25" t="str">
        <f>'2.1. DM'!K148</f>
        <v>Fabaceae</v>
      </c>
      <c r="L148" s="25" t="str">
        <f>'2.1. DM'!L148</f>
        <v>Fabales</v>
      </c>
      <c r="M148" s="25" t="str">
        <f>'2.1. DM'!M148</f>
        <v>Herbaceous</v>
      </c>
      <c r="N148" s="25" t="str">
        <f>'2.1. DM'!N148</f>
        <v>60,61, 62</v>
      </c>
      <c r="O148" s="25" t="str">
        <f>'2.1. DM'!O148</f>
        <v>OT-031</v>
      </c>
      <c r="P148" s="293" t="s">
        <v>496</v>
      </c>
      <c r="Q148" s="294">
        <v>38.791158094762487</v>
      </c>
      <c r="R148" s="341"/>
    </row>
    <row r="149" spans="2:18" x14ac:dyDescent="0.35">
      <c r="B149" s="25">
        <f>'2.1. DM'!B149</f>
        <v>139</v>
      </c>
      <c r="C149" s="25">
        <f>'2.1. DM'!C149</f>
        <v>46048</v>
      </c>
      <c r="D149" s="25" t="str">
        <f>'2.1. DM'!D149</f>
        <v>Genbank</v>
      </c>
      <c r="E149" s="25">
        <f>'2.1. DM'!E149</f>
        <v>28</v>
      </c>
      <c r="F149" s="25" t="str">
        <f>'2.1. DM'!F149</f>
        <v>F252581</v>
      </c>
      <c r="G149" s="25" t="str">
        <f>'2.1. DM'!G149</f>
        <v>CIAT2690</v>
      </c>
      <c r="H149" s="25" t="str">
        <f>'2.1. DM'!H149</f>
        <v>Stylosanthes</v>
      </c>
      <c r="I149" s="25" t="str">
        <f>'2.1. DM'!I149</f>
        <v>angustifolia</v>
      </c>
      <c r="J149" s="25" t="str">
        <f>'2.1. DM'!J149</f>
        <v>Stylosanthes angustifolia</v>
      </c>
      <c r="K149" s="25" t="str">
        <f>'2.1. DM'!K149</f>
        <v>Fabaceae</v>
      </c>
      <c r="L149" s="25" t="str">
        <f>'2.1. DM'!L149</f>
        <v>Fabales</v>
      </c>
      <c r="M149" s="25" t="str">
        <f>'2.1. DM'!M149</f>
        <v>Herbaceous</v>
      </c>
      <c r="N149" s="25" t="str">
        <f>'2.1. DM'!N149</f>
        <v>60,61, 62</v>
      </c>
      <c r="O149" s="25" t="str">
        <f>'2.1. DM'!O149</f>
        <v>OT-031</v>
      </c>
      <c r="P149" s="292" t="s">
        <v>495</v>
      </c>
      <c r="Q149" s="294">
        <v>38.196099923294611</v>
      </c>
      <c r="R149" s="341">
        <f t="shared" si="29"/>
        <v>38.392498362794498</v>
      </c>
    </row>
    <row r="150" spans="2:18" x14ac:dyDescent="0.35">
      <c r="B150" s="25">
        <f>'2.1. DM'!B150</f>
        <v>140</v>
      </c>
      <c r="C150" s="25">
        <f>'2.1. DM'!C150</f>
        <v>46048</v>
      </c>
      <c r="D150" s="25" t="str">
        <f>'2.1. DM'!D150</f>
        <v>Genbank</v>
      </c>
      <c r="E150" s="25">
        <f>'2.1. DM'!E150</f>
        <v>28</v>
      </c>
      <c r="F150" s="25" t="str">
        <f>'2.1. DM'!F150</f>
        <v>F252581</v>
      </c>
      <c r="G150" s="25" t="str">
        <f>'2.1. DM'!G150</f>
        <v>CIAT2690</v>
      </c>
      <c r="H150" s="25" t="str">
        <f>'2.1. DM'!H150</f>
        <v>Stylosanthes</v>
      </c>
      <c r="I150" s="25" t="str">
        <f>'2.1. DM'!I150</f>
        <v>angustifolia</v>
      </c>
      <c r="J150" s="25" t="str">
        <f>'2.1. DM'!J150</f>
        <v>Stylosanthes angustifolia</v>
      </c>
      <c r="K150" s="25" t="str">
        <f>'2.1. DM'!K150</f>
        <v>Fabaceae</v>
      </c>
      <c r="L150" s="25" t="str">
        <f>'2.1. DM'!L150</f>
        <v>Fabales</v>
      </c>
      <c r="M150" s="25" t="str">
        <f>'2.1. DM'!M150</f>
        <v>Herbaceous</v>
      </c>
      <c r="N150" s="25" t="str">
        <f>'2.1. DM'!N150</f>
        <v>60,61, 62</v>
      </c>
      <c r="O150" s="25" t="str">
        <f>'2.1. DM'!O150</f>
        <v>OT-031</v>
      </c>
      <c r="P150" s="293" t="s">
        <v>496</v>
      </c>
      <c r="Q150" s="294">
        <v>38.588896802294379</v>
      </c>
      <c r="R150" s="341"/>
    </row>
    <row r="151" spans="2:18" x14ac:dyDescent="0.35">
      <c r="B151" s="25">
        <f>'2.1. DM'!B151</f>
        <v>141</v>
      </c>
      <c r="C151" s="25">
        <f>'2.1. DM'!C151</f>
        <v>46048</v>
      </c>
      <c r="D151" s="25" t="str">
        <f>'2.1. DM'!D151</f>
        <v>Genbank</v>
      </c>
      <c r="E151" s="25">
        <f>'2.1. DM'!E151</f>
        <v>28</v>
      </c>
      <c r="F151" s="25" t="str">
        <f>'2.1. DM'!F151</f>
        <v>F252582</v>
      </c>
      <c r="G151" s="25" t="str">
        <f>'2.1. DM'!G151</f>
        <v>CIAT4069</v>
      </c>
      <c r="H151" s="25" t="str">
        <f>'2.1. DM'!H151</f>
        <v>Macroptilium</v>
      </c>
      <c r="I151" s="25" t="str">
        <f>'2.1. DM'!I151</f>
        <v>atropurpureum</v>
      </c>
      <c r="J151" s="25" t="str">
        <f>'2.1. DM'!J151</f>
        <v>Macroptilium atropurpureum</v>
      </c>
      <c r="K151" s="25" t="str">
        <f>'2.1. DM'!K151</f>
        <v>Fabaceae</v>
      </c>
      <c r="L151" s="25" t="str">
        <f>'2.1. DM'!L151</f>
        <v>Fabales</v>
      </c>
      <c r="M151" s="25" t="str">
        <f>'2.1. DM'!M151</f>
        <v>Herbaceous</v>
      </c>
      <c r="N151" s="25" t="str">
        <f>'2.1. DM'!N151</f>
        <v>60,61, 62</v>
      </c>
      <c r="O151" s="25" t="str">
        <f>'2.1. DM'!O151</f>
        <v>OT-031</v>
      </c>
      <c r="P151" s="292" t="s">
        <v>495</v>
      </c>
      <c r="Q151" s="294">
        <v>32.401008699467063</v>
      </c>
      <c r="R151" s="341">
        <f t="shared" si="29"/>
        <v>33.571615987359522</v>
      </c>
    </row>
    <row r="152" spans="2:18" x14ac:dyDescent="0.35">
      <c r="B152" s="25">
        <f>'2.1. DM'!B152</f>
        <v>142</v>
      </c>
      <c r="C152" s="25">
        <f>'2.1. DM'!C152</f>
        <v>46048</v>
      </c>
      <c r="D152" s="25" t="str">
        <f>'2.1. DM'!D152</f>
        <v>Genbank</v>
      </c>
      <c r="E152" s="25">
        <f>'2.1. DM'!E152</f>
        <v>28</v>
      </c>
      <c r="F152" s="25" t="str">
        <f>'2.1. DM'!F152</f>
        <v>F252582</v>
      </c>
      <c r="G152" s="25" t="str">
        <f>'2.1. DM'!G152</f>
        <v>CIAT4069</v>
      </c>
      <c r="H152" s="25" t="str">
        <f>'2.1. DM'!H152</f>
        <v>Macroptilium</v>
      </c>
      <c r="I152" s="25" t="str">
        <f>'2.1. DM'!I152</f>
        <v>atropurpureum</v>
      </c>
      <c r="J152" s="25" t="str">
        <f>'2.1. DM'!J152</f>
        <v>Macroptilium atropurpureum</v>
      </c>
      <c r="K152" s="25" t="str">
        <f>'2.1. DM'!K152</f>
        <v>Fabaceae</v>
      </c>
      <c r="L152" s="25" t="str">
        <f>'2.1. DM'!L152</f>
        <v>Fabales</v>
      </c>
      <c r="M152" s="25" t="str">
        <f>'2.1. DM'!M152</f>
        <v>Herbaceous</v>
      </c>
      <c r="N152" s="25" t="str">
        <f>'2.1. DM'!N152</f>
        <v>60,61, 62</v>
      </c>
      <c r="O152" s="25" t="str">
        <f>'2.1. DM'!O152</f>
        <v>OT-031</v>
      </c>
      <c r="P152" s="293" t="s">
        <v>496</v>
      </c>
      <c r="Q152" s="294">
        <v>34.742223275251973</v>
      </c>
      <c r="R152" s="341"/>
    </row>
    <row r="153" spans="2:18" x14ac:dyDescent="0.35">
      <c r="B153" s="25">
        <f>'2.1. DM'!B153</f>
        <v>143</v>
      </c>
      <c r="C153" s="25">
        <f>'2.1. DM'!C153</f>
        <v>46048</v>
      </c>
      <c r="D153" s="25" t="str">
        <f>'2.1. DM'!D153</f>
        <v>Genbank</v>
      </c>
      <c r="E153" s="25">
        <f>'2.1. DM'!E153</f>
        <v>28</v>
      </c>
      <c r="F153" s="25" t="str">
        <f>'2.1. DM'!F153</f>
        <v>F252583</v>
      </c>
      <c r="G153" s="25" t="str">
        <f>'2.1. DM'!G153</f>
        <v>CIAT4141</v>
      </c>
      <c r="H153" s="25" t="str">
        <f>'2.1. DM'!H153</f>
        <v>Vigna</v>
      </c>
      <c r="I153" s="25" t="str">
        <f>'2.1. DM'!I153</f>
        <v>radiata</v>
      </c>
      <c r="J153" s="25" t="str">
        <f>'2.1. DM'!J153</f>
        <v>Vigna radiata</v>
      </c>
      <c r="K153" s="25" t="str">
        <f>'2.1. DM'!K153</f>
        <v>Fabaceae</v>
      </c>
      <c r="L153" s="25" t="str">
        <f>'2.1. DM'!L153</f>
        <v>Fabales</v>
      </c>
      <c r="M153" s="25" t="str">
        <f>'2.1. DM'!M153</f>
        <v>Herbaceous</v>
      </c>
      <c r="N153" s="25" t="str">
        <f>'2.1. DM'!N153</f>
        <v>60,61, 62</v>
      </c>
      <c r="O153" s="25" t="str">
        <f>'2.1. DM'!O153</f>
        <v>OT-031</v>
      </c>
      <c r="P153" s="292" t="s">
        <v>495</v>
      </c>
      <c r="Q153" s="294">
        <v>28.073702293807472</v>
      </c>
      <c r="R153" s="341">
        <f t="shared" si="29"/>
        <v>27.986659986596848</v>
      </c>
    </row>
    <row r="154" spans="2:18" x14ac:dyDescent="0.35">
      <c r="B154" s="25">
        <f>'2.1. DM'!B154</f>
        <v>144</v>
      </c>
      <c r="C154" s="25">
        <f>'2.1. DM'!C154</f>
        <v>46048</v>
      </c>
      <c r="D154" s="25" t="str">
        <f>'2.1. DM'!D154</f>
        <v>Genbank</v>
      </c>
      <c r="E154" s="25">
        <f>'2.1. DM'!E154</f>
        <v>28</v>
      </c>
      <c r="F154" s="25" t="str">
        <f>'2.1. DM'!F154</f>
        <v>F252583</v>
      </c>
      <c r="G154" s="25" t="str">
        <f>'2.1. DM'!G154</f>
        <v>CIAT4141</v>
      </c>
      <c r="H154" s="25" t="str">
        <f>'2.1. DM'!H154</f>
        <v>Vigna</v>
      </c>
      <c r="I154" s="25" t="str">
        <f>'2.1. DM'!I154</f>
        <v>radiata</v>
      </c>
      <c r="J154" s="25" t="str">
        <f>'2.1. DM'!J154</f>
        <v>Vigna radiata</v>
      </c>
      <c r="K154" s="25" t="str">
        <f>'2.1. DM'!K154</f>
        <v>Fabaceae</v>
      </c>
      <c r="L154" s="25" t="str">
        <f>'2.1. DM'!L154</f>
        <v>Fabales</v>
      </c>
      <c r="M154" s="25" t="str">
        <f>'2.1. DM'!M154</f>
        <v>Herbaceous</v>
      </c>
      <c r="N154" s="25" t="str">
        <f>'2.1. DM'!N154</f>
        <v>60,61, 62</v>
      </c>
      <c r="O154" s="25" t="str">
        <f>'2.1. DM'!O154</f>
        <v>OT-031</v>
      </c>
      <c r="P154" s="293" t="s">
        <v>496</v>
      </c>
      <c r="Q154" s="294">
        <v>27.899617679386228</v>
      </c>
      <c r="R154" s="341"/>
    </row>
    <row r="155" spans="2:18" x14ac:dyDescent="0.35">
      <c r="B155" s="25">
        <f>'2.1. DM'!B155</f>
        <v>145</v>
      </c>
      <c r="C155" s="25">
        <f>'2.1. DM'!C155</f>
        <v>46048</v>
      </c>
      <c r="D155" s="25" t="str">
        <f>'2.1. DM'!D155</f>
        <v>Genbank</v>
      </c>
      <c r="E155" s="25">
        <f>'2.1. DM'!E155</f>
        <v>28</v>
      </c>
      <c r="F155" s="25" t="str">
        <f>'2.1. DM'!F155</f>
        <v>F252584</v>
      </c>
      <c r="G155" s="25" t="str">
        <f>'2.1. DM'!G155</f>
        <v>CIAT4532</v>
      </c>
      <c r="H155" s="25" t="str">
        <f>'2.1. DM'!H155</f>
        <v>Vigna</v>
      </c>
      <c r="I155" s="25" t="str">
        <f>'2.1. DM'!I155</f>
        <v>unguiculata</v>
      </c>
      <c r="J155" s="25" t="str">
        <f>'2.1. DM'!J155</f>
        <v>Vigna unguiculata</v>
      </c>
      <c r="K155" s="25" t="str">
        <f>'2.1. DM'!K155</f>
        <v>Fabaceae</v>
      </c>
      <c r="L155" s="25" t="str">
        <f>'2.1. DM'!L155</f>
        <v>Fabales</v>
      </c>
      <c r="M155" s="25" t="str">
        <f>'2.1. DM'!M155</f>
        <v>Herbaceous</v>
      </c>
      <c r="N155" s="25" t="str">
        <f>'2.1. DM'!N155</f>
        <v>60,61, 62</v>
      </c>
      <c r="O155" s="25" t="str">
        <f>'2.1. DM'!O155</f>
        <v>OT-031</v>
      </c>
      <c r="P155" s="292" t="s">
        <v>495</v>
      </c>
      <c r="Q155" s="294">
        <v>24.100880154676435</v>
      </c>
      <c r="R155" s="341">
        <f t="shared" si="29"/>
        <v>24.331266928502892</v>
      </c>
    </row>
    <row r="156" spans="2:18" x14ac:dyDescent="0.35">
      <c r="B156" s="25">
        <f>'2.1. DM'!B156</f>
        <v>146</v>
      </c>
      <c r="C156" s="25">
        <f>'2.1. DM'!C156</f>
        <v>46048</v>
      </c>
      <c r="D156" s="25" t="str">
        <f>'2.1. DM'!D156</f>
        <v>Genbank</v>
      </c>
      <c r="E156" s="25">
        <f>'2.1. DM'!E156</f>
        <v>28</v>
      </c>
      <c r="F156" s="25" t="str">
        <f>'2.1. DM'!F156</f>
        <v>F252584</v>
      </c>
      <c r="G156" s="25" t="str">
        <f>'2.1. DM'!G156</f>
        <v>CIAT4532</v>
      </c>
      <c r="H156" s="25" t="str">
        <f>'2.1. DM'!H156</f>
        <v>Vigna</v>
      </c>
      <c r="I156" s="25" t="str">
        <f>'2.1. DM'!I156</f>
        <v>unguiculata</v>
      </c>
      <c r="J156" s="25" t="str">
        <f>'2.1. DM'!J156</f>
        <v>Vigna unguiculata</v>
      </c>
      <c r="K156" s="25" t="str">
        <f>'2.1. DM'!K156</f>
        <v>Fabaceae</v>
      </c>
      <c r="L156" s="25" t="str">
        <f>'2.1. DM'!L156</f>
        <v>Fabales</v>
      </c>
      <c r="M156" s="25" t="str">
        <f>'2.1. DM'!M156</f>
        <v>Herbaceous</v>
      </c>
      <c r="N156" s="25" t="str">
        <f>'2.1. DM'!N156</f>
        <v>60,61, 62</v>
      </c>
      <c r="O156" s="25" t="str">
        <f>'2.1. DM'!O156</f>
        <v>OT-031</v>
      </c>
      <c r="P156" s="293" t="s">
        <v>496</v>
      </c>
      <c r="Q156" s="294">
        <v>24.561653702329348</v>
      </c>
      <c r="R156" s="341"/>
    </row>
    <row r="157" spans="2:18" x14ac:dyDescent="0.35">
      <c r="B157" s="25">
        <f>'2.1. DM'!B157</f>
        <v>147</v>
      </c>
      <c r="C157" s="25">
        <f>'2.1. DM'!C157</f>
        <v>46048</v>
      </c>
      <c r="D157" s="25" t="str">
        <f>'2.1. DM'!D157</f>
        <v>Genbank</v>
      </c>
      <c r="E157" s="25">
        <f>'2.1. DM'!E157</f>
        <v>28</v>
      </c>
      <c r="F157" s="25" t="str">
        <f>'2.1. DM'!F157</f>
        <v>F252585</v>
      </c>
      <c r="G157" s="25" t="str">
        <f>'2.1. DM'!G157</f>
        <v>CIAT4537</v>
      </c>
      <c r="H157" s="25" t="str">
        <f>'2.1. DM'!H157</f>
        <v>Vigna</v>
      </c>
      <c r="I157" s="25" t="str">
        <f>'2.1. DM'!I157</f>
        <v>unguiculata</v>
      </c>
      <c r="J157" s="25" t="str">
        <f>'2.1. DM'!J157</f>
        <v>Vigna unguiculata</v>
      </c>
      <c r="K157" s="25" t="str">
        <f>'2.1. DM'!K157</f>
        <v>Fabaceae</v>
      </c>
      <c r="L157" s="25" t="str">
        <f>'2.1. DM'!L157</f>
        <v>Fabales</v>
      </c>
      <c r="M157" s="25" t="str">
        <f>'2.1. DM'!M157</f>
        <v>Herbaceous</v>
      </c>
      <c r="N157" s="25" t="str">
        <f>'2.1. DM'!N157</f>
        <v>60,61, 62</v>
      </c>
      <c r="O157" s="25" t="str">
        <f>'2.1. DM'!O157</f>
        <v>OT-031</v>
      </c>
      <c r="P157" s="292" t="s">
        <v>495</v>
      </c>
      <c r="Q157" s="294">
        <v>28.169096793048322</v>
      </c>
      <c r="R157" s="341">
        <f t="shared" si="29"/>
        <v>28.020445886907702</v>
      </c>
    </row>
    <row r="158" spans="2:18" x14ac:dyDescent="0.35">
      <c r="B158" s="25">
        <f>'2.1. DM'!B158</f>
        <v>148</v>
      </c>
      <c r="C158" s="25">
        <f>'2.1. DM'!C158</f>
        <v>46048</v>
      </c>
      <c r="D158" s="25" t="str">
        <f>'2.1. DM'!D158</f>
        <v>Genbank</v>
      </c>
      <c r="E158" s="25">
        <f>'2.1. DM'!E158</f>
        <v>28</v>
      </c>
      <c r="F158" s="25" t="str">
        <f>'2.1. DM'!F158</f>
        <v>F252585</v>
      </c>
      <c r="G158" s="25" t="str">
        <f>'2.1. DM'!G158</f>
        <v>CIAT4537</v>
      </c>
      <c r="H158" s="25" t="str">
        <f>'2.1. DM'!H158</f>
        <v>Vigna</v>
      </c>
      <c r="I158" s="25" t="str">
        <f>'2.1. DM'!I158</f>
        <v>unguiculata</v>
      </c>
      <c r="J158" s="25" t="str">
        <f>'2.1. DM'!J158</f>
        <v>Vigna unguiculata</v>
      </c>
      <c r="K158" s="25" t="str">
        <f>'2.1. DM'!K158</f>
        <v>Fabaceae</v>
      </c>
      <c r="L158" s="25" t="str">
        <f>'2.1. DM'!L158</f>
        <v>Fabales</v>
      </c>
      <c r="M158" s="25" t="str">
        <f>'2.1. DM'!M158</f>
        <v>Herbaceous</v>
      </c>
      <c r="N158" s="25" t="str">
        <f>'2.1. DM'!N158</f>
        <v>60,61, 62</v>
      </c>
      <c r="O158" s="25" t="str">
        <f>'2.1. DM'!O158</f>
        <v>OT-031</v>
      </c>
      <c r="P158" s="293" t="s">
        <v>496</v>
      </c>
      <c r="Q158" s="294">
        <v>27.871794980767078</v>
      </c>
      <c r="R158" s="341"/>
    </row>
    <row r="159" spans="2:18" x14ac:dyDescent="0.35">
      <c r="B159" s="25">
        <f>'2.1. DM'!B159</f>
        <v>149</v>
      </c>
      <c r="C159" s="25">
        <f>'2.1. DM'!C159</f>
        <v>46048</v>
      </c>
      <c r="D159" s="25" t="str">
        <f>'2.1. DM'!D159</f>
        <v>Genbank</v>
      </c>
      <c r="E159" s="25">
        <f>'2.1. DM'!E159</f>
        <v>28</v>
      </c>
      <c r="F159" s="25" t="str">
        <f>'2.1. DM'!F159</f>
        <v>F252586</v>
      </c>
      <c r="G159" s="25" t="str">
        <f>'2.1. DM'!G159</f>
        <v>CIAT7289</v>
      </c>
      <c r="H159" s="25" t="str">
        <f>'2.1. DM'!H159</f>
        <v>Chamaecrista</v>
      </c>
      <c r="I159" s="25" t="str">
        <f>'2.1. DM'!I159</f>
        <v>mimosoides</v>
      </c>
      <c r="J159" s="25" t="str">
        <f>'2.1. DM'!J159</f>
        <v>Chamaecrista mimosoides</v>
      </c>
      <c r="K159" s="25" t="str">
        <f>'2.1. DM'!K159</f>
        <v>Fabaceae</v>
      </c>
      <c r="L159" s="25" t="str">
        <f>'2.1. DM'!L159</f>
        <v>Fabales</v>
      </c>
      <c r="M159" s="25" t="str">
        <f>'2.1. DM'!M159</f>
        <v>Herbaceous</v>
      </c>
      <c r="N159" s="25" t="str">
        <f>'2.1. DM'!N159</f>
        <v>60,61, 62</v>
      </c>
      <c r="O159" s="25" t="str">
        <f>'2.1. DM'!O159</f>
        <v>OT-031</v>
      </c>
      <c r="P159" s="292" t="s">
        <v>495</v>
      </c>
      <c r="Q159" s="294">
        <v>37.055952980039585</v>
      </c>
      <c r="R159" s="341">
        <f t="shared" si="29"/>
        <v>36.536739109847815</v>
      </c>
    </row>
    <row r="160" spans="2:18" x14ac:dyDescent="0.35">
      <c r="B160" s="25">
        <f>'2.1. DM'!B160</f>
        <v>150</v>
      </c>
      <c r="C160" s="25">
        <f>'2.1. DM'!C160</f>
        <v>46048</v>
      </c>
      <c r="D160" s="25" t="str">
        <f>'2.1. DM'!D160</f>
        <v>Genbank</v>
      </c>
      <c r="E160" s="25">
        <f>'2.1. DM'!E160</f>
        <v>28</v>
      </c>
      <c r="F160" s="25" t="str">
        <f>'2.1. DM'!F160</f>
        <v>F252586</v>
      </c>
      <c r="G160" s="25" t="str">
        <f>'2.1. DM'!G160</f>
        <v>CIAT7289</v>
      </c>
      <c r="H160" s="25" t="str">
        <f>'2.1. DM'!H160</f>
        <v>Chamaecrista</v>
      </c>
      <c r="I160" s="25" t="str">
        <f>'2.1. DM'!I160</f>
        <v>mimosoides</v>
      </c>
      <c r="J160" s="25" t="str">
        <f>'2.1. DM'!J160</f>
        <v>Chamaecrista mimosoides</v>
      </c>
      <c r="K160" s="25" t="str">
        <f>'2.1. DM'!K160</f>
        <v>Fabaceae</v>
      </c>
      <c r="L160" s="25" t="str">
        <f>'2.1. DM'!L160</f>
        <v>Fabales</v>
      </c>
      <c r="M160" s="25" t="str">
        <f>'2.1. DM'!M160</f>
        <v>Herbaceous</v>
      </c>
      <c r="N160" s="25" t="str">
        <f>'2.1. DM'!N160</f>
        <v>60,61, 62</v>
      </c>
      <c r="O160" s="25" t="str">
        <f>'2.1. DM'!O160</f>
        <v>OT-031</v>
      </c>
      <c r="P160" s="293" t="s">
        <v>496</v>
      </c>
      <c r="Q160" s="294">
        <v>36.017525239656038</v>
      </c>
      <c r="R160" s="341"/>
    </row>
    <row r="161" spans="2:18" x14ac:dyDescent="0.35">
      <c r="B161" s="25">
        <f>'2.1. DM'!B161</f>
        <v>151</v>
      </c>
      <c r="C161" s="25">
        <f>'2.1. DM'!C161</f>
        <v>46048</v>
      </c>
      <c r="D161" s="25" t="str">
        <f>'2.1. DM'!D161</f>
        <v>Genbank</v>
      </c>
      <c r="E161" s="25">
        <f>'2.1. DM'!E161</f>
        <v>28</v>
      </c>
      <c r="F161" s="25" t="str">
        <f>'2.1. DM'!F161</f>
        <v>F252587</v>
      </c>
      <c r="G161" s="25" t="str">
        <f>'2.1. DM'!G161</f>
        <v>CIAT7826</v>
      </c>
      <c r="H161" s="25" t="str">
        <f>'2.1. DM'!H161</f>
        <v>Tephrosia</v>
      </c>
      <c r="I161" s="25" t="str">
        <f>'2.1. DM'!I161</f>
        <v>purpurea</v>
      </c>
      <c r="J161" s="25" t="str">
        <f>'2.1. DM'!J161</f>
        <v>Tephrosia purpurea</v>
      </c>
      <c r="K161" s="25" t="str">
        <f>'2.1. DM'!K161</f>
        <v>Fabaceae</v>
      </c>
      <c r="L161" s="25" t="str">
        <f>'2.1. DM'!L161</f>
        <v>Fabales</v>
      </c>
      <c r="M161" s="25" t="str">
        <f>'2.1. DM'!M161</f>
        <v>Herbaceous</v>
      </c>
      <c r="N161" s="25" t="str">
        <f>'2.1. DM'!N161</f>
        <v>60,61, 62</v>
      </c>
      <c r="O161" s="25" t="str">
        <f>'2.1. DM'!O161</f>
        <v>OT-031</v>
      </c>
      <c r="P161" s="292" t="s">
        <v>495</v>
      </c>
      <c r="Q161" s="294">
        <v>29.581258475242024</v>
      </c>
      <c r="R161" s="341">
        <f t="shared" si="29"/>
        <v>29.573516803055071</v>
      </c>
    </row>
    <row r="162" spans="2:18" x14ac:dyDescent="0.35">
      <c r="B162" s="25">
        <f>'2.1. DM'!B162</f>
        <v>152</v>
      </c>
      <c r="C162" s="25">
        <f>'2.1. DM'!C162</f>
        <v>46048</v>
      </c>
      <c r="D162" s="25" t="str">
        <f>'2.1. DM'!D162</f>
        <v>Genbank</v>
      </c>
      <c r="E162" s="25">
        <f>'2.1. DM'!E162</f>
        <v>28</v>
      </c>
      <c r="F162" s="25" t="str">
        <f>'2.1. DM'!F162</f>
        <v>F252587</v>
      </c>
      <c r="G162" s="25" t="str">
        <f>'2.1. DM'!G162</f>
        <v>CIAT7826</v>
      </c>
      <c r="H162" s="25" t="str">
        <f>'2.1. DM'!H162</f>
        <v>Tephrosia</v>
      </c>
      <c r="I162" s="25" t="str">
        <f>'2.1. DM'!I162</f>
        <v>purpurea</v>
      </c>
      <c r="J162" s="25" t="str">
        <f>'2.1. DM'!J162</f>
        <v>Tephrosia purpurea</v>
      </c>
      <c r="K162" s="25" t="str">
        <f>'2.1. DM'!K162</f>
        <v>Fabaceae</v>
      </c>
      <c r="L162" s="25" t="str">
        <f>'2.1. DM'!L162</f>
        <v>Fabales</v>
      </c>
      <c r="M162" s="25" t="str">
        <f>'2.1. DM'!M162</f>
        <v>Herbaceous</v>
      </c>
      <c r="N162" s="25" t="str">
        <f>'2.1. DM'!N162</f>
        <v>60,61, 62</v>
      </c>
      <c r="O162" s="25" t="str">
        <f>'2.1. DM'!O162</f>
        <v>OT-031</v>
      </c>
      <c r="P162" s="293" t="s">
        <v>496</v>
      </c>
      <c r="Q162" s="294">
        <v>29.565775130868122</v>
      </c>
      <c r="R162" s="341"/>
    </row>
    <row r="163" spans="2:18" x14ac:dyDescent="0.35">
      <c r="B163" s="25">
        <f>'2.1. DM'!B163</f>
        <v>153</v>
      </c>
      <c r="C163" s="25">
        <f>'2.1. DM'!C163</f>
        <v>46048</v>
      </c>
      <c r="D163" s="25" t="str">
        <f>'2.1. DM'!D163</f>
        <v>Genbank</v>
      </c>
      <c r="E163" s="25">
        <f>'2.1. DM'!E163</f>
        <v>28</v>
      </c>
      <c r="F163" s="25" t="str">
        <f>'2.1. DM'!F163</f>
        <v>F252588</v>
      </c>
      <c r="G163" s="25" t="str">
        <f>'2.1. DM'!G163</f>
        <v>CIAT8014</v>
      </c>
      <c r="H163" s="25" t="str">
        <f>'2.1. DM'!H163</f>
        <v>Crotalaria</v>
      </c>
      <c r="I163" s="25" t="str">
        <f>'2.1. DM'!I163</f>
        <v>retusa</v>
      </c>
      <c r="J163" s="25" t="str">
        <f>'2.1. DM'!J163</f>
        <v>Crotalaria retusa</v>
      </c>
      <c r="K163" s="25" t="str">
        <f>'2.1. DM'!K163</f>
        <v>Fabaceae</v>
      </c>
      <c r="L163" s="25" t="str">
        <f>'2.1. DM'!L163</f>
        <v>Fabales</v>
      </c>
      <c r="M163" s="25" t="str">
        <f>'2.1. DM'!M163</f>
        <v>Herbaceous</v>
      </c>
      <c r="N163" s="25" t="str">
        <f>'2.1. DM'!N163</f>
        <v>60,61, 62</v>
      </c>
      <c r="O163" s="25" t="str">
        <f>'2.1. DM'!O163</f>
        <v>OT-031</v>
      </c>
      <c r="P163" s="292" t="s">
        <v>495</v>
      </c>
      <c r="Q163" s="294">
        <v>31.01340150567945</v>
      </c>
      <c r="R163" s="341">
        <f t="shared" si="29"/>
        <v>30.015327904223529</v>
      </c>
    </row>
    <row r="164" spans="2:18" x14ac:dyDescent="0.35">
      <c r="B164" s="25">
        <f>'2.1. DM'!B164</f>
        <v>154</v>
      </c>
      <c r="C164" s="25">
        <f>'2.1. DM'!C164</f>
        <v>46048</v>
      </c>
      <c r="D164" s="25" t="str">
        <f>'2.1. DM'!D164</f>
        <v>Genbank</v>
      </c>
      <c r="E164" s="25">
        <f>'2.1. DM'!E164</f>
        <v>28</v>
      </c>
      <c r="F164" s="25" t="str">
        <f>'2.1. DM'!F164</f>
        <v>F252588</v>
      </c>
      <c r="G164" s="25" t="str">
        <f>'2.1. DM'!G164</f>
        <v>CIAT8014</v>
      </c>
      <c r="H164" s="25" t="str">
        <f>'2.1. DM'!H164</f>
        <v>Crotalaria</v>
      </c>
      <c r="I164" s="25" t="str">
        <f>'2.1. DM'!I164</f>
        <v>retusa</v>
      </c>
      <c r="J164" s="25" t="str">
        <f>'2.1. DM'!J164</f>
        <v>Crotalaria retusa</v>
      </c>
      <c r="K164" s="25" t="str">
        <f>'2.1. DM'!K164</f>
        <v>Fabaceae</v>
      </c>
      <c r="L164" s="25" t="str">
        <f>'2.1. DM'!L164</f>
        <v>Fabales</v>
      </c>
      <c r="M164" s="25" t="str">
        <f>'2.1. DM'!M164</f>
        <v>Herbaceous</v>
      </c>
      <c r="N164" s="25" t="str">
        <f>'2.1. DM'!N164</f>
        <v>60,61, 62</v>
      </c>
      <c r="O164" s="25" t="str">
        <f>'2.1. DM'!O164</f>
        <v>OT-031</v>
      </c>
      <c r="P164" s="293" t="s">
        <v>496</v>
      </c>
      <c r="Q164" s="294">
        <v>29.017254302767608</v>
      </c>
      <c r="R164" s="341"/>
    </row>
    <row r="165" spans="2:18" x14ac:dyDescent="0.35">
      <c r="B165" s="25">
        <f>'2.1. DM'!B165</f>
        <v>155</v>
      </c>
      <c r="C165" s="25">
        <f>'2.1. DM'!C165</f>
        <v>46048</v>
      </c>
      <c r="D165" s="25" t="str">
        <f>'2.1. DM'!D165</f>
        <v>Genbank</v>
      </c>
      <c r="E165" s="25">
        <f>'2.1. DM'!E165</f>
        <v>28</v>
      </c>
      <c r="F165" s="25" t="str">
        <f>'2.1. DM'!F165</f>
        <v>F252589</v>
      </c>
      <c r="G165" s="25" t="str">
        <f>'2.1. DM'!G165</f>
        <v>CIAT8849</v>
      </c>
      <c r="H165" s="25" t="str">
        <f>'2.1. DM'!H165</f>
        <v>Zornia</v>
      </c>
      <c r="I165" s="25" t="str">
        <f>'2.1. DM'!I165</f>
        <v>brasiliensis</v>
      </c>
      <c r="J165" s="25" t="str">
        <f>'2.1. DM'!J165</f>
        <v>Zornia brasiliensis</v>
      </c>
      <c r="K165" s="25" t="str">
        <f>'2.1. DM'!K165</f>
        <v>Fabaceae</v>
      </c>
      <c r="L165" s="25" t="str">
        <f>'2.1. DM'!L165</f>
        <v>Fabales</v>
      </c>
      <c r="M165" s="25" t="str">
        <f>'2.1. DM'!M165</f>
        <v>Herbaceous</v>
      </c>
      <c r="N165" s="25" t="str">
        <f>'2.1. DM'!N165</f>
        <v>60,61, 62</v>
      </c>
      <c r="O165" s="25" t="str">
        <f>'2.1. DM'!O165</f>
        <v>OT-031</v>
      </c>
      <c r="P165" s="292" t="s">
        <v>495</v>
      </c>
      <c r="Q165" s="294">
        <v>27.227431918689334</v>
      </c>
      <c r="R165" s="341">
        <f t="shared" si="29"/>
        <v>26.441387429925108</v>
      </c>
    </row>
    <row r="166" spans="2:18" x14ac:dyDescent="0.35">
      <c r="B166" s="25">
        <f>'2.1. DM'!B166</f>
        <v>156</v>
      </c>
      <c r="C166" s="25">
        <f>'2.1. DM'!C166</f>
        <v>46048</v>
      </c>
      <c r="D166" s="25" t="str">
        <f>'2.1. DM'!D166</f>
        <v>Genbank</v>
      </c>
      <c r="E166" s="25">
        <f>'2.1. DM'!E166</f>
        <v>28</v>
      </c>
      <c r="F166" s="25" t="str">
        <f>'2.1. DM'!F166</f>
        <v>F252589</v>
      </c>
      <c r="G166" s="25" t="str">
        <f>'2.1. DM'!G166</f>
        <v>CIAT8849</v>
      </c>
      <c r="H166" s="25" t="str">
        <f>'2.1. DM'!H166</f>
        <v>Zornia</v>
      </c>
      <c r="I166" s="25" t="str">
        <f>'2.1. DM'!I166</f>
        <v>brasiliensis</v>
      </c>
      <c r="J166" s="25" t="str">
        <f>'2.1. DM'!J166</f>
        <v>Zornia brasiliensis</v>
      </c>
      <c r="K166" s="25" t="str">
        <f>'2.1. DM'!K166</f>
        <v>Fabaceae</v>
      </c>
      <c r="L166" s="25" t="str">
        <f>'2.1. DM'!L166</f>
        <v>Fabales</v>
      </c>
      <c r="M166" s="25" t="str">
        <f>'2.1. DM'!M166</f>
        <v>Herbaceous</v>
      </c>
      <c r="N166" s="25" t="str">
        <f>'2.1. DM'!N166</f>
        <v>60,61, 62</v>
      </c>
      <c r="O166" s="25" t="str">
        <f>'2.1. DM'!O166</f>
        <v>OT-031</v>
      </c>
      <c r="P166" s="293" t="s">
        <v>496</v>
      </c>
      <c r="Q166" s="294">
        <v>25.655342941160885</v>
      </c>
      <c r="R166" s="341"/>
    </row>
    <row r="167" spans="2:18" x14ac:dyDescent="0.35">
      <c r="B167" s="25">
        <f>'2.1. DM'!B167</f>
        <v>157</v>
      </c>
      <c r="C167" s="25">
        <f>'2.1. DM'!C167</f>
        <v>46048</v>
      </c>
      <c r="D167" s="25" t="str">
        <f>'2.1. DM'!D167</f>
        <v>Genbank</v>
      </c>
      <c r="E167" s="25">
        <f>'2.1. DM'!E167</f>
        <v>28</v>
      </c>
      <c r="F167" s="25" t="str">
        <f>'2.1. DM'!F167</f>
        <v>F252590</v>
      </c>
      <c r="G167" s="25" t="str">
        <f>'2.1. DM'!G167</f>
        <v>CIAT9326</v>
      </c>
      <c r="H167" s="25" t="str">
        <f>'2.1. DM'!H167</f>
        <v>Crotalaria</v>
      </c>
      <c r="I167" s="25" t="str">
        <f>'2.1. DM'!I167</f>
        <v>retusa</v>
      </c>
      <c r="J167" s="25" t="str">
        <f>'2.1. DM'!J167</f>
        <v>Crotalaria retusa</v>
      </c>
      <c r="K167" s="25" t="str">
        <f>'2.1. DM'!K167</f>
        <v>Fabaceae</v>
      </c>
      <c r="L167" s="25" t="str">
        <f>'2.1. DM'!L167</f>
        <v>Fabales</v>
      </c>
      <c r="M167" s="25" t="str">
        <f>'2.1. DM'!M167</f>
        <v>Herbaceous</v>
      </c>
      <c r="N167" s="25" t="str">
        <f>'2.1. DM'!N167</f>
        <v>60,61, 62</v>
      </c>
      <c r="O167" s="25" t="str">
        <f>'2.1. DM'!O167</f>
        <v>OT-031</v>
      </c>
      <c r="P167" s="292" t="s">
        <v>495</v>
      </c>
      <c r="Q167" s="294">
        <v>32.051671234382816</v>
      </c>
      <c r="R167" s="341">
        <f t="shared" si="29"/>
        <v>32.618395503114101</v>
      </c>
    </row>
    <row r="168" spans="2:18" x14ac:dyDescent="0.35">
      <c r="B168" s="25">
        <f>'2.1. DM'!B168</f>
        <v>158</v>
      </c>
      <c r="C168" s="25">
        <f>'2.1. DM'!C168</f>
        <v>46048</v>
      </c>
      <c r="D168" s="25" t="str">
        <f>'2.1. DM'!D168</f>
        <v>Genbank</v>
      </c>
      <c r="E168" s="25">
        <f>'2.1. DM'!E168</f>
        <v>28</v>
      </c>
      <c r="F168" s="25" t="str">
        <f>'2.1. DM'!F168</f>
        <v>F252590</v>
      </c>
      <c r="G168" s="25" t="str">
        <f>'2.1. DM'!G168</f>
        <v>CIAT9326</v>
      </c>
      <c r="H168" s="25" t="str">
        <f>'2.1. DM'!H168</f>
        <v>Crotalaria</v>
      </c>
      <c r="I168" s="25" t="str">
        <f>'2.1. DM'!I168</f>
        <v>retusa</v>
      </c>
      <c r="J168" s="25" t="str">
        <f>'2.1. DM'!J168</f>
        <v>Crotalaria retusa</v>
      </c>
      <c r="K168" s="25" t="str">
        <f>'2.1. DM'!K168</f>
        <v>Fabaceae</v>
      </c>
      <c r="L168" s="25" t="str">
        <f>'2.1. DM'!L168</f>
        <v>Fabales</v>
      </c>
      <c r="M168" s="25" t="str">
        <f>'2.1. DM'!M168</f>
        <v>Herbaceous</v>
      </c>
      <c r="N168" s="25" t="str">
        <f>'2.1. DM'!N168</f>
        <v>60,61, 62</v>
      </c>
      <c r="O168" s="25" t="str">
        <f>'2.1. DM'!O168</f>
        <v>OT-031</v>
      </c>
      <c r="P168" s="293" t="s">
        <v>496</v>
      </c>
      <c r="Q168" s="294">
        <v>33.185119771845386</v>
      </c>
      <c r="R168" s="341"/>
    </row>
    <row r="169" spans="2:18" x14ac:dyDescent="0.35">
      <c r="B169" s="25">
        <f>'2.1. DM'!B169</f>
        <v>159</v>
      </c>
      <c r="C169" s="25">
        <f>'2.1. DM'!C169</f>
        <v>46048</v>
      </c>
      <c r="D169" s="25" t="str">
        <f>'2.1. DM'!D169</f>
        <v>Genbank</v>
      </c>
      <c r="E169" s="25">
        <f>'2.1. DM'!E169</f>
        <v>28</v>
      </c>
      <c r="F169" s="25" t="str">
        <f>'2.1. DM'!F169</f>
        <v>F252591</v>
      </c>
      <c r="G169" s="25" t="str">
        <f>'2.1. DM'!G169</f>
        <v>CIAT9337</v>
      </c>
      <c r="H169" s="25" t="str">
        <f>'2.1. DM'!H169</f>
        <v>Crotalaria</v>
      </c>
      <c r="I169" s="25" t="str">
        <f>'2.1. DM'!I169</f>
        <v>retusa</v>
      </c>
      <c r="J169" s="25" t="str">
        <f>'2.1. DM'!J169</f>
        <v>Crotalaria retusa</v>
      </c>
      <c r="K169" s="25" t="str">
        <f>'2.1. DM'!K169</f>
        <v>Fabaceae</v>
      </c>
      <c r="L169" s="25" t="str">
        <f>'2.1. DM'!L169</f>
        <v>Fabales</v>
      </c>
      <c r="M169" s="25" t="str">
        <f>'2.1. DM'!M169</f>
        <v>Herbaceous</v>
      </c>
      <c r="N169" s="25" t="str">
        <f>'2.1. DM'!N169</f>
        <v>60,61, 62</v>
      </c>
      <c r="O169" s="25" t="str">
        <f>'2.1. DM'!O169</f>
        <v>OT-031</v>
      </c>
      <c r="P169" s="292" t="s">
        <v>495</v>
      </c>
      <c r="Q169" s="294">
        <v>26.159414577112084</v>
      </c>
      <c r="R169" s="341">
        <f t="shared" si="29"/>
        <v>26.102866214574192</v>
      </c>
    </row>
    <row r="170" spans="2:18" x14ac:dyDescent="0.35">
      <c r="B170" s="25">
        <f>'2.1. DM'!B170</f>
        <v>160</v>
      </c>
      <c r="C170" s="25">
        <f>'2.1. DM'!C170</f>
        <v>46048</v>
      </c>
      <c r="D170" s="25" t="str">
        <f>'2.1. DM'!D170</f>
        <v>Genbank</v>
      </c>
      <c r="E170" s="25">
        <f>'2.1. DM'!E170</f>
        <v>28</v>
      </c>
      <c r="F170" s="25" t="str">
        <f>'2.1. DM'!F170</f>
        <v>F252591</v>
      </c>
      <c r="G170" s="25" t="str">
        <f>'2.1. DM'!G170</f>
        <v>CIAT9337</v>
      </c>
      <c r="H170" s="25" t="str">
        <f>'2.1. DM'!H170</f>
        <v>Crotalaria</v>
      </c>
      <c r="I170" s="25" t="str">
        <f>'2.1. DM'!I170</f>
        <v>retusa</v>
      </c>
      <c r="J170" s="25" t="str">
        <f>'2.1. DM'!J170</f>
        <v>Crotalaria retusa</v>
      </c>
      <c r="K170" s="25" t="str">
        <f>'2.1. DM'!K170</f>
        <v>Fabaceae</v>
      </c>
      <c r="L170" s="25" t="str">
        <f>'2.1. DM'!L170</f>
        <v>Fabales</v>
      </c>
      <c r="M170" s="25" t="str">
        <f>'2.1. DM'!M170</f>
        <v>Herbaceous</v>
      </c>
      <c r="N170" s="25" t="str">
        <f>'2.1. DM'!N170</f>
        <v>60,61, 62</v>
      </c>
      <c r="O170" s="25" t="str">
        <f>'2.1. DM'!O170</f>
        <v>OT-031</v>
      </c>
      <c r="P170" s="293" t="s">
        <v>496</v>
      </c>
      <c r="Q170" s="294">
        <v>26.046317852036299</v>
      </c>
      <c r="R170" s="341"/>
    </row>
    <row r="171" spans="2:18" x14ac:dyDescent="0.35">
      <c r="B171" s="25">
        <f>'2.1. DM'!B171</f>
        <v>161</v>
      </c>
      <c r="C171" s="25">
        <f>'2.1. DM'!C171</f>
        <v>46048</v>
      </c>
      <c r="D171" s="25" t="str">
        <f>'2.1. DM'!D171</f>
        <v>Genbank</v>
      </c>
      <c r="E171" s="25">
        <f>'2.1. DM'!E171</f>
        <v>28</v>
      </c>
      <c r="F171" s="25" t="str">
        <f>'2.1. DM'!F171</f>
        <v>F252592</v>
      </c>
      <c r="G171" s="25" t="str">
        <f>'2.1. DM'!G171</f>
        <v>CIAT9350</v>
      </c>
      <c r="H171" s="25" t="str">
        <f>'2.1. DM'!H171</f>
        <v>Crotalaria</v>
      </c>
      <c r="I171" s="25" t="str">
        <f>'2.1. DM'!I171</f>
        <v>pumila</v>
      </c>
      <c r="J171" s="25" t="str">
        <f>'2.1. DM'!J171</f>
        <v>Crotalaria pumila</v>
      </c>
      <c r="K171" s="25" t="str">
        <f>'2.1. DM'!K171</f>
        <v>Fabaceae</v>
      </c>
      <c r="L171" s="25" t="str">
        <f>'2.1. DM'!L171</f>
        <v>Fabales</v>
      </c>
      <c r="M171" s="25" t="str">
        <f>'2.1. DM'!M171</f>
        <v>Herbaceous</v>
      </c>
      <c r="N171" s="25" t="str">
        <f>'2.1. DM'!N171</f>
        <v>60,61, 62</v>
      </c>
      <c r="O171" s="25" t="str">
        <f>'2.1. DM'!O171</f>
        <v>OT-031</v>
      </c>
      <c r="P171" s="292" t="s">
        <v>495</v>
      </c>
      <c r="Q171" s="294">
        <v>29.624970726085792</v>
      </c>
      <c r="R171" s="341">
        <f t="shared" si="29"/>
        <v>29.771762080958805</v>
      </c>
    </row>
    <row r="172" spans="2:18" x14ac:dyDescent="0.35">
      <c r="B172" s="25">
        <f>'2.1. DM'!B172</f>
        <v>162</v>
      </c>
      <c r="C172" s="25">
        <f>'2.1. DM'!C172</f>
        <v>46048</v>
      </c>
      <c r="D172" s="25" t="str">
        <f>'2.1. DM'!D172</f>
        <v>Genbank</v>
      </c>
      <c r="E172" s="25">
        <f>'2.1. DM'!E172</f>
        <v>28</v>
      </c>
      <c r="F172" s="25" t="str">
        <f>'2.1. DM'!F172</f>
        <v>F252592</v>
      </c>
      <c r="G172" s="25" t="str">
        <f>'2.1. DM'!G172</f>
        <v>CIAT9350</v>
      </c>
      <c r="H172" s="25" t="str">
        <f>'2.1. DM'!H172</f>
        <v>Crotalaria</v>
      </c>
      <c r="I172" s="25" t="str">
        <f>'2.1. DM'!I172</f>
        <v>pumila</v>
      </c>
      <c r="J172" s="25" t="str">
        <f>'2.1. DM'!J172</f>
        <v>Crotalaria pumila</v>
      </c>
      <c r="K172" s="25" t="str">
        <f>'2.1. DM'!K172</f>
        <v>Fabaceae</v>
      </c>
      <c r="L172" s="25" t="str">
        <f>'2.1. DM'!L172</f>
        <v>Fabales</v>
      </c>
      <c r="M172" s="25" t="str">
        <f>'2.1. DM'!M172</f>
        <v>Herbaceous</v>
      </c>
      <c r="N172" s="25" t="str">
        <f>'2.1. DM'!N172</f>
        <v>60,61, 62</v>
      </c>
      <c r="O172" s="25" t="str">
        <f>'2.1. DM'!O172</f>
        <v>OT-031</v>
      </c>
      <c r="P172" s="293" t="s">
        <v>496</v>
      </c>
      <c r="Q172" s="294">
        <v>29.918553435831818</v>
      </c>
      <c r="R172" s="341"/>
    </row>
    <row r="173" spans="2:18" x14ac:dyDescent="0.35">
      <c r="B173" s="25">
        <f>'2.1. DM'!B173</f>
        <v>163</v>
      </c>
      <c r="C173" s="25">
        <f>'2.1. DM'!C173</f>
        <v>46048</v>
      </c>
      <c r="D173" s="25" t="str">
        <f>'2.1. DM'!D173</f>
        <v>Genbank</v>
      </c>
      <c r="E173" s="25">
        <f>'2.1. DM'!E173</f>
        <v>28</v>
      </c>
      <c r="F173" s="25" t="str">
        <f>'2.1. DM'!F173</f>
        <v>F252593</v>
      </c>
      <c r="G173" s="25" t="str">
        <f>'2.1. DM'!G173</f>
        <v>CIAT9352</v>
      </c>
      <c r="H173" s="25" t="str">
        <f>'2.1. DM'!H173</f>
        <v>Crotalaria</v>
      </c>
      <c r="I173" s="25" t="str">
        <f>'2.1. DM'!I173</f>
        <v>pumila</v>
      </c>
      <c r="J173" s="25" t="str">
        <f>'2.1. DM'!J173</f>
        <v>Crotalaria pumila</v>
      </c>
      <c r="K173" s="25" t="str">
        <f>'2.1. DM'!K173</f>
        <v>Fabaceae</v>
      </c>
      <c r="L173" s="25" t="str">
        <f>'2.1. DM'!L173</f>
        <v>Fabales</v>
      </c>
      <c r="M173" s="25" t="str">
        <f>'2.1. DM'!M173</f>
        <v>Herbaceous</v>
      </c>
      <c r="N173" s="25" t="str">
        <f>'2.1. DM'!N173</f>
        <v>60,61, 62</v>
      </c>
      <c r="O173" s="25" t="str">
        <f>'2.1. DM'!O173</f>
        <v>OT-031</v>
      </c>
      <c r="P173" s="292" t="s">
        <v>495</v>
      </c>
      <c r="Q173" s="294">
        <v>30.928346528039008</v>
      </c>
      <c r="R173" s="341">
        <f t="shared" si="29"/>
        <v>31.065555905043251</v>
      </c>
    </row>
    <row r="174" spans="2:18" x14ac:dyDescent="0.35">
      <c r="B174" s="25">
        <f>'2.1. DM'!B174</f>
        <v>164</v>
      </c>
      <c r="C174" s="25">
        <f>'2.1. DM'!C174</f>
        <v>46048</v>
      </c>
      <c r="D174" s="25" t="str">
        <f>'2.1. DM'!D174</f>
        <v>Genbank</v>
      </c>
      <c r="E174" s="25">
        <f>'2.1. DM'!E174</f>
        <v>28</v>
      </c>
      <c r="F174" s="25" t="str">
        <f>'2.1. DM'!F174</f>
        <v>F252593</v>
      </c>
      <c r="G174" s="25" t="str">
        <f>'2.1. DM'!G174</f>
        <v>CIAT9352</v>
      </c>
      <c r="H174" s="25" t="str">
        <f>'2.1. DM'!H174</f>
        <v>Crotalaria</v>
      </c>
      <c r="I174" s="25" t="str">
        <f>'2.1. DM'!I174</f>
        <v>pumila</v>
      </c>
      <c r="J174" s="25" t="str">
        <f>'2.1. DM'!J174</f>
        <v>Crotalaria pumila</v>
      </c>
      <c r="K174" s="25" t="str">
        <f>'2.1. DM'!K174</f>
        <v>Fabaceae</v>
      </c>
      <c r="L174" s="25" t="str">
        <f>'2.1. DM'!L174</f>
        <v>Fabales</v>
      </c>
      <c r="M174" s="25" t="str">
        <f>'2.1. DM'!M174</f>
        <v>Herbaceous</v>
      </c>
      <c r="N174" s="25" t="str">
        <f>'2.1. DM'!N174</f>
        <v>60,61, 62</v>
      </c>
      <c r="O174" s="25" t="str">
        <f>'2.1. DM'!O174</f>
        <v>OT-031</v>
      </c>
      <c r="P174" s="293" t="s">
        <v>496</v>
      </c>
      <c r="Q174" s="294">
        <v>31.202765282047494</v>
      </c>
      <c r="R174" s="341"/>
    </row>
    <row r="175" spans="2:18" x14ac:dyDescent="0.35">
      <c r="B175" s="25">
        <f>'2.1. DM'!B175</f>
        <v>165</v>
      </c>
      <c r="C175" s="25">
        <f>'2.1. DM'!C175</f>
        <v>46048</v>
      </c>
      <c r="D175" s="25" t="str">
        <f>'2.1. DM'!D175</f>
        <v>Genbank</v>
      </c>
      <c r="E175" s="25">
        <f>'2.1. DM'!E175</f>
        <v>28</v>
      </c>
      <c r="F175" s="25" t="str">
        <f>'2.1. DM'!F175</f>
        <v>F252594</v>
      </c>
      <c r="G175" s="25" t="str">
        <f>'2.1. DM'!G175</f>
        <v>CIAT9472</v>
      </c>
      <c r="H175" s="25" t="str">
        <f>'2.1. DM'!H175</f>
        <v>Zornia</v>
      </c>
      <c r="I175" s="25" t="str">
        <f>'2.1. DM'!I175</f>
        <v>brasiliensis</v>
      </c>
      <c r="J175" s="25" t="str">
        <f>'2.1. DM'!J175</f>
        <v>Zornia brasiliensis</v>
      </c>
      <c r="K175" s="25" t="str">
        <f>'2.1. DM'!K175</f>
        <v>Fabaceae</v>
      </c>
      <c r="L175" s="25" t="str">
        <f>'2.1. DM'!L175</f>
        <v>Fabales</v>
      </c>
      <c r="M175" s="25" t="str">
        <f>'2.1. DM'!M175</f>
        <v>Herbaceous</v>
      </c>
      <c r="N175" s="25" t="str">
        <f>'2.1. DM'!N175</f>
        <v>60,61, 62</v>
      </c>
      <c r="O175" s="25" t="str">
        <f>'2.1. DM'!O175</f>
        <v>OT-031</v>
      </c>
      <c r="P175" s="292" t="s">
        <v>495</v>
      </c>
      <c r="Q175" s="294">
        <v>24.223149118358744</v>
      </c>
      <c r="R175" s="341">
        <f t="shared" si="29"/>
        <v>25.072781182873847</v>
      </c>
    </row>
    <row r="176" spans="2:18" x14ac:dyDescent="0.35">
      <c r="B176" s="25">
        <f>'2.1. DM'!B176</f>
        <v>166</v>
      </c>
      <c r="C176" s="25">
        <f>'2.1. DM'!C176</f>
        <v>46048</v>
      </c>
      <c r="D176" s="25" t="str">
        <f>'2.1. DM'!D176</f>
        <v>Genbank</v>
      </c>
      <c r="E176" s="25">
        <f>'2.1. DM'!E176</f>
        <v>28</v>
      </c>
      <c r="F176" s="25" t="str">
        <f>'2.1. DM'!F176</f>
        <v>F252594</v>
      </c>
      <c r="G176" s="25" t="str">
        <f>'2.1. DM'!G176</f>
        <v>CIAT9472</v>
      </c>
      <c r="H176" s="25" t="str">
        <f>'2.1. DM'!H176</f>
        <v>Zornia</v>
      </c>
      <c r="I176" s="25" t="str">
        <f>'2.1. DM'!I176</f>
        <v>brasiliensis</v>
      </c>
      <c r="J176" s="25" t="str">
        <f>'2.1. DM'!J176</f>
        <v>Zornia brasiliensis</v>
      </c>
      <c r="K176" s="25" t="str">
        <f>'2.1. DM'!K176</f>
        <v>Fabaceae</v>
      </c>
      <c r="L176" s="25" t="str">
        <f>'2.1. DM'!L176</f>
        <v>Fabales</v>
      </c>
      <c r="M176" s="25" t="str">
        <f>'2.1. DM'!M176</f>
        <v>Herbaceous</v>
      </c>
      <c r="N176" s="25" t="str">
        <f>'2.1. DM'!N176</f>
        <v>60,61, 62</v>
      </c>
      <c r="O176" s="25" t="str">
        <f>'2.1. DM'!O176</f>
        <v>OT-031</v>
      </c>
      <c r="P176" s="293" t="s">
        <v>496</v>
      </c>
      <c r="Q176" s="294">
        <v>25.922413247388953</v>
      </c>
      <c r="R176" s="341"/>
    </row>
    <row r="177" spans="2:18" x14ac:dyDescent="0.35">
      <c r="B177" s="25">
        <f>'2.1. DM'!B177</f>
        <v>167</v>
      </c>
      <c r="C177" s="25">
        <f>'2.1. DM'!C177</f>
        <v>46048</v>
      </c>
      <c r="D177" s="25" t="str">
        <f>'2.1. DM'!D177</f>
        <v>Genbank</v>
      </c>
      <c r="E177" s="25">
        <f>'2.1. DM'!E177</f>
        <v>28</v>
      </c>
      <c r="F177" s="25" t="str">
        <f>'2.1. DM'!F177</f>
        <v>F252595</v>
      </c>
      <c r="G177" s="25" t="str">
        <f>'2.1. DM'!G177</f>
        <v>CIAT9531</v>
      </c>
      <c r="H177" s="25" t="str">
        <f>'2.1. DM'!H177</f>
        <v>Indigofera</v>
      </c>
      <c r="I177" s="25" t="str">
        <f>'2.1. DM'!I177</f>
        <v>spicata</v>
      </c>
      <c r="J177" s="25" t="str">
        <f>'2.1. DM'!J177</f>
        <v>Indigofera spicata</v>
      </c>
      <c r="K177" s="25" t="str">
        <f>'2.1. DM'!K177</f>
        <v>Fabaceae</v>
      </c>
      <c r="L177" s="25" t="str">
        <f>'2.1. DM'!L177</f>
        <v>Fabales</v>
      </c>
      <c r="M177" s="25" t="str">
        <f>'2.1. DM'!M177</f>
        <v>Herbaceous</v>
      </c>
      <c r="N177" s="25" t="str">
        <f>'2.1. DM'!N177</f>
        <v>60,61, 62</v>
      </c>
      <c r="O177" s="25" t="str">
        <f>'2.1. DM'!O177</f>
        <v>OT-031</v>
      </c>
      <c r="P177" s="292" t="s">
        <v>495</v>
      </c>
      <c r="Q177" s="294">
        <v>25.713911338982538</v>
      </c>
      <c r="R177" s="341">
        <f t="shared" si="29"/>
        <v>25.439764908531053</v>
      </c>
    </row>
    <row r="178" spans="2:18" x14ac:dyDescent="0.35">
      <c r="B178" s="25">
        <f>'2.1. DM'!B178</f>
        <v>168</v>
      </c>
      <c r="C178" s="25">
        <f>'2.1. DM'!C178</f>
        <v>46048</v>
      </c>
      <c r="D178" s="25" t="str">
        <f>'2.1. DM'!D178</f>
        <v>Genbank</v>
      </c>
      <c r="E178" s="25">
        <f>'2.1. DM'!E178</f>
        <v>28</v>
      </c>
      <c r="F178" s="25" t="str">
        <f>'2.1. DM'!F178</f>
        <v>F252595</v>
      </c>
      <c r="G178" s="25" t="str">
        <f>'2.1. DM'!G178</f>
        <v>CIAT9531</v>
      </c>
      <c r="H178" s="25" t="str">
        <f>'2.1. DM'!H178</f>
        <v>Indigofera</v>
      </c>
      <c r="I178" s="25" t="str">
        <f>'2.1. DM'!I178</f>
        <v>spicata</v>
      </c>
      <c r="J178" s="25" t="str">
        <f>'2.1. DM'!J178</f>
        <v>Indigofera spicata</v>
      </c>
      <c r="K178" s="25" t="str">
        <f>'2.1. DM'!K178</f>
        <v>Fabaceae</v>
      </c>
      <c r="L178" s="25" t="str">
        <f>'2.1. DM'!L178</f>
        <v>Fabales</v>
      </c>
      <c r="M178" s="25" t="str">
        <f>'2.1. DM'!M178</f>
        <v>Herbaceous</v>
      </c>
      <c r="N178" s="25" t="str">
        <f>'2.1. DM'!N178</f>
        <v>60,61, 62</v>
      </c>
      <c r="O178" s="25" t="str">
        <f>'2.1. DM'!O178</f>
        <v>OT-031</v>
      </c>
      <c r="P178" s="293" t="s">
        <v>496</v>
      </c>
      <c r="Q178" s="294">
        <v>25.165618478079573</v>
      </c>
      <c r="R178" s="341"/>
    </row>
    <row r="179" spans="2:18" x14ac:dyDescent="0.35">
      <c r="B179" s="25">
        <f>'2.1. DM'!B179</f>
        <v>169</v>
      </c>
      <c r="C179" s="25">
        <f>'2.1. DM'!C179</f>
        <v>46048</v>
      </c>
      <c r="D179" s="25" t="str">
        <f>'2.1. DM'!D179</f>
        <v>Genbank</v>
      </c>
      <c r="E179" s="25">
        <f>'2.1. DM'!E179</f>
        <v>28</v>
      </c>
      <c r="F179" s="25" t="str">
        <f>'2.1. DM'!F179</f>
        <v>F252596</v>
      </c>
      <c r="G179" s="25" t="str">
        <f>'2.1. DM'!G179</f>
        <v>CIAT10026</v>
      </c>
      <c r="H179" s="25" t="str">
        <f>'2.1. DM'!H179</f>
        <v>Stylosanthes</v>
      </c>
      <c r="I179" s="25" t="str">
        <f>'2.1. DM'!I179</f>
        <v>seabrana</v>
      </c>
      <c r="J179" s="25" t="str">
        <f>'2.1. DM'!J179</f>
        <v>Stylosanthes seabrana</v>
      </c>
      <c r="K179" s="25" t="str">
        <f>'2.1. DM'!K179</f>
        <v>Fabaceae</v>
      </c>
      <c r="L179" s="25" t="str">
        <f>'2.1. DM'!L179</f>
        <v>Fabales</v>
      </c>
      <c r="M179" s="25" t="str">
        <f>'2.1. DM'!M179</f>
        <v>Herbaceous</v>
      </c>
      <c r="N179" s="25" t="str">
        <f>'2.1. DM'!N179</f>
        <v>60,61, 62</v>
      </c>
      <c r="O179" s="25" t="str">
        <f>'2.1. DM'!O179</f>
        <v>OT-031</v>
      </c>
      <c r="P179" s="292" t="s">
        <v>495</v>
      </c>
      <c r="Q179" s="294">
        <v>35.016325330884271</v>
      </c>
      <c r="R179" s="341">
        <f t="shared" si="29"/>
        <v>34.494389261427571</v>
      </c>
    </row>
    <row r="180" spans="2:18" x14ac:dyDescent="0.35">
      <c r="B180" s="25">
        <f>'2.1. DM'!B180</f>
        <v>170</v>
      </c>
      <c r="C180" s="25">
        <f>'2.1. DM'!C180</f>
        <v>46048</v>
      </c>
      <c r="D180" s="25" t="str">
        <f>'2.1. DM'!D180</f>
        <v>Genbank</v>
      </c>
      <c r="E180" s="25">
        <f>'2.1. DM'!E180</f>
        <v>28</v>
      </c>
      <c r="F180" s="25" t="str">
        <f>'2.1. DM'!F180</f>
        <v>F252596</v>
      </c>
      <c r="G180" s="25" t="str">
        <f>'2.1. DM'!G180</f>
        <v>CIAT10026</v>
      </c>
      <c r="H180" s="25" t="str">
        <f>'2.1. DM'!H180</f>
        <v>Stylosanthes</v>
      </c>
      <c r="I180" s="25" t="str">
        <f>'2.1. DM'!I180</f>
        <v>seabrana</v>
      </c>
      <c r="J180" s="25" t="str">
        <f>'2.1. DM'!J180</f>
        <v>Stylosanthes seabrana</v>
      </c>
      <c r="K180" s="25" t="str">
        <f>'2.1. DM'!K180</f>
        <v>Fabaceae</v>
      </c>
      <c r="L180" s="25" t="str">
        <f>'2.1. DM'!L180</f>
        <v>Fabales</v>
      </c>
      <c r="M180" s="25" t="str">
        <f>'2.1. DM'!M180</f>
        <v>Herbaceous</v>
      </c>
      <c r="N180" s="25" t="str">
        <f>'2.1. DM'!N180</f>
        <v>60,61, 62</v>
      </c>
      <c r="O180" s="25" t="str">
        <f>'2.1. DM'!O180</f>
        <v>OT-031</v>
      </c>
      <c r="P180" s="293" t="s">
        <v>496</v>
      </c>
      <c r="Q180" s="294">
        <v>33.972453191970871</v>
      </c>
      <c r="R180" s="341"/>
    </row>
    <row r="181" spans="2:18" x14ac:dyDescent="0.35">
      <c r="B181" s="25">
        <f>'2.1. DM'!B181</f>
        <v>171</v>
      </c>
      <c r="C181" s="25">
        <f>'2.1. DM'!C181</f>
        <v>46048</v>
      </c>
      <c r="D181" s="25" t="str">
        <f>'2.1. DM'!D181</f>
        <v>Genbank</v>
      </c>
      <c r="E181" s="25">
        <f>'2.1. DM'!E181</f>
        <v>28</v>
      </c>
      <c r="F181" s="25" t="str">
        <f>'2.1. DM'!F181</f>
        <v>F252597</v>
      </c>
      <c r="G181" s="25" t="str">
        <f>'2.1. DM'!G181</f>
        <v>CIAT12411</v>
      </c>
      <c r="H181" s="25" t="str">
        <f>'2.1. DM'!H181</f>
        <v>Stylosanthes</v>
      </c>
      <c r="I181" s="25" t="str">
        <f>'2.1. DM'!I181</f>
        <v>sympodialis</v>
      </c>
      <c r="J181" s="25" t="str">
        <f>'2.1. DM'!J181</f>
        <v>Stylosanthes sympodialis</v>
      </c>
      <c r="K181" s="25" t="str">
        <f>'2.1. DM'!K181</f>
        <v>Fabaceae</v>
      </c>
      <c r="L181" s="25" t="str">
        <f>'2.1. DM'!L181</f>
        <v>Fabales</v>
      </c>
      <c r="M181" s="25" t="str">
        <f>'2.1. DM'!M181</f>
        <v>Herbaceous</v>
      </c>
      <c r="N181" s="25" t="str">
        <f>'2.1. DM'!N181</f>
        <v>60,61, 62</v>
      </c>
      <c r="O181" s="25" t="str">
        <f>'2.1. DM'!O181</f>
        <v>OT-031</v>
      </c>
      <c r="P181" s="292" t="s">
        <v>495</v>
      </c>
      <c r="Q181" s="294">
        <v>33.357116529535872</v>
      </c>
      <c r="R181" s="341">
        <f t="shared" si="29"/>
        <v>34.297812897885493</v>
      </c>
    </row>
    <row r="182" spans="2:18" x14ac:dyDescent="0.35">
      <c r="B182" s="25">
        <f>'2.1. DM'!B182</f>
        <v>172</v>
      </c>
      <c r="C182" s="25">
        <f>'2.1. DM'!C182</f>
        <v>46048</v>
      </c>
      <c r="D182" s="25" t="str">
        <f>'2.1. DM'!D182</f>
        <v>Genbank</v>
      </c>
      <c r="E182" s="25">
        <f>'2.1. DM'!E182</f>
        <v>28</v>
      </c>
      <c r="F182" s="25" t="str">
        <f>'2.1. DM'!F182</f>
        <v>F252597</v>
      </c>
      <c r="G182" s="25" t="str">
        <f>'2.1. DM'!G182</f>
        <v>CIAT12411</v>
      </c>
      <c r="H182" s="25" t="str">
        <f>'2.1. DM'!H182</f>
        <v>Stylosanthes</v>
      </c>
      <c r="I182" s="25" t="str">
        <f>'2.1. DM'!I182</f>
        <v>sympodialis</v>
      </c>
      <c r="J182" s="25" t="str">
        <f>'2.1. DM'!J182</f>
        <v>Stylosanthes sympodialis</v>
      </c>
      <c r="K182" s="25" t="str">
        <f>'2.1. DM'!K182</f>
        <v>Fabaceae</v>
      </c>
      <c r="L182" s="25" t="str">
        <f>'2.1. DM'!L182</f>
        <v>Fabales</v>
      </c>
      <c r="M182" s="25" t="str">
        <f>'2.1. DM'!M182</f>
        <v>Herbaceous</v>
      </c>
      <c r="N182" s="25" t="str">
        <f>'2.1. DM'!N182</f>
        <v>60,61, 62</v>
      </c>
      <c r="O182" s="25" t="str">
        <f>'2.1. DM'!O182</f>
        <v>OT-031</v>
      </c>
      <c r="P182" s="293" t="s">
        <v>496</v>
      </c>
      <c r="Q182" s="294">
        <v>35.238509266235113</v>
      </c>
      <c r="R182" s="341"/>
    </row>
    <row r="183" spans="2:18" x14ac:dyDescent="0.35">
      <c r="B183" s="25">
        <f>'2.1. DM'!B183</f>
        <v>173</v>
      </c>
      <c r="C183" s="25">
        <f>'2.1. DM'!C183</f>
        <v>46048</v>
      </c>
      <c r="D183" s="25" t="str">
        <f>'2.1. DM'!D183</f>
        <v>Genbank</v>
      </c>
      <c r="E183" s="25">
        <f>'2.1. DM'!E183</f>
        <v>28</v>
      </c>
      <c r="F183" s="25" t="str">
        <f>'2.1. DM'!F183</f>
        <v>F252598</v>
      </c>
      <c r="G183" s="25" t="str">
        <f>'2.1. DM'!G183</f>
        <v>CIAT13494</v>
      </c>
      <c r="H183" s="25" t="str">
        <f>'2.1. DM'!H183</f>
        <v>Desmodium</v>
      </c>
      <c r="I183" s="25" t="str">
        <f>'2.1. DM'!I183</f>
        <v>tortuosum</v>
      </c>
      <c r="J183" s="25" t="str">
        <f>'2.1. DM'!J183</f>
        <v>Desmodium tortuosum</v>
      </c>
      <c r="K183" s="25" t="str">
        <f>'2.1. DM'!K183</f>
        <v>Fabaceae</v>
      </c>
      <c r="L183" s="25" t="str">
        <f>'2.1. DM'!L183</f>
        <v>Fabales</v>
      </c>
      <c r="M183" s="25" t="str">
        <f>'2.1. DM'!M183</f>
        <v>Shurb_Tree</v>
      </c>
      <c r="N183" s="25" t="str">
        <f>'2.1. DM'!N183</f>
        <v>60,61, 62</v>
      </c>
      <c r="O183" s="25" t="str">
        <f>'2.1. DM'!O183</f>
        <v>OT-031</v>
      </c>
      <c r="P183" s="292" t="s">
        <v>495</v>
      </c>
      <c r="Q183" s="294">
        <v>23.519859134767497</v>
      </c>
      <c r="R183" s="341">
        <f t="shared" si="29"/>
        <v>23.406406769323404</v>
      </c>
    </row>
    <row r="184" spans="2:18" x14ac:dyDescent="0.35">
      <c r="B184" s="25">
        <f>'2.1. DM'!B184</f>
        <v>174</v>
      </c>
      <c r="C184" s="25">
        <f>'2.1. DM'!C184</f>
        <v>46048</v>
      </c>
      <c r="D184" s="25" t="str">
        <f>'2.1. DM'!D184</f>
        <v>Genbank</v>
      </c>
      <c r="E184" s="25">
        <f>'2.1. DM'!E184</f>
        <v>28</v>
      </c>
      <c r="F184" s="25" t="str">
        <f>'2.1. DM'!F184</f>
        <v>F252598</v>
      </c>
      <c r="G184" s="25" t="str">
        <f>'2.1. DM'!G184</f>
        <v>CIAT13494</v>
      </c>
      <c r="H184" s="25" t="str">
        <f>'2.1. DM'!H184</f>
        <v>Desmodium</v>
      </c>
      <c r="I184" s="25" t="str">
        <f>'2.1. DM'!I184</f>
        <v>tortuosum</v>
      </c>
      <c r="J184" s="25" t="str">
        <f>'2.1. DM'!J184</f>
        <v>Desmodium tortuosum</v>
      </c>
      <c r="K184" s="25" t="str">
        <f>'2.1. DM'!K184</f>
        <v>Fabaceae</v>
      </c>
      <c r="L184" s="25" t="str">
        <f>'2.1. DM'!L184</f>
        <v>Fabales</v>
      </c>
      <c r="M184" s="25" t="str">
        <f>'2.1. DM'!M184</f>
        <v>Shurb_Tree</v>
      </c>
      <c r="N184" s="25" t="str">
        <f>'2.1. DM'!N184</f>
        <v>60,61, 62</v>
      </c>
      <c r="O184" s="25" t="str">
        <f>'2.1. DM'!O184</f>
        <v>OT-031</v>
      </c>
      <c r="P184" s="293" t="s">
        <v>496</v>
      </c>
      <c r="Q184" s="294">
        <v>23.292954403879307</v>
      </c>
      <c r="R184" s="341"/>
    </row>
    <row r="185" spans="2:18" x14ac:dyDescent="0.35">
      <c r="B185" s="25">
        <f>'2.1. DM'!B185</f>
        <v>175</v>
      </c>
      <c r="C185" s="25">
        <f>'2.1. DM'!C185</f>
        <v>46048</v>
      </c>
      <c r="D185" s="25" t="str">
        <f>'2.1. DM'!D185</f>
        <v>Genbank</v>
      </c>
      <c r="E185" s="25">
        <f>'2.1. DM'!E185</f>
        <v>28</v>
      </c>
      <c r="F185" s="25" t="str">
        <f>'2.1. DM'!F185</f>
        <v>F252599</v>
      </c>
      <c r="G185" s="25" t="str">
        <f>'2.1. DM'!G185</f>
        <v>CIAT13562</v>
      </c>
      <c r="H185" s="25" t="str">
        <f>'2.1. DM'!H185</f>
        <v>Desmodium</v>
      </c>
      <c r="I185" s="25" t="str">
        <f>'2.1. DM'!I185</f>
        <v>tortuosum</v>
      </c>
      <c r="J185" s="25" t="str">
        <f>'2.1. DM'!J185</f>
        <v>Desmodium tortuosum</v>
      </c>
      <c r="K185" s="25" t="str">
        <f>'2.1. DM'!K185</f>
        <v>Fabaceae</v>
      </c>
      <c r="L185" s="25" t="str">
        <f>'2.1. DM'!L185</f>
        <v>Fabales</v>
      </c>
      <c r="M185" s="25" t="str">
        <f>'2.1. DM'!M185</f>
        <v>Shurb_Tree</v>
      </c>
      <c r="N185" s="25" t="str">
        <f>'2.1. DM'!N185</f>
        <v>60,61, 62</v>
      </c>
      <c r="O185" s="25" t="str">
        <f>'2.1. DM'!O185</f>
        <v>OT-031</v>
      </c>
      <c r="P185" s="292" t="s">
        <v>495</v>
      </c>
      <c r="Q185" s="294">
        <v>27.304918274776462</v>
      </c>
      <c r="R185" s="341">
        <f t="shared" si="29"/>
        <v>27.485051370078089</v>
      </c>
    </row>
    <row r="186" spans="2:18" x14ac:dyDescent="0.35">
      <c r="B186" s="25">
        <f>'2.1. DM'!B186</f>
        <v>176</v>
      </c>
      <c r="C186" s="25">
        <f>'2.1. DM'!C186</f>
        <v>46048</v>
      </c>
      <c r="D186" s="25" t="str">
        <f>'2.1. DM'!D186</f>
        <v>Genbank</v>
      </c>
      <c r="E186" s="25">
        <f>'2.1. DM'!E186</f>
        <v>28</v>
      </c>
      <c r="F186" s="25" t="str">
        <f>'2.1. DM'!F186</f>
        <v>F252599</v>
      </c>
      <c r="G186" s="25" t="str">
        <f>'2.1. DM'!G186</f>
        <v>CIAT13562</v>
      </c>
      <c r="H186" s="25" t="str">
        <f>'2.1. DM'!H186</f>
        <v>Desmodium</v>
      </c>
      <c r="I186" s="25" t="str">
        <f>'2.1. DM'!I186</f>
        <v>tortuosum</v>
      </c>
      <c r="J186" s="25" t="str">
        <f>'2.1. DM'!J186</f>
        <v>Desmodium tortuosum</v>
      </c>
      <c r="K186" s="25" t="str">
        <f>'2.1. DM'!K186</f>
        <v>Fabaceae</v>
      </c>
      <c r="L186" s="25" t="str">
        <f>'2.1. DM'!L186</f>
        <v>Fabales</v>
      </c>
      <c r="M186" s="25" t="str">
        <f>'2.1. DM'!M186</f>
        <v>Shurb_Tree</v>
      </c>
      <c r="N186" s="25" t="str">
        <f>'2.1. DM'!N186</f>
        <v>60,61, 62</v>
      </c>
      <c r="O186" s="25" t="str">
        <f>'2.1. DM'!O186</f>
        <v>OT-031</v>
      </c>
      <c r="P186" s="293" t="s">
        <v>496</v>
      </c>
      <c r="Q186" s="294">
        <v>27.665184465379721</v>
      </c>
      <c r="R186" s="341"/>
    </row>
    <row r="187" spans="2:18" x14ac:dyDescent="0.35">
      <c r="B187" s="25">
        <f>'2.1. DM'!B187</f>
        <v>177</v>
      </c>
      <c r="C187" s="25">
        <f>'2.1. DM'!C187</f>
        <v>46048</v>
      </c>
      <c r="D187" s="25" t="str">
        <f>'2.1. DM'!D187</f>
        <v>Genbank</v>
      </c>
      <c r="E187" s="25">
        <f>'2.1. DM'!E187</f>
        <v>28</v>
      </c>
      <c r="F187" s="25" t="str">
        <f>'2.1. DM'!F187</f>
        <v>F252600</v>
      </c>
      <c r="G187" s="25" t="str">
        <f>'2.1. DM'!G187</f>
        <v>CIAT13593</v>
      </c>
      <c r="H187" s="25" t="str">
        <f>'2.1. DM'!H187</f>
        <v>Desmodium</v>
      </c>
      <c r="I187" s="25" t="str">
        <f>'2.1. DM'!I187</f>
        <v>scorpiurus</v>
      </c>
      <c r="J187" s="25" t="str">
        <f>'2.1. DM'!J187</f>
        <v>Desmodium scorpiurus</v>
      </c>
      <c r="K187" s="25" t="str">
        <f>'2.1. DM'!K187</f>
        <v>Fabaceae</v>
      </c>
      <c r="L187" s="25" t="str">
        <f>'2.1. DM'!L187</f>
        <v>Fabales</v>
      </c>
      <c r="M187" s="25" t="str">
        <f>'2.1. DM'!M187</f>
        <v>Herbaceous</v>
      </c>
      <c r="N187" s="25" t="str">
        <f>'2.1. DM'!N187</f>
        <v>60,61, 62</v>
      </c>
      <c r="O187" s="25" t="str">
        <f>'2.1. DM'!O187</f>
        <v>OT-031</v>
      </c>
      <c r="P187" s="292" t="s">
        <v>495</v>
      </c>
      <c r="Q187" s="294">
        <v>42.865431555383012</v>
      </c>
      <c r="R187" s="341">
        <f t="shared" si="29"/>
        <v>42.646867774826624</v>
      </c>
    </row>
    <row r="188" spans="2:18" x14ac:dyDescent="0.35">
      <c r="B188" s="25">
        <f>'2.1. DM'!B188</f>
        <v>178</v>
      </c>
      <c r="C188" s="25">
        <f>'2.1. DM'!C188</f>
        <v>46048</v>
      </c>
      <c r="D188" s="25" t="str">
        <f>'2.1. DM'!D188</f>
        <v>Genbank</v>
      </c>
      <c r="E188" s="25">
        <f>'2.1. DM'!E188</f>
        <v>28</v>
      </c>
      <c r="F188" s="25" t="str">
        <f>'2.1. DM'!F188</f>
        <v>F252600</v>
      </c>
      <c r="G188" s="25" t="str">
        <f>'2.1. DM'!G188</f>
        <v>CIAT13593</v>
      </c>
      <c r="H188" s="25" t="str">
        <f>'2.1. DM'!H188</f>
        <v>Desmodium</v>
      </c>
      <c r="I188" s="25" t="str">
        <f>'2.1. DM'!I188</f>
        <v>scorpiurus</v>
      </c>
      <c r="J188" s="25" t="str">
        <f>'2.1. DM'!J188</f>
        <v>Desmodium scorpiurus</v>
      </c>
      <c r="K188" s="25" t="str">
        <f>'2.1. DM'!K188</f>
        <v>Fabaceae</v>
      </c>
      <c r="L188" s="25" t="str">
        <f>'2.1. DM'!L188</f>
        <v>Fabales</v>
      </c>
      <c r="M188" s="25" t="str">
        <f>'2.1. DM'!M188</f>
        <v>Herbaceous</v>
      </c>
      <c r="N188" s="25" t="str">
        <f>'2.1. DM'!N188</f>
        <v>60,61, 62</v>
      </c>
      <c r="O188" s="25" t="str">
        <f>'2.1. DM'!O188</f>
        <v>OT-031</v>
      </c>
      <c r="P188" s="293" t="s">
        <v>496</v>
      </c>
      <c r="Q188" s="294">
        <v>42.428303994270237</v>
      </c>
      <c r="R188" s="341"/>
    </row>
    <row r="189" spans="2:18" x14ac:dyDescent="0.35">
      <c r="B189" s="25">
        <f>'2.1. DM'!B189</f>
        <v>179</v>
      </c>
      <c r="C189" s="25">
        <f>'2.1. DM'!C189</f>
        <v>46048</v>
      </c>
      <c r="D189" s="25" t="str">
        <f>'2.1. DM'!D189</f>
        <v>Genbank</v>
      </c>
      <c r="E189" s="25">
        <f>'2.1. DM'!E189</f>
        <v>28</v>
      </c>
      <c r="F189" s="25" t="str">
        <f>'2.1. DM'!F189</f>
        <v>F252601</v>
      </c>
      <c r="G189" s="25" t="str">
        <f>'2.1. DM'!G189</f>
        <v>CIAT13608</v>
      </c>
      <c r="H189" s="25" t="str">
        <f>'2.1. DM'!H189</f>
        <v>Desmodium</v>
      </c>
      <c r="I189" s="25" t="str">
        <f>'2.1. DM'!I189</f>
        <v>incanum</v>
      </c>
      <c r="J189" s="25" t="str">
        <f>'2.1. DM'!J189</f>
        <v>Desmodium incanum</v>
      </c>
      <c r="K189" s="25" t="str">
        <f>'2.1. DM'!K189</f>
        <v>Fabaceae</v>
      </c>
      <c r="L189" s="25" t="str">
        <f>'2.1. DM'!L189</f>
        <v>Fabales</v>
      </c>
      <c r="M189" s="25" t="str">
        <f>'2.1. DM'!M189</f>
        <v>Herbaceous</v>
      </c>
      <c r="N189" s="25" t="str">
        <f>'2.1. DM'!N189</f>
        <v>60,61, 62</v>
      </c>
      <c r="O189" s="25" t="str">
        <f>'2.1. DM'!O189</f>
        <v>OT-031</v>
      </c>
      <c r="P189" s="292" t="s">
        <v>495</v>
      </c>
      <c r="Q189" s="294">
        <v>44.62612732080337</v>
      </c>
      <c r="R189" s="341">
        <f t="shared" si="29"/>
        <v>44.722523635631603</v>
      </c>
    </row>
    <row r="190" spans="2:18" x14ac:dyDescent="0.35">
      <c r="B190" s="25">
        <f>'2.1. DM'!B190</f>
        <v>180</v>
      </c>
      <c r="C190" s="25">
        <f>'2.1. DM'!C190</f>
        <v>46048</v>
      </c>
      <c r="D190" s="25" t="str">
        <f>'2.1. DM'!D190</f>
        <v>Genbank</v>
      </c>
      <c r="E190" s="25">
        <f>'2.1. DM'!E190</f>
        <v>28</v>
      </c>
      <c r="F190" s="25" t="str">
        <f>'2.1. DM'!F190</f>
        <v>F252601</v>
      </c>
      <c r="G190" s="25" t="str">
        <f>'2.1. DM'!G190</f>
        <v>CIAT13608</v>
      </c>
      <c r="H190" s="25" t="str">
        <f>'2.1. DM'!H190</f>
        <v>Desmodium</v>
      </c>
      <c r="I190" s="25" t="str">
        <f>'2.1. DM'!I190</f>
        <v>incanum</v>
      </c>
      <c r="J190" s="25" t="str">
        <f>'2.1. DM'!J190</f>
        <v>Desmodium incanum</v>
      </c>
      <c r="K190" s="25" t="str">
        <f>'2.1. DM'!K190</f>
        <v>Fabaceae</v>
      </c>
      <c r="L190" s="25" t="str">
        <f>'2.1. DM'!L190</f>
        <v>Fabales</v>
      </c>
      <c r="M190" s="25" t="str">
        <f>'2.1. DM'!M190</f>
        <v>Herbaceous</v>
      </c>
      <c r="N190" s="25" t="str">
        <f>'2.1. DM'!N190</f>
        <v>60,61, 62</v>
      </c>
      <c r="O190" s="25" t="str">
        <f>'2.1. DM'!O190</f>
        <v>OT-031</v>
      </c>
      <c r="P190" s="293" t="s">
        <v>496</v>
      </c>
      <c r="Q190" s="294">
        <v>44.818919950459843</v>
      </c>
      <c r="R190" s="341"/>
    </row>
    <row r="191" spans="2:18" x14ac:dyDescent="0.35">
      <c r="B191" s="25">
        <f>'2.1. DM'!B191</f>
        <v>181</v>
      </c>
      <c r="C191" s="25">
        <f>'2.1. DM'!C191</f>
        <v>46048</v>
      </c>
      <c r="D191" s="25" t="str">
        <f>'2.1. DM'!D191</f>
        <v>Genbank</v>
      </c>
      <c r="E191" s="25">
        <f>'2.1. DM'!E191</f>
        <v>28</v>
      </c>
      <c r="F191" s="25" t="str">
        <f>'2.1. DM'!F191</f>
        <v>F252602</v>
      </c>
      <c r="G191" s="25" t="str">
        <f>'2.1. DM'!G191</f>
        <v>CIAT18277</v>
      </c>
      <c r="H191" s="25" t="str">
        <f>'2.1. DM'!H191</f>
        <v>Indigofera</v>
      </c>
      <c r="I191" s="25" t="str">
        <f>'2.1. DM'!I191</f>
        <v>jamaicensis</v>
      </c>
      <c r="J191" s="25" t="str">
        <f>'2.1. DM'!J191</f>
        <v>Indigofera jamaicensis</v>
      </c>
      <c r="K191" s="25" t="str">
        <f>'2.1. DM'!K191</f>
        <v>Fabaceae</v>
      </c>
      <c r="L191" s="25" t="str">
        <f>'2.1. DM'!L191</f>
        <v>Fabales</v>
      </c>
      <c r="M191" s="25" t="str">
        <f>'2.1. DM'!M191</f>
        <v>Herbaceous</v>
      </c>
      <c r="N191" s="25" t="str">
        <f>'2.1. DM'!N191</f>
        <v>60,61, 62</v>
      </c>
      <c r="O191" s="25" t="str">
        <f>'2.1. DM'!O191</f>
        <v>OT-031</v>
      </c>
      <c r="P191" s="292" t="s">
        <v>495</v>
      </c>
      <c r="Q191" s="294">
        <v>32.667992855956271</v>
      </c>
      <c r="R191" s="341">
        <f t="shared" ref="R191:R235" si="30">AVERAGE(Q191:Q192)</f>
        <v>32.427584846947688</v>
      </c>
    </row>
    <row r="192" spans="2:18" x14ac:dyDescent="0.35">
      <c r="B192" s="25">
        <f>'2.1. DM'!B192</f>
        <v>182</v>
      </c>
      <c r="C192" s="25">
        <f>'2.1. DM'!C192</f>
        <v>46048</v>
      </c>
      <c r="D192" s="25" t="str">
        <f>'2.1. DM'!D192</f>
        <v>Genbank</v>
      </c>
      <c r="E192" s="25">
        <f>'2.1. DM'!E192</f>
        <v>28</v>
      </c>
      <c r="F192" s="25" t="str">
        <f>'2.1. DM'!F192</f>
        <v>F252602</v>
      </c>
      <c r="G192" s="25" t="str">
        <f>'2.1. DM'!G192</f>
        <v>CIAT18277</v>
      </c>
      <c r="H192" s="25" t="str">
        <f>'2.1. DM'!H192</f>
        <v>Indigofera</v>
      </c>
      <c r="I192" s="25" t="str">
        <f>'2.1. DM'!I192</f>
        <v>jamaicensis</v>
      </c>
      <c r="J192" s="25" t="str">
        <f>'2.1. DM'!J192</f>
        <v>Indigofera jamaicensis</v>
      </c>
      <c r="K192" s="25" t="str">
        <f>'2.1. DM'!K192</f>
        <v>Fabaceae</v>
      </c>
      <c r="L192" s="25" t="str">
        <f>'2.1. DM'!L192</f>
        <v>Fabales</v>
      </c>
      <c r="M192" s="25" t="str">
        <f>'2.1. DM'!M192</f>
        <v>Herbaceous</v>
      </c>
      <c r="N192" s="25" t="str">
        <f>'2.1. DM'!N192</f>
        <v>60,61, 62</v>
      </c>
      <c r="O192" s="25" t="str">
        <f>'2.1. DM'!O192</f>
        <v>OT-031</v>
      </c>
      <c r="P192" s="293" t="s">
        <v>496</v>
      </c>
      <c r="Q192" s="294">
        <v>32.187176837939106</v>
      </c>
      <c r="R192" s="341"/>
    </row>
    <row r="193" spans="2:18" x14ac:dyDescent="0.35">
      <c r="B193" s="25">
        <f>'2.1. DM'!B193</f>
        <v>183</v>
      </c>
      <c r="C193" s="25">
        <f>'2.1. DM'!C193</f>
        <v>46048</v>
      </c>
      <c r="D193" s="25" t="str">
        <f>'2.1. DM'!D193</f>
        <v>Genbank</v>
      </c>
      <c r="E193" s="25">
        <f>'2.1. DM'!E193</f>
        <v>28</v>
      </c>
      <c r="F193" s="25" t="str">
        <f>'2.1. DM'!F193</f>
        <v>F252603</v>
      </c>
      <c r="G193" s="25" t="str">
        <f>'2.1. DM'!G193</f>
        <v>CIAT18952</v>
      </c>
      <c r="H193" s="25" t="str">
        <f>'2.1. DM'!H193</f>
        <v>Indigofera</v>
      </c>
      <c r="I193" s="25" t="str">
        <f>'2.1. DM'!I193</f>
        <v>atriceps</v>
      </c>
      <c r="J193" s="25" t="str">
        <f>'2.1. DM'!J193</f>
        <v>Indigofera atriceps</v>
      </c>
      <c r="K193" s="25" t="str">
        <f>'2.1. DM'!K193</f>
        <v>Fabaceae</v>
      </c>
      <c r="L193" s="25" t="str">
        <f>'2.1. DM'!L193</f>
        <v>Fabales</v>
      </c>
      <c r="M193" s="25" t="str">
        <f>'2.1. DM'!M193</f>
        <v>Herbaceous</v>
      </c>
      <c r="N193" s="25" t="str">
        <f>'2.1. DM'!N193</f>
        <v>60,61, 62</v>
      </c>
      <c r="O193" s="25" t="str">
        <f>'2.1. DM'!O193</f>
        <v>OT-031</v>
      </c>
      <c r="P193" s="292" t="s">
        <v>495</v>
      </c>
      <c r="Q193" s="210">
        <v>41.739477763617359</v>
      </c>
      <c r="R193" s="341">
        <f t="shared" si="30"/>
        <v>40.990933785856228</v>
      </c>
    </row>
    <row r="194" spans="2:18" x14ac:dyDescent="0.35">
      <c r="B194" s="25">
        <f>'2.1. DM'!B194</f>
        <v>184</v>
      </c>
      <c r="C194" s="25">
        <f>'2.1. DM'!C194</f>
        <v>46048</v>
      </c>
      <c r="D194" s="25" t="str">
        <f>'2.1. DM'!D194</f>
        <v>Genbank</v>
      </c>
      <c r="E194" s="25">
        <f>'2.1. DM'!E194</f>
        <v>28</v>
      </c>
      <c r="F194" s="25" t="str">
        <f>'2.1. DM'!F194</f>
        <v>F252603</v>
      </c>
      <c r="G194" s="25" t="str">
        <f>'2.1. DM'!G194</f>
        <v>CIAT18952</v>
      </c>
      <c r="H194" s="25" t="str">
        <f>'2.1. DM'!H194</f>
        <v>Indigofera</v>
      </c>
      <c r="I194" s="25" t="str">
        <f>'2.1. DM'!I194</f>
        <v>atriceps</v>
      </c>
      <c r="J194" s="25" t="str">
        <f>'2.1. DM'!J194</f>
        <v>Indigofera atriceps</v>
      </c>
      <c r="K194" s="25" t="str">
        <f>'2.1. DM'!K194</f>
        <v>Fabaceae</v>
      </c>
      <c r="L194" s="25" t="str">
        <f>'2.1. DM'!L194</f>
        <v>Fabales</v>
      </c>
      <c r="M194" s="25" t="str">
        <f>'2.1. DM'!M194</f>
        <v>Herbaceous</v>
      </c>
      <c r="N194" s="25" t="str">
        <f>'2.1. DM'!N194</f>
        <v>60,61, 62</v>
      </c>
      <c r="O194" s="25" t="str">
        <f>'2.1. DM'!O194</f>
        <v>OT-031</v>
      </c>
      <c r="P194" s="293" t="s">
        <v>496</v>
      </c>
      <c r="Q194" s="210">
        <v>40.242389808095098</v>
      </c>
      <c r="R194" s="341"/>
    </row>
    <row r="195" spans="2:18" x14ac:dyDescent="0.35">
      <c r="B195" s="25">
        <f>'2.1. DM'!B195</f>
        <v>185</v>
      </c>
      <c r="C195" s="25">
        <f>'2.1. DM'!C195</f>
        <v>46048</v>
      </c>
      <c r="D195" s="25" t="str">
        <f>'2.1. DM'!D195</f>
        <v>Jacobo Arango/ Alejandro Montoya</v>
      </c>
      <c r="E195" s="25">
        <f>'2.1. DM'!E195</f>
        <v>28</v>
      </c>
      <c r="F195" s="25" t="str">
        <f>'2.1. DM'!F195</f>
        <v>F250008</v>
      </c>
      <c r="G195" s="25" t="str">
        <f>'2.1. DM'!G195</f>
        <v>Sample 8</v>
      </c>
      <c r="H195" s="25" t="str">
        <f>'2.1. DM'!H195</f>
        <v>Cynodon</v>
      </c>
      <c r="I195" s="25" t="str">
        <f>'2.1. DM'!I195</f>
        <v xml:space="preserve"> nlemfuensis </v>
      </c>
      <c r="J195" s="25" t="str">
        <f>'2.1. DM'!J195</f>
        <v xml:space="preserve">Cynodon nlemfuensis </v>
      </c>
      <c r="K195" s="25" t="str">
        <f>'2.1. DM'!K195</f>
        <v>Poaceae</v>
      </c>
      <c r="L195" s="25" t="str">
        <f>'2.1. DM'!L195</f>
        <v>Poales</v>
      </c>
      <c r="M195" s="25" t="str">
        <f>'2.1. DM'!M195</f>
        <v>grasses</v>
      </c>
      <c r="N195" s="25" t="str">
        <f>'2.1. DM'!N195</f>
        <v>60,61, 62</v>
      </c>
      <c r="O195" s="25" t="str">
        <f>'2.1. DM'!O195</f>
        <v>OT-002</v>
      </c>
      <c r="P195" s="292" t="s">
        <v>495</v>
      </c>
      <c r="Q195" s="76"/>
      <c r="R195" s="341">
        <v>37.799999999999997</v>
      </c>
    </row>
    <row r="196" spans="2:18" x14ac:dyDescent="0.35">
      <c r="B196" s="25">
        <f>'2.1. DM'!B196</f>
        <v>186</v>
      </c>
      <c r="C196" s="25">
        <f>'2.1. DM'!C196</f>
        <v>46048</v>
      </c>
      <c r="D196" s="25" t="str">
        <f>'2.1. DM'!D196</f>
        <v>Jacobo Arango/ Alejandro Montoya</v>
      </c>
      <c r="E196" s="25">
        <f>'2.1. DM'!E196</f>
        <v>28</v>
      </c>
      <c r="F196" s="25" t="str">
        <f>'2.1. DM'!F196</f>
        <v>F250008</v>
      </c>
      <c r="G196" s="25" t="str">
        <f>'2.1. DM'!G196</f>
        <v>Sample 8</v>
      </c>
      <c r="H196" s="25" t="str">
        <f>'2.1. DM'!H196</f>
        <v>Cynodon</v>
      </c>
      <c r="I196" s="25" t="str">
        <f>'2.1. DM'!I196</f>
        <v xml:space="preserve"> nlemfuensis </v>
      </c>
      <c r="J196" s="25" t="str">
        <f>'2.1. DM'!J196</f>
        <v xml:space="preserve">Cynodon nlemfuensis </v>
      </c>
      <c r="K196" s="25" t="str">
        <f>'2.1. DM'!K196</f>
        <v>Poaceae</v>
      </c>
      <c r="L196" s="25" t="str">
        <f>'2.1. DM'!L196</f>
        <v>Poales</v>
      </c>
      <c r="M196" s="25" t="str">
        <f>'2.1. DM'!M196</f>
        <v>grasses</v>
      </c>
      <c r="N196" s="25" t="str">
        <f>'2.1. DM'!N196</f>
        <v>60,61, 62</v>
      </c>
      <c r="O196" s="25" t="str">
        <f>'2.1. DM'!O196</f>
        <v>OT-002</v>
      </c>
      <c r="P196" s="293" t="s">
        <v>496</v>
      </c>
      <c r="Q196" s="76"/>
      <c r="R196" s="341"/>
    </row>
    <row r="197" spans="2:18" x14ac:dyDescent="0.35">
      <c r="B197" s="25">
        <f>'2.1. DM'!B197</f>
        <v>187</v>
      </c>
      <c r="C197" s="25">
        <f>'2.1. DM'!C197</f>
        <v>46055</v>
      </c>
      <c r="D197" s="25" t="str">
        <f>'2.1. DM'!D197</f>
        <v>Genbank</v>
      </c>
      <c r="E197" s="25">
        <f>'2.1. DM'!E197</f>
        <v>29</v>
      </c>
      <c r="F197" s="25" t="str">
        <f>'2.1. DM'!F197</f>
        <v>F252604</v>
      </c>
      <c r="G197" s="25" t="str">
        <f>'2.1. DM'!G197</f>
        <v>CIAT18953</v>
      </c>
      <c r="H197" s="25" t="str">
        <f>'2.1. DM'!H197</f>
        <v>Indigofera</v>
      </c>
      <c r="I197" s="25" t="str">
        <f>'2.1. DM'!I197</f>
        <v>atriceps</v>
      </c>
      <c r="J197" s="25" t="str">
        <f>'2.1. DM'!J197</f>
        <v>Indigofera atriceps</v>
      </c>
      <c r="K197" s="25" t="str">
        <f>'2.1. DM'!K197</f>
        <v>Fabaceae</v>
      </c>
      <c r="L197" s="25" t="str">
        <f>'2.1. DM'!L197</f>
        <v>Fabales</v>
      </c>
      <c r="M197" s="25" t="str">
        <f>'2.1. DM'!M197</f>
        <v>Herbaceous</v>
      </c>
      <c r="N197" s="25" t="str">
        <f>'2.1. DM'!N197</f>
        <v>62,63,70</v>
      </c>
      <c r="O197" s="25" t="str">
        <f>'2.1. DM'!O197</f>
        <v>OT-031 (2025)</v>
      </c>
      <c r="P197" s="292" t="s">
        <v>495</v>
      </c>
      <c r="Q197" s="295">
        <v>44.857637751796531</v>
      </c>
      <c r="R197" s="341">
        <f t="shared" si="30"/>
        <v>44.711084593598386</v>
      </c>
    </row>
    <row r="198" spans="2:18" x14ac:dyDescent="0.35">
      <c r="B198" s="25">
        <f>'2.1. DM'!B198</f>
        <v>188</v>
      </c>
      <c r="C198" s="25">
        <f>'2.1. DM'!C198</f>
        <v>46055</v>
      </c>
      <c r="D198" s="25" t="str">
        <f>'2.1. DM'!D198</f>
        <v>Genbank</v>
      </c>
      <c r="E198" s="25">
        <f>'2.1. DM'!E198</f>
        <v>29</v>
      </c>
      <c r="F198" s="25" t="str">
        <f>'2.1. DM'!F198</f>
        <v>F252604</v>
      </c>
      <c r="G198" s="25" t="str">
        <f>'2.1. DM'!G198</f>
        <v>CIAT18953</v>
      </c>
      <c r="H198" s="25" t="str">
        <f>'2.1. DM'!H198</f>
        <v>Indigofera</v>
      </c>
      <c r="I198" s="25" t="str">
        <f>'2.1. DM'!I198</f>
        <v>atriceps</v>
      </c>
      <c r="J198" s="25" t="str">
        <f>'2.1. DM'!J198</f>
        <v>Indigofera atriceps</v>
      </c>
      <c r="K198" s="25" t="str">
        <f>'2.1. DM'!K198</f>
        <v>Fabaceae</v>
      </c>
      <c r="L198" s="25" t="str">
        <f>'2.1. DM'!L198</f>
        <v>Fabales</v>
      </c>
      <c r="M198" s="25" t="str">
        <f>'2.1. DM'!M198</f>
        <v>Herbaceous</v>
      </c>
      <c r="N198" s="25" t="str">
        <f>'2.1. DM'!N198</f>
        <v>62,63,70</v>
      </c>
      <c r="O198" s="25" t="str">
        <f>'2.1. DM'!O198</f>
        <v>OT-031 (2025)</v>
      </c>
      <c r="P198" s="293" t="s">
        <v>496</v>
      </c>
      <c r="Q198" s="295">
        <v>44.564531435400234</v>
      </c>
      <c r="R198" s="341"/>
    </row>
    <row r="199" spans="2:18" x14ac:dyDescent="0.35">
      <c r="B199" s="25">
        <f>'2.1. DM'!B199</f>
        <v>189</v>
      </c>
      <c r="C199" s="25">
        <f>'2.1. DM'!C199</f>
        <v>46055</v>
      </c>
      <c r="D199" s="25" t="str">
        <f>'2.1. DM'!D199</f>
        <v>Genbank</v>
      </c>
      <c r="E199" s="25">
        <f>'2.1. DM'!E199</f>
        <v>29</v>
      </c>
      <c r="F199" s="25" t="str">
        <f>'2.1. DM'!F199</f>
        <v>F252605</v>
      </c>
      <c r="G199" s="25" t="str">
        <f>'2.1. DM'!G199</f>
        <v>CIAT18954</v>
      </c>
      <c r="H199" s="25" t="str">
        <f>'2.1. DM'!H199</f>
        <v>Indigofera</v>
      </c>
      <c r="I199" s="25" t="str">
        <f>'2.1. DM'!I199</f>
        <v>atriceps</v>
      </c>
      <c r="J199" s="25" t="str">
        <f>'2.1. DM'!J199</f>
        <v>Indigofera atriceps</v>
      </c>
      <c r="K199" s="25" t="str">
        <f>'2.1. DM'!K199</f>
        <v>Fabaceae</v>
      </c>
      <c r="L199" s="25" t="str">
        <f>'2.1. DM'!L199</f>
        <v>Fabales</v>
      </c>
      <c r="M199" s="25" t="str">
        <f>'2.1. DM'!M199</f>
        <v>Herbaceous</v>
      </c>
      <c r="N199" s="25" t="str">
        <f>'2.1. DM'!N199</f>
        <v>62,63,70</v>
      </c>
      <c r="O199" s="25" t="str">
        <f>'2.1. DM'!O199</f>
        <v>OT-031 (2025)</v>
      </c>
      <c r="P199" s="292" t="s">
        <v>495</v>
      </c>
      <c r="Q199" s="295">
        <v>45.564478802727294</v>
      </c>
      <c r="R199" s="341">
        <f t="shared" si="30"/>
        <v>44.830313903885752</v>
      </c>
    </row>
    <row r="200" spans="2:18" x14ac:dyDescent="0.35">
      <c r="B200" s="25">
        <f>'2.1. DM'!B200</f>
        <v>190</v>
      </c>
      <c r="C200" s="25">
        <f>'2.1. DM'!C200</f>
        <v>46055</v>
      </c>
      <c r="D200" s="25" t="str">
        <f>'2.1. DM'!D200</f>
        <v>Genbank</v>
      </c>
      <c r="E200" s="25">
        <f>'2.1. DM'!E200</f>
        <v>29</v>
      </c>
      <c r="F200" s="25" t="str">
        <f>'2.1. DM'!F200</f>
        <v>F252605</v>
      </c>
      <c r="G200" s="25" t="str">
        <f>'2.1. DM'!G200</f>
        <v>CIAT18954</v>
      </c>
      <c r="H200" s="25" t="str">
        <f>'2.1. DM'!H200</f>
        <v>Indigofera</v>
      </c>
      <c r="I200" s="25" t="str">
        <f>'2.1. DM'!I200</f>
        <v>atriceps</v>
      </c>
      <c r="J200" s="25" t="str">
        <f>'2.1. DM'!J200</f>
        <v>Indigofera atriceps</v>
      </c>
      <c r="K200" s="25" t="str">
        <f>'2.1. DM'!K200</f>
        <v>Fabaceae</v>
      </c>
      <c r="L200" s="25" t="str">
        <f>'2.1. DM'!L200</f>
        <v>Fabales</v>
      </c>
      <c r="M200" s="25" t="str">
        <f>'2.1. DM'!M200</f>
        <v>Herbaceous</v>
      </c>
      <c r="N200" s="25" t="str">
        <f>'2.1. DM'!N200</f>
        <v>62,63,70</v>
      </c>
      <c r="O200" s="25" t="str">
        <f>'2.1. DM'!O200</f>
        <v>OT-031 (2025)</v>
      </c>
      <c r="P200" s="293" t="s">
        <v>496</v>
      </c>
      <c r="Q200" s="295">
        <v>44.096149005044204</v>
      </c>
      <c r="R200" s="341"/>
    </row>
    <row r="201" spans="2:18" x14ac:dyDescent="0.35">
      <c r="B201" s="25">
        <f>'2.1. DM'!B201</f>
        <v>191</v>
      </c>
      <c r="C201" s="25">
        <f>'2.1. DM'!C201</f>
        <v>46055</v>
      </c>
      <c r="D201" s="25" t="str">
        <f>'2.1. DM'!D201</f>
        <v>Genbank</v>
      </c>
      <c r="E201" s="25">
        <f>'2.1. DM'!E201</f>
        <v>29</v>
      </c>
      <c r="F201" s="25" t="str">
        <f>'2.1. DM'!F201</f>
        <v>F252606</v>
      </c>
      <c r="G201" s="25" t="str">
        <f>'2.1. DM'!G201</f>
        <v>CIAT19198</v>
      </c>
      <c r="H201" s="25" t="str">
        <f>'2.1. DM'!H201</f>
        <v>Tephrosia</v>
      </c>
      <c r="I201" s="25" t="str">
        <f>'2.1. DM'!I201</f>
        <v>villosa</v>
      </c>
      <c r="J201" s="25" t="str">
        <f>'2.1. DM'!J201</f>
        <v>Tephrosia villosa</v>
      </c>
      <c r="K201" s="25" t="str">
        <f>'2.1. DM'!K201</f>
        <v>Fabaceae</v>
      </c>
      <c r="L201" s="25" t="str">
        <f>'2.1. DM'!L201</f>
        <v>Fabales</v>
      </c>
      <c r="M201" s="25" t="str">
        <f>'2.1. DM'!M201</f>
        <v>Herbaceous</v>
      </c>
      <c r="N201" s="25" t="str">
        <f>'2.1. DM'!N201</f>
        <v>62,63,70</v>
      </c>
      <c r="O201" s="25" t="str">
        <f>'2.1. DM'!O201</f>
        <v>OT-031 (2025)</v>
      </c>
      <c r="P201" s="292" t="s">
        <v>495</v>
      </c>
      <c r="Q201" s="295">
        <v>33.602407279175218</v>
      </c>
      <c r="R201" s="341">
        <f t="shared" si="30"/>
        <v>33.587159133532339</v>
      </c>
    </row>
    <row r="202" spans="2:18" x14ac:dyDescent="0.35">
      <c r="B202" s="25">
        <f>'2.1. DM'!B202</f>
        <v>192</v>
      </c>
      <c r="C202" s="25">
        <f>'2.1. DM'!C202</f>
        <v>46055</v>
      </c>
      <c r="D202" s="25" t="str">
        <f>'2.1. DM'!D202</f>
        <v>Genbank</v>
      </c>
      <c r="E202" s="25">
        <f>'2.1. DM'!E202</f>
        <v>29</v>
      </c>
      <c r="F202" s="25" t="str">
        <f>'2.1. DM'!F202</f>
        <v>F252606</v>
      </c>
      <c r="G202" s="25" t="str">
        <f>'2.1. DM'!G202</f>
        <v>CIAT19198</v>
      </c>
      <c r="H202" s="25" t="str">
        <f>'2.1. DM'!H202</f>
        <v>Tephrosia</v>
      </c>
      <c r="I202" s="25" t="str">
        <f>'2.1. DM'!I202</f>
        <v>villosa</v>
      </c>
      <c r="J202" s="25" t="str">
        <f>'2.1. DM'!J202</f>
        <v>Tephrosia villosa</v>
      </c>
      <c r="K202" s="25" t="str">
        <f>'2.1. DM'!K202</f>
        <v>Fabaceae</v>
      </c>
      <c r="L202" s="25" t="str">
        <f>'2.1. DM'!L202</f>
        <v>Fabales</v>
      </c>
      <c r="M202" s="25" t="str">
        <f>'2.1. DM'!M202</f>
        <v>Herbaceous</v>
      </c>
      <c r="N202" s="25" t="str">
        <f>'2.1. DM'!N202</f>
        <v>62,63,70</v>
      </c>
      <c r="O202" s="25" t="str">
        <f>'2.1. DM'!O202</f>
        <v>OT-031 (2025)</v>
      </c>
      <c r="P202" s="293" t="s">
        <v>496</v>
      </c>
      <c r="Q202" s="295">
        <v>33.571910987889467</v>
      </c>
      <c r="R202" s="341"/>
    </row>
    <row r="203" spans="2:18" x14ac:dyDescent="0.35">
      <c r="B203" s="25">
        <f>'2.1. DM'!B203</f>
        <v>193</v>
      </c>
      <c r="C203" s="25">
        <f>'2.1. DM'!C203</f>
        <v>46055</v>
      </c>
      <c r="D203" s="25" t="str">
        <f>'2.1. DM'!D203</f>
        <v>Genbank</v>
      </c>
      <c r="E203" s="25">
        <f>'2.1. DM'!E203</f>
        <v>29</v>
      </c>
      <c r="F203" s="25" t="str">
        <f>'2.1. DM'!F203</f>
        <v>F252607</v>
      </c>
      <c r="G203" s="25" t="str">
        <f>'2.1. DM'!G203</f>
        <v>CIAT19460</v>
      </c>
      <c r="H203" s="25" t="str">
        <f>'2.1. DM'!H203</f>
        <v>Sesbania</v>
      </c>
      <c r="I203" s="25" t="str">
        <f>'2.1. DM'!I203</f>
        <v>cannabina</v>
      </c>
      <c r="J203" s="25" t="str">
        <f>'2.1. DM'!J203</f>
        <v>Sesbania cannabina</v>
      </c>
      <c r="K203" s="25" t="str">
        <f>'2.1. DM'!K203</f>
        <v>Fabaceae</v>
      </c>
      <c r="L203" s="25" t="str">
        <f>'2.1. DM'!L203</f>
        <v>Fabales</v>
      </c>
      <c r="M203" s="25" t="str">
        <f>'2.1. DM'!M203</f>
        <v>Shurb_Tree</v>
      </c>
      <c r="N203" s="25" t="str">
        <f>'2.1. DM'!N203</f>
        <v>62,63,70</v>
      </c>
      <c r="O203" s="25" t="str">
        <f>'2.1. DM'!O203</f>
        <v>OT-031 (2025)</v>
      </c>
      <c r="P203" s="292" t="s">
        <v>495</v>
      </c>
      <c r="Q203" s="295">
        <v>33.901700784130725</v>
      </c>
      <c r="R203" s="341">
        <f t="shared" si="30"/>
        <v>33.70085178218784</v>
      </c>
    </row>
    <row r="204" spans="2:18" x14ac:dyDescent="0.35">
      <c r="B204" s="25">
        <f>'2.1. DM'!B204</f>
        <v>194</v>
      </c>
      <c r="C204" s="25">
        <f>'2.1. DM'!C204</f>
        <v>46055</v>
      </c>
      <c r="D204" s="25" t="str">
        <f>'2.1. DM'!D204</f>
        <v>Genbank</v>
      </c>
      <c r="E204" s="25">
        <f>'2.1. DM'!E204</f>
        <v>29</v>
      </c>
      <c r="F204" s="25" t="str">
        <f>'2.1. DM'!F204</f>
        <v>F252607</v>
      </c>
      <c r="G204" s="25" t="str">
        <f>'2.1. DM'!G204</f>
        <v>CIAT19460</v>
      </c>
      <c r="H204" s="25" t="str">
        <f>'2.1. DM'!H204</f>
        <v>Sesbania</v>
      </c>
      <c r="I204" s="25" t="str">
        <f>'2.1. DM'!I204</f>
        <v>cannabina</v>
      </c>
      <c r="J204" s="25" t="str">
        <f>'2.1. DM'!J204</f>
        <v>Sesbania cannabina</v>
      </c>
      <c r="K204" s="25" t="str">
        <f>'2.1. DM'!K204</f>
        <v>Fabaceae</v>
      </c>
      <c r="L204" s="25" t="str">
        <f>'2.1. DM'!L204</f>
        <v>Fabales</v>
      </c>
      <c r="M204" s="25" t="str">
        <f>'2.1. DM'!M204</f>
        <v>Shurb_Tree</v>
      </c>
      <c r="N204" s="25" t="str">
        <f>'2.1. DM'!N204</f>
        <v>62,63,70</v>
      </c>
      <c r="O204" s="25" t="str">
        <f>'2.1. DM'!O204</f>
        <v>OT-031 (2025)</v>
      </c>
      <c r="P204" s="293" t="s">
        <v>496</v>
      </c>
      <c r="Q204" s="295">
        <v>33.500002780244955</v>
      </c>
      <c r="R204" s="341"/>
    </row>
    <row r="205" spans="2:18" x14ac:dyDescent="0.35">
      <c r="B205" s="25">
        <f>'2.1. DM'!B205</f>
        <v>195</v>
      </c>
      <c r="C205" s="25">
        <f>'2.1. DM'!C205</f>
        <v>46055</v>
      </c>
      <c r="D205" s="25" t="str">
        <f>'2.1. DM'!D205</f>
        <v>Genbank</v>
      </c>
      <c r="E205" s="25">
        <f>'2.1. DM'!E205</f>
        <v>29</v>
      </c>
      <c r="F205" s="25" t="str">
        <f>'2.1. DM'!F205</f>
        <v>F252608</v>
      </c>
      <c r="G205" s="25" t="str">
        <f>'2.1. DM'!G205</f>
        <v>CIAT20044</v>
      </c>
      <c r="H205" s="25" t="str">
        <f>'2.1. DM'!H205</f>
        <v>Tephrosia</v>
      </c>
      <c r="I205" s="25" t="str">
        <f>'2.1. DM'!I205</f>
        <v>purpurea</v>
      </c>
      <c r="J205" s="25" t="str">
        <f>'2.1. DM'!J205</f>
        <v>Tephrosia purpurea</v>
      </c>
      <c r="K205" s="25" t="str">
        <f>'2.1. DM'!K205</f>
        <v>Fabaceae</v>
      </c>
      <c r="L205" s="25" t="str">
        <f>'2.1. DM'!L205</f>
        <v>Fabales</v>
      </c>
      <c r="M205" s="25" t="str">
        <f>'2.1. DM'!M205</f>
        <v>Herbaceous</v>
      </c>
      <c r="N205" s="25" t="str">
        <f>'2.1. DM'!N205</f>
        <v>62,63,70</v>
      </c>
      <c r="O205" s="25" t="str">
        <f>'2.1. DM'!O205</f>
        <v>OT-031 (2025)</v>
      </c>
      <c r="P205" s="292" t="s">
        <v>495</v>
      </c>
      <c r="Q205" s="295">
        <v>25.267587312017319</v>
      </c>
      <c r="R205" s="341">
        <f t="shared" si="30"/>
        <v>24.721835442152837</v>
      </c>
    </row>
    <row r="206" spans="2:18" x14ac:dyDescent="0.35">
      <c r="B206" s="25">
        <f>'2.1. DM'!B206</f>
        <v>196</v>
      </c>
      <c r="C206" s="25">
        <f>'2.1. DM'!C206</f>
        <v>46055</v>
      </c>
      <c r="D206" s="25" t="str">
        <f>'2.1. DM'!D206</f>
        <v>Genbank</v>
      </c>
      <c r="E206" s="25">
        <f>'2.1. DM'!E206</f>
        <v>29</v>
      </c>
      <c r="F206" s="25" t="str">
        <f>'2.1. DM'!F206</f>
        <v>F252608</v>
      </c>
      <c r="G206" s="25" t="str">
        <f>'2.1. DM'!G206</f>
        <v>CIAT20044</v>
      </c>
      <c r="H206" s="25" t="str">
        <f>'2.1. DM'!H206</f>
        <v>Tephrosia</v>
      </c>
      <c r="I206" s="25" t="str">
        <f>'2.1. DM'!I206</f>
        <v>purpurea</v>
      </c>
      <c r="J206" s="25" t="str">
        <f>'2.1. DM'!J206</f>
        <v>Tephrosia purpurea</v>
      </c>
      <c r="K206" s="25" t="str">
        <f>'2.1. DM'!K206</f>
        <v>Fabaceae</v>
      </c>
      <c r="L206" s="25" t="str">
        <f>'2.1. DM'!L206</f>
        <v>Fabales</v>
      </c>
      <c r="M206" s="25" t="str">
        <f>'2.1. DM'!M206</f>
        <v>Herbaceous</v>
      </c>
      <c r="N206" s="25" t="str">
        <f>'2.1. DM'!N206</f>
        <v>62,63,70</v>
      </c>
      <c r="O206" s="25" t="str">
        <f>'2.1. DM'!O206</f>
        <v>OT-031 (2025)</v>
      </c>
      <c r="P206" s="293" t="s">
        <v>496</v>
      </c>
      <c r="Q206" s="295">
        <v>24.176083572288356</v>
      </c>
      <c r="R206" s="341"/>
    </row>
    <row r="207" spans="2:18" x14ac:dyDescent="0.35">
      <c r="B207" s="25">
        <f>'2.1. DM'!B207</f>
        <v>197</v>
      </c>
      <c r="C207" s="25">
        <f>'2.1. DM'!C207</f>
        <v>46055</v>
      </c>
      <c r="D207" s="25" t="str">
        <f>'2.1. DM'!D207</f>
        <v>Genbank</v>
      </c>
      <c r="E207" s="25">
        <f>'2.1. DM'!E207</f>
        <v>29</v>
      </c>
      <c r="F207" s="25" t="str">
        <f>'2.1. DM'!F207</f>
        <v>F252609</v>
      </c>
      <c r="G207" s="25" t="str">
        <f>'2.1. DM'!G207</f>
        <v>CIAT22423</v>
      </c>
      <c r="H207" s="25" t="str">
        <f>'2.1. DM'!H207</f>
        <v>Vigna</v>
      </c>
      <c r="I207" s="25" t="str">
        <f>'2.1. DM'!I207</f>
        <v>unguiculata</v>
      </c>
      <c r="J207" s="25" t="str">
        <f>'2.1. DM'!J207</f>
        <v>Vigna unguiculata</v>
      </c>
      <c r="K207" s="25" t="str">
        <f>'2.1. DM'!K207</f>
        <v>Fabaceae</v>
      </c>
      <c r="L207" s="25" t="str">
        <f>'2.1. DM'!L207</f>
        <v>Fabales</v>
      </c>
      <c r="M207" s="25" t="str">
        <f>'2.1. DM'!M207</f>
        <v>Herbaceous</v>
      </c>
      <c r="N207" s="25" t="str">
        <f>'2.1. DM'!N207</f>
        <v>62,63,70</v>
      </c>
      <c r="O207" s="25" t="str">
        <f>'2.1. DM'!O207</f>
        <v>OT-031 (2025)</v>
      </c>
      <c r="P207" s="292" t="s">
        <v>495</v>
      </c>
      <c r="Q207" s="295">
        <v>27.765210989906425</v>
      </c>
      <c r="R207" s="341">
        <f t="shared" si="30"/>
        <v>27.282639876858141</v>
      </c>
    </row>
    <row r="208" spans="2:18" x14ac:dyDescent="0.35">
      <c r="B208" s="25">
        <f>'2.1. DM'!B208</f>
        <v>198</v>
      </c>
      <c r="C208" s="25">
        <f>'2.1. DM'!C208</f>
        <v>46055</v>
      </c>
      <c r="D208" s="25" t="str">
        <f>'2.1. DM'!D208</f>
        <v>Genbank</v>
      </c>
      <c r="E208" s="25">
        <f>'2.1. DM'!E208</f>
        <v>29</v>
      </c>
      <c r="F208" s="25" t="str">
        <f>'2.1. DM'!F208</f>
        <v>F252609</v>
      </c>
      <c r="G208" s="25" t="str">
        <f>'2.1. DM'!G208</f>
        <v>CIAT22423</v>
      </c>
      <c r="H208" s="25" t="str">
        <f>'2.1. DM'!H208</f>
        <v>Vigna</v>
      </c>
      <c r="I208" s="25" t="str">
        <f>'2.1. DM'!I208</f>
        <v>unguiculata</v>
      </c>
      <c r="J208" s="25" t="str">
        <f>'2.1. DM'!J208</f>
        <v>Vigna unguiculata</v>
      </c>
      <c r="K208" s="25" t="str">
        <f>'2.1. DM'!K208</f>
        <v>Fabaceae</v>
      </c>
      <c r="L208" s="25" t="str">
        <f>'2.1. DM'!L208</f>
        <v>Fabales</v>
      </c>
      <c r="M208" s="25" t="str">
        <f>'2.1. DM'!M208</f>
        <v>Herbaceous</v>
      </c>
      <c r="N208" s="25" t="str">
        <f>'2.1. DM'!N208</f>
        <v>62,63,70</v>
      </c>
      <c r="O208" s="25" t="str">
        <f>'2.1. DM'!O208</f>
        <v>OT-031 (2025)</v>
      </c>
      <c r="P208" s="293" t="s">
        <v>496</v>
      </c>
      <c r="Q208" s="295">
        <v>26.800068763809854</v>
      </c>
      <c r="R208" s="341"/>
    </row>
    <row r="209" spans="2:19" x14ac:dyDescent="0.35">
      <c r="B209" s="25">
        <f>'2.1. DM'!B209</f>
        <v>199</v>
      </c>
      <c r="C209" s="25">
        <f>'2.1. DM'!C209</f>
        <v>46055</v>
      </c>
      <c r="D209" s="25" t="str">
        <f>'2.1. DM'!D209</f>
        <v>Genbank</v>
      </c>
      <c r="E209" s="25">
        <f>'2.1. DM'!E209</f>
        <v>29</v>
      </c>
      <c r="F209" s="25" t="str">
        <f>'2.1. DM'!F209</f>
        <v>F252610</v>
      </c>
      <c r="G209" s="25" t="str">
        <f>'2.1. DM'!G209</f>
        <v>CIAT22480</v>
      </c>
      <c r="H209" s="25" t="str">
        <f>'2.1. DM'!H209</f>
        <v>Sesbania</v>
      </c>
      <c r="I209" s="25" t="str">
        <f>'2.1. DM'!I209</f>
        <v>cannabina</v>
      </c>
      <c r="J209" s="25" t="str">
        <f>'2.1. DM'!J209</f>
        <v>Sesbania cannabina</v>
      </c>
      <c r="K209" s="25" t="str">
        <f>'2.1. DM'!K209</f>
        <v>Fabaceae</v>
      </c>
      <c r="L209" s="25" t="str">
        <f>'2.1. DM'!L209</f>
        <v>Fabales</v>
      </c>
      <c r="M209" s="25" t="str">
        <f>'2.1. DM'!M209</f>
        <v>Shurb_Tree</v>
      </c>
      <c r="N209" s="25" t="str">
        <f>'2.1. DM'!N209</f>
        <v>62,63,70</v>
      </c>
      <c r="O209" s="25" t="str">
        <f>'2.1. DM'!O209</f>
        <v>OT-031 (2025)</v>
      </c>
      <c r="P209" s="292" t="s">
        <v>495</v>
      </c>
      <c r="Q209" s="295">
        <v>27.253123076779872</v>
      </c>
      <c r="R209" s="341">
        <f t="shared" si="30"/>
        <v>27.500504990428773</v>
      </c>
    </row>
    <row r="210" spans="2:19" x14ac:dyDescent="0.35">
      <c r="B210" s="25">
        <f>'2.1. DM'!B210</f>
        <v>200</v>
      </c>
      <c r="C210" s="25">
        <f>'2.1. DM'!C210</f>
        <v>46055</v>
      </c>
      <c r="D210" s="25" t="str">
        <f>'2.1. DM'!D210</f>
        <v>Genbank</v>
      </c>
      <c r="E210" s="25">
        <f>'2.1. DM'!E210</f>
        <v>29</v>
      </c>
      <c r="F210" s="25" t="str">
        <f>'2.1. DM'!F210</f>
        <v>F252610</v>
      </c>
      <c r="G210" s="25" t="str">
        <f>'2.1. DM'!G210</f>
        <v>CIAT22480</v>
      </c>
      <c r="H210" s="25" t="str">
        <f>'2.1. DM'!H210</f>
        <v>Sesbania</v>
      </c>
      <c r="I210" s="25" t="str">
        <f>'2.1. DM'!I210</f>
        <v>cannabina</v>
      </c>
      <c r="J210" s="25" t="str">
        <f>'2.1. DM'!J210</f>
        <v>Sesbania cannabina</v>
      </c>
      <c r="K210" s="25" t="str">
        <f>'2.1. DM'!K210</f>
        <v>Fabaceae</v>
      </c>
      <c r="L210" s="25" t="str">
        <f>'2.1. DM'!L210</f>
        <v>Fabales</v>
      </c>
      <c r="M210" s="25" t="str">
        <f>'2.1. DM'!M210</f>
        <v>Shurb_Tree</v>
      </c>
      <c r="N210" s="25" t="str">
        <f>'2.1. DM'!N210</f>
        <v>62,63,70</v>
      </c>
      <c r="O210" s="25" t="str">
        <f>'2.1. DM'!O210</f>
        <v>OT-031 (2025)</v>
      </c>
      <c r="P210" s="293" t="s">
        <v>496</v>
      </c>
      <c r="Q210" s="295">
        <v>27.747886904077674</v>
      </c>
      <c r="R210" s="341"/>
    </row>
    <row r="211" spans="2:19" x14ac:dyDescent="0.35">
      <c r="B211" s="25">
        <f>'2.1. DM'!B211</f>
        <v>201</v>
      </c>
      <c r="C211" s="25">
        <f>'2.1. DM'!C211</f>
        <v>46055</v>
      </c>
      <c r="D211" s="25" t="str">
        <f>'2.1. DM'!D211</f>
        <v>Genbank</v>
      </c>
      <c r="E211" s="25">
        <f>'2.1. DM'!E211</f>
        <v>29</v>
      </c>
      <c r="F211" s="25" t="str">
        <f>'2.1. DM'!F211</f>
        <v>F252611</v>
      </c>
      <c r="G211" s="25" t="str">
        <f>'2.1. DM'!G211</f>
        <v>CIAT23116</v>
      </c>
      <c r="H211" s="25" t="str">
        <f>'2.1. DM'!H211</f>
        <v>Desmodium</v>
      </c>
      <c r="I211" s="25" t="str">
        <f>'2.1. DM'!I211</f>
        <v>tortuosum</v>
      </c>
      <c r="J211" s="25" t="str">
        <f>'2.1. DM'!J211</f>
        <v>Desmodium tortuosum</v>
      </c>
      <c r="K211" s="25" t="str">
        <f>'2.1. DM'!K211</f>
        <v>Fabaceae</v>
      </c>
      <c r="L211" s="25" t="str">
        <f>'2.1. DM'!L211</f>
        <v>Fabales</v>
      </c>
      <c r="M211" s="25" t="str">
        <f>'2.1. DM'!M211</f>
        <v>Shurb_Tree</v>
      </c>
      <c r="N211" s="25" t="str">
        <f>'2.1. DM'!N211</f>
        <v>62,63,70</v>
      </c>
      <c r="O211" s="25" t="str">
        <f>'2.1. DM'!O211</f>
        <v>OT-031 (2025)</v>
      </c>
      <c r="P211" s="292" t="s">
        <v>495</v>
      </c>
      <c r="Q211" s="295">
        <v>36.936409572680162</v>
      </c>
      <c r="R211" s="341">
        <f t="shared" si="30"/>
        <v>36.916497530544866</v>
      </c>
    </row>
    <row r="212" spans="2:19" x14ac:dyDescent="0.35">
      <c r="B212" s="25">
        <f>'2.1. DM'!B212</f>
        <v>202</v>
      </c>
      <c r="C212" s="25">
        <f>'2.1. DM'!C212</f>
        <v>46055</v>
      </c>
      <c r="D212" s="25" t="str">
        <f>'2.1. DM'!D212</f>
        <v>Genbank</v>
      </c>
      <c r="E212" s="25">
        <f>'2.1. DM'!E212</f>
        <v>29</v>
      </c>
      <c r="F212" s="25" t="str">
        <f>'2.1. DM'!F212</f>
        <v>F252611</v>
      </c>
      <c r="G212" s="25" t="str">
        <f>'2.1. DM'!G212</f>
        <v>CIAT23116</v>
      </c>
      <c r="H212" s="25" t="str">
        <f>'2.1. DM'!H212</f>
        <v>Desmodium</v>
      </c>
      <c r="I212" s="25" t="str">
        <f>'2.1. DM'!I212</f>
        <v>tortuosum</v>
      </c>
      <c r="J212" s="25" t="str">
        <f>'2.1. DM'!J212</f>
        <v>Desmodium tortuosum</v>
      </c>
      <c r="K212" s="25" t="str">
        <f>'2.1. DM'!K212</f>
        <v>Fabaceae</v>
      </c>
      <c r="L212" s="25" t="str">
        <f>'2.1. DM'!L212</f>
        <v>Fabales</v>
      </c>
      <c r="M212" s="25" t="str">
        <f>'2.1. DM'!M212</f>
        <v>Shurb_Tree</v>
      </c>
      <c r="N212" s="25" t="str">
        <f>'2.1. DM'!N212</f>
        <v>62,63,70</v>
      </c>
      <c r="O212" s="25" t="str">
        <f>'2.1. DM'!O212</f>
        <v>OT-031 (2025)</v>
      </c>
      <c r="P212" s="293" t="s">
        <v>496</v>
      </c>
      <c r="Q212" s="295">
        <v>36.896585488409571</v>
      </c>
      <c r="R212" s="341"/>
    </row>
    <row r="213" spans="2:19" x14ac:dyDescent="0.35">
      <c r="B213" s="25">
        <f>'2.1. DM'!B213</f>
        <v>203</v>
      </c>
      <c r="C213" s="25">
        <f>'2.1. DM'!C213</f>
        <v>46055</v>
      </c>
      <c r="D213" s="25" t="str">
        <f>'2.1. DM'!D213</f>
        <v>Genbank</v>
      </c>
      <c r="E213" s="25">
        <f>'2.1. DM'!E213</f>
        <v>29</v>
      </c>
      <c r="F213" s="25" t="str">
        <f>'2.1. DM'!F213</f>
        <v>F252612</v>
      </c>
      <c r="G213" s="25" t="str">
        <f>'2.1. DM'!G213</f>
        <v>CIAT23416</v>
      </c>
      <c r="H213" s="25" t="str">
        <f>'2.1. DM'!H213</f>
        <v>Codariocalyx</v>
      </c>
      <c r="I213" s="25" t="str">
        <f>'2.1. DM'!I213</f>
        <v>motorius</v>
      </c>
      <c r="J213" s="25" t="str">
        <f>'2.1. DM'!J213</f>
        <v>Codariocalyx motorius</v>
      </c>
      <c r="K213" s="25" t="str">
        <f>'2.1. DM'!K213</f>
        <v>Fabaceae</v>
      </c>
      <c r="L213" s="25" t="str">
        <f>'2.1. DM'!L213</f>
        <v>Fabales</v>
      </c>
      <c r="M213" s="25" t="str">
        <f>'2.1. DM'!M213</f>
        <v>Shurb_Tree</v>
      </c>
      <c r="N213" s="25" t="str">
        <f>'2.1. DM'!N213</f>
        <v>62,63,70</v>
      </c>
      <c r="O213" s="25" t="str">
        <f>'2.1. DM'!O213</f>
        <v>OT-031 (2025)</v>
      </c>
      <c r="P213" s="292" t="s">
        <v>495</v>
      </c>
      <c r="Q213" s="295">
        <v>40.906148058339589</v>
      </c>
      <c r="R213" s="341">
        <f t="shared" si="30"/>
        <v>41.119709100706025</v>
      </c>
    </row>
    <row r="214" spans="2:19" x14ac:dyDescent="0.35">
      <c r="B214" s="25">
        <f>'2.1. DM'!B214</f>
        <v>204</v>
      </c>
      <c r="C214" s="25">
        <f>'2.1. DM'!C214</f>
        <v>46055</v>
      </c>
      <c r="D214" s="25" t="str">
        <f>'2.1. DM'!D214</f>
        <v>Genbank</v>
      </c>
      <c r="E214" s="25">
        <f>'2.1. DM'!E214</f>
        <v>29</v>
      </c>
      <c r="F214" s="25" t="str">
        <f>'2.1. DM'!F214</f>
        <v>F252612</v>
      </c>
      <c r="G214" s="25" t="str">
        <f>'2.1. DM'!G214</f>
        <v>CIAT23416</v>
      </c>
      <c r="H214" s="25" t="str">
        <f>'2.1. DM'!H214</f>
        <v>Codariocalyx</v>
      </c>
      <c r="I214" s="25" t="str">
        <f>'2.1. DM'!I214</f>
        <v>motorius</v>
      </c>
      <c r="J214" s="25" t="str">
        <f>'2.1. DM'!J214</f>
        <v>Codariocalyx motorius</v>
      </c>
      <c r="K214" s="25" t="str">
        <f>'2.1. DM'!K214</f>
        <v>Fabaceae</v>
      </c>
      <c r="L214" s="25" t="str">
        <f>'2.1. DM'!L214</f>
        <v>Fabales</v>
      </c>
      <c r="M214" s="25" t="str">
        <f>'2.1. DM'!M214</f>
        <v>Shurb_Tree</v>
      </c>
      <c r="N214" s="25" t="str">
        <f>'2.1. DM'!N214</f>
        <v>62,63,70</v>
      </c>
      <c r="O214" s="25" t="str">
        <f>'2.1. DM'!O214</f>
        <v>OT-031 (2025)</v>
      </c>
      <c r="P214" s="293" t="s">
        <v>496</v>
      </c>
      <c r="Q214" s="295">
        <v>41.333270143072461</v>
      </c>
      <c r="R214" s="341"/>
    </row>
    <row r="215" spans="2:19" x14ac:dyDescent="0.35">
      <c r="B215" s="25">
        <f>'2.1. DM'!B215</f>
        <v>205</v>
      </c>
      <c r="C215" s="25">
        <f>'2.1. DM'!C215</f>
        <v>46055</v>
      </c>
      <c r="D215" s="25" t="str">
        <f>'2.1. DM'!D215</f>
        <v>Genbank</v>
      </c>
      <c r="E215" s="25">
        <f>'2.1. DM'!E215</f>
        <v>29</v>
      </c>
      <c r="F215" s="25" t="str">
        <f>'2.1. DM'!F215</f>
        <v>F252613</v>
      </c>
      <c r="G215" s="25" t="str">
        <f>'2.1. DM'!G215</f>
        <v>CIAT23806</v>
      </c>
      <c r="H215" s="25" t="str">
        <f>'2.1. DM'!H215</f>
        <v>Desmodium</v>
      </c>
      <c r="I215" s="25" t="str">
        <f>'2.1. DM'!I215</f>
        <v>angustifolium</v>
      </c>
      <c r="J215" s="25" t="str">
        <f>'2.1. DM'!J215</f>
        <v>Desmodium angustifolium</v>
      </c>
      <c r="K215" s="25" t="str">
        <f>'2.1. DM'!K215</f>
        <v>Fabaceae</v>
      </c>
      <c r="L215" s="25" t="str">
        <f>'2.1. DM'!L215</f>
        <v>Fabales</v>
      </c>
      <c r="M215" s="25" t="str">
        <f>'2.1. DM'!M215</f>
        <v>Herbaceous</v>
      </c>
      <c r="N215" s="25" t="str">
        <f>'2.1. DM'!N215</f>
        <v>62,63,70</v>
      </c>
      <c r="O215" s="25" t="str">
        <f>'2.1. DM'!O215</f>
        <v>OT-031 (2025)</v>
      </c>
      <c r="P215" s="292" t="s">
        <v>495</v>
      </c>
      <c r="Q215" s="295">
        <v>35.466057633050482</v>
      </c>
      <c r="R215" s="341">
        <f t="shared" si="30"/>
        <v>36.094641414755685</v>
      </c>
    </row>
    <row r="216" spans="2:19" x14ac:dyDescent="0.35">
      <c r="B216" s="25">
        <f>'2.1. DM'!B216</f>
        <v>206</v>
      </c>
      <c r="C216" s="25">
        <f>'2.1. DM'!C216</f>
        <v>46055</v>
      </c>
      <c r="D216" s="25" t="str">
        <f>'2.1. DM'!D216</f>
        <v>Genbank</v>
      </c>
      <c r="E216" s="25">
        <f>'2.1. DM'!E216</f>
        <v>29</v>
      </c>
      <c r="F216" s="25" t="str">
        <f>'2.1. DM'!F216</f>
        <v>F252613</v>
      </c>
      <c r="G216" s="25" t="str">
        <f>'2.1. DM'!G216</f>
        <v>CIAT23806</v>
      </c>
      <c r="H216" s="25" t="str">
        <f>'2.1. DM'!H216</f>
        <v>Desmodium</v>
      </c>
      <c r="I216" s="25" t="str">
        <f>'2.1. DM'!I216</f>
        <v>angustifolium</v>
      </c>
      <c r="J216" s="25" t="str">
        <f>'2.1. DM'!J216</f>
        <v>Desmodium angustifolium</v>
      </c>
      <c r="K216" s="25" t="str">
        <f>'2.1. DM'!K216</f>
        <v>Fabaceae</v>
      </c>
      <c r="L216" s="25" t="str">
        <f>'2.1. DM'!L216</f>
        <v>Fabales</v>
      </c>
      <c r="M216" s="25" t="str">
        <f>'2.1. DM'!M216</f>
        <v>Herbaceous</v>
      </c>
      <c r="N216" s="25" t="str">
        <f>'2.1. DM'!N216</f>
        <v>62,63,70</v>
      </c>
      <c r="O216" s="25" t="str">
        <f>'2.1. DM'!O216</f>
        <v>OT-031 (2025)</v>
      </c>
      <c r="P216" s="293" t="s">
        <v>496</v>
      </c>
      <c r="Q216" s="295">
        <v>36.723225196460881</v>
      </c>
      <c r="R216" s="341"/>
    </row>
    <row r="217" spans="2:19" x14ac:dyDescent="0.35">
      <c r="B217" s="25">
        <f>'2.1. DM'!B217</f>
        <v>207</v>
      </c>
      <c r="C217" s="25">
        <f>'2.1. DM'!C217</f>
        <v>46055</v>
      </c>
      <c r="D217" s="25" t="str">
        <f>'2.1. DM'!D217</f>
        <v>Genbank</v>
      </c>
      <c r="E217" s="25">
        <f>'2.1. DM'!E217</f>
        <v>29</v>
      </c>
      <c r="F217" s="25" t="str">
        <f>'2.1. DM'!F217</f>
        <v>F252614</v>
      </c>
      <c r="G217" s="25" t="str">
        <f>'2.1. DM'!G217</f>
        <v>CIAT24104</v>
      </c>
      <c r="H217" s="25" t="str">
        <f>'2.1. DM'!H217</f>
        <v>Macroptilium</v>
      </c>
      <c r="I217" s="25" t="str">
        <f>'2.1. DM'!I217</f>
        <v>atropurpureum</v>
      </c>
      <c r="J217" s="25" t="str">
        <f>'2.1. DM'!J217</f>
        <v>Macroptilium atropurpureum</v>
      </c>
      <c r="K217" s="25" t="str">
        <f>'2.1. DM'!K217</f>
        <v>Fabaceae</v>
      </c>
      <c r="L217" s="25" t="str">
        <f>'2.1. DM'!L217</f>
        <v>Fabales</v>
      </c>
      <c r="M217" s="25" t="str">
        <f>'2.1. DM'!M217</f>
        <v>Herbaceous</v>
      </c>
      <c r="N217" s="25" t="str">
        <f>'2.1. DM'!N217</f>
        <v>62,63,70</v>
      </c>
      <c r="O217" s="25" t="str">
        <f>'2.1. DM'!O217</f>
        <v>OT-031 (2025)</v>
      </c>
      <c r="P217" s="292" t="s">
        <v>495</v>
      </c>
      <c r="Q217" s="295">
        <v>26.4382087553643</v>
      </c>
      <c r="R217" s="341">
        <f t="shared" si="30"/>
        <v>25.987197145073893</v>
      </c>
    </row>
    <row r="218" spans="2:19" x14ac:dyDescent="0.35">
      <c r="B218" s="25">
        <f>'2.1. DM'!B218</f>
        <v>208</v>
      </c>
      <c r="C218" s="25">
        <f>'2.1. DM'!C218</f>
        <v>46055</v>
      </c>
      <c r="D218" s="25" t="str">
        <f>'2.1. DM'!D218</f>
        <v>Genbank</v>
      </c>
      <c r="E218" s="25">
        <f>'2.1. DM'!E218</f>
        <v>29</v>
      </c>
      <c r="F218" s="25" t="str">
        <f>'2.1. DM'!F218</f>
        <v>F252614</v>
      </c>
      <c r="G218" s="25" t="str">
        <f>'2.1. DM'!G218</f>
        <v>CIAT24104</v>
      </c>
      <c r="H218" s="25" t="str">
        <f>'2.1. DM'!H218</f>
        <v>Macroptilium</v>
      </c>
      <c r="I218" s="25" t="str">
        <f>'2.1. DM'!I218</f>
        <v>atropurpureum</v>
      </c>
      <c r="J218" s="25" t="str">
        <f>'2.1. DM'!J218</f>
        <v>Macroptilium atropurpureum</v>
      </c>
      <c r="K218" s="25" t="str">
        <f>'2.1. DM'!K218</f>
        <v>Fabaceae</v>
      </c>
      <c r="L218" s="25" t="str">
        <f>'2.1. DM'!L218</f>
        <v>Fabales</v>
      </c>
      <c r="M218" s="25" t="str">
        <f>'2.1. DM'!M218</f>
        <v>Herbaceous</v>
      </c>
      <c r="N218" s="25" t="str">
        <f>'2.1. DM'!N218</f>
        <v>62,63,70</v>
      </c>
      <c r="O218" s="25" t="str">
        <f>'2.1. DM'!O218</f>
        <v>OT-031 (2025)</v>
      </c>
      <c r="P218" s="293" t="s">
        <v>496</v>
      </c>
      <c r="Q218" s="295">
        <v>25.536185534783485</v>
      </c>
      <c r="R218" s="341"/>
    </row>
    <row r="219" spans="2:19" x14ac:dyDescent="0.35">
      <c r="B219" s="25">
        <f>'2.1. DM'!B219</f>
        <v>209</v>
      </c>
      <c r="C219" s="25">
        <f>'2.1. DM'!C219</f>
        <v>46055</v>
      </c>
      <c r="D219" s="25" t="str">
        <f>'2.1. DM'!D219</f>
        <v>Genbank</v>
      </c>
      <c r="E219" s="25">
        <f>'2.1. DM'!E219</f>
        <v>29</v>
      </c>
      <c r="F219" s="25" t="str">
        <f>'2.1. DM'!F219</f>
        <v>F252615</v>
      </c>
      <c r="G219" s="25" t="str">
        <f>'2.1. DM'!G219</f>
        <v>CIAT24565</v>
      </c>
      <c r="H219" s="25" t="str">
        <f>'2.1. DM'!H219</f>
        <v>Vigna</v>
      </c>
      <c r="I219" s="25" t="str">
        <f>'2.1. DM'!I219</f>
        <v>unguiculata</v>
      </c>
      <c r="J219" s="25" t="str">
        <f>'2.1. DM'!J219</f>
        <v>Vigna unguiculata</v>
      </c>
      <c r="K219" s="25" t="str">
        <f>'2.1. DM'!K219</f>
        <v>Fabaceae</v>
      </c>
      <c r="L219" s="25" t="str">
        <f>'2.1. DM'!L219</f>
        <v>Fabales</v>
      </c>
      <c r="M219" s="25" t="str">
        <f>'2.1. DM'!M219</f>
        <v>Herbaceous</v>
      </c>
      <c r="N219" s="25" t="str">
        <f>'2.1. DM'!N219</f>
        <v>62,63,70</v>
      </c>
      <c r="O219" s="25" t="str">
        <f>'2.1. DM'!O219</f>
        <v>OT-031 (2025)</v>
      </c>
      <c r="P219" s="292" t="s">
        <v>495</v>
      </c>
      <c r="Q219" s="295">
        <v>30.787796068110524</v>
      </c>
      <c r="R219" s="341">
        <f t="shared" si="30"/>
        <v>30.999400801541146</v>
      </c>
    </row>
    <row r="220" spans="2:19" x14ac:dyDescent="0.35">
      <c r="B220" s="25">
        <f>'2.1. DM'!B220</f>
        <v>210</v>
      </c>
      <c r="C220" s="25">
        <f>'2.1. DM'!C220</f>
        <v>46055</v>
      </c>
      <c r="D220" s="25" t="str">
        <f>'2.1. DM'!D220</f>
        <v>Genbank</v>
      </c>
      <c r="E220" s="25">
        <f>'2.1. DM'!E220</f>
        <v>29</v>
      </c>
      <c r="F220" s="25" t="str">
        <f>'2.1. DM'!F220</f>
        <v>F252615</v>
      </c>
      <c r="G220" s="25" t="str">
        <f>'2.1. DM'!G220</f>
        <v>CIAT24565</v>
      </c>
      <c r="H220" s="25" t="str">
        <f>'2.1. DM'!H220</f>
        <v>Vigna</v>
      </c>
      <c r="I220" s="25" t="str">
        <f>'2.1. DM'!I220</f>
        <v>unguiculata</v>
      </c>
      <c r="J220" s="25" t="str">
        <f>'2.1. DM'!J220</f>
        <v>Vigna unguiculata</v>
      </c>
      <c r="K220" s="25" t="str">
        <f>'2.1. DM'!K220</f>
        <v>Fabaceae</v>
      </c>
      <c r="L220" s="25" t="str">
        <f>'2.1. DM'!L220</f>
        <v>Fabales</v>
      </c>
      <c r="M220" s="25" t="str">
        <f>'2.1. DM'!M220</f>
        <v>Herbaceous</v>
      </c>
      <c r="N220" s="25" t="str">
        <f>'2.1. DM'!N220</f>
        <v>62,63,70</v>
      </c>
      <c r="O220" s="25" t="str">
        <f>'2.1. DM'!O220</f>
        <v>OT-031 (2025)</v>
      </c>
      <c r="P220" s="293" t="s">
        <v>496</v>
      </c>
      <c r="Q220" s="295">
        <v>31.211005534971768</v>
      </c>
      <c r="R220" s="341"/>
    </row>
    <row r="221" spans="2:19" x14ac:dyDescent="0.35">
      <c r="B221" s="25">
        <f>'2.1. DM'!B221</f>
        <v>211</v>
      </c>
      <c r="C221" s="25">
        <f>'2.1. DM'!C221</f>
        <v>46055</v>
      </c>
      <c r="D221" s="25" t="str">
        <f>'2.1. DM'!D221</f>
        <v>Genbank</v>
      </c>
      <c r="E221" s="25">
        <f>'2.1. DM'!E221</f>
        <v>29</v>
      </c>
      <c r="F221" s="25" t="str">
        <f>'2.1. DM'!F221</f>
        <v>F252616</v>
      </c>
      <c r="G221" s="25" t="str">
        <f>'2.1. DM'!G221</f>
        <v>CIAT33561</v>
      </c>
      <c r="H221" s="25" t="str">
        <f>'2.1. DM'!H221</f>
        <v>Desmodium</v>
      </c>
      <c r="I221" s="25" t="str">
        <f>'2.1. DM'!I221</f>
        <v>wigginsii</v>
      </c>
      <c r="J221" s="25" t="str">
        <f>'2.1. DM'!J221</f>
        <v>Desmodium wigginsii</v>
      </c>
      <c r="K221" s="25" t="str">
        <f>'2.1. DM'!K221</f>
        <v>Fabaceae</v>
      </c>
      <c r="L221" s="25" t="str">
        <f>'2.1. DM'!L221</f>
        <v>Fabales</v>
      </c>
      <c r="M221" s="25" t="str">
        <f>'2.1. DM'!M221</f>
        <v>Herbaceous</v>
      </c>
      <c r="N221" s="25" t="str">
        <f>'2.1. DM'!N221</f>
        <v>62,63,70</v>
      </c>
      <c r="O221" s="25" t="str">
        <f>'2.1. DM'!O221</f>
        <v>OT-031 (2025)</v>
      </c>
      <c r="P221" s="292" t="s">
        <v>495</v>
      </c>
      <c r="Q221" s="295">
        <v>35.855248399502528</v>
      </c>
      <c r="R221" s="341">
        <f t="shared" si="30"/>
        <v>36.113348008427153</v>
      </c>
    </row>
    <row r="222" spans="2:19" x14ac:dyDescent="0.35">
      <c r="B222" s="25">
        <f>'2.1. DM'!B222</f>
        <v>212</v>
      </c>
      <c r="C222" s="25">
        <f>'2.1. DM'!C222</f>
        <v>46055</v>
      </c>
      <c r="D222" s="25" t="str">
        <f>'2.1. DM'!D222</f>
        <v>Genbank</v>
      </c>
      <c r="E222" s="25">
        <f>'2.1. DM'!E222</f>
        <v>29</v>
      </c>
      <c r="F222" s="25" t="str">
        <f>'2.1. DM'!F222</f>
        <v>F252616</v>
      </c>
      <c r="G222" s="25" t="str">
        <f>'2.1. DM'!G222</f>
        <v>CIAT33561</v>
      </c>
      <c r="H222" s="25" t="str">
        <f>'2.1. DM'!H222</f>
        <v>Desmodium</v>
      </c>
      <c r="I222" s="25" t="str">
        <f>'2.1. DM'!I222</f>
        <v>wigginsii</v>
      </c>
      <c r="J222" s="25" t="str">
        <f>'2.1. DM'!J222</f>
        <v>Desmodium wigginsii</v>
      </c>
      <c r="K222" s="25" t="str">
        <f>'2.1. DM'!K222</f>
        <v>Fabaceae</v>
      </c>
      <c r="L222" s="25" t="str">
        <f>'2.1. DM'!L222</f>
        <v>Fabales</v>
      </c>
      <c r="M222" s="25" t="str">
        <f>'2.1. DM'!M222</f>
        <v>Herbaceous</v>
      </c>
      <c r="N222" s="25" t="str">
        <f>'2.1. DM'!N222</f>
        <v>62,63,70</v>
      </c>
      <c r="O222" s="25" t="str">
        <f>'2.1. DM'!O222</f>
        <v>OT-031 (2025)</v>
      </c>
      <c r="P222" s="293" t="s">
        <v>496</v>
      </c>
      <c r="Q222" s="295">
        <v>36.371447617351777</v>
      </c>
      <c r="R222" s="341"/>
    </row>
    <row r="223" spans="2:19" x14ac:dyDescent="0.35">
      <c r="B223" s="25">
        <f>'2.1. DM'!B223</f>
        <v>213</v>
      </c>
      <c r="C223" s="25">
        <f>'2.1. DM'!C223</f>
        <v>46055</v>
      </c>
      <c r="D223" s="25" t="str">
        <f>'2.1. DM'!D223</f>
        <v>Genbank</v>
      </c>
      <c r="E223" s="25">
        <f>'2.1. DM'!E223</f>
        <v>29</v>
      </c>
      <c r="F223" s="25" t="str">
        <f>'2.1. DM'!F223</f>
        <v>F252617</v>
      </c>
      <c r="G223" s="25" t="str">
        <f>'2.1. DM'!G223</f>
        <v>CIAT34038</v>
      </c>
      <c r="H223" s="25" t="str">
        <f>'2.1. DM'!H223</f>
        <v>Vigna</v>
      </c>
      <c r="I223" s="25" t="str">
        <f>'2.1. DM'!I223</f>
        <v>unguiculata</v>
      </c>
      <c r="J223" s="25" t="str">
        <f>'2.1. DM'!J223</f>
        <v>Vigna unguiculata</v>
      </c>
      <c r="K223" s="25" t="str">
        <f>'2.1. DM'!K223</f>
        <v>Fabaceae</v>
      </c>
      <c r="L223" s="25" t="str">
        <f>'2.1. DM'!L223</f>
        <v>Fabales</v>
      </c>
      <c r="M223" s="25" t="str">
        <f>'2.1. DM'!M223</f>
        <v>Herbaceous</v>
      </c>
      <c r="N223" s="25" t="str">
        <f>'2.1. DM'!N223</f>
        <v>62,63,70</v>
      </c>
      <c r="O223" s="25" t="str">
        <f>'2.1. DM'!O223</f>
        <v>OT-031 (2025)</v>
      </c>
      <c r="P223" s="292" t="s">
        <v>495</v>
      </c>
      <c r="Q223" s="295">
        <v>24.049174966639971</v>
      </c>
      <c r="R223" s="341">
        <f t="shared" si="30"/>
        <v>24.323621212121893</v>
      </c>
      <c r="S223" s="5" t="s">
        <v>497</v>
      </c>
    </row>
    <row r="224" spans="2:19" x14ac:dyDescent="0.35">
      <c r="B224" s="25">
        <f>'2.1. DM'!B224</f>
        <v>214</v>
      </c>
      <c r="C224" s="25">
        <f>'2.1. DM'!C224</f>
        <v>46055</v>
      </c>
      <c r="D224" s="25" t="str">
        <f>'2.1. DM'!D224</f>
        <v>Genbank</v>
      </c>
      <c r="E224" s="25">
        <f>'2.1. DM'!E224</f>
        <v>29</v>
      </c>
      <c r="F224" s="25" t="str">
        <f>'2.1. DM'!F224</f>
        <v>F252617</v>
      </c>
      <c r="G224" s="25" t="str">
        <f>'2.1. DM'!G224</f>
        <v>CIAT34038</v>
      </c>
      <c r="H224" s="25" t="str">
        <f>'2.1. DM'!H224</f>
        <v>Vigna</v>
      </c>
      <c r="I224" s="25" t="str">
        <f>'2.1. DM'!I224</f>
        <v>unguiculata</v>
      </c>
      <c r="J224" s="25" t="str">
        <f>'2.1. DM'!J224</f>
        <v>Vigna unguiculata</v>
      </c>
      <c r="K224" s="25" t="str">
        <f>'2.1. DM'!K224</f>
        <v>Fabaceae</v>
      </c>
      <c r="L224" s="25" t="str">
        <f>'2.1. DM'!L224</f>
        <v>Fabales</v>
      </c>
      <c r="M224" s="25" t="str">
        <f>'2.1. DM'!M224</f>
        <v>Herbaceous</v>
      </c>
      <c r="N224" s="25" t="str">
        <f>'2.1. DM'!N224</f>
        <v>62,63,70</v>
      </c>
      <c r="O224" s="25" t="str">
        <f>'2.1. DM'!O224</f>
        <v>OT-031 (2025)</v>
      </c>
      <c r="P224" s="293" t="s">
        <v>496</v>
      </c>
      <c r="Q224" s="295">
        <v>24.598067457603811</v>
      </c>
      <c r="R224" s="341"/>
      <c r="S224" s="5" t="s">
        <v>497</v>
      </c>
    </row>
    <row r="225" spans="2:19" x14ac:dyDescent="0.35">
      <c r="B225" s="25">
        <f>'2.1. DM'!B225</f>
        <v>215</v>
      </c>
      <c r="C225" s="25">
        <f>'2.1. DM'!C225</f>
        <v>46055</v>
      </c>
      <c r="D225" s="25" t="str">
        <f>'2.1. DM'!D225</f>
        <v>Genbank</v>
      </c>
      <c r="E225" s="25">
        <f>'2.1. DM'!E225</f>
        <v>29</v>
      </c>
      <c r="F225" s="25" t="str">
        <f>'2.1. DM'!F225</f>
        <v>F252618</v>
      </c>
      <c r="G225" s="25" t="str">
        <f>'2.1. DM'!G225</f>
        <v>CIAT34040</v>
      </c>
      <c r="H225" s="25" t="str">
        <f>'2.1. DM'!H225</f>
        <v>Vigna</v>
      </c>
      <c r="I225" s="25" t="str">
        <f>'2.1. DM'!I225</f>
        <v>aconitifolia</v>
      </c>
      <c r="J225" s="25" t="str">
        <f>'2.1. DM'!J225</f>
        <v>Vigna aconitifolia</v>
      </c>
      <c r="K225" s="25" t="str">
        <f>'2.1. DM'!K225</f>
        <v>Fabaceae</v>
      </c>
      <c r="L225" s="25" t="str">
        <f>'2.1. DM'!L225</f>
        <v>Fabales</v>
      </c>
      <c r="M225" s="25" t="str">
        <f>'2.1. DM'!M225</f>
        <v>Herbaceous</v>
      </c>
      <c r="N225" s="25" t="str">
        <f>'2.1. DM'!N225</f>
        <v>62,63,70</v>
      </c>
      <c r="O225" s="25" t="str">
        <f>'2.1. DM'!O225</f>
        <v>OT-031 (2025)</v>
      </c>
      <c r="P225" s="292" t="s">
        <v>495</v>
      </c>
      <c r="Q225" s="295">
        <v>22.853700590077526</v>
      </c>
      <c r="R225" s="341">
        <f t="shared" si="30"/>
        <v>22.650679533279096</v>
      </c>
    </row>
    <row r="226" spans="2:19" x14ac:dyDescent="0.35">
      <c r="B226" s="25">
        <f>'2.1. DM'!B226</f>
        <v>216</v>
      </c>
      <c r="C226" s="25">
        <f>'2.1. DM'!C226</f>
        <v>46055</v>
      </c>
      <c r="D226" s="25" t="str">
        <f>'2.1. DM'!D226</f>
        <v>Genbank</v>
      </c>
      <c r="E226" s="25">
        <f>'2.1. DM'!E226</f>
        <v>29</v>
      </c>
      <c r="F226" s="25" t="str">
        <f>'2.1. DM'!F226</f>
        <v>F252618</v>
      </c>
      <c r="G226" s="25" t="str">
        <f>'2.1. DM'!G226</f>
        <v>CIAT34040</v>
      </c>
      <c r="H226" s="25" t="str">
        <f>'2.1. DM'!H226</f>
        <v>Vigna</v>
      </c>
      <c r="I226" s="25" t="str">
        <f>'2.1. DM'!I226</f>
        <v>aconitifolia</v>
      </c>
      <c r="J226" s="25" t="str">
        <f>'2.1. DM'!J226</f>
        <v>Vigna aconitifolia</v>
      </c>
      <c r="K226" s="25" t="str">
        <f>'2.1. DM'!K226</f>
        <v>Fabaceae</v>
      </c>
      <c r="L226" s="25" t="str">
        <f>'2.1. DM'!L226</f>
        <v>Fabales</v>
      </c>
      <c r="M226" s="25" t="str">
        <f>'2.1. DM'!M226</f>
        <v>Herbaceous</v>
      </c>
      <c r="N226" s="25" t="str">
        <f>'2.1. DM'!N226</f>
        <v>62,63,70</v>
      </c>
      <c r="O226" s="25" t="str">
        <f>'2.1. DM'!O226</f>
        <v>OT-031 (2025)</v>
      </c>
      <c r="P226" s="293" t="s">
        <v>496</v>
      </c>
      <c r="Q226" s="295">
        <v>22.447658476480665</v>
      </c>
      <c r="R226" s="341"/>
    </row>
    <row r="227" spans="2:19" x14ac:dyDescent="0.35">
      <c r="B227" s="25">
        <f>'2.1. DM'!B227</f>
        <v>217</v>
      </c>
      <c r="C227" s="25">
        <f>'2.1. DM'!C227</f>
        <v>46055</v>
      </c>
      <c r="D227" s="25" t="str">
        <f>'2.1. DM'!D227</f>
        <v>Genbank</v>
      </c>
      <c r="E227" s="25">
        <f>'2.1. DM'!E227</f>
        <v>29</v>
      </c>
      <c r="F227" s="25" t="str">
        <f>'2.1. DM'!F227</f>
        <v>F252619</v>
      </c>
      <c r="G227" s="25" t="str">
        <f>'2.1. DM'!G227</f>
        <v>CIAT34042</v>
      </c>
      <c r="H227" s="25" t="str">
        <f>'2.1. DM'!H227</f>
        <v>Vigna</v>
      </c>
      <c r="I227" s="25" t="str">
        <f>'2.1. DM'!I227</f>
        <v>aconitifolia</v>
      </c>
      <c r="J227" s="25" t="str">
        <f>'2.1. DM'!J227</f>
        <v>Vigna aconitifolia</v>
      </c>
      <c r="K227" s="25" t="str">
        <f>'2.1. DM'!K227</f>
        <v>Fabaceae</v>
      </c>
      <c r="L227" s="25" t="str">
        <f>'2.1. DM'!L227</f>
        <v>Fabales</v>
      </c>
      <c r="M227" s="25" t="str">
        <f>'2.1. DM'!M227</f>
        <v>Herbaceous</v>
      </c>
      <c r="N227" s="25" t="str">
        <f>'2.1. DM'!N227</f>
        <v>62,63,70</v>
      </c>
      <c r="O227" s="25" t="str">
        <f>'2.1. DM'!O227</f>
        <v>OT-031 (2025)</v>
      </c>
      <c r="P227" s="292" t="s">
        <v>495</v>
      </c>
      <c r="Q227" s="295">
        <v>23.325938523882829</v>
      </c>
      <c r="R227" s="341">
        <f t="shared" si="30"/>
        <v>23.370352412416224</v>
      </c>
      <c r="S227" s="5" t="s">
        <v>497</v>
      </c>
    </row>
    <row r="228" spans="2:19" x14ac:dyDescent="0.35">
      <c r="B228" s="25">
        <f>'2.1. DM'!B228</f>
        <v>218</v>
      </c>
      <c r="C228" s="25">
        <f>'2.1. DM'!C228</f>
        <v>46055</v>
      </c>
      <c r="D228" s="25" t="str">
        <f>'2.1. DM'!D228</f>
        <v>Genbank</v>
      </c>
      <c r="E228" s="25">
        <f>'2.1. DM'!E228</f>
        <v>29</v>
      </c>
      <c r="F228" s="25" t="str">
        <f>'2.1. DM'!F228</f>
        <v>F252619</v>
      </c>
      <c r="G228" s="25" t="str">
        <f>'2.1. DM'!G228</f>
        <v>CIAT34042</v>
      </c>
      <c r="H228" s="25" t="str">
        <f>'2.1. DM'!H228</f>
        <v>Vigna</v>
      </c>
      <c r="I228" s="25" t="str">
        <f>'2.1. DM'!I228</f>
        <v>aconitifolia</v>
      </c>
      <c r="J228" s="25" t="str">
        <f>'2.1. DM'!J228</f>
        <v>Vigna aconitifolia</v>
      </c>
      <c r="K228" s="25" t="str">
        <f>'2.1. DM'!K228</f>
        <v>Fabaceae</v>
      </c>
      <c r="L228" s="25" t="str">
        <f>'2.1. DM'!L228</f>
        <v>Fabales</v>
      </c>
      <c r="M228" s="25" t="str">
        <f>'2.1. DM'!M228</f>
        <v>Herbaceous</v>
      </c>
      <c r="N228" s="25" t="str">
        <f>'2.1. DM'!N228</f>
        <v>62,63,70</v>
      </c>
      <c r="O228" s="25" t="str">
        <f>'2.1. DM'!O228</f>
        <v>OT-031 (2025)</v>
      </c>
      <c r="P228" s="293" t="s">
        <v>496</v>
      </c>
      <c r="Q228" s="295">
        <v>23.414766300949623</v>
      </c>
      <c r="R228" s="341"/>
      <c r="S228" s="5" t="s">
        <v>497</v>
      </c>
    </row>
    <row r="229" spans="2:19" x14ac:dyDescent="0.35">
      <c r="B229" s="25">
        <f>'2.1. DM'!B229</f>
        <v>219</v>
      </c>
      <c r="C229" s="25">
        <f>'2.1. DM'!C229</f>
        <v>46055</v>
      </c>
      <c r="D229" s="25" t="str">
        <f>'2.1. DM'!D229</f>
        <v>Genbank</v>
      </c>
      <c r="E229" s="25">
        <f>'2.1. DM'!E229</f>
        <v>29</v>
      </c>
      <c r="F229" s="25" t="str">
        <f>'2.1. DM'!F229</f>
        <v>F252620</v>
      </c>
      <c r="G229" s="25" t="str">
        <f>'2.1. DM'!G229</f>
        <v>CIAT34044</v>
      </c>
      <c r="H229" s="25" t="str">
        <f>'2.1. DM'!H229</f>
        <v>Vigna</v>
      </c>
      <c r="I229" s="25" t="str">
        <f>'2.1. DM'!I229</f>
        <v>aconitifolia</v>
      </c>
      <c r="J229" s="25" t="str">
        <f>'2.1. DM'!J229</f>
        <v>Vigna aconitifolia</v>
      </c>
      <c r="K229" s="25" t="str">
        <f>'2.1. DM'!K229</f>
        <v>Fabaceae</v>
      </c>
      <c r="L229" s="25" t="str">
        <f>'2.1. DM'!L229</f>
        <v>Fabales</v>
      </c>
      <c r="M229" s="25" t="str">
        <f>'2.1. DM'!M229</f>
        <v>Herbaceous</v>
      </c>
      <c r="N229" s="25" t="str">
        <f>'2.1. DM'!N229</f>
        <v>62,63,70</v>
      </c>
      <c r="O229" s="25" t="str">
        <f>'2.1. DM'!O229</f>
        <v>OT-031 (2025)</v>
      </c>
      <c r="P229" s="292" t="s">
        <v>495</v>
      </c>
      <c r="Q229" s="295">
        <v>21.106033059567345</v>
      </c>
      <c r="R229" s="341">
        <f t="shared" si="30"/>
        <v>20.672331398584671</v>
      </c>
    </row>
    <row r="230" spans="2:19" x14ac:dyDescent="0.35">
      <c r="B230" s="25">
        <f>'2.1. DM'!B230</f>
        <v>220</v>
      </c>
      <c r="C230" s="25">
        <f>'2.1. DM'!C230</f>
        <v>46055</v>
      </c>
      <c r="D230" s="25" t="str">
        <f>'2.1. DM'!D230</f>
        <v>Genbank</v>
      </c>
      <c r="E230" s="25">
        <f>'2.1. DM'!E230</f>
        <v>29</v>
      </c>
      <c r="F230" s="25" t="str">
        <f>'2.1. DM'!F230</f>
        <v>F252620</v>
      </c>
      <c r="G230" s="25" t="str">
        <f>'2.1. DM'!G230</f>
        <v>CIAT34044</v>
      </c>
      <c r="H230" s="25" t="str">
        <f>'2.1. DM'!H230</f>
        <v>Vigna</v>
      </c>
      <c r="I230" s="25" t="str">
        <f>'2.1. DM'!I230</f>
        <v>aconitifolia</v>
      </c>
      <c r="J230" s="25" t="str">
        <f>'2.1. DM'!J230</f>
        <v>Vigna aconitifolia</v>
      </c>
      <c r="K230" s="25" t="str">
        <f>'2.1. DM'!K230</f>
        <v>Fabaceae</v>
      </c>
      <c r="L230" s="25" t="str">
        <f>'2.1. DM'!L230</f>
        <v>Fabales</v>
      </c>
      <c r="M230" s="25" t="str">
        <f>'2.1. DM'!M230</f>
        <v>Herbaceous</v>
      </c>
      <c r="N230" s="25" t="str">
        <f>'2.1. DM'!N230</f>
        <v>62,63,70</v>
      </c>
      <c r="O230" s="25" t="str">
        <f>'2.1. DM'!O230</f>
        <v>OT-031 (2025)</v>
      </c>
      <c r="P230" s="293" t="s">
        <v>496</v>
      </c>
      <c r="Q230" s="295">
        <v>20.238629737601997</v>
      </c>
      <c r="R230" s="341"/>
    </row>
    <row r="231" spans="2:19" x14ac:dyDescent="0.35">
      <c r="B231" s="25">
        <f>'2.1. DM'!B231</f>
        <v>221</v>
      </c>
      <c r="C231" s="25">
        <f>'2.1. DM'!C231</f>
        <v>46055</v>
      </c>
      <c r="D231" s="25" t="str">
        <f>'2.1. DM'!D231</f>
        <v>Genbank</v>
      </c>
      <c r="E231" s="25">
        <f>'2.1. DM'!E231</f>
        <v>29</v>
      </c>
      <c r="F231" s="25" t="str">
        <f>'2.1. DM'!F231</f>
        <v>F252621</v>
      </c>
      <c r="G231" s="25" t="str">
        <f>'2.1. DM'!G231</f>
        <v>CIAT34148</v>
      </c>
      <c r="H231" s="25" t="str">
        <f>'2.1. DM'!H231</f>
        <v>Vigna</v>
      </c>
      <c r="I231" s="25" t="str">
        <f>'2.1. DM'!I231</f>
        <v>radiata</v>
      </c>
      <c r="J231" s="25" t="str">
        <f>'2.1. DM'!J231</f>
        <v>Vigna radiata</v>
      </c>
      <c r="K231" s="25" t="str">
        <f>'2.1. DM'!K231</f>
        <v>Fabaceae</v>
      </c>
      <c r="L231" s="25" t="str">
        <f>'2.1. DM'!L231</f>
        <v>Fabales</v>
      </c>
      <c r="M231" s="25" t="str">
        <f>'2.1. DM'!M231</f>
        <v>Herbaceous</v>
      </c>
      <c r="N231" s="25" t="str">
        <f>'2.1. DM'!N231</f>
        <v>62,63,70</v>
      </c>
      <c r="O231" s="25" t="str">
        <f>'2.1. DM'!O231</f>
        <v>OT-031 (2025)</v>
      </c>
      <c r="P231" s="292" t="s">
        <v>495</v>
      </c>
      <c r="Q231" s="295">
        <v>27.183082262073242</v>
      </c>
      <c r="R231" s="341">
        <f t="shared" si="30"/>
        <v>27.821378052869541</v>
      </c>
    </row>
    <row r="232" spans="2:19" x14ac:dyDescent="0.35">
      <c r="B232" s="25">
        <f>'2.1. DM'!B232</f>
        <v>222</v>
      </c>
      <c r="C232" s="25">
        <f>'2.1. DM'!C232</f>
        <v>46055</v>
      </c>
      <c r="D232" s="25" t="str">
        <f>'2.1. DM'!D232</f>
        <v>Genbank</v>
      </c>
      <c r="E232" s="25">
        <f>'2.1. DM'!E232</f>
        <v>29</v>
      </c>
      <c r="F232" s="25" t="str">
        <f>'2.1. DM'!F232</f>
        <v>F252621</v>
      </c>
      <c r="G232" s="25" t="str">
        <f>'2.1. DM'!G232</f>
        <v>CIAT34148</v>
      </c>
      <c r="H232" s="25" t="str">
        <f>'2.1. DM'!H232</f>
        <v>Vigna</v>
      </c>
      <c r="I232" s="25" t="str">
        <f>'2.1. DM'!I232</f>
        <v>radiata</v>
      </c>
      <c r="J232" s="25" t="str">
        <f>'2.1. DM'!J232</f>
        <v>Vigna radiata</v>
      </c>
      <c r="K232" s="25" t="str">
        <f>'2.1. DM'!K232</f>
        <v>Fabaceae</v>
      </c>
      <c r="L232" s="25" t="str">
        <f>'2.1. DM'!L232</f>
        <v>Fabales</v>
      </c>
      <c r="M232" s="25" t="str">
        <f>'2.1. DM'!M232</f>
        <v>Herbaceous</v>
      </c>
      <c r="N232" s="25" t="str">
        <f>'2.1. DM'!N232</f>
        <v>62,63,70</v>
      </c>
      <c r="O232" s="25" t="str">
        <f>'2.1. DM'!O232</f>
        <v>OT-031 (2025)</v>
      </c>
      <c r="P232" s="293" t="s">
        <v>496</v>
      </c>
      <c r="Q232" s="295">
        <v>28.459673843665843</v>
      </c>
      <c r="R232" s="341"/>
    </row>
    <row r="233" spans="2:19" x14ac:dyDescent="0.35">
      <c r="B233" s="25">
        <f>'2.1. DM'!B233</f>
        <v>223</v>
      </c>
      <c r="C233" s="25">
        <f>'2.1. DM'!C233</f>
        <v>46055</v>
      </c>
      <c r="D233" s="25" t="str">
        <f>'2.1. DM'!D233</f>
        <v>Genbank</v>
      </c>
      <c r="E233" s="25">
        <f>'2.1. DM'!E233</f>
        <v>29</v>
      </c>
      <c r="F233" s="25" t="str">
        <f>'2.1. DM'!F233</f>
        <v>F252622</v>
      </c>
      <c r="G233" s="25" t="str">
        <f>'2.1. DM'!G233</f>
        <v>CIAT34159</v>
      </c>
      <c r="H233" s="25" t="str">
        <f>'2.1. DM'!H233</f>
        <v>Vigna</v>
      </c>
      <c r="I233" s="25" t="str">
        <f>'2.1. DM'!I233</f>
        <v>unguiculata</v>
      </c>
      <c r="J233" s="25" t="str">
        <f>'2.1. DM'!J233</f>
        <v>Vigna unguiculata</v>
      </c>
      <c r="K233" s="25" t="str">
        <f>'2.1. DM'!K233</f>
        <v>Fabaceae</v>
      </c>
      <c r="L233" s="25" t="str">
        <f>'2.1. DM'!L233</f>
        <v>Fabales</v>
      </c>
      <c r="M233" s="25" t="str">
        <f>'2.1. DM'!M233</f>
        <v>Herbaceous</v>
      </c>
      <c r="N233" s="25" t="str">
        <f>'2.1. DM'!N233</f>
        <v>62,63,70</v>
      </c>
      <c r="O233" s="25" t="str">
        <f>'2.1. DM'!O233</f>
        <v>OT-031 (2025)</v>
      </c>
      <c r="P233" s="292" t="s">
        <v>495</v>
      </c>
      <c r="Q233" s="295">
        <v>22.214710815752284</v>
      </c>
      <c r="R233" s="341">
        <f t="shared" si="30"/>
        <v>22.342212979163186</v>
      </c>
    </row>
    <row r="234" spans="2:19" x14ac:dyDescent="0.35">
      <c r="B234" s="25">
        <f>'2.1. DM'!B234</f>
        <v>224</v>
      </c>
      <c r="C234" s="25">
        <f>'2.1. DM'!C234</f>
        <v>46055</v>
      </c>
      <c r="D234" s="25" t="str">
        <f>'2.1. DM'!D234</f>
        <v>Genbank</v>
      </c>
      <c r="E234" s="25">
        <f>'2.1. DM'!E234</f>
        <v>29</v>
      </c>
      <c r="F234" s="25" t="str">
        <f>'2.1. DM'!F234</f>
        <v>F252622</v>
      </c>
      <c r="G234" s="25" t="str">
        <f>'2.1. DM'!G234</f>
        <v>CIAT34159</v>
      </c>
      <c r="H234" s="25" t="str">
        <f>'2.1. DM'!H234</f>
        <v>Vigna</v>
      </c>
      <c r="I234" s="25" t="str">
        <f>'2.1. DM'!I234</f>
        <v>unguiculata</v>
      </c>
      <c r="J234" s="25" t="str">
        <f>'2.1. DM'!J234</f>
        <v>Vigna unguiculata</v>
      </c>
      <c r="K234" s="25" t="str">
        <f>'2.1. DM'!K234</f>
        <v>Fabaceae</v>
      </c>
      <c r="L234" s="25" t="str">
        <f>'2.1. DM'!L234</f>
        <v>Fabales</v>
      </c>
      <c r="M234" s="25" t="str">
        <f>'2.1. DM'!M234</f>
        <v>Herbaceous</v>
      </c>
      <c r="N234" s="25" t="str">
        <f>'2.1. DM'!N234</f>
        <v>62,63,70</v>
      </c>
      <c r="O234" s="25" t="str">
        <f>'2.1. DM'!O234</f>
        <v>OT-031 (2025)</v>
      </c>
      <c r="P234" s="293" t="s">
        <v>496</v>
      </c>
      <c r="Q234" s="295">
        <v>22.469715142574092</v>
      </c>
      <c r="R234" s="341"/>
    </row>
    <row r="235" spans="2:19" x14ac:dyDescent="0.35">
      <c r="B235" s="25">
        <f>'2.1. DM'!B235</f>
        <v>225</v>
      </c>
      <c r="C235" s="25">
        <f>'2.1. DM'!C235</f>
        <v>46055</v>
      </c>
      <c r="D235" s="25" t="str">
        <f>'2.1. DM'!D235</f>
        <v>Genbank</v>
      </c>
      <c r="E235" s="25">
        <f>'2.1. DM'!E235</f>
        <v>29</v>
      </c>
      <c r="F235" s="25" t="str">
        <f>'2.1. DM'!F235</f>
        <v>F252623</v>
      </c>
      <c r="G235" s="25" t="str">
        <f>'2.1. DM'!G235</f>
        <v>CIAT34347</v>
      </c>
      <c r="H235" s="25" t="str">
        <f>'2.1. DM'!H235</f>
        <v>Vigna</v>
      </c>
      <c r="I235" s="25" t="str">
        <f>'2.1. DM'!I235</f>
        <v>unguiculata</v>
      </c>
      <c r="J235" s="25" t="str">
        <f>'2.1. DM'!J235</f>
        <v>Vigna unguiculata</v>
      </c>
      <c r="K235" s="25" t="str">
        <f>'2.1. DM'!K235</f>
        <v>Fabaceae</v>
      </c>
      <c r="L235" s="25" t="str">
        <f>'2.1. DM'!L235</f>
        <v>Fabales</v>
      </c>
      <c r="M235" s="25" t="str">
        <f>'2.1. DM'!M235</f>
        <v>Herbaceous</v>
      </c>
      <c r="N235" s="25" t="str">
        <f>'2.1. DM'!N235</f>
        <v>62,63,70</v>
      </c>
      <c r="O235" s="25" t="str">
        <f>'2.1. DM'!O235</f>
        <v>OT-031 (2025)</v>
      </c>
      <c r="P235" s="292" t="s">
        <v>495</v>
      </c>
      <c r="Q235" s="295">
        <v>23.312842132515428</v>
      </c>
      <c r="R235" s="341">
        <f t="shared" si="30"/>
        <v>25.269234630721314</v>
      </c>
    </row>
    <row r="236" spans="2:19" x14ac:dyDescent="0.35">
      <c r="B236" s="25">
        <f>'2.1. DM'!B236</f>
        <v>226</v>
      </c>
      <c r="C236" s="25">
        <f>'2.1. DM'!C236</f>
        <v>46055</v>
      </c>
      <c r="D236" s="25" t="str">
        <f>'2.1. DM'!D236</f>
        <v>Genbank</v>
      </c>
      <c r="E236" s="25">
        <f>'2.1. DM'!E236</f>
        <v>29</v>
      </c>
      <c r="F236" s="25" t="str">
        <f>'2.1. DM'!F236</f>
        <v>F252623</v>
      </c>
      <c r="G236" s="25" t="str">
        <f>'2.1. DM'!G236</f>
        <v>CIAT34347</v>
      </c>
      <c r="H236" s="25" t="str">
        <f>'2.1. DM'!H236</f>
        <v>Vigna</v>
      </c>
      <c r="I236" s="25" t="str">
        <f>'2.1. DM'!I236</f>
        <v>unguiculata</v>
      </c>
      <c r="J236" s="25" t="str">
        <f>'2.1. DM'!J236</f>
        <v>Vigna unguiculata</v>
      </c>
      <c r="K236" s="25" t="str">
        <f>'2.1. DM'!K236</f>
        <v>Fabaceae</v>
      </c>
      <c r="L236" s="25" t="str">
        <f>'2.1. DM'!L236</f>
        <v>Fabales</v>
      </c>
      <c r="M236" s="25" t="str">
        <f>'2.1. DM'!M236</f>
        <v>Herbaceous</v>
      </c>
      <c r="N236" s="25" t="str">
        <f>'2.1. DM'!N236</f>
        <v>62,63,70</v>
      </c>
      <c r="O236" s="25" t="str">
        <f>'2.1. DM'!O236</f>
        <v>OT-031 (2025)</v>
      </c>
      <c r="P236" s="293" t="s">
        <v>496</v>
      </c>
      <c r="Q236" s="295">
        <v>27.225627128927204</v>
      </c>
      <c r="R236" s="341"/>
    </row>
    <row r="237" spans="2:19" x14ac:dyDescent="0.35">
      <c r="B237" s="25">
        <f>'2.1. DM'!B237</f>
        <v>227</v>
      </c>
      <c r="C237" s="25">
        <f>'2.1. DM'!C237</f>
        <v>46055</v>
      </c>
      <c r="D237" s="25" t="str">
        <f>'2.1. DM'!D237</f>
        <v>Genbank</v>
      </c>
      <c r="E237" s="25">
        <f>'2.1. DM'!E237</f>
        <v>29</v>
      </c>
      <c r="F237" s="25" t="str">
        <f>'2.1. DM'!F237</f>
        <v>F251692</v>
      </c>
      <c r="G237" s="25" t="str">
        <f>'2.1. DM'!G237</f>
        <v>CIAT-23715</v>
      </c>
      <c r="H237" s="25" t="str">
        <f>'2.1. DM'!H237</f>
        <v>Desmodium</v>
      </c>
      <c r="I237" s="25" t="str">
        <f>'2.1. DM'!I237</f>
        <v>sequax</v>
      </c>
      <c r="J237" s="25" t="str">
        <f>'2.1. DM'!J237</f>
        <v>Desmodium sequax</v>
      </c>
      <c r="K237" s="25" t="str">
        <f>'2.1. DM'!K237</f>
        <v>Fabaceae</v>
      </c>
      <c r="L237" s="25" t="str">
        <f>'2.1. DM'!L237</f>
        <v>Fabales</v>
      </c>
      <c r="M237" s="25" t="str">
        <f>'2.1. DM'!M237</f>
        <v>Shrub</v>
      </c>
      <c r="N237" s="25" t="str">
        <f>'2.1. DM'!N237</f>
        <v>62,63,70</v>
      </c>
      <c r="O237" s="25" t="str">
        <f>'2.1. DM'!O237</f>
        <v>OT-008 (2025)</v>
      </c>
      <c r="P237" s="292" t="s">
        <v>495</v>
      </c>
      <c r="Q237" s="296">
        <v>58.104294581330052</v>
      </c>
      <c r="R237" s="341">
        <f t="shared" ref="R237:R299" si="31">AVERAGE(Q237:Q238)</f>
        <v>59.13848020217921</v>
      </c>
    </row>
    <row r="238" spans="2:19" x14ac:dyDescent="0.35">
      <c r="B238" s="25">
        <f>'2.1. DM'!B238</f>
        <v>228</v>
      </c>
      <c r="C238" s="25">
        <f>'2.1. DM'!C238</f>
        <v>46055</v>
      </c>
      <c r="D238" s="25" t="str">
        <f>'2.1. DM'!D238</f>
        <v>Genbank</v>
      </c>
      <c r="E238" s="25">
        <f>'2.1. DM'!E238</f>
        <v>29</v>
      </c>
      <c r="F238" s="25" t="str">
        <f>'2.1. DM'!F238</f>
        <v>F251692</v>
      </c>
      <c r="G238" s="25" t="str">
        <f>'2.1. DM'!G238</f>
        <v>CIAT-23715</v>
      </c>
      <c r="H238" s="25" t="str">
        <f>'2.1. DM'!H238</f>
        <v>Desmodium</v>
      </c>
      <c r="I238" s="25" t="str">
        <f>'2.1. DM'!I238</f>
        <v>sequax</v>
      </c>
      <c r="J238" s="25" t="str">
        <f>'2.1. DM'!J238</f>
        <v>Desmodium sequax</v>
      </c>
      <c r="K238" s="25" t="str">
        <f>'2.1. DM'!K238</f>
        <v>Fabaceae</v>
      </c>
      <c r="L238" s="25" t="str">
        <f>'2.1. DM'!L238</f>
        <v>Fabales</v>
      </c>
      <c r="M238" s="25" t="str">
        <f>'2.1. DM'!M238</f>
        <v>Shrub</v>
      </c>
      <c r="N238" s="25" t="str">
        <f>'2.1. DM'!N238</f>
        <v>62,63,70</v>
      </c>
      <c r="O238" s="25" t="str">
        <f>'2.1. DM'!O238</f>
        <v>OT-008 (2025)</v>
      </c>
      <c r="P238" s="293" t="s">
        <v>496</v>
      </c>
      <c r="Q238" s="296">
        <v>60.17266582302836</v>
      </c>
      <c r="R238" s="341"/>
    </row>
    <row r="239" spans="2:19" x14ac:dyDescent="0.35">
      <c r="B239" s="25">
        <f>'2.1. DM'!B239</f>
        <v>229</v>
      </c>
      <c r="C239" s="25">
        <f>'2.1. DM'!C239</f>
        <v>46055</v>
      </c>
      <c r="D239" s="25" t="str">
        <f>'2.1. DM'!D239</f>
        <v>Jacobo Arango/ Alejandro Montoya</v>
      </c>
      <c r="E239" s="25">
        <f>'2.1. DM'!E239</f>
        <v>29</v>
      </c>
      <c r="F239" s="25" t="str">
        <f>'2.1. DM'!F239</f>
        <v>F250008</v>
      </c>
      <c r="G239" s="25" t="str">
        <f>'2.1. DM'!G239</f>
        <v>Sample 8</v>
      </c>
      <c r="H239" s="25" t="str">
        <f>'2.1. DM'!H239</f>
        <v>Cynodon</v>
      </c>
      <c r="I239" s="25" t="str">
        <f>'2.1. DM'!I239</f>
        <v xml:space="preserve"> nlemfuensis </v>
      </c>
      <c r="J239" s="25" t="str">
        <f>'2.1. DM'!J239</f>
        <v xml:space="preserve">Cynodon nlemfuensis </v>
      </c>
      <c r="K239" s="25" t="str">
        <f>'2.1. DM'!K239</f>
        <v>Poaceae</v>
      </c>
      <c r="L239" s="25" t="str">
        <f>'2.1. DM'!L239</f>
        <v>Poales</v>
      </c>
      <c r="M239" s="25" t="str">
        <f>'2.1. DM'!M239</f>
        <v>grasses</v>
      </c>
      <c r="N239" s="25" t="str">
        <f>'2.1. DM'!N239</f>
        <v>62,63,70</v>
      </c>
      <c r="O239" s="25" t="str">
        <f>'2.1. DM'!O239</f>
        <v>OT-002 (2025)</v>
      </c>
      <c r="P239" s="292" t="s">
        <v>495</v>
      </c>
      <c r="Q239" s="295"/>
      <c r="R239" s="341" t="e">
        <f t="shared" si="31"/>
        <v>#DIV/0!</v>
      </c>
    </row>
    <row r="240" spans="2:19" x14ac:dyDescent="0.35">
      <c r="B240" s="25">
        <f>'2.1. DM'!B240</f>
        <v>230</v>
      </c>
      <c r="C240" s="25">
        <f>'2.1. DM'!C240</f>
        <v>46055</v>
      </c>
      <c r="D240" s="25" t="str">
        <f>'2.1. DM'!D241</f>
        <v>Genbank</v>
      </c>
      <c r="E240" s="25">
        <f>'2.1. DM'!E240</f>
        <v>29</v>
      </c>
      <c r="F240" s="25" t="str">
        <f>'2.1. DM'!F240</f>
        <v>F250008</v>
      </c>
      <c r="G240" s="25" t="str">
        <f>'2.1. DM'!G240</f>
        <v>Sample 8</v>
      </c>
      <c r="H240" s="25" t="str">
        <f>'2.1. DM'!H240</f>
        <v>Cynodon</v>
      </c>
      <c r="I240" s="25" t="str">
        <f>'2.1. DM'!I240</f>
        <v xml:space="preserve"> nlemfuensis </v>
      </c>
      <c r="J240" s="25" t="str">
        <f>'2.1. DM'!J240</f>
        <v xml:space="preserve">Cynodon nlemfuensis </v>
      </c>
      <c r="K240" s="25" t="str">
        <f>'2.1. DM'!K240</f>
        <v>Poaceae</v>
      </c>
      <c r="L240" s="25" t="str">
        <f>'2.1. DM'!L240</f>
        <v>Poales</v>
      </c>
      <c r="M240" s="25" t="str">
        <f>'2.1. DM'!M240</f>
        <v>grasses</v>
      </c>
      <c r="N240" s="25" t="str">
        <f>'2.1. DM'!N240</f>
        <v>62,63,70</v>
      </c>
      <c r="O240" s="25" t="str">
        <f>'2.1. DM'!O240</f>
        <v>OT-002 (2025)</v>
      </c>
      <c r="P240" s="293" t="s">
        <v>496</v>
      </c>
      <c r="Q240" s="295"/>
      <c r="R240" s="341"/>
    </row>
    <row r="241" spans="2:18" x14ac:dyDescent="0.35">
      <c r="B241" s="25">
        <f>'2.1. DM'!B241</f>
        <v>231</v>
      </c>
      <c r="C241" s="25">
        <f>'2.1. DM'!C241</f>
        <v>46062</v>
      </c>
      <c r="D241" s="25" t="str">
        <f>'2.1. DM'!D242</f>
        <v>Genbank</v>
      </c>
      <c r="E241" s="25">
        <f>'2.1. DM'!E241</f>
        <v>30</v>
      </c>
      <c r="F241" s="25" t="str">
        <f>'2.1. DM'!F241</f>
        <v>F260013</v>
      </c>
      <c r="G241" s="25" t="str">
        <f>'2.1. DM'!G241</f>
        <v>CIAT590</v>
      </c>
      <c r="H241" s="25" t="str">
        <f>'2.1. DM'!H241</f>
        <v>Macroptilium</v>
      </c>
      <c r="I241" s="25" t="str">
        <f>'2.1. DM'!I241</f>
        <v>bracteatum</v>
      </c>
      <c r="J241" s="25" t="str">
        <f>'2.1. DM'!J241</f>
        <v>Macroptilium bracteatum</v>
      </c>
      <c r="K241" s="25" t="str">
        <f>'2.1. DM'!K241</f>
        <v>Fabaceae</v>
      </c>
      <c r="L241" s="25" t="str">
        <f>'2.1. DM'!L241</f>
        <v>Fabales</v>
      </c>
      <c r="M241" s="25" t="str">
        <f>'2.1. DM'!M241</f>
        <v>Herbaceous</v>
      </c>
      <c r="N241" s="25" t="str">
        <f>'2.1. DM'!N241</f>
        <v>64,65,71</v>
      </c>
      <c r="O241" s="25" t="str">
        <f>'2.1. DM'!O241</f>
        <v>OT-002(2026)</v>
      </c>
      <c r="Q241" s="76">
        <v>35.83839105688886</v>
      </c>
      <c r="R241" s="341">
        <f t="shared" si="31"/>
        <v>36.081738212564389</v>
      </c>
    </row>
    <row r="242" spans="2:18" x14ac:dyDescent="0.35">
      <c r="B242" s="25">
        <f>'2.1. DM'!B242</f>
        <v>232</v>
      </c>
      <c r="C242" s="25">
        <f>'2.1. DM'!C242</f>
        <v>46062</v>
      </c>
      <c r="D242" s="25" t="str">
        <f>'2.1. DM'!D247</f>
        <v>Genbank</v>
      </c>
      <c r="E242" s="25">
        <f>'2.1. DM'!E242</f>
        <v>30</v>
      </c>
      <c r="F242" s="25" t="str">
        <f>'2.1. DM'!F242</f>
        <v>F260013</v>
      </c>
      <c r="G242" s="25" t="str">
        <f>'2.1. DM'!G242</f>
        <v>CIAT590</v>
      </c>
      <c r="H242" s="25" t="str">
        <f>'2.1. DM'!H242</f>
        <v>Macroptilium</v>
      </c>
      <c r="I242" s="25" t="str">
        <f>'2.1. DM'!I242</f>
        <v>bracteatum</v>
      </c>
      <c r="J242" s="25" t="str">
        <f>'2.1. DM'!J242</f>
        <v>Macroptilium bracteatum</v>
      </c>
      <c r="K242" s="25" t="str">
        <f>'2.1. DM'!K242</f>
        <v>Fabaceae</v>
      </c>
      <c r="L242" s="25" t="str">
        <f>'2.1. DM'!L242</f>
        <v>Fabales</v>
      </c>
      <c r="M242" s="25" t="str">
        <f>'2.1. DM'!M242</f>
        <v>Herbaceous</v>
      </c>
      <c r="N242" s="25" t="str">
        <f>'2.1. DM'!N242</f>
        <v>64,65,71</v>
      </c>
      <c r="O242" s="25" t="str">
        <f>'2.1. DM'!O242</f>
        <v>OT-002(2026)</v>
      </c>
      <c r="Q242" s="76">
        <v>36.325085368239925</v>
      </c>
      <c r="R242" s="341"/>
    </row>
    <row r="243" spans="2:18" x14ac:dyDescent="0.35">
      <c r="B243" s="25">
        <f>'2.1. DM'!B243</f>
        <v>233</v>
      </c>
      <c r="C243" s="25">
        <f>'2.1. DM'!C247</f>
        <v>46062</v>
      </c>
      <c r="D243" s="25" t="str">
        <f>'2.1. DM'!D249</f>
        <v>Genbank</v>
      </c>
      <c r="E243" s="25">
        <f>'2.1. DM'!E243</f>
        <v>30</v>
      </c>
      <c r="F243" s="25" t="str">
        <f>'2.1. DM'!F243</f>
        <v>F260014</v>
      </c>
      <c r="G243" s="25" t="str">
        <f>'2.1. DM'!G243</f>
        <v>CIAT778</v>
      </c>
      <c r="H243" s="25" t="str">
        <f>'2.1. DM'!H243</f>
        <v>Macroptilium</v>
      </c>
      <c r="I243" s="25" t="str">
        <f>'2.1. DM'!I243</f>
        <v>atropurpureum</v>
      </c>
      <c r="J243" s="25" t="str">
        <f>'2.1. DM'!J243</f>
        <v>Macroptilium atropurpureum</v>
      </c>
      <c r="K243" s="25" t="str">
        <f>'2.1. DM'!K243</f>
        <v>Fabaceae</v>
      </c>
      <c r="L243" s="25" t="str">
        <f>'2.1. DM'!L243</f>
        <v>Fabales</v>
      </c>
      <c r="M243" s="25" t="str">
        <f>'2.1. DM'!M243</f>
        <v>Herbaceous</v>
      </c>
      <c r="N243" s="25" t="str">
        <f>'2.1. DM'!N243</f>
        <v>64,65,71</v>
      </c>
      <c r="O243" s="25" t="str">
        <f>'2.1. DM'!O243</f>
        <v>OT-002(2026)</v>
      </c>
      <c r="Q243" s="76">
        <v>35.237029127190247</v>
      </c>
      <c r="R243" s="341">
        <f t="shared" si="31"/>
        <v>35.742916163503722</v>
      </c>
    </row>
    <row r="244" spans="2:18" x14ac:dyDescent="0.35">
      <c r="B244" s="25">
        <f>'2.1. DM'!B244</f>
        <v>234</v>
      </c>
      <c r="C244" s="25">
        <f>'2.1. DM'!C249</f>
        <v>46062</v>
      </c>
      <c r="D244" s="25" t="str">
        <f>'2.1. DM'!D251</f>
        <v>Genbank</v>
      </c>
      <c r="E244" s="25">
        <f>'2.1. DM'!E244</f>
        <v>30</v>
      </c>
      <c r="F244" s="25" t="str">
        <f>'2.1. DM'!F244</f>
        <v>F260014</v>
      </c>
      <c r="G244" s="25" t="str">
        <f>'2.1. DM'!G244</f>
        <v>CIAT778</v>
      </c>
      <c r="H244" s="25" t="str">
        <f>'2.1. DM'!H244</f>
        <v>Macroptilium</v>
      </c>
      <c r="I244" s="25" t="str">
        <f>'2.1. DM'!I244</f>
        <v>atropurpureum</v>
      </c>
      <c r="J244" s="25" t="str">
        <f>'2.1. DM'!J244</f>
        <v>Macroptilium atropurpureum</v>
      </c>
      <c r="K244" s="25" t="str">
        <f>'2.1. DM'!K244</f>
        <v>Fabaceae</v>
      </c>
      <c r="L244" s="25" t="str">
        <f>'2.1. DM'!L244</f>
        <v>Fabales</v>
      </c>
      <c r="M244" s="25" t="str">
        <f>'2.1. DM'!M244</f>
        <v>Herbaceous</v>
      </c>
      <c r="N244" s="25" t="str">
        <f>'2.1. DM'!N244</f>
        <v>64,65,71</v>
      </c>
      <c r="O244" s="25" t="str">
        <f>'2.1. DM'!O244</f>
        <v>OT-002(2026)</v>
      </c>
      <c r="Q244" s="76">
        <v>36.248803199817196</v>
      </c>
      <c r="R244" s="341"/>
    </row>
    <row r="245" spans="2:18" x14ac:dyDescent="0.35">
      <c r="B245" s="25">
        <f>'2.1. DM'!B245</f>
        <v>235</v>
      </c>
      <c r="C245" s="25">
        <f>'2.1. DM'!C251</f>
        <v>46062</v>
      </c>
      <c r="D245" s="25" t="str">
        <f>'2.1. DM'!D253</f>
        <v>Genbank</v>
      </c>
      <c r="E245" s="25">
        <f>'2.1. DM'!E245</f>
        <v>30</v>
      </c>
      <c r="F245" s="25" t="str">
        <f>'2.1. DM'!F245</f>
        <v>F260015</v>
      </c>
      <c r="G245" s="25" t="str">
        <f>'2.1. DM'!G245</f>
        <v>CIAT827</v>
      </c>
      <c r="H245" s="25" t="str">
        <f>'2.1. DM'!H245</f>
        <v>Indigofera</v>
      </c>
      <c r="I245" s="25" t="str">
        <f>'2.1. DM'!I245</f>
        <v>jamaicensis</v>
      </c>
      <c r="J245" s="25" t="str">
        <f>'2.1. DM'!J245</f>
        <v>Indigofera jamaicensis</v>
      </c>
      <c r="K245" s="25" t="str">
        <f>'2.1. DM'!K245</f>
        <v>Fabaceae</v>
      </c>
      <c r="L245" s="25" t="str">
        <f>'2.1. DM'!L245</f>
        <v>Fabales</v>
      </c>
      <c r="M245" s="25" t="str">
        <f>'2.1. DM'!M245</f>
        <v>Herbaceous</v>
      </c>
      <c r="N245" s="25" t="str">
        <f>'2.1. DM'!N245</f>
        <v>64,65,71</v>
      </c>
      <c r="O245" s="25" t="str">
        <f>'2.1. DM'!O245</f>
        <v>OT-002(2026)</v>
      </c>
      <c r="Q245" s="76">
        <v>28.322696909664259</v>
      </c>
      <c r="R245" s="341">
        <f t="shared" si="31"/>
        <v>27.756576978938149</v>
      </c>
    </row>
    <row r="246" spans="2:18" x14ac:dyDescent="0.35">
      <c r="B246" s="25">
        <f>'2.1. DM'!B246</f>
        <v>236</v>
      </c>
      <c r="C246" s="25">
        <f>'2.1. DM'!C253</f>
        <v>46062</v>
      </c>
      <c r="D246" s="25" t="str">
        <f>'2.1. DM'!D255</f>
        <v>Genbank</v>
      </c>
      <c r="E246" s="25">
        <f>'2.1. DM'!E246</f>
        <v>30</v>
      </c>
      <c r="F246" s="25" t="str">
        <f>'2.1. DM'!F246</f>
        <v>F260015</v>
      </c>
      <c r="G246" s="25" t="str">
        <f>'2.1. DM'!G246</f>
        <v>CIAT827</v>
      </c>
      <c r="H246" s="25" t="str">
        <f>'2.1. DM'!H246</f>
        <v>Indigofera</v>
      </c>
      <c r="I246" s="25" t="str">
        <f>'2.1. DM'!I246</f>
        <v>jamaicensis</v>
      </c>
      <c r="J246" s="25" t="str">
        <f>'2.1. DM'!J246</f>
        <v>Indigofera jamaicensis</v>
      </c>
      <c r="K246" s="25" t="str">
        <f>'2.1. DM'!K246</f>
        <v>Fabaceae</v>
      </c>
      <c r="L246" s="25" t="str">
        <f>'2.1. DM'!L246</f>
        <v>Fabales</v>
      </c>
      <c r="M246" s="25" t="str">
        <f>'2.1. DM'!M246</f>
        <v>Herbaceous</v>
      </c>
      <c r="N246" s="25" t="str">
        <f>'2.1. DM'!N246</f>
        <v>64,65,71</v>
      </c>
      <c r="O246" s="25" t="str">
        <f>'2.1. DM'!O246</f>
        <v>OT-002(2026)</v>
      </c>
      <c r="Q246" s="76">
        <v>27.190457048212043</v>
      </c>
      <c r="R246" s="341"/>
    </row>
    <row r="247" spans="2:18" x14ac:dyDescent="0.35">
      <c r="B247" s="25">
        <f>'2.1. DM'!B247</f>
        <v>237</v>
      </c>
      <c r="C247" s="25">
        <f>'2.1. DM'!C255</f>
        <v>46062</v>
      </c>
      <c r="D247" s="25" t="str">
        <f>'2.1. DM'!D257</f>
        <v>Genbank</v>
      </c>
      <c r="E247" s="25">
        <f>'2.1. DM'!E247</f>
        <v>30</v>
      </c>
      <c r="F247" s="25" t="str">
        <f>'2.1. DM'!F247</f>
        <v>F260016</v>
      </c>
      <c r="G247" s="25" t="str">
        <f>'2.1. DM'!G247</f>
        <v>CIAT997</v>
      </c>
      <c r="H247" s="25" t="str">
        <f>'2.1. DM'!H247</f>
        <v>Macroptilium</v>
      </c>
      <c r="I247" s="25" t="str">
        <f>'2.1. DM'!I247</f>
        <v>atropurpureum</v>
      </c>
      <c r="J247" s="25" t="str">
        <f>'2.1. DM'!J247</f>
        <v>Macroptilium atropurpureum</v>
      </c>
      <c r="K247" s="25" t="str">
        <f>'2.1. DM'!K247</f>
        <v>Fabaceae</v>
      </c>
      <c r="L247" s="25" t="str">
        <f>'2.1. DM'!L247</f>
        <v>Fabales</v>
      </c>
      <c r="M247" s="25" t="str">
        <f>'2.1. DM'!M247</f>
        <v>Herbaceous</v>
      </c>
      <c r="N247" s="25" t="str">
        <f>'2.1. DM'!N247</f>
        <v>64,65,71</v>
      </c>
      <c r="O247" s="25" t="str">
        <f>'2.1. DM'!O247</f>
        <v>OT-002(2026)</v>
      </c>
      <c r="Q247" s="76">
        <v>32.753067896542973</v>
      </c>
      <c r="R247" s="341">
        <f t="shared" si="31"/>
        <v>32.776759663042185</v>
      </c>
    </row>
    <row r="248" spans="2:18" x14ac:dyDescent="0.35">
      <c r="B248" s="25">
        <f>'2.1. DM'!B248</f>
        <v>238</v>
      </c>
      <c r="C248" s="25">
        <f>'2.1. DM'!C257</f>
        <v>46062</v>
      </c>
      <c r="D248" s="25" t="str">
        <f>'2.1. DM'!D259</f>
        <v>Genbank</v>
      </c>
      <c r="E248" s="25">
        <f>'2.1. DM'!E248</f>
        <v>30</v>
      </c>
      <c r="F248" s="25" t="str">
        <f>'2.1. DM'!F248</f>
        <v>F260016</v>
      </c>
      <c r="G248" s="25" t="str">
        <f>'2.1. DM'!G248</f>
        <v>CIAT997</v>
      </c>
      <c r="H248" s="25" t="str">
        <f>'2.1. DM'!H248</f>
        <v>Macroptilium</v>
      </c>
      <c r="I248" s="25" t="str">
        <f>'2.1. DM'!I248</f>
        <v>atropurpureum</v>
      </c>
      <c r="J248" s="25" t="str">
        <f>'2.1. DM'!J248</f>
        <v>Macroptilium atropurpureum</v>
      </c>
      <c r="K248" s="25" t="str">
        <f>'2.1. DM'!K248</f>
        <v>Fabaceae</v>
      </c>
      <c r="L248" s="25" t="str">
        <f>'2.1. DM'!L248</f>
        <v>Fabales</v>
      </c>
      <c r="M248" s="25" t="str">
        <f>'2.1. DM'!M248</f>
        <v>Herbaceous</v>
      </c>
      <c r="N248" s="25" t="str">
        <f>'2.1. DM'!N248</f>
        <v>64,65,71</v>
      </c>
      <c r="O248" s="25" t="str">
        <f>'2.1. DM'!O248</f>
        <v>OT-002(2026)</v>
      </c>
      <c r="Q248" s="76">
        <v>32.800451429541404</v>
      </c>
      <c r="R248" s="341"/>
    </row>
    <row r="249" spans="2:18" x14ac:dyDescent="0.35">
      <c r="B249" s="25">
        <f>'2.1. DM'!B249</f>
        <v>239</v>
      </c>
      <c r="C249" s="25">
        <f>'2.1. DM'!C259</f>
        <v>46062</v>
      </c>
      <c r="D249" s="25" t="str">
        <f>'2.1. DM'!D261</f>
        <v>Genbank</v>
      </c>
      <c r="E249" s="25">
        <f>'2.1. DM'!E249</f>
        <v>30</v>
      </c>
      <c r="F249" s="25" t="str">
        <f>'2.1. DM'!F249</f>
        <v>F260017</v>
      </c>
      <c r="G249" s="25" t="str">
        <f>'2.1. DM'!G249</f>
        <v>CIAT1405</v>
      </c>
      <c r="H249" s="25" t="str">
        <f>'2.1. DM'!H249</f>
        <v>Stylosanthes</v>
      </c>
      <c r="I249" s="25" t="str">
        <f>'2.1. DM'!I249</f>
        <v>capitata</v>
      </c>
      <c r="J249" s="25" t="str">
        <f>'2.1. DM'!J249</f>
        <v>Stylosanthes capitata</v>
      </c>
      <c r="K249" s="25" t="str">
        <f>'2.1. DM'!K249</f>
        <v>Fabaceae</v>
      </c>
      <c r="L249" s="25" t="str">
        <f>'2.1. DM'!L249</f>
        <v>Fabales</v>
      </c>
      <c r="M249" s="25" t="str">
        <f>'2.1. DM'!M249</f>
        <v>Herbaceous</v>
      </c>
      <c r="N249" s="25" t="str">
        <f>'2.1. DM'!N249</f>
        <v>64,65,71</v>
      </c>
      <c r="O249" s="25" t="str">
        <f>'2.1. DM'!O249</f>
        <v>OT-002(2026)</v>
      </c>
      <c r="Q249" s="76">
        <v>44.132455868154253</v>
      </c>
      <c r="R249" s="341">
        <f t="shared" si="31"/>
        <v>43.375423456174161</v>
      </c>
    </row>
    <row r="250" spans="2:18" x14ac:dyDescent="0.35">
      <c r="B250" s="25">
        <f>'2.1. DM'!B250</f>
        <v>240</v>
      </c>
      <c r="C250" s="25">
        <f>'2.1. DM'!C261</f>
        <v>46062</v>
      </c>
      <c r="D250" s="25" t="str">
        <f>'2.1. DM'!D263</f>
        <v>Genbank</v>
      </c>
      <c r="E250" s="25">
        <f>'2.1. DM'!E250</f>
        <v>30</v>
      </c>
      <c r="F250" s="25" t="str">
        <f>'2.1. DM'!F250</f>
        <v>F260017</v>
      </c>
      <c r="G250" s="25" t="str">
        <f>'2.1. DM'!G250</f>
        <v>CIAT1405</v>
      </c>
      <c r="H250" s="25" t="str">
        <f>'2.1. DM'!H250</f>
        <v>Stylosanthes</v>
      </c>
      <c r="I250" s="25" t="str">
        <f>'2.1. DM'!I250</f>
        <v>capitata</v>
      </c>
      <c r="J250" s="25" t="str">
        <f>'2.1. DM'!J250</f>
        <v>Stylosanthes capitata</v>
      </c>
      <c r="K250" s="25" t="str">
        <f>'2.1. DM'!K250</f>
        <v>Fabaceae</v>
      </c>
      <c r="L250" s="25" t="str">
        <f>'2.1. DM'!L250</f>
        <v>Fabales</v>
      </c>
      <c r="M250" s="25" t="str">
        <f>'2.1. DM'!M250</f>
        <v>Herbaceous</v>
      </c>
      <c r="N250" s="25" t="str">
        <f>'2.1. DM'!N250</f>
        <v>64,65,71</v>
      </c>
      <c r="O250" s="25" t="str">
        <f>'2.1. DM'!O250</f>
        <v>OT-002(2026)</v>
      </c>
      <c r="Q250" s="76">
        <v>42.618391044194063</v>
      </c>
      <c r="R250" s="341"/>
    </row>
    <row r="251" spans="2:18" x14ac:dyDescent="0.35">
      <c r="B251" s="25">
        <f>'2.1. DM'!B251</f>
        <v>241</v>
      </c>
      <c r="C251" s="25">
        <f>'2.1. DM'!C263</f>
        <v>46062</v>
      </c>
      <c r="D251" s="25" t="str">
        <f>'2.1. DM'!D265</f>
        <v>Genbank</v>
      </c>
      <c r="E251" s="25">
        <f>'2.1. DM'!E251</f>
        <v>30</v>
      </c>
      <c r="F251" s="25" t="str">
        <f>'2.1. DM'!F251</f>
        <v>F260018</v>
      </c>
      <c r="G251" s="25" t="str">
        <f>'2.1. DM'!G251</f>
        <v>CIAT1812</v>
      </c>
      <c r="H251" s="25" t="str">
        <f>'2.1. DM'!H251</f>
        <v>Stylosanthes</v>
      </c>
      <c r="I251" s="25" t="str">
        <f>'2.1. DM'!I251</f>
        <v>viscosa</v>
      </c>
      <c r="J251" s="25" t="str">
        <f>'2.1. DM'!J251</f>
        <v>Stylosanthes viscosa</v>
      </c>
      <c r="K251" s="25" t="str">
        <f>'2.1. DM'!K251</f>
        <v>Fabaceae</v>
      </c>
      <c r="L251" s="25" t="str">
        <f>'2.1. DM'!L251</f>
        <v>Fabales</v>
      </c>
      <c r="M251" s="25" t="str">
        <f>'2.1. DM'!M251</f>
        <v>Herbaceous</v>
      </c>
      <c r="N251" s="25" t="str">
        <f>'2.1. DM'!N251</f>
        <v>64,65,71</v>
      </c>
      <c r="O251" s="25" t="str">
        <f>'2.1. DM'!O251</f>
        <v>OT-002(2026)</v>
      </c>
      <c r="Q251" s="76">
        <v>43.602826669093879</v>
      </c>
      <c r="R251" s="341">
        <f t="shared" si="31"/>
        <v>44.098180614205525</v>
      </c>
    </row>
    <row r="252" spans="2:18" x14ac:dyDescent="0.35">
      <c r="B252" s="25">
        <f>'2.1. DM'!B252</f>
        <v>242</v>
      </c>
      <c r="C252" s="25">
        <f>'2.1. DM'!C265</f>
        <v>46062</v>
      </c>
      <c r="D252" s="25" t="str">
        <f>'2.1. DM'!D267</f>
        <v>Genbank</v>
      </c>
      <c r="E252" s="25">
        <f>'2.1. DM'!E252</f>
        <v>30</v>
      </c>
      <c r="F252" s="25" t="str">
        <f>'2.1. DM'!F252</f>
        <v>F260018</v>
      </c>
      <c r="G252" s="25" t="str">
        <f>'2.1. DM'!G252</f>
        <v>CIAT1812</v>
      </c>
      <c r="H252" s="25" t="str">
        <f>'2.1. DM'!H252</f>
        <v>Stylosanthes</v>
      </c>
      <c r="I252" s="25" t="str">
        <f>'2.1. DM'!I252</f>
        <v>viscosa</v>
      </c>
      <c r="J252" s="25" t="str">
        <f>'2.1. DM'!J252</f>
        <v>Stylosanthes viscosa</v>
      </c>
      <c r="K252" s="25" t="str">
        <f>'2.1. DM'!K252</f>
        <v>Fabaceae</v>
      </c>
      <c r="L252" s="25" t="str">
        <f>'2.1. DM'!L252</f>
        <v>Fabales</v>
      </c>
      <c r="M252" s="25" t="str">
        <f>'2.1. DM'!M252</f>
        <v>Herbaceous</v>
      </c>
      <c r="N252" s="25" t="str">
        <f>'2.1. DM'!N252</f>
        <v>64,65,71</v>
      </c>
      <c r="O252" s="25" t="str">
        <f>'2.1. DM'!O252</f>
        <v>OT-002(2026)</v>
      </c>
      <c r="Q252" s="76">
        <v>44.59353455931717</v>
      </c>
      <c r="R252" s="341"/>
    </row>
    <row r="253" spans="2:18" x14ac:dyDescent="0.35">
      <c r="B253" s="25">
        <f>'2.1. DM'!B253</f>
        <v>243</v>
      </c>
      <c r="C253" s="25">
        <f>'2.1. DM'!C267</f>
        <v>46062</v>
      </c>
      <c r="D253" s="25" t="str">
        <f>'2.1. DM'!D269</f>
        <v>Genbank</v>
      </c>
      <c r="E253" s="25">
        <f>'2.1. DM'!E253</f>
        <v>30</v>
      </c>
      <c r="F253" s="25" t="str">
        <f>'2.1. DM'!F253</f>
        <v>F260019</v>
      </c>
      <c r="G253" s="25" t="str">
        <f>'2.1. DM'!G253</f>
        <v>CIAT3694</v>
      </c>
      <c r="H253" s="25" t="str">
        <f>'2.1. DM'!H253</f>
        <v>Desmodium</v>
      </c>
      <c r="I253" s="25" t="str">
        <f>'2.1. DM'!I253</f>
        <v>sandwicense</v>
      </c>
      <c r="J253" s="25" t="str">
        <f>'2.1. DM'!J253</f>
        <v>Desmodium sandwicense</v>
      </c>
      <c r="K253" s="25" t="str">
        <f>'2.1. DM'!K253</f>
        <v>Fabaceae</v>
      </c>
      <c r="L253" s="25" t="str">
        <f>'2.1. DM'!L253</f>
        <v>Fabales</v>
      </c>
      <c r="M253" s="25" t="str">
        <f>'2.1. DM'!M253</f>
        <v>Herbaceous</v>
      </c>
      <c r="N253" s="25" t="str">
        <f>'2.1. DM'!N253</f>
        <v>64,65,71</v>
      </c>
      <c r="O253" s="25" t="str">
        <f>'2.1. DM'!O253</f>
        <v>OT-002(2026)</v>
      </c>
      <c r="Q253" s="76">
        <v>45.965430241502858</v>
      </c>
      <c r="R253" s="341">
        <f t="shared" si="31"/>
        <v>46.558940276123124</v>
      </c>
    </row>
    <row r="254" spans="2:18" x14ac:dyDescent="0.35">
      <c r="B254" s="25">
        <f>'2.1. DM'!B254</f>
        <v>244</v>
      </c>
      <c r="C254" s="25">
        <f>'2.1. DM'!C269</f>
        <v>46062</v>
      </c>
      <c r="D254" s="25" t="str">
        <f>'2.1. DM'!D271</f>
        <v>Genbank</v>
      </c>
      <c r="E254" s="25">
        <f>'2.1. DM'!E254</f>
        <v>30</v>
      </c>
      <c r="F254" s="25" t="str">
        <f>'2.1. DM'!F254</f>
        <v>F260019</v>
      </c>
      <c r="G254" s="25" t="str">
        <f>'2.1. DM'!G254</f>
        <v>CIAT3694</v>
      </c>
      <c r="H254" s="25" t="str">
        <f>'2.1. DM'!H254</f>
        <v>Desmodium</v>
      </c>
      <c r="I254" s="25" t="str">
        <f>'2.1. DM'!I254</f>
        <v>sandwicense</v>
      </c>
      <c r="J254" s="25" t="str">
        <f>'2.1. DM'!J254</f>
        <v>Desmodium sandwicense</v>
      </c>
      <c r="K254" s="25" t="str">
        <f>'2.1. DM'!K254</f>
        <v>Fabaceae</v>
      </c>
      <c r="L254" s="25" t="str">
        <f>'2.1. DM'!L254</f>
        <v>Fabales</v>
      </c>
      <c r="M254" s="25" t="str">
        <f>'2.1. DM'!M254</f>
        <v>Herbaceous</v>
      </c>
      <c r="N254" s="25" t="str">
        <f>'2.1. DM'!N254</f>
        <v>64,65,71</v>
      </c>
      <c r="O254" s="25" t="str">
        <f>'2.1. DM'!O254</f>
        <v>OT-002(2026)</v>
      </c>
      <c r="Q254" s="76">
        <v>47.15245031074339</v>
      </c>
      <c r="R254" s="341"/>
    </row>
    <row r="255" spans="2:18" x14ac:dyDescent="0.35">
      <c r="B255" s="25">
        <f>'2.1. DM'!B255</f>
        <v>245</v>
      </c>
      <c r="C255" s="25">
        <f>'2.1. DM'!C271</f>
        <v>46062</v>
      </c>
      <c r="D255" s="25" t="str">
        <f>'2.1. DM'!D273</f>
        <v>Genbank</v>
      </c>
      <c r="E255" s="25">
        <f>'2.1. DM'!E255</f>
        <v>30</v>
      </c>
      <c r="F255" s="25" t="str">
        <f>'2.1. DM'!F255</f>
        <v>F260020</v>
      </c>
      <c r="G255" s="25" t="str">
        <f>'2.1. DM'!G255</f>
        <v>CIAT4080</v>
      </c>
      <c r="H255" s="25" t="str">
        <f>'2.1. DM'!H255</f>
        <v>Macroptilium</v>
      </c>
      <c r="I255" s="25" t="str">
        <f>'2.1. DM'!I255</f>
        <v>bracteatum</v>
      </c>
      <c r="J255" s="25" t="str">
        <f>'2.1. DM'!J255</f>
        <v>Macroptilium bracteatum</v>
      </c>
      <c r="K255" s="25" t="str">
        <f>'2.1. DM'!K255</f>
        <v>Fabaceae</v>
      </c>
      <c r="L255" s="25" t="str">
        <f>'2.1. DM'!L255</f>
        <v>Fabales</v>
      </c>
      <c r="M255" s="25" t="str">
        <f>'2.1. DM'!M255</f>
        <v>Herbaceous</v>
      </c>
      <c r="N255" s="25" t="str">
        <f>'2.1. DM'!N255</f>
        <v>64,65,71</v>
      </c>
      <c r="O255" s="25" t="str">
        <f>'2.1. DM'!O255</f>
        <v>OT-002(2026)</v>
      </c>
      <c r="Q255" s="76">
        <v>30.313039919885476</v>
      </c>
      <c r="R255" s="341">
        <f t="shared" si="31"/>
        <v>30.66930525302087</v>
      </c>
    </row>
    <row r="256" spans="2:18" x14ac:dyDescent="0.35">
      <c r="B256" s="25">
        <f>'2.1. DM'!B256</f>
        <v>246</v>
      </c>
      <c r="C256" s="25">
        <f>'2.1. DM'!C273</f>
        <v>46062</v>
      </c>
      <c r="D256" s="25" t="str">
        <f>'2.1. DM'!D275</f>
        <v>Genbank</v>
      </c>
      <c r="E256" s="25">
        <f>'2.1. DM'!E256</f>
        <v>30</v>
      </c>
      <c r="F256" s="25" t="str">
        <f>'2.1. DM'!F256</f>
        <v>F260020</v>
      </c>
      <c r="G256" s="25" t="str">
        <f>'2.1. DM'!G256</f>
        <v>CIAT4080</v>
      </c>
      <c r="H256" s="25" t="str">
        <f>'2.1. DM'!H256</f>
        <v>Macroptilium</v>
      </c>
      <c r="I256" s="25" t="str">
        <f>'2.1. DM'!I256</f>
        <v>bracteatum</v>
      </c>
      <c r="J256" s="25" t="str">
        <f>'2.1. DM'!J256</f>
        <v>Macroptilium bracteatum</v>
      </c>
      <c r="K256" s="25" t="str">
        <f>'2.1. DM'!K256</f>
        <v>Fabaceae</v>
      </c>
      <c r="L256" s="25" t="str">
        <f>'2.1. DM'!L256</f>
        <v>Fabales</v>
      </c>
      <c r="M256" s="25" t="str">
        <f>'2.1. DM'!M256</f>
        <v>Herbaceous</v>
      </c>
      <c r="N256" s="25" t="str">
        <f>'2.1. DM'!N256</f>
        <v>64,65,71</v>
      </c>
      <c r="O256" s="25" t="str">
        <f>'2.1. DM'!O256</f>
        <v>OT-002(2026)</v>
      </c>
      <c r="Q256" s="76">
        <v>31.025570586156263</v>
      </c>
      <c r="R256" s="341"/>
    </row>
    <row r="257" spans="2:18" x14ac:dyDescent="0.35">
      <c r="B257" s="25">
        <f>'2.1. DM'!B257</f>
        <v>247</v>
      </c>
      <c r="C257" s="25">
        <f>'2.1. DM'!C275</f>
        <v>46062</v>
      </c>
      <c r="D257" s="25" t="str">
        <f>'2.1. DM'!D277</f>
        <v>Genbank</v>
      </c>
      <c r="E257" s="25">
        <f>'2.1. DM'!E257</f>
        <v>30</v>
      </c>
      <c r="F257" s="25" t="str">
        <f>'2.1. DM'!F257</f>
        <v>F260021</v>
      </c>
      <c r="G257" s="25" t="str">
        <f>'2.1. DM'!G257</f>
        <v>CIAT7162</v>
      </c>
      <c r="H257" s="25" t="str">
        <f>'2.1. DM'!H257</f>
        <v>Indigofera</v>
      </c>
      <c r="I257" s="25" t="str">
        <f>'2.1. DM'!I257</f>
        <v>jamaicensis</v>
      </c>
      <c r="J257" s="25" t="str">
        <f>'2.1. DM'!J257</f>
        <v>Indigofera jamaicensis</v>
      </c>
      <c r="K257" s="25" t="str">
        <f>'2.1. DM'!K257</f>
        <v>Fabaceae</v>
      </c>
      <c r="L257" s="25" t="str">
        <f>'2.1. DM'!L257</f>
        <v>Fabales</v>
      </c>
      <c r="M257" s="25" t="str">
        <f>'2.1. DM'!M257</f>
        <v>Herbaceous</v>
      </c>
      <c r="N257" s="25" t="str">
        <f>'2.1. DM'!N257</f>
        <v>64,65,71</v>
      </c>
      <c r="O257" s="25" t="str">
        <f>'2.1. DM'!O257</f>
        <v>OT-002(2026)</v>
      </c>
      <c r="Q257" s="76">
        <v>32.754781601816369</v>
      </c>
      <c r="R257" s="341">
        <f t="shared" si="31"/>
        <v>32.326181081453683</v>
      </c>
    </row>
    <row r="258" spans="2:18" x14ac:dyDescent="0.35">
      <c r="B258" s="25">
        <f>'2.1. DM'!B258</f>
        <v>248</v>
      </c>
      <c r="C258" s="25">
        <f>'2.1. DM'!C277</f>
        <v>46062</v>
      </c>
      <c r="D258" s="25" t="str">
        <f>'2.1. DM'!D279</f>
        <v>Genbank</v>
      </c>
      <c r="E258" s="25">
        <f>'2.1. DM'!E258</f>
        <v>30</v>
      </c>
      <c r="F258" s="25" t="str">
        <f>'2.1. DM'!F258</f>
        <v>F260021</v>
      </c>
      <c r="G258" s="25" t="str">
        <f>'2.1. DM'!G258</f>
        <v>CIAT7162</v>
      </c>
      <c r="H258" s="25" t="str">
        <f>'2.1. DM'!H258</f>
        <v>Indigofera</v>
      </c>
      <c r="I258" s="25" t="str">
        <f>'2.1. DM'!I258</f>
        <v>jamaicensis</v>
      </c>
      <c r="J258" s="25" t="str">
        <f>'2.1. DM'!J258</f>
        <v>Indigofera jamaicensis</v>
      </c>
      <c r="K258" s="25" t="str">
        <f>'2.1. DM'!K258</f>
        <v>Fabaceae</v>
      </c>
      <c r="L258" s="25" t="str">
        <f>'2.1. DM'!L258</f>
        <v>Fabales</v>
      </c>
      <c r="M258" s="25" t="str">
        <f>'2.1. DM'!M258</f>
        <v>Herbaceous</v>
      </c>
      <c r="N258" s="25" t="str">
        <f>'2.1. DM'!N258</f>
        <v>64,65,71</v>
      </c>
      <c r="O258" s="25" t="str">
        <f>'2.1. DM'!O258</f>
        <v>OT-002(2026)</v>
      </c>
      <c r="Q258" s="76">
        <v>31.897580561090997</v>
      </c>
      <c r="R258" s="341"/>
    </row>
    <row r="259" spans="2:18" x14ac:dyDescent="0.35">
      <c r="B259" s="25">
        <f>'2.1. DM'!B259</f>
        <v>249</v>
      </c>
      <c r="C259" s="25">
        <f>'2.1. DM'!C279</f>
        <v>46062</v>
      </c>
      <c r="D259" s="25" t="str">
        <f>'2.1. DM'!D281</f>
        <v>Genbank</v>
      </c>
      <c r="E259" s="25">
        <f>'2.1. DM'!E259</f>
        <v>30</v>
      </c>
      <c r="F259" s="25" t="str">
        <f>'2.1. DM'!F259</f>
        <v>F260022</v>
      </c>
      <c r="G259" s="25" t="str">
        <f>'2.1. DM'!G259</f>
        <v>CIAT8820</v>
      </c>
      <c r="H259" s="25" t="str">
        <f>'2.1. DM'!H259</f>
        <v>Tephrosia</v>
      </c>
      <c r="I259" s="25" t="str">
        <f>'2.1. DM'!I259</f>
        <v>cinerea</v>
      </c>
      <c r="J259" s="25" t="str">
        <f>'2.1. DM'!J259</f>
        <v>Tephrosia cinerea</v>
      </c>
      <c r="K259" s="25" t="str">
        <f>'2.1. DM'!K259</f>
        <v>Fabaceae</v>
      </c>
      <c r="L259" s="25" t="str">
        <f>'2.1. DM'!L259</f>
        <v>Fabales</v>
      </c>
      <c r="M259" s="25" t="str">
        <f>'2.1. DM'!M259</f>
        <v>Herbaceous</v>
      </c>
      <c r="N259" s="25" t="str">
        <f>'2.1. DM'!N259</f>
        <v>64,65,71</v>
      </c>
      <c r="O259" s="25" t="str">
        <f>'2.1. DM'!O259</f>
        <v>OT-002(2026)</v>
      </c>
      <c r="Q259" s="76">
        <v>33.689614466682634</v>
      </c>
      <c r="R259" s="341">
        <f t="shared" si="31"/>
        <v>33.639866136112879</v>
      </c>
    </row>
    <row r="260" spans="2:18" x14ac:dyDescent="0.35">
      <c r="B260" s="25">
        <f>'2.1. DM'!B260</f>
        <v>250</v>
      </c>
      <c r="C260" s="25">
        <f>'2.1. DM'!C281</f>
        <v>46062</v>
      </c>
      <c r="D260" s="25" t="str">
        <f>'2.1. DM'!D283</f>
        <v>Genbank</v>
      </c>
      <c r="E260" s="25">
        <f>'2.1. DM'!E260</f>
        <v>30</v>
      </c>
      <c r="F260" s="25" t="str">
        <f>'2.1. DM'!F260</f>
        <v>F260022</v>
      </c>
      <c r="G260" s="25" t="str">
        <f>'2.1. DM'!G260</f>
        <v>CIAT8820</v>
      </c>
      <c r="H260" s="25" t="str">
        <f>'2.1. DM'!H260</f>
        <v>Tephrosia</v>
      </c>
      <c r="I260" s="25" t="str">
        <f>'2.1. DM'!I260</f>
        <v>cinerea</v>
      </c>
      <c r="J260" s="25" t="str">
        <f>'2.1. DM'!J260</f>
        <v>Tephrosia cinerea</v>
      </c>
      <c r="K260" s="25" t="str">
        <f>'2.1. DM'!K260</f>
        <v>Fabaceae</v>
      </c>
      <c r="L260" s="25" t="str">
        <f>'2.1. DM'!L260</f>
        <v>Fabales</v>
      </c>
      <c r="M260" s="25" t="str">
        <f>'2.1. DM'!M260</f>
        <v>Herbaceous</v>
      </c>
      <c r="N260" s="25" t="str">
        <f>'2.1. DM'!N260</f>
        <v>64,65,71</v>
      </c>
      <c r="O260" s="25" t="str">
        <f>'2.1. DM'!O260</f>
        <v>OT-002(2026)</v>
      </c>
      <c r="Q260" s="76">
        <v>33.590117805543123</v>
      </c>
      <c r="R260" s="341"/>
    </row>
    <row r="261" spans="2:18" x14ac:dyDescent="0.35">
      <c r="B261" s="25">
        <f>'2.1. DM'!B261</f>
        <v>251</v>
      </c>
      <c r="C261" s="25">
        <f>'2.1. DM'!C283</f>
        <v>46062</v>
      </c>
      <c r="D261" s="25" t="str">
        <f>'2.1. DM'!D285</f>
        <v>Genbank</v>
      </c>
      <c r="E261" s="25">
        <f>'2.1. DM'!E261</f>
        <v>30</v>
      </c>
      <c r="F261" s="25" t="str">
        <f>'2.1. DM'!F261</f>
        <v>F260023</v>
      </c>
      <c r="G261" s="25" t="str">
        <f>'2.1. DM'!G261</f>
        <v>CIAT14080</v>
      </c>
      <c r="H261" s="25" t="str">
        <f>'2.1. DM'!H261</f>
        <v>Zornia</v>
      </c>
      <c r="I261" s="25" t="str">
        <f>'2.1. DM'!I261</f>
        <v>brasiliensis</v>
      </c>
      <c r="J261" s="25" t="str">
        <f>'2.1. DM'!J261</f>
        <v>Zornia brasiliensis</v>
      </c>
      <c r="K261" s="25" t="str">
        <f>'2.1. DM'!K261</f>
        <v>Fabaceae</v>
      </c>
      <c r="L261" s="25" t="str">
        <f>'2.1. DM'!L261</f>
        <v>Fabales</v>
      </c>
      <c r="M261" s="25" t="str">
        <f>'2.1. DM'!M261</f>
        <v>Herbaceous</v>
      </c>
      <c r="N261" s="25" t="str">
        <f>'2.1. DM'!N261</f>
        <v>64,65,71</v>
      </c>
      <c r="O261" s="25" t="str">
        <f>'2.1. DM'!O261</f>
        <v>OT-002(2026)</v>
      </c>
      <c r="Q261" s="76">
        <v>28.670794113689613</v>
      </c>
      <c r="R261" s="341">
        <f t="shared" si="31"/>
        <v>27.717552666771539</v>
      </c>
    </row>
    <row r="262" spans="2:18" x14ac:dyDescent="0.35">
      <c r="B262" s="25">
        <f>'2.1. DM'!B262</f>
        <v>252</v>
      </c>
      <c r="C262" s="25">
        <f>'2.1. DM'!C285</f>
        <v>46062</v>
      </c>
      <c r="D262" s="25" t="e">
        <f>'2.1. DM'!#REF!</f>
        <v>#REF!</v>
      </c>
      <c r="E262" s="25">
        <f>'2.1. DM'!E262</f>
        <v>30</v>
      </c>
      <c r="F262" s="25" t="str">
        <f>'2.1. DM'!F262</f>
        <v>F260023</v>
      </c>
      <c r="G262" s="25" t="str">
        <f>'2.1. DM'!G262</f>
        <v>CIAT14080</v>
      </c>
      <c r="H262" s="25" t="str">
        <f>'2.1. DM'!H262</f>
        <v>Zornia</v>
      </c>
      <c r="I262" s="25" t="str">
        <f>'2.1. DM'!I262</f>
        <v>brasiliensis</v>
      </c>
      <c r="J262" s="25" t="str">
        <f>'2.1. DM'!J262</f>
        <v>Zornia brasiliensis</v>
      </c>
      <c r="K262" s="25" t="str">
        <f>'2.1. DM'!K262</f>
        <v>Fabaceae</v>
      </c>
      <c r="L262" s="25" t="str">
        <f>'2.1. DM'!L262</f>
        <v>Fabales</v>
      </c>
      <c r="M262" s="25" t="str">
        <f>'2.1. DM'!M262</f>
        <v>Herbaceous</v>
      </c>
      <c r="N262" s="25" t="str">
        <f>'2.1. DM'!N262</f>
        <v>64,65,71</v>
      </c>
      <c r="O262" s="25" t="str">
        <f>'2.1. DM'!O262</f>
        <v>OT-002(2026)</v>
      </c>
      <c r="Q262" s="76">
        <v>26.764311219853465</v>
      </c>
      <c r="R262" s="341"/>
    </row>
    <row r="263" spans="2:18" x14ac:dyDescent="0.35">
      <c r="B263" s="25">
        <f>'2.1. DM'!B263</f>
        <v>253</v>
      </c>
      <c r="C263" s="25" t="e">
        <f>'2.1. DM'!#REF!</f>
        <v>#REF!</v>
      </c>
      <c r="D263" s="25" t="e">
        <f>'2.1. DM'!#REF!</f>
        <v>#REF!</v>
      </c>
      <c r="E263" s="25">
        <f>'2.1. DM'!E263</f>
        <v>30</v>
      </c>
      <c r="F263" s="25" t="str">
        <f>'2.1. DM'!F263</f>
        <v>F260024</v>
      </c>
      <c r="G263" s="25" t="str">
        <f>'2.1. DM'!G263</f>
        <v>CIAT18950</v>
      </c>
      <c r="H263" s="25" t="str">
        <f>'2.1. DM'!H263</f>
        <v>Indigofera</v>
      </c>
      <c r="I263" s="25" t="str">
        <f>'2.1. DM'!I263</f>
        <v>spicata</v>
      </c>
      <c r="J263" s="25" t="str">
        <f>'2.1. DM'!J263</f>
        <v>Indigofera spicata</v>
      </c>
      <c r="K263" s="25" t="str">
        <f>'2.1. DM'!K263</f>
        <v>Fabaceae</v>
      </c>
      <c r="L263" s="25" t="str">
        <f>'2.1. DM'!L263</f>
        <v>Fabales</v>
      </c>
      <c r="M263" s="25" t="str">
        <f>'2.1. DM'!M263</f>
        <v>Herbaceous</v>
      </c>
      <c r="N263" s="25" t="str">
        <f>'2.1. DM'!N263</f>
        <v>64,65,71</v>
      </c>
      <c r="O263" s="25" t="str">
        <f>'2.1. DM'!O263</f>
        <v>OT-002(2026)</v>
      </c>
      <c r="Q263" s="76">
        <v>31.969867869760549</v>
      </c>
      <c r="R263" s="341">
        <f t="shared" si="31"/>
        <v>32.77642575122649</v>
      </c>
    </row>
    <row r="264" spans="2:18" x14ac:dyDescent="0.35">
      <c r="B264" s="25">
        <f>'2.1. DM'!B264</f>
        <v>254</v>
      </c>
      <c r="C264" s="25" t="e">
        <f>'2.1. DM'!#REF!</f>
        <v>#REF!</v>
      </c>
      <c r="D264" s="25" t="e">
        <f>'2.1. DM'!#REF!</f>
        <v>#REF!</v>
      </c>
      <c r="E264" s="25">
        <f>'2.1. DM'!E264</f>
        <v>30</v>
      </c>
      <c r="F264" s="25" t="str">
        <f>'2.1. DM'!F264</f>
        <v>F260024</v>
      </c>
      <c r="G264" s="25" t="str">
        <f>'2.1. DM'!G264</f>
        <v>CIAT18950</v>
      </c>
      <c r="H264" s="25" t="str">
        <f>'2.1. DM'!H264</f>
        <v>Indigofera</v>
      </c>
      <c r="I264" s="25" t="str">
        <f>'2.1. DM'!I264</f>
        <v>spicata</v>
      </c>
      <c r="J264" s="25" t="str">
        <f>'2.1. DM'!J264</f>
        <v>Indigofera spicata</v>
      </c>
      <c r="K264" s="25" t="str">
        <f>'2.1. DM'!K264</f>
        <v>Fabaceae</v>
      </c>
      <c r="L264" s="25" t="str">
        <f>'2.1. DM'!L264</f>
        <v>Fabales</v>
      </c>
      <c r="M264" s="25" t="str">
        <f>'2.1. DM'!M264</f>
        <v>Herbaceous</v>
      </c>
      <c r="N264" s="25" t="str">
        <f>'2.1. DM'!N264</f>
        <v>64,65,71</v>
      </c>
      <c r="O264" s="25" t="str">
        <f>'2.1. DM'!O264</f>
        <v>OT-002(2026)</v>
      </c>
      <c r="Q264" s="76">
        <v>33.582983632692432</v>
      </c>
      <c r="R264" s="341"/>
    </row>
    <row r="265" spans="2:18" x14ac:dyDescent="0.35">
      <c r="B265" s="25">
        <f>'2.1. DM'!B265</f>
        <v>255</v>
      </c>
      <c r="C265" s="25" t="e">
        <f>'2.1. DM'!#REF!</f>
        <v>#REF!</v>
      </c>
      <c r="D265" s="25" t="e">
        <f>'2.1. DM'!#REF!</f>
        <v>#REF!</v>
      </c>
      <c r="E265" s="25">
        <f>'2.1. DM'!E265</f>
        <v>30</v>
      </c>
      <c r="F265" s="25" t="str">
        <f>'2.1. DM'!F265</f>
        <v>F260025</v>
      </c>
      <c r="G265" s="25" t="str">
        <f>'2.1. DM'!G265</f>
        <v>CIAT19193</v>
      </c>
      <c r="H265" s="25" t="str">
        <f>'2.1. DM'!H265</f>
        <v>Tephrosia</v>
      </c>
      <c r="I265" s="25" t="str">
        <f>'2.1. DM'!I265</f>
        <v>villosa</v>
      </c>
      <c r="J265" s="25" t="str">
        <f>'2.1. DM'!J265</f>
        <v>Tephrosia villosa</v>
      </c>
      <c r="K265" s="25" t="str">
        <f>'2.1. DM'!K265</f>
        <v>Fabaceae</v>
      </c>
      <c r="L265" s="25" t="str">
        <f>'2.1. DM'!L265</f>
        <v>Fabales</v>
      </c>
      <c r="M265" s="25" t="str">
        <f>'2.1. DM'!M265</f>
        <v>Herbaceous</v>
      </c>
      <c r="N265" s="25" t="str">
        <f>'2.1. DM'!N265</f>
        <v>64,65,71</v>
      </c>
      <c r="O265" s="25" t="str">
        <f>'2.1. DM'!O265</f>
        <v>OT-002(2026)</v>
      </c>
      <c r="Q265" s="76">
        <v>35.022320836995476</v>
      </c>
      <c r="R265" s="341">
        <f t="shared" si="31"/>
        <v>35.281397651964426</v>
      </c>
    </row>
    <row r="266" spans="2:18" x14ac:dyDescent="0.35">
      <c r="B266" s="25">
        <f>'2.1. DM'!B266</f>
        <v>256</v>
      </c>
      <c r="C266" s="25" t="e">
        <f>'2.1. DM'!#REF!</f>
        <v>#REF!</v>
      </c>
      <c r="D266" s="25" t="e">
        <f>'2.1. DM'!#REF!</f>
        <v>#REF!</v>
      </c>
      <c r="E266" s="25">
        <f>'2.1. DM'!E266</f>
        <v>30</v>
      </c>
      <c r="F266" s="25" t="str">
        <f>'2.1. DM'!F266</f>
        <v>F260025</v>
      </c>
      <c r="G266" s="25" t="str">
        <f>'2.1. DM'!G266</f>
        <v>CIAT19193</v>
      </c>
      <c r="H266" s="25" t="str">
        <f>'2.1. DM'!H266</f>
        <v>Tephrosia</v>
      </c>
      <c r="I266" s="25" t="str">
        <f>'2.1. DM'!I266</f>
        <v>villosa</v>
      </c>
      <c r="J266" s="25" t="str">
        <f>'2.1. DM'!J266</f>
        <v>Tephrosia villosa</v>
      </c>
      <c r="K266" s="25" t="str">
        <f>'2.1. DM'!K266</f>
        <v>Fabaceae</v>
      </c>
      <c r="L266" s="25" t="str">
        <f>'2.1. DM'!L266</f>
        <v>Fabales</v>
      </c>
      <c r="M266" s="25" t="str">
        <f>'2.1. DM'!M266</f>
        <v>Herbaceous</v>
      </c>
      <c r="N266" s="25" t="str">
        <f>'2.1. DM'!N266</f>
        <v>64,65,71</v>
      </c>
      <c r="O266" s="25" t="str">
        <f>'2.1. DM'!O266</f>
        <v>OT-002(2026)</v>
      </c>
      <c r="Q266" s="76">
        <v>35.540474466933368</v>
      </c>
      <c r="R266" s="341"/>
    </row>
    <row r="267" spans="2:18" x14ac:dyDescent="0.35">
      <c r="B267" s="25">
        <f>'2.1. DM'!B267</f>
        <v>257</v>
      </c>
      <c r="C267" s="25" t="e">
        <f>'2.1. DM'!#REF!</f>
        <v>#REF!</v>
      </c>
      <c r="D267" s="25" t="e">
        <f>'2.1. DM'!#REF!</f>
        <v>#REF!</v>
      </c>
      <c r="E267" s="25">
        <f>'2.1. DM'!E267</f>
        <v>30</v>
      </c>
      <c r="F267" s="25" t="str">
        <f>'2.1. DM'!F267</f>
        <v>F260026</v>
      </c>
      <c r="G267" s="25" t="str">
        <f>'2.1. DM'!G267</f>
        <v>CIAT19641</v>
      </c>
      <c r="H267" s="25" t="str">
        <f>'2.1. DM'!H267</f>
        <v>Tephrosia</v>
      </c>
      <c r="I267" s="25" t="str">
        <f>'2.1. DM'!I267</f>
        <v>purpurea</v>
      </c>
      <c r="J267" s="25" t="str">
        <f>'2.1. DM'!J267</f>
        <v>Tephrosia purpurea</v>
      </c>
      <c r="K267" s="25" t="str">
        <f>'2.1. DM'!K267</f>
        <v>Fabaceae</v>
      </c>
      <c r="L267" s="25" t="str">
        <f>'2.1. DM'!L267</f>
        <v>Fabales</v>
      </c>
      <c r="M267" s="25" t="str">
        <f>'2.1. DM'!M267</f>
        <v>Herbaceous</v>
      </c>
      <c r="N267" s="25" t="str">
        <f>'2.1. DM'!N267</f>
        <v>64,65,71</v>
      </c>
      <c r="O267" s="25" t="str">
        <f>'2.1. DM'!O267</f>
        <v>OT-002(2026)</v>
      </c>
      <c r="Q267" s="76">
        <v>40.37681224259547</v>
      </c>
      <c r="R267" s="341">
        <f t="shared" si="31"/>
        <v>40.913699697455087</v>
      </c>
    </row>
    <row r="268" spans="2:18" x14ac:dyDescent="0.35">
      <c r="B268" s="25">
        <f>'2.1. DM'!B268</f>
        <v>258</v>
      </c>
      <c r="C268" s="25" t="e">
        <f>'2.1. DM'!#REF!</f>
        <v>#REF!</v>
      </c>
      <c r="D268" s="25" t="e">
        <f>'2.1. DM'!#REF!</f>
        <v>#REF!</v>
      </c>
      <c r="E268" s="25">
        <f>'2.1. DM'!E268</f>
        <v>30</v>
      </c>
      <c r="F268" s="25" t="str">
        <f>'2.1. DM'!F268</f>
        <v>F260026</v>
      </c>
      <c r="G268" s="25" t="str">
        <f>'2.1. DM'!G268</f>
        <v>CIAT19641</v>
      </c>
      <c r="H268" s="25" t="str">
        <f>'2.1. DM'!H268</f>
        <v>Tephrosia</v>
      </c>
      <c r="I268" s="25" t="str">
        <f>'2.1. DM'!I268</f>
        <v>purpurea</v>
      </c>
      <c r="J268" s="25" t="str">
        <f>'2.1. DM'!J268</f>
        <v>Tephrosia purpurea</v>
      </c>
      <c r="K268" s="25" t="str">
        <f>'2.1. DM'!K268</f>
        <v>Fabaceae</v>
      </c>
      <c r="L268" s="25" t="str">
        <f>'2.1. DM'!L268</f>
        <v>Fabales</v>
      </c>
      <c r="M268" s="25" t="str">
        <f>'2.1. DM'!M268</f>
        <v>Herbaceous</v>
      </c>
      <c r="N268" s="25" t="str">
        <f>'2.1. DM'!N268</f>
        <v>64,65,71</v>
      </c>
      <c r="O268" s="25" t="str">
        <f>'2.1. DM'!O268</f>
        <v>OT-002(2026)</v>
      </c>
      <c r="Q268" s="76">
        <v>41.450587152314696</v>
      </c>
      <c r="R268" s="341"/>
    </row>
    <row r="269" spans="2:18" x14ac:dyDescent="0.35">
      <c r="B269" s="25">
        <f>'2.1. DM'!B269</f>
        <v>259</v>
      </c>
      <c r="C269" s="25" t="e">
        <f>'2.1. DM'!#REF!</f>
        <v>#REF!</v>
      </c>
      <c r="D269" s="25" t="e">
        <f>'2.1. DM'!#REF!</f>
        <v>#REF!</v>
      </c>
      <c r="E269" s="25">
        <f>'2.1. DM'!E269</f>
        <v>30</v>
      </c>
      <c r="F269" s="25" t="str">
        <f>'2.1. DM'!F269</f>
        <v>F260027</v>
      </c>
      <c r="G269" s="25" t="str">
        <f>'2.1. DM'!G269</f>
        <v>CIAT23503</v>
      </c>
      <c r="H269" s="25" t="str">
        <f>'2.1. DM'!H269</f>
        <v>Desmodium</v>
      </c>
      <c r="I269" s="25" t="str">
        <f>'2.1. DM'!I269</f>
        <v>macrodesmum</v>
      </c>
      <c r="J269" s="25" t="str">
        <f>'2.1. DM'!J269</f>
        <v>Desmodium macrodesmum</v>
      </c>
      <c r="K269" s="25" t="str">
        <f>'2.1. DM'!K269</f>
        <v>Fabaceae</v>
      </c>
      <c r="L269" s="25" t="str">
        <f>'2.1. DM'!L269</f>
        <v>Fabales</v>
      </c>
      <c r="M269" s="25" t="str">
        <f>'2.1. DM'!M269</f>
        <v>Herbaceous</v>
      </c>
      <c r="N269" s="25" t="str">
        <f>'2.1. DM'!N269</f>
        <v>64,65,71</v>
      </c>
      <c r="O269" s="25" t="str">
        <f>'2.1. DM'!O269</f>
        <v>OT-002(2026)</v>
      </c>
      <c r="Q269" s="76">
        <v>40.546843005904165</v>
      </c>
      <c r="R269" s="341">
        <f t="shared" si="31"/>
        <v>40.307463209652106</v>
      </c>
    </row>
    <row r="270" spans="2:18" x14ac:dyDescent="0.35">
      <c r="B270" s="25">
        <f>'2.1. DM'!B270</f>
        <v>260</v>
      </c>
      <c r="C270" s="25" t="e">
        <f>'2.1. DM'!#REF!</f>
        <v>#REF!</v>
      </c>
      <c r="D270" s="25" t="e">
        <f>'2.1. DM'!#REF!</f>
        <v>#REF!</v>
      </c>
      <c r="E270" s="25">
        <f>'2.1. DM'!E270</f>
        <v>30</v>
      </c>
      <c r="F270" s="25" t="str">
        <f>'2.1. DM'!F270</f>
        <v>F260027</v>
      </c>
      <c r="G270" s="25" t="str">
        <f>'2.1. DM'!G270</f>
        <v>CIAT23503</v>
      </c>
      <c r="H270" s="25" t="str">
        <f>'2.1. DM'!H270</f>
        <v>Desmodium</v>
      </c>
      <c r="I270" s="25" t="str">
        <f>'2.1. DM'!I270</f>
        <v>macrodesmum</v>
      </c>
      <c r="J270" s="25" t="str">
        <f>'2.1. DM'!J270</f>
        <v>Desmodium macrodesmum</v>
      </c>
      <c r="K270" s="25" t="str">
        <f>'2.1. DM'!K270</f>
        <v>Fabaceae</v>
      </c>
      <c r="L270" s="25" t="str">
        <f>'2.1. DM'!L270</f>
        <v>Fabales</v>
      </c>
      <c r="M270" s="25" t="str">
        <f>'2.1. DM'!M270</f>
        <v>Herbaceous</v>
      </c>
      <c r="N270" s="25" t="str">
        <f>'2.1. DM'!N270</f>
        <v>64,65,71</v>
      </c>
      <c r="O270" s="25" t="str">
        <f>'2.1. DM'!O270</f>
        <v>OT-002(2026)</v>
      </c>
      <c r="Q270" s="76">
        <v>40.068083413400046</v>
      </c>
      <c r="R270" s="341"/>
    </row>
    <row r="271" spans="2:18" x14ac:dyDescent="0.35">
      <c r="B271" s="25">
        <f>'2.1. DM'!B271</f>
        <v>261</v>
      </c>
      <c r="C271" s="25" t="e">
        <f>'2.1. DM'!#REF!</f>
        <v>#REF!</v>
      </c>
      <c r="D271" s="25" t="e">
        <f>'2.1. DM'!#REF!</f>
        <v>#REF!</v>
      </c>
      <c r="E271" s="25">
        <f>'2.1. DM'!E271</f>
        <v>30</v>
      </c>
      <c r="F271" s="25" t="str">
        <f>'2.1. DM'!F271</f>
        <v>F260028</v>
      </c>
      <c r="G271" s="25" t="str">
        <f>'2.1. DM'!G271</f>
        <v>CIAT24333</v>
      </c>
      <c r="H271" s="25" t="str">
        <f>'2.1. DM'!H271</f>
        <v>Macroptilium</v>
      </c>
      <c r="I271" s="25" t="str">
        <f>'2.1. DM'!I271</f>
        <v>bracteatum</v>
      </c>
      <c r="J271" s="25" t="str">
        <f>'2.1. DM'!J271</f>
        <v>Macroptilium bracteatum</v>
      </c>
      <c r="K271" s="25" t="str">
        <f>'2.1. DM'!K271</f>
        <v>Fabaceae</v>
      </c>
      <c r="L271" s="25" t="str">
        <f>'2.1. DM'!L271</f>
        <v>Fabales</v>
      </c>
      <c r="M271" s="25" t="str">
        <f>'2.1. DM'!M271</f>
        <v>Herbaceous</v>
      </c>
      <c r="N271" s="25" t="str">
        <f>'2.1. DM'!N271</f>
        <v>64,65,71</v>
      </c>
      <c r="O271" s="25" t="str">
        <f>'2.1. DM'!O271</f>
        <v>OT-002(2026)</v>
      </c>
      <c r="Q271" s="76">
        <v>35.604784189325848</v>
      </c>
      <c r="R271" s="341">
        <f t="shared" si="31"/>
        <v>35.226786536406635</v>
      </c>
    </row>
    <row r="272" spans="2:18" x14ac:dyDescent="0.35">
      <c r="B272" s="25">
        <f>'2.1. DM'!B272</f>
        <v>262</v>
      </c>
      <c r="C272" s="25" t="e">
        <f>'2.1. DM'!#REF!</f>
        <v>#REF!</v>
      </c>
      <c r="D272" s="25" t="e">
        <f>'2.1. DM'!#REF!</f>
        <v>#REF!</v>
      </c>
      <c r="E272" s="25">
        <f>'2.1. DM'!E272</f>
        <v>30</v>
      </c>
      <c r="F272" s="25" t="str">
        <f>'2.1. DM'!F272</f>
        <v>F260028</v>
      </c>
      <c r="G272" s="25" t="str">
        <f>'2.1. DM'!G272</f>
        <v>CIAT24333</v>
      </c>
      <c r="H272" s="25" t="str">
        <f>'2.1. DM'!H272</f>
        <v>Macroptilium</v>
      </c>
      <c r="I272" s="25" t="str">
        <f>'2.1. DM'!I272</f>
        <v>bracteatum</v>
      </c>
      <c r="J272" s="25" t="str">
        <f>'2.1. DM'!J272</f>
        <v>Macroptilium bracteatum</v>
      </c>
      <c r="K272" s="25" t="str">
        <f>'2.1. DM'!K272</f>
        <v>Fabaceae</v>
      </c>
      <c r="L272" s="25" t="str">
        <f>'2.1. DM'!L272</f>
        <v>Fabales</v>
      </c>
      <c r="M272" s="25" t="str">
        <f>'2.1. DM'!M272</f>
        <v>Herbaceous</v>
      </c>
      <c r="N272" s="25" t="str">
        <f>'2.1. DM'!N272</f>
        <v>64,65,71</v>
      </c>
      <c r="O272" s="25" t="str">
        <f>'2.1. DM'!O272</f>
        <v>OT-002(2026)</v>
      </c>
      <c r="Q272" s="76">
        <v>34.848788883487423</v>
      </c>
      <c r="R272" s="341"/>
    </row>
    <row r="273" spans="2:18" x14ac:dyDescent="0.35">
      <c r="B273" s="25">
        <f>'2.1. DM'!B273</f>
        <v>263</v>
      </c>
      <c r="C273" s="25" t="e">
        <f>'2.1. DM'!#REF!</f>
        <v>#REF!</v>
      </c>
      <c r="D273" s="25" t="e">
        <f>'2.1. DM'!#REF!</f>
        <v>#REF!</v>
      </c>
      <c r="E273" s="25">
        <f>'2.1. DM'!E273</f>
        <v>30</v>
      </c>
      <c r="F273" s="25" t="str">
        <f>'2.1. DM'!F273</f>
        <v>F260029</v>
      </c>
      <c r="G273" s="25" t="str">
        <f>'2.1. DM'!G273</f>
        <v>CIAT33235</v>
      </c>
      <c r="H273" s="25" t="str">
        <f>'2.1. DM'!H273</f>
        <v>Desmodium</v>
      </c>
      <c r="I273" s="25" t="str">
        <f>'2.1. DM'!I273</f>
        <v>scorpiurus</v>
      </c>
      <c r="J273" s="25" t="str">
        <f>'2.1. DM'!J273</f>
        <v>Desmodium scorpiurus</v>
      </c>
      <c r="K273" s="25" t="str">
        <f>'2.1. DM'!K273</f>
        <v>Fabaceae</v>
      </c>
      <c r="L273" s="25" t="str">
        <f>'2.1. DM'!L273</f>
        <v>Fabales</v>
      </c>
      <c r="M273" s="25" t="str">
        <f>'2.1. DM'!M273</f>
        <v>Herbaceous</v>
      </c>
      <c r="N273" s="25" t="str">
        <f>'2.1. DM'!N273</f>
        <v>64,65,71</v>
      </c>
      <c r="O273" s="25" t="str">
        <f>'2.1. DM'!O273</f>
        <v>OT-002(2026)</v>
      </c>
      <c r="Q273" s="76">
        <v>42.487580164434476</v>
      </c>
      <c r="R273" s="341">
        <f t="shared" si="31"/>
        <v>43.50623775271827</v>
      </c>
    </row>
    <row r="274" spans="2:18" x14ac:dyDescent="0.35">
      <c r="B274" s="25">
        <f>'2.1. DM'!B274</f>
        <v>264</v>
      </c>
      <c r="C274" s="25" t="e">
        <f>'2.1. DM'!#REF!</f>
        <v>#REF!</v>
      </c>
      <c r="D274" s="25" t="e">
        <f>'2.1. DM'!#REF!</f>
        <v>#REF!</v>
      </c>
      <c r="E274" s="25">
        <f>'2.1. DM'!E274</f>
        <v>30</v>
      </c>
      <c r="F274" s="25" t="str">
        <f>'2.1. DM'!F274</f>
        <v>F260029</v>
      </c>
      <c r="G274" s="25" t="str">
        <f>'2.1. DM'!G274</f>
        <v>CIAT33235</v>
      </c>
      <c r="H274" s="25" t="str">
        <f>'2.1. DM'!H274</f>
        <v>Desmodium</v>
      </c>
      <c r="I274" s="25" t="str">
        <f>'2.1. DM'!I274</f>
        <v>scorpiurus</v>
      </c>
      <c r="J274" s="25" t="str">
        <f>'2.1. DM'!J274</f>
        <v>Desmodium scorpiurus</v>
      </c>
      <c r="K274" s="25" t="str">
        <f>'2.1. DM'!K274</f>
        <v>Fabaceae</v>
      </c>
      <c r="L274" s="25" t="str">
        <f>'2.1. DM'!L274</f>
        <v>Fabales</v>
      </c>
      <c r="M274" s="25" t="str">
        <f>'2.1. DM'!M274</f>
        <v>Herbaceous</v>
      </c>
      <c r="N274" s="25" t="str">
        <f>'2.1. DM'!N274</f>
        <v>64,65,71</v>
      </c>
      <c r="O274" s="25" t="str">
        <f>'2.1. DM'!O274</f>
        <v>OT-002(2026)</v>
      </c>
      <c r="Q274" s="76">
        <v>44.524895341002065</v>
      </c>
      <c r="R274" s="341"/>
    </row>
    <row r="275" spans="2:18" x14ac:dyDescent="0.35">
      <c r="B275" s="25">
        <f>'2.1. DM'!B275</f>
        <v>265</v>
      </c>
      <c r="C275" s="25"/>
      <c r="D275" s="25"/>
      <c r="E275" s="25">
        <f>'2.1. DM'!E275</f>
        <v>30</v>
      </c>
      <c r="F275" s="25" t="str">
        <f>'2.1. DM'!F275</f>
        <v>F260030</v>
      </c>
      <c r="G275" s="25" t="str">
        <f>'2.1. DM'!G275</f>
        <v>CIAT33605</v>
      </c>
      <c r="H275" s="25" t="str">
        <f>'2.1. DM'!H275</f>
        <v>Desmodium</v>
      </c>
      <c r="I275" s="25" t="str">
        <f>'2.1. DM'!I275</f>
        <v>sandwicense x intortum</v>
      </c>
      <c r="J275" s="25" t="str">
        <f>'2.1. DM'!J275</f>
        <v>Desmodium sandwicense x intortum</v>
      </c>
      <c r="K275" s="25" t="str">
        <f>'2.1. DM'!K275</f>
        <v>Fabaceae</v>
      </c>
      <c r="L275" s="25" t="str">
        <f>'2.1. DM'!L275</f>
        <v>Fabales</v>
      </c>
      <c r="M275" s="25" t="str">
        <f>'2.1. DM'!M275</f>
        <v>Herbaceous</v>
      </c>
      <c r="N275" s="25" t="str">
        <f>'2.1. DM'!N275</f>
        <v>64,65,71</v>
      </c>
      <c r="O275" s="25" t="str">
        <f>'2.1. DM'!O275</f>
        <v>OT-002(2026)</v>
      </c>
      <c r="Q275" s="76">
        <v>46.64076046802041</v>
      </c>
      <c r="R275" s="341">
        <f t="shared" si="31"/>
        <v>46.455608529818591</v>
      </c>
    </row>
    <row r="276" spans="2:18" x14ac:dyDescent="0.35">
      <c r="B276" s="25">
        <f>'2.1. DM'!B276</f>
        <v>266</v>
      </c>
      <c r="C276" s="25"/>
      <c r="D276" s="25"/>
      <c r="E276" s="25">
        <f>'2.1. DM'!E276</f>
        <v>30</v>
      </c>
      <c r="F276" s="25" t="str">
        <f>'2.1. DM'!F276</f>
        <v>F260030</v>
      </c>
      <c r="G276" s="25" t="str">
        <f>'2.1. DM'!G276</f>
        <v>CIAT33605</v>
      </c>
      <c r="H276" s="25" t="str">
        <f>'2.1. DM'!H276</f>
        <v>Desmodium</v>
      </c>
      <c r="I276" s="25" t="str">
        <f>'2.1. DM'!I276</f>
        <v>sandwicense x intortum</v>
      </c>
      <c r="J276" s="25" t="str">
        <f>'2.1. DM'!J276</f>
        <v>Desmodium sandwicense x intortum</v>
      </c>
      <c r="K276" s="25" t="str">
        <f>'2.1. DM'!K276</f>
        <v>Fabaceae</v>
      </c>
      <c r="L276" s="25" t="str">
        <f>'2.1. DM'!L276</f>
        <v>Fabales</v>
      </c>
      <c r="M276" s="25" t="str">
        <f>'2.1. DM'!M276</f>
        <v>Herbaceous</v>
      </c>
      <c r="N276" s="25" t="str">
        <f>'2.1. DM'!N276</f>
        <v>64,65,71</v>
      </c>
      <c r="O276" s="25" t="str">
        <f>'2.1. DM'!O276</f>
        <v>OT-002(2026)</v>
      </c>
      <c r="Q276" s="76">
        <v>46.270456591616771</v>
      </c>
      <c r="R276" s="341"/>
    </row>
    <row r="277" spans="2:18" x14ac:dyDescent="0.35">
      <c r="B277" s="25">
        <f>'2.1. DM'!B277</f>
        <v>267</v>
      </c>
      <c r="E277" s="25">
        <f>'2.1. DM'!E277</f>
        <v>30</v>
      </c>
      <c r="F277" s="25" t="str">
        <f>'2.1. DM'!F277</f>
        <v>F260031</v>
      </c>
      <c r="G277" s="25" t="str">
        <f>'2.1. DM'!G277</f>
        <v>CIAT34144</v>
      </c>
      <c r="H277" s="25" t="str">
        <f>'2.1. DM'!H277</f>
        <v>Vigna</v>
      </c>
      <c r="I277" s="25" t="str">
        <f>'2.1. DM'!I277</f>
        <v>radiata</v>
      </c>
      <c r="J277" s="25" t="str">
        <f>'2.1. DM'!J277</f>
        <v>Vigna radiata</v>
      </c>
      <c r="K277" s="25" t="str">
        <f>'2.1. DM'!K277</f>
        <v>Fabaceae</v>
      </c>
      <c r="L277" s="25" t="str">
        <f>'2.1. DM'!L277</f>
        <v>Fabales</v>
      </c>
      <c r="M277" s="25" t="str">
        <f>'2.1. DM'!M277</f>
        <v>Herbaceous</v>
      </c>
      <c r="N277" s="25" t="str">
        <f>'2.1. DM'!N277</f>
        <v>64,65,71</v>
      </c>
      <c r="O277" s="25" t="str">
        <f>'2.1. DM'!O277</f>
        <v>OT-002(2026)</v>
      </c>
      <c r="Q277" s="76">
        <v>21.642607364578097</v>
      </c>
      <c r="R277" s="341">
        <f t="shared" si="31"/>
        <v>21.590427688895382</v>
      </c>
    </row>
    <row r="278" spans="2:18" x14ac:dyDescent="0.35">
      <c r="B278" s="25">
        <f>'2.1. DM'!B278</f>
        <v>268</v>
      </c>
      <c r="E278" s="25">
        <f>'2.1. DM'!E278</f>
        <v>30</v>
      </c>
      <c r="F278" s="25" t="str">
        <f>'2.1. DM'!F278</f>
        <v>F260031</v>
      </c>
      <c r="G278" s="25" t="str">
        <f>'2.1. DM'!G278</f>
        <v>CIAT34144</v>
      </c>
      <c r="H278" s="25" t="str">
        <f>'2.1. DM'!H278</f>
        <v>Vigna</v>
      </c>
      <c r="I278" s="25" t="str">
        <f>'2.1. DM'!I278</f>
        <v>radiata</v>
      </c>
      <c r="J278" s="25" t="str">
        <f>'2.1. DM'!J278</f>
        <v>Vigna radiata</v>
      </c>
      <c r="K278" s="25" t="str">
        <f>'2.1. DM'!K278</f>
        <v>Fabaceae</v>
      </c>
      <c r="L278" s="25" t="str">
        <f>'2.1. DM'!L278</f>
        <v>Fabales</v>
      </c>
      <c r="M278" s="25" t="str">
        <f>'2.1. DM'!M278</f>
        <v>Herbaceous</v>
      </c>
      <c r="N278" s="25" t="str">
        <f>'2.1. DM'!N278</f>
        <v>64,65,71</v>
      </c>
      <c r="O278" s="25" t="str">
        <f>'2.1. DM'!O278</f>
        <v>OT-002(2026)</v>
      </c>
      <c r="Q278" s="76">
        <v>21.538248013212669</v>
      </c>
      <c r="R278" s="341"/>
    </row>
    <row r="279" spans="2:18" x14ac:dyDescent="0.35">
      <c r="B279" s="25">
        <f>'2.1. DM'!B279</f>
        <v>269</v>
      </c>
      <c r="E279" s="25">
        <f>'2.1. DM'!E279</f>
        <v>30</v>
      </c>
      <c r="F279" s="25" t="str">
        <f>'2.1. DM'!F279</f>
        <v>F260032</v>
      </c>
      <c r="G279" s="25" t="str">
        <f>'2.1. DM'!G279</f>
        <v>CIAT7934</v>
      </c>
      <c r="H279" s="25" t="str">
        <f>'2.1. DM'!H279</f>
        <v>Sesbania</v>
      </c>
      <c r="I279" s="25" t="str">
        <f>'2.1. DM'!I279</f>
        <v>sesban</v>
      </c>
      <c r="J279" s="25" t="str">
        <f>'2.1. DM'!J279</f>
        <v>Sesbania sesban</v>
      </c>
      <c r="K279" s="25" t="str">
        <f>'2.1. DM'!K279</f>
        <v>Fabaceae</v>
      </c>
      <c r="L279" s="25" t="str">
        <f>'2.1. DM'!L279</f>
        <v>Fabales</v>
      </c>
      <c r="M279" s="25" t="str">
        <f>'2.1. DM'!M279</f>
        <v>Shurb_Tree</v>
      </c>
      <c r="N279" s="25" t="str">
        <f>'2.1. DM'!N279</f>
        <v>64,65,71</v>
      </c>
      <c r="O279" s="25" t="str">
        <f>'2.1. DM'!O279</f>
        <v>OT-002(2026)</v>
      </c>
      <c r="Q279" s="76">
        <v>19.533611757771677</v>
      </c>
      <c r="R279" s="341">
        <f t="shared" si="31"/>
        <v>19.256703399431906</v>
      </c>
    </row>
    <row r="280" spans="2:18" x14ac:dyDescent="0.35">
      <c r="B280" s="25">
        <f>'2.1. DM'!B280</f>
        <v>270</v>
      </c>
      <c r="E280" s="25">
        <f>'2.1. DM'!E280</f>
        <v>30</v>
      </c>
      <c r="F280" s="25" t="str">
        <f>'2.1. DM'!F280</f>
        <v>F260032</v>
      </c>
      <c r="G280" s="25" t="str">
        <f>'2.1. DM'!G280</f>
        <v>CIAT7934</v>
      </c>
      <c r="H280" s="25" t="str">
        <f>'2.1. DM'!H280</f>
        <v>Sesbania</v>
      </c>
      <c r="I280" s="25" t="str">
        <f>'2.1. DM'!I280</f>
        <v>sesban</v>
      </c>
      <c r="J280" s="25" t="str">
        <f>'2.1. DM'!J280</f>
        <v>Sesbania sesban</v>
      </c>
      <c r="K280" s="25" t="str">
        <f>'2.1. DM'!K280</f>
        <v>Fabaceae</v>
      </c>
      <c r="L280" s="25" t="str">
        <f>'2.1. DM'!L280</f>
        <v>Fabales</v>
      </c>
      <c r="M280" s="25" t="str">
        <f>'2.1. DM'!M280</f>
        <v>Shurb_Tree</v>
      </c>
      <c r="N280" s="25" t="str">
        <f>'2.1. DM'!N280</f>
        <v>64,65,71</v>
      </c>
      <c r="O280" s="25" t="str">
        <f>'2.1. DM'!O280</f>
        <v>OT-002(2026)</v>
      </c>
      <c r="Q280" s="76">
        <v>18.979795041092135</v>
      </c>
      <c r="R280" s="341"/>
    </row>
    <row r="281" spans="2:18" x14ac:dyDescent="0.35">
      <c r="B281" s="25">
        <f>'2.1. DM'!B281</f>
        <v>271</v>
      </c>
      <c r="E281" s="25">
        <f>'2.1. DM'!E281</f>
        <v>30</v>
      </c>
      <c r="F281" s="25" t="str">
        <f>'2.1. DM'!F281</f>
        <v>F260033</v>
      </c>
      <c r="G281" s="25" t="str">
        <f>'2.1. DM'!G281</f>
        <v>CIAT7937</v>
      </c>
      <c r="H281" s="25" t="str">
        <f>'2.1. DM'!H281</f>
        <v>Mimosa</v>
      </c>
      <c r="I281" s="25" t="str">
        <f>'2.1. DM'!I281</f>
        <v>nuda</v>
      </c>
      <c r="J281" s="25" t="str">
        <f>'2.1. DM'!J281</f>
        <v>Mimosa nuda</v>
      </c>
      <c r="K281" s="25" t="str">
        <f>'2.1. DM'!K281</f>
        <v>Fabaceae</v>
      </c>
      <c r="L281" s="25" t="str">
        <f>'2.1. DM'!L281</f>
        <v>Fabales</v>
      </c>
      <c r="M281" s="25" t="str">
        <f>'2.1. DM'!M281</f>
        <v>Shurb_Tree</v>
      </c>
      <c r="N281" s="25" t="str">
        <f>'2.1. DM'!N281</f>
        <v>64,65,71</v>
      </c>
      <c r="O281" s="25" t="str">
        <f>'2.1. DM'!O281</f>
        <v>OT-002(2026)</v>
      </c>
      <c r="Q281" s="76">
        <v>42.241653058939491</v>
      </c>
      <c r="R281" s="341">
        <f t="shared" si="31"/>
        <v>42.432635958952673</v>
      </c>
    </row>
    <row r="282" spans="2:18" x14ac:dyDescent="0.35">
      <c r="B282" s="25">
        <f>'2.1. DM'!B282</f>
        <v>272</v>
      </c>
      <c r="E282" s="25">
        <f>'2.1. DM'!E282</f>
        <v>30</v>
      </c>
      <c r="F282" s="25" t="str">
        <f>'2.1. DM'!F282</f>
        <v>F260033</v>
      </c>
      <c r="G282" s="25" t="str">
        <f>'2.1. DM'!G282</f>
        <v>CIAT7937</v>
      </c>
      <c r="H282" s="25" t="str">
        <f>'2.1. DM'!H282</f>
        <v>Mimosa</v>
      </c>
      <c r="I282" s="25" t="str">
        <f>'2.1. DM'!I282</f>
        <v>nuda</v>
      </c>
      <c r="J282" s="25" t="str">
        <f>'2.1. DM'!J282</f>
        <v>Mimosa nuda</v>
      </c>
      <c r="K282" s="25" t="str">
        <f>'2.1. DM'!K282</f>
        <v>Fabaceae</v>
      </c>
      <c r="L282" s="25" t="str">
        <f>'2.1. DM'!L282</f>
        <v>Fabales</v>
      </c>
      <c r="M282" s="25" t="str">
        <f>'2.1. DM'!M282</f>
        <v>Shurb_Tree</v>
      </c>
      <c r="N282" s="25" t="str">
        <f>'2.1. DM'!N282</f>
        <v>64,65,71</v>
      </c>
      <c r="O282" s="25" t="str">
        <f>'2.1. DM'!O282</f>
        <v>OT-002(2026)</v>
      </c>
      <c r="Q282" s="76">
        <v>42.623618858965848</v>
      </c>
      <c r="R282" s="341"/>
    </row>
    <row r="283" spans="2:18" x14ac:dyDescent="0.35">
      <c r="B283" s="25">
        <f>'2.1. DM'!B283</f>
        <v>273</v>
      </c>
      <c r="E283" s="25">
        <f>'2.1. DM'!E283</f>
        <v>30</v>
      </c>
      <c r="F283" s="25" t="str">
        <f>'2.1. DM'!F283</f>
        <v>F260034</v>
      </c>
      <c r="G283" s="25" t="str">
        <f>'2.1. DM'!G283</f>
        <v>CIAT8056</v>
      </c>
      <c r="H283" s="25" t="str">
        <f>'2.1. DM'!H283</f>
        <v>Mimosa</v>
      </c>
      <c r="I283" s="25" t="str">
        <f>'2.1. DM'!I283</f>
        <v>diplotricha</v>
      </c>
      <c r="J283" s="25" t="str">
        <f>'2.1. DM'!J283</f>
        <v>Mimosa diplotricha</v>
      </c>
      <c r="K283" s="25" t="str">
        <f>'2.1. DM'!K283</f>
        <v>Fabaceae</v>
      </c>
      <c r="L283" s="25" t="str">
        <f>'2.1. DM'!L283</f>
        <v>Fabales</v>
      </c>
      <c r="M283" s="25" t="str">
        <f>'2.1. DM'!M283</f>
        <v>Shurb_Tree</v>
      </c>
      <c r="N283" s="25" t="str">
        <f>'2.1. DM'!N283</f>
        <v>64,65,71</v>
      </c>
      <c r="O283" s="25" t="str">
        <f>'2.1. DM'!O283</f>
        <v>OT-002(2026)</v>
      </c>
      <c r="Q283" s="76">
        <v>36.510605807060884</v>
      </c>
      <c r="R283" s="341">
        <f t="shared" si="31"/>
        <v>39.256096151615154</v>
      </c>
    </row>
    <row r="284" spans="2:18" x14ac:dyDescent="0.35">
      <c r="B284" s="25">
        <f>'2.1. DM'!B284</f>
        <v>274</v>
      </c>
      <c r="E284" s="25">
        <f>'2.1. DM'!E284</f>
        <v>30</v>
      </c>
      <c r="F284" s="25" t="str">
        <f>'2.1. DM'!F284</f>
        <v>F260034</v>
      </c>
      <c r="G284" s="25" t="str">
        <f>'2.1. DM'!G284</f>
        <v>CIAT8056</v>
      </c>
      <c r="H284" s="25" t="str">
        <f>'2.1. DM'!H284</f>
        <v>Mimosa</v>
      </c>
      <c r="I284" s="25" t="str">
        <f>'2.1. DM'!I284</f>
        <v>diplotricha</v>
      </c>
      <c r="J284" s="25" t="str">
        <f>'2.1. DM'!J284</f>
        <v>Mimosa diplotricha</v>
      </c>
      <c r="K284" s="25" t="str">
        <f>'2.1. DM'!K284</f>
        <v>Fabaceae</v>
      </c>
      <c r="L284" s="25" t="str">
        <f>'2.1. DM'!L284</f>
        <v>Fabales</v>
      </c>
      <c r="M284" s="25" t="str">
        <f>'2.1. DM'!M284</f>
        <v>Shurb_Tree</v>
      </c>
      <c r="N284" s="25" t="str">
        <f>'2.1. DM'!N284</f>
        <v>64,65,71</v>
      </c>
      <c r="O284" s="25" t="str">
        <f>'2.1. DM'!O284</f>
        <v>OT-002(2026)</v>
      </c>
      <c r="Q284" s="76">
        <v>42.001586496169423</v>
      </c>
      <c r="R284" s="341"/>
    </row>
    <row r="285" spans="2:18" x14ac:dyDescent="0.35">
      <c r="B285" s="25">
        <f>'2.1. DM'!B285</f>
        <v>275</v>
      </c>
      <c r="E285" s="25">
        <f>'2.1. DM'!E285</f>
        <v>30</v>
      </c>
      <c r="F285" s="25" t="str">
        <f>'2.1. DM'!F285</f>
        <v>F260035</v>
      </c>
      <c r="G285" s="25" t="str">
        <f>'2.1. DM'!G285</f>
        <v>CIAT17514</v>
      </c>
      <c r="H285" s="25" t="str">
        <f>'2.1. DM'!H285</f>
        <v>Mimosa</v>
      </c>
      <c r="I285" s="25" t="str">
        <f>'2.1. DM'!I285</f>
        <v>pudica</v>
      </c>
      <c r="J285" s="25" t="str">
        <f>'2.1. DM'!J285</f>
        <v>Mimosa pudica</v>
      </c>
      <c r="K285" s="25" t="str">
        <f>'2.1. DM'!K285</f>
        <v>Fabaceae</v>
      </c>
      <c r="L285" s="25" t="str">
        <f>'2.1. DM'!L285</f>
        <v>Fabales</v>
      </c>
      <c r="M285" s="25" t="str">
        <f>'2.1. DM'!M285</f>
        <v>Shurb_Tree</v>
      </c>
      <c r="N285" s="25" t="str">
        <f>'2.1. DM'!N285</f>
        <v>64,65,71</v>
      </c>
      <c r="O285" s="25" t="str">
        <f>'2.1. DM'!O285</f>
        <v>OT-002(2026)</v>
      </c>
      <c r="Q285" s="76">
        <v>41.756084698082859</v>
      </c>
      <c r="R285" s="341">
        <f t="shared" si="31"/>
        <v>41.152725185972685</v>
      </c>
    </row>
    <row r="286" spans="2:18" x14ac:dyDescent="0.35">
      <c r="B286" s="25">
        <f>'2.1. DM'!B286</f>
        <v>276</v>
      </c>
      <c r="E286" s="25">
        <f>'2.1. DM'!E286</f>
        <v>30</v>
      </c>
      <c r="F286" s="25" t="str">
        <f>'2.1. DM'!F286</f>
        <v>F260035</v>
      </c>
      <c r="G286" s="25" t="str">
        <f>'2.1. DM'!G286</f>
        <v>CIAT17514</v>
      </c>
      <c r="H286" s="25" t="str">
        <f>'2.1. DM'!H286</f>
        <v>Mimosa</v>
      </c>
      <c r="I286" s="25" t="str">
        <f>'2.1. DM'!I286</f>
        <v>pudica</v>
      </c>
      <c r="J286" s="25" t="str">
        <f>'2.1. DM'!J286</f>
        <v>Mimosa pudica</v>
      </c>
      <c r="K286" s="25" t="str">
        <f>'2.1. DM'!K286</f>
        <v>Fabaceae</v>
      </c>
      <c r="L286" s="25" t="str">
        <f>'2.1. DM'!L286</f>
        <v>Fabales</v>
      </c>
      <c r="M286" s="25" t="str">
        <f>'2.1. DM'!M286</f>
        <v>Shurb_Tree</v>
      </c>
      <c r="N286" s="25" t="str">
        <f>'2.1. DM'!N286</f>
        <v>64,65,71</v>
      </c>
      <c r="O286" s="25" t="str">
        <f>'2.1. DM'!O286</f>
        <v>OT-002(2026)</v>
      </c>
      <c r="Q286" s="76">
        <v>40.549365673862511</v>
      </c>
      <c r="R286" s="341"/>
    </row>
    <row r="287" spans="2:18" x14ac:dyDescent="0.35">
      <c r="B287" s="25">
        <f>'2.1. DM'!B287</f>
        <v>277</v>
      </c>
      <c r="E287" s="25">
        <f>'2.1. DM'!E287</f>
        <v>30</v>
      </c>
      <c r="F287" s="25" t="str">
        <f>'2.1. DM'!F287</f>
        <v>F260036</v>
      </c>
      <c r="G287" s="25" t="str">
        <f>'2.1. DM'!G287</f>
        <v>CIAT17725</v>
      </c>
      <c r="H287" s="25" t="str">
        <f>'2.1. DM'!H287</f>
        <v>Mimosa</v>
      </c>
      <c r="I287" s="25" t="str">
        <f>'2.1. DM'!I287</f>
        <v>polycarpa</v>
      </c>
      <c r="J287" s="25" t="str">
        <f>'2.1. DM'!J287</f>
        <v>Mimosa polycarpa</v>
      </c>
      <c r="K287" s="25" t="str">
        <f>'2.1. DM'!K287</f>
        <v>Fabaceae</v>
      </c>
      <c r="L287" s="25" t="str">
        <f>'2.1. DM'!L287</f>
        <v>Fabales</v>
      </c>
      <c r="M287" s="25" t="str">
        <f>'2.1. DM'!M287</f>
        <v>Shurb_Tree</v>
      </c>
      <c r="N287" s="25" t="str">
        <f>'2.1. DM'!N287</f>
        <v>64,65,71</v>
      </c>
      <c r="O287" s="25" t="str">
        <f>'2.1. DM'!O287</f>
        <v>OT-002(2026)</v>
      </c>
      <c r="Q287" s="76">
        <v>35.58179390335556</v>
      </c>
      <c r="R287" s="341">
        <f t="shared" si="31"/>
        <v>35.154390279538404</v>
      </c>
    </row>
    <row r="288" spans="2:18" x14ac:dyDescent="0.35">
      <c r="B288" s="25">
        <f>'2.1. DM'!B288</f>
        <v>278</v>
      </c>
      <c r="E288" s="25">
        <f>'2.1. DM'!E288</f>
        <v>30</v>
      </c>
      <c r="F288" s="25" t="str">
        <f>'2.1. DM'!F288</f>
        <v>F260036</v>
      </c>
      <c r="G288" s="25" t="str">
        <f>'2.1. DM'!G288</f>
        <v>CIAT17725</v>
      </c>
      <c r="H288" s="25" t="str">
        <f>'2.1. DM'!H288</f>
        <v>Mimosa</v>
      </c>
      <c r="I288" s="25" t="str">
        <f>'2.1. DM'!I288</f>
        <v>polycarpa</v>
      </c>
      <c r="J288" s="25" t="str">
        <f>'2.1. DM'!J288</f>
        <v>Mimosa polycarpa</v>
      </c>
      <c r="K288" s="25" t="str">
        <f>'2.1. DM'!K288</f>
        <v>Fabaceae</v>
      </c>
      <c r="L288" s="25" t="str">
        <f>'2.1. DM'!L288</f>
        <v>Fabales</v>
      </c>
      <c r="M288" s="25" t="str">
        <f>'2.1. DM'!M288</f>
        <v>Shurb_Tree</v>
      </c>
      <c r="N288" s="25" t="str">
        <f>'2.1. DM'!N288</f>
        <v>64,65,71</v>
      </c>
      <c r="O288" s="25" t="str">
        <f>'2.1. DM'!O288</f>
        <v>OT-002(2026)</v>
      </c>
      <c r="Q288" s="76">
        <v>34.726986655721255</v>
      </c>
      <c r="R288" s="341"/>
    </row>
    <row r="289" spans="2:18" x14ac:dyDescent="0.35">
      <c r="B289" s="25">
        <f>'2.1. DM'!B289</f>
        <v>279</v>
      </c>
      <c r="E289" s="25">
        <f>'2.1. DM'!E289</f>
        <v>30</v>
      </c>
      <c r="F289" s="25" t="str">
        <f>'2.1. DM'!F289</f>
        <v>F260037</v>
      </c>
      <c r="G289" s="25" t="str">
        <f>'2.1. DM'!G289</f>
        <v>CIAT18947</v>
      </c>
      <c r="H289" s="25" t="str">
        <f>'2.1. DM'!H289</f>
        <v>Sesbania</v>
      </c>
      <c r="I289" s="25" t="str">
        <f>'2.1. DM'!I289</f>
        <v>sesban</v>
      </c>
      <c r="J289" s="25" t="str">
        <f>'2.1. DM'!J289</f>
        <v>Sesbania sesban</v>
      </c>
      <c r="K289" s="25" t="str">
        <f>'2.1. DM'!K289</f>
        <v>Fabaceae</v>
      </c>
      <c r="L289" s="25" t="str">
        <f>'2.1. DM'!L289</f>
        <v>Fabales</v>
      </c>
      <c r="M289" s="25" t="str">
        <f>'2.1. DM'!M289</f>
        <v>Shurb_Tree</v>
      </c>
      <c r="N289" s="25" t="str">
        <f>'2.1. DM'!N289</f>
        <v>64,65,71</v>
      </c>
      <c r="O289" s="25" t="str">
        <f>'2.1. DM'!O289</f>
        <v>OT-002(2026)</v>
      </c>
      <c r="Q289" s="76">
        <v>20.437366108991188</v>
      </c>
      <c r="R289" s="341">
        <f t="shared" si="31"/>
        <v>20.469508267526756</v>
      </c>
    </row>
    <row r="290" spans="2:18" x14ac:dyDescent="0.35">
      <c r="B290" s="25">
        <f>'2.1. DM'!B290</f>
        <v>280</v>
      </c>
      <c r="E290" s="25">
        <f>'2.1. DM'!E290</f>
        <v>30</v>
      </c>
      <c r="F290" s="25" t="str">
        <f>'2.1. DM'!F290</f>
        <v>F260037</v>
      </c>
      <c r="G290" s="25" t="str">
        <f>'2.1. DM'!G290</f>
        <v>CIAT18947</v>
      </c>
      <c r="H290" s="25" t="str">
        <f>'2.1. DM'!H290</f>
        <v>Sesbania</v>
      </c>
      <c r="I290" s="25" t="str">
        <f>'2.1. DM'!I290</f>
        <v>sesban</v>
      </c>
      <c r="J290" s="25" t="str">
        <f>'2.1. DM'!J290</f>
        <v>Sesbania sesban</v>
      </c>
      <c r="K290" s="25" t="str">
        <f>'2.1. DM'!K290</f>
        <v>Fabaceae</v>
      </c>
      <c r="L290" s="25" t="str">
        <f>'2.1. DM'!L290</f>
        <v>Fabales</v>
      </c>
      <c r="M290" s="25" t="str">
        <f>'2.1. DM'!M290</f>
        <v>Shurb_Tree</v>
      </c>
      <c r="N290" s="25" t="str">
        <f>'2.1. DM'!N290</f>
        <v>64,65,71</v>
      </c>
      <c r="O290" s="25" t="str">
        <f>'2.1. DM'!O290</f>
        <v>OT-002(2026)</v>
      </c>
      <c r="Q290" s="76">
        <v>20.501650426062326</v>
      </c>
      <c r="R290" s="341"/>
    </row>
    <row r="291" spans="2:18" x14ac:dyDescent="0.35">
      <c r="B291" s="25">
        <f>'2.1. DM'!B291</f>
        <v>281</v>
      </c>
      <c r="E291" s="25">
        <f>'2.1. DM'!E291</f>
        <v>30</v>
      </c>
      <c r="F291" s="25" t="str">
        <f>'2.1. DM'!F291</f>
        <v>F260038</v>
      </c>
      <c r="G291" s="25" t="str">
        <f>'2.1. DM'!G291</f>
        <v>CIAT19165</v>
      </c>
      <c r="H291" s="25" t="str">
        <f>'2.1. DM'!H291</f>
        <v>Sesbania</v>
      </c>
      <c r="I291" s="25" t="str">
        <f>'2.1. DM'!I291</f>
        <v>keniensis</v>
      </c>
      <c r="J291" s="25" t="str">
        <f>'2.1. DM'!J291</f>
        <v>Sesbania keniensis</v>
      </c>
      <c r="K291" s="25" t="str">
        <f>'2.1. DM'!K291</f>
        <v>Fabaceae</v>
      </c>
      <c r="L291" s="25" t="str">
        <f>'2.1. DM'!L291</f>
        <v>Fabales</v>
      </c>
      <c r="M291" s="25" t="str">
        <f>'2.1. DM'!M291</f>
        <v>Shurb_Tree</v>
      </c>
      <c r="N291" s="25" t="str">
        <f>'2.1. DM'!N291</f>
        <v>64,65,71</v>
      </c>
      <c r="O291" s="25" t="str">
        <f>'2.1. DM'!O291</f>
        <v>OT-002(2026)</v>
      </c>
      <c r="Q291" s="76">
        <v>30.662749455309157</v>
      </c>
      <c r="R291" s="341">
        <f t="shared" si="31"/>
        <v>30.395489537354145</v>
      </c>
    </row>
    <row r="292" spans="2:18" x14ac:dyDescent="0.35">
      <c r="B292" s="25">
        <f>'2.1. DM'!B292</f>
        <v>282</v>
      </c>
      <c r="E292" s="25">
        <f>'2.1. DM'!E292</f>
        <v>30</v>
      </c>
      <c r="F292" s="25" t="str">
        <f>'2.1. DM'!F292</f>
        <v>F260038</v>
      </c>
      <c r="G292" s="25" t="str">
        <f>'2.1. DM'!G292</f>
        <v>CIAT19165</v>
      </c>
      <c r="H292" s="25" t="str">
        <f>'2.1. DM'!H292</f>
        <v>Sesbania</v>
      </c>
      <c r="I292" s="25" t="str">
        <f>'2.1. DM'!I292</f>
        <v>keniensis</v>
      </c>
      <c r="J292" s="25" t="str">
        <f>'2.1. DM'!J292</f>
        <v>Sesbania keniensis</v>
      </c>
      <c r="K292" s="25" t="str">
        <f>'2.1. DM'!K292</f>
        <v>Fabaceae</v>
      </c>
      <c r="L292" s="25" t="str">
        <f>'2.1. DM'!L292</f>
        <v>Fabales</v>
      </c>
      <c r="M292" s="25" t="str">
        <f>'2.1. DM'!M292</f>
        <v>Shurb_Tree</v>
      </c>
      <c r="N292" s="25" t="str">
        <f>'2.1. DM'!N292</f>
        <v>64,65,71</v>
      </c>
      <c r="O292" s="25" t="str">
        <f>'2.1. DM'!O292</f>
        <v>OT-002(2026)</v>
      </c>
      <c r="Q292" s="76">
        <v>30.128229619399132</v>
      </c>
      <c r="R292" s="341"/>
    </row>
    <row r="293" spans="2:18" x14ac:dyDescent="0.35">
      <c r="B293" s="25">
        <f>'2.1. DM'!B293</f>
        <v>283</v>
      </c>
      <c r="E293" s="25">
        <f>'2.1. DM'!E293</f>
        <v>30</v>
      </c>
      <c r="F293" s="25" t="str">
        <f>'2.1. DM'!F293</f>
        <v>F260039</v>
      </c>
      <c r="G293" s="25" t="str">
        <f>'2.1. DM'!G293</f>
        <v>CIAT21899</v>
      </c>
      <c r="H293" s="25" t="str">
        <f>'2.1. DM'!H293</f>
        <v>Sesbania</v>
      </c>
      <c r="I293" s="25" t="str">
        <f>'2.1. DM'!I293</f>
        <v>sesban</v>
      </c>
      <c r="J293" s="25" t="str">
        <f>'2.1. DM'!J293</f>
        <v>Sesbania sesban</v>
      </c>
      <c r="K293" s="25" t="str">
        <f>'2.1. DM'!K293</f>
        <v>Fabaceae</v>
      </c>
      <c r="L293" s="25" t="str">
        <f>'2.1. DM'!L293</f>
        <v>Fabales</v>
      </c>
      <c r="M293" s="25" t="str">
        <f>'2.1. DM'!M293</f>
        <v>Shurb_Tree</v>
      </c>
      <c r="N293" s="25" t="str">
        <f>'2.1. DM'!N293</f>
        <v>64,65,71</v>
      </c>
      <c r="O293" s="25" t="str">
        <f>'2.1. DM'!O293</f>
        <v>OT-002(2026)</v>
      </c>
      <c r="Q293" s="76">
        <v>41.759124745056269</v>
      </c>
      <c r="R293" s="341">
        <f t="shared" si="31"/>
        <v>41.369421047308848</v>
      </c>
    </row>
    <row r="294" spans="2:18" x14ac:dyDescent="0.35">
      <c r="B294" s="25">
        <f>'2.1. DM'!B294</f>
        <v>284</v>
      </c>
      <c r="E294" s="25">
        <f>'2.1. DM'!E294</f>
        <v>30</v>
      </c>
      <c r="F294" s="25" t="str">
        <f>'2.1. DM'!F294</f>
        <v>F260039</v>
      </c>
      <c r="G294" s="25" t="str">
        <f>'2.1. DM'!G294</f>
        <v>CIAT21899</v>
      </c>
      <c r="H294" s="25" t="str">
        <f>'2.1. DM'!H294</f>
        <v>Sesbania</v>
      </c>
      <c r="I294" s="25" t="str">
        <f>'2.1. DM'!I294</f>
        <v>sesban</v>
      </c>
      <c r="J294" s="25" t="str">
        <f>'2.1. DM'!J294</f>
        <v>Sesbania sesban</v>
      </c>
      <c r="K294" s="25" t="str">
        <f>'2.1. DM'!K294</f>
        <v>Fabaceae</v>
      </c>
      <c r="L294" s="25" t="str">
        <f>'2.1. DM'!L294</f>
        <v>Fabales</v>
      </c>
      <c r="M294" s="25" t="str">
        <f>'2.1. DM'!M294</f>
        <v>Shurb_Tree</v>
      </c>
      <c r="N294" s="25" t="str">
        <f>'2.1. DM'!N294</f>
        <v>64,65,71</v>
      </c>
      <c r="O294" s="25" t="str">
        <f>'2.1. DM'!O294</f>
        <v>OT-002(2026)</v>
      </c>
      <c r="Q294" s="76">
        <v>40.979717349561426</v>
      </c>
      <c r="R294" s="341"/>
    </row>
    <row r="295" spans="2:18" x14ac:dyDescent="0.35">
      <c r="B295" s="25">
        <f>'2.1. DM'!B295</f>
        <v>285</v>
      </c>
      <c r="E295" s="25">
        <f>'2.1. DM'!E295</f>
        <v>30</v>
      </c>
      <c r="F295" s="25" t="str">
        <f>'2.1. DM'!F295</f>
        <v>F260040</v>
      </c>
      <c r="G295" s="25" t="str">
        <f>'2.1. DM'!G295</f>
        <v>CIAT23414</v>
      </c>
      <c r="H295" s="25" t="str">
        <f>'2.1. DM'!H295</f>
        <v>Codariocalyx</v>
      </c>
      <c r="I295" s="25" t="str">
        <f>'2.1. DM'!I295</f>
        <v>motorius</v>
      </c>
      <c r="J295" s="25" t="str">
        <f>'2.1. DM'!J295</f>
        <v>Codariocalyx motorius</v>
      </c>
      <c r="K295" s="25" t="str">
        <f>'2.1. DM'!K295</f>
        <v>Fabaceae</v>
      </c>
      <c r="L295" s="25" t="str">
        <f>'2.1. DM'!L295</f>
        <v>Fabales</v>
      </c>
      <c r="M295" s="25" t="str">
        <f>'2.1. DM'!M295</f>
        <v>Shurb_Tree</v>
      </c>
      <c r="N295" s="25" t="str">
        <f>'2.1. DM'!N295</f>
        <v>64,65,71</v>
      </c>
      <c r="O295" s="25" t="str">
        <f>'2.1. DM'!O295</f>
        <v>OT-002(2026)</v>
      </c>
      <c r="Q295" s="76">
        <v>42.722099832189308</v>
      </c>
      <c r="R295" s="341">
        <f t="shared" si="31"/>
        <v>43.815159268350158</v>
      </c>
    </row>
    <row r="296" spans="2:18" x14ac:dyDescent="0.35">
      <c r="B296" s="25">
        <f>'2.1. DM'!B296</f>
        <v>286</v>
      </c>
      <c r="E296" s="25">
        <f>'2.1. DM'!E296</f>
        <v>30</v>
      </c>
      <c r="F296" s="25" t="str">
        <f>'2.1. DM'!F296</f>
        <v>F260040</v>
      </c>
      <c r="G296" s="25" t="str">
        <f>'2.1. DM'!G296</f>
        <v>CIAT23414</v>
      </c>
      <c r="H296" s="25" t="str">
        <f>'2.1. DM'!H296</f>
        <v>Codariocalyx</v>
      </c>
      <c r="I296" s="25" t="str">
        <f>'2.1. DM'!I296</f>
        <v>motorius</v>
      </c>
      <c r="J296" s="25" t="str">
        <f>'2.1. DM'!J296</f>
        <v>Codariocalyx motorius</v>
      </c>
      <c r="K296" s="25" t="str">
        <f>'2.1. DM'!K296</f>
        <v>Fabaceae</v>
      </c>
      <c r="L296" s="25" t="str">
        <f>'2.1. DM'!L296</f>
        <v>Fabales</v>
      </c>
      <c r="M296" s="25" t="str">
        <f>'2.1. DM'!M296</f>
        <v>Shurb_Tree</v>
      </c>
      <c r="N296" s="25" t="str">
        <f>'2.1. DM'!N296</f>
        <v>64,65,71</v>
      </c>
      <c r="O296" s="25" t="str">
        <f>'2.1. DM'!O296</f>
        <v>OT-002(2026)</v>
      </c>
      <c r="Q296" s="76">
        <v>44.908218704511</v>
      </c>
      <c r="R296" s="341"/>
    </row>
    <row r="297" spans="2:18" x14ac:dyDescent="0.35">
      <c r="B297" s="25">
        <f>'2.1. DM'!B297</f>
        <v>287</v>
      </c>
      <c r="E297" s="25">
        <f>'2.1. DM'!E297</f>
        <v>30</v>
      </c>
      <c r="F297" s="25" t="str">
        <f>'2.1. DM'!F297</f>
        <v>F260041</v>
      </c>
      <c r="G297" s="25" t="str">
        <f>'2.1. DM'!G297</f>
        <v>CIAT23767</v>
      </c>
      <c r="H297" s="25" t="str">
        <f>'2.1. DM'!H297</f>
        <v>Desmodium</v>
      </c>
      <c r="I297" s="25" t="str">
        <f>'2.1. DM'!I297</f>
        <v>nicaraguense</v>
      </c>
      <c r="J297" s="25" t="str">
        <f>'2.1. DM'!J297</f>
        <v>Desmodium nicaraguense</v>
      </c>
      <c r="K297" s="25" t="str">
        <f>'2.1. DM'!K297</f>
        <v>Fabaceae</v>
      </c>
      <c r="L297" s="25" t="str">
        <f>'2.1. DM'!L297</f>
        <v>Fabales</v>
      </c>
      <c r="M297" s="25" t="str">
        <f>'2.1. DM'!M297</f>
        <v>Shurb_Tree</v>
      </c>
      <c r="N297" s="25" t="str">
        <f>'2.1. DM'!N297</f>
        <v>64,65,71</v>
      </c>
      <c r="O297" s="25" t="str">
        <f>'2.1. DM'!O297</f>
        <v>OT-002(2026)</v>
      </c>
      <c r="Q297" s="76">
        <v>27.536720677266953</v>
      </c>
      <c r="R297" s="341">
        <f t="shared" si="31"/>
        <v>26.899184517815108</v>
      </c>
    </row>
    <row r="298" spans="2:18" x14ac:dyDescent="0.35">
      <c r="B298" s="25">
        <f>'2.1. DM'!B298</f>
        <v>288</v>
      </c>
      <c r="E298" s="25">
        <f>'2.1. DM'!E298</f>
        <v>30</v>
      </c>
      <c r="F298" s="25" t="str">
        <f>'2.1. DM'!F298</f>
        <v>F260041</v>
      </c>
      <c r="G298" s="25" t="str">
        <f>'2.1. DM'!G298</f>
        <v>CIAT23767</v>
      </c>
      <c r="H298" s="25" t="str">
        <f>'2.1. DM'!H298</f>
        <v>Desmodium</v>
      </c>
      <c r="I298" s="25" t="str">
        <f>'2.1. DM'!I298</f>
        <v>nicaraguense</v>
      </c>
      <c r="J298" s="25" t="str">
        <f>'2.1. DM'!J298</f>
        <v>Desmodium nicaraguense</v>
      </c>
      <c r="K298" s="25" t="str">
        <f>'2.1. DM'!K298</f>
        <v>Fabaceae</v>
      </c>
      <c r="L298" s="25" t="str">
        <f>'2.1. DM'!L298</f>
        <v>Fabales</v>
      </c>
      <c r="M298" s="25" t="str">
        <f>'2.1. DM'!M298</f>
        <v>Shurb_Tree</v>
      </c>
      <c r="N298" s="25" t="str">
        <f>'2.1. DM'!N298</f>
        <v>64,65,71</v>
      </c>
      <c r="O298" s="25" t="str">
        <f>'2.1. DM'!O298</f>
        <v>OT-002(2026)</v>
      </c>
      <c r="Q298" s="76">
        <v>26.261648358363267</v>
      </c>
      <c r="R298" s="341"/>
    </row>
    <row r="299" spans="2:18" x14ac:dyDescent="0.35">
      <c r="B299" s="25">
        <f>'2.1. DM'!B299</f>
        <v>289</v>
      </c>
      <c r="E299" s="25">
        <f>'2.1. DM'!E299</f>
        <v>30</v>
      </c>
      <c r="F299" s="25" t="str">
        <f>'2.1. DM'!F299</f>
        <v>F260042</v>
      </c>
      <c r="G299" s="25" t="str">
        <f>'2.1. DM'!G299</f>
        <v>CIAT33127</v>
      </c>
      <c r="H299" s="25" t="str">
        <f>'2.1. DM'!H299</f>
        <v>Codariocalyx</v>
      </c>
      <c r="I299" s="25" t="str">
        <f>'2.1. DM'!I299</f>
        <v>motorius</v>
      </c>
      <c r="J299" s="25" t="str">
        <f>'2.1. DM'!J299</f>
        <v>Codariocalyx motorius</v>
      </c>
      <c r="K299" s="25" t="str">
        <f>'2.1. DM'!K299</f>
        <v>Fabaceae</v>
      </c>
      <c r="L299" s="25" t="str">
        <f>'2.1. DM'!L299</f>
        <v>Fabales</v>
      </c>
      <c r="M299" s="25" t="str">
        <f>'2.1. DM'!M299</f>
        <v>Shurb_Tree</v>
      </c>
      <c r="N299" s="25" t="str">
        <f>'2.1. DM'!N299</f>
        <v>64,65,71</v>
      </c>
      <c r="O299" s="25" t="str">
        <f>'2.1. DM'!O299</f>
        <v>OT-002(2026)</v>
      </c>
      <c r="Q299" s="76">
        <v>43.818620200779108</v>
      </c>
      <c r="R299" s="341">
        <f t="shared" si="31"/>
        <v>45.266052677216479</v>
      </c>
    </row>
    <row r="300" spans="2:18" x14ac:dyDescent="0.35">
      <c r="B300" s="25">
        <f>'2.1. DM'!B300</f>
        <v>290</v>
      </c>
      <c r="E300" s="25">
        <f>'2.1. DM'!E300</f>
        <v>30</v>
      </c>
      <c r="F300" s="25" t="str">
        <f>'2.1. DM'!F300</f>
        <v>F260042</v>
      </c>
      <c r="G300" s="25" t="str">
        <f>'2.1. DM'!G300</f>
        <v>CIAT33127</v>
      </c>
      <c r="H300" s="25" t="str">
        <f>'2.1. DM'!H300</f>
        <v>Codariocalyx</v>
      </c>
      <c r="I300" s="25" t="str">
        <f>'2.1. DM'!I300</f>
        <v>motorius</v>
      </c>
      <c r="J300" s="25" t="str">
        <f>'2.1. DM'!J300</f>
        <v>Codariocalyx motorius</v>
      </c>
      <c r="K300" s="25" t="str">
        <f>'2.1. DM'!K300</f>
        <v>Fabaceae</v>
      </c>
      <c r="L300" s="25" t="str">
        <f>'2.1. DM'!L300</f>
        <v>Fabales</v>
      </c>
      <c r="M300" s="25" t="str">
        <f>'2.1. DM'!M300</f>
        <v>Shurb_Tree</v>
      </c>
      <c r="N300" s="25" t="str">
        <f>'2.1. DM'!N300</f>
        <v>64,65,71</v>
      </c>
      <c r="O300" s="25" t="str">
        <f>'2.1. DM'!O300</f>
        <v>OT-002(2026)</v>
      </c>
      <c r="Q300" s="76">
        <v>46.713485153653842</v>
      </c>
      <c r="R300" s="341"/>
    </row>
    <row r="301" spans="2:18" x14ac:dyDescent="0.35">
      <c r="B301" s="25">
        <f>'2.1. DM'!B301</f>
        <v>291</v>
      </c>
      <c r="E301" s="25">
        <f>'2.1. DM'!E301</f>
        <v>30</v>
      </c>
      <c r="F301" s="25" t="str">
        <f>'2.1. DM'!F301</f>
        <v>F252104</v>
      </c>
      <c r="G301" s="25" t="str">
        <f>'2.1. DM'!G301</f>
        <v>CIAT-BR06_1348</v>
      </c>
      <c r="H301" s="25" t="str">
        <f>'2.1. DM'!H301</f>
        <v>Urochloa</v>
      </c>
      <c r="I301" s="25" t="str">
        <f>'2.1. DM'!I301</f>
        <v>interespecifico</v>
      </c>
      <c r="J301" s="25" t="str">
        <f>'2.1. DM'!J301</f>
        <v>Brachiaria interespecifico</v>
      </c>
      <c r="K301" s="25" t="str">
        <f>'2.1. DM'!K301</f>
        <v>Poaceae</v>
      </c>
      <c r="L301" s="25" t="str">
        <f>'2.1. DM'!L301</f>
        <v>Poales</v>
      </c>
      <c r="M301" s="25" t="str">
        <f>'2.1. DM'!M301</f>
        <v>grasses</v>
      </c>
      <c r="N301" s="25" t="str">
        <f>'2.1. DM'!N301</f>
        <v>64,65,71</v>
      </c>
      <c r="O301" s="25" t="str">
        <f>'2.1. DM'!O301</f>
        <v>OT-013(2025)</v>
      </c>
      <c r="Q301" s="76">
        <v>25.43</v>
      </c>
      <c r="R301" s="341">
        <f t="shared" ref="R301:R305" si="32">AVERAGE(Q301:Q302)</f>
        <v>25.64</v>
      </c>
    </row>
    <row r="302" spans="2:18" x14ac:dyDescent="0.35">
      <c r="B302" s="25">
        <f>'2.1. DM'!B302</f>
        <v>292</v>
      </c>
      <c r="E302" s="25">
        <f>'2.1. DM'!E302</f>
        <v>30</v>
      </c>
      <c r="F302" s="25" t="str">
        <f>'2.1. DM'!F302</f>
        <v>F252104</v>
      </c>
      <c r="G302" s="25" t="str">
        <f>'2.1. DM'!G302</f>
        <v>CIAT-BR06_1348</v>
      </c>
      <c r="H302" s="25" t="str">
        <f>'2.1. DM'!H302</f>
        <v>Urochloa</v>
      </c>
      <c r="I302" s="25" t="str">
        <f>'2.1. DM'!I302</f>
        <v>interespecifico</v>
      </c>
      <c r="J302" s="25" t="str">
        <f>'2.1. DM'!J302</f>
        <v>Brachiaria interespecifico</v>
      </c>
      <c r="K302" s="25" t="str">
        <f>'2.1. DM'!K302</f>
        <v>Poaceae</v>
      </c>
      <c r="L302" s="25" t="str">
        <f>'2.1. DM'!L302</f>
        <v>Poales</v>
      </c>
      <c r="M302" s="25" t="str">
        <f>'2.1. DM'!M302</f>
        <v>grasses</v>
      </c>
      <c r="N302" s="25" t="str">
        <f>'2.1. DM'!N302</f>
        <v>64,65,71</v>
      </c>
      <c r="O302" s="25" t="str">
        <f>'2.1. DM'!O302</f>
        <v>OT-013(2025)</v>
      </c>
      <c r="Q302" s="76">
        <v>25.85</v>
      </c>
      <c r="R302" s="341"/>
    </row>
    <row r="303" spans="2:18" x14ac:dyDescent="0.35">
      <c r="B303" s="25">
        <f>'2.1. DM'!B303</f>
        <v>293</v>
      </c>
      <c r="E303" s="25">
        <f>'2.1. DM'!E303</f>
        <v>30</v>
      </c>
      <c r="F303" s="25" t="str">
        <f>'2.1. DM'!F303</f>
        <v>F252166</v>
      </c>
      <c r="G303" s="25" t="str">
        <f>'2.1. DM'!G303</f>
        <v>CIAT-BH22_0528</v>
      </c>
      <c r="H303" s="25" t="str">
        <f>'2.1. DM'!H303</f>
        <v>Urochloa</v>
      </c>
      <c r="I303" s="25" t="str">
        <f>'2.1. DM'!I303</f>
        <v>humidicola</v>
      </c>
      <c r="J303" s="25" t="str">
        <f>'2.1. DM'!J303</f>
        <v>Urochloa humidicola</v>
      </c>
      <c r="K303" s="25" t="str">
        <f>'2.1. DM'!K303</f>
        <v>Poaceae</v>
      </c>
      <c r="L303" s="25" t="str">
        <f>'2.1. DM'!L303</f>
        <v>Poales</v>
      </c>
      <c r="M303" s="25" t="str">
        <f>'2.1. DM'!M303</f>
        <v>grasses</v>
      </c>
      <c r="N303" s="25" t="str">
        <f>'2.1. DM'!N303</f>
        <v>64,65,71</v>
      </c>
      <c r="O303" s="25" t="str">
        <f>'2.1. DM'!O303</f>
        <v>OT-020(2025)</v>
      </c>
      <c r="Q303" s="76">
        <v>36.96</v>
      </c>
      <c r="R303" s="341">
        <f t="shared" si="32"/>
        <v>36.795000000000002</v>
      </c>
    </row>
    <row r="304" spans="2:18" x14ac:dyDescent="0.35">
      <c r="B304" s="25">
        <f>'2.1. DM'!B304</f>
        <v>294</v>
      </c>
      <c r="E304" s="25">
        <f>'2.1. DM'!E304</f>
        <v>30</v>
      </c>
      <c r="F304" s="25" t="str">
        <f>'2.1. DM'!F304</f>
        <v>F252166</v>
      </c>
      <c r="G304" s="25" t="str">
        <f>'2.1. DM'!G304</f>
        <v>CIAT-BH22_0528</v>
      </c>
      <c r="H304" s="25" t="str">
        <f>'2.1. DM'!H304</f>
        <v>Urochloa</v>
      </c>
      <c r="I304" s="25" t="str">
        <f>'2.1. DM'!I304</f>
        <v>humidicola</v>
      </c>
      <c r="J304" s="25" t="str">
        <f>'2.1. DM'!J304</f>
        <v>Urochloa humidicola</v>
      </c>
      <c r="K304" s="25" t="str">
        <f>'2.1. DM'!K304</f>
        <v>Poaceae</v>
      </c>
      <c r="L304" s="25" t="str">
        <f>'2.1. DM'!L304</f>
        <v>Poales</v>
      </c>
      <c r="M304" s="25" t="str">
        <f>'2.1. DM'!M304</f>
        <v>grasses</v>
      </c>
      <c r="N304" s="25" t="str">
        <f>'2.1. DM'!N304</f>
        <v>64,65,71</v>
      </c>
      <c r="O304" s="25" t="str">
        <f>'2.1. DM'!O304</f>
        <v>OT-020(2025)</v>
      </c>
      <c r="Q304" s="76">
        <v>36.630000000000003</v>
      </c>
      <c r="R304" s="341"/>
    </row>
    <row r="305" spans="2:18" x14ac:dyDescent="0.35">
      <c r="B305" s="25">
        <f>'2.1. DM'!B305</f>
        <v>295</v>
      </c>
      <c r="E305" s="25">
        <f>'2.1. DM'!E305</f>
        <v>30</v>
      </c>
      <c r="F305" s="25" t="str">
        <f>'2.1. DM'!F305</f>
        <v>F250008</v>
      </c>
      <c r="G305" s="25" t="str">
        <f>'2.1. DM'!G305</f>
        <v>Sample 8</v>
      </c>
      <c r="H305" s="25" t="str">
        <f>'2.1. DM'!H305</f>
        <v>Cynodon</v>
      </c>
      <c r="I305" s="25" t="str">
        <f>'2.1. DM'!I305</f>
        <v xml:space="preserve"> nlemfuensis </v>
      </c>
      <c r="J305" s="25" t="str">
        <f>'2.1. DM'!J305</f>
        <v xml:space="preserve">Cynodon nlemfuensis </v>
      </c>
      <c r="K305" s="25" t="str">
        <f>'2.1. DM'!K305</f>
        <v>Poaceae</v>
      </c>
      <c r="L305" s="25" t="str">
        <f>'2.1. DM'!L305</f>
        <v>Poales</v>
      </c>
      <c r="M305" s="25" t="str">
        <f>'2.1. DM'!M305</f>
        <v>grasses</v>
      </c>
      <c r="N305" s="25" t="str">
        <f>'2.1. DM'!N305</f>
        <v>64,65,71</v>
      </c>
      <c r="O305" s="25" t="str">
        <f>'2.1. DM'!O305</f>
        <v>OT-001(2025)</v>
      </c>
      <c r="Q305" s="76">
        <v>37.799999999999997</v>
      </c>
      <c r="R305" s="341">
        <f t="shared" si="32"/>
        <v>37.799999999999997</v>
      </c>
    </row>
    <row r="306" spans="2:18" x14ac:dyDescent="0.35">
      <c r="B306" s="25">
        <f>'2.1. DM'!B306</f>
        <v>296</v>
      </c>
      <c r="E306" s="25">
        <f>'2.1. DM'!E306</f>
        <v>30</v>
      </c>
      <c r="F306" s="25" t="str">
        <f>'2.1. DM'!F306</f>
        <v>F250008</v>
      </c>
      <c r="G306" s="25" t="str">
        <f>'2.1. DM'!G306</f>
        <v>Sample 8</v>
      </c>
      <c r="H306" s="25" t="str">
        <f>'2.1. DM'!H306</f>
        <v>Cynodon</v>
      </c>
      <c r="I306" s="25" t="str">
        <f>'2.1. DM'!I306</f>
        <v xml:space="preserve"> nlemfuensis </v>
      </c>
      <c r="J306" s="25" t="str">
        <f>'2.1. DM'!J306</f>
        <v xml:space="preserve">Cynodon nlemfuensis </v>
      </c>
      <c r="K306" s="25" t="str">
        <f>'2.1. DM'!K306</f>
        <v>Poaceae</v>
      </c>
      <c r="L306" s="25" t="str">
        <f>'2.1. DM'!L306</f>
        <v>Poales</v>
      </c>
      <c r="M306" s="25" t="str">
        <f>'2.1. DM'!M306</f>
        <v>grasses</v>
      </c>
      <c r="N306" s="25" t="str">
        <f>'2.1. DM'!N306</f>
        <v>64,65,71</v>
      </c>
      <c r="O306" s="25" t="str">
        <f>'2.1. DM'!O306</f>
        <v>OT-001(2025)</v>
      </c>
      <c r="Q306" s="76">
        <v>37.799999999999997</v>
      </c>
      <c r="R306" s="341"/>
    </row>
  </sheetData>
  <autoFilter ref="B10:R240" xr:uid="{4FA100F3-8EE0-488B-89D0-0B7A484913E9}"/>
  <mergeCells count="149">
    <mergeCell ref="R295:R296"/>
    <mergeCell ref="R297:R298"/>
    <mergeCell ref="R299:R300"/>
    <mergeCell ref="R301:R302"/>
    <mergeCell ref="R303:R304"/>
    <mergeCell ref="R305:R306"/>
    <mergeCell ref="R277:R278"/>
    <mergeCell ref="R279:R280"/>
    <mergeCell ref="R281:R282"/>
    <mergeCell ref="R283:R284"/>
    <mergeCell ref="R285:R286"/>
    <mergeCell ref="R287:R288"/>
    <mergeCell ref="R289:R290"/>
    <mergeCell ref="R291:R292"/>
    <mergeCell ref="R293:R294"/>
    <mergeCell ref="R259:R260"/>
    <mergeCell ref="R261:R262"/>
    <mergeCell ref="R263:R264"/>
    <mergeCell ref="R265:R266"/>
    <mergeCell ref="R267:R268"/>
    <mergeCell ref="R269:R270"/>
    <mergeCell ref="R271:R272"/>
    <mergeCell ref="R273:R274"/>
    <mergeCell ref="R275:R276"/>
    <mergeCell ref="R241:R242"/>
    <mergeCell ref="R243:R244"/>
    <mergeCell ref="R245:R246"/>
    <mergeCell ref="R247:R248"/>
    <mergeCell ref="R249:R250"/>
    <mergeCell ref="R251:R252"/>
    <mergeCell ref="R253:R254"/>
    <mergeCell ref="R255:R256"/>
    <mergeCell ref="R257:R258"/>
    <mergeCell ref="R239:R240"/>
    <mergeCell ref="R229:R230"/>
    <mergeCell ref="R231:R232"/>
    <mergeCell ref="R233:R234"/>
    <mergeCell ref="R235:R236"/>
    <mergeCell ref="R237:R238"/>
    <mergeCell ref="R219:R220"/>
    <mergeCell ref="R221:R222"/>
    <mergeCell ref="R223:R224"/>
    <mergeCell ref="R225:R226"/>
    <mergeCell ref="R227:R228"/>
    <mergeCell ref="R215:R216"/>
    <mergeCell ref="R217:R218"/>
    <mergeCell ref="R199:R200"/>
    <mergeCell ref="R201:R202"/>
    <mergeCell ref="R203:R204"/>
    <mergeCell ref="R205:R206"/>
    <mergeCell ref="R207:R208"/>
    <mergeCell ref="R191:R192"/>
    <mergeCell ref="R181:R182"/>
    <mergeCell ref="R183:R184"/>
    <mergeCell ref="R185:R186"/>
    <mergeCell ref="R187:R188"/>
    <mergeCell ref="R189:R190"/>
    <mergeCell ref="R209:R210"/>
    <mergeCell ref="R211:R212"/>
    <mergeCell ref="R213:R214"/>
    <mergeCell ref="R193:R194"/>
    <mergeCell ref="R195:R196"/>
    <mergeCell ref="R197:R198"/>
    <mergeCell ref="R171:R172"/>
    <mergeCell ref="R173:R174"/>
    <mergeCell ref="R175:R176"/>
    <mergeCell ref="R177:R178"/>
    <mergeCell ref="R179:R180"/>
    <mergeCell ref="R161:R162"/>
    <mergeCell ref="R163:R164"/>
    <mergeCell ref="R165:R166"/>
    <mergeCell ref="R167:R168"/>
    <mergeCell ref="R169:R170"/>
    <mergeCell ref="R151:R152"/>
    <mergeCell ref="R153:R154"/>
    <mergeCell ref="R155:R156"/>
    <mergeCell ref="R157:R158"/>
    <mergeCell ref="R159:R160"/>
    <mergeCell ref="R141:R142"/>
    <mergeCell ref="R143:R144"/>
    <mergeCell ref="R145:R146"/>
    <mergeCell ref="R147:R148"/>
    <mergeCell ref="R149:R150"/>
    <mergeCell ref="R133:R134"/>
    <mergeCell ref="R135:R136"/>
    <mergeCell ref="R137:R138"/>
    <mergeCell ref="R139:R140"/>
    <mergeCell ref="R121:R122"/>
    <mergeCell ref="R123:R124"/>
    <mergeCell ref="R125:R126"/>
    <mergeCell ref="R127:R128"/>
    <mergeCell ref="R129:R130"/>
    <mergeCell ref="R115:R116"/>
    <mergeCell ref="R117:R118"/>
    <mergeCell ref="R119:R120"/>
    <mergeCell ref="R101:R102"/>
    <mergeCell ref="R103:R104"/>
    <mergeCell ref="R105:R106"/>
    <mergeCell ref="R107:R108"/>
    <mergeCell ref="R109:R110"/>
    <mergeCell ref="R131:R132"/>
    <mergeCell ref="R97:R98"/>
    <mergeCell ref="R99:R100"/>
    <mergeCell ref="R81:R82"/>
    <mergeCell ref="R83:R84"/>
    <mergeCell ref="R85:R86"/>
    <mergeCell ref="R87:R88"/>
    <mergeCell ref="R89:R90"/>
    <mergeCell ref="R111:R112"/>
    <mergeCell ref="R113:R114"/>
    <mergeCell ref="R79:R80"/>
    <mergeCell ref="R61:R62"/>
    <mergeCell ref="R63:R64"/>
    <mergeCell ref="R65:R66"/>
    <mergeCell ref="R67:R68"/>
    <mergeCell ref="R69:R70"/>
    <mergeCell ref="R91:R92"/>
    <mergeCell ref="R93:R94"/>
    <mergeCell ref="R95:R96"/>
    <mergeCell ref="R59:R60"/>
    <mergeCell ref="R43:R44"/>
    <mergeCell ref="R45:R46"/>
    <mergeCell ref="R47:R48"/>
    <mergeCell ref="R49:R50"/>
    <mergeCell ref="R71:R72"/>
    <mergeCell ref="R73:R74"/>
    <mergeCell ref="R75:R76"/>
    <mergeCell ref="R77:R78"/>
    <mergeCell ref="P4:T6"/>
    <mergeCell ref="R41:R42"/>
    <mergeCell ref="R35:R36"/>
    <mergeCell ref="R37:R38"/>
    <mergeCell ref="R39:R40"/>
    <mergeCell ref="R51:R52"/>
    <mergeCell ref="R53:R54"/>
    <mergeCell ref="R55:R56"/>
    <mergeCell ref="R57:R58"/>
    <mergeCell ref="R21:R22"/>
    <mergeCell ref="R23:R24"/>
    <mergeCell ref="R31:R32"/>
    <mergeCell ref="R33:R34"/>
    <mergeCell ref="R25:R26"/>
    <mergeCell ref="R27:R28"/>
    <mergeCell ref="R29:R30"/>
    <mergeCell ref="R11:R12"/>
    <mergeCell ref="R13:R14"/>
    <mergeCell ref="R15:R16"/>
    <mergeCell ref="R17:R18"/>
    <mergeCell ref="R19:R20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CF22E-A8B8-4A94-A6DC-ED45F24BD685}">
  <dimension ref="B4:S308"/>
  <sheetViews>
    <sheetView zoomScale="64" zoomScaleNormal="60" workbookViewId="0">
      <selection activeCell="F10" sqref="F10"/>
    </sheetView>
  </sheetViews>
  <sheetFormatPr defaultColWidth="8.6328125" defaultRowHeight="14.5" x14ac:dyDescent="0.35"/>
  <cols>
    <col min="1" max="1" width="2.6328125" style="5" customWidth="1"/>
    <col min="2" max="2" width="8.6328125" style="5"/>
    <col min="3" max="3" width="10.6328125" style="191" customWidth="1"/>
    <col min="4" max="4" width="15.54296875" style="5" customWidth="1"/>
    <col min="5" max="5" width="10.6328125" style="15" customWidth="1"/>
    <col min="6" max="6" width="17.08984375" style="5" bestFit="1" customWidth="1"/>
    <col min="7" max="7" width="22.36328125" style="5" bestFit="1" customWidth="1"/>
    <col min="8" max="8" width="13" style="5" bestFit="1" customWidth="1"/>
    <col min="9" max="9" width="13.54296875" style="5" bestFit="1" customWidth="1"/>
    <col min="10" max="10" width="25.453125" style="5" bestFit="1" customWidth="1"/>
    <col min="11" max="11" width="11.90625" style="5" bestFit="1" customWidth="1"/>
    <col min="12" max="12" width="11.36328125" style="5" bestFit="1" customWidth="1"/>
    <col min="13" max="13" width="15.453125" style="5" bestFit="1" customWidth="1"/>
    <col min="14" max="14" width="17.90625" style="5" bestFit="1" customWidth="1"/>
    <col min="15" max="15" width="13.08984375" style="5" bestFit="1" customWidth="1"/>
    <col min="16" max="16" width="11.6328125" style="5" customWidth="1"/>
    <col min="17" max="17" width="14.08984375" style="5" customWidth="1"/>
    <col min="18" max="18" width="11.6328125" style="5" customWidth="1"/>
    <col min="19" max="16384" width="8.6328125" style="5"/>
  </cols>
  <sheetData>
    <row r="4" spans="2:18" ht="14.4" customHeight="1" x14ac:dyDescent="0.35">
      <c r="F4" s="338" t="s">
        <v>498</v>
      </c>
      <c r="G4" s="338"/>
      <c r="H4" s="338"/>
      <c r="I4" s="338"/>
      <c r="J4" s="338"/>
      <c r="K4" s="338"/>
      <c r="L4" s="338"/>
      <c r="M4" s="338"/>
      <c r="N4" s="338"/>
      <c r="O4" s="338"/>
      <c r="P4" s="338"/>
      <c r="Q4" s="338"/>
      <c r="R4" s="338"/>
    </row>
    <row r="5" spans="2:18" ht="14.4" customHeight="1" x14ac:dyDescent="0.35">
      <c r="F5" s="338"/>
      <c r="G5" s="338"/>
      <c r="H5" s="338"/>
      <c r="I5" s="338"/>
      <c r="J5" s="338"/>
      <c r="K5" s="338"/>
      <c r="L5" s="338"/>
      <c r="M5" s="338"/>
      <c r="N5" s="338"/>
      <c r="O5" s="338"/>
      <c r="P5" s="338"/>
      <c r="Q5" s="338"/>
      <c r="R5" s="338"/>
    </row>
    <row r="6" spans="2:18" ht="14.4" customHeight="1" x14ac:dyDescent="0.35">
      <c r="F6" s="338"/>
      <c r="G6" s="338"/>
      <c r="H6" s="338"/>
      <c r="I6" s="338"/>
      <c r="J6" s="338"/>
      <c r="K6" s="338"/>
      <c r="L6" s="338"/>
      <c r="M6" s="338"/>
      <c r="N6" s="338"/>
      <c r="O6" s="338"/>
      <c r="P6" s="338"/>
      <c r="Q6" s="338"/>
      <c r="R6" s="338"/>
    </row>
    <row r="10" spans="2:18" ht="29" x14ac:dyDescent="0.35">
      <c r="B10" s="12" t="s">
        <v>482</v>
      </c>
      <c r="C10" s="13" t="s">
        <v>483</v>
      </c>
      <c r="D10" s="12" t="str">
        <f>'1. Information samples'!D10</f>
        <v>Requisitioner</v>
      </c>
      <c r="E10" s="44" t="str">
        <f>'1. Information samples'!E10</f>
        <v>Set CIAT</v>
      </c>
      <c r="F10" s="12" t="str">
        <f>'1. Information samples'!F10</f>
        <v>CIAT Lab-ID</v>
      </c>
      <c r="G10" s="12" t="str">
        <f>'1. Information samples'!G10</f>
        <v>Gene bank /Breeding program ID</v>
      </c>
      <c r="H10" s="12" t="str">
        <f>'1. Information samples'!H10</f>
        <v>Genus</v>
      </c>
      <c r="I10" s="12" t="str">
        <f>'1. Information samples'!I10</f>
        <v>Species</v>
      </c>
      <c r="J10" s="12" t="str">
        <f>'1. Information samples'!J10</f>
        <v>Tax Name</v>
      </c>
      <c r="K10" s="12" t="str">
        <f>'1. Information samples'!K10</f>
        <v>Family</v>
      </c>
      <c r="L10" s="12" t="str">
        <f>'1. Information samples'!L10</f>
        <v>Order</v>
      </c>
      <c r="M10" s="12" t="str">
        <f>'1. Information samples'!M10</f>
        <v>Functional Group</v>
      </c>
      <c r="N10" s="12" t="str">
        <f>'1. Information samples'!N10</f>
        <v>Batches  CIAT</v>
      </c>
      <c r="O10" s="12" t="str">
        <f>'1. Information samples'!O10</f>
        <v>ID LAB</v>
      </c>
      <c r="P10" s="12" t="s">
        <v>490</v>
      </c>
      <c r="Q10" s="53" t="s">
        <v>499</v>
      </c>
      <c r="R10" s="53" t="s">
        <v>494</v>
      </c>
    </row>
    <row r="11" spans="2:18" x14ac:dyDescent="0.35">
      <c r="B11" s="25">
        <f>'2.1. DM'!B11</f>
        <v>1</v>
      </c>
      <c r="C11" s="21">
        <f>'2.1. DM'!C11</f>
        <v>46041</v>
      </c>
      <c r="D11" s="25" t="str">
        <f>'2.1. DM'!D11</f>
        <v>Genbank</v>
      </c>
      <c r="E11" s="25">
        <f>'2.1. DM'!E11</f>
        <v>27</v>
      </c>
      <c r="F11" s="25" t="str">
        <f>'2.1. DM'!F11</f>
        <v>F251728</v>
      </c>
      <c r="G11" s="25" t="str">
        <f>'2.1. DM'!G11</f>
        <v>CIAT-13262</v>
      </c>
      <c r="H11" s="25" t="str">
        <f>'2.1. DM'!H11</f>
        <v>Dendrolobium</v>
      </c>
      <c r="I11" s="25" t="str">
        <f>'2.1. DM'!I11</f>
        <v>triangulare</v>
      </c>
      <c r="J11" s="25" t="str">
        <f>'2.1. DM'!J11</f>
        <v>Dendrolobium triangulare</v>
      </c>
      <c r="K11" s="25" t="str">
        <f>'2.1. DM'!K11</f>
        <v>Fabaceae</v>
      </c>
      <c r="L11" s="25" t="str">
        <f>'2.1. DM'!L11</f>
        <v>Fabales</v>
      </c>
      <c r="M11" s="25" t="str">
        <f>'2.1. DM'!M11</f>
        <v>Tree</v>
      </c>
      <c r="N11" s="25" t="str">
        <f>'2.1. DM'!N11</f>
        <v>58,59, 69</v>
      </c>
      <c r="O11" s="25" t="str">
        <f>'2.1. DM'!O11</f>
        <v>OT-010 (2025)</v>
      </c>
      <c r="P11" s="22" t="s">
        <v>495</v>
      </c>
      <c r="Q11" s="23">
        <v>61.504677678983363</v>
      </c>
      <c r="R11" s="341">
        <f>AVERAGE('2.4 NDF'!Q11:Q12)</f>
        <v>60.404358773318265</v>
      </c>
    </row>
    <row r="12" spans="2:18" x14ac:dyDescent="0.35">
      <c r="B12" s="25">
        <f>'2.1. DM'!B12</f>
        <v>2</v>
      </c>
      <c r="C12" s="21">
        <f>'2.1. DM'!C12</f>
        <v>46041</v>
      </c>
      <c r="D12" s="25" t="str">
        <f>'2.1. DM'!D12</f>
        <v>Genbank</v>
      </c>
      <c r="E12" s="25">
        <f>'2.1. DM'!E12</f>
        <v>27</v>
      </c>
      <c r="F12" s="25" t="str">
        <f>'2.1. DM'!F12</f>
        <v>F251728</v>
      </c>
      <c r="G12" s="25" t="str">
        <f>'2.1. DM'!G12</f>
        <v>CIAT-13262</v>
      </c>
      <c r="H12" s="25" t="str">
        <f>'2.1. DM'!H12</f>
        <v>Dendrolobium</v>
      </c>
      <c r="I12" s="25" t="str">
        <f>'2.1. DM'!I12</f>
        <v>triangulare</v>
      </c>
      <c r="J12" s="25" t="str">
        <f>'2.1. DM'!J12</f>
        <v>Dendrolobium triangulare</v>
      </c>
      <c r="K12" s="25" t="str">
        <f>'2.1. DM'!K12</f>
        <v>Fabaceae</v>
      </c>
      <c r="L12" s="25" t="str">
        <f>'2.1. DM'!L12</f>
        <v>Fabales</v>
      </c>
      <c r="M12" s="25" t="str">
        <f>'2.1. DM'!M12</f>
        <v>Tree</v>
      </c>
      <c r="N12" s="25" t="str">
        <f>'2.1. DM'!N12</f>
        <v>58,59, 69</v>
      </c>
      <c r="O12" s="25" t="str">
        <f>'2.1. DM'!O12</f>
        <v>OT-010 (2025)</v>
      </c>
      <c r="P12" s="19" t="s">
        <v>496</v>
      </c>
      <c r="Q12" s="23">
        <v>59.304039867653167</v>
      </c>
      <c r="R12" s="341"/>
    </row>
    <row r="13" spans="2:18" x14ac:dyDescent="0.35">
      <c r="B13" s="25">
        <f>'2.1. DM'!B13</f>
        <v>3</v>
      </c>
      <c r="C13" s="21">
        <f>'2.1. DM'!C13</f>
        <v>46041</v>
      </c>
      <c r="D13" s="25" t="str">
        <f>'2.1. DM'!D13</f>
        <v>Genbank</v>
      </c>
      <c r="E13" s="25">
        <f>'2.1. DM'!E13</f>
        <v>27</v>
      </c>
      <c r="F13" s="25" t="str">
        <f>'2.1. DM'!F13</f>
        <v>F251729</v>
      </c>
      <c r="G13" s="25" t="str">
        <f>'2.1. DM'!G13</f>
        <v>CIAT-13528</v>
      </c>
      <c r="H13" s="25" t="str">
        <f>'2.1. DM'!H13</f>
        <v>Dendrolobium</v>
      </c>
      <c r="I13" s="25" t="str">
        <f>'2.1. DM'!I13</f>
        <v>lanceolatum</v>
      </c>
      <c r="J13" s="25" t="str">
        <f>'2.1. DM'!J13</f>
        <v>Dendrolobium lanceolatum</v>
      </c>
      <c r="K13" s="25" t="str">
        <f>'2.1. DM'!K13</f>
        <v>Fabaceae</v>
      </c>
      <c r="L13" s="25" t="str">
        <f>'2.1. DM'!L13</f>
        <v>Fabales</v>
      </c>
      <c r="M13" s="25" t="str">
        <f>'2.1. DM'!M13</f>
        <v>Tree</v>
      </c>
      <c r="N13" s="25" t="str">
        <f>'2.1. DM'!N13</f>
        <v>58,59, 69</v>
      </c>
      <c r="O13" s="25" t="str">
        <f>'2.1. DM'!O13</f>
        <v>OT-010 (2025)</v>
      </c>
      <c r="P13" s="22" t="s">
        <v>495</v>
      </c>
      <c r="Q13" s="23">
        <v>57.217055116378525</v>
      </c>
      <c r="R13" s="341">
        <f>AVERAGE('2.4 NDF'!Q13:Q14)</f>
        <v>56.879547867545071</v>
      </c>
    </row>
    <row r="14" spans="2:18" x14ac:dyDescent="0.35">
      <c r="B14" s="25">
        <f>'2.1. DM'!B14</f>
        <v>4</v>
      </c>
      <c r="C14" s="21">
        <f>'2.1. DM'!C14</f>
        <v>46041</v>
      </c>
      <c r="D14" s="25" t="str">
        <f>'2.1. DM'!D14</f>
        <v>Genbank</v>
      </c>
      <c r="E14" s="25">
        <f>'2.1. DM'!E14</f>
        <v>27</v>
      </c>
      <c r="F14" s="25" t="str">
        <f>'2.1. DM'!F14</f>
        <v>F251729</v>
      </c>
      <c r="G14" s="25" t="str">
        <f>'2.1. DM'!G14</f>
        <v>CIAT-13528</v>
      </c>
      <c r="H14" s="25" t="str">
        <f>'2.1. DM'!H14</f>
        <v>Dendrolobium</v>
      </c>
      <c r="I14" s="25" t="str">
        <f>'2.1. DM'!I14</f>
        <v>lanceolatum</v>
      </c>
      <c r="J14" s="25" t="str">
        <f>'2.1. DM'!J14</f>
        <v>Dendrolobium lanceolatum</v>
      </c>
      <c r="K14" s="25" t="str">
        <f>'2.1. DM'!K14</f>
        <v>Fabaceae</v>
      </c>
      <c r="L14" s="25" t="str">
        <f>'2.1. DM'!L14</f>
        <v>Fabales</v>
      </c>
      <c r="M14" s="25" t="str">
        <f>'2.1. DM'!M14</f>
        <v>Tree</v>
      </c>
      <c r="N14" s="25" t="str">
        <f>'2.1. DM'!N14</f>
        <v>58,59, 69</v>
      </c>
      <c r="O14" s="25" t="str">
        <f>'2.1. DM'!O14</f>
        <v>OT-010 (2025)</v>
      </c>
      <c r="P14" s="19" t="s">
        <v>496</v>
      </c>
      <c r="Q14" s="23">
        <v>56.542040618711617</v>
      </c>
      <c r="R14" s="341"/>
    </row>
    <row r="15" spans="2:18" x14ac:dyDescent="0.35">
      <c r="B15" s="25">
        <f>'2.1. DM'!B15</f>
        <v>5</v>
      </c>
      <c r="C15" s="21">
        <f>'2.1. DM'!C15</f>
        <v>46041</v>
      </c>
      <c r="D15" s="25" t="str">
        <f>'2.1. DM'!D15</f>
        <v>Genbank</v>
      </c>
      <c r="E15" s="25">
        <f>'2.1. DM'!E15</f>
        <v>27</v>
      </c>
      <c r="F15" s="25" t="str">
        <f>'2.1. DM'!F15</f>
        <v>F251730</v>
      </c>
      <c r="G15" s="25" t="str">
        <f>'2.1. DM'!G15</f>
        <v>CIAT-13529</v>
      </c>
      <c r="H15" s="25" t="str">
        <f>'2.1. DM'!H15</f>
        <v>Dendrolobium</v>
      </c>
      <c r="I15" s="25" t="str">
        <f>'2.1. DM'!I15</f>
        <v>triangulare</v>
      </c>
      <c r="J15" s="25" t="str">
        <f>'2.1. DM'!J15</f>
        <v>Dendrolobium triangulare</v>
      </c>
      <c r="K15" s="25" t="str">
        <f>'2.1. DM'!K15</f>
        <v>Fabaceae</v>
      </c>
      <c r="L15" s="25" t="str">
        <f>'2.1. DM'!L15</f>
        <v>Fabales</v>
      </c>
      <c r="M15" s="25" t="str">
        <f>'2.1. DM'!M15</f>
        <v>Tree</v>
      </c>
      <c r="N15" s="25" t="str">
        <f>'2.1. DM'!N15</f>
        <v>58,59, 69</v>
      </c>
      <c r="O15" s="25" t="str">
        <f>'2.1. DM'!O15</f>
        <v>OT-010 (2025)</v>
      </c>
      <c r="P15" s="22" t="s">
        <v>495</v>
      </c>
      <c r="Q15" s="23">
        <v>61.915823880617474</v>
      </c>
      <c r="R15" s="341">
        <f>AVERAGE('2.4 NDF'!Q15:Q16)</f>
        <v>59.943984836340981</v>
      </c>
    </row>
    <row r="16" spans="2:18" x14ac:dyDescent="0.35">
      <c r="B16" s="25">
        <f>'2.1. DM'!B16</f>
        <v>6</v>
      </c>
      <c r="C16" s="21">
        <f>'2.1. DM'!C16</f>
        <v>46041</v>
      </c>
      <c r="D16" s="25" t="str">
        <f>'2.1. DM'!D16</f>
        <v>Genbank</v>
      </c>
      <c r="E16" s="25">
        <f>'2.1. DM'!E16</f>
        <v>27</v>
      </c>
      <c r="F16" s="25" t="str">
        <f>'2.1. DM'!F16</f>
        <v>F251730</v>
      </c>
      <c r="G16" s="25" t="str">
        <f>'2.1. DM'!G16</f>
        <v>CIAT-13529</v>
      </c>
      <c r="H16" s="25" t="str">
        <f>'2.1. DM'!H16</f>
        <v>Dendrolobium</v>
      </c>
      <c r="I16" s="25" t="str">
        <f>'2.1. DM'!I16</f>
        <v>triangulare</v>
      </c>
      <c r="J16" s="25" t="str">
        <f>'2.1. DM'!J16</f>
        <v>Dendrolobium triangulare</v>
      </c>
      <c r="K16" s="25" t="str">
        <f>'2.1. DM'!K16</f>
        <v>Fabaceae</v>
      </c>
      <c r="L16" s="25" t="str">
        <f>'2.1. DM'!L16</f>
        <v>Fabales</v>
      </c>
      <c r="M16" s="25" t="str">
        <f>'2.1. DM'!M16</f>
        <v>Tree</v>
      </c>
      <c r="N16" s="25" t="str">
        <f>'2.1. DM'!N16</f>
        <v>58,59, 69</v>
      </c>
      <c r="O16" s="25" t="str">
        <f>'2.1. DM'!O16</f>
        <v>OT-010 (2025)</v>
      </c>
      <c r="P16" s="19" t="s">
        <v>496</v>
      </c>
      <c r="Q16" s="23">
        <v>57.972145792064488</v>
      </c>
      <c r="R16" s="341"/>
    </row>
    <row r="17" spans="2:18" x14ac:dyDescent="0.35">
      <c r="B17" s="25">
        <f>'2.1. DM'!B17</f>
        <v>7</v>
      </c>
      <c r="C17" s="21">
        <f>'2.1. DM'!C17</f>
        <v>46041</v>
      </c>
      <c r="D17" s="25" t="str">
        <f>'2.1. DM'!D17</f>
        <v>Genbank</v>
      </c>
      <c r="E17" s="25">
        <f>'2.1. DM'!E17</f>
        <v>27</v>
      </c>
      <c r="F17" s="25" t="str">
        <f>'2.1. DM'!F17</f>
        <v>F251731</v>
      </c>
      <c r="G17" s="25" t="str">
        <f>'2.1. DM'!G17</f>
        <v>CIAT-13710</v>
      </c>
      <c r="H17" s="25" t="str">
        <f>'2.1. DM'!H17</f>
        <v>Dendrolobium</v>
      </c>
      <c r="I17" s="25" t="str">
        <f>'2.1. DM'!I17</f>
        <v>lanceolatum</v>
      </c>
      <c r="J17" s="25" t="str">
        <f>'2.1. DM'!J17</f>
        <v>Dendrolobium lanceolatum</v>
      </c>
      <c r="K17" s="25" t="str">
        <f>'2.1. DM'!K17</f>
        <v>Fabaceae</v>
      </c>
      <c r="L17" s="25" t="str">
        <f>'2.1. DM'!L17</f>
        <v>Fabales</v>
      </c>
      <c r="M17" s="25" t="str">
        <f>'2.1. DM'!M17</f>
        <v>Tree</v>
      </c>
      <c r="N17" s="25" t="str">
        <f>'2.1. DM'!N17</f>
        <v>58,59, 69</v>
      </c>
      <c r="O17" s="25" t="str">
        <f>'2.1. DM'!O17</f>
        <v>OT-010 (2025)</v>
      </c>
      <c r="P17" s="22" t="s">
        <v>495</v>
      </c>
      <c r="Q17" s="23">
        <v>63.795737375394047</v>
      </c>
      <c r="R17" s="341">
        <f>AVERAGE('2.4 NDF'!Q17:Q18)</f>
        <v>64.357002509200385</v>
      </c>
    </row>
    <row r="18" spans="2:18" x14ac:dyDescent="0.35">
      <c r="B18" s="25">
        <f>'2.1. DM'!B18</f>
        <v>8</v>
      </c>
      <c r="C18" s="21">
        <f>'2.1. DM'!C18</f>
        <v>46041</v>
      </c>
      <c r="D18" s="25" t="str">
        <f>'2.1. DM'!D18</f>
        <v>Genbank</v>
      </c>
      <c r="E18" s="25">
        <f>'2.1. DM'!E18</f>
        <v>27</v>
      </c>
      <c r="F18" s="25" t="str">
        <f>'2.1. DM'!F18</f>
        <v>F251731</v>
      </c>
      <c r="G18" s="25" t="str">
        <f>'2.1. DM'!G18</f>
        <v>CIAT-13710</v>
      </c>
      <c r="H18" s="25" t="str">
        <f>'2.1. DM'!H18</f>
        <v>Dendrolobium</v>
      </c>
      <c r="I18" s="25" t="str">
        <f>'2.1. DM'!I18</f>
        <v>lanceolatum</v>
      </c>
      <c r="J18" s="25" t="str">
        <f>'2.1. DM'!J18</f>
        <v>Dendrolobium lanceolatum</v>
      </c>
      <c r="K18" s="25" t="str">
        <f>'2.1. DM'!K18</f>
        <v>Fabaceae</v>
      </c>
      <c r="L18" s="25" t="str">
        <f>'2.1. DM'!L18</f>
        <v>Fabales</v>
      </c>
      <c r="M18" s="25" t="str">
        <f>'2.1. DM'!M18</f>
        <v>Tree</v>
      </c>
      <c r="N18" s="25" t="str">
        <f>'2.1. DM'!N18</f>
        <v>58,59, 69</v>
      </c>
      <c r="O18" s="25" t="str">
        <f>'2.1. DM'!O18</f>
        <v>OT-010 (2025)</v>
      </c>
      <c r="P18" s="19" t="s">
        <v>496</v>
      </c>
      <c r="Q18" s="23">
        <v>64.918267643006729</v>
      </c>
      <c r="R18" s="341"/>
    </row>
    <row r="19" spans="2:18" x14ac:dyDescent="0.35">
      <c r="B19" s="25">
        <f>'2.1. DM'!B19</f>
        <v>9</v>
      </c>
      <c r="C19" s="21">
        <f>'2.1. DM'!C19</f>
        <v>46041</v>
      </c>
      <c r="D19" s="25" t="str">
        <f>'2.1. DM'!D19</f>
        <v>Genbank</v>
      </c>
      <c r="E19" s="25">
        <f>'2.1. DM'!E19</f>
        <v>27</v>
      </c>
      <c r="F19" s="25" t="str">
        <f>'2.1. DM'!F19</f>
        <v>F251732</v>
      </c>
      <c r="G19" s="25" t="str">
        <f>'2.1. DM'!G19</f>
        <v>CIAT-22004</v>
      </c>
      <c r="H19" s="25" t="str">
        <f>'2.1. DM'!H19</f>
        <v>Dendrolobium</v>
      </c>
      <c r="I19" s="25" t="str">
        <f>'2.1. DM'!I19</f>
        <v>triangulare</v>
      </c>
      <c r="J19" s="25" t="str">
        <f>'2.1. DM'!J19</f>
        <v>Dendrolobium triangulare</v>
      </c>
      <c r="K19" s="25" t="str">
        <f>'2.1. DM'!K19</f>
        <v>Fabaceae</v>
      </c>
      <c r="L19" s="25" t="str">
        <f>'2.1. DM'!L19</f>
        <v>Fabales</v>
      </c>
      <c r="M19" s="25" t="str">
        <f>'2.1. DM'!M19</f>
        <v>Tree</v>
      </c>
      <c r="N19" s="25" t="str">
        <f>'2.1. DM'!N19</f>
        <v>58,59, 69</v>
      </c>
      <c r="O19" s="25" t="str">
        <f>'2.1. DM'!O19</f>
        <v>OT-010 (2025)</v>
      </c>
      <c r="P19" s="22" t="s">
        <v>495</v>
      </c>
      <c r="Q19" s="23">
        <v>62.658193597523514</v>
      </c>
      <c r="R19" s="341">
        <f>AVERAGE('2.4 NDF'!Q19:Q20)</f>
        <v>63.608525816852733</v>
      </c>
    </row>
    <row r="20" spans="2:18" x14ac:dyDescent="0.35">
      <c r="B20" s="25">
        <f>'2.1. DM'!B20</f>
        <v>10</v>
      </c>
      <c r="C20" s="21">
        <f>'2.1. DM'!C20</f>
        <v>46041</v>
      </c>
      <c r="D20" s="25" t="str">
        <f>'2.1. DM'!D20</f>
        <v>Genbank</v>
      </c>
      <c r="E20" s="25">
        <f>'2.1. DM'!E20</f>
        <v>27</v>
      </c>
      <c r="F20" s="25" t="str">
        <f>'2.1. DM'!F20</f>
        <v>F251732</v>
      </c>
      <c r="G20" s="25" t="str">
        <f>'2.1. DM'!G20</f>
        <v>CIAT-22004</v>
      </c>
      <c r="H20" s="25" t="str">
        <f>'2.1. DM'!H20</f>
        <v>Dendrolobium</v>
      </c>
      <c r="I20" s="25" t="str">
        <f>'2.1. DM'!I20</f>
        <v>triangulare</v>
      </c>
      <c r="J20" s="25" t="str">
        <f>'2.1. DM'!J20</f>
        <v>Dendrolobium triangulare</v>
      </c>
      <c r="K20" s="25" t="str">
        <f>'2.1. DM'!K20</f>
        <v>Fabaceae</v>
      </c>
      <c r="L20" s="25" t="str">
        <f>'2.1. DM'!L20</f>
        <v>Fabales</v>
      </c>
      <c r="M20" s="25" t="str">
        <f>'2.1. DM'!M20</f>
        <v>Tree</v>
      </c>
      <c r="N20" s="25" t="str">
        <f>'2.1. DM'!N20</f>
        <v>58,59, 69</v>
      </c>
      <c r="O20" s="25" t="str">
        <f>'2.1. DM'!O20</f>
        <v>OT-010 (2025)</v>
      </c>
      <c r="P20" s="19" t="s">
        <v>496</v>
      </c>
      <c r="Q20" s="23">
        <v>64.55885803618196</v>
      </c>
      <c r="R20" s="341"/>
    </row>
    <row r="21" spans="2:18" x14ac:dyDescent="0.35">
      <c r="B21" s="25">
        <f>'2.1. DM'!B21</f>
        <v>11</v>
      </c>
      <c r="C21" s="21">
        <f>'2.1. DM'!C21</f>
        <v>46041</v>
      </c>
      <c r="D21" s="25" t="str">
        <f>'2.1. DM'!D21</f>
        <v>Genbank</v>
      </c>
      <c r="E21" s="25">
        <f>'2.1. DM'!E21</f>
        <v>27</v>
      </c>
      <c r="F21" s="25" t="str">
        <f>'2.1. DM'!F21</f>
        <v>F251733</v>
      </c>
      <c r="G21" s="25" t="str">
        <f>'2.1. DM'!G21</f>
        <v>CIAT-23104</v>
      </c>
      <c r="H21" s="25" t="str">
        <f>'2.1. DM'!H21</f>
        <v>Dendrolobium</v>
      </c>
      <c r="I21" s="25" t="str">
        <f>'2.1. DM'!I21</f>
        <v>triangulare</v>
      </c>
      <c r="J21" s="25" t="str">
        <f>'2.1. DM'!J21</f>
        <v>Dendrolobium triangulare</v>
      </c>
      <c r="K21" s="25" t="str">
        <f>'2.1. DM'!K21</f>
        <v>Fabaceae</v>
      </c>
      <c r="L21" s="25" t="str">
        <f>'2.1. DM'!L21</f>
        <v>Fabales</v>
      </c>
      <c r="M21" s="25" t="str">
        <f>'2.1. DM'!M21</f>
        <v>Tree</v>
      </c>
      <c r="N21" s="25" t="str">
        <f>'2.1. DM'!N21</f>
        <v>58,59, 69</v>
      </c>
      <c r="O21" s="25" t="str">
        <f>'2.1. DM'!O21</f>
        <v>OT-010 (2025)</v>
      </c>
      <c r="P21" s="22" t="s">
        <v>495</v>
      </c>
      <c r="Q21" s="23">
        <v>66.326560948931771</v>
      </c>
      <c r="R21" s="341">
        <f>AVERAGE('2.4 NDF'!Q21:Q22)</f>
        <v>67.219530028063701</v>
      </c>
    </row>
    <row r="22" spans="2:18" x14ac:dyDescent="0.35">
      <c r="B22" s="25">
        <f>'2.1. DM'!B22</f>
        <v>12</v>
      </c>
      <c r="C22" s="21">
        <f>'2.1. DM'!C22</f>
        <v>46041</v>
      </c>
      <c r="D22" s="25" t="str">
        <f>'2.1. DM'!D22</f>
        <v>Genbank</v>
      </c>
      <c r="E22" s="25">
        <f>'2.1. DM'!E22</f>
        <v>27</v>
      </c>
      <c r="F22" s="25" t="str">
        <f>'2.1. DM'!F22</f>
        <v>F251733</v>
      </c>
      <c r="G22" s="25" t="str">
        <f>'2.1. DM'!G22</f>
        <v>CIAT-23104</v>
      </c>
      <c r="H22" s="25" t="str">
        <f>'2.1. DM'!H22</f>
        <v>Dendrolobium</v>
      </c>
      <c r="I22" s="25" t="str">
        <f>'2.1. DM'!I22</f>
        <v>triangulare</v>
      </c>
      <c r="J22" s="25" t="str">
        <f>'2.1. DM'!J22</f>
        <v>Dendrolobium triangulare</v>
      </c>
      <c r="K22" s="25" t="str">
        <f>'2.1. DM'!K22</f>
        <v>Fabaceae</v>
      </c>
      <c r="L22" s="25" t="str">
        <f>'2.1. DM'!L22</f>
        <v>Fabales</v>
      </c>
      <c r="M22" s="25" t="str">
        <f>'2.1. DM'!M22</f>
        <v>Tree</v>
      </c>
      <c r="N22" s="25" t="str">
        <f>'2.1. DM'!N22</f>
        <v>58,59, 69</v>
      </c>
      <c r="O22" s="25" t="str">
        <f>'2.1. DM'!O22</f>
        <v>OT-010 (2025)</v>
      </c>
      <c r="P22" s="19" t="s">
        <v>496</v>
      </c>
      <c r="Q22" s="23">
        <v>68.112499107195617</v>
      </c>
      <c r="R22" s="341"/>
    </row>
    <row r="23" spans="2:18" x14ac:dyDescent="0.35">
      <c r="B23" s="25">
        <f>'2.1. DM'!B23</f>
        <v>13</v>
      </c>
      <c r="C23" s="21">
        <f>'2.1. DM'!C23</f>
        <v>46041</v>
      </c>
      <c r="D23" s="25" t="str">
        <f>'2.1. DM'!D23</f>
        <v>Genbank</v>
      </c>
      <c r="E23" s="25">
        <f>'2.1. DM'!E23</f>
        <v>27</v>
      </c>
      <c r="F23" s="25" t="str">
        <f>'2.1. DM'!F23</f>
        <v>F251734</v>
      </c>
      <c r="G23" s="25" t="str">
        <f>'2.1. DM'!G23</f>
        <v>CIAT-23106</v>
      </c>
      <c r="H23" s="25" t="str">
        <f>'2.1. DM'!H23</f>
        <v>Dendrolobium</v>
      </c>
      <c r="I23" s="25" t="str">
        <f>'2.1. DM'!I23</f>
        <v>triangulare</v>
      </c>
      <c r="J23" s="25" t="str">
        <f>'2.1. DM'!J23</f>
        <v>Dendrolobium triangulare</v>
      </c>
      <c r="K23" s="25" t="str">
        <f>'2.1. DM'!K23</f>
        <v>Fabaceae</v>
      </c>
      <c r="L23" s="25" t="str">
        <f>'2.1. DM'!L23</f>
        <v>Fabales</v>
      </c>
      <c r="M23" s="25" t="str">
        <f>'2.1. DM'!M23</f>
        <v>Tree</v>
      </c>
      <c r="N23" s="25" t="str">
        <f>'2.1. DM'!N23</f>
        <v>58,59, 69</v>
      </c>
      <c r="O23" s="25" t="str">
        <f>'2.1. DM'!O23</f>
        <v>OT-010 (2025)</v>
      </c>
      <c r="P23" s="22" t="s">
        <v>495</v>
      </c>
      <c r="Q23" s="23">
        <v>68.634416370889056</v>
      </c>
      <c r="R23" s="341">
        <f>AVERAGE('2.4 NDF'!Q23:Q24)</f>
        <v>67.761006152431818</v>
      </c>
    </row>
    <row r="24" spans="2:18" x14ac:dyDescent="0.35">
      <c r="B24" s="25">
        <f>'2.1. DM'!B24</f>
        <v>14</v>
      </c>
      <c r="C24" s="21">
        <f>'2.1. DM'!C24</f>
        <v>46041</v>
      </c>
      <c r="D24" s="25" t="str">
        <f>'2.1. DM'!D24</f>
        <v>Genbank</v>
      </c>
      <c r="E24" s="25">
        <f>'2.1. DM'!E24</f>
        <v>27</v>
      </c>
      <c r="F24" s="25" t="str">
        <f>'2.1. DM'!F24</f>
        <v>F251734</v>
      </c>
      <c r="G24" s="25" t="str">
        <f>'2.1. DM'!G24</f>
        <v>CIAT-23106</v>
      </c>
      <c r="H24" s="25" t="str">
        <f>'2.1. DM'!H24</f>
        <v>Dendrolobium</v>
      </c>
      <c r="I24" s="25" t="str">
        <f>'2.1. DM'!I24</f>
        <v>triangulare</v>
      </c>
      <c r="J24" s="25" t="str">
        <f>'2.1. DM'!J24</f>
        <v>Dendrolobium triangulare</v>
      </c>
      <c r="K24" s="25" t="str">
        <f>'2.1. DM'!K24</f>
        <v>Fabaceae</v>
      </c>
      <c r="L24" s="25" t="str">
        <f>'2.1. DM'!L24</f>
        <v>Fabales</v>
      </c>
      <c r="M24" s="25" t="str">
        <f>'2.1. DM'!M24</f>
        <v>Tree</v>
      </c>
      <c r="N24" s="25" t="str">
        <f>'2.1. DM'!N24</f>
        <v>58,59, 69</v>
      </c>
      <c r="O24" s="25" t="str">
        <f>'2.1. DM'!O24</f>
        <v>OT-010 (2025)</v>
      </c>
      <c r="P24" s="19" t="s">
        <v>496</v>
      </c>
      <c r="Q24" s="23">
        <v>66.88759593397458</v>
      </c>
      <c r="R24" s="341"/>
    </row>
    <row r="25" spans="2:18" x14ac:dyDescent="0.35">
      <c r="B25" s="25">
        <f>'2.1. DM'!B25</f>
        <v>15</v>
      </c>
      <c r="C25" s="21">
        <f>'2.1. DM'!C25</f>
        <v>46041</v>
      </c>
      <c r="D25" s="25" t="str">
        <f>'2.1. DM'!D25</f>
        <v>Genbank</v>
      </c>
      <c r="E25" s="25">
        <f>'2.1. DM'!E25</f>
        <v>27</v>
      </c>
      <c r="F25" s="25" t="str">
        <f>'2.1. DM'!F25</f>
        <v>F251735</v>
      </c>
      <c r="G25" s="25" t="str">
        <f>'2.1. DM'!G25</f>
        <v>CIAT-23107</v>
      </c>
      <c r="H25" s="25" t="str">
        <f>'2.1. DM'!H25</f>
        <v>Dendrolobium</v>
      </c>
      <c r="I25" s="25" t="str">
        <f>'2.1. DM'!I25</f>
        <v>triangulare</v>
      </c>
      <c r="J25" s="25" t="str">
        <f>'2.1. DM'!J25</f>
        <v>Dendrolobium triangulare</v>
      </c>
      <c r="K25" s="25" t="str">
        <f>'2.1. DM'!K25</f>
        <v>Fabaceae</v>
      </c>
      <c r="L25" s="25" t="str">
        <f>'2.1. DM'!L25</f>
        <v>Fabales</v>
      </c>
      <c r="M25" s="25" t="str">
        <f>'2.1. DM'!M25</f>
        <v>Tree</v>
      </c>
      <c r="N25" s="25" t="str">
        <f>'2.1. DM'!N25</f>
        <v>58,59, 69</v>
      </c>
      <c r="O25" s="25" t="str">
        <f>'2.1. DM'!O25</f>
        <v>OT-010 (2025)</v>
      </c>
      <c r="P25" s="22" t="s">
        <v>495</v>
      </c>
      <c r="Q25" s="23">
        <v>67.34624902643462</v>
      </c>
      <c r="R25" s="341">
        <f>AVERAGE('2.4 NDF'!Q25:Q26)</f>
        <v>67.216777899476341</v>
      </c>
    </row>
    <row r="26" spans="2:18" x14ac:dyDescent="0.35">
      <c r="B26" s="25">
        <f>'2.1. DM'!B26</f>
        <v>16</v>
      </c>
      <c r="C26" s="21">
        <f>'2.1. DM'!C26</f>
        <v>46041</v>
      </c>
      <c r="D26" s="25" t="str">
        <f>'2.1. DM'!D26</f>
        <v>Genbank</v>
      </c>
      <c r="E26" s="25">
        <f>'2.1. DM'!E26</f>
        <v>27</v>
      </c>
      <c r="F26" s="25" t="str">
        <f>'2.1. DM'!F26</f>
        <v>F251735</v>
      </c>
      <c r="G26" s="25" t="str">
        <f>'2.1. DM'!G26</f>
        <v>CIAT-23107</v>
      </c>
      <c r="H26" s="25" t="str">
        <f>'2.1. DM'!H26</f>
        <v>Dendrolobium</v>
      </c>
      <c r="I26" s="25" t="str">
        <f>'2.1. DM'!I26</f>
        <v>triangulare</v>
      </c>
      <c r="J26" s="25" t="str">
        <f>'2.1. DM'!J26</f>
        <v>Dendrolobium triangulare</v>
      </c>
      <c r="K26" s="25" t="str">
        <f>'2.1. DM'!K26</f>
        <v>Fabaceae</v>
      </c>
      <c r="L26" s="25" t="str">
        <f>'2.1. DM'!L26</f>
        <v>Fabales</v>
      </c>
      <c r="M26" s="25" t="str">
        <f>'2.1. DM'!M26</f>
        <v>Tree</v>
      </c>
      <c r="N26" s="25" t="str">
        <f>'2.1. DM'!N26</f>
        <v>58,59, 69</v>
      </c>
      <c r="O26" s="25" t="str">
        <f>'2.1. DM'!O26</f>
        <v>OT-010 (2025)</v>
      </c>
      <c r="P26" s="19" t="s">
        <v>496</v>
      </c>
      <c r="Q26" s="23">
        <v>67.087306772518062</v>
      </c>
      <c r="R26" s="341"/>
    </row>
    <row r="27" spans="2:18" x14ac:dyDescent="0.35">
      <c r="B27" s="25">
        <f>'2.1. DM'!B27</f>
        <v>17</v>
      </c>
      <c r="C27" s="21">
        <f>'2.1. DM'!C27</f>
        <v>46041</v>
      </c>
      <c r="D27" s="25" t="str">
        <f>'2.1. DM'!D27</f>
        <v>Genbank</v>
      </c>
      <c r="E27" s="25">
        <f>'2.1. DM'!E27</f>
        <v>27</v>
      </c>
      <c r="F27" s="25" t="str">
        <f>'2.1. DM'!F27</f>
        <v>F251736</v>
      </c>
      <c r="G27" s="25" t="str">
        <f>'2.1. DM'!G27</f>
        <v>CIAT-23108</v>
      </c>
      <c r="H27" s="25" t="str">
        <f>'2.1. DM'!H27</f>
        <v>Dendrolobium</v>
      </c>
      <c r="I27" s="25" t="str">
        <f>'2.1. DM'!I27</f>
        <v>triangulare</v>
      </c>
      <c r="J27" s="25" t="str">
        <f>'2.1. DM'!J27</f>
        <v>Dendrolobium triangulare</v>
      </c>
      <c r="K27" s="25" t="str">
        <f>'2.1. DM'!K27</f>
        <v>Fabaceae</v>
      </c>
      <c r="L27" s="25" t="str">
        <f>'2.1. DM'!L27</f>
        <v>Fabales</v>
      </c>
      <c r="M27" s="25" t="str">
        <f>'2.1. DM'!M27</f>
        <v>Tree</v>
      </c>
      <c r="N27" s="25" t="str">
        <f>'2.1. DM'!N27</f>
        <v>58,59, 69</v>
      </c>
      <c r="O27" s="25" t="str">
        <f>'2.1. DM'!O27</f>
        <v>OT-010 (2025)</v>
      </c>
      <c r="P27" s="22" t="s">
        <v>495</v>
      </c>
      <c r="Q27" s="23">
        <v>69.587165742795591</v>
      </c>
      <c r="R27" s="341">
        <f>AVERAGE('2.4 NDF'!Q27:Q28)</f>
        <v>69.366100630903134</v>
      </c>
    </row>
    <row r="28" spans="2:18" x14ac:dyDescent="0.35">
      <c r="B28" s="25">
        <f>'2.1. DM'!B28</f>
        <v>18</v>
      </c>
      <c r="C28" s="21">
        <f>'2.1. DM'!C28</f>
        <v>46041</v>
      </c>
      <c r="D28" s="25" t="str">
        <f>'2.1. DM'!D28</f>
        <v>Genbank</v>
      </c>
      <c r="E28" s="25">
        <f>'2.1. DM'!E28</f>
        <v>27</v>
      </c>
      <c r="F28" s="25" t="str">
        <f>'2.1. DM'!F28</f>
        <v>F251736</v>
      </c>
      <c r="G28" s="25" t="str">
        <f>'2.1. DM'!G28</f>
        <v>CIAT-23108</v>
      </c>
      <c r="H28" s="25" t="str">
        <f>'2.1. DM'!H28</f>
        <v>Dendrolobium</v>
      </c>
      <c r="I28" s="25" t="str">
        <f>'2.1. DM'!I28</f>
        <v>triangulare</v>
      </c>
      <c r="J28" s="25" t="str">
        <f>'2.1. DM'!J28</f>
        <v>Dendrolobium triangulare</v>
      </c>
      <c r="K28" s="25" t="str">
        <f>'2.1. DM'!K28</f>
        <v>Fabaceae</v>
      </c>
      <c r="L28" s="25" t="str">
        <f>'2.1. DM'!L28</f>
        <v>Fabales</v>
      </c>
      <c r="M28" s="25" t="str">
        <f>'2.1. DM'!M28</f>
        <v>Tree</v>
      </c>
      <c r="N28" s="25" t="str">
        <f>'2.1. DM'!N28</f>
        <v>58,59, 69</v>
      </c>
      <c r="O28" s="25" t="str">
        <f>'2.1. DM'!O28</f>
        <v>OT-010 (2025)</v>
      </c>
      <c r="P28" s="19" t="s">
        <v>496</v>
      </c>
      <c r="Q28" s="23">
        <v>69.145035519010662</v>
      </c>
      <c r="R28" s="341"/>
    </row>
    <row r="29" spans="2:18" x14ac:dyDescent="0.35">
      <c r="B29" s="25">
        <f>'2.1. DM'!B29</f>
        <v>19</v>
      </c>
      <c r="C29" s="21">
        <f>'2.1. DM'!C29</f>
        <v>46041</v>
      </c>
      <c r="D29" s="25" t="str">
        <f>'2.1. DM'!D29</f>
        <v>Genbank</v>
      </c>
      <c r="E29" s="25">
        <f>'2.1. DM'!E29</f>
        <v>27</v>
      </c>
      <c r="F29" s="25" t="str">
        <f>'2.1. DM'!F29</f>
        <v>F251737</v>
      </c>
      <c r="G29" s="25" t="str">
        <f>'2.1. DM'!G29</f>
        <v>CIAT-23412</v>
      </c>
      <c r="H29" s="25" t="str">
        <f>'2.1. DM'!H29</f>
        <v>Dendrolobium</v>
      </c>
      <c r="I29" s="25" t="str">
        <f>'2.1. DM'!I29</f>
        <v>triangulare</v>
      </c>
      <c r="J29" s="25" t="str">
        <f>'2.1. DM'!J29</f>
        <v>Dendrolobium triangulare</v>
      </c>
      <c r="K29" s="25" t="str">
        <f>'2.1. DM'!K29</f>
        <v>Fabaceae</v>
      </c>
      <c r="L29" s="25" t="str">
        <f>'2.1. DM'!L29</f>
        <v>Fabales</v>
      </c>
      <c r="M29" s="25" t="str">
        <f>'2.1. DM'!M29</f>
        <v>Tree</v>
      </c>
      <c r="N29" s="25" t="str">
        <f>'2.1. DM'!N29</f>
        <v>58,59, 69</v>
      </c>
      <c r="O29" s="25" t="str">
        <f>'2.1. DM'!O29</f>
        <v>OT-010 (2025)</v>
      </c>
      <c r="P29" s="22" t="s">
        <v>495</v>
      </c>
      <c r="Q29" s="23">
        <v>62.085483648121539</v>
      </c>
      <c r="R29" s="341">
        <f>AVERAGE('2.4 NDF'!Q29:Q30)</f>
        <v>62.136166500418632</v>
      </c>
    </row>
    <row r="30" spans="2:18" x14ac:dyDescent="0.35">
      <c r="B30" s="25">
        <f>'2.1. DM'!B30</f>
        <v>20</v>
      </c>
      <c r="C30" s="21">
        <f>'2.1. DM'!C30</f>
        <v>46041</v>
      </c>
      <c r="D30" s="25" t="str">
        <f>'2.1. DM'!D30</f>
        <v>Genbank</v>
      </c>
      <c r="E30" s="25">
        <f>'2.1. DM'!E30</f>
        <v>27</v>
      </c>
      <c r="F30" s="25" t="str">
        <f>'2.1. DM'!F30</f>
        <v>F251737</v>
      </c>
      <c r="G30" s="25" t="str">
        <f>'2.1. DM'!G30</f>
        <v>CIAT-23412</v>
      </c>
      <c r="H30" s="25" t="str">
        <f>'2.1. DM'!H30</f>
        <v>Dendrolobium</v>
      </c>
      <c r="I30" s="25" t="str">
        <f>'2.1. DM'!I30</f>
        <v>triangulare</v>
      </c>
      <c r="J30" s="25" t="str">
        <f>'2.1. DM'!J30</f>
        <v>Dendrolobium triangulare</v>
      </c>
      <c r="K30" s="25" t="str">
        <f>'2.1. DM'!K30</f>
        <v>Fabaceae</v>
      </c>
      <c r="L30" s="25" t="str">
        <f>'2.1. DM'!L30</f>
        <v>Fabales</v>
      </c>
      <c r="M30" s="25" t="str">
        <f>'2.1. DM'!M30</f>
        <v>Tree</v>
      </c>
      <c r="N30" s="25" t="str">
        <f>'2.1. DM'!N30</f>
        <v>58,59, 69</v>
      </c>
      <c r="O30" s="25" t="str">
        <f>'2.1. DM'!O30</f>
        <v>OT-010 (2025)</v>
      </c>
      <c r="P30" s="19" t="s">
        <v>496</v>
      </c>
      <c r="Q30" s="23">
        <v>62.186849352715726</v>
      </c>
      <c r="R30" s="341"/>
    </row>
    <row r="31" spans="2:18" x14ac:dyDescent="0.35">
      <c r="B31" s="25">
        <f>'2.1. DM'!B31</f>
        <v>21</v>
      </c>
      <c r="C31" s="21">
        <f>'2.1. DM'!C31</f>
        <v>46041</v>
      </c>
      <c r="D31" s="25" t="str">
        <f>'2.1. DM'!D31</f>
        <v>Genbank</v>
      </c>
      <c r="E31" s="25">
        <f>'2.1. DM'!E31</f>
        <v>27</v>
      </c>
      <c r="F31" s="25" t="str">
        <f>'2.1. DM'!F31</f>
        <v>F251738</v>
      </c>
      <c r="G31" s="25" t="str">
        <f>'2.1. DM'!G31</f>
        <v>CIAT-23413</v>
      </c>
      <c r="H31" s="25" t="str">
        <f>'2.1. DM'!H31</f>
        <v>Dendrolobium</v>
      </c>
      <c r="I31" s="25" t="str">
        <f>'2.1. DM'!I31</f>
        <v>triangulare</v>
      </c>
      <c r="J31" s="25" t="str">
        <f>'2.1. DM'!J31</f>
        <v>Dendrolobium triangulare</v>
      </c>
      <c r="K31" s="25" t="str">
        <f>'2.1. DM'!K31</f>
        <v>Fabaceae</v>
      </c>
      <c r="L31" s="25" t="str">
        <f>'2.1. DM'!L31</f>
        <v>Fabales</v>
      </c>
      <c r="M31" s="25" t="str">
        <f>'2.1. DM'!M31</f>
        <v>Tree</v>
      </c>
      <c r="N31" s="25" t="str">
        <f>'2.1. DM'!N31</f>
        <v>58,59, 69</v>
      </c>
      <c r="O31" s="25" t="str">
        <f>'2.1. DM'!O31</f>
        <v>OT-010 (2025)</v>
      </c>
      <c r="P31" s="22" t="s">
        <v>495</v>
      </c>
      <c r="Q31" s="23">
        <v>65.337061998199687</v>
      </c>
      <c r="R31" s="341">
        <f>AVERAGE('2.4 NDF'!Q31:Q122)</f>
        <v>59.973155697871206</v>
      </c>
    </row>
    <row r="32" spans="2:18" x14ac:dyDescent="0.35">
      <c r="B32" s="25">
        <f>'2.1. DM'!B32</f>
        <v>22</v>
      </c>
      <c r="C32" s="21">
        <f>'2.1. DM'!C32</f>
        <v>46041</v>
      </c>
      <c r="D32" s="25" t="str">
        <f>'2.1. DM'!D32</f>
        <v>Genbank</v>
      </c>
      <c r="E32" s="25">
        <f>'2.1. DM'!E32</f>
        <v>27</v>
      </c>
      <c r="F32" s="25" t="str">
        <f>'2.1. DM'!F32</f>
        <v>F251738</v>
      </c>
      <c r="G32" s="25" t="str">
        <f>'2.1. DM'!G32</f>
        <v>CIAT-23413</v>
      </c>
      <c r="H32" s="25" t="str">
        <f>'2.1. DM'!H32</f>
        <v>Dendrolobium</v>
      </c>
      <c r="I32" s="25" t="str">
        <f>'2.1. DM'!I32</f>
        <v>triangulare</v>
      </c>
      <c r="J32" s="25" t="str">
        <f>'2.1. DM'!J32</f>
        <v>Dendrolobium triangulare</v>
      </c>
      <c r="K32" s="25" t="str">
        <f>'2.1. DM'!K32</f>
        <v>Fabaceae</v>
      </c>
      <c r="L32" s="25" t="str">
        <f>'2.1. DM'!L32</f>
        <v>Fabales</v>
      </c>
      <c r="M32" s="25" t="str">
        <f>'2.1. DM'!M32</f>
        <v>Tree</v>
      </c>
      <c r="N32" s="25" t="str">
        <f>'2.1. DM'!N32</f>
        <v>58,59, 69</v>
      </c>
      <c r="O32" s="25" t="str">
        <f>'2.1. DM'!O32</f>
        <v>OT-010 (2025)</v>
      </c>
      <c r="P32" s="19" t="s">
        <v>496</v>
      </c>
      <c r="Q32" s="23">
        <v>67.115008813281506</v>
      </c>
      <c r="R32" s="341">
        <f>AVERAGE('2.4 NDF'!Q32:Q123)</f>
        <v>59.953006645496259</v>
      </c>
    </row>
    <row r="33" spans="2:18" x14ac:dyDescent="0.35">
      <c r="B33" s="25">
        <f>'2.1. DM'!B33</f>
        <v>23</v>
      </c>
      <c r="C33" s="21">
        <f>'2.1. DM'!C33</f>
        <v>46041</v>
      </c>
      <c r="D33" s="25" t="str">
        <f>'2.1. DM'!D33</f>
        <v>Genbank</v>
      </c>
      <c r="E33" s="25">
        <f>'2.1. DM'!E33</f>
        <v>27</v>
      </c>
      <c r="F33" s="25" t="str">
        <f>'2.1. DM'!F33</f>
        <v>F251739</v>
      </c>
      <c r="G33" s="25" t="str">
        <f>'2.1. DM'!G33</f>
        <v>CIAT-23419</v>
      </c>
      <c r="H33" s="25" t="str">
        <f>'2.1. DM'!H33</f>
        <v>Dendrolobium</v>
      </c>
      <c r="I33" s="25" t="str">
        <f>'2.1. DM'!I33</f>
        <v>triangulare</v>
      </c>
      <c r="J33" s="25" t="str">
        <f>'2.1. DM'!J33</f>
        <v>Dendrolobium triangulare</v>
      </c>
      <c r="K33" s="25" t="str">
        <f>'2.1. DM'!K33</f>
        <v>Fabaceae</v>
      </c>
      <c r="L33" s="25" t="str">
        <f>'2.1. DM'!L33</f>
        <v>Fabales</v>
      </c>
      <c r="M33" s="25" t="str">
        <f>'2.1. DM'!M33</f>
        <v>Tree</v>
      </c>
      <c r="N33" s="25" t="str">
        <f>'2.1. DM'!N33</f>
        <v>58,59, 69</v>
      </c>
      <c r="O33" s="25" t="str">
        <f>'2.1. DM'!O33</f>
        <v>OT-010 (2025)</v>
      </c>
      <c r="P33" s="22" t="s">
        <v>495</v>
      </c>
      <c r="Q33" s="23">
        <v>67.80357800074195</v>
      </c>
      <c r="R33" s="341">
        <f>AVERAGE('2.4 NDF'!Q33:Q125)</f>
        <v>60.023252152808006</v>
      </c>
    </row>
    <row r="34" spans="2:18" x14ac:dyDescent="0.35">
      <c r="B34" s="25">
        <f>'2.1. DM'!B34</f>
        <v>24</v>
      </c>
      <c r="C34" s="21">
        <f>'2.1. DM'!C34</f>
        <v>46041</v>
      </c>
      <c r="D34" s="25" t="str">
        <f>'2.1. DM'!D34</f>
        <v>Genbank</v>
      </c>
      <c r="E34" s="25">
        <f>'2.1. DM'!E34</f>
        <v>27</v>
      </c>
      <c r="F34" s="25" t="str">
        <f>'2.1. DM'!F34</f>
        <v>F251739</v>
      </c>
      <c r="G34" s="25" t="str">
        <f>'2.1. DM'!G34</f>
        <v>CIAT-23419</v>
      </c>
      <c r="H34" s="25" t="str">
        <f>'2.1. DM'!H34</f>
        <v>Dendrolobium</v>
      </c>
      <c r="I34" s="25" t="str">
        <f>'2.1. DM'!I34</f>
        <v>triangulare</v>
      </c>
      <c r="J34" s="25" t="str">
        <f>'2.1. DM'!J34</f>
        <v>Dendrolobium triangulare</v>
      </c>
      <c r="K34" s="25" t="str">
        <f>'2.1. DM'!K34</f>
        <v>Fabaceae</v>
      </c>
      <c r="L34" s="25" t="str">
        <f>'2.1. DM'!L34</f>
        <v>Fabales</v>
      </c>
      <c r="M34" s="25" t="str">
        <f>'2.1. DM'!M34</f>
        <v>Tree</v>
      </c>
      <c r="N34" s="25" t="str">
        <f>'2.1. DM'!N34</f>
        <v>58,59, 69</v>
      </c>
      <c r="O34" s="25" t="str">
        <f>'2.1. DM'!O34</f>
        <v>OT-010 (2025)</v>
      </c>
      <c r="P34" s="19" t="s">
        <v>496</v>
      </c>
      <c r="Q34" s="23">
        <v>67.764302227690266</v>
      </c>
      <c r="R34" s="341">
        <f>AVERAGE('2.4 NDF'!Q34:Q122)</f>
        <v>59.744659274066606</v>
      </c>
    </row>
    <row r="35" spans="2:18" x14ac:dyDescent="0.35">
      <c r="B35" s="25">
        <f>'2.1. DM'!B35</f>
        <v>25</v>
      </c>
      <c r="C35" s="21">
        <f>'2.1. DM'!C35</f>
        <v>46041</v>
      </c>
      <c r="D35" s="25" t="str">
        <f>'2.1. DM'!D35</f>
        <v>Genbank</v>
      </c>
      <c r="E35" s="25">
        <f>'2.1. DM'!E35</f>
        <v>27</v>
      </c>
      <c r="F35" s="25" t="str">
        <f>'2.1. DM'!F35</f>
        <v>F251740</v>
      </c>
      <c r="G35" s="25" t="str">
        <f>'2.1. DM'!G35</f>
        <v>CIAT-23422</v>
      </c>
      <c r="H35" s="25" t="str">
        <f>'2.1. DM'!H35</f>
        <v>Dendrolobium</v>
      </c>
      <c r="I35" s="25" t="str">
        <f>'2.1. DM'!I35</f>
        <v>triangulare</v>
      </c>
      <c r="J35" s="25" t="str">
        <f>'2.1. DM'!J35</f>
        <v>Dendrolobium triangulare</v>
      </c>
      <c r="K35" s="25" t="str">
        <f>'2.1. DM'!K35</f>
        <v>Fabaceae</v>
      </c>
      <c r="L35" s="25" t="str">
        <f>'2.1. DM'!L35</f>
        <v>Fabales</v>
      </c>
      <c r="M35" s="25" t="str">
        <f>'2.1. DM'!M35</f>
        <v>Tree</v>
      </c>
      <c r="N35" s="25" t="str">
        <f>'2.1. DM'!N35</f>
        <v>58,59, 69</v>
      </c>
      <c r="O35" s="25" t="str">
        <f>'2.1. DM'!O35</f>
        <v>OT-010 (2025)</v>
      </c>
      <c r="P35" s="22" t="s">
        <v>495</v>
      </c>
      <c r="Q35" s="23">
        <v>66.238466842640946</v>
      </c>
      <c r="R35" s="341">
        <f>AVERAGE('2.4 NDF'!Q35:Q123)</f>
        <v>59.696558678021823</v>
      </c>
    </row>
    <row r="36" spans="2:18" x14ac:dyDescent="0.35">
      <c r="B36" s="25">
        <f>'2.1. DM'!B36</f>
        <v>26</v>
      </c>
      <c r="C36" s="21">
        <f>'2.1. DM'!C36</f>
        <v>46041</v>
      </c>
      <c r="D36" s="25" t="str">
        <f>'2.1. DM'!D36</f>
        <v>Genbank</v>
      </c>
      <c r="E36" s="25">
        <f>'2.1. DM'!E36</f>
        <v>27</v>
      </c>
      <c r="F36" s="25" t="str">
        <f>'2.1. DM'!F36</f>
        <v>F251740</v>
      </c>
      <c r="G36" s="25" t="str">
        <f>'2.1. DM'!G36</f>
        <v>CIAT-23422</v>
      </c>
      <c r="H36" s="25" t="str">
        <f>'2.1. DM'!H36</f>
        <v>Dendrolobium</v>
      </c>
      <c r="I36" s="25" t="str">
        <f>'2.1. DM'!I36</f>
        <v>triangulare</v>
      </c>
      <c r="J36" s="25" t="str">
        <f>'2.1. DM'!J36</f>
        <v>Dendrolobium triangulare</v>
      </c>
      <c r="K36" s="25" t="str">
        <f>'2.1. DM'!K36</f>
        <v>Fabaceae</v>
      </c>
      <c r="L36" s="25" t="str">
        <f>'2.1. DM'!L36</f>
        <v>Fabales</v>
      </c>
      <c r="M36" s="25" t="str">
        <f>'2.1. DM'!M36</f>
        <v>Tree</v>
      </c>
      <c r="N36" s="25" t="str">
        <f>'2.1. DM'!N36</f>
        <v>58,59, 69</v>
      </c>
      <c r="O36" s="25" t="str">
        <f>'2.1. DM'!O36</f>
        <v>OT-010 (2025)</v>
      </c>
      <c r="P36" s="19" t="s">
        <v>496</v>
      </c>
      <c r="Q36" s="23">
        <v>66.907745121933232</v>
      </c>
      <c r="R36" s="341">
        <f>AVERAGE('2.4 NDF'!Q36:Q124)</f>
        <v>59.680321701497277</v>
      </c>
    </row>
    <row r="37" spans="2:18" x14ac:dyDescent="0.35">
      <c r="B37" s="25">
        <f>'2.1. DM'!B37</f>
        <v>27</v>
      </c>
      <c r="C37" s="21">
        <f>'2.1. DM'!C37</f>
        <v>46041</v>
      </c>
      <c r="D37" s="25" t="str">
        <f>'2.1. DM'!D37</f>
        <v>Genbank</v>
      </c>
      <c r="E37" s="25">
        <f>'2.1. DM'!E37</f>
        <v>27</v>
      </c>
      <c r="F37" s="25" t="str">
        <f>'2.1. DM'!F37</f>
        <v>F251741</v>
      </c>
      <c r="G37" s="25" t="str">
        <f>'2.1. DM'!G37</f>
        <v>CIAT-23734</v>
      </c>
      <c r="H37" s="25" t="str">
        <f>'2.1. DM'!H37</f>
        <v>Dendrolobium</v>
      </c>
      <c r="I37" s="25" t="str">
        <f>'2.1. DM'!I37</f>
        <v>triangulare</v>
      </c>
      <c r="J37" s="25" t="str">
        <f>'2.1. DM'!J37</f>
        <v>Dendrolobium triangulare</v>
      </c>
      <c r="K37" s="25" t="str">
        <f>'2.1. DM'!K37</f>
        <v>Fabaceae</v>
      </c>
      <c r="L37" s="25" t="str">
        <f>'2.1. DM'!L37</f>
        <v>Fabales</v>
      </c>
      <c r="M37" s="25" t="str">
        <f>'2.1. DM'!M37</f>
        <v>Tree</v>
      </c>
      <c r="N37" s="25" t="str">
        <f>'2.1. DM'!N37</f>
        <v>58,59, 69</v>
      </c>
      <c r="O37" s="25" t="str">
        <f>'2.1. DM'!O37</f>
        <v>OT-010 (2025)</v>
      </c>
      <c r="P37" s="22" t="s">
        <v>495</v>
      </c>
      <c r="Q37" s="23">
        <v>61.497078753767823</v>
      </c>
      <c r="R37" s="341">
        <f>AVERAGE('2.4 NDF'!Q37:Q125)</f>
        <v>59.701666944024012</v>
      </c>
    </row>
    <row r="38" spans="2:18" x14ac:dyDescent="0.35">
      <c r="B38" s="25">
        <f>'2.1. DM'!B38</f>
        <v>28</v>
      </c>
      <c r="C38" s="21">
        <f>'2.1. DM'!C38</f>
        <v>46041</v>
      </c>
      <c r="D38" s="25" t="str">
        <f>'2.1. DM'!D38</f>
        <v>Genbank</v>
      </c>
      <c r="E38" s="25">
        <f>'2.1. DM'!E38</f>
        <v>27</v>
      </c>
      <c r="F38" s="25" t="str">
        <f>'2.1. DM'!F38</f>
        <v>F251741</v>
      </c>
      <c r="G38" s="25" t="str">
        <f>'2.1. DM'!G38</f>
        <v>CIAT-23734</v>
      </c>
      <c r="H38" s="25" t="str">
        <f>'2.1. DM'!H38</f>
        <v>Dendrolobium</v>
      </c>
      <c r="I38" s="25" t="str">
        <f>'2.1. DM'!I38</f>
        <v>triangulare</v>
      </c>
      <c r="J38" s="25" t="str">
        <f>'2.1. DM'!J38</f>
        <v>Dendrolobium triangulare</v>
      </c>
      <c r="K38" s="25" t="str">
        <f>'2.1. DM'!K38</f>
        <v>Fabaceae</v>
      </c>
      <c r="L38" s="25" t="str">
        <f>'2.1. DM'!L38</f>
        <v>Fabales</v>
      </c>
      <c r="M38" s="25" t="str">
        <f>'2.1. DM'!M38</f>
        <v>Tree</v>
      </c>
      <c r="N38" s="25" t="str">
        <f>'2.1. DM'!N38</f>
        <v>58,59, 69</v>
      </c>
      <c r="O38" s="25" t="str">
        <f>'2.1. DM'!O38</f>
        <v>OT-010 (2025)</v>
      </c>
      <c r="P38" s="19" t="s">
        <v>496</v>
      </c>
      <c r="Q38" s="23">
        <v>62.549222018362308</v>
      </c>
      <c r="R38" s="341">
        <f>AVERAGE('2.4 NDF'!Q38:Q123)</f>
        <v>59.515702693320932</v>
      </c>
    </row>
    <row r="39" spans="2:18" x14ac:dyDescent="0.35">
      <c r="B39" s="25">
        <f>'2.1. DM'!B39</f>
        <v>29</v>
      </c>
      <c r="C39" s="21">
        <f>'2.1. DM'!C39</f>
        <v>46041</v>
      </c>
      <c r="D39" s="25" t="str">
        <f>'2.1. DM'!D39</f>
        <v>Genbank</v>
      </c>
      <c r="E39" s="25">
        <f>'2.1. DM'!E39</f>
        <v>27</v>
      </c>
      <c r="F39" s="25" t="str">
        <f>'2.1. DM'!F39</f>
        <v>F251742</v>
      </c>
      <c r="G39" s="25" t="str">
        <f>'2.1. DM'!G39</f>
        <v>CIAT-23932</v>
      </c>
      <c r="H39" s="25" t="str">
        <f>'2.1. DM'!H39</f>
        <v>Dendrolobium</v>
      </c>
      <c r="I39" s="25" t="str">
        <f>'2.1. DM'!I39</f>
        <v>triangulare</v>
      </c>
      <c r="J39" s="25" t="str">
        <f>'2.1. DM'!J39</f>
        <v>Dendrolobium triangulare</v>
      </c>
      <c r="K39" s="25" t="str">
        <f>'2.1. DM'!K39</f>
        <v>Fabaceae</v>
      </c>
      <c r="L39" s="25" t="str">
        <f>'2.1. DM'!L39</f>
        <v>Fabales</v>
      </c>
      <c r="M39" s="25" t="str">
        <f>'2.1. DM'!M39</f>
        <v>Tree</v>
      </c>
      <c r="N39" s="25" t="str">
        <f>'2.1. DM'!N39</f>
        <v>58,59, 69</v>
      </c>
      <c r="O39" s="25" t="str">
        <f>'2.1. DM'!O39</f>
        <v>OT-010 (2025)</v>
      </c>
      <c r="P39" s="22" t="s">
        <v>495</v>
      </c>
      <c r="Q39" s="23">
        <v>63.453120527972864</v>
      </c>
      <c r="R39" s="341">
        <f>AVERAGE('2.4 NDF'!Q39:Q122)</f>
        <v>59.432355481280162</v>
      </c>
    </row>
    <row r="40" spans="2:18" x14ac:dyDescent="0.35">
      <c r="B40" s="25">
        <f>'2.1. DM'!B40</f>
        <v>30</v>
      </c>
      <c r="C40" s="21">
        <f>'2.1. DM'!C40</f>
        <v>46041</v>
      </c>
      <c r="D40" s="25" t="str">
        <f>'2.1. DM'!D40</f>
        <v>Genbank</v>
      </c>
      <c r="E40" s="25">
        <f>'2.1. DM'!E40</f>
        <v>27</v>
      </c>
      <c r="F40" s="25" t="str">
        <f>'2.1. DM'!F40</f>
        <v>F251742</v>
      </c>
      <c r="G40" s="25" t="str">
        <f>'2.1. DM'!G40</f>
        <v>CIAT-23932</v>
      </c>
      <c r="H40" s="25" t="str">
        <f>'2.1. DM'!H40</f>
        <v>Dendrolobium</v>
      </c>
      <c r="I40" s="25" t="str">
        <f>'2.1. DM'!I40</f>
        <v>triangulare</v>
      </c>
      <c r="J40" s="25" t="str">
        <f>'2.1. DM'!J40</f>
        <v>Dendrolobium triangulare</v>
      </c>
      <c r="K40" s="25" t="str">
        <f>'2.1. DM'!K40</f>
        <v>Fabaceae</v>
      </c>
      <c r="L40" s="25" t="str">
        <f>'2.1. DM'!L40</f>
        <v>Fabales</v>
      </c>
      <c r="M40" s="25" t="str">
        <f>'2.1. DM'!M40</f>
        <v>Tree</v>
      </c>
      <c r="N40" s="25" t="str">
        <f>'2.1. DM'!N40</f>
        <v>58,59, 69</v>
      </c>
      <c r="O40" s="25" t="str">
        <f>'2.1. DM'!O40</f>
        <v>OT-010 (2025)</v>
      </c>
      <c r="P40" s="19" t="s">
        <v>496</v>
      </c>
      <c r="Q40" s="23">
        <v>62.729019815815654</v>
      </c>
      <c r="R40" s="341">
        <f>AVERAGE('2.4 NDF'!Q40:Q122)</f>
        <v>59.383912528910358</v>
      </c>
    </row>
    <row r="41" spans="2:18" x14ac:dyDescent="0.35">
      <c r="B41" s="25">
        <f>'2.1. DM'!B41</f>
        <v>31</v>
      </c>
      <c r="C41" s="21">
        <f>'2.1. DM'!C41</f>
        <v>46041</v>
      </c>
      <c r="D41" s="25" t="str">
        <f>'2.1. DM'!D41</f>
        <v>Genbank</v>
      </c>
      <c r="E41" s="25">
        <f>'2.1. DM'!E41</f>
        <v>27</v>
      </c>
      <c r="F41" s="25" t="str">
        <f>'2.1. DM'!F41</f>
        <v>F251743</v>
      </c>
      <c r="G41" s="25" t="str">
        <f>'2.1. DM'!G41</f>
        <v>CIAT-23933</v>
      </c>
      <c r="H41" s="25" t="str">
        <f>'2.1. DM'!H41</f>
        <v>Dendrolobium</v>
      </c>
      <c r="I41" s="25" t="str">
        <f>'2.1. DM'!I41</f>
        <v>triangulare</v>
      </c>
      <c r="J41" s="25" t="str">
        <f>'2.1. DM'!J41</f>
        <v>Dendrolobium triangulare</v>
      </c>
      <c r="K41" s="25" t="str">
        <f>'2.1. DM'!K41</f>
        <v>Fabaceae</v>
      </c>
      <c r="L41" s="25" t="str">
        <f>'2.1. DM'!L41</f>
        <v>Fabales</v>
      </c>
      <c r="M41" s="25" t="str">
        <f>'2.1. DM'!M41</f>
        <v>Tree</v>
      </c>
      <c r="N41" s="25" t="str">
        <f>'2.1. DM'!N41</f>
        <v>58,59, 69</v>
      </c>
      <c r="O41" s="25" t="str">
        <f>'2.1. DM'!O41</f>
        <v>OT-010 (2025)</v>
      </c>
      <c r="P41" s="22" t="s">
        <v>495</v>
      </c>
      <c r="Q41" s="23">
        <v>63.094779674494085</v>
      </c>
      <c r="R41" s="341">
        <f>AVERAGE('2.4 NDF'!Q41:Q42)</f>
        <v>64.369248658831737</v>
      </c>
    </row>
    <row r="42" spans="2:18" x14ac:dyDescent="0.35">
      <c r="B42" s="25">
        <f>'2.1. DM'!B42</f>
        <v>32</v>
      </c>
      <c r="C42" s="21">
        <f>'2.1. DM'!C42</f>
        <v>46041</v>
      </c>
      <c r="D42" s="25" t="str">
        <f>'2.1. DM'!D42</f>
        <v>Genbank</v>
      </c>
      <c r="E42" s="25">
        <f>'2.1. DM'!E42</f>
        <v>27</v>
      </c>
      <c r="F42" s="25" t="str">
        <f>'2.1. DM'!F42</f>
        <v>F251743</v>
      </c>
      <c r="G42" s="25" t="str">
        <f>'2.1. DM'!G42</f>
        <v>CIAT-23933</v>
      </c>
      <c r="H42" s="25" t="str">
        <f>'2.1. DM'!H42</f>
        <v>Dendrolobium</v>
      </c>
      <c r="I42" s="25" t="str">
        <f>'2.1. DM'!I42</f>
        <v>triangulare</v>
      </c>
      <c r="J42" s="25" t="str">
        <f>'2.1. DM'!J42</f>
        <v>Dendrolobium triangulare</v>
      </c>
      <c r="K42" s="25" t="str">
        <f>'2.1. DM'!K42</f>
        <v>Fabaceae</v>
      </c>
      <c r="L42" s="25" t="str">
        <f>'2.1. DM'!L42</f>
        <v>Fabales</v>
      </c>
      <c r="M42" s="25" t="str">
        <f>'2.1. DM'!M42</f>
        <v>Tree</v>
      </c>
      <c r="N42" s="25" t="str">
        <f>'2.1. DM'!N42</f>
        <v>58,59, 69</v>
      </c>
      <c r="O42" s="25" t="str">
        <f>'2.1. DM'!O42</f>
        <v>OT-010 (2025)</v>
      </c>
      <c r="P42" s="19" t="s">
        <v>496</v>
      </c>
      <c r="Q42" s="23">
        <v>65.643717643169396</v>
      </c>
      <c r="R42" s="341"/>
    </row>
    <row r="43" spans="2:18" x14ac:dyDescent="0.35">
      <c r="B43" s="25">
        <f>'2.1. DM'!B43</f>
        <v>33</v>
      </c>
      <c r="C43" s="21">
        <f>'2.1. DM'!C43</f>
        <v>46041</v>
      </c>
      <c r="D43" s="25" t="str">
        <f>'2.1. DM'!D43</f>
        <v>Genbank</v>
      </c>
      <c r="E43" s="25">
        <f>'2.1. DM'!E43</f>
        <v>27</v>
      </c>
      <c r="F43" s="25" t="str">
        <f>'2.1. DM'!F43</f>
        <v>F251744</v>
      </c>
      <c r="G43" s="25" t="str">
        <f>'2.1. DM'!G43</f>
        <v>CIAT-23934</v>
      </c>
      <c r="H43" s="25" t="str">
        <f>'2.1. DM'!H43</f>
        <v>Dendrolobium</v>
      </c>
      <c r="I43" s="25" t="str">
        <f>'2.1. DM'!I43</f>
        <v>triangulare</v>
      </c>
      <c r="J43" s="25" t="str">
        <f>'2.1. DM'!J43</f>
        <v>Dendrolobium triangulare</v>
      </c>
      <c r="K43" s="25" t="str">
        <f>'2.1. DM'!K43</f>
        <v>Fabaceae</v>
      </c>
      <c r="L43" s="25" t="str">
        <f>'2.1. DM'!L43</f>
        <v>Fabales</v>
      </c>
      <c r="M43" s="25" t="str">
        <f>'2.1. DM'!M43</f>
        <v>Tree</v>
      </c>
      <c r="N43" s="25" t="str">
        <f>'2.1. DM'!N43</f>
        <v>58,59, 69</v>
      </c>
      <c r="O43" s="25" t="str">
        <f>'2.1. DM'!O43</f>
        <v>OT-010 (2025)</v>
      </c>
      <c r="P43" s="22" t="s">
        <v>495</v>
      </c>
      <c r="Q43" s="23">
        <v>58.909831198232929</v>
      </c>
      <c r="R43" s="341">
        <f>AVERAGE('2.4 NDF'!Q43:Q44)</f>
        <v>58.496714012720304</v>
      </c>
    </row>
    <row r="44" spans="2:18" x14ac:dyDescent="0.35">
      <c r="B44" s="25">
        <f>'2.1. DM'!B44</f>
        <v>34</v>
      </c>
      <c r="C44" s="21">
        <f>'2.1. DM'!C44</f>
        <v>46041</v>
      </c>
      <c r="D44" s="25" t="str">
        <f>'2.1. DM'!D44</f>
        <v>Genbank</v>
      </c>
      <c r="E44" s="25">
        <f>'2.1. DM'!E44</f>
        <v>27</v>
      </c>
      <c r="F44" s="25" t="str">
        <f>'2.1. DM'!F44</f>
        <v>F251744</v>
      </c>
      <c r="G44" s="25" t="str">
        <f>'2.1. DM'!G44</f>
        <v>CIAT-23934</v>
      </c>
      <c r="H44" s="25" t="str">
        <f>'2.1. DM'!H44</f>
        <v>Dendrolobium</v>
      </c>
      <c r="I44" s="25" t="str">
        <f>'2.1. DM'!I44</f>
        <v>triangulare</v>
      </c>
      <c r="J44" s="25" t="str">
        <f>'2.1. DM'!J44</f>
        <v>Dendrolobium triangulare</v>
      </c>
      <c r="K44" s="25" t="str">
        <f>'2.1. DM'!K44</f>
        <v>Fabaceae</v>
      </c>
      <c r="L44" s="25" t="str">
        <f>'2.1. DM'!L44</f>
        <v>Fabales</v>
      </c>
      <c r="M44" s="25" t="str">
        <f>'2.1. DM'!M44</f>
        <v>Tree</v>
      </c>
      <c r="N44" s="25" t="str">
        <f>'2.1. DM'!N44</f>
        <v>58,59, 69</v>
      </c>
      <c r="O44" s="25" t="str">
        <f>'2.1. DM'!O44</f>
        <v>OT-010 (2025)</v>
      </c>
      <c r="P44" s="19" t="s">
        <v>496</v>
      </c>
      <c r="Q44" s="23">
        <v>58.083596827207685</v>
      </c>
      <c r="R44" s="341"/>
    </row>
    <row r="45" spans="2:18" x14ac:dyDescent="0.35">
      <c r="B45" s="25">
        <f>'2.1. DM'!B45</f>
        <v>35</v>
      </c>
      <c r="C45" s="21">
        <f>'2.1. DM'!C45</f>
        <v>46041</v>
      </c>
      <c r="D45" s="25" t="str">
        <f>'2.1. DM'!D45</f>
        <v>Genbank</v>
      </c>
      <c r="E45" s="25">
        <f>'2.1. DM'!E45</f>
        <v>27</v>
      </c>
      <c r="F45" s="25" t="str">
        <f>'2.1. DM'!F45</f>
        <v>F251745</v>
      </c>
      <c r="G45" s="25" t="str">
        <f>'2.1. DM'!G45</f>
        <v>CIAT-23936</v>
      </c>
      <c r="H45" s="25" t="str">
        <f>'2.1. DM'!H45</f>
        <v>Dendrolobium</v>
      </c>
      <c r="I45" s="25" t="str">
        <f>'2.1. DM'!I45</f>
        <v>triangulare</v>
      </c>
      <c r="J45" s="25" t="str">
        <f>'2.1. DM'!J45</f>
        <v>Dendrolobium triangulare</v>
      </c>
      <c r="K45" s="25" t="str">
        <f>'2.1. DM'!K45</f>
        <v>Fabaceae</v>
      </c>
      <c r="L45" s="25" t="str">
        <f>'2.1. DM'!L45</f>
        <v>Fabales</v>
      </c>
      <c r="M45" s="25" t="str">
        <f>'2.1. DM'!M45</f>
        <v>Tree</v>
      </c>
      <c r="N45" s="25" t="str">
        <f>'2.1. DM'!N45</f>
        <v>58,59, 69</v>
      </c>
      <c r="O45" s="25" t="str">
        <f>'2.1. DM'!O45</f>
        <v>OT-010 (2025)</v>
      </c>
      <c r="P45" s="22" t="s">
        <v>495</v>
      </c>
      <c r="Q45" s="23">
        <v>61.649122519801189</v>
      </c>
      <c r="R45" s="341">
        <f>AVERAGE('2.4 NDF'!Q45:Q46)</f>
        <v>61.65556371101799</v>
      </c>
    </row>
    <row r="46" spans="2:18" x14ac:dyDescent="0.35">
      <c r="B46" s="25">
        <f>'2.1. DM'!B46</f>
        <v>36</v>
      </c>
      <c r="C46" s="21">
        <f>'2.1. DM'!C46</f>
        <v>46041</v>
      </c>
      <c r="D46" s="25" t="str">
        <f>'2.1. DM'!D46</f>
        <v>Genbank</v>
      </c>
      <c r="E46" s="25">
        <f>'2.1. DM'!E46</f>
        <v>27</v>
      </c>
      <c r="F46" s="25" t="str">
        <f>'2.1. DM'!F46</f>
        <v>F251745</v>
      </c>
      <c r="G46" s="25" t="str">
        <f>'2.1. DM'!G46</f>
        <v>CIAT-23936</v>
      </c>
      <c r="H46" s="25" t="str">
        <f>'2.1. DM'!H46</f>
        <v>Dendrolobium</v>
      </c>
      <c r="I46" s="25" t="str">
        <f>'2.1. DM'!I46</f>
        <v>triangulare</v>
      </c>
      <c r="J46" s="25" t="str">
        <f>'2.1. DM'!J46</f>
        <v>Dendrolobium triangulare</v>
      </c>
      <c r="K46" s="25" t="str">
        <f>'2.1. DM'!K46</f>
        <v>Fabaceae</v>
      </c>
      <c r="L46" s="25" t="str">
        <f>'2.1. DM'!L46</f>
        <v>Fabales</v>
      </c>
      <c r="M46" s="25" t="str">
        <f>'2.1. DM'!M46</f>
        <v>Tree</v>
      </c>
      <c r="N46" s="25" t="str">
        <f>'2.1. DM'!N46</f>
        <v>58,59, 69</v>
      </c>
      <c r="O46" s="25" t="str">
        <f>'2.1. DM'!O46</f>
        <v>OT-010 (2025)</v>
      </c>
      <c r="P46" s="19" t="s">
        <v>496</v>
      </c>
      <c r="Q46" s="23">
        <v>61.662004902234798</v>
      </c>
      <c r="R46" s="341"/>
    </row>
    <row r="47" spans="2:18" x14ac:dyDescent="0.35">
      <c r="B47" s="25">
        <f>'2.1. DM'!B47</f>
        <v>37</v>
      </c>
      <c r="C47" s="21">
        <f>'2.1. DM'!C47</f>
        <v>46041</v>
      </c>
      <c r="D47" s="25" t="str">
        <f>'2.1. DM'!D47</f>
        <v>Genbank</v>
      </c>
      <c r="E47" s="25">
        <f>'2.1. DM'!E47</f>
        <v>27</v>
      </c>
      <c r="F47" s="25" t="str">
        <f>'2.1. DM'!F47</f>
        <v>F251746</v>
      </c>
      <c r="G47" s="25" t="str">
        <f>'2.1. DM'!G47</f>
        <v>CIAT-33119</v>
      </c>
      <c r="H47" s="25" t="str">
        <f>'2.1. DM'!H47</f>
        <v>Dendrolobium</v>
      </c>
      <c r="I47" s="25" t="str">
        <f>'2.1. DM'!I47</f>
        <v>triangulare</v>
      </c>
      <c r="J47" s="25" t="str">
        <f>'2.1. DM'!J47</f>
        <v>Dendrolobium triangulare</v>
      </c>
      <c r="K47" s="25" t="str">
        <f>'2.1. DM'!K47</f>
        <v>Fabaceae</v>
      </c>
      <c r="L47" s="25" t="str">
        <f>'2.1. DM'!L47</f>
        <v>Fabales</v>
      </c>
      <c r="M47" s="25" t="str">
        <f>'2.1. DM'!M47</f>
        <v>Tree</v>
      </c>
      <c r="N47" s="25" t="str">
        <f>'2.1. DM'!N47</f>
        <v>58,59, 69</v>
      </c>
      <c r="O47" s="25" t="str">
        <f>'2.1. DM'!O47</f>
        <v>OT-010 (2025)</v>
      </c>
      <c r="P47" s="22" t="s">
        <v>495</v>
      </c>
      <c r="Q47" s="23">
        <v>60.251562798158034</v>
      </c>
      <c r="R47" s="341">
        <f>AVERAGE('2.4 NDF'!Q47:Q48)</f>
        <v>59.478362381293763</v>
      </c>
    </row>
    <row r="48" spans="2:18" x14ac:dyDescent="0.35">
      <c r="B48" s="25">
        <f>'2.1. DM'!B48</f>
        <v>38</v>
      </c>
      <c r="C48" s="21">
        <f>'2.1. DM'!C48</f>
        <v>46041</v>
      </c>
      <c r="D48" s="25" t="str">
        <f>'2.1. DM'!D48</f>
        <v>Genbank</v>
      </c>
      <c r="E48" s="25">
        <f>'2.1. DM'!E48</f>
        <v>27</v>
      </c>
      <c r="F48" s="25" t="str">
        <f>'2.1. DM'!F48</f>
        <v>F251746</v>
      </c>
      <c r="G48" s="25" t="str">
        <f>'2.1. DM'!G48</f>
        <v>CIAT-33119</v>
      </c>
      <c r="H48" s="25" t="str">
        <f>'2.1. DM'!H48</f>
        <v>Dendrolobium</v>
      </c>
      <c r="I48" s="25" t="str">
        <f>'2.1. DM'!I48</f>
        <v>triangulare</v>
      </c>
      <c r="J48" s="25" t="str">
        <f>'2.1. DM'!J48</f>
        <v>Dendrolobium triangulare</v>
      </c>
      <c r="K48" s="25" t="str">
        <f>'2.1. DM'!K48</f>
        <v>Fabaceae</v>
      </c>
      <c r="L48" s="25" t="str">
        <f>'2.1. DM'!L48</f>
        <v>Fabales</v>
      </c>
      <c r="M48" s="25" t="str">
        <f>'2.1. DM'!M48</f>
        <v>Tree</v>
      </c>
      <c r="N48" s="25" t="str">
        <f>'2.1. DM'!N48</f>
        <v>58,59, 69</v>
      </c>
      <c r="O48" s="25" t="str">
        <f>'2.1. DM'!O48</f>
        <v>OT-010 (2025)</v>
      </c>
      <c r="P48" s="19" t="s">
        <v>496</v>
      </c>
      <c r="Q48" s="23">
        <v>58.7051619644295</v>
      </c>
      <c r="R48" s="341"/>
    </row>
    <row r="49" spans="2:18" x14ac:dyDescent="0.35">
      <c r="B49" s="25">
        <f>'2.1. DM'!B49</f>
        <v>39</v>
      </c>
      <c r="C49" s="21">
        <f>'2.1. DM'!C49</f>
        <v>46041</v>
      </c>
      <c r="D49" s="25" t="str">
        <f>'2.1. DM'!D49</f>
        <v>Genbank</v>
      </c>
      <c r="E49" s="25">
        <f>'2.1. DM'!E49</f>
        <v>27</v>
      </c>
      <c r="F49" s="25" t="str">
        <f>'2.1. DM'!F49</f>
        <v>F251747</v>
      </c>
      <c r="G49" s="25" t="str">
        <f>'2.1. DM'!G49</f>
        <v>CIAT-33383</v>
      </c>
      <c r="H49" s="25" t="str">
        <f>'2.1. DM'!H49</f>
        <v>Dendrolobium</v>
      </c>
      <c r="I49" s="25" t="str">
        <f>'2.1. DM'!I49</f>
        <v>sp.</v>
      </c>
      <c r="J49" s="25" t="str">
        <f>'2.1. DM'!J49</f>
        <v>Dendrolobium sp.</v>
      </c>
      <c r="K49" s="25" t="str">
        <f>'2.1. DM'!K49</f>
        <v>Fabaceae</v>
      </c>
      <c r="L49" s="25" t="str">
        <f>'2.1. DM'!L49</f>
        <v>Fabales</v>
      </c>
      <c r="M49" s="25" t="str">
        <f>'2.1. DM'!M49</f>
        <v>Tree</v>
      </c>
      <c r="N49" s="25" t="str">
        <f>'2.1. DM'!N49</f>
        <v>58,59, 69</v>
      </c>
      <c r="O49" s="25" t="str">
        <f>'2.1. DM'!O49</f>
        <v>OT-010 (2025)</v>
      </c>
      <c r="P49" s="22" t="s">
        <v>495</v>
      </c>
      <c r="Q49" s="23">
        <v>60.218487587880077</v>
      </c>
      <c r="R49" s="341">
        <f>AVERAGE('2.4 NDF'!Q49:Q50)</f>
        <v>59.757991078326761</v>
      </c>
    </row>
    <row r="50" spans="2:18" x14ac:dyDescent="0.35">
      <c r="B50" s="25">
        <f>'2.1. DM'!B50</f>
        <v>40</v>
      </c>
      <c r="C50" s="21">
        <f>'2.1. DM'!C50</f>
        <v>46041</v>
      </c>
      <c r="D50" s="25" t="str">
        <f>'2.1. DM'!D50</f>
        <v>Genbank</v>
      </c>
      <c r="E50" s="25">
        <f>'2.1. DM'!E50</f>
        <v>27</v>
      </c>
      <c r="F50" s="25" t="str">
        <f>'2.1. DM'!F50</f>
        <v>F251747</v>
      </c>
      <c r="G50" s="25" t="str">
        <f>'2.1. DM'!G50</f>
        <v>CIAT-33383</v>
      </c>
      <c r="H50" s="25" t="str">
        <f>'2.1. DM'!H50</f>
        <v>Dendrolobium</v>
      </c>
      <c r="I50" s="25" t="str">
        <f>'2.1. DM'!I50</f>
        <v>sp.</v>
      </c>
      <c r="J50" s="25" t="str">
        <f>'2.1. DM'!J50</f>
        <v>Dendrolobium sp.</v>
      </c>
      <c r="K50" s="25" t="str">
        <f>'2.1. DM'!K50</f>
        <v>Fabaceae</v>
      </c>
      <c r="L50" s="25" t="str">
        <f>'2.1. DM'!L50</f>
        <v>Fabales</v>
      </c>
      <c r="M50" s="25" t="str">
        <f>'2.1. DM'!M50</f>
        <v>Tree</v>
      </c>
      <c r="N50" s="25" t="str">
        <f>'2.1. DM'!N50</f>
        <v>58,59, 69</v>
      </c>
      <c r="O50" s="25" t="str">
        <f>'2.1. DM'!O50</f>
        <v>OT-010 (2025)</v>
      </c>
      <c r="P50" s="19" t="s">
        <v>496</v>
      </c>
      <c r="Q50" s="23">
        <v>59.297494568773445</v>
      </c>
      <c r="R50" s="341"/>
    </row>
    <row r="51" spans="2:18" x14ac:dyDescent="0.35">
      <c r="B51" s="25">
        <f>'2.1. DM'!B51</f>
        <v>41</v>
      </c>
      <c r="C51" s="21">
        <f>'2.1. DM'!C51</f>
        <v>46041</v>
      </c>
      <c r="D51" s="25" t="str">
        <f>'2.1. DM'!D51</f>
        <v>Genbank</v>
      </c>
      <c r="E51" s="25">
        <f>'2.1. DM'!E51</f>
        <v>27</v>
      </c>
      <c r="F51" s="25" t="str">
        <f>'2.1. DM'!F51</f>
        <v>F251748</v>
      </c>
      <c r="G51" s="25" t="str">
        <f>'2.1. DM'!G51</f>
        <v>CIAT-33402</v>
      </c>
      <c r="H51" s="25" t="str">
        <f>'2.1. DM'!H51</f>
        <v>Dendrolobium</v>
      </c>
      <c r="I51" s="25" t="str">
        <f>'2.1. DM'!I51</f>
        <v>triangulare</v>
      </c>
      <c r="J51" s="25" t="str">
        <f>'2.1. DM'!J51</f>
        <v>Dendrolobium triangulare</v>
      </c>
      <c r="K51" s="25" t="str">
        <f>'2.1. DM'!K51</f>
        <v>Fabaceae</v>
      </c>
      <c r="L51" s="25" t="str">
        <f>'2.1. DM'!L51</f>
        <v>Fabales</v>
      </c>
      <c r="M51" s="25" t="str">
        <f>'2.1. DM'!M51</f>
        <v>Tree</v>
      </c>
      <c r="N51" s="25" t="str">
        <f>'2.1. DM'!N51</f>
        <v>58,59, 69</v>
      </c>
      <c r="O51" s="25" t="str">
        <f>'2.1. DM'!O51</f>
        <v>OT-010 (2025)</v>
      </c>
      <c r="P51" s="22" t="s">
        <v>495</v>
      </c>
      <c r="Q51" s="23">
        <v>59.82504625501727</v>
      </c>
      <c r="R51" s="341">
        <f>AVERAGE('2.4 NDF'!Q51:Q52)</f>
        <v>60.091399113553557</v>
      </c>
    </row>
    <row r="52" spans="2:18" x14ac:dyDescent="0.35">
      <c r="B52" s="25">
        <f>'2.1. DM'!B52</f>
        <v>42</v>
      </c>
      <c r="C52" s="21">
        <f>'2.1. DM'!C52</f>
        <v>46041</v>
      </c>
      <c r="D52" s="25" t="str">
        <f>'2.1. DM'!D52</f>
        <v>Genbank</v>
      </c>
      <c r="E52" s="25">
        <f>'2.1. DM'!E52</f>
        <v>27</v>
      </c>
      <c r="F52" s="25" t="str">
        <f>'2.1. DM'!F52</f>
        <v>F251748</v>
      </c>
      <c r="G52" s="25" t="str">
        <f>'2.1. DM'!G52</f>
        <v>CIAT-33402</v>
      </c>
      <c r="H52" s="25" t="str">
        <f>'2.1. DM'!H52</f>
        <v>Dendrolobium</v>
      </c>
      <c r="I52" s="25" t="str">
        <f>'2.1. DM'!I52</f>
        <v>triangulare</v>
      </c>
      <c r="J52" s="25" t="str">
        <f>'2.1. DM'!J52</f>
        <v>Dendrolobium triangulare</v>
      </c>
      <c r="K52" s="25" t="str">
        <f>'2.1. DM'!K52</f>
        <v>Fabaceae</v>
      </c>
      <c r="L52" s="25" t="str">
        <f>'2.1. DM'!L52</f>
        <v>Fabales</v>
      </c>
      <c r="M52" s="25" t="str">
        <f>'2.1. DM'!M52</f>
        <v>Tree</v>
      </c>
      <c r="N52" s="25" t="str">
        <f>'2.1. DM'!N52</f>
        <v>58,59, 69</v>
      </c>
      <c r="O52" s="25" t="str">
        <f>'2.1. DM'!O52</f>
        <v>OT-010 (2025)</v>
      </c>
      <c r="P52" s="19" t="s">
        <v>496</v>
      </c>
      <c r="Q52" s="23">
        <v>60.357751972089844</v>
      </c>
      <c r="R52" s="341"/>
    </row>
    <row r="53" spans="2:18" x14ac:dyDescent="0.35">
      <c r="B53" s="25">
        <f>'2.1. DM'!B53</f>
        <v>43</v>
      </c>
      <c r="C53" s="21">
        <f>'2.1. DM'!C53</f>
        <v>46041</v>
      </c>
      <c r="D53" s="25" t="str">
        <f>'2.1. DM'!D53</f>
        <v>Genbank</v>
      </c>
      <c r="E53" s="25">
        <f>'2.1. DM'!E53</f>
        <v>27</v>
      </c>
      <c r="F53" s="25" t="str">
        <f>'2.1. DM'!F53</f>
        <v>F251749</v>
      </c>
      <c r="G53" s="25" t="str">
        <f>'2.1. DM'!G53</f>
        <v>CIAT-33508</v>
      </c>
      <c r="H53" s="25" t="str">
        <f>'2.1. DM'!H53</f>
        <v>Dendrolobium</v>
      </c>
      <c r="I53" s="25" t="str">
        <f>'2.1. DM'!I53</f>
        <v>umbellatum</v>
      </c>
      <c r="J53" s="25" t="str">
        <f>'2.1. DM'!J53</f>
        <v>Dendrolobium umbellatum</v>
      </c>
      <c r="K53" s="25" t="str">
        <f>'2.1. DM'!K53</f>
        <v>Fabaceae</v>
      </c>
      <c r="L53" s="25" t="str">
        <f>'2.1. DM'!L53</f>
        <v>Fabales</v>
      </c>
      <c r="M53" s="25" t="str">
        <f>'2.1. DM'!M53</f>
        <v>Tree</v>
      </c>
      <c r="N53" s="25" t="str">
        <f>'2.1. DM'!N53</f>
        <v>58,59, 69</v>
      </c>
      <c r="O53" s="25" t="str">
        <f>'2.1. DM'!O53</f>
        <v>OT-010 (2025)</v>
      </c>
      <c r="P53" s="22" t="s">
        <v>495</v>
      </c>
      <c r="Q53" s="23">
        <v>57.850940854473841</v>
      </c>
      <c r="R53" s="341">
        <f>AVERAGE('2.4 NDF'!Q53:Q54)</f>
        <v>58.361440158311851</v>
      </c>
    </row>
    <row r="54" spans="2:18" x14ac:dyDescent="0.35">
      <c r="B54" s="25">
        <f>'2.1. DM'!B54</f>
        <v>44</v>
      </c>
      <c r="C54" s="21">
        <f>'2.1. DM'!C54</f>
        <v>46041</v>
      </c>
      <c r="D54" s="25" t="str">
        <f>'2.1. DM'!D54</f>
        <v>Genbank</v>
      </c>
      <c r="E54" s="25">
        <f>'2.1. DM'!E54</f>
        <v>27</v>
      </c>
      <c r="F54" s="25" t="str">
        <f>'2.1. DM'!F54</f>
        <v>F251749</v>
      </c>
      <c r="G54" s="25" t="str">
        <f>'2.1. DM'!G54</f>
        <v>CIAT-33508</v>
      </c>
      <c r="H54" s="25" t="str">
        <f>'2.1. DM'!H54</f>
        <v>Dendrolobium</v>
      </c>
      <c r="I54" s="25" t="str">
        <f>'2.1. DM'!I54</f>
        <v>umbellatum</v>
      </c>
      <c r="J54" s="25" t="str">
        <f>'2.1. DM'!J54</f>
        <v>Dendrolobium umbellatum</v>
      </c>
      <c r="K54" s="25" t="str">
        <f>'2.1. DM'!K54</f>
        <v>Fabaceae</v>
      </c>
      <c r="L54" s="25" t="str">
        <f>'2.1. DM'!L54</f>
        <v>Fabales</v>
      </c>
      <c r="M54" s="25" t="str">
        <f>'2.1. DM'!M54</f>
        <v>Tree</v>
      </c>
      <c r="N54" s="25" t="str">
        <f>'2.1. DM'!N54</f>
        <v>58,59, 69</v>
      </c>
      <c r="O54" s="25" t="str">
        <f>'2.1. DM'!O54</f>
        <v>OT-010 (2025)</v>
      </c>
      <c r="P54" s="19" t="s">
        <v>496</v>
      </c>
      <c r="Q54" s="23">
        <v>58.871939462149861</v>
      </c>
      <c r="R54" s="341"/>
    </row>
    <row r="55" spans="2:18" x14ac:dyDescent="0.35">
      <c r="B55" s="25">
        <f>'2.1. DM'!B55</f>
        <v>45</v>
      </c>
      <c r="C55" s="21">
        <f>'2.1. DM'!C55</f>
        <v>46041</v>
      </c>
      <c r="D55" s="25" t="str">
        <f>'2.1. DM'!D55</f>
        <v>Genbank</v>
      </c>
      <c r="E55" s="25">
        <f>'2.1. DM'!E55</f>
        <v>27</v>
      </c>
      <c r="F55" s="25" t="str">
        <f>'2.1. DM'!F55</f>
        <v>F251750</v>
      </c>
      <c r="G55" s="25" t="str">
        <f>'2.1. DM'!G55</f>
        <v>CIAT-33515</v>
      </c>
      <c r="H55" s="25" t="str">
        <f>'2.1. DM'!H55</f>
        <v>Dendrolobium</v>
      </c>
      <c r="I55" s="25" t="str">
        <f>'2.1. DM'!I55</f>
        <v>triangulare</v>
      </c>
      <c r="J55" s="25" t="str">
        <f>'2.1. DM'!J55</f>
        <v>Dendrolobium triangulare</v>
      </c>
      <c r="K55" s="25" t="str">
        <f>'2.1. DM'!K55</f>
        <v>Fabaceae</v>
      </c>
      <c r="L55" s="25" t="str">
        <f>'2.1. DM'!L55</f>
        <v>Fabales</v>
      </c>
      <c r="M55" s="25" t="str">
        <f>'2.1. DM'!M55</f>
        <v>Tree</v>
      </c>
      <c r="N55" s="25" t="str">
        <f>'2.1. DM'!N55</f>
        <v>58,59, 69</v>
      </c>
      <c r="O55" s="25" t="str">
        <f>'2.1. DM'!O55</f>
        <v>OT-010 (2025)</v>
      </c>
      <c r="P55" s="22" t="s">
        <v>495</v>
      </c>
      <c r="Q55" s="23">
        <v>63.084120860725989</v>
      </c>
      <c r="R55" s="341">
        <f>AVERAGE('2.4 NDF'!Q55:Q56)</f>
        <v>63.317589657900683</v>
      </c>
    </row>
    <row r="56" spans="2:18" x14ac:dyDescent="0.35">
      <c r="B56" s="25">
        <f>'2.1. DM'!B56</f>
        <v>46</v>
      </c>
      <c r="C56" s="21">
        <f>'2.1. DM'!C56</f>
        <v>46041</v>
      </c>
      <c r="D56" s="25" t="str">
        <f>'2.1. DM'!D56</f>
        <v>Genbank</v>
      </c>
      <c r="E56" s="25">
        <f>'2.1. DM'!E56</f>
        <v>27</v>
      </c>
      <c r="F56" s="25" t="str">
        <f>'2.1. DM'!F56</f>
        <v>F251750</v>
      </c>
      <c r="G56" s="25" t="str">
        <f>'2.1. DM'!G56</f>
        <v>CIAT-33515</v>
      </c>
      <c r="H56" s="25" t="str">
        <f>'2.1. DM'!H56</f>
        <v>Dendrolobium</v>
      </c>
      <c r="I56" s="25" t="str">
        <f>'2.1. DM'!I56</f>
        <v>triangulare</v>
      </c>
      <c r="J56" s="25" t="str">
        <f>'2.1. DM'!J56</f>
        <v>Dendrolobium triangulare</v>
      </c>
      <c r="K56" s="25" t="str">
        <f>'2.1. DM'!K56</f>
        <v>Fabaceae</v>
      </c>
      <c r="L56" s="25" t="str">
        <f>'2.1. DM'!L56</f>
        <v>Fabales</v>
      </c>
      <c r="M56" s="25" t="str">
        <f>'2.1. DM'!M56</f>
        <v>Tree</v>
      </c>
      <c r="N56" s="25" t="str">
        <f>'2.1. DM'!N56</f>
        <v>58,59, 69</v>
      </c>
      <c r="O56" s="25" t="str">
        <f>'2.1. DM'!O56</f>
        <v>OT-010 (2025)</v>
      </c>
      <c r="P56" s="19" t="s">
        <v>496</v>
      </c>
      <c r="Q56" s="23">
        <v>63.551058455075385</v>
      </c>
      <c r="R56" s="341"/>
    </row>
    <row r="57" spans="2:18" x14ac:dyDescent="0.35">
      <c r="B57" s="25">
        <f>'2.1. DM'!B57</f>
        <v>47</v>
      </c>
      <c r="C57" s="21">
        <f>'2.1. DM'!C57</f>
        <v>46041</v>
      </c>
      <c r="D57" s="25" t="str">
        <f>'2.1. DM'!D57</f>
        <v>Genbank</v>
      </c>
      <c r="E57" s="25">
        <f>'2.1. DM'!E57</f>
        <v>27</v>
      </c>
      <c r="F57" s="25" t="str">
        <f>'2.1. DM'!F57</f>
        <v>F251751</v>
      </c>
      <c r="G57" s="25" t="str">
        <f>'2.1. DM'!G57</f>
        <v>CIAT-7353</v>
      </c>
      <c r="H57" s="25" t="str">
        <f>'2.1. DM'!H57</f>
        <v>Prosopis</v>
      </c>
      <c r="I57" s="25" t="str">
        <f>'2.1. DM'!I57</f>
        <v>juliflora</v>
      </c>
      <c r="J57" s="25" t="str">
        <f>'2.1. DM'!J57</f>
        <v>Prosopis juliflora</v>
      </c>
      <c r="K57" s="25" t="str">
        <f>'2.1. DM'!K57</f>
        <v>Fabaceae</v>
      </c>
      <c r="L57" s="25" t="str">
        <f>'2.1. DM'!L57</f>
        <v>Fabales</v>
      </c>
      <c r="M57" s="25" t="str">
        <f>'2.1. DM'!M57</f>
        <v>Tree</v>
      </c>
      <c r="N57" s="25" t="str">
        <f>'2.1. DM'!N57</f>
        <v>58,59, 69</v>
      </c>
      <c r="O57" s="25" t="str">
        <f>'2.1. DM'!O57</f>
        <v>OT-010 (2025)</v>
      </c>
      <c r="P57" s="22" t="s">
        <v>495</v>
      </c>
      <c r="Q57" s="23">
        <v>47.118282760789711</v>
      </c>
      <c r="R57" s="341">
        <f>AVERAGE('2.4 NDF'!Q57:Q58)</f>
        <v>46.324472460646909</v>
      </c>
    </row>
    <row r="58" spans="2:18" x14ac:dyDescent="0.35">
      <c r="B58" s="25">
        <f>'2.1. DM'!B58</f>
        <v>48</v>
      </c>
      <c r="C58" s="21">
        <f>'2.1. DM'!C58</f>
        <v>46041</v>
      </c>
      <c r="D58" s="25" t="str">
        <f>'2.1. DM'!D58</f>
        <v>Genbank</v>
      </c>
      <c r="E58" s="25">
        <f>'2.1. DM'!E58</f>
        <v>27</v>
      </c>
      <c r="F58" s="25" t="str">
        <f>'2.1. DM'!F58</f>
        <v>F251751</v>
      </c>
      <c r="G58" s="25" t="str">
        <f>'2.1. DM'!G58</f>
        <v>CIAT-7353</v>
      </c>
      <c r="H58" s="25" t="str">
        <f>'2.1. DM'!H58</f>
        <v>Prosopis</v>
      </c>
      <c r="I58" s="25" t="str">
        <f>'2.1. DM'!I58</f>
        <v>juliflora</v>
      </c>
      <c r="J58" s="25" t="str">
        <f>'2.1. DM'!J58</f>
        <v>Prosopis juliflora</v>
      </c>
      <c r="K58" s="25" t="str">
        <f>'2.1. DM'!K58</f>
        <v>Fabaceae</v>
      </c>
      <c r="L58" s="25" t="str">
        <f>'2.1. DM'!L58</f>
        <v>Fabales</v>
      </c>
      <c r="M58" s="25" t="str">
        <f>'2.1. DM'!M58</f>
        <v>Tree</v>
      </c>
      <c r="N58" s="25" t="str">
        <f>'2.1. DM'!N58</f>
        <v>58,59, 69</v>
      </c>
      <c r="O58" s="25" t="str">
        <f>'2.1. DM'!O58</f>
        <v>OT-010 (2025)</v>
      </c>
      <c r="P58" s="19" t="s">
        <v>496</v>
      </c>
      <c r="Q58" s="23">
        <v>45.530662160504107</v>
      </c>
      <c r="R58" s="341"/>
    </row>
    <row r="59" spans="2:18" x14ac:dyDescent="0.35">
      <c r="B59" s="25">
        <f>'2.1. DM'!B59</f>
        <v>49</v>
      </c>
      <c r="C59" s="21">
        <f>'2.1. DM'!C59</f>
        <v>46041</v>
      </c>
      <c r="D59" s="25" t="str">
        <f>'2.1. DM'!D59</f>
        <v>Genbank</v>
      </c>
      <c r="E59" s="25">
        <f>'2.1. DM'!E59</f>
        <v>27</v>
      </c>
      <c r="F59" s="25" t="str">
        <f>'2.1. DM'!F59</f>
        <v>F251752</v>
      </c>
      <c r="G59" s="25" t="str">
        <f>'2.1. DM'!G59</f>
        <v>CIAT-7976</v>
      </c>
      <c r="H59" s="25" t="str">
        <f>'2.1. DM'!H59</f>
        <v>Cassia</v>
      </c>
      <c r="I59" s="25" t="str">
        <f>'2.1. DM'!I59</f>
        <v>sp.</v>
      </c>
      <c r="J59" s="25" t="str">
        <f>'2.1. DM'!J59</f>
        <v>Cassia sp.</v>
      </c>
      <c r="K59" s="25" t="str">
        <f>'2.1. DM'!K59</f>
        <v>Fabaceae</v>
      </c>
      <c r="L59" s="25" t="str">
        <f>'2.1. DM'!L59</f>
        <v>Fabales</v>
      </c>
      <c r="M59" s="25" t="str">
        <f>'2.1. DM'!M59</f>
        <v>Tree</v>
      </c>
      <c r="N59" s="25" t="str">
        <f>'2.1. DM'!N59</f>
        <v>58,59, 69</v>
      </c>
      <c r="O59" s="25" t="str">
        <f>'2.1. DM'!O59</f>
        <v>OT-010 (2025)</v>
      </c>
      <c r="P59" s="22" t="s">
        <v>495</v>
      </c>
      <c r="Q59" s="23">
        <v>49.576049604459683</v>
      </c>
      <c r="R59" s="341">
        <f>AVERAGE('2.4 NDF'!Q59:Q60)</f>
        <v>50.115790471025065</v>
      </c>
    </row>
    <row r="60" spans="2:18" x14ac:dyDescent="0.35">
      <c r="B60" s="25">
        <f>'2.1. DM'!B60</f>
        <v>50</v>
      </c>
      <c r="C60" s="21">
        <f>'2.1. DM'!C60</f>
        <v>46041</v>
      </c>
      <c r="D60" s="25" t="str">
        <f>'2.1. DM'!D60</f>
        <v>Genbank</v>
      </c>
      <c r="E60" s="25">
        <f>'2.1. DM'!E60</f>
        <v>27</v>
      </c>
      <c r="F60" s="25" t="str">
        <f>'2.1. DM'!F60</f>
        <v>F251752</v>
      </c>
      <c r="G60" s="25" t="str">
        <f>'2.1. DM'!G60</f>
        <v>CIAT-7976</v>
      </c>
      <c r="H60" s="25" t="str">
        <f>'2.1. DM'!H60</f>
        <v>Cassia</v>
      </c>
      <c r="I60" s="25" t="str">
        <f>'2.1. DM'!I60</f>
        <v>sp.</v>
      </c>
      <c r="J60" s="25" t="str">
        <f>'2.1. DM'!J60</f>
        <v>Cassia sp.</v>
      </c>
      <c r="K60" s="25" t="str">
        <f>'2.1. DM'!K60</f>
        <v>Fabaceae</v>
      </c>
      <c r="L60" s="25" t="str">
        <f>'2.1. DM'!L60</f>
        <v>Fabales</v>
      </c>
      <c r="M60" s="25" t="str">
        <f>'2.1. DM'!M60</f>
        <v>Tree</v>
      </c>
      <c r="N60" s="25" t="str">
        <f>'2.1. DM'!N60</f>
        <v>58,59, 69</v>
      </c>
      <c r="O60" s="25" t="str">
        <f>'2.1. DM'!O60</f>
        <v>OT-010 (2025)</v>
      </c>
      <c r="P60" s="19" t="s">
        <v>496</v>
      </c>
      <c r="Q60" s="23">
        <v>50.655531337590446</v>
      </c>
      <c r="R60" s="341"/>
    </row>
    <row r="61" spans="2:18" x14ac:dyDescent="0.35">
      <c r="B61" s="25">
        <f>'2.1. DM'!B61</f>
        <v>51</v>
      </c>
      <c r="C61" s="21">
        <f>'2.1. DM'!C61</f>
        <v>46041</v>
      </c>
      <c r="D61" s="25" t="str">
        <f>'2.1. DM'!D61</f>
        <v>Genbank</v>
      </c>
      <c r="E61" s="25">
        <f>'2.1. DM'!E61</f>
        <v>27</v>
      </c>
      <c r="F61" s="25" t="str">
        <f>'2.1. DM'!F61</f>
        <v>F251753</v>
      </c>
      <c r="G61" s="25" t="str">
        <f>'2.1. DM'!G61</f>
        <v>CIAT-8018</v>
      </c>
      <c r="H61" s="25" t="str">
        <f>'2.1. DM'!H61</f>
        <v>Acacia</v>
      </c>
      <c r="I61" s="25" t="str">
        <f>'2.1. DM'!I61</f>
        <v>aroma</v>
      </c>
      <c r="J61" s="25" t="str">
        <f>'2.1. DM'!J61</f>
        <v>Acacia aroma</v>
      </c>
      <c r="K61" s="25" t="str">
        <f>'2.1. DM'!K61</f>
        <v>Fabaceae</v>
      </c>
      <c r="L61" s="25" t="str">
        <f>'2.1. DM'!L61</f>
        <v>Fabales</v>
      </c>
      <c r="M61" s="25" t="str">
        <f>'2.1. DM'!M61</f>
        <v>Tree</v>
      </c>
      <c r="N61" s="25" t="str">
        <f>'2.1. DM'!N61</f>
        <v>58,59, 69</v>
      </c>
      <c r="O61" s="25" t="str">
        <f>'2.1. DM'!O61</f>
        <v>OT-010 (2025)</v>
      </c>
      <c r="P61" s="22" t="s">
        <v>495</v>
      </c>
      <c r="Q61" s="23">
        <v>71.12141109048973</v>
      </c>
      <c r="R61" s="341">
        <f>AVERAGE('2.4 NDF'!Q61:Q62)</f>
        <v>70.33432004995808</v>
      </c>
    </row>
    <row r="62" spans="2:18" x14ac:dyDescent="0.35">
      <c r="B62" s="25">
        <f>'2.1. DM'!B62</f>
        <v>52</v>
      </c>
      <c r="C62" s="21">
        <f>'2.1. DM'!C62</f>
        <v>46041</v>
      </c>
      <c r="D62" s="25" t="str">
        <f>'2.1. DM'!D62</f>
        <v>Genbank</v>
      </c>
      <c r="E62" s="25">
        <f>'2.1. DM'!E62</f>
        <v>27</v>
      </c>
      <c r="F62" s="25" t="str">
        <f>'2.1. DM'!F62</f>
        <v>F251753</v>
      </c>
      <c r="G62" s="25" t="str">
        <f>'2.1. DM'!G62</f>
        <v>CIAT-8018</v>
      </c>
      <c r="H62" s="25" t="str">
        <f>'2.1. DM'!H62</f>
        <v>Acacia</v>
      </c>
      <c r="I62" s="25" t="str">
        <f>'2.1. DM'!I62</f>
        <v>aroma</v>
      </c>
      <c r="J62" s="25" t="str">
        <f>'2.1. DM'!J62</f>
        <v>Acacia aroma</v>
      </c>
      <c r="K62" s="25" t="str">
        <f>'2.1. DM'!K62</f>
        <v>Fabaceae</v>
      </c>
      <c r="L62" s="25" t="str">
        <f>'2.1. DM'!L62</f>
        <v>Fabales</v>
      </c>
      <c r="M62" s="25" t="str">
        <f>'2.1. DM'!M62</f>
        <v>Tree</v>
      </c>
      <c r="N62" s="25" t="str">
        <f>'2.1. DM'!N62</f>
        <v>58,59, 69</v>
      </c>
      <c r="O62" s="25" t="str">
        <f>'2.1. DM'!O62</f>
        <v>OT-010 (2025)</v>
      </c>
      <c r="P62" s="19" t="s">
        <v>496</v>
      </c>
      <c r="Q62" s="23">
        <v>69.547229009426445</v>
      </c>
      <c r="R62" s="341"/>
    </row>
    <row r="63" spans="2:18" x14ac:dyDescent="0.35">
      <c r="B63" s="25">
        <f>'2.1. DM'!B63</f>
        <v>53</v>
      </c>
      <c r="C63" s="21">
        <f>'2.1. DM'!C63</f>
        <v>46041</v>
      </c>
      <c r="D63" s="25" t="str">
        <f>'2.1. DM'!D63</f>
        <v>Genbank</v>
      </c>
      <c r="E63" s="25">
        <f>'2.1. DM'!E63</f>
        <v>27</v>
      </c>
      <c r="F63" s="25" t="str">
        <f>'2.1. DM'!F63</f>
        <v>F251754</v>
      </c>
      <c r="G63" s="25" t="str">
        <f>'2.1. DM'!G63</f>
        <v>CIAT-9990</v>
      </c>
      <c r="H63" s="25" t="str">
        <f>'2.1. DM'!H63</f>
        <v>Prosopis</v>
      </c>
      <c r="I63" s="25" t="str">
        <f>'2.1. DM'!I63</f>
        <v>juliflora</v>
      </c>
      <c r="J63" s="25" t="str">
        <f>'2.1. DM'!J63</f>
        <v>Prosopis juliflora</v>
      </c>
      <c r="K63" s="25" t="str">
        <f>'2.1. DM'!K63</f>
        <v>Fabaceae</v>
      </c>
      <c r="L63" s="25" t="str">
        <f>'2.1. DM'!L63</f>
        <v>Fabales</v>
      </c>
      <c r="M63" s="25" t="str">
        <f>'2.1. DM'!M63</f>
        <v>Tree</v>
      </c>
      <c r="N63" s="25" t="str">
        <f>'2.1. DM'!N63</f>
        <v>58,59, 69</v>
      </c>
      <c r="O63" s="25" t="str">
        <f>'2.1. DM'!O63</f>
        <v>OT-010 (2025)</v>
      </c>
      <c r="P63" s="22" t="s">
        <v>495</v>
      </c>
      <c r="Q63" s="23">
        <v>49.166365274735234</v>
      </c>
      <c r="R63" s="341">
        <f>AVERAGE('2.4 NDF'!Q63:Q64)</f>
        <v>48.76403521134597</v>
      </c>
    </row>
    <row r="64" spans="2:18" x14ac:dyDescent="0.35">
      <c r="B64" s="25">
        <f>'2.1. DM'!B64</f>
        <v>54</v>
      </c>
      <c r="C64" s="21">
        <f>'2.1. DM'!C64</f>
        <v>46041</v>
      </c>
      <c r="D64" s="25" t="str">
        <f>'2.1. DM'!D64</f>
        <v>Genbank</v>
      </c>
      <c r="E64" s="25">
        <f>'2.1. DM'!E64</f>
        <v>27</v>
      </c>
      <c r="F64" s="25" t="str">
        <f>'2.1. DM'!F64</f>
        <v>F251754</v>
      </c>
      <c r="G64" s="25" t="str">
        <f>'2.1. DM'!G64</f>
        <v>CIAT-9990</v>
      </c>
      <c r="H64" s="25" t="str">
        <f>'2.1. DM'!H64</f>
        <v>Prosopis</v>
      </c>
      <c r="I64" s="25" t="str">
        <f>'2.1. DM'!I64</f>
        <v>juliflora</v>
      </c>
      <c r="J64" s="25" t="str">
        <f>'2.1. DM'!J64</f>
        <v>Prosopis juliflora</v>
      </c>
      <c r="K64" s="25" t="str">
        <f>'2.1. DM'!K64</f>
        <v>Fabaceae</v>
      </c>
      <c r="L64" s="25" t="str">
        <f>'2.1. DM'!L64</f>
        <v>Fabales</v>
      </c>
      <c r="M64" s="25" t="str">
        <f>'2.1. DM'!M64</f>
        <v>Tree</v>
      </c>
      <c r="N64" s="25" t="str">
        <f>'2.1. DM'!N64</f>
        <v>58,59, 69</v>
      </c>
      <c r="O64" s="25" t="str">
        <f>'2.1. DM'!O64</f>
        <v>OT-010 (2025)</v>
      </c>
      <c r="P64" s="19" t="s">
        <v>496</v>
      </c>
      <c r="Q64" s="23">
        <v>48.361705147956705</v>
      </c>
      <c r="R64" s="341"/>
    </row>
    <row r="65" spans="2:18" x14ac:dyDescent="0.35">
      <c r="B65" s="25">
        <f>'2.1. DM'!B65</f>
        <v>55</v>
      </c>
      <c r="C65" s="21">
        <f>'2.1. DM'!C65</f>
        <v>46041</v>
      </c>
      <c r="D65" s="25" t="str">
        <f>'2.1. DM'!D65</f>
        <v>Genbank</v>
      </c>
      <c r="E65" s="25">
        <f>'2.1. DM'!E65</f>
        <v>27</v>
      </c>
      <c r="F65" s="25" t="str">
        <f>'2.1. DM'!F65</f>
        <v>F251755</v>
      </c>
      <c r="G65" s="25" t="str">
        <f>'2.1. DM'!G65</f>
        <v>CIAT-13258</v>
      </c>
      <c r="H65" s="25" t="str">
        <f>'2.1. DM'!H65</f>
        <v>Dendrolobium</v>
      </c>
      <c r="I65" s="25" t="str">
        <f>'2.1. DM'!I65</f>
        <v>lanceolatum</v>
      </c>
      <c r="J65" s="25" t="str">
        <f>'2.1. DM'!J65</f>
        <v>Dendrolobium lanceolatum</v>
      </c>
      <c r="K65" s="25" t="str">
        <f>'2.1. DM'!K65</f>
        <v>Fabaceae</v>
      </c>
      <c r="L65" s="25" t="str">
        <f>'2.1. DM'!L65</f>
        <v>Fabales</v>
      </c>
      <c r="M65" s="25" t="str">
        <f>'2.1. DM'!M65</f>
        <v>Tree</v>
      </c>
      <c r="N65" s="25" t="str">
        <f>'2.1. DM'!N65</f>
        <v>58,59, 69</v>
      </c>
      <c r="O65" s="25" t="str">
        <f>'2.1. DM'!O65</f>
        <v>OT-010 (2025)</v>
      </c>
      <c r="P65" s="22" t="s">
        <v>495</v>
      </c>
      <c r="Q65" s="23">
        <v>60.148887408621022</v>
      </c>
      <c r="R65" s="341">
        <f>AVERAGE('2.4 NDF'!Q65:Q66)</f>
        <v>61.802642029697566</v>
      </c>
    </row>
    <row r="66" spans="2:18" x14ac:dyDescent="0.35">
      <c r="B66" s="25">
        <f>'2.1. DM'!B66</f>
        <v>56</v>
      </c>
      <c r="C66" s="21">
        <f>'2.1. DM'!C66</f>
        <v>46041</v>
      </c>
      <c r="D66" s="25" t="str">
        <f>'2.1. DM'!D66</f>
        <v>Genbank</v>
      </c>
      <c r="E66" s="25">
        <f>'2.1. DM'!E66</f>
        <v>27</v>
      </c>
      <c r="F66" s="25" t="str">
        <f>'2.1. DM'!F66</f>
        <v>F251755</v>
      </c>
      <c r="G66" s="25" t="str">
        <f>'2.1. DM'!G66</f>
        <v>CIAT-13258</v>
      </c>
      <c r="H66" s="25" t="str">
        <f>'2.1. DM'!H66</f>
        <v>Dendrolobium</v>
      </c>
      <c r="I66" s="25" t="str">
        <f>'2.1. DM'!I66</f>
        <v>lanceolatum</v>
      </c>
      <c r="J66" s="25" t="str">
        <f>'2.1. DM'!J66</f>
        <v>Dendrolobium lanceolatum</v>
      </c>
      <c r="K66" s="25" t="str">
        <f>'2.1. DM'!K66</f>
        <v>Fabaceae</v>
      </c>
      <c r="L66" s="25" t="str">
        <f>'2.1. DM'!L66</f>
        <v>Fabales</v>
      </c>
      <c r="M66" s="25" t="str">
        <f>'2.1. DM'!M66</f>
        <v>Tree</v>
      </c>
      <c r="N66" s="25" t="str">
        <f>'2.1. DM'!N66</f>
        <v>58,59, 69</v>
      </c>
      <c r="O66" s="25" t="str">
        <f>'2.1. DM'!O66</f>
        <v>OT-010 (2025)</v>
      </c>
      <c r="P66" s="19" t="s">
        <v>496</v>
      </c>
      <c r="Q66" s="23">
        <v>63.456396650774117</v>
      </c>
      <c r="R66" s="341"/>
    </row>
    <row r="67" spans="2:18" x14ac:dyDescent="0.35">
      <c r="B67" s="25">
        <f>'2.1. DM'!B67</f>
        <v>57</v>
      </c>
      <c r="C67" s="21">
        <f>'2.1. DM'!C67</f>
        <v>46041</v>
      </c>
      <c r="D67" s="25" t="str">
        <f>'2.1. DM'!D67</f>
        <v>Genbank</v>
      </c>
      <c r="E67" s="25">
        <f>'2.1. DM'!E67</f>
        <v>27</v>
      </c>
      <c r="F67" s="25" t="str">
        <f>'2.1. DM'!F67</f>
        <v>F251756</v>
      </c>
      <c r="G67" s="25" t="str">
        <f>'2.1. DM'!G67</f>
        <v>CIAT-13260</v>
      </c>
      <c r="H67" s="25" t="str">
        <f>'2.1. DM'!H67</f>
        <v>Dendrolobium</v>
      </c>
      <c r="I67" s="25" t="str">
        <f>'2.1. DM'!I67</f>
        <v>lanceolatum</v>
      </c>
      <c r="J67" s="25" t="str">
        <f>'2.1. DM'!J67</f>
        <v>Dendrolobium lanceolatum</v>
      </c>
      <c r="K67" s="25" t="str">
        <f>'2.1. DM'!K67</f>
        <v>Fabaceae</v>
      </c>
      <c r="L67" s="25" t="str">
        <f>'2.1. DM'!L67</f>
        <v>Fabales</v>
      </c>
      <c r="M67" s="25" t="str">
        <f>'2.1. DM'!M67</f>
        <v>Tree</v>
      </c>
      <c r="N67" s="25" t="str">
        <f>'2.1. DM'!N67</f>
        <v>58,59, 69</v>
      </c>
      <c r="O67" s="25" t="str">
        <f>'2.1. DM'!O67</f>
        <v>OT-010 (2025)</v>
      </c>
      <c r="P67" s="22" t="s">
        <v>495</v>
      </c>
      <c r="Q67" s="23">
        <v>63.657549936738143</v>
      </c>
      <c r="R67" s="341">
        <f>AVERAGE('2.4 NDF'!Q67:Q68)</f>
        <v>65.193580185159263</v>
      </c>
    </row>
    <row r="68" spans="2:18" x14ac:dyDescent="0.35">
      <c r="B68" s="25">
        <f>'2.1. DM'!B68</f>
        <v>58</v>
      </c>
      <c r="C68" s="21">
        <f>'2.1. DM'!C68</f>
        <v>46041</v>
      </c>
      <c r="D68" s="25" t="str">
        <f>'2.1. DM'!D68</f>
        <v>Genbank</v>
      </c>
      <c r="E68" s="25">
        <f>'2.1. DM'!E68</f>
        <v>27</v>
      </c>
      <c r="F68" s="25" t="str">
        <f>'2.1. DM'!F68</f>
        <v>F251756</v>
      </c>
      <c r="G68" s="25" t="str">
        <f>'2.1. DM'!G68</f>
        <v>CIAT-13260</v>
      </c>
      <c r="H68" s="25" t="str">
        <f>'2.1. DM'!H68</f>
        <v>Dendrolobium</v>
      </c>
      <c r="I68" s="25" t="str">
        <f>'2.1. DM'!I68</f>
        <v>lanceolatum</v>
      </c>
      <c r="J68" s="25" t="str">
        <f>'2.1. DM'!J68</f>
        <v>Dendrolobium lanceolatum</v>
      </c>
      <c r="K68" s="25" t="str">
        <f>'2.1. DM'!K68</f>
        <v>Fabaceae</v>
      </c>
      <c r="L68" s="25" t="str">
        <f>'2.1. DM'!L68</f>
        <v>Fabales</v>
      </c>
      <c r="M68" s="25" t="str">
        <f>'2.1. DM'!M68</f>
        <v>Tree</v>
      </c>
      <c r="N68" s="25" t="str">
        <f>'2.1. DM'!N68</f>
        <v>58,59, 69</v>
      </c>
      <c r="O68" s="25" t="str">
        <f>'2.1. DM'!O68</f>
        <v>OT-010 (2025)</v>
      </c>
      <c r="P68" s="19" t="s">
        <v>496</v>
      </c>
      <c r="Q68" s="23">
        <v>66.72961043358039</v>
      </c>
      <c r="R68" s="341"/>
    </row>
    <row r="69" spans="2:18" x14ac:dyDescent="0.35">
      <c r="B69" s="25">
        <f>'2.1. DM'!B69</f>
        <v>59</v>
      </c>
      <c r="C69" s="21">
        <f>'2.1. DM'!C69</f>
        <v>46041</v>
      </c>
      <c r="D69" s="25" t="str">
        <f>'2.1. DM'!D69</f>
        <v>Genbank</v>
      </c>
      <c r="E69" s="25">
        <f>'2.1. DM'!E69</f>
        <v>27</v>
      </c>
      <c r="F69" s="25" t="str">
        <f>'2.1. DM'!F69</f>
        <v>F251757</v>
      </c>
      <c r="G69" s="25" t="str">
        <f>'2.1. DM'!G69</f>
        <v>CIAT-17263</v>
      </c>
      <c r="H69" s="25" t="str">
        <f>'2.1. DM'!H69</f>
        <v>Leucaena</v>
      </c>
      <c r="I69" s="25" t="str">
        <f>'2.1. DM'!I69</f>
        <v>leucocephala</v>
      </c>
      <c r="J69" s="25" t="str">
        <f>'2.1. DM'!J69</f>
        <v>Leucaena leucocephala</v>
      </c>
      <c r="K69" s="25" t="str">
        <f>'2.1. DM'!K69</f>
        <v>Fabaceae</v>
      </c>
      <c r="L69" s="25" t="str">
        <f>'2.1. DM'!L69</f>
        <v>Fabales</v>
      </c>
      <c r="M69" s="25" t="str">
        <f>'2.1. DM'!M69</f>
        <v>Tree</v>
      </c>
      <c r="N69" s="25" t="str">
        <f>'2.1. DM'!N69</f>
        <v>58,59, 69</v>
      </c>
      <c r="O69" s="25" t="str">
        <f>'2.1. DM'!O69</f>
        <v>OT-010 (2025)</v>
      </c>
      <c r="P69" s="22" t="s">
        <v>495</v>
      </c>
      <c r="Q69" s="23">
        <v>58.984626358318174</v>
      </c>
      <c r="R69" s="341">
        <f>AVERAGE('2.4 NDF'!Q69:Q70)</f>
        <v>57.76223960237941</v>
      </c>
    </row>
    <row r="70" spans="2:18" x14ac:dyDescent="0.35">
      <c r="B70" s="25">
        <f>'2.1. DM'!B70</f>
        <v>60</v>
      </c>
      <c r="C70" s="21">
        <f>'2.1. DM'!C70</f>
        <v>46041</v>
      </c>
      <c r="D70" s="25" t="str">
        <f>'2.1. DM'!D70</f>
        <v>Genbank</v>
      </c>
      <c r="E70" s="25">
        <f>'2.1. DM'!E70</f>
        <v>27</v>
      </c>
      <c r="F70" s="25" t="str">
        <f>'2.1. DM'!F70</f>
        <v>F251757</v>
      </c>
      <c r="G70" s="25" t="str">
        <f>'2.1. DM'!G70</f>
        <v>CIAT-17263</v>
      </c>
      <c r="H70" s="25" t="str">
        <f>'2.1. DM'!H70</f>
        <v>Leucaena</v>
      </c>
      <c r="I70" s="25" t="str">
        <f>'2.1. DM'!I70</f>
        <v>leucocephala</v>
      </c>
      <c r="J70" s="25" t="str">
        <f>'2.1. DM'!J70</f>
        <v>Leucaena leucocephala</v>
      </c>
      <c r="K70" s="25" t="str">
        <f>'2.1. DM'!K70</f>
        <v>Fabaceae</v>
      </c>
      <c r="L70" s="25" t="str">
        <f>'2.1. DM'!L70</f>
        <v>Fabales</v>
      </c>
      <c r="M70" s="25" t="str">
        <f>'2.1. DM'!M70</f>
        <v>Tree</v>
      </c>
      <c r="N70" s="25" t="str">
        <f>'2.1. DM'!N70</f>
        <v>58,59, 69</v>
      </c>
      <c r="O70" s="25" t="str">
        <f>'2.1. DM'!O70</f>
        <v>OT-010 (2025)</v>
      </c>
      <c r="P70" s="19" t="s">
        <v>496</v>
      </c>
      <c r="Q70" s="23">
        <v>56.539852846440652</v>
      </c>
      <c r="R70" s="341"/>
    </row>
    <row r="71" spans="2:18" x14ac:dyDescent="0.35">
      <c r="B71" s="25">
        <f>'2.1. DM'!B71</f>
        <v>61</v>
      </c>
      <c r="C71" s="21">
        <f>'2.1. DM'!C71</f>
        <v>46041</v>
      </c>
      <c r="D71" s="25" t="str">
        <f>'2.1. DM'!D71</f>
        <v>Isabel Molina</v>
      </c>
      <c r="E71" s="25">
        <f>'2.1. DM'!E71</f>
        <v>27</v>
      </c>
      <c r="F71" s="25" t="str">
        <f>'2.1. DM'!F71</f>
        <v>F252640</v>
      </c>
      <c r="G71" s="25" t="str">
        <f>'2.1. DM'!G71</f>
        <v xml:space="preserve"> Cayman Br02_1752</v>
      </c>
      <c r="H71" s="25" t="str">
        <f>'2.1. DM'!H71</f>
        <v>Urochloa</v>
      </c>
      <c r="I71" s="25" t="str">
        <f>'2.1. DM'!I71</f>
        <v>interespecifico</v>
      </c>
      <c r="J71" s="25" t="str">
        <f>'2.1. DM'!J71</f>
        <v>Urochloa interespecifico</v>
      </c>
      <c r="K71" s="25" t="str">
        <f>'2.1. DM'!K71</f>
        <v>Poaceae</v>
      </c>
      <c r="L71" s="25" t="str">
        <f>'2.1. DM'!L71</f>
        <v>Poales</v>
      </c>
      <c r="M71" s="25" t="str">
        <f>'2.1. DM'!M71</f>
        <v>grasses</v>
      </c>
      <c r="N71" s="25" t="str">
        <f>'2.1. DM'!N71</f>
        <v>58,59, 69</v>
      </c>
      <c r="O71" s="25" t="str">
        <f>'2.1. DM'!O71</f>
        <v>OT-034 (2025)</v>
      </c>
      <c r="P71" s="22" t="s">
        <v>495</v>
      </c>
      <c r="Q71" s="5">
        <v>62.420924342626257</v>
      </c>
      <c r="R71" s="341">
        <f>AVERAGE('2.4 NDF'!Q71:Q72)</f>
        <v>62.133650806607761</v>
      </c>
    </row>
    <row r="72" spans="2:18" x14ac:dyDescent="0.35">
      <c r="B72" s="25">
        <f>'2.1. DM'!B72</f>
        <v>62</v>
      </c>
      <c r="C72" s="21">
        <f>'2.1. DM'!C72</f>
        <v>46041</v>
      </c>
      <c r="D72" s="25" t="str">
        <f>'2.1. DM'!D72</f>
        <v>Isabel Molina</v>
      </c>
      <c r="E72" s="25">
        <f>'2.1. DM'!E72</f>
        <v>27</v>
      </c>
      <c r="F72" s="25" t="str">
        <f>'2.1. DM'!F72</f>
        <v>F252640</v>
      </c>
      <c r="G72" s="25" t="str">
        <f>'2.1. DM'!G72</f>
        <v xml:space="preserve"> Cayman Br02_1752</v>
      </c>
      <c r="H72" s="25" t="str">
        <f>'2.1. DM'!H72</f>
        <v>Urochloa</v>
      </c>
      <c r="I72" s="25" t="str">
        <f>'2.1. DM'!I72</f>
        <v>interespecifico</v>
      </c>
      <c r="J72" s="25" t="str">
        <f>'2.1. DM'!J72</f>
        <v>Urochloa interespecifico</v>
      </c>
      <c r="K72" s="25" t="str">
        <f>'2.1. DM'!K72</f>
        <v>Poaceae</v>
      </c>
      <c r="L72" s="25" t="str">
        <f>'2.1. DM'!L72</f>
        <v>Poales</v>
      </c>
      <c r="M72" s="25" t="str">
        <f>'2.1. DM'!M72</f>
        <v>grasses</v>
      </c>
      <c r="N72" s="25" t="str">
        <f>'2.1. DM'!N72</f>
        <v>58,59, 69</v>
      </c>
      <c r="O72" s="25" t="str">
        <f>'2.1. DM'!O72</f>
        <v>OT-034 (2025)</v>
      </c>
      <c r="P72" s="19" t="s">
        <v>496</v>
      </c>
      <c r="Q72" s="5">
        <v>61.846377270589258</v>
      </c>
      <c r="R72" s="341"/>
    </row>
    <row r="73" spans="2:18" x14ac:dyDescent="0.35">
      <c r="B73" s="25">
        <f>'2.1. DM'!B73</f>
        <v>63</v>
      </c>
      <c r="C73" s="21">
        <f>'2.1. DM'!C73</f>
        <v>46041</v>
      </c>
      <c r="D73" s="25" t="str">
        <f>'2.1. DM'!D73</f>
        <v>Mauricio Sotelo</v>
      </c>
      <c r="E73" s="25">
        <f>'2.1. DM'!E73</f>
        <v>27</v>
      </c>
      <c r="F73" s="25" t="str">
        <f>'2.1. DM'!F73</f>
        <v>F252641</v>
      </c>
      <c r="G73" s="25" t="str">
        <f>'2.1. DM'!G73</f>
        <v>N/A</v>
      </c>
      <c r="H73" s="25" t="str">
        <f>'2.1. DM'!H73</f>
        <v xml:space="preserve">Gliricidia  </v>
      </c>
      <c r="I73" s="25" t="str">
        <f>'2.1. DM'!I73</f>
        <v>sepium</v>
      </c>
      <c r="J73" s="25" t="str">
        <f>'2.1. DM'!J73</f>
        <v xml:space="preserve">Gliricidia sepium </v>
      </c>
      <c r="K73" s="25" t="str">
        <f>'2.1. DM'!K73</f>
        <v>Fabaceae</v>
      </c>
      <c r="L73" s="25" t="str">
        <f>'2.1. DM'!L73</f>
        <v>Fabales</v>
      </c>
      <c r="M73" s="25" t="str">
        <f>'2.1. DM'!M73</f>
        <v xml:space="preserve">Arbustiva </v>
      </c>
      <c r="N73" s="25" t="str">
        <f>'2.1. DM'!N73</f>
        <v>58,59, 69</v>
      </c>
      <c r="O73" s="25" t="str">
        <f>'2.1. DM'!O73</f>
        <v>OT-035 (2025)</v>
      </c>
      <c r="P73" s="22" t="s">
        <v>495</v>
      </c>
      <c r="Q73" s="5">
        <v>47.82</v>
      </c>
      <c r="R73" s="341">
        <f>AVERAGE('2.4 NDF'!Q73:Q74)</f>
        <v>47.204999999999998</v>
      </c>
    </row>
    <row r="74" spans="2:18" x14ac:dyDescent="0.35">
      <c r="B74" s="25">
        <f>'2.1. DM'!B74</f>
        <v>64</v>
      </c>
      <c r="C74" s="21">
        <f>'2.1. DM'!C74</f>
        <v>46041</v>
      </c>
      <c r="D74" s="25" t="str">
        <f>'2.1. DM'!D74</f>
        <v>Mauricio Sotelo</v>
      </c>
      <c r="E74" s="25">
        <f>'2.1. DM'!E74</f>
        <v>27</v>
      </c>
      <c r="F74" s="25" t="str">
        <f>'2.1. DM'!F74</f>
        <v>F252641</v>
      </c>
      <c r="G74" s="25" t="str">
        <f>'2.1. DM'!G74</f>
        <v>N/A</v>
      </c>
      <c r="H74" s="25" t="str">
        <f>'2.1. DM'!H74</f>
        <v xml:space="preserve">Gliricidia  </v>
      </c>
      <c r="I74" s="25" t="str">
        <f>'2.1. DM'!I74</f>
        <v>sepium</v>
      </c>
      <c r="J74" s="25" t="str">
        <f>'2.1. DM'!J74</f>
        <v xml:space="preserve">Gliricidia sepium </v>
      </c>
      <c r="K74" s="25" t="str">
        <f>'2.1. DM'!K74</f>
        <v>Fabaceae</v>
      </c>
      <c r="L74" s="25" t="str">
        <f>'2.1. DM'!L74</f>
        <v>Fabales</v>
      </c>
      <c r="M74" s="25" t="str">
        <f>'2.1. DM'!M74</f>
        <v xml:space="preserve">Arbustiva </v>
      </c>
      <c r="N74" s="25" t="str">
        <f>'2.1. DM'!N74</f>
        <v>58,59, 69</v>
      </c>
      <c r="O74" s="25" t="str">
        <f>'2.1. DM'!O74</f>
        <v>OT-035 (2025)</v>
      </c>
      <c r="P74" s="19" t="s">
        <v>496</v>
      </c>
      <c r="Q74" s="5">
        <v>46.59</v>
      </c>
      <c r="R74" s="341"/>
    </row>
    <row r="75" spans="2:18" x14ac:dyDescent="0.35">
      <c r="B75" s="25">
        <f>'2.1. DM'!B75</f>
        <v>65</v>
      </c>
      <c r="C75" s="21">
        <f>'2.1. DM'!C75</f>
        <v>46041</v>
      </c>
      <c r="D75" s="25" t="str">
        <f>'2.1. DM'!D75</f>
        <v>Jacobo Arango/Alejandro Montoya</v>
      </c>
      <c r="E75" s="25">
        <f>'2.1. DM'!E75</f>
        <v>27</v>
      </c>
      <c r="F75" s="25" t="str">
        <f>'2.1. DM'!F75</f>
        <v>F250008</v>
      </c>
      <c r="G75" s="25" t="str">
        <f>'2.1. DM'!G75</f>
        <v>Sample 8</v>
      </c>
      <c r="H75" s="25" t="str">
        <f>'2.1. DM'!H75</f>
        <v>Cynodon</v>
      </c>
      <c r="I75" s="25" t="str">
        <f>'2.1. DM'!I75</f>
        <v xml:space="preserve"> nlemfuensis </v>
      </c>
      <c r="J75" s="25" t="str">
        <f>'2.1. DM'!J75</f>
        <v xml:space="preserve">Cynodon nlemfuensis </v>
      </c>
      <c r="K75" s="25" t="str">
        <f>'2.1. DM'!K75</f>
        <v>Poaceae</v>
      </c>
      <c r="L75" s="25" t="str">
        <f>'2.1. DM'!L75</f>
        <v>Poales</v>
      </c>
      <c r="M75" s="25" t="str">
        <f>'2.1. DM'!M75</f>
        <v>grasses</v>
      </c>
      <c r="N75" s="25" t="str">
        <f>'2.1. DM'!N75</f>
        <v>58,59, 69</v>
      </c>
      <c r="O75" s="25" t="str">
        <f>'2.1. DM'!O75</f>
        <v>OT-002</v>
      </c>
      <c r="P75" s="22" t="s">
        <v>495</v>
      </c>
      <c r="Q75" s="30">
        <v>76.099999999999994</v>
      </c>
      <c r="R75" s="341">
        <f t="shared" ref="R75" si="0">AVERAGE(Q75:Q76)</f>
        <v>76.099999999999994</v>
      </c>
    </row>
    <row r="76" spans="2:18" x14ac:dyDescent="0.35">
      <c r="B76" s="25">
        <f>'2.1. DM'!B76</f>
        <v>66</v>
      </c>
      <c r="C76" s="21">
        <f>'2.1. DM'!C76</f>
        <v>46041</v>
      </c>
      <c r="D76" s="25" t="str">
        <f>'2.1. DM'!D76</f>
        <v>Jacobo Arango/Alejandro Montoya</v>
      </c>
      <c r="E76" s="25">
        <f>'2.1. DM'!E76</f>
        <v>27</v>
      </c>
      <c r="F76" s="25" t="str">
        <f>'2.1. DM'!F76</f>
        <v>F250008</v>
      </c>
      <c r="G76" s="25" t="str">
        <f>'2.1. DM'!G76</f>
        <v>Sample 8</v>
      </c>
      <c r="H76" s="25" t="str">
        <f>'2.1. DM'!H76</f>
        <v>Cynodon</v>
      </c>
      <c r="I76" s="25" t="str">
        <f>'2.1. DM'!I76</f>
        <v xml:space="preserve"> nlemfuensis </v>
      </c>
      <c r="J76" s="25" t="str">
        <f>'2.1. DM'!J76</f>
        <v xml:space="preserve">Cynodon nlemfuensis </v>
      </c>
      <c r="K76" s="25" t="str">
        <f>'2.1. DM'!K76</f>
        <v>Poaceae</v>
      </c>
      <c r="L76" s="25" t="str">
        <f>'2.1. DM'!L76</f>
        <v>Poales</v>
      </c>
      <c r="M76" s="25" t="str">
        <f>'2.1. DM'!M76</f>
        <v>grasses</v>
      </c>
      <c r="N76" s="25" t="str">
        <f>'2.1. DM'!N76</f>
        <v>58,59, 69</v>
      </c>
      <c r="O76" s="25" t="str">
        <f>'2.1. DM'!O76</f>
        <v>OT-002</v>
      </c>
      <c r="P76" s="19" t="s">
        <v>496</v>
      </c>
      <c r="Q76" s="30">
        <v>76.099999999999994</v>
      </c>
      <c r="R76" s="341"/>
    </row>
    <row r="77" spans="2:18" x14ac:dyDescent="0.35">
      <c r="B77" s="25">
        <f>'2.1. DM'!B77</f>
        <v>67</v>
      </c>
      <c r="C77" s="21">
        <f>'2.1. DM'!C77</f>
        <v>46048</v>
      </c>
      <c r="D77" s="25" t="str">
        <f>'2.1. DM'!D77</f>
        <v>Genbank</v>
      </c>
      <c r="E77" s="25">
        <f>'2.1. DM'!E77</f>
        <v>28</v>
      </c>
      <c r="F77" s="25" t="str">
        <f>'2.1. DM'!F77</f>
        <v>F251758</v>
      </c>
      <c r="G77" s="25" t="str">
        <f>'2.1. DM'!G77</f>
        <v>CIAT-17459</v>
      </c>
      <c r="H77" s="25" t="str">
        <f>'2.1. DM'!H77</f>
        <v>Erythrina</v>
      </c>
      <c r="I77" s="25" t="str">
        <f>'2.1. DM'!I77</f>
        <v>berteroana</v>
      </c>
      <c r="J77" s="25" t="str">
        <f>'2.1. DM'!J77</f>
        <v>Erythrina berteroana</v>
      </c>
      <c r="K77" s="25" t="str">
        <f>'2.1. DM'!K77</f>
        <v>Fabaceae</v>
      </c>
      <c r="L77" s="25" t="str">
        <f>'2.1. DM'!L77</f>
        <v>Fabales</v>
      </c>
      <c r="M77" s="25" t="str">
        <f>'2.1. DM'!M77</f>
        <v>Tree</v>
      </c>
      <c r="N77" s="25" t="str">
        <f>'2.1. DM'!N77</f>
        <v>60,61, 62</v>
      </c>
      <c r="O77" s="25" t="str">
        <f>'2.1. DM'!O77</f>
        <v>OT-010</v>
      </c>
      <c r="P77" s="22" t="s">
        <v>495</v>
      </c>
      <c r="Q77" s="23">
        <v>50.64633655649444</v>
      </c>
      <c r="R77" s="341">
        <f>AVERAGE('2.4 NDF'!Q77:Q78)</f>
        <v>51.976757187154703</v>
      </c>
    </row>
    <row r="78" spans="2:18" x14ac:dyDescent="0.35">
      <c r="B78" s="25">
        <f>'2.1. DM'!B78</f>
        <v>68</v>
      </c>
      <c r="C78" s="21">
        <f>'2.1. DM'!C78</f>
        <v>46048</v>
      </c>
      <c r="D78" s="25" t="str">
        <f>'2.1. DM'!D78</f>
        <v>Genbank</v>
      </c>
      <c r="E78" s="25">
        <f>'2.1. DM'!E78</f>
        <v>28</v>
      </c>
      <c r="F78" s="25" t="str">
        <f>'2.1. DM'!F78</f>
        <v>F251758</v>
      </c>
      <c r="G78" s="25" t="str">
        <f>'2.1. DM'!G78</f>
        <v>CIAT-17459</v>
      </c>
      <c r="H78" s="25" t="str">
        <f>'2.1. DM'!H78</f>
        <v>Erythrina</v>
      </c>
      <c r="I78" s="25" t="str">
        <f>'2.1. DM'!I78</f>
        <v>berteroana</v>
      </c>
      <c r="J78" s="25" t="str">
        <f>'2.1. DM'!J78</f>
        <v>Erythrina berteroana</v>
      </c>
      <c r="K78" s="25" t="str">
        <f>'2.1. DM'!K78</f>
        <v>Fabaceae</v>
      </c>
      <c r="L78" s="25" t="str">
        <f>'2.1. DM'!L78</f>
        <v>Fabales</v>
      </c>
      <c r="M78" s="25" t="str">
        <f>'2.1. DM'!M78</f>
        <v>Tree</v>
      </c>
      <c r="N78" s="25" t="str">
        <f>'2.1. DM'!N78</f>
        <v>60,61, 62</v>
      </c>
      <c r="O78" s="25" t="str">
        <f>'2.1. DM'!O78</f>
        <v>OT-010</v>
      </c>
      <c r="P78" s="19" t="s">
        <v>496</v>
      </c>
      <c r="Q78" s="23">
        <v>53.307177817814967</v>
      </c>
      <c r="R78" s="341"/>
    </row>
    <row r="79" spans="2:18" x14ac:dyDescent="0.35">
      <c r="B79" s="25">
        <f>'2.1. DM'!B79</f>
        <v>69</v>
      </c>
      <c r="C79" s="21">
        <f>'2.1. DM'!C79</f>
        <v>46048</v>
      </c>
      <c r="D79" s="25" t="str">
        <f>'2.1. DM'!D79</f>
        <v>Genbank</v>
      </c>
      <c r="E79" s="25">
        <f>'2.1. DM'!E79</f>
        <v>28</v>
      </c>
      <c r="F79" s="25" t="str">
        <f>'2.1. DM'!F79</f>
        <v>F251759</v>
      </c>
      <c r="G79" s="25" t="str">
        <f>'2.1. DM'!G79</f>
        <v>CIAT-17482</v>
      </c>
      <c r="H79" s="25" t="str">
        <f>'2.1. DM'!H79</f>
        <v>Leucaena</v>
      </c>
      <c r="I79" s="25" t="str">
        <f>'2.1. DM'!I79</f>
        <v>leucocephala</v>
      </c>
      <c r="J79" s="25" t="str">
        <f>'2.1. DM'!J79</f>
        <v>Leucaena leucocephala</v>
      </c>
      <c r="K79" s="25" t="str">
        <f>'2.1. DM'!K79</f>
        <v>Fabaceae</v>
      </c>
      <c r="L79" s="25" t="str">
        <f>'2.1. DM'!L79</f>
        <v>Fabales</v>
      </c>
      <c r="M79" s="25" t="str">
        <f>'2.1. DM'!M79</f>
        <v>Tree</v>
      </c>
      <c r="N79" s="25" t="str">
        <f>'2.1. DM'!N79</f>
        <v>60,61, 62</v>
      </c>
      <c r="O79" s="25" t="str">
        <f>'2.1. DM'!O79</f>
        <v>OT-010</v>
      </c>
      <c r="P79" s="22" t="s">
        <v>495</v>
      </c>
      <c r="Q79" s="23">
        <v>49.505271156829409</v>
      </c>
      <c r="R79" s="341">
        <f>AVERAGE('2.4 NDF'!Q79:Q80)</f>
        <v>51.047281566289193</v>
      </c>
    </row>
    <row r="80" spans="2:18" x14ac:dyDescent="0.35">
      <c r="B80" s="25">
        <f>'2.1. DM'!B80</f>
        <v>70</v>
      </c>
      <c r="C80" s="21">
        <f>'2.1. DM'!C80</f>
        <v>46048</v>
      </c>
      <c r="D80" s="25" t="str">
        <f>'2.1. DM'!D80</f>
        <v>Genbank</v>
      </c>
      <c r="E80" s="25">
        <f>'2.1. DM'!E80</f>
        <v>28</v>
      </c>
      <c r="F80" s="25" t="str">
        <f>'2.1. DM'!F80</f>
        <v>F251759</v>
      </c>
      <c r="G80" s="25" t="str">
        <f>'2.1. DM'!G80</f>
        <v>CIAT-17482</v>
      </c>
      <c r="H80" s="25" t="str">
        <f>'2.1. DM'!H80</f>
        <v>Leucaena</v>
      </c>
      <c r="I80" s="25" t="str">
        <f>'2.1. DM'!I80</f>
        <v>leucocephala</v>
      </c>
      <c r="J80" s="25" t="str">
        <f>'2.1. DM'!J80</f>
        <v>Leucaena leucocephala</v>
      </c>
      <c r="K80" s="25" t="str">
        <f>'2.1. DM'!K80</f>
        <v>Fabaceae</v>
      </c>
      <c r="L80" s="25" t="str">
        <f>'2.1. DM'!L80</f>
        <v>Fabales</v>
      </c>
      <c r="M80" s="25" t="str">
        <f>'2.1. DM'!M80</f>
        <v>Tree</v>
      </c>
      <c r="N80" s="25" t="str">
        <f>'2.1. DM'!N80</f>
        <v>60,61, 62</v>
      </c>
      <c r="O80" s="25" t="str">
        <f>'2.1. DM'!O80</f>
        <v>OT-010</v>
      </c>
      <c r="P80" s="19" t="s">
        <v>496</v>
      </c>
      <c r="Q80" s="23">
        <v>52.589291975748978</v>
      </c>
      <c r="R80" s="341"/>
    </row>
    <row r="81" spans="2:18" x14ac:dyDescent="0.35">
      <c r="B81" s="25">
        <f>'2.1. DM'!B81</f>
        <v>71</v>
      </c>
      <c r="C81" s="21">
        <f>'2.1. DM'!C81</f>
        <v>46048</v>
      </c>
      <c r="D81" s="25" t="str">
        <f>'2.1. DM'!D81</f>
        <v>Genbank</v>
      </c>
      <c r="E81" s="25">
        <f>'2.1. DM'!E81</f>
        <v>28</v>
      </c>
      <c r="F81" s="25" t="str">
        <f>'2.1. DM'!F81</f>
        <v>F251760</v>
      </c>
      <c r="G81" s="25" t="str">
        <f>'2.1. DM'!G81</f>
        <v>CIAT-17502</v>
      </c>
      <c r="H81" s="25" t="str">
        <f>'2.1. DM'!H81</f>
        <v>Leucaena</v>
      </c>
      <c r="I81" s="25" t="str">
        <f>'2.1. DM'!I81</f>
        <v>leucocephala</v>
      </c>
      <c r="J81" s="25" t="str">
        <f>'2.1. DM'!J81</f>
        <v>Leucaena leucocephala</v>
      </c>
      <c r="K81" s="25" t="str">
        <f>'2.1. DM'!K81</f>
        <v>Fabaceae</v>
      </c>
      <c r="L81" s="25" t="str">
        <f>'2.1. DM'!L81</f>
        <v>Fabales</v>
      </c>
      <c r="M81" s="25" t="str">
        <f>'2.1. DM'!M81</f>
        <v>Tree</v>
      </c>
      <c r="N81" s="25" t="str">
        <f>'2.1. DM'!N81</f>
        <v>60,61, 62</v>
      </c>
      <c r="O81" s="25" t="str">
        <f>'2.1. DM'!O81</f>
        <v>OT-010</v>
      </c>
      <c r="P81" s="22" t="s">
        <v>495</v>
      </c>
      <c r="Q81" s="23">
        <v>46.335994860144929</v>
      </c>
      <c r="R81" s="341">
        <f>AVERAGE('2.4 NDF'!Q81:Q82)</f>
        <v>46.087256029089829</v>
      </c>
    </row>
    <row r="82" spans="2:18" x14ac:dyDescent="0.35">
      <c r="B82" s="25">
        <f>'2.1. DM'!B82</f>
        <v>72</v>
      </c>
      <c r="C82" s="21">
        <f>'2.1. DM'!C82</f>
        <v>46048</v>
      </c>
      <c r="D82" s="25" t="str">
        <f>'2.1. DM'!D82</f>
        <v>Genbank</v>
      </c>
      <c r="E82" s="25">
        <f>'2.1. DM'!E82</f>
        <v>28</v>
      </c>
      <c r="F82" s="25" t="str">
        <f>'2.1. DM'!F82</f>
        <v>F251760</v>
      </c>
      <c r="G82" s="25" t="str">
        <f>'2.1. DM'!G82</f>
        <v>CIAT-17502</v>
      </c>
      <c r="H82" s="25" t="str">
        <f>'2.1. DM'!H82</f>
        <v>Leucaena</v>
      </c>
      <c r="I82" s="25" t="str">
        <f>'2.1. DM'!I82</f>
        <v>leucocephala</v>
      </c>
      <c r="J82" s="25" t="str">
        <f>'2.1. DM'!J82</f>
        <v>Leucaena leucocephala</v>
      </c>
      <c r="K82" s="25" t="str">
        <f>'2.1. DM'!K82</f>
        <v>Fabaceae</v>
      </c>
      <c r="L82" s="25" t="str">
        <f>'2.1. DM'!L82</f>
        <v>Fabales</v>
      </c>
      <c r="M82" s="25" t="str">
        <f>'2.1. DM'!M82</f>
        <v>Tree</v>
      </c>
      <c r="N82" s="25" t="str">
        <f>'2.1. DM'!N82</f>
        <v>60,61, 62</v>
      </c>
      <c r="O82" s="25" t="str">
        <f>'2.1. DM'!O82</f>
        <v>OT-010</v>
      </c>
      <c r="P82" s="19" t="s">
        <v>496</v>
      </c>
      <c r="Q82" s="23">
        <v>45.838517198034729</v>
      </c>
      <c r="R82" s="341"/>
    </row>
    <row r="83" spans="2:18" x14ac:dyDescent="0.35">
      <c r="B83" s="25">
        <f>'2.1. DM'!B83</f>
        <v>73</v>
      </c>
      <c r="C83" s="21">
        <f>'2.1. DM'!C83</f>
        <v>46048</v>
      </c>
      <c r="D83" s="25" t="str">
        <f>'2.1. DM'!D83</f>
        <v>Genbank</v>
      </c>
      <c r="E83" s="25">
        <f>'2.1. DM'!E83</f>
        <v>28</v>
      </c>
      <c r="F83" s="25" t="str">
        <f>'2.1. DM'!F83</f>
        <v>F251761</v>
      </c>
      <c r="G83" s="25" t="str">
        <f>'2.1. DM'!G83</f>
        <v>CIAT-19384</v>
      </c>
      <c r="H83" s="25" t="str">
        <f>'2.1. DM'!H83</f>
        <v>Prosopis</v>
      </c>
      <c r="I83" s="25" t="str">
        <f>'2.1. DM'!I83</f>
        <v>juliflora</v>
      </c>
      <c r="J83" s="25" t="str">
        <f>'2.1. DM'!J83</f>
        <v>Prosopis juliflora</v>
      </c>
      <c r="K83" s="25" t="str">
        <f>'2.1. DM'!K83</f>
        <v>Fabaceae</v>
      </c>
      <c r="L83" s="25" t="str">
        <f>'2.1. DM'!L83</f>
        <v>Fabales</v>
      </c>
      <c r="M83" s="25" t="str">
        <f>'2.1. DM'!M83</f>
        <v>Tree</v>
      </c>
      <c r="N83" s="25" t="str">
        <f>'2.1. DM'!N83</f>
        <v>60,61, 62</v>
      </c>
      <c r="O83" s="25" t="str">
        <f>'2.1. DM'!O83</f>
        <v>OT-010</v>
      </c>
      <c r="P83" s="22" t="s">
        <v>495</v>
      </c>
      <c r="Q83" s="23">
        <v>50.993382703173232</v>
      </c>
      <c r="R83" s="341">
        <f>AVERAGE('2.4 NDF'!Q83:Q84)</f>
        <v>52.455294704129813</v>
      </c>
    </row>
    <row r="84" spans="2:18" x14ac:dyDescent="0.35">
      <c r="B84" s="25">
        <f>'2.1. DM'!B84</f>
        <v>74</v>
      </c>
      <c r="C84" s="21">
        <f>'2.1. DM'!C84</f>
        <v>46048</v>
      </c>
      <c r="D84" s="25" t="str">
        <f>'2.1. DM'!D84</f>
        <v>Genbank</v>
      </c>
      <c r="E84" s="25">
        <f>'2.1. DM'!E84</f>
        <v>28</v>
      </c>
      <c r="F84" s="25" t="str">
        <f>'2.1. DM'!F84</f>
        <v>F251761</v>
      </c>
      <c r="G84" s="25" t="str">
        <f>'2.1. DM'!G84</f>
        <v>CIAT-19384</v>
      </c>
      <c r="H84" s="25" t="str">
        <f>'2.1. DM'!H84</f>
        <v>Prosopis</v>
      </c>
      <c r="I84" s="25" t="str">
        <f>'2.1. DM'!I84</f>
        <v>juliflora</v>
      </c>
      <c r="J84" s="25" t="str">
        <f>'2.1. DM'!J84</f>
        <v>Prosopis juliflora</v>
      </c>
      <c r="K84" s="25" t="str">
        <f>'2.1. DM'!K84</f>
        <v>Fabaceae</v>
      </c>
      <c r="L84" s="25" t="str">
        <f>'2.1. DM'!L84</f>
        <v>Fabales</v>
      </c>
      <c r="M84" s="25" t="str">
        <f>'2.1. DM'!M84</f>
        <v>Tree</v>
      </c>
      <c r="N84" s="25" t="str">
        <f>'2.1. DM'!N84</f>
        <v>60,61, 62</v>
      </c>
      <c r="O84" s="25" t="str">
        <f>'2.1. DM'!O84</f>
        <v>OT-010</v>
      </c>
      <c r="P84" s="19" t="s">
        <v>496</v>
      </c>
      <c r="Q84" s="23">
        <v>53.917206705086393</v>
      </c>
      <c r="R84" s="341"/>
    </row>
    <row r="85" spans="2:18" x14ac:dyDescent="0.35">
      <c r="B85" s="25">
        <f>'2.1. DM'!B85</f>
        <v>75</v>
      </c>
      <c r="C85" s="21">
        <f>'2.1. DM'!C85</f>
        <v>46048</v>
      </c>
      <c r="D85" s="25" t="str">
        <f>'2.1. DM'!D85</f>
        <v>Genbank</v>
      </c>
      <c r="E85" s="25">
        <f>'2.1. DM'!E85</f>
        <v>28</v>
      </c>
      <c r="F85" s="25" t="str">
        <f>'2.1. DM'!F85</f>
        <v>F251762</v>
      </c>
      <c r="G85" s="25" t="str">
        <f>'2.1. DM'!G85</f>
        <v>CIAT-19571</v>
      </c>
      <c r="H85" s="25" t="str">
        <f>'2.1. DM'!H85</f>
        <v>Senna</v>
      </c>
      <c r="I85" s="25" t="str">
        <f>'2.1. DM'!I85</f>
        <v>cobanensis</v>
      </c>
      <c r="J85" s="25" t="str">
        <f>'2.1. DM'!J85</f>
        <v>Senna cobanensis</v>
      </c>
      <c r="K85" s="25" t="str">
        <f>'2.1. DM'!K85</f>
        <v>Fabaceae</v>
      </c>
      <c r="L85" s="25" t="str">
        <f>'2.1. DM'!L85</f>
        <v>Fabales</v>
      </c>
      <c r="M85" s="25" t="str">
        <f>'2.1. DM'!M85</f>
        <v>Tree</v>
      </c>
      <c r="N85" s="25" t="str">
        <f>'2.1. DM'!N85</f>
        <v>60,61, 62</v>
      </c>
      <c r="O85" s="25" t="str">
        <f>'2.1. DM'!O85</f>
        <v>OT-010</v>
      </c>
      <c r="P85" s="22" t="s">
        <v>495</v>
      </c>
      <c r="Q85" s="23">
        <v>54.164221197134545</v>
      </c>
      <c r="R85" s="341">
        <f>AVERAGE('2.4 NDF'!Q85:Q86)</f>
        <v>55.70472427145836</v>
      </c>
    </row>
    <row r="86" spans="2:18" x14ac:dyDescent="0.35">
      <c r="B86" s="25">
        <f>'2.1. DM'!B86</f>
        <v>76</v>
      </c>
      <c r="C86" s="21">
        <f>'2.1. DM'!C86</f>
        <v>46048</v>
      </c>
      <c r="D86" s="25" t="str">
        <f>'2.1. DM'!D86</f>
        <v>Genbank</v>
      </c>
      <c r="E86" s="25">
        <f>'2.1. DM'!E86</f>
        <v>28</v>
      </c>
      <c r="F86" s="25" t="str">
        <f>'2.1. DM'!F86</f>
        <v>F251762</v>
      </c>
      <c r="G86" s="25" t="str">
        <f>'2.1. DM'!G86</f>
        <v>CIAT-19571</v>
      </c>
      <c r="H86" s="25" t="str">
        <f>'2.1. DM'!H86</f>
        <v>Senna</v>
      </c>
      <c r="I86" s="25" t="str">
        <f>'2.1. DM'!I86</f>
        <v>cobanensis</v>
      </c>
      <c r="J86" s="25" t="str">
        <f>'2.1. DM'!J86</f>
        <v>Senna cobanensis</v>
      </c>
      <c r="K86" s="25" t="str">
        <f>'2.1. DM'!K86</f>
        <v>Fabaceae</v>
      </c>
      <c r="L86" s="25" t="str">
        <f>'2.1. DM'!L86</f>
        <v>Fabales</v>
      </c>
      <c r="M86" s="25" t="str">
        <f>'2.1. DM'!M86</f>
        <v>Tree</v>
      </c>
      <c r="N86" s="25" t="str">
        <f>'2.1. DM'!N86</f>
        <v>60,61, 62</v>
      </c>
      <c r="O86" s="25" t="str">
        <f>'2.1. DM'!O86</f>
        <v>OT-010</v>
      </c>
      <c r="P86" s="19" t="s">
        <v>496</v>
      </c>
      <c r="Q86" s="23">
        <v>57.245227345782169</v>
      </c>
      <c r="R86" s="341"/>
    </row>
    <row r="87" spans="2:18" x14ac:dyDescent="0.35">
      <c r="B87" s="25">
        <f>'2.1. DM'!B87</f>
        <v>77</v>
      </c>
      <c r="C87" s="21">
        <f>'2.1. DM'!C87</f>
        <v>46048</v>
      </c>
      <c r="D87" s="25" t="str">
        <f>'2.1. DM'!D87</f>
        <v>Genbank</v>
      </c>
      <c r="E87" s="25">
        <f>'2.1. DM'!E87</f>
        <v>28</v>
      </c>
      <c r="F87" s="25" t="str">
        <f>'2.1. DM'!F87</f>
        <v>F251763</v>
      </c>
      <c r="G87" s="25" t="str">
        <f>'2.1. DM'!G87</f>
        <v>CIAT-20126</v>
      </c>
      <c r="H87" s="25" t="str">
        <f>'2.1. DM'!H87</f>
        <v>Acacia</v>
      </c>
      <c r="I87" s="25" t="str">
        <f>'2.1. DM'!I87</f>
        <v>angustissima</v>
      </c>
      <c r="J87" s="25" t="str">
        <f>'2.1. DM'!J87</f>
        <v>Acacia angustissima</v>
      </c>
      <c r="K87" s="25" t="str">
        <f>'2.1. DM'!K87</f>
        <v>Fabaceae</v>
      </c>
      <c r="L87" s="25" t="str">
        <f>'2.1. DM'!L87</f>
        <v>Fabales</v>
      </c>
      <c r="M87" s="25" t="str">
        <f>'2.1. DM'!M87</f>
        <v>Tree</v>
      </c>
      <c r="N87" s="25" t="str">
        <f>'2.1. DM'!N87</f>
        <v>60,61, 62</v>
      </c>
      <c r="O87" s="25" t="str">
        <f>'2.1. DM'!O87</f>
        <v>OT-010</v>
      </c>
      <c r="P87" s="22" t="s">
        <v>495</v>
      </c>
      <c r="Q87" s="23">
        <v>56.321513994788994</v>
      </c>
      <c r="R87" s="341">
        <f>AVERAGE('2.4 NDF'!Q87:Q88)</f>
        <v>58.286877673133617</v>
      </c>
    </row>
    <row r="88" spans="2:18" x14ac:dyDescent="0.35">
      <c r="B88" s="25">
        <f>'2.1. DM'!B88</f>
        <v>78</v>
      </c>
      <c r="C88" s="21">
        <f>'2.1. DM'!C88</f>
        <v>46048</v>
      </c>
      <c r="D88" s="25" t="str">
        <f>'2.1. DM'!D88</f>
        <v>Genbank</v>
      </c>
      <c r="E88" s="25">
        <f>'2.1. DM'!E88</f>
        <v>28</v>
      </c>
      <c r="F88" s="25" t="str">
        <f>'2.1. DM'!F88</f>
        <v>F251763</v>
      </c>
      <c r="G88" s="25" t="str">
        <f>'2.1. DM'!G88</f>
        <v>CIAT-20126</v>
      </c>
      <c r="H88" s="25" t="str">
        <f>'2.1. DM'!H88</f>
        <v>Acacia</v>
      </c>
      <c r="I88" s="25" t="str">
        <f>'2.1. DM'!I88</f>
        <v>angustissima</v>
      </c>
      <c r="J88" s="25" t="str">
        <f>'2.1. DM'!J88</f>
        <v>Acacia angustissima</v>
      </c>
      <c r="K88" s="25" t="str">
        <f>'2.1. DM'!K88</f>
        <v>Fabaceae</v>
      </c>
      <c r="L88" s="25" t="str">
        <f>'2.1. DM'!L88</f>
        <v>Fabales</v>
      </c>
      <c r="M88" s="25" t="str">
        <f>'2.1. DM'!M88</f>
        <v>Tree</v>
      </c>
      <c r="N88" s="25" t="str">
        <f>'2.1. DM'!N88</f>
        <v>60,61, 62</v>
      </c>
      <c r="O88" s="25" t="str">
        <f>'2.1. DM'!O88</f>
        <v>OT-010</v>
      </c>
      <c r="P88" s="19" t="s">
        <v>496</v>
      </c>
      <c r="Q88" s="23">
        <v>60.252241351478233</v>
      </c>
      <c r="R88" s="341"/>
    </row>
    <row r="89" spans="2:18" x14ac:dyDescent="0.35">
      <c r="B89" s="25">
        <f>'2.1. DM'!B89</f>
        <v>79</v>
      </c>
      <c r="C89" s="21">
        <f>'2.1. DM'!C89</f>
        <v>46048</v>
      </c>
      <c r="D89" s="25" t="str">
        <f>'2.1. DM'!D89</f>
        <v>Genbank</v>
      </c>
      <c r="E89" s="25">
        <f>'2.1. DM'!E89</f>
        <v>28</v>
      </c>
      <c r="F89" s="25" t="str">
        <f>'2.1. DM'!F89</f>
        <v>F251764</v>
      </c>
      <c r="G89" s="25" t="str">
        <f>'2.1. DM'!G89</f>
        <v>CIAT-20788</v>
      </c>
      <c r="H89" s="25" t="str">
        <f>'2.1. DM'!H89</f>
        <v>Senna</v>
      </c>
      <c r="I89" s="25" t="str">
        <f>'2.1. DM'!I89</f>
        <v>pallida</v>
      </c>
      <c r="J89" s="25" t="str">
        <f>'2.1. DM'!J89</f>
        <v>Senna pallida</v>
      </c>
      <c r="K89" s="25" t="str">
        <f>'2.1. DM'!K89</f>
        <v>Fabaceae</v>
      </c>
      <c r="L89" s="25" t="str">
        <f>'2.1. DM'!L89</f>
        <v>Fabales</v>
      </c>
      <c r="M89" s="25" t="str">
        <f>'2.1. DM'!M89</f>
        <v>Tree</v>
      </c>
      <c r="N89" s="25" t="str">
        <f>'2.1. DM'!N89</f>
        <v>60,61, 62</v>
      </c>
      <c r="O89" s="25" t="str">
        <f>'2.1. DM'!O89</f>
        <v>OT-010</v>
      </c>
      <c r="P89" s="22" t="s">
        <v>495</v>
      </c>
      <c r="Q89" s="23">
        <v>51.627724551084462</v>
      </c>
      <c r="R89" s="341">
        <f>AVERAGE('2.4 NDF'!Q89:Q90)</f>
        <v>53.359798856375477</v>
      </c>
    </row>
    <row r="90" spans="2:18" x14ac:dyDescent="0.35">
      <c r="B90" s="25">
        <f>'2.1. DM'!B90</f>
        <v>80</v>
      </c>
      <c r="C90" s="21">
        <f>'2.1. DM'!C90</f>
        <v>46048</v>
      </c>
      <c r="D90" s="25" t="str">
        <f>'2.1. DM'!D90</f>
        <v>Genbank</v>
      </c>
      <c r="E90" s="25">
        <f>'2.1. DM'!E90</f>
        <v>28</v>
      </c>
      <c r="F90" s="25" t="str">
        <f>'2.1. DM'!F90</f>
        <v>F251764</v>
      </c>
      <c r="G90" s="25" t="str">
        <f>'2.1. DM'!G90</f>
        <v>CIAT-20788</v>
      </c>
      <c r="H90" s="25" t="str">
        <f>'2.1. DM'!H90</f>
        <v>Senna</v>
      </c>
      <c r="I90" s="25" t="str">
        <f>'2.1. DM'!I90</f>
        <v>pallida</v>
      </c>
      <c r="J90" s="25" t="str">
        <f>'2.1. DM'!J90</f>
        <v>Senna pallida</v>
      </c>
      <c r="K90" s="25" t="str">
        <f>'2.1. DM'!K90</f>
        <v>Fabaceae</v>
      </c>
      <c r="L90" s="25" t="str">
        <f>'2.1. DM'!L90</f>
        <v>Fabales</v>
      </c>
      <c r="M90" s="25" t="str">
        <f>'2.1. DM'!M90</f>
        <v>Tree</v>
      </c>
      <c r="N90" s="25" t="str">
        <f>'2.1. DM'!N90</f>
        <v>60,61, 62</v>
      </c>
      <c r="O90" s="25" t="str">
        <f>'2.1. DM'!O90</f>
        <v>OT-010</v>
      </c>
      <c r="P90" s="19" t="s">
        <v>496</v>
      </c>
      <c r="Q90" s="23">
        <v>55.091873161666491</v>
      </c>
      <c r="R90" s="341"/>
    </row>
    <row r="91" spans="2:18" x14ac:dyDescent="0.35">
      <c r="B91" s="25">
        <f>'2.1. DM'!B91</f>
        <v>81</v>
      </c>
      <c r="C91" s="21">
        <f>'2.1. DM'!C91</f>
        <v>46048</v>
      </c>
      <c r="D91" s="25" t="str">
        <f>'2.1. DM'!D91</f>
        <v>Genbank</v>
      </c>
      <c r="E91" s="25">
        <f>'2.1. DM'!E91</f>
        <v>28</v>
      </c>
      <c r="F91" s="25" t="str">
        <f>'2.1. DM'!F91</f>
        <v>F251765</v>
      </c>
      <c r="G91" s="25" t="str">
        <f>'2.1. DM'!G91</f>
        <v>CIAT-21242</v>
      </c>
      <c r="H91" s="25" t="str">
        <f>'2.1. DM'!H91</f>
        <v>Leucaena</v>
      </c>
      <c r="I91" s="25" t="str">
        <f>'2.1. DM'!I91</f>
        <v>diversifolia</v>
      </c>
      <c r="J91" s="25" t="str">
        <f>'2.1. DM'!J91</f>
        <v>Leucaena diversifolia</v>
      </c>
      <c r="K91" s="25" t="str">
        <f>'2.1. DM'!K91</f>
        <v>Fabaceae</v>
      </c>
      <c r="L91" s="25" t="str">
        <f>'2.1. DM'!L91</f>
        <v>Fabales</v>
      </c>
      <c r="M91" s="25" t="str">
        <f>'2.1. DM'!M91</f>
        <v>Tree</v>
      </c>
      <c r="N91" s="25" t="str">
        <f>'2.1. DM'!N91</f>
        <v>60,61, 62</v>
      </c>
      <c r="O91" s="25" t="str">
        <f>'2.1. DM'!O91</f>
        <v>OT-010</v>
      </c>
      <c r="P91" s="22" t="s">
        <v>495</v>
      </c>
      <c r="Q91" s="23">
        <v>62.131081946980395</v>
      </c>
      <c r="R91" s="341">
        <f>AVERAGE('2.4 NDF'!Q91:Q92)</f>
        <v>63.442286618715443</v>
      </c>
    </row>
    <row r="92" spans="2:18" x14ac:dyDescent="0.35">
      <c r="B92" s="25">
        <f>'2.1. DM'!B92</f>
        <v>82</v>
      </c>
      <c r="C92" s="21">
        <f>'2.1. DM'!C92</f>
        <v>46048</v>
      </c>
      <c r="D92" s="25" t="str">
        <f>'2.1. DM'!D92</f>
        <v>Genbank</v>
      </c>
      <c r="E92" s="25">
        <f>'2.1. DM'!E92</f>
        <v>28</v>
      </c>
      <c r="F92" s="25" t="str">
        <f>'2.1. DM'!F92</f>
        <v>F251765</v>
      </c>
      <c r="G92" s="25" t="str">
        <f>'2.1. DM'!G92</f>
        <v>CIAT-21242</v>
      </c>
      <c r="H92" s="25" t="str">
        <f>'2.1. DM'!H92</f>
        <v>Leucaena</v>
      </c>
      <c r="I92" s="25" t="str">
        <f>'2.1. DM'!I92</f>
        <v>diversifolia</v>
      </c>
      <c r="J92" s="25" t="str">
        <f>'2.1. DM'!J92</f>
        <v>Leucaena diversifolia</v>
      </c>
      <c r="K92" s="25" t="str">
        <f>'2.1. DM'!K92</f>
        <v>Fabaceae</v>
      </c>
      <c r="L92" s="25" t="str">
        <f>'2.1. DM'!L92</f>
        <v>Fabales</v>
      </c>
      <c r="M92" s="25" t="str">
        <f>'2.1. DM'!M92</f>
        <v>Tree</v>
      </c>
      <c r="N92" s="25" t="str">
        <f>'2.1. DM'!N92</f>
        <v>60,61, 62</v>
      </c>
      <c r="O92" s="25" t="str">
        <f>'2.1. DM'!O92</f>
        <v>OT-010</v>
      </c>
      <c r="P92" s="19" t="s">
        <v>496</v>
      </c>
      <c r="Q92" s="23">
        <v>64.753491290450498</v>
      </c>
      <c r="R92" s="341"/>
    </row>
    <row r="93" spans="2:18" x14ac:dyDescent="0.35">
      <c r="B93" s="25">
        <f>'2.1. DM'!B93</f>
        <v>83</v>
      </c>
      <c r="C93" s="21">
        <f>'2.1. DM'!C93</f>
        <v>46048</v>
      </c>
      <c r="D93" s="25" t="str">
        <f>'2.1. DM'!D93</f>
        <v>Genbank</v>
      </c>
      <c r="E93" s="25">
        <f>'2.1. DM'!E93</f>
        <v>28</v>
      </c>
      <c r="F93" s="25" t="str">
        <f>'2.1. DM'!F93</f>
        <v>F251766</v>
      </c>
      <c r="G93" s="25" t="str">
        <f>'2.1. DM'!G93</f>
        <v>CIAT-21512</v>
      </c>
      <c r="H93" s="25" t="str">
        <f>'2.1. DM'!H93</f>
        <v>Calliandra</v>
      </c>
      <c r="I93" s="25" t="str">
        <f>'2.1. DM'!I93</f>
        <v>calothyrsus</v>
      </c>
      <c r="J93" s="25" t="str">
        <f>'2.1. DM'!J93</f>
        <v>Calliandra calothyrsus</v>
      </c>
      <c r="K93" s="25" t="str">
        <f>'2.1. DM'!K93</f>
        <v>Fabaceae</v>
      </c>
      <c r="L93" s="25" t="str">
        <f>'2.1. DM'!L93</f>
        <v>Fabales</v>
      </c>
      <c r="M93" s="25" t="str">
        <f>'2.1. DM'!M93</f>
        <v>Tree</v>
      </c>
      <c r="N93" s="25" t="str">
        <f>'2.1. DM'!N93</f>
        <v>60,61, 62</v>
      </c>
      <c r="O93" s="25" t="str">
        <f>'2.1. DM'!O93</f>
        <v>OT-010</v>
      </c>
      <c r="P93" s="22" t="s">
        <v>495</v>
      </c>
      <c r="Q93" s="23">
        <v>53.944792947348517</v>
      </c>
      <c r="R93" s="341">
        <f>AVERAGE('2.4 NDF'!Q93:Q94)</f>
        <v>53.365985932635361</v>
      </c>
    </row>
    <row r="94" spans="2:18" x14ac:dyDescent="0.35">
      <c r="B94" s="25">
        <f>'2.1. DM'!B94</f>
        <v>84</v>
      </c>
      <c r="C94" s="21">
        <f>'2.1. DM'!C94</f>
        <v>46048</v>
      </c>
      <c r="D94" s="25" t="str">
        <f>'2.1. DM'!D94</f>
        <v>Genbank</v>
      </c>
      <c r="E94" s="25">
        <f>'2.1. DM'!E94</f>
        <v>28</v>
      </c>
      <c r="F94" s="25" t="str">
        <f>'2.1. DM'!F94</f>
        <v>F251766</v>
      </c>
      <c r="G94" s="25" t="str">
        <f>'2.1. DM'!G94</f>
        <v>CIAT-21512</v>
      </c>
      <c r="H94" s="25" t="str">
        <f>'2.1. DM'!H94</f>
        <v>Calliandra</v>
      </c>
      <c r="I94" s="25" t="str">
        <f>'2.1. DM'!I94</f>
        <v>calothyrsus</v>
      </c>
      <c r="J94" s="25" t="str">
        <f>'2.1. DM'!J94</f>
        <v>Calliandra calothyrsus</v>
      </c>
      <c r="K94" s="25" t="str">
        <f>'2.1. DM'!K94</f>
        <v>Fabaceae</v>
      </c>
      <c r="L94" s="25" t="str">
        <f>'2.1. DM'!L94</f>
        <v>Fabales</v>
      </c>
      <c r="M94" s="25" t="str">
        <f>'2.1. DM'!M94</f>
        <v>Tree</v>
      </c>
      <c r="N94" s="25" t="str">
        <f>'2.1. DM'!N94</f>
        <v>60,61, 62</v>
      </c>
      <c r="O94" s="25" t="str">
        <f>'2.1. DM'!O94</f>
        <v>OT-010</v>
      </c>
      <c r="P94" s="19" t="s">
        <v>496</v>
      </c>
      <c r="Q94" s="23">
        <v>52.787178917922205</v>
      </c>
      <c r="R94" s="341"/>
    </row>
    <row r="95" spans="2:18" x14ac:dyDescent="0.35">
      <c r="B95" s="25">
        <f>'2.1. DM'!B95</f>
        <v>85</v>
      </c>
      <c r="C95" s="21">
        <f>'2.1. DM'!C95</f>
        <v>46048</v>
      </c>
      <c r="D95" s="25" t="str">
        <f>'2.1. DM'!D95</f>
        <v>Genbank</v>
      </c>
      <c r="E95" s="25">
        <f>'2.1. DM'!E95</f>
        <v>28</v>
      </c>
      <c r="F95" s="25" t="str">
        <f>'2.1. DM'!F95</f>
        <v>F251767</v>
      </c>
      <c r="G95" s="25" t="str">
        <f>'2.1. DM'!G95</f>
        <v>CIAT-21601</v>
      </c>
      <c r="H95" s="25" t="str">
        <f>'2.1. DM'!H95</f>
        <v>Erythrina</v>
      </c>
      <c r="I95" s="25" t="str">
        <f>'2.1. DM'!I95</f>
        <v>fusca</v>
      </c>
      <c r="J95" s="25" t="str">
        <f>'2.1. DM'!J95</f>
        <v>Erythrina fusca</v>
      </c>
      <c r="K95" s="25" t="str">
        <f>'2.1. DM'!K95</f>
        <v>Fabaceae</v>
      </c>
      <c r="L95" s="25" t="str">
        <f>'2.1. DM'!L95</f>
        <v>Fabales</v>
      </c>
      <c r="M95" s="25" t="str">
        <f>'2.1. DM'!M95</f>
        <v>Tree</v>
      </c>
      <c r="N95" s="25" t="str">
        <f>'2.1. DM'!N95</f>
        <v>60,61, 62</v>
      </c>
      <c r="O95" s="25" t="str">
        <f>'2.1. DM'!O95</f>
        <v>OT-010</v>
      </c>
      <c r="P95" s="22" t="s">
        <v>495</v>
      </c>
      <c r="Q95" s="23">
        <v>66.494912614177963</v>
      </c>
      <c r="R95" s="341">
        <f>AVERAGE('2.4 NDF'!Q95:Q96)</f>
        <v>68.49120539917746</v>
      </c>
    </row>
    <row r="96" spans="2:18" x14ac:dyDescent="0.35">
      <c r="B96" s="25">
        <f>'2.1. DM'!B96</f>
        <v>86</v>
      </c>
      <c r="C96" s="21">
        <f>'2.1. DM'!C96</f>
        <v>46048</v>
      </c>
      <c r="D96" s="25" t="str">
        <f>'2.1. DM'!D96</f>
        <v>Genbank</v>
      </c>
      <c r="E96" s="25">
        <f>'2.1. DM'!E96</f>
        <v>28</v>
      </c>
      <c r="F96" s="25" t="str">
        <f>'2.1. DM'!F96</f>
        <v>F251767</v>
      </c>
      <c r="G96" s="25" t="str">
        <f>'2.1. DM'!G96</f>
        <v>CIAT-21601</v>
      </c>
      <c r="H96" s="25" t="str">
        <f>'2.1. DM'!H96</f>
        <v>Erythrina</v>
      </c>
      <c r="I96" s="25" t="str">
        <f>'2.1. DM'!I96</f>
        <v>fusca</v>
      </c>
      <c r="J96" s="25" t="str">
        <f>'2.1. DM'!J96</f>
        <v>Erythrina fusca</v>
      </c>
      <c r="K96" s="25" t="str">
        <f>'2.1. DM'!K96</f>
        <v>Fabaceae</v>
      </c>
      <c r="L96" s="25" t="str">
        <f>'2.1. DM'!L96</f>
        <v>Fabales</v>
      </c>
      <c r="M96" s="25" t="str">
        <f>'2.1. DM'!M96</f>
        <v>Tree</v>
      </c>
      <c r="N96" s="25" t="str">
        <f>'2.1. DM'!N96</f>
        <v>60,61, 62</v>
      </c>
      <c r="O96" s="25" t="str">
        <f>'2.1. DM'!O96</f>
        <v>OT-010</v>
      </c>
      <c r="P96" s="19" t="s">
        <v>496</v>
      </c>
      <c r="Q96" s="23">
        <v>70.487498184176971</v>
      </c>
      <c r="R96" s="341"/>
    </row>
    <row r="97" spans="2:18" x14ac:dyDescent="0.35">
      <c r="B97" s="25">
        <f>'2.1. DM'!B97</f>
        <v>87</v>
      </c>
      <c r="C97" s="21">
        <f>'2.1. DM'!C97</f>
        <v>46048</v>
      </c>
      <c r="D97" s="25" t="str">
        <f>'2.1. DM'!D97</f>
        <v>Genbank</v>
      </c>
      <c r="E97" s="25">
        <f>'2.1. DM'!E97</f>
        <v>28</v>
      </c>
      <c r="F97" s="25" t="str">
        <f>'2.1. DM'!F97</f>
        <v>F251768</v>
      </c>
      <c r="G97" s="25" t="str">
        <f>'2.1. DM'!G97</f>
        <v>CIAT-21809</v>
      </c>
      <c r="H97" s="25" t="str">
        <f>'2.1. DM'!H97</f>
        <v>Acacia</v>
      </c>
      <c r="I97" s="25" t="str">
        <f>'2.1. DM'!I97</f>
        <v>farnesiana</v>
      </c>
      <c r="J97" s="25" t="str">
        <f>'2.1. DM'!J97</f>
        <v>Acacia farnesiana</v>
      </c>
      <c r="K97" s="25" t="str">
        <f>'2.1. DM'!K97</f>
        <v>Fabaceae</v>
      </c>
      <c r="L97" s="25" t="str">
        <f>'2.1. DM'!L97</f>
        <v>Fabales</v>
      </c>
      <c r="M97" s="25" t="str">
        <f>'2.1. DM'!M97</f>
        <v>Tree</v>
      </c>
      <c r="N97" s="25" t="str">
        <f>'2.1. DM'!N97</f>
        <v>60,61, 62</v>
      </c>
      <c r="O97" s="25" t="str">
        <f>'2.1. DM'!O97</f>
        <v>OT-010</v>
      </c>
      <c r="P97" s="22" t="s">
        <v>495</v>
      </c>
      <c r="Q97" s="23">
        <v>60.947002218630587</v>
      </c>
      <c r="R97" s="341">
        <f>AVERAGE('2.4 NDF'!Q97:Q98)</f>
        <v>62.843660253980993</v>
      </c>
    </row>
    <row r="98" spans="2:18" x14ac:dyDescent="0.35">
      <c r="B98" s="25">
        <f>'2.1. DM'!B98</f>
        <v>88</v>
      </c>
      <c r="C98" s="21">
        <f>'2.1. DM'!C98</f>
        <v>46048</v>
      </c>
      <c r="D98" s="25" t="str">
        <f>'2.1. DM'!D98</f>
        <v>Genbank</v>
      </c>
      <c r="E98" s="25">
        <f>'2.1. DM'!E98</f>
        <v>28</v>
      </c>
      <c r="F98" s="25" t="str">
        <f>'2.1. DM'!F98</f>
        <v>F251768</v>
      </c>
      <c r="G98" s="25" t="str">
        <f>'2.1. DM'!G98</f>
        <v>CIAT-21809</v>
      </c>
      <c r="H98" s="25" t="str">
        <f>'2.1. DM'!H98</f>
        <v>Acacia</v>
      </c>
      <c r="I98" s="25" t="str">
        <f>'2.1. DM'!I98</f>
        <v>farnesiana</v>
      </c>
      <c r="J98" s="25" t="str">
        <f>'2.1. DM'!J98</f>
        <v>Acacia farnesiana</v>
      </c>
      <c r="K98" s="25" t="str">
        <f>'2.1. DM'!K98</f>
        <v>Fabaceae</v>
      </c>
      <c r="L98" s="25" t="str">
        <f>'2.1. DM'!L98</f>
        <v>Fabales</v>
      </c>
      <c r="M98" s="25" t="str">
        <f>'2.1. DM'!M98</f>
        <v>Tree</v>
      </c>
      <c r="N98" s="25" t="str">
        <f>'2.1. DM'!N98</f>
        <v>60,61, 62</v>
      </c>
      <c r="O98" s="25" t="str">
        <f>'2.1. DM'!O98</f>
        <v>OT-010</v>
      </c>
      <c r="P98" s="19" t="s">
        <v>496</v>
      </c>
      <c r="Q98" s="23">
        <v>64.740318289331398</v>
      </c>
      <c r="R98" s="341"/>
    </row>
    <row r="99" spans="2:18" x14ac:dyDescent="0.35">
      <c r="B99" s="25">
        <f>'2.1. DM'!B99</f>
        <v>89</v>
      </c>
      <c r="C99" s="21">
        <f>'2.1. DM'!C99</f>
        <v>46048</v>
      </c>
      <c r="D99" s="25" t="str">
        <f>'2.1. DM'!D99</f>
        <v>Genbank</v>
      </c>
      <c r="E99" s="25">
        <f>'2.1. DM'!E99</f>
        <v>28</v>
      </c>
      <c r="F99" s="25" t="str">
        <f>'2.1. DM'!F99</f>
        <v>F251769</v>
      </c>
      <c r="G99" s="25" t="str">
        <f>'2.1. DM'!G99</f>
        <v>CIAT-21810</v>
      </c>
      <c r="H99" s="25" t="str">
        <f>'2.1. DM'!H99</f>
        <v>Acacia</v>
      </c>
      <c r="I99" s="25" t="str">
        <f>'2.1. DM'!I99</f>
        <v>angustissima</v>
      </c>
      <c r="J99" s="25" t="str">
        <f>'2.1. DM'!J99</f>
        <v>Acacia angustissima</v>
      </c>
      <c r="K99" s="25" t="str">
        <f>'2.1. DM'!K99</f>
        <v>Fabaceae</v>
      </c>
      <c r="L99" s="25" t="str">
        <f>'2.1. DM'!L99</f>
        <v>Fabales</v>
      </c>
      <c r="M99" s="25" t="str">
        <f>'2.1. DM'!M99</f>
        <v>Tree</v>
      </c>
      <c r="N99" s="25" t="str">
        <f>'2.1. DM'!N99</f>
        <v>60,61, 62</v>
      </c>
      <c r="O99" s="25" t="str">
        <f>'2.1. DM'!O99</f>
        <v>OT-010</v>
      </c>
      <c r="P99" s="22" t="s">
        <v>495</v>
      </c>
      <c r="Q99" s="23">
        <v>51.000591530609675</v>
      </c>
      <c r="R99" s="341">
        <f>AVERAGE('2.4 NDF'!Q99:Q100)</f>
        <v>52.367564391607942</v>
      </c>
    </row>
    <row r="100" spans="2:18" x14ac:dyDescent="0.35">
      <c r="B100" s="25">
        <f>'2.1. DM'!B100</f>
        <v>90</v>
      </c>
      <c r="C100" s="21">
        <f>'2.1. DM'!C100</f>
        <v>46048</v>
      </c>
      <c r="D100" s="25" t="str">
        <f>'2.1. DM'!D100</f>
        <v>Genbank</v>
      </c>
      <c r="E100" s="25">
        <f>'2.1. DM'!E100</f>
        <v>28</v>
      </c>
      <c r="F100" s="25" t="str">
        <f>'2.1. DM'!F100</f>
        <v>F251769</v>
      </c>
      <c r="G100" s="25" t="str">
        <f>'2.1. DM'!G100</f>
        <v>CIAT-21810</v>
      </c>
      <c r="H100" s="25" t="str">
        <f>'2.1. DM'!H100</f>
        <v>Acacia</v>
      </c>
      <c r="I100" s="25" t="str">
        <f>'2.1. DM'!I100</f>
        <v>angustissima</v>
      </c>
      <c r="J100" s="25" t="str">
        <f>'2.1. DM'!J100</f>
        <v>Acacia angustissima</v>
      </c>
      <c r="K100" s="25" t="str">
        <f>'2.1. DM'!K100</f>
        <v>Fabaceae</v>
      </c>
      <c r="L100" s="25" t="str">
        <f>'2.1. DM'!L100</f>
        <v>Fabales</v>
      </c>
      <c r="M100" s="25" t="str">
        <f>'2.1. DM'!M100</f>
        <v>Tree</v>
      </c>
      <c r="N100" s="25" t="str">
        <f>'2.1. DM'!N100</f>
        <v>60,61, 62</v>
      </c>
      <c r="O100" s="25" t="str">
        <f>'2.1. DM'!O100</f>
        <v>OT-010</v>
      </c>
      <c r="P100" s="19" t="s">
        <v>496</v>
      </c>
      <c r="Q100" s="23">
        <v>53.734537252606216</v>
      </c>
      <c r="R100" s="341"/>
    </row>
    <row r="101" spans="2:18" x14ac:dyDescent="0.35">
      <c r="B101" s="25">
        <f>'2.1. DM'!B101</f>
        <v>91</v>
      </c>
      <c r="C101" s="21">
        <f>'2.1. DM'!C101</f>
        <v>46048</v>
      </c>
      <c r="D101" s="25" t="str">
        <f>'2.1. DM'!D101</f>
        <v>Genbank</v>
      </c>
      <c r="E101" s="25">
        <f>'2.1. DM'!E101</f>
        <v>28</v>
      </c>
      <c r="F101" s="25" t="str">
        <f>'2.1. DM'!F101</f>
        <v>F251770</v>
      </c>
      <c r="G101" s="25" t="str">
        <f>'2.1. DM'!G101</f>
        <v>CIAT-21888</v>
      </c>
      <c r="H101" s="25" t="str">
        <f>'2.1. DM'!H101</f>
        <v>Leucaena</v>
      </c>
      <c r="I101" s="25" t="str">
        <f>'2.1. DM'!I101</f>
        <v>leucocephala</v>
      </c>
      <c r="J101" s="25" t="str">
        <f>'2.1. DM'!J101</f>
        <v>Leucaena leucocephala</v>
      </c>
      <c r="K101" s="25" t="str">
        <f>'2.1. DM'!K101</f>
        <v>Fabaceae</v>
      </c>
      <c r="L101" s="25" t="str">
        <f>'2.1. DM'!L101</f>
        <v>Fabales</v>
      </c>
      <c r="M101" s="25" t="str">
        <f>'2.1. DM'!M101</f>
        <v>Tree</v>
      </c>
      <c r="N101" s="25" t="str">
        <f>'2.1. DM'!N101</f>
        <v>60,61, 62</v>
      </c>
      <c r="O101" s="25" t="str">
        <f>'2.1. DM'!O101</f>
        <v>OT-010</v>
      </c>
      <c r="P101" s="22" t="s">
        <v>495</v>
      </c>
      <c r="Q101" s="23">
        <v>55.750866195741125</v>
      </c>
      <c r="R101" s="341">
        <f>AVERAGE('2.4 NDF'!Q101:Q102)</f>
        <v>56.665999706722936</v>
      </c>
    </row>
    <row r="102" spans="2:18" x14ac:dyDescent="0.35">
      <c r="B102" s="25">
        <f>'2.1. DM'!B102</f>
        <v>92</v>
      </c>
      <c r="C102" s="21">
        <f>'2.1. DM'!C102</f>
        <v>46048</v>
      </c>
      <c r="D102" s="25" t="str">
        <f>'2.1. DM'!D102</f>
        <v>Genbank</v>
      </c>
      <c r="E102" s="25">
        <f>'2.1. DM'!E102</f>
        <v>28</v>
      </c>
      <c r="F102" s="25" t="str">
        <f>'2.1. DM'!F102</f>
        <v>F251770</v>
      </c>
      <c r="G102" s="25" t="str">
        <f>'2.1. DM'!G102</f>
        <v>CIAT-21888</v>
      </c>
      <c r="H102" s="25" t="str">
        <f>'2.1. DM'!H102</f>
        <v>Leucaena</v>
      </c>
      <c r="I102" s="25" t="str">
        <f>'2.1. DM'!I102</f>
        <v>leucocephala</v>
      </c>
      <c r="J102" s="25" t="str">
        <f>'2.1. DM'!J102</f>
        <v>Leucaena leucocephala</v>
      </c>
      <c r="K102" s="25" t="str">
        <f>'2.1. DM'!K102</f>
        <v>Fabaceae</v>
      </c>
      <c r="L102" s="25" t="str">
        <f>'2.1. DM'!L102</f>
        <v>Fabales</v>
      </c>
      <c r="M102" s="25" t="str">
        <f>'2.1. DM'!M102</f>
        <v>Tree</v>
      </c>
      <c r="N102" s="25" t="str">
        <f>'2.1. DM'!N102</f>
        <v>60,61, 62</v>
      </c>
      <c r="O102" s="25" t="str">
        <f>'2.1. DM'!O102</f>
        <v>OT-010</v>
      </c>
      <c r="P102" s="19" t="s">
        <v>496</v>
      </c>
      <c r="Q102" s="23">
        <v>57.581133217704746</v>
      </c>
      <c r="R102" s="341"/>
    </row>
    <row r="103" spans="2:18" x14ac:dyDescent="0.35">
      <c r="B103" s="25">
        <f>'2.1. DM'!B103</f>
        <v>93</v>
      </c>
      <c r="C103" s="21">
        <f>'2.1. DM'!C103</f>
        <v>46048</v>
      </c>
      <c r="D103" s="25" t="str">
        <f>'2.1. DM'!D103</f>
        <v>Genbank</v>
      </c>
      <c r="E103" s="25">
        <f>'2.1. DM'!E103</f>
        <v>28</v>
      </c>
      <c r="F103" s="25" t="str">
        <f>'2.1. DM'!F103</f>
        <v>F251771</v>
      </c>
      <c r="G103" s="25" t="str">
        <f>'2.1. DM'!G103</f>
        <v>CIAT-22310</v>
      </c>
      <c r="H103" s="25" t="str">
        <f>'2.1. DM'!H103</f>
        <v>Calliandra</v>
      </c>
      <c r="I103" s="25" t="str">
        <f>'2.1. DM'!I103</f>
        <v>calothyrsus</v>
      </c>
      <c r="J103" s="25" t="str">
        <f>'2.1. DM'!J103</f>
        <v>Calliandra calothyrsus</v>
      </c>
      <c r="K103" s="25" t="str">
        <f>'2.1. DM'!K103</f>
        <v>Fabaceae</v>
      </c>
      <c r="L103" s="25" t="str">
        <f>'2.1. DM'!L103</f>
        <v>Fabales</v>
      </c>
      <c r="M103" s="25" t="str">
        <f>'2.1. DM'!M103</f>
        <v>Tree</v>
      </c>
      <c r="N103" s="25" t="str">
        <f>'2.1. DM'!N103</f>
        <v>60,61, 62</v>
      </c>
      <c r="O103" s="25" t="str">
        <f>'2.1. DM'!O103</f>
        <v>OT-010</v>
      </c>
      <c r="P103" s="22" t="s">
        <v>495</v>
      </c>
      <c r="Q103" s="23">
        <v>55.498507006340148</v>
      </c>
      <c r="R103" s="341">
        <f>AVERAGE('2.4 NDF'!Q103:Q104)</f>
        <v>55.002062343703003</v>
      </c>
    </row>
    <row r="104" spans="2:18" x14ac:dyDescent="0.35">
      <c r="B104" s="25">
        <f>'2.1. DM'!B104</f>
        <v>94</v>
      </c>
      <c r="C104" s="21">
        <f>'2.1. DM'!C104</f>
        <v>46048</v>
      </c>
      <c r="D104" s="25" t="str">
        <f>'2.1. DM'!D104</f>
        <v>Genbank</v>
      </c>
      <c r="E104" s="25">
        <f>'2.1. DM'!E104</f>
        <v>28</v>
      </c>
      <c r="F104" s="25" t="str">
        <f>'2.1. DM'!F104</f>
        <v>F251771</v>
      </c>
      <c r="G104" s="25" t="str">
        <f>'2.1. DM'!G104</f>
        <v>CIAT-22310</v>
      </c>
      <c r="H104" s="25" t="str">
        <f>'2.1. DM'!H104</f>
        <v>Calliandra</v>
      </c>
      <c r="I104" s="25" t="str">
        <f>'2.1. DM'!I104</f>
        <v>calothyrsus</v>
      </c>
      <c r="J104" s="25" t="str">
        <f>'2.1. DM'!J104</f>
        <v>Calliandra calothyrsus</v>
      </c>
      <c r="K104" s="25" t="str">
        <f>'2.1. DM'!K104</f>
        <v>Fabaceae</v>
      </c>
      <c r="L104" s="25" t="str">
        <f>'2.1. DM'!L104</f>
        <v>Fabales</v>
      </c>
      <c r="M104" s="25" t="str">
        <f>'2.1. DM'!M104</f>
        <v>Tree</v>
      </c>
      <c r="N104" s="25" t="str">
        <f>'2.1. DM'!N104</f>
        <v>60,61, 62</v>
      </c>
      <c r="O104" s="25" t="str">
        <f>'2.1. DM'!O104</f>
        <v>OT-010</v>
      </c>
      <c r="P104" s="19" t="s">
        <v>496</v>
      </c>
      <c r="Q104" s="23">
        <v>54.505617681065857</v>
      </c>
      <c r="R104" s="341"/>
    </row>
    <row r="105" spans="2:18" x14ac:dyDescent="0.35">
      <c r="B105" s="25">
        <f>'2.1. DM'!B105</f>
        <v>95</v>
      </c>
      <c r="C105" s="21">
        <f>'2.1. DM'!C105</f>
        <v>46048</v>
      </c>
      <c r="D105" s="25" t="str">
        <f>'2.1. DM'!D105</f>
        <v>Genbank</v>
      </c>
      <c r="E105" s="25">
        <f>'2.1. DM'!E105</f>
        <v>28</v>
      </c>
      <c r="F105" s="25" t="str">
        <f>'2.1. DM'!F105</f>
        <v>F251772</v>
      </c>
      <c r="G105" s="25" t="str">
        <f>'2.1. DM'!G105</f>
        <v>CIAT-22311</v>
      </c>
      <c r="H105" s="25" t="str">
        <f>'2.1. DM'!H105</f>
        <v>Calliandra</v>
      </c>
      <c r="I105" s="25" t="str">
        <f>'2.1. DM'!I105</f>
        <v>calothyrsus</v>
      </c>
      <c r="J105" s="25" t="str">
        <f>'2.1. DM'!J105</f>
        <v>Calliandra calothyrsus</v>
      </c>
      <c r="K105" s="25" t="str">
        <f>'2.1. DM'!K105</f>
        <v>Fabaceae</v>
      </c>
      <c r="L105" s="25" t="str">
        <f>'2.1. DM'!L105</f>
        <v>Fabales</v>
      </c>
      <c r="M105" s="25" t="str">
        <f>'2.1. DM'!M105</f>
        <v>Tree</v>
      </c>
      <c r="N105" s="25" t="str">
        <f>'2.1. DM'!N105</f>
        <v>60,61, 62</v>
      </c>
      <c r="O105" s="25" t="str">
        <f>'2.1. DM'!O105</f>
        <v>OT-010</v>
      </c>
      <c r="P105" s="22" t="s">
        <v>495</v>
      </c>
      <c r="Q105" s="23">
        <v>53.949428757435022</v>
      </c>
      <c r="R105" s="341">
        <f>AVERAGE('2.4 NDF'!Q105:Q106)</f>
        <v>54.929596136440743</v>
      </c>
    </row>
    <row r="106" spans="2:18" x14ac:dyDescent="0.35">
      <c r="B106" s="25">
        <f>'2.1. DM'!B106</f>
        <v>96</v>
      </c>
      <c r="C106" s="21">
        <f>'2.1. DM'!C106</f>
        <v>46048</v>
      </c>
      <c r="D106" s="25" t="str">
        <f>'2.1. DM'!D106</f>
        <v>Genbank</v>
      </c>
      <c r="E106" s="25">
        <f>'2.1. DM'!E106</f>
        <v>28</v>
      </c>
      <c r="F106" s="25" t="str">
        <f>'2.1. DM'!F106</f>
        <v>F251772</v>
      </c>
      <c r="G106" s="25" t="str">
        <f>'2.1. DM'!G106</f>
        <v>CIAT-22311</v>
      </c>
      <c r="H106" s="25" t="str">
        <f>'2.1. DM'!H106</f>
        <v>Calliandra</v>
      </c>
      <c r="I106" s="25" t="str">
        <f>'2.1. DM'!I106</f>
        <v>calothyrsus</v>
      </c>
      <c r="J106" s="25" t="str">
        <f>'2.1. DM'!J106</f>
        <v>Calliandra calothyrsus</v>
      </c>
      <c r="K106" s="25" t="str">
        <f>'2.1. DM'!K106</f>
        <v>Fabaceae</v>
      </c>
      <c r="L106" s="25" t="str">
        <f>'2.1. DM'!L106</f>
        <v>Fabales</v>
      </c>
      <c r="M106" s="25" t="str">
        <f>'2.1. DM'!M106</f>
        <v>Tree</v>
      </c>
      <c r="N106" s="25" t="str">
        <f>'2.1. DM'!N106</f>
        <v>60,61, 62</v>
      </c>
      <c r="O106" s="25" t="str">
        <f>'2.1. DM'!O106</f>
        <v>OT-010</v>
      </c>
      <c r="P106" s="19" t="s">
        <v>496</v>
      </c>
      <c r="Q106" s="23">
        <v>55.909763515446464</v>
      </c>
      <c r="R106" s="341"/>
    </row>
    <row r="107" spans="2:18" x14ac:dyDescent="0.35">
      <c r="B107" s="25">
        <f>'2.1. DM'!B107</f>
        <v>97</v>
      </c>
      <c r="C107" s="21">
        <f>'2.1. DM'!C107</f>
        <v>46048</v>
      </c>
      <c r="D107" s="25" t="str">
        <f>'2.1. DM'!D107</f>
        <v>Genbank</v>
      </c>
      <c r="E107" s="25">
        <f>'2.1. DM'!E107</f>
        <v>28</v>
      </c>
      <c r="F107" s="25" t="str">
        <f>'2.1. DM'!F107</f>
        <v>F251773</v>
      </c>
      <c r="G107" s="25" t="str">
        <f>'2.1. DM'!G107</f>
        <v>CIAT-22316</v>
      </c>
      <c r="H107" s="25" t="str">
        <f>'2.1. DM'!H107</f>
        <v>Calliandra</v>
      </c>
      <c r="I107" s="25" t="str">
        <f>'2.1. DM'!I107</f>
        <v>calothyrsus</v>
      </c>
      <c r="J107" s="25" t="str">
        <f>'2.1. DM'!J107</f>
        <v>Calliandra calothyrsus</v>
      </c>
      <c r="K107" s="25" t="str">
        <f>'2.1. DM'!K107</f>
        <v>Fabaceae</v>
      </c>
      <c r="L107" s="25" t="str">
        <f>'2.1. DM'!L107</f>
        <v>Fabales</v>
      </c>
      <c r="M107" s="25" t="str">
        <f>'2.1. DM'!M107</f>
        <v>Tree</v>
      </c>
      <c r="N107" s="25" t="str">
        <f>'2.1. DM'!N107</f>
        <v>60,61, 62</v>
      </c>
      <c r="O107" s="25" t="str">
        <f>'2.1. DM'!O107</f>
        <v>OT-010</v>
      </c>
      <c r="P107" s="22" t="s">
        <v>495</v>
      </c>
      <c r="Q107" s="75">
        <v>55.273655890587136</v>
      </c>
      <c r="R107" s="341">
        <f>AVERAGE('2.4 NDF'!Q107:Q108)</f>
        <v>54.356536443005112</v>
      </c>
    </row>
    <row r="108" spans="2:18" x14ac:dyDescent="0.35">
      <c r="B108" s="25">
        <f>'2.1. DM'!B108</f>
        <v>98</v>
      </c>
      <c r="C108" s="21">
        <f>'2.1. DM'!C108</f>
        <v>46048</v>
      </c>
      <c r="D108" s="25" t="str">
        <f>'2.1. DM'!D108</f>
        <v>Genbank</v>
      </c>
      <c r="E108" s="25">
        <f>'2.1. DM'!E108</f>
        <v>28</v>
      </c>
      <c r="F108" s="25" t="str">
        <f>'2.1. DM'!F108</f>
        <v>F251773</v>
      </c>
      <c r="G108" s="25" t="str">
        <f>'2.1. DM'!G108</f>
        <v>CIAT-22316</v>
      </c>
      <c r="H108" s="25" t="str">
        <f>'2.1. DM'!H108</f>
        <v>Calliandra</v>
      </c>
      <c r="I108" s="25" t="str">
        <f>'2.1. DM'!I108</f>
        <v>calothyrsus</v>
      </c>
      <c r="J108" s="25" t="str">
        <f>'2.1. DM'!J108</f>
        <v>Calliandra calothyrsus</v>
      </c>
      <c r="K108" s="25" t="str">
        <f>'2.1. DM'!K108</f>
        <v>Fabaceae</v>
      </c>
      <c r="L108" s="25" t="str">
        <f>'2.1. DM'!L108</f>
        <v>Fabales</v>
      </c>
      <c r="M108" s="25" t="str">
        <f>'2.1. DM'!M108</f>
        <v>Tree</v>
      </c>
      <c r="N108" s="25" t="str">
        <f>'2.1. DM'!N108</f>
        <v>60,61, 62</v>
      </c>
      <c r="O108" s="25" t="str">
        <f>'2.1. DM'!O108</f>
        <v>OT-010</v>
      </c>
      <c r="P108" s="19" t="s">
        <v>496</v>
      </c>
      <c r="Q108" s="75">
        <v>53.439416995423095</v>
      </c>
      <c r="R108" s="341"/>
    </row>
    <row r="109" spans="2:18" x14ac:dyDescent="0.35">
      <c r="B109" s="25">
        <f>'2.1. DM'!B109</f>
        <v>99</v>
      </c>
      <c r="C109" s="21">
        <f>'2.1. DM'!C109</f>
        <v>46048</v>
      </c>
      <c r="D109" s="25" t="str">
        <f>'2.1. DM'!D109</f>
        <v>Genbank</v>
      </c>
      <c r="E109" s="25">
        <f>'2.1. DM'!E109</f>
        <v>28</v>
      </c>
      <c r="F109" s="25" t="str">
        <f>'2.1. DM'!F109</f>
        <v>F251774</v>
      </c>
      <c r="G109" s="25" t="str">
        <f>'2.1. DM'!G109</f>
        <v>CIAT-23239</v>
      </c>
      <c r="H109" s="25" t="str">
        <f>'2.1. DM'!H109</f>
        <v>Dendrolobium</v>
      </c>
      <c r="I109" s="25" t="str">
        <f>'2.1. DM'!I109</f>
        <v>triangulare</v>
      </c>
      <c r="J109" s="25" t="str">
        <f>'2.1. DM'!J109</f>
        <v>Dendrolobium triangulare</v>
      </c>
      <c r="K109" s="25" t="str">
        <f>'2.1. DM'!K109</f>
        <v>Fabaceae</v>
      </c>
      <c r="L109" s="25" t="str">
        <f>'2.1. DM'!L109</f>
        <v>Fabales</v>
      </c>
      <c r="M109" s="25" t="str">
        <f>'2.1. DM'!M109</f>
        <v>Tree</v>
      </c>
      <c r="N109" s="25" t="str">
        <f>'2.1. DM'!N109</f>
        <v>60,61, 62</v>
      </c>
      <c r="O109" s="25" t="str">
        <f>'2.1. DM'!O109</f>
        <v>OT-010</v>
      </c>
      <c r="P109" s="22" t="s">
        <v>495</v>
      </c>
      <c r="Q109" s="75">
        <v>63.334187947945885</v>
      </c>
      <c r="R109" s="341">
        <f>AVERAGE('2.4 NDF'!Q109:Q110)</f>
        <v>65.193341233557703</v>
      </c>
    </row>
    <row r="110" spans="2:18" x14ac:dyDescent="0.35">
      <c r="B110" s="25">
        <f>'2.1. DM'!B110</f>
        <v>100</v>
      </c>
      <c r="C110" s="21">
        <f>'2.1. DM'!C110</f>
        <v>46048</v>
      </c>
      <c r="D110" s="25" t="str">
        <f>'2.1. DM'!D110</f>
        <v>Genbank</v>
      </c>
      <c r="E110" s="25">
        <f>'2.1. DM'!E110</f>
        <v>28</v>
      </c>
      <c r="F110" s="25" t="str">
        <f>'2.1. DM'!F110</f>
        <v>F251774</v>
      </c>
      <c r="G110" s="25" t="str">
        <f>'2.1. DM'!G110</f>
        <v>CIAT-23239</v>
      </c>
      <c r="H110" s="25" t="str">
        <f>'2.1. DM'!H110</f>
        <v>Dendrolobium</v>
      </c>
      <c r="I110" s="25" t="str">
        <f>'2.1. DM'!I110</f>
        <v>triangulare</v>
      </c>
      <c r="J110" s="25" t="str">
        <f>'2.1. DM'!J110</f>
        <v>Dendrolobium triangulare</v>
      </c>
      <c r="K110" s="25" t="str">
        <f>'2.1. DM'!K110</f>
        <v>Fabaceae</v>
      </c>
      <c r="L110" s="25" t="str">
        <f>'2.1. DM'!L110</f>
        <v>Fabales</v>
      </c>
      <c r="M110" s="25" t="str">
        <f>'2.1. DM'!M110</f>
        <v>Tree</v>
      </c>
      <c r="N110" s="25" t="str">
        <f>'2.1. DM'!N110</f>
        <v>60,61, 62</v>
      </c>
      <c r="O110" s="25" t="str">
        <f>'2.1. DM'!O110</f>
        <v>OT-010</v>
      </c>
      <c r="P110" s="19" t="s">
        <v>496</v>
      </c>
      <c r="Q110" s="75">
        <v>67.052494519169528</v>
      </c>
      <c r="R110" s="341"/>
    </row>
    <row r="111" spans="2:18" x14ac:dyDescent="0.35">
      <c r="B111" s="25">
        <f>'2.1. DM'!B111</f>
        <v>101</v>
      </c>
      <c r="C111" s="21">
        <f>'2.1. DM'!C111</f>
        <v>46048</v>
      </c>
      <c r="D111" s="25" t="str">
        <f>'2.1. DM'!D111</f>
        <v>Genbank</v>
      </c>
      <c r="E111" s="25">
        <f>'2.1. DM'!E111</f>
        <v>28</v>
      </c>
      <c r="F111" s="25" t="str">
        <f>'2.1. DM'!F111</f>
        <v>F251775</v>
      </c>
      <c r="G111" s="25" t="str">
        <f>'2.1. DM'!G111</f>
        <v>CIAT-33116</v>
      </c>
      <c r="H111" s="25" t="str">
        <f>'2.1. DM'!H111</f>
        <v>Dendrolobium</v>
      </c>
      <c r="I111" s="25" t="str">
        <f>'2.1. DM'!I111</f>
        <v>triangulare</v>
      </c>
      <c r="J111" s="25" t="str">
        <f>'2.1. DM'!J111</f>
        <v>Dendrolobium triangulare</v>
      </c>
      <c r="K111" s="25" t="str">
        <f>'2.1. DM'!K111</f>
        <v>Fabaceae</v>
      </c>
      <c r="L111" s="25" t="str">
        <f>'2.1. DM'!L111</f>
        <v>Fabales</v>
      </c>
      <c r="M111" s="25" t="str">
        <f>'2.1. DM'!M111</f>
        <v>Tree</v>
      </c>
      <c r="N111" s="25" t="str">
        <f>'2.1. DM'!N111</f>
        <v>60,61, 62</v>
      </c>
      <c r="O111" s="25" t="str">
        <f>'2.1. DM'!O111</f>
        <v>OT-010</v>
      </c>
      <c r="P111" s="22" t="s">
        <v>495</v>
      </c>
      <c r="Q111" s="75">
        <v>63.802127259625898</v>
      </c>
      <c r="R111" s="341">
        <f>AVERAGE('2.4 NDF'!Q111:Q112)</f>
        <v>65.172912856868038</v>
      </c>
    </row>
    <row r="112" spans="2:18" x14ac:dyDescent="0.35">
      <c r="B112" s="25">
        <f>'2.1. DM'!B112</f>
        <v>102</v>
      </c>
      <c r="C112" s="21">
        <f>'2.1. DM'!C112</f>
        <v>46048</v>
      </c>
      <c r="D112" s="25" t="str">
        <f>'2.1. DM'!D112</f>
        <v>Genbank</v>
      </c>
      <c r="E112" s="25">
        <f>'2.1. DM'!E112</f>
        <v>28</v>
      </c>
      <c r="F112" s="25" t="str">
        <f>'2.1. DM'!F112</f>
        <v>F251775</v>
      </c>
      <c r="G112" s="25" t="str">
        <f>'2.1. DM'!G112</f>
        <v>CIAT-33116</v>
      </c>
      <c r="H112" s="25" t="str">
        <f>'2.1. DM'!H112</f>
        <v>Dendrolobium</v>
      </c>
      <c r="I112" s="25" t="str">
        <f>'2.1. DM'!I112</f>
        <v>triangulare</v>
      </c>
      <c r="J112" s="25" t="str">
        <f>'2.1. DM'!J112</f>
        <v>Dendrolobium triangulare</v>
      </c>
      <c r="K112" s="25" t="str">
        <f>'2.1. DM'!K112</f>
        <v>Fabaceae</v>
      </c>
      <c r="L112" s="25" t="str">
        <f>'2.1. DM'!L112</f>
        <v>Fabales</v>
      </c>
      <c r="M112" s="25" t="str">
        <f>'2.1. DM'!M112</f>
        <v>Tree</v>
      </c>
      <c r="N112" s="25" t="str">
        <f>'2.1. DM'!N112</f>
        <v>60,61, 62</v>
      </c>
      <c r="O112" s="25" t="str">
        <f>'2.1. DM'!O112</f>
        <v>OT-010</v>
      </c>
      <c r="P112" s="19" t="s">
        <v>496</v>
      </c>
      <c r="Q112" s="75">
        <v>66.543698454110185</v>
      </c>
      <c r="R112" s="341"/>
    </row>
    <row r="113" spans="2:18" x14ac:dyDescent="0.35">
      <c r="B113" s="25">
        <f>'2.1. DM'!B113</f>
        <v>103</v>
      </c>
      <c r="C113" s="21">
        <f>'2.1. DM'!C113</f>
        <v>46048</v>
      </c>
      <c r="D113" s="25" t="str">
        <f>'2.1. DM'!D113</f>
        <v>Genbank</v>
      </c>
      <c r="E113" s="25">
        <f>'2.1. DM'!E113</f>
        <v>28</v>
      </c>
      <c r="F113" s="25" t="str">
        <f>'2.1. DM'!F113</f>
        <v>F252184</v>
      </c>
      <c r="G113" s="25" t="str">
        <f>'2.1. DM'!G113</f>
        <v>CIAT-BH22_0303</v>
      </c>
      <c r="H113" s="25" t="str">
        <f>'2.1. DM'!H113</f>
        <v>Urochloa</v>
      </c>
      <c r="I113" s="25" t="str">
        <f>'2.1. DM'!I113</f>
        <v>humidicola</v>
      </c>
      <c r="J113" s="25" t="str">
        <f>'2.1. DM'!J113</f>
        <v>Urochloa humidicola</v>
      </c>
      <c r="K113" s="25" t="str">
        <f>'2.1. DM'!K113</f>
        <v>Poaceae</v>
      </c>
      <c r="L113" s="25" t="str">
        <f>'2.1. DM'!L113</f>
        <v>Poales</v>
      </c>
      <c r="M113" s="25" t="str">
        <f>'2.1. DM'!M113</f>
        <v>grasses</v>
      </c>
      <c r="N113" s="25" t="str">
        <f>'2.1. DM'!N113</f>
        <v>60,61, 62</v>
      </c>
      <c r="O113" s="25" t="str">
        <f>'2.1. DM'!O113</f>
        <v>OT-021</v>
      </c>
      <c r="P113" s="22" t="s">
        <v>495</v>
      </c>
      <c r="Q113" s="75">
        <v>67.494819401815647</v>
      </c>
      <c r="R113" s="341">
        <f>AVERAGE('2.4 NDF'!Q113:Q114)</f>
        <v>68.076064265696189</v>
      </c>
    </row>
    <row r="114" spans="2:18" x14ac:dyDescent="0.35">
      <c r="B114" s="25">
        <f>'2.1. DM'!B114</f>
        <v>104</v>
      </c>
      <c r="C114" s="21">
        <f>'2.1. DM'!C114</f>
        <v>46048</v>
      </c>
      <c r="D114" s="25" t="str">
        <f>'2.1. DM'!D114</f>
        <v>Genbank</v>
      </c>
      <c r="E114" s="25">
        <f>'2.1. DM'!E114</f>
        <v>28</v>
      </c>
      <c r="F114" s="25" t="str">
        <f>'2.1. DM'!F114</f>
        <v>F252184</v>
      </c>
      <c r="G114" s="25" t="str">
        <f>'2.1. DM'!G114</f>
        <v>CIAT-BH22_0303</v>
      </c>
      <c r="H114" s="25" t="str">
        <f>'2.1. DM'!H114</f>
        <v>Urochloa</v>
      </c>
      <c r="I114" s="25" t="str">
        <f>'2.1. DM'!I114</f>
        <v>humidicola</v>
      </c>
      <c r="J114" s="25" t="str">
        <f>'2.1. DM'!J114</f>
        <v>Urochloa humidicola</v>
      </c>
      <c r="K114" s="25" t="str">
        <f>'2.1. DM'!K114</f>
        <v>Poaceae</v>
      </c>
      <c r="L114" s="25" t="str">
        <f>'2.1. DM'!L114</f>
        <v>Poales</v>
      </c>
      <c r="M114" s="25" t="str">
        <f>'2.1. DM'!M114</f>
        <v>grasses</v>
      </c>
      <c r="N114" s="25" t="str">
        <f>'2.1. DM'!N114</f>
        <v>60,61, 62</v>
      </c>
      <c r="O114" s="25" t="str">
        <f>'2.1. DM'!O114</f>
        <v>OT-021</v>
      </c>
      <c r="P114" s="19" t="s">
        <v>496</v>
      </c>
      <c r="Q114" s="75">
        <v>68.657309129576731</v>
      </c>
      <c r="R114" s="341"/>
    </row>
    <row r="115" spans="2:18" x14ac:dyDescent="0.35">
      <c r="B115" s="25">
        <f>'2.1. DM'!B115</f>
        <v>105</v>
      </c>
      <c r="C115" s="21">
        <f>'2.1. DM'!C115</f>
        <v>46048</v>
      </c>
      <c r="D115" s="25" t="str">
        <f>'2.1. DM'!D115</f>
        <v>Genbank</v>
      </c>
      <c r="E115" s="25">
        <f>'2.1. DM'!E115</f>
        <v>28</v>
      </c>
      <c r="F115" s="25" t="str">
        <f>'2.1. DM'!F115</f>
        <v>F252185</v>
      </c>
      <c r="G115" s="25" t="str">
        <f>'2.1. DM'!G115</f>
        <v>CIAT-BH22_1594</v>
      </c>
      <c r="H115" s="25" t="str">
        <f>'2.1. DM'!H115</f>
        <v>Urochloa</v>
      </c>
      <c r="I115" s="25" t="str">
        <f>'2.1. DM'!I115</f>
        <v>humidicola</v>
      </c>
      <c r="J115" s="25" t="str">
        <f>'2.1. DM'!J115</f>
        <v>Urochloa humidicola</v>
      </c>
      <c r="K115" s="25" t="str">
        <f>'2.1. DM'!K115</f>
        <v>Poaceae</v>
      </c>
      <c r="L115" s="25" t="str">
        <f>'2.1. DM'!L115</f>
        <v>Poales</v>
      </c>
      <c r="M115" s="25" t="str">
        <f>'2.1. DM'!M115</f>
        <v>grasses</v>
      </c>
      <c r="N115" s="25" t="str">
        <f>'2.1. DM'!N115</f>
        <v>60,61, 62</v>
      </c>
      <c r="O115" s="25" t="str">
        <f>'2.1. DM'!O115</f>
        <v>OT-021</v>
      </c>
      <c r="P115" s="22" t="s">
        <v>495</v>
      </c>
      <c r="Q115" s="75">
        <v>68.458326715153518</v>
      </c>
      <c r="R115" s="341">
        <f>AVERAGE('2.4 NDF'!Q115:Q116)</f>
        <v>68.315501691417495</v>
      </c>
    </row>
    <row r="116" spans="2:18" x14ac:dyDescent="0.35">
      <c r="B116" s="25">
        <f>'2.1. DM'!B116</f>
        <v>106</v>
      </c>
      <c r="C116" s="21">
        <f>'2.1. DM'!C116</f>
        <v>46048</v>
      </c>
      <c r="D116" s="25" t="str">
        <f>'2.1. DM'!D116</f>
        <v>Genbank</v>
      </c>
      <c r="E116" s="25">
        <f>'2.1. DM'!E116</f>
        <v>28</v>
      </c>
      <c r="F116" s="25" t="str">
        <f>'2.1. DM'!F116</f>
        <v>F252185</v>
      </c>
      <c r="G116" s="25" t="str">
        <f>'2.1. DM'!G116</f>
        <v>CIAT-BH22_1594</v>
      </c>
      <c r="H116" s="25" t="str">
        <f>'2.1. DM'!H116</f>
        <v>Urochloa</v>
      </c>
      <c r="I116" s="25" t="str">
        <f>'2.1. DM'!I116</f>
        <v>humidicola</v>
      </c>
      <c r="J116" s="25" t="str">
        <f>'2.1. DM'!J116</f>
        <v>Urochloa humidicola</v>
      </c>
      <c r="K116" s="25" t="str">
        <f>'2.1. DM'!K116</f>
        <v>Poaceae</v>
      </c>
      <c r="L116" s="25" t="str">
        <f>'2.1. DM'!L116</f>
        <v>Poales</v>
      </c>
      <c r="M116" s="25" t="str">
        <f>'2.1. DM'!M116</f>
        <v>grasses</v>
      </c>
      <c r="N116" s="25" t="str">
        <f>'2.1. DM'!N116</f>
        <v>60,61, 62</v>
      </c>
      <c r="O116" s="25" t="str">
        <f>'2.1. DM'!O116</f>
        <v>OT-021</v>
      </c>
      <c r="P116" s="19" t="s">
        <v>496</v>
      </c>
      <c r="Q116" s="75">
        <v>68.172676667681458</v>
      </c>
      <c r="R116" s="341"/>
    </row>
    <row r="117" spans="2:18" x14ac:dyDescent="0.35">
      <c r="B117" s="25">
        <f>'2.1. DM'!B117</f>
        <v>107</v>
      </c>
      <c r="C117" s="21">
        <f>'2.1. DM'!C117</f>
        <v>46048</v>
      </c>
      <c r="D117" s="25" t="str">
        <f>'2.1. DM'!D117</f>
        <v>Genbank</v>
      </c>
      <c r="E117" s="25">
        <f>'2.1. DM'!E117</f>
        <v>28</v>
      </c>
      <c r="F117" s="25" t="str">
        <f>'2.1. DM'!F117</f>
        <v>F252186</v>
      </c>
      <c r="G117" s="25" t="str">
        <f>'2.1. DM'!G117</f>
        <v>CIAT-BH22_0468</v>
      </c>
      <c r="H117" s="25" t="str">
        <f>'2.1. DM'!H117</f>
        <v>Urochloa</v>
      </c>
      <c r="I117" s="25" t="str">
        <f>'2.1. DM'!I117</f>
        <v>humidicola</v>
      </c>
      <c r="J117" s="25" t="str">
        <f>'2.1. DM'!J117</f>
        <v>Urochloa humidicola</v>
      </c>
      <c r="K117" s="25" t="str">
        <f>'2.1. DM'!K117</f>
        <v>Poaceae</v>
      </c>
      <c r="L117" s="25" t="str">
        <f>'2.1. DM'!L117</f>
        <v>Poales</v>
      </c>
      <c r="M117" s="25" t="str">
        <f>'2.1. DM'!M117</f>
        <v>grasses</v>
      </c>
      <c r="N117" s="25" t="str">
        <f>'2.1. DM'!N117</f>
        <v>60,61, 62</v>
      </c>
      <c r="O117" s="25" t="str">
        <f>'2.1. DM'!O117</f>
        <v>OT-021</v>
      </c>
      <c r="P117" s="22" t="s">
        <v>495</v>
      </c>
      <c r="Q117" s="75">
        <v>68.808187378370732</v>
      </c>
      <c r="R117" s="341">
        <f>AVERAGE('2.4 NDF'!Q117:Q118)</f>
        <v>67.843242890261195</v>
      </c>
    </row>
    <row r="118" spans="2:18" x14ac:dyDescent="0.35">
      <c r="B118" s="25">
        <f>'2.1. DM'!B118</f>
        <v>108</v>
      </c>
      <c r="C118" s="21">
        <f>'2.1. DM'!C118</f>
        <v>46048</v>
      </c>
      <c r="D118" s="25" t="str">
        <f>'2.1. DM'!D118</f>
        <v>Genbank</v>
      </c>
      <c r="E118" s="25">
        <f>'2.1. DM'!E118</f>
        <v>28</v>
      </c>
      <c r="F118" s="25" t="str">
        <f>'2.1. DM'!F118</f>
        <v>F252186</v>
      </c>
      <c r="G118" s="25" t="str">
        <f>'2.1. DM'!G118</f>
        <v>CIAT-BH22_0468</v>
      </c>
      <c r="H118" s="25" t="str">
        <f>'2.1. DM'!H118</f>
        <v>Urochloa</v>
      </c>
      <c r="I118" s="25" t="str">
        <f>'2.1. DM'!I118</f>
        <v>humidicola</v>
      </c>
      <c r="J118" s="25" t="str">
        <f>'2.1. DM'!J118</f>
        <v>Urochloa humidicola</v>
      </c>
      <c r="K118" s="25" t="str">
        <f>'2.1. DM'!K118</f>
        <v>Poaceae</v>
      </c>
      <c r="L118" s="25" t="str">
        <f>'2.1. DM'!L118</f>
        <v>Poales</v>
      </c>
      <c r="M118" s="25" t="str">
        <f>'2.1. DM'!M118</f>
        <v>grasses</v>
      </c>
      <c r="N118" s="25" t="str">
        <f>'2.1. DM'!N118</f>
        <v>60,61, 62</v>
      </c>
      <c r="O118" s="25" t="str">
        <f>'2.1. DM'!O118</f>
        <v>OT-021</v>
      </c>
      <c r="P118" s="19" t="s">
        <v>496</v>
      </c>
      <c r="Q118" s="75">
        <v>66.878298402151657</v>
      </c>
      <c r="R118" s="341"/>
    </row>
    <row r="119" spans="2:18" x14ac:dyDescent="0.35">
      <c r="B119" s="25">
        <f>'2.1. DM'!B119</f>
        <v>109</v>
      </c>
      <c r="C119" s="21">
        <f>'2.1. DM'!C119</f>
        <v>46048</v>
      </c>
      <c r="D119" s="25" t="str">
        <f>'2.1. DM'!D119</f>
        <v>Genbank</v>
      </c>
      <c r="E119" s="25">
        <f>'2.1. DM'!E119</f>
        <v>28</v>
      </c>
      <c r="F119" s="25" t="str">
        <f>'2.1. DM'!F119</f>
        <v>F252187</v>
      </c>
      <c r="G119" s="25" t="str">
        <f>'2.1. DM'!G119</f>
        <v>CIAT-BH22_3830</v>
      </c>
      <c r="H119" s="25" t="str">
        <f>'2.1. DM'!H119</f>
        <v>Urochloa</v>
      </c>
      <c r="I119" s="25" t="str">
        <f>'2.1. DM'!I119</f>
        <v>humidicola</v>
      </c>
      <c r="J119" s="25" t="str">
        <f>'2.1. DM'!J119</f>
        <v>Urochloa humidicola</v>
      </c>
      <c r="K119" s="25" t="str">
        <f>'2.1. DM'!K119</f>
        <v>Poaceae</v>
      </c>
      <c r="L119" s="25" t="str">
        <f>'2.1. DM'!L119</f>
        <v>Poales</v>
      </c>
      <c r="M119" s="25" t="str">
        <f>'2.1. DM'!M119</f>
        <v>grasses</v>
      </c>
      <c r="N119" s="25" t="str">
        <f>'2.1. DM'!N119</f>
        <v>60,61, 62</v>
      </c>
      <c r="O119" s="25" t="str">
        <f>'2.1. DM'!O119</f>
        <v>OT-021</v>
      </c>
      <c r="P119" s="22" t="s">
        <v>495</v>
      </c>
      <c r="Q119" s="75">
        <v>67.685964629115219</v>
      </c>
      <c r="R119" s="341">
        <f>AVERAGE('2.4 NDF'!Q119:Q120)</f>
        <v>67.428382820480209</v>
      </c>
    </row>
    <row r="120" spans="2:18" x14ac:dyDescent="0.35">
      <c r="B120" s="25">
        <f>'2.1. DM'!B120</f>
        <v>110</v>
      </c>
      <c r="C120" s="21">
        <f>'2.1. DM'!C120</f>
        <v>46048</v>
      </c>
      <c r="D120" s="25" t="str">
        <f>'2.1. DM'!D120</f>
        <v>Genbank</v>
      </c>
      <c r="E120" s="25">
        <f>'2.1. DM'!E120</f>
        <v>28</v>
      </c>
      <c r="F120" s="25" t="str">
        <f>'2.1. DM'!F120</f>
        <v>F252187</v>
      </c>
      <c r="G120" s="25" t="str">
        <f>'2.1. DM'!G120</f>
        <v>CIAT-BH22_3830</v>
      </c>
      <c r="H120" s="25" t="str">
        <f>'2.1. DM'!H120</f>
        <v>Urochloa</v>
      </c>
      <c r="I120" s="25" t="str">
        <f>'2.1. DM'!I120</f>
        <v>humidicola</v>
      </c>
      <c r="J120" s="25" t="str">
        <f>'2.1. DM'!J120</f>
        <v>Urochloa humidicola</v>
      </c>
      <c r="K120" s="25" t="str">
        <f>'2.1. DM'!K120</f>
        <v>Poaceae</v>
      </c>
      <c r="L120" s="25" t="str">
        <f>'2.1. DM'!L120</f>
        <v>Poales</v>
      </c>
      <c r="M120" s="25" t="str">
        <f>'2.1. DM'!M120</f>
        <v>grasses</v>
      </c>
      <c r="N120" s="25" t="str">
        <f>'2.1. DM'!N120</f>
        <v>60,61, 62</v>
      </c>
      <c r="O120" s="25" t="str">
        <f>'2.1. DM'!O120</f>
        <v>OT-021</v>
      </c>
      <c r="P120" s="19" t="s">
        <v>496</v>
      </c>
      <c r="Q120" s="75">
        <v>67.170801011845199</v>
      </c>
      <c r="R120" s="341"/>
    </row>
    <row r="121" spans="2:18" x14ac:dyDescent="0.35">
      <c r="B121" s="25">
        <f>'2.1. DM'!B121</f>
        <v>111</v>
      </c>
      <c r="C121" s="21">
        <f>'2.1. DM'!C121</f>
        <v>46048</v>
      </c>
      <c r="D121" s="25" t="str">
        <f>'2.1. DM'!D121</f>
        <v>Genbank</v>
      </c>
      <c r="E121" s="25">
        <f>'2.1. DM'!E121</f>
        <v>28</v>
      </c>
      <c r="F121" s="25" t="str">
        <f>'2.1. DM'!F121</f>
        <v>F252188</v>
      </c>
      <c r="G121" s="25" t="str">
        <f>'2.1. DM'!G121</f>
        <v>CIAT-BH22_1710</v>
      </c>
      <c r="H121" s="25" t="str">
        <f>'2.1. DM'!H121</f>
        <v>Urochloa</v>
      </c>
      <c r="I121" s="25" t="str">
        <f>'2.1. DM'!I121</f>
        <v>humidicola</v>
      </c>
      <c r="J121" s="25" t="str">
        <f>'2.1. DM'!J121</f>
        <v>Urochloa humidicola</v>
      </c>
      <c r="K121" s="25" t="str">
        <f>'2.1. DM'!K121</f>
        <v>Poaceae</v>
      </c>
      <c r="L121" s="25" t="str">
        <f>'2.1. DM'!L121</f>
        <v>Poales</v>
      </c>
      <c r="M121" s="25" t="str">
        <f>'2.1. DM'!M121</f>
        <v>grasses</v>
      </c>
      <c r="N121" s="25" t="str">
        <f>'2.1. DM'!N121</f>
        <v>60,61, 62</v>
      </c>
      <c r="O121" s="25" t="str">
        <f>'2.1. DM'!O121</f>
        <v>OT-021</v>
      </c>
      <c r="P121" s="22" t="s">
        <v>495</v>
      </c>
      <c r="Q121" s="75">
        <v>68.887836883293801</v>
      </c>
      <c r="R121" s="341">
        <f>AVERAGE('2.4 NDF'!Q121:Q122)</f>
        <v>69.391487181194748</v>
      </c>
    </row>
    <row r="122" spans="2:18" x14ac:dyDescent="0.35">
      <c r="B122" s="25">
        <f>'2.1. DM'!B122</f>
        <v>112</v>
      </c>
      <c r="C122" s="21">
        <f>'2.1. DM'!C122</f>
        <v>46048</v>
      </c>
      <c r="D122" s="25" t="str">
        <f>'2.1. DM'!D122</f>
        <v>Genbank</v>
      </c>
      <c r="E122" s="25">
        <f>'2.1. DM'!E122</f>
        <v>28</v>
      </c>
      <c r="F122" s="25" t="str">
        <f>'2.1. DM'!F122</f>
        <v>F252188</v>
      </c>
      <c r="G122" s="25" t="str">
        <f>'2.1. DM'!G122</f>
        <v>CIAT-BH22_1710</v>
      </c>
      <c r="H122" s="25" t="str">
        <f>'2.1. DM'!H122</f>
        <v>Urochloa</v>
      </c>
      <c r="I122" s="25" t="str">
        <f>'2.1. DM'!I122</f>
        <v>humidicola</v>
      </c>
      <c r="J122" s="25" t="str">
        <f>'2.1. DM'!J122</f>
        <v>Urochloa humidicola</v>
      </c>
      <c r="K122" s="25" t="str">
        <f>'2.1. DM'!K122</f>
        <v>Poaceae</v>
      </c>
      <c r="L122" s="25" t="str">
        <f>'2.1. DM'!L122</f>
        <v>Poales</v>
      </c>
      <c r="M122" s="25" t="str">
        <f>'2.1. DM'!M122</f>
        <v>grasses</v>
      </c>
      <c r="N122" s="25" t="str">
        <f>'2.1. DM'!N122</f>
        <v>60,61, 62</v>
      </c>
      <c r="O122" s="25" t="str">
        <f>'2.1. DM'!O122</f>
        <v>OT-021</v>
      </c>
      <c r="P122" s="19" t="s">
        <v>496</v>
      </c>
      <c r="Q122" s="75">
        <v>69.895137479095695</v>
      </c>
      <c r="R122" s="341"/>
    </row>
    <row r="123" spans="2:18" x14ac:dyDescent="0.35">
      <c r="B123" s="25">
        <f>'2.1. DM'!B123</f>
        <v>113</v>
      </c>
      <c r="C123" s="21">
        <f>'2.1. DM'!C123</f>
        <v>46048</v>
      </c>
      <c r="D123" s="25" t="str">
        <f>'2.1. DM'!D123</f>
        <v>Genbank</v>
      </c>
      <c r="E123" s="25">
        <f>'2.1. DM'!E123</f>
        <v>28</v>
      </c>
      <c r="F123" s="25" t="str">
        <f>'2.1. DM'!F123</f>
        <v>F252189</v>
      </c>
      <c r="G123" s="25" t="str">
        <f>'2.1. DM'!G123</f>
        <v>CIAT-BH22_2365</v>
      </c>
      <c r="H123" s="25" t="str">
        <f>'2.1. DM'!H123</f>
        <v>Urochloa</v>
      </c>
      <c r="I123" s="25" t="str">
        <f>'2.1. DM'!I123</f>
        <v>humidicola</v>
      </c>
      <c r="J123" s="25" t="str">
        <f>'2.1. DM'!J123</f>
        <v>Urochloa humidicola</v>
      </c>
      <c r="K123" s="25" t="str">
        <f>'2.1. DM'!K123</f>
        <v>Poaceae</v>
      </c>
      <c r="L123" s="25" t="str">
        <f>'2.1. DM'!L123</f>
        <v>Poales</v>
      </c>
      <c r="M123" s="25" t="str">
        <f>'2.1. DM'!M123</f>
        <v>grasses</v>
      </c>
      <c r="N123" s="25" t="str">
        <f>'2.1. DM'!N123</f>
        <v>60,61, 62</v>
      </c>
      <c r="O123" s="25" t="str">
        <f>'2.1. DM'!O123</f>
        <v>OT-021</v>
      </c>
      <c r="P123" s="22" t="s">
        <v>495</v>
      </c>
      <c r="Q123" s="75">
        <v>63.483349179704504</v>
      </c>
      <c r="R123" s="341">
        <f>AVERAGE('2.4 NDF'!Q123:Q124)</f>
        <v>64.138362555831151</v>
      </c>
    </row>
    <row r="124" spans="2:18" x14ac:dyDescent="0.35">
      <c r="B124" s="25">
        <f>'2.1. DM'!B124</f>
        <v>114</v>
      </c>
      <c r="C124" s="21">
        <f>'2.1. DM'!C124</f>
        <v>46048</v>
      </c>
      <c r="D124" s="25" t="str">
        <f>'2.1. DM'!D124</f>
        <v>Genbank</v>
      </c>
      <c r="E124" s="25">
        <f>'2.1. DM'!E124</f>
        <v>28</v>
      </c>
      <c r="F124" s="25" t="str">
        <f>'2.1. DM'!F124</f>
        <v>F252189</v>
      </c>
      <c r="G124" s="25" t="str">
        <f>'2.1. DM'!G124</f>
        <v>CIAT-BH22_2365</v>
      </c>
      <c r="H124" s="25" t="str">
        <f>'2.1. DM'!H124</f>
        <v>Urochloa</v>
      </c>
      <c r="I124" s="25" t="str">
        <f>'2.1. DM'!I124</f>
        <v>humidicola</v>
      </c>
      <c r="J124" s="25" t="str">
        <f>'2.1. DM'!J124</f>
        <v>Urochloa humidicola</v>
      </c>
      <c r="K124" s="25" t="str">
        <f>'2.1. DM'!K124</f>
        <v>Poaceae</v>
      </c>
      <c r="L124" s="25" t="str">
        <f>'2.1. DM'!L124</f>
        <v>Poales</v>
      </c>
      <c r="M124" s="25" t="str">
        <f>'2.1. DM'!M124</f>
        <v>grasses</v>
      </c>
      <c r="N124" s="25" t="str">
        <f>'2.1. DM'!N124</f>
        <v>60,61, 62</v>
      </c>
      <c r="O124" s="25" t="str">
        <f>'2.1. DM'!O124</f>
        <v>OT-021</v>
      </c>
      <c r="P124" s="19" t="s">
        <v>496</v>
      </c>
      <c r="Q124" s="75">
        <v>64.793375931957812</v>
      </c>
      <c r="R124" s="341"/>
    </row>
    <row r="125" spans="2:18" x14ac:dyDescent="0.35">
      <c r="B125" s="25">
        <f>'2.1. DM'!B125</f>
        <v>115</v>
      </c>
      <c r="C125" s="21">
        <f>'2.1. DM'!C125</f>
        <v>46048</v>
      </c>
      <c r="D125" s="25" t="str">
        <f>'2.1. DM'!D125</f>
        <v>Genbank</v>
      </c>
      <c r="E125" s="25">
        <f>'2.1. DM'!E125</f>
        <v>28</v>
      </c>
      <c r="F125" s="25" t="str">
        <f>'2.1. DM'!F125</f>
        <v>F252190</v>
      </c>
      <c r="G125" s="25" t="str">
        <f>'2.1. DM'!G125</f>
        <v>CIAT-BH22_3572</v>
      </c>
      <c r="H125" s="25" t="str">
        <f>'2.1. DM'!H125</f>
        <v>Urochloa</v>
      </c>
      <c r="I125" s="25" t="str">
        <f>'2.1. DM'!I125</f>
        <v>humidicola</v>
      </c>
      <c r="J125" s="25" t="str">
        <f>'2.1. DM'!J125</f>
        <v>Urochloa humidicola</v>
      </c>
      <c r="K125" s="25" t="str">
        <f>'2.1. DM'!K125</f>
        <v>Poaceae</v>
      </c>
      <c r="L125" s="25" t="str">
        <f>'2.1. DM'!L125</f>
        <v>Poales</v>
      </c>
      <c r="M125" s="25" t="str">
        <f>'2.1. DM'!M125</f>
        <v>grasses</v>
      </c>
      <c r="N125" s="25" t="str">
        <f>'2.1. DM'!N125</f>
        <v>60,61, 62</v>
      </c>
      <c r="O125" s="25" t="str">
        <f>'2.1. DM'!O125</f>
        <v>OT-021</v>
      </c>
      <c r="P125" s="22" t="s">
        <v>495</v>
      </c>
      <c r="Q125" s="75">
        <v>68.807471706812066</v>
      </c>
      <c r="R125" s="341">
        <f>AVERAGE('2.4 NDF'!Q125:Q126)</f>
        <v>68.192520884265519</v>
      </c>
    </row>
    <row r="126" spans="2:18" x14ac:dyDescent="0.35">
      <c r="B126" s="25">
        <f>'2.1. DM'!B126</f>
        <v>116</v>
      </c>
      <c r="C126" s="21">
        <f>'2.1. DM'!C126</f>
        <v>46048</v>
      </c>
      <c r="D126" s="25" t="str">
        <f>'2.1. DM'!D126</f>
        <v>Genbank</v>
      </c>
      <c r="E126" s="25">
        <f>'2.1. DM'!E126</f>
        <v>28</v>
      </c>
      <c r="F126" s="25" t="str">
        <f>'2.1. DM'!F126</f>
        <v>F252190</v>
      </c>
      <c r="G126" s="25" t="str">
        <f>'2.1. DM'!G126</f>
        <v>CIAT-BH22_3572</v>
      </c>
      <c r="H126" s="25" t="str">
        <f>'2.1. DM'!H126</f>
        <v>Urochloa</v>
      </c>
      <c r="I126" s="25" t="str">
        <f>'2.1. DM'!I126</f>
        <v>humidicola</v>
      </c>
      <c r="J126" s="25" t="str">
        <f>'2.1. DM'!J126</f>
        <v>Urochloa humidicola</v>
      </c>
      <c r="K126" s="25" t="str">
        <f>'2.1. DM'!K126</f>
        <v>Poaceae</v>
      </c>
      <c r="L126" s="25" t="str">
        <f>'2.1. DM'!L126</f>
        <v>Poales</v>
      </c>
      <c r="M126" s="25" t="str">
        <f>'2.1. DM'!M126</f>
        <v>grasses</v>
      </c>
      <c r="N126" s="25" t="str">
        <f>'2.1. DM'!N126</f>
        <v>60,61, 62</v>
      </c>
      <c r="O126" s="25" t="str">
        <f>'2.1. DM'!O126</f>
        <v>OT-021</v>
      </c>
      <c r="P126" s="19" t="s">
        <v>496</v>
      </c>
      <c r="Q126" s="75">
        <v>67.577570061718973</v>
      </c>
      <c r="R126" s="341"/>
    </row>
    <row r="127" spans="2:18" x14ac:dyDescent="0.35">
      <c r="B127" s="25">
        <f>'2.1. DM'!B127</f>
        <v>117</v>
      </c>
      <c r="C127" s="21">
        <f>'2.1. DM'!C127</f>
        <v>46048</v>
      </c>
      <c r="D127" s="25" t="str">
        <f>'2.1. DM'!D127</f>
        <v>Genbank</v>
      </c>
      <c r="E127" s="25">
        <f>'2.1. DM'!E127</f>
        <v>28</v>
      </c>
      <c r="F127" s="25" t="str">
        <f>'2.1. DM'!F127</f>
        <v>F252191</v>
      </c>
      <c r="G127" s="25" t="str">
        <f>'2.1. DM'!G127</f>
        <v>CIAT-BH22_0517</v>
      </c>
      <c r="H127" s="25" t="str">
        <f>'2.1. DM'!H127</f>
        <v>Urochloa</v>
      </c>
      <c r="I127" s="25" t="str">
        <f>'2.1. DM'!I127</f>
        <v>humidicola</v>
      </c>
      <c r="J127" s="25" t="str">
        <f>'2.1. DM'!J127</f>
        <v>Urochloa humidicola</v>
      </c>
      <c r="K127" s="25" t="str">
        <f>'2.1. DM'!K127</f>
        <v>Poaceae</v>
      </c>
      <c r="L127" s="25" t="str">
        <f>'2.1. DM'!L127</f>
        <v>Poales</v>
      </c>
      <c r="M127" s="25" t="str">
        <f>'2.1. DM'!M127</f>
        <v>grasses</v>
      </c>
      <c r="N127" s="25" t="str">
        <f>'2.1. DM'!N127</f>
        <v>60,61, 62</v>
      </c>
      <c r="O127" s="25" t="str">
        <f>'2.1. DM'!O127</f>
        <v>OT-021</v>
      </c>
      <c r="P127" s="22" t="s">
        <v>495</v>
      </c>
      <c r="Q127" s="75">
        <v>69.426823964038192</v>
      </c>
      <c r="R127" s="341">
        <f>AVERAGE('2.4 NDF'!Q127:Q128)</f>
        <v>69.455897999562865</v>
      </c>
    </row>
    <row r="128" spans="2:18" x14ac:dyDescent="0.35">
      <c r="B128" s="25">
        <f>'2.1. DM'!B128</f>
        <v>118</v>
      </c>
      <c r="C128" s="21">
        <f>'2.1. DM'!C128</f>
        <v>46048</v>
      </c>
      <c r="D128" s="25" t="str">
        <f>'2.1. DM'!D128</f>
        <v>Genbank</v>
      </c>
      <c r="E128" s="25">
        <f>'2.1. DM'!E128</f>
        <v>28</v>
      </c>
      <c r="F128" s="25" t="str">
        <f>'2.1. DM'!F128</f>
        <v>F252191</v>
      </c>
      <c r="G128" s="25" t="str">
        <f>'2.1. DM'!G128</f>
        <v>CIAT-BH22_0517</v>
      </c>
      <c r="H128" s="25" t="str">
        <f>'2.1. DM'!H128</f>
        <v>Urochloa</v>
      </c>
      <c r="I128" s="25" t="str">
        <f>'2.1. DM'!I128</f>
        <v>humidicola</v>
      </c>
      <c r="J128" s="25" t="str">
        <f>'2.1. DM'!J128</f>
        <v>Urochloa humidicola</v>
      </c>
      <c r="K128" s="25" t="str">
        <f>'2.1. DM'!K128</f>
        <v>Poaceae</v>
      </c>
      <c r="L128" s="25" t="str">
        <f>'2.1. DM'!L128</f>
        <v>Poales</v>
      </c>
      <c r="M128" s="25" t="str">
        <f>'2.1. DM'!M128</f>
        <v>grasses</v>
      </c>
      <c r="N128" s="25" t="str">
        <f>'2.1. DM'!N128</f>
        <v>60,61, 62</v>
      </c>
      <c r="O128" s="25" t="str">
        <f>'2.1. DM'!O128</f>
        <v>OT-021</v>
      </c>
      <c r="P128" s="19" t="s">
        <v>496</v>
      </c>
      <c r="Q128" s="75">
        <v>69.484972035087537</v>
      </c>
      <c r="R128" s="341"/>
    </row>
    <row r="129" spans="2:18" x14ac:dyDescent="0.35">
      <c r="B129" s="25">
        <f>'2.1. DM'!B129</f>
        <v>119</v>
      </c>
      <c r="C129" s="21">
        <f>'2.1. DM'!C129</f>
        <v>46048</v>
      </c>
      <c r="D129" s="25" t="str">
        <f>'2.1. DM'!D129</f>
        <v>Genbank</v>
      </c>
      <c r="E129" s="25">
        <f>'2.1. DM'!E129</f>
        <v>28</v>
      </c>
      <c r="F129" s="25" t="str">
        <f>'2.1. DM'!F129</f>
        <v>F252192</v>
      </c>
      <c r="G129" s="25" t="str">
        <f>'2.1. DM'!G129</f>
        <v>CIAT-BH22_0519</v>
      </c>
      <c r="H129" s="25" t="str">
        <f>'2.1. DM'!H129</f>
        <v>Urochloa</v>
      </c>
      <c r="I129" s="25" t="str">
        <f>'2.1. DM'!I129</f>
        <v>humidicola</v>
      </c>
      <c r="J129" s="25" t="str">
        <f>'2.1. DM'!J129</f>
        <v>Urochloa humidicola</v>
      </c>
      <c r="K129" s="25" t="str">
        <f>'2.1. DM'!K129</f>
        <v>Poaceae</v>
      </c>
      <c r="L129" s="25" t="str">
        <f>'2.1. DM'!L129</f>
        <v>Poales</v>
      </c>
      <c r="M129" s="25" t="str">
        <f>'2.1. DM'!M129</f>
        <v>grasses</v>
      </c>
      <c r="N129" s="25" t="str">
        <f>'2.1. DM'!N129</f>
        <v>60,61, 62</v>
      </c>
      <c r="O129" s="25" t="str">
        <f>'2.1. DM'!O129</f>
        <v>OT-021</v>
      </c>
      <c r="P129" s="22" t="s">
        <v>495</v>
      </c>
      <c r="Q129" s="75">
        <v>64.614668113230607</v>
      </c>
      <c r="R129" s="341">
        <f>AVERAGE('2.4 NDF'!Q129:Q130)</f>
        <v>64.577274465920482</v>
      </c>
    </row>
    <row r="130" spans="2:18" x14ac:dyDescent="0.35">
      <c r="B130" s="25">
        <f>'2.1. DM'!B130</f>
        <v>120</v>
      </c>
      <c r="C130" s="21">
        <f>'2.1. DM'!C130</f>
        <v>46048</v>
      </c>
      <c r="D130" s="25" t="str">
        <f>'2.1. DM'!D130</f>
        <v>Genbank</v>
      </c>
      <c r="E130" s="25">
        <f>'2.1. DM'!E130</f>
        <v>28</v>
      </c>
      <c r="F130" s="25" t="str">
        <f>'2.1. DM'!F130</f>
        <v>F252192</v>
      </c>
      <c r="G130" s="25" t="str">
        <f>'2.1. DM'!G130</f>
        <v>CIAT-BH22_0519</v>
      </c>
      <c r="H130" s="25" t="str">
        <f>'2.1. DM'!H130</f>
        <v>Urochloa</v>
      </c>
      <c r="I130" s="25" t="str">
        <f>'2.1. DM'!I130</f>
        <v>humidicola</v>
      </c>
      <c r="J130" s="25" t="str">
        <f>'2.1. DM'!J130</f>
        <v>Urochloa humidicola</v>
      </c>
      <c r="K130" s="25" t="str">
        <f>'2.1. DM'!K130</f>
        <v>Poaceae</v>
      </c>
      <c r="L130" s="25" t="str">
        <f>'2.1. DM'!L130</f>
        <v>Poales</v>
      </c>
      <c r="M130" s="25" t="str">
        <f>'2.1. DM'!M130</f>
        <v>grasses</v>
      </c>
      <c r="N130" s="25" t="str">
        <f>'2.1. DM'!N130</f>
        <v>60,61, 62</v>
      </c>
      <c r="O130" s="25" t="str">
        <f>'2.1. DM'!O130</f>
        <v>OT-021</v>
      </c>
      <c r="P130" s="19" t="s">
        <v>496</v>
      </c>
      <c r="Q130" s="75">
        <v>64.539880818610357</v>
      </c>
      <c r="R130" s="341"/>
    </row>
    <row r="131" spans="2:18" x14ac:dyDescent="0.35">
      <c r="B131" s="25">
        <f>'2.1. DM'!B131</f>
        <v>121</v>
      </c>
      <c r="C131" s="21">
        <f>'2.1. DM'!C131</f>
        <v>46048</v>
      </c>
      <c r="D131" s="25" t="str">
        <f>'2.1. DM'!D131</f>
        <v>Genbank</v>
      </c>
      <c r="E131" s="25">
        <f>'2.1. DM'!E131</f>
        <v>28</v>
      </c>
      <c r="F131" s="25" t="str">
        <f>'2.1. DM'!F131</f>
        <v>F252193</v>
      </c>
      <c r="G131" s="25" t="str">
        <f>'2.1. DM'!G131</f>
        <v>CIAT-BH22_0521</v>
      </c>
      <c r="H131" s="25" t="str">
        <f>'2.1. DM'!H131</f>
        <v>Urochloa</v>
      </c>
      <c r="I131" s="25" t="str">
        <f>'2.1. DM'!I131</f>
        <v>humidicola</v>
      </c>
      <c r="J131" s="25" t="str">
        <f>'2.1. DM'!J131</f>
        <v>Urochloa humidicola</v>
      </c>
      <c r="K131" s="25" t="str">
        <f>'2.1. DM'!K131</f>
        <v>Poaceae</v>
      </c>
      <c r="L131" s="25" t="str">
        <f>'2.1. DM'!L131</f>
        <v>Poales</v>
      </c>
      <c r="M131" s="25" t="str">
        <f>'2.1. DM'!M131</f>
        <v>grasses</v>
      </c>
      <c r="N131" s="25" t="str">
        <f>'2.1. DM'!N131</f>
        <v>60,61, 62</v>
      </c>
      <c r="O131" s="25" t="str">
        <f>'2.1. DM'!O131</f>
        <v>OT-021</v>
      </c>
      <c r="P131" s="22" t="s">
        <v>495</v>
      </c>
      <c r="Q131" s="23">
        <v>67.179525589833034</v>
      </c>
      <c r="R131" s="341">
        <f>AVERAGE('2.4 NDF'!Q131:Q132)</f>
        <v>66.876310343526541</v>
      </c>
    </row>
    <row r="132" spans="2:18" x14ac:dyDescent="0.35">
      <c r="B132" s="25">
        <f>'2.1. DM'!B132</f>
        <v>122</v>
      </c>
      <c r="C132" s="21">
        <f>'2.1. DM'!C132</f>
        <v>46048</v>
      </c>
      <c r="D132" s="25" t="str">
        <f>'2.1. DM'!D132</f>
        <v>Genbank</v>
      </c>
      <c r="E132" s="25">
        <f>'2.1. DM'!E132</f>
        <v>28</v>
      </c>
      <c r="F132" s="25" t="str">
        <f>'2.1. DM'!F132</f>
        <v>F252193</v>
      </c>
      <c r="G132" s="25" t="str">
        <f>'2.1. DM'!G132</f>
        <v>CIAT-BH22_0521</v>
      </c>
      <c r="H132" s="25" t="str">
        <f>'2.1. DM'!H132</f>
        <v>Urochloa</v>
      </c>
      <c r="I132" s="25" t="str">
        <f>'2.1. DM'!I132</f>
        <v>humidicola</v>
      </c>
      <c r="J132" s="25" t="str">
        <f>'2.1. DM'!J132</f>
        <v>Urochloa humidicola</v>
      </c>
      <c r="K132" s="25" t="str">
        <f>'2.1. DM'!K132</f>
        <v>Poaceae</v>
      </c>
      <c r="L132" s="25" t="str">
        <f>'2.1. DM'!L132</f>
        <v>Poales</v>
      </c>
      <c r="M132" s="25" t="str">
        <f>'2.1. DM'!M132</f>
        <v>grasses</v>
      </c>
      <c r="N132" s="25" t="str">
        <f>'2.1. DM'!N132</f>
        <v>60,61, 62</v>
      </c>
      <c r="O132" s="25" t="str">
        <f>'2.1. DM'!O132</f>
        <v>OT-021</v>
      </c>
      <c r="P132" s="19" t="s">
        <v>496</v>
      </c>
      <c r="Q132" s="20">
        <v>66.573095097220047</v>
      </c>
      <c r="R132" s="341"/>
    </row>
    <row r="133" spans="2:18" x14ac:dyDescent="0.35">
      <c r="B133" s="25">
        <f>'2.1. DM'!B133</f>
        <v>123</v>
      </c>
      <c r="C133" s="21">
        <f>'2.1. DM'!C133</f>
        <v>46048</v>
      </c>
      <c r="D133" s="25" t="str">
        <f>'2.1. DM'!D133</f>
        <v>Genbank</v>
      </c>
      <c r="E133" s="25">
        <f>'2.1. DM'!E133</f>
        <v>28</v>
      </c>
      <c r="F133" s="25" t="str">
        <f>'2.1. DM'!F133</f>
        <v>F252574</v>
      </c>
      <c r="G133" s="25" t="str">
        <f>'2.1. DM'!G133</f>
        <v>CIAT326</v>
      </c>
      <c r="H133" s="25" t="str">
        <f>'2.1. DM'!H133</f>
        <v>Desmodium</v>
      </c>
      <c r="I133" s="25" t="str">
        <f>'2.1. DM'!I133</f>
        <v>scorpiurus</v>
      </c>
      <c r="J133" s="25" t="str">
        <f>'2.1. DM'!J133</f>
        <v>Desmodium scorpiurus</v>
      </c>
      <c r="K133" s="25" t="str">
        <f>'2.1. DM'!K133</f>
        <v>Fabaceae</v>
      </c>
      <c r="L133" s="25" t="str">
        <f>'2.1. DM'!L133</f>
        <v>Fabales</v>
      </c>
      <c r="M133" s="25" t="str">
        <f>'2.1. DM'!M133</f>
        <v>Herbaceous</v>
      </c>
      <c r="N133" s="25" t="str">
        <f>'2.1. DM'!N133</f>
        <v>60,61, 62</v>
      </c>
      <c r="O133" s="25" t="str">
        <f>'2.1. DM'!O133</f>
        <v>OT-031</v>
      </c>
      <c r="P133" s="22" t="s">
        <v>495</v>
      </c>
      <c r="Q133" s="75">
        <v>56.232303304986296</v>
      </c>
      <c r="R133" s="341">
        <f>AVERAGE('2.4 NDF'!Q133:Q134)</f>
        <v>55.655245531383571</v>
      </c>
    </row>
    <row r="134" spans="2:18" x14ac:dyDescent="0.35">
      <c r="B134" s="25">
        <f>'2.1. DM'!B134</f>
        <v>124</v>
      </c>
      <c r="C134" s="21">
        <f>'2.1. DM'!C134</f>
        <v>46048</v>
      </c>
      <c r="D134" s="25" t="str">
        <f>'2.1. DM'!D134</f>
        <v>Genbank</v>
      </c>
      <c r="E134" s="25">
        <f>'2.1. DM'!E134</f>
        <v>28</v>
      </c>
      <c r="F134" s="25" t="str">
        <f>'2.1. DM'!F134</f>
        <v>F252574</v>
      </c>
      <c r="G134" s="25" t="str">
        <f>'2.1. DM'!G134</f>
        <v>CIAT326</v>
      </c>
      <c r="H134" s="25" t="str">
        <f>'2.1. DM'!H134</f>
        <v>Desmodium</v>
      </c>
      <c r="I134" s="25" t="str">
        <f>'2.1. DM'!I134</f>
        <v>scorpiurus</v>
      </c>
      <c r="J134" s="25" t="str">
        <f>'2.1. DM'!J134</f>
        <v>Desmodium scorpiurus</v>
      </c>
      <c r="K134" s="25" t="str">
        <f>'2.1. DM'!K134</f>
        <v>Fabaceae</v>
      </c>
      <c r="L134" s="25" t="str">
        <f>'2.1. DM'!L134</f>
        <v>Fabales</v>
      </c>
      <c r="M134" s="25" t="str">
        <f>'2.1. DM'!M134</f>
        <v>Herbaceous</v>
      </c>
      <c r="N134" s="25" t="str">
        <f>'2.1. DM'!N134</f>
        <v>60,61, 62</v>
      </c>
      <c r="O134" s="25" t="str">
        <f>'2.1. DM'!O134</f>
        <v>OT-031</v>
      </c>
      <c r="P134" s="19" t="s">
        <v>496</v>
      </c>
      <c r="Q134" s="75">
        <v>55.078187757780853</v>
      </c>
      <c r="R134" s="341"/>
    </row>
    <row r="135" spans="2:18" x14ac:dyDescent="0.35">
      <c r="B135" s="25">
        <f>'2.1. DM'!B135</f>
        <v>125</v>
      </c>
      <c r="C135" s="21">
        <f>'2.1. DM'!C135</f>
        <v>46048</v>
      </c>
      <c r="D135" s="25" t="str">
        <f>'2.1. DM'!D135</f>
        <v>Jacobo Arango/Alejandro Montoya</v>
      </c>
      <c r="E135" s="25">
        <f>'2.1. DM'!E135</f>
        <v>28</v>
      </c>
      <c r="F135" s="25" t="str">
        <f>'2.1. DM'!F135</f>
        <v>F250008</v>
      </c>
      <c r="G135" s="25" t="str">
        <f>'2.1. DM'!G135</f>
        <v>Sample 8</v>
      </c>
      <c r="H135" s="25" t="str">
        <f>'2.1. DM'!H135</f>
        <v>Cynodon</v>
      </c>
      <c r="I135" s="25" t="str">
        <f>'2.1. DM'!I135</f>
        <v xml:space="preserve"> nlemfuensis </v>
      </c>
      <c r="J135" s="25" t="str">
        <f>'2.1. DM'!J135</f>
        <v xml:space="preserve">Cynodon nlemfuensis </v>
      </c>
      <c r="K135" s="25" t="str">
        <f>'2.1. DM'!K135</f>
        <v>Poaceae</v>
      </c>
      <c r="L135" s="25" t="str">
        <f>'2.1. DM'!L135</f>
        <v>Poales</v>
      </c>
      <c r="M135" s="25" t="str">
        <f>'2.1. DM'!M135</f>
        <v>grasses</v>
      </c>
      <c r="N135" s="25" t="str">
        <f>'2.1. DM'!N135</f>
        <v>60,61, 62</v>
      </c>
      <c r="O135" s="25" t="str">
        <f>'2.1. DM'!O135</f>
        <v>OT-002</v>
      </c>
      <c r="P135" s="22" t="s">
        <v>495</v>
      </c>
      <c r="Q135" s="30">
        <v>76.099999999999994</v>
      </c>
      <c r="R135" s="341">
        <f t="shared" ref="R135" si="1">AVERAGE(Q135:Q136)</f>
        <v>76.099999999999994</v>
      </c>
    </row>
    <row r="136" spans="2:18" x14ac:dyDescent="0.35">
      <c r="B136" s="25">
        <f>'2.1. DM'!B136</f>
        <v>126</v>
      </c>
      <c r="C136" s="21">
        <f>'2.1. DM'!C136</f>
        <v>46048</v>
      </c>
      <c r="D136" s="25" t="str">
        <f>'2.1. DM'!D136</f>
        <v>Jacobo Arango/Alejandro Montoya</v>
      </c>
      <c r="E136" s="25">
        <f>'2.1. DM'!E136</f>
        <v>28</v>
      </c>
      <c r="F136" s="25" t="str">
        <f>'2.1. DM'!F136</f>
        <v>F250008</v>
      </c>
      <c r="G136" s="25" t="str">
        <f>'2.1. DM'!G136</f>
        <v>Sample 8</v>
      </c>
      <c r="H136" s="25" t="str">
        <f>'2.1. DM'!H136</f>
        <v>Cynodon</v>
      </c>
      <c r="I136" s="25" t="str">
        <f>'2.1. DM'!I136</f>
        <v xml:space="preserve"> nlemfuensis </v>
      </c>
      <c r="J136" s="25" t="str">
        <f>'2.1. DM'!J136</f>
        <v xml:space="preserve">Cynodon nlemfuensis </v>
      </c>
      <c r="K136" s="25" t="str">
        <f>'2.1. DM'!K136</f>
        <v>Poaceae</v>
      </c>
      <c r="L136" s="25" t="str">
        <f>'2.1. DM'!L136</f>
        <v>Poales</v>
      </c>
      <c r="M136" s="25" t="str">
        <f>'2.1. DM'!M136</f>
        <v>grasses</v>
      </c>
      <c r="N136" s="25" t="str">
        <f>'2.1. DM'!N136</f>
        <v>60,61, 62</v>
      </c>
      <c r="O136" s="25" t="str">
        <f>'2.1. DM'!O136</f>
        <v>OT-002</v>
      </c>
      <c r="P136" s="19" t="s">
        <v>496</v>
      </c>
      <c r="Q136" s="30">
        <v>76.099999999999994</v>
      </c>
      <c r="R136" s="341"/>
    </row>
    <row r="137" spans="2:18" x14ac:dyDescent="0.35">
      <c r="B137" s="25">
        <f>'2.1. DM'!B137</f>
        <v>127</v>
      </c>
      <c r="C137" s="21">
        <f>'2.1. DM'!C137</f>
        <v>46048</v>
      </c>
      <c r="D137" s="25" t="str">
        <f>'2.1. DM'!D137</f>
        <v>Genbank</v>
      </c>
      <c r="E137" s="25">
        <f>'2.1. DM'!E137</f>
        <v>28</v>
      </c>
      <c r="F137" s="25" t="str">
        <f>'2.1. DM'!F137</f>
        <v>F252575</v>
      </c>
      <c r="G137" s="25" t="str">
        <f>'2.1. DM'!G137</f>
        <v>CIAT415</v>
      </c>
      <c r="H137" s="25" t="str">
        <f>'2.1. DM'!H137</f>
        <v>Vigna</v>
      </c>
      <c r="I137" s="25" t="str">
        <f>'2.1. DM'!I137</f>
        <v>radiata</v>
      </c>
      <c r="J137" s="25" t="str">
        <f>'2.1. DM'!J137</f>
        <v>Vigna radiata</v>
      </c>
      <c r="K137" s="25" t="str">
        <f>'2.1. DM'!K137</f>
        <v>Fabaceae</v>
      </c>
      <c r="L137" s="25" t="str">
        <f>'2.1. DM'!L137</f>
        <v>Fabales</v>
      </c>
      <c r="M137" s="25" t="str">
        <f>'2.1. DM'!M137</f>
        <v>Herbaceous</v>
      </c>
      <c r="N137" s="25" t="str">
        <f>'2.1. DM'!N137</f>
        <v>60,61, 62</v>
      </c>
      <c r="O137" s="25" t="str">
        <f>'2.1. DM'!O137</f>
        <v>OT-031</v>
      </c>
      <c r="P137" s="22" t="s">
        <v>495</v>
      </c>
      <c r="Q137" s="75">
        <v>41.7110852541459</v>
      </c>
      <c r="R137" s="341">
        <f>AVERAGE('2.4 NDF'!Q137:Q138)</f>
        <v>42.198235887705067</v>
      </c>
    </row>
    <row r="138" spans="2:18" x14ac:dyDescent="0.35">
      <c r="B138" s="25">
        <f>'2.1. DM'!B138</f>
        <v>128</v>
      </c>
      <c r="C138" s="21">
        <f>'2.1. DM'!C138</f>
        <v>46048</v>
      </c>
      <c r="D138" s="25" t="str">
        <f>'2.1. DM'!D138</f>
        <v>Genbank</v>
      </c>
      <c r="E138" s="25">
        <f>'2.1. DM'!E138</f>
        <v>28</v>
      </c>
      <c r="F138" s="25" t="str">
        <f>'2.1. DM'!F138</f>
        <v>F252575</v>
      </c>
      <c r="G138" s="25" t="str">
        <f>'2.1. DM'!G138</f>
        <v>CIAT415</v>
      </c>
      <c r="H138" s="25" t="str">
        <f>'2.1. DM'!H138</f>
        <v>Vigna</v>
      </c>
      <c r="I138" s="25" t="str">
        <f>'2.1. DM'!I138</f>
        <v>radiata</v>
      </c>
      <c r="J138" s="25" t="str">
        <f>'2.1. DM'!J138</f>
        <v>Vigna radiata</v>
      </c>
      <c r="K138" s="25" t="str">
        <f>'2.1. DM'!K138</f>
        <v>Fabaceae</v>
      </c>
      <c r="L138" s="25" t="str">
        <f>'2.1. DM'!L138</f>
        <v>Fabales</v>
      </c>
      <c r="M138" s="25" t="str">
        <f>'2.1. DM'!M138</f>
        <v>Herbaceous</v>
      </c>
      <c r="N138" s="25" t="str">
        <f>'2.1. DM'!N138</f>
        <v>60,61, 62</v>
      </c>
      <c r="O138" s="25" t="str">
        <f>'2.1. DM'!O138</f>
        <v>OT-031</v>
      </c>
      <c r="P138" s="19" t="s">
        <v>496</v>
      </c>
      <c r="Q138" s="75">
        <v>42.685386521264235</v>
      </c>
      <c r="R138" s="341"/>
    </row>
    <row r="139" spans="2:18" x14ac:dyDescent="0.35">
      <c r="B139" s="25">
        <f>'2.1. DM'!B139</f>
        <v>129</v>
      </c>
      <c r="C139" s="21">
        <f>'2.1. DM'!C139</f>
        <v>46048</v>
      </c>
      <c r="D139" s="25" t="str">
        <f>'2.1. DM'!D139</f>
        <v>Genbank</v>
      </c>
      <c r="E139" s="25">
        <f>'2.1. DM'!E139</f>
        <v>28</v>
      </c>
      <c r="F139" s="25" t="str">
        <f>'2.1. DM'!F139</f>
        <v>F252576</v>
      </c>
      <c r="G139" s="25" t="str">
        <f>'2.1. DM'!G139</f>
        <v>CIAT416</v>
      </c>
      <c r="H139" s="25" t="str">
        <f>'2.1. DM'!H139</f>
        <v>Vigna</v>
      </c>
      <c r="I139" s="25" t="str">
        <f>'2.1. DM'!I139</f>
        <v>radiata</v>
      </c>
      <c r="J139" s="25" t="str">
        <f>'2.1. DM'!J139</f>
        <v>Vigna radiata</v>
      </c>
      <c r="K139" s="25" t="str">
        <f>'2.1. DM'!K139</f>
        <v>Fabaceae</v>
      </c>
      <c r="L139" s="25" t="str">
        <f>'2.1. DM'!L139</f>
        <v>Fabales</v>
      </c>
      <c r="M139" s="25" t="str">
        <f>'2.1. DM'!M139</f>
        <v>Herbaceous</v>
      </c>
      <c r="N139" s="25" t="str">
        <f>'2.1. DM'!N139</f>
        <v>60,61, 62</v>
      </c>
      <c r="O139" s="25" t="str">
        <f>'2.1. DM'!O139</f>
        <v>OT-031</v>
      </c>
      <c r="P139" s="22" t="s">
        <v>495</v>
      </c>
      <c r="Q139" s="75">
        <v>46.382980149383343</v>
      </c>
      <c r="R139" s="341">
        <f>AVERAGE('2.4 NDF'!Q139:Q140)</f>
        <v>45.459692185237742</v>
      </c>
    </row>
    <row r="140" spans="2:18" x14ac:dyDescent="0.35">
      <c r="B140" s="25">
        <f>'2.1. DM'!B140</f>
        <v>130</v>
      </c>
      <c r="C140" s="21">
        <f>'2.1. DM'!C140</f>
        <v>46048</v>
      </c>
      <c r="D140" s="25" t="str">
        <f>'2.1. DM'!D140</f>
        <v>Genbank</v>
      </c>
      <c r="E140" s="25">
        <f>'2.1. DM'!E140</f>
        <v>28</v>
      </c>
      <c r="F140" s="25" t="str">
        <f>'2.1. DM'!F140</f>
        <v>F252576</v>
      </c>
      <c r="G140" s="25" t="str">
        <f>'2.1. DM'!G140</f>
        <v>CIAT416</v>
      </c>
      <c r="H140" s="25" t="str">
        <f>'2.1. DM'!H140</f>
        <v>Vigna</v>
      </c>
      <c r="I140" s="25" t="str">
        <f>'2.1. DM'!I140</f>
        <v>radiata</v>
      </c>
      <c r="J140" s="25" t="str">
        <f>'2.1. DM'!J140</f>
        <v>Vigna radiata</v>
      </c>
      <c r="K140" s="25" t="str">
        <f>'2.1. DM'!K140</f>
        <v>Fabaceae</v>
      </c>
      <c r="L140" s="25" t="str">
        <f>'2.1. DM'!L140</f>
        <v>Fabales</v>
      </c>
      <c r="M140" s="25" t="str">
        <f>'2.1. DM'!M140</f>
        <v>Herbaceous</v>
      </c>
      <c r="N140" s="25" t="str">
        <f>'2.1. DM'!N140</f>
        <v>60,61, 62</v>
      </c>
      <c r="O140" s="25" t="str">
        <f>'2.1. DM'!O140</f>
        <v>OT-031</v>
      </c>
      <c r="P140" s="19" t="s">
        <v>496</v>
      </c>
      <c r="Q140" s="75">
        <v>44.536404221092134</v>
      </c>
      <c r="R140" s="341"/>
    </row>
    <row r="141" spans="2:18" x14ac:dyDescent="0.35">
      <c r="B141" s="25">
        <f>'2.1. DM'!B141</f>
        <v>131</v>
      </c>
      <c r="C141" s="21">
        <f>'2.1. DM'!C141</f>
        <v>46048</v>
      </c>
      <c r="D141" s="25" t="str">
        <f>'2.1. DM'!D141</f>
        <v>Genbank</v>
      </c>
      <c r="E141" s="25">
        <f>'2.1. DM'!E141</f>
        <v>28</v>
      </c>
      <c r="F141" s="25" t="str">
        <f>'2.1. DM'!F141</f>
        <v>F252577</v>
      </c>
      <c r="G141" s="25" t="str">
        <f>'2.1. DM'!G141</f>
        <v>CIAT517</v>
      </c>
      <c r="H141" s="25" t="str">
        <f>'2.1. DM'!H141</f>
        <v>Macroptilium</v>
      </c>
      <c r="I141" s="25" t="str">
        <f>'2.1. DM'!I141</f>
        <v>atropurpureum</v>
      </c>
      <c r="J141" s="25" t="str">
        <f>'2.1. DM'!J141</f>
        <v>Macroptilium atropurpureum</v>
      </c>
      <c r="K141" s="25" t="str">
        <f>'2.1. DM'!K141</f>
        <v>Fabaceae</v>
      </c>
      <c r="L141" s="25" t="str">
        <f>'2.1. DM'!L141</f>
        <v>Fabales</v>
      </c>
      <c r="M141" s="25" t="str">
        <f>'2.1. DM'!M141</f>
        <v>Herbaceous</v>
      </c>
      <c r="N141" s="25" t="str">
        <f>'2.1. DM'!N141</f>
        <v>60,61, 62</v>
      </c>
      <c r="O141" s="25" t="str">
        <f>'2.1. DM'!O141</f>
        <v>OT-031</v>
      </c>
      <c r="P141" s="22" t="s">
        <v>495</v>
      </c>
      <c r="Q141" s="75">
        <v>45.87051566740368</v>
      </c>
      <c r="R141" s="341">
        <f>AVERAGE('2.4 NDF'!Q141:Q142)</f>
        <v>45.608014352332241</v>
      </c>
    </row>
    <row r="142" spans="2:18" x14ac:dyDescent="0.35">
      <c r="B142" s="25">
        <f>'2.1. DM'!B142</f>
        <v>132</v>
      </c>
      <c r="C142" s="21">
        <f>'2.1. DM'!C142</f>
        <v>46048</v>
      </c>
      <c r="D142" s="25" t="str">
        <f>'2.1. DM'!D142</f>
        <v>Genbank</v>
      </c>
      <c r="E142" s="25">
        <f>'2.1. DM'!E142</f>
        <v>28</v>
      </c>
      <c r="F142" s="25" t="str">
        <f>'2.1. DM'!F142</f>
        <v>F252577</v>
      </c>
      <c r="G142" s="25" t="str">
        <f>'2.1. DM'!G142</f>
        <v>CIAT517</v>
      </c>
      <c r="H142" s="25" t="str">
        <f>'2.1. DM'!H142</f>
        <v>Macroptilium</v>
      </c>
      <c r="I142" s="25" t="str">
        <f>'2.1. DM'!I142</f>
        <v>atropurpureum</v>
      </c>
      <c r="J142" s="25" t="str">
        <f>'2.1. DM'!J142</f>
        <v>Macroptilium atropurpureum</v>
      </c>
      <c r="K142" s="25" t="str">
        <f>'2.1. DM'!K142</f>
        <v>Fabaceae</v>
      </c>
      <c r="L142" s="25" t="str">
        <f>'2.1. DM'!L142</f>
        <v>Fabales</v>
      </c>
      <c r="M142" s="25" t="str">
        <f>'2.1. DM'!M142</f>
        <v>Herbaceous</v>
      </c>
      <c r="N142" s="25" t="str">
        <f>'2.1. DM'!N142</f>
        <v>60,61, 62</v>
      </c>
      <c r="O142" s="25" t="str">
        <f>'2.1. DM'!O142</f>
        <v>OT-031</v>
      </c>
      <c r="P142" s="19" t="s">
        <v>496</v>
      </c>
      <c r="Q142" s="75">
        <v>45.345513037260801</v>
      </c>
      <c r="R142" s="341"/>
    </row>
    <row r="143" spans="2:18" x14ac:dyDescent="0.35">
      <c r="B143" s="25">
        <f>'2.1. DM'!B143</f>
        <v>133</v>
      </c>
      <c r="C143" s="21">
        <f>'2.1. DM'!C143</f>
        <v>46048</v>
      </c>
      <c r="D143" s="25" t="str">
        <f>'2.1. DM'!D143</f>
        <v>Genbank</v>
      </c>
      <c r="E143" s="25">
        <f>'2.1. DM'!E143</f>
        <v>28</v>
      </c>
      <c r="F143" s="25" t="str">
        <f>'2.1. DM'!F143</f>
        <v>F252578</v>
      </c>
      <c r="G143" s="25" t="str">
        <f>'2.1. DM'!G143</f>
        <v>CIAT563</v>
      </c>
      <c r="H143" s="25" t="str">
        <f>'2.1. DM'!H143</f>
        <v>Macroptilium</v>
      </c>
      <c r="I143" s="25" t="str">
        <f>'2.1. DM'!I143</f>
        <v>bracteatum</v>
      </c>
      <c r="J143" s="25" t="str">
        <f>'2.1. DM'!J143</f>
        <v>Macroptilium bracteatum</v>
      </c>
      <c r="K143" s="25" t="str">
        <f>'2.1. DM'!K143</f>
        <v>Fabaceae</v>
      </c>
      <c r="L143" s="25" t="str">
        <f>'2.1. DM'!L143</f>
        <v>Fabales</v>
      </c>
      <c r="M143" s="25" t="str">
        <f>'2.1. DM'!M143</f>
        <v>Herbaceous</v>
      </c>
      <c r="N143" s="25" t="str">
        <f>'2.1. DM'!N143</f>
        <v>60,61, 62</v>
      </c>
      <c r="O143" s="25" t="str">
        <f>'2.1. DM'!O143</f>
        <v>OT-031</v>
      </c>
      <c r="P143" s="22" t="s">
        <v>495</v>
      </c>
      <c r="Q143" s="75">
        <v>51.01815447150522</v>
      </c>
      <c r="R143" s="341">
        <f>AVERAGE('2.4 NDF'!Q143:Q144)</f>
        <v>51.437989503841834</v>
      </c>
    </row>
    <row r="144" spans="2:18" x14ac:dyDescent="0.35">
      <c r="B144" s="25">
        <f>'2.1. DM'!B144</f>
        <v>134</v>
      </c>
      <c r="C144" s="21">
        <f>'2.1. DM'!C144</f>
        <v>46048</v>
      </c>
      <c r="D144" s="25" t="str">
        <f>'2.1. DM'!D144</f>
        <v>Genbank</v>
      </c>
      <c r="E144" s="25">
        <f>'2.1. DM'!E144</f>
        <v>28</v>
      </c>
      <c r="F144" s="25" t="str">
        <f>'2.1. DM'!F144</f>
        <v>F252578</v>
      </c>
      <c r="G144" s="25" t="str">
        <f>'2.1. DM'!G144</f>
        <v>CIAT563</v>
      </c>
      <c r="H144" s="25" t="str">
        <f>'2.1. DM'!H144</f>
        <v>Macroptilium</v>
      </c>
      <c r="I144" s="25" t="str">
        <f>'2.1. DM'!I144</f>
        <v>bracteatum</v>
      </c>
      <c r="J144" s="25" t="str">
        <f>'2.1. DM'!J144</f>
        <v>Macroptilium bracteatum</v>
      </c>
      <c r="K144" s="25" t="str">
        <f>'2.1. DM'!K144</f>
        <v>Fabaceae</v>
      </c>
      <c r="L144" s="25" t="str">
        <f>'2.1. DM'!L144</f>
        <v>Fabales</v>
      </c>
      <c r="M144" s="25" t="str">
        <f>'2.1. DM'!M144</f>
        <v>Herbaceous</v>
      </c>
      <c r="N144" s="25" t="str">
        <f>'2.1. DM'!N144</f>
        <v>60,61, 62</v>
      </c>
      <c r="O144" s="25" t="str">
        <f>'2.1. DM'!O144</f>
        <v>OT-031</v>
      </c>
      <c r="P144" s="19" t="s">
        <v>496</v>
      </c>
      <c r="Q144" s="75">
        <v>51.857824536178455</v>
      </c>
      <c r="R144" s="341"/>
    </row>
    <row r="145" spans="2:18" x14ac:dyDescent="0.35">
      <c r="B145" s="25">
        <f>'2.1. DM'!B145</f>
        <v>135</v>
      </c>
      <c r="C145" s="21">
        <f>'2.1. DM'!C145</f>
        <v>46048</v>
      </c>
      <c r="D145" s="25" t="str">
        <f>'2.1. DM'!D145</f>
        <v>Genbank</v>
      </c>
      <c r="E145" s="25">
        <f>'2.1. DM'!E145</f>
        <v>28</v>
      </c>
      <c r="F145" s="25" t="str">
        <f>'2.1. DM'!F145</f>
        <v>F252579</v>
      </c>
      <c r="G145" s="25" t="str">
        <f>'2.1. DM'!G145</f>
        <v>CIAT789</v>
      </c>
      <c r="H145" s="25" t="str">
        <f>'2.1. DM'!H145</f>
        <v>Zornia</v>
      </c>
      <c r="I145" s="25" t="str">
        <f>'2.1. DM'!I145</f>
        <v>latifolia</v>
      </c>
      <c r="J145" s="25" t="str">
        <f>'2.1. DM'!J145</f>
        <v>Zornia latifolia</v>
      </c>
      <c r="K145" s="25" t="str">
        <f>'2.1. DM'!K145</f>
        <v>Fabaceae</v>
      </c>
      <c r="L145" s="25" t="str">
        <f>'2.1. DM'!L145</f>
        <v>Fabales</v>
      </c>
      <c r="M145" s="25" t="str">
        <f>'2.1. DM'!M145</f>
        <v>Herbaceous</v>
      </c>
      <c r="N145" s="25" t="str">
        <f>'2.1. DM'!N145</f>
        <v>60,61, 62</v>
      </c>
      <c r="O145" s="25" t="str">
        <f>'2.1. DM'!O145</f>
        <v>OT-031</v>
      </c>
      <c r="P145" s="22" t="s">
        <v>495</v>
      </c>
      <c r="Q145" s="75">
        <v>49.440779501680751</v>
      </c>
      <c r="R145" s="341">
        <f>AVERAGE('2.4 NDF'!Q145:Q146)</f>
        <v>51.081849000911362</v>
      </c>
    </row>
    <row r="146" spans="2:18" x14ac:dyDescent="0.35">
      <c r="B146" s="25">
        <f>'2.1. DM'!B146</f>
        <v>136</v>
      </c>
      <c r="C146" s="21">
        <f>'2.1. DM'!C146</f>
        <v>46048</v>
      </c>
      <c r="D146" s="25" t="str">
        <f>'2.1. DM'!D146</f>
        <v>Genbank</v>
      </c>
      <c r="E146" s="25">
        <f>'2.1. DM'!E146</f>
        <v>28</v>
      </c>
      <c r="F146" s="25" t="str">
        <f>'2.1. DM'!F146</f>
        <v>F252579</v>
      </c>
      <c r="G146" s="25" t="str">
        <f>'2.1. DM'!G146</f>
        <v>CIAT789</v>
      </c>
      <c r="H146" s="25" t="str">
        <f>'2.1. DM'!H146</f>
        <v>Zornia</v>
      </c>
      <c r="I146" s="25" t="str">
        <f>'2.1. DM'!I146</f>
        <v>latifolia</v>
      </c>
      <c r="J146" s="25" t="str">
        <f>'2.1. DM'!J146</f>
        <v>Zornia latifolia</v>
      </c>
      <c r="K146" s="25" t="str">
        <f>'2.1. DM'!K146</f>
        <v>Fabaceae</v>
      </c>
      <c r="L146" s="25" t="str">
        <f>'2.1. DM'!L146</f>
        <v>Fabales</v>
      </c>
      <c r="M146" s="25" t="str">
        <f>'2.1. DM'!M146</f>
        <v>Herbaceous</v>
      </c>
      <c r="N146" s="25" t="str">
        <f>'2.1. DM'!N146</f>
        <v>60,61, 62</v>
      </c>
      <c r="O146" s="25" t="str">
        <f>'2.1. DM'!O146</f>
        <v>OT-031</v>
      </c>
      <c r="P146" s="19" t="s">
        <v>496</v>
      </c>
      <c r="Q146" s="75">
        <v>52.722918500141979</v>
      </c>
      <c r="R146" s="341"/>
    </row>
    <row r="147" spans="2:18" x14ac:dyDescent="0.35">
      <c r="B147" s="25">
        <f>'2.1. DM'!B147</f>
        <v>137</v>
      </c>
      <c r="C147" s="21">
        <f>'2.1. DM'!C147</f>
        <v>46048</v>
      </c>
      <c r="D147" s="25" t="str">
        <f>'2.1. DM'!D147</f>
        <v>Genbank</v>
      </c>
      <c r="E147" s="25">
        <f>'2.1. DM'!E147</f>
        <v>28</v>
      </c>
      <c r="F147" s="25" t="str">
        <f>'2.1. DM'!F147</f>
        <v>F252580</v>
      </c>
      <c r="G147" s="25" t="str">
        <f>'2.1. DM'!G147</f>
        <v>CIAT2085</v>
      </c>
      <c r="H147" s="25" t="str">
        <f>'2.1. DM'!H147</f>
        <v>Stylosanthes</v>
      </c>
      <c r="I147" s="25" t="str">
        <f>'2.1. DM'!I147</f>
        <v>seabrana</v>
      </c>
      <c r="J147" s="25" t="str">
        <f>'2.1. DM'!J147</f>
        <v>Stylosanthes seabrana</v>
      </c>
      <c r="K147" s="25" t="str">
        <f>'2.1. DM'!K147</f>
        <v>Fabaceae</v>
      </c>
      <c r="L147" s="25" t="str">
        <f>'2.1. DM'!L147</f>
        <v>Fabales</v>
      </c>
      <c r="M147" s="25" t="str">
        <f>'2.1. DM'!M147</f>
        <v>Herbaceous</v>
      </c>
      <c r="N147" s="25" t="str">
        <f>'2.1. DM'!N147</f>
        <v>60,61, 62</v>
      </c>
      <c r="O147" s="25" t="str">
        <f>'2.1. DM'!O147</f>
        <v>OT-031</v>
      </c>
      <c r="P147" s="22" t="s">
        <v>495</v>
      </c>
      <c r="Q147" s="75">
        <v>56.497959794318767</v>
      </c>
      <c r="R147" s="341">
        <f>AVERAGE('2.4 NDF'!Q147:Q148)</f>
        <v>57.181381447253358</v>
      </c>
    </row>
    <row r="148" spans="2:18" x14ac:dyDescent="0.35">
      <c r="B148" s="25">
        <f>'2.1. DM'!B148</f>
        <v>138</v>
      </c>
      <c r="C148" s="21">
        <f>'2.1. DM'!C148</f>
        <v>46048</v>
      </c>
      <c r="D148" s="25" t="str">
        <f>'2.1. DM'!D148</f>
        <v>Genbank</v>
      </c>
      <c r="E148" s="25">
        <f>'2.1. DM'!E148</f>
        <v>28</v>
      </c>
      <c r="F148" s="25" t="str">
        <f>'2.1. DM'!F148</f>
        <v>F252580</v>
      </c>
      <c r="G148" s="25" t="str">
        <f>'2.1. DM'!G148</f>
        <v>CIAT2085</v>
      </c>
      <c r="H148" s="25" t="str">
        <f>'2.1. DM'!H148</f>
        <v>Stylosanthes</v>
      </c>
      <c r="I148" s="25" t="str">
        <f>'2.1. DM'!I148</f>
        <v>seabrana</v>
      </c>
      <c r="J148" s="25" t="str">
        <f>'2.1. DM'!J148</f>
        <v>Stylosanthes seabrana</v>
      </c>
      <c r="K148" s="25" t="str">
        <f>'2.1. DM'!K148</f>
        <v>Fabaceae</v>
      </c>
      <c r="L148" s="25" t="str">
        <f>'2.1. DM'!L148</f>
        <v>Fabales</v>
      </c>
      <c r="M148" s="25" t="str">
        <f>'2.1. DM'!M148</f>
        <v>Herbaceous</v>
      </c>
      <c r="N148" s="25" t="str">
        <f>'2.1. DM'!N148</f>
        <v>60,61, 62</v>
      </c>
      <c r="O148" s="25" t="str">
        <f>'2.1. DM'!O148</f>
        <v>OT-031</v>
      </c>
      <c r="P148" s="19" t="s">
        <v>496</v>
      </c>
      <c r="Q148" s="75">
        <v>57.864803100187956</v>
      </c>
      <c r="R148" s="341"/>
    </row>
    <row r="149" spans="2:18" x14ac:dyDescent="0.35">
      <c r="B149" s="25">
        <f>'2.1. DM'!B149</f>
        <v>139</v>
      </c>
      <c r="C149" s="21">
        <f>'2.1. DM'!C149</f>
        <v>46048</v>
      </c>
      <c r="D149" s="25" t="str">
        <f>'2.1. DM'!D149</f>
        <v>Genbank</v>
      </c>
      <c r="E149" s="25">
        <f>'2.1. DM'!E149</f>
        <v>28</v>
      </c>
      <c r="F149" s="25" t="str">
        <f>'2.1. DM'!F149</f>
        <v>F252581</v>
      </c>
      <c r="G149" s="25" t="str">
        <f>'2.1. DM'!G149</f>
        <v>CIAT2690</v>
      </c>
      <c r="H149" s="25" t="str">
        <f>'2.1. DM'!H149</f>
        <v>Stylosanthes</v>
      </c>
      <c r="I149" s="25" t="str">
        <f>'2.1. DM'!I149</f>
        <v>angustifolia</v>
      </c>
      <c r="J149" s="25" t="str">
        <f>'2.1. DM'!J149</f>
        <v>Stylosanthes angustifolia</v>
      </c>
      <c r="K149" s="25" t="str">
        <f>'2.1. DM'!K149</f>
        <v>Fabaceae</v>
      </c>
      <c r="L149" s="25" t="str">
        <f>'2.1. DM'!L149</f>
        <v>Fabales</v>
      </c>
      <c r="M149" s="25" t="str">
        <f>'2.1. DM'!M149</f>
        <v>Herbaceous</v>
      </c>
      <c r="N149" s="25" t="str">
        <f>'2.1. DM'!N149</f>
        <v>60,61, 62</v>
      </c>
      <c r="O149" s="25" t="str">
        <f>'2.1. DM'!O149</f>
        <v>OT-031</v>
      </c>
      <c r="P149" s="22" t="s">
        <v>495</v>
      </c>
      <c r="Q149" s="75">
        <v>60.485392020994745</v>
      </c>
      <c r="R149" s="341">
        <f>AVERAGE('2.4 NDF'!Q149:Q150)</f>
        <v>60.090273856915317</v>
      </c>
    </row>
    <row r="150" spans="2:18" x14ac:dyDescent="0.35">
      <c r="B150" s="25">
        <f>'2.1. DM'!B150</f>
        <v>140</v>
      </c>
      <c r="C150" s="21">
        <f>'2.1. DM'!C150</f>
        <v>46048</v>
      </c>
      <c r="D150" s="25" t="str">
        <f>'2.1. DM'!D150</f>
        <v>Genbank</v>
      </c>
      <c r="E150" s="25">
        <f>'2.1. DM'!E150</f>
        <v>28</v>
      </c>
      <c r="F150" s="25" t="str">
        <f>'2.1. DM'!F150</f>
        <v>F252581</v>
      </c>
      <c r="G150" s="25" t="str">
        <f>'2.1. DM'!G150</f>
        <v>CIAT2690</v>
      </c>
      <c r="H150" s="25" t="str">
        <f>'2.1. DM'!H150</f>
        <v>Stylosanthes</v>
      </c>
      <c r="I150" s="25" t="str">
        <f>'2.1. DM'!I150</f>
        <v>angustifolia</v>
      </c>
      <c r="J150" s="25" t="str">
        <f>'2.1. DM'!J150</f>
        <v>Stylosanthes angustifolia</v>
      </c>
      <c r="K150" s="25" t="str">
        <f>'2.1. DM'!K150</f>
        <v>Fabaceae</v>
      </c>
      <c r="L150" s="25" t="str">
        <f>'2.1. DM'!L150</f>
        <v>Fabales</v>
      </c>
      <c r="M150" s="25" t="str">
        <f>'2.1. DM'!M150</f>
        <v>Herbaceous</v>
      </c>
      <c r="N150" s="25" t="str">
        <f>'2.1. DM'!N150</f>
        <v>60,61, 62</v>
      </c>
      <c r="O150" s="25" t="str">
        <f>'2.1. DM'!O150</f>
        <v>OT-031</v>
      </c>
      <c r="P150" s="19" t="s">
        <v>496</v>
      </c>
      <c r="Q150" s="75">
        <v>59.69515569283589</v>
      </c>
      <c r="R150" s="341"/>
    </row>
    <row r="151" spans="2:18" x14ac:dyDescent="0.35">
      <c r="B151" s="25">
        <f>'2.1. DM'!B151</f>
        <v>141</v>
      </c>
      <c r="C151" s="21">
        <f>'2.1. DM'!C151</f>
        <v>46048</v>
      </c>
      <c r="D151" s="25" t="str">
        <f>'2.1. DM'!D151</f>
        <v>Genbank</v>
      </c>
      <c r="E151" s="25">
        <f>'2.1. DM'!E151</f>
        <v>28</v>
      </c>
      <c r="F151" s="25" t="str">
        <f>'2.1. DM'!F151</f>
        <v>F252582</v>
      </c>
      <c r="G151" s="25" t="str">
        <f>'2.1. DM'!G151</f>
        <v>CIAT4069</v>
      </c>
      <c r="H151" s="25" t="str">
        <f>'2.1. DM'!H151</f>
        <v>Macroptilium</v>
      </c>
      <c r="I151" s="25" t="str">
        <f>'2.1. DM'!I151</f>
        <v>atropurpureum</v>
      </c>
      <c r="J151" s="25" t="str">
        <f>'2.1. DM'!J151</f>
        <v>Macroptilium atropurpureum</v>
      </c>
      <c r="K151" s="25" t="str">
        <f>'2.1. DM'!K151</f>
        <v>Fabaceae</v>
      </c>
      <c r="L151" s="25" t="str">
        <f>'2.1. DM'!L151</f>
        <v>Fabales</v>
      </c>
      <c r="M151" s="25" t="str">
        <f>'2.1. DM'!M151</f>
        <v>Herbaceous</v>
      </c>
      <c r="N151" s="25" t="str">
        <f>'2.1. DM'!N151</f>
        <v>60,61, 62</v>
      </c>
      <c r="O151" s="25" t="str">
        <f>'2.1. DM'!O151</f>
        <v>OT-031</v>
      </c>
      <c r="P151" s="22" t="s">
        <v>495</v>
      </c>
      <c r="Q151" s="75">
        <v>50.509975688979011</v>
      </c>
      <c r="R151" s="341">
        <f>AVERAGE('2.4 NDF'!Q151:Q152)</f>
        <v>51.707476989417202</v>
      </c>
    </row>
    <row r="152" spans="2:18" x14ac:dyDescent="0.35">
      <c r="B152" s="25">
        <f>'2.1. DM'!B152</f>
        <v>142</v>
      </c>
      <c r="C152" s="21">
        <f>'2.1. DM'!C152</f>
        <v>46048</v>
      </c>
      <c r="D152" s="25" t="str">
        <f>'2.1. DM'!D152</f>
        <v>Genbank</v>
      </c>
      <c r="E152" s="25">
        <f>'2.1. DM'!E152</f>
        <v>28</v>
      </c>
      <c r="F152" s="25" t="str">
        <f>'2.1. DM'!F152</f>
        <v>F252582</v>
      </c>
      <c r="G152" s="25" t="str">
        <f>'2.1. DM'!G152</f>
        <v>CIAT4069</v>
      </c>
      <c r="H152" s="25" t="str">
        <f>'2.1. DM'!H152</f>
        <v>Macroptilium</v>
      </c>
      <c r="I152" s="25" t="str">
        <f>'2.1. DM'!I152</f>
        <v>atropurpureum</v>
      </c>
      <c r="J152" s="25" t="str">
        <f>'2.1. DM'!J152</f>
        <v>Macroptilium atropurpureum</v>
      </c>
      <c r="K152" s="25" t="str">
        <f>'2.1. DM'!K152</f>
        <v>Fabaceae</v>
      </c>
      <c r="L152" s="25" t="str">
        <f>'2.1. DM'!L152</f>
        <v>Fabales</v>
      </c>
      <c r="M152" s="25" t="str">
        <f>'2.1. DM'!M152</f>
        <v>Herbaceous</v>
      </c>
      <c r="N152" s="25" t="str">
        <f>'2.1. DM'!N152</f>
        <v>60,61, 62</v>
      </c>
      <c r="O152" s="25" t="str">
        <f>'2.1. DM'!O152</f>
        <v>OT-031</v>
      </c>
      <c r="P152" s="19" t="s">
        <v>496</v>
      </c>
      <c r="Q152" s="75">
        <v>52.904978289855386</v>
      </c>
      <c r="R152" s="341"/>
    </row>
    <row r="153" spans="2:18" x14ac:dyDescent="0.35">
      <c r="B153" s="25">
        <f>'2.1. DM'!B153</f>
        <v>143</v>
      </c>
      <c r="C153" s="21">
        <f>'2.1. DM'!C153</f>
        <v>46048</v>
      </c>
      <c r="D153" s="25" t="str">
        <f>'2.1. DM'!D153</f>
        <v>Genbank</v>
      </c>
      <c r="E153" s="25">
        <f>'2.1. DM'!E153</f>
        <v>28</v>
      </c>
      <c r="F153" s="25" t="str">
        <f>'2.1. DM'!F153</f>
        <v>F252583</v>
      </c>
      <c r="G153" s="25" t="str">
        <f>'2.1. DM'!G153</f>
        <v>CIAT4141</v>
      </c>
      <c r="H153" s="25" t="str">
        <f>'2.1. DM'!H153</f>
        <v>Vigna</v>
      </c>
      <c r="I153" s="25" t="str">
        <f>'2.1. DM'!I153</f>
        <v>radiata</v>
      </c>
      <c r="J153" s="25" t="str">
        <f>'2.1. DM'!J153</f>
        <v>Vigna radiata</v>
      </c>
      <c r="K153" s="25" t="str">
        <f>'2.1. DM'!K153</f>
        <v>Fabaceae</v>
      </c>
      <c r="L153" s="25" t="str">
        <f>'2.1. DM'!L153</f>
        <v>Fabales</v>
      </c>
      <c r="M153" s="25" t="str">
        <f>'2.1. DM'!M153</f>
        <v>Herbaceous</v>
      </c>
      <c r="N153" s="25" t="str">
        <f>'2.1. DM'!N153</f>
        <v>60,61, 62</v>
      </c>
      <c r="O153" s="25" t="str">
        <f>'2.1. DM'!O153</f>
        <v>OT-031</v>
      </c>
      <c r="P153" s="22" t="s">
        <v>495</v>
      </c>
      <c r="Q153" s="75">
        <v>48.460377156574459</v>
      </c>
      <c r="R153" s="341">
        <f>AVERAGE('2.4 NDF'!Q153:Q154)</f>
        <v>49.144743408590912</v>
      </c>
    </row>
    <row r="154" spans="2:18" x14ac:dyDescent="0.35">
      <c r="B154" s="25">
        <f>'2.1. DM'!B154</f>
        <v>144</v>
      </c>
      <c r="C154" s="21">
        <f>'2.1. DM'!C154</f>
        <v>46048</v>
      </c>
      <c r="D154" s="25" t="str">
        <f>'2.1. DM'!D154</f>
        <v>Genbank</v>
      </c>
      <c r="E154" s="25">
        <f>'2.1. DM'!E154</f>
        <v>28</v>
      </c>
      <c r="F154" s="25" t="str">
        <f>'2.1. DM'!F154</f>
        <v>F252583</v>
      </c>
      <c r="G154" s="25" t="str">
        <f>'2.1. DM'!G154</f>
        <v>CIAT4141</v>
      </c>
      <c r="H154" s="25" t="str">
        <f>'2.1. DM'!H154</f>
        <v>Vigna</v>
      </c>
      <c r="I154" s="25" t="str">
        <f>'2.1. DM'!I154</f>
        <v>radiata</v>
      </c>
      <c r="J154" s="25" t="str">
        <f>'2.1. DM'!J154</f>
        <v>Vigna radiata</v>
      </c>
      <c r="K154" s="25" t="str">
        <f>'2.1. DM'!K154</f>
        <v>Fabaceae</v>
      </c>
      <c r="L154" s="25" t="str">
        <f>'2.1. DM'!L154</f>
        <v>Fabales</v>
      </c>
      <c r="M154" s="25" t="str">
        <f>'2.1. DM'!M154</f>
        <v>Herbaceous</v>
      </c>
      <c r="N154" s="25" t="str">
        <f>'2.1. DM'!N154</f>
        <v>60,61, 62</v>
      </c>
      <c r="O154" s="25" t="str">
        <f>'2.1. DM'!O154</f>
        <v>OT-031</v>
      </c>
      <c r="P154" s="19" t="s">
        <v>496</v>
      </c>
      <c r="Q154" s="75">
        <v>49.829109660607358</v>
      </c>
      <c r="R154" s="341"/>
    </row>
    <row r="155" spans="2:18" x14ac:dyDescent="0.35">
      <c r="B155" s="25">
        <f>'2.1. DM'!B155</f>
        <v>145</v>
      </c>
      <c r="C155" s="21">
        <f>'2.1. DM'!C155</f>
        <v>46048</v>
      </c>
      <c r="D155" s="25" t="str">
        <f>'2.1. DM'!D155</f>
        <v>Genbank</v>
      </c>
      <c r="E155" s="25">
        <f>'2.1. DM'!E155</f>
        <v>28</v>
      </c>
      <c r="F155" s="25" t="str">
        <f>'2.1. DM'!F155</f>
        <v>F252584</v>
      </c>
      <c r="G155" s="25" t="str">
        <f>'2.1. DM'!G155</f>
        <v>CIAT4532</v>
      </c>
      <c r="H155" s="25" t="str">
        <f>'2.1. DM'!H155</f>
        <v>Vigna</v>
      </c>
      <c r="I155" s="25" t="str">
        <f>'2.1. DM'!I155</f>
        <v>unguiculata</v>
      </c>
      <c r="J155" s="25" t="str">
        <f>'2.1. DM'!J155</f>
        <v>Vigna unguiculata</v>
      </c>
      <c r="K155" s="25" t="str">
        <f>'2.1. DM'!K155</f>
        <v>Fabaceae</v>
      </c>
      <c r="L155" s="25" t="str">
        <f>'2.1. DM'!L155</f>
        <v>Fabales</v>
      </c>
      <c r="M155" s="25" t="str">
        <f>'2.1. DM'!M155</f>
        <v>Herbaceous</v>
      </c>
      <c r="N155" s="25" t="str">
        <f>'2.1. DM'!N155</f>
        <v>60,61, 62</v>
      </c>
      <c r="O155" s="25" t="str">
        <f>'2.1. DM'!O155</f>
        <v>OT-031</v>
      </c>
      <c r="P155" s="22" t="s">
        <v>495</v>
      </c>
      <c r="Q155" s="75">
        <v>48.021707936521743</v>
      </c>
      <c r="R155" s="341">
        <f>AVERAGE('2.4 NDF'!Q155:Q156)</f>
        <v>48.316443559511612</v>
      </c>
    </row>
    <row r="156" spans="2:18" x14ac:dyDescent="0.35">
      <c r="B156" s="25">
        <f>'2.1. DM'!B156</f>
        <v>146</v>
      </c>
      <c r="C156" s="21">
        <f>'2.1. DM'!C156</f>
        <v>46048</v>
      </c>
      <c r="D156" s="25" t="str">
        <f>'2.1. DM'!D156</f>
        <v>Genbank</v>
      </c>
      <c r="E156" s="25">
        <f>'2.1. DM'!E156</f>
        <v>28</v>
      </c>
      <c r="F156" s="25" t="str">
        <f>'2.1. DM'!F156</f>
        <v>F252584</v>
      </c>
      <c r="G156" s="25" t="str">
        <f>'2.1. DM'!G156</f>
        <v>CIAT4532</v>
      </c>
      <c r="H156" s="25" t="str">
        <f>'2.1. DM'!H156</f>
        <v>Vigna</v>
      </c>
      <c r="I156" s="25" t="str">
        <f>'2.1. DM'!I156</f>
        <v>unguiculata</v>
      </c>
      <c r="J156" s="25" t="str">
        <f>'2.1. DM'!J156</f>
        <v>Vigna unguiculata</v>
      </c>
      <c r="K156" s="25" t="str">
        <f>'2.1. DM'!K156</f>
        <v>Fabaceae</v>
      </c>
      <c r="L156" s="25" t="str">
        <f>'2.1. DM'!L156</f>
        <v>Fabales</v>
      </c>
      <c r="M156" s="25" t="str">
        <f>'2.1. DM'!M156</f>
        <v>Herbaceous</v>
      </c>
      <c r="N156" s="25" t="str">
        <f>'2.1. DM'!N156</f>
        <v>60,61, 62</v>
      </c>
      <c r="O156" s="25" t="str">
        <f>'2.1. DM'!O156</f>
        <v>OT-031</v>
      </c>
      <c r="P156" s="19" t="s">
        <v>496</v>
      </c>
      <c r="Q156" s="75">
        <v>48.611179182501481</v>
      </c>
      <c r="R156" s="341"/>
    </row>
    <row r="157" spans="2:18" x14ac:dyDescent="0.35">
      <c r="B157" s="25">
        <f>'2.1. DM'!B157</f>
        <v>147</v>
      </c>
      <c r="C157" s="21">
        <f>'2.1. DM'!C157</f>
        <v>46048</v>
      </c>
      <c r="D157" s="25" t="str">
        <f>'2.1. DM'!D157</f>
        <v>Genbank</v>
      </c>
      <c r="E157" s="25">
        <f>'2.1. DM'!E157</f>
        <v>28</v>
      </c>
      <c r="F157" s="25" t="str">
        <f>'2.1. DM'!F157</f>
        <v>F252585</v>
      </c>
      <c r="G157" s="25" t="str">
        <f>'2.1. DM'!G157</f>
        <v>CIAT4537</v>
      </c>
      <c r="H157" s="25" t="str">
        <f>'2.1. DM'!H157</f>
        <v>Vigna</v>
      </c>
      <c r="I157" s="25" t="str">
        <f>'2.1. DM'!I157</f>
        <v>unguiculata</v>
      </c>
      <c r="J157" s="25" t="str">
        <f>'2.1. DM'!J157</f>
        <v>Vigna unguiculata</v>
      </c>
      <c r="K157" s="25" t="str">
        <f>'2.1. DM'!K157</f>
        <v>Fabaceae</v>
      </c>
      <c r="L157" s="25" t="str">
        <f>'2.1. DM'!L157</f>
        <v>Fabales</v>
      </c>
      <c r="M157" s="25" t="str">
        <f>'2.1. DM'!M157</f>
        <v>Herbaceous</v>
      </c>
      <c r="N157" s="25" t="str">
        <f>'2.1. DM'!N157</f>
        <v>60,61, 62</v>
      </c>
      <c r="O157" s="25" t="str">
        <f>'2.1. DM'!O157</f>
        <v>OT-031</v>
      </c>
      <c r="P157" s="22" t="s">
        <v>495</v>
      </c>
      <c r="Q157" s="75">
        <v>51.303127441771601</v>
      </c>
      <c r="R157" s="341">
        <f>AVERAGE('2.4 NDF'!Q157:Q158)</f>
        <v>49.629956750895957</v>
      </c>
    </row>
    <row r="158" spans="2:18" x14ac:dyDescent="0.35">
      <c r="B158" s="25">
        <f>'2.1. DM'!B158</f>
        <v>148</v>
      </c>
      <c r="C158" s="21">
        <f>'2.1. DM'!C158</f>
        <v>46048</v>
      </c>
      <c r="D158" s="25" t="str">
        <f>'2.1. DM'!D158</f>
        <v>Genbank</v>
      </c>
      <c r="E158" s="25">
        <f>'2.1. DM'!E158</f>
        <v>28</v>
      </c>
      <c r="F158" s="25" t="str">
        <f>'2.1. DM'!F158</f>
        <v>F252585</v>
      </c>
      <c r="G158" s="25" t="str">
        <f>'2.1. DM'!G158</f>
        <v>CIAT4537</v>
      </c>
      <c r="H158" s="25" t="str">
        <f>'2.1. DM'!H158</f>
        <v>Vigna</v>
      </c>
      <c r="I158" s="25" t="str">
        <f>'2.1. DM'!I158</f>
        <v>unguiculata</v>
      </c>
      <c r="J158" s="25" t="str">
        <f>'2.1. DM'!J158</f>
        <v>Vigna unguiculata</v>
      </c>
      <c r="K158" s="25" t="str">
        <f>'2.1. DM'!K158</f>
        <v>Fabaceae</v>
      </c>
      <c r="L158" s="25" t="str">
        <f>'2.1. DM'!L158</f>
        <v>Fabales</v>
      </c>
      <c r="M158" s="25" t="str">
        <f>'2.1. DM'!M158</f>
        <v>Herbaceous</v>
      </c>
      <c r="N158" s="25" t="str">
        <f>'2.1. DM'!N158</f>
        <v>60,61, 62</v>
      </c>
      <c r="O158" s="25" t="str">
        <f>'2.1. DM'!O158</f>
        <v>OT-031</v>
      </c>
      <c r="P158" s="19" t="s">
        <v>496</v>
      </c>
      <c r="Q158" s="75">
        <v>47.956786060020306</v>
      </c>
      <c r="R158" s="341"/>
    </row>
    <row r="159" spans="2:18" x14ac:dyDescent="0.35">
      <c r="B159" s="25">
        <f>'2.1. DM'!B159</f>
        <v>149</v>
      </c>
      <c r="C159" s="21">
        <f>'2.1. DM'!C159</f>
        <v>46048</v>
      </c>
      <c r="D159" s="25" t="str">
        <f>'2.1. DM'!D159</f>
        <v>Genbank</v>
      </c>
      <c r="E159" s="25">
        <f>'2.1. DM'!E159</f>
        <v>28</v>
      </c>
      <c r="F159" s="25" t="str">
        <f>'2.1. DM'!F159</f>
        <v>F252586</v>
      </c>
      <c r="G159" s="25" t="str">
        <f>'2.1. DM'!G159</f>
        <v>CIAT7289</v>
      </c>
      <c r="H159" s="25" t="str">
        <f>'2.1. DM'!H159</f>
        <v>Chamaecrista</v>
      </c>
      <c r="I159" s="25" t="str">
        <f>'2.1. DM'!I159</f>
        <v>mimosoides</v>
      </c>
      <c r="J159" s="25" t="str">
        <f>'2.1. DM'!J159</f>
        <v>Chamaecrista mimosoides</v>
      </c>
      <c r="K159" s="25" t="str">
        <f>'2.1. DM'!K159</f>
        <v>Fabaceae</v>
      </c>
      <c r="L159" s="25" t="str">
        <f>'2.1. DM'!L159</f>
        <v>Fabales</v>
      </c>
      <c r="M159" s="25" t="str">
        <f>'2.1. DM'!M159</f>
        <v>Herbaceous</v>
      </c>
      <c r="N159" s="25" t="str">
        <f>'2.1. DM'!N159</f>
        <v>60,61, 62</v>
      </c>
      <c r="O159" s="25" t="str">
        <f>'2.1. DM'!O159</f>
        <v>OT-031</v>
      </c>
      <c r="P159" s="22" t="s">
        <v>495</v>
      </c>
      <c r="Q159" s="75">
        <v>58.07161357174737</v>
      </c>
      <c r="R159" s="341">
        <f>AVERAGE('2.4 NDF'!Q159:Q160)</f>
        <v>57.453768903661569</v>
      </c>
    </row>
    <row r="160" spans="2:18" x14ac:dyDescent="0.35">
      <c r="B160" s="25">
        <f>'2.1. DM'!B160</f>
        <v>150</v>
      </c>
      <c r="C160" s="21">
        <f>'2.1. DM'!C160</f>
        <v>46048</v>
      </c>
      <c r="D160" s="25" t="str">
        <f>'2.1. DM'!D160</f>
        <v>Genbank</v>
      </c>
      <c r="E160" s="25">
        <f>'2.1. DM'!E160</f>
        <v>28</v>
      </c>
      <c r="F160" s="25" t="str">
        <f>'2.1. DM'!F160</f>
        <v>F252586</v>
      </c>
      <c r="G160" s="25" t="str">
        <f>'2.1. DM'!G160</f>
        <v>CIAT7289</v>
      </c>
      <c r="H160" s="25" t="str">
        <f>'2.1. DM'!H160</f>
        <v>Chamaecrista</v>
      </c>
      <c r="I160" s="25" t="str">
        <f>'2.1. DM'!I160</f>
        <v>mimosoides</v>
      </c>
      <c r="J160" s="25" t="str">
        <f>'2.1. DM'!J160</f>
        <v>Chamaecrista mimosoides</v>
      </c>
      <c r="K160" s="25" t="str">
        <f>'2.1. DM'!K160</f>
        <v>Fabaceae</v>
      </c>
      <c r="L160" s="25" t="str">
        <f>'2.1. DM'!L160</f>
        <v>Fabales</v>
      </c>
      <c r="M160" s="25" t="str">
        <f>'2.1. DM'!M160</f>
        <v>Herbaceous</v>
      </c>
      <c r="N160" s="25" t="str">
        <f>'2.1. DM'!N160</f>
        <v>60,61, 62</v>
      </c>
      <c r="O160" s="25" t="str">
        <f>'2.1. DM'!O160</f>
        <v>OT-031</v>
      </c>
      <c r="P160" s="19" t="s">
        <v>496</v>
      </c>
      <c r="Q160" s="75">
        <v>56.835924235575774</v>
      </c>
      <c r="R160" s="341"/>
    </row>
    <row r="161" spans="2:18" x14ac:dyDescent="0.35">
      <c r="B161" s="25">
        <f>'2.1. DM'!B161</f>
        <v>151</v>
      </c>
      <c r="C161" s="21">
        <f>'2.1. DM'!C161</f>
        <v>46048</v>
      </c>
      <c r="D161" s="25" t="str">
        <f>'2.1. DM'!D161</f>
        <v>Genbank</v>
      </c>
      <c r="E161" s="25">
        <f>'2.1. DM'!E161</f>
        <v>28</v>
      </c>
      <c r="F161" s="25" t="str">
        <f>'2.1. DM'!F161</f>
        <v>F252587</v>
      </c>
      <c r="G161" s="25" t="str">
        <f>'2.1. DM'!G161</f>
        <v>CIAT7826</v>
      </c>
      <c r="H161" s="25" t="str">
        <f>'2.1. DM'!H161</f>
        <v>Tephrosia</v>
      </c>
      <c r="I161" s="25" t="str">
        <f>'2.1. DM'!I161</f>
        <v>purpurea</v>
      </c>
      <c r="J161" s="25" t="str">
        <f>'2.1. DM'!J161</f>
        <v>Tephrosia purpurea</v>
      </c>
      <c r="K161" s="25" t="str">
        <f>'2.1. DM'!K161</f>
        <v>Fabaceae</v>
      </c>
      <c r="L161" s="25" t="str">
        <f>'2.1. DM'!L161</f>
        <v>Fabales</v>
      </c>
      <c r="M161" s="25" t="str">
        <f>'2.1. DM'!M161</f>
        <v>Herbaceous</v>
      </c>
      <c r="N161" s="25" t="str">
        <f>'2.1. DM'!N161</f>
        <v>60,61, 62</v>
      </c>
      <c r="O161" s="25" t="str">
        <f>'2.1. DM'!O161</f>
        <v>OT-031</v>
      </c>
      <c r="P161" s="22" t="s">
        <v>495</v>
      </c>
      <c r="Q161" s="75">
        <v>53.011804370416748</v>
      </c>
      <c r="R161" s="341">
        <f>AVERAGE('2.4 NDF'!Q161:Q162)</f>
        <v>53.568952195974695</v>
      </c>
    </row>
    <row r="162" spans="2:18" x14ac:dyDescent="0.35">
      <c r="B162" s="25">
        <f>'2.1. DM'!B162</f>
        <v>152</v>
      </c>
      <c r="C162" s="21">
        <f>'2.1. DM'!C162</f>
        <v>46048</v>
      </c>
      <c r="D162" s="25" t="str">
        <f>'2.1. DM'!D162</f>
        <v>Genbank</v>
      </c>
      <c r="E162" s="25">
        <f>'2.1. DM'!E162</f>
        <v>28</v>
      </c>
      <c r="F162" s="25" t="str">
        <f>'2.1. DM'!F162</f>
        <v>F252587</v>
      </c>
      <c r="G162" s="25" t="str">
        <f>'2.1. DM'!G162</f>
        <v>CIAT7826</v>
      </c>
      <c r="H162" s="25" t="str">
        <f>'2.1. DM'!H162</f>
        <v>Tephrosia</v>
      </c>
      <c r="I162" s="25" t="str">
        <f>'2.1. DM'!I162</f>
        <v>purpurea</v>
      </c>
      <c r="J162" s="25" t="str">
        <f>'2.1. DM'!J162</f>
        <v>Tephrosia purpurea</v>
      </c>
      <c r="K162" s="25" t="str">
        <f>'2.1. DM'!K162</f>
        <v>Fabaceae</v>
      </c>
      <c r="L162" s="25" t="str">
        <f>'2.1. DM'!L162</f>
        <v>Fabales</v>
      </c>
      <c r="M162" s="25" t="str">
        <f>'2.1. DM'!M162</f>
        <v>Herbaceous</v>
      </c>
      <c r="N162" s="25" t="str">
        <f>'2.1. DM'!N162</f>
        <v>60,61, 62</v>
      </c>
      <c r="O162" s="25" t="str">
        <f>'2.1. DM'!O162</f>
        <v>OT-031</v>
      </c>
      <c r="P162" s="19" t="s">
        <v>496</v>
      </c>
      <c r="Q162" s="75">
        <v>54.126100021532643</v>
      </c>
      <c r="R162" s="341"/>
    </row>
    <row r="163" spans="2:18" x14ac:dyDescent="0.35">
      <c r="B163" s="25">
        <f>'2.1. DM'!B163</f>
        <v>153</v>
      </c>
      <c r="C163" s="21">
        <f>'2.1. DM'!C163</f>
        <v>46048</v>
      </c>
      <c r="D163" s="25" t="str">
        <f>'2.1. DM'!D163</f>
        <v>Genbank</v>
      </c>
      <c r="E163" s="25">
        <f>'2.1. DM'!E163</f>
        <v>28</v>
      </c>
      <c r="F163" s="25" t="str">
        <f>'2.1. DM'!F163</f>
        <v>F252588</v>
      </c>
      <c r="G163" s="25" t="str">
        <f>'2.1. DM'!G163</f>
        <v>CIAT8014</v>
      </c>
      <c r="H163" s="25" t="str">
        <f>'2.1. DM'!H163</f>
        <v>Crotalaria</v>
      </c>
      <c r="I163" s="25" t="str">
        <f>'2.1. DM'!I163</f>
        <v>retusa</v>
      </c>
      <c r="J163" s="25" t="str">
        <f>'2.1. DM'!J163</f>
        <v>Crotalaria retusa</v>
      </c>
      <c r="K163" s="25" t="str">
        <f>'2.1. DM'!K163</f>
        <v>Fabaceae</v>
      </c>
      <c r="L163" s="25" t="str">
        <f>'2.1. DM'!L163</f>
        <v>Fabales</v>
      </c>
      <c r="M163" s="25" t="str">
        <f>'2.1. DM'!M163</f>
        <v>Herbaceous</v>
      </c>
      <c r="N163" s="25" t="str">
        <f>'2.1. DM'!N163</f>
        <v>60,61, 62</v>
      </c>
      <c r="O163" s="25" t="str">
        <f>'2.1. DM'!O163</f>
        <v>OT-031</v>
      </c>
      <c r="P163" s="22" t="s">
        <v>495</v>
      </c>
      <c r="Q163" s="75">
        <v>56.562950913824004</v>
      </c>
      <c r="R163" s="341">
        <f>AVERAGE('2.4 NDF'!Q163:Q164)</f>
        <v>54.878367369837591</v>
      </c>
    </row>
    <row r="164" spans="2:18" x14ac:dyDescent="0.35">
      <c r="B164" s="25">
        <f>'2.1. DM'!B164</f>
        <v>154</v>
      </c>
      <c r="C164" s="21">
        <f>'2.1. DM'!C164</f>
        <v>46048</v>
      </c>
      <c r="D164" s="25" t="str">
        <f>'2.1. DM'!D164</f>
        <v>Genbank</v>
      </c>
      <c r="E164" s="25">
        <f>'2.1. DM'!E164</f>
        <v>28</v>
      </c>
      <c r="F164" s="25" t="str">
        <f>'2.1. DM'!F164</f>
        <v>F252588</v>
      </c>
      <c r="G164" s="25" t="str">
        <f>'2.1. DM'!G164</f>
        <v>CIAT8014</v>
      </c>
      <c r="H164" s="25" t="str">
        <f>'2.1. DM'!H164</f>
        <v>Crotalaria</v>
      </c>
      <c r="I164" s="25" t="str">
        <f>'2.1. DM'!I164</f>
        <v>retusa</v>
      </c>
      <c r="J164" s="25" t="str">
        <f>'2.1. DM'!J164</f>
        <v>Crotalaria retusa</v>
      </c>
      <c r="K164" s="25" t="str">
        <f>'2.1. DM'!K164</f>
        <v>Fabaceae</v>
      </c>
      <c r="L164" s="25" t="str">
        <f>'2.1. DM'!L164</f>
        <v>Fabales</v>
      </c>
      <c r="M164" s="25" t="str">
        <f>'2.1. DM'!M164</f>
        <v>Herbaceous</v>
      </c>
      <c r="N164" s="25" t="str">
        <f>'2.1. DM'!N164</f>
        <v>60,61, 62</v>
      </c>
      <c r="O164" s="25" t="str">
        <f>'2.1. DM'!O164</f>
        <v>OT-031</v>
      </c>
      <c r="P164" s="19" t="s">
        <v>496</v>
      </c>
      <c r="Q164" s="75">
        <v>53.193783825851185</v>
      </c>
      <c r="R164" s="341"/>
    </row>
    <row r="165" spans="2:18" x14ac:dyDescent="0.35">
      <c r="B165" s="25">
        <f>'2.1. DM'!B165</f>
        <v>155</v>
      </c>
      <c r="C165" s="21">
        <f>'2.1. DM'!C165</f>
        <v>46048</v>
      </c>
      <c r="D165" s="25" t="str">
        <f>'2.1. DM'!D165</f>
        <v>Genbank</v>
      </c>
      <c r="E165" s="25">
        <f>'2.1. DM'!E165</f>
        <v>28</v>
      </c>
      <c r="F165" s="25" t="str">
        <f>'2.1. DM'!F165</f>
        <v>F252589</v>
      </c>
      <c r="G165" s="25" t="str">
        <f>'2.1. DM'!G165</f>
        <v>CIAT8849</v>
      </c>
      <c r="H165" s="25" t="str">
        <f>'2.1. DM'!H165</f>
        <v>Zornia</v>
      </c>
      <c r="I165" s="25" t="str">
        <f>'2.1. DM'!I165</f>
        <v>brasiliensis</v>
      </c>
      <c r="J165" s="25" t="str">
        <f>'2.1. DM'!J165</f>
        <v>Zornia brasiliensis</v>
      </c>
      <c r="K165" s="25" t="str">
        <f>'2.1. DM'!K165</f>
        <v>Fabaceae</v>
      </c>
      <c r="L165" s="25" t="str">
        <f>'2.1. DM'!L165</f>
        <v>Fabales</v>
      </c>
      <c r="M165" s="25" t="str">
        <f>'2.1. DM'!M165</f>
        <v>Herbaceous</v>
      </c>
      <c r="N165" s="25" t="str">
        <f>'2.1. DM'!N165</f>
        <v>60,61, 62</v>
      </c>
      <c r="O165" s="25" t="str">
        <f>'2.1. DM'!O165</f>
        <v>OT-031</v>
      </c>
      <c r="P165" s="22" t="s">
        <v>495</v>
      </c>
      <c r="Q165" s="75">
        <v>52.255957786305643</v>
      </c>
      <c r="R165" s="341">
        <f>AVERAGE('2.4 NDF'!Q165:Q166)</f>
        <v>51.955224990697992</v>
      </c>
    </row>
    <row r="166" spans="2:18" x14ac:dyDescent="0.35">
      <c r="B166" s="25">
        <f>'2.1. DM'!B166</f>
        <v>156</v>
      </c>
      <c r="C166" s="21">
        <f>'2.1. DM'!C166</f>
        <v>46048</v>
      </c>
      <c r="D166" s="25" t="str">
        <f>'2.1. DM'!D166</f>
        <v>Genbank</v>
      </c>
      <c r="E166" s="25">
        <f>'2.1. DM'!E166</f>
        <v>28</v>
      </c>
      <c r="F166" s="25" t="str">
        <f>'2.1. DM'!F166</f>
        <v>F252589</v>
      </c>
      <c r="G166" s="25" t="str">
        <f>'2.1. DM'!G166</f>
        <v>CIAT8849</v>
      </c>
      <c r="H166" s="25" t="str">
        <f>'2.1. DM'!H166</f>
        <v>Zornia</v>
      </c>
      <c r="I166" s="25" t="str">
        <f>'2.1. DM'!I166</f>
        <v>brasiliensis</v>
      </c>
      <c r="J166" s="25" t="str">
        <f>'2.1. DM'!J166</f>
        <v>Zornia brasiliensis</v>
      </c>
      <c r="K166" s="25" t="str">
        <f>'2.1. DM'!K166</f>
        <v>Fabaceae</v>
      </c>
      <c r="L166" s="25" t="str">
        <f>'2.1. DM'!L166</f>
        <v>Fabales</v>
      </c>
      <c r="M166" s="25" t="str">
        <f>'2.1. DM'!M166</f>
        <v>Herbaceous</v>
      </c>
      <c r="N166" s="25" t="str">
        <f>'2.1. DM'!N166</f>
        <v>60,61, 62</v>
      </c>
      <c r="O166" s="25" t="str">
        <f>'2.1. DM'!O166</f>
        <v>OT-031</v>
      </c>
      <c r="P166" s="19" t="s">
        <v>496</v>
      </c>
      <c r="Q166" s="23">
        <v>51.654492195090342</v>
      </c>
      <c r="R166" s="341"/>
    </row>
    <row r="167" spans="2:18" x14ac:dyDescent="0.35">
      <c r="B167" s="25">
        <f>'2.1. DM'!B167</f>
        <v>157</v>
      </c>
      <c r="C167" s="21">
        <f>'2.1. DM'!C167</f>
        <v>46048</v>
      </c>
      <c r="D167" s="25" t="str">
        <f>'2.1. DM'!D167</f>
        <v>Genbank</v>
      </c>
      <c r="E167" s="25">
        <f>'2.1. DM'!E167</f>
        <v>28</v>
      </c>
      <c r="F167" s="25" t="str">
        <f>'2.1. DM'!F167</f>
        <v>F252590</v>
      </c>
      <c r="G167" s="25" t="str">
        <f>'2.1. DM'!G167</f>
        <v>CIAT9326</v>
      </c>
      <c r="H167" s="25" t="str">
        <f>'2.1. DM'!H167</f>
        <v>Crotalaria</v>
      </c>
      <c r="I167" s="25" t="str">
        <f>'2.1. DM'!I167</f>
        <v>retusa</v>
      </c>
      <c r="J167" s="25" t="str">
        <f>'2.1. DM'!J167</f>
        <v>Crotalaria retusa</v>
      </c>
      <c r="K167" s="25" t="str">
        <f>'2.1. DM'!K167</f>
        <v>Fabaceae</v>
      </c>
      <c r="L167" s="25" t="str">
        <f>'2.1. DM'!L167</f>
        <v>Fabales</v>
      </c>
      <c r="M167" s="25" t="str">
        <f>'2.1. DM'!M167</f>
        <v>Herbaceous</v>
      </c>
      <c r="N167" s="25" t="str">
        <f>'2.1. DM'!N167</f>
        <v>60,61, 62</v>
      </c>
      <c r="O167" s="25" t="str">
        <f>'2.1. DM'!O167</f>
        <v>OT-031</v>
      </c>
      <c r="P167" s="22" t="s">
        <v>495</v>
      </c>
      <c r="Q167" s="23">
        <v>49.513120194449748</v>
      </c>
      <c r="R167" s="341">
        <f>AVERAGE('2.4 NDF'!Q167:Q168)</f>
        <v>49.992196784000882</v>
      </c>
    </row>
    <row r="168" spans="2:18" x14ac:dyDescent="0.35">
      <c r="B168" s="25">
        <f>'2.1. DM'!B168</f>
        <v>158</v>
      </c>
      <c r="C168" s="21">
        <f>'2.1. DM'!C168</f>
        <v>46048</v>
      </c>
      <c r="D168" s="25" t="str">
        <f>'2.1. DM'!D168</f>
        <v>Genbank</v>
      </c>
      <c r="E168" s="25">
        <f>'2.1. DM'!E168</f>
        <v>28</v>
      </c>
      <c r="F168" s="25" t="str">
        <f>'2.1. DM'!F168</f>
        <v>F252590</v>
      </c>
      <c r="G168" s="25" t="str">
        <f>'2.1. DM'!G168</f>
        <v>CIAT9326</v>
      </c>
      <c r="H168" s="25" t="str">
        <f>'2.1. DM'!H168</f>
        <v>Crotalaria</v>
      </c>
      <c r="I168" s="25" t="str">
        <f>'2.1. DM'!I168</f>
        <v>retusa</v>
      </c>
      <c r="J168" s="25" t="str">
        <f>'2.1. DM'!J168</f>
        <v>Crotalaria retusa</v>
      </c>
      <c r="K168" s="25" t="str">
        <f>'2.1. DM'!K168</f>
        <v>Fabaceae</v>
      </c>
      <c r="L168" s="25" t="str">
        <f>'2.1. DM'!L168</f>
        <v>Fabales</v>
      </c>
      <c r="M168" s="25" t="str">
        <f>'2.1. DM'!M168</f>
        <v>Herbaceous</v>
      </c>
      <c r="N168" s="25" t="str">
        <f>'2.1. DM'!N168</f>
        <v>60,61, 62</v>
      </c>
      <c r="O168" s="25" t="str">
        <f>'2.1. DM'!O168</f>
        <v>OT-031</v>
      </c>
      <c r="P168" s="19" t="s">
        <v>496</v>
      </c>
      <c r="Q168" s="23">
        <v>50.471273373552016</v>
      </c>
      <c r="R168" s="341"/>
    </row>
    <row r="169" spans="2:18" x14ac:dyDescent="0.35">
      <c r="B169" s="25">
        <f>'2.1. DM'!B169</f>
        <v>159</v>
      </c>
      <c r="C169" s="21">
        <f>'2.1. DM'!C169</f>
        <v>46048</v>
      </c>
      <c r="D169" s="25" t="str">
        <f>'2.1. DM'!D169</f>
        <v>Genbank</v>
      </c>
      <c r="E169" s="25">
        <f>'2.1. DM'!E169</f>
        <v>28</v>
      </c>
      <c r="F169" s="25" t="str">
        <f>'2.1. DM'!F169</f>
        <v>F252591</v>
      </c>
      <c r="G169" s="25" t="str">
        <f>'2.1. DM'!G169</f>
        <v>CIAT9337</v>
      </c>
      <c r="H169" s="25" t="str">
        <f>'2.1. DM'!H169</f>
        <v>Crotalaria</v>
      </c>
      <c r="I169" s="25" t="str">
        <f>'2.1. DM'!I169</f>
        <v>retusa</v>
      </c>
      <c r="J169" s="25" t="str">
        <f>'2.1. DM'!J169</f>
        <v>Crotalaria retusa</v>
      </c>
      <c r="K169" s="25" t="str">
        <f>'2.1. DM'!K169</f>
        <v>Fabaceae</v>
      </c>
      <c r="L169" s="25" t="str">
        <f>'2.1. DM'!L169</f>
        <v>Fabales</v>
      </c>
      <c r="M169" s="25" t="str">
        <f>'2.1. DM'!M169</f>
        <v>Herbaceous</v>
      </c>
      <c r="N169" s="25" t="str">
        <f>'2.1. DM'!N169</f>
        <v>60,61, 62</v>
      </c>
      <c r="O169" s="25" t="str">
        <f>'2.1. DM'!O169</f>
        <v>OT-031</v>
      </c>
      <c r="P169" s="22" t="s">
        <v>495</v>
      </c>
      <c r="Q169" s="23">
        <v>46.742979579213475</v>
      </c>
      <c r="R169" s="341">
        <f>AVERAGE('2.4 NDF'!Q169:Q170)</f>
        <v>47.123074652188819</v>
      </c>
    </row>
    <row r="170" spans="2:18" x14ac:dyDescent="0.35">
      <c r="B170" s="25">
        <f>'2.1. DM'!B170</f>
        <v>160</v>
      </c>
      <c r="C170" s="21">
        <f>'2.1. DM'!C170</f>
        <v>46048</v>
      </c>
      <c r="D170" s="25" t="str">
        <f>'2.1. DM'!D170</f>
        <v>Genbank</v>
      </c>
      <c r="E170" s="25">
        <f>'2.1. DM'!E170</f>
        <v>28</v>
      </c>
      <c r="F170" s="25" t="str">
        <f>'2.1. DM'!F170</f>
        <v>F252591</v>
      </c>
      <c r="G170" s="25" t="str">
        <f>'2.1. DM'!G170</f>
        <v>CIAT9337</v>
      </c>
      <c r="H170" s="25" t="str">
        <f>'2.1. DM'!H170</f>
        <v>Crotalaria</v>
      </c>
      <c r="I170" s="25" t="str">
        <f>'2.1. DM'!I170</f>
        <v>retusa</v>
      </c>
      <c r="J170" s="25" t="str">
        <f>'2.1. DM'!J170</f>
        <v>Crotalaria retusa</v>
      </c>
      <c r="K170" s="25" t="str">
        <f>'2.1. DM'!K170</f>
        <v>Fabaceae</v>
      </c>
      <c r="L170" s="25" t="str">
        <f>'2.1. DM'!L170</f>
        <v>Fabales</v>
      </c>
      <c r="M170" s="25" t="str">
        <f>'2.1. DM'!M170</f>
        <v>Herbaceous</v>
      </c>
      <c r="N170" s="25" t="str">
        <f>'2.1. DM'!N170</f>
        <v>60,61, 62</v>
      </c>
      <c r="O170" s="25" t="str">
        <f>'2.1. DM'!O170</f>
        <v>OT-031</v>
      </c>
      <c r="P170" s="19" t="s">
        <v>496</v>
      </c>
      <c r="Q170" s="23">
        <v>47.503169725164156</v>
      </c>
      <c r="R170" s="341"/>
    </row>
    <row r="171" spans="2:18" x14ac:dyDescent="0.35">
      <c r="B171" s="25">
        <f>'2.1. DM'!B171</f>
        <v>161</v>
      </c>
      <c r="C171" s="21">
        <f>'2.1. DM'!C171</f>
        <v>46048</v>
      </c>
      <c r="D171" s="25" t="str">
        <f>'2.1. DM'!D171</f>
        <v>Genbank</v>
      </c>
      <c r="E171" s="25">
        <f>'2.1. DM'!E171</f>
        <v>28</v>
      </c>
      <c r="F171" s="25" t="str">
        <f>'2.1. DM'!F171</f>
        <v>F252592</v>
      </c>
      <c r="G171" s="25" t="str">
        <f>'2.1. DM'!G171</f>
        <v>CIAT9350</v>
      </c>
      <c r="H171" s="25" t="str">
        <f>'2.1. DM'!H171</f>
        <v>Crotalaria</v>
      </c>
      <c r="I171" s="25" t="str">
        <f>'2.1. DM'!I171</f>
        <v>pumila</v>
      </c>
      <c r="J171" s="25" t="str">
        <f>'2.1. DM'!J171</f>
        <v>Crotalaria pumila</v>
      </c>
      <c r="K171" s="25" t="str">
        <f>'2.1. DM'!K171</f>
        <v>Fabaceae</v>
      </c>
      <c r="L171" s="25" t="str">
        <f>'2.1. DM'!L171</f>
        <v>Fabales</v>
      </c>
      <c r="M171" s="25" t="str">
        <f>'2.1. DM'!M171</f>
        <v>Herbaceous</v>
      </c>
      <c r="N171" s="25" t="str">
        <f>'2.1. DM'!N171</f>
        <v>60,61, 62</v>
      </c>
      <c r="O171" s="25" t="str">
        <f>'2.1. DM'!O171</f>
        <v>OT-031</v>
      </c>
      <c r="P171" s="22" t="s">
        <v>495</v>
      </c>
      <c r="Q171" s="23">
        <v>49.650552748171087</v>
      </c>
      <c r="R171" s="341">
        <f>AVERAGE('2.4 NDF'!Q171:Q172)</f>
        <v>49.724803288775085</v>
      </c>
    </row>
    <row r="172" spans="2:18" x14ac:dyDescent="0.35">
      <c r="B172" s="25">
        <f>'2.1. DM'!B172</f>
        <v>162</v>
      </c>
      <c r="C172" s="21">
        <f>'2.1. DM'!C172</f>
        <v>46048</v>
      </c>
      <c r="D172" s="25" t="str">
        <f>'2.1. DM'!D172</f>
        <v>Genbank</v>
      </c>
      <c r="E172" s="25">
        <f>'2.1. DM'!E172</f>
        <v>28</v>
      </c>
      <c r="F172" s="25" t="str">
        <f>'2.1. DM'!F172</f>
        <v>F252592</v>
      </c>
      <c r="G172" s="25" t="str">
        <f>'2.1. DM'!G172</f>
        <v>CIAT9350</v>
      </c>
      <c r="H172" s="25" t="str">
        <f>'2.1. DM'!H172</f>
        <v>Crotalaria</v>
      </c>
      <c r="I172" s="25" t="str">
        <f>'2.1. DM'!I172</f>
        <v>pumila</v>
      </c>
      <c r="J172" s="25" t="str">
        <f>'2.1. DM'!J172</f>
        <v>Crotalaria pumila</v>
      </c>
      <c r="K172" s="25" t="str">
        <f>'2.1. DM'!K172</f>
        <v>Fabaceae</v>
      </c>
      <c r="L172" s="25" t="str">
        <f>'2.1. DM'!L172</f>
        <v>Fabales</v>
      </c>
      <c r="M172" s="25" t="str">
        <f>'2.1. DM'!M172</f>
        <v>Herbaceous</v>
      </c>
      <c r="N172" s="25" t="str">
        <f>'2.1. DM'!N172</f>
        <v>60,61, 62</v>
      </c>
      <c r="O172" s="25" t="str">
        <f>'2.1. DM'!O172</f>
        <v>OT-031</v>
      </c>
      <c r="P172" s="19" t="s">
        <v>496</v>
      </c>
      <c r="Q172" s="23">
        <v>49.799053829379083</v>
      </c>
      <c r="R172" s="341"/>
    </row>
    <row r="173" spans="2:18" x14ac:dyDescent="0.35">
      <c r="B173" s="25">
        <f>'2.1. DM'!B173</f>
        <v>163</v>
      </c>
      <c r="C173" s="21">
        <f>'2.1. DM'!C173</f>
        <v>46048</v>
      </c>
      <c r="D173" s="25" t="str">
        <f>'2.1. DM'!D173</f>
        <v>Genbank</v>
      </c>
      <c r="E173" s="25">
        <f>'2.1. DM'!E173</f>
        <v>28</v>
      </c>
      <c r="F173" s="25" t="str">
        <f>'2.1. DM'!F173</f>
        <v>F252593</v>
      </c>
      <c r="G173" s="25" t="str">
        <f>'2.1. DM'!G173</f>
        <v>CIAT9352</v>
      </c>
      <c r="H173" s="25" t="str">
        <f>'2.1. DM'!H173</f>
        <v>Crotalaria</v>
      </c>
      <c r="I173" s="25" t="str">
        <f>'2.1. DM'!I173</f>
        <v>pumila</v>
      </c>
      <c r="J173" s="25" t="str">
        <f>'2.1. DM'!J173</f>
        <v>Crotalaria pumila</v>
      </c>
      <c r="K173" s="25" t="str">
        <f>'2.1. DM'!K173</f>
        <v>Fabaceae</v>
      </c>
      <c r="L173" s="25" t="str">
        <f>'2.1. DM'!L173</f>
        <v>Fabales</v>
      </c>
      <c r="M173" s="25" t="str">
        <f>'2.1. DM'!M173</f>
        <v>Herbaceous</v>
      </c>
      <c r="N173" s="25" t="str">
        <f>'2.1. DM'!N173</f>
        <v>60,61, 62</v>
      </c>
      <c r="O173" s="25" t="str">
        <f>'2.1. DM'!O173</f>
        <v>OT-031</v>
      </c>
      <c r="P173" s="22" t="s">
        <v>495</v>
      </c>
      <c r="Q173" s="23">
        <v>55.457305193091614</v>
      </c>
      <c r="R173" s="341">
        <f>AVERAGE('2.4 NDF'!Q173:Q174)</f>
        <v>56.447556303389206</v>
      </c>
    </row>
    <row r="174" spans="2:18" x14ac:dyDescent="0.35">
      <c r="B174" s="25">
        <f>'2.1. DM'!B174</f>
        <v>164</v>
      </c>
      <c r="C174" s="21">
        <f>'2.1. DM'!C174</f>
        <v>46048</v>
      </c>
      <c r="D174" s="25" t="str">
        <f>'2.1. DM'!D174</f>
        <v>Genbank</v>
      </c>
      <c r="E174" s="25">
        <f>'2.1. DM'!E174</f>
        <v>28</v>
      </c>
      <c r="F174" s="25" t="str">
        <f>'2.1. DM'!F174</f>
        <v>F252593</v>
      </c>
      <c r="G174" s="25" t="str">
        <f>'2.1. DM'!G174</f>
        <v>CIAT9352</v>
      </c>
      <c r="H174" s="25" t="str">
        <f>'2.1. DM'!H174</f>
        <v>Crotalaria</v>
      </c>
      <c r="I174" s="25" t="str">
        <f>'2.1. DM'!I174</f>
        <v>pumila</v>
      </c>
      <c r="J174" s="25" t="str">
        <f>'2.1. DM'!J174</f>
        <v>Crotalaria pumila</v>
      </c>
      <c r="K174" s="25" t="str">
        <f>'2.1. DM'!K174</f>
        <v>Fabaceae</v>
      </c>
      <c r="L174" s="25" t="str">
        <f>'2.1. DM'!L174</f>
        <v>Fabales</v>
      </c>
      <c r="M174" s="25" t="str">
        <f>'2.1. DM'!M174</f>
        <v>Herbaceous</v>
      </c>
      <c r="N174" s="25" t="str">
        <f>'2.1. DM'!N174</f>
        <v>60,61, 62</v>
      </c>
      <c r="O174" s="25" t="str">
        <f>'2.1. DM'!O174</f>
        <v>OT-031</v>
      </c>
      <c r="P174" s="19" t="s">
        <v>496</v>
      </c>
      <c r="Q174" s="23">
        <v>57.437807413686791</v>
      </c>
      <c r="R174" s="341"/>
    </row>
    <row r="175" spans="2:18" x14ac:dyDescent="0.35">
      <c r="B175" s="25">
        <f>'2.1. DM'!B175</f>
        <v>165</v>
      </c>
      <c r="C175" s="21">
        <f>'2.1. DM'!C175</f>
        <v>46048</v>
      </c>
      <c r="D175" s="25" t="str">
        <f>'2.1. DM'!D175</f>
        <v>Genbank</v>
      </c>
      <c r="E175" s="25">
        <f>'2.1. DM'!E175</f>
        <v>28</v>
      </c>
      <c r="F175" s="25" t="str">
        <f>'2.1. DM'!F175</f>
        <v>F252594</v>
      </c>
      <c r="G175" s="25" t="str">
        <f>'2.1. DM'!G175</f>
        <v>CIAT9472</v>
      </c>
      <c r="H175" s="25" t="str">
        <f>'2.1. DM'!H175</f>
        <v>Zornia</v>
      </c>
      <c r="I175" s="25" t="str">
        <f>'2.1. DM'!I175</f>
        <v>brasiliensis</v>
      </c>
      <c r="J175" s="25" t="str">
        <f>'2.1. DM'!J175</f>
        <v>Zornia brasiliensis</v>
      </c>
      <c r="K175" s="25" t="str">
        <f>'2.1. DM'!K175</f>
        <v>Fabaceae</v>
      </c>
      <c r="L175" s="25" t="str">
        <f>'2.1. DM'!L175</f>
        <v>Fabales</v>
      </c>
      <c r="M175" s="25" t="str">
        <f>'2.1. DM'!M175</f>
        <v>Herbaceous</v>
      </c>
      <c r="N175" s="25" t="str">
        <f>'2.1. DM'!N175</f>
        <v>60,61, 62</v>
      </c>
      <c r="O175" s="25" t="str">
        <f>'2.1. DM'!O175</f>
        <v>OT-031</v>
      </c>
      <c r="P175" s="22" t="s">
        <v>495</v>
      </c>
      <c r="Q175" s="23">
        <v>51.006150569851805</v>
      </c>
      <c r="R175" s="341">
        <f>AVERAGE('2.4 NDF'!Q175:Q176)</f>
        <v>49.466940656445544</v>
      </c>
    </row>
    <row r="176" spans="2:18" x14ac:dyDescent="0.35">
      <c r="B176" s="25">
        <f>'2.1. DM'!B176</f>
        <v>166</v>
      </c>
      <c r="C176" s="21">
        <f>'2.1. DM'!C176</f>
        <v>46048</v>
      </c>
      <c r="D176" s="25" t="str">
        <f>'2.1. DM'!D176</f>
        <v>Genbank</v>
      </c>
      <c r="E176" s="25">
        <f>'2.1. DM'!E176</f>
        <v>28</v>
      </c>
      <c r="F176" s="25" t="str">
        <f>'2.1. DM'!F176</f>
        <v>F252594</v>
      </c>
      <c r="G176" s="25" t="str">
        <f>'2.1. DM'!G176</f>
        <v>CIAT9472</v>
      </c>
      <c r="H176" s="25" t="str">
        <f>'2.1. DM'!H176</f>
        <v>Zornia</v>
      </c>
      <c r="I176" s="25" t="str">
        <f>'2.1. DM'!I176</f>
        <v>brasiliensis</v>
      </c>
      <c r="J176" s="25" t="str">
        <f>'2.1. DM'!J176</f>
        <v>Zornia brasiliensis</v>
      </c>
      <c r="K176" s="25" t="str">
        <f>'2.1. DM'!K176</f>
        <v>Fabaceae</v>
      </c>
      <c r="L176" s="25" t="str">
        <f>'2.1. DM'!L176</f>
        <v>Fabales</v>
      </c>
      <c r="M176" s="25" t="str">
        <f>'2.1. DM'!M176</f>
        <v>Herbaceous</v>
      </c>
      <c r="N176" s="25" t="str">
        <f>'2.1. DM'!N176</f>
        <v>60,61, 62</v>
      </c>
      <c r="O176" s="25" t="str">
        <f>'2.1. DM'!O176</f>
        <v>OT-031</v>
      </c>
      <c r="P176" s="19" t="s">
        <v>496</v>
      </c>
      <c r="Q176" s="23">
        <v>47.927730743039277</v>
      </c>
      <c r="R176" s="341"/>
    </row>
    <row r="177" spans="2:18" x14ac:dyDescent="0.35">
      <c r="B177" s="25">
        <f>'2.1. DM'!B177</f>
        <v>167</v>
      </c>
      <c r="C177" s="21">
        <f>'2.1. DM'!C177</f>
        <v>46048</v>
      </c>
      <c r="D177" s="25" t="str">
        <f>'2.1. DM'!D177</f>
        <v>Genbank</v>
      </c>
      <c r="E177" s="25">
        <f>'2.1. DM'!E177</f>
        <v>28</v>
      </c>
      <c r="F177" s="25" t="str">
        <f>'2.1. DM'!F177</f>
        <v>F252595</v>
      </c>
      <c r="G177" s="25" t="str">
        <f>'2.1. DM'!G177</f>
        <v>CIAT9531</v>
      </c>
      <c r="H177" s="25" t="str">
        <f>'2.1. DM'!H177</f>
        <v>Indigofera</v>
      </c>
      <c r="I177" s="25" t="str">
        <f>'2.1. DM'!I177</f>
        <v>spicata</v>
      </c>
      <c r="J177" s="25" t="str">
        <f>'2.1. DM'!J177</f>
        <v>Indigofera spicata</v>
      </c>
      <c r="K177" s="25" t="str">
        <f>'2.1. DM'!K177</f>
        <v>Fabaceae</v>
      </c>
      <c r="L177" s="25" t="str">
        <f>'2.1. DM'!L177</f>
        <v>Fabales</v>
      </c>
      <c r="M177" s="25" t="str">
        <f>'2.1. DM'!M177</f>
        <v>Herbaceous</v>
      </c>
      <c r="N177" s="25" t="str">
        <f>'2.1. DM'!N177</f>
        <v>60,61, 62</v>
      </c>
      <c r="O177" s="25" t="str">
        <f>'2.1. DM'!O177</f>
        <v>OT-031</v>
      </c>
      <c r="P177" s="22" t="s">
        <v>495</v>
      </c>
      <c r="Q177" s="23">
        <v>43.302450753941102</v>
      </c>
      <c r="R177" s="341">
        <f>AVERAGE('2.4 NDF'!Q177:Q178)</f>
        <v>42.671178251525625</v>
      </c>
    </row>
    <row r="178" spans="2:18" x14ac:dyDescent="0.35">
      <c r="B178" s="25">
        <f>'2.1. DM'!B178</f>
        <v>168</v>
      </c>
      <c r="C178" s="21">
        <f>'2.1. DM'!C178</f>
        <v>46048</v>
      </c>
      <c r="D178" s="25" t="str">
        <f>'2.1. DM'!D178</f>
        <v>Genbank</v>
      </c>
      <c r="E178" s="25">
        <f>'2.1. DM'!E178</f>
        <v>28</v>
      </c>
      <c r="F178" s="25" t="str">
        <f>'2.1. DM'!F178</f>
        <v>F252595</v>
      </c>
      <c r="G178" s="25" t="str">
        <f>'2.1. DM'!G178</f>
        <v>CIAT9531</v>
      </c>
      <c r="H178" s="25" t="str">
        <f>'2.1. DM'!H178</f>
        <v>Indigofera</v>
      </c>
      <c r="I178" s="25" t="str">
        <f>'2.1. DM'!I178</f>
        <v>spicata</v>
      </c>
      <c r="J178" s="25" t="str">
        <f>'2.1. DM'!J178</f>
        <v>Indigofera spicata</v>
      </c>
      <c r="K178" s="25" t="str">
        <f>'2.1. DM'!K178</f>
        <v>Fabaceae</v>
      </c>
      <c r="L178" s="25" t="str">
        <f>'2.1. DM'!L178</f>
        <v>Fabales</v>
      </c>
      <c r="M178" s="25" t="str">
        <f>'2.1. DM'!M178</f>
        <v>Herbaceous</v>
      </c>
      <c r="N178" s="25" t="str">
        <f>'2.1. DM'!N178</f>
        <v>60,61, 62</v>
      </c>
      <c r="O178" s="25" t="str">
        <f>'2.1. DM'!O178</f>
        <v>OT-031</v>
      </c>
      <c r="P178" s="19" t="s">
        <v>496</v>
      </c>
      <c r="Q178" s="23">
        <v>42.039905749110147</v>
      </c>
      <c r="R178" s="341"/>
    </row>
    <row r="179" spans="2:18" x14ac:dyDescent="0.35">
      <c r="B179" s="25">
        <f>'2.1. DM'!B179</f>
        <v>169</v>
      </c>
      <c r="C179" s="21">
        <f>'2.1. DM'!C179</f>
        <v>46048</v>
      </c>
      <c r="D179" s="25" t="str">
        <f>'2.1. DM'!D179</f>
        <v>Genbank</v>
      </c>
      <c r="E179" s="25">
        <f>'2.1. DM'!E179</f>
        <v>28</v>
      </c>
      <c r="F179" s="25" t="str">
        <f>'2.1. DM'!F179</f>
        <v>F252596</v>
      </c>
      <c r="G179" s="25" t="str">
        <f>'2.1. DM'!G179</f>
        <v>CIAT10026</v>
      </c>
      <c r="H179" s="25" t="str">
        <f>'2.1. DM'!H179</f>
        <v>Stylosanthes</v>
      </c>
      <c r="I179" s="25" t="str">
        <f>'2.1. DM'!I179</f>
        <v>seabrana</v>
      </c>
      <c r="J179" s="25" t="str">
        <f>'2.1. DM'!J179</f>
        <v>Stylosanthes seabrana</v>
      </c>
      <c r="K179" s="25" t="str">
        <f>'2.1. DM'!K179</f>
        <v>Fabaceae</v>
      </c>
      <c r="L179" s="25" t="str">
        <f>'2.1. DM'!L179</f>
        <v>Fabales</v>
      </c>
      <c r="M179" s="25" t="str">
        <f>'2.1. DM'!M179</f>
        <v>Herbaceous</v>
      </c>
      <c r="N179" s="25" t="str">
        <f>'2.1. DM'!N179</f>
        <v>60,61, 62</v>
      </c>
      <c r="O179" s="25" t="str">
        <f>'2.1. DM'!O179</f>
        <v>OT-031</v>
      </c>
      <c r="P179" s="22" t="s">
        <v>495</v>
      </c>
      <c r="Q179" s="23">
        <v>56.317244486663483</v>
      </c>
      <c r="R179" s="341">
        <f>AVERAGE('2.4 NDF'!Q179:Q180)</f>
        <v>57.247556101151339</v>
      </c>
    </row>
    <row r="180" spans="2:18" x14ac:dyDescent="0.35">
      <c r="B180" s="25">
        <f>'2.1. DM'!B180</f>
        <v>170</v>
      </c>
      <c r="C180" s="21">
        <f>'2.1. DM'!C180</f>
        <v>46048</v>
      </c>
      <c r="D180" s="25" t="str">
        <f>'2.1. DM'!D180</f>
        <v>Genbank</v>
      </c>
      <c r="E180" s="25">
        <f>'2.1. DM'!E180</f>
        <v>28</v>
      </c>
      <c r="F180" s="25" t="str">
        <f>'2.1. DM'!F180</f>
        <v>F252596</v>
      </c>
      <c r="G180" s="25" t="str">
        <f>'2.1. DM'!G180</f>
        <v>CIAT10026</v>
      </c>
      <c r="H180" s="25" t="str">
        <f>'2.1. DM'!H180</f>
        <v>Stylosanthes</v>
      </c>
      <c r="I180" s="25" t="str">
        <f>'2.1. DM'!I180</f>
        <v>seabrana</v>
      </c>
      <c r="J180" s="25" t="str">
        <f>'2.1. DM'!J180</f>
        <v>Stylosanthes seabrana</v>
      </c>
      <c r="K180" s="25" t="str">
        <f>'2.1. DM'!K180</f>
        <v>Fabaceae</v>
      </c>
      <c r="L180" s="25" t="str">
        <f>'2.1. DM'!L180</f>
        <v>Fabales</v>
      </c>
      <c r="M180" s="25" t="str">
        <f>'2.1. DM'!M180</f>
        <v>Herbaceous</v>
      </c>
      <c r="N180" s="25" t="str">
        <f>'2.1. DM'!N180</f>
        <v>60,61, 62</v>
      </c>
      <c r="O180" s="25" t="str">
        <f>'2.1. DM'!O180</f>
        <v>OT-031</v>
      </c>
      <c r="P180" s="19" t="s">
        <v>496</v>
      </c>
      <c r="Q180" s="23">
        <v>58.177867715639195</v>
      </c>
      <c r="R180" s="341"/>
    </row>
    <row r="181" spans="2:18" x14ac:dyDescent="0.35">
      <c r="B181" s="25">
        <f>'2.1. DM'!B181</f>
        <v>171</v>
      </c>
      <c r="C181" s="21">
        <f>'2.1. DM'!C181</f>
        <v>46048</v>
      </c>
      <c r="D181" s="25" t="str">
        <f>'2.1. DM'!D181</f>
        <v>Genbank</v>
      </c>
      <c r="E181" s="25">
        <f>'2.1. DM'!E181</f>
        <v>28</v>
      </c>
      <c r="F181" s="25" t="str">
        <f>'2.1. DM'!F181</f>
        <v>F252597</v>
      </c>
      <c r="G181" s="25" t="str">
        <f>'2.1. DM'!G181</f>
        <v>CIAT12411</v>
      </c>
      <c r="H181" s="25" t="str">
        <f>'2.1. DM'!H181</f>
        <v>Stylosanthes</v>
      </c>
      <c r="I181" s="25" t="str">
        <f>'2.1. DM'!I181</f>
        <v>sympodialis</v>
      </c>
      <c r="J181" s="25" t="str">
        <f>'2.1. DM'!J181</f>
        <v>Stylosanthes sympodialis</v>
      </c>
      <c r="K181" s="25" t="str">
        <f>'2.1. DM'!K181</f>
        <v>Fabaceae</v>
      </c>
      <c r="L181" s="25" t="str">
        <f>'2.1. DM'!L181</f>
        <v>Fabales</v>
      </c>
      <c r="M181" s="25" t="str">
        <f>'2.1. DM'!M181</f>
        <v>Herbaceous</v>
      </c>
      <c r="N181" s="25" t="str">
        <f>'2.1. DM'!N181</f>
        <v>60,61, 62</v>
      </c>
      <c r="O181" s="25" t="str">
        <f>'2.1. DM'!O181</f>
        <v>OT-031</v>
      </c>
      <c r="P181" s="22" t="s">
        <v>495</v>
      </c>
      <c r="Q181" s="23">
        <v>59.841676667461272</v>
      </c>
      <c r="R181" s="341">
        <f>AVERAGE('2.4 NDF'!Q181:Q182)</f>
        <v>61.114906583442611</v>
      </c>
    </row>
    <row r="182" spans="2:18" x14ac:dyDescent="0.35">
      <c r="B182" s="25">
        <f>'2.1. DM'!B182</f>
        <v>172</v>
      </c>
      <c r="C182" s="21">
        <f>'2.1. DM'!C182</f>
        <v>46048</v>
      </c>
      <c r="D182" s="25" t="str">
        <f>'2.1. DM'!D182</f>
        <v>Genbank</v>
      </c>
      <c r="E182" s="25">
        <f>'2.1. DM'!E182</f>
        <v>28</v>
      </c>
      <c r="F182" s="25" t="str">
        <f>'2.1. DM'!F182</f>
        <v>F252597</v>
      </c>
      <c r="G182" s="25" t="str">
        <f>'2.1. DM'!G182</f>
        <v>CIAT12411</v>
      </c>
      <c r="H182" s="25" t="str">
        <f>'2.1. DM'!H182</f>
        <v>Stylosanthes</v>
      </c>
      <c r="I182" s="25" t="str">
        <f>'2.1. DM'!I182</f>
        <v>sympodialis</v>
      </c>
      <c r="J182" s="25" t="str">
        <f>'2.1. DM'!J182</f>
        <v>Stylosanthes sympodialis</v>
      </c>
      <c r="K182" s="25" t="str">
        <f>'2.1. DM'!K182</f>
        <v>Fabaceae</v>
      </c>
      <c r="L182" s="25" t="str">
        <f>'2.1. DM'!L182</f>
        <v>Fabales</v>
      </c>
      <c r="M182" s="25" t="str">
        <f>'2.1. DM'!M182</f>
        <v>Herbaceous</v>
      </c>
      <c r="N182" s="25" t="str">
        <f>'2.1. DM'!N182</f>
        <v>60,61, 62</v>
      </c>
      <c r="O182" s="25" t="str">
        <f>'2.1. DM'!O182</f>
        <v>OT-031</v>
      </c>
      <c r="P182" s="19" t="s">
        <v>496</v>
      </c>
      <c r="Q182" s="23">
        <v>62.38813649942395</v>
      </c>
      <c r="R182" s="341"/>
    </row>
    <row r="183" spans="2:18" x14ac:dyDescent="0.35">
      <c r="B183" s="25">
        <f>'2.1. DM'!B183</f>
        <v>173</v>
      </c>
      <c r="C183" s="21">
        <f>'2.1. DM'!C183</f>
        <v>46048</v>
      </c>
      <c r="D183" s="25" t="str">
        <f>'2.1. DM'!D183</f>
        <v>Genbank</v>
      </c>
      <c r="E183" s="25">
        <f>'2.1. DM'!E183</f>
        <v>28</v>
      </c>
      <c r="F183" s="25" t="str">
        <f>'2.1. DM'!F183</f>
        <v>F252598</v>
      </c>
      <c r="G183" s="25" t="str">
        <f>'2.1. DM'!G183</f>
        <v>CIAT13494</v>
      </c>
      <c r="H183" s="25" t="str">
        <f>'2.1. DM'!H183</f>
        <v>Desmodium</v>
      </c>
      <c r="I183" s="25" t="str">
        <f>'2.1. DM'!I183</f>
        <v>tortuosum</v>
      </c>
      <c r="J183" s="25" t="str">
        <f>'2.1. DM'!J183</f>
        <v>Desmodium tortuosum</v>
      </c>
      <c r="K183" s="25" t="str">
        <f>'2.1. DM'!K183</f>
        <v>Fabaceae</v>
      </c>
      <c r="L183" s="25" t="str">
        <f>'2.1. DM'!L183</f>
        <v>Fabales</v>
      </c>
      <c r="M183" s="25" t="str">
        <f>'2.1. DM'!M183</f>
        <v>Shurb_Tree</v>
      </c>
      <c r="N183" s="25" t="str">
        <f>'2.1. DM'!N183</f>
        <v>60,61, 62</v>
      </c>
      <c r="O183" s="25" t="str">
        <f>'2.1. DM'!O183</f>
        <v>OT-031</v>
      </c>
      <c r="P183" s="22" t="s">
        <v>495</v>
      </c>
      <c r="Q183" s="23">
        <v>51.175102046942555</v>
      </c>
      <c r="R183" s="341">
        <f>AVERAGE('2.4 NDF'!Q183:Q184)</f>
        <v>50.71948924432278</v>
      </c>
    </row>
    <row r="184" spans="2:18" x14ac:dyDescent="0.35">
      <c r="B184" s="25">
        <f>'2.1. DM'!B184</f>
        <v>174</v>
      </c>
      <c r="C184" s="21">
        <f>'2.1. DM'!C184</f>
        <v>46048</v>
      </c>
      <c r="D184" s="25" t="str">
        <f>'2.1. DM'!D184</f>
        <v>Genbank</v>
      </c>
      <c r="E184" s="25">
        <f>'2.1. DM'!E184</f>
        <v>28</v>
      </c>
      <c r="F184" s="25" t="str">
        <f>'2.1. DM'!F184</f>
        <v>F252598</v>
      </c>
      <c r="G184" s="25" t="str">
        <f>'2.1. DM'!G184</f>
        <v>CIAT13494</v>
      </c>
      <c r="H184" s="25" t="str">
        <f>'2.1. DM'!H184</f>
        <v>Desmodium</v>
      </c>
      <c r="I184" s="25" t="str">
        <f>'2.1. DM'!I184</f>
        <v>tortuosum</v>
      </c>
      <c r="J184" s="25" t="str">
        <f>'2.1. DM'!J184</f>
        <v>Desmodium tortuosum</v>
      </c>
      <c r="K184" s="25" t="str">
        <f>'2.1. DM'!K184</f>
        <v>Fabaceae</v>
      </c>
      <c r="L184" s="25" t="str">
        <f>'2.1. DM'!L184</f>
        <v>Fabales</v>
      </c>
      <c r="M184" s="25" t="str">
        <f>'2.1. DM'!M184</f>
        <v>Shurb_Tree</v>
      </c>
      <c r="N184" s="25" t="str">
        <f>'2.1. DM'!N184</f>
        <v>60,61, 62</v>
      </c>
      <c r="O184" s="25" t="str">
        <f>'2.1. DM'!O184</f>
        <v>OT-031</v>
      </c>
      <c r="P184" s="19" t="s">
        <v>496</v>
      </c>
      <c r="Q184" s="23">
        <v>50.263876441703005</v>
      </c>
      <c r="R184" s="341"/>
    </row>
    <row r="185" spans="2:18" x14ac:dyDescent="0.35">
      <c r="B185" s="25">
        <f>'2.1. DM'!B185</f>
        <v>175</v>
      </c>
      <c r="C185" s="21">
        <f>'2.1. DM'!C185</f>
        <v>46048</v>
      </c>
      <c r="D185" s="25" t="str">
        <f>'2.1. DM'!D185</f>
        <v>Genbank</v>
      </c>
      <c r="E185" s="25">
        <f>'2.1. DM'!E185</f>
        <v>28</v>
      </c>
      <c r="F185" s="25" t="str">
        <f>'2.1. DM'!F185</f>
        <v>F252599</v>
      </c>
      <c r="G185" s="25" t="str">
        <f>'2.1. DM'!G185</f>
        <v>CIAT13562</v>
      </c>
      <c r="H185" s="25" t="str">
        <f>'2.1. DM'!H185</f>
        <v>Desmodium</v>
      </c>
      <c r="I185" s="25" t="str">
        <f>'2.1. DM'!I185</f>
        <v>tortuosum</v>
      </c>
      <c r="J185" s="25" t="str">
        <f>'2.1. DM'!J185</f>
        <v>Desmodium tortuosum</v>
      </c>
      <c r="K185" s="25" t="str">
        <f>'2.1. DM'!K185</f>
        <v>Fabaceae</v>
      </c>
      <c r="L185" s="25" t="str">
        <f>'2.1. DM'!L185</f>
        <v>Fabales</v>
      </c>
      <c r="M185" s="25" t="str">
        <f>'2.1. DM'!M185</f>
        <v>Shurb_Tree</v>
      </c>
      <c r="N185" s="25" t="str">
        <f>'2.1. DM'!N185</f>
        <v>60,61, 62</v>
      </c>
      <c r="O185" s="25" t="str">
        <f>'2.1. DM'!O185</f>
        <v>OT-031</v>
      </c>
      <c r="P185" s="22" t="s">
        <v>495</v>
      </c>
      <c r="Q185" s="23">
        <v>48.938266585215842</v>
      </c>
      <c r="R185" s="341">
        <f>AVERAGE('2.4 NDF'!Q185:Q186)</f>
        <v>50.315461216188112</v>
      </c>
    </row>
    <row r="186" spans="2:18" x14ac:dyDescent="0.35">
      <c r="B186" s="25">
        <f>'2.1. DM'!B186</f>
        <v>176</v>
      </c>
      <c r="C186" s="21">
        <f>'2.1. DM'!C186</f>
        <v>46048</v>
      </c>
      <c r="D186" s="25" t="str">
        <f>'2.1. DM'!D186</f>
        <v>Genbank</v>
      </c>
      <c r="E186" s="25">
        <f>'2.1. DM'!E186</f>
        <v>28</v>
      </c>
      <c r="F186" s="25" t="str">
        <f>'2.1. DM'!F186</f>
        <v>F252599</v>
      </c>
      <c r="G186" s="25" t="str">
        <f>'2.1. DM'!G186</f>
        <v>CIAT13562</v>
      </c>
      <c r="H186" s="25" t="str">
        <f>'2.1. DM'!H186</f>
        <v>Desmodium</v>
      </c>
      <c r="I186" s="25" t="str">
        <f>'2.1. DM'!I186</f>
        <v>tortuosum</v>
      </c>
      <c r="J186" s="25" t="str">
        <f>'2.1. DM'!J186</f>
        <v>Desmodium tortuosum</v>
      </c>
      <c r="K186" s="25" t="str">
        <f>'2.1. DM'!K186</f>
        <v>Fabaceae</v>
      </c>
      <c r="L186" s="25" t="str">
        <f>'2.1. DM'!L186</f>
        <v>Fabales</v>
      </c>
      <c r="M186" s="25" t="str">
        <f>'2.1. DM'!M186</f>
        <v>Shurb_Tree</v>
      </c>
      <c r="N186" s="25" t="str">
        <f>'2.1. DM'!N186</f>
        <v>60,61, 62</v>
      </c>
      <c r="O186" s="25" t="str">
        <f>'2.1. DM'!O186</f>
        <v>OT-031</v>
      </c>
      <c r="P186" s="19" t="s">
        <v>496</v>
      </c>
      <c r="Q186" s="23">
        <v>51.692655847160374</v>
      </c>
      <c r="R186" s="341"/>
    </row>
    <row r="187" spans="2:18" x14ac:dyDescent="0.35">
      <c r="B187" s="25">
        <f>'2.1. DM'!B187</f>
        <v>177</v>
      </c>
      <c r="C187" s="21">
        <f>'2.1. DM'!C187</f>
        <v>46048</v>
      </c>
      <c r="D187" s="25" t="str">
        <f>'2.1. DM'!D187</f>
        <v>Genbank</v>
      </c>
      <c r="E187" s="25">
        <f>'2.1. DM'!E187</f>
        <v>28</v>
      </c>
      <c r="F187" s="25" t="str">
        <f>'2.1. DM'!F187</f>
        <v>F252600</v>
      </c>
      <c r="G187" s="25" t="str">
        <f>'2.1. DM'!G187</f>
        <v>CIAT13593</v>
      </c>
      <c r="H187" s="25" t="str">
        <f>'2.1. DM'!H187</f>
        <v>Desmodium</v>
      </c>
      <c r="I187" s="25" t="str">
        <f>'2.1. DM'!I187</f>
        <v>scorpiurus</v>
      </c>
      <c r="J187" s="25" t="str">
        <f>'2.1. DM'!J187</f>
        <v>Desmodium scorpiurus</v>
      </c>
      <c r="K187" s="25" t="str">
        <f>'2.1. DM'!K187</f>
        <v>Fabaceae</v>
      </c>
      <c r="L187" s="25" t="str">
        <f>'2.1. DM'!L187</f>
        <v>Fabales</v>
      </c>
      <c r="M187" s="25" t="str">
        <f>'2.1. DM'!M187</f>
        <v>Herbaceous</v>
      </c>
      <c r="N187" s="25" t="str">
        <f>'2.1. DM'!N187</f>
        <v>60,61, 62</v>
      </c>
      <c r="O187" s="25" t="str">
        <f>'2.1. DM'!O187</f>
        <v>OT-031</v>
      </c>
      <c r="P187" s="22" t="s">
        <v>495</v>
      </c>
      <c r="Q187" s="23">
        <v>58.8730067457629</v>
      </c>
      <c r="R187" s="341">
        <f>AVERAGE('2.4 NDF'!Q187:Q188)</f>
        <v>58.294713453437382</v>
      </c>
    </row>
    <row r="188" spans="2:18" x14ac:dyDescent="0.35">
      <c r="B188" s="25">
        <f>'2.1. DM'!B188</f>
        <v>178</v>
      </c>
      <c r="C188" s="21">
        <f>'2.1. DM'!C188</f>
        <v>46048</v>
      </c>
      <c r="D188" s="25" t="str">
        <f>'2.1. DM'!D188</f>
        <v>Genbank</v>
      </c>
      <c r="E188" s="25">
        <f>'2.1. DM'!E188</f>
        <v>28</v>
      </c>
      <c r="F188" s="25" t="str">
        <f>'2.1. DM'!F188</f>
        <v>F252600</v>
      </c>
      <c r="G188" s="25" t="str">
        <f>'2.1. DM'!G188</f>
        <v>CIAT13593</v>
      </c>
      <c r="H188" s="25" t="str">
        <f>'2.1. DM'!H188</f>
        <v>Desmodium</v>
      </c>
      <c r="I188" s="25" t="str">
        <f>'2.1. DM'!I188</f>
        <v>scorpiurus</v>
      </c>
      <c r="J188" s="25" t="str">
        <f>'2.1. DM'!J188</f>
        <v>Desmodium scorpiurus</v>
      </c>
      <c r="K188" s="25" t="str">
        <f>'2.1. DM'!K188</f>
        <v>Fabaceae</v>
      </c>
      <c r="L188" s="25" t="str">
        <f>'2.1. DM'!L188</f>
        <v>Fabales</v>
      </c>
      <c r="M188" s="25" t="str">
        <f>'2.1. DM'!M188</f>
        <v>Herbaceous</v>
      </c>
      <c r="N188" s="25" t="str">
        <f>'2.1. DM'!N188</f>
        <v>60,61, 62</v>
      </c>
      <c r="O188" s="25" t="str">
        <f>'2.1. DM'!O188</f>
        <v>OT-031</v>
      </c>
      <c r="P188" s="19" t="s">
        <v>496</v>
      </c>
      <c r="Q188" s="23">
        <v>57.71642016111187</v>
      </c>
      <c r="R188" s="341"/>
    </row>
    <row r="189" spans="2:18" x14ac:dyDescent="0.35">
      <c r="B189" s="25">
        <f>'2.1. DM'!B189</f>
        <v>179</v>
      </c>
      <c r="C189" s="21">
        <f>'2.1. DM'!C189</f>
        <v>46048</v>
      </c>
      <c r="D189" s="25" t="str">
        <f>'2.1. DM'!D189</f>
        <v>Genbank</v>
      </c>
      <c r="E189" s="25">
        <f>'2.1. DM'!E189</f>
        <v>28</v>
      </c>
      <c r="F189" s="25" t="str">
        <f>'2.1. DM'!F189</f>
        <v>F252601</v>
      </c>
      <c r="G189" s="25" t="str">
        <f>'2.1. DM'!G189</f>
        <v>CIAT13608</v>
      </c>
      <c r="H189" s="25" t="str">
        <f>'2.1. DM'!H189</f>
        <v>Desmodium</v>
      </c>
      <c r="I189" s="25" t="str">
        <f>'2.1. DM'!I189</f>
        <v>incanum</v>
      </c>
      <c r="J189" s="25" t="str">
        <f>'2.1. DM'!J189</f>
        <v>Desmodium incanum</v>
      </c>
      <c r="K189" s="25" t="str">
        <f>'2.1. DM'!K189</f>
        <v>Fabaceae</v>
      </c>
      <c r="L189" s="25" t="str">
        <f>'2.1. DM'!L189</f>
        <v>Fabales</v>
      </c>
      <c r="M189" s="25" t="str">
        <f>'2.1. DM'!M189</f>
        <v>Herbaceous</v>
      </c>
      <c r="N189" s="25" t="str">
        <f>'2.1. DM'!N189</f>
        <v>60,61, 62</v>
      </c>
      <c r="O189" s="25" t="str">
        <f>'2.1. DM'!O189</f>
        <v>OT-031</v>
      </c>
      <c r="P189" s="22" t="s">
        <v>495</v>
      </c>
      <c r="Q189" s="23">
        <v>58.513608743964426</v>
      </c>
      <c r="R189" s="341">
        <f>AVERAGE('2.4 NDF'!Q189:Q190)</f>
        <v>59.516313879180146</v>
      </c>
    </row>
    <row r="190" spans="2:18" x14ac:dyDescent="0.35">
      <c r="B190" s="25">
        <f>'2.1. DM'!B190</f>
        <v>180</v>
      </c>
      <c r="C190" s="21">
        <f>'2.1. DM'!C190</f>
        <v>46048</v>
      </c>
      <c r="D190" s="25" t="str">
        <f>'2.1. DM'!D190</f>
        <v>Genbank</v>
      </c>
      <c r="E190" s="25">
        <f>'2.1. DM'!E190</f>
        <v>28</v>
      </c>
      <c r="F190" s="25" t="str">
        <f>'2.1. DM'!F190</f>
        <v>F252601</v>
      </c>
      <c r="G190" s="25" t="str">
        <f>'2.1. DM'!G190</f>
        <v>CIAT13608</v>
      </c>
      <c r="H190" s="25" t="str">
        <f>'2.1. DM'!H190</f>
        <v>Desmodium</v>
      </c>
      <c r="I190" s="25" t="str">
        <f>'2.1. DM'!I190</f>
        <v>incanum</v>
      </c>
      <c r="J190" s="25" t="str">
        <f>'2.1. DM'!J190</f>
        <v>Desmodium incanum</v>
      </c>
      <c r="K190" s="25" t="str">
        <f>'2.1. DM'!K190</f>
        <v>Fabaceae</v>
      </c>
      <c r="L190" s="25" t="str">
        <f>'2.1. DM'!L190</f>
        <v>Fabales</v>
      </c>
      <c r="M190" s="25" t="str">
        <f>'2.1. DM'!M190</f>
        <v>Herbaceous</v>
      </c>
      <c r="N190" s="25" t="str">
        <f>'2.1. DM'!N190</f>
        <v>60,61, 62</v>
      </c>
      <c r="O190" s="25" t="str">
        <f>'2.1. DM'!O190</f>
        <v>OT-031</v>
      </c>
      <c r="P190" s="19" t="s">
        <v>496</v>
      </c>
      <c r="Q190" s="23">
        <v>60.519019014395866</v>
      </c>
      <c r="R190" s="341"/>
    </row>
    <row r="191" spans="2:18" x14ac:dyDescent="0.35">
      <c r="B191" s="25">
        <f>'2.1. DM'!B191</f>
        <v>181</v>
      </c>
      <c r="C191" s="21">
        <f>'2.1. DM'!C191</f>
        <v>46048</v>
      </c>
      <c r="D191" s="25" t="str">
        <f>'2.1. DM'!D191</f>
        <v>Genbank</v>
      </c>
      <c r="E191" s="25">
        <f>'2.1. DM'!E191</f>
        <v>28</v>
      </c>
      <c r="F191" s="25" t="str">
        <f>'2.1. DM'!F191</f>
        <v>F252602</v>
      </c>
      <c r="G191" s="25" t="str">
        <f>'2.1. DM'!G191</f>
        <v>CIAT18277</v>
      </c>
      <c r="H191" s="25" t="str">
        <f>'2.1. DM'!H191</f>
        <v>Indigofera</v>
      </c>
      <c r="I191" s="25" t="str">
        <f>'2.1. DM'!I191</f>
        <v>jamaicensis</v>
      </c>
      <c r="J191" s="25" t="str">
        <f>'2.1. DM'!J191</f>
        <v>Indigofera jamaicensis</v>
      </c>
      <c r="K191" s="25" t="str">
        <f>'2.1. DM'!K191</f>
        <v>Fabaceae</v>
      </c>
      <c r="L191" s="25" t="str">
        <f>'2.1. DM'!L191</f>
        <v>Fabales</v>
      </c>
      <c r="M191" s="25" t="str">
        <f>'2.1. DM'!M191</f>
        <v>Herbaceous</v>
      </c>
      <c r="N191" s="25" t="str">
        <f>'2.1. DM'!N191</f>
        <v>60,61, 62</v>
      </c>
      <c r="O191" s="25" t="str">
        <f>'2.1. DM'!O191</f>
        <v>OT-031</v>
      </c>
      <c r="P191" s="22" t="s">
        <v>495</v>
      </c>
      <c r="Q191" s="23">
        <v>51.315341565023353</v>
      </c>
      <c r="R191" s="341">
        <f>AVERAGE('2.4 NDF'!Q191:Q192)</f>
        <v>49.956903169795083</v>
      </c>
    </row>
    <row r="192" spans="2:18" x14ac:dyDescent="0.35">
      <c r="B192" s="25">
        <f>'2.1. DM'!B192</f>
        <v>182</v>
      </c>
      <c r="C192" s="21">
        <f>'2.1. DM'!C192</f>
        <v>46048</v>
      </c>
      <c r="D192" s="25" t="str">
        <f>'2.1. DM'!D192</f>
        <v>Genbank</v>
      </c>
      <c r="E192" s="25">
        <f>'2.1. DM'!E192</f>
        <v>28</v>
      </c>
      <c r="F192" s="25" t="str">
        <f>'2.1. DM'!F192</f>
        <v>F252602</v>
      </c>
      <c r="G192" s="25" t="str">
        <f>'2.1. DM'!G192</f>
        <v>CIAT18277</v>
      </c>
      <c r="H192" s="25" t="str">
        <f>'2.1. DM'!H192</f>
        <v>Indigofera</v>
      </c>
      <c r="I192" s="25" t="str">
        <f>'2.1. DM'!I192</f>
        <v>jamaicensis</v>
      </c>
      <c r="J192" s="25" t="str">
        <f>'2.1. DM'!J192</f>
        <v>Indigofera jamaicensis</v>
      </c>
      <c r="K192" s="25" t="str">
        <f>'2.1. DM'!K192</f>
        <v>Fabaceae</v>
      </c>
      <c r="L192" s="25" t="str">
        <f>'2.1. DM'!L192</f>
        <v>Fabales</v>
      </c>
      <c r="M192" s="25" t="str">
        <f>'2.1. DM'!M192</f>
        <v>Herbaceous</v>
      </c>
      <c r="N192" s="25" t="str">
        <f>'2.1. DM'!N192</f>
        <v>60,61, 62</v>
      </c>
      <c r="O192" s="25" t="str">
        <f>'2.1. DM'!O192</f>
        <v>OT-031</v>
      </c>
      <c r="P192" s="19" t="s">
        <v>496</v>
      </c>
      <c r="Q192" s="23">
        <v>48.598464774566807</v>
      </c>
      <c r="R192" s="341"/>
    </row>
    <row r="193" spans="2:18" x14ac:dyDescent="0.35">
      <c r="B193" s="25">
        <f>'2.1. DM'!B193</f>
        <v>183</v>
      </c>
      <c r="C193" s="21">
        <f>'2.1. DM'!C193</f>
        <v>46048</v>
      </c>
      <c r="D193" s="25" t="str">
        <f>'2.1. DM'!D193</f>
        <v>Genbank</v>
      </c>
      <c r="E193" s="25">
        <f>'2.1. DM'!E193</f>
        <v>28</v>
      </c>
      <c r="F193" s="25" t="str">
        <f>'2.1. DM'!F193</f>
        <v>F252603</v>
      </c>
      <c r="G193" s="25" t="str">
        <f>'2.1. DM'!G193</f>
        <v>CIAT18952</v>
      </c>
      <c r="H193" s="25" t="str">
        <f>'2.1. DM'!H193</f>
        <v>Indigofera</v>
      </c>
      <c r="I193" s="25" t="str">
        <f>'2.1. DM'!I193</f>
        <v>atriceps</v>
      </c>
      <c r="J193" s="25" t="str">
        <f>'2.1. DM'!J193</f>
        <v>Indigofera atriceps</v>
      </c>
      <c r="K193" s="25" t="str">
        <f>'2.1. DM'!K193</f>
        <v>Fabaceae</v>
      </c>
      <c r="L193" s="25" t="str">
        <f>'2.1. DM'!L193</f>
        <v>Fabales</v>
      </c>
      <c r="M193" s="25" t="str">
        <f>'2.1. DM'!M193</f>
        <v>Herbaceous</v>
      </c>
      <c r="N193" s="25" t="str">
        <f>'2.1. DM'!N193</f>
        <v>60,61, 62</v>
      </c>
      <c r="O193" s="25" t="str">
        <f>'2.1. DM'!O193</f>
        <v>OT-031</v>
      </c>
      <c r="P193" s="22" t="s">
        <v>495</v>
      </c>
      <c r="Q193" s="23">
        <v>48.974611064755472</v>
      </c>
      <c r="R193" s="341">
        <f>AVERAGE('2.4 NDF'!Q193:Q194)</f>
        <v>48.145875284716652</v>
      </c>
    </row>
    <row r="194" spans="2:18" x14ac:dyDescent="0.35">
      <c r="B194" s="25">
        <f>'2.1. DM'!B194</f>
        <v>184</v>
      </c>
      <c r="C194" s="21">
        <f>'2.1. DM'!C194</f>
        <v>46048</v>
      </c>
      <c r="D194" s="25" t="str">
        <f>'2.1. DM'!D194</f>
        <v>Genbank</v>
      </c>
      <c r="E194" s="25">
        <f>'2.1. DM'!E194</f>
        <v>28</v>
      </c>
      <c r="F194" s="25" t="str">
        <f>'2.1. DM'!F194</f>
        <v>F252603</v>
      </c>
      <c r="G194" s="25" t="str">
        <f>'2.1. DM'!G194</f>
        <v>CIAT18952</v>
      </c>
      <c r="H194" s="25" t="str">
        <f>'2.1. DM'!H194</f>
        <v>Indigofera</v>
      </c>
      <c r="I194" s="25" t="str">
        <f>'2.1. DM'!I194</f>
        <v>atriceps</v>
      </c>
      <c r="J194" s="25" t="str">
        <f>'2.1. DM'!J194</f>
        <v>Indigofera atriceps</v>
      </c>
      <c r="K194" s="25" t="str">
        <f>'2.1. DM'!K194</f>
        <v>Fabaceae</v>
      </c>
      <c r="L194" s="25" t="str">
        <f>'2.1. DM'!L194</f>
        <v>Fabales</v>
      </c>
      <c r="M194" s="25" t="str">
        <f>'2.1. DM'!M194</f>
        <v>Herbaceous</v>
      </c>
      <c r="N194" s="25" t="str">
        <f>'2.1. DM'!N194</f>
        <v>60,61, 62</v>
      </c>
      <c r="O194" s="25" t="str">
        <f>'2.1. DM'!O194</f>
        <v>OT-031</v>
      </c>
      <c r="P194" s="19" t="s">
        <v>496</v>
      </c>
      <c r="Q194" s="23">
        <v>47.317139504677833</v>
      </c>
      <c r="R194" s="341"/>
    </row>
    <row r="195" spans="2:18" x14ac:dyDescent="0.35">
      <c r="B195" s="25">
        <f>'2.1. DM'!B195</f>
        <v>185</v>
      </c>
      <c r="C195" s="21">
        <f>'2.1. DM'!C195</f>
        <v>46048</v>
      </c>
      <c r="D195" s="25" t="str">
        <f>'2.1. DM'!D195</f>
        <v>Jacobo Arango/ Alejandro Montoya</v>
      </c>
      <c r="E195" s="25">
        <f>'2.1. DM'!E195</f>
        <v>28</v>
      </c>
      <c r="F195" s="25" t="str">
        <f>'2.1. DM'!F195</f>
        <v>F250008</v>
      </c>
      <c r="G195" s="25" t="str">
        <f>'2.1. DM'!G195</f>
        <v>Sample 8</v>
      </c>
      <c r="H195" s="25" t="str">
        <f>'2.1. DM'!H195</f>
        <v>Cynodon</v>
      </c>
      <c r="I195" s="25" t="str">
        <f>'2.1. DM'!I195</f>
        <v xml:space="preserve"> nlemfuensis </v>
      </c>
      <c r="J195" s="25" t="str">
        <f>'2.1. DM'!J195</f>
        <v xml:space="preserve">Cynodon nlemfuensis </v>
      </c>
      <c r="K195" s="25" t="str">
        <f>'2.1. DM'!K195</f>
        <v>Poaceae</v>
      </c>
      <c r="L195" s="25" t="str">
        <f>'2.1. DM'!L195</f>
        <v>Poales</v>
      </c>
      <c r="M195" s="25" t="str">
        <f>'2.1. DM'!M195</f>
        <v>grasses</v>
      </c>
      <c r="N195" s="25" t="str">
        <f>'2.1. DM'!N195</f>
        <v>60,61, 62</v>
      </c>
      <c r="O195" s="25" t="str">
        <f>'2.1. DM'!O195</f>
        <v>OT-002</v>
      </c>
      <c r="P195" s="22" t="s">
        <v>495</v>
      </c>
      <c r="Q195" s="30">
        <v>76.099999999999994</v>
      </c>
      <c r="R195" s="341">
        <f t="shared" ref="R195" si="2">AVERAGE(Q195:Q196)</f>
        <v>76.099999999999994</v>
      </c>
    </row>
    <row r="196" spans="2:18" x14ac:dyDescent="0.35">
      <c r="B196" s="25">
        <f>'2.1. DM'!B196</f>
        <v>186</v>
      </c>
      <c r="C196" s="21">
        <f>'2.1. DM'!C196</f>
        <v>46048</v>
      </c>
      <c r="D196" s="25" t="str">
        <f>'2.1. DM'!D196</f>
        <v>Jacobo Arango/ Alejandro Montoya</v>
      </c>
      <c r="E196" s="25">
        <f>'2.1. DM'!E196</f>
        <v>28</v>
      </c>
      <c r="F196" s="25" t="str">
        <f>'2.1. DM'!F196</f>
        <v>F250008</v>
      </c>
      <c r="G196" s="25" t="str">
        <f>'2.1. DM'!G196</f>
        <v>Sample 8</v>
      </c>
      <c r="H196" s="25" t="str">
        <f>'2.1. DM'!H196</f>
        <v>Cynodon</v>
      </c>
      <c r="I196" s="25" t="str">
        <f>'2.1. DM'!I196</f>
        <v xml:space="preserve"> nlemfuensis </v>
      </c>
      <c r="J196" s="25" t="str">
        <f>'2.1. DM'!J196</f>
        <v xml:space="preserve">Cynodon nlemfuensis </v>
      </c>
      <c r="K196" s="25" t="str">
        <f>'2.1. DM'!K196</f>
        <v>Poaceae</v>
      </c>
      <c r="L196" s="25" t="str">
        <f>'2.1. DM'!L196</f>
        <v>Poales</v>
      </c>
      <c r="M196" s="25" t="str">
        <f>'2.1. DM'!M196</f>
        <v>grasses</v>
      </c>
      <c r="N196" s="25" t="str">
        <f>'2.1. DM'!N196</f>
        <v>60,61, 62</v>
      </c>
      <c r="O196" s="25" t="str">
        <f>'2.1. DM'!O196</f>
        <v>OT-002</v>
      </c>
      <c r="P196" s="19" t="s">
        <v>496</v>
      </c>
      <c r="Q196" s="30">
        <v>76.099999999999994</v>
      </c>
      <c r="R196" s="341"/>
    </row>
    <row r="197" spans="2:18" x14ac:dyDescent="0.35">
      <c r="B197" s="25">
        <f>'2.1. DM'!B197</f>
        <v>187</v>
      </c>
      <c r="C197" s="21">
        <f>'2.1. DM'!C197</f>
        <v>46055</v>
      </c>
      <c r="D197" s="25" t="str">
        <f>'2.1. DM'!D197</f>
        <v>Genbank</v>
      </c>
      <c r="E197" s="25">
        <f>'2.1. DM'!E197</f>
        <v>29</v>
      </c>
      <c r="F197" s="25" t="str">
        <f>'2.1. DM'!F197</f>
        <v>F252604</v>
      </c>
      <c r="G197" s="25" t="str">
        <f>'2.1. DM'!G197</f>
        <v>CIAT18953</v>
      </c>
      <c r="H197" s="25" t="str">
        <f>'2.1. DM'!H197</f>
        <v>Indigofera</v>
      </c>
      <c r="I197" s="25" t="str">
        <f>'2.1. DM'!I197</f>
        <v>atriceps</v>
      </c>
      <c r="J197" s="25" t="str">
        <f>'2.1. DM'!J197</f>
        <v>Indigofera atriceps</v>
      </c>
      <c r="K197" s="25" t="str">
        <f>'2.1. DM'!K197</f>
        <v>Fabaceae</v>
      </c>
      <c r="L197" s="25" t="str">
        <f>'2.1. DM'!L197</f>
        <v>Fabales</v>
      </c>
      <c r="M197" s="25" t="str">
        <f>'2.1. DM'!M197</f>
        <v>Herbaceous</v>
      </c>
      <c r="N197" s="25" t="str">
        <f>'2.1. DM'!N197</f>
        <v>62,63,70</v>
      </c>
      <c r="O197" s="25" t="str">
        <f>'2.1. DM'!O197</f>
        <v>OT-031 (2025)</v>
      </c>
      <c r="P197" s="22" t="s">
        <v>495</v>
      </c>
      <c r="Q197" s="23">
        <v>52.564583308067625</v>
      </c>
      <c r="R197" s="341">
        <f>AVERAGE('2.4 NDF'!Q197:Q198)</f>
        <v>52.716072515702066</v>
      </c>
    </row>
    <row r="198" spans="2:18" x14ac:dyDescent="0.35">
      <c r="B198" s="25">
        <f>'2.1. DM'!B198</f>
        <v>188</v>
      </c>
      <c r="C198" s="21">
        <f>'2.1. DM'!C198</f>
        <v>46055</v>
      </c>
      <c r="D198" s="25" t="str">
        <f>'2.1. DM'!D198</f>
        <v>Genbank</v>
      </c>
      <c r="E198" s="25">
        <f>'2.1. DM'!E198</f>
        <v>29</v>
      </c>
      <c r="F198" s="25" t="str">
        <f>'2.1. DM'!F198</f>
        <v>F252604</v>
      </c>
      <c r="G198" s="25" t="str">
        <f>'2.1. DM'!G198</f>
        <v>CIAT18953</v>
      </c>
      <c r="H198" s="25" t="str">
        <f>'2.1. DM'!H198</f>
        <v>Indigofera</v>
      </c>
      <c r="I198" s="25" t="str">
        <f>'2.1. DM'!I198</f>
        <v>atriceps</v>
      </c>
      <c r="J198" s="25" t="str">
        <f>'2.1. DM'!J198</f>
        <v>Indigofera atriceps</v>
      </c>
      <c r="K198" s="25" t="str">
        <f>'2.1. DM'!K198</f>
        <v>Fabaceae</v>
      </c>
      <c r="L198" s="25" t="str">
        <f>'2.1. DM'!L198</f>
        <v>Fabales</v>
      </c>
      <c r="M198" s="25" t="str">
        <f>'2.1. DM'!M198</f>
        <v>Herbaceous</v>
      </c>
      <c r="N198" s="25" t="str">
        <f>'2.1. DM'!N198</f>
        <v>62,63,70</v>
      </c>
      <c r="O198" s="25" t="str">
        <f>'2.1. DM'!O198</f>
        <v>OT-031 (2025)</v>
      </c>
      <c r="P198" s="19" t="s">
        <v>496</v>
      </c>
      <c r="Q198" s="23">
        <v>52.8675617233365</v>
      </c>
      <c r="R198" s="341"/>
    </row>
    <row r="199" spans="2:18" x14ac:dyDescent="0.35">
      <c r="B199" s="25">
        <f>'2.1. DM'!B199</f>
        <v>189</v>
      </c>
      <c r="C199" s="21">
        <f>'2.1. DM'!C199</f>
        <v>46055</v>
      </c>
      <c r="D199" s="25" t="str">
        <f>'2.1. DM'!D199</f>
        <v>Genbank</v>
      </c>
      <c r="E199" s="25">
        <f>'2.1. DM'!E199</f>
        <v>29</v>
      </c>
      <c r="F199" s="25" t="str">
        <f>'2.1. DM'!F199</f>
        <v>F252605</v>
      </c>
      <c r="G199" s="25" t="str">
        <f>'2.1. DM'!G199</f>
        <v>CIAT18954</v>
      </c>
      <c r="H199" s="25" t="str">
        <f>'2.1. DM'!H199</f>
        <v>Indigofera</v>
      </c>
      <c r="I199" s="25" t="str">
        <f>'2.1. DM'!I199</f>
        <v>atriceps</v>
      </c>
      <c r="J199" s="25" t="str">
        <f>'2.1. DM'!J199</f>
        <v>Indigofera atriceps</v>
      </c>
      <c r="K199" s="25" t="str">
        <f>'2.1. DM'!K199</f>
        <v>Fabaceae</v>
      </c>
      <c r="L199" s="25" t="str">
        <f>'2.1. DM'!L199</f>
        <v>Fabales</v>
      </c>
      <c r="M199" s="25" t="str">
        <f>'2.1. DM'!M199</f>
        <v>Herbaceous</v>
      </c>
      <c r="N199" s="25" t="str">
        <f>'2.1. DM'!N199</f>
        <v>62,63,70</v>
      </c>
      <c r="O199" s="25" t="str">
        <f>'2.1. DM'!O199</f>
        <v>OT-031 (2025)</v>
      </c>
      <c r="P199" s="22" t="s">
        <v>495</v>
      </c>
      <c r="Q199" s="67">
        <v>53.167025510802205</v>
      </c>
      <c r="R199" s="341">
        <f>AVERAGE('2.4 NDF'!Q199:Q200)</f>
        <v>51.541429238033814</v>
      </c>
    </row>
    <row r="200" spans="2:18" x14ac:dyDescent="0.35">
      <c r="B200" s="25">
        <f>'2.1. DM'!B200</f>
        <v>190</v>
      </c>
      <c r="C200" s="21">
        <f>'2.1. DM'!C200</f>
        <v>46055</v>
      </c>
      <c r="D200" s="25" t="str">
        <f>'2.1. DM'!D200</f>
        <v>Genbank</v>
      </c>
      <c r="E200" s="25">
        <f>'2.1. DM'!E200</f>
        <v>29</v>
      </c>
      <c r="F200" s="25" t="str">
        <f>'2.1. DM'!F200</f>
        <v>F252605</v>
      </c>
      <c r="G200" s="25" t="str">
        <f>'2.1. DM'!G200</f>
        <v>CIAT18954</v>
      </c>
      <c r="H200" s="25" t="str">
        <f>'2.1. DM'!H200</f>
        <v>Indigofera</v>
      </c>
      <c r="I200" s="25" t="str">
        <f>'2.1. DM'!I200</f>
        <v>atriceps</v>
      </c>
      <c r="J200" s="25" t="str">
        <f>'2.1. DM'!J200</f>
        <v>Indigofera atriceps</v>
      </c>
      <c r="K200" s="25" t="str">
        <f>'2.1. DM'!K200</f>
        <v>Fabaceae</v>
      </c>
      <c r="L200" s="25" t="str">
        <f>'2.1. DM'!L200</f>
        <v>Fabales</v>
      </c>
      <c r="M200" s="25" t="str">
        <f>'2.1. DM'!M200</f>
        <v>Herbaceous</v>
      </c>
      <c r="N200" s="25" t="str">
        <f>'2.1. DM'!N200</f>
        <v>62,63,70</v>
      </c>
      <c r="O200" s="25" t="str">
        <f>'2.1. DM'!O200</f>
        <v>OT-031 (2025)</v>
      </c>
      <c r="P200" s="19" t="s">
        <v>496</v>
      </c>
      <c r="Q200" s="67">
        <v>49.91583296526543</v>
      </c>
      <c r="R200" s="341"/>
    </row>
    <row r="201" spans="2:18" x14ac:dyDescent="0.35">
      <c r="B201" s="25">
        <f>'2.1. DM'!B201</f>
        <v>191</v>
      </c>
      <c r="C201" s="21">
        <f>'2.1. DM'!C201</f>
        <v>46055</v>
      </c>
      <c r="D201" s="25" t="str">
        <f>'2.1. DM'!D201</f>
        <v>Genbank</v>
      </c>
      <c r="E201" s="25">
        <f>'2.1. DM'!E201</f>
        <v>29</v>
      </c>
      <c r="F201" s="25" t="str">
        <f>'2.1. DM'!F201</f>
        <v>F252606</v>
      </c>
      <c r="G201" s="25" t="str">
        <f>'2.1. DM'!G201</f>
        <v>CIAT19198</v>
      </c>
      <c r="H201" s="25" t="str">
        <f>'2.1. DM'!H201</f>
        <v>Tephrosia</v>
      </c>
      <c r="I201" s="25" t="str">
        <f>'2.1. DM'!I201</f>
        <v>villosa</v>
      </c>
      <c r="J201" s="25" t="str">
        <f>'2.1. DM'!J201</f>
        <v>Tephrosia villosa</v>
      </c>
      <c r="K201" s="25" t="str">
        <f>'2.1. DM'!K201</f>
        <v>Fabaceae</v>
      </c>
      <c r="L201" s="25" t="str">
        <f>'2.1. DM'!L201</f>
        <v>Fabales</v>
      </c>
      <c r="M201" s="25" t="str">
        <f>'2.1. DM'!M201</f>
        <v>Herbaceous</v>
      </c>
      <c r="N201" s="25" t="str">
        <f>'2.1. DM'!N201</f>
        <v>62,63,70</v>
      </c>
      <c r="O201" s="25" t="str">
        <f>'2.1. DM'!O201</f>
        <v>OT-031 (2025)</v>
      </c>
      <c r="P201" s="22" t="s">
        <v>495</v>
      </c>
      <c r="Q201" s="67">
        <v>51.80362673208748</v>
      </c>
      <c r="R201" s="341">
        <f>AVERAGE('2.4 NDF'!Q201:Q202)</f>
        <v>51.725955405279976</v>
      </c>
    </row>
    <row r="202" spans="2:18" x14ac:dyDescent="0.35">
      <c r="B202" s="25">
        <f>'2.1. DM'!B202</f>
        <v>192</v>
      </c>
      <c r="C202" s="21">
        <f>'2.1. DM'!C202</f>
        <v>46055</v>
      </c>
      <c r="D202" s="25" t="str">
        <f>'2.1. DM'!D202</f>
        <v>Genbank</v>
      </c>
      <c r="E202" s="25">
        <f>'2.1. DM'!E202</f>
        <v>29</v>
      </c>
      <c r="F202" s="25" t="str">
        <f>'2.1. DM'!F202</f>
        <v>F252606</v>
      </c>
      <c r="G202" s="25" t="str">
        <f>'2.1. DM'!G202</f>
        <v>CIAT19198</v>
      </c>
      <c r="H202" s="25" t="str">
        <f>'2.1. DM'!H202</f>
        <v>Tephrosia</v>
      </c>
      <c r="I202" s="25" t="str">
        <f>'2.1. DM'!I202</f>
        <v>villosa</v>
      </c>
      <c r="J202" s="25" t="str">
        <f>'2.1. DM'!J202</f>
        <v>Tephrosia villosa</v>
      </c>
      <c r="K202" s="25" t="str">
        <f>'2.1. DM'!K202</f>
        <v>Fabaceae</v>
      </c>
      <c r="L202" s="25" t="str">
        <f>'2.1. DM'!L202</f>
        <v>Fabales</v>
      </c>
      <c r="M202" s="25" t="str">
        <f>'2.1. DM'!M202</f>
        <v>Herbaceous</v>
      </c>
      <c r="N202" s="25" t="str">
        <f>'2.1. DM'!N202</f>
        <v>62,63,70</v>
      </c>
      <c r="O202" s="25" t="str">
        <f>'2.1. DM'!O202</f>
        <v>OT-031 (2025)</v>
      </c>
      <c r="P202" s="19" t="s">
        <v>496</v>
      </c>
      <c r="Q202" s="67">
        <v>51.648284078472464</v>
      </c>
      <c r="R202" s="341"/>
    </row>
    <row r="203" spans="2:18" x14ac:dyDescent="0.35">
      <c r="B203" s="25">
        <f>'2.1. DM'!B203</f>
        <v>193</v>
      </c>
      <c r="C203" s="21">
        <f>'2.1. DM'!C203</f>
        <v>46055</v>
      </c>
      <c r="D203" s="25" t="str">
        <f>'2.1. DM'!D203</f>
        <v>Genbank</v>
      </c>
      <c r="E203" s="25">
        <f>'2.1. DM'!E203</f>
        <v>29</v>
      </c>
      <c r="F203" s="25" t="str">
        <f>'2.1. DM'!F203</f>
        <v>F252607</v>
      </c>
      <c r="G203" s="25" t="str">
        <f>'2.1. DM'!G203</f>
        <v>CIAT19460</v>
      </c>
      <c r="H203" s="25" t="str">
        <f>'2.1. DM'!H203</f>
        <v>Sesbania</v>
      </c>
      <c r="I203" s="25" t="str">
        <f>'2.1. DM'!I203</f>
        <v>cannabina</v>
      </c>
      <c r="J203" s="25" t="str">
        <f>'2.1. DM'!J203</f>
        <v>Sesbania cannabina</v>
      </c>
      <c r="K203" s="25" t="str">
        <f>'2.1. DM'!K203</f>
        <v>Fabaceae</v>
      </c>
      <c r="L203" s="25" t="str">
        <f>'2.1. DM'!L203</f>
        <v>Fabales</v>
      </c>
      <c r="M203" s="25" t="str">
        <f>'2.1. DM'!M203</f>
        <v>Shurb_Tree</v>
      </c>
      <c r="N203" s="25" t="str">
        <f>'2.1. DM'!N203</f>
        <v>62,63,70</v>
      </c>
      <c r="O203" s="25" t="str">
        <f>'2.1. DM'!O203</f>
        <v>OT-031 (2025)</v>
      </c>
      <c r="P203" s="22" t="s">
        <v>495</v>
      </c>
      <c r="Q203" s="23">
        <v>53.949644391233065</v>
      </c>
      <c r="R203" s="341">
        <f>AVERAGE('2.4 NDF'!Q203:Q204)</f>
        <v>53.522162359826567</v>
      </c>
    </row>
    <row r="204" spans="2:18" x14ac:dyDescent="0.35">
      <c r="B204" s="25">
        <f>'2.1. DM'!B204</f>
        <v>194</v>
      </c>
      <c r="C204" s="21">
        <f>'2.1. DM'!C204</f>
        <v>46055</v>
      </c>
      <c r="D204" s="25" t="str">
        <f>'2.1. DM'!D204</f>
        <v>Genbank</v>
      </c>
      <c r="E204" s="25">
        <f>'2.1. DM'!E204</f>
        <v>29</v>
      </c>
      <c r="F204" s="25" t="str">
        <f>'2.1. DM'!F204</f>
        <v>F252607</v>
      </c>
      <c r="G204" s="25" t="str">
        <f>'2.1. DM'!G204</f>
        <v>CIAT19460</v>
      </c>
      <c r="H204" s="25" t="str">
        <f>'2.1. DM'!H204</f>
        <v>Sesbania</v>
      </c>
      <c r="I204" s="25" t="str">
        <f>'2.1. DM'!I204</f>
        <v>cannabina</v>
      </c>
      <c r="J204" s="25" t="str">
        <f>'2.1. DM'!J204</f>
        <v>Sesbania cannabina</v>
      </c>
      <c r="K204" s="25" t="str">
        <f>'2.1. DM'!K204</f>
        <v>Fabaceae</v>
      </c>
      <c r="L204" s="25" t="str">
        <f>'2.1. DM'!L204</f>
        <v>Fabales</v>
      </c>
      <c r="M204" s="25" t="str">
        <f>'2.1. DM'!M204</f>
        <v>Shurb_Tree</v>
      </c>
      <c r="N204" s="25" t="str">
        <f>'2.1. DM'!N204</f>
        <v>62,63,70</v>
      </c>
      <c r="O204" s="25" t="str">
        <f>'2.1. DM'!O204</f>
        <v>OT-031 (2025)</v>
      </c>
      <c r="P204" s="19" t="s">
        <v>496</v>
      </c>
      <c r="Q204" s="23">
        <v>53.094680328420075</v>
      </c>
      <c r="R204" s="341"/>
    </row>
    <row r="205" spans="2:18" x14ac:dyDescent="0.35">
      <c r="B205" s="25">
        <f>'2.1. DM'!B205</f>
        <v>195</v>
      </c>
      <c r="C205" s="21">
        <f>'2.1. DM'!C205</f>
        <v>46055</v>
      </c>
      <c r="D205" s="25" t="str">
        <f>'2.1. DM'!D205</f>
        <v>Genbank</v>
      </c>
      <c r="E205" s="25">
        <f>'2.1. DM'!E205</f>
        <v>29</v>
      </c>
      <c r="F205" s="25" t="str">
        <f>'2.1. DM'!F205</f>
        <v>F252608</v>
      </c>
      <c r="G205" s="25" t="str">
        <f>'2.1. DM'!G205</f>
        <v>CIAT20044</v>
      </c>
      <c r="H205" s="25" t="str">
        <f>'2.1. DM'!H205</f>
        <v>Tephrosia</v>
      </c>
      <c r="I205" s="25" t="str">
        <f>'2.1. DM'!I205</f>
        <v>purpurea</v>
      </c>
      <c r="J205" s="25" t="str">
        <f>'2.1. DM'!J205</f>
        <v>Tephrosia purpurea</v>
      </c>
      <c r="K205" s="25" t="str">
        <f>'2.1. DM'!K205</f>
        <v>Fabaceae</v>
      </c>
      <c r="L205" s="25" t="str">
        <f>'2.1. DM'!L205</f>
        <v>Fabales</v>
      </c>
      <c r="M205" s="25" t="str">
        <f>'2.1. DM'!M205</f>
        <v>Herbaceous</v>
      </c>
      <c r="N205" s="25" t="str">
        <f>'2.1. DM'!N205</f>
        <v>62,63,70</v>
      </c>
      <c r="O205" s="25" t="str">
        <f>'2.1. DM'!O205</f>
        <v>OT-031 (2025)</v>
      </c>
      <c r="P205" s="22" t="s">
        <v>495</v>
      </c>
      <c r="Q205" s="23">
        <v>44.205627157784718</v>
      </c>
      <c r="R205" s="341">
        <f>AVERAGE('2.4 NDF'!Q205:Q206)</f>
        <v>47.098470034237963</v>
      </c>
    </row>
    <row r="206" spans="2:18" x14ac:dyDescent="0.35">
      <c r="B206" s="25">
        <f>'2.1. DM'!B206</f>
        <v>196</v>
      </c>
      <c r="C206" s="21">
        <f>'2.1. DM'!C206</f>
        <v>46055</v>
      </c>
      <c r="D206" s="25" t="str">
        <f>'2.1. DM'!D206</f>
        <v>Genbank</v>
      </c>
      <c r="E206" s="25">
        <f>'2.1. DM'!E206</f>
        <v>29</v>
      </c>
      <c r="F206" s="25" t="str">
        <f>'2.1. DM'!F206</f>
        <v>F252608</v>
      </c>
      <c r="G206" s="25" t="str">
        <f>'2.1. DM'!G206</f>
        <v>CIAT20044</v>
      </c>
      <c r="H206" s="25" t="str">
        <f>'2.1. DM'!H206</f>
        <v>Tephrosia</v>
      </c>
      <c r="I206" s="25" t="str">
        <f>'2.1. DM'!I206</f>
        <v>purpurea</v>
      </c>
      <c r="J206" s="25" t="str">
        <f>'2.1. DM'!J206</f>
        <v>Tephrosia purpurea</v>
      </c>
      <c r="K206" s="25" t="str">
        <f>'2.1. DM'!K206</f>
        <v>Fabaceae</v>
      </c>
      <c r="L206" s="25" t="str">
        <f>'2.1. DM'!L206</f>
        <v>Fabales</v>
      </c>
      <c r="M206" s="25" t="str">
        <f>'2.1. DM'!M206</f>
        <v>Herbaceous</v>
      </c>
      <c r="N206" s="25" t="str">
        <f>'2.1. DM'!N206</f>
        <v>62,63,70</v>
      </c>
      <c r="O206" s="25" t="str">
        <f>'2.1. DM'!O206</f>
        <v>OT-031 (2025)</v>
      </c>
      <c r="P206" s="19" t="s">
        <v>496</v>
      </c>
      <c r="Q206" s="23">
        <v>49.9913129106912</v>
      </c>
      <c r="R206" s="341"/>
    </row>
    <row r="207" spans="2:18" x14ac:dyDescent="0.35">
      <c r="B207" s="25">
        <f>'2.1. DM'!B207</f>
        <v>197</v>
      </c>
      <c r="C207" s="21">
        <f>'2.1. DM'!C207</f>
        <v>46055</v>
      </c>
      <c r="D207" s="25" t="str">
        <f>'2.1. DM'!D207</f>
        <v>Genbank</v>
      </c>
      <c r="E207" s="25">
        <f>'2.1. DM'!E207</f>
        <v>29</v>
      </c>
      <c r="F207" s="25" t="str">
        <f>'2.1. DM'!F207</f>
        <v>F252609</v>
      </c>
      <c r="G207" s="25" t="str">
        <f>'2.1. DM'!G207</f>
        <v>CIAT22423</v>
      </c>
      <c r="H207" s="25" t="str">
        <f>'2.1. DM'!H207</f>
        <v>Vigna</v>
      </c>
      <c r="I207" s="25" t="str">
        <f>'2.1. DM'!I207</f>
        <v>unguiculata</v>
      </c>
      <c r="J207" s="25" t="str">
        <f>'2.1. DM'!J207</f>
        <v>Vigna unguiculata</v>
      </c>
      <c r="K207" s="25" t="str">
        <f>'2.1. DM'!K207</f>
        <v>Fabaceae</v>
      </c>
      <c r="L207" s="25" t="str">
        <f>'2.1. DM'!L207</f>
        <v>Fabales</v>
      </c>
      <c r="M207" s="25" t="str">
        <f>'2.1. DM'!M207</f>
        <v>Herbaceous</v>
      </c>
      <c r="N207" s="25" t="str">
        <f>'2.1. DM'!N207</f>
        <v>62,63,70</v>
      </c>
      <c r="O207" s="25" t="str">
        <f>'2.1. DM'!O207</f>
        <v>OT-031 (2025)</v>
      </c>
      <c r="P207" s="22" t="s">
        <v>495</v>
      </c>
      <c r="Q207" s="23">
        <v>49.272094604876287</v>
      </c>
      <c r="R207" s="341">
        <f>AVERAGE('2.4 NDF'!Q207:Q208)</f>
        <v>48.091710361542475</v>
      </c>
    </row>
    <row r="208" spans="2:18" x14ac:dyDescent="0.35">
      <c r="B208" s="25">
        <f>'2.1. DM'!B208</f>
        <v>198</v>
      </c>
      <c r="C208" s="21">
        <f>'2.1. DM'!C208</f>
        <v>46055</v>
      </c>
      <c r="D208" s="25" t="str">
        <f>'2.1. DM'!D208</f>
        <v>Genbank</v>
      </c>
      <c r="E208" s="25">
        <f>'2.1. DM'!E208</f>
        <v>29</v>
      </c>
      <c r="F208" s="25" t="str">
        <f>'2.1. DM'!F208</f>
        <v>F252609</v>
      </c>
      <c r="G208" s="25" t="str">
        <f>'2.1. DM'!G208</f>
        <v>CIAT22423</v>
      </c>
      <c r="H208" s="25" t="str">
        <f>'2.1. DM'!H208</f>
        <v>Vigna</v>
      </c>
      <c r="I208" s="25" t="str">
        <f>'2.1. DM'!I208</f>
        <v>unguiculata</v>
      </c>
      <c r="J208" s="25" t="str">
        <f>'2.1. DM'!J208</f>
        <v>Vigna unguiculata</v>
      </c>
      <c r="K208" s="25" t="str">
        <f>'2.1. DM'!K208</f>
        <v>Fabaceae</v>
      </c>
      <c r="L208" s="25" t="str">
        <f>'2.1. DM'!L208</f>
        <v>Fabales</v>
      </c>
      <c r="M208" s="25" t="str">
        <f>'2.1. DM'!M208</f>
        <v>Herbaceous</v>
      </c>
      <c r="N208" s="25" t="str">
        <f>'2.1. DM'!N208</f>
        <v>62,63,70</v>
      </c>
      <c r="O208" s="25" t="str">
        <f>'2.1. DM'!O208</f>
        <v>OT-031 (2025)</v>
      </c>
      <c r="P208" s="19" t="s">
        <v>496</v>
      </c>
      <c r="Q208" s="23">
        <v>46.911326118208663</v>
      </c>
      <c r="R208" s="341"/>
    </row>
    <row r="209" spans="2:19" x14ac:dyDescent="0.35">
      <c r="B209" s="25">
        <f>'2.1. DM'!B209</f>
        <v>199</v>
      </c>
      <c r="C209" s="21">
        <f>'2.1. DM'!C209</f>
        <v>46055</v>
      </c>
      <c r="D209" s="25" t="str">
        <f>'2.1. DM'!D209</f>
        <v>Genbank</v>
      </c>
      <c r="E209" s="25">
        <f>'2.1. DM'!E209</f>
        <v>29</v>
      </c>
      <c r="F209" s="25" t="str">
        <f>'2.1. DM'!F209</f>
        <v>F252610</v>
      </c>
      <c r="G209" s="25" t="str">
        <f>'2.1. DM'!G209</f>
        <v>CIAT22480</v>
      </c>
      <c r="H209" s="25" t="str">
        <f>'2.1. DM'!H209</f>
        <v>Sesbania</v>
      </c>
      <c r="I209" s="25" t="str">
        <f>'2.1. DM'!I209</f>
        <v>cannabina</v>
      </c>
      <c r="J209" s="25" t="str">
        <f>'2.1. DM'!J209</f>
        <v>Sesbania cannabina</v>
      </c>
      <c r="K209" s="25" t="str">
        <f>'2.1. DM'!K209</f>
        <v>Fabaceae</v>
      </c>
      <c r="L209" s="25" t="str">
        <f>'2.1. DM'!L209</f>
        <v>Fabales</v>
      </c>
      <c r="M209" s="25" t="str">
        <f>'2.1. DM'!M209</f>
        <v>Shurb_Tree</v>
      </c>
      <c r="N209" s="25" t="str">
        <f>'2.1. DM'!N209</f>
        <v>62,63,70</v>
      </c>
      <c r="O209" s="25" t="str">
        <f>'2.1. DM'!O209</f>
        <v>OT-031 (2025)</v>
      </c>
      <c r="P209" s="22" t="s">
        <v>495</v>
      </c>
      <c r="Q209" s="23">
        <v>45.01502209737864</v>
      </c>
      <c r="R209" s="341">
        <f>AVERAGE('2.4 NDF'!Q209:Q210)</f>
        <v>45.507186045462213</v>
      </c>
    </row>
    <row r="210" spans="2:19" x14ac:dyDescent="0.35">
      <c r="B210" s="25">
        <f>'2.1. DM'!B210</f>
        <v>200</v>
      </c>
      <c r="C210" s="21">
        <f>'2.1. DM'!C210</f>
        <v>46055</v>
      </c>
      <c r="D210" s="25" t="str">
        <f>'2.1. DM'!D210</f>
        <v>Genbank</v>
      </c>
      <c r="E210" s="25">
        <f>'2.1. DM'!E210</f>
        <v>29</v>
      </c>
      <c r="F210" s="25" t="str">
        <f>'2.1. DM'!F210</f>
        <v>F252610</v>
      </c>
      <c r="G210" s="25" t="str">
        <f>'2.1. DM'!G210</f>
        <v>CIAT22480</v>
      </c>
      <c r="H210" s="25" t="str">
        <f>'2.1. DM'!H210</f>
        <v>Sesbania</v>
      </c>
      <c r="I210" s="25" t="str">
        <f>'2.1. DM'!I210</f>
        <v>cannabina</v>
      </c>
      <c r="J210" s="25" t="str">
        <f>'2.1. DM'!J210</f>
        <v>Sesbania cannabina</v>
      </c>
      <c r="K210" s="25" t="str">
        <f>'2.1. DM'!K210</f>
        <v>Fabaceae</v>
      </c>
      <c r="L210" s="25" t="str">
        <f>'2.1. DM'!L210</f>
        <v>Fabales</v>
      </c>
      <c r="M210" s="25" t="str">
        <f>'2.1. DM'!M210</f>
        <v>Shurb_Tree</v>
      </c>
      <c r="N210" s="25" t="str">
        <f>'2.1. DM'!N210</f>
        <v>62,63,70</v>
      </c>
      <c r="O210" s="25" t="str">
        <f>'2.1. DM'!O210</f>
        <v>OT-031 (2025)</v>
      </c>
      <c r="P210" s="19" t="s">
        <v>496</v>
      </c>
      <c r="Q210" s="23">
        <v>45.999349993545785</v>
      </c>
      <c r="R210" s="341"/>
    </row>
    <row r="211" spans="2:19" x14ac:dyDescent="0.35">
      <c r="B211" s="25">
        <f>'2.1. DM'!B211</f>
        <v>201</v>
      </c>
      <c r="C211" s="21">
        <f>'2.1. DM'!C211</f>
        <v>46055</v>
      </c>
      <c r="D211" s="25" t="str">
        <f>'2.1. DM'!D211</f>
        <v>Genbank</v>
      </c>
      <c r="E211" s="25">
        <f>'2.1. DM'!E211</f>
        <v>29</v>
      </c>
      <c r="F211" s="25" t="str">
        <f>'2.1. DM'!F211</f>
        <v>F252611</v>
      </c>
      <c r="G211" s="25" t="str">
        <f>'2.1. DM'!G211</f>
        <v>CIAT23116</v>
      </c>
      <c r="H211" s="25" t="str">
        <f>'2.1. DM'!H211</f>
        <v>Desmodium</v>
      </c>
      <c r="I211" s="25" t="str">
        <f>'2.1. DM'!I211</f>
        <v>tortuosum</v>
      </c>
      <c r="J211" s="25" t="str">
        <f>'2.1. DM'!J211</f>
        <v>Desmodium tortuosum</v>
      </c>
      <c r="K211" s="25" t="str">
        <f>'2.1. DM'!K211</f>
        <v>Fabaceae</v>
      </c>
      <c r="L211" s="25" t="str">
        <f>'2.1. DM'!L211</f>
        <v>Fabales</v>
      </c>
      <c r="M211" s="25" t="str">
        <f>'2.1. DM'!M211</f>
        <v>Shurb_Tree</v>
      </c>
      <c r="N211" s="25" t="str">
        <f>'2.1. DM'!N211</f>
        <v>62,63,70</v>
      </c>
      <c r="O211" s="25" t="str">
        <f>'2.1. DM'!O211</f>
        <v>OT-031 (2025)</v>
      </c>
      <c r="P211" s="22" t="s">
        <v>495</v>
      </c>
      <c r="Q211" s="23">
        <v>58.826168425062086</v>
      </c>
      <c r="R211" s="341">
        <f>AVERAGE('2.4 NDF'!Q211:Q212)</f>
        <v>59.769762667606479</v>
      </c>
    </row>
    <row r="212" spans="2:19" x14ac:dyDescent="0.35">
      <c r="B212" s="25">
        <f>'2.1. DM'!B212</f>
        <v>202</v>
      </c>
      <c r="C212" s="21">
        <f>'2.1. DM'!C212</f>
        <v>46055</v>
      </c>
      <c r="D212" s="25" t="str">
        <f>'2.1. DM'!D212</f>
        <v>Genbank</v>
      </c>
      <c r="E212" s="25">
        <f>'2.1. DM'!E212</f>
        <v>29</v>
      </c>
      <c r="F212" s="25" t="str">
        <f>'2.1. DM'!F212</f>
        <v>F252611</v>
      </c>
      <c r="G212" s="25" t="str">
        <f>'2.1. DM'!G212</f>
        <v>CIAT23116</v>
      </c>
      <c r="H212" s="25" t="str">
        <f>'2.1. DM'!H212</f>
        <v>Desmodium</v>
      </c>
      <c r="I212" s="25" t="str">
        <f>'2.1. DM'!I212</f>
        <v>tortuosum</v>
      </c>
      <c r="J212" s="25" t="str">
        <f>'2.1. DM'!J212</f>
        <v>Desmodium tortuosum</v>
      </c>
      <c r="K212" s="25" t="str">
        <f>'2.1. DM'!K212</f>
        <v>Fabaceae</v>
      </c>
      <c r="L212" s="25" t="str">
        <f>'2.1. DM'!L212</f>
        <v>Fabales</v>
      </c>
      <c r="M212" s="25" t="str">
        <f>'2.1. DM'!M212</f>
        <v>Shurb_Tree</v>
      </c>
      <c r="N212" s="25" t="str">
        <f>'2.1. DM'!N212</f>
        <v>62,63,70</v>
      </c>
      <c r="O212" s="25" t="str">
        <f>'2.1. DM'!O212</f>
        <v>OT-031 (2025)</v>
      </c>
      <c r="P212" s="19" t="s">
        <v>496</v>
      </c>
      <c r="Q212" s="23">
        <v>60.713356910150871</v>
      </c>
      <c r="R212" s="341"/>
    </row>
    <row r="213" spans="2:19" x14ac:dyDescent="0.35">
      <c r="B213" s="25">
        <f>'2.1. DM'!B213</f>
        <v>203</v>
      </c>
      <c r="C213" s="21">
        <f>'2.1. DM'!C213</f>
        <v>46055</v>
      </c>
      <c r="D213" s="25" t="str">
        <f>'2.1. DM'!D213</f>
        <v>Genbank</v>
      </c>
      <c r="E213" s="25">
        <f>'2.1. DM'!E213</f>
        <v>29</v>
      </c>
      <c r="F213" s="25" t="str">
        <f>'2.1. DM'!F213</f>
        <v>F252612</v>
      </c>
      <c r="G213" s="25" t="str">
        <f>'2.1. DM'!G213</f>
        <v>CIAT23416</v>
      </c>
      <c r="H213" s="25" t="str">
        <f>'2.1. DM'!H213</f>
        <v>Codariocalyx</v>
      </c>
      <c r="I213" s="25" t="str">
        <f>'2.1. DM'!I213</f>
        <v>motorius</v>
      </c>
      <c r="J213" s="25" t="str">
        <f>'2.1. DM'!J213</f>
        <v>Codariocalyx motorius</v>
      </c>
      <c r="K213" s="25" t="str">
        <f>'2.1. DM'!K213</f>
        <v>Fabaceae</v>
      </c>
      <c r="L213" s="25" t="str">
        <f>'2.1. DM'!L213</f>
        <v>Fabales</v>
      </c>
      <c r="M213" s="25" t="str">
        <f>'2.1. DM'!M213</f>
        <v>Shurb_Tree</v>
      </c>
      <c r="N213" s="25" t="str">
        <f>'2.1. DM'!N213</f>
        <v>62,63,70</v>
      </c>
      <c r="O213" s="25" t="str">
        <f>'2.1. DM'!O213</f>
        <v>OT-031 (2025)</v>
      </c>
      <c r="P213" s="22" t="s">
        <v>495</v>
      </c>
      <c r="Q213" s="23">
        <v>56.80832740866677</v>
      </c>
      <c r="R213" s="341">
        <f>AVERAGE('2.4 NDF'!Q213:Q214)</f>
        <v>56.802100988150428</v>
      </c>
    </row>
    <row r="214" spans="2:19" x14ac:dyDescent="0.35">
      <c r="B214" s="25">
        <f>'2.1. DM'!B214</f>
        <v>204</v>
      </c>
      <c r="C214" s="21">
        <f>'2.1. DM'!C214</f>
        <v>46055</v>
      </c>
      <c r="D214" s="25" t="str">
        <f>'2.1. DM'!D214</f>
        <v>Genbank</v>
      </c>
      <c r="E214" s="25">
        <f>'2.1. DM'!E214</f>
        <v>29</v>
      </c>
      <c r="F214" s="25" t="str">
        <f>'2.1. DM'!F214</f>
        <v>F252612</v>
      </c>
      <c r="G214" s="25" t="str">
        <f>'2.1. DM'!G214</f>
        <v>CIAT23416</v>
      </c>
      <c r="H214" s="25" t="str">
        <f>'2.1. DM'!H214</f>
        <v>Codariocalyx</v>
      </c>
      <c r="I214" s="25" t="str">
        <f>'2.1. DM'!I214</f>
        <v>motorius</v>
      </c>
      <c r="J214" s="25" t="str">
        <f>'2.1. DM'!J214</f>
        <v>Codariocalyx motorius</v>
      </c>
      <c r="K214" s="25" t="str">
        <f>'2.1. DM'!K214</f>
        <v>Fabaceae</v>
      </c>
      <c r="L214" s="25" t="str">
        <f>'2.1. DM'!L214</f>
        <v>Fabales</v>
      </c>
      <c r="M214" s="25" t="str">
        <f>'2.1. DM'!M214</f>
        <v>Shurb_Tree</v>
      </c>
      <c r="N214" s="25" t="str">
        <f>'2.1. DM'!N214</f>
        <v>62,63,70</v>
      </c>
      <c r="O214" s="25" t="str">
        <f>'2.1. DM'!O214</f>
        <v>OT-031 (2025)</v>
      </c>
      <c r="P214" s="19" t="s">
        <v>496</v>
      </c>
      <c r="Q214" s="23">
        <v>56.795874567634094</v>
      </c>
      <c r="R214" s="341"/>
    </row>
    <row r="215" spans="2:19" x14ac:dyDescent="0.35">
      <c r="B215" s="25">
        <f>'2.1. DM'!B215</f>
        <v>205</v>
      </c>
      <c r="C215" s="21">
        <f>'2.1. DM'!C215</f>
        <v>46055</v>
      </c>
      <c r="D215" s="25" t="str">
        <f>'2.1. DM'!D215</f>
        <v>Genbank</v>
      </c>
      <c r="E215" s="25">
        <f>'2.1. DM'!E215</f>
        <v>29</v>
      </c>
      <c r="F215" s="25" t="str">
        <f>'2.1. DM'!F215</f>
        <v>F252613</v>
      </c>
      <c r="G215" s="25" t="str">
        <f>'2.1. DM'!G215</f>
        <v>CIAT23806</v>
      </c>
      <c r="H215" s="25" t="str">
        <f>'2.1. DM'!H215</f>
        <v>Desmodium</v>
      </c>
      <c r="I215" s="25" t="str">
        <f>'2.1. DM'!I215</f>
        <v>angustifolium</v>
      </c>
      <c r="J215" s="25" t="str">
        <f>'2.1. DM'!J215</f>
        <v>Desmodium angustifolium</v>
      </c>
      <c r="K215" s="25" t="str">
        <f>'2.1. DM'!K215</f>
        <v>Fabaceae</v>
      </c>
      <c r="L215" s="25" t="str">
        <f>'2.1. DM'!L215</f>
        <v>Fabales</v>
      </c>
      <c r="M215" s="25" t="str">
        <f>'2.1. DM'!M215</f>
        <v>Herbaceous</v>
      </c>
      <c r="N215" s="25" t="str">
        <f>'2.1. DM'!N215</f>
        <v>62,63,70</v>
      </c>
      <c r="O215" s="25" t="str">
        <f>'2.1. DM'!O215</f>
        <v>OT-031 (2025)</v>
      </c>
      <c r="P215" s="22" t="s">
        <v>495</v>
      </c>
      <c r="Q215" s="23">
        <v>58.985507342359867</v>
      </c>
      <c r="R215" s="341">
        <f>AVERAGE('2.4 NDF'!Q215:Q216)</f>
        <v>58.824995503590372</v>
      </c>
    </row>
    <row r="216" spans="2:19" x14ac:dyDescent="0.35">
      <c r="B216" s="25">
        <f>'2.1. DM'!B216</f>
        <v>206</v>
      </c>
      <c r="C216" s="21">
        <f>'2.1. DM'!C216</f>
        <v>46055</v>
      </c>
      <c r="D216" s="25" t="str">
        <f>'2.1. DM'!D216</f>
        <v>Genbank</v>
      </c>
      <c r="E216" s="25">
        <f>'2.1. DM'!E216</f>
        <v>29</v>
      </c>
      <c r="F216" s="25" t="str">
        <f>'2.1. DM'!F216</f>
        <v>F252613</v>
      </c>
      <c r="G216" s="25" t="str">
        <f>'2.1. DM'!G216</f>
        <v>CIAT23806</v>
      </c>
      <c r="H216" s="25" t="str">
        <f>'2.1. DM'!H216</f>
        <v>Desmodium</v>
      </c>
      <c r="I216" s="25" t="str">
        <f>'2.1. DM'!I216</f>
        <v>angustifolium</v>
      </c>
      <c r="J216" s="25" t="str">
        <f>'2.1. DM'!J216</f>
        <v>Desmodium angustifolium</v>
      </c>
      <c r="K216" s="25" t="str">
        <f>'2.1. DM'!K216</f>
        <v>Fabaceae</v>
      </c>
      <c r="L216" s="25" t="str">
        <f>'2.1. DM'!L216</f>
        <v>Fabales</v>
      </c>
      <c r="M216" s="25" t="str">
        <f>'2.1. DM'!M216</f>
        <v>Herbaceous</v>
      </c>
      <c r="N216" s="25" t="str">
        <f>'2.1. DM'!N216</f>
        <v>62,63,70</v>
      </c>
      <c r="O216" s="25" t="str">
        <f>'2.1. DM'!O216</f>
        <v>OT-031 (2025)</v>
      </c>
      <c r="P216" s="19" t="s">
        <v>496</v>
      </c>
      <c r="Q216" s="23">
        <v>58.664483664820878</v>
      </c>
      <c r="R216" s="341"/>
    </row>
    <row r="217" spans="2:19" x14ac:dyDescent="0.35">
      <c r="B217" s="25">
        <f>'2.1. DM'!B217</f>
        <v>207</v>
      </c>
      <c r="C217" s="21">
        <f>'2.1. DM'!C217</f>
        <v>46055</v>
      </c>
      <c r="D217" s="25" t="str">
        <f>'2.1. DM'!D217</f>
        <v>Genbank</v>
      </c>
      <c r="E217" s="25">
        <f>'2.1. DM'!E217</f>
        <v>29</v>
      </c>
      <c r="F217" s="25" t="str">
        <f>'2.1. DM'!F217</f>
        <v>F252614</v>
      </c>
      <c r="G217" s="25" t="str">
        <f>'2.1. DM'!G217</f>
        <v>CIAT24104</v>
      </c>
      <c r="H217" s="25" t="str">
        <f>'2.1. DM'!H217</f>
        <v>Macroptilium</v>
      </c>
      <c r="I217" s="25" t="str">
        <f>'2.1. DM'!I217</f>
        <v>atropurpureum</v>
      </c>
      <c r="J217" s="25" t="str">
        <f>'2.1. DM'!J217</f>
        <v>Macroptilium atropurpureum</v>
      </c>
      <c r="K217" s="25" t="str">
        <f>'2.1. DM'!K217</f>
        <v>Fabaceae</v>
      </c>
      <c r="L217" s="25" t="str">
        <f>'2.1. DM'!L217</f>
        <v>Fabales</v>
      </c>
      <c r="M217" s="25" t="str">
        <f>'2.1. DM'!M217</f>
        <v>Herbaceous</v>
      </c>
      <c r="N217" s="25" t="str">
        <f>'2.1. DM'!N217</f>
        <v>62,63,70</v>
      </c>
      <c r="O217" s="25" t="str">
        <f>'2.1. DM'!O217</f>
        <v>OT-031 (2025)</v>
      </c>
      <c r="P217" s="22" t="s">
        <v>495</v>
      </c>
      <c r="Q217" s="23">
        <v>45.166845910108087</v>
      </c>
      <c r="R217" s="341">
        <f>AVERAGE('2.4 NDF'!Q217:Q218)</f>
        <v>45.242068451157579</v>
      </c>
    </row>
    <row r="218" spans="2:19" x14ac:dyDescent="0.35">
      <c r="B218" s="25">
        <f>'2.1. DM'!B218</f>
        <v>208</v>
      </c>
      <c r="C218" s="21">
        <f>'2.1. DM'!C218</f>
        <v>46055</v>
      </c>
      <c r="D218" s="25" t="str">
        <f>'2.1. DM'!D218</f>
        <v>Genbank</v>
      </c>
      <c r="E218" s="25">
        <f>'2.1. DM'!E218</f>
        <v>29</v>
      </c>
      <c r="F218" s="25" t="str">
        <f>'2.1. DM'!F218</f>
        <v>F252614</v>
      </c>
      <c r="G218" s="25" t="str">
        <f>'2.1. DM'!G218</f>
        <v>CIAT24104</v>
      </c>
      <c r="H218" s="25" t="str">
        <f>'2.1. DM'!H218</f>
        <v>Macroptilium</v>
      </c>
      <c r="I218" s="25" t="str">
        <f>'2.1. DM'!I218</f>
        <v>atropurpureum</v>
      </c>
      <c r="J218" s="25" t="str">
        <f>'2.1. DM'!J218</f>
        <v>Macroptilium atropurpureum</v>
      </c>
      <c r="K218" s="25" t="str">
        <f>'2.1. DM'!K218</f>
        <v>Fabaceae</v>
      </c>
      <c r="L218" s="25" t="str">
        <f>'2.1. DM'!L218</f>
        <v>Fabales</v>
      </c>
      <c r="M218" s="25" t="str">
        <f>'2.1. DM'!M218</f>
        <v>Herbaceous</v>
      </c>
      <c r="N218" s="25" t="str">
        <f>'2.1. DM'!N218</f>
        <v>62,63,70</v>
      </c>
      <c r="O218" s="25" t="str">
        <f>'2.1. DM'!O218</f>
        <v>OT-031 (2025)</v>
      </c>
      <c r="P218" s="19" t="s">
        <v>496</v>
      </c>
      <c r="Q218" s="23">
        <v>45.31729099220707</v>
      </c>
      <c r="R218" s="341"/>
    </row>
    <row r="219" spans="2:19" x14ac:dyDescent="0.35">
      <c r="B219" s="25">
        <f>'2.1. DM'!B219</f>
        <v>209</v>
      </c>
      <c r="C219" s="21">
        <f>'2.1. DM'!C219</f>
        <v>46055</v>
      </c>
      <c r="D219" s="25" t="str">
        <f>'2.1. DM'!D219</f>
        <v>Genbank</v>
      </c>
      <c r="E219" s="25">
        <f>'2.1. DM'!E219</f>
        <v>29</v>
      </c>
      <c r="F219" s="25" t="str">
        <f>'2.1. DM'!F219</f>
        <v>F252615</v>
      </c>
      <c r="G219" s="25" t="str">
        <f>'2.1. DM'!G219</f>
        <v>CIAT24565</v>
      </c>
      <c r="H219" s="25" t="str">
        <f>'2.1. DM'!H219</f>
        <v>Vigna</v>
      </c>
      <c r="I219" s="25" t="str">
        <f>'2.1. DM'!I219</f>
        <v>unguiculata</v>
      </c>
      <c r="J219" s="25" t="str">
        <f>'2.1. DM'!J219</f>
        <v>Vigna unguiculata</v>
      </c>
      <c r="K219" s="25" t="str">
        <f>'2.1. DM'!K219</f>
        <v>Fabaceae</v>
      </c>
      <c r="L219" s="25" t="str">
        <f>'2.1. DM'!L219</f>
        <v>Fabales</v>
      </c>
      <c r="M219" s="25" t="str">
        <f>'2.1. DM'!M219</f>
        <v>Herbaceous</v>
      </c>
      <c r="N219" s="25" t="str">
        <f>'2.1. DM'!N219</f>
        <v>62,63,70</v>
      </c>
      <c r="O219" s="25" t="str">
        <f>'2.1. DM'!O219</f>
        <v>OT-031 (2025)</v>
      </c>
      <c r="P219" s="22" t="s">
        <v>495</v>
      </c>
      <c r="Q219" s="23">
        <v>49.243638643380372</v>
      </c>
      <c r="R219" s="341">
        <f>AVERAGE('2.4 NDF'!Q219:Q220)</f>
        <v>49.609829285498634</v>
      </c>
    </row>
    <row r="220" spans="2:19" x14ac:dyDescent="0.35">
      <c r="B220" s="25">
        <f>'2.1. DM'!B220</f>
        <v>210</v>
      </c>
      <c r="C220" s="21">
        <f>'2.1. DM'!C220</f>
        <v>46055</v>
      </c>
      <c r="D220" s="25" t="str">
        <f>'2.1. DM'!D220</f>
        <v>Genbank</v>
      </c>
      <c r="E220" s="25">
        <f>'2.1. DM'!E220</f>
        <v>29</v>
      </c>
      <c r="F220" s="25" t="str">
        <f>'2.1. DM'!F220</f>
        <v>F252615</v>
      </c>
      <c r="G220" s="25" t="str">
        <f>'2.1. DM'!G220</f>
        <v>CIAT24565</v>
      </c>
      <c r="H220" s="25" t="str">
        <f>'2.1. DM'!H220</f>
        <v>Vigna</v>
      </c>
      <c r="I220" s="25" t="str">
        <f>'2.1. DM'!I220</f>
        <v>unguiculata</v>
      </c>
      <c r="J220" s="25" t="str">
        <f>'2.1. DM'!J220</f>
        <v>Vigna unguiculata</v>
      </c>
      <c r="K220" s="25" t="str">
        <f>'2.1. DM'!K220</f>
        <v>Fabaceae</v>
      </c>
      <c r="L220" s="25" t="str">
        <f>'2.1. DM'!L220</f>
        <v>Fabales</v>
      </c>
      <c r="M220" s="25" t="str">
        <f>'2.1. DM'!M220</f>
        <v>Herbaceous</v>
      </c>
      <c r="N220" s="25" t="str">
        <f>'2.1. DM'!N220</f>
        <v>62,63,70</v>
      </c>
      <c r="O220" s="25" t="str">
        <f>'2.1. DM'!O220</f>
        <v>OT-031 (2025)</v>
      </c>
      <c r="P220" s="19" t="s">
        <v>496</v>
      </c>
      <c r="Q220" s="23">
        <v>49.976019927616896</v>
      </c>
      <c r="R220" s="341"/>
    </row>
    <row r="221" spans="2:19" x14ac:dyDescent="0.35">
      <c r="B221" s="25">
        <f>'2.1. DM'!B221</f>
        <v>211</v>
      </c>
      <c r="C221" s="21">
        <f>'2.1. DM'!C221</f>
        <v>46055</v>
      </c>
      <c r="D221" s="25" t="str">
        <f>'2.1. DM'!D221</f>
        <v>Genbank</v>
      </c>
      <c r="E221" s="25">
        <f>'2.1. DM'!E221</f>
        <v>29</v>
      </c>
      <c r="F221" s="25" t="str">
        <f>'2.1. DM'!F221</f>
        <v>F252616</v>
      </c>
      <c r="G221" s="25" t="str">
        <f>'2.1. DM'!G221</f>
        <v>CIAT33561</v>
      </c>
      <c r="H221" s="25" t="str">
        <f>'2.1. DM'!H221</f>
        <v>Desmodium</v>
      </c>
      <c r="I221" s="25" t="str">
        <f>'2.1. DM'!I221</f>
        <v>wigginsii</v>
      </c>
      <c r="J221" s="25" t="str">
        <f>'2.1. DM'!J221</f>
        <v>Desmodium wigginsii</v>
      </c>
      <c r="K221" s="25" t="str">
        <f>'2.1. DM'!K221</f>
        <v>Fabaceae</v>
      </c>
      <c r="L221" s="25" t="str">
        <f>'2.1. DM'!L221</f>
        <v>Fabales</v>
      </c>
      <c r="M221" s="25" t="str">
        <f>'2.1. DM'!M221</f>
        <v>Herbaceous</v>
      </c>
      <c r="N221" s="25" t="str">
        <f>'2.1. DM'!N221</f>
        <v>62,63,70</v>
      </c>
      <c r="O221" s="25" t="str">
        <f>'2.1. DM'!O221</f>
        <v>OT-031 (2025)</v>
      </c>
      <c r="P221" s="22" t="s">
        <v>495</v>
      </c>
      <c r="Q221" s="23">
        <v>53.771504079227128</v>
      </c>
      <c r="R221" s="341">
        <f>AVERAGE('2.4 NDF'!Q221:Q222)</f>
        <v>54.684912429868149</v>
      </c>
    </row>
    <row r="222" spans="2:19" x14ac:dyDescent="0.35">
      <c r="B222" s="25">
        <f>'2.1. DM'!B222</f>
        <v>212</v>
      </c>
      <c r="C222" s="21">
        <f>'2.1. DM'!C222</f>
        <v>46055</v>
      </c>
      <c r="D222" s="25" t="str">
        <f>'2.1. DM'!D222</f>
        <v>Genbank</v>
      </c>
      <c r="E222" s="25">
        <f>'2.1. DM'!E222</f>
        <v>29</v>
      </c>
      <c r="F222" s="25" t="str">
        <f>'2.1. DM'!F222</f>
        <v>F252616</v>
      </c>
      <c r="G222" s="25" t="str">
        <f>'2.1. DM'!G222</f>
        <v>CIAT33561</v>
      </c>
      <c r="H222" s="25" t="str">
        <f>'2.1. DM'!H222</f>
        <v>Desmodium</v>
      </c>
      <c r="I222" s="25" t="str">
        <f>'2.1. DM'!I222</f>
        <v>wigginsii</v>
      </c>
      <c r="J222" s="25" t="str">
        <f>'2.1. DM'!J222</f>
        <v>Desmodium wigginsii</v>
      </c>
      <c r="K222" s="25" t="str">
        <f>'2.1. DM'!K222</f>
        <v>Fabaceae</v>
      </c>
      <c r="L222" s="25" t="str">
        <f>'2.1. DM'!L222</f>
        <v>Fabales</v>
      </c>
      <c r="M222" s="25" t="str">
        <f>'2.1. DM'!M222</f>
        <v>Herbaceous</v>
      </c>
      <c r="N222" s="25" t="str">
        <f>'2.1. DM'!N222</f>
        <v>62,63,70</v>
      </c>
      <c r="O222" s="25" t="str">
        <f>'2.1. DM'!O222</f>
        <v>OT-031 (2025)</v>
      </c>
      <c r="P222" s="19" t="s">
        <v>496</v>
      </c>
      <c r="Q222" s="23">
        <v>55.598320780509169</v>
      </c>
      <c r="R222" s="341"/>
    </row>
    <row r="223" spans="2:19" x14ac:dyDescent="0.35">
      <c r="B223" s="25">
        <f>'2.1. DM'!B223</f>
        <v>213</v>
      </c>
      <c r="C223" s="21">
        <f>'2.1. DM'!C223</f>
        <v>46055</v>
      </c>
      <c r="D223" s="25" t="str">
        <f>'2.1. DM'!D223</f>
        <v>Genbank</v>
      </c>
      <c r="E223" s="25">
        <f>'2.1. DM'!E223</f>
        <v>29</v>
      </c>
      <c r="F223" s="25" t="str">
        <f>'2.1. DM'!F223</f>
        <v>F252617</v>
      </c>
      <c r="G223" s="25" t="str">
        <f>'2.1. DM'!G223</f>
        <v>CIAT34038</v>
      </c>
      <c r="H223" s="25" t="str">
        <f>'2.1. DM'!H223</f>
        <v>Vigna</v>
      </c>
      <c r="I223" s="25" t="str">
        <f>'2.1. DM'!I223</f>
        <v>unguiculata</v>
      </c>
      <c r="J223" s="25" t="str">
        <f>'2.1. DM'!J223</f>
        <v>Vigna unguiculata</v>
      </c>
      <c r="K223" s="25" t="str">
        <f>'2.1. DM'!K223</f>
        <v>Fabaceae</v>
      </c>
      <c r="L223" s="25" t="str">
        <f>'2.1. DM'!L223</f>
        <v>Fabales</v>
      </c>
      <c r="M223" s="25" t="str">
        <f>'2.1. DM'!M223</f>
        <v>Herbaceous</v>
      </c>
      <c r="N223" s="25" t="str">
        <f>'2.1. DM'!N223</f>
        <v>62,63,70</v>
      </c>
      <c r="O223" s="25" t="str">
        <f>'2.1. DM'!O223</f>
        <v>OT-031 (2025)</v>
      </c>
      <c r="P223" s="22" t="s">
        <v>495</v>
      </c>
      <c r="Q223" s="23">
        <v>46.167509373158843</v>
      </c>
      <c r="R223" s="341">
        <f>AVERAGE('2.4 NDF'!Q223:Q224)</f>
        <v>46.958505808148288</v>
      </c>
      <c r="S223" s="5" t="s">
        <v>497</v>
      </c>
    </row>
    <row r="224" spans="2:19" x14ac:dyDescent="0.35">
      <c r="B224" s="25">
        <f>'2.1. DM'!B224</f>
        <v>214</v>
      </c>
      <c r="C224" s="21">
        <f>'2.1. DM'!C224</f>
        <v>46055</v>
      </c>
      <c r="D224" s="25" t="str">
        <f>'2.1. DM'!D224</f>
        <v>Genbank</v>
      </c>
      <c r="E224" s="25">
        <f>'2.1. DM'!E224</f>
        <v>29</v>
      </c>
      <c r="F224" s="25" t="str">
        <f>'2.1. DM'!F224</f>
        <v>F252617</v>
      </c>
      <c r="G224" s="25" t="str">
        <f>'2.1. DM'!G224</f>
        <v>CIAT34038</v>
      </c>
      <c r="H224" s="25" t="str">
        <f>'2.1. DM'!H224</f>
        <v>Vigna</v>
      </c>
      <c r="I224" s="25" t="str">
        <f>'2.1. DM'!I224</f>
        <v>unguiculata</v>
      </c>
      <c r="J224" s="25" t="str">
        <f>'2.1. DM'!J224</f>
        <v>Vigna unguiculata</v>
      </c>
      <c r="K224" s="25" t="str">
        <f>'2.1. DM'!K224</f>
        <v>Fabaceae</v>
      </c>
      <c r="L224" s="25" t="str">
        <f>'2.1. DM'!L224</f>
        <v>Fabales</v>
      </c>
      <c r="M224" s="25" t="str">
        <f>'2.1. DM'!M224</f>
        <v>Herbaceous</v>
      </c>
      <c r="N224" s="25" t="str">
        <f>'2.1. DM'!N224</f>
        <v>62,63,70</v>
      </c>
      <c r="O224" s="25" t="str">
        <f>'2.1. DM'!O224</f>
        <v>OT-031 (2025)</v>
      </c>
      <c r="P224" s="19" t="s">
        <v>496</v>
      </c>
      <c r="Q224" s="23">
        <v>47.749502243137734</v>
      </c>
      <c r="R224" s="341"/>
      <c r="S224" s="5" t="s">
        <v>497</v>
      </c>
    </row>
    <row r="225" spans="2:18" x14ac:dyDescent="0.35">
      <c r="B225" s="25">
        <f>'2.1. DM'!B225</f>
        <v>215</v>
      </c>
      <c r="C225" s="21">
        <f>'2.1. DM'!C225</f>
        <v>46055</v>
      </c>
      <c r="D225" s="25" t="str">
        <f>'2.1. DM'!D225</f>
        <v>Genbank</v>
      </c>
      <c r="E225" s="25">
        <f>'2.1. DM'!E225</f>
        <v>29</v>
      </c>
      <c r="F225" s="25" t="str">
        <f>'2.1. DM'!F225</f>
        <v>F252618</v>
      </c>
      <c r="G225" s="25" t="str">
        <f>'2.1. DM'!G225</f>
        <v>CIAT34040</v>
      </c>
      <c r="H225" s="25" t="str">
        <f>'2.1. DM'!H225</f>
        <v>Vigna</v>
      </c>
      <c r="I225" s="25" t="str">
        <f>'2.1. DM'!I225</f>
        <v>aconitifolia</v>
      </c>
      <c r="J225" s="25" t="str">
        <f>'2.1. DM'!J225</f>
        <v>Vigna aconitifolia</v>
      </c>
      <c r="K225" s="25" t="str">
        <f>'2.1. DM'!K225</f>
        <v>Fabaceae</v>
      </c>
      <c r="L225" s="25" t="str">
        <f>'2.1. DM'!L225</f>
        <v>Fabales</v>
      </c>
      <c r="M225" s="25" t="str">
        <f>'2.1. DM'!M225</f>
        <v>Herbaceous</v>
      </c>
      <c r="N225" s="25" t="str">
        <f>'2.1. DM'!N225</f>
        <v>62,63,70</v>
      </c>
      <c r="O225" s="25" t="str">
        <f>'2.1. DM'!O225</f>
        <v>OT-031 (2025)</v>
      </c>
      <c r="P225" s="22" t="s">
        <v>495</v>
      </c>
      <c r="Q225" s="23">
        <v>41.944848884716748</v>
      </c>
      <c r="R225" s="341">
        <f>AVERAGE('2.4 NDF'!Q225:Q226)</f>
        <v>41.974995691029363</v>
      </c>
    </row>
    <row r="226" spans="2:18" x14ac:dyDescent="0.35">
      <c r="B226" s="25">
        <f>'2.1. DM'!B226</f>
        <v>216</v>
      </c>
      <c r="C226" s="21">
        <f>'2.1. DM'!C226</f>
        <v>46055</v>
      </c>
      <c r="D226" s="25" t="str">
        <f>'2.1. DM'!D226</f>
        <v>Genbank</v>
      </c>
      <c r="E226" s="25">
        <f>'2.1. DM'!E226</f>
        <v>29</v>
      </c>
      <c r="F226" s="25" t="str">
        <f>'2.1. DM'!F226</f>
        <v>F252618</v>
      </c>
      <c r="G226" s="25" t="str">
        <f>'2.1. DM'!G226</f>
        <v>CIAT34040</v>
      </c>
      <c r="H226" s="25" t="str">
        <f>'2.1. DM'!H226</f>
        <v>Vigna</v>
      </c>
      <c r="I226" s="25" t="str">
        <f>'2.1. DM'!I226</f>
        <v>aconitifolia</v>
      </c>
      <c r="J226" s="25" t="str">
        <f>'2.1. DM'!J226</f>
        <v>Vigna aconitifolia</v>
      </c>
      <c r="K226" s="25" t="str">
        <f>'2.1. DM'!K226</f>
        <v>Fabaceae</v>
      </c>
      <c r="L226" s="25" t="str">
        <f>'2.1. DM'!L226</f>
        <v>Fabales</v>
      </c>
      <c r="M226" s="25" t="str">
        <f>'2.1. DM'!M226</f>
        <v>Herbaceous</v>
      </c>
      <c r="N226" s="25" t="str">
        <f>'2.1. DM'!N226</f>
        <v>62,63,70</v>
      </c>
      <c r="O226" s="25" t="str">
        <f>'2.1. DM'!O226</f>
        <v>OT-031 (2025)</v>
      </c>
      <c r="P226" s="19" t="s">
        <v>496</v>
      </c>
      <c r="Q226" s="23">
        <v>42.005142497341978</v>
      </c>
      <c r="R226" s="341"/>
    </row>
    <row r="227" spans="2:18" x14ac:dyDescent="0.35">
      <c r="B227" s="25">
        <f>'2.1. DM'!B227</f>
        <v>217</v>
      </c>
      <c r="C227" s="21">
        <f>'2.1. DM'!C227</f>
        <v>46055</v>
      </c>
      <c r="D227" s="25" t="str">
        <f>'2.1. DM'!D227</f>
        <v>Genbank</v>
      </c>
      <c r="E227" s="25">
        <f>'2.1. DM'!E227</f>
        <v>29</v>
      </c>
      <c r="F227" s="25" t="str">
        <f>'2.1. DM'!F227</f>
        <v>F252619</v>
      </c>
      <c r="G227" s="25" t="str">
        <f>'2.1. DM'!G227</f>
        <v>CIAT34042</v>
      </c>
      <c r="H227" s="25" t="str">
        <f>'2.1. DM'!H227</f>
        <v>Vigna</v>
      </c>
      <c r="I227" s="25" t="str">
        <f>'2.1. DM'!I227</f>
        <v>aconitifolia</v>
      </c>
      <c r="J227" s="25" t="str">
        <f>'2.1. DM'!J227</f>
        <v>Vigna aconitifolia</v>
      </c>
      <c r="K227" s="25" t="str">
        <f>'2.1. DM'!K227</f>
        <v>Fabaceae</v>
      </c>
      <c r="L227" s="25" t="str">
        <f>'2.1. DM'!L227</f>
        <v>Fabales</v>
      </c>
      <c r="M227" s="25" t="str">
        <f>'2.1. DM'!M227</f>
        <v>Herbaceous</v>
      </c>
      <c r="N227" s="25" t="str">
        <f>'2.1. DM'!N227</f>
        <v>62,63,70</v>
      </c>
      <c r="O227" s="25" t="str">
        <f>'2.1. DM'!O227</f>
        <v>OT-031 (2025)</v>
      </c>
      <c r="P227" s="22" t="s">
        <v>495</v>
      </c>
      <c r="Q227" s="23">
        <v>49.688673852842946</v>
      </c>
      <c r="R227" s="341">
        <f>AVERAGE('2.4 NDF'!Q227:Q228)</f>
        <v>48.960118782006177</v>
      </c>
    </row>
    <row r="228" spans="2:18" x14ac:dyDescent="0.35">
      <c r="B228" s="25">
        <f>'2.1. DM'!B228</f>
        <v>218</v>
      </c>
      <c r="C228" s="21">
        <f>'2.1. DM'!C228</f>
        <v>46055</v>
      </c>
      <c r="D228" s="25" t="str">
        <f>'2.1. DM'!D228</f>
        <v>Genbank</v>
      </c>
      <c r="E228" s="25">
        <f>'2.1. DM'!E228</f>
        <v>29</v>
      </c>
      <c r="F228" s="25" t="str">
        <f>'2.1. DM'!F228</f>
        <v>F252619</v>
      </c>
      <c r="G228" s="25" t="str">
        <f>'2.1. DM'!G228</f>
        <v>CIAT34042</v>
      </c>
      <c r="H228" s="25" t="str">
        <f>'2.1. DM'!H228</f>
        <v>Vigna</v>
      </c>
      <c r="I228" s="25" t="str">
        <f>'2.1. DM'!I228</f>
        <v>aconitifolia</v>
      </c>
      <c r="J228" s="25" t="str">
        <f>'2.1. DM'!J228</f>
        <v>Vigna aconitifolia</v>
      </c>
      <c r="K228" s="25" t="str">
        <f>'2.1. DM'!K228</f>
        <v>Fabaceae</v>
      </c>
      <c r="L228" s="25" t="str">
        <f>'2.1. DM'!L228</f>
        <v>Fabales</v>
      </c>
      <c r="M228" s="25" t="str">
        <f>'2.1. DM'!M228</f>
        <v>Herbaceous</v>
      </c>
      <c r="N228" s="25" t="str">
        <f>'2.1. DM'!N228</f>
        <v>62,63,70</v>
      </c>
      <c r="O228" s="25" t="str">
        <f>'2.1. DM'!O228</f>
        <v>OT-031 (2025)</v>
      </c>
      <c r="P228" s="19" t="s">
        <v>496</v>
      </c>
      <c r="Q228" s="23">
        <v>48.231563711169407</v>
      </c>
      <c r="R228" s="341"/>
    </row>
    <row r="229" spans="2:18" x14ac:dyDescent="0.35">
      <c r="B229" s="25">
        <f>'2.1. DM'!B229</f>
        <v>219</v>
      </c>
      <c r="C229" s="21">
        <f>'2.1. DM'!C229</f>
        <v>46055</v>
      </c>
      <c r="D229" s="25" t="str">
        <f>'2.1. DM'!D229</f>
        <v>Genbank</v>
      </c>
      <c r="E229" s="25">
        <f>'2.1. DM'!E229</f>
        <v>29</v>
      </c>
      <c r="F229" s="25" t="str">
        <f>'2.1. DM'!F229</f>
        <v>F252620</v>
      </c>
      <c r="G229" s="25" t="str">
        <f>'2.1. DM'!G229</f>
        <v>CIAT34044</v>
      </c>
      <c r="H229" s="25" t="str">
        <f>'2.1. DM'!H229</f>
        <v>Vigna</v>
      </c>
      <c r="I229" s="25" t="str">
        <f>'2.1. DM'!I229</f>
        <v>aconitifolia</v>
      </c>
      <c r="J229" s="25" t="str">
        <f>'2.1. DM'!J229</f>
        <v>Vigna aconitifolia</v>
      </c>
      <c r="K229" s="25" t="str">
        <f>'2.1. DM'!K229</f>
        <v>Fabaceae</v>
      </c>
      <c r="L229" s="25" t="str">
        <f>'2.1. DM'!L229</f>
        <v>Fabales</v>
      </c>
      <c r="M229" s="25" t="str">
        <f>'2.1. DM'!M229</f>
        <v>Herbaceous</v>
      </c>
      <c r="N229" s="25" t="str">
        <f>'2.1. DM'!N229</f>
        <v>62,63,70</v>
      </c>
      <c r="O229" s="25" t="str">
        <f>'2.1. DM'!O229</f>
        <v>OT-031 (2025)</v>
      </c>
      <c r="P229" s="22" t="s">
        <v>495</v>
      </c>
      <c r="Q229" s="23">
        <v>55.233531816468926</v>
      </c>
      <c r="R229" s="341">
        <f>AVERAGE('2.4 NDF'!Q229:Q230)</f>
        <v>54.266965470459603</v>
      </c>
    </row>
    <row r="230" spans="2:18" x14ac:dyDescent="0.35">
      <c r="B230" s="25">
        <f>'2.1. DM'!B230</f>
        <v>220</v>
      </c>
      <c r="C230" s="21">
        <f>'2.1. DM'!C230</f>
        <v>46055</v>
      </c>
      <c r="D230" s="25" t="str">
        <f>'2.1. DM'!D230</f>
        <v>Genbank</v>
      </c>
      <c r="E230" s="25">
        <f>'2.1. DM'!E230</f>
        <v>29</v>
      </c>
      <c r="F230" s="25" t="str">
        <f>'2.1. DM'!F230</f>
        <v>F252620</v>
      </c>
      <c r="G230" s="25" t="str">
        <f>'2.1. DM'!G230</f>
        <v>CIAT34044</v>
      </c>
      <c r="H230" s="25" t="str">
        <f>'2.1. DM'!H230</f>
        <v>Vigna</v>
      </c>
      <c r="I230" s="25" t="str">
        <f>'2.1. DM'!I230</f>
        <v>aconitifolia</v>
      </c>
      <c r="J230" s="25" t="str">
        <f>'2.1. DM'!J230</f>
        <v>Vigna aconitifolia</v>
      </c>
      <c r="K230" s="25" t="str">
        <f>'2.1. DM'!K230</f>
        <v>Fabaceae</v>
      </c>
      <c r="L230" s="25" t="str">
        <f>'2.1. DM'!L230</f>
        <v>Fabales</v>
      </c>
      <c r="M230" s="25" t="str">
        <f>'2.1. DM'!M230</f>
        <v>Herbaceous</v>
      </c>
      <c r="N230" s="25" t="str">
        <f>'2.1. DM'!N230</f>
        <v>62,63,70</v>
      </c>
      <c r="O230" s="25" t="str">
        <f>'2.1. DM'!O230</f>
        <v>OT-031 (2025)</v>
      </c>
      <c r="P230" s="19" t="s">
        <v>496</v>
      </c>
      <c r="Q230" s="23">
        <v>53.30039912445028</v>
      </c>
      <c r="R230" s="341"/>
    </row>
    <row r="231" spans="2:18" x14ac:dyDescent="0.35">
      <c r="B231" s="25">
        <f>'2.1. DM'!B231</f>
        <v>221</v>
      </c>
      <c r="C231" s="21">
        <f>'2.1. DM'!C231</f>
        <v>46055</v>
      </c>
      <c r="D231" s="25" t="str">
        <f>'2.1. DM'!D231</f>
        <v>Genbank</v>
      </c>
      <c r="E231" s="25">
        <f>'2.1. DM'!E231</f>
        <v>29</v>
      </c>
      <c r="F231" s="25" t="str">
        <f>'2.1. DM'!F231</f>
        <v>F252621</v>
      </c>
      <c r="G231" s="25" t="str">
        <f>'2.1. DM'!G231</f>
        <v>CIAT34148</v>
      </c>
      <c r="H231" s="25" t="str">
        <f>'2.1. DM'!H231</f>
        <v>Vigna</v>
      </c>
      <c r="I231" s="25" t="str">
        <f>'2.1. DM'!I231</f>
        <v>radiata</v>
      </c>
      <c r="J231" s="25" t="str">
        <f>'2.1. DM'!J231</f>
        <v>Vigna radiata</v>
      </c>
      <c r="K231" s="25" t="str">
        <f>'2.1. DM'!K231</f>
        <v>Fabaceae</v>
      </c>
      <c r="L231" s="25" t="str">
        <f>'2.1. DM'!L231</f>
        <v>Fabales</v>
      </c>
      <c r="M231" s="25" t="str">
        <f>'2.1. DM'!M231</f>
        <v>Herbaceous</v>
      </c>
      <c r="N231" s="25" t="str">
        <f>'2.1. DM'!N231</f>
        <v>62,63,70</v>
      </c>
      <c r="O231" s="25" t="str">
        <f>'2.1. DM'!O231</f>
        <v>OT-031 (2025)</v>
      </c>
      <c r="P231" s="22" t="s">
        <v>495</v>
      </c>
      <c r="Q231" s="23">
        <v>44.084767084329116</v>
      </c>
      <c r="R231" s="341">
        <f>AVERAGE('2.4 NDF'!Q231:Q232)</f>
        <v>44.746178148621006</v>
      </c>
    </row>
    <row r="232" spans="2:18" x14ac:dyDescent="0.35">
      <c r="B232" s="25">
        <f>'2.1. DM'!B232</f>
        <v>222</v>
      </c>
      <c r="C232" s="21">
        <f>'2.1. DM'!C232</f>
        <v>46055</v>
      </c>
      <c r="D232" s="25" t="str">
        <f>'2.1. DM'!D232</f>
        <v>Genbank</v>
      </c>
      <c r="E232" s="25">
        <f>'2.1. DM'!E232</f>
        <v>29</v>
      </c>
      <c r="F232" s="25" t="str">
        <f>'2.1. DM'!F232</f>
        <v>F252621</v>
      </c>
      <c r="G232" s="25" t="str">
        <f>'2.1. DM'!G232</f>
        <v>CIAT34148</v>
      </c>
      <c r="H232" s="25" t="str">
        <f>'2.1. DM'!H232</f>
        <v>Vigna</v>
      </c>
      <c r="I232" s="25" t="str">
        <f>'2.1. DM'!I232</f>
        <v>radiata</v>
      </c>
      <c r="J232" s="25" t="str">
        <f>'2.1. DM'!J232</f>
        <v>Vigna radiata</v>
      </c>
      <c r="K232" s="25" t="str">
        <f>'2.1. DM'!K232</f>
        <v>Fabaceae</v>
      </c>
      <c r="L232" s="25" t="str">
        <f>'2.1. DM'!L232</f>
        <v>Fabales</v>
      </c>
      <c r="M232" s="25" t="str">
        <f>'2.1. DM'!M232</f>
        <v>Herbaceous</v>
      </c>
      <c r="N232" s="25" t="str">
        <f>'2.1. DM'!N232</f>
        <v>62,63,70</v>
      </c>
      <c r="O232" s="25" t="str">
        <f>'2.1. DM'!O232</f>
        <v>OT-031 (2025)</v>
      </c>
      <c r="P232" s="19" t="s">
        <v>496</v>
      </c>
      <c r="Q232" s="23">
        <v>45.407589212912896</v>
      </c>
      <c r="R232" s="341"/>
    </row>
    <row r="233" spans="2:18" x14ac:dyDescent="0.35">
      <c r="B233" s="25">
        <f>'2.1. DM'!B233</f>
        <v>223</v>
      </c>
      <c r="C233" s="21">
        <f>'2.1. DM'!C233</f>
        <v>46055</v>
      </c>
      <c r="D233" s="25" t="str">
        <f>'2.1. DM'!D233</f>
        <v>Genbank</v>
      </c>
      <c r="E233" s="25">
        <f>'2.1. DM'!E233</f>
        <v>29</v>
      </c>
      <c r="F233" s="25" t="str">
        <f>'2.1. DM'!F233</f>
        <v>F252622</v>
      </c>
      <c r="G233" s="25" t="str">
        <f>'2.1. DM'!G233</f>
        <v>CIAT34159</v>
      </c>
      <c r="H233" s="25" t="str">
        <f>'2.1. DM'!H233</f>
        <v>Vigna</v>
      </c>
      <c r="I233" s="25" t="str">
        <f>'2.1. DM'!I233</f>
        <v>unguiculata</v>
      </c>
      <c r="J233" s="25" t="str">
        <f>'2.1. DM'!J233</f>
        <v>Vigna unguiculata</v>
      </c>
      <c r="K233" s="25" t="str">
        <f>'2.1. DM'!K233</f>
        <v>Fabaceae</v>
      </c>
      <c r="L233" s="25" t="str">
        <f>'2.1. DM'!L233</f>
        <v>Fabales</v>
      </c>
      <c r="M233" s="25" t="str">
        <f>'2.1. DM'!M233</f>
        <v>Herbaceous</v>
      </c>
      <c r="N233" s="25" t="str">
        <f>'2.1. DM'!N233</f>
        <v>62,63,70</v>
      </c>
      <c r="O233" s="25" t="str">
        <f>'2.1. DM'!O233</f>
        <v>OT-031 (2025)</v>
      </c>
      <c r="P233" s="22" t="s">
        <v>495</v>
      </c>
      <c r="Q233" s="23">
        <v>48.13623771294823</v>
      </c>
      <c r="R233" s="341">
        <f>AVERAGE('2.4 NDF'!Q233:Q234)</f>
        <v>48.635901858484516</v>
      </c>
    </row>
    <row r="234" spans="2:18" x14ac:dyDescent="0.35">
      <c r="B234" s="25">
        <f>'2.1. DM'!B234</f>
        <v>224</v>
      </c>
      <c r="C234" s="21">
        <f>'2.1. DM'!C234</f>
        <v>46055</v>
      </c>
      <c r="D234" s="25" t="str">
        <f>'2.1. DM'!D234</f>
        <v>Genbank</v>
      </c>
      <c r="E234" s="25">
        <f>'2.1. DM'!E234</f>
        <v>29</v>
      </c>
      <c r="F234" s="25" t="str">
        <f>'2.1. DM'!F234</f>
        <v>F252622</v>
      </c>
      <c r="G234" s="25" t="str">
        <f>'2.1. DM'!G234</f>
        <v>CIAT34159</v>
      </c>
      <c r="H234" s="25" t="str">
        <f>'2.1. DM'!H234</f>
        <v>Vigna</v>
      </c>
      <c r="I234" s="25" t="str">
        <f>'2.1. DM'!I234</f>
        <v>unguiculata</v>
      </c>
      <c r="J234" s="25" t="str">
        <f>'2.1. DM'!J234</f>
        <v>Vigna unguiculata</v>
      </c>
      <c r="K234" s="25" t="str">
        <f>'2.1. DM'!K234</f>
        <v>Fabaceae</v>
      </c>
      <c r="L234" s="25" t="str">
        <f>'2.1. DM'!L234</f>
        <v>Fabales</v>
      </c>
      <c r="M234" s="25" t="str">
        <f>'2.1. DM'!M234</f>
        <v>Herbaceous</v>
      </c>
      <c r="N234" s="25" t="str">
        <f>'2.1. DM'!N234</f>
        <v>62,63,70</v>
      </c>
      <c r="O234" s="25" t="str">
        <f>'2.1. DM'!O234</f>
        <v>OT-031 (2025)</v>
      </c>
      <c r="P234" s="19" t="s">
        <v>496</v>
      </c>
      <c r="Q234" s="23">
        <v>49.135566004020809</v>
      </c>
      <c r="R234" s="341"/>
    </row>
    <row r="235" spans="2:18" x14ac:dyDescent="0.35">
      <c r="B235" s="25">
        <f>'2.1. DM'!B235</f>
        <v>225</v>
      </c>
      <c r="C235" s="21">
        <f>'2.1. DM'!C235</f>
        <v>46055</v>
      </c>
      <c r="D235" s="25" t="str">
        <f>'2.1. DM'!D235</f>
        <v>Genbank</v>
      </c>
      <c r="E235" s="25">
        <f>'2.1. DM'!E235</f>
        <v>29</v>
      </c>
      <c r="F235" s="25" t="str">
        <f>'2.1. DM'!F235</f>
        <v>F252623</v>
      </c>
      <c r="G235" s="25" t="str">
        <f>'2.1. DM'!G235</f>
        <v>CIAT34347</v>
      </c>
      <c r="H235" s="25" t="str">
        <f>'2.1. DM'!H235</f>
        <v>Vigna</v>
      </c>
      <c r="I235" s="25" t="str">
        <f>'2.1. DM'!I235</f>
        <v>unguiculata</v>
      </c>
      <c r="J235" s="25" t="str">
        <f>'2.1. DM'!J235</f>
        <v>Vigna unguiculata</v>
      </c>
      <c r="K235" s="25" t="str">
        <f>'2.1. DM'!K235</f>
        <v>Fabaceae</v>
      </c>
      <c r="L235" s="25" t="str">
        <f>'2.1. DM'!L235</f>
        <v>Fabales</v>
      </c>
      <c r="M235" s="25" t="str">
        <f>'2.1. DM'!M235</f>
        <v>Herbaceous</v>
      </c>
      <c r="N235" s="25" t="str">
        <f>'2.1. DM'!N235</f>
        <v>62,63,70</v>
      </c>
      <c r="O235" s="25" t="str">
        <f>'2.1. DM'!O235</f>
        <v>OT-031 (2025)</v>
      </c>
      <c r="P235" s="22" t="s">
        <v>495</v>
      </c>
      <c r="Q235" s="23">
        <v>43.223727543227447</v>
      </c>
      <c r="R235" s="341">
        <f>AVERAGE('2.4 NDF'!Q235:Q236)</f>
        <v>42.676507308875443</v>
      </c>
    </row>
    <row r="236" spans="2:18" x14ac:dyDescent="0.35">
      <c r="B236" s="25">
        <f>'2.1. DM'!B236</f>
        <v>226</v>
      </c>
      <c r="C236" s="21">
        <f>'2.1. DM'!C236</f>
        <v>46055</v>
      </c>
      <c r="D236" s="25" t="str">
        <f>'2.1. DM'!D236</f>
        <v>Genbank</v>
      </c>
      <c r="E236" s="25">
        <f>'2.1. DM'!E236</f>
        <v>29</v>
      </c>
      <c r="F236" s="25" t="str">
        <f>'2.1. DM'!F236</f>
        <v>F252623</v>
      </c>
      <c r="G236" s="25" t="str">
        <f>'2.1. DM'!G236</f>
        <v>CIAT34347</v>
      </c>
      <c r="H236" s="25" t="str">
        <f>'2.1. DM'!H236</f>
        <v>Vigna</v>
      </c>
      <c r="I236" s="25" t="str">
        <f>'2.1. DM'!I236</f>
        <v>unguiculata</v>
      </c>
      <c r="J236" s="25" t="str">
        <f>'2.1. DM'!J236</f>
        <v>Vigna unguiculata</v>
      </c>
      <c r="K236" s="25" t="str">
        <f>'2.1. DM'!K236</f>
        <v>Fabaceae</v>
      </c>
      <c r="L236" s="25" t="str">
        <f>'2.1. DM'!L236</f>
        <v>Fabales</v>
      </c>
      <c r="M236" s="25" t="str">
        <f>'2.1. DM'!M236</f>
        <v>Herbaceous</v>
      </c>
      <c r="N236" s="25" t="str">
        <f>'2.1. DM'!N236</f>
        <v>62,63,70</v>
      </c>
      <c r="O236" s="25" t="str">
        <f>'2.1. DM'!O236</f>
        <v>OT-031 (2025)</v>
      </c>
      <c r="P236" s="19" t="s">
        <v>496</v>
      </c>
      <c r="Q236" s="23">
        <v>42.12928707452344</v>
      </c>
      <c r="R236" s="341"/>
    </row>
    <row r="237" spans="2:18" x14ac:dyDescent="0.35">
      <c r="B237" s="25">
        <f>'2.1. DM'!B237</f>
        <v>227</v>
      </c>
      <c r="C237" s="21">
        <f>'2.1. DM'!C237</f>
        <v>46055</v>
      </c>
      <c r="D237" s="25" t="str">
        <f>'2.1. DM'!D237</f>
        <v>Genbank</v>
      </c>
      <c r="E237" s="25">
        <f>'2.1. DM'!E237</f>
        <v>29</v>
      </c>
      <c r="F237" s="25" t="str">
        <f>'2.1. DM'!F237</f>
        <v>F251692</v>
      </c>
      <c r="G237" s="25" t="str">
        <f>'2.1. DM'!G237</f>
        <v>CIAT-23715</v>
      </c>
      <c r="H237" s="25" t="str">
        <f>'2.1. DM'!H237</f>
        <v>Desmodium</v>
      </c>
      <c r="I237" s="25" t="str">
        <f>'2.1. DM'!I237</f>
        <v>sequax</v>
      </c>
      <c r="J237" s="25" t="str">
        <f>'2.1. DM'!J237</f>
        <v>Desmodium sequax</v>
      </c>
      <c r="K237" s="25" t="str">
        <f>'2.1. DM'!K237</f>
        <v>Fabaceae</v>
      </c>
      <c r="L237" s="25" t="str">
        <f>'2.1. DM'!L237</f>
        <v>Fabales</v>
      </c>
      <c r="M237" s="25" t="str">
        <f>'2.1. DM'!M237</f>
        <v>Shrub</v>
      </c>
      <c r="N237" s="25" t="str">
        <f>'2.1. DM'!N237</f>
        <v>62,63,70</v>
      </c>
      <c r="O237" s="25" t="str">
        <f>'2.1. DM'!O237</f>
        <v>OT-008 (2025)</v>
      </c>
      <c r="P237" s="22" t="s">
        <v>495</v>
      </c>
      <c r="Q237" s="75">
        <v>64.699716864105</v>
      </c>
      <c r="R237" s="341">
        <f t="shared" ref="R237:R273" si="3">AVERAGE(Q237:Q238)</f>
        <v>65.418134291941641</v>
      </c>
    </row>
    <row r="238" spans="2:18" x14ac:dyDescent="0.35">
      <c r="B238" s="25">
        <f>'2.1. DM'!B238</f>
        <v>228</v>
      </c>
      <c r="C238" s="21">
        <f>'2.1. DM'!C238</f>
        <v>46055</v>
      </c>
      <c r="D238" s="25" t="str">
        <f>'2.1. DM'!D238</f>
        <v>Genbank</v>
      </c>
      <c r="E238" s="25">
        <f>'2.1. DM'!E238</f>
        <v>29</v>
      </c>
      <c r="F238" s="25" t="str">
        <f>'2.1. DM'!F238</f>
        <v>F251692</v>
      </c>
      <c r="G238" s="25" t="str">
        <f>'2.1. DM'!G238</f>
        <v>CIAT-23715</v>
      </c>
      <c r="H238" s="25" t="str">
        <f>'2.1. DM'!H238</f>
        <v>Desmodium</v>
      </c>
      <c r="I238" s="25" t="str">
        <f>'2.1. DM'!I238</f>
        <v>sequax</v>
      </c>
      <c r="J238" s="25" t="str">
        <f>'2.1. DM'!J238</f>
        <v>Desmodium sequax</v>
      </c>
      <c r="K238" s="25" t="str">
        <f>'2.1. DM'!K238</f>
        <v>Fabaceae</v>
      </c>
      <c r="L238" s="25" t="str">
        <f>'2.1. DM'!L238</f>
        <v>Fabales</v>
      </c>
      <c r="M238" s="25" t="str">
        <f>'2.1. DM'!M238</f>
        <v>Shrub</v>
      </c>
      <c r="N238" s="25" t="str">
        <f>'2.1. DM'!N238</f>
        <v>62,63,70</v>
      </c>
      <c r="O238" s="25" t="str">
        <f>'2.1. DM'!O238</f>
        <v>OT-008 (2025)</v>
      </c>
      <c r="P238" s="19" t="s">
        <v>496</v>
      </c>
      <c r="Q238" s="75">
        <v>66.136551719778268</v>
      </c>
      <c r="R238" s="341"/>
    </row>
    <row r="239" spans="2:18" x14ac:dyDescent="0.35">
      <c r="B239" s="25">
        <f>'2.1. DM'!B239</f>
        <v>229</v>
      </c>
      <c r="C239" s="21">
        <f>'2.1. DM'!C239</f>
        <v>46055</v>
      </c>
      <c r="D239" s="25" t="str">
        <f>'2.1. DM'!D239</f>
        <v>Jacobo Arango/ Alejandro Montoya</v>
      </c>
      <c r="E239" s="25">
        <f>'2.1. DM'!E239</f>
        <v>29</v>
      </c>
      <c r="F239" s="25" t="str">
        <f>'2.1. DM'!F239</f>
        <v>F250008</v>
      </c>
      <c r="G239" s="25" t="str">
        <f>'2.1. DM'!G239</f>
        <v>Sample 8</v>
      </c>
      <c r="H239" s="25" t="str">
        <f>'2.1. DM'!H239</f>
        <v>Cynodon</v>
      </c>
      <c r="I239" s="25" t="str">
        <f>'2.1. DM'!I239</f>
        <v xml:space="preserve"> nlemfuensis </v>
      </c>
      <c r="J239" s="25" t="str">
        <f>'2.1. DM'!J239</f>
        <v xml:space="preserve">Cynodon nlemfuensis </v>
      </c>
      <c r="K239" s="25" t="str">
        <f>'2.1. DM'!K239</f>
        <v>Poaceae</v>
      </c>
      <c r="L239" s="25" t="str">
        <f>'2.1. DM'!L239</f>
        <v>Poales</v>
      </c>
      <c r="M239" s="25" t="str">
        <f>'2.1. DM'!M239</f>
        <v>grasses</v>
      </c>
      <c r="N239" s="25" t="str">
        <f>'2.1. DM'!N239</f>
        <v>62,63,70</v>
      </c>
      <c r="O239" s="25" t="str">
        <f>'2.1. DM'!O239</f>
        <v>OT-002 (2025)</v>
      </c>
      <c r="P239" s="22" t="s">
        <v>495</v>
      </c>
      <c r="Q239" s="30">
        <v>76.099999999999994</v>
      </c>
      <c r="R239" s="341">
        <f t="shared" ref="R239" si="4">AVERAGE(Q239:Q240)</f>
        <v>76.099999999999994</v>
      </c>
    </row>
    <row r="240" spans="2:18" x14ac:dyDescent="0.35">
      <c r="B240" s="25">
        <f>'2.1. DM'!B240</f>
        <v>230</v>
      </c>
      <c r="C240" s="21">
        <f>'2.1. DM'!C240</f>
        <v>46055</v>
      </c>
      <c r="D240" s="21" t="str">
        <f>'2.1. DM'!D240</f>
        <v>Jacobo Arango/ Alejandro Montoya</v>
      </c>
      <c r="E240" s="45">
        <f>'2.1. DM'!E240</f>
        <v>29</v>
      </c>
      <c r="F240" s="21" t="str">
        <f>'2.1. DM'!F240</f>
        <v>F250008</v>
      </c>
      <c r="G240" s="21" t="str">
        <f>'2.1. DM'!G240</f>
        <v>Sample 8</v>
      </c>
      <c r="H240" s="21" t="str">
        <f>'2.1. DM'!H240</f>
        <v>Cynodon</v>
      </c>
      <c r="I240" s="21" t="str">
        <f>'2.1. DM'!I240</f>
        <v xml:space="preserve"> nlemfuensis </v>
      </c>
      <c r="J240" s="21" t="str">
        <f>'2.1. DM'!J240</f>
        <v xml:space="preserve">Cynodon nlemfuensis </v>
      </c>
      <c r="K240" s="45" t="str">
        <f>'2.1. DM'!K240</f>
        <v>Poaceae</v>
      </c>
      <c r="L240" s="45" t="str">
        <f>'2.1. DM'!L240</f>
        <v>Poales</v>
      </c>
      <c r="M240" s="45" t="str">
        <f>'2.1. DM'!M240</f>
        <v>grasses</v>
      </c>
      <c r="N240" s="21" t="str">
        <f>'2.1. DM'!N240</f>
        <v>62,63,70</v>
      </c>
      <c r="O240" s="21" t="str">
        <f>'2.1. DM'!O240</f>
        <v>OT-002 (2025)</v>
      </c>
      <c r="P240" s="19" t="s">
        <v>496</v>
      </c>
      <c r="Q240" s="30">
        <v>76.099999999999994</v>
      </c>
      <c r="R240" s="341"/>
    </row>
    <row r="241" spans="2:18" x14ac:dyDescent="0.35">
      <c r="B241" s="25">
        <f>'2.1. DM'!B241</f>
        <v>231</v>
      </c>
      <c r="C241" s="21">
        <f>'2.1. DM'!C241</f>
        <v>46062</v>
      </c>
      <c r="D241" s="21" t="str">
        <f>'2.1. DM'!D241</f>
        <v>Genbank</v>
      </c>
      <c r="E241" s="45">
        <f>'2.1. DM'!E241</f>
        <v>30</v>
      </c>
      <c r="F241" s="21" t="str">
        <f>'2.1. DM'!F241</f>
        <v>F260013</v>
      </c>
      <c r="G241" s="21" t="str">
        <f>'2.1. DM'!G241</f>
        <v>CIAT590</v>
      </c>
      <c r="H241" s="21" t="str">
        <f>'2.1. DM'!H241</f>
        <v>Macroptilium</v>
      </c>
      <c r="I241" s="21" t="str">
        <f>'2.1. DM'!I241</f>
        <v>bracteatum</v>
      </c>
      <c r="J241" s="21" t="str">
        <f>'2.1. DM'!J241</f>
        <v>Macroptilium bracteatum</v>
      </c>
      <c r="K241" s="45" t="str">
        <f>'2.1. DM'!K241</f>
        <v>Fabaceae</v>
      </c>
      <c r="L241" s="45" t="str">
        <f>'2.1. DM'!L241</f>
        <v>Fabales</v>
      </c>
      <c r="M241" s="45" t="str">
        <f>'2.1. DM'!M241</f>
        <v>Herbaceous</v>
      </c>
      <c r="N241" s="21" t="str">
        <f>'2.1. DM'!N241</f>
        <v>64,65,71</v>
      </c>
      <c r="O241" s="21" t="str">
        <f>'2.1. DM'!O241</f>
        <v>OT-002(2026)</v>
      </c>
      <c r="P241" s="19" t="s">
        <v>496</v>
      </c>
      <c r="Q241" s="30">
        <v>55.827118398255053</v>
      </c>
      <c r="R241" s="341">
        <f t="shared" si="3"/>
        <v>55.460537512850223</v>
      </c>
    </row>
    <row r="242" spans="2:18" x14ac:dyDescent="0.35">
      <c r="B242" s="25">
        <f>'2.1. DM'!B242</f>
        <v>232</v>
      </c>
      <c r="C242" s="21">
        <f>'2.1. DM'!C242</f>
        <v>46062</v>
      </c>
      <c r="D242" s="21" t="str">
        <f>'2.1. DM'!D242</f>
        <v>Genbank</v>
      </c>
      <c r="E242" s="45">
        <f>'2.1. DM'!E242</f>
        <v>30</v>
      </c>
      <c r="F242" s="21" t="str">
        <f>'2.1. DM'!F242</f>
        <v>F260013</v>
      </c>
      <c r="G242" s="21" t="str">
        <f>'2.1. DM'!G242</f>
        <v>CIAT590</v>
      </c>
      <c r="H242" s="21" t="str">
        <f>'2.1. DM'!H242</f>
        <v>Macroptilium</v>
      </c>
      <c r="I242" s="21" t="str">
        <f>'2.1. DM'!I242</f>
        <v>bracteatum</v>
      </c>
      <c r="J242" s="21" t="str">
        <f>'2.1. DM'!J242</f>
        <v>Macroptilium bracteatum</v>
      </c>
      <c r="K242" s="45" t="str">
        <f>'2.1. DM'!K242</f>
        <v>Fabaceae</v>
      </c>
      <c r="L242" s="45" t="str">
        <f>'2.1. DM'!L242</f>
        <v>Fabales</v>
      </c>
      <c r="M242" s="45" t="str">
        <f>'2.1. DM'!M242</f>
        <v>Herbaceous</v>
      </c>
      <c r="N242" s="21" t="str">
        <f>'2.1. DM'!N242</f>
        <v>64,65,71</v>
      </c>
      <c r="O242" s="21" t="str">
        <f>'2.1. DM'!O242</f>
        <v>OT-002(2026)</v>
      </c>
      <c r="P242" s="19" t="s">
        <v>496</v>
      </c>
      <c r="Q242" s="30">
        <v>55.093956627445387</v>
      </c>
      <c r="R242" s="341"/>
    </row>
    <row r="243" spans="2:18" x14ac:dyDescent="0.35">
      <c r="B243" s="25">
        <f>'2.1. DM'!B243</f>
        <v>233</v>
      </c>
      <c r="C243" s="21">
        <f>'2.1. DM'!C243</f>
        <v>46062</v>
      </c>
      <c r="D243" s="21" t="str">
        <f>'2.1. DM'!D243</f>
        <v>Genbank</v>
      </c>
      <c r="E243" s="45">
        <f>'2.1. DM'!E243</f>
        <v>30</v>
      </c>
      <c r="F243" s="21" t="str">
        <f>'2.1. DM'!F243</f>
        <v>F260014</v>
      </c>
      <c r="G243" s="21" t="str">
        <f>'2.1. DM'!G243</f>
        <v>CIAT778</v>
      </c>
      <c r="H243" s="21" t="str">
        <f>'2.1. DM'!H243</f>
        <v>Macroptilium</v>
      </c>
      <c r="I243" s="21" t="str">
        <f>'2.1. DM'!I243</f>
        <v>atropurpureum</v>
      </c>
      <c r="J243" s="21" t="str">
        <f>'2.1. DM'!J243</f>
        <v>Macroptilium atropurpureum</v>
      </c>
      <c r="K243" s="45" t="str">
        <f>'2.1. DM'!K243</f>
        <v>Fabaceae</v>
      </c>
      <c r="L243" s="45" t="str">
        <f>'2.1. DM'!L243</f>
        <v>Fabales</v>
      </c>
      <c r="M243" s="45" t="str">
        <f>'2.1. DM'!M243</f>
        <v>Herbaceous</v>
      </c>
      <c r="N243" s="21" t="str">
        <f>'2.1. DM'!N243</f>
        <v>64,65,71</v>
      </c>
      <c r="O243" s="21" t="str">
        <f>'2.1. DM'!O243</f>
        <v>OT-002(2026)</v>
      </c>
      <c r="P243" s="19" t="s">
        <v>496</v>
      </c>
      <c r="Q243" s="30">
        <v>52.300297351890748</v>
      </c>
      <c r="R243" s="341">
        <f t="shared" si="3"/>
        <v>52.823352680258232</v>
      </c>
    </row>
    <row r="244" spans="2:18" x14ac:dyDescent="0.35">
      <c r="B244" s="25">
        <f>'2.1. DM'!B244</f>
        <v>234</v>
      </c>
      <c r="C244" s="21">
        <f>'2.1. DM'!C244</f>
        <v>46062</v>
      </c>
      <c r="D244" s="21" t="str">
        <f>'2.1. DM'!D244</f>
        <v>Genbank</v>
      </c>
      <c r="E244" s="45">
        <f>'2.1. DM'!E244</f>
        <v>30</v>
      </c>
      <c r="F244" s="21" t="str">
        <f>'2.1. DM'!F244</f>
        <v>F260014</v>
      </c>
      <c r="G244" s="21" t="str">
        <f>'2.1. DM'!G244</f>
        <v>CIAT778</v>
      </c>
      <c r="H244" s="21" t="str">
        <f>'2.1. DM'!H244</f>
        <v>Macroptilium</v>
      </c>
      <c r="I244" s="21" t="str">
        <f>'2.1. DM'!I244</f>
        <v>atropurpureum</v>
      </c>
      <c r="J244" s="21" t="str">
        <f>'2.1. DM'!J244</f>
        <v>Macroptilium atropurpureum</v>
      </c>
      <c r="K244" s="45" t="str">
        <f>'2.1. DM'!K244</f>
        <v>Fabaceae</v>
      </c>
      <c r="L244" s="45" t="str">
        <f>'2.1. DM'!L244</f>
        <v>Fabales</v>
      </c>
      <c r="M244" s="45" t="str">
        <f>'2.1. DM'!M244</f>
        <v>Herbaceous</v>
      </c>
      <c r="N244" s="21" t="str">
        <f>'2.1. DM'!N244</f>
        <v>64,65,71</v>
      </c>
      <c r="O244" s="21" t="str">
        <f>'2.1. DM'!O244</f>
        <v>OT-002(2026)</v>
      </c>
      <c r="P244" s="19" t="s">
        <v>496</v>
      </c>
      <c r="Q244" s="30">
        <v>53.346408008625716</v>
      </c>
      <c r="R244" s="341"/>
    </row>
    <row r="245" spans="2:18" x14ac:dyDescent="0.35">
      <c r="B245" s="25">
        <f>'2.1. DM'!B245</f>
        <v>235</v>
      </c>
      <c r="C245" s="21">
        <f>'2.1. DM'!C245</f>
        <v>46062</v>
      </c>
      <c r="D245" s="21" t="str">
        <f>'2.1. DM'!D245</f>
        <v>Genbank</v>
      </c>
      <c r="E245" s="45">
        <f>'2.1. DM'!E245</f>
        <v>30</v>
      </c>
      <c r="F245" s="21" t="str">
        <f>'2.1. DM'!F245</f>
        <v>F260015</v>
      </c>
      <c r="G245" s="21" t="str">
        <f>'2.1. DM'!G245</f>
        <v>CIAT827</v>
      </c>
      <c r="H245" s="21" t="str">
        <f>'2.1. DM'!H245</f>
        <v>Indigofera</v>
      </c>
      <c r="I245" s="21" t="str">
        <f>'2.1. DM'!I245</f>
        <v>jamaicensis</v>
      </c>
      <c r="J245" s="21" t="str">
        <f>'2.1. DM'!J245</f>
        <v>Indigofera jamaicensis</v>
      </c>
      <c r="K245" s="45" t="str">
        <f>'2.1. DM'!K245</f>
        <v>Fabaceae</v>
      </c>
      <c r="L245" s="45" t="str">
        <f>'2.1. DM'!L245</f>
        <v>Fabales</v>
      </c>
      <c r="M245" s="45" t="str">
        <f>'2.1. DM'!M245</f>
        <v>Herbaceous</v>
      </c>
      <c r="N245" s="21" t="str">
        <f>'2.1. DM'!N245</f>
        <v>64,65,71</v>
      </c>
      <c r="O245" s="21" t="str">
        <f>'2.1. DM'!O245</f>
        <v>OT-002(2026)</v>
      </c>
      <c r="P245" s="19" t="s">
        <v>496</v>
      </c>
      <c r="Q245" s="30">
        <v>47.085541509421731</v>
      </c>
      <c r="R245" s="341">
        <f t="shared" si="3"/>
        <v>47.599316851590814</v>
      </c>
    </row>
    <row r="246" spans="2:18" x14ac:dyDescent="0.35">
      <c r="B246" s="25">
        <f>'2.1. DM'!B246</f>
        <v>236</v>
      </c>
      <c r="C246" s="21">
        <f>'2.1. DM'!C246</f>
        <v>46062</v>
      </c>
      <c r="D246" s="21" t="str">
        <f>'2.1. DM'!D246</f>
        <v>Genbank</v>
      </c>
      <c r="E246" s="45">
        <f>'2.1. DM'!E246</f>
        <v>30</v>
      </c>
      <c r="F246" s="21" t="str">
        <f>'2.1. DM'!F246</f>
        <v>F260015</v>
      </c>
      <c r="G246" s="21" t="str">
        <f>'2.1. DM'!G246</f>
        <v>CIAT827</v>
      </c>
      <c r="H246" s="21" t="str">
        <f>'2.1. DM'!H246</f>
        <v>Indigofera</v>
      </c>
      <c r="I246" s="21" t="str">
        <f>'2.1. DM'!I246</f>
        <v>jamaicensis</v>
      </c>
      <c r="J246" s="21" t="str">
        <f>'2.1. DM'!J246</f>
        <v>Indigofera jamaicensis</v>
      </c>
      <c r="K246" s="45" t="str">
        <f>'2.1. DM'!K246</f>
        <v>Fabaceae</v>
      </c>
      <c r="L246" s="45" t="str">
        <f>'2.1. DM'!L246</f>
        <v>Fabales</v>
      </c>
      <c r="M246" s="45" t="str">
        <f>'2.1. DM'!M246</f>
        <v>Herbaceous</v>
      </c>
      <c r="N246" s="21" t="str">
        <f>'2.1. DM'!N246</f>
        <v>64,65,71</v>
      </c>
      <c r="O246" s="21" t="str">
        <f>'2.1. DM'!O246</f>
        <v>OT-002(2026)</v>
      </c>
      <c r="P246" s="19" t="s">
        <v>496</v>
      </c>
      <c r="Q246" s="30">
        <v>48.11309219375989</v>
      </c>
      <c r="R246" s="341"/>
    </row>
    <row r="247" spans="2:18" x14ac:dyDescent="0.35">
      <c r="B247" s="25">
        <f>'2.1. DM'!B247</f>
        <v>237</v>
      </c>
      <c r="C247" s="21">
        <f>'2.1. DM'!C247</f>
        <v>46062</v>
      </c>
      <c r="D247" s="21" t="str">
        <f>'2.1. DM'!D247</f>
        <v>Genbank</v>
      </c>
      <c r="E247" s="45">
        <f>'2.1. DM'!E247</f>
        <v>30</v>
      </c>
      <c r="F247" s="21" t="str">
        <f>'2.1. DM'!F247</f>
        <v>F260016</v>
      </c>
      <c r="G247" s="21" t="str">
        <f>'2.1. DM'!G247</f>
        <v>CIAT997</v>
      </c>
      <c r="H247" s="21" t="str">
        <f>'2.1. DM'!H247</f>
        <v>Macroptilium</v>
      </c>
      <c r="I247" s="21" t="str">
        <f>'2.1. DM'!I247</f>
        <v>atropurpureum</v>
      </c>
      <c r="J247" s="21" t="str">
        <f>'2.1. DM'!J247</f>
        <v>Macroptilium atropurpureum</v>
      </c>
      <c r="K247" s="45" t="str">
        <f>'2.1. DM'!K247</f>
        <v>Fabaceae</v>
      </c>
      <c r="L247" s="45" t="str">
        <f>'2.1. DM'!L247</f>
        <v>Fabales</v>
      </c>
      <c r="M247" s="45" t="str">
        <f>'2.1. DM'!M247</f>
        <v>Herbaceous</v>
      </c>
      <c r="N247" s="21" t="str">
        <f>'2.1. DM'!N247</f>
        <v>64,65,71</v>
      </c>
      <c r="O247" s="21" t="str">
        <f>'2.1. DM'!O247</f>
        <v>OT-002(2026)</v>
      </c>
      <c r="P247" s="19" t="s">
        <v>496</v>
      </c>
      <c r="Q247" s="30">
        <v>50.535711423796023</v>
      </c>
      <c r="R247" s="341">
        <f t="shared" si="3"/>
        <v>50.824404616697862</v>
      </c>
    </row>
    <row r="248" spans="2:18" x14ac:dyDescent="0.35">
      <c r="B248" s="25">
        <f>'2.1. DM'!B248</f>
        <v>238</v>
      </c>
      <c r="C248" s="21">
        <f>'2.1. DM'!C248</f>
        <v>46062</v>
      </c>
      <c r="D248" s="21" t="str">
        <f>'2.1. DM'!D248</f>
        <v>Genbank</v>
      </c>
      <c r="E248" s="45">
        <f>'2.1. DM'!E248</f>
        <v>30</v>
      </c>
      <c r="F248" s="21" t="str">
        <f>'2.1. DM'!F248</f>
        <v>F260016</v>
      </c>
      <c r="G248" s="21" t="str">
        <f>'2.1. DM'!G248</f>
        <v>CIAT997</v>
      </c>
      <c r="H248" s="21" t="str">
        <f>'2.1. DM'!H248</f>
        <v>Macroptilium</v>
      </c>
      <c r="I248" s="21" t="str">
        <f>'2.1. DM'!I248</f>
        <v>atropurpureum</v>
      </c>
      <c r="J248" s="21" t="str">
        <f>'2.1. DM'!J248</f>
        <v>Macroptilium atropurpureum</v>
      </c>
      <c r="K248" s="45" t="str">
        <f>'2.1. DM'!K248</f>
        <v>Fabaceae</v>
      </c>
      <c r="L248" s="45" t="str">
        <f>'2.1. DM'!L248</f>
        <v>Fabales</v>
      </c>
      <c r="M248" s="45" t="str">
        <f>'2.1. DM'!M248</f>
        <v>Herbaceous</v>
      </c>
      <c r="N248" s="21" t="str">
        <f>'2.1. DM'!N248</f>
        <v>64,65,71</v>
      </c>
      <c r="O248" s="21" t="str">
        <f>'2.1. DM'!O248</f>
        <v>OT-002(2026)</v>
      </c>
      <c r="P248" s="19" t="s">
        <v>496</v>
      </c>
      <c r="Q248" s="30">
        <v>51.113097809599708</v>
      </c>
      <c r="R248" s="341"/>
    </row>
    <row r="249" spans="2:18" x14ac:dyDescent="0.35">
      <c r="B249" s="25">
        <f>'2.1. DM'!B249</f>
        <v>239</v>
      </c>
      <c r="C249" s="21">
        <f>'2.1. DM'!C249</f>
        <v>46062</v>
      </c>
      <c r="D249" s="21" t="str">
        <f>'2.1. DM'!D249</f>
        <v>Genbank</v>
      </c>
      <c r="E249" s="45">
        <f>'2.1. DM'!E249</f>
        <v>30</v>
      </c>
      <c r="F249" s="21" t="str">
        <f>'2.1. DM'!F249</f>
        <v>F260017</v>
      </c>
      <c r="G249" s="21" t="str">
        <f>'2.1. DM'!G249</f>
        <v>CIAT1405</v>
      </c>
      <c r="H249" s="21" t="str">
        <f>'2.1. DM'!H249</f>
        <v>Stylosanthes</v>
      </c>
      <c r="I249" s="21" t="str">
        <f>'2.1. DM'!I249</f>
        <v>capitata</v>
      </c>
      <c r="J249" s="21" t="str">
        <f>'2.1. DM'!J249</f>
        <v>Stylosanthes capitata</v>
      </c>
      <c r="K249" s="45" t="str">
        <f>'2.1. DM'!K249</f>
        <v>Fabaceae</v>
      </c>
      <c r="L249" s="45" t="str">
        <f>'2.1. DM'!L249</f>
        <v>Fabales</v>
      </c>
      <c r="M249" s="45" t="str">
        <f>'2.1. DM'!M249</f>
        <v>Herbaceous</v>
      </c>
      <c r="N249" s="21" t="str">
        <f>'2.1. DM'!N249</f>
        <v>64,65,71</v>
      </c>
      <c r="O249" s="21" t="str">
        <f>'2.1. DM'!O249</f>
        <v>OT-002(2026)</v>
      </c>
      <c r="P249" s="19" t="s">
        <v>496</v>
      </c>
      <c r="Q249" s="30">
        <v>61.5284371427121</v>
      </c>
      <c r="R249" s="341">
        <f t="shared" si="3"/>
        <v>60.854755451345312</v>
      </c>
    </row>
    <row r="250" spans="2:18" x14ac:dyDescent="0.35">
      <c r="B250" s="25">
        <f>'2.1. DM'!B250</f>
        <v>240</v>
      </c>
      <c r="C250" s="21">
        <f>'2.1. DM'!C250</f>
        <v>46062</v>
      </c>
      <c r="D250" s="21" t="str">
        <f>'2.1. DM'!D250</f>
        <v>Genbank</v>
      </c>
      <c r="E250" s="45">
        <f>'2.1. DM'!E250</f>
        <v>30</v>
      </c>
      <c r="F250" s="21" t="str">
        <f>'2.1. DM'!F250</f>
        <v>F260017</v>
      </c>
      <c r="G250" s="21" t="str">
        <f>'2.1. DM'!G250</f>
        <v>CIAT1405</v>
      </c>
      <c r="H250" s="21" t="str">
        <f>'2.1. DM'!H250</f>
        <v>Stylosanthes</v>
      </c>
      <c r="I250" s="21" t="str">
        <f>'2.1. DM'!I250</f>
        <v>capitata</v>
      </c>
      <c r="J250" s="21" t="str">
        <f>'2.1. DM'!J250</f>
        <v>Stylosanthes capitata</v>
      </c>
      <c r="K250" s="45" t="str">
        <f>'2.1. DM'!K250</f>
        <v>Fabaceae</v>
      </c>
      <c r="L250" s="45" t="str">
        <f>'2.1. DM'!L250</f>
        <v>Fabales</v>
      </c>
      <c r="M250" s="45" t="str">
        <f>'2.1. DM'!M250</f>
        <v>Herbaceous</v>
      </c>
      <c r="N250" s="21" t="str">
        <f>'2.1. DM'!N250</f>
        <v>64,65,71</v>
      </c>
      <c r="O250" s="21" t="str">
        <f>'2.1. DM'!O250</f>
        <v>OT-002(2026)</v>
      </c>
      <c r="P250" s="19" t="s">
        <v>496</v>
      </c>
      <c r="Q250" s="30">
        <v>60.181073759978531</v>
      </c>
      <c r="R250" s="341"/>
    </row>
    <row r="251" spans="2:18" x14ac:dyDescent="0.35">
      <c r="B251" s="25">
        <f>'2.1. DM'!B251</f>
        <v>241</v>
      </c>
      <c r="C251" s="21">
        <f>'2.1. DM'!C251</f>
        <v>46062</v>
      </c>
      <c r="D251" s="21" t="str">
        <f>'2.1. DM'!D251</f>
        <v>Genbank</v>
      </c>
      <c r="E251" s="45">
        <f>'2.1. DM'!E251</f>
        <v>30</v>
      </c>
      <c r="F251" s="21" t="str">
        <f>'2.1. DM'!F251</f>
        <v>F260018</v>
      </c>
      <c r="G251" s="21" t="str">
        <f>'2.1. DM'!G251</f>
        <v>CIAT1812</v>
      </c>
      <c r="H251" s="21" t="str">
        <f>'2.1. DM'!H251</f>
        <v>Stylosanthes</v>
      </c>
      <c r="I251" s="21" t="str">
        <f>'2.1. DM'!I251</f>
        <v>viscosa</v>
      </c>
      <c r="J251" s="21" t="str">
        <f>'2.1. DM'!J251</f>
        <v>Stylosanthes viscosa</v>
      </c>
      <c r="K251" s="45" t="str">
        <f>'2.1. DM'!K251</f>
        <v>Fabaceae</v>
      </c>
      <c r="L251" s="45" t="str">
        <f>'2.1. DM'!L251</f>
        <v>Fabales</v>
      </c>
      <c r="M251" s="45" t="str">
        <f>'2.1. DM'!M251</f>
        <v>Herbaceous</v>
      </c>
      <c r="N251" s="21" t="str">
        <f>'2.1. DM'!N251</f>
        <v>64,65,71</v>
      </c>
      <c r="O251" s="21" t="str">
        <f>'2.1. DM'!O251</f>
        <v>OT-002(2026)</v>
      </c>
      <c r="P251" s="19" t="s">
        <v>496</v>
      </c>
      <c r="Q251" s="30">
        <v>55.434784581740047</v>
      </c>
      <c r="R251" s="341">
        <f t="shared" si="3"/>
        <v>56.277498717423327</v>
      </c>
    </row>
    <row r="252" spans="2:18" x14ac:dyDescent="0.35">
      <c r="B252" s="25">
        <f>'2.1. DM'!B252</f>
        <v>242</v>
      </c>
      <c r="C252" s="21">
        <f>'2.1. DM'!C252</f>
        <v>46062</v>
      </c>
      <c r="D252" s="21" t="str">
        <f>'2.1. DM'!D252</f>
        <v>Genbank</v>
      </c>
      <c r="E252" s="45">
        <f>'2.1. DM'!E252</f>
        <v>30</v>
      </c>
      <c r="F252" s="21" t="str">
        <f>'2.1. DM'!F252</f>
        <v>F260018</v>
      </c>
      <c r="G252" s="21" t="str">
        <f>'2.1. DM'!G252</f>
        <v>CIAT1812</v>
      </c>
      <c r="H252" s="21" t="str">
        <f>'2.1. DM'!H252</f>
        <v>Stylosanthes</v>
      </c>
      <c r="I252" s="21" t="str">
        <f>'2.1. DM'!I252</f>
        <v>viscosa</v>
      </c>
      <c r="J252" s="21" t="str">
        <f>'2.1. DM'!J252</f>
        <v>Stylosanthes viscosa</v>
      </c>
      <c r="K252" s="45" t="str">
        <f>'2.1. DM'!K252</f>
        <v>Fabaceae</v>
      </c>
      <c r="L252" s="45" t="str">
        <f>'2.1. DM'!L252</f>
        <v>Fabales</v>
      </c>
      <c r="M252" s="45" t="str">
        <f>'2.1. DM'!M252</f>
        <v>Herbaceous</v>
      </c>
      <c r="N252" s="21" t="str">
        <f>'2.1. DM'!N252</f>
        <v>64,65,71</v>
      </c>
      <c r="O252" s="21" t="str">
        <f>'2.1. DM'!O252</f>
        <v>OT-002(2026)</v>
      </c>
      <c r="P252" s="19" t="s">
        <v>496</v>
      </c>
      <c r="Q252" s="30">
        <v>57.120212853106608</v>
      </c>
      <c r="R252" s="341"/>
    </row>
    <row r="253" spans="2:18" x14ac:dyDescent="0.35">
      <c r="B253" s="25">
        <f>'2.1. DM'!B253</f>
        <v>243</v>
      </c>
      <c r="C253" s="21">
        <f>'2.1. DM'!C253</f>
        <v>46062</v>
      </c>
      <c r="D253" s="21" t="str">
        <f>'2.1. DM'!D253</f>
        <v>Genbank</v>
      </c>
      <c r="E253" s="45">
        <f>'2.1. DM'!E253</f>
        <v>30</v>
      </c>
      <c r="F253" s="21" t="str">
        <f>'2.1. DM'!F253</f>
        <v>F260019</v>
      </c>
      <c r="G253" s="21" t="str">
        <f>'2.1. DM'!G253</f>
        <v>CIAT3694</v>
      </c>
      <c r="H253" s="21" t="str">
        <f>'2.1. DM'!H253</f>
        <v>Desmodium</v>
      </c>
      <c r="I253" s="21" t="str">
        <f>'2.1. DM'!I253</f>
        <v>sandwicense</v>
      </c>
      <c r="J253" s="21" t="str">
        <f>'2.1. DM'!J253</f>
        <v>Desmodium sandwicense</v>
      </c>
      <c r="K253" s="45" t="str">
        <f>'2.1. DM'!K253</f>
        <v>Fabaceae</v>
      </c>
      <c r="L253" s="45" t="str">
        <f>'2.1. DM'!L253</f>
        <v>Fabales</v>
      </c>
      <c r="M253" s="45" t="str">
        <f>'2.1. DM'!M253</f>
        <v>Herbaceous</v>
      </c>
      <c r="N253" s="21" t="str">
        <f>'2.1. DM'!N253</f>
        <v>64,65,71</v>
      </c>
      <c r="O253" s="21" t="str">
        <f>'2.1. DM'!O253</f>
        <v>OT-002(2026)</v>
      </c>
      <c r="P253" s="19" t="s">
        <v>496</v>
      </c>
      <c r="Q253" s="30">
        <v>59.803705848606192</v>
      </c>
      <c r="R253" s="341">
        <f t="shared" si="3"/>
        <v>61.010021627865029</v>
      </c>
    </row>
    <row r="254" spans="2:18" x14ac:dyDescent="0.35">
      <c r="B254" s="25">
        <f>'2.1. DM'!B254</f>
        <v>244</v>
      </c>
      <c r="C254" s="21">
        <f>'2.1. DM'!C254</f>
        <v>46062</v>
      </c>
      <c r="D254" s="21" t="str">
        <f>'2.1. DM'!D254</f>
        <v>Genbank</v>
      </c>
      <c r="E254" s="45">
        <f>'2.1. DM'!E254</f>
        <v>30</v>
      </c>
      <c r="F254" s="21" t="str">
        <f>'2.1. DM'!F254</f>
        <v>F260019</v>
      </c>
      <c r="G254" s="21" t="str">
        <f>'2.1. DM'!G254</f>
        <v>CIAT3694</v>
      </c>
      <c r="H254" s="21" t="str">
        <f>'2.1. DM'!H254</f>
        <v>Desmodium</v>
      </c>
      <c r="I254" s="21" t="str">
        <f>'2.1. DM'!I254</f>
        <v>sandwicense</v>
      </c>
      <c r="J254" s="21" t="str">
        <f>'2.1. DM'!J254</f>
        <v>Desmodium sandwicense</v>
      </c>
      <c r="K254" s="45" t="str">
        <f>'2.1. DM'!K254</f>
        <v>Fabaceae</v>
      </c>
      <c r="L254" s="45" t="str">
        <f>'2.1. DM'!L254</f>
        <v>Fabales</v>
      </c>
      <c r="M254" s="45" t="str">
        <f>'2.1. DM'!M254</f>
        <v>Herbaceous</v>
      </c>
      <c r="N254" s="21" t="str">
        <f>'2.1. DM'!N254</f>
        <v>64,65,71</v>
      </c>
      <c r="O254" s="21" t="str">
        <f>'2.1. DM'!O254</f>
        <v>OT-002(2026)</v>
      </c>
      <c r="P254" s="19" t="s">
        <v>496</v>
      </c>
      <c r="Q254" s="30">
        <v>62.216337407123866</v>
      </c>
      <c r="R254" s="341"/>
    </row>
    <row r="255" spans="2:18" x14ac:dyDescent="0.35">
      <c r="B255" s="25">
        <f>'2.1. DM'!B255</f>
        <v>245</v>
      </c>
      <c r="C255" s="21">
        <f>'2.1. DM'!C255</f>
        <v>46062</v>
      </c>
      <c r="D255" s="21" t="str">
        <f>'2.1. DM'!D255</f>
        <v>Genbank</v>
      </c>
      <c r="E255" s="45">
        <f>'2.1. DM'!E255</f>
        <v>30</v>
      </c>
      <c r="F255" s="21" t="str">
        <f>'2.1. DM'!F255</f>
        <v>F260020</v>
      </c>
      <c r="G255" s="21" t="str">
        <f>'2.1. DM'!G255</f>
        <v>CIAT4080</v>
      </c>
      <c r="H255" s="21" t="str">
        <f>'2.1. DM'!H255</f>
        <v>Macroptilium</v>
      </c>
      <c r="I255" s="21" t="str">
        <f>'2.1. DM'!I255</f>
        <v>bracteatum</v>
      </c>
      <c r="J255" s="21" t="str">
        <f>'2.1. DM'!J255</f>
        <v>Macroptilium bracteatum</v>
      </c>
      <c r="K255" s="45" t="str">
        <f>'2.1. DM'!K255</f>
        <v>Fabaceae</v>
      </c>
      <c r="L255" s="45" t="str">
        <f>'2.1. DM'!L255</f>
        <v>Fabales</v>
      </c>
      <c r="M255" s="45" t="str">
        <f>'2.1. DM'!M255</f>
        <v>Herbaceous</v>
      </c>
      <c r="N255" s="21" t="str">
        <f>'2.1. DM'!N255</f>
        <v>64,65,71</v>
      </c>
      <c r="O255" s="21" t="str">
        <f>'2.1. DM'!O255</f>
        <v>OT-002(2026)</v>
      </c>
      <c r="P255" s="19" t="s">
        <v>496</v>
      </c>
      <c r="Q255" s="30">
        <v>51.095120519686191</v>
      </c>
      <c r="R255" s="341">
        <f t="shared" si="3"/>
        <v>51.258255200656372</v>
      </c>
    </row>
    <row r="256" spans="2:18" x14ac:dyDescent="0.35">
      <c r="B256" s="25">
        <f>'2.1. DM'!B256</f>
        <v>246</v>
      </c>
      <c r="C256" s="21">
        <f>'2.1. DM'!C256</f>
        <v>46062</v>
      </c>
      <c r="D256" s="21" t="str">
        <f>'2.1. DM'!D256</f>
        <v>Genbank</v>
      </c>
      <c r="E256" s="45">
        <f>'2.1. DM'!E256</f>
        <v>30</v>
      </c>
      <c r="F256" s="21" t="str">
        <f>'2.1. DM'!F256</f>
        <v>F260020</v>
      </c>
      <c r="G256" s="21" t="str">
        <f>'2.1. DM'!G256</f>
        <v>CIAT4080</v>
      </c>
      <c r="H256" s="21" t="str">
        <f>'2.1. DM'!H256</f>
        <v>Macroptilium</v>
      </c>
      <c r="I256" s="21" t="str">
        <f>'2.1. DM'!I256</f>
        <v>bracteatum</v>
      </c>
      <c r="J256" s="21" t="str">
        <f>'2.1. DM'!J256</f>
        <v>Macroptilium bracteatum</v>
      </c>
      <c r="K256" s="45" t="str">
        <f>'2.1. DM'!K256</f>
        <v>Fabaceae</v>
      </c>
      <c r="L256" s="45" t="str">
        <f>'2.1. DM'!L256</f>
        <v>Fabales</v>
      </c>
      <c r="M256" s="45" t="str">
        <f>'2.1. DM'!M256</f>
        <v>Herbaceous</v>
      </c>
      <c r="N256" s="21" t="str">
        <f>'2.1. DM'!N256</f>
        <v>64,65,71</v>
      </c>
      <c r="O256" s="21" t="str">
        <f>'2.1. DM'!O256</f>
        <v>OT-002(2026)</v>
      </c>
      <c r="P256" s="19" t="s">
        <v>496</v>
      </c>
      <c r="Q256" s="30">
        <v>51.421389881626553</v>
      </c>
      <c r="R256" s="341"/>
    </row>
    <row r="257" spans="2:18" x14ac:dyDescent="0.35">
      <c r="B257" s="25">
        <f>'2.1. DM'!B257</f>
        <v>247</v>
      </c>
      <c r="C257" s="21">
        <f>'2.1. DM'!C257</f>
        <v>46062</v>
      </c>
      <c r="D257" s="21" t="str">
        <f>'2.1. DM'!D257</f>
        <v>Genbank</v>
      </c>
      <c r="E257" s="45">
        <f>'2.1. DM'!E257</f>
        <v>30</v>
      </c>
      <c r="F257" s="21" t="str">
        <f>'2.1. DM'!F257</f>
        <v>F260021</v>
      </c>
      <c r="G257" s="21" t="str">
        <f>'2.1. DM'!G257</f>
        <v>CIAT7162</v>
      </c>
      <c r="H257" s="21" t="str">
        <f>'2.1. DM'!H257</f>
        <v>Indigofera</v>
      </c>
      <c r="I257" s="21" t="str">
        <f>'2.1. DM'!I257</f>
        <v>jamaicensis</v>
      </c>
      <c r="J257" s="21" t="str">
        <f>'2.1. DM'!J257</f>
        <v>Indigofera jamaicensis</v>
      </c>
      <c r="K257" s="45" t="str">
        <f>'2.1. DM'!K257</f>
        <v>Fabaceae</v>
      </c>
      <c r="L257" s="45" t="str">
        <f>'2.1. DM'!L257</f>
        <v>Fabales</v>
      </c>
      <c r="M257" s="45" t="str">
        <f>'2.1. DM'!M257</f>
        <v>Herbaceous</v>
      </c>
      <c r="N257" s="21" t="str">
        <f>'2.1. DM'!N257</f>
        <v>64,65,71</v>
      </c>
      <c r="O257" s="21" t="str">
        <f>'2.1. DM'!O257</f>
        <v>OT-002(2026)</v>
      </c>
      <c r="P257" s="19" t="s">
        <v>496</v>
      </c>
      <c r="Q257" s="30">
        <v>44.926518983600936</v>
      </c>
      <c r="R257" s="341">
        <f t="shared" si="3"/>
        <v>45.222975819923988</v>
      </c>
    </row>
    <row r="258" spans="2:18" x14ac:dyDescent="0.35">
      <c r="B258" s="25">
        <f>'2.1. DM'!B258</f>
        <v>248</v>
      </c>
      <c r="C258" s="21">
        <f>'2.1. DM'!C258</f>
        <v>46062</v>
      </c>
      <c r="D258" s="21" t="str">
        <f>'2.1. DM'!D258</f>
        <v>Genbank</v>
      </c>
      <c r="E258" s="45">
        <f>'2.1. DM'!E258</f>
        <v>30</v>
      </c>
      <c r="F258" s="21" t="str">
        <f>'2.1. DM'!F258</f>
        <v>F260021</v>
      </c>
      <c r="G258" s="21" t="str">
        <f>'2.1. DM'!G258</f>
        <v>CIAT7162</v>
      </c>
      <c r="H258" s="21" t="str">
        <f>'2.1. DM'!H258</f>
        <v>Indigofera</v>
      </c>
      <c r="I258" s="21" t="str">
        <f>'2.1. DM'!I258</f>
        <v>jamaicensis</v>
      </c>
      <c r="J258" s="21" t="str">
        <f>'2.1. DM'!J258</f>
        <v>Indigofera jamaicensis</v>
      </c>
      <c r="K258" s="45" t="str">
        <f>'2.1. DM'!K258</f>
        <v>Fabaceae</v>
      </c>
      <c r="L258" s="45" t="str">
        <f>'2.1. DM'!L258</f>
        <v>Fabales</v>
      </c>
      <c r="M258" s="45" t="str">
        <f>'2.1. DM'!M258</f>
        <v>Herbaceous</v>
      </c>
      <c r="N258" s="21" t="str">
        <f>'2.1. DM'!N258</f>
        <v>64,65,71</v>
      </c>
      <c r="O258" s="21" t="str">
        <f>'2.1. DM'!O258</f>
        <v>OT-002(2026)</v>
      </c>
      <c r="P258" s="19" t="s">
        <v>496</v>
      </c>
      <c r="Q258" s="30">
        <v>45.519432656247048</v>
      </c>
      <c r="R258" s="341"/>
    </row>
    <row r="259" spans="2:18" x14ac:dyDescent="0.35">
      <c r="B259" s="25">
        <f>'2.1. DM'!B259</f>
        <v>249</v>
      </c>
      <c r="C259" s="21">
        <f>'2.1. DM'!C259</f>
        <v>46062</v>
      </c>
      <c r="D259" s="21" t="str">
        <f>'2.1. DM'!D259</f>
        <v>Genbank</v>
      </c>
      <c r="E259" s="45">
        <f>'2.1. DM'!E259</f>
        <v>30</v>
      </c>
      <c r="F259" s="21" t="str">
        <f>'2.1. DM'!F259</f>
        <v>F260022</v>
      </c>
      <c r="G259" s="21" t="str">
        <f>'2.1. DM'!G259</f>
        <v>CIAT8820</v>
      </c>
      <c r="H259" s="21" t="str">
        <f>'2.1. DM'!H259</f>
        <v>Tephrosia</v>
      </c>
      <c r="I259" s="21" t="str">
        <f>'2.1. DM'!I259</f>
        <v>cinerea</v>
      </c>
      <c r="J259" s="21" t="str">
        <f>'2.1. DM'!J259</f>
        <v>Tephrosia cinerea</v>
      </c>
      <c r="K259" s="45" t="str">
        <f>'2.1. DM'!K259</f>
        <v>Fabaceae</v>
      </c>
      <c r="L259" s="45" t="str">
        <f>'2.1. DM'!L259</f>
        <v>Fabales</v>
      </c>
      <c r="M259" s="45" t="str">
        <f>'2.1. DM'!M259</f>
        <v>Herbaceous</v>
      </c>
      <c r="N259" s="21" t="str">
        <f>'2.1. DM'!N259</f>
        <v>64,65,71</v>
      </c>
      <c r="O259" s="21" t="str">
        <f>'2.1. DM'!O259</f>
        <v>OT-002(2026)</v>
      </c>
      <c r="P259" s="19" t="s">
        <v>496</v>
      </c>
      <c r="Q259" s="30">
        <v>51.844659999045518</v>
      </c>
      <c r="R259" s="341">
        <f t="shared" si="3"/>
        <v>51.886402127092111</v>
      </c>
    </row>
    <row r="260" spans="2:18" x14ac:dyDescent="0.35">
      <c r="B260" s="25">
        <f>'2.1. DM'!B260</f>
        <v>250</v>
      </c>
      <c r="C260" s="21">
        <f>'2.1. DM'!C260</f>
        <v>46062</v>
      </c>
      <c r="D260" s="21" t="str">
        <f>'2.1. DM'!D260</f>
        <v>Genbank</v>
      </c>
      <c r="E260" s="45">
        <f>'2.1. DM'!E260</f>
        <v>30</v>
      </c>
      <c r="F260" s="21" t="str">
        <f>'2.1. DM'!F260</f>
        <v>F260022</v>
      </c>
      <c r="G260" s="21" t="str">
        <f>'2.1. DM'!G260</f>
        <v>CIAT8820</v>
      </c>
      <c r="H260" s="21" t="str">
        <f>'2.1. DM'!H260</f>
        <v>Tephrosia</v>
      </c>
      <c r="I260" s="21" t="str">
        <f>'2.1. DM'!I260</f>
        <v>cinerea</v>
      </c>
      <c r="J260" s="21" t="str">
        <f>'2.1. DM'!J260</f>
        <v>Tephrosia cinerea</v>
      </c>
      <c r="K260" s="45" t="str">
        <f>'2.1. DM'!K260</f>
        <v>Fabaceae</v>
      </c>
      <c r="L260" s="45" t="str">
        <f>'2.1. DM'!L260</f>
        <v>Fabales</v>
      </c>
      <c r="M260" s="45" t="str">
        <f>'2.1. DM'!M260</f>
        <v>Herbaceous</v>
      </c>
      <c r="N260" s="21" t="str">
        <f>'2.1. DM'!N260</f>
        <v>64,65,71</v>
      </c>
      <c r="O260" s="21" t="str">
        <f>'2.1. DM'!O260</f>
        <v>OT-002(2026)</v>
      </c>
      <c r="P260" s="19" t="s">
        <v>496</v>
      </c>
      <c r="Q260" s="30">
        <v>51.928144255138697</v>
      </c>
      <c r="R260" s="341"/>
    </row>
    <row r="261" spans="2:18" x14ac:dyDescent="0.35">
      <c r="B261" s="25">
        <f>'2.1. DM'!B261</f>
        <v>251</v>
      </c>
      <c r="C261" s="21">
        <f>'2.1. DM'!C261</f>
        <v>46062</v>
      </c>
      <c r="D261" s="21" t="str">
        <f>'2.1. DM'!D261</f>
        <v>Genbank</v>
      </c>
      <c r="E261" s="45">
        <f>'2.1. DM'!E261</f>
        <v>30</v>
      </c>
      <c r="F261" s="21" t="str">
        <f>'2.1. DM'!F261</f>
        <v>F260023</v>
      </c>
      <c r="G261" s="21" t="str">
        <f>'2.1. DM'!G261</f>
        <v>CIAT14080</v>
      </c>
      <c r="H261" s="21" t="str">
        <f>'2.1. DM'!H261</f>
        <v>Zornia</v>
      </c>
      <c r="I261" s="21" t="str">
        <f>'2.1. DM'!I261</f>
        <v>brasiliensis</v>
      </c>
      <c r="J261" s="21" t="str">
        <f>'2.1. DM'!J261</f>
        <v>Zornia brasiliensis</v>
      </c>
      <c r="K261" s="45" t="str">
        <f>'2.1. DM'!K261</f>
        <v>Fabaceae</v>
      </c>
      <c r="L261" s="45" t="str">
        <f>'2.1. DM'!L261</f>
        <v>Fabales</v>
      </c>
      <c r="M261" s="45" t="str">
        <f>'2.1. DM'!M261</f>
        <v>Herbaceous</v>
      </c>
      <c r="N261" s="21" t="str">
        <f>'2.1. DM'!N261</f>
        <v>64,65,71</v>
      </c>
      <c r="O261" s="21" t="str">
        <f>'2.1. DM'!O261</f>
        <v>OT-002(2026)</v>
      </c>
      <c r="P261" s="19" t="s">
        <v>496</v>
      </c>
      <c r="Q261" s="30">
        <v>47.668469637077941</v>
      </c>
      <c r="R261" s="341">
        <f t="shared" si="3"/>
        <v>46.647430661856887</v>
      </c>
    </row>
    <row r="262" spans="2:18" x14ac:dyDescent="0.35">
      <c r="B262" s="25">
        <f>'2.1. DM'!B262</f>
        <v>252</v>
      </c>
      <c r="C262" s="21">
        <f>'2.1. DM'!C262</f>
        <v>46062</v>
      </c>
      <c r="D262" s="21" t="str">
        <f>'2.1. DM'!D262</f>
        <v>Genbank</v>
      </c>
      <c r="E262" s="45">
        <f>'2.1. DM'!E262</f>
        <v>30</v>
      </c>
      <c r="F262" s="21" t="str">
        <f>'2.1. DM'!F262</f>
        <v>F260023</v>
      </c>
      <c r="G262" s="21" t="str">
        <f>'2.1. DM'!G262</f>
        <v>CIAT14080</v>
      </c>
      <c r="H262" s="21" t="str">
        <f>'2.1. DM'!H262</f>
        <v>Zornia</v>
      </c>
      <c r="I262" s="21" t="str">
        <f>'2.1. DM'!I262</f>
        <v>brasiliensis</v>
      </c>
      <c r="J262" s="21" t="str">
        <f>'2.1. DM'!J262</f>
        <v>Zornia brasiliensis</v>
      </c>
      <c r="K262" s="45" t="str">
        <f>'2.1. DM'!K262</f>
        <v>Fabaceae</v>
      </c>
      <c r="L262" s="45" t="str">
        <f>'2.1. DM'!L262</f>
        <v>Fabales</v>
      </c>
      <c r="M262" s="45" t="str">
        <f>'2.1. DM'!M262</f>
        <v>Herbaceous</v>
      </c>
      <c r="N262" s="21" t="str">
        <f>'2.1. DM'!N262</f>
        <v>64,65,71</v>
      </c>
      <c r="O262" s="21" t="str">
        <f>'2.1. DM'!O262</f>
        <v>OT-002(2026)</v>
      </c>
      <c r="P262" s="19" t="s">
        <v>496</v>
      </c>
      <c r="Q262" s="30">
        <v>45.626391686635834</v>
      </c>
      <c r="R262" s="341"/>
    </row>
    <row r="263" spans="2:18" x14ac:dyDescent="0.35">
      <c r="B263" s="25">
        <f>'2.1. DM'!B263</f>
        <v>253</v>
      </c>
      <c r="C263" s="21">
        <f>'2.1. DM'!C263</f>
        <v>46062</v>
      </c>
      <c r="D263" s="21" t="str">
        <f>'2.1. DM'!D263</f>
        <v>Genbank</v>
      </c>
      <c r="E263" s="45">
        <f>'2.1. DM'!E263</f>
        <v>30</v>
      </c>
      <c r="F263" s="21" t="str">
        <f>'2.1. DM'!F263</f>
        <v>F260024</v>
      </c>
      <c r="G263" s="21" t="str">
        <f>'2.1. DM'!G263</f>
        <v>CIAT18950</v>
      </c>
      <c r="H263" s="21" t="str">
        <f>'2.1. DM'!H263</f>
        <v>Indigofera</v>
      </c>
      <c r="I263" s="21" t="str">
        <f>'2.1. DM'!I263</f>
        <v>spicata</v>
      </c>
      <c r="J263" s="21" t="str">
        <f>'2.1. DM'!J263</f>
        <v>Indigofera spicata</v>
      </c>
      <c r="K263" s="45" t="str">
        <f>'2.1. DM'!K263</f>
        <v>Fabaceae</v>
      </c>
      <c r="L263" s="45" t="str">
        <f>'2.1. DM'!L263</f>
        <v>Fabales</v>
      </c>
      <c r="M263" s="45" t="str">
        <f>'2.1. DM'!M263</f>
        <v>Herbaceous</v>
      </c>
      <c r="N263" s="21" t="str">
        <f>'2.1. DM'!N263</f>
        <v>64,65,71</v>
      </c>
      <c r="O263" s="21" t="str">
        <f>'2.1. DM'!O263</f>
        <v>OT-002(2026)</v>
      </c>
      <c r="P263" s="19" t="s">
        <v>496</v>
      </c>
      <c r="Q263" s="30">
        <v>41.189824276144414</v>
      </c>
      <c r="R263" s="341">
        <f t="shared" si="3"/>
        <v>41.872432063661066</v>
      </c>
    </row>
    <row r="264" spans="2:18" x14ac:dyDescent="0.35">
      <c r="B264" s="25">
        <f>'2.1. DM'!B264</f>
        <v>254</v>
      </c>
      <c r="C264" s="21">
        <f>'2.1. DM'!C264</f>
        <v>46062</v>
      </c>
      <c r="D264" s="21" t="str">
        <f>'2.1. DM'!D264</f>
        <v>Genbank</v>
      </c>
      <c r="E264" s="45">
        <f>'2.1. DM'!E264</f>
        <v>30</v>
      </c>
      <c r="F264" s="21" t="str">
        <f>'2.1. DM'!F264</f>
        <v>F260024</v>
      </c>
      <c r="G264" s="21" t="str">
        <f>'2.1. DM'!G264</f>
        <v>CIAT18950</v>
      </c>
      <c r="H264" s="21" t="str">
        <f>'2.1. DM'!H264</f>
        <v>Indigofera</v>
      </c>
      <c r="I264" s="21" t="str">
        <f>'2.1. DM'!I264</f>
        <v>spicata</v>
      </c>
      <c r="J264" s="21" t="str">
        <f>'2.1. DM'!J264</f>
        <v>Indigofera spicata</v>
      </c>
      <c r="K264" s="45" t="str">
        <f>'2.1. DM'!K264</f>
        <v>Fabaceae</v>
      </c>
      <c r="L264" s="45" t="str">
        <f>'2.1. DM'!L264</f>
        <v>Fabales</v>
      </c>
      <c r="M264" s="45" t="str">
        <f>'2.1. DM'!M264</f>
        <v>Herbaceous</v>
      </c>
      <c r="N264" s="21" t="str">
        <f>'2.1. DM'!N264</f>
        <v>64,65,71</v>
      </c>
      <c r="O264" s="21" t="str">
        <f>'2.1. DM'!O264</f>
        <v>OT-002(2026)</v>
      </c>
      <c r="P264" s="19" t="s">
        <v>496</v>
      </c>
      <c r="Q264" s="30">
        <v>42.555039851177725</v>
      </c>
      <c r="R264" s="341"/>
    </row>
    <row r="265" spans="2:18" x14ac:dyDescent="0.35">
      <c r="B265" s="25">
        <f>'2.1. DM'!B265</f>
        <v>255</v>
      </c>
      <c r="C265" s="21">
        <f>'2.1. DM'!C265</f>
        <v>46062</v>
      </c>
      <c r="D265" s="21" t="str">
        <f>'2.1. DM'!D265</f>
        <v>Genbank</v>
      </c>
      <c r="E265" s="45">
        <f>'2.1. DM'!E265</f>
        <v>30</v>
      </c>
      <c r="F265" s="21" t="str">
        <f>'2.1. DM'!F265</f>
        <v>F260025</v>
      </c>
      <c r="G265" s="21" t="str">
        <f>'2.1. DM'!G265</f>
        <v>CIAT19193</v>
      </c>
      <c r="H265" s="21" t="str">
        <f>'2.1. DM'!H265</f>
        <v>Tephrosia</v>
      </c>
      <c r="I265" s="21" t="str">
        <f>'2.1. DM'!I265</f>
        <v>villosa</v>
      </c>
      <c r="J265" s="21" t="str">
        <f>'2.1. DM'!J265</f>
        <v>Tephrosia villosa</v>
      </c>
      <c r="K265" s="45" t="str">
        <f>'2.1. DM'!K265</f>
        <v>Fabaceae</v>
      </c>
      <c r="L265" s="45" t="str">
        <f>'2.1. DM'!L265</f>
        <v>Fabales</v>
      </c>
      <c r="M265" s="45" t="str">
        <f>'2.1. DM'!M265</f>
        <v>Herbaceous</v>
      </c>
      <c r="N265" s="21" t="str">
        <f>'2.1. DM'!N265</f>
        <v>64,65,71</v>
      </c>
      <c r="O265" s="21" t="str">
        <f>'2.1. DM'!O265</f>
        <v>OT-002(2026)</v>
      </c>
      <c r="P265" s="19" t="s">
        <v>496</v>
      </c>
      <c r="Q265" s="30">
        <v>57.971077617610824</v>
      </c>
      <c r="R265" s="341">
        <f t="shared" si="3"/>
        <v>58.061702118847009</v>
      </c>
    </row>
    <row r="266" spans="2:18" x14ac:dyDescent="0.35">
      <c r="B266" s="25">
        <f>'2.1. DM'!B266</f>
        <v>256</v>
      </c>
      <c r="C266" s="21">
        <f>'2.1. DM'!C266</f>
        <v>46062</v>
      </c>
      <c r="D266" s="21" t="str">
        <f>'2.1. DM'!D266</f>
        <v>Genbank</v>
      </c>
      <c r="E266" s="45">
        <f>'2.1. DM'!E266</f>
        <v>30</v>
      </c>
      <c r="F266" s="21" t="str">
        <f>'2.1. DM'!F266</f>
        <v>F260025</v>
      </c>
      <c r="G266" s="21" t="str">
        <f>'2.1. DM'!G266</f>
        <v>CIAT19193</v>
      </c>
      <c r="H266" s="21" t="str">
        <f>'2.1. DM'!H266</f>
        <v>Tephrosia</v>
      </c>
      <c r="I266" s="21" t="str">
        <f>'2.1. DM'!I266</f>
        <v>villosa</v>
      </c>
      <c r="J266" s="21" t="str">
        <f>'2.1. DM'!J266</f>
        <v>Tephrosia villosa</v>
      </c>
      <c r="K266" s="45" t="str">
        <f>'2.1. DM'!K266</f>
        <v>Fabaceae</v>
      </c>
      <c r="L266" s="45" t="str">
        <f>'2.1. DM'!L266</f>
        <v>Fabales</v>
      </c>
      <c r="M266" s="45" t="str">
        <f>'2.1. DM'!M266</f>
        <v>Herbaceous</v>
      </c>
      <c r="N266" s="21" t="str">
        <f>'2.1. DM'!N266</f>
        <v>64,65,71</v>
      </c>
      <c r="O266" s="21" t="str">
        <f>'2.1. DM'!O266</f>
        <v>OT-002(2026)</v>
      </c>
      <c r="P266" s="19" t="s">
        <v>496</v>
      </c>
      <c r="Q266" s="30">
        <v>58.152326620083187</v>
      </c>
      <c r="R266" s="341"/>
    </row>
    <row r="267" spans="2:18" x14ac:dyDescent="0.35">
      <c r="B267" s="25">
        <f>'2.1. DM'!B267</f>
        <v>257</v>
      </c>
      <c r="C267" s="21">
        <f>'2.1. DM'!C267</f>
        <v>46062</v>
      </c>
      <c r="D267" s="21" t="str">
        <f>'2.1. DM'!D267</f>
        <v>Genbank</v>
      </c>
      <c r="E267" s="45">
        <f>'2.1. DM'!E267</f>
        <v>30</v>
      </c>
      <c r="F267" s="21" t="str">
        <f>'2.1. DM'!F267</f>
        <v>F260026</v>
      </c>
      <c r="G267" s="21" t="str">
        <f>'2.1. DM'!G267</f>
        <v>CIAT19641</v>
      </c>
      <c r="H267" s="21" t="str">
        <f>'2.1. DM'!H267</f>
        <v>Tephrosia</v>
      </c>
      <c r="I267" s="21" t="str">
        <f>'2.1. DM'!I267</f>
        <v>purpurea</v>
      </c>
      <c r="J267" s="21" t="str">
        <f>'2.1. DM'!J267</f>
        <v>Tephrosia purpurea</v>
      </c>
      <c r="K267" s="45" t="str">
        <f>'2.1. DM'!K267</f>
        <v>Fabaceae</v>
      </c>
      <c r="L267" s="45" t="str">
        <f>'2.1. DM'!L267</f>
        <v>Fabales</v>
      </c>
      <c r="M267" s="45" t="str">
        <f>'2.1. DM'!M267</f>
        <v>Herbaceous</v>
      </c>
      <c r="N267" s="21" t="str">
        <f>'2.1. DM'!N267</f>
        <v>64,65,71</v>
      </c>
      <c r="O267" s="21" t="str">
        <f>'2.1. DM'!O267</f>
        <v>OT-002(2026)</v>
      </c>
      <c r="P267" s="19" t="s">
        <v>496</v>
      </c>
      <c r="Q267" s="30">
        <v>61.324563902171192</v>
      </c>
      <c r="R267" s="341">
        <f t="shared" si="3"/>
        <v>61.486896658344627</v>
      </c>
    </row>
    <row r="268" spans="2:18" x14ac:dyDescent="0.35">
      <c r="B268" s="25">
        <f>'2.1. DM'!B268</f>
        <v>258</v>
      </c>
      <c r="C268" s="21">
        <f>'2.1. DM'!C268</f>
        <v>46062</v>
      </c>
      <c r="D268" s="21" t="str">
        <f>'2.1. DM'!D268</f>
        <v>Genbank</v>
      </c>
      <c r="E268" s="45">
        <f>'2.1. DM'!E268</f>
        <v>30</v>
      </c>
      <c r="F268" s="21" t="str">
        <f>'2.1. DM'!F268</f>
        <v>F260026</v>
      </c>
      <c r="G268" s="21" t="str">
        <f>'2.1. DM'!G268</f>
        <v>CIAT19641</v>
      </c>
      <c r="H268" s="21" t="str">
        <f>'2.1. DM'!H268</f>
        <v>Tephrosia</v>
      </c>
      <c r="I268" s="21" t="str">
        <f>'2.1. DM'!I268</f>
        <v>purpurea</v>
      </c>
      <c r="J268" s="21" t="str">
        <f>'2.1. DM'!J268</f>
        <v>Tephrosia purpurea</v>
      </c>
      <c r="K268" s="45" t="str">
        <f>'2.1. DM'!K268</f>
        <v>Fabaceae</v>
      </c>
      <c r="L268" s="45" t="str">
        <f>'2.1. DM'!L268</f>
        <v>Fabales</v>
      </c>
      <c r="M268" s="45" t="str">
        <f>'2.1. DM'!M268</f>
        <v>Herbaceous</v>
      </c>
      <c r="N268" s="21" t="str">
        <f>'2.1. DM'!N268</f>
        <v>64,65,71</v>
      </c>
      <c r="O268" s="21" t="str">
        <f>'2.1. DM'!O268</f>
        <v>OT-002(2026)</v>
      </c>
      <c r="P268" s="19" t="s">
        <v>496</v>
      </c>
      <c r="Q268" s="30">
        <v>61.649229414518061</v>
      </c>
      <c r="R268" s="341"/>
    </row>
    <row r="269" spans="2:18" x14ac:dyDescent="0.35">
      <c r="B269" s="25">
        <f>'2.1. DM'!B269</f>
        <v>259</v>
      </c>
      <c r="C269" s="21">
        <f>'2.1. DM'!C269</f>
        <v>46062</v>
      </c>
      <c r="D269" s="21" t="str">
        <f>'2.1. DM'!D269</f>
        <v>Genbank</v>
      </c>
      <c r="E269" s="45">
        <f>'2.1. DM'!E269</f>
        <v>30</v>
      </c>
      <c r="F269" s="21" t="str">
        <f>'2.1. DM'!F269</f>
        <v>F260027</v>
      </c>
      <c r="G269" s="21" t="str">
        <f>'2.1. DM'!G269</f>
        <v>CIAT23503</v>
      </c>
      <c r="H269" s="21" t="str">
        <f>'2.1. DM'!H269</f>
        <v>Desmodium</v>
      </c>
      <c r="I269" s="21" t="str">
        <f>'2.1. DM'!I269</f>
        <v>macrodesmum</v>
      </c>
      <c r="J269" s="21" t="str">
        <f>'2.1. DM'!J269</f>
        <v>Desmodium macrodesmum</v>
      </c>
      <c r="K269" s="45" t="str">
        <f>'2.1. DM'!K269</f>
        <v>Fabaceae</v>
      </c>
      <c r="L269" s="45" t="str">
        <f>'2.1. DM'!L269</f>
        <v>Fabales</v>
      </c>
      <c r="M269" s="45" t="str">
        <f>'2.1. DM'!M269</f>
        <v>Herbaceous</v>
      </c>
      <c r="N269" s="21" t="str">
        <f>'2.1. DM'!N269</f>
        <v>64,65,71</v>
      </c>
      <c r="O269" s="21" t="str">
        <f>'2.1. DM'!O269</f>
        <v>OT-002(2026)</v>
      </c>
      <c r="P269" s="19" t="s">
        <v>496</v>
      </c>
      <c r="Q269" s="30">
        <v>56.177767238199074</v>
      </c>
      <c r="R269" s="341">
        <f t="shared" si="3"/>
        <v>55.641383367036482</v>
      </c>
    </row>
    <row r="270" spans="2:18" x14ac:dyDescent="0.35">
      <c r="B270" s="25">
        <f>'2.1. DM'!B270</f>
        <v>260</v>
      </c>
      <c r="C270" s="21">
        <f>'2.1. DM'!C270</f>
        <v>46062</v>
      </c>
      <c r="D270" s="21" t="str">
        <f>'2.1. DM'!D270</f>
        <v>Genbank</v>
      </c>
      <c r="E270" s="45">
        <f>'2.1. DM'!E270</f>
        <v>30</v>
      </c>
      <c r="F270" s="21" t="str">
        <f>'2.1. DM'!F270</f>
        <v>F260027</v>
      </c>
      <c r="G270" s="21" t="str">
        <f>'2.1. DM'!G270</f>
        <v>CIAT23503</v>
      </c>
      <c r="H270" s="21" t="str">
        <f>'2.1. DM'!H270</f>
        <v>Desmodium</v>
      </c>
      <c r="I270" s="21" t="str">
        <f>'2.1. DM'!I270</f>
        <v>macrodesmum</v>
      </c>
      <c r="J270" s="21" t="str">
        <f>'2.1. DM'!J270</f>
        <v>Desmodium macrodesmum</v>
      </c>
      <c r="K270" s="45" t="str">
        <f>'2.1. DM'!K270</f>
        <v>Fabaceae</v>
      </c>
      <c r="L270" s="45" t="str">
        <f>'2.1. DM'!L270</f>
        <v>Fabales</v>
      </c>
      <c r="M270" s="45" t="str">
        <f>'2.1. DM'!M270</f>
        <v>Herbaceous</v>
      </c>
      <c r="N270" s="21" t="str">
        <f>'2.1. DM'!N270</f>
        <v>64,65,71</v>
      </c>
      <c r="O270" s="21" t="str">
        <f>'2.1. DM'!O270</f>
        <v>OT-002(2026)</v>
      </c>
      <c r="P270" s="19" t="s">
        <v>496</v>
      </c>
      <c r="Q270" s="30">
        <v>55.104999495873884</v>
      </c>
      <c r="R270" s="341"/>
    </row>
    <row r="271" spans="2:18" x14ac:dyDescent="0.35">
      <c r="B271" s="25">
        <f>'2.1. DM'!B271</f>
        <v>261</v>
      </c>
      <c r="C271" s="21">
        <f>'2.1. DM'!C271</f>
        <v>46062</v>
      </c>
      <c r="D271" s="21" t="str">
        <f>'2.1. DM'!D271</f>
        <v>Genbank</v>
      </c>
      <c r="E271" s="45">
        <f>'2.1. DM'!E271</f>
        <v>30</v>
      </c>
      <c r="F271" s="21" t="str">
        <f>'2.1. DM'!F271</f>
        <v>F260028</v>
      </c>
      <c r="G271" s="21" t="str">
        <f>'2.1. DM'!G271</f>
        <v>CIAT24333</v>
      </c>
      <c r="H271" s="21" t="str">
        <f>'2.1. DM'!H271</f>
        <v>Macroptilium</v>
      </c>
      <c r="I271" s="21" t="str">
        <f>'2.1. DM'!I271</f>
        <v>bracteatum</v>
      </c>
      <c r="J271" s="21" t="str">
        <f>'2.1. DM'!J271</f>
        <v>Macroptilium bracteatum</v>
      </c>
      <c r="K271" s="45" t="str">
        <f>'2.1. DM'!K271</f>
        <v>Fabaceae</v>
      </c>
      <c r="L271" s="45" t="str">
        <f>'2.1. DM'!L271</f>
        <v>Fabales</v>
      </c>
      <c r="M271" s="45" t="str">
        <f>'2.1. DM'!M271</f>
        <v>Herbaceous</v>
      </c>
      <c r="N271" s="21" t="str">
        <f>'2.1. DM'!N271</f>
        <v>64,65,71</v>
      </c>
      <c r="O271" s="21" t="str">
        <f>'2.1. DM'!O271</f>
        <v>OT-002(2026)</v>
      </c>
      <c r="P271" s="19" t="s">
        <v>496</v>
      </c>
      <c r="Q271" s="30">
        <v>55.383472337284367</v>
      </c>
      <c r="R271" s="341">
        <f t="shared" si="3"/>
        <v>55.050178125569353</v>
      </c>
    </row>
    <row r="272" spans="2:18" x14ac:dyDescent="0.35">
      <c r="B272" s="25">
        <f>'2.1. DM'!B272</f>
        <v>262</v>
      </c>
      <c r="C272" s="21">
        <f>'2.1. DM'!C272</f>
        <v>46062</v>
      </c>
      <c r="D272" s="21" t="str">
        <f>'2.1. DM'!D272</f>
        <v>Genbank</v>
      </c>
      <c r="E272" s="45">
        <f>'2.1. DM'!E272</f>
        <v>30</v>
      </c>
      <c r="F272" s="21" t="str">
        <f>'2.1. DM'!F272</f>
        <v>F260028</v>
      </c>
      <c r="G272" s="21" t="str">
        <f>'2.1. DM'!G272</f>
        <v>CIAT24333</v>
      </c>
      <c r="H272" s="21" t="str">
        <f>'2.1. DM'!H272</f>
        <v>Macroptilium</v>
      </c>
      <c r="I272" s="21" t="str">
        <f>'2.1. DM'!I272</f>
        <v>bracteatum</v>
      </c>
      <c r="J272" s="21" t="str">
        <f>'2.1. DM'!J272</f>
        <v>Macroptilium bracteatum</v>
      </c>
      <c r="K272" s="45" t="str">
        <f>'2.1. DM'!K272</f>
        <v>Fabaceae</v>
      </c>
      <c r="L272" s="45" t="str">
        <f>'2.1. DM'!L272</f>
        <v>Fabales</v>
      </c>
      <c r="M272" s="45" t="str">
        <f>'2.1. DM'!M272</f>
        <v>Herbaceous</v>
      </c>
      <c r="N272" s="21" t="str">
        <f>'2.1. DM'!N272</f>
        <v>64,65,71</v>
      </c>
      <c r="O272" s="21" t="str">
        <f>'2.1. DM'!O272</f>
        <v>OT-002(2026)</v>
      </c>
      <c r="P272" s="19" t="s">
        <v>496</v>
      </c>
      <c r="Q272" s="30">
        <v>54.716883913854339</v>
      </c>
      <c r="R272" s="341"/>
    </row>
    <row r="273" spans="2:18" x14ac:dyDescent="0.35">
      <c r="B273" s="25">
        <f>'2.1. DM'!B273</f>
        <v>263</v>
      </c>
      <c r="C273" s="21">
        <f>'2.1. DM'!C273</f>
        <v>46062</v>
      </c>
      <c r="D273" s="21" t="str">
        <f>'2.1. DM'!D273</f>
        <v>Genbank</v>
      </c>
      <c r="E273" s="45">
        <f>'2.1. DM'!E273</f>
        <v>30</v>
      </c>
      <c r="F273" s="21" t="str">
        <f>'2.1. DM'!F273</f>
        <v>F260029</v>
      </c>
      <c r="G273" s="21" t="str">
        <f>'2.1. DM'!G273</f>
        <v>CIAT33235</v>
      </c>
      <c r="H273" s="21" t="str">
        <f>'2.1. DM'!H273</f>
        <v>Desmodium</v>
      </c>
      <c r="I273" s="21" t="str">
        <f>'2.1. DM'!I273</f>
        <v>scorpiurus</v>
      </c>
      <c r="J273" s="21" t="str">
        <f>'2.1. DM'!J273</f>
        <v>Desmodium scorpiurus</v>
      </c>
      <c r="K273" s="45" t="str">
        <f>'2.1. DM'!K273</f>
        <v>Fabaceae</v>
      </c>
      <c r="L273" s="45" t="str">
        <f>'2.1. DM'!L273</f>
        <v>Fabales</v>
      </c>
      <c r="M273" s="45" t="str">
        <f>'2.1. DM'!M273</f>
        <v>Herbaceous</v>
      </c>
      <c r="N273" s="21" t="str">
        <f>'2.1. DM'!N273</f>
        <v>64,65,71</v>
      </c>
      <c r="O273" s="21" t="str">
        <f>'2.1. DM'!O273</f>
        <v>OT-002(2026)</v>
      </c>
      <c r="P273" s="19" t="s">
        <v>496</v>
      </c>
      <c r="Q273" s="30">
        <v>55.285780588679145</v>
      </c>
      <c r="R273" s="341">
        <f t="shared" si="3"/>
        <v>56.613925342025382</v>
      </c>
    </row>
    <row r="274" spans="2:18" x14ac:dyDescent="0.35">
      <c r="B274" s="25">
        <f>'2.1. DM'!B274</f>
        <v>264</v>
      </c>
      <c r="C274" s="21">
        <f>'2.1. DM'!C274</f>
        <v>46062</v>
      </c>
      <c r="D274" s="21" t="str">
        <f>'2.1. DM'!D274</f>
        <v>Genbank</v>
      </c>
      <c r="E274" s="45">
        <f>'2.1. DM'!E274</f>
        <v>30</v>
      </c>
      <c r="F274" s="21" t="str">
        <f>'2.1. DM'!F274</f>
        <v>F260029</v>
      </c>
      <c r="G274" s="21" t="str">
        <f>'2.1. DM'!G274</f>
        <v>CIAT33235</v>
      </c>
      <c r="H274" s="21" t="str">
        <f>'2.1. DM'!H274</f>
        <v>Desmodium</v>
      </c>
      <c r="I274" s="21" t="str">
        <f>'2.1. DM'!I274</f>
        <v>scorpiurus</v>
      </c>
      <c r="J274" s="21" t="str">
        <f>'2.1. DM'!J274</f>
        <v>Desmodium scorpiurus</v>
      </c>
      <c r="K274" s="45" t="str">
        <f>'2.1. DM'!K274</f>
        <v>Fabaceae</v>
      </c>
      <c r="L274" s="45" t="str">
        <f>'2.1. DM'!L274</f>
        <v>Fabales</v>
      </c>
      <c r="M274" s="45" t="str">
        <f>'2.1. DM'!M274</f>
        <v>Herbaceous</v>
      </c>
      <c r="N274" s="21" t="str">
        <f>'2.1. DM'!N274</f>
        <v>64,65,71</v>
      </c>
      <c r="O274" s="21" t="str">
        <f>'2.1. DM'!O274</f>
        <v>OT-002(2026)</v>
      </c>
      <c r="P274" s="19" t="s">
        <v>496</v>
      </c>
      <c r="Q274" s="30">
        <v>57.942070095371619</v>
      </c>
      <c r="R274" s="341"/>
    </row>
    <row r="275" spans="2:18" x14ac:dyDescent="0.35">
      <c r="B275" s="25">
        <f>'2.1. DM'!B275</f>
        <v>265</v>
      </c>
      <c r="C275" s="21">
        <f>'2.1. DM'!C275</f>
        <v>46062</v>
      </c>
      <c r="D275" s="21" t="str">
        <f>'2.1. DM'!D275</f>
        <v>Genbank</v>
      </c>
      <c r="E275" s="45">
        <f>'2.1. DM'!E275</f>
        <v>30</v>
      </c>
      <c r="F275" s="21" t="str">
        <f>'2.1. DM'!F275</f>
        <v>F260030</v>
      </c>
      <c r="G275" s="21" t="str">
        <f>'2.1. DM'!G275</f>
        <v>CIAT33605</v>
      </c>
      <c r="H275" s="21" t="str">
        <f>'2.1. DM'!H275</f>
        <v>Desmodium</v>
      </c>
      <c r="I275" s="21" t="str">
        <f>'2.1. DM'!I275</f>
        <v>sandwicense x intortum</v>
      </c>
      <c r="J275" s="21" t="str">
        <f>'2.1. DM'!J275</f>
        <v>Desmodium sandwicense x intortum</v>
      </c>
      <c r="K275" s="45" t="str">
        <f>'2.1. DM'!K275</f>
        <v>Fabaceae</v>
      </c>
      <c r="L275" s="45" t="str">
        <f>'2.1. DM'!L275</f>
        <v>Fabales</v>
      </c>
      <c r="M275" s="45" t="str">
        <f>'2.1. DM'!M275</f>
        <v>Herbaceous</v>
      </c>
      <c r="N275" s="21" t="str">
        <f>'2.1. DM'!N275</f>
        <v>64,65,71</v>
      </c>
      <c r="O275" s="21" t="str">
        <f>'2.1. DM'!O275</f>
        <v>OT-002(2026)</v>
      </c>
      <c r="P275" s="19" t="s">
        <v>496</v>
      </c>
      <c r="Q275" s="30">
        <v>60.381814525746833</v>
      </c>
      <c r="R275" s="341">
        <f t="shared" ref="R275:R305" si="5">AVERAGE(Q275:Q276)</f>
        <v>59.612076683956346</v>
      </c>
    </row>
    <row r="276" spans="2:18" x14ac:dyDescent="0.35">
      <c r="B276" s="25">
        <f>'2.1. DM'!B276</f>
        <v>266</v>
      </c>
      <c r="C276" s="21">
        <f>'2.1. DM'!C276</f>
        <v>46062</v>
      </c>
      <c r="D276" s="21" t="str">
        <f>'2.1. DM'!D276</f>
        <v>Genbank</v>
      </c>
      <c r="E276" s="45">
        <f>'2.1. DM'!E276</f>
        <v>30</v>
      </c>
      <c r="F276" s="21" t="str">
        <f>'2.1. DM'!F276</f>
        <v>F260030</v>
      </c>
      <c r="G276" s="21" t="str">
        <f>'2.1. DM'!G276</f>
        <v>CIAT33605</v>
      </c>
      <c r="H276" s="21" t="str">
        <f>'2.1. DM'!H276</f>
        <v>Desmodium</v>
      </c>
      <c r="I276" s="21" t="str">
        <f>'2.1. DM'!I276</f>
        <v>sandwicense x intortum</v>
      </c>
      <c r="J276" s="21" t="str">
        <f>'2.1. DM'!J276</f>
        <v>Desmodium sandwicense x intortum</v>
      </c>
      <c r="K276" s="45" t="str">
        <f>'2.1. DM'!K276</f>
        <v>Fabaceae</v>
      </c>
      <c r="L276" s="45" t="str">
        <f>'2.1. DM'!L276</f>
        <v>Fabales</v>
      </c>
      <c r="M276" s="45" t="str">
        <f>'2.1. DM'!M276</f>
        <v>Herbaceous</v>
      </c>
      <c r="N276" s="21" t="str">
        <f>'2.1. DM'!N276</f>
        <v>64,65,71</v>
      </c>
      <c r="O276" s="21" t="str">
        <f>'2.1. DM'!O276</f>
        <v>OT-002(2026)</v>
      </c>
      <c r="P276" s="19" t="s">
        <v>496</v>
      </c>
      <c r="Q276" s="30">
        <v>58.842338842165852</v>
      </c>
      <c r="R276" s="341"/>
    </row>
    <row r="277" spans="2:18" x14ac:dyDescent="0.35">
      <c r="B277" s="25">
        <f>'2.1. DM'!B277</f>
        <v>267</v>
      </c>
      <c r="C277" s="21">
        <f>'2.1. DM'!C277</f>
        <v>46062</v>
      </c>
      <c r="D277" s="21" t="str">
        <f>'2.1. DM'!D277</f>
        <v>Genbank</v>
      </c>
      <c r="E277" s="45">
        <f>'2.1. DM'!E277</f>
        <v>30</v>
      </c>
      <c r="F277" s="21" t="str">
        <f>'2.1. DM'!F277</f>
        <v>F260031</v>
      </c>
      <c r="G277" s="21" t="str">
        <f>'2.1. DM'!G277</f>
        <v>CIAT34144</v>
      </c>
      <c r="H277" s="21" t="str">
        <f>'2.1. DM'!H277</f>
        <v>Vigna</v>
      </c>
      <c r="I277" s="21" t="str">
        <f>'2.1. DM'!I277</f>
        <v>radiata</v>
      </c>
      <c r="J277" s="21" t="str">
        <f>'2.1. DM'!J277</f>
        <v>Vigna radiata</v>
      </c>
      <c r="K277" s="45" t="str">
        <f>'2.1. DM'!K277</f>
        <v>Fabaceae</v>
      </c>
      <c r="L277" s="45" t="str">
        <f>'2.1. DM'!L277</f>
        <v>Fabales</v>
      </c>
      <c r="M277" s="45" t="str">
        <f>'2.1. DM'!M277</f>
        <v>Herbaceous</v>
      </c>
      <c r="N277" s="21" t="str">
        <f>'2.1. DM'!N277</f>
        <v>64,65,71</v>
      </c>
      <c r="O277" s="21" t="str">
        <f>'2.1. DM'!O277</f>
        <v>OT-002(2026)</v>
      </c>
      <c r="P277" s="19" t="s">
        <v>496</v>
      </c>
      <c r="Q277" s="30">
        <v>49.038547877548609</v>
      </c>
      <c r="R277" s="341">
        <f t="shared" si="5"/>
        <v>48.928084705065999</v>
      </c>
    </row>
    <row r="278" spans="2:18" x14ac:dyDescent="0.35">
      <c r="B278" s="25">
        <f>'2.1. DM'!B278</f>
        <v>268</v>
      </c>
      <c r="C278" s="21">
        <f>'2.1. DM'!C278</f>
        <v>46062</v>
      </c>
      <c r="D278" s="21" t="str">
        <f>'2.1. DM'!D278</f>
        <v>Genbank</v>
      </c>
      <c r="E278" s="45">
        <f>'2.1. DM'!E278</f>
        <v>30</v>
      </c>
      <c r="F278" s="21" t="str">
        <f>'2.1. DM'!F278</f>
        <v>F260031</v>
      </c>
      <c r="G278" s="21" t="str">
        <f>'2.1. DM'!G278</f>
        <v>CIAT34144</v>
      </c>
      <c r="H278" s="21" t="str">
        <f>'2.1. DM'!H278</f>
        <v>Vigna</v>
      </c>
      <c r="I278" s="21" t="str">
        <f>'2.1. DM'!I278</f>
        <v>radiata</v>
      </c>
      <c r="J278" s="21" t="str">
        <f>'2.1. DM'!J278</f>
        <v>Vigna radiata</v>
      </c>
      <c r="K278" s="45" t="str">
        <f>'2.1. DM'!K278</f>
        <v>Fabaceae</v>
      </c>
      <c r="L278" s="45" t="str">
        <f>'2.1. DM'!L278</f>
        <v>Fabales</v>
      </c>
      <c r="M278" s="45" t="str">
        <f>'2.1. DM'!M278</f>
        <v>Herbaceous</v>
      </c>
      <c r="N278" s="21" t="str">
        <f>'2.1. DM'!N278</f>
        <v>64,65,71</v>
      </c>
      <c r="O278" s="21" t="str">
        <f>'2.1. DM'!O278</f>
        <v>OT-002(2026)</v>
      </c>
      <c r="P278" s="19" t="s">
        <v>496</v>
      </c>
      <c r="Q278" s="30">
        <v>48.817621532583395</v>
      </c>
      <c r="R278" s="341"/>
    </row>
    <row r="279" spans="2:18" x14ac:dyDescent="0.35">
      <c r="B279" s="25">
        <f>'2.1. DM'!B279</f>
        <v>269</v>
      </c>
      <c r="C279" s="21">
        <f>'2.1. DM'!C279</f>
        <v>46062</v>
      </c>
      <c r="D279" s="21" t="str">
        <f>'2.1. DM'!D279</f>
        <v>Genbank</v>
      </c>
      <c r="E279" s="45">
        <f>'2.1. DM'!E279</f>
        <v>30</v>
      </c>
      <c r="F279" s="21" t="str">
        <f>'2.1. DM'!F279</f>
        <v>F260032</v>
      </c>
      <c r="G279" s="21" t="str">
        <f>'2.1. DM'!G279</f>
        <v>CIAT7934</v>
      </c>
      <c r="H279" s="21" t="str">
        <f>'2.1. DM'!H279</f>
        <v>Sesbania</v>
      </c>
      <c r="I279" s="21" t="str">
        <f>'2.1. DM'!I279</f>
        <v>sesban</v>
      </c>
      <c r="J279" s="21" t="str">
        <f>'2.1. DM'!J279</f>
        <v>Sesbania sesban</v>
      </c>
      <c r="K279" s="45" t="str">
        <f>'2.1. DM'!K279</f>
        <v>Fabaceae</v>
      </c>
      <c r="L279" s="45" t="str">
        <f>'2.1. DM'!L279</f>
        <v>Fabales</v>
      </c>
      <c r="M279" s="45" t="str">
        <f>'2.1. DM'!M279</f>
        <v>Shurb_Tree</v>
      </c>
      <c r="N279" s="21" t="str">
        <f>'2.1. DM'!N279</f>
        <v>64,65,71</v>
      </c>
      <c r="O279" s="21" t="str">
        <f>'2.1. DM'!O279</f>
        <v>OT-002(2026)</v>
      </c>
      <c r="P279" s="19" t="s">
        <v>496</v>
      </c>
      <c r="Q279" s="30">
        <v>48.269248062930053</v>
      </c>
      <c r="R279" s="341">
        <f t="shared" si="5"/>
        <v>48.672317459786278</v>
      </c>
    </row>
    <row r="280" spans="2:18" x14ac:dyDescent="0.35">
      <c r="B280" s="25">
        <f>'2.1. DM'!B280</f>
        <v>270</v>
      </c>
      <c r="C280" s="21">
        <f>'2.1. DM'!C280</f>
        <v>46062</v>
      </c>
      <c r="D280" s="21" t="str">
        <f>'2.1. DM'!D280</f>
        <v>Genbank</v>
      </c>
      <c r="E280" s="45">
        <f>'2.1. DM'!E280</f>
        <v>30</v>
      </c>
      <c r="F280" s="21" t="str">
        <f>'2.1. DM'!F280</f>
        <v>F260032</v>
      </c>
      <c r="G280" s="21" t="str">
        <f>'2.1. DM'!G280</f>
        <v>CIAT7934</v>
      </c>
      <c r="H280" s="21" t="str">
        <f>'2.1. DM'!H280</f>
        <v>Sesbania</v>
      </c>
      <c r="I280" s="21" t="str">
        <f>'2.1. DM'!I280</f>
        <v>sesban</v>
      </c>
      <c r="J280" s="21" t="str">
        <f>'2.1. DM'!J280</f>
        <v>Sesbania sesban</v>
      </c>
      <c r="K280" s="45" t="str">
        <f>'2.1. DM'!K280</f>
        <v>Fabaceae</v>
      </c>
      <c r="L280" s="45" t="str">
        <f>'2.1. DM'!L280</f>
        <v>Fabales</v>
      </c>
      <c r="M280" s="45" t="str">
        <f>'2.1. DM'!M280</f>
        <v>Shurb_Tree</v>
      </c>
      <c r="N280" s="21" t="str">
        <f>'2.1. DM'!N280</f>
        <v>64,65,71</v>
      </c>
      <c r="O280" s="21" t="str">
        <f>'2.1. DM'!O280</f>
        <v>OT-002(2026)</v>
      </c>
      <c r="P280" s="19" t="s">
        <v>496</v>
      </c>
      <c r="Q280" s="30">
        <v>49.075386856642503</v>
      </c>
      <c r="R280" s="341"/>
    </row>
    <row r="281" spans="2:18" x14ac:dyDescent="0.35">
      <c r="B281" s="25">
        <f>'2.1. DM'!B281</f>
        <v>271</v>
      </c>
      <c r="C281" s="21">
        <f>'2.1. DM'!C281</f>
        <v>46062</v>
      </c>
      <c r="D281" s="21" t="str">
        <f>'2.1. DM'!D281</f>
        <v>Genbank</v>
      </c>
      <c r="E281" s="45">
        <f>'2.1. DM'!E281</f>
        <v>30</v>
      </c>
      <c r="F281" s="21" t="str">
        <f>'2.1. DM'!F281</f>
        <v>F260033</v>
      </c>
      <c r="G281" s="21" t="str">
        <f>'2.1. DM'!G281</f>
        <v>CIAT7937</v>
      </c>
      <c r="H281" s="21" t="str">
        <f>'2.1. DM'!H281</f>
        <v>Mimosa</v>
      </c>
      <c r="I281" s="21" t="str">
        <f>'2.1. DM'!I281</f>
        <v>nuda</v>
      </c>
      <c r="J281" s="21" t="str">
        <f>'2.1. DM'!J281</f>
        <v>Mimosa nuda</v>
      </c>
      <c r="K281" s="45" t="str">
        <f>'2.1. DM'!K281</f>
        <v>Fabaceae</v>
      </c>
      <c r="L281" s="45" t="str">
        <f>'2.1. DM'!L281</f>
        <v>Fabales</v>
      </c>
      <c r="M281" s="45" t="str">
        <f>'2.1. DM'!M281</f>
        <v>Shurb_Tree</v>
      </c>
      <c r="N281" s="21" t="str">
        <f>'2.1. DM'!N281</f>
        <v>64,65,71</v>
      </c>
      <c r="O281" s="21" t="str">
        <f>'2.1. DM'!O281</f>
        <v>OT-002(2026)</v>
      </c>
      <c r="P281" s="19" t="s">
        <v>496</v>
      </c>
      <c r="Q281" s="30">
        <v>61.974579203188043</v>
      </c>
      <c r="R281" s="341">
        <f t="shared" si="5"/>
        <v>62.259227725767829</v>
      </c>
    </row>
    <row r="282" spans="2:18" x14ac:dyDescent="0.35">
      <c r="B282" s="25">
        <f>'2.1. DM'!B282</f>
        <v>272</v>
      </c>
      <c r="C282" s="21">
        <f>'2.1. DM'!C282</f>
        <v>46062</v>
      </c>
      <c r="D282" s="21" t="str">
        <f>'2.1. DM'!D282</f>
        <v>Genbank</v>
      </c>
      <c r="E282" s="45">
        <f>'2.1. DM'!E282</f>
        <v>30</v>
      </c>
      <c r="F282" s="21" t="str">
        <f>'2.1. DM'!F282</f>
        <v>F260033</v>
      </c>
      <c r="G282" s="21" t="str">
        <f>'2.1. DM'!G282</f>
        <v>CIAT7937</v>
      </c>
      <c r="H282" s="21" t="str">
        <f>'2.1. DM'!H282</f>
        <v>Mimosa</v>
      </c>
      <c r="I282" s="21" t="str">
        <f>'2.1. DM'!I282</f>
        <v>nuda</v>
      </c>
      <c r="J282" s="21" t="str">
        <f>'2.1. DM'!J282</f>
        <v>Mimosa nuda</v>
      </c>
      <c r="K282" s="45" t="str">
        <f>'2.1. DM'!K282</f>
        <v>Fabaceae</v>
      </c>
      <c r="L282" s="45" t="str">
        <f>'2.1. DM'!L282</f>
        <v>Fabales</v>
      </c>
      <c r="M282" s="45" t="str">
        <f>'2.1. DM'!M282</f>
        <v>Shurb_Tree</v>
      </c>
      <c r="N282" s="21" t="str">
        <f>'2.1. DM'!N282</f>
        <v>64,65,71</v>
      </c>
      <c r="O282" s="21" t="str">
        <f>'2.1. DM'!O282</f>
        <v>OT-002(2026)</v>
      </c>
      <c r="P282" s="19" t="s">
        <v>496</v>
      </c>
      <c r="Q282" s="30">
        <v>62.543876248347608</v>
      </c>
      <c r="R282" s="341"/>
    </row>
    <row r="283" spans="2:18" x14ac:dyDescent="0.35">
      <c r="B283" s="25">
        <f>'2.1. DM'!B283</f>
        <v>273</v>
      </c>
      <c r="C283" s="21">
        <f>'2.1. DM'!C283</f>
        <v>46062</v>
      </c>
      <c r="D283" s="21" t="str">
        <f>'2.1. DM'!D283</f>
        <v>Genbank</v>
      </c>
      <c r="E283" s="45">
        <f>'2.1. DM'!E283</f>
        <v>30</v>
      </c>
      <c r="F283" s="21" t="str">
        <f>'2.1. DM'!F283</f>
        <v>F260034</v>
      </c>
      <c r="G283" s="21" t="str">
        <f>'2.1. DM'!G283</f>
        <v>CIAT8056</v>
      </c>
      <c r="H283" s="21" t="str">
        <f>'2.1. DM'!H283</f>
        <v>Mimosa</v>
      </c>
      <c r="I283" s="21" t="str">
        <f>'2.1. DM'!I283</f>
        <v>diplotricha</v>
      </c>
      <c r="J283" s="21" t="str">
        <f>'2.1. DM'!J283</f>
        <v>Mimosa diplotricha</v>
      </c>
      <c r="K283" s="45" t="str">
        <f>'2.1. DM'!K283</f>
        <v>Fabaceae</v>
      </c>
      <c r="L283" s="45" t="str">
        <f>'2.1. DM'!L283</f>
        <v>Fabales</v>
      </c>
      <c r="M283" s="45" t="str">
        <f>'2.1. DM'!M283</f>
        <v>Shurb_Tree</v>
      </c>
      <c r="N283" s="21" t="str">
        <f>'2.1. DM'!N283</f>
        <v>64,65,71</v>
      </c>
      <c r="O283" s="21" t="str">
        <f>'2.1. DM'!O283</f>
        <v>OT-002(2026)</v>
      </c>
      <c r="P283" s="19" t="s">
        <v>496</v>
      </c>
      <c r="Q283" s="30">
        <v>53.931834508042819</v>
      </c>
      <c r="R283" s="341">
        <f t="shared" si="5"/>
        <v>54.432802233405852</v>
      </c>
    </row>
    <row r="284" spans="2:18" x14ac:dyDescent="0.35">
      <c r="B284" s="6"/>
      <c r="C284" s="21">
        <f>'2.1. DM'!C284</f>
        <v>46062</v>
      </c>
      <c r="D284" s="21" t="str">
        <f>'2.1. DM'!D284</f>
        <v>Genbank</v>
      </c>
      <c r="E284" s="45">
        <f>'2.1. DM'!E284</f>
        <v>30</v>
      </c>
      <c r="F284" s="21" t="str">
        <f>'2.1. DM'!F284</f>
        <v>F260034</v>
      </c>
      <c r="G284" s="21" t="str">
        <f>'2.1. DM'!G284</f>
        <v>CIAT8056</v>
      </c>
      <c r="H284" s="21" t="str">
        <f>'2.1. DM'!H284</f>
        <v>Mimosa</v>
      </c>
      <c r="I284" s="21" t="str">
        <f>'2.1. DM'!I284</f>
        <v>diplotricha</v>
      </c>
      <c r="J284" s="21" t="str">
        <f>'2.1. DM'!J284</f>
        <v>Mimosa diplotricha</v>
      </c>
      <c r="K284" s="45" t="str">
        <f>'2.1. DM'!K284</f>
        <v>Fabaceae</v>
      </c>
      <c r="L284" s="45" t="str">
        <f>'2.1. DM'!L284</f>
        <v>Fabales</v>
      </c>
      <c r="M284" s="45" t="str">
        <f>'2.1. DM'!M284</f>
        <v>Shurb_Tree</v>
      </c>
      <c r="N284" s="21" t="str">
        <f>'2.1. DM'!N284</f>
        <v>64,65,71</v>
      </c>
      <c r="O284" s="21" t="str">
        <f>'2.1. DM'!O284</f>
        <v>OT-002(2026)</v>
      </c>
      <c r="P284" s="19" t="s">
        <v>496</v>
      </c>
      <c r="Q284" s="30">
        <v>54.933769958768885</v>
      </c>
      <c r="R284" s="341"/>
    </row>
    <row r="285" spans="2:18" x14ac:dyDescent="0.35">
      <c r="B285" s="6"/>
      <c r="C285" s="21">
        <f>'2.1. DM'!C285</f>
        <v>46062</v>
      </c>
      <c r="D285" s="21" t="str">
        <f>'2.1. DM'!D285</f>
        <v>Genbank</v>
      </c>
      <c r="E285" s="45">
        <f>'2.1. DM'!E285</f>
        <v>30</v>
      </c>
      <c r="F285" s="21" t="str">
        <f>'2.1. DM'!F285</f>
        <v>F260035</v>
      </c>
      <c r="G285" s="21" t="str">
        <f>'2.1. DM'!G285</f>
        <v>CIAT17514</v>
      </c>
      <c r="H285" s="21" t="str">
        <f>'2.1. DM'!H285</f>
        <v>Mimosa</v>
      </c>
      <c r="I285" s="21" t="str">
        <f>'2.1. DM'!I285</f>
        <v>pudica</v>
      </c>
      <c r="J285" s="21" t="str">
        <f>'2.1. DM'!J285</f>
        <v>Mimosa pudica</v>
      </c>
      <c r="K285" s="45" t="str">
        <f>'2.1. DM'!K285</f>
        <v>Fabaceae</v>
      </c>
      <c r="L285" s="45" t="str">
        <f>'2.1. DM'!L285</f>
        <v>Fabales</v>
      </c>
      <c r="M285" s="45" t="str">
        <f>'2.1. DM'!M285</f>
        <v>Shurb_Tree</v>
      </c>
      <c r="N285" s="21" t="str">
        <f>'2.1. DM'!N285</f>
        <v>64,65,71</v>
      </c>
      <c r="O285" s="21" t="str">
        <f>'2.1. DM'!O285</f>
        <v>OT-002(2026)</v>
      </c>
      <c r="P285" s="19" t="s">
        <v>496</v>
      </c>
      <c r="Q285" s="30">
        <v>59.100105194123266</v>
      </c>
      <c r="R285" s="341">
        <f t="shared" si="5"/>
        <v>59.390659149157088</v>
      </c>
    </row>
    <row r="286" spans="2:18" x14ac:dyDescent="0.35">
      <c r="B286" s="6"/>
      <c r="C286" s="21">
        <f>'2.1. DM'!C286</f>
        <v>46062</v>
      </c>
      <c r="D286" s="21" t="str">
        <f>'2.1. DM'!D286</f>
        <v>Genbank</v>
      </c>
      <c r="E286" s="45">
        <f>'2.1. DM'!E286</f>
        <v>30</v>
      </c>
      <c r="F286" s="21" t="str">
        <f>'2.1. DM'!F286</f>
        <v>F260035</v>
      </c>
      <c r="G286" s="21" t="str">
        <f>'2.1. DM'!G286</f>
        <v>CIAT17514</v>
      </c>
      <c r="H286" s="21" t="str">
        <f>'2.1. DM'!H286</f>
        <v>Mimosa</v>
      </c>
      <c r="I286" s="21" t="str">
        <f>'2.1. DM'!I286</f>
        <v>pudica</v>
      </c>
      <c r="J286" s="21" t="str">
        <f>'2.1. DM'!J286</f>
        <v>Mimosa pudica</v>
      </c>
      <c r="K286" s="45" t="str">
        <f>'2.1. DM'!K286</f>
        <v>Fabaceae</v>
      </c>
      <c r="L286" s="45" t="str">
        <f>'2.1. DM'!L286</f>
        <v>Fabales</v>
      </c>
      <c r="M286" s="45" t="str">
        <f>'2.1. DM'!M286</f>
        <v>Shurb_Tree</v>
      </c>
      <c r="N286" s="21" t="str">
        <f>'2.1. DM'!N286</f>
        <v>64,65,71</v>
      </c>
      <c r="O286" s="21" t="str">
        <f>'2.1. DM'!O286</f>
        <v>OT-002(2026)</v>
      </c>
      <c r="P286" s="19" t="s">
        <v>496</v>
      </c>
      <c r="Q286" s="30">
        <v>59.68121310419091</v>
      </c>
      <c r="R286" s="341"/>
    </row>
    <row r="287" spans="2:18" x14ac:dyDescent="0.35">
      <c r="B287" s="6"/>
      <c r="C287" s="21">
        <f>'2.1. DM'!C287</f>
        <v>46062</v>
      </c>
      <c r="D287" s="21" t="str">
        <f>'2.1. DM'!D287</f>
        <v>Genbank</v>
      </c>
      <c r="E287" s="45">
        <f>'2.1. DM'!E287</f>
        <v>30</v>
      </c>
      <c r="F287" s="21" t="str">
        <f>'2.1. DM'!F287</f>
        <v>F260036</v>
      </c>
      <c r="G287" s="21" t="str">
        <f>'2.1. DM'!G287</f>
        <v>CIAT17725</v>
      </c>
      <c r="H287" s="21" t="str">
        <f>'2.1. DM'!H287</f>
        <v>Mimosa</v>
      </c>
      <c r="I287" s="21" t="str">
        <f>'2.1. DM'!I287</f>
        <v>polycarpa</v>
      </c>
      <c r="J287" s="21" t="str">
        <f>'2.1. DM'!J287</f>
        <v>Mimosa polycarpa</v>
      </c>
      <c r="K287" s="45" t="str">
        <f>'2.1. DM'!K287</f>
        <v>Fabaceae</v>
      </c>
      <c r="L287" s="45" t="str">
        <f>'2.1. DM'!L287</f>
        <v>Fabales</v>
      </c>
      <c r="M287" s="45" t="str">
        <f>'2.1. DM'!M287</f>
        <v>Shurb_Tree</v>
      </c>
      <c r="N287" s="21" t="str">
        <f>'2.1. DM'!N287</f>
        <v>64,65,71</v>
      </c>
      <c r="O287" s="21" t="str">
        <f>'2.1. DM'!O287</f>
        <v>OT-002(2026)</v>
      </c>
      <c r="P287" s="19" t="s">
        <v>496</v>
      </c>
      <c r="Q287" s="30">
        <v>60.31573107374517</v>
      </c>
      <c r="R287" s="341">
        <f t="shared" si="5"/>
        <v>61.084023708109299</v>
      </c>
    </row>
    <row r="288" spans="2:18" x14ac:dyDescent="0.35">
      <c r="B288" s="6"/>
      <c r="C288" s="21">
        <f>'2.1. DM'!C288</f>
        <v>46062</v>
      </c>
      <c r="D288" s="21" t="str">
        <f>'2.1. DM'!D288</f>
        <v>Genbank</v>
      </c>
      <c r="E288" s="45">
        <f>'2.1. DM'!E288</f>
        <v>30</v>
      </c>
      <c r="F288" s="21" t="str">
        <f>'2.1. DM'!F288</f>
        <v>F260036</v>
      </c>
      <c r="G288" s="21" t="str">
        <f>'2.1. DM'!G288</f>
        <v>CIAT17725</v>
      </c>
      <c r="H288" s="21" t="str">
        <f>'2.1. DM'!H288</f>
        <v>Mimosa</v>
      </c>
      <c r="I288" s="21" t="str">
        <f>'2.1. DM'!I288</f>
        <v>polycarpa</v>
      </c>
      <c r="J288" s="21" t="str">
        <f>'2.1. DM'!J288</f>
        <v>Mimosa polycarpa</v>
      </c>
      <c r="K288" s="45" t="str">
        <f>'2.1. DM'!K288</f>
        <v>Fabaceae</v>
      </c>
      <c r="L288" s="45" t="str">
        <f>'2.1. DM'!L288</f>
        <v>Fabales</v>
      </c>
      <c r="M288" s="45" t="str">
        <f>'2.1. DM'!M288</f>
        <v>Shurb_Tree</v>
      </c>
      <c r="N288" s="21" t="str">
        <f>'2.1. DM'!N288</f>
        <v>64,65,71</v>
      </c>
      <c r="O288" s="21" t="str">
        <f>'2.1. DM'!O288</f>
        <v>OT-002(2026)</v>
      </c>
      <c r="P288" s="19" t="s">
        <v>496</v>
      </c>
      <c r="Q288" s="30">
        <v>61.852316342473436</v>
      </c>
      <c r="R288" s="341"/>
    </row>
    <row r="289" spans="2:18" x14ac:dyDescent="0.35">
      <c r="B289" s="6"/>
      <c r="C289" s="21">
        <f>'2.1. DM'!C289</f>
        <v>46062</v>
      </c>
      <c r="D289" s="21" t="str">
        <f>'2.1. DM'!D289</f>
        <v>Genbank</v>
      </c>
      <c r="E289" s="45">
        <f>'2.1. DM'!E289</f>
        <v>30</v>
      </c>
      <c r="F289" s="21" t="str">
        <f>'2.1. DM'!F289</f>
        <v>F260037</v>
      </c>
      <c r="G289" s="21" t="str">
        <f>'2.1. DM'!G289</f>
        <v>CIAT18947</v>
      </c>
      <c r="H289" s="21" t="str">
        <f>'2.1. DM'!H289</f>
        <v>Sesbania</v>
      </c>
      <c r="I289" s="21" t="str">
        <f>'2.1. DM'!I289</f>
        <v>sesban</v>
      </c>
      <c r="J289" s="21" t="str">
        <f>'2.1. DM'!J289</f>
        <v>Sesbania sesban</v>
      </c>
      <c r="K289" s="45" t="str">
        <f>'2.1. DM'!K289</f>
        <v>Fabaceae</v>
      </c>
      <c r="L289" s="45" t="str">
        <f>'2.1. DM'!L289</f>
        <v>Fabales</v>
      </c>
      <c r="M289" s="45" t="str">
        <f>'2.1. DM'!M289</f>
        <v>Shurb_Tree</v>
      </c>
      <c r="N289" s="21" t="str">
        <f>'2.1. DM'!N289</f>
        <v>64,65,71</v>
      </c>
      <c r="O289" s="21" t="str">
        <f>'2.1. DM'!O289</f>
        <v>OT-002(2026)</v>
      </c>
      <c r="P289" s="19" t="s">
        <v>496</v>
      </c>
      <c r="Q289" s="30">
        <v>44.927412202308155</v>
      </c>
      <c r="R289" s="341">
        <f t="shared" si="5"/>
        <v>46.004422114289063</v>
      </c>
    </row>
    <row r="290" spans="2:18" x14ac:dyDescent="0.35">
      <c r="B290" s="6"/>
      <c r="C290" s="21">
        <f>'2.1. DM'!C290</f>
        <v>46062</v>
      </c>
      <c r="D290" s="21" t="str">
        <f>'2.1. DM'!D290</f>
        <v>Genbank</v>
      </c>
      <c r="E290" s="45">
        <f>'2.1. DM'!E290</f>
        <v>30</v>
      </c>
      <c r="F290" s="21" t="str">
        <f>'2.1. DM'!F290</f>
        <v>F260037</v>
      </c>
      <c r="G290" s="21" t="str">
        <f>'2.1. DM'!G290</f>
        <v>CIAT18947</v>
      </c>
      <c r="H290" s="21" t="str">
        <f>'2.1. DM'!H290</f>
        <v>Sesbania</v>
      </c>
      <c r="I290" s="21" t="str">
        <f>'2.1. DM'!I290</f>
        <v>sesban</v>
      </c>
      <c r="J290" s="21" t="str">
        <f>'2.1. DM'!J290</f>
        <v>Sesbania sesban</v>
      </c>
      <c r="K290" s="45" t="str">
        <f>'2.1. DM'!K290</f>
        <v>Fabaceae</v>
      </c>
      <c r="L290" s="45" t="str">
        <f>'2.1. DM'!L290</f>
        <v>Fabales</v>
      </c>
      <c r="M290" s="45" t="str">
        <f>'2.1. DM'!M290</f>
        <v>Shurb_Tree</v>
      </c>
      <c r="N290" s="21" t="str">
        <f>'2.1. DM'!N290</f>
        <v>64,65,71</v>
      </c>
      <c r="O290" s="21" t="str">
        <f>'2.1. DM'!O290</f>
        <v>OT-002(2026)</v>
      </c>
      <c r="P290" s="19" t="s">
        <v>496</v>
      </c>
      <c r="Q290" s="30">
        <v>47.081432026269972</v>
      </c>
      <c r="R290" s="341"/>
    </row>
    <row r="291" spans="2:18" x14ac:dyDescent="0.35">
      <c r="B291" s="6"/>
      <c r="C291" s="21">
        <f>'2.1. DM'!C291</f>
        <v>46062</v>
      </c>
      <c r="D291" s="21" t="str">
        <f>'2.1. DM'!D291</f>
        <v>Genbank</v>
      </c>
      <c r="E291" s="45">
        <f>'2.1. DM'!E291</f>
        <v>30</v>
      </c>
      <c r="F291" s="21" t="str">
        <f>'2.1. DM'!F291</f>
        <v>F260038</v>
      </c>
      <c r="G291" s="21" t="str">
        <f>'2.1. DM'!G291</f>
        <v>CIAT19165</v>
      </c>
      <c r="H291" s="21" t="str">
        <f>'2.1. DM'!H291</f>
        <v>Sesbania</v>
      </c>
      <c r="I291" s="21" t="str">
        <f>'2.1. DM'!I291</f>
        <v>keniensis</v>
      </c>
      <c r="J291" s="21" t="str">
        <f>'2.1. DM'!J291</f>
        <v>Sesbania keniensis</v>
      </c>
      <c r="K291" s="45" t="str">
        <f>'2.1. DM'!K291</f>
        <v>Fabaceae</v>
      </c>
      <c r="L291" s="45" t="str">
        <f>'2.1. DM'!L291</f>
        <v>Fabales</v>
      </c>
      <c r="M291" s="45" t="str">
        <f>'2.1. DM'!M291</f>
        <v>Shurb_Tree</v>
      </c>
      <c r="N291" s="21" t="str">
        <f>'2.1. DM'!N291</f>
        <v>64,65,71</v>
      </c>
      <c r="O291" s="21" t="str">
        <f>'2.1. DM'!O291</f>
        <v>OT-002(2026)</v>
      </c>
      <c r="P291" s="19" t="s">
        <v>496</v>
      </c>
      <c r="Q291" s="30">
        <v>50.455266674692581</v>
      </c>
      <c r="R291" s="341">
        <f t="shared" si="5"/>
        <v>50.403594312680944</v>
      </c>
    </row>
    <row r="292" spans="2:18" x14ac:dyDescent="0.35">
      <c r="B292" s="6"/>
      <c r="C292" s="21">
        <f>'2.1. DM'!C292</f>
        <v>46062</v>
      </c>
      <c r="D292" s="21" t="str">
        <f>'2.1. DM'!D292</f>
        <v>Genbank</v>
      </c>
      <c r="E292" s="45">
        <f>'2.1. DM'!E292</f>
        <v>30</v>
      </c>
      <c r="F292" s="21" t="str">
        <f>'2.1. DM'!F292</f>
        <v>F260038</v>
      </c>
      <c r="G292" s="21" t="str">
        <f>'2.1. DM'!G292</f>
        <v>CIAT19165</v>
      </c>
      <c r="H292" s="21" t="str">
        <f>'2.1. DM'!H292</f>
        <v>Sesbania</v>
      </c>
      <c r="I292" s="21" t="str">
        <f>'2.1. DM'!I292</f>
        <v>keniensis</v>
      </c>
      <c r="J292" s="21" t="str">
        <f>'2.1. DM'!J292</f>
        <v>Sesbania keniensis</v>
      </c>
      <c r="K292" s="45" t="str">
        <f>'2.1. DM'!K292</f>
        <v>Fabaceae</v>
      </c>
      <c r="L292" s="45" t="str">
        <f>'2.1. DM'!L292</f>
        <v>Fabales</v>
      </c>
      <c r="M292" s="45" t="str">
        <f>'2.1. DM'!M292</f>
        <v>Shurb_Tree</v>
      </c>
      <c r="N292" s="21" t="str">
        <f>'2.1. DM'!N292</f>
        <v>64,65,71</v>
      </c>
      <c r="O292" s="21" t="str">
        <f>'2.1. DM'!O292</f>
        <v>OT-002(2026)</v>
      </c>
      <c r="P292" s="19" t="s">
        <v>496</v>
      </c>
      <c r="Q292" s="30">
        <v>50.351921950669308</v>
      </c>
      <c r="R292" s="341"/>
    </row>
    <row r="293" spans="2:18" x14ac:dyDescent="0.35">
      <c r="B293" s="6"/>
      <c r="C293" s="21">
        <f>'2.1. DM'!C293</f>
        <v>46062</v>
      </c>
      <c r="D293" s="21" t="str">
        <f>'2.1. DM'!D293</f>
        <v>Genbank</v>
      </c>
      <c r="E293" s="45">
        <f>'2.1. DM'!E293</f>
        <v>30</v>
      </c>
      <c r="F293" s="21" t="str">
        <f>'2.1. DM'!F293</f>
        <v>F260039</v>
      </c>
      <c r="G293" s="21" t="str">
        <f>'2.1. DM'!G293</f>
        <v>CIAT21899</v>
      </c>
      <c r="H293" s="21" t="str">
        <f>'2.1. DM'!H293</f>
        <v>Sesbania</v>
      </c>
      <c r="I293" s="21" t="str">
        <f>'2.1. DM'!I293</f>
        <v>sesban</v>
      </c>
      <c r="J293" s="21" t="str">
        <f>'2.1. DM'!J293</f>
        <v>Sesbania sesban</v>
      </c>
      <c r="K293" s="45" t="str">
        <f>'2.1. DM'!K293</f>
        <v>Fabaceae</v>
      </c>
      <c r="L293" s="45" t="str">
        <f>'2.1. DM'!L293</f>
        <v>Fabales</v>
      </c>
      <c r="M293" s="45" t="str">
        <f>'2.1. DM'!M293</f>
        <v>Shurb_Tree</v>
      </c>
      <c r="N293" s="21" t="str">
        <f>'2.1. DM'!N293</f>
        <v>64,65,71</v>
      </c>
      <c r="O293" s="21" t="str">
        <f>'2.1. DM'!O293</f>
        <v>OT-002(2026)</v>
      </c>
      <c r="P293" s="19" t="s">
        <v>496</v>
      </c>
      <c r="Q293" s="30">
        <v>63.16837770926972</v>
      </c>
      <c r="R293" s="341">
        <f t="shared" si="5"/>
        <v>63.026589125928808</v>
      </c>
    </row>
    <row r="294" spans="2:18" x14ac:dyDescent="0.35">
      <c r="B294" s="6"/>
      <c r="C294" s="21">
        <f>'2.1. DM'!C294</f>
        <v>46062</v>
      </c>
      <c r="D294" s="21" t="str">
        <f>'2.1. DM'!D294</f>
        <v>Genbank</v>
      </c>
      <c r="E294" s="45">
        <f>'2.1. DM'!E294</f>
        <v>30</v>
      </c>
      <c r="F294" s="21" t="str">
        <f>'2.1. DM'!F294</f>
        <v>F260039</v>
      </c>
      <c r="G294" s="21" t="str">
        <f>'2.1. DM'!G294</f>
        <v>CIAT21899</v>
      </c>
      <c r="H294" s="21" t="str">
        <f>'2.1. DM'!H294</f>
        <v>Sesbania</v>
      </c>
      <c r="I294" s="21" t="str">
        <f>'2.1. DM'!I294</f>
        <v>sesban</v>
      </c>
      <c r="J294" s="21" t="str">
        <f>'2.1. DM'!J294</f>
        <v>Sesbania sesban</v>
      </c>
      <c r="K294" s="45" t="str">
        <f>'2.1. DM'!K294</f>
        <v>Fabaceae</v>
      </c>
      <c r="L294" s="45" t="str">
        <f>'2.1. DM'!L294</f>
        <v>Fabales</v>
      </c>
      <c r="M294" s="45" t="str">
        <f>'2.1. DM'!M294</f>
        <v>Shurb_Tree</v>
      </c>
      <c r="N294" s="21" t="str">
        <f>'2.1. DM'!N294</f>
        <v>64,65,71</v>
      </c>
      <c r="O294" s="21" t="str">
        <f>'2.1. DM'!O294</f>
        <v>OT-002(2026)</v>
      </c>
      <c r="P294" s="19" t="s">
        <v>496</v>
      </c>
      <c r="Q294" s="30">
        <v>62.884800542587904</v>
      </c>
      <c r="R294" s="341"/>
    </row>
    <row r="295" spans="2:18" x14ac:dyDescent="0.35">
      <c r="B295" s="6"/>
      <c r="C295" s="21">
        <f>'2.1. DM'!C295</f>
        <v>46062</v>
      </c>
      <c r="D295" s="21" t="str">
        <f>'2.1. DM'!D295</f>
        <v>Genbank</v>
      </c>
      <c r="E295" s="45">
        <f>'2.1. DM'!E295</f>
        <v>30</v>
      </c>
      <c r="F295" s="21" t="str">
        <f>'2.1. DM'!F295</f>
        <v>F260040</v>
      </c>
      <c r="G295" s="21" t="str">
        <f>'2.1. DM'!G295</f>
        <v>CIAT23414</v>
      </c>
      <c r="H295" s="21" t="str">
        <f>'2.1. DM'!H295</f>
        <v>Codariocalyx</v>
      </c>
      <c r="I295" s="21" t="str">
        <f>'2.1. DM'!I295</f>
        <v>motorius</v>
      </c>
      <c r="J295" s="21" t="str">
        <f>'2.1. DM'!J295</f>
        <v>Codariocalyx motorius</v>
      </c>
      <c r="K295" s="45" t="str">
        <f>'2.1. DM'!K295</f>
        <v>Fabaceae</v>
      </c>
      <c r="L295" s="45" t="str">
        <f>'2.1. DM'!L295</f>
        <v>Fabales</v>
      </c>
      <c r="M295" s="45" t="str">
        <f>'2.1. DM'!M295</f>
        <v>Shurb_Tree</v>
      </c>
      <c r="N295" s="21" t="str">
        <f>'2.1. DM'!N295</f>
        <v>64,65,71</v>
      </c>
      <c r="O295" s="21" t="str">
        <f>'2.1. DM'!O295</f>
        <v>OT-002(2026)</v>
      </c>
      <c r="P295" s="19" t="s">
        <v>496</v>
      </c>
      <c r="Q295" s="30">
        <v>61.391641818631058</v>
      </c>
      <c r="R295" s="341">
        <f t="shared" si="5"/>
        <v>62.853390322879953</v>
      </c>
    </row>
    <row r="296" spans="2:18" x14ac:dyDescent="0.35">
      <c r="B296" s="6"/>
      <c r="C296" s="21">
        <f>'2.1. DM'!C296</f>
        <v>46062</v>
      </c>
      <c r="D296" s="21" t="str">
        <f>'2.1. DM'!D296</f>
        <v>Genbank</v>
      </c>
      <c r="E296" s="45">
        <f>'2.1. DM'!E296</f>
        <v>30</v>
      </c>
      <c r="F296" s="21" t="str">
        <f>'2.1. DM'!F296</f>
        <v>F260040</v>
      </c>
      <c r="G296" s="21" t="str">
        <f>'2.1. DM'!G296</f>
        <v>CIAT23414</v>
      </c>
      <c r="H296" s="21" t="str">
        <f>'2.1. DM'!H296</f>
        <v>Codariocalyx</v>
      </c>
      <c r="I296" s="21" t="str">
        <f>'2.1. DM'!I296</f>
        <v>motorius</v>
      </c>
      <c r="J296" s="21" t="str">
        <f>'2.1. DM'!J296</f>
        <v>Codariocalyx motorius</v>
      </c>
      <c r="K296" s="45" t="str">
        <f>'2.1. DM'!K296</f>
        <v>Fabaceae</v>
      </c>
      <c r="L296" s="45" t="str">
        <f>'2.1. DM'!L296</f>
        <v>Fabales</v>
      </c>
      <c r="M296" s="45" t="str">
        <f>'2.1. DM'!M296</f>
        <v>Shurb_Tree</v>
      </c>
      <c r="N296" s="21" t="str">
        <f>'2.1. DM'!N296</f>
        <v>64,65,71</v>
      </c>
      <c r="O296" s="21" t="str">
        <f>'2.1. DM'!O296</f>
        <v>OT-002(2026)</v>
      </c>
      <c r="P296" s="19" t="s">
        <v>496</v>
      </c>
      <c r="Q296" s="30">
        <v>64.315138827128848</v>
      </c>
      <c r="R296" s="341"/>
    </row>
    <row r="297" spans="2:18" x14ac:dyDescent="0.35">
      <c r="B297" s="6"/>
      <c r="C297" s="21">
        <f>'2.1. DM'!C297</f>
        <v>46062</v>
      </c>
      <c r="D297" s="21" t="str">
        <f>'2.1. DM'!D297</f>
        <v>Genbank</v>
      </c>
      <c r="E297" s="45">
        <f>'2.1. DM'!E297</f>
        <v>30</v>
      </c>
      <c r="F297" s="21" t="str">
        <f>'2.1. DM'!F297</f>
        <v>F260041</v>
      </c>
      <c r="G297" s="21" t="str">
        <f>'2.1. DM'!G297</f>
        <v>CIAT23767</v>
      </c>
      <c r="H297" s="21" t="str">
        <f>'2.1. DM'!H297</f>
        <v>Desmodium</v>
      </c>
      <c r="I297" s="21" t="str">
        <f>'2.1. DM'!I297</f>
        <v>nicaraguense</v>
      </c>
      <c r="J297" s="21" t="str">
        <f>'2.1. DM'!J297</f>
        <v>Desmodium nicaraguense</v>
      </c>
      <c r="K297" s="45" t="str">
        <f>'2.1. DM'!K297</f>
        <v>Fabaceae</v>
      </c>
      <c r="L297" s="45" t="str">
        <f>'2.1. DM'!L297</f>
        <v>Fabales</v>
      </c>
      <c r="M297" s="45" t="str">
        <f>'2.1. DM'!M297</f>
        <v>Shurb_Tree</v>
      </c>
      <c r="N297" s="21" t="str">
        <f>'2.1. DM'!N297</f>
        <v>64,65,71</v>
      </c>
      <c r="O297" s="21" t="str">
        <f>'2.1. DM'!O297</f>
        <v>OT-002(2026)</v>
      </c>
      <c r="P297" s="19" t="s">
        <v>496</v>
      </c>
      <c r="Q297" s="30">
        <v>55.906290743822026</v>
      </c>
      <c r="R297" s="341">
        <f t="shared" si="5"/>
        <v>54.717309601086242</v>
      </c>
    </row>
    <row r="298" spans="2:18" x14ac:dyDescent="0.35">
      <c r="B298" s="6"/>
      <c r="C298" s="21">
        <f>'2.1. DM'!C298</f>
        <v>46062</v>
      </c>
      <c r="D298" s="21" t="str">
        <f>'2.1. DM'!D298</f>
        <v>Genbank</v>
      </c>
      <c r="E298" s="45">
        <f>'2.1. DM'!E298</f>
        <v>30</v>
      </c>
      <c r="F298" s="21" t="str">
        <f>'2.1. DM'!F298</f>
        <v>F260041</v>
      </c>
      <c r="G298" s="21" t="str">
        <f>'2.1. DM'!G298</f>
        <v>CIAT23767</v>
      </c>
      <c r="H298" s="21" t="str">
        <f>'2.1. DM'!H298</f>
        <v>Desmodium</v>
      </c>
      <c r="I298" s="21" t="str">
        <f>'2.1. DM'!I298</f>
        <v>nicaraguense</v>
      </c>
      <c r="J298" s="21" t="str">
        <f>'2.1. DM'!J298</f>
        <v>Desmodium nicaraguense</v>
      </c>
      <c r="K298" s="45" t="str">
        <f>'2.1. DM'!K298</f>
        <v>Fabaceae</v>
      </c>
      <c r="L298" s="45" t="str">
        <f>'2.1. DM'!L298</f>
        <v>Fabales</v>
      </c>
      <c r="M298" s="45" t="str">
        <f>'2.1. DM'!M298</f>
        <v>Shurb_Tree</v>
      </c>
      <c r="N298" s="21" t="str">
        <f>'2.1. DM'!N298</f>
        <v>64,65,71</v>
      </c>
      <c r="O298" s="21" t="str">
        <f>'2.1. DM'!O298</f>
        <v>OT-002(2026)</v>
      </c>
      <c r="P298" s="19" t="s">
        <v>496</v>
      </c>
      <c r="Q298" s="30">
        <v>53.528328458350451</v>
      </c>
      <c r="R298" s="341"/>
    </row>
    <row r="299" spans="2:18" x14ac:dyDescent="0.35">
      <c r="B299" s="6"/>
      <c r="C299" s="21">
        <f>'2.1. DM'!C299</f>
        <v>46062</v>
      </c>
      <c r="D299" s="21" t="str">
        <f>'2.1. DM'!D299</f>
        <v>Genbank</v>
      </c>
      <c r="E299" s="45">
        <f>'2.1. DM'!E299</f>
        <v>30</v>
      </c>
      <c r="F299" s="21" t="str">
        <f>'2.1. DM'!F299</f>
        <v>F260042</v>
      </c>
      <c r="G299" s="21" t="str">
        <f>'2.1. DM'!G299</f>
        <v>CIAT33127</v>
      </c>
      <c r="H299" s="21" t="str">
        <f>'2.1. DM'!H299</f>
        <v>Codariocalyx</v>
      </c>
      <c r="I299" s="21" t="str">
        <f>'2.1. DM'!I299</f>
        <v>motorius</v>
      </c>
      <c r="J299" s="21" t="str">
        <f>'2.1. DM'!J299</f>
        <v>Codariocalyx motorius</v>
      </c>
      <c r="K299" s="45" t="str">
        <f>'2.1. DM'!K299</f>
        <v>Fabaceae</v>
      </c>
      <c r="L299" s="45" t="str">
        <f>'2.1. DM'!L299</f>
        <v>Fabales</v>
      </c>
      <c r="M299" s="45" t="str">
        <f>'2.1. DM'!M299</f>
        <v>Shurb_Tree</v>
      </c>
      <c r="N299" s="21" t="str">
        <f>'2.1. DM'!N299</f>
        <v>64,65,71</v>
      </c>
      <c r="O299" s="21" t="str">
        <f>'2.1. DM'!O299</f>
        <v>OT-002(2026)</v>
      </c>
      <c r="P299" s="19" t="s">
        <v>496</v>
      </c>
      <c r="Q299" s="30">
        <v>62.433688343794977</v>
      </c>
      <c r="R299" s="341">
        <f t="shared" si="5"/>
        <v>64.592618218934177</v>
      </c>
    </row>
    <row r="300" spans="2:18" x14ac:dyDescent="0.35">
      <c r="B300" s="6"/>
      <c r="C300" s="21">
        <f>'2.1. DM'!C300</f>
        <v>46062</v>
      </c>
      <c r="D300" s="21" t="str">
        <f>'2.1. DM'!D300</f>
        <v>Genbank</v>
      </c>
      <c r="E300" s="45">
        <f>'2.1. DM'!E300</f>
        <v>30</v>
      </c>
      <c r="F300" s="21" t="str">
        <f>'2.1. DM'!F300</f>
        <v>F260042</v>
      </c>
      <c r="G300" s="21" t="str">
        <f>'2.1. DM'!G300</f>
        <v>CIAT33127</v>
      </c>
      <c r="H300" s="21" t="str">
        <f>'2.1. DM'!H300</f>
        <v>Codariocalyx</v>
      </c>
      <c r="I300" s="21" t="str">
        <f>'2.1. DM'!I300</f>
        <v>motorius</v>
      </c>
      <c r="J300" s="21" t="str">
        <f>'2.1. DM'!J300</f>
        <v>Codariocalyx motorius</v>
      </c>
      <c r="K300" s="45" t="str">
        <f>'2.1. DM'!K300</f>
        <v>Fabaceae</v>
      </c>
      <c r="L300" s="45" t="str">
        <f>'2.1. DM'!L300</f>
        <v>Fabales</v>
      </c>
      <c r="M300" s="45" t="str">
        <f>'2.1. DM'!M300</f>
        <v>Shurb_Tree</v>
      </c>
      <c r="N300" s="21" t="str">
        <f>'2.1. DM'!N300</f>
        <v>64,65,71</v>
      </c>
      <c r="O300" s="21" t="str">
        <f>'2.1. DM'!O300</f>
        <v>OT-002(2026)</v>
      </c>
      <c r="P300" s="19" t="s">
        <v>496</v>
      </c>
      <c r="Q300" s="30">
        <v>66.751548094073385</v>
      </c>
      <c r="R300" s="341"/>
    </row>
    <row r="301" spans="2:18" x14ac:dyDescent="0.35">
      <c r="B301" s="6"/>
      <c r="C301" s="21">
        <f>'2.1. DM'!C301</f>
        <v>46062</v>
      </c>
      <c r="D301" s="21" t="str">
        <f>'2.1. DM'!D301</f>
        <v>Breeding</v>
      </c>
      <c r="E301" s="45">
        <f>'2.1. DM'!E301</f>
        <v>30</v>
      </c>
      <c r="F301" s="21" t="str">
        <f>'2.1. DM'!F301</f>
        <v>F252104</v>
      </c>
      <c r="G301" s="21" t="str">
        <f>'2.1. DM'!G301</f>
        <v>CIAT-BR06_1348</v>
      </c>
      <c r="H301" s="21" t="str">
        <f>'2.1. DM'!H301</f>
        <v>Urochloa</v>
      </c>
      <c r="I301" s="21" t="str">
        <f>'2.1. DM'!I301</f>
        <v>interespecifico</v>
      </c>
      <c r="J301" s="21" t="str">
        <f>'2.1. DM'!J301</f>
        <v>Brachiaria interespecifico</v>
      </c>
      <c r="K301" s="45" t="str">
        <f>'2.1. DM'!K301</f>
        <v>Poaceae</v>
      </c>
      <c r="L301" s="45" t="str">
        <f>'2.1. DM'!L301</f>
        <v>Poales</v>
      </c>
      <c r="M301" s="45" t="str">
        <f>'2.1. DM'!M301</f>
        <v>grasses</v>
      </c>
      <c r="N301" s="21" t="str">
        <f>'2.1. DM'!N301</f>
        <v>64,65,71</v>
      </c>
      <c r="O301" s="21" t="str">
        <f>'2.1. DM'!O301</f>
        <v>OT-013(2025)</v>
      </c>
      <c r="P301" s="19" t="s">
        <v>496</v>
      </c>
      <c r="Q301" s="30">
        <v>59.24</v>
      </c>
      <c r="R301" s="341">
        <f t="shared" si="5"/>
        <v>59.760000000000005</v>
      </c>
    </row>
    <row r="302" spans="2:18" x14ac:dyDescent="0.35">
      <c r="B302" s="6"/>
      <c r="C302" s="21">
        <f>'2.1. DM'!C302</f>
        <v>46062</v>
      </c>
      <c r="D302" s="21" t="str">
        <f>'2.1. DM'!D302</f>
        <v>Breeding</v>
      </c>
      <c r="E302" s="45">
        <f>'2.1. DM'!E302</f>
        <v>30</v>
      </c>
      <c r="F302" s="21" t="str">
        <f>'2.1. DM'!F302</f>
        <v>F252104</v>
      </c>
      <c r="G302" s="21" t="str">
        <f>'2.1. DM'!G302</f>
        <v>CIAT-BR06_1348</v>
      </c>
      <c r="H302" s="21" t="str">
        <f>'2.1. DM'!H302</f>
        <v>Urochloa</v>
      </c>
      <c r="I302" s="21" t="str">
        <f>'2.1. DM'!I302</f>
        <v>interespecifico</v>
      </c>
      <c r="J302" s="21" t="str">
        <f>'2.1. DM'!J302</f>
        <v>Brachiaria interespecifico</v>
      </c>
      <c r="K302" s="45" t="str">
        <f>'2.1. DM'!K302</f>
        <v>Poaceae</v>
      </c>
      <c r="L302" s="45" t="str">
        <f>'2.1. DM'!L302</f>
        <v>Poales</v>
      </c>
      <c r="M302" s="45" t="str">
        <f>'2.1. DM'!M302</f>
        <v>grasses</v>
      </c>
      <c r="N302" s="21" t="str">
        <f>'2.1. DM'!N302</f>
        <v>64,65,71</v>
      </c>
      <c r="O302" s="21" t="str">
        <f>'2.1. DM'!O302</f>
        <v>OT-013(2025)</v>
      </c>
      <c r="P302" s="19" t="s">
        <v>496</v>
      </c>
      <c r="Q302" s="30">
        <v>60.28</v>
      </c>
      <c r="R302" s="341"/>
    </row>
    <row r="303" spans="2:18" x14ac:dyDescent="0.35">
      <c r="B303" s="6"/>
      <c r="C303" s="21">
        <f>'2.1. DM'!C303</f>
        <v>46062</v>
      </c>
      <c r="D303" s="21" t="str">
        <f>'2.1. DM'!D303</f>
        <v>Breeding</v>
      </c>
      <c r="E303" s="45">
        <f>'2.1. DM'!E303</f>
        <v>30</v>
      </c>
      <c r="F303" s="21" t="str">
        <f>'2.1. DM'!F303</f>
        <v>F252166</v>
      </c>
      <c r="G303" s="21" t="str">
        <f>'2.1. DM'!G303</f>
        <v>CIAT-BH22_0528</v>
      </c>
      <c r="H303" s="21" t="str">
        <f>'2.1. DM'!H303</f>
        <v>Urochloa</v>
      </c>
      <c r="I303" s="21" t="str">
        <f>'2.1. DM'!I303</f>
        <v>humidicola</v>
      </c>
      <c r="J303" s="21" t="str">
        <f>'2.1. DM'!J303</f>
        <v>Urochloa humidicola</v>
      </c>
      <c r="K303" s="45" t="str">
        <f>'2.1. DM'!K303</f>
        <v>Poaceae</v>
      </c>
      <c r="L303" s="45" t="str">
        <f>'2.1. DM'!L303</f>
        <v>Poales</v>
      </c>
      <c r="M303" s="45" t="str">
        <f>'2.1. DM'!M303</f>
        <v>grasses</v>
      </c>
      <c r="N303" s="21" t="str">
        <f>'2.1. DM'!N303</f>
        <v>64,65,71</v>
      </c>
      <c r="O303" s="21" t="str">
        <f>'2.1. DM'!O303</f>
        <v>OT-020(2025)</v>
      </c>
      <c r="P303" s="19" t="s">
        <v>496</v>
      </c>
      <c r="Q303" s="30">
        <v>73.739999999999995</v>
      </c>
      <c r="R303" s="341">
        <f t="shared" si="5"/>
        <v>73.555000000000007</v>
      </c>
    </row>
    <row r="304" spans="2:18" x14ac:dyDescent="0.35">
      <c r="B304" s="6"/>
      <c r="C304" s="21">
        <f>'2.1. DM'!C304</f>
        <v>46062</v>
      </c>
      <c r="D304" s="21" t="str">
        <f>'2.1. DM'!D304</f>
        <v>Breeding</v>
      </c>
      <c r="E304" s="45">
        <f>'2.1. DM'!E304</f>
        <v>30</v>
      </c>
      <c r="F304" s="21" t="str">
        <f>'2.1. DM'!F304</f>
        <v>F252166</v>
      </c>
      <c r="G304" s="21" t="str">
        <f>'2.1. DM'!G304</f>
        <v>CIAT-BH22_0528</v>
      </c>
      <c r="H304" s="21" t="str">
        <f>'2.1. DM'!H304</f>
        <v>Urochloa</v>
      </c>
      <c r="I304" s="21" t="str">
        <f>'2.1. DM'!I304</f>
        <v>humidicola</v>
      </c>
      <c r="J304" s="21" t="str">
        <f>'2.1. DM'!J304</f>
        <v>Urochloa humidicola</v>
      </c>
      <c r="K304" s="45" t="str">
        <f>'2.1. DM'!K304</f>
        <v>Poaceae</v>
      </c>
      <c r="L304" s="45" t="str">
        <f>'2.1. DM'!L304</f>
        <v>Poales</v>
      </c>
      <c r="M304" s="45" t="str">
        <f>'2.1. DM'!M304</f>
        <v>grasses</v>
      </c>
      <c r="N304" s="21" t="str">
        <f>'2.1. DM'!N304</f>
        <v>64,65,71</v>
      </c>
      <c r="O304" s="21" t="str">
        <f>'2.1. DM'!O304</f>
        <v>OT-020(2025)</v>
      </c>
      <c r="P304" s="19" t="s">
        <v>496</v>
      </c>
      <c r="Q304" s="30">
        <v>73.37</v>
      </c>
      <c r="R304" s="341"/>
    </row>
    <row r="305" spans="2:18" x14ac:dyDescent="0.35">
      <c r="B305" s="6"/>
      <c r="C305" s="21">
        <f>'2.1. DM'!C305</f>
        <v>46062</v>
      </c>
      <c r="D305" s="21" t="str">
        <f>'2.1. DM'!D305</f>
        <v>Jacobo Arango/ Alejandro Montoya</v>
      </c>
      <c r="E305" s="45">
        <f>'2.1. DM'!E305</f>
        <v>30</v>
      </c>
      <c r="F305" s="21" t="str">
        <f>'2.1. DM'!F305</f>
        <v>F250008</v>
      </c>
      <c r="G305" s="21" t="str">
        <f>'2.1. DM'!G305</f>
        <v>Sample 8</v>
      </c>
      <c r="H305" s="21" t="str">
        <f>'2.1. DM'!H305</f>
        <v>Cynodon</v>
      </c>
      <c r="I305" s="21" t="str">
        <f>'2.1. DM'!I305</f>
        <v xml:space="preserve"> nlemfuensis </v>
      </c>
      <c r="J305" s="21" t="str">
        <f>'2.1. DM'!J305</f>
        <v xml:space="preserve">Cynodon nlemfuensis </v>
      </c>
      <c r="K305" s="45" t="str">
        <f>'2.1. DM'!K305</f>
        <v>Poaceae</v>
      </c>
      <c r="L305" s="45" t="str">
        <f>'2.1. DM'!L305</f>
        <v>Poales</v>
      </c>
      <c r="M305" s="45" t="str">
        <f>'2.1. DM'!M305</f>
        <v>grasses</v>
      </c>
      <c r="N305" s="21" t="str">
        <f>'2.1. DM'!N305</f>
        <v>64,65,71</v>
      </c>
      <c r="O305" s="21" t="str">
        <f>'2.1. DM'!O305</f>
        <v>OT-001(2025)</v>
      </c>
      <c r="P305" s="19" t="s">
        <v>496</v>
      </c>
      <c r="Q305" s="30">
        <v>76.099999999999994</v>
      </c>
      <c r="R305" s="341">
        <f t="shared" si="5"/>
        <v>76.099999999999994</v>
      </c>
    </row>
    <row r="306" spans="2:18" x14ac:dyDescent="0.35">
      <c r="B306" s="6"/>
      <c r="C306" s="21">
        <f>'2.1. DM'!C306</f>
        <v>46062</v>
      </c>
      <c r="D306" s="21" t="str">
        <f>'2.1. DM'!D306</f>
        <v>Jacobo Arango/ Alejandro Montoya</v>
      </c>
      <c r="E306" s="45">
        <f>'2.1. DM'!E306</f>
        <v>30</v>
      </c>
      <c r="F306" s="21" t="str">
        <f>'2.1. DM'!F306</f>
        <v>F250008</v>
      </c>
      <c r="G306" s="21" t="str">
        <f>'2.1. DM'!G306</f>
        <v>Sample 8</v>
      </c>
      <c r="H306" s="21" t="str">
        <f>'2.1. DM'!H306</f>
        <v>Cynodon</v>
      </c>
      <c r="I306" s="21" t="str">
        <f>'2.1. DM'!I306</f>
        <v xml:space="preserve"> nlemfuensis </v>
      </c>
      <c r="J306" s="21" t="str">
        <f>'2.1. DM'!J306</f>
        <v xml:space="preserve">Cynodon nlemfuensis </v>
      </c>
      <c r="K306" s="45" t="str">
        <f>'2.1. DM'!K306</f>
        <v>Poaceae</v>
      </c>
      <c r="L306" s="45" t="str">
        <f>'2.1. DM'!L306</f>
        <v>Poales</v>
      </c>
      <c r="M306" s="45" t="str">
        <f>'2.1. DM'!M306</f>
        <v>grasses</v>
      </c>
      <c r="N306" s="21" t="str">
        <f>'2.1. DM'!N306</f>
        <v>64,65,71</v>
      </c>
      <c r="O306" s="21" t="str">
        <f>'2.1. DM'!O306</f>
        <v>OT-001(2025)</v>
      </c>
      <c r="P306" s="19" t="s">
        <v>496</v>
      </c>
      <c r="Q306" s="30">
        <v>76.099999999999994</v>
      </c>
      <c r="R306" s="341"/>
    </row>
    <row r="307" spans="2:18" x14ac:dyDescent="0.35">
      <c r="Q307" s="41"/>
    </row>
    <row r="308" spans="2:18" x14ac:dyDescent="0.35">
      <c r="Q308" s="41"/>
    </row>
  </sheetData>
  <autoFilter ref="B10:R306" xr:uid="{46ACF22E-A8B8-4A94-A6DC-ED45F24BD685}"/>
  <mergeCells count="149">
    <mergeCell ref="R283:R284"/>
    <mergeCell ref="R285:R286"/>
    <mergeCell ref="R287:R288"/>
    <mergeCell ref="R289:R290"/>
    <mergeCell ref="R291:R292"/>
    <mergeCell ref="R293:R294"/>
    <mergeCell ref="R295:R296"/>
    <mergeCell ref="R297:R298"/>
    <mergeCell ref="R299:R300"/>
    <mergeCell ref="R301:R302"/>
    <mergeCell ref="R303:R304"/>
    <mergeCell ref="R305:R306"/>
    <mergeCell ref="R241:R242"/>
    <mergeCell ref="R243:R244"/>
    <mergeCell ref="R245:R246"/>
    <mergeCell ref="R247:R248"/>
    <mergeCell ref="R249:R250"/>
    <mergeCell ref="R251:R252"/>
    <mergeCell ref="R253:R254"/>
    <mergeCell ref="R255:R256"/>
    <mergeCell ref="R257:R258"/>
    <mergeCell ref="R259:R260"/>
    <mergeCell ref="R261:R262"/>
    <mergeCell ref="R263:R264"/>
    <mergeCell ref="R265:R266"/>
    <mergeCell ref="R267:R268"/>
    <mergeCell ref="R269:R270"/>
    <mergeCell ref="R271:R272"/>
    <mergeCell ref="R273:R274"/>
    <mergeCell ref="R275:R276"/>
    <mergeCell ref="R277:R278"/>
    <mergeCell ref="R279:R280"/>
    <mergeCell ref="R281:R282"/>
    <mergeCell ref="F4:R6"/>
    <mergeCell ref="R237:R238"/>
    <mergeCell ref="R239:R240"/>
    <mergeCell ref="R219:R220"/>
    <mergeCell ref="R221:R222"/>
    <mergeCell ref="R223:R224"/>
    <mergeCell ref="R225:R226"/>
    <mergeCell ref="R227:R228"/>
    <mergeCell ref="R229:R230"/>
    <mergeCell ref="R231:R232"/>
    <mergeCell ref="R233:R234"/>
    <mergeCell ref="R235:R236"/>
    <mergeCell ref="R201:R202"/>
    <mergeCell ref="R203:R204"/>
    <mergeCell ref="R205:R206"/>
    <mergeCell ref="R207:R208"/>
    <mergeCell ref="R209:R210"/>
    <mergeCell ref="R211:R212"/>
    <mergeCell ref="R213:R214"/>
    <mergeCell ref="R215:R216"/>
    <mergeCell ref="R217:R218"/>
    <mergeCell ref="R191:R192"/>
    <mergeCell ref="R193:R194"/>
    <mergeCell ref="R195:R196"/>
    <mergeCell ref="R197:R198"/>
    <mergeCell ref="R199:R200"/>
    <mergeCell ref="R181:R182"/>
    <mergeCell ref="R183:R184"/>
    <mergeCell ref="R185:R186"/>
    <mergeCell ref="R187:R188"/>
    <mergeCell ref="R189:R190"/>
    <mergeCell ref="R43:R44"/>
    <mergeCell ref="R45:R46"/>
    <mergeCell ref="R47:R48"/>
    <mergeCell ref="R49:R50"/>
    <mergeCell ref="R51:R52"/>
    <mergeCell ref="R53:R54"/>
    <mergeCell ref="R55:R56"/>
    <mergeCell ref="R57:R58"/>
    <mergeCell ref="R165:R166"/>
    <mergeCell ref="R151:R152"/>
    <mergeCell ref="R153:R154"/>
    <mergeCell ref="R155:R156"/>
    <mergeCell ref="R157:R158"/>
    <mergeCell ref="R159:R160"/>
    <mergeCell ref="R141:R142"/>
    <mergeCell ref="R143:R144"/>
    <mergeCell ref="R145:R146"/>
    <mergeCell ref="R11:R12"/>
    <mergeCell ref="R59:R60"/>
    <mergeCell ref="R61:R62"/>
    <mergeCell ref="R63:R64"/>
    <mergeCell ref="R65:R66"/>
    <mergeCell ref="R67:R68"/>
    <mergeCell ref="R69:R70"/>
    <mergeCell ref="R71:R72"/>
    <mergeCell ref="R73:R74"/>
    <mergeCell ref="R13:R14"/>
    <mergeCell ref="R15:R16"/>
    <mergeCell ref="R17:R18"/>
    <mergeCell ref="R19:R20"/>
    <mergeCell ref="R21:R22"/>
    <mergeCell ref="R23:R24"/>
    <mergeCell ref="R25:R26"/>
    <mergeCell ref="R27:R28"/>
    <mergeCell ref="R29:R30"/>
    <mergeCell ref="R31:R32"/>
    <mergeCell ref="R33:R34"/>
    <mergeCell ref="R35:R36"/>
    <mergeCell ref="R37:R38"/>
    <mergeCell ref="R39:R40"/>
    <mergeCell ref="R41:R42"/>
    <mergeCell ref="R85:R86"/>
    <mergeCell ref="R87:R88"/>
    <mergeCell ref="R75:R76"/>
    <mergeCell ref="R77:R78"/>
    <mergeCell ref="R79:R80"/>
    <mergeCell ref="R81:R82"/>
    <mergeCell ref="R83:R84"/>
    <mergeCell ref="R89:R90"/>
    <mergeCell ref="R91:R92"/>
    <mergeCell ref="R93:R94"/>
    <mergeCell ref="R95:R96"/>
    <mergeCell ref="R97:R98"/>
    <mergeCell ref="R99:R100"/>
    <mergeCell ref="R101:R102"/>
    <mergeCell ref="R171:R172"/>
    <mergeCell ref="R173:R174"/>
    <mergeCell ref="R137:R138"/>
    <mergeCell ref="R139:R140"/>
    <mergeCell ref="R147:R148"/>
    <mergeCell ref="R149:R150"/>
    <mergeCell ref="R175:R176"/>
    <mergeCell ref="R177:R178"/>
    <mergeCell ref="R179:R180"/>
    <mergeCell ref="R161:R162"/>
    <mergeCell ref="R163:R164"/>
    <mergeCell ref="R121:R122"/>
    <mergeCell ref="R103:R104"/>
    <mergeCell ref="R105:R106"/>
    <mergeCell ref="R107:R108"/>
    <mergeCell ref="R109:R110"/>
    <mergeCell ref="R111:R112"/>
    <mergeCell ref="R113:R114"/>
    <mergeCell ref="R115:R116"/>
    <mergeCell ref="R117:R118"/>
    <mergeCell ref="R119:R120"/>
    <mergeCell ref="R167:R168"/>
    <mergeCell ref="R169:R170"/>
    <mergeCell ref="R123:R124"/>
    <mergeCell ref="R125:R126"/>
    <mergeCell ref="R127:R128"/>
    <mergeCell ref="R129:R130"/>
    <mergeCell ref="R131:R132"/>
    <mergeCell ref="R133:R134"/>
    <mergeCell ref="R135:R136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ACB88E-4882-4A99-A2AC-969F7B233B3A}">
  <dimension ref="A1:BB1239"/>
  <sheetViews>
    <sheetView zoomScaleNormal="100" zoomScaleSheetLayoutView="50" workbookViewId="0">
      <pane ySplit="10" topLeftCell="A11" activePane="bottomLeft" state="frozen"/>
      <selection pane="bottomLeft" activeCell="S10" sqref="S10"/>
    </sheetView>
  </sheetViews>
  <sheetFormatPr defaultColWidth="8.6328125" defaultRowHeight="14.5" x14ac:dyDescent="0.35"/>
  <cols>
    <col min="1" max="1" width="2.54296875" style="5" customWidth="1"/>
    <col min="2" max="2" width="9.6328125" style="15" bestFit="1" customWidth="1"/>
    <col min="3" max="3" width="12.54296875" style="15" bestFit="1" customWidth="1"/>
    <col min="4" max="4" width="20.08984375" style="15" customWidth="1"/>
    <col min="5" max="5" width="18.453125" style="15" bestFit="1" customWidth="1"/>
    <col min="6" max="6" width="17.08984375" style="15" customWidth="1"/>
    <col min="7" max="7" width="13.90625" style="15" bestFit="1" customWidth="1"/>
    <col min="8" max="8" width="28.453125" style="15" bestFit="1" customWidth="1"/>
    <col min="9" max="9" width="12.6328125" style="15" bestFit="1" customWidth="1"/>
    <col min="10" max="10" width="12" style="15" bestFit="1" customWidth="1"/>
    <col min="11" max="11" width="11.90625" style="15" customWidth="1"/>
    <col min="12" max="12" width="13.453125" style="15" bestFit="1" customWidth="1"/>
    <col min="13" max="13" width="10" style="15" customWidth="1"/>
    <col min="14" max="16" width="8.90625" style="15" customWidth="1"/>
    <col min="17" max="20" width="12.08984375" style="15" customWidth="1"/>
    <col min="21" max="21" width="11.90625" style="28" customWidth="1"/>
    <col min="22" max="22" width="11.90625" style="15" customWidth="1"/>
    <col min="23" max="23" width="11.90625" style="28" customWidth="1"/>
    <col min="24" max="26" width="11.90625" style="5" customWidth="1"/>
    <col min="27" max="27" width="11.90625" style="28" customWidth="1"/>
    <col min="28" max="29" width="11.90625" style="5" customWidth="1"/>
    <col min="30" max="30" width="11.453125" style="5" customWidth="1"/>
    <col min="31" max="38" width="10.54296875" style="15" customWidth="1"/>
    <col min="39" max="39" width="16.453125" style="5" customWidth="1"/>
    <col min="40" max="40" width="16.453125" style="15" customWidth="1"/>
    <col min="41" max="41" width="12.36328125" style="15" customWidth="1"/>
    <col min="42" max="43" width="10.54296875" style="15" customWidth="1"/>
    <col min="44" max="44" width="16.453125" style="15" customWidth="1"/>
    <col min="45" max="45" width="14.36328125" style="15" bestFit="1" customWidth="1"/>
    <col min="46" max="46" width="13.90625" style="15" bestFit="1" customWidth="1"/>
    <col min="47" max="47" width="13.453125" style="5" bestFit="1" customWidth="1"/>
    <col min="48" max="48" width="15.6328125" style="5" bestFit="1" customWidth="1"/>
    <col min="49" max="16384" width="8.6328125" style="5"/>
  </cols>
  <sheetData>
    <row r="1" spans="1:54" ht="7.5" customHeight="1" x14ac:dyDescent="0.35">
      <c r="AM1" s="15"/>
      <c r="AT1" s="5"/>
    </row>
    <row r="2" spans="1:54" ht="7.5" customHeight="1" x14ac:dyDescent="0.45"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AM2" s="15"/>
      <c r="AT2" s="5"/>
    </row>
    <row r="3" spans="1:54" ht="7.5" customHeight="1" x14ac:dyDescent="0.45">
      <c r="B3" s="29"/>
      <c r="C3" s="29"/>
      <c r="D3" s="29"/>
      <c r="F3" s="52"/>
      <c r="G3" s="338" t="s">
        <v>500</v>
      </c>
      <c r="H3" s="338"/>
      <c r="I3" s="338"/>
      <c r="J3" s="338"/>
      <c r="K3" s="338"/>
      <c r="L3" s="338"/>
      <c r="M3" s="338"/>
      <c r="N3" s="338"/>
      <c r="O3" s="338"/>
      <c r="P3" s="338"/>
      <c r="Q3" s="338"/>
      <c r="R3" s="338"/>
      <c r="S3" s="338"/>
      <c r="T3" s="338"/>
      <c r="U3" s="338"/>
      <c r="V3" s="338"/>
      <c r="W3" s="338"/>
      <c r="X3" s="338"/>
      <c r="Y3" s="338"/>
      <c r="Z3" s="338"/>
      <c r="AA3" s="338"/>
      <c r="AB3" s="338"/>
      <c r="AC3" s="338"/>
      <c r="AD3" s="338"/>
      <c r="AE3" s="338"/>
      <c r="AF3" s="338"/>
      <c r="AG3" s="338"/>
      <c r="AH3" s="338"/>
      <c r="AI3" s="338"/>
      <c r="AJ3" s="338"/>
      <c r="AK3" s="338"/>
      <c r="AL3" s="338"/>
      <c r="AM3" s="338"/>
      <c r="AN3" s="338"/>
      <c r="AO3" s="338"/>
      <c r="AP3" s="338"/>
      <c r="AQ3" s="338"/>
      <c r="AR3" s="338"/>
      <c r="AS3" s="338"/>
      <c r="AT3" s="5"/>
    </row>
    <row r="4" spans="1:54" ht="7.5" customHeight="1" x14ac:dyDescent="0.45">
      <c r="B4" s="29"/>
      <c r="C4" s="29"/>
      <c r="D4" s="29"/>
      <c r="E4" s="52"/>
      <c r="F4" s="52"/>
      <c r="G4" s="338"/>
      <c r="H4" s="338"/>
      <c r="I4" s="338"/>
      <c r="J4" s="338"/>
      <c r="K4" s="338"/>
      <c r="L4" s="338"/>
      <c r="M4" s="338"/>
      <c r="N4" s="338"/>
      <c r="O4" s="338"/>
      <c r="P4" s="338"/>
      <c r="Q4" s="338"/>
      <c r="R4" s="338"/>
      <c r="S4" s="338"/>
      <c r="T4" s="338"/>
      <c r="U4" s="338"/>
      <c r="V4" s="338"/>
      <c r="W4" s="338"/>
      <c r="X4" s="338"/>
      <c r="Y4" s="338"/>
      <c r="Z4" s="338"/>
      <c r="AA4" s="338"/>
      <c r="AB4" s="338"/>
      <c r="AC4" s="338"/>
      <c r="AD4" s="338"/>
      <c r="AE4" s="338"/>
      <c r="AF4" s="338"/>
      <c r="AG4" s="338"/>
      <c r="AH4" s="338"/>
      <c r="AI4" s="338"/>
      <c r="AJ4" s="338"/>
      <c r="AK4" s="338"/>
      <c r="AL4" s="338"/>
      <c r="AM4" s="338"/>
      <c r="AN4" s="338"/>
      <c r="AO4" s="338"/>
      <c r="AP4" s="338"/>
      <c r="AQ4" s="338"/>
      <c r="AR4" s="338"/>
      <c r="AS4" s="338"/>
      <c r="AT4" s="5"/>
    </row>
    <row r="5" spans="1:54" ht="7.5" customHeight="1" x14ac:dyDescent="0.45">
      <c r="B5" s="29"/>
      <c r="C5" s="29"/>
      <c r="D5" s="29"/>
      <c r="E5" s="52"/>
      <c r="F5" s="52"/>
      <c r="G5" s="338"/>
      <c r="H5" s="338"/>
      <c r="I5" s="338"/>
      <c r="J5" s="338"/>
      <c r="K5" s="338"/>
      <c r="L5" s="338"/>
      <c r="M5" s="338"/>
      <c r="N5" s="338"/>
      <c r="O5" s="338"/>
      <c r="P5" s="338"/>
      <c r="Q5" s="338"/>
      <c r="R5" s="338"/>
      <c r="S5" s="338"/>
      <c r="T5" s="338"/>
      <c r="U5" s="338"/>
      <c r="V5" s="338"/>
      <c r="W5" s="338"/>
      <c r="X5" s="338"/>
      <c r="Y5" s="338"/>
      <c r="Z5" s="338"/>
      <c r="AA5" s="338"/>
      <c r="AB5" s="338"/>
      <c r="AC5" s="338"/>
      <c r="AD5" s="338"/>
      <c r="AE5" s="338"/>
      <c r="AF5" s="338"/>
      <c r="AG5" s="338"/>
      <c r="AH5" s="338"/>
      <c r="AI5" s="338"/>
      <c r="AJ5" s="338"/>
      <c r="AK5" s="338"/>
      <c r="AL5" s="338"/>
      <c r="AM5" s="338"/>
      <c r="AN5" s="338"/>
      <c r="AO5" s="338"/>
      <c r="AP5" s="338"/>
      <c r="AQ5" s="338"/>
      <c r="AR5" s="338"/>
      <c r="AS5" s="338"/>
      <c r="AT5" s="5"/>
    </row>
    <row r="6" spans="1:54" ht="7.5" customHeight="1" x14ac:dyDescent="0.45">
      <c r="B6" s="29"/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AM6" s="15"/>
      <c r="AT6" s="5"/>
    </row>
    <row r="7" spans="1:54" ht="7.5" customHeight="1" x14ac:dyDescent="0.45"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AM7" s="15"/>
      <c r="AT7" s="5"/>
    </row>
    <row r="8" spans="1:54" ht="7.5" customHeight="1" x14ac:dyDescent="0.35">
      <c r="AG8" s="211">
        <f>EXP(-1.2*9.81*(1018/(9.81*10000)))</f>
        <v>0.88500675609296153</v>
      </c>
      <c r="AM8" s="15"/>
      <c r="AT8" s="5"/>
    </row>
    <row r="9" spans="1:54" ht="7.5" customHeight="1" x14ac:dyDescent="0.35">
      <c r="U9" s="222"/>
      <c r="W9" s="222"/>
      <c r="X9" s="15"/>
      <c r="Y9" s="15"/>
      <c r="Z9" s="15"/>
      <c r="AA9" s="222"/>
      <c r="AB9" s="15"/>
      <c r="AC9" s="15"/>
      <c r="AG9" s="34"/>
      <c r="AH9" s="34"/>
      <c r="AI9" s="34"/>
      <c r="AJ9" s="223"/>
      <c r="AK9" s="34"/>
      <c r="AL9" s="34"/>
      <c r="AM9" s="223"/>
      <c r="AN9" s="223"/>
      <c r="AO9" s="71"/>
      <c r="AP9" s="224"/>
      <c r="AQ9" s="224"/>
      <c r="AR9" s="225"/>
      <c r="AS9" s="225"/>
    </row>
    <row r="10" spans="1:54" s="86" customFormat="1" ht="43.5" x14ac:dyDescent="0.35">
      <c r="A10" s="79"/>
      <c r="B10" s="80" t="s">
        <v>482</v>
      </c>
      <c r="C10" s="81" t="s">
        <v>483</v>
      </c>
      <c r="D10" s="212" t="s">
        <v>3</v>
      </c>
      <c r="E10" s="81" t="s">
        <v>501</v>
      </c>
      <c r="F10" s="213" t="s">
        <v>7</v>
      </c>
      <c r="G10" s="213" t="s">
        <v>8</v>
      </c>
      <c r="H10" s="213" t="s">
        <v>9</v>
      </c>
      <c r="I10" s="276" t="s">
        <v>10</v>
      </c>
      <c r="J10" s="276" t="s">
        <v>11</v>
      </c>
      <c r="K10" s="213" t="s">
        <v>12</v>
      </c>
      <c r="L10" s="81" t="s">
        <v>502</v>
      </c>
      <c r="M10" s="81" t="s">
        <v>4</v>
      </c>
      <c r="N10" s="81" t="s">
        <v>503</v>
      </c>
      <c r="O10" s="82" t="s">
        <v>504</v>
      </c>
      <c r="P10" s="81" t="s">
        <v>490</v>
      </c>
      <c r="Q10" s="81" t="s">
        <v>505</v>
      </c>
      <c r="R10" s="83" t="s">
        <v>506</v>
      </c>
      <c r="S10" s="84" t="s">
        <v>507</v>
      </c>
      <c r="T10" s="83" t="s">
        <v>508</v>
      </c>
      <c r="U10" s="81" t="s">
        <v>509</v>
      </c>
      <c r="V10" s="81" t="s">
        <v>510</v>
      </c>
      <c r="W10" s="81" t="s">
        <v>511</v>
      </c>
      <c r="X10" s="81" t="s">
        <v>512</v>
      </c>
      <c r="Y10" s="81" t="s">
        <v>513</v>
      </c>
      <c r="Z10" s="82" t="s">
        <v>514</v>
      </c>
      <c r="AA10" s="81" t="s">
        <v>515</v>
      </c>
      <c r="AB10" s="81" t="s">
        <v>516</v>
      </c>
      <c r="AC10" s="81" t="s">
        <v>517</v>
      </c>
      <c r="AD10" s="85" t="s">
        <v>518</v>
      </c>
      <c r="AE10" s="213" t="s">
        <v>519</v>
      </c>
      <c r="AF10" s="213" t="s">
        <v>520</v>
      </c>
      <c r="AG10" s="284" t="s">
        <v>521</v>
      </c>
      <c r="AH10" s="213" t="s">
        <v>522</v>
      </c>
      <c r="AI10" s="285" t="s">
        <v>523</v>
      </c>
      <c r="AJ10" s="286" t="s">
        <v>524</v>
      </c>
      <c r="AK10" s="213" t="s">
        <v>525</v>
      </c>
      <c r="AL10" s="213" t="s">
        <v>526</v>
      </c>
      <c r="AM10" s="235" t="s">
        <v>527</v>
      </c>
      <c r="AN10" s="235" t="s">
        <v>528</v>
      </c>
      <c r="AO10" s="236" t="s">
        <v>529</v>
      </c>
      <c r="AP10" s="237" t="s">
        <v>530</v>
      </c>
      <c r="AQ10" s="237" t="s">
        <v>531</v>
      </c>
      <c r="AR10" s="238" t="s">
        <v>532</v>
      </c>
      <c r="AS10" s="238" t="s">
        <v>533</v>
      </c>
      <c r="AT10" s="238" t="s">
        <v>534</v>
      </c>
      <c r="AU10" s="239" t="s">
        <v>535</v>
      </c>
      <c r="AV10" s="239" t="s">
        <v>536</v>
      </c>
      <c r="AX10" s="87"/>
      <c r="AY10" s="87"/>
      <c r="AZ10" s="87"/>
      <c r="BA10" s="88"/>
      <c r="BB10" s="88"/>
    </row>
    <row r="11" spans="1:54" s="89" customFormat="1" x14ac:dyDescent="0.35">
      <c r="B11" s="90">
        <v>1</v>
      </c>
      <c r="C11" s="142">
        <v>46041</v>
      </c>
      <c r="D11" s="118"/>
      <c r="E11" s="145" t="s">
        <v>537</v>
      </c>
      <c r="F11" s="183" t="s">
        <v>538</v>
      </c>
      <c r="G11" s="184"/>
      <c r="H11" s="183" t="s">
        <v>537</v>
      </c>
      <c r="I11" s="189"/>
      <c r="J11" s="190"/>
      <c r="K11" s="145"/>
      <c r="L11" s="145" t="s">
        <v>539</v>
      </c>
      <c r="M11" s="119">
        <v>27</v>
      </c>
      <c r="N11" s="147">
        <v>58</v>
      </c>
      <c r="O11" s="124">
        <v>1</v>
      </c>
      <c r="P11" s="124">
        <v>1</v>
      </c>
      <c r="Q11" s="124">
        <v>181</v>
      </c>
      <c r="R11" s="147"/>
      <c r="S11" s="93"/>
      <c r="T11" s="94"/>
      <c r="U11" s="149">
        <v>0.36736111111111114</v>
      </c>
      <c r="V11" s="150">
        <v>40</v>
      </c>
      <c r="W11" s="149">
        <v>0.7</v>
      </c>
      <c r="X11" s="161">
        <v>42.5</v>
      </c>
      <c r="Y11" s="161"/>
      <c r="Z11" s="150">
        <v>40</v>
      </c>
      <c r="AA11" s="149">
        <v>0.36666666666666664</v>
      </c>
      <c r="AB11" s="150">
        <v>43.5</v>
      </c>
      <c r="AC11" s="150"/>
      <c r="AD11" s="91"/>
      <c r="AE11" s="94">
        <f>Table3.110[[#This Row],[Gas 8h, ml]]-Table3.110[[#This Row],[Gas 0h, ml]]</f>
        <v>2.5</v>
      </c>
      <c r="AF11" s="94">
        <f>Table3.110[[#This Row],[Gas 24h, ml]]-Table3.110[[#This Row],[V8 Push back, ml]]</f>
        <v>3.5</v>
      </c>
      <c r="AG11" s="94"/>
      <c r="AH11" s="94"/>
      <c r="AI11" s="94"/>
      <c r="AJ11" s="94"/>
      <c r="AK11" s="94"/>
      <c r="AL11" s="94"/>
      <c r="AM11" s="94"/>
      <c r="AN11" s="94"/>
      <c r="AO11" s="94"/>
      <c r="AP11" s="94"/>
      <c r="AQ11" s="94"/>
      <c r="AR11" s="94"/>
      <c r="AS11" s="94"/>
      <c r="AT11" s="288"/>
      <c r="AU11" s="288"/>
      <c r="AV11" s="288"/>
    </row>
    <row r="12" spans="1:54" s="89" customFormat="1" x14ac:dyDescent="0.35">
      <c r="B12" s="90">
        <f t="shared" ref="B12:B75" si="0">B11+1</f>
        <v>2</v>
      </c>
      <c r="C12" s="143">
        <v>46041</v>
      </c>
      <c r="D12" s="92"/>
      <c r="E12" s="145" t="s">
        <v>537</v>
      </c>
      <c r="F12" s="183" t="s">
        <v>538</v>
      </c>
      <c r="G12" s="184"/>
      <c r="H12" s="183" t="s">
        <v>537</v>
      </c>
      <c r="I12" s="187"/>
      <c r="J12" s="188"/>
      <c r="K12" s="145"/>
      <c r="L12" s="145" t="s">
        <v>539</v>
      </c>
      <c r="M12" s="119">
        <v>27</v>
      </c>
      <c r="N12" s="147">
        <v>58</v>
      </c>
      <c r="O12" s="124">
        <v>1</v>
      </c>
      <c r="P12" s="146">
        <v>2</v>
      </c>
      <c r="Q12" s="124">
        <v>182</v>
      </c>
      <c r="R12" s="147"/>
      <c r="S12" s="94"/>
      <c r="T12" s="94"/>
      <c r="U12" s="151">
        <v>0.36805555555555558</v>
      </c>
      <c r="V12" s="152">
        <v>39.5</v>
      </c>
      <c r="W12" s="151">
        <v>0.7</v>
      </c>
      <c r="X12" s="162">
        <v>42</v>
      </c>
      <c r="Y12" s="162"/>
      <c r="Z12" s="152">
        <v>39</v>
      </c>
      <c r="AA12" s="151">
        <v>0.36736111111111114</v>
      </c>
      <c r="AB12" s="152">
        <v>43.5</v>
      </c>
      <c r="AC12" s="152"/>
      <c r="AD12" s="96"/>
      <c r="AE12" s="94">
        <f>Table3.110[[#This Row],[Gas 8h, ml]]-Table3.110[[#This Row],[Gas 0h, ml]]</f>
        <v>2.5</v>
      </c>
      <c r="AF12" s="94">
        <f>Table3.110[[#This Row],[Gas 24h, ml]]-Table3.110[[#This Row],[V8 Push back, ml]]</f>
        <v>4.5</v>
      </c>
      <c r="AG12" s="94"/>
      <c r="AH12" s="94"/>
      <c r="AI12" s="94"/>
      <c r="AJ12" s="94"/>
      <c r="AK12" s="94"/>
      <c r="AL12" s="94"/>
      <c r="AM12" s="94"/>
      <c r="AN12" s="94"/>
      <c r="AO12" s="94"/>
      <c r="AP12" s="94"/>
      <c r="AQ12" s="94"/>
      <c r="AR12" s="94" t="s">
        <v>540</v>
      </c>
      <c r="AS12" s="94"/>
      <c r="AT12" s="288"/>
      <c r="AU12" s="288"/>
      <c r="AV12" s="288"/>
    </row>
    <row r="13" spans="1:54" s="89" customFormat="1" x14ac:dyDescent="0.35">
      <c r="B13" s="90">
        <f t="shared" si="0"/>
        <v>3</v>
      </c>
      <c r="C13" s="139">
        <v>46041</v>
      </c>
      <c r="D13" s="6" t="s">
        <v>16</v>
      </c>
      <c r="E13" s="6" t="s">
        <v>18</v>
      </c>
      <c r="F13" s="133" t="s">
        <v>19</v>
      </c>
      <c r="G13" s="133" t="s">
        <v>20</v>
      </c>
      <c r="H13" s="133" t="s">
        <v>21</v>
      </c>
      <c r="I13" s="6" t="s">
        <v>22</v>
      </c>
      <c r="J13" s="129" t="s">
        <v>23</v>
      </c>
      <c r="K13" s="129" t="s">
        <v>24</v>
      </c>
      <c r="L13" s="6" t="s">
        <v>17</v>
      </c>
      <c r="M13" s="119">
        <v>27</v>
      </c>
      <c r="N13" s="93">
        <v>58</v>
      </c>
      <c r="O13" s="6">
        <v>1</v>
      </c>
      <c r="P13" s="129">
        <v>1</v>
      </c>
      <c r="Q13" s="6">
        <v>183</v>
      </c>
      <c r="R13" s="98">
        <v>0.50070000000000003</v>
      </c>
      <c r="S13" s="94">
        <f>((Table3.110[[#This Row],[Sample weight, g]]*'2.1. DM'!Q11)/100)*1000</f>
        <v>475.32593577261707</v>
      </c>
      <c r="T13" s="94">
        <f>'3.2 Digest'!W13</f>
        <v>146.52593577261712</v>
      </c>
      <c r="U13" s="153">
        <v>0.36805555555555558</v>
      </c>
      <c r="V13" s="154">
        <v>40.5</v>
      </c>
      <c r="W13" s="153">
        <v>0.7</v>
      </c>
      <c r="X13" s="95">
        <v>71</v>
      </c>
      <c r="Y13" s="95">
        <v>12.3</v>
      </c>
      <c r="Z13" s="154">
        <v>40</v>
      </c>
      <c r="AA13" s="153">
        <v>0.36805555555555558</v>
      </c>
      <c r="AB13" s="154">
        <v>64.5</v>
      </c>
      <c r="AC13" s="154">
        <v>16.899999999999999</v>
      </c>
      <c r="AD13" s="91"/>
      <c r="AE13" s="94">
        <f>Table3.110[[#This Row],[Gas 8h, ml]]-Table3.110[[#This Row],[Gas 0h, ml]]</f>
        <v>30.5</v>
      </c>
      <c r="AF13" s="94">
        <f>Table3.110[[#This Row],[Gas 24h, ml]]-Table3.110[[#This Row],[V8 Push back, ml]]</f>
        <v>24.5</v>
      </c>
      <c r="AG13" s="94">
        <f>Table3.110[[#This Row],[GP 8h, ml]]-(AVERAGE(AE$11,AE$12,AE$62,AE$61,AE$114,AE$115))*$AG$8</f>
        <v>27.844979731721114</v>
      </c>
      <c r="AH13" s="94">
        <f>Table3.110[[#This Row],[GP 8-24h, ml]]-(AVERAGE(AF$11,AF$12,AF$62,AF$61,AF$114,AF$115))*$AG$8</f>
        <v>20.81247184961266</v>
      </c>
      <c r="AI13" s="94">
        <f>Table3.110[[#This Row],[Net gas 8-24h, ml]]+Table3.110[[#This Row],[Net gas 8h, ml]]</f>
        <v>48.657451581333774</v>
      </c>
      <c r="AJ13" s="94">
        <f>Table3.110[[#This Row],[Net gas 8h, ml]]*Table3.110[[#This Row],[CH4 8h %]]%</f>
        <v>3.4249325070016976</v>
      </c>
      <c r="AK13" s="94">
        <f>Table3.110[[#This Row],[Net gas 8-24h, ml]]*Table3.110[[#This Row],[CH4 24h, %]]%</f>
        <v>3.5173077425845389</v>
      </c>
      <c r="AL13" s="94">
        <f>Table3.110[[#This Row],[CH4 8-24h, ml]]+Table3.110[[#This Row],[CH4 8h, ml]]</f>
        <v>6.9422402495862361</v>
      </c>
      <c r="AM13" s="94">
        <f>(Table3.110[[#This Row],[Net gas 24h, ml]]/Table3.110[[#This Row],[DM Incubated, mg]])*1000</f>
        <v>102.36649826869571</v>
      </c>
      <c r="AN13" s="94">
        <f>'3.2 Digest'!X13</f>
        <v>30.826412940090677</v>
      </c>
      <c r="AO13" s="94">
        <f>Table3.110[[#This Row],[Digested feed, mg]]/Table3.110[[#This Row],[Net gas 24h, ml]]</f>
        <v>3.0113771069101398</v>
      </c>
      <c r="AP13" s="94">
        <f>Table3.110[[#This Row],[CH4 8h, ml]]/Table3.110[[#This Row],[Net gas 8h, ml]]%</f>
        <v>12.300000000000002</v>
      </c>
      <c r="AQ13" s="94">
        <f>Table3.110[[#This Row],[CH4 24h, ml]]/Table3.110[[#This Row],[Net gas 24h, ml]]%</f>
        <v>14.267578806468885</v>
      </c>
      <c r="AR13" s="94">
        <f>Table3.110[[#This Row],[CH4 24h, ml]]/Table3.110[[#This Row],[DM Incubated, mg]]*1000</f>
        <v>14.605220811908767</v>
      </c>
      <c r="AS13" s="94">
        <f>Table3.110[[#This Row],[CH4 24h, ml]]/Table3.110[[#This Row],[Digested feed, mg]]*1000</f>
        <v>47.3789176843026</v>
      </c>
      <c r="AT13" s="94">
        <f>Table3.110[[#This Row],[CH4 24h, ml]]/'3.2 Digest'!AA13</f>
        <v>-0.47819666340285472</v>
      </c>
      <c r="AU13" s="94">
        <f>((Table3.110[[#This Row],[CH4 24h, ml]]/28.9)*16.04)/Table3.110[[#This Row],[DM Incubated, mg]]*1000</f>
        <v>8.1061502360905404</v>
      </c>
      <c r="AV13" s="94">
        <f>((Table3.110[[#This Row],[CH4 24h, ml]]/28.9)*16.04)/Table3.110[[#This Row],[Digested feed, mg]]*1000</f>
        <v>26.296119019246149</v>
      </c>
      <c r="AX13" s="99"/>
    </row>
    <row r="14" spans="1:54" s="89" customFormat="1" x14ac:dyDescent="0.35">
      <c r="B14" s="90">
        <f t="shared" si="0"/>
        <v>4</v>
      </c>
      <c r="C14" s="140">
        <v>46041</v>
      </c>
      <c r="D14" s="6" t="s">
        <v>16</v>
      </c>
      <c r="E14" s="6" t="s">
        <v>18</v>
      </c>
      <c r="F14" s="133" t="s">
        <v>19</v>
      </c>
      <c r="G14" s="133" t="s">
        <v>20</v>
      </c>
      <c r="H14" s="133" t="s">
        <v>21</v>
      </c>
      <c r="I14" s="6" t="s">
        <v>22</v>
      </c>
      <c r="J14" s="129" t="s">
        <v>23</v>
      </c>
      <c r="K14" s="129" t="s">
        <v>24</v>
      </c>
      <c r="L14" s="6" t="s">
        <v>17</v>
      </c>
      <c r="M14" s="119">
        <v>27</v>
      </c>
      <c r="N14" s="93">
        <v>58</v>
      </c>
      <c r="O14" s="6">
        <v>1</v>
      </c>
      <c r="P14" s="6">
        <v>2</v>
      </c>
      <c r="Q14" s="6">
        <v>184</v>
      </c>
      <c r="R14" s="98">
        <v>0.50029999999999997</v>
      </c>
      <c r="S14" s="94">
        <f>((Table3.110[[#This Row],[Sample weight, g]]*'2.1. DM'!Q11)/100)*1000</f>
        <v>474.94620664477787</v>
      </c>
      <c r="T14" s="94">
        <f>'3.2 Digest'!W14</f>
        <v>0</v>
      </c>
      <c r="U14" s="117">
        <v>0.36875000000000002</v>
      </c>
      <c r="V14" s="155">
        <v>41</v>
      </c>
      <c r="W14" s="117">
        <v>0.7006944444444444</v>
      </c>
      <c r="X14" s="97">
        <v>71</v>
      </c>
      <c r="Y14" s="97">
        <v>13.8</v>
      </c>
      <c r="Z14" s="155">
        <v>41</v>
      </c>
      <c r="AA14" s="117">
        <v>0.36875000000000002</v>
      </c>
      <c r="AB14" s="155">
        <v>64.5</v>
      </c>
      <c r="AC14" s="155">
        <v>17.7</v>
      </c>
      <c r="AD14" s="96"/>
      <c r="AE14" s="94">
        <f>Table3.110[[#This Row],[Gas 8h, ml]]-Table3.110[[#This Row],[Gas 0h, ml]]</f>
        <v>30</v>
      </c>
      <c r="AF14" s="94">
        <f>Table3.110[[#This Row],[Gas 24h, ml]]-Table3.110[[#This Row],[V8 Push back, ml]]</f>
        <v>23.5</v>
      </c>
      <c r="AG14" s="94"/>
      <c r="AH14" s="94"/>
      <c r="AI14" s="94"/>
      <c r="AJ14" s="94"/>
      <c r="AK14" s="94"/>
      <c r="AL14" s="94"/>
      <c r="AM14" s="94"/>
      <c r="AN14" s="94"/>
      <c r="AO14" s="94"/>
      <c r="AP14" s="94"/>
      <c r="AQ14" s="94"/>
      <c r="AR14" s="94"/>
      <c r="AS14" s="94"/>
      <c r="AT14" s="94"/>
      <c r="AU14" s="94"/>
      <c r="AV14" s="94"/>
      <c r="AX14" s="99"/>
    </row>
    <row r="15" spans="1:54" s="89" customFormat="1" x14ac:dyDescent="0.35">
      <c r="B15" s="90">
        <f t="shared" si="0"/>
        <v>5</v>
      </c>
      <c r="C15" s="139">
        <v>46041</v>
      </c>
      <c r="D15" s="6" t="s">
        <v>16</v>
      </c>
      <c r="E15" s="6" t="s">
        <v>18</v>
      </c>
      <c r="F15" s="133" t="s">
        <v>19</v>
      </c>
      <c r="G15" s="133" t="s">
        <v>20</v>
      </c>
      <c r="H15" s="133" t="s">
        <v>21</v>
      </c>
      <c r="I15" s="6" t="s">
        <v>22</v>
      </c>
      <c r="J15" s="129" t="s">
        <v>23</v>
      </c>
      <c r="K15" s="129" t="s">
        <v>24</v>
      </c>
      <c r="L15" s="6" t="s">
        <v>17</v>
      </c>
      <c r="M15" s="119">
        <v>27</v>
      </c>
      <c r="N15" s="93">
        <v>58</v>
      </c>
      <c r="O15" s="6">
        <v>1</v>
      </c>
      <c r="P15" s="129">
        <v>3</v>
      </c>
      <c r="Q15" s="6">
        <v>185</v>
      </c>
      <c r="R15" s="98">
        <v>0.50049999999999994</v>
      </c>
      <c r="S15" s="94">
        <f>((Table3.110[[#This Row],[Sample weight, g]]*'2.1. DM'!Q11)/100)*1000</f>
        <v>475.13607120869744</v>
      </c>
      <c r="T15" s="94">
        <f>'3.2 Digest'!W15</f>
        <v>116.03607120869748</v>
      </c>
      <c r="U15" s="153">
        <v>0.36875000000000002</v>
      </c>
      <c r="V15" s="154">
        <v>41.5</v>
      </c>
      <c r="W15" s="153">
        <v>0.7006944444444444</v>
      </c>
      <c r="X15" s="95">
        <v>73</v>
      </c>
      <c r="Y15" s="95">
        <v>13.7</v>
      </c>
      <c r="Z15" s="154">
        <v>40.5</v>
      </c>
      <c r="AA15" s="153">
        <v>0.36944444444444446</v>
      </c>
      <c r="AB15" s="154">
        <v>64.5</v>
      </c>
      <c r="AC15" s="154">
        <v>17.8</v>
      </c>
      <c r="AD15" s="91"/>
      <c r="AE15" s="94">
        <f>Table3.110[[#This Row],[Gas 8h, ml]]-Table3.110[[#This Row],[Gas 0h, ml]]</f>
        <v>31.5</v>
      </c>
      <c r="AF15" s="94">
        <f>Table3.110[[#This Row],[Gas 24h, ml]]-Table3.110[[#This Row],[V8 Push back, ml]]</f>
        <v>24</v>
      </c>
      <c r="AG15" s="94">
        <f>Table3.110[[#This Row],[GP 8h, ml]]-(AVERAGE(AE$11,AE$12,AE$62,AE$61,AE$114,AE$115))*$AG$8</f>
        <v>28.844979731721114</v>
      </c>
      <c r="AH15" s="94">
        <f>Table3.110[[#This Row],[GP 8-24h, ml]]-(AVERAGE(AF$11,AF$12,AF$62,AF$61,AF$114,AF$115))*$AG$8</f>
        <v>20.31247184961266</v>
      </c>
      <c r="AI15" s="94">
        <f>Table3.110[[#This Row],[Net gas 8-24h, ml]]+Table3.110[[#This Row],[Net gas 8h, ml]]</f>
        <v>49.157451581333774</v>
      </c>
      <c r="AJ15" s="94">
        <f>Table3.110[[#This Row],[Net gas 8h, ml]]*Table3.110[[#This Row],[CH4 8h %]]%</f>
        <v>3.9517622232457921</v>
      </c>
      <c r="AK15" s="94">
        <f>Table3.110[[#This Row],[Net gas 8-24h, ml]]*Table3.110[[#This Row],[CH4 24h, %]]%</f>
        <v>3.6156199892310537</v>
      </c>
      <c r="AL15" s="94">
        <f>Table3.110[[#This Row],[CH4 8-24h, ml]]+Table3.110[[#This Row],[CH4 8h, ml]]</f>
        <v>7.5673822124768453</v>
      </c>
      <c r="AM15" s="94">
        <f>(Table3.110[[#This Row],[Net gas 24h, ml]]/Table3.110[[#This Row],[DM Incubated, mg]])*1000</f>
        <v>103.45973408476915</v>
      </c>
      <c r="AN15" s="94">
        <f>'3.2 Digest'!X15</f>
        <v>24.421650604954831</v>
      </c>
      <c r="AO15" s="94">
        <f>Table3.110[[#This Row],[Digested feed, mg]]/Table3.110[[#This Row],[Net gas 24h, ml]]</f>
        <v>2.3604981030538017</v>
      </c>
      <c r="AP15" s="94">
        <f>Table3.110[[#This Row],[CH4 8h, ml]]/Table3.110[[#This Row],[Net gas 8h, ml]]%</f>
        <v>13.699999999999998</v>
      </c>
      <c r="AQ15" s="94">
        <f>Table3.110[[#This Row],[CH4 24h, ml]]/Table3.110[[#This Row],[Net gas 24h, ml]]%</f>
        <v>15.394171115555462</v>
      </c>
      <c r="AR15" s="94">
        <f>Table3.110[[#This Row],[CH4 24h, ml]]/Table3.110[[#This Row],[DM Incubated, mg]]*1000</f>
        <v>15.926768500708022</v>
      </c>
      <c r="AS15" s="94">
        <f>Table3.110[[#This Row],[CH4 24h, ml]]/Table3.110[[#This Row],[Digested feed, mg]]*1000</f>
        <v>65.215774143770147</v>
      </c>
      <c r="AT15" s="94">
        <f>Table3.110[[#This Row],[CH4 24h, ml]]/'3.2 Digest'!AA15</f>
        <v>-0.3012410390466268</v>
      </c>
      <c r="AU15" s="94">
        <f>((Table3.110[[#This Row],[CH4 24h, ml]]/28.9)*16.04)/Table3.110[[#This Row],[DM Incubated, mg]]*1000</f>
        <v>8.8396320675209914</v>
      </c>
      <c r="AV15" s="94">
        <f>((Table3.110[[#This Row],[CH4 24h, ml]]/28.9)*16.04)/Table3.110[[#This Row],[Digested feed, mg]]*1000</f>
        <v>36.195882950383158</v>
      </c>
      <c r="AX15" s="99"/>
    </row>
    <row r="16" spans="1:54" s="89" customFormat="1" x14ac:dyDescent="0.35">
      <c r="B16" s="90">
        <f t="shared" si="0"/>
        <v>6</v>
      </c>
      <c r="C16" s="140">
        <v>46041</v>
      </c>
      <c r="D16" s="6" t="s">
        <v>16</v>
      </c>
      <c r="E16" s="6" t="s">
        <v>28</v>
      </c>
      <c r="F16" s="133" t="s">
        <v>19</v>
      </c>
      <c r="G16" s="133" t="s">
        <v>29</v>
      </c>
      <c r="H16" s="133" t="s">
        <v>30</v>
      </c>
      <c r="I16" s="6" t="s">
        <v>22</v>
      </c>
      <c r="J16" s="129" t="s">
        <v>23</v>
      </c>
      <c r="K16" s="129" t="s">
        <v>24</v>
      </c>
      <c r="L16" s="6" t="s">
        <v>27</v>
      </c>
      <c r="M16" s="119">
        <v>27</v>
      </c>
      <c r="N16" s="93">
        <v>58</v>
      </c>
      <c r="O16" s="6">
        <v>1</v>
      </c>
      <c r="P16" s="129">
        <v>1</v>
      </c>
      <c r="Q16" s="6">
        <v>186</v>
      </c>
      <c r="R16" s="98">
        <v>0.5</v>
      </c>
      <c r="S16" s="94">
        <f>((Table3.110[[#This Row],[Sample weight, g]]*'2.1. DM'!Q13)/100)*1000</f>
        <v>475.22870438411098</v>
      </c>
      <c r="T16" s="94">
        <f>'3.2 Digest'!W16</f>
        <v>92.228704384110983</v>
      </c>
      <c r="U16" s="117">
        <v>0.36875000000000002</v>
      </c>
      <c r="V16" s="155">
        <v>41</v>
      </c>
      <c r="W16" s="117">
        <v>0.70208333333333328</v>
      </c>
      <c r="X16" s="97">
        <v>69.5</v>
      </c>
      <c r="Y16" s="97">
        <v>12.4</v>
      </c>
      <c r="Z16" s="155">
        <v>40.5</v>
      </c>
      <c r="AA16" s="117">
        <v>0.37013888888888891</v>
      </c>
      <c r="AB16" s="155">
        <v>57.5</v>
      </c>
      <c r="AC16" s="155">
        <v>16.600000000000001</v>
      </c>
      <c r="AD16" s="96"/>
      <c r="AE16" s="94">
        <f>Table3.110[[#This Row],[Gas 8h, ml]]-Table3.110[[#This Row],[Gas 0h, ml]]</f>
        <v>28.5</v>
      </c>
      <c r="AF16" s="94">
        <f>Table3.110[[#This Row],[Gas 24h, ml]]-Table3.110[[#This Row],[V8 Push back, ml]]</f>
        <v>17</v>
      </c>
      <c r="AG16" s="94">
        <f>Table3.110[[#This Row],[GP 8h, ml]]-(AVERAGE(AE$11,AE$12,AE$62,AE$61,AE$114,AE$115))*$AG$8</f>
        <v>25.844979731721114</v>
      </c>
      <c r="AH16" s="94">
        <f>Table3.110[[#This Row],[GP 8-24h, ml]]-(AVERAGE(AF$11,AF$12,AF$62,AF$61,AF$114,AF$115))*$AG$8</f>
        <v>13.31247184961266</v>
      </c>
      <c r="AI16" s="94">
        <f>Table3.110[[#This Row],[Net gas 8-24h, ml]]+Table3.110[[#This Row],[Net gas 8h, ml]]</f>
        <v>39.157451581333774</v>
      </c>
      <c r="AJ16" s="94">
        <f>Table3.110[[#This Row],[Net gas 8h, ml]]*Table3.110[[#This Row],[CH4 8h %]]%</f>
        <v>3.204777486733418</v>
      </c>
      <c r="AK16" s="94">
        <f>Table3.110[[#This Row],[Net gas 8-24h, ml]]*Table3.110[[#This Row],[CH4 24h, %]]%</f>
        <v>2.2098703270357016</v>
      </c>
      <c r="AL16" s="94">
        <f>Table3.110[[#This Row],[CH4 8-24h, ml]]+Table3.110[[#This Row],[CH4 8h, ml]]</f>
        <v>5.4146478137691201</v>
      </c>
      <c r="AM16" s="94">
        <f>(Table3.110[[#This Row],[Net gas 24h, ml]]/Table3.110[[#This Row],[DM Incubated, mg]])*1000</f>
        <v>82.39706739112323</v>
      </c>
      <c r="AN16" s="94">
        <f>'3.2 Digest'!X16</f>
        <v>19.407225096732731</v>
      </c>
      <c r="AO16" s="94">
        <f>Table3.110[[#This Row],[Digested feed, mg]]/Table3.110[[#This Row],[Net gas 24h, ml]]</f>
        <v>2.3553295901430955</v>
      </c>
      <c r="AP16" s="94">
        <f>Table3.110[[#This Row],[CH4 8h, ml]]/Table3.110[[#This Row],[Net gas 8h, ml]]%</f>
        <v>12.4</v>
      </c>
      <c r="AQ16" s="94">
        <f>Table3.110[[#This Row],[CH4 24h, ml]]/Table3.110[[#This Row],[Net gas 24h, ml]]%</f>
        <v>13.827886124106872</v>
      </c>
      <c r="AR16" s="94">
        <f>Table3.110[[#This Row],[CH4 24h, ml]]/Table3.110[[#This Row],[DM Incubated, mg]]*1000</f>
        <v>11.393772648448119</v>
      </c>
      <c r="AS16" s="94">
        <f>Table3.110[[#This Row],[CH4 24h, ml]]/Table3.110[[#This Row],[Digested feed, mg]]*1000</f>
        <v>58.708922020831807</v>
      </c>
      <c r="AT16" s="94">
        <f>Table3.110[[#This Row],[CH4 24h, ml]]/'3.2 Digest'!AA16</f>
        <v>-0.12987802927253467</v>
      </c>
      <c r="AU16" s="94">
        <f>((Table3.110[[#This Row],[CH4 24h, ml]]/28.9)*16.04)/Table3.110[[#This Row],[DM Incubated, mg]]*1000</f>
        <v>6.323740943982969</v>
      </c>
      <c r="AV16" s="94">
        <f>((Table3.110[[#This Row],[CH4 24h, ml]]/28.9)*16.04)/Table3.110[[#This Row],[Digested feed, mg]]*1000</f>
        <v>32.584467446856131</v>
      </c>
      <c r="AX16" s="99"/>
    </row>
    <row r="17" spans="2:50" s="89" customFormat="1" x14ac:dyDescent="0.35">
      <c r="B17" s="90">
        <f t="shared" si="0"/>
        <v>7</v>
      </c>
      <c r="C17" s="139">
        <v>46041</v>
      </c>
      <c r="D17" s="6" t="s">
        <v>16</v>
      </c>
      <c r="E17" s="6" t="s">
        <v>28</v>
      </c>
      <c r="F17" s="133" t="s">
        <v>19</v>
      </c>
      <c r="G17" s="133" t="s">
        <v>29</v>
      </c>
      <c r="H17" s="133" t="s">
        <v>30</v>
      </c>
      <c r="I17" s="6" t="s">
        <v>22</v>
      </c>
      <c r="J17" s="129" t="s">
        <v>23</v>
      </c>
      <c r="K17" s="129" t="s">
        <v>24</v>
      </c>
      <c r="L17" s="6" t="s">
        <v>27</v>
      </c>
      <c r="M17" s="119">
        <v>27</v>
      </c>
      <c r="N17" s="93">
        <v>58</v>
      </c>
      <c r="O17" s="6">
        <v>1</v>
      </c>
      <c r="P17" s="6">
        <v>2</v>
      </c>
      <c r="Q17" s="6">
        <v>187</v>
      </c>
      <c r="R17" s="98">
        <v>0.50049999999999994</v>
      </c>
      <c r="S17" s="94">
        <f>((Table3.110[[#This Row],[Sample weight, g]]*'2.1. DM'!Q13)/100)*1000</f>
        <v>475.70393308849503</v>
      </c>
      <c r="T17" s="94">
        <f>'3.2 Digest'!W17</f>
        <v>115.20393308849498</v>
      </c>
      <c r="U17" s="153">
        <v>0.36944444444444446</v>
      </c>
      <c r="V17" s="154">
        <v>41</v>
      </c>
      <c r="W17" s="153">
        <v>0.70208333333333328</v>
      </c>
      <c r="X17" s="95">
        <v>66.5</v>
      </c>
      <c r="Y17" s="95">
        <v>13.5</v>
      </c>
      <c r="Z17" s="154">
        <v>40</v>
      </c>
      <c r="AA17" s="153">
        <v>0.37083333333333335</v>
      </c>
      <c r="AB17" s="154">
        <v>57</v>
      </c>
      <c r="AC17" s="154">
        <v>16.600000000000001</v>
      </c>
      <c r="AD17" s="91"/>
      <c r="AE17" s="94">
        <f>Table3.110[[#This Row],[Gas 8h, ml]]-Table3.110[[#This Row],[Gas 0h, ml]]</f>
        <v>25.5</v>
      </c>
      <c r="AF17" s="94">
        <f>Table3.110[[#This Row],[Gas 24h, ml]]-Table3.110[[#This Row],[V8 Push back, ml]]</f>
        <v>17</v>
      </c>
      <c r="AG17" s="94">
        <f>Table3.110[[#This Row],[GP 8h, ml]]-(AVERAGE(AE$11,AE$12,AE$62,AE$61,AE$114,AE$115))*$AG$8</f>
        <v>22.844979731721114</v>
      </c>
      <c r="AH17" s="94">
        <f>Table3.110[[#This Row],[GP 8-24h, ml]]-(AVERAGE(AF$11,AF$12,AF$62,AF$61,AF$114,AF$115))*$AG$8</f>
        <v>13.31247184961266</v>
      </c>
      <c r="AI17" s="94">
        <f>Table3.110[[#This Row],[Net gas 8-24h, ml]]+Table3.110[[#This Row],[Net gas 8h, ml]]</f>
        <v>36.157451581333774</v>
      </c>
      <c r="AJ17" s="94">
        <f>Table3.110[[#This Row],[Net gas 8h, ml]]*Table3.110[[#This Row],[CH4 8h %]]%</f>
        <v>3.0840722637823506</v>
      </c>
      <c r="AK17" s="94">
        <f>Table3.110[[#This Row],[Net gas 8-24h, ml]]*Table3.110[[#This Row],[CH4 24h, %]]%</f>
        <v>2.2098703270357016</v>
      </c>
      <c r="AL17" s="94">
        <f>Table3.110[[#This Row],[CH4 8-24h, ml]]+Table3.110[[#This Row],[CH4 8h, ml]]</f>
        <v>5.2939425908180517</v>
      </c>
      <c r="AM17" s="94">
        <f>(Table3.110[[#This Row],[Net gas 24h, ml]]/Table3.110[[#This Row],[DM Incubated, mg]])*1000</f>
        <v>76.008309089610606</v>
      </c>
      <c r="AN17" s="94">
        <f>'3.2 Digest'!X17</f>
        <v>24.217570021028948</v>
      </c>
      <c r="AO17" s="94">
        <f>Table3.110[[#This Row],[Digested feed, mg]]/Table3.110[[#This Row],[Net gas 24h, ml]]</f>
        <v>3.1861740263788065</v>
      </c>
      <c r="AP17" s="94">
        <f>Table3.110[[#This Row],[CH4 8h, ml]]/Table3.110[[#This Row],[Net gas 8h, ml]]%</f>
        <v>13.5</v>
      </c>
      <c r="AQ17" s="94">
        <f>Table3.110[[#This Row],[CH4 24h, ml]]/Table3.110[[#This Row],[Net gas 24h, ml]]%</f>
        <v>14.641359828442781</v>
      </c>
      <c r="AR17" s="94">
        <f>Table3.110[[#This Row],[CH4 24h, ml]]/Table3.110[[#This Row],[DM Incubated, mg]]*1000</f>
        <v>11.128650033324869</v>
      </c>
      <c r="AS17" s="94">
        <f>Table3.110[[#This Row],[CH4 24h, ml]]/Table3.110[[#This Row],[Digested feed, mg]]*1000</f>
        <v>45.952793875114146</v>
      </c>
      <c r="AT17" s="94">
        <f>Table3.110[[#This Row],[CH4 24h, ml]]/'3.2 Digest'!AA17</f>
        <v>-0.15929690468759705</v>
      </c>
      <c r="AU17" s="94">
        <f>((Table3.110[[#This Row],[CH4 24h, ml]]/28.9)*16.04)/Table3.110[[#This Row],[DM Incubated, mg]]*1000</f>
        <v>6.1765933056931113</v>
      </c>
      <c r="AV17" s="94">
        <f>((Table3.110[[#This Row],[CH4 24h, ml]]/28.9)*16.04)/Table3.110[[#This Row],[Digested feed, mg]]*1000</f>
        <v>25.504595631724253</v>
      </c>
      <c r="AX17" s="99"/>
    </row>
    <row r="18" spans="2:50" s="89" customFormat="1" x14ac:dyDescent="0.35">
      <c r="B18" s="90">
        <f t="shared" si="0"/>
        <v>8</v>
      </c>
      <c r="C18" s="140">
        <v>46041</v>
      </c>
      <c r="D18" s="6" t="s">
        <v>16</v>
      </c>
      <c r="E18" s="6" t="s">
        <v>28</v>
      </c>
      <c r="F18" s="133" t="s">
        <v>19</v>
      </c>
      <c r="G18" s="133" t="s">
        <v>29</v>
      </c>
      <c r="H18" s="133" t="s">
        <v>30</v>
      </c>
      <c r="I18" s="6" t="s">
        <v>22</v>
      </c>
      <c r="J18" s="129" t="s">
        <v>23</v>
      </c>
      <c r="K18" s="129" t="s">
        <v>24</v>
      </c>
      <c r="L18" s="6" t="s">
        <v>27</v>
      </c>
      <c r="M18" s="119">
        <v>27</v>
      </c>
      <c r="N18" s="93">
        <v>58</v>
      </c>
      <c r="O18" s="6">
        <v>1</v>
      </c>
      <c r="P18" s="129">
        <v>3</v>
      </c>
      <c r="Q18" s="6">
        <v>188</v>
      </c>
      <c r="R18" s="98">
        <v>0.50039999999999996</v>
      </c>
      <c r="S18" s="100">
        <f>((Table3.110[[#This Row],[Sample weight, g]]*'2.1. DM'!Q13)/100)*1000</f>
        <v>475.60888734761824</v>
      </c>
      <c r="T18" s="94">
        <f>'3.2 Digest'!W18</f>
        <v>126.90888734761825</v>
      </c>
      <c r="U18" s="117">
        <v>0.36944444444444446</v>
      </c>
      <c r="V18" s="155">
        <v>41</v>
      </c>
      <c r="W18" s="117">
        <v>0.70277777777777772</v>
      </c>
      <c r="X18" s="97">
        <v>67.5</v>
      </c>
      <c r="Y18" s="97">
        <v>12.9</v>
      </c>
      <c r="Z18" s="155">
        <v>40</v>
      </c>
      <c r="AA18" s="117">
        <v>0.37083333333333335</v>
      </c>
      <c r="AB18" s="155">
        <v>58</v>
      </c>
      <c r="AC18" s="155">
        <v>16.7</v>
      </c>
      <c r="AD18" s="96"/>
      <c r="AE18" s="94">
        <f>Table3.110[[#This Row],[Gas 8h, ml]]-Table3.110[[#This Row],[Gas 0h, ml]]</f>
        <v>26.5</v>
      </c>
      <c r="AF18" s="94">
        <f>Table3.110[[#This Row],[Gas 24h, ml]]-Table3.110[[#This Row],[V8 Push back, ml]]</f>
        <v>18</v>
      </c>
      <c r="AG18" s="94">
        <f>Table3.110[[#This Row],[GP 8h, ml]]-(AVERAGE(AE$11,AE$12,AE$62,AE$61,AE$114,AE$115))*$AG$8</f>
        <v>23.844979731721114</v>
      </c>
      <c r="AH18" s="94">
        <f>Table3.110[[#This Row],[GP 8-24h, ml]]-(AVERAGE(AF$11,AF$12,AF$62,AF$61,AF$114,AF$115))*$AG$8</f>
        <v>14.31247184961266</v>
      </c>
      <c r="AI18" s="94">
        <f>Table3.110[[#This Row],[Net gas 8-24h, ml]]+Table3.110[[#This Row],[Net gas 8h, ml]]</f>
        <v>38.157451581333774</v>
      </c>
      <c r="AJ18" s="94">
        <f>Table3.110[[#This Row],[Net gas 8h, ml]]*Table3.110[[#This Row],[CH4 8h %]]%</f>
        <v>3.076002385392024</v>
      </c>
      <c r="AK18" s="94">
        <f>Table3.110[[#This Row],[Net gas 8-24h, ml]]*Table3.110[[#This Row],[CH4 24h, %]]%</f>
        <v>2.3901827988853137</v>
      </c>
      <c r="AL18" s="94">
        <f>Table3.110[[#This Row],[CH4 8-24h, ml]]+Table3.110[[#This Row],[CH4 8h, ml]]</f>
        <v>5.4661851842773377</v>
      </c>
      <c r="AM18" s="94">
        <f>(Table3.110[[#This Row],[Net gas 24h, ml]]/Table3.110[[#This Row],[DM Incubated, mg]])*1000</f>
        <v>80.228634486060045</v>
      </c>
      <c r="AN18" s="94">
        <f>'3.2 Digest'!X18</f>
        <v>26.683455823410991</v>
      </c>
      <c r="AO18" s="94">
        <f>Table3.110[[#This Row],[Digested feed, mg]]/Table3.110[[#This Row],[Net gas 24h, ml]]</f>
        <v>3.3259267086301105</v>
      </c>
      <c r="AP18" s="94">
        <f>Table3.110[[#This Row],[CH4 8h, ml]]/Table3.110[[#This Row],[Net gas 8h, ml]]%</f>
        <v>12.900000000000002</v>
      </c>
      <c r="AQ18" s="94">
        <f>Table3.110[[#This Row],[CH4 24h, ml]]/Table3.110[[#This Row],[Net gas 24h, ml]]%</f>
        <v>14.32534133634684</v>
      </c>
      <c r="AR18" s="94">
        <f>Table3.110[[#This Row],[CH4 24h, ml]]/Table3.110[[#This Row],[DM Incubated, mg]]*1000</f>
        <v>11.493025739618176</v>
      </c>
      <c r="AS18" s="94">
        <f>Table3.110[[#This Row],[CH4 24h, ml]]/Table3.110[[#This Row],[Digested feed, mg]]*1000</f>
        <v>43.071728848310038</v>
      </c>
      <c r="AT18" s="94">
        <f>Table3.110[[#This Row],[CH4 24h, ml]]/'3.2 Digest'!AA18</f>
        <v>-0.18915508405322065</v>
      </c>
      <c r="AU18" s="94">
        <f>((Table3.110[[#This Row],[CH4 24h, ml]]/28.9)*16.04)/Table3.110[[#This Row],[DM Incubated, mg]]*1000</f>
        <v>6.3788281267638602</v>
      </c>
      <c r="AV18" s="94">
        <f>((Table3.110[[#This Row],[CH4 24h, ml]]/28.9)*16.04)/Table3.110[[#This Row],[Digested feed, mg]]*1000</f>
        <v>23.905554696432286</v>
      </c>
      <c r="AX18" s="99"/>
    </row>
    <row r="19" spans="2:50" s="89" customFormat="1" x14ac:dyDescent="0.35">
      <c r="B19" s="90">
        <f t="shared" si="0"/>
        <v>9</v>
      </c>
      <c r="C19" s="139">
        <v>46041</v>
      </c>
      <c r="D19" s="6" t="s">
        <v>16</v>
      </c>
      <c r="E19" s="6" t="s">
        <v>32</v>
      </c>
      <c r="F19" s="133" t="s">
        <v>19</v>
      </c>
      <c r="G19" s="133" t="s">
        <v>20</v>
      </c>
      <c r="H19" s="133" t="s">
        <v>21</v>
      </c>
      <c r="I19" s="6" t="s">
        <v>22</v>
      </c>
      <c r="J19" s="129" t="s">
        <v>23</v>
      </c>
      <c r="K19" s="129" t="s">
        <v>24</v>
      </c>
      <c r="L19" s="6" t="s">
        <v>31</v>
      </c>
      <c r="M19" s="119">
        <v>27</v>
      </c>
      <c r="N19" s="93">
        <v>58</v>
      </c>
      <c r="O19" s="6">
        <v>1</v>
      </c>
      <c r="P19" s="129">
        <v>1</v>
      </c>
      <c r="Q19" s="6">
        <v>189</v>
      </c>
      <c r="R19" s="98">
        <v>0.50070000000000003</v>
      </c>
      <c r="S19" s="94">
        <f>((Table3.110[[#This Row],[Sample weight, g]]*'2.1. DM'!Q15)/100)*1000</f>
        <v>472.44541476262469</v>
      </c>
      <c r="T19" s="94">
        <f>'3.2 Digest'!W19</f>
        <v>129.84541476262467</v>
      </c>
      <c r="U19" s="153">
        <v>0.37013888888888891</v>
      </c>
      <c r="V19" s="154">
        <v>41.5</v>
      </c>
      <c r="W19" s="153">
        <v>0.70347222222222228</v>
      </c>
      <c r="X19" s="95">
        <v>73</v>
      </c>
      <c r="Y19" s="95">
        <v>13.2</v>
      </c>
      <c r="Z19" s="154">
        <v>40</v>
      </c>
      <c r="AA19" s="153">
        <v>0.37083333333333335</v>
      </c>
      <c r="AB19" s="154">
        <v>71</v>
      </c>
      <c r="AC19" s="154">
        <v>17.3</v>
      </c>
      <c r="AD19" s="91"/>
      <c r="AE19" s="94">
        <f>Table3.110[[#This Row],[Gas 8h, ml]]-Table3.110[[#This Row],[Gas 0h, ml]]</f>
        <v>31.5</v>
      </c>
      <c r="AF19" s="94">
        <f>Table3.110[[#This Row],[Gas 24h, ml]]-Table3.110[[#This Row],[V8 Push back, ml]]</f>
        <v>31</v>
      </c>
      <c r="AG19" s="94">
        <f>Table3.110[[#This Row],[GP 8h, ml]]-(AVERAGE(AE$11,AE$12,AE$62,AE$61,AE$114,AE$115))*$AG$8</f>
        <v>28.844979731721114</v>
      </c>
      <c r="AH19" s="94">
        <f>Table3.110[[#This Row],[GP 8-24h, ml]]-(AVERAGE(AF$11,AF$12,AF$62,AF$61,AF$114,AF$115))*$AG$8</f>
        <v>27.31247184961266</v>
      </c>
      <c r="AI19" s="94">
        <f>Table3.110[[#This Row],[Net gas 8-24h, ml]]+Table3.110[[#This Row],[Net gas 8h, ml]]</f>
        <v>56.157451581333774</v>
      </c>
      <c r="AJ19" s="94">
        <f>Table3.110[[#This Row],[Net gas 8h, ml]]*Table3.110[[#This Row],[CH4 8h %]]%</f>
        <v>3.8075373245871873</v>
      </c>
      <c r="AK19" s="94">
        <f>Table3.110[[#This Row],[Net gas 8-24h, ml]]*Table3.110[[#This Row],[CH4 24h, %]]%</f>
        <v>4.7250576299829907</v>
      </c>
      <c r="AL19" s="94">
        <f>Table3.110[[#This Row],[CH4 8-24h, ml]]+Table3.110[[#This Row],[CH4 8h, ml]]</f>
        <v>8.5325949545701789</v>
      </c>
      <c r="AM19" s="94">
        <f>(Table3.110[[#This Row],[Net gas 24h, ml]]/Table3.110[[#This Row],[DM Incubated, mg]])*1000</f>
        <v>118.86548123141274</v>
      </c>
      <c r="AN19" s="94">
        <f>'3.2 Digest'!X19</f>
        <v>27.483686094797672</v>
      </c>
      <c r="AO19" s="94">
        <f>Table3.110[[#This Row],[Digested feed, mg]]/Table3.110[[#This Row],[Net gas 24h, ml]]</f>
        <v>2.3121671497960943</v>
      </c>
      <c r="AP19" s="94">
        <f>Table3.110[[#This Row],[CH4 8h, ml]]/Table3.110[[#This Row],[Net gas 8h, ml]]%</f>
        <v>13.200000000000001</v>
      </c>
      <c r="AQ19" s="94">
        <f>Table3.110[[#This Row],[CH4 24h, ml]]/Table3.110[[#This Row],[Net gas 24h, ml]]%</f>
        <v>15.194056557591969</v>
      </c>
      <c r="AR19" s="94">
        <f>Table3.110[[#This Row],[CH4 24h, ml]]/Table3.110[[#This Row],[DM Incubated, mg]]*1000</f>
        <v>18.060488445754718</v>
      </c>
      <c r="AS19" s="94">
        <f>Table3.110[[#This Row],[CH4 24h, ml]]/Table3.110[[#This Row],[Digested feed, mg]]*1000</f>
        <v>65.713486842557657</v>
      </c>
      <c r="AT19" s="94">
        <f>Table3.110[[#This Row],[CH4 24h, ml]]/'3.2 Digest'!AA19</f>
        <v>-0.40682815393227512</v>
      </c>
      <c r="AU19" s="94">
        <f>((Table3.110[[#This Row],[CH4 24h, ml]]/28.9)*16.04)/Table3.110[[#This Row],[DM Incubated, mg]]*1000</f>
        <v>10.023883552591894</v>
      </c>
      <c r="AV19" s="94">
        <f>((Table3.110[[#This Row],[CH4 24h, ml]]/28.9)*16.04)/Table3.110[[#This Row],[Digested feed, mg]]*1000</f>
        <v>36.472122109156572</v>
      </c>
      <c r="AX19" s="99"/>
    </row>
    <row r="20" spans="2:50" s="89" customFormat="1" x14ac:dyDescent="0.35">
      <c r="B20" s="90">
        <f t="shared" si="0"/>
        <v>10</v>
      </c>
      <c r="C20" s="140">
        <v>46041</v>
      </c>
      <c r="D20" s="6" t="s">
        <v>16</v>
      </c>
      <c r="E20" s="6" t="s">
        <v>32</v>
      </c>
      <c r="F20" s="133" t="s">
        <v>19</v>
      </c>
      <c r="G20" s="133" t="s">
        <v>20</v>
      </c>
      <c r="H20" s="133" t="s">
        <v>21</v>
      </c>
      <c r="I20" s="6" t="s">
        <v>22</v>
      </c>
      <c r="J20" s="129" t="s">
        <v>23</v>
      </c>
      <c r="K20" s="129" t="s">
        <v>24</v>
      </c>
      <c r="L20" s="6" t="s">
        <v>31</v>
      </c>
      <c r="M20" s="119">
        <v>27</v>
      </c>
      <c r="N20" s="93">
        <v>58</v>
      </c>
      <c r="O20" s="6">
        <v>1</v>
      </c>
      <c r="P20" s="6">
        <v>2</v>
      </c>
      <c r="Q20" s="6">
        <v>190</v>
      </c>
      <c r="R20" s="98">
        <v>0.50049999999999994</v>
      </c>
      <c r="S20" s="94">
        <f>((Table3.110[[#This Row],[Sample weight, g]]*'2.1. DM'!Q15)/100)*1000</f>
        <v>472.25670079627241</v>
      </c>
      <c r="T20" s="94">
        <f>'3.2 Digest'!W20</f>
        <v>0</v>
      </c>
      <c r="U20" s="117">
        <v>0.37013888888888891</v>
      </c>
      <c r="V20" s="155">
        <v>41.5</v>
      </c>
      <c r="W20" s="117">
        <v>0.70347222222222228</v>
      </c>
      <c r="X20" s="97">
        <v>68</v>
      </c>
      <c r="Y20" s="97">
        <v>15.3</v>
      </c>
      <c r="Z20" s="155">
        <v>41</v>
      </c>
      <c r="AA20" s="117">
        <v>0.78888888888888886</v>
      </c>
      <c r="AB20" s="155">
        <v>71.5</v>
      </c>
      <c r="AC20" s="155">
        <v>17.5</v>
      </c>
      <c r="AD20" s="96"/>
      <c r="AE20" s="94">
        <f>Table3.110[[#This Row],[Gas 8h, ml]]-Table3.110[[#This Row],[Gas 0h, ml]]</f>
        <v>26.5</v>
      </c>
      <c r="AF20" s="94">
        <f>Table3.110[[#This Row],[Gas 24h, ml]]-Table3.110[[#This Row],[V8 Push back, ml]]</f>
        <v>30.5</v>
      </c>
      <c r="AG20" s="94"/>
      <c r="AH20" s="94"/>
      <c r="AI20" s="94"/>
      <c r="AJ20" s="94"/>
      <c r="AK20" s="94"/>
      <c r="AL20" s="94"/>
      <c r="AM20" s="94"/>
      <c r="AN20" s="94"/>
      <c r="AO20" s="94"/>
      <c r="AP20" s="94"/>
      <c r="AQ20" s="94"/>
      <c r="AR20" s="94"/>
      <c r="AS20" s="94"/>
      <c r="AT20" s="94"/>
      <c r="AU20" s="94"/>
      <c r="AV20" s="94"/>
      <c r="AX20" s="99"/>
    </row>
    <row r="21" spans="2:50" s="89" customFormat="1" x14ac:dyDescent="0.35">
      <c r="B21" s="90">
        <f t="shared" si="0"/>
        <v>11</v>
      </c>
      <c r="C21" s="140">
        <v>46041</v>
      </c>
      <c r="D21" s="6" t="s">
        <v>16</v>
      </c>
      <c r="E21" s="6" t="s">
        <v>32</v>
      </c>
      <c r="F21" s="133" t="s">
        <v>19</v>
      </c>
      <c r="G21" s="133" t="s">
        <v>20</v>
      </c>
      <c r="H21" s="133" t="s">
        <v>21</v>
      </c>
      <c r="I21" s="6" t="s">
        <v>22</v>
      </c>
      <c r="J21" s="129" t="s">
        <v>23</v>
      </c>
      <c r="K21" s="129" t="s">
        <v>24</v>
      </c>
      <c r="L21" s="6" t="s">
        <v>31</v>
      </c>
      <c r="M21" s="119">
        <v>27</v>
      </c>
      <c r="N21" s="93">
        <v>58</v>
      </c>
      <c r="O21" s="6">
        <v>1</v>
      </c>
      <c r="P21" s="129">
        <v>3</v>
      </c>
      <c r="Q21" s="6">
        <v>191</v>
      </c>
      <c r="R21" s="98">
        <v>0.50039999999999996</v>
      </c>
      <c r="S21" s="94">
        <f>((Table3.110[[#This Row],[Sample weight, g]]*'2.1. DM'!Q15)/100)*1000</f>
        <v>472.16234381309636</v>
      </c>
      <c r="T21" s="94">
        <f>'3.2 Digest'!W21</f>
        <v>142.96234381309642</v>
      </c>
      <c r="U21" s="153">
        <v>0.36875000000000002</v>
      </c>
      <c r="V21" s="154">
        <v>42.5</v>
      </c>
      <c r="W21" s="153">
        <v>0.70416666666666672</v>
      </c>
      <c r="X21" s="95">
        <v>71.5</v>
      </c>
      <c r="Y21" s="95">
        <v>13.3</v>
      </c>
      <c r="Z21" s="154">
        <v>40.5</v>
      </c>
      <c r="AA21" s="153">
        <v>0.37222222222222223</v>
      </c>
      <c r="AB21" s="154">
        <v>70.5</v>
      </c>
      <c r="AC21" s="154">
        <v>17.5</v>
      </c>
      <c r="AD21" s="91"/>
      <c r="AE21" s="94">
        <f>Table3.110[[#This Row],[Gas 8h, ml]]-Table3.110[[#This Row],[Gas 0h, ml]]</f>
        <v>29</v>
      </c>
      <c r="AF21" s="94">
        <f>Table3.110[[#This Row],[Gas 24h, ml]]-Table3.110[[#This Row],[V8 Push back, ml]]</f>
        <v>30</v>
      </c>
      <c r="AG21" s="94">
        <f>Table3.110[[#This Row],[GP 8h, ml]]-(AVERAGE(AE$11,AE$12,AE$62,AE$61,AE$114,AE$115))*$AG$8</f>
        <v>26.344979731721114</v>
      </c>
      <c r="AH21" s="94">
        <f>Table3.110[[#This Row],[GP 8-24h, ml]]-(AVERAGE(AF$11,AF$12,AF$62,AF$61,AF$114,AF$115))*$AG$8</f>
        <v>26.31247184961266</v>
      </c>
      <c r="AI21" s="94">
        <f>Table3.110[[#This Row],[Net gas 8-24h, ml]]+Table3.110[[#This Row],[Net gas 8h, ml]]</f>
        <v>52.657451581333774</v>
      </c>
      <c r="AJ21" s="94">
        <f>Table3.110[[#This Row],[Net gas 8h, ml]]*Table3.110[[#This Row],[CH4 8h %]]%</f>
        <v>3.5038823043189082</v>
      </c>
      <c r="AK21" s="94">
        <f>Table3.110[[#This Row],[Net gas 8-24h, ml]]*Table3.110[[#This Row],[CH4 24h, %]]%</f>
        <v>4.604682573682215</v>
      </c>
      <c r="AL21" s="94">
        <f>Table3.110[[#This Row],[CH4 8-24h, ml]]+Table3.110[[#This Row],[CH4 8h, ml]]</f>
        <v>8.1085648780011237</v>
      </c>
      <c r="AM21" s="94">
        <f>(Table3.110[[#This Row],[Net gas 24h, ml]]/Table3.110[[#This Row],[DM Incubated, mg]])*1000</f>
        <v>111.52403886358634</v>
      </c>
      <c r="AN21" s="94">
        <f>'3.2 Digest'!X21</f>
        <v>30.278218008356788</v>
      </c>
      <c r="AO21" s="94">
        <f>Table3.110[[#This Row],[Digested feed, mg]]/Table3.110[[#This Row],[Net gas 24h, ml]]</f>
        <v>2.7149499172454119</v>
      </c>
      <c r="AP21" s="94">
        <f>Table3.110[[#This Row],[CH4 8h, ml]]/Table3.110[[#This Row],[Net gas 8h, ml]]%</f>
        <v>13.3</v>
      </c>
      <c r="AQ21" s="94">
        <f>Table3.110[[#This Row],[CH4 24h, ml]]/Table3.110[[#This Row],[Net gas 24h, ml]]%</f>
        <v>15.398703572801615</v>
      </c>
      <c r="AR21" s="94">
        <f>Table3.110[[#This Row],[CH4 24h, ml]]/Table3.110[[#This Row],[DM Incubated, mg]]*1000</f>
        <v>17.173256157019729</v>
      </c>
      <c r="AS21" s="94">
        <f>Table3.110[[#This Row],[CH4 24h, ml]]/Table3.110[[#This Row],[Digested feed, mg]]*1000</f>
        <v>56.718186493934063</v>
      </c>
      <c r="AT21" s="94">
        <f>Table3.110[[#This Row],[CH4 24h, ml]]/'3.2 Digest'!AA21</f>
        <v>-0.49710551606995595</v>
      </c>
      <c r="AU21" s="94">
        <f>((Table3.110[[#This Row],[CH4 24h, ml]]/28.9)*16.04)/Table3.110[[#This Row],[DM Incubated, mg]]*1000</f>
        <v>9.5314542823043755</v>
      </c>
      <c r="AV21" s="94">
        <f>((Table3.110[[#This Row],[CH4 24h, ml]]/28.9)*16.04)/Table3.110[[#This Row],[Digested feed, mg]]*1000</f>
        <v>31.479574787636764</v>
      </c>
      <c r="AX21" s="99"/>
    </row>
    <row r="22" spans="2:50" s="89" customFormat="1" x14ac:dyDescent="0.35">
      <c r="B22" s="90">
        <f t="shared" si="0"/>
        <v>12</v>
      </c>
      <c r="C22" s="140">
        <v>46041</v>
      </c>
      <c r="D22" s="6" t="s">
        <v>16</v>
      </c>
      <c r="E22" s="6" t="s">
        <v>34</v>
      </c>
      <c r="F22" s="133" t="s">
        <v>19</v>
      </c>
      <c r="G22" s="133" t="s">
        <v>29</v>
      </c>
      <c r="H22" s="133" t="s">
        <v>30</v>
      </c>
      <c r="I22" s="6" t="s">
        <v>22</v>
      </c>
      <c r="J22" s="129" t="s">
        <v>23</v>
      </c>
      <c r="K22" s="129" t="s">
        <v>24</v>
      </c>
      <c r="L22" s="6" t="s">
        <v>33</v>
      </c>
      <c r="M22" s="119">
        <v>27</v>
      </c>
      <c r="N22" s="93">
        <v>58</v>
      </c>
      <c r="O22" s="6">
        <v>1</v>
      </c>
      <c r="P22" s="129">
        <v>1</v>
      </c>
      <c r="Q22" s="6">
        <v>192</v>
      </c>
      <c r="R22" s="98">
        <v>0.50009999999999999</v>
      </c>
      <c r="S22" s="94">
        <f>((Table3.110[[#This Row],[Sample weight, g]]*'2.1. DM'!Q17)/100)*1000</f>
        <v>470.75734411932388</v>
      </c>
      <c r="T22" s="94">
        <f>'3.2 Digest'!W22</f>
        <v>0</v>
      </c>
      <c r="U22" s="117">
        <v>0.37083333333333335</v>
      </c>
      <c r="V22" s="155">
        <v>42</v>
      </c>
      <c r="W22" s="117">
        <v>0.7055555555555556</v>
      </c>
      <c r="X22" s="97">
        <v>67.5</v>
      </c>
      <c r="Y22" s="97">
        <v>13.3</v>
      </c>
      <c r="Z22" s="155">
        <v>41</v>
      </c>
      <c r="AA22" s="117">
        <v>0.37291666666666667</v>
      </c>
      <c r="AB22" s="155">
        <v>57.5</v>
      </c>
      <c r="AC22" s="155">
        <v>16.600000000000001</v>
      </c>
      <c r="AD22" s="96"/>
      <c r="AE22" s="94">
        <f>Table3.110[[#This Row],[Gas 8h, ml]]-Table3.110[[#This Row],[Gas 0h, ml]]</f>
        <v>25.5</v>
      </c>
      <c r="AF22" s="94">
        <f>Table3.110[[#This Row],[Gas 24h, ml]]-Table3.110[[#This Row],[V8 Push back, ml]]</f>
        <v>16.5</v>
      </c>
      <c r="AG22" s="94"/>
      <c r="AH22" s="94"/>
      <c r="AI22" s="94"/>
      <c r="AJ22" s="94"/>
      <c r="AK22" s="94"/>
      <c r="AL22" s="94"/>
      <c r="AM22" s="94"/>
      <c r="AN22" s="94"/>
      <c r="AO22" s="94"/>
      <c r="AP22" s="94"/>
      <c r="AQ22" s="94"/>
      <c r="AR22" s="94"/>
      <c r="AS22" s="94"/>
      <c r="AT22" s="94"/>
      <c r="AU22" s="94"/>
      <c r="AV22" s="94"/>
      <c r="AX22" s="99"/>
    </row>
    <row r="23" spans="2:50" s="89" customFormat="1" x14ac:dyDescent="0.35">
      <c r="B23" s="90">
        <f t="shared" si="0"/>
        <v>13</v>
      </c>
      <c r="C23" s="140">
        <v>46041</v>
      </c>
      <c r="D23" s="6" t="s">
        <v>16</v>
      </c>
      <c r="E23" s="6" t="s">
        <v>34</v>
      </c>
      <c r="F23" s="133" t="s">
        <v>19</v>
      </c>
      <c r="G23" s="133" t="s">
        <v>29</v>
      </c>
      <c r="H23" s="133" t="s">
        <v>30</v>
      </c>
      <c r="I23" s="6" t="s">
        <v>22</v>
      </c>
      <c r="J23" s="129" t="s">
        <v>23</v>
      </c>
      <c r="K23" s="129" t="s">
        <v>24</v>
      </c>
      <c r="L23" s="6" t="s">
        <v>33</v>
      </c>
      <c r="M23" s="119">
        <v>27</v>
      </c>
      <c r="N23" s="93">
        <v>58</v>
      </c>
      <c r="O23" s="6">
        <v>1</v>
      </c>
      <c r="P23" s="6">
        <v>2</v>
      </c>
      <c r="Q23" s="6">
        <v>193</v>
      </c>
      <c r="R23" s="98">
        <v>0.50049999999999994</v>
      </c>
      <c r="S23" s="94">
        <f>((Table3.110[[#This Row],[Sample weight, g]]*'2.1. DM'!Q17)/100)*1000</f>
        <v>471.1338746885055</v>
      </c>
      <c r="T23" s="94">
        <f>'3.2 Digest'!W23</f>
        <v>60.6338746885055</v>
      </c>
      <c r="U23" s="153">
        <v>0.37083333333333335</v>
      </c>
      <c r="V23" s="154">
        <v>41</v>
      </c>
      <c r="W23" s="153">
        <v>0.7055555555555556</v>
      </c>
      <c r="X23" s="95">
        <v>66</v>
      </c>
      <c r="Y23" s="95">
        <v>13.5</v>
      </c>
      <c r="Z23" s="154">
        <v>41</v>
      </c>
      <c r="AA23" s="153">
        <v>0.37291666666666667</v>
      </c>
      <c r="AB23" s="154">
        <v>57</v>
      </c>
      <c r="AC23" s="154">
        <v>16.600000000000001</v>
      </c>
      <c r="AD23" s="91"/>
      <c r="AE23" s="94">
        <f>Table3.110[[#This Row],[Gas 8h, ml]]-Table3.110[[#This Row],[Gas 0h, ml]]</f>
        <v>25</v>
      </c>
      <c r="AF23" s="94">
        <f>Table3.110[[#This Row],[Gas 24h, ml]]-Table3.110[[#This Row],[V8 Push back, ml]]</f>
        <v>16</v>
      </c>
      <c r="AG23" s="94">
        <f>Table3.110[[#This Row],[GP 8h, ml]]-(AVERAGE(AE$11,AE$12,AE$62,AE$61,AE$114,AE$115))*$AG$8</f>
        <v>22.344979731721114</v>
      </c>
      <c r="AH23" s="94">
        <f>Table3.110[[#This Row],[GP 8-24h, ml]]-(AVERAGE(AF$11,AF$12,AF$62,AF$61,AF$114,AF$115))*$AG$8</f>
        <v>12.31247184961266</v>
      </c>
      <c r="AI23" s="94">
        <f>Table3.110[[#This Row],[Net gas 8-24h, ml]]+Table3.110[[#This Row],[Net gas 8h, ml]]</f>
        <v>34.657451581333774</v>
      </c>
      <c r="AJ23" s="94">
        <f>Table3.110[[#This Row],[Net gas 8h, ml]]*Table3.110[[#This Row],[CH4 8h %]]%</f>
        <v>3.0165722637823507</v>
      </c>
      <c r="AK23" s="94">
        <f>Table3.110[[#This Row],[Net gas 8-24h, ml]]*Table3.110[[#This Row],[CH4 24h, %]]%</f>
        <v>2.0438703270357017</v>
      </c>
      <c r="AL23" s="94">
        <f>Table3.110[[#This Row],[CH4 8-24h, ml]]+Table3.110[[#This Row],[CH4 8h, ml]]</f>
        <v>5.0604425908180524</v>
      </c>
      <c r="AM23" s="94">
        <f>(Table3.110[[#This Row],[Net gas 24h, ml]]/Table3.110[[#This Row],[DM Incubated, mg]])*1000</f>
        <v>73.561790911867391</v>
      </c>
      <c r="AN23" s="94">
        <f>'3.2 Digest'!X23</f>
        <v>12.869776075556899</v>
      </c>
      <c r="AO23" s="94">
        <f>Table3.110[[#This Row],[Digested feed, mg]]/Table3.110[[#This Row],[Net gas 24h, ml]]</f>
        <v>1.7495191343255723</v>
      </c>
      <c r="AP23" s="94">
        <f>Table3.110[[#This Row],[CH4 8h, ml]]/Table3.110[[#This Row],[Net gas 8h, ml]]%</f>
        <v>13.5</v>
      </c>
      <c r="AQ23" s="94">
        <f>Table3.110[[#This Row],[CH4 24h, ml]]/Table3.110[[#This Row],[Net gas 24h, ml]]%</f>
        <v>14.601311867787665</v>
      </c>
      <c r="AR23" s="94">
        <f>Table3.110[[#This Row],[CH4 24h, ml]]/Table3.110[[#This Row],[DM Incubated, mg]]*1000</f>
        <v>10.740986506571641</v>
      </c>
      <c r="AS23" s="94">
        <f>Table3.110[[#This Row],[CH4 24h, ml]]/Table3.110[[#This Row],[Digested feed, mg]]*1000</f>
        <v>83.45900071230929</v>
      </c>
      <c r="AT23" s="94">
        <f>Table3.110[[#This Row],[CH4 24h, ml]]/'3.2 Digest'!AA23</f>
        <v>-0.1430078382748956</v>
      </c>
      <c r="AU23" s="94">
        <f>((Table3.110[[#This Row],[CH4 24h, ml]]/28.9)*16.04)/Table3.110[[#This Row],[DM Incubated, mg]]*1000</f>
        <v>5.9614333413636382</v>
      </c>
      <c r="AV23" s="94">
        <f>((Table3.110[[#This Row],[CH4 24h, ml]]/28.9)*16.04)/Table3.110[[#This Row],[Digested feed, mg]]*1000</f>
        <v>46.321189322679615</v>
      </c>
      <c r="AX23" s="99"/>
    </row>
    <row r="24" spans="2:50" s="89" customFormat="1" x14ac:dyDescent="0.35">
      <c r="B24" s="90">
        <f t="shared" si="0"/>
        <v>14</v>
      </c>
      <c r="C24" s="140">
        <v>46041</v>
      </c>
      <c r="D24" s="6" t="s">
        <v>16</v>
      </c>
      <c r="E24" s="6" t="s">
        <v>34</v>
      </c>
      <c r="F24" s="133" t="s">
        <v>19</v>
      </c>
      <c r="G24" s="133" t="s">
        <v>29</v>
      </c>
      <c r="H24" s="133" t="s">
        <v>30</v>
      </c>
      <c r="I24" s="6" t="s">
        <v>22</v>
      </c>
      <c r="J24" s="129" t="s">
        <v>23</v>
      </c>
      <c r="K24" s="129" t="s">
        <v>24</v>
      </c>
      <c r="L24" s="6" t="s">
        <v>33</v>
      </c>
      <c r="M24" s="119">
        <v>27</v>
      </c>
      <c r="N24" s="93">
        <v>58</v>
      </c>
      <c r="O24" s="6">
        <v>1</v>
      </c>
      <c r="P24" s="129">
        <v>3</v>
      </c>
      <c r="Q24" s="6">
        <v>194</v>
      </c>
      <c r="R24" s="98">
        <v>0.50049999999999994</v>
      </c>
      <c r="S24" s="94">
        <f>((Table3.110[[#This Row],[Sample weight, g]]*'2.1. DM'!Q17)/100)*1000</f>
        <v>471.1338746885055</v>
      </c>
      <c r="T24" s="94">
        <f>'3.2 Digest'!W24</f>
        <v>75.833874688505489</v>
      </c>
      <c r="U24" s="117">
        <v>0.37083333333333335</v>
      </c>
      <c r="V24" s="155">
        <v>41.5</v>
      </c>
      <c r="W24" s="117">
        <v>0.70625000000000004</v>
      </c>
      <c r="X24" s="97">
        <v>64.5</v>
      </c>
      <c r="Y24" s="97">
        <v>13.9</v>
      </c>
      <c r="Z24" s="155">
        <v>40</v>
      </c>
      <c r="AA24" s="117">
        <v>0.37361111111111112</v>
      </c>
      <c r="AB24" s="155">
        <v>55.5</v>
      </c>
      <c r="AC24" s="155">
        <v>16.600000000000001</v>
      </c>
      <c r="AD24" s="101"/>
      <c r="AE24" s="94">
        <f>Table3.110[[#This Row],[Gas 8h, ml]]-Table3.110[[#This Row],[Gas 0h, ml]]</f>
        <v>23</v>
      </c>
      <c r="AF24" s="94">
        <f>Table3.110[[#This Row],[Gas 24h, ml]]-Table3.110[[#This Row],[V8 Push back, ml]]</f>
        <v>15.5</v>
      </c>
      <c r="AG24" s="94">
        <f>Table3.110[[#This Row],[GP 8h, ml]]-(AVERAGE(AE$11,AE$12,AE$62,AE$61,AE$114,AE$115))*$AG$8</f>
        <v>20.344979731721114</v>
      </c>
      <c r="AH24" s="94">
        <f>Table3.110[[#This Row],[GP 8-24h, ml]]-(AVERAGE(AF$11,AF$12,AF$62,AF$61,AF$114,AF$115))*$AG$8</f>
        <v>11.81247184961266</v>
      </c>
      <c r="AI24" s="94">
        <f>Table3.110[[#This Row],[Net gas 8-24h, ml]]+Table3.110[[#This Row],[Net gas 8h, ml]]</f>
        <v>32.157451581333774</v>
      </c>
      <c r="AJ24" s="94">
        <f>Table3.110[[#This Row],[Net gas 8h, ml]]*Table3.110[[#This Row],[CH4 8h %]]%</f>
        <v>2.8279521827092351</v>
      </c>
      <c r="AK24" s="94">
        <f>Table3.110[[#This Row],[Net gas 8-24h, ml]]*Table3.110[[#This Row],[CH4 24h, %]]%</f>
        <v>1.9608703270357015</v>
      </c>
      <c r="AL24" s="94">
        <f>Table3.110[[#This Row],[CH4 8-24h, ml]]+Table3.110[[#This Row],[CH4 8h, ml]]</f>
        <v>4.7888225097449366</v>
      </c>
      <c r="AM24" s="94">
        <f>(Table3.110[[#This Row],[Net gas 24h, ml]]/Table3.110[[#This Row],[DM Incubated, mg]])*1000</f>
        <v>68.255443535226519</v>
      </c>
      <c r="AN24" s="94">
        <f>'3.2 Digest'!X24</f>
        <v>16.096035280554545</v>
      </c>
      <c r="AO24" s="94">
        <f>Table3.110[[#This Row],[Digested feed, mg]]/Table3.110[[#This Row],[Net gas 24h, ml]]</f>
        <v>2.3582053601699049</v>
      </c>
      <c r="AP24" s="94">
        <f>Table3.110[[#This Row],[CH4 8h, ml]]/Table3.110[[#This Row],[Net gas 8h, ml]]%</f>
        <v>13.900000000000002</v>
      </c>
      <c r="AQ24" s="94">
        <f>Table3.110[[#This Row],[CH4 24h, ml]]/Table3.110[[#This Row],[Net gas 24h, ml]]%</f>
        <v>14.891797310594951</v>
      </c>
      <c r="AR24" s="94">
        <f>Table3.110[[#This Row],[CH4 24h, ml]]/Table3.110[[#This Row],[DM Incubated, mg]]*1000</f>
        <v>10.164462304713519</v>
      </c>
      <c r="AS24" s="94">
        <f>Table3.110[[#This Row],[CH4 24h, ml]]/Table3.110[[#This Row],[Digested feed, mg]]*1000</f>
        <v>63.148857016939452</v>
      </c>
      <c r="AT24" s="94">
        <f>Table3.110[[#This Row],[CH4 24h, ml]]/'3.2 Digest'!AA24</f>
        <v>-0.15766862337015089</v>
      </c>
      <c r="AU24" s="94">
        <f>((Table3.110[[#This Row],[CH4 24h, ml]]/28.9)*16.04)/Table3.110[[#This Row],[DM Incubated, mg]]*1000</f>
        <v>5.6414524348652195</v>
      </c>
      <c r="AV24" s="94">
        <f>((Table3.110[[#This Row],[CH4 24h, ml]]/28.9)*16.04)/Table3.110[[#This Row],[Digested feed, mg]]*1000</f>
        <v>35.048708185180239</v>
      </c>
      <c r="AX24" s="99"/>
    </row>
    <row r="25" spans="2:50" s="89" customFormat="1" x14ac:dyDescent="0.35">
      <c r="B25" s="90">
        <f t="shared" si="0"/>
        <v>15</v>
      </c>
      <c r="C25" s="140">
        <v>46041</v>
      </c>
      <c r="D25" s="6" t="s">
        <v>16</v>
      </c>
      <c r="E25" s="6" t="s">
        <v>36</v>
      </c>
      <c r="F25" s="133" t="s">
        <v>19</v>
      </c>
      <c r="G25" s="133" t="s">
        <v>20</v>
      </c>
      <c r="H25" s="133" t="s">
        <v>21</v>
      </c>
      <c r="I25" s="6" t="s">
        <v>22</v>
      </c>
      <c r="J25" s="129" t="s">
        <v>23</v>
      </c>
      <c r="K25" s="129" t="s">
        <v>24</v>
      </c>
      <c r="L25" s="6" t="s">
        <v>35</v>
      </c>
      <c r="M25" s="119">
        <v>27</v>
      </c>
      <c r="N25" s="93">
        <v>58</v>
      </c>
      <c r="O25" s="6">
        <v>1</v>
      </c>
      <c r="P25" s="129">
        <v>1</v>
      </c>
      <c r="Q25" s="6">
        <v>195</v>
      </c>
      <c r="R25" s="98">
        <v>0.50029999999999997</v>
      </c>
      <c r="S25" s="94">
        <f>((Table3.110[[#This Row],[Sample weight, g]]*'2.1. DM'!Q19)/100)*1000</f>
        <v>471.7621368452036</v>
      </c>
      <c r="T25" s="94">
        <f>'3.2 Digest'!W25</f>
        <v>83.762136845203599</v>
      </c>
      <c r="U25" s="153">
        <v>0.37222222222222223</v>
      </c>
      <c r="V25" s="154">
        <v>42</v>
      </c>
      <c r="W25" s="153">
        <v>0.70694444444444449</v>
      </c>
      <c r="X25" s="95">
        <v>70</v>
      </c>
      <c r="Y25" s="95">
        <v>13.1</v>
      </c>
      <c r="Z25" s="154">
        <v>40.5</v>
      </c>
      <c r="AA25" s="153">
        <v>0.37430555555555556</v>
      </c>
      <c r="AB25" s="154">
        <v>64.5</v>
      </c>
      <c r="AC25" s="154">
        <v>16.7</v>
      </c>
      <c r="AD25" s="102"/>
      <c r="AE25" s="94">
        <f>Table3.110[[#This Row],[Gas 8h, ml]]-Table3.110[[#This Row],[Gas 0h, ml]]</f>
        <v>28</v>
      </c>
      <c r="AF25" s="94">
        <f>Table3.110[[#This Row],[Gas 24h, ml]]-Table3.110[[#This Row],[V8 Push back, ml]]</f>
        <v>24</v>
      </c>
      <c r="AG25" s="94">
        <f>Table3.110[[#This Row],[GP 8h, ml]]-(AVERAGE(AE$11,AE$12,AE$62,AE$61,AE$114,AE$115))*$AG$8</f>
        <v>25.344979731721114</v>
      </c>
      <c r="AH25" s="94">
        <f>Table3.110[[#This Row],[GP 8-24h, ml]]-(AVERAGE(AF$11,AF$12,AF$62,AF$61,AF$114,AF$115))*$AG$8</f>
        <v>20.31247184961266</v>
      </c>
      <c r="AI25" s="94">
        <f>Table3.110[[#This Row],[Net gas 8-24h, ml]]+Table3.110[[#This Row],[Net gas 8h, ml]]</f>
        <v>45.657451581333774</v>
      </c>
      <c r="AJ25" s="94">
        <f>Table3.110[[#This Row],[Net gas 8h, ml]]*Table3.110[[#This Row],[CH4 8h %]]%</f>
        <v>3.320192344855466</v>
      </c>
      <c r="AK25" s="94">
        <f>Table3.110[[#This Row],[Net gas 8-24h, ml]]*Table3.110[[#This Row],[CH4 24h, %]]%</f>
        <v>3.3921827988853139</v>
      </c>
      <c r="AL25" s="94">
        <f>Table3.110[[#This Row],[CH4 8-24h, ml]]+Table3.110[[#This Row],[CH4 8h, ml]]</f>
        <v>6.7123751437407799</v>
      </c>
      <c r="AM25" s="94">
        <f>(Table3.110[[#This Row],[Net gas 24h, ml]]/Table3.110[[#This Row],[DM Incubated, mg]])*1000</f>
        <v>96.780661302445878</v>
      </c>
      <c r="AN25" s="94">
        <f>'3.2 Digest'!X25</f>
        <v>17.755163100909886</v>
      </c>
      <c r="AO25" s="94">
        <f>Table3.110[[#This Row],[Digested feed, mg]]/Table3.110[[#This Row],[Net gas 24h, ml]]</f>
        <v>1.8345775759295386</v>
      </c>
      <c r="AP25" s="94">
        <f>Table3.110[[#This Row],[CH4 8h, ml]]/Table3.110[[#This Row],[Net gas 8h, ml]]%</f>
        <v>13.100000000000001</v>
      </c>
      <c r="AQ25" s="94">
        <f>Table3.110[[#This Row],[CH4 24h, ml]]/Table3.110[[#This Row],[Net gas 24h, ml]]%</f>
        <v>14.701598339941105</v>
      </c>
      <c r="AR25" s="94">
        <f>Table3.110[[#This Row],[CH4 24h, ml]]/Table3.110[[#This Row],[DM Incubated, mg]]*1000</f>
        <v>14.228304095424408</v>
      </c>
      <c r="AS25" s="94">
        <f>Table3.110[[#This Row],[CH4 24h, ml]]/Table3.110[[#This Row],[Digested feed, mg]]*1000</f>
        <v>80.136149775471551</v>
      </c>
      <c r="AT25" s="94">
        <f>Table3.110[[#This Row],[CH4 24h, ml]]/'3.2 Digest'!AA25</f>
        <v>-0.22910343454718554</v>
      </c>
      <c r="AU25" s="94">
        <f>((Table3.110[[#This Row],[CH4 24h, ml]]/28.9)*16.04)/Table3.110[[#This Row],[DM Incubated, mg]]*1000</f>
        <v>7.8969549373912633</v>
      </c>
      <c r="AV25" s="94">
        <f>((Table3.110[[#This Row],[CH4 24h, ml]]/28.9)*16.04)/Table3.110[[#This Row],[Digested feed, mg]]*1000</f>
        <v>44.476949563964141</v>
      </c>
      <c r="AX25" s="99"/>
    </row>
    <row r="26" spans="2:50" s="89" customFormat="1" x14ac:dyDescent="0.35">
      <c r="B26" s="90">
        <f t="shared" si="0"/>
        <v>16</v>
      </c>
      <c r="C26" s="140">
        <v>46041</v>
      </c>
      <c r="D26" s="6" t="s">
        <v>16</v>
      </c>
      <c r="E26" s="6" t="s">
        <v>36</v>
      </c>
      <c r="F26" s="133" t="s">
        <v>19</v>
      </c>
      <c r="G26" s="133" t="s">
        <v>20</v>
      </c>
      <c r="H26" s="133" t="s">
        <v>21</v>
      </c>
      <c r="I26" s="6" t="s">
        <v>22</v>
      </c>
      <c r="J26" s="129" t="s">
        <v>23</v>
      </c>
      <c r="K26" s="129" t="s">
        <v>24</v>
      </c>
      <c r="L26" s="6" t="s">
        <v>35</v>
      </c>
      <c r="M26" s="119">
        <v>27</v>
      </c>
      <c r="N26" s="93">
        <v>58</v>
      </c>
      <c r="O26" s="6">
        <v>1</v>
      </c>
      <c r="P26" s="6">
        <v>2</v>
      </c>
      <c r="Q26" s="6">
        <v>196</v>
      </c>
      <c r="R26" s="98">
        <v>0.50009999999999999</v>
      </c>
      <c r="S26" s="94">
        <f>((Table3.110[[#This Row],[Sample weight, g]]*'2.1. DM'!Q19)/100)*1000</f>
        <v>471.5735451454853</v>
      </c>
      <c r="T26" s="94">
        <f>'3.2 Digest'!W26</f>
        <v>118.67354514548521</v>
      </c>
      <c r="U26" s="117">
        <v>0.37222222222222223</v>
      </c>
      <c r="V26" s="155">
        <v>41.5</v>
      </c>
      <c r="W26" s="117">
        <v>0.70694444444444449</v>
      </c>
      <c r="X26" s="97">
        <v>67</v>
      </c>
      <c r="Y26" s="97">
        <v>13.7</v>
      </c>
      <c r="Z26" s="155">
        <v>40.5</v>
      </c>
      <c r="AA26" s="117">
        <v>0.37430555555555556</v>
      </c>
      <c r="AB26" s="155">
        <v>66.5</v>
      </c>
      <c r="AC26" s="155">
        <v>16.5</v>
      </c>
      <c r="AD26" s="101"/>
      <c r="AE26" s="94">
        <f>Table3.110[[#This Row],[Gas 8h, ml]]-Table3.110[[#This Row],[Gas 0h, ml]]</f>
        <v>25.5</v>
      </c>
      <c r="AF26" s="94">
        <f>Table3.110[[#This Row],[Gas 24h, ml]]-Table3.110[[#This Row],[V8 Push back, ml]]</f>
        <v>26</v>
      </c>
      <c r="AG26" s="94">
        <f>Table3.110[[#This Row],[GP 8h, ml]]-(AVERAGE(AE$11,AE$12,AE$62,AE$61,AE$114,AE$115))*$AG$8</f>
        <v>22.844979731721114</v>
      </c>
      <c r="AH26" s="94">
        <f>Table3.110[[#This Row],[GP 8-24h, ml]]-(AVERAGE(AF$11,AF$12,AF$62,AF$61,AF$114,AF$115))*$AG$8</f>
        <v>22.31247184961266</v>
      </c>
      <c r="AI26" s="94">
        <f>Table3.110[[#This Row],[Net gas 8-24h, ml]]+Table3.110[[#This Row],[Net gas 8h, ml]]</f>
        <v>45.157451581333774</v>
      </c>
      <c r="AJ26" s="94">
        <f>Table3.110[[#This Row],[Net gas 8h, ml]]*Table3.110[[#This Row],[CH4 8h %]]%</f>
        <v>3.1297622232457925</v>
      </c>
      <c r="AK26" s="94">
        <f>Table3.110[[#This Row],[Net gas 8-24h, ml]]*Table3.110[[#This Row],[CH4 24h, %]]%</f>
        <v>3.6815578551860892</v>
      </c>
      <c r="AL26" s="94">
        <f>Table3.110[[#This Row],[CH4 8-24h, ml]]+Table3.110[[#This Row],[CH4 8h, ml]]</f>
        <v>6.8113200784318817</v>
      </c>
      <c r="AM26" s="94">
        <f>(Table3.110[[#This Row],[Net gas 24h, ml]]/Table3.110[[#This Row],[DM Incubated, mg]])*1000</f>
        <v>95.759085822768611</v>
      </c>
      <c r="AN26" s="94">
        <f>'3.2 Digest'!X26</f>
        <v>25.165437367542147</v>
      </c>
      <c r="AO26" s="94">
        <f>Table3.110[[#This Row],[Digested feed, mg]]/Table3.110[[#This Row],[Net gas 24h, ml]]</f>
        <v>2.6279947381827</v>
      </c>
      <c r="AP26" s="94">
        <f>Table3.110[[#This Row],[CH4 8h, ml]]/Table3.110[[#This Row],[Net gas 8h, ml]]%</f>
        <v>13.699999999999998</v>
      </c>
      <c r="AQ26" s="94">
        <f>Table3.110[[#This Row],[CH4 24h, ml]]/Table3.110[[#This Row],[Net gas 24h, ml]]%</f>
        <v>15.083490852365548</v>
      </c>
      <c r="AR26" s="94">
        <f>Table3.110[[#This Row],[CH4 24h, ml]]/Table3.110[[#This Row],[DM Incubated, mg]]*1000</f>
        <v>14.443812950386178</v>
      </c>
      <c r="AS26" s="94">
        <f>Table3.110[[#This Row],[CH4 24h, ml]]/Table3.110[[#This Row],[Digested feed, mg]]*1000</f>
        <v>57.395437796028553</v>
      </c>
      <c r="AT26" s="94">
        <f>Table3.110[[#This Row],[CH4 24h, ml]]/'3.2 Digest'!AA26</f>
        <v>-0.38594032441931575</v>
      </c>
      <c r="AU26" s="94">
        <f>((Table3.110[[#This Row],[CH4 24h, ml]]/28.9)*16.04)/Table3.110[[#This Row],[DM Incubated, mg]]*1000</f>
        <v>8.0165660804219474</v>
      </c>
      <c r="AV26" s="94">
        <f>((Table3.110[[#This Row],[CH4 24h, ml]]/28.9)*16.04)/Table3.110[[#This Row],[Digested feed, mg]]*1000</f>
        <v>31.855460977449756</v>
      </c>
      <c r="AX26" s="99"/>
    </row>
    <row r="27" spans="2:50" s="89" customFormat="1" x14ac:dyDescent="0.35">
      <c r="B27" s="90">
        <f t="shared" si="0"/>
        <v>17</v>
      </c>
      <c r="C27" s="140">
        <v>46041</v>
      </c>
      <c r="D27" s="6" t="s">
        <v>16</v>
      </c>
      <c r="E27" s="6" t="s">
        <v>36</v>
      </c>
      <c r="F27" s="133" t="s">
        <v>19</v>
      </c>
      <c r="G27" s="133" t="s">
        <v>20</v>
      </c>
      <c r="H27" s="133" t="s">
        <v>21</v>
      </c>
      <c r="I27" s="6" t="s">
        <v>22</v>
      </c>
      <c r="J27" s="129" t="s">
        <v>23</v>
      </c>
      <c r="K27" s="129" t="s">
        <v>24</v>
      </c>
      <c r="L27" s="6" t="s">
        <v>35</v>
      </c>
      <c r="M27" s="119">
        <v>27</v>
      </c>
      <c r="N27" s="93">
        <v>58</v>
      </c>
      <c r="O27" s="6">
        <v>1</v>
      </c>
      <c r="P27" s="129">
        <v>3</v>
      </c>
      <c r="Q27" s="6">
        <v>197</v>
      </c>
      <c r="R27" s="98">
        <v>0.50060000000000004</v>
      </c>
      <c r="S27" s="94">
        <f>((Table3.110[[#This Row],[Sample weight, g]]*'2.1. DM'!Q19)/100)*1000</f>
        <v>472.04502439478097</v>
      </c>
      <c r="T27" s="94">
        <f>'3.2 Digest'!W27</f>
        <v>102.44502439478094</v>
      </c>
      <c r="U27" s="153">
        <v>0.37222222222222223</v>
      </c>
      <c r="V27" s="154">
        <v>42.5</v>
      </c>
      <c r="W27" s="153">
        <v>0.70763888888888893</v>
      </c>
      <c r="X27" s="95">
        <v>69</v>
      </c>
      <c r="Y27" s="95">
        <v>13.1</v>
      </c>
      <c r="Z27" s="154">
        <v>40.5</v>
      </c>
      <c r="AA27" s="153">
        <v>0.37430555555555556</v>
      </c>
      <c r="AB27" s="154">
        <v>64.5</v>
      </c>
      <c r="AC27" s="154">
        <v>16.5</v>
      </c>
      <c r="AD27" s="102"/>
      <c r="AE27" s="94">
        <f>Table3.110[[#This Row],[Gas 8h, ml]]-Table3.110[[#This Row],[Gas 0h, ml]]</f>
        <v>26.5</v>
      </c>
      <c r="AF27" s="94">
        <f>Table3.110[[#This Row],[Gas 24h, ml]]-Table3.110[[#This Row],[V8 Push back, ml]]</f>
        <v>24</v>
      </c>
      <c r="AG27" s="94">
        <f>Table3.110[[#This Row],[GP 8h, ml]]-(AVERAGE(AE$11,AE$12,AE$62,AE$61,AE$114,AE$115))*$AG$8</f>
        <v>23.844979731721114</v>
      </c>
      <c r="AH27" s="94">
        <f>Table3.110[[#This Row],[GP 8-24h, ml]]-(AVERAGE(AF$11,AF$12,AF$62,AF$61,AF$114,AF$115))*$AG$8</f>
        <v>20.31247184961266</v>
      </c>
      <c r="AI27" s="94">
        <f>Table3.110[[#This Row],[Net gas 8-24h, ml]]+Table3.110[[#This Row],[Net gas 8h, ml]]</f>
        <v>44.157451581333774</v>
      </c>
      <c r="AJ27" s="94">
        <f>Table3.110[[#This Row],[Net gas 8h, ml]]*Table3.110[[#This Row],[CH4 8h %]]%</f>
        <v>3.1236923448554661</v>
      </c>
      <c r="AK27" s="94">
        <f>Table3.110[[#This Row],[Net gas 8-24h, ml]]*Table3.110[[#This Row],[CH4 24h, %]]%</f>
        <v>3.3515578551860892</v>
      </c>
      <c r="AL27" s="94">
        <f>Table3.110[[#This Row],[CH4 8-24h, ml]]+Table3.110[[#This Row],[CH4 8h, ml]]</f>
        <v>6.4752502000415557</v>
      </c>
      <c r="AM27" s="94">
        <f>(Table3.110[[#This Row],[Net gas 24h, ml]]/Table3.110[[#This Row],[DM Incubated, mg]])*1000</f>
        <v>93.544999521918456</v>
      </c>
      <c r="AN27" s="94">
        <f>'3.2 Digest'!X27</f>
        <v>21.702384116033826</v>
      </c>
      <c r="AO27" s="94">
        <f>Table3.110[[#This Row],[Digested feed, mg]]/Table3.110[[#This Row],[Net gas 24h, ml]]</f>
        <v>2.3199940378372395</v>
      </c>
      <c r="AP27" s="94">
        <f>Table3.110[[#This Row],[CH4 8h, ml]]/Table3.110[[#This Row],[Net gas 8h, ml]]%</f>
        <v>13.100000000000001</v>
      </c>
      <c r="AQ27" s="94">
        <f>Table3.110[[#This Row],[CH4 24h, ml]]/Table3.110[[#This Row],[Net gas 24h, ml]]%</f>
        <v>14.664003397285661</v>
      </c>
      <c r="AR27" s="94">
        <f>Table3.110[[#This Row],[CH4 24h, ml]]/Table3.110[[#This Row],[DM Incubated, mg]]*1000</f>
        <v>13.717441907884979</v>
      </c>
      <c r="AS27" s="94">
        <f>Table3.110[[#This Row],[CH4 24h, ml]]/Table3.110[[#This Row],[Digested feed, mg]]*1000</f>
        <v>63.207073630912589</v>
      </c>
      <c r="AT27" s="94">
        <f>Table3.110[[#This Row],[CH4 24h, ml]]/'3.2 Digest'!AA27</f>
        <v>-0.28039934239497999</v>
      </c>
      <c r="AU27" s="94">
        <f>((Table3.110[[#This Row],[CH4 24h, ml]]/28.9)*16.04)/Table3.110[[#This Row],[DM Incubated, mg]]*1000</f>
        <v>7.6134175848607279</v>
      </c>
      <c r="AV27" s="94">
        <f>((Table3.110[[#This Row],[CH4 24h, ml]]/28.9)*16.04)/Table3.110[[#This Row],[Digested feed, mg]]*1000</f>
        <v>35.081019413143174</v>
      </c>
      <c r="AX27" s="99"/>
    </row>
    <row r="28" spans="2:50" s="89" customFormat="1" x14ac:dyDescent="0.35">
      <c r="B28" s="90">
        <f t="shared" si="0"/>
        <v>18</v>
      </c>
      <c r="C28" s="140">
        <v>46041</v>
      </c>
      <c r="D28" s="6" t="s">
        <v>16</v>
      </c>
      <c r="E28" s="6" t="s">
        <v>38</v>
      </c>
      <c r="F28" s="133" t="s">
        <v>19</v>
      </c>
      <c r="G28" s="133" t="s">
        <v>20</v>
      </c>
      <c r="H28" s="133" t="s">
        <v>21</v>
      </c>
      <c r="I28" s="6" t="s">
        <v>22</v>
      </c>
      <c r="J28" s="129" t="s">
        <v>23</v>
      </c>
      <c r="K28" s="129" t="s">
        <v>24</v>
      </c>
      <c r="L28" s="6" t="s">
        <v>37</v>
      </c>
      <c r="M28" s="119">
        <v>27</v>
      </c>
      <c r="N28" s="93">
        <v>58</v>
      </c>
      <c r="O28" s="6">
        <v>1</v>
      </c>
      <c r="P28" s="129">
        <v>1</v>
      </c>
      <c r="Q28" s="6">
        <v>198</v>
      </c>
      <c r="R28" s="98">
        <v>0.50019999999999998</v>
      </c>
      <c r="S28" s="94">
        <f>((Table3.110[[#This Row],[Sample weight, g]]*'2.1. DM'!Q21)/100)*1000</f>
        <v>463.34816055183416</v>
      </c>
      <c r="T28" s="94">
        <f>'3.2 Digest'!W28</f>
        <v>85.548160551834144</v>
      </c>
      <c r="U28" s="117">
        <v>0.37291666666666667</v>
      </c>
      <c r="V28" s="155">
        <v>42</v>
      </c>
      <c r="W28" s="117">
        <v>0.70833333333333337</v>
      </c>
      <c r="X28" s="97">
        <v>66</v>
      </c>
      <c r="Y28" s="97">
        <v>14.7</v>
      </c>
      <c r="Z28" s="155">
        <v>41</v>
      </c>
      <c r="AA28" s="117">
        <v>0.375</v>
      </c>
      <c r="AB28" s="155">
        <v>65</v>
      </c>
      <c r="AC28" s="155">
        <v>16.899999999999999</v>
      </c>
      <c r="AD28" s="101"/>
      <c r="AE28" s="94">
        <f>Table3.110[[#This Row],[Gas 8h, ml]]-Table3.110[[#This Row],[Gas 0h, ml]]</f>
        <v>24</v>
      </c>
      <c r="AF28" s="94">
        <f>Table3.110[[#This Row],[Gas 24h, ml]]-Table3.110[[#This Row],[V8 Push back, ml]]</f>
        <v>24</v>
      </c>
      <c r="AG28" s="94">
        <f>Table3.110[[#This Row],[GP 8h, ml]]-(AVERAGE(AE$11,AE$12,AE$62,AE$61,AE$114,AE$115))*$AG$8</f>
        <v>21.344979731721114</v>
      </c>
      <c r="AH28" s="94">
        <f>Table3.110[[#This Row],[GP 8-24h, ml]]-(AVERAGE(AF$11,AF$12,AF$62,AF$61,AF$114,AF$115))*$AG$8</f>
        <v>20.31247184961266</v>
      </c>
      <c r="AI28" s="94">
        <f>Table3.110[[#This Row],[Net gas 8-24h, ml]]+Table3.110[[#This Row],[Net gas 8h, ml]]</f>
        <v>41.657451581333774</v>
      </c>
      <c r="AJ28" s="94">
        <f>Table3.110[[#This Row],[Net gas 8h, ml]]*Table3.110[[#This Row],[CH4 8h %]]%</f>
        <v>3.1377120205630038</v>
      </c>
      <c r="AK28" s="94">
        <f>Table3.110[[#This Row],[Net gas 8-24h, ml]]*Table3.110[[#This Row],[CH4 24h, %]]%</f>
        <v>3.4328077425845391</v>
      </c>
      <c r="AL28" s="94">
        <f>Table3.110[[#This Row],[CH4 8-24h, ml]]+Table3.110[[#This Row],[CH4 8h, ml]]</f>
        <v>6.5705197631475425</v>
      </c>
      <c r="AM28" s="94">
        <f>(Table3.110[[#This Row],[Net gas 24h, ml]]/Table3.110[[#This Row],[DM Incubated, mg]])*1000</f>
        <v>89.905291804160754</v>
      </c>
      <c r="AN28" s="94">
        <f>'3.2 Digest'!X28</f>
        <v>18.463040934477604</v>
      </c>
      <c r="AO28" s="94">
        <f>Table3.110[[#This Row],[Digested feed, mg]]/Table3.110[[#This Row],[Net gas 24h, ml]]</f>
        <v>2.0536100338448762</v>
      </c>
      <c r="AP28" s="94">
        <f>Table3.110[[#This Row],[CH4 8h, ml]]/Table3.110[[#This Row],[Net gas 8h, ml]]%</f>
        <v>14.7</v>
      </c>
      <c r="AQ28" s="94">
        <f>Table3.110[[#This Row],[CH4 24h, ml]]/Table3.110[[#This Row],[Net gas 24h, ml]]%</f>
        <v>15.772735762097643</v>
      </c>
      <c r="AR28" s="94">
        <f>Table3.110[[#This Row],[CH4 24h, ml]]/Table3.110[[#This Row],[DM Incubated, mg]]*1000</f>
        <v>14.180524112413105</v>
      </c>
      <c r="AS28" s="94">
        <f>Table3.110[[#This Row],[CH4 24h, ml]]/Table3.110[[#This Row],[Digested feed, mg]]*1000</f>
        <v>76.804921587605904</v>
      </c>
      <c r="AT28" s="94">
        <f>Table3.110[[#This Row],[CH4 24h, ml]]/'3.2 Digest'!AA28</f>
        <v>-0.30848223473875647</v>
      </c>
      <c r="AU28" s="94">
        <f>((Table3.110[[#This Row],[CH4 24h, ml]]/28.9)*16.04)/Table3.110[[#This Row],[DM Incubated, mg]]*1000</f>
        <v>7.8704362201766838</v>
      </c>
      <c r="AV28" s="94">
        <f>((Table3.110[[#This Row],[CH4 24h, ml]]/28.9)*16.04)/Table3.110[[#This Row],[Digested feed, mg]]*1000</f>
        <v>42.628060285993037</v>
      </c>
    </row>
    <row r="29" spans="2:50" s="89" customFormat="1" x14ac:dyDescent="0.35">
      <c r="B29" s="90">
        <f t="shared" si="0"/>
        <v>19</v>
      </c>
      <c r="C29" s="140">
        <v>46041</v>
      </c>
      <c r="D29" s="6" t="s">
        <v>16</v>
      </c>
      <c r="E29" s="6" t="s">
        <v>38</v>
      </c>
      <c r="F29" s="133" t="s">
        <v>19</v>
      </c>
      <c r="G29" s="133" t="s">
        <v>20</v>
      </c>
      <c r="H29" s="133" t="s">
        <v>21</v>
      </c>
      <c r="I29" s="6" t="s">
        <v>22</v>
      </c>
      <c r="J29" s="129" t="s">
        <v>23</v>
      </c>
      <c r="K29" s="129" t="s">
        <v>24</v>
      </c>
      <c r="L29" s="6" t="s">
        <v>37</v>
      </c>
      <c r="M29" s="119">
        <v>27</v>
      </c>
      <c r="N29" s="93">
        <v>58</v>
      </c>
      <c r="O29" s="6">
        <v>1</v>
      </c>
      <c r="P29" s="6">
        <v>2</v>
      </c>
      <c r="Q29" s="6">
        <v>199</v>
      </c>
      <c r="R29" s="98">
        <v>0.50060000000000004</v>
      </c>
      <c r="S29" s="94">
        <f>((Table3.110[[#This Row],[Sample weight, g]]*'2.1. DM'!Q21)/100)*1000</f>
        <v>463.71869086814922</v>
      </c>
      <c r="T29" s="94">
        <f>'3.2 Digest'!W29</f>
        <v>77.218690868149281</v>
      </c>
      <c r="U29" s="153">
        <v>0.37291666666666667</v>
      </c>
      <c r="V29" s="154">
        <v>42</v>
      </c>
      <c r="W29" s="153">
        <v>0.70833333333333337</v>
      </c>
      <c r="X29" s="95">
        <v>66.5</v>
      </c>
      <c r="Y29" s="95">
        <v>13.8</v>
      </c>
      <c r="Z29" s="154">
        <v>40.5</v>
      </c>
      <c r="AA29" s="153">
        <v>0.37569444444444444</v>
      </c>
      <c r="AB29" s="154">
        <v>64</v>
      </c>
      <c r="AC29" s="154">
        <v>17.2</v>
      </c>
      <c r="AD29" s="102"/>
      <c r="AE29" s="94">
        <f>Table3.110[[#This Row],[Gas 8h, ml]]-Table3.110[[#This Row],[Gas 0h, ml]]</f>
        <v>24.5</v>
      </c>
      <c r="AF29" s="94">
        <f>Table3.110[[#This Row],[Gas 24h, ml]]-Table3.110[[#This Row],[V8 Push back, ml]]</f>
        <v>23.5</v>
      </c>
      <c r="AG29" s="94">
        <f>Table3.110[[#This Row],[GP 8h, ml]]-(AVERAGE(AE$11,AE$12,AE$62,AE$61,AE$114,AE$115))*$AG$8</f>
        <v>21.844979731721114</v>
      </c>
      <c r="AH29" s="94">
        <f>Table3.110[[#This Row],[GP 8-24h, ml]]-(AVERAGE(AF$11,AF$12,AF$62,AF$61,AF$114,AF$115))*$AG$8</f>
        <v>19.81247184961266</v>
      </c>
      <c r="AI29" s="94">
        <f>Table3.110[[#This Row],[Net gas 8-24h, ml]]+Table3.110[[#This Row],[Net gas 8h, ml]]</f>
        <v>41.657451581333774</v>
      </c>
      <c r="AJ29" s="94">
        <f>Table3.110[[#This Row],[Net gas 8h, ml]]*Table3.110[[#This Row],[CH4 8h %]]%</f>
        <v>3.0146072029775142</v>
      </c>
      <c r="AK29" s="94">
        <f>Table3.110[[#This Row],[Net gas 8-24h, ml]]*Table3.110[[#This Row],[CH4 24h, %]]%</f>
        <v>3.4077451581333773</v>
      </c>
      <c r="AL29" s="94">
        <f>Table3.110[[#This Row],[CH4 8-24h, ml]]+Table3.110[[#This Row],[CH4 8h, ml]]</f>
        <v>6.4223523611108915</v>
      </c>
      <c r="AM29" s="94">
        <f>(Table3.110[[#This Row],[Net gas 24h, ml]]/Table3.110[[#This Row],[DM Incubated, mg]])*1000</f>
        <v>89.833453776350765</v>
      </c>
      <c r="AN29" s="94">
        <f>'3.2 Digest'!X29</f>
        <v>16.652054874817445</v>
      </c>
      <c r="AO29" s="94">
        <f>Table3.110[[#This Row],[Digested feed, mg]]/Table3.110[[#This Row],[Net gas 24h, ml]]</f>
        <v>1.853658539754508</v>
      </c>
      <c r="AP29" s="94">
        <f>Table3.110[[#This Row],[CH4 8h, ml]]/Table3.110[[#This Row],[Net gas 8h, ml]]%</f>
        <v>13.8</v>
      </c>
      <c r="AQ29" s="94">
        <f>Table3.110[[#This Row],[CH4 24h, ml]]/Table3.110[[#This Row],[Net gas 24h, ml]]%</f>
        <v>15.417055334197816</v>
      </c>
      <c r="AR29" s="94">
        <f>Table3.110[[#This Row],[CH4 24h, ml]]/Table3.110[[#This Row],[DM Incubated, mg]]*1000</f>
        <v>13.849673277321017</v>
      </c>
      <c r="AS29" s="94">
        <f>Table3.110[[#This Row],[CH4 24h, ml]]/Table3.110[[#This Row],[Digested feed, mg]]*1000</f>
        <v>83.170956265977651</v>
      </c>
      <c r="AT29" s="94">
        <f>Table3.110[[#This Row],[CH4 24h, ml]]/'3.2 Digest'!AA29</f>
        <v>-0.26766889665781141</v>
      </c>
      <c r="AU29" s="94">
        <f>((Table3.110[[#This Row],[CH4 24h, ml]]/28.9)*16.04)/Table3.110[[#This Row],[DM Incubated, mg]]*1000</f>
        <v>7.6868082826376849</v>
      </c>
      <c r="AV29" s="94">
        <f>((Table3.110[[#This Row],[CH4 24h, ml]]/28.9)*16.04)/Table3.110[[#This Row],[Digested feed, mg]]*1000</f>
        <v>46.16131967149763</v>
      </c>
    </row>
    <row r="30" spans="2:50" s="89" customFormat="1" x14ac:dyDescent="0.35">
      <c r="B30" s="90">
        <f t="shared" si="0"/>
        <v>20</v>
      </c>
      <c r="C30" s="140">
        <v>46041</v>
      </c>
      <c r="D30" s="6" t="s">
        <v>16</v>
      </c>
      <c r="E30" s="6" t="s">
        <v>38</v>
      </c>
      <c r="F30" s="133" t="s">
        <v>19</v>
      </c>
      <c r="G30" s="133" t="s">
        <v>20</v>
      </c>
      <c r="H30" s="133" t="s">
        <v>21</v>
      </c>
      <c r="I30" s="6" t="s">
        <v>22</v>
      </c>
      <c r="J30" s="129" t="s">
        <v>23</v>
      </c>
      <c r="K30" s="129" t="s">
        <v>24</v>
      </c>
      <c r="L30" s="6" t="s">
        <v>37</v>
      </c>
      <c r="M30" s="119">
        <v>27</v>
      </c>
      <c r="N30" s="93">
        <v>58</v>
      </c>
      <c r="O30" s="6">
        <v>1</v>
      </c>
      <c r="P30" s="129">
        <v>3</v>
      </c>
      <c r="Q30" s="6">
        <v>200</v>
      </c>
      <c r="R30" s="98">
        <v>0.5</v>
      </c>
      <c r="S30" s="94">
        <f>((Table3.110[[#This Row],[Sample weight, g]]*'2.1. DM'!Q21)/100)*1000</f>
        <v>463.16289539367671</v>
      </c>
      <c r="T30" s="94">
        <f>'3.2 Digest'!W30</f>
        <v>96.662895393676649</v>
      </c>
      <c r="U30" s="117">
        <v>0.37361111111111112</v>
      </c>
      <c r="V30" s="155">
        <v>41.5</v>
      </c>
      <c r="W30" s="117">
        <v>0.70902777777777781</v>
      </c>
      <c r="X30" s="97">
        <v>67</v>
      </c>
      <c r="Y30" s="97">
        <v>14.2</v>
      </c>
      <c r="Z30" s="155">
        <v>40</v>
      </c>
      <c r="AA30" s="117">
        <v>0.37569444444444444</v>
      </c>
      <c r="AB30" s="155">
        <v>64.5</v>
      </c>
      <c r="AC30" s="155">
        <v>17.3</v>
      </c>
      <c r="AD30" s="101"/>
      <c r="AE30" s="94">
        <f>Table3.110[[#This Row],[Gas 8h, ml]]-Table3.110[[#This Row],[Gas 0h, ml]]</f>
        <v>25.5</v>
      </c>
      <c r="AF30" s="94">
        <f>Table3.110[[#This Row],[Gas 24h, ml]]-Table3.110[[#This Row],[V8 Push back, ml]]</f>
        <v>24.5</v>
      </c>
      <c r="AG30" s="94">
        <f>Table3.110[[#This Row],[GP 8h, ml]]-(AVERAGE(AE$11,AE$12,AE$62,AE$61,AE$114,AE$115))*$AG$8</f>
        <v>22.844979731721114</v>
      </c>
      <c r="AH30" s="94">
        <f>Table3.110[[#This Row],[GP 8-24h, ml]]-(AVERAGE(AF$11,AF$12,AF$62,AF$61,AF$114,AF$115))*$AG$8</f>
        <v>20.81247184961266</v>
      </c>
      <c r="AI30" s="94">
        <f>Table3.110[[#This Row],[Net gas 8-24h, ml]]+Table3.110[[#This Row],[Net gas 8h, ml]]</f>
        <v>43.657451581333774</v>
      </c>
      <c r="AJ30" s="94">
        <f>Table3.110[[#This Row],[Net gas 8h, ml]]*Table3.110[[#This Row],[CH4 8h %]]%</f>
        <v>3.2439871219043979</v>
      </c>
      <c r="AK30" s="94">
        <f>Table3.110[[#This Row],[Net gas 8-24h, ml]]*Table3.110[[#This Row],[CH4 24h, %]]%</f>
        <v>3.6005576299829904</v>
      </c>
      <c r="AL30" s="94">
        <f>Table3.110[[#This Row],[CH4 8-24h, ml]]+Table3.110[[#This Row],[CH4 8h, ml]]</f>
        <v>6.8445447518873888</v>
      </c>
      <c r="AM30" s="94">
        <f>(Table3.110[[#This Row],[Net gas 24h, ml]]/Table3.110[[#This Row],[DM Incubated, mg]])*1000</f>
        <v>94.259389116708164</v>
      </c>
      <c r="AN30" s="94">
        <f>'3.2 Digest'!X30</f>
        <v>20.870172536492941</v>
      </c>
      <c r="AO30" s="94">
        <f>Table3.110[[#This Row],[Digested feed, mg]]/Table3.110[[#This Row],[Net gas 24h, ml]]</f>
        <v>2.2141213445222245</v>
      </c>
      <c r="AP30" s="94">
        <f>Table3.110[[#This Row],[CH4 8h, ml]]/Table3.110[[#This Row],[Net gas 8h, ml]]%</f>
        <v>14.199999999999998</v>
      </c>
      <c r="AQ30" s="94">
        <f>Table3.110[[#This Row],[CH4 24h, ml]]/Table3.110[[#This Row],[Net gas 24h, ml]]%</f>
        <v>15.67783849942778</v>
      </c>
      <c r="AR30" s="94">
        <f>Table3.110[[#This Row],[CH4 24h, ml]]/Table3.110[[#This Row],[DM Incubated, mg]]*1000</f>
        <v>14.777834796264711</v>
      </c>
      <c r="AS30" s="94">
        <f>Table3.110[[#This Row],[CH4 24h, ml]]/Table3.110[[#This Row],[Digested feed, mg]]*1000</f>
        <v>70.808397824333483</v>
      </c>
      <c r="AT30" s="94">
        <f>Table3.110[[#This Row],[CH4 24h, ml]]/'3.2 Digest'!AA30</f>
        <v>-0.38629352790868715</v>
      </c>
      <c r="AU30" s="94">
        <f>((Table3.110[[#This Row],[CH4 24h, ml]]/28.9)*16.04)/Table3.110[[#This Row],[DM Incubated, mg]]*1000</f>
        <v>8.2019539838092044</v>
      </c>
      <c r="AV30" s="94">
        <f>((Table3.110[[#This Row],[CH4 24h, ml]]/28.9)*16.04)/Table3.110[[#This Row],[Digested feed, mg]]*1000</f>
        <v>39.299885851290973</v>
      </c>
    </row>
    <row r="31" spans="2:50" s="89" customFormat="1" x14ac:dyDescent="0.35">
      <c r="B31" s="90">
        <f t="shared" si="0"/>
        <v>21</v>
      </c>
      <c r="C31" s="140">
        <v>46041</v>
      </c>
      <c r="D31" s="6" t="s">
        <v>16</v>
      </c>
      <c r="E31" s="6" t="s">
        <v>40</v>
      </c>
      <c r="F31" s="133" t="s">
        <v>19</v>
      </c>
      <c r="G31" s="133" t="s">
        <v>20</v>
      </c>
      <c r="H31" s="133" t="s">
        <v>21</v>
      </c>
      <c r="I31" s="6" t="s">
        <v>22</v>
      </c>
      <c r="J31" s="129" t="s">
        <v>23</v>
      </c>
      <c r="K31" s="129" t="s">
        <v>24</v>
      </c>
      <c r="L31" s="6" t="s">
        <v>39</v>
      </c>
      <c r="M31" s="119">
        <v>27</v>
      </c>
      <c r="N31" s="93">
        <v>58</v>
      </c>
      <c r="O31" s="6">
        <v>1</v>
      </c>
      <c r="P31" s="129">
        <v>1</v>
      </c>
      <c r="Q31" s="6">
        <v>201</v>
      </c>
      <c r="R31" s="98">
        <v>0.50019999999999998</v>
      </c>
      <c r="S31" s="94">
        <f>((Table3.110[[#This Row],[Sample weight, g]]*'2.1. DM'!Q23)/100)*1000</f>
        <v>473.45267366316818</v>
      </c>
      <c r="T31" s="94">
        <f>'3.2 Digest'!W31</f>
        <v>87.252673663168196</v>
      </c>
      <c r="U31" s="156">
        <v>0.37430555555555556</v>
      </c>
      <c r="V31" s="154">
        <v>41.5</v>
      </c>
      <c r="W31" s="153">
        <v>0.70902777777777781</v>
      </c>
      <c r="X31" s="95">
        <v>65</v>
      </c>
      <c r="Y31" s="95">
        <v>13.6</v>
      </c>
      <c r="Z31" s="154">
        <v>40</v>
      </c>
      <c r="AA31" s="153">
        <v>0.37638888888888888</v>
      </c>
      <c r="AB31" s="154">
        <v>59</v>
      </c>
      <c r="AC31" s="154">
        <v>17.2</v>
      </c>
      <c r="AD31" s="102"/>
      <c r="AE31" s="94">
        <f>Table3.110[[#This Row],[Gas 8h, ml]]-Table3.110[[#This Row],[Gas 0h, ml]]</f>
        <v>23.5</v>
      </c>
      <c r="AF31" s="94">
        <f>Table3.110[[#This Row],[Gas 24h, ml]]-Table3.110[[#This Row],[V8 Push back, ml]]</f>
        <v>19</v>
      </c>
      <c r="AG31" s="94">
        <f>Table3.110[[#This Row],[GP 8h, ml]]-(AVERAGE(AE$11,AE$12,AE$62,AE$61,AE$114,AE$115))*$AG$8</f>
        <v>20.844979731721114</v>
      </c>
      <c r="AH31" s="94">
        <f>Table3.110[[#This Row],[GP 8-24h, ml]]-(AVERAGE(AF$11,AF$12,AF$62,AF$61,AF$114,AF$115))*$AG$8</f>
        <v>15.31247184961266</v>
      </c>
      <c r="AI31" s="94">
        <f>Table3.110[[#This Row],[Net gas 8-24h, ml]]+Table3.110[[#This Row],[Net gas 8h, ml]]</f>
        <v>36.157451581333774</v>
      </c>
      <c r="AJ31" s="94">
        <f>Table3.110[[#This Row],[Net gas 8h, ml]]*Table3.110[[#This Row],[CH4 8h %]]%</f>
        <v>2.8349172435140719</v>
      </c>
      <c r="AK31" s="94">
        <f>Table3.110[[#This Row],[Net gas 8-24h, ml]]*Table3.110[[#This Row],[CH4 24h, %]]%</f>
        <v>2.6337451581333773</v>
      </c>
      <c r="AL31" s="94">
        <f>Table3.110[[#This Row],[CH4 8-24h, ml]]+Table3.110[[#This Row],[CH4 8h, ml]]</f>
        <v>5.4686624016474497</v>
      </c>
      <c r="AM31" s="94">
        <f>(Table3.110[[#This Row],[Net gas 24h, ml]]/Table3.110[[#This Row],[DM Incubated, mg]])*1000</f>
        <v>76.369727308916893</v>
      </c>
      <c r="AN31" s="94">
        <f>'3.2 Digest'!X31</f>
        <v>18.429016988769398</v>
      </c>
      <c r="AO31" s="94">
        <f>Table3.110[[#This Row],[Digested feed, mg]]/Table3.110[[#This Row],[Net gas 24h, ml]]</f>
        <v>2.4131311762085645</v>
      </c>
      <c r="AP31" s="94">
        <f>Table3.110[[#This Row],[CH4 8h, ml]]/Table3.110[[#This Row],[Net gas 8h, ml]]%</f>
        <v>13.600000000000001</v>
      </c>
      <c r="AQ31" s="94">
        <f>Table3.110[[#This Row],[CH4 24h, ml]]/Table3.110[[#This Row],[Net gas 24h, ml]]%</f>
        <v>15.124579201457435</v>
      </c>
      <c r="AR31" s="94">
        <f>Table3.110[[#This Row],[CH4 24h, ml]]/Table3.110[[#This Row],[DM Incubated, mg]]*1000</f>
        <v>11.550599892774201</v>
      </c>
      <c r="AS31" s="94">
        <f>Table3.110[[#This Row],[CH4 24h, ml]]/Table3.110[[#This Row],[Digested feed, mg]]*1000</f>
        <v>62.676158472332588</v>
      </c>
      <c r="AT31" s="94">
        <f>Table3.110[[#This Row],[CH4 24h, ml]]/'3.2 Digest'!AA31</f>
        <v>-0.26832924517719831</v>
      </c>
      <c r="AU31" s="94">
        <f>((Table3.110[[#This Row],[CH4 24h, ml]]/28.9)*16.04)/Table3.110[[#This Row],[DM Incubated, mg]]*1000</f>
        <v>6.4107827778580688</v>
      </c>
      <c r="AV31" s="94">
        <f>((Table3.110[[#This Row],[CH4 24h, ml]]/28.9)*16.04)/Table3.110[[#This Row],[Digested feed, mg]]*1000</f>
        <v>34.786352314747916</v>
      </c>
    </row>
    <row r="32" spans="2:50" s="89" customFormat="1" x14ac:dyDescent="0.35">
      <c r="B32" s="90">
        <f t="shared" si="0"/>
        <v>22</v>
      </c>
      <c r="C32" s="140">
        <v>46041</v>
      </c>
      <c r="D32" s="6" t="s">
        <v>16</v>
      </c>
      <c r="E32" s="6" t="s">
        <v>40</v>
      </c>
      <c r="F32" s="133" t="s">
        <v>19</v>
      </c>
      <c r="G32" s="133" t="s">
        <v>20</v>
      </c>
      <c r="H32" s="133" t="s">
        <v>21</v>
      </c>
      <c r="I32" s="6" t="s">
        <v>22</v>
      </c>
      <c r="J32" s="129" t="s">
        <v>23</v>
      </c>
      <c r="K32" s="129" t="s">
        <v>24</v>
      </c>
      <c r="L32" s="6" t="s">
        <v>39</v>
      </c>
      <c r="M32" s="119">
        <v>27</v>
      </c>
      <c r="N32" s="93">
        <v>58</v>
      </c>
      <c r="O32" s="6">
        <v>1</v>
      </c>
      <c r="P32" s="6">
        <v>2</v>
      </c>
      <c r="Q32" s="6">
        <v>202</v>
      </c>
      <c r="R32" s="98">
        <v>0.50049999999999994</v>
      </c>
      <c r="S32" s="94">
        <f>((Table3.110[[#This Row],[Sample weight, g]]*'2.1. DM'!Q23)/100)*1000</f>
        <v>473.73663168415771</v>
      </c>
      <c r="T32" s="94">
        <f>'3.2 Digest'!W32</f>
        <v>92.236631684157658</v>
      </c>
      <c r="U32" s="117">
        <v>0.37430555555555556</v>
      </c>
      <c r="V32" s="155">
        <v>41</v>
      </c>
      <c r="W32" s="117">
        <v>0.70972222222222225</v>
      </c>
      <c r="X32" s="97">
        <v>63</v>
      </c>
      <c r="Y32" s="97">
        <v>15</v>
      </c>
      <c r="Z32" s="155">
        <v>41</v>
      </c>
      <c r="AA32" s="117">
        <v>0.37638888888888888</v>
      </c>
      <c r="AB32" s="155">
        <v>60</v>
      </c>
      <c r="AC32" s="155">
        <v>17.5</v>
      </c>
      <c r="AD32" s="96"/>
      <c r="AE32" s="94">
        <f>Table3.110[[#This Row],[Gas 8h, ml]]-Table3.110[[#This Row],[Gas 0h, ml]]</f>
        <v>22</v>
      </c>
      <c r="AF32" s="94">
        <f>Table3.110[[#This Row],[Gas 24h, ml]]-Table3.110[[#This Row],[V8 Push back, ml]]</f>
        <v>19</v>
      </c>
      <c r="AG32" s="94">
        <f>Table3.110[[#This Row],[GP 8h, ml]]-(AVERAGE(AE$11,AE$12,AE$62,AE$61,AE$114,AE$115))*$AG$8</f>
        <v>19.344979731721114</v>
      </c>
      <c r="AH32" s="94">
        <f>Table3.110[[#This Row],[GP 8-24h, ml]]-(AVERAGE(AF$11,AF$12,AF$62,AF$61,AF$114,AF$115))*$AG$8</f>
        <v>15.31247184961266</v>
      </c>
      <c r="AI32" s="94">
        <f>Table3.110[[#This Row],[Net gas 8-24h, ml]]+Table3.110[[#This Row],[Net gas 8h, ml]]</f>
        <v>34.657451581333774</v>
      </c>
      <c r="AJ32" s="94">
        <f>Table3.110[[#This Row],[Net gas 8h, ml]]*Table3.110[[#This Row],[CH4 8h %]]%</f>
        <v>2.9017469597581669</v>
      </c>
      <c r="AK32" s="94">
        <f>Table3.110[[#This Row],[Net gas 8-24h, ml]]*Table3.110[[#This Row],[CH4 24h, %]]%</f>
        <v>2.6796825736822152</v>
      </c>
      <c r="AL32" s="94">
        <f>Table3.110[[#This Row],[CH4 8-24h, ml]]+Table3.110[[#This Row],[CH4 8h, ml]]</f>
        <v>5.5814295334403816</v>
      </c>
      <c r="AM32" s="94">
        <f>(Table3.110[[#This Row],[Net gas 24h, ml]]/Table3.110[[#This Row],[DM Incubated, mg]])*1000</f>
        <v>73.157634988294618</v>
      </c>
      <c r="AN32" s="94">
        <f>'3.2 Digest'!X32</f>
        <v>19.470023113106489</v>
      </c>
      <c r="AO32" s="94">
        <f>Table3.110[[#This Row],[Digested feed, mg]]/Table3.110[[#This Row],[Net gas 24h, ml]]</f>
        <v>2.6613795151007458</v>
      </c>
      <c r="AP32" s="94">
        <f>Table3.110[[#This Row],[CH4 8h, ml]]/Table3.110[[#This Row],[Net gas 8h, ml]]%</f>
        <v>14.999999999999998</v>
      </c>
      <c r="AQ32" s="94">
        <f>Table3.110[[#This Row],[CH4 24h, ml]]/Table3.110[[#This Row],[Net gas 24h, ml]]%</f>
        <v>16.10455841030878</v>
      </c>
      <c r="AR32" s="94">
        <f>Table3.110[[#This Row],[CH4 24h, ml]]/Table3.110[[#This Row],[DM Incubated, mg]]*1000</f>
        <v>11.781714058290399</v>
      </c>
      <c r="AS32" s="94">
        <f>Table3.110[[#This Row],[CH4 24h, ml]]/Table3.110[[#This Row],[Digested feed, mg]]*1000</f>
        <v>60.512070221218138</v>
      </c>
      <c r="AT32" s="94">
        <f>Table3.110[[#This Row],[CH4 24h, ml]]/'3.2 Digest'!AA32</f>
        <v>-0.29618932396336356</v>
      </c>
      <c r="AU32" s="94">
        <f>((Table3.110[[#This Row],[CH4 24h, ml]]/28.9)*16.04)/Table3.110[[#This Row],[DM Incubated, mg]]*1000</f>
        <v>6.5390551382345317</v>
      </c>
      <c r="AV32" s="94">
        <f>((Table3.110[[#This Row],[CH4 24h, ml]]/28.9)*16.04)/Table3.110[[#This Row],[Digested feed, mg]]*1000</f>
        <v>33.585245894406185</v>
      </c>
    </row>
    <row r="33" spans="2:48" s="89" customFormat="1" x14ac:dyDescent="0.35">
      <c r="B33" s="90">
        <f t="shared" si="0"/>
        <v>23</v>
      </c>
      <c r="C33" s="140">
        <v>46041</v>
      </c>
      <c r="D33" s="6" t="s">
        <v>16</v>
      </c>
      <c r="E33" s="6" t="s">
        <v>40</v>
      </c>
      <c r="F33" s="133" t="s">
        <v>19</v>
      </c>
      <c r="G33" s="133" t="s">
        <v>20</v>
      </c>
      <c r="H33" s="133" t="s">
        <v>21</v>
      </c>
      <c r="I33" s="6" t="s">
        <v>22</v>
      </c>
      <c r="J33" s="129" t="s">
        <v>23</v>
      </c>
      <c r="K33" s="129" t="s">
        <v>24</v>
      </c>
      <c r="L33" s="6" t="s">
        <v>39</v>
      </c>
      <c r="M33" s="119">
        <v>27</v>
      </c>
      <c r="N33" s="93">
        <v>58</v>
      </c>
      <c r="O33" s="6">
        <v>1</v>
      </c>
      <c r="P33" s="129">
        <v>3</v>
      </c>
      <c r="Q33" s="6">
        <v>203</v>
      </c>
      <c r="R33" s="98">
        <v>0.50019999999999998</v>
      </c>
      <c r="S33" s="94">
        <f>((Table3.110[[#This Row],[Sample weight, g]]*'2.1. DM'!Q23)/100)*1000</f>
        <v>473.45267366316818</v>
      </c>
      <c r="T33" s="94">
        <f>'3.2 Digest'!W33</f>
        <v>67.452673663168241</v>
      </c>
      <c r="U33" s="153">
        <v>0.37430555555555556</v>
      </c>
      <c r="V33" s="154">
        <v>42</v>
      </c>
      <c r="W33" s="153">
        <v>0.7104166666666667</v>
      </c>
      <c r="X33" s="95">
        <v>65.5</v>
      </c>
      <c r="Y33" s="95">
        <v>13.6</v>
      </c>
      <c r="Z33" s="154">
        <v>40</v>
      </c>
      <c r="AA33" s="153">
        <v>0.37708333333333333</v>
      </c>
      <c r="AB33" s="154">
        <v>68.5</v>
      </c>
      <c r="AC33" s="154">
        <v>17.399999999999999</v>
      </c>
      <c r="AD33" s="91"/>
      <c r="AE33" s="94">
        <f>Table3.110[[#This Row],[Gas 8h, ml]]-Table3.110[[#This Row],[Gas 0h, ml]]</f>
        <v>23.5</v>
      </c>
      <c r="AF33" s="94">
        <f>Table3.110[[#This Row],[Gas 24h, ml]]-Table3.110[[#This Row],[V8 Push back, ml]]</f>
        <v>28.5</v>
      </c>
      <c r="AG33" s="94">
        <f>Table3.110[[#This Row],[GP 8h, ml]]-(AVERAGE(AE$11,AE$12,AE$62,AE$61,AE$114,AE$115))*$AG$8</f>
        <v>20.844979731721114</v>
      </c>
      <c r="AH33" s="94">
        <f>Table3.110[[#This Row],[GP 8-24h, ml]]-(AVERAGE(AF$11,AF$12,AF$62,AF$61,AF$114,AF$115))*$AG$8</f>
        <v>24.81247184961266</v>
      </c>
      <c r="AI33" s="94">
        <f>Table3.110[[#This Row],[Net gas 8-24h, ml]]+Table3.110[[#This Row],[Net gas 8h, ml]]</f>
        <v>45.657451581333774</v>
      </c>
      <c r="AJ33" s="94">
        <f>Table3.110[[#This Row],[Net gas 8h, ml]]*Table3.110[[#This Row],[CH4 8h %]]%</f>
        <v>2.8349172435140719</v>
      </c>
      <c r="AK33" s="94">
        <f>Table3.110[[#This Row],[Net gas 8-24h, ml]]*Table3.110[[#This Row],[CH4 24h, %]]%</f>
        <v>4.3173701018326023</v>
      </c>
      <c r="AL33" s="94">
        <f>Table3.110[[#This Row],[CH4 8-24h, ml]]+Table3.110[[#This Row],[CH4 8h, ml]]</f>
        <v>7.1522873453466742</v>
      </c>
      <c r="AM33" s="94">
        <f>(Table3.110[[#This Row],[Net gas 24h, ml]]/Table3.110[[#This Row],[DM Incubated, mg]])*1000</f>
        <v>96.435090815045598</v>
      </c>
      <c r="AN33" s="94">
        <f>'3.2 Digest'!X33</f>
        <v>14.24697280538679</v>
      </c>
      <c r="AO33" s="94">
        <f>Table3.110[[#This Row],[Digested feed, mg]]/Table3.110[[#This Row],[Net gas 24h, ml]]</f>
        <v>1.4773639641934166</v>
      </c>
      <c r="AP33" s="94">
        <f>Table3.110[[#This Row],[CH4 8h, ml]]/Table3.110[[#This Row],[Net gas 8h, ml]]%</f>
        <v>13.600000000000001</v>
      </c>
      <c r="AQ33" s="94">
        <f>Table3.110[[#This Row],[CH4 24h, ml]]/Table3.110[[#This Row],[Net gas 24h, ml]]%</f>
        <v>15.665104156340513</v>
      </c>
      <c r="AR33" s="94">
        <f>Table3.110[[#This Row],[CH4 24h, ml]]/Table3.110[[#This Row],[DM Incubated, mg]]*1000</f>
        <v>15.106657419438458</v>
      </c>
      <c r="AS33" s="94">
        <f>Table3.110[[#This Row],[CH4 24h, ml]]/Table3.110[[#This Row],[Digested feed, mg]]*1000</f>
        <v>106.03415634882533</v>
      </c>
      <c r="AT33" s="94">
        <f>Table3.110[[#This Row],[CH4 24h, ml]]/'3.2 Digest'!AA33</f>
        <v>-0.26936728546268796</v>
      </c>
      <c r="AU33" s="94">
        <f>((Table3.110[[#This Row],[CH4 24h, ml]]/28.9)*16.04)/Table3.110[[#This Row],[DM Incubated, mg]]*1000</f>
        <v>8.3844562286433515</v>
      </c>
      <c r="AV33" s="94">
        <f>((Table3.110[[#This Row],[CH4 24h, ml]]/28.9)*16.04)/Table3.110[[#This Row],[Digested feed, mg]]*1000</f>
        <v>58.850791274572956</v>
      </c>
    </row>
    <row r="34" spans="2:48" s="89" customFormat="1" x14ac:dyDescent="0.35">
      <c r="B34" s="90">
        <f t="shared" si="0"/>
        <v>24</v>
      </c>
      <c r="C34" s="140">
        <v>46041</v>
      </c>
      <c r="D34" s="6" t="s">
        <v>16</v>
      </c>
      <c r="E34" s="6" t="s">
        <v>42</v>
      </c>
      <c r="F34" s="133" t="s">
        <v>19</v>
      </c>
      <c r="G34" s="133" t="s">
        <v>20</v>
      </c>
      <c r="H34" s="133" t="s">
        <v>21</v>
      </c>
      <c r="I34" s="6" t="s">
        <v>22</v>
      </c>
      <c r="J34" s="129" t="s">
        <v>23</v>
      </c>
      <c r="K34" s="129" t="s">
        <v>24</v>
      </c>
      <c r="L34" s="6" t="s">
        <v>41</v>
      </c>
      <c r="M34" s="119">
        <v>27</v>
      </c>
      <c r="N34" s="93">
        <v>58</v>
      </c>
      <c r="O34" s="6">
        <v>1</v>
      </c>
      <c r="P34" s="129">
        <v>1</v>
      </c>
      <c r="Q34" s="6">
        <v>204</v>
      </c>
      <c r="R34" s="98">
        <v>0.50009999999999999</v>
      </c>
      <c r="S34" s="94">
        <f>((Table3.110[[#This Row],[Sample weight, g]]*'2.1. DM'!Q25)/100)*1000</f>
        <v>475.03002523680652</v>
      </c>
      <c r="T34" s="94">
        <f>'3.2 Digest'!W34</f>
        <v>84.230025236806512</v>
      </c>
      <c r="U34" s="117">
        <v>0.375</v>
      </c>
      <c r="V34" s="155">
        <v>41.5</v>
      </c>
      <c r="W34" s="117">
        <v>0.7104166666666667</v>
      </c>
      <c r="X34" s="97">
        <v>61.5</v>
      </c>
      <c r="Y34" s="97">
        <v>14.9</v>
      </c>
      <c r="Z34" s="155">
        <v>41</v>
      </c>
      <c r="AA34" s="117">
        <v>0.37708333333333333</v>
      </c>
      <c r="AB34" s="155">
        <v>60.5</v>
      </c>
      <c r="AC34" s="155">
        <v>17.3</v>
      </c>
      <c r="AD34" s="96"/>
      <c r="AE34" s="94">
        <f>Table3.110[[#This Row],[Gas 8h, ml]]-Table3.110[[#This Row],[Gas 0h, ml]]</f>
        <v>20</v>
      </c>
      <c r="AF34" s="94">
        <f>Table3.110[[#This Row],[Gas 24h, ml]]-Table3.110[[#This Row],[V8 Push back, ml]]</f>
        <v>19.5</v>
      </c>
      <c r="AG34" s="94">
        <f>Table3.110[[#This Row],[GP 8h, ml]]-(AVERAGE(AE$11,AE$12,AE$62,AE$61,AE$114,AE$115))*$AG$8</f>
        <v>17.344979731721114</v>
      </c>
      <c r="AH34" s="94">
        <f>Table3.110[[#This Row],[GP 8-24h, ml]]-(AVERAGE(AF$11,AF$12,AF$62,AF$61,AF$114,AF$115))*$AG$8</f>
        <v>15.81247184961266</v>
      </c>
      <c r="AI34" s="94">
        <f>Table3.110[[#This Row],[Net gas 8-24h, ml]]+Table3.110[[#This Row],[Net gas 8h, ml]]</f>
        <v>33.157451581333774</v>
      </c>
      <c r="AJ34" s="94">
        <f>Table3.110[[#This Row],[Net gas 8h, ml]]*Table3.110[[#This Row],[CH4 8h %]]%</f>
        <v>2.5844019800264459</v>
      </c>
      <c r="AK34" s="94">
        <f>Table3.110[[#This Row],[Net gas 8-24h, ml]]*Table3.110[[#This Row],[CH4 24h, %]]%</f>
        <v>2.7355576299829902</v>
      </c>
      <c r="AL34" s="94">
        <f>Table3.110[[#This Row],[CH4 8-24h, ml]]+Table3.110[[#This Row],[CH4 8h, ml]]</f>
        <v>5.3199596100094357</v>
      </c>
      <c r="AM34" s="94">
        <f>(Table3.110[[#This Row],[Net gas 24h, ml]]/Table3.110[[#This Row],[DM Incubated, mg]])*1000</f>
        <v>69.800749046977614</v>
      </c>
      <c r="AN34" s="94">
        <f>'3.2 Digest'!X34</f>
        <v>17.731516064656571</v>
      </c>
      <c r="AO34" s="94">
        <f>Table3.110[[#This Row],[Digested feed, mg]]/Table3.110[[#This Row],[Net gas 24h, ml]]</f>
        <v>2.5403045535690207</v>
      </c>
      <c r="AP34" s="94">
        <f>Table3.110[[#This Row],[CH4 8h, ml]]/Table3.110[[#This Row],[Net gas 8h, ml]]%</f>
        <v>14.9</v>
      </c>
      <c r="AQ34" s="94">
        <f>Table3.110[[#This Row],[CH4 24h, ml]]/Table3.110[[#This Row],[Net gas 24h, ml]]%</f>
        <v>16.044537068718348</v>
      </c>
      <c r="AR34" s="94">
        <f>Table3.110[[#This Row],[CH4 24h, ml]]/Table3.110[[#This Row],[DM Incubated, mg]]*1000</f>
        <v>11.199207055085392</v>
      </c>
      <c r="AS34" s="94">
        <f>Table3.110[[#This Row],[CH4 24h, ml]]/Table3.110[[#This Row],[Digested feed, mg]]*1000</f>
        <v>63.159895714773455</v>
      </c>
      <c r="AT34" s="94">
        <f>Table3.110[[#This Row],[CH4 24h, ml]]/'3.2 Digest'!AA34</f>
        <v>-0.23757475909247586</v>
      </c>
      <c r="AU34" s="94">
        <f>((Table3.110[[#This Row],[CH4 24h, ml]]/28.9)*16.04)/Table3.110[[#This Row],[DM Incubated, mg]]*1000</f>
        <v>6.2157536734799201</v>
      </c>
      <c r="AV34" s="94">
        <f>((Table3.110[[#This Row],[CH4 24h, ml]]/28.9)*16.04)/Table3.110[[#This Row],[Digested feed, mg]]*1000</f>
        <v>35.054834853459042</v>
      </c>
    </row>
    <row r="35" spans="2:48" s="89" customFormat="1" x14ac:dyDescent="0.35">
      <c r="B35" s="90">
        <f t="shared" si="0"/>
        <v>25</v>
      </c>
      <c r="C35" s="140">
        <v>46041</v>
      </c>
      <c r="D35" s="6" t="s">
        <v>16</v>
      </c>
      <c r="E35" s="6" t="s">
        <v>42</v>
      </c>
      <c r="F35" s="133" t="s">
        <v>19</v>
      </c>
      <c r="G35" s="133" t="s">
        <v>20</v>
      </c>
      <c r="H35" s="133" t="s">
        <v>21</v>
      </c>
      <c r="I35" s="6" t="s">
        <v>22</v>
      </c>
      <c r="J35" s="129" t="s">
        <v>23</v>
      </c>
      <c r="K35" s="129" t="s">
        <v>24</v>
      </c>
      <c r="L35" s="6" t="s">
        <v>41</v>
      </c>
      <c r="M35" s="119">
        <v>27</v>
      </c>
      <c r="N35" s="93">
        <v>58</v>
      </c>
      <c r="O35" s="6">
        <v>1</v>
      </c>
      <c r="P35" s="129">
        <v>2</v>
      </c>
      <c r="Q35" s="6">
        <v>205</v>
      </c>
      <c r="R35" s="98">
        <v>0.50019999999999998</v>
      </c>
      <c r="S35" s="94">
        <f>((Table3.110[[#This Row],[Sample weight, g]]*'2.1. DM'!Q25)/100)*1000</f>
        <v>475.12501224445236</v>
      </c>
      <c r="T35" s="94">
        <f>'3.2 Digest'!W35</f>
        <v>95.925012244452375</v>
      </c>
      <c r="U35" s="153">
        <v>0.375</v>
      </c>
      <c r="V35" s="154">
        <v>41.5</v>
      </c>
      <c r="W35" s="153">
        <v>0.71111111111111114</v>
      </c>
      <c r="X35" s="95">
        <v>64.5</v>
      </c>
      <c r="Y35" s="95">
        <v>13.7</v>
      </c>
      <c r="Z35" s="154">
        <v>41.5</v>
      </c>
      <c r="AA35" s="153">
        <v>0.37777777777777777</v>
      </c>
      <c r="AB35" s="154">
        <v>60.5</v>
      </c>
      <c r="AC35" s="154">
        <v>17.100000000000001</v>
      </c>
      <c r="AD35" s="91"/>
      <c r="AE35" s="94">
        <f>Table3.110[[#This Row],[Gas 8h, ml]]-Table3.110[[#This Row],[Gas 0h, ml]]</f>
        <v>23</v>
      </c>
      <c r="AF35" s="94">
        <f>Table3.110[[#This Row],[Gas 24h, ml]]-Table3.110[[#This Row],[V8 Push back, ml]]</f>
        <v>19</v>
      </c>
      <c r="AG35" s="94">
        <f>Table3.110[[#This Row],[GP 8h, ml]]-(AVERAGE(AE$11,AE$12,AE$62,AE$61,AE$114,AE$115))*$AG$8</f>
        <v>20.344979731721114</v>
      </c>
      <c r="AH35" s="94">
        <f>Table3.110[[#This Row],[GP 8-24h, ml]]-(AVERAGE(AF$11,AF$12,AF$62,AF$61,AF$114,AF$115))*$AG$8</f>
        <v>15.31247184961266</v>
      </c>
      <c r="AI35" s="94">
        <f>Table3.110[[#This Row],[Net gas 8-24h, ml]]+Table3.110[[#This Row],[Net gas 8h, ml]]</f>
        <v>35.657451581333774</v>
      </c>
      <c r="AJ35" s="94">
        <f>Table3.110[[#This Row],[Net gas 8h, ml]]*Table3.110[[#This Row],[CH4 8h %]]%</f>
        <v>2.7872622232457922</v>
      </c>
      <c r="AK35" s="94">
        <f>Table3.110[[#This Row],[Net gas 8-24h, ml]]*Table3.110[[#This Row],[CH4 24h, %]]%</f>
        <v>2.6184326862837648</v>
      </c>
      <c r="AL35" s="94">
        <f>Table3.110[[#This Row],[CH4 8-24h, ml]]+Table3.110[[#This Row],[CH4 8h, ml]]</f>
        <v>5.405694909529557</v>
      </c>
      <c r="AM35" s="94">
        <f>(Table3.110[[#This Row],[Net gas 24h, ml]]/Table3.110[[#This Row],[DM Incubated, mg]])*1000</f>
        <v>75.048567560968507</v>
      </c>
      <c r="AN35" s="94">
        <f>'3.2 Digest'!X35</f>
        <v>20.189425892631991</v>
      </c>
      <c r="AO35" s="94">
        <f>Table3.110[[#This Row],[Digested feed, mg]]/Table3.110[[#This Row],[Net gas 24h, ml]]</f>
        <v>2.6901813783761233</v>
      </c>
      <c r="AP35" s="94">
        <f>Table3.110[[#This Row],[CH4 8h, ml]]/Table3.110[[#This Row],[Net gas 8h, ml]]%</f>
        <v>13.699999999999998</v>
      </c>
      <c r="AQ35" s="94">
        <f>Table3.110[[#This Row],[CH4 24h, ml]]/Table3.110[[#This Row],[Net gas 24h, ml]]%</f>
        <v>15.160070812125479</v>
      </c>
      <c r="AR35" s="94">
        <f>Table3.110[[#This Row],[CH4 24h, ml]]/Table3.110[[#This Row],[DM Incubated, mg]]*1000</f>
        <v>11.377415985728659</v>
      </c>
      <c r="AS35" s="94">
        <f>Table3.110[[#This Row],[CH4 24h, ml]]/Table3.110[[#This Row],[Digested feed, mg]]*1000</f>
        <v>56.353340834128318</v>
      </c>
      <c r="AT35" s="94">
        <f>Table3.110[[#This Row],[CH4 24h, ml]]/'3.2 Digest'!AA35</f>
        <v>-0.28851776551576175</v>
      </c>
      <c r="AU35" s="94">
        <f>((Table3.110[[#This Row],[CH4 24h, ml]]/28.9)*16.04)/Table3.110[[#This Row],[DM Incubated, mg]]*1000</f>
        <v>6.3146627131864257</v>
      </c>
      <c r="AV35" s="94">
        <f>((Table3.110[[#This Row],[CH4 24h, ml]]/28.9)*16.04)/Table3.110[[#This Row],[Digested feed, mg]]*1000</f>
        <v>31.277079134235926</v>
      </c>
    </row>
    <row r="36" spans="2:48" s="89" customFormat="1" x14ac:dyDescent="0.35">
      <c r="B36" s="90">
        <f t="shared" si="0"/>
        <v>26</v>
      </c>
      <c r="C36" s="140">
        <v>46041</v>
      </c>
      <c r="D36" s="6" t="s">
        <v>16</v>
      </c>
      <c r="E36" s="6" t="s">
        <v>42</v>
      </c>
      <c r="F36" s="133" t="s">
        <v>19</v>
      </c>
      <c r="G36" s="133" t="s">
        <v>20</v>
      </c>
      <c r="H36" s="133" t="s">
        <v>21</v>
      </c>
      <c r="I36" s="6" t="s">
        <v>22</v>
      </c>
      <c r="J36" s="129" t="s">
        <v>23</v>
      </c>
      <c r="K36" s="129" t="s">
        <v>24</v>
      </c>
      <c r="L36" s="6" t="s">
        <v>41</v>
      </c>
      <c r="M36" s="119">
        <v>27</v>
      </c>
      <c r="N36" s="93">
        <v>58</v>
      </c>
      <c r="O36" s="6">
        <v>1</v>
      </c>
      <c r="P36" s="129">
        <v>3</v>
      </c>
      <c r="Q36" s="6">
        <v>206</v>
      </c>
      <c r="R36" s="98">
        <v>0.50070000000000003</v>
      </c>
      <c r="S36" s="94">
        <f>((Table3.110[[#This Row],[Sample weight, g]]*'2.1. DM'!Q25)/100)*1000</f>
        <v>475.59994728268157</v>
      </c>
      <c r="T36" s="94">
        <f>'3.2 Digest'!W36</f>
        <v>0</v>
      </c>
      <c r="U36" s="117">
        <v>0.37569444444444444</v>
      </c>
      <c r="V36" s="155">
        <v>42</v>
      </c>
      <c r="W36" s="117">
        <v>0.71180555555555558</v>
      </c>
      <c r="X36" s="97">
        <v>62</v>
      </c>
      <c r="Y36" s="97">
        <v>13.5</v>
      </c>
      <c r="Z36" s="155">
        <v>41</v>
      </c>
      <c r="AA36" s="117">
        <v>0.37777777777777777</v>
      </c>
      <c r="AB36" s="155">
        <v>59</v>
      </c>
      <c r="AC36" s="155">
        <v>17.2</v>
      </c>
      <c r="AD36" s="96"/>
      <c r="AE36" s="94">
        <f>Table3.110[[#This Row],[Gas 8h, ml]]-Table3.110[[#This Row],[Gas 0h, ml]]</f>
        <v>20</v>
      </c>
      <c r="AF36" s="94">
        <f>Table3.110[[#This Row],[Gas 24h, ml]]-Table3.110[[#This Row],[V8 Push back, ml]]</f>
        <v>18</v>
      </c>
      <c r="AG36" s="94"/>
      <c r="AH36" s="94"/>
      <c r="AI36" s="94"/>
      <c r="AJ36" s="94"/>
      <c r="AK36" s="94"/>
      <c r="AL36" s="94"/>
      <c r="AM36" s="94"/>
      <c r="AN36" s="94"/>
      <c r="AO36" s="94"/>
      <c r="AP36" s="94"/>
      <c r="AQ36" s="94"/>
      <c r="AR36" s="94"/>
      <c r="AS36" s="94"/>
      <c r="AT36" s="94"/>
      <c r="AU36" s="94"/>
      <c r="AV36" s="94"/>
    </row>
    <row r="37" spans="2:48" s="89" customFormat="1" x14ac:dyDescent="0.35">
      <c r="B37" s="90">
        <f t="shared" si="0"/>
        <v>27</v>
      </c>
      <c r="C37" s="140">
        <v>46041</v>
      </c>
      <c r="D37" s="6" t="s">
        <v>16</v>
      </c>
      <c r="E37" s="6" t="s">
        <v>44</v>
      </c>
      <c r="F37" s="133" t="s">
        <v>19</v>
      </c>
      <c r="G37" s="133" t="s">
        <v>20</v>
      </c>
      <c r="H37" s="133" t="s">
        <v>21</v>
      </c>
      <c r="I37" s="6" t="s">
        <v>22</v>
      </c>
      <c r="J37" s="129" t="s">
        <v>23</v>
      </c>
      <c r="K37" s="129" t="s">
        <v>24</v>
      </c>
      <c r="L37" s="6" t="s">
        <v>43</v>
      </c>
      <c r="M37" s="119">
        <v>27</v>
      </c>
      <c r="N37" s="93">
        <v>58</v>
      </c>
      <c r="O37" s="6">
        <v>1</v>
      </c>
      <c r="P37" s="6">
        <v>1</v>
      </c>
      <c r="Q37" s="6">
        <v>207</v>
      </c>
      <c r="R37" s="98">
        <v>0.50039999999999996</v>
      </c>
      <c r="S37" s="94">
        <f>((Table3.110[[#This Row],[Sample weight, g]]*'2.1. DM'!Q27)/100)*1000</f>
        <v>473.09454327403586</v>
      </c>
      <c r="T37" s="94">
        <f>'3.2 Digest'!W37</f>
        <v>82.394543274035925</v>
      </c>
      <c r="U37" s="153">
        <v>0.37569444444444444</v>
      </c>
      <c r="V37" s="154">
        <v>41.5</v>
      </c>
      <c r="W37" s="153">
        <v>0.71250000000000002</v>
      </c>
      <c r="X37" s="95">
        <v>63.5</v>
      </c>
      <c r="Y37" s="95">
        <v>13.8</v>
      </c>
      <c r="Z37" s="154">
        <v>42.5</v>
      </c>
      <c r="AA37" s="153">
        <v>0.37847222222222221</v>
      </c>
      <c r="AB37" s="154">
        <v>63.5</v>
      </c>
      <c r="AC37" s="154">
        <v>17.7</v>
      </c>
      <c r="AD37" s="91"/>
      <c r="AE37" s="94">
        <f>Table3.110[[#This Row],[Gas 8h, ml]]-Table3.110[[#This Row],[Gas 0h, ml]]</f>
        <v>22</v>
      </c>
      <c r="AF37" s="94">
        <f>Table3.110[[#This Row],[Gas 24h, ml]]-Table3.110[[#This Row],[V8 Push back, ml]]</f>
        <v>21</v>
      </c>
      <c r="AG37" s="94">
        <f>Table3.110[[#This Row],[GP 8h, ml]]-(AVERAGE(AE$11,AE$12,AE$62,AE$61,AE$114,AE$115))*$AG$8</f>
        <v>19.344979731721114</v>
      </c>
      <c r="AH37" s="94">
        <f>Table3.110[[#This Row],[GP 8-24h, ml]]-(AVERAGE(AF$11,AF$12,AF$62,AF$61,AF$114,AF$115))*$AG$8</f>
        <v>17.31247184961266</v>
      </c>
      <c r="AI37" s="94">
        <f>Table3.110[[#This Row],[Net gas 8-24h, ml]]+Table3.110[[#This Row],[Net gas 8h, ml]]</f>
        <v>36.657451581333774</v>
      </c>
      <c r="AJ37" s="94">
        <f>Table3.110[[#This Row],[Net gas 8h, ml]]*Table3.110[[#This Row],[CH4 8h %]]%</f>
        <v>2.669607202977514</v>
      </c>
      <c r="AK37" s="94">
        <f>Table3.110[[#This Row],[Net gas 8-24h, ml]]*Table3.110[[#This Row],[CH4 24h, %]]%</f>
        <v>3.0643075173814407</v>
      </c>
      <c r="AL37" s="94">
        <f>Table3.110[[#This Row],[CH4 8-24h, ml]]+Table3.110[[#This Row],[CH4 8h, ml]]</f>
        <v>5.7339147203589551</v>
      </c>
      <c r="AM37" s="94">
        <f>(Table3.110[[#This Row],[Net gas 24h, ml]]/Table3.110[[#This Row],[DM Incubated, mg]])*1000</f>
        <v>77.484410045499644</v>
      </c>
      <c r="AN37" s="94">
        <f>'3.2 Digest'!X37</f>
        <v>17.416084046082435</v>
      </c>
      <c r="AO37" s="94">
        <f>Table3.110[[#This Row],[Digested feed, mg]]/Table3.110[[#This Row],[Net gas 24h, ml]]</f>
        <v>2.2476887977666125</v>
      </c>
      <c r="AP37" s="94">
        <f>Table3.110[[#This Row],[CH4 8h, ml]]/Table3.110[[#This Row],[Net gas 8h, ml]]%</f>
        <v>13.8</v>
      </c>
      <c r="AQ37" s="94">
        <f>Table3.110[[#This Row],[CH4 24h, ml]]/Table3.110[[#This Row],[Net gas 24h, ml]]%</f>
        <v>15.641880362678306</v>
      </c>
      <c r="AR37" s="94">
        <f>Table3.110[[#This Row],[CH4 24h, ml]]/Table3.110[[#This Row],[DM Incubated, mg]]*1000</f>
        <v>12.120018719044145</v>
      </c>
      <c r="AS37" s="94">
        <f>Table3.110[[#This Row],[CH4 24h, ml]]/Table3.110[[#This Row],[Digested feed, mg]]*1000</f>
        <v>69.590952173720211</v>
      </c>
      <c r="AT37" s="94">
        <f>Table3.110[[#This Row],[CH4 24h, ml]]/'3.2 Digest'!AA37</f>
        <v>-0.30091153173316421</v>
      </c>
      <c r="AU37" s="94">
        <f>((Table3.110[[#This Row],[CH4 24h, ml]]/28.9)*16.04)/Table3.110[[#This Row],[DM Incubated, mg]]*1000</f>
        <v>6.7268200779746747</v>
      </c>
      <c r="AV37" s="94">
        <f>((Table3.110[[#This Row],[CH4 24h, ml]]/28.9)*16.04)/Table3.110[[#This Row],[Digested feed, mg]]*1000</f>
        <v>38.624182452127073</v>
      </c>
    </row>
    <row r="38" spans="2:48" s="89" customFormat="1" x14ac:dyDescent="0.35">
      <c r="B38" s="90">
        <f t="shared" si="0"/>
        <v>28</v>
      </c>
      <c r="C38" s="140">
        <v>46041</v>
      </c>
      <c r="D38" s="6" t="s">
        <v>16</v>
      </c>
      <c r="E38" s="6" t="s">
        <v>44</v>
      </c>
      <c r="F38" s="133" t="s">
        <v>19</v>
      </c>
      <c r="G38" s="133" t="s">
        <v>20</v>
      </c>
      <c r="H38" s="133" t="s">
        <v>21</v>
      </c>
      <c r="I38" s="6" t="s">
        <v>22</v>
      </c>
      <c r="J38" s="129" t="s">
        <v>23</v>
      </c>
      <c r="K38" s="129" t="s">
        <v>24</v>
      </c>
      <c r="L38" s="6" t="s">
        <v>43</v>
      </c>
      <c r="M38" s="119">
        <v>27</v>
      </c>
      <c r="N38" s="93">
        <v>58</v>
      </c>
      <c r="O38" s="6">
        <v>1</v>
      </c>
      <c r="P38" s="129">
        <v>2</v>
      </c>
      <c r="Q38" s="6">
        <v>208</v>
      </c>
      <c r="R38" s="98">
        <v>0.50070000000000003</v>
      </c>
      <c r="S38" s="94">
        <f>((Table3.110[[#This Row],[Sample weight, g]]*'2.1. DM'!Q27)/100)*1000</f>
        <v>473.37817309614269</v>
      </c>
      <c r="T38" s="94">
        <f>'3.2 Digest'!W38</f>
        <v>68.078173096142677</v>
      </c>
      <c r="U38" s="117">
        <v>0.37638888888888888</v>
      </c>
      <c r="V38" s="155">
        <v>42.5</v>
      </c>
      <c r="W38" s="117">
        <v>0.71250000000000002</v>
      </c>
      <c r="X38" s="97">
        <v>66</v>
      </c>
      <c r="Y38" s="97">
        <v>12.6</v>
      </c>
      <c r="Z38" s="155">
        <v>41</v>
      </c>
      <c r="AA38" s="117">
        <v>0.37847222222222221</v>
      </c>
      <c r="AB38" s="155">
        <v>60.5</v>
      </c>
      <c r="AC38" s="155">
        <v>17.600000000000001</v>
      </c>
      <c r="AD38" s="96"/>
      <c r="AE38" s="94">
        <f>Table3.110[[#This Row],[Gas 8h, ml]]-Table3.110[[#This Row],[Gas 0h, ml]]</f>
        <v>23.5</v>
      </c>
      <c r="AF38" s="94">
        <f>Table3.110[[#This Row],[Gas 24h, ml]]-Table3.110[[#This Row],[V8 Push back, ml]]</f>
        <v>19.5</v>
      </c>
      <c r="AG38" s="94">
        <f>Table3.110[[#This Row],[GP 8h, ml]]-(AVERAGE(AE$11,AE$12,AE$62,AE$61,AE$114,AE$115))*$AG$8</f>
        <v>20.844979731721114</v>
      </c>
      <c r="AH38" s="94">
        <f>Table3.110[[#This Row],[GP 8-24h, ml]]-(AVERAGE(AF$11,AF$12,AF$62,AF$61,AF$114,AF$115))*$AG$8</f>
        <v>15.81247184961266</v>
      </c>
      <c r="AI38" s="94">
        <f>Table3.110[[#This Row],[Net gas 8-24h, ml]]+Table3.110[[#This Row],[Net gas 8h, ml]]</f>
        <v>36.657451581333774</v>
      </c>
      <c r="AJ38" s="94">
        <f>Table3.110[[#This Row],[Net gas 8h, ml]]*Table3.110[[#This Row],[CH4 8h %]]%</f>
        <v>2.6264674461968602</v>
      </c>
      <c r="AK38" s="94">
        <f>Table3.110[[#This Row],[Net gas 8-24h, ml]]*Table3.110[[#This Row],[CH4 24h, %]]%</f>
        <v>2.7829950455318282</v>
      </c>
      <c r="AL38" s="94">
        <f>Table3.110[[#This Row],[CH4 8-24h, ml]]+Table3.110[[#This Row],[CH4 8h, ml]]</f>
        <v>5.4094624917286884</v>
      </c>
      <c r="AM38" s="94">
        <f>(Table3.110[[#This Row],[Net gas 24h, ml]]/Table3.110[[#This Row],[DM Incubated, mg]])*1000</f>
        <v>77.4379843953825</v>
      </c>
      <c r="AN38" s="94">
        <f>'3.2 Digest'!X38</f>
        <v>14.381350253408506</v>
      </c>
      <c r="AO38" s="94">
        <f>Table3.110[[#This Row],[Digested feed, mg]]/Table3.110[[#This Row],[Net gas 24h, ml]]</f>
        <v>1.8571441864990024</v>
      </c>
      <c r="AP38" s="94">
        <f>Table3.110[[#This Row],[CH4 8h, ml]]/Table3.110[[#This Row],[Net gas 8h, ml]]%</f>
        <v>12.6</v>
      </c>
      <c r="AQ38" s="94">
        <f>Table3.110[[#This Row],[CH4 24h, ml]]/Table3.110[[#This Row],[Net gas 24h, ml]]%</f>
        <v>14.756788206420831</v>
      </c>
      <c r="AR38" s="94">
        <f>Table3.110[[#This Row],[CH4 24h, ml]]/Table3.110[[#This Row],[DM Incubated, mg]]*1000</f>
        <v>11.427359348547808</v>
      </c>
      <c r="AS38" s="94">
        <f>Table3.110[[#This Row],[CH4 24h, ml]]/Table3.110[[#This Row],[Digested feed, mg]]*1000</f>
        <v>79.459571926074346</v>
      </c>
      <c r="AT38" s="94">
        <f>Table3.110[[#This Row],[CH4 24h, ml]]/'3.2 Digest'!AA38</f>
        <v>-0.23087659473561634</v>
      </c>
      <c r="AU38" s="94">
        <f>((Table3.110[[#This Row],[CH4 24h, ml]]/28.9)*16.04)/Table3.110[[#This Row],[DM Incubated, mg]]*1000</f>
        <v>6.3423821436230741</v>
      </c>
      <c r="AV38" s="94">
        <f>((Table3.110[[#This Row],[CH4 24h, ml]]/28.9)*16.04)/Table3.110[[#This Row],[Digested feed, mg]]*1000</f>
        <v>44.10143715204957</v>
      </c>
    </row>
    <row r="39" spans="2:48" s="89" customFormat="1" x14ac:dyDescent="0.35">
      <c r="B39" s="90">
        <f t="shared" si="0"/>
        <v>29</v>
      </c>
      <c r="C39" s="140">
        <v>46041</v>
      </c>
      <c r="D39" s="6" t="s">
        <v>16</v>
      </c>
      <c r="E39" s="6" t="s">
        <v>44</v>
      </c>
      <c r="F39" s="133" t="s">
        <v>19</v>
      </c>
      <c r="G39" s="133" t="s">
        <v>20</v>
      </c>
      <c r="H39" s="133" t="s">
        <v>21</v>
      </c>
      <c r="I39" s="6" t="s">
        <v>22</v>
      </c>
      <c r="J39" s="129" t="s">
        <v>23</v>
      </c>
      <c r="K39" s="129" t="s">
        <v>24</v>
      </c>
      <c r="L39" s="6" t="s">
        <v>43</v>
      </c>
      <c r="M39" s="119">
        <v>27</v>
      </c>
      <c r="N39" s="93">
        <v>58</v>
      </c>
      <c r="O39" s="6">
        <v>1</v>
      </c>
      <c r="P39" s="129">
        <v>3</v>
      </c>
      <c r="Q39" s="6">
        <v>209</v>
      </c>
      <c r="R39" s="98">
        <v>0.50019999999999998</v>
      </c>
      <c r="S39" s="94">
        <f>((Table3.110[[#This Row],[Sample weight, g]]*'2.1. DM'!Q27)/100)*1000</f>
        <v>472.90545672596471</v>
      </c>
      <c r="T39" s="94">
        <f>'3.2 Digest'!W39</f>
        <v>0</v>
      </c>
      <c r="U39" s="153">
        <v>0.37708333333333333</v>
      </c>
      <c r="V39" s="154">
        <v>42.5</v>
      </c>
      <c r="W39" s="153">
        <v>0.71250000000000002</v>
      </c>
      <c r="X39" s="95">
        <v>67</v>
      </c>
      <c r="Y39" s="95">
        <v>12.5</v>
      </c>
      <c r="Z39" s="154">
        <v>41.5</v>
      </c>
      <c r="AA39" s="153">
        <v>0.37916666666666665</v>
      </c>
      <c r="AB39" s="154">
        <v>61.5</v>
      </c>
      <c r="AC39" s="154">
        <v>17.3</v>
      </c>
      <c r="AD39" s="91"/>
      <c r="AE39" s="94">
        <f>Table3.110[[#This Row],[Gas 8h, ml]]-Table3.110[[#This Row],[Gas 0h, ml]]</f>
        <v>24.5</v>
      </c>
      <c r="AF39" s="94">
        <f>Table3.110[[#This Row],[Gas 24h, ml]]-Table3.110[[#This Row],[V8 Push back, ml]]</f>
        <v>20</v>
      </c>
      <c r="AG39" s="94">
        <f>Table3.110[[#This Row],[GP 8h, ml]]-(AVERAGE(AE$11,AE$12,AE$62,AE$61,AE$114,AE$115))*$AG$8</f>
        <v>21.844979731721114</v>
      </c>
      <c r="AH39" s="94">
        <f>Table3.110[[#This Row],[GP 8-24h, ml]]-(AVERAGE(AF$11,AF$12,AF$62,AF$61,AF$114,AF$115))*$AG$8</f>
        <v>16.31247184961266</v>
      </c>
      <c r="AI39" s="94">
        <f>Table3.110[[#This Row],[Net gas 8-24h, ml]]+Table3.110[[#This Row],[Net gas 8h, ml]]</f>
        <v>38.157451581333774</v>
      </c>
      <c r="AJ39" s="94">
        <f>Table3.110[[#This Row],[Net gas 8h, ml]]*Table3.110[[#This Row],[CH4 8h %]]%</f>
        <v>2.7306224664651393</v>
      </c>
      <c r="AK39" s="94">
        <f>Table3.110[[#This Row],[Net gas 8-24h, ml]]*Table3.110[[#This Row],[CH4 24h, %]]%</f>
        <v>2.8220576299829903</v>
      </c>
      <c r="AL39" s="94">
        <f>Table3.110[[#This Row],[CH4 8-24h, ml]]+Table3.110[[#This Row],[CH4 8h, ml]]</f>
        <v>5.55268009644813</v>
      </c>
      <c r="AM39" s="94">
        <f>(Table3.110[[#This Row],[Net gas 24h, ml]]/Table3.110[[#This Row],[DM Incubated, mg]])*1000</f>
        <v>80.687272770136232</v>
      </c>
      <c r="AN39" s="94">
        <f>'3.2 Digest'!X39</f>
        <v>0</v>
      </c>
      <c r="AO39" s="94">
        <f>Table3.110[[#This Row],[Digested feed, mg]]/Table3.110[[#This Row],[Net gas 24h, ml]]</f>
        <v>0</v>
      </c>
      <c r="AP39" s="94">
        <f>Table3.110[[#This Row],[CH4 8h, ml]]/Table3.110[[#This Row],[Net gas 8h, ml]]%</f>
        <v>12.5</v>
      </c>
      <c r="AQ39" s="94">
        <f>Table3.110[[#This Row],[CH4 24h, ml]]/Table3.110[[#This Row],[Net gas 24h, ml]]%</f>
        <v>14.552020290486178</v>
      </c>
      <c r="AR39" s="94">
        <f>Table3.110[[#This Row],[CH4 24h, ml]]/Table3.110[[#This Row],[DM Incubated, mg]]*1000</f>
        <v>11.741628305350156</v>
      </c>
      <c r="AS39" s="94" t="e">
        <f>Table3.110[[#This Row],[CH4 24h, ml]]/Table3.110[[#This Row],[Digested feed, mg]]*1000</f>
        <v>#DIV/0!</v>
      </c>
      <c r="AT39" s="94" t="e">
        <f>Table3.110[[#This Row],[CH4 24h, ml]]/'3.2 Digest'!AA39</f>
        <v>#DIV/0!</v>
      </c>
      <c r="AU39" s="94">
        <f>((Table3.110[[#This Row],[CH4 24h, ml]]/28.9)*16.04)/Table3.110[[#This Row],[DM Incubated, mg]]*1000</f>
        <v>6.5168068518275595</v>
      </c>
      <c r="AV39" s="94" t="e">
        <f>((Table3.110[[#This Row],[CH4 24h, ml]]/28.9)*16.04)/Table3.110[[#This Row],[Digested feed, mg]]*1000</f>
        <v>#DIV/0!</v>
      </c>
    </row>
    <row r="40" spans="2:48" s="89" customFormat="1" x14ac:dyDescent="0.35">
      <c r="B40" s="90">
        <f t="shared" si="0"/>
        <v>30</v>
      </c>
      <c r="C40" s="140">
        <v>46041</v>
      </c>
      <c r="D40" s="6" t="s">
        <v>16</v>
      </c>
      <c r="E40" s="6" t="s">
        <v>46</v>
      </c>
      <c r="F40" s="133" t="s">
        <v>19</v>
      </c>
      <c r="G40" s="133" t="s">
        <v>20</v>
      </c>
      <c r="H40" s="133" t="s">
        <v>21</v>
      </c>
      <c r="I40" s="6" t="s">
        <v>22</v>
      </c>
      <c r="J40" s="129" t="s">
        <v>23</v>
      </c>
      <c r="K40" s="129" t="s">
        <v>24</v>
      </c>
      <c r="L40" s="6" t="s">
        <v>45</v>
      </c>
      <c r="M40" s="119">
        <v>27</v>
      </c>
      <c r="N40" s="93">
        <v>58</v>
      </c>
      <c r="O40" s="6">
        <v>1</v>
      </c>
      <c r="P40" s="6">
        <v>1</v>
      </c>
      <c r="Q40" s="6">
        <v>210</v>
      </c>
      <c r="R40" s="98">
        <v>0.5</v>
      </c>
      <c r="S40" s="94">
        <f>((Table3.110[[#This Row],[Sample weight, g]]*'2.1. DM'!Q29)/100)*1000</f>
        <v>470.93822333012247</v>
      </c>
      <c r="T40" s="94">
        <f>'3.2 Digest'!W40</f>
        <v>98.238223330122537</v>
      </c>
      <c r="U40" s="117">
        <v>0.37708333333333333</v>
      </c>
      <c r="V40" s="155">
        <v>41.5</v>
      </c>
      <c r="W40" s="117">
        <v>0.71319444444444446</v>
      </c>
      <c r="X40" s="97">
        <v>66</v>
      </c>
      <c r="Y40" s="97">
        <v>13.2</v>
      </c>
      <c r="Z40" s="155">
        <v>41</v>
      </c>
      <c r="AA40" s="117">
        <v>0.37916666666666665</v>
      </c>
      <c r="AB40" s="155">
        <v>58</v>
      </c>
      <c r="AC40" s="155">
        <v>16.399999999999999</v>
      </c>
      <c r="AD40" s="96"/>
      <c r="AE40" s="94">
        <f>Table3.110[[#This Row],[Gas 8h, ml]]-Table3.110[[#This Row],[Gas 0h, ml]]</f>
        <v>24.5</v>
      </c>
      <c r="AF40" s="94">
        <f>Table3.110[[#This Row],[Gas 24h, ml]]-Table3.110[[#This Row],[V8 Push back, ml]]</f>
        <v>17</v>
      </c>
      <c r="AG40" s="94">
        <f>Table3.110[[#This Row],[GP 8h, ml]]-(AVERAGE(AE$11,AE$12,AE$62,AE$61,AE$114,AE$115))*$AG$8</f>
        <v>21.844979731721114</v>
      </c>
      <c r="AH40" s="94">
        <f>Table3.110[[#This Row],[GP 8-24h, ml]]-(AVERAGE(AF$11,AF$12,AF$62,AF$61,AF$114,AF$115))*$AG$8</f>
        <v>13.31247184961266</v>
      </c>
      <c r="AI40" s="94">
        <f>Table3.110[[#This Row],[Net gas 8-24h, ml]]+Table3.110[[#This Row],[Net gas 8h, ml]]</f>
        <v>35.157451581333774</v>
      </c>
      <c r="AJ40" s="94">
        <f>Table3.110[[#This Row],[Net gas 8h, ml]]*Table3.110[[#This Row],[CH4 8h %]]%</f>
        <v>2.8835373245871874</v>
      </c>
      <c r="AK40" s="94">
        <f>Table3.110[[#This Row],[Net gas 8-24h, ml]]*Table3.110[[#This Row],[CH4 24h, %]]%</f>
        <v>2.1832453833364758</v>
      </c>
      <c r="AL40" s="94">
        <f>Table3.110[[#This Row],[CH4 8-24h, ml]]+Table3.110[[#This Row],[CH4 8h, ml]]</f>
        <v>5.0667827079236627</v>
      </c>
      <c r="AM40" s="94">
        <f>(Table3.110[[#This Row],[Net gas 24h, ml]]/Table3.110[[#This Row],[DM Incubated, mg]])*1000</f>
        <v>74.654062549280027</v>
      </c>
      <c r="AN40" s="94">
        <f>'3.2 Digest'!X40</f>
        <v>20.860108282452714</v>
      </c>
      <c r="AO40" s="94">
        <f>Table3.110[[#This Row],[Digested feed, mg]]/Table3.110[[#This Row],[Net gas 24h, ml]]</f>
        <v>2.7942361835543386</v>
      </c>
      <c r="AP40" s="94">
        <f>Table3.110[[#This Row],[CH4 8h, ml]]/Table3.110[[#This Row],[Net gas 8h, ml]]%</f>
        <v>13.200000000000001</v>
      </c>
      <c r="AQ40" s="94">
        <f>Table3.110[[#This Row],[CH4 24h, ml]]/Table3.110[[#This Row],[Net gas 24h, ml]]%</f>
        <v>14.4116893575238</v>
      </c>
      <c r="AR40" s="94">
        <f>Table3.110[[#This Row],[CH4 24h, ml]]/Table3.110[[#This Row],[DM Incubated, mg]]*1000</f>
        <v>10.758911587373753</v>
      </c>
      <c r="AS40" s="94">
        <f>Table3.110[[#This Row],[CH4 24h, ml]]/Table3.110[[#This Row],[Digested feed, mg]]*1000</f>
        <v>51.576489640871259</v>
      </c>
      <c r="AT40" s="94">
        <f>Table3.110[[#This Row],[CH4 24h, ml]]/'3.2 Digest'!AA40</f>
        <v>-0.18515381185050153</v>
      </c>
      <c r="AU40" s="94">
        <f>((Table3.110[[#This Row],[CH4 24h, ml]]/28.9)*16.04)/Table3.110[[#This Row],[DM Incubated, mg]]*1000</f>
        <v>5.9713820713313144</v>
      </c>
      <c r="AV40" s="94">
        <f>((Table3.110[[#This Row],[CH4 24h, ml]]/28.9)*16.04)/Table3.110[[#This Row],[Digested feed, mg]]*1000</f>
        <v>28.625844077493948</v>
      </c>
    </row>
    <row r="41" spans="2:48" s="89" customFormat="1" x14ac:dyDescent="0.35">
      <c r="B41" s="90">
        <f t="shared" si="0"/>
        <v>31</v>
      </c>
      <c r="C41" s="140">
        <v>46041</v>
      </c>
      <c r="D41" s="6" t="s">
        <v>16</v>
      </c>
      <c r="E41" s="6" t="s">
        <v>46</v>
      </c>
      <c r="F41" s="133" t="s">
        <v>19</v>
      </c>
      <c r="G41" s="133" t="s">
        <v>20</v>
      </c>
      <c r="H41" s="133" t="s">
        <v>21</v>
      </c>
      <c r="I41" s="6" t="s">
        <v>22</v>
      </c>
      <c r="J41" s="129" t="s">
        <v>23</v>
      </c>
      <c r="K41" s="129" t="s">
        <v>24</v>
      </c>
      <c r="L41" s="6" t="s">
        <v>45</v>
      </c>
      <c r="M41" s="119">
        <v>27</v>
      </c>
      <c r="N41" s="93">
        <v>58</v>
      </c>
      <c r="O41" s="6">
        <v>1</v>
      </c>
      <c r="P41" s="129">
        <v>2</v>
      </c>
      <c r="Q41" s="6">
        <v>211</v>
      </c>
      <c r="R41" s="98">
        <v>0.50070000000000003</v>
      </c>
      <c r="S41" s="94">
        <f>((Table3.110[[#This Row],[Sample weight, g]]*'2.1. DM'!Q29)/100)*1000</f>
        <v>471.59753684278473</v>
      </c>
      <c r="T41" s="94">
        <f>'3.2 Digest'!W41</f>
        <v>107.29753684278478</v>
      </c>
      <c r="U41" s="153">
        <v>0.37777777777777777</v>
      </c>
      <c r="V41" s="154">
        <v>42</v>
      </c>
      <c r="W41" s="153">
        <v>0.71319444444444446</v>
      </c>
      <c r="X41" s="95">
        <v>67</v>
      </c>
      <c r="Y41" s="95">
        <v>12.3</v>
      </c>
      <c r="Z41" s="154">
        <v>40</v>
      </c>
      <c r="AA41" s="153">
        <v>0.37986111111111109</v>
      </c>
      <c r="AB41" s="154">
        <v>55.5</v>
      </c>
      <c r="AC41" s="154">
        <v>16.3</v>
      </c>
      <c r="AD41" s="91"/>
      <c r="AE41" s="94">
        <f>Table3.110[[#This Row],[Gas 8h, ml]]-Table3.110[[#This Row],[Gas 0h, ml]]</f>
        <v>25</v>
      </c>
      <c r="AF41" s="94">
        <f>Table3.110[[#This Row],[Gas 24h, ml]]-Table3.110[[#This Row],[V8 Push back, ml]]</f>
        <v>15.5</v>
      </c>
      <c r="AG41" s="94">
        <f>Table3.110[[#This Row],[GP 8h, ml]]-(AVERAGE(AE$11,AE$12,AE$62,AE$61,AE$114,AE$115))*$AG$8</f>
        <v>22.344979731721114</v>
      </c>
      <c r="AH41" s="94">
        <f>Table3.110[[#This Row],[GP 8-24h, ml]]-(AVERAGE(AF$11,AF$12,AF$62,AF$61,AF$114,AF$115))*$AG$8</f>
        <v>11.81247184961266</v>
      </c>
      <c r="AI41" s="94">
        <f>Table3.110[[#This Row],[Net gas 8-24h, ml]]+Table3.110[[#This Row],[Net gas 8h, ml]]</f>
        <v>34.157451581333774</v>
      </c>
      <c r="AJ41" s="94">
        <f>Table3.110[[#This Row],[Net gas 8h, ml]]*Table3.110[[#This Row],[CH4 8h %]]%</f>
        <v>2.7484325070016973</v>
      </c>
      <c r="AK41" s="94">
        <f>Table3.110[[#This Row],[Net gas 8-24h, ml]]*Table3.110[[#This Row],[CH4 24h, %]]%</f>
        <v>1.9254329114868636</v>
      </c>
      <c r="AL41" s="94">
        <f>Table3.110[[#This Row],[CH4 8-24h, ml]]+Table3.110[[#This Row],[CH4 8h, ml]]</f>
        <v>4.6738654184885604</v>
      </c>
      <c r="AM41" s="94">
        <f>(Table3.110[[#This Row],[Net gas 24h, ml]]/Table3.110[[#This Row],[DM Incubated, mg]])*1000</f>
        <v>72.429240852292139</v>
      </c>
      <c r="AN41" s="94">
        <f>'3.2 Digest'!X41</f>
        <v>22.751929020052174</v>
      </c>
      <c r="AO41" s="94">
        <f>Table3.110[[#This Row],[Digested feed, mg]]/Table3.110[[#This Row],[Net gas 24h, ml]]</f>
        <v>3.1412629419174909</v>
      </c>
      <c r="AP41" s="94">
        <f>Table3.110[[#This Row],[CH4 8h, ml]]/Table3.110[[#This Row],[Net gas 8h, ml]]%</f>
        <v>12.3</v>
      </c>
      <c r="AQ41" s="94">
        <f>Table3.110[[#This Row],[CH4 24h, ml]]/Table3.110[[#This Row],[Net gas 24h, ml]]%</f>
        <v>13.683296622288752</v>
      </c>
      <c r="AR41" s="94">
        <f>Table3.110[[#This Row],[CH4 24h, ml]]/Table3.110[[#This Row],[DM Incubated, mg]]*1000</f>
        <v>9.9107078670910749</v>
      </c>
      <c r="AS41" s="94">
        <f>Table3.110[[#This Row],[CH4 24h, ml]]/Table3.110[[#This Row],[Digested feed, mg]]*1000</f>
        <v>43.559857532767346</v>
      </c>
      <c r="AT41" s="94">
        <f>Table3.110[[#This Row],[CH4 24h, ml]]/'3.2 Digest'!AA41</f>
        <v>-0.19217702192146324</v>
      </c>
      <c r="AU41" s="94">
        <f>((Table3.110[[#This Row],[CH4 24h, ml]]/28.9)*16.04)/Table3.110[[#This Row],[DM Incubated, mg]]*1000</f>
        <v>5.5006143317695795</v>
      </c>
      <c r="AV41" s="94">
        <f>((Table3.110[[#This Row],[CH4 24h, ml]]/28.9)*16.04)/Table3.110[[#This Row],[Digested feed, mg]]*1000</f>
        <v>24.176474561439036</v>
      </c>
    </row>
    <row r="42" spans="2:48" s="89" customFormat="1" x14ac:dyDescent="0.35">
      <c r="B42" s="90">
        <f t="shared" si="0"/>
        <v>32</v>
      </c>
      <c r="C42" s="140">
        <v>46041</v>
      </c>
      <c r="D42" s="6" t="s">
        <v>16</v>
      </c>
      <c r="E42" s="6" t="s">
        <v>46</v>
      </c>
      <c r="F42" s="133" t="s">
        <v>19</v>
      </c>
      <c r="G42" s="133" t="s">
        <v>20</v>
      </c>
      <c r="H42" s="133" t="s">
        <v>21</v>
      </c>
      <c r="I42" s="6" t="s">
        <v>22</v>
      </c>
      <c r="J42" s="129" t="s">
        <v>23</v>
      </c>
      <c r="K42" s="129" t="s">
        <v>24</v>
      </c>
      <c r="L42" s="6" t="s">
        <v>45</v>
      </c>
      <c r="M42" s="119">
        <v>27</v>
      </c>
      <c r="N42" s="93">
        <v>58</v>
      </c>
      <c r="O42" s="6">
        <v>1</v>
      </c>
      <c r="P42" s="129">
        <v>3</v>
      </c>
      <c r="Q42" s="6">
        <v>212</v>
      </c>
      <c r="R42" s="98">
        <v>0.50029999999999997</v>
      </c>
      <c r="S42" s="94">
        <f>((Table3.110[[#This Row],[Sample weight, g]]*'2.1. DM'!Q29)/100)*1000</f>
        <v>471.22078626412053</v>
      </c>
      <c r="T42" s="94">
        <f>'3.2 Digest'!W42</f>
        <v>104.12078626412057</v>
      </c>
      <c r="U42" s="117">
        <v>0.37777777777777777</v>
      </c>
      <c r="V42" s="155">
        <v>41.5</v>
      </c>
      <c r="W42" s="117">
        <v>0.71388888888888891</v>
      </c>
      <c r="X42" s="97">
        <v>63.5</v>
      </c>
      <c r="Y42" s="97">
        <v>12.2</v>
      </c>
      <c r="Z42" s="155">
        <v>40.5</v>
      </c>
      <c r="AA42" s="117">
        <v>0.37986111111111109</v>
      </c>
      <c r="AB42" s="155">
        <v>56</v>
      </c>
      <c r="AC42" s="155">
        <v>16.5</v>
      </c>
      <c r="AD42" s="96"/>
      <c r="AE42" s="94">
        <f>Table3.110[[#This Row],[Gas 8h, ml]]-Table3.110[[#This Row],[Gas 0h, ml]]</f>
        <v>22</v>
      </c>
      <c r="AF42" s="94">
        <f>Table3.110[[#This Row],[Gas 24h, ml]]-Table3.110[[#This Row],[V8 Push back, ml]]</f>
        <v>15.5</v>
      </c>
      <c r="AG42" s="94">
        <f>Table3.110[[#This Row],[GP 8h, ml]]-(AVERAGE(AE$11,AE$12,AE$62,AE$61,AE$114,AE$115))*$AG$8</f>
        <v>19.344979731721114</v>
      </c>
      <c r="AH42" s="94">
        <f>Table3.110[[#This Row],[GP 8-24h, ml]]-(AVERAGE(AF$11,AF$12,AF$62,AF$61,AF$114,AF$115))*$AG$8</f>
        <v>11.81247184961266</v>
      </c>
      <c r="AI42" s="94">
        <f>Table3.110[[#This Row],[Net gas 8-24h, ml]]+Table3.110[[#This Row],[Net gas 8h, ml]]</f>
        <v>31.157451581333774</v>
      </c>
      <c r="AJ42" s="94">
        <f>Table3.110[[#This Row],[Net gas 8h, ml]]*Table3.110[[#This Row],[CH4 8h %]]%</f>
        <v>2.3600875272699757</v>
      </c>
      <c r="AK42" s="94">
        <f>Table3.110[[#This Row],[Net gas 8-24h, ml]]*Table3.110[[#This Row],[CH4 24h, %]]%</f>
        <v>1.9490578551860889</v>
      </c>
      <c r="AL42" s="94">
        <f>Table3.110[[#This Row],[CH4 8-24h, ml]]+Table3.110[[#This Row],[CH4 8h, ml]]</f>
        <v>4.3091453824560642</v>
      </c>
      <c r="AM42" s="94">
        <f>(Table3.110[[#This Row],[Net gas 24h, ml]]/Table3.110[[#This Row],[DM Incubated, mg]])*1000</f>
        <v>66.120707085849858</v>
      </c>
      <c r="AN42" s="94">
        <f>'3.2 Digest'!X42</f>
        <v>22.095966328140833</v>
      </c>
      <c r="AO42" s="94">
        <f>Table3.110[[#This Row],[Digested feed, mg]]/Table3.110[[#This Row],[Net gas 24h, ml]]</f>
        <v>3.3417619535513827</v>
      </c>
      <c r="AP42" s="94">
        <f>Table3.110[[#This Row],[CH4 8h, ml]]/Table3.110[[#This Row],[Net gas 8h, ml]]%</f>
        <v>12.199999999999998</v>
      </c>
      <c r="AQ42" s="94">
        <f>Table3.110[[#This Row],[CH4 24h, ml]]/Table3.110[[#This Row],[Net gas 24h, ml]]%</f>
        <v>13.830224115754207</v>
      </c>
      <c r="AR42" s="94">
        <f>Table3.110[[#This Row],[CH4 24h, ml]]/Table3.110[[#This Row],[DM Incubated, mg]]*1000</f>
        <v>9.1446419768944072</v>
      </c>
      <c r="AS42" s="94">
        <f>Table3.110[[#This Row],[CH4 24h, ml]]/Table3.110[[#This Row],[Digested feed, mg]]*1000</f>
        <v>41.386024223109146</v>
      </c>
      <c r="AT42" s="94">
        <f>Table3.110[[#This Row],[CH4 24h, ml]]/'3.2 Digest'!AA42</f>
        <v>-0.16980976060209824</v>
      </c>
      <c r="AU42" s="94">
        <f>((Table3.110[[#This Row],[CH4 24h, ml]]/28.9)*16.04)/Table3.110[[#This Row],[DM Incubated, mg]]*1000</f>
        <v>5.0754345089753041</v>
      </c>
      <c r="AV42" s="94">
        <f>((Table3.110[[#This Row],[CH4 24h, ml]]/28.9)*16.04)/Table3.110[[#This Row],[Digested feed, mg]]*1000</f>
        <v>22.969959465005907</v>
      </c>
    </row>
    <row r="43" spans="2:48" s="89" customFormat="1" x14ac:dyDescent="0.35">
      <c r="B43" s="90">
        <f t="shared" si="0"/>
        <v>33</v>
      </c>
      <c r="C43" s="140">
        <v>46041</v>
      </c>
      <c r="D43" s="6" t="s">
        <v>16</v>
      </c>
      <c r="E43" s="6" t="s">
        <v>48</v>
      </c>
      <c r="F43" s="133" t="s">
        <v>19</v>
      </c>
      <c r="G43" s="133" t="s">
        <v>20</v>
      </c>
      <c r="H43" s="133" t="s">
        <v>21</v>
      </c>
      <c r="I43" s="6" t="s">
        <v>22</v>
      </c>
      <c r="J43" s="129" t="s">
        <v>23</v>
      </c>
      <c r="K43" s="129" t="s">
        <v>24</v>
      </c>
      <c r="L43" s="6" t="s">
        <v>47</v>
      </c>
      <c r="M43" s="119">
        <v>27</v>
      </c>
      <c r="N43" s="93">
        <v>58</v>
      </c>
      <c r="O43" s="6">
        <v>1</v>
      </c>
      <c r="P43" s="6">
        <v>1</v>
      </c>
      <c r="Q43" s="6">
        <v>213</v>
      </c>
      <c r="R43" s="98">
        <v>0.5</v>
      </c>
      <c r="S43" s="94">
        <f>((Table3.110[[#This Row],[Sample weight, g]]*'2.1. DM'!Q31)/100)*1000</f>
        <v>467.63335711610762</v>
      </c>
      <c r="T43" s="94">
        <f>'3.2 Digest'!W43</f>
        <v>108.73335711610764</v>
      </c>
      <c r="U43" s="153">
        <v>0.37777777777777777</v>
      </c>
      <c r="V43" s="154">
        <v>41.5</v>
      </c>
      <c r="W43" s="153">
        <v>0.71458333333333335</v>
      </c>
      <c r="X43" s="95">
        <v>68</v>
      </c>
      <c r="Y43" s="95">
        <v>13.7</v>
      </c>
      <c r="Z43" s="154">
        <v>41</v>
      </c>
      <c r="AA43" s="153">
        <v>0.38055555555555554</v>
      </c>
      <c r="AB43" s="154">
        <v>63.5</v>
      </c>
      <c r="AC43" s="154">
        <v>16</v>
      </c>
      <c r="AD43" s="91"/>
      <c r="AE43" s="94">
        <f>Table3.110[[#This Row],[Gas 8h, ml]]-Table3.110[[#This Row],[Gas 0h, ml]]</f>
        <v>26.5</v>
      </c>
      <c r="AF43" s="94">
        <f>Table3.110[[#This Row],[Gas 24h, ml]]-Table3.110[[#This Row],[V8 Push back, ml]]</f>
        <v>22.5</v>
      </c>
      <c r="AG43" s="94">
        <f>Table3.110[[#This Row],[GP 8h, ml]]-(AVERAGE(AE$11,AE$12,AE$62,AE$61,AE$114,AE$115))*$AG$8</f>
        <v>23.844979731721114</v>
      </c>
      <c r="AH43" s="94">
        <f>Table3.110[[#This Row],[GP 8-24h, ml]]-(AVERAGE(AF$11,AF$12,AF$62,AF$61,AF$114,AF$115))*$AG$8</f>
        <v>18.81247184961266</v>
      </c>
      <c r="AI43" s="94">
        <f>Table3.110[[#This Row],[Net gas 8-24h, ml]]+Table3.110[[#This Row],[Net gas 8h, ml]]</f>
        <v>42.657451581333774</v>
      </c>
      <c r="AJ43" s="94">
        <f>Table3.110[[#This Row],[Net gas 8h, ml]]*Table3.110[[#This Row],[CH4 8h %]]%</f>
        <v>3.2667622232457925</v>
      </c>
      <c r="AK43" s="94">
        <f>Table3.110[[#This Row],[Net gas 8-24h, ml]]*Table3.110[[#This Row],[CH4 24h, %]]%</f>
        <v>3.0099954959380257</v>
      </c>
      <c r="AL43" s="94">
        <f>Table3.110[[#This Row],[CH4 8-24h, ml]]+Table3.110[[#This Row],[CH4 8h, ml]]</f>
        <v>6.2767577191838182</v>
      </c>
      <c r="AM43" s="94">
        <f>(Table3.110[[#This Row],[Net gas 24h, ml]]/Table3.110[[#This Row],[DM Incubated, mg]])*1000</f>
        <v>91.219864734205544</v>
      </c>
      <c r="AN43" s="94">
        <f>'3.2 Digest'!X43</f>
        <v>23.251839386878999</v>
      </c>
      <c r="AO43" s="94">
        <f>Table3.110[[#This Row],[Digested feed, mg]]/Table3.110[[#This Row],[Net gas 24h, ml]]</f>
        <v>2.5489885842990123</v>
      </c>
      <c r="AP43" s="94">
        <f>Table3.110[[#This Row],[CH4 8h, ml]]/Table3.110[[#This Row],[Net gas 8h, ml]]%</f>
        <v>13.7</v>
      </c>
      <c r="AQ43" s="94">
        <f>Table3.110[[#This Row],[CH4 24h, ml]]/Table3.110[[#This Row],[Net gas 24h, ml]]%</f>
        <v>14.714328883937428</v>
      </c>
      <c r="AR43" s="94">
        <f>Table3.110[[#This Row],[CH4 24h, ml]]/Table3.110[[#This Row],[DM Incubated, mg]]*1000</f>
        <v>13.422390904473858</v>
      </c>
      <c r="AS43" s="94">
        <f>Table3.110[[#This Row],[CH4 24h, ml]]/Table3.110[[#This Row],[Digested feed, mg]]*1000</f>
        <v>57.726146655081855</v>
      </c>
      <c r="AT43" s="94">
        <f>Table3.110[[#This Row],[CH4 24h, ml]]/'3.2 Digest'!AA43</f>
        <v>-0.22440349190492065</v>
      </c>
      <c r="AU43" s="94">
        <f>((Table3.110[[#This Row],[CH4 24h, ml]]/28.9)*16.04)/Table3.110[[#This Row],[DM Incubated, mg]]*1000</f>
        <v>7.4496591732789152</v>
      </c>
      <c r="AV43" s="94">
        <f>((Table3.110[[#This Row],[CH4 24h, ml]]/28.9)*16.04)/Table3.110[[#This Row],[Digested feed, mg]]*1000</f>
        <v>32.039010115830898</v>
      </c>
    </row>
    <row r="44" spans="2:48" s="89" customFormat="1" x14ac:dyDescent="0.35">
      <c r="B44" s="90">
        <f t="shared" si="0"/>
        <v>34</v>
      </c>
      <c r="C44" s="140">
        <v>46041</v>
      </c>
      <c r="D44" s="6" t="s">
        <v>16</v>
      </c>
      <c r="E44" s="6" t="s">
        <v>48</v>
      </c>
      <c r="F44" s="133" t="s">
        <v>19</v>
      </c>
      <c r="G44" s="133" t="s">
        <v>20</v>
      </c>
      <c r="H44" s="133" t="s">
        <v>21</v>
      </c>
      <c r="I44" s="6" t="s">
        <v>22</v>
      </c>
      <c r="J44" s="129" t="s">
        <v>23</v>
      </c>
      <c r="K44" s="129" t="s">
        <v>24</v>
      </c>
      <c r="L44" s="6" t="s">
        <v>47</v>
      </c>
      <c r="M44" s="119">
        <v>27</v>
      </c>
      <c r="N44" s="93">
        <v>58</v>
      </c>
      <c r="O44" s="6">
        <v>1</v>
      </c>
      <c r="P44" s="129">
        <v>2</v>
      </c>
      <c r="Q44" s="6">
        <v>214</v>
      </c>
      <c r="R44" s="98">
        <v>0.50049999999999994</v>
      </c>
      <c r="S44" s="94">
        <f>((Table3.110[[#This Row],[Sample weight, g]]*'2.1. DM'!Q31)/100)*1000</f>
        <v>468.10099047322365</v>
      </c>
      <c r="T44" s="94">
        <f>'3.2 Digest'!W44</f>
        <v>118.10099047322365</v>
      </c>
      <c r="U44" s="117">
        <v>0.37777777777777777</v>
      </c>
      <c r="V44" s="155">
        <v>40.5</v>
      </c>
      <c r="W44" s="117">
        <v>0.71458333333333335</v>
      </c>
      <c r="X44" s="97">
        <v>67.5</v>
      </c>
      <c r="Y44" s="97">
        <v>13.9</v>
      </c>
      <c r="Z44" s="155">
        <v>40</v>
      </c>
      <c r="AA44" s="117">
        <v>0.38055555555555554</v>
      </c>
      <c r="AB44" s="155">
        <v>61.5</v>
      </c>
      <c r="AC44" s="155">
        <v>15.8</v>
      </c>
      <c r="AD44" s="96"/>
      <c r="AE44" s="94">
        <f>Table3.110[[#This Row],[Gas 8h, ml]]-Table3.110[[#This Row],[Gas 0h, ml]]</f>
        <v>27</v>
      </c>
      <c r="AF44" s="94">
        <f>Table3.110[[#This Row],[Gas 24h, ml]]-Table3.110[[#This Row],[V8 Push back, ml]]</f>
        <v>21.5</v>
      </c>
      <c r="AG44" s="94">
        <f>Table3.110[[#This Row],[GP 8h, ml]]-(AVERAGE(AE$11,AE$12,AE$62,AE$61,AE$114,AE$115))*$AG$8</f>
        <v>24.344979731721114</v>
      </c>
      <c r="AH44" s="94">
        <f>Table3.110[[#This Row],[GP 8-24h, ml]]-(AVERAGE(AF$11,AF$12,AF$62,AF$61,AF$114,AF$115))*$AG$8</f>
        <v>17.81247184961266</v>
      </c>
      <c r="AI44" s="94">
        <f>Table3.110[[#This Row],[Net gas 8-24h, ml]]+Table3.110[[#This Row],[Net gas 8h, ml]]</f>
        <v>42.157451581333774</v>
      </c>
      <c r="AJ44" s="94">
        <f>Table3.110[[#This Row],[Net gas 8h, ml]]*Table3.110[[#This Row],[CH4 8h %]]%</f>
        <v>3.3839521827092351</v>
      </c>
      <c r="AK44" s="94">
        <f>Table3.110[[#This Row],[Net gas 8-24h, ml]]*Table3.110[[#This Row],[CH4 24h, %]]%</f>
        <v>2.8143705522388003</v>
      </c>
      <c r="AL44" s="94">
        <f>Table3.110[[#This Row],[CH4 8-24h, ml]]+Table3.110[[#This Row],[CH4 8h, ml]]</f>
        <v>6.1983227349480359</v>
      </c>
      <c r="AM44" s="94">
        <f>(Table3.110[[#This Row],[Net gas 24h, ml]]/Table3.110[[#This Row],[DM Incubated, mg]])*1000</f>
        <v>90.060590426683291</v>
      </c>
      <c r="AN44" s="94">
        <f>'3.2 Digest'!X44</f>
        <v>25.229809993315804</v>
      </c>
      <c r="AO44" s="94">
        <f>Table3.110[[#This Row],[Digested feed, mg]]/Table3.110[[#This Row],[Net gas 24h, ml]]</f>
        <v>2.8014262258090503</v>
      </c>
      <c r="AP44" s="94">
        <f>Table3.110[[#This Row],[CH4 8h, ml]]/Table3.110[[#This Row],[Net gas 8h, ml]]%</f>
        <v>13.9</v>
      </c>
      <c r="AQ44" s="94">
        <f>Table3.110[[#This Row],[CH4 24h, ml]]/Table3.110[[#This Row],[Net gas 24h, ml]]%</f>
        <v>14.702792750623695</v>
      </c>
      <c r="AR44" s="94">
        <f>Table3.110[[#This Row],[CH4 24h, ml]]/Table3.110[[#This Row],[DM Incubated, mg]]*1000</f>
        <v>13.241421960423288</v>
      </c>
      <c r="AS44" s="94">
        <f>Table3.110[[#This Row],[CH4 24h, ml]]/Table3.110[[#This Row],[Digested feed, mg]]*1000</f>
        <v>52.48324091196632</v>
      </c>
      <c r="AT44" s="94">
        <f>Table3.110[[#This Row],[CH4 24h, ml]]/'3.2 Digest'!AA44</f>
        <v>-0.25122126954000007</v>
      </c>
      <c r="AU44" s="94">
        <f>((Table3.110[[#This Row],[CH4 24h, ml]]/28.9)*16.04)/Table3.110[[#This Row],[DM Incubated, mg]]*1000</f>
        <v>7.3492182783802606</v>
      </c>
      <c r="AV44" s="94">
        <f>((Table3.110[[#This Row],[CH4 24h, ml]]/28.9)*16.04)/Table3.110[[#This Row],[Digested feed, mg]]*1000</f>
        <v>29.129106720689958</v>
      </c>
    </row>
    <row r="45" spans="2:48" s="89" customFormat="1" x14ac:dyDescent="0.35">
      <c r="B45" s="90">
        <f t="shared" si="0"/>
        <v>35</v>
      </c>
      <c r="C45" s="140">
        <v>46041</v>
      </c>
      <c r="D45" s="6" t="s">
        <v>16</v>
      </c>
      <c r="E45" s="6" t="s">
        <v>48</v>
      </c>
      <c r="F45" s="133" t="s">
        <v>19</v>
      </c>
      <c r="G45" s="133" t="s">
        <v>20</v>
      </c>
      <c r="H45" s="133" t="s">
        <v>21</v>
      </c>
      <c r="I45" s="6" t="s">
        <v>22</v>
      </c>
      <c r="J45" s="129" t="s">
        <v>23</v>
      </c>
      <c r="K45" s="129" t="s">
        <v>24</v>
      </c>
      <c r="L45" s="6" t="s">
        <v>47</v>
      </c>
      <c r="M45" s="119">
        <v>27</v>
      </c>
      <c r="N45" s="93">
        <v>58</v>
      </c>
      <c r="O45" s="6">
        <v>1</v>
      </c>
      <c r="P45" s="129">
        <v>3</v>
      </c>
      <c r="Q45" s="6">
        <v>215</v>
      </c>
      <c r="R45" s="98">
        <v>0.50009999999999999</v>
      </c>
      <c r="S45" s="94">
        <f>((Table3.110[[#This Row],[Sample weight, g]]*'2.1. DM'!Q31)/100)*1000</f>
        <v>467.72688378753082</v>
      </c>
      <c r="T45" s="94">
        <f>'3.2 Digest'!W45</f>
        <v>119.62688378753074</v>
      </c>
      <c r="U45" s="153">
        <v>0.37847222222222221</v>
      </c>
      <c r="V45" s="154">
        <v>41.5</v>
      </c>
      <c r="W45" s="153">
        <v>0.71527777777777779</v>
      </c>
      <c r="X45" s="95">
        <v>69.5</v>
      </c>
      <c r="Y45" s="95">
        <v>12.5</v>
      </c>
      <c r="Z45" s="154">
        <v>40</v>
      </c>
      <c r="AA45" s="153">
        <v>0.38124999999999998</v>
      </c>
      <c r="AB45" s="154">
        <v>61</v>
      </c>
      <c r="AC45" s="154">
        <v>15.9</v>
      </c>
      <c r="AD45" s="91"/>
      <c r="AE45" s="94">
        <f>Table3.110[[#This Row],[Gas 8h, ml]]-Table3.110[[#This Row],[Gas 0h, ml]]</f>
        <v>28</v>
      </c>
      <c r="AF45" s="94">
        <f>Table3.110[[#This Row],[Gas 24h, ml]]-Table3.110[[#This Row],[V8 Push back, ml]]</f>
        <v>21</v>
      </c>
      <c r="AG45" s="94">
        <f>Table3.110[[#This Row],[GP 8h, ml]]-(AVERAGE(AE$11,AE$12,AE$62,AE$61,AE$114,AE$115))*$AG$8</f>
        <v>25.344979731721114</v>
      </c>
      <c r="AH45" s="94">
        <f>Table3.110[[#This Row],[GP 8-24h, ml]]-(AVERAGE(AF$11,AF$12,AF$62,AF$61,AF$114,AF$115))*$AG$8</f>
        <v>17.31247184961266</v>
      </c>
      <c r="AI45" s="94">
        <f>Table3.110[[#This Row],[Net gas 8-24h, ml]]+Table3.110[[#This Row],[Net gas 8h, ml]]</f>
        <v>42.657451581333774</v>
      </c>
      <c r="AJ45" s="94">
        <f>Table3.110[[#This Row],[Net gas 8h, ml]]*Table3.110[[#This Row],[CH4 8h %]]%</f>
        <v>3.1681224664651393</v>
      </c>
      <c r="AK45" s="94">
        <f>Table3.110[[#This Row],[Net gas 8-24h, ml]]*Table3.110[[#This Row],[CH4 24h, %]]%</f>
        <v>2.7526830240884128</v>
      </c>
      <c r="AL45" s="94">
        <f>Table3.110[[#This Row],[CH4 8-24h, ml]]+Table3.110[[#This Row],[CH4 8h, ml]]</f>
        <v>5.9208054905535521</v>
      </c>
      <c r="AM45" s="94">
        <f>(Table3.110[[#This Row],[Net gas 24h, ml]]/Table3.110[[#This Row],[DM Incubated, mg]])*1000</f>
        <v>91.201624409323685</v>
      </c>
      <c r="AN45" s="94">
        <f>'3.2 Digest'!X45</f>
        <v>25.576225770651305</v>
      </c>
      <c r="AO45" s="94">
        <f>Table3.110[[#This Row],[Digested feed, mg]]/Table3.110[[#This Row],[Net gas 24h, ml]]</f>
        <v>2.8043607705781839</v>
      </c>
      <c r="AP45" s="94">
        <f>Table3.110[[#This Row],[CH4 8h, ml]]/Table3.110[[#This Row],[Net gas 8h, ml]]%</f>
        <v>12.500000000000002</v>
      </c>
      <c r="AQ45" s="94">
        <f>Table3.110[[#This Row],[CH4 24h, ml]]/Table3.110[[#This Row],[Net gas 24h, ml]]%</f>
        <v>13.879885626229962</v>
      </c>
      <c r="AR45" s="94">
        <f>Table3.110[[#This Row],[CH4 24h, ml]]/Table3.110[[#This Row],[DM Incubated, mg]]*1000</f>
        <v>12.658681157277954</v>
      </c>
      <c r="AS45" s="94">
        <f>Table3.110[[#This Row],[CH4 24h, ml]]/Table3.110[[#This Row],[Digested feed, mg]]*1000</f>
        <v>49.493937341622072</v>
      </c>
      <c r="AT45" s="94">
        <f>Table3.110[[#This Row],[CH4 24h, ml]]/'3.2 Digest'!AA45</f>
        <v>-0.24572608346715044</v>
      </c>
      <c r="AU45" s="94">
        <f>((Table3.110[[#This Row],[CH4 24h, ml]]/28.9)*16.04)/Table3.110[[#This Row],[DM Incubated, mg]]*1000</f>
        <v>7.0257870506137854</v>
      </c>
      <c r="AV45" s="94">
        <f>((Table3.110[[#This Row],[CH4 24h, ml]]/28.9)*16.04)/Table3.110[[#This Row],[Digested feed, mg]]*1000</f>
        <v>27.469991521094048</v>
      </c>
    </row>
    <row r="46" spans="2:48" s="89" customFormat="1" x14ac:dyDescent="0.35">
      <c r="B46" s="90">
        <f t="shared" si="0"/>
        <v>36</v>
      </c>
      <c r="C46" s="140">
        <v>46041</v>
      </c>
      <c r="D46" s="6" t="s">
        <v>16</v>
      </c>
      <c r="E46" s="6" t="s">
        <v>50</v>
      </c>
      <c r="F46" s="133" t="s">
        <v>19</v>
      </c>
      <c r="G46" s="133" t="s">
        <v>20</v>
      </c>
      <c r="H46" s="133" t="s">
        <v>21</v>
      </c>
      <c r="I46" s="6" t="s">
        <v>22</v>
      </c>
      <c r="J46" s="129" t="s">
        <v>23</v>
      </c>
      <c r="K46" s="129" t="s">
        <v>24</v>
      </c>
      <c r="L46" s="6" t="s">
        <v>49</v>
      </c>
      <c r="M46" s="119">
        <v>27</v>
      </c>
      <c r="N46" s="93">
        <v>58</v>
      </c>
      <c r="O46" s="6">
        <v>1</v>
      </c>
      <c r="P46" s="6">
        <v>1</v>
      </c>
      <c r="Q46" s="6">
        <v>216</v>
      </c>
      <c r="R46" s="98">
        <v>0.50029999999999997</v>
      </c>
      <c r="S46" s="94">
        <f>((Table3.110[[#This Row],[Sample weight, g]]*'2.1. DM'!Q33)/100)*1000</f>
        <v>470.06902960046477</v>
      </c>
      <c r="T46" s="94">
        <f>'3.2 Digest'!W46</f>
        <v>93.369029600464842</v>
      </c>
      <c r="U46" s="117">
        <v>0.37916666666666665</v>
      </c>
      <c r="V46" s="155">
        <v>41.5</v>
      </c>
      <c r="W46" s="117">
        <v>0.71597222222222223</v>
      </c>
      <c r="X46" s="97">
        <v>66</v>
      </c>
      <c r="Y46" s="97">
        <v>14</v>
      </c>
      <c r="Z46" s="155">
        <v>40.5</v>
      </c>
      <c r="AA46" s="117">
        <v>0.38194444444444442</v>
      </c>
      <c r="AB46" s="155">
        <v>61</v>
      </c>
      <c r="AC46" s="155">
        <v>17.100000000000001</v>
      </c>
      <c r="AD46" s="96"/>
      <c r="AE46" s="94">
        <f>Table3.110[[#This Row],[Gas 8h, ml]]-Table3.110[[#This Row],[Gas 0h, ml]]</f>
        <v>24.5</v>
      </c>
      <c r="AF46" s="94">
        <f>Table3.110[[#This Row],[Gas 24h, ml]]-Table3.110[[#This Row],[V8 Push back, ml]]</f>
        <v>20.5</v>
      </c>
      <c r="AG46" s="94">
        <f>Table3.110[[#This Row],[GP 8h, ml]]-(AVERAGE(AE$11,AE$12,AE$62,AE$61,AE$114,AE$115))*$AG$8</f>
        <v>21.844979731721114</v>
      </c>
      <c r="AH46" s="94">
        <f>Table3.110[[#This Row],[GP 8-24h, ml]]-(AVERAGE(AF$11,AF$12,AF$62,AF$61,AF$114,AF$115))*$AG$8</f>
        <v>16.81247184961266</v>
      </c>
      <c r="AI46" s="94">
        <f>Table3.110[[#This Row],[Net gas 8-24h, ml]]+Table3.110[[#This Row],[Net gas 8h, ml]]</f>
        <v>38.657451581333774</v>
      </c>
      <c r="AJ46" s="94">
        <f>Table3.110[[#This Row],[Net gas 8h, ml]]*Table3.110[[#This Row],[CH4 8h %]]%</f>
        <v>3.0582971624409563</v>
      </c>
      <c r="AK46" s="94">
        <f>Table3.110[[#This Row],[Net gas 8-24h, ml]]*Table3.110[[#This Row],[CH4 24h, %]]%</f>
        <v>2.8749326862837652</v>
      </c>
      <c r="AL46" s="94">
        <f>Table3.110[[#This Row],[CH4 8-24h, ml]]+Table3.110[[#This Row],[CH4 8h, ml]]</f>
        <v>5.9332298487247215</v>
      </c>
      <c r="AM46" s="94">
        <f>(Table3.110[[#This Row],[Net gas 24h, ml]]/Table3.110[[#This Row],[DM Incubated, mg]])*1000</f>
        <v>82.237818590581639</v>
      </c>
      <c r="AN46" s="94">
        <f>'3.2 Digest'!X46</f>
        <v>19.862833694834961</v>
      </c>
      <c r="AO46" s="94">
        <f>Table3.110[[#This Row],[Digested feed, mg]]/Table3.110[[#This Row],[Net gas 24h, ml]]</f>
        <v>2.4152918979674602</v>
      </c>
      <c r="AP46" s="94">
        <f>Table3.110[[#This Row],[CH4 8h, ml]]/Table3.110[[#This Row],[Net gas 8h, ml]]%</f>
        <v>14.000000000000002</v>
      </c>
      <c r="AQ46" s="94">
        <f>Table3.110[[#This Row],[CH4 24h, ml]]/Table3.110[[#This Row],[Net gas 24h, ml]]%</f>
        <v>15.348217758848994</v>
      </c>
      <c r="AR46" s="94">
        <f>Table3.110[[#This Row],[CH4 24h, ml]]/Table3.110[[#This Row],[DM Incubated, mg]]*1000</f>
        <v>12.62203947740967</v>
      </c>
      <c r="AS46" s="94">
        <f>Table3.110[[#This Row],[CH4 24h, ml]]/Table3.110[[#This Row],[Digested feed, mg]]*1000</f>
        <v>63.546015998169722</v>
      </c>
      <c r="AT46" s="94">
        <f>Table3.110[[#This Row],[CH4 24h, ml]]/'3.2 Digest'!AA46</f>
        <v>-0.17705740841537676</v>
      </c>
      <c r="AU46" s="94">
        <f>((Table3.110[[#This Row],[CH4 24h, ml]]/28.9)*16.04)/Table3.110[[#This Row],[DM Incubated, mg]]*1000</f>
        <v>7.0054502843477895</v>
      </c>
      <c r="AV46" s="94">
        <f>((Table3.110[[#This Row],[CH4 24h, ml]]/28.9)*16.04)/Table3.110[[#This Row],[Digested feed, mg]]*1000</f>
        <v>35.269138291025691</v>
      </c>
    </row>
    <row r="47" spans="2:48" s="89" customFormat="1" x14ac:dyDescent="0.35">
      <c r="B47" s="90">
        <f t="shared" si="0"/>
        <v>37</v>
      </c>
      <c r="C47" s="140">
        <v>46041</v>
      </c>
      <c r="D47" s="6" t="s">
        <v>16</v>
      </c>
      <c r="E47" s="6" t="s">
        <v>50</v>
      </c>
      <c r="F47" s="133" t="s">
        <v>19</v>
      </c>
      <c r="G47" s="133" t="s">
        <v>20</v>
      </c>
      <c r="H47" s="133" t="s">
        <v>21</v>
      </c>
      <c r="I47" s="6" t="s">
        <v>22</v>
      </c>
      <c r="J47" s="129" t="s">
        <v>23</v>
      </c>
      <c r="K47" s="129" t="s">
        <v>24</v>
      </c>
      <c r="L47" s="6" t="s">
        <v>49</v>
      </c>
      <c r="M47" s="119">
        <v>27</v>
      </c>
      <c r="N47" s="93">
        <v>58</v>
      </c>
      <c r="O47" s="6">
        <v>1</v>
      </c>
      <c r="P47" s="129">
        <v>2</v>
      </c>
      <c r="Q47" s="6">
        <v>217</v>
      </c>
      <c r="R47" s="98">
        <v>0.50060000000000004</v>
      </c>
      <c r="S47" s="94">
        <f>((Table3.110[[#This Row],[Sample weight, g]]*'2.1. DM'!Q33)/100)*1000</f>
        <v>470.35090189484845</v>
      </c>
      <c r="T47" s="94">
        <f>'3.2 Digest'!W47</f>
        <v>90.350901894848448</v>
      </c>
      <c r="U47" s="153">
        <v>0.37916666666666665</v>
      </c>
      <c r="V47" s="154">
        <v>43.5</v>
      </c>
      <c r="W47" s="153">
        <v>0.71597222222222223</v>
      </c>
      <c r="X47" s="95">
        <v>70</v>
      </c>
      <c r="Y47" s="95">
        <v>12.4</v>
      </c>
      <c r="Z47" s="154">
        <v>40.5</v>
      </c>
      <c r="AA47" s="153">
        <v>0.38194444444444442</v>
      </c>
      <c r="AB47" s="154">
        <v>61.5</v>
      </c>
      <c r="AC47" s="154">
        <v>17.2</v>
      </c>
      <c r="AD47" s="91"/>
      <c r="AE47" s="94">
        <f>Table3.110[[#This Row],[Gas 8h, ml]]-Table3.110[[#This Row],[Gas 0h, ml]]</f>
        <v>26.5</v>
      </c>
      <c r="AF47" s="94">
        <f>Table3.110[[#This Row],[Gas 24h, ml]]-Table3.110[[#This Row],[V8 Push back, ml]]</f>
        <v>21</v>
      </c>
      <c r="AG47" s="94">
        <f>Table3.110[[#This Row],[GP 8h, ml]]-(AVERAGE(AE$11,AE$12,AE$62,AE$61,AE$114,AE$115))*$AG$8</f>
        <v>23.844979731721114</v>
      </c>
      <c r="AH47" s="94">
        <f>Table3.110[[#This Row],[GP 8-24h, ml]]-(AVERAGE(AF$11,AF$12,AF$62,AF$61,AF$114,AF$115))*$AG$8</f>
        <v>17.31247184961266</v>
      </c>
      <c r="AI47" s="94">
        <f>Table3.110[[#This Row],[Net gas 8-24h, ml]]+Table3.110[[#This Row],[Net gas 8h, ml]]</f>
        <v>41.157451581333774</v>
      </c>
      <c r="AJ47" s="94">
        <f>Table3.110[[#This Row],[Net gas 8h, ml]]*Table3.110[[#This Row],[CH4 8h %]]%</f>
        <v>2.9567774867334182</v>
      </c>
      <c r="AK47" s="94">
        <f>Table3.110[[#This Row],[Net gas 8-24h, ml]]*Table3.110[[#This Row],[CH4 24h, %]]%</f>
        <v>2.9777451581333771</v>
      </c>
      <c r="AL47" s="94">
        <f>Table3.110[[#This Row],[CH4 8-24h, ml]]+Table3.110[[#This Row],[CH4 8h, ml]]</f>
        <v>5.9345226448667958</v>
      </c>
      <c r="AM47" s="94">
        <f>(Table3.110[[#This Row],[Net gas 24h, ml]]/Table3.110[[#This Row],[DM Incubated, mg]])*1000</f>
        <v>87.503715663194214</v>
      </c>
      <c r="AN47" s="94">
        <f>'3.2 Digest'!X47</f>
        <v>19.20925452271106</v>
      </c>
      <c r="AO47" s="94">
        <f>Table3.110[[#This Row],[Digested feed, mg]]/Table3.110[[#This Row],[Net gas 24h, ml]]</f>
        <v>2.1952501533361577</v>
      </c>
      <c r="AP47" s="94">
        <f>Table3.110[[#This Row],[CH4 8h, ml]]/Table3.110[[#This Row],[Net gas 8h, ml]]%</f>
        <v>12.4</v>
      </c>
      <c r="AQ47" s="94">
        <f>Table3.110[[#This Row],[CH4 24h, ml]]/Table3.110[[#This Row],[Net gas 24h, ml]]%</f>
        <v>14.419072165192784</v>
      </c>
      <c r="AR47" s="94">
        <f>Table3.110[[#This Row],[CH4 24h, ml]]/Table3.110[[#This Row],[DM Incubated, mg]]*1000</f>
        <v>12.617223908701074</v>
      </c>
      <c r="AS47" s="94">
        <f>Table3.110[[#This Row],[CH4 24h, ml]]/Table3.110[[#This Row],[Digested feed, mg]]*1000</f>
        <v>65.683048208787895</v>
      </c>
      <c r="AT47" s="94">
        <f>Table3.110[[#This Row],[CH4 24h, ml]]/'3.2 Digest'!AA47</f>
        <v>-0.17152255380743786</v>
      </c>
      <c r="AU47" s="94">
        <f>((Table3.110[[#This Row],[CH4 24h, ml]]/28.9)*16.04)/Table3.110[[#This Row],[DM Incubated, mg]]*1000</f>
        <v>7.0027775604001823</v>
      </c>
      <c r="AV47" s="94">
        <f>((Table3.110[[#This Row],[CH4 24h, ml]]/28.9)*16.04)/Table3.110[[#This Row],[Digested feed, mg]]*1000</f>
        <v>36.455228140794389</v>
      </c>
    </row>
    <row r="48" spans="2:48" s="89" customFormat="1" x14ac:dyDescent="0.35">
      <c r="B48" s="90">
        <f t="shared" si="0"/>
        <v>38</v>
      </c>
      <c r="C48" s="140">
        <v>46041</v>
      </c>
      <c r="D48" s="6" t="s">
        <v>16</v>
      </c>
      <c r="E48" s="6" t="s">
        <v>50</v>
      </c>
      <c r="F48" s="133" t="s">
        <v>19</v>
      </c>
      <c r="G48" s="133" t="s">
        <v>20</v>
      </c>
      <c r="H48" s="133" t="s">
        <v>21</v>
      </c>
      <c r="I48" s="6" t="s">
        <v>22</v>
      </c>
      <c r="J48" s="129" t="s">
        <v>23</v>
      </c>
      <c r="K48" s="129" t="s">
        <v>24</v>
      </c>
      <c r="L48" s="6" t="s">
        <v>49</v>
      </c>
      <c r="M48" s="119">
        <v>27</v>
      </c>
      <c r="N48" s="93">
        <v>58</v>
      </c>
      <c r="O48" s="6">
        <v>1</v>
      </c>
      <c r="P48" s="129">
        <v>3</v>
      </c>
      <c r="Q48" s="6">
        <v>218</v>
      </c>
      <c r="R48" s="98">
        <v>0.50019999999999998</v>
      </c>
      <c r="S48" s="94">
        <f>((Table3.110[[#This Row],[Sample weight, g]]*'2.1. DM'!Q33)/100)*1000</f>
        <v>469.97507216900357</v>
      </c>
      <c r="T48" s="94">
        <f>'3.2 Digest'!W48</f>
        <v>64.075072169003533</v>
      </c>
      <c r="U48" s="117">
        <v>0.38055555555555554</v>
      </c>
      <c r="V48" s="155">
        <v>42</v>
      </c>
      <c r="W48" s="117">
        <v>0.71597222222222223</v>
      </c>
      <c r="X48" s="97">
        <v>67</v>
      </c>
      <c r="Y48" s="97">
        <v>13.5</v>
      </c>
      <c r="Z48" s="155">
        <v>41</v>
      </c>
      <c r="AA48" s="117">
        <v>0.38263888888888886</v>
      </c>
      <c r="AB48" s="155">
        <v>61.5</v>
      </c>
      <c r="AC48" s="155">
        <v>17.100000000000001</v>
      </c>
      <c r="AD48" s="96"/>
      <c r="AE48" s="94">
        <f>Table3.110[[#This Row],[Gas 8h, ml]]-Table3.110[[#This Row],[Gas 0h, ml]]</f>
        <v>25</v>
      </c>
      <c r="AF48" s="94">
        <f>Table3.110[[#This Row],[Gas 24h, ml]]-Table3.110[[#This Row],[V8 Push back, ml]]</f>
        <v>20.5</v>
      </c>
      <c r="AG48" s="94">
        <f>Table3.110[[#This Row],[GP 8h, ml]]-(AVERAGE(AE$11,AE$12,AE$62,AE$61,AE$114,AE$115))*$AG$8</f>
        <v>22.344979731721114</v>
      </c>
      <c r="AH48" s="94">
        <f>Table3.110[[#This Row],[GP 8-24h, ml]]-(AVERAGE(AF$11,AF$12,AF$62,AF$61,AF$114,AF$115))*$AG$8</f>
        <v>16.81247184961266</v>
      </c>
      <c r="AI48" s="94">
        <f>Table3.110[[#This Row],[Net gas 8-24h, ml]]+Table3.110[[#This Row],[Net gas 8h, ml]]</f>
        <v>39.157451581333774</v>
      </c>
      <c r="AJ48" s="94">
        <f>Table3.110[[#This Row],[Net gas 8h, ml]]*Table3.110[[#This Row],[CH4 8h %]]%</f>
        <v>3.0165722637823507</v>
      </c>
      <c r="AK48" s="94">
        <f>Table3.110[[#This Row],[Net gas 8-24h, ml]]*Table3.110[[#This Row],[CH4 24h, %]]%</f>
        <v>2.8749326862837652</v>
      </c>
      <c r="AL48" s="94">
        <f>Table3.110[[#This Row],[CH4 8-24h, ml]]+Table3.110[[#This Row],[CH4 8h, ml]]</f>
        <v>5.8915049500661159</v>
      </c>
      <c r="AM48" s="94">
        <f>(Table3.110[[#This Row],[Net gas 24h, ml]]/Table3.110[[#This Row],[DM Incubated, mg]])*1000</f>
        <v>83.318145791470215</v>
      </c>
      <c r="AN48" s="94">
        <f>'3.2 Digest'!X48</f>
        <v>13.633717182761998</v>
      </c>
      <c r="AO48" s="94">
        <f>Table3.110[[#This Row],[Digested feed, mg]]/Table3.110[[#This Row],[Net gas 24h, ml]]</f>
        <v>1.636344286499684</v>
      </c>
      <c r="AP48" s="94">
        <f>Table3.110[[#This Row],[CH4 8h, ml]]/Table3.110[[#This Row],[Net gas 8h, ml]]%</f>
        <v>13.5</v>
      </c>
      <c r="AQ48" s="94">
        <f>Table3.110[[#This Row],[CH4 24h, ml]]/Table3.110[[#This Row],[Net gas 24h, ml]]%</f>
        <v>15.045680227245883</v>
      </c>
      <c r="AR48" s="94">
        <f>Table3.110[[#This Row],[CH4 24h, ml]]/Table3.110[[#This Row],[DM Incubated, mg]]*1000</f>
        <v>12.535781787055132</v>
      </c>
      <c r="AS48" s="94">
        <f>Table3.110[[#This Row],[CH4 24h, ml]]/Table3.110[[#This Row],[Digested feed, mg]]*1000</f>
        <v>91.946910875523685</v>
      </c>
      <c r="AT48" s="94">
        <f>Table3.110[[#This Row],[CH4 24h, ml]]/'3.2 Digest'!AA48</f>
        <v>-0.13423940915607127</v>
      </c>
      <c r="AU48" s="94">
        <f>((Table3.110[[#This Row],[CH4 24h, ml]]/28.9)*16.04)/Table3.110[[#This Row],[DM Incubated, mg]]*1000</f>
        <v>6.9575757738534367</v>
      </c>
      <c r="AV48" s="94">
        <f>((Table3.110[[#This Row],[CH4 24h, ml]]/28.9)*16.04)/Table3.110[[#This Row],[Digested feed, mg]]*1000</f>
        <v>51.032126312920418</v>
      </c>
    </row>
    <row r="49" spans="2:48" s="89" customFormat="1" x14ac:dyDescent="0.35">
      <c r="B49" s="90">
        <f t="shared" si="0"/>
        <v>39</v>
      </c>
      <c r="C49" s="140">
        <v>46041</v>
      </c>
      <c r="D49" s="6" t="s">
        <v>16</v>
      </c>
      <c r="E49" s="6" t="s">
        <v>52</v>
      </c>
      <c r="F49" s="133" t="s">
        <v>19</v>
      </c>
      <c r="G49" s="133" t="s">
        <v>20</v>
      </c>
      <c r="H49" s="133" t="s">
        <v>21</v>
      </c>
      <c r="I49" s="6" t="s">
        <v>22</v>
      </c>
      <c r="J49" s="129" t="s">
        <v>23</v>
      </c>
      <c r="K49" s="129" t="s">
        <v>24</v>
      </c>
      <c r="L49" s="6" t="s">
        <v>51</v>
      </c>
      <c r="M49" s="119">
        <v>27</v>
      </c>
      <c r="N49" s="93">
        <v>58</v>
      </c>
      <c r="O49" s="6">
        <v>1</v>
      </c>
      <c r="P49" s="6">
        <v>1</v>
      </c>
      <c r="Q49" s="6">
        <v>219</v>
      </c>
      <c r="R49" s="98">
        <v>0.50029999999999997</v>
      </c>
      <c r="S49" s="94">
        <f>((Table3.110[[#This Row],[Sample weight, g]]*'2.1. DM'!Q35)/100)*1000</f>
        <v>459.56281825702052</v>
      </c>
      <c r="T49" s="94">
        <f>'3.2 Digest'!W49</f>
        <v>92.162818257020547</v>
      </c>
      <c r="U49" s="153">
        <v>0.38333333333333336</v>
      </c>
      <c r="V49" s="154">
        <v>41.5</v>
      </c>
      <c r="W49" s="153">
        <v>0.71666666666666667</v>
      </c>
      <c r="X49" s="95">
        <v>69.5</v>
      </c>
      <c r="Y49" s="95">
        <v>14.5</v>
      </c>
      <c r="Z49" s="154">
        <v>40.5</v>
      </c>
      <c r="AA49" s="153">
        <v>0.38263888888888886</v>
      </c>
      <c r="AB49" s="154">
        <v>66</v>
      </c>
      <c r="AC49" s="154">
        <v>17.7</v>
      </c>
      <c r="AD49" s="91"/>
      <c r="AE49" s="94">
        <f>Table3.110[[#This Row],[Gas 8h, ml]]-Table3.110[[#This Row],[Gas 0h, ml]]</f>
        <v>28</v>
      </c>
      <c r="AF49" s="94">
        <f>Table3.110[[#This Row],[Gas 24h, ml]]-Table3.110[[#This Row],[V8 Push back, ml]]</f>
        <v>25.5</v>
      </c>
      <c r="AG49" s="94">
        <f>Table3.110[[#This Row],[GP 8h, ml]]-(AVERAGE(AE$11,AE$12,AE$62,AE$61,AE$114,AE$115))*$AG$8</f>
        <v>25.344979731721114</v>
      </c>
      <c r="AH49" s="94">
        <f>Table3.110[[#This Row],[GP 8-24h, ml]]-(AVERAGE(AF$11,AF$12,AF$62,AF$61,AF$114,AF$115))*$AG$8</f>
        <v>21.81247184961266</v>
      </c>
      <c r="AI49" s="94">
        <f>Table3.110[[#This Row],[Net gas 8-24h, ml]]+Table3.110[[#This Row],[Net gas 8h, ml]]</f>
        <v>47.157451581333774</v>
      </c>
      <c r="AJ49" s="94">
        <f>Table3.110[[#This Row],[Net gas 8h, ml]]*Table3.110[[#This Row],[CH4 8h %]]%</f>
        <v>3.6750220610995612</v>
      </c>
      <c r="AK49" s="94">
        <f>Table3.110[[#This Row],[Net gas 8-24h, ml]]*Table3.110[[#This Row],[CH4 24h, %]]%</f>
        <v>3.8608075173814407</v>
      </c>
      <c r="AL49" s="94">
        <f>Table3.110[[#This Row],[CH4 8-24h, ml]]+Table3.110[[#This Row],[CH4 8h, ml]]</f>
        <v>7.5358295784810014</v>
      </c>
      <c r="AM49" s="94">
        <f>(Table3.110[[#This Row],[Net gas 24h, ml]]/Table3.110[[#This Row],[DM Incubated, mg]])*1000</f>
        <v>102.61372266839903</v>
      </c>
      <c r="AN49" s="94">
        <f>'3.2 Digest'!X49</f>
        <v>20.054454928831184</v>
      </c>
      <c r="AO49" s="94">
        <f>Table3.110[[#This Row],[Digested feed, mg]]/Table3.110[[#This Row],[Net gas 24h, ml]]</f>
        <v>1.9543638421186684</v>
      </c>
      <c r="AP49" s="94">
        <f>Table3.110[[#This Row],[CH4 8h, ml]]/Table3.110[[#This Row],[Net gas 8h, ml]]%</f>
        <v>14.5</v>
      </c>
      <c r="AQ49" s="94">
        <f>Table3.110[[#This Row],[CH4 24h, ml]]/Table3.110[[#This Row],[Net gas 24h, ml]]%</f>
        <v>15.980145927698713</v>
      </c>
      <c r="AR49" s="94">
        <f>Table3.110[[#This Row],[CH4 24h, ml]]/Table3.110[[#This Row],[DM Incubated, mg]]*1000</f>
        <v>16.397822624254221</v>
      </c>
      <c r="AS49" s="94">
        <f>Table3.110[[#This Row],[CH4 24h, ml]]/Table3.110[[#This Row],[Digested feed, mg]]*1000</f>
        <v>81.76648371868724</v>
      </c>
      <c r="AT49" s="94">
        <f>Table3.110[[#This Row],[CH4 24h, ml]]/'3.2 Digest'!AA49</f>
        <v>-0.22216573406934292</v>
      </c>
      <c r="AU49" s="94">
        <f>((Table3.110[[#This Row],[CH4 24h, ml]]/28.9)*16.04)/Table3.110[[#This Row],[DM Incubated, mg]]*1000</f>
        <v>9.1010752558144539</v>
      </c>
      <c r="AV49" s="94">
        <f>((Table3.110[[#This Row],[CH4 24h, ml]]/28.9)*16.04)/Table3.110[[#This Row],[Digested feed, mg]]*1000</f>
        <v>45.38181310891845</v>
      </c>
    </row>
    <row r="50" spans="2:48" s="89" customFormat="1" x14ac:dyDescent="0.35">
      <c r="B50" s="90">
        <f t="shared" si="0"/>
        <v>40</v>
      </c>
      <c r="C50" s="140">
        <v>46041</v>
      </c>
      <c r="D50" s="6" t="s">
        <v>16</v>
      </c>
      <c r="E50" s="6" t="s">
        <v>52</v>
      </c>
      <c r="F50" s="133" t="s">
        <v>19</v>
      </c>
      <c r="G50" s="133" t="s">
        <v>20</v>
      </c>
      <c r="H50" s="133" t="s">
        <v>21</v>
      </c>
      <c r="I50" s="6" t="s">
        <v>22</v>
      </c>
      <c r="J50" s="129" t="s">
        <v>23</v>
      </c>
      <c r="K50" s="129" t="s">
        <v>24</v>
      </c>
      <c r="L50" s="6" t="s">
        <v>51</v>
      </c>
      <c r="M50" s="119">
        <v>27</v>
      </c>
      <c r="N50" s="93">
        <v>58</v>
      </c>
      <c r="O50" s="6">
        <v>1</v>
      </c>
      <c r="P50" s="129">
        <v>2</v>
      </c>
      <c r="Q50" s="6">
        <v>220</v>
      </c>
      <c r="R50" s="98">
        <v>0.50029999999999997</v>
      </c>
      <c r="S50" s="94">
        <f>((Table3.110[[#This Row],[Sample weight, g]]*'2.1. DM'!Q35)/100)*1000</f>
        <v>459.56281825702052</v>
      </c>
      <c r="T50" s="94">
        <f>'3.2 Digest'!W50</f>
        <v>103.86281825702054</v>
      </c>
      <c r="U50" s="117">
        <v>0.38333333333333336</v>
      </c>
      <c r="V50" s="155">
        <v>41</v>
      </c>
      <c r="W50" s="117">
        <v>0.71736111111111112</v>
      </c>
      <c r="X50" s="97">
        <v>52</v>
      </c>
      <c r="Y50" s="97">
        <v>13.7</v>
      </c>
      <c r="Z50" s="155">
        <v>40</v>
      </c>
      <c r="AA50" s="117">
        <v>0.38333333333333336</v>
      </c>
      <c r="AB50" s="155">
        <v>50.5</v>
      </c>
      <c r="AC50" s="155">
        <v>17.7</v>
      </c>
      <c r="AD50" s="96"/>
      <c r="AE50" s="94">
        <f>Table3.110[[#This Row],[Gas 8h, ml]]-Table3.110[[#This Row],[Gas 0h, ml]]</f>
        <v>11</v>
      </c>
      <c r="AF50" s="94">
        <f>Table3.110[[#This Row],[Gas 24h, ml]]-Table3.110[[#This Row],[V8 Push back, ml]]</f>
        <v>10.5</v>
      </c>
      <c r="AG50" s="94">
        <f>Table3.110[[#This Row],[GP 8h, ml]]-(AVERAGE(AE$11,AE$12,AE$62,AE$61,AE$114,AE$115))*$AG$8</f>
        <v>8.3449797317211143</v>
      </c>
      <c r="AH50" s="94">
        <f>Table3.110[[#This Row],[GP 8-24h, ml]]-(AVERAGE(AF$11,AF$12,AF$62,AF$61,AF$114,AF$115))*$AG$8</f>
        <v>6.8124718496126597</v>
      </c>
      <c r="AI50" s="94">
        <f>Table3.110[[#This Row],[Net gas 8-24h, ml]]+Table3.110[[#This Row],[Net gas 8h, ml]]</f>
        <v>15.157451581333774</v>
      </c>
      <c r="AJ50" s="94">
        <f>Table3.110[[#This Row],[Net gas 8h, ml]]*Table3.110[[#This Row],[CH4 8h %]]%</f>
        <v>1.1432622232457925</v>
      </c>
      <c r="AK50" s="94">
        <f>Table3.110[[#This Row],[Net gas 8-24h, ml]]*Table3.110[[#This Row],[CH4 24h, %]]%</f>
        <v>1.2058075173814407</v>
      </c>
      <c r="AL50" s="94">
        <f>Table3.110[[#This Row],[CH4 8-24h, ml]]+Table3.110[[#This Row],[CH4 8h, ml]]</f>
        <v>2.3490697406272334</v>
      </c>
      <c r="AM50" s="94">
        <f>(Table3.110[[#This Row],[Net gas 24h, ml]]/Table3.110[[#This Row],[DM Incubated, mg]])*1000</f>
        <v>32.982327941197013</v>
      </c>
      <c r="AN50" s="94">
        <f>'3.2 Digest'!X50</f>
        <v>22.600352798544503</v>
      </c>
      <c r="AO50" s="94">
        <f>Table3.110[[#This Row],[Digested feed, mg]]/Table3.110[[#This Row],[Net gas 24h, ml]]</f>
        <v>6.8522612590711747</v>
      </c>
      <c r="AP50" s="94">
        <f>Table3.110[[#This Row],[CH4 8h, ml]]/Table3.110[[#This Row],[Net gas 8h, ml]]%</f>
        <v>13.7</v>
      </c>
      <c r="AQ50" s="94">
        <f>Table3.110[[#This Row],[CH4 24h, ml]]/Table3.110[[#This Row],[Net gas 24h, ml]]%</f>
        <v>15.497788187033271</v>
      </c>
      <c r="AR50" s="94">
        <f>Table3.110[[#This Row],[CH4 24h, ml]]/Table3.110[[#This Row],[DM Incubated, mg]]*1000</f>
        <v>5.1115313234794044</v>
      </c>
      <c r="AS50" s="94">
        <f>Table3.110[[#This Row],[CH4 24h, ml]]/Table3.110[[#This Row],[Digested feed, mg]]*1000</f>
        <v>22.617042172052265</v>
      </c>
      <c r="AT50" s="94">
        <f>Table3.110[[#This Row],[CH4 24h, ml]]/'3.2 Digest'!AA50</f>
        <v>-7.9212946048648064E-2</v>
      </c>
      <c r="AU50" s="94">
        <f>((Table3.110[[#This Row],[CH4 24h, ml]]/28.9)*16.04)/Table3.110[[#This Row],[DM Incubated, mg]]*1000</f>
        <v>2.8369883193290537</v>
      </c>
      <c r="AV50" s="94">
        <f>((Table3.110[[#This Row],[CH4 24h, ml]]/28.9)*16.04)/Table3.110[[#This Row],[Digested feed, mg]]*1000</f>
        <v>12.552849703796483</v>
      </c>
    </row>
    <row r="51" spans="2:48" s="89" customFormat="1" x14ac:dyDescent="0.35">
      <c r="B51" s="90">
        <f t="shared" si="0"/>
        <v>41</v>
      </c>
      <c r="C51" s="140">
        <v>46041</v>
      </c>
      <c r="D51" s="6" t="s">
        <v>16</v>
      </c>
      <c r="E51" s="6" t="s">
        <v>52</v>
      </c>
      <c r="F51" s="133" t="s">
        <v>19</v>
      </c>
      <c r="G51" s="133" t="s">
        <v>20</v>
      </c>
      <c r="H51" s="133" t="s">
        <v>21</v>
      </c>
      <c r="I51" s="6" t="s">
        <v>22</v>
      </c>
      <c r="J51" s="129" t="s">
        <v>23</v>
      </c>
      <c r="K51" s="129" t="s">
        <v>24</v>
      </c>
      <c r="L51" s="6" t="s">
        <v>51</v>
      </c>
      <c r="M51" s="119">
        <v>27</v>
      </c>
      <c r="N51" s="93">
        <v>58</v>
      </c>
      <c r="O51" s="6">
        <v>1</v>
      </c>
      <c r="P51" s="129">
        <v>3</v>
      </c>
      <c r="Q51" s="6">
        <v>221</v>
      </c>
      <c r="R51" s="98">
        <v>0.50049999999999994</v>
      </c>
      <c r="S51" s="94">
        <f>((Table3.110[[#This Row],[Sample weight, g]]*'2.1. DM'!Q35)/100)*1000</f>
        <v>459.74653315538427</v>
      </c>
      <c r="T51" s="94">
        <f>'3.2 Digest'!W51</f>
        <v>67.246533155384327</v>
      </c>
      <c r="U51" s="153">
        <v>0.38472222222222224</v>
      </c>
      <c r="V51" s="154">
        <v>42.5</v>
      </c>
      <c r="W51" s="153">
        <v>0.71736111111111112</v>
      </c>
      <c r="X51" s="95">
        <v>69</v>
      </c>
      <c r="Y51" s="95">
        <v>15</v>
      </c>
      <c r="Z51" s="154">
        <v>40</v>
      </c>
      <c r="AA51" s="153">
        <v>0.38333333333333336</v>
      </c>
      <c r="AB51" s="154">
        <v>64.5</v>
      </c>
      <c r="AC51" s="154">
        <v>17.8</v>
      </c>
      <c r="AD51" s="91"/>
      <c r="AE51" s="94">
        <f>Table3.110[[#This Row],[Gas 8h, ml]]-Table3.110[[#This Row],[Gas 0h, ml]]</f>
        <v>26.5</v>
      </c>
      <c r="AF51" s="94">
        <f>Table3.110[[#This Row],[Gas 24h, ml]]-Table3.110[[#This Row],[V8 Push back, ml]]</f>
        <v>24.5</v>
      </c>
      <c r="AG51" s="94">
        <f>Table3.110[[#This Row],[GP 8h, ml]]-(AVERAGE(AE$11,AE$12,AE$62,AE$61,AE$114,AE$115))*$AG$8</f>
        <v>23.844979731721114</v>
      </c>
      <c r="AH51" s="94">
        <f>Table3.110[[#This Row],[GP 8-24h, ml]]-(AVERAGE(AF$11,AF$12,AF$62,AF$61,AF$114,AF$115))*$AG$8</f>
        <v>20.81247184961266</v>
      </c>
      <c r="AI51" s="94">
        <f>Table3.110[[#This Row],[Net gas 8-24h, ml]]+Table3.110[[#This Row],[Net gas 8h, ml]]</f>
        <v>44.657451581333774</v>
      </c>
      <c r="AJ51" s="94">
        <f>Table3.110[[#This Row],[Net gas 8h, ml]]*Table3.110[[#This Row],[CH4 8h %]]%</f>
        <v>3.5767469597581671</v>
      </c>
      <c r="AK51" s="94">
        <f>Table3.110[[#This Row],[Net gas 8-24h, ml]]*Table3.110[[#This Row],[CH4 24h, %]]%</f>
        <v>3.7046199892310536</v>
      </c>
      <c r="AL51" s="94">
        <f>Table3.110[[#This Row],[CH4 8-24h, ml]]+Table3.110[[#This Row],[CH4 8h, ml]]</f>
        <v>7.2813669489892208</v>
      </c>
      <c r="AM51" s="94">
        <f>(Table3.110[[#This Row],[Net gas 24h, ml]]/Table3.110[[#This Row],[DM Incubated, mg]])*1000</f>
        <v>97.134939278031553</v>
      </c>
      <c r="AN51" s="94">
        <f>'3.2 Digest'!X51</f>
        <v>14.626871179180043</v>
      </c>
      <c r="AO51" s="94">
        <f>Table3.110[[#This Row],[Digested feed, mg]]/Table3.110[[#This Row],[Net gas 24h, ml]]</f>
        <v>1.5058300636100894</v>
      </c>
      <c r="AP51" s="94">
        <f>Table3.110[[#This Row],[CH4 8h, ml]]/Table3.110[[#This Row],[Net gas 8h, ml]]%</f>
        <v>15</v>
      </c>
      <c r="AQ51" s="94">
        <f>Table3.110[[#This Row],[CH4 24h, ml]]/Table3.110[[#This Row],[Net gas 24h, ml]]%</f>
        <v>16.304931632132668</v>
      </c>
      <c r="AR51" s="94">
        <f>Table3.110[[#This Row],[CH4 24h, ml]]/Table3.110[[#This Row],[DM Incubated, mg]]*1000</f>
        <v>15.837785440196626</v>
      </c>
      <c r="AS51" s="94">
        <f>Table3.110[[#This Row],[CH4 24h, ml]]/Table3.110[[#This Row],[Digested feed, mg]]*1000</f>
        <v>108.27869642237776</v>
      </c>
      <c r="AT51" s="94">
        <f>Table3.110[[#This Row],[CH4 24h, ml]]/'3.2 Digest'!AA51</f>
        <v>-0.16928762171471823</v>
      </c>
      <c r="AU51" s="94">
        <f>((Table3.110[[#This Row],[CH4 24h, ml]]/28.9)*16.04)/Table3.110[[#This Row],[DM Incubated, mg]]*1000</f>
        <v>8.7902449294378506</v>
      </c>
      <c r="AV51" s="94">
        <f>((Table3.110[[#This Row],[CH4 24h, ml]]/28.9)*16.04)/Table3.110[[#This Row],[Digested feed, mg]]*1000</f>
        <v>60.096549848267799</v>
      </c>
    </row>
    <row r="52" spans="2:48" s="89" customFormat="1" x14ac:dyDescent="0.35">
      <c r="B52" s="90">
        <f t="shared" si="0"/>
        <v>42</v>
      </c>
      <c r="C52" s="140">
        <v>46041</v>
      </c>
      <c r="D52" s="6" t="s">
        <v>16</v>
      </c>
      <c r="E52" s="6" t="s">
        <v>54</v>
      </c>
      <c r="F52" s="133" t="s">
        <v>19</v>
      </c>
      <c r="G52" s="133" t="s">
        <v>20</v>
      </c>
      <c r="H52" s="133" t="s">
        <v>21</v>
      </c>
      <c r="I52" s="6" t="s">
        <v>22</v>
      </c>
      <c r="J52" s="129" t="s">
        <v>23</v>
      </c>
      <c r="K52" s="129" t="s">
        <v>24</v>
      </c>
      <c r="L52" s="6" t="s">
        <v>53</v>
      </c>
      <c r="M52" s="119">
        <v>27</v>
      </c>
      <c r="N52" s="93">
        <v>58</v>
      </c>
      <c r="O52" s="6">
        <v>1</v>
      </c>
      <c r="P52" s="6">
        <v>1</v>
      </c>
      <c r="Q52" s="6">
        <v>222</v>
      </c>
      <c r="R52" s="98">
        <v>0.50009999999999999</v>
      </c>
      <c r="S52" s="94">
        <f>((Table3.110[[#This Row],[Sample weight, g]]*'2.1. DM'!Q37)/100)*1000</f>
        <v>473.64995974360414</v>
      </c>
      <c r="T52" s="94">
        <f>'3.2 Digest'!W52</f>
        <v>181.74995974360411</v>
      </c>
      <c r="U52" s="117">
        <v>0.38472222222222224</v>
      </c>
      <c r="V52" s="155">
        <v>42</v>
      </c>
      <c r="W52" s="117">
        <v>0.71805555555555556</v>
      </c>
      <c r="X52" s="97">
        <v>71.5</v>
      </c>
      <c r="Y52" s="97">
        <v>15.1</v>
      </c>
      <c r="Z52" s="155">
        <v>40.5</v>
      </c>
      <c r="AA52" s="117">
        <v>0.3840277777777778</v>
      </c>
      <c r="AB52" s="155">
        <v>68.5</v>
      </c>
      <c r="AC52" s="155">
        <v>17.600000000000001</v>
      </c>
      <c r="AD52" s="96"/>
      <c r="AE52" s="94">
        <f>Table3.110[[#This Row],[Gas 8h, ml]]-Table3.110[[#This Row],[Gas 0h, ml]]</f>
        <v>29.5</v>
      </c>
      <c r="AF52" s="94">
        <f>Table3.110[[#This Row],[Gas 24h, ml]]-Table3.110[[#This Row],[V8 Push back, ml]]</f>
        <v>28</v>
      </c>
      <c r="AG52" s="94">
        <f>Table3.110[[#This Row],[GP 8h, ml]]-(AVERAGE(AE$11,AE$12,AE$62,AE$61,AE$114,AE$115))*$AG$8</f>
        <v>26.844979731721114</v>
      </c>
      <c r="AH52" s="94">
        <f>Table3.110[[#This Row],[GP 8-24h, ml]]-(AVERAGE(AF$11,AF$12,AF$62,AF$61,AF$114,AF$115))*$AG$8</f>
        <v>24.31247184961266</v>
      </c>
      <c r="AI52" s="94">
        <f>Table3.110[[#This Row],[Net gas 8-24h, ml]]+Table3.110[[#This Row],[Net gas 8h, ml]]</f>
        <v>51.157451581333774</v>
      </c>
      <c r="AJ52" s="94">
        <f>Table3.110[[#This Row],[Net gas 8h, ml]]*Table3.110[[#This Row],[CH4 8h %]]%</f>
        <v>4.0535919394898885</v>
      </c>
      <c r="AK52" s="94">
        <f>Table3.110[[#This Row],[Net gas 8-24h, ml]]*Table3.110[[#This Row],[CH4 24h, %]]%</f>
        <v>4.2789950455318282</v>
      </c>
      <c r="AL52" s="94">
        <f>Table3.110[[#This Row],[CH4 8-24h, ml]]+Table3.110[[#This Row],[CH4 8h, ml]]</f>
        <v>8.3325869850217167</v>
      </c>
      <c r="AM52" s="94">
        <f>(Table3.110[[#This Row],[Net gas 24h, ml]]/Table3.110[[#This Row],[DM Incubated, mg]])*1000</f>
        <v>108.00687412498945</v>
      </c>
      <c r="AN52" s="94">
        <f>'3.2 Digest'!X52</f>
        <v>38.372210533278391</v>
      </c>
      <c r="AO52" s="94">
        <f>Table3.110[[#This Row],[Digested feed, mg]]/Table3.110[[#This Row],[Net gas 24h, ml]]</f>
        <v>3.5527563263124051</v>
      </c>
      <c r="AP52" s="94">
        <f>Table3.110[[#This Row],[CH4 8h, ml]]/Table3.110[[#This Row],[Net gas 8h, ml]]%</f>
        <v>15.100000000000001</v>
      </c>
      <c r="AQ52" s="94">
        <f>Table3.110[[#This Row],[CH4 24h, ml]]/Table3.110[[#This Row],[Net gas 24h, ml]]%</f>
        <v>16.288119770340735</v>
      </c>
      <c r="AR52" s="94">
        <f>Table3.110[[#This Row],[CH4 24h, ml]]/Table3.110[[#This Row],[DM Incubated, mg]]*1000</f>
        <v>17.592289017679441</v>
      </c>
      <c r="AS52" s="94">
        <f>Table3.110[[#This Row],[CH4 24h, ml]]/Table3.110[[#This Row],[Digested feed, mg]]*1000</f>
        <v>45.846430980103392</v>
      </c>
      <c r="AT52" s="94">
        <f>Table3.110[[#This Row],[CH4 24h, ml]]/'3.2 Digest'!AA52</f>
        <v>-2.582750199427359</v>
      </c>
      <c r="AU52" s="94">
        <f>((Table3.110[[#This Row],[CH4 24h, ml]]/28.9)*16.04)/Table3.110[[#This Row],[DM Incubated, mg]]*1000</f>
        <v>9.7640247696739877</v>
      </c>
      <c r="AV52" s="94">
        <f>((Table3.110[[#This Row],[CH4 24h, ml]]/28.9)*16.04)/Table3.110[[#This Row],[Digested feed, mg]]*1000</f>
        <v>25.445562384804791</v>
      </c>
    </row>
    <row r="53" spans="2:48" s="89" customFormat="1" x14ac:dyDescent="0.35">
      <c r="B53" s="90">
        <f t="shared" si="0"/>
        <v>43</v>
      </c>
      <c r="C53" s="140">
        <v>46041</v>
      </c>
      <c r="D53" s="6" t="s">
        <v>16</v>
      </c>
      <c r="E53" s="6" t="s">
        <v>54</v>
      </c>
      <c r="F53" s="133" t="s">
        <v>19</v>
      </c>
      <c r="G53" s="133" t="s">
        <v>20</v>
      </c>
      <c r="H53" s="133" t="s">
        <v>21</v>
      </c>
      <c r="I53" s="6" t="s">
        <v>22</v>
      </c>
      <c r="J53" s="129" t="s">
        <v>23</v>
      </c>
      <c r="K53" s="129" t="s">
        <v>24</v>
      </c>
      <c r="L53" s="6" t="s">
        <v>53</v>
      </c>
      <c r="M53" s="119">
        <v>27</v>
      </c>
      <c r="N53" s="93">
        <v>58</v>
      </c>
      <c r="O53" s="6">
        <v>1</v>
      </c>
      <c r="P53" s="129">
        <v>2</v>
      </c>
      <c r="Q53" s="6">
        <v>223</v>
      </c>
      <c r="R53" s="98">
        <v>0.50019999999999998</v>
      </c>
      <c r="S53" s="94">
        <f>((Table3.110[[#This Row],[Sample weight, g]]*'2.1. DM'!Q37)/100)*1000</f>
        <v>473.74467079334289</v>
      </c>
      <c r="T53" s="94">
        <f>'3.2 Digest'!W53</f>
        <v>156.44467079334288</v>
      </c>
      <c r="U53" s="153">
        <v>0.38472222222222224</v>
      </c>
      <c r="V53" s="154">
        <v>42</v>
      </c>
      <c r="W53" s="153">
        <v>0.71875</v>
      </c>
      <c r="X53" s="95">
        <v>70.5</v>
      </c>
      <c r="Y53" s="95">
        <v>15.4</v>
      </c>
      <c r="Z53" s="154">
        <v>41</v>
      </c>
      <c r="AA53" s="153">
        <v>0.3840277777777778</v>
      </c>
      <c r="AB53" s="154">
        <v>68.5</v>
      </c>
      <c r="AC53" s="154">
        <v>17.399999999999999</v>
      </c>
      <c r="AD53" s="91"/>
      <c r="AE53" s="94">
        <f>Table3.110[[#This Row],[Gas 8h, ml]]-Table3.110[[#This Row],[Gas 0h, ml]]</f>
        <v>28.5</v>
      </c>
      <c r="AF53" s="94">
        <f>Table3.110[[#This Row],[Gas 24h, ml]]-Table3.110[[#This Row],[V8 Push back, ml]]</f>
        <v>27.5</v>
      </c>
      <c r="AG53" s="94">
        <f>Table3.110[[#This Row],[GP 8h, ml]]-(AVERAGE(AE$11,AE$12,AE$62,AE$61,AE$114,AE$115))*$AG$8</f>
        <v>25.844979731721114</v>
      </c>
      <c r="AH53" s="94">
        <f>Table3.110[[#This Row],[GP 8-24h, ml]]-(AVERAGE(AF$11,AF$12,AF$62,AF$61,AF$114,AF$115))*$AG$8</f>
        <v>23.81247184961266</v>
      </c>
      <c r="AI53" s="94">
        <f>Table3.110[[#This Row],[Net gas 8-24h, ml]]+Table3.110[[#This Row],[Net gas 8h, ml]]</f>
        <v>49.657451581333774</v>
      </c>
      <c r="AJ53" s="94">
        <f>Table3.110[[#This Row],[Net gas 8h, ml]]*Table3.110[[#This Row],[CH4 8h %]]%</f>
        <v>3.9801268786850517</v>
      </c>
      <c r="AK53" s="94">
        <f>Table3.110[[#This Row],[Net gas 8-24h, ml]]*Table3.110[[#This Row],[CH4 24h, %]]%</f>
        <v>4.1433701018326028</v>
      </c>
      <c r="AL53" s="94">
        <f>Table3.110[[#This Row],[CH4 8-24h, ml]]+Table3.110[[#This Row],[CH4 8h, ml]]</f>
        <v>8.123496980517654</v>
      </c>
      <c r="AM53" s="94">
        <f>(Table3.110[[#This Row],[Net gas 24h, ml]]/Table3.110[[#This Row],[DM Incubated, mg]])*1000</f>
        <v>104.819018857091</v>
      </c>
      <c r="AN53" s="94">
        <f>'3.2 Digest'!X53</f>
        <v>33.022993278501119</v>
      </c>
      <c r="AO53" s="94">
        <f>Table3.110[[#This Row],[Digested feed, mg]]/Table3.110[[#This Row],[Net gas 24h, ml]]</f>
        <v>3.1504772357699968</v>
      </c>
      <c r="AP53" s="94">
        <f>Table3.110[[#This Row],[CH4 8h, ml]]/Table3.110[[#This Row],[Net gas 8h, ml]]%</f>
        <v>15.4</v>
      </c>
      <c r="AQ53" s="94">
        <f>Table3.110[[#This Row],[CH4 24h, ml]]/Table3.110[[#This Row],[Net gas 24h, ml]]%</f>
        <v>16.359069428305652</v>
      </c>
      <c r="AR53" s="94">
        <f>Table3.110[[#This Row],[CH4 24h, ml]]/Table3.110[[#This Row],[DM Incubated, mg]]*1000</f>
        <v>17.147416068900309</v>
      </c>
      <c r="AS53" s="94">
        <f>Table3.110[[#This Row],[CH4 24h, ml]]/Table3.110[[#This Row],[Digested feed, mg]]*1000</f>
        <v>51.925686821563055</v>
      </c>
      <c r="AT53" s="94">
        <f>Table3.110[[#This Row],[CH4 24h, ml]]/'3.2 Digest'!AA53</f>
        <v>-0.66661671617484142</v>
      </c>
      <c r="AU53" s="94">
        <f>((Table3.110[[#This Row],[CH4 24h, ml]]/28.9)*16.04)/Table3.110[[#This Row],[DM Incubated, mg]]*1000</f>
        <v>9.5171125863377473</v>
      </c>
      <c r="AV53" s="94">
        <f>((Table3.110[[#This Row],[CH4 24h, ml]]/28.9)*16.04)/Table3.110[[#This Row],[Digested feed, mg]]*1000</f>
        <v>28.819654554251599</v>
      </c>
    </row>
    <row r="54" spans="2:48" s="89" customFormat="1" x14ac:dyDescent="0.35">
      <c r="B54" s="90">
        <f t="shared" si="0"/>
        <v>44</v>
      </c>
      <c r="C54" s="140">
        <v>46041</v>
      </c>
      <c r="D54" s="6" t="s">
        <v>16</v>
      </c>
      <c r="E54" s="6" t="s">
        <v>54</v>
      </c>
      <c r="F54" s="133" t="s">
        <v>19</v>
      </c>
      <c r="G54" s="133" t="s">
        <v>20</v>
      </c>
      <c r="H54" s="133" t="s">
        <v>21</v>
      </c>
      <c r="I54" s="6" t="s">
        <v>22</v>
      </c>
      <c r="J54" s="129" t="s">
        <v>23</v>
      </c>
      <c r="K54" s="129" t="s">
        <v>24</v>
      </c>
      <c r="L54" s="6" t="s">
        <v>53</v>
      </c>
      <c r="M54" s="119">
        <v>27</v>
      </c>
      <c r="N54" s="93">
        <v>58</v>
      </c>
      <c r="O54" s="6">
        <v>1</v>
      </c>
      <c r="P54" s="129">
        <v>3</v>
      </c>
      <c r="Q54" s="6">
        <v>224</v>
      </c>
      <c r="R54" s="98">
        <v>0.50009999999999999</v>
      </c>
      <c r="S54" s="94">
        <f>((Table3.110[[#This Row],[Sample weight, g]]*'2.1. DM'!Q37)/100)*1000</f>
        <v>473.64995974360414</v>
      </c>
      <c r="T54" s="94">
        <f>'3.2 Digest'!W54</f>
        <v>121.04995974360423</v>
      </c>
      <c r="U54" s="117">
        <v>0.38541666666666669</v>
      </c>
      <c r="V54" s="155">
        <v>41.4</v>
      </c>
      <c r="W54" s="117">
        <v>0.71875</v>
      </c>
      <c r="X54" s="97">
        <v>70</v>
      </c>
      <c r="Y54" s="97">
        <v>15.3</v>
      </c>
      <c r="Z54" s="155">
        <v>41</v>
      </c>
      <c r="AA54" s="117">
        <v>0.38472222222222224</v>
      </c>
      <c r="AB54" s="155">
        <v>69</v>
      </c>
      <c r="AC54" s="155">
        <v>17.5</v>
      </c>
      <c r="AD54" s="96"/>
      <c r="AE54" s="94">
        <f>Table3.110[[#This Row],[Gas 8h, ml]]-Table3.110[[#This Row],[Gas 0h, ml]]</f>
        <v>28.6</v>
      </c>
      <c r="AF54" s="94">
        <f>Table3.110[[#This Row],[Gas 24h, ml]]-Table3.110[[#This Row],[V8 Push back, ml]]</f>
        <v>28</v>
      </c>
      <c r="AG54" s="94">
        <f>Table3.110[[#This Row],[GP 8h, ml]]-(AVERAGE(AE$11,AE$12,AE$62,AE$61,AE$114,AE$115))*$AG$8</f>
        <v>25.944979731721116</v>
      </c>
      <c r="AH54" s="94">
        <f>Table3.110[[#This Row],[GP 8-24h, ml]]-(AVERAGE(AF$11,AF$12,AF$62,AF$61,AF$114,AF$115))*$AG$8</f>
        <v>24.31247184961266</v>
      </c>
      <c r="AI54" s="94">
        <f>Table3.110[[#This Row],[Net gas 8-24h, ml]]+Table3.110[[#This Row],[Net gas 8h, ml]]</f>
        <v>50.257451581333775</v>
      </c>
      <c r="AJ54" s="94">
        <f>Table3.110[[#This Row],[Net gas 8h, ml]]*Table3.110[[#This Row],[CH4 8h %]]%</f>
        <v>3.9695818989533307</v>
      </c>
      <c r="AK54" s="94">
        <f>Table3.110[[#This Row],[Net gas 8-24h, ml]]*Table3.110[[#This Row],[CH4 24h, %]]%</f>
        <v>4.2546825736822154</v>
      </c>
      <c r="AL54" s="94">
        <f>Table3.110[[#This Row],[CH4 8-24h, ml]]+Table3.110[[#This Row],[CH4 8h, ml]]</f>
        <v>8.2242644726355465</v>
      </c>
      <c r="AM54" s="94">
        <f>(Table3.110[[#This Row],[Net gas 24h, ml]]/Table3.110[[#This Row],[DM Incubated, mg]])*1000</f>
        <v>106.10673673135982</v>
      </c>
      <c r="AN54" s="94">
        <f>'3.2 Digest'!X54</f>
        <v>25.556839445131786</v>
      </c>
      <c r="AO54" s="94">
        <f>Table3.110[[#This Row],[Digested feed, mg]]/Table3.110[[#This Row],[Net gas 24h, ml]]</f>
        <v>2.408597251448453</v>
      </c>
      <c r="AP54" s="94">
        <f>Table3.110[[#This Row],[CH4 8h, ml]]/Table3.110[[#This Row],[Net gas 8h, ml]]%</f>
        <v>15.299999999999999</v>
      </c>
      <c r="AQ54" s="94">
        <f>Table3.110[[#This Row],[CH4 24h, ml]]/Table3.110[[#This Row],[Net gas 24h, ml]]%</f>
        <v>16.36426880763317</v>
      </c>
      <c r="AR54" s="94">
        <f>Table3.110[[#This Row],[CH4 24h, ml]]/Table3.110[[#This Row],[DM Incubated, mg]]*1000</f>
        <v>17.363591621727362</v>
      </c>
      <c r="AS54" s="94">
        <f>Table3.110[[#This Row],[CH4 24h, ml]]/Table3.110[[#This Row],[Digested feed, mg]]*1000</f>
        <v>67.941075652196432</v>
      </c>
      <c r="AT54" s="94">
        <f>Table3.110[[#This Row],[CH4 24h, ml]]/'3.2 Digest'!AA54</f>
        <v>-0.33307499997399403</v>
      </c>
      <c r="AU54" s="94">
        <f>((Table3.110[[#This Row],[CH4 24h, ml]]/28.9)*16.04)/Table3.110[[#This Row],[DM Incubated, mg]]*1000</f>
        <v>9.6370937582182332</v>
      </c>
      <c r="AV54" s="94">
        <f>((Table3.110[[#This Row],[CH4 24h, ml]]/28.9)*16.04)/Table3.110[[#This Row],[Digested feed, mg]]*1000</f>
        <v>37.70847243810487</v>
      </c>
    </row>
    <row r="55" spans="2:48" s="89" customFormat="1" x14ac:dyDescent="0.35">
      <c r="B55" s="90">
        <f t="shared" si="0"/>
        <v>45</v>
      </c>
      <c r="C55" s="140">
        <v>46041</v>
      </c>
      <c r="D55" s="6" t="s">
        <v>16</v>
      </c>
      <c r="E55" s="6" t="s">
        <v>56</v>
      </c>
      <c r="F55" s="133" t="s">
        <v>19</v>
      </c>
      <c r="G55" s="133" t="s">
        <v>20</v>
      </c>
      <c r="H55" s="133" t="s">
        <v>21</v>
      </c>
      <c r="I55" s="6" t="s">
        <v>22</v>
      </c>
      <c r="J55" s="129" t="s">
        <v>23</v>
      </c>
      <c r="K55" s="129" t="s">
        <v>24</v>
      </c>
      <c r="L55" s="6" t="s">
        <v>55</v>
      </c>
      <c r="M55" s="119">
        <v>27</v>
      </c>
      <c r="N55" s="93">
        <v>58</v>
      </c>
      <c r="O55" s="6">
        <v>1</v>
      </c>
      <c r="P55" s="6">
        <v>1</v>
      </c>
      <c r="Q55" s="6">
        <v>225</v>
      </c>
      <c r="R55" s="98">
        <v>0.50049999999999994</v>
      </c>
      <c r="S55" s="94">
        <f>((Table3.110[[#This Row],[Sample weight, g]]*'2.1. DM'!Q39)/100)*1000</f>
        <v>476.08536585365806</v>
      </c>
      <c r="T55" s="94">
        <f>'3.2 Digest'!W55</f>
        <v>90.385365853658129</v>
      </c>
      <c r="U55" s="153">
        <v>0.38611111111111113</v>
      </c>
      <c r="V55" s="154">
        <v>41.5</v>
      </c>
      <c r="W55" s="153">
        <v>0.71944444444444444</v>
      </c>
      <c r="X55" s="95">
        <v>71</v>
      </c>
      <c r="Y55" s="95">
        <v>14.3</v>
      </c>
      <c r="Z55" s="154">
        <v>40.5</v>
      </c>
      <c r="AA55" s="153">
        <v>0.38472222222222224</v>
      </c>
      <c r="AB55" s="154">
        <v>67.5</v>
      </c>
      <c r="AC55" s="154">
        <v>17.899999999999999</v>
      </c>
      <c r="AD55" s="91"/>
      <c r="AE55" s="94">
        <f>Table3.110[[#This Row],[Gas 8h, ml]]-Table3.110[[#This Row],[Gas 0h, ml]]</f>
        <v>29.5</v>
      </c>
      <c r="AF55" s="94">
        <f>Table3.110[[#This Row],[Gas 24h, ml]]-Table3.110[[#This Row],[V8 Push back, ml]]</f>
        <v>27</v>
      </c>
      <c r="AG55" s="94">
        <f>Table3.110[[#This Row],[GP 8h, ml]]-(AVERAGE(AE$11,AE$12,AE$62,AE$61,AE$114,AE$115))*$AG$8</f>
        <v>26.844979731721114</v>
      </c>
      <c r="AH55" s="94">
        <f>Table3.110[[#This Row],[GP 8-24h, ml]]-(AVERAGE(AF$11,AF$12,AF$62,AF$61,AF$114,AF$115))*$AG$8</f>
        <v>23.31247184961266</v>
      </c>
      <c r="AI55" s="94">
        <f>Table3.110[[#This Row],[Net gas 8-24h, ml]]+Table3.110[[#This Row],[Net gas 8h, ml]]</f>
        <v>50.157451581333774</v>
      </c>
      <c r="AJ55" s="94">
        <f>Table3.110[[#This Row],[Net gas 8h, ml]]*Table3.110[[#This Row],[CH4 8h %]]%</f>
        <v>3.83883210163612</v>
      </c>
      <c r="AK55" s="94">
        <f>Table3.110[[#This Row],[Net gas 8-24h, ml]]*Table3.110[[#This Row],[CH4 24h, %]]%</f>
        <v>4.1729324610806655</v>
      </c>
      <c r="AL55" s="94">
        <f>Table3.110[[#This Row],[CH4 8-24h, ml]]+Table3.110[[#This Row],[CH4 8h, ml]]</f>
        <v>8.0117645627167846</v>
      </c>
      <c r="AM55" s="94">
        <f>(Table3.110[[#This Row],[Net gas 24h, ml]]/Table3.110[[#This Row],[DM Incubated, mg]])*1000</f>
        <v>105.35390326774184</v>
      </c>
      <c r="AN55" s="94">
        <f>'3.2 Digest'!X55</f>
        <v>18.985117446655842</v>
      </c>
      <c r="AO55" s="94">
        <f>Table3.110[[#This Row],[Digested feed, mg]]/Table3.110[[#This Row],[Net gas 24h, ml]]</f>
        <v>1.8020326592369234</v>
      </c>
      <c r="AP55" s="94">
        <f>Table3.110[[#This Row],[CH4 8h, ml]]/Table3.110[[#This Row],[Net gas 8h, ml]]%</f>
        <v>14.300000000000002</v>
      </c>
      <c r="AQ55" s="94">
        <f>Table3.110[[#This Row],[CH4 24h, ml]]/Table3.110[[#This Row],[Net gas 24h, ml]]%</f>
        <v>15.973228922376876</v>
      </c>
      <c r="AR55" s="94">
        <f>Table3.110[[#This Row],[CH4 24h, ml]]/Table3.110[[#This Row],[DM Incubated, mg]]*1000</f>
        <v>16.828420147615894</v>
      </c>
      <c r="AS55" s="94">
        <f>Table3.110[[#This Row],[CH4 24h, ml]]/Table3.110[[#This Row],[Digested feed, mg]]*1000</f>
        <v>88.640063433371907</v>
      </c>
      <c r="AT55" s="94">
        <f>Table3.110[[#This Row],[CH4 24h, ml]]/'3.2 Digest'!AA55</f>
        <v>-0.2206220049829275</v>
      </c>
      <c r="AU55" s="94">
        <f>((Table3.110[[#This Row],[CH4 24h, ml]]/28.9)*16.04)/Table3.110[[#This Row],[DM Incubated, mg]]*1000</f>
        <v>9.3400643310643261</v>
      </c>
      <c r="AV55" s="94">
        <f>((Table3.110[[#This Row],[CH4 24h, ml]]/28.9)*16.04)/Table3.110[[#This Row],[Digested feed, mg]]*1000</f>
        <v>49.19676877063273</v>
      </c>
    </row>
    <row r="56" spans="2:48" s="89" customFormat="1" x14ac:dyDescent="0.35">
      <c r="B56" s="90">
        <f t="shared" si="0"/>
        <v>46</v>
      </c>
      <c r="C56" s="140">
        <v>46041</v>
      </c>
      <c r="D56" s="6" t="s">
        <v>16</v>
      </c>
      <c r="E56" s="6" t="s">
        <v>56</v>
      </c>
      <c r="F56" s="133" t="s">
        <v>19</v>
      </c>
      <c r="G56" s="133" t="s">
        <v>20</v>
      </c>
      <c r="H56" s="133" t="s">
        <v>21</v>
      </c>
      <c r="I56" s="6" t="s">
        <v>22</v>
      </c>
      <c r="J56" s="129" t="s">
        <v>23</v>
      </c>
      <c r="K56" s="129" t="s">
        <v>24</v>
      </c>
      <c r="L56" s="6" t="s">
        <v>55</v>
      </c>
      <c r="M56" s="119">
        <v>27</v>
      </c>
      <c r="N56" s="93">
        <v>58</v>
      </c>
      <c r="O56" s="6">
        <v>1</v>
      </c>
      <c r="P56" s="129">
        <v>2</v>
      </c>
      <c r="Q56" s="6">
        <v>226</v>
      </c>
      <c r="R56" s="98">
        <v>0.50039999999999996</v>
      </c>
      <c r="S56" s="94">
        <f>((Table3.110[[#This Row],[Sample weight, g]]*'2.1. DM'!Q39)/100)*1000</f>
        <v>475.99024390243852</v>
      </c>
      <c r="T56" s="94">
        <f>'3.2 Digest'!W56</f>
        <v>114.59024390243849</v>
      </c>
      <c r="U56" s="117">
        <v>0.38611111111111113</v>
      </c>
      <c r="V56" s="155">
        <v>41</v>
      </c>
      <c r="W56" s="117">
        <v>0.71944444444444444</v>
      </c>
      <c r="X56" s="97">
        <v>68.5</v>
      </c>
      <c r="Y56" s="97">
        <v>15.8</v>
      </c>
      <c r="Z56" s="155">
        <v>41</v>
      </c>
      <c r="AA56" s="117">
        <v>0.38541666666666669</v>
      </c>
      <c r="AB56" s="155">
        <v>69</v>
      </c>
      <c r="AC56" s="155">
        <v>17.5</v>
      </c>
      <c r="AD56" s="96"/>
      <c r="AE56" s="94">
        <f>Table3.110[[#This Row],[Gas 8h, ml]]-Table3.110[[#This Row],[Gas 0h, ml]]</f>
        <v>27.5</v>
      </c>
      <c r="AF56" s="94">
        <f>Table3.110[[#This Row],[Gas 24h, ml]]-Table3.110[[#This Row],[V8 Push back, ml]]</f>
        <v>28</v>
      </c>
      <c r="AG56" s="94">
        <f>Table3.110[[#This Row],[GP 8h, ml]]-(AVERAGE(AE$11,AE$12,AE$62,AE$61,AE$114,AE$115))*$AG$8</f>
        <v>24.844979731721114</v>
      </c>
      <c r="AH56" s="94">
        <f>Table3.110[[#This Row],[GP 8-24h, ml]]-(AVERAGE(AF$11,AF$12,AF$62,AF$61,AF$114,AF$115))*$AG$8</f>
        <v>24.31247184961266</v>
      </c>
      <c r="AI56" s="94">
        <f>Table3.110[[#This Row],[Net gas 8-24h, ml]]+Table3.110[[#This Row],[Net gas 8h, ml]]</f>
        <v>49.157451581333774</v>
      </c>
      <c r="AJ56" s="94">
        <f>Table3.110[[#This Row],[Net gas 8h, ml]]*Table3.110[[#This Row],[CH4 8h %]]%</f>
        <v>3.925506797611936</v>
      </c>
      <c r="AK56" s="94">
        <f>Table3.110[[#This Row],[Net gas 8-24h, ml]]*Table3.110[[#This Row],[CH4 24h, %]]%</f>
        <v>4.2546825736822154</v>
      </c>
      <c r="AL56" s="94">
        <f>Table3.110[[#This Row],[CH4 8-24h, ml]]+Table3.110[[#This Row],[CH4 8h, ml]]</f>
        <v>8.1801893712941514</v>
      </c>
      <c r="AM56" s="94">
        <f>(Table3.110[[#This Row],[Net gas 24h, ml]]/Table3.110[[#This Row],[DM Incubated, mg]])*1000</f>
        <v>103.27407380939796</v>
      </c>
      <c r="AN56" s="94">
        <f>'3.2 Digest'!X56</f>
        <v>24.074074074073987</v>
      </c>
      <c r="AO56" s="94">
        <f>Table3.110[[#This Row],[Digested feed, mg]]/Table3.110[[#This Row],[Net gas 24h, ml]]</f>
        <v>2.3310859333877891</v>
      </c>
      <c r="AP56" s="94">
        <f>Table3.110[[#This Row],[CH4 8h, ml]]/Table3.110[[#This Row],[Net gas 8h, ml]]%</f>
        <v>15.799999999999999</v>
      </c>
      <c r="AQ56" s="94">
        <f>Table3.110[[#This Row],[CH4 24h, ml]]/Table3.110[[#This Row],[Net gas 24h, ml]]%</f>
        <v>16.64079220575454</v>
      </c>
      <c r="AR56" s="94">
        <f>Table3.110[[#This Row],[CH4 24h, ml]]/Table3.110[[#This Row],[DM Incubated, mg]]*1000</f>
        <v>17.185624025039484</v>
      </c>
      <c r="AS56" s="94">
        <f>Table3.110[[#This Row],[CH4 24h, ml]]/Table3.110[[#This Row],[Digested feed, mg]]*1000</f>
        <v>71.386438257856582</v>
      </c>
      <c r="AT56" s="94">
        <f>Table3.110[[#This Row],[CH4 24h, ml]]/'3.2 Digest'!AA56</f>
        <v>-0.29476208577795476</v>
      </c>
      <c r="AU56" s="94">
        <f>((Table3.110[[#This Row],[CH4 24h, ml]]/28.9)*16.04)/Table3.110[[#This Row],[DM Incubated, mg]]*1000</f>
        <v>9.538318663032296</v>
      </c>
      <c r="AV56" s="94">
        <f>((Table3.110[[#This Row],[CH4 24h, ml]]/28.9)*16.04)/Table3.110[[#This Row],[Digested feed, mg]]*1000</f>
        <v>39.620708292595836</v>
      </c>
    </row>
    <row r="57" spans="2:48" s="89" customFormat="1" x14ac:dyDescent="0.35">
      <c r="B57" s="90">
        <f t="shared" si="0"/>
        <v>47</v>
      </c>
      <c r="C57" s="140">
        <v>46041</v>
      </c>
      <c r="D57" s="6" t="s">
        <v>16</v>
      </c>
      <c r="E57" s="6" t="s">
        <v>56</v>
      </c>
      <c r="F57" s="133" t="s">
        <v>19</v>
      </c>
      <c r="G57" s="133" t="s">
        <v>20</v>
      </c>
      <c r="H57" s="133" t="s">
        <v>21</v>
      </c>
      <c r="I57" s="6" t="s">
        <v>22</v>
      </c>
      <c r="J57" s="129" t="s">
        <v>23</v>
      </c>
      <c r="K57" s="129" t="s">
        <v>24</v>
      </c>
      <c r="L57" s="6" t="s">
        <v>55</v>
      </c>
      <c r="M57" s="119">
        <v>27</v>
      </c>
      <c r="N57" s="93">
        <v>58</v>
      </c>
      <c r="O57" s="6">
        <v>1</v>
      </c>
      <c r="P57" s="129">
        <v>3</v>
      </c>
      <c r="Q57" s="6">
        <v>227</v>
      </c>
      <c r="R57" s="98">
        <v>0.50049999999999994</v>
      </c>
      <c r="S57" s="94">
        <f>((Table3.110[[#This Row],[Sample weight, g]]*'2.1. DM'!Q39)/100)*1000</f>
        <v>476.08536585365806</v>
      </c>
      <c r="T57" s="94">
        <f>'3.2 Digest'!W57</f>
        <v>107.58536585365812</v>
      </c>
      <c r="U57" s="153">
        <v>0.38611111111111113</v>
      </c>
      <c r="V57" s="154">
        <v>43</v>
      </c>
      <c r="W57" s="153">
        <v>0.72013888888888888</v>
      </c>
      <c r="X57" s="95">
        <v>71</v>
      </c>
      <c r="Y57" s="95">
        <v>14.4</v>
      </c>
      <c r="Z57" s="154">
        <v>40</v>
      </c>
      <c r="AA57" s="153">
        <v>0.38541666666666669</v>
      </c>
      <c r="AB57" s="154">
        <v>66.5</v>
      </c>
      <c r="AC57" s="154">
        <v>18.2</v>
      </c>
      <c r="AD57" s="91"/>
      <c r="AE57" s="94">
        <f>Table3.110[[#This Row],[Gas 8h, ml]]-Table3.110[[#This Row],[Gas 0h, ml]]</f>
        <v>28</v>
      </c>
      <c r="AF57" s="94">
        <f>Table3.110[[#This Row],[Gas 24h, ml]]-Table3.110[[#This Row],[V8 Push back, ml]]</f>
        <v>26.5</v>
      </c>
      <c r="AG57" s="94">
        <f>Table3.110[[#This Row],[GP 8h, ml]]-(AVERAGE(AE$11,AE$12,AE$62,AE$61,AE$114,AE$115))*$AG$8</f>
        <v>25.344979731721114</v>
      </c>
      <c r="AH57" s="94">
        <f>Table3.110[[#This Row],[GP 8-24h, ml]]-(AVERAGE(AF$11,AF$12,AF$62,AF$61,AF$114,AF$115))*$AG$8</f>
        <v>22.81247184961266</v>
      </c>
      <c r="AI57" s="94">
        <f>Table3.110[[#This Row],[Net gas 8-24h, ml]]+Table3.110[[#This Row],[Net gas 8h, ml]]</f>
        <v>48.157451581333774</v>
      </c>
      <c r="AJ57" s="94">
        <f>Table3.110[[#This Row],[Net gas 8h, ml]]*Table3.110[[#This Row],[CH4 8h %]]%</f>
        <v>3.649677081367841</v>
      </c>
      <c r="AK57" s="94">
        <f>Table3.110[[#This Row],[Net gas 8-24h, ml]]*Table3.110[[#This Row],[CH4 24h, %]]%</f>
        <v>4.1518698766295037</v>
      </c>
      <c r="AL57" s="94">
        <f>Table3.110[[#This Row],[CH4 8-24h, ml]]+Table3.110[[#This Row],[CH4 8h, ml]]</f>
        <v>7.8015469579973447</v>
      </c>
      <c r="AM57" s="94">
        <f>(Table3.110[[#This Row],[Net gas 24h, ml]]/Table3.110[[#This Row],[DM Incubated, mg]])*1000</f>
        <v>101.15297598989147</v>
      </c>
      <c r="AN57" s="94">
        <f>'3.2 Digest'!X57</f>
        <v>22.597914905607148</v>
      </c>
      <c r="AO57" s="94">
        <f>Table3.110[[#This Row],[Digested feed, mg]]/Table3.110[[#This Row],[Net gas 24h, ml]]</f>
        <v>2.2340336193238075</v>
      </c>
      <c r="AP57" s="94">
        <f>Table3.110[[#This Row],[CH4 8h, ml]]/Table3.110[[#This Row],[Net gas 8h, ml]]%</f>
        <v>14.400000000000004</v>
      </c>
      <c r="AQ57" s="94">
        <f>Table3.110[[#This Row],[CH4 24h, ml]]/Table3.110[[#This Row],[Net gas 24h, ml]]%</f>
        <v>16.20008264935117</v>
      </c>
      <c r="AR57" s="94">
        <f>Table3.110[[#This Row],[CH4 24h, ml]]/Table3.110[[#This Row],[DM Incubated, mg]]*1000</f>
        <v>16.386865712640766</v>
      </c>
      <c r="AS57" s="94">
        <f>Table3.110[[#This Row],[CH4 24h, ml]]/Table3.110[[#This Row],[Digested feed, mg]]*1000</f>
        <v>72.514945653568887</v>
      </c>
      <c r="AT57" s="94">
        <f>Table3.110[[#This Row],[CH4 24h, ml]]/'3.2 Digest'!AA57</f>
        <v>-0.25802520243446381</v>
      </c>
      <c r="AU57" s="94">
        <f>((Table3.110[[#This Row],[CH4 24h, ml]]/28.9)*16.04)/Table3.110[[#This Row],[DM Incubated, mg]]*1000</f>
        <v>9.0949939803030411</v>
      </c>
      <c r="AV57" s="94">
        <f>((Table3.110[[#This Row],[CH4 24h, ml]]/28.9)*16.04)/Table3.110[[#This Row],[Digested feed, mg]]*1000</f>
        <v>40.247049421565571</v>
      </c>
    </row>
    <row r="58" spans="2:48" s="89" customFormat="1" x14ac:dyDescent="0.35">
      <c r="B58" s="90">
        <f t="shared" si="0"/>
        <v>48</v>
      </c>
      <c r="C58" s="140">
        <v>46041</v>
      </c>
      <c r="D58" s="6" t="s">
        <v>16</v>
      </c>
      <c r="E58" s="57" t="s">
        <v>58</v>
      </c>
      <c r="F58" s="133" t="s">
        <v>19</v>
      </c>
      <c r="G58" s="133" t="s">
        <v>20</v>
      </c>
      <c r="H58" s="125" t="s">
        <v>21</v>
      </c>
      <c r="I58" s="6" t="s">
        <v>22</v>
      </c>
      <c r="J58" s="129" t="s">
        <v>23</v>
      </c>
      <c r="K58" s="129" t="s">
        <v>24</v>
      </c>
      <c r="L58" s="57" t="s">
        <v>57</v>
      </c>
      <c r="M58" s="119">
        <v>27</v>
      </c>
      <c r="N58" s="105">
        <v>58</v>
      </c>
      <c r="O58" s="57">
        <v>1</v>
      </c>
      <c r="P58" s="57">
        <v>1</v>
      </c>
      <c r="Q58" s="57">
        <v>228</v>
      </c>
      <c r="R58" s="106">
        <v>0.50029999999999997</v>
      </c>
      <c r="S58" s="94">
        <f>((Table3.110[[#This Row],[Sample weight, g]]*'2.1. DM'!Q41)/100)*1000</f>
        <v>468.88740218950227</v>
      </c>
      <c r="T58" s="94">
        <f>'3.2 Digest'!W58</f>
        <v>102.18740218950234</v>
      </c>
      <c r="U58" s="157">
        <v>0.38680555555555557</v>
      </c>
      <c r="V58" s="158">
        <v>42</v>
      </c>
      <c r="W58" s="157">
        <v>0.72083333333333333</v>
      </c>
      <c r="X58" s="107">
        <v>68.5</v>
      </c>
      <c r="Y58" s="107">
        <v>15</v>
      </c>
      <c r="Z58" s="158">
        <v>41</v>
      </c>
      <c r="AA58" s="157">
        <v>0.38611111111111113</v>
      </c>
      <c r="AB58" s="158">
        <v>71.5</v>
      </c>
      <c r="AC58" s="158">
        <v>17.399999999999999</v>
      </c>
      <c r="AD58" s="96"/>
      <c r="AE58" s="94">
        <f>Table3.110[[#This Row],[Gas 8h, ml]]-Table3.110[[#This Row],[Gas 0h, ml]]</f>
        <v>26.5</v>
      </c>
      <c r="AF58" s="94">
        <f>Table3.110[[#This Row],[Gas 24h, ml]]-Table3.110[[#This Row],[V8 Push back, ml]]</f>
        <v>30.5</v>
      </c>
      <c r="AG58" s="94">
        <f>Table3.110[[#This Row],[GP 8h, ml]]-(AVERAGE(AE$11,AE$12,AE$62,AE$61,AE$114,AE$115))*$AG$8</f>
        <v>23.844979731721114</v>
      </c>
      <c r="AH58" s="94">
        <f>Table3.110[[#This Row],[GP 8-24h, ml]]-(AVERAGE(AF$11,AF$12,AF$62,AF$61,AF$114,AF$115))*$AG$8</f>
        <v>26.81247184961266</v>
      </c>
      <c r="AI58" s="94">
        <f>Table3.110[[#This Row],[Net gas 8-24h, ml]]+Table3.110[[#This Row],[Net gas 8h, ml]]</f>
        <v>50.657451581333774</v>
      </c>
      <c r="AJ58" s="94">
        <f>Table3.110[[#This Row],[Net gas 8h, ml]]*Table3.110[[#This Row],[CH4 8h %]]%</f>
        <v>3.5767469597581671</v>
      </c>
      <c r="AK58" s="94">
        <f>Table3.110[[#This Row],[Net gas 8-24h, ml]]*Table3.110[[#This Row],[CH4 24h, %]]%</f>
        <v>4.6653701018326021</v>
      </c>
      <c r="AL58" s="94">
        <f>Table3.110[[#This Row],[CH4 8-24h, ml]]+Table3.110[[#This Row],[CH4 8h, ml]]</f>
        <v>8.2421170615907684</v>
      </c>
      <c r="AM58" s="94">
        <f>(Table3.110[[#This Row],[Net gas 24h, ml]]/Table3.110[[#This Row],[DM Incubated, mg]])*1000</f>
        <v>108.03756156549586</v>
      </c>
      <c r="AN58" s="94">
        <f>'3.2 Digest'!X58</f>
        <v>21.793590894600957</v>
      </c>
      <c r="AO58" s="94">
        <f>Table3.110[[#This Row],[Digested feed, mg]]/Table3.110[[#This Row],[Net gas 24h, ml]]</f>
        <v>2.0172235080841747</v>
      </c>
      <c r="AP58" s="94">
        <f>Table3.110[[#This Row],[CH4 8h, ml]]/Table3.110[[#This Row],[Net gas 8h, ml]]%</f>
        <v>15</v>
      </c>
      <c r="AQ58" s="94">
        <f>Table3.110[[#This Row],[CH4 24h, ml]]/Table3.110[[#This Row],[Net gas 24h, ml]]%</f>
        <v>16.270295493166532</v>
      </c>
      <c r="AR58" s="94">
        <f>Table3.110[[#This Row],[CH4 24h, ml]]/Table3.110[[#This Row],[DM Incubated, mg]]*1000</f>
        <v>17.578030510317895</v>
      </c>
      <c r="AS58" s="94">
        <f>Table3.110[[#This Row],[CH4 24h, ml]]/Table3.110[[#This Row],[Digested feed, mg]]*1000</f>
        <v>80.656880251306333</v>
      </c>
      <c r="AT58" s="94">
        <f>Table3.110[[#This Row],[CH4 24h, ml]]/'3.2 Digest'!AA58</f>
        <v>-0.3834160084082503</v>
      </c>
      <c r="AU58" s="94">
        <f>((Table3.110[[#This Row],[CH4 24h, ml]]/28.9)*16.04)/Table3.110[[#This Row],[DM Incubated, mg]]*1000</f>
        <v>9.7561110514013496</v>
      </c>
      <c r="AV58" s="94">
        <f>((Table3.110[[#This Row],[CH4 24h, ml]]/28.9)*16.04)/Table3.110[[#This Row],[Digested feed, mg]]*1000</f>
        <v>44.765963987230222</v>
      </c>
    </row>
    <row r="59" spans="2:48" s="89" customFormat="1" x14ac:dyDescent="0.35">
      <c r="B59" s="90">
        <f t="shared" si="0"/>
        <v>49</v>
      </c>
      <c r="C59" s="140">
        <v>46041</v>
      </c>
      <c r="D59" s="6" t="s">
        <v>16</v>
      </c>
      <c r="E59" s="6" t="s">
        <v>58</v>
      </c>
      <c r="F59" s="133" t="s">
        <v>19</v>
      </c>
      <c r="G59" s="133" t="s">
        <v>20</v>
      </c>
      <c r="H59" s="133" t="s">
        <v>21</v>
      </c>
      <c r="I59" s="6" t="s">
        <v>22</v>
      </c>
      <c r="J59" s="129" t="s">
        <v>23</v>
      </c>
      <c r="K59" s="129" t="s">
        <v>24</v>
      </c>
      <c r="L59" s="6" t="s">
        <v>57</v>
      </c>
      <c r="M59" s="119">
        <v>27</v>
      </c>
      <c r="N59" s="93">
        <v>58</v>
      </c>
      <c r="O59" s="6">
        <v>1</v>
      </c>
      <c r="P59" s="129">
        <v>2</v>
      </c>
      <c r="Q59" s="6">
        <v>229</v>
      </c>
      <c r="R59" s="98">
        <v>0.50049999999999994</v>
      </c>
      <c r="S59" s="94">
        <f>((Table3.110[[#This Row],[Sample weight, g]]*'2.1. DM'!Q41)/100)*1000</f>
        <v>469.07484468488082</v>
      </c>
      <c r="T59" s="94">
        <f>'3.2 Digest'!W59</f>
        <v>116.07484468488082</v>
      </c>
      <c r="U59" s="117">
        <v>0.38680555555555557</v>
      </c>
      <c r="V59" s="155">
        <v>41.5</v>
      </c>
      <c r="W59" s="117">
        <v>0.72083333333333333</v>
      </c>
      <c r="X59" s="97">
        <v>66</v>
      </c>
      <c r="Y59" s="97">
        <v>16.100000000000001</v>
      </c>
      <c r="Z59" s="155">
        <v>41</v>
      </c>
      <c r="AA59" s="117">
        <v>0.38680555555555557</v>
      </c>
      <c r="AB59" s="155">
        <v>71.5</v>
      </c>
      <c r="AC59" s="155">
        <v>17.3</v>
      </c>
      <c r="AD59" s="91"/>
      <c r="AE59" s="94">
        <f>Table3.110[[#This Row],[Gas 8h, ml]]-Table3.110[[#This Row],[Gas 0h, ml]]</f>
        <v>24.5</v>
      </c>
      <c r="AF59" s="94">
        <f>Table3.110[[#This Row],[Gas 24h, ml]]-Table3.110[[#This Row],[V8 Push back, ml]]</f>
        <v>30.5</v>
      </c>
      <c r="AG59" s="94">
        <f>Table3.110[[#This Row],[GP 8h, ml]]-(AVERAGE(AE$11,AE$12,AE$62,AE$61,AE$114,AE$115))*$AG$8</f>
        <v>21.844979731721114</v>
      </c>
      <c r="AH59" s="94">
        <f>Table3.110[[#This Row],[GP 8-24h, ml]]-(AVERAGE(AF$11,AF$12,AF$62,AF$61,AF$114,AF$115))*$AG$8</f>
        <v>26.81247184961266</v>
      </c>
      <c r="AI59" s="94">
        <f>Table3.110[[#This Row],[Net gas 8-24h, ml]]+Table3.110[[#This Row],[Net gas 8h, ml]]</f>
        <v>48.657451581333774</v>
      </c>
      <c r="AJ59" s="94">
        <f>Table3.110[[#This Row],[Net gas 8h, ml]]*Table3.110[[#This Row],[CH4 8h %]]%</f>
        <v>3.5170417368070996</v>
      </c>
      <c r="AK59" s="94">
        <f>Table3.110[[#This Row],[Net gas 8-24h, ml]]*Table3.110[[#This Row],[CH4 24h, %]]%</f>
        <v>4.6385576299829907</v>
      </c>
      <c r="AL59" s="94">
        <f>Table3.110[[#This Row],[CH4 8-24h, ml]]+Table3.110[[#This Row],[CH4 8h, ml]]</f>
        <v>8.1555993667900903</v>
      </c>
      <c r="AM59" s="94">
        <f>(Table3.110[[#This Row],[Net gas 24h, ml]]/Table3.110[[#This Row],[DM Incubated, mg]])*1000</f>
        <v>103.73067780691011</v>
      </c>
      <c r="AN59" s="94">
        <f>'3.2 Digest'!X59</f>
        <v>24.745484862412219</v>
      </c>
      <c r="AO59" s="94">
        <f>Table3.110[[#This Row],[Digested feed, mg]]/Table3.110[[#This Row],[Net gas 24h, ml]]</f>
        <v>2.3855512549985263</v>
      </c>
      <c r="AP59" s="94">
        <f>Table3.110[[#This Row],[CH4 8h, ml]]/Table3.110[[#This Row],[Net gas 8h, ml]]%</f>
        <v>16.100000000000001</v>
      </c>
      <c r="AQ59" s="94">
        <f>Table3.110[[#This Row],[CH4 24h, ml]]/Table3.110[[#This Row],[Net gas 24h, ml]]%</f>
        <v>16.761254652142089</v>
      </c>
      <c r="AR59" s="94">
        <f>Table3.110[[#This Row],[CH4 24h, ml]]/Table3.110[[#This Row],[DM Incubated, mg]]*1000</f>
        <v>17.386563059609237</v>
      </c>
      <c r="AS59" s="94">
        <f>Table3.110[[#This Row],[CH4 24h, ml]]/Table3.110[[#This Row],[Digested feed, mg]]*1000</f>
        <v>70.261557436762928</v>
      </c>
      <c r="AT59" s="94">
        <f>Table3.110[[#This Row],[CH4 24h, ml]]/'3.2 Digest'!AA59</f>
        <v>-0.48227556452317061</v>
      </c>
      <c r="AU59" s="94">
        <f>((Table3.110[[#This Row],[CH4 24h, ml]]/28.9)*16.04)/Table3.110[[#This Row],[DM Incubated, mg]]*1000</f>
        <v>9.6498433036723945</v>
      </c>
      <c r="AV59" s="94">
        <f>((Table3.110[[#This Row],[CH4 24h, ml]]/28.9)*16.04)/Table3.110[[#This Row],[Digested feed, mg]]*1000</f>
        <v>38.996379975282963</v>
      </c>
    </row>
    <row r="60" spans="2:48" s="89" customFormat="1" x14ac:dyDescent="0.35">
      <c r="B60" s="90">
        <f t="shared" si="0"/>
        <v>50</v>
      </c>
      <c r="C60" s="140">
        <v>46041</v>
      </c>
      <c r="D60" s="6" t="s">
        <v>16</v>
      </c>
      <c r="E60" s="6" t="s">
        <v>58</v>
      </c>
      <c r="F60" s="133" t="s">
        <v>19</v>
      </c>
      <c r="G60" s="133" t="s">
        <v>20</v>
      </c>
      <c r="H60" s="133" t="s">
        <v>21</v>
      </c>
      <c r="I60" s="6" t="s">
        <v>22</v>
      </c>
      <c r="J60" s="129" t="s">
        <v>23</v>
      </c>
      <c r="K60" s="129" t="s">
        <v>24</v>
      </c>
      <c r="L60" s="6" t="s">
        <v>57</v>
      </c>
      <c r="M60" s="119">
        <v>27</v>
      </c>
      <c r="N60" s="93">
        <v>58</v>
      </c>
      <c r="O60" s="6">
        <v>1</v>
      </c>
      <c r="P60" s="129">
        <v>3</v>
      </c>
      <c r="Q60" s="6">
        <v>230</v>
      </c>
      <c r="R60" s="98">
        <v>0.50049999999999994</v>
      </c>
      <c r="S60" s="94">
        <f>((Table3.110[[#This Row],[Sample weight, g]]*'2.1. DM'!Q41)/100)*1000</f>
        <v>469.07484468488082</v>
      </c>
      <c r="T60" s="94">
        <f>'3.2 Digest'!W60</f>
        <v>96.774844684880861</v>
      </c>
      <c r="U60" s="117">
        <v>0.38750000000000001</v>
      </c>
      <c r="V60" s="155">
        <v>41.5</v>
      </c>
      <c r="W60" s="117">
        <v>0.72152777777777777</v>
      </c>
      <c r="X60" s="97">
        <v>65.5</v>
      </c>
      <c r="Y60" s="97">
        <v>15.7</v>
      </c>
      <c r="Z60" s="155">
        <v>40</v>
      </c>
      <c r="AA60" s="117">
        <v>0.38680555555555557</v>
      </c>
      <c r="AB60" s="155">
        <v>70</v>
      </c>
      <c r="AC60" s="155">
        <v>17.3</v>
      </c>
      <c r="AD60" s="96"/>
      <c r="AE60" s="94">
        <f>Table3.110[[#This Row],[Gas 8h, ml]]-Table3.110[[#This Row],[Gas 0h, ml]]</f>
        <v>24</v>
      </c>
      <c r="AF60" s="94">
        <f>Table3.110[[#This Row],[Gas 24h, ml]]-Table3.110[[#This Row],[V8 Push back, ml]]</f>
        <v>30</v>
      </c>
      <c r="AG60" s="94">
        <f>Table3.110[[#This Row],[GP 8h, ml]]-(AVERAGE(AE$11,AE$12,AE$62,AE$61,AE$114,AE$115))*$AG$8</f>
        <v>21.344979731721114</v>
      </c>
      <c r="AH60" s="94">
        <f>Table3.110[[#This Row],[GP 8-24h, ml]]-(AVERAGE(AF$11,AF$12,AF$62,AF$61,AF$114,AF$115))*$AG$8</f>
        <v>26.31247184961266</v>
      </c>
      <c r="AI60" s="94">
        <f>Table3.110[[#This Row],[Net gas 8-24h, ml]]+Table3.110[[#This Row],[Net gas 8h, ml]]</f>
        <v>47.657451581333774</v>
      </c>
      <c r="AJ60" s="94">
        <f>Table3.110[[#This Row],[Net gas 8h, ml]]*Table3.110[[#This Row],[CH4 8h %]]%</f>
        <v>3.3511618178802149</v>
      </c>
      <c r="AK60" s="94">
        <f>Table3.110[[#This Row],[Net gas 8-24h, ml]]*Table3.110[[#This Row],[CH4 24h, %]]%</f>
        <v>4.5520576299829907</v>
      </c>
      <c r="AL60" s="94">
        <f>Table3.110[[#This Row],[CH4 8-24h, ml]]+Table3.110[[#This Row],[CH4 8h, ml]]</f>
        <v>7.9032194478632061</v>
      </c>
      <c r="AM60" s="94">
        <f>(Table3.110[[#This Row],[Net gas 24h, ml]]/Table3.110[[#This Row],[DM Incubated, mg]])*1000</f>
        <v>101.59882185400394</v>
      </c>
      <c r="AN60" s="94">
        <f>'3.2 Digest'!X60</f>
        <v>20.631002873303323</v>
      </c>
      <c r="AO60" s="94">
        <f>Table3.110[[#This Row],[Digested feed, mg]]/Table3.110[[#This Row],[Net gas 24h, ml]]</f>
        <v>2.0306340661065714</v>
      </c>
      <c r="AP60" s="94">
        <f>Table3.110[[#This Row],[CH4 8h, ml]]/Table3.110[[#This Row],[Net gas 8h, ml]]%</f>
        <v>15.7</v>
      </c>
      <c r="AQ60" s="94">
        <f>Table3.110[[#This Row],[CH4 24h, ml]]/Table3.110[[#This Row],[Net gas 24h, ml]]%</f>
        <v>16.583386617673654</v>
      </c>
      <c r="AR60" s="94">
        <f>Table3.110[[#This Row],[CH4 24h, ml]]/Table3.110[[#This Row],[DM Incubated, mg]]*1000</f>
        <v>16.848525427050983</v>
      </c>
      <c r="AS60" s="94">
        <f>Table3.110[[#This Row],[CH4 24h, ml]]/Table3.110[[#This Row],[Digested feed, mg]]*1000</f>
        <v>81.666051478540126</v>
      </c>
      <c r="AT60" s="94">
        <f>Table3.110[[#This Row],[CH4 24h, ml]]/'3.2 Digest'!AA60</f>
        <v>-0.33915521912563973</v>
      </c>
      <c r="AU60" s="94">
        <f>((Table3.110[[#This Row],[CH4 24h, ml]]/28.9)*16.04)/Table3.110[[#This Row],[DM Incubated, mg]]*1000</f>
        <v>9.351223108993004</v>
      </c>
      <c r="AV60" s="94">
        <f>((Table3.110[[#This Row],[CH4 24h, ml]]/28.9)*16.04)/Table3.110[[#This Row],[Digested feed, mg]]*1000</f>
        <v>45.3260714780548</v>
      </c>
    </row>
    <row r="61" spans="2:48" s="89" customFormat="1" x14ac:dyDescent="0.35">
      <c r="B61" s="90">
        <f t="shared" si="0"/>
        <v>51</v>
      </c>
      <c r="C61" s="141">
        <v>46041</v>
      </c>
      <c r="D61" s="6" t="s">
        <v>16</v>
      </c>
      <c r="E61" s="124" t="s">
        <v>541</v>
      </c>
      <c r="F61" s="133" t="s">
        <v>538</v>
      </c>
      <c r="G61" s="133" t="s">
        <v>542</v>
      </c>
      <c r="H61" s="185" t="s">
        <v>541</v>
      </c>
      <c r="I61" s="6" t="s">
        <v>22</v>
      </c>
      <c r="J61" s="129" t="s">
        <v>23</v>
      </c>
      <c r="K61" s="129" t="s">
        <v>24</v>
      </c>
      <c r="L61" s="124" t="s">
        <v>543</v>
      </c>
      <c r="M61" s="119">
        <v>27</v>
      </c>
      <c r="N61" s="147">
        <v>58</v>
      </c>
      <c r="O61" s="124">
        <v>1</v>
      </c>
      <c r="P61" s="146">
        <v>1</v>
      </c>
      <c r="Q61" s="124">
        <v>231</v>
      </c>
      <c r="R61" s="148"/>
      <c r="S61" s="94"/>
      <c r="T61" s="94">
        <f>'3.2 Digest'!W61</f>
        <v>0</v>
      </c>
      <c r="U61" s="149">
        <v>0.38819444444444445</v>
      </c>
      <c r="V61" s="150">
        <v>39.5</v>
      </c>
      <c r="W61" s="149">
        <v>0.72152777777777777</v>
      </c>
      <c r="X61" s="161">
        <v>43</v>
      </c>
      <c r="Y61" s="161"/>
      <c r="Z61" s="150"/>
      <c r="AA61" s="149"/>
      <c r="AB61" s="150"/>
      <c r="AC61" s="150"/>
      <c r="AD61" s="91"/>
      <c r="AE61" s="94">
        <f>Table3.110[[#This Row],[Gas 8h, ml]]-Table3.110[[#This Row],[Gas 0h, ml]]</f>
        <v>3.5</v>
      </c>
      <c r="AF61" s="94">
        <v>4</v>
      </c>
      <c r="AG61" s="94"/>
      <c r="AH61" s="94"/>
      <c r="AI61" s="94"/>
      <c r="AJ61" s="94"/>
      <c r="AK61" s="94"/>
      <c r="AL61" s="94"/>
      <c r="AM61" s="94"/>
      <c r="AN61" s="94"/>
      <c r="AO61" s="94"/>
      <c r="AP61" s="94"/>
      <c r="AQ61" s="94"/>
      <c r="AR61" s="94"/>
      <c r="AS61" s="94"/>
      <c r="AT61" s="94"/>
      <c r="AU61" s="94"/>
      <c r="AV61" s="94"/>
    </row>
    <row r="62" spans="2:48" s="89" customFormat="1" x14ac:dyDescent="0.35">
      <c r="B62" s="90">
        <f t="shared" si="0"/>
        <v>52</v>
      </c>
      <c r="C62" s="141">
        <v>46041</v>
      </c>
      <c r="D62" s="6" t="s">
        <v>16</v>
      </c>
      <c r="E62" s="124" t="s">
        <v>541</v>
      </c>
      <c r="F62" s="133" t="s">
        <v>538</v>
      </c>
      <c r="G62" s="133" t="s">
        <v>542</v>
      </c>
      <c r="H62" s="185" t="s">
        <v>541</v>
      </c>
      <c r="I62" s="6" t="s">
        <v>22</v>
      </c>
      <c r="J62" s="129" t="s">
        <v>23</v>
      </c>
      <c r="K62" s="129" t="s">
        <v>24</v>
      </c>
      <c r="L62" s="124" t="s">
        <v>543</v>
      </c>
      <c r="M62" s="119">
        <v>27</v>
      </c>
      <c r="N62" s="147">
        <v>58</v>
      </c>
      <c r="O62" s="124">
        <v>1</v>
      </c>
      <c r="P62" s="124">
        <v>2</v>
      </c>
      <c r="Q62" s="124">
        <v>232</v>
      </c>
      <c r="R62" s="148"/>
      <c r="S62" s="94"/>
      <c r="T62" s="94">
        <f>'3.2 Digest'!W62</f>
        <v>0</v>
      </c>
      <c r="U62" s="151">
        <v>0.38819444444444445</v>
      </c>
      <c r="V62" s="152">
        <v>40</v>
      </c>
      <c r="W62" s="151">
        <v>0.72222222222222221</v>
      </c>
      <c r="X62" s="162">
        <v>42</v>
      </c>
      <c r="Y62" s="162"/>
      <c r="Z62" s="152"/>
      <c r="AA62" s="151"/>
      <c r="AB62" s="152"/>
      <c r="AC62" s="152"/>
      <c r="AD62" s="96"/>
      <c r="AE62" s="94">
        <f>Table3.110[[#This Row],[Gas 8h, ml]]-Table3.110[[#This Row],[Gas 0h, ml]]</f>
        <v>2</v>
      </c>
      <c r="AF62" s="94">
        <v>4</v>
      </c>
      <c r="AG62" s="94"/>
      <c r="AH62" s="94"/>
      <c r="AI62" s="94"/>
      <c r="AJ62" s="94"/>
      <c r="AK62" s="94"/>
      <c r="AL62" s="94"/>
      <c r="AM62" s="94"/>
      <c r="AN62" s="94"/>
      <c r="AO62" s="94"/>
      <c r="AP62" s="94"/>
      <c r="AQ62" s="94"/>
      <c r="AR62" s="94"/>
      <c r="AS62" s="94"/>
      <c r="AT62" s="94"/>
      <c r="AU62" s="94"/>
      <c r="AV62" s="94"/>
    </row>
    <row r="63" spans="2:48" s="89" customFormat="1" x14ac:dyDescent="0.35">
      <c r="B63" s="90">
        <f t="shared" si="0"/>
        <v>53</v>
      </c>
      <c r="C63" s="140">
        <v>46041</v>
      </c>
      <c r="D63" s="6" t="s">
        <v>16</v>
      </c>
      <c r="E63" s="6" t="s">
        <v>60</v>
      </c>
      <c r="F63" s="133" t="s">
        <v>19</v>
      </c>
      <c r="G63" s="133" t="s">
        <v>20</v>
      </c>
      <c r="H63" s="133" t="s">
        <v>21</v>
      </c>
      <c r="I63" s="6" t="s">
        <v>22</v>
      </c>
      <c r="J63" s="129" t="s">
        <v>23</v>
      </c>
      <c r="K63" s="129" t="s">
        <v>24</v>
      </c>
      <c r="L63" s="6" t="s">
        <v>59</v>
      </c>
      <c r="M63" s="119">
        <v>27</v>
      </c>
      <c r="N63" s="93">
        <v>58</v>
      </c>
      <c r="O63" s="6">
        <v>1</v>
      </c>
      <c r="P63" s="129">
        <v>1</v>
      </c>
      <c r="Q63" s="6">
        <v>233</v>
      </c>
      <c r="R63" s="98">
        <v>0.50039999999999996</v>
      </c>
      <c r="S63" s="94">
        <f>((Table3.110[[#This Row],[Sample weight, g]]*'2.1. DM'!Q43)/100)*1000</f>
        <v>471.23548675994408</v>
      </c>
      <c r="T63" s="94">
        <f>'3.2 Digest'!W63</f>
        <v>123.3354867599441</v>
      </c>
      <c r="U63" s="153">
        <v>0.38819444444444445</v>
      </c>
      <c r="V63" s="154">
        <v>41.5</v>
      </c>
      <c r="W63" s="153">
        <v>0.72222222222222221</v>
      </c>
      <c r="X63" s="95">
        <v>75.5</v>
      </c>
      <c r="Y63" s="95">
        <v>14.5</v>
      </c>
      <c r="Z63" s="154">
        <v>40.5</v>
      </c>
      <c r="AA63" s="153">
        <v>0.38750000000000001</v>
      </c>
      <c r="AB63" s="154">
        <v>73</v>
      </c>
      <c r="AC63" s="154">
        <v>17.2</v>
      </c>
      <c r="AD63" s="91"/>
      <c r="AE63" s="94">
        <f>Table3.110[[#This Row],[Gas 8h, ml]]-Table3.110[[#This Row],[Gas 0h, ml]]</f>
        <v>34</v>
      </c>
      <c r="AF63" s="94">
        <f>Table3.110[[#This Row],[Gas 24h, ml]]-Table3.110[[#This Row],[V8 Push back, ml]]</f>
        <v>32.5</v>
      </c>
      <c r="AG63" s="94">
        <f>Table3.110[[#This Row],[GP 8h, ml]]-(AVERAGE(AE$11,AE$12,AE$62,AE$61,AE$114,AE$115))*$AG$8</f>
        <v>31.344979731721114</v>
      </c>
      <c r="AH63" s="94">
        <f>Table3.110[[#This Row],[GP 8-24h, ml]]-(AVERAGE(AF$11,AF$12,AF$62,AF$61,AF$114,AF$115))*$AG$8</f>
        <v>28.81247184961266</v>
      </c>
      <c r="AI63" s="94">
        <f>Table3.110[[#This Row],[Net gas 8-24h, ml]]+Table3.110[[#This Row],[Net gas 8h, ml]]</f>
        <v>60.157451581333774</v>
      </c>
      <c r="AJ63" s="94">
        <f>Table3.110[[#This Row],[Net gas 8h, ml]]*Table3.110[[#This Row],[CH4 8h %]]%</f>
        <v>4.5450220610995613</v>
      </c>
      <c r="AK63" s="94">
        <f>Table3.110[[#This Row],[Net gas 8-24h, ml]]*Table3.110[[#This Row],[CH4 24h, %]]%</f>
        <v>4.9557451581333769</v>
      </c>
      <c r="AL63" s="94">
        <f>Table3.110[[#This Row],[CH4 8-24h, ml]]+Table3.110[[#This Row],[CH4 8h, ml]]</f>
        <v>9.5007672192329373</v>
      </c>
      <c r="AM63" s="94">
        <f>(Table3.110[[#This Row],[Net gas 24h, ml]]/Table3.110[[#This Row],[DM Incubated, mg]])*1000</f>
        <v>127.65900122453866</v>
      </c>
      <c r="AN63" s="94">
        <f>'3.2 Digest'!X63</f>
        <v>26.17279263239643</v>
      </c>
      <c r="AO63" s="94">
        <f>Table3.110[[#This Row],[Digested feed, mg]]/Table3.110[[#This Row],[Net gas 24h, ml]]</f>
        <v>2.050211295822475</v>
      </c>
      <c r="AP63" s="94">
        <f>Table3.110[[#This Row],[CH4 8h, ml]]/Table3.110[[#This Row],[Net gas 8h, ml]]%</f>
        <v>14.5</v>
      </c>
      <c r="AQ63" s="94">
        <f>Table3.110[[#This Row],[CH4 24h, ml]]/Table3.110[[#This Row],[Net gas 24h, ml]]%</f>
        <v>15.793167711547351</v>
      </c>
      <c r="AR63" s="94">
        <f>Table3.110[[#This Row],[CH4 24h, ml]]/Table3.110[[#This Row],[DM Incubated, mg]]*1000</f>
        <v>20.161400162277676</v>
      </c>
      <c r="AS63" s="94">
        <f>Table3.110[[#This Row],[CH4 24h, ml]]/Table3.110[[#This Row],[Digested feed, mg]]*1000</f>
        <v>77.031902729867994</v>
      </c>
      <c r="AT63" s="94">
        <f>Table3.110[[#This Row],[CH4 24h, ml]]/'3.2 Digest'!AA63</f>
        <v>-0.36252170759257918</v>
      </c>
      <c r="AU63" s="94">
        <f>((Table3.110[[#This Row],[CH4 24h, ml]]/28.9)*16.04)/Table3.110[[#This Row],[DM Incubated, mg]]*1000</f>
        <v>11.189925903215709</v>
      </c>
      <c r="AV63" s="94">
        <f>((Table3.110[[#This Row],[CH4 24h, ml]]/28.9)*16.04)/Table3.110[[#This Row],[Digested feed, mg]]*1000</f>
        <v>42.754038746957889</v>
      </c>
    </row>
    <row r="64" spans="2:48" s="89" customFormat="1" x14ac:dyDescent="0.35">
      <c r="B64" s="90">
        <f t="shared" si="0"/>
        <v>54</v>
      </c>
      <c r="C64" s="140">
        <v>46041</v>
      </c>
      <c r="D64" s="6" t="s">
        <v>16</v>
      </c>
      <c r="E64" s="6" t="s">
        <v>60</v>
      </c>
      <c r="F64" s="133" t="s">
        <v>19</v>
      </c>
      <c r="G64" s="133" t="s">
        <v>20</v>
      </c>
      <c r="H64" s="133" t="s">
        <v>21</v>
      </c>
      <c r="I64" s="6" t="s">
        <v>22</v>
      </c>
      <c r="J64" s="129" t="s">
        <v>23</v>
      </c>
      <c r="K64" s="129" t="s">
        <v>24</v>
      </c>
      <c r="L64" s="6" t="s">
        <v>59</v>
      </c>
      <c r="M64" s="119">
        <v>27</v>
      </c>
      <c r="N64" s="93">
        <v>58</v>
      </c>
      <c r="O64" s="6">
        <v>1</v>
      </c>
      <c r="P64" s="129">
        <v>2</v>
      </c>
      <c r="Q64" s="6">
        <v>234</v>
      </c>
      <c r="R64" s="98">
        <v>0.50029999999999997</v>
      </c>
      <c r="S64" s="94">
        <f>((Table3.110[[#This Row],[Sample weight, g]]*'2.1. DM'!Q43)/100)*1000</f>
        <v>471.14131500000008</v>
      </c>
      <c r="T64" s="94">
        <f>'3.2 Digest'!W64</f>
        <v>155.24131499999999</v>
      </c>
      <c r="U64" s="117">
        <v>0.38819444444444445</v>
      </c>
      <c r="V64" s="155">
        <v>43</v>
      </c>
      <c r="W64" s="117">
        <v>0.72291666666666665</v>
      </c>
      <c r="X64" s="97">
        <v>77</v>
      </c>
      <c r="Y64" s="97">
        <v>13.6</v>
      </c>
      <c r="Z64" s="155">
        <v>41</v>
      </c>
      <c r="AA64" s="117">
        <v>0.38750000000000001</v>
      </c>
      <c r="AB64" s="155">
        <v>71.5</v>
      </c>
      <c r="AC64" s="155">
        <v>17.100000000000001</v>
      </c>
      <c r="AD64" s="96"/>
      <c r="AE64" s="94">
        <f>Table3.110[[#This Row],[Gas 8h, ml]]-Table3.110[[#This Row],[Gas 0h, ml]]</f>
        <v>34</v>
      </c>
      <c r="AF64" s="94">
        <f>Table3.110[[#This Row],[Gas 24h, ml]]-Table3.110[[#This Row],[V8 Push back, ml]]</f>
        <v>30.5</v>
      </c>
      <c r="AG64" s="94">
        <f>Table3.110[[#This Row],[GP 8h, ml]]-(AVERAGE(AE$11,AE$12,AE$62,AE$61,AE$114,AE$115))*$AG$8</f>
        <v>31.344979731721114</v>
      </c>
      <c r="AH64" s="94">
        <f>Table3.110[[#This Row],[GP 8-24h, ml]]-(AVERAGE(AF$11,AF$12,AF$62,AF$61,AF$114,AF$115))*$AG$8</f>
        <v>26.81247184961266</v>
      </c>
      <c r="AI64" s="94">
        <f>Table3.110[[#This Row],[Net gas 8-24h, ml]]+Table3.110[[#This Row],[Net gas 8h, ml]]</f>
        <v>58.157451581333774</v>
      </c>
      <c r="AJ64" s="94">
        <f>Table3.110[[#This Row],[Net gas 8h, ml]]*Table3.110[[#This Row],[CH4 8h %]]%</f>
        <v>4.2629172435140719</v>
      </c>
      <c r="AK64" s="94">
        <f>Table3.110[[#This Row],[Net gas 8-24h, ml]]*Table3.110[[#This Row],[CH4 24h, %]]%</f>
        <v>4.5849326862837652</v>
      </c>
      <c r="AL64" s="94">
        <f>Table3.110[[#This Row],[CH4 8-24h, ml]]+Table3.110[[#This Row],[CH4 8h, ml]]</f>
        <v>8.847849929797837</v>
      </c>
      <c r="AM64" s="94">
        <f>(Table3.110[[#This Row],[Net gas 24h, ml]]/Table3.110[[#This Row],[DM Incubated, mg]])*1000</f>
        <v>123.43950685227799</v>
      </c>
      <c r="AN64" s="94">
        <f>'3.2 Digest'!X64</f>
        <v>32.950053425053575</v>
      </c>
      <c r="AO64" s="94">
        <f>Table3.110[[#This Row],[Digested feed, mg]]/Table3.110[[#This Row],[Net gas 24h, ml]]</f>
        <v>2.6693280186614343</v>
      </c>
      <c r="AP64" s="94">
        <f>Table3.110[[#This Row],[CH4 8h, ml]]/Table3.110[[#This Row],[Net gas 8h, ml]]%</f>
        <v>13.600000000000001</v>
      </c>
      <c r="AQ64" s="94">
        <f>Table3.110[[#This Row],[CH4 24h, ml]]/Table3.110[[#This Row],[Net gas 24h, ml]]%</f>
        <v>15.213613542581093</v>
      </c>
      <c r="AR64" s="94">
        <f>Table3.110[[#This Row],[CH4 24h, ml]]/Table3.110[[#This Row],[DM Incubated, mg]]*1000</f>
        <v>18.779609531373481</v>
      </c>
      <c r="AS64" s="94">
        <f>Table3.110[[#This Row],[CH4 24h, ml]]/Table3.110[[#This Row],[Digested feed, mg]]*1000</f>
        <v>56.994170203968174</v>
      </c>
      <c r="AT64" s="94">
        <f>Table3.110[[#This Row],[CH4 24h, ml]]/'3.2 Digest'!AA64</f>
        <v>-0.60511642026034795</v>
      </c>
      <c r="AU64" s="94">
        <f>((Table3.110[[#This Row],[CH4 24h, ml]]/28.9)*16.04)/Table3.110[[#This Row],[DM Incubated, mg]]*1000</f>
        <v>10.423008196651578</v>
      </c>
      <c r="AV64" s="94">
        <f>((Table3.110[[#This Row],[CH4 24h, ml]]/28.9)*16.04)/Table3.110[[#This Row],[Digested feed, mg]]*1000</f>
        <v>31.632750521510363</v>
      </c>
    </row>
    <row r="65" spans="2:48" s="89" customFormat="1" x14ac:dyDescent="0.35">
      <c r="B65" s="90">
        <f t="shared" si="0"/>
        <v>55</v>
      </c>
      <c r="C65" s="140">
        <v>46041</v>
      </c>
      <c r="D65" s="6" t="s">
        <v>16</v>
      </c>
      <c r="E65" s="6" t="s">
        <v>60</v>
      </c>
      <c r="F65" s="133" t="s">
        <v>19</v>
      </c>
      <c r="G65" s="133" t="s">
        <v>20</v>
      </c>
      <c r="H65" s="133" t="s">
        <v>21</v>
      </c>
      <c r="I65" s="6" t="s">
        <v>22</v>
      </c>
      <c r="J65" s="129" t="s">
        <v>23</v>
      </c>
      <c r="K65" s="129" t="s">
        <v>24</v>
      </c>
      <c r="L65" s="6" t="s">
        <v>59</v>
      </c>
      <c r="M65" s="119">
        <v>27</v>
      </c>
      <c r="N65" s="93">
        <v>58</v>
      </c>
      <c r="O65" s="6">
        <v>1</v>
      </c>
      <c r="P65" s="129">
        <v>3</v>
      </c>
      <c r="Q65" s="6">
        <v>235</v>
      </c>
      <c r="R65" s="98">
        <v>0.50049999999999994</v>
      </c>
      <c r="S65" s="94">
        <f>((Table3.110[[#This Row],[Sample weight, g]]*'2.1. DM'!Q43)/100)*1000</f>
        <v>471.32965851988808</v>
      </c>
      <c r="T65" s="94">
        <f>'3.2 Digest'!W65</f>
        <v>133.22965851988812</v>
      </c>
      <c r="U65" s="153">
        <v>0.38958333333333334</v>
      </c>
      <c r="V65" s="154">
        <v>42.5</v>
      </c>
      <c r="W65" s="153">
        <v>0.72361111111111109</v>
      </c>
      <c r="X65" s="95">
        <v>71.5</v>
      </c>
      <c r="Y65" s="95">
        <v>15.5</v>
      </c>
      <c r="Z65" s="154">
        <v>41</v>
      </c>
      <c r="AA65" s="153">
        <v>0.38819444444444445</v>
      </c>
      <c r="AB65" s="154">
        <v>68</v>
      </c>
      <c r="AC65" s="154">
        <v>17.100000000000001</v>
      </c>
      <c r="AD65" s="91"/>
      <c r="AE65" s="94">
        <f>Table3.110[[#This Row],[Gas 8h, ml]]-Table3.110[[#This Row],[Gas 0h, ml]]</f>
        <v>29</v>
      </c>
      <c r="AF65" s="94">
        <f>Table3.110[[#This Row],[Gas 24h, ml]]-Table3.110[[#This Row],[V8 Push back, ml]]</f>
        <v>27</v>
      </c>
      <c r="AG65" s="94">
        <f>Table3.110[[#This Row],[GP 8h, ml]]-(AVERAGE(AE$11,AE$12,AE$62,AE$61,AE$114,AE$115))*$AG$8</f>
        <v>26.344979731721114</v>
      </c>
      <c r="AH65" s="94">
        <f>Table3.110[[#This Row],[GP 8-24h, ml]]-(AVERAGE(AF$11,AF$12,AF$62,AF$61,AF$114,AF$115))*$AG$8</f>
        <v>23.31247184961266</v>
      </c>
      <c r="AI65" s="94">
        <f>Table3.110[[#This Row],[Net gas 8-24h, ml]]+Table3.110[[#This Row],[Net gas 8h, ml]]</f>
        <v>49.657451581333774</v>
      </c>
      <c r="AJ65" s="94">
        <f>Table3.110[[#This Row],[Net gas 8h, ml]]*Table3.110[[#This Row],[CH4 8h %]]%</f>
        <v>4.0834718584167726</v>
      </c>
      <c r="AK65" s="94">
        <f>Table3.110[[#This Row],[Net gas 8-24h, ml]]*Table3.110[[#This Row],[CH4 24h, %]]%</f>
        <v>3.9864326862837651</v>
      </c>
      <c r="AL65" s="94">
        <f>Table3.110[[#This Row],[CH4 8-24h, ml]]+Table3.110[[#This Row],[CH4 8h, ml]]</f>
        <v>8.0699045447005382</v>
      </c>
      <c r="AM65" s="94">
        <f>(Table3.110[[#This Row],[Net gas 24h, ml]]/Table3.110[[#This Row],[DM Incubated, mg]])*1000</f>
        <v>105.35609351907236</v>
      </c>
      <c r="AN65" s="94">
        <f>'3.2 Digest'!X65</f>
        <v>28.2667674549206</v>
      </c>
      <c r="AO65" s="94">
        <f>Table3.110[[#This Row],[Digested feed, mg]]/Table3.110[[#This Row],[Net gas 24h, ml]]</f>
        <v>2.6829741413868513</v>
      </c>
      <c r="AP65" s="94">
        <f>Table3.110[[#This Row],[CH4 8h, ml]]/Table3.110[[#This Row],[Net gas 8h, ml]]%</f>
        <v>15.5</v>
      </c>
      <c r="AQ65" s="94">
        <f>Table3.110[[#This Row],[CH4 24h, ml]]/Table3.110[[#This Row],[Net gas 24h, ml]]%</f>
        <v>16.251145170997891</v>
      </c>
      <c r="AR65" s="94">
        <f>Table3.110[[#This Row],[CH4 24h, ml]]/Table3.110[[#This Row],[DM Incubated, mg]]*1000</f>
        <v>17.12157170427675</v>
      </c>
      <c r="AS65" s="94">
        <f>Table3.110[[#This Row],[CH4 24h, ml]]/Table3.110[[#This Row],[Digested feed, mg]]*1000</f>
        <v>60.571382035749096</v>
      </c>
      <c r="AT65" s="94">
        <f>Table3.110[[#This Row],[CH4 24h, ml]]/'3.2 Digest'!AA65</f>
        <v>-0.35663675241133447</v>
      </c>
      <c r="AU65" s="94">
        <f>((Table3.110[[#This Row],[CH4 24h, ml]]/28.9)*16.04)/Table3.110[[#This Row],[DM Incubated, mg]]*1000</f>
        <v>9.5027685168373388</v>
      </c>
      <c r="AV65" s="94">
        <f>((Table3.110[[#This Row],[CH4 24h, ml]]/28.9)*16.04)/Table3.110[[#This Row],[Digested feed, mg]]*1000</f>
        <v>33.61816497762684</v>
      </c>
    </row>
    <row r="66" spans="2:48" s="89" customFormat="1" x14ac:dyDescent="0.35">
      <c r="B66" s="90">
        <f t="shared" si="0"/>
        <v>56</v>
      </c>
      <c r="C66" s="140">
        <v>46041</v>
      </c>
      <c r="D66" s="6" t="s">
        <v>16</v>
      </c>
      <c r="E66" s="6" t="s">
        <v>62</v>
      </c>
      <c r="F66" s="133" t="s">
        <v>19</v>
      </c>
      <c r="G66" s="133" t="s">
        <v>20</v>
      </c>
      <c r="H66" s="133" t="s">
        <v>21</v>
      </c>
      <c r="I66" s="6" t="s">
        <v>22</v>
      </c>
      <c r="J66" s="129" t="s">
        <v>23</v>
      </c>
      <c r="K66" s="129" t="s">
        <v>24</v>
      </c>
      <c r="L66" s="6" t="s">
        <v>61</v>
      </c>
      <c r="M66" s="119">
        <v>27</v>
      </c>
      <c r="N66" s="93">
        <v>58</v>
      </c>
      <c r="O66" s="6">
        <v>1</v>
      </c>
      <c r="P66" s="129">
        <v>1</v>
      </c>
      <c r="Q66" s="6">
        <v>236</v>
      </c>
      <c r="R66" s="98">
        <v>0.50049999999999994</v>
      </c>
      <c r="S66" s="94">
        <f>((Table3.110[[#This Row],[Sample weight, g]]*'2.1. DM'!Q45)/100)*1000</f>
        <v>470.76311712972205</v>
      </c>
      <c r="T66" s="94">
        <f>'3.2 Digest'!W66</f>
        <v>84.863117129722013</v>
      </c>
      <c r="U66" s="117">
        <v>0.38958333333333334</v>
      </c>
      <c r="V66" s="155">
        <v>42.5</v>
      </c>
      <c r="W66" s="117">
        <v>0.72361111111111109</v>
      </c>
      <c r="X66" s="97">
        <v>68</v>
      </c>
      <c r="Y66" s="97">
        <v>14.3</v>
      </c>
      <c r="Z66" s="155">
        <v>40.5</v>
      </c>
      <c r="AA66" s="117">
        <v>0.3888888888888889</v>
      </c>
      <c r="AB66" s="155">
        <v>60</v>
      </c>
      <c r="AC66" s="155">
        <v>17.899999999999999</v>
      </c>
      <c r="AD66" s="96"/>
      <c r="AE66" s="94">
        <f>Table3.110[[#This Row],[Gas 8h, ml]]-Table3.110[[#This Row],[Gas 0h, ml]]</f>
        <v>25.5</v>
      </c>
      <c r="AF66" s="94">
        <f>Table3.110[[#This Row],[Gas 24h, ml]]-Table3.110[[#This Row],[V8 Push back, ml]]</f>
        <v>19.5</v>
      </c>
      <c r="AG66" s="94">
        <f>Table3.110[[#This Row],[GP 8h, ml]]-(AVERAGE(AE$11,AE$12,AE$62,AE$61,AE$114,AE$115))*$AG$8</f>
        <v>22.844979731721114</v>
      </c>
      <c r="AH66" s="94">
        <f>Table3.110[[#This Row],[GP 8-24h, ml]]-(AVERAGE(AF$11,AF$12,AF$62,AF$61,AF$114,AF$115))*$AG$8</f>
        <v>15.81247184961266</v>
      </c>
      <c r="AI66" s="94">
        <f>Table3.110[[#This Row],[Net gas 8-24h, ml]]+Table3.110[[#This Row],[Net gas 8h, ml]]</f>
        <v>38.657451581333774</v>
      </c>
      <c r="AJ66" s="94">
        <f>Table3.110[[#This Row],[Net gas 8h, ml]]*Table3.110[[#This Row],[CH4 8h %]]%</f>
        <v>3.2668321016361199</v>
      </c>
      <c r="AK66" s="94">
        <f>Table3.110[[#This Row],[Net gas 8-24h, ml]]*Table3.110[[#This Row],[CH4 24h, %]]%</f>
        <v>2.8304324610806662</v>
      </c>
      <c r="AL66" s="94">
        <f>Table3.110[[#This Row],[CH4 8-24h, ml]]+Table3.110[[#This Row],[CH4 8h, ml]]</f>
        <v>6.0972645627167861</v>
      </c>
      <c r="AM66" s="94">
        <f>(Table3.110[[#This Row],[Net gas 24h, ml]]/Table3.110[[#This Row],[DM Incubated, mg]])*1000</f>
        <v>82.116568130976674</v>
      </c>
      <c r="AN66" s="94">
        <f>'3.2 Digest'!X66</f>
        <v>18.02671323257837</v>
      </c>
      <c r="AO66" s="94">
        <f>Table3.110[[#This Row],[Digested feed, mg]]/Table3.110[[#This Row],[Net gas 24h, ml]]</f>
        <v>2.1952589645277913</v>
      </c>
      <c r="AP66" s="94">
        <f>Table3.110[[#This Row],[CH4 8h, ml]]/Table3.110[[#This Row],[Net gas 8h, ml]]%</f>
        <v>14.300000000000002</v>
      </c>
      <c r="AQ66" s="94">
        <f>Table3.110[[#This Row],[CH4 24h, ml]]/Table3.110[[#This Row],[Net gas 24h, ml]]%</f>
        <v>15.772546593994637</v>
      </c>
      <c r="AR66" s="94">
        <f>Table3.110[[#This Row],[CH4 24h, ml]]/Table3.110[[#This Row],[DM Incubated, mg]]*1000</f>
        <v>12.951873969847648</v>
      </c>
      <c r="AS66" s="94">
        <f>Table3.110[[#This Row],[CH4 24h, ml]]/Table3.110[[#This Row],[Digested feed, mg]]*1000</f>
        <v>71.848227698217698</v>
      </c>
      <c r="AT66" s="94">
        <f>Table3.110[[#This Row],[CH4 24h, ml]]/'3.2 Digest'!AA66</f>
        <v>-0.18502579381848261</v>
      </c>
      <c r="AU66" s="94">
        <f>((Table3.110[[#This Row],[CH4 24h, ml]]/28.9)*16.04)/Table3.110[[#This Row],[DM Incubated, mg]]*1000</f>
        <v>7.1885141341299734</v>
      </c>
      <c r="AV66" s="94">
        <f>((Table3.110[[#This Row],[CH4 24h, ml]]/28.9)*16.04)/Table3.110[[#This Row],[Digested feed, mg]]*1000</f>
        <v>39.877009421432938</v>
      </c>
    </row>
    <row r="67" spans="2:48" s="89" customFormat="1" x14ac:dyDescent="0.35">
      <c r="B67" s="90">
        <f t="shared" si="0"/>
        <v>57</v>
      </c>
      <c r="C67" s="140">
        <v>46041</v>
      </c>
      <c r="D67" s="6" t="s">
        <v>16</v>
      </c>
      <c r="E67" s="6" t="s">
        <v>62</v>
      </c>
      <c r="F67" s="133" t="s">
        <v>19</v>
      </c>
      <c r="G67" s="133" t="s">
        <v>20</v>
      </c>
      <c r="H67" s="133" t="s">
        <v>21</v>
      </c>
      <c r="I67" s="6" t="s">
        <v>22</v>
      </c>
      <c r="J67" s="129" t="s">
        <v>23</v>
      </c>
      <c r="K67" s="129" t="s">
        <v>24</v>
      </c>
      <c r="L67" s="6" t="s">
        <v>61</v>
      </c>
      <c r="M67" s="119">
        <v>27</v>
      </c>
      <c r="N67" s="93">
        <v>58</v>
      </c>
      <c r="O67" s="6">
        <v>1</v>
      </c>
      <c r="P67" s="129">
        <v>2</v>
      </c>
      <c r="Q67" s="6">
        <v>237</v>
      </c>
      <c r="R67" s="98">
        <v>0.50009999999999999</v>
      </c>
      <c r="S67" s="94">
        <f>((Table3.110[[#This Row],[Sample weight, g]]*'2.1. DM'!Q45)/100)*1000</f>
        <v>470.38688287027776</v>
      </c>
      <c r="T67" s="94">
        <f>'3.2 Digest'!W67</f>
        <v>72.586882870277691</v>
      </c>
      <c r="U67" s="153">
        <v>0.38958333333333334</v>
      </c>
      <c r="V67" s="154">
        <v>42.5</v>
      </c>
      <c r="W67" s="153">
        <v>0.72430555555555554</v>
      </c>
      <c r="X67" s="95">
        <v>69</v>
      </c>
      <c r="Y67" s="95">
        <v>13.6</v>
      </c>
      <c r="Z67" s="154">
        <v>40.5</v>
      </c>
      <c r="AA67" s="153">
        <v>0.38958333333333334</v>
      </c>
      <c r="AB67" s="154">
        <v>64</v>
      </c>
      <c r="AC67" s="154">
        <v>17.899999999999999</v>
      </c>
      <c r="AD67" s="91"/>
      <c r="AE67" s="94">
        <f>Table3.110[[#This Row],[Gas 8h, ml]]-Table3.110[[#This Row],[Gas 0h, ml]]</f>
        <v>26.5</v>
      </c>
      <c r="AF67" s="94">
        <f>Table3.110[[#This Row],[Gas 24h, ml]]-Table3.110[[#This Row],[V8 Push back, ml]]</f>
        <v>23.5</v>
      </c>
      <c r="AG67" s="94">
        <f>Table3.110[[#This Row],[GP 8h, ml]]-(AVERAGE(AE$11,AE$12,AE$62,AE$61,AE$114,AE$115))*$AG$8</f>
        <v>23.844979731721114</v>
      </c>
      <c r="AH67" s="94">
        <f>Table3.110[[#This Row],[GP 8-24h, ml]]-(AVERAGE(AF$11,AF$12,AF$62,AF$61,AF$114,AF$115))*$AG$8</f>
        <v>19.81247184961266</v>
      </c>
      <c r="AI67" s="94">
        <f>Table3.110[[#This Row],[Net gas 8-24h, ml]]+Table3.110[[#This Row],[Net gas 8h, ml]]</f>
        <v>43.657451581333774</v>
      </c>
      <c r="AJ67" s="94">
        <f>Table3.110[[#This Row],[Net gas 8h, ml]]*Table3.110[[#This Row],[CH4 8h %]]%</f>
        <v>3.2429172435140718</v>
      </c>
      <c r="AK67" s="94">
        <f>Table3.110[[#This Row],[Net gas 8-24h, ml]]*Table3.110[[#This Row],[CH4 24h, %]]%</f>
        <v>3.5464324610806659</v>
      </c>
      <c r="AL67" s="94">
        <f>Table3.110[[#This Row],[CH4 8-24h, ml]]+Table3.110[[#This Row],[CH4 8h, ml]]</f>
        <v>6.7893497045947377</v>
      </c>
      <c r="AM67" s="94">
        <f>(Table3.110[[#This Row],[Net gas 24h, ml]]/Table3.110[[#This Row],[DM Incubated, mg]])*1000</f>
        <v>92.811796355668207</v>
      </c>
      <c r="AN67" s="94">
        <f>'3.2 Digest'!X67</f>
        <v>15.431315266989607</v>
      </c>
      <c r="AO67" s="94">
        <f>Table3.110[[#This Row],[Digested feed, mg]]/Table3.110[[#This Row],[Net gas 24h, ml]]</f>
        <v>1.6626458998654199</v>
      </c>
      <c r="AP67" s="94">
        <f>Table3.110[[#This Row],[CH4 8h, ml]]/Table3.110[[#This Row],[Net gas 8h, ml]]%</f>
        <v>13.600000000000001</v>
      </c>
      <c r="AQ67" s="94">
        <f>Table3.110[[#This Row],[CH4 24h, ml]]/Table3.110[[#This Row],[Net gas 24h, ml]]%</f>
        <v>15.551410947444307</v>
      </c>
      <c r="AR67" s="94">
        <f>Table3.110[[#This Row],[CH4 24h, ml]]/Table3.110[[#This Row],[DM Incubated, mg]]*1000</f>
        <v>14.433543858975101</v>
      </c>
      <c r="AS67" s="94">
        <f>Table3.110[[#This Row],[CH4 24h, ml]]/Table3.110[[#This Row],[Digested feed, mg]]*1000</f>
        <v>93.534112998462803</v>
      </c>
      <c r="AT67" s="94">
        <f>Table3.110[[#This Row],[CH4 24h, ml]]/'3.2 Digest'!AA67</f>
        <v>-0.18269060023130043</v>
      </c>
      <c r="AU67" s="94">
        <f>((Table3.110[[#This Row],[CH4 24h, ml]]/28.9)*16.04)/Table3.110[[#This Row],[DM Incubated, mg]]*1000</f>
        <v>8.0108665570228581</v>
      </c>
      <c r="AV67" s="94">
        <f>((Table3.110[[#This Row],[CH4 24h, ml]]/28.9)*16.04)/Table3.110[[#This Row],[Digested feed, mg]]*1000</f>
        <v>51.913050951395967</v>
      </c>
    </row>
    <row r="68" spans="2:48" s="89" customFormat="1" x14ac:dyDescent="0.35">
      <c r="B68" s="90">
        <f t="shared" si="0"/>
        <v>58</v>
      </c>
      <c r="C68" s="140">
        <v>46041</v>
      </c>
      <c r="D68" s="6" t="s">
        <v>16</v>
      </c>
      <c r="E68" s="6" t="s">
        <v>62</v>
      </c>
      <c r="F68" s="133" t="s">
        <v>19</v>
      </c>
      <c r="G68" s="133" t="s">
        <v>20</v>
      </c>
      <c r="H68" s="133" t="s">
        <v>21</v>
      </c>
      <c r="I68" s="6" t="s">
        <v>22</v>
      </c>
      <c r="J68" s="129" t="s">
        <v>23</v>
      </c>
      <c r="K68" s="129" t="s">
        <v>24</v>
      </c>
      <c r="L68" s="6" t="s">
        <v>61</v>
      </c>
      <c r="M68" s="119">
        <v>27</v>
      </c>
      <c r="N68" s="93">
        <v>58</v>
      </c>
      <c r="O68" s="6">
        <v>1</v>
      </c>
      <c r="P68" s="129">
        <v>3</v>
      </c>
      <c r="Q68" s="6">
        <v>238</v>
      </c>
      <c r="R68" s="98">
        <v>0.50039999999999996</v>
      </c>
      <c r="S68" s="94">
        <f>((Table3.110[[#This Row],[Sample weight, g]]*'2.1. DM'!Q45)/100)*1000</f>
        <v>470.66905856486102</v>
      </c>
      <c r="T68" s="94">
        <f>'3.2 Digest'!W68</f>
        <v>139.86905856486106</v>
      </c>
      <c r="U68" s="117">
        <v>0.39027777777777778</v>
      </c>
      <c r="V68" s="155">
        <v>41.5</v>
      </c>
      <c r="W68" s="117">
        <v>0.72430555555555554</v>
      </c>
      <c r="X68" s="97">
        <v>67.5</v>
      </c>
      <c r="Y68" s="97">
        <v>14.7</v>
      </c>
      <c r="Z68" s="155">
        <v>42</v>
      </c>
      <c r="AA68" s="117">
        <v>0.38958333333333334</v>
      </c>
      <c r="AB68" s="155">
        <v>67.5</v>
      </c>
      <c r="AC68" s="155">
        <v>17.7</v>
      </c>
      <c r="AD68" s="96"/>
      <c r="AE68" s="94">
        <f>Table3.110[[#This Row],[Gas 8h, ml]]-Table3.110[[#This Row],[Gas 0h, ml]]</f>
        <v>26</v>
      </c>
      <c r="AF68" s="94">
        <f>Table3.110[[#This Row],[Gas 24h, ml]]-Table3.110[[#This Row],[V8 Push back, ml]]</f>
        <v>25.5</v>
      </c>
      <c r="AG68" s="94">
        <f>Table3.110[[#This Row],[GP 8h, ml]]-(AVERAGE(AE$11,AE$12,AE$62,AE$61,AE$114,AE$115))*$AG$8</f>
        <v>23.344979731721114</v>
      </c>
      <c r="AH68" s="94">
        <f>Table3.110[[#This Row],[GP 8-24h, ml]]-(AVERAGE(AF$11,AF$12,AF$62,AF$61,AF$114,AF$115))*$AG$8</f>
        <v>21.81247184961266</v>
      </c>
      <c r="AI68" s="94">
        <f>Table3.110[[#This Row],[Net gas 8-24h, ml]]+Table3.110[[#This Row],[Net gas 8h, ml]]</f>
        <v>45.157451581333774</v>
      </c>
      <c r="AJ68" s="94">
        <f>Table3.110[[#This Row],[Net gas 8h, ml]]*Table3.110[[#This Row],[CH4 8h %]]%</f>
        <v>3.4317120205630034</v>
      </c>
      <c r="AK68" s="94">
        <f>Table3.110[[#This Row],[Net gas 8-24h, ml]]*Table3.110[[#This Row],[CH4 24h, %]]%</f>
        <v>3.8608075173814407</v>
      </c>
      <c r="AL68" s="94">
        <f>Table3.110[[#This Row],[CH4 8-24h, ml]]+Table3.110[[#This Row],[CH4 8h, ml]]</f>
        <v>7.2925195379444441</v>
      </c>
      <c r="AM68" s="94">
        <f>(Table3.110[[#This Row],[Net gas 24h, ml]]/Table3.110[[#This Row],[DM Incubated, mg]])*1000</f>
        <v>95.943106434541221</v>
      </c>
      <c r="AN68" s="94">
        <f>'3.2 Digest'!X68</f>
        <v>29.717071054413974</v>
      </c>
      <c r="AO68" s="94">
        <f>Table3.110[[#This Row],[Digested feed, mg]]/Table3.110[[#This Row],[Net gas 24h, ml]]</f>
        <v>3.0973638606009635</v>
      </c>
      <c r="AP68" s="94">
        <f>Table3.110[[#This Row],[CH4 8h, ml]]/Table3.110[[#This Row],[Net gas 8h, ml]]%</f>
        <v>14.7</v>
      </c>
      <c r="AQ68" s="94">
        <f>Table3.110[[#This Row],[CH4 24h, ml]]/Table3.110[[#This Row],[Net gas 24h, ml]]%</f>
        <v>16.149094518342729</v>
      </c>
      <c r="AR68" s="94">
        <f>Table3.110[[#This Row],[CH4 24h, ml]]/Table3.110[[#This Row],[DM Incubated, mg]]*1000</f>
        <v>15.493942941948225</v>
      </c>
      <c r="AS68" s="94">
        <f>Table3.110[[#This Row],[CH4 24h, ml]]/Table3.110[[#This Row],[Digested feed, mg]]*1000</f>
        <v>52.138189909691185</v>
      </c>
      <c r="AT68" s="94">
        <f>Table3.110[[#This Row],[CH4 24h, ml]]/'3.2 Digest'!AA68</f>
        <v>-0.52116073767692928</v>
      </c>
      <c r="AU68" s="94">
        <f>((Table3.110[[#This Row],[CH4 24h, ml]]/28.9)*16.04)/Table3.110[[#This Row],[DM Incubated, mg]]*1000</f>
        <v>8.5994063940778371</v>
      </c>
      <c r="AV68" s="94">
        <f>((Table3.110[[#This Row],[CH4 24h, ml]]/28.9)*16.04)/Table3.110[[#This Row],[Digested feed, mg]]*1000</f>
        <v>28.937597444686727</v>
      </c>
    </row>
    <row r="69" spans="2:48" s="89" customFormat="1" x14ac:dyDescent="0.35">
      <c r="B69" s="90">
        <f t="shared" si="0"/>
        <v>59</v>
      </c>
      <c r="C69" s="140">
        <v>46041</v>
      </c>
      <c r="D69" s="6" t="s">
        <v>16</v>
      </c>
      <c r="E69" s="6" t="s">
        <v>64</v>
      </c>
      <c r="F69" s="133" t="s">
        <v>19</v>
      </c>
      <c r="G69" s="133" t="s">
        <v>20</v>
      </c>
      <c r="H69" s="133" t="s">
        <v>21</v>
      </c>
      <c r="I69" s="6" t="s">
        <v>22</v>
      </c>
      <c r="J69" s="129" t="s">
        <v>23</v>
      </c>
      <c r="K69" s="129" t="s">
        <v>24</v>
      </c>
      <c r="L69" s="6" t="s">
        <v>63</v>
      </c>
      <c r="M69" s="119">
        <v>27</v>
      </c>
      <c r="N69" s="93">
        <v>58</v>
      </c>
      <c r="O69" s="6">
        <v>1</v>
      </c>
      <c r="P69" s="129">
        <v>1</v>
      </c>
      <c r="Q69" s="6">
        <v>239</v>
      </c>
      <c r="R69" s="98">
        <v>0.50060000000000004</v>
      </c>
      <c r="S69" s="94">
        <f>((Table3.110[[#This Row],[Sample weight, g]]*'2.1. DM'!Q47)/100)*1000</f>
        <v>477.00726990577607</v>
      </c>
      <c r="T69" s="94">
        <f>'3.2 Digest'!W69</f>
        <v>132.80726990577602</v>
      </c>
      <c r="U69" s="153">
        <v>0.39027777777777778</v>
      </c>
      <c r="V69" s="154">
        <v>41.5</v>
      </c>
      <c r="W69" s="153">
        <v>0.72430555555555554</v>
      </c>
      <c r="X69" s="95">
        <v>72.5</v>
      </c>
      <c r="Y69" s="95">
        <v>14.7</v>
      </c>
      <c r="Z69" s="154">
        <v>40</v>
      </c>
      <c r="AA69" s="153">
        <v>0.39027777777777778</v>
      </c>
      <c r="AB69" s="154">
        <v>67.5</v>
      </c>
      <c r="AC69" s="154">
        <v>18.3</v>
      </c>
      <c r="AD69" s="91"/>
      <c r="AE69" s="94">
        <f>Table3.110[[#This Row],[Gas 8h, ml]]-Table3.110[[#This Row],[Gas 0h, ml]]</f>
        <v>31</v>
      </c>
      <c r="AF69" s="94">
        <f>Table3.110[[#This Row],[Gas 24h, ml]]-Table3.110[[#This Row],[V8 Push back, ml]]</f>
        <v>27.5</v>
      </c>
      <c r="AG69" s="94">
        <f>Table3.110[[#This Row],[GP 8h, ml]]-(AVERAGE(AE$11,AE$12,AE$62,AE$61,AE$114,AE$115))*$AG$8</f>
        <v>28.344979731721114</v>
      </c>
      <c r="AH69" s="94">
        <f>Table3.110[[#This Row],[GP 8-24h, ml]]-(AVERAGE(AF$11,AF$12,AF$62,AF$61,AF$114,AF$115))*$AG$8</f>
        <v>23.81247184961266</v>
      </c>
      <c r="AI69" s="94">
        <f>Table3.110[[#This Row],[Net gas 8-24h, ml]]+Table3.110[[#This Row],[Net gas 8h, ml]]</f>
        <v>52.157451581333774</v>
      </c>
      <c r="AJ69" s="94">
        <f>Table3.110[[#This Row],[Net gas 8h, ml]]*Table3.110[[#This Row],[CH4 8h %]]%</f>
        <v>4.1667120205630033</v>
      </c>
      <c r="AK69" s="94">
        <f>Table3.110[[#This Row],[Net gas 8-24h, ml]]*Table3.110[[#This Row],[CH4 24h, %]]%</f>
        <v>4.3576823484791163</v>
      </c>
      <c r="AL69" s="94">
        <f>Table3.110[[#This Row],[CH4 8-24h, ml]]+Table3.110[[#This Row],[CH4 8h, ml]]</f>
        <v>8.5243943690421204</v>
      </c>
      <c r="AM69" s="94">
        <f>(Table3.110[[#This Row],[Net gas 24h, ml]]/Table3.110[[#This Row],[DM Incubated, mg]])*1000</f>
        <v>109.34309573863834</v>
      </c>
      <c r="AN69" s="94">
        <f>'3.2 Digest'!X69</f>
        <v>27.84177061536392</v>
      </c>
      <c r="AO69" s="94">
        <f>Table3.110[[#This Row],[Digested feed, mg]]/Table3.110[[#This Row],[Net gas 24h, ml]]</f>
        <v>2.5462760522085284</v>
      </c>
      <c r="AP69" s="94">
        <f>Table3.110[[#This Row],[CH4 8h, ml]]/Table3.110[[#This Row],[Net gas 8h, ml]]%</f>
        <v>14.699999999999998</v>
      </c>
      <c r="AQ69" s="94">
        <f>Table3.110[[#This Row],[CH4 24h, ml]]/Table3.110[[#This Row],[Net gas 24h, ml]]%</f>
        <v>16.343579125504764</v>
      </c>
      <c r="AR69" s="94">
        <f>Table3.110[[#This Row],[CH4 24h, ml]]/Table3.110[[#This Row],[DM Incubated, mg]]*1000</f>
        <v>17.870575370320783</v>
      </c>
      <c r="AS69" s="94">
        <f>Table3.110[[#This Row],[CH4 24h, ml]]/Table3.110[[#This Row],[Digested feed, mg]]*1000</f>
        <v>64.18620287195121</v>
      </c>
      <c r="AT69" s="94">
        <f>Table3.110[[#This Row],[CH4 24h, ml]]/'3.2 Digest'!AA69</f>
        <v>-0.39985988593516147</v>
      </c>
      <c r="AU69" s="94">
        <f>((Table3.110[[#This Row],[CH4 24h, ml]]/28.9)*16.04)/Table3.110[[#This Row],[DM Incubated, mg]]*1000</f>
        <v>9.9184785100327115</v>
      </c>
      <c r="AV69" s="94">
        <f>((Table3.110[[#This Row],[CH4 24h, ml]]/28.9)*16.04)/Table3.110[[#This Row],[Digested feed, mg]]*1000</f>
        <v>35.624453081871884</v>
      </c>
    </row>
    <row r="70" spans="2:48" s="89" customFormat="1" x14ac:dyDescent="0.35">
      <c r="B70" s="90">
        <f t="shared" si="0"/>
        <v>60</v>
      </c>
      <c r="C70" s="144">
        <v>46041</v>
      </c>
      <c r="D70" s="6" t="s">
        <v>16</v>
      </c>
      <c r="E70" s="57" t="s">
        <v>64</v>
      </c>
      <c r="F70" s="133" t="s">
        <v>19</v>
      </c>
      <c r="G70" s="133" t="s">
        <v>20</v>
      </c>
      <c r="H70" s="125" t="s">
        <v>21</v>
      </c>
      <c r="I70" s="6" t="s">
        <v>22</v>
      </c>
      <c r="J70" s="129" t="s">
        <v>23</v>
      </c>
      <c r="K70" s="129" t="s">
        <v>24</v>
      </c>
      <c r="L70" s="57" t="s">
        <v>63</v>
      </c>
      <c r="M70" s="119">
        <v>27</v>
      </c>
      <c r="N70" s="105">
        <v>58</v>
      </c>
      <c r="O70" s="57">
        <v>1</v>
      </c>
      <c r="P70" s="130">
        <v>2</v>
      </c>
      <c r="Q70" s="57">
        <v>240</v>
      </c>
      <c r="R70" s="106">
        <v>0.50029999999999997</v>
      </c>
      <c r="S70" s="94">
        <f>((Table3.110[[#This Row],[Sample weight, g]]*'2.1. DM'!Q47)/100)*1000</f>
        <v>476.72140857742659</v>
      </c>
      <c r="T70" s="94">
        <f>'3.2 Digest'!W70</f>
        <v>193.22140857742647</v>
      </c>
      <c r="U70" s="157">
        <v>0.39027777777777778</v>
      </c>
      <c r="V70" s="158">
        <v>41.5</v>
      </c>
      <c r="W70" s="157">
        <v>0.72499999999999998</v>
      </c>
      <c r="X70" s="107">
        <v>73</v>
      </c>
      <c r="Y70" s="107">
        <v>14.8</v>
      </c>
      <c r="Z70" s="158">
        <v>40.5</v>
      </c>
      <c r="AA70" s="157">
        <v>0.39027777777777778</v>
      </c>
      <c r="AB70" s="158">
        <v>68.5</v>
      </c>
      <c r="AC70" s="158">
        <v>18.100000000000001</v>
      </c>
      <c r="AD70" s="96"/>
      <c r="AE70" s="94">
        <f>Table3.110[[#This Row],[Gas 8h, ml]]-Table3.110[[#This Row],[Gas 0h, ml]]</f>
        <v>31.5</v>
      </c>
      <c r="AF70" s="94">
        <f>Table3.110[[#This Row],[Gas 24h, ml]]-Table3.110[[#This Row],[V8 Push back, ml]]</f>
        <v>28</v>
      </c>
      <c r="AG70" s="94">
        <f>Table3.110[[#This Row],[GP 8h, ml]]-(AVERAGE(AE$11,AE$12,AE$62,AE$61,AE$114,AE$115))*$AG$8</f>
        <v>28.844979731721114</v>
      </c>
      <c r="AH70" s="94">
        <f>Table3.110[[#This Row],[GP 8-24h, ml]]-(AVERAGE(AF$11,AF$12,AF$62,AF$61,AF$114,AF$115))*$AG$8</f>
        <v>24.31247184961266</v>
      </c>
      <c r="AI70" s="94">
        <f>Table3.110[[#This Row],[Net gas 8-24h, ml]]+Table3.110[[#This Row],[Net gas 8h, ml]]</f>
        <v>53.157451581333774</v>
      </c>
      <c r="AJ70" s="94">
        <f>Table3.110[[#This Row],[Net gas 8h, ml]]*Table3.110[[#This Row],[CH4 8h %]]%</f>
        <v>4.2690570002947252</v>
      </c>
      <c r="AK70" s="94">
        <f>Table3.110[[#This Row],[Net gas 8-24h, ml]]*Table3.110[[#This Row],[CH4 24h, %]]%</f>
        <v>4.4005574047798923</v>
      </c>
      <c r="AL70" s="94">
        <f>Table3.110[[#This Row],[CH4 8-24h, ml]]+Table3.110[[#This Row],[CH4 8h, ml]]</f>
        <v>8.6696144050746184</v>
      </c>
      <c r="AM70" s="94">
        <f>(Table3.110[[#This Row],[Net gas 24h, ml]]/Table3.110[[#This Row],[DM Incubated, mg]])*1000</f>
        <v>111.50632345201301</v>
      </c>
      <c r="AN70" s="94">
        <f>'3.2 Digest'!X70</f>
        <v>40.531305097879709</v>
      </c>
      <c r="AO70" s="94">
        <f>Table3.110[[#This Row],[Digested feed, mg]]/Table3.110[[#This Row],[Net gas 24h, ml]]</f>
        <v>3.6348884837300237</v>
      </c>
      <c r="AP70" s="94">
        <f>Table3.110[[#This Row],[CH4 8h, ml]]/Table3.110[[#This Row],[Net gas 8h, ml]]%</f>
        <v>14.8</v>
      </c>
      <c r="AQ70" s="94">
        <f>Table3.110[[#This Row],[CH4 24h, ml]]/Table3.110[[#This Row],[Net gas 24h, ml]]%</f>
        <v>16.309311577530462</v>
      </c>
      <c r="AR70" s="94">
        <f>Table3.110[[#This Row],[CH4 24h, ml]]/Table3.110[[#This Row],[DM Incubated, mg]]*1000</f>
        <v>18.185913720437721</v>
      </c>
      <c r="AS70" s="94">
        <f>Table3.110[[#This Row],[CH4 24h, ml]]/Table3.110[[#This Row],[Digested feed, mg]]*1000</f>
        <v>44.868808632044441</v>
      </c>
      <c r="AT70" s="94">
        <f>Table3.110[[#This Row],[CH4 24h, ml]]/'3.2 Digest'!AA70</f>
        <v>533.39082302395684</v>
      </c>
      <c r="AU70" s="94">
        <f>((Table3.110[[#This Row],[CH4 24h, ml]]/28.9)*16.04)/Table3.110[[#This Row],[DM Incubated, mg]]*1000</f>
        <v>10.093496750028409</v>
      </c>
      <c r="AV70" s="94">
        <f>((Table3.110[[#This Row],[CH4 24h, ml]]/28.9)*16.04)/Table3.110[[#This Row],[Digested feed, mg]]*1000</f>
        <v>24.902965067750618</v>
      </c>
    </row>
    <row r="71" spans="2:48" s="89" customFormat="1" x14ac:dyDescent="0.35">
      <c r="B71" s="90">
        <f t="shared" si="0"/>
        <v>61</v>
      </c>
      <c r="C71" s="140">
        <v>46041</v>
      </c>
      <c r="D71" s="6" t="s">
        <v>16</v>
      </c>
      <c r="E71" s="6" t="s">
        <v>64</v>
      </c>
      <c r="F71" s="133" t="s">
        <v>19</v>
      </c>
      <c r="G71" s="133" t="s">
        <v>20</v>
      </c>
      <c r="H71" s="133" t="s">
        <v>21</v>
      </c>
      <c r="I71" s="6" t="s">
        <v>22</v>
      </c>
      <c r="J71" s="129" t="s">
        <v>23</v>
      </c>
      <c r="K71" s="129" t="s">
        <v>24</v>
      </c>
      <c r="L71" s="6" t="s">
        <v>63</v>
      </c>
      <c r="M71" s="119">
        <v>27</v>
      </c>
      <c r="N71" s="93">
        <v>58</v>
      </c>
      <c r="O71" s="6">
        <v>1</v>
      </c>
      <c r="P71" s="129">
        <v>3</v>
      </c>
      <c r="Q71" s="6">
        <v>241</v>
      </c>
      <c r="R71" s="98">
        <v>0.50019999999999998</v>
      </c>
      <c r="S71" s="94">
        <f>((Table3.110[[#This Row],[Sample weight, g]]*'2.1. DM'!Q47)/100)*1000</f>
        <v>476.62612146797676</v>
      </c>
      <c r="T71" s="94">
        <f>'3.2 Digest'!W71</f>
        <v>135.62612146797682</v>
      </c>
      <c r="U71" s="153">
        <v>0.39097222222222222</v>
      </c>
      <c r="V71" s="154">
        <v>40.5</v>
      </c>
      <c r="W71" s="153">
        <v>0.72569444444444442</v>
      </c>
      <c r="X71" s="95">
        <v>68.5</v>
      </c>
      <c r="Y71" s="95">
        <v>16.399999999999999</v>
      </c>
      <c r="Z71" s="154">
        <v>40.5</v>
      </c>
      <c r="AA71" s="153">
        <v>0.39097222222222222</v>
      </c>
      <c r="AB71" s="154">
        <v>68.5</v>
      </c>
      <c r="AC71" s="154">
        <v>18.2</v>
      </c>
      <c r="AD71" s="91"/>
      <c r="AE71" s="94">
        <f>Table3.110[[#This Row],[Gas 8h, ml]]-Table3.110[[#This Row],[Gas 0h, ml]]</f>
        <v>28</v>
      </c>
      <c r="AF71" s="94">
        <f>Table3.110[[#This Row],[Gas 24h, ml]]-Table3.110[[#This Row],[V8 Push back, ml]]</f>
        <v>28</v>
      </c>
      <c r="AG71" s="94">
        <f>Table3.110[[#This Row],[GP 8h, ml]]-(AVERAGE(AE$11,AE$12,AE$62,AE$61,AE$114,AE$115))*$AG$8</f>
        <v>25.344979731721114</v>
      </c>
      <c r="AH71" s="94">
        <f>Table3.110[[#This Row],[GP 8-24h, ml]]-(AVERAGE(AF$11,AF$12,AF$62,AF$61,AF$114,AF$115))*$AG$8</f>
        <v>24.31247184961266</v>
      </c>
      <c r="AI71" s="94">
        <f>Table3.110[[#This Row],[Net gas 8-24h, ml]]+Table3.110[[#This Row],[Net gas 8h, ml]]</f>
        <v>49.657451581333774</v>
      </c>
      <c r="AJ71" s="94">
        <f>Table3.110[[#This Row],[Net gas 8h, ml]]*Table3.110[[#This Row],[CH4 8h %]]%</f>
        <v>4.1565766760022624</v>
      </c>
      <c r="AK71" s="94">
        <f>Table3.110[[#This Row],[Net gas 8-24h, ml]]*Table3.110[[#This Row],[CH4 24h, %]]%</f>
        <v>4.4248698766295043</v>
      </c>
      <c r="AL71" s="94">
        <f>Table3.110[[#This Row],[CH4 8-24h, ml]]+Table3.110[[#This Row],[CH4 8h, ml]]</f>
        <v>8.5814465526317676</v>
      </c>
      <c r="AM71" s="94">
        <f>(Table3.110[[#This Row],[Net gas 24h, ml]]/Table3.110[[#This Row],[DM Incubated, mg]])*1000</f>
        <v>104.18533383859057</v>
      </c>
      <c r="AN71" s="94">
        <f>'3.2 Digest'!X71</f>
        <v>28.455452892564381</v>
      </c>
      <c r="AO71" s="94">
        <f>Table3.110[[#This Row],[Digested feed, mg]]/Table3.110[[#This Row],[Net gas 24h, ml]]</f>
        <v>2.7312340273007214</v>
      </c>
      <c r="AP71" s="94">
        <f>Table3.110[[#This Row],[CH4 8h, ml]]/Table3.110[[#This Row],[Net gas 8h, ml]]%</f>
        <v>16.399999999999999</v>
      </c>
      <c r="AQ71" s="94">
        <f>Table3.110[[#This Row],[CH4 24h, ml]]/Table3.110[[#This Row],[Net gas 24h, ml]]%</f>
        <v>17.281286653577549</v>
      </c>
      <c r="AR71" s="94">
        <f>Table3.110[[#This Row],[CH4 24h, ml]]/Table3.110[[#This Row],[DM Incubated, mg]]*1000</f>
        <v>18.004566191633565</v>
      </c>
      <c r="AS71" s="94">
        <f>Table3.110[[#This Row],[CH4 24h, ml]]/Table3.110[[#This Row],[Digested feed, mg]]*1000</f>
        <v>63.272815441072424</v>
      </c>
      <c r="AT71" s="94">
        <f>Table3.110[[#This Row],[CH4 24h, ml]]/'3.2 Digest'!AA71</f>
        <v>-0.42300892900082365</v>
      </c>
      <c r="AU71" s="94">
        <f>((Table3.110[[#This Row],[CH4 24h, ml]]/28.9)*16.04)/Table3.110[[#This Row],[DM Incubated, mg]]*1000</f>
        <v>9.9928457340416053</v>
      </c>
      <c r="AV71" s="94">
        <f>((Table3.110[[#This Row],[CH4 24h, ml]]/28.9)*16.04)/Table3.110[[#This Row],[Digested feed, mg]]*1000</f>
        <v>35.117507255183448</v>
      </c>
    </row>
    <row r="72" spans="2:48" s="89" customFormat="1" x14ac:dyDescent="0.35">
      <c r="B72" s="90">
        <f t="shared" si="0"/>
        <v>62</v>
      </c>
      <c r="C72" s="140">
        <v>46041</v>
      </c>
      <c r="D72" s="6" t="s">
        <v>16</v>
      </c>
      <c r="E72" s="6" t="s">
        <v>66</v>
      </c>
      <c r="F72" s="133" t="s">
        <v>19</v>
      </c>
      <c r="G72" s="133" t="s">
        <v>67</v>
      </c>
      <c r="H72" s="133" t="s">
        <v>68</v>
      </c>
      <c r="I72" s="6" t="s">
        <v>22</v>
      </c>
      <c r="J72" s="129" t="s">
        <v>23</v>
      </c>
      <c r="K72" s="129" t="s">
        <v>24</v>
      </c>
      <c r="L72" s="6" t="s">
        <v>65</v>
      </c>
      <c r="M72" s="119">
        <v>27</v>
      </c>
      <c r="N72" s="93">
        <v>58</v>
      </c>
      <c r="O72" s="6">
        <v>1</v>
      </c>
      <c r="P72" s="129">
        <v>1</v>
      </c>
      <c r="Q72" s="6">
        <v>242</v>
      </c>
      <c r="R72" s="98">
        <v>0.50009999999999999</v>
      </c>
      <c r="S72" s="94">
        <f>((Table3.110[[#This Row],[Sample weight, g]]*'2.1. DM'!Q49)/100)*1000</f>
        <v>473.45248187587481</v>
      </c>
      <c r="T72" s="94">
        <f>'3.2 Digest'!W72</f>
        <v>123.05248187587489</v>
      </c>
      <c r="U72" s="117">
        <v>0.39166666666666666</v>
      </c>
      <c r="V72" s="155">
        <v>42.5</v>
      </c>
      <c r="W72" s="117">
        <v>0.72569444444444442</v>
      </c>
      <c r="X72" s="97">
        <v>69.5</v>
      </c>
      <c r="Y72" s="97">
        <v>14.7</v>
      </c>
      <c r="Z72" s="155">
        <v>41</v>
      </c>
      <c r="AA72" s="117">
        <v>0.39097222222222222</v>
      </c>
      <c r="AB72" s="155">
        <v>69.5</v>
      </c>
      <c r="AC72" s="155">
        <v>17.8</v>
      </c>
      <c r="AD72" s="96"/>
      <c r="AE72" s="94">
        <f>Table3.110[[#This Row],[Gas 8h, ml]]-Table3.110[[#This Row],[Gas 0h, ml]]</f>
        <v>27</v>
      </c>
      <c r="AF72" s="94">
        <f>Table3.110[[#This Row],[Gas 24h, ml]]-Table3.110[[#This Row],[V8 Push back, ml]]</f>
        <v>28.5</v>
      </c>
      <c r="AG72" s="94">
        <f>Table3.110[[#This Row],[GP 8h, ml]]-(AVERAGE(AE$11,AE$12,AE$62,AE$61,AE$114,AE$115))*$AG$8</f>
        <v>24.344979731721114</v>
      </c>
      <c r="AH72" s="94">
        <f>Table3.110[[#This Row],[GP 8-24h, ml]]-(AVERAGE(AF$11,AF$12,AF$62,AF$61,AF$114,AF$115))*$AG$8</f>
        <v>24.81247184961266</v>
      </c>
      <c r="AI72" s="94">
        <f>Table3.110[[#This Row],[Net gas 8-24h, ml]]+Table3.110[[#This Row],[Net gas 8h, ml]]</f>
        <v>49.157451581333774</v>
      </c>
      <c r="AJ72" s="94">
        <f>Table3.110[[#This Row],[Net gas 8h, ml]]*Table3.110[[#This Row],[CH4 8h %]]%</f>
        <v>3.5787120205630036</v>
      </c>
      <c r="AK72" s="94">
        <f>Table3.110[[#This Row],[Net gas 8-24h, ml]]*Table3.110[[#This Row],[CH4 24h, %]]%</f>
        <v>4.4166199892310543</v>
      </c>
      <c r="AL72" s="94">
        <f>Table3.110[[#This Row],[CH4 8-24h, ml]]+Table3.110[[#This Row],[CH4 8h, ml]]</f>
        <v>7.9953320097940583</v>
      </c>
      <c r="AM72" s="94">
        <f>(Table3.110[[#This Row],[Net gas 24h, ml]]/Table3.110[[#This Row],[DM Incubated, mg]])*1000</f>
        <v>103.82763521814508</v>
      </c>
      <c r="AN72" s="94">
        <f>'3.2 Digest'!X72</f>
        <v>25.990460835335867</v>
      </c>
      <c r="AO72" s="94">
        <f>Table3.110[[#This Row],[Digested feed, mg]]/Table3.110[[#This Row],[Net gas 24h, ml]]</f>
        <v>2.5032315125668716</v>
      </c>
      <c r="AP72" s="94">
        <f>Table3.110[[#This Row],[CH4 8h, ml]]/Table3.110[[#This Row],[Net gas 8h, ml]]%</f>
        <v>14.7</v>
      </c>
      <c r="AQ72" s="94">
        <f>Table3.110[[#This Row],[CH4 24h, ml]]/Table3.110[[#This Row],[Net gas 24h, ml]]%</f>
        <v>16.264740649879563</v>
      </c>
      <c r="AR72" s="94">
        <f>Table3.110[[#This Row],[CH4 24h, ml]]/Table3.110[[#This Row],[DM Incubated, mg]]*1000</f>
        <v>16.887295591134311</v>
      </c>
      <c r="AS72" s="94">
        <f>Table3.110[[#This Row],[CH4 24h, ml]]/Table3.110[[#This Row],[Digested feed, mg]]*1000</f>
        <v>64.974975619419723</v>
      </c>
      <c r="AT72" s="94">
        <f>Table3.110[[#This Row],[CH4 24h, ml]]/'3.2 Digest'!AA72</f>
        <v>-0.33525128359042999</v>
      </c>
      <c r="AU72" s="94">
        <f>((Table3.110[[#This Row],[CH4 24h, ml]]/28.9)*16.04)/Table3.110[[#This Row],[DM Incubated, mg]]*1000</f>
        <v>9.3727412208233343</v>
      </c>
      <c r="AV72" s="94">
        <f>((Table3.110[[#This Row],[CH4 24h, ml]]/28.9)*16.04)/Table3.110[[#This Row],[Digested feed, mg]]*1000</f>
        <v>36.062235603304231</v>
      </c>
    </row>
    <row r="73" spans="2:48" s="89" customFormat="1" x14ac:dyDescent="0.35">
      <c r="B73" s="90">
        <f t="shared" si="0"/>
        <v>63</v>
      </c>
      <c r="C73" s="140">
        <v>46041</v>
      </c>
      <c r="D73" s="6" t="s">
        <v>16</v>
      </c>
      <c r="E73" s="6" t="s">
        <v>66</v>
      </c>
      <c r="F73" s="133" t="s">
        <v>19</v>
      </c>
      <c r="G73" s="133" t="s">
        <v>67</v>
      </c>
      <c r="H73" s="133" t="s">
        <v>68</v>
      </c>
      <c r="I73" s="6" t="s">
        <v>22</v>
      </c>
      <c r="J73" s="129" t="s">
        <v>23</v>
      </c>
      <c r="K73" s="129" t="s">
        <v>24</v>
      </c>
      <c r="L73" s="6" t="s">
        <v>65</v>
      </c>
      <c r="M73" s="119">
        <v>27</v>
      </c>
      <c r="N73" s="93">
        <v>58</v>
      </c>
      <c r="O73" s="6">
        <v>1</v>
      </c>
      <c r="P73" s="129">
        <v>2</v>
      </c>
      <c r="Q73" s="6">
        <v>243</v>
      </c>
      <c r="R73" s="98">
        <v>0.50039999999999996</v>
      </c>
      <c r="S73" s="94">
        <f>((Table3.110[[#This Row],[Sample weight, g]]*'2.1. DM'!Q49)/100)*1000</f>
        <v>473.736496562063</v>
      </c>
      <c r="T73" s="94">
        <f>'3.2 Digest'!W73</f>
        <v>169.93649656206304</v>
      </c>
      <c r="U73" s="153">
        <v>0.39166666666666666</v>
      </c>
      <c r="V73" s="155">
        <v>41.5</v>
      </c>
      <c r="W73" s="153">
        <v>0.72638888888888886</v>
      </c>
      <c r="X73" s="95">
        <v>70</v>
      </c>
      <c r="Y73" s="95">
        <v>15.1</v>
      </c>
      <c r="Z73" s="154">
        <v>41</v>
      </c>
      <c r="AA73" s="153">
        <v>0.39166666666666666</v>
      </c>
      <c r="AB73" s="154">
        <v>71</v>
      </c>
      <c r="AC73" s="154">
        <v>17.600000000000001</v>
      </c>
      <c r="AD73" s="91"/>
      <c r="AE73" s="94">
        <f>Table3.110[[#This Row],[Gas 8h, ml]]-Table3.110[[#This Row],[Gas 0h, ml]]</f>
        <v>28.5</v>
      </c>
      <c r="AF73" s="94">
        <f>Table3.110[[#This Row],[Gas 24h, ml]]-Table3.110[[#This Row],[V8 Push back, ml]]</f>
        <v>30</v>
      </c>
      <c r="AG73" s="94">
        <f>Table3.110[[#This Row],[GP 8h, ml]]-(AVERAGE(AE$11,AE$12,AE$62,AE$61,AE$114,AE$115))*$AG$8</f>
        <v>25.844979731721114</v>
      </c>
      <c r="AH73" s="94">
        <f>Table3.110[[#This Row],[GP 8-24h, ml]]-(AVERAGE(AF$11,AF$12,AF$62,AF$61,AF$114,AF$115))*$AG$8</f>
        <v>26.31247184961266</v>
      </c>
      <c r="AI73" s="94">
        <f>Table3.110[[#This Row],[Net gas 8-24h, ml]]+Table3.110[[#This Row],[Net gas 8h, ml]]</f>
        <v>52.157451581333774</v>
      </c>
      <c r="AJ73" s="94">
        <f>Table3.110[[#This Row],[Net gas 8h, ml]]*Table3.110[[#This Row],[CH4 8h %]]%</f>
        <v>3.9025919394898883</v>
      </c>
      <c r="AK73" s="94">
        <f>Table3.110[[#This Row],[Net gas 8-24h, ml]]*Table3.110[[#This Row],[CH4 24h, %]]%</f>
        <v>4.6309950455318285</v>
      </c>
      <c r="AL73" s="94">
        <f>Table3.110[[#This Row],[CH4 8-24h, ml]]+Table3.110[[#This Row],[CH4 8h, ml]]</f>
        <v>8.5335869850217172</v>
      </c>
      <c r="AM73" s="94">
        <f>(Table3.110[[#This Row],[Net gas 24h, ml]]/Table3.110[[#This Row],[DM Incubated, mg]])*1000</f>
        <v>110.09802276126884</v>
      </c>
      <c r="AN73" s="94">
        <f>'3.2 Digest'!X73</f>
        <v>35.871523050325109</v>
      </c>
      <c r="AO73" s="94">
        <f>Table3.110[[#This Row],[Digested feed, mg]]/Table3.110[[#This Row],[Net gas 24h, ml]]</f>
        <v>3.2581441655957035</v>
      </c>
      <c r="AP73" s="94">
        <f>Table3.110[[#This Row],[CH4 8h, ml]]/Table3.110[[#This Row],[Net gas 8h, ml]]%</f>
        <v>15.100000000000001</v>
      </c>
      <c r="AQ73" s="94">
        <f>Table3.110[[#This Row],[CH4 24h, ml]]/Table3.110[[#This Row],[Net gas 24h, ml]]%</f>
        <v>16.361203866938425</v>
      </c>
      <c r="AR73" s="94">
        <f>Table3.110[[#This Row],[CH4 24h, ml]]/Table3.110[[#This Row],[DM Incubated, mg]]*1000</f>
        <v>18.013361957439464</v>
      </c>
      <c r="AS73" s="94">
        <f>Table3.110[[#This Row],[CH4 24h, ml]]/Table3.110[[#This Row],[Digested feed, mg]]*1000</f>
        <v>50.216328791414966</v>
      </c>
      <c r="AT73" s="94">
        <f>Table3.110[[#This Row],[CH4 24h, ml]]/'3.2 Digest'!AA73</f>
        <v>-1.1668039433788466</v>
      </c>
      <c r="AU73" s="94">
        <f>((Table3.110[[#This Row],[CH4 24h, ml]]/28.9)*16.04)/Table3.110[[#This Row],[DM Incubated, mg]]*1000</f>
        <v>9.9977275362397577</v>
      </c>
      <c r="AV73" s="94">
        <f>((Table3.110[[#This Row],[CH4 24h, ml]]/28.9)*16.04)/Table3.110[[#This Row],[Digested feed, mg]]*1000</f>
        <v>27.870931273851074</v>
      </c>
    </row>
    <row r="74" spans="2:48" s="89" customFormat="1" x14ac:dyDescent="0.35">
      <c r="B74" s="90">
        <f t="shared" si="0"/>
        <v>64</v>
      </c>
      <c r="C74" s="140">
        <v>46041</v>
      </c>
      <c r="D74" s="6" t="s">
        <v>16</v>
      </c>
      <c r="E74" s="6" t="s">
        <v>66</v>
      </c>
      <c r="F74" s="133" t="s">
        <v>19</v>
      </c>
      <c r="G74" s="133" t="s">
        <v>67</v>
      </c>
      <c r="H74" s="133" t="s">
        <v>68</v>
      </c>
      <c r="I74" s="6" t="s">
        <v>22</v>
      </c>
      <c r="J74" s="129" t="s">
        <v>23</v>
      </c>
      <c r="K74" s="129" t="s">
        <v>24</v>
      </c>
      <c r="L74" s="6" t="s">
        <v>65</v>
      </c>
      <c r="M74" s="119">
        <v>27</v>
      </c>
      <c r="N74" s="93">
        <v>58</v>
      </c>
      <c r="O74" s="6">
        <v>1</v>
      </c>
      <c r="P74" s="129">
        <v>3</v>
      </c>
      <c r="Q74" s="6">
        <v>244</v>
      </c>
      <c r="R74" s="98">
        <v>0.50009999999999999</v>
      </c>
      <c r="S74" s="94">
        <f>((Table3.110[[#This Row],[Sample weight, g]]*'2.1. DM'!Q49)/100)*1000</f>
        <v>473.45248187587481</v>
      </c>
      <c r="T74" s="94">
        <f>'3.2 Digest'!W74</f>
        <v>91.952481875874867</v>
      </c>
      <c r="U74" s="117">
        <v>0.3923611111111111</v>
      </c>
      <c r="V74" s="155">
        <v>42</v>
      </c>
      <c r="W74" s="117">
        <v>0.72638888888888886</v>
      </c>
      <c r="X74" s="97">
        <v>68</v>
      </c>
      <c r="Y74" s="97">
        <v>16.399999999999999</v>
      </c>
      <c r="Z74" s="155">
        <v>42</v>
      </c>
      <c r="AA74" s="117">
        <v>0.39166666666666666</v>
      </c>
      <c r="AB74" s="155">
        <v>71.5</v>
      </c>
      <c r="AC74" s="155">
        <v>17.399999999999999</v>
      </c>
      <c r="AD74" s="96"/>
      <c r="AE74" s="94">
        <f>Table3.110[[#This Row],[Gas 8h, ml]]-Table3.110[[#This Row],[Gas 0h, ml]]</f>
        <v>26</v>
      </c>
      <c r="AF74" s="94">
        <f>Table3.110[[#This Row],[Gas 24h, ml]]-Table3.110[[#This Row],[V8 Push back, ml]]</f>
        <v>29.5</v>
      </c>
      <c r="AG74" s="94">
        <f>Table3.110[[#This Row],[GP 8h, ml]]-(AVERAGE(AE$11,AE$12,AE$62,AE$61,AE$114,AE$115))*$AG$8</f>
        <v>23.344979731721114</v>
      </c>
      <c r="AH74" s="94">
        <f>Table3.110[[#This Row],[GP 8-24h, ml]]-(AVERAGE(AF$11,AF$12,AF$62,AF$61,AF$114,AF$115))*$AG$8</f>
        <v>25.81247184961266</v>
      </c>
      <c r="AI74" s="94">
        <f>Table3.110[[#This Row],[Net gas 8-24h, ml]]+Table3.110[[#This Row],[Net gas 8h, ml]]</f>
        <v>49.157451581333774</v>
      </c>
      <c r="AJ74" s="94">
        <f>Table3.110[[#This Row],[Net gas 8h, ml]]*Table3.110[[#This Row],[CH4 8h %]]%</f>
        <v>3.8285766760022621</v>
      </c>
      <c r="AK74" s="94">
        <f>Table3.110[[#This Row],[Net gas 8-24h, ml]]*Table3.110[[#This Row],[CH4 24h, %]]%</f>
        <v>4.4913701018326027</v>
      </c>
      <c r="AL74" s="94">
        <f>Table3.110[[#This Row],[CH4 8-24h, ml]]+Table3.110[[#This Row],[CH4 8h, ml]]</f>
        <v>8.3199467778348648</v>
      </c>
      <c r="AM74" s="94">
        <f>(Table3.110[[#This Row],[Net gas 24h, ml]]/Table3.110[[#This Row],[DM Incubated, mg]])*1000</f>
        <v>103.82763521814508</v>
      </c>
      <c r="AN74" s="94">
        <f>'3.2 Digest'!X74</f>
        <v>19.421691805595408</v>
      </c>
      <c r="AO74" s="94">
        <f>Table3.110[[#This Row],[Digested feed, mg]]/Table3.110[[#This Row],[Net gas 24h, ml]]</f>
        <v>1.8705705629132199</v>
      </c>
      <c r="AP74" s="94">
        <f>Table3.110[[#This Row],[CH4 8h, ml]]/Table3.110[[#This Row],[Net gas 8h, ml]]%</f>
        <v>16.399999999999999</v>
      </c>
      <c r="AQ74" s="94">
        <f>Table3.110[[#This Row],[CH4 24h, ml]]/Table3.110[[#This Row],[Net gas 24h, ml]]%</f>
        <v>16.925097844157044</v>
      </c>
      <c r="AR74" s="94">
        <f>Table3.110[[#This Row],[CH4 24h, ml]]/Table3.110[[#This Row],[DM Incubated, mg]]*1000</f>
        <v>17.572928849945512</v>
      </c>
      <c r="AS74" s="94">
        <f>Table3.110[[#This Row],[CH4 24h, ml]]/Table3.110[[#This Row],[Digested feed, mg]]*1000</f>
        <v>90.48093763326392</v>
      </c>
      <c r="AT74" s="94">
        <f>Table3.110[[#This Row],[CH4 24h, ml]]/'3.2 Digest'!AA74</f>
        <v>-0.23879718188253507</v>
      </c>
      <c r="AU74" s="94">
        <f>((Table3.110[[#This Row],[CH4 24h, ml]]/28.9)*16.04)/Table3.110[[#This Row],[DM Incubated, mg]]*1000</f>
        <v>9.7532795416306577</v>
      </c>
      <c r="AV74" s="94">
        <f>((Table3.110[[#This Row],[CH4 24h, ml]]/28.9)*16.04)/Table3.110[[#This Row],[Digested feed, mg]]*1000</f>
        <v>50.218485800607382</v>
      </c>
    </row>
    <row r="75" spans="2:48" s="89" customFormat="1" x14ac:dyDescent="0.35">
      <c r="B75" s="90">
        <f t="shared" si="0"/>
        <v>65</v>
      </c>
      <c r="C75" s="140">
        <v>46041</v>
      </c>
      <c r="D75" s="6" t="s">
        <v>16</v>
      </c>
      <c r="E75" s="6" t="s">
        <v>70</v>
      </c>
      <c r="F75" s="133" t="s">
        <v>19</v>
      </c>
      <c r="G75" s="133" t="s">
        <v>20</v>
      </c>
      <c r="H75" s="133" t="s">
        <v>21</v>
      </c>
      <c r="I75" s="6" t="s">
        <v>22</v>
      </c>
      <c r="J75" s="129" t="s">
        <v>23</v>
      </c>
      <c r="K75" s="129" t="s">
        <v>24</v>
      </c>
      <c r="L75" s="6" t="s">
        <v>69</v>
      </c>
      <c r="M75" s="119">
        <v>27</v>
      </c>
      <c r="N75" s="93">
        <v>58</v>
      </c>
      <c r="O75" s="6">
        <v>1</v>
      </c>
      <c r="P75" s="129">
        <v>1</v>
      </c>
      <c r="Q75" s="6">
        <v>245</v>
      </c>
      <c r="R75" s="98">
        <v>0.50049999999999994</v>
      </c>
      <c r="S75" s="94">
        <f>((Table3.110[[#This Row],[Sample weight, g]]*'2.1. DM'!Q51)/100)*1000</f>
        <v>473.63261444692972</v>
      </c>
      <c r="T75" s="94">
        <f>'3.2 Digest'!W75</f>
        <v>130.0326144469297</v>
      </c>
      <c r="U75" s="117">
        <v>0.3923611111111111</v>
      </c>
      <c r="V75" s="155">
        <v>42</v>
      </c>
      <c r="W75" s="117">
        <v>0.7270833333333333</v>
      </c>
      <c r="X75" s="97">
        <v>70.5</v>
      </c>
      <c r="Y75" s="97">
        <v>15.2</v>
      </c>
      <c r="Z75" s="155">
        <v>40.5</v>
      </c>
      <c r="AA75" s="117">
        <v>0.3923611111111111</v>
      </c>
      <c r="AB75" s="155">
        <v>71.5</v>
      </c>
      <c r="AC75" s="155">
        <v>17.2</v>
      </c>
      <c r="AD75" s="91"/>
      <c r="AE75" s="94">
        <f>Table3.110[[#This Row],[Gas 8h, ml]]-Table3.110[[#This Row],[Gas 0h, ml]]</f>
        <v>28.5</v>
      </c>
      <c r="AF75" s="94">
        <f>Table3.110[[#This Row],[Gas 24h, ml]]-Table3.110[[#This Row],[V8 Push back, ml]]</f>
        <v>31</v>
      </c>
      <c r="AG75" s="94">
        <f>Table3.110[[#This Row],[GP 8h, ml]]-(AVERAGE(AE$11,AE$12,AE$62,AE$61,AE$114,AE$115))*$AG$8</f>
        <v>25.844979731721114</v>
      </c>
      <c r="AH75" s="94">
        <f>Table3.110[[#This Row],[GP 8-24h, ml]]-(AVERAGE(AF$11,AF$12,AF$62,AF$61,AF$114,AF$115))*$AG$8</f>
        <v>27.31247184961266</v>
      </c>
      <c r="AI75" s="94">
        <f>Table3.110[[#This Row],[Net gas 8-24h, ml]]+Table3.110[[#This Row],[Net gas 8h, ml]]</f>
        <v>53.157451581333774</v>
      </c>
      <c r="AJ75" s="94">
        <f>Table3.110[[#This Row],[Net gas 8h, ml]]*Table3.110[[#This Row],[CH4 8h %]]%</f>
        <v>3.9284369192216091</v>
      </c>
      <c r="AK75" s="94">
        <f>Table3.110[[#This Row],[Net gas 8-24h, ml]]*Table3.110[[#This Row],[CH4 24h, %]]%</f>
        <v>4.6977451581333769</v>
      </c>
      <c r="AL75" s="94">
        <f>Table3.110[[#This Row],[CH4 8-24h, ml]]+Table3.110[[#This Row],[CH4 8h, ml]]</f>
        <v>8.6261820773549864</v>
      </c>
      <c r="AM75" s="94">
        <f>(Table3.110[[#This Row],[Net gas 24h, ml]]/Table3.110[[#This Row],[DM Incubated, mg]])*1000</f>
        <v>112.23351171330714</v>
      </c>
      <c r="AN75" s="94">
        <f>'3.2 Digest'!X75</f>
        <v>27.454320179950315</v>
      </c>
      <c r="AO75" s="94">
        <f>Table3.110[[#This Row],[Digested feed, mg]]/Table3.110[[#This Row],[Net gas 24h, ml]]</f>
        <v>2.4461784863402034</v>
      </c>
      <c r="AP75" s="94">
        <f>Table3.110[[#This Row],[CH4 8h, ml]]/Table3.110[[#This Row],[Net gas 8h, ml]]%</f>
        <v>15.2</v>
      </c>
      <c r="AQ75" s="94">
        <f>Table3.110[[#This Row],[CH4 24h, ml]]/Table3.110[[#This Row],[Net gas 24h, ml]]%</f>
        <v>16.227606517510463</v>
      </c>
      <c r="AR75" s="94">
        <f>Table3.110[[#This Row],[CH4 24h, ml]]/Table3.110[[#This Row],[DM Incubated, mg]]*1000</f>
        <v>18.212812661619498</v>
      </c>
      <c r="AS75" s="94">
        <f>Table3.110[[#This Row],[CH4 24h, ml]]/Table3.110[[#This Row],[Digested feed, mg]]*1000</f>
        <v>66.338603696041162</v>
      </c>
      <c r="AT75" s="94">
        <f>Table3.110[[#This Row],[CH4 24h, ml]]/'3.2 Digest'!AA75</f>
        <v>-0.41620978541630749</v>
      </c>
      <c r="AU75" s="94">
        <f>((Table3.110[[#This Row],[CH4 24h, ml]]/28.9)*16.04)/Table3.110[[#This Row],[DM Incubated, mg]]*1000</f>
        <v>10.1084261277639</v>
      </c>
      <c r="AV75" s="94">
        <f>((Table3.110[[#This Row],[CH4 24h, ml]]/28.9)*16.04)/Table3.110[[#This Row],[Digested feed, mg]]*1000</f>
        <v>36.819072778010387</v>
      </c>
    </row>
    <row r="76" spans="2:48" s="89" customFormat="1" x14ac:dyDescent="0.35">
      <c r="B76" s="90">
        <f t="shared" ref="B76:B139" si="1">B75+1</f>
        <v>66</v>
      </c>
      <c r="C76" s="140">
        <v>46041</v>
      </c>
      <c r="D76" s="6" t="s">
        <v>16</v>
      </c>
      <c r="E76" s="6" t="s">
        <v>70</v>
      </c>
      <c r="F76" s="133" t="s">
        <v>19</v>
      </c>
      <c r="G76" s="133" t="s">
        <v>20</v>
      </c>
      <c r="H76" s="133" t="s">
        <v>21</v>
      </c>
      <c r="I76" s="6" t="s">
        <v>22</v>
      </c>
      <c r="J76" s="129" t="s">
        <v>23</v>
      </c>
      <c r="K76" s="129" t="s">
        <v>24</v>
      </c>
      <c r="L76" s="6" t="s">
        <v>69</v>
      </c>
      <c r="M76" s="119">
        <v>27</v>
      </c>
      <c r="N76" s="93">
        <v>58</v>
      </c>
      <c r="O76" s="6">
        <v>1</v>
      </c>
      <c r="P76" s="129">
        <v>2</v>
      </c>
      <c r="Q76" s="6">
        <v>246</v>
      </c>
      <c r="R76" s="98">
        <v>0.50049999999999994</v>
      </c>
      <c r="S76" s="94">
        <f>((Table3.110[[#This Row],[Sample weight, g]]*'2.1. DM'!Q51)/100)*1000</f>
        <v>473.63261444692972</v>
      </c>
      <c r="T76" s="94">
        <f>'3.2 Digest'!W76</f>
        <v>122.73261444692963</v>
      </c>
      <c r="U76" s="117">
        <v>0.3923611111111111</v>
      </c>
      <c r="V76" s="155">
        <v>41.5</v>
      </c>
      <c r="W76" s="117">
        <v>0.7270833333333333</v>
      </c>
      <c r="X76" s="97">
        <v>71.5</v>
      </c>
      <c r="Y76" s="97">
        <v>15.1</v>
      </c>
      <c r="Z76" s="155">
        <v>41</v>
      </c>
      <c r="AA76" s="117">
        <v>0.3923611111111111</v>
      </c>
      <c r="AB76" s="155">
        <v>72</v>
      </c>
      <c r="AC76" s="155">
        <v>17.100000000000001</v>
      </c>
      <c r="AD76" s="96"/>
      <c r="AE76" s="94">
        <f>Table3.110[[#This Row],[Gas 8h, ml]]-Table3.110[[#This Row],[Gas 0h, ml]]</f>
        <v>30</v>
      </c>
      <c r="AF76" s="94">
        <f>Table3.110[[#This Row],[Gas 24h, ml]]-Table3.110[[#This Row],[V8 Push back, ml]]</f>
        <v>31</v>
      </c>
      <c r="AG76" s="94">
        <f>Table3.110[[#This Row],[GP 8h, ml]]-(AVERAGE(AE$11,AE$12,AE$62,AE$61,AE$114,AE$115))*$AG$8</f>
        <v>27.344979731721114</v>
      </c>
      <c r="AH76" s="94">
        <f>Table3.110[[#This Row],[GP 8-24h, ml]]-(AVERAGE(AF$11,AF$12,AF$62,AF$61,AF$114,AF$115))*$AG$8</f>
        <v>27.31247184961266</v>
      </c>
      <c r="AI76" s="94">
        <f>Table3.110[[#This Row],[Net gas 8-24h, ml]]+Table3.110[[#This Row],[Net gas 8h, ml]]</f>
        <v>54.657451581333774</v>
      </c>
      <c r="AJ76" s="94">
        <f>Table3.110[[#This Row],[Net gas 8h, ml]]*Table3.110[[#This Row],[CH4 8h %]]%</f>
        <v>4.1290919394898884</v>
      </c>
      <c r="AK76" s="94">
        <f>Table3.110[[#This Row],[Net gas 8-24h, ml]]*Table3.110[[#This Row],[CH4 24h, %]]%</f>
        <v>4.6704326862837648</v>
      </c>
      <c r="AL76" s="94">
        <f>Table3.110[[#This Row],[CH4 8-24h, ml]]+Table3.110[[#This Row],[CH4 8h, ml]]</f>
        <v>8.7995246257736532</v>
      </c>
      <c r="AM76" s="94">
        <f>(Table3.110[[#This Row],[Net gas 24h, ml]]/Table3.110[[#This Row],[DM Incubated, mg]])*1000</f>
        <v>115.40052334689489</v>
      </c>
      <c r="AN76" s="94">
        <f>'3.2 Digest'!X76</f>
        <v>25.913041184937601</v>
      </c>
      <c r="AO76" s="94">
        <f>Table3.110[[#This Row],[Digested feed, mg]]/Table3.110[[#This Row],[Net gas 24h, ml]]</f>
        <v>2.2454873195889067</v>
      </c>
      <c r="AP76" s="94">
        <f>Table3.110[[#This Row],[CH4 8h, ml]]/Table3.110[[#This Row],[Net gas 8h, ml]]%</f>
        <v>15.100000000000001</v>
      </c>
      <c r="AQ76" s="94">
        <f>Table3.110[[#This Row],[CH4 24h, ml]]/Table3.110[[#This Row],[Net gas 24h, ml]]%</f>
        <v>16.099405243362654</v>
      </c>
      <c r="AR76" s="94">
        <f>Table3.110[[#This Row],[CH4 24h, ml]]/Table3.110[[#This Row],[DM Incubated, mg]]*1000</f>
        <v>18.57879790657794</v>
      </c>
      <c r="AS76" s="94">
        <f>Table3.110[[#This Row],[CH4 24h, ml]]/Table3.110[[#This Row],[Digested feed, mg]]*1000</f>
        <v>71.696709675964939</v>
      </c>
      <c r="AT76" s="94">
        <f>Table3.110[[#This Row],[CH4 24h, ml]]/'3.2 Digest'!AA76</f>
        <v>-0.37781679159276582</v>
      </c>
      <c r="AU76" s="94">
        <f>((Table3.110[[#This Row],[CH4 24h, ml]]/28.9)*16.04)/Table3.110[[#This Row],[DM Incubated, mg]]*1000</f>
        <v>10.311554270640489</v>
      </c>
      <c r="AV76" s="94">
        <f>((Table3.110[[#This Row],[CH4 24h, ml]]/28.9)*16.04)/Table3.110[[#This Row],[Digested feed, mg]]*1000</f>
        <v>39.792914297663579</v>
      </c>
    </row>
    <row r="77" spans="2:48" s="89" customFormat="1" x14ac:dyDescent="0.35">
      <c r="B77" s="90">
        <f t="shared" si="1"/>
        <v>67</v>
      </c>
      <c r="C77" s="140">
        <v>46041</v>
      </c>
      <c r="D77" s="6" t="s">
        <v>16</v>
      </c>
      <c r="E77" s="6" t="s">
        <v>70</v>
      </c>
      <c r="F77" s="133" t="s">
        <v>19</v>
      </c>
      <c r="G77" s="133" t="s">
        <v>20</v>
      </c>
      <c r="H77" s="133" t="s">
        <v>21</v>
      </c>
      <c r="I77" s="6" t="s">
        <v>22</v>
      </c>
      <c r="J77" s="129" t="s">
        <v>23</v>
      </c>
      <c r="K77" s="129" t="s">
        <v>24</v>
      </c>
      <c r="L77" s="6" t="s">
        <v>69</v>
      </c>
      <c r="M77" s="119">
        <v>27</v>
      </c>
      <c r="N77" s="93">
        <v>58</v>
      </c>
      <c r="O77" s="6">
        <v>1</v>
      </c>
      <c r="P77" s="129">
        <v>3</v>
      </c>
      <c r="Q77" s="6">
        <v>247</v>
      </c>
      <c r="R77" s="98">
        <v>0.5</v>
      </c>
      <c r="S77" s="94">
        <f>((Table3.110[[#This Row],[Sample weight, g]]*'2.1. DM'!Q51)/100)*1000</f>
        <v>473.15945499193788</v>
      </c>
      <c r="T77" s="94">
        <f>'3.2 Digest'!W77</f>
        <v>98.459454991937832</v>
      </c>
      <c r="U77" s="153">
        <v>0.39305555555555555</v>
      </c>
      <c r="V77" s="155">
        <v>41</v>
      </c>
      <c r="W77" s="153">
        <v>0.72777777777777775</v>
      </c>
      <c r="X77" s="95">
        <v>68.5</v>
      </c>
      <c r="Y77" s="95">
        <v>15.7</v>
      </c>
      <c r="Z77" s="154">
        <v>41</v>
      </c>
      <c r="AA77" s="153">
        <v>0.39305555555555555</v>
      </c>
      <c r="AB77" s="154">
        <v>70</v>
      </c>
      <c r="AC77" s="154">
        <v>17.2</v>
      </c>
      <c r="AD77" s="91"/>
      <c r="AE77" s="94">
        <f>Table3.110[[#This Row],[Gas 8h, ml]]-Table3.110[[#This Row],[Gas 0h, ml]]</f>
        <v>27.5</v>
      </c>
      <c r="AF77" s="94">
        <f>Table3.110[[#This Row],[Gas 24h, ml]]-Table3.110[[#This Row],[V8 Push back, ml]]</f>
        <v>29</v>
      </c>
      <c r="AG77" s="94">
        <f>Table3.110[[#This Row],[GP 8h, ml]]-(AVERAGE(AE$11,AE$12,AE$62,AE$61,AE$114,AE$115))*$AG$8</f>
        <v>24.844979731721114</v>
      </c>
      <c r="AH77" s="94">
        <f>Table3.110[[#This Row],[GP 8-24h, ml]]-(AVERAGE(AF$11,AF$12,AF$62,AF$61,AF$114,AF$115))*$AG$8</f>
        <v>25.31247184961266</v>
      </c>
      <c r="AI77" s="94">
        <f>Table3.110[[#This Row],[Net gas 8-24h, ml]]+Table3.110[[#This Row],[Net gas 8h, ml]]</f>
        <v>50.157451581333774</v>
      </c>
      <c r="AJ77" s="94">
        <f>Table3.110[[#This Row],[Net gas 8h, ml]]*Table3.110[[#This Row],[CH4 8h %]]%</f>
        <v>3.900661817880215</v>
      </c>
      <c r="AK77" s="94">
        <f>Table3.110[[#This Row],[Net gas 8-24h, ml]]*Table3.110[[#This Row],[CH4 24h, %]]%</f>
        <v>4.3537451581333775</v>
      </c>
      <c r="AL77" s="94">
        <f>Table3.110[[#This Row],[CH4 8-24h, ml]]+Table3.110[[#This Row],[CH4 8h, ml]]</f>
        <v>8.254406976013593</v>
      </c>
      <c r="AM77" s="94">
        <f>(Table3.110[[#This Row],[Net gas 24h, ml]]/Table3.110[[#This Row],[DM Incubated, mg]])*1000</f>
        <v>106.00538793457778</v>
      </c>
      <c r="AN77" s="94">
        <f>'3.2 Digest'!X77</f>
        <v>20.808937442371402</v>
      </c>
      <c r="AO77" s="94">
        <f>Table3.110[[#This Row],[Digested feed, mg]]/Table3.110[[#This Row],[Net gas 24h, ml]]</f>
        <v>1.9630075270526657</v>
      </c>
      <c r="AP77" s="94">
        <f>Table3.110[[#This Row],[CH4 8h, ml]]/Table3.110[[#This Row],[Net gas 8h, ml]]%</f>
        <v>15.700000000000001</v>
      </c>
      <c r="AQ77" s="94">
        <f>Table3.110[[#This Row],[CH4 24h, ml]]/Table3.110[[#This Row],[Net gas 24h, ml]]%</f>
        <v>16.456990368875701</v>
      </c>
      <c r="AR77" s="94">
        <f>Table3.110[[#This Row],[CH4 24h, ml]]/Table3.110[[#This Row],[DM Incubated, mg]]*1000</f>
        <v>17.445296482882792</v>
      </c>
      <c r="AS77" s="94">
        <f>Table3.110[[#This Row],[CH4 24h, ml]]/Table3.110[[#This Row],[Digested feed, mg]]*1000</f>
        <v>83.83559483128856</v>
      </c>
      <c r="AT77" s="94">
        <f>Table3.110[[#This Row],[CH4 24h, ml]]/'3.2 Digest'!AA77</f>
        <v>-0.25970031644468838</v>
      </c>
      <c r="AU77" s="94">
        <f>((Table3.110[[#This Row],[CH4 24h, ml]]/28.9)*16.04)/Table3.110[[#This Row],[DM Incubated, mg]]*1000</f>
        <v>9.6824413697384077</v>
      </c>
      <c r="AV77" s="94">
        <f>((Table3.110[[#This Row],[CH4 24h, ml]]/28.9)*16.04)/Table3.110[[#This Row],[Digested feed, mg]]*1000</f>
        <v>46.530205574182311</v>
      </c>
    </row>
    <row r="78" spans="2:48" s="89" customFormat="1" x14ac:dyDescent="0.35">
      <c r="B78" s="90">
        <f t="shared" si="1"/>
        <v>68</v>
      </c>
      <c r="C78" s="140">
        <v>46041</v>
      </c>
      <c r="D78" s="6" t="s">
        <v>16</v>
      </c>
      <c r="E78" s="6" t="s">
        <v>72</v>
      </c>
      <c r="F78" s="133" t="s">
        <v>19</v>
      </c>
      <c r="G78" s="133" t="s">
        <v>73</v>
      </c>
      <c r="H78" s="133" t="s">
        <v>74</v>
      </c>
      <c r="I78" s="6" t="s">
        <v>22</v>
      </c>
      <c r="J78" s="129" t="s">
        <v>23</v>
      </c>
      <c r="K78" s="129" t="s">
        <v>24</v>
      </c>
      <c r="L78" s="6" t="s">
        <v>71</v>
      </c>
      <c r="M78" s="119">
        <v>27</v>
      </c>
      <c r="N78" s="93">
        <v>58</v>
      </c>
      <c r="O78" s="6">
        <v>1</v>
      </c>
      <c r="P78" s="129">
        <v>1</v>
      </c>
      <c r="Q78" s="6">
        <v>248</v>
      </c>
      <c r="R78" s="98">
        <v>0.50060000000000004</v>
      </c>
      <c r="S78" s="94">
        <f>((Table3.110[[#This Row],[Sample weight, g]]*'2.1. DM'!Q53)/100)*1000</f>
        <v>469.29371342681816</v>
      </c>
      <c r="T78" s="94">
        <f>'3.2 Digest'!W78</f>
        <v>67.493713426818204</v>
      </c>
      <c r="U78" s="117">
        <v>0.39305555555555555</v>
      </c>
      <c r="V78" s="155">
        <v>42.5</v>
      </c>
      <c r="W78" s="117">
        <v>0.72777777777777775</v>
      </c>
      <c r="X78" s="97">
        <v>75</v>
      </c>
      <c r="Y78" s="97">
        <v>14.9</v>
      </c>
      <c r="Z78" s="155">
        <v>41</v>
      </c>
      <c r="AA78" s="117">
        <v>0.39374999999999999</v>
      </c>
      <c r="AB78" s="155">
        <v>72.5</v>
      </c>
      <c r="AC78" s="155">
        <v>19.100000000000001</v>
      </c>
      <c r="AD78" s="96"/>
      <c r="AE78" s="94">
        <f>Table3.110[[#This Row],[Gas 8h, ml]]-Table3.110[[#This Row],[Gas 0h, ml]]</f>
        <v>32.5</v>
      </c>
      <c r="AF78" s="94">
        <f>Table3.110[[#This Row],[Gas 24h, ml]]-Table3.110[[#This Row],[V8 Push back, ml]]</f>
        <v>31.5</v>
      </c>
      <c r="AG78" s="94">
        <f>Table3.110[[#This Row],[GP 8h, ml]]-(AVERAGE(AE$11,AE$12,AE$62,AE$61,AE$114,AE$115))*$AG$8</f>
        <v>29.844979731721114</v>
      </c>
      <c r="AH78" s="94">
        <f>Table3.110[[#This Row],[GP 8-24h, ml]]-(AVERAGE(AF$11,AF$12,AF$62,AF$61,AF$114,AF$115))*$AG$8</f>
        <v>27.81247184961266</v>
      </c>
      <c r="AI78" s="94">
        <f>Table3.110[[#This Row],[Net gas 8-24h, ml]]+Table3.110[[#This Row],[Net gas 8h, ml]]</f>
        <v>57.657451581333774</v>
      </c>
      <c r="AJ78" s="94">
        <f>Table3.110[[#This Row],[Net gas 8h, ml]]*Table3.110[[#This Row],[CH4 8h %]]%</f>
        <v>4.4469019800264462</v>
      </c>
      <c r="AK78" s="94">
        <f>Table3.110[[#This Row],[Net gas 8-24h, ml]]*Table3.110[[#This Row],[CH4 24h, %]]%</f>
        <v>5.3121821232760178</v>
      </c>
      <c r="AL78" s="94">
        <f>Table3.110[[#This Row],[CH4 8-24h, ml]]+Table3.110[[#This Row],[CH4 8h, ml]]</f>
        <v>9.7590841033024631</v>
      </c>
      <c r="AM78" s="94">
        <f>(Table3.110[[#This Row],[Net gas 24h, ml]]/Table3.110[[#This Row],[DM Incubated, mg]])*1000</f>
        <v>122.8600552952536</v>
      </c>
      <c r="AN78" s="94">
        <f>'3.2 Digest'!X78</f>
        <v>14.381976893313572</v>
      </c>
      <c r="AO78" s="94">
        <f>Table3.110[[#This Row],[Digested feed, mg]]/Table3.110[[#This Row],[Net gas 24h, ml]]</f>
        <v>1.1705982761241021</v>
      </c>
      <c r="AP78" s="94">
        <f>Table3.110[[#This Row],[CH4 8h, ml]]/Table3.110[[#This Row],[Net gas 8h, ml]]%</f>
        <v>14.9</v>
      </c>
      <c r="AQ78" s="94">
        <f>Table3.110[[#This Row],[CH4 24h, ml]]/Table3.110[[#This Row],[Net gas 24h, ml]]%</f>
        <v>16.925971987395126</v>
      </c>
      <c r="AR78" s="94">
        <f>Table3.110[[#This Row],[CH4 24h, ml]]/Table3.110[[#This Row],[DM Incubated, mg]]*1000</f>
        <v>20.795258542972785</v>
      </c>
      <c r="AS78" s="94">
        <f>Table3.110[[#This Row],[CH4 24h, ml]]/Table3.110[[#This Row],[Digested feed, mg]]*1000</f>
        <v>144.59249028998826</v>
      </c>
      <c r="AT78" s="94">
        <f>Table3.110[[#This Row],[CH4 24h, ml]]/'3.2 Digest'!AA78</f>
        <v>-0.20896023686226015</v>
      </c>
      <c r="AU78" s="94">
        <f>((Table3.110[[#This Row],[CH4 24h, ml]]/28.9)*16.04)/Table3.110[[#This Row],[DM Incubated, mg]]*1000</f>
        <v>11.541728270909465</v>
      </c>
      <c r="AV78" s="94">
        <f>((Table3.110[[#This Row],[CH4 24h, ml]]/28.9)*16.04)/Table3.110[[#This Row],[Digested feed, mg]]*1000</f>
        <v>80.251333711121532</v>
      </c>
    </row>
    <row r="79" spans="2:48" s="89" customFormat="1" x14ac:dyDescent="0.35">
      <c r="B79" s="90">
        <f t="shared" si="1"/>
        <v>69</v>
      </c>
      <c r="C79" s="140">
        <v>46041</v>
      </c>
      <c r="D79" s="6" t="s">
        <v>16</v>
      </c>
      <c r="E79" s="6" t="s">
        <v>72</v>
      </c>
      <c r="F79" s="133" t="s">
        <v>19</v>
      </c>
      <c r="G79" s="133" t="s">
        <v>73</v>
      </c>
      <c r="H79" s="133" t="s">
        <v>74</v>
      </c>
      <c r="I79" s="6" t="s">
        <v>22</v>
      </c>
      <c r="J79" s="129" t="s">
        <v>23</v>
      </c>
      <c r="K79" s="129" t="s">
        <v>24</v>
      </c>
      <c r="L79" s="6" t="s">
        <v>71</v>
      </c>
      <c r="M79" s="119">
        <v>27</v>
      </c>
      <c r="N79" s="93">
        <v>58</v>
      </c>
      <c r="O79" s="6">
        <v>1</v>
      </c>
      <c r="P79" s="129">
        <v>2</v>
      </c>
      <c r="Q79" s="6">
        <v>249</v>
      </c>
      <c r="R79" s="98">
        <v>0.50039999999999996</v>
      </c>
      <c r="S79" s="94">
        <f>((Table3.110[[#This Row],[Sample weight, g]]*'2.1. DM'!Q53)/100)*1000</f>
        <v>469.10622093244058</v>
      </c>
      <c r="T79" s="94">
        <f>'3.2 Digest'!W79</f>
        <v>203.80622093244062</v>
      </c>
      <c r="U79" s="153">
        <v>0.39374999999999999</v>
      </c>
      <c r="V79" s="155">
        <v>41.5</v>
      </c>
      <c r="W79" s="153">
        <v>0.72847222222222219</v>
      </c>
      <c r="X79" s="95">
        <v>70.5</v>
      </c>
      <c r="Y79" s="95">
        <v>15.3</v>
      </c>
      <c r="Z79" s="154">
        <v>41</v>
      </c>
      <c r="AA79" s="153">
        <v>0.39374999999999999</v>
      </c>
      <c r="AB79" s="154">
        <v>73.5</v>
      </c>
      <c r="AC79" s="154">
        <v>19.2</v>
      </c>
      <c r="AD79" s="91"/>
      <c r="AE79" s="94">
        <f>Table3.110[[#This Row],[Gas 8h, ml]]-Table3.110[[#This Row],[Gas 0h, ml]]</f>
        <v>29</v>
      </c>
      <c r="AF79" s="94">
        <f>Table3.110[[#This Row],[Gas 24h, ml]]-Table3.110[[#This Row],[V8 Push back, ml]]</f>
        <v>32.5</v>
      </c>
      <c r="AG79" s="94">
        <f>Table3.110[[#This Row],[GP 8h, ml]]-(AVERAGE(AE$11,AE$12,AE$62,AE$61,AE$114,AE$115))*$AG$8</f>
        <v>26.344979731721114</v>
      </c>
      <c r="AH79" s="94">
        <f>Table3.110[[#This Row],[GP 8-24h, ml]]-(AVERAGE(AF$11,AF$12,AF$62,AF$61,AF$114,AF$115))*$AG$8</f>
        <v>28.81247184961266</v>
      </c>
      <c r="AI79" s="94">
        <f>Table3.110[[#This Row],[Net gas 8-24h, ml]]+Table3.110[[#This Row],[Net gas 8h, ml]]</f>
        <v>55.157451581333774</v>
      </c>
      <c r="AJ79" s="94">
        <f>Table3.110[[#This Row],[Net gas 8h, ml]]*Table3.110[[#This Row],[CH4 8h %]]%</f>
        <v>4.0307818989533306</v>
      </c>
      <c r="AK79" s="94">
        <f>Table3.110[[#This Row],[Net gas 8-24h, ml]]*Table3.110[[#This Row],[CH4 24h, %]]%</f>
        <v>5.5319945951256306</v>
      </c>
      <c r="AL79" s="94">
        <f>Table3.110[[#This Row],[CH4 8-24h, ml]]+Table3.110[[#This Row],[CH4 8h, ml]]</f>
        <v>9.5627764940789604</v>
      </c>
      <c r="AM79" s="94">
        <f>(Table3.110[[#This Row],[Net gas 24h, ml]]/Table3.110[[#This Row],[DM Incubated, mg]])*1000</f>
        <v>117.57987662516503</v>
      </c>
      <c r="AN79" s="94">
        <f>'3.2 Digest'!X79</f>
        <v>43.445644469889103</v>
      </c>
      <c r="AO79" s="94">
        <f>Table3.110[[#This Row],[Digested feed, mg]]/Table3.110[[#This Row],[Net gas 24h, ml]]</f>
        <v>3.694989799010441</v>
      </c>
      <c r="AP79" s="94">
        <f>Table3.110[[#This Row],[CH4 8h, ml]]/Table3.110[[#This Row],[Net gas 8h, ml]]%</f>
        <v>15.3</v>
      </c>
      <c r="AQ79" s="94">
        <f>Table3.110[[#This Row],[CH4 24h, ml]]/Table3.110[[#This Row],[Net gas 24h, ml]]%</f>
        <v>17.337234081560013</v>
      </c>
      <c r="AR79" s="94">
        <f>Table3.110[[#This Row],[CH4 24h, ml]]/Table3.110[[#This Row],[DM Incubated, mg]]*1000</f>
        <v>20.385098443314323</v>
      </c>
      <c r="AS79" s="94">
        <f>Table3.110[[#This Row],[CH4 24h, ml]]/Table3.110[[#This Row],[Digested feed, mg]]*1000</f>
        <v>46.9209254277322</v>
      </c>
      <c r="AT79" s="94">
        <f>Table3.110[[#This Row],[CH4 24h, ml]]/'3.2 Digest'!AA79</f>
        <v>3.0883855653297059</v>
      </c>
      <c r="AU79" s="94">
        <f>((Table3.110[[#This Row],[CH4 24h, ml]]/28.9)*16.04)/Table3.110[[#This Row],[DM Incubated, mg]]*1000</f>
        <v>11.314082319403523</v>
      </c>
      <c r="AV79" s="94">
        <f>((Table3.110[[#This Row],[CH4 24h, ml]]/28.9)*16.04)/Table3.110[[#This Row],[Digested feed, mg]]*1000</f>
        <v>26.041925393108119</v>
      </c>
    </row>
    <row r="80" spans="2:48" s="89" customFormat="1" x14ac:dyDescent="0.35">
      <c r="B80" s="90">
        <f t="shared" si="1"/>
        <v>70</v>
      </c>
      <c r="C80" s="140">
        <v>46041</v>
      </c>
      <c r="D80" s="6" t="s">
        <v>16</v>
      </c>
      <c r="E80" s="6" t="s">
        <v>72</v>
      </c>
      <c r="F80" s="133" t="s">
        <v>19</v>
      </c>
      <c r="G80" s="133" t="s">
        <v>73</v>
      </c>
      <c r="H80" s="133" t="s">
        <v>74</v>
      </c>
      <c r="I80" s="6" t="s">
        <v>22</v>
      </c>
      <c r="J80" s="129" t="s">
        <v>23</v>
      </c>
      <c r="K80" s="129" t="s">
        <v>24</v>
      </c>
      <c r="L80" s="6" t="s">
        <v>71</v>
      </c>
      <c r="M80" s="119">
        <v>27</v>
      </c>
      <c r="N80" s="93">
        <v>58</v>
      </c>
      <c r="O80" s="6">
        <v>1</v>
      </c>
      <c r="P80" s="129">
        <v>3</v>
      </c>
      <c r="Q80" s="6">
        <v>250</v>
      </c>
      <c r="R80" s="98">
        <v>0.50060000000000004</v>
      </c>
      <c r="S80" s="94">
        <f>((Table3.110[[#This Row],[Sample weight, g]]*'2.1. DM'!Q53)/100)*1000</f>
        <v>469.29371342681816</v>
      </c>
      <c r="T80" s="94">
        <f>'3.2 Digest'!W80</f>
        <v>115.99371342681809</v>
      </c>
      <c r="U80" s="117">
        <v>0.39374999999999999</v>
      </c>
      <c r="V80" s="155">
        <v>41.5</v>
      </c>
      <c r="W80" s="117">
        <v>0.72847222222222219</v>
      </c>
      <c r="X80" s="97">
        <v>72</v>
      </c>
      <c r="Y80" s="97">
        <v>16.600000000000001</v>
      </c>
      <c r="Z80" s="155">
        <v>42</v>
      </c>
      <c r="AA80" s="117">
        <v>0.39513888888888887</v>
      </c>
      <c r="AB80" s="155">
        <v>73.5</v>
      </c>
      <c r="AC80" s="155">
        <v>19.2</v>
      </c>
      <c r="AD80" s="96"/>
      <c r="AE80" s="94">
        <f>Table3.110[[#This Row],[Gas 8h, ml]]-Table3.110[[#This Row],[Gas 0h, ml]]</f>
        <v>30.5</v>
      </c>
      <c r="AF80" s="94">
        <f>Table3.110[[#This Row],[Gas 24h, ml]]-Table3.110[[#This Row],[V8 Push back, ml]]</f>
        <v>31.5</v>
      </c>
      <c r="AG80" s="94">
        <f>Table3.110[[#This Row],[GP 8h, ml]]-(AVERAGE(AE$11,AE$12,AE$62,AE$61,AE$114,AE$115))*$AG$8</f>
        <v>27.844979731721114</v>
      </c>
      <c r="AH80" s="94">
        <f>Table3.110[[#This Row],[GP 8-24h, ml]]-(AVERAGE(AF$11,AF$12,AF$62,AF$61,AF$114,AF$115))*$AG$8</f>
        <v>27.81247184961266</v>
      </c>
      <c r="AI80" s="94">
        <f>Table3.110[[#This Row],[Net gas 8-24h, ml]]+Table3.110[[#This Row],[Net gas 8h, ml]]</f>
        <v>55.657451581333774</v>
      </c>
      <c r="AJ80" s="94">
        <f>Table3.110[[#This Row],[Net gas 8h, ml]]*Table3.110[[#This Row],[CH4 8h %]]%</f>
        <v>4.6222666354657056</v>
      </c>
      <c r="AK80" s="94">
        <f>Table3.110[[#This Row],[Net gas 8-24h, ml]]*Table3.110[[#This Row],[CH4 24h, %]]%</f>
        <v>5.3399945951256305</v>
      </c>
      <c r="AL80" s="94">
        <f>Table3.110[[#This Row],[CH4 8-24h, ml]]+Table3.110[[#This Row],[CH4 8h, ml]]</f>
        <v>9.9622612305913361</v>
      </c>
      <c r="AM80" s="94">
        <f>(Table3.110[[#This Row],[Net gas 24h, ml]]/Table3.110[[#This Row],[DM Incubated, mg]])*1000</f>
        <v>118.59833189521943</v>
      </c>
      <c r="AN80" s="94">
        <f>'3.2 Digest'!X80</f>
        <v>24.716656138396406</v>
      </c>
      <c r="AO80" s="94">
        <f>Table3.110[[#This Row],[Digested feed, mg]]/Table3.110[[#This Row],[Net gas 24h, ml]]</f>
        <v>2.0840643998461421</v>
      </c>
      <c r="AP80" s="94">
        <f>Table3.110[[#This Row],[CH4 8h, ml]]/Table3.110[[#This Row],[Net gas 8h, ml]]%</f>
        <v>16.600000000000001</v>
      </c>
      <c r="AQ80" s="94">
        <f>Table3.110[[#This Row],[CH4 24h, ml]]/Table3.110[[#This Row],[Net gas 24h, ml]]%</f>
        <v>17.899240708197372</v>
      </c>
      <c r="AR80" s="94">
        <f>Table3.110[[#This Row],[CH4 24h, ml]]/Table3.110[[#This Row],[DM Incubated, mg]]*1000</f>
        <v>21.228200901832142</v>
      </c>
      <c r="AS80" s="94">
        <f>Table3.110[[#This Row],[CH4 24h, ml]]/Table3.110[[#This Row],[Digested feed, mg]]*1000</f>
        <v>85.88621690154487</v>
      </c>
      <c r="AT80" s="94">
        <f>Table3.110[[#This Row],[CH4 24h, ml]]/'3.2 Digest'!AA80</f>
        <v>-0.34358540436412427</v>
      </c>
      <c r="AU80" s="94">
        <f>((Table3.110[[#This Row],[CH4 24h, ml]]/28.9)*16.04)/Table3.110[[#This Row],[DM Incubated, mg]]*1000</f>
        <v>11.782018770428635</v>
      </c>
      <c r="AV80" s="94">
        <f>((Table3.110[[#This Row],[CH4 24h, ml]]/28.9)*16.04)/Table3.110[[#This Row],[Digested feed, mg]]*1000</f>
        <v>47.66833630106504</v>
      </c>
    </row>
    <row r="81" spans="2:48" s="89" customFormat="1" x14ac:dyDescent="0.35">
      <c r="B81" s="90">
        <f t="shared" si="1"/>
        <v>71</v>
      </c>
      <c r="C81" s="140">
        <v>46041</v>
      </c>
      <c r="D81" s="6" t="s">
        <v>16</v>
      </c>
      <c r="E81" s="6" t="s">
        <v>76</v>
      </c>
      <c r="F81" s="133" t="s">
        <v>19</v>
      </c>
      <c r="G81" s="133" t="s">
        <v>20</v>
      </c>
      <c r="H81" s="133" t="s">
        <v>21</v>
      </c>
      <c r="I81" s="6" t="s">
        <v>22</v>
      </c>
      <c r="J81" s="129" t="s">
        <v>23</v>
      </c>
      <c r="K81" s="129" t="s">
        <v>24</v>
      </c>
      <c r="L81" s="6" t="s">
        <v>75</v>
      </c>
      <c r="M81" s="119">
        <v>27</v>
      </c>
      <c r="N81" s="93">
        <v>58</v>
      </c>
      <c r="O81" s="6">
        <v>1</v>
      </c>
      <c r="P81" s="129">
        <v>1</v>
      </c>
      <c r="Q81" s="6">
        <v>251</v>
      </c>
      <c r="R81" s="98">
        <v>0.50049999999999994</v>
      </c>
      <c r="S81" s="94">
        <f>((Table3.110[[#This Row],[Sample weight, g]]*'2.1. DM'!Q55)/100)*1000</f>
        <v>467.52200346396097</v>
      </c>
      <c r="T81" s="94">
        <f>'3.2 Digest'!W81</f>
        <v>36.122003463960993</v>
      </c>
      <c r="U81" s="153">
        <v>0.39374999999999999</v>
      </c>
      <c r="V81" s="155">
        <v>42</v>
      </c>
      <c r="W81" s="153">
        <v>0.72916666666666663</v>
      </c>
      <c r="X81" s="95">
        <v>66</v>
      </c>
      <c r="Y81" s="95">
        <v>15.4</v>
      </c>
      <c r="Z81" s="154">
        <v>40.5</v>
      </c>
      <c r="AA81" s="153">
        <v>0.39513888888888887</v>
      </c>
      <c r="AB81" s="154">
        <v>64.5</v>
      </c>
      <c r="AC81" s="154">
        <v>17.5</v>
      </c>
      <c r="AD81" s="91"/>
      <c r="AE81" s="94">
        <f>Table3.110[[#This Row],[Gas 8h, ml]]-Table3.110[[#This Row],[Gas 0h, ml]]</f>
        <v>24</v>
      </c>
      <c r="AF81" s="94">
        <f>Table3.110[[#This Row],[Gas 24h, ml]]-Table3.110[[#This Row],[V8 Push back, ml]]</f>
        <v>24</v>
      </c>
      <c r="AG81" s="94">
        <f>Table3.110[[#This Row],[GP 8h, ml]]-(AVERAGE(AE$11,AE$12,AE$62,AE$61,AE$114,AE$115))*$AG$8</f>
        <v>21.344979731721114</v>
      </c>
      <c r="AH81" s="94">
        <f>Table3.110[[#This Row],[GP 8-24h, ml]]-(AVERAGE(AF$11,AF$12,AF$62,AF$61,AF$114,AF$115))*$AG$8</f>
        <v>20.31247184961266</v>
      </c>
      <c r="AI81" s="94">
        <f>Table3.110[[#This Row],[Net gas 8-24h, ml]]+Table3.110[[#This Row],[Net gas 8h, ml]]</f>
        <v>41.657451581333774</v>
      </c>
      <c r="AJ81" s="94">
        <f>Table3.110[[#This Row],[Net gas 8h, ml]]*Table3.110[[#This Row],[CH4 8h %]]%</f>
        <v>3.2871268786850516</v>
      </c>
      <c r="AK81" s="94">
        <f>Table3.110[[#This Row],[Net gas 8-24h, ml]]*Table3.110[[#This Row],[CH4 24h, %]]%</f>
        <v>3.5546825736822152</v>
      </c>
      <c r="AL81" s="94">
        <f>Table3.110[[#This Row],[CH4 8-24h, ml]]+Table3.110[[#This Row],[CH4 8h, ml]]</f>
        <v>6.8418094523672668</v>
      </c>
      <c r="AM81" s="94">
        <f>(Table3.110[[#This Row],[Net gas 24h, ml]]/Table3.110[[#This Row],[DM Incubated, mg]])*1000</f>
        <v>89.102654576010664</v>
      </c>
      <c r="AN81" s="94">
        <f>'3.2 Digest'!X81</f>
        <v>7.7262681106613345</v>
      </c>
      <c r="AO81" s="94">
        <f>Table3.110[[#This Row],[Digested feed, mg]]/Table3.110[[#This Row],[Net gas 24h, ml]]</f>
        <v>0.86711985713852091</v>
      </c>
      <c r="AP81" s="94">
        <f>Table3.110[[#This Row],[CH4 8h, ml]]/Table3.110[[#This Row],[Net gas 8h, ml]]%</f>
        <v>15.4</v>
      </c>
      <c r="AQ81" s="94">
        <f>Table3.110[[#This Row],[CH4 24h, ml]]/Table3.110[[#This Row],[Net gas 24h, ml]]%</f>
        <v>16.42397504563866</v>
      </c>
      <c r="AR81" s="94">
        <f>Table3.110[[#This Row],[CH4 24h, ml]]/Table3.110[[#This Row],[DM Incubated, mg]]*1000</f>
        <v>14.634197752565605</v>
      </c>
      <c r="AS81" s="94">
        <f>Table3.110[[#This Row],[CH4 24h, ml]]/Table3.110[[#This Row],[Digested feed, mg]]*1000</f>
        <v>189.40836045246925</v>
      </c>
      <c r="AT81" s="94">
        <f>Table3.110[[#This Row],[CH4 24h, ml]]/'3.2 Digest'!AA81</f>
        <v>-0.14960794154139762</v>
      </c>
      <c r="AU81" s="94">
        <f>((Table3.110[[#This Row],[CH4 24h, ml]]/28.9)*16.04)/Table3.110[[#This Row],[DM Incubated, mg]]*1000</f>
        <v>8.1222329394862385</v>
      </c>
      <c r="AV81" s="94">
        <f>((Table3.110[[#This Row],[CH4 24h, ml]]/28.9)*16.04)/Table3.110[[#This Row],[Digested feed, mg]]*1000</f>
        <v>105.12491701237393</v>
      </c>
    </row>
    <row r="82" spans="2:48" s="89" customFormat="1" x14ac:dyDescent="0.35">
      <c r="B82" s="90">
        <f t="shared" si="1"/>
        <v>72</v>
      </c>
      <c r="C82" s="140">
        <v>46041</v>
      </c>
      <c r="D82" s="6" t="s">
        <v>16</v>
      </c>
      <c r="E82" s="6" t="s">
        <v>76</v>
      </c>
      <c r="F82" s="133" t="s">
        <v>19</v>
      </c>
      <c r="G82" s="133" t="s">
        <v>20</v>
      </c>
      <c r="H82" s="133" t="s">
        <v>21</v>
      </c>
      <c r="I82" s="6" t="s">
        <v>22</v>
      </c>
      <c r="J82" s="129" t="s">
        <v>23</v>
      </c>
      <c r="K82" s="129" t="s">
        <v>24</v>
      </c>
      <c r="L82" s="6" t="s">
        <v>75</v>
      </c>
      <c r="M82" s="119">
        <v>27</v>
      </c>
      <c r="N82" s="93">
        <v>58</v>
      </c>
      <c r="O82" s="6">
        <v>1</v>
      </c>
      <c r="P82" s="129">
        <v>2</v>
      </c>
      <c r="Q82" s="6">
        <v>252</v>
      </c>
      <c r="R82" s="98">
        <v>0.50019999999999998</v>
      </c>
      <c r="S82" s="94">
        <f>((Table3.110[[#This Row],[Sample weight, g]]*'2.1. DM'!Q55)/100)*1000</f>
        <v>467.24177049485172</v>
      </c>
      <c r="T82" s="94">
        <f>'3.2 Digest'!W82</f>
        <v>88.341770494851687</v>
      </c>
      <c r="U82" s="117">
        <v>0.39444444444444443</v>
      </c>
      <c r="V82" s="155">
        <v>42</v>
      </c>
      <c r="W82" s="117">
        <v>0.72986111111111107</v>
      </c>
      <c r="X82" s="97">
        <v>67.5</v>
      </c>
      <c r="Y82" s="97">
        <v>14.8</v>
      </c>
      <c r="Z82" s="155">
        <v>41</v>
      </c>
      <c r="AA82" s="117">
        <v>0.39513888888888887</v>
      </c>
      <c r="AB82" s="155">
        <v>63.5</v>
      </c>
      <c r="AC82" s="155">
        <v>17.399999999999999</v>
      </c>
      <c r="AD82" s="96"/>
      <c r="AE82" s="94">
        <f>Table3.110[[#This Row],[Gas 8h, ml]]-Table3.110[[#This Row],[Gas 0h, ml]]</f>
        <v>25.5</v>
      </c>
      <c r="AF82" s="94">
        <f>Table3.110[[#This Row],[Gas 24h, ml]]-Table3.110[[#This Row],[V8 Push back, ml]]</f>
        <v>22.5</v>
      </c>
      <c r="AG82" s="94">
        <f>Table3.110[[#This Row],[GP 8h, ml]]-(AVERAGE(AE$11,AE$12,AE$62,AE$61,AE$114,AE$115))*$AG$8</f>
        <v>22.844979731721114</v>
      </c>
      <c r="AH82" s="94">
        <f>Table3.110[[#This Row],[GP 8-24h, ml]]-(AVERAGE(AF$11,AF$12,AF$62,AF$61,AF$114,AF$115))*$AG$8</f>
        <v>18.81247184961266</v>
      </c>
      <c r="AI82" s="94">
        <f>Table3.110[[#This Row],[Net gas 8-24h, ml]]+Table3.110[[#This Row],[Net gas 8h, ml]]</f>
        <v>41.657451581333774</v>
      </c>
      <c r="AJ82" s="94">
        <f>Table3.110[[#This Row],[Net gas 8h, ml]]*Table3.110[[#This Row],[CH4 8h %]]%</f>
        <v>3.3810570002947253</v>
      </c>
      <c r="AK82" s="94">
        <f>Table3.110[[#This Row],[Net gas 8-24h, ml]]*Table3.110[[#This Row],[CH4 24h, %]]%</f>
        <v>3.2733701018326027</v>
      </c>
      <c r="AL82" s="94">
        <f>Table3.110[[#This Row],[CH4 8-24h, ml]]+Table3.110[[#This Row],[CH4 8h, ml]]</f>
        <v>6.654427102127328</v>
      </c>
      <c r="AM82" s="94">
        <f>(Table3.110[[#This Row],[Net gas 24h, ml]]/Table3.110[[#This Row],[DM Incubated, mg]])*1000</f>
        <v>89.156094792669606</v>
      </c>
      <c r="AN82" s="94">
        <f>'3.2 Digest'!X82</f>
        <v>18.907078962843944</v>
      </c>
      <c r="AO82" s="94">
        <f>Table3.110[[#This Row],[Digested feed, mg]]/Table3.110[[#This Row],[Net gas 24h, ml]]</f>
        <v>2.1206715039293624</v>
      </c>
      <c r="AP82" s="94">
        <f>Table3.110[[#This Row],[CH4 8h, ml]]/Table3.110[[#This Row],[Net gas 8h, ml]]%</f>
        <v>14.8</v>
      </c>
      <c r="AQ82" s="94">
        <f>Table3.110[[#This Row],[CH4 24h, ml]]/Table3.110[[#This Row],[Net gas 24h, ml]]%</f>
        <v>15.974157922586652</v>
      </c>
      <c r="AR82" s="94">
        <f>Table3.110[[#This Row],[CH4 24h, ml]]/Table3.110[[#This Row],[DM Incubated, mg]]*1000</f>
        <v>14.241935379792098</v>
      </c>
      <c r="AS82" s="94">
        <f>Table3.110[[#This Row],[CH4 24h, ml]]/Table3.110[[#This Row],[Digested feed, mg]]*1000</f>
        <v>75.325942245125489</v>
      </c>
      <c r="AT82" s="94">
        <f>Table3.110[[#This Row],[CH4 24h, ml]]/'3.2 Digest'!AA82</f>
        <v>-0.23703765385360803</v>
      </c>
      <c r="AU82" s="94">
        <f>((Table3.110[[#This Row],[CH4 24h, ml]]/28.9)*16.04)/Table3.110[[#This Row],[DM Incubated, mg]]*1000</f>
        <v>7.9045205360507005</v>
      </c>
      <c r="AV82" s="94">
        <f>((Table3.110[[#This Row],[CH4 24h, ml]]/28.9)*16.04)/Table3.110[[#This Row],[Digested feed, mg]]*1000</f>
        <v>41.807201163038499</v>
      </c>
    </row>
    <row r="83" spans="2:48" s="89" customFormat="1" x14ac:dyDescent="0.35">
      <c r="B83" s="90">
        <f t="shared" si="1"/>
        <v>73</v>
      </c>
      <c r="C83" s="140">
        <v>46041</v>
      </c>
      <c r="D83" s="6" t="s">
        <v>16</v>
      </c>
      <c r="E83" s="6" t="s">
        <v>76</v>
      </c>
      <c r="F83" s="133" t="s">
        <v>19</v>
      </c>
      <c r="G83" s="133" t="s">
        <v>20</v>
      </c>
      <c r="H83" s="133" t="s">
        <v>21</v>
      </c>
      <c r="I83" s="6" t="s">
        <v>22</v>
      </c>
      <c r="J83" s="129" t="s">
        <v>23</v>
      </c>
      <c r="K83" s="129" t="s">
        <v>24</v>
      </c>
      <c r="L83" s="6" t="s">
        <v>75</v>
      </c>
      <c r="M83" s="119">
        <v>27</v>
      </c>
      <c r="N83" s="93">
        <v>58</v>
      </c>
      <c r="O83" s="6">
        <v>1</v>
      </c>
      <c r="P83" s="129">
        <v>3</v>
      </c>
      <c r="Q83" s="6">
        <v>253</v>
      </c>
      <c r="R83" s="98">
        <v>0.50019999999999998</v>
      </c>
      <c r="S83" s="94">
        <f>((Table3.110[[#This Row],[Sample weight, g]]*'2.1. DM'!Q55)/100)*1000</f>
        <v>467.24177049485172</v>
      </c>
      <c r="T83" s="94">
        <f>'3.2 Digest'!W83</f>
        <v>0</v>
      </c>
      <c r="U83" s="153">
        <v>0.39444444444444443</v>
      </c>
      <c r="V83" s="155">
        <v>41.5</v>
      </c>
      <c r="W83" s="153">
        <v>0.72986111111111107</v>
      </c>
      <c r="X83" s="95">
        <v>65</v>
      </c>
      <c r="Y83" s="95">
        <v>15.7</v>
      </c>
      <c r="Z83" s="154">
        <v>42.5</v>
      </c>
      <c r="AA83" s="153">
        <v>0.39583333333333331</v>
      </c>
      <c r="AB83" s="154">
        <v>67</v>
      </c>
      <c r="AC83" s="154">
        <v>8.3000000000000007</v>
      </c>
      <c r="AD83" s="91"/>
      <c r="AE83" s="94">
        <f>Table3.110[[#This Row],[Gas 8h, ml]]-Table3.110[[#This Row],[Gas 0h, ml]]</f>
        <v>23.5</v>
      </c>
      <c r="AF83" s="94">
        <f>Table3.110[[#This Row],[Gas 24h, ml]]-Table3.110[[#This Row],[V8 Push back, ml]]</f>
        <v>24.5</v>
      </c>
      <c r="AG83" s="94"/>
      <c r="AH83" s="94"/>
      <c r="AI83" s="94"/>
      <c r="AJ83" s="94"/>
      <c r="AK83" s="94"/>
      <c r="AL83" s="94"/>
      <c r="AM83" s="94"/>
      <c r="AN83" s="94"/>
      <c r="AO83" s="94"/>
      <c r="AP83" s="94"/>
      <c r="AQ83" s="94"/>
      <c r="AR83" s="94"/>
      <c r="AS83" s="94"/>
      <c r="AT83" s="94"/>
      <c r="AU83" s="94"/>
      <c r="AV83" s="94"/>
    </row>
    <row r="84" spans="2:48" s="89" customFormat="1" x14ac:dyDescent="0.35">
      <c r="B84" s="90">
        <f t="shared" si="1"/>
        <v>74</v>
      </c>
      <c r="C84" s="140">
        <v>46041</v>
      </c>
      <c r="D84" s="6" t="s">
        <v>16</v>
      </c>
      <c r="E84" s="6" t="s">
        <v>78</v>
      </c>
      <c r="F84" s="133" t="s">
        <v>79</v>
      </c>
      <c r="G84" s="133" t="s">
        <v>80</v>
      </c>
      <c r="H84" s="133" t="s">
        <v>81</v>
      </c>
      <c r="I84" s="6" t="s">
        <v>22</v>
      </c>
      <c r="J84" s="129" t="s">
        <v>23</v>
      </c>
      <c r="K84" s="129" t="s">
        <v>24</v>
      </c>
      <c r="L84" s="6" t="s">
        <v>77</v>
      </c>
      <c r="M84" s="119">
        <v>27</v>
      </c>
      <c r="N84" s="93">
        <v>58</v>
      </c>
      <c r="O84" s="6">
        <v>1</v>
      </c>
      <c r="P84" s="129">
        <v>1</v>
      </c>
      <c r="Q84" s="6">
        <v>254</v>
      </c>
      <c r="R84" s="98">
        <v>0.50029999999999997</v>
      </c>
      <c r="S84" s="94">
        <f>((Table3.110[[#This Row],[Sample weight, g]]*'2.1. DM'!Q57)/100)*1000</f>
        <v>473.41696714935352</v>
      </c>
      <c r="T84" s="94">
        <f>'3.2 Digest'!W84</f>
        <v>185.21696714935354</v>
      </c>
      <c r="U84" s="117">
        <v>0.39513888888888887</v>
      </c>
      <c r="V84" s="155">
        <v>40.5</v>
      </c>
      <c r="W84" s="117">
        <v>0.73055555555555551</v>
      </c>
      <c r="X84" s="97">
        <v>65.5</v>
      </c>
      <c r="Y84" s="97">
        <v>12.9</v>
      </c>
      <c r="Z84" s="155">
        <v>40</v>
      </c>
      <c r="AA84" s="117">
        <v>0.39652777777777776</v>
      </c>
      <c r="AB84" s="155">
        <v>62.5</v>
      </c>
      <c r="AC84" s="155">
        <v>16.7</v>
      </c>
      <c r="AD84" s="96"/>
      <c r="AE84" s="94">
        <f>Table3.110[[#This Row],[Gas 8h, ml]]-Table3.110[[#This Row],[Gas 0h, ml]]</f>
        <v>25</v>
      </c>
      <c r="AF84" s="94">
        <f>Table3.110[[#This Row],[Gas 24h, ml]]-Table3.110[[#This Row],[V8 Push back, ml]]</f>
        <v>22.5</v>
      </c>
      <c r="AG84" s="94">
        <f>Table3.110[[#This Row],[GP 8h, ml]]-(AVERAGE(AE$11,AE$12,AE$62,AE$61,AE$114,AE$115))*$AG$8</f>
        <v>22.344979731721114</v>
      </c>
      <c r="AH84" s="94">
        <f>Table3.110[[#This Row],[GP 8-24h, ml]]-(AVERAGE(AF$11,AF$12,AF$62,AF$61,AF$114,AF$115))*$AG$8</f>
        <v>18.81247184961266</v>
      </c>
      <c r="AI84" s="94">
        <f>Table3.110[[#This Row],[Net gas 8-24h, ml]]+Table3.110[[#This Row],[Net gas 8h, ml]]</f>
        <v>41.157451581333774</v>
      </c>
      <c r="AJ84" s="94">
        <f>Table3.110[[#This Row],[Net gas 8h, ml]]*Table3.110[[#This Row],[CH4 8h %]]%</f>
        <v>2.8825023853920237</v>
      </c>
      <c r="AK84" s="94">
        <f>Table3.110[[#This Row],[Net gas 8-24h, ml]]*Table3.110[[#This Row],[CH4 24h, %]]%</f>
        <v>3.1416827988853138</v>
      </c>
      <c r="AL84" s="94">
        <f>Table3.110[[#This Row],[CH4 8-24h, ml]]+Table3.110[[#This Row],[CH4 8h, ml]]</f>
        <v>6.0241851842773375</v>
      </c>
      <c r="AM84" s="94">
        <f>(Table3.110[[#This Row],[Net gas 24h, ml]]/Table3.110[[#This Row],[DM Incubated, mg]])*1000</f>
        <v>86.937001496081635</v>
      </c>
      <c r="AN84" s="94">
        <f>'3.2 Digest'!X84</f>
        <v>39.123432407719619</v>
      </c>
      <c r="AO84" s="94">
        <f>Table3.110[[#This Row],[Digested feed, mg]]/Table3.110[[#This Row],[Net gas 24h, ml]]</f>
        <v>4.500204945472265</v>
      </c>
      <c r="AP84" s="94">
        <f>Table3.110[[#This Row],[CH4 8h, ml]]/Table3.110[[#This Row],[Net gas 8h, ml]]%</f>
        <v>12.9</v>
      </c>
      <c r="AQ84" s="94">
        <f>Table3.110[[#This Row],[CH4 24h, ml]]/Table3.110[[#This Row],[Net gas 24h, ml]]%</f>
        <v>14.636924670548598</v>
      </c>
      <c r="AR84" s="94">
        <f>Table3.110[[#This Row],[CH4 24h, ml]]/Table3.110[[#This Row],[DM Incubated, mg]]*1000</f>
        <v>12.724903419815176</v>
      </c>
      <c r="AS84" s="94">
        <f>Table3.110[[#This Row],[CH4 24h, ml]]/Table3.110[[#This Row],[Digested feed, mg]]*1000</f>
        <v>32.525017966737416</v>
      </c>
      <c r="AT84" s="94">
        <f>Table3.110[[#This Row],[CH4 24h, ml]]/'3.2 Digest'!AA84</f>
        <v>-0.19177114920053953</v>
      </c>
      <c r="AU84" s="94">
        <f>((Table3.110[[#This Row],[CH4 24h, ml]]/28.9)*16.04)/Table3.110[[#This Row],[DM Incubated, mg]]*1000</f>
        <v>7.0625415520358272</v>
      </c>
      <c r="AV84" s="94">
        <f>((Table3.110[[#This Row],[CH4 24h, ml]]/28.9)*16.04)/Table3.110[[#This Row],[Digested feed, mg]]*1000</f>
        <v>18.051947688113081</v>
      </c>
    </row>
    <row r="85" spans="2:48" s="89" customFormat="1" x14ac:dyDescent="0.35">
      <c r="B85" s="90">
        <f t="shared" si="1"/>
        <v>75</v>
      </c>
      <c r="C85" s="140">
        <v>46041</v>
      </c>
      <c r="D85" s="6" t="s">
        <v>16</v>
      </c>
      <c r="E85" s="6" t="s">
        <v>78</v>
      </c>
      <c r="F85" s="133" t="s">
        <v>79</v>
      </c>
      <c r="G85" s="133" t="s">
        <v>80</v>
      </c>
      <c r="H85" s="133" t="s">
        <v>81</v>
      </c>
      <c r="I85" s="6" t="s">
        <v>22</v>
      </c>
      <c r="J85" s="129" t="s">
        <v>23</v>
      </c>
      <c r="K85" s="129" t="s">
        <v>24</v>
      </c>
      <c r="L85" s="6" t="s">
        <v>77</v>
      </c>
      <c r="M85" s="119">
        <v>27</v>
      </c>
      <c r="N85" s="93">
        <v>58</v>
      </c>
      <c r="O85" s="6">
        <v>1</v>
      </c>
      <c r="P85" s="129">
        <v>2</v>
      </c>
      <c r="Q85" s="6">
        <v>255</v>
      </c>
      <c r="R85" s="98">
        <v>0.50060000000000004</v>
      </c>
      <c r="S85" s="94">
        <f>((Table3.110[[#This Row],[Sample weight, g]]*'2.1. DM'!Q57)/100)*1000</f>
        <v>473.7008470017318</v>
      </c>
      <c r="T85" s="94">
        <f>'3.2 Digest'!W85</f>
        <v>217.90084700173188</v>
      </c>
      <c r="U85" s="153">
        <v>0.39513888888888887</v>
      </c>
      <c r="V85" s="155">
        <v>41</v>
      </c>
      <c r="W85" s="153">
        <v>0.73055555555555551</v>
      </c>
      <c r="X85" s="95">
        <v>65</v>
      </c>
      <c r="Y85" s="95">
        <v>11.8</v>
      </c>
      <c r="Z85" s="154">
        <v>40</v>
      </c>
      <c r="AA85" s="153">
        <v>0.40069444444444446</v>
      </c>
      <c r="AB85" s="154">
        <v>57.5</v>
      </c>
      <c r="AC85" s="154">
        <v>5.4</v>
      </c>
      <c r="AD85" s="91"/>
      <c r="AE85" s="94">
        <f>Table3.110[[#This Row],[Gas 8h, ml]]-Table3.110[[#This Row],[Gas 0h, ml]]</f>
        <v>24</v>
      </c>
      <c r="AF85" s="94">
        <f>Table3.110[[#This Row],[Gas 24h, ml]]-Table3.110[[#This Row],[V8 Push back, ml]]</f>
        <v>17.5</v>
      </c>
      <c r="AG85" s="94">
        <f>Table3.110[[#This Row],[GP 8h, ml]]-(AVERAGE(AE$11,AE$12,AE$62,AE$61,AE$114,AE$115))*$AG$8</f>
        <v>21.344979731721114</v>
      </c>
      <c r="AH85" s="94">
        <f>Table3.110[[#This Row],[GP 8-24h, ml]]-(AVERAGE(AF$11,AF$12,AF$62,AF$61,AF$114,AF$115))*$AG$8</f>
        <v>13.81247184961266</v>
      </c>
      <c r="AI85" s="94">
        <f>Table3.110[[#This Row],[Net gas 8-24h, ml]]+Table3.110[[#This Row],[Net gas 8h, ml]]</f>
        <v>35.157451581333774</v>
      </c>
      <c r="AJ85" s="94">
        <f>Table3.110[[#This Row],[Net gas 8h, ml]]*Table3.110[[#This Row],[CH4 8h %]]%</f>
        <v>2.5187076083430915</v>
      </c>
      <c r="AK85" s="94">
        <f>Table3.110[[#This Row],[Net gas 8-24h, ml]]*Table3.110[[#This Row],[CH4 24h, %]]%</f>
        <v>0.7458734798790837</v>
      </c>
      <c r="AL85" s="94">
        <f>Table3.110[[#This Row],[CH4 8-24h, ml]]+Table3.110[[#This Row],[CH4 8h, ml]]</f>
        <v>3.2645810882221751</v>
      </c>
      <c r="AM85" s="94">
        <f>(Table3.110[[#This Row],[Net gas 24h, ml]]/Table3.110[[#This Row],[DM Incubated, mg]])*1000</f>
        <v>74.21868000418678</v>
      </c>
      <c r="AN85" s="94">
        <f>'3.2 Digest'!X85</f>
        <v>45.999674347412608</v>
      </c>
      <c r="AO85" s="94">
        <f>Table3.110[[#This Row],[Digested feed, mg]]/Table3.110[[#This Row],[Net gas 24h, ml]]</f>
        <v>6.197856704648709</v>
      </c>
      <c r="AP85" s="94">
        <f>Table3.110[[#This Row],[CH4 8h, ml]]/Table3.110[[#This Row],[Net gas 8h, ml]]%</f>
        <v>11.8</v>
      </c>
      <c r="AQ85" s="94">
        <f>Table3.110[[#This Row],[CH4 24h, ml]]/Table3.110[[#This Row],[Net gas 24h, ml]]%</f>
        <v>9.2856021736098935</v>
      </c>
      <c r="AR85" s="94">
        <f>Table3.110[[#This Row],[CH4 24h, ml]]/Table3.110[[#This Row],[DM Incubated, mg]]*1000</f>
        <v>6.8916513636933399</v>
      </c>
      <c r="AS85" s="94">
        <f>Table3.110[[#This Row],[CH4 24h, ml]]/Table3.110[[#This Row],[Digested feed, mg]]*1000</f>
        <v>14.98195685396408</v>
      </c>
      <c r="AT85" s="94">
        <f>Table3.110[[#This Row],[CH4 24h, ml]]/'3.2 Digest'!AA85</f>
        <v>-0.19702043920757356</v>
      </c>
      <c r="AU85" s="94">
        <f>((Table3.110[[#This Row],[CH4 24h, ml]]/28.9)*16.04)/Table3.110[[#This Row],[DM Incubated, mg]]*1000</f>
        <v>3.8249857395723588</v>
      </c>
      <c r="AV85" s="94">
        <f>((Table3.110[[#This Row],[CH4 24h, ml]]/28.9)*16.04)/Table3.110[[#This Row],[Digested feed, mg]]*1000</f>
        <v>8.3152452573558424</v>
      </c>
    </row>
    <row r="86" spans="2:48" s="89" customFormat="1" x14ac:dyDescent="0.35">
      <c r="B86" s="90">
        <f t="shared" si="1"/>
        <v>76</v>
      </c>
      <c r="C86" s="140">
        <v>46041</v>
      </c>
      <c r="D86" s="6" t="s">
        <v>16</v>
      </c>
      <c r="E86" s="6" t="s">
        <v>78</v>
      </c>
      <c r="F86" s="133" t="s">
        <v>79</v>
      </c>
      <c r="G86" s="133" t="s">
        <v>80</v>
      </c>
      <c r="H86" s="133" t="s">
        <v>81</v>
      </c>
      <c r="I86" s="6" t="s">
        <v>22</v>
      </c>
      <c r="J86" s="129" t="s">
        <v>23</v>
      </c>
      <c r="K86" s="129" t="s">
        <v>24</v>
      </c>
      <c r="L86" s="6" t="s">
        <v>77</v>
      </c>
      <c r="M86" s="119">
        <v>27</v>
      </c>
      <c r="N86" s="93">
        <v>58</v>
      </c>
      <c r="O86" s="6">
        <v>1</v>
      </c>
      <c r="P86" s="129">
        <v>3</v>
      </c>
      <c r="Q86" s="6">
        <v>256</v>
      </c>
      <c r="R86" s="98">
        <v>0.50029999999999997</v>
      </c>
      <c r="S86" s="94">
        <f>((Table3.110[[#This Row],[Sample weight, g]]*'2.1. DM'!Q57)/100)*1000</f>
        <v>473.41696714935352</v>
      </c>
      <c r="T86" s="94">
        <f>'3.2 Digest'!W86</f>
        <v>248.11696714935346</v>
      </c>
      <c r="U86" s="117">
        <v>0.39513888888888887</v>
      </c>
      <c r="V86" s="155">
        <v>42</v>
      </c>
      <c r="W86" s="117">
        <v>0.73124999999999996</v>
      </c>
      <c r="X86" s="97">
        <v>66</v>
      </c>
      <c r="Y86" s="97">
        <v>12.6</v>
      </c>
      <c r="Z86" s="155">
        <v>41</v>
      </c>
      <c r="AA86" s="117">
        <v>0.40138888888888891</v>
      </c>
      <c r="AB86" s="155">
        <v>58.5</v>
      </c>
      <c r="AC86" s="155">
        <v>6.1</v>
      </c>
      <c r="AD86" s="96"/>
      <c r="AE86" s="94">
        <f>Table3.110[[#This Row],[Gas 8h, ml]]-Table3.110[[#This Row],[Gas 0h, ml]]</f>
        <v>24</v>
      </c>
      <c r="AF86" s="94">
        <f>Table3.110[[#This Row],[Gas 24h, ml]]-Table3.110[[#This Row],[V8 Push back, ml]]</f>
        <v>17.5</v>
      </c>
      <c r="AG86" s="94">
        <f>Table3.110[[#This Row],[GP 8h, ml]]-(AVERAGE(AE$11,AE$12,AE$62,AE$61,AE$114,AE$115))*$AG$8</f>
        <v>21.344979731721114</v>
      </c>
      <c r="AH86" s="94">
        <f>Table3.110[[#This Row],[GP 8-24h, ml]]-(AVERAGE(AF$11,AF$12,AF$62,AF$61,AF$114,AF$115))*$AG$8</f>
        <v>13.81247184961266</v>
      </c>
      <c r="AI86" s="94">
        <f>Table3.110[[#This Row],[Net gas 8-24h, ml]]+Table3.110[[#This Row],[Net gas 8h, ml]]</f>
        <v>35.157451581333774</v>
      </c>
      <c r="AJ86" s="94">
        <f>Table3.110[[#This Row],[Net gas 8h, ml]]*Table3.110[[#This Row],[CH4 8h %]]%</f>
        <v>2.6894674461968604</v>
      </c>
      <c r="AK86" s="94">
        <f>Table3.110[[#This Row],[Net gas 8-24h, ml]]*Table3.110[[#This Row],[CH4 24h, %]]%</f>
        <v>0.84256078282637226</v>
      </c>
      <c r="AL86" s="94">
        <f>Table3.110[[#This Row],[CH4 8-24h, ml]]+Table3.110[[#This Row],[CH4 8h, ml]]</f>
        <v>3.5320282290232328</v>
      </c>
      <c r="AM86" s="94">
        <f>(Table3.110[[#This Row],[Net gas 24h, ml]]/Table3.110[[#This Row],[DM Incubated, mg]])*1000</f>
        <v>74.263184509486123</v>
      </c>
      <c r="AN86" s="94">
        <f>'3.2 Digest'!X86</f>
        <v>52.409817215333888</v>
      </c>
      <c r="AO86" s="94">
        <f>Table3.110[[#This Row],[Digested feed, mg]]/Table3.110[[#This Row],[Net gas 24h, ml]]</f>
        <v>7.057308080915818</v>
      </c>
      <c r="AP86" s="94">
        <f>Table3.110[[#This Row],[CH4 8h, ml]]/Table3.110[[#This Row],[Net gas 8h, ml]]%</f>
        <v>12.6</v>
      </c>
      <c r="AQ86" s="94">
        <f>Table3.110[[#This Row],[CH4 24h, ml]]/Table3.110[[#This Row],[Net gas 24h, ml]]%</f>
        <v>10.046314707572549</v>
      </c>
      <c r="AR86" s="94">
        <f>Table3.110[[#This Row],[CH4 24h, ml]]/Table3.110[[#This Row],[DM Incubated, mg]]*1000</f>
        <v>7.4607132276882444</v>
      </c>
      <c r="AS86" s="94">
        <f>Table3.110[[#This Row],[CH4 24h, ml]]/Table3.110[[#This Row],[Digested feed, mg]]*1000</f>
        <v>14.235335332376268</v>
      </c>
      <c r="AT86" s="94">
        <f>Table3.110[[#This Row],[CH4 24h, ml]]/'3.2 Digest'!AA86</f>
        <v>-1.2927076703147125</v>
      </c>
      <c r="AU86" s="94">
        <f>((Table3.110[[#This Row],[CH4 24h, ml]]/28.9)*16.04)/Table3.110[[#This Row],[DM Incubated, mg]]*1000</f>
        <v>4.1408249194505</v>
      </c>
      <c r="AV86" s="94">
        <f>((Table3.110[[#This Row],[CH4 24h, ml]]/28.9)*16.04)/Table3.110[[#This Row],[Digested feed, mg]]*1000</f>
        <v>7.9008573955472432</v>
      </c>
    </row>
    <row r="87" spans="2:48" s="89" customFormat="1" x14ac:dyDescent="0.35">
      <c r="B87" s="90">
        <f t="shared" si="1"/>
        <v>77</v>
      </c>
      <c r="C87" s="140">
        <v>46041</v>
      </c>
      <c r="D87" s="6" t="s">
        <v>16</v>
      </c>
      <c r="E87" s="6" t="s">
        <v>83</v>
      </c>
      <c r="F87" s="133" t="s">
        <v>84</v>
      </c>
      <c r="G87" s="133" t="s">
        <v>67</v>
      </c>
      <c r="H87" s="133" t="s">
        <v>85</v>
      </c>
      <c r="I87" s="6" t="s">
        <v>22</v>
      </c>
      <c r="J87" s="129" t="s">
        <v>23</v>
      </c>
      <c r="K87" s="129" t="s">
        <v>24</v>
      </c>
      <c r="L87" s="6" t="s">
        <v>82</v>
      </c>
      <c r="M87" s="119">
        <v>27</v>
      </c>
      <c r="N87" s="93">
        <v>58</v>
      </c>
      <c r="O87" s="6">
        <v>1</v>
      </c>
      <c r="P87" s="129">
        <v>1</v>
      </c>
      <c r="Q87" s="6">
        <v>257</v>
      </c>
      <c r="R87" s="98">
        <v>0.50049999999999994</v>
      </c>
      <c r="S87" s="94">
        <f>((Table3.110[[#This Row],[Sample weight, g]]*'2.1. DM'!Q59)/100)*1000</f>
        <v>467.55524506815914</v>
      </c>
      <c r="T87" s="94">
        <f>'3.2 Digest'!W87</f>
        <v>178.85524506815921</v>
      </c>
      <c r="U87" s="153">
        <v>0.39513888888888887</v>
      </c>
      <c r="V87" s="155">
        <v>41.5</v>
      </c>
      <c r="W87" s="153">
        <v>0.73124999999999996</v>
      </c>
      <c r="X87" s="95">
        <v>79</v>
      </c>
      <c r="Y87" s="95">
        <v>12.9</v>
      </c>
      <c r="Z87" s="154">
        <v>40</v>
      </c>
      <c r="AA87" s="153">
        <v>0.40486111111111112</v>
      </c>
      <c r="AB87" s="154">
        <v>70</v>
      </c>
      <c r="AC87" s="154">
        <v>15.7</v>
      </c>
      <c r="AD87" s="91"/>
      <c r="AE87" s="94">
        <f>Table3.110[[#This Row],[Gas 8h, ml]]-Table3.110[[#This Row],[Gas 0h, ml]]</f>
        <v>37.5</v>
      </c>
      <c r="AF87" s="94">
        <f>Table3.110[[#This Row],[Gas 24h, ml]]-Table3.110[[#This Row],[V8 Push back, ml]]</f>
        <v>30</v>
      </c>
      <c r="AG87" s="94">
        <f>Table3.110[[#This Row],[GP 8h, ml]]-(AVERAGE(AE$11,AE$12,AE$62,AE$61,AE$114,AE$115))*$AG$8</f>
        <v>34.844979731721118</v>
      </c>
      <c r="AH87" s="94">
        <f>Table3.110[[#This Row],[GP 8-24h, ml]]-(AVERAGE(AF$11,AF$12,AF$62,AF$61,AF$114,AF$115))*$AG$8</f>
        <v>26.31247184961266</v>
      </c>
      <c r="AI87" s="94">
        <f>Table3.110[[#This Row],[Net gas 8-24h, ml]]+Table3.110[[#This Row],[Net gas 8h, ml]]</f>
        <v>61.157451581333774</v>
      </c>
      <c r="AJ87" s="94">
        <f>Table3.110[[#This Row],[Net gas 8h, ml]]*Table3.110[[#This Row],[CH4 8h %]]%</f>
        <v>4.4950023853920245</v>
      </c>
      <c r="AK87" s="94">
        <f>Table3.110[[#This Row],[Net gas 8-24h, ml]]*Table3.110[[#This Row],[CH4 24h, %]]%</f>
        <v>4.1310580803891872</v>
      </c>
      <c r="AL87" s="94">
        <f>Table3.110[[#This Row],[CH4 8-24h, ml]]+Table3.110[[#This Row],[CH4 8h, ml]]</f>
        <v>8.6260604657812117</v>
      </c>
      <c r="AM87" s="94">
        <f>(Table3.110[[#This Row],[Net gas 24h, ml]]/Table3.110[[#This Row],[DM Incubated, mg]])*1000</f>
        <v>130.80262113714153</v>
      </c>
      <c r="AN87" s="94">
        <f>'3.2 Digest'!X87</f>
        <v>38.253285992350719</v>
      </c>
      <c r="AO87" s="94">
        <f>Table3.110[[#This Row],[Digested feed, mg]]/Table3.110[[#This Row],[Net gas 24h, ml]]</f>
        <v>2.9245045443121223</v>
      </c>
      <c r="AP87" s="94">
        <f>Table3.110[[#This Row],[CH4 8h, ml]]/Table3.110[[#This Row],[Net gas 8h, ml]]%</f>
        <v>12.900000000000002</v>
      </c>
      <c r="AQ87" s="94">
        <f>Table3.110[[#This Row],[CH4 24h, ml]]/Table3.110[[#This Row],[Net gas 24h, ml]]%</f>
        <v>14.104676115075439</v>
      </c>
      <c r="AR87" s="94">
        <f>Table3.110[[#This Row],[CH4 24h, ml]]/Table3.110[[#This Row],[DM Incubated, mg]]*1000</f>
        <v>18.449286061423017</v>
      </c>
      <c r="AS87" s="94">
        <f>Table3.110[[#This Row],[CH4 24h, ml]]/Table3.110[[#This Row],[Digested feed, mg]]*1000</f>
        <v>48.229284315894354</v>
      </c>
      <c r="AT87" s="94">
        <f>Table3.110[[#This Row],[CH4 24h, ml]]/'3.2 Digest'!AA87</f>
        <v>-0.37168315786121697</v>
      </c>
      <c r="AU87" s="94">
        <f>((Table3.110[[#This Row],[CH4 24h, ml]]/28.9)*16.04)/Table3.110[[#This Row],[DM Incubated, mg]]*1000</f>
        <v>10.239672955890146</v>
      </c>
      <c r="AV87" s="94">
        <f>((Table3.110[[#This Row],[CH4 24h, ml]]/28.9)*16.04)/Table3.110[[#This Row],[Digested feed, mg]]*1000</f>
        <v>26.768087212005035</v>
      </c>
    </row>
    <row r="88" spans="2:48" s="89" customFormat="1" x14ac:dyDescent="0.35">
      <c r="B88" s="90">
        <f t="shared" si="1"/>
        <v>78</v>
      </c>
      <c r="C88" s="140">
        <v>46041</v>
      </c>
      <c r="D88" s="6" t="s">
        <v>16</v>
      </c>
      <c r="E88" s="6" t="s">
        <v>83</v>
      </c>
      <c r="F88" s="133" t="s">
        <v>84</v>
      </c>
      <c r="G88" s="133" t="s">
        <v>67</v>
      </c>
      <c r="H88" s="133" t="s">
        <v>85</v>
      </c>
      <c r="I88" s="6" t="s">
        <v>22</v>
      </c>
      <c r="J88" s="129" t="s">
        <v>23</v>
      </c>
      <c r="K88" s="129" t="s">
        <v>24</v>
      </c>
      <c r="L88" s="6" t="s">
        <v>82</v>
      </c>
      <c r="M88" s="119">
        <v>27</v>
      </c>
      <c r="N88" s="93">
        <v>58</v>
      </c>
      <c r="O88" s="6">
        <v>1</v>
      </c>
      <c r="P88" s="129">
        <v>2</v>
      </c>
      <c r="Q88" s="6">
        <v>258</v>
      </c>
      <c r="R88" s="98">
        <v>0.5</v>
      </c>
      <c r="S88" s="94">
        <f>((Table3.110[[#This Row],[Sample weight, g]]*'2.1. DM'!Q59)/100)*1000</f>
        <v>467.08815691124801</v>
      </c>
      <c r="T88" s="94">
        <f>'3.2 Digest'!W88</f>
        <v>214.08815691124801</v>
      </c>
      <c r="U88" s="117">
        <v>0.39652777777777776</v>
      </c>
      <c r="V88" s="155">
        <v>41</v>
      </c>
      <c r="W88" s="117">
        <v>0.7319444444444444</v>
      </c>
      <c r="X88" s="97">
        <v>75.5</v>
      </c>
      <c r="Y88" s="97">
        <v>14.4</v>
      </c>
      <c r="Z88" s="155">
        <v>40.5</v>
      </c>
      <c r="AA88" s="117">
        <v>0.40555555555555556</v>
      </c>
      <c r="AB88" s="155">
        <v>72.5</v>
      </c>
      <c r="AC88" s="155">
        <v>15.7</v>
      </c>
      <c r="AD88" s="96"/>
      <c r="AE88" s="94">
        <f>Table3.110[[#This Row],[Gas 8h, ml]]-Table3.110[[#This Row],[Gas 0h, ml]]</f>
        <v>34.5</v>
      </c>
      <c r="AF88" s="94">
        <f>Table3.110[[#This Row],[Gas 24h, ml]]-Table3.110[[#This Row],[V8 Push back, ml]]</f>
        <v>32</v>
      </c>
      <c r="AG88" s="94">
        <f>Table3.110[[#This Row],[GP 8h, ml]]-(AVERAGE(AE$11,AE$12,AE$62,AE$61,AE$114,AE$115))*$AG$8</f>
        <v>31.844979731721114</v>
      </c>
      <c r="AH88" s="94">
        <f>Table3.110[[#This Row],[GP 8-24h, ml]]-(AVERAGE(AF$11,AF$12,AF$62,AF$61,AF$114,AF$115))*$AG$8</f>
        <v>28.31247184961266</v>
      </c>
      <c r="AI88" s="94">
        <f>Table3.110[[#This Row],[Net gas 8-24h, ml]]+Table3.110[[#This Row],[Net gas 8h, ml]]</f>
        <v>60.157451581333774</v>
      </c>
      <c r="AJ88" s="94">
        <f>Table3.110[[#This Row],[Net gas 8h, ml]]*Table3.110[[#This Row],[CH4 8h %]]%</f>
        <v>4.5856770813678409</v>
      </c>
      <c r="AK88" s="94">
        <f>Table3.110[[#This Row],[Net gas 8-24h, ml]]*Table3.110[[#This Row],[CH4 24h, %]]%</f>
        <v>4.4450580803891873</v>
      </c>
      <c r="AL88" s="94">
        <f>Table3.110[[#This Row],[CH4 8-24h, ml]]+Table3.110[[#This Row],[CH4 8h, ml]]</f>
        <v>9.0307351617570291</v>
      </c>
      <c r="AM88" s="94">
        <f>(Table3.110[[#This Row],[Net gas 24h, ml]]/Table3.110[[#This Row],[DM Incubated, mg]])*1000</f>
        <v>128.79250028333379</v>
      </c>
      <c r="AN88" s="94">
        <f>'3.2 Digest'!X88</f>
        <v>45.834636083896072</v>
      </c>
      <c r="AO88" s="94">
        <f>Table3.110[[#This Row],[Digested feed, mg]]/Table3.110[[#This Row],[Net gas 24h, ml]]</f>
        <v>3.558796978322754</v>
      </c>
      <c r="AP88" s="94">
        <f>Table3.110[[#This Row],[CH4 8h, ml]]/Table3.110[[#This Row],[Net gas 8h, ml]]%</f>
        <v>14.400000000000002</v>
      </c>
      <c r="AQ88" s="94">
        <f>Table3.110[[#This Row],[CH4 24h, ml]]/Table3.110[[#This Row],[Net gas 24h, ml]]%</f>
        <v>15.011831326576958</v>
      </c>
      <c r="AR88" s="94">
        <f>Table3.110[[#This Row],[CH4 24h, ml]]/Table3.110[[#This Row],[DM Incubated, mg]]*1000</f>
        <v>19.334112903815221</v>
      </c>
      <c r="AS88" s="94">
        <f>Table3.110[[#This Row],[CH4 24h, ml]]/Table3.110[[#This Row],[Digested feed, mg]]*1000</f>
        <v>42.182320087424522</v>
      </c>
      <c r="AT88" s="94">
        <f>Table3.110[[#This Row],[CH4 24h, ml]]/'3.2 Digest'!AA88</f>
        <v>-1.1176051930010635</v>
      </c>
      <c r="AU88" s="94">
        <f>((Table3.110[[#This Row],[CH4 24h, ml]]/28.9)*16.04)/Table3.110[[#This Row],[DM Incubated, mg]]*1000</f>
        <v>10.730767161840697</v>
      </c>
      <c r="AV88" s="94">
        <f>((Table3.110[[#This Row],[CH4 24h, ml]]/28.9)*16.04)/Table3.110[[#This Row],[Digested feed, mg]]*1000</f>
        <v>23.411917446445997</v>
      </c>
    </row>
    <row r="89" spans="2:48" s="89" customFormat="1" x14ac:dyDescent="0.35">
      <c r="B89" s="90">
        <f t="shared" si="1"/>
        <v>79</v>
      </c>
      <c r="C89" s="140">
        <v>46041</v>
      </c>
      <c r="D89" s="6" t="s">
        <v>16</v>
      </c>
      <c r="E89" s="6" t="s">
        <v>83</v>
      </c>
      <c r="F89" s="133" t="s">
        <v>84</v>
      </c>
      <c r="G89" s="133" t="s">
        <v>67</v>
      </c>
      <c r="H89" s="133" t="s">
        <v>85</v>
      </c>
      <c r="I89" s="6" t="s">
        <v>22</v>
      </c>
      <c r="J89" s="129" t="s">
        <v>23</v>
      </c>
      <c r="K89" s="129" t="s">
        <v>24</v>
      </c>
      <c r="L89" s="6" t="s">
        <v>82</v>
      </c>
      <c r="M89" s="119">
        <v>27</v>
      </c>
      <c r="N89" s="93">
        <v>58</v>
      </c>
      <c r="O89" s="6">
        <v>1</v>
      </c>
      <c r="P89" s="129">
        <v>3</v>
      </c>
      <c r="Q89" s="6">
        <v>259</v>
      </c>
      <c r="R89" s="98">
        <v>0.50029999999999997</v>
      </c>
      <c r="S89" s="94">
        <f>((Table3.110[[#This Row],[Sample weight, g]]*'2.1. DM'!Q59)/100)*1000</f>
        <v>467.36840980539466</v>
      </c>
      <c r="T89" s="94">
        <f>'3.2 Digest'!W89</f>
        <v>248.86840980539463</v>
      </c>
      <c r="U89" s="153">
        <v>0.38333333333333336</v>
      </c>
      <c r="V89" s="155">
        <v>41.5</v>
      </c>
      <c r="W89" s="153">
        <v>0.73263888888888884</v>
      </c>
      <c r="X89" s="95">
        <v>79.5</v>
      </c>
      <c r="Y89" s="95">
        <v>13.2</v>
      </c>
      <c r="Z89" s="154">
        <v>40.5</v>
      </c>
      <c r="AA89" s="153">
        <v>0.40625</v>
      </c>
      <c r="AB89" s="154">
        <v>72.5</v>
      </c>
      <c r="AC89" s="154">
        <v>15.6</v>
      </c>
      <c r="AD89" s="91"/>
      <c r="AE89" s="94">
        <f>Table3.110[[#This Row],[Gas 8h, ml]]-Table3.110[[#This Row],[Gas 0h, ml]]</f>
        <v>38</v>
      </c>
      <c r="AF89" s="94">
        <f>Table3.110[[#This Row],[Gas 24h, ml]]-Table3.110[[#This Row],[V8 Push back, ml]]</f>
        <v>32</v>
      </c>
      <c r="AG89" s="94">
        <f>Table3.110[[#This Row],[GP 8h, ml]]-(AVERAGE(AE$11,AE$12,AE$62,AE$61,AE$114,AE$115))*$AG$8</f>
        <v>35.344979731721118</v>
      </c>
      <c r="AH89" s="94">
        <f>Table3.110[[#This Row],[GP 8-24h, ml]]-(AVERAGE(AF$11,AF$12,AF$62,AF$61,AF$114,AF$115))*$AG$8</f>
        <v>28.31247184961266</v>
      </c>
      <c r="AI89" s="94">
        <f>Table3.110[[#This Row],[Net gas 8-24h, ml]]+Table3.110[[#This Row],[Net gas 8h, ml]]</f>
        <v>63.657451581333774</v>
      </c>
      <c r="AJ89" s="94">
        <f>Table3.110[[#This Row],[Net gas 8h, ml]]*Table3.110[[#This Row],[CH4 8h %]]%</f>
        <v>4.6655373245871878</v>
      </c>
      <c r="AK89" s="94">
        <f>Table3.110[[#This Row],[Net gas 8-24h, ml]]*Table3.110[[#This Row],[CH4 24h, %]]%</f>
        <v>4.4167456085395749</v>
      </c>
      <c r="AL89" s="94">
        <f>Table3.110[[#This Row],[CH4 8-24h, ml]]+Table3.110[[#This Row],[CH4 8h, ml]]</f>
        <v>9.0822829331267627</v>
      </c>
      <c r="AM89" s="94">
        <f>(Table3.110[[#This Row],[Net gas 24h, ml]]/Table3.110[[#This Row],[DM Incubated, mg]])*1000</f>
        <v>136.20401003961695</v>
      </c>
      <c r="AN89" s="94">
        <f>'3.2 Digest'!X89</f>
        <v>53.248872748806406</v>
      </c>
      <c r="AO89" s="94">
        <f>Table3.110[[#This Row],[Digested feed, mg]]/Table3.110[[#This Row],[Net gas 24h, ml]]</f>
        <v>3.9094937611101312</v>
      </c>
      <c r="AP89" s="94">
        <f>Table3.110[[#This Row],[CH4 8h, ml]]/Table3.110[[#This Row],[Net gas 8h, ml]]%</f>
        <v>13.200000000000001</v>
      </c>
      <c r="AQ89" s="94">
        <f>Table3.110[[#This Row],[CH4 24h, ml]]/Table3.110[[#This Row],[Net gas 24h, ml]]%</f>
        <v>14.267430925227226</v>
      </c>
      <c r="AR89" s="94">
        <f>Table3.110[[#This Row],[CH4 24h, ml]]/Table3.110[[#This Row],[DM Incubated, mg]]*1000</f>
        <v>19.4328130497919</v>
      </c>
      <c r="AS89" s="94">
        <f>Table3.110[[#This Row],[CH4 24h, ml]]/Table3.110[[#This Row],[Digested feed, mg]]*1000</f>
        <v>36.494318182965664</v>
      </c>
      <c r="AT89" s="94">
        <f>Table3.110[[#This Row],[CH4 24h, ml]]/'3.2 Digest'!AA89</f>
        <v>1.3527826077581286</v>
      </c>
      <c r="AU89" s="94">
        <f>((Table3.110[[#This Row],[CH4 24h, ml]]/28.9)*16.04)/Table3.110[[#This Row],[DM Incubated, mg]]*1000</f>
        <v>10.785547450472738</v>
      </c>
      <c r="AV89" s="94">
        <f>((Table3.110[[#This Row],[CH4 24h, ml]]/28.9)*16.04)/Table3.110[[#This Row],[Digested feed, mg]]*1000</f>
        <v>20.25497798113388</v>
      </c>
    </row>
    <row r="90" spans="2:48" s="89" customFormat="1" x14ac:dyDescent="0.35">
      <c r="B90" s="90">
        <f t="shared" si="1"/>
        <v>80</v>
      </c>
      <c r="C90" s="140">
        <v>46041</v>
      </c>
      <c r="D90" s="6" t="s">
        <v>16</v>
      </c>
      <c r="E90" s="6" t="s">
        <v>87</v>
      </c>
      <c r="F90" s="133" t="s">
        <v>88</v>
      </c>
      <c r="G90" s="133" t="s">
        <v>89</v>
      </c>
      <c r="H90" s="133" t="s">
        <v>90</v>
      </c>
      <c r="I90" s="6" t="s">
        <v>22</v>
      </c>
      <c r="J90" s="129" t="s">
        <v>23</v>
      </c>
      <c r="K90" s="129" t="s">
        <v>24</v>
      </c>
      <c r="L90" s="6" t="s">
        <v>86</v>
      </c>
      <c r="M90" s="119">
        <v>27</v>
      </c>
      <c r="N90" s="93">
        <v>58</v>
      </c>
      <c r="O90" s="6">
        <v>1</v>
      </c>
      <c r="P90" s="129">
        <v>1</v>
      </c>
      <c r="Q90" s="6">
        <v>260</v>
      </c>
      <c r="R90" s="98">
        <v>0.5</v>
      </c>
      <c r="S90" s="94">
        <f>((Table3.110[[#This Row],[Sample weight, g]]*'2.1. DM'!Q61)/100)*1000</f>
        <v>468.97808438312296</v>
      </c>
      <c r="T90" s="94">
        <f>'3.2 Digest'!W90</f>
        <v>100.57808438312293</v>
      </c>
      <c r="U90" s="117">
        <v>0.39791666666666664</v>
      </c>
      <c r="V90" s="155">
        <v>40</v>
      </c>
      <c r="W90" s="117">
        <v>0.73263888888888884</v>
      </c>
      <c r="X90" s="97">
        <v>67.5</v>
      </c>
      <c r="Y90" s="97">
        <v>14.4</v>
      </c>
      <c r="Z90" s="155">
        <v>40</v>
      </c>
      <c r="AA90" s="117">
        <v>0.40694444444444444</v>
      </c>
      <c r="AB90" s="155">
        <v>59</v>
      </c>
      <c r="AC90" s="155">
        <v>18.100000000000001</v>
      </c>
      <c r="AD90" s="96"/>
      <c r="AE90" s="94">
        <f>Table3.110[[#This Row],[Gas 8h, ml]]-Table3.110[[#This Row],[Gas 0h, ml]]</f>
        <v>27.5</v>
      </c>
      <c r="AF90" s="94">
        <f>Table3.110[[#This Row],[Gas 24h, ml]]-Table3.110[[#This Row],[V8 Push back, ml]]</f>
        <v>19</v>
      </c>
      <c r="AG90" s="94">
        <f>Table3.110[[#This Row],[GP 8h, ml]]-(AVERAGE(AE$11,AE$12,AE$62,AE$61,AE$114,AE$115))*$AG$8</f>
        <v>24.844979731721114</v>
      </c>
      <c r="AH90" s="94">
        <f>Table3.110[[#This Row],[GP 8-24h, ml]]-(AVERAGE(AF$11,AF$12,AF$62,AF$61,AF$114,AF$115))*$AG$8</f>
        <v>15.31247184961266</v>
      </c>
      <c r="AI90" s="94">
        <f>Table3.110[[#This Row],[Net gas 8-24h, ml]]+Table3.110[[#This Row],[Net gas 8h, ml]]</f>
        <v>40.157451581333774</v>
      </c>
      <c r="AJ90" s="94">
        <f>Table3.110[[#This Row],[Net gas 8h, ml]]*Table3.110[[#This Row],[CH4 8h %]]%</f>
        <v>3.5776770813678409</v>
      </c>
      <c r="AK90" s="94">
        <f>Table3.110[[#This Row],[Net gas 8-24h, ml]]*Table3.110[[#This Row],[CH4 24h, %]]%</f>
        <v>2.7715574047798919</v>
      </c>
      <c r="AL90" s="94">
        <f>Table3.110[[#This Row],[CH4 8-24h, ml]]+Table3.110[[#This Row],[CH4 8h, ml]]</f>
        <v>6.3492344861477328</v>
      </c>
      <c r="AM90" s="94">
        <f>(Table3.110[[#This Row],[Net gas 24h, ml]]/Table3.110[[#This Row],[DM Incubated, mg]])*1000</f>
        <v>85.62756537793328</v>
      </c>
      <c r="AN90" s="94">
        <f>'3.2 Digest'!X90</f>
        <v>21.446222698320703</v>
      </c>
      <c r="AO90" s="94">
        <f>Table3.110[[#This Row],[Digested feed, mg]]/Table3.110[[#This Row],[Net gas 24h, ml]]</f>
        <v>2.504593305165665</v>
      </c>
      <c r="AP90" s="94">
        <f>Table3.110[[#This Row],[CH4 8h, ml]]/Table3.110[[#This Row],[Net gas 8h, ml]]%</f>
        <v>14.400000000000002</v>
      </c>
      <c r="AQ90" s="94">
        <f>Table3.110[[#This Row],[CH4 24h, ml]]/Table3.110[[#This Row],[Net gas 24h, ml]]%</f>
        <v>15.810850131483496</v>
      </c>
      <c r="AR90" s="94">
        <f>Table3.110[[#This Row],[CH4 24h, ml]]/Table3.110[[#This Row],[DM Incubated, mg]]*1000</f>
        <v>13.538446033143083</v>
      </c>
      <c r="AS90" s="94">
        <f>Table3.110[[#This Row],[CH4 24h, ml]]/Table3.110[[#This Row],[Digested feed, mg]]*1000</f>
        <v>63.127415133123563</v>
      </c>
      <c r="AT90" s="94">
        <f>Table3.110[[#This Row],[CH4 24h, ml]]/'3.2 Digest'!AA90</f>
        <v>-0.54330727290713821</v>
      </c>
      <c r="AU90" s="94">
        <f>((Table3.110[[#This Row],[CH4 24h, ml]]/28.9)*16.04)/Table3.110[[#This Row],[DM Incubated, mg]]*1000</f>
        <v>7.514071777564534</v>
      </c>
      <c r="AV90" s="94">
        <f>((Table3.110[[#This Row],[CH4 24h, ml]]/28.9)*16.04)/Table3.110[[#This Row],[Digested feed, mg]]*1000</f>
        <v>35.036807568695565</v>
      </c>
    </row>
    <row r="91" spans="2:48" s="89" customFormat="1" x14ac:dyDescent="0.35">
      <c r="B91" s="90">
        <f t="shared" si="1"/>
        <v>81</v>
      </c>
      <c r="C91" s="140">
        <v>46041</v>
      </c>
      <c r="D91" s="6" t="s">
        <v>16</v>
      </c>
      <c r="E91" s="6" t="s">
        <v>87</v>
      </c>
      <c r="F91" s="133" t="s">
        <v>88</v>
      </c>
      <c r="G91" s="133" t="s">
        <v>89</v>
      </c>
      <c r="H91" s="133" t="s">
        <v>90</v>
      </c>
      <c r="I91" s="6" t="s">
        <v>22</v>
      </c>
      <c r="J91" s="129" t="s">
        <v>23</v>
      </c>
      <c r="K91" s="129" t="s">
        <v>24</v>
      </c>
      <c r="L91" s="6" t="s">
        <v>86</v>
      </c>
      <c r="M91" s="119">
        <v>27</v>
      </c>
      <c r="N91" s="93">
        <v>58</v>
      </c>
      <c r="O91" s="6">
        <v>1</v>
      </c>
      <c r="P91" s="129">
        <v>2</v>
      </c>
      <c r="Q91" s="6">
        <v>261</v>
      </c>
      <c r="R91" s="98">
        <v>0.50060000000000004</v>
      </c>
      <c r="S91" s="94">
        <f>((Table3.110[[#This Row],[Sample weight, g]]*'2.1. DM'!Q61)/100)*1000</f>
        <v>469.54085808438271</v>
      </c>
      <c r="T91" s="94">
        <f>'3.2 Digest'!W91</f>
        <v>99.040858084382648</v>
      </c>
      <c r="U91" s="153">
        <v>0.39791666666666664</v>
      </c>
      <c r="V91" s="155">
        <v>40.5</v>
      </c>
      <c r="W91" s="153">
        <v>0.73402777777777772</v>
      </c>
      <c r="X91" s="95">
        <v>68.5</v>
      </c>
      <c r="Y91" s="95">
        <v>14.8</v>
      </c>
      <c r="Z91" s="154">
        <v>41</v>
      </c>
      <c r="AA91" s="153">
        <v>0.40694444444444444</v>
      </c>
      <c r="AB91" s="154">
        <v>61.5</v>
      </c>
      <c r="AC91" s="154">
        <v>18.3</v>
      </c>
      <c r="AD91" s="91"/>
      <c r="AE91" s="94">
        <f>Table3.110[[#This Row],[Gas 8h, ml]]-Table3.110[[#This Row],[Gas 0h, ml]]</f>
        <v>28</v>
      </c>
      <c r="AF91" s="94">
        <f>Table3.110[[#This Row],[Gas 24h, ml]]-Table3.110[[#This Row],[V8 Push back, ml]]</f>
        <v>20.5</v>
      </c>
      <c r="AG91" s="94">
        <f>Table3.110[[#This Row],[GP 8h, ml]]-(AVERAGE(AE$11,AE$12,AE$62,AE$61,AE$114,AE$115))*$AG$8</f>
        <v>25.344979731721114</v>
      </c>
      <c r="AH91" s="94">
        <f>Table3.110[[#This Row],[GP 8-24h, ml]]-(AVERAGE(AF$11,AF$12,AF$62,AF$61,AF$114,AF$115))*$AG$8</f>
        <v>16.81247184961266</v>
      </c>
      <c r="AI91" s="94">
        <f>Table3.110[[#This Row],[Net gas 8-24h, ml]]+Table3.110[[#This Row],[Net gas 8h, ml]]</f>
        <v>42.157451581333774</v>
      </c>
      <c r="AJ91" s="94">
        <f>Table3.110[[#This Row],[Net gas 8h, ml]]*Table3.110[[#This Row],[CH4 8h %]]%</f>
        <v>3.7510570002947254</v>
      </c>
      <c r="AK91" s="94">
        <f>Table3.110[[#This Row],[Net gas 8-24h, ml]]*Table3.110[[#This Row],[CH4 24h, %]]%</f>
        <v>3.0766823484791166</v>
      </c>
      <c r="AL91" s="94">
        <f>Table3.110[[#This Row],[CH4 8-24h, ml]]+Table3.110[[#This Row],[CH4 8h, ml]]</f>
        <v>6.827739348773842</v>
      </c>
      <c r="AM91" s="94">
        <f>(Table3.110[[#This Row],[Net gas 24h, ml]]/Table3.110[[#This Row],[DM Incubated, mg]])*1000</f>
        <v>89.784415680727662</v>
      </c>
      <c r="AN91" s="94">
        <f>'3.2 Digest'!X91</f>
        <v>21.093128825560843</v>
      </c>
      <c r="AO91" s="94">
        <f>Table3.110[[#This Row],[Digested feed, mg]]/Table3.110[[#This Row],[Net gas 24h, ml]]</f>
        <v>2.3493084702547669</v>
      </c>
      <c r="AP91" s="94">
        <f>Table3.110[[#This Row],[CH4 8h, ml]]/Table3.110[[#This Row],[Net gas 8h, ml]]%</f>
        <v>14.800000000000002</v>
      </c>
      <c r="AQ91" s="94">
        <f>Table3.110[[#This Row],[CH4 24h, ml]]/Table3.110[[#This Row],[Net gas 24h, ml]]%</f>
        <v>16.19580665496628</v>
      </c>
      <c r="AR91" s="94">
        <f>Table3.110[[#This Row],[CH4 24h, ml]]/Table3.110[[#This Row],[DM Incubated, mg]]*1000</f>
        <v>14.541310369941877</v>
      </c>
      <c r="AS91" s="94">
        <f>Table3.110[[#This Row],[CH4 24h, ml]]/Table3.110[[#This Row],[Digested feed, mg]]*1000</f>
        <v>68.938612617396956</v>
      </c>
      <c r="AT91" s="94">
        <f>Table3.110[[#This Row],[CH4 24h, ml]]/'3.2 Digest'!AA91</f>
        <v>-0.56018844052495653</v>
      </c>
      <c r="AU91" s="94">
        <f>((Table3.110[[#This Row],[CH4 24h, ml]]/28.9)*16.04)/Table3.110[[#This Row],[DM Incubated, mg]]*1000</f>
        <v>8.0706788350819281</v>
      </c>
      <c r="AV91" s="94">
        <f>((Table3.110[[#This Row],[CH4 24h, ml]]/28.9)*16.04)/Table3.110[[#This Row],[Digested feed, mg]]*1000</f>
        <v>38.262122712216161</v>
      </c>
    </row>
    <row r="92" spans="2:48" s="89" customFormat="1" x14ac:dyDescent="0.35">
      <c r="B92" s="90">
        <f t="shared" si="1"/>
        <v>82</v>
      </c>
      <c r="C92" s="140">
        <v>46041</v>
      </c>
      <c r="D92" s="6" t="s">
        <v>16</v>
      </c>
      <c r="E92" s="6" t="s">
        <v>87</v>
      </c>
      <c r="F92" s="133" t="s">
        <v>88</v>
      </c>
      <c r="G92" s="133" t="s">
        <v>89</v>
      </c>
      <c r="H92" s="133" t="s">
        <v>90</v>
      </c>
      <c r="I92" s="6" t="s">
        <v>22</v>
      </c>
      <c r="J92" s="129" t="s">
        <v>23</v>
      </c>
      <c r="K92" s="129" t="s">
        <v>24</v>
      </c>
      <c r="L92" s="6" t="s">
        <v>86</v>
      </c>
      <c r="M92" s="119">
        <v>27</v>
      </c>
      <c r="N92" s="93">
        <v>58</v>
      </c>
      <c r="O92" s="6">
        <v>1</v>
      </c>
      <c r="P92" s="129">
        <v>3</v>
      </c>
      <c r="Q92" s="6">
        <v>262</v>
      </c>
      <c r="R92" s="98">
        <v>0.50029999999999997</v>
      </c>
      <c r="S92" s="94">
        <f>((Table3.110[[#This Row],[Sample weight, g]]*'2.1. DM'!Q61)/100)*1000</f>
        <v>469.25947123375278</v>
      </c>
      <c r="T92" s="94">
        <f>'3.2 Digest'!W92</f>
        <v>66.559471233752845</v>
      </c>
      <c r="U92" s="117">
        <v>0.39791666666666664</v>
      </c>
      <c r="V92" s="155">
        <v>41</v>
      </c>
      <c r="W92" s="117">
        <v>0.73402777777777772</v>
      </c>
      <c r="X92" s="97">
        <v>71.5</v>
      </c>
      <c r="Y92" s="97">
        <v>13.7</v>
      </c>
      <c r="Z92" s="155">
        <v>41</v>
      </c>
      <c r="AA92" s="117">
        <v>0.40763888888888888</v>
      </c>
      <c r="AB92" s="155">
        <v>61</v>
      </c>
      <c r="AC92" s="155">
        <v>18.3</v>
      </c>
      <c r="AD92" s="96"/>
      <c r="AE92" s="94">
        <f>Table3.110[[#This Row],[Gas 8h, ml]]-Table3.110[[#This Row],[Gas 0h, ml]]</f>
        <v>30.5</v>
      </c>
      <c r="AF92" s="94">
        <f>Table3.110[[#This Row],[Gas 24h, ml]]-Table3.110[[#This Row],[V8 Push back, ml]]</f>
        <v>20</v>
      </c>
      <c r="AG92" s="94">
        <f>Table3.110[[#This Row],[GP 8h, ml]]-(AVERAGE(AE$11,AE$12,AE$62,AE$61,AE$114,AE$115))*$AG$8</f>
        <v>27.844979731721114</v>
      </c>
      <c r="AH92" s="94">
        <f>Table3.110[[#This Row],[GP 8-24h, ml]]-(AVERAGE(AF$11,AF$12,AF$62,AF$61,AF$114,AF$115))*$AG$8</f>
        <v>16.31247184961266</v>
      </c>
      <c r="AI92" s="94">
        <f>Table3.110[[#This Row],[Net gas 8-24h, ml]]+Table3.110[[#This Row],[Net gas 8h, ml]]</f>
        <v>44.157451581333774</v>
      </c>
      <c r="AJ92" s="94">
        <f>Table3.110[[#This Row],[Net gas 8h, ml]]*Table3.110[[#This Row],[CH4 8h %]]%</f>
        <v>3.8147622232457921</v>
      </c>
      <c r="AK92" s="94">
        <f>Table3.110[[#This Row],[Net gas 8-24h, ml]]*Table3.110[[#This Row],[CH4 24h, %]]%</f>
        <v>2.9851823484791167</v>
      </c>
      <c r="AL92" s="94">
        <f>Table3.110[[#This Row],[CH4 8-24h, ml]]+Table3.110[[#This Row],[CH4 8h, ml]]</f>
        <v>6.7999445717249092</v>
      </c>
      <c r="AM92" s="94">
        <f>(Table3.110[[#This Row],[Net gas 24h, ml]]/Table3.110[[#This Row],[DM Incubated, mg]])*1000</f>
        <v>94.100288408110941</v>
      </c>
      <c r="AN92" s="94">
        <f>'3.2 Digest'!X92</f>
        <v>14.183937738914063</v>
      </c>
      <c r="AO92" s="94">
        <f>Table3.110[[#This Row],[Digested feed, mg]]/Table3.110[[#This Row],[Net gas 24h, ml]]</f>
        <v>1.5073213885805141</v>
      </c>
      <c r="AP92" s="94">
        <f>Table3.110[[#This Row],[CH4 8h, ml]]/Table3.110[[#This Row],[Net gas 8h, ml]]%</f>
        <v>13.699999999999998</v>
      </c>
      <c r="AQ92" s="94">
        <f>Table3.110[[#This Row],[CH4 24h, ml]]/Table3.110[[#This Row],[Net gas 24h, ml]]%</f>
        <v>15.399313882958273</v>
      </c>
      <c r="AR92" s="94">
        <f>Table3.110[[#This Row],[CH4 24h, ml]]/Table3.110[[#This Row],[DM Incubated, mg]]*1000</f>
        <v>14.490798776734001</v>
      </c>
      <c r="AS92" s="94">
        <f>Table3.110[[#This Row],[CH4 24h, ml]]/Table3.110[[#This Row],[Digested feed, mg]]*1000</f>
        <v>102.16344038918089</v>
      </c>
      <c r="AT92" s="94">
        <f>Table3.110[[#This Row],[CH4 24h, ml]]/'3.2 Digest'!AA92</f>
        <v>-0.30892484276472937</v>
      </c>
      <c r="AU92" s="94">
        <f>((Table3.110[[#This Row],[CH4 24h, ml]]/28.9)*16.04)/Table3.110[[#This Row],[DM Incubated, mg]]*1000</f>
        <v>8.04264402694856</v>
      </c>
      <c r="AV92" s="94">
        <f>((Table3.110[[#This Row],[CH4 24h, ml]]/28.9)*16.04)/Table3.110[[#This Row],[Digested feed, mg]]*1000</f>
        <v>56.70247694956614</v>
      </c>
    </row>
    <row r="93" spans="2:48" s="89" customFormat="1" x14ac:dyDescent="0.35">
      <c r="B93" s="90">
        <f t="shared" si="1"/>
        <v>83</v>
      </c>
      <c r="C93" s="140">
        <v>46041</v>
      </c>
      <c r="D93" s="6" t="s">
        <v>16</v>
      </c>
      <c r="E93" s="6" t="s">
        <v>92</v>
      </c>
      <c r="F93" s="133" t="s">
        <v>79</v>
      </c>
      <c r="G93" s="133" t="s">
        <v>80</v>
      </c>
      <c r="H93" s="133" t="s">
        <v>81</v>
      </c>
      <c r="I93" s="6" t="s">
        <v>22</v>
      </c>
      <c r="J93" s="129" t="s">
        <v>23</v>
      </c>
      <c r="K93" s="129" t="s">
        <v>24</v>
      </c>
      <c r="L93" s="6" t="s">
        <v>91</v>
      </c>
      <c r="M93" s="119">
        <v>27</v>
      </c>
      <c r="N93" s="93">
        <v>58</v>
      </c>
      <c r="O93" s="6">
        <v>1</v>
      </c>
      <c r="P93" s="129">
        <v>1</v>
      </c>
      <c r="Q93" s="6">
        <v>263</v>
      </c>
      <c r="R93" s="98">
        <v>0.50019999999999998</v>
      </c>
      <c r="S93" s="94">
        <f>((Table3.110[[#This Row],[Sample weight, g]]*'2.1. DM'!Q63)/100)*1000</f>
        <v>465.05702578452906</v>
      </c>
      <c r="T93" s="94">
        <f>'3.2 Digest'!W93</f>
        <v>227.45702578452915</v>
      </c>
      <c r="U93" s="153">
        <v>0.39861111111111114</v>
      </c>
      <c r="V93" s="155">
        <v>41</v>
      </c>
      <c r="W93" s="153">
        <v>0.73402777777777772</v>
      </c>
      <c r="X93" s="95">
        <v>62</v>
      </c>
      <c r="Y93" s="95">
        <v>10.6</v>
      </c>
      <c r="Z93" s="154">
        <v>40</v>
      </c>
      <c r="AA93" s="153">
        <v>0.40833333333333333</v>
      </c>
      <c r="AB93" s="154">
        <v>57</v>
      </c>
      <c r="AC93" s="154">
        <v>4.4000000000000004</v>
      </c>
      <c r="AD93" s="91"/>
      <c r="AE93" s="94">
        <f>Table3.110[[#This Row],[Gas 8h, ml]]-Table3.110[[#This Row],[Gas 0h, ml]]</f>
        <v>21</v>
      </c>
      <c r="AF93" s="94">
        <f>Table3.110[[#This Row],[Gas 24h, ml]]-Table3.110[[#This Row],[V8 Push back, ml]]</f>
        <v>17</v>
      </c>
      <c r="AG93" s="94">
        <f>Table3.110[[#This Row],[GP 8h, ml]]-(AVERAGE(AE$11,AE$12,AE$62,AE$61,AE$114,AE$115))*$AG$8</f>
        <v>18.344979731721114</v>
      </c>
      <c r="AH93" s="94">
        <f>Table3.110[[#This Row],[GP 8-24h, ml]]-(AVERAGE(AF$11,AF$12,AF$62,AF$61,AF$114,AF$115))*$AG$8</f>
        <v>13.31247184961266</v>
      </c>
      <c r="AI93" s="94">
        <f>Table3.110[[#This Row],[Net gas 8-24h, ml]]+Table3.110[[#This Row],[Net gas 8h, ml]]</f>
        <v>31.657451581333774</v>
      </c>
      <c r="AJ93" s="94">
        <f>Table3.110[[#This Row],[Net gas 8h, ml]]*Table3.110[[#This Row],[CH4 8h %]]%</f>
        <v>1.9445678515624381</v>
      </c>
      <c r="AK93" s="94">
        <f>Table3.110[[#This Row],[Net gas 8-24h, ml]]*Table3.110[[#This Row],[CH4 24h, %]]%</f>
        <v>0.58574876138295706</v>
      </c>
      <c r="AL93" s="94">
        <f>Table3.110[[#This Row],[CH4 8-24h, ml]]+Table3.110[[#This Row],[CH4 8h, ml]]</f>
        <v>2.5303166129453949</v>
      </c>
      <c r="AM93" s="94">
        <f>(Table3.110[[#This Row],[Net gas 24h, ml]]/Table3.110[[#This Row],[DM Incubated, mg]])*1000</f>
        <v>68.072192927155896</v>
      </c>
      <c r="AN93" s="94">
        <f>'3.2 Digest'!X93</f>
        <v>48.909491346963307</v>
      </c>
      <c r="AO93" s="94">
        <f>Table3.110[[#This Row],[Digested feed, mg]]/Table3.110[[#This Row],[Net gas 24h, ml]]</f>
        <v>7.184944283975307</v>
      </c>
      <c r="AP93" s="94">
        <f>Table3.110[[#This Row],[CH4 8h, ml]]/Table3.110[[#This Row],[Net gas 8h, ml]]%</f>
        <v>10.6</v>
      </c>
      <c r="AQ93" s="94">
        <f>Table3.110[[#This Row],[CH4 24h, ml]]/Table3.110[[#This Row],[Net gas 24h, ml]]%</f>
        <v>7.9927994407400407</v>
      </c>
      <c r="AR93" s="94">
        <f>Table3.110[[#This Row],[CH4 24h, ml]]/Table3.110[[#This Row],[DM Incubated, mg]]*1000</f>
        <v>5.4408738555811977</v>
      </c>
      <c r="AS93" s="94">
        <f>Table3.110[[#This Row],[CH4 24h, ml]]/Table3.110[[#This Row],[Digested feed, mg]]*1000</f>
        <v>11.124372193903444</v>
      </c>
      <c r="AT93" s="94">
        <f>Table3.110[[#This Row],[CH4 24h, ml]]/'3.2 Digest'!AA93</f>
        <v>-0.53036689006796633</v>
      </c>
      <c r="AU93" s="94">
        <f>((Table3.110[[#This Row],[CH4 24h, ml]]/28.9)*16.04)/Table3.110[[#This Row],[DM Incubated, mg]]*1000</f>
        <v>3.0197791226132318</v>
      </c>
      <c r="AV93" s="94">
        <f>((Table3.110[[#This Row],[CH4 24h, ml]]/28.9)*16.04)/Table3.110[[#This Row],[Digested feed, mg]]*1000</f>
        <v>6.1742190308031573</v>
      </c>
    </row>
    <row r="94" spans="2:48" s="89" customFormat="1" x14ac:dyDescent="0.35">
      <c r="B94" s="90">
        <f t="shared" si="1"/>
        <v>84</v>
      </c>
      <c r="C94" s="140">
        <v>46041</v>
      </c>
      <c r="D94" s="6" t="s">
        <v>16</v>
      </c>
      <c r="E94" s="6" t="s">
        <v>92</v>
      </c>
      <c r="F94" s="133" t="s">
        <v>79</v>
      </c>
      <c r="G94" s="133" t="s">
        <v>80</v>
      </c>
      <c r="H94" s="133" t="s">
        <v>81</v>
      </c>
      <c r="I94" s="6" t="s">
        <v>22</v>
      </c>
      <c r="J94" s="129" t="s">
        <v>23</v>
      </c>
      <c r="K94" s="129" t="s">
        <v>24</v>
      </c>
      <c r="L94" s="6" t="s">
        <v>91</v>
      </c>
      <c r="M94" s="119">
        <v>27</v>
      </c>
      <c r="N94" s="93">
        <v>58</v>
      </c>
      <c r="O94" s="6">
        <v>1</v>
      </c>
      <c r="P94" s="129">
        <v>2</v>
      </c>
      <c r="Q94" s="6">
        <v>264</v>
      </c>
      <c r="R94" s="98">
        <v>0.50009999999999999</v>
      </c>
      <c r="S94" s="94">
        <f>((Table3.110[[#This Row],[Sample weight, g]]*'2.1. DM'!Q63)/100)*1000</f>
        <v>464.96405156905831</v>
      </c>
      <c r="T94" s="94">
        <f>'3.2 Digest'!W94</f>
        <v>247.86405156905835</v>
      </c>
      <c r="U94" s="117">
        <v>0.39861111111111114</v>
      </c>
      <c r="V94" s="155">
        <v>41</v>
      </c>
      <c r="W94" s="117">
        <v>0.73472222222222228</v>
      </c>
      <c r="X94" s="97">
        <v>57.5</v>
      </c>
      <c r="Y94" s="97">
        <v>10.6</v>
      </c>
      <c r="Z94" s="155">
        <v>39.5</v>
      </c>
      <c r="AA94" s="117">
        <v>0.40902777777777777</v>
      </c>
      <c r="AB94" s="155">
        <v>54</v>
      </c>
      <c r="AC94" s="155">
        <v>2</v>
      </c>
      <c r="AD94" s="96"/>
      <c r="AE94" s="94">
        <f>Table3.110[[#This Row],[Gas 8h, ml]]-Table3.110[[#This Row],[Gas 0h, ml]]</f>
        <v>16.5</v>
      </c>
      <c r="AF94" s="94">
        <f>Table3.110[[#This Row],[Gas 24h, ml]]-Table3.110[[#This Row],[V8 Push back, ml]]</f>
        <v>14.5</v>
      </c>
      <c r="AG94" s="94">
        <f>Table3.110[[#This Row],[GP 8h, ml]]-(AVERAGE(AE$11,AE$12,AE$62,AE$61,AE$114,AE$115))*$AG$8</f>
        <v>13.844979731721114</v>
      </c>
      <c r="AH94" s="94">
        <f>Table3.110[[#This Row],[GP 8-24h, ml]]-(AVERAGE(AF$11,AF$12,AF$62,AF$61,AF$114,AF$115))*$AG$8</f>
        <v>10.81247184961266</v>
      </c>
      <c r="AI94" s="94">
        <f>Table3.110[[#This Row],[Net gas 8-24h, ml]]+Table3.110[[#This Row],[Net gas 8h, ml]]</f>
        <v>24.657451581333774</v>
      </c>
      <c r="AJ94" s="94">
        <f>Table3.110[[#This Row],[Net gas 8h, ml]]*Table3.110[[#This Row],[CH4 8h %]]%</f>
        <v>1.467567851562438</v>
      </c>
      <c r="AK94" s="94">
        <f>Table3.110[[#This Row],[Net gas 8-24h, ml]]*Table3.110[[#This Row],[CH4 24h, %]]%</f>
        <v>0.21624943699225319</v>
      </c>
      <c r="AL94" s="94">
        <f>Table3.110[[#This Row],[CH4 8-24h, ml]]+Table3.110[[#This Row],[CH4 8h, ml]]</f>
        <v>1.6838172885546911</v>
      </c>
      <c r="AM94" s="94">
        <f>(Table3.110[[#This Row],[Net gas 24h, ml]]/Table3.110[[#This Row],[DM Incubated, mg]])*1000</f>
        <v>53.030877329387586</v>
      </c>
      <c r="AN94" s="94">
        <f>'3.2 Digest'!X94</f>
        <v>53.308218287547462</v>
      </c>
      <c r="AO94" s="94">
        <f>Table3.110[[#This Row],[Digested feed, mg]]/Table3.110[[#This Row],[Net gas 24h, ml]]</f>
        <v>10.052298014312916</v>
      </c>
      <c r="AP94" s="94">
        <f>Table3.110[[#This Row],[CH4 8h, ml]]/Table3.110[[#This Row],[Net gas 8h, ml]]%</f>
        <v>10.6</v>
      </c>
      <c r="AQ94" s="94">
        <f>Table3.110[[#This Row],[CH4 24h, ml]]/Table3.110[[#This Row],[Net gas 24h, ml]]%</f>
        <v>6.8288374530536533</v>
      </c>
      <c r="AR94" s="94">
        <f>Table3.110[[#This Row],[CH4 24h, ml]]/Table3.110[[#This Row],[DM Incubated, mg]]*1000</f>
        <v>3.6213924127521584</v>
      </c>
      <c r="AS94" s="94">
        <f>Table3.110[[#This Row],[CH4 24h, ml]]/Table3.110[[#This Row],[Digested feed, mg]]*1000</f>
        <v>6.7933097917813887</v>
      </c>
      <c r="AT94" s="94">
        <f>Table3.110[[#This Row],[CH4 24h, ml]]/'3.2 Digest'!AA94</f>
        <v>0.39623398195442794</v>
      </c>
      <c r="AU94" s="94">
        <f>((Table3.110[[#This Row],[CH4 24h, ml]]/28.9)*16.04)/Table3.110[[#This Row],[DM Incubated, mg]]*1000</f>
        <v>2.0099354429254195</v>
      </c>
      <c r="AV94" s="94">
        <f>((Table3.110[[#This Row],[CH4 24h, ml]]/28.9)*16.04)/Table3.110[[#This Row],[Digested feed, mg]]*1000</f>
        <v>3.7704044657499476</v>
      </c>
    </row>
    <row r="95" spans="2:48" s="89" customFormat="1" x14ac:dyDescent="0.35">
      <c r="B95" s="90">
        <f t="shared" si="1"/>
        <v>85</v>
      </c>
      <c r="C95" s="140">
        <v>46041</v>
      </c>
      <c r="D95" s="6" t="s">
        <v>16</v>
      </c>
      <c r="E95" s="6" t="s">
        <v>92</v>
      </c>
      <c r="F95" s="133" t="s">
        <v>79</v>
      </c>
      <c r="G95" s="133" t="s">
        <v>80</v>
      </c>
      <c r="H95" s="133" t="s">
        <v>81</v>
      </c>
      <c r="I95" s="6" t="s">
        <v>22</v>
      </c>
      <c r="J95" s="129" t="s">
        <v>23</v>
      </c>
      <c r="K95" s="129" t="s">
        <v>24</v>
      </c>
      <c r="L95" s="6" t="s">
        <v>91</v>
      </c>
      <c r="M95" s="119">
        <v>27</v>
      </c>
      <c r="N95" s="93">
        <v>58</v>
      </c>
      <c r="O95" s="6">
        <v>1</v>
      </c>
      <c r="P95" s="129">
        <v>3</v>
      </c>
      <c r="Q95" s="6">
        <v>265</v>
      </c>
      <c r="R95" s="98">
        <v>0.50049999999999994</v>
      </c>
      <c r="S95" s="94">
        <f>((Table3.110[[#This Row],[Sample weight, g]]*'2.1. DM'!Q63)/100)*1000</f>
        <v>465.33594843094119</v>
      </c>
      <c r="T95" s="94">
        <f>'3.2 Digest'!W95</f>
        <v>286.6359484309412</v>
      </c>
      <c r="U95" s="153">
        <v>0.39930555555555558</v>
      </c>
      <c r="V95" s="155">
        <v>41</v>
      </c>
      <c r="W95" s="153">
        <v>0.73472222222222228</v>
      </c>
      <c r="X95" s="95">
        <v>62.5</v>
      </c>
      <c r="Y95" s="95">
        <v>10.199999999999999</v>
      </c>
      <c r="Z95" s="154">
        <v>40</v>
      </c>
      <c r="AA95" s="153">
        <v>0.4152777777777778</v>
      </c>
      <c r="AB95" s="154">
        <v>57</v>
      </c>
      <c r="AC95" s="154">
        <v>1.8</v>
      </c>
      <c r="AD95" s="91"/>
      <c r="AE95" s="94">
        <f>Table3.110[[#This Row],[Gas 8h, ml]]-Table3.110[[#This Row],[Gas 0h, ml]]</f>
        <v>21.5</v>
      </c>
      <c r="AF95" s="94">
        <f>Table3.110[[#This Row],[Gas 24h, ml]]-Table3.110[[#This Row],[V8 Push back, ml]]</f>
        <v>17</v>
      </c>
      <c r="AG95" s="94">
        <f>Table3.110[[#This Row],[GP 8h, ml]]-(AVERAGE(AE$11,AE$12,AE$62,AE$61,AE$114,AE$115))*$AG$8</f>
        <v>18.844979731721114</v>
      </c>
      <c r="AH95" s="94">
        <f>Table3.110[[#This Row],[GP 8-24h, ml]]-(AVERAGE(AF$11,AF$12,AF$62,AF$61,AF$114,AF$115))*$AG$8</f>
        <v>13.31247184961266</v>
      </c>
      <c r="AI95" s="94">
        <f>Table3.110[[#This Row],[Net gas 8-24h, ml]]+Table3.110[[#This Row],[Net gas 8h, ml]]</f>
        <v>32.157451581333774</v>
      </c>
      <c r="AJ95" s="94">
        <f>Table3.110[[#This Row],[Net gas 8h, ml]]*Table3.110[[#This Row],[CH4 8h %]]%</f>
        <v>1.9221879326355535</v>
      </c>
      <c r="AK95" s="94">
        <f>Table3.110[[#This Row],[Net gas 8-24h, ml]]*Table3.110[[#This Row],[CH4 24h, %]]%</f>
        <v>0.2396244932930279</v>
      </c>
      <c r="AL95" s="94">
        <f>Table3.110[[#This Row],[CH4 8-24h, ml]]+Table3.110[[#This Row],[CH4 8h, ml]]</f>
        <v>2.1618124259285816</v>
      </c>
      <c r="AM95" s="94">
        <f>(Table3.110[[#This Row],[Net gas 24h, ml]]/Table3.110[[#This Row],[DM Incubated, mg]])*1000</f>
        <v>69.10588294277494</v>
      </c>
      <c r="AN95" s="94">
        <f>'3.2 Digest'!X95</f>
        <v>61.597637018468987</v>
      </c>
      <c r="AO95" s="94">
        <f>Table3.110[[#This Row],[Digested feed, mg]]/Table3.110[[#This Row],[Net gas 24h, ml]]</f>
        <v>8.9135156654429331</v>
      </c>
      <c r="AP95" s="94">
        <f>Table3.110[[#This Row],[CH4 8h, ml]]/Table3.110[[#This Row],[Net gas 8h, ml]]%</f>
        <v>10.199999999999999</v>
      </c>
      <c r="AQ95" s="94">
        <f>Table3.110[[#This Row],[CH4 24h, ml]]/Table3.110[[#This Row],[Net gas 24h, ml]]%</f>
        <v>6.7225862735448683</v>
      </c>
      <c r="AR95" s="94">
        <f>Table3.110[[#This Row],[CH4 24h, ml]]/Table3.110[[#This Row],[DM Incubated, mg]]*1000</f>
        <v>4.6457026009229727</v>
      </c>
      <c r="AS95" s="94">
        <f>Table3.110[[#This Row],[CH4 24h, ml]]/Table3.110[[#This Row],[Digested feed, mg]]*1000</f>
        <v>7.5420143138446019</v>
      </c>
      <c r="AT95" s="94">
        <f>Table3.110[[#This Row],[CH4 24h, ml]]/'3.2 Digest'!AA95</f>
        <v>0.10173907736144355</v>
      </c>
      <c r="AU95" s="94">
        <f>((Table3.110[[#This Row],[CH4 24h, ml]]/28.9)*16.04)/Table3.110[[#This Row],[DM Incubated, mg]]*1000</f>
        <v>2.578445318989774</v>
      </c>
      <c r="AV95" s="94">
        <f>((Table3.110[[#This Row],[CH4 24h, ml]]/28.9)*16.04)/Table3.110[[#This Row],[Digested feed, mg]]*1000</f>
        <v>4.1859484288604643</v>
      </c>
    </row>
    <row r="96" spans="2:48" s="89" customFormat="1" x14ac:dyDescent="0.35">
      <c r="B96" s="90">
        <f t="shared" si="1"/>
        <v>86</v>
      </c>
      <c r="C96" s="140">
        <v>46041</v>
      </c>
      <c r="D96" s="6" t="s">
        <v>16</v>
      </c>
      <c r="E96" s="6" t="s">
        <v>94</v>
      </c>
      <c r="F96" s="133" t="s">
        <v>19</v>
      </c>
      <c r="G96" s="133" t="s">
        <v>29</v>
      </c>
      <c r="H96" s="133" t="s">
        <v>30</v>
      </c>
      <c r="I96" s="6" t="s">
        <v>22</v>
      </c>
      <c r="J96" s="129" t="s">
        <v>23</v>
      </c>
      <c r="K96" s="129" t="s">
        <v>24</v>
      </c>
      <c r="L96" s="6" t="s">
        <v>93</v>
      </c>
      <c r="M96" s="119">
        <v>27</v>
      </c>
      <c r="N96" s="93">
        <v>58</v>
      </c>
      <c r="O96" s="6">
        <v>1</v>
      </c>
      <c r="P96" s="129">
        <v>1</v>
      </c>
      <c r="Q96" s="6">
        <v>266</v>
      </c>
      <c r="R96" s="98">
        <v>0.50049999999999994</v>
      </c>
      <c r="S96" s="94">
        <f>((Table3.110[[#This Row],[Sample weight, g]]*'2.1. DM'!Q65)/100)*1000</f>
        <v>473.46013161701819</v>
      </c>
      <c r="T96" s="94">
        <f>'3.2 Digest'!W96</f>
        <v>98.760131617018146</v>
      </c>
      <c r="U96" s="117">
        <v>0.39930555555555558</v>
      </c>
      <c r="V96" s="155">
        <v>40.5</v>
      </c>
      <c r="W96" s="117">
        <v>0.73541666666666672</v>
      </c>
      <c r="X96" s="97">
        <v>62</v>
      </c>
      <c r="Y96" s="97">
        <v>13.7</v>
      </c>
      <c r="Z96" s="155">
        <v>40.5</v>
      </c>
      <c r="AA96" s="117">
        <v>0.40972222222222221</v>
      </c>
      <c r="AB96" s="155">
        <v>54.5</v>
      </c>
      <c r="AC96" s="155">
        <v>12.1</v>
      </c>
      <c r="AD96" s="96"/>
      <c r="AE96" s="94">
        <f>Table3.110[[#This Row],[Gas 8h, ml]]-Table3.110[[#This Row],[Gas 0h, ml]]</f>
        <v>21.5</v>
      </c>
      <c r="AF96" s="94">
        <f>Table3.110[[#This Row],[Gas 24h, ml]]-Table3.110[[#This Row],[V8 Push back, ml]]</f>
        <v>14</v>
      </c>
      <c r="AG96" s="94">
        <f>Table3.110[[#This Row],[GP 8h, ml]]-(AVERAGE(AE$11,AE$12,AE$62,AE$61,AE$114,AE$115))*$AG$8</f>
        <v>18.844979731721114</v>
      </c>
      <c r="AH96" s="94">
        <f>Table3.110[[#This Row],[GP 8-24h, ml]]-(AVERAGE(AF$11,AF$12,AF$62,AF$61,AF$114,AF$115))*$AG$8</f>
        <v>10.31247184961266</v>
      </c>
      <c r="AI96" s="94">
        <f>Table3.110[[#This Row],[Net gas 8-24h, ml]]+Table3.110[[#This Row],[Net gas 8h, ml]]</f>
        <v>29.157451581333774</v>
      </c>
      <c r="AJ96" s="94">
        <f>Table3.110[[#This Row],[Net gas 8h, ml]]*Table3.110[[#This Row],[CH4 8h %]]%</f>
        <v>2.5817622232457924</v>
      </c>
      <c r="AK96" s="94">
        <f>Table3.110[[#This Row],[Net gas 8-24h, ml]]*Table3.110[[#This Row],[CH4 24h, %]]%</f>
        <v>1.2478090938031319</v>
      </c>
      <c r="AL96" s="94">
        <f>Table3.110[[#This Row],[CH4 8-24h, ml]]+Table3.110[[#This Row],[CH4 8h, ml]]</f>
        <v>3.8295713170489245</v>
      </c>
      <c r="AM96" s="94">
        <f>(Table3.110[[#This Row],[Net gas 24h, ml]]/Table3.110[[#This Row],[DM Incubated, mg]])*1000</f>
        <v>61.583752536357657</v>
      </c>
      <c r="AN96" s="94">
        <f>'3.2 Digest'!X96</f>
        <v>20.859228691488894</v>
      </c>
      <c r="AO96" s="94">
        <f>Table3.110[[#This Row],[Digested feed, mg]]/Table3.110[[#This Row],[Net gas 24h, ml]]</f>
        <v>3.3871318054504842</v>
      </c>
      <c r="AP96" s="94">
        <f>Table3.110[[#This Row],[CH4 8h, ml]]/Table3.110[[#This Row],[Net gas 8h, ml]]%</f>
        <v>13.699999999999998</v>
      </c>
      <c r="AQ96" s="94">
        <f>Table3.110[[#This Row],[CH4 24h, ml]]/Table3.110[[#This Row],[Net gas 24h, ml]]%</f>
        <v>13.134108467492291</v>
      </c>
      <c r="AR96" s="94">
        <f>Table3.110[[#This Row],[CH4 24h, ml]]/Table3.110[[#This Row],[DM Incubated, mg]]*1000</f>
        <v>8.0884768564772518</v>
      </c>
      <c r="AS96" s="94">
        <f>Table3.110[[#This Row],[CH4 24h, ml]]/Table3.110[[#This Row],[Digested feed, mg]]*1000</f>
        <v>38.776490617687884</v>
      </c>
      <c r="AT96" s="94">
        <f>Table3.110[[#This Row],[CH4 24h, ml]]/'3.2 Digest'!AA96</f>
        <v>-0.13650701377799862</v>
      </c>
      <c r="AU96" s="94">
        <f>((Table3.110[[#This Row],[CH4 24h, ml]]/28.9)*16.04)/Table3.110[[#This Row],[DM Incubated, mg]]*1000</f>
        <v>4.4892445943908346</v>
      </c>
      <c r="AV96" s="94">
        <f>((Table3.110[[#This Row],[CH4 24h, ml]]/28.9)*16.04)/Table3.110[[#This Row],[Digested feed, mg]]*1000</f>
        <v>21.521623166356875</v>
      </c>
    </row>
    <row r="97" spans="2:48" s="89" customFormat="1" x14ac:dyDescent="0.35">
      <c r="B97" s="90">
        <f t="shared" si="1"/>
        <v>87</v>
      </c>
      <c r="C97" s="140">
        <v>46041</v>
      </c>
      <c r="D97" s="6" t="s">
        <v>16</v>
      </c>
      <c r="E97" s="6" t="s">
        <v>94</v>
      </c>
      <c r="F97" s="133" t="s">
        <v>19</v>
      </c>
      <c r="G97" s="133" t="s">
        <v>29</v>
      </c>
      <c r="H97" s="133" t="s">
        <v>30</v>
      </c>
      <c r="I97" s="6" t="s">
        <v>22</v>
      </c>
      <c r="J97" s="129" t="s">
        <v>23</v>
      </c>
      <c r="K97" s="129" t="s">
        <v>24</v>
      </c>
      <c r="L97" s="6" t="s">
        <v>93</v>
      </c>
      <c r="M97" s="119">
        <v>27</v>
      </c>
      <c r="N97" s="93">
        <v>58</v>
      </c>
      <c r="O97" s="6">
        <v>1</v>
      </c>
      <c r="P97" s="129">
        <v>2</v>
      </c>
      <c r="Q97" s="6">
        <v>267</v>
      </c>
      <c r="R97" s="98">
        <v>0.50009999999999999</v>
      </c>
      <c r="S97" s="94">
        <f>((Table3.110[[#This Row],[Sample weight, g]]*'2.1. DM'!Q65)/100)*1000</f>
        <v>473.08174190144013</v>
      </c>
      <c r="T97" s="94">
        <f>'3.2 Digest'!W97</f>
        <v>69.581741901440068</v>
      </c>
      <c r="U97" s="153">
        <v>0.37916666666666665</v>
      </c>
      <c r="V97" s="155">
        <v>40.5</v>
      </c>
      <c r="W97" s="153">
        <v>0.73611111111111116</v>
      </c>
      <c r="X97" s="95">
        <v>61.5</v>
      </c>
      <c r="Y97" s="95">
        <v>14.1</v>
      </c>
      <c r="Z97" s="154">
        <v>39.5</v>
      </c>
      <c r="AA97" s="153">
        <v>0.41180555555555554</v>
      </c>
      <c r="AB97" s="154">
        <v>53</v>
      </c>
      <c r="AC97" s="154">
        <v>15.5</v>
      </c>
      <c r="AD97" s="91"/>
      <c r="AE97" s="94">
        <f>Table3.110[[#This Row],[Gas 8h, ml]]-Table3.110[[#This Row],[Gas 0h, ml]]</f>
        <v>21</v>
      </c>
      <c r="AF97" s="94">
        <f>Table3.110[[#This Row],[Gas 24h, ml]]-Table3.110[[#This Row],[V8 Push back, ml]]</f>
        <v>13.5</v>
      </c>
      <c r="AG97" s="94">
        <f>Table3.110[[#This Row],[GP 8h, ml]]-(AVERAGE(AE$11,AE$12,AE$62,AE$61,AE$114,AE$115))*$AG$8</f>
        <v>18.344979731721114</v>
      </c>
      <c r="AH97" s="94">
        <f>Table3.110[[#This Row],[GP 8-24h, ml]]-(AVERAGE(AF$11,AF$12,AF$62,AF$61,AF$114,AF$115))*$AG$8</f>
        <v>9.8124718496126597</v>
      </c>
      <c r="AI97" s="94">
        <f>Table3.110[[#This Row],[Net gas 8-24h, ml]]+Table3.110[[#This Row],[Net gas 8h, ml]]</f>
        <v>28.157451581333774</v>
      </c>
      <c r="AJ97" s="94">
        <f>Table3.110[[#This Row],[Net gas 8h, ml]]*Table3.110[[#This Row],[CH4 8h %]]%</f>
        <v>2.5866421421726771</v>
      </c>
      <c r="AK97" s="94">
        <f>Table3.110[[#This Row],[Net gas 8-24h, ml]]*Table3.110[[#This Row],[CH4 24h, %]]%</f>
        <v>1.5209331366899623</v>
      </c>
      <c r="AL97" s="94">
        <f>Table3.110[[#This Row],[CH4 8-24h, ml]]+Table3.110[[#This Row],[CH4 8h, ml]]</f>
        <v>4.1075752788626394</v>
      </c>
      <c r="AM97" s="94">
        <f>(Table3.110[[#This Row],[Net gas 24h, ml]]/Table3.110[[#This Row],[DM Incubated, mg]])*1000</f>
        <v>59.519210080189438</v>
      </c>
      <c r="AN97" s="94">
        <f>'3.2 Digest'!X97</f>
        <v>14.708185866943992</v>
      </c>
      <c r="AO97" s="94">
        <f>Table3.110[[#This Row],[Digested feed, mg]]/Table3.110[[#This Row],[Net gas 24h, ml]]</f>
        <v>2.4711661742700968</v>
      </c>
      <c r="AP97" s="94">
        <f>Table3.110[[#This Row],[CH4 8h, ml]]/Table3.110[[#This Row],[Net gas 8h, ml]]%</f>
        <v>14.1</v>
      </c>
      <c r="AQ97" s="94">
        <f>Table3.110[[#This Row],[CH4 24h, ml]]/Table3.110[[#This Row],[Net gas 24h, ml]]%</f>
        <v>14.587880110519823</v>
      </c>
      <c r="AR97" s="94">
        <f>Table3.110[[#This Row],[CH4 24h, ml]]/Table3.110[[#This Row],[DM Incubated, mg]]*1000</f>
        <v>8.6825910092264653</v>
      </c>
      <c r="AS97" s="94">
        <f>Table3.110[[#This Row],[CH4 24h, ml]]/Table3.110[[#This Row],[Digested feed, mg]]*1000</f>
        <v>59.032372093829814</v>
      </c>
      <c r="AT97" s="94">
        <f>Table3.110[[#This Row],[CH4 24h, ml]]/'3.2 Digest'!AA97</f>
        <v>-0.10807490508926303</v>
      </c>
      <c r="AU97" s="94">
        <f>((Table3.110[[#This Row],[CH4 24h, ml]]/28.9)*16.04)/Table3.110[[#This Row],[DM Incubated, mg]]*1000</f>
        <v>4.8189882279582177</v>
      </c>
      <c r="AV97" s="94">
        <f>((Table3.110[[#This Row],[CH4 24h, ml]]/28.9)*16.04)/Table3.110[[#This Row],[Digested feed, mg]]*1000</f>
        <v>32.763987833392044</v>
      </c>
    </row>
    <row r="98" spans="2:48" s="89" customFormat="1" x14ac:dyDescent="0.35">
      <c r="B98" s="90">
        <f t="shared" si="1"/>
        <v>88</v>
      </c>
      <c r="C98" s="140">
        <v>46041</v>
      </c>
      <c r="D98" s="6" t="s">
        <v>16</v>
      </c>
      <c r="E98" s="6" t="s">
        <v>94</v>
      </c>
      <c r="F98" s="133" t="s">
        <v>19</v>
      </c>
      <c r="G98" s="133" t="s">
        <v>29</v>
      </c>
      <c r="H98" s="133" t="s">
        <v>30</v>
      </c>
      <c r="I98" s="6" t="s">
        <v>22</v>
      </c>
      <c r="J98" s="129" t="s">
        <v>23</v>
      </c>
      <c r="K98" s="129" t="s">
        <v>24</v>
      </c>
      <c r="L98" s="6" t="s">
        <v>93</v>
      </c>
      <c r="M98" s="119">
        <v>27</v>
      </c>
      <c r="N98" s="93">
        <v>58</v>
      </c>
      <c r="O98" s="6">
        <v>1</v>
      </c>
      <c r="P98" s="129">
        <v>3</v>
      </c>
      <c r="Q98" s="6">
        <v>268</v>
      </c>
      <c r="R98" s="98">
        <v>0.5</v>
      </c>
      <c r="S98" s="94">
        <f>((Table3.110[[#This Row],[Sample weight, g]]*'2.1. DM'!Q65)/100)*1000</f>
        <v>472.98714447254571</v>
      </c>
      <c r="T98" s="94">
        <f>'3.2 Digest'!W98</f>
        <v>129.48714447254571</v>
      </c>
      <c r="U98" s="117">
        <v>0.40069444444444446</v>
      </c>
      <c r="V98" s="155">
        <v>41.5</v>
      </c>
      <c r="W98" s="117">
        <v>0.7368055555555556</v>
      </c>
      <c r="X98" s="97">
        <v>65</v>
      </c>
      <c r="Y98" s="97">
        <v>13.1</v>
      </c>
      <c r="Z98" s="155">
        <v>40.5</v>
      </c>
      <c r="AA98" s="117">
        <v>0.41111111111111109</v>
      </c>
      <c r="AB98" s="155">
        <v>54.5</v>
      </c>
      <c r="AC98" s="155">
        <v>16.2</v>
      </c>
      <c r="AD98" s="96"/>
      <c r="AE98" s="94">
        <f>Table3.110[[#This Row],[Gas 8h, ml]]-Table3.110[[#This Row],[Gas 0h, ml]]</f>
        <v>23.5</v>
      </c>
      <c r="AF98" s="94">
        <f>Table3.110[[#This Row],[Gas 24h, ml]]-Table3.110[[#This Row],[V8 Push back, ml]]</f>
        <v>14</v>
      </c>
      <c r="AG98" s="94">
        <f>Table3.110[[#This Row],[GP 8h, ml]]-(AVERAGE(AE$11,AE$12,AE$62,AE$61,AE$114,AE$115))*$AG$8</f>
        <v>20.844979731721114</v>
      </c>
      <c r="AH98" s="94">
        <f>Table3.110[[#This Row],[GP 8-24h, ml]]-(AVERAGE(AF$11,AF$12,AF$62,AF$61,AF$114,AF$115))*$AG$8</f>
        <v>10.31247184961266</v>
      </c>
      <c r="AI98" s="94">
        <f>Table3.110[[#This Row],[Net gas 8-24h, ml]]+Table3.110[[#This Row],[Net gas 8h, ml]]</f>
        <v>31.157451581333774</v>
      </c>
      <c r="AJ98" s="94">
        <f>Table3.110[[#This Row],[Net gas 8h, ml]]*Table3.110[[#This Row],[CH4 8h %]]%</f>
        <v>2.7306923448554663</v>
      </c>
      <c r="AK98" s="94">
        <f>Table3.110[[#This Row],[Net gas 8-24h, ml]]*Table3.110[[#This Row],[CH4 24h, %]]%</f>
        <v>1.6706204396372508</v>
      </c>
      <c r="AL98" s="94">
        <f>Table3.110[[#This Row],[CH4 8-24h, ml]]+Table3.110[[#This Row],[CH4 8h, ml]]</f>
        <v>4.4013127844927169</v>
      </c>
      <c r="AM98" s="94">
        <f>(Table3.110[[#This Row],[Net gas 24h, ml]]/Table3.110[[#This Row],[DM Incubated, mg]])*1000</f>
        <v>65.873781022271075</v>
      </c>
      <c r="AN98" s="94">
        <f>'3.2 Digest'!X98</f>
        <v>27.376461704248651</v>
      </c>
      <c r="AO98" s="94">
        <f>Table3.110[[#This Row],[Digested feed, mg]]/Table3.110[[#This Row],[Net gas 24h, ml]]</f>
        <v>4.1558965159435761</v>
      </c>
      <c r="AP98" s="94">
        <f>Table3.110[[#This Row],[CH4 8h, ml]]/Table3.110[[#This Row],[Net gas 8h, ml]]%</f>
        <v>13.100000000000001</v>
      </c>
      <c r="AQ98" s="94">
        <f>Table3.110[[#This Row],[CH4 24h, ml]]/Table3.110[[#This Row],[Net gas 24h, ml]]%</f>
        <v>14.126035863374382</v>
      </c>
      <c r="AR98" s="94">
        <f>Table3.110[[#This Row],[CH4 24h, ml]]/Table3.110[[#This Row],[DM Incubated, mg]]*1000</f>
        <v>9.3053539317667191</v>
      </c>
      <c r="AS98" s="94">
        <f>Table3.110[[#This Row],[CH4 24h, ml]]/Table3.110[[#This Row],[Digested feed, mg]]*1000</f>
        <v>33.990345546819107</v>
      </c>
      <c r="AT98" s="94">
        <f>Table3.110[[#This Row],[CH4 24h, ml]]/'3.2 Digest'!AA98</f>
        <v>-0.2513772905614719</v>
      </c>
      <c r="AU98" s="94">
        <f>((Table3.110[[#This Row],[CH4 24h, ml]]/28.9)*16.04)/Table3.110[[#This Row],[DM Incubated, mg]]*1000</f>
        <v>5.1646324244130852</v>
      </c>
      <c r="AV98" s="94">
        <f>((Table3.110[[#This Row],[CH4 24h, ml]]/28.9)*16.04)/Table3.110[[#This Row],[Digested feed, mg]]*1000</f>
        <v>18.865229846746658</v>
      </c>
    </row>
    <row r="99" spans="2:48" s="89" customFormat="1" x14ac:dyDescent="0.35">
      <c r="B99" s="90">
        <f t="shared" si="1"/>
        <v>89</v>
      </c>
      <c r="C99" s="140">
        <v>46041</v>
      </c>
      <c r="D99" s="6" t="s">
        <v>16</v>
      </c>
      <c r="E99" s="6" t="s">
        <v>96</v>
      </c>
      <c r="F99" s="133" t="s">
        <v>19</v>
      </c>
      <c r="G99" s="133" t="s">
        <v>29</v>
      </c>
      <c r="H99" s="133" t="s">
        <v>30</v>
      </c>
      <c r="I99" s="6" t="s">
        <v>22</v>
      </c>
      <c r="J99" s="129" t="s">
        <v>23</v>
      </c>
      <c r="K99" s="129" t="s">
        <v>24</v>
      </c>
      <c r="L99" s="6" t="s">
        <v>95</v>
      </c>
      <c r="M99" s="119">
        <v>27</v>
      </c>
      <c r="N99" s="93">
        <v>58</v>
      </c>
      <c r="O99" s="6">
        <v>1</v>
      </c>
      <c r="P99" s="129">
        <v>1</v>
      </c>
      <c r="Q99" s="6">
        <v>269</v>
      </c>
      <c r="R99" s="98">
        <v>0.50039999999999996</v>
      </c>
      <c r="S99" s="94">
        <f>((Table3.110[[#This Row],[Sample weight, g]]*'2.1. DM'!Q67)/100)*1000</f>
        <v>470.75870149572989</v>
      </c>
      <c r="T99" s="94">
        <f>'3.2 Digest'!W99</f>
        <v>81.958701495729883</v>
      </c>
      <c r="U99" s="153">
        <v>0.40069444444444446</v>
      </c>
      <c r="V99" s="155">
        <v>41</v>
      </c>
      <c r="W99" s="153">
        <v>0.7368055555555556</v>
      </c>
      <c r="X99" s="95">
        <v>65</v>
      </c>
      <c r="Y99" s="95">
        <v>14.4</v>
      </c>
      <c r="Z99" s="154">
        <v>41</v>
      </c>
      <c r="AA99" s="153">
        <v>0.41111111111111109</v>
      </c>
      <c r="AB99" s="154">
        <v>56.5</v>
      </c>
      <c r="AC99" s="154">
        <v>16.7</v>
      </c>
      <c r="AD99" s="91"/>
      <c r="AE99" s="94">
        <f>Table3.110[[#This Row],[Gas 8h, ml]]-Table3.110[[#This Row],[Gas 0h, ml]]</f>
        <v>24</v>
      </c>
      <c r="AF99" s="94">
        <f>Table3.110[[#This Row],[Gas 24h, ml]]-Table3.110[[#This Row],[V8 Push back, ml]]</f>
        <v>15.5</v>
      </c>
      <c r="AG99" s="94">
        <f>Table3.110[[#This Row],[GP 8h, ml]]-(AVERAGE(AE$11,AE$12,AE$62,AE$61,AE$114,AE$115))*$AG$8</f>
        <v>21.344979731721114</v>
      </c>
      <c r="AH99" s="94">
        <f>Table3.110[[#This Row],[GP 8-24h, ml]]-(AVERAGE(AF$11,AF$12,AF$62,AF$61,AF$114,AF$115))*$AG$8</f>
        <v>11.81247184961266</v>
      </c>
      <c r="AI99" s="94">
        <f>Table3.110[[#This Row],[Net gas 8-24h, ml]]+Table3.110[[#This Row],[Net gas 8h, ml]]</f>
        <v>33.157451581333774</v>
      </c>
      <c r="AJ99" s="94">
        <f>Table3.110[[#This Row],[Net gas 8h, ml]]*Table3.110[[#This Row],[CH4 8h %]]%</f>
        <v>3.0736770813678409</v>
      </c>
      <c r="AK99" s="94">
        <f>Table3.110[[#This Row],[Net gas 8-24h, ml]]*Table3.110[[#This Row],[CH4 24h, %]]%</f>
        <v>1.9726827988853139</v>
      </c>
      <c r="AL99" s="94">
        <f>Table3.110[[#This Row],[CH4 8-24h, ml]]+Table3.110[[#This Row],[CH4 8h, ml]]</f>
        <v>5.0463598802531546</v>
      </c>
      <c r="AM99" s="94">
        <f>(Table3.110[[#This Row],[Net gas 24h, ml]]/Table3.110[[#This Row],[DM Incubated, mg]])*1000</f>
        <v>70.434070524843051</v>
      </c>
      <c r="AN99" s="94">
        <f>'3.2 Digest'!X99</f>
        <v>17.40991748752058</v>
      </c>
      <c r="AO99" s="94">
        <f>Table3.110[[#This Row],[Digested feed, mg]]/Table3.110[[#This Row],[Net gas 24h, ml]]</f>
        <v>2.4718033982403256</v>
      </c>
      <c r="AP99" s="94">
        <f>Table3.110[[#This Row],[CH4 8h, ml]]/Table3.110[[#This Row],[Net gas 8h, ml]]%</f>
        <v>14.400000000000002</v>
      </c>
      <c r="AQ99" s="94">
        <f>Table3.110[[#This Row],[CH4 24h, ml]]/Table3.110[[#This Row],[Net gas 24h, ml]]%</f>
        <v>15.219383998419346</v>
      </c>
      <c r="AR99" s="94">
        <f>Table3.110[[#This Row],[CH4 24h, ml]]/Table3.110[[#This Row],[DM Incubated, mg]]*1000</f>
        <v>10.719631658893359</v>
      </c>
      <c r="AS99" s="94">
        <f>Table3.110[[#This Row],[CH4 24h, ml]]/Table3.110[[#This Row],[Digested feed, mg]]*1000</f>
        <v>61.571984281816306</v>
      </c>
      <c r="AT99" s="94">
        <f>Table3.110[[#This Row],[CH4 24h, ml]]/'3.2 Digest'!AA99</f>
        <v>-0.18911288102999615</v>
      </c>
      <c r="AU99" s="94">
        <f>((Table3.110[[#This Row],[CH4 24h, ml]]/28.9)*16.04)/Table3.110[[#This Row],[DM Incubated, mg]]*1000</f>
        <v>5.9495810314411584</v>
      </c>
      <c r="AV99" s="94">
        <f>((Table3.110[[#This Row],[CH4 24h, ml]]/28.9)*16.04)/Table3.110[[#This Row],[Digested feed, mg]]*1000</f>
        <v>34.173516535651679</v>
      </c>
    </row>
    <row r="100" spans="2:48" s="89" customFormat="1" x14ac:dyDescent="0.35">
      <c r="B100" s="90">
        <f t="shared" si="1"/>
        <v>90</v>
      </c>
      <c r="C100" s="140">
        <v>46041</v>
      </c>
      <c r="D100" s="6" t="s">
        <v>16</v>
      </c>
      <c r="E100" s="6" t="s">
        <v>96</v>
      </c>
      <c r="F100" s="133" t="s">
        <v>19</v>
      </c>
      <c r="G100" s="133" t="s">
        <v>29</v>
      </c>
      <c r="H100" s="133" t="s">
        <v>30</v>
      </c>
      <c r="I100" s="6" t="s">
        <v>22</v>
      </c>
      <c r="J100" s="129" t="s">
        <v>23</v>
      </c>
      <c r="K100" s="129" t="s">
        <v>24</v>
      </c>
      <c r="L100" s="6" t="s">
        <v>95</v>
      </c>
      <c r="M100" s="119">
        <v>27</v>
      </c>
      <c r="N100" s="93">
        <v>58</v>
      </c>
      <c r="O100" s="6">
        <v>1</v>
      </c>
      <c r="P100" s="129">
        <v>2</v>
      </c>
      <c r="Q100" s="6">
        <v>270</v>
      </c>
      <c r="R100" s="98">
        <v>0.50049999999999994</v>
      </c>
      <c r="S100" s="94">
        <f>((Table3.110[[#This Row],[Sample weight, g]]*'2.1. DM'!Q67)/100)*1000</f>
        <v>470.85277797484582</v>
      </c>
      <c r="T100" s="94">
        <f>'3.2 Digest'!W100</f>
        <v>66.55277797484581</v>
      </c>
      <c r="U100" s="117">
        <v>0.40069444444444446</v>
      </c>
      <c r="V100" s="155">
        <v>41</v>
      </c>
      <c r="W100" s="117">
        <v>0.7368055555555556</v>
      </c>
      <c r="X100" s="97">
        <v>65</v>
      </c>
      <c r="Y100" s="97">
        <v>14.6</v>
      </c>
      <c r="Z100" s="155">
        <v>40</v>
      </c>
      <c r="AA100" s="117">
        <v>0.41388888888888886</v>
      </c>
      <c r="AB100" s="155">
        <v>55.5</v>
      </c>
      <c r="AC100" s="155">
        <v>13.4</v>
      </c>
      <c r="AD100" s="96"/>
      <c r="AE100" s="94">
        <f>Table3.110[[#This Row],[Gas 8h, ml]]-Table3.110[[#This Row],[Gas 0h, ml]]</f>
        <v>24</v>
      </c>
      <c r="AF100" s="94">
        <f>Table3.110[[#This Row],[Gas 24h, ml]]-Table3.110[[#This Row],[V8 Push back, ml]]</f>
        <v>15.5</v>
      </c>
      <c r="AG100" s="94">
        <f>Table3.110[[#This Row],[GP 8h, ml]]-(AVERAGE(AE$11,AE$12,AE$62,AE$61,AE$114,AE$115))*$AG$8</f>
        <v>21.344979731721114</v>
      </c>
      <c r="AH100" s="94">
        <f>Table3.110[[#This Row],[GP 8-24h, ml]]-(AVERAGE(AF$11,AF$12,AF$62,AF$61,AF$114,AF$115))*$AG$8</f>
        <v>11.81247184961266</v>
      </c>
      <c r="AI100" s="94">
        <f>Table3.110[[#This Row],[Net gas 8-24h, ml]]+Table3.110[[#This Row],[Net gas 8h, ml]]</f>
        <v>33.157451581333774</v>
      </c>
      <c r="AJ100" s="94">
        <f>Table3.110[[#This Row],[Net gas 8h, ml]]*Table3.110[[#This Row],[CH4 8h %]]%</f>
        <v>3.1163670408312827</v>
      </c>
      <c r="AK100" s="94">
        <f>Table3.110[[#This Row],[Net gas 8-24h, ml]]*Table3.110[[#This Row],[CH4 24h, %]]%</f>
        <v>1.5828712278480965</v>
      </c>
      <c r="AL100" s="94">
        <f>Table3.110[[#This Row],[CH4 8-24h, ml]]+Table3.110[[#This Row],[CH4 8h, ml]]</f>
        <v>4.6992382686793794</v>
      </c>
      <c r="AM100" s="94">
        <f>(Table3.110[[#This Row],[Net gas 24h, ml]]/Table3.110[[#This Row],[DM Incubated, mg]])*1000</f>
        <v>70.419997783479431</v>
      </c>
      <c r="AN100" s="94">
        <f>'3.2 Digest'!X100</f>
        <v>14.134519554305621</v>
      </c>
      <c r="AO100" s="94">
        <f>Table3.110[[#This Row],[Digested feed, mg]]/Table3.110[[#This Row],[Net gas 24h, ml]]</f>
        <v>2.0071740981539179</v>
      </c>
      <c r="AP100" s="94">
        <f>Table3.110[[#This Row],[CH4 8h, ml]]/Table3.110[[#This Row],[Net gas 8h, ml]]%</f>
        <v>14.6</v>
      </c>
      <c r="AQ100" s="94">
        <f>Table3.110[[#This Row],[CH4 24h, ml]]/Table3.110[[#This Row],[Net gas 24h, ml]]%</f>
        <v>14.172495305172516</v>
      </c>
      <c r="AR100" s="94">
        <f>Table3.110[[#This Row],[CH4 24h, ml]]/Table3.110[[#This Row],[DM Incubated, mg]]*1000</f>
        <v>9.9802708797662127</v>
      </c>
      <c r="AS100" s="94">
        <f>Table3.110[[#This Row],[CH4 24h, ml]]/Table3.110[[#This Row],[Digested feed, mg]]*1000</f>
        <v>70.609197867825984</v>
      </c>
      <c r="AT100" s="94">
        <f>Table3.110[[#This Row],[CH4 24h, ml]]/'3.2 Digest'!AA100</f>
        <v>-0.14820126017306334</v>
      </c>
      <c r="AU100" s="94">
        <f>((Table3.110[[#This Row],[CH4 24h, ml]]/28.9)*16.04)/Table3.110[[#This Row],[DM Incubated, mg]]*1000</f>
        <v>5.5392230073166102</v>
      </c>
      <c r="AV100" s="94">
        <f>((Table3.110[[#This Row],[CH4 24h, ml]]/28.9)*16.04)/Table3.110[[#This Row],[Digested feed, mg]]*1000</f>
        <v>39.189326429063279</v>
      </c>
    </row>
    <row r="101" spans="2:48" s="89" customFormat="1" x14ac:dyDescent="0.35">
      <c r="B101" s="90">
        <f t="shared" si="1"/>
        <v>91</v>
      </c>
      <c r="C101" s="140">
        <v>46041</v>
      </c>
      <c r="D101" s="6" t="s">
        <v>16</v>
      </c>
      <c r="E101" s="6" t="s">
        <v>96</v>
      </c>
      <c r="F101" s="133" t="s">
        <v>19</v>
      </c>
      <c r="G101" s="133" t="s">
        <v>29</v>
      </c>
      <c r="H101" s="133" t="s">
        <v>30</v>
      </c>
      <c r="I101" s="6" t="s">
        <v>22</v>
      </c>
      <c r="J101" s="129" t="s">
        <v>23</v>
      </c>
      <c r="K101" s="129" t="s">
        <v>24</v>
      </c>
      <c r="L101" s="6" t="s">
        <v>95</v>
      </c>
      <c r="M101" s="119">
        <v>27</v>
      </c>
      <c r="N101" s="93">
        <v>58</v>
      </c>
      <c r="O101" s="6">
        <v>1</v>
      </c>
      <c r="P101" s="129">
        <v>3</v>
      </c>
      <c r="Q101" s="6">
        <v>271</v>
      </c>
      <c r="R101" s="98">
        <v>0.5</v>
      </c>
      <c r="S101" s="94">
        <f>((Table3.110[[#This Row],[Sample weight, g]]*'2.1. DM'!Q67)/100)*1000</f>
        <v>470.38239557926659</v>
      </c>
      <c r="T101" s="94">
        <f>'3.2 Digest'!W101</f>
        <v>68.78239557926662</v>
      </c>
      <c r="U101" s="153">
        <v>0.40138888888888891</v>
      </c>
      <c r="V101" s="154">
        <v>41</v>
      </c>
      <c r="W101" s="153">
        <v>0.7368055555555556</v>
      </c>
      <c r="X101" s="95">
        <v>67.5</v>
      </c>
      <c r="Y101" s="95">
        <v>13.6</v>
      </c>
      <c r="Z101" s="154">
        <v>41</v>
      </c>
      <c r="AA101" s="153">
        <v>0.41458333333333336</v>
      </c>
      <c r="AB101" s="154">
        <v>56</v>
      </c>
      <c r="AC101" s="154">
        <v>16.399999999999999</v>
      </c>
      <c r="AD101" s="91"/>
      <c r="AE101" s="94">
        <f>Table3.110[[#This Row],[Gas 8h, ml]]-Table3.110[[#This Row],[Gas 0h, ml]]</f>
        <v>26.5</v>
      </c>
      <c r="AF101" s="94">
        <f>Table3.110[[#This Row],[Gas 24h, ml]]-Table3.110[[#This Row],[V8 Push back, ml]]</f>
        <v>15</v>
      </c>
      <c r="AG101" s="94">
        <f>Table3.110[[#This Row],[GP 8h, ml]]-(AVERAGE(AE$11,AE$12,AE$62,AE$61,AE$114,AE$115))*$AG$8</f>
        <v>23.844979731721114</v>
      </c>
      <c r="AH101" s="94">
        <f>Table3.110[[#This Row],[GP 8-24h, ml]]-(AVERAGE(AF$11,AF$12,AF$62,AF$61,AF$114,AF$115))*$AG$8</f>
        <v>11.31247184961266</v>
      </c>
      <c r="AI101" s="94">
        <f>Table3.110[[#This Row],[Net gas 8-24h, ml]]+Table3.110[[#This Row],[Net gas 8h, ml]]</f>
        <v>35.157451581333774</v>
      </c>
      <c r="AJ101" s="94">
        <f>Table3.110[[#This Row],[Net gas 8h, ml]]*Table3.110[[#This Row],[CH4 8h %]]%</f>
        <v>3.2429172435140718</v>
      </c>
      <c r="AK101" s="94">
        <f>Table3.110[[#This Row],[Net gas 8-24h, ml]]*Table3.110[[#This Row],[CH4 24h, %]]%</f>
        <v>1.8552453833364759</v>
      </c>
      <c r="AL101" s="94">
        <f>Table3.110[[#This Row],[CH4 8-24h, ml]]+Table3.110[[#This Row],[CH4 8h, ml]]</f>
        <v>5.0981626268505478</v>
      </c>
      <c r="AM101" s="94">
        <f>(Table3.110[[#This Row],[Net gas 24h, ml]]/Table3.110[[#This Row],[DM Incubated, mg]])*1000</f>
        <v>74.742277584683151</v>
      </c>
      <c r="AN101" s="94">
        <f>'3.2 Digest'!X101</f>
        <v>14.622655147321673</v>
      </c>
      <c r="AO101" s="94">
        <f>Table3.110[[#This Row],[Digested feed, mg]]/Table3.110[[#This Row],[Net gas 24h, ml]]</f>
        <v>1.9564101630103763</v>
      </c>
      <c r="AP101" s="94">
        <f>Table3.110[[#This Row],[CH4 8h, ml]]/Table3.110[[#This Row],[Net gas 8h, ml]]%</f>
        <v>13.600000000000001</v>
      </c>
      <c r="AQ101" s="94">
        <f>Table3.110[[#This Row],[CH4 24h, ml]]/Table3.110[[#This Row],[Net gas 24h, ml]]%</f>
        <v>14.50094474298395</v>
      </c>
      <c r="AR101" s="94">
        <f>Table3.110[[#This Row],[CH4 24h, ml]]/Table3.110[[#This Row],[DM Incubated, mg]]*1000</f>
        <v>10.838336372202582</v>
      </c>
      <c r="AS101" s="94">
        <f>Table3.110[[#This Row],[CH4 24h, ml]]/Table3.110[[#This Row],[Digested feed, mg]]*1000</f>
        <v>74.120166707123374</v>
      </c>
      <c r="AT101" s="94">
        <f>Table3.110[[#This Row],[CH4 24h, ml]]/'3.2 Digest'!AA101</f>
        <v>-0.1646707041454111</v>
      </c>
      <c r="AU101" s="94">
        <f>((Table3.110[[#This Row],[CH4 24h, ml]]/28.9)*16.04)/Table3.110[[#This Row],[DM Incubated, mg]]*1000</f>
        <v>6.0154642010425396</v>
      </c>
      <c r="AV101" s="94">
        <f>((Table3.110[[#This Row],[CH4 24h, ml]]/28.9)*16.04)/Table3.110[[#This Row],[Digested feed, mg]]*1000</f>
        <v>41.137974878278854</v>
      </c>
    </row>
    <row r="102" spans="2:48" s="89" customFormat="1" x14ac:dyDescent="0.35">
      <c r="B102" s="90">
        <f t="shared" si="1"/>
        <v>92</v>
      </c>
      <c r="C102" s="140">
        <v>46041</v>
      </c>
      <c r="D102" s="6" t="s">
        <v>16</v>
      </c>
      <c r="E102" s="6" t="s">
        <v>98</v>
      </c>
      <c r="F102" s="133" t="s">
        <v>99</v>
      </c>
      <c r="G102" s="133" t="s">
        <v>100</v>
      </c>
      <c r="H102" s="133" t="s">
        <v>101</v>
      </c>
      <c r="I102" s="6" t="s">
        <v>22</v>
      </c>
      <c r="J102" s="129" t="s">
        <v>23</v>
      </c>
      <c r="K102" s="129" t="s">
        <v>24</v>
      </c>
      <c r="L102" s="6" t="s">
        <v>97</v>
      </c>
      <c r="M102" s="119">
        <v>27</v>
      </c>
      <c r="N102" s="93">
        <v>58</v>
      </c>
      <c r="O102" s="6">
        <v>1</v>
      </c>
      <c r="P102" s="129">
        <v>1</v>
      </c>
      <c r="Q102" s="6">
        <v>272</v>
      </c>
      <c r="R102" s="98">
        <v>0.50009999999999999</v>
      </c>
      <c r="S102" s="94">
        <f>((Table3.110[[#This Row],[Sample weight, g]]*'2.1. DM'!Q69)/100)*1000</f>
        <v>472.45285164801135</v>
      </c>
      <c r="T102" s="94">
        <f>'3.2 Digest'!W102</f>
        <v>218.55285164801134</v>
      </c>
      <c r="U102" s="117">
        <v>0.40138888888888891</v>
      </c>
      <c r="V102" s="155">
        <v>41</v>
      </c>
      <c r="W102" s="117">
        <v>0.73750000000000004</v>
      </c>
      <c r="X102" s="97">
        <v>76</v>
      </c>
      <c r="Y102" s="97">
        <v>13.1</v>
      </c>
      <c r="Z102" s="155">
        <v>41.5</v>
      </c>
      <c r="AA102" s="117">
        <v>0.4152777777777778</v>
      </c>
      <c r="AB102" s="155">
        <v>72.5</v>
      </c>
      <c r="AC102" s="155">
        <v>14.6</v>
      </c>
      <c r="AD102" s="96"/>
      <c r="AE102" s="94">
        <f>Table3.110[[#This Row],[Gas 8h, ml]]-Table3.110[[#This Row],[Gas 0h, ml]]</f>
        <v>35</v>
      </c>
      <c r="AF102" s="94">
        <f>Table3.110[[#This Row],[Gas 24h, ml]]-Table3.110[[#This Row],[V8 Push back, ml]]</f>
        <v>31</v>
      </c>
      <c r="AG102" s="94">
        <f>Table3.110[[#This Row],[GP 8h, ml]]-(AVERAGE(AE$11,AE$12,AE$62,AE$61,AE$114,AE$115))*$AG$8</f>
        <v>32.344979731721118</v>
      </c>
      <c r="AH102" s="94">
        <f>Table3.110[[#This Row],[GP 8-24h, ml]]-(AVERAGE(AF$11,AF$12,AF$62,AF$61,AF$114,AF$115))*$AG$8</f>
        <v>27.31247184961266</v>
      </c>
      <c r="AI102" s="94">
        <f>Table3.110[[#This Row],[Net gas 8-24h, ml]]+Table3.110[[#This Row],[Net gas 8h, ml]]</f>
        <v>59.657451581333774</v>
      </c>
      <c r="AJ102" s="94">
        <f>Table3.110[[#This Row],[Net gas 8h, ml]]*Table3.110[[#This Row],[CH4 8h %]]%</f>
        <v>4.2371923448554663</v>
      </c>
      <c r="AK102" s="94">
        <f>Table3.110[[#This Row],[Net gas 8-24h, ml]]*Table3.110[[#This Row],[CH4 24h, %]]%</f>
        <v>3.987620890043448</v>
      </c>
      <c r="AL102" s="94">
        <f>Table3.110[[#This Row],[CH4 8-24h, ml]]+Table3.110[[#This Row],[CH4 8h, ml]]</f>
        <v>8.2248132348989138</v>
      </c>
      <c r="AM102" s="94">
        <f>(Table3.110[[#This Row],[Net gas 24h, ml]]/Table3.110[[#This Row],[DM Incubated, mg]])*1000</f>
        <v>126.27175679697241</v>
      </c>
      <c r="AN102" s="94">
        <f>'3.2 Digest'!X102</f>
        <v>46.259187744481736</v>
      </c>
      <c r="AO102" s="94">
        <f>Table3.110[[#This Row],[Digested feed, mg]]/Table3.110[[#This Row],[Net gas 24h, ml]]</f>
        <v>3.6634627503330091</v>
      </c>
      <c r="AP102" s="94">
        <f>Table3.110[[#This Row],[CH4 8h, ml]]/Table3.110[[#This Row],[Net gas 8h, ml]]%</f>
        <v>13.1</v>
      </c>
      <c r="AQ102" s="94">
        <f>Table3.110[[#This Row],[CH4 24h, ml]]/Table3.110[[#This Row],[Net gas 24h, ml]]%</f>
        <v>13.786732448142951</v>
      </c>
      <c r="AR102" s="94">
        <f>Table3.110[[#This Row],[CH4 24h, ml]]/Table3.110[[#This Row],[DM Incubated, mg]]*1000</f>
        <v>17.408749267168346</v>
      </c>
      <c r="AS102" s="94">
        <f>Table3.110[[#This Row],[CH4 24h, ml]]/Table3.110[[#This Row],[Digested feed, mg]]*1000</f>
        <v>37.633062999998394</v>
      </c>
      <c r="AT102" s="94">
        <f>Table3.110[[#This Row],[CH4 24h, ml]]/'3.2 Digest'!AA102</f>
        <v>1.1813806188239886</v>
      </c>
      <c r="AU102" s="94">
        <f>((Table3.110[[#This Row],[CH4 24h, ml]]/28.9)*16.04)/Table3.110[[#This Row],[DM Incubated, mg]]*1000</f>
        <v>9.6621570327121198</v>
      </c>
      <c r="AV102" s="94">
        <f>((Table3.110[[#This Row],[CH4 24h, ml]]/28.9)*16.04)/Table3.110[[#This Row],[Digested feed, mg]]*1000</f>
        <v>20.887001056054473</v>
      </c>
    </row>
    <row r="103" spans="2:48" s="89" customFormat="1" x14ac:dyDescent="0.35">
      <c r="B103" s="90">
        <f t="shared" si="1"/>
        <v>93</v>
      </c>
      <c r="C103" s="140">
        <v>46041</v>
      </c>
      <c r="D103" s="6" t="s">
        <v>16</v>
      </c>
      <c r="E103" s="6" t="s">
        <v>98</v>
      </c>
      <c r="F103" s="133" t="s">
        <v>99</v>
      </c>
      <c r="G103" s="133" t="s">
        <v>100</v>
      </c>
      <c r="H103" s="133" t="s">
        <v>101</v>
      </c>
      <c r="I103" s="6" t="s">
        <v>22</v>
      </c>
      <c r="J103" s="129" t="s">
        <v>23</v>
      </c>
      <c r="K103" s="129" t="s">
        <v>24</v>
      </c>
      <c r="L103" s="6" t="s">
        <v>97</v>
      </c>
      <c r="M103" s="119">
        <v>27</v>
      </c>
      <c r="N103" s="93">
        <v>58</v>
      </c>
      <c r="O103" s="6">
        <v>1</v>
      </c>
      <c r="P103" s="129">
        <v>2</v>
      </c>
      <c r="Q103" s="6">
        <v>273</v>
      </c>
      <c r="R103" s="98">
        <v>0.50019999999999998</v>
      </c>
      <c r="S103" s="94">
        <f>((Table3.110[[#This Row],[Sample weight, g]]*'2.1. DM'!Q69)/100)*1000</f>
        <v>472.54732332400579</v>
      </c>
      <c r="T103" s="94">
        <f>'3.2 Digest'!W103</f>
        <v>254.94732332400577</v>
      </c>
      <c r="U103" s="153">
        <v>0.40138888888888891</v>
      </c>
      <c r="V103" s="154">
        <v>41.5</v>
      </c>
      <c r="W103" s="153">
        <v>0.73819444444444449</v>
      </c>
      <c r="X103" s="95">
        <v>75.5</v>
      </c>
      <c r="Y103" s="95">
        <v>13.3</v>
      </c>
      <c r="Z103" s="154">
        <v>40.5</v>
      </c>
      <c r="AA103" s="153">
        <v>0.41736111111111113</v>
      </c>
      <c r="AB103" s="154">
        <v>70.5</v>
      </c>
      <c r="AC103" s="154">
        <v>16</v>
      </c>
      <c r="AD103" s="91"/>
      <c r="AE103" s="94">
        <f>Table3.110[[#This Row],[Gas 8h, ml]]-Table3.110[[#This Row],[Gas 0h, ml]]</f>
        <v>34</v>
      </c>
      <c r="AF103" s="94">
        <f>Table3.110[[#This Row],[Gas 24h, ml]]-Table3.110[[#This Row],[V8 Push back, ml]]</f>
        <v>30</v>
      </c>
      <c r="AG103" s="94">
        <f>Table3.110[[#This Row],[GP 8h, ml]]-(AVERAGE(AE$11,AE$12,AE$62,AE$61,AE$114,AE$115))*$AG$8</f>
        <v>31.344979731721114</v>
      </c>
      <c r="AH103" s="94">
        <f>Table3.110[[#This Row],[GP 8-24h, ml]]-(AVERAGE(AF$11,AF$12,AF$62,AF$61,AF$114,AF$115))*$AG$8</f>
        <v>26.31247184961266</v>
      </c>
      <c r="AI103" s="94">
        <f>Table3.110[[#This Row],[Net gas 8-24h, ml]]+Table3.110[[#This Row],[Net gas 8h, ml]]</f>
        <v>57.657451581333774</v>
      </c>
      <c r="AJ103" s="94">
        <f>Table3.110[[#This Row],[Net gas 8h, ml]]*Table3.110[[#This Row],[CH4 8h %]]%</f>
        <v>4.1688823043189087</v>
      </c>
      <c r="AK103" s="94">
        <f>Table3.110[[#This Row],[Net gas 8-24h, ml]]*Table3.110[[#This Row],[CH4 24h, %]]%</f>
        <v>4.2099954959380259</v>
      </c>
      <c r="AL103" s="94">
        <f>Table3.110[[#This Row],[CH4 8-24h, ml]]+Table3.110[[#This Row],[CH4 8h, ml]]</f>
        <v>8.3788778002569337</v>
      </c>
      <c r="AM103" s="94">
        <f>(Table3.110[[#This Row],[Net gas 24h, ml]]/Table3.110[[#This Row],[DM Incubated, mg]])*1000</f>
        <v>122.01413220533786</v>
      </c>
      <c r="AN103" s="94">
        <f>'3.2 Digest'!X103</f>
        <v>53.951701922814429</v>
      </c>
      <c r="AO103" s="94">
        <f>Table3.110[[#This Row],[Digested feed, mg]]/Table3.110[[#This Row],[Net gas 24h, ml]]</f>
        <v>4.4217584428678309</v>
      </c>
      <c r="AP103" s="94">
        <f>Table3.110[[#This Row],[CH4 8h, ml]]/Table3.110[[#This Row],[Net gas 8h, ml]]%</f>
        <v>13.300000000000002</v>
      </c>
      <c r="AQ103" s="94">
        <f>Table3.110[[#This Row],[CH4 24h, ml]]/Table3.110[[#This Row],[Net gas 24h, ml]]%</f>
        <v>14.532168124769393</v>
      </c>
      <c r="AR103" s="94">
        <f>Table3.110[[#This Row],[CH4 24h, ml]]/Table3.110[[#This Row],[DM Incubated, mg]]*1000</f>
        <v>17.731298828058094</v>
      </c>
      <c r="AS103" s="94">
        <f>Table3.110[[#This Row],[CH4 24h, ml]]/Table3.110[[#This Row],[Digested feed, mg]]*1000</f>
        <v>32.865133436244946</v>
      </c>
      <c r="AT103" s="94">
        <f>Table3.110[[#This Row],[CH4 24h, ml]]/'3.2 Digest'!AA103</f>
        <v>0.41316814332440488</v>
      </c>
      <c r="AU103" s="94">
        <f>((Table3.110[[#This Row],[CH4 24h, ml]]/28.9)*16.04)/Table3.110[[#This Row],[DM Incubated, mg]]*1000</f>
        <v>9.8411776194481586</v>
      </c>
      <c r="AV103" s="94">
        <f>((Table3.110[[#This Row],[CH4 24h, ml]]/28.9)*16.04)/Table3.110[[#This Row],[Digested feed, mg]]*1000</f>
        <v>18.240717658040445</v>
      </c>
    </row>
    <row r="104" spans="2:48" s="89" customFormat="1" x14ac:dyDescent="0.35">
      <c r="B104" s="90">
        <f t="shared" si="1"/>
        <v>94</v>
      </c>
      <c r="C104" s="140">
        <v>46041</v>
      </c>
      <c r="D104" s="6" t="s">
        <v>16</v>
      </c>
      <c r="E104" s="6" t="s">
        <v>98</v>
      </c>
      <c r="F104" s="133" t="s">
        <v>99</v>
      </c>
      <c r="G104" s="133" t="s">
        <v>100</v>
      </c>
      <c r="H104" s="133" t="s">
        <v>101</v>
      </c>
      <c r="I104" s="6" t="s">
        <v>22</v>
      </c>
      <c r="J104" s="129" t="s">
        <v>23</v>
      </c>
      <c r="K104" s="129" t="s">
        <v>24</v>
      </c>
      <c r="L104" s="6" t="s">
        <v>97</v>
      </c>
      <c r="M104" s="119">
        <v>27</v>
      </c>
      <c r="N104" s="93">
        <v>58</v>
      </c>
      <c r="O104" s="6">
        <v>1</v>
      </c>
      <c r="P104" s="129">
        <v>3</v>
      </c>
      <c r="Q104" s="6">
        <v>274</v>
      </c>
      <c r="R104" s="98">
        <v>0.50019999999999998</v>
      </c>
      <c r="S104" s="94">
        <f>((Table3.110[[#This Row],[Sample weight, g]]*'2.1. DM'!Q69)/100)*1000</f>
        <v>472.54732332400579</v>
      </c>
      <c r="T104" s="94">
        <f>'3.2 Digest'!W104</f>
        <v>284.34732332400574</v>
      </c>
      <c r="U104" s="117">
        <v>0.40208333333333335</v>
      </c>
      <c r="V104" s="155">
        <v>41.5</v>
      </c>
      <c r="W104" s="117">
        <v>0.73888888888888893</v>
      </c>
      <c r="X104" s="97">
        <v>78</v>
      </c>
      <c r="Y104" s="97">
        <v>12.2</v>
      </c>
      <c r="Z104" s="155">
        <v>40.5</v>
      </c>
      <c r="AA104" s="117">
        <v>0.41805555555555557</v>
      </c>
      <c r="AB104" s="155">
        <v>72.5</v>
      </c>
      <c r="AC104" s="155">
        <v>15.6</v>
      </c>
      <c r="AD104" s="96"/>
      <c r="AE104" s="94">
        <f>Table3.110[[#This Row],[Gas 8h, ml]]-Table3.110[[#This Row],[Gas 0h, ml]]</f>
        <v>36.5</v>
      </c>
      <c r="AF104" s="94">
        <f>Table3.110[[#This Row],[Gas 24h, ml]]-Table3.110[[#This Row],[V8 Push back, ml]]</f>
        <v>32</v>
      </c>
      <c r="AG104" s="94">
        <f>Table3.110[[#This Row],[GP 8h, ml]]-(AVERAGE(AE$11,AE$12,AE$62,AE$61,AE$114,AE$115))*$AG$8</f>
        <v>33.844979731721118</v>
      </c>
      <c r="AH104" s="94">
        <f>Table3.110[[#This Row],[GP 8-24h, ml]]-(AVERAGE(AF$11,AF$12,AF$62,AF$61,AF$114,AF$115))*$AG$8</f>
        <v>28.31247184961266</v>
      </c>
      <c r="AI104" s="94">
        <f>Table3.110[[#This Row],[Net gas 8-24h, ml]]+Table3.110[[#This Row],[Net gas 8h, ml]]</f>
        <v>62.157451581333774</v>
      </c>
      <c r="AJ104" s="94">
        <f>Table3.110[[#This Row],[Net gas 8h, ml]]*Table3.110[[#This Row],[CH4 8h %]]%</f>
        <v>4.1290875272699763</v>
      </c>
      <c r="AK104" s="94">
        <f>Table3.110[[#This Row],[Net gas 8-24h, ml]]*Table3.110[[#This Row],[CH4 24h, %]]%</f>
        <v>4.4167456085395749</v>
      </c>
      <c r="AL104" s="94">
        <f>Table3.110[[#This Row],[CH4 8-24h, ml]]+Table3.110[[#This Row],[CH4 8h, ml]]</f>
        <v>8.5458331358095521</v>
      </c>
      <c r="AM104" s="94">
        <f>(Table3.110[[#This Row],[Net gas 24h, ml]]/Table3.110[[#This Row],[DM Incubated, mg]])*1000</f>
        <v>131.53698796578522</v>
      </c>
      <c r="AN104" s="94">
        <f>'3.2 Digest'!X104</f>
        <v>60.17330101964005</v>
      </c>
      <c r="AO104" s="94">
        <f>Table3.110[[#This Row],[Digested feed, mg]]/Table3.110[[#This Row],[Net gas 24h, ml]]</f>
        <v>4.5746296878329034</v>
      </c>
      <c r="AP104" s="94">
        <f>Table3.110[[#This Row],[CH4 8h, ml]]/Table3.110[[#This Row],[Net gas 8h, ml]]%</f>
        <v>12.2</v>
      </c>
      <c r="AQ104" s="94">
        <f>Table3.110[[#This Row],[CH4 24h, ml]]/Table3.110[[#This Row],[Net gas 24h, ml]]%</f>
        <v>13.748686470241184</v>
      </c>
      <c r="AR104" s="94">
        <f>Table3.110[[#This Row],[CH4 24h, ml]]/Table3.110[[#This Row],[DM Incubated, mg]]*1000</f>
        <v>18.084608067814688</v>
      </c>
      <c r="AS104" s="94">
        <f>Table3.110[[#This Row],[CH4 24h, ml]]/Table3.110[[#This Row],[Digested feed, mg]]*1000</f>
        <v>30.054206369552553</v>
      </c>
      <c r="AT104" s="94">
        <f>Table3.110[[#This Row],[CH4 24h, ml]]/'3.2 Digest'!AA104</f>
        <v>0.27522251578330431</v>
      </c>
      <c r="AU104" s="94">
        <f>((Table3.110[[#This Row],[CH4 24h, ml]]/28.9)*16.04)/Table3.110[[#This Row],[DM Incubated, mg]]*1000</f>
        <v>10.037270360129677</v>
      </c>
      <c r="AV104" s="94">
        <f>((Table3.110[[#This Row],[CH4 24h, ml]]/28.9)*16.04)/Table3.110[[#This Row],[Digested feed, mg]]*1000</f>
        <v>16.680604504070001</v>
      </c>
    </row>
    <row r="105" spans="2:48" s="89" customFormat="1" x14ac:dyDescent="0.35">
      <c r="B105" s="90">
        <f t="shared" si="1"/>
        <v>95</v>
      </c>
      <c r="C105" s="140">
        <v>46041</v>
      </c>
      <c r="D105" s="6" t="s">
        <v>102</v>
      </c>
      <c r="E105" s="6" t="s">
        <v>104</v>
      </c>
      <c r="F105" s="133" t="s">
        <v>105</v>
      </c>
      <c r="G105" s="133" t="s">
        <v>106</v>
      </c>
      <c r="H105" s="133" t="s">
        <v>107</v>
      </c>
      <c r="I105" s="6" t="s">
        <v>108</v>
      </c>
      <c r="J105" s="8" t="s">
        <v>109</v>
      </c>
      <c r="K105" s="6" t="s">
        <v>110</v>
      </c>
      <c r="L105" s="6" t="s">
        <v>103</v>
      </c>
      <c r="M105" s="119">
        <v>27</v>
      </c>
      <c r="N105" s="93">
        <v>58</v>
      </c>
      <c r="O105" s="6">
        <v>1</v>
      </c>
      <c r="P105" s="129">
        <v>1</v>
      </c>
      <c r="Q105" s="6">
        <v>275</v>
      </c>
      <c r="R105" s="98">
        <v>0.50039999999999996</v>
      </c>
      <c r="S105" s="94">
        <f>((Table3.110[[#This Row],[Sample weight, g]]*'2.1. DM'!Q71)/100)*1000</f>
        <v>485.39325482443309</v>
      </c>
      <c r="T105" s="94">
        <f>'3.2 Digest'!W105</f>
        <v>281.99325482443317</v>
      </c>
      <c r="U105" s="153">
        <v>0.40208333333333335</v>
      </c>
      <c r="V105" s="154">
        <v>41</v>
      </c>
      <c r="W105" s="153">
        <v>0.73888888888888893</v>
      </c>
      <c r="X105" s="95">
        <v>85.5</v>
      </c>
      <c r="Y105" s="95">
        <v>13.1</v>
      </c>
      <c r="Z105" s="154">
        <v>40.5</v>
      </c>
      <c r="AA105" s="153">
        <v>0.41875000000000001</v>
      </c>
      <c r="AB105" s="154">
        <v>90</v>
      </c>
      <c r="AC105" s="154">
        <v>14.1</v>
      </c>
      <c r="AD105" s="91"/>
      <c r="AE105" s="94">
        <f>Table3.110[[#This Row],[Gas 8h, ml]]-Table3.110[[#This Row],[Gas 0h, ml]]</f>
        <v>44.5</v>
      </c>
      <c r="AF105" s="94">
        <f>Table3.110[[#This Row],[Gas 24h, ml]]-Table3.110[[#This Row],[V8 Push back, ml]]</f>
        <v>49.5</v>
      </c>
      <c r="AG105" s="94">
        <f>Table3.110[[#This Row],[GP 8h, ml]]-(AVERAGE(AE$11,AE$12,AE$62,AE$61,AE$114,AE$115))*$AG$8</f>
        <v>41.844979731721118</v>
      </c>
      <c r="AH105" s="94">
        <f>Table3.110[[#This Row],[GP 8-24h, ml]]-(AVERAGE(AF$11,AF$12,AF$62,AF$61,AF$114,AF$115))*$AG$8</f>
        <v>45.812471849612663</v>
      </c>
      <c r="AI105" s="94">
        <f>Table3.110[[#This Row],[Net gas 8-24h, ml]]+Table3.110[[#This Row],[Net gas 8h, ml]]</f>
        <v>87.657451581333788</v>
      </c>
      <c r="AJ105" s="94">
        <f>Table3.110[[#This Row],[Net gas 8h, ml]]*Table3.110[[#This Row],[CH4 8h %]]%</f>
        <v>5.4816923448554666</v>
      </c>
      <c r="AK105" s="94">
        <f>Table3.110[[#This Row],[Net gas 8-24h, ml]]*Table3.110[[#This Row],[CH4 24h, %]]%</f>
        <v>6.4595585307953849</v>
      </c>
      <c r="AL105" s="94">
        <f>Table3.110[[#This Row],[CH4 8-24h, ml]]+Table3.110[[#This Row],[CH4 8h, ml]]</f>
        <v>11.941250875650852</v>
      </c>
      <c r="AM105" s="94">
        <f>(Table3.110[[#This Row],[Net gas 24h, ml]]/Table3.110[[#This Row],[DM Incubated, mg]])*1000</f>
        <v>180.5905844592742</v>
      </c>
      <c r="AN105" s="94">
        <f>'3.2 Digest'!X105</f>
        <v>58.095833022325415</v>
      </c>
      <c r="AO105" s="94">
        <f>Table3.110[[#This Row],[Digested feed, mg]]/Table3.110[[#This Row],[Net gas 24h, ml]]</f>
        <v>3.2169912510265379</v>
      </c>
      <c r="AP105" s="94">
        <f>Table3.110[[#This Row],[CH4 8h, ml]]/Table3.110[[#This Row],[Net gas 8h, ml]]%</f>
        <v>13.100000000000001</v>
      </c>
      <c r="AQ105" s="94">
        <f>Table3.110[[#This Row],[CH4 24h, ml]]/Table3.110[[#This Row],[Net gas 24h, ml]]%</f>
        <v>13.622630660864068</v>
      </c>
      <c r="AR105" s="94">
        <f>Table3.110[[#This Row],[CH4 24h, ml]]/Table3.110[[#This Row],[DM Incubated, mg]]*1000</f>
        <v>24.601188329182708</v>
      </c>
      <c r="AS105" s="94">
        <f>Table3.110[[#This Row],[CH4 24h, ml]]/Table3.110[[#This Row],[Digested feed, mg]]*1000</f>
        <v>42.345874134774547</v>
      </c>
      <c r="AT105" s="94">
        <f>Table3.110[[#This Row],[CH4 24h, ml]]/'3.2 Digest'!AA105</f>
        <v>0.36676838538045714</v>
      </c>
      <c r="AU105" s="94">
        <f>((Table3.110[[#This Row],[CH4 24h, ml]]/28.9)*16.04)/Table3.110[[#This Row],[DM Incubated, mg]]*1000</f>
        <v>13.654085148792063</v>
      </c>
      <c r="AV105" s="94">
        <f>((Table3.110[[#This Row],[CH4 24h, ml]]/28.9)*16.04)/Table3.110[[#This Row],[Digested feed, mg]]*1000</f>
        <v>23.502692772380058</v>
      </c>
    </row>
    <row r="106" spans="2:48" s="89" customFormat="1" x14ac:dyDescent="0.35">
      <c r="B106" s="90">
        <f t="shared" si="1"/>
        <v>96</v>
      </c>
      <c r="C106" s="140">
        <v>46041</v>
      </c>
      <c r="D106" s="6" t="s">
        <v>102</v>
      </c>
      <c r="E106" s="6" t="s">
        <v>104</v>
      </c>
      <c r="F106" s="133" t="s">
        <v>105</v>
      </c>
      <c r="G106" s="133" t="s">
        <v>106</v>
      </c>
      <c r="H106" s="133" t="s">
        <v>107</v>
      </c>
      <c r="I106" s="6" t="s">
        <v>108</v>
      </c>
      <c r="J106" s="8" t="s">
        <v>109</v>
      </c>
      <c r="K106" s="6" t="s">
        <v>110</v>
      </c>
      <c r="L106" s="6" t="s">
        <v>103</v>
      </c>
      <c r="M106" s="119">
        <v>27</v>
      </c>
      <c r="N106" s="93">
        <v>58</v>
      </c>
      <c r="O106" s="6">
        <v>1</v>
      </c>
      <c r="P106" s="129">
        <v>2</v>
      </c>
      <c r="Q106" s="6">
        <v>276</v>
      </c>
      <c r="R106" s="98">
        <v>0.50019999999999998</v>
      </c>
      <c r="S106" s="94">
        <f>((Table3.110[[#This Row],[Sample weight, g]]*'2.1. DM'!Q71)/100)*1000</f>
        <v>485.19925272418357</v>
      </c>
      <c r="T106" s="94">
        <f>'3.2 Digest'!W106</f>
        <v>281.99925272418352</v>
      </c>
      <c r="U106" s="117">
        <v>0.40277777777777779</v>
      </c>
      <c r="V106" s="155">
        <v>41</v>
      </c>
      <c r="W106" s="117">
        <v>0.73958333333333337</v>
      </c>
      <c r="X106" s="97">
        <v>78.5</v>
      </c>
      <c r="Y106" s="97">
        <v>13.2</v>
      </c>
      <c r="Z106" s="155">
        <v>40.5</v>
      </c>
      <c r="AA106" s="117">
        <v>0.41944444444444445</v>
      </c>
      <c r="AB106" s="155">
        <v>94</v>
      </c>
      <c r="AC106" s="155">
        <v>14.1</v>
      </c>
      <c r="AD106" s="96"/>
      <c r="AE106" s="94">
        <f>Table3.110[[#This Row],[Gas 8h, ml]]-Table3.110[[#This Row],[Gas 0h, ml]]</f>
        <v>37.5</v>
      </c>
      <c r="AF106" s="94">
        <f>Table3.110[[#This Row],[Gas 24h, ml]]-Table3.110[[#This Row],[V8 Push back, ml]]</f>
        <v>53.5</v>
      </c>
      <c r="AG106" s="94">
        <f>Table3.110[[#This Row],[GP 8h, ml]]-(AVERAGE(AE$11,AE$12,AE$62,AE$61,AE$114,AE$115))*$AG$8</f>
        <v>34.844979731721118</v>
      </c>
      <c r="AH106" s="94">
        <f>Table3.110[[#This Row],[GP 8-24h, ml]]-(AVERAGE(AF$11,AF$12,AF$62,AF$61,AF$114,AF$115))*$AG$8</f>
        <v>49.812471849612663</v>
      </c>
      <c r="AI106" s="94">
        <f>Table3.110[[#This Row],[Net gas 8-24h, ml]]+Table3.110[[#This Row],[Net gas 8h, ml]]</f>
        <v>84.657451581333788</v>
      </c>
      <c r="AJ106" s="94">
        <f>Table3.110[[#This Row],[Net gas 8h, ml]]*Table3.110[[#This Row],[CH4 8h %]]%</f>
        <v>4.599537324587188</v>
      </c>
      <c r="AK106" s="94">
        <f>Table3.110[[#This Row],[Net gas 8-24h, ml]]*Table3.110[[#This Row],[CH4 24h, %]]%</f>
        <v>7.0235585307953849</v>
      </c>
      <c r="AL106" s="94">
        <f>Table3.110[[#This Row],[CH4 8-24h, ml]]+Table3.110[[#This Row],[CH4 8h, ml]]</f>
        <v>11.623095855382573</v>
      </c>
      <c r="AM106" s="94">
        <f>(Table3.110[[#This Row],[Net gas 24h, ml]]/Table3.110[[#This Row],[DM Incubated, mg]])*1000</f>
        <v>174.47976497494355</v>
      </c>
      <c r="AN106" s="94">
        <f>'3.2 Digest'!X106</f>
        <v>58.120298236421405</v>
      </c>
      <c r="AO106" s="94">
        <f>Table3.110[[#This Row],[Digested feed, mg]]/Table3.110[[#This Row],[Net gas 24h, ml]]</f>
        <v>3.3310623867912632</v>
      </c>
      <c r="AP106" s="94">
        <f>Table3.110[[#This Row],[CH4 8h, ml]]/Table3.110[[#This Row],[Net gas 8h, ml]]%</f>
        <v>13.200000000000003</v>
      </c>
      <c r="AQ106" s="94">
        <f>Table3.110[[#This Row],[CH4 24h, ml]]/Table3.110[[#This Row],[Net gas 24h, ml]]%</f>
        <v>13.729560290644708</v>
      </c>
      <c r="AR106" s="94">
        <f>Table3.110[[#This Row],[CH4 24h, ml]]/Table3.110[[#This Row],[DM Incubated, mg]]*1000</f>
        <v>23.95530452721006</v>
      </c>
      <c r="AS106" s="94">
        <f>Table3.110[[#This Row],[CH4 24h, ml]]/Table3.110[[#This Row],[Digested feed, mg]]*1000</f>
        <v>41.21676119032427</v>
      </c>
      <c r="AT106" s="94">
        <f>Table3.110[[#This Row],[CH4 24h, ml]]/'3.2 Digest'!AA106</f>
        <v>0.35656521976815492</v>
      </c>
      <c r="AU106" s="94">
        <f>((Table3.110[[#This Row],[CH4 24h, ml]]/28.9)*16.04)/Table3.110[[#This Row],[DM Incubated, mg]]*1000</f>
        <v>13.295608464237004</v>
      </c>
      <c r="AV106" s="94">
        <f>((Table3.110[[#This Row],[CH4 24h, ml]]/28.9)*16.04)/Table3.110[[#This Row],[Digested feed, mg]]*1000</f>
        <v>22.876015553384129</v>
      </c>
    </row>
    <row r="107" spans="2:48" s="89" customFormat="1" x14ac:dyDescent="0.35">
      <c r="B107" s="90">
        <f t="shared" si="1"/>
        <v>97</v>
      </c>
      <c r="C107" s="140">
        <v>46041</v>
      </c>
      <c r="D107" s="6" t="s">
        <v>102</v>
      </c>
      <c r="E107" s="6" t="s">
        <v>104</v>
      </c>
      <c r="F107" s="133" t="s">
        <v>105</v>
      </c>
      <c r="G107" s="133" t="s">
        <v>106</v>
      </c>
      <c r="H107" s="133" t="s">
        <v>107</v>
      </c>
      <c r="I107" s="6" t="s">
        <v>108</v>
      </c>
      <c r="J107" s="8" t="s">
        <v>109</v>
      </c>
      <c r="K107" s="6" t="s">
        <v>110</v>
      </c>
      <c r="L107" s="6" t="s">
        <v>103</v>
      </c>
      <c r="M107" s="119">
        <v>27</v>
      </c>
      <c r="N107" s="93">
        <v>58</v>
      </c>
      <c r="O107" s="6">
        <v>1</v>
      </c>
      <c r="P107" s="129">
        <v>3</v>
      </c>
      <c r="Q107" s="6">
        <v>277</v>
      </c>
      <c r="R107" s="98">
        <v>0.50019999999999998</v>
      </c>
      <c r="S107" s="94">
        <f>((Table3.110[[#This Row],[Sample weight, g]]*'2.1. DM'!Q71)/100)*1000</f>
        <v>485.19925272418357</v>
      </c>
      <c r="T107" s="94">
        <f>'3.2 Digest'!W107</f>
        <v>256.19925272418357</v>
      </c>
      <c r="U107" s="153">
        <v>0.40277777777777779</v>
      </c>
      <c r="V107" s="154">
        <v>40.5</v>
      </c>
      <c r="W107" s="153">
        <v>0.73958333333333337</v>
      </c>
      <c r="X107" s="95">
        <v>86</v>
      </c>
      <c r="Y107" s="95">
        <v>13.4</v>
      </c>
      <c r="Z107" s="154">
        <v>40</v>
      </c>
      <c r="AA107" s="153">
        <v>0.4201388888888889</v>
      </c>
      <c r="AB107" s="154">
        <v>88</v>
      </c>
      <c r="AC107" s="154">
        <v>14.4</v>
      </c>
      <c r="AD107" s="91"/>
      <c r="AE107" s="94">
        <f>Table3.110[[#This Row],[Gas 8h, ml]]-Table3.110[[#This Row],[Gas 0h, ml]]</f>
        <v>45.5</v>
      </c>
      <c r="AF107" s="94">
        <f>Table3.110[[#This Row],[Gas 24h, ml]]-Table3.110[[#This Row],[V8 Push back, ml]]</f>
        <v>48</v>
      </c>
      <c r="AG107" s="94">
        <f>Table3.110[[#This Row],[GP 8h, ml]]-(AVERAGE(AE$11,AE$12,AE$62,AE$61,AE$114,AE$115))*$AG$8</f>
        <v>42.844979731721118</v>
      </c>
      <c r="AH107" s="94">
        <f>Table3.110[[#This Row],[GP 8-24h, ml]]-(AVERAGE(AF$11,AF$12,AF$62,AF$61,AF$114,AF$115))*$AG$8</f>
        <v>44.312471849612663</v>
      </c>
      <c r="AI107" s="94">
        <f>Table3.110[[#This Row],[Net gas 8-24h, ml]]+Table3.110[[#This Row],[Net gas 8h, ml]]</f>
        <v>87.157451581333788</v>
      </c>
      <c r="AJ107" s="94">
        <f>Table3.110[[#This Row],[Net gas 8h, ml]]*Table3.110[[#This Row],[CH4 8h %]]%</f>
        <v>5.7412272840506304</v>
      </c>
      <c r="AK107" s="94">
        <f>Table3.110[[#This Row],[Net gas 8-24h, ml]]*Table3.110[[#This Row],[CH4 24h, %]]%</f>
        <v>6.3809959463442238</v>
      </c>
      <c r="AL107" s="94">
        <f>Table3.110[[#This Row],[CH4 8-24h, ml]]+Table3.110[[#This Row],[CH4 8h, ml]]</f>
        <v>12.122223230394855</v>
      </c>
      <c r="AM107" s="94">
        <f>(Table3.110[[#This Row],[Net gas 24h, ml]]/Table3.110[[#This Row],[DM Incubated, mg]])*1000</f>
        <v>179.63228733758854</v>
      </c>
      <c r="AN107" s="94">
        <f>'3.2 Digest'!X107</f>
        <v>52.802895158171779</v>
      </c>
      <c r="AO107" s="94">
        <f>Table3.110[[#This Row],[Digested feed, mg]]/Table3.110[[#This Row],[Net gas 24h, ml]]</f>
        <v>2.9394991257299781</v>
      </c>
      <c r="AP107" s="94">
        <f>Table3.110[[#This Row],[CH4 8h, ml]]/Table3.110[[#This Row],[Net gas 8h, ml]]%</f>
        <v>13.400000000000002</v>
      </c>
      <c r="AQ107" s="94">
        <f>Table3.110[[#This Row],[CH4 24h, ml]]/Table3.110[[#This Row],[Net gas 24h, ml]]%</f>
        <v>13.908418626814267</v>
      </c>
      <c r="AR107" s="94">
        <f>Table3.110[[#This Row],[CH4 24h, ml]]/Table3.110[[#This Row],[DM Incubated, mg]]*1000</f>
        <v>24.984010511833695</v>
      </c>
      <c r="AS107" s="94">
        <f>Table3.110[[#This Row],[CH4 24h, ml]]/Table3.110[[#This Row],[Digested feed, mg]]*1000</f>
        <v>47.315607291974722</v>
      </c>
      <c r="AT107" s="94">
        <f>Table3.110[[#This Row],[CH4 24h, ml]]/'3.2 Digest'!AA107</f>
        <v>0.50426516744443295</v>
      </c>
      <c r="AU107" s="94">
        <f>((Table3.110[[#This Row],[CH4 24h, ml]]/28.9)*16.04)/Table3.110[[#This Row],[DM Incubated, mg]]*1000</f>
        <v>13.866558083384513</v>
      </c>
      <c r="AV107" s="94">
        <f>((Table3.110[[#This Row],[CH4 24h, ml]]/28.9)*16.04)/Table3.110[[#This Row],[Digested feed, mg]]*1000</f>
        <v>26.26098065616867</v>
      </c>
    </row>
    <row r="108" spans="2:48" s="89" customFormat="1" x14ac:dyDescent="0.35">
      <c r="B108" s="90">
        <f t="shared" si="1"/>
        <v>98</v>
      </c>
      <c r="C108" s="140">
        <v>46041</v>
      </c>
      <c r="D108" s="6" t="s">
        <v>102</v>
      </c>
      <c r="E108" s="6" t="s">
        <v>114</v>
      </c>
      <c r="F108" s="133" t="s">
        <v>544</v>
      </c>
      <c r="G108" s="133" t="s">
        <v>116</v>
      </c>
      <c r="H108" s="133" t="s">
        <v>117</v>
      </c>
      <c r="I108" s="6" t="s">
        <v>22</v>
      </c>
      <c r="J108" s="8" t="s">
        <v>23</v>
      </c>
      <c r="K108" s="6" t="s">
        <v>118</v>
      </c>
      <c r="L108" s="6" t="s">
        <v>113</v>
      </c>
      <c r="M108" s="119">
        <v>27</v>
      </c>
      <c r="N108" s="93">
        <v>58</v>
      </c>
      <c r="O108" s="6">
        <v>1</v>
      </c>
      <c r="P108" s="129">
        <v>1</v>
      </c>
      <c r="Q108" s="6">
        <v>278</v>
      </c>
      <c r="R108" s="98">
        <v>0.50039999999999996</v>
      </c>
      <c r="S108" s="94">
        <f>((Table3.110[[#This Row],[Sample weight, g]]*'2.1. DM'!Q73)/100)*1000</f>
        <v>467.86036003873045</v>
      </c>
      <c r="T108" s="94">
        <f>'3.2 Digest'!W108</f>
        <v>313.56036003873044</v>
      </c>
      <c r="U108" s="117">
        <v>0.40347222222222223</v>
      </c>
      <c r="V108" s="155">
        <v>40</v>
      </c>
      <c r="W108" s="117">
        <v>0.74027777777777781</v>
      </c>
      <c r="X108" s="97">
        <v>84</v>
      </c>
      <c r="Y108" s="97">
        <v>13.7</v>
      </c>
      <c r="Z108" s="155">
        <v>39.5</v>
      </c>
      <c r="AA108" s="117">
        <v>0.42083333333333334</v>
      </c>
      <c r="AB108" s="155">
        <v>84</v>
      </c>
      <c r="AC108" s="155">
        <v>16.600000000000001</v>
      </c>
      <c r="AD108" s="96"/>
      <c r="AE108" s="94">
        <f>Table3.110[[#This Row],[Gas 8h, ml]]-Table3.110[[#This Row],[Gas 0h, ml]]</f>
        <v>44</v>
      </c>
      <c r="AF108" s="94">
        <f>Table3.110[[#This Row],[Gas 24h, ml]]-Table3.110[[#This Row],[V8 Push back, ml]]</f>
        <v>44.5</v>
      </c>
      <c r="AG108" s="94">
        <f>Table3.110[[#This Row],[GP 8h, ml]]-(AVERAGE(AE$11,AE$12,AE$62,AE$61,AE$114,AE$115))*$AG$8</f>
        <v>41.344979731721118</v>
      </c>
      <c r="AH108" s="94">
        <f>Table3.110[[#This Row],[GP 8-24h, ml]]-(AVERAGE(AF$11,AF$12,AF$62,AF$61,AF$114,AF$115))*$AG$8</f>
        <v>40.812471849612663</v>
      </c>
      <c r="AI108" s="94">
        <f>Table3.110[[#This Row],[Net gas 8-24h, ml]]+Table3.110[[#This Row],[Net gas 8h, ml]]</f>
        <v>82.157451581333788</v>
      </c>
      <c r="AJ108" s="94">
        <f>Table3.110[[#This Row],[Net gas 8h, ml]]*Table3.110[[#This Row],[CH4 8h %]]%</f>
        <v>5.6642622232457924</v>
      </c>
      <c r="AK108" s="94">
        <f>Table3.110[[#This Row],[Net gas 8-24h, ml]]*Table3.110[[#This Row],[CH4 24h, %]]%</f>
        <v>6.7748703270357025</v>
      </c>
      <c r="AL108" s="94">
        <f>Table3.110[[#This Row],[CH4 8-24h, ml]]+Table3.110[[#This Row],[CH4 8h, ml]]</f>
        <v>12.439132550281496</v>
      </c>
      <c r="AM108" s="94">
        <f>(Table3.110[[#This Row],[Net gas 24h, ml]]/Table3.110[[#This Row],[DM Incubated, mg]])*1000</f>
        <v>175.60250578726658</v>
      </c>
      <c r="AN108" s="94">
        <f>'3.2 Digest'!X108</f>
        <v>67.020074112022058</v>
      </c>
      <c r="AO108" s="94">
        <f>Table3.110[[#This Row],[Digested feed, mg]]/Table3.110[[#This Row],[Net gas 24h, ml]]</f>
        <v>3.8165784600598722</v>
      </c>
      <c r="AP108" s="94">
        <f>Table3.110[[#This Row],[CH4 8h, ml]]/Table3.110[[#This Row],[Net gas 8h, ml]]%</f>
        <v>13.7</v>
      </c>
      <c r="AQ108" s="94">
        <f>Table3.110[[#This Row],[CH4 24h, ml]]/Table3.110[[#This Row],[Net gas 24h, ml]]%</f>
        <v>15.14060174805577</v>
      </c>
      <c r="AR108" s="94">
        <f>Table3.110[[#This Row],[CH4 24h, ml]]/Table3.110[[#This Row],[DM Incubated, mg]]*1000</f>
        <v>26.587276060856617</v>
      </c>
      <c r="AS108" s="94">
        <f>Table3.110[[#This Row],[CH4 24h, ml]]/Table3.110[[#This Row],[Digested feed, mg]]*1000</f>
        <v>39.670615726889189</v>
      </c>
      <c r="AT108" s="94">
        <f>Table3.110[[#This Row],[CH4 24h, ml]]/'3.2 Digest'!AA108</f>
        <v>0.41278466981046175</v>
      </c>
      <c r="AU108" s="94">
        <f>((Table3.110[[#This Row],[CH4 24h, ml]]/28.9)*16.04)/Table3.110[[#This Row],[DM Incubated, mg]]*1000</f>
        <v>14.756398201250523</v>
      </c>
      <c r="AV108" s="94">
        <f>((Table3.110[[#This Row],[CH4 24h, ml]]/28.9)*16.04)/Table3.110[[#This Row],[Digested feed, mg]]*1000</f>
        <v>22.017878071256145</v>
      </c>
    </row>
    <row r="109" spans="2:48" s="89" customFormat="1" x14ac:dyDescent="0.35">
      <c r="B109" s="90">
        <f t="shared" si="1"/>
        <v>99</v>
      </c>
      <c r="C109" s="140">
        <v>46041</v>
      </c>
      <c r="D109" s="6" t="s">
        <v>102</v>
      </c>
      <c r="E109" s="6" t="s">
        <v>114</v>
      </c>
      <c r="F109" s="133" t="s">
        <v>544</v>
      </c>
      <c r="G109" s="133" t="s">
        <v>116</v>
      </c>
      <c r="H109" s="133" t="s">
        <v>117</v>
      </c>
      <c r="I109" s="6" t="s">
        <v>22</v>
      </c>
      <c r="J109" s="8" t="s">
        <v>23</v>
      </c>
      <c r="K109" s="6" t="s">
        <v>118</v>
      </c>
      <c r="L109" s="6" t="s">
        <v>113</v>
      </c>
      <c r="M109" s="119">
        <v>27</v>
      </c>
      <c r="N109" s="93">
        <v>58</v>
      </c>
      <c r="O109" s="6">
        <v>1</v>
      </c>
      <c r="P109" s="129">
        <v>2</v>
      </c>
      <c r="Q109" s="6">
        <v>279</v>
      </c>
      <c r="R109" s="98">
        <v>0.50049999999999994</v>
      </c>
      <c r="S109" s="94">
        <f>((Table3.110[[#This Row],[Sample weight, g]]*'2.1. DM'!Q73)/100)*1000</f>
        <v>467.95385731291879</v>
      </c>
      <c r="T109" s="94">
        <f>'3.2 Digest'!W109</f>
        <v>301.75385731291874</v>
      </c>
      <c r="U109" s="153">
        <v>0.40347222222222223</v>
      </c>
      <c r="V109" s="154">
        <v>41</v>
      </c>
      <c r="W109" s="153">
        <v>0.74027777777777781</v>
      </c>
      <c r="X109" s="95">
        <v>83</v>
      </c>
      <c r="Y109" s="95">
        <v>14</v>
      </c>
      <c r="Z109" s="154">
        <v>40.5</v>
      </c>
      <c r="AA109" s="153">
        <v>0.42083333333333334</v>
      </c>
      <c r="AB109" s="154">
        <v>81.5</v>
      </c>
      <c r="AC109" s="154">
        <v>16.5</v>
      </c>
      <c r="AD109" s="91"/>
      <c r="AE109" s="94">
        <f>Table3.110[[#This Row],[Gas 8h, ml]]-Table3.110[[#This Row],[Gas 0h, ml]]</f>
        <v>42</v>
      </c>
      <c r="AF109" s="94">
        <f>Table3.110[[#This Row],[Gas 24h, ml]]-Table3.110[[#This Row],[V8 Push back, ml]]</f>
        <v>41</v>
      </c>
      <c r="AG109" s="94">
        <f>Table3.110[[#This Row],[GP 8h, ml]]-(AVERAGE(AE$11,AE$12,AE$62,AE$61,AE$114,AE$115))*$AG$8</f>
        <v>39.344979731721118</v>
      </c>
      <c r="AH109" s="94">
        <f>Table3.110[[#This Row],[GP 8-24h, ml]]-(AVERAGE(AF$11,AF$12,AF$62,AF$61,AF$114,AF$115))*$AG$8</f>
        <v>37.312471849612663</v>
      </c>
      <c r="AI109" s="94">
        <f>Table3.110[[#This Row],[Net gas 8-24h, ml]]+Table3.110[[#This Row],[Net gas 8h, ml]]</f>
        <v>76.657451581333788</v>
      </c>
      <c r="AJ109" s="94">
        <f>Table3.110[[#This Row],[Net gas 8h, ml]]*Table3.110[[#This Row],[CH4 8h %]]%</f>
        <v>5.5082971624409574</v>
      </c>
      <c r="AK109" s="94">
        <f>Table3.110[[#This Row],[Net gas 8-24h, ml]]*Table3.110[[#This Row],[CH4 24h, %]]%</f>
        <v>6.1565578551860893</v>
      </c>
      <c r="AL109" s="94">
        <f>Table3.110[[#This Row],[CH4 8-24h, ml]]+Table3.110[[#This Row],[CH4 8h, ml]]</f>
        <v>11.664855017627048</v>
      </c>
      <c r="AM109" s="94">
        <f>(Table3.110[[#This Row],[Net gas 24h, ml]]/Table3.110[[#This Row],[DM Incubated, mg]])*1000</f>
        <v>163.81412479750813</v>
      </c>
      <c r="AN109" s="94">
        <f>'3.2 Digest'!X109</f>
        <v>64.483677738152977</v>
      </c>
      <c r="AO109" s="94">
        <f>Table3.110[[#This Row],[Digested feed, mg]]/Table3.110[[#This Row],[Net gas 24h, ml]]</f>
        <v>3.9363930197021615</v>
      </c>
      <c r="AP109" s="94">
        <f>Table3.110[[#This Row],[CH4 8h, ml]]/Table3.110[[#This Row],[Net gas 8h, ml]]%</f>
        <v>14.000000000000002</v>
      </c>
      <c r="AQ109" s="94">
        <f>Table3.110[[#This Row],[CH4 24h, ml]]/Table3.110[[#This Row],[Net gas 24h, ml]]%</f>
        <v>15.216857300885616</v>
      </c>
      <c r="AR109" s="94">
        <f>Table3.110[[#This Row],[CH4 24h, ml]]/Table3.110[[#This Row],[DM Incubated, mg]]*1000</f>
        <v>24.927361609131491</v>
      </c>
      <c r="AS109" s="94">
        <f>Table3.110[[#This Row],[CH4 24h, ml]]/Table3.110[[#This Row],[Digested feed, mg]]*1000</f>
        <v>38.656854701050577</v>
      </c>
      <c r="AT109" s="94">
        <f>Table3.110[[#This Row],[CH4 24h, ml]]/'3.2 Digest'!AA109</f>
        <v>0.47108791382770704</v>
      </c>
      <c r="AU109" s="94">
        <f>((Table3.110[[#This Row],[CH4 24h, ml]]/28.9)*16.04)/Table3.110[[#This Row],[DM Incubated, mg]]*1000</f>
        <v>13.835116962299971</v>
      </c>
      <c r="AV109" s="94">
        <f>((Table3.110[[#This Row],[CH4 24h, ml]]/28.9)*16.04)/Table3.110[[#This Row],[Digested feed, mg]]*1000</f>
        <v>21.455223162797623</v>
      </c>
    </row>
    <row r="110" spans="2:48" s="89" customFormat="1" x14ac:dyDescent="0.35">
      <c r="B110" s="90">
        <f t="shared" si="1"/>
        <v>100</v>
      </c>
      <c r="C110" s="140">
        <v>46041</v>
      </c>
      <c r="D110" s="6" t="s">
        <v>102</v>
      </c>
      <c r="E110" s="6" t="s">
        <v>114</v>
      </c>
      <c r="F110" s="133" t="s">
        <v>544</v>
      </c>
      <c r="G110" s="133" t="s">
        <v>116</v>
      </c>
      <c r="H110" s="133" t="s">
        <v>117</v>
      </c>
      <c r="I110" s="6" t="s">
        <v>22</v>
      </c>
      <c r="J110" s="8" t="s">
        <v>23</v>
      </c>
      <c r="K110" s="6" t="s">
        <v>118</v>
      </c>
      <c r="L110" s="6" t="s">
        <v>113</v>
      </c>
      <c r="M110" s="119">
        <v>27</v>
      </c>
      <c r="N110" s="93">
        <v>58</v>
      </c>
      <c r="O110" s="6">
        <v>1</v>
      </c>
      <c r="P110" s="129">
        <v>3</v>
      </c>
      <c r="Q110" s="6">
        <v>280</v>
      </c>
      <c r="R110" s="98">
        <v>0.50039999999999996</v>
      </c>
      <c r="S110" s="94">
        <f>((Table3.110[[#This Row],[Sample weight, g]]*'2.1. DM'!Q73)/100)*1000</f>
        <v>467.86036003873045</v>
      </c>
      <c r="T110" s="94">
        <f>'3.2 Digest'!W110</f>
        <v>252.96036003873036</v>
      </c>
      <c r="U110" s="117">
        <v>0.40416666666666667</v>
      </c>
      <c r="V110" s="155">
        <v>41</v>
      </c>
      <c r="W110" s="117">
        <v>0.74097222222222225</v>
      </c>
      <c r="X110" s="97">
        <v>83.5</v>
      </c>
      <c r="Y110" s="97">
        <v>13.8</v>
      </c>
      <c r="Z110" s="155">
        <v>40</v>
      </c>
      <c r="AA110" s="117">
        <v>0.42152777777777778</v>
      </c>
      <c r="AB110" s="155">
        <v>83</v>
      </c>
      <c r="AC110" s="155">
        <v>16.399999999999999</v>
      </c>
      <c r="AD110" s="96"/>
      <c r="AE110" s="94">
        <f>Table3.110[[#This Row],[Gas 8h, ml]]-Table3.110[[#This Row],[Gas 0h, ml]]</f>
        <v>42.5</v>
      </c>
      <c r="AF110" s="94">
        <f>Table3.110[[#This Row],[Gas 24h, ml]]-Table3.110[[#This Row],[V8 Push back, ml]]</f>
        <v>43</v>
      </c>
      <c r="AG110" s="94">
        <f>Table3.110[[#This Row],[GP 8h, ml]]-(AVERAGE(AE$11,AE$12,AE$62,AE$61,AE$114,AE$115))*$AG$8</f>
        <v>39.844979731721118</v>
      </c>
      <c r="AH110" s="94">
        <f>Table3.110[[#This Row],[GP 8-24h, ml]]-(AVERAGE(AF$11,AF$12,AF$62,AF$61,AF$114,AF$115))*$AG$8</f>
        <v>39.312471849612663</v>
      </c>
      <c r="AI110" s="94">
        <f>Table3.110[[#This Row],[Net gas 8-24h, ml]]+Table3.110[[#This Row],[Net gas 8h, ml]]</f>
        <v>79.157451581333788</v>
      </c>
      <c r="AJ110" s="94">
        <f>Table3.110[[#This Row],[Net gas 8h, ml]]*Table3.110[[#This Row],[CH4 8h %]]%</f>
        <v>5.4986072029775146</v>
      </c>
      <c r="AK110" s="94">
        <f>Table3.110[[#This Row],[Net gas 8-24h, ml]]*Table3.110[[#This Row],[CH4 24h, %]]%</f>
        <v>6.447245383336476</v>
      </c>
      <c r="AL110" s="94">
        <f>Table3.110[[#This Row],[CH4 8-24h, ml]]+Table3.110[[#This Row],[CH4 8h, ml]]</f>
        <v>11.94585258631399</v>
      </c>
      <c r="AM110" s="94">
        <f>(Table3.110[[#This Row],[Net gas 24h, ml]]/Table3.110[[#This Row],[DM Incubated, mg]])*1000</f>
        <v>169.19033613957157</v>
      </c>
      <c r="AN110" s="94">
        <f>'3.2 Digest'!X110</f>
        <v>54.067491423678163</v>
      </c>
      <c r="AO110" s="94">
        <f>Table3.110[[#This Row],[Digested feed, mg]]/Table3.110[[#This Row],[Net gas 24h, ml]]</f>
        <v>3.1956607367382861</v>
      </c>
      <c r="AP110" s="94">
        <f>Table3.110[[#This Row],[CH4 8h, ml]]/Table3.110[[#This Row],[Net gas 8h, ml]]%</f>
        <v>13.8</v>
      </c>
      <c r="AQ110" s="94">
        <f>Table3.110[[#This Row],[CH4 24h, ml]]/Table3.110[[#This Row],[Net gas 24h, ml]]%</f>
        <v>15.091254642072073</v>
      </c>
      <c r="AR110" s="94">
        <f>Table3.110[[#This Row],[CH4 24h, ml]]/Table3.110[[#This Row],[DM Incubated, mg]]*1000</f>
        <v>25.532944456600443</v>
      </c>
      <c r="AS110" s="94">
        <f>Table3.110[[#This Row],[CH4 24h, ml]]/Table3.110[[#This Row],[Digested feed, mg]]*1000</f>
        <v>47.2242077157266</v>
      </c>
      <c r="AT110" s="94">
        <f>Table3.110[[#This Row],[CH4 24h, ml]]/'3.2 Digest'!AA110</f>
        <v>4.4314952607458551</v>
      </c>
      <c r="AU110" s="94">
        <f>((Table3.110[[#This Row],[CH4 24h, ml]]/28.9)*16.04)/Table3.110[[#This Row],[DM Incubated, mg]]*1000</f>
        <v>14.171225919857131</v>
      </c>
      <c r="AV110" s="94">
        <f>((Table3.110[[#This Row],[CH4 24h, ml]]/28.9)*16.04)/Table3.110[[#This Row],[Digested feed, mg]]*1000</f>
        <v>26.210252310043415</v>
      </c>
    </row>
    <row r="111" spans="2:48" s="89" customFormat="1" x14ac:dyDescent="0.35">
      <c r="B111" s="90">
        <f t="shared" si="1"/>
        <v>101</v>
      </c>
      <c r="C111" s="140">
        <v>46041</v>
      </c>
      <c r="D111" s="8" t="s">
        <v>120</v>
      </c>
      <c r="E111" s="6" t="s">
        <v>122</v>
      </c>
      <c r="F111" s="133" t="s">
        <v>123</v>
      </c>
      <c r="G111" s="133" t="s">
        <v>545</v>
      </c>
      <c r="H111" s="133" t="s">
        <v>125</v>
      </c>
      <c r="I111" s="6" t="s">
        <v>108</v>
      </c>
      <c r="J111" s="8" t="s">
        <v>109</v>
      </c>
      <c r="K111" s="6" t="s">
        <v>110</v>
      </c>
      <c r="L111" s="6" t="s">
        <v>121</v>
      </c>
      <c r="M111" s="119">
        <v>27</v>
      </c>
      <c r="N111" s="93">
        <v>58</v>
      </c>
      <c r="O111" s="6">
        <v>1</v>
      </c>
      <c r="P111" s="129">
        <v>1</v>
      </c>
      <c r="Q111" s="6">
        <v>281</v>
      </c>
      <c r="R111" s="98">
        <v>0.50039999999999996</v>
      </c>
      <c r="S111" s="94">
        <f>((Table3.110[[#This Row],[Sample weight, g]]*'2.1. DM'!Q75)/100)*1000</f>
        <v>468.12419999999992</v>
      </c>
      <c r="T111" s="94">
        <f>'3.2 Digest'!W111</f>
        <v>220.02419999999992</v>
      </c>
      <c r="U111" s="153">
        <v>0.40486111111111112</v>
      </c>
      <c r="V111" s="154">
        <v>40.5</v>
      </c>
      <c r="W111" s="153">
        <v>0.7416666666666667</v>
      </c>
      <c r="X111" s="95">
        <v>67</v>
      </c>
      <c r="Y111" s="95">
        <v>15.9</v>
      </c>
      <c r="Z111" s="154">
        <v>40.5</v>
      </c>
      <c r="AA111" s="153">
        <v>0.42222222222222222</v>
      </c>
      <c r="AB111" s="154">
        <v>82.5</v>
      </c>
      <c r="AC111" s="154">
        <v>16.600000000000001</v>
      </c>
      <c r="AD111" s="91"/>
      <c r="AE111" s="94">
        <f>Table3.110[[#This Row],[Gas 8h, ml]]-Table3.110[[#This Row],[Gas 0h, ml]]</f>
        <v>26.5</v>
      </c>
      <c r="AF111" s="94">
        <f>Table3.110[[#This Row],[Gas 24h, ml]]-Table3.110[[#This Row],[V8 Push back, ml]]</f>
        <v>42</v>
      </c>
      <c r="AG111" s="94">
        <f>Table3.110[[#This Row],[GP 8h, ml]]-(AVERAGE(AE$11,AE$12,AE$62,AE$61,AE$114,AE$115))*$AG$8</f>
        <v>23.844979731721114</v>
      </c>
      <c r="AH111" s="94">
        <f>Table3.110[[#This Row],[GP 8-24h, ml]]-(AVERAGE(AF$11,AF$12,AF$62,AF$61,AF$114,AF$115))*$AG$8</f>
        <v>38.312471849612663</v>
      </c>
      <c r="AI111" s="94">
        <f>Table3.110[[#This Row],[Net gas 8-24h, ml]]+Table3.110[[#This Row],[Net gas 8h, ml]]</f>
        <v>62.157451581333774</v>
      </c>
      <c r="AJ111" s="94">
        <f>Table3.110[[#This Row],[Net gas 8h, ml]]*Table3.110[[#This Row],[CH4 8h %]]%</f>
        <v>3.7913517773436571</v>
      </c>
      <c r="AK111" s="94">
        <f>Table3.110[[#This Row],[Net gas 8-24h, ml]]*Table3.110[[#This Row],[CH4 24h, %]]%</f>
        <v>6.3598703270357024</v>
      </c>
      <c r="AL111" s="94">
        <f>Table3.110[[#This Row],[CH4 8-24h, ml]]+Table3.110[[#This Row],[CH4 8h, ml]]</f>
        <v>10.151222104379359</v>
      </c>
      <c r="AM111" s="94">
        <f>(Table3.110[[#This Row],[Net gas 24h, ml]]/Table3.110[[#This Row],[DM Incubated, mg]])*1000</f>
        <v>132.77982975743143</v>
      </c>
      <c r="AN111" s="94">
        <f>'3.2 Digest'!X111</f>
        <v>47.00124454151269</v>
      </c>
      <c r="AO111" s="94">
        <f>Table3.110[[#This Row],[Digested feed, mg]]/Table3.110[[#This Row],[Net gas 24h, ml]]</f>
        <v>3.5397879804016035</v>
      </c>
      <c r="AP111" s="94">
        <f>Table3.110[[#This Row],[CH4 8h, ml]]/Table3.110[[#This Row],[Net gas 8h, ml]]%</f>
        <v>15.9</v>
      </c>
      <c r="AQ111" s="94">
        <f>Table3.110[[#This Row],[CH4 24h, ml]]/Table3.110[[#This Row],[Net gas 24h, ml]]%</f>
        <v>16.331464444124389</v>
      </c>
      <c r="AR111" s="94">
        <f>Table3.110[[#This Row],[CH4 24h, ml]]/Table3.110[[#This Row],[DM Incubated, mg]]*1000</f>
        <v>21.684890685803811</v>
      </c>
      <c r="AS111" s="94">
        <f>Table3.110[[#This Row],[CH4 24h, ml]]/Table3.110[[#This Row],[Digested feed, mg]]*1000</f>
        <v>46.136843603473451</v>
      </c>
      <c r="AT111" s="94">
        <f>Table3.110[[#This Row],[CH4 24h, ml]]/'3.2 Digest'!AA111</f>
        <v>0.33440103227126172</v>
      </c>
      <c r="AU111" s="94">
        <f>((Table3.110[[#This Row],[CH4 24h, ml]]/28.9)*16.04)/Table3.110[[#This Row],[DM Incubated, mg]]*1000</f>
        <v>12.035489501740246</v>
      </c>
      <c r="AV111" s="94">
        <f>((Table3.110[[#This Row],[CH4 24h, ml]]/28.9)*16.04)/Table3.110[[#This Row],[Digested feed, mg]]*1000</f>
        <v>25.606746415215017</v>
      </c>
    </row>
    <row r="112" spans="2:48" s="89" customFormat="1" x14ac:dyDescent="0.35">
      <c r="B112" s="90">
        <f t="shared" si="1"/>
        <v>102</v>
      </c>
      <c r="C112" s="140">
        <v>46041</v>
      </c>
      <c r="D112" s="8" t="s">
        <v>120</v>
      </c>
      <c r="E112" s="6" t="s">
        <v>122</v>
      </c>
      <c r="F112" s="133" t="s">
        <v>123</v>
      </c>
      <c r="G112" s="133" t="s">
        <v>545</v>
      </c>
      <c r="H112" s="133" t="s">
        <v>125</v>
      </c>
      <c r="I112" s="6" t="s">
        <v>108</v>
      </c>
      <c r="J112" s="8" t="s">
        <v>109</v>
      </c>
      <c r="K112" s="6" t="s">
        <v>110</v>
      </c>
      <c r="L112" s="6" t="s">
        <v>121</v>
      </c>
      <c r="M112" s="119">
        <v>27</v>
      </c>
      <c r="N112" s="93">
        <v>58</v>
      </c>
      <c r="O112" s="6">
        <v>1</v>
      </c>
      <c r="P112" s="129">
        <v>2</v>
      </c>
      <c r="Q112" s="6">
        <v>282</v>
      </c>
      <c r="R112" s="98">
        <v>0.50029999999999997</v>
      </c>
      <c r="S112" s="94">
        <f>((Table3.110[[#This Row],[Sample weight, g]]*'2.1. DM'!Q75)/100)*1000</f>
        <v>468.03064999999998</v>
      </c>
      <c r="T112" s="94">
        <f>'3.2 Digest'!W112</f>
        <v>176.73064999999997</v>
      </c>
      <c r="U112" s="117">
        <v>0.40486111111111112</v>
      </c>
      <c r="V112" s="155">
        <v>41</v>
      </c>
      <c r="W112" s="117">
        <v>0.7416666666666667</v>
      </c>
      <c r="X112" s="97">
        <v>70.5</v>
      </c>
      <c r="Y112" s="97">
        <v>15.6</v>
      </c>
      <c r="Z112" s="155">
        <v>41</v>
      </c>
      <c r="AA112" s="117">
        <v>0.42222222222222222</v>
      </c>
      <c r="AB112" s="155">
        <v>85.5</v>
      </c>
      <c r="AC112" s="155">
        <v>16.399999999999999</v>
      </c>
      <c r="AD112" s="96"/>
      <c r="AE112" s="94">
        <f>Table3.110[[#This Row],[Gas 8h, ml]]-Table3.110[[#This Row],[Gas 0h, ml]]</f>
        <v>29.5</v>
      </c>
      <c r="AF112" s="94">
        <f>Table3.110[[#This Row],[Gas 24h, ml]]-Table3.110[[#This Row],[V8 Push back, ml]]</f>
        <v>44.5</v>
      </c>
      <c r="AG112" s="94">
        <f>Table3.110[[#This Row],[GP 8h, ml]]-(AVERAGE(AE$11,AE$12,AE$62,AE$61,AE$114,AE$115))*$AG$8</f>
        <v>26.844979731721114</v>
      </c>
      <c r="AH112" s="94">
        <f>Table3.110[[#This Row],[GP 8-24h, ml]]-(AVERAGE(AF$11,AF$12,AF$62,AF$61,AF$114,AF$115))*$AG$8</f>
        <v>40.812471849612663</v>
      </c>
      <c r="AI112" s="94">
        <f>Table3.110[[#This Row],[Net gas 8-24h, ml]]+Table3.110[[#This Row],[Net gas 8h, ml]]</f>
        <v>67.657451581333774</v>
      </c>
      <c r="AJ112" s="94">
        <f>Table3.110[[#This Row],[Net gas 8h, ml]]*Table3.110[[#This Row],[CH4 8h %]]%</f>
        <v>4.1878168381484935</v>
      </c>
      <c r="AK112" s="94">
        <f>Table3.110[[#This Row],[Net gas 8-24h, ml]]*Table3.110[[#This Row],[CH4 24h, %]]%</f>
        <v>6.6932453833364756</v>
      </c>
      <c r="AL112" s="94">
        <f>Table3.110[[#This Row],[CH4 8-24h, ml]]+Table3.110[[#This Row],[CH4 8h, ml]]</f>
        <v>10.881062221484969</v>
      </c>
      <c r="AM112" s="94">
        <f>(Table3.110[[#This Row],[Net gas 24h, ml]]/Table3.110[[#This Row],[DM Incubated, mg]])*1000</f>
        <v>144.55773693738598</v>
      </c>
      <c r="AN112" s="94">
        <f>'3.2 Digest'!X112</f>
        <v>37.76048641258857</v>
      </c>
      <c r="AO112" s="94">
        <f>Table3.110[[#This Row],[Digested feed, mg]]/Table3.110[[#This Row],[Net gas 24h, ml]]</f>
        <v>2.6121387351923073</v>
      </c>
      <c r="AP112" s="94">
        <f>Table3.110[[#This Row],[CH4 8h, ml]]/Table3.110[[#This Row],[Net gas 8h, ml]]%</f>
        <v>15.6</v>
      </c>
      <c r="AQ112" s="94">
        <f>Table3.110[[#This Row],[CH4 24h, ml]]/Table3.110[[#This Row],[Net gas 24h, ml]]%</f>
        <v>16.082577701591969</v>
      </c>
      <c r="AR112" s="94">
        <f>Table3.110[[#This Row],[CH4 24h, ml]]/Table3.110[[#This Row],[DM Incubated, mg]]*1000</f>
        <v>23.248610366618021</v>
      </c>
      <c r="AS112" s="94">
        <f>Table3.110[[#This Row],[CH4 24h, ml]]/Table3.110[[#This Row],[Digested feed, mg]]*1000</f>
        <v>61.56861993935388</v>
      </c>
      <c r="AT112" s="94">
        <f>Table3.110[[#This Row],[CH4 24h, ml]]/'3.2 Digest'!AA112</f>
        <v>0.59741686576233266</v>
      </c>
      <c r="AU112" s="94">
        <f>((Table3.110[[#This Row],[CH4 24h, ml]]/28.9)*16.04)/Table3.110[[#This Row],[DM Incubated, mg]]*1000</f>
        <v>12.903380978565847</v>
      </c>
      <c r="AV112" s="94">
        <f>((Table3.110[[#This Row],[CH4 24h, ml]]/28.9)*16.04)/Table3.110[[#This Row],[Digested feed, mg]]*1000</f>
        <v>34.171649267378406</v>
      </c>
    </row>
    <row r="113" spans="2:49" s="89" customFormat="1" x14ac:dyDescent="0.35">
      <c r="B113" s="90">
        <f t="shared" si="1"/>
        <v>103</v>
      </c>
      <c r="C113" s="140">
        <v>46041</v>
      </c>
      <c r="D113" s="8" t="s">
        <v>120</v>
      </c>
      <c r="E113" s="6" t="s">
        <v>122</v>
      </c>
      <c r="F113" s="133" t="s">
        <v>123</v>
      </c>
      <c r="G113" s="133" t="s">
        <v>545</v>
      </c>
      <c r="H113" s="133" t="s">
        <v>125</v>
      </c>
      <c r="I113" s="6" t="s">
        <v>108</v>
      </c>
      <c r="J113" s="8" t="s">
        <v>109</v>
      </c>
      <c r="K113" s="6" t="s">
        <v>110</v>
      </c>
      <c r="L113" s="6" t="s">
        <v>121</v>
      </c>
      <c r="M113" s="119">
        <v>27</v>
      </c>
      <c r="N113" s="93">
        <v>58</v>
      </c>
      <c r="O113" s="6">
        <v>1</v>
      </c>
      <c r="P113" s="129">
        <v>3</v>
      </c>
      <c r="Q113" s="6">
        <v>283</v>
      </c>
      <c r="R113" s="98">
        <v>0.50039999999999996</v>
      </c>
      <c r="S113" s="94">
        <f>((Table3.110[[#This Row],[Sample weight, g]]*'2.1. DM'!Q75)/100)*1000</f>
        <v>468.12419999999992</v>
      </c>
      <c r="T113" s="94">
        <f>'3.2 Digest'!W113</f>
        <v>163.82419999999991</v>
      </c>
      <c r="U113" s="153">
        <v>0.40555555555555556</v>
      </c>
      <c r="V113" s="154">
        <v>40.5</v>
      </c>
      <c r="W113" s="153">
        <v>0.7416666666666667</v>
      </c>
      <c r="X113" s="95">
        <v>68.5</v>
      </c>
      <c r="Y113" s="95">
        <v>16.100000000000001</v>
      </c>
      <c r="Z113" s="154">
        <v>41</v>
      </c>
      <c r="AA113" s="153">
        <v>0.42291666666666666</v>
      </c>
      <c r="AB113" s="154">
        <v>81</v>
      </c>
      <c r="AC113" s="154">
        <v>16.8</v>
      </c>
      <c r="AD113" s="91"/>
      <c r="AE113" s="94">
        <f>Table3.110[[#This Row],[Gas 8h, ml]]-Table3.110[[#This Row],[Gas 0h, ml]]</f>
        <v>28</v>
      </c>
      <c r="AF113" s="94">
        <f>Table3.110[[#This Row],[Gas 24h, ml]]-Table3.110[[#This Row],[V8 Push back, ml]]</f>
        <v>40</v>
      </c>
      <c r="AG113" s="94">
        <f>Table3.110[[#This Row],[GP 8h, ml]]-(AVERAGE(AE$11,AE$12,AE$62,AE$61,AE$114,AE$115))*$AG$8</f>
        <v>25.344979731721114</v>
      </c>
      <c r="AH113" s="94">
        <f>Table3.110[[#This Row],[GP 8-24h, ml]]-(AVERAGE(AF$11,AF$12,AF$62,AF$61,AF$114,AF$115))*$AG$8</f>
        <v>36.312471849612663</v>
      </c>
      <c r="AI113" s="94">
        <f>Table3.110[[#This Row],[Net gas 8-24h, ml]]+Table3.110[[#This Row],[Net gas 8h, ml]]</f>
        <v>61.657451581333774</v>
      </c>
      <c r="AJ113" s="94">
        <f>Table3.110[[#This Row],[Net gas 8h, ml]]*Table3.110[[#This Row],[CH4 8h %]]%</f>
        <v>4.0805417368070991</v>
      </c>
      <c r="AK113" s="94">
        <f>Table3.110[[#This Row],[Net gas 8-24h, ml]]*Table3.110[[#This Row],[CH4 24h, %]]%</f>
        <v>6.1004952707349274</v>
      </c>
      <c r="AL113" s="94">
        <f>Table3.110[[#This Row],[CH4 8-24h, ml]]+Table3.110[[#This Row],[CH4 8h, ml]]</f>
        <v>10.181037007542027</v>
      </c>
      <c r="AM113" s="94">
        <f>(Table3.110[[#This Row],[Net gas 24h, ml]]/Table3.110[[#This Row],[DM Incubated, mg]])*1000</f>
        <v>131.71173714440269</v>
      </c>
      <c r="AN113" s="94">
        <f>'3.2 Digest'!X113</f>
        <v>34.995883571069378</v>
      </c>
      <c r="AO113" s="94">
        <f>Table3.110[[#This Row],[Digested feed, mg]]/Table3.110[[#This Row],[Net gas 24h, ml]]</f>
        <v>2.6570056951493624</v>
      </c>
      <c r="AP113" s="94">
        <f>Table3.110[[#This Row],[CH4 8h, ml]]/Table3.110[[#This Row],[Net gas 8h, ml]]%</f>
        <v>16.100000000000001</v>
      </c>
      <c r="AQ113" s="94">
        <f>Table3.110[[#This Row],[CH4 24h, ml]]/Table3.110[[#This Row],[Net gas 24h, ml]]%</f>
        <v>16.512257231572384</v>
      </c>
      <c r="AR113" s="94">
        <f>Table3.110[[#This Row],[CH4 24h, ml]]/Table3.110[[#This Row],[DM Incubated, mg]]*1000</f>
        <v>21.748580841456242</v>
      </c>
      <c r="AS113" s="94">
        <f>Table3.110[[#This Row],[CH4 24h, ml]]/Table3.110[[#This Row],[Digested feed, mg]]*1000</f>
        <v>62.146111548489372</v>
      </c>
      <c r="AT113" s="94">
        <f>Table3.110[[#This Row],[CH4 24h, ml]]/'3.2 Digest'!AA113</f>
        <v>0.69825616978718807</v>
      </c>
      <c r="AU113" s="94">
        <f>((Table3.110[[#This Row],[CH4 24h, ml]]/28.9)*16.04)/Table3.110[[#This Row],[DM Incubated, mg]]*1000</f>
        <v>12.07083864003315</v>
      </c>
      <c r="AV113" s="94">
        <f>((Table3.110[[#This Row],[CH4 24h, ml]]/28.9)*16.04)/Table3.110[[#This Row],[Digested feed, mg]]*1000</f>
        <v>34.492167101652925</v>
      </c>
    </row>
    <row r="114" spans="2:49" s="89" customFormat="1" x14ac:dyDescent="0.35">
      <c r="B114" s="90">
        <f t="shared" si="1"/>
        <v>104</v>
      </c>
      <c r="C114" s="143">
        <v>46041</v>
      </c>
      <c r="D114" s="92"/>
      <c r="E114" s="124" t="s">
        <v>537</v>
      </c>
      <c r="F114" s="133" t="s">
        <v>538</v>
      </c>
      <c r="G114" s="133">
        <v>24</v>
      </c>
      <c r="H114" s="185" t="s">
        <v>537</v>
      </c>
      <c r="I114" s="187"/>
      <c r="J114" s="188"/>
      <c r="K114" s="124"/>
      <c r="L114" s="124" t="s">
        <v>539</v>
      </c>
      <c r="M114" s="119">
        <v>27</v>
      </c>
      <c r="N114" s="147">
        <v>58</v>
      </c>
      <c r="O114" s="124">
        <v>1</v>
      </c>
      <c r="P114" s="146">
        <v>1</v>
      </c>
      <c r="Q114" s="124">
        <v>284</v>
      </c>
      <c r="R114" s="148"/>
      <c r="S114" s="94"/>
      <c r="T114" s="94">
        <f>'3.2 Digest'!W114</f>
        <v>0</v>
      </c>
      <c r="U114" s="159">
        <v>0.40555555555555556</v>
      </c>
      <c r="V114" s="160">
        <v>40</v>
      </c>
      <c r="W114" s="159">
        <v>0.74236111111111114</v>
      </c>
      <c r="X114" s="147">
        <v>44</v>
      </c>
      <c r="Y114" s="147"/>
      <c r="Z114" s="160">
        <v>40</v>
      </c>
      <c r="AA114" s="159">
        <v>0.4236111111111111</v>
      </c>
      <c r="AB114" s="160">
        <v>44.5</v>
      </c>
      <c r="AC114" s="160"/>
      <c r="AD114" s="96"/>
      <c r="AE114" s="94">
        <f>Table3.110[[#This Row],[Gas 8h, ml]]-Table3.110[[#This Row],[Gas 0h, ml]]</f>
        <v>4</v>
      </c>
      <c r="AF114" s="94">
        <f>Table3.110[[#This Row],[Gas 24h, ml]]-Table3.110[[#This Row],[V8 Push back, ml]]</f>
        <v>4.5</v>
      </c>
      <c r="AG114" s="94"/>
      <c r="AH114" s="94"/>
      <c r="AI114" s="94"/>
      <c r="AJ114" s="94"/>
      <c r="AK114" s="94"/>
      <c r="AL114" s="94"/>
      <c r="AM114" s="94"/>
      <c r="AN114" s="94"/>
      <c r="AO114" s="94"/>
      <c r="AP114" s="94"/>
      <c r="AQ114" s="94"/>
      <c r="AR114" s="94"/>
      <c r="AS114" s="94"/>
      <c r="AT114" s="94"/>
      <c r="AU114" s="94"/>
      <c r="AV114" s="94"/>
    </row>
    <row r="115" spans="2:49" s="89" customFormat="1" x14ac:dyDescent="0.35">
      <c r="B115" s="90">
        <f t="shared" si="1"/>
        <v>105</v>
      </c>
      <c r="C115" s="143">
        <v>46041</v>
      </c>
      <c r="D115" s="92"/>
      <c r="E115" s="124" t="s">
        <v>537</v>
      </c>
      <c r="F115" s="133" t="s">
        <v>538</v>
      </c>
      <c r="G115" s="133">
        <v>24</v>
      </c>
      <c r="H115" s="185" t="s">
        <v>537</v>
      </c>
      <c r="I115" s="187"/>
      <c r="J115" s="188"/>
      <c r="K115" s="124"/>
      <c r="L115" s="124" t="s">
        <v>539</v>
      </c>
      <c r="M115" s="119">
        <v>27</v>
      </c>
      <c r="N115" s="147">
        <v>58</v>
      </c>
      <c r="O115" s="124">
        <v>1</v>
      </c>
      <c r="P115" s="146">
        <v>2</v>
      </c>
      <c r="Q115" s="124">
        <v>285</v>
      </c>
      <c r="R115" s="148"/>
      <c r="S115" s="94"/>
      <c r="T115" s="94">
        <f>'3.2 Digest'!W115</f>
        <v>0</v>
      </c>
      <c r="U115" s="159">
        <v>0.40555555555555556</v>
      </c>
      <c r="V115" s="160">
        <v>40</v>
      </c>
      <c r="W115" s="159">
        <v>0.74305555555555558</v>
      </c>
      <c r="X115" s="147">
        <v>43.5</v>
      </c>
      <c r="Y115" s="147"/>
      <c r="Z115" s="160">
        <v>40</v>
      </c>
      <c r="AA115" s="159">
        <v>0.4236111111111111</v>
      </c>
      <c r="AB115" s="160">
        <v>44.5</v>
      </c>
      <c r="AC115" s="160"/>
      <c r="AD115" s="91"/>
      <c r="AE115" s="94">
        <f>Table3.110[[#This Row],[Gas 8h, ml]]-Table3.110[[#This Row],[Gas 0h, ml]]</f>
        <v>3.5</v>
      </c>
      <c r="AF115" s="94">
        <f>Table3.110[[#This Row],[Gas 24h, ml]]-Table3.110[[#This Row],[V8 Push back, ml]]</f>
        <v>4.5</v>
      </c>
      <c r="AG115" s="94"/>
      <c r="AH115" s="94"/>
      <c r="AI115" s="94"/>
      <c r="AJ115" s="94"/>
      <c r="AK115" s="94"/>
      <c r="AL115" s="94"/>
      <c r="AM115" s="94"/>
      <c r="AN115" s="94"/>
      <c r="AO115" s="94"/>
      <c r="AP115" s="94"/>
      <c r="AQ115" s="94"/>
      <c r="AR115" s="94"/>
      <c r="AS115" s="94"/>
      <c r="AT115" s="94"/>
      <c r="AU115" s="94"/>
      <c r="AV115" s="94"/>
    </row>
    <row r="116" spans="2:49" s="89" customFormat="1" x14ac:dyDescent="0.35">
      <c r="B116" s="90">
        <f t="shared" si="1"/>
        <v>106</v>
      </c>
      <c r="C116" s="143">
        <v>46043</v>
      </c>
      <c r="D116" s="92"/>
      <c r="E116" s="124" t="s">
        <v>537</v>
      </c>
      <c r="F116" s="133" t="s">
        <v>538</v>
      </c>
      <c r="G116" s="133">
        <v>24</v>
      </c>
      <c r="H116" s="185" t="s">
        <v>537</v>
      </c>
      <c r="I116" s="187"/>
      <c r="J116" s="188"/>
      <c r="K116" s="124"/>
      <c r="L116" s="124" t="s">
        <v>539</v>
      </c>
      <c r="M116" s="119">
        <v>27</v>
      </c>
      <c r="N116" s="147">
        <v>59</v>
      </c>
      <c r="O116" s="124">
        <v>2</v>
      </c>
      <c r="P116" s="146">
        <v>1</v>
      </c>
      <c r="Q116" s="124">
        <v>286</v>
      </c>
      <c r="R116" s="148"/>
      <c r="S116" s="94"/>
      <c r="T116" s="94">
        <f>'3.2 Digest'!W116</f>
        <v>0</v>
      </c>
      <c r="U116" s="149"/>
      <c r="V116" s="150">
        <v>39.5</v>
      </c>
      <c r="W116" s="149">
        <v>0.6743055555555556</v>
      </c>
      <c r="X116" s="163">
        <v>43.5</v>
      </c>
      <c r="Y116" s="163"/>
      <c r="Z116" s="150">
        <v>39.5</v>
      </c>
      <c r="AA116" s="149">
        <v>0.36458333333333331</v>
      </c>
      <c r="AB116" s="150">
        <v>43.5</v>
      </c>
      <c r="AC116" s="150"/>
      <c r="AD116" s="96"/>
      <c r="AE116" s="94">
        <f>Table3.110[[#This Row],[Gas 8h, ml]]-Table3.110[[#This Row],[Gas 0h, ml]]</f>
        <v>4</v>
      </c>
      <c r="AF116" s="94">
        <f>Table3.110[[#This Row],[Gas 24h, ml]]-Table3.110[[#This Row],[V8 Push back, ml]]</f>
        <v>4</v>
      </c>
      <c r="AG116" s="94"/>
      <c r="AH116" s="94"/>
      <c r="AI116" s="94"/>
      <c r="AJ116" s="94"/>
      <c r="AK116" s="94"/>
      <c r="AL116" s="94"/>
      <c r="AM116" s="94"/>
      <c r="AN116" s="94"/>
      <c r="AO116" s="94"/>
      <c r="AP116" s="94"/>
      <c r="AQ116" s="94"/>
      <c r="AR116" s="94"/>
      <c r="AS116" s="94"/>
      <c r="AT116" s="94"/>
      <c r="AU116" s="94"/>
      <c r="AV116" s="94"/>
    </row>
    <row r="117" spans="2:49" s="89" customFormat="1" x14ac:dyDescent="0.35">
      <c r="B117" s="90">
        <f t="shared" si="1"/>
        <v>107</v>
      </c>
      <c r="C117" s="143">
        <v>46043</v>
      </c>
      <c r="D117" s="92"/>
      <c r="E117" s="124" t="s">
        <v>537</v>
      </c>
      <c r="F117" s="133" t="s">
        <v>538</v>
      </c>
      <c r="G117" s="133">
        <v>24</v>
      </c>
      <c r="H117" s="185" t="s">
        <v>537</v>
      </c>
      <c r="I117" s="187"/>
      <c r="J117" s="188"/>
      <c r="K117" s="124"/>
      <c r="L117" s="124" t="s">
        <v>539</v>
      </c>
      <c r="M117" s="119">
        <v>27</v>
      </c>
      <c r="N117" s="147">
        <v>59</v>
      </c>
      <c r="O117" s="124">
        <v>2</v>
      </c>
      <c r="P117" s="124">
        <v>2</v>
      </c>
      <c r="Q117" s="124">
        <v>287</v>
      </c>
      <c r="R117" s="148"/>
      <c r="S117" s="94"/>
      <c r="T117" s="94">
        <f>'3.2 Digest'!W117</f>
        <v>0</v>
      </c>
      <c r="U117" s="151">
        <v>0.34027777777777779</v>
      </c>
      <c r="V117" s="152">
        <v>39.5</v>
      </c>
      <c r="W117" s="151">
        <v>0.6743055555555556</v>
      </c>
      <c r="X117" s="164">
        <v>42.5</v>
      </c>
      <c r="Y117" s="164"/>
      <c r="Z117" s="152">
        <v>39.5</v>
      </c>
      <c r="AA117" s="151">
        <v>0.36458333333333331</v>
      </c>
      <c r="AB117" s="152">
        <v>44</v>
      </c>
      <c r="AC117" s="152"/>
      <c r="AD117" s="91"/>
      <c r="AE117" s="94">
        <f>Table3.110[[#This Row],[Gas 8h, ml]]-Table3.110[[#This Row],[Gas 0h, ml]]</f>
        <v>3</v>
      </c>
      <c r="AF117" s="94">
        <f>Table3.110[[#This Row],[Gas 24h, ml]]-Table3.110[[#This Row],[V8 Push back, ml]]</f>
        <v>4.5</v>
      </c>
      <c r="AG117" s="94"/>
      <c r="AH117" s="94"/>
      <c r="AI117" s="94"/>
      <c r="AJ117" s="94"/>
      <c r="AK117" s="94"/>
      <c r="AL117" s="94"/>
      <c r="AM117" s="94"/>
      <c r="AN117" s="94"/>
      <c r="AO117" s="94"/>
      <c r="AP117" s="94"/>
      <c r="AQ117" s="94"/>
      <c r="AR117" s="94"/>
      <c r="AS117" s="94"/>
      <c r="AT117" s="94"/>
      <c r="AU117" s="94"/>
      <c r="AV117" s="94"/>
    </row>
    <row r="118" spans="2:49" s="89" customFormat="1" x14ac:dyDescent="0.35">
      <c r="B118" s="90">
        <f t="shared" si="1"/>
        <v>108</v>
      </c>
      <c r="C118" s="140">
        <v>46043</v>
      </c>
      <c r="D118" s="6" t="s">
        <v>16</v>
      </c>
      <c r="E118" s="6" t="s">
        <v>18</v>
      </c>
      <c r="F118" s="133" t="s">
        <v>19</v>
      </c>
      <c r="G118" s="133" t="s">
        <v>20</v>
      </c>
      <c r="H118" s="133" t="s">
        <v>21</v>
      </c>
      <c r="I118" s="6" t="s">
        <v>22</v>
      </c>
      <c r="J118" s="129" t="s">
        <v>23</v>
      </c>
      <c r="K118" s="129" t="s">
        <v>24</v>
      </c>
      <c r="L118" s="6" t="s">
        <v>17</v>
      </c>
      <c r="M118" s="119">
        <v>27</v>
      </c>
      <c r="N118" s="93">
        <v>59</v>
      </c>
      <c r="O118" s="6">
        <v>2</v>
      </c>
      <c r="P118" s="129">
        <v>1</v>
      </c>
      <c r="Q118" s="6">
        <v>288</v>
      </c>
      <c r="R118" s="98">
        <v>0.50009999999999999</v>
      </c>
      <c r="S118" s="94">
        <f>((Table3.110[[#This Row],[Sample weight, g]]*'2.1. DM'!Q11)/100)*1000</f>
        <v>474.75634208085836</v>
      </c>
      <c r="T118" s="94">
        <f>'3.2 Digest'!W118</f>
        <v>172.35634208085838</v>
      </c>
      <c r="U118" s="117">
        <v>0.34027777777777779</v>
      </c>
      <c r="V118" s="154">
        <v>40.5</v>
      </c>
      <c r="W118" s="153">
        <v>0.6743055555555556</v>
      </c>
      <c r="X118" s="91">
        <v>69</v>
      </c>
      <c r="Y118" s="91">
        <v>13.4</v>
      </c>
      <c r="Z118" s="154">
        <v>40.5</v>
      </c>
      <c r="AA118" s="153">
        <v>0.36527777777777776</v>
      </c>
      <c r="AB118" s="154">
        <v>64</v>
      </c>
      <c r="AC118" s="154">
        <v>15.8</v>
      </c>
      <c r="AD118" s="96"/>
      <c r="AE118" s="94">
        <f>Table3.110[[#This Row],[Gas 8h, ml]]-Table3.110[[#This Row],[Gas 0h, ml]]</f>
        <v>28.5</v>
      </c>
      <c r="AF118" s="94">
        <f>Table3.110[[#This Row],[Gas 24h, ml]]-Table3.110[[#This Row],[V8 Push back, ml]]</f>
        <v>23.5</v>
      </c>
      <c r="AG118" s="94">
        <f>Table3.110[[#This Row],[GP 8h, ml]]-(AVERAGE(AE$116,AE$117,AE$167,AE$166,AE$219,AE$220))*$AG$8</f>
        <v>25.623728042697874</v>
      </c>
      <c r="AH118" s="94">
        <f>Table3.110[[#This Row],[GP 8-24h, ml]]-(AVERAGE(AF$11,AF$12,AF$62,AF$61,AF$114,AF$115))*$AG$8</f>
        <v>19.81247184961266</v>
      </c>
      <c r="AI118" s="94">
        <f>Table3.110[[#This Row],[Net gas 8-24h, ml]]+Table3.110[[#This Row],[Net gas 8h, ml]]</f>
        <v>45.436199892310533</v>
      </c>
      <c r="AJ118" s="94">
        <f>Table3.110[[#This Row],[Net gas 8h, ml]]*Table3.110[[#This Row],[CH4 8h %]]%</f>
        <v>3.4335795577215151</v>
      </c>
      <c r="AK118" s="94">
        <f>Table3.110[[#This Row],[Net gas 8-24h, ml]]*Table3.110[[#This Row],[CH4 24h, %]]%</f>
        <v>3.1303705522388001</v>
      </c>
      <c r="AL118" s="94">
        <f>Table3.110[[#This Row],[CH4 8-24h, ml]]+Table3.110[[#This Row],[CH4 8h, ml]]</f>
        <v>6.5639501099603148</v>
      </c>
      <c r="AM118" s="94">
        <f>(Table3.110[[#This Row],[Net gas 24h, ml]]/Table3.110[[#This Row],[DM Incubated, mg]])*1000</f>
        <v>95.704250507035979</v>
      </c>
      <c r="AN118" s="94">
        <f>'3.2 Digest'!X118</f>
        <v>36.304168434152992</v>
      </c>
      <c r="AO118" s="94">
        <f>Table3.110[[#This Row],[Digested feed, mg]]/Table3.110[[#This Row],[Net gas 24h, ml]]</f>
        <v>3.7933705391156045</v>
      </c>
      <c r="AP118" s="94">
        <f>Table3.110[[#This Row],[CH4 8h, ml]]/Table3.110[[#This Row],[Net gas 8h, ml]]%</f>
        <v>13.4</v>
      </c>
      <c r="AQ118" s="94">
        <f>Table3.110[[#This Row],[CH4 24h, ml]]/Table3.110[[#This Row],[Net gas 24h, ml]]%</f>
        <v>14.44652089197093</v>
      </c>
      <c r="AR118" s="94">
        <f>Table3.110[[#This Row],[CH4 24h, ml]]/Table3.110[[#This Row],[DM Incubated, mg]]*1000</f>
        <v>13.825934544003148</v>
      </c>
      <c r="AS118" s="94">
        <f>Table3.110[[#This Row],[CH4 24h, ml]]/Table3.110[[#This Row],[Digested feed, mg]]*1000</f>
        <v>38.083600700233802</v>
      </c>
      <c r="AT118" s="94">
        <f>Table3.110[[#This Row],[CH4 24h, ml]]/'3.2 Digest'!AA118</f>
        <v>-1.2046011691550149</v>
      </c>
      <c r="AU118" s="94">
        <f>((Table3.110[[#This Row],[CH4 24h, ml]]/28.9)*16.04)/Table3.110[[#This Row],[DM Incubated, mg]]*1000</f>
        <v>7.6736328749415401</v>
      </c>
      <c r="AV118" s="94">
        <f>((Table3.110[[#This Row],[CH4 24h, ml]]/28.9)*16.04)/Table3.110[[#This Row],[Digested feed, mg]]*1000</f>
        <v>21.137057274455021</v>
      </c>
      <c r="AW118" s="89" t="s">
        <v>546</v>
      </c>
    </row>
    <row r="119" spans="2:49" s="89" customFormat="1" x14ac:dyDescent="0.35">
      <c r="B119" s="90">
        <f t="shared" si="1"/>
        <v>109</v>
      </c>
      <c r="C119" s="140">
        <v>46043</v>
      </c>
      <c r="D119" s="6" t="s">
        <v>16</v>
      </c>
      <c r="E119" s="6" t="s">
        <v>18</v>
      </c>
      <c r="F119" s="133" t="s">
        <v>19</v>
      </c>
      <c r="G119" s="133" t="s">
        <v>20</v>
      </c>
      <c r="H119" s="133" t="s">
        <v>21</v>
      </c>
      <c r="I119" s="6" t="s">
        <v>22</v>
      </c>
      <c r="J119" s="129" t="s">
        <v>23</v>
      </c>
      <c r="K119" s="129" t="s">
        <v>24</v>
      </c>
      <c r="L119" s="6" t="s">
        <v>17</v>
      </c>
      <c r="M119" s="119">
        <v>27</v>
      </c>
      <c r="N119" s="93">
        <v>59</v>
      </c>
      <c r="O119" s="6">
        <v>2</v>
      </c>
      <c r="P119" s="129">
        <v>2</v>
      </c>
      <c r="Q119" s="6">
        <v>289</v>
      </c>
      <c r="R119" s="98">
        <v>0.50019999999999998</v>
      </c>
      <c r="S119" s="94">
        <f>((Table3.110[[#This Row],[Sample weight, g]]*'2.1. DM'!Q11)/100)*1000</f>
        <v>474.85127436281817</v>
      </c>
      <c r="T119" s="94">
        <f>'3.2 Digest'!W119</f>
        <v>0</v>
      </c>
      <c r="U119" s="117">
        <v>0.34791666666666665</v>
      </c>
      <c r="V119" s="155" t="s">
        <v>547</v>
      </c>
      <c r="W119" s="117"/>
      <c r="X119" s="96"/>
      <c r="Y119" s="96"/>
      <c r="Z119" s="155"/>
      <c r="AA119" s="117"/>
      <c r="AB119" s="155"/>
      <c r="AC119" s="155"/>
      <c r="AD119" s="91"/>
      <c r="AE119" s="94"/>
      <c r="AF119" s="94"/>
      <c r="AG119" s="94"/>
      <c r="AH119" s="94"/>
      <c r="AI119" s="94">
        <f>Table3.110[[#This Row],[Net gas 8-24h, ml]]+Table3.110[[#This Row],[Net gas 8h, ml]]</f>
        <v>0</v>
      </c>
      <c r="AJ119" s="94">
        <f>Table3.110[[#This Row],[Net gas 8h, ml]]*Table3.110[[#This Row],[CH4 8h %]]%</f>
        <v>0</v>
      </c>
      <c r="AK119" s="94">
        <f>Table3.110[[#This Row],[Net gas 8-24h, ml]]*Table3.110[[#This Row],[CH4 24h, %]]%</f>
        <v>0</v>
      </c>
      <c r="AL119" s="94">
        <f>Table3.110[[#This Row],[CH4 8-24h, ml]]+Table3.110[[#This Row],[CH4 8h, ml]]</f>
        <v>0</v>
      </c>
      <c r="AM119" s="94">
        <f>(Table3.110[[#This Row],[Net gas 24h, ml]]/Table3.110[[#This Row],[DM Incubated, mg]])*1000</f>
        <v>0</v>
      </c>
      <c r="AN119" s="94">
        <f>'3.2 Digest'!X119</f>
        <v>0</v>
      </c>
      <c r="AO119" s="94" t="e">
        <f>Table3.110[[#This Row],[Digested feed, mg]]/Table3.110[[#This Row],[Net gas 24h, ml]]</f>
        <v>#DIV/0!</v>
      </c>
      <c r="AP119" s="94" t="e">
        <f>Table3.110[[#This Row],[CH4 8h, ml]]/Table3.110[[#This Row],[Net gas 8h, ml]]%</f>
        <v>#DIV/0!</v>
      </c>
      <c r="AQ119" s="94" t="e">
        <f>Table3.110[[#This Row],[CH4 24h, ml]]/Table3.110[[#This Row],[Net gas 24h, ml]]%</f>
        <v>#DIV/0!</v>
      </c>
      <c r="AR119" s="94">
        <f>Table3.110[[#This Row],[CH4 24h, ml]]/Table3.110[[#This Row],[DM Incubated, mg]]*1000</f>
        <v>0</v>
      </c>
      <c r="AS119" s="94" t="e">
        <f>Table3.110[[#This Row],[CH4 24h, ml]]/Table3.110[[#This Row],[Digested feed, mg]]*1000</f>
        <v>#DIV/0!</v>
      </c>
      <c r="AT119" s="94" t="e">
        <f>Table3.110[[#This Row],[CH4 24h, ml]]/'3.2 Digest'!AA119</f>
        <v>#DIV/0!</v>
      </c>
      <c r="AU119" s="94">
        <f>((Table3.110[[#This Row],[CH4 24h, ml]]/28.9)*16.04)/Table3.110[[#This Row],[DM Incubated, mg]]*1000</f>
        <v>0</v>
      </c>
      <c r="AV119" s="94" t="e">
        <f>((Table3.110[[#This Row],[CH4 24h, ml]]/28.9)*16.04)/Table3.110[[#This Row],[Digested feed, mg]]*1000</f>
        <v>#DIV/0!</v>
      </c>
      <c r="AW119" s="89" t="s">
        <v>546</v>
      </c>
    </row>
    <row r="120" spans="2:49" s="89" customFormat="1" x14ac:dyDescent="0.35">
      <c r="B120" s="90">
        <f t="shared" si="1"/>
        <v>110</v>
      </c>
      <c r="C120" s="140">
        <v>46043</v>
      </c>
      <c r="D120" s="6" t="s">
        <v>16</v>
      </c>
      <c r="E120" s="6" t="s">
        <v>18</v>
      </c>
      <c r="F120" s="133" t="s">
        <v>19</v>
      </c>
      <c r="G120" s="133" t="s">
        <v>20</v>
      </c>
      <c r="H120" s="133" t="s">
        <v>21</v>
      </c>
      <c r="I120" s="6" t="s">
        <v>22</v>
      </c>
      <c r="J120" s="129" t="s">
        <v>23</v>
      </c>
      <c r="K120" s="129" t="s">
        <v>24</v>
      </c>
      <c r="L120" s="6" t="s">
        <v>17</v>
      </c>
      <c r="M120" s="119">
        <v>27</v>
      </c>
      <c r="N120" s="93">
        <v>59</v>
      </c>
      <c r="O120" s="6">
        <v>2</v>
      </c>
      <c r="P120" s="6">
        <v>3</v>
      </c>
      <c r="Q120" s="6">
        <v>290</v>
      </c>
      <c r="R120" s="98">
        <v>0.50019999999999998</v>
      </c>
      <c r="S120" s="94">
        <f>((Table3.110[[#This Row],[Sample weight, g]]*'2.1. DM'!Q11)/100)*1000</f>
        <v>474.85127436281817</v>
      </c>
      <c r="T120" s="94">
        <f>'3.2 Digest'!W120</f>
        <v>179.35127436281817</v>
      </c>
      <c r="U120" s="153">
        <v>0.34861111111111109</v>
      </c>
      <c r="V120" s="154">
        <v>39</v>
      </c>
      <c r="W120" s="153">
        <v>0.67500000000000004</v>
      </c>
      <c r="X120" s="91">
        <v>68.5</v>
      </c>
      <c r="Y120" s="91">
        <v>14.3</v>
      </c>
      <c r="Z120" s="154">
        <v>38.5</v>
      </c>
      <c r="AA120" s="153">
        <v>0.36666666666666664</v>
      </c>
      <c r="AB120" s="154">
        <v>56</v>
      </c>
      <c r="AC120" s="154">
        <v>17.899999999999999</v>
      </c>
      <c r="AD120" s="96"/>
      <c r="AE120" s="94">
        <f>Table3.110[[#This Row],[Gas 8h, ml]]-Table3.110[[#This Row],[Gas 0h, ml]]</f>
        <v>29.5</v>
      </c>
      <c r="AF120" s="94">
        <f>Table3.110[[#This Row],[Gas 24h, ml]]-Table3.110[[#This Row],[V8 Push back, ml]]</f>
        <v>17.5</v>
      </c>
      <c r="AG120" s="94">
        <f>Table3.110[[#This Row],[GP 8h, ml]]-(AVERAGE(AE$116,AE$117,AE$167,AE$166,AE$219,AE$220))*$AG$8</f>
        <v>26.623728042697874</v>
      </c>
      <c r="AH120" s="94">
        <f>Table3.110[[#This Row],[GP 8-24h, ml]]-(AVERAGE(AF$11,AF$12,AF$62,AF$61,AF$114,AF$115))*$AG$8</f>
        <v>13.81247184961266</v>
      </c>
      <c r="AI120" s="94">
        <f>Table3.110[[#This Row],[Net gas 8-24h, ml]]+Table3.110[[#This Row],[Net gas 8h, ml]]</f>
        <v>40.436199892310533</v>
      </c>
      <c r="AJ120" s="94">
        <f>Table3.110[[#This Row],[Net gas 8h, ml]]*Table3.110[[#This Row],[CH4 8h %]]%</f>
        <v>3.8071931101057963</v>
      </c>
      <c r="AK120" s="94">
        <f>Table3.110[[#This Row],[Net gas 8-24h, ml]]*Table3.110[[#This Row],[CH4 24h, %]]%</f>
        <v>2.4724324610806661</v>
      </c>
      <c r="AL120" s="94">
        <f>Table3.110[[#This Row],[CH4 8-24h, ml]]+Table3.110[[#This Row],[CH4 8h, ml]]</f>
        <v>6.2796255711864628</v>
      </c>
      <c r="AM120" s="94">
        <f>(Table3.110[[#This Row],[Net gas 24h, ml]]/Table3.110[[#This Row],[DM Incubated, mg]])*1000</f>
        <v>85.155504629465455</v>
      </c>
      <c r="AN120" s="94">
        <f>'3.2 Digest'!X120</f>
        <v>37.76998905678029</v>
      </c>
      <c r="AO120" s="94">
        <f>Table3.110[[#This Row],[Digested feed, mg]]/Table3.110[[#This Row],[Net gas 24h, ml]]</f>
        <v>4.435413684779121</v>
      </c>
      <c r="AP120" s="94">
        <f>Table3.110[[#This Row],[CH4 8h, ml]]/Table3.110[[#This Row],[Net gas 8h, ml]]%</f>
        <v>14.3</v>
      </c>
      <c r="AQ120" s="94">
        <f>Table3.110[[#This Row],[CH4 24h, ml]]/Table3.110[[#This Row],[Net gas 24h, ml]]%</f>
        <v>15.529712455449147</v>
      </c>
      <c r="AR120" s="94">
        <f>Table3.110[[#This Row],[CH4 24h, ml]]/Table3.110[[#This Row],[DM Incubated, mg]]*1000</f>
        <v>13.22440500894267</v>
      </c>
      <c r="AS120" s="94">
        <f>Table3.110[[#This Row],[CH4 24h, ml]]/Table3.110[[#This Row],[Digested feed, mg]]*1000</f>
        <v>35.012996665321211</v>
      </c>
      <c r="AT120" s="94">
        <f>Table3.110[[#This Row],[CH4 24h, ml]]/'3.2 Digest'!AA120</f>
        <v>-2.0777055028205549</v>
      </c>
      <c r="AU120" s="94">
        <f>((Table3.110[[#This Row],[CH4 24h, ml]]/28.9)*16.04)/Table3.110[[#This Row],[DM Incubated, mg]]*1000</f>
        <v>7.3397735758975937</v>
      </c>
      <c r="AV120" s="94">
        <f>((Table3.110[[#This Row],[CH4 24h, ml]]/28.9)*16.04)/Table3.110[[#This Row],[Digested feed, mg]]*1000</f>
        <v>19.432818910441256</v>
      </c>
    </row>
    <row r="121" spans="2:49" s="89" customFormat="1" x14ac:dyDescent="0.35">
      <c r="B121" s="90">
        <f t="shared" si="1"/>
        <v>111</v>
      </c>
      <c r="C121" s="140">
        <v>46043</v>
      </c>
      <c r="D121" s="6" t="s">
        <v>16</v>
      </c>
      <c r="E121" s="6" t="s">
        <v>28</v>
      </c>
      <c r="F121" s="133" t="s">
        <v>19</v>
      </c>
      <c r="G121" s="133" t="s">
        <v>29</v>
      </c>
      <c r="H121" s="133" t="s">
        <v>30</v>
      </c>
      <c r="I121" s="6" t="s">
        <v>22</v>
      </c>
      <c r="J121" s="129" t="s">
        <v>23</v>
      </c>
      <c r="K121" s="129" t="s">
        <v>24</v>
      </c>
      <c r="L121" s="6" t="s">
        <v>27</v>
      </c>
      <c r="M121" s="119">
        <v>27</v>
      </c>
      <c r="N121" s="93">
        <v>59</v>
      </c>
      <c r="O121" s="6">
        <v>2</v>
      </c>
      <c r="P121" s="129">
        <v>1</v>
      </c>
      <c r="Q121" s="6">
        <v>291</v>
      </c>
      <c r="R121" s="98">
        <v>0.50029999999999997</v>
      </c>
      <c r="S121" s="94">
        <f>((Table3.110[[#This Row],[Sample weight, g]]*'2.1. DM'!Q13)/100)*1000</f>
        <v>475.51384160674138</v>
      </c>
      <c r="T121" s="94">
        <f>'3.2 Digest'!W121</f>
        <v>142.6138416067414</v>
      </c>
      <c r="U121" s="117">
        <v>0.34930555555555554</v>
      </c>
      <c r="V121" s="155">
        <v>41.5</v>
      </c>
      <c r="W121" s="117">
        <v>0.67500000000000004</v>
      </c>
      <c r="X121" s="96">
        <v>68.5</v>
      </c>
      <c r="Y121" s="96">
        <v>13.1</v>
      </c>
      <c r="Z121" s="155">
        <v>40</v>
      </c>
      <c r="AA121" s="117">
        <v>0.36666666666666664</v>
      </c>
      <c r="AB121" s="155">
        <v>59.5</v>
      </c>
      <c r="AC121" s="155">
        <v>17.5</v>
      </c>
      <c r="AD121" s="91"/>
      <c r="AE121" s="94">
        <f>Table3.110[[#This Row],[Gas 8h, ml]]-Table3.110[[#This Row],[Gas 0h, ml]]</f>
        <v>27</v>
      </c>
      <c r="AF121" s="94">
        <f>Table3.110[[#This Row],[Gas 24h, ml]]-Table3.110[[#This Row],[V8 Push back, ml]]</f>
        <v>19.5</v>
      </c>
      <c r="AG121" s="94">
        <f>Table3.110[[#This Row],[GP 8h, ml]]-(AVERAGE(AE$116,AE$117,AE$167,AE$166,AE$219,AE$220))*$AG$8</f>
        <v>24.123728042697874</v>
      </c>
      <c r="AH121" s="94">
        <f>Table3.110[[#This Row],[GP 8-24h, ml]]-(AVERAGE(AF$11,AF$12,AF$62,AF$61,AF$114,AF$115))*$AG$8</f>
        <v>15.81247184961266</v>
      </c>
      <c r="AI121" s="94">
        <f>Table3.110[[#This Row],[Net gas 8-24h, ml]]+Table3.110[[#This Row],[Net gas 8h, ml]]</f>
        <v>39.936199892310533</v>
      </c>
      <c r="AJ121" s="94">
        <f>Table3.110[[#This Row],[Net gas 8h, ml]]*Table3.110[[#This Row],[CH4 8h %]]%</f>
        <v>3.1602083735934214</v>
      </c>
      <c r="AK121" s="94">
        <f>Table3.110[[#This Row],[Net gas 8-24h, ml]]*Table3.110[[#This Row],[CH4 24h, %]]%</f>
        <v>2.7671825736822151</v>
      </c>
      <c r="AL121" s="94">
        <f>Table3.110[[#This Row],[CH4 8-24h, ml]]+Table3.110[[#This Row],[CH4 8h, ml]]</f>
        <v>5.9273909472756365</v>
      </c>
      <c r="AM121" s="94">
        <f>(Table3.110[[#This Row],[Net gas 24h, ml]]/Table3.110[[#This Row],[DM Incubated, mg]])*1000</f>
        <v>83.985357308144359</v>
      </c>
      <c r="AN121" s="94">
        <f>'3.2 Digest'!X121</f>
        <v>29.99152267047689</v>
      </c>
      <c r="AO121" s="94">
        <f>Table3.110[[#This Row],[Digested feed, mg]]/Table3.110[[#This Row],[Net gas 24h, ml]]</f>
        <v>3.5710418615518003</v>
      </c>
      <c r="AP121" s="94">
        <f>Table3.110[[#This Row],[CH4 8h, ml]]/Table3.110[[#This Row],[Net gas 8h, ml]]%</f>
        <v>13.1</v>
      </c>
      <c r="AQ121" s="94">
        <f>Table3.110[[#This Row],[CH4 24h, ml]]/Table3.110[[#This Row],[Net gas 24h, ml]]%</f>
        <v>14.842150638415948</v>
      </c>
      <c r="AR121" s="94">
        <f>Table3.110[[#This Row],[CH4 24h, ml]]/Table3.110[[#This Row],[DM Incubated, mg]]*1000</f>
        <v>12.465233245886662</v>
      </c>
      <c r="AS121" s="94">
        <f>Table3.110[[#This Row],[CH4 24h, ml]]/Table3.110[[#This Row],[Digested feed, mg]]*1000</f>
        <v>41.562522126151372</v>
      </c>
      <c r="AT121" s="94">
        <f>Table3.110[[#This Row],[CH4 24h, ml]]/'3.2 Digest'!AA121</f>
        <v>-0.25679726446212636</v>
      </c>
      <c r="AU121" s="94">
        <f>((Table3.110[[#This Row],[CH4 24h, ml]]/28.9)*16.04)/Table3.110[[#This Row],[DM Incubated, mg]]*1000</f>
        <v>6.9184201129419387</v>
      </c>
      <c r="AV121" s="94">
        <f>((Table3.110[[#This Row],[CH4 24h, ml]]/28.9)*16.04)/Table3.110[[#This Row],[Digested feed, mg]]*1000</f>
        <v>23.06791885479128</v>
      </c>
    </row>
    <row r="122" spans="2:49" s="89" customFormat="1" x14ac:dyDescent="0.35">
      <c r="B122" s="90">
        <f t="shared" si="1"/>
        <v>112</v>
      </c>
      <c r="C122" s="140">
        <v>46043</v>
      </c>
      <c r="D122" s="6" t="s">
        <v>16</v>
      </c>
      <c r="E122" s="6" t="s">
        <v>28</v>
      </c>
      <c r="F122" s="133" t="s">
        <v>19</v>
      </c>
      <c r="G122" s="133" t="s">
        <v>29</v>
      </c>
      <c r="H122" s="133" t="s">
        <v>30</v>
      </c>
      <c r="I122" s="6" t="s">
        <v>22</v>
      </c>
      <c r="J122" s="129" t="s">
        <v>23</v>
      </c>
      <c r="K122" s="129" t="s">
        <v>24</v>
      </c>
      <c r="L122" s="6" t="s">
        <v>27</v>
      </c>
      <c r="M122" s="119">
        <v>27</v>
      </c>
      <c r="N122" s="93">
        <v>59</v>
      </c>
      <c r="O122" s="6">
        <v>2</v>
      </c>
      <c r="P122" s="129">
        <v>2</v>
      </c>
      <c r="Q122" s="6">
        <v>292</v>
      </c>
      <c r="R122" s="106">
        <v>0.50039999999999996</v>
      </c>
      <c r="S122" s="94">
        <f>((Table3.110[[#This Row],[Sample weight, g]]*'2.1. DM'!Q13)/100)*1000</f>
        <v>475.60888734761824</v>
      </c>
      <c r="T122" s="94">
        <f>'3.2 Digest'!W122</f>
        <v>159.10888734761824</v>
      </c>
      <c r="U122" s="157">
        <v>0.35069444444444442</v>
      </c>
      <c r="V122" s="154">
        <v>44.5</v>
      </c>
      <c r="W122" s="153">
        <v>0.67569444444444449</v>
      </c>
      <c r="X122" s="91">
        <v>75</v>
      </c>
      <c r="Y122" s="91">
        <v>12</v>
      </c>
      <c r="Z122" s="154">
        <v>43</v>
      </c>
      <c r="AA122" s="153">
        <v>0.36736111111111114</v>
      </c>
      <c r="AB122" s="154">
        <v>58</v>
      </c>
      <c r="AC122" s="154">
        <v>17.899999999999999</v>
      </c>
      <c r="AD122" s="96"/>
      <c r="AE122" s="94">
        <f>Table3.110[[#This Row],[Gas 8h, ml]]-Table3.110[[#This Row],[Gas 0h, ml]]</f>
        <v>30.5</v>
      </c>
      <c r="AF122" s="94">
        <f>Table3.110[[#This Row],[Gas 24h, ml]]-Table3.110[[#This Row],[V8 Push back, ml]]</f>
        <v>15</v>
      </c>
      <c r="AG122" s="94">
        <f>Table3.110[[#This Row],[GP 8h, ml]]-(AVERAGE(AE$116,AE$117,AE$167,AE$166,AE$219,AE$220))*$AG$8</f>
        <v>27.623728042697874</v>
      </c>
      <c r="AH122" s="94">
        <f>Table3.110[[#This Row],[GP 8-24h, ml]]-(AVERAGE(AF$11,AF$12,AF$62,AF$61,AF$114,AF$115))*$AG$8</f>
        <v>11.31247184961266</v>
      </c>
      <c r="AI122" s="94">
        <f>Table3.110[[#This Row],[Net gas 8-24h, ml]]+Table3.110[[#This Row],[Net gas 8h, ml]]</f>
        <v>38.936199892310533</v>
      </c>
      <c r="AJ122" s="94">
        <f>Table3.110[[#This Row],[Net gas 8h, ml]]*Table3.110[[#This Row],[CH4 8h %]]%</f>
        <v>3.3148473651237449</v>
      </c>
      <c r="AK122" s="94">
        <f>Table3.110[[#This Row],[Net gas 8-24h, ml]]*Table3.110[[#This Row],[CH4 24h, %]]%</f>
        <v>2.0249324610806658</v>
      </c>
      <c r="AL122" s="94">
        <f>Table3.110[[#This Row],[CH4 8-24h, ml]]+Table3.110[[#This Row],[CH4 8h, ml]]</f>
        <v>5.3397798262044107</v>
      </c>
      <c r="AM122" s="94">
        <f>(Table3.110[[#This Row],[Net gas 24h, ml]]/Table3.110[[#This Row],[DM Incubated, mg]])*1000</f>
        <v>81.866005720478512</v>
      </c>
      <c r="AN122" s="94">
        <f>'3.2 Digest'!X122</f>
        <v>33.453724600256891</v>
      </c>
      <c r="AO122" s="94">
        <f>Table3.110[[#This Row],[Digested feed, mg]]/Table3.110[[#This Row],[Net gas 24h, ml]]</f>
        <v>4.0864000027655623</v>
      </c>
      <c r="AP122" s="94">
        <f>Table3.110[[#This Row],[CH4 8h, ml]]/Table3.110[[#This Row],[Net gas 8h, ml]]%</f>
        <v>12</v>
      </c>
      <c r="AQ122" s="94">
        <f>Table3.110[[#This Row],[CH4 24h, ml]]/Table3.110[[#This Row],[Net gas 24h, ml]]%</f>
        <v>13.714178170887594</v>
      </c>
      <c r="AR122" s="94">
        <f>Table3.110[[#This Row],[CH4 24h, ml]]/Table3.110[[#This Row],[DM Incubated, mg]]*1000</f>
        <v>11.227249885895453</v>
      </c>
      <c r="AS122" s="94">
        <f>Table3.110[[#This Row],[CH4 24h, ml]]/Table3.110[[#This Row],[Digested feed, mg]]*1000</f>
        <v>33.560537787799092</v>
      </c>
      <c r="AT122" s="94">
        <f>Table3.110[[#This Row],[CH4 24h, ml]]/'3.2 Digest'!AA122</f>
        <v>-0.31419553433682401</v>
      </c>
      <c r="AU122" s="94">
        <f>((Table3.110[[#This Row],[CH4 24h, ml]]/28.9)*16.04)/Table3.110[[#This Row],[DM Incubated, mg]]*1000</f>
        <v>6.2313179297495882</v>
      </c>
      <c r="AV122" s="94">
        <f>((Table3.110[[#This Row],[CH4 24h, ml]]/28.9)*16.04)/Table3.110[[#This Row],[Digested feed, mg]]*1000</f>
        <v>18.626679104370155</v>
      </c>
    </row>
    <row r="123" spans="2:49" s="89" customFormat="1" x14ac:dyDescent="0.35">
      <c r="B123" s="90">
        <f t="shared" si="1"/>
        <v>113</v>
      </c>
      <c r="C123" s="140">
        <v>46043</v>
      </c>
      <c r="D123" s="6" t="s">
        <v>16</v>
      </c>
      <c r="E123" s="6" t="s">
        <v>28</v>
      </c>
      <c r="F123" s="133" t="s">
        <v>19</v>
      </c>
      <c r="G123" s="133" t="s">
        <v>29</v>
      </c>
      <c r="H123" s="133" t="s">
        <v>30</v>
      </c>
      <c r="I123" s="6" t="s">
        <v>22</v>
      </c>
      <c r="J123" s="129" t="s">
        <v>23</v>
      </c>
      <c r="K123" s="129" t="s">
        <v>24</v>
      </c>
      <c r="L123" s="6" t="s">
        <v>27</v>
      </c>
      <c r="M123" s="119">
        <v>27</v>
      </c>
      <c r="N123" s="93">
        <v>59</v>
      </c>
      <c r="O123" s="6">
        <v>2</v>
      </c>
      <c r="P123" s="6">
        <v>3</v>
      </c>
      <c r="Q123" s="6">
        <v>293</v>
      </c>
      <c r="R123" s="98">
        <v>0.50029999999999997</v>
      </c>
      <c r="S123" s="94">
        <f>((Table3.110[[#This Row],[Sample weight, g]]*'2.1. DM'!Q13)/100)*1000</f>
        <v>475.51384160674138</v>
      </c>
      <c r="T123" s="94">
        <f>'3.2 Digest'!W123</f>
        <v>151.31384160674133</v>
      </c>
      <c r="U123" s="117">
        <v>0.35138888888888886</v>
      </c>
      <c r="V123" s="155">
        <v>41</v>
      </c>
      <c r="W123" s="117">
        <v>0.67569444444444449</v>
      </c>
      <c r="X123" s="96">
        <v>67.5</v>
      </c>
      <c r="Y123" s="96">
        <v>13.7</v>
      </c>
      <c r="Z123" s="155">
        <v>41</v>
      </c>
      <c r="AA123" s="117">
        <v>0.36736111111111114</v>
      </c>
      <c r="AB123" s="155">
        <v>60</v>
      </c>
      <c r="AC123" s="155">
        <v>17.8</v>
      </c>
      <c r="AD123" s="91"/>
      <c r="AE123" s="94">
        <f>Table3.110[[#This Row],[Gas 8h, ml]]-Table3.110[[#This Row],[Gas 0h, ml]]</f>
        <v>26.5</v>
      </c>
      <c r="AF123" s="94">
        <f>Table3.110[[#This Row],[Gas 24h, ml]]-Table3.110[[#This Row],[V8 Push back, ml]]</f>
        <v>19</v>
      </c>
      <c r="AG123" s="94">
        <f>Table3.110[[#This Row],[GP 8h, ml]]-(AVERAGE(AE$116,AE$117,AE$167,AE$166,AE$219,AE$220))*$AG$8</f>
        <v>23.623728042697874</v>
      </c>
      <c r="AH123" s="94">
        <f>Table3.110[[#This Row],[GP 8-24h, ml]]-(AVERAGE(AF$11,AF$12,AF$62,AF$61,AF$114,AF$115))*$AG$8</f>
        <v>15.31247184961266</v>
      </c>
      <c r="AI123" s="94">
        <f>Table3.110[[#This Row],[Net gas 8-24h, ml]]+Table3.110[[#This Row],[Net gas 8h, ml]]</f>
        <v>38.936199892310533</v>
      </c>
      <c r="AJ123" s="94">
        <f>Table3.110[[#This Row],[Net gas 8h, ml]]*Table3.110[[#This Row],[CH4 8h %]]%</f>
        <v>3.2364507418496085</v>
      </c>
      <c r="AK123" s="94">
        <f>Table3.110[[#This Row],[Net gas 8-24h, ml]]*Table3.110[[#This Row],[CH4 24h, %]]%</f>
        <v>2.7256199892310535</v>
      </c>
      <c r="AL123" s="94">
        <f>Table3.110[[#This Row],[CH4 8-24h, ml]]+Table3.110[[#This Row],[CH4 8h, ml]]</f>
        <v>5.9620707310806615</v>
      </c>
      <c r="AM123" s="94">
        <f>(Table3.110[[#This Row],[Net gas 24h, ml]]/Table3.110[[#This Row],[DM Incubated, mg]])*1000</f>
        <v>81.882369103592737</v>
      </c>
      <c r="AN123" s="94">
        <f>'3.2 Digest'!X123</f>
        <v>31.821122408436775</v>
      </c>
      <c r="AO123" s="94">
        <f>Table3.110[[#This Row],[Digested feed, mg]]/Table3.110[[#This Row],[Net gas 24h, ml]]</f>
        <v>3.8861995270530789</v>
      </c>
      <c r="AP123" s="94">
        <f>Table3.110[[#This Row],[CH4 8h, ml]]/Table3.110[[#This Row],[Net gas 8h, ml]]%</f>
        <v>13.7</v>
      </c>
      <c r="AQ123" s="94">
        <f>Table3.110[[#This Row],[CH4 24h, ml]]/Table3.110[[#This Row],[Net gas 24h, ml]]%</f>
        <v>15.312410424156734</v>
      </c>
      <c r="AR123" s="94">
        <f>Table3.110[[#This Row],[CH4 24h, ml]]/Table3.110[[#This Row],[DM Incubated, mg]]*1000</f>
        <v>12.53816442216503</v>
      </c>
      <c r="AS123" s="94">
        <f>Table3.110[[#This Row],[CH4 24h, ml]]/Table3.110[[#This Row],[Digested feed, mg]]*1000</f>
        <v>39.402018135101258</v>
      </c>
      <c r="AT123" s="94">
        <f>Table3.110[[#This Row],[CH4 24h, ml]]/'3.2 Digest'!AA123</f>
        <v>-0.30012389745327067</v>
      </c>
      <c r="AU123" s="94">
        <f>((Table3.110[[#This Row],[CH4 24h, ml]]/28.9)*16.04)/Table3.110[[#This Row],[DM Incubated, mg]]*1000</f>
        <v>6.9588981775614895</v>
      </c>
      <c r="AV123" s="94">
        <f>((Table3.110[[#This Row],[CH4 24h, ml]]/28.9)*16.04)/Table3.110[[#This Row],[Digested feed, mg]]*1000</f>
        <v>21.868801760796686</v>
      </c>
    </row>
    <row r="124" spans="2:49" s="89" customFormat="1" x14ac:dyDescent="0.35">
      <c r="B124" s="90">
        <f t="shared" si="1"/>
        <v>114</v>
      </c>
      <c r="C124" s="140">
        <v>46043</v>
      </c>
      <c r="D124" s="6" t="s">
        <v>16</v>
      </c>
      <c r="E124" s="6" t="s">
        <v>32</v>
      </c>
      <c r="F124" s="133" t="s">
        <v>19</v>
      </c>
      <c r="G124" s="133" t="s">
        <v>20</v>
      </c>
      <c r="H124" s="133" t="s">
        <v>21</v>
      </c>
      <c r="I124" s="6" t="s">
        <v>22</v>
      </c>
      <c r="J124" s="129" t="s">
        <v>23</v>
      </c>
      <c r="K124" s="129" t="s">
        <v>24</v>
      </c>
      <c r="L124" s="6" t="s">
        <v>31</v>
      </c>
      <c r="M124" s="119">
        <v>27</v>
      </c>
      <c r="N124" s="93">
        <v>59</v>
      </c>
      <c r="O124" s="6">
        <v>2</v>
      </c>
      <c r="P124" s="129">
        <v>1</v>
      </c>
      <c r="Q124" s="6">
        <v>294</v>
      </c>
      <c r="R124" s="98">
        <v>0.50049999999999994</v>
      </c>
      <c r="S124" s="94">
        <f>((Table3.110[[#This Row],[Sample weight, g]]*'2.1. DM'!Q15)/100)*1000</f>
        <v>472.25670079627241</v>
      </c>
      <c r="T124" s="94">
        <f>'3.2 Digest'!W124</f>
        <v>166.05670079627248</v>
      </c>
      <c r="U124" s="153">
        <v>0.35208333333333336</v>
      </c>
      <c r="V124" s="154">
        <v>41.5</v>
      </c>
      <c r="W124" s="153">
        <v>0.67638888888888893</v>
      </c>
      <c r="X124" s="91">
        <v>71</v>
      </c>
      <c r="Y124" s="91">
        <v>13.7</v>
      </c>
      <c r="Z124" s="154">
        <v>41</v>
      </c>
      <c r="AA124" s="153">
        <v>0.36805555555555558</v>
      </c>
      <c r="AB124" s="154">
        <v>60</v>
      </c>
      <c r="AC124" s="154">
        <v>18.2</v>
      </c>
      <c r="AD124" s="96"/>
      <c r="AE124" s="94">
        <f>Table3.110[[#This Row],[Gas 8h, ml]]-Table3.110[[#This Row],[Gas 0h, ml]]</f>
        <v>29.5</v>
      </c>
      <c r="AF124" s="94">
        <f>Table3.110[[#This Row],[Gas 24h, ml]]-Table3.110[[#This Row],[V8 Push back, ml]]</f>
        <v>19</v>
      </c>
      <c r="AG124" s="94">
        <f>Table3.110[[#This Row],[GP 8h, ml]]-(AVERAGE(AE$116,AE$117,AE$167,AE$166,AE$219,AE$220))*$AG$8</f>
        <v>26.623728042697874</v>
      </c>
      <c r="AH124" s="94">
        <f>Table3.110[[#This Row],[GP 8-24h, ml]]-(AVERAGE(AF$11,AF$12,AF$62,AF$61,AF$114,AF$115))*$AG$8</f>
        <v>15.31247184961266</v>
      </c>
      <c r="AI124" s="94">
        <f>Table3.110[[#This Row],[Net gas 8-24h, ml]]+Table3.110[[#This Row],[Net gas 8h, ml]]</f>
        <v>41.936199892310533</v>
      </c>
      <c r="AJ124" s="94">
        <f>Table3.110[[#This Row],[Net gas 8h, ml]]*Table3.110[[#This Row],[CH4 8h %]]%</f>
        <v>3.647450741849608</v>
      </c>
      <c r="AK124" s="94">
        <f>Table3.110[[#This Row],[Net gas 8-24h, ml]]*Table3.110[[#This Row],[CH4 24h, %]]%</f>
        <v>2.7868698766295039</v>
      </c>
      <c r="AL124" s="94">
        <f>Table3.110[[#This Row],[CH4 8-24h, ml]]+Table3.110[[#This Row],[CH4 8h, ml]]</f>
        <v>6.434320618479112</v>
      </c>
      <c r="AM124" s="94">
        <f>(Table3.110[[#This Row],[Net gas 24h, ml]]/Table3.110[[#This Row],[DM Incubated, mg]])*1000</f>
        <v>88.79958679591391</v>
      </c>
      <c r="AN124" s="94">
        <f>'3.2 Digest'!X124</f>
        <v>35.16238107713118</v>
      </c>
      <c r="AO124" s="94">
        <f>Table3.110[[#This Row],[Digested feed, mg]]/Table3.110[[#This Row],[Net gas 24h, ml]]</f>
        <v>3.9597460242629379</v>
      </c>
      <c r="AP124" s="94">
        <f>Table3.110[[#This Row],[CH4 8h, ml]]/Table3.110[[#This Row],[Net gas 8h, ml]]%</f>
        <v>13.699999999999998</v>
      </c>
      <c r="AQ124" s="94">
        <f>Table3.110[[#This Row],[CH4 24h, ml]]/Table3.110[[#This Row],[Net gas 24h, ml]]%</f>
        <v>15.343117962528874</v>
      </c>
      <c r="AR124" s="94">
        <f>Table3.110[[#This Row],[CH4 24h, ml]]/Table3.110[[#This Row],[DM Incubated, mg]]*1000</f>
        <v>13.624625352335284</v>
      </c>
      <c r="AS124" s="94">
        <f>Table3.110[[#This Row],[CH4 24h, ml]]/Table3.110[[#This Row],[Digested feed, mg]]*1000</f>
        <v>38.747732477071743</v>
      </c>
      <c r="AT124" s="94">
        <f>Table3.110[[#This Row],[CH4 24h, ml]]/'3.2 Digest'!AA124</f>
        <v>-0.78816440045669844</v>
      </c>
      <c r="AU124" s="94">
        <f>((Table3.110[[#This Row],[CH4 24h, ml]]/28.9)*16.04)/Table3.110[[#This Row],[DM Incubated, mg]]*1000</f>
        <v>7.5619027907078884</v>
      </c>
      <c r="AV124" s="94">
        <f>((Table3.110[[#This Row],[CH4 24h, ml]]/28.9)*16.04)/Table3.110[[#This Row],[Digested feed, mg]]*1000</f>
        <v>21.50566190076923</v>
      </c>
      <c r="AW124" s="89" t="s">
        <v>546</v>
      </c>
    </row>
    <row r="125" spans="2:49" s="89" customFormat="1" x14ac:dyDescent="0.35">
      <c r="B125" s="90">
        <f t="shared" si="1"/>
        <v>115</v>
      </c>
      <c r="C125" s="140">
        <v>46043</v>
      </c>
      <c r="D125" s="6" t="s">
        <v>16</v>
      </c>
      <c r="E125" s="6" t="s">
        <v>32</v>
      </c>
      <c r="F125" s="133" t="s">
        <v>19</v>
      </c>
      <c r="G125" s="133" t="s">
        <v>20</v>
      </c>
      <c r="H125" s="133" t="s">
        <v>21</v>
      </c>
      <c r="I125" s="6" t="s">
        <v>22</v>
      </c>
      <c r="J125" s="129" t="s">
        <v>23</v>
      </c>
      <c r="K125" s="129" t="s">
        <v>24</v>
      </c>
      <c r="L125" s="6" t="s">
        <v>31</v>
      </c>
      <c r="M125" s="119">
        <v>27</v>
      </c>
      <c r="N125" s="93">
        <v>59</v>
      </c>
      <c r="O125" s="6">
        <v>2</v>
      </c>
      <c r="P125" s="129">
        <v>2</v>
      </c>
      <c r="Q125" s="6">
        <v>295</v>
      </c>
      <c r="R125" s="98">
        <v>0.50029999999999997</v>
      </c>
      <c r="S125" s="94">
        <f>((Table3.110[[#This Row],[Sample weight, g]]*'2.1. DM'!Q15)/100)*1000</f>
        <v>472.0679868299203</v>
      </c>
      <c r="T125" s="94">
        <f>'3.2 Digest'!W125</f>
        <v>190.16798682992027</v>
      </c>
      <c r="U125" s="117">
        <v>0.3527777777777778</v>
      </c>
      <c r="V125" s="155">
        <v>40.5</v>
      </c>
      <c r="W125" s="117">
        <v>0.67708333333333337</v>
      </c>
      <c r="X125" s="96">
        <v>69.5</v>
      </c>
      <c r="Y125" s="96">
        <v>14.8</v>
      </c>
      <c r="Z125" s="155">
        <v>40.5</v>
      </c>
      <c r="AA125" s="117">
        <v>0.36805555555555558</v>
      </c>
      <c r="AB125" s="155">
        <v>72</v>
      </c>
      <c r="AC125" s="155">
        <v>18</v>
      </c>
      <c r="AD125" s="91"/>
      <c r="AE125" s="94">
        <f>Table3.110[[#This Row],[Gas 8h, ml]]-Table3.110[[#This Row],[Gas 0h, ml]]</f>
        <v>29</v>
      </c>
      <c r="AF125" s="94">
        <f>Table3.110[[#This Row],[Gas 24h, ml]]-Table3.110[[#This Row],[V8 Push back, ml]]</f>
        <v>31.5</v>
      </c>
      <c r="AG125" s="94">
        <f>Table3.110[[#This Row],[GP 8h, ml]]-(AVERAGE(AE$116,AE$117,AE$167,AE$166,AE$219,AE$220))*$AG$8</f>
        <v>26.123728042697874</v>
      </c>
      <c r="AH125" s="94">
        <f>Table3.110[[#This Row],[GP 8-24h, ml]]-(AVERAGE(AF$11,AF$12,AF$62,AF$61,AF$114,AF$115))*$AG$8</f>
        <v>27.81247184961266</v>
      </c>
      <c r="AI125" s="94">
        <f>Table3.110[[#This Row],[Net gas 8-24h, ml]]+Table3.110[[#This Row],[Net gas 8h, ml]]</f>
        <v>53.936199892310533</v>
      </c>
      <c r="AJ125" s="94">
        <f>Table3.110[[#This Row],[Net gas 8h, ml]]*Table3.110[[#This Row],[CH4 8h %]]%</f>
        <v>3.8663117503192859</v>
      </c>
      <c r="AK125" s="94">
        <f>Table3.110[[#This Row],[Net gas 8-24h, ml]]*Table3.110[[#This Row],[CH4 24h, %]]%</f>
        <v>5.0062449329302785</v>
      </c>
      <c r="AL125" s="94">
        <f>Table3.110[[#This Row],[CH4 8-24h, ml]]+Table3.110[[#This Row],[CH4 8h, ml]]</f>
        <v>8.8725566832495648</v>
      </c>
      <c r="AM125" s="94">
        <f>(Table3.110[[#This Row],[Net gas 24h, ml]]/Table3.110[[#This Row],[DM Incubated, mg]])*1000</f>
        <v>114.25515264127202</v>
      </c>
      <c r="AN125" s="94">
        <f>'3.2 Digest'!X125</f>
        <v>40.28402521148616</v>
      </c>
      <c r="AO125" s="94">
        <f>Table3.110[[#This Row],[Digested feed, mg]]/Table3.110[[#This Row],[Net gas 24h, ml]]</f>
        <v>3.5257950543347745</v>
      </c>
      <c r="AP125" s="94">
        <f>Table3.110[[#This Row],[CH4 8h, ml]]/Table3.110[[#This Row],[Net gas 8h, ml]]%</f>
        <v>14.800000000000002</v>
      </c>
      <c r="AQ125" s="94">
        <f>Table3.110[[#This Row],[CH4 24h, ml]]/Table3.110[[#This Row],[Net gas 24h, ml]]%</f>
        <v>16.450096041183073</v>
      </c>
      <c r="AR125" s="94">
        <f>Table3.110[[#This Row],[CH4 24h, ml]]/Table3.110[[#This Row],[DM Incubated, mg]]*1000</f>
        <v>18.795082341489568</v>
      </c>
      <c r="AS125" s="94">
        <f>Table3.110[[#This Row],[CH4 24h, ml]]/Table3.110[[#This Row],[Digested feed, mg]]*1000</f>
        <v>46.656415893937378</v>
      </c>
      <c r="AT125" s="94">
        <f>Table3.110[[#This Row],[CH4 24h, ml]]/'3.2 Digest'!AA125</f>
        <v>23.326007268043739</v>
      </c>
      <c r="AU125" s="94">
        <f>((Table3.110[[#This Row],[CH4 24h, ml]]/28.9)*16.04)/Table3.110[[#This Row],[DM Incubated, mg]]*1000</f>
        <v>10.431595873961683</v>
      </c>
      <c r="AV125" s="94">
        <f>((Table3.110[[#This Row],[CH4 24h, ml]]/28.9)*16.04)/Table3.110[[#This Row],[Digested feed, mg]]*1000</f>
        <v>25.895118025562471</v>
      </c>
    </row>
    <row r="126" spans="2:49" s="89" customFormat="1" x14ac:dyDescent="0.35">
      <c r="B126" s="90">
        <f t="shared" si="1"/>
        <v>116</v>
      </c>
      <c r="C126" s="140">
        <v>46043</v>
      </c>
      <c r="D126" s="6" t="s">
        <v>16</v>
      </c>
      <c r="E126" s="6" t="s">
        <v>32</v>
      </c>
      <c r="F126" s="133" t="s">
        <v>19</v>
      </c>
      <c r="G126" s="133" t="s">
        <v>20</v>
      </c>
      <c r="H126" s="133" t="s">
        <v>21</v>
      </c>
      <c r="I126" s="6" t="s">
        <v>22</v>
      </c>
      <c r="J126" s="129" t="s">
        <v>23</v>
      </c>
      <c r="K126" s="129" t="s">
        <v>24</v>
      </c>
      <c r="L126" s="6" t="s">
        <v>31</v>
      </c>
      <c r="M126" s="119">
        <v>27</v>
      </c>
      <c r="N126" s="93">
        <v>59</v>
      </c>
      <c r="O126" s="6">
        <v>2</v>
      </c>
      <c r="P126" s="6">
        <v>3</v>
      </c>
      <c r="Q126" s="6">
        <v>296</v>
      </c>
      <c r="R126" s="98">
        <v>0.50039999999999996</v>
      </c>
      <c r="S126" s="94">
        <f>((Table3.110[[#This Row],[Sample weight, g]]*'2.1. DM'!Q15)/100)*1000</f>
        <v>472.16234381309636</v>
      </c>
      <c r="T126" s="94">
        <f>'3.2 Digest'!W126</f>
        <v>168.96234381309631</v>
      </c>
      <c r="U126" s="153">
        <v>0.35347222222222224</v>
      </c>
      <c r="V126" s="154">
        <v>41.5</v>
      </c>
      <c r="W126" s="153">
        <v>0.67708333333333337</v>
      </c>
      <c r="X126" s="91">
        <v>71.5</v>
      </c>
      <c r="Y126" s="91">
        <v>14.6</v>
      </c>
      <c r="Z126" s="154">
        <v>41</v>
      </c>
      <c r="AA126" s="153">
        <v>0.36875000000000002</v>
      </c>
      <c r="AB126" s="154">
        <v>71</v>
      </c>
      <c r="AC126" s="154">
        <v>17.899999999999999</v>
      </c>
      <c r="AD126" s="96"/>
      <c r="AE126" s="94">
        <f>Table3.110[[#This Row],[Gas 8h, ml]]-Table3.110[[#This Row],[Gas 0h, ml]]</f>
        <v>30</v>
      </c>
      <c r="AF126" s="94">
        <f>Table3.110[[#This Row],[Gas 24h, ml]]-Table3.110[[#This Row],[V8 Push back, ml]]</f>
        <v>30</v>
      </c>
      <c r="AG126" s="94">
        <f>Table3.110[[#This Row],[GP 8h, ml]]-(AVERAGE(AE$116,AE$117,AE$167,AE$166,AE$219,AE$220))*$AG$8</f>
        <v>27.123728042697874</v>
      </c>
      <c r="AH126" s="94">
        <f>Table3.110[[#This Row],[GP 8-24h, ml]]-(AVERAGE(AF$11,AF$12,AF$62,AF$61,AF$114,AF$115))*$AG$8</f>
        <v>26.31247184961266</v>
      </c>
      <c r="AI126" s="94">
        <f>Table3.110[[#This Row],[Net gas 8-24h, ml]]+Table3.110[[#This Row],[Net gas 8h, ml]]</f>
        <v>53.436199892310533</v>
      </c>
      <c r="AJ126" s="94">
        <f>Table3.110[[#This Row],[Net gas 8h, ml]]*Table3.110[[#This Row],[CH4 8h %]]%</f>
        <v>3.9600642942338893</v>
      </c>
      <c r="AK126" s="94">
        <f>Table3.110[[#This Row],[Net gas 8-24h, ml]]*Table3.110[[#This Row],[CH4 24h, %]]%</f>
        <v>4.7099324610806663</v>
      </c>
      <c r="AL126" s="94">
        <f>Table3.110[[#This Row],[CH4 8-24h, ml]]+Table3.110[[#This Row],[CH4 8h, ml]]</f>
        <v>8.6699967553145552</v>
      </c>
      <c r="AM126" s="94">
        <f>(Table3.110[[#This Row],[Net gas 24h, ml]]/Table3.110[[#This Row],[DM Incubated, mg]])*1000</f>
        <v>113.17336207027778</v>
      </c>
      <c r="AN126" s="94">
        <f>'3.2 Digest'!X126</f>
        <v>35.784798603079501</v>
      </c>
      <c r="AO126" s="94">
        <f>Table3.110[[#This Row],[Digested feed, mg]]/Table3.110[[#This Row],[Net gas 24h, ml]]</f>
        <v>3.1619453507847588</v>
      </c>
      <c r="AP126" s="94">
        <f>Table3.110[[#This Row],[CH4 8h, ml]]/Table3.110[[#This Row],[Net gas 8h, ml]]%</f>
        <v>14.599999999999998</v>
      </c>
      <c r="AQ126" s="94">
        <f>Table3.110[[#This Row],[CH4 24h, ml]]/Table3.110[[#This Row],[Net gas 24h, ml]]%</f>
        <v>16.224950076515764</v>
      </c>
      <c r="AR126" s="94">
        <f>Table3.110[[#This Row],[CH4 24h, ml]]/Table3.110[[#This Row],[DM Incubated, mg]]*1000</f>
        <v>18.362321495817</v>
      </c>
      <c r="AS126" s="94">
        <f>Table3.110[[#This Row],[CH4 24h, ml]]/Table3.110[[#This Row],[Digested feed, mg]]*1000</f>
        <v>51.313189434121369</v>
      </c>
      <c r="AT126" s="94">
        <f>Table3.110[[#This Row],[CH4 24h, ml]]/'3.2 Digest'!AA126</f>
        <v>-1.2167824943092698</v>
      </c>
      <c r="AU126" s="94">
        <f>((Table3.110[[#This Row],[CH4 24h, ml]]/28.9)*16.04)/Table3.110[[#This Row],[DM Incubated, mg]]*1000</f>
        <v>10.191406117401543</v>
      </c>
      <c r="AV126" s="94">
        <f>((Table3.110[[#This Row],[CH4 24h, ml]]/28.9)*16.04)/Table3.110[[#This Row],[Digested feed, mg]]*1000</f>
        <v>28.479707907380853</v>
      </c>
      <c r="AW126" s="89" t="s">
        <v>546</v>
      </c>
    </row>
    <row r="127" spans="2:49" s="89" customFormat="1" x14ac:dyDescent="0.35">
      <c r="B127" s="90">
        <f t="shared" si="1"/>
        <v>117</v>
      </c>
      <c r="C127" s="140">
        <v>46043</v>
      </c>
      <c r="D127" s="6" t="s">
        <v>16</v>
      </c>
      <c r="E127" s="6" t="s">
        <v>34</v>
      </c>
      <c r="F127" s="133" t="s">
        <v>19</v>
      </c>
      <c r="G127" s="133" t="s">
        <v>29</v>
      </c>
      <c r="H127" s="133" t="s">
        <v>30</v>
      </c>
      <c r="I127" s="6" t="s">
        <v>22</v>
      </c>
      <c r="J127" s="129" t="s">
        <v>23</v>
      </c>
      <c r="K127" s="129" t="s">
        <v>24</v>
      </c>
      <c r="L127" s="6" t="s">
        <v>33</v>
      </c>
      <c r="M127" s="119">
        <v>27</v>
      </c>
      <c r="N127" s="93">
        <v>59</v>
      </c>
      <c r="O127" s="6">
        <v>2</v>
      </c>
      <c r="P127" s="129">
        <v>1</v>
      </c>
      <c r="Q127" s="6">
        <v>297</v>
      </c>
      <c r="R127" s="98">
        <v>0.50039999999999996</v>
      </c>
      <c r="S127" s="94">
        <f>((Table3.110[[#This Row],[Sample weight, g]]*'2.1. DM'!Q17)/100)*1000</f>
        <v>471.03974204621011</v>
      </c>
      <c r="T127" s="94">
        <f>'3.2 Digest'!W127</f>
        <v>87.039742046210108</v>
      </c>
      <c r="U127" s="117">
        <v>0.35347222222222224</v>
      </c>
      <c r="V127" s="155">
        <v>40.5</v>
      </c>
      <c r="W127" s="117">
        <v>0.67777777777777781</v>
      </c>
      <c r="X127" s="96">
        <v>65</v>
      </c>
      <c r="Y127" s="96">
        <v>14.5</v>
      </c>
      <c r="Z127" s="155">
        <v>40</v>
      </c>
      <c r="AA127" s="117">
        <v>0.36875000000000002</v>
      </c>
      <c r="AB127" s="155">
        <v>55</v>
      </c>
      <c r="AC127" s="155">
        <v>17.8</v>
      </c>
      <c r="AD127" s="91"/>
      <c r="AE127" s="94">
        <f>Table3.110[[#This Row],[Gas 8h, ml]]-Table3.110[[#This Row],[Gas 0h, ml]]</f>
        <v>24.5</v>
      </c>
      <c r="AF127" s="94">
        <f>Table3.110[[#This Row],[Gas 24h, ml]]-Table3.110[[#This Row],[V8 Push back, ml]]</f>
        <v>15</v>
      </c>
      <c r="AG127" s="94">
        <f>Table3.110[[#This Row],[GP 8h, ml]]-(AVERAGE(AE$116,AE$117,AE$167,AE$166,AE$219,AE$220))*$AG$8</f>
        <v>21.623728042697874</v>
      </c>
      <c r="AH127" s="94">
        <f>Table3.110[[#This Row],[GP 8-24h, ml]]-(AVERAGE(AF$11,AF$12,AF$62,AF$61,AF$114,AF$115))*$AG$8</f>
        <v>11.31247184961266</v>
      </c>
      <c r="AI127" s="94">
        <f>Table3.110[[#This Row],[Net gas 8-24h, ml]]+Table3.110[[#This Row],[Net gas 8h, ml]]</f>
        <v>32.936199892310533</v>
      </c>
      <c r="AJ127" s="94">
        <f>Table3.110[[#This Row],[Net gas 8h, ml]]*Table3.110[[#This Row],[CH4 8h %]]%</f>
        <v>3.1354405661911913</v>
      </c>
      <c r="AK127" s="94">
        <f>Table3.110[[#This Row],[Net gas 8-24h, ml]]*Table3.110[[#This Row],[CH4 24h, %]]%</f>
        <v>2.0136199892310538</v>
      </c>
      <c r="AL127" s="94">
        <f>Table3.110[[#This Row],[CH4 8-24h, ml]]+Table3.110[[#This Row],[CH4 8h, ml]]</f>
        <v>5.1490605554222455</v>
      </c>
      <c r="AM127" s="94">
        <f>(Table3.110[[#This Row],[Net gas 24h, ml]]/Table3.110[[#This Row],[DM Incubated, mg]])*1000</f>
        <v>69.922337655066514</v>
      </c>
      <c r="AN127" s="94">
        <f>'3.2 Digest'!X127</f>
        <v>18.478216226110135</v>
      </c>
      <c r="AO127" s="94">
        <f>Table3.110[[#This Row],[Digested feed, mg]]/Table3.110[[#This Row],[Net gas 24h, ml]]</f>
        <v>2.6426771251935133</v>
      </c>
      <c r="AP127" s="94">
        <f>Table3.110[[#This Row],[CH4 8h, ml]]/Table3.110[[#This Row],[Net gas 8h, ml]]%</f>
        <v>14.499999999999998</v>
      </c>
      <c r="AQ127" s="94">
        <f>Table3.110[[#This Row],[CH4 24h, ml]]/Table3.110[[#This Row],[Net gas 24h, ml]]%</f>
        <v>15.633438503099361</v>
      </c>
      <c r="AR127" s="94">
        <f>Table3.110[[#This Row],[CH4 24h, ml]]/Table3.110[[#This Row],[DM Incubated, mg]]*1000</f>
        <v>10.931265657234311</v>
      </c>
      <c r="AS127" s="94">
        <f>Table3.110[[#This Row],[CH4 24h, ml]]/Table3.110[[#This Row],[Digested feed, mg]]*1000</f>
        <v>59.157580599085037</v>
      </c>
      <c r="AT127" s="94">
        <f>Table3.110[[#This Row],[CH4 24h, ml]]/'3.2 Digest'!AA127</f>
        <v>-0.19305699150797129</v>
      </c>
      <c r="AU127" s="94">
        <f>((Table3.110[[#This Row],[CH4 24h, ml]]/28.9)*16.04)/Table3.110[[#This Row],[DM Incubated, mg]]*1000</f>
        <v>6.0670415620082476</v>
      </c>
      <c r="AV127" s="94">
        <f>((Table3.110[[#This Row],[CH4 24h, ml]]/28.9)*16.04)/Table3.110[[#This Row],[Digested feed, mg]]*1000</f>
        <v>32.833480720045813</v>
      </c>
    </row>
    <row r="128" spans="2:49" s="89" customFormat="1" x14ac:dyDescent="0.35">
      <c r="B128" s="90">
        <f t="shared" si="1"/>
        <v>118</v>
      </c>
      <c r="C128" s="140">
        <v>46043</v>
      </c>
      <c r="D128" s="6" t="s">
        <v>16</v>
      </c>
      <c r="E128" s="6" t="s">
        <v>34</v>
      </c>
      <c r="F128" s="133" t="s">
        <v>19</v>
      </c>
      <c r="G128" s="133" t="s">
        <v>29</v>
      </c>
      <c r="H128" s="133" t="s">
        <v>30</v>
      </c>
      <c r="I128" s="6" t="s">
        <v>22</v>
      </c>
      <c r="J128" s="129" t="s">
        <v>23</v>
      </c>
      <c r="K128" s="129" t="s">
        <v>24</v>
      </c>
      <c r="L128" s="6" t="s">
        <v>33</v>
      </c>
      <c r="M128" s="119">
        <v>27</v>
      </c>
      <c r="N128" s="93">
        <v>59</v>
      </c>
      <c r="O128" s="6">
        <v>2</v>
      </c>
      <c r="P128" s="129">
        <v>2</v>
      </c>
      <c r="Q128" s="6">
        <v>298</v>
      </c>
      <c r="R128" s="98">
        <v>0.5</v>
      </c>
      <c r="S128" s="94">
        <f>((Table3.110[[#This Row],[Sample weight, g]]*'2.1. DM'!Q17)/100)*1000</f>
        <v>470.66321147702848</v>
      </c>
      <c r="T128" s="94">
        <f>'3.2 Digest'!W128</f>
        <v>110.96321147702844</v>
      </c>
      <c r="U128" s="153">
        <v>0.35416666666666669</v>
      </c>
      <c r="V128" s="154">
        <v>40</v>
      </c>
      <c r="W128" s="153">
        <v>0.67847222222222225</v>
      </c>
      <c r="X128" s="91">
        <v>64.5</v>
      </c>
      <c r="Y128" s="91">
        <v>14</v>
      </c>
      <c r="Z128" s="154">
        <v>39</v>
      </c>
      <c r="AA128" s="153">
        <v>0.36944444444444446</v>
      </c>
      <c r="AB128" s="154">
        <v>55</v>
      </c>
      <c r="AC128" s="154">
        <v>18.3</v>
      </c>
      <c r="AD128" s="96"/>
      <c r="AE128" s="94">
        <f>Table3.110[[#This Row],[Gas 8h, ml]]-Table3.110[[#This Row],[Gas 0h, ml]]</f>
        <v>24.5</v>
      </c>
      <c r="AF128" s="94">
        <f>Table3.110[[#This Row],[Gas 24h, ml]]-Table3.110[[#This Row],[V8 Push back, ml]]</f>
        <v>16</v>
      </c>
      <c r="AG128" s="94">
        <f>Table3.110[[#This Row],[GP 8h, ml]]-(AVERAGE(AE$116,AE$117,AE$167,AE$166,AE$219,AE$220))*$AG$8</f>
        <v>21.623728042697874</v>
      </c>
      <c r="AH128" s="94">
        <f>Table3.110[[#This Row],[GP 8-24h, ml]]-(AVERAGE(AF$11,AF$12,AF$62,AF$61,AF$114,AF$115))*$AG$8</f>
        <v>12.31247184961266</v>
      </c>
      <c r="AI128" s="94">
        <f>Table3.110[[#This Row],[Net gas 8-24h, ml]]+Table3.110[[#This Row],[Net gas 8h, ml]]</f>
        <v>33.936199892310533</v>
      </c>
      <c r="AJ128" s="94">
        <f>Table3.110[[#This Row],[Net gas 8h, ml]]*Table3.110[[#This Row],[CH4 8h %]]%</f>
        <v>3.0273219259777027</v>
      </c>
      <c r="AK128" s="94">
        <f>Table3.110[[#This Row],[Net gas 8-24h, ml]]*Table3.110[[#This Row],[CH4 24h, %]]%</f>
        <v>2.2531823484791165</v>
      </c>
      <c r="AL128" s="94">
        <f>Table3.110[[#This Row],[CH4 8-24h, ml]]+Table3.110[[#This Row],[CH4 8h, ml]]</f>
        <v>5.2805042744568187</v>
      </c>
      <c r="AM128" s="94">
        <f>(Table3.110[[#This Row],[Net gas 24h, ml]]/Table3.110[[#This Row],[DM Incubated, mg]])*1000</f>
        <v>72.102937014797575</v>
      </c>
      <c r="AN128" s="94">
        <f>'3.2 Digest'!X128</f>
        <v>23.575926218836031</v>
      </c>
      <c r="AO128" s="94">
        <f>Table3.110[[#This Row],[Digested feed, mg]]/Table3.110[[#This Row],[Net gas 24h, ml]]</f>
        <v>3.2697594848317459</v>
      </c>
      <c r="AP128" s="94">
        <f>Table3.110[[#This Row],[CH4 8h, ml]]/Table3.110[[#This Row],[Net gas 8h, ml]]%</f>
        <v>14.000000000000002</v>
      </c>
      <c r="AQ128" s="94">
        <f>Table3.110[[#This Row],[CH4 24h, ml]]/Table3.110[[#This Row],[Net gas 24h, ml]]%</f>
        <v>15.560093031080086</v>
      </c>
      <c r="AR128" s="94">
        <f>Table3.110[[#This Row],[CH4 24h, ml]]/Table3.110[[#This Row],[DM Incubated, mg]]*1000</f>
        <v>11.21928407764358</v>
      </c>
      <c r="AS128" s="94">
        <f>Table3.110[[#This Row],[CH4 24h, ml]]/Table3.110[[#This Row],[Digested feed, mg]]*1000</f>
        <v>47.587882543846405</v>
      </c>
      <c r="AT128" s="94">
        <f>Table3.110[[#This Row],[CH4 24h, ml]]/'3.2 Digest'!AA128</f>
        <v>-0.28162378358585888</v>
      </c>
      <c r="AU128" s="94">
        <f>((Table3.110[[#This Row],[CH4 24h, ml]]/28.9)*16.04)/Table3.110[[#This Row],[DM Incubated, mg]]*1000</f>
        <v>6.2268967683530461</v>
      </c>
      <c r="AV128" s="94">
        <f>((Table3.110[[#This Row],[CH4 24h, ml]]/28.9)*16.04)/Table3.110[[#This Row],[Digested feed, mg]]*1000</f>
        <v>26.412098131601951</v>
      </c>
    </row>
    <row r="129" spans="2:49" s="89" customFormat="1" x14ac:dyDescent="0.35">
      <c r="B129" s="90">
        <f t="shared" si="1"/>
        <v>119</v>
      </c>
      <c r="C129" s="140">
        <v>46043</v>
      </c>
      <c r="D129" s="6" t="s">
        <v>16</v>
      </c>
      <c r="E129" s="6" t="s">
        <v>34</v>
      </c>
      <c r="F129" s="133" t="s">
        <v>19</v>
      </c>
      <c r="G129" s="133" t="s">
        <v>29</v>
      </c>
      <c r="H129" s="133" t="s">
        <v>30</v>
      </c>
      <c r="I129" s="6" t="s">
        <v>22</v>
      </c>
      <c r="J129" s="129" t="s">
        <v>23</v>
      </c>
      <c r="K129" s="129" t="s">
        <v>24</v>
      </c>
      <c r="L129" s="6" t="s">
        <v>33</v>
      </c>
      <c r="M129" s="119">
        <v>27</v>
      </c>
      <c r="N129" s="93">
        <v>59</v>
      </c>
      <c r="O129" s="6">
        <v>2</v>
      </c>
      <c r="P129" s="6">
        <v>3</v>
      </c>
      <c r="Q129" s="6">
        <v>299</v>
      </c>
      <c r="R129" s="98">
        <v>0.50039999999999996</v>
      </c>
      <c r="S129" s="94">
        <f>((Table3.110[[#This Row],[Sample weight, g]]*'2.1. DM'!Q17)/100)*1000</f>
        <v>471.03974204621011</v>
      </c>
      <c r="T129" s="94">
        <f>'3.2 Digest'!W129</f>
        <v>110.93974204621014</v>
      </c>
      <c r="U129" s="117">
        <v>0.35416666666666669</v>
      </c>
      <c r="V129" s="155">
        <v>40.5</v>
      </c>
      <c r="W129" s="117">
        <v>0.67847222222222225</v>
      </c>
      <c r="X129" s="96">
        <v>65</v>
      </c>
      <c r="Y129" s="96">
        <v>14.3</v>
      </c>
      <c r="Z129" s="155">
        <v>40</v>
      </c>
      <c r="AA129" s="117">
        <v>0.37013888888888891</v>
      </c>
      <c r="AB129" s="155">
        <v>57</v>
      </c>
      <c r="AC129" s="155">
        <v>18.2</v>
      </c>
      <c r="AD129" s="91"/>
      <c r="AE129" s="94">
        <f>Table3.110[[#This Row],[Gas 8h, ml]]-Table3.110[[#This Row],[Gas 0h, ml]]</f>
        <v>24.5</v>
      </c>
      <c r="AF129" s="94">
        <f>Table3.110[[#This Row],[Gas 24h, ml]]-Table3.110[[#This Row],[V8 Push back, ml]]</f>
        <v>17</v>
      </c>
      <c r="AG129" s="94">
        <f>Table3.110[[#This Row],[GP 8h, ml]]-(AVERAGE(AE$116,AE$117,AE$167,AE$166,AE$219,AE$220))*$AG$8</f>
        <v>21.623728042697874</v>
      </c>
      <c r="AH129" s="94">
        <f>Table3.110[[#This Row],[GP 8-24h, ml]]-(AVERAGE(AF$11,AF$12,AF$62,AF$61,AF$114,AF$115))*$AG$8</f>
        <v>13.31247184961266</v>
      </c>
      <c r="AI129" s="94">
        <f>Table3.110[[#This Row],[Net gas 8-24h, ml]]+Table3.110[[#This Row],[Net gas 8h, ml]]</f>
        <v>34.936199892310533</v>
      </c>
      <c r="AJ129" s="94">
        <f>Table3.110[[#This Row],[Net gas 8h, ml]]*Table3.110[[#This Row],[CH4 8h %]]%</f>
        <v>3.0921931101057964</v>
      </c>
      <c r="AK129" s="94">
        <f>Table3.110[[#This Row],[Net gas 8-24h, ml]]*Table3.110[[#This Row],[CH4 24h, %]]%</f>
        <v>2.422869876629504</v>
      </c>
      <c r="AL129" s="94">
        <f>Table3.110[[#This Row],[CH4 8-24h, ml]]+Table3.110[[#This Row],[CH4 8h, ml]]</f>
        <v>5.5150629867353</v>
      </c>
      <c r="AM129" s="94">
        <f>(Table3.110[[#This Row],[Net gas 24h, ml]]/Table3.110[[#This Row],[DM Incubated, mg]])*1000</f>
        <v>74.168263893289947</v>
      </c>
      <c r="AN129" s="94">
        <f>'3.2 Digest'!X129</f>
        <v>23.55209808078714</v>
      </c>
      <c r="AO129" s="94">
        <f>Table3.110[[#This Row],[Digested feed, mg]]/Table3.110[[#This Row],[Net gas 24h, ml]]</f>
        <v>3.1754953998482249</v>
      </c>
      <c r="AP129" s="94">
        <f>Table3.110[[#This Row],[CH4 8h, ml]]/Table3.110[[#This Row],[Net gas 8h, ml]]%</f>
        <v>14.300000000000002</v>
      </c>
      <c r="AQ129" s="94">
        <f>Table3.110[[#This Row],[CH4 24h, ml]]/Table3.110[[#This Row],[Net gas 24h, ml]]%</f>
        <v>15.786098670534477</v>
      </c>
      <c r="AR129" s="94">
        <f>Table3.110[[#This Row],[CH4 24h, ml]]/Table3.110[[#This Row],[DM Incubated, mg]]*1000</f>
        <v>11.708275320417146</v>
      </c>
      <c r="AS129" s="94">
        <f>Table3.110[[#This Row],[CH4 24h, ml]]/Table3.110[[#This Row],[Digested feed, mg]]*1000</f>
        <v>49.712239140037759</v>
      </c>
      <c r="AT129" s="94">
        <f>Table3.110[[#This Row],[CH4 24h, ml]]/'3.2 Digest'!AA129</f>
        <v>-0.29355377994609888</v>
      </c>
      <c r="AU129" s="94">
        <f>((Table3.110[[#This Row],[CH4 24h, ml]]/28.9)*16.04)/Table3.110[[#This Row],[DM Incubated, mg]]*1000</f>
        <v>6.4982953681484785</v>
      </c>
      <c r="AV129" s="94">
        <f>((Table3.110[[#This Row],[CH4 24h, ml]]/28.9)*16.04)/Table3.110[[#This Row],[Digested feed, mg]]*1000</f>
        <v>27.591152796062477</v>
      </c>
    </row>
    <row r="130" spans="2:49" s="89" customFormat="1" x14ac:dyDescent="0.35">
      <c r="B130" s="90">
        <f t="shared" si="1"/>
        <v>120</v>
      </c>
      <c r="C130" s="140">
        <v>46043</v>
      </c>
      <c r="D130" s="6" t="s">
        <v>16</v>
      </c>
      <c r="E130" s="6" t="s">
        <v>36</v>
      </c>
      <c r="F130" s="133" t="s">
        <v>19</v>
      </c>
      <c r="G130" s="133" t="s">
        <v>20</v>
      </c>
      <c r="H130" s="133" t="s">
        <v>21</v>
      </c>
      <c r="I130" s="6" t="s">
        <v>22</v>
      </c>
      <c r="J130" s="129" t="s">
        <v>23</v>
      </c>
      <c r="K130" s="129" t="s">
        <v>24</v>
      </c>
      <c r="L130" s="6" t="s">
        <v>35</v>
      </c>
      <c r="M130" s="119">
        <v>27</v>
      </c>
      <c r="N130" s="93">
        <v>59</v>
      </c>
      <c r="O130" s="6">
        <v>2</v>
      </c>
      <c r="P130" s="129">
        <v>1</v>
      </c>
      <c r="Q130" s="6">
        <v>300</v>
      </c>
      <c r="R130" s="98">
        <v>0.50029999999999997</v>
      </c>
      <c r="S130" s="94">
        <f>((Table3.110[[#This Row],[Sample weight, g]]*'2.1. DM'!Q19)/100)*1000</f>
        <v>471.7621368452036</v>
      </c>
      <c r="T130" s="94">
        <f>'3.2 Digest'!W130</f>
        <v>42.262136845203599</v>
      </c>
      <c r="U130" s="153">
        <v>0.35486111111111113</v>
      </c>
      <c r="V130" s="154">
        <v>41</v>
      </c>
      <c r="W130" s="153">
        <v>0.67847222222222225</v>
      </c>
      <c r="X130" s="91">
        <v>63.5</v>
      </c>
      <c r="Y130" s="91">
        <v>15.6</v>
      </c>
      <c r="Z130" s="154">
        <v>40.5</v>
      </c>
      <c r="AA130" s="153">
        <v>0.37013888888888891</v>
      </c>
      <c r="AB130" s="154">
        <v>65.5</v>
      </c>
      <c r="AC130" s="154">
        <v>17.7</v>
      </c>
      <c r="AD130" s="96"/>
      <c r="AE130" s="94">
        <f>Table3.110[[#This Row],[Gas 8h, ml]]-Table3.110[[#This Row],[Gas 0h, ml]]</f>
        <v>22.5</v>
      </c>
      <c r="AF130" s="94">
        <f>Table3.110[[#This Row],[Gas 24h, ml]]-Table3.110[[#This Row],[V8 Push back, ml]]</f>
        <v>25</v>
      </c>
      <c r="AG130" s="94">
        <f>Table3.110[[#This Row],[GP 8h, ml]]-(AVERAGE(AE$116,AE$117,AE$167,AE$166,AE$219,AE$220))*$AG$8</f>
        <v>19.623728042697874</v>
      </c>
      <c r="AH130" s="94">
        <f>Table3.110[[#This Row],[GP 8-24h, ml]]-(AVERAGE(AF$11,AF$12,AF$62,AF$61,AF$114,AF$115))*$AG$8</f>
        <v>21.31247184961266</v>
      </c>
      <c r="AI130" s="94">
        <f>Table3.110[[#This Row],[Net gas 8-24h, ml]]+Table3.110[[#This Row],[Net gas 8h, ml]]</f>
        <v>40.936199892310533</v>
      </c>
      <c r="AJ130" s="94">
        <f>Table3.110[[#This Row],[Net gas 8h, ml]]*Table3.110[[#This Row],[CH4 8h %]]%</f>
        <v>3.0613015746608681</v>
      </c>
      <c r="AK130" s="94">
        <f>Table3.110[[#This Row],[Net gas 8-24h, ml]]*Table3.110[[#This Row],[CH4 24h, %]]%</f>
        <v>3.7723075173814404</v>
      </c>
      <c r="AL130" s="94">
        <f>Table3.110[[#This Row],[CH4 8-24h, ml]]+Table3.110[[#This Row],[CH4 8h, ml]]</f>
        <v>6.8336090920423089</v>
      </c>
      <c r="AM130" s="94">
        <f>(Table3.110[[#This Row],[Net gas 24h, ml]]/Table3.110[[#This Row],[DM Incubated, mg]])*1000</f>
        <v>86.772966067310051</v>
      </c>
      <c r="AN130" s="94">
        <f>'3.2 Digest'!X130</f>
        <v>8.9583570923731877</v>
      </c>
      <c r="AO130" s="94">
        <f>Table3.110[[#This Row],[Digested feed, mg]]/Table3.110[[#This Row],[Net gas 24h, ml]]</f>
        <v>1.0323903282762241</v>
      </c>
      <c r="AP130" s="94">
        <f>Table3.110[[#This Row],[CH4 8h, ml]]/Table3.110[[#This Row],[Net gas 8h, ml]]%</f>
        <v>15.599999999999998</v>
      </c>
      <c r="AQ130" s="94">
        <f>Table3.110[[#This Row],[CH4 24h, ml]]/Table3.110[[#This Row],[Net gas 24h, ml]]%</f>
        <v>16.693315720607316</v>
      </c>
      <c r="AR130" s="94">
        <f>Table3.110[[#This Row],[CH4 24h, ml]]/Table3.110[[#This Row],[DM Incubated, mg]]*1000</f>
        <v>14.48528518575152</v>
      </c>
      <c r="AS130" s="94">
        <f>Table3.110[[#This Row],[CH4 24h, ml]]/Table3.110[[#This Row],[Digested feed, mg]]*1000</f>
        <v>161.69577787967117</v>
      </c>
      <c r="AT130" s="94">
        <f>Table3.110[[#This Row],[CH4 24h, ml]]/'3.2 Digest'!AA130</f>
        <v>-0.15844929284380768</v>
      </c>
      <c r="AU130" s="94">
        <f>((Table3.110[[#This Row],[CH4 24h, ml]]/28.9)*16.04)/Table3.110[[#This Row],[DM Incubated, mg]]*1000</f>
        <v>8.0395838885624347</v>
      </c>
      <c r="AV130" s="94">
        <f>((Table3.110[[#This Row],[CH4 24h, ml]]/28.9)*16.04)/Table3.110[[#This Row],[Digested feed, mg]]*1000</f>
        <v>89.743954228025117</v>
      </c>
    </row>
    <row r="131" spans="2:49" s="89" customFormat="1" x14ac:dyDescent="0.35">
      <c r="B131" s="90">
        <f t="shared" si="1"/>
        <v>121</v>
      </c>
      <c r="C131" s="140">
        <v>46043</v>
      </c>
      <c r="D131" s="6" t="s">
        <v>16</v>
      </c>
      <c r="E131" s="6" t="s">
        <v>36</v>
      </c>
      <c r="F131" s="133" t="s">
        <v>19</v>
      </c>
      <c r="G131" s="133" t="s">
        <v>20</v>
      </c>
      <c r="H131" s="133" t="s">
        <v>21</v>
      </c>
      <c r="I131" s="6" t="s">
        <v>22</v>
      </c>
      <c r="J131" s="129" t="s">
        <v>23</v>
      </c>
      <c r="K131" s="129" t="s">
        <v>24</v>
      </c>
      <c r="L131" s="6" t="s">
        <v>35</v>
      </c>
      <c r="M131" s="119">
        <v>27</v>
      </c>
      <c r="N131" s="93">
        <v>59</v>
      </c>
      <c r="O131" s="6">
        <v>2</v>
      </c>
      <c r="P131" s="129">
        <v>2</v>
      </c>
      <c r="Q131" s="6">
        <v>301</v>
      </c>
      <c r="R131" s="98">
        <v>0.5</v>
      </c>
      <c r="S131" s="94">
        <f>((Table3.110[[#This Row],[Sample weight, g]]*'2.1. DM'!Q19)/100)*1000</f>
        <v>471.47924929562618</v>
      </c>
      <c r="T131" s="94">
        <f>'3.2 Digest'!W131</f>
        <v>131.47924929562623</v>
      </c>
      <c r="U131" s="117">
        <v>0.35555555555555557</v>
      </c>
      <c r="V131" s="155">
        <v>42.5</v>
      </c>
      <c r="W131" s="117">
        <v>0.6791666666666667</v>
      </c>
      <c r="X131" s="96">
        <v>67.5</v>
      </c>
      <c r="Y131" s="96">
        <v>14.9</v>
      </c>
      <c r="Z131" s="155">
        <v>40</v>
      </c>
      <c r="AA131" s="117">
        <v>0.37083333333333335</v>
      </c>
      <c r="AB131" s="155">
        <v>63.5</v>
      </c>
      <c r="AC131" s="155">
        <v>17.899999999999999</v>
      </c>
      <c r="AD131" s="91"/>
      <c r="AE131" s="94">
        <f>Table3.110[[#This Row],[Gas 8h, ml]]-Table3.110[[#This Row],[Gas 0h, ml]]</f>
        <v>25</v>
      </c>
      <c r="AF131" s="94">
        <f>Table3.110[[#This Row],[Gas 24h, ml]]-Table3.110[[#This Row],[V8 Push back, ml]]</f>
        <v>23.5</v>
      </c>
      <c r="AG131" s="94">
        <f>Table3.110[[#This Row],[GP 8h, ml]]-(AVERAGE(AE$116,AE$117,AE$167,AE$166,AE$219,AE$220))*$AG$8</f>
        <v>22.123728042697874</v>
      </c>
      <c r="AH131" s="94">
        <f>Table3.110[[#This Row],[GP 8-24h, ml]]-(AVERAGE(AF$11,AF$12,AF$62,AF$61,AF$114,AF$115))*$AG$8</f>
        <v>19.81247184961266</v>
      </c>
      <c r="AI131" s="94">
        <f>Table3.110[[#This Row],[Net gas 8-24h, ml]]+Table3.110[[#This Row],[Net gas 8h, ml]]</f>
        <v>41.936199892310533</v>
      </c>
      <c r="AJ131" s="94">
        <f>Table3.110[[#This Row],[Net gas 8h, ml]]*Table3.110[[#This Row],[CH4 8h %]]%</f>
        <v>3.2964354783619831</v>
      </c>
      <c r="AK131" s="94">
        <f>Table3.110[[#This Row],[Net gas 8-24h, ml]]*Table3.110[[#This Row],[CH4 24h, %]]%</f>
        <v>3.5464324610806659</v>
      </c>
      <c r="AL131" s="94">
        <f>Table3.110[[#This Row],[CH4 8-24h, ml]]+Table3.110[[#This Row],[CH4 8h, ml]]</f>
        <v>6.842867939442649</v>
      </c>
      <c r="AM131" s="94">
        <f>(Table3.110[[#This Row],[Net gas 24h, ml]]/Table3.110[[#This Row],[DM Incubated, mg]])*1000</f>
        <v>88.946013965538839</v>
      </c>
      <c r="AN131" s="94">
        <f>'3.2 Digest'!X131</f>
        <v>27.886539967994718</v>
      </c>
      <c r="AO131" s="94">
        <f>Table3.110[[#This Row],[Digested feed, mg]]/Table3.110[[#This Row],[Net gas 24h, ml]]</f>
        <v>3.1352208744057997</v>
      </c>
      <c r="AP131" s="94">
        <f>Table3.110[[#This Row],[CH4 8h, ml]]/Table3.110[[#This Row],[Net gas 8h, ml]]%</f>
        <v>14.9</v>
      </c>
      <c r="AQ131" s="94">
        <f>Table3.110[[#This Row],[CH4 24h, ml]]/Table3.110[[#This Row],[Net gas 24h, ml]]%</f>
        <v>16.317329555407248</v>
      </c>
      <c r="AR131" s="94">
        <f>Table3.110[[#This Row],[CH4 24h, ml]]/Table3.110[[#This Row],[DM Incubated, mg]]*1000</f>
        <v>14.513614225155527</v>
      </c>
      <c r="AS131" s="94">
        <f>Table3.110[[#This Row],[CH4 24h, ml]]/Table3.110[[#This Row],[Digested feed, mg]]*1000</f>
        <v>52.045231290123304</v>
      </c>
      <c r="AT131" s="94">
        <f>Table3.110[[#This Row],[CH4 24h, ml]]/'3.2 Digest'!AA131</f>
        <v>-0.51177908138533923</v>
      </c>
      <c r="AU131" s="94">
        <f>((Table3.110[[#This Row],[CH4 24h, ml]]/28.9)*16.04)/Table3.110[[#This Row],[DM Incubated, mg]]*1000</f>
        <v>8.0553069955534493</v>
      </c>
      <c r="AV131" s="94">
        <f>((Table3.110[[#This Row],[CH4 24h, ml]]/28.9)*16.04)/Table3.110[[#This Row],[Digested feed, mg]]*1000</f>
        <v>28.886003802545947</v>
      </c>
    </row>
    <row r="132" spans="2:49" s="89" customFormat="1" x14ac:dyDescent="0.35">
      <c r="B132" s="90">
        <f t="shared" si="1"/>
        <v>122</v>
      </c>
      <c r="C132" s="140">
        <v>46043</v>
      </c>
      <c r="D132" s="6" t="s">
        <v>16</v>
      </c>
      <c r="E132" s="6" t="s">
        <v>36</v>
      </c>
      <c r="F132" s="133" t="s">
        <v>19</v>
      </c>
      <c r="G132" s="133" t="s">
        <v>20</v>
      </c>
      <c r="H132" s="133" t="s">
        <v>21</v>
      </c>
      <c r="I132" s="6" t="s">
        <v>22</v>
      </c>
      <c r="J132" s="129" t="s">
        <v>23</v>
      </c>
      <c r="K132" s="129" t="s">
        <v>24</v>
      </c>
      <c r="L132" s="6" t="s">
        <v>35</v>
      </c>
      <c r="M132" s="119">
        <v>27</v>
      </c>
      <c r="N132" s="93">
        <v>59</v>
      </c>
      <c r="O132" s="6">
        <v>2</v>
      </c>
      <c r="P132" s="6">
        <v>3</v>
      </c>
      <c r="Q132" s="6">
        <v>302</v>
      </c>
      <c r="R132" s="98">
        <v>0.50039999999999996</v>
      </c>
      <c r="S132" s="94">
        <f>((Table3.110[[#This Row],[Sample weight, g]]*'2.1. DM'!Q19)/100)*1000</f>
        <v>471.85643269506267</v>
      </c>
      <c r="T132" s="94">
        <f>'3.2 Digest'!W132</f>
        <v>124.65643269506262</v>
      </c>
      <c r="U132" s="153">
        <v>0.35555555555555557</v>
      </c>
      <c r="V132" s="154">
        <v>41.5</v>
      </c>
      <c r="W132" s="153">
        <v>0.6791666666666667</v>
      </c>
      <c r="X132" s="91">
        <v>68.5</v>
      </c>
      <c r="Y132" s="91">
        <v>14.1</v>
      </c>
      <c r="Z132" s="154">
        <v>40.5</v>
      </c>
      <c r="AA132" s="153">
        <v>0.37083333333333335</v>
      </c>
      <c r="AB132" s="154">
        <v>65</v>
      </c>
      <c r="AC132" s="154">
        <v>18</v>
      </c>
      <c r="AD132" s="96"/>
      <c r="AE132" s="94">
        <f>Table3.110[[#This Row],[Gas 8h, ml]]-Table3.110[[#This Row],[Gas 0h, ml]]</f>
        <v>27</v>
      </c>
      <c r="AF132" s="94">
        <f>Table3.110[[#This Row],[Gas 24h, ml]]-Table3.110[[#This Row],[V8 Push back, ml]]</f>
        <v>24.5</v>
      </c>
      <c r="AG132" s="94">
        <f>Table3.110[[#This Row],[GP 8h, ml]]-(AVERAGE(AE$116,AE$117,AE$167,AE$166,AE$219,AE$220))*$AG$8</f>
        <v>24.123728042697874</v>
      </c>
      <c r="AH132" s="94">
        <f>Table3.110[[#This Row],[GP 8-24h, ml]]-(AVERAGE(AF$11,AF$12,AF$62,AF$61,AF$114,AF$115))*$AG$8</f>
        <v>20.81247184961266</v>
      </c>
      <c r="AI132" s="94">
        <f>Table3.110[[#This Row],[Net gas 8-24h, ml]]+Table3.110[[#This Row],[Net gas 8h, ml]]</f>
        <v>44.936199892310533</v>
      </c>
      <c r="AJ132" s="94">
        <f>Table3.110[[#This Row],[Net gas 8h, ml]]*Table3.110[[#This Row],[CH4 8h %]]%</f>
        <v>3.4014456540203999</v>
      </c>
      <c r="AK132" s="94">
        <f>Table3.110[[#This Row],[Net gas 8-24h, ml]]*Table3.110[[#This Row],[CH4 24h, %]]%</f>
        <v>3.7462449329302787</v>
      </c>
      <c r="AL132" s="94">
        <f>Table3.110[[#This Row],[CH4 8-24h, ml]]+Table3.110[[#This Row],[CH4 8h, ml]]</f>
        <v>7.147690586950679</v>
      </c>
      <c r="AM132" s="94">
        <f>(Table3.110[[#This Row],[Net gas 24h, ml]]/Table3.110[[#This Row],[DM Incubated, mg]])*1000</f>
        <v>95.232780097226225</v>
      </c>
      <c r="AN132" s="94">
        <f>'3.2 Digest'!X132</f>
        <v>26.418296765198889</v>
      </c>
      <c r="AO132" s="94">
        <f>Table3.110[[#This Row],[Digested feed, mg]]/Table3.110[[#This Row],[Net gas 24h, ml]]</f>
        <v>2.7740759786942686</v>
      </c>
      <c r="AP132" s="94">
        <f>Table3.110[[#This Row],[CH4 8h, ml]]/Table3.110[[#This Row],[Net gas 8h, ml]]%</f>
        <v>14.1</v>
      </c>
      <c r="AQ132" s="94">
        <f>Table3.110[[#This Row],[CH4 24h, ml]]/Table3.110[[#This Row],[Net gas 24h, ml]]%</f>
        <v>15.906308508685864</v>
      </c>
      <c r="AR132" s="94">
        <f>Table3.110[[#This Row],[CH4 24h, ml]]/Table3.110[[#This Row],[DM Incubated, mg]]*1000</f>
        <v>15.148019803663196</v>
      </c>
      <c r="AS132" s="94">
        <f>Table3.110[[#This Row],[CH4 24h, ml]]/Table3.110[[#This Row],[Digested feed, mg]]*1000</f>
        <v>57.339123480578984</v>
      </c>
      <c r="AT132" s="94">
        <f>Table3.110[[#This Row],[CH4 24h, ml]]/'3.2 Digest'!AA132</f>
        <v>-0.45587684062724382</v>
      </c>
      <c r="AU132" s="94">
        <f>((Table3.110[[#This Row],[CH4 24h, ml]]/28.9)*16.04)/Table3.110[[#This Row],[DM Incubated, mg]]*1000</f>
        <v>8.407413067500265</v>
      </c>
      <c r="AV132" s="94">
        <f>((Table3.110[[#This Row],[CH4 24h, ml]]/28.9)*16.04)/Table3.110[[#This Row],[Digested feed, mg]]*1000</f>
        <v>31.824205558079132</v>
      </c>
    </row>
    <row r="133" spans="2:49" s="89" customFormat="1" x14ac:dyDescent="0.35">
      <c r="B133" s="90">
        <f t="shared" si="1"/>
        <v>123</v>
      </c>
      <c r="C133" s="140">
        <v>46043</v>
      </c>
      <c r="D133" s="6" t="s">
        <v>16</v>
      </c>
      <c r="E133" s="6" t="s">
        <v>38</v>
      </c>
      <c r="F133" s="133" t="s">
        <v>19</v>
      </c>
      <c r="G133" s="133" t="s">
        <v>20</v>
      </c>
      <c r="H133" s="133" t="s">
        <v>21</v>
      </c>
      <c r="I133" s="6" t="s">
        <v>22</v>
      </c>
      <c r="J133" s="129" t="s">
        <v>23</v>
      </c>
      <c r="K133" s="129" t="s">
        <v>24</v>
      </c>
      <c r="L133" s="6" t="s">
        <v>37</v>
      </c>
      <c r="M133" s="119">
        <v>27</v>
      </c>
      <c r="N133" s="93">
        <v>59</v>
      </c>
      <c r="O133" s="6">
        <v>2</v>
      </c>
      <c r="P133" s="129">
        <v>1</v>
      </c>
      <c r="Q133" s="6">
        <v>303</v>
      </c>
      <c r="R133" s="98">
        <v>0.50029999999999997</v>
      </c>
      <c r="S133" s="94">
        <f>((Table3.110[[#This Row],[Sample weight, g]]*'2.1. DM'!Q21)/100)*1000</f>
        <v>463.44079313091294</v>
      </c>
      <c r="T133" s="94">
        <f>'3.2 Digest'!W133</f>
        <v>97.94079313091288</v>
      </c>
      <c r="U133" s="117">
        <v>0.35555555555555557</v>
      </c>
      <c r="V133" s="155">
        <v>41</v>
      </c>
      <c r="W133" s="117">
        <v>0.67986111111111114</v>
      </c>
      <c r="X133" s="96">
        <v>64</v>
      </c>
      <c r="Y133" s="96">
        <v>15.3</v>
      </c>
      <c r="Z133" s="155">
        <v>40.5</v>
      </c>
      <c r="AA133" s="117">
        <v>0.37152777777777779</v>
      </c>
      <c r="AB133" s="155">
        <v>63.5</v>
      </c>
      <c r="AC133" s="155">
        <v>18.8</v>
      </c>
      <c r="AD133" s="91"/>
      <c r="AE133" s="94">
        <f>Table3.110[[#This Row],[Gas 8h, ml]]-Table3.110[[#This Row],[Gas 0h, ml]]</f>
        <v>23</v>
      </c>
      <c r="AF133" s="94">
        <f>Table3.110[[#This Row],[Gas 24h, ml]]-Table3.110[[#This Row],[V8 Push back, ml]]</f>
        <v>23</v>
      </c>
      <c r="AG133" s="94">
        <f>Table3.110[[#This Row],[GP 8h, ml]]-(AVERAGE(AE$116,AE$117,AE$167,AE$166,AE$219,AE$220))*$AG$8</f>
        <v>20.123728042697874</v>
      </c>
      <c r="AH133" s="94">
        <f>Table3.110[[#This Row],[GP 8-24h, ml]]-(AVERAGE(AF$11,AF$12,AF$62,AF$61,AF$114,AF$115))*$AG$8</f>
        <v>19.31247184961266</v>
      </c>
      <c r="AI133" s="94">
        <f>Table3.110[[#This Row],[Net gas 8-24h, ml]]+Table3.110[[#This Row],[Net gas 8h, ml]]</f>
        <v>39.436199892310533</v>
      </c>
      <c r="AJ133" s="94">
        <f>Table3.110[[#This Row],[Net gas 8h, ml]]*Table3.110[[#This Row],[CH4 8h %]]%</f>
        <v>3.0789303905327747</v>
      </c>
      <c r="AK133" s="94">
        <f>Table3.110[[#This Row],[Net gas 8-24h, ml]]*Table3.110[[#This Row],[CH4 24h, %]]%</f>
        <v>3.6307447077271799</v>
      </c>
      <c r="AL133" s="94">
        <f>Table3.110[[#This Row],[CH4 8-24h, ml]]+Table3.110[[#This Row],[CH4 8h, ml]]</f>
        <v>6.7096750982599547</v>
      </c>
      <c r="AM133" s="94">
        <f>(Table3.110[[#This Row],[Net gas 24h, ml]]/Table3.110[[#This Row],[DM Incubated, mg]])*1000</f>
        <v>85.094364753451003</v>
      </c>
      <c r="AN133" s="94">
        <f>'3.2 Digest'!X133</f>
        <v>21.133399256730197</v>
      </c>
      <c r="AO133" s="94">
        <f>Table3.110[[#This Row],[Digested feed, mg]]/Table3.110[[#This Row],[Net gas 24h, ml]]</f>
        <v>2.483525121547268</v>
      </c>
      <c r="AP133" s="94">
        <f>Table3.110[[#This Row],[CH4 8h, ml]]/Table3.110[[#This Row],[Net gas 8h, ml]]%</f>
        <v>15.299999999999999</v>
      </c>
      <c r="AQ133" s="94">
        <f>Table3.110[[#This Row],[CH4 24h, ml]]/Table3.110[[#This Row],[Net gas 24h, ml]]%</f>
        <v>17.014000123191995</v>
      </c>
      <c r="AR133" s="94">
        <f>Table3.110[[#This Row],[CH4 24h, ml]]/Table3.110[[#This Row],[DM Incubated, mg]]*1000</f>
        <v>14.477955323981595</v>
      </c>
      <c r="AS133" s="94">
        <f>Table3.110[[#This Row],[CH4 24h, ml]]/Table3.110[[#This Row],[Digested feed, mg]]*1000</f>
        <v>68.50746133218918</v>
      </c>
      <c r="AT133" s="94">
        <f>Table3.110[[#This Row],[CH4 24h, ml]]/'3.2 Digest'!AA133</f>
        <v>-0.38724003466141493</v>
      </c>
      <c r="AU133" s="94">
        <f>((Table3.110[[#This Row],[CH4 24h, ml]]/28.9)*16.04)/Table3.110[[#This Row],[DM Incubated, mg]]*1000</f>
        <v>8.0355156884659102</v>
      </c>
      <c r="AV133" s="94">
        <f>((Table3.110[[#This Row],[CH4 24h, ml]]/28.9)*16.04)/Table3.110[[#This Row],[Digested feed, mg]]*1000</f>
        <v>38.02282628956106</v>
      </c>
    </row>
    <row r="134" spans="2:49" s="89" customFormat="1" x14ac:dyDescent="0.35">
      <c r="B134" s="90">
        <f t="shared" si="1"/>
        <v>124</v>
      </c>
      <c r="C134" s="140">
        <v>46043</v>
      </c>
      <c r="D134" s="6" t="s">
        <v>16</v>
      </c>
      <c r="E134" s="6" t="s">
        <v>38</v>
      </c>
      <c r="F134" s="133" t="s">
        <v>19</v>
      </c>
      <c r="G134" s="133" t="s">
        <v>20</v>
      </c>
      <c r="H134" s="133" t="s">
        <v>21</v>
      </c>
      <c r="I134" s="6" t="s">
        <v>22</v>
      </c>
      <c r="J134" s="129" t="s">
        <v>23</v>
      </c>
      <c r="K134" s="129" t="s">
        <v>24</v>
      </c>
      <c r="L134" s="6" t="s">
        <v>37</v>
      </c>
      <c r="M134" s="119">
        <v>27</v>
      </c>
      <c r="N134" s="93">
        <v>59</v>
      </c>
      <c r="O134" s="6">
        <v>2</v>
      </c>
      <c r="P134" s="129">
        <v>2</v>
      </c>
      <c r="Q134" s="6">
        <v>304</v>
      </c>
      <c r="R134" s="98">
        <v>0.50039999999999996</v>
      </c>
      <c r="S134" s="94">
        <f>((Table3.110[[#This Row],[Sample weight, g]]*'2.1. DM'!Q21)/100)*1000</f>
        <v>463.5334257099916</v>
      </c>
      <c r="T134" s="94">
        <f>'3.2 Digest'!W134</f>
        <v>65.233425709991593</v>
      </c>
      <c r="U134" s="156">
        <v>0.35625000000000001</v>
      </c>
      <c r="V134" s="154">
        <v>42</v>
      </c>
      <c r="W134" s="153">
        <v>0.67986111111111114</v>
      </c>
      <c r="X134" s="91">
        <v>67</v>
      </c>
      <c r="Y134" s="91">
        <v>14.3</v>
      </c>
      <c r="Z134" s="154">
        <v>40.5</v>
      </c>
      <c r="AA134" s="153">
        <v>0.37291666666666667</v>
      </c>
      <c r="AB134" s="154">
        <v>64</v>
      </c>
      <c r="AC134" s="154">
        <v>18.600000000000001</v>
      </c>
      <c r="AD134" s="96"/>
      <c r="AE134" s="94">
        <f>Table3.110[[#This Row],[Gas 8h, ml]]-Table3.110[[#This Row],[Gas 0h, ml]]</f>
        <v>25</v>
      </c>
      <c r="AF134" s="94">
        <f>Table3.110[[#This Row],[Gas 24h, ml]]-Table3.110[[#This Row],[V8 Push back, ml]]</f>
        <v>23.5</v>
      </c>
      <c r="AG134" s="94">
        <f>Table3.110[[#This Row],[GP 8h, ml]]-(AVERAGE(AE$116,AE$117,AE$167,AE$166,AE$219,AE$220))*$AG$8</f>
        <v>22.123728042697874</v>
      </c>
      <c r="AH134" s="94">
        <f>Table3.110[[#This Row],[GP 8-24h, ml]]-(AVERAGE(AF$11,AF$12,AF$62,AF$61,AF$114,AF$115))*$AG$8</f>
        <v>19.81247184961266</v>
      </c>
      <c r="AI134" s="94">
        <f>Table3.110[[#This Row],[Net gas 8-24h, ml]]+Table3.110[[#This Row],[Net gas 8h, ml]]</f>
        <v>41.936199892310533</v>
      </c>
      <c r="AJ134" s="94">
        <f>Table3.110[[#This Row],[Net gas 8h, ml]]*Table3.110[[#This Row],[CH4 8h %]]%</f>
        <v>3.1636931101057963</v>
      </c>
      <c r="AK134" s="94">
        <f>Table3.110[[#This Row],[Net gas 8-24h, ml]]*Table3.110[[#This Row],[CH4 24h, %]]%</f>
        <v>3.6851197640279554</v>
      </c>
      <c r="AL134" s="94">
        <f>Table3.110[[#This Row],[CH4 8-24h, ml]]+Table3.110[[#This Row],[CH4 8h, ml]]</f>
        <v>6.8488128741337517</v>
      </c>
      <c r="AM134" s="94">
        <f>(Table3.110[[#This Row],[Net gas 24h, ml]]/Table3.110[[#This Row],[DM Incubated, mg]])*1000</f>
        <v>90.470713796048443</v>
      </c>
      <c r="AN134" s="94">
        <f>'3.2 Digest'!X134</f>
        <v>14.073079111840514</v>
      </c>
      <c r="AO134" s="94">
        <f>Table3.110[[#This Row],[Digested feed, mg]]/Table3.110[[#This Row],[Net gas 24h, ml]]</f>
        <v>1.5555397455541236</v>
      </c>
      <c r="AP134" s="94">
        <f>Table3.110[[#This Row],[CH4 8h, ml]]/Table3.110[[#This Row],[Net gas 8h, ml]]%</f>
        <v>14.300000000000002</v>
      </c>
      <c r="AQ134" s="94">
        <f>Table3.110[[#This Row],[CH4 24h, ml]]/Table3.110[[#This Row],[Net gas 24h, ml]]%</f>
        <v>16.331505696083724</v>
      </c>
      <c r="AR134" s="94">
        <f>Table3.110[[#This Row],[CH4 24h, ml]]/Table3.110[[#This Row],[DM Incubated, mg]]*1000</f>
        <v>14.775229776889255</v>
      </c>
      <c r="AS134" s="94">
        <f>Table3.110[[#This Row],[CH4 24h, ml]]/Table3.110[[#This Row],[Digested feed, mg]]*1000</f>
        <v>104.98931796992444</v>
      </c>
      <c r="AT134" s="94">
        <f>Table3.110[[#This Row],[CH4 24h, ml]]/'3.2 Digest'!AA134</f>
        <v>-0.24609203180302067</v>
      </c>
      <c r="AU134" s="94">
        <f>((Table3.110[[#This Row],[CH4 24h, ml]]/28.9)*16.04)/Table3.110[[#This Row],[DM Incubated, mg]]*1000</f>
        <v>8.200508152986286</v>
      </c>
      <c r="AV134" s="94">
        <f>((Table3.110[[#This Row],[CH4 24h, ml]]/28.9)*16.04)/Table3.110[[#This Row],[Digested feed, mg]]*1000</f>
        <v>58.270887897494397</v>
      </c>
    </row>
    <row r="135" spans="2:49" s="89" customFormat="1" x14ac:dyDescent="0.35">
      <c r="B135" s="90">
        <f t="shared" si="1"/>
        <v>125</v>
      </c>
      <c r="C135" s="140">
        <v>46043</v>
      </c>
      <c r="D135" s="6" t="s">
        <v>16</v>
      </c>
      <c r="E135" s="6" t="s">
        <v>38</v>
      </c>
      <c r="F135" s="133" t="s">
        <v>19</v>
      </c>
      <c r="G135" s="133" t="s">
        <v>20</v>
      </c>
      <c r="H135" s="133" t="s">
        <v>21</v>
      </c>
      <c r="I135" s="6" t="s">
        <v>22</v>
      </c>
      <c r="J135" s="129" t="s">
        <v>23</v>
      </c>
      <c r="K135" s="129" t="s">
        <v>24</v>
      </c>
      <c r="L135" s="6" t="s">
        <v>37</v>
      </c>
      <c r="M135" s="119">
        <v>27</v>
      </c>
      <c r="N135" s="93">
        <v>59</v>
      </c>
      <c r="O135" s="6">
        <v>2</v>
      </c>
      <c r="P135" s="6">
        <v>3</v>
      </c>
      <c r="Q135" s="6">
        <v>305</v>
      </c>
      <c r="R135" s="98">
        <v>0.50009999999999999</v>
      </c>
      <c r="S135" s="94">
        <f>((Table3.110[[#This Row],[Sample weight, g]]*'2.1. DM'!Q21)/100)*1000</f>
        <v>463.25552797275549</v>
      </c>
      <c r="T135" s="94">
        <f>'3.2 Digest'!W135</f>
        <v>7.3555279727555103</v>
      </c>
      <c r="U135" s="117">
        <v>0.35694444444444445</v>
      </c>
      <c r="V135" s="155">
        <v>41.5</v>
      </c>
      <c r="W135" s="117">
        <v>0.68055555555555558</v>
      </c>
      <c r="X135" s="96">
        <v>67</v>
      </c>
      <c r="Y135" s="96">
        <v>14.5</v>
      </c>
      <c r="Z135" s="155">
        <v>41.5</v>
      </c>
      <c r="AA135" s="117">
        <v>0.37291666666666667</v>
      </c>
      <c r="AB135" s="155">
        <v>59.5</v>
      </c>
      <c r="AC135" s="155">
        <v>19</v>
      </c>
      <c r="AD135" s="91"/>
      <c r="AE135" s="94">
        <f>Table3.110[[#This Row],[Gas 8h, ml]]-Table3.110[[#This Row],[Gas 0h, ml]]</f>
        <v>25.5</v>
      </c>
      <c r="AF135" s="94">
        <f>Table3.110[[#This Row],[Gas 24h, ml]]-Table3.110[[#This Row],[V8 Push back, ml]]</f>
        <v>18</v>
      </c>
      <c r="AG135" s="94">
        <f>Table3.110[[#This Row],[GP 8h, ml]]-(AVERAGE(AE$116,AE$117,AE$167,AE$166,AE$219,AE$220))*$AG$8</f>
        <v>22.623728042697874</v>
      </c>
      <c r="AH135" s="94">
        <f>Table3.110[[#This Row],[GP 8-24h, ml]]-(AVERAGE(AF$11,AF$12,AF$62,AF$61,AF$114,AF$115))*$AG$8</f>
        <v>14.31247184961266</v>
      </c>
      <c r="AI135" s="94">
        <f>Table3.110[[#This Row],[Net gas 8-24h, ml]]+Table3.110[[#This Row],[Net gas 8h, ml]]</f>
        <v>36.936199892310533</v>
      </c>
      <c r="AJ135" s="94">
        <f>Table3.110[[#This Row],[Net gas 8h, ml]]*Table3.110[[#This Row],[CH4 8h %]]%</f>
        <v>3.2804405661911913</v>
      </c>
      <c r="AK135" s="94">
        <f>Table3.110[[#This Row],[Net gas 8-24h, ml]]*Table3.110[[#This Row],[CH4 24h, %]]%</f>
        <v>2.7193696514264052</v>
      </c>
      <c r="AL135" s="94">
        <f>Table3.110[[#This Row],[CH4 8-24h, ml]]+Table3.110[[#This Row],[CH4 8h, ml]]</f>
        <v>5.9998102176175969</v>
      </c>
      <c r="AM135" s="94">
        <f>(Table3.110[[#This Row],[Net gas 24h, ml]]/Table3.110[[#This Row],[DM Incubated, mg]])*1000</f>
        <v>79.731806016317606</v>
      </c>
      <c r="AN135" s="94">
        <f>'3.2 Digest'!X135</f>
        <v>1.5877906530212191</v>
      </c>
      <c r="AO135" s="94">
        <f>Table3.110[[#This Row],[Digested feed, mg]]/Table3.110[[#This Row],[Net gas 24h, ml]]</f>
        <v>0.19914143832340483</v>
      </c>
      <c r="AP135" s="94">
        <f>Table3.110[[#This Row],[CH4 8h, ml]]/Table3.110[[#This Row],[Net gas 8h, ml]]%</f>
        <v>14.499999999999998</v>
      </c>
      <c r="AQ135" s="94">
        <f>Table3.110[[#This Row],[CH4 24h, ml]]/Table3.110[[#This Row],[Net gas 24h, ml]]%</f>
        <v>16.243712767177904</v>
      </c>
      <c r="AR135" s="94">
        <f>Table3.110[[#This Row],[CH4 24h, ml]]/Table3.110[[#This Row],[DM Incubated, mg]]*1000</f>
        <v>12.951405553374101</v>
      </c>
      <c r="AS135" s="94">
        <f>Table3.110[[#This Row],[CH4 24h, ml]]/Table3.110[[#This Row],[Digested feed, mg]]*1000</f>
        <v>815.68722732624758</v>
      </c>
      <c r="AT135" s="94">
        <f>Table3.110[[#This Row],[CH4 24h, ml]]/'3.2 Digest'!AA135</f>
        <v>-0.12929457548754647</v>
      </c>
      <c r="AU135" s="94">
        <f>((Table3.110[[#This Row],[CH4 24h, ml]]/28.9)*16.04)/Table3.110[[#This Row],[DM Incubated, mg]]*1000</f>
        <v>7.1882541548830643</v>
      </c>
      <c r="AV135" s="94">
        <f>((Table3.110[[#This Row],[CH4 24h, ml]]/28.9)*16.04)/Table3.110[[#This Row],[Digested feed, mg]]*1000</f>
        <v>452.72052340183427</v>
      </c>
    </row>
    <row r="136" spans="2:49" s="89" customFormat="1" x14ac:dyDescent="0.35">
      <c r="B136" s="90">
        <f t="shared" si="1"/>
        <v>126</v>
      </c>
      <c r="C136" s="140">
        <v>46043</v>
      </c>
      <c r="D136" s="6" t="s">
        <v>16</v>
      </c>
      <c r="E136" s="6" t="s">
        <v>40</v>
      </c>
      <c r="F136" s="133" t="s">
        <v>19</v>
      </c>
      <c r="G136" s="133" t="s">
        <v>20</v>
      </c>
      <c r="H136" s="133" t="s">
        <v>21</v>
      </c>
      <c r="I136" s="6" t="s">
        <v>22</v>
      </c>
      <c r="J136" s="129" t="s">
        <v>23</v>
      </c>
      <c r="K136" s="129" t="s">
        <v>24</v>
      </c>
      <c r="L136" s="6" t="s">
        <v>39</v>
      </c>
      <c r="M136" s="119">
        <v>27</v>
      </c>
      <c r="N136" s="93">
        <v>59</v>
      </c>
      <c r="O136" s="6">
        <v>2</v>
      </c>
      <c r="P136" s="129">
        <v>1</v>
      </c>
      <c r="Q136" s="6">
        <v>306</v>
      </c>
      <c r="R136" s="98">
        <v>0.50009999999999999</v>
      </c>
      <c r="S136" s="94">
        <f>((Table3.110[[#This Row],[Sample weight, g]]*'2.1. DM'!Q23)/100)*1000</f>
        <v>473.35802098950501</v>
      </c>
      <c r="T136" s="94">
        <f>'3.2 Digest'!W136</f>
        <v>118.75802098950498</v>
      </c>
      <c r="U136" s="153">
        <v>0.35972222222222222</v>
      </c>
      <c r="V136" s="154">
        <v>40.5</v>
      </c>
      <c r="W136" s="153">
        <v>0.68125000000000002</v>
      </c>
      <c r="X136" s="91">
        <v>64.5</v>
      </c>
      <c r="Y136" s="91">
        <v>16.100000000000001</v>
      </c>
      <c r="Z136" s="154">
        <v>41.5</v>
      </c>
      <c r="AA136" s="153">
        <v>0.37361111111111112</v>
      </c>
      <c r="AB136" s="154">
        <v>58.5</v>
      </c>
      <c r="AC136" s="154">
        <v>19</v>
      </c>
      <c r="AD136" s="96"/>
      <c r="AE136" s="94">
        <f>Table3.110[[#This Row],[Gas 8h, ml]]-Table3.110[[#This Row],[Gas 0h, ml]]</f>
        <v>24</v>
      </c>
      <c r="AF136" s="94">
        <f>Table3.110[[#This Row],[Gas 24h, ml]]-Table3.110[[#This Row],[V8 Push back, ml]]</f>
        <v>17</v>
      </c>
      <c r="AG136" s="94">
        <f>Table3.110[[#This Row],[GP 8h, ml]]-(AVERAGE(AE$116,AE$117,AE$167,AE$166,AE$219,AE$220))*$AG$8</f>
        <v>21.123728042697874</v>
      </c>
      <c r="AH136" s="94">
        <f>Table3.110[[#This Row],[GP 8-24h, ml]]-(AVERAGE(AF$11,AF$12,AF$62,AF$61,AF$114,AF$115))*$AG$8</f>
        <v>13.31247184961266</v>
      </c>
      <c r="AI136" s="94">
        <f>Table3.110[[#This Row],[Net gas 8-24h, ml]]+Table3.110[[#This Row],[Net gas 8h, ml]]</f>
        <v>34.436199892310533</v>
      </c>
      <c r="AJ136" s="94">
        <f>Table3.110[[#This Row],[Net gas 8h, ml]]*Table3.110[[#This Row],[CH4 8h %]]%</f>
        <v>3.4009202148743576</v>
      </c>
      <c r="AK136" s="94">
        <f>Table3.110[[#This Row],[Net gas 8-24h, ml]]*Table3.110[[#This Row],[CH4 24h, %]]%</f>
        <v>2.5293696514264052</v>
      </c>
      <c r="AL136" s="94">
        <f>Table3.110[[#This Row],[CH4 8-24h, ml]]+Table3.110[[#This Row],[CH4 8h, ml]]</f>
        <v>5.9302898663007628</v>
      </c>
      <c r="AM136" s="94">
        <f>(Table3.110[[#This Row],[Net gas 24h, ml]]/Table3.110[[#This Row],[DM Incubated, mg]])*1000</f>
        <v>72.748740626228937</v>
      </c>
      <c r="AN136" s="94">
        <f>'3.2 Digest'!X136</f>
        <v>25.088414207338005</v>
      </c>
      <c r="AO136" s="94">
        <f>Table3.110[[#This Row],[Digested feed, mg]]/Table3.110[[#This Row],[Net gas 24h, ml]]</f>
        <v>3.4486389718054569</v>
      </c>
      <c r="AP136" s="94">
        <f>Table3.110[[#This Row],[CH4 8h, ml]]/Table3.110[[#This Row],[Net gas 8h, ml]]%</f>
        <v>16.100000000000001</v>
      </c>
      <c r="AQ136" s="94">
        <f>Table3.110[[#This Row],[CH4 24h, ml]]/Table3.110[[#This Row],[Net gas 24h, ml]]%</f>
        <v>17.221092585262213</v>
      </c>
      <c r="AR136" s="94">
        <f>Table3.110[[#This Row],[CH4 24h, ml]]/Table3.110[[#This Row],[DM Incubated, mg]]*1000</f>
        <v>12.528127977855149</v>
      </c>
      <c r="AS136" s="94">
        <f>Table3.110[[#This Row],[CH4 24h, ml]]/Table3.110[[#This Row],[Digested feed, mg]]*1000</f>
        <v>49.935910154858853</v>
      </c>
      <c r="AT136" s="94">
        <f>Table3.110[[#This Row],[CH4 24h, ml]]/'3.2 Digest'!AA136</f>
        <v>-0.56197179576224543</v>
      </c>
      <c r="AU136" s="94">
        <f>((Table3.110[[#This Row],[CH4 24h, ml]]/28.9)*16.04)/Table3.110[[#This Row],[DM Incubated, mg]]*1000</f>
        <v>6.9533277773286013</v>
      </c>
      <c r="AV136" s="94">
        <f>((Table3.110[[#This Row],[CH4 24h, ml]]/28.9)*16.04)/Table3.110[[#This Row],[Digested feed, mg]]*1000</f>
        <v>27.715294079028922</v>
      </c>
    </row>
    <row r="137" spans="2:49" s="89" customFormat="1" x14ac:dyDescent="0.35">
      <c r="B137" s="90">
        <f t="shared" si="1"/>
        <v>127</v>
      </c>
      <c r="C137" s="140">
        <v>46043</v>
      </c>
      <c r="D137" s="6" t="s">
        <v>16</v>
      </c>
      <c r="E137" s="6" t="s">
        <v>40</v>
      </c>
      <c r="F137" s="133" t="s">
        <v>19</v>
      </c>
      <c r="G137" s="133" t="s">
        <v>20</v>
      </c>
      <c r="H137" s="133" t="s">
        <v>21</v>
      </c>
      <c r="I137" s="6" t="s">
        <v>22</v>
      </c>
      <c r="J137" s="129" t="s">
        <v>23</v>
      </c>
      <c r="K137" s="129" t="s">
        <v>24</v>
      </c>
      <c r="L137" s="6" t="s">
        <v>39</v>
      </c>
      <c r="M137" s="119">
        <v>27</v>
      </c>
      <c r="N137" s="93">
        <v>59</v>
      </c>
      <c r="O137" s="6">
        <v>2</v>
      </c>
      <c r="P137" s="129">
        <v>2</v>
      </c>
      <c r="Q137" s="6">
        <v>307</v>
      </c>
      <c r="R137" s="98">
        <v>0.50009999999999999</v>
      </c>
      <c r="S137" s="94">
        <f>((Table3.110[[#This Row],[Sample weight, g]]*'2.1. DM'!Q23)/100)*1000</f>
        <v>473.35802098950501</v>
      </c>
      <c r="T137" s="94">
        <f>'3.2 Digest'!W137</f>
        <v>86.458020989504973</v>
      </c>
      <c r="U137" s="117">
        <v>0.35972222222222222</v>
      </c>
      <c r="V137" s="155">
        <v>41.5</v>
      </c>
      <c r="W137" s="117">
        <v>0.68125000000000002</v>
      </c>
      <c r="X137" s="96">
        <v>64</v>
      </c>
      <c r="Y137" s="96">
        <v>15.3</v>
      </c>
      <c r="Z137" s="155">
        <v>41</v>
      </c>
      <c r="AA137" s="117">
        <v>0.37361111111111112</v>
      </c>
      <c r="AB137" s="155">
        <v>58</v>
      </c>
      <c r="AC137" s="155">
        <v>19.100000000000001</v>
      </c>
      <c r="AD137" s="91"/>
      <c r="AE137" s="94">
        <f>Table3.110[[#This Row],[Gas 8h, ml]]-Table3.110[[#This Row],[Gas 0h, ml]]</f>
        <v>22.5</v>
      </c>
      <c r="AF137" s="94">
        <f>Table3.110[[#This Row],[Gas 24h, ml]]-Table3.110[[#This Row],[V8 Push back, ml]]</f>
        <v>17</v>
      </c>
      <c r="AG137" s="94">
        <f>Table3.110[[#This Row],[GP 8h, ml]]-(AVERAGE(AE$116,AE$117,AE$167,AE$166,AE$219,AE$220))*$AG$8</f>
        <v>19.623728042697874</v>
      </c>
      <c r="AH137" s="94">
        <f>Table3.110[[#This Row],[GP 8-24h, ml]]-(AVERAGE(AF$11,AF$12,AF$62,AF$61,AF$114,AF$115))*$AG$8</f>
        <v>13.31247184961266</v>
      </c>
      <c r="AI137" s="94">
        <f>Table3.110[[#This Row],[Net gas 8-24h, ml]]+Table3.110[[#This Row],[Net gas 8h, ml]]</f>
        <v>32.936199892310533</v>
      </c>
      <c r="AJ137" s="94">
        <f>Table3.110[[#This Row],[Net gas 8h, ml]]*Table3.110[[#This Row],[CH4 8h %]]%</f>
        <v>3.0024303905327745</v>
      </c>
      <c r="AK137" s="94">
        <f>Table3.110[[#This Row],[Net gas 8-24h, ml]]*Table3.110[[#This Row],[CH4 24h, %]]%</f>
        <v>2.5426821232760179</v>
      </c>
      <c r="AL137" s="94">
        <f>Table3.110[[#This Row],[CH4 8-24h, ml]]+Table3.110[[#This Row],[CH4 8h, ml]]</f>
        <v>5.5451125138087924</v>
      </c>
      <c r="AM137" s="94">
        <f>(Table3.110[[#This Row],[Net gas 24h, ml]]/Table3.110[[#This Row],[DM Incubated, mg]])*1000</f>
        <v>69.579891819432746</v>
      </c>
      <c r="AN137" s="94">
        <f>'3.2 Digest'!X137</f>
        <v>18.2648264433702</v>
      </c>
      <c r="AO137" s="94">
        <f>Table3.110[[#This Row],[Digested feed, mg]]/Table3.110[[#This Row],[Net gas 24h, ml]]</f>
        <v>2.6250150676821082</v>
      </c>
      <c r="AP137" s="94">
        <f>Table3.110[[#This Row],[CH4 8h, ml]]/Table3.110[[#This Row],[Net gas 8h, ml]]%</f>
        <v>15.299999999999999</v>
      </c>
      <c r="AQ137" s="94">
        <f>Table3.110[[#This Row],[CH4 24h, ml]]/Table3.110[[#This Row],[Net gas 24h, ml]]%</f>
        <v>16.835920755701341</v>
      </c>
      <c r="AR137" s="94">
        <f>Table3.110[[#This Row],[CH4 24h, ml]]/Table3.110[[#This Row],[DM Incubated, mg]]*1000</f>
        <v>11.714415448622418</v>
      </c>
      <c r="AS137" s="94">
        <f>Table3.110[[#This Row],[CH4 24h, ml]]/Table3.110[[#This Row],[Digested feed, mg]]*1000</f>
        <v>64.136472826296895</v>
      </c>
      <c r="AT137" s="94">
        <f>Table3.110[[#This Row],[CH4 24h, ml]]/'3.2 Digest'!AA137</f>
        <v>-0.26888357087467518</v>
      </c>
      <c r="AU137" s="94">
        <f>((Table3.110[[#This Row],[CH4 24h, ml]]/28.9)*16.04)/Table3.110[[#This Row],[DM Incubated, mg]]*1000</f>
        <v>6.5017032455329966</v>
      </c>
      <c r="AV137" s="94">
        <f>((Table3.110[[#This Row],[CH4 24h, ml]]/28.9)*16.04)/Table3.110[[#This Row],[Digested feed, mg]]*1000</f>
        <v>35.596852046152328</v>
      </c>
    </row>
    <row r="138" spans="2:49" s="89" customFormat="1" x14ac:dyDescent="0.35">
      <c r="B138" s="90">
        <f t="shared" si="1"/>
        <v>128</v>
      </c>
      <c r="C138" s="140">
        <v>46043</v>
      </c>
      <c r="D138" s="6" t="s">
        <v>16</v>
      </c>
      <c r="E138" s="6" t="s">
        <v>40</v>
      </c>
      <c r="F138" s="133" t="s">
        <v>19</v>
      </c>
      <c r="G138" s="133" t="s">
        <v>20</v>
      </c>
      <c r="H138" s="133" t="s">
        <v>21</v>
      </c>
      <c r="I138" s="6" t="s">
        <v>22</v>
      </c>
      <c r="J138" s="129" t="s">
        <v>23</v>
      </c>
      <c r="K138" s="129" t="s">
        <v>24</v>
      </c>
      <c r="L138" s="6" t="s">
        <v>39</v>
      </c>
      <c r="M138" s="119">
        <v>27</v>
      </c>
      <c r="N138" s="93">
        <v>59</v>
      </c>
      <c r="O138" s="6">
        <v>2</v>
      </c>
      <c r="P138" s="129">
        <v>3</v>
      </c>
      <c r="Q138" s="6">
        <v>308</v>
      </c>
      <c r="R138" s="98">
        <v>0.50019999999999998</v>
      </c>
      <c r="S138" s="94">
        <f>((Table3.110[[#This Row],[Sample weight, g]]*'2.1. DM'!Q23)/100)*1000</f>
        <v>473.45267366316818</v>
      </c>
      <c r="T138" s="94">
        <f>'3.2 Digest'!W138</f>
        <v>114.85267366316816</v>
      </c>
      <c r="U138" s="153">
        <v>0.35972222222222222</v>
      </c>
      <c r="V138" s="154">
        <v>41.5</v>
      </c>
      <c r="W138" s="153">
        <v>0.68194444444444446</v>
      </c>
      <c r="X138" s="91">
        <v>66</v>
      </c>
      <c r="Y138" s="91">
        <v>14.5</v>
      </c>
      <c r="Z138" s="154">
        <v>40.5</v>
      </c>
      <c r="AA138" s="153">
        <v>0.37361111111111112</v>
      </c>
      <c r="AB138" s="154">
        <v>58</v>
      </c>
      <c r="AC138" s="154">
        <v>19.2</v>
      </c>
      <c r="AD138" s="96"/>
      <c r="AE138" s="94">
        <f>Table3.110[[#This Row],[Gas 8h, ml]]-Table3.110[[#This Row],[Gas 0h, ml]]</f>
        <v>24.5</v>
      </c>
      <c r="AF138" s="94">
        <f>Table3.110[[#This Row],[Gas 24h, ml]]-Table3.110[[#This Row],[V8 Push back, ml]]</f>
        <v>17.5</v>
      </c>
      <c r="AG138" s="94">
        <f>Table3.110[[#This Row],[GP 8h, ml]]-(AVERAGE(AE$116,AE$117,AE$167,AE$166,AE$219,AE$220))*$AG$8</f>
        <v>21.623728042697874</v>
      </c>
      <c r="AH138" s="94">
        <f>Table3.110[[#This Row],[GP 8-24h, ml]]-(AVERAGE(AF$11,AF$12,AF$62,AF$61,AF$114,AF$115))*$AG$8</f>
        <v>13.81247184961266</v>
      </c>
      <c r="AI138" s="94">
        <f>Table3.110[[#This Row],[Net gas 8-24h, ml]]+Table3.110[[#This Row],[Net gas 8h, ml]]</f>
        <v>35.436199892310533</v>
      </c>
      <c r="AJ138" s="94">
        <f>Table3.110[[#This Row],[Net gas 8h, ml]]*Table3.110[[#This Row],[CH4 8h %]]%</f>
        <v>3.1354405661911913</v>
      </c>
      <c r="AK138" s="94">
        <f>Table3.110[[#This Row],[Net gas 8-24h, ml]]*Table3.110[[#This Row],[CH4 24h, %]]%</f>
        <v>2.6519945951256307</v>
      </c>
      <c r="AL138" s="94">
        <f>Table3.110[[#This Row],[CH4 8-24h, ml]]+Table3.110[[#This Row],[CH4 8h, ml]]</f>
        <v>5.7874351613168216</v>
      </c>
      <c r="AM138" s="94">
        <f>(Table3.110[[#This Row],[Net gas 24h, ml]]/Table3.110[[#This Row],[DM Incubated, mg]])*1000</f>
        <v>74.846340222636826</v>
      </c>
      <c r="AN138" s="94">
        <f>'3.2 Digest'!X138</f>
        <v>24.258533123181518</v>
      </c>
      <c r="AO138" s="94">
        <f>Table3.110[[#This Row],[Digested feed, mg]]/Table3.110[[#This Row],[Net gas 24h, ml]]</f>
        <v>3.2411114626343043</v>
      </c>
      <c r="AP138" s="94">
        <f>Table3.110[[#This Row],[CH4 8h, ml]]/Table3.110[[#This Row],[Net gas 8h, ml]]%</f>
        <v>14.499999999999998</v>
      </c>
      <c r="AQ138" s="94">
        <f>Table3.110[[#This Row],[CH4 24h, ml]]/Table3.110[[#This Row],[Net gas 24h, ml]]%</f>
        <v>16.331985875756008</v>
      </c>
      <c r="AR138" s="94">
        <f>Table3.110[[#This Row],[CH4 24h, ml]]/Table3.110[[#This Row],[DM Incubated, mg]]*1000</f>
        <v>12.223893713681335</v>
      </c>
      <c r="AS138" s="94">
        <f>Table3.110[[#This Row],[CH4 24h, ml]]/Table3.110[[#This Row],[Digested feed, mg]]*1000</f>
        <v>50.390077799057636</v>
      </c>
      <c r="AT138" s="94">
        <f>Table3.110[[#This Row],[CH4 24h, ml]]/'3.2 Digest'!AA138</f>
        <v>-0.49140324489590048</v>
      </c>
      <c r="AU138" s="94">
        <f>((Table3.110[[#This Row],[CH4 24h, ml]]/28.9)*16.04)/Table3.110[[#This Row],[DM Incubated, mg]]*1000</f>
        <v>6.7844724971435495</v>
      </c>
      <c r="AV138" s="94">
        <f>((Table3.110[[#This Row],[CH4 24h, ml]]/28.9)*16.04)/Table3.110[[#This Row],[Digested feed, mg]]*1000</f>
        <v>27.967364979130949</v>
      </c>
    </row>
    <row r="139" spans="2:49" s="89" customFormat="1" x14ac:dyDescent="0.35">
      <c r="B139" s="90">
        <f t="shared" si="1"/>
        <v>129</v>
      </c>
      <c r="C139" s="140">
        <v>46043</v>
      </c>
      <c r="D139" s="6" t="s">
        <v>16</v>
      </c>
      <c r="E139" s="6" t="s">
        <v>42</v>
      </c>
      <c r="F139" s="133" t="s">
        <v>19</v>
      </c>
      <c r="G139" s="133" t="s">
        <v>20</v>
      </c>
      <c r="H139" s="133" t="s">
        <v>21</v>
      </c>
      <c r="I139" s="6" t="s">
        <v>22</v>
      </c>
      <c r="J139" s="129" t="s">
        <v>23</v>
      </c>
      <c r="K139" s="129" t="s">
        <v>24</v>
      </c>
      <c r="L139" s="6" t="s">
        <v>41</v>
      </c>
      <c r="M139" s="119">
        <v>27</v>
      </c>
      <c r="N139" s="93">
        <v>59</v>
      </c>
      <c r="O139" s="6">
        <v>2</v>
      </c>
      <c r="P139" s="129">
        <v>1</v>
      </c>
      <c r="Q139" s="6">
        <v>309</v>
      </c>
      <c r="R139" s="98">
        <v>0.50009999999999999</v>
      </c>
      <c r="S139" s="94">
        <f>((Table3.110[[#This Row],[Sample weight, g]]*'2.1. DM'!Q25)/100)*1000</f>
        <v>475.03002523680652</v>
      </c>
      <c r="T139" s="94">
        <f>'3.2 Digest'!W139</f>
        <v>82.830025236806534</v>
      </c>
      <c r="U139" s="117">
        <v>0.35972222222222222</v>
      </c>
      <c r="V139" s="155">
        <v>42</v>
      </c>
      <c r="W139" s="117">
        <v>0.68194444444444446</v>
      </c>
      <c r="X139" s="96">
        <v>62</v>
      </c>
      <c r="Y139" s="96">
        <v>13.8</v>
      </c>
      <c r="Z139" s="155">
        <v>40.5</v>
      </c>
      <c r="AA139" s="117">
        <v>0.37430555555555556</v>
      </c>
      <c r="AB139" s="155">
        <v>60</v>
      </c>
      <c r="AC139" s="155">
        <v>19.2</v>
      </c>
      <c r="AD139" s="91"/>
      <c r="AE139" s="94">
        <f>Table3.110[[#This Row],[Gas 8h, ml]]-Table3.110[[#This Row],[Gas 0h, ml]]</f>
        <v>20</v>
      </c>
      <c r="AF139" s="94">
        <f>Table3.110[[#This Row],[Gas 24h, ml]]-Table3.110[[#This Row],[V8 Push back, ml]]</f>
        <v>19.5</v>
      </c>
      <c r="AG139" s="94">
        <f>Table3.110[[#This Row],[GP 8h, ml]]-(AVERAGE(AE$116,AE$117,AE$167,AE$166,AE$219,AE$220))*$AG$8</f>
        <v>17.123728042697874</v>
      </c>
      <c r="AH139" s="94">
        <f>Table3.110[[#This Row],[GP 8-24h, ml]]-(AVERAGE(AF$11,AF$12,AF$62,AF$61,AF$114,AF$115))*$AG$8</f>
        <v>15.81247184961266</v>
      </c>
      <c r="AI139" s="94">
        <f>Table3.110[[#This Row],[Net gas 8-24h, ml]]+Table3.110[[#This Row],[Net gas 8h, ml]]</f>
        <v>32.936199892310533</v>
      </c>
      <c r="AJ139" s="94">
        <f>Table3.110[[#This Row],[Net gas 8h, ml]]*Table3.110[[#This Row],[CH4 8h %]]%</f>
        <v>2.363074469892307</v>
      </c>
      <c r="AK139" s="94">
        <f>Table3.110[[#This Row],[Net gas 8-24h, ml]]*Table3.110[[#This Row],[CH4 24h, %]]%</f>
        <v>3.0359945951256306</v>
      </c>
      <c r="AL139" s="94">
        <f>Table3.110[[#This Row],[CH4 8-24h, ml]]+Table3.110[[#This Row],[CH4 8h, ml]]</f>
        <v>5.3990690650179376</v>
      </c>
      <c r="AM139" s="94">
        <f>(Table3.110[[#This Row],[Net gas 24h, ml]]/Table3.110[[#This Row],[DM Incubated, mg]])*1000</f>
        <v>69.334985458848749</v>
      </c>
      <c r="AN139" s="94">
        <f>'3.2 Digest'!X139</f>
        <v>17.436797851991578</v>
      </c>
      <c r="AO139" s="94">
        <f>Table3.110[[#This Row],[Digested feed, mg]]/Table3.110[[#This Row],[Net gas 24h, ml]]</f>
        <v>2.5148628411180032</v>
      </c>
      <c r="AP139" s="94">
        <f>Table3.110[[#This Row],[CH4 8h, ml]]/Table3.110[[#This Row],[Net gas 8h, ml]]%</f>
        <v>13.800000000000004</v>
      </c>
      <c r="AQ139" s="94">
        <f>Table3.110[[#This Row],[CH4 24h, ml]]/Table3.110[[#This Row],[Net gas 24h, ml]]%</f>
        <v>16.392507583360985</v>
      </c>
      <c r="AR139" s="94">
        <f>Table3.110[[#This Row],[CH4 24h, ml]]/Table3.110[[#This Row],[DM Incubated, mg]]*1000</f>
        <v>11.365742749264019</v>
      </c>
      <c r="AS139" s="94">
        <f>Table3.110[[#This Row],[CH4 24h, ml]]/Table3.110[[#This Row],[Digested feed, mg]]*1000</f>
        <v>65.18251140914532</v>
      </c>
      <c r="AT139" s="94">
        <f>Table3.110[[#This Row],[CH4 24h, ml]]/'3.2 Digest'!AA139</f>
        <v>-0.23647725380846091</v>
      </c>
      <c r="AU139" s="94">
        <f>((Table3.110[[#This Row],[CH4 24h, ml]]/28.9)*16.04)/Table3.110[[#This Row],[DM Incubated, mg]]*1000</f>
        <v>6.3081838649894415</v>
      </c>
      <c r="AV139" s="94">
        <f>((Table3.110[[#This Row],[CH4 24h, ml]]/28.9)*16.04)/Table3.110[[#This Row],[Digested feed, mg]]*1000</f>
        <v>36.177421557186541</v>
      </c>
    </row>
    <row r="140" spans="2:49" s="89" customFormat="1" x14ac:dyDescent="0.35">
      <c r="B140" s="90">
        <f t="shared" ref="B140:B203" si="2">B139+1</f>
        <v>130</v>
      </c>
      <c r="C140" s="140">
        <v>46043</v>
      </c>
      <c r="D140" s="6" t="s">
        <v>16</v>
      </c>
      <c r="E140" s="6" t="s">
        <v>42</v>
      </c>
      <c r="F140" s="133" t="s">
        <v>19</v>
      </c>
      <c r="G140" s="133" t="s">
        <v>20</v>
      </c>
      <c r="H140" s="133" t="s">
        <v>21</v>
      </c>
      <c r="I140" s="6" t="s">
        <v>22</v>
      </c>
      <c r="J140" s="129" t="s">
        <v>23</v>
      </c>
      <c r="K140" s="129" t="s">
        <v>24</v>
      </c>
      <c r="L140" s="6" t="s">
        <v>41</v>
      </c>
      <c r="M140" s="119">
        <v>27</v>
      </c>
      <c r="N140" s="93">
        <v>59</v>
      </c>
      <c r="O140" s="6">
        <v>2</v>
      </c>
      <c r="P140" s="6">
        <v>2</v>
      </c>
      <c r="Q140" s="6">
        <v>310</v>
      </c>
      <c r="R140" s="98">
        <v>0.5</v>
      </c>
      <c r="S140" s="94">
        <f>((Table3.110[[#This Row],[Sample weight, g]]*'2.1. DM'!Q25)/100)*1000</f>
        <v>474.9350382291608</v>
      </c>
      <c r="T140" s="94">
        <f>'3.2 Digest'!W140</f>
        <v>0</v>
      </c>
      <c r="U140" s="153">
        <v>0.36041666666666666</v>
      </c>
      <c r="V140" s="154">
        <v>40.5</v>
      </c>
      <c r="W140" s="153">
        <v>0.68263888888888891</v>
      </c>
      <c r="X140" s="91">
        <v>55.5</v>
      </c>
      <c r="Y140" s="91">
        <v>18</v>
      </c>
      <c r="Z140" s="154">
        <v>40.5</v>
      </c>
      <c r="AA140" s="153">
        <v>0.37430555555555556</v>
      </c>
      <c r="AB140" s="154">
        <v>57.5</v>
      </c>
      <c r="AC140" s="154">
        <v>19.100000000000001</v>
      </c>
      <c r="AD140" s="101"/>
      <c r="AE140" s="94">
        <f>Table3.110[[#This Row],[Gas 8h, ml]]-Table3.110[[#This Row],[Gas 0h, ml]]</f>
        <v>15</v>
      </c>
      <c r="AF140" s="94">
        <f>Table3.110[[#This Row],[Gas 24h, ml]]-Table3.110[[#This Row],[V8 Push back, ml]]</f>
        <v>17</v>
      </c>
      <c r="AG140" s="94"/>
      <c r="AH140" s="94"/>
      <c r="AI140" s="94"/>
      <c r="AJ140" s="94"/>
      <c r="AK140" s="94"/>
      <c r="AL140" s="94"/>
      <c r="AM140" s="94"/>
      <c r="AN140" s="94"/>
      <c r="AO140" s="94"/>
      <c r="AP140" s="94"/>
      <c r="AQ140" s="94"/>
      <c r="AR140" s="94"/>
      <c r="AS140" s="94"/>
      <c r="AT140" s="94"/>
      <c r="AU140" s="94"/>
      <c r="AV140" s="94"/>
      <c r="AW140" s="89" t="s">
        <v>546</v>
      </c>
    </row>
    <row r="141" spans="2:49" s="89" customFormat="1" x14ac:dyDescent="0.35">
      <c r="B141" s="90">
        <f t="shared" si="2"/>
        <v>131</v>
      </c>
      <c r="C141" s="140">
        <v>46043</v>
      </c>
      <c r="D141" s="6" t="s">
        <v>16</v>
      </c>
      <c r="E141" s="6" t="s">
        <v>42</v>
      </c>
      <c r="F141" s="133" t="s">
        <v>19</v>
      </c>
      <c r="G141" s="133" t="s">
        <v>20</v>
      </c>
      <c r="H141" s="133" t="s">
        <v>21</v>
      </c>
      <c r="I141" s="6" t="s">
        <v>22</v>
      </c>
      <c r="J141" s="129" t="s">
        <v>23</v>
      </c>
      <c r="K141" s="129" t="s">
        <v>24</v>
      </c>
      <c r="L141" s="6" t="s">
        <v>41</v>
      </c>
      <c r="M141" s="119">
        <v>27</v>
      </c>
      <c r="N141" s="93">
        <v>59</v>
      </c>
      <c r="O141" s="6">
        <v>2</v>
      </c>
      <c r="P141" s="129">
        <v>3</v>
      </c>
      <c r="Q141" s="6">
        <v>311</v>
      </c>
      <c r="R141" s="98">
        <v>0.5</v>
      </c>
      <c r="S141" s="94">
        <f>((Table3.110[[#This Row],[Sample weight, g]]*'2.1. DM'!Q25)/100)*1000</f>
        <v>474.9350382291608</v>
      </c>
      <c r="T141" s="94">
        <f>'3.2 Digest'!W141</f>
        <v>88.935038229160796</v>
      </c>
      <c r="U141" s="117">
        <v>0.3611111111111111</v>
      </c>
      <c r="V141" s="155">
        <v>41.5</v>
      </c>
      <c r="W141" s="117">
        <v>0.68263888888888891</v>
      </c>
      <c r="X141" s="96">
        <v>62</v>
      </c>
      <c r="Y141" s="96">
        <v>15.3</v>
      </c>
      <c r="Z141" s="155">
        <v>40</v>
      </c>
      <c r="AA141" s="117">
        <v>0.37430555555555556</v>
      </c>
      <c r="AB141" s="155">
        <v>58</v>
      </c>
      <c r="AC141" s="155">
        <v>19.2</v>
      </c>
      <c r="AD141" s="91"/>
      <c r="AE141" s="94">
        <f>Table3.110[[#This Row],[Gas 8h, ml]]-Table3.110[[#This Row],[Gas 0h, ml]]</f>
        <v>20.5</v>
      </c>
      <c r="AF141" s="94">
        <f>Table3.110[[#This Row],[Gas 24h, ml]]-Table3.110[[#This Row],[V8 Push back, ml]]</f>
        <v>18</v>
      </c>
      <c r="AG141" s="94">
        <f>Table3.110[[#This Row],[GP 8h, ml]]-(AVERAGE(AE$116,AE$117,AE$167,AE$166,AE$219,AE$220))*$AG$8</f>
        <v>17.623728042697874</v>
      </c>
      <c r="AH141" s="94">
        <f>Table3.110[[#This Row],[GP 8-24h, ml]]-(AVERAGE(AF$11,AF$12,AF$62,AF$61,AF$114,AF$115))*$AG$8</f>
        <v>14.31247184961266</v>
      </c>
      <c r="AI141" s="94">
        <f>Table3.110[[#This Row],[Net gas 8-24h, ml]]+Table3.110[[#This Row],[Net gas 8h, ml]]</f>
        <v>31.936199892310533</v>
      </c>
      <c r="AJ141" s="94">
        <f>Table3.110[[#This Row],[Net gas 8h, ml]]*Table3.110[[#This Row],[CH4 8h %]]%</f>
        <v>2.6964303905327744</v>
      </c>
      <c r="AK141" s="94">
        <f>Table3.110[[#This Row],[Net gas 8-24h, ml]]*Table3.110[[#This Row],[CH4 24h, %]]%</f>
        <v>2.7479945951256308</v>
      </c>
      <c r="AL141" s="94">
        <f>Table3.110[[#This Row],[CH4 8-24h, ml]]+Table3.110[[#This Row],[CH4 8h, ml]]</f>
        <v>5.4444249856584053</v>
      </c>
      <c r="AM141" s="94">
        <f>(Table3.110[[#This Row],[Net gas 24h, ml]]/Table3.110[[#This Row],[DM Incubated, mg]])*1000</f>
        <v>67.243301339458142</v>
      </c>
      <c r="AN141" s="94">
        <f>'3.2 Digest'!X141</f>
        <v>18.725726903781055</v>
      </c>
      <c r="AO141" s="94">
        <f>Table3.110[[#This Row],[Digested feed, mg]]/Table3.110[[#This Row],[Net gas 24h, ml]]</f>
        <v>2.7847720933940612</v>
      </c>
      <c r="AP141" s="94">
        <f>Table3.110[[#This Row],[CH4 8h, ml]]/Table3.110[[#This Row],[Net gas 8h, ml]]%</f>
        <v>15.299999999999999</v>
      </c>
      <c r="AQ141" s="94">
        <f>Table3.110[[#This Row],[CH4 24h, ml]]/Table3.110[[#This Row],[Net gas 24h, ml]]%</f>
        <v>17.047817223142104</v>
      </c>
      <c r="AR141" s="94">
        <f>Table3.110[[#This Row],[CH4 24h, ml]]/Table3.110[[#This Row],[DM Incubated, mg]]*1000</f>
        <v>11.463515107157491</v>
      </c>
      <c r="AS141" s="94">
        <f>Table3.110[[#This Row],[CH4 24h, ml]]/Table3.110[[#This Row],[Digested feed, mg]]*1000</f>
        <v>61.21799792371641</v>
      </c>
      <c r="AT141" s="94">
        <f>Table3.110[[#This Row],[CH4 24h, ml]]/'3.2 Digest'!AA141</f>
        <v>-0.26032852932161071</v>
      </c>
      <c r="AU141" s="94">
        <f>((Table3.110[[#This Row],[CH4 24h, ml]]/28.9)*16.04)/Table3.110[[#This Row],[DM Incubated, mg]]*1000</f>
        <v>6.3624492151836041</v>
      </c>
      <c r="AV141" s="94">
        <f>((Table3.110[[#This Row],[CH4 24h, ml]]/28.9)*16.04)/Table3.110[[#This Row],[Digested feed, mg]]*1000</f>
        <v>33.977047982574788</v>
      </c>
    </row>
    <row r="142" spans="2:49" s="89" customFormat="1" x14ac:dyDescent="0.35">
      <c r="B142" s="90">
        <f t="shared" si="2"/>
        <v>132</v>
      </c>
      <c r="C142" s="140">
        <v>46043</v>
      </c>
      <c r="D142" s="6" t="s">
        <v>16</v>
      </c>
      <c r="E142" s="6" t="s">
        <v>44</v>
      </c>
      <c r="F142" s="133" t="s">
        <v>19</v>
      </c>
      <c r="G142" s="133" t="s">
        <v>20</v>
      </c>
      <c r="H142" s="133" t="s">
        <v>21</v>
      </c>
      <c r="I142" s="6" t="s">
        <v>22</v>
      </c>
      <c r="J142" s="129" t="s">
        <v>23</v>
      </c>
      <c r="K142" s="129" t="s">
        <v>24</v>
      </c>
      <c r="L142" s="6" t="s">
        <v>43</v>
      </c>
      <c r="M142" s="119">
        <v>27</v>
      </c>
      <c r="N142" s="93">
        <v>59</v>
      </c>
      <c r="O142" s="6">
        <v>2</v>
      </c>
      <c r="P142" s="129">
        <v>1</v>
      </c>
      <c r="Q142" s="6">
        <v>312</v>
      </c>
      <c r="R142" s="98">
        <v>0.50019999999999998</v>
      </c>
      <c r="S142" s="94">
        <f>((Table3.110[[#This Row],[Sample weight, g]]*'2.1. DM'!Q27)/100)*1000</f>
        <v>472.90545672596471</v>
      </c>
      <c r="T142" s="94">
        <f>'3.2 Digest'!W142</f>
        <v>96.505456725964734</v>
      </c>
      <c r="U142" s="153">
        <v>0.36180555555555555</v>
      </c>
      <c r="V142" s="154">
        <v>42</v>
      </c>
      <c r="W142" s="153">
        <v>0.68333333333333335</v>
      </c>
      <c r="X142" s="91">
        <v>65</v>
      </c>
      <c r="Y142" s="91">
        <v>13.7</v>
      </c>
      <c r="Z142" s="154">
        <v>40.5</v>
      </c>
      <c r="AA142" s="153">
        <v>0.375</v>
      </c>
      <c r="AB142" s="154">
        <v>61</v>
      </c>
      <c r="AC142" s="154">
        <v>19.3</v>
      </c>
      <c r="AD142" s="96"/>
      <c r="AE142" s="94">
        <f>Table3.110[[#This Row],[Gas 8h, ml]]-Table3.110[[#This Row],[Gas 0h, ml]]</f>
        <v>23</v>
      </c>
      <c r="AF142" s="94">
        <f>Table3.110[[#This Row],[Gas 24h, ml]]-Table3.110[[#This Row],[V8 Push back, ml]]</f>
        <v>20.5</v>
      </c>
      <c r="AG142" s="94">
        <f>Table3.110[[#This Row],[GP 8h, ml]]-(AVERAGE(AE$116,AE$117,AE$167,AE$166,AE$219,AE$220))*$AG$8</f>
        <v>20.123728042697874</v>
      </c>
      <c r="AH142" s="94">
        <f>Table3.110[[#This Row],[GP 8-24h, ml]]-(AVERAGE(AF$11,AF$12,AF$62,AF$61,AF$114,AF$115))*$AG$8</f>
        <v>16.81247184961266</v>
      </c>
      <c r="AI142" s="94">
        <f>Table3.110[[#This Row],[Net gas 8-24h, ml]]+Table3.110[[#This Row],[Net gas 8h, ml]]</f>
        <v>36.936199892310533</v>
      </c>
      <c r="AJ142" s="94">
        <f>Table3.110[[#This Row],[Net gas 8h, ml]]*Table3.110[[#This Row],[CH4 8h %]]%</f>
        <v>2.7569507418496082</v>
      </c>
      <c r="AK142" s="94">
        <f>Table3.110[[#This Row],[Net gas 8-24h, ml]]*Table3.110[[#This Row],[CH4 24h, %]]%</f>
        <v>3.2448070669752433</v>
      </c>
      <c r="AL142" s="94">
        <f>Table3.110[[#This Row],[CH4 8-24h, ml]]+Table3.110[[#This Row],[CH4 8h, ml]]</f>
        <v>6.001757808824852</v>
      </c>
      <c r="AM142" s="94">
        <f>(Table3.110[[#This Row],[Net gas 24h, ml]]/Table3.110[[#This Row],[DM Incubated, mg]])*1000</f>
        <v>78.104829130178572</v>
      </c>
      <c r="AN142" s="94">
        <f>'3.2 Digest'!X142</f>
        <v>20.406923911196674</v>
      </c>
      <c r="AO142" s="94">
        <f>Table3.110[[#This Row],[Digested feed, mg]]/Table3.110[[#This Row],[Net gas 24h, ml]]</f>
        <v>2.6127608418660166</v>
      </c>
      <c r="AP142" s="94">
        <f>Table3.110[[#This Row],[CH4 8h, ml]]/Table3.110[[#This Row],[Net gas 8h, ml]]%</f>
        <v>13.699999999999998</v>
      </c>
      <c r="AQ142" s="94">
        <f>Table3.110[[#This Row],[CH4 24h, ml]]/Table3.110[[#This Row],[Net gas 24h, ml]]%</f>
        <v>16.248985619320067</v>
      </c>
      <c r="AR142" s="94">
        <f>Table3.110[[#This Row],[CH4 24h, ml]]/Table3.110[[#This Row],[DM Incubated, mg]]*1000</f>
        <v>12.691242453357226</v>
      </c>
      <c r="AS142" s="94">
        <f>Table3.110[[#This Row],[CH4 24h, ml]]/Table3.110[[#This Row],[Digested feed, mg]]*1000</f>
        <v>62.190864770137736</v>
      </c>
      <c r="AT142" s="94">
        <f>Table3.110[[#This Row],[CH4 24h, ml]]/'3.2 Digest'!AA142</f>
        <v>-0.40707884539573563</v>
      </c>
      <c r="AU142" s="94">
        <f>((Table3.110[[#This Row],[CH4 24h, ml]]/28.9)*16.04)/Table3.110[[#This Row],[DM Incubated, mg]]*1000</f>
        <v>7.0438591332820035</v>
      </c>
      <c r="AV142" s="94">
        <f>((Table3.110[[#This Row],[CH4 24h, ml]]/28.9)*16.04)/Table3.110[[#This Row],[Digested feed, mg]]*1000</f>
        <v>34.517005913944956</v>
      </c>
    </row>
    <row r="143" spans="2:49" s="89" customFormat="1" x14ac:dyDescent="0.35">
      <c r="B143" s="90">
        <f t="shared" si="2"/>
        <v>133</v>
      </c>
      <c r="C143" s="140">
        <v>46043</v>
      </c>
      <c r="D143" s="6" t="s">
        <v>16</v>
      </c>
      <c r="E143" s="6" t="s">
        <v>44</v>
      </c>
      <c r="F143" s="133" t="s">
        <v>19</v>
      </c>
      <c r="G143" s="133" t="s">
        <v>20</v>
      </c>
      <c r="H143" s="133" t="s">
        <v>21</v>
      </c>
      <c r="I143" s="6" t="s">
        <v>22</v>
      </c>
      <c r="J143" s="129" t="s">
        <v>23</v>
      </c>
      <c r="K143" s="129" t="s">
        <v>24</v>
      </c>
      <c r="L143" s="6" t="s">
        <v>43</v>
      </c>
      <c r="M143" s="119">
        <v>27</v>
      </c>
      <c r="N143" s="93">
        <v>59</v>
      </c>
      <c r="O143" s="6">
        <v>2</v>
      </c>
      <c r="P143" s="6">
        <v>2</v>
      </c>
      <c r="Q143" s="6">
        <v>313</v>
      </c>
      <c r="R143" s="98">
        <v>0.50029999999999997</v>
      </c>
      <c r="S143" s="94">
        <f>((Table3.110[[#This Row],[Sample weight, g]]*'2.1. DM'!Q27)/100)*1000</f>
        <v>473.00000000000028</v>
      </c>
      <c r="T143" s="94">
        <f>'3.2 Digest'!W143</f>
        <v>96.500000000000341</v>
      </c>
      <c r="U143" s="117">
        <v>0.36249999999999999</v>
      </c>
      <c r="V143" s="155">
        <v>41.5</v>
      </c>
      <c r="W143" s="117">
        <v>0.68333333333333335</v>
      </c>
      <c r="X143" s="96">
        <v>63.5</v>
      </c>
      <c r="Y143" s="96">
        <v>14.4</v>
      </c>
      <c r="Z143" s="155">
        <v>40.5</v>
      </c>
      <c r="AA143" s="117">
        <v>0.375</v>
      </c>
      <c r="AB143" s="155">
        <v>61</v>
      </c>
      <c r="AC143" s="155">
        <v>19.3</v>
      </c>
      <c r="AD143" s="91"/>
      <c r="AE143" s="94">
        <f>Table3.110[[#This Row],[Gas 8h, ml]]-Table3.110[[#This Row],[Gas 0h, ml]]</f>
        <v>22</v>
      </c>
      <c r="AF143" s="94">
        <f>Table3.110[[#This Row],[Gas 24h, ml]]-Table3.110[[#This Row],[V8 Push back, ml]]</f>
        <v>20.5</v>
      </c>
      <c r="AG143" s="94">
        <f>Table3.110[[#This Row],[GP 8h, ml]]-(AVERAGE(AE$116,AE$117,AE$167,AE$166,AE$219,AE$220))*$AG$8</f>
        <v>19.123728042697874</v>
      </c>
      <c r="AH143" s="94">
        <f>Table3.110[[#This Row],[GP 8-24h, ml]]-(AVERAGE(AF$11,AF$12,AF$62,AF$61,AF$114,AF$115))*$AG$8</f>
        <v>16.81247184961266</v>
      </c>
      <c r="AI143" s="94">
        <f>Table3.110[[#This Row],[Net gas 8-24h, ml]]+Table3.110[[#This Row],[Net gas 8h, ml]]</f>
        <v>35.936199892310533</v>
      </c>
      <c r="AJ143" s="94">
        <f>Table3.110[[#This Row],[Net gas 8h, ml]]*Table3.110[[#This Row],[CH4 8h %]]%</f>
        <v>2.7538168381484942</v>
      </c>
      <c r="AK143" s="94">
        <f>Table3.110[[#This Row],[Net gas 8-24h, ml]]*Table3.110[[#This Row],[CH4 24h, %]]%</f>
        <v>3.2448070669752433</v>
      </c>
      <c r="AL143" s="94">
        <f>Table3.110[[#This Row],[CH4 8-24h, ml]]+Table3.110[[#This Row],[CH4 8h, ml]]</f>
        <v>5.998623905123738</v>
      </c>
      <c r="AM143" s="94">
        <f>(Table3.110[[#This Row],[Net gas 24h, ml]]/Table3.110[[#This Row],[DM Incubated, mg]])*1000</f>
        <v>75.975052626449283</v>
      </c>
      <c r="AN143" s="94">
        <f>'3.2 Digest'!X143</f>
        <v>20.401691331923949</v>
      </c>
      <c r="AO143" s="94">
        <f>Table3.110[[#This Row],[Digested feed, mg]]/Table3.110[[#This Row],[Net gas 24h, ml]]</f>
        <v>2.6853145376856884</v>
      </c>
      <c r="AP143" s="94">
        <f>Table3.110[[#This Row],[CH4 8h, ml]]/Table3.110[[#This Row],[Net gas 8h, ml]]%</f>
        <v>14.400000000000002</v>
      </c>
      <c r="AQ143" s="94">
        <f>Table3.110[[#This Row],[CH4 24h, ml]]/Table3.110[[#This Row],[Net gas 24h, ml]]%</f>
        <v>16.692426920764365</v>
      </c>
      <c r="AR143" s="94">
        <f>Table3.110[[#This Row],[CH4 24h, ml]]/Table3.110[[#This Row],[DM Incubated, mg]]*1000</f>
        <v>12.682080137682313</v>
      </c>
      <c r="AS143" s="94">
        <f>Table3.110[[#This Row],[CH4 24h, ml]]/Table3.110[[#This Row],[Digested feed, mg]]*1000</f>
        <v>62.161905752577375</v>
      </c>
      <c r="AT143" s="94">
        <f>Table3.110[[#This Row],[CH4 24h, ml]]/'3.2 Digest'!AA143</f>
        <v>-0.4066582187716351</v>
      </c>
      <c r="AU143" s="94">
        <f>((Table3.110[[#This Row],[CH4 24h, ml]]/28.9)*16.04)/Table3.110[[#This Row],[DM Incubated, mg]]*1000</f>
        <v>7.0387738895648546</v>
      </c>
      <c r="AV143" s="94">
        <f>((Table3.110[[#This Row],[CH4 24h, ml]]/28.9)*16.04)/Table3.110[[#This Row],[Digested feed, mg]]*1000</f>
        <v>34.500933158177894</v>
      </c>
    </row>
    <row r="144" spans="2:49" s="89" customFormat="1" x14ac:dyDescent="0.35">
      <c r="B144" s="90">
        <f t="shared" si="2"/>
        <v>134</v>
      </c>
      <c r="C144" s="140">
        <v>46043</v>
      </c>
      <c r="D144" s="6" t="s">
        <v>16</v>
      </c>
      <c r="E144" s="6" t="s">
        <v>44</v>
      </c>
      <c r="F144" s="133" t="s">
        <v>19</v>
      </c>
      <c r="G144" s="133" t="s">
        <v>20</v>
      </c>
      <c r="H144" s="133" t="s">
        <v>21</v>
      </c>
      <c r="I144" s="6" t="s">
        <v>22</v>
      </c>
      <c r="J144" s="129" t="s">
        <v>23</v>
      </c>
      <c r="K144" s="129" t="s">
        <v>24</v>
      </c>
      <c r="L144" s="6" t="s">
        <v>43</v>
      </c>
      <c r="M144" s="119">
        <v>27</v>
      </c>
      <c r="N144" s="93">
        <v>59</v>
      </c>
      <c r="O144" s="6">
        <v>2</v>
      </c>
      <c r="P144" s="129">
        <v>3</v>
      </c>
      <c r="Q144" s="6">
        <v>314</v>
      </c>
      <c r="R144" s="98">
        <v>0.50029999999999997</v>
      </c>
      <c r="S144" s="94">
        <f>((Table3.110[[#This Row],[Sample weight, g]]*'2.1. DM'!Q27)/100)*1000</f>
        <v>473.00000000000028</v>
      </c>
      <c r="T144" s="94">
        <f>'3.2 Digest'!W144</f>
        <v>97.900000000000318</v>
      </c>
      <c r="U144" s="153">
        <v>0.36180555555555555</v>
      </c>
      <c r="V144" s="154">
        <v>41.5</v>
      </c>
      <c r="W144" s="153">
        <v>0.68402777777777779</v>
      </c>
      <c r="X144" s="91">
        <v>65</v>
      </c>
      <c r="Y144" s="91">
        <v>14</v>
      </c>
      <c r="Z144" s="154">
        <v>40.5</v>
      </c>
      <c r="AA144" s="153">
        <v>0.37569444444444444</v>
      </c>
      <c r="AB144" s="154">
        <v>61.5</v>
      </c>
      <c r="AC144" s="154">
        <v>19.100000000000001</v>
      </c>
      <c r="AD144" s="96"/>
      <c r="AE144" s="94">
        <f>Table3.110[[#This Row],[Gas 8h, ml]]-Table3.110[[#This Row],[Gas 0h, ml]]</f>
        <v>23.5</v>
      </c>
      <c r="AF144" s="94">
        <f>Table3.110[[#This Row],[Gas 24h, ml]]-Table3.110[[#This Row],[V8 Push back, ml]]</f>
        <v>21</v>
      </c>
      <c r="AG144" s="94">
        <f>Table3.110[[#This Row],[GP 8h, ml]]-(AVERAGE(AE$116,AE$117,AE$167,AE$166,AE$219,AE$220))*$AG$8</f>
        <v>20.623728042697874</v>
      </c>
      <c r="AH144" s="94">
        <f>Table3.110[[#This Row],[GP 8-24h, ml]]-(AVERAGE(AF$11,AF$12,AF$62,AF$61,AF$114,AF$115))*$AG$8</f>
        <v>17.31247184961266</v>
      </c>
      <c r="AI144" s="94">
        <f>Table3.110[[#This Row],[Net gas 8-24h, ml]]+Table3.110[[#This Row],[Net gas 8h, ml]]</f>
        <v>37.936199892310533</v>
      </c>
      <c r="AJ144" s="94">
        <f>Table3.110[[#This Row],[Net gas 8h, ml]]*Table3.110[[#This Row],[CH4 8h %]]%</f>
        <v>2.8873219259777025</v>
      </c>
      <c r="AK144" s="94">
        <f>Table3.110[[#This Row],[Net gas 8-24h, ml]]*Table3.110[[#This Row],[CH4 24h, %]]%</f>
        <v>3.3066821232760182</v>
      </c>
      <c r="AL144" s="94">
        <f>Table3.110[[#This Row],[CH4 8-24h, ml]]+Table3.110[[#This Row],[CH4 8h, ml]]</f>
        <v>6.1940040492537207</v>
      </c>
      <c r="AM144" s="94">
        <f>(Table3.110[[#This Row],[Net gas 24h, ml]]/Table3.110[[#This Row],[DM Incubated, mg]])*1000</f>
        <v>80.203382436174451</v>
      </c>
      <c r="AN144" s="94">
        <f>'3.2 Digest'!X144</f>
        <v>20.697674418604706</v>
      </c>
      <c r="AO144" s="94">
        <f>Table3.110[[#This Row],[Digested feed, mg]]/Table3.110[[#This Row],[Net gas 24h, ml]]</f>
        <v>2.5806485699123525</v>
      </c>
      <c r="AP144" s="94">
        <f>Table3.110[[#This Row],[CH4 8h, ml]]/Table3.110[[#This Row],[Net gas 8h, ml]]%</f>
        <v>14.000000000000002</v>
      </c>
      <c r="AQ144" s="94">
        <f>Table3.110[[#This Row],[CH4 24h, ml]]/Table3.110[[#This Row],[Net gas 24h, ml]]%</f>
        <v>16.327423587066274</v>
      </c>
      <c r="AR144" s="94">
        <f>Table3.110[[#This Row],[CH4 24h, ml]]/Table3.110[[#This Row],[DM Incubated, mg]]*1000</f>
        <v>13.095145981508916</v>
      </c>
      <c r="AS144" s="94">
        <f>Table3.110[[#This Row],[CH4 24h, ml]]/Table3.110[[#This Row],[Digested feed, mg]]*1000</f>
        <v>63.268682832009205</v>
      </c>
      <c r="AT144" s="94">
        <f>Table3.110[[#This Row],[CH4 24h, ml]]/'3.2 Digest'!AA144</f>
        <v>-0.43241161540678874</v>
      </c>
      <c r="AU144" s="94">
        <f>((Table3.110[[#This Row],[CH4 24h, ml]]/28.9)*16.04)/Table3.110[[#This Row],[DM Incubated, mg]]*1000</f>
        <v>7.2680325793565057</v>
      </c>
      <c r="AV144" s="94">
        <f>((Table3.110[[#This Row],[CH4 24h, ml]]/28.9)*16.04)/Table3.110[[#This Row],[Digested feed, mg]]*1000</f>
        <v>35.115213585654935</v>
      </c>
    </row>
    <row r="145" spans="2:48" s="89" customFormat="1" x14ac:dyDescent="0.35">
      <c r="B145" s="90">
        <f t="shared" si="2"/>
        <v>135</v>
      </c>
      <c r="C145" s="140">
        <v>46043</v>
      </c>
      <c r="D145" s="6" t="s">
        <v>16</v>
      </c>
      <c r="E145" s="6" t="s">
        <v>46</v>
      </c>
      <c r="F145" s="133" t="s">
        <v>19</v>
      </c>
      <c r="G145" s="133" t="s">
        <v>20</v>
      </c>
      <c r="H145" s="133" t="s">
        <v>21</v>
      </c>
      <c r="I145" s="6" t="s">
        <v>22</v>
      </c>
      <c r="J145" s="129" t="s">
        <v>23</v>
      </c>
      <c r="K145" s="129" t="s">
        <v>24</v>
      </c>
      <c r="L145" s="6" t="s">
        <v>45</v>
      </c>
      <c r="M145" s="119">
        <v>27</v>
      </c>
      <c r="N145" s="93">
        <v>59</v>
      </c>
      <c r="O145" s="6">
        <v>2</v>
      </c>
      <c r="P145" s="129">
        <v>1</v>
      </c>
      <c r="Q145" s="6">
        <v>315</v>
      </c>
      <c r="R145" s="98">
        <v>0.50029999999999997</v>
      </c>
      <c r="S145" s="94">
        <f>((Table3.110[[#This Row],[Sample weight, g]]*'2.1. DM'!Q29)/100)*1000</f>
        <v>471.22078626412053</v>
      </c>
      <c r="T145" s="94">
        <f>'3.2 Digest'!W145</f>
        <v>97.3207862641205</v>
      </c>
      <c r="U145" s="117">
        <v>0.36249999999999999</v>
      </c>
      <c r="V145" s="155">
        <v>40</v>
      </c>
      <c r="W145" s="117">
        <v>0.68402777777777779</v>
      </c>
      <c r="X145" s="96">
        <v>62.5</v>
      </c>
      <c r="Y145" s="96">
        <v>15.5</v>
      </c>
      <c r="Z145" s="155">
        <v>40</v>
      </c>
      <c r="AA145" s="117">
        <v>0.37638888888888888</v>
      </c>
      <c r="AB145" s="155">
        <v>56</v>
      </c>
      <c r="AC145" s="155">
        <v>19.100000000000001</v>
      </c>
      <c r="AD145" s="91"/>
      <c r="AE145" s="94">
        <f>Table3.110[[#This Row],[Gas 8h, ml]]-Table3.110[[#This Row],[Gas 0h, ml]]</f>
        <v>22.5</v>
      </c>
      <c r="AF145" s="94">
        <f>Table3.110[[#This Row],[Gas 24h, ml]]-Table3.110[[#This Row],[V8 Push back, ml]]</f>
        <v>16</v>
      </c>
      <c r="AG145" s="94">
        <f>Table3.110[[#This Row],[GP 8h, ml]]-(AVERAGE(AE$116,AE$117,AE$167,AE$166,AE$219,AE$220))*$AG$8</f>
        <v>19.623728042697874</v>
      </c>
      <c r="AH145" s="94">
        <f>Table3.110[[#This Row],[GP 8-24h, ml]]-(AVERAGE(AF$11,AF$12,AF$62,AF$61,AF$114,AF$115))*$AG$8</f>
        <v>12.31247184961266</v>
      </c>
      <c r="AI145" s="94">
        <f>Table3.110[[#This Row],[Net gas 8-24h, ml]]+Table3.110[[#This Row],[Net gas 8h, ml]]</f>
        <v>31.936199892310533</v>
      </c>
      <c r="AJ145" s="94">
        <f>Table3.110[[#This Row],[Net gas 8h, ml]]*Table3.110[[#This Row],[CH4 8h %]]%</f>
        <v>3.0416778466181702</v>
      </c>
      <c r="AK145" s="94">
        <f>Table3.110[[#This Row],[Net gas 8-24h, ml]]*Table3.110[[#This Row],[CH4 24h, %]]%</f>
        <v>2.3516821232760181</v>
      </c>
      <c r="AL145" s="94">
        <f>Table3.110[[#This Row],[CH4 8-24h, ml]]+Table3.110[[#This Row],[CH4 8h, ml]]</f>
        <v>5.3933599698941883</v>
      </c>
      <c r="AM145" s="94">
        <f>(Table3.110[[#This Row],[Net gas 24h, ml]]/Table3.110[[#This Row],[DM Incubated, mg]])*1000</f>
        <v>67.773325844777574</v>
      </c>
      <c r="AN145" s="94">
        <f>'3.2 Digest'!X145</f>
        <v>20.652906047648742</v>
      </c>
      <c r="AO145" s="94">
        <f>Table3.110[[#This Row],[Digested feed, mg]]/Table3.110[[#This Row],[Net gas 24h, ml]]</f>
        <v>3.0473502355411108</v>
      </c>
      <c r="AP145" s="94">
        <f>Table3.110[[#This Row],[CH4 8h, ml]]/Table3.110[[#This Row],[Net gas 8h, ml]]%</f>
        <v>15.499999999999998</v>
      </c>
      <c r="AQ145" s="94">
        <f>Table3.110[[#This Row],[CH4 24h, ml]]/Table3.110[[#This Row],[Net gas 24h, ml]]%</f>
        <v>16.887920253758114</v>
      </c>
      <c r="AR145" s="94">
        <f>Table3.110[[#This Row],[CH4 24h, ml]]/Table3.110[[#This Row],[DM Incubated, mg]]*1000</f>
        <v>11.445505221985679</v>
      </c>
      <c r="AS145" s="94">
        <f>Table3.110[[#This Row],[CH4 24h, ml]]/Table3.110[[#This Row],[Digested feed, mg]]*1000</f>
        <v>55.418376453074053</v>
      </c>
      <c r="AT145" s="94">
        <f>Table3.110[[#This Row],[CH4 24h, ml]]/'3.2 Digest'!AA145</f>
        <v>-0.19471508088217923</v>
      </c>
      <c r="AU145" s="94">
        <f>((Table3.110[[#This Row],[CH4 24h, ml]]/28.9)*16.04)/Table3.110[[#This Row],[DM Incubated, mg]]*1000</f>
        <v>6.352453417323539</v>
      </c>
      <c r="AV145" s="94">
        <f>((Table3.110[[#This Row],[CH4 24h, ml]]/28.9)*16.04)/Table3.110[[#This Row],[Digested feed, mg]]*1000</f>
        <v>30.758157726896467</v>
      </c>
    </row>
    <row r="146" spans="2:48" s="89" customFormat="1" x14ac:dyDescent="0.35">
      <c r="B146" s="90">
        <f t="shared" si="2"/>
        <v>136</v>
      </c>
      <c r="C146" s="140">
        <v>46043</v>
      </c>
      <c r="D146" s="6" t="s">
        <v>16</v>
      </c>
      <c r="E146" s="6" t="s">
        <v>46</v>
      </c>
      <c r="F146" s="133" t="s">
        <v>19</v>
      </c>
      <c r="G146" s="133" t="s">
        <v>20</v>
      </c>
      <c r="H146" s="133" t="s">
        <v>21</v>
      </c>
      <c r="I146" s="6" t="s">
        <v>22</v>
      </c>
      <c r="J146" s="129" t="s">
        <v>23</v>
      </c>
      <c r="K146" s="129" t="s">
        <v>24</v>
      </c>
      <c r="L146" s="6" t="s">
        <v>45</v>
      </c>
      <c r="M146" s="119">
        <v>27</v>
      </c>
      <c r="N146" s="93">
        <v>59</v>
      </c>
      <c r="O146" s="6">
        <v>2</v>
      </c>
      <c r="P146" s="6">
        <v>2</v>
      </c>
      <c r="Q146" s="6">
        <v>316</v>
      </c>
      <c r="R146" s="98">
        <v>0.5</v>
      </c>
      <c r="S146" s="94">
        <f>((Table3.110[[#This Row],[Sample weight, g]]*'2.1. DM'!Q29)/100)*1000</f>
        <v>470.93822333012247</v>
      </c>
      <c r="T146" s="94">
        <f>'3.2 Digest'!W146</f>
        <v>54.638223330122457</v>
      </c>
      <c r="U146" s="153">
        <v>0.36249999999999999</v>
      </c>
      <c r="V146" s="154">
        <v>41</v>
      </c>
      <c r="W146" s="153">
        <v>0.68472222222222223</v>
      </c>
      <c r="X146" s="91">
        <v>66</v>
      </c>
      <c r="Y146" s="91">
        <v>14.2</v>
      </c>
      <c r="Z146" s="154">
        <v>40</v>
      </c>
      <c r="AA146" s="153">
        <v>0.37638888888888888</v>
      </c>
      <c r="AB146" s="154">
        <v>55.5</v>
      </c>
      <c r="AC146" s="154">
        <v>18.3</v>
      </c>
      <c r="AD146" s="96"/>
      <c r="AE146" s="94">
        <f>Table3.110[[#This Row],[Gas 8h, ml]]-Table3.110[[#This Row],[Gas 0h, ml]]</f>
        <v>25</v>
      </c>
      <c r="AF146" s="94">
        <f>Table3.110[[#This Row],[Gas 24h, ml]]-Table3.110[[#This Row],[V8 Push back, ml]]</f>
        <v>15.5</v>
      </c>
      <c r="AG146" s="94">
        <f>Table3.110[[#This Row],[GP 8h, ml]]-(AVERAGE(AE$116,AE$117,AE$167,AE$166,AE$219,AE$220))*$AG$8</f>
        <v>22.123728042697874</v>
      </c>
      <c r="AH146" s="94">
        <f>Table3.110[[#This Row],[GP 8-24h, ml]]-(AVERAGE(AF$11,AF$12,AF$62,AF$61,AF$114,AF$115))*$AG$8</f>
        <v>11.81247184961266</v>
      </c>
      <c r="AI146" s="94">
        <f>Table3.110[[#This Row],[Net gas 8-24h, ml]]+Table3.110[[#This Row],[Net gas 8h, ml]]</f>
        <v>33.936199892310533</v>
      </c>
      <c r="AJ146" s="94">
        <f>Table3.110[[#This Row],[Net gas 8h, ml]]*Table3.110[[#This Row],[CH4 8h %]]%</f>
        <v>3.1415693820630977</v>
      </c>
      <c r="AK146" s="94">
        <f>Table3.110[[#This Row],[Net gas 8-24h, ml]]*Table3.110[[#This Row],[CH4 24h, %]]%</f>
        <v>2.1616823484791166</v>
      </c>
      <c r="AL146" s="94">
        <f>Table3.110[[#This Row],[CH4 8-24h, ml]]+Table3.110[[#This Row],[CH4 8h, ml]]</f>
        <v>5.3032517305422147</v>
      </c>
      <c r="AM146" s="94">
        <f>(Table3.110[[#This Row],[Net gas 24h, ml]]/Table3.110[[#This Row],[DM Incubated, mg]])*1000</f>
        <v>72.060831359873788</v>
      </c>
      <c r="AN146" s="94">
        <f>'3.2 Digest'!X146</f>
        <v>11.601993769747942</v>
      </c>
      <c r="AO146" s="94">
        <f>Table3.110[[#This Row],[Digested feed, mg]]/Table3.110[[#This Row],[Net gas 24h, ml]]</f>
        <v>1.610027743339133</v>
      </c>
      <c r="AP146" s="94">
        <f>Table3.110[[#This Row],[CH4 8h, ml]]/Table3.110[[#This Row],[Net gas 8h, ml]]%</f>
        <v>14.199999999999998</v>
      </c>
      <c r="AQ146" s="94">
        <f>Table3.110[[#This Row],[CH4 24h, ml]]/Table3.110[[#This Row],[Net gas 24h, ml]]%</f>
        <v>15.627123093837792</v>
      </c>
      <c r="AR146" s="94">
        <f>Table3.110[[#This Row],[CH4 24h, ml]]/Table3.110[[#This Row],[DM Incubated, mg]]*1000</f>
        <v>11.261034819050341</v>
      </c>
      <c r="AS146" s="94">
        <f>Table3.110[[#This Row],[CH4 24h, ml]]/Table3.110[[#This Row],[Digested feed, mg]]*1000</f>
        <v>97.061203811480681</v>
      </c>
      <c r="AT146" s="94">
        <f>Table3.110[[#This Row],[CH4 24h, ml]]/'3.2 Digest'!AA146</f>
        <v>-0.12547625600969062</v>
      </c>
      <c r="AU146" s="94">
        <f>((Table3.110[[#This Row],[CH4 24h, ml]]/28.9)*16.04)/Table3.110[[#This Row],[DM Incubated, mg]]*1000</f>
        <v>6.2500691521649641</v>
      </c>
      <c r="AV146" s="94">
        <f>((Table3.110[[#This Row],[CH4 24h, ml]]/28.9)*16.04)/Table3.110[[#This Row],[Digested feed, mg]]*1000</f>
        <v>53.870647374953293</v>
      </c>
    </row>
    <row r="147" spans="2:48" s="89" customFormat="1" x14ac:dyDescent="0.35">
      <c r="B147" s="90">
        <f t="shared" si="2"/>
        <v>137</v>
      </c>
      <c r="C147" s="140">
        <v>46043</v>
      </c>
      <c r="D147" s="6" t="s">
        <v>16</v>
      </c>
      <c r="E147" s="6" t="s">
        <v>46</v>
      </c>
      <c r="F147" s="133" t="s">
        <v>19</v>
      </c>
      <c r="G147" s="133" t="s">
        <v>20</v>
      </c>
      <c r="H147" s="133" t="s">
        <v>21</v>
      </c>
      <c r="I147" s="6" t="s">
        <v>22</v>
      </c>
      <c r="J147" s="129" t="s">
        <v>23</v>
      </c>
      <c r="K147" s="129" t="s">
        <v>24</v>
      </c>
      <c r="L147" s="6" t="s">
        <v>45</v>
      </c>
      <c r="M147" s="119">
        <v>27</v>
      </c>
      <c r="N147" s="93">
        <v>59</v>
      </c>
      <c r="O147" s="6">
        <v>2</v>
      </c>
      <c r="P147" s="129">
        <v>3</v>
      </c>
      <c r="Q147" s="6">
        <v>317</v>
      </c>
      <c r="R147" s="98">
        <v>0.50039999999999996</v>
      </c>
      <c r="S147" s="94">
        <f>((Table3.110[[#This Row],[Sample weight, g]]*'2.1. DM'!Q29)/100)*1000</f>
        <v>471.31497390878656</v>
      </c>
      <c r="T147" s="94">
        <f>'3.2 Digest'!W147</f>
        <v>38.814973908786556</v>
      </c>
      <c r="U147" s="117">
        <v>0.36319444444444443</v>
      </c>
      <c r="V147" s="155">
        <v>41</v>
      </c>
      <c r="W147" s="117">
        <v>0.68472222222222223</v>
      </c>
      <c r="X147" s="96">
        <v>66.5</v>
      </c>
      <c r="Y147" s="96">
        <v>13.9</v>
      </c>
      <c r="Z147" s="155">
        <v>40.5</v>
      </c>
      <c r="AA147" s="117">
        <v>0.37708333333333333</v>
      </c>
      <c r="AB147" s="155">
        <v>56</v>
      </c>
      <c r="AC147" s="155">
        <v>18.100000000000001</v>
      </c>
      <c r="AD147" s="91"/>
      <c r="AE147" s="94">
        <f>Table3.110[[#This Row],[Gas 8h, ml]]-Table3.110[[#This Row],[Gas 0h, ml]]</f>
        <v>25.5</v>
      </c>
      <c r="AF147" s="94">
        <f>Table3.110[[#This Row],[Gas 24h, ml]]-Table3.110[[#This Row],[V8 Push back, ml]]</f>
        <v>15.5</v>
      </c>
      <c r="AG147" s="94">
        <f>Table3.110[[#This Row],[GP 8h, ml]]-(AVERAGE(AE$116,AE$117,AE$167,AE$166,AE$219,AE$220))*$AG$8</f>
        <v>22.623728042697874</v>
      </c>
      <c r="AH147" s="94">
        <f>Table3.110[[#This Row],[GP 8-24h, ml]]-(AVERAGE(AF$11,AF$12,AF$62,AF$61,AF$114,AF$115))*$AG$8</f>
        <v>11.81247184961266</v>
      </c>
      <c r="AI147" s="94">
        <f>Table3.110[[#This Row],[Net gas 8-24h, ml]]+Table3.110[[#This Row],[Net gas 8h, ml]]</f>
        <v>34.436199892310533</v>
      </c>
      <c r="AJ147" s="94">
        <f>Table3.110[[#This Row],[Net gas 8h, ml]]*Table3.110[[#This Row],[CH4 8h %]]%</f>
        <v>3.1446981979350048</v>
      </c>
      <c r="AK147" s="94">
        <f>Table3.110[[#This Row],[Net gas 8-24h, ml]]*Table3.110[[#This Row],[CH4 24h, %]]%</f>
        <v>2.1380574047798917</v>
      </c>
      <c r="AL147" s="94">
        <f>Table3.110[[#This Row],[CH4 8-24h, ml]]+Table3.110[[#This Row],[CH4 8h, ml]]</f>
        <v>5.2827556027148965</v>
      </c>
      <c r="AM147" s="94">
        <f>(Table3.110[[#This Row],[Net gas 24h, ml]]/Table3.110[[#This Row],[DM Incubated, mg]])*1000</f>
        <v>73.064090467397207</v>
      </c>
      <c r="AN147" s="94">
        <f>'3.2 Digest'!X147</f>
        <v>8.2354637678662854</v>
      </c>
      <c r="AO147" s="94">
        <f>Table3.110[[#This Row],[Digested feed, mg]]/Table3.110[[#This Row],[Net gas 24h, ml]]</f>
        <v>1.1271561330858051</v>
      </c>
      <c r="AP147" s="94">
        <f>Table3.110[[#This Row],[CH4 8h, ml]]/Table3.110[[#This Row],[Net gas 8h, ml]]%</f>
        <v>13.900000000000002</v>
      </c>
      <c r="AQ147" s="94">
        <f>Table3.110[[#This Row],[CH4 24h, ml]]/Table3.110[[#This Row],[Net gas 24h, ml]]%</f>
        <v>15.340704314747908</v>
      </c>
      <c r="AR147" s="94">
        <f>Table3.110[[#This Row],[CH4 24h, ml]]/Table3.110[[#This Row],[DM Incubated, mg]]*1000</f>
        <v>11.208546078863318</v>
      </c>
      <c r="AS147" s="94">
        <f>Table3.110[[#This Row],[CH4 24h, ml]]/Table3.110[[#This Row],[Digested feed, mg]]*1000</f>
        <v>136.10097008255462</v>
      </c>
      <c r="AT147" s="94">
        <f>Table3.110[[#This Row],[CH4 24h, ml]]/'3.2 Digest'!AA147</f>
        <v>-0.11078914725434368</v>
      </c>
      <c r="AU147" s="94">
        <f>((Table3.110[[#This Row],[CH4 24h, ml]]/28.9)*16.04)/Table3.110[[#This Row],[DM Incubated, mg]]*1000</f>
        <v>6.2209369932514749</v>
      </c>
      <c r="AV147" s="94">
        <f>((Table3.110[[#This Row],[CH4 24h, ml]]/28.9)*16.04)/Table3.110[[#This Row],[Digested feed, mg]]*1000</f>
        <v>75.538393083881516</v>
      </c>
    </row>
    <row r="148" spans="2:48" s="89" customFormat="1" x14ac:dyDescent="0.35">
      <c r="B148" s="90">
        <f t="shared" si="2"/>
        <v>138</v>
      </c>
      <c r="C148" s="140">
        <v>46043</v>
      </c>
      <c r="D148" s="6" t="s">
        <v>16</v>
      </c>
      <c r="E148" s="6" t="s">
        <v>48</v>
      </c>
      <c r="F148" s="133" t="s">
        <v>19</v>
      </c>
      <c r="G148" s="133" t="s">
        <v>20</v>
      </c>
      <c r="H148" s="133" t="s">
        <v>21</v>
      </c>
      <c r="I148" s="6" t="s">
        <v>22</v>
      </c>
      <c r="J148" s="129" t="s">
        <v>23</v>
      </c>
      <c r="K148" s="129" t="s">
        <v>24</v>
      </c>
      <c r="L148" s="6" t="s">
        <v>47</v>
      </c>
      <c r="M148" s="119">
        <v>27</v>
      </c>
      <c r="N148" s="93">
        <v>59</v>
      </c>
      <c r="O148" s="6">
        <v>2</v>
      </c>
      <c r="P148" s="129">
        <v>1</v>
      </c>
      <c r="Q148" s="6">
        <v>318</v>
      </c>
      <c r="R148" s="98">
        <v>0.50029999999999997</v>
      </c>
      <c r="S148" s="94">
        <f>((Table3.110[[#This Row],[Sample weight, g]]*'2.1. DM'!Q31)/100)*1000</f>
        <v>467.91393713037724</v>
      </c>
      <c r="T148" s="94">
        <f>'3.2 Digest'!W148</f>
        <v>119.81393713037716</v>
      </c>
      <c r="U148" s="153">
        <v>0.36319444444444443</v>
      </c>
      <c r="V148" s="154">
        <v>40.5</v>
      </c>
      <c r="W148" s="153">
        <v>0.68541666666666667</v>
      </c>
      <c r="X148" s="91">
        <v>63.5</v>
      </c>
      <c r="Y148" s="91">
        <v>16.2</v>
      </c>
      <c r="Z148" s="154">
        <v>40.5</v>
      </c>
      <c r="AA148" s="153">
        <v>0.37777777777777777</v>
      </c>
      <c r="AB148" s="154">
        <v>61.5</v>
      </c>
      <c r="AC148" s="154">
        <v>18</v>
      </c>
      <c r="AD148" s="96"/>
      <c r="AE148" s="94">
        <f>Table3.110[[#This Row],[Gas 8h, ml]]-Table3.110[[#This Row],[Gas 0h, ml]]</f>
        <v>23</v>
      </c>
      <c r="AF148" s="94">
        <f>Table3.110[[#This Row],[Gas 24h, ml]]-Table3.110[[#This Row],[V8 Push back, ml]]</f>
        <v>21</v>
      </c>
      <c r="AG148" s="94">
        <f>Table3.110[[#This Row],[GP 8h, ml]]-(AVERAGE(AE$116,AE$117,AE$167,AE$166,AE$219,AE$220))*$AG$8</f>
        <v>20.123728042697874</v>
      </c>
      <c r="AH148" s="94">
        <f>Table3.110[[#This Row],[GP 8-24h, ml]]-(AVERAGE(AF$11,AF$12,AF$62,AF$61,AF$114,AF$115))*$AG$8</f>
        <v>17.31247184961266</v>
      </c>
      <c r="AI148" s="94">
        <f>Table3.110[[#This Row],[Net gas 8-24h, ml]]+Table3.110[[#This Row],[Net gas 8h, ml]]</f>
        <v>37.436199892310533</v>
      </c>
      <c r="AJ148" s="94">
        <f>Table3.110[[#This Row],[Net gas 8h, ml]]*Table3.110[[#This Row],[CH4 8h %]]%</f>
        <v>3.2600439429170556</v>
      </c>
      <c r="AK148" s="94">
        <f>Table3.110[[#This Row],[Net gas 8-24h, ml]]*Table3.110[[#This Row],[CH4 24h, %]]%</f>
        <v>3.1162449329302788</v>
      </c>
      <c r="AL148" s="94">
        <f>Table3.110[[#This Row],[CH4 8-24h, ml]]+Table3.110[[#This Row],[CH4 8h, ml]]</f>
        <v>6.3762888758473348</v>
      </c>
      <c r="AM148" s="94">
        <f>(Table3.110[[#This Row],[Net gas 24h, ml]]/Table3.110[[#This Row],[DM Incubated, mg]])*1000</f>
        <v>80.0065929258258</v>
      </c>
      <c r="AN148" s="94">
        <f>'3.2 Digest'!X148</f>
        <v>25.605977429347821</v>
      </c>
      <c r="AO148" s="94">
        <f>Table3.110[[#This Row],[Digested feed, mg]]/Table3.110[[#This Row],[Net gas 24h, ml]]</f>
        <v>3.2004834217958957</v>
      </c>
      <c r="AP148" s="94">
        <f>Table3.110[[#This Row],[CH4 8h, ml]]/Table3.110[[#This Row],[Net gas 8h, ml]]%</f>
        <v>16.2</v>
      </c>
      <c r="AQ148" s="94">
        <f>Table3.110[[#This Row],[CH4 24h, ml]]/Table3.110[[#This Row],[Net gas 24h, ml]]%</f>
        <v>17.032414866331123</v>
      </c>
      <c r="AR148" s="94">
        <f>Table3.110[[#This Row],[CH4 24h, ml]]/Table3.110[[#This Row],[DM Incubated, mg]]*1000</f>
        <v>13.627054827543375</v>
      </c>
      <c r="AS148" s="94">
        <f>Table3.110[[#This Row],[CH4 24h, ml]]/Table3.110[[#This Row],[Digested feed, mg]]*1000</f>
        <v>53.218256811883997</v>
      </c>
      <c r="AT148" s="94">
        <f>Table3.110[[#This Row],[CH4 24h, ml]]/'3.2 Digest'!AA148</f>
        <v>-0.26517557432527067</v>
      </c>
      <c r="AU148" s="94">
        <f>((Table3.110[[#This Row],[CH4 24h, ml]]/28.9)*16.04)/Table3.110[[#This Row],[DM Incubated, mg]]*1000</f>
        <v>7.5632511914808216</v>
      </c>
      <c r="AV148" s="94">
        <f>((Table3.110[[#This Row],[CH4 24h, ml]]/28.9)*16.04)/Table3.110[[#This Row],[Digested feed, mg]]*1000</f>
        <v>29.537053261682328</v>
      </c>
    </row>
    <row r="149" spans="2:48" s="89" customFormat="1" x14ac:dyDescent="0.35">
      <c r="B149" s="90">
        <f t="shared" si="2"/>
        <v>139</v>
      </c>
      <c r="C149" s="140">
        <v>46043</v>
      </c>
      <c r="D149" s="6" t="s">
        <v>16</v>
      </c>
      <c r="E149" s="6" t="s">
        <v>48</v>
      </c>
      <c r="F149" s="133" t="s">
        <v>19</v>
      </c>
      <c r="G149" s="133" t="s">
        <v>20</v>
      </c>
      <c r="H149" s="133" t="s">
        <v>21</v>
      </c>
      <c r="I149" s="6" t="s">
        <v>22</v>
      </c>
      <c r="J149" s="129" t="s">
        <v>23</v>
      </c>
      <c r="K149" s="129" t="s">
        <v>24</v>
      </c>
      <c r="L149" s="6" t="s">
        <v>47</v>
      </c>
      <c r="M149" s="119">
        <v>27</v>
      </c>
      <c r="N149" s="93">
        <v>59</v>
      </c>
      <c r="O149" s="6">
        <v>2</v>
      </c>
      <c r="P149" s="6">
        <v>2</v>
      </c>
      <c r="Q149" s="6">
        <v>319</v>
      </c>
      <c r="R149" s="98">
        <v>0.50039999999999996</v>
      </c>
      <c r="S149" s="94">
        <f>((Table3.110[[#This Row],[Sample weight, g]]*'2.1. DM'!Q31)/100)*1000</f>
        <v>468.00746380180044</v>
      </c>
      <c r="T149" s="94">
        <f>'3.2 Digest'!W149</f>
        <v>127.20746380180043</v>
      </c>
      <c r="U149" s="117">
        <v>0.36388888888888887</v>
      </c>
      <c r="V149" s="155">
        <v>40.5</v>
      </c>
      <c r="W149" s="117">
        <v>0.68541666666666667</v>
      </c>
      <c r="X149" s="96">
        <v>65.5</v>
      </c>
      <c r="Y149" s="96">
        <v>15.1</v>
      </c>
      <c r="Z149" s="155">
        <v>40</v>
      </c>
      <c r="AA149" s="117">
        <v>0.37777777777777777</v>
      </c>
      <c r="AB149" s="155">
        <v>60.5</v>
      </c>
      <c r="AC149" s="155">
        <v>17.600000000000001</v>
      </c>
      <c r="AD149" s="91"/>
      <c r="AE149" s="94">
        <f>Table3.110[[#This Row],[Gas 8h, ml]]-Table3.110[[#This Row],[Gas 0h, ml]]</f>
        <v>25</v>
      </c>
      <c r="AF149" s="94">
        <f>Table3.110[[#This Row],[Gas 24h, ml]]-Table3.110[[#This Row],[V8 Push back, ml]]</f>
        <v>20.5</v>
      </c>
      <c r="AG149" s="94">
        <f>Table3.110[[#This Row],[GP 8h, ml]]-(AVERAGE(AE$116,AE$117,AE$167,AE$166,AE$219,AE$220))*$AG$8</f>
        <v>22.123728042697874</v>
      </c>
      <c r="AH149" s="94">
        <f>Table3.110[[#This Row],[GP 8-24h, ml]]-(AVERAGE(AF$11,AF$12,AF$62,AF$61,AF$114,AF$115))*$AG$8</f>
        <v>16.81247184961266</v>
      </c>
      <c r="AI149" s="94">
        <f>Table3.110[[#This Row],[Net gas 8-24h, ml]]+Table3.110[[#This Row],[Net gas 8h, ml]]</f>
        <v>38.936199892310533</v>
      </c>
      <c r="AJ149" s="94">
        <f>Table3.110[[#This Row],[Net gas 8h, ml]]*Table3.110[[#This Row],[CH4 8h %]]%</f>
        <v>3.3406829344473787</v>
      </c>
      <c r="AK149" s="94">
        <f>Table3.110[[#This Row],[Net gas 8-24h, ml]]*Table3.110[[#This Row],[CH4 24h, %]]%</f>
        <v>2.9589950455318283</v>
      </c>
      <c r="AL149" s="94">
        <f>Table3.110[[#This Row],[CH4 8-24h, ml]]+Table3.110[[#This Row],[CH4 8h, ml]]</f>
        <v>6.2996779799792071</v>
      </c>
      <c r="AM149" s="94">
        <f>(Table3.110[[#This Row],[Net gas 24h, ml]]/Table3.110[[#This Row],[DM Incubated, mg]])*1000</f>
        <v>83.195681487677902</v>
      </c>
      <c r="AN149" s="94">
        <f>'3.2 Digest'!X149</f>
        <v>27.180648523945838</v>
      </c>
      <c r="AO149" s="94">
        <f>Table3.110[[#This Row],[Digested feed, mg]]/Table3.110[[#This Row],[Net gas 24h, ml]]</f>
        <v>3.2670744488067642</v>
      </c>
      <c r="AP149" s="94">
        <f>Table3.110[[#This Row],[CH4 8h, ml]]/Table3.110[[#This Row],[Net gas 8h, ml]]%</f>
        <v>15.1</v>
      </c>
      <c r="AQ149" s="94">
        <f>Table3.110[[#This Row],[CH4 24h, ml]]/Table3.110[[#This Row],[Net gas 24h, ml]]%</f>
        <v>16.179488489895807</v>
      </c>
      <c r="AR149" s="94">
        <f>Table3.110[[#This Row],[CH4 24h, ml]]/Table3.110[[#This Row],[DM Incubated, mg]]*1000</f>
        <v>13.460635710389223</v>
      </c>
      <c r="AS149" s="94">
        <f>Table3.110[[#This Row],[CH4 24h, ml]]/Table3.110[[#This Row],[Digested feed, mg]]*1000</f>
        <v>49.52286439571359</v>
      </c>
      <c r="AT149" s="94">
        <f>Table3.110[[#This Row],[CH4 24h, ml]]/'3.2 Digest'!AA149</f>
        <v>-0.2941038536726891</v>
      </c>
      <c r="AU149" s="94">
        <f>((Table3.110[[#This Row],[CH4 24h, ml]]/28.9)*16.04)/Table3.110[[#This Row],[DM Incubated, mg]]*1000</f>
        <v>7.4708857022367869</v>
      </c>
      <c r="AV149" s="94">
        <f>((Table3.110[[#This Row],[CH4 24h, ml]]/28.9)*16.04)/Table3.110[[#This Row],[Digested feed, mg]]*1000</f>
        <v>27.486046536582904</v>
      </c>
    </row>
    <row r="150" spans="2:48" s="89" customFormat="1" x14ac:dyDescent="0.35">
      <c r="B150" s="90">
        <f t="shared" si="2"/>
        <v>140</v>
      </c>
      <c r="C150" s="140">
        <v>46043</v>
      </c>
      <c r="D150" s="6" t="s">
        <v>16</v>
      </c>
      <c r="E150" s="6" t="s">
        <v>48</v>
      </c>
      <c r="F150" s="133" t="s">
        <v>19</v>
      </c>
      <c r="G150" s="133" t="s">
        <v>20</v>
      </c>
      <c r="H150" s="133" t="s">
        <v>21</v>
      </c>
      <c r="I150" s="6" t="s">
        <v>22</v>
      </c>
      <c r="J150" s="129" t="s">
        <v>23</v>
      </c>
      <c r="K150" s="129" t="s">
        <v>24</v>
      </c>
      <c r="L150" s="6" t="s">
        <v>47</v>
      </c>
      <c r="M150" s="119">
        <v>27</v>
      </c>
      <c r="N150" s="93">
        <v>59</v>
      </c>
      <c r="O150" s="6">
        <v>2</v>
      </c>
      <c r="P150" s="129">
        <v>3</v>
      </c>
      <c r="Q150" s="6">
        <v>320</v>
      </c>
      <c r="R150" s="98">
        <v>0.50009999999999999</v>
      </c>
      <c r="S150" s="94">
        <f>((Table3.110[[#This Row],[Sample weight, g]]*'2.1. DM'!Q31)/100)*1000</f>
        <v>467.72688378753082</v>
      </c>
      <c r="T150" s="94">
        <f>'3.2 Digest'!W150</f>
        <v>96.926883787530812</v>
      </c>
      <c r="U150" s="153">
        <v>0.36388888888888887</v>
      </c>
      <c r="V150" s="154">
        <v>41</v>
      </c>
      <c r="W150" s="153">
        <v>0.68611111111111112</v>
      </c>
      <c r="X150" s="91">
        <v>67.5</v>
      </c>
      <c r="Y150" s="91">
        <v>14.5</v>
      </c>
      <c r="Z150" s="154">
        <v>40.5</v>
      </c>
      <c r="AA150" s="153">
        <v>0.37777777777777777</v>
      </c>
      <c r="AB150" s="154">
        <v>62</v>
      </c>
      <c r="AC150" s="154">
        <v>17.5</v>
      </c>
      <c r="AD150" s="96"/>
      <c r="AE150" s="94">
        <f>Table3.110[[#This Row],[Gas 8h, ml]]-Table3.110[[#This Row],[Gas 0h, ml]]</f>
        <v>26.5</v>
      </c>
      <c r="AF150" s="94">
        <f>Table3.110[[#This Row],[Gas 24h, ml]]-Table3.110[[#This Row],[V8 Push back, ml]]</f>
        <v>21.5</v>
      </c>
      <c r="AG150" s="94">
        <f>Table3.110[[#This Row],[GP 8h, ml]]-(AVERAGE(AE$116,AE$117,AE$167,AE$166,AE$219,AE$220))*$AG$8</f>
        <v>23.623728042697874</v>
      </c>
      <c r="AH150" s="94">
        <f>Table3.110[[#This Row],[GP 8-24h, ml]]-(AVERAGE(AF$11,AF$12,AF$62,AF$61,AF$114,AF$115))*$AG$8</f>
        <v>17.81247184961266</v>
      </c>
      <c r="AI150" s="94">
        <f>Table3.110[[#This Row],[Net gas 8-24h, ml]]+Table3.110[[#This Row],[Net gas 8h, ml]]</f>
        <v>41.436199892310533</v>
      </c>
      <c r="AJ150" s="94">
        <f>Table3.110[[#This Row],[Net gas 8h, ml]]*Table3.110[[#This Row],[CH4 8h %]]%</f>
        <v>3.4254405661911913</v>
      </c>
      <c r="AK150" s="94">
        <f>Table3.110[[#This Row],[Net gas 8-24h, ml]]*Table3.110[[#This Row],[CH4 24h, %]]%</f>
        <v>3.1171825736822152</v>
      </c>
      <c r="AL150" s="94">
        <f>Table3.110[[#This Row],[CH4 8-24h, ml]]+Table3.110[[#This Row],[CH4 8h, ml]]</f>
        <v>6.542623139873406</v>
      </c>
      <c r="AM150" s="94">
        <f>(Table3.110[[#This Row],[Net gas 24h, ml]]/Table3.110[[#This Row],[DM Incubated, mg]])*1000</f>
        <v>88.590588500645822</v>
      </c>
      <c r="AN150" s="94">
        <f>'3.2 Digest'!X150</f>
        <v>20.722966146962108</v>
      </c>
      <c r="AO150" s="94">
        <f>Table3.110[[#This Row],[Digested feed, mg]]/Table3.110[[#This Row],[Net gas 24h, ml]]</f>
        <v>2.3391837098825725</v>
      </c>
      <c r="AP150" s="94">
        <f>Table3.110[[#This Row],[CH4 8h, ml]]/Table3.110[[#This Row],[Net gas 8h, ml]]%</f>
        <v>14.5</v>
      </c>
      <c r="AQ150" s="94">
        <f>Table3.110[[#This Row],[CH4 24h, ml]]/Table3.110[[#This Row],[Net gas 24h, ml]]%</f>
        <v>15.789631184513</v>
      </c>
      <c r="AR150" s="94">
        <f>Table3.110[[#This Row],[CH4 24h, ml]]/Table3.110[[#This Row],[DM Incubated, mg]]*1000</f>
        <v>13.98812718844156</v>
      </c>
      <c r="AS150" s="94">
        <f>Table3.110[[#This Row],[CH4 24h, ml]]/Table3.110[[#This Row],[Digested feed, mg]]*1000</f>
        <v>67.500603384868995</v>
      </c>
      <c r="AT150" s="94">
        <f>Table3.110[[#This Row],[CH4 24h, ml]]/'3.2 Digest'!AA150</f>
        <v>-0.20326576508933344</v>
      </c>
      <c r="AU150" s="94">
        <f>((Table3.110[[#This Row],[CH4 24h, ml]]/28.9)*16.04)/Table3.110[[#This Row],[DM Incubated, mg]]*1000</f>
        <v>7.7636525987059741</v>
      </c>
      <c r="AV150" s="94">
        <f>((Table3.110[[#This Row],[CH4 24h, ml]]/28.9)*16.04)/Table3.110[[#This Row],[Digested feed, mg]]*1000</f>
        <v>37.46400270911068</v>
      </c>
    </row>
    <row r="151" spans="2:48" s="89" customFormat="1" x14ac:dyDescent="0.35">
      <c r="B151" s="90">
        <f t="shared" si="2"/>
        <v>141</v>
      </c>
      <c r="C151" s="140">
        <v>46043</v>
      </c>
      <c r="D151" s="6" t="s">
        <v>16</v>
      </c>
      <c r="E151" s="6" t="s">
        <v>50</v>
      </c>
      <c r="F151" s="133" t="s">
        <v>19</v>
      </c>
      <c r="G151" s="133" t="s">
        <v>20</v>
      </c>
      <c r="H151" s="133" t="s">
        <v>21</v>
      </c>
      <c r="I151" s="6" t="s">
        <v>22</v>
      </c>
      <c r="J151" s="129" t="s">
        <v>23</v>
      </c>
      <c r="K151" s="129" t="s">
        <v>24</v>
      </c>
      <c r="L151" s="6" t="s">
        <v>49</v>
      </c>
      <c r="M151" s="119">
        <v>27</v>
      </c>
      <c r="N151" s="93">
        <v>59</v>
      </c>
      <c r="O151" s="6">
        <v>2</v>
      </c>
      <c r="P151" s="129">
        <v>1</v>
      </c>
      <c r="Q151" s="6">
        <v>321</v>
      </c>
      <c r="R151" s="98">
        <v>0.50019999999999998</v>
      </c>
      <c r="S151" s="94">
        <f>((Table3.110[[#This Row],[Sample weight, g]]*'2.1. DM'!Q33)/100)*1000</f>
        <v>469.97507216900357</v>
      </c>
      <c r="T151" s="94">
        <f>'3.2 Digest'!W151</f>
        <v>109.57507216900365</v>
      </c>
      <c r="U151" s="117">
        <v>0.36458333333333331</v>
      </c>
      <c r="V151" s="155">
        <v>41</v>
      </c>
      <c r="W151" s="117">
        <v>0.68680555555555556</v>
      </c>
      <c r="X151" s="96">
        <v>63.5</v>
      </c>
      <c r="Y151" s="96">
        <v>15.9</v>
      </c>
      <c r="Z151" s="155">
        <v>40.5</v>
      </c>
      <c r="AA151" s="117">
        <v>0.37847222222222221</v>
      </c>
      <c r="AB151" s="155">
        <v>61</v>
      </c>
      <c r="AC151" s="155">
        <v>19</v>
      </c>
      <c r="AD151" s="91"/>
      <c r="AE151" s="94">
        <f>Table3.110[[#This Row],[Gas 8h, ml]]-Table3.110[[#This Row],[Gas 0h, ml]]</f>
        <v>22.5</v>
      </c>
      <c r="AF151" s="94">
        <f>Table3.110[[#This Row],[Gas 24h, ml]]-Table3.110[[#This Row],[V8 Push back, ml]]</f>
        <v>20.5</v>
      </c>
      <c r="AG151" s="94">
        <f>Table3.110[[#This Row],[GP 8h, ml]]-(AVERAGE(AE$116,AE$117,AE$167,AE$166,AE$219,AE$220))*$AG$8</f>
        <v>19.623728042697874</v>
      </c>
      <c r="AH151" s="94">
        <f>Table3.110[[#This Row],[GP 8-24h, ml]]-(AVERAGE(AF$11,AF$12,AF$62,AF$61,AF$114,AF$115))*$AG$8</f>
        <v>16.81247184961266</v>
      </c>
      <c r="AI151" s="94">
        <f>Table3.110[[#This Row],[Net gas 8-24h, ml]]+Table3.110[[#This Row],[Net gas 8h, ml]]</f>
        <v>36.436199892310533</v>
      </c>
      <c r="AJ151" s="94">
        <f>Table3.110[[#This Row],[Net gas 8h, ml]]*Table3.110[[#This Row],[CH4 8h %]]%</f>
        <v>3.1201727587889621</v>
      </c>
      <c r="AK151" s="94">
        <f>Table3.110[[#This Row],[Net gas 8-24h, ml]]*Table3.110[[#This Row],[CH4 24h, %]]%</f>
        <v>3.1943696514264053</v>
      </c>
      <c r="AL151" s="94">
        <f>Table3.110[[#This Row],[CH4 8-24h, ml]]+Table3.110[[#This Row],[CH4 8h, ml]]</f>
        <v>6.3145424102153669</v>
      </c>
      <c r="AM151" s="94">
        <f>(Table3.110[[#This Row],[Net gas 24h, ml]]/Table3.110[[#This Row],[DM Incubated, mg]])*1000</f>
        <v>77.52794148028353</v>
      </c>
      <c r="AN151" s="94">
        <f>'3.2 Digest'!X151</f>
        <v>23.31508172620703</v>
      </c>
      <c r="AO151" s="94">
        <f>Table3.110[[#This Row],[Digested feed, mg]]/Table3.110[[#This Row],[Net gas 24h, ml]]</f>
        <v>3.0073133996646089</v>
      </c>
      <c r="AP151" s="94">
        <f>Table3.110[[#This Row],[CH4 8h, ml]]/Table3.110[[#This Row],[Net gas 8h, ml]]%</f>
        <v>15.9</v>
      </c>
      <c r="AQ151" s="94">
        <f>Table3.110[[#This Row],[CH4 24h, ml]]/Table3.110[[#This Row],[Net gas 24h, ml]]%</f>
        <v>17.330408848558278</v>
      </c>
      <c r="AR151" s="94">
        <f>Table3.110[[#This Row],[CH4 24h, ml]]/Table3.110[[#This Row],[DM Incubated, mg]]*1000</f>
        <v>13.435909230404139</v>
      </c>
      <c r="AS151" s="94">
        <f>Table3.110[[#This Row],[CH4 24h, ml]]/Table3.110[[#This Row],[Digested feed, mg]]*1000</f>
        <v>57.6275450722597</v>
      </c>
      <c r="AT151" s="94">
        <f>Table3.110[[#This Row],[CH4 24h, ml]]/'3.2 Digest'!AA151</f>
        <v>-0.22747987420093069</v>
      </c>
      <c r="AU151" s="94">
        <f>((Table3.110[[#This Row],[CH4 24h, ml]]/28.9)*16.04)/Table3.110[[#This Row],[DM Incubated, mg]]*1000</f>
        <v>7.4571620780512946</v>
      </c>
      <c r="AV151" s="94">
        <f>((Table3.110[[#This Row],[CH4 24h, ml]]/28.9)*16.04)/Table3.110[[#This Row],[Digested feed, mg]]*1000</f>
        <v>31.984284531454861</v>
      </c>
    </row>
    <row r="152" spans="2:48" s="89" customFormat="1" x14ac:dyDescent="0.35">
      <c r="B152" s="90">
        <f t="shared" si="2"/>
        <v>142</v>
      </c>
      <c r="C152" s="140">
        <v>46043</v>
      </c>
      <c r="D152" s="6" t="s">
        <v>16</v>
      </c>
      <c r="E152" s="6" t="s">
        <v>50</v>
      </c>
      <c r="F152" s="133" t="s">
        <v>19</v>
      </c>
      <c r="G152" s="133" t="s">
        <v>20</v>
      </c>
      <c r="H152" s="133" t="s">
        <v>21</v>
      </c>
      <c r="I152" s="6" t="s">
        <v>22</v>
      </c>
      <c r="J152" s="129" t="s">
        <v>23</v>
      </c>
      <c r="K152" s="129" t="s">
        <v>24</v>
      </c>
      <c r="L152" s="6" t="s">
        <v>49</v>
      </c>
      <c r="M152" s="119">
        <v>27</v>
      </c>
      <c r="N152" s="93">
        <v>59</v>
      </c>
      <c r="O152" s="6">
        <v>2</v>
      </c>
      <c r="P152" s="6">
        <v>2</v>
      </c>
      <c r="Q152" s="6">
        <v>322</v>
      </c>
      <c r="R152" s="98">
        <v>0.50019999999999998</v>
      </c>
      <c r="S152" s="94">
        <f>((Table3.110[[#This Row],[Sample weight, g]]*'2.1. DM'!Q33)/100)*1000</f>
        <v>469.97507216900357</v>
      </c>
      <c r="T152" s="94">
        <f>'3.2 Digest'!W152</f>
        <v>99.375072169003658</v>
      </c>
      <c r="U152" s="153">
        <v>0.36458333333333331</v>
      </c>
      <c r="V152" s="154">
        <v>42</v>
      </c>
      <c r="W152" s="153">
        <v>0.68680555555555556</v>
      </c>
      <c r="X152" s="91">
        <v>67</v>
      </c>
      <c r="Y152" s="91">
        <v>14.4</v>
      </c>
      <c r="Z152" s="154">
        <v>41</v>
      </c>
      <c r="AA152" s="153">
        <v>0.37847222222222221</v>
      </c>
      <c r="AB152" s="154">
        <v>62</v>
      </c>
      <c r="AC152" s="154">
        <v>18.899999999999999</v>
      </c>
      <c r="AD152" s="103"/>
      <c r="AE152" s="94">
        <f>Table3.110[[#This Row],[Gas 8h, ml]]-Table3.110[[#This Row],[Gas 0h, ml]]</f>
        <v>25</v>
      </c>
      <c r="AF152" s="94">
        <f>Table3.110[[#This Row],[Gas 24h, ml]]-Table3.110[[#This Row],[V8 Push back, ml]]</f>
        <v>21</v>
      </c>
      <c r="AG152" s="94">
        <f>Table3.110[[#This Row],[GP 8h, ml]]-(AVERAGE(AE$116,AE$117,AE$167,AE$166,AE$219,AE$220))*$AG$8</f>
        <v>22.123728042697874</v>
      </c>
      <c r="AH152" s="94">
        <f>Table3.110[[#This Row],[GP 8-24h, ml]]-(AVERAGE(AF$11,AF$12,AF$62,AF$61,AF$114,AF$115))*$AG$8</f>
        <v>17.31247184961266</v>
      </c>
      <c r="AI152" s="94">
        <f>Table3.110[[#This Row],[Net gas 8-24h, ml]]+Table3.110[[#This Row],[Net gas 8h, ml]]</f>
        <v>39.436199892310533</v>
      </c>
      <c r="AJ152" s="94">
        <f>Table3.110[[#This Row],[Net gas 8h, ml]]*Table3.110[[#This Row],[CH4 8h %]]%</f>
        <v>3.1858168381484941</v>
      </c>
      <c r="AK152" s="94">
        <f>Table3.110[[#This Row],[Net gas 8-24h, ml]]*Table3.110[[#This Row],[CH4 24h, %]]%</f>
        <v>3.2720571795767923</v>
      </c>
      <c r="AL152" s="94">
        <f>Table3.110[[#This Row],[CH4 8-24h, ml]]+Table3.110[[#This Row],[CH4 8h, ml]]</f>
        <v>6.4578740177252865</v>
      </c>
      <c r="AM152" s="94">
        <f>(Table3.110[[#This Row],[Net gas 24h, ml]]/Table3.110[[#This Row],[DM Incubated, mg]])*1000</f>
        <v>83.911258761675839</v>
      </c>
      <c r="AN152" s="94">
        <f>'3.2 Digest'!X152</f>
        <v>21.144753850533647</v>
      </c>
      <c r="AO152" s="94">
        <f>Table3.110[[#This Row],[Digested feed, mg]]/Table3.110[[#This Row],[Net gas 24h, ml]]</f>
        <v>2.5198947271889729</v>
      </c>
      <c r="AP152" s="94">
        <f>Table3.110[[#This Row],[CH4 8h, ml]]/Table3.110[[#This Row],[Net gas 8h, ml]]%</f>
        <v>14.400000000000002</v>
      </c>
      <c r="AQ152" s="94">
        <f>Table3.110[[#This Row],[CH4 24h, ml]]/Table3.110[[#This Row],[Net gas 24h, ml]]%</f>
        <v>16.375497728888618</v>
      </c>
      <c r="AR152" s="94">
        <f>Table3.110[[#This Row],[CH4 24h, ml]]/Table3.110[[#This Row],[DM Incubated, mg]]*1000</f>
        <v>13.740886272800077</v>
      </c>
      <c r="AS152" s="94">
        <f>Table3.110[[#This Row],[CH4 24h, ml]]/Table3.110[[#This Row],[Digested feed, mg]]*1000</f>
        <v>64.984848581972443</v>
      </c>
      <c r="AT152" s="94">
        <f>Table3.110[[#This Row],[CH4 24h, ml]]/'3.2 Digest'!AA152</f>
        <v>-0.20583194780423889</v>
      </c>
      <c r="AU152" s="94">
        <f>((Table3.110[[#This Row],[CH4 24h, ml]]/28.9)*16.04)/Table3.110[[#This Row],[DM Incubated, mg]]*1000</f>
        <v>7.6264296130004583</v>
      </c>
      <c r="AV152" s="94">
        <f>((Table3.110[[#This Row],[CH4 24h, ml]]/28.9)*16.04)/Table3.110[[#This Row],[Digested feed, mg]]*1000</f>
        <v>36.067715268333494</v>
      </c>
    </row>
    <row r="153" spans="2:48" s="89" customFormat="1" x14ac:dyDescent="0.35">
      <c r="B153" s="90">
        <f t="shared" si="2"/>
        <v>143</v>
      </c>
      <c r="C153" s="140">
        <v>46043</v>
      </c>
      <c r="D153" s="6" t="s">
        <v>16</v>
      </c>
      <c r="E153" s="6" t="s">
        <v>50</v>
      </c>
      <c r="F153" s="133" t="s">
        <v>19</v>
      </c>
      <c r="G153" s="133" t="s">
        <v>20</v>
      </c>
      <c r="H153" s="133" t="s">
        <v>21</v>
      </c>
      <c r="I153" s="6" t="s">
        <v>22</v>
      </c>
      <c r="J153" s="129" t="s">
        <v>23</v>
      </c>
      <c r="K153" s="129" t="s">
        <v>24</v>
      </c>
      <c r="L153" s="6" t="s">
        <v>49</v>
      </c>
      <c r="M153" s="119">
        <v>27</v>
      </c>
      <c r="N153" s="93">
        <v>59</v>
      </c>
      <c r="O153" s="6">
        <v>2</v>
      </c>
      <c r="P153" s="129">
        <v>3</v>
      </c>
      <c r="Q153" s="6">
        <v>323</v>
      </c>
      <c r="R153" s="98">
        <v>0.50019999999999998</v>
      </c>
      <c r="S153" s="94">
        <f>((Table3.110[[#This Row],[Sample weight, g]]*'2.1. DM'!Q33)/100)*1000</f>
        <v>469.97507216900357</v>
      </c>
      <c r="T153" s="94">
        <f>'3.2 Digest'!W153</f>
        <v>90.975072169003568</v>
      </c>
      <c r="U153" s="117">
        <v>0.36527777777777776</v>
      </c>
      <c r="V153" s="155">
        <v>41.5</v>
      </c>
      <c r="W153" s="117">
        <v>0.6875</v>
      </c>
      <c r="X153" s="96">
        <v>68</v>
      </c>
      <c r="Y153" s="96">
        <v>14</v>
      </c>
      <c r="Z153" s="155">
        <v>40.5</v>
      </c>
      <c r="AA153" s="117">
        <v>0.37986111111111109</v>
      </c>
      <c r="AB153" s="155">
        <v>61</v>
      </c>
      <c r="AC153" s="155">
        <v>19.100000000000001</v>
      </c>
      <c r="AD153" s="91"/>
      <c r="AE153" s="94">
        <f>Table3.110[[#This Row],[Gas 8h, ml]]-Table3.110[[#This Row],[Gas 0h, ml]]</f>
        <v>26.5</v>
      </c>
      <c r="AF153" s="94">
        <f>Table3.110[[#This Row],[Gas 24h, ml]]-Table3.110[[#This Row],[V8 Push back, ml]]</f>
        <v>20.5</v>
      </c>
      <c r="AG153" s="94">
        <f>Table3.110[[#This Row],[GP 8h, ml]]-(AVERAGE(AE$116,AE$117,AE$167,AE$166,AE$219,AE$220))*$AG$8</f>
        <v>23.623728042697874</v>
      </c>
      <c r="AH153" s="94">
        <f>Table3.110[[#This Row],[GP 8-24h, ml]]-(AVERAGE(AF$11,AF$12,AF$62,AF$61,AF$114,AF$115))*$AG$8</f>
        <v>16.81247184961266</v>
      </c>
      <c r="AI153" s="94">
        <f>Table3.110[[#This Row],[Net gas 8-24h, ml]]+Table3.110[[#This Row],[Net gas 8h, ml]]</f>
        <v>40.436199892310533</v>
      </c>
      <c r="AJ153" s="94">
        <f>Table3.110[[#This Row],[Net gas 8h, ml]]*Table3.110[[#This Row],[CH4 8h %]]%</f>
        <v>3.3073219259777025</v>
      </c>
      <c r="AK153" s="94">
        <f>Table3.110[[#This Row],[Net gas 8-24h, ml]]*Table3.110[[#This Row],[CH4 24h, %]]%</f>
        <v>3.2111821232760183</v>
      </c>
      <c r="AL153" s="94">
        <f>Table3.110[[#This Row],[CH4 8-24h, ml]]+Table3.110[[#This Row],[CH4 8h, ml]]</f>
        <v>6.5185040492537212</v>
      </c>
      <c r="AM153" s="94">
        <f>(Table3.110[[#This Row],[Net gas 24h, ml]]/Table3.110[[#This Row],[DM Incubated, mg]])*1000</f>
        <v>86.039031188806618</v>
      </c>
      <c r="AN153" s="94">
        <f>'3.2 Digest'!X153</f>
        <v>19.357425011743778</v>
      </c>
      <c r="AO153" s="94">
        <f>Table3.110[[#This Row],[Digested feed, mg]]/Table3.110[[#This Row],[Net gas 24h, ml]]</f>
        <v>2.2498422802164368</v>
      </c>
      <c r="AP153" s="94">
        <f>Table3.110[[#This Row],[CH4 8h, ml]]/Table3.110[[#This Row],[Net gas 8h, ml]]%</f>
        <v>14.000000000000002</v>
      </c>
      <c r="AQ153" s="94">
        <f>Table3.110[[#This Row],[CH4 24h, ml]]/Table3.110[[#This Row],[Net gas 24h, ml]]%</f>
        <v>16.120466479574652</v>
      </c>
      <c r="AR153" s="94">
        <f>Table3.110[[#This Row],[CH4 24h, ml]]/Table3.110[[#This Row],[DM Incubated, mg]]*1000</f>
        <v>13.869893182142349</v>
      </c>
      <c r="AS153" s="94">
        <f>Table3.110[[#This Row],[CH4 24h, ml]]/Table3.110[[#This Row],[Digested feed, mg]]*1000</f>
        <v>71.65154029385495</v>
      </c>
      <c r="AT153" s="94">
        <f>Table3.110[[#This Row],[CH4 24h, ml]]/'3.2 Digest'!AA153</f>
        <v>-0.18975492809822481</v>
      </c>
      <c r="AU153" s="94">
        <f>((Table3.110[[#This Row],[CH4 24h, ml]]/28.9)*16.04)/Table3.110[[#This Row],[DM Incubated, mg]]*1000</f>
        <v>7.698030679638868</v>
      </c>
      <c r="AV153" s="94">
        <f>((Table3.110[[#This Row],[CH4 24h, ml]]/28.9)*16.04)/Table3.110[[#This Row],[Digested feed, mg]]*1000</f>
        <v>39.767844509115342</v>
      </c>
    </row>
    <row r="154" spans="2:48" s="89" customFormat="1" x14ac:dyDescent="0.35">
      <c r="B154" s="90">
        <f t="shared" si="2"/>
        <v>144</v>
      </c>
      <c r="C154" s="140">
        <v>46043</v>
      </c>
      <c r="D154" s="6" t="s">
        <v>16</v>
      </c>
      <c r="E154" s="6" t="s">
        <v>52</v>
      </c>
      <c r="F154" s="133" t="s">
        <v>19</v>
      </c>
      <c r="G154" s="133" t="s">
        <v>20</v>
      </c>
      <c r="H154" s="133" t="s">
        <v>21</v>
      </c>
      <c r="I154" s="6" t="s">
        <v>22</v>
      </c>
      <c r="J154" s="129" t="s">
        <v>23</v>
      </c>
      <c r="K154" s="129" t="s">
        <v>24</v>
      </c>
      <c r="L154" s="6" t="s">
        <v>51</v>
      </c>
      <c r="M154" s="119">
        <v>27</v>
      </c>
      <c r="N154" s="93">
        <v>59</v>
      </c>
      <c r="O154" s="6">
        <v>2</v>
      </c>
      <c r="P154" s="129">
        <v>1</v>
      </c>
      <c r="Q154" s="6">
        <v>324</v>
      </c>
      <c r="R154" s="98">
        <v>0.50029999999999997</v>
      </c>
      <c r="S154" s="94">
        <f>((Table3.110[[#This Row],[Sample weight, g]]*'2.1. DM'!Q35)/100)*1000</f>
        <v>459.56281825702052</v>
      </c>
      <c r="T154" s="94">
        <f>'3.2 Digest'!W154</f>
        <v>140.66281825702055</v>
      </c>
      <c r="U154" s="153">
        <v>0.3659722222222222</v>
      </c>
      <c r="V154" s="154">
        <v>41</v>
      </c>
      <c r="W154" s="153">
        <v>0.6875</v>
      </c>
      <c r="X154" s="91">
        <v>65</v>
      </c>
      <c r="Y154" s="91">
        <v>15.6</v>
      </c>
      <c r="Z154" s="154">
        <v>40.5</v>
      </c>
      <c r="AA154" s="153">
        <v>0.38055555555555554</v>
      </c>
      <c r="AB154" s="154">
        <v>64</v>
      </c>
      <c r="AC154" s="154">
        <v>18.3</v>
      </c>
      <c r="AD154" s="96"/>
      <c r="AE154" s="94">
        <f>Table3.110[[#This Row],[Gas 8h, ml]]-Table3.110[[#This Row],[Gas 0h, ml]]</f>
        <v>24</v>
      </c>
      <c r="AF154" s="94">
        <f>Table3.110[[#This Row],[Gas 24h, ml]]-Table3.110[[#This Row],[V8 Push back, ml]]</f>
        <v>23.5</v>
      </c>
      <c r="AG154" s="94">
        <f>Table3.110[[#This Row],[GP 8h, ml]]-(AVERAGE(AE$116,AE$117,AE$167,AE$166,AE$219,AE$220))*$AG$8</f>
        <v>21.123728042697874</v>
      </c>
      <c r="AH154" s="94">
        <f>Table3.110[[#This Row],[GP 8-24h, ml]]-(AVERAGE(AF$11,AF$12,AF$62,AF$61,AF$114,AF$115))*$AG$8</f>
        <v>19.81247184961266</v>
      </c>
      <c r="AI154" s="94">
        <f>Table3.110[[#This Row],[Net gas 8-24h, ml]]+Table3.110[[#This Row],[Net gas 8h, ml]]</f>
        <v>40.936199892310533</v>
      </c>
      <c r="AJ154" s="94">
        <f>Table3.110[[#This Row],[Net gas 8h, ml]]*Table3.110[[#This Row],[CH4 8h %]]%</f>
        <v>3.2953015746608685</v>
      </c>
      <c r="AK154" s="94">
        <f>Table3.110[[#This Row],[Net gas 8-24h, ml]]*Table3.110[[#This Row],[CH4 24h, %]]%</f>
        <v>3.6256823484791165</v>
      </c>
      <c r="AL154" s="94">
        <f>Table3.110[[#This Row],[CH4 8-24h, ml]]+Table3.110[[#This Row],[CH4 8h, ml]]</f>
        <v>6.9209839231399854</v>
      </c>
      <c r="AM154" s="94">
        <f>(Table3.110[[#This Row],[Net gas 24h, ml]]/Table3.110[[#This Row],[DM Incubated, mg]])*1000</f>
        <v>89.076396666659988</v>
      </c>
      <c r="AN154" s="94">
        <f>'3.2 Digest'!X154</f>
        <v>30.60796319217274</v>
      </c>
      <c r="AO154" s="94">
        <f>Table3.110[[#This Row],[Digested feed, mg]]/Table3.110[[#This Row],[Net gas 24h, ml]]</f>
        <v>3.4361474349611698</v>
      </c>
      <c r="AP154" s="94">
        <f>Table3.110[[#This Row],[CH4 8h, ml]]/Table3.110[[#This Row],[Net gas 8h, ml]]%</f>
        <v>15.600000000000001</v>
      </c>
      <c r="AQ154" s="94">
        <f>Table3.110[[#This Row],[CH4 24h, ml]]/Table3.110[[#This Row],[Net gas 24h, ml]]%</f>
        <v>16.906757201075777</v>
      </c>
      <c r="AR154" s="94">
        <f>Table3.110[[#This Row],[CH4 24h, ml]]/Table3.110[[#This Row],[DM Incubated, mg]]*1000</f>
        <v>15.05993010789936</v>
      </c>
      <c r="AS154" s="94">
        <f>Table3.110[[#This Row],[CH4 24h, ml]]/Table3.110[[#This Row],[Digested feed, mg]]*1000</f>
        <v>49.202653614503106</v>
      </c>
      <c r="AT154" s="94">
        <f>Table3.110[[#This Row],[CH4 24h, ml]]/'3.2 Digest'!AA154</f>
        <v>-0.42613568649828232</v>
      </c>
      <c r="AU154" s="94">
        <f>((Table3.110[[#This Row],[CH4 24h, ml]]/28.9)*16.04)/Table3.110[[#This Row],[DM Incubated, mg]]*1000</f>
        <v>8.3585217623081576</v>
      </c>
      <c r="AV154" s="94">
        <f>((Table3.110[[#This Row],[CH4 24h, ml]]/28.9)*16.04)/Table3.110[[#This Row],[Digested feed, mg]]*1000</f>
        <v>27.308324013032173</v>
      </c>
    </row>
    <row r="155" spans="2:48" s="89" customFormat="1" x14ac:dyDescent="0.35">
      <c r="B155" s="90">
        <f t="shared" si="2"/>
        <v>145</v>
      </c>
      <c r="C155" s="140">
        <v>46043</v>
      </c>
      <c r="D155" s="6" t="s">
        <v>16</v>
      </c>
      <c r="E155" s="6" t="s">
        <v>52</v>
      </c>
      <c r="F155" s="133" t="s">
        <v>19</v>
      </c>
      <c r="G155" s="133" t="s">
        <v>20</v>
      </c>
      <c r="H155" s="133" t="s">
        <v>21</v>
      </c>
      <c r="I155" s="6" t="s">
        <v>22</v>
      </c>
      <c r="J155" s="129" t="s">
        <v>23</v>
      </c>
      <c r="K155" s="129" t="s">
        <v>24</v>
      </c>
      <c r="L155" s="6" t="s">
        <v>51</v>
      </c>
      <c r="M155" s="119">
        <v>27</v>
      </c>
      <c r="N155" s="93">
        <v>59</v>
      </c>
      <c r="O155" s="6">
        <v>2</v>
      </c>
      <c r="P155" s="6">
        <v>2</v>
      </c>
      <c r="Q155" s="6">
        <v>325</v>
      </c>
      <c r="R155" s="98">
        <v>0.5</v>
      </c>
      <c r="S155" s="94">
        <f>((Table3.110[[#This Row],[Sample weight, g]]*'2.1. DM'!Q35)/100)*1000</f>
        <v>459.28724590947485</v>
      </c>
      <c r="T155" s="94">
        <f>'3.2 Digest'!W155</f>
        <v>131.0872459094748</v>
      </c>
      <c r="U155" s="117">
        <v>0.3659722222222222</v>
      </c>
      <c r="V155" s="155">
        <v>41</v>
      </c>
      <c r="W155" s="117">
        <v>0.68819444444444444</v>
      </c>
      <c r="X155" s="96">
        <v>68.5</v>
      </c>
      <c r="Y155" s="96">
        <v>14.6</v>
      </c>
      <c r="Z155" s="155">
        <v>40.5</v>
      </c>
      <c r="AA155" s="117">
        <v>0.38124999999999998</v>
      </c>
      <c r="AB155" s="155">
        <v>64.5</v>
      </c>
      <c r="AC155" s="155">
        <v>18.3</v>
      </c>
      <c r="AD155" s="91"/>
      <c r="AE155" s="94">
        <f>Table3.110[[#This Row],[Gas 8h, ml]]-Table3.110[[#This Row],[Gas 0h, ml]]</f>
        <v>27.5</v>
      </c>
      <c r="AF155" s="94">
        <f>Table3.110[[#This Row],[Gas 24h, ml]]-Table3.110[[#This Row],[V8 Push back, ml]]</f>
        <v>24</v>
      </c>
      <c r="AG155" s="94">
        <f>Table3.110[[#This Row],[GP 8h, ml]]-(AVERAGE(AE$116,AE$117,AE$167,AE$166,AE$219,AE$220))*$AG$8</f>
        <v>24.623728042697874</v>
      </c>
      <c r="AH155" s="94">
        <f>Table3.110[[#This Row],[GP 8-24h, ml]]-(AVERAGE(AF$11,AF$12,AF$62,AF$61,AF$114,AF$115))*$AG$8</f>
        <v>20.31247184961266</v>
      </c>
      <c r="AI155" s="94">
        <f>Table3.110[[#This Row],[Net gas 8-24h, ml]]+Table3.110[[#This Row],[Net gas 8h, ml]]</f>
        <v>44.936199892310533</v>
      </c>
      <c r="AJ155" s="94">
        <f>Table3.110[[#This Row],[Net gas 8h, ml]]*Table3.110[[#This Row],[CH4 8h %]]%</f>
        <v>3.5950642942338895</v>
      </c>
      <c r="AK155" s="94">
        <f>Table3.110[[#This Row],[Net gas 8-24h, ml]]*Table3.110[[#This Row],[CH4 24h, %]]%</f>
        <v>3.7171823484791164</v>
      </c>
      <c r="AL155" s="94">
        <f>Table3.110[[#This Row],[CH4 8-24h, ml]]+Table3.110[[#This Row],[CH4 8h, ml]]</f>
        <v>7.3122466427130064</v>
      </c>
      <c r="AM155" s="94">
        <f>(Table3.110[[#This Row],[Net gas 24h, ml]]/Table3.110[[#This Row],[DM Incubated, mg]])*1000</f>
        <v>97.838989200164775</v>
      </c>
      <c r="AN155" s="94">
        <f>'3.2 Digest'!X155</f>
        <v>28.541451363383164</v>
      </c>
      <c r="AO155" s="94">
        <f>Table3.110[[#This Row],[Digested feed, mg]]/Table3.110[[#This Row],[Net gas 24h, ml]]</f>
        <v>2.917185837334376</v>
      </c>
      <c r="AP155" s="94">
        <f>Table3.110[[#This Row],[CH4 8h, ml]]/Table3.110[[#This Row],[Net gas 8h, ml]]%</f>
        <v>14.6</v>
      </c>
      <c r="AQ155" s="94">
        <f>Table3.110[[#This Row],[CH4 24h, ml]]/Table3.110[[#This Row],[Net gas 24h, ml]]%</f>
        <v>16.272507822728187</v>
      </c>
      <c r="AR155" s="94">
        <f>Table3.110[[#This Row],[CH4 24h, ml]]/Table3.110[[#This Row],[DM Incubated, mg]]*1000</f>
        <v>15.920857171274998</v>
      </c>
      <c r="AS155" s="94">
        <f>Table3.110[[#This Row],[CH4 24h, ml]]/Table3.110[[#This Row],[Digested feed, mg]]*1000</f>
        <v>55.781526204026285</v>
      </c>
      <c r="AT155" s="94">
        <f>Table3.110[[#This Row],[CH4 24h, ml]]/'3.2 Digest'!AA155</f>
        <v>-0.37112424199606064</v>
      </c>
      <c r="AU155" s="94">
        <f>((Table3.110[[#This Row],[CH4 24h, ml]]/28.9)*16.04)/Table3.110[[#This Row],[DM Incubated, mg]]*1000</f>
        <v>8.8363511774135279</v>
      </c>
      <c r="AV155" s="94">
        <f>((Table3.110[[#This Row],[CH4 24h, ml]]/28.9)*16.04)/Table3.110[[#This Row],[Digested feed, mg]]*1000</f>
        <v>30.959712121542616</v>
      </c>
    </row>
    <row r="156" spans="2:48" s="89" customFormat="1" x14ac:dyDescent="0.35">
      <c r="B156" s="90">
        <f t="shared" si="2"/>
        <v>146</v>
      </c>
      <c r="C156" s="140">
        <v>46043</v>
      </c>
      <c r="D156" s="6" t="s">
        <v>16</v>
      </c>
      <c r="E156" s="6" t="s">
        <v>52</v>
      </c>
      <c r="F156" s="133" t="s">
        <v>19</v>
      </c>
      <c r="G156" s="133" t="s">
        <v>20</v>
      </c>
      <c r="H156" s="133" t="s">
        <v>21</v>
      </c>
      <c r="I156" s="6" t="s">
        <v>22</v>
      </c>
      <c r="J156" s="129" t="s">
        <v>23</v>
      </c>
      <c r="K156" s="129" t="s">
        <v>24</v>
      </c>
      <c r="L156" s="6" t="s">
        <v>51</v>
      </c>
      <c r="M156" s="119">
        <v>27</v>
      </c>
      <c r="N156" s="93">
        <v>59</v>
      </c>
      <c r="O156" s="6">
        <v>2</v>
      </c>
      <c r="P156" s="129">
        <v>3</v>
      </c>
      <c r="Q156" s="6">
        <v>326</v>
      </c>
      <c r="R156" s="98">
        <v>0.5</v>
      </c>
      <c r="S156" s="94">
        <f>((Table3.110[[#This Row],[Sample weight, g]]*'2.1. DM'!Q35)/100)*1000</f>
        <v>459.28724590947485</v>
      </c>
      <c r="T156" s="94">
        <f>'3.2 Digest'!W156</f>
        <v>82.887245909474871</v>
      </c>
      <c r="U156" s="153">
        <v>0.36666666666666664</v>
      </c>
      <c r="V156" s="154">
        <v>40.5</v>
      </c>
      <c r="W156" s="153">
        <v>0.68888888888888888</v>
      </c>
      <c r="X156" s="91">
        <v>65.5</v>
      </c>
      <c r="Y156" s="91">
        <v>15.5</v>
      </c>
      <c r="Z156" s="154">
        <v>40.5</v>
      </c>
      <c r="AA156" s="153">
        <v>0.38124999999999998</v>
      </c>
      <c r="AB156" s="154">
        <v>65.5</v>
      </c>
      <c r="AC156" s="154">
        <v>18.399999999999999</v>
      </c>
      <c r="AD156" s="96"/>
      <c r="AE156" s="94">
        <f>Table3.110[[#This Row],[Gas 8h, ml]]-Table3.110[[#This Row],[Gas 0h, ml]]</f>
        <v>25</v>
      </c>
      <c r="AF156" s="94">
        <f>Table3.110[[#This Row],[Gas 24h, ml]]-Table3.110[[#This Row],[V8 Push back, ml]]</f>
        <v>25</v>
      </c>
      <c r="AG156" s="94">
        <f>Table3.110[[#This Row],[GP 8h, ml]]-(AVERAGE(AE$116,AE$117,AE$167,AE$166,AE$219,AE$220))*$AG$8</f>
        <v>22.123728042697874</v>
      </c>
      <c r="AH156" s="94">
        <f>Table3.110[[#This Row],[GP 8-24h, ml]]-(AVERAGE(AF$11,AF$12,AF$62,AF$61,AF$114,AF$115))*$AG$8</f>
        <v>21.31247184961266</v>
      </c>
      <c r="AI156" s="94">
        <f>Table3.110[[#This Row],[Net gas 8-24h, ml]]+Table3.110[[#This Row],[Net gas 8h, ml]]</f>
        <v>43.436199892310533</v>
      </c>
      <c r="AJ156" s="94">
        <f>Table3.110[[#This Row],[Net gas 8h, ml]]*Table3.110[[#This Row],[CH4 8h %]]%</f>
        <v>3.4291778466181704</v>
      </c>
      <c r="AK156" s="94">
        <f>Table3.110[[#This Row],[Net gas 8-24h, ml]]*Table3.110[[#This Row],[CH4 24h, %]]%</f>
        <v>3.9214948203287294</v>
      </c>
      <c r="AL156" s="94">
        <f>Table3.110[[#This Row],[CH4 8-24h, ml]]+Table3.110[[#This Row],[CH4 8h, ml]]</f>
        <v>7.3506726669468998</v>
      </c>
      <c r="AM156" s="94">
        <f>(Table3.110[[#This Row],[Net gas 24h, ml]]/Table3.110[[#This Row],[DM Incubated, mg]])*1000</f>
        <v>94.573059189350474</v>
      </c>
      <c r="AN156" s="94">
        <f>'3.2 Digest'!X156</f>
        <v>18.046929595299904</v>
      </c>
      <c r="AO156" s="94">
        <f>Table3.110[[#This Row],[Digested feed, mg]]/Table3.110[[#This Row],[Net gas 24h, ml]]</f>
        <v>1.9082527043105426</v>
      </c>
      <c r="AP156" s="94">
        <f>Table3.110[[#This Row],[CH4 8h, ml]]/Table3.110[[#This Row],[Net gas 8h, ml]]%</f>
        <v>15.5</v>
      </c>
      <c r="AQ156" s="94">
        <f>Table3.110[[#This Row],[CH4 24h, ml]]/Table3.110[[#This Row],[Net gas 24h, ml]]%</f>
        <v>16.922918407160619</v>
      </c>
      <c r="AR156" s="94">
        <f>Table3.110[[#This Row],[CH4 24h, ml]]/Table3.110[[#This Row],[DM Incubated, mg]]*1000</f>
        <v>16.0045216417695</v>
      </c>
      <c r="AS156" s="94">
        <f>Table3.110[[#This Row],[CH4 24h, ml]]/Table3.110[[#This Row],[Digested feed, mg]]*1000</f>
        <v>88.682795360035513</v>
      </c>
      <c r="AT156" s="94">
        <f>Table3.110[[#This Row],[CH4 24h, ml]]/'3.2 Digest'!AA156</f>
        <v>-0.19716021431127381</v>
      </c>
      <c r="AU156" s="94">
        <f>((Table3.110[[#This Row],[CH4 24h, ml]]/28.9)*16.04)/Table3.110[[#This Row],[DM Incubated, mg]]*1000</f>
        <v>8.8827864060201644</v>
      </c>
      <c r="AV156" s="94">
        <f>((Table3.110[[#This Row],[CH4 24h, ml]]/28.9)*16.04)/Table3.110[[#This Row],[Digested feed, mg]]*1000</f>
        <v>49.220485729237701</v>
      </c>
    </row>
    <row r="157" spans="2:48" s="89" customFormat="1" x14ac:dyDescent="0.35">
      <c r="B157" s="90">
        <f t="shared" si="2"/>
        <v>147</v>
      </c>
      <c r="C157" s="140">
        <v>46043</v>
      </c>
      <c r="D157" s="6" t="s">
        <v>16</v>
      </c>
      <c r="E157" s="6" t="s">
        <v>54</v>
      </c>
      <c r="F157" s="133" t="s">
        <v>19</v>
      </c>
      <c r="G157" s="133" t="s">
        <v>20</v>
      </c>
      <c r="H157" s="133" t="s">
        <v>21</v>
      </c>
      <c r="I157" s="6" t="s">
        <v>22</v>
      </c>
      <c r="J157" s="129" t="s">
        <v>23</v>
      </c>
      <c r="K157" s="129" t="s">
        <v>24</v>
      </c>
      <c r="L157" s="6" t="s">
        <v>53</v>
      </c>
      <c r="M157" s="119">
        <v>27</v>
      </c>
      <c r="N157" s="93">
        <v>59</v>
      </c>
      <c r="O157" s="6">
        <v>2</v>
      </c>
      <c r="P157" s="129">
        <v>1</v>
      </c>
      <c r="Q157" s="6">
        <v>327</v>
      </c>
      <c r="R157" s="98">
        <v>0.50039999999999996</v>
      </c>
      <c r="S157" s="94">
        <f>((Table3.110[[#This Row],[Sample weight, g]]*'2.1. DM'!Q37)/100)*1000</f>
        <v>473.93409289282039</v>
      </c>
      <c r="T157" s="94">
        <f>'3.2 Digest'!W157</f>
        <v>140.53409289282035</v>
      </c>
      <c r="U157" s="117">
        <v>0.36666666666666664</v>
      </c>
      <c r="V157" s="155">
        <v>41</v>
      </c>
      <c r="W157" s="117">
        <v>0.68888888888888888</v>
      </c>
      <c r="X157" s="96">
        <v>69.5</v>
      </c>
      <c r="Y157" s="96">
        <v>15.2</v>
      </c>
      <c r="Z157" s="155">
        <v>40.5</v>
      </c>
      <c r="AA157" s="117">
        <v>0.38194444444444442</v>
      </c>
      <c r="AB157" s="155">
        <v>67.5</v>
      </c>
      <c r="AC157" s="155">
        <v>17.5</v>
      </c>
      <c r="AD157" s="91"/>
      <c r="AE157" s="94">
        <f>Table3.110[[#This Row],[Gas 8h, ml]]-Table3.110[[#This Row],[Gas 0h, ml]]</f>
        <v>28.5</v>
      </c>
      <c r="AF157" s="94">
        <f>Table3.110[[#This Row],[Gas 24h, ml]]-Table3.110[[#This Row],[V8 Push back, ml]]</f>
        <v>27</v>
      </c>
      <c r="AG157" s="94">
        <f>Table3.110[[#This Row],[GP 8h, ml]]-(AVERAGE(AE$116,AE$117,AE$167,AE$166,AE$219,AE$220))*$AG$8</f>
        <v>25.623728042697874</v>
      </c>
      <c r="AH157" s="94">
        <f>Table3.110[[#This Row],[GP 8-24h, ml]]-(AVERAGE(AF$11,AF$12,AF$62,AF$61,AF$114,AF$115))*$AG$8</f>
        <v>23.31247184961266</v>
      </c>
      <c r="AI157" s="94">
        <f>Table3.110[[#This Row],[Net gas 8-24h, ml]]+Table3.110[[#This Row],[Net gas 8h, ml]]</f>
        <v>48.936199892310533</v>
      </c>
      <c r="AJ157" s="94">
        <f>Table3.110[[#This Row],[Net gas 8h, ml]]*Table3.110[[#This Row],[CH4 8h %]]%</f>
        <v>3.8948066624900766</v>
      </c>
      <c r="AK157" s="94">
        <f>Table3.110[[#This Row],[Net gas 8-24h, ml]]*Table3.110[[#This Row],[CH4 24h, %]]%</f>
        <v>4.0796825736822155</v>
      </c>
      <c r="AL157" s="94">
        <f>Table3.110[[#This Row],[CH4 8-24h, ml]]+Table3.110[[#This Row],[CH4 8h, ml]]</f>
        <v>7.9744892361722926</v>
      </c>
      <c r="AM157" s="94">
        <f>(Table3.110[[#This Row],[Net gas 24h, ml]]/Table3.110[[#This Row],[DM Incubated, mg]])*1000</f>
        <v>103.2552851254307</v>
      </c>
      <c r="AN157" s="94">
        <f>'3.2 Digest'!X157</f>
        <v>29.652665845375669</v>
      </c>
      <c r="AO157" s="94">
        <f>Table3.110[[#This Row],[Digested feed, mg]]/Table3.110[[#This Row],[Net gas 24h, ml]]</f>
        <v>2.871781895653545</v>
      </c>
      <c r="AP157" s="94">
        <f>Table3.110[[#This Row],[CH4 8h, ml]]/Table3.110[[#This Row],[Net gas 8h, ml]]%</f>
        <v>15.2</v>
      </c>
      <c r="AQ157" s="94">
        <f>Table3.110[[#This Row],[CH4 24h, ml]]/Table3.110[[#This Row],[Net gas 24h, ml]]%</f>
        <v>16.295685512403967</v>
      </c>
      <c r="AR157" s="94">
        <f>Table3.110[[#This Row],[CH4 24h, ml]]/Table3.110[[#This Row],[DM Incubated, mg]]*1000</f>
        <v>16.826156538976221</v>
      </c>
      <c r="AS157" s="94">
        <f>Table3.110[[#This Row],[CH4 24h, ml]]/Table3.110[[#This Row],[Digested feed, mg]]*1000</f>
        <v>56.744161306496011</v>
      </c>
      <c r="AT157" s="94">
        <f>Table3.110[[#This Row],[CH4 24h, ml]]/'3.2 Digest'!AA157</f>
        <v>-0.44721508855039227</v>
      </c>
      <c r="AU157" s="94">
        <f>((Table3.110[[#This Row],[CH4 24h, ml]]/28.9)*16.04)/Table3.110[[#This Row],[DM Incubated, mg]]*1000</f>
        <v>9.3388079891065239</v>
      </c>
      <c r="AV157" s="94">
        <f>((Table3.110[[#This Row],[CH4 24h, ml]]/28.9)*16.04)/Table3.110[[#This Row],[Digested feed, mg]]*1000</f>
        <v>31.493991257999856</v>
      </c>
    </row>
    <row r="158" spans="2:48" s="89" customFormat="1" x14ac:dyDescent="0.35">
      <c r="B158" s="90">
        <f t="shared" si="2"/>
        <v>148</v>
      </c>
      <c r="C158" s="140">
        <v>46043</v>
      </c>
      <c r="D158" s="6" t="s">
        <v>16</v>
      </c>
      <c r="E158" s="6" t="s">
        <v>54</v>
      </c>
      <c r="F158" s="133" t="s">
        <v>19</v>
      </c>
      <c r="G158" s="133" t="s">
        <v>20</v>
      </c>
      <c r="H158" s="133" t="s">
        <v>21</v>
      </c>
      <c r="I158" s="6" t="s">
        <v>22</v>
      </c>
      <c r="J158" s="129" t="s">
        <v>23</v>
      </c>
      <c r="K158" s="129" t="s">
        <v>24</v>
      </c>
      <c r="L158" s="6" t="s">
        <v>53</v>
      </c>
      <c r="M158" s="119">
        <v>27</v>
      </c>
      <c r="N158" s="93">
        <v>59</v>
      </c>
      <c r="O158" s="6">
        <v>2</v>
      </c>
      <c r="P158" s="6">
        <v>2</v>
      </c>
      <c r="Q158" s="6">
        <v>328</v>
      </c>
      <c r="R158" s="98">
        <v>0.5</v>
      </c>
      <c r="S158" s="94">
        <f>((Table3.110[[#This Row],[Sample weight, g]]*'2.1. DM'!Q37)/100)*1000</f>
        <v>473.55524869386534</v>
      </c>
      <c r="T158" s="94">
        <f>'3.2 Digest'!W158</f>
        <v>211.55524869386534</v>
      </c>
      <c r="U158" s="153">
        <v>0.36736111111111114</v>
      </c>
      <c r="V158" s="154">
        <v>40.5</v>
      </c>
      <c r="W158" s="153">
        <v>0.68958333333333333</v>
      </c>
      <c r="X158" s="91">
        <v>68</v>
      </c>
      <c r="Y158" s="91">
        <v>15</v>
      </c>
      <c r="Z158" s="154">
        <v>40.5</v>
      </c>
      <c r="AA158" s="153">
        <v>0.38263888888888886</v>
      </c>
      <c r="AB158" s="154">
        <v>66.5</v>
      </c>
      <c r="AC158" s="154">
        <v>17.8</v>
      </c>
      <c r="AD158" s="96"/>
      <c r="AE158" s="94">
        <f>Table3.110[[#This Row],[Gas 8h, ml]]-Table3.110[[#This Row],[Gas 0h, ml]]</f>
        <v>27.5</v>
      </c>
      <c r="AF158" s="94">
        <f>Table3.110[[#This Row],[Gas 24h, ml]]-Table3.110[[#This Row],[V8 Push back, ml]]</f>
        <v>26</v>
      </c>
      <c r="AG158" s="94">
        <f>Table3.110[[#This Row],[GP 8h, ml]]-(AVERAGE(AE$116,AE$117,AE$167,AE$166,AE$219,AE$220))*$AG$8</f>
        <v>24.623728042697874</v>
      </c>
      <c r="AH158" s="94">
        <f>Table3.110[[#This Row],[GP 8-24h, ml]]-(AVERAGE(AF$11,AF$12,AF$62,AF$61,AF$114,AF$115))*$AG$8</f>
        <v>22.31247184961266</v>
      </c>
      <c r="AI158" s="94">
        <f>Table3.110[[#This Row],[Net gas 8-24h, ml]]+Table3.110[[#This Row],[Net gas 8h, ml]]</f>
        <v>46.936199892310533</v>
      </c>
      <c r="AJ158" s="94">
        <f>Table3.110[[#This Row],[Net gas 8h, ml]]*Table3.110[[#This Row],[CH4 8h %]]%</f>
        <v>3.6935592064046809</v>
      </c>
      <c r="AK158" s="94">
        <f>Table3.110[[#This Row],[Net gas 8-24h, ml]]*Table3.110[[#This Row],[CH4 24h, %]]%</f>
        <v>3.971619989231054</v>
      </c>
      <c r="AL158" s="94">
        <f>Table3.110[[#This Row],[CH4 8-24h, ml]]+Table3.110[[#This Row],[CH4 8h, ml]]</f>
        <v>7.6651791956357354</v>
      </c>
      <c r="AM158" s="94">
        <f>(Table3.110[[#This Row],[Net gas 24h, ml]]/Table3.110[[#This Row],[DM Incubated, mg]])*1000</f>
        <v>99.11451730662354</v>
      </c>
      <c r="AN158" s="94">
        <f>'3.2 Digest'!X158</f>
        <v>44.673826185511757</v>
      </c>
      <c r="AO158" s="94">
        <f>Table3.110[[#This Row],[Digested feed, mg]]/Table3.110[[#This Row],[Net gas 24h, ml]]</f>
        <v>4.5072939262073497</v>
      </c>
      <c r="AP158" s="94">
        <f>Table3.110[[#This Row],[CH4 8h, ml]]/Table3.110[[#This Row],[Net gas 8h, ml]]%</f>
        <v>15</v>
      </c>
      <c r="AQ158" s="94">
        <f>Table3.110[[#This Row],[CH4 24h, ml]]/Table3.110[[#This Row],[Net gas 24h, ml]]%</f>
        <v>16.331060488967083</v>
      </c>
      <c r="AR158" s="94">
        <f>Table3.110[[#This Row],[CH4 24h, ml]]/Table3.110[[#This Row],[DM Incubated, mg]]*1000</f>
        <v>16.186451774692436</v>
      </c>
      <c r="AS158" s="94">
        <f>Table3.110[[#This Row],[CH4 24h, ml]]/Table3.110[[#This Row],[Digested feed, mg]]*1000</f>
        <v>36.232517240580336</v>
      </c>
      <c r="AT158" s="94">
        <f>Table3.110[[#This Row],[CH4 24h, ml]]/'3.2 Digest'!AA158</f>
        <v>1.0458797713908423</v>
      </c>
      <c r="AU158" s="94">
        <f>((Table3.110[[#This Row],[CH4 24h, ml]]/28.9)*16.04)/Table3.110[[#This Row],[DM Incubated, mg]]*1000</f>
        <v>8.9837607773725487</v>
      </c>
      <c r="AV158" s="94">
        <f>((Table3.110[[#This Row],[CH4 24h, ml]]/28.9)*16.04)/Table3.110[[#This Row],[Digested feed, mg]]*1000</f>
        <v>20.109673928681953</v>
      </c>
    </row>
    <row r="159" spans="2:48" s="89" customFormat="1" x14ac:dyDescent="0.35">
      <c r="B159" s="90">
        <f t="shared" si="2"/>
        <v>149</v>
      </c>
      <c r="C159" s="140">
        <v>46043</v>
      </c>
      <c r="D159" s="6" t="s">
        <v>16</v>
      </c>
      <c r="E159" s="6" t="s">
        <v>54</v>
      </c>
      <c r="F159" s="133" t="s">
        <v>19</v>
      </c>
      <c r="G159" s="133" t="s">
        <v>20</v>
      </c>
      <c r="H159" s="133" t="s">
        <v>21</v>
      </c>
      <c r="I159" s="6" t="s">
        <v>22</v>
      </c>
      <c r="J159" s="129" t="s">
        <v>23</v>
      </c>
      <c r="K159" s="129" t="s">
        <v>24</v>
      </c>
      <c r="L159" s="6" t="s">
        <v>53</v>
      </c>
      <c r="M159" s="119">
        <v>27</v>
      </c>
      <c r="N159" s="93">
        <v>59</v>
      </c>
      <c r="O159" s="6">
        <v>2</v>
      </c>
      <c r="P159" s="129">
        <v>3</v>
      </c>
      <c r="Q159" s="6">
        <v>329</v>
      </c>
      <c r="R159" s="98">
        <v>0.50049999999999994</v>
      </c>
      <c r="S159" s="94">
        <f>((Table3.110[[#This Row],[Sample weight, g]]*'2.1. DM'!Q37)/100)*1000</f>
        <v>474.02880394255914</v>
      </c>
      <c r="T159" s="94">
        <f>'3.2 Digest'!W159</f>
        <v>149.52880394255914</v>
      </c>
      <c r="U159" s="117">
        <v>0.36736111111111114</v>
      </c>
      <c r="V159" s="155">
        <v>40.5</v>
      </c>
      <c r="W159" s="117">
        <v>0.68958333333333333</v>
      </c>
      <c r="X159" s="96">
        <v>67.5</v>
      </c>
      <c r="Y159" s="96">
        <v>16.3</v>
      </c>
      <c r="Z159" s="155">
        <v>40.5</v>
      </c>
      <c r="AA159" s="117">
        <v>0.38333333333333336</v>
      </c>
      <c r="AB159" s="155">
        <v>68</v>
      </c>
      <c r="AC159" s="155">
        <v>17.8</v>
      </c>
      <c r="AD159" s="91"/>
      <c r="AE159" s="94">
        <f>Table3.110[[#This Row],[Gas 8h, ml]]-Table3.110[[#This Row],[Gas 0h, ml]]</f>
        <v>27</v>
      </c>
      <c r="AF159" s="94">
        <f>Table3.110[[#This Row],[Gas 24h, ml]]-Table3.110[[#This Row],[V8 Push back, ml]]</f>
        <v>27.5</v>
      </c>
      <c r="AG159" s="94">
        <f>Table3.110[[#This Row],[GP 8h, ml]]-(AVERAGE(AE$116,AE$117,AE$167,AE$166,AE$219,AE$220))*$AG$8</f>
        <v>24.123728042697874</v>
      </c>
      <c r="AH159" s="94">
        <f>Table3.110[[#This Row],[GP 8-24h, ml]]-(AVERAGE(AF$11,AF$12,AF$62,AF$61,AF$114,AF$115))*$AG$8</f>
        <v>23.81247184961266</v>
      </c>
      <c r="AI159" s="94">
        <f>Table3.110[[#This Row],[Net gas 8-24h, ml]]+Table3.110[[#This Row],[Net gas 8h, ml]]</f>
        <v>47.936199892310533</v>
      </c>
      <c r="AJ159" s="94">
        <f>Table3.110[[#This Row],[Net gas 8h, ml]]*Table3.110[[#This Row],[CH4 8h %]]%</f>
        <v>3.9321676709597537</v>
      </c>
      <c r="AK159" s="94">
        <f>Table3.110[[#This Row],[Net gas 8-24h, ml]]*Table3.110[[#This Row],[CH4 24h, %]]%</f>
        <v>4.2386199892310543</v>
      </c>
      <c r="AL159" s="94">
        <f>Table3.110[[#This Row],[CH4 8-24h, ml]]+Table3.110[[#This Row],[CH4 8h, ml]]</f>
        <v>8.1707876601908076</v>
      </c>
      <c r="AM159" s="94">
        <f>(Table3.110[[#This Row],[Net gas 24h, ml]]/Table3.110[[#This Row],[DM Incubated, mg]])*1000</f>
        <v>101.12507825182549</v>
      </c>
      <c r="AN159" s="94">
        <f>'3.2 Digest'!X159</f>
        <v>31.544244294631181</v>
      </c>
      <c r="AO159" s="94">
        <f>Table3.110[[#This Row],[Digested feed, mg]]/Table3.110[[#This Row],[Net gas 24h, ml]]</f>
        <v>3.1193295313036509</v>
      </c>
      <c r="AP159" s="94">
        <f>Table3.110[[#This Row],[CH4 8h, ml]]/Table3.110[[#This Row],[Net gas 8h, ml]]%</f>
        <v>16.3</v>
      </c>
      <c r="AQ159" s="94">
        <f>Table3.110[[#This Row],[CH4 24h, ml]]/Table3.110[[#This Row],[Net gas 24h, ml]]%</f>
        <v>17.045130149128671</v>
      </c>
      <c r="AR159" s="94">
        <f>Table3.110[[#This Row],[CH4 24h, ml]]/Table3.110[[#This Row],[DM Incubated, mg]]*1000</f>
        <v>17.236901201431866</v>
      </c>
      <c r="AS159" s="94">
        <f>Table3.110[[#This Row],[CH4 24h, ml]]/Table3.110[[#This Row],[Digested feed, mg]]*1000</f>
        <v>54.643569966155695</v>
      </c>
      <c r="AT159" s="94">
        <f>Table3.110[[#This Row],[CH4 24h, ml]]/'3.2 Digest'!AA159</f>
        <v>-0.557236346189521</v>
      </c>
      <c r="AU159" s="94">
        <f>((Table3.110[[#This Row],[CH4 24h, ml]]/28.9)*16.04)/Table3.110[[#This Row],[DM Incubated, mg]]*1000</f>
        <v>9.5667783830784465</v>
      </c>
      <c r="AV159" s="94">
        <f>((Table3.110[[#This Row],[CH4 24h, ml]]/28.9)*16.04)/Table3.110[[#This Row],[Digested feed, mg]]*1000</f>
        <v>30.328126721700254</v>
      </c>
    </row>
    <row r="160" spans="2:48" s="89" customFormat="1" x14ac:dyDescent="0.35">
      <c r="B160" s="90">
        <f t="shared" si="2"/>
        <v>150</v>
      </c>
      <c r="C160" s="140">
        <v>46043</v>
      </c>
      <c r="D160" s="6" t="s">
        <v>16</v>
      </c>
      <c r="E160" s="6" t="s">
        <v>56</v>
      </c>
      <c r="F160" s="133" t="s">
        <v>19</v>
      </c>
      <c r="G160" s="133" t="s">
        <v>20</v>
      </c>
      <c r="H160" s="133" t="s">
        <v>21</v>
      </c>
      <c r="I160" s="6" t="s">
        <v>22</v>
      </c>
      <c r="J160" s="129" t="s">
        <v>23</v>
      </c>
      <c r="K160" s="129" t="s">
        <v>24</v>
      </c>
      <c r="L160" s="6" t="s">
        <v>55</v>
      </c>
      <c r="M160" s="119">
        <v>27</v>
      </c>
      <c r="N160" s="93">
        <v>59</v>
      </c>
      <c r="O160" s="6">
        <v>2</v>
      </c>
      <c r="P160" s="129">
        <v>1</v>
      </c>
      <c r="Q160" s="6">
        <v>330</v>
      </c>
      <c r="R160" s="98">
        <v>0.5</v>
      </c>
      <c r="S160" s="94">
        <f>((Table3.110[[#This Row],[Sample weight, g]]*'2.1. DM'!Q39)/100)*1000</f>
        <v>475.60975609756059</v>
      </c>
      <c r="T160" s="94">
        <f>'3.2 Digest'!W160</f>
        <v>114.00975609756057</v>
      </c>
      <c r="U160" s="153">
        <v>0.36805555555555558</v>
      </c>
      <c r="V160" s="154">
        <v>41.5</v>
      </c>
      <c r="W160" s="153">
        <v>0.69027777777777777</v>
      </c>
      <c r="X160" s="91">
        <v>69</v>
      </c>
      <c r="Y160" s="91">
        <v>14.4</v>
      </c>
      <c r="Z160" s="154">
        <v>40.5</v>
      </c>
      <c r="AA160" s="153">
        <v>0.38333333333333336</v>
      </c>
      <c r="AB160" s="154">
        <v>66</v>
      </c>
      <c r="AC160" s="154">
        <v>17.8</v>
      </c>
      <c r="AD160" s="96"/>
      <c r="AE160" s="94">
        <f>Table3.110[[#This Row],[Gas 8h, ml]]-Table3.110[[#This Row],[Gas 0h, ml]]</f>
        <v>27.5</v>
      </c>
      <c r="AF160" s="94">
        <f>Table3.110[[#This Row],[Gas 24h, ml]]-Table3.110[[#This Row],[V8 Push back, ml]]</f>
        <v>25.5</v>
      </c>
      <c r="AG160" s="94">
        <f>Table3.110[[#This Row],[GP 8h, ml]]-(AVERAGE(AE$116,AE$117,AE$167,AE$166,AE$219,AE$220))*$AG$8</f>
        <v>24.623728042697874</v>
      </c>
      <c r="AH160" s="94">
        <f>Table3.110[[#This Row],[GP 8-24h, ml]]-(AVERAGE(AF$11,AF$12,AF$62,AF$61,AF$114,AF$115))*$AG$8</f>
        <v>21.81247184961266</v>
      </c>
      <c r="AI160" s="94">
        <f>Table3.110[[#This Row],[Net gas 8-24h, ml]]+Table3.110[[#This Row],[Net gas 8h, ml]]</f>
        <v>46.436199892310533</v>
      </c>
      <c r="AJ160" s="94">
        <f>Table3.110[[#This Row],[Net gas 8h, ml]]*Table3.110[[#This Row],[CH4 8h %]]%</f>
        <v>3.545816838148494</v>
      </c>
      <c r="AK160" s="94">
        <f>Table3.110[[#This Row],[Net gas 8-24h, ml]]*Table3.110[[#This Row],[CH4 24h, %]]%</f>
        <v>3.882619989231054</v>
      </c>
      <c r="AL160" s="94">
        <f>Table3.110[[#This Row],[CH4 8-24h, ml]]+Table3.110[[#This Row],[CH4 8h, ml]]</f>
        <v>7.4284368273795476</v>
      </c>
      <c r="AM160" s="94">
        <f>(Table3.110[[#This Row],[Net gas 24h, ml]]/Table3.110[[#This Row],[DM Incubated, mg]])*1000</f>
        <v>97.635086953063251</v>
      </c>
      <c r="AN160" s="94">
        <f>'3.2 Digest'!X160</f>
        <v>23.971282051281985</v>
      </c>
      <c r="AO160" s="94">
        <f>Table3.110[[#This Row],[Digested feed, mg]]/Table3.110[[#This Row],[Net gas 24h, ml]]</f>
        <v>2.4551913455872536</v>
      </c>
      <c r="AP160" s="94">
        <f>Table3.110[[#This Row],[CH4 8h, ml]]/Table3.110[[#This Row],[Net gas 8h, ml]]%</f>
        <v>14.4</v>
      </c>
      <c r="AQ160" s="94">
        <f>Table3.110[[#This Row],[CH4 24h, ml]]/Table3.110[[#This Row],[Net gas 24h, ml]]%</f>
        <v>15.997081683270206</v>
      </c>
      <c r="AR160" s="94">
        <f>Table3.110[[#This Row],[CH4 24h, ml]]/Table3.110[[#This Row],[DM Incubated, mg]]*1000</f>
        <v>15.61876461141342</v>
      </c>
      <c r="AS160" s="94">
        <f>Table3.110[[#This Row],[CH4 24h, ml]]/Table3.110[[#This Row],[Digested feed, mg]]*1000</f>
        <v>65.156150505425842</v>
      </c>
      <c r="AT160" s="94">
        <f>Table3.110[[#This Row],[CH4 24h, ml]]/'3.2 Digest'!AA160</f>
        <v>-0.26601582067230617</v>
      </c>
      <c r="AU160" s="94">
        <f>((Table3.110[[#This Row],[CH4 24h, ml]]/28.9)*16.04)/Table3.110[[#This Row],[DM Incubated, mg]]*1000</f>
        <v>8.6686845801754746</v>
      </c>
      <c r="AV160" s="94">
        <f>((Table3.110[[#This Row],[CH4 24h, ml]]/28.9)*16.04)/Table3.110[[#This Row],[Digested feed, mg]]*1000</f>
        <v>36.162790799551225</v>
      </c>
    </row>
    <row r="161" spans="2:49" s="89" customFormat="1" x14ac:dyDescent="0.35">
      <c r="B161" s="90">
        <f t="shared" si="2"/>
        <v>151</v>
      </c>
      <c r="C161" s="140">
        <v>46043</v>
      </c>
      <c r="D161" s="6" t="s">
        <v>16</v>
      </c>
      <c r="E161" s="6" t="s">
        <v>56</v>
      </c>
      <c r="F161" s="133" t="s">
        <v>19</v>
      </c>
      <c r="G161" s="133" t="s">
        <v>20</v>
      </c>
      <c r="H161" s="133" t="s">
        <v>21</v>
      </c>
      <c r="I161" s="6" t="s">
        <v>22</v>
      </c>
      <c r="J161" s="129" t="s">
        <v>23</v>
      </c>
      <c r="K161" s="129" t="s">
        <v>24</v>
      </c>
      <c r="L161" s="6" t="s">
        <v>55</v>
      </c>
      <c r="M161" s="119">
        <v>27</v>
      </c>
      <c r="N161" s="93">
        <v>59</v>
      </c>
      <c r="O161" s="6">
        <v>2</v>
      </c>
      <c r="P161" s="6">
        <v>2</v>
      </c>
      <c r="Q161" s="6">
        <v>331</v>
      </c>
      <c r="R161" s="98">
        <v>0.50009999999999999</v>
      </c>
      <c r="S161" s="94">
        <f>((Table3.110[[#This Row],[Sample weight, g]]*'2.1. DM'!Q39)/100)*1000</f>
        <v>475.70487804878002</v>
      </c>
      <c r="T161" s="94">
        <f>'3.2 Digest'!W161</f>
        <v>131.50487804878009</v>
      </c>
      <c r="U161" s="117">
        <v>0.36805555555555558</v>
      </c>
      <c r="V161" s="155">
        <v>40.5</v>
      </c>
      <c r="W161" s="117">
        <v>0.69027777777777777</v>
      </c>
      <c r="X161" s="96">
        <v>63.5</v>
      </c>
      <c r="Y161" s="96">
        <v>16.5</v>
      </c>
      <c r="Z161" s="155">
        <v>40</v>
      </c>
      <c r="AA161" s="117">
        <v>0.3840277777777778</v>
      </c>
      <c r="AB161" s="155">
        <v>65</v>
      </c>
      <c r="AC161" s="155">
        <v>18.5</v>
      </c>
      <c r="AD161" s="91"/>
      <c r="AE161" s="94">
        <f>Table3.110[[#This Row],[Gas 8h, ml]]-Table3.110[[#This Row],[Gas 0h, ml]]</f>
        <v>23</v>
      </c>
      <c r="AF161" s="94">
        <f>Table3.110[[#This Row],[Gas 24h, ml]]-Table3.110[[#This Row],[V8 Push back, ml]]</f>
        <v>25</v>
      </c>
      <c r="AG161" s="94">
        <f>Table3.110[[#This Row],[GP 8h, ml]]-(AVERAGE(AE$116,AE$117,AE$167,AE$166,AE$219,AE$220))*$AG$8</f>
        <v>20.123728042697874</v>
      </c>
      <c r="AH161" s="94">
        <f>Table3.110[[#This Row],[GP 8-24h, ml]]-(AVERAGE(AF$11,AF$12,AF$62,AF$61,AF$114,AF$115))*$AG$8</f>
        <v>21.31247184961266</v>
      </c>
      <c r="AI161" s="94">
        <f>Table3.110[[#This Row],[Net gas 8-24h, ml]]+Table3.110[[#This Row],[Net gas 8h, ml]]</f>
        <v>41.436199892310533</v>
      </c>
      <c r="AJ161" s="94">
        <f>Table3.110[[#This Row],[Net gas 8h, ml]]*Table3.110[[#This Row],[CH4 8h %]]%</f>
        <v>3.3204151270451492</v>
      </c>
      <c r="AK161" s="94">
        <f>Table3.110[[#This Row],[Net gas 8-24h, ml]]*Table3.110[[#This Row],[CH4 24h, %]]%</f>
        <v>3.9428072921783421</v>
      </c>
      <c r="AL161" s="94">
        <f>Table3.110[[#This Row],[CH4 8-24h, ml]]+Table3.110[[#This Row],[CH4 8h, ml]]</f>
        <v>7.2632224192234913</v>
      </c>
      <c r="AM161" s="94">
        <f>(Table3.110[[#This Row],[Net gas 24h, ml]]/Table3.110[[#This Row],[DM Incubated, mg]])*1000</f>
        <v>87.104845471148508</v>
      </c>
      <c r="AN161" s="94">
        <f>'3.2 Digest'!X161</f>
        <v>27.644214746794169</v>
      </c>
      <c r="AO161" s="94">
        <f>Table3.110[[#This Row],[Digested feed, mg]]/Table3.110[[#This Row],[Net gas 24h, ml]]</f>
        <v>3.1736712920236667</v>
      </c>
      <c r="AP161" s="94">
        <f>Table3.110[[#This Row],[CH4 8h, ml]]/Table3.110[[#This Row],[Net gas 8h, ml]]%</f>
        <v>16.5</v>
      </c>
      <c r="AQ161" s="94">
        <f>Table3.110[[#This Row],[CH4 24h, ml]]/Table3.110[[#This Row],[Net gas 24h, ml]]%</f>
        <v>17.528688533456357</v>
      </c>
      <c r="AR161" s="94">
        <f>Table3.110[[#This Row],[CH4 24h, ml]]/Table3.110[[#This Row],[DM Incubated, mg]]*1000</f>
        <v>15.268337060186088</v>
      </c>
      <c r="AS161" s="94">
        <f>Table3.110[[#This Row],[CH4 24h, ml]]/Table3.110[[#This Row],[Digested feed, mg]]*1000</f>
        <v>55.231581725274786</v>
      </c>
      <c r="AT161" s="94">
        <f>Table3.110[[#This Row],[CH4 24h, ml]]/'3.2 Digest'!AA161</f>
        <v>-0.33402155958369323</v>
      </c>
      <c r="AU161" s="94">
        <f>((Table3.110[[#This Row],[CH4 24h, ml]]/28.9)*16.04)/Table3.110[[#This Row],[DM Incubated, mg]]*1000</f>
        <v>8.474191226483903</v>
      </c>
      <c r="AV161" s="94">
        <f>((Table3.110[[#This Row],[CH4 24h, ml]]/28.9)*16.04)/Table3.110[[#This Row],[Digested feed, mg]]*1000</f>
        <v>30.654483421225173</v>
      </c>
    </row>
    <row r="162" spans="2:49" s="89" customFormat="1" x14ac:dyDescent="0.35">
      <c r="B162" s="90">
        <f t="shared" si="2"/>
        <v>152</v>
      </c>
      <c r="C162" s="140">
        <v>46043</v>
      </c>
      <c r="D162" s="6" t="s">
        <v>16</v>
      </c>
      <c r="E162" s="6" t="s">
        <v>56</v>
      </c>
      <c r="F162" s="133" t="s">
        <v>19</v>
      </c>
      <c r="G162" s="133" t="s">
        <v>20</v>
      </c>
      <c r="H162" s="133" t="s">
        <v>21</v>
      </c>
      <c r="I162" s="6" t="s">
        <v>22</v>
      </c>
      <c r="J162" s="129" t="s">
        <v>23</v>
      </c>
      <c r="K162" s="129" t="s">
        <v>24</v>
      </c>
      <c r="L162" s="6" t="s">
        <v>55</v>
      </c>
      <c r="M162" s="119">
        <v>27</v>
      </c>
      <c r="N162" s="93">
        <v>59</v>
      </c>
      <c r="O162" s="6">
        <v>2</v>
      </c>
      <c r="P162" s="129">
        <v>3</v>
      </c>
      <c r="Q162" s="6">
        <v>332</v>
      </c>
      <c r="R162" s="98">
        <v>0.50029999999999997</v>
      </c>
      <c r="S162" s="94">
        <f>((Table3.110[[#This Row],[Sample weight, g]]*'2.1. DM'!Q39)/100)*1000</f>
        <v>475.8951219512191</v>
      </c>
      <c r="T162" s="94">
        <f>'3.2 Digest'!W162</f>
        <v>154.29512195121907</v>
      </c>
      <c r="U162" s="117">
        <v>0.36875000000000002</v>
      </c>
      <c r="V162" s="155">
        <v>40.5</v>
      </c>
      <c r="W162" s="117">
        <v>0.69097222222222221</v>
      </c>
      <c r="X162" s="96">
        <v>66.5</v>
      </c>
      <c r="Y162" s="96">
        <v>15.3</v>
      </c>
      <c r="Z162" s="155">
        <v>40</v>
      </c>
      <c r="AA162" s="117">
        <v>0.38472222222222224</v>
      </c>
      <c r="AB162" s="155">
        <v>65.5</v>
      </c>
      <c r="AC162" s="155">
        <v>18.600000000000001</v>
      </c>
      <c r="AD162" s="96"/>
      <c r="AE162" s="94">
        <f>Table3.110[[#This Row],[Gas 8h, ml]]-Table3.110[[#This Row],[Gas 0h, ml]]</f>
        <v>26</v>
      </c>
      <c r="AF162" s="94">
        <f>Table3.110[[#This Row],[Gas 24h, ml]]-Table3.110[[#This Row],[V8 Push back, ml]]</f>
        <v>25.5</v>
      </c>
      <c r="AG162" s="94">
        <f>Table3.110[[#This Row],[GP 8h, ml]]-(AVERAGE(AE$116,AE$117,AE$167,AE$166,AE$219,AE$220))*$AG$8</f>
        <v>23.123728042697874</v>
      </c>
      <c r="AH162" s="94">
        <f>Table3.110[[#This Row],[GP 8-24h, ml]]-(AVERAGE(AF$11,AF$12,AF$62,AF$61,AF$114,AF$115))*$AG$8</f>
        <v>21.81247184961266</v>
      </c>
      <c r="AI162" s="94">
        <f>Table3.110[[#This Row],[Net gas 8-24h, ml]]+Table3.110[[#This Row],[Net gas 8h, ml]]</f>
        <v>44.936199892310533</v>
      </c>
      <c r="AJ162" s="94">
        <f>Table3.110[[#This Row],[Net gas 8h, ml]]*Table3.110[[#This Row],[CH4 8h %]]%</f>
        <v>3.5379303905327744</v>
      </c>
      <c r="AK162" s="94">
        <f>Table3.110[[#This Row],[Net gas 8-24h, ml]]*Table3.110[[#This Row],[CH4 24h, %]]%</f>
        <v>4.0571197640279557</v>
      </c>
      <c r="AL162" s="94">
        <f>Table3.110[[#This Row],[CH4 8-24h, ml]]+Table3.110[[#This Row],[CH4 8h, ml]]</f>
        <v>7.5950501545607301</v>
      </c>
      <c r="AM162" s="94">
        <f>(Table3.110[[#This Row],[Net gas 24h, ml]]/Table3.110[[#This Row],[DM Incubated, mg]])*1000</f>
        <v>94.424586047588548</v>
      </c>
      <c r="AN162" s="94">
        <f>'3.2 Digest'!X162</f>
        <v>32.422085210412149</v>
      </c>
      <c r="AO162" s="94">
        <f>Table3.110[[#This Row],[Digested feed, mg]]/Table3.110[[#This Row],[Net gas 24h, ml]]</f>
        <v>3.4336486467700178</v>
      </c>
      <c r="AP162" s="94">
        <f>Table3.110[[#This Row],[CH4 8h, ml]]/Table3.110[[#This Row],[Net gas 8h, ml]]%</f>
        <v>15.299999999999997</v>
      </c>
      <c r="AQ162" s="94">
        <f>Table3.110[[#This Row],[CH4 24h, ml]]/Table3.110[[#This Row],[Net gas 24h, ml]]%</f>
        <v>16.901852343460828</v>
      </c>
      <c r="AR162" s="94">
        <f>Table3.110[[#This Row],[CH4 24h, ml]]/Table3.110[[#This Row],[DM Incubated, mg]]*1000</f>
        <v>15.959504109687533</v>
      </c>
      <c r="AS162" s="94">
        <f>Table3.110[[#This Row],[CH4 24h, ml]]/Table3.110[[#This Row],[Digested feed, mg]]*1000</f>
        <v>49.224175453595549</v>
      </c>
      <c r="AT162" s="94">
        <f>Table3.110[[#This Row],[CH4 24h, ml]]/'3.2 Digest'!AA162</f>
        <v>-0.55415681551005191</v>
      </c>
      <c r="AU162" s="94">
        <f>((Table3.110[[#This Row],[CH4 24h, ml]]/28.9)*16.04)/Table3.110[[#This Row],[DM Incubated, mg]]*1000</f>
        <v>8.8578008968646387</v>
      </c>
      <c r="AV162" s="94">
        <f>((Table3.110[[#This Row],[CH4 24h, ml]]/28.9)*16.04)/Table3.110[[#This Row],[Digested feed, mg]]*1000</f>
        <v>27.320269006078643</v>
      </c>
    </row>
    <row r="163" spans="2:49" s="89" customFormat="1" x14ac:dyDescent="0.35">
      <c r="B163" s="90">
        <f t="shared" si="2"/>
        <v>153</v>
      </c>
      <c r="C163" s="140">
        <v>46043</v>
      </c>
      <c r="D163" s="6" t="s">
        <v>16</v>
      </c>
      <c r="E163" s="6" t="s">
        <v>58</v>
      </c>
      <c r="F163" s="133" t="s">
        <v>19</v>
      </c>
      <c r="G163" s="133" t="s">
        <v>20</v>
      </c>
      <c r="H163" s="133" t="s">
        <v>21</v>
      </c>
      <c r="I163" s="6" t="s">
        <v>22</v>
      </c>
      <c r="J163" s="129" t="s">
        <v>23</v>
      </c>
      <c r="K163" s="129" t="s">
        <v>24</v>
      </c>
      <c r="L163" s="6" t="s">
        <v>57</v>
      </c>
      <c r="M163" s="119">
        <v>27</v>
      </c>
      <c r="N163" s="93">
        <v>59</v>
      </c>
      <c r="O163" s="6">
        <v>2</v>
      </c>
      <c r="P163" s="129">
        <v>1</v>
      </c>
      <c r="Q163" s="6">
        <v>1</v>
      </c>
      <c r="R163" s="98">
        <v>0.50039999999999996</v>
      </c>
      <c r="S163" s="94">
        <f>((Table3.110[[#This Row],[Sample weight, g]]*'2.1. DM'!Q41)/100)*1000</f>
        <v>468.98112343719157</v>
      </c>
      <c r="T163" s="94">
        <f>'3.2 Digest'!W163</f>
        <v>137.08112343719159</v>
      </c>
      <c r="U163" s="117">
        <v>0.36944444444444446</v>
      </c>
      <c r="V163" s="155">
        <v>41</v>
      </c>
      <c r="W163" s="117">
        <v>0.69097222222222221</v>
      </c>
      <c r="X163" s="96">
        <v>64.5</v>
      </c>
      <c r="Y163" s="96">
        <v>15.3</v>
      </c>
      <c r="Z163" s="155">
        <v>40.5</v>
      </c>
      <c r="AA163" s="117">
        <v>0.38472222222222224</v>
      </c>
      <c r="AB163" s="155">
        <v>70.5</v>
      </c>
      <c r="AC163" s="155">
        <v>17.399999999999999</v>
      </c>
      <c r="AD163" s="91"/>
      <c r="AE163" s="94">
        <f>Table3.110[[#This Row],[Gas 8h, ml]]-Table3.110[[#This Row],[Gas 0h, ml]]</f>
        <v>23.5</v>
      </c>
      <c r="AF163" s="94">
        <f>Table3.110[[#This Row],[Gas 24h, ml]]-Table3.110[[#This Row],[V8 Push back, ml]]</f>
        <v>30</v>
      </c>
      <c r="AG163" s="94">
        <f>Table3.110[[#This Row],[GP 8h, ml]]-(AVERAGE(AE$116,AE$117,AE$167,AE$166,AE$219,AE$220))*$AG$8</f>
        <v>20.623728042697874</v>
      </c>
      <c r="AH163" s="94">
        <f>Table3.110[[#This Row],[GP 8-24h, ml]]-(AVERAGE(AF$11,AF$12,AF$62,AF$61,AF$114,AF$115))*$AG$8</f>
        <v>26.31247184961266</v>
      </c>
      <c r="AI163" s="94">
        <f>Table3.110[[#This Row],[Net gas 8-24h, ml]]+Table3.110[[#This Row],[Net gas 8h, ml]]</f>
        <v>46.936199892310533</v>
      </c>
      <c r="AJ163" s="94">
        <f>Table3.110[[#This Row],[Net gas 8h, ml]]*Table3.110[[#This Row],[CH4 8h %]]%</f>
        <v>3.1554303905327745</v>
      </c>
      <c r="AK163" s="94">
        <f>Table3.110[[#This Row],[Net gas 8-24h, ml]]*Table3.110[[#This Row],[CH4 24h, %]]%</f>
        <v>4.5783701018326024</v>
      </c>
      <c r="AL163" s="94">
        <f>Table3.110[[#This Row],[CH4 8-24h, ml]]+Table3.110[[#This Row],[CH4 8h, ml]]</f>
        <v>7.7338004923653774</v>
      </c>
      <c r="AM163" s="94">
        <f>(Table3.110[[#This Row],[Net gas 24h, ml]]/Table3.110[[#This Row],[DM Incubated, mg]])*1000</f>
        <v>100.08121339364841</v>
      </c>
      <c r="AN163" s="94">
        <f>'3.2 Digest'!X163</f>
        <v>29.229560975187141</v>
      </c>
      <c r="AO163" s="94">
        <f>Table3.110[[#This Row],[Digested feed, mg]]/Table3.110[[#This Row],[Net gas 24h, ml]]</f>
        <v>2.920584191982047</v>
      </c>
      <c r="AP163" s="94">
        <f>Table3.110[[#This Row],[CH4 8h, ml]]/Table3.110[[#This Row],[Net gas 8h, ml]]%</f>
        <v>15.3</v>
      </c>
      <c r="AQ163" s="94">
        <f>Table3.110[[#This Row],[CH4 24h, ml]]/Table3.110[[#This Row],[Net gas 24h, ml]]%</f>
        <v>16.477261708680405</v>
      </c>
      <c r="AR163" s="94">
        <f>Table3.110[[#This Row],[CH4 24h, ml]]/Table3.110[[#This Row],[DM Incubated, mg]]*1000</f>
        <v>16.490643452094353</v>
      </c>
      <c r="AS163" s="94">
        <f>Table3.110[[#This Row],[CH4 24h, ml]]/Table3.110[[#This Row],[Digested feed, mg]]*1000</f>
        <v>56.41769120683405</v>
      </c>
      <c r="AT163" s="94">
        <f>Table3.110[[#This Row],[CH4 24h, ml]]/'3.2 Digest'!AA163</f>
        <v>-0.77769742580458368</v>
      </c>
      <c r="AU163" s="94">
        <f>((Table3.110[[#This Row],[CH4 24h, ml]]/28.9)*16.04)/Table3.110[[#This Row],[DM Incubated, mg]]*1000</f>
        <v>9.1525924211624048</v>
      </c>
      <c r="AV163" s="94">
        <f>((Table3.110[[#This Row],[CH4 24h, ml]]/28.9)*16.04)/Table3.110[[#This Row],[Digested feed, mg]]*1000</f>
        <v>31.312794704415857</v>
      </c>
    </row>
    <row r="164" spans="2:49" s="109" customFormat="1" x14ac:dyDescent="0.35">
      <c r="B164" s="90">
        <f t="shared" si="2"/>
        <v>154</v>
      </c>
      <c r="C164" s="140">
        <v>46043</v>
      </c>
      <c r="D164" s="6" t="s">
        <v>16</v>
      </c>
      <c r="E164" s="6" t="s">
        <v>58</v>
      </c>
      <c r="F164" s="133" t="s">
        <v>19</v>
      </c>
      <c r="G164" s="133" t="s">
        <v>20</v>
      </c>
      <c r="H164" s="133" t="s">
        <v>21</v>
      </c>
      <c r="I164" s="6" t="s">
        <v>22</v>
      </c>
      <c r="J164" s="129" t="s">
        <v>23</v>
      </c>
      <c r="K164" s="129" t="s">
        <v>24</v>
      </c>
      <c r="L164" s="6" t="s">
        <v>57</v>
      </c>
      <c r="M164" s="119">
        <v>27</v>
      </c>
      <c r="N164" s="93">
        <v>59</v>
      </c>
      <c r="O164" s="6">
        <v>2</v>
      </c>
      <c r="P164" s="129">
        <v>2</v>
      </c>
      <c r="Q164" s="6">
        <v>2</v>
      </c>
      <c r="R164" s="98">
        <v>0.50049999999999994</v>
      </c>
      <c r="S164" s="94">
        <f>((Table3.110[[#This Row],[Sample weight, g]]*'2.1. DM'!Q41)/100)*1000</f>
        <v>469.07484468488082</v>
      </c>
      <c r="T164" s="94">
        <f>'3.2 Digest'!W164</f>
        <v>96.474844684880907</v>
      </c>
      <c r="U164" s="153">
        <v>0.37013888888888891</v>
      </c>
      <c r="V164" s="154">
        <v>41.5</v>
      </c>
      <c r="W164" s="153">
        <v>0.69166666666666665</v>
      </c>
      <c r="X164" s="91">
        <v>64.5</v>
      </c>
      <c r="Y164" s="91">
        <v>14.3</v>
      </c>
      <c r="Z164" s="154">
        <v>40.5</v>
      </c>
      <c r="AA164" s="153">
        <v>0.38541666666666669</v>
      </c>
      <c r="AB164" s="154">
        <v>69</v>
      </c>
      <c r="AC164" s="154"/>
      <c r="AD164" s="104"/>
      <c r="AE164" s="100">
        <f>Table3.110[[#This Row],[Gas 8h, ml]]-Table3.110[[#This Row],[Gas 0h, ml]]</f>
        <v>23</v>
      </c>
      <c r="AF164" s="94">
        <f>Table3.110[[#This Row],[Gas 24h, ml]]-Table3.110[[#This Row],[V8 Push back, ml]]</f>
        <v>28.5</v>
      </c>
      <c r="AG164" s="94">
        <f>Table3.110[[#This Row],[GP 8h, ml]]-(AVERAGE(AE$116,AE$117,AE$167,AE$166,AE$219,AE$220))*$AG$8</f>
        <v>20.123728042697874</v>
      </c>
      <c r="AH164" s="94">
        <f>Table3.110[[#This Row],[GP 8-24h, ml]]-(AVERAGE(AF$11,AF$12,AF$62,AF$61,AF$114,AF$115))*$AG$8</f>
        <v>24.81247184961266</v>
      </c>
      <c r="AI164" s="94">
        <f>Table3.110[[#This Row],[Net gas 8-24h, ml]]+Table3.110[[#This Row],[Net gas 8h, ml]]</f>
        <v>44.936199892310533</v>
      </c>
      <c r="AJ164" s="94">
        <f>Table3.110[[#This Row],[Net gas 8h, ml]]*Table3.110[[#This Row],[CH4 8h %]]%</f>
        <v>2.8776931101057963</v>
      </c>
      <c r="AK164" s="94">
        <f>Table3.110[[#This Row],[Net gas 8-24h, ml]]*Table3.110[[#This Row],[CH4 24h, %]]%</f>
        <v>0</v>
      </c>
      <c r="AL164" s="94">
        <f>Table3.110[[#This Row],[CH4 8-24h, ml]]+Table3.110[[#This Row],[CH4 8h, ml]]</f>
        <v>2.8776931101057963</v>
      </c>
      <c r="AM164" s="94">
        <f>(Table3.110[[#This Row],[Net gas 24h, ml]]/Table3.110[[#This Row],[DM Incubated, mg]])*1000</f>
        <v>95.797505241403783</v>
      </c>
      <c r="AN164" s="94">
        <f>'3.2 Digest'!X164</f>
        <v>20.56704719471615</v>
      </c>
      <c r="AO164" s="94">
        <f>Table3.110[[#This Row],[Digested feed, mg]]/Table3.110[[#This Row],[Net gas 24h, ml]]</f>
        <v>2.1469293112475594</v>
      </c>
      <c r="AP164" s="94">
        <f>Table3.110[[#This Row],[CH4 8h, ml]]/Table3.110[[#This Row],[Net gas 8h, ml]]%</f>
        <v>14.3</v>
      </c>
      <c r="AQ164" s="94">
        <f>Table3.110[[#This Row],[CH4 24h, ml]]/Table3.110[[#This Row],[Net gas 24h, ml]]%</f>
        <v>6.4039529755568543</v>
      </c>
      <c r="AR164" s="94">
        <f>Table3.110[[#This Row],[CH4 24h, ml]]/Table3.110[[#This Row],[DM Incubated, mg]]*1000</f>
        <v>6.1348271874161107</v>
      </c>
      <c r="AS164" s="94">
        <f>Table3.110[[#This Row],[CH4 24h, ml]]/Table3.110[[#This Row],[Digested feed, mg]]*1000</f>
        <v>29.828429571514771</v>
      </c>
      <c r="AT164" s="94">
        <f>Table3.110[[#This Row],[CH4 24h, ml]]/'3.2 Digest'!AA164</f>
        <v>-0.1229677253133216</v>
      </c>
      <c r="AU164" s="94">
        <f>((Table3.110[[#This Row],[CH4 24h, ml]]/28.9)*16.04)/Table3.110[[#This Row],[DM Incubated, mg]]*1000</f>
        <v>3.404935227894617</v>
      </c>
      <c r="AV164" s="94">
        <f>((Table3.110[[#This Row],[CH4 24h, ml]]/28.9)*16.04)/Table3.110[[#This Row],[Digested feed, mg]]*1000</f>
        <v>16.555294474986056</v>
      </c>
      <c r="AW164" s="89"/>
    </row>
    <row r="165" spans="2:49" s="89" customFormat="1" x14ac:dyDescent="0.35">
      <c r="B165" s="90">
        <f t="shared" si="2"/>
        <v>155</v>
      </c>
      <c r="C165" s="140">
        <v>46043</v>
      </c>
      <c r="D165" s="6" t="s">
        <v>16</v>
      </c>
      <c r="E165" s="6" t="s">
        <v>58</v>
      </c>
      <c r="F165" s="133" t="s">
        <v>19</v>
      </c>
      <c r="G165" s="133" t="s">
        <v>20</v>
      </c>
      <c r="H165" s="133" t="s">
        <v>21</v>
      </c>
      <c r="I165" s="6" t="s">
        <v>22</v>
      </c>
      <c r="J165" s="129" t="s">
        <v>23</v>
      </c>
      <c r="K165" s="129" t="s">
        <v>24</v>
      </c>
      <c r="L165" s="6" t="s">
        <v>57</v>
      </c>
      <c r="M165" s="119">
        <v>27</v>
      </c>
      <c r="N165" s="93">
        <v>59</v>
      </c>
      <c r="O165" s="6">
        <v>2</v>
      </c>
      <c r="P165" s="6">
        <v>3</v>
      </c>
      <c r="Q165" s="6">
        <v>3</v>
      </c>
      <c r="R165" s="98">
        <v>0.5</v>
      </c>
      <c r="S165" s="94">
        <f>((Table3.110[[#This Row],[Sample weight, g]]*'2.1. DM'!Q41)/100)*1000</f>
        <v>468.60623844643442</v>
      </c>
      <c r="T165" s="94">
        <f>'3.2 Digest'!W165</f>
        <v>0</v>
      </c>
      <c r="U165" s="117">
        <v>0.37013888888888891</v>
      </c>
      <c r="V165" s="155">
        <v>40.5</v>
      </c>
      <c r="W165" s="117">
        <v>0.69166666666666665</v>
      </c>
      <c r="X165" s="96"/>
      <c r="Y165" s="96"/>
      <c r="Z165" s="155"/>
      <c r="AA165" s="117"/>
      <c r="AB165" s="155"/>
      <c r="AC165" s="155"/>
      <c r="AD165" s="96"/>
      <c r="AE165" s="94"/>
      <c r="AF165" s="94"/>
      <c r="AG165" s="94"/>
      <c r="AH165" s="94"/>
      <c r="AI165" s="94">
        <f>Table3.110[[#This Row],[Net gas 8-24h, ml]]+Table3.110[[#This Row],[Net gas 8h, ml]]</f>
        <v>0</v>
      </c>
      <c r="AJ165" s="94">
        <f>Table3.110[[#This Row],[Net gas 8h, ml]]*Table3.110[[#This Row],[CH4 8h %]]%</f>
        <v>0</v>
      </c>
      <c r="AK165" s="94">
        <f>Table3.110[[#This Row],[Net gas 8-24h, ml]]*Table3.110[[#This Row],[CH4 24h, %]]%</f>
        <v>0</v>
      </c>
      <c r="AL165" s="94">
        <f>Table3.110[[#This Row],[CH4 8-24h, ml]]+Table3.110[[#This Row],[CH4 8h, ml]]</f>
        <v>0</v>
      </c>
      <c r="AM165" s="94">
        <f>(Table3.110[[#This Row],[Net gas 24h, ml]]/Table3.110[[#This Row],[DM Incubated, mg]])*1000</f>
        <v>0</v>
      </c>
      <c r="AN165" s="94">
        <f>'3.2 Digest'!X165</f>
        <v>0</v>
      </c>
      <c r="AO165" s="94" t="e">
        <f>Table3.110[[#This Row],[Digested feed, mg]]/Table3.110[[#This Row],[Net gas 24h, ml]]</f>
        <v>#DIV/0!</v>
      </c>
      <c r="AP165" s="94" t="e">
        <f>Table3.110[[#This Row],[CH4 8h, ml]]/Table3.110[[#This Row],[Net gas 8h, ml]]%</f>
        <v>#DIV/0!</v>
      </c>
      <c r="AQ165" s="94" t="e">
        <f>Table3.110[[#This Row],[CH4 24h, ml]]/Table3.110[[#This Row],[Net gas 24h, ml]]%</f>
        <v>#DIV/0!</v>
      </c>
      <c r="AR165" s="94">
        <f>Table3.110[[#This Row],[CH4 24h, ml]]/Table3.110[[#This Row],[DM Incubated, mg]]*1000</f>
        <v>0</v>
      </c>
      <c r="AS165" s="94" t="e">
        <f>Table3.110[[#This Row],[CH4 24h, ml]]/Table3.110[[#This Row],[Digested feed, mg]]*1000</f>
        <v>#DIV/0!</v>
      </c>
      <c r="AT165" s="94" t="e">
        <f>Table3.110[[#This Row],[CH4 24h, ml]]/'3.2 Digest'!AA165</f>
        <v>#DIV/0!</v>
      </c>
      <c r="AU165" s="94">
        <f>((Table3.110[[#This Row],[CH4 24h, ml]]/28.9)*16.04)/Table3.110[[#This Row],[DM Incubated, mg]]*1000</f>
        <v>0</v>
      </c>
      <c r="AV165" s="94" t="e">
        <f>((Table3.110[[#This Row],[CH4 24h, ml]]/28.9)*16.04)/Table3.110[[#This Row],[Digested feed, mg]]*1000</f>
        <v>#DIV/0!</v>
      </c>
    </row>
    <row r="166" spans="2:49" s="89" customFormat="1" x14ac:dyDescent="0.35">
      <c r="B166" s="90">
        <f t="shared" si="2"/>
        <v>156</v>
      </c>
      <c r="C166" s="143">
        <v>46043</v>
      </c>
      <c r="D166" s="92"/>
      <c r="E166" s="124" t="s">
        <v>541</v>
      </c>
      <c r="F166" s="133" t="s">
        <v>538</v>
      </c>
      <c r="G166" s="133" t="s">
        <v>542</v>
      </c>
      <c r="H166" s="185" t="s">
        <v>541</v>
      </c>
      <c r="I166" s="6"/>
      <c r="J166" s="129"/>
      <c r="K166" s="129"/>
      <c r="L166" s="124" t="s">
        <v>543</v>
      </c>
      <c r="M166" s="119">
        <v>27</v>
      </c>
      <c r="N166" s="147">
        <v>59</v>
      </c>
      <c r="O166" s="124">
        <v>2</v>
      </c>
      <c r="P166" s="146">
        <v>1</v>
      </c>
      <c r="Q166" s="124">
        <v>4</v>
      </c>
      <c r="R166" s="148"/>
      <c r="S166" s="94"/>
      <c r="T166" s="94">
        <f>'3.2 Digest'!W166</f>
        <v>0</v>
      </c>
      <c r="U166" s="149">
        <v>0.37013888888888891</v>
      </c>
      <c r="V166" s="150">
        <v>40</v>
      </c>
      <c r="W166" s="149">
        <v>0.69305555555555554</v>
      </c>
      <c r="X166" s="163">
        <v>43</v>
      </c>
      <c r="Y166" s="163"/>
      <c r="Z166" s="150"/>
      <c r="AA166" s="149"/>
      <c r="AB166" s="150"/>
      <c r="AC166" s="150"/>
      <c r="AD166" s="94"/>
      <c r="AE166" s="94">
        <f>Table3.110[[#This Row],[Gas 8h, ml]]-Table3.110[[#This Row],[Gas 0h, ml]]</f>
        <v>3</v>
      </c>
      <c r="AF166" s="94"/>
      <c r="AG166" s="94"/>
      <c r="AH166" s="94"/>
      <c r="AI166" s="94"/>
      <c r="AJ166" s="94"/>
      <c r="AK166" s="94"/>
      <c r="AL166" s="94"/>
      <c r="AM166" s="94"/>
      <c r="AN166" s="94"/>
      <c r="AO166" s="94"/>
      <c r="AP166" s="94"/>
      <c r="AQ166" s="94"/>
      <c r="AR166" s="94"/>
      <c r="AS166" s="94"/>
      <c r="AT166" s="94"/>
      <c r="AU166" s="94"/>
      <c r="AV166" s="94"/>
    </row>
    <row r="167" spans="2:49" s="89" customFormat="1" x14ac:dyDescent="0.35">
      <c r="B167" s="90">
        <f t="shared" si="2"/>
        <v>157</v>
      </c>
      <c r="C167" s="143">
        <v>46043</v>
      </c>
      <c r="D167" s="92"/>
      <c r="E167" s="124" t="s">
        <v>541</v>
      </c>
      <c r="F167" s="133" t="s">
        <v>538</v>
      </c>
      <c r="G167" s="133" t="s">
        <v>542</v>
      </c>
      <c r="H167" s="185" t="s">
        <v>541</v>
      </c>
      <c r="I167" s="6"/>
      <c r="J167" s="129"/>
      <c r="K167" s="129"/>
      <c r="L167" s="124" t="s">
        <v>543</v>
      </c>
      <c r="M167" s="119">
        <v>27</v>
      </c>
      <c r="N167" s="147">
        <v>59</v>
      </c>
      <c r="O167" s="124">
        <v>2</v>
      </c>
      <c r="P167" s="146">
        <v>2</v>
      </c>
      <c r="Q167" s="124">
        <v>5</v>
      </c>
      <c r="R167" s="148"/>
      <c r="S167" s="94"/>
      <c r="T167" s="94">
        <f>'3.2 Digest'!W167</f>
        <v>0</v>
      </c>
      <c r="U167" s="151">
        <v>0.37083333333333335</v>
      </c>
      <c r="V167" s="152">
        <v>39.5</v>
      </c>
      <c r="W167" s="151">
        <v>0.69374999999999998</v>
      </c>
      <c r="X167" s="164">
        <v>43.5</v>
      </c>
      <c r="Y167" s="164"/>
      <c r="Z167" s="152"/>
      <c r="AA167" s="151"/>
      <c r="AB167" s="152"/>
      <c r="AC167" s="152"/>
      <c r="AD167" s="94"/>
      <c r="AE167" s="94">
        <f>Table3.110[[#This Row],[Gas 8h, ml]]-Table3.110[[#This Row],[Gas 0h, ml]]</f>
        <v>4</v>
      </c>
      <c r="AF167" s="94"/>
      <c r="AG167" s="94"/>
      <c r="AH167" s="94"/>
      <c r="AI167" s="94"/>
      <c r="AJ167" s="94"/>
      <c r="AK167" s="94"/>
      <c r="AL167" s="94"/>
      <c r="AM167" s="94"/>
      <c r="AN167" s="94"/>
      <c r="AO167" s="94"/>
      <c r="AP167" s="94"/>
      <c r="AQ167" s="94"/>
      <c r="AR167" s="94"/>
      <c r="AS167" s="94"/>
      <c r="AT167" s="94"/>
      <c r="AU167" s="94"/>
      <c r="AV167" s="94"/>
    </row>
    <row r="168" spans="2:49" s="89" customFormat="1" x14ac:dyDescent="0.35">
      <c r="B168" s="90">
        <f t="shared" si="2"/>
        <v>158</v>
      </c>
      <c r="C168" s="140">
        <v>46043</v>
      </c>
      <c r="D168" s="6" t="s">
        <v>16</v>
      </c>
      <c r="E168" s="6" t="s">
        <v>60</v>
      </c>
      <c r="F168" s="133" t="s">
        <v>19</v>
      </c>
      <c r="G168" s="133" t="s">
        <v>20</v>
      </c>
      <c r="H168" s="133" t="s">
        <v>21</v>
      </c>
      <c r="I168" s="6" t="s">
        <v>22</v>
      </c>
      <c r="J168" s="129" t="s">
        <v>23</v>
      </c>
      <c r="K168" s="129" t="s">
        <v>24</v>
      </c>
      <c r="L168" s="6" t="s">
        <v>59</v>
      </c>
      <c r="M168" s="119">
        <v>27</v>
      </c>
      <c r="N168" s="93">
        <v>59</v>
      </c>
      <c r="O168" s="6">
        <v>2</v>
      </c>
      <c r="P168" s="129">
        <v>1</v>
      </c>
      <c r="Q168" s="6">
        <v>6</v>
      </c>
      <c r="R168" s="98">
        <v>0.50039999999999996</v>
      </c>
      <c r="S168" s="94">
        <f>((Table3.110[[#This Row],[Sample weight, g]]*'2.1. DM'!Q43)/100)*1000</f>
        <v>471.23548675994408</v>
      </c>
      <c r="T168" s="94">
        <f>'3.2 Digest'!W168</f>
        <v>122.13548675994411</v>
      </c>
      <c r="U168" s="153">
        <v>0.37083333333333335</v>
      </c>
      <c r="V168" s="154">
        <v>40.5</v>
      </c>
      <c r="W168" s="153">
        <v>0.69374999999999998</v>
      </c>
      <c r="X168" s="91">
        <v>63.5</v>
      </c>
      <c r="Y168" s="91">
        <v>16.100000000000001</v>
      </c>
      <c r="Z168" s="154">
        <v>41.5</v>
      </c>
      <c r="AA168" s="153">
        <v>0.38611111111111113</v>
      </c>
      <c r="AB168" s="154">
        <v>66</v>
      </c>
      <c r="AC168" s="154">
        <v>17.7</v>
      </c>
      <c r="AD168" s="94"/>
      <c r="AE168" s="94">
        <f>Table3.110[[#This Row],[Gas 8h, ml]]-Table3.110[[#This Row],[Gas 0h, ml]]</f>
        <v>23</v>
      </c>
      <c r="AF168" s="94">
        <f>Table3.110[[#This Row],[Gas 24h, ml]]-Table3.110[[#This Row],[V8 Push back, ml]]</f>
        <v>24.5</v>
      </c>
      <c r="AG168" s="94">
        <f>Table3.110[[#This Row],[GP 8h, ml]]-(AVERAGE(AE$116,AE$117,AE$167,AE$166,AE$219,AE$220))*$AG$8</f>
        <v>20.123728042697874</v>
      </c>
      <c r="AH168" s="94">
        <f>Table3.110[[#This Row],[GP 8-24h, ml]]-(AVERAGE(AF$11,AF$12,AF$62,AF$61,AF$114,AF$115))*$AG$8</f>
        <v>20.81247184961266</v>
      </c>
      <c r="AI168" s="94">
        <f>Table3.110[[#This Row],[Net gas 8-24h, ml]]+Table3.110[[#This Row],[Net gas 8h, ml]]</f>
        <v>40.936199892310533</v>
      </c>
      <c r="AJ168" s="94">
        <f>Table3.110[[#This Row],[Net gas 8h, ml]]*Table3.110[[#This Row],[CH4 8h %]]%</f>
        <v>3.2399202148743576</v>
      </c>
      <c r="AK168" s="94">
        <f>Table3.110[[#This Row],[Net gas 8-24h, ml]]*Table3.110[[#This Row],[CH4 24h, %]]%</f>
        <v>3.6838075173814406</v>
      </c>
      <c r="AL168" s="94">
        <f>Table3.110[[#This Row],[CH4 8-24h, ml]]+Table3.110[[#This Row],[CH4 8h, ml]]</f>
        <v>6.9237277322557986</v>
      </c>
      <c r="AM168" s="94">
        <f>(Table3.110[[#This Row],[Net gas 24h, ml]]/Table3.110[[#This Row],[DM Incubated, mg]])*1000</f>
        <v>86.869943037978757</v>
      </c>
      <c r="AN168" s="94">
        <f>'3.2 Digest'!X168</f>
        <v>25.918142880050578</v>
      </c>
      <c r="AO168" s="94">
        <f>Table3.110[[#This Row],[Digested feed, mg]]/Table3.110[[#This Row],[Net gas 24h, ml]]</f>
        <v>2.9835570248641003</v>
      </c>
      <c r="AP168" s="94">
        <f>Table3.110[[#This Row],[CH4 8h, ml]]/Table3.110[[#This Row],[Net gas 8h, ml]]%</f>
        <v>16.099999999999998</v>
      </c>
      <c r="AQ168" s="94">
        <f>Table3.110[[#This Row],[CH4 24h, ml]]/Table3.110[[#This Row],[Net gas 24h, ml]]%</f>
        <v>16.913459848422214</v>
      </c>
      <c r="AR168" s="94">
        <f>Table3.110[[#This Row],[CH4 24h, ml]]/Table3.110[[#This Row],[DM Incubated, mg]]*1000</f>
        <v>14.692712936075782</v>
      </c>
      <c r="AS168" s="94">
        <f>Table3.110[[#This Row],[CH4 24h, ml]]/Table3.110[[#This Row],[Digested feed, mg]]*1000</f>
        <v>56.688910945795023</v>
      </c>
      <c r="AT168" s="94">
        <f>Table3.110[[#This Row],[CH4 24h, ml]]/'3.2 Digest'!AA168</f>
        <v>-0.25987269944787528</v>
      </c>
      <c r="AU168" s="94">
        <f>((Table3.110[[#This Row],[CH4 24h, ml]]/28.9)*16.04)/Table3.110[[#This Row],[DM Incubated, mg]]*1000</f>
        <v>8.1547098787078038</v>
      </c>
      <c r="AV168" s="94">
        <f>((Table3.110[[#This Row],[CH4 24h, ml]]/28.9)*16.04)/Table3.110[[#This Row],[Digested feed, mg]]*1000</f>
        <v>31.463326351922213</v>
      </c>
    </row>
    <row r="169" spans="2:49" s="89" customFormat="1" x14ac:dyDescent="0.35">
      <c r="B169" s="90">
        <f t="shared" si="2"/>
        <v>159</v>
      </c>
      <c r="C169" s="140">
        <v>46043</v>
      </c>
      <c r="D169" s="6" t="s">
        <v>16</v>
      </c>
      <c r="E169" s="6" t="s">
        <v>60</v>
      </c>
      <c r="F169" s="133" t="s">
        <v>19</v>
      </c>
      <c r="G169" s="133" t="s">
        <v>20</v>
      </c>
      <c r="H169" s="133" t="s">
        <v>21</v>
      </c>
      <c r="I169" s="6" t="s">
        <v>22</v>
      </c>
      <c r="J169" s="129" t="s">
        <v>23</v>
      </c>
      <c r="K169" s="129" t="s">
        <v>24</v>
      </c>
      <c r="L169" s="6" t="s">
        <v>59</v>
      </c>
      <c r="M169" s="119">
        <v>27</v>
      </c>
      <c r="N169" s="93">
        <v>59</v>
      </c>
      <c r="O169" s="6">
        <v>2</v>
      </c>
      <c r="P169" s="129">
        <v>2</v>
      </c>
      <c r="Q169" s="6">
        <v>7</v>
      </c>
      <c r="R169" s="98">
        <v>0.50049999999999994</v>
      </c>
      <c r="S169" s="94">
        <f>((Table3.110[[#This Row],[Sample weight, g]]*'2.1. DM'!Q43)/100)*1000</f>
        <v>471.32965851988808</v>
      </c>
      <c r="T169" s="94">
        <f>'3.2 Digest'!W169</f>
        <v>113.02965851988802</v>
      </c>
      <c r="U169" s="117">
        <v>0.37152777777777779</v>
      </c>
      <c r="V169" s="155">
        <v>41.5</v>
      </c>
      <c r="W169" s="117">
        <v>0.69444444444444442</v>
      </c>
      <c r="X169" s="96">
        <v>67.5</v>
      </c>
      <c r="Y169" s="96">
        <v>14.6</v>
      </c>
      <c r="Z169" s="155">
        <v>40</v>
      </c>
      <c r="AA169" s="117">
        <v>0.38611111111111113</v>
      </c>
      <c r="AB169" s="155">
        <v>67</v>
      </c>
      <c r="AC169" s="155">
        <v>17.600000000000001</v>
      </c>
      <c r="AD169" s="94"/>
      <c r="AE169" s="94">
        <f>Table3.110[[#This Row],[Gas 8h, ml]]-Table3.110[[#This Row],[Gas 0h, ml]]</f>
        <v>26</v>
      </c>
      <c r="AF169" s="94">
        <f>Table3.110[[#This Row],[Gas 24h, ml]]-Table3.110[[#This Row],[V8 Push back, ml]]</f>
        <v>27</v>
      </c>
      <c r="AG169" s="94">
        <f>Table3.110[[#This Row],[GP 8h, ml]]-(AVERAGE(AE$116,AE$117,AE$167,AE$166,AE$219,AE$220))*$AG$8</f>
        <v>23.123728042697874</v>
      </c>
      <c r="AH169" s="94">
        <f>Table3.110[[#This Row],[GP 8-24h, ml]]-(AVERAGE(AF$11,AF$12,AF$62,AF$61,AF$114,AF$115))*$AG$8</f>
        <v>23.31247184961266</v>
      </c>
      <c r="AI169" s="94">
        <f>Table3.110[[#This Row],[Net gas 8-24h, ml]]+Table3.110[[#This Row],[Net gas 8h, ml]]</f>
        <v>46.436199892310533</v>
      </c>
      <c r="AJ169" s="94">
        <f>Table3.110[[#This Row],[Net gas 8h, ml]]*Table3.110[[#This Row],[CH4 8h %]]%</f>
        <v>3.3760642942338892</v>
      </c>
      <c r="AK169" s="94">
        <f>Table3.110[[#This Row],[Net gas 8-24h, ml]]*Table3.110[[#This Row],[CH4 24h, %]]%</f>
        <v>4.1029950455318289</v>
      </c>
      <c r="AL169" s="94">
        <f>Table3.110[[#This Row],[CH4 8-24h, ml]]+Table3.110[[#This Row],[CH4 8h, ml]]</f>
        <v>7.4790593397657181</v>
      </c>
      <c r="AM169" s="94">
        <f>(Table3.110[[#This Row],[Net gas 24h, ml]]/Table3.110[[#This Row],[DM Incubated, mg]])*1000</f>
        <v>98.521701431082604</v>
      </c>
      <c r="AN169" s="94">
        <f>'3.2 Digest'!X169</f>
        <v>23.981019754800482</v>
      </c>
      <c r="AO169" s="94">
        <f>Table3.110[[#This Row],[Digested feed, mg]]/Table3.110[[#This Row],[Net gas 24h, ml]]</f>
        <v>2.4340850194893928</v>
      </c>
      <c r="AP169" s="94">
        <f>Table3.110[[#This Row],[CH4 8h, ml]]/Table3.110[[#This Row],[Net gas 8h, ml]]%</f>
        <v>14.599999999999998</v>
      </c>
      <c r="AQ169" s="94">
        <f>Table3.110[[#This Row],[CH4 24h, ml]]/Table3.110[[#This Row],[Net gas 24h, ml]]%</f>
        <v>16.106096875089452</v>
      </c>
      <c r="AR169" s="94">
        <f>Table3.110[[#This Row],[CH4 24h, ml]]/Table3.110[[#This Row],[DM Incubated, mg]]*1000</f>
        <v>15.868000675476553</v>
      </c>
      <c r="AS169" s="94">
        <f>Table3.110[[#This Row],[CH4 24h, ml]]/Table3.110[[#This Row],[Digested feed, mg]]*1000</f>
        <v>66.16899880706751</v>
      </c>
      <c r="AT169" s="94">
        <f>Table3.110[[#This Row],[CH4 24h, ml]]/'3.2 Digest'!AA169</f>
        <v>-0.24968254076147445</v>
      </c>
      <c r="AU169" s="94">
        <f>((Table3.110[[#This Row],[CH4 24h, ml]]/28.9)*16.04)/Table3.110[[#This Row],[DM Incubated, mg]]*1000</f>
        <v>8.8070149077731461</v>
      </c>
      <c r="AV169" s="94">
        <f>((Table3.110[[#This Row],[CH4 24h, ml]]/28.9)*16.04)/Table3.110[[#This Row],[Digested feed, mg]]*1000</f>
        <v>36.724939130289371</v>
      </c>
    </row>
    <row r="170" spans="2:49" s="89" customFormat="1" x14ac:dyDescent="0.35">
      <c r="B170" s="90">
        <f t="shared" si="2"/>
        <v>160</v>
      </c>
      <c r="C170" s="140">
        <v>46043</v>
      </c>
      <c r="D170" s="6" t="s">
        <v>16</v>
      </c>
      <c r="E170" s="6" t="s">
        <v>60</v>
      </c>
      <c r="F170" s="133" t="s">
        <v>19</v>
      </c>
      <c r="G170" s="133" t="s">
        <v>20</v>
      </c>
      <c r="H170" s="133" t="s">
        <v>21</v>
      </c>
      <c r="I170" s="6" t="s">
        <v>22</v>
      </c>
      <c r="J170" s="129" t="s">
        <v>23</v>
      </c>
      <c r="K170" s="129" t="s">
        <v>24</v>
      </c>
      <c r="L170" s="6" t="s">
        <v>59</v>
      </c>
      <c r="M170" s="119">
        <v>27</v>
      </c>
      <c r="N170" s="93">
        <v>59</v>
      </c>
      <c r="O170" s="6">
        <v>2</v>
      </c>
      <c r="P170" s="129">
        <v>3</v>
      </c>
      <c r="Q170" s="6">
        <v>8</v>
      </c>
      <c r="R170" s="98">
        <v>0.5</v>
      </c>
      <c r="S170" s="94">
        <f>((Table3.110[[#This Row],[Sample weight, g]]*'2.1. DM'!Q43)/100)*1000</f>
        <v>470.85879972016795</v>
      </c>
      <c r="T170" s="94">
        <f>'3.2 Digest'!W170</f>
        <v>212.45879972016797</v>
      </c>
      <c r="U170" s="153">
        <v>0.37222222222222223</v>
      </c>
      <c r="V170" s="154">
        <v>41.5</v>
      </c>
      <c r="W170" s="153">
        <v>0.69444444444444442</v>
      </c>
      <c r="X170" s="91">
        <v>70</v>
      </c>
      <c r="Y170" s="91">
        <v>13.6</v>
      </c>
      <c r="Z170" s="154">
        <v>40</v>
      </c>
      <c r="AA170" s="153">
        <v>0.38680555555555557</v>
      </c>
      <c r="AB170" s="154">
        <v>68</v>
      </c>
      <c r="AC170" s="154">
        <v>17</v>
      </c>
      <c r="AD170" s="94"/>
      <c r="AE170" s="94">
        <f>Table3.110[[#This Row],[Gas 8h, ml]]-Table3.110[[#This Row],[Gas 0h, ml]]</f>
        <v>28.5</v>
      </c>
      <c r="AF170" s="94">
        <f>Table3.110[[#This Row],[Gas 24h, ml]]-Table3.110[[#This Row],[V8 Push back, ml]]</f>
        <v>28</v>
      </c>
      <c r="AG170" s="94">
        <f>Table3.110[[#This Row],[GP 8h, ml]]-(AVERAGE(AE$116,AE$117,AE$167,AE$166,AE$219,AE$220))*$AG$8</f>
        <v>25.623728042697874</v>
      </c>
      <c r="AH170" s="94">
        <f>Table3.110[[#This Row],[GP 8-24h, ml]]-(AVERAGE(AF$11,AF$12,AF$62,AF$61,AF$114,AF$115))*$AG$8</f>
        <v>24.31247184961266</v>
      </c>
      <c r="AI170" s="94">
        <f>Table3.110[[#This Row],[Net gas 8-24h, ml]]+Table3.110[[#This Row],[Net gas 8h, ml]]</f>
        <v>49.936199892310533</v>
      </c>
      <c r="AJ170" s="94">
        <f>Table3.110[[#This Row],[Net gas 8h, ml]]*Table3.110[[#This Row],[CH4 8h %]]%</f>
        <v>3.4848270138069108</v>
      </c>
      <c r="AK170" s="94">
        <f>Table3.110[[#This Row],[Net gas 8-24h, ml]]*Table3.110[[#This Row],[CH4 24h, %]]%</f>
        <v>4.1331202144341521</v>
      </c>
      <c r="AL170" s="94">
        <f>Table3.110[[#This Row],[CH4 8-24h, ml]]+Table3.110[[#This Row],[CH4 8h, ml]]</f>
        <v>7.6179472282410625</v>
      </c>
      <c r="AM170" s="94">
        <f>(Table3.110[[#This Row],[Net gas 24h, ml]]/Table3.110[[#This Row],[DM Incubated, mg]])*1000</f>
        <v>106.05344940348931</v>
      </c>
      <c r="AN170" s="94">
        <f>'3.2 Digest'!X170</f>
        <v>45.121552330854293</v>
      </c>
      <c r="AO170" s="94">
        <f>Table3.110[[#This Row],[Digested feed, mg]]/Table3.110[[#This Row],[Net gas 24h, ml]]</f>
        <v>4.2546048793929874</v>
      </c>
      <c r="AP170" s="94">
        <f>Table3.110[[#This Row],[CH4 8h, ml]]/Table3.110[[#This Row],[Net gas 8h, ml]]%</f>
        <v>13.6</v>
      </c>
      <c r="AQ170" s="94">
        <f>Table3.110[[#This Row],[CH4 24h, ml]]/Table3.110[[#This Row],[Net gas 24h, ml]]%</f>
        <v>15.255360329118913</v>
      </c>
      <c r="AR170" s="94">
        <f>Table3.110[[#This Row],[CH4 24h, ml]]/Table3.110[[#This Row],[DM Incubated, mg]]*1000</f>
        <v>16.178835847962105</v>
      </c>
      <c r="AS170" s="94">
        <f>Table3.110[[#This Row],[CH4 24h, ml]]/Table3.110[[#This Row],[Digested feed, mg]]*1000</f>
        <v>35.85611534224401</v>
      </c>
      <c r="AT170" s="94">
        <f>Table3.110[[#This Row],[CH4 24h, ml]]/'3.2 Digest'!AA170</f>
        <v>1.2315977820863429</v>
      </c>
      <c r="AU170" s="94">
        <f>((Table3.110[[#This Row],[CH4 24h, ml]]/28.9)*16.04)/Table3.110[[#This Row],[DM Incubated, mg]]*1000</f>
        <v>8.9795338062737784</v>
      </c>
      <c r="AV170" s="94">
        <f>((Table3.110[[#This Row],[CH4 24h, ml]]/28.9)*16.04)/Table3.110[[#This Row],[Digested feed, mg]]*1000</f>
        <v>19.900764362961727</v>
      </c>
    </row>
    <row r="171" spans="2:49" s="89" customFormat="1" x14ac:dyDescent="0.35">
      <c r="B171" s="90">
        <f t="shared" si="2"/>
        <v>161</v>
      </c>
      <c r="C171" s="140">
        <v>46043</v>
      </c>
      <c r="D171" s="6" t="s">
        <v>16</v>
      </c>
      <c r="E171" s="6" t="s">
        <v>62</v>
      </c>
      <c r="F171" s="133" t="s">
        <v>19</v>
      </c>
      <c r="G171" s="133" t="s">
        <v>20</v>
      </c>
      <c r="H171" s="133" t="s">
        <v>21</v>
      </c>
      <c r="I171" s="6" t="s">
        <v>22</v>
      </c>
      <c r="J171" s="129" t="s">
        <v>23</v>
      </c>
      <c r="K171" s="129" t="s">
        <v>24</v>
      </c>
      <c r="L171" s="6" t="s">
        <v>61</v>
      </c>
      <c r="M171" s="119">
        <v>27</v>
      </c>
      <c r="N171" s="93">
        <v>59</v>
      </c>
      <c r="O171" s="6">
        <v>2</v>
      </c>
      <c r="P171" s="129">
        <v>1</v>
      </c>
      <c r="Q171" s="6">
        <v>9</v>
      </c>
      <c r="R171" s="98">
        <v>0.50009999999999999</v>
      </c>
      <c r="S171" s="94">
        <f>((Table3.110[[#This Row],[Sample weight, g]]*'2.1. DM'!Q45)/100)*1000</f>
        <v>470.38688287027776</v>
      </c>
      <c r="T171" s="94">
        <f>'3.2 Digest'!W171</f>
        <v>92.986882870277782</v>
      </c>
      <c r="U171" s="117">
        <v>0.37222222222222223</v>
      </c>
      <c r="V171" s="155">
        <v>40.5</v>
      </c>
      <c r="W171" s="117">
        <v>0.69513888888888886</v>
      </c>
      <c r="X171" s="96">
        <v>60</v>
      </c>
      <c r="Y171" s="96">
        <v>15.6</v>
      </c>
      <c r="Z171" s="155">
        <v>41.5</v>
      </c>
      <c r="AA171" s="117">
        <v>0.38680555555555557</v>
      </c>
      <c r="AB171" s="155">
        <v>64.5</v>
      </c>
      <c r="AC171" s="155">
        <v>17.600000000000001</v>
      </c>
      <c r="AD171" s="94"/>
      <c r="AE171" s="94">
        <f>Table3.110[[#This Row],[Gas 8h, ml]]-Table3.110[[#This Row],[Gas 0h, ml]]</f>
        <v>19.5</v>
      </c>
      <c r="AF171" s="94">
        <f>Table3.110[[#This Row],[Gas 24h, ml]]-Table3.110[[#This Row],[V8 Push back, ml]]</f>
        <v>23</v>
      </c>
      <c r="AG171" s="94">
        <f>Table3.110[[#This Row],[GP 8h, ml]]-(AVERAGE(AE$116,AE$117,AE$167,AE$166,AE$219,AE$220))*$AG$8</f>
        <v>16.623728042697874</v>
      </c>
      <c r="AH171" s="94">
        <f>Table3.110[[#This Row],[GP 8-24h, ml]]-(AVERAGE(AF$11,AF$12,AF$62,AF$61,AF$114,AF$115))*$AG$8</f>
        <v>19.31247184961266</v>
      </c>
      <c r="AI171" s="94">
        <f>Table3.110[[#This Row],[Net gas 8-24h, ml]]+Table3.110[[#This Row],[Net gas 8h, ml]]</f>
        <v>35.936199892310533</v>
      </c>
      <c r="AJ171" s="94">
        <f>Table3.110[[#This Row],[Net gas 8h, ml]]*Table3.110[[#This Row],[CH4 8h %]]%</f>
        <v>2.5933015746608681</v>
      </c>
      <c r="AK171" s="94">
        <f>Table3.110[[#This Row],[Net gas 8-24h, ml]]*Table3.110[[#This Row],[CH4 24h, %]]%</f>
        <v>3.3989950455318283</v>
      </c>
      <c r="AL171" s="94">
        <f>Table3.110[[#This Row],[CH4 8-24h, ml]]+Table3.110[[#This Row],[CH4 8h, ml]]</f>
        <v>5.9922966201926968</v>
      </c>
      <c r="AM171" s="94">
        <f>(Table3.110[[#This Row],[Net gas 24h, ml]]/Table3.110[[#This Row],[DM Incubated, mg]])*1000</f>
        <v>76.397113101941954</v>
      </c>
      <c r="AN171" s="94">
        <f>'3.2 Digest'!X171</f>
        <v>19.768170894323493</v>
      </c>
      <c r="AO171" s="94">
        <f>Table3.110[[#This Row],[Digested feed, mg]]/Table3.110[[#This Row],[Net gas 24h, ml]]</f>
        <v>2.5875546982967084</v>
      </c>
      <c r="AP171" s="94">
        <f>Table3.110[[#This Row],[CH4 8h, ml]]/Table3.110[[#This Row],[Net gas 8h, ml]]%</f>
        <v>15.599999999999998</v>
      </c>
      <c r="AQ171" s="94">
        <f>Table3.110[[#This Row],[CH4 24h, ml]]/Table3.110[[#This Row],[Net gas 24h, ml]]%</f>
        <v>16.674819925728713</v>
      </c>
      <c r="AR171" s="94">
        <f>Table3.110[[#This Row],[CH4 24h, ml]]/Table3.110[[#This Row],[DM Incubated, mg]]*1000</f>
        <v>12.739081038204118</v>
      </c>
      <c r="AS171" s="94">
        <f>Table3.110[[#This Row],[CH4 24h, ml]]/Table3.110[[#This Row],[Digested feed, mg]]*1000</f>
        <v>64.442386229381469</v>
      </c>
      <c r="AT171" s="94">
        <f>Table3.110[[#This Row],[CH4 24h, ml]]/'3.2 Digest'!AA171</f>
        <v>-0.1988873534008854</v>
      </c>
      <c r="AU171" s="94">
        <f>((Table3.110[[#This Row],[CH4 24h, ml]]/28.9)*16.04)/Table3.110[[#This Row],[DM Incubated, mg]]*1000</f>
        <v>7.0704103755292058</v>
      </c>
      <c r="AV171" s="94">
        <f>((Table3.110[[#This Row],[CH4 24h, ml]]/28.9)*16.04)/Table3.110[[#This Row],[Digested feed, mg]]*1000</f>
        <v>35.766639277483691</v>
      </c>
    </row>
    <row r="172" spans="2:49" s="89" customFormat="1" x14ac:dyDescent="0.35">
      <c r="B172" s="90">
        <f t="shared" si="2"/>
        <v>162</v>
      </c>
      <c r="C172" s="140">
        <v>46043</v>
      </c>
      <c r="D172" s="6" t="s">
        <v>16</v>
      </c>
      <c r="E172" s="6" t="s">
        <v>62</v>
      </c>
      <c r="F172" s="133" t="s">
        <v>19</v>
      </c>
      <c r="G172" s="133" t="s">
        <v>20</v>
      </c>
      <c r="H172" s="133" t="s">
        <v>21</v>
      </c>
      <c r="I172" s="6" t="s">
        <v>22</v>
      </c>
      <c r="J172" s="129" t="s">
        <v>23</v>
      </c>
      <c r="K172" s="129" t="s">
        <v>24</v>
      </c>
      <c r="L172" s="6" t="s">
        <v>61</v>
      </c>
      <c r="M172" s="119">
        <v>27</v>
      </c>
      <c r="N172" s="93">
        <v>59</v>
      </c>
      <c r="O172" s="6">
        <v>2</v>
      </c>
      <c r="P172" s="129">
        <v>2</v>
      </c>
      <c r="Q172" s="6">
        <v>10</v>
      </c>
      <c r="R172" s="98">
        <v>0.5</v>
      </c>
      <c r="S172" s="94">
        <f>((Table3.110[[#This Row],[Sample weight, g]]*'2.1. DM'!Q45)/100)*1000</f>
        <v>470.29282430541667</v>
      </c>
      <c r="T172" s="94">
        <f>'3.2 Digest'!W172</f>
        <v>132.29282430541673</v>
      </c>
      <c r="U172" s="153">
        <v>0.37291666666666667</v>
      </c>
      <c r="V172" s="154">
        <v>41</v>
      </c>
      <c r="W172" s="153">
        <v>0.69513888888888886</v>
      </c>
      <c r="X172" s="91">
        <v>64.5</v>
      </c>
      <c r="Y172" s="91">
        <v>14.4</v>
      </c>
      <c r="Z172" s="154">
        <v>40.5</v>
      </c>
      <c r="AA172" s="153">
        <v>0.38750000000000001</v>
      </c>
      <c r="AB172" s="154">
        <v>65</v>
      </c>
      <c r="AC172" s="154">
        <v>17.5</v>
      </c>
      <c r="AD172" s="94"/>
      <c r="AE172" s="94">
        <f>Table3.110[[#This Row],[Gas 8h, ml]]-Table3.110[[#This Row],[Gas 0h, ml]]</f>
        <v>23.5</v>
      </c>
      <c r="AF172" s="94">
        <f>Table3.110[[#This Row],[Gas 24h, ml]]-Table3.110[[#This Row],[V8 Push back, ml]]</f>
        <v>24.5</v>
      </c>
      <c r="AG172" s="94">
        <f>Table3.110[[#This Row],[GP 8h, ml]]-(AVERAGE(AE$116,AE$117,AE$167,AE$166,AE$219,AE$220))*$AG$8</f>
        <v>20.623728042697874</v>
      </c>
      <c r="AH172" s="94">
        <f>Table3.110[[#This Row],[GP 8-24h, ml]]-(AVERAGE(AF$11,AF$12,AF$62,AF$61,AF$114,AF$115))*$AG$8</f>
        <v>20.81247184961266</v>
      </c>
      <c r="AI172" s="94">
        <f>Table3.110[[#This Row],[Net gas 8-24h, ml]]+Table3.110[[#This Row],[Net gas 8h, ml]]</f>
        <v>41.436199892310533</v>
      </c>
      <c r="AJ172" s="94">
        <f>Table3.110[[#This Row],[Net gas 8h, ml]]*Table3.110[[#This Row],[CH4 8h %]]%</f>
        <v>2.969816838148494</v>
      </c>
      <c r="AK172" s="94">
        <f>Table3.110[[#This Row],[Net gas 8-24h, ml]]*Table3.110[[#This Row],[CH4 24h, %]]%</f>
        <v>3.6421825736822151</v>
      </c>
      <c r="AL172" s="94">
        <f>Table3.110[[#This Row],[CH4 8-24h, ml]]+Table3.110[[#This Row],[CH4 8h, ml]]</f>
        <v>6.6119994118307091</v>
      </c>
      <c r="AM172" s="94">
        <f>(Table3.110[[#This Row],[Net gas 24h, ml]]/Table3.110[[#This Row],[DM Incubated, mg]])*1000</f>
        <v>88.107233941977213</v>
      </c>
      <c r="AN172" s="94">
        <f>'3.2 Digest'!X172</f>
        <v>28.129883652977739</v>
      </c>
      <c r="AO172" s="94">
        <f>Table3.110[[#This Row],[Digested feed, mg]]/Table3.110[[#This Row],[Net gas 24h, ml]]</f>
        <v>3.1926871829278629</v>
      </c>
      <c r="AP172" s="94">
        <f>Table3.110[[#This Row],[CH4 8h, ml]]/Table3.110[[#This Row],[Net gas 8h, ml]]%</f>
        <v>14.400000000000002</v>
      </c>
      <c r="AQ172" s="94">
        <f>Table3.110[[#This Row],[CH4 24h, ml]]/Table3.110[[#This Row],[Net gas 24h, ml]]%</f>
        <v>15.957060321686791</v>
      </c>
      <c r="AR172" s="94">
        <f>Table3.110[[#This Row],[CH4 24h, ml]]/Table3.110[[#This Row],[DM Incubated, mg]]*1000</f>
        <v>14.059324467891003</v>
      </c>
      <c r="AS172" s="94">
        <f>Table3.110[[#This Row],[CH4 24h, ml]]/Table3.110[[#This Row],[Digested feed, mg]]*1000</f>
        <v>49.980030636929868</v>
      </c>
      <c r="AT172" s="94">
        <f>Table3.110[[#This Row],[CH4 24h, ml]]/'3.2 Digest'!AA172</f>
        <v>-0.39910367641202227</v>
      </c>
      <c r="AU172" s="94">
        <f>((Table3.110[[#This Row],[CH4 24h, ml]]/28.9)*16.04)/Table3.110[[#This Row],[DM Incubated, mg]]*1000</f>
        <v>7.8031683205872548</v>
      </c>
      <c r="AV172" s="94">
        <f>((Table3.110[[#This Row],[CH4 24h, ml]]/28.9)*16.04)/Table3.110[[#This Row],[Digested feed, mg]]*1000</f>
        <v>27.739781709908481</v>
      </c>
    </row>
    <row r="173" spans="2:49" s="89" customFormat="1" x14ac:dyDescent="0.35">
      <c r="B173" s="90">
        <f t="shared" si="2"/>
        <v>163</v>
      </c>
      <c r="C173" s="140">
        <v>46043</v>
      </c>
      <c r="D173" s="6" t="s">
        <v>16</v>
      </c>
      <c r="E173" s="6" t="s">
        <v>62</v>
      </c>
      <c r="F173" s="133" t="s">
        <v>19</v>
      </c>
      <c r="G173" s="133" t="s">
        <v>20</v>
      </c>
      <c r="H173" s="133" t="s">
        <v>21</v>
      </c>
      <c r="I173" s="6" t="s">
        <v>22</v>
      </c>
      <c r="J173" s="129" t="s">
        <v>23</v>
      </c>
      <c r="K173" s="129" t="s">
        <v>24</v>
      </c>
      <c r="L173" s="6" t="s">
        <v>61</v>
      </c>
      <c r="M173" s="119">
        <v>27</v>
      </c>
      <c r="N173" s="93">
        <v>59</v>
      </c>
      <c r="O173" s="6">
        <v>2</v>
      </c>
      <c r="P173" s="129">
        <v>3</v>
      </c>
      <c r="Q173" s="6">
        <v>11</v>
      </c>
      <c r="R173" s="98">
        <v>0.5</v>
      </c>
      <c r="S173" s="110">
        <f>((Table3.110[[#This Row],[Sample weight, g]]*'2.1. DM'!Q45)/100)*1000</f>
        <v>470.29282430541667</v>
      </c>
      <c r="T173" s="94">
        <f>'3.2 Digest'!W173</f>
        <v>84.492824305416661</v>
      </c>
      <c r="U173" s="117">
        <v>0.37361111111111112</v>
      </c>
      <c r="V173" s="155">
        <v>41.5</v>
      </c>
      <c r="W173" s="117">
        <v>0.6958333333333333</v>
      </c>
      <c r="X173" s="96">
        <v>64.5</v>
      </c>
      <c r="Y173" s="96">
        <v>14</v>
      </c>
      <c r="Z173" s="155">
        <v>31</v>
      </c>
      <c r="AA173" s="117">
        <v>0.38819444444444445</v>
      </c>
      <c r="AB173" s="155">
        <v>64</v>
      </c>
      <c r="AC173" s="155">
        <v>17.2</v>
      </c>
      <c r="AD173" s="94"/>
      <c r="AE173" s="94">
        <f>Table3.110[[#This Row],[Gas 8h, ml]]-Table3.110[[#This Row],[Gas 0h, ml]]</f>
        <v>23</v>
      </c>
      <c r="AF173" s="94">
        <f>Table3.110[[#This Row],[Gas 24h, ml]]-Table3.110[[#This Row],[V8 Push back, ml]]</f>
        <v>33</v>
      </c>
      <c r="AG173" s="94">
        <f>Table3.110[[#This Row],[GP 8h, ml]]-(AVERAGE(AE$116,AE$117,AE$167,AE$166,AE$219,AE$220))*$AG$8</f>
        <v>20.123728042697874</v>
      </c>
      <c r="AH173" s="94">
        <f>Table3.110[[#This Row],[GP 8-24h, ml]]-(AVERAGE(AF$11,AF$12,AF$62,AF$61,AF$114,AF$115))*$AG$8</f>
        <v>29.31247184961266</v>
      </c>
      <c r="AI173" s="94">
        <f>Table3.110[[#This Row],[Net gas 8-24h, ml]]+Table3.110[[#This Row],[Net gas 8h, ml]]</f>
        <v>49.436199892310533</v>
      </c>
      <c r="AJ173" s="94">
        <f>Table3.110[[#This Row],[Net gas 8h, ml]]*Table3.110[[#This Row],[CH4 8h %]]%</f>
        <v>2.8173219259777027</v>
      </c>
      <c r="AK173" s="94">
        <f>Table3.110[[#This Row],[Net gas 8-24h, ml]]*Table3.110[[#This Row],[CH4 24h, %]]%</f>
        <v>5.0417451581333772</v>
      </c>
      <c r="AL173" s="94">
        <f>Table3.110[[#This Row],[CH4 8-24h, ml]]+Table3.110[[#This Row],[CH4 8h, ml]]</f>
        <v>7.8590670841110803</v>
      </c>
      <c r="AM173" s="94">
        <f>(Table3.110[[#This Row],[Net gas 24h, ml]]/Table3.110[[#This Row],[DM Incubated, mg]])*1000</f>
        <v>105.11791236730792</v>
      </c>
      <c r="AN173" s="94">
        <f>'3.2 Digest'!X173</f>
        <v>17.966003293842622</v>
      </c>
      <c r="AO173" s="94">
        <f>Table3.110[[#This Row],[Digested feed, mg]]/Table3.110[[#This Row],[Net gas 24h, ml]]</f>
        <v>1.7091286241554127</v>
      </c>
      <c r="AP173" s="94">
        <f>Table3.110[[#This Row],[CH4 8h, ml]]/Table3.110[[#This Row],[Net gas 8h, ml]]%</f>
        <v>14.000000000000002</v>
      </c>
      <c r="AQ173" s="94">
        <f>Table3.110[[#This Row],[CH4 24h, ml]]/Table3.110[[#This Row],[Net gas 24h, ml]]%</f>
        <v>15.897393208278343</v>
      </c>
      <c r="AR173" s="94">
        <f>Table3.110[[#This Row],[CH4 24h, ml]]/Table3.110[[#This Row],[DM Incubated, mg]]*1000</f>
        <v>16.71100786136439</v>
      </c>
      <c r="AS173" s="94">
        <f>Table3.110[[#This Row],[CH4 24h, ml]]/Table3.110[[#This Row],[Digested feed, mg]]*1000</f>
        <v>93.01460980524061</v>
      </c>
      <c r="AT173" s="94">
        <f>Table3.110[[#This Row],[CH4 24h, ml]]/'3.2 Digest'!AA173</f>
        <v>-0.23777844519701297</v>
      </c>
      <c r="AU173" s="94">
        <f>((Table3.110[[#This Row],[CH4 24h, ml]]/28.9)*16.04)/Table3.110[[#This Row],[DM Incubated, mg]]*1000</f>
        <v>9.2748984808403048</v>
      </c>
      <c r="AV173" s="94">
        <f>((Table3.110[[#This Row],[CH4 24h, ml]]/28.9)*16.04)/Table3.110[[#This Row],[Digested feed, mg]]*1000</f>
        <v>51.624717691213128</v>
      </c>
    </row>
    <row r="174" spans="2:49" s="89" customFormat="1" x14ac:dyDescent="0.35">
      <c r="B174" s="90">
        <f t="shared" si="2"/>
        <v>164</v>
      </c>
      <c r="C174" s="140">
        <v>46043</v>
      </c>
      <c r="D174" s="6" t="s">
        <v>16</v>
      </c>
      <c r="E174" s="6" t="s">
        <v>64</v>
      </c>
      <c r="F174" s="133" t="s">
        <v>19</v>
      </c>
      <c r="G174" s="133" t="s">
        <v>20</v>
      </c>
      <c r="H174" s="133" t="s">
        <v>21</v>
      </c>
      <c r="I174" s="6" t="s">
        <v>22</v>
      </c>
      <c r="J174" s="129" t="s">
        <v>23</v>
      </c>
      <c r="K174" s="129" t="s">
        <v>24</v>
      </c>
      <c r="L174" s="6" t="s">
        <v>63</v>
      </c>
      <c r="M174" s="119">
        <v>27</v>
      </c>
      <c r="N174" s="93">
        <v>59</v>
      </c>
      <c r="O174" s="6">
        <v>2</v>
      </c>
      <c r="P174" s="129">
        <v>1</v>
      </c>
      <c r="Q174" s="6">
        <v>12</v>
      </c>
      <c r="R174" s="98">
        <v>0.50009999999999999</v>
      </c>
      <c r="S174" s="94">
        <f>((Table3.110[[#This Row],[Sample weight, g]]*'2.1. DM'!Q47)/100)*1000</f>
        <v>476.53083435852693</v>
      </c>
      <c r="T174" s="94">
        <f>'3.2 Digest'!W174</f>
        <v>139.330834358527</v>
      </c>
      <c r="U174" s="153">
        <v>0.37361111111111112</v>
      </c>
      <c r="V174" s="154">
        <v>41</v>
      </c>
      <c r="W174" s="153">
        <v>0.6958333333333333</v>
      </c>
      <c r="X174" s="91">
        <v>69.5</v>
      </c>
      <c r="Y174" s="91">
        <v>14.5</v>
      </c>
      <c r="Z174" s="154">
        <v>40.5</v>
      </c>
      <c r="AA174" s="153">
        <v>0.38819444444444445</v>
      </c>
      <c r="AB174" s="154">
        <v>69</v>
      </c>
      <c r="AC174" s="154">
        <v>17.8</v>
      </c>
      <c r="AD174" s="94"/>
      <c r="AE174" s="94">
        <f>Table3.110[[#This Row],[Gas 8h, ml]]-Table3.110[[#This Row],[Gas 0h, ml]]</f>
        <v>28.5</v>
      </c>
      <c r="AF174" s="94">
        <f>Table3.110[[#This Row],[Gas 24h, ml]]-Table3.110[[#This Row],[V8 Push back, ml]]</f>
        <v>28.5</v>
      </c>
      <c r="AG174" s="94">
        <f>Table3.110[[#This Row],[GP 8h, ml]]-(AVERAGE(AE$116,AE$117,AE$167,AE$166,AE$219,AE$220))*$AG$8</f>
        <v>25.623728042697874</v>
      </c>
      <c r="AH174" s="94">
        <f>Table3.110[[#This Row],[GP 8-24h, ml]]-(AVERAGE(AF$11,AF$12,AF$62,AF$61,AF$114,AF$115))*$AG$8</f>
        <v>24.81247184961266</v>
      </c>
      <c r="AI174" s="94">
        <f>Table3.110[[#This Row],[Net gas 8-24h, ml]]+Table3.110[[#This Row],[Net gas 8h, ml]]</f>
        <v>50.436199892310533</v>
      </c>
      <c r="AJ174" s="94">
        <f>Table3.110[[#This Row],[Net gas 8h, ml]]*Table3.110[[#This Row],[CH4 8h %]]%</f>
        <v>3.7154405661911913</v>
      </c>
      <c r="AK174" s="94">
        <f>Table3.110[[#This Row],[Net gas 8-24h, ml]]*Table3.110[[#This Row],[CH4 24h, %]]%</f>
        <v>4.4166199892310543</v>
      </c>
      <c r="AL174" s="94">
        <f>Table3.110[[#This Row],[CH4 8-24h, ml]]+Table3.110[[#This Row],[CH4 8h, ml]]</f>
        <v>8.132060555422246</v>
      </c>
      <c r="AM174" s="94">
        <f>(Table3.110[[#This Row],[Net gas 24h, ml]]/Table3.110[[#This Row],[DM Incubated, mg]])*1000</f>
        <v>105.8403701414291</v>
      </c>
      <c r="AN174" s="94">
        <f>'3.2 Digest'!X174</f>
        <v>29.238576879518106</v>
      </c>
      <c r="AO174" s="94">
        <f>Table3.110[[#This Row],[Digested feed, mg]]/Table3.110[[#This Row],[Net gas 24h, ml]]</f>
        <v>2.7625164991815585</v>
      </c>
      <c r="AP174" s="94">
        <f>Table3.110[[#This Row],[CH4 8h, ml]]/Table3.110[[#This Row],[Net gas 8h, ml]]%</f>
        <v>14.499999999999998</v>
      </c>
      <c r="AQ174" s="94">
        <f>Table3.110[[#This Row],[CH4 24h, ml]]/Table3.110[[#This Row],[Net gas 24h, ml]]%</f>
        <v>16.123460079834555</v>
      </c>
      <c r="AR174" s="94">
        <f>Table3.110[[#This Row],[CH4 24h, ml]]/Table3.110[[#This Row],[DM Incubated, mg]]*1000</f>
        <v>17.065129828102449</v>
      </c>
      <c r="AS174" s="94">
        <f>Table3.110[[#This Row],[CH4 24h, ml]]/Table3.110[[#This Row],[Digested feed, mg]]*1000</f>
        <v>58.365117763500756</v>
      </c>
      <c r="AT174" s="94">
        <f>Table3.110[[#This Row],[CH4 24h, ml]]/'3.2 Digest'!AA174</f>
        <v>-0.42867946544160229</v>
      </c>
      <c r="AU174" s="94">
        <f>((Table3.110[[#This Row],[CH4 24h, ml]]/28.9)*16.04)/Table3.110[[#This Row],[DM Incubated, mg]]*1000</f>
        <v>9.4714422990575553</v>
      </c>
      <c r="AV174" s="94">
        <f>((Table3.110[[#This Row],[CH4 24h, ml]]/28.9)*16.04)/Table3.110[[#This Row],[Digested feed, mg]]*1000</f>
        <v>32.393650135866856</v>
      </c>
    </row>
    <row r="175" spans="2:49" s="89" customFormat="1" x14ac:dyDescent="0.35">
      <c r="B175" s="90">
        <f t="shared" si="2"/>
        <v>165</v>
      </c>
      <c r="C175" s="140">
        <v>46043</v>
      </c>
      <c r="D175" s="6" t="s">
        <v>16</v>
      </c>
      <c r="E175" s="6" t="s">
        <v>64</v>
      </c>
      <c r="F175" s="133" t="s">
        <v>19</v>
      </c>
      <c r="G175" s="133" t="s">
        <v>20</v>
      </c>
      <c r="H175" s="133" t="s">
        <v>21</v>
      </c>
      <c r="I175" s="6" t="s">
        <v>22</v>
      </c>
      <c r="J175" s="129" t="s">
        <v>23</v>
      </c>
      <c r="K175" s="129" t="s">
        <v>24</v>
      </c>
      <c r="L175" s="6" t="s">
        <v>63</v>
      </c>
      <c r="M175" s="119">
        <v>27</v>
      </c>
      <c r="N175" s="93">
        <v>59</v>
      </c>
      <c r="O175" s="6">
        <v>2</v>
      </c>
      <c r="P175" s="129">
        <v>2</v>
      </c>
      <c r="Q175" s="6">
        <v>13</v>
      </c>
      <c r="R175" s="98">
        <v>0.50019999999999998</v>
      </c>
      <c r="S175" s="110">
        <f>((Table3.110[[#This Row],[Sample weight, g]]*'2.1. DM'!Q47)/100)*1000</f>
        <v>476.62612146797676</v>
      </c>
      <c r="T175" s="94">
        <f>'3.2 Digest'!W175</f>
        <v>109.32612146797669</v>
      </c>
      <c r="U175" s="117">
        <v>0.37361111111111112</v>
      </c>
      <c r="V175" s="155">
        <v>41</v>
      </c>
      <c r="W175" s="117">
        <v>0.69652777777777775</v>
      </c>
      <c r="X175" s="96">
        <v>69</v>
      </c>
      <c r="Y175" s="96">
        <v>14</v>
      </c>
      <c r="Z175" s="155">
        <v>39.5</v>
      </c>
      <c r="AA175" s="117">
        <v>0.3888888888888889</v>
      </c>
      <c r="AB175" s="155">
        <v>68</v>
      </c>
      <c r="AC175" s="155">
        <v>18</v>
      </c>
      <c r="AD175" s="94"/>
      <c r="AE175" s="94">
        <f>Table3.110[[#This Row],[Gas 8h, ml]]-Table3.110[[#This Row],[Gas 0h, ml]]</f>
        <v>28</v>
      </c>
      <c r="AF175" s="94">
        <f>Table3.110[[#This Row],[Gas 24h, ml]]-Table3.110[[#This Row],[V8 Push back, ml]]</f>
        <v>28.5</v>
      </c>
      <c r="AG175" s="94">
        <f>Table3.110[[#This Row],[GP 8h, ml]]-(AVERAGE(AE$116,AE$117,AE$167,AE$166,AE$219,AE$220))*$AG$8</f>
        <v>25.123728042697874</v>
      </c>
      <c r="AH175" s="94">
        <f>Table3.110[[#This Row],[GP 8-24h, ml]]-(AVERAGE(AF$11,AF$12,AF$62,AF$61,AF$114,AF$115))*$AG$8</f>
        <v>24.81247184961266</v>
      </c>
      <c r="AI175" s="94">
        <f>Table3.110[[#This Row],[Net gas 8-24h, ml]]+Table3.110[[#This Row],[Net gas 8h, ml]]</f>
        <v>49.936199892310533</v>
      </c>
      <c r="AJ175" s="94">
        <f>Table3.110[[#This Row],[Net gas 8h, ml]]*Table3.110[[#This Row],[CH4 8h %]]%</f>
        <v>3.5173219259777024</v>
      </c>
      <c r="AK175" s="94">
        <f>Table3.110[[#This Row],[Net gas 8-24h, ml]]*Table3.110[[#This Row],[CH4 24h, %]]%</f>
        <v>4.4662449329302785</v>
      </c>
      <c r="AL175" s="94">
        <f>Table3.110[[#This Row],[CH4 8-24h, ml]]+Table3.110[[#This Row],[CH4 8h, ml]]</f>
        <v>7.9835668589079809</v>
      </c>
      <c r="AM175" s="94">
        <f>(Table3.110[[#This Row],[Net gas 24h, ml]]/Table3.110[[#This Row],[DM Incubated, mg]])*1000</f>
        <v>104.7701702510772</v>
      </c>
      <c r="AN175" s="94">
        <f>'3.2 Digest'!X175</f>
        <v>22.937501018882369</v>
      </c>
      <c r="AO175" s="94">
        <f>Table3.110[[#This Row],[Digested feed, mg]]/Table3.110[[#This Row],[Net gas 24h, ml]]</f>
        <v>2.1893160012925086</v>
      </c>
      <c r="AP175" s="94">
        <f>Table3.110[[#This Row],[CH4 8h, ml]]/Table3.110[[#This Row],[Net gas 8h, ml]]%</f>
        <v>14</v>
      </c>
      <c r="AQ175" s="94">
        <f>Table3.110[[#This Row],[CH4 24h, ml]]/Table3.110[[#This Row],[Net gas 24h, ml]]%</f>
        <v>15.987533845436518</v>
      </c>
      <c r="AR175" s="94">
        <f>Table3.110[[#This Row],[CH4 24h, ml]]/Table3.110[[#This Row],[DM Incubated, mg]]*1000</f>
        <v>16.750166428812435</v>
      </c>
      <c r="AS175" s="94">
        <f>Table3.110[[#This Row],[CH4 24h, ml]]/Table3.110[[#This Row],[Digested feed, mg]]*1000</f>
        <v>73.025245492189995</v>
      </c>
      <c r="AT175" s="94">
        <f>Table3.110[[#This Row],[CH4 24h, ml]]/'3.2 Digest'!AA175</f>
        <v>-0.27004424131587584</v>
      </c>
      <c r="AU175" s="94">
        <f>((Table3.110[[#This Row],[CH4 24h, ml]]/28.9)*16.04)/Table3.110[[#This Row],[DM Incubated, mg]]*1000</f>
        <v>9.2966321632578328</v>
      </c>
      <c r="AV175" s="94">
        <f>((Table3.110[[#This Row],[CH4 24h, ml]]/28.9)*16.04)/Table3.110[[#This Row],[Digested feed, mg]]*1000</f>
        <v>40.530274660717218</v>
      </c>
    </row>
    <row r="176" spans="2:49" s="89" customFormat="1" x14ac:dyDescent="0.35">
      <c r="B176" s="90">
        <f t="shared" si="2"/>
        <v>166</v>
      </c>
      <c r="C176" s="140">
        <v>46043</v>
      </c>
      <c r="D176" s="6" t="s">
        <v>16</v>
      </c>
      <c r="E176" s="6" t="s">
        <v>64</v>
      </c>
      <c r="F176" s="133" t="s">
        <v>19</v>
      </c>
      <c r="G176" s="133" t="s">
        <v>20</v>
      </c>
      <c r="H176" s="133" t="s">
        <v>21</v>
      </c>
      <c r="I176" s="6" t="s">
        <v>22</v>
      </c>
      <c r="J176" s="129" t="s">
        <v>23</v>
      </c>
      <c r="K176" s="129" t="s">
        <v>24</v>
      </c>
      <c r="L176" s="6" t="s">
        <v>63</v>
      </c>
      <c r="M176" s="119">
        <v>27</v>
      </c>
      <c r="N176" s="93">
        <v>59</v>
      </c>
      <c r="O176" s="6">
        <v>2</v>
      </c>
      <c r="P176" s="129">
        <v>3</v>
      </c>
      <c r="Q176" s="6">
        <v>14</v>
      </c>
      <c r="R176" s="98">
        <v>0.50019999999999998</v>
      </c>
      <c r="S176" s="94">
        <f>((Table3.110[[#This Row],[Sample weight, g]]*'2.1. DM'!Q47)/100)*1000</f>
        <v>476.62612146797676</v>
      </c>
      <c r="T176" s="94">
        <f>'3.2 Digest'!W176</f>
        <v>140.72612146797678</v>
      </c>
      <c r="U176" s="153">
        <v>0.37430555555555556</v>
      </c>
      <c r="V176" s="155">
        <v>40.5</v>
      </c>
      <c r="W176" s="153">
        <v>0.69722222222222219</v>
      </c>
      <c r="X176" s="91">
        <v>70.5</v>
      </c>
      <c r="Y176" s="91">
        <v>13.5</v>
      </c>
      <c r="Z176" s="154">
        <v>39.5</v>
      </c>
      <c r="AA176" s="153">
        <v>0.38958333333333334</v>
      </c>
      <c r="AB176" s="154">
        <v>69</v>
      </c>
      <c r="AC176" s="154">
        <v>17.7</v>
      </c>
      <c r="AD176" s="94"/>
      <c r="AE176" s="94">
        <f>Table3.110[[#This Row],[Gas 8h, ml]]-Table3.110[[#This Row],[Gas 0h, ml]]</f>
        <v>30</v>
      </c>
      <c r="AF176" s="94">
        <f>Table3.110[[#This Row],[Gas 24h, ml]]-Table3.110[[#This Row],[V8 Push back, ml]]</f>
        <v>29.5</v>
      </c>
      <c r="AG176" s="94">
        <f>Table3.110[[#This Row],[GP 8h, ml]]-(AVERAGE(AE$116,AE$117,AE$167,AE$166,AE$219,AE$220))*$AG$8</f>
        <v>27.123728042697874</v>
      </c>
      <c r="AH176" s="94">
        <f>Table3.110[[#This Row],[GP 8-24h, ml]]-(AVERAGE(AF$11,AF$12,AF$62,AF$61,AF$114,AF$115))*$AG$8</f>
        <v>25.81247184961266</v>
      </c>
      <c r="AI176" s="94">
        <f>Table3.110[[#This Row],[Net gas 8-24h, ml]]+Table3.110[[#This Row],[Net gas 8h, ml]]</f>
        <v>52.936199892310533</v>
      </c>
      <c r="AJ176" s="94">
        <f>Table3.110[[#This Row],[Net gas 8h, ml]]*Table3.110[[#This Row],[CH4 8h %]]%</f>
        <v>3.6617032857642133</v>
      </c>
      <c r="AK176" s="94">
        <f>Table3.110[[#This Row],[Net gas 8-24h, ml]]*Table3.110[[#This Row],[CH4 24h, %]]%</f>
        <v>4.5688075173814404</v>
      </c>
      <c r="AL176" s="94">
        <f>Table3.110[[#This Row],[CH4 8-24h, ml]]+Table3.110[[#This Row],[CH4 8h, ml]]</f>
        <v>8.2305108031456538</v>
      </c>
      <c r="AM176" s="94">
        <f>(Table3.110[[#This Row],[Net gas 24h, ml]]/Table3.110[[#This Row],[DM Incubated, mg]])*1000</f>
        <v>111.06441193208329</v>
      </c>
      <c r="AN176" s="94">
        <f>'3.2 Digest'!X176</f>
        <v>29.525473978335405</v>
      </c>
      <c r="AO176" s="94">
        <f>Table3.110[[#This Row],[Digested feed, mg]]/Table3.110[[#This Row],[Net gas 24h, ml]]</f>
        <v>2.6584099681174611</v>
      </c>
      <c r="AP176" s="94">
        <f>Table3.110[[#This Row],[CH4 8h, ml]]/Table3.110[[#This Row],[Net gas 8h, ml]]%</f>
        <v>13.5</v>
      </c>
      <c r="AQ176" s="94">
        <f>Table3.110[[#This Row],[CH4 24h, ml]]/Table3.110[[#This Row],[Net gas 24h, ml]]%</f>
        <v>15.547981947871575</v>
      </c>
      <c r="AR176" s="94">
        <f>Table3.110[[#This Row],[CH4 24h, ml]]/Table3.110[[#This Row],[DM Incubated, mg]]*1000</f>
        <v>17.268274717710032</v>
      </c>
      <c r="AS176" s="94">
        <f>Table3.110[[#This Row],[CH4 24h, ml]]/Table3.110[[#This Row],[Digested feed, mg]]*1000</f>
        <v>58.486020344265398</v>
      </c>
      <c r="AT176" s="94">
        <f>Table3.110[[#This Row],[CH4 24h, ml]]/'3.2 Digest'!AA176</f>
        <v>-0.44518917701022986</v>
      </c>
      <c r="AU176" s="94">
        <f>((Table3.110[[#This Row],[CH4 24h, ml]]/28.9)*16.04)/Table3.110[[#This Row],[DM Incubated, mg]]*1000</f>
        <v>9.5841912274072296</v>
      </c>
      <c r="AV176" s="94">
        <f>((Table3.110[[#This Row],[CH4 24h, ml]]/28.9)*16.04)/Table3.110[[#This Row],[Digested feed, mg]]*1000</f>
        <v>32.460753159931386</v>
      </c>
    </row>
    <row r="177" spans="2:49" s="89" customFormat="1" x14ac:dyDescent="0.35">
      <c r="B177" s="90">
        <f t="shared" si="2"/>
        <v>167</v>
      </c>
      <c r="C177" s="140">
        <v>46043</v>
      </c>
      <c r="D177" s="6" t="s">
        <v>16</v>
      </c>
      <c r="E177" s="6" t="s">
        <v>66</v>
      </c>
      <c r="F177" s="133" t="s">
        <v>19</v>
      </c>
      <c r="G177" s="133" t="s">
        <v>67</v>
      </c>
      <c r="H177" s="133" t="s">
        <v>68</v>
      </c>
      <c r="I177" s="6" t="s">
        <v>22</v>
      </c>
      <c r="J177" s="129" t="s">
        <v>23</v>
      </c>
      <c r="K177" s="129" t="s">
        <v>24</v>
      </c>
      <c r="L177" s="6" t="s">
        <v>65</v>
      </c>
      <c r="M177" s="119">
        <v>27</v>
      </c>
      <c r="N177" s="93">
        <v>59</v>
      </c>
      <c r="O177" s="6">
        <v>2</v>
      </c>
      <c r="P177" s="129">
        <v>1</v>
      </c>
      <c r="Q177" s="6">
        <v>15</v>
      </c>
      <c r="R177" s="98">
        <v>0.5</v>
      </c>
      <c r="S177" s="94">
        <f>((Table3.110[[#This Row],[Sample weight, g]]*'2.1. DM'!Q49)/100)*1000</f>
        <v>473.35781031381202</v>
      </c>
      <c r="T177" s="94">
        <f>'3.2 Digest'!W177</f>
        <v>131.757810313812</v>
      </c>
      <c r="U177" s="117">
        <v>0.375</v>
      </c>
      <c r="V177" s="155">
        <v>41.5</v>
      </c>
      <c r="W177" s="117">
        <v>0.69722222222222219</v>
      </c>
      <c r="X177" s="96">
        <v>66.5</v>
      </c>
      <c r="Y177" s="96">
        <v>13.7</v>
      </c>
      <c r="Z177" s="155">
        <v>39.5</v>
      </c>
      <c r="AA177" s="117">
        <v>0.38958333333333334</v>
      </c>
      <c r="AB177" s="155">
        <v>68</v>
      </c>
      <c r="AC177" s="155">
        <v>17.5</v>
      </c>
      <c r="AD177" s="94"/>
      <c r="AE177" s="94">
        <f>Table3.110[[#This Row],[Gas 8h, ml]]-Table3.110[[#This Row],[Gas 0h, ml]]</f>
        <v>25</v>
      </c>
      <c r="AF177" s="94">
        <f>Table3.110[[#This Row],[Gas 24h, ml]]-Table3.110[[#This Row],[V8 Push back, ml]]</f>
        <v>28.5</v>
      </c>
      <c r="AG177" s="94">
        <f>Table3.110[[#This Row],[GP 8h, ml]]-(AVERAGE(AE$116,AE$117,AE$167,AE$166,AE$219,AE$220))*$AG$8</f>
        <v>22.123728042697874</v>
      </c>
      <c r="AH177" s="94">
        <f>Table3.110[[#This Row],[GP 8-24h, ml]]-(AVERAGE(AF$11,AF$12,AF$62,AF$61,AF$114,AF$115))*$AG$8</f>
        <v>24.81247184961266</v>
      </c>
      <c r="AI177" s="94">
        <f>Table3.110[[#This Row],[Net gas 8-24h, ml]]+Table3.110[[#This Row],[Net gas 8h, ml]]</f>
        <v>46.936199892310533</v>
      </c>
      <c r="AJ177" s="94">
        <f>Table3.110[[#This Row],[Net gas 8h, ml]]*Table3.110[[#This Row],[CH4 8h %]]%</f>
        <v>3.0309507418496082</v>
      </c>
      <c r="AK177" s="94">
        <f>Table3.110[[#This Row],[Net gas 8-24h, ml]]*Table3.110[[#This Row],[CH4 24h, %]]%</f>
        <v>4.3421825736822148</v>
      </c>
      <c r="AL177" s="94">
        <f>Table3.110[[#This Row],[CH4 8-24h, ml]]+Table3.110[[#This Row],[CH4 8h, ml]]</f>
        <v>7.3731333155318231</v>
      </c>
      <c r="AM177" s="94">
        <f>(Table3.110[[#This Row],[Net gas 24h, ml]]/Table3.110[[#This Row],[DM Incubated, mg]])*1000</f>
        <v>99.155858147126025</v>
      </c>
      <c r="AN177" s="94">
        <f>'3.2 Digest'!X177</f>
        <v>27.834717721561052</v>
      </c>
      <c r="AO177" s="94">
        <f>Table3.110[[#This Row],[Digested feed, mg]]/Table3.110[[#This Row],[Net gas 24h, ml]]</f>
        <v>2.8071682542709988</v>
      </c>
      <c r="AP177" s="94">
        <f>Table3.110[[#This Row],[CH4 8h, ml]]/Table3.110[[#This Row],[Net gas 8h, ml]]%</f>
        <v>13.699999999999998</v>
      </c>
      <c r="AQ177" s="94">
        <f>Table3.110[[#This Row],[CH4 24h, ml]]/Table3.110[[#This Row],[Net gas 24h, ml]]%</f>
        <v>15.708841645571203</v>
      </c>
      <c r="AR177" s="94">
        <f>Table3.110[[#This Row],[CH4 24h, ml]]/Table3.110[[#This Row],[DM Incubated, mg]]*1000</f>
        <v>15.576236738639238</v>
      </c>
      <c r="AS177" s="94">
        <f>Table3.110[[#This Row],[CH4 24h, ml]]/Table3.110[[#This Row],[Digested feed, mg]]*1000</f>
        <v>55.95974385101713</v>
      </c>
      <c r="AT177" s="94">
        <f>Table3.110[[#This Row],[CH4 24h, ml]]/'3.2 Digest'!AA177</f>
        <v>-0.35511670338234702</v>
      </c>
      <c r="AU177" s="94">
        <f>((Table3.110[[#This Row],[CH4 24h, ml]]/28.9)*16.04)/Table3.110[[#This Row],[DM Incubated, mg]]*1000</f>
        <v>8.6450808750094605</v>
      </c>
      <c r="AV177" s="94">
        <f>((Table3.110[[#This Row],[CH4 24h, ml]]/28.9)*16.04)/Table3.110[[#This Row],[Digested feed, mg]]*1000</f>
        <v>31.058625998972836</v>
      </c>
    </row>
    <row r="178" spans="2:49" s="89" customFormat="1" x14ac:dyDescent="0.35">
      <c r="B178" s="90">
        <f t="shared" si="2"/>
        <v>168</v>
      </c>
      <c r="C178" s="140">
        <v>46043</v>
      </c>
      <c r="D178" s="6" t="s">
        <v>16</v>
      </c>
      <c r="E178" s="6" t="s">
        <v>66</v>
      </c>
      <c r="F178" s="133" t="s">
        <v>19</v>
      </c>
      <c r="G178" s="133" t="s">
        <v>67</v>
      </c>
      <c r="H178" s="133" t="s">
        <v>68</v>
      </c>
      <c r="I178" s="6" t="s">
        <v>22</v>
      </c>
      <c r="J178" s="129" t="s">
        <v>23</v>
      </c>
      <c r="K178" s="129" t="s">
        <v>24</v>
      </c>
      <c r="L178" s="6" t="s">
        <v>65</v>
      </c>
      <c r="M178" s="119">
        <v>27</v>
      </c>
      <c r="N178" s="93">
        <v>59</v>
      </c>
      <c r="O178" s="6">
        <v>2</v>
      </c>
      <c r="P178" s="129">
        <v>2</v>
      </c>
      <c r="Q178" s="6">
        <v>16</v>
      </c>
      <c r="R178" s="98">
        <v>0.50039999999999996</v>
      </c>
      <c r="S178" s="94">
        <f>((Table3.110[[#This Row],[Sample weight, g]]*'2.1. DM'!Q49)/100)*1000</f>
        <v>473.736496562063</v>
      </c>
      <c r="T178" s="94">
        <f>'3.2 Digest'!W178</f>
        <v>163.43649656206298</v>
      </c>
      <c r="U178" s="153">
        <v>0.37569444444444444</v>
      </c>
      <c r="V178" s="155">
        <v>41</v>
      </c>
      <c r="W178" s="153">
        <v>0.69791666666666663</v>
      </c>
      <c r="X178" s="91">
        <v>66.5</v>
      </c>
      <c r="Y178" s="91">
        <v>13.7</v>
      </c>
      <c r="Z178" s="154">
        <v>40.5</v>
      </c>
      <c r="AA178" s="153">
        <v>0.39027777777777778</v>
      </c>
      <c r="AB178" s="154">
        <v>70</v>
      </c>
      <c r="AC178" s="154">
        <v>17.2</v>
      </c>
      <c r="AD178" s="94"/>
      <c r="AE178" s="94">
        <f>Table3.110[[#This Row],[Gas 8h, ml]]-Table3.110[[#This Row],[Gas 0h, ml]]</f>
        <v>25.5</v>
      </c>
      <c r="AF178" s="94">
        <f>Table3.110[[#This Row],[Gas 24h, ml]]-Table3.110[[#This Row],[V8 Push back, ml]]</f>
        <v>29.5</v>
      </c>
      <c r="AG178" s="94">
        <f>Table3.110[[#This Row],[GP 8h, ml]]-(AVERAGE(AE$116,AE$117,AE$167,AE$166,AE$219,AE$220))*$AG$8</f>
        <v>22.623728042697874</v>
      </c>
      <c r="AH178" s="94">
        <f>Table3.110[[#This Row],[GP 8-24h, ml]]-(AVERAGE(AF$11,AF$12,AF$62,AF$61,AF$114,AF$115))*$AG$8</f>
        <v>25.81247184961266</v>
      </c>
      <c r="AI178" s="94">
        <f>Table3.110[[#This Row],[Net gas 8-24h, ml]]+Table3.110[[#This Row],[Net gas 8h, ml]]</f>
        <v>48.436199892310533</v>
      </c>
      <c r="AJ178" s="94">
        <f>Table3.110[[#This Row],[Net gas 8h, ml]]*Table3.110[[#This Row],[CH4 8h %]]%</f>
        <v>3.0994507418496084</v>
      </c>
      <c r="AK178" s="94">
        <f>Table3.110[[#This Row],[Net gas 8-24h, ml]]*Table3.110[[#This Row],[CH4 24h, %]]%</f>
        <v>4.4397451581333769</v>
      </c>
      <c r="AL178" s="94">
        <f>Table3.110[[#This Row],[CH4 8-24h, ml]]+Table3.110[[#This Row],[CH4 8h, ml]]</f>
        <v>7.5391958999829853</v>
      </c>
      <c r="AM178" s="94">
        <f>(Table3.110[[#This Row],[Net gas 24h, ml]]/Table3.110[[#This Row],[DM Incubated, mg]])*1000</f>
        <v>102.24291403304417</v>
      </c>
      <c r="AN178" s="94">
        <f>'3.2 Digest'!X178</f>
        <v>34.499452279512433</v>
      </c>
      <c r="AO178" s="94">
        <f>Table3.110[[#This Row],[Digested feed, mg]]/Table3.110[[#This Row],[Net gas 24h, ml]]</f>
        <v>3.3742634006267131</v>
      </c>
      <c r="AP178" s="94">
        <f>Table3.110[[#This Row],[CH4 8h, ml]]/Table3.110[[#This Row],[Net gas 8h, ml]]%</f>
        <v>13.7</v>
      </c>
      <c r="AQ178" s="94">
        <f>Table3.110[[#This Row],[CH4 24h, ml]]/Table3.110[[#This Row],[Net gas 24h, ml]]%</f>
        <v>15.565209320188364</v>
      </c>
      <c r="AR178" s="94">
        <f>Table3.110[[#This Row],[CH4 24h, ml]]/Table3.110[[#This Row],[DM Incubated, mg]]*1000</f>
        <v>15.914323584303569</v>
      </c>
      <c r="AS178" s="94">
        <f>Table3.110[[#This Row],[CH4 24h, ml]]/Table3.110[[#This Row],[Digested feed, mg]]*1000</f>
        <v>46.129206502661845</v>
      </c>
      <c r="AT178" s="94">
        <f>Table3.110[[#This Row],[CH4 24h, ml]]/'3.2 Digest'!AA178</f>
        <v>-0.78454115371061817</v>
      </c>
      <c r="AU178" s="94">
        <f>((Table3.110[[#This Row],[CH4 24h, ml]]/28.9)*16.04)/Table3.110[[#This Row],[DM Incubated, mg]]*1000</f>
        <v>8.8327249236065484</v>
      </c>
      <c r="AV178" s="94">
        <f>((Table3.110[[#This Row],[CH4 24h, ml]]/28.9)*16.04)/Table3.110[[#This Row],[Digested feed, mg]]*1000</f>
        <v>25.602507692134807</v>
      </c>
    </row>
    <row r="179" spans="2:49" s="89" customFormat="1" x14ac:dyDescent="0.35">
      <c r="B179" s="90">
        <f t="shared" si="2"/>
        <v>169</v>
      </c>
      <c r="C179" s="140">
        <v>46043</v>
      </c>
      <c r="D179" s="6" t="s">
        <v>16</v>
      </c>
      <c r="E179" s="6" t="s">
        <v>66</v>
      </c>
      <c r="F179" s="133" t="s">
        <v>19</v>
      </c>
      <c r="G179" s="133" t="s">
        <v>67</v>
      </c>
      <c r="H179" s="133" t="s">
        <v>68</v>
      </c>
      <c r="I179" s="6" t="s">
        <v>22</v>
      </c>
      <c r="J179" s="129" t="s">
        <v>23</v>
      </c>
      <c r="K179" s="129" t="s">
        <v>24</v>
      </c>
      <c r="L179" s="6" t="s">
        <v>65</v>
      </c>
      <c r="M179" s="119">
        <v>27</v>
      </c>
      <c r="N179" s="93">
        <v>59</v>
      </c>
      <c r="O179" s="6">
        <v>2</v>
      </c>
      <c r="P179" s="129">
        <v>3</v>
      </c>
      <c r="Q179" s="6">
        <v>17</v>
      </c>
      <c r="R179" s="98">
        <v>0.50039999999999996</v>
      </c>
      <c r="S179" s="94">
        <f>((Table3.110[[#This Row],[Sample weight, g]]*'2.1. DM'!Q49)/100)*1000</f>
        <v>473.736496562063</v>
      </c>
      <c r="T179" s="94">
        <f>'3.2 Digest'!W179</f>
        <v>159.83649656206291</v>
      </c>
      <c r="U179" s="117">
        <v>0.37569444444444444</v>
      </c>
      <c r="V179" s="155">
        <v>41.5</v>
      </c>
      <c r="W179" s="117">
        <v>0.69861111111111107</v>
      </c>
      <c r="X179" s="96">
        <v>67</v>
      </c>
      <c r="Y179" s="96">
        <v>13.5</v>
      </c>
      <c r="Z179" s="155">
        <v>40</v>
      </c>
      <c r="AA179" s="117">
        <v>0.39097222222222222</v>
      </c>
      <c r="AB179" s="155">
        <v>69</v>
      </c>
      <c r="AC179" s="155">
        <v>17.399999999999999</v>
      </c>
      <c r="AD179" s="94"/>
      <c r="AE179" s="94">
        <f>Table3.110[[#This Row],[Gas 8h, ml]]-Table3.110[[#This Row],[Gas 0h, ml]]</f>
        <v>25.5</v>
      </c>
      <c r="AF179" s="94">
        <f>Table3.110[[#This Row],[Gas 24h, ml]]-Table3.110[[#This Row],[V8 Push back, ml]]</f>
        <v>29</v>
      </c>
      <c r="AG179" s="94">
        <f>Table3.110[[#This Row],[GP 8h, ml]]-(AVERAGE(AE$116,AE$117,AE$167,AE$166,AE$219,AE$220))*$AG$8</f>
        <v>22.623728042697874</v>
      </c>
      <c r="AH179" s="94">
        <f>Table3.110[[#This Row],[GP 8-24h, ml]]-(AVERAGE(AF$11,AF$12,AF$62,AF$61,AF$114,AF$115))*$AG$8</f>
        <v>25.31247184961266</v>
      </c>
      <c r="AI179" s="94">
        <f>Table3.110[[#This Row],[Net gas 8-24h, ml]]+Table3.110[[#This Row],[Net gas 8h, ml]]</f>
        <v>47.936199892310533</v>
      </c>
      <c r="AJ179" s="94">
        <f>Table3.110[[#This Row],[Net gas 8h, ml]]*Table3.110[[#This Row],[CH4 8h %]]%</f>
        <v>3.054203285764213</v>
      </c>
      <c r="AK179" s="94">
        <f>Table3.110[[#This Row],[Net gas 8-24h, ml]]*Table3.110[[#This Row],[CH4 24h, %]]%</f>
        <v>4.4043701018326029</v>
      </c>
      <c r="AL179" s="94">
        <f>Table3.110[[#This Row],[CH4 8-24h, ml]]+Table3.110[[#This Row],[CH4 8h, ml]]</f>
        <v>7.4585733875968163</v>
      </c>
      <c r="AM179" s="94">
        <f>(Table3.110[[#This Row],[Net gas 24h, ml]]/Table3.110[[#This Row],[DM Incubated, mg]])*1000</f>
        <v>101.18747497857289</v>
      </c>
      <c r="AN179" s="94">
        <f>'3.2 Digest'!X179</f>
        <v>33.739536160293099</v>
      </c>
      <c r="AO179" s="94">
        <f>Table3.110[[#This Row],[Digested feed, mg]]/Table3.110[[#This Row],[Net gas 24h, ml]]</f>
        <v>3.3343589379453991</v>
      </c>
      <c r="AP179" s="94">
        <f>Table3.110[[#This Row],[CH4 8h, ml]]/Table3.110[[#This Row],[Net gas 8h, ml]]%</f>
        <v>13.5</v>
      </c>
      <c r="AQ179" s="94">
        <f>Table3.110[[#This Row],[CH4 24h, ml]]/Table3.110[[#This Row],[Net gas 24h, ml]]%</f>
        <v>15.559375595797382</v>
      </c>
      <c r="AR179" s="94">
        <f>Table3.110[[#This Row],[CH4 24h, ml]]/Table3.110[[#This Row],[DM Incubated, mg]]*1000</f>
        <v>15.744139287819655</v>
      </c>
      <c r="AS179" s="94">
        <f>Table3.110[[#This Row],[CH4 24h, ml]]/Table3.110[[#This Row],[Digested feed, mg]]*1000</f>
        <v>46.66376921431538</v>
      </c>
      <c r="AT179" s="94">
        <f>Table3.110[[#This Row],[CH4 24h, ml]]/'3.2 Digest'!AA179</f>
        <v>-0.68544595003955822</v>
      </c>
      <c r="AU179" s="94">
        <f>((Table3.110[[#This Row],[CH4 24h, ml]]/28.9)*16.04)/Table3.110[[#This Row],[DM Incubated, mg]]*1000</f>
        <v>8.7382696946929848</v>
      </c>
      <c r="AV179" s="94">
        <f>((Table3.110[[#This Row],[CH4 24h, ml]]/28.9)*16.04)/Table3.110[[#This Row],[Digested feed, mg]]*1000</f>
        <v>25.899199245592342</v>
      </c>
    </row>
    <row r="180" spans="2:49" s="89" customFormat="1" x14ac:dyDescent="0.35">
      <c r="B180" s="90">
        <f t="shared" si="2"/>
        <v>170</v>
      </c>
      <c r="C180" s="140">
        <v>46043</v>
      </c>
      <c r="D180" s="6" t="s">
        <v>16</v>
      </c>
      <c r="E180" s="6" t="s">
        <v>70</v>
      </c>
      <c r="F180" s="133" t="s">
        <v>19</v>
      </c>
      <c r="G180" s="133" t="s">
        <v>20</v>
      </c>
      <c r="H180" s="133" t="s">
        <v>21</v>
      </c>
      <c r="I180" s="6" t="s">
        <v>22</v>
      </c>
      <c r="J180" s="129" t="s">
        <v>23</v>
      </c>
      <c r="K180" s="129" t="s">
        <v>24</v>
      </c>
      <c r="L180" s="6" t="s">
        <v>69</v>
      </c>
      <c r="M180" s="119">
        <v>27</v>
      </c>
      <c r="N180" s="93">
        <v>59</v>
      </c>
      <c r="O180" s="6">
        <v>2</v>
      </c>
      <c r="P180" s="129">
        <v>1</v>
      </c>
      <c r="Q180" s="6">
        <v>18</v>
      </c>
      <c r="R180" s="98">
        <v>0.50009999999999999</v>
      </c>
      <c r="S180" s="94">
        <f>((Table3.110[[#This Row],[Sample weight, g]]*'2.1. DM'!Q51)/100)*1000</f>
        <v>473.25408688293629</v>
      </c>
      <c r="T180" s="94">
        <f>'3.2 Digest'!W180</f>
        <v>150.85408688293626</v>
      </c>
      <c r="U180" s="153">
        <v>0.37638888888888888</v>
      </c>
      <c r="V180" s="155">
        <v>41</v>
      </c>
      <c r="W180" s="153">
        <v>0.69861111111111107</v>
      </c>
      <c r="X180" s="91">
        <v>67.5</v>
      </c>
      <c r="Y180" s="91">
        <v>14.1</v>
      </c>
      <c r="Z180" s="154">
        <v>40.5</v>
      </c>
      <c r="AA180" s="153">
        <v>0.39166666666666666</v>
      </c>
      <c r="AB180" s="154">
        <v>71</v>
      </c>
      <c r="AC180" s="154">
        <v>17.399999999999999</v>
      </c>
      <c r="AD180" s="94"/>
      <c r="AE180" s="94">
        <f>Table3.110[[#This Row],[Gas 8h, ml]]-Table3.110[[#This Row],[Gas 0h, ml]]</f>
        <v>26.5</v>
      </c>
      <c r="AF180" s="94">
        <f>Table3.110[[#This Row],[Gas 24h, ml]]-Table3.110[[#This Row],[V8 Push back, ml]]</f>
        <v>30.5</v>
      </c>
      <c r="AG180" s="94">
        <f>Table3.110[[#This Row],[GP 8h, ml]]-(AVERAGE(AE$116,AE$117,AE$167,AE$166,AE$219,AE$220))*$AG$8</f>
        <v>23.623728042697874</v>
      </c>
      <c r="AH180" s="94">
        <f>Table3.110[[#This Row],[GP 8-24h, ml]]-(AVERAGE(AF$11,AF$12,AF$62,AF$61,AF$114,AF$115))*$AG$8</f>
        <v>26.81247184961266</v>
      </c>
      <c r="AI180" s="94">
        <f>Table3.110[[#This Row],[Net gas 8-24h, ml]]+Table3.110[[#This Row],[Net gas 8h, ml]]</f>
        <v>50.436199892310533</v>
      </c>
      <c r="AJ180" s="94">
        <f>Table3.110[[#This Row],[Net gas 8h, ml]]*Table3.110[[#This Row],[CH4 8h %]]%</f>
        <v>3.3309456540203999</v>
      </c>
      <c r="AK180" s="94">
        <f>Table3.110[[#This Row],[Net gas 8-24h, ml]]*Table3.110[[#This Row],[CH4 24h, %]]%</f>
        <v>4.6653701018326021</v>
      </c>
      <c r="AL180" s="94">
        <f>Table3.110[[#This Row],[CH4 8-24h, ml]]+Table3.110[[#This Row],[CH4 8h, ml]]</f>
        <v>7.9963157558530025</v>
      </c>
      <c r="AM180" s="94">
        <f>(Table3.110[[#This Row],[Net gas 24h, ml]]/Table3.110[[#This Row],[DM Incubated, mg]])*1000</f>
        <v>106.57319459089295</v>
      </c>
      <c r="AN180" s="94">
        <f>'3.2 Digest'!X180</f>
        <v>31.875918468349411</v>
      </c>
      <c r="AO180" s="94">
        <f>Table3.110[[#This Row],[Digested feed, mg]]/Table3.110[[#This Row],[Net gas 24h, ml]]</f>
        <v>2.9909883616337907</v>
      </c>
      <c r="AP180" s="94">
        <f>Table3.110[[#This Row],[CH4 8h, ml]]/Table3.110[[#This Row],[Net gas 8h, ml]]%</f>
        <v>14.1</v>
      </c>
      <c r="AQ180" s="94">
        <f>Table3.110[[#This Row],[CH4 24h, ml]]/Table3.110[[#This Row],[Net gas 24h, ml]]%</f>
        <v>15.854318471507437</v>
      </c>
      <c r="AR180" s="94">
        <f>Table3.110[[#This Row],[CH4 24h, ml]]/Table3.110[[#This Row],[DM Incubated, mg]]*1000</f>
        <v>16.896453675699505</v>
      </c>
      <c r="AS180" s="94">
        <f>Table3.110[[#This Row],[CH4 24h, ml]]/Table3.110[[#This Row],[Digested feed, mg]]*1000</f>
        <v>53.006954740697182</v>
      </c>
      <c r="AT180" s="94">
        <f>Table3.110[[#This Row],[CH4 24h, ml]]/'3.2 Digest'!AA180</f>
        <v>-0.59819345084576858</v>
      </c>
      <c r="AU180" s="94">
        <f>((Table3.110[[#This Row],[CH4 24h, ml]]/28.9)*16.04)/Table3.110[[#This Row],[DM Incubated, mg]]*1000</f>
        <v>9.3778241162013867</v>
      </c>
      <c r="AV180" s="94">
        <f>((Table3.110[[#This Row],[CH4 24h, ml]]/28.9)*16.04)/Table3.110[[#This Row],[Digested feed, mg]]*1000</f>
        <v>29.419776956428468</v>
      </c>
    </row>
    <row r="181" spans="2:49" s="89" customFormat="1" x14ac:dyDescent="0.35">
      <c r="B181" s="90">
        <f t="shared" si="2"/>
        <v>171</v>
      </c>
      <c r="C181" s="140">
        <v>46043</v>
      </c>
      <c r="D181" s="6" t="s">
        <v>16</v>
      </c>
      <c r="E181" s="6" t="s">
        <v>70</v>
      </c>
      <c r="F181" s="133" t="s">
        <v>19</v>
      </c>
      <c r="G181" s="133" t="s">
        <v>20</v>
      </c>
      <c r="H181" s="133" t="s">
        <v>21</v>
      </c>
      <c r="I181" s="6" t="s">
        <v>22</v>
      </c>
      <c r="J181" s="129" t="s">
        <v>23</v>
      </c>
      <c r="K181" s="129" t="s">
        <v>24</v>
      </c>
      <c r="L181" s="6" t="s">
        <v>69</v>
      </c>
      <c r="M181" s="119">
        <v>27</v>
      </c>
      <c r="N181" s="93">
        <v>59</v>
      </c>
      <c r="O181" s="6">
        <v>2</v>
      </c>
      <c r="P181" s="129">
        <v>2</v>
      </c>
      <c r="Q181" s="6">
        <v>19</v>
      </c>
      <c r="R181" s="98">
        <v>0.50039999999999996</v>
      </c>
      <c r="S181" s="94">
        <f>((Table3.110[[#This Row],[Sample weight, g]]*'2.1. DM'!Q51)/100)*1000</f>
        <v>473.53798255593136</v>
      </c>
      <c r="T181" s="94">
        <f>'3.2 Digest'!W181</f>
        <v>168.23798255593135</v>
      </c>
      <c r="U181" s="117">
        <v>0.37708333333333333</v>
      </c>
      <c r="V181" s="155">
        <v>41</v>
      </c>
      <c r="W181" s="117">
        <v>0.69930555555555551</v>
      </c>
      <c r="X181" s="96">
        <v>66.5</v>
      </c>
      <c r="Y181" s="96">
        <v>13.8</v>
      </c>
      <c r="Z181" s="155">
        <v>40</v>
      </c>
      <c r="AA181" s="117">
        <v>0.39166666666666666</v>
      </c>
      <c r="AB181" s="155">
        <v>71</v>
      </c>
      <c r="AC181" s="155">
        <v>16.899999999999999</v>
      </c>
      <c r="AD181" s="94"/>
      <c r="AE181" s="94">
        <f>Table3.110[[#This Row],[Gas 8h, ml]]-Table3.110[[#This Row],[Gas 0h, ml]]</f>
        <v>25.5</v>
      </c>
      <c r="AF181" s="94">
        <f>Table3.110[[#This Row],[Gas 24h, ml]]-Table3.110[[#This Row],[V8 Push back, ml]]</f>
        <v>31</v>
      </c>
      <c r="AG181" s="94">
        <f>Table3.110[[#This Row],[GP 8h, ml]]-(AVERAGE(AE$116,AE$117,AE$167,AE$166,AE$219,AE$220))*$AG$8</f>
        <v>22.623728042697874</v>
      </c>
      <c r="AH181" s="94">
        <f>Table3.110[[#This Row],[GP 8-24h, ml]]-(AVERAGE(AF$11,AF$12,AF$62,AF$61,AF$114,AF$115))*$AG$8</f>
        <v>27.31247184961266</v>
      </c>
      <c r="AI181" s="94">
        <f>Table3.110[[#This Row],[Net gas 8-24h, ml]]+Table3.110[[#This Row],[Net gas 8h, ml]]</f>
        <v>49.936199892310533</v>
      </c>
      <c r="AJ181" s="94">
        <f>Table3.110[[#This Row],[Net gas 8h, ml]]*Table3.110[[#This Row],[CH4 8h %]]%</f>
        <v>3.1220744698923069</v>
      </c>
      <c r="AK181" s="94">
        <f>Table3.110[[#This Row],[Net gas 8-24h, ml]]*Table3.110[[#This Row],[CH4 24h, %]]%</f>
        <v>4.615807742584539</v>
      </c>
      <c r="AL181" s="94">
        <f>Table3.110[[#This Row],[CH4 8-24h, ml]]+Table3.110[[#This Row],[CH4 8h, ml]]</f>
        <v>7.7378822124768458</v>
      </c>
      <c r="AM181" s="94">
        <f>(Table3.110[[#This Row],[Net gas 24h, ml]]/Table3.110[[#This Row],[DM Incubated, mg]])*1000</f>
        <v>105.45342027851459</v>
      </c>
      <c r="AN181" s="94">
        <f>'3.2 Digest'!X181</f>
        <v>35.527875007589302</v>
      </c>
      <c r="AO181" s="94">
        <f>Table3.110[[#This Row],[Digested feed, mg]]/Table3.110[[#This Row],[Net gas 24h, ml]]</f>
        <v>3.3690585771192736</v>
      </c>
      <c r="AP181" s="94">
        <f>Table3.110[[#This Row],[CH4 8h, ml]]/Table3.110[[#This Row],[Net gas 8h, ml]]%</f>
        <v>13.8</v>
      </c>
      <c r="AQ181" s="94">
        <f>Table3.110[[#This Row],[CH4 24h, ml]]/Table3.110[[#This Row],[Net gas 24h, ml]]%</f>
        <v>15.495536763237704</v>
      </c>
      <c r="AR181" s="94">
        <f>Table3.110[[#This Row],[CH4 24h, ml]]/Table3.110[[#This Row],[DM Incubated, mg]]*1000</f>
        <v>16.340573507348793</v>
      </c>
      <c r="AS181" s="94">
        <f>Table3.110[[#This Row],[CH4 24h, ml]]/Table3.110[[#This Row],[Digested feed, mg]]*1000</f>
        <v>45.993669770168324</v>
      </c>
      <c r="AT181" s="94">
        <f>Table3.110[[#This Row],[CH4 24h, ml]]/'3.2 Digest'!AA181</f>
        <v>-1.0614226527337962</v>
      </c>
      <c r="AU181" s="94">
        <f>((Table3.110[[#This Row],[CH4 24h, ml]]/28.9)*16.04)/Table3.110[[#This Row],[DM Incubated, mg]]*1000</f>
        <v>9.0693010054627905</v>
      </c>
      <c r="AV181" s="94">
        <f>((Table3.110[[#This Row],[CH4 24h, ml]]/28.9)*16.04)/Table3.110[[#This Row],[Digested feed, mg]]*1000</f>
        <v>25.527282460674741</v>
      </c>
    </row>
    <row r="182" spans="2:49" s="89" customFormat="1" x14ac:dyDescent="0.35">
      <c r="B182" s="90">
        <f t="shared" si="2"/>
        <v>172</v>
      </c>
      <c r="C182" s="140">
        <v>46043</v>
      </c>
      <c r="D182" s="6" t="s">
        <v>16</v>
      </c>
      <c r="E182" s="6" t="s">
        <v>70</v>
      </c>
      <c r="F182" s="133" t="s">
        <v>19</v>
      </c>
      <c r="G182" s="133" t="s">
        <v>20</v>
      </c>
      <c r="H182" s="133" t="s">
        <v>21</v>
      </c>
      <c r="I182" s="6" t="s">
        <v>22</v>
      </c>
      <c r="J182" s="129" t="s">
        <v>23</v>
      </c>
      <c r="K182" s="129" t="s">
        <v>24</v>
      </c>
      <c r="L182" s="6" t="s">
        <v>69</v>
      </c>
      <c r="M182" s="119">
        <v>27</v>
      </c>
      <c r="N182" s="93">
        <v>59</v>
      </c>
      <c r="O182" s="6">
        <v>2</v>
      </c>
      <c r="P182" s="129">
        <v>3</v>
      </c>
      <c r="Q182" s="6">
        <v>20</v>
      </c>
      <c r="R182" s="98">
        <v>0.50009999999999999</v>
      </c>
      <c r="S182" s="94">
        <f>((Table3.110[[#This Row],[Sample weight, g]]*'2.1. DM'!Q51)/100)*1000</f>
        <v>473.25408688293629</v>
      </c>
      <c r="T182" s="94">
        <f>'3.2 Digest'!W182</f>
        <v>146.55408688293619</v>
      </c>
      <c r="U182" s="153">
        <v>0.37708333333333333</v>
      </c>
      <c r="V182" s="155">
        <v>41</v>
      </c>
      <c r="W182" s="153">
        <v>0.7</v>
      </c>
      <c r="X182" s="91">
        <v>67.5</v>
      </c>
      <c r="Y182" s="91">
        <v>14.2</v>
      </c>
      <c r="Z182" s="154">
        <v>40</v>
      </c>
      <c r="AA182" s="153">
        <v>0.3923611111111111</v>
      </c>
      <c r="AB182" s="154">
        <v>71.5</v>
      </c>
      <c r="AC182" s="154">
        <v>17</v>
      </c>
      <c r="AD182" s="94"/>
      <c r="AE182" s="94">
        <f>Table3.110[[#This Row],[Gas 8h, ml]]-Table3.110[[#This Row],[Gas 0h, ml]]</f>
        <v>26.5</v>
      </c>
      <c r="AF182" s="94">
        <f>Table3.110[[#This Row],[Gas 24h, ml]]-Table3.110[[#This Row],[V8 Push back, ml]]</f>
        <v>31.5</v>
      </c>
      <c r="AG182" s="94">
        <f>Table3.110[[#This Row],[GP 8h, ml]]-(AVERAGE(AE$116,AE$117,AE$167,AE$166,AE$219,AE$220))*$AG$8</f>
        <v>23.623728042697874</v>
      </c>
      <c r="AH182" s="94">
        <f>Table3.110[[#This Row],[GP 8-24h, ml]]-(AVERAGE(AF$11,AF$12,AF$62,AF$61,AF$114,AF$115))*$AG$8</f>
        <v>27.81247184961266</v>
      </c>
      <c r="AI182" s="94">
        <f>Table3.110[[#This Row],[Net gas 8-24h, ml]]+Table3.110[[#This Row],[Net gas 8h, ml]]</f>
        <v>51.436199892310533</v>
      </c>
      <c r="AJ182" s="94">
        <f>Table3.110[[#This Row],[Net gas 8h, ml]]*Table3.110[[#This Row],[CH4 8h %]]%</f>
        <v>3.3545693820630977</v>
      </c>
      <c r="AK182" s="94">
        <f>Table3.110[[#This Row],[Net gas 8-24h, ml]]*Table3.110[[#This Row],[CH4 24h, %]]%</f>
        <v>4.7281202144341528</v>
      </c>
      <c r="AL182" s="94">
        <f>Table3.110[[#This Row],[CH4 8-24h, ml]]+Table3.110[[#This Row],[CH4 8h, ml]]</f>
        <v>8.0826895964972501</v>
      </c>
      <c r="AM182" s="94">
        <f>(Table3.110[[#This Row],[Net gas 24h, ml]]/Table3.110[[#This Row],[DM Incubated, mg]])*1000</f>
        <v>108.68622441507567</v>
      </c>
      <c r="AN182" s="94">
        <f>'3.2 Digest'!X182</f>
        <v>30.967315643950833</v>
      </c>
      <c r="AO182" s="94">
        <f>Table3.110[[#This Row],[Digested feed, mg]]/Table3.110[[#This Row],[Net gas 24h, ml]]</f>
        <v>2.8492401691759763</v>
      </c>
      <c r="AP182" s="94">
        <f>Table3.110[[#This Row],[CH4 8h, ml]]/Table3.110[[#This Row],[Net gas 8h, ml]]%</f>
        <v>14.2</v>
      </c>
      <c r="AQ182" s="94">
        <f>Table3.110[[#This Row],[CH4 24h, ml]]/Table3.110[[#This Row],[Net gas 24h, ml]]%</f>
        <v>15.714010003498672</v>
      </c>
      <c r="AR182" s="94">
        <f>Table3.110[[#This Row],[CH4 24h, ml]]/Table3.110[[#This Row],[DM Incubated, mg]]*1000</f>
        <v>17.078964177010008</v>
      </c>
      <c r="AS182" s="94">
        <f>Table3.110[[#This Row],[CH4 24h, ml]]/Table3.110[[#This Row],[Digested feed, mg]]*1000</f>
        <v>55.151581019733037</v>
      </c>
      <c r="AT182" s="94">
        <f>Table3.110[[#This Row],[CH4 24h, ml]]/'3.2 Digest'!AA182</f>
        <v>-0.5432106383830333</v>
      </c>
      <c r="AU182" s="94">
        <f>((Table3.110[[#This Row],[CH4 24h, ml]]/28.9)*16.04)/Table3.110[[#This Row],[DM Incubated, mg]]*1000</f>
        <v>9.4791206020498429</v>
      </c>
      <c r="AV182" s="94">
        <f>((Table3.110[[#This Row],[CH4 24h, ml]]/28.9)*16.04)/Table3.110[[#This Row],[Digested feed, mg]]*1000</f>
        <v>30.610081645554249</v>
      </c>
      <c r="AW182" s="89" t="s">
        <v>546</v>
      </c>
    </row>
    <row r="183" spans="2:49" s="89" customFormat="1" x14ac:dyDescent="0.35">
      <c r="B183" s="90">
        <f t="shared" si="2"/>
        <v>173</v>
      </c>
      <c r="C183" s="140">
        <v>46043</v>
      </c>
      <c r="D183" s="6" t="s">
        <v>16</v>
      </c>
      <c r="E183" s="6" t="s">
        <v>72</v>
      </c>
      <c r="F183" s="133" t="s">
        <v>19</v>
      </c>
      <c r="G183" s="133" t="s">
        <v>73</v>
      </c>
      <c r="H183" s="133" t="s">
        <v>74</v>
      </c>
      <c r="I183" s="6" t="s">
        <v>22</v>
      </c>
      <c r="J183" s="129" t="s">
        <v>23</v>
      </c>
      <c r="K183" s="129" t="s">
        <v>24</v>
      </c>
      <c r="L183" s="6" t="s">
        <v>71</v>
      </c>
      <c r="M183" s="119">
        <v>27</v>
      </c>
      <c r="N183" s="93">
        <v>59</v>
      </c>
      <c r="O183" s="6">
        <v>2</v>
      </c>
      <c r="P183" s="129">
        <v>1</v>
      </c>
      <c r="Q183" s="6">
        <v>21</v>
      </c>
      <c r="R183" s="98">
        <v>0.50039999999999996</v>
      </c>
      <c r="S183" s="94">
        <f>((Table3.110[[#This Row],[Sample weight, g]]*'2.1. DM'!Q53)/100)*1000</f>
        <v>469.10622093244058</v>
      </c>
      <c r="T183" s="94">
        <f>'3.2 Digest'!W183</f>
        <v>176.50622093244061</v>
      </c>
      <c r="U183" s="117">
        <v>0.37708333333333333</v>
      </c>
      <c r="V183" s="155">
        <v>41.5</v>
      </c>
      <c r="W183" s="117">
        <v>0.7</v>
      </c>
      <c r="X183" s="96">
        <v>71</v>
      </c>
      <c r="Y183" s="96">
        <v>14.2</v>
      </c>
      <c r="Z183" s="155">
        <v>40.5</v>
      </c>
      <c r="AA183" s="117">
        <v>0.3923611111111111</v>
      </c>
      <c r="AB183" s="155">
        <v>73</v>
      </c>
      <c r="AC183" s="155">
        <v>18.899999999999999</v>
      </c>
      <c r="AD183" s="94"/>
      <c r="AE183" s="94">
        <f>Table3.110[[#This Row],[Gas 8h, ml]]-Table3.110[[#This Row],[Gas 0h, ml]]</f>
        <v>29.5</v>
      </c>
      <c r="AF183" s="94">
        <f>Table3.110[[#This Row],[Gas 24h, ml]]-Table3.110[[#This Row],[V8 Push back, ml]]</f>
        <v>32.5</v>
      </c>
      <c r="AG183" s="94">
        <f>Table3.110[[#This Row],[GP 8h, ml]]-(AVERAGE(AE$116,AE$117,AE$167,AE$166,AE$219,AE$220))*$AG$8</f>
        <v>26.623728042697874</v>
      </c>
      <c r="AH183" s="94">
        <f>Table3.110[[#This Row],[GP 8-24h, ml]]-(AVERAGE(AF$11,AF$12,AF$62,AF$61,AF$114,AF$115))*$AG$8</f>
        <v>28.81247184961266</v>
      </c>
      <c r="AI183" s="94">
        <f>Table3.110[[#This Row],[Net gas 8-24h, ml]]+Table3.110[[#This Row],[Net gas 8h, ml]]</f>
        <v>55.436199892310533</v>
      </c>
      <c r="AJ183" s="94">
        <f>Table3.110[[#This Row],[Net gas 8h, ml]]*Table3.110[[#This Row],[CH4 8h %]]%</f>
        <v>3.7805693820630979</v>
      </c>
      <c r="AK183" s="94">
        <f>Table3.110[[#This Row],[Net gas 8-24h, ml]]*Table3.110[[#This Row],[CH4 24h, %]]%</f>
        <v>5.4455571795767916</v>
      </c>
      <c r="AL183" s="94">
        <f>Table3.110[[#This Row],[CH4 8-24h, ml]]+Table3.110[[#This Row],[CH4 8h, ml]]</f>
        <v>9.2261265616398891</v>
      </c>
      <c r="AM183" s="94">
        <f>(Table3.110[[#This Row],[Net gas 24h, ml]]/Table3.110[[#This Row],[DM Incubated, mg]])*1000</f>
        <v>118.17408812469</v>
      </c>
      <c r="AN183" s="94">
        <f>'3.2 Digest'!X183</f>
        <v>37.626066987898795</v>
      </c>
      <c r="AO183" s="94">
        <f>Table3.110[[#This Row],[Digested feed, mg]]/Table3.110[[#This Row],[Net gas 24h, ml]]</f>
        <v>3.1839523862623835</v>
      </c>
      <c r="AP183" s="94">
        <f>Table3.110[[#This Row],[CH4 8h, ml]]/Table3.110[[#This Row],[Net gas 8h, ml]]%</f>
        <v>14.2</v>
      </c>
      <c r="AQ183" s="94">
        <f>Table3.110[[#This Row],[CH4 24h, ml]]/Table3.110[[#This Row],[Net gas 24h, ml]]%</f>
        <v>16.642783198636295</v>
      </c>
      <c r="AR183" s="94">
        <f>Table3.110[[#This Row],[CH4 24h, ml]]/Table3.110[[#This Row],[DM Incubated, mg]]*1000</f>
        <v>19.66745728355756</v>
      </c>
      <c r="AS183" s="94">
        <f>Table3.110[[#This Row],[CH4 24h, ml]]/Table3.110[[#This Row],[Digested feed, mg]]*1000</f>
        <v>52.270829395703132</v>
      </c>
      <c r="AT183" s="94">
        <f>Table3.110[[#This Row],[CH4 24h, ml]]/'3.2 Digest'!AA183</f>
        <v>-1.3419339369331234</v>
      </c>
      <c r="AU183" s="94">
        <f>((Table3.110[[#This Row],[CH4 24h, ml]]/28.9)*16.04)/Table3.110[[#This Row],[DM Incubated, mg]]*1000</f>
        <v>10.915779059801494</v>
      </c>
      <c r="AV183" s="94">
        <f>((Table3.110[[#This Row],[CH4 24h, ml]]/28.9)*16.04)/Table3.110[[#This Row],[Digested feed, mg]]*1000</f>
        <v>29.011214654224162</v>
      </c>
    </row>
    <row r="184" spans="2:49" s="89" customFormat="1" x14ac:dyDescent="0.35">
      <c r="B184" s="90">
        <f t="shared" si="2"/>
        <v>174</v>
      </c>
      <c r="C184" s="140">
        <v>46043</v>
      </c>
      <c r="D184" s="6" t="s">
        <v>16</v>
      </c>
      <c r="E184" s="6" t="s">
        <v>72</v>
      </c>
      <c r="F184" s="133" t="s">
        <v>19</v>
      </c>
      <c r="G184" s="133" t="s">
        <v>73</v>
      </c>
      <c r="H184" s="133" t="s">
        <v>74</v>
      </c>
      <c r="I184" s="6" t="s">
        <v>22</v>
      </c>
      <c r="J184" s="129" t="s">
        <v>23</v>
      </c>
      <c r="K184" s="129" t="s">
        <v>24</v>
      </c>
      <c r="L184" s="6" t="s">
        <v>71</v>
      </c>
      <c r="M184" s="119">
        <v>27</v>
      </c>
      <c r="N184" s="93">
        <v>59</v>
      </c>
      <c r="O184" s="6">
        <v>2</v>
      </c>
      <c r="P184" s="129">
        <v>2</v>
      </c>
      <c r="Q184" s="6">
        <v>22</v>
      </c>
      <c r="R184" s="98">
        <v>0.50039999999999996</v>
      </c>
      <c r="S184" s="94">
        <f>((Table3.110[[#This Row],[Sample weight, g]]*'2.1. DM'!Q53)/100)*1000</f>
        <v>469.10622093244058</v>
      </c>
      <c r="T184" s="94">
        <f>'3.2 Digest'!W184</f>
        <v>151.10622093244064</v>
      </c>
      <c r="U184" s="153">
        <v>0.37777777777777777</v>
      </c>
      <c r="V184" s="155">
        <v>41</v>
      </c>
      <c r="W184" s="153">
        <v>0.7006944444444444</v>
      </c>
      <c r="X184" s="91">
        <v>71.5</v>
      </c>
      <c r="Y184" s="91">
        <v>14.4</v>
      </c>
      <c r="Z184" s="154">
        <v>40.5</v>
      </c>
      <c r="AA184" s="153">
        <v>0.39305555555555555</v>
      </c>
      <c r="AB184" s="154">
        <v>73</v>
      </c>
      <c r="AC184" s="154">
        <v>19.100000000000001</v>
      </c>
      <c r="AD184" s="94"/>
      <c r="AE184" s="94">
        <f>Table3.110[[#This Row],[Gas 8h, ml]]-Table3.110[[#This Row],[Gas 0h, ml]]</f>
        <v>30.5</v>
      </c>
      <c r="AF184" s="94">
        <f>Table3.110[[#This Row],[Gas 24h, ml]]-Table3.110[[#This Row],[V8 Push back, ml]]</f>
        <v>32.5</v>
      </c>
      <c r="AG184" s="94">
        <f>Table3.110[[#This Row],[GP 8h, ml]]-(AVERAGE(AE$116,AE$117,AE$167,AE$166,AE$219,AE$220))*$AG$8</f>
        <v>27.623728042697874</v>
      </c>
      <c r="AH184" s="94">
        <f>Table3.110[[#This Row],[GP 8-24h, ml]]-(AVERAGE(AF$11,AF$12,AF$62,AF$61,AF$114,AF$115))*$AG$8</f>
        <v>28.81247184961266</v>
      </c>
      <c r="AI184" s="94">
        <f>Table3.110[[#This Row],[Net gas 8-24h, ml]]+Table3.110[[#This Row],[Net gas 8h, ml]]</f>
        <v>56.436199892310533</v>
      </c>
      <c r="AJ184" s="94">
        <f>Table3.110[[#This Row],[Net gas 8h, ml]]*Table3.110[[#This Row],[CH4 8h %]]%</f>
        <v>3.9778168381484944</v>
      </c>
      <c r="AK184" s="94">
        <f>Table3.110[[#This Row],[Net gas 8-24h, ml]]*Table3.110[[#This Row],[CH4 24h, %]]%</f>
        <v>5.5031821232760185</v>
      </c>
      <c r="AL184" s="94">
        <f>Table3.110[[#This Row],[CH4 8-24h, ml]]+Table3.110[[#This Row],[CH4 8h, ml]]</f>
        <v>9.4809989614245129</v>
      </c>
      <c r="AM184" s="94">
        <f>(Table3.110[[#This Row],[Net gas 24h, ml]]/Table3.110[[#This Row],[DM Incubated, mg]])*1000</f>
        <v>120.30580148805642</v>
      </c>
      <c r="AN184" s="94">
        <f>'3.2 Digest'!X184</f>
        <v>32.211515044948115</v>
      </c>
      <c r="AO184" s="94">
        <f>Table3.110[[#This Row],[Digested feed, mg]]/Table3.110[[#This Row],[Net gas 24h, ml]]</f>
        <v>2.6774698016658798</v>
      </c>
      <c r="AP184" s="94">
        <f>Table3.110[[#This Row],[CH4 8h, ml]]/Table3.110[[#This Row],[Net gas 8h, ml]]%</f>
        <v>14.4</v>
      </c>
      <c r="AQ184" s="94">
        <f>Table3.110[[#This Row],[CH4 24h, ml]]/Table3.110[[#This Row],[Net gas 24h, ml]]%</f>
        <v>16.799499221272523</v>
      </c>
      <c r="AR184" s="94">
        <f>Table3.110[[#This Row],[CH4 24h, ml]]/Table3.110[[#This Row],[DM Incubated, mg]]*1000</f>
        <v>20.210772184131706</v>
      </c>
      <c r="AS184" s="94">
        <f>Table3.110[[#This Row],[CH4 24h, ml]]/Table3.110[[#This Row],[Digested feed, mg]]*1000</f>
        <v>62.743935378169859</v>
      </c>
      <c r="AT184" s="94">
        <f>Table3.110[[#This Row],[CH4 24h, ml]]/'3.2 Digest'!AA184</f>
        <v>-0.58695462412519583</v>
      </c>
      <c r="AU184" s="94">
        <f>((Table3.110[[#This Row],[CH4 24h, ml]]/28.9)*16.04)/Table3.110[[#This Row],[DM Incubated, mg]]*1000</f>
        <v>11.217328229531923</v>
      </c>
      <c r="AV184" s="94">
        <f>((Table3.110[[#This Row],[CH4 24h, ml]]/28.9)*16.04)/Table3.110[[#This Row],[Digested feed, mg]]*1000</f>
        <v>34.823969670098428</v>
      </c>
    </row>
    <row r="185" spans="2:49" s="89" customFormat="1" x14ac:dyDescent="0.35">
      <c r="B185" s="90">
        <f t="shared" si="2"/>
        <v>175</v>
      </c>
      <c r="C185" s="140">
        <v>46043</v>
      </c>
      <c r="D185" s="6" t="s">
        <v>16</v>
      </c>
      <c r="E185" s="6" t="s">
        <v>72</v>
      </c>
      <c r="F185" s="133" t="s">
        <v>19</v>
      </c>
      <c r="G185" s="133" t="s">
        <v>73</v>
      </c>
      <c r="H185" s="133" t="s">
        <v>74</v>
      </c>
      <c r="I185" s="6" t="s">
        <v>22</v>
      </c>
      <c r="J185" s="129" t="s">
        <v>23</v>
      </c>
      <c r="K185" s="129" t="s">
        <v>24</v>
      </c>
      <c r="L185" s="6" t="s">
        <v>71</v>
      </c>
      <c r="M185" s="119">
        <v>27</v>
      </c>
      <c r="N185" s="93">
        <v>59</v>
      </c>
      <c r="O185" s="6">
        <v>2</v>
      </c>
      <c r="P185" s="129">
        <v>3</v>
      </c>
      <c r="Q185" s="6">
        <v>23</v>
      </c>
      <c r="R185" s="98">
        <v>0.50039999999999996</v>
      </c>
      <c r="S185" s="94">
        <f>((Table3.110[[#This Row],[Sample weight, g]]*'2.1. DM'!Q53)/100)*1000</f>
        <v>469.10622093244058</v>
      </c>
      <c r="T185" s="94">
        <f>'3.2 Digest'!W185</f>
        <v>106.50622093244056</v>
      </c>
      <c r="U185" s="117">
        <v>0.37847222222222221</v>
      </c>
      <c r="V185" s="155">
        <v>41.5</v>
      </c>
      <c r="W185" s="117">
        <v>0.70138888888888884</v>
      </c>
      <c r="X185" s="96">
        <v>69.5</v>
      </c>
      <c r="Y185" s="96">
        <v>14.8</v>
      </c>
      <c r="Z185" s="155">
        <v>40.5</v>
      </c>
      <c r="AA185" s="117">
        <v>0.39374999999999999</v>
      </c>
      <c r="AB185" s="155">
        <v>73</v>
      </c>
      <c r="AC185" s="155">
        <v>18.899999999999999</v>
      </c>
      <c r="AD185" s="94"/>
      <c r="AE185" s="94">
        <f>Table3.110[[#This Row],[Gas 8h, ml]]-Table3.110[[#This Row],[Gas 0h, ml]]</f>
        <v>28</v>
      </c>
      <c r="AF185" s="94">
        <f>Table3.110[[#This Row],[Gas 24h, ml]]-Table3.110[[#This Row],[V8 Push back, ml]]</f>
        <v>32.5</v>
      </c>
      <c r="AG185" s="94">
        <f>Table3.110[[#This Row],[GP 8h, ml]]-(AVERAGE(AE$116,AE$117,AE$167,AE$166,AE$219,AE$220))*$AG$8</f>
        <v>25.123728042697874</v>
      </c>
      <c r="AH185" s="94">
        <f>Table3.110[[#This Row],[GP 8-24h, ml]]-(AVERAGE(AF$11,AF$12,AF$62,AF$61,AF$114,AF$115))*$AG$8</f>
        <v>28.81247184961266</v>
      </c>
      <c r="AI185" s="94">
        <f>Table3.110[[#This Row],[Net gas 8-24h, ml]]+Table3.110[[#This Row],[Net gas 8h, ml]]</f>
        <v>53.936199892310533</v>
      </c>
      <c r="AJ185" s="94">
        <f>Table3.110[[#This Row],[Net gas 8h, ml]]*Table3.110[[#This Row],[CH4 8h %]]%</f>
        <v>3.7183117503192857</v>
      </c>
      <c r="AK185" s="94">
        <f>Table3.110[[#This Row],[Net gas 8-24h, ml]]*Table3.110[[#This Row],[CH4 24h, %]]%</f>
        <v>5.4455571795767916</v>
      </c>
      <c r="AL185" s="94">
        <f>Table3.110[[#This Row],[CH4 8-24h, ml]]+Table3.110[[#This Row],[CH4 8h, ml]]</f>
        <v>9.1638689298960774</v>
      </c>
      <c r="AM185" s="94">
        <f>(Table3.110[[#This Row],[Net gas 24h, ml]]/Table3.110[[#This Row],[DM Incubated, mg]])*1000</f>
        <v>114.97651807964039</v>
      </c>
      <c r="AN185" s="94">
        <f>'3.2 Digest'!X185</f>
        <v>22.704073444333901</v>
      </c>
      <c r="AO185" s="94">
        <f>Table3.110[[#This Row],[Digested feed, mg]]/Table3.110[[#This Row],[Net gas 24h, ml]]</f>
        <v>1.974670465199472</v>
      </c>
      <c r="AP185" s="94">
        <f>Table3.110[[#This Row],[CH4 8h, ml]]/Table3.110[[#This Row],[Net gas 8h, ml]]%</f>
        <v>14.800000000000002</v>
      </c>
      <c r="AQ185" s="94">
        <f>Table3.110[[#This Row],[CH4 24h, ml]]/Table3.110[[#This Row],[Net gas 24h, ml]]%</f>
        <v>16.990201290029209</v>
      </c>
      <c r="AR185" s="94">
        <f>Table3.110[[#This Row],[CH4 24h, ml]]/Table3.110[[#This Row],[DM Incubated, mg]]*1000</f>
        <v>19.53474185799773</v>
      </c>
      <c r="AS185" s="94">
        <f>Table3.110[[#This Row],[CH4 24h, ml]]/Table3.110[[#This Row],[Digested feed, mg]]*1000</f>
        <v>86.040691798734827</v>
      </c>
      <c r="AT185" s="94">
        <f>Table3.110[[#This Row],[CH4 24h, ml]]/'3.2 Digest'!AA185</f>
        <v>-0.28245634814022413</v>
      </c>
      <c r="AU185" s="94">
        <f>((Table3.110[[#This Row],[CH4 24h, ml]]/28.9)*16.04)/Table3.110[[#This Row],[DM Incubated, mg]]*1000</f>
        <v>10.842119702501162</v>
      </c>
      <c r="AV185" s="94">
        <f>((Table3.110[[#This Row],[CH4 24h, ml]]/28.9)*16.04)/Table3.110[[#This Row],[Digested feed, mg]]*1000</f>
        <v>47.754072541581543</v>
      </c>
    </row>
    <row r="186" spans="2:49" s="89" customFormat="1" x14ac:dyDescent="0.35">
      <c r="B186" s="90">
        <f t="shared" si="2"/>
        <v>176</v>
      </c>
      <c r="C186" s="140">
        <v>46043</v>
      </c>
      <c r="D186" s="6" t="s">
        <v>16</v>
      </c>
      <c r="E186" s="6" t="s">
        <v>76</v>
      </c>
      <c r="F186" s="133" t="s">
        <v>19</v>
      </c>
      <c r="G186" s="133" t="s">
        <v>20</v>
      </c>
      <c r="H186" s="133" t="s">
        <v>21</v>
      </c>
      <c r="I186" s="6" t="s">
        <v>22</v>
      </c>
      <c r="J186" s="129" t="s">
        <v>23</v>
      </c>
      <c r="K186" s="129" t="s">
        <v>24</v>
      </c>
      <c r="L186" s="6" t="s">
        <v>75</v>
      </c>
      <c r="M186" s="119">
        <v>27</v>
      </c>
      <c r="N186" s="93">
        <v>59</v>
      </c>
      <c r="O186" s="6">
        <v>2</v>
      </c>
      <c r="P186" s="129">
        <v>1</v>
      </c>
      <c r="Q186" s="6">
        <v>24</v>
      </c>
      <c r="R186" s="98">
        <v>0.50029999999999997</v>
      </c>
      <c r="S186" s="94">
        <f>((Table3.110[[#This Row],[Sample weight, g]]*'2.1. DM'!Q55)/100)*1000</f>
        <v>467.33518148455482</v>
      </c>
      <c r="T186" s="94">
        <f>'3.2 Digest'!W186</f>
        <v>88.235181484554857</v>
      </c>
      <c r="U186" s="153">
        <v>0.37916666666666665</v>
      </c>
      <c r="V186" s="155">
        <v>41.5</v>
      </c>
      <c r="W186" s="153">
        <v>0.70138888888888884</v>
      </c>
      <c r="X186" s="91">
        <v>65.5</v>
      </c>
      <c r="Y186" s="91">
        <v>13.9</v>
      </c>
      <c r="Z186" s="154">
        <v>40.5</v>
      </c>
      <c r="AA186" s="153">
        <v>0.39444444444444443</v>
      </c>
      <c r="AB186" s="154">
        <v>65.5</v>
      </c>
      <c r="AC186" s="154">
        <v>17.100000000000001</v>
      </c>
      <c r="AD186" s="94"/>
      <c r="AE186" s="94">
        <f>Table3.110[[#This Row],[Gas 8h, ml]]-Table3.110[[#This Row],[Gas 0h, ml]]</f>
        <v>24</v>
      </c>
      <c r="AF186" s="94">
        <f>Table3.110[[#This Row],[Gas 24h, ml]]-Table3.110[[#This Row],[V8 Push back, ml]]</f>
        <v>25</v>
      </c>
      <c r="AG186" s="94">
        <f>Table3.110[[#This Row],[GP 8h, ml]]-(AVERAGE(AE$116,AE$117,AE$167,AE$166,AE$219,AE$220))*$AG$8</f>
        <v>21.123728042697874</v>
      </c>
      <c r="AH186" s="94">
        <f>Table3.110[[#This Row],[GP 8-24h, ml]]-(AVERAGE(AF$11,AF$12,AF$62,AF$61,AF$114,AF$115))*$AG$8</f>
        <v>21.31247184961266</v>
      </c>
      <c r="AI186" s="94">
        <f>Table3.110[[#This Row],[Net gas 8-24h, ml]]+Table3.110[[#This Row],[Net gas 8h, ml]]</f>
        <v>42.436199892310533</v>
      </c>
      <c r="AJ186" s="94">
        <f>Table3.110[[#This Row],[Net gas 8h, ml]]*Table3.110[[#This Row],[CH4 8h %]]%</f>
        <v>2.9361981979350045</v>
      </c>
      <c r="AK186" s="94">
        <f>Table3.110[[#This Row],[Net gas 8-24h, ml]]*Table3.110[[#This Row],[CH4 24h, %]]%</f>
        <v>3.644432686283765</v>
      </c>
      <c r="AL186" s="94">
        <f>Table3.110[[#This Row],[CH4 8-24h, ml]]+Table3.110[[#This Row],[CH4 8h, ml]]</f>
        <v>6.5806308842187695</v>
      </c>
      <c r="AM186" s="94">
        <f>(Table3.110[[#This Row],[Net gas 24h, ml]]/Table3.110[[#This Row],[DM Incubated, mg]])*1000</f>
        <v>90.804633534128712</v>
      </c>
      <c r="AN186" s="94">
        <f>'3.2 Digest'!X186</f>
        <v>18.880491985273526</v>
      </c>
      <c r="AO186" s="94">
        <f>Table3.110[[#This Row],[Digested feed, mg]]/Table3.110[[#This Row],[Net gas 24h, ml]]</f>
        <v>2.079243233571042</v>
      </c>
      <c r="AP186" s="94">
        <f>Table3.110[[#This Row],[CH4 8h, ml]]/Table3.110[[#This Row],[Net gas 8h, ml]]%</f>
        <v>13.9</v>
      </c>
      <c r="AQ186" s="94">
        <f>Table3.110[[#This Row],[CH4 24h, ml]]/Table3.110[[#This Row],[Net gas 24h, ml]]%</f>
        <v>15.50711633208982</v>
      </c>
      <c r="AR186" s="94">
        <f>Table3.110[[#This Row],[CH4 24h, ml]]/Table3.110[[#This Row],[DM Incubated, mg]]*1000</f>
        <v>14.081180157065182</v>
      </c>
      <c r="AS186" s="94">
        <f>Table3.110[[#This Row],[CH4 24h, ml]]/Table3.110[[#This Row],[Digested feed, mg]]*1000</f>
        <v>74.580578557212775</v>
      </c>
      <c r="AT186" s="94">
        <f>Table3.110[[#This Row],[CH4 24h, ml]]/'3.2 Digest'!AA186</f>
        <v>-0.2340588680754781</v>
      </c>
      <c r="AU186" s="94">
        <f>((Table3.110[[#This Row],[CH4 24h, ml]]/28.9)*16.04)/Table3.110[[#This Row],[DM Incubated, mg]]*1000</f>
        <v>7.8152986062050358</v>
      </c>
      <c r="AV186" s="94">
        <f>((Table3.110[[#This Row],[CH4 24h, ml]]/28.9)*16.04)/Table3.110[[#This Row],[Digested feed, mg]]*1000</f>
        <v>41.393511420681413</v>
      </c>
    </row>
    <row r="187" spans="2:49" s="89" customFormat="1" x14ac:dyDescent="0.35">
      <c r="B187" s="90">
        <f t="shared" si="2"/>
        <v>177</v>
      </c>
      <c r="C187" s="140">
        <v>46043</v>
      </c>
      <c r="D187" s="6" t="s">
        <v>16</v>
      </c>
      <c r="E187" s="6" t="s">
        <v>76</v>
      </c>
      <c r="F187" s="133" t="s">
        <v>19</v>
      </c>
      <c r="G187" s="133" t="s">
        <v>20</v>
      </c>
      <c r="H187" s="133" t="s">
        <v>21</v>
      </c>
      <c r="I187" s="6" t="s">
        <v>22</v>
      </c>
      <c r="J187" s="129" t="s">
        <v>23</v>
      </c>
      <c r="K187" s="129" t="s">
        <v>24</v>
      </c>
      <c r="L187" s="6" t="s">
        <v>75</v>
      </c>
      <c r="M187" s="119">
        <v>27</v>
      </c>
      <c r="N187" s="93">
        <v>59</v>
      </c>
      <c r="O187" s="6">
        <v>2</v>
      </c>
      <c r="P187" s="129">
        <v>2</v>
      </c>
      <c r="Q187" s="6">
        <v>25</v>
      </c>
      <c r="R187" s="98">
        <v>0.5</v>
      </c>
      <c r="S187" s="94">
        <f>((Table3.110[[#This Row],[Sample weight, g]]*'2.1. DM'!Q55)/100)*1000</f>
        <v>467.05494851544557</v>
      </c>
      <c r="T187" s="94">
        <f>'3.2 Digest'!W187</f>
        <v>104.75494851544551</v>
      </c>
      <c r="U187" s="117">
        <v>0.37916666666666665</v>
      </c>
      <c r="V187" s="155">
        <v>41.5</v>
      </c>
      <c r="W187" s="117">
        <v>0.70208333333333328</v>
      </c>
      <c r="X187" s="96">
        <v>64.5</v>
      </c>
      <c r="Y187" s="96">
        <v>13.8</v>
      </c>
      <c r="Z187" s="155">
        <v>40.5</v>
      </c>
      <c r="AA187" s="117">
        <v>0.39444444444444443</v>
      </c>
      <c r="AB187" s="155">
        <v>65</v>
      </c>
      <c r="AC187" s="155">
        <v>17</v>
      </c>
      <c r="AD187" s="94"/>
      <c r="AE187" s="94">
        <f>Table3.110[[#This Row],[Gas 8h, ml]]-Table3.110[[#This Row],[Gas 0h, ml]]</f>
        <v>23</v>
      </c>
      <c r="AF187" s="94">
        <f>Table3.110[[#This Row],[Gas 24h, ml]]-Table3.110[[#This Row],[V8 Push back, ml]]</f>
        <v>24.5</v>
      </c>
      <c r="AG187" s="94">
        <f>Table3.110[[#This Row],[GP 8h, ml]]-(AVERAGE(AE$116,AE$117,AE$167,AE$166,AE$219,AE$220))*$AG$8</f>
        <v>20.123728042697874</v>
      </c>
      <c r="AH187" s="94">
        <f>Table3.110[[#This Row],[GP 8-24h, ml]]-(AVERAGE(AF$11,AF$12,AF$62,AF$61,AF$114,AF$115))*$AG$8</f>
        <v>20.81247184961266</v>
      </c>
      <c r="AI187" s="94">
        <f>Table3.110[[#This Row],[Net gas 8-24h, ml]]+Table3.110[[#This Row],[Net gas 8h, ml]]</f>
        <v>40.936199892310533</v>
      </c>
      <c r="AJ187" s="94">
        <f>Table3.110[[#This Row],[Net gas 8h, ml]]*Table3.110[[#This Row],[CH4 8h %]]%</f>
        <v>2.7770744698923067</v>
      </c>
      <c r="AK187" s="94">
        <f>Table3.110[[#This Row],[Net gas 8-24h, ml]]*Table3.110[[#This Row],[CH4 24h, %]]%</f>
        <v>3.5381202144341524</v>
      </c>
      <c r="AL187" s="94">
        <f>Table3.110[[#This Row],[CH4 8-24h, ml]]+Table3.110[[#This Row],[CH4 8h, ml]]</f>
        <v>6.3151946843264586</v>
      </c>
      <c r="AM187" s="94">
        <f>(Table3.110[[#This Row],[Net gas 24h, ml]]/Table3.110[[#This Row],[DM Incubated, mg]])*1000</f>
        <v>87.647502766918592</v>
      </c>
      <c r="AN187" s="94">
        <f>'3.2 Digest'!X187</f>
        <v>22.428827453474938</v>
      </c>
      <c r="AO187" s="94">
        <f>Table3.110[[#This Row],[Digested feed, mg]]/Table3.110[[#This Row],[Net gas 24h, ml]]</f>
        <v>2.5589807747426674</v>
      </c>
      <c r="AP187" s="94">
        <f>Table3.110[[#This Row],[CH4 8h, ml]]/Table3.110[[#This Row],[Net gas 8h, ml]]%</f>
        <v>13.799999999999999</v>
      </c>
      <c r="AQ187" s="94">
        <f>Table3.110[[#This Row],[CH4 24h, ml]]/Table3.110[[#This Row],[Net gas 24h, ml]]%</f>
        <v>15.426919696844422</v>
      </c>
      <c r="AR187" s="94">
        <f>Table3.110[[#This Row],[CH4 24h, ml]]/Table3.110[[#This Row],[DM Incubated, mg]]*1000</f>
        <v>13.521309868142023</v>
      </c>
      <c r="AS187" s="94">
        <f>Table3.110[[#This Row],[CH4 24h, ml]]/Table3.110[[#This Row],[Digested feed, mg]]*1000</f>
        <v>60.285406788160657</v>
      </c>
      <c r="AT187" s="94">
        <f>Table3.110[[#This Row],[CH4 24h, ml]]/'3.2 Digest'!AA187</f>
        <v>-0.28053501267464787</v>
      </c>
      <c r="AU187" s="94">
        <f>((Table3.110[[#This Row],[CH4 24h, ml]]/28.9)*16.04)/Table3.110[[#This Row],[DM Incubated, mg]]*1000</f>
        <v>7.5045609095155035</v>
      </c>
      <c r="AV187" s="94">
        <f>((Table3.110[[#This Row],[CH4 24h, ml]]/28.9)*16.04)/Table3.110[[#This Row],[Digested feed, mg]]*1000</f>
        <v>33.45944376754661</v>
      </c>
      <c r="AW187" s="89" t="s">
        <v>548</v>
      </c>
    </row>
    <row r="188" spans="2:49" s="89" customFormat="1" x14ac:dyDescent="0.35">
      <c r="B188" s="90">
        <f t="shared" si="2"/>
        <v>178</v>
      </c>
      <c r="C188" s="140">
        <v>46043</v>
      </c>
      <c r="D188" s="6" t="s">
        <v>16</v>
      </c>
      <c r="E188" s="6" t="s">
        <v>76</v>
      </c>
      <c r="F188" s="133" t="s">
        <v>19</v>
      </c>
      <c r="G188" s="133" t="s">
        <v>20</v>
      </c>
      <c r="H188" s="133" t="s">
        <v>21</v>
      </c>
      <c r="I188" s="6" t="s">
        <v>22</v>
      </c>
      <c r="J188" s="129" t="s">
        <v>23</v>
      </c>
      <c r="K188" s="129" t="s">
        <v>24</v>
      </c>
      <c r="L188" s="6" t="s">
        <v>75</v>
      </c>
      <c r="M188" s="119">
        <v>27</v>
      </c>
      <c r="N188" s="93">
        <v>59</v>
      </c>
      <c r="O188" s="6">
        <v>2</v>
      </c>
      <c r="P188" s="129">
        <v>3</v>
      </c>
      <c r="Q188" s="6">
        <v>26</v>
      </c>
      <c r="R188" s="98">
        <v>0.50029999999999997</v>
      </c>
      <c r="S188" s="94">
        <f>((Table3.110[[#This Row],[Sample weight, g]]*'2.1. DM'!Q55)/100)*1000</f>
        <v>467.33518148455482</v>
      </c>
      <c r="T188" s="94">
        <f>'3.2 Digest'!W188</f>
        <v>107.33518148455482</v>
      </c>
      <c r="U188" s="153">
        <v>0.37916666666666665</v>
      </c>
      <c r="V188" s="155">
        <v>41</v>
      </c>
      <c r="W188" s="153">
        <v>0.70208333333333328</v>
      </c>
      <c r="X188" s="91">
        <v>61</v>
      </c>
      <c r="Y188" s="91">
        <v>15.7</v>
      </c>
      <c r="Z188" s="154">
        <v>40.5</v>
      </c>
      <c r="AA188" s="153">
        <v>0.39513888888888887</v>
      </c>
      <c r="AB188" s="154">
        <v>64</v>
      </c>
      <c r="AC188" s="154">
        <v>16.899999999999999</v>
      </c>
      <c r="AD188" s="94"/>
      <c r="AE188" s="94">
        <f>Table3.110[[#This Row],[Gas 8h, ml]]-Table3.110[[#This Row],[Gas 0h, ml]]</f>
        <v>20</v>
      </c>
      <c r="AF188" s="94">
        <f>Table3.110[[#This Row],[Gas 24h, ml]]-Table3.110[[#This Row],[V8 Push back, ml]]</f>
        <v>23.5</v>
      </c>
      <c r="AG188" s="94">
        <f>Table3.110[[#This Row],[GP 8h, ml]]-(AVERAGE(AE$116,AE$117,AE$167,AE$166,AE$219,AE$220))*$AG$8</f>
        <v>17.123728042697874</v>
      </c>
      <c r="AH188" s="94">
        <f>Table3.110[[#This Row],[GP 8-24h, ml]]-(AVERAGE(AF$11,AF$12,AF$62,AF$61,AF$114,AF$115))*$AG$8</f>
        <v>19.81247184961266</v>
      </c>
      <c r="AI188" s="94">
        <f>Table3.110[[#This Row],[Net gas 8-24h, ml]]+Table3.110[[#This Row],[Net gas 8h, ml]]</f>
        <v>36.936199892310533</v>
      </c>
      <c r="AJ188" s="94">
        <f>Table3.110[[#This Row],[Net gas 8h, ml]]*Table3.110[[#This Row],[CH4 8h %]]%</f>
        <v>2.6884253027035663</v>
      </c>
      <c r="AK188" s="94">
        <f>Table3.110[[#This Row],[Net gas 8-24h, ml]]*Table3.110[[#This Row],[CH4 24h, %]]%</f>
        <v>3.3483077425845393</v>
      </c>
      <c r="AL188" s="94">
        <f>Table3.110[[#This Row],[CH4 8-24h, ml]]+Table3.110[[#This Row],[CH4 8h, ml]]</f>
        <v>6.0367330452881056</v>
      </c>
      <c r="AM188" s="94">
        <f>(Table3.110[[#This Row],[Net gas 24h, ml]]/Table3.110[[#This Row],[DM Incubated, mg]])*1000</f>
        <v>79.035778506932829</v>
      </c>
      <c r="AN188" s="94">
        <f>'3.2 Digest'!X188</f>
        <v>22.967494367445177</v>
      </c>
      <c r="AO188" s="94">
        <f>Table3.110[[#This Row],[Digested feed, mg]]/Table3.110[[#This Row],[Net gas 24h, ml]]</f>
        <v>2.9059616798018282</v>
      </c>
      <c r="AP188" s="94">
        <f>Table3.110[[#This Row],[CH4 8h, ml]]/Table3.110[[#This Row],[Net gas 8h, ml]]%</f>
        <v>15.700000000000003</v>
      </c>
      <c r="AQ188" s="94">
        <f>Table3.110[[#This Row],[CH4 24h, ml]]/Table3.110[[#This Row],[Net gas 24h, ml]]%</f>
        <v>16.343676563611101</v>
      </c>
      <c r="AR188" s="94">
        <f>Table3.110[[#This Row],[CH4 24h, ml]]/Table3.110[[#This Row],[DM Incubated, mg]]*1000</f>
        <v>12.917352008705162</v>
      </c>
      <c r="AS188" s="94">
        <f>Table3.110[[#This Row],[CH4 24h, ml]]/Table3.110[[#This Row],[Digested feed, mg]]*1000</f>
        <v>56.241886041407319</v>
      </c>
      <c r="AT188" s="94">
        <f>Table3.110[[#This Row],[CH4 24h, ml]]/'3.2 Digest'!AA188</f>
        <v>-0.27869757754420382</v>
      </c>
      <c r="AU188" s="94">
        <f>((Table3.110[[#This Row],[CH4 24h, ml]]/28.9)*16.04)/Table3.110[[#This Row],[DM Incubated, mg]]*1000</f>
        <v>7.1693538484301316</v>
      </c>
      <c r="AV188" s="94">
        <f>((Table3.110[[#This Row],[CH4 24h, ml]]/28.9)*16.04)/Table3.110[[#This Row],[Digested feed, mg]]*1000</f>
        <v>31.215219795992159</v>
      </c>
    </row>
    <row r="189" spans="2:49" s="89" customFormat="1" x14ac:dyDescent="0.35">
      <c r="B189" s="90">
        <f t="shared" si="2"/>
        <v>179</v>
      </c>
      <c r="C189" s="140">
        <v>46043</v>
      </c>
      <c r="D189" s="6" t="s">
        <v>16</v>
      </c>
      <c r="E189" s="6" t="s">
        <v>78</v>
      </c>
      <c r="F189" s="133" t="s">
        <v>79</v>
      </c>
      <c r="G189" s="133" t="s">
        <v>80</v>
      </c>
      <c r="H189" s="133" t="s">
        <v>81</v>
      </c>
      <c r="I189" s="6" t="s">
        <v>22</v>
      </c>
      <c r="J189" s="129" t="s">
        <v>23</v>
      </c>
      <c r="K189" s="129" t="s">
        <v>24</v>
      </c>
      <c r="L189" s="6" t="s">
        <v>77</v>
      </c>
      <c r="M189" s="119">
        <v>27</v>
      </c>
      <c r="N189" s="93">
        <v>59</v>
      </c>
      <c r="O189" s="6">
        <v>2</v>
      </c>
      <c r="P189" s="129">
        <v>1</v>
      </c>
      <c r="Q189" s="6">
        <v>27</v>
      </c>
      <c r="R189" s="98">
        <v>0.50029999999999997</v>
      </c>
      <c r="S189" s="94">
        <f>((Table3.110[[#This Row],[Sample weight, g]]*'2.1. DM'!Q57)/100)*1000</f>
        <v>473.41696714935352</v>
      </c>
      <c r="T189" s="94">
        <f>'3.2 Digest'!W189</f>
        <v>211.3169671493535</v>
      </c>
      <c r="U189" s="117">
        <v>0.37916666666666665</v>
      </c>
      <c r="V189" s="155">
        <v>40.5</v>
      </c>
      <c r="W189" s="117">
        <v>0.70277777777777772</v>
      </c>
      <c r="X189" s="96">
        <v>58.5</v>
      </c>
      <c r="Y189" s="96">
        <v>11.2</v>
      </c>
      <c r="Z189" s="155">
        <v>40</v>
      </c>
      <c r="AA189" s="117">
        <v>0.39513888888888887</v>
      </c>
      <c r="AB189" s="155">
        <v>53</v>
      </c>
      <c r="AC189" s="155">
        <v>8.5</v>
      </c>
      <c r="AD189" s="94"/>
      <c r="AE189" s="94">
        <f>Table3.110[[#This Row],[Gas 8h, ml]]-Table3.110[[#This Row],[Gas 0h, ml]]</f>
        <v>18</v>
      </c>
      <c r="AF189" s="94">
        <f>Table3.110[[#This Row],[Gas 24h, ml]]-Table3.110[[#This Row],[V8 Push back, ml]]</f>
        <v>13</v>
      </c>
      <c r="AG189" s="94">
        <f>Table3.110[[#This Row],[GP 8h, ml]]-(AVERAGE(AE$116,AE$117,AE$167,AE$166,AE$219,AE$220))*$AG$8</f>
        <v>15.123728042697875</v>
      </c>
      <c r="AH189" s="94">
        <f>Table3.110[[#This Row],[GP 8-24h, ml]]-(AVERAGE(AF$11,AF$12,AF$62,AF$61,AF$114,AF$115))*$AG$8</f>
        <v>9.3124718496126597</v>
      </c>
      <c r="AI189" s="94">
        <f>Table3.110[[#This Row],[Net gas 8-24h, ml]]+Table3.110[[#This Row],[Net gas 8h, ml]]</f>
        <v>24.436199892310533</v>
      </c>
      <c r="AJ189" s="94">
        <f>Table3.110[[#This Row],[Net gas 8h, ml]]*Table3.110[[#This Row],[CH4 8h %]]%</f>
        <v>1.6938575407821619</v>
      </c>
      <c r="AK189" s="94">
        <f>Table3.110[[#This Row],[Net gas 8-24h, ml]]*Table3.110[[#This Row],[CH4 24h, %]]%</f>
        <v>0.79156010721707615</v>
      </c>
      <c r="AL189" s="94">
        <f>Table3.110[[#This Row],[CH4 8-24h, ml]]+Table3.110[[#This Row],[CH4 8h, ml]]</f>
        <v>2.4854176479992383</v>
      </c>
      <c r="AM189" s="94">
        <f>(Table3.110[[#This Row],[Net gas 24h, ml]]/Table3.110[[#This Row],[DM Incubated, mg]])*1000</f>
        <v>51.616654213834728</v>
      </c>
      <c r="AN189" s="94">
        <f>'3.2 Digest'!X189</f>
        <v>44.636542796888655</v>
      </c>
      <c r="AO189" s="94">
        <f>Table3.110[[#This Row],[Digested feed, mg]]/Table3.110[[#This Row],[Net gas 24h, ml]]</f>
        <v>8.6477016917777672</v>
      </c>
      <c r="AP189" s="94">
        <f>Table3.110[[#This Row],[CH4 8h, ml]]/Table3.110[[#This Row],[Net gas 8h, ml]]%</f>
        <v>11.2</v>
      </c>
      <c r="AQ189" s="94">
        <f>Table3.110[[#This Row],[CH4 24h, ml]]/Table3.110[[#This Row],[Net gas 24h, ml]]%</f>
        <v>10.171048112850547</v>
      </c>
      <c r="AR189" s="94">
        <f>Table3.110[[#This Row],[CH4 24h, ml]]/Table3.110[[#This Row],[DM Incubated, mg]]*1000</f>
        <v>5.2499547343328299</v>
      </c>
      <c r="AS189" s="94">
        <f>Table3.110[[#This Row],[CH4 24h, ml]]/Table3.110[[#This Row],[Digested feed, mg]]*1000</f>
        <v>11.761562176134243</v>
      </c>
      <c r="AT189" s="94">
        <f>Table3.110[[#This Row],[CH4 24h, ml]]/'3.2 Digest'!AA189</f>
        <v>-0.12737676262141293</v>
      </c>
      <c r="AU189" s="94">
        <f>((Table3.110[[#This Row],[CH4 24h, ml]]/28.9)*16.04)/Table3.110[[#This Row],[DM Incubated, mg]]*1000</f>
        <v>2.9138157072214046</v>
      </c>
      <c r="AV189" s="94">
        <f>((Table3.110[[#This Row],[CH4 24h, ml]]/28.9)*16.04)/Table3.110[[#This Row],[Digested feed, mg]]*1000</f>
        <v>6.5278704949893855</v>
      </c>
    </row>
    <row r="190" spans="2:49" s="89" customFormat="1" x14ac:dyDescent="0.35">
      <c r="B190" s="90">
        <f t="shared" si="2"/>
        <v>180</v>
      </c>
      <c r="C190" s="140">
        <v>46043</v>
      </c>
      <c r="D190" s="6" t="s">
        <v>16</v>
      </c>
      <c r="E190" s="6" t="s">
        <v>78</v>
      </c>
      <c r="F190" s="133" t="s">
        <v>79</v>
      </c>
      <c r="G190" s="133" t="s">
        <v>80</v>
      </c>
      <c r="H190" s="133" t="s">
        <v>81</v>
      </c>
      <c r="I190" s="6" t="s">
        <v>22</v>
      </c>
      <c r="J190" s="129" t="s">
        <v>23</v>
      </c>
      <c r="K190" s="129" t="s">
        <v>24</v>
      </c>
      <c r="L190" s="6" t="s">
        <v>77</v>
      </c>
      <c r="M190" s="119">
        <v>27</v>
      </c>
      <c r="N190" s="93">
        <v>59</v>
      </c>
      <c r="O190" s="6">
        <v>2</v>
      </c>
      <c r="P190" s="129">
        <v>2</v>
      </c>
      <c r="Q190" s="6">
        <v>28</v>
      </c>
      <c r="R190" s="98">
        <v>0.5</v>
      </c>
      <c r="S190" s="94">
        <f>((Table3.110[[#This Row],[Sample weight, g]]*'2.1. DM'!Q57)/100)*1000</f>
        <v>473.13308729697542</v>
      </c>
      <c r="T190" s="94">
        <f>'3.2 Digest'!W190</f>
        <v>234.43308729697551</v>
      </c>
      <c r="U190" s="153">
        <v>0.37986111111111109</v>
      </c>
      <c r="V190" s="155">
        <v>40.5</v>
      </c>
      <c r="W190" s="153">
        <v>0.70277777777777772</v>
      </c>
      <c r="X190" s="91">
        <v>68</v>
      </c>
      <c r="Y190" s="91">
        <v>11.5</v>
      </c>
      <c r="Z190" s="154">
        <v>40.5</v>
      </c>
      <c r="AA190" s="153">
        <v>0.39583333333333331</v>
      </c>
      <c r="AB190" s="154">
        <v>53.5</v>
      </c>
      <c r="AC190" s="154">
        <v>2.6</v>
      </c>
      <c r="AD190" s="94"/>
      <c r="AE190" s="94">
        <f>Table3.110[[#This Row],[Gas 8h, ml]]-Table3.110[[#This Row],[Gas 0h, ml]]</f>
        <v>27.5</v>
      </c>
      <c r="AF190" s="94">
        <f>Table3.110[[#This Row],[Gas 24h, ml]]-Table3.110[[#This Row],[V8 Push back, ml]]</f>
        <v>13</v>
      </c>
      <c r="AG190" s="94">
        <f>Table3.110[[#This Row],[GP 8h, ml]]-(AVERAGE(AE$116,AE$117,AE$167,AE$166,AE$219,AE$220))*$AG$8</f>
        <v>24.623728042697874</v>
      </c>
      <c r="AH190" s="94">
        <f>Table3.110[[#This Row],[GP 8-24h, ml]]-(AVERAGE(AF$11,AF$12,AF$62,AF$61,AF$114,AF$115))*$AG$8</f>
        <v>9.3124718496126597</v>
      </c>
      <c r="AI190" s="94">
        <f>Table3.110[[#This Row],[Net gas 8-24h, ml]]+Table3.110[[#This Row],[Net gas 8h, ml]]</f>
        <v>33.936199892310533</v>
      </c>
      <c r="AJ190" s="94">
        <f>Table3.110[[#This Row],[Net gas 8h, ml]]*Table3.110[[#This Row],[CH4 8h %]]%</f>
        <v>2.8317287249102554</v>
      </c>
      <c r="AK190" s="94">
        <f>Table3.110[[#This Row],[Net gas 8-24h, ml]]*Table3.110[[#This Row],[CH4 24h, %]]%</f>
        <v>0.24212426808992918</v>
      </c>
      <c r="AL190" s="94">
        <f>Table3.110[[#This Row],[CH4 8-24h, ml]]+Table3.110[[#This Row],[CH4 8h, ml]]</f>
        <v>3.0738529930001848</v>
      </c>
      <c r="AM190" s="94">
        <f>(Table3.110[[#This Row],[Net gas 24h, ml]]/Table3.110[[#This Row],[DM Incubated, mg]])*1000</f>
        <v>71.726541227943159</v>
      </c>
      <c r="AN190" s="94">
        <f>'3.2 Digest'!X190</f>
        <v>49.549079020513929</v>
      </c>
      <c r="AO190" s="94">
        <f>Table3.110[[#This Row],[Digested feed, mg]]/Table3.110[[#This Row],[Net gas 24h, ml]]</f>
        <v>6.9080535841048825</v>
      </c>
      <c r="AP190" s="94">
        <f>Table3.110[[#This Row],[CH4 8h, ml]]/Table3.110[[#This Row],[Net gas 8h, ml]]%</f>
        <v>11.5</v>
      </c>
      <c r="AQ190" s="94">
        <f>Table3.110[[#This Row],[CH4 24h, ml]]/Table3.110[[#This Row],[Net gas 24h, ml]]%</f>
        <v>9.0577407097860618</v>
      </c>
      <c r="AR190" s="94">
        <f>Table3.110[[#This Row],[CH4 24h, ml]]/Table3.110[[#This Row],[DM Incubated, mg]]*1000</f>
        <v>6.49680412452489</v>
      </c>
      <c r="AS190" s="94">
        <f>Table3.110[[#This Row],[CH4 24h, ml]]/Table3.110[[#This Row],[Digested feed, mg]]*1000</f>
        <v>13.111856472317342</v>
      </c>
      <c r="AT190" s="94">
        <f>Table3.110[[#This Row],[CH4 24h, ml]]/'3.2 Digest'!AA190</f>
        <v>-0.34507789851785753</v>
      </c>
      <c r="AU190" s="94">
        <f>((Table3.110[[#This Row],[CH4 24h, ml]]/28.9)*16.04)/Table3.110[[#This Row],[DM Incubated, mg]]*1000</f>
        <v>3.6058386905667557</v>
      </c>
      <c r="AV190" s="94">
        <f>((Table3.110[[#This Row],[CH4 24h, ml]]/28.9)*16.04)/Table3.110[[#This Row],[Digested feed, mg]]*1000</f>
        <v>7.2773071908640192</v>
      </c>
    </row>
    <row r="191" spans="2:49" s="89" customFormat="1" x14ac:dyDescent="0.35">
      <c r="B191" s="90">
        <f t="shared" si="2"/>
        <v>181</v>
      </c>
      <c r="C191" s="140">
        <v>46043</v>
      </c>
      <c r="D191" s="6" t="s">
        <v>16</v>
      </c>
      <c r="E191" s="6" t="s">
        <v>78</v>
      </c>
      <c r="F191" s="133" t="s">
        <v>79</v>
      </c>
      <c r="G191" s="133" t="s">
        <v>80</v>
      </c>
      <c r="H191" s="133" t="s">
        <v>81</v>
      </c>
      <c r="I191" s="6" t="s">
        <v>22</v>
      </c>
      <c r="J191" s="129" t="s">
        <v>23</v>
      </c>
      <c r="K191" s="129" t="s">
        <v>24</v>
      </c>
      <c r="L191" s="6" t="s">
        <v>77</v>
      </c>
      <c r="M191" s="119">
        <v>27</v>
      </c>
      <c r="N191" s="93">
        <v>59</v>
      </c>
      <c r="O191" s="6">
        <v>2</v>
      </c>
      <c r="P191" s="129">
        <v>3</v>
      </c>
      <c r="Q191" s="6">
        <v>29</v>
      </c>
      <c r="R191" s="98">
        <v>0.5</v>
      </c>
      <c r="S191" s="94">
        <f>((Table3.110[[#This Row],[Sample weight, g]]*'2.1. DM'!Q57)/100)*1000</f>
        <v>473.13308729697542</v>
      </c>
      <c r="T191" s="94">
        <f>'3.2 Digest'!W191</f>
        <v>223.03308729697531</v>
      </c>
      <c r="U191" s="117">
        <v>0.38055555555555554</v>
      </c>
      <c r="V191" s="155">
        <v>40.5</v>
      </c>
      <c r="W191" s="117">
        <v>0.70347222222222228</v>
      </c>
      <c r="X191" s="96">
        <v>61</v>
      </c>
      <c r="Y191" s="96">
        <v>10.7</v>
      </c>
      <c r="Z191" s="155">
        <v>39.5</v>
      </c>
      <c r="AA191" s="117">
        <v>0.39652777777777776</v>
      </c>
      <c r="AB191" s="155">
        <v>53</v>
      </c>
      <c r="AC191" s="155">
        <v>2.6</v>
      </c>
      <c r="AD191" s="94"/>
      <c r="AE191" s="94">
        <f>Table3.110[[#This Row],[Gas 8h, ml]]-Table3.110[[#This Row],[Gas 0h, ml]]</f>
        <v>20.5</v>
      </c>
      <c r="AF191" s="94">
        <f>Table3.110[[#This Row],[Gas 24h, ml]]-Table3.110[[#This Row],[V8 Push back, ml]]</f>
        <v>13.5</v>
      </c>
      <c r="AG191" s="94">
        <f>Table3.110[[#This Row],[GP 8h, ml]]-(AVERAGE(AE$116,AE$117,AE$167,AE$166,AE$219,AE$220))*$AG$8</f>
        <v>17.623728042697874</v>
      </c>
      <c r="AH191" s="94">
        <f>Table3.110[[#This Row],[GP 8-24h, ml]]-(AVERAGE(AF$11,AF$12,AF$62,AF$61,AF$114,AF$115))*$AG$8</f>
        <v>9.8124718496126597</v>
      </c>
      <c r="AI191" s="94">
        <f>Table3.110[[#This Row],[Net gas 8-24h, ml]]+Table3.110[[#This Row],[Net gas 8h, ml]]</f>
        <v>27.436199892310533</v>
      </c>
      <c r="AJ191" s="94">
        <f>Table3.110[[#This Row],[Net gas 8h, ml]]*Table3.110[[#This Row],[CH4 8h %]]%</f>
        <v>1.8857389005686724</v>
      </c>
      <c r="AK191" s="94">
        <f>Table3.110[[#This Row],[Net gas 8-24h, ml]]*Table3.110[[#This Row],[CH4 24h, %]]%</f>
        <v>0.25512426808992916</v>
      </c>
      <c r="AL191" s="94">
        <f>Table3.110[[#This Row],[CH4 8-24h, ml]]+Table3.110[[#This Row],[CH4 8h, ml]]</f>
        <v>2.1408631686586017</v>
      </c>
      <c r="AM191" s="94">
        <f>(Table3.110[[#This Row],[Net gas 24h, ml]]/Table3.110[[#This Row],[DM Incubated, mg]])*1000</f>
        <v>57.988334844756736</v>
      </c>
      <c r="AN191" s="94">
        <f>'3.2 Digest'!X191</f>
        <v>47.139608977924276</v>
      </c>
      <c r="AO191" s="94">
        <f>Table3.110[[#This Row],[Digested feed, mg]]/Table3.110[[#This Row],[Net gas 24h, ml]]</f>
        <v>8.1291537520647736</v>
      </c>
      <c r="AP191" s="94">
        <f>Table3.110[[#This Row],[CH4 8h, ml]]/Table3.110[[#This Row],[Net gas 8h, ml]]%</f>
        <v>10.700000000000001</v>
      </c>
      <c r="AQ191" s="94">
        <f>Table3.110[[#This Row],[CH4 24h, ml]]/Table3.110[[#This Row],[Net gas 24h, ml]]%</f>
        <v>7.8030601069451153</v>
      </c>
      <c r="AR191" s="94">
        <f>Table3.110[[#This Row],[CH4 24h, ml]]/Table3.110[[#This Row],[DM Incubated, mg]]*1000</f>
        <v>4.5248646229529665</v>
      </c>
      <c r="AS191" s="94">
        <f>Table3.110[[#This Row],[CH4 24h, ml]]/Table3.110[[#This Row],[Digested feed, mg]]*1000</f>
        <v>9.5988590509352427</v>
      </c>
      <c r="AT191" s="94">
        <f>Table3.110[[#This Row],[CH4 24h, ml]]/'3.2 Digest'!AA191</f>
        <v>-0.15173744281914403</v>
      </c>
      <c r="AU191" s="94">
        <f>((Table3.110[[#This Row],[CH4 24h, ml]]/28.9)*16.04)/Table3.110[[#This Row],[DM Incubated, mg]]*1000</f>
        <v>2.5113781505939645</v>
      </c>
      <c r="AV191" s="94">
        <f>((Table3.110[[#This Row],[CH4 24h, ml]]/28.9)*16.04)/Table3.110[[#This Row],[Digested feed, mg]]*1000</f>
        <v>5.327532843494855</v>
      </c>
    </row>
    <row r="192" spans="2:49" s="89" customFormat="1" x14ac:dyDescent="0.35">
      <c r="B192" s="90">
        <f t="shared" si="2"/>
        <v>182</v>
      </c>
      <c r="C192" s="140">
        <v>46043</v>
      </c>
      <c r="D192" s="6" t="s">
        <v>16</v>
      </c>
      <c r="E192" s="6" t="s">
        <v>83</v>
      </c>
      <c r="F192" s="133" t="s">
        <v>84</v>
      </c>
      <c r="G192" s="133" t="s">
        <v>67</v>
      </c>
      <c r="H192" s="133" t="s">
        <v>85</v>
      </c>
      <c r="I192" s="6" t="s">
        <v>22</v>
      </c>
      <c r="J192" s="129" t="s">
        <v>23</v>
      </c>
      <c r="K192" s="129" t="s">
        <v>24</v>
      </c>
      <c r="L192" s="6" t="s">
        <v>82</v>
      </c>
      <c r="M192" s="119">
        <v>27</v>
      </c>
      <c r="N192" s="93">
        <v>59</v>
      </c>
      <c r="O192" s="6">
        <v>2</v>
      </c>
      <c r="P192" s="129">
        <v>1</v>
      </c>
      <c r="Q192" s="6">
        <v>30</v>
      </c>
      <c r="R192" s="98">
        <v>0.50049999999999994</v>
      </c>
      <c r="S192" s="94">
        <f>((Table3.110[[#This Row],[Sample weight, g]]*'2.1. DM'!Q59)/100)*1000</f>
        <v>467.55524506815914</v>
      </c>
      <c r="T192" s="94">
        <f>'3.2 Digest'!W192</f>
        <v>212.45524506815914</v>
      </c>
      <c r="U192" s="153">
        <v>0.38055555555555554</v>
      </c>
      <c r="V192" s="155">
        <v>41</v>
      </c>
      <c r="W192" s="153">
        <v>0.70347222222222228</v>
      </c>
      <c r="X192" s="91">
        <v>72</v>
      </c>
      <c r="Y192" s="91">
        <v>12.5</v>
      </c>
      <c r="Z192" s="154">
        <v>40</v>
      </c>
      <c r="AA192" s="153">
        <v>0.3972222222222222</v>
      </c>
      <c r="AB192" s="154">
        <v>71</v>
      </c>
      <c r="AC192" s="154">
        <v>15.5</v>
      </c>
      <c r="AD192" s="94"/>
      <c r="AE192" s="94">
        <f>Table3.110[[#This Row],[Gas 8h, ml]]-Table3.110[[#This Row],[Gas 0h, ml]]</f>
        <v>31</v>
      </c>
      <c r="AF192" s="94">
        <f>Table3.110[[#This Row],[Gas 24h, ml]]-Table3.110[[#This Row],[V8 Push back, ml]]</f>
        <v>31</v>
      </c>
      <c r="AG192" s="94">
        <f>Table3.110[[#This Row],[GP 8h, ml]]-(AVERAGE(AE$116,AE$117,AE$167,AE$166,AE$219,AE$220))*$AG$8</f>
        <v>28.123728042697874</v>
      </c>
      <c r="AH192" s="94">
        <f>Table3.110[[#This Row],[GP 8-24h, ml]]-(AVERAGE(AF$11,AF$12,AF$62,AF$61,AF$114,AF$115))*$AG$8</f>
        <v>27.31247184961266</v>
      </c>
      <c r="AI192" s="94">
        <f>Table3.110[[#This Row],[Net gas 8-24h, ml]]+Table3.110[[#This Row],[Net gas 8h, ml]]</f>
        <v>55.436199892310533</v>
      </c>
      <c r="AJ192" s="94">
        <f>Table3.110[[#This Row],[Net gas 8h, ml]]*Table3.110[[#This Row],[CH4 8h %]]%</f>
        <v>3.5154660053372342</v>
      </c>
      <c r="AK192" s="94">
        <f>Table3.110[[#This Row],[Net gas 8-24h, ml]]*Table3.110[[#This Row],[CH4 24h, %]]%</f>
        <v>4.2334331366899622</v>
      </c>
      <c r="AL192" s="94">
        <f>Table3.110[[#This Row],[CH4 8-24h, ml]]+Table3.110[[#This Row],[CH4 8h, ml]]</f>
        <v>7.7488991420271969</v>
      </c>
      <c r="AM192" s="94">
        <f>(Table3.110[[#This Row],[Net gas 24h, ml]]/Table3.110[[#This Row],[DM Incubated, mg]])*1000</f>
        <v>118.56609561556554</v>
      </c>
      <c r="AN192" s="94">
        <f>'3.2 Digest'!X192</f>
        <v>45.439602551606043</v>
      </c>
      <c r="AO192" s="94">
        <f>Table3.110[[#This Row],[Digested feed, mg]]/Table3.110[[#This Row],[Net gas 24h, ml]]</f>
        <v>3.8324280069858916</v>
      </c>
      <c r="AP192" s="94">
        <f>Table3.110[[#This Row],[CH4 8h, ml]]/Table3.110[[#This Row],[Net gas 8h, ml]]%</f>
        <v>12.500000000000002</v>
      </c>
      <c r="AQ192" s="94">
        <f>Table3.110[[#This Row],[CH4 24h, ml]]/Table3.110[[#This Row],[Net gas 24h, ml]]%</f>
        <v>13.978048923050432</v>
      </c>
      <c r="AR192" s="94">
        <f>Table3.110[[#This Row],[CH4 24h, ml]]/Table3.110[[#This Row],[DM Incubated, mg]]*1000</f>
        <v>16.573226851294503</v>
      </c>
      <c r="AS192" s="94">
        <f>Table3.110[[#This Row],[CH4 24h, ml]]/Table3.110[[#This Row],[Digested feed, mg]]*1000</f>
        <v>36.473089377206115</v>
      </c>
      <c r="AT192" s="94">
        <f>Table3.110[[#This Row],[CH4 24h, ml]]/'3.2 Digest'!AA192</f>
        <v>-0.87373801049295763</v>
      </c>
      <c r="AU192" s="94">
        <f>((Table3.110[[#This Row],[CH4 24h, ml]]/28.9)*16.04)/Table3.110[[#This Row],[DM Incubated, mg]]*1000</f>
        <v>9.1984276364970174</v>
      </c>
      <c r="AV192" s="94">
        <f>((Table3.110[[#This Row],[CH4 24h, ml]]/28.9)*16.04)/Table3.110[[#This Row],[Digested feed, mg]]*1000</f>
        <v>20.243195626656956</v>
      </c>
    </row>
    <row r="193" spans="2:48" s="89" customFormat="1" x14ac:dyDescent="0.35">
      <c r="B193" s="90">
        <f t="shared" si="2"/>
        <v>183</v>
      </c>
      <c r="C193" s="140">
        <v>46043</v>
      </c>
      <c r="D193" s="6" t="s">
        <v>16</v>
      </c>
      <c r="E193" s="6" t="s">
        <v>83</v>
      </c>
      <c r="F193" s="133" t="s">
        <v>84</v>
      </c>
      <c r="G193" s="133" t="s">
        <v>67</v>
      </c>
      <c r="H193" s="133" t="s">
        <v>85</v>
      </c>
      <c r="I193" s="6" t="s">
        <v>22</v>
      </c>
      <c r="J193" s="129" t="s">
        <v>23</v>
      </c>
      <c r="K193" s="129" t="s">
        <v>24</v>
      </c>
      <c r="L193" s="6" t="s">
        <v>82</v>
      </c>
      <c r="M193" s="119">
        <v>27</v>
      </c>
      <c r="N193" s="93">
        <v>59</v>
      </c>
      <c r="O193" s="6">
        <v>2</v>
      </c>
      <c r="P193" s="129">
        <v>2</v>
      </c>
      <c r="Q193" s="6">
        <v>31</v>
      </c>
      <c r="R193" s="98">
        <v>0.50029999999999997</v>
      </c>
      <c r="S193" s="94">
        <f>((Table3.110[[#This Row],[Sample weight, g]]*'2.1. DM'!Q59)/100)*1000</f>
        <v>467.36840980539466</v>
      </c>
      <c r="T193" s="94">
        <f>'3.2 Digest'!W193</f>
        <v>190.7684098053947</v>
      </c>
      <c r="U193" s="117">
        <v>0.38263888888888886</v>
      </c>
      <c r="V193" s="155">
        <v>41</v>
      </c>
      <c r="W193" s="117">
        <v>0.70416666666666672</v>
      </c>
      <c r="X193" s="96">
        <v>71.5</v>
      </c>
      <c r="Y193" s="96">
        <v>13.5</v>
      </c>
      <c r="Z193" s="155">
        <v>40.5</v>
      </c>
      <c r="AA193" s="117">
        <v>0.3972222222222222</v>
      </c>
      <c r="AB193" s="155">
        <v>71</v>
      </c>
      <c r="AC193" s="155">
        <v>15.4</v>
      </c>
      <c r="AD193" s="94"/>
      <c r="AE193" s="94">
        <f>Table3.110[[#This Row],[Gas 8h, ml]]-Table3.110[[#This Row],[Gas 0h, ml]]</f>
        <v>30.5</v>
      </c>
      <c r="AF193" s="94">
        <f>Table3.110[[#This Row],[Gas 24h, ml]]-Table3.110[[#This Row],[V8 Push back, ml]]</f>
        <v>30.5</v>
      </c>
      <c r="AG193" s="94">
        <f>Table3.110[[#This Row],[GP 8h, ml]]-(AVERAGE(AE$116,AE$117,AE$167,AE$166,AE$219,AE$220))*$AG$8</f>
        <v>27.623728042697874</v>
      </c>
      <c r="AH193" s="94">
        <f>Table3.110[[#This Row],[GP 8-24h, ml]]-(AVERAGE(AF$11,AF$12,AF$62,AF$61,AF$114,AF$115))*$AG$8</f>
        <v>26.81247184961266</v>
      </c>
      <c r="AI193" s="94">
        <f>Table3.110[[#This Row],[Net gas 8-24h, ml]]+Table3.110[[#This Row],[Net gas 8h, ml]]</f>
        <v>54.436199892310533</v>
      </c>
      <c r="AJ193" s="94">
        <f>Table3.110[[#This Row],[Net gas 8h, ml]]*Table3.110[[#This Row],[CH4 8h %]]%</f>
        <v>3.7292032857642132</v>
      </c>
      <c r="AK193" s="94">
        <f>Table3.110[[#This Row],[Net gas 8-24h, ml]]*Table3.110[[#This Row],[CH4 24h, %]]%</f>
        <v>4.1291206648403493</v>
      </c>
      <c r="AL193" s="94">
        <f>Table3.110[[#This Row],[CH4 8-24h, ml]]+Table3.110[[#This Row],[CH4 8h, ml]]</f>
        <v>7.8583239506045626</v>
      </c>
      <c r="AM193" s="94">
        <f>(Table3.110[[#This Row],[Net gas 24h, ml]]/Table3.110[[#This Row],[DM Incubated, mg]])*1000</f>
        <v>116.47385392388195</v>
      </c>
      <c r="AN193" s="94">
        <f>'3.2 Digest'!X193</f>
        <v>40.817566143340294</v>
      </c>
      <c r="AO193" s="94">
        <f>Table3.110[[#This Row],[Digested feed, mg]]/Table3.110[[#This Row],[Net gas 24h, ml]]</f>
        <v>3.5044402471661504</v>
      </c>
      <c r="AP193" s="94">
        <f>Table3.110[[#This Row],[CH4 8h, ml]]/Table3.110[[#This Row],[Net gas 8h, ml]]%</f>
        <v>13.5</v>
      </c>
      <c r="AQ193" s="94">
        <f>Table3.110[[#This Row],[CH4 24h, ml]]/Table3.110[[#This Row],[Net gas 24h, ml]]%</f>
        <v>14.435842263329263</v>
      </c>
      <c r="AR193" s="94">
        <f>Table3.110[[#This Row],[CH4 24h, ml]]/Table3.110[[#This Row],[DM Incubated, mg]]*1000</f>
        <v>16.813981830472137</v>
      </c>
      <c r="AS193" s="94">
        <f>Table3.110[[#This Row],[CH4 24h, ml]]/Table3.110[[#This Row],[Digested feed, mg]]*1000</f>
        <v>41.193004432028033</v>
      </c>
      <c r="AT193" s="94">
        <f>Table3.110[[#This Row],[CH4 24h, ml]]/'3.2 Digest'!AA193</f>
        <v>-0.43436815567922499</v>
      </c>
      <c r="AU193" s="94">
        <f>((Table3.110[[#This Row],[CH4 24h, ml]]/28.9)*16.04)/Table3.110[[#This Row],[DM Incubated, mg]]*1000</f>
        <v>9.3320508152516641</v>
      </c>
      <c r="AV193" s="94">
        <f>((Table3.110[[#This Row],[CH4 24h, ml]]/28.9)*16.04)/Table3.110[[#This Row],[Digested feed, mg]]*1000</f>
        <v>22.862830141513133</v>
      </c>
    </row>
    <row r="194" spans="2:48" s="89" customFormat="1" x14ac:dyDescent="0.35">
      <c r="B194" s="90">
        <f t="shared" si="2"/>
        <v>184</v>
      </c>
      <c r="C194" s="140">
        <v>46043</v>
      </c>
      <c r="D194" s="6" t="s">
        <v>16</v>
      </c>
      <c r="E194" s="6" t="s">
        <v>83</v>
      </c>
      <c r="F194" s="133" t="s">
        <v>84</v>
      </c>
      <c r="G194" s="133" t="s">
        <v>67</v>
      </c>
      <c r="H194" s="133" t="s">
        <v>85</v>
      </c>
      <c r="I194" s="6" t="s">
        <v>22</v>
      </c>
      <c r="J194" s="129" t="s">
        <v>23</v>
      </c>
      <c r="K194" s="129" t="s">
        <v>24</v>
      </c>
      <c r="L194" s="6" t="s">
        <v>82</v>
      </c>
      <c r="M194" s="119">
        <v>27</v>
      </c>
      <c r="N194" s="93">
        <v>59</v>
      </c>
      <c r="O194" s="6">
        <v>2</v>
      </c>
      <c r="P194" s="129">
        <v>3</v>
      </c>
      <c r="Q194" s="6">
        <v>32</v>
      </c>
      <c r="R194" s="98">
        <v>0.50009999999999999</v>
      </c>
      <c r="S194" s="94">
        <f>((Table3.110[[#This Row],[Sample weight, g]]*'2.1. DM'!Q59)/100)*1000</f>
        <v>467.18157454263019</v>
      </c>
      <c r="T194" s="94">
        <f>'3.2 Digest'!W194</f>
        <v>168.68157454263019</v>
      </c>
      <c r="U194" s="153">
        <v>0.38124999999999998</v>
      </c>
      <c r="V194" s="155">
        <v>39.5</v>
      </c>
      <c r="W194" s="153">
        <v>0.70486111111111116</v>
      </c>
      <c r="X194" s="91">
        <v>69.5</v>
      </c>
      <c r="Y194" s="91">
        <v>13.1</v>
      </c>
      <c r="Z194" s="154">
        <v>39.5</v>
      </c>
      <c r="AA194" s="153">
        <v>0.39791666666666664</v>
      </c>
      <c r="AB194" s="154">
        <v>70</v>
      </c>
      <c r="AC194" s="154">
        <v>15.6</v>
      </c>
      <c r="AD194" s="94"/>
      <c r="AE194" s="94">
        <f>Table3.110[[#This Row],[Gas 8h, ml]]-Table3.110[[#This Row],[Gas 0h, ml]]</f>
        <v>30</v>
      </c>
      <c r="AF194" s="94">
        <f>Table3.110[[#This Row],[Gas 24h, ml]]-Table3.110[[#This Row],[V8 Push back, ml]]</f>
        <v>30.5</v>
      </c>
      <c r="AG194" s="94">
        <f>Table3.110[[#This Row],[GP 8h, ml]]-(AVERAGE(AE$116,AE$117,AE$167,AE$166,AE$219,AE$220))*$AG$8</f>
        <v>27.123728042697874</v>
      </c>
      <c r="AH194" s="94">
        <f>Table3.110[[#This Row],[GP 8-24h, ml]]-(AVERAGE(AF$11,AF$12,AF$62,AF$61,AF$114,AF$115))*$AG$8</f>
        <v>26.81247184961266</v>
      </c>
      <c r="AI194" s="94">
        <f>Table3.110[[#This Row],[Net gas 8-24h, ml]]+Table3.110[[#This Row],[Net gas 8h, ml]]</f>
        <v>53.936199892310533</v>
      </c>
      <c r="AJ194" s="94">
        <f>Table3.110[[#This Row],[Net gas 8h, ml]]*Table3.110[[#This Row],[CH4 8h %]]%</f>
        <v>3.5532083735934217</v>
      </c>
      <c r="AK194" s="94">
        <f>Table3.110[[#This Row],[Net gas 8-24h, ml]]*Table3.110[[#This Row],[CH4 24h, %]]%</f>
        <v>4.1827456085395749</v>
      </c>
      <c r="AL194" s="94">
        <f>Table3.110[[#This Row],[CH4 8-24h, ml]]+Table3.110[[#This Row],[CH4 8h, ml]]</f>
        <v>7.7359539821329966</v>
      </c>
      <c r="AM194" s="94">
        <f>(Table3.110[[#This Row],[Net gas 24h, ml]]/Table3.110[[#This Row],[DM Incubated, mg]])*1000</f>
        <v>115.45018646147156</v>
      </c>
      <c r="AN194" s="94">
        <f>'3.2 Digest'!X194</f>
        <v>36.106213030291087</v>
      </c>
      <c r="AO194" s="94">
        <f>Table3.110[[#This Row],[Digested feed, mg]]/Table3.110[[#This Row],[Net gas 24h, ml]]</f>
        <v>3.1274278662460691</v>
      </c>
      <c r="AP194" s="94">
        <f>Table3.110[[#This Row],[CH4 8h, ml]]/Table3.110[[#This Row],[Net gas 8h, ml]]%</f>
        <v>13.1</v>
      </c>
      <c r="AQ194" s="94">
        <f>Table3.110[[#This Row],[CH4 24h, ml]]/Table3.110[[#This Row],[Net gas 24h, ml]]%</f>
        <v>14.342786472867326</v>
      </c>
      <c r="AR194" s="94">
        <f>Table3.110[[#This Row],[CH4 24h, ml]]/Table3.110[[#This Row],[DM Incubated, mg]]*1000</f>
        <v>16.55877372669605</v>
      </c>
      <c r="AS194" s="94">
        <f>Table3.110[[#This Row],[CH4 24h, ml]]/Table3.110[[#This Row],[Digested feed, mg]]*1000</f>
        <v>45.861286291099454</v>
      </c>
      <c r="AT194" s="94">
        <f>Table3.110[[#This Row],[CH4 24h, ml]]/'3.2 Digest'!AA194</f>
        <v>-0.28138593945723805</v>
      </c>
      <c r="AU194" s="94">
        <f>((Table3.110[[#This Row],[CH4 24h, ml]]/28.9)*16.04)/Table3.110[[#This Row],[DM Incubated, mg]]*1000</f>
        <v>9.1904059022908164</v>
      </c>
      <c r="AV194" s="94">
        <f>((Table3.110[[#This Row],[CH4 24h, ml]]/28.9)*16.04)/Table3.110[[#This Row],[Digested feed, mg]]*1000</f>
        <v>25.453807339419903</v>
      </c>
    </row>
    <row r="195" spans="2:48" s="89" customFormat="1" x14ac:dyDescent="0.35">
      <c r="B195" s="90">
        <f t="shared" si="2"/>
        <v>185</v>
      </c>
      <c r="C195" s="140">
        <v>46043</v>
      </c>
      <c r="D195" s="6" t="s">
        <v>16</v>
      </c>
      <c r="E195" s="6" t="s">
        <v>87</v>
      </c>
      <c r="F195" s="133" t="s">
        <v>88</v>
      </c>
      <c r="G195" s="133" t="s">
        <v>89</v>
      </c>
      <c r="H195" s="133" t="s">
        <v>90</v>
      </c>
      <c r="I195" s="6" t="s">
        <v>22</v>
      </c>
      <c r="J195" s="129" t="s">
        <v>23</v>
      </c>
      <c r="K195" s="129" t="s">
        <v>24</v>
      </c>
      <c r="L195" s="6" t="s">
        <v>86</v>
      </c>
      <c r="M195" s="119">
        <v>27</v>
      </c>
      <c r="N195" s="93">
        <v>59</v>
      </c>
      <c r="O195" s="6">
        <v>2</v>
      </c>
      <c r="P195" s="129">
        <v>1</v>
      </c>
      <c r="Q195" s="6">
        <v>33</v>
      </c>
      <c r="R195" s="98">
        <v>0.50019999999999998</v>
      </c>
      <c r="S195" s="94">
        <f>((Table3.110[[#This Row],[Sample weight, g]]*'2.1. DM'!Q61)/100)*1000</f>
        <v>469.16567561687623</v>
      </c>
      <c r="T195" s="94">
        <f>'3.2 Digest'!W195</f>
        <v>84.865675616876274</v>
      </c>
      <c r="U195" s="117">
        <v>0.38124999999999998</v>
      </c>
      <c r="V195" s="155">
        <v>40.5</v>
      </c>
      <c r="W195" s="117">
        <v>0.70486111111111116</v>
      </c>
      <c r="X195" s="96">
        <v>67.5</v>
      </c>
      <c r="Y195" s="96">
        <v>13.5</v>
      </c>
      <c r="Z195" s="155">
        <v>40</v>
      </c>
      <c r="AA195" s="117">
        <v>0.39861111111111114</v>
      </c>
      <c r="AB195" s="155">
        <v>60</v>
      </c>
      <c r="AC195" s="155">
        <v>18.2</v>
      </c>
      <c r="AD195" s="94"/>
      <c r="AE195" s="94">
        <f>Table3.110[[#This Row],[Gas 8h, ml]]-Table3.110[[#This Row],[Gas 0h, ml]]</f>
        <v>27</v>
      </c>
      <c r="AF195" s="94">
        <f>Table3.110[[#This Row],[Gas 24h, ml]]-Table3.110[[#This Row],[V8 Push back, ml]]</f>
        <v>20</v>
      </c>
      <c r="AG195" s="94">
        <f>Table3.110[[#This Row],[GP 8h, ml]]-(AVERAGE(AE$116,AE$117,AE$167,AE$166,AE$219,AE$220))*$AG$8</f>
        <v>24.123728042697874</v>
      </c>
      <c r="AH195" s="94">
        <f>Table3.110[[#This Row],[GP 8-24h, ml]]-(AVERAGE(AF$11,AF$12,AF$62,AF$61,AF$114,AF$115))*$AG$8</f>
        <v>16.31247184961266</v>
      </c>
      <c r="AI195" s="94">
        <f>Table3.110[[#This Row],[Net gas 8-24h, ml]]+Table3.110[[#This Row],[Net gas 8h, ml]]</f>
        <v>40.436199892310533</v>
      </c>
      <c r="AJ195" s="94">
        <f>Table3.110[[#This Row],[Net gas 8h, ml]]*Table3.110[[#This Row],[CH4 8h %]]%</f>
        <v>3.2567032857642131</v>
      </c>
      <c r="AK195" s="94">
        <f>Table3.110[[#This Row],[Net gas 8-24h, ml]]*Table3.110[[#This Row],[CH4 24h, %]]%</f>
        <v>2.9688698766295039</v>
      </c>
      <c r="AL195" s="94">
        <f>Table3.110[[#This Row],[CH4 8-24h, ml]]+Table3.110[[#This Row],[CH4 8h, ml]]</f>
        <v>6.2255731623937169</v>
      </c>
      <c r="AM195" s="94">
        <f>(Table3.110[[#This Row],[Net gas 24h, ml]]/Table3.110[[#This Row],[DM Incubated, mg]])*1000</f>
        <v>86.18746424521261</v>
      </c>
      <c r="AN195" s="94">
        <f>'3.2 Digest'!X195</f>
        <v>18.088636920271668</v>
      </c>
      <c r="AO195" s="94">
        <f>Table3.110[[#This Row],[Digested feed, mg]]/Table3.110[[#This Row],[Net gas 24h, ml]]</f>
        <v>2.0987549730906978</v>
      </c>
      <c r="AP195" s="94">
        <f>Table3.110[[#This Row],[CH4 8h, ml]]/Table3.110[[#This Row],[Net gas 8h, ml]]%</f>
        <v>13.500000000000002</v>
      </c>
      <c r="AQ195" s="94">
        <f>Table3.110[[#This Row],[CH4 24h, ml]]/Table3.110[[#This Row],[Net gas 24h, ml]]%</f>
        <v>15.396039140605769</v>
      </c>
      <c r="AR195" s="94">
        <f>Table3.110[[#This Row],[CH4 24h, ml]]/Table3.110[[#This Row],[DM Incubated, mg]]*1000</f>
        <v>13.269455729488532</v>
      </c>
      <c r="AS195" s="94">
        <f>Table3.110[[#This Row],[CH4 24h, ml]]/Table3.110[[#This Row],[Digested feed, mg]]*1000</f>
        <v>73.357963830970874</v>
      </c>
      <c r="AT195" s="94">
        <f>Table3.110[[#This Row],[CH4 24h, ml]]/'3.2 Digest'!AA195</f>
        <v>-0.37822391622130713</v>
      </c>
      <c r="AU195" s="94">
        <f>((Table3.110[[#This Row],[CH4 24h, ml]]/28.9)*16.04)/Table3.110[[#This Row],[DM Incubated, mg]]*1000</f>
        <v>7.3647775052247768</v>
      </c>
      <c r="AV195" s="94">
        <f>((Table3.110[[#This Row],[CH4 24h, ml]]/28.9)*16.04)/Table3.110[[#This Row],[Digested feed, mg]]*1000</f>
        <v>40.714939095113245</v>
      </c>
    </row>
    <row r="196" spans="2:48" s="89" customFormat="1" x14ac:dyDescent="0.35">
      <c r="B196" s="90">
        <f t="shared" si="2"/>
        <v>186</v>
      </c>
      <c r="C196" s="140">
        <v>46043</v>
      </c>
      <c r="D196" s="6" t="s">
        <v>16</v>
      </c>
      <c r="E196" s="6" t="s">
        <v>87</v>
      </c>
      <c r="F196" s="133" t="s">
        <v>88</v>
      </c>
      <c r="G196" s="133" t="s">
        <v>89</v>
      </c>
      <c r="H196" s="133" t="s">
        <v>90</v>
      </c>
      <c r="I196" s="6" t="s">
        <v>22</v>
      </c>
      <c r="J196" s="129" t="s">
        <v>23</v>
      </c>
      <c r="K196" s="129" t="s">
        <v>24</v>
      </c>
      <c r="L196" s="6" t="s">
        <v>86</v>
      </c>
      <c r="M196" s="119">
        <v>27</v>
      </c>
      <c r="N196" s="93">
        <v>59</v>
      </c>
      <c r="O196" s="6">
        <v>2</v>
      </c>
      <c r="P196" s="129">
        <v>2</v>
      </c>
      <c r="Q196" s="6">
        <v>34</v>
      </c>
      <c r="R196" s="98">
        <v>0.5</v>
      </c>
      <c r="S196" s="94">
        <f>((Table3.110[[#This Row],[Sample weight, g]]*'2.1. DM'!Q61)/100)*1000</f>
        <v>468.97808438312296</v>
      </c>
      <c r="T196" s="94">
        <f>'3.2 Digest'!W196</f>
        <v>84.778084383122973</v>
      </c>
      <c r="U196" s="153">
        <v>0.38194444444444442</v>
      </c>
      <c r="V196" s="155">
        <v>42</v>
      </c>
      <c r="W196" s="153">
        <v>0.7055555555555556</v>
      </c>
      <c r="X196" s="91">
        <v>72.5</v>
      </c>
      <c r="Y196" s="91">
        <v>14.5</v>
      </c>
      <c r="Z196" s="154">
        <v>46.5</v>
      </c>
      <c r="AA196" s="153">
        <v>0.39930555555555558</v>
      </c>
      <c r="AB196" s="154">
        <v>66.5</v>
      </c>
      <c r="AC196" s="154">
        <v>18.7</v>
      </c>
      <c r="AD196" s="94"/>
      <c r="AE196" s="94">
        <f>Table3.110[[#This Row],[Gas 8h, ml]]-Table3.110[[#This Row],[Gas 0h, ml]]</f>
        <v>30.5</v>
      </c>
      <c r="AF196" s="94">
        <f>Table3.110[[#This Row],[Gas 24h, ml]]-Table3.110[[#This Row],[V8 Push back, ml]]</f>
        <v>20</v>
      </c>
      <c r="AG196" s="94">
        <f>Table3.110[[#This Row],[GP 8h, ml]]-(AVERAGE(AE$116,AE$117,AE$167,AE$166,AE$219,AE$220))*$AG$8</f>
        <v>27.623728042697874</v>
      </c>
      <c r="AH196" s="94">
        <f>Table3.110[[#This Row],[GP 8-24h, ml]]-(AVERAGE(AF$11,AF$12,AF$62,AF$61,AF$114,AF$115))*$AG$8</f>
        <v>16.31247184961266</v>
      </c>
      <c r="AI196" s="94">
        <f>Table3.110[[#This Row],[Net gas 8-24h, ml]]+Table3.110[[#This Row],[Net gas 8h, ml]]</f>
        <v>43.936199892310533</v>
      </c>
      <c r="AJ196" s="94">
        <f>Table3.110[[#This Row],[Net gas 8h, ml]]*Table3.110[[#This Row],[CH4 8h %]]%</f>
        <v>4.0054405661911918</v>
      </c>
      <c r="AK196" s="94">
        <f>Table3.110[[#This Row],[Net gas 8-24h, ml]]*Table3.110[[#This Row],[CH4 24h, %]]%</f>
        <v>3.0504322358775675</v>
      </c>
      <c r="AL196" s="94">
        <f>Table3.110[[#This Row],[CH4 8-24h, ml]]+Table3.110[[#This Row],[CH4 8h, ml]]</f>
        <v>7.0558728020687589</v>
      </c>
      <c r="AM196" s="94">
        <f>(Table3.110[[#This Row],[Net gas 24h, ml]]/Table3.110[[#This Row],[DM Incubated, mg]])*1000</f>
        <v>93.684974533730383</v>
      </c>
      <c r="AN196" s="94">
        <f>'3.2 Digest'!X196</f>
        <v>18.077195333047822</v>
      </c>
      <c r="AO196" s="94">
        <f>Table3.110[[#This Row],[Digested feed, mg]]/Table3.110[[#This Row],[Net gas 24h, ml]]</f>
        <v>1.929572529962027</v>
      </c>
      <c r="AP196" s="94">
        <f>Table3.110[[#This Row],[CH4 8h, ml]]/Table3.110[[#This Row],[Net gas 8h, ml]]%</f>
        <v>14.5</v>
      </c>
      <c r="AQ196" s="94">
        <f>Table3.110[[#This Row],[CH4 24h, ml]]/Table3.110[[#This Row],[Net gas 24h, ml]]%</f>
        <v>16.059360662421874</v>
      </c>
      <c r="AR196" s="94">
        <f>Table3.110[[#This Row],[CH4 24h, ml]]/Table3.110[[#This Row],[DM Incubated, mg]]*1000</f>
        <v>15.045207946869846</v>
      </c>
      <c r="AS196" s="94">
        <f>Table3.110[[#This Row],[CH4 24h, ml]]/Table3.110[[#This Row],[Digested feed, mg]]*1000</f>
        <v>83.227556430531848</v>
      </c>
      <c r="AT196" s="94">
        <f>Table3.110[[#This Row],[CH4 24h, ml]]/'3.2 Digest'!AA196</f>
        <v>-0.42824409946123249</v>
      </c>
      <c r="AU196" s="94">
        <f>((Table3.110[[#This Row],[CH4 24h, ml]]/28.9)*16.04)/Table3.110[[#This Row],[DM Incubated, mg]]*1000</f>
        <v>8.3503507082281079</v>
      </c>
      <c r="AV196" s="94">
        <f>((Table3.110[[#This Row],[CH4 24h, ml]]/28.9)*16.04)/Table3.110[[#This Row],[Digested feed, mg]]*1000</f>
        <v>46.192733742066821</v>
      </c>
    </row>
    <row r="197" spans="2:48" s="89" customFormat="1" x14ac:dyDescent="0.35">
      <c r="B197" s="90">
        <f t="shared" si="2"/>
        <v>187</v>
      </c>
      <c r="C197" s="140">
        <v>46043</v>
      </c>
      <c r="D197" s="6" t="s">
        <v>16</v>
      </c>
      <c r="E197" s="6" t="s">
        <v>87</v>
      </c>
      <c r="F197" s="133" t="s">
        <v>88</v>
      </c>
      <c r="G197" s="133" t="s">
        <v>89</v>
      </c>
      <c r="H197" s="133" t="s">
        <v>90</v>
      </c>
      <c r="I197" s="6" t="s">
        <v>22</v>
      </c>
      <c r="J197" s="129" t="s">
        <v>23</v>
      </c>
      <c r="K197" s="129" t="s">
        <v>24</v>
      </c>
      <c r="L197" s="6" t="s">
        <v>86</v>
      </c>
      <c r="M197" s="119">
        <v>27</v>
      </c>
      <c r="N197" s="93">
        <v>59</v>
      </c>
      <c r="O197" s="6">
        <v>2</v>
      </c>
      <c r="P197" s="129">
        <v>3</v>
      </c>
      <c r="Q197" s="6">
        <v>35</v>
      </c>
      <c r="R197" s="98">
        <v>0.5</v>
      </c>
      <c r="S197" s="110">
        <f>((Table3.110[[#This Row],[Sample weight, g]]*'2.1. DM'!Q61)/100)*1000</f>
        <v>468.97808438312296</v>
      </c>
      <c r="T197" s="94">
        <f>'3.2 Digest'!W197</f>
        <v>110.57808438312293</v>
      </c>
      <c r="U197" s="117">
        <v>0.38333333333333336</v>
      </c>
      <c r="V197" s="155">
        <v>41</v>
      </c>
      <c r="W197" s="117">
        <v>0.70625000000000004</v>
      </c>
      <c r="X197" s="96">
        <v>69</v>
      </c>
      <c r="Y197" s="96">
        <v>13.5</v>
      </c>
      <c r="Z197" s="155">
        <v>40.5</v>
      </c>
      <c r="AA197" s="117">
        <v>0.39930555555555558</v>
      </c>
      <c r="AB197" s="155">
        <v>60</v>
      </c>
      <c r="AC197" s="155">
        <v>18.2</v>
      </c>
      <c r="AD197" s="94"/>
      <c r="AE197" s="94">
        <f>Table3.110[[#This Row],[Gas 8h, ml]]-Table3.110[[#This Row],[Gas 0h, ml]]</f>
        <v>28</v>
      </c>
      <c r="AF197" s="94">
        <f>Table3.110[[#This Row],[Gas 24h, ml]]-Table3.110[[#This Row],[V8 Push back, ml]]</f>
        <v>19.5</v>
      </c>
      <c r="AG197" s="94">
        <f>Table3.110[[#This Row],[GP 8h, ml]]-(AVERAGE(AE$116,AE$117,AE$167,AE$166,AE$219,AE$220))*$AG$8</f>
        <v>25.123728042697874</v>
      </c>
      <c r="AH197" s="94">
        <f>Table3.110[[#This Row],[GP 8-24h, ml]]-(AVERAGE(AF$11,AF$12,AF$62,AF$61,AF$114,AF$115))*$AG$8</f>
        <v>15.81247184961266</v>
      </c>
      <c r="AI197" s="94">
        <f>Table3.110[[#This Row],[Net gas 8-24h, ml]]+Table3.110[[#This Row],[Net gas 8h, ml]]</f>
        <v>40.936199892310533</v>
      </c>
      <c r="AJ197" s="94">
        <f>Table3.110[[#This Row],[Net gas 8h, ml]]*Table3.110[[#This Row],[CH4 8h %]]%</f>
        <v>3.3917032857642133</v>
      </c>
      <c r="AK197" s="94">
        <f>Table3.110[[#This Row],[Net gas 8-24h, ml]]*Table3.110[[#This Row],[CH4 24h, %]]%</f>
        <v>2.8778698766295041</v>
      </c>
      <c r="AL197" s="94">
        <f>Table3.110[[#This Row],[CH4 8-24h, ml]]+Table3.110[[#This Row],[CH4 8h, ml]]</f>
        <v>6.2695731623937174</v>
      </c>
      <c r="AM197" s="94">
        <f>(Table3.110[[#This Row],[Net gas 24h, ml]]/Table3.110[[#This Row],[DM Incubated, mg]])*1000</f>
        <v>87.288087131313503</v>
      </c>
      <c r="AN197" s="94">
        <f>'3.2 Digest'!X197</f>
        <v>23.578518499126329</v>
      </c>
      <c r="AO197" s="94">
        <f>Table3.110[[#This Row],[Digested feed, mg]]/Table3.110[[#This Row],[Net gas 24h, ml]]</f>
        <v>2.7012298326179991</v>
      </c>
      <c r="AP197" s="94">
        <f>Table3.110[[#This Row],[CH4 8h, ml]]/Table3.110[[#This Row],[Net gas 8h, ml]]%</f>
        <v>13.500000000000002</v>
      </c>
      <c r="AQ197" s="94">
        <f>Table3.110[[#This Row],[CH4 24h, ml]]/Table3.110[[#This Row],[Net gas 24h, ml]]%</f>
        <v>15.315474271883737</v>
      </c>
      <c r="AR197" s="94">
        <f>Table3.110[[#This Row],[CH4 24h, ml]]/Table3.110[[#This Row],[DM Incubated, mg]]*1000</f>
        <v>13.368584527015777</v>
      </c>
      <c r="AS197" s="94">
        <f>Table3.110[[#This Row],[CH4 24h, ml]]/Table3.110[[#This Row],[Digested feed, mg]]*1000</f>
        <v>56.69815314100898</v>
      </c>
      <c r="AT197" s="94">
        <f>Table3.110[[#This Row],[CH4 24h, ml]]/'3.2 Digest'!AA197</f>
        <v>-0.7244200255508253</v>
      </c>
      <c r="AU197" s="94">
        <f>((Table3.110[[#This Row],[CH4 24h, ml]]/28.9)*16.04)/Table3.110[[#This Row],[DM Incubated, mg]]*1000</f>
        <v>7.4197957028834969</v>
      </c>
      <c r="AV197" s="94">
        <f>((Table3.110[[#This Row],[CH4 24h, ml]]/28.9)*16.04)/Table3.110[[#This Row],[Digested feed, mg]]*1000</f>
        <v>31.468455930165533</v>
      </c>
    </row>
    <row r="198" spans="2:48" s="89" customFormat="1" x14ac:dyDescent="0.35">
      <c r="B198" s="90">
        <f t="shared" si="2"/>
        <v>188</v>
      </c>
      <c r="C198" s="140">
        <v>46043</v>
      </c>
      <c r="D198" s="6" t="s">
        <v>16</v>
      </c>
      <c r="E198" s="6" t="s">
        <v>92</v>
      </c>
      <c r="F198" s="133" t="s">
        <v>79</v>
      </c>
      <c r="G198" s="133" t="s">
        <v>80</v>
      </c>
      <c r="H198" s="133" t="s">
        <v>81</v>
      </c>
      <c r="I198" s="6" t="s">
        <v>22</v>
      </c>
      <c r="J198" s="129" t="s">
        <v>23</v>
      </c>
      <c r="K198" s="129" t="s">
        <v>24</v>
      </c>
      <c r="L198" s="6" t="s">
        <v>91</v>
      </c>
      <c r="M198" s="119">
        <v>27</v>
      </c>
      <c r="N198" s="93">
        <v>59</v>
      </c>
      <c r="O198" s="6">
        <v>2</v>
      </c>
      <c r="P198" s="129">
        <v>1</v>
      </c>
      <c r="Q198" s="6">
        <v>36</v>
      </c>
      <c r="R198" s="98">
        <v>0.50019999999999998</v>
      </c>
      <c r="S198" s="94">
        <f>((Table3.110[[#This Row],[Sample weight, g]]*'2.1. DM'!Q63)/100)*1000</f>
        <v>465.05702578452906</v>
      </c>
      <c r="T198" s="94">
        <f>'3.2 Digest'!W198</f>
        <v>233.05702578452909</v>
      </c>
      <c r="U198" s="153">
        <v>0.38333333333333336</v>
      </c>
      <c r="V198" s="155">
        <v>40.5</v>
      </c>
      <c r="W198" s="153">
        <v>0.70694444444444449</v>
      </c>
      <c r="X198" s="91">
        <v>58.5</v>
      </c>
      <c r="Y198" s="91">
        <v>9.8000000000000007</v>
      </c>
      <c r="Z198" s="154">
        <v>40.5</v>
      </c>
      <c r="AA198" s="153">
        <v>0.4</v>
      </c>
      <c r="AB198" s="154">
        <v>53.5</v>
      </c>
      <c r="AC198" s="154">
        <v>5.9</v>
      </c>
      <c r="AD198" s="94"/>
      <c r="AE198" s="94">
        <f>Table3.110[[#This Row],[Gas 8h, ml]]-Table3.110[[#This Row],[Gas 0h, ml]]</f>
        <v>18</v>
      </c>
      <c r="AF198" s="94">
        <f>Table3.110[[#This Row],[Gas 24h, ml]]-Table3.110[[#This Row],[V8 Push back, ml]]</f>
        <v>13</v>
      </c>
      <c r="AG198" s="94">
        <f>Table3.110[[#This Row],[GP 8h, ml]]-(AVERAGE(AE$116,AE$117,AE$167,AE$166,AE$219,AE$220))*$AG$8</f>
        <v>15.123728042697875</v>
      </c>
      <c r="AH198" s="94">
        <f>Table3.110[[#This Row],[GP 8-24h, ml]]-(AVERAGE(AF$11,AF$12,AF$62,AF$61,AF$114,AF$115))*$AG$8</f>
        <v>9.3124718496126597</v>
      </c>
      <c r="AI198" s="94">
        <f>Table3.110[[#This Row],[Net gas 8-24h, ml]]+Table3.110[[#This Row],[Net gas 8h, ml]]</f>
        <v>24.436199892310533</v>
      </c>
      <c r="AJ198" s="94">
        <f>Table3.110[[#This Row],[Net gas 8h, ml]]*Table3.110[[#This Row],[CH4 8h %]]%</f>
        <v>1.4821253481843919</v>
      </c>
      <c r="AK198" s="94">
        <f>Table3.110[[#This Row],[Net gas 8-24h, ml]]*Table3.110[[#This Row],[CH4 24h, %]]%</f>
        <v>0.549435839127147</v>
      </c>
      <c r="AL198" s="94">
        <f>Table3.110[[#This Row],[CH4 8-24h, ml]]+Table3.110[[#This Row],[CH4 8h, ml]]</f>
        <v>2.0315611873115387</v>
      </c>
      <c r="AM198" s="94">
        <f>(Table3.110[[#This Row],[Net gas 24h, ml]]/Table3.110[[#This Row],[DM Incubated, mg]])*1000</f>
        <v>52.544523655110524</v>
      </c>
      <c r="AN198" s="94">
        <f>'3.2 Digest'!X198</f>
        <v>50.113644749560116</v>
      </c>
      <c r="AO198" s="94">
        <f>Table3.110[[#This Row],[Digested feed, mg]]/Table3.110[[#This Row],[Net gas 24h, ml]]</f>
        <v>9.5373677908841454</v>
      </c>
      <c r="AP198" s="94">
        <f>Table3.110[[#This Row],[CH4 8h, ml]]/Table3.110[[#This Row],[Net gas 8h, ml]]%</f>
        <v>9.8000000000000007</v>
      </c>
      <c r="AQ198" s="94">
        <f>Table3.110[[#This Row],[CH4 24h, ml]]/Table3.110[[#This Row],[Net gas 24h, ml]]%</f>
        <v>8.3137361630063467</v>
      </c>
      <c r="AR198" s="94">
        <f>Table3.110[[#This Row],[CH4 24h, ml]]/Table3.110[[#This Row],[DM Incubated, mg]]*1000</f>
        <v>4.368413064794348</v>
      </c>
      <c r="AS198" s="94">
        <f>Table3.110[[#This Row],[CH4 24h, ml]]/Table3.110[[#This Row],[Digested feed, mg]]*1000</f>
        <v>8.7170132737804771</v>
      </c>
      <c r="AT198" s="94">
        <f>Table3.110[[#This Row],[CH4 24h, ml]]/'3.2 Digest'!AA198</f>
        <v>-0.8826993889554331</v>
      </c>
      <c r="AU198" s="94">
        <f>((Table3.110[[#This Row],[CH4 24h, ml]]/28.9)*16.04)/Table3.110[[#This Row],[DM Incubated, mg]]*1000</f>
        <v>2.4245448290415688</v>
      </c>
      <c r="AV198" s="94">
        <f>((Table3.110[[#This Row],[CH4 24h, ml]]/28.9)*16.04)/Table3.110[[#This Row],[Digested feed, mg]]*1000</f>
        <v>4.8380931803266032</v>
      </c>
    </row>
    <row r="199" spans="2:48" s="89" customFormat="1" x14ac:dyDescent="0.35">
      <c r="B199" s="90">
        <f t="shared" si="2"/>
        <v>189</v>
      </c>
      <c r="C199" s="140">
        <v>46043</v>
      </c>
      <c r="D199" s="6" t="s">
        <v>16</v>
      </c>
      <c r="E199" s="6" t="s">
        <v>92</v>
      </c>
      <c r="F199" s="133" t="s">
        <v>79</v>
      </c>
      <c r="G199" s="133" t="s">
        <v>80</v>
      </c>
      <c r="H199" s="133" t="s">
        <v>81</v>
      </c>
      <c r="I199" s="6" t="s">
        <v>22</v>
      </c>
      <c r="J199" s="129" t="s">
        <v>23</v>
      </c>
      <c r="K199" s="129" t="s">
        <v>24</v>
      </c>
      <c r="L199" s="6" t="s">
        <v>91</v>
      </c>
      <c r="M199" s="119">
        <v>27</v>
      </c>
      <c r="N199" s="93">
        <v>59</v>
      </c>
      <c r="O199" s="6">
        <v>2</v>
      </c>
      <c r="P199" s="129">
        <v>2</v>
      </c>
      <c r="Q199" s="6">
        <v>37</v>
      </c>
      <c r="R199" s="98">
        <v>0.50019999999999998</v>
      </c>
      <c r="S199" s="110">
        <f>((Table3.110[[#This Row],[Sample weight, g]]*'2.1. DM'!Q63)/100)*1000</f>
        <v>465.05702578452906</v>
      </c>
      <c r="T199" s="94">
        <f>'3.2 Digest'!W199</f>
        <v>275.25702578452899</v>
      </c>
      <c r="U199" s="117">
        <v>0.3840277777777778</v>
      </c>
      <c r="V199" s="155">
        <v>40.5</v>
      </c>
      <c r="W199" s="117">
        <v>0.70694444444444449</v>
      </c>
      <c r="X199" s="96">
        <v>59.5</v>
      </c>
      <c r="Y199" s="96">
        <v>8.6</v>
      </c>
      <c r="Z199" s="155">
        <v>40</v>
      </c>
      <c r="AA199" s="117">
        <v>0.4</v>
      </c>
      <c r="AB199" s="155">
        <v>53.5</v>
      </c>
      <c r="AC199" s="155">
        <v>2</v>
      </c>
      <c r="AD199" s="94"/>
      <c r="AE199" s="94">
        <f>Table3.110[[#This Row],[Gas 8h, ml]]-Table3.110[[#This Row],[Gas 0h, ml]]</f>
        <v>19</v>
      </c>
      <c r="AF199" s="94">
        <f>Table3.110[[#This Row],[Gas 24h, ml]]-Table3.110[[#This Row],[V8 Push back, ml]]</f>
        <v>13.5</v>
      </c>
      <c r="AG199" s="94">
        <f>Table3.110[[#This Row],[GP 8h, ml]]-(AVERAGE(AE$116,AE$117,AE$167,AE$166,AE$219,AE$220))*$AG$8</f>
        <v>16.123728042697874</v>
      </c>
      <c r="AH199" s="94">
        <f>Table3.110[[#This Row],[GP 8-24h, ml]]-(AVERAGE(AF$11,AF$12,AF$62,AF$61,AF$114,AF$115))*$AG$8</f>
        <v>9.8124718496126597</v>
      </c>
      <c r="AI199" s="94">
        <f>Table3.110[[#This Row],[Net gas 8-24h, ml]]+Table3.110[[#This Row],[Net gas 8h, ml]]</f>
        <v>25.936199892310533</v>
      </c>
      <c r="AJ199" s="94">
        <f>Table3.110[[#This Row],[Net gas 8h, ml]]*Table3.110[[#This Row],[CH4 8h %]]%</f>
        <v>1.3866406116720169</v>
      </c>
      <c r="AK199" s="94">
        <f>Table3.110[[#This Row],[Net gas 8-24h, ml]]*Table3.110[[#This Row],[CH4 24h, %]]%</f>
        <v>0.1962494369922532</v>
      </c>
      <c r="AL199" s="94">
        <f>Table3.110[[#This Row],[CH4 8-24h, ml]]+Table3.110[[#This Row],[CH4 8h, ml]]</f>
        <v>1.5828900486642701</v>
      </c>
      <c r="AM199" s="94">
        <f>(Table3.110[[#This Row],[Net gas 24h, ml]]/Table3.110[[#This Row],[DM Incubated, mg]])*1000</f>
        <v>55.769934554923445</v>
      </c>
      <c r="AN199" s="94">
        <f>'3.2 Digest'!X199</f>
        <v>59.187800747700457</v>
      </c>
      <c r="AO199" s="94">
        <f>Table3.110[[#This Row],[Digested feed, mg]]/Table3.110[[#This Row],[Net gas 24h, ml]]</f>
        <v>10.61285103166313</v>
      </c>
      <c r="AP199" s="94">
        <f>Table3.110[[#This Row],[CH4 8h, ml]]/Table3.110[[#This Row],[Net gas 8h, ml]]%</f>
        <v>8.5999999999999979</v>
      </c>
      <c r="AQ199" s="94">
        <f>Table3.110[[#This Row],[CH4 24h, ml]]/Table3.110[[#This Row],[Net gas 24h, ml]]%</f>
        <v>6.1030145327248162</v>
      </c>
      <c r="AR199" s="94">
        <f>Table3.110[[#This Row],[CH4 24h, ml]]/Table3.110[[#This Row],[DM Incubated, mg]]*1000</f>
        <v>3.4036472107780975</v>
      </c>
      <c r="AS199" s="94">
        <f>Table3.110[[#This Row],[CH4 24h, ml]]/Table3.110[[#This Row],[Digested feed, mg]]*1000</f>
        <v>5.7505890872458796</v>
      </c>
      <c r="AT199" s="94">
        <f>Table3.110[[#This Row],[CH4 24h, ml]]/'3.2 Digest'!AA199</f>
        <v>9.7069540249934846E-2</v>
      </c>
      <c r="AU199" s="94">
        <f>((Table3.110[[#This Row],[CH4 24h, ml]]/28.9)*16.04)/Table3.110[[#This Row],[DM Incubated, mg]]*1000</f>
        <v>1.8890830886117884</v>
      </c>
      <c r="AV199" s="94">
        <f>((Table3.110[[#This Row],[CH4 24h, ml]]/28.9)*16.04)/Table3.110[[#This Row],[Digested feed, mg]]*1000</f>
        <v>3.191676434582142</v>
      </c>
    </row>
    <row r="200" spans="2:48" s="89" customFormat="1" x14ac:dyDescent="0.35">
      <c r="B200" s="90">
        <f t="shared" si="2"/>
        <v>190</v>
      </c>
      <c r="C200" s="140">
        <v>46043</v>
      </c>
      <c r="D200" s="6" t="s">
        <v>16</v>
      </c>
      <c r="E200" s="6" t="s">
        <v>92</v>
      </c>
      <c r="F200" s="133" t="s">
        <v>79</v>
      </c>
      <c r="G200" s="133" t="s">
        <v>80</v>
      </c>
      <c r="H200" s="133" t="s">
        <v>81</v>
      </c>
      <c r="I200" s="6" t="s">
        <v>22</v>
      </c>
      <c r="J200" s="129" t="s">
        <v>23</v>
      </c>
      <c r="K200" s="129" t="s">
        <v>24</v>
      </c>
      <c r="L200" s="6" t="s">
        <v>91</v>
      </c>
      <c r="M200" s="119">
        <v>27</v>
      </c>
      <c r="N200" s="93">
        <v>59</v>
      </c>
      <c r="O200" s="6">
        <v>2</v>
      </c>
      <c r="P200" s="129">
        <v>3</v>
      </c>
      <c r="Q200" s="6">
        <v>38</v>
      </c>
      <c r="R200" s="98">
        <v>0.50019999999999998</v>
      </c>
      <c r="S200" s="94">
        <f>((Table3.110[[#This Row],[Sample weight, g]]*'2.1. DM'!Q63)/100)*1000</f>
        <v>465.05702578452906</v>
      </c>
      <c r="T200" s="94">
        <f>'3.2 Digest'!W200</f>
        <v>217.55702578452912</v>
      </c>
      <c r="U200" s="153">
        <v>0.3840277777777778</v>
      </c>
      <c r="V200" s="155">
        <v>40.5</v>
      </c>
      <c r="W200" s="153">
        <v>0.70763888888888893</v>
      </c>
      <c r="X200" s="91">
        <v>58.5</v>
      </c>
      <c r="Y200" s="91">
        <v>8.9</v>
      </c>
      <c r="Z200" s="154">
        <v>40</v>
      </c>
      <c r="AA200" s="153">
        <v>0.40069444444444446</v>
      </c>
      <c r="AB200" s="154">
        <v>54</v>
      </c>
      <c r="AC200" s="154">
        <v>1.1000000000000001</v>
      </c>
      <c r="AD200" s="94"/>
      <c r="AE200" s="94">
        <f>Table3.110[[#This Row],[Gas 8h, ml]]-Table3.110[[#This Row],[Gas 0h, ml]]</f>
        <v>18</v>
      </c>
      <c r="AF200" s="94">
        <f>Table3.110[[#This Row],[Gas 24h, ml]]-Table3.110[[#This Row],[V8 Push back, ml]]</f>
        <v>14</v>
      </c>
      <c r="AG200" s="94">
        <f>Table3.110[[#This Row],[GP 8h, ml]]-(AVERAGE(AE$116,AE$117,AE$167,AE$166,AE$219,AE$220))*$AG$8</f>
        <v>15.123728042697875</v>
      </c>
      <c r="AH200" s="94">
        <f>Table3.110[[#This Row],[GP 8-24h, ml]]-(AVERAGE(AF$11,AF$12,AF$62,AF$61,AF$114,AF$115))*$AG$8</f>
        <v>10.31247184961266</v>
      </c>
      <c r="AI200" s="94">
        <f>Table3.110[[#This Row],[Net gas 8-24h, ml]]+Table3.110[[#This Row],[Net gas 8h, ml]]</f>
        <v>25.436199892310533</v>
      </c>
      <c r="AJ200" s="94">
        <f>Table3.110[[#This Row],[Net gas 8h, ml]]*Table3.110[[#This Row],[CH4 8h %]]%</f>
        <v>1.346011795800111</v>
      </c>
      <c r="AK200" s="94">
        <f>Table3.110[[#This Row],[Net gas 8-24h, ml]]*Table3.110[[#This Row],[CH4 24h, %]]%</f>
        <v>0.11343719034573926</v>
      </c>
      <c r="AL200" s="94">
        <f>Table3.110[[#This Row],[CH4 8-24h, ml]]+Table3.110[[#This Row],[CH4 8h, ml]]</f>
        <v>1.4594489861458502</v>
      </c>
      <c r="AM200" s="94">
        <f>(Table3.110[[#This Row],[Net gas 24h, ml]]/Table3.110[[#This Row],[DM Incubated, mg]])*1000</f>
        <v>54.69479758831914</v>
      </c>
      <c r="AN200" s="94">
        <f>'3.2 Digest'!X200</f>
        <v>46.780720153086769</v>
      </c>
      <c r="AO200" s="94">
        <f>Table3.110[[#This Row],[Digested feed, mg]]/Table3.110[[#This Row],[Net gas 24h, ml]]</f>
        <v>8.5530474955222182</v>
      </c>
      <c r="AP200" s="94">
        <f>Table3.110[[#This Row],[CH4 8h, ml]]/Table3.110[[#This Row],[Net gas 8h, ml]]%</f>
        <v>8.9</v>
      </c>
      <c r="AQ200" s="94">
        <f>Table3.110[[#This Row],[CH4 24h, ml]]/Table3.110[[#This Row],[Net gas 24h, ml]]%</f>
        <v>5.7376848441384025</v>
      </c>
      <c r="AR200" s="94">
        <f>Table3.110[[#This Row],[CH4 24h, ml]]/Table3.110[[#This Row],[DM Incubated, mg]]*1000</f>
        <v>3.1382151117571642</v>
      </c>
      <c r="AS200" s="94">
        <f>Table3.110[[#This Row],[CH4 24h, ml]]/Table3.110[[#This Row],[Digested feed, mg]]*1000</f>
        <v>6.7083514351373079</v>
      </c>
      <c r="AT200" s="94">
        <f>Table3.110[[#This Row],[CH4 24h, ml]]/'3.2 Digest'!AA200</f>
        <v>-0.15974122090047221</v>
      </c>
      <c r="AU200" s="94">
        <f>((Table3.110[[#This Row],[CH4 24h, ml]]/28.9)*16.04)/Table3.110[[#This Row],[DM Incubated, mg]]*1000</f>
        <v>1.7417636814043223</v>
      </c>
      <c r="AV200" s="94">
        <f>((Table3.110[[#This Row],[CH4 24h, ml]]/28.9)*16.04)/Table3.110[[#This Row],[Digested feed, mg]]*1000</f>
        <v>3.7232511079447201</v>
      </c>
    </row>
    <row r="201" spans="2:48" s="89" customFormat="1" x14ac:dyDescent="0.35">
      <c r="B201" s="90">
        <f t="shared" si="2"/>
        <v>191</v>
      </c>
      <c r="C201" s="140">
        <v>46043</v>
      </c>
      <c r="D201" s="6" t="s">
        <v>16</v>
      </c>
      <c r="E201" s="6" t="s">
        <v>94</v>
      </c>
      <c r="F201" s="133" t="s">
        <v>19</v>
      </c>
      <c r="G201" s="133" t="s">
        <v>29</v>
      </c>
      <c r="H201" s="133" t="s">
        <v>30</v>
      </c>
      <c r="I201" s="6" t="s">
        <v>22</v>
      </c>
      <c r="J201" s="129" t="s">
        <v>23</v>
      </c>
      <c r="K201" s="129" t="s">
        <v>24</v>
      </c>
      <c r="L201" s="6" t="s">
        <v>93</v>
      </c>
      <c r="M201" s="119">
        <v>27</v>
      </c>
      <c r="N201" s="93">
        <v>59</v>
      </c>
      <c r="O201" s="6">
        <v>2</v>
      </c>
      <c r="P201" s="129">
        <v>1</v>
      </c>
      <c r="Q201" s="6">
        <v>39</v>
      </c>
      <c r="R201" s="98">
        <v>0.50039999999999996</v>
      </c>
      <c r="S201" s="94">
        <f>((Table3.110[[#This Row],[Sample weight, g]]*'2.1. DM'!Q65)/100)*1000</f>
        <v>473.36553418812366</v>
      </c>
      <c r="T201" s="94">
        <f>'3.2 Digest'!W201</f>
        <v>71.265534188123638</v>
      </c>
      <c r="U201" s="117">
        <v>0.3840277777777778</v>
      </c>
      <c r="V201" s="155">
        <v>40.5</v>
      </c>
      <c r="W201" s="117">
        <v>0.70763888888888893</v>
      </c>
      <c r="X201" s="96">
        <v>60</v>
      </c>
      <c r="Y201" s="96">
        <v>13.4</v>
      </c>
      <c r="Z201" s="155">
        <v>40.5</v>
      </c>
      <c r="AA201" s="117">
        <v>0.40138888888888891</v>
      </c>
      <c r="AB201" s="155">
        <v>54</v>
      </c>
      <c r="AC201" s="155">
        <v>9.1999999999999993</v>
      </c>
      <c r="AD201" s="94"/>
      <c r="AE201" s="94">
        <f>Table3.110[[#This Row],[Gas 8h, ml]]-Table3.110[[#This Row],[Gas 0h, ml]]</f>
        <v>19.5</v>
      </c>
      <c r="AF201" s="94">
        <f>Table3.110[[#This Row],[Gas 24h, ml]]-Table3.110[[#This Row],[V8 Push back, ml]]</f>
        <v>13.5</v>
      </c>
      <c r="AG201" s="94">
        <f>Table3.110[[#This Row],[GP 8h, ml]]-(AVERAGE(AE$116,AE$117,AE$167,AE$166,AE$219,AE$220))*$AG$8</f>
        <v>16.623728042697874</v>
      </c>
      <c r="AH201" s="94">
        <f>Table3.110[[#This Row],[GP 8-24h, ml]]-(AVERAGE(AF$11,AF$12,AF$62,AF$61,AF$114,AF$115))*$AG$8</f>
        <v>9.8124718496126597</v>
      </c>
      <c r="AI201" s="94">
        <f>Table3.110[[#This Row],[Net gas 8-24h, ml]]+Table3.110[[#This Row],[Net gas 8h, ml]]</f>
        <v>26.436199892310533</v>
      </c>
      <c r="AJ201" s="94">
        <f>Table3.110[[#This Row],[Net gas 8h, ml]]*Table3.110[[#This Row],[CH4 8h %]]%</f>
        <v>2.2275795577215152</v>
      </c>
      <c r="AK201" s="94">
        <f>Table3.110[[#This Row],[Net gas 8-24h, ml]]*Table3.110[[#This Row],[CH4 24h, %]]%</f>
        <v>0.90274741016436466</v>
      </c>
      <c r="AL201" s="94">
        <f>Table3.110[[#This Row],[CH4 8-24h, ml]]+Table3.110[[#This Row],[CH4 8h, ml]]</f>
        <v>3.1303269678858801</v>
      </c>
      <c r="AM201" s="94">
        <f>(Table3.110[[#This Row],[Net gas 24h, ml]]/Table3.110[[#This Row],[DM Incubated, mg]])*1000</f>
        <v>55.847327240779492</v>
      </c>
      <c r="AN201" s="94">
        <f>'3.2 Digest'!X201</f>
        <v>15.055074575793151</v>
      </c>
      <c r="AO201" s="94">
        <f>Table3.110[[#This Row],[Digested feed, mg]]/Table3.110[[#This Row],[Net gas 24h, ml]]</f>
        <v>2.6957556108074581</v>
      </c>
      <c r="AP201" s="94">
        <f>Table3.110[[#This Row],[CH4 8h, ml]]/Table3.110[[#This Row],[Net gas 8h, ml]]%</f>
        <v>13.4</v>
      </c>
      <c r="AQ201" s="94">
        <f>Table3.110[[#This Row],[CH4 24h, ml]]/Table3.110[[#This Row],[Net gas 24h, ml]]%</f>
        <v>11.841062560570192</v>
      </c>
      <c r="AR201" s="94">
        <f>Table3.110[[#This Row],[CH4 24h, ml]]/Table3.110[[#This Row],[DM Incubated, mg]]*1000</f>
        <v>6.6129169569870578</v>
      </c>
      <c r="AS201" s="94">
        <f>Table3.110[[#This Row],[CH4 24h, ml]]/Table3.110[[#This Row],[Digested feed, mg]]*1000</f>
        <v>43.92483692920311</v>
      </c>
      <c r="AT201" s="94">
        <f>Table3.110[[#This Row],[CH4 24h, ml]]/'3.2 Digest'!AA201</f>
        <v>-8.3596969985278269E-2</v>
      </c>
      <c r="AU201" s="94">
        <f>((Table3.110[[#This Row],[CH4 24h, ml]]/28.9)*16.04)/Table3.110[[#This Row],[DM Incubated, mg]]*1000</f>
        <v>3.6702833214557931</v>
      </c>
      <c r="AV201" s="94">
        <f>((Table3.110[[#This Row],[CH4 24h, ml]]/28.9)*16.04)/Table3.110[[#This Row],[Digested feed, mg]]*1000</f>
        <v>24.379044440983318</v>
      </c>
    </row>
    <row r="202" spans="2:48" s="89" customFormat="1" x14ac:dyDescent="0.35">
      <c r="B202" s="90">
        <f t="shared" si="2"/>
        <v>192</v>
      </c>
      <c r="C202" s="140">
        <v>46043</v>
      </c>
      <c r="D202" s="6" t="s">
        <v>16</v>
      </c>
      <c r="E202" s="6" t="s">
        <v>94</v>
      </c>
      <c r="F202" s="133" t="s">
        <v>19</v>
      </c>
      <c r="G202" s="133" t="s">
        <v>29</v>
      </c>
      <c r="H202" s="133" t="s">
        <v>30</v>
      </c>
      <c r="I202" s="6" t="s">
        <v>22</v>
      </c>
      <c r="J202" s="129" t="s">
        <v>23</v>
      </c>
      <c r="K202" s="129" t="s">
        <v>24</v>
      </c>
      <c r="L202" s="6" t="s">
        <v>93</v>
      </c>
      <c r="M202" s="119">
        <v>27</v>
      </c>
      <c r="N202" s="93">
        <v>59</v>
      </c>
      <c r="O202" s="6">
        <v>2</v>
      </c>
      <c r="P202" s="129">
        <v>2</v>
      </c>
      <c r="Q202" s="6">
        <v>40</v>
      </c>
      <c r="R202" s="98">
        <v>0.50039999999999996</v>
      </c>
      <c r="S202" s="94">
        <f>((Table3.110[[#This Row],[Sample weight, g]]*'2.1. DM'!Q65)/100)*1000</f>
        <v>473.36553418812366</v>
      </c>
      <c r="T202" s="94">
        <f>'3.2 Digest'!W202</f>
        <v>109.56553418812365</v>
      </c>
      <c r="U202" s="153">
        <v>0.38472222222222224</v>
      </c>
      <c r="V202" s="155">
        <v>41</v>
      </c>
      <c r="W202" s="153">
        <v>0.70833333333333337</v>
      </c>
      <c r="X202" s="91">
        <v>63</v>
      </c>
      <c r="Y202" s="91">
        <v>12.3</v>
      </c>
      <c r="Z202" s="154">
        <v>40</v>
      </c>
      <c r="AA202" s="153">
        <v>0.40208333333333335</v>
      </c>
      <c r="AB202" s="154">
        <v>53</v>
      </c>
      <c r="AC202" s="154">
        <v>15.6</v>
      </c>
      <c r="AD202" s="94"/>
      <c r="AE202" s="94">
        <f>Table3.110[[#This Row],[Gas 8h, ml]]-Table3.110[[#This Row],[Gas 0h, ml]]</f>
        <v>22</v>
      </c>
      <c r="AF202" s="94">
        <f>Table3.110[[#This Row],[Gas 24h, ml]]-Table3.110[[#This Row],[V8 Push back, ml]]</f>
        <v>13</v>
      </c>
      <c r="AG202" s="94">
        <f>Table3.110[[#This Row],[GP 8h, ml]]-(AVERAGE(AE$116,AE$117,AE$167,AE$166,AE$219,AE$220))*$AG$8</f>
        <v>19.123728042697874</v>
      </c>
      <c r="AH202" s="94">
        <f>Table3.110[[#This Row],[GP 8-24h, ml]]-(AVERAGE(AF$11,AF$12,AF$62,AF$61,AF$114,AF$115))*$AG$8</f>
        <v>9.3124718496126597</v>
      </c>
      <c r="AI202" s="94">
        <f>Table3.110[[#This Row],[Net gas 8-24h, ml]]+Table3.110[[#This Row],[Net gas 8h, ml]]</f>
        <v>28.436199892310533</v>
      </c>
      <c r="AJ202" s="94">
        <f>Table3.110[[#This Row],[Net gas 8h, ml]]*Table3.110[[#This Row],[CH4 8h %]]%</f>
        <v>2.3522185492518388</v>
      </c>
      <c r="AK202" s="94">
        <f>Table3.110[[#This Row],[Net gas 8-24h, ml]]*Table3.110[[#This Row],[CH4 24h, %]]%</f>
        <v>1.4527456085395749</v>
      </c>
      <c r="AL202" s="94">
        <f>Table3.110[[#This Row],[CH4 8-24h, ml]]+Table3.110[[#This Row],[CH4 8h, ml]]</f>
        <v>3.8049641577914137</v>
      </c>
      <c r="AM202" s="94">
        <f>(Table3.110[[#This Row],[Net gas 24h, ml]]/Table3.110[[#This Row],[DM Incubated, mg]])*1000</f>
        <v>60.072391922411271</v>
      </c>
      <c r="AN202" s="94">
        <f>'3.2 Digest'!X202</f>
        <v>23.146073441118002</v>
      </c>
      <c r="AO202" s="94">
        <f>Table3.110[[#This Row],[Digested feed, mg]]/Table3.110[[#This Row],[Net gas 24h, ml]]</f>
        <v>3.853030102582427</v>
      </c>
      <c r="AP202" s="94">
        <f>Table3.110[[#This Row],[CH4 8h, ml]]/Table3.110[[#This Row],[Net gas 8h, ml]]%</f>
        <v>12.300000000000002</v>
      </c>
      <c r="AQ202" s="94">
        <f>Table3.110[[#This Row],[CH4 24h, ml]]/Table3.110[[#This Row],[Net gas 24h, ml]]%</f>
        <v>13.380705481748702</v>
      </c>
      <c r="AR202" s="94">
        <f>Table3.110[[#This Row],[CH4 24h, ml]]/Table3.110[[#This Row],[DM Incubated, mg]]*1000</f>
        <v>8.038109838979647</v>
      </c>
      <c r="AS202" s="94">
        <f>Table3.110[[#This Row],[CH4 24h, ml]]/Table3.110[[#This Row],[Digested feed, mg]]*1000</f>
        <v>34.727747060113842</v>
      </c>
      <c r="AT202" s="94">
        <f>Table3.110[[#This Row],[CH4 24h, ml]]/'3.2 Digest'!AA202</f>
        <v>-0.15623705559737677</v>
      </c>
      <c r="AU202" s="94">
        <f>((Table3.110[[#This Row],[CH4 24h, ml]]/28.9)*16.04)/Table3.110[[#This Row],[DM Incubated, mg]]*1000</f>
        <v>4.4612900282779773</v>
      </c>
      <c r="AV202" s="94">
        <f>((Table3.110[[#This Row],[CH4 24h, ml]]/28.9)*16.04)/Table3.110[[#This Row],[Digested feed, mg]]*1000</f>
        <v>19.274500444436882</v>
      </c>
    </row>
    <row r="203" spans="2:48" s="89" customFormat="1" x14ac:dyDescent="0.35">
      <c r="B203" s="90">
        <f t="shared" si="2"/>
        <v>193</v>
      </c>
      <c r="C203" s="140">
        <v>46043</v>
      </c>
      <c r="D203" s="6" t="s">
        <v>16</v>
      </c>
      <c r="E203" s="6" t="s">
        <v>94</v>
      </c>
      <c r="F203" s="133" t="s">
        <v>19</v>
      </c>
      <c r="G203" s="133" t="s">
        <v>29</v>
      </c>
      <c r="H203" s="133" t="s">
        <v>30</v>
      </c>
      <c r="I203" s="6" t="s">
        <v>22</v>
      </c>
      <c r="J203" s="129" t="s">
        <v>23</v>
      </c>
      <c r="K203" s="129" t="s">
        <v>24</v>
      </c>
      <c r="L203" s="6" t="s">
        <v>93</v>
      </c>
      <c r="M203" s="119">
        <v>27</v>
      </c>
      <c r="N203" s="93">
        <v>59</v>
      </c>
      <c r="O203" s="6">
        <v>2</v>
      </c>
      <c r="P203" s="129">
        <v>3</v>
      </c>
      <c r="Q203" s="6">
        <v>41</v>
      </c>
      <c r="R203" s="98">
        <v>0.50029999999999997</v>
      </c>
      <c r="S203" s="94">
        <f>((Table3.110[[#This Row],[Sample weight, g]]*'2.1. DM'!Q65)/100)*1000</f>
        <v>473.27093675922913</v>
      </c>
      <c r="T203" s="94">
        <f>'3.2 Digest'!W203</f>
        <v>93.170936759229164</v>
      </c>
      <c r="U203" s="117">
        <v>0.38472222222222224</v>
      </c>
      <c r="V203" s="155">
        <v>41</v>
      </c>
      <c r="W203" s="117">
        <v>0.70902777777777781</v>
      </c>
      <c r="X203" s="96">
        <v>61.5</v>
      </c>
      <c r="Y203" s="96">
        <v>12.5</v>
      </c>
      <c r="Z203" s="155">
        <v>40</v>
      </c>
      <c r="AA203" s="117">
        <v>0.40208333333333335</v>
      </c>
      <c r="AB203" s="155">
        <v>54</v>
      </c>
      <c r="AC203" s="155">
        <v>15.8</v>
      </c>
      <c r="AD203" s="94"/>
      <c r="AE203" s="94">
        <f>Table3.110[[#This Row],[Gas 8h, ml]]-Table3.110[[#This Row],[Gas 0h, ml]]</f>
        <v>20.5</v>
      </c>
      <c r="AF203" s="94">
        <f>Table3.110[[#This Row],[Gas 24h, ml]]-Table3.110[[#This Row],[V8 Push back, ml]]</f>
        <v>14</v>
      </c>
      <c r="AG203" s="94">
        <f>Table3.110[[#This Row],[GP 8h, ml]]-(AVERAGE(AE$116,AE$117,AE$167,AE$166,AE$219,AE$220))*$AG$8</f>
        <v>17.623728042697874</v>
      </c>
      <c r="AH203" s="94">
        <f>Table3.110[[#This Row],[GP 8-24h, ml]]-(AVERAGE(AF$11,AF$12,AF$62,AF$61,AF$114,AF$115))*$AG$8</f>
        <v>10.31247184961266</v>
      </c>
      <c r="AI203" s="94">
        <f>Table3.110[[#This Row],[Net gas 8-24h, ml]]+Table3.110[[#This Row],[Net gas 8h, ml]]</f>
        <v>27.936199892310533</v>
      </c>
      <c r="AJ203" s="94">
        <f>Table3.110[[#This Row],[Net gas 8h, ml]]*Table3.110[[#This Row],[CH4 8h %]]%</f>
        <v>2.2029660053372342</v>
      </c>
      <c r="AK203" s="94">
        <f>Table3.110[[#This Row],[Net gas 8-24h, ml]]*Table3.110[[#This Row],[CH4 24h, %]]%</f>
        <v>1.6293705522388002</v>
      </c>
      <c r="AL203" s="94">
        <f>Table3.110[[#This Row],[CH4 8-24h, ml]]+Table3.110[[#This Row],[CH4 8h, ml]]</f>
        <v>3.8323365575760344</v>
      </c>
      <c r="AM203" s="94">
        <f>(Table3.110[[#This Row],[Net gas 24h, ml]]/Table3.110[[#This Row],[DM Incubated, mg]])*1000</f>
        <v>59.027921899465248</v>
      </c>
      <c r="AN203" s="94">
        <f>'3.2 Digest'!X203</f>
        <v>19.6865958846378</v>
      </c>
      <c r="AO203" s="94">
        <f>Table3.110[[#This Row],[Digested feed, mg]]/Table3.110[[#This Row],[Net gas 24h, ml]]</f>
        <v>3.3351328068380037</v>
      </c>
      <c r="AP203" s="94">
        <f>Table3.110[[#This Row],[CH4 8h, ml]]/Table3.110[[#This Row],[Net gas 8h, ml]]%</f>
        <v>12.5</v>
      </c>
      <c r="AQ203" s="94">
        <f>Table3.110[[#This Row],[CH4 24h, ml]]/Table3.110[[#This Row],[Net gas 24h, ml]]%</f>
        <v>13.718174169532947</v>
      </c>
      <c r="AR203" s="94">
        <f>Table3.110[[#This Row],[CH4 24h, ml]]/Table3.110[[#This Row],[DM Incubated, mg]]*1000</f>
        <v>8.0975531348245227</v>
      </c>
      <c r="AS203" s="94">
        <f>Table3.110[[#This Row],[CH4 24h, ml]]/Table3.110[[#This Row],[Digested feed, mg]]*1000</f>
        <v>41.132317553911655</v>
      </c>
      <c r="AT203" s="94">
        <f>Table3.110[[#This Row],[CH4 24h, ml]]/'3.2 Digest'!AA203</f>
        <v>-0.12795179545234323</v>
      </c>
      <c r="AU203" s="94">
        <f>((Table3.110[[#This Row],[CH4 24h, ml]]/28.9)*16.04)/Table3.110[[#This Row],[DM Incubated, mg]]*1000</f>
        <v>4.4942820859026069</v>
      </c>
      <c r="AV203" s="94">
        <f>((Table3.110[[#This Row],[CH4 24h, ml]]/28.9)*16.04)/Table3.110[[#This Row],[Digested feed, mg]]*1000</f>
        <v>22.829147874212559</v>
      </c>
    </row>
    <row r="204" spans="2:48" s="89" customFormat="1" x14ac:dyDescent="0.35">
      <c r="B204" s="90">
        <f t="shared" ref="B204:B267" si="3">B203+1</f>
        <v>194</v>
      </c>
      <c r="C204" s="140">
        <v>46043</v>
      </c>
      <c r="D204" s="6" t="s">
        <v>16</v>
      </c>
      <c r="E204" s="6" t="s">
        <v>96</v>
      </c>
      <c r="F204" s="133" t="s">
        <v>19</v>
      </c>
      <c r="G204" s="133" t="s">
        <v>29</v>
      </c>
      <c r="H204" s="133" t="s">
        <v>30</v>
      </c>
      <c r="I204" s="6" t="s">
        <v>22</v>
      </c>
      <c r="J204" s="129" t="s">
        <v>23</v>
      </c>
      <c r="K204" s="129" t="s">
        <v>24</v>
      </c>
      <c r="L204" s="6" t="s">
        <v>95</v>
      </c>
      <c r="M204" s="119">
        <v>27</v>
      </c>
      <c r="N204" s="93">
        <v>59</v>
      </c>
      <c r="O204" s="6">
        <v>2</v>
      </c>
      <c r="P204" s="129">
        <v>1</v>
      </c>
      <c r="Q204" s="6">
        <v>42</v>
      </c>
      <c r="R204" s="98">
        <v>0.50009999999999999</v>
      </c>
      <c r="S204" s="94">
        <f>((Table3.110[[#This Row],[Sample weight, g]]*'2.1. DM'!Q67)/100)*1000</f>
        <v>470.47647205838246</v>
      </c>
      <c r="T204" s="94">
        <f>'3.2 Digest'!W204</f>
        <v>141.27647205838241</v>
      </c>
      <c r="U204" s="153">
        <v>0.38541666666666669</v>
      </c>
      <c r="V204" s="154">
        <v>41</v>
      </c>
      <c r="W204" s="153">
        <v>0.70902777777777781</v>
      </c>
      <c r="X204" s="91">
        <v>64</v>
      </c>
      <c r="Y204" s="91">
        <v>13.7</v>
      </c>
      <c r="Z204" s="154">
        <v>40.5</v>
      </c>
      <c r="AA204" s="153">
        <v>0.40277777777777779</v>
      </c>
      <c r="AB204" s="154">
        <v>57</v>
      </c>
      <c r="AC204" s="154">
        <v>16.5</v>
      </c>
      <c r="AD204" s="94"/>
      <c r="AE204" s="94">
        <f>Table3.110[[#This Row],[Gas 8h, ml]]-Table3.110[[#This Row],[Gas 0h, ml]]</f>
        <v>23</v>
      </c>
      <c r="AF204" s="94">
        <f>Table3.110[[#This Row],[Gas 24h, ml]]-Table3.110[[#This Row],[V8 Push back, ml]]</f>
        <v>16.5</v>
      </c>
      <c r="AG204" s="94">
        <f>Table3.110[[#This Row],[GP 8h, ml]]-(AVERAGE(AE$116,AE$117,AE$167,AE$166,AE$219,AE$220))*$AG$8</f>
        <v>20.123728042697874</v>
      </c>
      <c r="AH204" s="94">
        <f>Table3.110[[#This Row],[GP 8-24h, ml]]-(AVERAGE(AF$11,AF$12,AF$62,AF$61,AF$114,AF$115))*$AG$8</f>
        <v>12.81247184961266</v>
      </c>
      <c r="AI204" s="94">
        <f>Table3.110[[#This Row],[Net gas 8-24h, ml]]+Table3.110[[#This Row],[Net gas 8h, ml]]</f>
        <v>32.936199892310533</v>
      </c>
      <c r="AJ204" s="94">
        <f>Table3.110[[#This Row],[Net gas 8h, ml]]*Table3.110[[#This Row],[CH4 8h %]]%</f>
        <v>2.7569507418496082</v>
      </c>
      <c r="AK204" s="94">
        <f>Table3.110[[#This Row],[Net gas 8-24h, ml]]*Table3.110[[#This Row],[CH4 24h, %]]%</f>
        <v>2.1140578551860889</v>
      </c>
      <c r="AL204" s="94">
        <f>Table3.110[[#This Row],[CH4 8-24h, ml]]+Table3.110[[#This Row],[CH4 8h, ml]]</f>
        <v>4.8710085970356971</v>
      </c>
      <c r="AM204" s="94">
        <f>(Table3.110[[#This Row],[Net gas 24h, ml]]/Table3.110[[#This Row],[DM Incubated, mg]])*1000</f>
        <v>70.006050989566603</v>
      </c>
      <c r="AN204" s="94">
        <f>'3.2 Digest'!X204</f>
        <v>30.028381959311051</v>
      </c>
      <c r="AO204" s="94">
        <f>Table3.110[[#This Row],[Digested feed, mg]]/Table3.110[[#This Row],[Net gas 24h, ml]]</f>
        <v>4.2893980641453906</v>
      </c>
      <c r="AP204" s="94">
        <f>Table3.110[[#This Row],[CH4 8h, ml]]/Table3.110[[#This Row],[Net gas 8h, ml]]%</f>
        <v>13.699999999999998</v>
      </c>
      <c r="AQ204" s="94">
        <f>Table3.110[[#This Row],[CH4 24h, ml]]/Table3.110[[#This Row],[Net gas 24h, ml]]%</f>
        <v>14.789224661503555</v>
      </c>
      <c r="AR204" s="94">
        <f>Table3.110[[#This Row],[CH4 24h, ml]]/Table3.110[[#This Row],[DM Incubated, mg]]*1000</f>
        <v>10.35335215749374</v>
      </c>
      <c r="AS204" s="94">
        <f>Table3.110[[#This Row],[CH4 24h, ml]]/Table3.110[[#This Row],[Digested feed, mg]]*1000</f>
        <v>34.478554893576018</v>
      </c>
      <c r="AT204" s="94">
        <f>Table3.110[[#This Row],[CH4 24h, ml]]/'3.2 Digest'!AA204</f>
        <v>-0.66462112514644966</v>
      </c>
      <c r="AU204" s="94">
        <f>((Table3.110[[#This Row],[CH4 24h, ml]]/28.9)*16.04)/Table3.110[[#This Row],[DM Incubated, mg]]*1000</f>
        <v>5.7462895711487745</v>
      </c>
      <c r="AV204" s="94">
        <f>((Table3.110[[#This Row],[CH4 24h, ml]]/28.9)*16.04)/Table3.110[[#This Row],[Digested feed, mg]]*1000</f>
        <v>19.136194480725241</v>
      </c>
    </row>
    <row r="205" spans="2:48" s="89" customFormat="1" x14ac:dyDescent="0.35">
      <c r="B205" s="90">
        <f t="shared" si="3"/>
        <v>195</v>
      </c>
      <c r="C205" s="140">
        <v>46043</v>
      </c>
      <c r="D205" s="6" t="s">
        <v>16</v>
      </c>
      <c r="E205" s="6" t="s">
        <v>96</v>
      </c>
      <c r="F205" s="133" t="s">
        <v>19</v>
      </c>
      <c r="G205" s="133" t="s">
        <v>29</v>
      </c>
      <c r="H205" s="133" t="s">
        <v>30</v>
      </c>
      <c r="I205" s="6" t="s">
        <v>22</v>
      </c>
      <c r="J205" s="129" t="s">
        <v>23</v>
      </c>
      <c r="K205" s="129" t="s">
        <v>24</v>
      </c>
      <c r="L205" s="6" t="s">
        <v>95</v>
      </c>
      <c r="M205" s="119">
        <v>27</v>
      </c>
      <c r="N205" s="93">
        <v>59</v>
      </c>
      <c r="O205" s="6">
        <v>2</v>
      </c>
      <c r="P205" s="129">
        <v>2</v>
      </c>
      <c r="Q205" s="6">
        <v>43</v>
      </c>
      <c r="R205" s="98">
        <v>0.5</v>
      </c>
      <c r="S205" s="94">
        <f>((Table3.110[[#This Row],[Sample weight, g]]*'2.1. DM'!Q67)/100)*1000</f>
        <v>470.38239557926659</v>
      </c>
      <c r="T205" s="94">
        <f>'3.2 Digest'!W205</f>
        <v>111.28239557926651</v>
      </c>
      <c r="U205" s="117">
        <v>0.38541666666666669</v>
      </c>
      <c r="V205" s="155">
        <v>40.5</v>
      </c>
      <c r="W205" s="117">
        <v>0.70972222222222225</v>
      </c>
      <c r="X205" s="96">
        <v>62</v>
      </c>
      <c r="Y205" s="96">
        <v>13.9</v>
      </c>
      <c r="Z205" s="155">
        <v>40</v>
      </c>
      <c r="AA205" s="117">
        <v>0.40347222222222223</v>
      </c>
      <c r="AB205" s="155">
        <v>55.5</v>
      </c>
      <c r="AC205" s="155">
        <v>16.600000000000001</v>
      </c>
      <c r="AD205" s="94"/>
      <c r="AE205" s="94">
        <f>Table3.110[[#This Row],[Gas 8h, ml]]-Table3.110[[#This Row],[Gas 0h, ml]]</f>
        <v>21.5</v>
      </c>
      <c r="AF205" s="94">
        <f>Table3.110[[#This Row],[Gas 24h, ml]]-Table3.110[[#This Row],[V8 Push back, ml]]</f>
        <v>15.5</v>
      </c>
      <c r="AG205" s="94">
        <f>Table3.110[[#This Row],[GP 8h, ml]]-(AVERAGE(AE$116,AE$117,AE$167,AE$166,AE$219,AE$220))*$AG$8</f>
        <v>18.623728042697874</v>
      </c>
      <c r="AH205" s="94">
        <f>Table3.110[[#This Row],[GP 8-24h, ml]]-(AVERAGE(AF$11,AF$12,AF$62,AF$61,AF$114,AF$115))*$AG$8</f>
        <v>11.81247184961266</v>
      </c>
      <c r="AI205" s="94">
        <f>Table3.110[[#This Row],[Net gas 8-24h, ml]]+Table3.110[[#This Row],[Net gas 8h, ml]]</f>
        <v>30.436199892310533</v>
      </c>
      <c r="AJ205" s="94">
        <f>Table3.110[[#This Row],[Net gas 8h, ml]]*Table3.110[[#This Row],[CH4 8h %]]%</f>
        <v>2.5886981979350048</v>
      </c>
      <c r="AK205" s="94">
        <f>Table3.110[[#This Row],[Net gas 8-24h, ml]]*Table3.110[[#This Row],[CH4 24h, %]]%</f>
        <v>1.9608703270357015</v>
      </c>
      <c r="AL205" s="94">
        <f>Table3.110[[#This Row],[CH4 8-24h, ml]]+Table3.110[[#This Row],[CH4 8h, ml]]</f>
        <v>4.5495685249707059</v>
      </c>
      <c r="AM205" s="94">
        <f>(Table3.110[[#This Row],[Net gas 24h, ml]]/Table3.110[[#This Row],[DM Incubated, mg]])*1000</f>
        <v>64.705227445489228</v>
      </c>
      <c r="AN205" s="94">
        <f>'3.2 Digest'!X205</f>
        <v>23.657857229589649</v>
      </c>
      <c r="AO205" s="94">
        <f>Table3.110[[#This Row],[Digested feed, mg]]/Table3.110[[#This Row],[Net gas 24h, ml]]</f>
        <v>3.65625130512371</v>
      </c>
      <c r="AP205" s="94">
        <f>Table3.110[[#This Row],[CH4 8h, ml]]/Table3.110[[#This Row],[Net gas 8h, ml]]%</f>
        <v>13.900000000000002</v>
      </c>
      <c r="AQ205" s="94">
        <f>Table3.110[[#This Row],[CH4 24h, ml]]/Table3.110[[#This Row],[Net gas 24h, ml]]%</f>
        <v>14.947886204808762</v>
      </c>
      <c r="AR205" s="94">
        <f>Table3.110[[#This Row],[CH4 24h, ml]]/Table3.110[[#This Row],[DM Incubated, mg]]*1000</f>
        <v>9.6720637671144178</v>
      </c>
      <c r="AS205" s="94">
        <f>Table3.110[[#This Row],[CH4 24h, ml]]/Table3.110[[#This Row],[Digested feed, mg]]*1000</f>
        <v>40.883092975205102</v>
      </c>
      <c r="AT205" s="94">
        <f>Table3.110[[#This Row],[CH4 24h, ml]]/'3.2 Digest'!AA205</f>
        <v>-0.26604565222869436</v>
      </c>
      <c r="AU205" s="94">
        <f>((Table3.110[[#This Row],[CH4 24h, ml]]/28.9)*16.04)/Table3.110[[#This Row],[DM Incubated, mg]]*1000</f>
        <v>5.3681627274918773</v>
      </c>
      <c r="AV205" s="94">
        <f>((Table3.110[[#This Row],[CH4 24h, ml]]/28.9)*16.04)/Table3.110[[#This Row],[Digested feed, mg]]*1000</f>
        <v>22.690823921186496</v>
      </c>
    </row>
    <row r="206" spans="2:48" s="89" customFormat="1" x14ac:dyDescent="0.35">
      <c r="B206" s="90">
        <f t="shared" si="3"/>
        <v>196</v>
      </c>
      <c r="C206" s="140">
        <v>46043</v>
      </c>
      <c r="D206" s="6" t="s">
        <v>16</v>
      </c>
      <c r="E206" s="6" t="s">
        <v>96</v>
      </c>
      <c r="F206" s="133" t="s">
        <v>19</v>
      </c>
      <c r="G206" s="133" t="s">
        <v>29</v>
      </c>
      <c r="H206" s="133" t="s">
        <v>30</v>
      </c>
      <c r="I206" s="6" t="s">
        <v>22</v>
      </c>
      <c r="J206" s="129" t="s">
        <v>23</v>
      </c>
      <c r="K206" s="129" t="s">
        <v>24</v>
      </c>
      <c r="L206" s="6" t="s">
        <v>95</v>
      </c>
      <c r="M206" s="119">
        <v>27</v>
      </c>
      <c r="N206" s="93">
        <v>59</v>
      </c>
      <c r="O206" s="6">
        <v>2</v>
      </c>
      <c r="P206" s="129">
        <v>3</v>
      </c>
      <c r="Q206" s="6">
        <v>44</v>
      </c>
      <c r="R206" s="98">
        <v>0.50029999999999997</v>
      </c>
      <c r="S206" s="94">
        <f>((Table3.110[[#This Row],[Sample weight, g]]*'2.1. DM'!Q67)/100)*1000</f>
        <v>470.66462501661408</v>
      </c>
      <c r="T206" s="94">
        <f>'3.2 Digest'!W206</f>
        <v>105.7646250166141</v>
      </c>
      <c r="U206" s="153">
        <v>0.38541666666666669</v>
      </c>
      <c r="V206" s="154">
        <v>40.5</v>
      </c>
      <c r="W206" s="153">
        <v>0.70972222222222225</v>
      </c>
      <c r="X206" s="91">
        <v>64.5</v>
      </c>
      <c r="Y206" s="91">
        <v>13.4</v>
      </c>
      <c r="Z206" s="154">
        <v>40.5</v>
      </c>
      <c r="AA206" s="153">
        <v>0.40416666666666667</v>
      </c>
      <c r="AB206" s="154">
        <v>56.5</v>
      </c>
      <c r="AC206" s="154">
        <v>16.600000000000001</v>
      </c>
      <c r="AD206" s="94"/>
      <c r="AE206" s="94">
        <f>Table3.110[[#This Row],[Gas 8h, ml]]-Table3.110[[#This Row],[Gas 0h, ml]]</f>
        <v>24</v>
      </c>
      <c r="AF206" s="94">
        <f>Table3.110[[#This Row],[Gas 24h, ml]]-Table3.110[[#This Row],[V8 Push back, ml]]</f>
        <v>16</v>
      </c>
      <c r="AG206" s="94">
        <f>Table3.110[[#This Row],[GP 8h, ml]]-(AVERAGE(AE$116,AE$117,AE$167,AE$166,AE$219,AE$220))*$AG$8</f>
        <v>21.123728042697874</v>
      </c>
      <c r="AH206" s="94">
        <f>Table3.110[[#This Row],[GP 8-24h, ml]]-(AVERAGE(AF$11,AF$12,AF$62,AF$61,AF$114,AF$115))*$AG$8</f>
        <v>12.31247184961266</v>
      </c>
      <c r="AI206" s="94">
        <f>Table3.110[[#This Row],[Net gas 8-24h, ml]]+Table3.110[[#This Row],[Net gas 8h, ml]]</f>
        <v>33.436199892310533</v>
      </c>
      <c r="AJ206" s="94">
        <f>Table3.110[[#This Row],[Net gas 8h, ml]]*Table3.110[[#This Row],[CH4 8h %]]%</f>
        <v>2.8305795577215154</v>
      </c>
      <c r="AK206" s="94">
        <f>Table3.110[[#This Row],[Net gas 8-24h, ml]]*Table3.110[[#This Row],[CH4 24h, %]]%</f>
        <v>2.0438703270357017</v>
      </c>
      <c r="AL206" s="94">
        <f>Table3.110[[#This Row],[CH4 8-24h, ml]]+Table3.110[[#This Row],[CH4 8h, ml]]</f>
        <v>4.8744498847572171</v>
      </c>
      <c r="AM206" s="94">
        <f>(Table3.110[[#This Row],[Net gas 24h, ml]]/Table3.110[[#This Row],[DM Incubated, mg]])*1000</f>
        <v>71.040392914870679</v>
      </c>
      <c r="AN206" s="94">
        <f>'3.2 Digest'!X206</f>
        <v>22.471335085546464</v>
      </c>
      <c r="AO206" s="94">
        <f>Table3.110[[#This Row],[Digested feed, mg]]/Table3.110[[#This Row],[Net gas 24h, ml]]</f>
        <v>3.1631771958911292</v>
      </c>
      <c r="AP206" s="94">
        <f>Table3.110[[#This Row],[CH4 8h, ml]]/Table3.110[[#This Row],[Net gas 8h, ml]]%</f>
        <v>13.400000000000002</v>
      </c>
      <c r="AQ206" s="94">
        <f>Table3.110[[#This Row],[CH4 24h, ml]]/Table3.110[[#This Row],[Net gas 24h, ml]]%</f>
        <v>14.578360879694991</v>
      </c>
      <c r="AR206" s="94">
        <f>Table3.110[[#This Row],[CH4 24h, ml]]/Table3.110[[#This Row],[DM Incubated, mg]]*1000</f>
        <v>10.356524849483119</v>
      </c>
      <c r="AS206" s="94">
        <f>Table3.110[[#This Row],[CH4 24h, ml]]/Table3.110[[#This Row],[Digested feed, mg]]*1000</f>
        <v>46.087714904596041</v>
      </c>
      <c r="AT206" s="94">
        <f>Table3.110[[#This Row],[CH4 24h, ml]]/'3.2 Digest'!AA206</f>
        <v>-0.25762517760884596</v>
      </c>
      <c r="AU206" s="94">
        <f>((Table3.110[[#This Row],[CH4 24h, ml]]/28.9)*16.04)/Table3.110[[#This Row],[DM Incubated, mg]]*1000</f>
        <v>5.7480504700937445</v>
      </c>
      <c r="AV206" s="94">
        <f>((Table3.110[[#This Row],[CH4 24h, ml]]/28.9)*16.04)/Table3.110[[#This Row],[Digested feed, mg]]*1000</f>
        <v>25.579479137360572</v>
      </c>
    </row>
    <row r="207" spans="2:48" s="89" customFormat="1" x14ac:dyDescent="0.35">
      <c r="B207" s="90">
        <f t="shared" si="3"/>
        <v>197</v>
      </c>
      <c r="C207" s="140">
        <v>46043</v>
      </c>
      <c r="D207" s="6" t="s">
        <v>16</v>
      </c>
      <c r="E207" s="6" t="s">
        <v>98</v>
      </c>
      <c r="F207" s="133" t="s">
        <v>99</v>
      </c>
      <c r="G207" s="133" t="s">
        <v>100</v>
      </c>
      <c r="H207" s="133" t="s">
        <v>101</v>
      </c>
      <c r="I207" s="6" t="s">
        <v>22</v>
      </c>
      <c r="J207" s="129" t="s">
        <v>23</v>
      </c>
      <c r="K207" s="129" t="s">
        <v>24</v>
      </c>
      <c r="L207" s="6" t="s">
        <v>97</v>
      </c>
      <c r="M207" s="119">
        <v>27</v>
      </c>
      <c r="N207" s="93">
        <v>59</v>
      </c>
      <c r="O207" s="6">
        <v>2</v>
      </c>
      <c r="P207" s="129">
        <v>1</v>
      </c>
      <c r="Q207" s="6">
        <v>45</v>
      </c>
      <c r="R207" s="98">
        <v>0.5</v>
      </c>
      <c r="S207" s="94">
        <f>((Table3.110[[#This Row],[Sample weight, g]]*'2.1. DM'!Q69)/100)*1000</f>
        <v>472.35837997201702</v>
      </c>
      <c r="T207" s="94">
        <f>'3.2 Digest'!W207</f>
        <v>92.75837997201711</v>
      </c>
      <c r="U207" s="117">
        <v>0.38541666666666669</v>
      </c>
      <c r="V207" s="155">
        <v>41</v>
      </c>
      <c r="W207" s="117">
        <v>0.7104166666666667</v>
      </c>
      <c r="X207" s="96">
        <v>65</v>
      </c>
      <c r="Y207" s="96">
        <v>13.6</v>
      </c>
      <c r="Z207" s="155">
        <v>40.5</v>
      </c>
      <c r="AA207" s="117">
        <v>0.40416666666666667</v>
      </c>
      <c r="AB207" s="155">
        <v>57</v>
      </c>
      <c r="AC207" s="155">
        <v>16.399999999999999</v>
      </c>
      <c r="AD207" s="94"/>
      <c r="AE207" s="94">
        <f>Table3.110[[#This Row],[Gas 8h, ml]]-Table3.110[[#This Row],[Gas 0h, ml]]</f>
        <v>24</v>
      </c>
      <c r="AF207" s="94">
        <f>Table3.110[[#This Row],[Gas 24h, ml]]-Table3.110[[#This Row],[V8 Push back, ml]]</f>
        <v>16.5</v>
      </c>
      <c r="AG207" s="94">
        <f>Table3.110[[#This Row],[GP 8h, ml]]-(AVERAGE(AE$116,AE$117,AE$167,AE$166,AE$219,AE$220))*$AG$8</f>
        <v>21.123728042697874</v>
      </c>
      <c r="AH207" s="94">
        <f>Table3.110[[#This Row],[GP 8-24h, ml]]-(AVERAGE(AF$11,AF$12,AF$62,AF$61,AF$114,AF$115))*$AG$8</f>
        <v>12.81247184961266</v>
      </c>
      <c r="AI207" s="94">
        <f>Table3.110[[#This Row],[Net gas 8-24h, ml]]+Table3.110[[#This Row],[Net gas 8h, ml]]</f>
        <v>33.936199892310533</v>
      </c>
      <c r="AJ207" s="94">
        <f>Table3.110[[#This Row],[Net gas 8h, ml]]*Table3.110[[#This Row],[CH4 8h %]]%</f>
        <v>2.8728270138069112</v>
      </c>
      <c r="AK207" s="94">
        <f>Table3.110[[#This Row],[Net gas 8-24h, ml]]*Table3.110[[#This Row],[CH4 24h, %]]%</f>
        <v>2.1012453833364759</v>
      </c>
      <c r="AL207" s="94">
        <f>Table3.110[[#This Row],[CH4 8-24h, ml]]+Table3.110[[#This Row],[CH4 8h, ml]]</f>
        <v>4.9740723971433871</v>
      </c>
      <c r="AM207" s="94">
        <f>(Table3.110[[#This Row],[Net gas 24h, ml]]/Table3.110[[#This Row],[DM Incubated, mg]])*1000</f>
        <v>71.844178765963562</v>
      </c>
      <c r="AN207" s="94">
        <f>'3.2 Digest'!X207</f>
        <v>19.63728895367797</v>
      </c>
      <c r="AO207" s="94">
        <f>Table3.110[[#This Row],[Digested feed, mg]]/Table3.110[[#This Row],[Net gas 24h, ml]]</f>
        <v>2.7333166431823988</v>
      </c>
      <c r="AP207" s="94">
        <f>Table3.110[[#This Row],[CH4 8h, ml]]/Table3.110[[#This Row],[Net gas 8h, ml]]%</f>
        <v>13.600000000000001</v>
      </c>
      <c r="AQ207" s="94">
        <f>Table3.110[[#This Row],[CH4 24h, ml]]/Table3.110[[#This Row],[Net gas 24h, ml]]%</f>
        <v>14.657128414282008</v>
      </c>
      <c r="AR207" s="94">
        <f>Table3.110[[#This Row],[CH4 24h, ml]]/Table3.110[[#This Row],[DM Incubated, mg]]*1000</f>
        <v>10.530293539913606</v>
      </c>
      <c r="AS207" s="94">
        <f>Table3.110[[#This Row],[CH4 24h, ml]]/Table3.110[[#This Row],[Digested feed, mg]]*1000</f>
        <v>53.623967976197306</v>
      </c>
      <c r="AT207" s="94">
        <f>Table3.110[[#This Row],[CH4 24h, ml]]/'3.2 Digest'!AA207</f>
        <v>-0.12712724259581043</v>
      </c>
      <c r="AU207" s="94">
        <f>((Table3.110[[#This Row],[CH4 24h, ml]]/28.9)*16.04)/Table3.110[[#This Row],[DM Incubated, mg]]*1000</f>
        <v>5.8444950996613931</v>
      </c>
      <c r="AV207" s="94">
        <f>((Table3.110[[#This Row],[CH4 24h, ml]]/28.9)*16.04)/Table3.110[[#This Row],[Digested feed, mg]]*1000</f>
        <v>29.762229977100514</v>
      </c>
    </row>
    <row r="208" spans="2:48" s="89" customFormat="1" x14ac:dyDescent="0.35">
      <c r="B208" s="90">
        <f t="shared" si="3"/>
        <v>198</v>
      </c>
      <c r="C208" s="140">
        <v>46043</v>
      </c>
      <c r="D208" s="6" t="s">
        <v>16</v>
      </c>
      <c r="E208" s="6" t="s">
        <v>98</v>
      </c>
      <c r="F208" s="133" t="s">
        <v>99</v>
      </c>
      <c r="G208" s="133" t="s">
        <v>100</v>
      </c>
      <c r="H208" s="133" t="s">
        <v>101</v>
      </c>
      <c r="I208" s="6" t="s">
        <v>22</v>
      </c>
      <c r="J208" s="129" t="s">
        <v>23</v>
      </c>
      <c r="K208" s="129" t="s">
        <v>24</v>
      </c>
      <c r="L208" s="6" t="s">
        <v>97</v>
      </c>
      <c r="M208" s="119">
        <v>27</v>
      </c>
      <c r="N208" s="93">
        <v>59</v>
      </c>
      <c r="O208" s="6">
        <v>2</v>
      </c>
      <c r="P208" s="129">
        <v>2</v>
      </c>
      <c r="Q208" s="6">
        <v>46</v>
      </c>
      <c r="R208" s="98">
        <v>0.50039999999999996</v>
      </c>
      <c r="S208" s="94">
        <f>((Table3.110[[#This Row],[Sample weight, g]]*'2.1. DM'!Q69)/100)*1000</f>
        <v>472.73626667599461</v>
      </c>
      <c r="T208" s="94">
        <f>'3.2 Digest'!W208</f>
        <v>247.83626667599464</v>
      </c>
      <c r="U208" s="153">
        <v>0.38611111111111113</v>
      </c>
      <c r="V208" s="154">
        <v>41</v>
      </c>
      <c r="W208" s="153">
        <v>0.7104166666666667</v>
      </c>
      <c r="X208" s="91">
        <v>71.5</v>
      </c>
      <c r="Y208" s="91">
        <v>12.3</v>
      </c>
      <c r="Z208" s="154">
        <v>40</v>
      </c>
      <c r="AA208" s="153">
        <v>0.40486111111111112</v>
      </c>
      <c r="AB208" s="154">
        <v>73</v>
      </c>
      <c r="AC208" s="154">
        <v>14.5</v>
      </c>
      <c r="AD208" s="94"/>
      <c r="AE208" s="94">
        <f>Table3.110[[#This Row],[Gas 8h, ml]]-Table3.110[[#This Row],[Gas 0h, ml]]</f>
        <v>30.5</v>
      </c>
      <c r="AF208" s="94">
        <f>Table3.110[[#This Row],[Gas 24h, ml]]-Table3.110[[#This Row],[V8 Push back, ml]]</f>
        <v>33</v>
      </c>
      <c r="AG208" s="94">
        <f>Table3.110[[#This Row],[GP 8h, ml]]-(AVERAGE(AE$116,AE$117,AE$167,AE$166,AE$219,AE$220))*$AG$8</f>
        <v>27.623728042697874</v>
      </c>
      <c r="AH208" s="94">
        <f>Table3.110[[#This Row],[GP 8-24h, ml]]-(AVERAGE(AF$11,AF$12,AF$62,AF$61,AF$114,AF$115))*$AG$8</f>
        <v>29.31247184961266</v>
      </c>
      <c r="AI208" s="94">
        <f>Table3.110[[#This Row],[Net gas 8-24h, ml]]+Table3.110[[#This Row],[Net gas 8h, ml]]</f>
        <v>56.936199892310533</v>
      </c>
      <c r="AJ208" s="94">
        <f>Table3.110[[#This Row],[Net gas 8h, ml]]*Table3.110[[#This Row],[CH4 8h %]]%</f>
        <v>3.3977185492518389</v>
      </c>
      <c r="AK208" s="94">
        <f>Table3.110[[#This Row],[Net gas 8-24h, ml]]*Table3.110[[#This Row],[CH4 24h, %]]%</f>
        <v>4.2503084181938355</v>
      </c>
      <c r="AL208" s="94">
        <f>Table3.110[[#This Row],[CH4 8-24h, ml]]+Table3.110[[#This Row],[CH4 8h, ml]]</f>
        <v>7.6480269674456745</v>
      </c>
      <c r="AM208" s="94">
        <f>(Table3.110[[#This Row],[Net gas 24h, ml]]/Table3.110[[#This Row],[DM Incubated, mg]])*1000</f>
        <v>120.43966986635624</v>
      </c>
      <c r="AN208" s="94">
        <f>'3.2 Digest'!X208</f>
        <v>52.425905128589889</v>
      </c>
      <c r="AO208" s="94">
        <f>Table3.110[[#This Row],[Digested feed, mg]]/Table3.110[[#This Row],[Net gas 24h, ml]]</f>
        <v>4.3528768541763174</v>
      </c>
      <c r="AP208" s="94">
        <f>Table3.110[[#This Row],[CH4 8h, ml]]/Table3.110[[#This Row],[Net gas 8h, ml]]%</f>
        <v>12.3</v>
      </c>
      <c r="AQ208" s="94">
        <f>Table3.110[[#This Row],[CH4 24h, ml]]/Table3.110[[#This Row],[Net gas 24h, ml]]%</f>
        <v>13.432626311399774</v>
      </c>
      <c r="AR208" s="94">
        <f>Table3.110[[#This Row],[CH4 24h, ml]]/Table3.110[[#This Row],[DM Incubated, mg]]*1000</f>
        <v>16.178210783831194</v>
      </c>
      <c r="AS208" s="94">
        <f>Table3.110[[#This Row],[CH4 24h, ml]]/Table3.110[[#This Row],[Digested feed, mg]]*1000</f>
        <v>30.859192119142993</v>
      </c>
      <c r="AT208" s="94">
        <f>Table3.110[[#This Row],[CH4 24h, ml]]/'3.2 Digest'!AA208</f>
        <v>0.43360904055102339</v>
      </c>
      <c r="AU208" s="94">
        <f>((Table3.110[[#This Row],[CH4 24h, ml]]/28.9)*16.04)/Table3.110[[#This Row],[DM Incubated, mg]]*1000</f>
        <v>8.9791868848668628</v>
      </c>
      <c r="AV208" s="94">
        <f>((Table3.110[[#This Row],[CH4 24h, ml]]/28.9)*16.04)/Table3.110[[#This Row],[Digested feed, mg]]*1000</f>
        <v>17.127385522181783</v>
      </c>
    </row>
    <row r="209" spans="2:49" s="89" customFormat="1" x14ac:dyDescent="0.35">
      <c r="B209" s="90">
        <f t="shared" si="3"/>
        <v>199</v>
      </c>
      <c r="C209" s="140">
        <v>46043</v>
      </c>
      <c r="D209" s="6" t="s">
        <v>16</v>
      </c>
      <c r="E209" s="6" t="s">
        <v>98</v>
      </c>
      <c r="F209" s="133" t="s">
        <v>99</v>
      </c>
      <c r="G209" s="133" t="s">
        <v>100</v>
      </c>
      <c r="H209" s="133" t="s">
        <v>101</v>
      </c>
      <c r="I209" s="6" t="s">
        <v>22</v>
      </c>
      <c r="J209" s="129" t="s">
        <v>23</v>
      </c>
      <c r="K209" s="129" t="s">
        <v>24</v>
      </c>
      <c r="L209" s="6" t="s">
        <v>97</v>
      </c>
      <c r="M209" s="119">
        <v>27</v>
      </c>
      <c r="N209" s="93">
        <v>59</v>
      </c>
      <c r="O209" s="6">
        <v>2</v>
      </c>
      <c r="P209" s="129">
        <v>3</v>
      </c>
      <c r="Q209" s="6">
        <v>47</v>
      </c>
      <c r="R209" s="98">
        <v>0.50019999999999998</v>
      </c>
      <c r="S209" s="94">
        <f>((Table3.110[[#This Row],[Sample weight, g]]*'2.1. DM'!Q69)/100)*1000</f>
        <v>472.54732332400579</v>
      </c>
      <c r="T209" s="94">
        <f>'3.2 Digest'!W209</f>
        <v>235.24732332400583</v>
      </c>
      <c r="U209" s="117">
        <v>0.38611111111111113</v>
      </c>
      <c r="V209" s="155">
        <v>41</v>
      </c>
      <c r="W209" s="117">
        <v>0.71111111111111114</v>
      </c>
      <c r="X209" s="96">
        <v>73.5</v>
      </c>
      <c r="Y209" s="96">
        <v>12.2</v>
      </c>
      <c r="Z209" s="155">
        <v>40.5</v>
      </c>
      <c r="AA209" s="117">
        <v>0.40555555555555556</v>
      </c>
      <c r="AB209" s="155">
        <v>74</v>
      </c>
      <c r="AC209" s="155">
        <v>14.5</v>
      </c>
      <c r="AD209" s="94"/>
      <c r="AE209" s="94">
        <f>Table3.110[[#This Row],[Gas 8h, ml]]-Table3.110[[#This Row],[Gas 0h, ml]]</f>
        <v>32.5</v>
      </c>
      <c r="AF209" s="94">
        <f>Table3.110[[#This Row],[Gas 24h, ml]]-Table3.110[[#This Row],[V8 Push back, ml]]</f>
        <v>33.5</v>
      </c>
      <c r="AG209" s="94">
        <f>Table3.110[[#This Row],[GP 8h, ml]]-(AVERAGE(AE$116,AE$117,AE$167,AE$166,AE$219,AE$220))*$AG$8</f>
        <v>29.623728042697874</v>
      </c>
      <c r="AH209" s="94">
        <f>Table3.110[[#This Row],[GP 8-24h, ml]]-(AVERAGE(AF$11,AF$12,AF$62,AF$61,AF$114,AF$115))*$AG$8</f>
        <v>29.81247184961266</v>
      </c>
      <c r="AI209" s="94">
        <f>Table3.110[[#This Row],[Net gas 8-24h, ml]]+Table3.110[[#This Row],[Net gas 8h, ml]]</f>
        <v>59.436199892310533</v>
      </c>
      <c r="AJ209" s="94">
        <f>Table3.110[[#This Row],[Net gas 8h, ml]]*Table3.110[[#This Row],[CH4 8h %]]%</f>
        <v>3.6140948212091404</v>
      </c>
      <c r="AK209" s="94">
        <f>Table3.110[[#This Row],[Net gas 8-24h, ml]]*Table3.110[[#This Row],[CH4 24h, %]]%</f>
        <v>4.3228084181938353</v>
      </c>
      <c r="AL209" s="94">
        <f>Table3.110[[#This Row],[CH4 8-24h, ml]]+Table3.110[[#This Row],[CH4 8h, ml]]</f>
        <v>7.9369032394029757</v>
      </c>
      <c r="AM209" s="94">
        <f>(Table3.110[[#This Row],[Net gas 24h, ml]]/Table3.110[[#This Row],[DM Incubated, mg]])*1000</f>
        <v>125.77830189413142</v>
      </c>
      <c r="AN209" s="94">
        <f>'3.2 Digest'!X209</f>
        <v>49.782807289907481</v>
      </c>
      <c r="AO209" s="94">
        <f>Table3.110[[#This Row],[Digested feed, mg]]/Table3.110[[#This Row],[Net gas 24h, ml]]</f>
        <v>3.9579805531012857</v>
      </c>
      <c r="AP209" s="94">
        <f>Table3.110[[#This Row],[CH4 8h, ml]]/Table3.110[[#This Row],[Net gas 8h, ml]]%</f>
        <v>12.2</v>
      </c>
      <c r="AQ209" s="94">
        <f>Table3.110[[#This Row],[CH4 24h, ml]]/Table3.110[[#This Row],[Net gas 24h, ml]]%</f>
        <v>13.353651905376609</v>
      </c>
      <c r="AR209" s="94">
        <f>Table3.110[[#This Row],[CH4 24h, ml]]/Table3.110[[#This Row],[DM Incubated, mg]]*1000</f>
        <v>16.795996607436024</v>
      </c>
      <c r="AS209" s="94">
        <f>Table3.110[[#This Row],[CH4 24h, ml]]/Table3.110[[#This Row],[Digested feed, mg]]*1000</f>
        <v>33.738548550758601</v>
      </c>
      <c r="AT209" s="94">
        <f>Table3.110[[#This Row],[CH4 24h, ml]]/'3.2 Digest'!AA209</f>
        <v>0.60762154716885985</v>
      </c>
      <c r="AU209" s="94">
        <f>((Table3.110[[#This Row],[CH4 24h, ml]]/28.9)*16.04)/Table3.110[[#This Row],[DM Incubated, mg]]*1000</f>
        <v>9.3220687053035931</v>
      </c>
      <c r="AV209" s="94">
        <f>((Table3.110[[#This Row],[CH4 24h, ml]]/28.9)*16.04)/Table3.110[[#This Row],[Digested feed, mg]]*1000</f>
        <v>18.725478157583666</v>
      </c>
    </row>
    <row r="210" spans="2:49" s="89" customFormat="1" x14ac:dyDescent="0.35">
      <c r="B210" s="90">
        <f t="shared" si="3"/>
        <v>200</v>
      </c>
      <c r="C210" s="140">
        <v>46043</v>
      </c>
      <c r="D210" s="92" t="s">
        <v>102</v>
      </c>
      <c r="E210" s="6" t="s">
        <v>104</v>
      </c>
      <c r="F210" s="133" t="s">
        <v>105</v>
      </c>
      <c r="G210" s="133" t="s">
        <v>106</v>
      </c>
      <c r="H210" s="133" t="s">
        <v>107</v>
      </c>
      <c r="I210" s="6" t="s">
        <v>108</v>
      </c>
      <c r="J210" s="8" t="s">
        <v>109</v>
      </c>
      <c r="K210" s="6" t="s">
        <v>110</v>
      </c>
      <c r="L210" s="6" t="s">
        <v>103</v>
      </c>
      <c r="M210" s="119">
        <v>27</v>
      </c>
      <c r="N210" s="93">
        <v>59</v>
      </c>
      <c r="O210" s="6">
        <v>2</v>
      </c>
      <c r="P210" s="129">
        <v>1</v>
      </c>
      <c r="Q210" s="6">
        <v>48</v>
      </c>
      <c r="R210" s="98">
        <v>0.5</v>
      </c>
      <c r="S210" s="94">
        <f>((Table3.110[[#This Row],[Sample weight, g]]*'2.1. DM'!Q71)/100)*1000</f>
        <v>485.00525062393399</v>
      </c>
      <c r="T210" s="94">
        <f>'3.2 Digest'!W210</f>
        <v>267.00525062393399</v>
      </c>
      <c r="U210" s="153">
        <v>0.38680555555555557</v>
      </c>
      <c r="V210" s="154">
        <v>41</v>
      </c>
      <c r="W210" s="153">
        <v>0.71111111111111114</v>
      </c>
      <c r="X210" s="91">
        <v>79</v>
      </c>
      <c r="Y210" s="91">
        <v>13.4</v>
      </c>
      <c r="Z210" s="154">
        <v>40.5</v>
      </c>
      <c r="AA210" s="153">
        <v>0.40625</v>
      </c>
      <c r="AB210" s="154">
        <v>98</v>
      </c>
      <c r="AC210" s="154">
        <v>13.3</v>
      </c>
      <c r="AD210" s="94"/>
      <c r="AE210" s="94">
        <f>Table3.110[[#This Row],[Gas 8h, ml]]-Table3.110[[#This Row],[Gas 0h, ml]]</f>
        <v>38</v>
      </c>
      <c r="AF210" s="94">
        <f>Table3.110[[#This Row],[Gas 24h, ml]]-Table3.110[[#This Row],[V8 Push back, ml]]</f>
        <v>57.5</v>
      </c>
      <c r="AG210" s="94">
        <f>Table3.110[[#This Row],[GP 8h, ml]]-(AVERAGE(AE$116,AE$117,AE$167,AE$166,AE$219,AE$220))*$AG$8</f>
        <v>35.123728042697877</v>
      </c>
      <c r="AH210" s="94">
        <f>Table3.110[[#This Row],[GP 8-24h, ml]]-(AVERAGE(AF$11,AF$12,AF$62,AF$61,AF$114,AF$115))*$AG$8</f>
        <v>53.812471849612663</v>
      </c>
      <c r="AI210" s="94">
        <f>Table3.110[[#This Row],[Net gas 8-24h, ml]]+Table3.110[[#This Row],[Net gas 8h, ml]]</f>
        <v>88.93619989231054</v>
      </c>
      <c r="AJ210" s="94">
        <f>Table3.110[[#This Row],[Net gas 8h, ml]]*Table3.110[[#This Row],[CH4 8h %]]%</f>
        <v>4.7065795577215157</v>
      </c>
      <c r="AK210" s="94">
        <f>Table3.110[[#This Row],[Net gas 8-24h, ml]]*Table3.110[[#This Row],[CH4 24h, %]]%</f>
        <v>7.1570587559984844</v>
      </c>
      <c r="AL210" s="94">
        <f>Table3.110[[#This Row],[CH4 8-24h, ml]]+Table3.110[[#This Row],[CH4 8h, ml]]</f>
        <v>11.863638313719999</v>
      </c>
      <c r="AM210" s="94">
        <f>(Table3.110[[#This Row],[Net gas 24h, ml]]/Table3.110[[#This Row],[DM Incubated, mg]])*1000</f>
        <v>183.37162283892548</v>
      </c>
      <c r="AN210" s="94">
        <f>'3.2 Digest'!X210</f>
        <v>55.052032999734671</v>
      </c>
      <c r="AO210" s="94">
        <f>Table3.110[[#This Row],[Digested feed, mg]]/Table3.110[[#This Row],[Net gas 24h, ml]]</f>
        <v>3.0022111462738512</v>
      </c>
      <c r="AP210" s="94">
        <f>Table3.110[[#This Row],[CH4 8h, ml]]/Table3.110[[#This Row],[Net gas 8h, ml]]%</f>
        <v>13.4</v>
      </c>
      <c r="AQ210" s="94">
        <f>Table3.110[[#This Row],[CH4 24h, ml]]/Table3.110[[#This Row],[Net gas 24h, ml]]%</f>
        <v>13.339493173854096</v>
      </c>
      <c r="AR210" s="94">
        <f>Table3.110[[#This Row],[CH4 24h, ml]]/Table3.110[[#This Row],[DM Incubated, mg]]*1000</f>
        <v>24.460845111383943</v>
      </c>
      <c r="AS210" s="94">
        <f>Table3.110[[#This Row],[CH4 24h, ml]]/Table3.110[[#This Row],[Digested feed, mg]]*1000</f>
        <v>44.43222852733129</v>
      </c>
      <c r="AT210" s="94">
        <f>Table3.110[[#This Row],[CH4 24h, ml]]/'3.2 Digest'!AA210</f>
        <v>0.42892163534891187</v>
      </c>
      <c r="AU210" s="94">
        <f>((Table3.110[[#This Row],[CH4 24h, ml]]/28.9)*16.04)/Table3.110[[#This Row],[DM Incubated, mg]]*1000</f>
        <v>13.576192234830396</v>
      </c>
      <c r="AV210" s="94">
        <f>((Table3.110[[#This Row],[CH4 24h, ml]]/28.9)*16.04)/Table3.110[[#This Row],[Digested feed, mg]]*1000</f>
        <v>24.660655556345805</v>
      </c>
    </row>
    <row r="211" spans="2:49" s="89" customFormat="1" x14ac:dyDescent="0.35">
      <c r="B211" s="90">
        <f t="shared" si="3"/>
        <v>201</v>
      </c>
      <c r="C211" s="140">
        <v>46043</v>
      </c>
      <c r="D211" s="92" t="s">
        <v>102</v>
      </c>
      <c r="E211" s="6" t="s">
        <v>104</v>
      </c>
      <c r="F211" s="133" t="s">
        <v>105</v>
      </c>
      <c r="G211" s="133" t="s">
        <v>106</v>
      </c>
      <c r="H211" s="133" t="s">
        <v>107</v>
      </c>
      <c r="I211" s="6" t="s">
        <v>108</v>
      </c>
      <c r="J211" s="8" t="s">
        <v>109</v>
      </c>
      <c r="K211" s="6" t="s">
        <v>110</v>
      </c>
      <c r="L211" s="6" t="s">
        <v>103</v>
      </c>
      <c r="M211" s="119">
        <v>27</v>
      </c>
      <c r="N211" s="93">
        <v>59</v>
      </c>
      <c r="O211" s="6">
        <v>2</v>
      </c>
      <c r="P211" s="129">
        <v>2</v>
      </c>
      <c r="Q211" s="6">
        <v>49</v>
      </c>
      <c r="R211" s="98">
        <v>0.5</v>
      </c>
      <c r="S211" s="94">
        <f>((Table3.110[[#This Row],[Sample weight, g]]*'2.1. DM'!Q71)/100)*1000</f>
        <v>485.00525062393399</v>
      </c>
      <c r="T211" s="94">
        <f>'3.2 Digest'!W211</f>
        <v>166.50525062393399</v>
      </c>
      <c r="U211" s="117">
        <v>0.38680555555555557</v>
      </c>
      <c r="V211" s="155">
        <v>40</v>
      </c>
      <c r="W211" s="117">
        <v>0.71180555555555558</v>
      </c>
      <c r="X211" s="96">
        <v>79</v>
      </c>
      <c r="Y211" s="96">
        <v>13.5</v>
      </c>
      <c r="Z211" s="155">
        <v>39.5</v>
      </c>
      <c r="AA211" s="117">
        <v>0.40625</v>
      </c>
      <c r="AB211" s="155">
        <v>94.5</v>
      </c>
      <c r="AC211" s="155">
        <v>13.5</v>
      </c>
      <c r="AD211" s="94"/>
      <c r="AE211" s="94">
        <f>Table3.110[[#This Row],[Gas 8h, ml]]-Table3.110[[#This Row],[Gas 0h, ml]]</f>
        <v>39</v>
      </c>
      <c r="AF211" s="94">
        <f>Table3.110[[#This Row],[Gas 24h, ml]]-Table3.110[[#This Row],[V8 Push back, ml]]</f>
        <v>55</v>
      </c>
      <c r="AG211" s="94">
        <f>Table3.110[[#This Row],[GP 8h, ml]]-(AVERAGE(AE$116,AE$117,AE$167,AE$166,AE$219,AE$220))*$AG$8</f>
        <v>36.123728042697877</v>
      </c>
      <c r="AH211" s="94">
        <f>Table3.110[[#This Row],[GP 8-24h, ml]]-(AVERAGE(AF$11,AF$12,AF$62,AF$61,AF$114,AF$115))*$AG$8</f>
        <v>51.312471849612663</v>
      </c>
      <c r="AI211" s="94">
        <f>Table3.110[[#This Row],[Net gas 8-24h, ml]]+Table3.110[[#This Row],[Net gas 8h, ml]]</f>
        <v>87.43619989231054</v>
      </c>
      <c r="AJ211" s="94">
        <f>Table3.110[[#This Row],[Net gas 8h, ml]]*Table3.110[[#This Row],[CH4 8h %]]%</f>
        <v>4.8767032857642141</v>
      </c>
      <c r="AK211" s="94">
        <f>Table3.110[[#This Row],[Net gas 8-24h, ml]]*Table3.110[[#This Row],[CH4 24h, %]]%</f>
        <v>6.9271836996977099</v>
      </c>
      <c r="AL211" s="94">
        <f>Table3.110[[#This Row],[CH4 8-24h, ml]]+Table3.110[[#This Row],[CH4 8h, ml]]</f>
        <v>11.803886985461924</v>
      </c>
      <c r="AM211" s="94">
        <f>(Table3.110[[#This Row],[Net gas 24h, ml]]/Table3.110[[#This Row],[DM Incubated, mg]])*1000</f>
        <v>180.27887281597143</v>
      </c>
      <c r="AN211" s="94">
        <f>'3.2 Digest'!X211</f>
        <v>34.33060784594263</v>
      </c>
      <c r="AO211" s="94">
        <f>Table3.110[[#This Row],[Digested feed, mg]]/Table3.110[[#This Row],[Net gas 24h, ml]]</f>
        <v>1.9043056632036575</v>
      </c>
      <c r="AP211" s="94">
        <f>Table3.110[[#This Row],[CH4 8h, ml]]/Table3.110[[#This Row],[Net gas 8h, ml]]%</f>
        <v>13.500000000000002</v>
      </c>
      <c r="AQ211" s="94">
        <f>Table3.110[[#This Row],[CH4 24h, ml]]/Table3.110[[#This Row],[Net gas 24h, ml]]%</f>
        <v>13.500000000000002</v>
      </c>
      <c r="AR211" s="94">
        <f>Table3.110[[#This Row],[CH4 24h, ml]]/Table3.110[[#This Row],[DM Incubated, mg]]*1000</f>
        <v>24.337647830156147</v>
      </c>
      <c r="AS211" s="94">
        <f>Table3.110[[#This Row],[CH4 24h, ml]]/Table3.110[[#This Row],[Digested feed, mg]]*1000</f>
        <v>70.891980530523853</v>
      </c>
      <c r="AT211" s="94">
        <f>Table3.110[[#This Row],[CH4 24h, ml]]/'3.2 Digest'!AA211</f>
        <v>-2.0742993337009259</v>
      </c>
      <c r="AU211" s="94">
        <f>((Table3.110[[#This Row],[CH4 24h, ml]]/28.9)*16.04)/Table3.110[[#This Row],[DM Incubated, mg]]*1000</f>
        <v>13.507815612308114</v>
      </c>
      <c r="AV211" s="94">
        <f>((Table3.110[[#This Row],[CH4 24h, ml]]/28.9)*16.04)/Table3.110[[#This Row],[Digested feed, mg]]*1000</f>
        <v>39.346275699294203</v>
      </c>
    </row>
    <row r="212" spans="2:49" s="89" customFormat="1" x14ac:dyDescent="0.35">
      <c r="B212" s="90">
        <f t="shared" si="3"/>
        <v>202</v>
      </c>
      <c r="C212" s="140">
        <v>46043</v>
      </c>
      <c r="D212" s="92" t="s">
        <v>102</v>
      </c>
      <c r="E212" s="6" t="s">
        <v>104</v>
      </c>
      <c r="F212" s="133" t="s">
        <v>105</v>
      </c>
      <c r="G212" s="133" t="s">
        <v>106</v>
      </c>
      <c r="H212" s="133" t="s">
        <v>107</v>
      </c>
      <c r="I212" s="6" t="s">
        <v>108</v>
      </c>
      <c r="J212" s="8" t="s">
        <v>109</v>
      </c>
      <c r="K212" s="6" t="s">
        <v>110</v>
      </c>
      <c r="L212" s="6" t="s">
        <v>103</v>
      </c>
      <c r="M212" s="119">
        <v>27</v>
      </c>
      <c r="N212" s="93">
        <v>59</v>
      </c>
      <c r="O212" s="6">
        <v>2</v>
      </c>
      <c r="P212" s="129">
        <v>3</v>
      </c>
      <c r="Q212" s="6">
        <v>50</v>
      </c>
      <c r="R212" s="98">
        <v>0.5</v>
      </c>
      <c r="S212" s="94">
        <f>((Table3.110[[#This Row],[Sample weight, g]]*'2.1. DM'!Q71)/100)*1000</f>
        <v>485.00525062393399</v>
      </c>
      <c r="T212" s="94">
        <f>'3.2 Digest'!W212</f>
        <v>277.1052506239339</v>
      </c>
      <c r="U212" s="153">
        <v>0.38680555555555557</v>
      </c>
      <c r="V212" s="154">
        <v>40</v>
      </c>
      <c r="W212" s="153">
        <v>0.71250000000000002</v>
      </c>
      <c r="X212" s="91">
        <v>80</v>
      </c>
      <c r="Y212" s="91">
        <v>12.9</v>
      </c>
      <c r="Z212" s="154">
        <v>40</v>
      </c>
      <c r="AA212" s="153">
        <v>0.40694444444444444</v>
      </c>
      <c r="AB212" s="154">
        <v>98</v>
      </c>
      <c r="AC212" s="154">
        <v>13.4</v>
      </c>
      <c r="AD212" s="94"/>
      <c r="AE212" s="94">
        <f>Table3.110[[#This Row],[Gas 8h, ml]]-Table3.110[[#This Row],[Gas 0h, ml]]</f>
        <v>40</v>
      </c>
      <c r="AF212" s="94">
        <f>Table3.110[[#This Row],[Gas 24h, ml]]-Table3.110[[#This Row],[V8 Push back, ml]]</f>
        <v>58</v>
      </c>
      <c r="AG212" s="94">
        <f>Table3.110[[#This Row],[GP 8h, ml]]-(AVERAGE(AE$116,AE$117,AE$167,AE$166,AE$219,AE$220))*$AG$8</f>
        <v>37.123728042697877</v>
      </c>
      <c r="AH212" s="94">
        <f>Table3.110[[#This Row],[GP 8-24h, ml]]-(AVERAGE(AF$11,AF$12,AF$62,AF$61,AF$114,AF$115))*$AG$8</f>
        <v>54.312471849612663</v>
      </c>
      <c r="AI212" s="94">
        <f>Table3.110[[#This Row],[Net gas 8-24h, ml]]+Table3.110[[#This Row],[Net gas 8h, ml]]</f>
        <v>91.43619989231054</v>
      </c>
      <c r="AJ212" s="94">
        <f>Table3.110[[#This Row],[Net gas 8h, ml]]*Table3.110[[#This Row],[CH4 8h %]]%</f>
        <v>4.7889609175080263</v>
      </c>
      <c r="AK212" s="94">
        <f>Table3.110[[#This Row],[Net gas 8-24h, ml]]*Table3.110[[#This Row],[CH4 24h, %]]%</f>
        <v>7.277871227848097</v>
      </c>
      <c r="AL212" s="94">
        <f>Table3.110[[#This Row],[CH4 8-24h, ml]]+Table3.110[[#This Row],[CH4 8h, ml]]</f>
        <v>12.066832145356123</v>
      </c>
      <c r="AM212" s="94">
        <f>(Table3.110[[#This Row],[Net gas 24h, ml]]/Table3.110[[#This Row],[DM Incubated, mg]])*1000</f>
        <v>188.52620621051551</v>
      </c>
      <c r="AN212" s="94">
        <f>'3.2 Digest'!X212</f>
        <v>57.134484681857032</v>
      </c>
      <c r="AO212" s="94">
        <f>Table3.110[[#This Row],[Digested feed, mg]]/Table3.110[[#This Row],[Net gas 24h, ml]]</f>
        <v>3.0305858177646932</v>
      </c>
      <c r="AP212" s="94">
        <f>Table3.110[[#This Row],[CH4 8h, ml]]/Table3.110[[#This Row],[Net gas 8h, ml]]%</f>
        <v>12.9</v>
      </c>
      <c r="AQ212" s="94">
        <f>Table3.110[[#This Row],[CH4 24h, ml]]/Table3.110[[#This Row],[Net gas 24h, ml]]%</f>
        <v>13.196996550127736</v>
      </c>
      <c r="AR212" s="94">
        <f>Table3.110[[#This Row],[CH4 24h, ml]]/Table3.110[[#This Row],[DM Incubated, mg]]*1000</f>
        <v>24.879796929688435</v>
      </c>
      <c r="AS212" s="94">
        <f>Table3.110[[#This Row],[CH4 24h, ml]]/Table3.110[[#This Row],[Digested feed, mg]]*1000</f>
        <v>43.546024906371429</v>
      </c>
      <c r="AT212" s="94">
        <f>Table3.110[[#This Row],[CH4 24h, ml]]/'3.2 Digest'!AA212</f>
        <v>0.38911722170023216</v>
      </c>
      <c r="AU212" s="94">
        <f>((Table3.110[[#This Row],[CH4 24h, ml]]/28.9)*16.04)/Table3.110[[#This Row],[DM Incubated, mg]]*1000</f>
        <v>13.808717742290744</v>
      </c>
      <c r="AV212" s="94">
        <f>((Table3.110[[#This Row],[CH4 24h, ml]]/28.9)*16.04)/Table3.110[[#This Row],[Digested feed, mg]]*1000</f>
        <v>24.168797214470512</v>
      </c>
    </row>
    <row r="213" spans="2:49" s="89" customFormat="1" x14ac:dyDescent="0.35">
      <c r="B213" s="90">
        <f t="shared" si="3"/>
        <v>203</v>
      </c>
      <c r="C213" s="140">
        <v>46043</v>
      </c>
      <c r="D213" s="92" t="s">
        <v>102</v>
      </c>
      <c r="E213" s="6" t="s">
        <v>114</v>
      </c>
      <c r="F213" s="133" t="s">
        <v>544</v>
      </c>
      <c r="G213" s="133" t="s">
        <v>116</v>
      </c>
      <c r="H213" s="133" t="s">
        <v>117</v>
      </c>
      <c r="I213" s="6" t="s">
        <v>22</v>
      </c>
      <c r="J213" s="8" t="s">
        <v>23</v>
      </c>
      <c r="K213" s="6" t="s">
        <v>118</v>
      </c>
      <c r="L213" s="6" t="s">
        <v>113</v>
      </c>
      <c r="M213" s="119">
        <v>27</v>
      </c>
      <c r="N213" s="93">
        <v>59</v>
      </c>
      <c r="O213" s="6">
        <v>2</v>
      </c>
      <c r="P213" s="129">
        <v>1</v>
      </c>
      <c r="Q213" s="6">
        <v>51</v>
      </c>
      <c r="R213" s="98">
        <v>0.50039999999999996</v>
      </c>
      <c r="S213" s="94">
        <f>((Table3.110[[#This Row],[Sample weight, g]]*'2.1. DM'!Q73)/100)*1000</f>
        <v>467.86036003873045</v>
      </c>
      <c r="T213" s="94">
        <f>'3.2 Digest'!W213</f>
        <v>249.56036003873041</v>
      </c>
      <c r="U213" s="117">
        <v>0.38680555555555557</v>
      </c>
      <c r="V213" s="155">
        <v>40.5</v>
      </c>
      <c r="W213" s="117">
        <v>0.71319444444444446</v>
      </c>
      <c r="X213" s="96">
        <v>79</v>
      </c>
      <c r="Y213" s="96">
        <v>13</v>
      </c>
      <c r="Z213" s="155">
        <v>40.5</v>
      </c>
      <c r="AA213" s="117">
        <v>0.40763888888888888</v>
      </c>
      <c r="AB213" s="155">
        <v>85</v>
      </c>
      <c r="AC213" s="155">
        <v>15.9</v>
      </c>
      <c r="AD213" s="94"/>
      <c r="AE213" s="94">
        <f>Table3.110[[#This Row],[Gas 8h, ml]]-Table3.110[[#This Row],[Gas 0h, ml]]</f>
        <v>38.5</v>
      </c>
      <c r="AF213" s="94">
        <f>Table3.110[[#This Row],[Gas 24h, ml]]-Table3.110[[#This Row],[V8 Push back, ml]]</f>
        <v>44.5</v>
      </c>
      <c r="AG213" s="94">
        <f>Table3.110[[#This Row],[GP 8h, ml]]-(AVERAGE(AE$116,AE$117,AE$167,AE$166,AE$219,AE$220))*$AG$8</f>
        <v>35.623728042697877</v>
      </c>
      <c r="AH213" s="94">
        <f>Table3.110[[#This Row],[GP 8-24h, ml]]-(AVERAGE(AF$11,AF$12,AF$62,AF$61,AF$114,AF$115))*$AG$8</f>
        <v>40.812471849612663</v>
      </c>
      <c r="AI213" s="94">
        <f>Table3.110[[#This Row],[Net gas 8-24h, ml]]+Table3.110[[#This Row],[Net gas 8h, ml]]</f>
        <v>76.43619989231054</v>
      </c>
      <c r="AJ213" s="94">
        <f>Table3.110[[#This Row],[Net gas 8h, ml]]*Table3.110[[#This Row],[CH4 8h %]]%</f>
        <v>4.6310846455507244</v>
      </c>
      <c r="AK213" s="94">
        <f>Table3.110[[#This Row],[Net gas 8-24h, ml]]*Table3.110[[#This Row],[CH4 24h, %]]%</f>
        <v>6.4891830240884136</v>
      </c>
      <c r="AL213" s="94">
        <f>Table3.110[[#This Row],[CH4 8-24h, ml]]+Table3.110[[#This Row],[CH4 8h, ml]]</f>
        <v>11.120267669639137</v>
      </c>
      <c r="AM213" s="94">
        <f>(Table3.110[[#This Row],[Net gas 24h, ml]]/Table3.110[[#This Row],[DM Incubated, mg]])*1000</f>
        <v>163.3739603115404</v>
      </c>
      <c r="AN213" s="94">
        <f>'3.2 Digest'!X213</f>
        <v>53.340778863606076</v>
      </c>
      <c r="AO213" s="94">
        <f>Table3.110[[#This Row],[Digested feed, mg]]/Table3.110[[#This Row],[Net gas 24h, ml]]</f>
        <v>3.2649498587100236</v>
      </c>
      <c r="AP213" s="94">
        <f>Table3.110[[#This Row],[CH4 8h, ml]]/Table3.110[[#This Row],[Net gas 8h, ml]]%</f>
        <v>13.000000000000002</v>
      </c>
      <c r="AQ213" s="94">
        <f>Table3.110[[#This Row],[CH4 24h, ml]]/Table3.110[[#This Row],[Net gas 24h, ml]]%</f>
        <v>14.548430828987135</v>
      </c>
      <c r="AR213" s="94">
        <f>Table3.110[[#This Row],[CH4 24h, ml]]/Table3.110[[#This Row],[DM Incubated, mg]]*1000</f>
        <v>23.768347608501344</v>
      </c>
      <c r="AS213" s="94">
        <f>Table3.110[[#This Row],[CH4 24h, ml]]/Table3.110[[#This Row],[Digested feed, mg]]*1000</f>
        <v>44.559431104817016</v>
      </c>
      <c r="AT213" s="94">
        <f>Table3.110[[#This Row],[CH4 24h, ml]]/'3.2 Digest'!AA213</f>
        <v>9.6180389228886671</v>
      </c>
      <c r="AU213" s="94">
        <f>((Table3.110[[#This Row],[CH4 24h, ml]]/28.9)*16.04)/Table3.110[[#This Row],[DM Incubated, mg]]*1000</f>
        <v>13.191844139804898</v>
      </c>
      <c r="AV213" s="94">
        <f>((Table3.110[[#This Row],[CH4 24h, ml]]/28.9)*16.04)/Table3.110[[#This Row],[Digested feed, mg]]*1000</f>
        <v>24.731255187587021</v>
      </c>
    </row>
    <row r="214" spans="2:49" s="89" customFormat="1" x14ac:dyDescent="0.35">
      <c r="B214" s="90">
        <f t="shared" si="3"/>
        <v>204</v>
      </c>
      <c r="C214" s="140">
        <v>46043</v>
      </c>
      <c r="D214" s="92" t="s">
        <v>102</v>
      </c>
      <c r="E214" s="6" t="s">
        <v>114</v>
      </c>
      <c r="F214" s="133" t="s">
        <v>544</v>
      </c>
      <c r="G214" s="133" t="s">
        <v>116</v>
      </c>
      <c r="H214" s="133" t="s">
        <v>117</v>
      </c>
      <c r="I214" s="6" t="s">
        <v>22</v>
      </c>
      <c r="J214" s="8" t="s">
        <v>23</v>
      </c>
      <c r="K214" s="6" t="s">
        <v>118</v>
      </c>
      <c r="L214" s="6" t="s">
        <v>113</v>
      </c>
      <c r="M214" s="119">
        <v>27</v>
      </c>
      <c r="N214" s="93">
        <v>59</v>
      </c>
      <c r="O214" s="6">
        <v>2</v>
      </c>
      <c r="P214" s="129">
        <v>2</v>
      </c>
      <c r="Q214" s="6">
        <v>52</v>
      </c>
      <c r="R214" s="98">
        <v>0.50009999999999999</v>
      </c>
      <c r="S214" s="94">
        <f>((Table3.110[[#This Row],[Sample weight, g]]*'2.1. DM'!Q73)/100)*1000</f>
        <v>467.57986821616527</v>
      </c>
      <c r="T214" s="94">
        <f>'3.2 Digest'!W214</f>
        <v>223.57986821616527</v>
      </c>
      <c r="U214" s="153">
        <v>0.38750000000000001</v>
      </c>
      <c r="V214" s="154">
        <v>40.5</v>
      </c>
      <c r="W214" s="153">
        <v>0.71319444444444446</v>
      </c>
      <c r="X214" s="91">
        <v>77.5</v>
      </c>
      <c r="Y214" s="91">
        <v>14</v>
      </c>
      <c r="Z214" s="154">
        <v>40.5</v>
      </c>
      <c r="AA214" s="153">
        <v>0.40833333333333333</v>
      </c>
      <c r="AB214" s="154">
        <v>85</v>
      </c>
      <c r="AC214" s="154">
        <v>16.100000000000001</v>
      </c>
      <c r="AD214" s="94"/>
      <c r="AE214" s="94">
        <f>Table3.110[[#This Row],[Gas 8h, ml]]-Table3.110[[#This Row],[Gas 0h, ml]]</f>
        <v>37</v>
      </c>
      <c r="AF214" s="94">
        <f>Table3.110[[#This Row],[Gas 24h, ml]]-Table3.110[[#This Row],[V8 Push back, ml]]</f>
        <v>44.5</v>
      </c>
      <c r="AG214" s="94">
        <f>Table3.110[[#This Row],[GP 8h, ml]]-(AVERAGE(AE$116,AE$117,AE$167,AE$166,AE$219,AE$220))*$AG$8</f>
        <v>34.123728042697877</v>
      </c>
      <c r="AH214" s="94">
        <f>Table3.110[[#This Row],[GP 8-24h, ml]]-(AVERAGE(AF$11,AF$12,AF$62,AF$61,AF$114,AF$115))*$AG$8</f>
        <v>40.812471849612663</v>
      </c>
      <c r="AI214" s="94">
        <f>Table3.110[[#This Row],[Net gas 8-24h, ml]]+Table3.110[[#This Row],[Net gas 8h, ml]]</f>
        <v>74.93619989231054</v>
      </c>
      <c r="AJ214" s="94">
        <f>Table3.110[[#This Row],[Net gas 8h, ml]]*Table3.110[[#This Row],[CH4 8h %]]%</f>
        <v>4.7773219259777031</v>
      </c>
      <c r="AK214" s="94">
        <f>Table3.110[[#This Row],[Net gas 8-24h, ml]]*Table3.110[[#This Row],[CH4 24h, %]]%</f>
        <v>6.5708079677876388</v>
      </c>
      <c r="AL214" s="94">
        <f>Table3.110[[#This Row],[CH4 8-24h, ml]]+Table3.110[[#This Row],[CH4 8h, ml]]</f>
        <v>11.348129893765343</v>
      </c>
      <c r="AM214" s="94">
        <f>(Table3.110[[#This Row],[Net gas 24h, ml]]/Table3.110[[#This Row],[DM Incubated, mg]])*1000</f>
        <v>160.2639569966837</v>
      </c>
      <c r="AN214" s="94">
        <f>'3.2 Digest'!X214</f>
        <v>47.816401734559456</v>
      </c>
      <c r="AO214" s="94">
        <f>Table3.110[[#This Row],[Digested feed, mg]]/Table3.110[[#This Row],[Net gas 24h, ml]]</f>
        <v>2.9836029654221572</v>
      </c>
      <c r="AP214" s="94">
        <f>Table3.110[[#This Row],[CH4 8h, ml]]/Table3.110[[#This Row],[Net gas 8h, ml]]%</f>
        <v>14.000000000000002</v>
      </c>
      <c r="AQ214" s="94">
        <f>Table3.110[[#This Row],[CH4 24h, ml]]/Table3.110[[#This Row],[Net gas 24h, ml]]%</f>
        <v>15.14372213973158</v>
      </c>
      <c r="AR214" s="94">
        <f>Table3.110[[#This Row],[CH4 24h, ml]]/Table3.110[[#This Row],[DM Incubated, mg]]*1000</f>
        <v>24.269928337716685</v>
      </c>
      <c r="AS214" s="94">
        <f>Table3.110[[#This Row],[CH4 24h, ml]]/Table3.110[[#This Row],[Digested feed, mg]]*1000</f>
        <v>50.756492453039435</v>
      </c>
      <c r="AT214" s="94">
        <f>Table3.110[[#This Row],[CH4 24h, ml]]/'3.2 Digest'!AA214</f>
        <v>-1.0759825217345402</v>
      </c>
      <c r="AU214" s="94">
        <f>((Table3.110[[#This Row],[CH4 24h, ml]]/28.9)*16.04)/Table3.110[[#This Row],[DM Incubated, mg]]*1000</f>
        <v>13.470230122386701</v>
      </c>
      <c r="AV214" s="94">
        <f>((Table3.110[[#This Row],[CH4 24h, ml]]/28.9)*16.04)/Table3.110[[#This Row],[Digested feed, mg]]*1000</f>
        <v>28.170731451444723</v>
      </c>
    </row>
    <row r="215" spans="2:49" s="89" customFormat="1" x14ac:dyDescent="0.35">
      <c r="B215" s="90">
        <f t="shared" si="3"/>
        <v>205</v>
      </c>
      <c r="C215" s="140">
        <v>46043</v>
      </c>
      <c r="D215" s="92" t="s">
        <v>102</v>
      </c>
      <c r="E215" s="6" t="s">
        <v>114</v>
      </c>
      <c r="F215" s="133" t="s">
        <v>544</v>
      </c>
      <c r="G215" s="133" t="s">
        <v>116</v>
      </c>
      <c r="H215" s="133" t="s">
        <v>117</v>
      </c>
      <c r="I215" s="6" t="s">
        <v>22</v>
      </c>
      <c r="J215" s="8" t="s">
        <v>23</v>
      </c>
      <c r="K215" s="6" t="s">
        <v>118</v>
      </c>
      <c r="L215" s="6" t="s">
        <v>113</v>
      </c>
      <c r="M215" s="119">
        <v>27</v>
      </c>
      <c r="N215" s="93">
        <v>59</v>
      </c>
      <c r="O215" s="6">
        <v>2</v>
      </c>
      <c r="P215" s="129">
        <v>3</v>
      </c>
      <c r="Q215" s="6">
        <v>53</v>
      </c>
      <c r="R215" s="98">
        <v>0.50009999999999999</v>
      </c>
      <c r="S215" s="110">
        <f>((Table3.110[[#This Row],[Sample weight, g]]*'2.1. DM'!Q73)/100)*1000</f>
        <v>467.57986821616527</v>
      </c>
      <c r="T215" s="94">
        <f>'3.2 Digest'!W215</f>
        <v>243.37986821616531</v>
      </c>
      <c r="U215" s="117">
        <v>0.38819444444444445</v>
      </c>
      <c r="V215" s="155">
        <v>40.5</v>
      </c>
      <c r="W215" s="117">
        <v>0.71388888888888891</v>
      </c>
      <c r="X215" s="96">
        <v>80</v>
      </c>
      <c r="Y215" s="96">
        <v>13.8</v>
      </c>
      <c r="Z215" s="155">
        <v>40.5</v>
      </c>
      <c r="AA215" s="117">
        <v>0.40833333333333333</v>
      </c>
      <c r="AB215" s="155">
        <v>86.5</v>
      </c>
      <c r="AC215" s="155">
        <v>16.100000000000001</v>
      </c>
      <c r="AD215" s="94"/>
      <c r="AE215" s="94">
        <f>Table3.110[[#This Row],[Gas 8h, ml]]-Table3.110[[#This Row],[Gas 0h, ml]]</f>
        <v>39.5</v>
      </c>
      <c r="AF215" s="94">
        <f>Table3.110[[#This Row],[Gas 24h, ml]]-Table3.110[[#This Row],[V8 Push back, ml]]</f>
        <v>46</v>
      </c>
      <c r="AG215" s="94">
        <f>Table3.110[[#This Row],[GP 8h, ml]]-(AVERAGE(AE$116,AE$117,AE$167,AE$166,AE$219,AE$220))*$AG$8</f>
        <v>36.623728042697877</v>
      </c>
      <c r="AH215" s="94">
        <f>Table3.110[[#This Row],[GP 8-24h, ml]]-(AVERAGE(AF$11,AF$12,AF$62,AF$61,AF$114,AF$115))*$AG$8</f>
        <v>42.312471849612663</v>
      </c>
      <c r="AI215" s="94">
        <f>Table3.110[[#This Row],[Net gas 8-24h, ml]]+Table3.110[[#This Row],[Net gas 8h, ml]]</f>
        <v>78.93619989231054</v>
      </c>
      <c r="AJ215" s="94">
        <f>Table3.110[[#This Row],[Net gas 8h, ml]]*Table3.110[[#This Row],[CH4 8h %]]%</f>
        <v>5.0540744698923072</v>
      </c>
      <c r="AK215" s="94">
        <f>Table3.110[[#This Row],[Net gas 8-24h, ml]]*Table3.110[[#This Row],[CH4 24h, %]]%</f>
        <v>6.812307967787639</v>
      </c>
      <c r="AL215" s="94">
        <f>Table3.110[[#This Row],[CH4 8-24h, ml]]+Table3.110[[#This Row],[CH4 8h, ml]]</f>
        <v>11.866382437679945</v>
      </c>
      <c r="AM215" s="94">
        <f>(Table3.110[[#This Row],[Net gas 24h, ml]]/Table3.110[[#This Row],[DM Incubated, mg]])*1000</f>
        <v>168.81864523691985</v>
      </c>
      <c r="AN215" s="94">
        <f>'3.2 Digest'!X215</f>
        <v>52.050972413476359</v>
      </c>
      <c r="AO215" s="94">
        <f>Table3.110[[#This Row],[Digested feed, mg]]/Table3.110[[#This Row],[Net gas 24h, ml]]</f>
        <v>3.0832478450723317</v>
      </c>
      <c r="AP215" s="94">
        <f>Table3.110[[#This Row],[CH4 8h, ml]]/Table3.110[[#This Row],[Net gas 8h, ml]]%</f>
        <v>13.8</v>
      </c>
      <c r="AQ215" s="94">
        <f>Table3.110[[#This Row],[CH4 24h, ml]]/Table3.110[[#This Row],[Net gas 24h, ml]]%</f>
        <v>15.032877759340796</v>
      </c>
      <c r="AR215" s="94">
        <f>Table3.110[[#This Row],[CH4 24h, ml]]/Table3.110[[#This Row],[DM Incubated, mg]]*1000</f>
        <v>25.378300573441368</v>
      </c>
      <c r="AS215" s="94">
        <f>Table3.110[[#This Row],[CH4 24h, ml]]/Table3.110[[#This Row],[Digested feed, mg]]*1000</f>
        <v>48.756631042056668</v>
      </c>
      <c r="AT215" s="94">
        <f>Table3.110[[#This Row],[CH4 24h, ml]]/'3.2 Digest'!AA215</f>
        <v>-7.528653414423923</v>
      </c>
      <c r="AU215" s="94">
        <f>((Table3.110[[#This Row],[CH4 24h, ml]]/28.9)*16.04)/Table3.110[[#This Row],[DM Incubated, mg]]*1000</f>
        <v>14.085395889204134</v>
      </c>
      <c r="AV215" s="94">
        <f>((Table3.110[[#This Row],[CH4 24h, ml]]/28.9)*16.04)/Table3.110[[#This Row],[Digested feed, mg]]*1000</f>
        <v>27.060773768670895</v>
      </c>
    </row>
    <row r="216" spans="2:49" s="89" customFormat="1" x14ac:dyDescent="0.35">
      <c r="B216" s="90">
        <f t="shared" si="3"/>
        <v>206</v>
      </c>
      <c r="C216" s="140">
        <v>46043</v>
      </c>
      <c r="D216" s="8" t="s">
        <v>120</v>
      </c>
      <c r="E216" s="6" t="s">
        <v>122</v>
      </c>
      <c r="F216" s="133" t="s">
        <v>123</v>
      </c>
      <c r="G216" s="133" t="s">
        <v>545</v>
      </c>
      <c r="H216" s="133" t="s">
        <v>125</v>
      </c>
      <c r="I216" s="6" t="s">
        <v>108</v>
      </c>
      <c r="J216" s="8" t="s">
        <v>109</v>
      </c>
      <c r="K216" s="6" t="s">
        <v>110</v>
      </c>
      <c r="L216" s="6" t="s">
        <v>121</v>
      </c>
      <c r="M216" s="119">
        <v>27</v>
      </c>
      <c r="N216" s="93">
        <v>59</v>
      </c>
      <c r="O216" s="6">
        <v>2</v>
      </c>
      <c r="P216" s="129">
        <v>1</v>
      </c>
      <c r="Q216" s="6">
        <v>54</v>
      </c>
      <c r="R216" s="98">
        <v>0.50009999999999999</v>
      </c>
      <c r="S216" s="94">
        <f>((Table3.110[[#This Row],[Sample weight, g]]*'2.1. DM'!Q75)/100)*1000</f>
        <v>467.84354999999999</v>
      </c>
      <c r="T216" s="94">
        <f>'3.2 Digest'!W216</f>
        <v>90.443550000000016</v>
      </c>
      <c r="U216" s="153">
        <v>0.3888888888888889</v>
      </c>
      <c r="V216" s="154">
        <v>40.5</v>
      </c>
      <c r="W216" s="153">
        <v>0.71388888888888891</v>
      </c>
      <c r="X216" s="91">
        <v>59.5</v>
      </c>
      <c r="Y216" s="91">
        <v>15.1</v>
      </c>
      <c r="Z216" s="154">
        <v>40</v>
      </c>
      <c r="AA216" s="153">
        <v>0.40833333333333333</v>
      </c>
      <c r="AB216" s="154">
        <v>68</v>
      </c>
      <c r="AC216" s="154">
        <v>16.100000000000001</v>
      </c>
      <c r="AD216" s="94"/>
      <c r="AE216" s="94">
        <f>Table3.110[[#This Row],[Gas 8h, ml]]-Table3.110[[#This Row],[Gas 0h, ml]]</f>
        <v>19</v>
      </c>
      <c r="AF216" s="94">
        <f>Table3.110[[#This Row],[Gas 24h, ml]]-Table3.110[[#This Row],[V8 Push back, ml]]</f>
        <v>28</v>
      </c>
      <c r="AG216" s="94">
        <f>Table3.110[[#This Row],[GP 8h, ml]]-(AVERAGE(AE$116,AE$117,AE$167,AE$166,AE$219,AE$220))*$AG$8</f>
        <v>16.123728042697874</v>
      </c>
      <c r="AH216" s="94">
        <f>Table3.110[[#This Row],[GP 8-24h, ml]]-(AVERAGE(AF$11,AF$12,AF$62,AF$61,AF$114,AF$115))*$AG$8</f>
        <v>24.31247184961266</v>
      </c>
      <c r="AI216" s="94">
        <f>Table3.110[[#This Row],[Net gas 8-24h, ml]]+Table3.110[[#This Row],[Net gas 8h, ml]]</f>
        <v>40.436199892310533</v>
      </c>
      <c r="AJ216" s="94">
        <f>Table3.110[[#This Row],[Net gas 8h, ml]]*Table3.110[[#This Row],[CH4 8h %]]%</f>
        <v>2.434682934447379</v>
      </c>
      <c r="AK216" s="94">
        <f>Table3.110[[#This Row],[Net gas 8-24h, ml]]*Table3.110[[#This Row],[CH4 24h, %]]%</f>
        <v>3.9143079677876385</v>
      </c>
      <c r="AL216" s="94">
        <f>Table3.110[[#This Row],[CH4 8-24h, ml]]+Table3.110[[#This Row],[CH4 8h, ml]]</f>
        <v>6.3489909022350179</v>
      </c>
      <c r="AM216" s="94">
        <f>(Table3.110[[#This Row],[Net gas 24h, ml]]/Table3.110[[#This Row],[DM Incubated, mg]])*1000</f>
        <v>86.431029972114686</v>
      </c>
      <c r="AN216" s="94">
        <f>'3.2 Digest'!X216</f>
        <v>19.332007462751175</v>
      </c>
      <c r="AO216" s="94">
        <f>Table3.110[[#This Row],[Digested feed, mg]]/Table3.110[[#This Row],[Net gas 24h, ml]]</f>
        <v>2.2366975690314317</v>
      </c>
      <c r="AP216" s="94">
        <f>Table3.110[[#This Row],[CH4 8h, ml]]/Table3.110[[#This Row],[Net gas 8h, ml]]%</f>
        <v>15.1</v>
      </c>
      <c r="AQ216" s="94">
        <f>Table3.110[[#This Row],[CH4 24h, ml]]/Table3.110[[#This Row],[Net gas 24h, ml]]%</f>
        <v>15.70125511087495</v>
      </c>
      <c r="AR216" s="94">
        <f>Table3.110[[#This Row],[CH4 24h, ml]]/Table3.110[[#This Row],[DM Incubated, mg]]*1000</f>
        <v>13.570756510878514</v>
      </c>
      <c r="AS216" s="94">
        <f>Table3.110[[#This Row],[CH4 24h, ml]]/Table3.110[[#This Row],[Digested feed, mg]]*1000</f>
        <v>70.198382330580969</v>
      </c>
      <c r="AT216" s="94">
        <f>Table3.110[[#This Row],[CH4 24h, ml]]/'3.2 Digest'!AA216</f>
        <v>-1.0577035836207309</v>
      </c>
      <c r="AU216" s="94">
        <f>((Table3.110[[#This Row],[CH4 24h, ml]]/28.9)*16.04)/Table3.110[[#This Row],[DM Incubated, mg]]*1000</f>
        <v>7.5320046517125041</v>
      </c>
      <c r="AV216" s="94">
        <f>((Table3.110[[#This Row],[CH4 24h, ml]]/28.9)*16.04)/Table3.110[[#This Row],[Digested feed, mg]]*1000</f>
        <v>38.961316698357052</v>
      </c>
    </row>
    <row r="217" spans="2:49" s="89" customFormat="1" x14ac:dyDescent="0.35">
      <c r="B217" s="90">
        <f t="shared" si="3"/>
        <v>207</v>
      </c>
      <c r="C217" s="140">
        <v>46043</v>
      </c>
      <c r="D217" s="8" t="s">
        <v>120</v>
      </c>
      <c r="E217" s="6" t="s">
        <v>122</v>
      </c>
      <c r="F217" s="133" t="s">
        <v>123</v>
      </c>
      <c r="G217" s="133" t="s">
        <v>545</v>
      </c>
      <c r="H217" s="133" t="s">
        <v>125</v>
      </c>
      <c r="I217" s="6" t="s">
        <v>108</v>
      </c>
      <c r="J217" s="8" t="s">
        <v>109</v>
      </c>
      <c r="K217" s="6" t="s">
        <v>110</v>
      </c>
      <c r="L217" s="6" t="s">
        <v>121</v>
      </c>
      <c r="M217" s="119">
        <v>27</v>
      </c>
      <c r="N217" s="93">
        <v>59</v>
      </c>
      <c r="O217" s="6">
        <v>2</v>
      </c>
      <c r="P217" s="129">
        <v>2</v>
      </c>
      <c r="Q217" s="6">
        <v>55</v>
      </c>
      <c r="R217" s="98">
        <v>0.50019999999999998</v>
      </c>
      <c r="S217" s="110">
        <f>((Table3.110[[#This Row],[Sample weight, g]]*'2.1. DM'!Q75)/100)*1000</f>
        <v>467.93709999999999</v>
      </c>
      <c r="T217" s="94">
        <f>'3.2 Digest'!W217</f>
        <v>73.737099999999998</v>
      </c>
      <c r="U217" s="115">
        <v>0.3888888888888889</v>
      </c>
      <c r="V217" s="94">
        <v>40.5</v>
      </c>
      <c r="W217" s="115">
        <v>0.71458333333333335</v>
      </c>
      <c r="X217" s="93">
        <v>59.5</v>
      </c>
      <c r="Y217" s="93">
        <v>15.9</v>
      </c>
      <c r="Z217" s="94">
        <v>40</v>
      </c>
      <c r="AA217" s="115">
        <v>0.40902777777777777</v>
      </c>
      <c r="AB217" s="94">
        <v>69</v>
      </c>
      <c r="AC217" s="94">
        <v>16.100000000000001</v>
      </c>
      <c r="AD217" s="94"/>
      <c r="AE217" s="94">
        <f>Table3.110[[#This Row],[Gas 8h, ml]]-Table3.110[[#This Row],[Gas 0h, ml]]</f>
        <v>19</v>
      </c>
      <c r="AF217" s="94">
        <f>Table3.110[[#This Row],[Gas 24h, ml]]-Table3.110[[#This Row],[V8 Push back, ml]]</f>
        <v>29</v>
      </c>
      <c r="AG217" s="94">
        <f>Table3.110[[#This Row],[GP 8h, ml]]-(AVERAGE(AE$116,AE$117,AE$167,AE$166,AE$219,AE$220))*$AG$8</f>
        <v>16.123728042697874</v>
      </c>
      <c r="AH217" s="94">
        <f>Table3.110[[#This Row],[GP 8-24h, ml]]-(AVERAGE(AF$11,AF$12,AF$62,AF$61,AF$114,AF$115))*$AG$8</f>
        <v>25.31247184961266</v>
      </c>
      <c r="AI217" s="94">
        <f>Table3.110[[#This Row],[Net gas 8-24h, ml]]+Table3.110[[#This Row],[Net gas 8h, ml]]</f>
        <v>41.436199892310533</v>
      </c>
      <c r="AJ217" s="94">
        <f>Table3.110[[#This Row],[Net gas 8h, ml]]*Table3.110[[#This Row],[CH4 8h %]]%</f>
        <v>2.5636727587889618</v>
      </c>
      <c r="AK217" s="94">
        <f>Table3.110[[#This Row],[Net gas 8-24h, ml]]*Table3.110[[#This Row],[CH4 24h, %]]%</f>
        <v>4.075307967787638</v>
      </c>
      <c r="AL217" s="94">
        <f>Table3.110[[#This Row],[CH4 8-24h, ml]]+Table3.110[[#This Row],[CH4 8h, ml]]</f>
        <v>6.6389807265765999</v>
      </c>
      <c r="AM217" s="94">
        <f>(Table3.110[[#This Row],[Net gas 24h, ml]]/Table3.110[[#This Row],[DM Incubated, mg]])*1000</f>
        <v>88.550790036332955</v>
      </c>
      <c r="AN217" s="94">
        <f>'3.2 Digest'!X217</f>
        <v>15.757908488127997</v>
      </c>
      <c r="AO217" s="94">
        <f>Table3.110[[#This Row],[Digested feed, mg]]/Table3.110[[#This Row],[Net gas 24h, ml]]</f>
        <v>1.779533359517451</v>
      </c>
      <c r="AP217" s="94">
        <f>Table3.110[[#This Row],[CH4 8h, ml]]/Table3.110[[#This Row],[Net gas 8h, ml]]%</f>
        <v>15.899999999999999</v>
      </c>
      <c r="AQ217" s="94">
        <f>Table3.110[[#This Row],[CH4 24h, ml]]/Table3.110[[#This Row],[Net gas 24h, ml]]%</f>
        <v>16.022175643111087</v>
      </c>
      <c r="AR217" s="94">
        <f>Table3.110[[#This Row],[CH4 24h, ml]]/Table3.110[[#This Row],[DM Incubated, mg]]*1000</f>
        <v>14.187763112983776</v>
      </c>
      <c r="AS217" s="94">
        <f>Table3.110[[#This Row],[CH4 24h, ml]]/Table3.110[[#This Row],[Digested feed, mg]]*1000</f>
        <v>90.035826287941887</v>
      </c>
      <c r="AT217" s="94">
        <f>Table3.110[[#This Row],[CH4 24h, ml]]/'3.2 Digest'!AA217</f>
        <v>-0.62051185810894749</v>
      </c>
      <c r="AU217" s="94">
        <f>((Table3.110[[#This Row],[CH4 24h, ml]]/28.9)*16.04)/Table3.110[[#This Row],[DM Incubated, mg]]*1000</f>
        <v>7.8744539907356303</v>
      </c>
      <c r="AV217" s="94">
        <f>((Table3.110[[#This Row],[CH4 24h, ml]]/28.9)*16.04)/Table3.110[[#This Row],[Digested feed, mg]]*1000</f>
        <v>49.971441303065326</v>
      </c>
    </row>
    <row r="218" spans="2:49" s="89" customFormat="1" x14ac:dyDescent="0.35">
      <c r="B218" s="90">
        <f t="shared" si="3"/>
        <v>208</v>
      </c>
      <c r="C218" s="140">
        <v>46043</v>
      </c>
      <c r="D218" s="8" t="s">
        <v>120</v>
      </c>
      <c r="E218" s="6" t="s">
        <v>122</v>
      </c>
      <c r="F218" s="133" t="s">
        <v>123</v>
      </c>
      <c r="G218" s="133" t="s">
        <v>545</v>
      </c>
      <c r="H218" s="133" t="s">
        <v>125</v>
      </c>
      <c r="I218" s="6" t="s">
        <v>108</v>
      </c>
      <c r="J218" s="8" t="s">
        <v>109</v>
      </c>
      <c r="K218" s="6" t="s">
        <v>110</v>
      </c>
      <c r="L218" s="6" t="s">
        <v>121</v>
      </c>
      <c r="M218" s="119">
        <v>27</v>
      </c>
      <c r="N218" s="93">
        <v>59</v>
      </c>
      <c r="O218" s="6">
        <v>2</v>
      </c>
      <c r="P218" s="129">
        <v>3</v>
      </c>
      <c r="Q218" s="6">
        <v>56</v>
      </c>
      <c r="R218" s="98">
        <v>0.50009999999999999</v>
      </c>
      <c r="S218" s="110">
        <f>((Table3.110[[#This Row],[Sample weight, g]]*'2.1. DM'!Q75)/100)*1000</f>
        <v>467.84354999999999</v>
      </c>
      <c r="T218" s="94">
        <f>'3.2 Digest'!W218</f>
        <v>86.743549999999971</v>
      </c>
      <c r="U218" s="115">
        <v>0.38958333333333334</v>
      </c>
      <c r="V218" s="94">
        <v>40.5</v>
      </c>
      <c r="W218" s="115">
        <v>0.71458333333333335</v>
      </c>
      <c r="X218" s="93">
        <v>60.5</v>
      </c>
      <c r="Y218" s="93">
        <v>14.8</v>
      </c>
      <c r="Z218" s="94">
        <v>40</v>
      </c>
      <c r="AA218" s="115">
        <v>0.40972222222222221</v>
      </c>
      <c r="AB218" s="94">
        <v>68</v>
      </c>
      <c r="AC218" s="94">
        <v>16.100000000000001</v>
      </c>
      <c r="AD218" s="94"/>
      <c r="AE218" s="94">
        <f>Table3.110[[#This Row],[Gas 8h, ml]]-Table3.110[[#This Row],[Gas 0h, ml]]</f>
        <v>20</v>
      </c>
      <c r="AF218" s="94">
        <f>Table3.110[[#This Row],[Gas 24h, ml]]-Table3.110[[#This Row],[V8 Push back, ml]]</f>
        <v>28</v>
      </c>
      <c r="AG218" s="94">
        <f>Table3.110[[#This Row],[GP 8h, ml]]-(AVERAGE(AE$116,AE$117,AE$167,AE$166,AE$219,AE$220))*$AG$8</f>
        <v>17.123728042697874</v>
      </c>
      <c r="AH218" s="94">
        <f>Table3.110[[#This Row],[GP 8-24h, ml]]-(AVERAGE(AF$11,AF$12,AF$62,AF$61,AF$114,AF$115))*$AG$8</f>
        <v>24.31247184961266</v>
      </c>
      <c r="AI218" s="94">
        <f>Table3.110[[#This Row],[Net gas 8-24h, ml]]+Table3.110[[#This Row],[Net gas 8h, ml]]</f>
        <v>41.436199892310533</v>
      </c>
      <c r="AJ218" s="94">
        <f>Table3.110[[#This Row],[Net gas 8h, ml]]*Table3.110[[#This Row],[CH4 8h %]]%</f>
        <v>2.5343117503192856</v>
      </c>
      <c r="AK218" s="94">
        <f>Table3.110[[#This Row],[Net gas 8-24h, ml]]*Table3.110[[#This Row],[CH4 24h, %]]%</f>
        <v>3.9143079677876385</v>
      </c>
      <c r="AL218" s="94">
        <f>Table3.110[[#This Row],[CH4 8-24h, ml]]+Table3.110[[#This Row],[CH4 8h, ml]]</f>
        <v>6.448619718106924</v>
      </c>
      <c r="AM218" s="94">
        <f>(Table3.110[[#This Row],[Net gas 24h, ml]]/Table3.110[[#This Row],[DM Incubated, mg]])*1000</f>
        <v>88.568496653016879</v>
      </c>
      <c r="AN218" s="94">
        <f>'3.2 Digest'!X218</f>
        <v>18.541144790817352</v>
      </c>
      <c r="AO218" s="94">
        <f>Table3.110[[#This Row],[Digested feed, mg]]/Table3.110[[#This Row],[Net gas 24h, ml]]</f>
        <v>2.093424354198496</v>
      </c>
      <c r="AP218" s="94">
        <f>Table3.110[[#This Row],[CH4 8h, ml]]/Table3.110[[#This Row],[Net gas 8h, ml]]%</f>
        <v>14.800000000000002</v>
      </c>
      <c r="AQ218" s="94">
        <f>Table3.110[[#This Row],[CH4 24h, ml]]/Table3.110[[#This Row],[Net gas 24h, ml]]%</f>
        <v>15.562768146853202</v>
      </c>
      <c r="AR218" s="94">
        <f>Table3.110[[#This Row],[CH4 24h, ml]]/Table3.110[[#This Row],[DM Incubated, mg]]*1000</f>
        <v>13.783709785262454</v>
      </c>
      <c r="AS218" s="94">
        <f>Table3.110[[#This Row],[CH4 24h, ml]]/Table3.110[[#This Row],[Digested feed, mg]]*1000</f>
        <v>74.341201370095263</v>
      </c>
      <c r="AT218" s="94">
        <f>Table3.110[[#This Row],[CH4 24h, ml]]/'3.2 Digest'!AA218</f>
        <v>-0.91575521523147385</v>
      </c>
      <c r="AU218" s="94">
        <f>((Table3.110[[#This Row],[CH4 24h, ml]]/28.9)*16.04)/Table3.110[[#This Row],[DM Incubated, mg]]*1000</f>
        <v>7.6501974033082956</v>
      </c>
      <c r="AV218" s="94">
        <f>((Table3.110[[#This Row],[CH4 24h, ml]]/28.9)*16.04)/Table3.110[[#This Row],[Digested feed, mg]]*1000</f>
        <v>41.26065294035736</v>
      </c>
    </row>
    <row r="219" spans="2:49" s="89" customFormat="1" x14ac:dyDescent="0.35">
      <c r="B219" s="90">
        <f t="shared" si="3"/>
        <v>209</v>
      </c>
      <c r="C219" s="143">
        <v>46043</v>
      </c>
      <c r="D219" s="92"/>
      <c r="E219" s="124" t="s">
        <v>537</v>
      </c>
      <c r="F219" s="133" t="s">
        <v>538</v>
      </c>
      <c r="G219" s="133">
        <v>24</v>
      </c>
      <c r="H219" s="185" t="s">
        <v>537</v>
      </c>
      <c r="I219" s="187"/>
      <c r="J219" s="188"/>
      <c r="K219" s="124"/>
      <c r="L219" s="124" t="s">
        <v>539</v>
      </c>
      <c r="M219" s="119">
        <v>27</v>
      </c>
      <c r="N219" s="147">
        <v>59</v>
      </c>
      <c r="O219" s="124">
        <v>2</v>
      </c>
      <c r="P219" s="146">
        <v>1</v>
      </c>
      <c r="Q219" s="124">
        <v>57</v>
      </c>
      <c r="R219" s="148"/>
      <c r="S219" s="110"/>
      <c r="T219" s="94">
        <f>'3.2 Digest'!W219</f>
        <v>0</v>
      </c>
      <c r="U219" s="149">
        <v>0.38958333333333334</v>
      </c>
      <c r="V219" s="150">
        <v>39.5</v>
      </c>
      <c r="W219" s="149">
        <v>0.71527777777777779</v>
      </c>
      <c r="X219" s="163">
        <v>42.5</v>
      </c>
      <c r="Y219" s="163"/>
      <c r="Z219" s="150">
        <v>39.5</v>
      </c>
      <c r="AA219" s="149"/>
      <c r="AB219" s="150">
        <v>43</v>
      </c>
      <c r="AC219" s="150"/>
      <c r="AD219" s="94"/>
      <c r="AE219" s="94">
        <f>Table3.110[[#This Row],[Gas 8h, ml]]-Table3.110[[#This Row],[Gas 0h, ml]]</f>
        <v>3</v>
      </c>
      <c r="AF219" s="94">
        <f>Table3.110[[#This Row],[Gas 24h, ml]]-Table3.110[[#This Row],[V8 Push back, ml]]</f>
        <v>3.5</v>
      </c>
      <c r="AG219" s="94"/>
      <c r="AH219" s="94"/>
      <c r="AI219" s="94"/>
      <c r="AJ219" s="94"/>
      <c r="AK219" s="94"/>
      <c r="AL219" s="94"/>
      <c r="AM219" s="94"/>
      <c r="AN219" s="94"/>
      <c r="AO219" s="94"/>
      <c r="AP219" s="94"/>
      <c r="AQ219" s="94"/>
      <c r="AR219" s="94"/>
      <c r="AS219" s="94"/>
      <c r="AT219" s="94"/>
      <c r="AU219" s="94"/>
      <c r="AV219" s="94"/>
    </row>
    <row r="220" spans="2:49" s="89" customFormat="1" x14ac:dyDescent="0.35">
      <c r="B220" s="90">
        <f t="shared" si="3"/>
        <v>210</v>
      </c>
      <c r="C220" s="143">
        <v>46043</v>
      </c>
      <c r="D220" s="92"/>
      <c r="E220" s="124" t="s">
        <v>537</v>
      </c>
      <c r="F220" s="133" t="s">
        <v>538</v>
      </c>
      <c r="G220" s="133">
        <v>24</v>
      </c>
      <c r="H220" s="185" t="s">
        <v>537</v>
      </c>
      <c r="I220" s="187"/>
      <c r="J220" s="188"/>
      <c r="K220" s="124"/>
      <c r="L220" s="124" t="s">
        <v>539</v>
      </c>
      <c r="M220" s="119">
        <v>27</v>
      </c>
      <c r="N220" s="147">
        <v>59</v>
      </c>
      <c r="O220" s="124">
        <v>2</v>
      </c>
      <c r="P220" s="146">
        <v>2</v>
      </c>
      <c r="Q220" s="124">
        <v>58</v>
      </c>
      <c r="R220" s="148"/>
      <c r="S220" s="110"/>
      <c r="T220" s="94">
        <f>'3.2 Digest'!W220</f>
        <v>0</v>
      </c>
      <c r="U220" s="151">
        <v>0.38958333333333334</v>
      </c>
      <c r="V220" s="152">
        <v>40</v>
      </c>
      <c r="W220" s="151">
        <v>0.71527777777777779</v>
      </c>
      <c r="X220" s="164">
        <v>42.5</v>
      </c>
      <c r="Y220" s="164"/>
      <c r="Z220" s="152">
        <v>40</v>
      </c>
      <c r="AA220" s="151"/>
      <c r="AB220" s="152">
        <v>43.5</v>
      </c>
      <c r="AC220" s="152"/>
      <c r="AD220" s="94"/>
      <c r="AE220" s="94">
        <f>Table3.110[[#This Row],[Gas 8h, ml]]-Table3.110[[#This Row],[Gas 0h, ml]]</f>
        <v>2.5</v>
      </c>
      <c r="AF220" s="94">
        <f>Table3.110[[#This Row],[Gas 24h, ml]]-Table3.110[[#This Row],[V8 Push back, ml]]</f>
        <v>3.5</v>
      </c>
      <c r="AG220" s="94"/>
      <c r="AH220" s="94"/>
      <c r="AI220" s="94"/>
      <c r="AJ220" s="94"/>
      <c r="AK220" s="94"/>
      <c r="AL220" s="94"/>
      <c r="AM220" s="94"/>
      <c r="AN220" s="94"/>
      <c r="AO220" s="94"/>
      <c r="AP220" s="94"/>
      <c r="AQ220" s="94"/>
      <c r="AR220" s="94"/>
      <c r="AS220" s="94"/>
      <c r="AT220" s="94"/>
      <c r="AU220" s="94"/>
      <c r="AV220" s="94"/>
    </row>
    <row r="221" spans="2:49" s="89" customFormat="1" x14ac:dyDescent="0.35">
      <c r="B221" s="90">
        <f t="shared" si="3"/>
        <v>211</v>
      </c>
      <c r="C221" s="143">
        <v>46076</v>
      </c>
      <c r="D221" s="92"/>
      <c r="E221" s="124" t="s">
        <v>537</v>
      </c>
      <c r="F221" s="242"/>
      <c r="G221" s="242"/>
      <c r="H221" s="124" t="s">
        <v>537</v>
      </c>
      <c r="I221" s="242"/>
      <c r="J221" s="243"/>
      <c r="K221" s="243"/>
      <c r="L221" s="124" t="s">
        <v>537</v>
      </c>
      <c r="M221" s="119">
        <v>27</v>
      </c>
      <c r="N221" s="147">
        <v>69</v>
      </c>
      <c r="O221" s="124">
        <v>3</v>
      </c>
      <c r="P221" s="124">
        <v>1</v>
      </c>
      <c r="Q221" s="124">
        <v>73</v>
      </c>
      <c r="R221" s="148"/>
      <c r="S221" s="94"/>
      <c r="T221" s="94">
        <f>'3.2 Digest'!W221</f>
        <v>0</v>
      </c>
      <c r="U221" s="149">
        <v>0.32291666666666669</v>
      </c>
      <c r="V221" s="150">
        <v>40</v>
      </c>
      <c r="W221" s="149">
        <v>0.65694444444444444</v>
      </c>
      <c r="X221" s="163">
        <v>41</v>
      </c>
      <c r="Y221" s="163"/>
      <c r="Z221" s="150">
        <v>40</v>
      </c>
      <c r="AA221" s="149">
        <v>0.32708333333333334</v>
      </c>
      <c r="AB221" s="150">
        <v>41.5</v>
      </c>
      <c r="AC221" s="150"/>
      <c r="AD221" s="163"/>
      <c r="AE221" s="94">
        <f>Table3.110[[#This Row],[Gas 8h, ml]]-Table3.110[[#This Row],[Gas 0h, ml]]</f>
        <v>1</v>
      </c>
      <c r="AF221" s="94">
        <f>Table3.110[[#This Row],[Gas 24h, ml]]-Table3.110[[#This Row],[V8 Push back, ml]]</f>
        <v>1.5</v>
      </c>
      <c r="AG221" s="94"/>
      <c r="AH221" s="94"/>
      <c r="AI221" s="94"/>
      <c r="AJ221" s="94"/>
      <c r="AK221" s="94"/>
      <c r="AL221" s="94"/>
      <c r="AM221" s="94"/>
      <c r="AN221" s="94"/>
      <c r="AO221" s="94"/>
      <c r="AP221" s="94"/>
      <c r="AQ221" s="94"/>
      <c r="AR221" s="94"/>
      <c r="AS221" s="94"/>
      <c r="AT221" s="94"/>
      <c r="AU221" s="94"/>
      <c r="AV221" s="94"/>
    </row>
    <row r="222" spans="2:49" s="89" customFormat="1" x14ac:dyDescent="0.35">
      <c r="B222" s="90">
        <f t="shared" si="3"/>
        <v>212</v>
      </c>
      <c r="C222" s="143">
        <v>46076</v>
      </c>
      <c r="D222" s="92"/>
      <c r="E222" s="124" t="s">
        <v>537</v>
      </c>
      <c r="F222" s="242"/>
      <c r="G222" s="242"/>
      <c r="H222" s="124" t="s">
        <v>537</v>
      </c>
      <c r="I222" s="242"/>
      <c r="J222" s="243"/>
      <c r="K222" s="243"/>
      <c r="L222" s="124" t="s">
        <v>537</v>
      </c>
      <c r="M222" s="119">
        <v>27</v>
      </c>
      <c r="N222" s="147">
        <v>69</v>
      </c>
      <c r="O222" s="124">
        <v>3</v>
      </c>
      <c r="P222" s="146">
        <v>2</v>
      </c>
      <c r="Q222" s="124">
        <v>74</v>
      </c>
      <c r="R222" s="148"/>
      <c r="S222" s="94"/>
      <c r="T222" s="94">
        <f>'3.2 Digest'!W222</f>
        <v>0</v>
      </c>
      <c r="U222" s="151">
        <v>0.32361111111111113</v>
      </c>
      <c r="V222" s="152">
        <v>40</v>
      </c>
      <c r="W222" s="151">
        <v>0.65694444444444444</v>
      </c>
      <c r="X222" s="164">
        <v>41.5</v>
      </c>
      <c r="Y222" s="164"/>
      <c r="Z222" s="152">
        <v>40</v>
      </c>
      <c r="AA222" s="151">
        <v>0.32708333333333334</v>
      </c>
      <c r="AB222" s="152">
        <v>42.5</v>
      </c>
      <c r="AC222" s="152"/>
      <c r="AD222" s="164" t="s">
        <v>549</v>
      </c>
      <c r="AE222" s="94">
        <f>Table3.110[[#This Row],[Gas 8h, ml]]-Table3.110[[#This Row],[Gas 0h, ml]]</f>
        <v>1.5</v>
      </c>
      <c r="AF222" s="94">
        <f>Table3.110[[#This Row],[Gas 24h, ml]]-Table3.110[[#This Row],[V8 Push back, ml]]</f>
        <v>2.5</v>
      </c>
      <c r="AG222" s="94"/>
      <c r="AH222" s="94"/>
      <c r="AI222" s="94"/>
      <c r="AJ222" s="94"/>
      <c r="AK222" s="94"/>
      <c r="AL222" s="94"/>
      <c r="AM222" s="94"/>
      <c r="AN222" s="94"/>
      <c r="AO222" s="94"/>
      <c r="AP222" s="94"/>
      <c r="AQ222" s="94"/>
      <c r="AR222" s="94"/>
      <c r="AS222" s="94"/>
      <c r="AT222" s="94"/>
      <c r="AU222" s="94"/>
      <c r="AV222" s="94"/>
    </row>
    <row r="223" spans="2:49" s="89" customFormat="1" x14ac:dyDescent="0.35">
      <c r="B223" s="90">
        <f t="shared" si="3"/>
        <v>213</v>
      </c>
      <c r="C223" s="140">
        <v>46076</v>
      </c>
      <c r="D223" s="92" t="s">
        <v>16</v>
      </c>
      <c r="E223" s="6" t="str">
        <f>'[1]1. Information samples'!$F$16</f>
        <v>CIAT-13262</v>
      </c>
      <c r="F223" s="6" t="s">
        <v>19</v>
      </c>
      <c r="G223" s="6" t="s">
        <v>20</v>
      </c>
      <c r="H223" s="6" t="str">
        <f>'[1]1. Information samples'!$I$16</f>
        <v>Dendrolobium triangulare</v>
      </c>
      <c r="I223" s="6" t="s">
        <v>22</v>
      </c>
      <c r="J223" s="129" t="s">
        <v>23</v>
      </c>
      <c r="K223" s="129" t="s">
        <v>24</v>
      </c>
      <c r="L223" s="6" t="str">
        <f>'[1]1. Information samples'!$E$16</f>
        <v>F251728</v>
      </c>
      <c r="M223" s="119">
        <v>27</v>
      </c>
      <c r="N223" s="93">
        <v>69</v>
      </c>
      <c r="O223" s="6">
        <v>3</v>
      </c>
      <c r="P223" s="129">
        <v>1</v>
      </c>
      <c r="Q223" s="6">
        <v>75</v>
      </c>
      <c r="R223" s="98">
        <v>0.50060000000000004</v>
      </c>
      <c r="S223" s="94">
        <f>((Table3.110[[#This Row],[Sample weight, g]]*'2.1. DM'!Q11)/100)*1000</f>
        <v>475.23100349065726</v>
      </c>
      <c r="T223" s="94">
        <f>'3.2 Digest'!W223</f>
        <v>139.33100349065717</v>
      </c>
      <c r="U223" s="153">
        <v>0.32430555555555557</v>
      </c>
      <c r="V223" s="154">
        <v>41</v>
      </c>
      <c r="W223" s="153">
        <v>0.65763888888888888</v>
      </c>
      <c r="X223" s="91">
        <v>73.5</v>
      </c>
      <c r="Y223" s="91">
        <v>12.9</v>
      </c>
      <c r="Z223" s="154">
        <v>40</v>
      </c>
      <c r="AA223" s="153">
        <v>0.33333333333333331</v>
      </c>
      <c r="AB223" s="154">
        <v>63</v>
      </c>
      <c r="AC223" s="154">
        <v>16.7</v>
      </c>
      <c r="AD223" s="91"/>
      <c r="AE223" s="94">
        <f>Table3.110[[#This Row],[Gas 8h, ml]]-Table3.110[[#This Row],[Gas 0h, ml]]</f>
        <v>32.5</v>
      </c>
      <c r="AF223" s="94">
        <f>Table3.110[[#This Row],[Gas 24h, ml]]-Table3.110[[#This Row],[V8 Push back, ml]]</f>
        <v>23</v>
      </c>
      <c r="AG223" s="94">
        <f>Table3.110[[#This Row],[GP 8h, ml]]-(AVERAGE(AE$221,AE$222,AE$255,AE$256,AE$291,AE$292))*$AG$8</f>
        <v>31.024988739845064</v>
      </c>
      <c r="AH223" s="94">
        <f>Table3.110[[#This Row],[GP 8-24h, ml]]-(AVERAGE(AF$221,AF$222,AF$255,AF$256,AF$291,AF$292))*$AG$8</f>
        <v>21.008734798790837</v>
      </c>
      <c r="AI223" s="94">
        <f>Table3.110[[#This Row],[Net gas 8-24h, ml]]+Table3.110[[#This Row],[Net gas 8h, ml]]</f>
        <v>52.033723538635897</v>
      </c>
      <c r="AJ223" s="94">
        <f>Table3.110[[#This Row],[Net gas 8h, ml]]*Table3.110[[#This Row],[CH4 8h %]]%</f>
        <v>4.0022235474400132</v>
      </c>
      <c r="AK223" s="94">
        <f>Table3.110[[#This Row],[Net gas 8-24h, ml]]*Table3.110[[#This Row],[CH4 24h, %]]%</f>
        <v>3.5084587113980694</v>
      </c>
      <c r="AL223" s="94">
        <f>Table3.110[[#This Row],[CH4 8-24h, ml]]+Table3.110[[#This Row],[CH4 8h, ml]]</f>
        <v>7.5106822588380826</v>
      </c>
      <c r="AM223" s="94">
        <f>(Table3.110[[#This Row],[Net gas 24h, ml]]/Table3.110[[#This Row],[DM Incubated, mg]])*1000</f>
        <v>109.49143291670542</v>
      </c>
      <c r="AN223" s="94">
        <f>'3.2 Digest'!X223</f>
        <v>29.31858453409939</v>
      </c>
      <c r="AO223" s="94">
        <f>Table3.110[[#This Row],[Digested feed, mg]]/Table3.110[[#This Row],[Net gas 24h, ml]]</f>
        <v>2.6777058033757974</v>
      </c>
      <c r="AP223" s="94">
        <f>Table3.110[[#This Row],[CH4 8h, ml]]/Table3.110[[#This Row],[Net gas 8h, ml]]%</f>
        <v>12.899999999999999</v>
      </c>
      <c r="AQ223" s="94">
        <f>Table3.110[[#This Row],[CH4 24h, ml]]/Table3.110[[#This Row],[Net gas 24h, ml]]%</f>
        <v>14.434258684680286</v>
      </c>
      <c r="AR223" s="94">
        <f>Table3.110[[#This Row],[CH4 24h, ml]]/Table3.110[[#This Row],[DM Incubated, mg]]*1000</f>
        <v>15.80427666476044</v>
      </c>
      <c r="AS223" s="94">
        <f>Table3.110[[#This Row],[CH4 24h, ml]]/Table3.110[[#This Row],[Digested feed, mg]]*1000</f>
        <v>53.90531949582715</v>
      </c>
      <c r="AT223" s="94">
        <f>Table3.110[[#This Row],[CH4 24h, ml]]/'3.2 Digest'!AA223</f>
        <v>-0.4414473514802173</v>
      </c>
      <c r="AU223" s="94">
        <f>((Table3.110[[#This Row],[CH4 24h, ml]]/28.9)*16.04)/Table3.110[[#This Row],[DM Incubated, mg]]*1000</f>
        <v>8.771646979334168</v>
      </c>
      <c r="AV223" s="94">
        <f>((Table3.110[[#This Row],[CH4 24h, ml]]/28.9)*16.04)/Table3.110[[#This Row],[Digested feed, mg]]*1000</f>
        <v>29.918384938168419</v>
      </c>
      <c r="AW223" s="89" t="s">
        <v>546</v>
      </c>
    </row>
    <row r="224" spans="2:49" s="89" customFormat="1" x14ac:dyDescent="0.35">
      <c r="B224" s="90">
        <f t="shared" si="3"/>
        <v>214</v>
      </c>
      <c r="C224" s="140">
        <v>46076</v>
      </c>
      <c r="D224" s="92" t="s">
        <v>16</v>
      </c>
      <c r="E224" s="6" t="str">
        <f>'[1]1. Information samples'!$F$16</f>
        <v>CIAT-13262</v>
      </c>
      <c r="F224" s="6" t="s">
        <v>19</v>
      </c>
      <c r="G224" s="6" t="s">
        <v>20</v>
      </c>
      <c r="H224" s="6" t="str">
        <f>'[1]1. Information samples'!$I$16</f>
        <v>Dendrolobium triangulare</v>
      </c>
      <c r="I224" s="6" t="s">
        <v>22</v>
      </c>
      <c r="J224" s="129" t="s">
        <v>23</v>
      </c>
      <c r="K224" s="129" t="s">
        <v>24</v>
      </c>
      <c r="L224" s="6" t="str">
        <f>'[1]1. Information samples'!$E$16</f>
        <v>F251728</v>
      </c>
      <c r="M224" s="119">
        <v>27</v>
      </c>
      <c r="N224" s="93">
        <v>69</v>
      </c>
      <c r="O224" s="6">
        <v>3</v>
      </c>
      <c r="P224" s="6">
        <v>2</v>
      </c>
      <c r="Q224" s="6">
        <v>76</v>
      </c>
      <c r="R224" s="98">
        <v>0.50060000000000004</v>
      </c>
      <c r="S224" s="94">
        <f>((Table3.110[[#This Row],[Sample weight, g]]*'2.1. DM'!Q11)/100)*1000</f>
        <v>475.23100349065726</v>
      </c>
      <c r="T224" s="94">
        <f>'3.2 Digest'!W224</f>
        <v>139.33100349065728</v>
      </c>
      <c r="U224" s="117">
        <v>0.32430555555555557</v>
      </c>
      <c r="V224" s="155">
        <v>41</v>
      </c>
      <c r="W224" s="117">
        <v>0.65763888888888888</v>
      </c>
      <c r="X224" s="96">
        <v>67.5</v>
      </c>
      <c r="Y224" s="96">
        <v>14.4</v>
      </c>
      <c r="Z224" s="155">
        <v>40.5</v>
      </c>
      <c r="AA224" s="117">
        <v>0.33402777777777776</v>
      </c>
      <c r="AB224" s="155">
        <v>63.5</v>
      </c>
      <c r="AC224" s="155">
        <v>18.399999999999999</v>
      </c>
      <c r="AD224" s="96"/>
      <c r="AE224" s="94">
        <f>Table3.110[[#This Row],[Gas 8h, ml]]-Table3.110[[#This Row],[Gas 0h, ml]]</f>
        <v>26.5</v>
      </c>
      <c r="AF224" s="94">
        <f>Table3.110[[#This Row],[Gas 24h, ml]]-Table3.110[[#This Row],[V8 Push back, ml]]</f>
        <v>23</v>
      </c>
      <c r="AG224" s="94">
        <f>Table3.110[[#This Row],[GP 8h, ml]]-(AVERAGE(AE$221,AE$222,AE$255,AE$256,AE$291,AE$292))*$AG$8</f>
        <v>25.024988739845064</v>
      </c>
      <c r="AH224" s="94">
        <f>Table3.110[[#This Row],[GP 8-24h, ml]]-(AVERAGE(AF$221,AF$222,AF$255,AF$256,AF$291,AF$292))*$AG$8</f>
        <v>21.008734798790837</v>
      </c>
      <c r="AI224" s="94">
        <f>Table3.110[[#This Row],[Net gas 8-24h, ml]]+Table3.110[[#This Row],[Net gas 8h, ml]]</f>
        <v>46.033723538635897</v>
      </c>
      <c r="AJ224" s="94">
        <f>Table3.110[[#This Row],[Net gas 8h, ml]]*Table3.110[[#This Row],[CH4 8h %]]%</f>
        <v>3.6035983785376895</v>
      </c>
      <c r="AK224" s="94">
        <f>Table3.110[[#This Row],[Net gas 8-24h, ml]]*Table3.110[[#This Row],[CH4 24h, %]]%</f>
        <v>3.8656072029775137</v>
      </c>
      <c r="AL224" s="94">
        <f>Table3.110[[#This Row],[CH4 8-24h, ml]]+Table3.110[[#This Row],[CH4 8h, ml]]</f>
        <v>7.4692055815152028</v>
      </c>
      <c r="AM224" s="94">
        <f>(Table3.110[[#This Row],[Net gas 24h, ml]]/Table3.110[[#This Row],[DM Incubated, mg]])*1000</f>
        <v>96.865994012406404</v>
      </c>
      <c r="AN224" s="94">
        <f>'3.2 Digest'!X224</f>
        <v>29.318584534099411</v>
      </c>
      <c r="AO224" s="94">
        <f>Table3.110[[#This Row],[Digested feed, mg]]/Table3.110[[#This Row],[Net gas 24h, ml]]</f>
        <v>3.0267159112974511</v>
      </c>
      <c r="AP224" s="94">
        <f>Table3.110[[#This Row],[CH4 8h, ml]]/Table3.110[[#This Row],[Net gas 8h, ml]]%</f>
        <v>14.4</v>
      </c>
      <c r="AQ224" s="94">
        <f>Table3.110[[#This Row],[CH4 24h, ml]]/Table3.110[[#This Row],[Net gas 24h, ml]]%</f>
        <v>16.225508186941106</v>
      </c>
      <c r="AR224" s="94">
        <f>Table3.110[[#This Row],[CH4 24h, ml]]/Table3.110[[#This Row],[DM Incubated, mg]]*1000</f>
        <v>15.716999788844884</v>
      </c>
      <c r="AS224" s="94">
        <f>Table3.110[[#This Row],[CH4 24h, ml]]/Table3.110[[#This Row],[Digested feed, mg]]*1000</f>
        <v>53.607635015820755</v>
      </c>
      <c r="AT224" s="94">
        <f>Table3.110[[#This Row],[CH4 24h, ml]]/'3.2 Digest'!AA224</f>
        <v>-0.43900952110457714</v>
      </c>
      <c r="AU224" s="94">
        <f>((Table3.110[[#This Row],[CH4 24h, ml]]/28.9)*16.04)/Table3.110[[#This Row],[DM Incubated, mg]]*1000</f>
        <v>8.7232068032204833</v>
      </c>
      <c r="AV224" s="94">
        <f>((Table3.110[[#This Row],[CH4 24h, ml]]/28.9)*16.04)/Table3.110[[#This Row],[Digested feed, mg]]*1000</f>
        <v>29.75316490151436</v>
      </c>
    </row>
    <row r="225" spans="2:48" s="89" customFormat="1" x14ac:dyDescent="0.35">
      <c r="B225" s="90">
        <f t="shared" si="3"/>
        <v>215</v>
      </c>
      <c r="C225" s="140">
        <v>46076</v>
      </c>
      <c r="D225" s="92" t="s">
        <v>16</v>
      </c>
      <c r="E225" s="6" t="str">
        <f>'[1]1. Information samples'!$F$17</f>
        <v>CIAT-13528</v>
      </c>
      <c r="F225" s="6" t="s">
        <v>19</v>
      </c>
      <c r="G225" s="6" t="s">
        <v>29</v>
      </c>
      <c r="H225" s="6" t="str">
        <f>'[1]1. Information samples'!$I$17</f>
        <v>Dendrolobium lanceolatum</v>
      </c>
      <c r="I225" s="6" t="s">
        <v>22</v>
      </c>
      <c r="J225" s="129" t="s">
        <v>23</v>
      </c>
      <c r="K225" s="129" t="s">
        <v>24</v>
      </c>
      <c r="L225" s="6" t="str">
        <f>'[1]1. Information samples'!$E$17</f>
        <v>F251729</v>
      </c>
      <c r="M225" s="119">
        <v>27</v>
      </c>
      <c r="N225" s="93">
        <v>69</v>
      </c>
      <c r="O225" s="6">
        <v>3</v>
      </c>
      <c r="P225" s="129">
        <v>1</v>
      </c>
      <c r="Q225" s="6">
        <v>77</v>
      </c>
      <c r="R225" s="98">
        <v>0.50019999999999998</v>
      </c>
      <c r="S225" s="94">
        <f>((Table3.110[[#This Row],[Sample weight, g]]*'2.1. DM'!Q13)/100)*1000</f>
        <v>475.41879586586458</v>
      </c>
      <c r="T225" s="94">
        <f>'3.2 Digest'!W225</f>
        <v>83.61879586586457</v>
      </c>
      <c r="U225" s="117">
        <v>0.32430555555555557</v>
      </c>
      <c r="V225" s="155">
        <v>41</v>
      </c>
      <c r="W225" s="117">
        <v>0.65833333333333333</v>
      </c>
      <c r="X225" s="96">
        <v>65.5</v>
      </c>
      <c r="Y225" s="96">
        <v>12.5</v>
      </c>
      <c r="Z225" s="155">
        <v>40</v>
      </c>
      <c r="AA225" s="117">
        <v>0.33541666666666664</v>
      </c>
      <c r="AB225" s="155">
        <v>56.5</v>
      </c>
      <c r="AC225" s="155">
        <v>17.8</v>
      </c>
      <c r="AD225" s="96"/>
      <c r="AE225" s="94">
        <f>Table3.110[[#This Row],[Gas 8h, ml]]-Table3.110[[#This Row],[Gas 0h, ml]]</f>
        <v>24.5</v>
      </c>
      <c r="AF225" s="94">
        <f>Table3.110[[#This Row],[Gas 24h, ml]]-Table3.110[[#This Row],[V8 Push back, ml]]</f>
        <v>16.5</v>
      </c>
      <c r="AG225" s="94">
        <f>Table3.110[[#This Row],[GP 8h, ml]]-(AVERAGE(AE$221,AE$222,AE$255,AE$256,AE$291,AE$292))*$AG$8</f>
        <v>23.024988739845064</v>
      </c>
      <c r="AH225" s="94">
        <f>Table3.110[[#This Row],[GP 8-24h, ml]]-(AVERAGE(AF$221,AF$222,AF$255,AF$256,AF$291,AF$292))*$AG$8</f>
        <v>14.508734798790837</v>
      </c>
      <c r="AI225" s="94">
        <f>Table3.110[[#This Row],[Net gas 8-24h, ml]]+Table3.110[[#This Row],[Net gas 8h, ml]]</f>
        <v>37.533723538635897</v>
      </c>
      <c r="AJ225" s="94">
        <f>Table3.110[[#This Row],[Net gas 8h, ml]]*Table3.110[[#This Row],[CH4 8h %]]%</f>
        <v>2.878123592480633</v>
      </c>
      <c r="AK225" s="94">
        <f>Table3.110[[#This Row],[Net gas 8-24h, ml]]*Table3.110[[#This Row],[CH4 24h, %]]%</f>
        <v>2.5825547941847691</v>
      </c>
      <c r="AL225" s="94">
        <f>Table3.110[[#This Row],[CH4 8-24h, ml]]+Table3.110[[#This Row],[CH4 8h, ml]]</f>
        <v>5.4606783866654016</v>
      </c>
      <c r="AM225" s="94">
        <f>(Table3.110[[#This Row],[Net gas 24h, ml]]/Table3.110[[#This Row],[DM Incubated, mg]])*1000</f>
        <v>78.948758158113975</v>
      </c>
      <c r="AN225" s="94">
        <f>'3.2 Digest'!X225</f>
        <v>17.588449719067672</v>
      </c>
      <c r="AO225" s="94">
        <f>Table3.110[[#This Row],[Digested feed, mg]]/Table3.110[[#This Row],[Net gas 24h, ml]]</f>
        <v>2.2278310804892651</v>
      </c>
      <c r="AP225" s="94">
        <f>Table3.110[[#This Row],[CH4 8h, ml]]/Table3.110[[#This Row],[Net gas 8h, ml]]%</f>
        <v>12.5</v>
      </c>
      <c r="AQ225" s="94">
        <f>Table3.110[[#This Row],[CH4 24h, ml]]/Table3.110[[#This Row],[Net gas 24h, ml]]%</f>
        <v>14.54872544431775</v>
      </c>
      <c r="AR225" s="94">
        <f>Table3.110[[#This Row],[CH4 24h, ml]]/Table3.110[[#This Row],[DM Incubated, mg]]*1000</f>
        <v>11.486038066122413</v>
      </c>
      <c r="AS225" s="94">
        <f>Table3.110[[#This Row],[CH4 24h, ml]]/Table3.110[[#This Row],[Digested feed, mg]]*1000</f>
        <v>65.304437000325152</v>
      </c>
      <c r="AT225" s="94">
        <f>Table3.110[[#This Row],[CH4 24h, ml]]/'3.2 Digest'!AA225</f>
        <v>-0.12165160908834372</v>
      </c>
      <c r="AU225" s="94">
        <f>((Table3.110[[#This Row],[CH4 24h, ml]]/28.9)*16.04)/Table3.110[[#This Row],[DM Incubated, mg]]*1000</f>
        <v>6.3749498470797059</v>
      </c>
      <c r="AV225" s="94">
        <f>((Table3.110[[#This Row],[CH4 24h, ml]]/28.9)*16.04)/Table3.110[[#This Row],[Digested feed, mg]]*1000</f>
        <v>36.245092369730635</v>
      </c>
    </row>
    <row r="226" spans="2:48" s="89" customFormat="1" x14ac:dyDescent="0.35">
      <c r="B226" s="90">
        <f t="shared" si="3"/>
        <v>216</v>
      </c>
      <c r="C226" s="140">
        <v>46076</v>
      </c>
      <c r="D226" s="92" t="s">
        <v>16</v>
      </c>
      <c r="E226" s="6" t="str">
        <f>'[1]1. Information samples'!$F$17</f>
        <v>CIAT-13528</v>
      </c>
      <c r="F226" s="6" t="s">
        <v>19</v>
      </c>
      <c r="G226" s="6" t="s">
        <v>29</v>
      </c>
      <c r="H226" s="6" t="str">
        <f>'[1]1. Information samples'!$I$17</f>
        <v>Dendrolobium lanceolatum</v>
      </c>
      <c r="I226" s="6" t="s">
        <v>22</v>
      </c>
      <c r="J226" s="129" t="s">
        <v>23</v>
      </c>
      <c r="K226" s="129" t="s">
        <v>24</v>
      </c>
      <c r="L226" s="6" t="str">
        <f>'[1]1. Information samples'!$E$17</f>
        <v>F251729</v>
      </c>
      <c r="M226" s="119">
        <v>27</v>
      </c>
      <c r="N226" s="93">
        <v>69</v>
      </c>
      <c r="O226" s="6">
        <v>3</v>
      </c>
      <c r="P226" s="6">
        <v>2</v>
      </c>
      <c r="Q226" s="6">
        <v>78</v>
      </c>
      <c r="R226" s="98">
        <v>0.50039999999999996</v>
      </c>
      <c r="S226" s="94">
        <f>((Table3.110[[#This Row],[Sample weight, g]]*'2.1. DM'!Q13)/100)*1000</f>
        <v>475.60888734761824</v>
      </c>
      <c r="T226" s="94">
        <f>'3.2 Digest'!W226</f>
        <v>114.00888734761833</v>
      </c>
      <c r="U226" s="153">
        <v>0.32500000000000001</v>
      </c>
      <c r="V226" s="154">
        <v>42</v>
      </c>
      <c r="W226" s="153">
        <v>0.65902777777777777</v>
      </c>
      <c r="X226" s="91">
        <v>66</v>
      </c>
      <c r="Y226" s="91">
        <v>12.1</v>
      </c>
      <c r="Z226" s="154">
        <v>40.5</v>
      </c>
      <c r="AA226" s="153">
        <v>0.33541666666666664</v>
      </c>
      <c r="AB226" s="154">
        <v>56.5</v>
      </c>
      <c r="AC226" s="154">
        <v>17.5</v>
      </c>
      <c r="AD226" s="91"/>
      <c r="AE226" s="94">
        <f>Table3.110[[#This Row],[Gas 8h, ml]]-Table3.110[[#This Row],[Gas 0h, ml]]</f>
        <v>24</v>
      </c>
      <c r="AF226" s="94">
        <f>Table3.110[[#This Row],[Gas 24h, ml]]-Table3.110[[#This Row],[V8 Push back, ml]]</f>
        <v>16</v>
      </c>
      <c r="AG226" s="94">
        <f>Table3.110[[#This Row],[GP 8h, ml]]-(AVERAGE(AE$221,AE$222,AE$255,AE$256,AE$291,AE$292))*$AG$8</f>
        <v>22.524988739845064</v>
      </c>
      <c r="AH226" s="94">
        <f>Table3.110[[#This Row],[GP 8-24h, ml]]-(AVERAGE(AF$221,AF$222,AF$255,AF$256,AF$291,AF$292))*$AG$8</f>
        <v>14.008734798790837</v>
      </c>
      <c r="AI226" s="94">
        <f>Table3.110[[#This Row],[Net gas 8-24h, ml]]+Table3.110[[#This Row],[Net gas 8h, ml]]</f>
        <v>36.533723538635897</v>
      </c>
      <c r="AJ226" s="94">
        <f>Table3.110[[#This Row],[Net gas 8h, ml]]*Table3.110[[#This Row],[CH4 8h %]]%</f>
        <v>2.7255236375212526</v>
      </c>
      <c r="AK226" s="94">
        <f>Table3.110[[#This Row],[Net gas 8-24h, ml]]*Table3.110[[#This Row],[CH4 24h, %]]%</f>
        <v>2.4515285897883961</v>
      </c>
      <c r="AL226" s="94">
        <f>Table3.110[[#This Row],[CH4 8-24h, ml]]+Table3.110[[#This Row],[CH4 8h, ml]]</f>
        <v>5.1770522273096482</v>
      </c>
      <c r="AM226" s="94">
        <f>(Table3.110[[#This Row],[Net gas 24h, ml]]/Table3.110[[#This Row],[DM Incubated, mg]])*1000</f>
        <v>76.814635955138769</v>
      </c>
      <c r="AN226" s="94">
        <f>'3.2 Digest'!X226</f>
        <v>23.971143176786406</v>
      </c>
      <c r="AO226" s="94">
        <f>Table3.110[[#This Row],[Digested feed, mg]]/Table3.110[[#This Row],[Net gas 24h, ml]]</f>
        <v>3.1206478919962621</v>
      </c>
      <c r="AP226" s="94">
        <f>Table3.110[[#This Row],[CH4 8h, ml]]/Table3.110[[#This Row],[Net gas 8h, ml]]%</f>
        <v>12.1</v>
      </c>
      <c r="AQ226" s="94">
        <f>Table3.110[[#This Row],[CH4 24h, ml]]/Table3.110[[#This Row],[Net gas 24h, ml]]%</f>
        <v>14.170612042418028</v>
      </c>
      <c r="AR226" s="94">
        <f>Table3.110[[#This Row],[CH4 24h, ml]]/Table3.110[[#This Row],[DM Incubated, mg]]*1000</f>
        <v>10.885104052998463</v>
      </c>
      <c r="AS226" s="94">
        <f>Table3.110[[#This Row],[CH4 24h, ml]]/Table3.110[[#This Row],[Digested feed, mg]]*1000</f>
        <v>45.409198771711353</v>
      </c>
      <c r="AT226" s="94">
        <f>Table3.110[[#This Row],[CH4 24h, ml]]/'3.2 Digest'!AA226</f>
        <v>-0.15377494334534314</v>
      </c>
      <c r="AU226" s="94">
        <f>((Table3.110[[#This Row],[CH4 24h, ml]]/28.9)*16.04)/Table3.110[[#This Row],[DM Incubated, mg]]*1000</f>
        <v>6.0414210730136793</v>
      </c>
      <c r="AV226" s="94">
        <f>((Table3.110[[#This Row],[CH4 24h, ml]]/28.9)*16.04)/Table3.110[[#This Row],[Digested feed, mg]]*1000</f>
        <v>25.202890944576129</v>
      </c>
    </row>
    <row r="227" spans="2:48" s="89" customFormat="1" x14ac:dyDescent="0.35">
      <c r="B227" s="90">
        <f t="shared" si="3"/>
        <v>217</v>
      </c>
      <c r="C227" s="140">
        <v>46076</v>
      </c>
      <c r="D227" s="92" t="s">
        <v>16</v>
      </c>
      <c r="E227" s="6" t="str">
        <f>'[1]1. Information samples'!$F$18</f>
        <v>CIAT-13529</v>
      </c>
      <c r="F227" s="6" t="s">
        <v>19</v>
      </c>
      <c r="G227" s="6" t="s">
        <v>20</v>
      </c>
      <c r="H227" s="6" t="str">
        <f>'[1]1. Information samples'!$I$18</f>
        <v>Dendrolobium triangulare</v>
      </c>
      <c r="I227" s="6" t="s">
        <v>22</v>
      </c>
      <c r="J227" s="129" t="s">
        <v>23</v>
      </c>
      <c r="K227" s="129" t="s">
        <v>24</v>
      </c>
      <c r="L227" s="6" t="str">
        <f>'[1]1. Information samples'!$E$18</f>
        <v>F251730</v>
      </c>
      <c r="M227" s="119">
        <v>27</v>
      </c>
      <c r="N227" s="93">
        <v>69</v>
      </c>
      <c r="O227" s="6">
        <v>3</v>
      </c>
      <c r="P227" s="129">
        <v>1</v>
      </c>
      <c r="Q227" s="6">
        <v>79</v>
      </c>
      <c r="R227" s="98">
        <v>0.50039999999999996</v>
      </c>
      <c r="S227" s="94">
        <f>((Table3.110[[#This Row],[Sample weight, g]]*'2.1. DM'!Q15)/100)*1000</f>
        <v>472.16234381309636</v>
      </c>
      <c r="T227" s="94">
        <f>'3.2 Digest'!W227</f>
        <v>112.36234381309635</v>
      </c>
      <c r="U227" s="153">
        <v>0.32569444444444445</v>
      </c>
      <c r="V227" s="154">
        <v>42.5</v>
      </c>
      <c r="W227" s="153">
        <v>0.65902777777777777</v>
      </c>
      <c r="X227" s="91">
        <v>68.5</v>
      </c>
      <c r="Y227" s="91">
        <v>13.4</v>
      </c>
      <c r="Z227" s="154">
        <v>42</v>
      </c>
      <c r="AA227" s="153">
        <v>0.33611111111111114</v>
      </c>
      <c r="AB227" s="154">
        <v>70.5</v>
      </c>
      <c r="AC227" s="154">
        <v>17.399999999999999</v>
      </c>
      <c r="AD227" s="91"/>
      <c r="AE227" s="94">
        <f>Table3.110[[#This Row],[Gas 8h, ml]]-Table3.110[[#This Row],[Gas 0h, ml]]</f>
        <v>26</v>
      </c>
      <c r="AF227" s="94">
        <f>Table3.110[[#This Row],[Gas 24h, ml]]-Table3.110[[#This Row],[V8 Push back, ml]]</f>
        <v>28.5</v>
      </c>
      <c r="AG227" s="94">
        <f>Table3.110[[#This Row],[GP 8h, ml]]-(AVERAGE(AE$221,AE$222,AE$255,AE$256,AE$291,AE$292))*$AG$8</f>
        <v>24.524988739845064</v>
      </c>
      <c r="AH227" s="94">
        <f>Table3.110[[#This Row],[GP 8-24h, ml]]-(AVERAGE(AF$221,AF$222,AF$255,AF$256,AF$291,AF$292))*$AG$8</f>
        <v>26.508734798790837</v>
      </c>
      <c r="AI227" s="94">
        <f>Table3.110[[#This Row],[Net gas 8-24h, ml]]+Table3.110[[#This Row],[Net gas 8h, ml]]</f>
        <v>51.033723538635897</v>
      </c>
      <c r="AJ227" s="94">
        <f>Table3.110[[#This Row],[Net gas 8h, ml]]*Table3.110[[#This Row],[CH4 8h %]]%</f>
        <v>3.2863484911392389</v>
      </c>
      <c r="AK227" s="94">
        <f>Table3.110[[#This Row],[Net gas 8-24h, ml]]*Table3.110[[#This Row],[CH4 24h, %]]%</f>
        <v>4.6125198549896052</v>
      </c>
      <c r="AL227" s="94">
        <f>Table3.110[[#This Row],[CH4 8-24h, ml]]+Table3.110[[#This Row],[CH4 8h, ml]]</f>
        <v>7.898868346128844</v>
      </c>
      <c r="AM227" s="94">
        <f>(Table3.110[[#This Row],[Net gas 24h, ml]]/Table3.110[[#This Row],[DM Incubated, mg]])*1000</f>
        <v>108.08511989011433</v>
      </c>
      <c r="AN227" s="94">
        <f>'3.2 Digest'!X227</f>
        <v>23.797396231490783</v>
      </c>
      <c r="AO227" s="94">
        <f>Table3.110[[#This Row],[Digested feed, mg]]/Table3.110[[#This Row],[Net gas 24h, ml]]</f>
        <v>2.2017273289500547</v>
      </c>
      <c r="AP227" s="94">
        <f>Table3.110[[#This Row],[CH4 8h, ml]]/Table3.110[[#This Row],[Net gas 8h, ml]]%</f>
        <v>13.400000000000002</v>
      </c>
      <c r="AQ227" s="94">
        <f>Table3.110[[#This Row],[CH4 24h, ml]]/Table3.110[[#This Row],[Net gas 24h, ml]]%</f>
        <v>15.477742556152853</v>
      </c>
      <c r="AR227" s="94">
        <f>Table3.110[[#This Row],[CH4 24h, ml]]/Table3.110[[#This Row],[DM Incubated, mg]]*1000</f>
        <v>16.729136598101057</v>
      </c>
      <c r="AS227" s="94">
        <f>Table3.110[[#This Row],[CH4 24h, ml]]/Table3.110[[#This Row],[Digested feed, mg]]*1000</f>
        <v>70.298180672235091</v>
      </c>
      <c r="AT227" s="94">
        <f>Table3.110[[#This Row],[CH4 24h, ml]]/'3.2 Digest'!AA227</f>
        <v>-0.29122377880927247</v>
      </c>
      <c r="AU227" s="94">
        <f>((Table3.110[[#This Row],[CH4 24h, ml]]/28.9)*16.04)/Table3.110[[#This Row],[DM Incubated, mg]]*1000</f>
        <v>9.284960243375119</v>
      </c>
      <c r="AV227" s="94">
        <f>((Table3.110[[#This Row],[CH4 24h, ml]]/28.9)*16.04)/Table3.110[[#This Row],[Digested feed, mg]]*1000</f>
        <v>39.016706504589997</v>
      </c>
    </row>
    <row r="228" spans="2:48" s="89" customFormat="1" x14ac:dyDescent="0.35">
      <c r="B228" s="90">
        <f t="shared" si="3"/>
        <v>218</v>
      </c>
      <c r="C228" s="140">
        <v>46076</v>
      </c>
      <c r="D228" s="92" t="s">
        <v>16</v>
      </c>
      <c r="E228" s="6" t="str">
        <f>'[1]1. Information samples'!$F$18</f>
        <v>CIAT-13529</v>
      </c>
      <c r="F228" s="6" t="s">
        <v>19</v>
      </c>
      <c r="G228" s="6" t="s">
        <v>20</v>
      </c>
      <c r="H228" s="6" t="str">
        <f>'[1]1. Information samples'!$I$18</f>
        <v>Dendrolobium triangulare</v>
      </c>
      <c r="I228" s="6" t="s">
        <v>22</v>
      </c>
      <c r="J228" s="129" t="s">
        <v>23</v>
      </c>
      <c r="K228" s="129" t="s">
        <v>24</v>
      </c>
      <c r="L228" s="6" t="str">
        <f>'[1]1. Information samples'!$E$18</f>
        <v>F251730</v>
      </c>
      <c r="M228" s="119">
        <v>27</v>
      </c>
      <c r="N228" s="93">
        <v>69</v>
      </c>
      <c r="O228" s="6">
        <v>3</v>
      </c>
      <c r="P228" s="6">
        <v>2</v>
      </c>
      <c r="Q228" s="6">
        <v>80</v>
      </c>
      <c r="R228" s="98">
        <v>0.5</v>
      </c>
      <c r="S228" s="94">
        <f>((Table3.110[[#This Row],[Sample weight, g]]*'2.1. DM'!Q15)/100)*1000</f>
        <v>471.78491588039208</v>
      </c>
      <c r="T228" s="94">
        <f>'3.2 Digest'!W228</f>
        <v>141.68491588039211</v>
      </c>
      <c r="U228" s="117">
        <v>0.32569444444444445</v>
      </c>
      <c r="V228" s="155">
        <v>42</v>
      </c>
      <c r="W228" s="117">
        <v>0.65972222222222221</v>
      </c>
      <c r="X228" s="96">
        <v>69.5</v>
      </c>
      <c r="Y228" s="96">
        <v>13.1</v>
      </c>
      <c r="Z228" s="155">
        <v>41.5</v>
      </c>
      <c r="AA228" s="117">
        <v>0.33611111111111114</v>
      </c>
      <c r="AB228" s="155">
        <v>69.5</v>
      </c>
      <c r="AC228" s="155">
        <v>17.399999999999999</v>
      </c>
      <c r="AD228" s="96"/>
      <c r="AE228" s="94">
        <f>Table3.110[[#This Row],[Gas 8h, ml]]-Table3.110[[#This Row],[Gas 0h, ml]]</f>
        <v>27.5</v>
      </c>
      <c r="AF228" s="94">
        <f>Table3.110[[#This Row],[Gas 24h, ml]]-Table3.110[[#This Row],[V8 Push back, ml]]</f>
        <v>28</v>
      </c>
      <c r="AG228" s="94">
        <f>Table3.110[[#This Row],[GP 8h, ml]]-(AVERAGE(AE$221,AE$222,AE$255,AE$256,AE$291,AE$292))*$AG$8</f>
        <v>26.024988739845064</v>
      </c>
      <c r="AH228" s="94">
        <f>Table3.110[[#This Row],[GP 8-24h, ml]]-(AVERAGE(AF$221,AF$222,AF$255,AF$256,AF$291,AF$292))*$AG$8</f>
        <v>26.008734798790837</v>
      </c>
      <c r="AI228" s="94">
        <f>Table3.110[[#This Row],[Net gas 8-24h, ml]]+Table3.110[[#This Row],[Net gas 8h, ml]]</f>
        <v>52.033723538635897</v>
      </c>
      <c r="AJ228" s="94">
        <f>Table3.110[[#This Row],[Net gas 8h, ml]]*Table3.110[[#This Row],[CH4 8h %]]%</f>
        <v>3.4092735249197035</v>
      </c>
      <c r="AK228" s="94">
        <f>Table3.110[[#This Row],[Net gas 8-24h, ml]]*Table3.110[[#This Row],[CH4 24h, %]]%</f>
        <v>4.5255198549896054</v>
      </c>
      <c r="AL228" s="94">
        <f>Table3.110[[#This Row],[CH4 8-24h, ml]]+Table3.110[[#This Row],[CH4 8h, ml]]</f>
        <v>7.9347933799093084</v>
      </c>
      <c r="AM228" s="94">
        <f>(Table3.110[[#This Row],[Net gas 24h, ml]]/Table3.110[[#This Row],[DM Incubated, mg]])*1000</f>
        <v>110.29119793187199</v>
      </c>
      <c r="AN228" s="94">
        <f>'3.2 Digest'!X228</f>
        <v>30.031675687637367</v>
      </c>
      <c r="AO228" s="94">
        <f>Table3.110[[#This Row],[Digested feed, mg]]/Table3.110[[#This Row],[Net gas 24h, ml]]</f>
        <v>2.7229440110160237</v>
      </c>
      <c r="AP228" s="94">
        <f>Table3.110[[#This Row],[CH4 8h, ml]]/Table3.110[[#This Row],[Net gas 8h, ml]]%</f>
        <v>13.100000000000001</v>
      </c>
      <c r="AQ228" s="94">
        <f>Table3.110[[#This Row],[CH4 24h, ml]]/Table3.110[[#This Row],[Net gas 24h, ml]]%</f>
        <v>15.24932839760659</v>
      </c>
      <c r="AR228" s="94">
        <f>Table3.110[[#This Row],[CH4 24h, ml]]/Table3.110[[#This Row],[DM Incubated, mg]]*1000</f>
        <v>16.818666966285448</v>
      </c>
      <c r="AS228" s="94">
        <f>Table3.110[[#This Row],[CH4 24h, ml]]/Table3.110[[#This Row],[Digested feed, mg]]*1000</f>
        <v>56.003092005981216</v>
      </c>
      <c r="AT228" s="94">
        <f>Table3.110[[#This Row],[CH4 24h, ml]]/'3.2 Digest'!AA228</f>
        <v>-0.47448825449549747</v>
      </c>
      <c r="AU228" s="94">
        <f>((Table3.110[[#This Row],[CH4 24h, ml]]/28.9)*16.04)/Table3.110[[#This Row],[DM Incubated, mg]]*1000</f>
        <v>9.3346511466857613</v>
      </c>
      <c r="AV228" s="94">
        <f>((Table3.110[[#This Row],[CH4 24h, ml]]/28.9)*16.04)/Table3.110[[#This Row],[Digested feed, mg]]*1000</f>
        <v>31.08268497494597</v>
      </c>
    </row>
    <row r="229" spans="2:48" s="89" customFormat="1" x14ac:dyDescent="0.35">
      <c r="B229" s="90">
        <f t="shared" si="3"/>
        <v>219</v>
      </c>
      <c r="C229" s="140">
        <v>46076</v>
      </c>
      <c r="D229" s="92" t="s">
        <v>16</v>
      </c>
      <c r="E229" s="6" t="str">
        <f>'[1]1. Information samples'!$F$19</f>
        <v>CIAT-13710</v>
      </c>
      <c r="F229" s="6" t="s">
        <v>19</v>
      </c>
      <c r="G229" s="6" t="s">
        <v>29</v>
      </c>
      <c r="H229" s="6" t="str">
        <f>'[1]1. Information samples'!$I$19</f>
        <v>Dendrolobium lanceolatum</v>
      </c>
      <c r="I229" s="6" t="s">
        <v>22</v>
      </c>
      <c r="J229" s="129" t="s">
        <v>23</v>
      </c>
      <c r="K229" s="129" t="s">
        <v>24</v>
      </c>
      <c r="L229" s="6" t="str">
        <f>'[1]1. Information samples'!$E$19</f>
        <v>F251731</v>
      </c>
      <c r="M229" s="119">
        <v>27</v>
      </c>
      <c r="N229" s="93">
        <v>69</v>
      </c>
      <c r="O229" s="6">
        <v>3</v>
      </c>
      <c r="P229" s="129">
        <v>1</v>
      </c>
      <c r="Q229" s="6">
        <v>81</v>
      </c>
      <c r="R229" s="98">
        <v>0.50029999999999997</v>
      </c>
      <c r="S229" s="94">
        <f>((Table3.110[[#This Row],[Sample weight, g]]*'2.1. DM'!Q17)/100)*1000</f>
        <v>470.94560940391466</v>
      </c>
      <c r="T229" s="94">
        <f>'3.2 Digest'!W229</f>
        <v>68.745609403914671</v>
      </c>
      <c r="U229" s="117">
        <v>0.32569444444444445</v>
      </c>
      <c r="V229" s="155">
        <v>42</v>
      </c>
      <c r="W229" s="117">
        <v>0.66041666666666665</v>
      </c>
      <c r="X229" s="96">
        <v>65</v>
      </c>
      <c r="Y229" s="96">
        <v>13.6</v>
      </c>
      <c r="Z229" s="155">
        <v>40.5</v>
      </c>
      <c r="AA229" s="117">
        <v>0.33611111111111114</v>
      </c>
      <c r="AB229" s="155">
        <v>57.5</v>
      </c>
      <c r="AC229" s="155">
        <v>17.399999999999999</v>
      </c>
      <c r="AD229" s="96"/>
      <c r="AE229" s="94">
        <f>Table3.110[[#This Row],[Gas 8h, ml]]-Table3.110[[#This Row],[Gas 0h, ml]]</f>
        <v>23</v>
      </c>
      <c r="AF229" s="94">
        <f>Table3.110[[#This Row],[Gas 24h, ml]]-Table3.110[[#This Row],[V8 Push back, ml]]</f>
        <v>17</v>
      </c>
      <c r="AG229" s="94">
        <f>Table3.110[[#This Row],[GP 8h, ml]]-(AVERAGE(AE$221,AE$222,AE$255,AE$256,AE$291,AE$292))*$AG$8</f>
        <v>21.524988739845064</v>
      </c>
      <c r="AH229" s="94">
        <f>Table3.110[[#This Row],[GP 8-24h, ml]]-(AVERAGE(AF$221,AF$222,AF$255,AF$256,AF$291,AF$292))*$AG$8</f>
        <v>15.008734798790837</v>
      </c>
      <c r="AI229" s="94">
        <f>Table3.110[[#This Row],[Net gas 8-24h, ml]]+Table3.110[[#This Row],[Net gas 8h, ml]]</f>
        <v>36.533723538635897</v>
      </c>
      <c r="AJ229" s="94">
        <f>Table3.110[[#This Row],[Net gas 8h, ml]]*Table3.110[[#This Row],[CH4 8h %]]%</f>
        <v>2.9273984686189287</v>
      </c>
      <c r="AK229" s="94">
        <f>Table3.110[[#This Row],[Net gas 8-24h, ml]]*Table3.110[[#This Row],[CH4 24h, %]]%</f>
        <v>2.6115198549896053</v>
      </c>
      <c r="AL229" s="94">
        <f>Table3.110[[#This Row],[CH4 8-24h, ml]]+Table3.110[[#This Row],[CH4 8h, ml]]</f>
        <v>5.5389183236085344</v>
      </c>
      <c r="AM229" s="94">
        <f>(Table3.110[[#This Row],[Net gas 24h, ml]]/Table3.110[[#This Row],[DM Incubated, mg]])*1000</f>
        <v>77.575250324294061</v>
      </c>
      <c r="AN229" s="94">
        <f>'3.2 Digest'!X229</f>
        <v>14.597356474121796</v>
      </c>
      <c r="AO229" s="94">
        <f>Table3.110[[#This Row],[Digested feed, mg]]/Table3.110[[#This Row],[Net gas 24h, ml]]</f>
        <v>1.8817027870486127</v>
      </c>
      <c r="AP229" s="94">
        <f>Table3.110[[#This Row],[CH4 8h, ml]]/Table3.110[[#This Row],[Net gas 8h, ml]]%</f>
        <v>13.6</v>
      </c>
      <c r="AQ229" s="94">
        <f>Table3.110[[#This Row],[CH4 24h, ml]]/Table3.110[[#This Row],[Net gas 24h, ml]]%</f>
        <v>15.161110850775732</v>
      </c>
      <c r="AR229" s="94">
        <f>Table3.110[[#This Row],[CH4 24h, ml]]/Table3.110[[#This Row],[DM Incubated, mg]]*1000</f>
        <v>11.761269694432983</v>
      </c>
      <c r="AS229" s="94">
        <f>Table3.110[[#This Row],[CH4 24h, ml]]/Table3.110[[#This Row],[Digested feed, mg]]*1000</f>
        <v>80.571230244896554</v>
      </c>
      <c r="AT229" s="94">
        <f>Table3.110[[#This Row],[CH4 24h, ml]]/'3.2 Digest'!AA229</f>
        <v>-0.16937862817684846</v>
      </c>
      <c r="AU229" s="94">
        <f>((Table3.110[[#This Row],[CH4 24h, ml]]/28.9)*16.04)/Table3.110[[#This Row],[DM Incubated, mg]]*1000</f>
        <v>6.5277081625849496</v>
      </c>
      <c r="AV229" s="94">
        <f>((Table3.110[[#This Row],[CH4 24h, ml]]/28.9)*16.04)/Table3.110[[#This Row],[Digested feed, mg]]*1000</f>
        <v>44.718426751838777</v>
      </c>
    </row>
    <row r="230" spans="2:48" s="89" customFormat="1" x14ac:dyDescent="0.35">
      <c r="B230" s="90">
        <f t="shared" si="3"/>
        <v>220</v>
      </c>
      <c r="C230" s="140">
        <v>46076</v>
      </c>
      <c r="D230" s="92" t="s">
        <v>16</v>
      </c>
      <c r="E230" s="6" t="str">
        <f>'[1]1. Information samples'!$F$19</f>
        <v>CIAT-13710</v>
      </c>
      <c r="F230" s="6" t="s">
        <v>19</v>
      </c>
      <c r="G230" s="6" t="s">
        <v>29</v>
      </c>
      <c r="H230" s="6" t="str">
        <f>'[1]1. Information samples'!$I$19</f>
        <v>Dendrolobium lanceolatum</v>
      </c>
      <c r="I230" s="6" t="s">
        <v>22</v>
      </c>
      <c r="J230" s="129" t="s">
        <v>23</v>
      </c>
      <c r="K230" s="129" t="s">
        <v>24</v>
      </c>
      <c r="L230" s="6" t="str">
        <f>'[1]1. Information samples'!$E$19</f>
        <v>F251731</v>
      </c>
      <c r="M230" s="119">
        <v>27</v>
      </c>
      <c r="N230" s="93">
        <v>69</v>
      </c>
      <c r="O230" s="6">
        <v>3</v>
      </c>
      <c r="P230" s="6">
        <v>2</v>
      </c>
      <c r="Q230" s="6">
        <v>82</v>
      </c>
      <c r="R230" s="98">
        <v>0.50009999999999999</v>
      </c>
      <c r="S230" s="94">
        <f>((Table3.110[[#This Row],[Sample weight, g]]*'2.1. DM'!Q17)/100)*1000</f>
        <v>470.75734411932388</v>
      </c>
      <c r="T230" s="94">
        <f>'3.2 Digest'!W230</f>
        <v>82.657344119323852</v>
      </c>
      <c r="U230" s="153">
        <v>0.32569444444444445</v>
      </c>
      <c r="V230" s="154">
        <v>41</v>
      </c>
      <c r="W230" s="153">
        <v>0.66041666666666665</v>
      </c>
      <c r="X230" s="91">
        <v>63.5</v>
      </c>
      <c r="Y230" s="91">
        <v>13.6</v>
      </c>
      <c r="Z230" s="154">
        <v>40.5</v>
      </c>
      <c r="AA230" s="153">
        <v>0.33680555555555558</v>
      </c>
      <c r="AB230" s="154">
        <v>56</v>
      </c>
      <c r="AC230" s="154">
        <v>17.600000000000001</v>
      </c>
      <c r="AD230" s="91"/>
      <c r="AE230" s="94">
        <f>Table3.110[[#This Row],[Gas 8h, ml]]-Table3.110[[#This Row],[Gas 0h, ml]]</f>
        <v>22.5</v>
      </c>
      <c r="AF230" s="94">
        <f>Table3.110[[#This Row],[Gas 24h, ml]]-Table3.110[[#This Row],[V8 Push back, ml]]</f>
        <v>15.5</v>
      </c>
      <c r="AG230" s="94">
        <f>Table3.110[[#This Row],[GP 8h, ml]]-(AVERAGE(AE$221,AE$222,AE$255,AE$256,AE$291,AE$292))*$AG$8</f>
        <v>21.024988739845064</v>
      </c>
      <c r="AH230" s="94">
        <f>Table3.110[[#This Row],[GP 8-24h, ml]]-(AVERAGE(AF$221,AF$222,AF$255,AF$256,AF$291,AF$292))*$AG$8</f>
        <v>13.508734798790837</v>
      </c>
      <c r="AI230" s="94">
        <f>Table3.110[[#This Row],[Net gas 8-24h, ml]]+Table3.110[[#This Row],[Net gas 8h, ml]]</f>
        <v>34.533723538635897</v>
      </c>
      <c r="AJ230" s="94">
        <f>Table3.110[[#This Row],[Net gas 8h, ml]]*Table3.110[[#This Row],[CH4 8h %]]%</f>
        <v>2.8593984686189291</v>
      </c>
      <c r="AK230" s="94">
        <f>Table3.110[[#This Row],[Net gas 8-24h, ml]]*Table3.110[[#This Row],[CH4 24h, %]]%</f>
        <v>2.3775373245871876</v>
      </c>
      <c r="AL230" s="94">
        <f>Table3.110[[#This Row],[CH4 8-24h, ml]]+Table3.110[[#This Row],[CH4 8h, ml]]</f>
        <v>5.2369357932061167</v>
      </c>
      <c r="AM230" s="94">
        <f>(Table3.110[[#This Row],[Net gas 24h, ml]]/Table3.110[[#This Row],[DM Incubated, mg]])*1000</f>
        <v>73.35780093508761</v>
      </c>
      <c r="AN230" s="94">
        <f>'3.2 Digest'!X230</f>
        <v>17.558375913169506</v>
      </c>
      <c r="AO230" s="94">
        <f>Table3.110[[#This Row],[Digested feed, mg]]/Table3.110[[#This Row],[Net gas 24h, ml]]</f>
        <v>2.3935253905316016</v>
      </c>
      <c r="AP230" s="94">
        <f>Table3.110[[#This Row],[CH4 8h, ml]]/Table3.110[[#This Row],[Net gas 8h, ml]]%</f>
        <v>13.600000000000003</v>
      </c>
      <c r="AQ230" s="94">
        <f>Table3.110[[#This Row],[CH4 24h, ml]]/Table3.110[[#This Row],[Net gas 24h, ml]]%</f>
        <v>15.164700636313077</v>
      </c>
      <c r="AR230" s="94">
        <f>Table3.110[[#This Row],[CH4 24h, ml]]/Table3.110[[#This Row],[DM Incubated, mg]]*1000</f>
        <v>11.124490905188512</v>
      </c>
      <c r="AS230" s="94">
        <f>Table3.110[[#This Row],[CH4 24h, ml]]/Table3.110[[#This Row],[Digested feed, mg]]*1000</f>
        <v>63.357174719358198</v>
      </c>
      <c r="AT230" s="94">
        <f>Table3.110[[#This Row],[CH4 24h, ml]]/'3.2 Digest'!AA230</f>
        <v>-0.18636469031831074</v>
      </c>
      <c r="AU230" s="94">
        <f>((Table3.110[[#This Row],[CH4 24h, ml]]/28.9)*16.04)/Table3.110[[#This Row],[DM Incubated, mg]]*1000</f>
        <v>6.1742849176201977</v>
      </c>
      <c r="AV230" s="94">
        <f>((Table3.110[[#This Row],[CH4 24h, ml]]/28.9)*16.04)/Table3.110[[#This Row],[Digested feed, mg]]*1000</f>
        <v>35.164328114135138</v>
      </c>
    </row>
    <row r="231" spans="2:48" s="89" customFormat="1" x14ac:dyDescent="0.35">
      <c r="B231" s="90">
        <f t="shared" si="3"/>
        <v>221</v>
      </c>
      <c r="C231" s="140">
        <v>46076</v>
      </c>
      <c r="D231" s="6" t="s">
        <v>16</v>
      </c>
      <c r="E231" s="6" t="str">
        <f>'[1]1. Information samples'!$F$20</f>
        <v>CIAT-22004</v>
      </c>
      <c r="F231" s="6" t="s">
        <v>19</v>
      </c>
      <c r="G231" s="6" t="s">
        <v>20</v>
      </c>
      <c r="H231" s="6" t="str">
        <f>'[1]1. Information samples'!$I$20</f>
        <v>Dendrolobium triangulare</v>
      </c>
      <c r="I231" s="6" t="s">
        <v>22</v>
      </c>
      <c r="J231" s="129" t="s">
        <v>23</v>
      </c>
      <c r="K231" s="129" t="s">
        <v>24</v>
      </c>
      <c r="L231" s="6" t="str">
        <f>'[1]1. Information samples'!$E$20</f>
        <v>F251732</v>
      </c>
      <c r="M231" s="119">
        <v>27</v>
      </c>
      <c r="N231" s="93">
        <v>69</v>
      </c>
      <c r="O231" s="6">
        <v>3</v>
      </c>
      <c r="P231" s="129">
        <v>1</v>
      </c>
      <c r="Q231" s="6">
        <v>83</v>
      </c>
      <c r="R231" s="98">
        <v>0.50029999999999997</v>
      </c>
      <c r="S231" s="94">
        <f>((Table3.110[[#This Row],[Sample weight, g]]*'2.1. DM'!Q19)/100)*1000</f>
        <v>471.7621368452036</v>
      </c>
      <c r="T231" s="94">
        <f>'3.2 Digest'!W231</f>
        <v>118.46213684520353</v>
      </c>
      <c r="U231" s="153">
        <v>0.3263888888888889</v>
      </c>
      <c r="V231" s="154">
        <v>42.5</v>
      </c>
      <c r="W231" s="153">
        <v>0.66111111111111109</v>
      </c>
      <c r="X231" s="91">
        <v>67.5</v>
      </c>
      <c r="Y231" s="91">
        <v>12.8</v>
      </c>
      <c r="Z231" s="154">
        <v>41</v>
      </c>
      <c r="AA231" s="153">
        <v>0.33750000000000002</v>
      </c>
      <c r="AB231" s="154">
        <v>63.5</v>
      </c>
      <c r="AC231" s="154">
        <v>16.8</v>
      </c>
      <c r="AD231" s="91"/>
      <c r="AE231" s="94">
        <f>Table3.110[[#This Row],[Gas 8h, ml]]-Table3.110[[#This Row],[Gas 0h, ml]]</f>
        <v>25</v>
      </c>
      <c r="AF231" s="94">
        <f>Table3.110[[#This Row],[Gas 24h, ml]]-Table3.110[[#This Row],[V8 Push back, ml]]</f>
        <v>22.5</v>
      </c>
      <c r="AG231" s="94">
        <f>Table3.110[[#This Row],[GP 8h, ml]]-(AVERAGE(AE$221,AE$222,AE$255,AE$256,AE$291,AE$292))*$AG$8</f>
        <v>23.524988739845064</v>
      </c>
      <c r="AH231" s="94">
        <f>Table3.110[[#This Row],[GP 8-24h, ml]]-(AVERAGE(AF$221,AF$222,AF$255,AF$256,AF$291,AF$292))*$AG$8</f>
        <v>20.508734798790837</v>
      </c>
      <c r="AI231" s="94">
        <f>Table3.110[[#This Row],[Net gas 8-24h, ml]]+Table3.110[[#This Row],[Net gas 8h, ml]]</f>
        <v>44.033723538635897</v>
      </c>
      <c r="AJ231" s="94">
        <f>Table3.110[[#This Row],[Net gas 8h, ml]]*Table3.110[[#This Row],[CH4 8h %]]%</f>
        <v>3.0111985587001682</v>
      </c>
      <c r="AK231" s="94">
        <f>Table3.110[[#This Row],[Net gas 8-24h, ml]]*Table3.110[[#This Row],[CH4 24h, %]]%</f>
        <v>3.4454674461968606</v>
      </c>
      <c r="AL231" s="94">
        <f>Table3.110[[#This Row],[CH4 8-24h, ml]]+Table3.110[[#This Row],[CH4 8h, ml]]</f>
        <v>6.4566660048970288</v>
      </c>
      <c r="AM231" s="94">
        <f>(Table3.110[[#This Row],[Net gas 24h, ml]]/Table3.110[[#This Row],[DM Incubated, mg]])*1000</f>
        <v>93.338825012750888</v>
      </c>
      <c r="AN231" s="94">
        <f>'3.2 Digest'!X231</f>
        <v>25.110564751421283</v>
      </c>
      <c r="AO231" s="94">
        <f>Table3.110[[#This Row],[Digested feed, mg]]/Table3.110[[#This Row],[Net gas 24h, ml]]</f>
        <v>2.6902593586314123</v>
      </c>
      <c r="AP231" s="94">
        <f>Table3.110[[#This Row],[CH4 8h, ml]]/Table3.110[[#This Row],[Net gas 8h, ml]]%</f>
        <v>12.799999999999999</v>
      </c>
      <c r="AQ231" s="94">
        <f>Table3.110[[#This Row],[CH4 24h, ml]]/Table3.110[[#This Row],[Net gas 24h, ml]]%</f>
        <v>14.663002549016428</v>
      </c>
      <c r="AR231" s="94">
        <f>Table3.110[[#This Row],[CH4 24h, ml]]/Table3.110[[#This Row],[DM Incubated, mg]]*1000</f>
        <v>13.686274290841645</v>
      </c>
      <c r="AS231" s="94">
        <f>Table3.110[[#This Row],[CH4 24h, ml]]/Table3.110[[#This Row],[Digested feed, mg]]*1000</f>
        <v>54.50404810217178</v>
      </c>
      <c r="AT231" s="94">
        <f>Table3.110[[#This Row],[CH4 24h, ml]]/'3.2 Digest'!AA231</f>
        <v>-0.36406551151652222</v>
      </c>
      <c r="AU231" s="94">
        <f>((Table3.110[[#This Row],[CH4 24h, ml]]/28.9)*16.04)/Table3.110[[#This Row],[DM Incubated, mg]]*1000</f>
        <v>7.5961190181695502</v>
      </c>
      <c r="AV231" s="94">
        <f>((Table3.110[[#This Row],[CH4 24h, ml]]/28.9)*16.04)/Table3.110[[#This Row],[Digested feed, mg]]*1000</f>
        <v>30.250689673316099</v>
      </c>
    </row>
    <row r="232" spans="2:48" s="89" customFormat="1" x14ac:dyDescent="0.35">
      <c r="B232" s="90">
        <f t="shared" si="3"/>
        <v>222</v>
      </c>
      <c r="C232" s="140">
        <v>46076</v>
      </c>
      <c r="D232" s="6" t="s">
        <v>16</v>
      </c>
      <c r="E232" s="6" t="str">
        <f>'[1]1. Information samples'!$F$20</f>
        <v>CIAT-22004</v>
      </c>
      <c r="F232" s="6" t="s">
        <v>19</v>
      </c>
      <c r="G232" s="6" t="s">
        <v>20</v>
      </c>
      <c r="H232" s="6" t="str">
        <f>'[1]1. Information samples'!$I$20</f>
        <v>Dendrolobium triangulare</v>
      </c>
      <c r="I232" s="6" t="s">
        <v>22</v>
      </c>
      <c r="J232" s="129" t="s">
        <v>23</v>
      </c>
      <c r="K232" s="129" t="s">
        <v>24</v>
      </c>
      <c r="L232" s="6" t="str">
        <f>'[1]1. Information samples'!$E$20</f>
        <v>F251732</v>
      </c>
      <c r="M232" s="119">
        <v>27</v>
      </c>
      <c r="N232" s="93">
        <v>69</v>
      </c>
      <c r="O232" s="6">
        <v>3</v>
      </c>
      <c r="P232" s="6">
        <v>2</v>
      </c>
      <c r="Q232" s="6">
        <v>84</v>
      </c>
      <c r="R232" s="98">
        <v>0.5</v>
      </c>
      <c r="S232" s="94">
        <f>((Table3.110[[#This Row],[Sample weight, g]]*'2.1. DM'!Q19)/100)*1000</f>
        <v>471.47924929562618</v>
      </c>
      <c r="T232" s="94">
        <f>'3.2 Digest'!W232</f>
        <v>96.879249295626153</v>
      </c>
      <c r="U232" s="117">
        <v>0.3263888888888889</v>
      </c>
      <c r="V232" s="155">
        <v>42</v>
      </c>
      <c r="W232" s="117">
        <v>0.66111111111111109</v>
      </c>
      <c r="X232" s="96">
        <v>67.5</v>
      </c>
      <c r="Y232" s="96">
        <v>12.6</v>
      </c>
      <c r="Z232" s="155">
        <v>41.5</v>
      </c>
      <c r="AA232" s="117">
        <v>0.33750000000000002</v>
      </c>
      <c r="AB232" s="155">
        <v>65</v>
      </c>
      <c r="AC232" s="155">
        <v>17</v>
      </c>
      <c r="AD232" s="96"/>
      <c r="AE232" s="94">
        <f>Table3.110[[#This Row],[Gas 8h, ml]]-Table3.110[[#This Row],[Gas 0h, ml]]</f>
        <v>25.5</v>
      </c>
      <c r="AF232" s="94">
        <f>Table3.110[[#This Row],[Gas 24h, ml]]-Table3.110[[#This Row],[V8 Push back, ml]]</f>
        <v>23.5</v>
      </c>
      <c r="AG232" s="94">
        <f>Table3.110[[#This Row],[GP 8h, ml]]-(AVERAGE(AE$221,AE$222,AE$255,AE$256,AE$291,AE$292))*$AG$8</f>
        <v>24.024988739845064</v>
      </c>
      <c r="AH232" s="94">
        <f>Table3.110[[#This Row],[GP 8-24h, ml]]-(AVERAGE(AF$221,AF$222,AF$255,AF$256,AF$291,AF$292))*$AG$8</f>
        <v>21.508734798790837</v>
      </c>
      <c r="AI232" s="94">
        <f>Table3.110[[#This Row],[Net gas 8-24h, ml]]+Table3.110[[#This Row],[Net gas 8h, ml]]</f>
        <v>45.533723538635897</v>
      </c>
      <c r="AJ232" s="94">
        <f>Table3.110[[#This Row],[Net gas 8h, ml]]*Table3.110[[#This Row],[CH4 8h %]]%</f>
        <v>3.0271485812204779</v>
      </c>
      <c r="AK232" s="94">
        <f>Table3.110[[#This Row],[Net gas 8-24h, ml]]*Table3.110[[#This Row],[CH4 24h, %]]%</f>
        <v>3.6564849157944423</v>
      </c>
      <c r="AL232" s="94">
        <f>Table3.110[[#This Row],[CH4 8-24h, ml]]+Table3.110[[#This Row],[CH4 8h, ml]]</f>
        <v>6.6836334970149203</v>
      </c>
      <c r="AM232" s="94">
        <f>(Table3.110[[#This Row],[Net gas 24h, ml]]/Table3.110[[#This Row],[DM Incubated, mg]])*1000</f>
        <v>96.576304485641145</v>
      </c>
      <c r="AN232" s="94">
        <f>'3.2 Digest'!X232</f>
        <v>20.547934917678866</v>
      </c>
      <c r="AO232" s="94">
        <f>Table3.110[[#This Row],[Digested feed, mg]]/Table3.110[[#This Row],[Net gas 24h, ml]]</f>
        <v>2.1276373150863224</v>
      </c>
      <c r="AP232" s="94">
        <f>Table3.110[[#This Row],[CH4 8h, ml]]/Table3.110[[#This Row],[Net gas 8h, ml]]%</f>
        <v>12.6</v>
      </c>
      <c r="AQ232" s="94">
        <f>Table3.110[[#This Row],[CH4 24h, ml]]/Table3.110[[#This Row],[Net gas 24h, ml]]%</f>
        <v>14.678425082771408</v>
      </c>
      <c r="AR232" s="94">
        <f>Table3.110[[#This Row],[CH4 24h, ml]]/Table3.110[[#This Row],[DM Incubated, mg]]*1000</f>
        <v>14.175880501634037</v>
      </c>
      <c r="AS232" s="94">
        <f>Table3.110[[#This Row],[CH4 24h, ml]]/Table3.110[[#This Row],[Digested feed, mg]]*1000</f>
        <v>68.989319649039317</v>
      </c>
      <c r="AT232" s="94">
        <f>Table3.110[[#This Row],[CH4 24h, ml]]/'3.2 Digest'!AA232</f>
        <v>-0.26833402986658128</v>
      </c>
      <c r="AU232" s="94">
        <f>((Table3.110[[#This Row],[CH4 24h, ml]]/28.9)*16.04)/Table3.110[[#This Row],[DM Incubated, mg]]*1000</f>
        <v>7.8678589358550148</v>
      </c>
      <c r="AV232" s="94">
        <f>((Table3.110[[#This Row],[CH4 24h, ml]]/28.9)*16.04)/Table3.110[[#This Row],[Digested feed, mg]]*1000</f>
        <v>38.290265992061954</v>
      </c>
    </row>
    <row r="233" spans="2:48" s="89" customFormat="1" x14ac:dyDescent="0.35">
      <c r="B233" s="90">
        <f t="shared" si="3"/>
        <v>223</v>
      </c>
      <c r="C233" s="140">
        <v>46076</v>
      </c>
      <c r="D233" s="6" t="s">
        <v>16</v>
      </c>
      <c r="E233" s="6" t="str">
        <f>'[1]1. Information samples'!$F$21</f>
        <v>CIAT-23104</v>
      </c>
      <c r="F233" s="6" t="s">
        <v>19</v>
      </c>
      <c r="G233" s="6" t="s">
        <v>20</v>
      </c>
      <c r="H233" s="6" t="str">
        <f>'[1]1. Information samples'!$I$21</f>
        <v>Dendrolobium triangulare</v>
      </c>
      <c r="I233" s="6" t="s">
        <v>22</v>
      </c>
      <c r="J233" s="129" t="s">
        <v>23</v>
      </c>
      <c r="K233" s="129" t="s">
        <v>24</v>
      </c>
      <c r="L233" s="6" t="str">
        <f>'[1]1. Information samples'!$E$21</f>
        <v>F251733</v>
      </c>
      <c r="M233" s="119">
        <v>27</v>
      </c>
      <c r="N233" s="93">
        <v>69</v>
      </c>
      <c r="O233" s="6">
        <v>3</v>
      </c>
      <c r="P233" s="129">
        <v>1</v>
      </c>
      <c r="Q233" s="6">
        <v>85</v>
      </c>
      <c r="R233" s="98">
        <v>0.50029999999999997</v>
      </c>
      <c r="S233" s="94">
        <f>((Table3.110[[#This Row],[Sample weight, g]]*'2.1. DM'!Q21)/100)*1000</f>
        <v>463.44079313091294</v>
      </c>
      <c r="T233" s="94">
        <f>'3.2 Digest'!W233</f>
        <v>82.440793130912937</v>
      </c>
      <c r="U233" s="117">
        <v>0.3263888888888889</v>
      </c>
      <c r="V233" s="155">
        <v>41.5</v>
      </c>
      <c r="W233" s="117">
        <v>0.66180555555555554</v>
      </c>
      <c r="X233" s="96">
        <v>65.5</v>
      </c>
      <c r="Y233" s="96">
        <v>14.3</v>
      </c>
      <c r="Z233" s="155">
        <v>40.5</v>
      </c>
      <c r="AA233" s="117">
        <v>0.33819444444444446</v>
      </c>
      <c r="AB233" s="155">
        <v>62.5</v>
      </c>
      <c r="AC233" s="155">
        <v>17</v>
      </c>
      <c r="AD233" s="96"/>
      <c r="AE233" s="94">
        <f>Table3.110[[#This Row],[Gas 8h, ml]]-Table3.110[[#This Row],[Gas 0h, ml]]</f>
        <v>24</v>
      </c>
      <c r="AF233" s="94">
        <f>Table3.110[[#This Row],[Gas 24h, ml]]-Table3.110[[#This Row],[V8 Push back, ml]]</f>
        <v>22</v>
      </c>
      <c r="AG233" s="94">
        <f>Table3.110[[#This Row],[GP 8h, ml]]-(AVERAGE(AE$221,AE$222,AE$255,AE$256,AE$291,AE$292))*$AG$8</f>
        <v>22.524988739845064</v>
      </c>
      <c r="AH233" s="94">
        <f>Table3.110[[#This Row],[GP 8-24h, ml]]-(AVERAGE(AF$221,AF$222,AF$255,AF$256,AF$291,AF$292))*$AG$8</f>
        <v>20.008734798790837</v>
      </c>
      <c r="AI233" s="94">
        <f>Table3.110[[#This Row],[Net gas 8-24h, ml]]+Table3.110[[#This Row],[Net gas 8h, ml]]</f>
        <v>42.533723538635897</v>
      </c>
      <c r="AJ233" s="94">
        <f>Table3.110[[#This Row],[Net gas 8h, ml]]*Table3.110[[#This Row],[CH4 8h %]]%</f>
        <v>3.2210733897978443</v>
      </c>
      <c r="AK233" s="94">
        <f>Table3.110[[#This Row],[Net gas 8-24h, ml]]*Table3.110[[#This Row],[CH4 24h, %]]%</f>
        <v>3.4014849157944425</v>
      </c>
      <c r="AL233" s="94">
        <f>Table3.110[[#This Row],[CH4 8-24h, ml]]+Table3.110[[#This Row],[CH4 8h, ml]]</f>
        <v>6.6225583055922872</v>
      </c>
      <c r="AM233" s="94">
        <f>(Table3.110[[#This Row],[Net gas 24h, ml]]/Table3.110[[#This Row],[DM Incubated, mg]])*1000</f>
        <v>91.778117440388883</v>
      </c>
      <c r="AN233" s="94">
        <f>'3.2 Digest'!X233</f>
        <v>17.788851208794007</v>
      </c>
      <c r="AO233" s="94">
        <f>Table3.110[[#This Row],[Digested feed, mg]]/Table3.110[[#This Row],[Net gas 24h, ml]]</f>
        <v>1.9382453797168049</v>
      </c>
      <c r="AP233" s="94">
        <f>Table3.110[[#This Row],[CH4 8h, ml]]/Table3.110[[#This Row],[Net gas 8h, ml]]%</f>
        <v>14.3</v>
      </c>
      <c r="AQ233" s="94">
        <f>Table3.110[[#This Row],[CH4 24h, ml]]/Table3.110[[#This Row],[Net gas 24h, ml]]%</f>
        <v>15.570135305874704</v>
      </c>
      <c r="AR233" s="94">
        <f>Table3.110[[#This Row],[CH4 24h, ml]]/Table3.110[[#This Row],[DM Incubated, mg]]*1000</f>
        <v>14.289977066653138</v>
      </c>
      <c r="AS233" s="94">
        <f>Table3.110[[#This Row],[CH4 24h, ml]]/Table3.110[[#This Row],[Digested feed, mg]]*1000</f>
        <v>80.331084334376897</v>
      </c>
      <c r="AT233" s="94">
        <f>Table3.110[[#This Row],[CH4 24h, ml]]/'3.2 Digest'!AA233</f>
        <v>-0.29694275442744467</v>
      </c>
      <c r="AU233" s="94">
        <f>((Table3.110[[#This Row],[CH4 24h, ml]]/28.9)*16.04)/Table3.110[[#This Row],[DM Incubated, mg]]*1000</f>
        <v>7.9311845034296304</v>
      </c>
      <c r="AV233" s="94">
        <f>((Table3.110[[#This Row],[CH4 24h, ml]]/28.9)*16.04)/Table3.110[[#This Row],[Digested feed, mg]]*1000</f>
        <v>44.585141616726837</v>
      </c>
    </row>
    <row r="234" spans="2:48" s="89" customFormat="1" x14ac:dyDescent="0.35">
      <c r="B234" s="90">
        <f t="shared" si="3"/>
        <v>224</v>
      </c>
      <c r="C234" s="140">
        <v>46076</v>
      </c>
      <c r="D234" s="6" t="s">
        <v>16</v>
      </c>
      <c r="E234" s="6" t="str">
        <f>'[1]1. Information samples'!$F$21</f>
        <v>CIAT-23104</v>
      </c>
      <c r="F234" s="6" t="s">
        <v>19</v>
      </c>
      <c r="G234" s="6" t="s">
        <v>20</v>
      </c>
      <c r="H234" s="6" t="str">
        <f>'[1]1. Information samples'!$I$21</f>
        <v>Dendrolobium triangulare</v>
      </c>
      <c r="I234" s="6" t="s">
        <v>22</v>
      </c>
      <c r="J234" s="129" t="s">
        <v>23</v>
      </c>
      <c r="K234" s="129" t="s">
        <v>24</v>
      </c>
      <c r="L234" s="6" t="str">
        <f>'[1]1. Information samples'!$E$21</f>
        <v>F251733</v>
      </c>
      <c r="M234" s="119">
        <v>27</v>
      </c>
      <c r="N234" s="93">
        <v>69</v>
      </c>
      <c r="O234" s="6">
        <v>3</v>
      </c>
      <c r="P234" s="6">
        <v>2</v>
      </c>
      <c r="Q234" s="6">
        <v>86</v>
      </c>
      <c r="R234" s="98">
        <v>0.50049999999999994</v>
      </c>
      <c r="S234" s="94">
        <f>((Table3.110[[#This Row],[Sample weight, g]]*'2.1. DM'!Q21)/100)*1000</f>
        <v>463.62605828907033</v>
      </c>
      <c r="T234" s="94">
        <f>'3.2 Digest'!W234</f>
        <v>4.2260582890704086</v>
      </c>
      <c r="U234" s="153">
        <v>0.3263888888888889</v>
      </c>
      <c r="V234" s="154">
        <v>41.5</v>
      </c>
      <c r="W234" s="153">
        <v>0.66249999999999998</v>
      </c>
      <c r="X234" s="91">
        <v>67</v>
      </c>
      <c r="Y234" s="91">
        <v>13.4</v>
      </c>
      <c r="Z234" s="154">
        <v>41</v>
      </c>
      <c r="AA234" s="153">
        <v>0.33888888888888891</v>
      </c>
      <c r="AB234" s="154">
        <v>63</v>
      </c>
      <c r="AC234" s="154">
        <v>17.5</v>
      </c>
      <c r="AD234" s="91"/>
      <c r="AE234" s="94">
        <f>Table3.110[[#This Row],[Gas 8h, ml]]-Table3.110[[#This Row],[Gas 0h, ml]]</f>
        <v>25.5</v>
      </c>
      <c r="AF234" s="94">
        <f>Table3.110[[#This Row],[Gas 24h, ml]]-Table3.110[[#This Row],[V8 Push back, ml]]</f>
        <v>22</v>
      </c>
      <c r="AG234" s="94"/>
      <c r="AH234" s="94"/>
      <c r="AI234" s="94"/>
      <c r="AJ234" s="94"/>
      <c r="AK234" s="94"/>
      <c r="AL234" s="94"/>
      <c r="AM234" s="94"/>
      <c r="AN234" s="94"/>
      <c r="AO234" s="94"/>
      <c r="AP234" s="94"/>
      <c r="AQ234" s="94"/>
      <c r="AR234" s="94"/>
      <c r="AS234" s="94"/>
      <c r="AT234" s="94"/>
      <c r="AU234" s="94"/>
      <c r="AV234" s="94"/>
    </row>
    <row r="235" spans="2:48" s="89" customFormat="1" x14ac:dyDescent="0.35">
      <c r="B235" s="90">
        <f t="shared" si="3"/>
        <v>225</v>
      </c>
      <c r="C235" s="140">
        <v>46076</v>
      </c>
      <c r="D235" s="6" t="s">
        <v>16</v>
      </c>
      <c r="E235" s="6" t="str">
        <f>'[1]1. Information samples'!$F$22</f>
        <v>CIAT-23106</v>
      </c>
      <c r="F235" s="6" t="s">
        <v>19</v>
      </c>
      <c r="G235" s="6" t="s">
        <v>20</v>
      </c>
      <c r="H235" s="6" t="str">
        <f>'[1]1. Information samples'!$I$22</f>
        <v>Dendrolobium triangulare</v>
      </c>
      <c r="I235" s="6" t="s">
        <v>22</v>
      </c>
      <c r="J235" s="129" t="s">
        <v>23</v>
      </c>
      <c r="K235" s="129" t="s">
        <v>24</v>
      </c>
      <c r="L235" s="6" t="str">
        <f>'[1]1. Information samples'!$E$22</f>
        <v>F251734</v>
      </c>
      <c r="M235" s="119">
        <v>27</v>
      </c>
      <c r="N235" s="93">
        <v>69</v>
      </c>
      <c r="O235" s="6">
        <v>3</v>
      </c>
      <c r="P235" s="129">
        <v>1</v>
      </c>
      <c r="Q235" s="6">
        <v>87</v>
      </c>
      <c r="R235" s="98">
        <v>0.50029999999999997</v>
      </c>
      <c r="S235" s="94">
        <f>((Table3.110[[#This Row],[Sample weight, g]]*'2.1. DM'!Q23)/100)*1000</f>
        <v>473.5473263368313</v>
      </c>
      <c r="T235" s="94">
        <f>'3.2 Digest'!W235</f>
        <v>57.04732633683119</v>
      </c>
      <c r="U235" s="156">
        <v>0.3263888888888889</v>
      </c>
      <c r="V235" s="154">
        <v>42</v>
      </c>
      <c r="W235" s="153">
        <v>0.66249999999999998</v>
      </c>
      <c r="X235" s="91">
        <v>63.5</v>
      </c>
      <c r="Y235" s="91">
        <v>13.7</v>
      </c>
      <c r="Z235" s="154">
        <v>40.5</v>
      </c>
      <c r="AA235" s="153">
        <v>0.33888888888888891</v>
      </c>
      <c r="AB235" s="154">
        <v>56</v>
      </c>
      <c r="AC235" s="154">
        <v>17.600000000000001</v>
      </c>
      <c r="AD235" s="91"/>
      <c r="AE235" s="94">
        <f>Table3.110[[#This Row],[Gas 8h, ml]]-Table3.110[[#This Row],[Gas 0h, ml]]</f>
        <v>21.5</v>
      </c>
      <c r="AF235" s="94">
        <f>Table3.110[[#This Row],[Gas 24h, ml]]-Table3.110[[#This Row],[V8 Push back, ml]]</f>
        <v>15.5</v>
      </c>
      <c r="AG235" s="94">
        <f>Table3.110[[#This Row],[GP 8h, ml]]-(AVERAGE(AE$221,AE$222,AE$255,AE$256,AE$291,AE$292))*$AG$8</f>
        <v>20.024988739845064</v>
      </c>
      <c r="AH235" s="94">
        <f>Table3.110[[#This Row],[GP 8-24h, ml]]-(AVERAGE(AF$221,AF$222,AF$255,AF$256,AF$291,AF$292))*$AG$8</f>
        <v>13.508734798790837</v>
      </c>
      <c r="AI235" s="94">
        <f>Table3.110[[#This Row],[Net gas 8-24h, ml]]+Table3.110[[#This Row],[Net gas 8h, ml]]</f>
        <v>33.533723538635897</v>
      </c>
      <c r="AJ235" s="94">
        <f>Table3.110[[#This Row],[Net gas 8h, ml]]*Table3.110[[#This Row],[CH4 8h %]]%</f>
        <v>2.7434234573587735</v>
      </c>
      <c r="AK235" s="94">
        <f>Table3.110[[#This Row],[Net gas 8-24h, ml]]*Table3.110[[#This Row],[CH4 24h, %]]%</f>
        <v>2.3775373245871876</v>
      </c>
      <c r="AL235" s="94">
        <f>Table3.110[[#This Row],[CH4 8-24h, ml]]+Table3.110[[#This Row],[CH4 8h, ml]]</f>
        <v>5.1209607819459606</v>
      </c>
      <c r="AM235" s="94">
        <f>(Table3.110[[#This Row],[Net gas 24h, ml]]/Table3.110[[#This Row],[DM Incubated, mg]])*1000</f>
        <v>70.813879993873229</v>
      </c>
      <c r="AN235" s="94">
        <f>'3.2 Digest'!X235</f>
        <v>12.046805707494117</v>
      </c>
      <c r="AO235" s="94">
        <f>Table3.110[[#This Row],[Digested feed, mg]]/Table3.110[[#This Row],[Net gas 24h, ml]]</f>
        <v>1.7011927193562053</v>
      </c>
      <c r="AP235" s="94">
        <f>Table3.110[[#This Row],[CH4 8h, ml]]/Table3.110[[#This Row],[Net gas 8h, ml]]%</f>
        <v>13.699999999999998</v>
      </c>
      <c r="AQ235" s="94">
        <f>Table3.110[[#This Row],[CH4 24h, ml]]/Table3.110[[#This Row],[Net gas 24h, ml]]%</f>
        <v>15.27107711747502</v>
      </c>
      <c r="AR235" s="94">
        <f>Table3.110[[#This Row],[CH4 24h, ml]]/Table3.110[[#This Row],[DM Incubated, mg]]*1000</f>
        <v>10.814042223740595</v>
      </c>
      <c r="AS235" s="94">
        <f>Table3.110[[#This Row],[CH4 24h, ml]]/Table3.110[[#This Row],[Digested feed, mg]]*1000</f>
        <v>89.766884984401784</v>
      </c>
      <c r="AT235" s="94">
        <f>Table3.110[[#This Row],[CH4 24h, ml]]/'3.2 Digest'!AA235</f>
        <v>-0.17184935711010546</v>
      </c>
      <c r="AU235" s="94">
        <f>((Table3.110[[#This Row],[CH4 24h, ml]]/28.9)*16.04)/Table3.110[[#This Row],[DM Incubated, mg]]*1000</f>
        <v>6.0019805283321501</v>
      </c>
      <c r="AV235" s="94">
        <f>((Table3.110[[#This Row],[CH4 24h, ml]]/28.9)*16.04)/Table3.110[[#This Row],[Digested feed, mg]]*1000</f>
        <v>49.822174226636839</v>
      </c>
    </row>
    <row r="236" spans="2:48" s="89" customFormat="1" x14ac:dyDescent="0.35">
      <c r="B236" s="90">
        <f t="shared" si="3"/>
        <v>226</v>
      </c>
      <c r="C236" s="140">
        <v>46076</v>
      </c>
      <c r="D236" s="6" t="s">
        <v>16</v>
      </c>
      <c r="E236" s="6" t="str">
        <f>'[1]1. Information samples'!$F$22</f>
        <v>CIAT-23106</v>
      </c>
      <c r="F236" s="6" t="s">
        <v>19</v>
      </c>
      <c r="G236" s="6" t="s">
        <v>20</v>
      </c>
      <c r="H236" s="6" t="str">
        <f>'[1]1. Information samples'!$I$22</f>
        <v>Dendrolobium triangulare</v>
      </c>
      <c r="I236" s="6" t="s">
        <v>22</v>
      </c>
      <c r="J236" s="129" t="s">
        <v>23</v>
      </c>
      <c r="K236" s="129" t="s">
        <v>24</v>
      </c>
      <c r="L236" s="6" t="str">
        <f>'[1]1. Information samples'!$E$22</f>
        <v>F251734</v>
      </c>
      <c r="M236" s="119">
        <v>27</v>
      </c>
      <c r="N236" s="93">
        <v>69</v>
      </c>
      <c r="O236" s="6">
        <v>3</v>
      </c>
      <c r="P236" s="6">
        <v>2</v>
      </c>
      <c r="Q236" s="6">
        <v>88</v>
      </c>
      <c r="R236" s="98">
        <v>0.50039999999999996</v>
      </c>
      <c r="S236" s="94">
        <f>((Table3.110[[#This Row],[Sample weight, g]]*'2.1. DM'!Q23)/100)*1000</f>
        <v>473.64197901049448</v>
      </c>
      <c r="T236" s="94">
        <f>'3.2 Digest'!W236</f>
        <v>22.241979010494447</v>
      </c>
      <c r="U236" s="117">
        <v>0.32708333333333334</v>
      </c>
      <c r="V236" s="155">
        <v>42</v>
      </c>
      <c r="W236" s="117">
        <v>0.66319444444444442</v>
      </c>
      <c r="X236" s="96">
        <v>65</v>
      </c>
      <c r="Y236" s="96">
        <v>13.4</v>
      </c>
      <c r="Z236" s="155">
        <v>40.5</v>
      </c>
      <c r="AA236" s="117">
        <v>0.33958333333333335</v>
      </c>
      <c r="AB236" s="155">
        <v>56.5</v>
      </c>
      <c r="AC236" s="155">
        <v>17.600000000000001</v>
      </c>
      <c r="AD236" s="96"/>
      <c r="AE236" s="94">
        <f>Table3.110[[#This Row],[Gas 8h, ml]]-Table3.110[[#This Row],[Gas 0h, ml]]</f>
        <v>23</v>
      </c>
      <c r="AF236" s="94">
        <f>Table3.110[[#This Row],[Gas 24h, ml]]-Table3.110[[#This Row],[V8 Push back, ml]]</f>
        <v>16</v>
      </c>
      <c r="AG236" s="94">
        <f>Table3.110[[#This Row],[GP 8h, ml]]-(AVERAGE(AE$221,AE$222,AE$255,AE$256,AE$291,AE$292))*$AG$8</f>
        <v>21.524988739845064</v>
      </c>
      <c r="AH236" s="94">
        <f>Table3.110[[#This Row],[GP 8-24h, ml]]-(AVERAGE(AF$221,AF$222,AF$255,AF$256,AF$291,AF$292))*$AG$8</f>
        <v>14.008734798790837</v>
      </c>
      <c r="AI236" s="94">
        <f>Table3.110[[#This Row],[Net gas 8-24h, ml]]+Table3.110[[#This Row],[Net gas 8h, ml]]</f>
        <v>35.533723538635897</v>
      </c>
      <c r="AJ236" s="94">
        <f>Table3.110[[#This Row],[Net gas 8h, ml]]*Table3.110[[#This Row],[CH4 8h %]]%</f>
        <v>2.8843484911392387</v>
      </c>
      <c r="AK236" s="94">
        <f>Table3.110[[#This Row],[Net gas 8-24h, ml]]*Table3.110[[#This Row],[CH4 24h, %]]%</f>
        <v>2.4655373245871877</v>
      </c>
      <c r="AL236" s="94">
        <f>Table3.110[[#This Row],[CH4 8-24h, ml]]+Table3.110[[#This Row],[CH4 8h, ml]]</f>
        <v>5.3498858157264264</v>
      </c>
      <c r="AM236" s="94">
        <f>(Table3.110[[#This Row],[Net gas 24h, ml]]/Table3.110[[#This Row],[DM Incubated, mg]])*1000</f>
        <v>75.022327228829894</v>
      </c>
      <c r="AN236" s="94">
        <f>'3.2 Digest'!X236</f>
        <v>4.6959475714042718</v>
      </c>
      <c r="AO236" s="94">
        <f>Table3.110[[#This Row],[Digested feed, mg]]/Table3.110[[#This Row],[Net gas 24h, ml]]</f>
        <v>0.62594000277822537</v>
      </c>
      <c r="AP236" s="94">
        <f>Table3.110[[#This Row],[CH4 8h, ml]]/Table3.110[[#This Row],[Net gas 8h, ml]]%</f>
        <v>13.4</v>
      </c>
      <c r="AQ236" s="94">
        <f>Table3.110[[#This Row],[CH4 24h, ml]]/Table3.110[[#This Row],[Net gas 24h, ml]]%</f>
        <v>15.05579850056942</v>
      </c>
      <c r="AR236" s="94">
        <f>Table3.110[[#This Row],[CH4 24h, ml]]/Table3.110[[#This Row],[DM Incubated, mg]]*1000</f>
        <v>11.295210418010454</v>
      </c>
      <c r="AS236" s="94">
        <f>Table3.110[[#This Row],[CH4 24h, ml]]/Table3.110[[#This Row],[Digested feed, mg]]*1000</f>
        <v>240.53101629140943</v>
      </c>
      <c r="AT236" s="94">
        <f>Table3.110[[#This Row],[CH4 24h, ml]]/'3.2 Digest'!AA236</f>
        <v>-0.13161712108365076</v>
      </c>
      <c r="AU236" s="94">
        <f>((Table3.110[[#This Row],[CH4 24h, ml]]/28.9)*16.04)/Table3.110[[#This Row],[DM Incubated, mg]]*1000</f>
        <v>6.269037200861165</v>
      </c>
      <c r="AV236" s="94">
        <f>((Table3.110[[#This Row],[CH4 24h, ml]]/28.9)*16.04)/Table3.110[[#This Row],[Digested feed, mg]]*1000</f>
        <v>133.49887547800023</v>
      </c>
    </row>
    <row r="237" spans="2:48" s="89" customFormat="1" x14ac:dyDescent="0.35">
      <c r="B237" s="90">
        <f t="shared" si="3"/>
        <v>227</v>
      </c>
      <c r="C237" s="140">
        <v>46076</v>
      </c>
      <c r="D237" s="6" t="s">
        <v>16</v>
      </c>
      <c r="E237" s="6" t="str">
        <f>'[1]1. Information samples'!$F$23</f>
        <v>CIAT-23107</v>
      </c>
      <c r="F237" s="6" t="s">
        <v>19</v>
      </c>
      <c r="G237" s="6" t="s">
        <v>20</v>
      </c>
      <c r="H237" s="6" t="str">
        <f>'[1]1. Information samples'!$I$23</f>
        <v>Dendrolobium triangulare</v>
      </c>
      <c r="I237" s="6" t="s">
        <v>22</v>
      </c>
      <c r="J237" s="129" t="s">
        <v>23</v>
      </c>
      <c r="K237" s="129" t="s">
        <v>24</v>
      </c>
      <c r="L237" s="6" t="str">
        <f>'[1]1. Information samples'!$E$23</f>
        <v>F251735</v>
      </c>
      <c r="M237" s="119">
        <v>27</v>
      </c>
      <c r="N237" s="93">
        <v>69</v>
      </c>
      <c r="O237" s="6">
        <v>3</v>
      </c>
      <c r="P237" s="129">
        <v>1</v>
      </c>
      <c r="Q237" s="6">
        <v>89</v>
      </c>
      <c r="R237" s="98">
        <v>0.50019999999999998</v>
      </c>
      <c r="S237" s="94">
        <f>((Table3.110[[#This Row],[Sample weight, g]]*'2.1. DM'!Q25)/100)*1000</f>
        <v>475.12501224445236</v>
      </c>
      <c r="T237" s="94">
        <f>'3.2 Digest'!W237</f>
        <v>80.825012244452353</v>
      </c>
      <c r="U237" s="117">
        <v>0.32708333333333334</v>
      </c>
      <c r="V237" s="155">
        <v>42.5</v>
      </c>
      <c r="W237" s="117">
        <v>0.66319444444444442</v>
      </c>
      <c r="X237" s="96">
        <v>62.5</v>
      </c>
      <c r="Y237" s="96">
        <v>13.6</v>
      </c>
      <c r="Z237" s="155">
        <v>41.5</v>
      </c>
      <c r="AA237" s="117">
        <v>0.33958333333333335</v>
      </c>
      <c r="AB237" s="155">
        <v>59.5</v>
      </c>
      <c r="AC237" s="155">
        <v>17.8</v>
      </c>
      <c r="AD237" s="96"/>
      <c r="AE237" s="94">
        <f>Table3.110[[#This Row],[Gas 8h, ml]]-Table3.110[[#This Row],[Gas 0h, ml]]</f>
        <v>20</v>
      </c>
      <c r="AF237" s="94">
        <f>Table3.110[[#This Row],[Gas 24h, ml]]-Table3.110[[#This Row],[V8 Push back, ml]]</f>
        <v>18</v>
      </c>
      <c r="AG237" s="94">
        <f>Table3.110[[#This Row],[GP 8h, ml]]-(AVERAGE(AE$221,AE$222,AE$255,AE$256,AE$291,AE$292))*$AG$8</f>
        <v>18.524988739845064</v>
      </c>
      <c r="AH237" s="94">
        <f>Table3.110[[#This Row],[GP 8-24h, ml]]-(AVERAGE(AF$221,AF$222,AF$255,AF$256,AF$291,AF$292))*$AG$8</f>
        <v>16.008734798790837</v>
      </c>
      <c r="AI237" s="94">
        <f>Table3.110[[#This Row],[Net gas 8-24h, ml]]+Table3.110[[#This Row],[Net gas 8h, ml]]</f>
        <v>34.533723538635897</v>
      </c>
      <c r="AJ237" s="94">
        <f>Table3.110[[#This Row],[Net gas 8h, ml]]*Table3.110[[#This Row],[CH4 8h %]]%</f>
        <v>2.5193984686189288</v>
      </c>
      <c r="AK237" s="94">
        <f>Table3.110[[#This Row],[Net gas 8-24h, ml]]*Table3.110[[#This Row],[CH4 24h, %]]%</f>
        <v>2.8495547941847694</v>
      </c>
      <c r="AL237" s="94">
        <f>Table3.110[[#This Row],[CH4 8-24h, ml]]+Table3.110[[#This Row],[CH4 8h, ml]]</f>
        <v>5.3689532628036982</v>
      </c>
      <c r="AM237" s="94">
        <f>(Table3.110[[#This Row],[Net gas 24h, ml]]/Table3.110[[#This Row],[DM Incubated, mg]])*1000</f>
        <v>72.683446774358103</v>
      </c>
      <c r="AN237" s="94">
        <f>'3.2 Digest'!X237</f>
        <v>17.011314951120234</v>
      </c>
      <c r="AO237" s="94">
        <f>Table3.110[[#This Row],[Digested feed, mg]]/Table3.110[[#This Row],[Net gas 24h, ml]]</f>
        <v>2.3404661867413847</v>
      </c>
      <c r="AP237" s="94">
        <f>Table3.110[[#This Row],[CH4 8h, ml]]/Table3.110[[#This Row],[Net gas 8h, ml]]%</f>
        <v>13.600000000000001</v>
      </c>
      <c r="AQ237" s="94">
        <f>Table3.110[[#This Row],[CH4 24h, ml]]/Table3.110[[#This Row],[Net gas 24h, ml]]%</f>
        <v>15.546986286598898</v>
      </c>
      <c r="AR237" s="94">
        <f>Table3.110[[#This Row],[CH4 24h, ml]]/Table3.110[[#This Row],[DM Incubated, mg]]*1000</f>
        <v>11.300085502636863</v>
      </c>
      <c r="AS237" s="94">
        <f>Table3.110[[#This Row],[CH4 24h, ml]]/Table3.110[[#This Row],[Digested feed, mg]]*1000</f>
        <v>66.426878434184346</v>
      </c>
      <c r="AT237" s="94">
        <f>Table3.110[[#This Row],[CH4 24h, ml]]/'3.2 Digest'!AA237</f>
        <v>-0.22881426805267185</v>
      </c>
      <c r="AU237" s="94">
        <f>((Table3.110[[#This Row],[CH4 24h, ml]]/28.9)*16.04)/Table3.110[[#This Row],[DM Incubated, mg]]*1000</f>
        <v>6.2717429571728474</v>
      </c>
      <c r="AV237" s="94">
        <f>((Table3.110[[#This Row],[CH4 24h, ml]]/28.9)*16.04)/Table3.110[[#This Row],[Digested feed, mg]]*1000</f>
        <v>36.868066784924466</v>
      </c>
    </row>
    <row r="238" spans="2:48" s="89" customFormat="1" x14ac:dyDescent="0.35">
      <c r="B238" s="90">
        <f t="shared" si="3"/>
        <v>228</v>
      </c>
      <c r="C238" s="140">
        <v>46076</v>
      </c>
      <c r="D238" s="6" t="s">
        <v>16</v>
      </c>
      <c r="E238" s="6" t="str">
        <f>'[1]1. Information samples'!$F$23</f>
        <v>CIAT-23107</v>
      </c>
      <c r="F238" s="6" t="s">
        <v>19</v>
      </c>
      <c r="G238" s="6" t="s">
        <v>20</v>
      </c>
      <c r="H238" s="6" t="str">
        <f>'[1]1. Information samples'!$I$23</f>
        <v>Dendrolobium triangulare</v>
      </c>
      <c r="I238" s="6" t="s">
        <v>22</v>
      </c>
      <c r="J238" s="129" t="s">
        <v>23</v>
      </c>
      <c r="K238" s="129" t="s">
        <v>24</v>
      </c>
      <c r="L238" s="6" t="str">
        <f>'[1]1. Information samples'!$E$23</f>
        <v>F251735</v>
      </c>
      <c r="M238" s="119">
        <v>27</v>
      </c>
      <c r="N238" s="93">
        <v>69</v>
      </c>
      <c r="O238" s="6">
        <v>3</v>
      </c>
      <c r="P238" s="129">
        <v>2</v>
      </c>
      <c r="Q238" s="6">
        <v>90</v>
      </c>
      <c r="R238" s="98">
        <v>0.5</v>
      </c>
      <c r="S238" s="94">
        <f>((Table3.110[[#This Row],[Sample weight, g]]*'2.1. DM'!Q25)/100)*1000</f>
        <v>474.9350382291608</v>
      </c>
      <c r="T238" s="94">
        <f>'3.2 Digest'!W238</f>
        <v>0</v>
      </c>
      <c r="U238" s="153">
        <v>0.32777777777777778</v>
      </c>
      <c r="V238" s="154">
        <v>42</v>
      </c>
      <c r="W238" s="153">
        <v>0.66388888888888886</v>
      </c>
      <c r="X238" s="91">
        <v>62</v>
      </c>
      <c r="Y238" s="91">
        <v>13.2</v>
      </c>
      <c r="Z238" s="154">
        <v>42</v>
      </c>
      <c r="AA238" s="153">
        <v>0.33958333333333335</v>
      </c>
      <c r="AB238" s="154">
        <v>58.5</v>
      </c>
      <c r="AC238" s="154">
        <v>17.8</v>
      </c>
      <c r="AD238" s="91"/>
      <c r="AE238" s="94">
        <f>Table3.110[[#This Row],[Gas 8h, ml]]-Table3.110[[#This Row],[Gas 0h, ml]]</f>
        <v>20</v>
      </c>
      <c r="AF238" s="94">
        <f>Table3.110[[#This Row],[Gas 24h, ml]]-Table3.110[[#This Row],[V8 Push back, ml]]</f>
        <v>16.5</v>
      </c>
      <c r="AG238" s="94"/>
      <c r="AH238" s="94"/>
      <c r="AI238" s="94"/>
      <c r="AJ238" s="94"/>
      <c r="AK238" s="94"/>
      <c r="AL238" s="94"/>
      <c r="AM238" s="94"/>
      <c r="AN238" s="94"/>
      <c r="AO238" s="94"/>
      <c r="AP238" s="94"/>
      <c r="AQ238" s="94"/>
      <c r="AR238" s="94"/>
      <c r="AS238" s="94"/>
      <c r="AT238" s="94"/>
      <c r="AU238" s="94"/>
      <c r="AV238" s="94"/>
    </row>
    <row r="239" spans="2:48" s="89" customFormat="1" x14ac:dyDescent="0.35">
      <c r="B239" s="90">
        <f t="shared" si="3"/>
        <v>229</v>
      </c>
      <c r="C239" s="140">
        <v>46076</v>
      </c>
      <c r="D239" s="6" t="s">
        <v>16</v>
      </c>
      <c r="E239" s="6" t="str">
        <f>'[1]1. Information samples'!$F$24</f>
        <v>CIAT-23108</v>
      </c>
      <c r="F239" s="6" t="s">
        <v>19</v>
      </c>
      <c r="G239" s="6" t="s">
        <v>20</v>
      </c>
      <c r="H239" s="6" t="str">
        <f>'[1]1. Information samples'!$I$24</f>
        <v>Dendrolobium triangulare</v>
      </c>
      <c r="I239" s="6" t="s">
        <v>22</v>
      </c>
      <c r="J239" s="129" t="s">
        <v>23</v>
      </c>
      <c r="K239" s="129" t="s">
        <v>24</v>
      </c>
      <c r="L239" s="6" t="str">
        <f>'[1]1. Information samples'!$E$24</f>
        <v>F251736</v>
      </c>
      <c r="M239" s="119">
        <v>27</v>
      </c>
      <c r="N239" s="93">
        <v>69</v>
      </c>
      <c r="O239" s="6">
        <v>3</v>
      </c>
      <c r="P239" s="6">
        <v>1</v>
      </c>
      <c r="Q239" s="6">
        <v>91</v>
      </c>
      <c r="R239" s="98">
        <v>0.50009999999999999</v>
      </c>
      <c r="S239" s="94">
        <f>((Table3.110[[#This Row],[Sample weight, g]]*'2.1. DM'!Q27)/100)*1000</f>
        <v>472.8109134519292</v>
      </c>
      <c r="T239" s="94">
        <f>'3.2 Digest'!W239</f>
        <v>60.510913451929184</v>
      </c>
      <c r="U239" s="153">
        <v>0.32777777777777778</v>
      </c>
      <c r="V239" s="154">
        <v>41.5</v>
      </c>
      <c r="W239" s="153">
        <v>0.66388888888888886</v>
      </c>
      <c r="X239" s="91">
        <v>62.5</v>
      </c>
      <c r="Y239" s="91">
        <v>13.6</v>
      </c>
      <c r="Z239" s="154">
        <v>41</v>
      </c>
      <c r="AA239" s="153">
        <v>0.34027777777777779</v>
      </c>
      <c r="AB239" s="154">
        <v>60</v>
      </c>
      <c r="AC239" s="154">
        <v>17.8</v>
      </c>
      <c r="AD239" s="91"/>
      <c r="AE239" s="94">
        <f>Table3.110[[#This Row],[Gas 8h, ml]]-Table3.110[[#This Row],[Gas 0h, ml]]</f>
        <v>21</v>
      </c>
      <c r="AF239" s="94">
        <f>Table3.110[[#This Row],[Gas 24h, ml]]-Table3.110[[#This Row],[V8 Push back, ml]]</f>
        <v>19</v>
      </c>
      <c r="AG239" s="94">
        <f>Table3.110[[#This Row],[GP 8h, ml]]-(AVERAGE(AE$221,AE$222,AE$255,AE$256,AE$291,AE$292))*$AG$8</f>
        <v>19.524988739845064</v>
      </c>
      <c r="AH239" s="94">
        <f>Table3.110[[#This Row],[GP 8-24h, ml]]-(AVERAGE(AF$221,AF$222,AF$255,AF$256,AF$291,AF$292))*$AG$8</f>
        <v>17.008734798790837</v>
      </c>
      <c r="AI239" s="94">
        <f>Table3.110[[#This Row],[Net gas 8-24h, ml]]+Table3.110[[#This Row],[Net gas 8h, ml]]</f>
        <v>36.533723538635897</v>
      </c>
      <c r="AJ239" s="94">
        <f>Table3.110[[#This Row],[Net gas 8h, ml]]*Table3.110[[#This Row],[CH4 8h %]]%</f>
        <v>2.6553984686189289</v>
      </c>
      <c r="AK239" s="94">
        <f>Table3.110[[#This Row],[Net gas 8-24h, ml]]*Table3.110[[#This Row],[CH4 24h, %]]%</f>
        <v>3.0275547941847694</v>
      </c>
      <c r="AL239" s="94">
        <f>Table3.110[[#This Row],[CH4 8-24h, ml]]+Table3.110[[#This Row],[CH4 8h, ml]]</f>
        <v>5.6829532628036983</v>
      </c>
      <c r="AM239" s="94">
        <f>(Table3.110[[#This Row],[Net gas 24h, ml]]/Table3.110[[#This Row],[DM Incubated, mg]])*1000</f>
        <v>77.269205297965883</v>
      </c>
      <c r="AN239" s="94">
        <f>'3.2 Digest'!X239</f>
        <v>12.798121136872053</v>
      </c>
      <c r="AO239" s="94">
        <f>Table3.110[[#This Row],[Digested feed, mg]]/Table3.110[[#This Row],[Net gas 24h, ml]]</f>
        <v>1.6563029330403849</v>
      </c>
      <c r="AP239" s="94">
        <f>Table3.110[[#This Row],[CH4 8h, ml]]/Table3.110[[#This Row],[Net gas 8h, ml]]%</f>
        <v>13.600000000000001</v>
      </c>
      <c r="AQ239" s="94">
        <f>Table3.110[[#This Row],[CH4 24h, ml]]/Table3.110[[#This Row],[Net gas 24h, ml]]%</f>
        <v>15.555362860272767</v>
      </c>
      <c r="AR239" s="94">
        <f>Table3.110[[#This Row],[CH4 24h, ml]]/Table3.110[[#This Row],[DM Incubated, mg]]*1000</f>
        <v>12.019505263347703</v>
      </c>
      <c r="AS239" s="94">
        <f>Table3.110[[#This Row],[CH4 24h, ml]]/Table3.110[[#This Row],[Digested feed, mg]]*1000</f>
        <v>93.916170465982546</v>
      </c>
      <c r="AT239" s="94">
        <f>Table3.110[[#This Row],[CH4 24h, ml]]/'3.2 Digest'!AA239</f>
        <v>-0.22101884357147455</v>
      </c>
      <c r="AU239" s="94">
        <f>((Table3.110[[#This Row],[CH4 24h, ml]]/28.9)*16.04)/Table3.110[[#This Row],[DM Incubated, mg]]*1000</f>
        <v>6.6710333710760263</v>
      </c>
      <c r="AV239" s="94">
        <f>((Table3.110[[#This Row],[CH4 24h, ml]]/28.9)*16.04)/Table3.110[[#This Row],[Digested feed, mg]]*1000</f>
        <v>52.125099455860216</v>
      </c>
    </row>
    <row r="240" spans="2:48" s="89" customFormat="1" x14ac:dyDescent="0.35">
      <c r="B240" s="90">
        <f t="shared" si="3"/>
        <v>230</v>
      </c>
      <c r="C240" s="140">
        <v>46076</v>
      </c>
      <c r="D240" s="6" t="s">
        <v>16</v>
      </c>
      <c r="E240" s="6" t="str">
        <f>'[1]1. Information samples'!$F$24</f>
        <v>CIAT-23108</v>
      </c>
      <c r="F240" s="6" t="s">
        <v>19</v>
      </c>
      <c r="G240" s="6" t="s">
        <v>20</v>
      </c>
      <c r="H240" s="6" t="str">
        <f>'[1]1. Information samples'!$I$24</f>
        <v>Dendrolobium triangulare</v>
      </c>
      <c r="I240" s="6" t="s">
        <v>22</v>
      </c>
      <c r="J240" s="129" t="s">
        <v>23</v>
      </c>
      <c r="K240" s="129" t="s">
        <v>24</v>
      </c>
      <c r="L240" s="6" t="str">
        <f>'[1]1. Information samples'!$E$24</f>
        <v>F251736</v>
      </c>
      <c r="M240" s="119">
        <v>27</v>
      </c>
      <c r="N240" s="93">
        <v>69</v>
      </c>
      <c r="O240" s="6">
        <v>3</v>
      </c>
      <c r="P240" s="129">
        <v>2</v>
      </c>
      <c r="Q240" s="6">
        <v>92</v>
      </c>
      <c r="R240" s="98">
        <v>0.50049999999999994</v>
      </c>
      <c r="S240" s="94">
        <f>((Table3.110[[#This Row],[Sample weight, g]]*'2.1. DM'!Q27)/100)*1000</f>
        <v>473.18908654807149</v>
      </c>
      <c r="T240" s="94">
        <f>'3.2 Digest'!W240</f>
        <v>77.089086548071464</v>
      </c>
      <c r="U240" s="117">
        <v>0.32777777777777778</v>
      </c>
      <c r="V240" s="155">
        <v>42.5</v>
      </c>
      <c r="W240" s="117">
        <v>0.6645833333333333</v>
      </c>
      <c r="X240" s="96">
        <v>64</v>
      </c>
      <c r="Y240" s="96">
        <v>13.2</v>
      </c>
      <c r="Z240" s="155">
        <v>40.5</v>
      </c>
      <c r="AA240" s="117">
        <v>0.34027777777777779</v>
      </c>
      <c r="AB240" s="155">
        <v>58</v>
      </c>
      <c r="AC240" s="155">
        <v>18</v>
      </c>
      <c r="AD240" s="96"/>
      <c r="AE240" s="94">
        <f>Table3.110[[#This Row],[Gas 8h, ml]]-Table3.110[[#This Row],[Gas 0h, ml]]</f>
        <v>21.5</v>
      </c>
      <c r="AF240" s="94">
        <f>Table3.110[[#This Row],[Gas 24h, ml]]-Table3.110[[#This Row],[V8 Push back, ml]]</f>
        <v>17.5</v>
      </c>
      <c r="AG240" s="94">
        <f>Table3.110[[#This Row],[GP 8h, ml]]-(AVERAGE(AE$221,AE$222,AE$255,AE$256,AE$291,AE$292))*$AG$8</f>
        <v>20.024988739845064</v>
      </c>
      <c r="AH240" s="94">
        <f>Table3.110[[#This Row],[GP 8-24h, ml]]-(AVERAGE(AF$221,AF$222,AF$255,AF$256,AF$291,AF$292))*$AG$8</f>
        <v>15.508734798790837</v>
      </c>
      <c r="AI240" s="94">
        <f>Table3.110[[#This Row],[Net gas 8-24h, ml]]+Table3.110[[#This Row],[Net gas 8h, ml]]</f>
        <v>35.533723538635897</v>
      </c>
      <c r="AJ240" s="94">
        <f>Table3.110[[#This Row],[Net gas 8h, ml]]*Table3.110[[#This Row],[CH4 8h %]]%</f>
        <v>2.6432985136595484</v>
      </c>
      <c r="AK240" s="94">
        <f>Table3.110[[#This Row],[Net gas 8-24h, ml]]*Table3.110[[#This Row],[CH4 24h, %]]%</f>
        <v>2.7915722637823506</v>
      </c>
      <c r="AL240" s="94">
        <f>Table3.110[[#This Row],[CH4 8-24h, ml]]+Table3.110[[#This Row],[CH4 8h, ml]]</f>
        <v>5.4348707774418994</v>
      </c>
      <c r="AM240" s="94">
        <f>(Table3.110[[#This Row],[Net gas 24h, ml]]/Table3.110[[#This Row],[DM Incubated, mg]])*1000</f>
        <v>75.094131603616376</v>
      </c>
      <c r="AN240" s="94">
        <f>'3.2 Digest'!X240</f>
        <v>16.291391483780544</v>
      </c>
      <c r="AO240" s="94">
        <f>Table3.110[[#This Row],[Digested feed, mg]]/Table3.110[[#This Row],[Net gas 24h, ml]]</f>
        <v>2.1694626645094575</v>
      </c>
      <c r="AP240" s="94">
        <f>Table3.110[[#This Row],[CH4 8h, ml]]/Table3.110[[#This Row],[Net gas 8h, ml]]%</f>
        <v>13.2</v>
      </c>
      <c r="AQ240" s="94">
        <f>Table3.110[[#This Row],[CH4 24h, ml]]/Table3.110[[#This Row],[Net gas 24h, ml]]%</f>
        <v>15.294965560061703</v>
      </c>
      <c r="AR240" s="94">
        <f>Table3.110[[#This Row],[CH4 24h, ml]]/Table3.110[[#This Row],[DM Incubated, mg]]*1000</f>
        <v>11.485621566400535</v>
      </c>
      <c r="AS240" s="94">
        <f>Table3.110[[#This Row],[CH4 24h, ml]]/Table3.110[[#This Row],[Digested feed, mg]]*1000</f>
        <v>70.501169760946709</v>
      </c>
      <c r="AT240" s="94">
        <f>Table3.110[[#This Row],[CH4 24h, ml]]/'3.2 Digest'!AA240</f>
        <v>-0.26285207320677362</v>
      </c>
      <c r="AU240" s="94">
        <f>((Table3.110[[#This Row],[CH4 24h, ml]]/28.9)*16.04)/Table3.110[[#This Row],[DM Incubated, mg]]*1000</f>
        <v>6.3747186825281865</v>
      </c>
      <c r="AV240" s="94">
        <f>((Table3.110[[#This Row],[CH4 24h, ml]]/28.9)*16.04)/Table3.110[[#This Row],[Digested feed, mg]]*1000</f>
        <v>39.129368960746888</v>
      </c>
    </row>
    <row r="241" spans="2:49" s="89" customFormat="1" x14ac:dyDescent="0.35">
      <c r="B241" s="90">
        <f t="shared" si="3"/>
        <v>231</v>
      </c>
      <c r="C241" s="140">
        <v>46076</v>
      </c>
      <c r="D241" s="6" t="s">
        <v>16</v>
      </c>
      <c r="E241" s="6" t="str">
        <f>'[1]1. Information samples'!$F$25</f>
        <v>CIAT-23412</v>
      </c>
      <c r="F241" s="6" t="s">
        <v>19</v>
      </c>
      <c r="G241" s="6" t="s">
        <v>20</v>
      </c>
      <c r="H241" s="6" t="str">
        <f>'[1]1. Information samples'!$I$25</f>
        <v>Dendrolobium triangulare</v>
      </c>
      <c r="I241" s="6" t="s">
        <v>22</v>
      </c>
      <c r="J241" s="129" t="s">
        <v>23</v>
      </c>
      <c r="K241" s="129" t="s">
        <v>24</v>
      </c>
      <c r="L241" s="6" t="str">
        <f>'[1]1. Information samples'!$E$25</f>
        <v>F251737</v>
      </c>
      <c r="M241" s="119">
        <v>27</v>
      </c>
      <c r="N241" s="93">
        <v>69</v>
      </c>
      <c r="O241" s="6">
        <v>3</v>
      </c>
      <c r="P241" s="6">
        <v>1</v>
      </c>
      <c r="Q241" s="6">
        <v>93</v>
      </c>
      <c r="R241" s="98">
        <v>0.50009999999999999</v>
      </c>
      <c r="S241" s="94">
        <f>((Table3.110[[#This Row],[Sample weight, g]]*'2.1. DM'!Q29)/100)*1000</f>
        <v>471.03241097478849</v>
      </c>
      <c r="T241" s="94">
        <f>'3.2 Digest'!W241</f>
        <v>84.332410974788445</v>
      </c>
      <c r="U241" s="117">
        <v>0.32777777777777778</v>
      </c>
      <c r="V241" s="155">
        <v>41.5</v>
      </c>
      <c r="W241" s="117">
        <v>0.6645833333333333</v>
      </c>
      <c r="X241" s="96">
        <v>65.5</v>
      </c>
      <c r="Y241" s="96">
        <v>13.6</v>
      </c>
      <c r="Z241" s="155">
        <v>40.5</v>
      </c>
      <c r="AA241" s="117">
        <v>0.34097222222222223</v>
      </c>
      <c r="AB241" s="155">
        <v>56.5</v>
      </c>
      <c r="AC241" s="155">
        <v>17.399999999999999</v>
      </c>
      <c r="AD241" s="96"/>
      <c r="AE241" s="94">
        <f>Table3.110[[#This Row],[Gas 8h, ml]]-Table3.110[[#This Row],[Gas 0h, ml]]</f>
        <v>24</v>
      </c>
      <c r="AF241" s="94">
        <f>Table3.110[[#This Row],[Gas 24h, ml]]-Table3.110[[#This Row],[V8 Push back, ml]]</f>
        <v>16</v>
      </c>
      <c r="AG241" s="94">
        <f>Table3.110[[#This Row],[GP 8h, ml]]-(AVERAGE(AE$221,AE$222,AE$255,AE$256,AE$291,AE$292))*$AG$8</f>
        <v>22.524988739845064</v>
      </c>
      <c r="AH241" s="94">
        <f>Table3.110[[#This Row],[GP 8-24h, ml]]-(AVERAGE(AF$221,AF$222,AF$255,AF$256,AF$291,AF$292))*$AG$8</f>
        <v>14.008734798790837</v>
      </c>
      <c r="AI241" s="94">
        <f>Table3.110[[#This Row],[Net gas 8-24h, ml]]+Table3.110[[#This Row],[Net gas 8h, ml]]</f>
        <v>36.533723538635897</v>
      </c>
      <c r="AJ241" s="94">
        <f>Table3.110[[#This Row],[Net gas 8h, ml]]*Table3.110[[#This Row],[CH4 8h %]]%</f>
        <v>3.0633984686189288</v>
      </c>
      <c r="AK241" s="94">
        <f>Table3.110[[#This Row],[Net gas 8-24h, ml]]*Table3.110[[#This Row],[CH4 24h, %]]%</f>
        <v>2.4375198549896053</v>
      </c>
      <c r="AL241" s="94">
        <f>Table3.110[[#This Row],[CH4 8-24h, ml]]+Table3.110[[#This Row],[CH4 8h, ml]]</f>
        <v>5.5009183236085342</v>
      </c>
      <c r="AM241" s="94">
        <f>(Table3.110[[#This Row],[Net gas 24h, ml]]/Table3.110[[#This Row],[DM Incubated, mg]])*1000</f>
        <v>77.560954803577886</v>
      </c>
      <c r="AN241" s="94">
        <f>'3.2 Digest'!X241</f>
        <v>17.903738471045944</v>
      </c>
      <c r="AO241" s="94">
        <f>Table3.110[[#This Row],[Digested feed, mg]]/Table3.110[[#This Row],[Net gas 24h, ml]]</f>
        <v>2.3083442585753269</v>
      </c>
      <c r="AP241" s="94">
        <f>Table3.110[[#This Row],[CH4 8h, ml]]/Table3.110[[#This Row],[Net gas 8h, ml]]%</f>
        <v>13.6</v>
      </c>
      <c r="AQ241" s="94">
        <f>Table3.110[[#This Row],[CH4 24h, ml]]/Table3.110[[#This Row],[Net gas 24h, ml]]%</f>
        <v>15.057097363183058</v>
      </c>
      <c r="AR241" s="94">
        <f>Table3.110[[#This Row],[CH4 24h, ml]]/Table3.110[[#This Row],[DM Incubated, mg]]*1000</f>
        <v>11.67842848058913</v>
      </c>
      <c r="AS241" s="94">
        <f>Table3.110[[#This Row],[CH4 24h, ml]]/Table3.110[[#This Row],[Digested feed, mg]]*1000</f>
        <v>65.228993930377001</v>
      </c>
      <c r="AT241" s="94">
        <f>Table3.110[[#This Row],[CH4 24h, ml]]/'3.2 Digest'!AA241</f>
        <v>-0.17124466410219483</v>
      </c>
      <c r="AU241" s="94">
        <f>((Table3.110[[#This Row],[CH4 24h, ml]]/28.9)*16.04)/Table3.110[[#This Row],[DM Incubated, mg]]*1000</f>
        <v>6.4817298556626186</v>
      </c>
      <c r="AV241" s="94">
        <f>((Table3.110[[#This Row],[CH4 24h, ml]]/28.9)*16.04)/Table3.110[[#This Row],[Digested feed, mg]]*1000</f>
        <v>36.203220160665985</v>
      </c>
    </row>
    <row r="242" spans="2:49" s="89" customFormat="1" x14ac:dyDescent="0.35">
      <c r="B242" s="90">
        <f t="shared" si="3"/>
        <v>232</v>
      </c>
      <c r="C242" s="140">
        <v>46076</v>
      </c>
      <c r="D242" s="6" t="s">
        <v>16</v>
      </c>
      <c r="E242" s="6" t="str">
        <f>'[1]1. Information samples'!$F$25</f>
        <v>CIAT-23412</v>
      </c>
      <c r="F242" s="6" t="s">
        <v>19</v>
      </c>
      <c r="G242" s="6" t="s">
        <v>20</v>
      </c>
      <c r="H242" s="6" t="str">
        <f>'[1]1. Information samples'!$I$25</f>
        <v>Dendrolobium triangulare</v>
      </c>
      <c r="I242" s="6" t="s">
        <v>22</v>
      </c>
      <c r="J242" s="129" t="s">
        <v>23</v>
      </c>
      <c r="K242" s="129" t="s">
        <v>24</v>
      </c>
      <c r="L242" s="6" t="str">
        <f>'[1]1. Information samples'!$E$25</f>
        <v>F251737</v>
      </c>
      <c r="M242" s="119">
        <v>27</v>
      </c>
      <c r="N242" s="93">
        <v>69</v>
      </c>
      <c r="O242" s="6">
        <v>3</v>
      </c>
      <c r="P242" s="129">
        <v>2</v>
      </c>
      <c r="Q242" s="6">
        <v>94</v>
      </c>
      <c r="R242" s="98">
        <v>0.50019999999999998</v>
      </c>
      <c r="S242" s="94">
        <f>((Table3.110[[#This Row],[Sample weight, g]]*'2.1. DM'!Q29)/100)*1000</f>
        <v>471.12659861945457</v>
      </c>
      <c r="T242" s="94">
        <f>'3.2 Digest'!W242</f>
        <v>101.82659861945461</v>
      </c>
      <c r="U242" s="153">
        <v>0.32777777777777778</v>
      </c>
      <c r="V242" s="154">
        <v>41.5</v>
      </c>
      <c r="W242" s="153">
        <v>0.66527777777777775</v>
      </c>
      <c r="X242" s="91">
        <v>65.5</v>
      </c>
      <c r="Y242" s="91">
        <v>13.6</v>
      </c>
      <c r="Z242" s="154">
        <v>40.5</v>
      </c>
      <c r="AA242" s="153">
        <v>0.34166666666666667</v>
      </c>
      <c r="AB242" s="154">
        <v>56</v>
      </c>
      <c r="AC242" s="154">
        <v>17.2</v>
      </c>
      <c r="AD242" s="91"/>
      <c r="AE242" s="94">
        <f>Table3.110[[#This Row],[Gas 8h, ml]]-Table3.110[[#This Row],[Gas 0h, ml]]</f>
        <v>24</v>
      </c>
      <c r="AF242" s="94">
        <f>Table3.110[[#This Row],[Gas 24h, ml]]-Table3.110[[#This Row],[V8 Push back, ml]]</f>
        <v>15.5</v>
      </c>
      <c r="AG242" s="94">
        <f>Table3.110[[#This Row],[GP 8h, ml]]-(AVERAGE(AE$221,AE$222,AE$255,AE$256,AE$291,AE$292))*$AG$8</f>
        <v>22.524988739845064</v>
      </c>
      <c r="AH242" s="94">
        <f>Table3.110[[#This Row],[GP 8-24h, ml]]-(AVERAGE(AF$221,AF$222,AF$255,AF$256,AF$291,AF$292))*$AG$8</f>
        <v>13.508734798790837</v>
      </c>
      <c r="AI242" s="94">
        <f>Table3.110[[#This Row],[Net gas 8-24h, ml]]+Table3.110[[#This Row],[Net gas 8h, ml]]</f>
        <v>36.033723538635897</v>
      </c>
      <c r="AJ242" s="94">
        <f>Table3.110[[#This Row],[Net gas 8h, ml]]*Table3.110[[#This Row],[CH4 8h %]]%</f>
        <v>3.0633984686189288</v>
      </c>
      <c r="AK242" s="94">
        <f>Table3.110[[#This Row],[Net gas 8-24h, ml]]*Table3.110[[#This Row],[CH4 24h, %]]%</f>
        <v>2.3235023853920236</v>
      </c>
      <c r="AL242" s="94">
        <f>Table3.110[[#This Row],[CH4 8-24h, ml]]+Table3.110[[#This Row],[CH4 8h, ml]]</f>
        <v>5.3869008540109524</v>
      </c>
      <c r="AM242" s="94">
        <f>(Table3.110[[#This Row],[Net gas 24h, ml]]/Table3.110[[#This Row],[DM Incubated, mg]])*1000</f>
        <v>76.484162949461478</v>
      </c>
      <c r="AN242" s="94">
        <f>'3.2 Digest'!X242</f>
        <v>21.613425970394747</v>
      </c>
      <c r="AO242" s="94">
        <f>Table3.110[[#This Row],[Digested feed, mg]]/Table3.110[[#This Row],[Net gas 24h, ml]]</f>
        <v>2.8258694528272832</v>
      </c>
      <c r="AP242" s="94">
        <f>Table3.110[[#This Row],[CH4 8h, ml]]/Table3.110[[#This Row],[Net gas 8h, ml]]%</f>
        <v>13.6</v>
      </c>
      <c r="AQ242" s="94">
        <f>Table3.110[[#This Row],[CH4 24h, ml]]/Table3.110[[#This Row],[Net gas 24h, ml]]%</f>
        <v>14.949609213255568</v>
      </c>
      <c r="AR242" s="94">
        <f>Table3.110[[#This Row],[CH4 24h, ml]]/Table3.110[[#This Row],[DM Incubated, mg]]*1000</f>
        <v>11.434083470974096</v>
      </c>
      <c r="AS242" s="94">
        <f>Table3.110[[#This Row],[CH4 24h, ml]]/Table3.110[[#This Row],[Digested feed, mg]]*1000</f>
        <v>52.902688757608672</v>
      </c>
      <c r="AT242" s="94">
        <f>Table3.110[[#This Row],[CH4 24h, ml]]/'3.2 Digest'!AA242</f>
        <v>-0.20597721490054569</v>
      </c>
      <c r="AU242" s="94">
        <f>((Table3.110[[#This Row],[CH4 24h, ml]]/28.9)*16.04)/Table3.110[[#This Row],[DM Incubated, mg]]*1000</f>
        <v>6.346114147903962</v>
      </c>
      <c r="AV242" s="94">
        <f>((Table3.110[[#This Row],[CH4 24h, ml]]/28.9)*16.04)/Table3.110[[#This Row],[Digested feed, mg]]*1000</f>
        <v>29.361907531904606</v>
      </c>
    </row>
    <row r="243" spans="2:49" s="89" customFormat="1" x14ac:dyDescent="0.35">
      <c r="B243" s="90">
        <f t="shared" si="3"/>
        <v>233</v>
      </c>
      <c r="C243" s="140">
        <v>46076</v>
      </c>
      <c r="D243" s="6" t="s">
        <v>16</v>
      </c>
      <c r="E243" s="6" t="str">
        <f>'[1]1. Information samples'!$F$26</f>
        <v>CIAT-23413</v>
      </c>
      <c r="F243" s="6" t="s">
        <v>19</v>
      </c>
      <c r="G243" s="6" t="s">
        <v>20</v>
      </c>
      <c r="H243" s="6" t="str">
        <f>'[1]1. Information samples'!$I$26</f>
        <v>Dendrolobium triangulare</v>
      </c>
      <c r="I243" s="6" t="s">
        <v>22</v>
      </c>
      <c r="J243" s="129" t="s">
        <v>23</v>
      </c>
      <c r="K243" s="129" t="s">
        <v>24</v>
      </c>
      <c r="L243" s="6" t="str">
        <f>'[1]1. Information samples'!$E$26</f>
        <v>F251738</v>
      </c>
      <c r="M243" s="119">
        <v>27</v>
      </c>
      <c r="N243" s="93">
        <v>69</v>
      </c>
      <c r="O243" s="6">
        <v>3</v>
      </c>
      <c r="P243" s="6">
        <v>1</v>
      </c>
      <c r="Q243" s="6">
        <v>95</v>
      </c>
      <c r="R243" s="98">
        <v>0.50049999999999994</v>
      </c>
      <c r="S243" s="94">
        <f>((Table3.110[[#This Row],[Sample weight, g]]*'2.1. DM'!Q31)/100)*1000</f>
        <v>468.10099047322365</v>
      </c>
      <c r="T243" s="94">
        <f>'3.2 Digest'!W243</f>
        <v>65.900990473223658</v>
      </c>
      <c r="U243" s="153">
        <v>0.32847222222222222</v>
      </c>
      <c r="V243" s="154">
        <v>40</v>
      </c>
      <c r="W243" s="153">
        <v>0.66597222222222219</v>
      </c>
      <c r="X243" s="91">
        <v>65</v>
      </c>
      <c r="Y243" s="91">
        <v>13.5</v>
      </c>
      <c r="Z243" s="154">
        <v>39</v>
      </c>
      <c r="AA243" s="153">
        <v>0.34166666666666667</v>
      </c>
      <c r="AB243" s="154">
        <v>61</v>
      </c>
      <c r="AC243" s="154">
        <v>16.8</v>
      </c>
      <c r="AD243" s="91"/>
      <c r="AE243" s="94">
        <f>Table3.110[[#This Row],[Gas 8h, ml]]-Table3.110[[#This Row],[Gas 0h, ml]]</f>
        <v>25</v>
      </c>
      <c r="AF243" s="94">
        <f>Table3.110[[#This Row],[Gas 24h, ml]]-Table3.110[[#This Row],[V8 Push back, ml]]</f>
        <v>22</v>
      </c>
      <c r="AG243" s="94">
        <f>Table3.110[[#This Row],[GP 8h, ml]]-(AVERAGE(AE$221,AE$222,AE$255,AE$256,AE$291,AE$292))*$AG$8</f>
        <v>23.524988739845064</v>
      </c>
      <c r="AH243" s="94">
        <f>Table3.110[[#This Row],[GP 8-24h, ml]]-(AVERAGE(AF$221,AF$222,AF$255,AF$256,AF$291,AF$292))*$AG$8</f>
        <v>20.008734798790837</v>
      </c>
      <c r="AI243" s="94">
        <f>Table3.110[[#This Row],[Net gas 8-24h, ml]]+Table3.110[[#This Row],[Net gas 8h, ml]]</f>
        <v>43.533723538635897</v>
      </c>
      <c r="AJ243" s="94">
        <f>Table3.110[[#This Row],[Net gas 8h, ml]]*Table3.110[[#This Row],[CH4 8h %]]%</f>
        <v>3.1758734798790837</v>
      </c>
      <c r="AK243" s="94">
        <f>Table3.110[[#This Row],[Net gas 8-24h, ml]]*Table3.110[[#This Row],[CH4 24h, %]]%</f>
        <v>3.3614674461968606</v>
      </c>
      <c r="AL243" s="94">
        <f>Table3.110[[#This Row],[CH4 8-24h, ml]]+Table3.110[[#This Row],[CH4 8h, ml]]</f>
        <v>6.5373409260759443</v>
      </c>
      <c r="AM243" s="94">
        <f>(Table3.110[[#This Row],[Net gas 24h, ml]]/Table3.110[[#This Row],[DM Incubated, mg]])*1000</f>
        <v>93.000708019493331</v>
      </c>
      <c r="AN243" s="94">
        <f>'3.2 Digest'!X243</f>
        <v>14.078370226604623</v>
      </c>
      <c r="AO243" s="94">
        <f>Table3.110[[#This Row],[Digested feed, mg]]/Table3.110[[#This Row],[Net gas 24h, ml]]</f>
        <v>1.5137917255053306</v>
      </c>
      <c r="AP243" s="94">
        <f>Table3.110[[#This Row],[CH4 8h, ml]]/Table3.110[[#This Row],[Net gas 8h, ml]]%</f>
        <v>13.5</v>
      </c>
      <c r="AQ243" s="94">
        <f>Table3.110[[#This Row],[CH4 24h, ml]]/Table3.110[[#This Row],[Net gas 24h, ml]]%</f>
        <v>15.016728169999279</v>
      </c>
      <c r="AR243" s="94">
        <f>Table3.110[[#This Row],[CH4 24h, ml]]/Table3.110[[#This Row],[DM Incubated, mg]]*1000</f>
        <v>13.965663519462034</v>
      </c>
      <c r="AS243" s="94">
        <f>Table3.110[[#This Row],[CH4 24h, ml]]/Table3.110[[#This Row],[Digested feed, mg]]*1000</f>
        <v>99.199433561353558</v>
      </c>
      <c r="AT243" s="94">
        <f>Table3.110[[#This Row],[CH4 24h, ml]]/'3.2 Digest'!AA243</f>
        <v>-0.15109364969535241</v>
      </c>
      <c r="AU243" s="94">
        <f>((Table3.110[[#This Row],[CH4 24h, ml]]/28.9)*16.04)/Table3.110[[#This Row],[DM Incubated, mg]]*1000</f>
        <v>7.7511848737775439</v>
      </c>
      <c r="AV243" s="94">
        <f>((Table3.110[[#This Row],[CH4 24h, ml]]/28.9)*16.04)/Table3.110[[#This Row],[Digested feed, mg]]*1000</f>
        <v>55.057401879727031</v>
      </c>
    </row>
    <row r="244" spans="2:49" s="89" customFormat="1" x14ac:dyDescent="0.35">
      <c r="B244" s="90">
        <f t="shared" si="3"/>
        <v>234</v>
      </c>
      <c r="C244" s="140">
        <v>46076</v>
      </c>
      <c r="D244" s="6" t="s">
        <v>16</v>
      </c>
      <c r="E244" s="6" t="str">
        <f>'[1]1. Information samples'!$F$26</f>
        <v>CIAT-23413</v>
      </c>
      <c r="F244" s="6" t="s">
        <v>19</v>
      </c>
      <c r="G244" s="6" t="s">
        <v>20</v>
      </c>
      <c r="H244" s="6" t="str">
        <f>'[1]1. Information samples'!$I$26</f>
        <v>Dendrolobium triangulare</v>
      </c>
      <c r="I244" s="6" t="s">
        <v>22</v>
      </c>
      <c r="J244" s="129" t="s">
        <v>23</v>
      </c>
      <c r="K244" s="129" t="s">
        <v>24</v>
      </c>
      <c r="L244" s="6" t="str">
        <f>'[1]1. Information samples'!$E$26</f>
        <v>F251738</v>
      </c>
      <c r="M244" s="119">
        <v>27</v>
      </c>
      <c r="N244" s="93">
        <v>69</v>
      </c>
      <c r="O244" s="6">
        <v>3</v>
      </c>
      <c r="P244" s="129">
        <v>2</v>
      </c>
      <c r="Q244" s="6">
        <v>96</v>
      </c>
      <c r="R244" s="98">
        <v>0.50009999999999999</v>
      </c>
      <c r="S244" s="94">
        <f>((Table3.110[[#This Row],[Sample weight, g]]*'2.1. DM'!Q31)/100)*1000</f>
        <v>467.72688378753082</v>
      </c>
      <c r="T244" s="94">
        <f>'3.2 Digest'!W244</f>
        <v>90.226883787530767</v>
      </c>
      <c r="U244" s="117">
        <v>0.32847222222222222</v>
      </c>
      <c r="V244" s="155">
        <v>41.5</v>
      </c>
      <c r="W244" s="117">
        <v>0.66597222222222219</v>
      </c>
      <c r="X244" s="96">
        <v>65.5</v>
      </c>
      <c r="Y244" s="96">
        <v>13.6</v>
      </c>
      <c r="Z244" s="155">
        <v>39.5</v>
      </c>
      <c r="AA244" s="117">
        <v>0.34236111111111112</v>
      </c>
      <c r="AB244" s="155">
        <v>62</v>
      </c>
      <c r="AC244" s="155">
        <v>16.7</v>
      </c>
      <c r="AD244" s="96"/>
      <c r="AE244" s="94">
        <f>Table3.110[[#This Row],[Gas 8h, ml]]-Table3.110[[#This Row],[Gas 0h, ml]]</f>
        <v>24</v>
      </c>
      <c r="AF244" s="94">
        <f>Table3.110[[#This Row],[Gas 24h, ml]]-Table3.110[[#This Row],[V8 Push back, ml]]</f>
        <v>22.5</v>
      </c>
      <c r="AG244" s="94">
        <f>Table3.110[[#This Row],[GP 8h, ml]]-(AVERAGE(AE$221,AE$222,AE$255,AE$256,AE$291,AE$292))*$AG$8</f>
        <v>22.524988739845064</v>
      </c>
      <c r="AH244" s="94">
        <f>Table3.110[[#This Row],[GP 8-24h, ml]]-(AVERAGE(AF$221,AF$222,AF$255,AF$256,AF$291,AF$292))*$AG$8</f>
        <v>20.508734798790837</v>
      </c>
      <c r="AI244" s="94">
        <f>Table3.110[[#This Row],[Net gas 8-24h, ml]]+Table3.110[[#This Row],[Net gas 8h, ml]]</f>
        <v>43.033723538635897</v>
      </c>
      <c r="AJ244" s="94">
        <f>Table3.110[[#This Row],[Net gas 8h, ml]]*Table3.110[[#This Row],[CH4 8h %]]%</f>
        <v>3.0633984686189288</v>
      </c>
      <c r="AK244" s="94">
        <f>Table3.110[[#This Row],[Net gas 8-24h, ml]]*Table3.110[[#This Row],[CH4 24h, %]]%</f>
        <v>3.4249587113980695</v>
      </c>
      <c r="AL244" s="94">
        <f>Table3.110[[#This Row],[CH4 8-24h, ml]]+Table3.110[[#This Row],[CH4 8h, ml]]</f>
        <v>6.4883571800169983</v>
      </c>
      <c r="AM244" s="94">
        <f>(Table3.110[[#This Row],[Net gas 24h, ml]]/Table3.110[[#This Row],[DM Incubated, mg]])*1000</f>
        <v>92.006093791658884</v>
      </c>
      <c r="AN244" s="94">
        <f>'3.2 Digest'!X244</f>
        <v>19.290506258031805</v>
      </c>
      <c r="AO244" s="94">
        <f>Table3.110[[#This Row],[Digested feed, mg]]/Table3.110[[#This Row],[Net gas 24h, ml]]</f>
        <v>2.0966552826070144</v>
      </c>
      <c r="AP244" s="94">
        <f>Table3.110[[#This Row],[CH4 8h, ml]]/Table3.110[[#This Row],[Net gas 8h, ml]]%</f>
        <v>13.6</v>
      </c>
      <c r="AQ244" s="94">
        <f>Table3.110[[#This Row],[CH4 24h, ml]]/Table3.110[[#This Row],[Net gas 24h, ml]]%</f>
        <v>15.077378033977743</v>
      </c>
      <c r="AR244" s="94">
        <f>Table3.110[[#This Row],[CH4 24h, ml]]/Table3.110[[#This Row],[DM Incubated, mg]]*1000</f>
        <v>13.872106575264537</v>
      </c>
      <c r="AS244" s="94">
        <f>Table3.110[[#This Row],[CH4 24h, ml]]/Table3.110[[#This Row],[Digested feed, mg]]*1000</f>
        <v>71.911573442966244</v>
      </c>
      <c r="AT244" s="94">
        <f>Table3.110[[#This Row],[CH4 24h, ml]]/'3.2 Digest'!AA244</f>
        <v>-0.18765476071669882</v>
      </c>
      <c r="AU244" s="94">
        <f>((Table3.110[[#This Row],[CH4 24h, ml]]/28.9)*16.04)/Table3.110[[#This Row],[DM Incubated, mg]]*1000</f>
        <v>7.6992591511156805</v>
      </c>
      <c r="AV244" s="94">
        <f>((Table3.110[[#This Row],[CH4 24h, ml]]/28.9)*16.04)/Table3.110[[#This Row],[Digested feed, mg]]*1000</f>
        <v>39.912167405715515</v>
      </c>
      <c r="AW244" s="89" t="s">
        <v>546</v>
      </c>
    </row>
    <row r="245" spans="2:49" s="89" customFormat="1" x14ac:dyDescent="0.35">
      <c r="B245" s="90">
        <f t="shared" si="3"/>
        <v>235</v>
      </c>
      <c r="C245" s="140">
        <v>46076</v>
      </c>
      <c r="D245" s="6" t="s">
        <v>16</v>
      </c>
      <c r="E245" s="6" t="str">
        <f>'[1]1. Information samples'!$F$27</f>
        <v>CIAT-23419</v>
      </c>
      <c r="F245" s="6" t="s">
        <v>19</v>
      </c>
      <c r="G245" s="6" t="s">
        <v>20</v>
      </c>
      <c r="H245" s="6" t="str">
        <f>'[1]1. Information samples'!$I$27</f>
        <v>Dendrolobium triangulare</v>
      </c>
      <c r="I245" s="6" t="s">
        <v>22</v>
      </c>
      <c r="J245" s="129" t="s">
        <v>23</v>
      </c>
      <c r="K245" s="129" t="s">
        <v>24</v>
      </c>
      <c r="L245" s="6" t="str">
        <f>'[1]1. Information samples'!$E$27</f>
        <v>F251739</v>
      </c>
      <c r="M245" s="119">
        <v>27</v>
      </c>
      <c r="N245" s="93">
        <v>69</v>
      </c>
      <c r="O245" s="6">
        <v>3</v>
      </c>
      <c r="P245" s="6">
        <v>1</v>
      </c>
      <c r="Q245" s="6">
        <v>97</v>
      </c>
      <c r="R245" s="98">
        <v>0.50029999999999997</v>
      </c>
      <c r="S245" s="94">
        <f>((Table3.110[[#This Row],[Sample weight, g]]*'2.1. DM'!Q33)/100)*1000</f>
        <v>470.06902960046477</v>
      </c>
      <c r="T245" s="94">
        <f>'3.2 Digest'!W245</f>
        <v>53.269029600464819</v>
      </c>
      <c r="U245" s="117">
        <v>0.32847222222222222</v>
      </c>
      <c r="V245" s="155">
        <v>41.5</v>
      </c>
      <c r="W245" s="117">
        <v>0.66666666666666663</v>
      </c>
      <c r="X245" s="96">
        <v>65.5</v>
      </c>
      <c r="Y245" s="96">
        <v>14.2</v>
      </c>
      <c r="Z245" s="155">
        <v>40</v>
      </c>
      <c r="AA245" s="117">
        <v>0.34236111111111112</v>
      </c>
      <c r="AB245" s="155">
        <v>60.5</v>
      </c>
      <c r="AC245" s="155">
        <v>18</v>
      </c>
      <c r="AD245" s="96"/>
      <c r="AE245" s="94">
        <f>Table3.110[[#This Row],[Gas 8h, ml]]-Table3.110[[#This Row],[Gas 0h, ml]]</f>
        <v>24</v>
      </c>
      <c r="AF245" s="94">
        <f>Table3.110[[#This Row],[Gas 24h, ml]]-Table3.110[[#This Row],[V8 Push back, ml]]</f>
        <v>20.5</v>
      </c>
      <c r="AG245" s="94">
        <f>Table3.110[[#This Row],[GP 8h, ml]]-(AVERAGE(AE$221,AE$222,AE$255,AE$256,AE$291,AE$292))*$AG$8</f>
        <v>22.524988739845064</v>
      </c>
      <c r="AH245" s="94">
        <f>Table3.110[[#This Row],[GP 8-24h, ml]]-(AVERAGE(AF$221,AF$222,AF$255,AF$256,AF$291,AF$292))*$AG$8</f>
        <v>18.508734798790837</v>
      </c>
      <c r="AI245" s="94">
        <f>Table3.110[[#This Row],[Net gas 8-24h, ml]]+Table3.110[[#This Row],[Net gas 8h, ml]]</f>
        <v>41.033723538635897</v>
      </c>
      <c r="AJ245" s="94">
        <f>Table3.110[[#This Row],[Net gas 8h, ml]]*Table3.110[[#This Row],[CH4 8h %]]%</f>
        <v>3.198548401057999</v>
      </c>
      <c r="AK245" s="94">
        <f>Table3.110[[#This Row],[Net gas 8-24h, ml]]*Table3.110[[#This Row],[CH4 24h, %]]%</f>
        <v>3.3315722637823506</v>
      </c>
      <c r="AL245" s="94">
        <f>Table3.110[[#This Row],[CH4 8-24h, ml]]+Table3.110[[#This Row],[CH4 8h, ml]]</f>
        <v>6.53012066484035</v>
      </c>
      <c r="AM245" s="94">
        <f>(Table3.110[[#This Row],[Net gas 24h, ml]]/Table3.110[[#This Row],[DM Incubated, mg]])*1000</f>
        <v>87.292973913879237</v>
      </c>
      <c r="AN245" s="94">
        <f>'3.2 Digest'!X245</f>
        <v>11.332171712256994</v>
      </c>
      <c r="AO245" s="94">
        <f>Table3.110[[#This Row],[Digested feed, mg]]/Table3.110[[#This Row],[Net gas 24h, ml]]</f>
        <v>1.2981768410636336</v>
      </c>
      <c r="AP245" s="94">
        <f>Table3.110[[#This Row],[CH4 8h, ml]]/Table3.110[[#This Row],[Net gas 8h, ml]]%</f>
        <v>14.2</v>
      </c>
      <c r="AQ245" s="94">
        <f>Table3.110[[#This Row],[CH4 24h, ml]]/Table3.110[[#This Row],[Net gas 24h, ml]]%</f>
        <v>15.914033876774113</v>
      </c>
      <c r="AR245" s="94">
        <f>Table3.110[[#This Row],[CH4 24h, ml]]/Table3.110[[#This Row],[DM Incubated, mg]]*1000</f>
        <v>13.891833440698331</v>
      </c>
      <c r="AS245" s="94">
        <f>Table3.110[[#This Row],[CH4 24h, ml]]/Table3.110[[#This Row],[Digested feed, mg]]*1000</f>
        <v>122.58756567969034</v>
      </c>
      <c r="AT245" s="94">
        <f>Table3.110[[#This Row],[CH4 24h, ml]]/'3.2 Digest'!AA245</f>
        <v>-0.13683535668588234</v>
      </c>
      <c r="AU245" s="94">
        <f>((Table3.110[[#This Row],[CH4 24h, ml]]/28.9)*16.04)/Table3.110[[#This Row],[DM Incubated, mg]]*1000</f>
        <v>7.7102079027266868</v>
      </c>
      <c r="AV245" s="94">
        <f>((Table3.110[[#This Row],[CH4 24h, ml]]/28.9)*16.04)/Table3.110[[#This Row],[Digested feed, mg]]*1000</f>
        <v>68.03821984436793</v>
      </c>
    </row>
    <row r="246" spans="2:49" s="89" customFormat="1" x14ac:dyDescent="0.35">
      <c r="B246" s="90">
        <f t="shared" si="3"/>
        <v>236</v>
      </c>
      <c r="C246" s="140">
        <v>46076</v>
      </c>
      <c r="D246" s="6" t="s">
        <v>16</v>
      </c>
      <c r="E246" s="6" t="str">
        <f>'[1]1. Information samples'!$F$27</f>
        <v>CIAT-23419</v>
      </c>
      <c r="F246" s="6" t="s">
        <v>19</v>
      </c>
      <c r="G246" s="6" t="s">
        <v>20</v>
      </c>
      <c r="H246" s="6" t="str">
        <f>'[1]1. Information samples'!$I$27</f>
        <v>Dendrolobium triangulare</v>
      </c>
      <c r="I246" s="6" t="s">
        <v>22</v>
      </c>
      <c r="J246" s="129" t="s">
        <v>23</v>
      </c>
      <c r="K246" s="129" t="s">
        <v>24</v>
      </c>
      <c r="L246" s="6" t="str">
        <f>'[1]1. Information samples'!$E$27</f>
        <v>F251739</v>
      </c>
      <c r="M246" s="119">
        <v>27</v>
      </c>
      <c r="N246" s="93">
        <v>69</v>
      </c>
      <c r="O246" s="6">
        <v>3</v>
      </c>
      <c r="P246" s="129">
        <v>2</v>
      </c>
      <c r="Q246" s="6">
        <v>98</v>
      </c>
      <c r="R246" s="98">
        <v>0.50039999999999996</v>
      </c>
      <c r="S246" s="94">
        <f>((Table3.110[[#This Row],[Sample weight, g]]*'2.1. DM'!Q33)/100)*1000</f>
        <v>470.16298703192592</v>
      </c>
      <c r="T246" s="94">
        <f>'3.2 Digest'!W246</f>
        <v>60.662987031925809</v>
      </c>
      <c r="U246" s="153">
        <v>0.32847222222222222</v>
      </c>
      <c r="V246" s="154">
        <v>41.5</v>
      </c>
      <c r="W246" s="153">
        <v>0.66666666666666663</v>
      </c>
      <c r="X246" s="91">
        <v>66</v>
      </c>
      <c r="Y246" s="91">
        <v>13.9</v>
      </c>
      <c r="Z246" s="154">
        <v>41</v>
      </c>
      <c r="AA246" s="153">
        <v>0.34305555555555556</v>
      </c>
      <c r="AB246" s="154">
        <v>61</v>
      </c>
      <c r="AC246" s="154">
        <v>18.100000000000001</v>
      </c>
      <c r="AD246" s="91"/>
      <c r="AE246" s="94">
        <f>Table3.110[[#This Row],[Gas 8h, ml]]-Table3.110[[#This Row],[Gas 0h, ml]]</f>
        <v>24.5</v>
      </c>
      <c r="AF246" s="94">
        <f>Table3.110[[#This Row],[Gas 24h, ml]]-Table3.110[[#This Row],[V8 Push back, ml]]</f>
        <v>20</v>
      </c>
      <c r="AG246" s="94">
        <f>Table3.110[[#This Row],[GP 8h, ml]]-(AVERAGE(AE$221,AE$222,AE$255,AE$256,AE$291,AE$292))*$AG$8</f>
        <v>23.024988739845064</v>
      </c>
      <c r="AH246" s="94">
        <f>Table3.110[[#This Row],[GP 8-24h, ml]]-(AVERAGE(AF$221,AF$222,AF$255,AF$256,AF$291,AF$292))*$AG$8</f>
        <v>18.008734798790837</v>
      </c>
      <c r="AI246" s="94">
        <f>Table3.110[[#This Row],[Net gas 8-24h, ml]]+Table3.110[[#This Row],[Net gas 8h, ml]]</f>
        <v>41.033723538635897</v>
      </c>
      <c r="AJ246" s="94">
        <f>Table3.110[[#This Row],[Net gas 8h, ml]]*Table3.110[[#This Row],[CH4 8h %]]%</f>
        <v>3.200473434838464</v>
      </c>
      <c r="AK246" s="94">
        <f>Table3.110[[#This Row],[Net gas 8-24h, ml]]*Table3.110[[#This Row],[CH4 24h, %]]%</f>
        <v>3.2595809985811419</v>
      </c>
      <c r="AL246" s="94">
        <f>Table3.110[[#This Row],[CH4 8-24h, ml]]+Table3.110[[#This Row],[CH4 8h, ml]]</f>
        <v>6.4600544334196055</v>
      </c>
      <c r="AM246" s="94">
        <f>(Table3.110[[#This Row],[Net gas 24h, ml]]/Table3.110[[#This Row],[DM Incubated, mg]])*1000</f>
        <v>87.275529274807724</v>
      </c>
      <c r="AN246" s="94">
        <f>'3.2 Digest'!X246</f>
        <v>12.902544161309438</v>
      </c>
      <c r="AO246" s="94">
        <f>Table3.110[[#This Row],[Digested feed, mg]]/Table3.110[[#This Row],[Net gas 24h, ml]]</f>
        <v>1.4783690535617051</v>
      </c>
      <c r="AP246" s="94">
        <f>Table3.110[[#This Row],[CH4 8h, ml]]/Table3.110[[#This Row],[Net gas 8h, ml]]%</f>
        <v>13.9</v>
      </c>
      <c r="AQ246" s="94">
        <f>Table3.110[[#This Row],[CH4 24h, ml]]/Table3.110[[#This Row],[Net gas 24h, ml]]%</f>
        <v>15.743281077909119</v>
      </c>
      <c r="AR246" s="94">
        <f>Table3.110[[#This Row],[CH4 24h, ml]]/Table3.110[[#This Row],[DM Incubated, mg]]*1000</f>
        <v>13.740031885965839</v>
      </c>
      <c r="AS246" s="94">
        <f>Table3.110[[#This Row],[CH4 24h, ml]]/Table3.110[[#This Row],[Digested feed, mg]]*1000</f>
        <v>106.49087276265837</v>
      </c>
      <c r="AT246" s="94">
        <f>Table3.110[[#This Row],[CH4 24h, ml]]/'3.2 Digest'!AA246</f>
        <v>-0.14321879257346307</v>
      </c>
      <c r="AU246" s="94">
        <f>((Table3.110[[#This Row],[CH4 24h, ml]]/28.9)*16.04)/Table3.110[[#This Row],[DM Incubated, mg]]*1000</f>
        <v>7.6259554135256762</v>
      </c>
      <c r="AV246" s="94">
        <f>((Table3.110[[#This Row],[CH4 24h, ml]]/28.9)*16.04)/Table3.110[[#This Row],[Digested feed, mg]]*1000</f>
        <v>59.104276785918344</v>
      </c>
    </row>
    <row r="247" spans="2:49" s="89" customFormat="1" x14ac:dyDescent="0.35">
      <c r="B247" s="90">
        <f t="shared" si="3"/>
        <v>237</v>
      </c>
      <c r="C247" s="140">
        <v>46076</v>
      </c>
      <c r="D247" s="6" t="s">
        <v>16</v>
      </c>
      <c r="E247" s="6" t="str">
        <f>'[1]1. Information samples'!$F$28</f>
        <v>CIAT-23422</v>
      </c>
      <c r="F247" s="6" t="s">
        <v>19</v>
      </c>
      <c r="G247" s="6" t="s">
        <v>20</v>
      </c>
      <c r="H247" s="6" t="str">
        <f>'[1]1. Information samples'!$I$28</f>
        <v>Dendrolobium triangulare</v>
      </c>
      <c r="I247" s="6" t="s">
        <v>22</v>
      </c>
      <c r="J247" s="129" t="s">
        <v>23</v>
      </c>
      <c r="K247" s="129" t="s">
        <v>24</v>
      </c>
      <c r="L247" s="6" t="str">
        <f>'[1]1. Information samples'!$E$28</f>
        <v>F251740</v>
      </c>
      <c r="M247" s="119">
        <v>27</v>
      </c>
      <c r="N247" s="93">
        <v>69</v>
      </c>
      <c r="O247" s="6">
        <v>3</v>
      </c>
      <c r="P247" s="6">
        <v>1</v>
      </c>
      <c r="Q247" s="6">
        <v>99</v>
      </c>
      <c r="R247" s="98">
        <v>0.5</v>
      </c>
      <c r="S247" s="94">
        <f>((Table3.110[[#This Row],[Sample weight, g]]*'2.1. DM'!Q35)/100)*1000</f>
        <v>459.28724590947485</v>
      </c>
      <c r="T247" s="94">
        <f>'3.2 Digest'!W247</f>
        <v>24.387245909474871</v>
      </c>
      <c r="U247" s="153">
        <v>0.32916666666666666</v>
      </c>
      <c r="V247" s="154">
        <v>42</v>
      </c>
      <c r="W247" s="153">
        <v>0.66736111111111107</v>
      </c>
      <c r="X247" s="91">
        <v>66.5</v>
      </c>
      <c r="Y247" s="91">
        <v>13.5</v>
      </c>
      <c r="Z247" s="154">
        <v>41.5</v>
      </c>
      <c r="AA247" s="153">
        <v>0.34305555555555556</v>
      </c>
      <c r="AB247" s="154">
        <v>62.5</v>
      </c>
      <c r="AC247" s="154">
        <v>17.600000000000001</v>
      </c>
      <c r="AD247" s="91"/>
      <c r="AE247" s="94">
        <f>Table3.110[[#This Row],[Gas 8h, ml]]-Table3.110[[#This Row],[Gas 0h, ml]]</f>
        <v>24.5</v>
      </c>
      <c r="AF247" s="94">
        <f>Table3.110[[#This Row],[Gas 24h, ml]]-Table3.110[[#This Row],[V8 Push back, ml]]</f>
        <v>21</v>
      </c>
      <c r="AG247" s="94">
        <f>Table3.110[[#This Row],[GP 8h, ml]]-(AVERAGE(AE$221,AE$222,AE$255,AE$256,AE$291,AE$292))*$AG$8</f>
        <v>23.024988739845064</v>
      </c>
      <c r="AH247" s="94">
        <f>Table3.110[[#This Row],[GP 8-24h, ml]]-(AVERAGE(AF$221,AF$222,AF$255,AF$256,AF$291,AF$292))*$AG$8</f>
        <v>19.008734798790837</v>
      </c>
      <c r="AI247" s="94">
        <f>Table3.110[[#This Row],[Net gas 8-24h, ml]]+Table3.110[[#This Row],[Net gas 8h, ml]]</f>
        <v>42.033723538635897</v>
      </c>
      <c r="AJ247" s="94">
        <f>Table3.110[[#This Row],[Net gas 8h, ml]]*Table3.110[[#This Row],[CH4 8h %]]%</f>
        <v>3.1083734798790839</v>
      </c>
      <c r="AK247" s="94">
        <f>Table3.110[[#This Row],[Net gas 8-24h, ml]]*Table3.110[[#This Row],[CH4 24h, %]]%</f>
        <v>3.3455373245871876</v>
      </c>
      <c r="AL247" s="94">
        <f>Table3.110[[#This Row],[CH4 8-24h, ml]]+Table3.110[[#This Row],[CH4 8h, ml]]</f>
        <v>6.4539108044662719</v>
      </c>
      <c r="AM247" s="94">
        <f>(Table3.110[[#This Row],[Net gas 24h, ml]]/Table3.110[[#This Row],[DM Incubated, mg]])*1000</f>
        <v>91.519466114068209</v>
      </c>
      <c r="AN247" s="94">
        <f>'3.2 Digest'!X247</f>
        <v>5.309802553124146</v>
      </c>
      <c r="AO247" s="94">
        <f>Table3.110[[#This Row],[Digested feed, mg]]/Table3.110[[#This Row],[Net gas 24h, ml]]</f>
        <v>0.58018285929532232</v>
      </c>
      <c r="AP247" s="94">
        <f>Table3.110[[#This Row],[CH4 8h, ml]]/Table3.110[[#This Row],[Net gas 8h, ml]]%</f>
        <v>13.5</v>
      </c>
      <c r="AQ247" s="94">
        <f>Table3.110[[#This Row],[CH4 24h, ml]]/Table3.110[[#This Row],[Net gas 24h, ml]]%</f>
        <v>15.35412583311604</v>
      </c>
      <c r="AR247" s="94">
        <f>Table3.110[[#This Row],[CH4 24h, ml]]/Table3.110[[#This Row],[DM Incubated, mg]]*1000</f>
        <v>14.052013988950028</v>
      </c>
      <c r="AS247" s="94">
        <f>Table3.110[[#This Row],[CH4 24h, ml]]/Table3.110[[#This Row],[Digested feed, mg]]*1000</f>
        <v>264.64287227935051</v>
      </c>
      <c r="AT247" s="94">
        <f>Table3.110[[#This Row],[CH4 24h, ml]]/'3.2 Digest'!AA247</f>
        <v>-0.11009894329264598</v>
      </c>
      <c r="AU247" s="94">
        <f>((Table3.110[[#This Row],[CH4 24h, ml]]/28.9)*16.04)/Table3.110[[#This Row],[DM Incubated, mg]]*1000</f>
        <v>7.7991108782961405</v>
      </c>
      <c r="AV247" s="94">
        <f>((Table3.110[[#This Row],[CH4 24h, ml]]/28.9)*16.04)/Table3.110[[#This Row],[Digested feed, mg]]*1000</f>
        <v>146.88137271144578</v>
      </c>
    </row>
    <row r="248" spans="2:49" s="89" customFormat="1" x14ac:dyDescent="0.35">
      <c r="B248" s="90">
        <f t="shared" si="3"/>
        <v>238</v>
      </c>
      <c r="C248" s="140">
        <v>46076</v>
      </c>
      <c r="D248" s="6" t="s">
        <v>16</v>
      </c>
      <c r="E248" s="6" t="str">
        <f>'[1]1. Information samples'!$F$28</f>
        <v>CIAT-23422</v>
      </c>
      <c r="F248" s="6" t="s">
        <v>19</v>
      </c>
      <c r="G248" s="6" t="s">
        <v>20</v>
      </c>
      <c r="H248" s="6" t="str">
        <f>'[1]1. Information samples'!$I$28</f>
        <v>Dendrolobium triangulare</v>
      </c>
      <c r="I248" s="6" t="s">
        <v>22</v>
      </c>
      <c r="J248" s="129" t="s">
        <v>23</v>
      </c>
      <c r="K248" s="129" t="s">
        <v>24</v>
      </c>
      <c r="L248" s="6" t="str">
        <f>'[1]1. Information samples'!$E$28</f>
        <v>F251740</v>
      </c>
      <c r="M248" s="119">
        <v>27</v>
      </c>
      <c r="N248" s="93">
        <v>69</v>
      </c>
      <c r="O248" s="6">
        <v>3</v>
      </c>
      <c r="P248" s="129">
        <v>2</v>
      </c>
      <c r="Q248" s="6">
        <v>100</v>
      </c>
      <c r="R248" s="98">
        <v>0.50029999999999997</v>
      </c>
      <c r="S248" s="94">
        <f>((Table3.110[[#This Row],[Sample weight, g]]*'2.1. DM'!Q35)/100)*1000</f>
        <v>459.56281825702052</v>
      </c>
      <c r="T248" s="94">
        <f>'3.2 Digest'!W248</f>
        <v>82.462818257020558</v>
      </c>
      <c r="U248" s="117">
        <v>0.32916666666666666</v>
      </c>
      <c r="V248" s="155">
        <v>42</v>
      </c>
      <c r="W248" s="117">
        <v>0.66736111111111107</v>
      </c>
      <c r="X248" s="96">
        <v>67</v>
      </c>
      <c r="Y248" s="96">
        <v>13.5</v>
      </c>
      <c r="Z248" s="155">
        <v>41</v>
      </c>
      <c r="AA248" s="117">
        <v>0.34375</v>
      </c>
      <c r="AB248" s="155">
        <v>61.5</v>
      </c>
      <c r="AC248" s="155">
        <v>17.899999999999999</v>
      </c>
      <c r="AD248" s="96"/>
      <c r="AE248" s="94">
        <f>Table3.110[[#This Row],[Gas 8h, ml]]-Table3.110[[#This Row],[Gas 0h, ml]]</f>
        <v>25</v>
      </c>
      <c r="AF248" s="94">
        <f>Table3.110[[#This Row],[Gas 24h, ml]]-Table3.110[[#This Row],[V8 Push back, ml]]</f>
        <v>20.5</v>
      </c>
      <c r="AG248" s="94">
        <f>Table3.110[[#This Row],[GP 8h, ml]]-(AVERAGE(AE$221,AE$222,AE$255,AE$256,AE$291,AE$292))*$AG$8</f>
        <v>23.524988739845064</v>
      </c>
      <c r="AH248" s="94">
        <f>Table3.110[[#This Row],[GP 8-24h, ml]]-(AVERAGE(AF$221,AF$222,AF$255,AF$256,AF$291,AF$292))*$AG$8</f>
        <v>18.508734798790837</v>
      </c>
      <c r="AI248" s="94">
        <f>Table3.110[[#This Row],[Net gas 8-24h, ml]]+Table3.110[[#This Row],[Net gas 8h, ml]]</f>
        <v>42.033723538635897</v>
      </c>
      <c r="AJ248" s="94">
        <f>Table3.110[[#This Row],[Net gas 8h, ml]]*Table3.110[[#This Row],[CH4 8h %]]%</f>
        <v>3.1758734798790837</v>
      </c>
      <c r="AK248" s="94">
        <f>Table3.110[[#This Row],[Net gas 8-24h, ml]]*Table3.110[[#This Row],[CH4 24h, %]]%</f>
        <v>3.3130635289835597</v>
      </c>
      <c r="AL248" s="94">
        <f>Table3.110[[#This Row],[CH4 8-24h, ml]]+Table3.110[[#This Row],[CH4 8h, ml]]</f>
        <v>6.4889370088626439</v>
      </c>
      <c r="AM248" s="94">
        <f>(Table3.110[[#This Row],[Net gas 24h, ml]]/Table3.110[[#This Row],[DM Incubated, mg]])*1000</f>
        <v>91.464587361651226</v>
      </c>
      <c r="AN248" s="94">
        <f>'3.2 Digest'!X248</f>
        <v>17.943753276162873</v>
      </c>
      <c r="AO248" s="94">
        <f>Table3.110[[#This Row],[Digested feed, mg]]/Table3.110[[#This Row],[Net gas 24h, ml]]</f>
        <v>1.9618252040227577</v>
      </c>
      <c r="AP248" s="94">
        <f>Table3.110[[#This Row],[CH4 8h, ml]]/Table3.110[[#This Row],[Net gas 8h, ml]]%</f>
        <v>13.5</v>
      </c>
      <c r="AQ248" s="94">
        <f>Table3.110[[#This Row],[CH4 24h, ml]]/Table3.110[[#This Row],[Net gas 24h, ml]]%</f>
        <v>15.437454649712974</v>
      </c>
      <c r="AR248" s="94">
        <f>Table3.110[[#This Row],[CH4 24h, ml]]/Table3.110[[#This Row],[DM Incubated, mg]]*1000</f>
        <v>14.119804194502011</v>
      </c>
      <c r="AS248" s="94">
        <f>Table3.110[[#This Row],[CH4 24h, ml]]/Table3.110[[#This Row],[Digested feed, mg]]*1000</f>
        <v>78.689246208368601</v>
      </c>
      <c r="AT248" s="94">
        <f>Table3.110[[#This Row],[CH4 24h, ml]]/'3.2 Digest'!AA248</f>
        <v>-0.1732435658824201</v>
      </c>
      <c r="AU248" s="94">
        <f>((Table3.110[[#This Row],[CH4 24h, ml]]/28.9)*16.04)/Table3.110[[#This Row],[DM Incubated, mg]]*1000</f>
        <v>7.8367356152184167</v>
      </c>
      <c r="AV248" s="94">
        <f>((Table3.110[[#This Row],[CH4 24h, ml]]/28.9)*16.04)/Table3.110[[#This Row],[Digested feed, mg]]*1000</f>
        <v>43.67389305128831</v>
      </c>
    </row>
    <row r="249" spans="2:49" s="89" customFormat="1" x14ac:dyDescent="0.35">
      <c r="B249" s="90">
        <f t="shared" si="3"/>
        <v>239</v>
      </c>
      <c r="C249" s="140">
        <v>46076</v>
      </c>
      <c r="D249" s="6" t="s">
        <v>16</v>
      </c>
      <c r="E249" s="6" t="str">
        <f>'[1]1. Information samples'!$F$29</f>
        <v>CIAT-23734</v>
      </c>
      <c r="F249" s="6" t="s">
        <v>19</v>
      </c>
      <c r="G249" s="6" t="s">
        <v>20</v>
      </c>
      <c r="H249" s="6" t="str">
        <f>'[1]1. Information samples'!$I$29</f>
        <v>Dendrolobium triangulare</v>
      </c>
      <c r="I249" s="6" t="s">
        <v>22</v>
      </c>
      <c r="J249" s="129" t="s">
        <v>23</v>
      </c>
      <c r="K249" s="129" t="s">
        <v>24</v>
      </c>
      <c r="L249" s="6" t="str">
        <f>'[1]1. Information samples'!$E$29</f>
        <v>F251741</v>
      </c>
      <c r="M249" s="119">
        <v>27</v>
      </c>
      <c r="N249" s="93">
        <v>69</v>
      </c>
      <c r="O249" s="6">
        <v>3</v>
      </c>
      <c r="P249" s="6">
        <v>1</v>
      </c>
      <c r="Q249" s="6">
        <v>101</v>
      </c>
      <c r="R249" s="98">
        <v>0.50029999999999997</v>
      </c>
      <c r="S249" s="94">
        <f>((Table3.110[[#This Row],[Sample weight, g]]*'2.1. DM'!Q37)/100)*1000</f>
        <v>473.83938184308164</v>
      </c>
      <c r="T249" s="94">
        <f>'3.2 Digest'!W249</f>
        <v>89.039381843081742</v>
      </c>
      <c r="U249" s="117">
        <v>0.32916666666666666</v>
      </c>
      <c r="V249" s="155">
        <v>41.5</v>
      </c>
      <c r="W249" s="117">
        <v>0.66805555555555551</v>
      </c>
      <c r="X249" s="96">
        <v>68.5</v>
      </c>
      <c r="Y249" s="96">
        <v>14.5</v>
      </c>
      <c r="Z249" s="155">
        <v>40.5</v>
      </c>
      <c r="AA249" s="117">
        <v>0.34375</v>
      </c>
      <c r="AB249" s="155">
        <v>65.5</v>
      </c>
      <c r="AC249" s="155">
        <v>17.399999999999999</v>
      </c>
      <c r="AD249" s="96"/>
      <c r="AE249" s="94">
        <f>Table3.110[[#This Row],[Gas 8h, ml]]-Table3.110[[#This Row],[Gas 0h, ml]]</f>
        <v>27</v>
      </c>
      <c r="AF249" s="94">
        <f>Table3.110[[#This Row],[Gas 24h, ml]]-Table3.110[[#This Row],[V8 Push back, ml]]</f>
        <v>25</v>
      </c>
      <c r="AG249" s="94">
        <f>Table3.110[[#This Row],[GP 8h, ml]]-(AVERAGE(AE$221,AE$222,AE$255,AE$256,AE$291,AE$292))*$AG$8</f>
        <v>25.524988739845064</v>
      </c>
      <c r="AH249" s="94">
        <f>Table3.110[[#This Row],[GP 8-24h, ml]]-(AVERAGE(AF$221,AF$222,AF$255,AF$256,AF$291,AF$292))*$AG$8</f>
        <v>23.008734798790837</v>
      </c>
      <c r="AI249" s="94">
        <f>Table3.110[[#This Row],[Net gas 8-24h, ml]]+Table3.110[[#This Row],[Net gas 8h, ml]]</f>
        <v>48.533723538635897</v>
      </c>
      <c r="AJ249" s="94">
        <f>Table3.110[[#This Row],[Net gas 8h, ml]]*Table3.110[[#This Row],[CH4 8h %]]%</f>
        <v>3.7011233672775341</v>
      </c>
      <c r="AK249" s="94">
        <f>Table3.110[[#This Row],[Net gas 8-24h, ml]]*Table3.110[[#This Row],[CH4 24h, %]]%</f>
        <v>4.0035198549896052</v>
      </c>
      <c r="AL249" s="94">
        <f>Table3.110[[#This Row],[CH4 8-24h, ml]]+Table3.110[[#This Row],[CH4 8h, ml]]</f>
        <v>7.7046432222671388</v>
      </c>
      <c r="AM249" s="94">
        <f>(Table3.110[[#This Row],[Net gas 24h, ml]]/Table3.110[[#This Row],[DM Incubated, mg]])*1000</f>
        <v>102.42652974485877</v>
      </c>
      <c r="AN249" s="94">
        <f>'3.2 Digest'!X249</f>
        <v>18.791047189186219</v>
      </c>
      <c r="AO249" s="94">
        <f>Table3.110[[#This Row],[Digested feed, mg]]/Table3.110[[#This Row],[Net gas 24h, ml]]</f>
        <v>1.8345878978809609</v>
      </c>
      <c r="AP249" s="94">
        <f>Table3.110[[#This Row],[CH4 8h, ml]]/Table3.110[[#This Row],[Net gas 8h, ml]]%</f>
        <v>14.5</v>
      </c>
      <c r="AQ249" s="94">
        <f>Table3.110[[#This Row],[CH4 24h, ml]]/Table3.110[[#This Row],[Net gas 24h, ml]]%</f>
        <v>15.874824061528594</v>
      </c>
      <c r="AR249" s="94">
        <f>Table3.110[[#This Row],[CH4 24h, ml]]/Table3.110[[#This Row],[DM Incubated, mg]]*1000</f>
        <v>16.260031389325583</v>
      </c>
      <c r="AS249" s="94">
        <f>Table3.110[[#This Row],[CH4 24h, ml]]/Table3.110[[#This Row],[Digested feed, mg]]*1000</f>
        <v>86.53073575741341</v>
      </c>
      <c r="AT249" s="94">
        <f>Table3.110[[#This Row],[CH4 24h, ml]]/'3.2 Digest'!AA249</f>
        <v>-0.21387172999294982</v>
      </c>
      <c r="AU249" s="94">
        <f>((Table3.110[[#This Row],[CH4 24h, ml]]/28.9)*16.04)/Table3.110[[#This Row],[DM Incubated, mg]]*1000</f>
        <v>9.0245987364976603</v>
      </c>
      <c r="AV249" s="94">
        <f>((Table3.110[[#This Row],[CH4 24h, ml]]/28.9)*16.04)/Table3.110[[#This Row],[Digested feed, mg]]*1000</f>
        <v>48.02605541691733</v>
      </c>
    </row>
    <row r="250" spans="2:49" s="89" customFormat="1" x14ac:dyDescent="0.35">
      <c r="B250" s="90">
        <f t="shared" si="3"/>
        <v>240</v>
      </c>
      <c r="C250" s="140">
        <v>46076</v>
      </c>
      <c r="D250" s="6" t="s">
        <v>16</v>
      </c>
      <c r="E250" s="6" t="str">
        <f>'[1]1. Information samples'!$F$29</f>
        <v>CIAT-23734</v>
      </c>
      <c r="F250" s="6" t="s">
        <v>19</v>
      </c>
      <c r="G250" s="6" t="s">
        <v>20</v>
      </c>
      <c r="H250" s="6" t="str">
        <f>'[1]1. Information samples'!$I$29</f>
        <v>Dendrolobium triangulare</v>
      </c>
      <c r="I250" s="6" t="s">
        <v>22</v>
      </c>
      <c r="J250" s="129" t="s">
        <v>23</v>
      </c>
      <c r="K250" s="129" t="s">
        <v>24</v>
      </c>
      <c r="L250" s="6" t="str">
        <f>'[1]1. Information samples'!$E$29</f>
        <v>F251741</v>
      </c>
      <c r="M250" s="119">
        <v>27</v>
      </c>
      <c r="N250" s="93">
        <v>69</v>
      </c>
      <c r="O250" s="6">
        <v>3</v>
      </c>
      <c r="P250" s="129">
        <v>2</v>
      </c>
      <c r="Q250" s="6">
        <v>102</v>
      </c>
      <c r="R250" s="98">
        <v>0.50049999999999994</v>
      </c>
      <c r="S250" s="94">
        <f>((Table3.110[[#This Row],[Sample weight, g]]*'2.1. DM'!Q37)/100)*1000</f>
        <v>474.02880394255914</v>
      </c>
      <c r="T250" s="94">
        <f>'3.2 Digest'!W250</f>
        <v>93.328803942559091</v>
      </c>
      <c r="U250" s="153">
        <v>0.32916666666666666</v>
      </c>
      <c r="V250" s="154">
        <v>41.5</v>
      </c>
      <c r="W250" s="153">
        <v>0.66805555555555551</v>
      </c>
      <c r="X250" s="91">
        <v>70</v>
      </c>
      <c r="Y250" s="91">
        <v>14.2</v>
      </c>
      <c r="Z250" s="154">
        <v>40.5</v>
      </c>
      <c r="AA250" s="153">
        <v>0.34444444444444444</v>
      </c>
      <c r="AB250" s="154">
        <v>65.5</v>
      </c>
      <c r="AC250" s="154">
        <v>17.100000000000001</v>
      </c>
      <c r="AD250" s="91"/>
      <c r="AE250" s="94">
        <f>Table3.110[[#This Row],[Gas 8h, ml]]-Table3.110[[#This Row],[Gas 0h, ml]]</f>
        <v>28.5</v>
      </c>
      <c r="AF250" s="94">
        <f>Table3.110[[#This Row],[Gas 24h, ml]]-Table3.110[[#This Row],[V8 Push back, ml]]</f>
        <v>25</v>
      </c>
      <c r="AG250" s="94">
        <f>Table3.110[[#This Row],[GP 8h, ml]]-(AVERAGE(AE$221,AE$222,AE$255,AE$256,AE$291,AE$292))*$AG$8</f>
        <v>27.024988739845064</v>
      </c>
      <c r="AH250" s="94">
        <f>Table3.110[[#This Row],[GP 8-24h, ml]]-(AVERAGE(AF$221,AF$222,AF$255,AF$256,AF$291,AF$292))*$AG$8</f>
        <v>23.008734798790837</v>
      </c>
      <c r="AI250" s="94">
        <f>Table3.110[[#This Row],[Net gas 8-24h, ml]]+Table3.110[[#This Row],[Net gas 8h, ml]]</f>
        <v>50.033723538635897</v>
      </c>
      <c r="AJ250" s="94">
        <f>Table3.110[[#This Row],[Net gas 8h, ml]]*Table3.110[[#This Row],[CH4 8h %]]%</f>
        <v>3.8375484010579988</v>
      </c>
      <c r="AK250" s="94">
        <f>Table3.110[[#This Row],[Net gas 8-24h, ml]]*Table3.110[[#This Row],[CH4 24h, %]]%</f>
        <v>3.9344936505932333</v>
      </c>
      <c r="AL250" s="94">
        <f>Table3.110[[#This Row],[CH4 8-24h, ml]]+Table3.110[[#This Row],[CH4 8h, ml]]</f>
        <v>7.7720420516512316</v>
      </c>
      <c r="AM250" s="94">
        <f>(Table3.110[[#This Row],[Net gas 24h, ml]]/Table3.110[[#This Row],[DM Incubated, mg]])*1000</f>
        <v>105.54996473315317</v>
      </c>
      <c r="AN250" s="94">
        <f>'3.2 Digest'!X250</f>
        <v>19.688424662453276</v>
      </c>
      <c r="AO250" s="94">
        <f>Table3.110[[#This Row],[Digested feed, mg]]/Table3.110[[#This Row],[Net gas 24h, ml]]</f>
        <v>1.8653179763942784</v>
      </c>
      <c r="AP250" s="94">
        <f>Table3.110[[#This Row],[CH4 8h, ml]]/Table3.110[[#This Row],[Net gas 8h, ml]]%</f>
        <v>14.2</v>
      </c>
      <c r="AQ250" s="94">
        <f>Table3.110[[#This Row],[CH4 24h, ml]]/Table3.110[[#This Row],[Net gas 24h, ml]]%</f>
        <v>15.533607139292128</v>
      </c>
      <c r="AR250" s="94">
        <f>Table3.110[[#This Row],[CH4 24h, ml]]/Table3.110[[#This Row],[DM Incubated, mg]]*1000</f>
        <v>16.395716857309406</v>
      </c>
      <c r="AS250" s="94">
        <f>Table3.110[[#This Row],[CH4 24h, ml]]/Table3.110[[#This Row],[Digested feed, mg]]*1000</f>
        <v>83.275920437539057</v>
      </c>
      <c r="AT250" s="94">
        <f>Table3.110[[#This Row],[CH4 24h, ml]]/'3.2 Digest'!AA250</f>
        <v>-0.22513630685930572</v>
      </c>
      <c r="AU250" s="94">
        <f>((Table3.110[[#This Row],[CH4 24h, ml]]/28.9)*16.04)/Table3.110[[#This Row],[DM Incubated, mg]]*1000</f>
        <v>9.0999065187281243</v>
      </c>
      <c r="AV250" s="94">
        <f>((Table3.110[[#This Row],[CH4 24h, ml]]/28.9)*16.04)/Table3.110[[#This Row],[Digested feed, mg]]*1000</f>
        <v>46.219576602703327</v>
      </c>
    </row>
    <row r="251" spans="2:49" s="89" customFormat="1" x14ac:dyDescent="0.35">
      <c r="B251" s="90">
        <f t="shared" si="3"/>
        <v>241</v>
      </c>
      <c r="C251" s="140">
        <v>46076</v>
      </c>
      <c r="D251" s="6" t="s">
        <v>16</v>
      </c>
      <c r="E251" s="6" t="str">
        <f>'[1]1. Information samples'!$F$30</f>
        <v>CIAT-23932</v>
      </c>
      <c r="F251" s="6" t="s">
        <v>19</v>
      </c>
      <c r="G251" s="6" t="s">
        <v>20</v>
      </c>
      <c r="H251" s="6" t="str">
        <f>'[1]1. Information samples'!$I$30</f>
        <v>Dendrolobium triangulare</v>
      </c>
      <c r="I251" s="6" t="s">
        <v>22</v>
      </c>
      <c r="J251" s="129" t="s">
        <v>23</v>
      </c>
      <c r="K251" s="129" t="s">
        <v>24</v>
      </c>
      <c r="L251" s="6" t="str">
        <f>'[1]1. Information samples'!$E$30</f>
        <v>F251742</v>
      </c>
      <c r="M251" s="119">
        <v>27</v>
      </c>
      <c r="N251" s="93">
        <v>69</v>
      </c>
      <c r="O251" s="6">
        <v>3</v>
      </c>
      <c r="P251" s="6">
        <v>1</v>
      </c>
      <c r="Q251" s="6">
        <v>103</v>
      </c>
      <c r="R251" s="98">
        <v>0.50029999999999997</v>
      </c>
      <c r="S251" s="94">
        <f>((Table3.110[[#This Row],[Sample weight, g]]*'2.1. DM'!Q39)/100)*1000</f>
        <v>475.8951219512191</v>
      </c>
      <c r="T251" s="94">
        <f>'3.2 Digest'!W251</f>
        <v>68.895121951219153</v>
      </c>
      <c r="U251" s="153">
        <v>0.3298611111111111</v>
      </c>
      <c r="V251" s="154">
        <v>41</v>
      </c>
      <c r="W251" s="153">
        <v>0.66874999999999996</v>
      </c>
      <c r="X251" s="91">
        <v>68</v>
      </c>
      <c r="Y251" s="91">
        <v>13.3</v>
      </c>
      <c r="Z251" s="154">
        <v>40</v>
      </c>
      <c r="AA251" s="153">
        <v>0.34444444444444444</v>
      </c>
      <c r="AB251" s="154">
        <v>63</v>
      </c>
      <c r="AC251" s="154">
        <v>17.5</v>
      </c>
      <c r="AD251" s="91"/>
      <c r="AE251" s="94">
        <f>Table3.110[[#This Row],[Gas 8h, ml]]-Table3.110[[#This Row],[Gas 0h, ml]]</f>
        <v>27</v>
      </c>
      <c r="AF251" s="94">
        <f>Table3.110[[#This Row],[Gas 24h, ml]]-Table3.110[[#This Row],[V8 Push back, ml]]</f>
        <v>23</v>
      </c>
      <c r="AG251" s="94">
        <f>Table3.110[[#This Row],[GP 8h, ml]]-(AVERAGE(AE$221,AE$222,AE$255,AE$256,AE$291,AE$292))*$AG$8</f>
        <v>25.524988739845064</v>
      </c>
      <c r="AH251" s="94">
        <f>Table3.110[[#This Row],[GP 8-24h, ml]]-(AVERAGE(AF$221,AF$222,AF$255,AF$256,AF$291,AF$292))*$AG$8</f>
        <v>21.008734798790837</v>
      </c>
      <c r="AI251" s="94">
        <f>Table3.110[[#This Row],[Net gas 8-24h, ml]]+Table3.110[[#This Row],[Net gas 8h, ml]]</f>
        <v>46.533723538635897</v>
      </c>
      <c r="AJ251" s="94">
        <f>Table3.110[[#This Row],[Net gas 8h, ml]]*Table3.110[[#This Row],[CH4 8h %]]%</f>
        <v>3.3948235023993938</v>
      </c>
      <c r="AK251" s="94">
        <f>Table3.110[[#This Row],[Net gas 8-24h, ml]]*Table3.110[[#This Row],[CH4 24h, %]]%</f>
        <v>3.6765285897883961</v>
      </c>
      <c r="AL251" s="94">
        <f>Table3.110[[#This Row],[CH4 8-24h, ml]]+Table3.110[[#This Row],[CH4 8h, ml]]</f>
        <v>7.0713520921877899</v>
      </c>
      <c r="AM251" s="94">
        <f>(Table3.110[[#This Row],[Net gas 24h, ml]]/Table3.110[[#This Row],[DM Incubated, mg]])*1000</f>
        <v>97.78146779030395</v>
      </c>
      <c r="AN251" s="94">
        <f>'3.2 Digest'!X251</f>
        <v>14.476954852729326</v>
      </c>
      <c r="AO251" s="94">
        <f>Table3.110[[#This Row],[Digested feed, mg]]/Table3.110[[#This Row],[Net gas 24h, ml]]</f>
        <v>1.4805417815751858</v>
      </c>
      <c r="AP251" s="94">
        <f>Table3.110[[#This Row],[CH4 8h, ml]]/Table3.110[[#This Row],[Net gas 8h, ml]]%</f>
        <v>13.300000000000002</v>
      </c>
      <c r="AQ251" s="94">
        <f>Table3.110[[#This Row],[CH4 24h, ml]]/Table3.110[[#This Row],[Net gas 24h, ml]]%</f>
        <v>15.196187956711881</v>
      </c>
      <c r="AR251" s="94">
        <f>Table3.110[[#This Row],[CH4 24h, ml]]/Table3.110[[#This Row],[DM Incubated, mg]]*1000</f>
        <v>14.859055632246276</v>
      </c>
      <c r="AS251" s="94">
        <f>Table3.110[[#This Row],[CH4 24h, ml]]/Table3.110[[#This Row],[Digested feed, mg]]*1000</f>
        <v>102.63937259875416</v>
      </c>
      <c r="AT251" s="94">
        <f>Table3.110[[#This Row],[CH4 24h, ml]]/'3.2 Digest'!AA251</f>
        <v>-0.16107934157985151</v>
      </c>
      <c r="AU251" s="94">
        <f>((Table3.110[[#This Row],[CH4 24h, ml]]/28.9)*16.04)/Table3.110[[#This Row],[DM Incubated, mg]]*1000</f>
        <v>8.2470329529837461</v>
      </c>
      <c r="AV251" s="94">
        <f>((Table3.110[[#This Row],[CH4 24h, ml]]/28.9)*16.04)/Table3.110[[#This Row],[Digested feed, mg]]*1000</f>
        <v>56.966627560000582</v>
      </c>
    </row>
    <row r="252" spans="2:49" s="89" customFormat="1" x14ac:dyDescent="0.35">
      <c r="B252" s="90">
        <f t="shared" si="3"/>
        <v>242</v>
      </c>
      <c r="C252" s="140">
        <v>46076</v>
      </c>
      <c r="D252" s="6" t="s">
        <v>16</v>
      </c>
      <c r="E252" s="6" t="str">
        <f>'[1]1. Information samples'!$F$30</f>
        <v>CIAT-23932</v>
      </c>
      <c r="F252" s="6" t="s">
        <v>19</v>
      </c>
      <c r="G252" s="6" t="s">
        <v>20</v>
      </c>
      <c r="H252" s="6" t="str">
        <f>'[1]1. Information samples'!$I$30</f>
        <v>Dendrolobium triangulare</v>
      </c>
      <c r="I252" s="6" t="s">
        <v>22</v>
      </c>
      <c r="J252" s="129" t="s">
        <v>23</v>
      </c>
      <c r="K252" s="129" t="s">
        <v>24</v>
      </c>
      <c r="L252" s="6" t="str">
        <f>'[1]1. Information samples'!$E$30</f>
        <v>F251742</v>
      </c>
      <c r="M252" s="119">
        <v>27</v>
      </c>
      <c r="N252" s="93">
        <v>69</v>
      </c>
      <c r="O252" s="6">
        <v>3</v>
      </c>
      <c r="P252" s="129">
        <v>2</v>
      </c>
      <c r="Q252" s="6">
        <v>104</v>
      </c>
      <c r="R252" s="98">
        <v>0.50019999999999998</v>
      </c>
      <c r="S252" s="94">
        <f>((Table3.110[[#This Row],[Sample weight, g]]*'2.1. DM'!Q39)/100)*1000</f>
        <v>475.79999999999956</v>
      </c>
      <c r="T252" s="94">
        <f>'3.2 Digest'!W252</f>
        <v>85.099999999999511</v>
      </c>
      <c r="U252" s="117">
        <v>0.3298611111111111</v>
      </c>
      <c r="V252" s="155">
        <v>42</v>
      </c>
      <c r="W252" s="117">
        <v>0.66874999999999996</v>
      </c>
      <c r="X252" s="96">
        <v>67.5</v>
      </c>
      <c r="Y252" s="96">
        <v>13.6</v>
      </c>
      <c r="Z252" s="155">
        <v>40</v>
      </c>
      <c r="AA252" s="117">
        <v>0.34444444444444444</v>
      </c>
      <c r="AB252" s="155">
        <v>63.5</v>
      </c>
      <c r="AC252" s="155">
        <v>17.600000000000001</v>
      </c>
      <c r="AD252" s="96"/>
      <c r="AE252" s="94">
        <f>Table3.110[[#This Row],[Gas 8h, ml]]-Table3.110[[#This Row],[Gas 0h, ml]]</f>
        <v>25.5</v>
      </c>
      <c r="AF252" s="94">
        <f>Table3.110[[#This Row],[Gas 24h, ml]]-Table3.110[[#This Row],[V8 Push back, ml]]</f>
        <v>23.5</v>
      </c>
      <c r="AG252" s="94">
        <f>Table3.110[[#This Row],[GP 8h, ml]]-(AVERAGE(AE$221,AE$222,AE$255,AE$256,AE$291,AE$292))*$AG$8</f>
        <v>24.024988739845064</v>
      </c>
      <c r="AH252" s="94">
        <f>Table3.110[[#This Row],[GP 8-24h, ml]]-(AVERAGE(AF$221,AF$222,AF$255,AF$256,AF$291,AF$292))*$AG$8</f>
        <v>21.508734798790837</v>
      </c>
      <c r="AI252" s="94">
        <f>Table3.110[[#This Row],[Net gas 8-24h, ml]]+Table3.110[[#This Row],[Net gas 8h, ml]]</f>
        <v>45.533723538635897</v>
      </c>
      <c r="AJ252" s="94">
        <f>Table3.110[[#This Row],[Net gas 8h, ml]]*Table3.110[[#This Row],[CH4 8h %]]%</f>
        <v>3.267398468618929</v>
      </c>
      <c r="AK252" s="94">
        <f>Table3.110[[#This Row],[Net gas 8-24h, ml]]*Table3.110[[#This Row],[CH4 24h, %]]%</f>
        <v>3.7855373245871875</v>
      </c>
      <c r="AL252" s="94">
        <f>Table3.110[[#This Row],[CH4 8-24h, ml]]+Table3.110[[#This Row],[CH4 8h, ml]]</f>
        <v>7.0529357932061165</v>
      </c>
      <c r="AM252" s="94">
        <f>(Table3.110[[#This Row],[Net gas 24h, ml]]/Table3.110[[#This Row],[DM Incubated, mg]])*1000</f>
        <v>95.699292851273512</v>
      </c>
      <c r="AN252" s="94">
        <f>'3.2 Digest'!X252</f>
        <v>17.8856662463219</v>
      </c>
      <c r="AO252" s="94">
        <f>Table3.110[[#This Row],[Digested feed, mg]]/Table3.110[[#This Row],[Net gas 24h, ml]]</f>
        <v>1.8689444522978922</v>
      </c>
      <c r="AP252" s="94">
        <f>Table3.110[[#This Row],[CH4 8h, ml]]/Table3.110[[#This Row],[Net gas 8h, ml]]%</f>
        <v>13.600000000000001</v>
      </c>
      <c r="AQ252" s="94">
        <f>Table3.110[[#This Row],[CH4 24h, ml]]/Table3.110[[#This Row],[Net gas 24h, ml]]%</f>
        <v>15.48947734797401</v>
      </c>
      <c r="AR252" s="94">
        <f>Table3.110[[#This Row],[CH4 24h, ml]]/Table3.110[[#This Row],[DM Incubated, mg]]*1000</f>
        <v>14.82332028836932</v>
      </c>
      <c r="AS252" s="94">
        <f>Table3.110[[#This Row],[CH4 24h, ml]]/Table3.110[[#This Row],[Digested feed, mg]]*1000</f>
        <v>82.878211436030057</v>
      </c>
      <c r="AT252" s="94">
        <f>Table3.110[[#This Row],[CH4 24h, ml]]/'3.2 Digest'!AA252</f>
        <v>-0.18480424512114466</v>
      </c>
      <c r="AU252" s="94">
        <f>((Table3.110[[#This Row],[CH4 24h, ml]]/28.9)*16.04)/Table3.110[[#This Row],[DM Incubated, mg]]*1000</f>
        <v>8.2271992188734924</v>
      </c>
      <c r="AV252" s="94">
        <f>((Table3.110[[#This Row],[CH4 24h, ml]]/28.9)*16.04)/Table3.110[[#This Row],[Digested feed, mg]]*1000</f>
        <v>45.998841226087265</v>
      </c>
    </row>
    <row r="253" spans="2:49" s="89" customFormat="1" x14ac:dyDescent="0.35">
      <c r="B253" s="90">
        <f t="shared" si="3"/>
        <v>243</v>
      </c>
      <c r="C253" s="140">
        <v>46076</v>
      </c>
      <c r="D253" s="6" t="s">
        <v>16</v>
      </c>
      <c r="E253" s="6" t="str">
        <f>'[1]1. Information samples'!$F$31</f>
        <v>CIAT-23933</v>
      </c>
      <c r="F253" s="6" t="s">
        <v>19</v>
      </c>
      <c r="G253" s="6" t="s">
        <v>20</v>
      </c>
      <c r="H253" s="6" t="str">
        <f>'[1]1. Information samples'!$I$31</f>
        <v>Dendrolobium triangulare</v>
      </c>
      <c r="I253" s="6" t="s">
        <v>22</v>
      </c>
      <c r="J253" s="129" t="s">
        <v>23</v>
      </c>
      <c r="K253" s="129" t="s">
        <v>24</v>
      </c>
      <c r="L253" s="6" t="str">
        <f>'[1]1. Information samples'!$E$31</f>
        <v>F251743</v>
      </c>
      <c r="M253" s="119">
        <v>27</v>
      </c>
      <c r="N253" s="93">
        <v>69</v>
      </c>
      <c r="O253" s="6">
        <v>3</v>
      </c>
      <c r="P253" s="129">
        <v>1</v>
      </c>
      <c r="Q253" s="6">
        <v>105</v>
      </c>
      <c r="R253" s="98">
        <v>0.50039999999999996</v>
      </c>
      <c r="S253" s="94">
        <f>((Table3.110[[#This Row],[Sample weight, g]]*'2.1. DM'!Q41)/100)*1000</f>
        <v>468.98112343719157</v>
      </c>
      <c r="T253" s="94">
        <f>'3.2 Digest'!W253</f>
        <v>94.98112343719157</v>
      </c>
      <c r="U253" s="117">
        <v>0.3298611111111111</v>
      </c>
      <c r="V253" s="155">
        <v>41</v>
      </c>
      <c r="W253" s="117">
        <v>0.6694444444444444</v>
      </c>
      <c r="X253" s="96">
        <v>64</v>
      </c>
      <c r="Y253" s="96">
        <v>13.8</v>
      </c>
      <c r="Z253" s="155">
        <v>40</v>
      </c>
      <c r="AA253" s="117">
        <v>0.34513888888888888</v>
      </c>
      <c r="AB253" s="155">
        <v>67</v>
      </c>
      <c r="AC253" s="155">
        <v>16.8</v>
      </c>
      <c r="AD253" s="96"/>
      <c r="AE253" s="94">
        <f>Table3.110[[#This Row],[Gas 8h, ml]]-Table3.110[[#This Row],[Gas 0h, ml]]</f>
        <v>23</v>
      </c>
      <c r="AF253" s="94">
        <f>Table3.110[[#This Row],[Gas 24h, ml]]-Table3.110[[#This Row],[V8 Push back, ml]]</f>
        <v>27</v>
      </c>
      <c r="AG253" s="94">
        <f>Table3.110[[#This Row],[GP 8h, ml]]-(AVERAGE(AE$221,AE$222,AE$255,AE$256,AE$291,AE$292))*$AG$8</f>
        <v>21.524988739845064</v>
      </c>
      <c r="AH253" s="94">
        <f>Table3.110[[#This Row],[GP 8-24h, ml]]-(AVERAGE(AF$221,AF$222,AF$255,AF$256,AF$291,AF$292))*$AG$8</f>
        <v>25.008734798790837</v>
      </c>
      <c r="AI253" s="94">
        <f>Table3.110[[#This Row],[Net gas 8-24h, ml]]+Table3.110[[#This Row],[Net gas 8h, ml]]</f>
        <v>46.533723538635897</v>
      </c>
      <c r="AJ253" s="94">
        <f>Table3.110[[#This Row],[Net gas 8h, ml]]*Table3.110[[#This Row],[CH4 8h %]]%</f>
        <v>2.9704484460986191</v>
      </c>
      <c r="AK253" s="94">
        <f>Table3.110[[#This Row],[Net gas 8-24h, ml]]*Table3.110[[#This Row],[CH4 24h, %]]%</f>
        <v>4.2014674461968609</v>
      </c>
      <c r="AL253" s="94">
        <f>Table3.110[[#This Row],[CH4 8-24h, ml]]+Table3.110[[#This Row],[CH4 8h, ml]]</f>
        <v>7.1719158922954804</v>
      </c>
      <c r="AM253" s="94">
        <f>(Table3.110[[#This Row],[Net gas 24h, ml]]/Table3.110[[#This Row],[DM Incubated, mg]])*1000</f>
        <v>99.223020316014782</v>
      </c>
      <c r="AN253" s="94">
        <f>'3.2 Digest'!X253</f>
        <v>20.252653825610093</v>
      </c>
      <c r="AO253" s="94">
        <f>Table3.110[[#This Row],[Digested feed, mg]]/Table3.110[[#This Row],[Net gas 24h, ml]]</f>
        <v>2.0411245052919718</v>
      </c>
      <c r="AP253" s="94">
        <f>Table3.110[[#This Row],[CH4 8h, ml]]/Table3.110[[#This Row],[Net gas 8h, ml]]%</f>
        <v>13.800000000000002</v>
      </c>
      <c r="AQ253" s="94">
        <f>Table3.110[[#This Row],[CH4 24h, ml]]/Table3.110[[#This Row],[Net gas 24h, ml]]%</f>
        <v>15.412297462808453</v>
      </c>
      <c r="AR253" s="94">
        <f>Table3.110[[#This Row],[CH4 24h, ml]]/Table3.110[[#This Row],[DM Incubated, mg]]*1000</f>
        <v>15.292547042687062</v>
      </c>
      <c r="AS253" s="94">
        <f>Table3.110[[#This Row],[CH4 24h, ml]]/Table3.110[[#This Row],[Digested feed, mg]]*1000</f>
        <v>75.508855157288949</v>
      </c>
      <c r="AT253" s="94">
        <f>Table3.110[[#This Row],[CH4 24h, ml]]/'3.2 Digest'!AA253</f>
        <v>-0.30020022760574772</v>
      </c>
      <c r="AU253" s="94">
        <f>((Table3.110[[#This Row],[CH4 24h, ml]]/28.9)*16.04)/Table3.110[[#This Row],[DM Incubated, mg]]*1000</f>
        <v>8.4876281856297737</v>
      </c>
      <c r="AV253" s="94">
        <f>((Table3.110[[#This Row],[CH4 24h, ml]]/28.9)*16.04)/Table3.110[[#This Row],[Digested feed, mg]]*1000</f>
        <v>41.908720993872471</v>
      </c>
    </row>
    <row r="254" spans="2:49" s="89" customFormat="1" x14ac:dyDescent="0.35">
      <c r="B254" s="90">
        <f t="shared" si="3"/>
        <v>244</v>
      </c>
      <c r="C254" s="140">
        <v>46076</v>
      </c>
      <c r="D254" s="6" t="s">
        <v>16</v>
      </c>
      <c r="E254" s="6" t="str">
        <f>'[1]1. Information samples'!$F$31</f>
        <v>CIAT-23933</v>
      </c>
      <c r="F254" s="6" t="s">
        <v>19</v>
      </c>
      <c r="G254" s="6" t="s">
        <v>20</v>
      </c>
      <c r="H254" s="6" t="str">
        <f>'[1]1. Information samples'!$I$31</f>
        <v>Dendrolobium triangulare</v>
      </c>
      <c r="I254" s="6" t="s">
        <v>22</v>
      </c>
      <c r="J254" s="129" t="s">
        <v>23</v>
      </c>
      <c r="K254" s="129" t="s">
        <v>24</v>
      </c>
      <c r="L254" s="6" t="str">
        <f>'[1]1. Information samples'!$E$31</f>
        <v>F251743</v>
      </c>
      <c r="M254" s="119">
        <v>27</v>
      </c>
      <c r="N254" s="93">
        <v>69</v>
      </c>
      <c r="O254" s="6">
        <v>3</v>
      </c>
      <c r="P254" s="129">
        <v>2</v>
      </c>
      <c r="Q254" s="6">
        <v>106</v>
      </c>
      <c r="R254" s="98">
        <v>0.50039999999999996</v>
      </c>
      <c r="S254" s="94">
        <f>((Table3.110[[#This Row],[Sample weight, g]]*'2.1. DM'!Q41)/100)*1000</f>
        <v>468.98112343719157</v>
      </c>
      <c r="T254" s="94">
        <f>'3.2 Digest'!W254</f>
        <v>12.081123437191593</v>
      </c>
      <c r="U254" s="117">
        <v>0.33055555555555555</v>
      </c>
      <c r="V254" s="155">
        <v>41.5</v>
      </c>
      <c r="W254" s="117">
        <v>0.67013888888888884</v>
      </c>
      <c r="X254" s="96">
        <v>64.5</v>
      </c>
      <c r="Y254" s="96">
        <v>13.8</v>
      </c>
      <c r="Z254" s="155">
        <v>40.5</v>
      </c>
      <c r="AA254" s="117">
        <v>0.34583333333333333</v>
      </c>
      <c r="AB254" s="155">
        <v>65</v>
      </c>
      <c r="AC254" s="155">
        <v>17.399999999999999</v>
      </c>
      <c r="AD254" s="96"/>
      <c r="AE254" s="94">
        <f>Table3.110[[#This Row],[Gas 8h, ml]]-Table3.110[[#This Row],[Gas 0h, ml]]</f>
        <v>23</v>
      </c>
      <c r="AF254" s="94">
        <f>Table3.110[[#This Row],[Gas 24h, ml]]-Table3.110[[#This Row],[V8 Push back, ml]]</f>
        <v>24.5</v>
      </c>
      <c r="AG254" s="94">
        <f>Table3.110[[#This Row],[GP 8h, ml]]-(AVERAGE(AE$221,AE$222,AE$255,AE$256,AE$291,AE$292))*$AG$8</f>
        <v>21.524988739845064</v>
      </c>
      <c r="AH254" s="94">
        <f>Table3.110[[#This Row],[GP 8-24h, ml]]-(AVERAGE(AF$221,AF$222,AF$255,AF$256,AF$291,AF$292))*$AG$8</f>
        <v>22.508734798790837</v>
      </c>
      <c r="AI254" s="94">
        <f>Table3.110[[#This Row],[Net gas 8-24h, ml]]+Table3.110[[#This Row],[Net gas 8h, ml]]</f>
        <v>44.033723538635897</v>
      </c>
      <c r="AJ254" s="94">
        <f>Table3.110[[#This Row],[Net gas 8h, ml]]*Table3.110[[#This Row],[CH4 8h %]]%</f>
        <v>2.9704484460986191</v>
      </c>
      <c r="AK254" s="94">
        <f>Table3.110[[#This Row],[Net gas 8-24h, ml]]*Table3.110[[#This Row],[CH4 24h, %]]%</f>
        <v>3.9165198549896054</v>
      </c>
      <c r="AL254" s="94">
        <f>Table3.110[[#This Row],[CH4 8-24h, ml]]+Table3.110[[#This Row],[CH4 8h, ml]]</f>
        <v>6.8869683010882241</v>
      </c>
      <c r="AM254" s="94">
        <f>(Table3.110[[#This Row],[Net gas 24h, ml]]/Table3.110[[#This Row],[DM Incubated, mg]])*1000</f>
        <v>93.892315357833638</v>
      </c>
      <c r="AN254" s="94">
        <f>'3.2 Digest'!X254</f>
        <v>2.5760361842814259</v>
      </c>
      <c r="AO254" s="94">
        <f>Table3.110[[#This Row],[Digested feed, mg]]/Table3.110[[#This Row],[Net gas 24h, ml]]</f>
        <v>0.27436070507622234</v>
      </c>
      <c r="AP254" s="94">
        <f>Table3.110[[#This Row],[CH4 8h, ml]]/Table3.110[[#This Row],[Net gas 8h, ml]]%</f>
        <v>13.800000000000002</v>
      </c>
      <c r="AQ254" s="94">
        <f>Table3.110[[#This Row],[CH4 24h, ml]]/Table3.110[[#This Row],[Net gas 24h, ml]]%</f>
        <v>15.640213335684608</v>
      </c>
      <c r="AR254" s="94">
        <f>Table3.110[[#This Row],[CH4 24h, ml]]/Table3.110[[#This Row],[DM Incubated, mg]]*1000</f>
        <v>14.684958427778946</v>
      </c>
      <c r="AS254" s="94">
        <f>Table3.110[[#This Row],[CH4 24h, ml]]/Table3.110[[#This Row],[Digested feed, mg]]*1000</f>
        <v>570.06025448649712</v>
      </c>
      <c r="AT254" s="94">
        <f>Table3.110[[#This Row],[CH4 24h, ml]]/'3.2 Digest'!AA254</f>
        <v>-0.13411368785789635</v>
      </c>
      <c r="AU254" s="94">
        <f>((Table3.110[[#This Row],[CH4 24h, ml]]/28.9)*16.04)/Table3.110[[#This Row],[DM Incubated, mg]]*1000</f>
        <v>8.1504059924420176</v>
      </c>
      <c r="AV254" s="94">
        <f>((Table3.110[[#This Row],[CH4 24h, ml]]/28.9)*16.04)/Table3.110[[#This Row],[Digested feed, mg]]*1000</f>
        <v>316.39330387416658</v>
      </c>
    </row>
    <row r="255" spans="2:49" s="89" customFormat="1" x14ac:dyDescent="0.35">
      <c r="B255" s="90">
        <f t="shared" si="3"/>
        <v>245</v>
      </c>
      <c r="C255" s="143">
        <v>46076</v>
      </c>
      <c r="D255" s="6"/>
      <c r="E255" s="124" t="s">
        <v>541</v>
      </c>
      <c r="F255" s="6" t="s">
        <v>538</v>
      </c>
      <c r="G255" s="6" t="s">
        <v>542</v>
      </c>
      <c r="H255" s="124" t="s">
        <v>541</v>
      </c>
      <c r="I255" s="6"/>
      <c r="J255" s="129"/>
      <c r="K255" s="129"/>
      <c r="L255" s="124" t="s">
        <v>541</v>
      </c>
      <c r="M255" s="119">
        <v>27</v>
      </c>
      <c r="N255" s="93">
        <v>69</v>
      </c>
      <c r="O255" s="124">
        <v>3</v>
      </c>
      <c r="P255" s="146">
        <v>1</v>
      </c>
      <c r="Q255" s="124">
        <v>107</v>
      </c>
      <c r="R255" s="148"/>
      <c r="S255" s="94"/>
      <c r="T255" s="94">
        <f>'3.2 Digest'!W255</f>
        <v>0</v>
      </c>
      <c r="U255" s="149">
        <v>0.33055555555555555</v>
      </c>
      <c r="V255" s="150">
        <v>39.5</v>
      </c>
      <c r="W255" s="149">
        <v>0.67013888888888884</v>
      </c>
      <c r="X255" s="163">
        <v>41</v>
      </c>
      <c r="Y255" s="163"/>
      <c r="Z255" s="150"/>
      <c r="AA255" s="149"/>
      <c r="AB255" s="150"/>
      <c r="AC255" s="150"/>
      <c r="AD255" s="163"/>
      <c r="AE255" s="94">
        <f>Table3.110[[#This Row],[Gas 8h, ml]]-Table3.110[[#This Row],[Gas 0h, ml]]</f>
        <v>1.5</v>
      </c>
      <c r="AF255" s="94"/>
      <c r="AG255" s="94"/>
      <c r="AH255" s="94"/>
      <c r="AI255" s="94"/>
      <c r="AJ255" s="94"/>
      <c r="AK255" s="94"/>
      <c r="AL255" s="94"/>
      <c r="AM255" s="94"/>
      <c r="AN255" s="94"/>
      <c r="AO255" s="94"/>
      <c r="AP255" s="94"/>
      <c r="AQ255" s="94"/>
      <c r="AR255" s="94"/>
      <c r="AS255" s="94"/>
      <c r="AT255" s="94"/>
      <c r="AU255" s="94"/>
      <c r="AV255" s="94"/>
    </row>
    <row r="256" spans="2:49" s="89" customFormat="1" x14ac:dyDescent="0.35">
      <c r="B256" s="90">
        <f t="shared" si="3"/>
        <v>246</v>
      </c>
      <c r="C256" s="143">
        <v>46076</v>
      </c>
      <c r="D256" s="6"/>
      <c r="E256" s="124" t="s">
        <v>541</v>
      </c>
      <c r="F256" s="6" t="s">
        <v>538</v>
      </c>
      <c r="G256" s="6" t="s">
        <v>542</v>
      </c>
      <c r="H256" s="124" t="s">
        <v>541</v>
      </c>
      <c r="I256" s="6"/>
      <c r="J256" s="129"/>
      <c r="K256" s="129"/>
      <c r="L256" s="124" t="s">
        <v>541</v>
      </c>
      <c r="M256" s="119">
        <v>27</v>
      </c>
      <c r="N256" s="93">
        <v>69</v>
      </c>
      <c r="O256" s="124">
        <v>3</v>
      </c>
      <c r="P256" s="124">
        <v>2</v>
      </c>
      <c r="Q256" s="124">
        <v>108</v>
      </c>
      <c r="R256" s="148"/>
      <c r="S256" s="94"/>
      <c r="T256" s="94">
        <f>'3.2 Digest'!W256</f>
        <v>0</v>
      </c>
      <c r="U256" s="151">
        <v>0.33055555555555555</v>
      </c>
      <c r="V256" s="152">
        <v>40</v>
      </c>
      <c r="W256" s="151">
        <v>0.67083333333333328</v>
      </c>
      <c r="X256" s="164">
        <v>42</v>
      </c>
      <c r="Y256" s="164"/>
      <c r="Z256" s="152"/>
      <c r="AA256" s="151"/>
      <c r="AB256" s="152"/>
      <c r="AC256" s="152"/>
      <c r="AD256" s="164"/>
      <c r="AE256" s="94">
        <f>Table3.110[[#This Row],[Gas 8h, ml]]-Table3.110[[#This Row],[Gas 0h, ml]]</f>
        <v>2</v>
      </c>
      <c r="AF256" s="94"/>
      <c r="AG256" s="94"/>
      <c r="AH256" s="94"/>
      <c r="AI256" s="94"/>
      <c r="AJ256" s="94"/>
      <c r="AK256" s="94"/>
      <c r="AL256" s="94"/>
      <c r="AM256" s="94"/>
      <c r="AN256" s="94"/>
      <c r="AO256" s="94"/>
      <c r="AP256" s="94"/>
      <c r="AQ256" s="94"/>
      <c r="AR256" s="94"/>
      <c r="AS256" s="94"/>
      <c r="AT256" s="94"/>
      <c r="AU256" s="94"/>
      <c r="AV256" s="94"/>
    </row>
    <row r="257" spans="2:49" s="89" customFormat="1" x14ac:dyDescent="0.35">
      <c r="B257" s="90">
        <f t="shared" si="3"/>
        <v>247</v>
      </c>
      <c r="C257" s="140">
        <v>46076</v>
      </c>
      <c r="D257" s="6" t="s">
        <v>16</v>
      </c>
      <c r="E257" s="6" t="str">
        <f>'[1]1. Information samples'!$F$32</f>
        <v>CIAT-23934</v>
      </c>
      <c r="F257" s="6" t="s">
        <v>19</v>
      </c>
      <c r="G257" s="6" t="s">
        <v>20</v>
      </c>
      <c r="H257" s="6" t="str">
        <f>'[1]1. Information samples'!$I$32</f>
        <v>Dendrolobium triangulare</v>
      </c>
      <c r="I257" s="6" t="s">
        <v>22</v>
      </c>
      <c r="J257" s="129" t="s">
        <v>23</v>
      </c>
      <c r="K257" s="129" t="s">
        <v>24</v>
      </c>
      <c r="L257" s="6" t="str">
        <f>'[1]1. Information samples'!$E$32</f>
        <v>F251744</v>
      </c>
      <c r="M257" s="119">
        <v>27</v>
      </c>
      <c r="N257" s="93">
        <v>69</v>
      </c>
      <c r="O257" s="6">
        <v>3</v>
      </c>
      <c r="P257" s="129">
        <v>1</v>
      </c>
      <c r="Q257" s="6">
        <v>109</v>
      </c>
      <c r="R257" s="98">
        <v>0.5</v>
      </c>
      <c r="S257" s="94">
        <f>((Table3.110[[#This Row],[Sample weight, g]]*'2.1. DM'!Q43)/100)*1000</f>
        <v>470.85879972016795</v>
      </c>
      <c r="T257" s="94">
        <f>'3.2 Digest'!W257</f>
        <v>135.75879972016799</v>
      </c>
      <c r="U257" s="153">
        <v>0.33055555555555555</v>
      </c>
      <c r="V257" s="154">
        <v>41.5</v>
      </c>
      <c r="W257" s="153">
        <v>0.67083333333333328</v>
      </c>
      <c r="X257" s="91">
        <v>72</v>
      </c>
      <c r="Y257" s="91">
        <v>13.8</v>
      </c>
      <c r="Z257" s="154">
        <v>40</v>
      </c>
      <c r="AA257" s="153">
        <v>0.34583333333333333</v>
      </c>
      <c r="AB257" s="154">
        <v>65.5</v>
      </c>
      <c r="AC257" s="154">
        <v>16.8</v>
      </c>
      <c r="AD257" s="91"/>
      <c r="AE257" s="94">
        <f>Table3.110[[#This Row],[Gas 8h, ml]]-Table3.110[[#This Row],[Gas 0h, ml]]</f>
        <v>30.5</v>
      </c>
      <c r="AF257" s="94">
        <f>Table3.110[[#This Row],[Gas 24h, ml]]-Table3.110[[#This Row],[V8 Push back, ml]]</f>
        <v>25.5</v>
      </c>
      <c r="AG257" s="94">
        <f>Table3.110[[#This Row],[GP 8h, ml]]-(AVERAGE(AE$221,AE$222,AE$255,AE$256,AE$291,AE$292))*$AG$8</f>
        <v>29.024988739845064</v>
      </c>
      <c r="AH257" s="94">
        <f>Table3.110[[#This Row],[GP 8-24h, ml]]-(AVERAGE(AF$221,AF$222,AF$255,AF$256,AF$291,AF$292))*$AG$8</f>
        <v>23.508734798790837</v>
      </c>
      <c r="AI257" s="94">
        <f>Table3.110[[#This Row],[Net gas 8-24h, ml]]+Table3.110[[#This Row],[Net gas 8h, ml]]</f>
        <v>52.533723538635897</v>
      </c>
      <c r="AJ257" s="94">
        <f>Table3.110[[#This Row],[Net gas 8h, ml]]*Table3.110[[#This Row],[CH4 8h %]]%</f>
        <v>4.0054484460986188</v>
      </c>
      <c r="AK257" s="94">
        <f>Table3.110[[#This Row],[Net gas 8-24h, ml]]*Table3.110[[#This Row],[CH4 24h, %]]%</f>
        <v>3.9494674461968606</v>
      </c>
      <c r="AL257" s="94">
        <f>Table3.110[[#This Row],[CH4 8-24h, ml]]+Table3.110[[#This Row],[CH4 8h, ml]]</f>
        <v>7.9549158922954799</v>
      </c>
      <c r="AM257" s="94">
        <f>(Table3.110[[#This Row],[Net gas 24h, ml]]/Table3.110[[#This Row],[DM Incubated, mg]])*1000</f>
        <v>111.57001540558818</v>
      </c>
      <c r="AN257" s="94">
        <f>'3.2 Digest'!X257</f>
        <v>28.832167902744864</v>
      </c>
      <c r="AO257" s="94">
        <f>Table3.110[[#This Row],[Digested feed, mg]]/Table3.110[[#This Row],[Net gas 24h, ml]]</f>
        <v>2.5842219164290583</v>
      </c>
      <c r="AP257" s="94">
        <f>Table3.110[[#This Row],[CH4 8h, ml]]/Table3.110[[#This Row],[Net gas 8h, ml]]%</f>
        <v>13.799999999999999</v>
      </c>
      <c r="AQ257" s="94">
        <f>Table3.110[[#This Row],[CH4 24h, ml]]/Table3.110[[#This Row],[Net gas 24h, ml]]%</f>
        <v>15.142493919063325</v>
      </c>
      <c r="AR257" s="94">
        <f>Table3.110[[#This Row],[CH4 24h, ml]]/Table3.110[[#This Row],[DM Incubated, mg]]*1000</f>
        <v>16.894482798289204</v>
      </c>
      <c r="AS257" s="94">
        <f>Table3.110[[#This Row],[CH4 24h, ml]]/Table3.110[[#This Row],[Digested feed, mg]]*1000</f>
        <v>58.595950381798474</v>
      </c>
      <c r="AT257" s="94">
        <f>Table3.110[[#This Row],[CH4 24h, ml]]/'3.2 Digest'!AA257</f>
        <v>-0.36724181468626504</v>
      </c>
      <c r="AU257" s="94">
        <f>((Table3.110[[#This Row],[CH4 24h, ml]]/28.9)*16.04)/Table3.110[[#This Row],[DM Incubated, mg]]*1000</f>
        <v>9.3767302451404451</v>
      </c>
      <c r="AV257" s="94">
        <f>((Table3.110[[#This Row],[CH4 24h, ml]]/28.9)*16.04)/Table3.110[[#This Row],[Digested feed, mg]]*1000</f>
        <v>32.521766232666003</v>
      </c>
    </row>
    <row r="258" spans="2:49" s="89" customFormat="1" x14ac:dyDescent="0.35">
      <c r="B258" s="90">
        <f t="shared" si="3"/>
        <v>248</v>
      </c>
      <c r="C258" s="140">
        <v>46076</v>
      </c>
      <c r="D258" s="6" t="s">
        <v>16</v>
      </c>
      <c r="E258" s="6" t="str">
        <f>'[1]1. Information samples'!$F$32</f>
        <v>CIAT-23934</v>
      </c>
      <c r="F258" s="6" t="s">
        <v>19</v>
      </c>
      <c r="G258" s="6" t="s">
        <v>20</v>
      </c>
      <c r="H258" s="6" t="str">
        <f>'[1]1. Information samples'!$I$32</f>
        <v>Dendrolobium triangulare</v>
      </c>
      <c r="I258" s="6" t="s">
        <v>22</v>
      </c>
      <c r="J258" s="129" t="s">
        <v>23</v>
      </c>
      <c r="K258" s="129" t="s">
        <v>24</v>
      </c>
      <c r="L258" s="6" t="str">
        <f>'[1]1. Information samples'!$E$32</f>
        <v>F251744</v>
      </c>
      <c r="M258" s="119">
        <v>27</v>
      </c>
      <c r="N258" s="93">
        <v>69</v>
      </c>
      <c r="O258" s="6">
        <v>3</v>
      </c>
      <c r="P258" s="129">
        <v>2</v>
      </c>
      <c r="Q258" s="6">
        <v>110</v>
      </c>
      <c r="R258" s="98">
        <v>0.50060000000000004</v>
      </c>
      <c r="S258" s="94">
        <f>((Table3.110[[#This Row],[Sample weight, g]]*'2.1. DM'!Q43)/100)*1000</f>
        <v>471.4238302798322</v>
      </c>
      <c r="T258" s="94">
        <f>'3.2 Digest'!W258</f>
        <v>130.12383027983213</v>
      </c>
      <c r="U258" s="117">
        <v>0.33124999999999999</v>
      </c>
      <c r="V258" s="155">
        <v>41.5</v>
      </c>
      <c r="W258" s="117">
        <v>0.67083333333333328</v>
      </c>
      <c r="X258" s="96">
        <v>72.5</v>
      </c>
      <c r="Y258" s="96">
        <v>13.9</v>
      </c>
      <c r="Z258" s="155">
        <v>40.5</v>
      </c>
      <c r="AA258" s="117">
        <v>0.34652777777777777</v>
      </c>
      <c r="AB258" s="155">
        <v>61</v>
      </c>
      <c r="AC258" s="155">
        <v>16.8</v>
      </c>
      <c r="AD258" s="96"/>
      <c r="AE258" s="94">
        <f>Table3.110[[#This Row],[Gas 8h, ml]]-Table3.110[[#This Row],[Gas 0h, ml]]</f>
        <v>31</v>
      </c>
      <c r="AF258" s="94">
        <f>Table3.110[[#This Row],[Gas 24h, ml]]-Table3.110[[#This Row],[V8 Push back, ml]]</f>
        <v>20.5</v>
      </c>
      <c r="AG258" s="94">
        <f>Table3.110[[#This Row],[GP 8h, ml]]-(AVERAGE(AE$221,AE$222,AE$255,AE$256,AE$291,AE$292))*$AG$8</f>
        <v>29.524988739845064</v>
      </c>
      <c r="AH258" s="94">
        <f>Table3.110[[#This Row],[GP 8-24h, ml]]-(AVERAGE(AF$221,AF$222,AF$255,AF$256,AF$291,AF$292))*$AG$8</f>
        <v>18.508734798790837</v>
      </c>
      <c r="AI258" s="94">
        <f>Table3.110[[#This Row],[Net gas 8-24h, ml]]+Table3.110[[#This Row],[Net gas 8h, ml]]</f>
        <v>48.033723538635897</v>
      </c>
      <c r="AJ258" s="94">
        <f>Table3.110[[#This Row],[Net gas 8h, ml]]*Table3.110[[#This Row],[CH4 8h %]]%</f>
        <v>4.1039734348384647</v>
      </c>
      <c r="AK258" s="94">
        <f>Table3.110[[#This Row],[Net gas 8-24h, ml]]*Table3.110[[#This Row],[CH4 24h, %]]%</f>
        <v>3.1094674461968608</v>
      </c>
      <c r="AL258" s="94">
        <f>Table3.110[[#This Row],[CH4 8-24h, ml]]+Table3.110[[#This Row],[CH4 8h, ml]]</f>
        <v>7.213440881035325</v>
      </c>
      <c r="AM258" s="94">
        <f>(Table3.110[[#This Row],[Net gas 24h, ml]]/Table3.110[[#This Row],[DM Incubated, mg]])*1000</f>
        <v>101.89074131047552</v>
      </c>
      <c r="AN258" s="94">
        <f>'3.2 Digest'!X258</f>
        <v>27.602302200674071</v>
      </c>
      <c r="AO258" s="94">
        <f>Table3.110[[#This Row],[Digested feed, mg]]/Table3.110[[#This Row],[Net gas 24h, ml]]</f>
        <v>2.7090098516965297</v>
      </c>
      <c r="AP258" s="94">
        <f>Table3.110[[#This Row],[CH4 8h, ml]]/Table3.110[[#This Row],[Net gas 8h, ml]]%</f>
        <v>13.900000000000002</v>
      </c>
      <c r="AQ258" s="94">
        <f>Table3.110[[#This Row],[CH4 24h, ml]]/Table3.110[[#This Row],[Net gas 24h, ml]]%</f>
        <v>15.017450969074254</v>
      </c>
      <c r="AR258" s="94">
        <f>Table3.110[[#This Row],[CH4 24h, ml]]/Table3.110[[#This Row],[DM Incubated, mg]]*1000</f>
        <v>15.301392118326948</v>
      </c>
      <c r="AS258" s="94">
        <f>Table3.110[[#This Row],[CH4 24h, ml]]/Table3.110[[#This Row],[Digested feed, mg]]*1000</f>
        <v>55.435202495367477</v>
      </c>
      <c r="AT258" s="94">
        <f>Table3.110[[#This Row],[CH4 24h, ml]]/'3.2 Digest'!AA258</f>
        <v>-0.30354872341637651</v>
      </c>
      <c r="AU258" s="94">
        <f>((Table3.110[[#This Row],[CH4 24h, ml]]/28.9)*16.04)/Table3.110[[#This Row],[DM Incubated, mg]]*1000</f>
        <v>8.4925373556389019</v>
      </c>
      <c r="AV258" s="94">
        <f>((Table3.110[[#This Row],[CH4 24h, ml]]/28.9)*16.04)/Table3.110[[#This Row],[Digested feed, mg]]*1000</f>
        <v>30.767496471477319</v>
      </c>
    </row>
    <row r="259" spans="2:49" s="89" customFormat="1" x14ac:dyDescent="0.35">
      <c r="B259" s="90">
        <f t="shared" si="3"/>
        <v>249</v>
      </c>
      <c r="C259" s="140">
        <v>46076</v>
      </c>
      <c r="D259" s="6" t="s">
        <v>16</v>
      </c>
      <c r="E259" s="6" t="str">
        <f>'[1]1. Information samples'!$F$33</f>
        <v>CIAT-23936</v>
      </c>
      <c r="F259" s="6" t="s">
        <v>19</v>
      </c>
      <c r="G259" s="6" t="s">
        <v>20</v>
      </c>
      <c r="H259" s="6" t="str">
        <f>'[1]1. Information samples'!$I$33</f>
        <v>Dendrolobium triangulare</v>
      </c>
      <c r="I259" s="6" t="s">
        <v>22</v>
      </c>
      <c r="J259" s="129" t="s">
        <v>23</v>
      </c>
      <c r="K259" s="129" t="s">
        <v>24</v>
      </c>
      <c r="L259" s="6" t="str">
        <f>'[1]1. Information samples'!$E$33</f>
        <v>F251745</v>
      </c>
      <c r="M259" s="119">
        <v>27</v>
      </c>
      <c r="N259" s="93">
        <v>69</v>
      </c>
      <c r="O259" s="6">
        <v>3</v>
      </c>
      <c r="P259" s="129">
        <v>1</v>
      </c>
      <c r="Q259" s="6">
        <v>111</v>
      </c>
      <c r="R259" s="98">
        <v>0.50009999999999999</v>
      </c>
      <c r="S259" s="94">
        <f>((Table3.110[[#This Row],[Sample weight, g]]*'2.1. DM'!Q45)/100)*1000</f>
        <v>470.38688287027776</v>
      </c>
      <c r="T259" s="94">
        <f>'3.2 Digest'!W259</f>
        <v>46.686882870277884</v>
      </c>
      <c r="U259" s="117">
        <v>0.33124999999999999</v>
      </c>
      <c r="V259" s="155">
        <v>42</v>
      </c>
      <c r="W259" s="117">
        <v>0.67152777777777772</v>
      </c>
      <c r="X259" s="96">
        <v>67.5</v>
      </c>
      <c r="Y259" s="96">
        <v>13.3</v>
      </c>
      <c r="Z259" s="155">
        <v>41.5</v>
      </c>
      <c r="AA259" s="117">
        <v>0.34652777777777777</v>
      </c>
      <c r="AB259" s="155">
        <v>63.5</v>
      </c>
      <c r="AC259" s="155">
        <v>16</v>
      </c>
      <c r="AD259" s="96"/>
      <c r="AE259" s="94">
        <f>Table3.110[[#This Row],[Gas 8h, ml]]-Table3.110[[#This Row],[Gas 0h, ml]]</f>
        <v>25.5</v>
      </c>
      <c r="AF259" s="94">
        <f>Table3.110[[#This Row],[Gas 24h, ml]]-Table3.110[[#This Row],[V8 Push back, ml]]</f>
        <v>22</v>
      </c>
      <c r="AG259" s="94">
        <f>Table3.110[[#This Row],[GP 8h, ml]]-(AVERAGE(AE$221,AE$222,AE$255,AE$256,AE$291,AE$292))*$AG$8</f>
        <v>24.024988739845064</v>
      </c>
      <c r="AH259" s="94">
        <f>Table3.110[[#This Row],[GP 8-24h, ml]]-(AVERAGE(AF$221,AF$222,AF$255,AF$256,AF$291,AF$292))*$AG$8</f>
        <v>20.008734798790837</v>
      </c>
      <c r="AI259" s="94">
        <f>Table3.110[[#This Row],[Net gas 8-24h, ml]]+Table3.110[[#This Row],[Net gas 8h, ml]]</f>
        <v>44.033723538635897</v>
      </c>
      <c r="AJ259" s="94">
        <f>Table3.110[[#This Row],[Net gas 8h, ml]]*Table3.110[[#This Row],[CH4 8h %]]%</f>
        <v>3.1953235023993938</v>
      </c>
      <c r="AK259" s="94">
        <f>Table3.110[[#This Row],[Net gas 8-24h, ml]]*Table3.110[[#This Row],[CH4 24h, %]]%</f>
        <v>3.2013975678065338</v>
      </c>
      <c r="AL259" s="94">
        <f>Table3.110[[#This Row],[CH4 8-24h, ml]]+Table3.110[[#This Row],[CH4 8h, ml]]</f>
        <v>6.3967210702059276</v>
      </c>
      <c r="AM259" s="94">
        <f>(Table3.110[[#This Row],[Net gas 24h, ml]]/Table3.110[[#This Row],[DM Incubated, mg]])*1000</f>
        <v>93.611716529900391</v>
      </c>
      <c r="AN259" s="94">
        <f>'3.2 Digest'!X259</f>
        <v>9.9252093479726327</v>
      </c>
      <c r="AO259" s="94">
        <f>Table3.110[[#This Row],[Digested feed, mg]]/Table3.110[[#This Row],[Net gas 24h, ml]]</f>
        <v>1.0602528952454831</v>
      </c>
      <c r="AP259" s="94">
        <f>Table3.110[[#This Row],[CH4 8h, ml]]/Table3.110[[#This Row],[Net gas 8h, ml]]%</f>
        <v>13.300000000000002</v>
      </c>
      <c r="AQ259" s="94">
        <f>Table3.110[[#This Row],[CH4 24h, ml]]/Table3.110[[#This Row],[Net gas 24h, ml]]%</f>
        <v>14.526868400291749</v>
      </c>
      <c r="AR259" s="94">
        <f>Table3.110[[#This Row],[CH4 24h, ml]]/Table3.110[[#This Row],[DM Incubated, mg]]*1000</f>
        <v>13.598850867552786</v>
      </c>
      <c r="AS259" s="94">
        <f>Table3.110[[#This Row],[CH4 24h, ml]]/Table3.110[[#This Row],[Digested feed, mg]]*1000</f>
        <v>137.01323962834647</v>
      </c>
      <c r="AT259" s="94">
        <f>Table3.110[[#This Row],[CH4 24h, ml]]/'3.2 Digest'!AA259</f>
        <v>-0.13877697810160242</v>
      </c>
      <c r="AU259" s="94">
        <f>((Table3.110[[#This Row],[CH4 24h, ml]]/28.9)*16.04)/Table3.110[[#This Row],[DM Incubated, mg]]*1000</f>
        <v>7.5475975057282589</v>
      </c>
      <c r="AV259" s="94">
        <f>((Table3.110[[#This Row],[CH4 24h, ml]]/28.9)*16.04)/Table3.110[[#This Row],[Digested feed, mg]]*1000</f>
        <v>76.044718465006142</v>
      </c>
    </row>
    <row r="260" spans="2:49" s="89" customFormat="1" x14ac:dyDescent="0.35">
      <c r="B260" s="90">
        <f t="shared" si="3"/>
        <v>250</v>
      </c>
      <c r="C260" s="140">
        <v>46076</v>
      </c>
      <c r="D260" s="6" t="s">
        <v>16</v>
      </c>
      <c r="E260" s="6" t="str">
        <f>'[1]1. Information samples'!$F$33</f>
        <v>CIAT-23936</v>
      </c>
      <c r="F260" s="6" t="s">
        <v>19</v>
      </c>
      <c r="G260" s="6" t="s">
        <v>20</v>
      </c>
      <c r="H260" s="6" t="str">
        <f>'[1]1. Information samples'!$I$33</f>
        <v>Dendrolobium triangulare</v>
      </c>
      <c r="I260" s="6" t="s">
        <v>22</v>
      </c>
      <c r="J260" s="129" t="s">
        <v>23</v>
      </c>
      <c r="K260" s="129" t="s">
        <v>24</v>
      </c>
      <c r="L260" s="6" t="str">
        <f>'[1]1. Information samples'!$E$33</f>
        <v>F251745</v>
      </c>
      <c r="M260" s="119">
        <v>27</v>
      </c>
      <c r="N260" s="93">
        <v>69</v>
      </c>
      <c r="O260" s="6">
        <v>3</v>
      </c>
      <c r="P260" s="129">
        <v>2</v>
      </c>
      <c r="Q260" s="6">
        <v>112</v>
      </c>
      <c r="R260" s="98">
        <v>0.50060000000000004</v>
      </c>
      <c r="S260" s="94">
        <f>((Table3.110[[#This Row],[Sample weight, g]]*'2.1. DM'!Q45)/100)*1000</f>
        <v>470.85717569458325</v>
      </c>
      <c r="T260" s="94">
        <f>'3.2 Digest'!W260</f>
        <v>101.35717569458319</v>
      </c>
      <c r="U260" s="153">
        <v>0.33263888888888887</v>
      </c>
      <c r="V260" s="154">
        <v>41.5</v>
      </c>
      <c r="W260" s="153">
        <v>0.67152777777777772</v>
      </c>
      <c r="X260" s="91">
        <v>66.5</v>
      </c>
      <c r="Y260" s="91">
        <v>13.3</v>
      </c>
      <c r="Z260" s="154">
        <v>40</v>
      </c>
      <c r="AA260" s="153">
        <v>0.34652777777777777</v>
      </c>
      <c r="AB260" s="154">
        <v>60.5</v>
      </c>
      <c r="AC260" s="154">
        <v>17.3</v>
      </c>
      <c r="AD260" s="91" t="s">
        <v>550</v>
      </c>
      <c r="AE260" s="94">
        <f>Table3.110[[#This Row],[Gas 8h, ml]]-Table3.110[[#This Row],[Gas 0h, ml]]</f>
        <v>25</v>
      </c>
      <c r="AF260" s="94">
        <f>Table3.110[[#This Row],[Gas 24h, ml]]-Table3.110[[#This Row],[V8 Push back, ml]]</f>
        <v>20.5</v>
      </c>
      <c r="AG260" s="94">
        <f>Table3.110[[#This Row],[GP 8h, ml]]-(AVERAGE(AE$221,AE$222,AE$255,AE$256,AE$291,AE$292))*$AG$8</f>
        <v>23.524988739845064</v>
      </c>
      <c r="AH260" s="94">
        <f>Table3.110[[#This Row],[GP 8-24h, ml]]-(AVERAGE(AF$221,AF$222,AF$255,AF$256,AF$291,AF$292))*$AG$8</f>
        <v>18.508734798790837</v>
      </c>
      <c r="AI260" s="94">
        <f>Table3.110[[#This Row],[Net gas 8-24h, ml]]+Table3.110[[#This Row],[Net gas 8h, ml]]</f>
        <v>42.033723538635897</v>
      </c>
      <c r="AJ260" s="94">
        <f>Table3.110[[#This Row],[Net gas 8h, ml]]*Table3.110[[#This Row],[CH4 8h %]]%</f>
        <v>3.1288235023993938</v>
      </c>
      <c r="AK260" s="94">
        <f>Table3.110[[#This Row],[Net gas 8-24h, ml]]*Table3.110[[#This Row],[CH4 24h, %]]%</f>
        <v>3.2020111201908148</v>
      </c>
      <c r="AL260" s="94">
        <f>Table3.110[[#This Row],[CH4 8-24h, ml]]+Table3.110[[#This Row],[CH4 8h, ml]]</f>
        <v>6.3308346225902081</v>
      </c>
      <c r="AM260" s="94">
        <f>(Table3.110[[#This Row],[Net gas 24h, ml]]/Table3.110[[#This Row],[DM Incubated, mg]])*1000</f>
        <v>89.270644493481498</v>
      </c>
      <c r="AN260" s="94">
        <f>'3.2 Digest'!X260</f>
        <v>21.526097705756854</v>
      </c>
      <c r="AO260" s="94">
        <f>Table3.110[[#This Row],[Digested feed, mg]]/Table3.110[[#This Row],[Net gas 24h, ml]]</f>
        <v>2.4113299313447523</v>
      </c>
      <c r="AP260" s="94">
        <f>Table3.110[[#This Row],[CH4 8h, ml]]/Table3.110[[#This Row],[Net gas 8h, ml]]%</f>
        <v>13.3</v>
      </c>
      <c r="AQ260" s="94">
        <f>Table3.110[[#This Row],[CH4 24h, ml]]/Table3.110[[#This Row],[Net gas 24h, ml]]%</f>
        <v>15.061322408829975</v>
      </c>
      <c r="AR260" s="94">
        <f>Table3.110[[#This Row],[CH4 24h, ml]]/Table3.110[[#This Row],[DM Incubated, mg]]*1000</f>
        <v>13.445339583603669</v>
      </c>
      <c r="AS260" s="94">
        <f>Table3.110[[#This Row],[CH4 24h, ml]]/Table3.110[[#This Row],[Digested feed, mg]]*1000</f>
        <v>62.460645526141526</v>
      </c>
      <c r="AT260" s="94">
        <f>Table3.110[[#This Row],[CH4 24h, ml]]/'3.2 Digest'!AA260</f>
        <v>-0.23208664487605846</v>
      </c>
      <c r="AU260" s="94">
        <f>((Table3.110[[#This Row],[CH4 24h, ml]]/28.9)*16.04)/Table3.110[[#This Row],[DM Incubated, mg]]*1000</f>
        <v>7.4623960872319328</v>
      </c>
      <c r="AV260" s="94">
        <f>((Table3.110[[#This Row],[CH4 24h, ml]]/28.9)*16.04)/Table3.110[[#This Row],[Digested feed, mg]]*1000</f>
        <v>34.666738901014192</v>
      </c>
    </row>
    <row r="261" spans="2:49" s="89" customFormat="1" x14ac:dyDescent="0.35">
      <c r="B261" s="90">
        <f t="shared" si="3"/>
        <v>251</v>
      </c>
      <c r="C261" s="140">
        <v>46076</v>
      </c>
      <c r="D261" s="6" t="s">
        <v>16</v>
      </c>
      <c r="E261" s="6" t="str">
        <f>'[1]1. Information samples'!$F$34</f>
        <v>CIAT-33119</v>
      </c>
      <c r="F261" s="6" t="s">
        <v>19</v>
      </c>
      <c r="G261" s="6" t="s">
        <v>20</v>
      </c>
      <c r="H261" s="6" t="str">
        <f>'[1]1. Information samples'!$I$34</f>
        <v>Dendrolobium triangulare</v>
      </c>
      <c r="I261" s="6" t="s">
        <v>22</v>
      </c>
      <c r="J261" s="129" t="s">
        <v>23</v>
      </c>
      <c r="K261" s="129" t="s">
        <v>24</v>
      </c>
      <c r="L261" s="6" t="str">
        <f>'[1]1. Information samples'!$E$34</f>
        <v>F251746</v>
      </c>
      <c r="M261" s="119">
        <v>27</v>
      </c>
      <c r="N261" s="93">
        <v>69</v>
      </c>
      <c r="O261" s="6">
        <v>3</v>
      </c>
      <c r="P261" s="129">
        <v>1</v>
      </c>
      <c r="Q261" s="6">
        <v>113</v>
      </c>
      <c r="R261" s="98">
        <v>0.5</v>
      </c>
      <c r="S261" s="94">
        <f>((Table3.110[[#This Row],[Sample weight, g]]*'2.1. DM'!Q47)/100)*1000</f>
        <v>476.43554724907716</v>
      </c>
      <c r="T261" s="94">
        <f>'3.2 Digest'!W261</f>
        <v>130.23554724907711</v>
      </c>
      <c r="U261" s="153">
        <v>0.33194444444444443</v>
      </c>
      <c r="V261" s="154">
        <v>41.5</v>
      </c>
      <c r="W261" s="153">
        <v>0.67222222222222228</v>
      </c>
      <c r="X261" s="91">
        <v>70</v>
      </c>
      <c r="Y261" s="91">
        <v>14</v>
      </c>
      <c r="Z261" s="154">
        <v>40.5</v>
      </c>
      <c r="AA261" s="153">
        <v>0.34722222222222221</v>
      </c>
      <c r="AB261" s="154">
        <v>70.5</v>
      </c>
      <c r="AC261" s="154">
        <v>17.899999999999999</v>
      </c>
      <c r="AD261" s="91"/>
      <c r="AE261" s="94">
        <f>Table3.110[[#This Row],[Gas 8h, ml]]-Table3.110[[#This Row],[Gas 0h, ml]]</f>
        <v>28.5</v>
      </c>
      <c r="AF261" s="94">
        <f>Table3.110[[#This Row],[Gas 24h, ml]]-Table3.110[[#This Row],[V8 Push back, ml]]</f>
        <v>30</v>
      </c>
      <c r="AG261" s="94">
        <f>Table3.110[[#This Row],[GP 8h, ml]]-(AVERAGE(AE$221,AE$222,AE$255,AE$256,AE$291,AE$292))*$AG$8</f>
        <v>27.024988739845064</v>
      </c>
      <c r="AH261" s="94">
        <f>Table3.110[[#This Row],[GP 8-24h, ml]]-(AVERAGE(AF$221,AF$222,AF$255,AF$256,AF$291,AF$292))*$AG$8</f>
        <v>28.008734798790837</v>
      </c>
      <c r="AI261" s="94">
        <f>Table3.110[[#This Row],[Net gas 8-24h, ml]]+Table3.110[[#This Row],[Net gas 8h, ml]]</f>
        <v>55.033723538635897</v>
      </c>
      <c r="AJ261" s="94">
        <f>Table3.110[[#This Row],[Net gas 8h, ml]]*Table3.110[[#This Row],[CH4 8h %]]%</f>
        <v>3.7834984235783091</v>
      </c>
      <c r="AK261" s="94">
        <f>Table3.110[[#This Row],[Net gas 8-24h, ml]]*Table3.110[[#This Row],[CH4 24h, %]]%</f>
        <v>5.0135635289835596</v>
      </c>
      <c r="AL261" s="94">
        <f>Table3.110[[#This Row],[CH4 8-24h, ml]]+Table3.110[[#This Row],[CH4 8h, ml]]</f>
        <v>8.7970619525618687</v>
      </c>
      <c r="AM261" s="94">
        <f>(Table3.110[[#This Row],[Net gas 24h, ml]]/Table3.110[[#This Row],[DM Incubated, mg]])*1000</f>
        <v>115.51137159348997</v>
      </c>
      <c r="AN261" s="94">
        <f>'3.2 Digest'!X261</f>
        <v>27.335396781590454</v>
      </c>
      <c r="AO261" s="94">
        <f>Table3.110[[#This Row],[Digested feed, mg]]/Table3.110[[#This Row],[Net gas 24h, ml]]</f>
        <v>2.3664680286015263</v>
      </c>
      <c r="AP261" s="94">
        <f>Table3.110[[#This Row],[CH4 8h, ml]]/Table3.110[[#This Row],[Net gas 8h, ml]]%</f>
        <v>14.000000000000002</v>
      </c>
      <c r="AQ261" s="94">
        <f>Table3.110[[#This Row],[CH4 24h, ml]]/Table3.110[[#This Row],[Net gas 24h, ml]]%</f>
        <v>15.984856896673504</v>
      </c>
      <c r="AR261" s="94">
        <f>Table3.110[[#This Row],[CH4 24h, ml]]/Table3.110[[#This Row],[DM Incubated, mg]]*1000</f>
        <v>18.464327448604134</v>
      </c>
      <c r="AS261" s="94">
        <f>Table3.110[[#This Row],[CH4 24h, ml]]/Table3.110[[#This Row],[Digested feed, mg]]*1000</f>
        <v>67.547318212111307</v>
      </c>
      <c r="AT261" s="94">
        <f>Table3.110[[#This Row],[CH4 24h, ml]]/'3.2 Digest'!AA261</f>
        <v>-0.39680364189344913</v>
      </c>
      <c r="AU261" s="94">
        <f>((Table3.110[[#This Row],[CH4 24h, ml]]/28.9)*16.04)/Table3.110[[#This Row],[DM Incubated, mg]]*1000</f>
        <v>10.24802118600728</v>
      </c>
      <c r="AV261" s="94">
        <f>((Table3.110[[#This Row],[CH4 24h, ml]]/28.9)*16.04)/Table3.110[[#This Row],[Digested feed, mg]]*1000</f>
        <v>37.489930246445176</v>
      </c>
    </row>
    <row r="262" spans="2:49" s="89" customFormat="1" x14ac:dyDescent="0.35">
      <c r="B262" s="90">
        <f t="shared" si="3"/>
        <v>252</v>
      </c>
      <c r="C262" s="140">
        <v>46076</v>
      </c>
      <c r="D262" s="6" t="s">
        <v>16</v>
      </c>
      <c r="E262" s="6" t="str">
        <f>'[1]1. Information samples'!$F$34</f>
        <v>CIAT-33119</v>
      </c>
      <c r="F262" s="6" t="s">
        <v>19</v>
      </c>
      <c r="G262" s="6" t="s">
        <v>20</v>
      </c>
      <c r="H262" s="6" t="str">
        <f>'[1]1. Information samples'!$I$34</f>
        <v>Dendrolobium triangulare</v>
      </c>
      <c r="I262" s="6" t="s">
        <v>22</v>
      </c>
      <c r="J262" s="129" t="s">
        <v>23</v>
      </c>
      <c r="K262" s="129" t="s">
        <v>24</v>
      </c>
      <c r="L262" s="6" t="str">
        <f>'[1]1. Information samples'!$E$34</f>
        <v>F251746</v>
      </c>
      <c r="M262" s="119">
        <v>27</v>
      </c>
      <c r="N262" s="93">
        <v>69</v>
      </c>
      <c r="O262" s="6">
        <v>3</v>
      </c>
      <c r="P262" s="129">
        <v>2</v>
      </c>
      <c r="Q262" s="6">
        <v>114</v>
      </c>
      <c r="R262" s="98">
        <v>0.50029999999999997</v>
      </c>
      <c r="S262" s="94">
        <f>((Table3.110[[#This Row],[Sample weight, g]]*'2.1. DM'!Q47)/100)*1000</f>
        <v>476.72140857742659</v>
      </c>
      <c r="T262" s="94">
        <f>'3.2 Digest'!W262</f>
        <v>165.8214085774265</v>
      </c>
      <c r="U262" s="117">
        <v>0.33263888888888887</v>
      </c>
      <c r="V262" s="155">
        <v>42</v>
      </c>
      <c r="W262" s="117">
        <v>0.67291666666666672</v>
      </c>
      <c r="X262" s="96">
        <v>70.5</v>
      </c>
      <c r="Y262" s="96">
        <v>13.5</v>
      </c>
      <c r="Z262" s="155">
        <v>40.5</v>
      </c>
      <c r="AA262" s="117">
        <v>0.34722222222222221</v>
      </c>
      <c r="AB262" s="155">
        <v>71.5</v>
      </c>
      <c r="AC262" s="155">
        <v>17.600000000000001</v>
      </c>
      <c r="AD262" s="96"/>
      <c r="AE262" s="94">
        <f>Table3.110[[#This Row],[Gas 8h, ml]]-Table3.110[[#This Row],[Gas 0h, ml]]</f>
        <v>28.5</v>
      </c>
      <c r="AF262" s="94">
        <f>Table3.110[[#This Row],[Gas 24h, ml]]-Table3.110[[#This Row],[V8 Push back, ml]]</f>
        <v>31</v>
      </c>
      <c r="AG262" s="94">
        <f>Table3.110[[#This Row],[GP 8h, ml]]-(AVERAGE(AE$221,AE$222,AE$255,AE$256,AE$291,AE$292))*$AG$8</f>
        <v>27.024988739845064</v>
      </c>
      <c r="AH262" s="94">
        <f>Table3.110[[#This Row],[GP 8-24h, ml]]-(AVERAGE(AF$221,AF$222,AF$255,AF$256,AF$291,AF$292))*$AG$8</f>
        <v>29.008734798790837</v>
      </c>
      <c r="AI262" s="94">
        <f>Table3.110[[#This Row],[Net gas 8-24h, ml]]+Table3.110[[#This Row],[Net gas 8h, ml]]</f>
        <v>56.033723538635897</v>
      </c>
      <c r="AJ262" s="94">
        <f>Table3.110[[#This Row],[Net gas 8h, ml]]*Table3.110[[#This Row],[CH4 8h %]]%</f>
        <v>3.6483734798790839</v>
      </c>
      <c r="AK262" s="94">
        <f>Table3.110[[#This Row],[Net gas 8-24h, ml]]*Table3.110[[#This Row],[CH4 24h, %]]%</f>
        <v>5.1055373245871873</v>
      </c>
      <c r="AL262" s="94">
        <f>Table3.110[[#This Row],[CH4 8-24h, ml]]+Table3.110[[#This Row],[CH4 8h, ml]]</f>
        <v>8.7539108044662708</v>
      </c>
      <c r="AM262" s="94">
        <f>(Table3.110[[#This Row],[Net gas 24h, ml]]/Table3.110[[#This Row],[DM Incubated, mg]])*1000</f>
        <v>117.53976752553413</v>
      </c>
      <c r="AN262" s="94">
        <f>'3.2 Digest'!X262</f>
        <v>34.78371342127268</v>
      </c>
      <c r="AO262" s="94">
        <f>Table3.110[[#This Row],[Digested feed, mg]]/Table3.110[[#This Row],[Net gas 24h, ml]]</f>
        <v>2.9593144646739518</v>
      </c>
      <c r="AP262" s="94">
        <f>Table3.110[[#This Row],[CH4 8h, ml]]/Table3.110[[#This Row],[Net gas 8h, ml]]%</f>
        <v>13.500000000000002</v>
      </c>
      <c r="AQ262" s="94">
        <f>Table3.110[[#This Row],[CH4 24h, ml]]/Table3.110[[#This Row],[Net gas 24h, ml]]%</f>
        <v>15.622575569925045</v>
      </c>
      <c r="AR262" s="94">
        <f>Table3.110[[#This Row],[CH4 24h, ml]]/Table3.110[[#This Row],[DM Incubated, mg]]*1000</f>
        <v>18.362739006390786</v>
      </c>
      <c r="AS262" s="94">
        <f>Table3.110[[#This Row],[CH4 24h, ml]]/Table3.110[[#This Row],[Digested feed, mg]]*1000</f>
        <v>52.791197949442292</v>
      </c>
      <c r="AT262" s="94">
        <f>Table3.110[[#This Row],[CH4 24h, ml]]/'3.2 Digest'!AA262</f>
        <v>-0.90741575030644606</v>
      </c>
      <c r="AU262" s="94">
        <f>((Table3.110[[#This Row],[CH4 24h, ml]]/28.9)*16.04)/Table3.110[[#This Row],[DM Incubated, mg]]*1000</f>
        <v>10.191637842993364</v>
      </c>
      <c r="AV262" s="94">
        <f>((Table3.110[[#This Row],[CH4 24h, ml]]/28.9)*16.04)/Table3.110[[#This Row],[Digested feed, mg]]*1000</f>
        <v>29.300028204465551</v>
      </c>
    </row>
    <row r="263" spans="2:49" s="89" customFormat="1" x14ac:dyDescent="0.35">
      <c r="B263" s="90">
        <f t="shared" si="3"/>
        <v>253</v>
      </c>
      <c r="C263" s="140">
        <v>46076</v>
      </c>
      <c r="D263" s="6" t="s">
        <v>16</v>
      </c>
      <c r="E263" s="6" t="str">
        <f>'[1]1. Information samples'!$F$35</f>
        <v>CIAT-33383</v>
      </c>
      <c r="F263" s="6" t="s">
        <v>19</v>
      </c>
      <c r="G263" s="6" t="s">
        <v>67</v>
      </c>
      <c r="H263" s="6" t="str">
        <f>'[1]1. Information samples'!$I$35</f>
        <v>Dendrolobium sp.</v>
      </c>
      <c r="I263" s="6" t="s">
        <v>22</v>
      </c>
      <c r="J263" s="129" t="s">
        <v>23</v>
      </c>
      <c r="K263" s="129" t="s">
        <v>24</v>
      </c>
      <c r="L263" s="6" t="str">
        <f>'[1]1. Information samples'!$E$35</f>
        <v>F251747</v>
      </c>
      <c r="M263" s="119">
        <v>27</v>
      </c>
      <c r="N263" s="93">
        <v>69</v>
      </c>
      <c r="O263" s="6">
        <v>3</v>
      </c>
      <c r="P263" s="129">
        <v>1</v>
      </c>
      <c r="Q263" s="6">
        <v>115</v>
      </c>
      <c r="R263" s="98">
        <v>0.50029999999999997</v>
      </c>
      <c r="S263" s="94">
        <f>((Table3.110[[#This Row],[Sample weight, g]]*'2.1. DM'!Q49)/100)*1000</f>
        <v>473.64182500000027</v>
      </c>
      <c r="T263" s="94">
        <f>'3.2 Digest'!W263</f>
        <v>150.04182500000024</v>
      </c>
      <c r="U263" s="117">
        <v>0.33263888888888887</v>
      </c>
      <c r="V263" s="155">
        <v>42</v>
      </c>
      <c r="W263" s="117">
        <v>0.67291666666666672</v>
      </c>
      <c r="X263" s="96">
        <v>67.5</v>
      </c>
      <c r="Y263" s="96">
        <v>13.8</v>
      </c>
      <c r="Z263" s="155">
        <v>41.5</v>
      </c>
      <c r="AA263" s="117">
        <v>0.34791666666666665</v>
      </c>
      <c r="AB263" s="155">
        <v>70</v>
      </c>
      <c r="AC263" s="155">
        <v>16.7</v>
      </c>
      <c r="AD263" s="96"/>
      <c r="AE263" s="94">
        <f>Table3.110[[#This Row],[Gas 8h, ml]]-Table3.110[[#This Row],[Gas 0h, ml]]</f>
        <v>25.5</v>
      </c>
      <c r="AF263" s="94">
        <f>Table3.110[[#This Row],[Gas 24h, ml]]-Table3.110[[#This Row],[V8 Push back, ml]]</f>
        <v>28.5</v>
      </c>
      <c r="AG263" s="94">
        <f>Table3.110[[#This Row],[GP 8h, ml]]-(AVERAGE(AE$221,AE$222,AE$255,AE$256,AE$291,AE$292))*$AG$8</f>
        <v>24.024988739845064</v>
      </c>
      <c r="AH263" s="94">
        <f>Table3.110[[#This Row],[GP 8-24h, ml]]-(AVERAGE(AF$221,AF$222,AF$255,AF$256,AF$291,AF$292))*$AG$8</f>
        <v>26.508734798790837</v>
      </c>
      <c r="AI263" s="94">
        <f>Table3.110[[#This Row],[Net gas 8-24h, ml]]+Table3.110[[#This Row],[Net gas 8h, ml]]</f>
        <v>50.533723538635897</v>
      </c>
      <c r="AJ263" s="94">
        <f>Table3.110[[#This Row],[Net gas 8h, ml]]*Table3.110[[#This Row],[CH4 8h %]]%</f>
        <v>3.3154484460986189</v>
      </c>
      <c r="AK263" s="94">
        <f>Table3.110[[#This Row],[Net gas 8-24h, ml]]*Table3.110[[#This Row],[CH4 24h, %]]%</f>
        <v>4.4269587113980693</v>
      </c>
      <c r="AL263" s="94">
        <f>Table3.110[[#This Row],[CH4 8-24h, ml]]+Table3.110[[#This Row],[CH4 8h, ml]]</f>
        <v>7.7424071574966877</v>
      </c>
      <c r="AM263" s="94">
        <f>(Table3.110[[#This Row],[Net gas 24h, ml]]/Table3.110[[#This Row],[DM Incubated, mg]])*1000</f>
        <v>106.69185209442993</v>
      </c>
      <c r="AN263" s="94">
        <f>'3.2 Digest'!X263</f>
        <v>31.678330983544399</v>
      </c>
      <c r="AO263" s="94">
        <f>Table3.110[[#This Row],[Digested feed, mg]]/Table3.110[[#This Row],[Net gas 24h, ml]]</f>
        <v>2.9691424754260343</v>
      </c>
      <c r="AP263" s="94">
        <f>Table3.110[[#This Row],[CH4 8h, ml]]/Table3.110[[#This Row],[Net gas 8h, ml]]%</f>
        <v>13.8</v>
      </c>
      <c r="AQ263" s="94">
        <f>Table3.110[[#This Row],[CH4 24h, ml]]/Table3.110[[#This Row],[Net gas 24h, ml]]%</f>
        <v>15.321267888714312</v>
      </c>
      <c r="AR263" s="94">
        <f>Table3.110[[#This Row],[CH4 24h, ml]]/Table3.110[[#This Row],[DM Incubated, mg]]*1000</f>
        <v>16.346544474818462</v>
      </c>
      <c r="AS263" s="94">
        <f>Table3.110[[#This Row],[CH4 24h, ml]]/Table3.110[[#This Row],[Digested feed, mg]]*1000</f>
        <v>51.601659453933429</v>
      </c>
      <c r="AT263" s="94">
        <f>Table3.110[[#This Row],[CH4 24h, ml]]/'3.2 Digest'!AA263</f>
        <v>-0.54027101577754377</v>
      </c>
      <c r="AU263" s="94">
        <f>((Table3.110[[#This Row],[CH4 24h, ml]]/28.9)*16.04)/Table3.110[[#This Row],[DM Incubated, mg]]*1000</f>
        <v>9.0726149957123923</v>
      </c>
      <c r="AV263" s="94">
        <f>((Table3.110[[#This Row],[CH4 24h, ml]]/28.9)*16.04)/Table3.110[[#This Row],[Digested feed, mg]]*1000</f>
        <v>28.639813759207343</v>
      </c>
    </row>
    <row r="264" spans="2:49" s="89" customFormat="1" x14ac:dyDescent="0.35">
      <c r="B264" s="90">
        <f t="shared" si="3"/>
        <v>254</v>
      </c>
      <c r="C264" s="140">
        <v>46076</v>
      </c>
      <c r="D264" s="6" t="s">
        <v>16</v>
      </c>
      <c r="E264" s="6" t="str">
        <f>'[1]1. Information samples'!$F$35</f>
        <v>CIAT-33383</v>
      </c>
      <c r="F264" s="6" t="s">
        <v>19</v>
      </c>
      <c r="G264" s="6" t="s">
        <v>67</v>
      </c>
      <c r="H264" s="6" t="str">
        <f>'[1]1. Information samples'!$I$35</f>
        <v>Dendrolobium sp.</v>
      </c>
      <c r="I264" s="6" t="s">
        <v>22</v>
      </c>
      <c r="J264" s="129" t="s">
        <v>23</v>
      </c>
      <c r="K264" s="129" t="s">
        <v>24</v>
      </c>
      <c r="L264" s="6" t="str">
        <f>'[1]1. Information samples'!$E$35</f>
        <v>F251747</v>
      </c>
      <c r="M264" s="119">
        <v>27</v>
      </c>
      <c r="N264" s="93">
        <v>69</v>
      </c>
      <c r="O264" s="6">
        <v>3</v>
      </c>
      <c r="P264" s="129">
        <v>2</v>
      </c>
      <c r="Q264" s="6">
        <v>116</v>
      </c>
      <c r="R264" s="98">
        <v>0.5</v>
      </c>
      <c r="S264" s="94">
        <f>((Table3.110[[#This Row],[Sample weight, g]]*'2.1. DM'!Q49)/100)*1000</f>
        <v>473.35781031381202</v>
      </c>
      <c r="T264" s="94">
        <f>'3.2 Digest'!W264</f>
        <v>169.95781031381205</v>
      </c>
      <c r="U264" s="153">
        <v>0.33263888888888887</v>
      </c>
      <c r="V264" s="155">
        <v>42</v>
      </c>
      <c r="W264" s="153">
        <v>0.67361111111111116</v>
      </c>
      <c r="X264" s="91">
        <v>67</v>
      </c>
      <c r="Y264" s="91">
        <v>13.7</v>
      </c>
      <c r="Z264" s="154">
        <v>40</v>
      </c>
      <c r="AA264" s="153">
        <v>0.34791666666666665</v>
      </c>
      <c r="AB264" s="154">
        <v>68</v>
      </c>
      <c r="AC264" s="154">
        <v>17.7</v>
      </c>
      <c r="AD264" s="91"/>
      <c r="AE264" s="94">
        <f>Table3.110[[#This Row],[Gas 8h, ml]]-Table3.110[[#This Row],[Gas 0h, ml]]</f>
        <v>25</v>
      </c>
      <c r="AF264" s="94">
        <f>Table3.110[[#This Row],[Gas 24h, ml]]-Table3.110[[#This Row],[V8 Push back, ml]]</f>
        <v>28</v>
      </c>
      <c r="AG264" s="94">
        <f>Table3.110[[#This Row],[GP 8h, ml]]-(AVERAGE(AE$221,AE$222,AE$255,AE$256,AE$291,AE$292))*$AG$8</f>
        <v>23.524988739845064</v>
      </c>
      <c r="AH264" s="94">
        <f>Table3.110[[#This Row],[GP 8-24h, ml]]-(AVERAGE(AF$221,AF$222,AF$255,AF$256,AF$291,AF$292))*$AG$8</f>
        <v>26.008734798790837</v>
      </c>
      <c r="AI264" s="94">
        <f>Table3.110[[#This Row],[Net gas 8-24h, ml]]+Table3.110[[#This Row],[Net gas 8h, ml]]</f>
        <v>49.533723538635897</v>
      </c>
      <c r="AJ264" s="94">
        <f>Table3.110[[#This Row],[Net gas 8h, ml]]*Table3.110[[#This Row],[CH4 8h %]]%</f>
        <v>3.2229234573587733</v>
      </c>
      <c r="AK264" s="94">
        <f>Table3.110[[#This Row],[Net gas 8-24h, ml]]*Table3.110[[#This Row],[CH4 24h, %]]%</f>
        <v>4.6035460593859776</v>
      </c>
      <c r="AL264" s="94">
        <f>Table3.110[[#This Row],[CH4 8-24h, ml]]+Table3.110[[#This Row],[CH4 8h, ml]]</f>
        <v>7.8264695167447513</v>
      </c>
      <c r="AM264" s="94">
        <f>(Table3.110[[#This Row],[Net gas 24h, ml]]/Table3.110[[#This Row],[DM Incubated, mg]])*1000</f>
        <v>104.64330039425687</v>
      </c>
      <c r="AN264" s="94">
        <f>'3.2 Digest'!X264</f>
        <v>35.904722941222559</v>
      </c>
      <c r="AO264" s="94">
        <f>Table3.110[[#This Row],[Digested feed, mg]]/Table3.110[[#This Row],[Net gas 24h, ml]]</f>
        <v>3.4311535287922852</v>
      </c>
      <c r="AP264" s="94">
        <f>Table3.110[[#This Row],[CH4 8h, ml]]/Table3.110[[#This Row],[Net gas 8h, ml]]%</f>
        <v>13.699999999999998</v>
      </c>
      <c r="AQ264" s="94">
        <f>Table3.110[[#This Row],[CH4 24h, ml]]/Table3.110[[#This Row],[Net gas 24h, ml]]%</f>
        <v>15.800285053555825</v>
      </c>
      <c r="AR264" s="94">
        <f>Table3.110[[#This Row],[CH4 24h, ml]]/Table3.110[[#This Row],[DM Incubated, mg]]*1000</f>
        <v>16.533939751741293</v>
      </c>
      <c r="AS264" s="94">
        <f>Table3.110[[#This Row],[CH4 24h, ml]]/Table3.110[[#This Row],[Digested feed, mg]]*1000</f>
        <v>46.04948429433086</v>
      </c>
      <c r="AT264" s="94">
        <f>Table3.110[[#This Row],[CH4 24h, ml]]/'3.2 Digest'!AA264</f>
        <v>-1.0783104864757656</v>
      </c>
      <c r="AU264" s="94">
        <f>((Table3.110[[#This Row],[CH4 24h, ml]]/28.9)*16.04)/Table3.110[[#This Row],[DM Incubated, mg]]*1000</f>
        <v>9.176622616537383</v>
      </c>
      <c r="AV264" s="94">
        <f>((Table3.110[[#This Row],[CH4 24h, ml]]/28.9)*16.04)/Table3.110[[#This Row],[Digested feed, mg]]*1000</f>
        <v>25.558260487234154</v>
      </c>
    </row>
    <row r="265" spans="2:49" s="89" customFormat="1" x14ac:dyDescent="0.35">
      <c r="B265" s="90">
        <f t="shared" si="3"/>
        <v>255</v>
      </c>
      <c r="C265" s="140">
        <v>46076</v>
      </c>
      <c r="D265" s="6" t="s">
        <v>16</v>
      </c>
      <c r="E265" s="6" t="str">
        <f>'[1]1. Information samples'!$F$36</f>
        <v>CIAT-33402</v>
      </c>
      <c r="F265" s="6" t="s">
        <v>19</v>
      </c>
      <c r="G265" s="6" t="s">
        <v>20</v>
      </c>
      <c r="H265" s="6" t="str">
        <f>'[1]1. Information samples'!$I$36</f>
        <v>Dendrolobium triangulare</v>
      </c>
      <c r="I265" s="6" t="s">
        <v>22</v>
      </c>
      <c r="J265" s="129" t="s">
        <v>23</v>
      </c>
      <c r="K265" s="129" t="s">
        <v>24</v>
      </c>
      <c r="L265" s="6" t="str">
        <f>'[1]1. Information samples'!$E$36</f>
        <v>F251748</v>
      </c>
      <c r="M265" s="119">
        <v>27</v>
      </c>
      <c r="N265" s="93">
        <v>69</v>
      </c>
      <c r="O265" s="6">
        <v>3</v>
      </c>
      <c r="P265" s="129">
        <v>1</v>
      </c>
      <c r="Q265" s="6">
        <v>117</v>
      </c>
      <c r="R265" s="98">
        <v>0.50039999999999996</v>
      </c>
      <c r="S265" s="94">
        <f>((Table3.110[[#This Row],[Sample weight, g]]*'2.1. DM'!Q51)/100)*1000</f>
        <v>473.53798255593136</v>
      </c>
      <c r="T265" s="94">
        <f>'3.2 Digest'!W265</f>
        <v>139.33798255593132</v>
      </c>
      <c r="U265" s="153">
        <v>0.33333333333333331</v>
      </c>
      <c r="V265" s="155">
        <v>42</v>
      </c>
      <c r="W265" s="153">
        <v>0.6743055555555556</v>
      </c>
      <c r="X265" s="91">
        <v>69.5</v>
      </c>
      <c r="Y265" s="91">
        <v>13.4</v>
      </c>
      <c r="Z265" s="154">
        <v>41</v>
      </c>
      <c r="AA265" s="153">
        <v>0.34861111111111109</v>
      </c>
      <c r="AB265" s="154">
        <v>73.5</v>
      </c>
      <c r="AC265" s="154">
        <v>17</v>
      </c>
      <c r="AD265" s="91"/>
      <c r="AE265" s="94">
        <f>Table3.110[[#This Row],[Gas 8h, ml]]-Table3.110[[#This Row],[Gas 0h, ml]]</f>
        <v>27.5</v>
      </c>
      <c r="AF265" s="94">
        <f>Table3.110[[#This Row],[Gas 24h, ml]]-Table3.110[[#This Row],[V8 Push back, ml]]</f>
        <v>32.5</v>
      </c>
      <c r="AG265" s="94">
        <f>Table3.110[[#This Row],[GP 8h, ml]]-(AVERAGE(AE$221,AE$222,AE$255,AE$256,AE$291,AE$292))*$AG$8</f>
        <v>26.024988739845064</v>
      </c>
      <c r="AH265" s="94">
        <f>Table3.110[[#This Row],[GP 8-24h, ml]]-(AVERAGE(AF$221,AF$222,AF$255,AF$256,AF$291,AF$292))*$AG$8</f>
        <v>30.508734798790837</v>
      </c>
      <c r="AI265" s="94">
        <f>Table3.110[[#This Row],[Net gas 8-24h, ml]]+Table3.110[[#This Row],[Net gas 8h, ml]]</f>
        <v>56.533723538635897</v>
      </c>
      <c r="AJ265" s="94">
        <f>Table3.110[[#This Row],[Net gas 8h, ml]]*Table3.110[[#This Row],[CH4 8h %]]%</f>
        <v>3.4873484911392389</v>
      </c>
      <c r="AK265" s="94">
        <f>Table3.110[[#This Row],[Net gas 8-24h, ml]]*Table3.110[[#This Row],[CH4 24h, %]]%</f>
        <v>5.1864849157944422</v>
      </c>
      <c r="AL265" s="94">
        <f>Table3.110[[#This Row],[CH4 8-24h, ml]]+Table3.110[[#This Row],[CH4 8h, ml]]</f>
        <v>8.6738334069336815</v>
      </c>
      <c r="AM265" s="94">
        <f>(Table3.110[[#This Row],[Net gas 24h, ml]]/Table3.110[[#This Row],[DM Incubated, mg]])*1000</f>
        <v>119.38582673663032</v>
      </c>
      <c r="AN265" s="94">
        <f>'3.2 Digest'!X265</f>
        <v>29.424879880564507</v>
      </c>
      <c r="AO265" s="94">
        <f>Table3.110[[#This Row],[Digested feed, mg]]/Table3.110[[#This Row],[Net gas 24h, ml]]</f>
        <v>2.4646878683075935</v>
      </c>
      <c r="AP265" s="94">
        <f>Table3.110[[#This Row],[CH4 8h, ml]]/Table3.110[[#This Row],[Net gas 8h, ml]]%</f>
        <v>13.400000000000002</v>
      </c>
      <c r="AQ265" s="94">
        <f>Table3.110[[#This Row],[CH4 24h, ml]]/Table3.110[[#This Row],[Net gas 24h, ml]]%</f>
        <v>15.342759797178173</v>
      </c>
      <c r="AR265" s="94">
        <f>Table3.110[[#This Row],[CH4 24h, ml]]/Table3.110[[#This Row],[DM Incubated, mg]]*1000</f>
        <v>18.317080628076507</v>
      </c>
      <c r="AS265" s="94">
        <f>Table3.110[[#This Row],[CH4 24h, ml]]/Table3.110[[#This Row],[Digested feed, mg]]*1000</f>
        <v>62.250315727457433</v>
      </c>
      <c r="AT265" s="94">
        <f>Table3.110[[#This Row],[CH4 24h, ml]]/'3.2 Digest'!AA265</f>
        <v>-0.49717346046131122</v>
      </c>
      <c r="AU265" s="94">
        <f>((Table3.110[[#This Row],[CH4 24h, ml]]/28.9)*16.04)/Table3.110[[#This Row],[DM Incubated, mg]]*1000</f>
        <v>10.166296653091598</v>
      </c>
      <c r="AV265" s="94">
        <f>((Table3.110[[#This Row],[CH4 24h, ml]]/28.9)*16.04)/Table3.110[[#This Row],[Digested feed, mg]]*1000</f>
        <v>34.55000222382067</v>
      </c>
    </row>
    <row r="266" spans="2:49" s="89" customFormat="1" x14ac:dyDescent="0.35">
      <c r="B266" s="90">
        <f t="shared" si="3"/>
        <v>256</v>
      </c>
      <c r="C266" s="140">
        <v>46076</v>
      </c>
      <c r="D266" s="6" t="s">
        <v>16</v>
      </c>
      <c r="E266" s="6" t="str">
        <f>'[1]1. Information samples'!$F$36</f>
        <v>CIAT-33402</v>
      </c>
      <c r="F266" s="6" t="s">
        <v>19</v>
      </c>
      <c r="G266" s="6" t="s">
        <v>20</v>
      </c>
      <c r="H266" s="6" t="str">
        <f>'[1]1. Information samples'!$I$36</f>
        <v>Dendrolobium triangulare</v>
      </c>
      <c r="I266" s="6" t="s">
        <v>22</v>
      </c>
      <c r="J266" s="129" t="s">
        <v>23</v>
      </c>
      <c r="K266" s="129" t="s">
        <v>24</v>
      </c>
      <c r="L266" s="6" t="str">
        <f>'[1]1. Information samples'!$E$36</f>
        <v>F251748</v>
      </c>
      <c r="M266" s="119">
        <v>27</v>
      </c>
      <c r="N266" s="93">
        <v>69</v>
      </c>
      <c r="O266" s="6">
        <v>3</v>
      </c>
      <c r="P266" s="129">
        <v>2</v>
      </c>
      <c r="Q266" s="6">
        <v>118</v>
      </c>
      <c r="R266" s="98">
        <v>0.50049999999999994</v>
      </c>
      <c r="S266" s="94">
        <f>((Table3.110[[#This Row],[Sample weight, g]]*'2.1. DM'!Q51)/100)*1000</f>
        <v>473.63261444692972</v>
      </c>
      <c r="T266" s="94">
        <f>'3.2 Digest'!W266</f>
        <v>169.73261444692969</v>
      </c>
      <c r="U266" s="117">
        <v>0.33333333333333331</v>
      </c>
      <c r="V266" s="155">
        <v>40.5</v>
      </c>
      <c r="W266" s="117">
        <v>0.6743055555555556</v>
      </c>
      <c r="X266" s="96">
        <v>66.5</v>
      </c>
      <c r="Y266" s="96">
        <v>13.6</v>
      </c>
      <c r="Z266" s="155">
        <v>40</v>
      </c>
      <c r="AA266" s="117">
        <v>0.34861111111111109</v>
      </c>
      <c r="AB266" s="155">
        <v>64.5</v>
      </c>
      <c r="AC266" s="155">
        <v>18.3</v>
      </c>
      <c r="AD266" s="96" t="s">
        <v>551</v>
      </c>
      <c r="AE266" s="94">
        <f>Table3.110[[#This Row],[Gas 8h, ml]]-Table3.110[[#This Row],[Gas 0h, ml]]</f>
        <v>26</v>
      </c>
      <c r="AF266" s="94">
        <f>Table3.110[[#This Row],[Gas 24h, ml]]-Table3.110[[#This Row],[V8 Push back, ml]]</f>
        <v>24.5</v>
      </c>
      <c r="AG266" s="94">
        <f>Table3.110[[#This Row],[GP 8h, ml]]-(AVERAGE(AE$221,AE$222,AE$255,AE$256,AE$291,AE$292))*$AG$8</f>
        <v>24.524988739845064</v>
      </c>
      <c r="AH266" s="94">
        <f>Table3.110[[#This Row],[GP 8-24h, ml]]-(AVERAGE(AF$221,AF$222,AF$255,AF$256,AF$291,AF$292))*$AG$8</f>
        <v>22.508734798790837</v>
      </c>
      <c r="AI266" s="94">
        <f>Table3.110[[#This Row],[Net gas 8-24h, ml]]+Table3.110[[#This Row],[Net gas 8h, ml]]</f>
        <v>47.033723538635897</v>
      </c>
      <c r="AJ266" s="94">
        <f>Table3.110[[#This Row],[Net gas 8h, ml]]*Table3.110[[#This Row],[CH4 8h %]]%</f>
        <v>3.3353984686189291</v>
      </c>
      <c r="AK266" s="94">
        <f>Table3.110[[#This Row],[Net gas 8-24h, ml]]*Table3.110[[#This Row],[CH4 24h, %]]%</f>
        <v>4.1190984681787226</v>
      </c>
      <c r="AL266" s="94">
        <f>Table3.110[[#This Row],[CH4 8-24h, ml]]+Table3.110[[#This Row],[CH4 8h, ml]]</f>
        <v>7.4544969367976517</v>
      </c>
      <c r="AM266" s="94">
        <f>(Table3.110[[#This Row],[Net gas 24h, ml]]/Table3.110[[#This Row],[DM Incubated, mg]])*1000</f>
        <v>99.304233078539397</v>
      </c>
      <c r="AN266" s="94">
        <f>'3.2 Digest'!X266</f>
        <v>35.836344303512512</v>
      </c>
      <c r="AO266" s="94">
        <f>Table3.110[[#This Row],[Digested feed, mg]]/Table3.110[[#This Row],[Net gas 24h, ml]]</f>
        <v>3.6087428695179251</v>
      </c>
      <c r="AP266" s="94">
        <f>Table3.110[[#This Row],[CH4 8h, ml]]/Table3.110[[#This Row],[Net gas 8h, ml]]%</f>
        <v>13.600000000000001</v>
      </c>
      <c r="AQ266" s="94">
        <f>Table3.110[[#This Row],[CH4 24h, ml]]/Table3.110[[#This Row],[Net gas 24h, ml]]%</f>
        <v>15.849259586420258</v>
      </c>
      <c r="AR266" s="94">
        <f>Table3.110[[#This Row],[CH4 24h, ml]]/Table3.110[[#This Row],[DM Incubated, mg]]*1000</f>
        <v>15.738985680921525</v>
      </c>
      <c r="AS266" s="94">
        <f>Table3.110[[#This Row],[CH4 24h, ml]]/Table3.110[[#This Row],[Digested feed, mg]]*1000</f>
        <v>43.919060347287882</v>
      </c>
      <c r="AT266" s="94">
        <f>Table3.110[[#This Row],[CH4 24h, ml]]/'3.2 Digest'!AA266</f>
        <v>-1.1000071864261951</v>
      </c>
      <c r="AU266" s="94">
        <f>((Table3.110[[#This Row],[CH4 24h, ml]]/28.9)*16.04)/Table3.110[[#This Row],[DM Incubated, mg]]*1000</f>
        <v>8.7354093537017743</v>
      </c>
      <c r="AV266" s="94">
        <f>((Table3.110[[#This Row],[CH4 24h, ml]]/28.9)*16.04)/Table3.110[[#This Row],[Digested feed, mg]]*1000</f>
        <v>24.375838338079507</v>
      </c>
    </row>
    <row r="267" spans="2:49" s="89" customFormat="1" x14ac:dyDescent="0.35">
      <c r="B267" s="90">
        <f t="shared" si="3"/>
        <v>257</v>
      </c>
      <c r="C267" s="140">
        <v>46076</v>
      </c>
      <c r="D267" s="6" t="s">
        <v>16</v>
      </c>
      <c r="E267" s="6" t="str">
        <f>'[1]1. Information samples'!$F$37</f>
        <v>CIAT-33508</v>
      </c>
      <c r="F267" s="6" t="s">
        <v>19</v>
      </c>
      <c r="G267" s="6" t="s">
        <v>73</v>
      </c>
      <c r="H267" s="6" t="str">
        <f>'[1]1. Information samples'!$I$37</f>
        <v>Dendrolobium umbellatum</v>
      </c>
      <c r="I267" s="6" t="s">
        <v>22</v>
      </c>
      <c r="J267" s="129" t="s">
        <v>23</v>
      </c>
      <c r="K267" s="129" t="s">
        <v>24</v>
      </c>
      <c r="L267" s="6" t="str">
        <f>'[1]1. Information samples'!$E$37</f>
        <v>F251749</v>
      </c>
      <c r="M267" s="119">
        <v>27</v>
      </c>
      <c r="N267" s="93">
        <v>69</v>
      </c>
      <c r="O267" s="6">
        <v>3</v>
      </c>
      <c r="P267" s="129">
        <v>1</v>
      </c>
      <c r="Q267" s="6">
        <v>119</v>
      </c>
      <c r="R267" s="98">
        <v>0.50049999999999994</v>
      </c>
      <c r="S267" s="94">
        <f>((Table3.110[[#This Row],[Sample weight, g]]*'2.1. DM'!Q53)/100)*1000</f>
        <v>469.19996717962931</v>
      </c>
      <c r="T267" s="94">
        <f>'3.2 Digest'!W267</f>
        <v>140.49996717962921</v>
      </c>
      <c r="U267" s="117">
        <v>0.33333333333333331</v>
      </c>
      <c r="V267" s="155">
        <v>41.5</v>
      </c>
      <c r="W267" s="117">
        <v>0.67500000000000004</v>
      </c>
      <c r="X267" s="96">
        <v>72.5</v>
      </c>
      <c r="Y267" s="96">
        <v>14.3</v>
      </c>
      <c r="Z267" s="155">
        <v>41</v>
      </c>
      <c r="AA267" s="117">
        <v>0.34930555555555554</v>
      </c>
      <c r="AB267" s="155">
        <v>73</v>
      </c>
      <c r="AC267" s="155">
        <v>19</v>
      </c>
      <c r="AD267" s="96"/>
      <c r="AE267" s="94">
        <f>Table3.110[[#This Row],[Gas 8h, ml]]-Table3.110[[#This Row],[Gas 0h, ml]]</f>
        <v>31</v>
      </c>
      <c r="AF267" s="94">
        <f>Table3.110[[#This Row],[Gas 24h, ml]]-Table3.110[[#This Row],[V8 Push back, ml]]</f>
        <v>32</v>
      </c>
      <c r="AG267" s="94">
        <f>Table3.110[[#This Row],[GP 8h, ml]]-(AVERAGE(AE$221,AE$222,AE$255,AE$256,AE$291,AE$292))*$AG$8</f>
        <v>29.524988739845064</v>
      </c>
      <c r="AH267" s="94">
        <f>Table3.110[[#This Row],[GP 8-24h, ml]]-(AVERAGE(AF$221,AF$222,AF$255,AF$256,AF$291,AF$292))*$AG$8</f>
        <v>30.008734798790837</v>
      </c>
      <c r="AI267" s="94">
        <f>Table3.110[[#This Row],[Net gas 8-24h, ml]]+Table3.110[[#This Row],[Net gas 8h, ml]]</f>
        <v>59.533723538635897</v>
      </c>
      <c r="AJ267" s="94">
        <f>Table3.110[[#This Row],[Net gas 8h, ml]]*Table3.110[[#This Row],[CH4 8h %]]%</f>
        <v>4.2220733897978446</v>
      </c>
      <c r="AK267" s="94">
        <f>Table3.110[[#This Row],[Net gas 8-24h, ml]]*Table3.110[[#This Row],[CH4 24h, %]]%</f>
        <v>5.7016596117702587</v>
      </c>
      <c r="AL267" s="94">
        <f>Table3.110[[#This Row],[CH4 8-24h, ml]]+Table3.110[[#This Row],[CH4 8h, ml]]</f>
        <v>9.9237330015681025</v>
      </c>
      <c r="AM267" s="94">
        <f>(Table3.110[[#This Row],[Net gas 24h, ml]]/Table3.110[[#This Row],[DM Incubated, mg]])*1000</f>
        <v>126.88347762787438</v>
      </c>
      <c r="AN267" s="94">
        <f>'3.2 Digest'!X267</f>
        <v>29.944581629913024</v>
      </c>
      <c r="AO267" s="94">
        <f>Table3.110[[#This Row],[Digested feed, mg]]/Table3.110[[#This Row],[Net gas 24h, ml]]</f>
        <v>2.3600063766958614</v>
      </c>
      <c r="AP267" s="94">
        <f>Table3.110[[#This Row],[CH4 8h, ml]]/Table3.110[[#This Row],[Net gas 8h, ml]]%</f>
        <v>14.3</v>
      </c>
      <c r="AQ267" s="94">
        <f>Table3.110[[#This Row],[CH4 24h, ml]]/Table3.110[[#This Row],[Net gas 24h, ml]]%</f>
        <v>16.669095114011888</v>
      </c>
      <c r="AR267" s="94">
        <f>Table3.110[[#This Row],[CH4 24h, ml]]/Table3.110[[#This Row],[DM Incubated, mg]]*1000</f>
        <v>21.150327569756382</v>
      </c>
      <c r="AS267" s="94">
        <f>Table3.110[[#This Row],[CH4 24h, ml]]/Table3.110[[#This Row],[Digested feed, mg]]*1000</f>
        <v>70.631568111902894</v>
      </c>
      <c r="AT267" s="94">
        <f>Table3.110[[#This Row],[CH4 24h, ml]]/'3.2 Digest'!AA267</f>
        <v>-0.49526631504657576</v>
      </c>
      <c r="AU267" s="94">
        <f>((Table3.110[[#This Row],[CH4 24h, ml]]/28.9)*16.04)/Table3.110[[#This Row],[DM Incubated, mg]]*1000</f>
        <v>11.738797723837106</v>
      </c>
      <c r="AV267" s="94">
        <f>((Table3.110[[#This Row],[CH4 24h, ml]]/28.9)*16.04)/Table3.110[[#This Row],[Digested feed, mg]]*1000</f>
        <v>39.201742301554418</v>
      </c>
      <c r="AW267" s="89" t="s">
        <v>546</v>
      </c>
    </row>
    <row r="268" spans="2:49" s="89" customFormat="1" x14ac:dyDescent="0.35">
      <c r="B268" s="90">
        <f t="shared" ref="B268:B331" si="4">B267+1</f>
        <v>258</v>
      </c>
      <c r="C268" s="140">
        <v>46076</v>
      </c>
      <c r="D268" s="6" t="s">
        <v>16</v>
      </c>
      <c r="E268" s="6" t="str">
        <f>'[1]1. Information samples'!$F$37</f>
        <v>CIAT-33508</v>
      </c>
      <c r="F268" s="6" t="s">
        <v>19</v>
      </c>
      <c r="G268" s="6" t="s">
        <v>73</v>
      </c>
      <c r="H268" s="6" t="str">
        <f>'[1]1. Information samples'!$I$37</f>
        <v>Dendrolobium umbellatum</v>
      </c>
      <c r="I268" s="6" t="s">
        <v>22</v>
      </c>
      <c r="J268" s="129" t="s">
        <v>23</v>
      </c>
      <c r="K268" s="129" t="s">
        <v>24</v>
      </c>
      <c r="L268" s="6" t="str">
        <f>'[1]1. Information samples'!$E$37</f>
        <v>F251749</v>
      </c>
      <c r="M268" s="119">
        <v>27</v>
      </c>
      <c r="N268" s="93">
        <v>69</v>
      </c>
      <c r="O268" s="6">
        <v>3</v>
      </c>
      <c r="P268" s="129">
        <v>2</v>
      </c>
      <c r="Q268" s="6">
        <v>120</v>
      </c>
      <c r="R268" s="98">
        <v>0.50049999999999994</v>
      </c>
      <c r="S268" s="94">
        <f>((Table3.110[[#This Row],[Sample weight, g]]*'2.1. DM'!Q53)/100)*1000</f>
        <v>469.19996717962931</v>
      </c>
      <c r="T268" s="94">
        <f>'3.2 Digest'!W268</f>
        <v>149.29996717962933</v>
      </c>
      <c r="U268" s="153">
        <v>0.33402777777777776</v>
      </c>
      <c r="V268" s="155">
        <v>40</v>
      </c>
      <c r="W268" s="153">
        <v>0.67569444444444449</v>
      </c>
      <c r="X268" s="91">
        <v>73</v>
      </c>
      <c r="Y268" s="91">
        <v>13.6</v>
      </c>
      <c r="Z268" s="154">
        <v>40</v>
      </c>
      <c r="AA268" s="153">
        <v>0.34930555555555554</v>
      </c>
      <c r="AB268" s="154">
        <v>72</v>
      </c>
      <c r="AC268" s="154">
        <v>19</v>
      </c>
      <c r="AD268" s="91"/>
      <c r="AE268" s="94">
        <f>Table3.110[[#This Row],[Gas 8h, ml]]-Table3.110[[#This Row],[Gas 0h, ml]]</f>
        <v>33</v>
      </c>
      <c r="AF268" s="94">
        <f>Table3.110[[#This Row],[Gas 24h, ml]]-Table3.110[[#This Row],[V8 Push back, ml]]</f>
        <v>32</v>
      </c>
      <c r="AG268" s="94">
        <f>Table3.110[[#This Row],[GP 8h, ml]]-(AVERAGE(AE$221,AE$222,AE$255,AE$256,AE$291,AE$292))*$AG$8</f>
        <v>31.524988739845064</v>
      </c>
      <c r="AH268" s="94">
        <f>Table3.110[[#This Row],[GP 8-24h, ml]]-(AVERAGE(AF$221,AF$222,AF$255,AF$256,AF$291,AF$292))*$AG$8</f>
        <v>30.008734798790837</v>
      </c>
      <c r="AI268" s="94">
        <f>Table3.110[[#This Row],[Net gas 8-24h, ml]]+Table3.110[[#This Row],[Net gas 8h, ml]]</f>
        <v>61.533723538635897</v>
      </c>
      <c r="AJ268" s="94">
        <f>Table3.110[[#This Row],[Net gas 8h, ml]]*Table3.110[[#This Row],[CH4 8h %]]%</f>
        <v>4.287398468618929</v>
      </c>
      <c r="AK268" s="94">
        <f>Table3.110[[#This Row],[Net gas 8-24h, ml]]*Table3.110[[#This Row],[CH4 24h, %]]%</f>
        <v>5.7016596117702587</v>
      </c>
      <c r="AL268" s="94">
        <f>Table3.110[[#This Row],[CH4 8-24h, ml]]+Table3.110[[#This Row],[CH4 8h, ml]]</f>
        <v>9.9890580803891886</v>
      </c>
      <c r="AM268" s="94">
        <f>(Table3.110[[#This Row],[Net gas 24h, ml]]/Table3.110[[#This Row],[DM Incubated, mg]])*1000</f>
        <v>131.14605252109538</v>
      </c>
      <c r="AN268" s="94">
        <f>'3.2 Digest'!X268</f>
        <v>31.820114582930287</v>
      </c>
      <c r="AO268" s="94">
        <f>Table3.110[[#This Row],[Digested feed, mg]]/Table3.110[[#This Row],[Net gas 24h, ml]]</f>
        <v>2.4263112744328987</v>
      </c>
      <c r="AP268" s="94">
        <f>Table3.110[[#This Row],[CH4 8h, ml]]/Table3.110[[#This Row],[Net gas 8h, ml]]%</f>
        <v>13.600000000000001</v>
      </c>
      <c r="AQ268" s="94">
        <f>Table3.110[[#This Row],[CH4 24h, ml]]/Table3.110[[#This Row],[Net gas 24h, ml]]%</f>
        <v>16.233469235966588</v>
      </c>
      <c r="AR268" s="94">
        <f>Table3.110[[#This Row],[CH4 24h, ml]]/Table3.110[[#This Row],[DM Incubated, mg]]*1000</f>
        <v>21.289554090196603</v>
      </c>
      <c r="AS268" s="94">
        <f>Table3.110[[#This Row],[CH4 24h, ml]]/Table3.110[[#This Row],[Digested feed, mg]]*1000</f>
        <v>66.905963002462798</v>
      </c>
      <c r="AT268" s="94">
        <f>Table3.110[[#This Row],[CH4 24h, ml]]/'3.2 Digest'!AA268</f>
        <v>-0.59375573222912437</v>
      </c>
      <c r="AU268" s="94">
        <f>((Table3.110[[#This Row],[CH4 24h, ml]]/28.9)*16.04)/Table3.110[[#This Row],[DM Incubated, mg]]*1000</f>
        <v>11.816070851444756</v>
      </c>
      <c r="AV268" s="94">
        <f>((Table3.110[[#This Row],[CH4 24h, ml]]/28.9)*16.04)/Table3.110[[#This Row],[Digested feed, mg]]*1000</f>
        <v>37.13396700897934</v>
      </c>
    </row>
    <row r="269" spans="2:49" s="89" customFormat="1" x14ac:dyDescent="0.35">
      <c r="B269" s="90">
        <f t="shared" si="4"/>
        <v>259</v>
      </c>
      <c r="C269" s="140">
        <v>46076</v>
      </c>
      <c r="D269" s="6" t="s">
        <v>16</v>
      </c>
      <c r="E269" s="6" t="str">
        <f>'[1]1. Information samples'!$F$38</f>
        <v>CIAT-33515</v>
      </c>
      <c r="F269" s="6" t="s">
        <v>19</v>
      </c>
      <c r="G269" s="6" t="s">
        <v>20</v>
      </c>
      <c r="H269" s="6" t="str">
        <f>'[1]1. Information samples'!$I$38</f>
        <v>Dendrolobium triangulare</v>
      </c>
      <c r="I269" s="6" t="s">
        <v>22</v>
      </c>
      <c r="J269" s="129" t="s">
        <v>23</v>
      </c>
      <c r="K269" s="129" t="s">
        <v>24</v>
      </c>
      <c r="L269" s="6" t="str">
        <f>'[1]1. Information samples'!$E$38</f>
        <v>F251750</v>
      </c>
      <c r="M269" s="119">
        <v>27</v>
      </c>
      <c r="N269" s="93">
        <v>69</v>
      </c>
      <c r="O269" s="6">
        <v>3</v>
      </c>
      <c r="P269" s="129">
        <v>1</v>
      </c>
      <c r="Q269" s="6">
        <v>121</v>
      </c>
      <c r="R269" s="98">
        <v>0.50019999999999998</v>
      </c>
      <c r="S269" s="94">
        <f>((Table3.110[[#This Row],[Sample weight, g]]*'2.1. DM'!Q55)/100)*1000</f>
        <v>467.24177049485172</v>
      </c>
      <c r="T269" s="94">
        <f>'3.2 Digest'!W269</f>
        <v>49.741770494851721</v>
      </c>
      <c r="U269" s="153">
        <v>0.33402777777777776</v>
      </c>
      <c r="V269" s="155">
        <v>42.5</v>
      </c>
      <c r="W269" s="153">
        <v>0.67569444444444449</v>
      </c>
      <c r="X269" s="91">
        <v>66.5</v>
      </c>
      <c r="Y269" s="91">
        <v>13.5</v>
      </c>
      <c r="Z269" s="154">
        <v>41</v>
      </c>
      <c r="AA269" s="153">
        <v>0.35</v>
      </c>
      <c r="AB269" s="154">
        <v>65</v>
      </c>
      <c r="AC269" s="154">
        <v>16.899999999999999</v>
      </c>
      <c r="AD269" s="91"/>
      <c r="AE269" s="94">
        <f>Table3.110[[#This Row],[Gas 8h, ml]]-Table3.110[[#This Row],[Gas 0h, ml]]</f>
        <v>24</v>
      </c>
      <c r="AF269" s="94">
        <f>Table3.110[[#This Row],[Gas 24h, ml]]-Table3.110[[#This Row],[V8 Push back, ml]]</f>
        <v>24</v>
      </c>
      <c r="AG269" s="94">
        <f>Table3.110[[#This Row],[GP 8h, ml]]-(AVERAGE(AE$221,AE$222,AE$255,AE$256,AE$291,AE$292))*$AG$8</f>
        <v>22.524988739845064</v>
      </c>
      <c r="AH269" s="94">
        <f>Table3.110[[#This Row],[GP 8-24h, ml]]-(AVERAGE(AF$221,AF$222,AF$255,AF$256,AF$291,AF$292))*$AG$8</f>
        <v>22.008734798790837</v>
      </c>
      <c r="AI269" s="94">
        <f>Table3.110[[#This Row],[Net gas 8-24h, ml]]+Table3.110[[#This Row],[Net gas 8h, ml]]</f>
        <v>44.533723538635897</v>
      </c>
      <c r="AJ269" s="94">
        <f>Table3.110[[#This Row],[Net gas 8h, ml]]*Table3.110[[#This Row],[CH4 8h %]]%</f>
        <v>3.040873479879084</v>
      </c>
      <c r="AK269" s="94">
        <f>Table3.110[[#This Row],[Net gas 8-24h, ml]]*Table3.110[[#This Row],[CH4 24h, %]]%</f>
        <v>3.7194761809956511</v>
      </c>
      <c r="AL269" s="94">
        <f>Table3.110[[#This Row],[CH4 8-24h, ml]]+Table3.110[[#This Row],[CH4 8h, ml]]</f>
        <v>6.7603496608747351</v>
      </c>
      <c r="AM269" s="94">
        <f>(Table3.110[[#This Row],[Net gas 24h, ml]]/Table3.110[[#This Row],[DM Incubated, mg]])*1000</f>
        <v>95.311948440462885</v>
      </c>
      <c r="AN269" s="94">
        <f>'3.2 Digest'!X269</f>
        <v>10.645831266791632</v>
      </c>
      <c r="AO269" s="94">
        <f>Table3.110[[#This Row],[Digested feed, mg]]/Table3.110[[#This Row],[Net gas 24h, ml]]</f>
        <v>1.1169461374972947</v>
      </c>
      <c r="AP269" s="94">
        <f>Table3.110[[#This Row],[CH4 8h, ml]]/Table3.110[[#This Row],[Net gas 8h, ml]]%</f>
        <v>13.500000000000002</v>
      </c>
      <c r="AQ269" s="94">
        <f>Table3.110[[#This Row],[CH4 24h, ml]]/Table3.110[[#This Row],[Net gas 24h, ml]]%</f>
        <v>15.180292874027687</v>
      </c>
      <c r="AR269" s="94">
        <f>Table3.110[[#This Row],[CH4 24h, ml]]/Table3.110[[#This Row],[DM Incubated, mg]]*1000</f>
        <v>14.468632917204529</v>
      </c>
      <c r="AS269" s="94">
        <f>Table3.110[[#This Row],[CH4 24h, ml]]/Table3.110[[#This Row],[Digested feed, mg]]*1000</f>
        <v>135.90890701356182</v>
      </c>
      <c r="AT269" s="94">
        <f>Table3.110[[#This Row],[CH4 24h, ml]]/'3.2 Digest'!AA269</f>
        <v>-0.16440295191358048</v>
      </c>
      <c r="AU269" s="94">
        <f>((Table3.110[[#This Row],[CH4 24h, ml]]/28.9)*16.04)/Table3.110[[#This Row],[DM Incubated, mg]]*1000</f>
        <v>8.0303415914173222</v>
      </c>
      <c r="AV269" s="94">
        <f>((Table3.110[[#This Row],[CH4 24h, ml]]/28.9)*16.04)/Table3.110[[#This Row],[Digested feed, mg]]*1000</f>
        <v>75.431794757700047</v>
      </c>
    </row>
    <row r="270" spans="2:49" s="89" customFormat="1" x14ac:dyDescent="0.35">
      <c r="B270" s="90">
        <f t="shared" si="4"/>
        <v>260</v>
      </c>
      <c r="C270" s="140">
        <v>46076</v>
      </c>
      <c r="D270" s="6" t="s">
        <v>16</v>
      </c>
      <c r="E270" s="6" t="str">
        <f>'[1]1. Information samples'!$F$38</f>
        <v>CIAT-33515</v>
      </c>
      <c r="F270" s="6" t="s">
        <v>19</v>
      </c>
      <c r="G270" s="6" t="s">
        <v>20</v>
      </c>
      <c r="H270" s="6" t="str">
        <f>'[1]1. Information samples'!$I$38</f>
        <v>Dendrolobium triangulare</v>
      </c>
      <c r="I270" s="6" t="s">
        <v>22</v>
      </c>
      <c r="J270" s="129" t="s">
        <v>23</v>
      </c>
      <c r="K270" s="129" t="s">
        <v>24</v>
      </c>
      <c r="L270" s="6" t="str">
        <f>'[1]1. Information samples'!$E$38</f>
        <v>F251750</v>
      </c>
      <c r="M270" s="119">
        <v>27</v>
      </c>
      <c r="N270" s="93">
        <v>69</v>
      </c>
      <c r="O270" s="6">
        <v>3</v>
      </c>
      <c r="P270" s="129">
        <v>2</v>
      </c>
      <c r="Q270" s="6">
        <v>122</v>
      </c>
      <c r="R270" s="98">
        <v>0.50039999999999996</v>
      </c>
      <c r="S270" s="94">
        <f>((Table3.110[[#This Row],[Sample weight, g]]*'2.1. DM'!Q55)/100)*1000</f>
        <v>467.42859247425787</v>
      </c>
      <c r="T270" s="94">
        <f>'3.2 Digest'!W270</f>
        <v>92.628592474257857</v>
      </c>
      <c r="U270" s="117">
        <v>0.33402777777777776</v>
      </c>
      <c r="V270" s="155">
        <v>41.5</v>
      </c>
      <c r="W270" s="117">
        <v>0.67569444444444449</v>
      </c>
      <c r="X270" s="96">
        <v>66.5</v>
      </c>
      <c r="Y270" s="96">
        <v>13.5</v>
      </c>
      <c r="Z270" s="155">
        <v>40</v>
      </c>
      <c r="AA270" s="117">
        <v>0.35</v>
      </c>
      <c r="AB270" s="155">
        <v>63</v>
      </c>
      <c r="AC270" s="155">
        <v>16.8</v>
      </c>
      <c r="AD270" s="96"/>
      <c r="AE270" s="94">
        <f>Table3.110[[#This Row],[Gas 8h, ml]]-Table3.110[[#This Row],[Gas 0h, ml]]</f>
        <v>25</v>
      </c>
      <c r="AF270" s="94">
        <f>Table3.110[[#This Row],[Gas 24h, ml]]-Table3.110[[#This Row],[V8 Push back, ml]]</f>
        <v>23</v>
      </c>
      <c r="AG270" s="94">
        <f>Table3.110[[#This Row],[GP 8h, ml]]-(AVERAGE(AE$221,AE$222,AE$255,AE$256,AE$291,AE$292))*$AG$8</f>
        <v>23.524988739845064</v>
      </c>
      <c r="AH270" s="94">
        <f>Table3.110[[#This Row],[GP 8-24h, ml]]-(AVERAGE(AF$221,AF$222,AF$255,AF$256,AF$291,AF$292))*$AG$8</f>
        <v>21.008734798790837</v>
      </c>
      <c r="AI270" s="94">
        <f>Table3.110[[#This Row],[Net gas 8-24h, ml]]+Table3.110[[#This Row],[Net gas 8h, ml]]</f>
        <v>44.533723538635897</v>
      </c>
      <c r="AJ270" s="94">
        <f>Table3.110[[#This Row],[Net gas 8h, ml]]*Table3.110[[#This Row],[CH4 8h %]]%</f>
        <v>3.1758734798790837</v>
      </c>
      <c r="AK270" s="94">
        <f>Table3.110[[#This Row],[Net gas 8-24h, ml]]*Table3.110[[#This Row],[CH4 24h, %]]%</f>
        <v>3.5294674461968607</v>
      </c>
      <c r="AL270" s="94">
        <f>Table3.110[[#This Row],[CH4 8-24h, ml]]+Table3.110[[#This Row],[CH4 8h, ml]]</f>
        <v>6.7053409260759445</v>
      </c>
      <c r="AM270" s="94">
        <f>(Table3.110[[#This Row],[Net gas 24h, ml]]/Table3.110[[#This Row],[DM Incubated, mg]])*1000</f>
        <v>95.273854136529849</v>
      </c>
      <c r="AN270" s="94">
        <f>'3.2 Digest'!X270</f>
        <v>19.816629527077779</v>
      </c>
      <c r="AO270" s="94">
        <f>Table3.110[[#This Row],[Digested feed, mg]]/Table3.110[[#This Row],[Net gas 24h, ml]]</f>
        <v>2.0799651390905263</v>
      </c>
      <c r="AP270" s="94">
        <f>Table3.110[[#This Row],[CH4 8h, ml]]/Table3.110[[#This Row],[Net gas 8h, ml]]%</f>
        <v>13.5</v>
      </c>
      <c r="AQ270" s="94">
        <f>Table3.110[[#This Row],[CH4 24h, ml]]/Table3.110[[#This Row],[Net gas 24h, ml]]%</f>
        <v>15.056771348253928</v>
      </c>
      <c r="AR270" s="94">
        <f>Table3.110[[#This Row],[CH4 24h, ml]]/Table3.110[[#This Row],[DM Incubated, mg]]*1000</f>
        <v>14.345166372006263</v>
      </c>
      <c r="AS270" s="94">
        <f>Table3.110[[#This Row],[CH4 24h, ml]]/Table3.110[[#This Row],[Digested feed, mg]]*1000</f>
        <v>72.389537042133142</v>
      </c>
      <c r="AT270" s="94">
        <f>Table3.110[[#This Row],[CH4 24h, ml]]/'3.2 Digest'!AA270</f>
        <v>-0.25173220850555833</v>
      </c>
      <c r="AU270" s="94">
        <f>((Table3.110[[#This Row],[CH4 24h, ml]]/28.9)*16.04)/Table3.110[[#This Row],[DM Incubated, mg]]*1000</f>
        <v>7.9618155227328886</v>
      </c>
      <c r="AV270" s="94">
        <f>((Table3.110[[#This Row],[CH4 24h, ml]]/28.9)*16.04)/Table3.110[[#This Row],[Digested feed, mg]]*1000</f>
        <v>40.177445472519572</v>
      </c>
    </row>
    <row r="271" spans="2:49" s="89" customFormat="1" x14ac:dyDescent="0.35">
      <c r="B271" s="90">
        <f t="shared" si="4"/>
        <v>261</v>
      </c>
      <c r="C271" s="140">
        <v>46076</v>
      </c>
      <c r="D271" s="6" t="s">
        <v>16</v>
      </c>
      <c r="E271" s="6" t="str">
        <f>'[1]1. Information samples'!$F$39</f>
        <v>CIAT-7353</v>
      </c>
      <c r="F271" s="6" t="s">
        <v>79</v>
      </c>
      <c r="G271" s="6" t="s">
        <v>80</v>
      </c>
      <c r="H271" s="6" t="str">
        <f>'[1]1. Information samples'!$I$39</f>
        <v>Prosopis juliflora</v>
      </c>
      <c r="I271" s="6" t="s">
        <v>22</v>
      </c>
      <c r="J271" s="129" t="s">
        <v>23</v>
      </c>
      <c r="K271" s="129" t="s">
        <v>24</v>
      </c>
      <c r="L271" s="6" t="str">
        <f>'[1]1. Information samples'!$E$39</f>
        <v>F251751</v>
      </c>
      <c r="M271" s="119">
        <v>27</v>
      </c>
      <c r="N271" s="93">
        <v>69</v>
      </c>
      <c r="O271" s="6">
        <v>3</v>
      </c>
      <c r="P271" s="129">
        <v>1</v>
      </c>
      <c r="Q271" s="6">
        <v>123</v>
      </c>
      <c r="R271" s="98">
        <v>0.5</v>
      </c>
      <c r="S271" s="94">
        <f>((Table3.110[[#This Row],[Sample weight, g]]*'2.1. DM'!Q57)/100)*1000</f>
        <v>473.13308729697542</v>
      </c>
      <c r="T271" s="94">
        <f>'3.2 Digest'!W271</f>
        <v>148.83308729697552</v>
      </c>
      <c r="U271" s="117">
        <v>0.33402777777777776</v>
      </c>
      <c r="V271" s="155">
        <v>41</v>
      </c>
      <c r="W271" s="117">
        <v>0.67638888888888893</v>
      </c>
      <c r="X271" s="96">
        <v>55.5</v>
      </c>
      <c r="Y271" s="96">
        <v>10</v>
      </c>
      <c r="Z271" s="155">
        <v>40.5</v>
      </c>
      <c r="AA271" s="117">
        <v>0.35069444444444442</v>
      </c>
      <c r="AB271" s="155">
        <v>56</v>
      </c>
      <c r="AC271" s="155">
        <v>9.1999999999999993</v>
      </c>
      <c r="AD271" s="96"/>
      <c r="AE271" s="94">
        <f>Table3.110[[#This Row],[Gas 8h, ml]]-Table3.110[[#This Row],[Gas 0h, ml]]</f>
        <v>14.5</v>
      </c>
      <c r="AF271" s="94">
        <f>Table3.110[[#This Row],[Gas 24h, ml]]-Table3.110[[#This Row],[V8 Push back, ml]]</f>
        <v>15.5</v>
      </c>
      <c r="AG271" s="94">
        <f>Table3.110[[#This Row],[GP 8h, ml]]-(AVERAGE(AE$221,AE$222,AE$255,AE$256,AE$291,AE$292))*$AG$8</f>
        <v>13.024988739845064</v>
      </c>
      <c r="AH271" s="94">
        <f>Table3.110[[#This Row],[GP 8-24h, ml]]-(AVERAGE(AF$221,AF$222,AF$255,AF$256,AF$291,AF$292))*$AG$8</f>
        <v>13.508734798790837</v>
      </c>
      <c r="AI271" s="94">
        <f>Table3.110[[#This Row],[Net gas 8-24h, ml]]+Table3.110[[#This Row],[Net gas 8h, ml]]</f>
        <v>26.5337235386359</v>
      </c>
      <c r="AJ271" s="94">
        <f>Table3.110[[#This Row],[Net gas 8h, ml]]*Table3.110[[#This Row],[CH4 8h %]]%</f>
        <v>1.3024988739845065</v>
      </c>
      <c r="AK271" s="94">
        <f>Table3.110[[#This Row],[Net gas 8-24h, ml]]*Table3.110[[#This Row],[CH4 24h, %]]%</f>
        <v>1.2428036014887569</v>
      </c>
      <c r="AL271" s="94">
        <f>Table3.110[[#This Row],[CH4 8-24h, ml]]+Table3.110[[#This Row],[CH4 8h, ml]]</f>
        <v>2.5453024754732634</v>
      </c>
      <c r="AM271" s="94">
        <f>(Table3.110[[#This Row],[Net gas 24h, ml]]/Table3.110[[#This Row],[DM Incubated, mg]])*1000</f>
        <v>56.080887705875568</v>
      </c>
      <c r="AN271" s="94">
        <f>'3.2 Digest'!X271</f>
        <v>31.456917998963835</v>
      </c>
      <c r="AO271" s="94">
        <f>Table3.110[[#This Row],[Digested feed, mg]]/Table3.110[[#This Row],[Net gas 24h, ml]]</f>
        <v>5.6092047194303074</v>
      </c>
      <c r="AP271" s="94">
        <f>Table3.110[[#This Row],[CH4 8h, ml]]/Table3.110[[#This Row],[Net gas 8h, ml]]%</f>
        <v>10</v>
      </c>
      <c r="AQ271" s="94">
        <f>Table3.110[[#This Row],[CH4 24h, ml]]/Table3.110[[#This Row],[Net gas 24h, ml]]%</f>
        <v>9.5927074530909113</v>
      </c>
      <c r="AR271" s="94">
        <f>Table3.110[[#This Row],[CH4 24h, ml]]/Table3.110[[#This Row],[DM Incubated, mg]]*1000</f>
        <v>5.3796754947210701</v>
      </c>
      <c r="AS271" s="94">
        <f>Table3.110[[#This Row],[CH4 24h, ml]]/Table3.110[[#This Row],[Digested feed, mg]]*1000</f>
        <v>17.10172463462019</v>
      </c>
      <c r="AT271" s="94">
        <f>Table3.110[[#This Row],[CH4 24h, ml]]/'3.2 Digest'!AA271</f>
        <v>-5.3068034799720373E-2</v>
      </c>
      <c r="AU271" s="94">
        <f>((Table3.110[[#This Row],[CH4 24h, ml]]/28.9)*16.04)/Table3.110[[#This Row],[DM Incubated, mg]]*1000</f>
        <v>2.9858129735406909</v>
      </c>
      <c r="AV271" s="94">
        <f>((Table3.110[[#This Row],[CH4 24h, ml]]/28.9)*16.04)/Table3.110[[#This Row],[Digested feed, mg]]*1000</f>
        <v>9.4917530498030391</v>
      </c>
    </row>
    <row r="272" spans="2:49" s="89" customFormat="1" x14ac:dyDescent="0.35">
      <c r="B272" s="90">
        <f t="shared" si="4"/>
        <v>262</v>
      </c>
      <c r="C272" s="140">
        <v>46076</v>
      </c>
      <c r="D272" s="6" t="s">
        <v>16</v>
      </c>
      <c r="E272" s="6" t="str">
        <f>'[1]1. Information samples'!$F$39</f>
        <v>CIAT-7353</v>
      </c>
      <c r="F272" s="6" t="s">
        <v>79</v>
      </c>
      <c r="G272" s="6" t="s">
        <v>80</v>
      </c>
      <c r="H272" s="6" t="str">
        <f>'[1]1. Information samples'!$I$39</f>
        <v>Prosopis juliflora</v>
      </c>
      <c r="I272" s="6" t="s">
        <v>22</v>
      </c>
      <c r="J272" s="129" t="s">
        <v>23</v>
      </c>
      <c r="K272" s="129" t="s">
        <v>24</v>
      </c>
      <c r="L272" s="6" t="str">
        <f>'[1]1. Information samples'!$E$39</f>
        <v>F251751</v>
      </c>
      <c r="M272" s="119">
        <v>27</v>
      </c>
      <c r="N272" s="93">
        <v>69</v>
      </c>
      <c r="O272" s="6">
        <v>3</v>
      </c>
      <c r="P272" s="129">
        <v>2</v>
      </c>
      <c r="Q272" s="6">
        <v>124</v>
      </c>
      <c r="R272" s="98">
        <v>0.50009999999999999</v>
      </c>
      <c r="S272" s="94">
        <f>((Table3.110[[#This Row],[Sample weight, g]]*'2.1. DM'!Q57)/100)*1000</f>
        <v>473.22771391443473</v>
      </c>
      <c r="T272" s="94">
        <f>'3.2 Digest'!W272</f>
        <v>211.12771391443471</v>
      </c>
      <c r="U272" s="153">
        <v>0.3347222222222222</v>
      </c>
      <c r="V272" s="155">
        <v>40.5</v>
      </c>
      <c r="W272" s="153">
        <v>0.67638888888888893</v>
      </c>
      <c r="X272" s="91">
        <v>56</v>
      </c>
      <c r="Y272" s="91">
        <v>9</v>
      </c>
      <c r="Z272" s="154">
        <v>39.5</v>
      </c>
      <c r="AA272" s="153">
        <v>0.35138888888888886</v>
      </c>
      <c r="AB272" s="154">
        <v>51.5</v>
      </c>
      <c r="AC272" s="154">
        <v>2.1</v>
      </c>
      <c r="AD272" s="91"/>
      <c r="AE272" s="94">
        <f>Table3.110[[#This Row],[Gas 8h, ml]]-Table3.110[[#This Row],[Gas 0h, ml]]</f>
        <v>15.5</v>
      </c>
      <c r="AF272" s="94">
        <f>Table3.110[[#This Row],[Gas 24h, ml]]-Table3.110[[#This Row],[V8 Push back, ml]]</f>
        <v>12</v>
      </c>
      <c r="AG272" s="94">
        <f>Table3.110[[#This Row],[GP 8h, ml]]-(AVERAGE(AE$221,AE$222,AE$255,AE$256,AE$291,AE$292))*$AG$8</f>
        <v>14.024988739845064</v>
      </c>
      <c r="AH272" s="94">
        <f>Table3.110[[#This Row],[GP 8-24h, ml]]-(AVERAGE(AF$221,AF$222,AF$255,AF$256,AF$291,AF$292))*$AG$8</f>
        <v>10.008734798790837</v>
      </c>
      <c r="AI272" s="94">
        <f>Table3.110[[#This Row],[Net gas 8-24h, ml]]+Table3.110[[#This Row],[Net gas 8h, ml]]</f>
        <v>24.0337235386359</v>
      </c>
      <c r="AJ272" s="94">
        <f>Table3.110[[#This Row],[Net gas 8h, ml]]*Table3.110[[#This Row],[CH4 8h %]]%</f>
        <v>1.2622489865860558</v>
      </c>
      <c r="AK272" s="94">
        <f>Table3.110[[#This Row],[Net gas 8-24h, ml]]*Table3.110[[#This Row],[CH4 24h, %]]%</f>
        <v>0.21018343077460758</v>
      </c>
      <c r="AL272" s="94">
        <f>Table3.110[[#This Row],[CH4 8-24h, ml]]+Table3.110[[#This Row],[CH4 8h, ml]]</f>
        <v>1.4724324173606633</v>
      </c>
      <c r="AM272" s="94">
        <f>(Table3.110[[#This Row],[Net gas 24h, ml]]/Table3.110[[#This Row],[DM Incubated, mg]])*1000</f>
        <v>50.786804812918227</v>
      </c>
      <c r="AN272" s="94">
        <f>'3.2 Digest'!X272</f>
        <v>44.614401842198347</v>
      </c>
      <c r="AO272" s="94">
        <f>Table3.110[[#This Row],[Digested feed, mg]]/Table3.110[[#This Row],[Net gas 24h, ml]]</f>
        <v>8.7846443592076806</v>
      </c>
      <c r="AP272" s="94">
        <f>Table3.110[[#This Row],[CH4 8h, ml]]/Table3.110[[#This Row],[Net gas 8h, ml]]%</f>
        <v>9</v>
      </c>
      <c r="AQ272" s="94">
        <f>Table3.110[[#This Row],[CH4 24h, ml]]/Table3.110[[#This Row],[Net gas 24h, ml]]%</f>
        <v>6.1265263994304693</v>
      </c>
      <c r="AR272" s="94">
        <f>Table3.110[[#This Row],[CH4 24h, ml]]/Table3.110[[#This Row],[DM Incubated, mg]]*1000</f>
        <v>3.1114670042906591</v>
      </c>
      <c r="AS272" s="94">
        <f>Table3.110[[#This Row],[CH4 24h, ml]]/Table3.110[[#This Row],[Digested feed, mg]]*1000</f>
        <v>6.9741313921364529</v>
      </c>
      <c r="AT272" s="94">
        <f>Table3.110[[#This Row],[CH4 24h, ml]]/'3.2 Digest'!AA272</f>
        <v>-7.5277241755520655E-2</v>
      </c>
      <c r="AU272" s="94">
        <f>((Table3.110[[#This Row],[CH4 24h, ml]]/28.9)*16.04)/Table3.110[[#This Row],[DM Incubated, mg]]*1000</f>
        <v>1.7269180189903865</v>
      </c>
      <c r="AV272" s="94">
        <f>((Table3.110[[#This Row],[CH4 24h, ml]]/28.9)*16.04)/Table3.110[[#This Row],[Digested feed, mg]]*1000</f>
        <v>3.8707635823483981</v>
      </c>
    </row>
    <row r="273" spans="2:48" s="89" customFormat="1" x14ac:dyDescent="0.35">
      <c r="B273" s="90">
        <f t="shared" si="4"/>
        <v>263</v>
      </c>
      <c r="C273" s="140">
        <v>46076</v>
      </c>
      <c r="D273" s="6" t="s">
        <v>16</v>
      </c>
      <c r="E273" s="6" t="str">
        <f>'[1]1. Information samples'!$F$40</f>
        <v>CIAT-7976</v>
      </c>
      <c r="F273" s="6" t="s">
        <v>84</v>
      </c>
      <c r="G273" s="6" t="s">
        <v>67</v>
      </c>
      <c r="H273" s="6" t="str">
        <f>'[1]1. Information samples'!$I$40</f>
        <v>Cassia sp.</v>
      </c>
      <c r="I273" s="6" t="s">
        <v>22</v>
      </c>
      <c r="J273" s="129" t="s">
        <v>23</v>
      </c>
      <c r="K273" s="129" t="s">
        <v>24</v>
      </c>
      <c r="L273" s="6" t="str">
        <f>'[1]1. Information samples'!$E$40</f>
        <v>F251752</v>
      </c>
      <c r="M273" s="119">
        <v>27</v>
      </c>
      <c r="N273" s="93">
        <v>69</v>
      </c>
      <c r="O273" s="6">
        <v>3</v>
      </c>
      <c r="P273" s="129">
        <v>1</v>
      </c>
      <c r="Q273" s="6">
        <v>125</v>
      </c>
      <c r="R273" s="98">
        <v>0.50019999999999998</v>
      </c>
      <c r="S273" s="94">
        <f>((Table3.110[[#This Row],[Sample weight, g]]*'2.1. DM'!Q59)/100)*1000</f>
        <v>467.27499217401248</v>
      </c>
      <c r="T273" s="94">
        <f>'3.2 Digest'!W273</f>
        <v>135.3749921740125</v>
      </c>
      <c r="U273" s="153">
        <v>0.3347222222222222</v>
      </c>
      <c r="V273" s="155">
        <v>41.5</v>
      </c>
      <c r="W273" s="153">
        <v>0.67708333333333337</v>
      </c>
      <c r="X273" s="91">
        <v>77.5</v>
      </c>
      <c r="Y273" s="91">
        <v>11.4</v>
      </c>
      <c r="Z273" s="154">
        <v>40</v>
      </c>
      <c r="AA273" s="153">
        <v>0.35208333333333336</v>
      </c>
      <c r="AB273" s="154">
        <v>74.5</v>
      </c>
      <c r="AC273" s="154">
        <v>15.7</v>
      </c>
      <c r="AD273" s="91"/>
      <c r="AE273" s="94">
        <f>Table3.110[[#This Row],[Gas 8h, ml]]-Table3.110[[#This Row],[Gas 0h, ml]]</f>
        <v>36</v>
      </c>
      <c r="AF273" s="94">
        <f>Table3.110[[#This Row],[Gas 24h, ml]]-Table3.110[[#This Row],[V8 Push back, ml]]</f>
        <v>34.5</v>
      </c>
      <c r="AG273" s="94">
        <f>Table3.110[[#This Row],[GP 8h, ml]]-(AVERAGE(AE$221,AE$222,AE$255,AE$256,AE$291,AE$292))*$AG$8</f>
        <v>34.524988739845064</v>
      </c>
      <c r="AH273" s="94">
        <f>Table3.110[[#This Row],[GP 8-24h, ml]]-(AVERAGE(AF$221,AF$222,AF$255,AF$256,AF$291,AF$292))*$AG$8</f>
        <v>32.50873479879084</v>
      </c>
      <c r="AI273" s="94">
        <f>Table3.110[[#This Row],[Net gas 8-24h, ml]]+Table3.110[[#This Row],[Net gas 8h, ml]]</f>
        <v>67.033723538635911</v>
      </c>
      <c r="AJ273" s="94">
        <f>Table3.110[[#This Row],[Net gas 8h, ml]]*Table3.110[[#This Row],[CH4 8h %]]%</f>
        <v>3.9358487163423375</v>
      </c>
      <c r="AK273" s="94">
        <f>Table3.110[[#This Row],[Net gas 8-24h, ml]]*Table3.110[[#This Row],[CH4 24h, %]]%</f>
        <v>5.1038713634101622</v>
      </c>
      <c r="AL273" s="94">
        <f>Table3.110[[#This Row],[CH4 8-24h, ml]]+Table3.110[[#This Row],[CH4 8h, ml]]</f>
        <v>9.0397200797524988</v>
      </c>
      <c r="AM273" s="94">
        <f>(Table3.110[[#This Row],[Net gas 24h, ml]]/Table3.110[[#This Row],[DM Incubated, mg]])*1000</f>
        <v>143.45668966096233</v>
      </c>
      <c r="AN273" s="94">
        <f>'3.2 Digest'!X273</f>
        <v>28.971161402020645</v>
      </c>
      <c r="AO273" s="94">
        <f>Table3.110[[#This Row],[Digested feed, mg]]/Table3.110[[#This Row],[Net gas 24h, ml]]</f>
        <v>2.0195057804895331</v>
      </c>
      <c r="AP273" s="94">
        <f>Table3.110[[#This Row],[CH4 8h, ml]]/Table3.110[[#This Row],[Net gas 8h, ml]]%</f>
        <v>11.4</v>
      </c>
      <c r="AQ273" s="94">
        <f>Table3.110[[#This Row],[CH4 24h, ml]]/Table3.110[[#This Row],[Net gas 24h, ml]]%</f>
        <v>13.485331863658622</v>
      </c>
      <c r="AR273" s="94">
        <f>Table3.110[[#This Row],[CH4 24h, ml]]/Table3.110[[#This Row],[DM Incubated, mg]]*1000</f>
        <v>19.345610681399616</v>
      </c>
      <c r="AS273" s="94">
        <f>Table3.110[[#This Row],[CH4 24h, ml]]/Table3.110[[#This Row],[Digested feed, mg]]*1000</f>
        <v>66.775406111438528</v>
      </c>
      <c r="AT273" s="94">
        <f>Table3.110[[#This Row],[CH4 24h, ml]]/'3.2 Digest'!AA273</f>
        <v>-0.21662682296881058</v>
      </c>
      <c r="AU273" s="94">
        <f>((Table3.110[[#This Row],[CH4 24h, ml]]/28.9)*16.04)/Table3.110[[#This Row],[DM Incubated, mg]]*1000</f>
        <v>10.737148627323524</v>
      </c>
      <c r="AV273" s="94">
        <f>((Table3.110[[#This Row],[CH4 24h, ml]]/28.9)*16.04)/Table3.110[[#This Row],[Digested feed, mg]]*1000</f>
        <v>37.061505675691151</v>
      </c>
    </row>
    <row r="274" spans="2:48" s="89" customFormat="1" x14ac:dyDescent="0.35">
      <c r="B274" s="90">
        <f t="shared" si="4"/>
        <v>264</v>
      </c>
      <c r="C274" s="140">
        <v>46076</v>
      </c>
      <c r="D274" s="6" t="s">
        <v>16</v>
      </c>
      <c r="E274" s="6" t="str">
        <f>'[1]1. Information samples'!$F$40</f>
        <v>CIAT-7976</v>
      </c>
      <c r="F274" s="6" t="s">
        <v>84</v>
      </c>
      <c r="G274" s="6" t="s">
        <v>67</v>
      </c>
      <c r="H274" s="6" t="str">
        <f>'[1]1. Information samples'!$I$40</f>
        <v>Cassia sp.</v>
      </c>
      <c r="I274" s="6" t="s">
        <v>22</v>
      </c>
      <c r="J274" s="129" t="s">
        <v>23</v>
      </c>
      <c r="K274" s="129" t="s">
        <v>24</v>
      </c>
      <c r="L274" s="6" t="str">
        <f>'[1]1. Information samples'!$E$40</f>
        <v>F251752</v>
      </c>
      <c r="M274" s="119">
        <v>27</v>
      </c>
      <c r="N274" s="93">
        <v>69</v>
      </c>
      <c r="O274" s="6">
        <v>3</v>
      </c>
      <c r="P274" s="129">
        <v>2</v>
      </c>
      <c r="Q274" s="6">
        <v>126</v>
      </c>
      <c r="R274" s="98">
        <v>0.50060000000000004</v>
      </c>
      <c r="S274" s="94">
        <f>((Table3.110[[#This Row],[Sample weight, g]]*'2.1. DM'!Q59)/100)*1000</f>
        <v>467.64866269954155</v>
      </c>
      <c r="T274" s="94">
        <f>'3.2 Digest'!W274</f>
        <v>205.04866269954158</v>
      </c>
      <c r="U274" s="117">
        <v>0.3347222222222222</v>
      </c>
      <c r="V274" s="155">
        <v>41.5</v>
      </c>
      <c r="W274" s="117">
        <v>0.67777777777777781</v>
      </c>
      <c r="X274" s="96">
        <v>76</v>
      </c>
      <c r="Y274" s="96">
        <v>11.2</v>
      </c>
      <c r="Z274" s="155">
        <v>40</v>
      </c>
      <c r="AA274" s="117">
        <v>0.35555555555555557</v>
      </c>
      <c r="AB274" s="155">
        <v>72.5</v>
      </c>
      <c r="AC274" s="155">
        <v>15.6</v>
      </c>
      <c r="AD274" s="96"/>
      <c r="AE274" s="94">
        <f>Table3.110[[#This Row],[Gas 8h, ml]]-Table3.110[[#This Row],[Gas 0h, ml]]</f>
        <v>34.5</v>
      </c>
      <c r="AF274" s="94">
        <f>Table3.110[[#This Row],[Gas 24h, ml]]-Table3.110[[#This Row],[V8 Push back, ml]]</f>
        <v>32.5</v>
      </c>
      <c r="AG274" s="94">
        <f>Table3.110[[#This Row],[GP 8h, ml]]-(AVERAGE(AE$221,AE$222,AE$255,AE$256,AE$291,AE$292))*$AG$8</f>
        <v>33.024988739845064</v>
      </c>
      <c r="AH274" s="94">
        <f>Table3.110[[#This Row],[GP 8-24h, ml]]-(AVERAGE(AF$221,AF$222,AF$255,AF$256,AF$291,AF$292))*$AG$8</f>
        <v>30.508734798790837</v>
      </c>
      <c r="AI274" s="94">
        <f>Table3.110[[#This Row],[Net gas 8-24h, ml]]+Table3.110[[#This Row],[Net gas 8h, ml]]</f>
        <v>63.533723538635897</v>
      </c>
      <c r="AJ274" s="94">
        <f>Table3.110[[#This Row],[Net gas 8h, ml]]*Table3.110[[#This Row],[CH4 8h %]]%</f>
        <v>3.6987987388626467</v>
      </c>
      <c r="AK274" s="94">
        <f>Table3.110[[#This Row],[Net gas 8-24h, ml]]*Table3.110[[#This Row],[CH4 24h, %]]%</f>
        <v>4.7593626286113704</v>
      </c>
      <c r="AL274" s="94">
        <f>Table3.110[[#This Row],[CH4 8-24h, ml]]+Table3.110[[#This Row],[CH4 8h, ml]]</f>
        <v>8.4581613674740161</v>
      </c>
      <c r="AM274" s="94">
        <f>(Table3.110[[#This Row],[Net gas 24h, ml]]/Table3.110[[#This Row],[DM Incubated, mg]])*1000</f>
        <v>135.85781080155792</v>
      </c>
      <c r="AN274" s="94">
        <f>'3.2 Digest'!X274</f>
        <v>43.846733467787722</v>
      </c>
      <c r="AO274" s="94">
        <f>Table3.110[[#This Row],[Digested feed, mg]]/Table3.110[[#This Row],[Net gas 24h, ml]]</f>
        <v>3.2273987935690269</v>
      </c>
      <c r="AP274" s="94">
        <f>Table3.110[[#This Row],[CH4 8h, ml]]/Table3.110[[#This Row],[Net gas 8h, ml]]%</f>
        <v>11.2</v>
      </c>
      <c r="AQ274" s="94">
        <f>Table3.110[[#This Row],[CH4 24h, ml]]/Table3.110[[#This Row],[Net gas 24h, ml]]%</f>
        <v>13.312868971595014</v>
      </c>
      <c r="AR274" s="94">
        <f>Table3.110[[#This Row],[CH4 24h, ml]]/Table3.110[[#This Row],[DM Incubated, mg]]*1000</f>
        <v>18.086572339688868</v>
      </c>
      <c r="AS274" s="94">
        <f>Table3.110[[#This Row],[CH4 24h, ml]]/Table3.110[[#This Row],[Digested feed, mg]]*1000</f>
        <v>41.249531970212281</v>
      </c>
      <c r="AT274" s="94">
        <f>Table3.110[[#This Row],[CH4 24h, ml]]/'3.2 Digest'!AA274</f>
        <v>-0.70209378648715104</v>
      </c>
      <c r="AU274" s="94">
        <f>((Table3.110[[#This Row],[CH4 24h, ml]]/28.9)*16.04)/Table3.110[[#This Row],[DM Incubated, mg]]*1000</f>
        <v>10.038360565003787</v>
      </c>
      <c r="AV274" s="94">
        <f>((Table3.110[[#This Row],[CH4 24h, ml]]/28.9)*16.04)/Table3.110[[#This Row],[Digested feed, mg]]*1000</f>
        <v>22.89420390319049</v>
      </c>
    </row>
    <row r="275" spans="2:48" s="89" customFormat="1" x14ac:dyDescent="0.35">
      <c r="B275" s="90">
        <f t="shared" si="4"/>
        <v>265</v>
      </c>
      <c r="C275" s="140">
        <v>46076</v>
      </c>
      <c r="D275" s="6" t="s">
        <v>16</v>
      </c>
      <c r="E275" s="6" t="str">
        <f>'[1]1. Information samples'!$F$41</f>
        <v>CIAT-8018</v>
      </c>
      <c r="F275" s="6" t="s">
        <v>88</v>
      </c>
      <c r="G275" s="6" t="s">
        <v>89</v>
      </c>
      <c r="H275" s="6" t="str">
        <f>'[1]1. Information samples'!$I$41</f>
        <v>Acacia aroma</v>
      </c>
      <c r="I275" s="6" t="s">
        <v>22</v>
      </c>
      <c r="J275" s="129" t="s">
        <v>23</v>
      </c>
      <c r="K275" s="129" t="s">
        <v>24</v>
      </c>
      <c r="L275" s="6" t="str">
        <f>'[1]1. Information samples'!$E$41</f>
        <v>F251753</v>
      </c>
      <c r="M275" s="119">
        <v>27</v>
      </c>
      <c r="N275" s="93">
        <v>69</v>
      </c>
      <c r="O275" s="6">
        <v>3</v>
      </c>
      <c r="P275" s="129">
        <v>1</v>
      </c>
      <c r="Q275" s="6">
        <v>127</v>
      </c>
      <c r="R275" s="98">
        <v>0.50019999999999998</v>
      </c>
      <c r="S275" s="94">
        <f>((Table3.110[[#This Row],[Sample weight, g]]*'2.1. DM'!Q61)/100)*1000</f>
        <v>469.16567561687623</v>
      </c>
      <c r="T275" s="94">
        <f>'3.2 Digest'!W275</f>
        <v>5.2656756168761376</v>
      </c>
      <c r="U275" s="117">
        <v>0.3347222222222222</v>
      </c>
      <c r="V275" s="155">
        <v>41.5</v>
      </c>
      <c r="W275" s="117">
        <v>0.67777777777777781</v>
      </c>
      <c r="X275" s="96">
        <v>68</v>
      </c>
      <c r="Y275" s="96">
        <v>13.3</v>
      </c>
      <c r="Z275" s="155">
        <v>41</v>
      </c>
      <c r="AA275" s="117">
        <v>0.35555555555555557</v>
      </c>
      <c r="AB275" s="155">
        <v>60.5</v>
      </c>
      <c r="AC275" s="155">
        <v>17.7</v>
      </c>
      <c r="AD275" s="96"/>
      <c r="AE275" s="94">
        <f>Table3.110[[#This Row],[Gas 8h, ml]]-Table3.110[[#This Row],[Gas 0h, ml]]</f>
        <v>26.5</v>
      </c>
      <c r="AF275" s="94">
        <f>Table3.110[[#This Row],[Gas 24h, ml]]-Table3.110[[#This Row],[V8 Push back, ml]]</f>
        <v>19.5</v>
      </c>
      <c r="AG275" s="94">
        <f>Table3.110[[#This Row],[GP 8h, ml]]-(AVERAGE(AE$221,AE$222,AE$255,AE$256,AE$291,AE$292))*$AG$8</f>
        <v>25.024988739845064</v>
      </c>
      <c r="AH275" s="94">
        <f>Table3.110[[#This Row],[GP 8-24h, ml]]-(AVERAGE(AF$221,AF$222,AF$255,AF$256,AF$291,AF$292))*$AG$8</f>
        <v>17.508734798790837</v>
      </c>
      <c r="AI275" s="94">
        <f>Table3.110[[#This Row],[Net gas 8-24h, ml]]+Table3.110[[#This Row],[Net gas 8h, ml]]</f>
        <v>42.533723538635897</v>
      </c>
      <c r="AJ275" s="94">
        <f>Table3.110[[#This Row],[Net gas 8h, ml]]*Table3.110[[#This Row],[CH4 8h %]]%</f>
        <v>3.3283235023993938</v>
      </c>
      <c r="AK275" s="94">
        <f>Table3.110[[#This Row],[Net gas 8-24h, ml]]*Table3.110[[#This Row],[CH4 24h, %]]%</f>
        <v>3.0990460593859779</v>
      </c>
      <c r="AL275" s="94">
        <f>Table3.110[[#This Row],[CH4 8-24h, ml]]+Table3.110[[#This Row],[CH4 8h, ml]]</f>
        <v>6.4273695617853717</v>
      </c>
      <c r="AM275" s="94">
        <f>(Table3.110[[#This Row],[Net gas 24h, ml]]/Table3.110[[#This Row],[DM Incubated, mg]])*1000</f>
        <v>90.658216807337837</v>
      </c>
      <c r="AN275" s="94">
        <f>'3.2 Digest'!X275</f>
        <v>1.1223488610825236</v>
      </c>
      <c r="AO275" s="94">
        <f>Table3.110[[#This Row],[Digested feed, mg]]/Table3.110[[#This Row],[Net gas 24h, ml]]</f>
        <v>0.12380001511254976</v>
      </c>
      <c r="AP275" s="94">
        <f>Table3.110[[#This Row],[CH4 8h, ml]]/Table3.110[[#This Row],[Net gas 8h, ml]]%</f>
        <v>13.299999999999999</v>
      </c>
      <c r="AQ275" s="94">
        <f>Table3.110[[#This Row],[CH4 24h, ml]]/Table3.110[[#This Row],[Net gas 24h, ml]]%</f>
        <v>15.111231811028752</v>
      </c>
      <c r="AR275" s="94">
        <f>Table3.110[[#This Row],[CH4 24h, ml]]/Table3.110[[#This Row],[DM Incubated, mg]]*1000</f>
        <v>13.69957329750185</v>
      </c>
      <c r="AS275" s="94">
        <f>Table3.110[[#This Row],[CH4 24h, ml]]/Table3.110[[#This Row],[Digested feed, mg]]*1000</f>
        <v>1220.6163139229623</v>
      </c>
      <c r="AT275" s="94">
        <f>Table3.110[[#This Row],[CH4 24h, ml]]/'3.2 Digest'!AA275</f>
        <v>-0.15837838492958181</v>
      </c>
      <c r="AU275" s="94">
        <f>((Table3.110[[#This Row],[CH4 24h, ml]]/28.9)*16.04)/Table3.110[[#This Row],[DM Incubated, mg]]*1000</f>
        <v>7.6035001969525835</v>
      </c>
      <c r="AV275" s="94">
        <f>((Table3.110[[#This Row],[CH4 24h, ml]]/28.9)*16.04)/Table3.110[[#This Row],[Digested feed, mg]]*1000</f>
        <v>677.46317215655074</v>
      </c>
    </row>
    <row r="276" spans="2:48" s="89" customFormat="1" x14ac:dyDescent="0.35">
      <c r="B276" s="90">
        <f t="shared" si="4"/>
        <v>266</v>
      </c>
      <c r="C276" s="140">
        <v>46076</v>
      </c>
      <c r="D276" s="6" t="s">
        <v>16</v>
      </c>
      <c r="E276" s="6" t="str">
        <f>'[1]1. Information samples'!$F$41</f>
        <v>CIAT-8018</v>
      </c>
      <c r="F276" s="6" t="s">
        <v>88</v>
      </c>
      <c r="G276" s="6" t="s">
        <v>89</v>
      </c>
      <c r="H276" s="6" t="str">
        <f>'[1]1. Information samples'!$I$41</f>
        <v>Acacia aroma</v>
      </c>
      <c r="I276" s="6" t="s">
        <v>22</v>
      </c>
      <c r="J276" s="129" t="s">
        <v>23</v>
      </c>
      <c r="K276" s="129" t="s">
        <v>24</v>
      </c>
      <c r="L276" s="6" t="str">
        <f>'[1]1. Information samples'!$E$41</f>
        <v>F251753</v>
      </c>
      <c r="M276" s="119">
        <v>27</v>
      </c>
      <c r="N276" s="93">
        <v>69</v>
      </c>
      <c r="O276" s="6">
        <v>3</v>
      </c>
      <c r="P276" s="129">
        <v>2</v>
      </c>
      <c r="Q276" s="6">
        <v>128</v>
      </c>
      <c r="R276" s="98">
        <v>0.50029999999999997</v>
      </c>
      <c r="S276" s="94">
        <f>((Table3.110[[#This Row],[Sample weight, g]]*'2.1. DM'!Q61)/100)*1000</f>
        <v>469.25947123375278</v>
      </c>
      <c r="T276" s="94">
        <f>'3.2 Digest'!W276</f>
        <v>20.759471233752777</v>
      </c>
      <c r="U276" s="153">
        <v>0.33541666666666664</v>
      </c>
      <c r="V276" s="155">
        <v>40.5</v>
      </c>
      <c r="W276" s="153">
        <v>0.67847222222222225</v>
      </c>
      <c r="X276" s="91">
        <v>69</v>
      </c>
      <c r="Y276" s="91">
        <v>13.3</v>
      </c>
      <c r="Z276" s="154">
        <v>40</v>
      </c>
      <c r="AA276" s="153">
        <v>0.35625000000000001</v>
      </c>
      <c r="AB276" s="154">
        <v>59.5</v>
      </c>
      <c r="AC276" s="154">
        <v>18.5</v>
      </c>
      <c r="AD276" s="91"/>
      <c r="AE276" s="94">
        <f>Table3.110[[#This Row],[Gas 8h, ml]]-Table3.110[[#This Row],[Gas 0h, ml]]</f>
        <v>28.5</v>
      </c>
      <c r="AF276" s="94">
        <f>Table3.110[[#This Row],[Gas 24h, ml]]-Table3.110[[#This Row],[V8 Push back, ml]]</f>
        <v>19.5</v>
      </c>
      <c r="AG276" s="94">
        <f>Table3.110[[#This Row],[GP 8h, ml]]-(AVERAGE(AE$221,AE$222,AE$255,AE$256,AE$291,AE$292))*$AG$8</f>
        <v>27.024988739845064</v>
      </c>
      <c r="AH276" s="94">
        <f>Table3.110[[#This Row],[GP 8-24h, ml]]-(AVERAGE(AF$221,AF$222,AF$255,AF$256,AF$291,AF$292))*$AG$8</f>
        <v>17.508734798790837</v>
      </c>
      <c r="AI276" s="94">
        <f>Table3.110[[#This Row],[Net gas 8-24h, ml]]+Table3.110[[#This Row],[Net gas 8h, ml]]</f>
        <v>44.533723538635897</v>
      </c>
      <c r="AJ276" s="94">
        <f>Table3.110[[#This Row],[Net gas 8h, ml]]*Table3.110[[#This Row],[CH4 8h %]]%</f>
        <v>3.5943235023993938</v>
      </c>
      <c r="AK276" s="94">
        <f>Table3.110[[#This Row],[Net gas 8-24h, ml]]*Table3.110[[#This Row],[CH4 24h, %]]%</f>
        <v>3.2391159377763046</v>
      </c>
      <c r="AL276" s="94">
        <f>Table3.110[[#This Row],[CH4 8-24h, ml]]+Table3.110[[#This Row],[CH4 8h, ml]]</f>
        <v>6.8334394401756988</v>
      </c>
      <c r="AM276" s="94">
        <f>(Table3.110[[#This Row],[Net gas 24h, ml]]/Table3.110[[#This Row],[DM Incubated, mg]])*1000</f>
        <v>94.902130417421589</v>
      </c>
      <c r="AN276" s="94">
        <f>'3.2 Digest'!X276</f>
        <v>4.4238790064637472</v>
      </c>
      <c r="AO276" s="94">
        <f>Table3.110[[#This Row],[Digested feed, mg]]/Table3.110[[#This Row],[Net gas 24h, ml]]</f>
        <v>0.46615170671148992</v>
      </c>
      <c r="AP276" s="94">
        <f>Table3.110[[#This Row],[CH4 8h, ml]]/Table3.110[[#This Row],[Net gas 8h, ml]]%</f>
        <v>13.300000000000002</v>
      </c>
      <c r="AQ276" s="94">
        <f>Table3.110[[#This Row],[CH4 24h, ml]]/Table3.110[[#This Row],[Net gas 24h, ml]]%</f>
        <v>15.344415191887665</v>
      </c>
      <c r="AR276" s="94">
        <f>Table3.110[[#This Row],[CH4 24h, ml]]/Table3.110[[#This Row],[DM Incubated, mg]]*1000</f>
        <v>14.562176917195879</v>
      </c>
      <c r="AS276" s="94">
        <f>Table3.110[[#This Row],[CH4 24h, ml]]/Table3.110[[#This Row],[Digested feed, mg]]*1000</f>
        <v>329.17213368446619</v>
      </c>
      <c r="AT276" s="94">
        <f>Table3.110[[#This Row],[CH4 24h, ml]]/'3.2 Digest'!AA276</f>
        <v>-0.19040848856293707</v>
      </c>
      <c r="AU276" s="94">
        <f>((Table3.110[[#This Row],[CH4 24h, ml]]/28.9)*16.04)/Table3.110[[#This Row],[DM Incubated, mg]]*1000</f>
        <v>8.0822601298208276</v>
      </c>
      <c r="AV276" s="94">
        <f>((Table3.110[[#This Row],[CH4 24h, ml]]/28.9)*16.04)/Table3.110[[#This Row],[Digested feed, mg]]*1000</f>
        <v>182.69622921449266</v>
      </c>
    </row>
    <row r="277" spans="2:48" s="89" customFormat="1" x14ac:dyDescent="0.35">
      <c r="B277" s="90">
        <f t="shared" si="4"/>
        <v>267</v>
      </c>
      <c r="C277" s="140">
        <v>46076</v>
      </c>
      <c r="D277" s="6" t="s">
        <v>16</v>
      </c>
      <c r="E277" s="6" t="str">
        <f>'[1]1. Information samples'!$F$42</f>
        <v>CIAT-9990</v>
      </c>
      <c r="F277" s="6" t="s">
        <v>79</v>
      </c>
      <c r="G277" s="6" t="s">
        <v>80</v>
      </c>
      <c r="H277" s="6" t="str">
        <f>'[1]1. Information samples'!$I$42</f>
        <v>Prosopis juliflora</v>
      </c>
      <c r="I277" s="6" t="s">
        <v>22</v>
      </c>
      <c r="J277" s="129" t="s">
        <v>23</v>
      </c>
      <c r="K277" s="129" t="s">
        <v>24</v>
      </c>
      <c r="L277" s="6" t="str">
        <f>'[1]1. Information samples'!$E$42</f>
        <v>F251754</v>
      </c>
      <c r="M277" s="119">
        <v>27</v>
      </c>
      <c r="N277" s="93">
        <v>69</v>
      </c>
      <c r="O277" s="6">
        <v>3</v>
      </c>
      <c r="P277" s="129">
        <v>1</v>
      </c>
      <c r="Q277" s="6">
        <v>129</v>
      </c>
      <c r="R277" s="98">
        <v>0.50060000000000004</v>
      </c>
      <c r="S277" s="94">
        <f>((Table3.110[[#This Row],[Sample weight, g]]*'2.1. DM'!Q63)/100)*1000</f>
        <v>465.42892264641193</v>
      </c>
      <c r="T277" s="94">
        <f>'3.2 Digest'!W277</f>
        <v>203.72892264641189</v>
      </c>
      <c r="U277" s="153">
        <v>0.33541666666666664</v>
      </c>
      <c r="V277" s="155">
        <v>41</v>
      </c>
      <c r="W277" s="153">
        <v>0.67847222222222225</v>
      </c>
      <c r="X277" s="91">
        <v>54.5</v>
      </c>
      <c r="Y277" s="91">
        <v>8.1999999999999993</v>
      </c>
      <c r="Z277" s="154">
        <v>40.5</v>
      </c>
      <c r="AA277" s="153">
        <v>0.35625000000000001</v>
      </c>
      <c r="AB277" s="154">
        <v>54</v>
      </c>
      <c r="AC277" s="154">
        <v>7.9</v>
      </c>
      <c r="AD277" s="91"/>
      <c r="AE277" s="94">
        <f>Table3.110[[#This Row],[Gas 8h, ml]]-Table3.110[[#This Row],[Gas 0h, ml]]</f>
        <v>13.5</v>
      </c>
      <c r="AF277" s="94">
        <f>Table3.110[[#This Row],[Gas 24h, ml]]-Table3.110[[#This Row],[V8 Push back, ml]]</f>
        <v>13.5</v>
      </c>
      <c r="AG277" s="94">
        <f>Table3.110[[#This Row],[GP 8h, ml]]-(AVERAGE(AE$221,AE$222,AE$255,AE$256,AE$291,AE$292))*$AG$8</f>
        <v>12.024988739845064</v>
      </c>
      <c r="AH277" s="94">
        <f>Table3.110[[#This Row],[GP 8-24h, ml]]-(AVERAGE(AF$221,AF$222,AF$255,AF$256,AF$291,AF$292))*$AG$8</f>
        <v>11.508734798790837</v>
      </c>
      <c r="AI277" s="94">
        <f>Table3.110[[#This Row],[Net gas 8-24h, ml]]+Table3.110[[#This Row],[Net gas 8h, ml]]</f>
        <v>23.5337235386359</v>
      </c>
      <c r="AJ277" s="94">
        <f>Table3.110[[#This Row],[Net gas 8h, ml]]*Table3.110[[#This Row],[CH4 8h %]]%</f>
        <v>0.98604907666729513</v>
      </c>
      <c r="AK277" s="94">
        <f>Table3.110[[#This Row],[Net gas 8-24h, ml]]*Table3.110[[#This Row],[CH4 24h, %]]%</f>
        <v>0.90919004910447609</v>
      </c>
      <c r="AL277" s="94">
        <f>Table3.110[[#This Row],[CH4 8-24h, ml]]+Table3.110[[#This Row],[CH4 8h, ml]]</f>
        <v>1.8952391257717713</v>
      </c>
      <c r="AM277" s="94">
        <f>(Table3.110[[#This Row],[Net gas 24h, ml]]/Table3.110[[#This Row],[DM Incubated, mg]])*1000</f>
        <v>50.56351763621393</v>
      </c>
      <c r="AN277" s="94">
        <f>'3.2 Digest'!X277</f>
        <v>43.772295345982506</v>
      </c>
      <c r="AO277" s="94">
        <f>Table3.110[[#This Row],[Digested feed, mg]]/Table3.110[[#This Row],[Net gas 24h, ml]]</f>
        <v>8.6568928334670474</v>
      </c>
      <c r="AP277" s="94">
        <f>Table3.110[[#This Row],[CH4 8h, ml]]/Table3.110[[#This Row],[Net gas 8h, ml]]%</f>
        <v>8.1999999999999993</v>
      </c>
      <c r="AQ277" s="94">
        <f>Table3.110[[#This Row],[CH4 24h, ml]]/Table3.110[[#This Row],[Net gas 24h, ml]]%</f>
        <v>8.0532905158858945</v>
      </c>
      <c r="AR277" s="94">
        <f>Table3.110[[#This Row],[CH4 24h, ml]]/Table3.110[[#This Row],[DM Incubated, mg]]*1000</f>
        <v>4.0720269702955081</v>
      </c>
      <c r="AS277" s="94">
        <f>Table3.110[[#This Row],[CH4 24h, ml]]/Table3.110[[#This Row],[Digested feed, mg]]*1000</f>
        <v>9.3027494631241581</v>
      </c>
      <c r="AT277" s="94">
        <f>Table3.110[[#This Row],[CH4 24h, ml]]/'3.2 Digest'!AA277</f>
        <v>-0.12382583147998424</v>
      </c>
      <c r="AU277" s="94">
        <f>((Table3.110[[#This Row],[CH4 24h, ml]]/28.9)*16.04)/Table3.110[[#This Row],[DM Incubated, mg]]*1000</f>
        <v>2.2600454188076111</v>
      </c>
      <c r="AV277" s="94">
        <f>((Table3.110[[#This Row],[CH4 24h, ml]]/28.9)*16.04)/Table3.110[[#This Row],[Digested feed, mg]]*1000</f>
        <v>5.1631868992564529</v>
      </c>
    </row>
    <row r="278" spans="2:48" s="89" customFormat="1" x14ac:dyDescent="0.35">
      <c r="B278" s="90">
        <f t="shared" si="4"/>
        <v>268</v>
      </c>
      <c r="C278" s="140">
        <v>46076</v>
      </c>
      <c r="D278" s="6" t="s">
        <v>16</v>
      </c>
      <c r="E278" s="6" t="str">
        <f>'[1]1. Information samples'!$F$42</f>
        <v>CIAT-9990</v>
      </c>
      <c r="F278" s="6" t="s">
        <v>79</v>
      </c>
      <c r="G278" s="6" t="s">
        <v>80</v>
      </c>
      <c r="H278" s="6" t="str">
        <f>'[1]1. Information samples'!$I$42</f>
        <v>Prosopis juliflora</v>
      </c>
      <c r="I278" s="6" t="s">
        <v>22</v>
      </c>
      <c r="J278" s="129" t="s">
        <v>23</v>
      </c>
      <c r="K278" s="129" t="s">
        <v>24</v>
      </c>
      <c r="L278" s="6" t="str">
        <f>'[1]1. Information samples'!$E$42</f>
        <v>F251754</v>
      </c>
      <c r="M278" s="119">
        <v>27</v>
      </c>
      <c r="N278" s="93">
        <v>69</v>
      </c>
      <c r="O278" s="6">
        <v>3</v>
      </c>
      <c r="P278" s="129">
        <v>2</v>
      </c>
      <c r="Q278" s="6">
        <v>130</v>
      </c>
      <c r="R278" s="98">
        <v>0.5</v>
      </c>
      <c r="S278" s="94">
        <f>((Table3.110[[#This Row],[Sample weight, g]]*'2.1. DM'!Q63)/100)*1000</f>
        <v>464.87107735358762</v>
      </c>
      <c r="T278" s="94">
        <f>'3.2 Digest'!W278</f>
        <v>256.37107735358757</v>
      </c>
      <c r="U278" s="117">
        <v>0.33611111111111114</v>
      </c>
      <c r="V278" s="155">
        <v>40.5</v>
      </c>
      <c r="W278" s="117">
        <v>0.6791666666666667</v>
      </c>
      <c r="X278" s="96">
        <v>55.5</v>
      </c>
      <c r="Y278" s="96">
        <v>7.3</v>
      </c>
      <c r="Z278" s="155">
        <v>40</v>
      </c>
      <c r="AA278" s="117">
        <v>0.35694444444444445</v>
      </c>
      <c r="AB278" s="155">
        <v>53</v>
      </c>
      <c r="AC278" s="155">
        <v>1</v>
      </c>
      <c r="AD278" s="96" t="s">
        <v>551</v>
      </c>
      <c r="AE278" s="94">
        <f>Table3.110[[#This Row],[Gas 8h, ml]]-Table3.110[[#This Row],[Gas 0h, ml]]</f>
        <v>15</v>
      </c>
      <c r="AF278" s="94">
        <f>Table3.110[[#This Row],[Gas 24h, ml]]-Table3.110[[#This Row],[V8 Push back, ml]]</f>
        <v>13</v>
      </c>
      <c r="AG278" s="94">
        <f>Table3.110[[#This Row],[GP 8h, ml]]-(AVERAGE(AE$221,AE$222,AE$255,AE$256,AE$291,AE$292))*$AG$8</f>
        <v>13.524988739845064</v>
      </c>
      <c r="AH278" s="94">
        <f>Table3.110[[#This Row],[GP 8-24h, ml]]-(AVERAGE(AF$221,AF$222,AF$255,AF$256,AF$291,AF$292))*$AG$8</f>
        <v>11.008734798790837</v>
      </c>
      <c r="AI278" s="94">
        <f>Table3.110[[#This Row],[Net gas 8-24h, ml]]+Table3.110[[#This Row],[Net gas 8h, ml]]</f>
        <v>24.5337235386359</v>
      </c>
      <c r="AJ278" s="94">
        <f>Table3.110[[#This Row],[Net gas 8h, ml]]*Table3.110[[#This Row],[CH4 8h %]]%</f>
        <v>0.98732417800868966</v>
      </c>
      <c r="AK278" s="94">
        <f>Table3.110[[#This Row],[Net gas 8-24h, ml]]*Table3.110[[#This Row],[CH4 24h, %]]%</f>
        <v>0.11008734798790837</v>
      </c>
      <c r="AL278" s="94">
        <f>Table3.110[[#This Row],[CH4 8-24h, ml]]+Table3.110[[#This Row],[CH4 8h, ml]]</f>
        <v>1.097411525996598</v>
      </c>
      <c r="AM278" s="94">
        <f>(Table3.110[[#This Row],[Net gas 24h, ml]]/Table3.110[[#This Row],[DM Incubated, mg]])*1000</f>
        <v>52.77532790015929</v>
      </c>
      <c r="AN278" s="94">
        <f>'3.2 Digest'!X278</f>
        <v>55.148855207997386</v>
      </c>
      <c r="AO278" s="94">
        <f>Table3.110[[#This Row],[Digested feed, mg]]/Table3.110[[#This Row],[Net gas 24h, ml]]</f>
        <v>10.449741840037138</v>
      </c>
      <c r="AP278" s="94">
        <f>Table3.110[[#This Row],[CH4 8h, ml]]/Table3.110[[#This Row],[Net gas 8h, ml]]%</f>
        <v>7.3</v>
      </c>
      <c r="AQ278" s="94">
        <f>Table3.110[[#This Row],[CH4 24h, ml]]/Table3.110[[#This Row],[Net gas 24h, ml]]%</f>
        <v>4.4730736623341567</v>
      </c>
      <c r="AR278" s="94">
        <f>Table3.110[[#This Row],[CH4 24h, ml]]/Table3.110[[#This Row],[DM Incubated, mg]]*1000</f>
        <v>2.3606792925125153</v>
      </c>
      <c r="AS278" s="94">
        <f>Table3.110[[#This Row],[CH4 24h, ml]]/Table3.110[[#This Row],[Digested feed, mg]]*1000</f>
        <v>4.2805590136169904</v>
      </c>
      <c r="AT278" s="94">
        <f>Table3.110[[#This Row],[CH4 24h, ml]]/'3.2 Digest'!AA278</f>
        <v>0.136763897170459</v>
      </c>
      <c r="AU278" s="94">
        <f>((Table3.110[[#This Row],[CH4 24h, ml]]/28.9)*16.04)/Table3.110[[#This Row],[DM Incubated, mg]]*1000</f>
        <v>1.3102178495467383</v>
      </c>
      <c r="AV278" s="94">
        <f>((Table3.110[[#This Row],[CH4 24h, ml]]/28.9)*16.04)/Table3.110[[#This Row],[Digested feed, mg]]*1000</f>
        <v>2.3757843106718521</v>
      </c>
    </row>
    <row r="279" spans="2:48" s="89" customFormat="1" x14ac:dyDescent="0.35">
      <c r="B279" s="90">
        <f t="shared" si="4"/>
        <v>269</v>
      </c>
      <c r="C279" s="140">
        <v>46076</v>
      </c>
      <c r="D279" s="6" t="s">
        <v>16</v>
      </c>
      <c r="E279" s="6" t="str">
        <f>'[1]1. Information samples'!$F$43</f>
        <v>CIAT-13258</v>
      </c>
      <c r="F279" s="6" t="s">
        <v>19</v>
      </c>
      <c r="G279" s="6" t="s">
        <v>29</v>
      </c>
      <c r="H279" s="6" t="str">
        <f>'[1]1. Information samples'!$I$43</f>
        <v>Dendrolobium lanceolatum</v>
      </c>
      <c r="I279" s="6" t="s">
        <v>22</v>
      </c>
      <c r="J279" s="129" t="s">
        <v>23</v>
      </c>
      <c r="K279" s="129" t="s">
        <v>24</v>
      </c>
      <c r="L279" s="6" t="str">
        <f>'[1]1. Information samples'!$E$43</f>
        <v>F251755</v>
      </c>
      <c r="M279" s="119">
        <v>27</v>
      </c>
      <c r="N279" s="93">
        <v>69</v>
      </c>
      <c r="O279" s="6">
        <v>3</v>
      </c>
      <c r="P279" s="129">
        <v>1</v>
      </c>
      <c r="Q279" s="6">
        <v>131</v>
      </c>
      <c r="R279" s="98">
        <v>0.50009999999999999</v>
      </c>
      <c r="S279" s="94">
        <f>((Table3.110[[#This Row],[Sample weight, g]]*'2.1. DM'!Q65)/100)*1000</f>
        <v>473.08174190144013</v>
      </c>
      <c r="T279" s="94">
        <f>'3.2 Digest'!W279</f>
        <v>78.281741901440171</v>
      </c>
      <c r="U279" s="117">
        <v>0.33611111111111114</v>
      </c>
      <c r="V279" s="155">
        <v>41</v>
      </c>
      <c r="W279" s="117">
        <v>0.67986111111111114</v>
      </c>
      <c r="X279" s="96">
        <v>62</v>
      </c>
      <c r="Y279" s="96">
        <v>11.7</v>
      </c>
      <c r="Z279" s="155">
        <v>40</v>
      </c>
      <c r="AA279" s="117">
        <v>8.3569444444444443</v>
      </c>
      <c r="AB279" s="155">
        <v>52.5</v>
      </c>
      <c r="AC279" s="155">
        <v>9.1999999999999993</v>
      </c>
      <c r="AD279" s="96"/>
      <c r="AE279" s="94">
        <f>Table3.110[[#This Row],[Gas 8h, ml]]-Table3.110[[#This Row],[Gas 0h, ml]]</f>
        <v>21</v>
      </c>
      <c r="AF279" s="94">
        <f>Table3.110[[#This Row],[Gas 24h, ml]]-Table3.110[[#This Row],[V8 Push back, ml]]</f>
        <v>12.5</v>
      </c>
      <c r="AG279" s="94">
        <f>Table3.110[[#This Row],[GP 8h, ml]]-(AVERAGE(AE$221,AE$222,AE$255,AE$256,AE$291,AE$292))*$AG$8</f>
        <v>19.524988739845064</v>
      </c>
      <c r="AH279" s="94">
        <f>Table3.110[[#This Row],[GP 8-24h, ml]]-(AVERAGE(AF$221,AF$222,AF$255,AF$256,AF$291,AF$292))*$AG$8</f>
        <v>10.508734798790837</v>
      </c>
      <c r="AI279" s="94">
        <f>Table3.110[[#This Row],[Net gas 8-24h, ml]]+Table3.110[[#This Row],[Net gas 8h, ml]]</f>
        <v>30.0337235386359</v>
      </c>
      <c r="AJ279" s="94">
        <f>Table3.110[[#This Row],[Net gas 8h, ml]]*Table3.110[[#This Row],[CH4 8h %]]%</f>
        <v>2.2844236825618722</v>
      </c>
      <c r="AK279" s="94">
        <f>Table3.110[[#This Row],[Net gas 8-24h, ml]]*Table3.110[[#This Row],[CH4 24h, %]]%</f>
        <v>0.96680360148875699</v>
      </c>
      <c r="AL279" s="94">
        <f>Table3.110[[#This Row],[CH4 8-24h, ml]]+Table3.110[[#This Row],[CH4 8h, ml]]</f>
        <v>3.2512272840506293</v>
      </c>
      <c r="AM279" s="94">
        <f>(Table3.110[[#This Row],[Net gas 24h, ml]]/Table3.110[[#This Row],[DM Incubated, mg]])*1000</f>
        <v>63.485273005722973</v>
      </c>
      <c r="AN279" s="94">
        <f>'3.2 Digest'!X279</f>
        <v>16.547191524831469</v>
      </c>
      <c r="AO279" s="94">
        <f>Table3.110[[#This Row],[Digested feed, mg]]/Table3.110[[#This Row],[Net gas 24h, ml]]</f>
        <v>2.6064614266272108</v>
      </c>
      <c r="AP279" s="94">
        <f>Table3.110[[#This Row],[CH4 8h, ml]]/Table3.110[[#This Row],[Net gas 8h, ml]]%</f>
        <v>11.699999999999998</v>
      </c>
      <c r="AQ279" s="94">
        <f>Table3.110[[#This Row],[CH4 24h, ml]]/Table3.110[[#This Row],[Net gas 24h, ml]]%</f>
        <v>10.82525541619305</v>
      </c>
      <c r="AR279" s="94">
        <f>Table3.110[[#This Row],[CH4 24h, ml]]/Table3.110[[#This Row],[DM Incubated, mg]]*1000</f>
        <v>6.8724429545369699</v>
      </c>
      <c r="AS279" s="94">
        <f>Table3.110[[#This Row],[CH4 24h, ml]]/Table3.110[[#This Row],[Digested feed, mg]]*1000</f>
        <v>41.532382967972964</v>
      </c>
      <c r="AT279" s="94">
        <f>Table3.110[[#This Row],[CH4 24h, ml]]/'3.2 Digest'!AA279</f>
        <v>-9.280964952368792E-2</v>
      </c>
      <c r="AU279" s="94">
        <f>((Table3.110[[#This Row],[CH4 24h, ml]]/28.9)*16.04)/Table3.110[[#This Row],[DM Incubated, mg]]*1000</f>
        <v>3.8143247401651554</v>
      </c>
      <c r="AV279" s="94">
        <f>((Table3.110[[#This Row],[CH4 24h, ml]]/28.9)*16.04)/Table3.110[[#This Row],[Digested feed, mg]]*1000</f>
        <v>23.051191100563543</v>
      </c>
    </row>
    <row r="280" spans="2:48" s="89" customFormat="1" x14ac:dyDescent="0.35">
      <c r="B280" s="90">
        <f t="shared" si="4"/>
        <v>270</v>
      </c>
      <c r="C280" s="140">
        <v>46076</v>
      </c>
      <c r="D280" s="6" t="s">
        <v>16</v>
      </c>
      <c r="E280" s="6" t="str">
        <f>'[1]1. Information samples'!$F$43</f>
        <v>CIAT-13258</v>
      </c>
      <c r="F280" s="6" t="s">
        <v>19</v>
      </c>
      <c r="G280" s="6" t="s">
        <v>29</v>
      </c>
      <c r="H280" s="6" t="str">
        <f>'[1]1. Information samples'!$I$43</f>
        <v>Dendrolobium lanceolatum</v>
      </c>
      <c r="I280" s="6" t="s">
        <v>22</v>
      </c>
      <c r="J280" s="129" t="s">
        <v>23</v>
      </c>
      <c r="K280" s="129" t="s">
        <v>24</v>
      </c>
      <c r="L280" s="6" t="str">
        <f>'[1]1. Information samples'!$E$43</f>
        <v>F251755</v>
      </c>
      <c r="M280" s="119">
        <v>27</v>
      </c>
      <c r="N280" s="93">
        <v>69</v>
      </c>
      <c r="O280" s="6">
        <v>3</v>
      </c>
      <c r="P280" s="129">
        <v>2</v>
      </c>
      <c r="Q280" s="6">
        <v>132</v>
      </c>
      <c r="R280" s="98">
        <v>0.50009999999999999</v>
      </c>
      <c r="S280" s="94">
        <f>((Table3.110[[#This Row],[Sample weight, g]]*'2.1. DM'!Q65)/100)*1000</f>
        <v>473.08174190144013</v>
      </c>
      <c r="T280" s="94">
        <f>'3.2 Digest'!W280</f>
        <v>99.38174190144008</v>
      </c>
      <c r="U280" s="153">
        <v>0.33611111111111114</v>
      </c>
      <c r="V280" s="155">
        <v>41.5</v>
      </c>
      <c r="W280" s="153">
        <v>0.67986111111111114</v>
      </c>
      <c r="X280" s="91">
        <v>62.5</v>
      </c>
      <c r="Y280" s="91">
        <v>12.3</v>
      </c>
      <c r="Z280" s="154">
        <v>40</v>
      </c>
      <c r="AA280" s="153">
        <v>0.35833333333333334</v>
      </c>
      <c r="AB280" s="154">
        <v>53</v>
      </c>
      <c r="AC280" s="154">
        <v>15.8</v>
      </c>
      <c r="AD280" s="91"/>
      <c r="AE280" s="94">
        <f>Table3.110[[#This Row],[Gas 8h, ml]]-Table3.110[[#This Row],[Gas 0h, ml]]</f>
        <v>21</v>
      </c>
      <c r="AF280" s="94">
        <f>Table3.110[[#This Row],[Gas 24h, ml]]-Table3.110[[#This Row],[V8 Push back, ml]]</f>
        <v>13</v>
      </c>
      <c r="AG280" s="94">
        <f>Table3.110[[#This Row],[GP 8h, ml]]-(AVERAGE(AE$221,AE$222,AE$255,AE$256,AE$291,AE$292))*$AG$8</f>
        <v>19.524988739845064</v>
      </c>
      <c r="AH280" s="94">
        <f>Table3.110[[#This Row],[GP 8-24h, ml]]-(AVERAGE(AF$221,AF$222,AF$255,AF$256,AF$291,AF$292))*$AG$8</f>
        <v>11.008734798790837</v>
      </c>
      <c r="AI280" s="94">
        <f>Table3.110[[#This Row],[Net gas 8-24h, ml]]+Table3.110[[#This Row],[Net gas 8h, ml]]</f>
        <v>30.5337235386359</v>
      </c>
      <c r="AJ280" s="94">
        <f>Table3.110[[#This Row],[Net gas 8h, ml]]*Table3.110[[#This Row],[CH4 8h %]]%</f>
        <v>2.401573615000943</v>
      </c>
      <c r="AK280" s="94">
        <f>Table3.110[[#This Row],[Net gas 8-24h, ml]]*Table3.110[[#This Row],[CH4 24h, %]]%</f>
        <v>1.7393800982089522</v>
      </c>
      <c r="AL280" s="94">
        <f>Table3.110[[#This Row],[CH4 8-24h, ml]]+Table3.110[[#This Row],[CH4 8h, ml]]</f>
        <v>4.1409537132098952</v>
      </c>
      <c r="AM280" s="94">
        <f>(Table3.110[[#This Row],[Net gas 24h, ml]]/Table3.110[[#This Row],[DM Incubated, mg]])*1000</f>
        <v>64.542172809106575</v>
      </c>
      <c r="AN280" s="94">
        <f>'3.2 Digest'!X280</f>
        <v>21.007308695110211</v>
      </c>
      <c r="AO280" s="94">
        <f>Table3.110[[#This Row],[Digested feed, mg]]/Table3.110[[#This Row],[Net gas 24h, ml]]</f>
        <v>3.2548189471777729</v>
      </c>
      <c r="AP280" s="94">
        <f>Table3.110[[#This Row],[CH4 8h, ml]]/Table3.110[[#This Row],[Net gas 8h, ml]]%</f>
        <v>12.3</v>
      </c>
      <c r="AQ280" s="94">
        <f>Table3.110[[#This Row],[CH4 24h, ml]]/Table3.110[[#This Row],[Net gas 24h, ml]]%</f>
        <v>13.56190216358687</v>
      </c>
      <c r="AR280" s="94">
        <f>Table3.110[[#This Row],[CH4 24h, ml]]/Table3.110[[#This Row],[DM Incubated, mg]]*1000</f>
        <v>8.7531463306241992</v>
      </c>
      <c r="AS280" s="94">
        <f>Table3.110[[#This Row],[CH4 24h, ml]]/Table3.110[[#This Row],[Digested feed, mg]]*1000</f>
        <v>41.667147646864613</v>
      </c>
      <c r="AT280" s="94">
        <f>Table3.110[[#This Row],[CH4 24h, ml]]/'3.2 Digest'!AA280</f>
        <v>-0.14887792111706807</v>
      </c>
      <c r="AU280" s="94">
        <f>((Table3.110[[#This Row],[CH4 24h, ml]]/28.9)*16.04)/Table3.110[[#This Row],[DM Incubated, mg]]*1000</f>
        <v>4.8581476520142619</v>
      </c>
      <c r="AV280" s="94">
        <f>((Table3.110[[#This Row],[CH4 24h, ml]]/28.9)*16.04)/Table3.110[[#This Row],[Digested feed, mg]]*1000</f>
        <v>23.125987828917246</v>
      </c>
    </row>
    <row r="281" spans="2:48" s="89" customFormat="1" x14ac:dyDescent="0.35">
      <c r="B281" s="90">
        <f t="shared" si="4"/>
        <v>271</v>
      </c>
      <c r="C281" s="140">
        <v>46076</v>
      </c>
      <c r="D281" s="6" t="s">
        <v>16</v>
      </c>
      <c r="E281" s="6" t="str">
        <f>'[1]1. Information samples'!$F$44</f>
        <v>CIAT-13260</v>
      </c>
      <c r="F281" s="6" t="s">
        <v>19</v>
      </c>
      <c r="G281" s="6" t="s">
        <v>29</v>
      </c>
      <c r="H281" s="6" t="str">
        <f>'[1]1. Information samples'!$I$44</f>
        <v>Dendrolobium lanceolatum</v>
      </c>
      <c r="I281" s="6" t="s">
        <v>22</v>
      </c>
      <c r="J281" s="129" t="s">
        <v>23</v>
      </c>
      <c r="K281" s="129" t="s">
        <v>24</v>
      </c>
      <c r="L281" s="6" t="str">
        <f>'[1]1. Information samples'!$E$44</f>
        <v>F251756</v>
      </c>
      <c r="M281" s="119">
        <v>27</v>
      </c>
      <c r="N281" s="93">
        <v>69</v>
      </c>
      <c r="O281" s="6">
        <v>3</v>
      </c>
      <c r="P281" s="129">
        <v>1</v>
      </c>
      <c r="Q281" s="6">
        <v>133</v>
      </c>
      <c r="R281" s="98">
        <v>0.50029999999999997</v>
      </c>
      <c r="S281" s="94">
        <f>((Table3.110[[#This Row],[Sample weight, g]]*'2.1. DM'!Q67)/100)*1000</f>
        <v>470.66462501661408</v>
      </c>
      <c r="T281" s="94">
        <f>'3.2 Digest'!W281</f>
        <v>56.36462501661407</v>
      </c>
      <c r="U281" s="153">
        <v>0.33680555555555558</v>
      </c>
      <c r="V281" s="155">
        <v>40.5</v>
      </c>
      <c r="W281" s="153">
        <v>0.68055555555555558</v>
      </c>
      <c r="X281" s="91">
        <v>65.5</v>
      </c>
      <c r="Y281" s="91">
        <v>12.5</v>
      </c>
      <c r="Z281" s="154">
        <v>40</v>
      </c>
      <c r="AA281" s="153">
        <v>0.35902777777777778</v>
      </c>
      <c r="AB281" s="154">
        <v>55.5</v>
      </c>
      <c r="AC281" s="154">
        <v>16.100000000000001</v>
      </c>
      <c r="AD281" s="91"/>
      <c r="AE281" s="94">
        <f>Table3.110[[#This Row],[Gas 8h, ml]]-Table3.110[[#This Row],[Gas 0h, ml]]</f>
        <v>25</v>
      </c>
      <c r="AF281" s="94">
        <f>Table3.110[[#This Row],[Gas 24h, ml]]-Table3.110[[#This Row],[V8 Push back, ml]]</f>
        <v>15.5</v>
      </c>
      <c r="AG281" s="94">
        <f>Table3.110[[#This Row],[GP 8h, ml]]-(AVERAGE(AE$221,AE$222,AE$255,AE$256,AE$291,AE$292))*$AG$8</f>
        <v>23.524988739845064</v>
      </c>
      <c r="AH281" s="94">
        <f>Table3.110[[#This Row],[GP 8-24h, ml]]-(AVERAGE(AF$221,AF$222,AF$255,AF$256,AF$291,AF$292))*$AG$8</f>
        <v>13.508734798790837</v>
      </c>
      <c r="AI281" s="94">
        <f>Table3.110[[#This Row],[Net gas 8-24h, ml]]+Table3.110[[#This Row],[Net gas 8h, ml]]</f>
        <v>37.033723538635897</v>
      </c>
      <c r="AJ281" s="94">
        <f>Table3.110[[#This Row],[Net gas 8h, ml]]*Table3.110[[#This Row],[CH4 8h %]]%</f>
        <v>2.940623592480633</v>
      </c>
      <c r="AK281" s="94">
        <f>Table3.110[[#This Row],[Net gas 8-24h, ml]]*Table3.110[[#This Row],[CH4 24h, %]]%</f>
        <v>2.1749063026053248</v>
      </c>
      <c r="AL281" s="94">
        <f>Table3.110[[#This Row],[CH4 8-24h, ml]]+Table3.110[[#This Row],[CH4 8h, ml]]</f>
        <v>5.1155298950859578</v>
      </c>
      <c r="AM281" s="94">
        <f>(Table3.110[[#This Row],[Net gas 24h, ml]]/Table3.110[[#This Row],[DM Incubated, mg]])*1000</f>
        <v>78.683889908506799</v>
      </c>
      <c r="AN281" s="94">
        <f>'3.2 Digest'!X281</f>
        <v>11.975538848840497</v>
      </c>
      <c r="AO281" s="94">
        <f>Table3.110[[#This Row],[Digested feed, mg]]/Table3.110[[#This Row],[Net gas 24h, ml]]</f>
        <v>1.5219810386555099</v>
      </c>
      <c r="AP281" s="94">
        <f>Table3.110[[#This Row],[CH4 8h, ml]]/Table3.110[[#This Row],[Net gas 8h, ml]]%</f>
        <v>12.5</v>
      </c>
      <c r="AQ281" s="94">
        <f>Table3.110[[#This Row],[CH4 24h, ml]]/Table3.110[[#This Row],[Net gas 24h, ml]]%</f>
        <v>13.813166504170495</v>
      </c>
      <c r="AR281" s="94">
        <f>Table3.110[[#This Row],[CH4 24h, ml]]/Table3.110[[#This Row],[DM Incubated, mg]]*1000</f>
        <v>10.868736725020248</v>
      </c>
      <c r="AS281" s="94">
        <f>Table3.110[[#This Row],[CH4 24h, ml]]/Table3.110[[#This Row],[Digested feed, mg]]*1000</f>
        <v>90.75780941642212</v>
      </c>
      <c r="AT281" s="94">
        <f>Table3.110[[#This Row],[CH4 24h, ml]]/'3.2 Digest'!AA281</f>
        <v>-0.14607395522823399</v>
      </c>
      <c r="AU281" s="94">
        <f>((Table3.110[[#This Row],[CH4 24h, ml]]/28.9)*16.04)/Table3.110[[#This Row],[DM Incubated, mg]]*1000</f>
        <v>6.0323369228140065</v>
      </c>
      <c r="AV281" s="94">
        <f>((Table3.110[[#This Row],[CH4 24h, ml]]/28.9)*16.04)/Table3.110[[#This Row],[Digested feed, mg]]*1000</f>
        <v>50.37215443042944</v>
      </c>
    </row>
    <row r="282" spans="2:48" s="89" customFormat="1" x14ac:dyDescent="0.35">
      <c r="B282" s="90">
        <f t="shared" si="4"/>
        <v>272</v>
      </c>
      <c r="C282" s="140">
        <v>46076</v>
      </c>
      <c r="D282" s="6" t="s">
        <v>16</v>
      </c>
      <c r="E282" s="6" t="str">
        <f>'[1]1. Information samples'!$F$44</f>
        <v>CIAT-13260</v>
      </c>
      <c r="F282" s="6" t="s">
        <v>19</v>
      </c>
      <c r="G282" s="6" t="s">
        <v>29</v>
      </c>
      <c r="H282" s="6" t="str">
        <f>'[1]1. Information samples'!$I$44</f>
        <v>Dendrolobium lanceolatum</v>
      </c>
      <c r="I282" s="6" t="s">
        <v>22</v>
      </c>
      <c r="J282" s="129" t="s">
        <v>23</v>
      </c>
      <c r="K282" s="129" t="s">
        <v>24</v>
      </c>
      <c r="L282" s="6" t="str">
        <f>'[1]1. Information samples'!$E$44</f>
        <v>F251756</v>
      </c>
      <c r="M282" s="119">
        <v>27</v>
      </c>
      <c r="N282" s="93">
        <v>69</v>
      </c>
      <c r="O282" s="6">
        <v>3</v>
      </c>
      <c r="P282" s="129">
        <v>2</v>
      </c>
      <c r="Q282" s="6">
        <v>134</v>
      </c>
      <c r="R282" s="98">
        <v>0.50039999999999996</v>
      </c>
      <c r="S282" s="94">
        <f>((Table3.110[[#This Row],[Sample weight, g]]*'2.1. DM'!Q67)/100)*1000</f>
        <v>470.75870149572989</v>
      </c>
      <c r="T282" s="94">
        <f>'3.2 Digest'!W282</f>
        <v>79.658701495729872</v>
      </c>
      <c r="U282" s="117">
        <v>0.33680555555555558</v>
      </c>
      <c r="V282" s="155">
        <v>41</v>
      </c>
      <c r="W282" s="117">
        <v>0.68055555555555558</v>
      </c>
      <c r="X282" s="96">
        <v>65.5</v>
      </c>
      <c r="Y282" s="96">
        <v>12.5</v>
      </c>
      <c r="Z282" s="155">
        <v>40</v>
      </c>
      <c r="AA282" s="117">
        <v>0.35972222222222222</v>
      </c>
      <c r="AB282" s="155">
        <v>55.5</v>
      </c>
      <c r="AC282" s="155">
        <v>16.600000000000001</v>
      </c>
      <c r="AD282" s="96"/>
      <c r="AE282" s="94">
        <f>Table3.110[[#This Row],[Gas 8h, ml]]-Table3.110[[#This Row],[Gas 0h, ml]]</f>
        <v>24.5</v>
      </c>
      <c r="AF282" s="94">
        <f>Table3.110[[#This Row],[Gas 24h, ml]]-Table3.110[[#This Row],[V8 Push back, ml]]</f>
        <v>15.5</v>
      </c>
      <c r="AG282" s="94">
        <f>Table3.110[[#This Row],[GP 8h, ml]]-(AVERAGE(AE$221,AE$222,AE$255,AE$256,AE$291,AE$292))*$AG$8</f>
        <v>23.024988739845064</v>
      </c>
      <c r="AH282" s="94">
        <f>Table3.110[[#This Row],[GP 8-24h, ml]]-(AVERAGE(AF$221,AF$222,AF$255,AF$256,AF$291,AF$292))*$AG$8</f>
        <v>13.508734798790837</v>
      </c>
      <c r="AI282" s="94">
        <f>Table3.110[[#This Row],[Net gas 8-24h, ml]]+Table3.110[[#This Row],[Net gas 8h, ml]]</f>
        <v>36.533723538635897</v>
      </c>
      <c r="AJ282" s="94">
        <f>Table3.110[[#This Row],[Net gas 8h, ml]]*Table3.110[[#This Row],[CH4 8h %]]%</f>
        <v>2.878123592480633</v>
      </c>
      <c r="AK282" s="94">
        <f>Table3.110[[#This Row],[Net gas 8-24h, ml]]*Table3.110[[#This Row],[CH4 24h, %]]%</f>
        <v>2.2424499765992789</v>
      </c>
      <c r="AL282" s="94">
        <f>Table3.110[[#This Row],[CH4 8-24h, ml]]+Table3.110[[#This Row],[CH4 8h, ml]]</f>
        <v>5.1205735690799123</v>
      </c>
      <c r="AM282" s="94">
        <f>(Table3.110[[#This Row],[Net gas 24h, ml]]/Table3.110[[#This Row],[DM Incubated, mg]])*1000</f>
        <v>77.606050451235859</v>
      </c>
      <c r="AN282" s="94">
        <f>'3.2 Digest'!X282</f>
        <v>16.921344468542433</v>
      </c>
      <c r="AO282" s="94">
        <f>Table3.110[[#This Row],[Digested feed, mg]]/Table3.110[[#This Row],[Net gas 24h, ml]]</f>
        <v>2.1804156209669556</v>
      </c>
      <c r="AP282" s="94">
        <f>Table3.110[[#This Row],[CH4 8h, ml]]/Table3.110[[#This Row],[Net gas 8h, ml]]%</f>
        <v>12.5</v>
      </c>
      <c r="AQ282" s="94">
        <f>Table3.110[[#This Row],[CH4 24h, ml]]/Table3.110[[#This Row],[Net gas 24h, ml]]%</f>
        <v>14.016018826180412</v>
      </c>
      <c r="AR282" s="94">
        <f>Table3.110[[#This Row],[CH4 24h, ml]]/Table3.110[[#This Row],[DM Incubated, mg]]*1000</f>
        <v>10.877278641500288</v>
      </c>
      <c r="AS282" s="94">
        <f>Table3.110[[#This Row],[CH4 24h, ml]]/Table3.110[[#This Row],[Digested feed, mg]]*1000</f>
        <v>64.281408972683323</v>
      </c>
      <c r="AT282" s="94">
        <f>Table3.110[[#This Row],[CH4 24h, ml]]/'3.2 Digest'!AA282</f>
        <v>-0.18665200850770328</v>
      </c>
      <c r="AU282" s="94">
        <f>((Table3.110[[#This Row],[CH4 24h, ml]]/28.9)*16.04)/Table3.110[[#This Row],[DM Incubated, mg]]*1000</f>
        <v>6.0370778342444495</v>
      </c>
      <c r="AV282" s="94">
        <f>((Table3.110[[#This Row],[CH4 24h, ml]]/28.9)*16.04)/Table3.110[[#This Row],[Digested feed, mg]]*1000</f>
        <v>35.677294114942569</v>
      </c>
    </row>
    <row r="283" spans="2:48" s="89" customFormat="1" x14ac:dyDescent="0.35">
      <c r="B283" s="90">
        <f t="shared" si="4"/>
        <v>273</v>
      </c>
      <c r="C283" s="140">
        <v>46076</v>
      </c>
      <c r="D283" s="6" t="s">
        <v>16</v>
      </c>
      <c r="E283" s="6" t="str">
        <f>'[1]1. Information samples'!$F$45</f>
        <v>CIAT-17263</v>
      </c>
      <c r="F283" s="6" t="s">
        <v>99</v>
      </c>
      <c r="G283" s="6" t="s">
        <v>100</v>
      </c>
      <c r="H283" s="6" t="str">
        <f>'[1]1. Information samples'!$I$45</f>
        <v>Leucaena leucocephala</v>
      </c>
      <c r="I283" s="6" t="s">
        <v>22</v>
      </c>
      <c r="J283" s="8" t="s">
        <v>23</v>
      </c>
      <c r="K283" s="6" t="s">
        <v>24</v>
      </c>
      <c r="L283" s="6" t="str">
        <f>'[1]1. Information samples'!$E$45</f>
        <v>F251757</v>
      </c>
      <c r="M283" s="119">
        <v>27</v>
      </c>
      <c r="N283" s="93">
        <v>69</v>
      </c>
      <c r="O283" s="6">
        <v>3</v>
      </c>
      <c r="P283" s="129">
        <v>1</v>
      </c>
      <c r="Q283" s="6">
        <v>135</v>
      </c>
      <c r="R283" s="98">
        <v>0.50060000000000004</v>
      </c>
      <c r="S283" s="94">
        <f>((Table3.110[[#This Row],[Sample weight, g]]*'2.1. DM'!Q69)/100)*1000</f>
        <v>472.92521002798344</v>
      </c>
      <c r="T283" s="94">
        <f>'3.2 Digest'!W283</f>
        <v>192.32521002798336</v>
      </c>
      <c r="U283" s="117">
        <v>0.33750000000000002</v>
      </c>
      <c r="V283" s="155">
        <v>41.5</v>
      </c>
      <c r="W283" s="117">
        <v>0.68125000000000002</v>
      </c>
      <c r="X283" s="96">
        <v>76.5</v>
      </c>
      <c r="Y283" s="96">
        <v>11.4</v>
      </c>
      <c r="Z283" s="155">
        <v>39.5</v>
      </c>
      <c r="AA283" s="117">
        <v>0.35972222222222222</v>
      </c>
      <c r="AB283" s="155">
        <v>60.5</v>
      </c>
      <c r="AC283" s="155">
        <v>15.4</v>
      </c>
      <c r="AD283" s="96"/>
      <c r="AE283" s="94">
        <f>Table3.110[[#This Row],[Gas 8h, ml]]-Table3.110[[#This Row],[Gas 0h, ml]]</f>
        <v>35</v>
      </c>
      <c r="AF283" s="94">
        <f>Table3.110[[#This Row],[Gas 24h, ml]]-Table3.110[[#This Row],[V8 Push back, ml]]</f>
        <v>21</v>
      </c>
      <c r="AG283" s="94">
        <f>Table3.110[[#This Row],[GP 8h, ml]]-(AVERAGE(AE$221,AE$222,AE$255,AE$256,AE$291,AE$292))*$AG$8</f>
        <v>33.524988739845064</v>
      </c>
      <c r="AH283" s="94">
        <f>Table3.110[[#This Row],[GP 8-24h, ml]]-(AVERAGE(AF$221,AF$222,AF$255,AF$256,AF$291,AF$292))*$AG$8</f>
        <v>19.008734798790837</v>
      </c>
      <c r="AI283" s="94">
        <f>Table3.110[[#This Row],[Net gas 8-24h, ml]]+Table3.110[[#This Row],[Net gas 8h, ml]]</f>
        <v>52.533723538635897</v>
      </c>
      <c r="AJ283" s="94">
        <f>Table3.110[[#This Row],[Net gas 8h, ml]]*Table3.110[[#This Row],[CH4 8h %]]%</f>
        <v>3.8218487163423376</v>
      </c>
      <c r="AK283" s="94">
        <f>Table3.110[[#This Row],[Net gas 8-24h, ml]]*Table3.110[[#This Row],[CH4 24h, %]]%</f>
        <v>2.9273451590137887</v>
      </c>
      <c r="AL283" s="94">
        <f>Table3.110[[#This Row],[CH4 8-24h, ml]]+Table3.110[[#This Row],[CH4 8h, ml]]</f>
        <v>6.7491938753561262</v>
      </c>
      <c r="AM283" s="94">
        <f>(Table3.110[[#This Row],[Net gas 24h, ml]]/Table3.110[[#This Row],[DM Incubated, mg]])*1000</f>
        <v>111.08251880995608</v>
      </c>
      <c r="AN283" s="94">
        <f>'3.2 Digest'!X283</f>
        <v>40.667151158341355</v>
      </c>
      <c r="AO283" s="94">
        <f>Table3.110[[#This Row],[Digested feed, mg]]/Table3.110[[#This Row],[Net gas 24h, ml]]</f>
        <v>3.6609856882986391</v>
      </c>
      <c r="AP283" s="94">
        <f>Table3.110[[#This Row],[CH4 8h, ml]]/Table3.110[[#This Row],[Net gas 8h, ml]]%</f>
        <v>11.4</v>
      </c>
      <c r="AQ283" s="94">
        <f>Table3.110[[#This Row],[CH4 24h, ml]]/Table3.110[[#This Row],[Net gas 24h, ml]]%</f>
        <v>12.847354843203595</v>
      </c>
      <c r="AR283" s="94">
        <f>Table3.110[[#This Row],[CH4 24h, ml]]/Table3.110[[#This Row],[DM Incubated, mg]]*1000</f>
        <v>14.271165360283437</v>
      </c>
      <c r="AS283" s="94">
        <f>Table3.110[[#This Row],[CH4 24h, ml]]/Table3.110[[#This Row],[Digested feed, mg]]*1000</f>
        <v>35.092611490579507</v>
      </c>
      <c r="AT283" s="94">
        <f>Table3.110[[#This Row],[CH4 24h, ml]]/'3.2 Digest'!AA283</f>
        <v>-2.4821486083332669</v>
      </c>
      <c r="AU283" s="94">
        <f>((Table3.110[[#This Row],[CH4 24h, ml]]/28.9)*16.04)/Table3.110[[#This Row],[DM Incubated, mg]]*1000</f>
        <v>7.9207436809323983</v>
      </c>
      <c r="AV283" s="94">
        <f>((Table3.110[[#This Row],[CH4 24h, ml]]/28.9)*16.04)/Table3.110[[#This Row],[Digested feed, mg]]*1000</f>
        <v>19.477006515878731</v>
      </c>
    </row>
    <row r="284" spans="2:48" s="89" customFormat="1" x14ac:dyDescent="0.35">
      <c r="B284" s="90">
        <f t="shared" si="4"/>
        <v>274</v>
      </c>
      <c r="C284" s="140">
        <v>46076</v>
      </c>
      <c r="D284" s="6" t="s">
        <v>16</v>
      </c>
      <c r="E284" s="6" t="str">
        <f>'[1]1. Information samples'!$F$45</f>
        <v>CIAT-17263</v>
      </c>
      <c r="F284" s="6" t="s">
        <v>99</v>
      </c>
      <c r="G284" s="6" t="s">
        <v>100</v>
      </c>
      <c r="H284" s="6" t="str">
        <f>'[1]1. Information samples'!$I$45</f>
        <v>Leucaena leucocephala</v>
      </c>
      <c r="I284" s="6" t="s">
        <v>22</v>
      </c>
      <c r="J284" s="8" t="s">
        <v>23</v>
      </c>
      <c r="K284" s="6" t="s">
        <v>24</v>
      </c>
      <c r="L284" s="6" t="str">
        <f>'[1]1. Information samples'!$E$45</f>
        <v>F251757</v>
      </c>
      <c r="M284" s="119">
        <v>27</v>
      </c>
      <c r="N284" s="93">
        <v>69</v>
      </c>
      <c r="O284" s="6">
        <v>3</v>
      </c>
      <c r="P284" s="129">
        <v>2</v>
      </c>
      <c r="Q284" s="6">
        <v>136</v>
      </c>
      <c r="R284" s="98">
        <v>0.50029999999999997</v>
      </c>
      <c r="S284" s="94">
        <f>((Table3.110[[#This Row],[Sample weight, g]]*'2.1. DM'!Q69)/100)*1000</f>
        <v>472.64179500000017</v>
      </c>
      <c r="T284" s="94">
        <f>'3.2 Digest'!W284</f>
        <v>181.54179500000015</v>
      </c>
      <c r="U284" s="153">
        <v>0.33750000000000002</v>
      </c>
      <c r="V284" s="154">
        <v>42</v>
      </c>
      <c r="W284" s="153">
        <v>0.68125000000000002</v>
      </c>
      <c r="X284" s="91">
        <v>76.5</v>
      </c>
      <c r="Y284" s="91">
        <v>11.9</v>
      </c>
      <c r="Z284" s="154">
        <v>41</v>
      </c>
      <c r="AA284" s="153">
        <v>0.36041666666666666</v>
      </c>
      <c r="AB284" s="154">
        <v>73</v>
      </c>
      <c r="AC284" s="154">
        <v>15.3</v>
      </c>
      <c r="AD284" s="91"/>
      <c r="AE284" s="94">
        <f>Table3.110[[#This Row],[Gas 8h, ml]]-Table3.110[[#This Row],[Gas 0h, ml]]</f>
        <v>34.5</v>
      </c>
      <c r="AF284" s="94">
        <f>Table3.110[[#This Row],[Gas 24h, ml]]-Table3.110[[#This Row],[V8 Push back, ml]]</f>
        <v>32</v>
      </c>
      <c r="AG284" s="94">
        <f>Table3.110[[#This Row],[GP 8h, ml]]-(AVERAGE(AE$221,AE$222,AE$255,AE$256,AE$291,AE$292))*$AG$8</f>
        <v>33.024988739845064</v>
      </c>
      <c r="AH284" s="94">
        <f>Table3.110[[#This Row],[GP 8-24h, ml]]-(AVERAGE(AF$221,AF$222,AF$255,AF$256,AF$291,AF$292))*$AG$8</f>
        <v>30.008734798790837</v>
      </c>
      <c r="AI284" s="94">
        <f>Table3.110[[#This Row],[Net gas 8-24h, ml]]+Table3.110[[#This Row],[Net gas 8h, ml]]</f>
        <v>63.033723538635897</v>
      </c>
      <c r="AJ284" s="94">
        <f>Table3.110[[#This Row],[Net gas 8h, ml]]*Table3.110[[#This Row],[CH4 8h %]]%</f>
        <v>3.9299736600415627</v>
      </c>
      <c r="AK284" s="94">
        <f>Table3.110[[#This Row],[Net gas 8-24h, ml]]*Table3.110[[#This Row],[CH4 24h, %]]%</f>
        <v>4.5913364242149983</v>
      </c>
      <c r="AL284" s="94">
        <f>Table3.110[[#This Row],[CH4 8-24h, ml]]+Table3.110[[#This Row],[CH4 8h, ml]]</f>
        <v>8.5213100842565606</v>
      </c>
      <c r="AM284" s="94">
        <f>(Table3.110[[#This Row],[Net gas 24h, ml]]/Table3.110[[#This Row],[DM Incubated, mg]])*1000</f>
        <v>133.36468379533781</v>
      </c>
      <c r="AN284" s="94">
        <f>'3.2 Digest'!X284</f>
        <v>38.410017252071434</v>
      </c>
      <c r="AO284" s="94">
        <f>Table3.110[[#This Row],[Digested feed, mg]]/Table3.110[[#This Row],[Net gas 24h, ml]]</f>
        <v>2.8800741065015125</v>
      </c>
      <c r="AP284" s="94">
        <f>Table3.110[[#This Row],[CH4 8h, ml]]/Table3.110[[#This Row],[Net gas 8h, ml]]%</f>
        <v>11.9</v>
      </c>
      <c r="AQ284" s="94">
        <f>Table3.110[[#This Row],[CH4 24h, ml]]/Table3.110[[#This Row],[Net gas 24h, ml]]%</f>
        <v>13.518652565453328</v>
      </c>
      <c r="AR284" s="94">
        <f>Table3.110[[#This Row],[CH4 24h, ml]]/Table3.110[[#This Row],[DM Incubated, mg]]*1000</f>
        <v>18.029108247307157</v>
      </c>
      <c r="AS284" s="94">
        <f>Table3.110[[#This Row],[CH4 24h, ml]]/Table3.110[[#This Row],[Digested feed, mg]]*1000</f>
        <v>46.938558056322805</v>
      </c>
      <c r="AT284" s="94">
        <f>Table3.110[[#This Row],[CH4 24h, ml]]/'3.2 Digest'!AA284</f>
        <v>-1.2859012114889006</v>
      </c>
      <c r="AU284" s="94">
        <f>((Table3.110[[#This Row],[CH4 24h, ml]]/28.9)*16.04)/Table3.110[[#This Row],[DM Incubated, mg]]*1000</f>
        <v>10.006466999543488</v>
      </c>
      <c r="AV284" s="94">
        <f>((Table3.110[[#This Row],[CH4 24h, ml]]/28.9)*16.04)/Table3.110[[#This Row],[Digested feed, mg]]*1000</f>
        <v>26.051711807038682</v>
      </c>
    </row>
    <row r="285" spans="2:48" s="89" customFormat="1" x14ac:dyDescent="0.35">
      <c r="B285" s="90">
        <f t="shared" si="4"/>
        <v>275</v>
      </c>
      <c r="C285" s="140">
        <v>46076</v>
      </c>
      <c r="D285" s="6" t="s">
        <v>473</v>
      </c>
      <c r="E285" s="6" t="str">
        <f>'[1]1. Information samples'!$F$46</f>
        <v xml:space="preserve"> Cayman Br02_1752</v>
      </c>
      <c r="F285" s="6" t="s">
        <v>105</v>
      </c>
      <c r="G285" s="6" t="s">
        <v>106</v>
      </c>
      <c r="H285" s="6" t="str">
        <f>'[1]1. Information samples'!$I$46</f>
        <v>Urochloa interespecifico</v>
      </c>
      <c r="I285" s="6" t="s">
        <v>108</v>
      </c>
      <c r="J285" s="8" t="s">
        <v>109</v>
      </c>
      <c r="K285" s="6" t="s">
        <v>110</v>
      </c>
      <c r="L285" s="6" t="str">
        <f>'[1]1. Information samples'!$E$46</f>
        <v>F252640</v>
      </c>
      <c r="M285" s="119">
        <v>27</v>
      </c>
      <c r="N285" s="93">
        <v>69</v>
      </c>
      <c r="O285" s="6">
        <v>3</v>
      </c>
      <c r="P285" s="129">
        <v>1</v>
      </c>
      <c r="Q285" s="6">
        <v>137</v>
      </c>
      <c r="R285" s="98">
        <v>0.50019999999999998</v>
      </c>
      <c r="S285" s="94">
        <f>((Table3.110[[#This Row],[Sample weight, g]]*'2.1. DM'!Q71)/100)*1000</f>
        <v>485.19925272418357</v>
      </c>
      <c r="T285" s="94">
        <f>'3.2 Digest'!W285</f>
        <v>235.69925272418362</v>
      </c>
      <c r="U285" s="153">
        <v>0.33750000000000002</v>
      </c>
      <c r="V285" s="154">
        <v>40.5</v>
      </c>
      <c r="W285" s="153">
        <v>0.68194444444444446</v>
      </c>
      <c r="X285" s="91">
        <v>85.5</v>
      </c>
      <c r="Y285" s="91">
        <v>12.1</v>
      </c>
      <c r="Z285" s="154">
        <v>40</v>
      </c>
      <c r="AA285" s="153">
        <v>0.3611111111111111</v>
      </c>
      <c r="AB285" s="154">
        <v>88.5</v>
      </c>
      <c r="AC285" s="154">
        <v>13.5</v>
      </c>
      <c r="AD285" s="91"/>
      <c r="AE285" s="94">
        <f>Table3.110[[#This Row],[Gas 8h, ml]]-Table3.110[[#This Row],[Gas 0h, ml]]</f>
        <v>45</v>
      </c>
      <c r="AF285" s="94">
        <f>Table3.110[[#This Row],[Gas 24h, ml]]-Table3.110[[#This Row],[V8 Push back, ml]]</f>
        <v>48.5</v>
      </c>
      <c r="AG285" s="94">
        <f>Table3.110[[#This Row],[GP 8h, ml]]-(AVERAGE(AE$221,AE$222,AE$255,AE$256,AE$291,AE$292))*$AG$8</f>
        <v>43.524988739845064</v>
      </c>
      <c r="AH285" s="94">
        <f>Table3.110[[#This Row],[GP 8-24h, ml]]-(AVERAGE(AF$221,AF$222,AF$255,AF$256,AF$291,AF$292))*$AG$8</f>
        <v>46.50873479879084</v>
      </c>
      <c r="AI285" s="94">
        <f>Table3.110[[#This Row],[Net gas 8-24h, ml]]+Table3.110[[#This Row],[Net gas 8h, ml]]</f>
        <v>90.033723538635911</v>
      </c>
      <c r="AJ285" s="94">
        <f>Table3.110[[#This Row],[Net gas 8h, ml]]*Table3.110[[#This Row],[CH4 8h %]]%</f>
        <v>5.266523637521253</v>
      </c>
      <c r="AK285" s="94">
        <f>Table3.110[[#This Row],[Net gas 8-24h, ml]]*Table3.110[[#This Row],[CH4 24h, %]]%</f>
        <v>6.2786791978367642</v>
      </c>
      <c r="AL285" s="94">
        <f>Table3.110[[#This Row],[CH4 8-24h, ml]]+Table3.110[[#This Row],[CH4 8h, ml]]</f>
        <v>11.545202835358017</v>
      </c>
      <c r="AM285" s="94">
        <f>(Table3.110[[#This Row],[Net gas 24h, ml]]/Table3.110[[#This Row],[DM Incubated, mg]])*1000</f>
        <v>185.56030957000772</v>
      </c>
      <c r="AN285" s="94">
        <f>'3.2 Digest'!X285</f>
        <v>48.57782682080289</v>
      </c>
      <c r="AO285" s="94">
        <f>Table3.110[[#This Row],[Digested feed, mg]]/Table3.110[[#This Row],[Net gas 24h, ml]]</f>
        <v>2.6178996431602508</v>
      </c>
      <c r="AP285" s="94">
        <f>Table3.110[[#This Row],[CH4 8h, ml]]/Table3.110[[#This Row],[Net gas 8h, ml]]%</f>
        <v>12.1</v>
      </c>
      <c r="AQ285" s="94">
        <f>Table3.110[[#This Row],[CH4 24h, ml]]/Table3.110[[#This Row],[Net gas 24h, ml]]%</f>
        <v>12.82319822127945</v>
      </c>
      <c r="AR285" s="94">
        <f>Table3.110[[#This Row],[CH4 24h, ml]]/Table3.110[[#This Row],[DM Incubated, mg]]*1000</f>
        <v>23.794766316181871</v>
      </c>
      <c r="AS285" s="94">
        <f>Table3.110[[#This Row],[CH4 24h, ml]]/Table3.110[[#This Row],[Digested feed, mg]]*1000</f>
        <v>48.982772333471367</v>
      </c>
      <c r="AT285" s="94">
        <f>Table3.110[[#This Row],[CH4 24h, ml]]/'3.2 Digest'!AA285</f>
        <v>0.66969808126929864</v>
      </c>
      <c r="AU285" s="94">
        <f>((Table3.110[[#This Row],[CH4 24h, ml]]/28.9)*16.04)/Table3.110[[#This Row],[DM Incubated, mg]]*1000</f>
        <v>13.206506979638656</v>
      </c>
      <c r="AV285" s="94">
        <f>((Table3.110[[#This Row],[CH4 24h, ml]]/28.9)*16.04)/Table3.110[[#This Row],[Digested feed, mg]]*1000</f>
        <v>27.186286097885144</v>
      </c>
    </row>
    <row r="286" spans="2:48" s="89" customFormat="1" x14ac:dyDescent="0.35">
      <c r="B286" s="90">
        <f t="shared" si="4"/>
        <v>276</v>
      </c>
      <c r="C286" s="140">
        <v>46076</v>
      </c>
      <c r="D286" s="6" t="s">
        <v>473</v>
      </c>
      <c r="E286" s="6" t="str">
        <f>'[1]1. Information samples'!$F$46</f>
        <v xml:space="preserve"> Cayman Br02_1752</v>
      </c>
      <c r="F286" s="6" t="s">
        <v>105</v>
      </c>
      <c r="G286" s="6" t="s">
        <v>106</v>
      </c>
      <c r="H286" s="6" t="str">
        <f>'[1]1. Information samples'!$I$46</f>
        <v>Urochloa interespecifico</v>
      </c>
      <c r="I286" s="6" t="s">
        <v>108</v>
      </c>
      <c r="J286" s="8" t="s">
        <v>109</v>
      </c>
      <c r="K286" s="6" t="s">
        <v>110</v>
      </c>
      <c r="L286" s="6" t="str">
        <f>'[1]1. Information samples'!$E$46</f>
        <v>F252640</v>
      </c>
      <c r="M286" s="119">
        <v>27</v>
      </c>
      <c r="N286" s="93">
        <v>69</v>
      </c>
      <c r="O286" s="6">
        <v>3</v>
      </c>
      <c r="P286" s="129">
        <v>2</v>
      </c>
      <c r="Q286" s="6">
        <v>138</v>
      </c>
      <c r="R286" s="98">
        <v>0.50039999999999996</v>
      </c>
      <c r="S286" s="94">
        <f>((Table3.110[[#This Row],[Sample weight, g]]*'2.1. DM'!Q71)/100)*1000</f>
        <v>485.39325482443309</v>
      </c>
      <c r="T286" s="94">
        <f>'3.2 Digest'!W286</f>
        <v>182.79325482443312</v>
      </c>
      <c r="U286" s="117">
        <v>0.33819444444444446</v>
      </c>
      <c r="V286" s="155">
        <v>41</v>
      </c>
      <c r="W286" s="117">
        <v>0.68194444444444446</v>
      </c>
      <c r="X286" s="96">
        <v>86.5</v>
      </c>
      <c r="Y286" s="96">
        <v>12.3</v>
      </c>
      <c r="Z286" s="155">
        <v>40.5</v>
      </c>
      <c r="AA286" s="117">
        <v>0.3611111111111111</v>
      </c>
      <c r="AB286" s="155">
        <v>87.5</v>
      </c>
      <c r="AC286" s="155">
        <v>13.4</v>
      </c>
      <c r="AD286" s="96"/>
      <c r="AE286" s="94">
        <f>Table3.110[[#This Row],[Gas 8h, ml]]-Table3.110[[#This Row],[Gas 0h, ml]]</f>
        <v>45.5</v>
      </c>
      <c r="AF286" s="94">
        <f>Table3.110[[#This Row],[Gas 24h, ml]]-Table3.110[[#This Row],[V8 Push back, ml]]</f>
        <v>47</v>
      </c>
      <c r="AG286" s="94">
        <f>Table3.110[[#This Row],[GP 8h, ml]]-(AVERAGE(AE$221,AE$222,AE$255,AE$256,AE$291,AE$292))*$AG$8</f>
        <v>44.024988739845064</v>
      </c>
      <c r="AH286" s="94">
        <f>Table3.110[[#This Row],[GP 8-24h, ml]]-(AVERAGE(AF$221,AF$222,AF$255,AF$256,AF$291,AF$292))*$AG$8</f>
        <v>45.00873479879084</v>
      </c>
      <c r="AI286" s="94">
        <f>Table3.110[[#This Row],[Net gas 8-24h, ml]]+Table3.110[[#This Row],[Net gas 8h, ml]]</f>
        <v>89.033723538635911</v>
      </c>
      <c r="AJ286" s="94">
        <f>Table3.110[[#This Row],[Net gas 8h, ml]]*Table3.110[[#This Row],[CH4 8h %]]%</f>
        <v>5.4150736150009431</v>
      </c>
      <c r="AK286" s="94">
        <f>Table3.110[[#This Row],[Net gas 8-24h, ml]]*Table3.110[[#This Row],[CH4 24h, %]]%</f>
        <v>6.0311704630379728</v>
      </c>
      <c r="AL286" s="94">
        <f>Table3.110[[#This Row],[CH4 8-24h, ml]]+Table3.110[[#This Row],[CH4 8h, ml]]</f>
        <v>11.446244078038916</v>
      </c>
      <c r="AM286" s="94">
        <f>(Table3.110[[#This Row],[Net gas 24h, ml]]/Table3.110[[#This Row],[DM Incubated, mg]])*1000</f>
        <v>183.4259595775377</v>
      </c>
      <c r="AN286" s="94">
        <f>'3.2 Digest'!X286</f>
        <v>37.658795833607023</v>
      </c>
      <c r="AO286" s="94">
        <f>Table3.110[[#This Row],[Digested feed, mg]]/Table3.110[[#This Row],[Net gas 24h, ml]]</f>
        <v>2.0530788510166098</v>
      </c>
      <c r="AP286" s="94">
        <f>Table3.110[[#This Row],[CH4 8h, ml]]/Table3.110[[#This Row],[Net gas 8h, ml]]%</f>
        <v>12.3</v>
      </c>
      <c r="AQ286" s="94">
        <f>Table3.110[[#This Row],[CH4 24h, ml]]/Table3.110[[#This Row],[Net gas 24h, ml]]%</f>
        <v>12.856077026894033</v>
      </c>
      <c r="AR286" s="94">
        <f>Table3.110[[#This Row],[CH4 24h, ml]]/Table3.110[[#This Row],[DM Incubated, mg]]*1000</f>
        <v>23.581382650607758</v>
      </c>
      <c r="AS286" s="94">
        <f>Table3.110[[#This Row],[CH4 24h, ml]]/Table3.110[[#This Row],[Digested feed, mg]]*1000</f>
        <v>62.618525443034841</v>
      </c>
      <c r="AT286" s="94">
        <f>Table3.110[[#This Row],[CH4 24h, ml]]/'3.2 Digest'!AA286</f>
        <v>-34.265739341827569</v>
      </c>
      <c r="AU286" s="94">
        <f>((Table3.110[[#This Row],[CH4 24h, ml]]/28.9)*16.04)/Table3.110[[#This Row],[DM Incubated, mg]]*1000</f>
        <v>13.088075353486103</v>
      </c>
      <c r="AV286" s="94">
        <f>((Table3.110[[#This Row],[CH4 24h, ml]]/28.9)*16.04)/Table3.110[[#This Row],[Digested feed, mg]]*1000</f>
        <v>34.75436498637643</v>
      </c>
    </row>
    <row r="287" spans="2:48" s="89" customFormat="1" x14ac:dyDescent="0.35">
      <c r="B287" s="90">
        <f t="shared" si="4"/>
        <v>277</v>
      </c>
      <c r="C287" s="140">
        <v>46076</v>
      </c>
      <c r="D287" s="92" t="s">
        <v>112</v>
      </c>
      <c r="E287" s="6" t="str">
        <f>'[1]1. Information samples'!$F$47</f>
        <v>N/A</v>
      </c>
      <c r="F287" s="6" t="s">
        <v>544</v>
      </c>
      <c r="G287" s="6" t="s">
        <v>116</v>
      </c>
      <c r="H287" s="6" t="str">
        <f>'[1]1. Information samples'!$I$47</f>
        <v xml:space="preserve">Gliricidia sepium </v>
      </c>
      <c r="I287" s="6" t="s">
        <v>22</v>
      </c>
      <c r="J287" s="8" t="s">
        <v>23</v>
      </c>
      <c r="K287" s="6" t="s">
        <v>118</v>
      </c>
      <c r="L287" s="6" t="str">
        <f>'[1]1. Information samples'!$E$47</f>
        <v>F252641</v>
      </c>
      <c r="M287" s="119">
        <v>27</v>
      </c>
      <c r="N287" s="93">
        <v>69</v>
      </c>
      <c r="O287" s="6">
        <v>3</v>
      </c>
      <c r="P287" s="129">
        <v>1</v>
      </c>
      <c r="Q287" s="6">
        <v>139</v>
      </c>
      <c r="R287" s="98">
        <v>0.50039999999999996</v>
      </c>
      <c r="S287" s="94">
        <f>((Table3.110[[#This Row],[Sample weight, g]]*'2.1. DM'!Q73)/100)*1000</f>
        <v>467.86036003873045</v>
      </c>
      <c r="T287" s="94">
        <f>'3.2 Digest'!W287</f>
        <v>246.06036003873044</v>
      </c>
      <c r="U287" s="117">
        <v>0.33819444444444446</v>
      </c>
      <c r="V287" s="155">
        <v>40.5</v>
      </c>
      <c r="W287" s="117">
        <v>0.68263888888888891</v>
      </c>
      <c r="X287" s="96">
        <v>78.5</v>
      </c>
      <c r="Y287" s="96">
        <v>13.5</v>
      </c>
      <c r="Z287" s="155">
        <v>40</v>
      </c>
      <c r="AA287" s="117">
        <v>0.3611111111111111</v>
      </c>
      <c r="AB287" s="155">
        <v>87</v>
      </c>
      <c r="AC287" s="155">
        <v>15.7</v>
      </c>
      <c r="AD287" s="96"/>
      <c r="AE287" s="94">
        <f>Table3.110[[#This Row],[Gas 8h, ml]]-Table3.110[[#This Row],[Gas 0h, ml]]</f>
        <v>38</v>
      </c>
      <c r="AF287" s="94">
        <f>Table3.110[[#This Row],[Gas 24h, ml]]-Table3.110[[#This Row],[V8 Push back, ml]]</f>
        <v>47</v>
      </c>
      <c r="AG287" s="94">
        <f>Table3.110[[#This Row],[GP 8h, ml]]-(AVERAGE(AE$221,AE$222,AE$255,AE$256,AE$291,AE$292))*$AG$8</f>
        <v>36.524988739845064</v>
      </c>
      <c r="AH287" s="94">
        <f>Table3.110[[#This Row],[GP 8-24h, ml]]-(AVERAGE(AF$221,AF$222,AF$255,AF$256,AF$291,AF$292))*$AG$8</f>
        <v>45.00873479879084</v>
      </c>
      <c r="AI287" s="94">
        <f>Table3.110[[#This Row],[Net gas 8-24h, ml]]+Table3.110[[#This Row],[Net gas 8h, ml]]</f>
        <v>81.533723538635911</v>
      </c>
      <c r="AJ287" s="94">
        <f>Table3.110[[#This Row],[Net gas 8h, ml]]*Table3.110[[#This Row],[CH4 8h %]]%</f>
        <v>4.9308734798790841</v>
      </c>
      <c r="AK287" s="94">
        <f>Table3.110[[#This Row],[Net gas 8-24h, ml]]*Table3.110[[#This Row],[CH4 24h, %]]%</f>
        <v>7.0663713634101617</v>
      </c>
      <c r="AL287" s="94">
        <f>Table3.110[[#This Row],[CH4 8-24h, ml]]+Table3.110[[#This Row],[CH4 8h, ml]]</f>
        <v>11.997244843289245</v>
      </c>
      <c r="AM287" s="94">
        <f>(Table3.110[[#This Row],[Net gas 24h, ml]]/Table3.110[[#This Row],[DM Incubated, mg]])*1000</f>
        <v>174.26935577933205</v>
      </c>
      <c r="AN287" s="94">
        <f>'3.2 Digest'!X287</f>
        <v>52.59269240470833</v>
      </c>
      <c r="AO287" s="94">
        <f>Table3.110[[#This Row],[Digested feed, mg]]/Table3.110[[#This Row],[Net gas 24h, ml]]</f>
        <v>3.0178967592732504</v>
      </c>
      <c r="AP287" s="94">
        <f>Table3.110[[#This Row],[CH4 8h, ml]]/Table3.110[[#This Row],[Net gas 8h, ml]]%</f>
        <v>13.5</v>
      </c>
      <c r="AQ287" s="94">
        <f>Table3.110[[#This Row],[CH4 24h, ml]]/Table3.110[[#This Row],[Net gas 24h, ml]]%</f>
        <v>14.71445718728175</v>
      </c>
      <c r="AR287" s="94">
        <f>Table3.110[[#This Row],[CH4 24h, ml]]/Table3.110[[#This Row],[DM Incubated, mg]]*1000</f>
        <v>25.642789746701531</v>
      </c>
      <c r="AS287" s="94">
        <f>Table3.110[[#This Row],[CH4 24h, ml]]/Table3.110[[#This Row],[Digested feed, mg]]*1000</f>
        <v>48.757324590603915</v>
      </c>
      <c r="AT287" s="94">
        <f>Table3.110[[#This Row],[CH4 24h, ml]]/'3.2 Digest'!AA287</f>
        <v>-27.993508697040308</v>
      </c>
      <c r="AU287" s="94">
        <f>((Table3.110[[#This Row],[CH4 24h, ml]]/28.9)*16.04)/Table3.110[[#This Row],[DM Incubated, mg]]*1000</f>
        <v>14.232191956300783</v>
      </c>
      <c r="AV287" s="94">
        <f>((Table3.110[[#This Row],[CH4 24h, ml]]/28.9)*16.04)/Table3.110[[#This Row],[Digested feed, mg]]*1000</f>
        <v>27.061158700113733</v>
      </c>
    </row>
    <row r="288" spans="2:48" s="89" customFormat="1" x14ac:dyDescent="0.35">
      <c r="B288" s="90">
        <f t="shared" si="4"/>
        <v>278</v>
      </c>
      <c r="C288" s="140">
        <v>46076</v>
      </c>
      <c r="D288" s="92" t="s">
        <v>112</v>
      </c>
      <c r="E288" s="6" t="str">
        <f>'[1]1. Information samples'!$F$47</f>
        <v>N/A</v>
      </c>
      <c r="F288" s="6" t="s">
        <v>544</v>
      </c>
      <c r="G288" s="6" t="s">
        <v>116</v>
      </c>
      <c r="H288" s="6" t="str">
        <f>'[1]1. Information samples'!$I$47</f>
        <v xml:space="preserve">Gliricidia sepium </v>
      </c>
      <c r="I288" s="6" t="s">
        <v>22</v>
      </c>
      <c r="J288" s="8" t="s">
        <v>23</v>
      </c>
      <c r="K288" s="6" t="s">
        <v>118</v>
      </c>
      <c r="L288" s="6" t="str">
        <f>'[1]1. Information samples'!$E$47</f>
        <v>F252641</v>
      </c>
      <c r="M288" s="119">
        <v>27</v>
      </c>
      <c r="N288" s="93">
        <v>69</v>
      </c>
      <c r="O288" s="6">
        <v>3</v>
      </c>
      <c r="P288" s="129">
        <v>2</v>
      </c>
      <c r="Q288" s="6">
        <v>140</v>
      </c>
      <c r="R288" s="98">
        <v>0.50009999999999999</v>
      </c>
      <c r="S288" s="94">
        <f>((Table3.110[[#This Row],[Sample weight, g]]*'2.1. DM'!Q73)/100)*1000</f>
        <v>467.57986821616527</v>
      </c>
      <c r="T288" s="94">
        <f>'3.2 Digest'!W288</f>
        <v>127.87986821616528</v>
      </c>
      <c r="U288" s="153">
        <v>0.33819444444444446</v>
      </c>
      <c r="V288" s="154">
        <v>40.5</v>
      </c>
      <c r="W288" s="153">
        <v>0.68333333333333335</v>
      </c>
      <c r="X288" s="91">
        <v>79.5</v>
      </c>
      <c r="Y288" s="91">
        <v>13.5</v>
      </c>
      <c r="Z288" s="154">
        <v>40</v>
      </c>
      <c r="AA288" s="153">
        <v>0.36180555555555555</v>
      </c>
      <c r="AB288" s="154">
        <v>87.5</v>
      </c>
      <c r="AC288" s="154">
        <v>15.9</v>
      </c>
      <c r="AD288" s="91" t="s">
        <v>552</v>
      </c>
      <c r="AE288" s="94">
        <f>Table3.110[[#This Row],[Gas 8h, ml]]-Table3.110[[#This Row],[Gas 0h, ml]]</f>
        <v>39</v>
      </c>
      <c r="AF288" s="94">
        <f>Table3.110[[#This Row],[Gas 24h, ml]]-Table3.110[[#This Row],[V8 Push back, ml]]</f>
        <v>47.5</v>
      </c>
      <c r="AG288" s="94">
        <f>Table3.110[[#This Row],[GP 8h, ml]]-(AVERAGE(AE$221,AE$222,AE$255,AE$256,AE$291,AE$292))*$AG$8</f>
        <v>37.524988739845064</v>
      </c>
      <c r="AH288" s="94">
        <f>Table3.110[[#This Row],[GP 8-24h, ml]]-(AVERAGE(AF$221,AF$222,AF$255,AF$256,AF$291,AF$292))*$AG$8</f>
        <v>45.50873479879084</v>
      </c>
      <c r="AI288" s="94">
        <f>Table3.110[[#This Row],[Net gas 8-24h, ml]]+Table3.110[[#This Row],[Net gas 8h, ml]]</f>
        <v>83.033723538635911</v>
      </c>
      <c r="AJ288" s="94">
        <f>Table3.110[[#This Row],[Net gas 8h, ml]]*Table3.110[[#This Row],[CH4 8h %]]%</f>
        <v>5.0658734798790839</v>
      </c>
      <c r="AK288" s="94">
        <f>Table3.110[[#This Row],[Net gas 8-24h, ml]]*Table3.110[[#This Row],[CH4 24h, %]]%</f>
        <v>7.2358888330077438</v>
      </c>
      <c r="AL288" s="94">
        <f>Table3.110[[#This Row],[CH4 8-24h, ml]]+Table3.110[[#This Row],[CH4 8h, ml]]</f>
        <v>12.301762312886828</v>
      </c>
      <c r="AM288" s="94">
        <f>(Table3.110[[#This Row],[Net gas 24h, ml]]/Table3.110[[#This Row],[DM Incubated, mg]])*1000</f>
        <v>177.58190457474714</v>
      </c>
      <c r="AN288" s="94">
        <f>'3.2 Digest'!X288</f>
        <v>27.349310119794456</v>
      </c>
      <c r="AO288" s="94">
        <f>Table3.110[[#This Row],[Digested feed, mg]]/Table3.110[[#This Row],[Net gas 24h, ml]]</f>
        <v>1.540095551136669</v>
      </c>
      <c r="AP288" s="94">
        <f>Table3.110[[#This Row],[CH4 8h, ml]]/Table3.110[[#This Row],[Net gas 8h, ml]]%</f>
        <v>13.5</v>
      </c>
      <c r="AQ288" s="94">
        <f>Table3.110[[#This Row],[CH4 24h, ml]]/Table3.110[[#This Row],[Net gas 24h, ml]]%</f>
        <v>14.815380773768108</v>
      </c>
      <c r="AR288" s="94">
        <f>Table3.110[[#This Row],[CH4 24h, ml]]/Table3.110[[#This Row],[DM Incubated, mg]]*1000</f>
        <v>26.309435348058319</v>
      </c>
      <c r="AS288" s="94">
        <f>Table3.110[[#This Row],[CH4 24h, ml]]/Table3.110[[#This Row],[Digested feed, mg]]*1000</f>
        <v>96.197802550845637</v>
      </c>
      <c r="AT288" s="94">
        <f>Table3.110[[#This Row],[CH4 24h, ml]]/'3.2 Digest'!AA288</f>
        <v>-0.22821338022812207</v>
      </c>
      <c r="AU288" s="94">
        <f>((Table3.110[[#This Row],[CH4 24h, ml]]/28.9)*16.04)/Table3.110[[#This Row],[DM Incubated, mg]]*1000</f>
        <v>14.602191798714719</v>
      </c>
      <c r="AV288" s="94">
        <f>((Table3.110[[#This Row],[CH4 24h, ml]]/28.9)*16.04)/Table3.110[[#This Row],[Digested feed, mg]]*1000</f>
        <v>53.391444737562765</v>
      </c>
    </row>
    <row r="289" spans="2:48" s="89" customFormat="1" x14ac:dyDescent="0.35">
      <c r="B289" s="90">
        <f t="shared" si="4"/>
        <v>279</v>
      </c>
      <c r="C289" s="140">
        <v>46076</v>
      </c>
      <c r="D289" s="8" t="s">
        <v>120</v>
      </c>
      <c r="E289" s="6" t="str">
        <f>'[1]1. Information samples'!$F$48</f>
        <v>Sample 8</v>
      </c>
      <c r="F289" s="6" t="s">
        <v>123</v>
      </c>
      <c r="G289" s="6" t="s">
        <v>545</v>
      </c>
      <c r="H289" s="6" t="str">
        <f>'[1]1. Information samples'!$I$48</f>
        <v xml:space="preserve">Cynodon nlemfuensis </v>
      </c>
      <c r="I289" s="6" t="s">
        <v>108</v>
      </c>
      <c r="J289" s="8" t="s">
        <v>109</v>
      </c>
      <c r="K289" s="6" t="s">
        <v>110</v>
      </c>
      <c r="L289" s="6" t="str">
        <f>'[1]1. Information samples'!$E$48</f>
        <v>F250008</v>
      </c>
      <c r="M289" s="119">
        <v>27</v>
      </c>
      <c r="N289" s="93">
        <v>69</v>
      </c>
      <c r="O289" s="6">
        <v>3</v>
      </c>
      <c r="P289" s="129">
        <v>1</v>
      </c>
      <c r="Q289" s="6">
        <v>141</v>
      </c>
      <c r="R289" s="98">
        <v>0.50039999999999996</v>
      </c>
      <c r="S289" s="94">
        <f>((Table3.110[[#This Row],[Sample weight, g]]*'2.1. DM'!Q75)/100)*1000</f>
        <v>468.12419999999992</v>
      </c>
      <c r="T289" s="94">
        <f>'3.2 Digest'!W289</f>
        <v>99.424199999999871</v>
      </c>
      <c r="U289" s="153">
        <v>0.33958333333333335</v>
      </c>
      <c r="V289" s="154">
        <v>41.5</v>
      </c>
      <c r="W289" s="153">
        <v>0.68333333333333335</v>
      </c>
      <c r="X289" s="91">
        <v>65.5</v>
      </c>
      <c r="Y289" s="91">
        <v>14.6</v>
      </c>
      <c r="Z289" s="154">
        <v>40</v>
      </c>
      <c r="AA289" s="153">
        <v>0.36249999999999999</v>
      </c>
      <c r="AB289" s="154">
        <v>84</v>
      </c>
      <c r="AC289" s="154">
        <v>16.100000000000001</v>
      </c>
      <c r="AD289" s="91"/>
      <c r="AE289" s="94">
        <f>Table3.110[[#This Row],[Gas 8h, ml]]-Table3.110[[#This Row],[Gas 0h, ml]]</f>
        <v>24</v>
      </c>
      <c r="AF289" s="94">
        <f>Table3.110[[#This Row],[Gas 24h, ml]]-Table3.110[[#This Row],[V8 Push back, ml]]</f>
        <v>44</v>
      </c>
      <c r="AG289" s="94">
        <f>Table3.110[[#This Row],[GP 8h, ml]]-(AVERAGE(AE$221,AE$222,AE$255,AE$256,AE$291,AE$292))*$AG$8</f>
        <v>22.524988739845064</v>
      </c>
      <c r="AH289" s="94">
        <f>Table3.110[[#This Row],[GP 8-24h, ml]]-(AVERAGE(AF$221,AF$222,AF$255,AF$256,AF$291,AF$292))*$AG$8</f>
        <v>42.00873479879084</v>
      </c>
      <c r="AI289" s="94">
        <f>Table3.110[[#This Row],[Net gas 8-24h, ml]]+Table3.110[[#This Row],[Net gas 8h, ml]]</f>
        <v>64.533723538635911</v>
      </c>
      <c r="AJ289" s="94">
        <f>Table3.110[[#This Row],[Net gas 8h, ml]]*Table3.110[[#This Row],[CH4 8h %]]%</f>
        <v>3.2886483560173789</v>
      </c>
      <c r="AK289" s="94">
        <f>Table3.110[[#This Row],[Net gas 8-24h, ml]]*Table3.110[[#This Row],[CH4 24h, %]]%</f>
        <v>6.7634063026053255</v>
      </c>
      <c r="AL289" s="94">
        <f>Table3.110[[#This Row],[CH4 8-24h, ml]]+Table3.110[[#This Row],[CH4 8h, ml]]</f>
        <v>10.052054658622705</v>
      </c>
      <c r="AM289" s="94">
        <f>(Table3.110[[#This Row],[Net gas 24h, ml]]/Table3.110[[#This Row],[DM Incubated, mg]])*1000</f>
        <v>137.85598680571508</v>
      </c>
      <c r="AN289" s="94">
        <f>'3.2 Digest'!X289</f>
        <v>21.238850715258874</v>
      </c>
      <c r="AO289" s="94">
        <f>Table3.110[[#This Row],[Digested feed, mg]]/Table3.110[[#This Row],[Net gas 24h, ml]]</f>
        <v>1.5406549405207537</v>
      </c>
      <c r="AP289" s="94">
        <f>Table3.110[[#This Row],[CH4 8h, ml]]/Table3.110[[#This Row],[Net gas 8h, ml]]%</f>
        <v>14.599999999999998</v>
      </c>
      <c r="AQ289" s="94">
        <f>Table3.110[[#This Row],[CH4 24h, ml]]/Table3.110[[#This Row],[Net gas 24h, ml]]%</f>
        <v>15.576436795258848</v>
      </c>
      <c r="AR289" s="94">
        <f>Table3.110[[#This Row],[CH4 24h, ml]]/Table3.110[[#This Row],[DM Incubated, mg]]*1000</f>
        <v>21.473050653272587</v>
      </c>
      <c r="AS289" s="94">
        <f>Table3.110[[#This Row],[CH4 24h, ml]]/Table3.110[[#This Row],[Digested feed, mg]]*1000</f>
        <v>101.10269590927277</v>
      </c>
      <c r="AT289" s="94">
        <f>Table3.110[[#This Row],[CH4 24h, ml]]/'3.2 Digest'!AA289</f>
        <v>-2.8745525999139896</v>
      </c>
      <c r="AU289" s="94">
        <f>((Table3.110[[#This Row],[CH4 24h, ml]]/28.9)*16.04)/Table3.110[[#This Row],[DM Incubated, mg]]*1000</f>
        <v>11.917914618632953</v>
      </c>
      <c r="AV289" s="94">
        <f>((Table3.110[[#This Row],[CH4 24h, ml]]/28.9)*16.04)/Table3.110[[#This Row],[Digested feed, mg]]*1000</f>
        <v>56.113745411236515</v>
      </c>
    </row>
    <row r="290" spans="2:48" s="89" customFormat="1" x14ac:dyDescent="0.35">
      <c r="B290" s="90">
        <f t="shared" si="4"/>
        <v>280</v>
      </c>
      <c r="C290" s="140">
        <v>46076</v>
      </c>
      <c r="D290" s="8" t="s">
        <v>120</v>
      </c>
      <c r="E290" s="6" t="str">
        <f>'[1]1. Information samples'!$F$48</f>
        <v>Sample 8</v>
      </c>
      <c r="F290" s="6" t="s">
        <v>123</v>
      </c>
      <c r="G290" s="6" t="s">
        <v>545</v>
      </c>
      <c r="H290" s="6" t="str">
        <f>'[1]1. Information samples'!$I$48</f>
        <v xml:space="preserve">Cynodon nlemfuensis </v>
      </c>
      <c r="I290" s="6" t="s">
        <v>108</v>
      </c>
      <c r="J290" s="8" t="s">
        <v>109</v>
      </c>
      <c r="K290" s="6" t="s">
        <v>110</v>
      </c>
      <c r="L290" s="6" t="str">
        <f>'[1]1. Information samples'!$E$48</f>
        <v>F250008</v>
      </c>
      <c r="M290" s="119">
        <v>27</v>
      </c>
      <c r="N290" s="93">
        <v>69</v>
      </c>
      <c r="O290" s="6">
        <v>3</v>
      </c>
      <c r="P290" s="129">
        <v>2</v>
      </c>
      <c r="Q290" s="6">
        <v>142</v>
      </c>
      <c r="R290" s="98">
        <v>0.50019999999999998</v>
      </c>
      <c r="S290" s="94">
        <f>((Table3.110[[#This Row],[Sample weight, g]]*'2.1. DM'!Q75)/100)*1000</f>
        <v>467.93709999999999</v>
      </c>
      <c r="T290" s="94">
        <f>'3.2 Digest'!W290</f>
        <v>94.537099999999896</v>
      </c>
      <c r="U290" s="117">
        <v>0.33958333333333335</v>
      </c>
      <c r="V290" s="155">
        <v>40.5</v>
      </c>
      <c r="W290" s="117">
        <v>0.68402777777777779</v>
      </c>
      <c r="X290" s="96">
        <v>64.5</v>
      </c>
      <c r="Y290" s="96">
        <v>15.4</v>
      </c>
      <c r="Z290" s="155">
        <v>40</v>
      </c>
      <c r="AA290" s="117">
        <v>0.36319444444444443</v>
      </c>
      <c r="AB290" s="155">
        <v>83</v>
      </c>
      <c r="AC290" s="155">
        <v>16.2</v>
      </c>
      <c r="AD290" s="96"/>
      <c r="AE290" s="94">
        <f>Table3.110[[#This Row],[Gas 8h, ml]]-Table3.110[[#This Row],[Gas 0h, ml]]</f>
        <v>24</v>
      </c>
      <c r="AF290" s="94">
        <f>Table3.110[[#This Row],[Gas 24h, ml]]-Table3.110[[#This Row],[V8 Push back, ml]]</f>
        <v>43</v>
      </c>
      <c r="AG290" s="94">
        <f>Table3.110[[#This Row],[GP 8h, ml]]-(AVERAGE(AE$221,AE$222,AE$255,AE$256,AE$291,AE$292))*$AG$8</f>
        <v>22.524988739845064</v>
      </c>
      <c r="AH290" s="94">
        <f>Table3.110[[#This Row],[GP 8-24h, ml]]-(AVERAGE(AF$221,AF$222,AF$255,AF$256,AF$291,AF$292))*$AG$8</f>
        <v>41.00873479879084</v>
      </c>
      <c r="AI290" s="94">
        <f>Table3.110[[#This Row],[Net gas 8-24h, ml]]+Table3.110[[#This Row],[Net gas 8h, ml]]</f>
        <v>63.533723538635904</v>
      </c>
      <c r="AJ290" s="94">
        <f>Table3.110[[#This Row],[Net gas 8h, ml]]*Table3.110[[#This Row],[CH4 8h %]]%</f>
        <v>3.4688482659361397</v>
      </c>
      <c r="AK290" s="94">
        <f>Table3.110[[#This Row],[Net gas 8-24h, ml]]*Table3.110[[#This Row],[CH4 24h, %]]%</f>
        <v>6.6434150374041163</v>
      </c>
      <c r="AL290" s="94">
        <f>Table3.110[[#This Row],[CH4 8-24h, ml]]+Table3.110[[#This Row],[CH4 8h, ml]]</f>
        <v>10.112263303340256</v>
      </c>
      <c r="AM290" s="94">
        <f>(Table3.110[[#This Row],[Net gas 24h, ml]]/Table3.110[[#This Row],[DM Incubated, mg]])*1000</f>
        <v>135.77406779380371</v>
      </c>
      <c r="AN290" s="94">
        <f>'3.2 Digest'!X290</f>
        <v>20.202950353797529</v>
      </c>
      <c r="AO290" s="94">
        <f>Table3.110[[#This Row],[Digested feed, mg]]/Table3.110[[#This Row],[Net gas 24h, ml]]</f>
        <v>1.4879829913087075</v>
      </c>
      <c r="AP290" s="94">
        <f>Table3.110[[#This Row],[CH4 8h, ml]]/Table3.110[[#This Row],[Net gas 8h, ml]]%</f>
        <v>15.399999999999999</v>
      </c>
      <c r="AQ290" s="94">
        <f>Table3.110[[#This Row],[CH4 24h, ml]]/Table3.110[[#This Row],[Net gas 24h, ml]]%</f>
        <v>15.916371243676318</v>
      </c>
      <c r="AR290" s="94">
        <f>Table3.110[[#This Row],[CH4 24h, ml]]/Table3.110[[#This Row],[DM Incubated, mg]]*1000</f>
        <v>21.610304682702562</v>
      </c>
      <c r="AS290" s="94">
        <f>Table3.110[[#This Row],[CH4 24h, ml]]/Table3.110[[#This Row],[Digested feed, mg]]*1000</f>
        <v>106.96608319210412</v>
      </c>
      <c r="AT290" s="94">
        <f>Table3.110[[#This Row],[CH4 24h, ml]]/'3.2 Digest'!AA290</f>
        <v>-2.0815063659603523</v>
      </c>
      <c r="AU290" s="94">
        <f>((Table3.110[[#This Row],[CH4 24h, ml]]/28.9)*16.04)/Table3.110[[#This Row],[DM Incubated, mg]]*1000</f>
        <v>11.994092979603774</v>
      </c>
      <c r="AV290" s="94">
        <f>((Table3.110[[#This Row],[CH4 24h, ml]]/28.9)*16.04)/Table3.110[[#This Row],[Digested feed, mg]]*1000</f>
        <v>59.36802679589448</v>
      </c>
    </row>
    <row r="291" spans="2:48" s="89" customFormat="1" x14ac:dyDescent="0.35">
      <c r="B291" s="90">
        <f t="shared" si="4"/>
        <v>281</v>
      </c>
      <c r="C291" s="143">
        <v>46076</v>
      </c>
      <c r="D291" s="92"/>
      <c r="E291" s="124" t="s">
        <v>553</v>
      </c>
      <c r="F291" s="6" t="s">
        <v>554</v>
      </c>
      <c r="G291" s="6">
        <v>24</v>
      </c>
      <c r="H291" s="124" t="s">
        <v>553</v>
      </c>
      <c r="I291" s="6"/>
      <c r="J291" s="8"/>
      <c r="K291" s="6"/>
      <c r="L291" s="124" t="s">
        <v>553</v>
      </c>
      <c r="M291" s="119">
        <v>27</v>
      </c>
      <c r="N291" s="93">
        <v>69</v>
      </c>
      <c r="O291" s="124">
        <v>3</v>
      </c>
      <c r="P291" s="146">
        <v>1</v>
      </c>
      <c r="Q291" s="124">
        <v>143</v>
      </c>
      <c r="R291" s="148"/>
      <c r="S291" s="94"/>
      <c r="T291" s="94">
        <f>'3.2 Digest'!W291</f>
        <v>0</v>
      </c>
      <c r="U291" s="151">
        <v>0.33958333333333335</v>
      </c>
      <c r="V291" s="152">
        <v>39.5</v>
      </c>
      <c r="W291" s="151">
        <v>0.68402777777777779</v>
      </c>
      <c r="X291" s="164">
        <v>41.5</v>
      </c>
      <c r="Y291" s="164"/>
      <c r="Z291" s="152">
        <v>40</v>
      </c>
      <c r="AA291" s="151">
        <v>0.36319444444444443</v>
      </c>
      <c r="AB291" s="152">
        <v>42</v>
      </c>
      <c r="AC291" s="152"/>
      <c r="AD291" s="164"/>
      <c r="AE291" s="94">
        <f>Table3.110[[#This Row],[Gas 8h, ml]]-Table3.110[[#This Row],[Gas 0h, ml]]</f>
        <v>2</v>
      </c>
      <c r="AF291" s="94">
        <f>Table3.110[[#This Row],[Gas 24h, ml]]-Table3.110[[#This Row],[V8 Push back, ml]]</f>
        <v>2</v>
      </c>
      <c r="AG291" s="94"/>
      <c r="AH291" s="94"/>
      <c r="AI291" s="94"/>
      <c r="AJ291" s="94"/>
      <c r="AK291" s="94"/>
      <c r="AL291" s="94"/>
      <c r="AM291" s="94"/>
      <c r="AN291" s="94"/>
      <c r="AO291" s="94"/>
      <c r="AP291" s="94"/>
      <c r="AQ291" s="94"/>
      <c r="AR291" s="94"/>
      <c r="AS291" s="94"/>
      <c r="AT291" s="94"/>
      <c r="AU291" s="94"/>
      <c r="AV291" s="94"/>
    </row>
    <row r="292" spans="2:48" s="89" customFormat="1" x14ac:dyDescent="0.35">
      <c r="B292" s="90">
        <f t="shared" si="4"/>
        <v>282</v>
      </c>
      <c r="C292" s="143">
        <v>46076</v>
      </c>
      <c r="D292" s="92"/>
      <c r="E292" s="124" t="s">
        <v>553</v>
      </c>
      <c r="F292" s="6" t="s">
        <v>554</v>
      </c>
      <c r="G292" s="6">
        <v>24</v>
      </c>
      <c r="H292" s="124" t="s">
        <v>553</v>
      </c>
      <c r="I292" s="6"/>
      <c r="J292" s="8"/>
      <c r="K292" s="6"/>
      <c r="L292" s="124" t="s">
        <v>553</v>
      </c>
      <c r="M292" s="119">
        <v>27</v>
      </c>
      <c r="N292" s="93">
        <v>69</v>
      </c>
      <c r="O292" s="124">
        <v>3</v>
      </c>
      <c r="P292" s="146">
        <v>2</v>
      </c>
      <c r="Q292" s="124">
        <v>144</v>
      </c>
      <c r="R292" s="148"/>
      <c r="S292" s="94"/>
      <c r="T292" s="94">
        <f>'3.2 Digest'!W292</f>
        <v>0</v>
      </c>
      <c r="U292" s="151">
        <v>0.33958333333333335</v>
      </c>
      <c r="V292" s="152">
        <v>40</v>
      </c>
      <c r="W292" s="151">
        <v>0.68472222222222223</v>
      </c>
      <c r="X292" s="164">
        <v>42</v>
      </c>
      <c r="Y292" s="164"/>
      <c r="Z292" s="152">
        <v>40</v>
      </c>
      <c r="AA292" s="151">
        <v>0.36319444444444443</v>
      </c>
      <c r="AB292" s="152">
        <v>43</v>
      </c>
      <c r="AC292" s="152"/>
      <c r="AD292" s="164"/>
      <c r="AE292" s="94">
        <f>Table3.110[[#This Row],[Gas 8h, ml]]-Table3.110[[#This Row],[Gas 0h, ml]]</f>
        <v>2</v>
      </c>
      <c r="AF292" s="94">
        <f>Table3.110[[#This Row],[Gas 24h, ml]]-Table3.110[[#This Row],[V8 Push back, ml]]</f>
        <v>3</v>
      </c>
      <c r="AG292" s="94"/>
      <c r="AH292" s="94"/>
      <c r="AI292" s="94"/>
      <c r="AJ292" s="94"/>
      <c r="AK292" s="94"/>
      <c r="AL292" s="94"/>
      <c r="AM292" s="94"/>
      <c r="AN292" s="94"/>
      <c r="AO292" s="94"/>
      <c r="AP292" s="94"/>
      <c r="AQ292" s="94"/>
      <c r="AR292" s="94"/>
      <c r="AS292" s="94"/>
      <c r="AT292" s="94"/>
      <c r="AU292" s="94"/>
      <c r="AV292" s="94"/>
    </row>
    <row r="293" spans="2:48" s="89" customFormat="1" x14ac:dyDescent="0.35">
      <c r="B293" s="90">
        <f t="shared" si="4"/>
        <v>283</v>
      </c>
      <c r="C293" s="142">
        <v>46048</v>
      </c>
      <c r="D293" s="92"/>
      <c r="E293" s="145" t="s">
        <v>537</v>
      </c>
      <c r="F293" s="133" t="s">
        <v>538</v>
      </c>
      <c r="G293" s="133">
        <v>24</v>
      </c>
      <c r="H293" s="183" t="s">
        <v>537</v>
      </c>
      <c r="I293" s="187"/>
      <c r="J293" s="188"/>
      <c r="K293" s="183"/>
      <c r="L293" s="145" t="s">
        <v>539</v>
      </c>
      <c r="M293" s="93">
        <v>28</v>
      </c>
      <c r="N293" s="93">
        <v>60</v>
      </c>
      <c r="O293" s="124">
        <v>1</v>
      </c>
      <c r="P293" s="124">
        <v>1</v>
      </c>
      <c r="Q293" s="124">
        <v>211</v>
      </c>
      <c r="R293" s="147"/>
      <c r="S293" s="110"/>
      <c r="T293" s="94">
        <f>'3.2 Digest'!W293</f>
        <v>0</v>
      </c>
      <c r="U293" s="149">
        <v>0.33680555555555558</v>
      </c>
      <c r="V293" s="150">
        <v>39.5</v>
      </c>
      <c r="W293" s="149">
        <v>0.67083333333333328</v>
      </c>
      <c r="X293" s="161">
        <v>41.5</v>
      </c>
      <c r="Y293" s="161"/>
      <c r="Z293" s="150">
        <v>40</v>
      </c>
      <c r="AA293" s="149">
        <v>0.33680555555555558</v>
      </c>
      <c r="AB293" s="150">
        <v>42.5</v>
      </c>
      <c r="AC293" s="150"/>
      <c r="AD293" s="163"/>
      <c r="AE293" s="94">
        <f>Table3.110[[#This Row],[Gas 8h, ml]]-Table3.110[[#This Row],[Gas 0h, ml]]</f>
        <v>2</v>
      </c>
      <c r="AF293" s="94">
        <f>Table3.110[[#This Row],[Gas 24h, ml]]-Table3.110[[#This Row],[V8 Push back, ml]]</f>
        <v>2.5</v>
      </c>
      <c r="AG293" s="94"/>
      <c r="AH293" s="94"/>
      <c r="AI293" s="94"/>
      <c r="AJ293" s="94"/>
      <c r="AK293" s="94"/>
      <c r="AL293" s="94"/>
      <c r="AM293" s="94"/>
      <c r="AN293" s="94"/>
      <c r="AO293" s="94"/>
      <c r="AP293" s="94"/>
      <c r="AQ293" s="94"/>
      <c r="AR293" s="94"/>
      <c r="AS293" s="94"/>
      <c r="AT293" s="94"/>
      <c r="AU293" s="94"/>
      <c r="AV293" s="94"/>
    </row>
    <row r="294" spans="2:48" s="89" customFormat="1" x14ac:dyDescent="0.35">
      <c r="B294" s="90">
        <f t="shared" si="4"/>
        <v>284</v>
      </c>
      <c r="C294" s="143">
        <v>46048</v>
      </c>
      <c r="D294" s="92"/>
      <c r="E294" s="145" t="s">
        <v>537</v>
      </c>
      <c r="F294" s="133" t="s">
        <v>538</v>
      </c>
      <c r="G294" s="133">
        <v>24</v>
      </c>
      <c r="H294" s="183" t="s">
        <v>537</v>
      </c>
      <c r="I294" s="187"/>
      <c r="J294" s="188"/>
      <c r="K294" s="183"/>
      <c r="L294" s="145" t="s">
        <v>539</v>
      </c>
      <c r="M294" s="93">
        <v>28</v>
      </c>
      <c r="N294" s="93">
        <v>60</v>
      </c>
      <c r="O294" s="124">
        <v>1</v>
      </c>
      <c r="P294" s="146">
        <v>2</v>
      </c>
      <c r="Q294" s="124">
        <v>212</v>
      </c>
      <c r="R294" s="147"/>
      <c r="S294" s="110"/>
      <c r="T294" s="94">
        <f>'3.2 Digest'!W294</f>
        <v>0</v>
      </c>
      <c r="U294" s="151">
        <v>0.33750000000000002</v>
      </c>
      <c r="V294" s="152">
        <v>39.5</v>
      </c>
      <c r="W294" s="151">
        <v>0.67083333333333328</v>
      </c>
      <c r="X294" s="162">
        <v>41.5</v>
      </c>
      <c r="Y294" s="162"/>
      <c r="Z294" s="152">
        <v>40</v>
      </c>
      <c r="AA294" s="151">
        <v>0.33750000000000002</v>
      </c>
      <c r="AB294" s="152">
        <v>42.5</v>
      </c>
      <c r="AC294" s="152"/>
      <c r="AD294" s="164"/>
      <c r="AE294" s="94">
        <f>Table3.110[[#This Row],[Gas 8h, ml]]-Table3.110[[#This Row],[Gas 0h, ml]]</f>
        <v>2</v>
      </c>
      <c r="AF294" s="94">
        <f>Table3.110[[#This Row],[Gas 24h, ml]]-Table3.110[[#This Row],[V8 Push back, ml]]</f>
        <v>2.5</v>
      </c>
      <c r="AG294" s="94"/>
      <c r="AH294" s="94"/>
      <c r="AI294" s="94"/>
      <c r="AJ294" s="94"/>
      <c r="AK294" s="94"/>
      <c r="AL294" s="94"/>
      <c r="AM294" s="94"/>
      <c r="AN294" s="94"/>
      <c r="AO294" s="94"/>
      <c r="AP294" s="94"/>
      <c r="AQ294" s="94"/>
      <c r="AR294" s="94"/>
      <c r="AS294" s="94"/>
      <c r="AT294" s="94"/>
      <c r="AU294" s="94"/>
      <c r="AV294" s="94"/>
    </row>
    <row r="295" spans="2:48" s="89" customFormat="1" x14ac:dyDescent="0.35">
      <c r="B295" s="90">
        <f t="shared" si="4"/>
        <v>285</v>
      </c>
      <c r="C295" s="139">
        <v>46048</v>
      </c>
      <c r="D295" s="6" t="s">
        <v>16</v>
      </c>
      <c r="E295" s="6" t="s">
        <v>128</v>
      </c>
      <c r="F295" s="133" t="s">
        <v>129</v>
      </c>
      <c r="G295" s="133" t="s">
        <v>130</v>
      </c>
      <c r="H295" s="133" t="s">
        <v>131</v>
      </c>
      <c r="I295" s="133" t="s">
        <v>22</v>
      </c>
      <c r="J295" s="135" t="s">
        <v>23</v>
      </c>
      <c r="K295" s="135" t="s">
        <v>24</v>
      </c>
      <c r="L295" s="6" t="s">
        <v>127</v>
      </c>
      <c r="M295" s="93">
        <v>28</v>
      </c>
      <c r="N295" s="93">
        <v>60</v>
      </c>
      <c r="O295" s="6">
        <v>1</v>
      </c>
      <c r="P295" s="129">
        <v>1</v>
      </c>
      <c r="Q295" s="6">
        <v>213</v>
      </c>
      <c r="R295" s="98">
        <v>0.50029999999999997</v>
      </c>
      <c r="S295" s="110">
        <f>((Table3.110[[#This Row],[Sample weight, g]]*'2.1. DM'!Q77)/100)*1000</f>
        <v>473.2195871651341</v>
      </c>
      <c r="T295" s="94">
        <f>'3.2 Digest'!W295</f>
        <v>271.51958716513411</v>
      </c>
      <c r="U295" s="153">
        <v>0.34236111111111112</v>
      </c>
      <c r="V295" s="154">
        <v>39</v>
      </c>
      <c r="W295" s="153">
        <v>0.67083333333333328</v>
      </c>
      <c r="X295" s="95">
        <v>65.5</v>
      </c>
      <c r="Y295" s="95">
        <v>13.2</v>
      </c>
      <c r="Z295" s="154">
        <v>38.5</v>
      </c>
      <c r="AA295" s="153">
        <v>0.33888888888888891</v>
      </c>
      <c r="AB295" s="154">
        <v>79.5</v>
      </c>
      <c r="AC295" s="154">
        <v>13.6</v>
      </c>
      <c r="AD295" s="91" t="s">
        <v>555</v>
      </c>
      <c r="AE295" s="94">
        <f>Table3.110[[#This Row],[Gas 8h, ml]]-Table3.110[[#This Row],[Gas 0h, ml]]</f>
        <v>26.5</v>
      </c>
      <c r="AF295" s="94">
        <f>Table3.110[[#This Row],[Gas 24h, ml]]-Table3.110[[#This Row],[V8 Push back, ml]]</f>
        <v>41</v>
      </c>
      <c r="AG295" s="94">
        <f>Table3.110[[#This Row],[GP 8h, ml]]-(AVERAGE(AE$293,AE$294,AE$385,AE$386,AE$477,AE$478))*$AG$8</f>
        <v>25.246240428868305</v>
      </c>
      <c r="AH295" s="94">
        <f>Table3.110[[#This Row],[GP 8-24h, ml]]-(AVERAGE(AF$293,AF$294,AF$385,AF$386,AF$477,AF$478))*$AG$8</f>
        <v>39.00873479879084</v>
      </c>
      <c r="AI295" s="94">
        <f>Table3.110[[#This Row],[Net gas 8-24h, ml]]+Table3.110[[#This Row],[Net gas 8h, ml]]</f>
        <v>64.254975227659145</v>
      </c>
      <c r="AJ295" s="94">
        <f>Table3.110[[#This Row],[Net gas 8h, ml]]*Table3.110[[#This Row],[CH4 8h %]]%</f>
        <v>3.3325037366106165</v>
      </c>
      <c r="AK295" s="94">
        <f>Table3.110[[#This Row],[Net gas 8-24h, ml]]*Table3.110[[#This Row],[CH4 24h, %]]%</f>
        <v>5.3051879326355547</v>
      </c>
      <c r="AL295" s="94">
        <f>Table3.110[[#This Row],[CH4 8-24h, ml]]+Table3.110[[#This Row],[CH4 8h, ml]]</f>
        <v>8.6376916692461716</v>
      </c>
      <c r="AM295" s="94">
        <f>(Table3.110[[#This Row],[Net gas 24h, ml]]/Table3.110[[#This Row],[DM Incubated, mg]])*1000</f>
        <v>135.78257741312979</v>
      </c>
      <c r="AN295" s="94">
        <f>'3.2 Digest'!X295</f>
        <v>57.377081280954037</v>
      </c>
      <c r="AO295" s="94">
        <f>Table3.110[[#This Row],[Digested feed, mg]]/Table3.110[[#This Row],[Net gas 24h, ml]]</f>
        <v>4.2256585766802379</v>
      </c>
      <c r="AP295" s="94">
        <f>Table3.110[[#This Row],[CH4 8h, ml]]/Table3.110[[#This Row],[Net gas 8h, ml]]%</f>
        <v>13.200000000000001</v>
      </c>
      <c r="AQ295" s="94">
        <f>Table3.110[[#This Row],[CH4 24h, ml]]/Table3.110[[#This Row],[Net gas 24h, ml]]%</f>
        <v>13.442837132287924</v>
      </c>
      <c r="AR295" s="94">
        <f>Table3.110[[#This Row],[CH4 24h, ml]]/Table3.110[[#This Row],[DM Incubated, mg]]*1000</f>
        <v>18.25303073566981</v>
      </c>
      <c r="AS295" s="94">
        <f>Table3.110[[#This Row],[CH4 24h, ml]]/Table3.110[[#This Row],[Digested feed, mg]]*1000</f>
        <v>31.812407198427483</v>
      </c>
      <c r="AT295" s="94">
        <f>Table3.110[[#This Row],[CH4 24h, ml]]/'3.2 Digest'!AA295</f>
        <v>0.47997322605111531</v>
      </c>
      <c r="AU295" s="94">
        <f>((Table3.110[[#This Row],[CH4 24h, ml]]/28.9)*16.04)/Table3.110[[#This Row],[DM Incubated, mg]]*1000</f>
        <v>10.130747854676255</v>
      </c>
      <c r="AV295" s="94">
        <f>((Table3.110[[#This Row],[CH4 24h, ml]]/28.9)*16.04)/Table3.110[[#This Row],[Digested feed, mg]]*1000</f>
        <v>17.656436382795047</v>
      </c>
    </row>
    <row r="296" spans="2:48" s="89" customFormat="1" x14ac:dyDescent="0.35">
      <c r="B296" s="90">
        <f t="shared" si="4"/>
        <v>286</v>
      </c>
      <c r="C296" s="140">
        <v>46048</v>
      </c>
      <c r="D296" s="6" t="s">
        <v>16</v>
      </c>
      <c r="E296" s="6" t="s">
        <v>128</v>
      </c>
      <c r="F296" s="133" t="s">
        <v>129</v>
      </c>
      <c r="G296" s="133" t="s">
        <v>130</v>
      </c>
      <c r="H296" s="133" t="s">
        <v>131</v>
      </c>
      <c r="I296" s="133" t="s">
        <v>22</v>
      </c>
      <c r="J296" s="135" t="s">
        <v>23</v>
      </c>
      <c r="K296" s="135" t="s">
        <v>24</v>
      </c>
      <c r="L296" s="6" t="s">
        <v>127</v>
      </c>
      <c r="M296" s="93">
        <v>28</v>
      </c>
      <c r="N296" s="93">
        <v>60</v>
      </c>
      <c r="O296" s="6">
        <v>1</v>
      </c>
      <c r="P296" s="6">
        <v>2</v>
      </c>
      <c r="Q296" s="6">
        <v>214</v>
      </c>
      <c r="R296" s="98">
        <v>0.50060000000000004</v>
      </c>
      <c r="S296" s="94">
        <f>((Table3.110[[#This Row],[Sample weight, g]]*'2.1. DM'!Q77)/100)*1000</f>
        <v>473.50334866053606</v>
      </c>
      <c r="T296" s="94">
        <f>'3.2 Digest'!W296</f>
        <v>279.00334866053606</v>
      </c>
      <c r="U296" s="117">
        <v>0.34305555555555556</v>
      </c>
      <c r="V296" s="155">
        <v>41.5</v>
      </c>
      <c r="W296" s="117">
        <v>0.67152777777777772</v>
      </c>
      <c r="X296" s="97">
        <v>70.5</v>
      </c>
      <c r="Y296" s="97">
        <v>12.9</v>
      </c>
      <c r="Z296" s="155">
        <v>41</v>
      </c>
      <c r="AA296" s="117">
        <v>0.33888888888888891</v>
      </c>
      <c r="AB296" s="155">
        <v>82.5</v>
      </c>
      <c r="AC296" s="155">
        <v>14.3</v>
      </c>
      <c r="AD296" s="96"/>
      <c r="AE296" s="94">
        <f>Table3.110[[#This Row],[Gas 8h, ml]]-Table3.110[[#This Row],[Gas 0h, ml]]</f>
        <v>29</v>
      </c>
      <c r="AF296" s="94">
        <f>Table3.110[[#This Row],[Gas 24h, ml]]-Table3.110[[#This Row],[V8 Push back, ml]]</f>
        <v>41.5</v>
      </c>
      <c r="AG296" s="94">
        <f>Table3.110[[#This Row],[GP 8h, ml]]-(AVERAGE(AE$293,AE$294,AE$385,AE$386,AE$477,AE$478))*$AG$8</f>
        <v>27.746240428868305</v>
      </c>
      <c r="AH296" s="94">
        <f>Table3.110[[#This Row],[GP 8-24h, ml]]-(AVERAGE(AF$293,AF$294,AF$385,AF$386,AF$477,AF$478))*$AG$8</f>
        <v>39.50873479879084</v>
      </c>
      <c r="AI296" s="94">
        <f>Table3.110[[#This Row],[Net gas 8-24h, ml]]+Table3.110[[#This Row],[Net gas 8h, ml]]</f>
        <v>67.254975227659145</v>
      </c>
      <c r="AJ296" s="94">
        <f>Table3.110[[#This Row],[Net gas 8h, ml]]*Table3.110[[#This Row],[CH4 8h %]]%</f>
        <v>3.5792650153240113</v>
      </c>
      <c r="AK296" s="94">
        <f>Table3.110[[#This Row],[Net gas 8-24h, ml]]*Table3.110[[#This Row],[CH4 24h, %]]%</f>
        <v>5.6497490762270912</v>
      </c>
      <c r="AL296" s="94">
        <f>Table3.110[[#This Row],[CH4 8-24h, ml]]+Table3.110[[#This Row],[CH4 8h, ml]]</f>
        <v>9.2290140915511021</v>
      </c>
      <c r="AM296" s="94">
        <f>(Table3.110[[#This Row],[Net gas 24h, ml]]/Table3.110[[#This Row],[DM Incubated, mg]])*1000</f>
        <v>142.03695796009157</v>
      </c>
      <c r="AN296" s="94">
        <f>'3.2 Digest'!X296</f>
        <v>58.923204967777131</v>
      </c>
      <c r="AO296" s="94">
        <f>Table3.110[[#This Row],[Digested feed, mg]]/Table3.110[[#This Row],[Net gas 24h, ml]]</f>
        <v>4.1484417727626148</v>
      </c>
      <c r="AP296" s="94">
        <f>Table3.110[[#This Row],[CH4 8h, ml]]/Table3.110[[#This Row],[Net gas 8h, ml]]%</f>
        <v>12.899999999999999</v>
      </c>
      <c r="AQ296" s="94">
        <f>Table3.110[[#This Row],[CH4 24h, ml]]/Table3.110[[#This Row],[Net gas 24h, ml]]%</f>
        <v>13.722425828439823</v>
      </c>
      <c r="AR296" s="94">
        <f>Table3.110[[#This Row],[CH4 24h, ml]]/Table3.110[[#This Row],[DM Incubated, mg]]*1000</f>
        <v>19.490916205045817</v>
      </c>
      <c r="AS296" s="94">
        <f>Table3.110[[#This Row],[CH4 24h, ml]]/Table3.110[[#This Row],[Digested feed, mg]]*1000</f>
        <v>33.078506533554418</v>
      </c>
      <c r="AT296" s="94">
        <f>Table3.110[[#This Row],[CH4 24h, ml]]/'3.2 Digest'!AA296</f>
        <v>0.44008797250395637</v>
      </c>
      <c r="AU296" s="94">
        <f>((Table3.110[[#This Row],[CH4 24h, ml]]/28.9)*16.04)/Table3.110[[#This Row],[DM Incubated, mg]]*1000</f>
        <v>10.817795706883562</v>
      </c>
      <c r="AV296" s="94">
        <f>((Table3.110[[#This Row],[CH4 24h, ml]]/28.9)*16.04)/Table3.110[[#This Row],[Digested feed, mg]]*1000</f>
        <v>18.35914341862328</v>
      </c>
    </row>
    <row r="297" spans="2:48" s="89" customFormat="1" x14ac:dyDescent="0.35">
      <c r="B297" s="90">
        <f t="shared" si="4"/>
        <v>287</v>
      </c>
      <c r="C297" s="139">
        <v>46048</v>
      </c>
      <c r="D297" s="6" t="s">
        <v>16</v>
      </c>
      <c r="E297" s="6" t="s">
        <v>128</v>
      </c>
      <c r="F297" s="133" t="s">
        <v>129</v>
      </c>
      <c r="G297" s="133" t="s">
        <v>130</v>
      </c>
      <c r="H297" s="133" t="s">
        <v>131</v>
      </c>
      <c r="I297" s="133" t="s">
        <v>22</v>
      </c>
      <c r="J297" s="135" t="s">
        <v>23</v>
      </c>
      <c r="K297" s="135" t="s">
        <v>24</v>
      </c>
      <c r="L297" s="6" t="s">
        <v>127</v>
      </c>
      <c r="M297" s="93">
        <v>28</v>
      </c>
      <c r="N297" s="93">
        <v>60</v>
      </c>
      <c r="O297" s="6">
        <v>1</v>
      </c>
      <c r="P297" s="129">
        <v>3</v>
      </c>
      <c r="Q297" s="6">
        <v>215</v>
      </c>
      <c r="R297" s="98">
        <v>0.50060000000000004</v>
      </c>
      <c r="S297" s="94">
        <f>((Table3.110[[#This Row],[Sample weight, g]]*'2.1. DM'!Q77)/100)*1000</f>
        <v>473.50334866053606</v>
      </c>
      <c r="T297" s="94">
        <f>'3.2 Digest'!W297</f>
        <v>281.70334866053611</v>
      </c>
      <c r="U297" s="153">
        <v>0.34375</v>
      </c>
      <c r="V297" s="154">
        <v>41.5</v>
      </c>
      <c r="W297" s="153">
        <v>0.67152777777777772</v>
      </c>
      <c r="X297" s="95">
        <v>70</v>
      </c>
      <c r="Y297" s="95">
        <v>12.9</v>
      </c>
      <c r="Z297" s="154">
        <v>40.5</v>
      </c>
      <c r="AA297" s="153">
        <v>0.33958333333333335</v>
      </c>
      <c r="AB297" s="154">
        <v>83.5</v>
      </c>
      <c r="AC297" s="154">
        <v>14.6</v>
      </c>
      <c r="AD297" s="91"/>
      <c r="AE297" s="94">
        <f>Table3.110[[#This Row],[Gas 8h, ml]]-Table3.110[[#This Row],[Gas 0h, ml]]</f>
        <v>28.5</v>
      </c>
      <c r="AF297" s="94">
        <f>Table3.110[[#This Row],[Gas 24h, ml]]-Table3.110[[#This Row],[V8 Push back, ml]]</f>
        <v>43</v>
      </c>
      <c r="AG297" s="94">
        <f>Table3.110[[#This Row],[GP 8h, ml]]-(AVERAGE(AE$293,AE$294,AE$385,AE$386,AE$477,AE$478))*$AG$8</f>
        <v>27.246240428868305</v>
      </c>
      <c r="AH297" s="94">
        <f>Table3.110[[#This Row],[GP 8-24h, ml]]-(AVERAGE(AF$293,AF$294,AF$385,AF$386,AF$477,AF$478))*$AG$8</f>
        <v>41.00873479879084</v>
      </c>
      <c r="AI297" s="94">
        <f>Table3.110[[#This Row],[Net gas 8-24h, ml]]+Table3.110[[#This Row],[Net gas 8h, ml]]</f>
        <v>68.254975227659145</v>
      </c>
      <c r="AJ297" s="94">
        <f>Table3.110[[#This Row],[Net gas 8h, ml]]*Table3.110[[#This Row],[CH4 8h %]]%</f>
        <v>3.5147650153240115</v>
      </c>
      <c r="AK297" s="94">
        <f>Table3.110[[#This Row],[Net gas 8-24h, ml]]*Table3.110[[#This Row],[CH4 24h, %]]%</f>
        <v>5.9872752806234626</v>
      </c>
      <c r="AL297" s="94">
        <f>Table3.110[[#This Row],[CH4 8-24h, ml]]+Table3.110[[#This Row],[CH4 8h, ml]]</f>
        <v>9.5020402959474737</v>
      </c>
      <c r="AM297" s="94">
        <f>(Table3.110[[#This Row],[Net gas 24h, ml]]/Table3.110[[#This Row],[DM Incubated, mg]])*1000</f>
        <v>144.14887544246807</v>
      </c>
      <c r="AN297" s="94">
        <f>'3.2 Digest'!X297</f>
        <v>59.493422688018796</v>
      </c>
      <c r="AO297" s="94">
        <f>Table3.110[[#This Row],[Digested feed, mg]]/Table3.110[[#This Row],[Net gas 24h, ml]]</f>
        <v>4.127220729638192</v>
      </c>
      <c r="AP297" s="94">
        <f>Table3.110[[#This Row],[CH4 8h, ml]]/Table3.110[[#This Row],[Net gas 8h, ml]]%</f>
        <v>12.9</v>
      </c>
      <c r="AQ297" s="94">
        <f>Table3.110[[#This Row],[CH4 24h, ml]]/Table3.110[[#This Row],[Net gas 24h, ml]]%</f>
        <v>13.921388535054273</v>
      </c>
      <c r="AR297" s="94">
        <f>Table3.110[[#This Row],[CH4 24h, ml]]/Table3.110[[#This Row],[DM Incubated, mg]]*1000</f>
        <v>20.067525019257413</v>
      </c>
      <c r="AS297" s="94">
        <f>Table3.110[[#This Row],[CH4 24h, ml]]/Table3.110[[#This Row],[Digested feed, mg]]*1000</f>
        <v>33.73066149596189</v>
      </c>
      <c r="AT297" s="94">
        <f>Table3.110[[#This Row],[CH4 24h, ml]]/'3.2 Digest'!AA297</f>
        <v>0.43058194955948853</v>
      </c>
      <c r="AU297" s="94">
        <f>((Table3.110[[#This Row],[CH4 24h, ml]]/28.9)*16.04)/Table3.110[[#This Row],[DM Incubated, mg]]*1000</f>
        <v>11.13782357470204</v>
      </c>
      <c r="AV297" s="94">
        <f>((Table3.110[[#This Row],[CH4 24h, ml]]/28.9)*16.04)/Table3.110[[#This Row],[Digested feed, mg]]*1000</f>
        <v>18.721100705717259</v>
      </c>
    </row>
    <row r="298" spans="2:48" s="89" customFormat="1" x14ac:dyDescent="0.35">
      <c r="B298" s="90">
        <f t="shared" si="4"/>
        <v>288</v>
      </c>
      <c r="C298" s="140">
        <v>46048</v>
      </c>
      <c r="D298" s="6" t="s">
        <v>16</v>
      </c>
      <c r="E298" s="6" t="s">
        <v>135</v>
      </c>
      <c r="F298" s="133" t="s">
        <v>99</v>
      </c>
      <c r="G298" s="133" t="s">
        <v>100</v>
      </c>
      <c r="H298" s="133" t="s">
        <v>101</v>
      </c>
      <c r="I298" s="133" t="s">
        <v>22</v>
      </c>
      <c r="J298" s="135" t="s">
        <v>23</v>
      </c>
      <c r="K298" s="135" t="s">
        <v>24</v>
      </c>
      <c r="L298" s="6" t="s">
        <v>134</v>
      </c>
      <c r="M298" s="93">
        <v>28</v>
      </c>
      <c r="N298" s="93">
        <v>60</v>
      </c>
      <c r="O298" s="6">
        <v>1</v>
      </c>
      <c r="P298" s="129">
        <v>1</v>
      </c>
      <c r="Q298" s="6">
        <v>216</v>
      </c>
      <c r="R298" s="98">
        <v>0.50049999999999994</v>
      </c>
      <c r="S298" s="94">
        <f>((Table3.110[[#This Row],[Sample weight, g]]*'2.1. DM'!Q79)/100)*1000</f>
        <v>463.77247178276008</v>
      </c>
      <c r="T298" s="94">
        <f>'3.2 Digest'!W298</f>
        <v>124.67247178276</v>
      </c>
      <c r="U298" s="117">
        <v>0.34444444444444444</v>
      </c>
      <c r="V298" s="155">
        <v>42</v>
      </c>
      <c r="W298" s="117">
        <v>0.67222222222222228</v>
      </c>
      <c r="X298" s="97">
        <v>75.5</v>
      </c>
      <c r="Y298" s="97">
        <v>10.4</v>
      </c>
      <c r="Z298" s="155">
        <v>40.5</v>
      </c>
      <c r="AA298" s="117">
        <v>0.33958333333333335</v>
      </c>
      <c r="AB298" s="155">
        <v>71.5</v>
      </c>
      <c r="AC298" s="155">
        <v>13.2</v>
      </c>
      <c r="AD298" s="96"/>
      <c r="AE298" s="94">
        <f>Table3.110[[#This Row],[Gas 8h, ml]]-Table3.110[[#This Row],[Gas 0h, ml]]</f>
        <v>33.5</v>
      </c>
      <c r="AF298" s="94">
        <f>Table3.110[[#This Row],[Gas 24h, ml]]-Table3.110[[#This Row],[V8 Push back, ml]]</f>
        <v>31</v>
      </c>
      <c r="AG298" s="94">
        <f>Table3.110[[#This Row],[GP 8h, ml]]-(AVERAGE(AE$293,AE$294,AE$385,AE$386,AE$477,AE$478))*$AG$8</f>
        <v>32.246240428868305</v>
      </c>
      <c r="AH298" s="94">
        <f>Table3.110[[#This Row],[GP 8-24h, ml]]-(AVERAGE(AF$293,AF$294,AF$385,AF$386,AF$477,AF$478))*$AG$8</f>
        <v>29.008734798790837</v>
      </c>
      <c r="AI298" s="94">
        <f>Table3.110[[#This Row],[Net gas 8-24h, ml]]+Table3.110[[#This Row],[Net gas 8h, ml]]</f>
        <v>61.254975227659145</v>
      </c>
      <c r="AJ298" s="94">
        <f>Table3.110[[#This Row],[Net gas 8h, ml]]*Table3.110[[#This Row],[CH4 8h %]]%</f>
        <v>3.3536090046023039</v>
      </c>
      <c r="AK298" s="94">
        <f>Table3.110[[#This Row],[Net gas 8-24h, ml]]*Table3.110[[#This Row],[CH4 24h, %]]%</f>
        <v>3.8291529934403905</v>
      </c>
      <c r="AL298" s="94">
        <f>Table3.110[[#This Row],[CH4 8-24h, ml]]+Table3.110[[#This Row],[CH4 8h, ml]]</f>
        <v>7.1827619980426949</v>
      </c>
      <c r="AM298" s="94">
        <f>(Table3.110[[#This Row],[Net gas 24h, ml]]/Table3.110[[#This Row],[DM Incubated, mg]])*1000</f>
        <v>132.07979980396973</v>
      </c>
      <c r="AN298" s="94">
        <f>'3.2 Digest'!X298</f>
        <v>26.882249242503331</v>
      </c>
      <c r="AO298" s="94">
        <f>Table3.110[[#This Row],[Digested feed, mg]]/Table3.110[[#This Row],[Net gas 24h, ml]]</f>
        <v>2.0353036030037481</v>
      </c>
      <c r="AP298" s="94">
        <f>Table3.110[[#This Row],[CH4 8h, ml]]/Table3.110[[#This Row],[Net gas 8h, ml]]%</f>
        <v>10.4</v>
      </c>
      <c r="AQ298" s="94">
        <f>Table3.110[[#This Row],[CH4 24h, ml]]/Table3.110[[#This Row],[Net gas 24h, ml]]%</f>
        <v>11.726005881722047</v>
      </c>
      <c r="AR298" s="94">
        <f>Table3.110[[#This Row],[CH4 24h, ml]]/Table3.110[[#This Row],[DM Incubated, mg]]*1000</f>
        <v>15.487685093580195</v>
      </c>
      <c r="AS298" s="94">
        <f>Table3.110[[#This Row],[CH4 24h, ml]]/Table3.110[[#This Row],[Digested feed, mg]]*1000</f>
        <v>57.613055194402136</v>
      </c>
      <c r="AT298" s="94">
        <f>Table3.110[[#This Row],[CH4 24h, ml]]/'3.2 Digest'!AA298</f>
        <v>-0.16613170792209492</v>
      </c>
      <c r="AU298" s="94">
        <f>((Table3.110[[#This Row],[CH4 24h, ml]]/28.9)*16.04)/Table3.110[[#This Row],[DM Incubated, mg]]*1000</f>
        <v>8.595933179966309</v>
      </c>
      <c r="AV298" s="94">
        <f>((Table3.110[[#This Row],[CH4 24h, ml]]/28.9)*16.04)/Table3.110[[#This Row],[Digested feed, mg]]*1000</f>
        <v>31.976242398553989</v>
      </c>
    </row>
    <row r="299" spans="2:48" s="89" customFormat="1" x14ac:dyDescent="0.35">
      <c r="B299" s="90">
        <f t="shared" si="4"/>
        <v>289</v>
      </c>
      <c r="C299" s="139">
        <v>46048</v>
      </c>
      <c r="D299" s="6" t="s">
        <v>16</v>
      </c>
      <c r="E299" s="6" t="s">
        <v>135</v>
      </c>
      <c r="F299" s="133" t="s">
        <v>99</v>
      </c>
      <c r="G299" s="133" t="s">
        <v>100</v>
      </c>
      <c r="H299" s="133" t="s">
        <v>101</v>
      </c>
      <c r="I299" s="133" t="s">
        <v>22</v>
      </c>
      <c r="J299" s="135" t="s">
        <v>23</v>
      </c>
      <c r="K299" s="135" t="s">
        <v>24</v>
      </c>
      <c r="L299" s="6" t="s">
        <v>134</v>
      </c>
      <c r="M299" s="93">
        <v>28</v>
      </c>
      <c r="N299" s="93">
        <v>60</v>
      </c>
      <c r="O299" s="6">
        <v>1</v>
      </c>
      <c r="P299" s="6">
        <v>2</v>
      </c>
      <c r="Q299" s="6">
        <v>217</v>
      </c>
      <c r="R299" s="98">
        <v>0.50049999999999994</v>
      </c>
      <c r="S299" s="94">
        <f>((Table3.110[[#This Row],[Sample weight, g]]*'2.1. DM'!Q79)/100)*1000</f>
        <v>463.77247178276008</v>
      </c>
      <c r="T299" s="94">
        <f>'3.2 Digest'!W299</f>
        <v>164.57247178276003</v>
      </c>
      <c r="U299" s="153">
        <v>0.34513888888888888</v>
      </c>
      <c r="V299" s="154">
        <v>42</v>
      </c>
      <c r="W299" s="153">
        <v>0.67222222222222228</v>
      </c>
      <c r="X299" s="95">
        <v>76.5</v>
      </c>
      <c r="Y299" s="95">
        <v>10.199999999999999</v>
      </c>
      <c r="Z299" s="154">
        <v>40.5</v>
      </c>
      <c r="AA299" s="153">
        <v>0.34027777777777779</v>
      </c>
      <c r="AB299" s="154">
        <v>71</v>
      </c>
      <c r="AC299" s="154">
        <v>13.2</v>
      </c>
      <c r="AD299" s="91" t="s">
        <v>551</v>
      </c>
      <c r="AE299" s="94">
        <f>Table3.110[[#This Row],[Gas 8h, ml]]-Table3.110[[#This Row],[Gas 0h, ml]]</f>
        <v>34.5</v>
      </c>
      <c r="AF299" s="94">
        <f>Table3.110[[#This Row],[Gas 24h, ml]]-Table3.110[[#This Row],[V8 Push back, ml]]</f>
        <v>30.5</v>
      </c>
      <c r="AG299" s="94">
        <f>Table3.110[[#This Row],[GP 8h, ml]]-(AVERAGE(AE$293,AE$294,AE$385,AE$386,AE$477,AE$478))*$AG$8</f>
        <v>33.246240428868305</v>
      </c>
      <c r="AH299" s="94">
        <f>Table3.110[[#This Row],[GP 8-24h, ml]]-(AVERAGE(AF$293,AF$294,AF$385,AF$386,AF$477,AF$478))*$AG$8</f>
        <v>28.508734798790837</v>
      </c>
      <c r="AI299" s="94">
        <f>Table3.110[[#This Row],[Net gas 8-24h, ml]]+Table3.110[[#This Row],[Net gas 8h, ml]]</f>
        <v>61.754975227659145</v>
      </c>
      <c r="AJ299" s="94">
        <f>Table3.110[[#This Row],[Net gas 8h, ml]]*Table3.110[[#This Row],[CH4 8h %]]%</f>
        <v>3.3911165237445671</v>
      </c>
      <c r="AK299" s="94">
        <f>Table3.110[[#This Row],[Net gas 8-24h, ml]]*Table3.110[[#This Row],[CH4 24h, %]]%</f>
        <v>3.7631529934403907</v>
      </c>
      <c r="AL299" s="94">
        <f>Table3.110[[#This Row],[CH4 8-24h, ml]]+Table3.110[[#This Row],[CH4 8h, ml]]</f>
        <v>7.1542695171849573</v>
      </c>
      <c r="AM299" s="94">
        <f>(Table3.110[[#This Row],[Net gas 24h, ml]]/Table3.110[[#This Row],[DM Incubated, mg]])*1000</f>
        <v>133.15791467801125</v>
      </c>
      <c r="AN299" s="94">
        <f>'3.2 Digest'!X299</f>
        <v>35.485605937354755</v>
      </c>
      <c r="AO299" s="94">
        <f>Table3.110[[#This Row],[Digested feed, mg]]/Table3.110[[#This Row],[Net gas 24h, ml]]</f>
        <v>2.6649265290134947</v>
      </c>
      <c r="AP299" s="94">
        <f>Table3.110[[#This Row],[CH4 8h, ml]]/Table3.110[[#This Row],[Net gas 8h, ml]]%</f>
        <v>10.199999999999999</v>
      </c>
      <c r="AQ299" s="94">
        <f>Table3.110[[#This Row],[CH4 24h, ml]]/Table3.110[[#This Row],[Net gas 24h, ml]]%</f>
        <v>11.584928162971176</v>
      </c>
      <c r="AR299" s="94">
        <f>Table3.110[[#This Row],[CH4 24h, ml]]/Table3.110[[#This Row],[DM Incubated, mg]]*1000</f>
        <v>15.426248758758055</v>
      </c>
      <c r="AS299" s="94">
        <f>Table3.110[[#This Row],[CH4 24h, ml]]/Table3.110[[#This Row],[Digested feed, mg]]*1000</f>
        <v>43.471848236130157</v>
      </c>
      <c r="AT299" s="94">
        <f>Table3.110[[#This Row],[CH4 24h, ml]]/'3.2 Digest'!AA299</f>
        <v>-0.27118360416435111</v>
      </c>
      <c r="AU299" s="94">
        <f>((Table3.110[[#This Row],[CH4 24h, ml]]/28.9)*16.04)/Table3.110[[#This Row],[DM Incubated, mg]]*1000</f>
        <v>8.5618349512276541</v>
      </c>
      <c r="AV299" s="94">
        <f>((Table3.110[[#This Row],[CH4 24h, ml]]/28.9)*16.04)/Table3.110[[#This Row],[Digested feed, mg]]*1000</f>
        <v>24.127627879153209</v>
      </c>
    </row>
    <row r="300" spans="2:48" s="89" customFormat="1" x14ac:dyDescent="0.35">
      <c r="B300" s="90">
        <f t="shared" si="4"/>
        <v>290</v>
      </c>
      <c r="C300" s="140">
        <v>46048</v>
      </c>
      <c r="D300" s="6" t="s">
        <v>16</v>
      </c>
      <c r="E300" s="6" t="s">
        <v>135</v>
      </c>
      <c r="F300" s="133" t="s">
        <v>99</v>
      </c>
      <c r="G300" s="133" t="s">
        <v>100</v>
      </c>
      <c r="H300" s="133" t="s">
        <v>101</v>
      </c>
      <c r="I300" s="133" t="s">
        <v>22</v>
      </c>
      <c r="J300" s="135" t="s">
        <v>23</v>
      </c>
      <c r="K300" s="135" t="s">
        <v>24</v>
      </c>
      <c r="L300" s="6" t="s">
        <v>134</v>
      </c>
      <c r="M300" s="93">
        <v>28</v>
      </c>
      <c r="N300" s="93">
        <v>60</v>
      </c>
      <c r="O300" s="6">
        <v>1</v>
      </c>
      <c r="P300" s="129">
        <v>3</v>
      </c>
      <c r="Q300" s="6">
        <v>218</v>
      </c>
      <c r="R300" s="98">
        <v>0.5</v>
      </c>
      <c r="S300" s="94">
        <f>((Table3.110[[#This Row],[Sample weight, g]]*'2.1. DM'!Q79)/100)*1000</f>
        <v>463.30916262014</v>
      </c>
      <c r="T300" s="94">
        <f>'3.2 Digest'!W300</f>
        <v>211.1091626201399</v>
      </c>
      <c r="U300" s="117">
        <v>0.34513888888888888</v>
      </c>
      <c r="V300" s="155">
        <v>41.5</v>
      </c>
      <c r="W300" s="117">
        <v>0.67291666666666672</v>
      </c>
      <c r="X300" s="97">
        <v>76.5</v>
      </c>
      <c r="Y300" s="97">
        <v>10</v>
      </c>
      <c r="Z300" s="155">
        <v>40.5</v>
      </c>
      <c r="AA300" s="117">
        <v>0.34027777777777779</v>
      </c>
      <c r="AB300" s="155">
        <v>71.5</v>
      </c>
      <c r="AC300" s="155">
        <v>12.9</v>
      </c>
      <c r="AD300" s="96"/>
      <c r="AE300" s="94">
        <f>Table3.110[[#This Row],[Gas 8h, ml]]-Table3.110[[#This Row],[Gas 0h, ml]]</f>
        <v>35</v>
      </c>
      <c r="AF300" s="94">
        <f>Table3.110[[#This Row],[Gas 24h, ml]]-Table3.110[[#This Row],[V8 Push back, ml]]</f>
        <v>31</v>
      </c>
      <c r="AG300" s="94">
        <f>Table3.110[[#This Row],[GP 8h, ml]]-(AVERAGE(AE$293,AE$294,AE$385,AE$386,AE$477,AE$478))*$AG$8</f>
        <v>33.746240428868305</v>
      </c>
      <c r="AH300" s="94">
        <f>Table3.110[[#This Row],[GP 8-24h, ml]]-(AVERAGE(AF$293,AF$294,AF$385,AF$386,AF$477,AF$478))*$AG$8</f>
        <v>29.008734798790837</v>
      </c>
      <c r="AI300" s="94">
        <f>Table3.110[[#This Row],[Net gas 8-24h, ml]]+Table3.110[[#This Row],[Net gas 8h, ml]]</f>
        <v>62.754975227659145</v>
      </c>
      <c r="AJ300" s="94">
        <f>Table3.110[[#This Row],[Net gas 8h, ml]]*Table3.110[[#This Row],[CH4 8h %]]%</f>
        <v>3.3746240428868308</v>
      </c>
      <c r="AK300" s="94">
        <f>Table3.110[[#This Row],[Net gas 8-24h, ml]]*Table3.110[[#This Row],[CH4 24h, %]]%</f>
        <v>3.742126789044018</v>
      </c>
      <c r="AL300" s="94">
        <f>Table3.110[[#This Row],[CH4 8-24h, ml]]+Table3.110[[#This Row],[CH4 8h, ml]]</f>
        <v>7.1167508319308492</v>
      </c>
      <c r="AM300" s="94">
        <f>(Table3.110[[#This Row],[Net gas 24h, ml]]/Table3.110[[#This Row],[DM Incubated, mg]])*1000</f>
        <v>135.44945857052036</v>
      </c>
      <c r="AN300" s="94">
        <f>'3.2 Digest'!X300</f>
        <v>45.56550563909849</v>
      </c>
      <c r="AO300" s="94">
        <f>Table3.110[[#This Row],[Digested feed, mg]]/Table3.110[[#This Row],[Net gas 24h, ml]]</f>
        <v>3.3640227225696346</v>
      </c>
      <c r="AP300" s="94">
        <f>Table3.110[[#This Row],[CH4 8h, ml]]/Table3.110[[#This Row],[Net gas 8h, ml]]%</f>
        <v>10</v>
      </c>
      <c r="AQ300" s="94">
        <f>Table3.110[[#This Row],[CH4 24h, ml]]/Table3.110[[#This Row],[Net gas 24h, ml]]%</f>
        <v>11.340536437331192</v>
      </c>
      <c r="AR300" s="94">
        <f>Table3.110[[#This Row],[CH4 24h, ml]]/Table3.110[[#This Row],[DM Incubated, mg]]*1000</f>
        <v>15.360695203357684</v>
      </c>
      <c r="AS300" s="94">
        <f>Table3.110[[#This Row],[CH4 24h, ml]]/Table3.110[[#This Row],[Digested feed, mg]]*1000</f>
        <v>33.711236137753062</v>
      </c>
      <c r="AT300" s="94">
        <f>Table3.110[[#This Row],[CH4 24h, ml]]/'3.2 Digest'!AA300</f>
        <v>-1.0725360512706663</v>
      </c>
      <c r="AU300" s="94">
        <f>((Table3.110[[#This Row],[CH4 24h, ml]]/28.9)*16.04)/Table3.110[[#This Row],[DM Incubated, mg]]*1000</f>
        <v>8.525451593835891</v>
      </c>
      <c r="AV300" s="94">
        <f>((Table3.110[[#This Row],[CH4 24h, ml]]/28.9)*16.04)/Table3.110[[#This Row],[Digested feed, mg]]*1000</f>
        <v>18.710319295832502</v>
      </c>
    </row>
    <row r="301" spans="2:48" s="89" customFormat="1" x14ac:dyDescent="0.35">
      <c r="B301" s="90">
        <f t="shared" si="4"/>
        <v>291</v>
      </c>
      <c r="C301" s="139">
        <v>46048</v>
      </c>
      <c r="D301" s="6" t="s">
        <v>16</v>
      </c>
      <c r="E301" s="6" t="s">
        <v>137</v>
      </c>
      <c r="F301" s="133" t="s">
        <v>99</v>
      </c>
      <c r="G301" s="133" t="s">
        <v>100</v>
      </c>
      <c r="H301" s="133" t="s">
        <v>101</v>
      </c>
      <c r="I301" s="133" t="s">
        <v>22</v>
      </c>
      <c r="J301" s="135" t="s">
        <v>23</v>
      </c>
      <c r="K301" s="135" t="s">
        <v>24</v>
      </c>
      <c r="L301" s="6" t="s">
        <v>136</v>
      </c>
      <c r="M301" s="93">
        <v>28</v>
      </c>
      <c r="N301" s="93">
        <v>60</v>
      </c>
      <c r="O301" s="6">
        <v>1</v>
      </c>
      <c r="P301" s="129">
        <v>1</v>
      </c>
      <c r="Q301" s="6">
        <v>219</v>
      </c>
      <c r="R301" s="98">
        <v>0.5</v>
      </c>
      <c r="S301" s="94">
        <f>((Table3.110[[#This Row],[Sample weight, g]]*'2.1. DM'!Q81)/100)*1000</f>
        <v>471.30431427962986</v>
      </c>
      <c r="T301" s="94">
        <f>'3.2 Digest'!W301</f>
        <v>216.80431427962992</v>
      </c>
      <c r="U301" s="153">
        <v>0.34583333333333333</v>
      </c>
      <c r="V301" s="154">
        <v>41.5</v>
      </c>
      <c r="W301" s="153">
        <v>0.67291666666666672</v>
      </c>
      <c r="X301" s="95">
        <v>71</v>
      </c>
      <c r="Y301" s="95">
        <v>11.5</v>
      </c>
      <c r="Z301" s="154">
        <v>40.5</v>
      </c>
      <c r="AA301" s="153">
        <v>0.34097222222222223</v>
      </c>
      <c r="AB301" s="154">
        <v>73.5</v>
      </c>
      <c r="AC301" s="154">
        <v>14.1</v>
      </c>
      <c r="AD301" s="91"/>
      <c r="AE301" s="94">
        <f>Table3.110[[#This Row],[Gas 8h, ml]]-Table3.110[[#This Row],[Gas 0h, ml]]</f>
        <v>29.5</v>
      </c>
      <c r="AF301" s="94">
        <f>Table3.110[[#This Row],[Gas 24h, ml]]-Table3.110[[#This Row],[V8 Push back, ml]]</f>
        <v>33</v>
      </c>
      <c r="AG301" s="94">
        <f>Table3.110[[#This Row],[GP 8h, ml]]-(AVERAGE(AE$293,AE$294,AE$385,AE$386,AE$477,AE$478))*$AG$8</f>
        <v>28.246240428868305</v>
      </c>
      <c r="AH301" s="94">
        <f>Table3.110[[#This Row],[GP 8-24h, ml]]-(AVERAGE(AF$293,AF$294,AF$385,AF$386,AF$477,AF$478))*$AG$8</f>
        <v>31.008734798790837</v>
      </c>
      <c r="AI301" s="94">
        <f>Table3.110[[#This Row],[Net gas 8-24h, ml]]+Table3.110[[#This Row],[Net gas 8h, ml]]</f>
        <v>59.254975227659145</v>
      </c>
      <c r="AJ301" s="94">
        <f>Table3.110[[#This Row],[Net gas 8h, ml]]*Table3.110[[#This Row],[CH4 8h %]]%</f>
        <v>3.2483176493198553</v>
      </c>
      <c r="AK301" s="94">
        <f>Table3.110[[#This Row],[Net gas 8-24h, ml]]*Table3.110[[#This Row],[CH4 24h, %]]%</f>
        <v>4.3722316066295077</v>
      </c>
      <c r="AL301" s="94">
        <f>Table3.110[[#This Row],[CH4 8-24h, ml]]+Table3.110[[#This Row],[CH4 8h, ml]]</f>
        <v>7.6205492559493635</v>
      </c>
      <c r="AM301" s="94">
        <f>(Table3.110[[#This Row],[Net gas 24h, ml]]/Table3.110[[#This Row],[DM Incubated, mg]])*1000</f>
        <v>125.72550989317391</v>
      </c>
      <c r="AN301" s="94">
        <f>'3.2 Digest'!X301</f>
        <v>46.000918665683507</v>
      </c>
      <c r="AO301" s="94">
        <f>Table3.110[[#This Row],[Digested feed, mg]]/Table3.110[[#This Row],[Net gas 24h, ml]]</f>
        <v>3.6588373119162085</v>
      </c>
      <c r="AP301" s="94">
        <f>Table3.110[[#This Row],[CH4 8h, ml]]/Table3.110[[#This Row],[Net gas 8h, ml]]%</f>
        <v>11.500000000000002</v>
      </c>
      <c r="AQ301" s="94">
        <f>Table3.110[[#This Row],[CH4 24h, ml]]/Table3.110[[#This Row],[Net gas 24h, ml]]%</f>
        <v>12.860606601675245</v>
      </c>
      <c r="AR301" s="94">
        <f>Table3.110[[#This Row],[CH4 24h, ml]]/Table3.110[[#This Row],[DM Incubated, mg]]*1000</f>
        <v>16.169063225311383</v>
      </c>
      <c r="AS301" s="94">
        <f>Table3.110[[#This Row],[CH4 24h, ml]]/Table3.110[[#This Row],[Digested feed, mg]]*1000</f>
        <v>35.149435477195027</v>
      </c>
      <c r="AT301" s="94">
        <f>Table3.110[[#This Row],[CH4 24h, ml]]/'3.2 Digest'!AA301</f>
        <v>-0.44390540879260043</v>
      </c>
      <c r="AU301" s="94">
        <f>((Table3.110[[#This Row],[CH4 24h, ml]]/28.9)*16.04)/Table3.110[[#This Row],[DM Incubated, mg]]*1000</f>
        <v>8.9741098316261123</v>
      </c>
      <c r="AV301" s="94">
        <f>((Table3.110[[#This Row],[CH4 24h, ml]]/28.9)*16.04)/Table3.110[[#This Row],[Digested feed, mg]]*1000</f>
        <v>19.508544811564299</v>
      </c>
    </row>
    <row r="302" spans="2:48" s="89" customFormat="1" x14ac:dyDescent="0.35">
      <c r="B302" s="90">
        <f t="shared" si="4"/>
        <v>292</v>
      </c>
      <c r="C302" s="140">
        <v>46048</v>
      </c>
      <c r="D302" s="6" t="s">
        <v>16</v>
      </c>
      <c r="E302" s="6" t="s">
        <v>137</v>
      </c>
      <c r="F302" s="133" t="s">
        <v>99</v>
      </c>
      <c r="G302" s="133" t="s">
        <v>100</v>
      </c>
      <c r="H302" s="133" t="s">
        <v>101</v>
      </c>
      <c r="I302" s="133" t="s">
        <v>22</v>
      </c>
      <c r="J302" s="135" t="s">
        <v>23</v>
      </c>
      <c r="K302" s="135" t="s">
        <v>24</v>
      </c>
      <c r="L302" s="6" t="s">
        <v>136</v>
      </c>
      <c r="M302" s="93">
        <v>28</v>
      </c>
      <c r="N302" s="93">
        <v>60</v>
      </c>
      <c r="O302" s="6">
        <v>1</v>
      </c>
      <c r="P302" s="6">
        <v>2</v>
      </c>
      <c r="Q302" s="6">
        <v>220</v>
      </c>
      <c r="R302" s="98">
        <v>0.50049999999999994</v>
      </c>
      <c r="S302" s="94">
        <f>((Table3.110[[#This Row],[Sample weight, g]]*'2.1. DM'!Q81)/100)*1000</f>
        <v>471.77561859390948</v>
      </c>
      <c r="T302" s="94">
        <f>'3.2 Digest'!W302</f>
        <v>249.37561859390945</v>
      </c>
      <c r="U302" s="117">
        <v>0.34652777777777777</v>
      </c>
      <c r="V302" s="155">
        <v>41.5</v>
      </c>
      <c r="W302" s="117">
        <v>0.67291666666666672</v>
      </c>
      <c r="X302" s="97">
        <v>73.5</v>
      </c>
      <c r="Y302" s="97">
        <v>11</v>
      </c>
      <c r="Z302" s="155">
        <v>40.5</v>
      </c>
      <c r="AA302" s="117">
        <v>0.34097222222222223</v>
      </c>
      <c r="AB302" s="155">
        <v>75.5</v>
      </c>
      <c r="AC302" s="155">
        <v>14.3</v>
      </c>
      <c r="AD302" s="96"/>
      <c r="AE302" s="94">
        <f>Table3.110[[#This Row],[Gas 8h, ml]]-Table3.110[[#This Row],[Gas 0h, ml]]</f>
        <v>32</v>
      </c>
      <c r="AF302" s="94">
        <f>Table3.110[[#This Row],[Gas 24h, ml]]-Table3.110[[#This Row],[V8 Push back, ml]]</f>
        <v>35</v>
      </c>
      <c r="AG302" s="94">
        <f>Table3.110[[#This Row],[GP 8h, ml]]-(AVERAGE(AE$293,AE$294,AE$385,AE$386,AE$477,AE$478))*$AG$8</f>
        <v>30.746240428868305</v>
      </c>
      <c r="AH302" s="94">
        <f>Table3.110[[#This Row],[GP 8-24h, ml]]-(AVERAGE(AF$293,AF$294,AF$385,AF$386,AF$477,AF$478))*$AG$8</f>
        <v>33.00873479879084</v>
      </c>
      <c r="AI302" s="94">
        <f>Table3.110[[#This Row],[Net gas 8-24h, ml]]+Table3.110[[#This Row],[Net gas 8h, ml]]</f>
        <v>63.754975227659145</v>
      </c>
      <c r="AJ302" s="94">
        <f>Table3.110[[#This Row],[Net gas 8h, ml]]*Table3.110[[#This Row],[CH4 8h %]]%</f>
        <v>3.3820864471755137</v>
      </c>
      <c r="AK302" s="94">
        <f>Table3.110[[#This Row],[Net gas 8-24h, ml]]*Table3.110[[#This Row],[CH4 24h, %]]%</f>
        <v>4.7202490762270903</v>
      </c>
      <c r="AL302" s="94">
        <f>Table3.110[[#This Row],[CH4 8-24h, ml]]+Table3.110[[#This Row],[CH4 8h, ml]]</f>
        <v>8.1023355234026049</v>
      </c>
      <c r="AM302" s="94">
        <f>(Table3.110[[#This Row],[Net gas 24h, ml]]/Table3.110[[#This Row],[DM Incubated, mg]])*1000</f>
        <v>135.13834270977355</v>
      </c>
      <c r="AN302" s="94">
        <f>'3.2 Digest'!X302</f>
        <v>52.85894581351068</v>
      </c>
      <c r="AO302" s="94">
        <f>Table3.110[[#This Row],[Digested feed, mg]]/Table3.110[[#This Row],[Net gas 24h, ml]]</f>
        <v>3.9114691473634449</v>
      </c>
      <c r="AP302" s="94">
        <f>Table3.110[[#This Row],[CH4 8h, ml]]/Table3.110[[#This Row],[Net gas 8h, ml]]%</f>
        <v>11</v>
      </c>
      <c r="AQ302" s="94">
        <f>Table3.110[[#This Row],[CH4 24h, ml]]/Table3.110[[#This Row],[Net gas 24h, ml]]%</f>
        <v>12.708554108083987</v>
      </c>
      <c r="AR302" s="94">
        <f>Table3.110[[#This Row],[CH4 24h, ml]]/Table3.110[[#This Row],[DM Incubated, mg]]*1000</f>
        <v>17.17412940403954</v>
      </c>
      <c r="AS302" s="94">
        <f>Table3.110[[#This Row],[CH4 24h, ml]]/Table3.110[[#This Row],[Digested feed, mg]]*1000</f>
        <v>32.490487919737994</v>
      </c>
      <c r="AT302" s="94">
        <f>Table3.110[[#This Row],[CH4 24h, ml]]/'3.2 Digest'!AA302</f>
        <v>-3.5435098180674323</v>
      </c>
      <c r="AU302" s="94">
        <f>((Table3.110[[#This Row],[CH4 24h, ml]]/28.9)*16.04)/Table3.110[[#This Row],[DM Incubated, mg]]*1000</f>
        <v>9.5319389495084508</v>
      </c>
      <c r="AV302" s="94">
        <f>((Table3.110[[#This Row],[CH4 24h, ml]]/28.9)*16.04)/Table3.110[[#This Row],[Digested feed, mg]]*1000</f>
        <v>18.032782914622747</v>
      </c>
    </row>
    <row r="303" spans="2:48" s="89" customFormat="1" x14ac:dyDescent="0.35">
      <c r="B303" s="90">
        <f t="shared" si="4"/>
        <v>293</v>
      </c>
      <c r="C303" s="140">
        <v>46048</v>
      </c>
      <c r="D303" s="6" t="s">
        <v>16</v>
      </c>
      <c r="E303" s="6" t="s">
        <v>137</v>
      </c>
      <c r="F303" s="133" t="s">
        <v>99</v>
      </c>
      <c r="G303" s="133" t="s">
        <v>100</v>
      </c>
      <c r="H303" s="133" t="s">
        <v>101</v>
      </c>
      <c r="I303" s="133" t="s">
        <v>22</v>
      </c>
      <c r="J303" s="135" t="s">
        <v>23</v>
      </c>
      <c r="K303" s="135" t="s">
        <v>24</v>
      </c>
      <c r="L303" s="6" t="s">
        <v>136</v>
      </c>
      <c r="M303" s="93">
        <v>28</v>
      </c>
      <c r="N303" s="93">
        <v>60</v>
      </c>
      <c r="O303" s="6">
        <v>1</v>
      </c>
      <c r="P303" s="129">
        <v>3</v>
      </c>
      <c r="Q303" s="6">
        <v>221</v>
      </c>
      <c r="R303" s="98">
        <v>0.50039999999999996</v>
      </c>
      <c r="S303" s="94">
        <f>((Table3.110[[#This Row],[Sample weight, g]]*'2.1. DM'!Q81)/100)*1000</f>
        <v>471.68135773105359</v>
      </c>
      <c r="T303" s="94">
        <f>'3.2 Digest'!W303</f>
        <v>238.98135773105369</v>
      </c>
      <c r="U303" s="153">
        <v>0.34722222222222221</v>
      </c>
      <c r="V303" s="154">
        <v>41.5</v>
      </c>
      <c r="W303" s="153">
        <v>0.67361111111111116</v>
      </c>
      <c r="X303" s="95">
        <v>73</v>
      </c>
      <c r="Y303" s="95">
        <v>11.3</v>
      </c>
      <c r="Z303" s="154">
        <v>40.5</v>
      </c>
      <c r="AA303" s="153">
        <v>0.34166666666666667</v>
      </c>
      <c r="AB303" s="154">
        <v>75.5</v>
      </c>
      <c r="AC303" s="154">
        <v>14</v>
      </c>
      <c r="AD303" s="91" t="s">
        <v>551</v>
      </c>
      <c r="AE303" s="94">
        <f>Table3.110[[#This Row],[Gas 8h, ml]]-Table3.110[[#This Row],[Gas 0h, ml]]</f>
        <v>31.5</v>
      </c>
      <c r="AF303" s="94">
        <f>Table3.110[[#This Row],[Gas 24h, ml]]-Table3.110[[#This Row],[V8 Push back, ml]]</f>
        <v>35</v>
      </c>
      <c r="AG303" s="94">
        <f>Table3.110[[#This Row],[GP 8h, ml]]-(AVERAGE(AE$293,AE$294,AE$385,AE$386,AE$477,AE$478))*$AG$8</f>
        <v>30.246240428868305</v>
      </c>
      <c r="AH303" s="94">
        <f>Table3.110[[#This Row],[GP 8-24h, ml]]-(AVERAGE(AF$293,AF$294,AF$385,AF$386,AF$477,AF$478))*$AG$8</f>
        <v>33.00873479879084</v>
      </c>
      <c r="AI303" s="94">
        <f>Table3.110[[#This Row],[Net gas 8-24h, ml]]+Table3.110[[#This Row],[Net gas 8h, ml]]</f>
        <v>63.254975227659145</v>
      </c>
      <c r="AJ303" s="94">
        <f>Table3.110[[#This Row],[Net gas 8h, ml]]*Table3.110[[#This Row],[CH4 8h %]]%</f>
        <v>3.4178251684621186</v>
      </c>
      <c r="AK303" s="94">
        <f>Table3.110[[#This Row],[Net gas 8-24h, ml]]*Table3.110[[#This Row],[CH4 24h, %]]%</f>
        <v>4.6212228718307182</v>
      </c>
      <c r="AL303" s="94">
        <f>Table3.110[[#This Row],[CH4 8-24h, ml]]+Table3.110[[#This Row],[CH4 8h, ml]]</f>
        <v>8.0390480402928368</v>
      </c>
      <c r="AM303" s="94">
        <f>(Table3.110[[#This Row],[Net gas 24h, ml]]/Table3.110[[#This Row],[DM Incubated, mg]])*1000</f>
        <v>134.1053111192202</v>
      </c>
      <c r="AN303" s="94">
        <f>'3.2 Digest'!X303</f>
        <v>50.66584757146957</v>
      </c>
      <c r="AO303" s="94">
        <f>Table3.110[[#This Row],[Digested feed, mg]]/Table3.110[[#This Row],[Net gas 24h, ml]]</f>
        <v>3.7780642055576314</v>
      </c>
      <c r="AP303" s="94">
        <f>Table3.110[[#This Row],[CH4 8h, ml]]/Table3.110[[#This Row],[Net gas 8h, ml]]%</f>
        <v>11.3</v>
      </c>
      <c r="AQ303" s="94">
        <f>Table3.110[[#This Row],[CH4 24h, ml]]/Table3.110[[#This Row],[Net gas 24h, ml]]%</f>
        <v>12.708957692829271</v>
      </c>
      <c r="AR303" s="94">
        <f>Table3.110[[#This Row],[CH4 24h, ml]]/Table3.110[[#This Row],[DM Incubated, mg]]*1000</f>
        <v>17.043387253978764</v>
      </c>
      <c r="AS303" s="94">
        <f>Table3.110[[#This Row],[CH4 24h, ml]]/Table3.110[[#This Row],[Digested feed, mg]]*1000</f>
        <v>33.638808133895822</v>
      </c>
      <c r="AT303" s="94">
        <f>Table3.110[[#This Row],[CH4 24h, ml]]/'3.2 Digest'!AA303</f>
        <v>-1.141082497510423</v>
      </c>
      <c r="AU303" s="94">
        <f>((Table3.110[[#This Row],[CH4 24h, ml]]/28.9)*16.04)/Table3.110[[#This Row],[DM Incubated, mg]]*1000</f>
        <v>9.4593747942498041</v>
      </c>
      <c r="AV303" s="94">
        <f>((Table3.110[[#This Row],[CH4 24h, ml]]/28.9)*16.04)/Table3.110[[#This Row],[Digested feed, mg]]*1000</f>
        <v>18.670120500612075</v>
      </c>
    </row>
    <row r="304" spans="2:48" s="89" customFormat="1" x14ac:dyDescent="0.35">
      <c r="B304" s="90">
        <f t="shared" si="4"/>
        <v>294</v>
      </c>
      <c r="C304" s="140">
        <v>46048</v>
      </c>
      <c r="D304" s="6" t="s">
        <v>16</v>
      </c>
      <c r="E304" s="6" t="s">
        <v>139</v>
      </c>
      <c r="F304" s="133" t="s">
        <v>79</v>
      </c>
      <c r="G304" s="133" t="s">
        <v>80</v>
      </c>
      <c r="H304" s="133" t="s">
        <v>81</v>
      </c>
      <c r="I304" s="133" t="s">
        <v>22</v>
      </c>
      <c r="J304" s="135" t="s">
        <v>23</v>
      </c>
      <c r="K304" s="135" t="s">
        <v>24</v>
      </c>
      <c r="L304" s="6" t="s">
        <v>138</v>
      </c>
      <c r="M304" s="93">
        <v>28</v>
      </c>
      <c r="N304" s="93">
        <v>60</v>
      </c>
      <c r="O304" s="6">
        <v>1</v>
      </c>
      <c r="P304" s="129">
        <v>1</v>
      </c>
      <c r="Q304" s="6">
        <v>222</v>
      </c>
      <c r="R304" s="98">
        <v>0.50029999999999997</v>
      </c>
      <c r="S304" s="94">
        <f>((Table3.110[[#This Row],[Sample weight, g]]*'2.1. DM'!Q83)/100)*1000</f>
        <v>467.21842480689094</v>
      </c>
      <c r="T304" s="94">
        <f>'3.2 Digest'!W304</f>
        <v>279.71842480689094</v>
      </c>
      <c r="U304" s="117">
        <v>0.34722222222222221</v>
      </c>
      <c r="V304" s="155">
        <v>41.5</v>
      </c>
      <c r="W304" s="117">
        <v>0.6743055555555556</v>
      </c>
      <c r="X304" s="97">
        <v>52.5</v>
      </c>
      <c r="Y304" s="97">
        <v>9</v>
      </c>
      <c r="Z304" s="155">
        <v>40.5</v>
      </c>
      <c r="AA304" s="117">
        <v>0.34166666666666667</v>
      </c>
      <c r="AB304" s="155">
        <v>55</v>
      </c>
      <c r="AC304" s="155">
        <v>5.0999999999999996</v>
      </c>
      <c r="AD304" s="96" t="s">
        <v>556</v>
      </c>
      <c r="AE304" s="94">
        <f>Table3.110[[#This Row],[Gas 8h, ml]]-Table3.110[[#This Row],[Gas 0h, ml]]</f>
        <v>11</v>
      </c>
      <c r="AF304" s="94">
        <f>Table3.110[[#This Row],[Gas 24h, ml]]-Table3.110[[#This Row],[V8 Push back, ml]]</f>
        <v>14.5</v>
      </c>
      <c r="AG304" s="94">
        <f>Table3.110[[#This Row],[GP 8h, ml]]-(AVERAGE(AE$293,AE$294,AE$385,AE$386,AE$477,AE$478))*$AG$8</f>
        <v>9.7462404288683047</v>
      </c>
      <c r="AH304" s="94">
        <f>Table3.110[[#This Row],[GP 8-24h, ml]]-(AVERAGE(AF$293,AF$294,AF$385,AF$386,AF$477,AF$478))*$AG$8</f>
        <v>12.508734798790837</v>
      </c>
      <c r="AI304" s="94">
        <f>Table3.110[[#This Row],[Net gas 8-24h, ml]]+Table3.110[[#This Row],[Net gas 8h, ml]]</f>
        <v>22.254975227659141</v>
      </c>
      <c r="AJ304" s="94">
        <f>Table3.110[[#This Row],[Net gas 8h, ml]]*Table3.110[[#This Row],[CH4 8h %]]%</f>
        <v>0.87716163859814744</v>
      </c>
      <c r="AK304" s="94">
        <f>Table3.110[[#This Row],[Net gas 8-24h, ml]]*Table3.110[[#This Row],[CH4 24h, %]]%</f>
        <v>0.63794547473833263</v>
      </c>
      <c r="AL304" s="94">
        <f>Table3.110[[#This Row],[CH4 8-24h, ml]]+Table3.110[[#This Row],[CH4 8h, ml]]</f>
        <v>1.5151071133364802</v>
      </c>
      <c r="AM304" s="94">
        <f>(Table3.110[[#This Row],[Net gas 24h, ml]]/Table3.110[[#This Row],[DM Incubated, mg]])*1000</f>
        <v>47.632914384439118</v>
      </c>
      <c r="AN304" s="94">
        <f>'3.2 Digest'!X304</f>
        <v>59.868877157938108</v>
      </c>
      <c r="AO304" s="94">
        <f>Table3.110[[#This Row],[Digested feed, mg]]/Table3.110[[#This Row],[Net gas 24h, ml]]</f>
        <v>12.568804141343128</v>
      </c>
      <c r="AP304" s="94">
        <f>Table3.110[[#This Row],[CH4 8h, ml]]/Table3.110[[#This Row],[Net gas 8h, ml]]%</f>
        <v>9</v>
      </c>
      <c r="AQ304" s="94">
        <f>Table3.110[[#This Row],[CH4 24h, ml]]/Table3.110[[#This Row],[Net gas 24h, ml]]%</f>
        <v>6.8079478760931638</v>
      </c>
      <c r="AR304" s="94">
        <f>Table3.110[[#This Row],[CH4 24h, ml]]/Table3.110[[#This Row],[DM Incubated, mg]]*1000</f>
        <v>3.2428239831566978</v>
      </c>
      <c r="AS304" s="94">
        <f>Table3.110[[#This Row],[CH4 24h, ml]]/Table3.110[[#This Row],[Digested feed, mg]]*1000</f>
        <v>5.4165438489883666</v>
      </c>
      <c r="AT304" s="94">
        <f>Table3.110[[#This Row],[CH4 24h, ml]]/'3.2 Digest'!AA304</f>
        <v>6.448740818277833E-2</v>
      </c>
      <c r="AU304" s="94">
        <f>((Table3.110[[#This Row],[CH4 24h, ml]]/28.9)*16.04)/Table3.110[[#This Row],[DM Incubated, mg]]*1000</f>
        <v>1.7998234148731291</v>
      </c>
      <c r="AV304" s="94">
        <f>((Table3.110[[#This Row],[CH4 24h, ml]]/28.9)*16.04)/Table3.110[[#This Row],[Digested feed, mg]]*1000</f>
        <v>3.0062755480198415</v>
      </c>
    </row>
    <row r="305" spans="2:49" s="89" customFormat="1" x14ac:dyDescent="0.35">
      <c r="B305" s="90">
        <f t="shared" si="4"/>
        <v>295</v>
      </c>
      <c r="C305" s="140">
        <v>46048</v>
      </c>
      <c r="D305" s="6" t="s">
        <v>16</v>
      </c>
      <c r="E305" s="6" t="s">
        <v>139</v>
      </c>
      <c r="F305" s="133" t="s">
        <v>79</v>
      </c>
      <c r="G305" s="133" t="s">
        <v>80</v>
      </c>
      <c r="H305" s="133" t="s">
        <v>81</v>
      </c>
      <c r="I305" s="133" t="s">
        <v>22</v>
      </c>
      <c r="J305" s="135" t="s">
        <v>23</v>
      </c>
      <c r="K305" s="135" t="s">
        <v>24</v>
      </c>
      <c r="L305" s="6" t="s">
        <v>138</v>
      </c>
      <c r="M305" s="93">
        <v>28</v>
      </c>
      <c r="N305" s="93">
        <v>60</v>
      </c>
      <c r="O305" s="6">
        <v>1</v>
      </c>
      <c r="P305" s="6">
        <v>2</v>
      </c>
      <c r="Q305" s="6">
        <v>223</v>
      </c>
      <c r="R305" s="98">
        <v>0.5</v>
      </c>
      <c r="S305" s="94">
        <f>((Table3.110[[#This Row],[Sample weight, g]]*'2.1. DM'!Q83)/100)*1000</f>
        <v>466.93826184978116</v>
      </c>
      <c r="T305" s="94">
        <f>'3.2 Digest'!W305</f>
        <v>276.83826184978125</v>
      </c>
      <c r="U305" s="153">
        <v>0.34791666666666665</v>
      </c>
      <c r="V305" s="154">
        <v>40.5</v>
      </c>
      <c r="W305" s="153">
        <v>0.6743055555555556</v>
      </c>
      <c r="X305" s="95">
        <v>53</v>
      </c>
      <c r="Y305" s="95">
        <v>6.2</v>
      </c>
      <c r="Z305" s="154">
        <v>40</v>
      </c>
      <c r="AA305" s="153">
        <v>0.34236111111111112</v>
      </c>
      <c r="AB305" s="154">
        <v>56</v>
      </c>
      <c r="AC305" s="154">
        <v>1.9</v>
      </c>
      <c r="AD305" s="177" t="s">
        <v>557</v>
      </c>
      <c r="AE305" s="94">
        <f>Table3.110[[#This Row],[Gas 8h, ml]]-Table3.110[[#This Row],[Gas 0h, ml]]</f>
        <v>12.5</v>
      </c>
      <c r="AF305" s="94">
        <f>Table3.110[[#This Row],[Gas 24h, ml]]-Table3.110[[#This Row],[V8 Push back, ml]]</f>
        <v>16</v>
      </c>
      <c r="AG305" s="94">
        <f>Table3.110[[#This Row],[GP 8h, ml]]-(AVERAGE(AE$293,AE$294,AE$385,AE$386,AE$477,AE$478))*$AG$8</f>
        <v>11.246240428868305</v>
      </c>
      <c r="AH305" s="94">
        <f>Table3.110[[#This Row],[GP 8-24h, ml]]-(AVERAGE(AF$293,AF$294,AF$385,AF$386,AF$477,AF$478))*$AG$8</f>
        <v>14.008734798790837</v>
      </c>
      <c r="AI305" s="94">
        <f>Table3.110[[#This Row],[Net gas 8-24h, ml]]+Table3.110[[#This Row],[Net gas 8h, ml]]</f>
        <v>25.254975227659141</v>
      </c>
      <c r="AJ305" s="94">
        <f>Table3.110[[#This Row],[Net gas 8h, ml]]*Table3.110[[#This Row],[CH4 8h %]]%</f>
        <v>0.69726690658983492</v>
      </c>
      <c r="AK305" s="94">
        <f>Table3.110[[#This Row],[Net gas 8-24h, ml]]*Table3.110[[#This Row],[CH4 24h, %]]%</f>
        <v>0.2661659611770259</v>
      </c>
      <c r="AL305" s="94">
        <f>Table3.110[[#This Row],[CH4 8-24h, ml]]+Table3.110[[#This Row],[CH4 8h, ml]]</f>
        <v>0.96343286776686088</v>
      </c>
      <c r="AM305" s="94">
        <f>(Table3.110[[#This Row],[Net gas 24h, ml]]/Table3.110[[#This Row],[DM Incubated, mg]])*1000</f>
        <v>54.086326375592513</v>
      </c>
      <c r="AN305" s="94">
        <f>'3.2 Digest'!X305</f>
        <v>59.28797968988092</v>
      </c>
      <c r="AO305" s="94">
        <f>Table3.110[[#This Row],[Digested feed, mg]]/Table3.110[[#This Row],[Net gas 24h, ml]]</f>
        <v>10.961731672838434</v>
      </c>
      <c r="AP305" s="94">
        <f>Table3.110[[#This Row],[CH4 8h, ml]]/Table3.110[[#This Row],[Net gas 8h, ml]]%</f>
        <v>6.2</v>
      </c>
      <c r="AQ305" s="94">
        <f>Table3.110[[#This Row],[CH4 24h, ml]]/Table3.110[[#This Row],[Net gas 24h, ml]]%</f>
        <v>3.8148240458842868</v>
      </c>
      <c r="AR305" s="94">
        <f>Table3.110[[#This Row],[CH4 24h, ml]]/Table3.110[[#This Row],[DM Incubated, mg]]*1000</f>
        <v>2.0632981841115585</v>
      </c>
      <c r="AS305" s="94">
        <f>Table3.110[[#This Row],[CH4 24h, ml]]/Table3.110[[#This Row],[Digested feed, mg]]*1000</f>
        <v>3.4801290158715181</v>
      </c>
      <c r="AT305" s="94">
        <f>Table3.110[[#This Row],[CH4 24h, ml]]/'3.2 Digest'!AA305</f>
        <v>4.3034977563098091E-2</v>
      </c>
      <c r="AU305" s="94">
        <f>((Table3.110[[#This Row],[CH4 24h, ml]]/28.9)*16.04)/Table3.110[[#This Row],[DM Incubated, mg]]*1000</f>
        <v>1.1451661893823322</v>
      </c>
      <c r="AV305" s="94">
        <f>((Table3.110[[#This Row],[CH4 24h, ml]]/28.9)*16.04)/Table3.110[[#This Row],[Digested feed, mg]]*1000</f>
        <v>1.9315318136532578</v>
      </c>
    </row>
    <row r="306" spans="2:49" s="89" customFormat="1" x14ac:dyDescent="0.35">
      <c r="B306" s="90">
        <f t="shared" si="4"/>
        <v>296</v>
      </c>
      <c r="C306" s="140">
        <v>46048</v>
      </c>
      <c r="D306" s="6" t="s">
        <v>16</v>
      </c>
      <c r="E306" s="6" t="s">
        <v>139</v>
      </c>
      <c r="F306" s="133" t="s">
        <v>79</v>
      </c>
      <c r="G306" s="133" t="s">
        <v>80</v>
      </c>
      <c r="H306" s="133" t="s">
        <v>81</v>
      </c>
      <c r="I306" s="133" t="s">
        <v>22</v>
      </c>
      <c r="J306" s="135" t="s">
        <v>23</v>
      </c>
      <c r="K306" s="135" t="s">
        <v>24</v>
      </c>
      <c r="L306" s="6" t="s">
        <v>138</v>
      </c>
      <c r="M306" s="93">
        <v>28</v>
      </c>
      <c r="N306" s="93">
        <v>60</v>
      </c>
      <c r="O306" s="6">
        <v>1</v>
      </c>
      <c r="P306" s="129">
        <v>3</v>
      </c>
      <c r="Q306" s="6">
        <v>224</v>
      </c>
      <c r="R306" s="98">
        <v>0.50039999999999996</v>
      </c>
      <c r="S306" s="94">
        <f>((Table3.110[[#This Row],[Sample weight, g]]*'2.1. DM'!Q83)/100)*1000</f>
        <v>467.31181245926098</v>
      </c>
      <c r="T306" s="94">
        <f>'3.2 Digest'!W306</f>
        <v>295.31181245926098</v>
      </c>
      <c r="U306" s="117">
        <v>0.34930555555555554</v>
      </c>
      <c r="V306" s="155">
        <v>40.5</v>
      </c>
      <c r="W306" s="117">
        <v>0.67500000000000004</v>
      </c>
      <c r="X306" s="97">
        <v>53.5</v>
      </c>
      <c r="Y306" s="97">
        <v>5.6</v>
      </c>
      <c r="Z306" s="155">
        <v>40</v>
      </c>
      <c r="AA306" s="117">
        <v>0.34305555555555556</v>
      </c>
      <c r="AB306" s="155">
        <v>54.5</v>
      </c>
      <c r="AC306" s="155">
        <v>0.9</v>
      </c>
      <c r="AD306" s="96" t="s">
        <v>558</v>
      </c>
      <c r="AE306" s="94">
        <f>Table3.110[[#This Row],[Gas 8h, ml]]-Table3.110[[#This Row],[Gas 0h, ml]]</f>
        <v>13</v>
      </c>
      <c r="AF306" s="94">
        <f>Table3.110[[#This Row],[Gas 24h, ml]]-Table3.110[[#This Row],[V8 Push back, ml]]</f>
        <v>14.5</v>
      </c>
      <c r="AG306" s="94">
        <f>Table3.110[[#This Row],[GP 8h, ml]]-(AVERAGE(AE$293,AE$294,AE$385,AE$386,AE$477,AE$478))*$AG$8</f>
        <v>11.746240428868305</v>
      </c>
      <c r="AH306" s="94">
        <f>Table3.110[[#This Row],[GP 8-24h, ml]]-(AVERAGE(AF$293,AF$294,AF$385,AF$386,AF$477,AF$478))*$AG$8</f>
        <v>12.508734798790837</v>
      </c>
      <c r="AI306" s="94">
        <f>Table3.110[[#This Row],[Net gas 8-24h, ml]]+Table3.110[[#This Row],[Net gas 8h, ml]]</f>
        <v>24.254975227659141</v>
      </c>
      <c r="AJ306" s="94">
        <f>Table3.110[[#This Row],[Net gas 8h, ml]]*Table3.110[[#This Row],[CH4 8h %]]%</f>
        <v>0.65778946401662497</v>
      </c>
      <c r="AK306" s="94">
        <f>Table3.110[[#This Row],[Net gas 8-24h, ml]]*Table3.110[[#This Row],[CH4 24h, %]]%</f>
        <v>0.11257861318911755</v>
      </c>
      <c r="AL306" s="94">
        <f>Table3.110[[#This Row],[CH4 8-24h, ml]]+Table3.110[[#This Row],[CH4 8h, ml]]</f>
        <v>0.77036807720574252</v>
      </c>
      <c r="AM306" s="94">
        <f>(Table3.110[[#This Row],[Net gas 24h, ml]]/Table3.110[[#This Row],[DM Incubated, mg]])*1000</f>
        <v>51.903193073626028</v>
      </c>
      <c r="AN306" s="94">
        <f>'3.2 Digest'!X306</f>
        <v>63.193740150749022</v>
      </c>
      <c r="AO306" s="94">
        <f>Table3.110[[#This Row],[Digested feed, mg]]/Table3.110[[#This Row],[Net gas 24h, ml]]</f>
        <v>12.175308763972778</v>
      </c>
      <c r="AP306" s="94">
        <f>Table3.110[[#This Row],[CH4 8h, ml]]/Table3.110[[#This Row],[Net gas 8h, ml]]%</f>
        <v>5.6</v>
      </c>
      <c r="AQ306" s="94">
        <f>Table3.110[[#This Row],[CH4 24h, ml]]/Table3.110[[#This Row],[Net gas 24h, ml]]%</f>
        <v>3.1761239497258025</v>
      </c>
      <c r="AR306" s="94">
        <f>Table3.110[[#This Row],[CH4 24h, ml]]/Table3.110[[#This Row],[DM Incubated, mg]]*1000</f>
        <v>1.6485097458838605</v>
      </c>
      <c r="AS306" s="94">
        <f>Table3.110[[#This Row],[CH4 24h, ml]]/Table3.110[[#This Row],[Digested feed, mg]]*1000</f>
        <v>2.6086598798414702</v>
      </c>
      <c r="AT306" s="94">
        <f>Table3.110[[#This Row],[CH4 24h, ml]]/'3.2 Digest'!AA306</f>
        <v>2.5822604969074275E-2</v>
      </c>
      <c r="AU306" s="94">
        <f>((Table3.110[[#This Row],[CH4 24h, ml]]/28.9)*16.04)/Table3.110[[#This Row],[DM Incubated, mg]]*1000</f>
        <v>0.91495142989540201</v>
      </c>
      <c r="AV306" s="94">
        <f>((Table3.110[[#This Row],[CH4 24h, ml]]/28.9)*16.04)/Table3.110[[#This Row],[Digested feed, mg]]*1000</f>
        <v>1.4478513658358885</v>
      </c>
    </row>
    <row r="307" spans="2:49" s="89" customFormat="1" x14ac:dyDescent="0.35">
      <c r="B307" s="90">
        <f t="shared" si="4"/>
        <v>297</v>
      </c>
      <c r="C307" s="140">
        <v>46048</v>
      </c>
      <c r="D307" s="6" t="s">
        <v>16</v>
      </c>
      <c r="E307" s="6" t="s">
        <v>141</v>
      </c>
      <c r="F307" s="133" t="s">
        <v>142</v>
      </c>
      <c r="G307" s="133" t="s">
        <v>143</v>
      </c>
      <c r="H307" s="133" t="s">
        <v>144</v>
      </c>
      <c r="I307" s="133" t="s">
        <v>22</v>
      </c>
      <c r="J307" s="135" t="s">
        <v>23</v>
      </c>
      <c r="K307" s="135" t="s">
        <v>24</v>
      </c>
      <c r="L307" s="6" t="s">
        <v>140</v>
      </c>
      <c r="M307" s="93">
        <v>28</v>
      </c>
      <c r="N307" s="93">
        <v>60</v>
      </c>
      <c r="O307" s="6">
        <v>1</v>
      </c>
      <c r="P307" s="129">
        <v>1</v>
      </c>
      <c r="Q307" s="6">
        <v>225</v>
      </c>
      <c r="R307" s="98">
        <v>0.50049999999999994</v>
      </c>
      <c r="S307" s="94">
        <f>((Table3.110[[#This Row],[Sample weight, g]]*'2.1. DM'!Q85)/100)*1000</f>
        <v>466.50299062388405</v>
      </c>
      <c r="T307" s="94">
        <f>'3.2 Digest'!W307</f>
        <v>119.50299062388405</v>
      </c>
      <c r="U307" s="153">
        <v>0.35</v>
      </c>
      <c r="V307" s="154">
        <v>41.5</v>
      </c>
      <c r="W307" s="153">
        <v>0.67569444444444449</v>
      </c>
      <c r="X307" s="95">
        <v>80</v>
      </c>
      <c r="Y307" s="95">
        <v>13.3</v>
      </c>
      <c r="Z307" s="154">
        <v>41</v>
      </c>
      <c r="AA307" s="153">
        <v>0.34861111111111109</v>
      </c>
      <c r="AB307" s="154">
        <v>80.5</v>
      </c>
      <c r="AC307" s="154">
        <v>16.600000000000001</v>
      </c>
      <c r="AD307" s="91"/>
      <c r="AE307" s="94">
        <f>Table3.110[[#This Row],[Gas 8h, ml]]-Table3.110[[#This Row],[Gas 0h, ml]]</f>
        <v>38.5</v>
      </c>
      <c r="AF307" s="94">
        <f>Table3.110[[#This Row],[Gas 24h, ml]]-Table3.110[[#This Row],[V8 Push back, ml]]</f>
        <v>39.5</v>
      </c>
      <c r="AG307" s="94">
        <f>Table3.110[[#This Row],[GP 8h, ml]]-(AVERAGE(AE$293,AE$294,AE$385,AE$386,AE$477,AE$478))*$AG$8</f>
        <v>37.246240428868305</v>
      </c>
      <c r="AH307" s="94">
        <f>Table3.110[[#This Row],[GP 8-24h, ml]]-(AVERAGE(AF$293,AF$294,AF$385,AF$386,AF$477,AF$478))*$AG$8</f>
        <v>37.50873479879084</v>
      </c>
      <c r="AI307" s="94">
        <f>Table3.110[[#This Row],[Net gas 8-24h, ml]]+Table3.110[[#This Row],[Net gas 8h, ml]]</f>
        <v>74.754975227659145</v>
      </c>
      <c r="AJ307" s="94">
        <f>Table3.110[[#This Row],[Net gas 8h, ml]]*Table3.110[[#This Row],[CH4 8h %]]%</f>
        <v>4.9537499770394851</v>
      </c>
      <c r="AK307" s="94">
        <f>Table3.110[[#This Row],[Net gas 8-24h, ml]]*Table3.110[[#This Row],[CH4 24h, %]]%</f>
        <v>6.2264499765992802</v>
      </c>
      <c r="AL307" s="94">
        <f>Table3.110[[#This Row],[CH4 8-24h, ml]]+Table3.110[[#This Row],[CH4 8h, ml]]</f>
        <v>11.180199953638766</v>
      </c>
      <c r="AM307" s="94">
        <f>(Table3.110[[#This Row],[Net gas 24h, ml]]/Table3.110[[#This Row],[DM Incubated, mg]])*1000</f>
        <v>160.24543621399849</v>
      </c>
      <c r="AN307" s="94">
        <f>'3.2 Digest'!X307</f>
        <v>25.616768386428802</v>
      </c>
      <c r="AO307" s="94">
        <f>Table3.110[[#This Row],[Digested feed, mg]]/Table3.110[[#This Row],[Net gas 24h, ml]]</f>
        <v>1.5985958159968496</v>
      </c>
      <c r="AP307" s="94">
        <f>Table3.110[[#This Row],[CH4 8h, ml]]/Table3.110[[#This Row],[Net gas 8h, ml]]%</f>
        <v>13.3</v>
      </c>
      <c r="AQ307" s="94">
        <f>Table3.110[[#This Row],[CH4 24h, ml]]/Table3.110[[#This Row],[Net gas 24h, ml]]%</f>
        <v>14.955793804479947</v>
      </c>
      <c r="AR307" s="94">
        <f>Table3.110[[#This Row],[CH4 24h, ml]]/Table3.110[[#This Row],[DM Incubated, mg]]*1000</f>
        <v>23.965977021255053</v>
      </c>
      <c r="AS307" s="94">
        <f>Table3.110[[#This Row],[CH4 24h, ml]]/Table3.110[[#This Row],[Digested feed, mg]]*1000</f>
        <v>93.555817266754445</v>
      </c>
      <c r="AT307" s="94">
        <f>Table3.110[[#This Row],[CH4 24h, ml]]/'3.2 Digest'!AA307</f>
        <v>-0.3334259768782849</v>
      </c>
      <c r="AU307" s="94">
        <f>((Table3.110[[#This Row],[CH4 24h, ml]]/28.9)*16.04)/Table3.110[[#This Row],[DM Incubated, mg]]*1000</f>
        <v>13.301531883077198</v>
      </c>
      <c r="AV307" s="94">
        <f>((Table3.110[[#This Row],[CH4 24h, ml]]/28.9)*16.04)/Table3.110[[#This Row],[Digested feed, mg]]*1000</f>
        <v>51.925097195804199</v>
      </c>
    </row>
    <row r="308" spans="2:49" s="89" customFormat="1" x14ac:dyDescent="0.35">
      <c r="B308" s="90">
        <f t="shared" si="4"/>
        <v>298</v>
      </c>
      <c r="C308" s="140">
        <v>46048</v>
      </c>
      <c r="D308" s="6" t="s">
        <v>16</v>
      </c>
      <c r="E308" s="6" t="s">
        <v>141</v>
      </c>
      <c r="F308" s="133" t="s">
        <v>142</v>
      </c>
      <c r="G308" s="133" t="s">
        <v>143</v>
      </c>
      <c r="H308" s="133" t="s">
        <v>144</v>
      </c>
      <c r="I308" s="133" t="s">
        <v>22</v>
      </c>
      <c r="J308" s="135" t="s">
        <v>23</v>
      </c>
      <c r="K308" s="135" t="s">
        <v>24</v>
      </c>
      <c r="L308" s="6" t="s">
        <v>140</v>
      </c>
      <c r="M308" s="93">
        <v>28</v>
      </c>
      <c r="N308" s="93">
        <v>60</v>
      </c>
      <c r="O308" s="6">
        <v>1</v>
      </c>
      <c r="P308" s="6">
        <v>2</v>
      </c>
      <c r="Q308" s="6">
        <v>226</v>
      </c>
      <c r="R308" s="98">
        <v>0.50060000000000004</v>
      </c>
      <c r="S308" s="94">
        <f>((Table3.110[[#This Row],[Sample weight, g]]*'2.1. DM'!Q85)/100)*1000</f>
        <v>466.59619801461815</v>
      </c>
      <c r="T308" s="94">
        <f>'3.2 Digest'!W308</f>
        <v>235.19619801461809</v>
      </c>
      <c r="U308" s="117">
        <v>0.35069444444444442</v>
      </c>
      <c r="V308" s="155">
        <v>42</v>
      </c>
      <c r="W308" s="117">
        <v>0.67569444444444449</v>
      </c>
      <c r="X308" s="97">
        <v>79.5</v>
      </c>
      <c r="Y308" s="97">
        <v>13.5</v>
      </c>
      <c r="Z308" s="155">
        <v>40.5</v>
      </c>
      <c r="AA308" s="117">
        <v>0.34861111111111109</v>
      </c>
      <c r="AB308" s="155">
        <v>84</v>
      </c>
      <c r="AC308" s="155">
        <v>18.2</v>
      </c>
      <c r="AD308" s="96"/>
      <c r="AE308" s="94">
        <f>Table3.110[[#This Row],[Gas 8h, ml]]-Table3.110[[#This Row],[Gas 0h, ml]]</f>
        <v>37.5</v>
      </c>
      <c r="AF308" s="94">
        <f>Table3.110[[#This Row],[Gas 24h, ml]]-Table3.110[[#This Row],[V8 Push back, ml]]</f>
        <v>43.5</v>
      </c>
      <c r="AG308" s="94">
        <f>Table3.110[[#This Row],[GP 8h, ml]]-(AVERAGE(AE$293,AE$294,AE$385,AE$386,AE$477,AE$478))*$AG$8</f>
        <v>36.246240428868305</v>
      </c>
      <c r="AH308" s="94">
        <f>Table3.110[[#This Row],[GP 8-24h, ml]]-(AVERAGE(AF$293,AF$294,AF$385,AF$386,AF$477,AF$478))*$AG$8</f>
        <v>41.50873479879084</v>
      </c>
      <c r="AI308" s="94">
        <f>Table3.110[[#This Row],[Net gas 8-24h, ml]]+Table3.110[[#This Row],[Net gas 8h, ml]]</f>
        <v>77.754975227659145</v>
      </c>
      <c r="AJ308" s="94">
        <f>Table3.110[[#This Row],[Net gas 8h, ml]]*Table3.110[[#This Row],[CH4 8h %]]%</f>
        <v>4.8932424578972213</v>
      </c>
      <c r="AK308" s="94">
        <f>Table3.110[[#This Row],[Net gas 8-24h, ml]]*Table3.110[[#This Row],[CH4 24h, %]]%</f>
        <v>7.5545897333799328</v>
      </c>
      <c r="AL308" s="94">
        <f>Table3.110[[#This Row],[CH4 8-24h, ml]]+Table3.110[[#This Row],[CH4 8h, ml]]</f>
        <v>12.447832191277154</v>
      </c>
      <c r="AM308" s="94">
        <f>(Table3.110[[#This Row],[Net gas 24h, ml]]/Table3.110[[#This Row],[DM Incubated, mg]])*1000</f>
        <v>166.64296785638004</v>
      </c>
      <c r="AN308" s="94">
        <f>'3.2 Digest'!X308</f>
        <v>50.406796929633266</v>
      </c>
      <c r="AO308" s="94">
        <f>Table3.110[[#This Row],[Digested feed, mg]]/Table3.110[[#This Row],[Net gas 24h, ml]]</f>
        <v>3.0248379261389524</v>
      </c>
      <c r="AP308" s="94">
        <f>Table3.110[[#This Row],[CH4 8h, ml]]/Table3.110[[#This Row],[Net gas 8h, ml]]%</f>
        <v>13.500000000000002</v>
      </c>
      <c r="AQ308" s="94">
        <f>Table3.110[[#This Row],[CH4 24h, ml]]/Table3.110[[#This Row],[Net gas 24h, ml]]%</f>
        <v>16.009049137796122</v>
      </c>
      <c r="AR308" s="94">
        <f>Table3.110[[#This Row],[CH4 24h, ml]]/Table3.110[[#This Row],[DM Incubated, mg]]*1000</f>
        <v>26.677954608809678</v>
      </c>
      <c r="AS308" s="94">
        <f>Table3.110[[#This Row],[CH4 24h, ml]]/Table3.110[[#This Row],[Digested feed, mg]]*1000</f>
        <v>52.925312128147098</v>
      </c>
      <c r="AT308" s="94">
        <f>Table3.110[[#This Row],[CH4 24h, ml]]/'3.2 Digest'!AA308</f>
        <v>1.1345834157764583</v>
      </c>
      <c r="AU308" s="94">
        <f>((Table3.110[[#This Row],[CH4 24h, ml]]/28.9)*16.04)/Table3.110[[#This Row],[DM Incubated, mg]]*1000</f>
        <v>14.80672636419748</v>
      </c>
      <c r="AV308" s="94">
        <f>((Table3.110[[#This Row],[CH4 24h, ml]]/28.9)*16.04)/Table3.110[[#This Row],[Digested feed, mg]]*1000</f>
        <v>29.374463893961227</v>
      </c>
    </row>
    <row r="309" spans="2:49" s="89" customFormat="1" x14ac:dyDescent="0.35">
      <c r="B309" s="90">
        <f t="shared" si="4"/>
        <v>299</v>
      </c>
      <c r="C309" s="140">
        <v>46048</v>
      </c>
      <c r="D309" s="6" t="s">
        <v>16</v>
      </c>
      <c r="E309" s="6" t="s">
        <v>141</v>
      </c>
      <c r="F309" s="133" t="s">
        <v>142</v>
      </c>
      <c r="G309" s="133" t="s">
        <v>143</v>
      </c>
      <c r="H309" s="133" t="s">
        <v>144</v>
      </c>
      <c r="I309" s="133" t="s">
        <v>22</v>
      </c>
      <c r="J309" s="135" t="s">
        <v>23</v>
      </c>
      <c r="K309" s="135" t="s">
        <v>24</v>
      </c>
      <c r="L309" s="6" t="s">
        <v>140</v>
      </c>
      <c r="M309" s="93">
        <v>28</v>
      </c>
      <c r="N309" s="93">
        <v>60</v>
      </c>
      <c r="O309" s="6">
        <v>1</v>
      </c>
      <c r="P309" s="129">
        <v>3</v>
      </c>
      <c r="Q309" s="6">
        <v>227</v>
      </c>
      <c r="R309" s="98">
        <v>0.50039999999999996</v>
      </c>
      <c r="S309" s="94">
        <f>((Table3.110[[#This Row],[Sample weight, g]]*'2.1. DM'!Q85)/100)*1000</f>
        <v>466.40978323314999</v>
      </c>
      <c r="T309" s="94">
        <f>'3.2 Digest'!W309</f>
        <v>188.60978323314993</v>
      </c>
      <c r="U309" s="153">
        <v>0.35138888888888886</v>
      </c>
      <c r="V309" s="154">
        <v>42</v>
      </c>
      <c r="W309" s="153">
        <v>0.67638888888888893</v>
      </c>
      <c r="X309" s="95">
        <v>80.5</v>
      </c>
      <c r="Y309" s="95">
        <v>13.1</v>
      </c>
      <c r="Z309" s="154">
        <v>40.5</v>
      </c>
      <c r="AA309" s="153">
        <v>0.34861111111111109</v>
      </c>
      <c r="AB309" s="154">
        <v>80.5</v>
      </c>
      <c r="AC309" s="154">
        <v>18.5</v>
      </c>
      <c r="AD309" s="91"/>
      <c r="AE309" s="94">
        <f>Table3.110[[#This Row],[Gas 8h, ml]]-Table3.110[[#This Row],[Gas 0h, ml]]</f>
        <v>38.5</v>
      </c>
      <c r="AF309" s="94">
        <f>Table3.110[[#This Row],[Gas 24h, ml]]-Table3.110[[#This Row],[V8 Push back, ml]]</f>
        <v>40</v>
      </c>
      <c r="AG309" s="94">
        <f>Table3.110[[#This Row],[GP 8h, ml]]-(AVERAGE(AE$293,AE$294,AE$385,AE$386,AE$477,AE$478))*$AG$8</f>
        <v>37.246240428868305</v>
      </c>
      <c r="AH309" s="94">
        <f>Table3.110[[#This Row],[GP 8-24h, ml]]-(AVERAGE(AF$293,AF$294,AF$385,AF$386,AF$477,AF$478))*$AG$8</f>
        <v>38.00873479879084</v>
      </c>
      <c r="AI309" s="94">
        <f>Table3.110[[#This Row],[Net gas 8-24h, ml]]+Table3.110[[#This Row],[Net gas 8h, ml]]</f>
        <v>75.254975227659145</v>
      </c>
      <c r="AJ309" s="94">
        <f>Table3.110[[#This Row],[Net gas 8h, ml]]*Table3.110[[#This Row],[CH4 8h %]]%</f>
        <v>4.8792574961817481</v>
      </c>
      <c r="AK309" s="94">
        <f>Table3.110[[#This Row],[Net gas 8-24h, ml]]*Table3.110[[#This Row],[CH4 24h, %]]%</f>
        <v>7.031615937776305</v>
      </c>
      <c r="AL309" s="94">
        <f>Table3.110[[#This Row],[CH4 8-24h, ml]]+Table3.110[[#This Row],[CH4 8h, ml]]</f>
        <v>11.910873433958052</v>
      </c>
      <c r="AM309" s="94">
        <f>(Table3.110[[#This Row],[Net gas 24h, ml]]/Table3.110[[#This Row],[DM Incubated, mg]])*1000</f>
        <v>161.349478362122</v>
      </c>
      <c r="AN309" s="94">
        <f>'3.2 Digest'!X309</f>
        <v>40.438642158341523</v>
      </c>
      <c r="AO309" s="94">
        <f>Table3.110[[#This Row],[Digested feed, mg]]/Table3.110[[#This Row],[Net gas 24h, ml]]</f>
        <v>2.5062765971628207</v>
      </c>
      <c r="AP309" s="94">
        <f>Table3.110[[#This Row],[CH4 8h, ml]]/Table3.110[[#This Row],[Net gas 8h, ml]]%</f>
        <v>13.1</v>
      </c>
      <c r="AQ309" s="94">
        <f>Table3.110[[#This Row],[CH4 24h, ml]]/Table3.110[[#This Row],[Net gas 24h, ml]]%</f>
        <v>15.82735679325603</v>
      </c>
      <c r="AR309" s="94">
        <f>Table3.110[[#This Row],[CH4 24h, ml]]/Table3.110[[#This Row],[DM Incubated, mg]]*1000</f>
        <v>25.537357624430484</v>
      </c>
      <c r="AS309" s="94">
        <f>Table3.110[[#This Row],[CH4 24h, ml]]/Table3.110[[#This Row],[Digested feed, mg]]*1000</f>
        <v>63.150878124038925</v>
      </c>
      <c r="AT309" s="94">
        <f>Table3.110[[#This Row],[CH4 24h, ml]]/'3.2 Digest'!AA309</f>
        <v>-1.7203913941879745</v>
      </c>
      <c r="AU309" s="94">
        <f>((Table3.110[[#This Row],[CH4 24h, ml]]/28.9)*16.04)/Table3.110[[#This Row],[DM Incubated, mg]]*1000</f>
        <v>14.173675304355188</v>
      </c>
      <c r="AV309" s="94">
        <f>((Table3.110[[#This Row],[CH4 24h, ml]]/28.9)*16.04)/Table3.110[[#This Row],[Digested feed, mg]]*1000</f>
        <v>35.049829934587699</v>
      </c>
    </row>
    <row r="310" spans="2:49" s="89" customFormat="1" x14ac:dyDescent="0.35">
      <c r="B310" s="90">
        <f t="shared" si="4"/>
        <v>300</v>
      </c>
      <c r="C310" s="140">
        <v>46048</v>
      </c>
      <c r="D310" s="6" t="s">
        <v>16</v>
      </c>
      <c r="E310" s="6" t="s">
        <v>146</v>
      </c>
      <c r="F310" s="133" t="s">
        <v>88</v>
      </c>
      <c r="G310" s="133" t="s">
        <v>147</v>
      </c>
      <c r="H310" s="133" t="s">
        <v>148</v>
      </c>
      <c r="I310" s="133" t="s">
        <v>22</v>
      </c>
      <c r="J310" s="135" t="s">
        <v>23</v>
      </c>
      <c r="K310" s="135" t="s">
        <v>24</v>
      </c>
      <c r="L310" s="6" t="s">
        <v>145</v>
      </c>
      <c r="M310" s="93">
        <v>28</v>
      </c>
      <c r="N310" s="93">
        <v>60</v>
      </c>
      <c r="O310" s="6">
        <v>1</v>
      </c>
      <c r="P310" s="129">
        <v>1</v>
      </c>
      <c r="Q310" s="6">
        <v>228</v>
      </c>
      <c r="R310" s="98">
        <v>0.50029999999999997</v>
      </c>
      <c r="S310" s="94">
        <f>((Table3.110[[#This Row],[Sample weight, g]]*'2.1. DM'!Q87)/100)*1000</f>
        <v>470.14250195538108</v>
      </c>
      <c r="T310" s="94">
        <f>'3.2 Digest'!W310</f>
        <v>115.94250195538103</v>
      </c>
      <c r="U310" s="117">
        <v>0.35138888888888886</v>
      </c>
      <c r="V310" s="155">
        <v>41.5</v>
      </c>
      <c r="W310" s="117">
        <v>0.67708333333333337</v>
      </c>
      <c r="X310" s="97">
        <v>63.5</v>
      </c>
      <c r="Y310" s="97">
        <v>11.8</v>
      </c>
      <c r="Z310" s="155">
        <v>41</v>
      </c>
      <c r="AA310" s="117">
        <v>0.34930555555555554</v>
      </c>
      <c r="AB310" s="155">
        <v>58.5</v>
      </c>
      <c r="AC310" s="155">
        <v>12.9</v>
      </c>
      <c r="AD310" s="96" t="s">
        <v>559</v>
      </c>
      <c r="AE310" s="94">
        <f>Table3.110[[#This Row],[Gas 8h, ml]]-Table3.110[[#This Row],[Gas 0h, ml]]</f>
        <v>22</v>
      </c>
      <c r="AF310" s="94">
        <f>Table3.110[[#This Row],[Gas 24h, ml]]-Table3.110[[#This Row],[V8 Push back, ml]]</f>
        <v>17.5</v>
      </c>
      <c r="AG310" s="94">
        <f>Table3.110[[#This Row],[GP 8h, ml]]-(AVERAGE(AE$293,AE$294,AE$385,AE$386,AE$477,AE$478))*$AG$8</f>
        <v>20.746240428868305</v>
      </c>
      <c r="AH310" s="94">
        <f>Table3.110[[#This Row],[GP 8-24h, ml]]-(AVERAGE(AF$293,AF$294,AF$385,AF$386,AF$477,AF$478))*$AG$8</f>
        <v>15.508734798790837</v>
      </c>
      <c r="AI310" s="94">
        <f>Table3.110[[#This Row],[Net gas 8-24h, ml]]+Table3.110[[#This Row],[Net gas 8h, ml]]</f>
        <v>36.254975227659145</v>
      </c>
      <c r="AJ310" s="94">
        <f>Table3.110[[#This Row],[Net gas 8h, ml]]*Table3.110[[#This Row],[CH4 8h %]]%</f>
        <v>2.44805637060646</v>
      </c>
      <c r="AK310" s="94">
        <f>Table3.110[[#This Row],[Net gas 8-24h, ml]]*Table3.110[[#This Row],[CH4 24h, %]]%</f>
        <v>2.0006267890440181</v>
      </c>
      <c r="AL310" s="94">
        <f>Table3.110[[#This Row],[CH4 8-24h, ml]]+Table3.110[[#This Row],[CH4 8h, ml]]</f>
        <v>4.4486831596504786</v>
      </c>
      <c r="AM310" s="94">
        <f>(Table3.110[[#This Row],[Net gas 24h, ml]]/Table3.110[[#This Row],[DM Incubated, mg]])*1000</f>
        <v>77.114864273853556</v>
      </c>
      <c r="AN310" s="94">
        <f>'3.2 Digest'!X310</f>
        <v>24.661140286862338</v>
      </c>
      <c r="AO310" s="94">
        <f>Table3.110[[#This Row],[Digested feed, mg]]/Table3.110[[#This Row],[Net gas 24h, ml]]</f>
        <v>3.1979749324701725</v>
      </c>
      <c r="AP310" s="94">
        <f>Table3.110[[#This Row],[CH4 8h, ml]]/Table3.110[[#This Row],[Net gas 8h, ml]]%</f>
        <v>11.8</v>
      </c>
      <c r="AQ310" s="94">
        <f>Table3.110[[#This Row],[CH4 24h, ml]]/Table3.110[[#This Row],[Net gas 24h, ml]]%</f>
        <v>12.270545302308054</v>
      </c>
      <c r="AR310" s="94">
        <f>Table3.110[[#This Row],[CH4 24h, ml]]/Table3.110[[#This Row],[DM Incubated, mg]]*1000</f>
        <v>9.4624143555365716</v>
      </c>
      <c r="AS310" s="94">
        <f>Table3.110[[#This Row],[CH4 24h, ml]]/Table3.110[[#This Row],[Digested feed, mg]]*1000</f>
        <v>38.369735727822203</v>
      </c>
      <c r="AT310" s="94">
        <f>Table3.110[[#This Row],[CH4 24h, ml]]/'3.2 Digest'!AA310</f>
        <v>-0.15206434684528647</v>
      </c>
      <c r="AU310" s="94">
        <f>((Table3.110[[#This Row],[CH4 24h, ml]]/28.9)*16.04)/Table3.110[[#This Row],[DM Incubated, mg]]*1000</f>
        <v>5.2518036769137231</v>
      </c>
      <c r="AV310" s="94">
        <f>((Table3.110[[#This Row],[CH4 24h, ml]]/28.9)*16.04)/Table3.110[[#This Row],[Digested feed, mg]]*1000</f>
        <v>21.295867165199585</v>
      </c>
    </row>
    <row r="311" spans="2:49" s="89" customFormat="1" x14ac:dyDescent="0.35">
      <c r="B311" s="90">
        <f t="shared" si="4"/>
        <v>301</v>
      </c>
      <c r="C311" s="140">
        <v>46048</v>
      </c>
      <c r="D311" s="6" t="s">
        <v>16</v>
      </c>
      <c r="E311" s="6" t="s">
        <v>146</v>
      </c>
      <c r="F311" s="133" t="s">
        <v>88</v>
      </c>
      <c r="G311" s="133" t="s">
        <v>147</v>
      </c>
      <c r="H311" s="133" t="s">
        <v>148</v>
      </c>
      <c r="I311" s="133" t="s">
        <v>22</v>
      </c>
      <c r="J311" s="135" t="s">
        <v>23</v>
      </c>
      <c r="K311" s="135" t="s">
        <v>24</v>
      </c>
      <c r="L311" s="6" t="s">
        <v>145</v>
      </c>
      <c r="M311" s="93">
        <v>28</v>
      </c>
      <c r="N311" s="93">
        <v>60</v>
      </c>
      <c r="O311" s="6">
        <v>1</v>
      </c>
      <c r="P311" s="6">
        <v>2</v>
      </c>
      <c r="Q311" s="6">
        <v>229</v>
      </c>
      <c r="R311" s="98">
        <v>0.50029999999999997</v>
      </c>
      <c r="S311" s="94">
        <f>((Table3.110[[#This Row],[Sample weight, g]]*'2.1. DM'!Q87)/100)*1000</f>
        <v>470.14250195538108</v>
      </c>
      <c r="T311" s="94">
        <f>'3.2 Digest'!W311</f>
        <v>116.54250195538117</v>
      </c>
      <c r="U311" s="153">
        <v>0.35208333333333336</v>
      </c>
      <c r="V311" s="154">
        <v>41</v>
      </c>
      <c r="W311" s="153">
        <v>0.67708333333333337</v>
      </c>
      <c r="X311" s="95">
        <v>61.5</v>
      </c>
      <c r="Y311" s="95">
        <v>12.1</v>
      </c>
      <c r="Z311" s="154">
        <v>40.5</v>
      </c>
      <c r="AA311" s="153">
        <v>0.35</v>
      </c>
      <c r="AB311" s="154">
        <v>58.5</v>
      </c>
      <c r="AC311" s="154">
        <v>11.5</v>
      </c>
      <c r="AD311" s="91"/>
      <c r="AE311" s="94">
        <f>Table3.110[[#This Row],[Gas 8h, ml]]-Table3.110[[#This Row],[Gas 0h, ml]]</f>
        <v>20.5</v>
      </c>
      <c r="AF311" s="94">
        <f>Table3.110[[#This Row],[Gas 24h, ml]]-Table3.110[[#This Row],[V8 Push back, ml]]</f>
        <v>18</v>
      </c>
      <c r="AG311" s="94">
        <f>Table3.110[[#This Row],[GP 8h, ml]]-(AVERAGE(AE$293,AE$294,AE$385,AE$386,AE$477,AE$478))*$AG$8</f>
        <v>19.246240428868305</v>
      </c>
      <c r="AH311" s="94">
        <f>Table3.110[[#This Row],[GP 8-24h, ml]]-(AVERAGE(AF$293,AF$294,AF$385,AF$386,AF$477,AF$478))*$AG$8</f>
        <v>16.008734798790837</v>
      </c>
      <c r="AI311" s="94">
        <f>Table3.110[[#This Row],[Net gas 8-24h, ml]]+Table3.110[[#This Row],[Net gas 8h, ml]]</f>
        <v>35.254975227659145</v>
      </c>
      <c r="AJ311" s="94">
        <f>Table3.110[[#This Row],[Net gas 8h, ml]]*Table3.110[[#This Row],[CH4 8h %]]%</f>
        <v>2.3287950918930647</v>
      </c>
      <c r="AK311" s="94">
        <f>Table3.110[[#This Row],[Net gas 8-24h, ml]]*Table3.110[[#This Row],[CH4 24h, %]]%</f>
        <v>1.8410045018609462</v>
      </c>
      <c r="AL311" s="94">
        <f>Table3.110[[#This Row],[CH4 8-24h, ml]]+Table3.110[[#This Row],[CH4 8h, ml]]</f>
        <v>4.1697995937540107</v>
      </c>
      <c r="AM311" s="94">
        <f>(Table3.110[[#This Row],[Net gas 24h, ml]]/Table3.110[[#This Row],[DM Incubated, mg]])*1000</f>
        <v>74.987849600981249</v>
      </c>
      <c r="AN311" s="94">
        <f>'3.2 Digest'!X311</f>
        <v>24.788761167234703</v>
      </c>
      <c r="AO311" s="94">
        <f>Table3.110[[#This Row],[Digested feed, mg]]/Table3.110[[#This Row],[Net gas 24h, ml]]</f>
        <v>3.3057036972174139</v>
      </c>
      <c r="AP311" s="94">
        <f>Table3.110[[#This Row],[CH4 8h, ml]]/Table3.110[[#This Row],[Net gas 8h, ml]]%</f>
        <v>12.099999999999998</v>
      </c>
      <c r="AQ311" s="94">
        <f>Table3.110[[#This Row],[CH4 24h, ml]]/Table3.110[[#This Row],[Net gas 24h, ml]]%</f>
        <v>11.827549351056163</v>
      </c>
      <c r="AR311" s="94">
        <f>Table3.110[[#This Row],[CH4 24h, ml]]/Table3.110[[#This Row],[DM Incubated, mg]]*1000</f>
        <v>8.8692249188518293</v>
      </c>
      <c r="AS311" s="94">
        <f>Table3.110[[#This Row],[CH4 24h, ml]]/Table3.110[[#This Row],[Digested feed, mg]]*1000</f>
        <v>35.779218086037297</v>
      </c>
      <c r="AT311" s="94">
        <f>Table3.110[[#This Row],[CH4 24h, ml]]/'3.2 Digest'!AA311</f>
        <v>-0.14360636513851827</v>
      </c>
      <c r="AU311" s="94">
        <f>((Table3.110[[#This Row],[CH4 24h, ml]]/28.9)*16.04)/Table3.110[[#This Row],[DM Incubated, mg]]*1000</f>
        <v>4.9225732767606694</v>
      </c>
      <c r="AV311" s="94">
        <f>((Table3.110[[#This Row],[CH4 24h, ml]]/28.9)*16.04)/Table3.110[[#This Row],[Digested feed, mg]]*1000</f>
        <v>19.858085055364644</v>
      </c>
      <c r="AW311" s="89" t="s">
        <v>546</v>
      </c>
    </row>
    <row r="312" spans="2:49" s="89" customFormat="1" x14ac:dyDescent="0.35">
      <c r="B312" s="90">
        <f t="shared" si="4"/>
        <v>302</v>
      </c>
      <c r="C312" s="140">
        <v>46048</v>
      </c>
      <c r="D312" s="6" t="s">
        <v>16</v>
      </c>
      <c r="E312" s="6" t="s">
        <v>146</v>
      </c>
      <c r="F312" s="133" t="s">
        <v>88</v>
      </c>
      <c r="G312" s="133" t="s">
        <v>147</v>
      </c>
      <c r="H312" s="133" t="s">
        <v>148</v>
      </c>
      <c r="I312" s="133" t="s">
        <v>22</v>
      </c>
      <c r="J312" s="135" t="s">
        <v>23</v>
      </c>
      <c r="K312" s="135" t="s">
        <v>24</v>
      </c>
      <c r="L312" s="6" t="s">
        <v>145</v>
      </c>
      <c r="M312" s="93">
        <v>28</v>
      </c>
      <c r="N312" s="93">
        <v>60</v>
      </c>
      <c r="O312" s="6">
        <v>1</v>
      </c>
      <c r="P312" s="129">
        <v>3</v>
      </c>
      <c r="Q312" s="6">
        <v>230</v>
      </c>
      <c r="R312" s="98">
        <v>0.50060000000000004</v>
      </c>
      <c r="S312" s="94">
        <f>((Table3.110[[#This Row],[Sample weight, g]]*'2.1. DM'!Q87)/100)*1000</f>
        <v>470.42441830674358</v>
      </c>
      <c r="T312" s="94">
        <f>'3.2 Digest'!W312</f>
        <v>0</v>
      </c>
      <c r="U312" s="117">
        <v>0.3527777777777778</v>
      </c>
      <c r="V312" s="155">
        <v>40.5</v>
      </c>
      <c r="W312" s="117">
        <v>0.67777777777777781</v>
      </c>
      <c r="X312" s="97">
        <v>62.5</v>
      </c>
      <c r="Y312" s="97">
        <v>11.6</v>
      </c>
      <c r="Z312" s="155">
        <v>40.5</v>
      </c>
      <c r="AA312" s="117">
        <v>0.35069444444444442</v>
      </c>
      <c r="AB312" s="155">
        <v>58</v>
      </c>
      <c r="AC312" s="155">
        <v>11.4</v>
      </c>
      <c r="AD312" s="96"/>
      <c r="AE312" s="94">
        <f>Table3.110[[#This Row],[Gas 8h, ml]]-Table3.110[[#This Row],[Gas 0h, ml]]</f>
        <v>22</v>
      </c>
      <c r="AF312" s="94">
        <f>Table3.110[[#This Row],[Gas 24h, ml]]-Table3.110[[#This Row],[V8 Push back, ml]]</f>
        <v>17.5</v>
      </c>
      <c r="AG312" s="94"/>
      <c r="AH312" s="94"/>
      <c r="AI312" s="94"/>
      <c r="AJ312" s="94"/>
      <c r="AK312" s="94"/>
      <c r="AL312" s="94"/>
      <c r="AM312" s="94"/>
      <c r="AN312" s="94"/>
      <c r="AO312" s="94"/>
      <c r="AP312" s="94"/>
      <c r="AQ312" s="94"/>
      <c r="AR312" s="94"/>
      <c r="AS312" s="94"/>
      <c r="AT312" s="94"/>
      <c r="AU312" s="94"/>
      <c r="AV312" s="94"/>
    </row>
    <row r="313" spans="2:49" s="89" customFormat="1" x14ac:dyDescent="0.35">
      <c r="B313" s="90">
        <f t="shared" si="4"/>
        <v>303</v>
      </c>
      <c r="C313" s="140">
        <v>46048</v>
      </c>
      <c r="D313" s="6" t="s">
        <v>16</v>
      </c>
      <c r="E313" s="6" t="s">
        <v>150</v>
      </c>
      <c r="F313" s="133" t="s">
        <v>142</v>
      </c>
      <c r="G313" s="133" t="s">
        <v>151</v>
      </c>
      <c r="H313" s="133" t="s">
        <v>152</v>
      </c>
      <c r="I313" s="133" t="s">
        <v>22</v>
      </c>
      <c r="J313" s="135" t="s">
        <v>23</v>
      </c>
      <c r="K313" s="135" t="s">
        <v>24</v>
      </c>
      <c r="L313" s="6" t="s">
        <v>149</v>
      </c>
      <c r="M313" s="93">
        <v>28</v>
      </c>
      <c r="N313" s="93">
        <v>60</v>
      </c>
      <c r="O313" s="6">
        <v>1</v>
      </c>
      <c r="P313" s="129">
        <v>1</v>
      </c>
      <c r="Q313" s="6">
        <v>231</v>
      </c>
      <c r="R313" s="98">
        <v>0.50029999999999997</v>
      </c>
      <c r="S313" s="94">
        <f>((Table3.110[[#This Row],[Sample weight, g]]*'2.1. DM'!Q89)/100)*1000</f>
        <v>469.86587523742867</v>
      </c>
      <c r="T313" s="94">
        <f>'3.2 Digest'!W313</f>
        <v>332.26587523742876</v>
      </c>
      <c r="U313" s="156">
        <v>0.3527777777777778</v>
      </c>
      <c r="V313" s="154">
        <v>41</v>
      </c>
      <c r="W313" s="153">
        <v>0.67777777777777781</v>
      </c>
      <c r="X313" s="95">
        <v>89.5</v>
      </c>
      <c r="Y313" s="95">
        <v>12.1</v>
      </c>
      <c r="Z313" s="154">
        <v>40.5</v>
      </c>
      <c r="AA313" s="153">
        <v>0.35069444444444442</v>
      </c>
      <c r="AB313" s="154">
        <v>94.5</v>
      </c>
      <c r="AC313" s="154">
        <v>16.8</v>
      </c>
      <c r="AD313" s="91"/>
      <c r="AE313" s="94">
        <f>Table3.110[[#This Row],[Gas 8h, ml]]-Table3.110[[#This Row],[Gas 0h, ml]]</f>
        <v>48.5</v>
      </c>
      <c r="AF313" s="94">
        <f>Table3.110[[#This Row],[Gas 24h, ml]]-Table3.110[[#This Row],[V8 Push back, ml]]</f>
        <v>54</v>
      </c>
      <c r="AG313" s="94">
        <f>Table3.110[[#This Row],[GP 8h, ml]]-(AVERAGE(AE$293,AE$294,AE$385,AE$386,AE$477,AE$478))*$AG$8</f>
        <v>47.246240428868305</v>
      </c>
      <c r="AH313" s="94">
        <f>Table3.110[[#This Row],[GP 8-24h, ml]]-(AVERAGE(AF$293,AF$294,AF$385,AF$386,AF$477,AF$478))*$AG$8</f>
        <v>52.00873479879084</v>
      </c>
      <c r="AI313" s="94">
        <f>Table3.110[[#This Row],[Net gas 8-24h, ml]]+Table3.110[[#This Row],[Net gas 8h, ml]]</f>
        <v>99.254975227659145</v>
      </c>
      <c r="AJ313" s="94">
        <f>Table3.110[[#This Row],[Net gas 8h, ml]]*Table3.110[[#This Row],[CH4 8h %]]%</f>
        <v>5.716795091893065</v>
      </c>
      <c r="AK313" s="94">
        <f>Table3.110[[#This Row],[Net gas 8-24h, ml]]*Table3.110[[#This Row],[CH4 24h, %]]%</f>
        <v>8.7374674461968613</v>
      </c>
      <c r="AL313" s="94">
        <f>Table3.110[[#This Row],[CH4 8-24h, ml]]+Table3.110[[#This Row],[CH4 8h, ml]]</f>
        <v>14.454262538089926</v>
      </c>
      <c r="AM313" s="94">
        <f>(Table3.110[[#This Row],[Net gas 24h, ml]]/Table3.110[[#This Row],[DM Incubated, mg]])*1000</f>
        <v>211.24108061157762</v>
      </c>
      <c r="AN313" s="94">
        <f>'3.2 Digest'!X313</f>
        <v>70.715047154580219</v>
      </c>
      <c r="AO313" s="94">
        <f>Table3.110[[#This Row],[Digested feed, mg]]/Table3.110[[#This Row],[Net gas 24h, ml]]</f>
        <v>3.3475991956606426</v>
      </c>
      <c r="AP313" s="94">
        <f>Table3.110[[#This Row],[CH4 8h, ml]]/Table3.110[[#This Row],[Net gas 8h, ml]]%</f>
        <v>12.100000000000001</v>
      </c>
      <c r="AQ313" s="94">
        <f>Table3.110[[#This Row],[CH4 24h, ml]]/Table3.110[[#This Row],[Net gas 24h, ml]]%</f>
        <v>14.562758697925695</v>
      </c>
      <c r="AR313" s="94">
        <f>Table3.110[[#This Row],[CH4 24h, ml]]/Table3.110[[#This Row],[DM Incubated, mg]]*1000</f>
        <v>30.762528840354751</v>
      </c>
      <c r="AS313" s="94">
        <f>Table3.110[[#This Row],[CH4 24h, ml]]/Table3.110[[#This Row],[Digested feed, mg]]*1000</f>
        <v>43.502097613127667</v>
      </c>
      <c r="AT313" s="94">
        <f>Table3.110[[#This Row],[CH4 24h, ml]]/'3.2 Digest'!AA313</f>
        <v>0.3203661370455862</v>
      </c>
      <c r="AU313" s="94">
        <f>((Table3.110[[#This Row],[CH4 24h, ml]]/28.9)*16.04)/Table3.110[[#This Row],[DM Incubated, mg]]*1000</f>
        <v>17.073735730079243</v>
      </c>
      <c r="AV313" s="94">
        <f>((Table3.110[[#This Row],[CH4 24h, ml]]/28.9)*16.04)/Table3.110[[#This Row],[Digested feed, mg]]*1000</f>
        <v>24.144416806732451</v>
      </c>
    </row>
    <row r="314" spans="2:49" s="89" customFormat="1" x14ac:dyDescent="0.35">
      <c r="B314" s="90">
        <f t="shared" si="4"/>
        <v>304</v>
      </c>
      <c r="C314" s="140">
        <v>46048</v>
      </c>
      <c r="D314" s="6" t="s">
        <v>16</v>
      </c>
      <c r="E314" s="6" t="s">
        <v>150</v>
      </c>
      <c r="F314" s="133" t="s">
        <v>142</v>
      </c>
      <c r="G314" s="133" t="s">
        <v>151</v>
      </c>
      <c r="H314" s="133" t="s">
        <v>152</v>
      </c>
      <c r="I314" s="133" t="s">
        <v>22</v>
      </c>
      <c r="J314" s="135" t="s">
        <v>23</v>
      </c>
      <c r="K314" s="135" t="s">
        <v>24</v>
      </c>
      <c r="L314" s="6" t="s">
        <v>149</v>
      </c>
      <c r="M314" s="93">
        <v>28</v>
      </c>
      <c r="N314" s="93">
        <v>60</v>
      </c>
      <c r="O314" s="6">
        <v>1</v>
      </c>
      <c r="P314" s="6">
        <v>2</v>
      </c>
      <c r="Q314" s="6">
        <v>232</v>
      </c>
      <c r="R314" s="98">
        <v>0.5</v>
      </c>
      <c r="S314" s="94">
        <f>((Table3.110[[#This Row],[Sample weight, g]]*'2.1. DM'!Q89)/100)*1000</f>
        <v>469.58412476257115</v>
      </c>
      <c r="T314" s="94">
        <f>'3.2 Digest'!W314</f>
        <v>313.48412476257113</v>
      </c>
      <c r="U314" s="117">
        <v>0.35347222222222224</v>
      </c>
      <c r="V314" s="155">
        <v>41.5</v>
      </c>
      <c r="W314" s="117">
        <v>0.67847222222222225</v>
      </c>
      <c r="X314" s="97">
        <v>90.5</v>
      </c>
      <c r="Y314" s="97">
        <v>12.5</v>
      </c>
      <c r="Z314" s="155">
        <v>40.5</v>
      </c>
      <c r="AA314" s="117">
        <v>0.35069444444444442</v>
      </c>
      <c r="AB314" s="155">
        <v>95.5</v>
      </c>
      <c r="AC314" s="155">
        <v>17.5</v>
      </c>
      <c r="AD314" s="96"/>
      <c r="AE314" s="94">
        <f>Table3.110[[#This Row],[Gas 8h, ml]]-Table3.110[[#This Row],[Gas 0h, ml]]</f>
        <v>49</v>
      </c>
      <c r="AF314" s="94">
        <f>Table3.110[[#This Row],[Gas 24h, ml]]-Table3.110[[#This Row],[V8 Push back, ml]]</f>
        <v>55</v>
      </c>
      <c r="AG314" s="94">
        <f>Table3.110[[#This Row],[GP 8h, ml]]-(AVERAGE(AE$293,AE$294,AE$385,AE$386,AE$477,AE$478))*$AG$8</f>
        <v>47.746240428868305</v>
      </c>
      <c r="AH314" s="94">
        <f>Table3.110[[#This Row],[GP 8-24h, ml]]-(AVERAGE(AF$293,AF$294,AF$385,AF$386,AF$477,AF$478))*$AG$8</f>
        <v>53.00873479879084</v>
      </c>
      <c r="AI314" s="94">
        <f>Table3.110[[#This Row],[Net gas 8-24h, ml]]+Table3.110[[#This Row],[Net gas 8h, ml]]</f>
        <v>100.75497522765914</v>
      </c>
      <c r="AJ314" s="94">
        <f>Table3.110[[#This Row],[Net gas 8h, ml]]*Table3.110[[#This Row],[CH4 8h %]]%</f>
        <v>5.9682800536085381</v>
      </c>
      <c r="AK314" s="94">
        <f>Table3.110[[#This Row],[Net gas 8-24h, ml]]*Table3.110[[#This Row],[CH4 24h, %]]%</f>
        <v>9.2765285897883967</v>
      </c>
      <c r="AL314" s="94">
        <f>Table3.110[[#This Row],[CH4 8-24h, ml]]+Table3.110[[#This Row],[CH4 8h, ml]]</f>
        <v>15.244808643396935</v>
      </c>
      <c r="AM314" s="94">
        <f>(Table3.110[[#This Row],[Net gas 24h, ml]]/Table3.110[[#This Row],[DM Incubated, mg]])*1000</f>
        <v>214.56214108303254</v>
      </c>
      <c r="AN314" s="94">
        <f>'3.2 Digest'!X314</f>
        <v>66.757820001064445</v>
      </c>
      <c r="AO314" s="94">
        <f>Table3.110[[#This Row],[Digested feed, mg]]/Table3.110[[#This Row],[Net gas 24h, ml]]</f>
        <v>3.1113513159448805</v>
      </c>
      <c r="AP314" s="94">
        <f>Table3.110[[#This Row],[CH4 8h, ml]]/Table3.110[[#This Row],[Net gas 8h, ml]]%</f>
        <v>12.5</v>
      </c>
      <c r="AQ314" s="94">
        <f>Table3.110[[#This Row],[CH4 24h, ml]]/Table3.110[[#This Row],[Net gas 24h, ml]]%</f>
        <v>15.130576538727535</v>
      </c>
      <c r="AR314" s="94">
        <f>Table3.110[[#This Row],[CH4 24h, ml]]/Table3.110[[#This Row],[DM Incubated, mg]]*1000</f>
        <v>32.464488979700796</v>
      </c>
      <c r="AS314" s="94">
        <f>Table3.110[[#This Row],[CH4 24h, ml]]/Table3.110[[#This Row],[Digested feed, mg]]*1000</f>
        <v>48.630241339790842</v>
      </c>
      <c r="AT314" s="94">
        <f>Table3.110[[#This Row],[CH4 24h, ml]]/'3.2 Digest'!AA314</f>
        <v>0.40435199045177267</v>
      </c>
      <c r="AU314" s="94">
        <f>((Table3.110[[#This Row],[CH4 24h, ml]]/28.9)*16.04)/Table3.110[[#This Row],[DM Incubated, mg]]*1000</f>
        <v>18.018353053093449</v>
      </c>
      <c r="AV314" s="94">
        <f>((Table3.110[[#This Row],[CH4 24h, ml]]/28.9)*16.04)/Table3.110[[#This Row],[Digested feed, mg]]*1000</f>
        <v>26.99062529724031</v>
      </c>
    </row>
    <row r="315" spans="2:49" s="89" customFormat="1" x14ac:dyDescent="0.35">
      <c r="B315" s="90">
        <f t="shared" si="4"/>
        <v>305</v>
      </c>
      <c r="C315" s="140">
        <v>46048</v>
      </c>
      <c r="D315" s="6" t="s">
        <v>16</v>
      </c>
      <c r="E315" s="6" t="s">
        <v>150</v>
      </c>
      <c r="F315" s="133" t="s">
        <v>142</v>
      </c>
      <c r="G315" s="133" t="s">
        <v>151</v>
      </c>
      <c r="H315" s="133" t="s">
        <v>152</v>
      </c>
      <c r="I315" s="133" t="s">
        <v>22</v>
      </c>
      <c r="J315" s="135" t="s">
        <v>23</v>
      </c>
      <c r="K315" s="135" t="s">
        <v>24</v>
      </c>
      <c r="L315" s="6" t="s">
        <v>149</v>
      </c>
      <c r="M315" s="93">
        <v>28</v>
      </c>
      <c r="N315" s="93">
        <v>60</v>
      </c>
      <c r="O315" s="6">
        <v>1</v>
      </c>
      <c r="P315" s="129">
        <v>3</v>
      </c>
      <c r="Q315" s="6">
        <v>233</v>
      </c>
      <c r="R315" s="98">
        <v>0.50060000000000004</v>
      </c>
      <c r="S315" s="94">
        <f>((Table3.110[[#This Row],[Sample weight, g]]*'2.1. DM'!Q89)/100)*1000</f>
        <v>470.1476257122863</v>
      </c>
      <c r="T315" s="94">
        <f>'3.2 Digest'!W315</f>
        <v>327.34762571228634</v>
      </c>
      <c r="U315" s="153">
        <v>0.35416666666666669</v>
      </c>
      <c r="V315" s="154">
        <v>42.5</v>
      </c>
      <c r="W315" s="153">
        <v>0.67847222222222225</v>
      </c>
      <c r="X315" s="95">
        <v>90</v>
      </c>
      <c r="Y315" s="95">
        <v>12.2</v>
      </c>
      <c r="Z315" s="154">
        <v>40.5</v>
      </c>
      <c r="AA315" s="153">
        <v>0.35138888888888886</v>
      </c>
      <c r="AB315" s="154">
        <v>96</v>
      </c>
      <c r="AC315" s="154">
        <v>16.899999999999999</v>
      </c>
      <c r="AD315" s="91"/>
      <c r="AE315" s="94">
        <f>Table3.110[[#This Row],[Gas 8h, ml]]-Table3.110[[#This Row],[Gas 0h, ml]]</f>
        <v>47.5</v>
      </c>
      <c r="AF315" s="94">
        <f>Table3.110[[#This Row],[Gas 24h, ml]]-Table3.110[[#This Row],[V8 Push back, ml]]</f>
        <v>55.5</v>
      </c>
      <c r="AG315" s="94">
        <f>Table3.110[[#This Row],[GP 8h, ml]]-(AVERAGE(AE$293,AE$294,AE$385,AE$386,AE$477,AE$478))*$AG$8</f>
        <v>46.246240428868305</v>
      </c>
      <c r="AH315" s="94">
        <f>Table3.110[[#This Row],[GP 8-24h, ml]]-(AVERAGE(AF$293,AF$294,AF$385,AF$386,AF$477,AF$478))*$AG$8</f>
        <v>53.50873479879084</v>
      </c>
      <c r="AI315" s="94">
        <f>Table3.110[[#This Row],[Net gas 8-24h, ml]]+Table3.110[[#This Row],[Net gas 8h, ml]]</f>
        <v>99.754975227659145</v>
      </c>
      <c r="AJ315" s="94">
        <f>Table3.110[[#This Row],[Net gas 8h, ml]]*Table3.110[[#This Row],[CH4 8h %]]%</f>
        <v>5.6420413323219334</v>
      </c>
      <c r="AK315" s="94">
        <f>Table3.110[[#This Row],[Net gas 8-24h, ml]]*Table3.110[[#This Row],[CH4 24h, %]]%</f>
        <v>9.0429761809956517</v>
      </c>
      <c r="AL315" s="94">
        <f>Table3.110[[#This Row],[CH4 8-24h, ml]]+Table3.110[[#This Row],[CH4 8h, ml]]</f>
        <v>14.685017513317586</v>
      </c>
      <c r="AM315" s="94">
        <f>(Table3.110[[#This Row],[Net gas 24h, ml]]/Table3.110[[#This Row],[DM Incubated, mg]])*1000</f>
        <v>212.17798362062908</v>
      </c>
      <c r="AN315" s="94">
        <f>'3.2 Digest'!X315</f>
        <v>69.626561490413977</v>
      </c>
      <c r="AO315" s="94">
        <f>Table3.110[[#This Row],[Digested feed, mg]]/Table3.110[[#This Row],[Net gas 24h, ml]]</f>
        <v>3.2815167861574728</v>
      </c>
      <c r="AP315" s="94">
        <f>Table3.110[[#This Row],[CH4 8h, ml]]/Table3.110[[#This Row],[Net gas 8h, ml]]%</f>
        <v>12.2</v>
      </c>
      <c r="AQ315" s="94">
        <f>Table3.110[[#This Row],[CH4 24h, ml]]/Table3.110[[#This Row],[Net gas 24h, ml]]%</f>
        <v>14.721087825247496</v>
      </c>
      <c r="AR315" s="94">
        <f>Table3.110[[#This Row],[CH4 24h, ml]]/Table3.110[[#This Row],[DM Incubated, mg]]*1000</f>
        <v>31.234907314632057</v>
      </c>
      <c r="AS315" s="94">
        <f>Table3.110[[#This Row],[CH4 24h, ml]]/Table3.110[[#This Row],[Digested feed, mg]]*1000</f>
        <v>44.860620208758135</v>
      </c>
      <c r="AT315" s="94">
        <f>Table3.110[[#This Row],[CH4 24h, ml]]/'3.2 Digest'!AA315</f>
        <v>0.34089328144654396</v>
      </c>
      <c r="AU315" s="94">
        <f>((Table3.110[[#This Row],[CH4 24h, ml]]/28.9)*16.04)/Table3.110[[#This Row],[DM Incubated, mg]]*1000</f>
        <v>17.335913955941113</v>
      </c>
      <c r="AV315" s="94">
        <f>((Table3.110[[#This Row],[CH4 24h, ml]]/28.9)*16.04)/Table3.110[[#This Row],[Digested feed, mg]]*1000</f>
        <v>24.898420351158492</v>
      </c>
    </row>
    <row r="316" spans="2:49" s="89" customFormat="1" x14ac:dyDescent="0.35">
      <c r="B316" s="90">
        <f t="shared" si="4"/>
        <v>306</v>
      </c>
      <c r="C316" s="140">
        <v>46048</v>
      </c>
      <c r="D316" s="6" t="s">
        <v>16</v>
      </c>
      <c r="E316" s="6" t="s">
        <v>154</v>
      </c>
      <c r="F316" s="133" t="s">
        <v>99</v>
      </c>
      <c r="G316" s="133" t="s">
        <v>155</v>
      </c>
      <c r="H316" s="133" t="s">
        <v>156</v>
      </c>
      <c r="I316" s="133" t="s">
        <v>22</v>
      </c>
      <c r="J316" s="135" t="s">
        <v>23</v>
      </c>
      <c r="K316" s="135" t="s">
        <v>24</v>
      </c>
      <c r="L316" s="6" t="s">
        <v>153</v>
      </c>
      <c r="M316" s="93">
        <v>28</v>
      </c>
      <c r="N316" s="93">
        <v>60</v>
      </c>
      <c r="O316" s="6">
        <v>1</v>
      </c>
      <c r="P316" s="129">
        <v>1</v>
      </c>
      <c r="Q316" s="6">
        <v>234</v>
      </c>
      <c r="R316" s="98">
        <v>0.5</v>
      </c>
      <c r="S316" s="94">
        <f>((Table3.110[[#This Row],[Sample weight, g]]*'2.1. DM'!Q91)/100)*1000</f>
        <v>466.05682828698065</v>
      </c>
      <c r="T316" s="94">
        <f>'3.2 Digest'!W316</f>
        <v>129.75682828698058</v>
      </c>
      <c r="U316" s="117">
        <v>0.35416666666666669</v>
      </c>
      <c r="V316" s="155">
        <v>41.5</v>
      </c>
      <c r="W316" s="117">
        <v>0.6791666666666667</v>
      </c>
      <c r="X316" s="97">
        <v>64.5</v>
      </c>
      <c r="Y316" s="97">
        <v>10.8</v>
      </c>
      <c r="Z316" s="155">
        <v>40</v>
      </c>
      <c r="AA316" s="117">
        <v>0.35208333333333336</v>
      </c>
      <c r="AB316" s="155">
        <v>62.5</v>
      </c>
      <c r="AC316" s="155">
        <v>14.2</v>
      </c>
      <c r="AD316" s="96"/>
      <c r="AE316" s="94">
        <f>Table3.110[[#This Row],[Gas 8h, ml]]-Table3.110[[#This Row],[Gas 0h, ml]]</f>
        <v>23</v>
      </c>
      <c r="AF316" s="94">
        <f>Table3.110[[#This Row],[Gas 24h, ml]]-Table3.110[[#This Row],[V8 Push back, ml]]</f>
        <v>22.5</v>
      </c>
      <c r="AG316" s="94">
        <f>Table3.110[[#This Row],[GP 8h, ml]]-(AVERAGE(AE$293,AE$294,AE$385,AE$386,AE$477,AE$478))*$AG$8</f>
        <v>21.746240428868305</v>
      </c>
      <c r="AH316" s="94">
        <f>Table3.110[[#This Row],[GP 8-24h, ml]]-(AVERAGE(AF$293,AF$294,AF$385,AF$386,AF$477,AF$478))*$AG$8</f>
        <v>20.508734798790837</v>
      </c>
      <c r="AI316" s="94">
        <f>Table3.110[[#This Row],[Net gas 8-24h, ml]]+Table3.110[[#This Row],[Net gas 8h, ml]]</f>
        <v>42.254975227659145</v>
      </c>
      <c r="AJ316" s="94">
        <f>Table3.110[[#This Row],[Net gas 8h, ml]]*Table3.110[[#This Row],[CH4 8h %]]%</f>
        <v>2.3485939663177771</v>
      </c>
      <c r="AK316" s="94">
        <f>Table3.110[[#This Row],[Net gas 8-24h, ml]]*Table3.110[[#This Row],[CH4 24h, %]]%</f>
        <v>2.9122403414282987</v>
      </c>
      <c r="AL316" s="94">
        <f>Table3.110[[#This Row],[CH4 8-24h, ml]]+Table3.110[[#This Row],[CH4 8h, ml]]</f>
        <v>5.2608343077460757</v>
      </c>
      <c r="AM316" s="94">
        <f>(Table3.110[[#This Row],[Net gas 24h, ml]]/Table3.110[[#This Row],[DM Incubated, mg]])*1000</f>
        <v>90.664856006873237</v>
      </c>
      <c r="AN316" s="94">
        <f>'3.2 Digest'!X316</f>
        <v>27.841417700907733</v>
      </c>
      <c r="AO316" s="94">
        <f>Table3.110[[#This Row],[Digested feed, mg]]/Table3.110[[#This Row],[Net gas 24h, ml]]</f>
        <v>3.0708059249327095</v>
      </c>
      <c r="AP316" s="94">
        <f>Table3.110[[#This Row],[CH4 8h, ml]]/Table3.110[[#This Row],[Net gas 8h, ml]]%</f>
        <v>10.8</v>
      </c>
      <c r="AQ316" s="94">
        <f>Table3.110[[#This Row],[CH4 24h, ml]]/Table3.110[[#This Row],[Net gas 24h, ml]]%</f>
        <v>12.450212736848211</v>
      </c>
      <c r="AR316" s="94">
        <f>Table3.110[[#This Row],[CH4 24h, ml]]/Table3.110[[#This Row],[DM Incubated, mg]]*1000</f>
        <v>11.287967450412824</v>
      </c>
      <c r="AS316" s="94">
        <f>Table3.110[[#This Row],[CH4 24h, ml]]/Table3.110[[#This Row],[Digested feed, mg]]*1000</f>
        <v>40.543795476495418</v>
      </c>
      <c r="AT316" s="94">
        <f>Table3.110[[#This Row],[CH4 24h, ml]]/'3.2 Digest'!AA316</f>
        <v>-0.38291422210125009</v>
      </c>
      <c r="AU316" s="94">
        <f>((Table3.110[[#This Row],[CH4 24h, ml]]/28.9)*16.04)/Table3.110[[#This Row],[DM Incubated, mg]]*1000</f>
        <v>6.2650172285336216</v>
      </c>
      <c r="AV316" s="94">
        <f>((Table3.110[[#This Row],[CH4 24h, ml]]/28.9)*16.04)/Table3.110[[#This Row],[Digested feed, mg]]*1000</f>
        <v>22.502507939203685</v>
      </c>
    </row>
    <row r="317" spans="2:49" s="89" customFormat="1" x14ac:dyDescent="0.35">
      <c r="B317" s="90">
        <f t="shared" si="4"/>
        <v>307</v>
      </c>
      <c r="C317" s="140">
        <v>46048</v>
      </c>
      <c r="D317" s="6" t="s">
        <v>16</v>
      </c>
      <c r="E317" s="6" t="s">
        <v>154</v>
      </c>
      <c r="F317" s="133" t="s">
        <v>99</v>
      </c>
      <c r="G317" s="133" t="s">
        <v>155</v>
      </c>
      <c r="H317" s="133" t="s">
        <v>156</v>
      </c>
      <c r="I317" s="133" t="s">
        <v>22</v>
      </c>
      <c r="J317" s="135" t="s">
        <v>23</v>
      </c>
      <c r="K317" s="135" t="s">
        <v>24</v>
      </c>
      <c r="L317" s="6" t="s">
        <v>153</v>
      </c>
      <c r="M317" s="93">
        <v>28</v>
      </c>
      <c r="N317" s="93">
        <v>60</v>
      </c>
      <c r="O317" s="6">
        <v>1</v>
      </c>
      <c r="P317" s="129">
        <v>2</v>
      </c>
      <c r="Q317" s="6">
        <v>235</v>
      </c>
      <c r="R317" s="98">
        <v>0.50029999999999997</v>
      </c>
      <c r="S317" s="94">
        <f>((Table3.110[[#This Row],[Sample weight, g]]*'2.1. DM'!Q91)/100)*1000</f>
        <v>466.33646238395278</v>
      </c>
      <c r="T317" s="94">
        <f>'3.2 Digest'!W317</f>
        <v>136.4364623839528</v>
      </c>
      <c r="U317" s="153">
        <v>0.35486111111111113</v>
      </c>
      <c r="V317" s="154">
        <v>41.5</v>
      </c>
      <c r="W317" s="153">
        <v>0.6791666666666667</v>
      </c>
      <c r="X317" s="95">
        <v>63</v>
      </c>
      <c r="Y317" s="95">
        <v>10.5</v>
      </c>
      <c r="Z317" s="154">
        <v>39</v>
      </c>
      <c r="AA317" s="153">
        <v>0.3527777777777778</v>
      </c>
      <c r="AB317" s="154">
        <v>61.5</v>
      </c>
      <c r="AC317" s="154">
        <v>13.2</v>
      </c>
      <c r="AD317" s="91"/>
      <c r="AE317" s="94">
        <f>Table3.110[[#This Row],[Gas 8h, ml]]-Table3.110[[#This Row],[Gas 0h, ml]]</f>
        <v>21.5</v>
      </c>
      <c r="AF317" s="94">
        <f>Table3.110[[#This Row],[Gas 24h, ml]]-Table3.110[[#This Row],[V8 Push back, ml]]</f>
        <v>22.5</v>
      </c>
      <c r="AG317" s="94">
        <f>Table3.110[[#This Row],[GP 8h, ml]]-(AVERAGE(AE$293,AE$294,AE$385,AE$386,AE$477,AE$478))*$AG$8</f>
        <v>20.246240428868305</v>
      </c>
      <c r="AH317" s="94">
        <f>Table3.110[[#This Row],[GP 8-24h, ml]]-(AVERAGE(AF$293,AF$294,AF$385,AF$386,AF$477,AF$478))*$AG$8</f>
        <v>20.508734798790837</v>
      </c>
      <c r="AI317" s="94">
        <f>Table3.110[[#This Row],[Net gas 8-24h, ml]]+Table3.110[[#This Row],[Net gas 8h, ml]]</f>
        <v>40.754975227659145</v>
      </c>
      <c r="AJ317" s="94">
        <f>Table3.110[[#This Row],[Net gas 8h, ml]]*Table3.110[[#This Row],[CH4 8h %]]%</f>
        <v>2.1258552450311718</v>
      </c>
      <c r="AK317" s="94">
        <f>Table3.110[[#This Row],[Net gas 8-24h, ml]]*Table3.110[[#This Row],[CH4 24h, %]]%</f>
        <v>2.7071529934403906</v>
      </c>
      <c r="AL317" s="94">
        <f>Table3.110[[#This Row],[CH4 8-24h, ml]]+Table3.110[[#This Row],[CH4 8h, ml]]</f>
        <v>4.833008238471562</v>
      </c>
      <c r="AM317" s="94">
        <f>(Table3.110[[#This Row],[Net gas 24h, ml]]/Table3.110[[#This Row],[DM Incubated, mg]])*1000</f>
        <v>87.393928022089767</v>
      </c>
      <c r="AN317" s="94">
        <f>'3.2 Digest'!X317</f>
        <v>29.257086543582218</v>
      </c>
      <c r="AO317" s="94">
        <f>Table3.110[[#This Row],[Digested feed, mg]]/Table3.110[[#This Row],[Net gas 24h, ml]]</f>
        <v>3.347725317505716</v>
      </c>
      <c r="AP317" s="94">
        <f>Table3.110[[#This Row],[CH4 8h, ml]]/Table3.110[[#This Row],[Net gas 8h, ml]]%</f>
        <v>10.5</v>
      </c>
      <c r="AQ317" s="94">
        <f>Table3.110[[#This Row],[CH4 24h, ml]]/Table3.110[[#This Row],[Net gas 24h, ml]]%</f>
        <v>11.858695070906455</v>
      </c>
      <c r="AR317" s="94">
        <f>Table3.110[[#This Row],[CH4 24h, ml]]/Table3.110[[#This Row],[DM Incubated, mg]]*1000</f>
        <v>10.363779434627096</v>
      </c>
      <c r="AS317" s="94">
        <f>Table3.110[[#This Row],[CH4 24h, ml]]/Table3.110[[#This Row],[Digested feed, mg]]*1000</f>
        <v>35.423142421200772</v>
      </c>
      <c r="AT317" s="94">
        <f>Table3.110[[#This Row],[CH4 24h, ml]]/'3.2 Digest'!AA317</f>
        <v>-0.41998735274658244</v>
      </c>
      <c r="AU317" s="94">
        <f>((Table3.110[[#This Row],[CH4 24h, ml]]/28.9)*16.04)/Table3.110[[#This Row],[DM Incubated, mg]]*1000</f>
        <v>5.752076890360506</v>
      </c>
      <c r="AV317" s="94">
        <f>((Table3.110[[#This Row],[CH4 24h, ml]]/28.9)*16.04)/Table3.110[[#This Row],[Digested feed, mg]]*1000</f>
        <v>19.660456900901746</v>
      </c>
    </row>
    <row r="318" spans="2:49" s="89" customFormat="1" x14ac:dyDescent="0.35">
      <c r="B318" s="90">
        <f t="shared" si="4"/>
        <v>308</v>
      </c>
      <c r="C318" s="140">
        <v>46048</v>
      </c>
      <c r="D318" s="6" t="s">
        <v>16</v>
      </c>
      <c r="E318" s="6" t="s">
        <v>154</v>
      </c>
      <c r="F318" s="133" t="s">
        <v>99</v>
      </c>
      <c r="G318" s="133" t="s">
        <v>155</v>
      </c>
      <c r="H318" s="133" t="s">
        <v>156</v>
      </c>
      <c r="I318" s="133" t="s">
        <v>22</v>
      </c>
      <c r="J318" s="135" t="s">
        <v>23</v>
      </c>
      <c r="K318" s="135" t="s">
        <v>24</v>
      </c>
      <c r="L318" s="6" t="s">
        <v>153</v>
      </c>
      <c r="M318" s="93">
        <v>28</v>
      </c>
      <c r="N318" s="93">
        <v>60</v>
      </c>
      <c r="O318" s="6">
        <v>1</v>
      </c>
      <c r="P318" s="129">
        <v>3</v>
      </c>
      <c r="Q318" s="6">
        <v>236</v>
      </c>
      <c r="R318" s="98">
        <v>0.50039999999999996</v>
      </c>
      <c r="S318" s="94">
        <f>((Table3.110[[#This Row],[Sample weight, g]]*'2.1. DM'!Q91)/100)*1000</f>
        <v>466.42967374961017</v>
      </c>
      <c r="T318" s="94">
        <f>'3.2 Digest'!W318</f>
        <v>132.92967374961017</v>
      </c>
      <c r="U318" s="117">
        <v>0.35555555555555557</v>
      </c>
      <c r="V318" s="155">
        <v>41.5</v>
      </c>
      <c r="W318" s="117">
        <v>0.67986111111111114</v>
      </c>
      <c r="X318" s="97">
        <v>66</v>
      </c>
      <c r="Y318" s="97">
        <v>10.199999999999999</v>
      </c>
      <c r="Z318" s="155">
        <v>40</v>
      </c>
      <c r="AA318" s="117">
        <v>0.3527777777777778</v>
      </c>
      <c r="AB318" s="155">
        <v>62</v>
      </c>
      <c r="AC318" s="155">
        <v>13.4</v>
      </c>
      <c r="AD318" s="96"/>
      <c r="AE318" s="94">
        <f>Table3.110[[#This Row],[Gas 8h, ml]]-Table3.110[[#This Row],[Gas 0h, ml]]</f>
        <v>24.5</v>
      </c>
      <c r="AF318" s="94">
        <f>Table3.110[[#This Row],[Gas 24h, ml]]-Table3.110[[#This Row],[V8 Push back, ml]]</f>
        <v>22</v>
      </c>
      <c r="AG318" s="94">
        <f>Table3.110[[#This Row],[GP 8h, ml]]-(AVERAGE(AE$293,AE$294,AE$385,AE$386,AE$477,AE$478))*$AG$8</f>
        <v>23.246240428868305</v>
      </c>
      <c r="AH318" s="94">
        <f>Table3.110[[#This Row],[GP 8-24h, ml]]-(AVERAGE(AF$293,AF$294,AF$385,AF$386,AF$477,AF$478))*$AG$8</f>
        <v>20.008734798790837</v>
      </c>
      <c r="AI318" s="94">
        <f>Table3.110[[#This Row],[Net gas 8-24h, ml]]+Table3.110[[#This Row],[Net gas 8h, ml]]</f>
        <v>43.254975227659145</v>
      </c>
      <c r="AJ318" s="94">
        <f>Table3.110[[#This Row],[Net gas 8h, ml]]*Table3.110[[#This Row],[CH4 8h %]]%</f>
        <v>2.3711165237445671</v>
      </c>
      <c r="AK318" s="94">
        <f>Table3.110[[#This Row],[Net gas 8-24h, ml]]*Table3.110[[#This Row],[CH4 24h, %]]%</f>
        <v>2.6811704630379722</v>
      </c>
      <c r="AL318" s="94">
        <f>Table3.110[[#This Row],[CH4 8-24h, ml]]+Table3.110[[#This Row],[CH4 8h, ml]]</f>
        <v>5.0522869867825388</v>
      </c>
      <c r="AM318" s="94">
        <f>(Table3.110[[#This Row],[Net gas 24h, ml]]/Table3.110[[#This Row],[DM Incubated, mg]])*1000</f>
        <v>92.736328029762902</v>
      </c>
      <c r="AN318" s="94">
        <f>'3.2 Digest'!X318</f>
        <v>28.499403282169776</v>
      </c>
      <c r="AO318" s="94">
        <f>Table3.110[[#This Row],[Digested feed, mg]]/Table3.110[[#This Row],[Net gas 24h, ml]]</f>
        <v>3.0731649492336102</v>
      </c>
      <c r="AP318" s="94">
        <f>Table3.110[[#This Row],[CH4 8h, ml]]/Table3.110[[#This Row],[Net gas 8h, ml]]%</f>
        <v>10.200000000000001</v>
      </c>
      <c r="AQ318" s="94">
        <f>Table3.110[[#This Row],[CH4 24h, ml]]/Table3.110[[#This Row],[Net gas 24h, ml]]%</f>
        <v>11.680244781534133</v>
      </c>
      <c r="AR318" s="94">
        <f>Table3.110[[#This Row],[CH4 24h, ml]]/Table3.110[[#This Row],[DM Incubated, mg]]*1000</f>
        <v>10.831830115282758</v>
      </c>
      <c r="AS318" s="94">
        <f>Table3.110[[#This Row],[CH4 24h, ml]]/Table3.110[[#This Row],[Digested feed, mg]]*1000</f>
        <v>38.007217232016679</v>
      </c>
      <c r="AT318" s="94">
        <f>Table3.110[[#This Row],[CH4 24h, ml]]/'3.2 Digest'!AA318</f>
        <v>-0.39776160901362523</v>
      </c>
      <c r="AU318" s="94">
        <f>((Table3.110[[#This Row],[CH4 24h, ml]]/28.9)*16.04)/Table3.110[[#This Row],[DM Incubated, mg]]*1000</f>
        <v>6.011853115887039</v>
      </c>
      <c r="AV318" s="94">
        <f>((Table3.110[[#This Row],[CH4 24h, ml]]/28.9)*16.04)/Table3.110[[#This Row],[Digested feed, mg]]*1000</f>
        <v>21.09466312808123</v>
      </c>
    </row>
    <row r="319" spans="2:49" s="89" customFormat="1" x14ac:dyDescent="0.35">
      <c r="B319" s="90">
        <f t="shared" si="4"/>
        <v>309</v>
      </c>
      <c r="C319" s="140">
        <v>46048</v>
      </c>
      <c r="D319" s="6" t="s">
        <v>16</v>
      </c>
      <c r="E319" s="6" t="s">
        <v>158</v>
      </c>
      <c r="F319" s="133" t="s">
        <v>159</v>
      </c>
      <c r="G319" s="133" t="s">
        <v>160</v>
      </c>
      <c r="H319" s="133" t="s">
        <v>161</v>
      </c>
      <c r="I319" s="133" t="s">
        <v>22</v>
      </c>
      <c r="J319" s="135" t="s">
        <v>23</v>
      </c>
      <c r="K319" s="135" t="s">
        <v>24</v>
      </c>
      <c r="L319" s="6" t="s">
        <v>157</v>
      </c>
      <c r="M319" s="93">
        <v>28</v>
      </c>
      <c r="N319" s="93">
        <v>60</v>
      </c>
      <c r="O319" s="6">
        <v>1</v>
      </c>
      <c r="P319" s="6">
        <v>1</v>
      </c>
      <c r="Q319" s="6">
        <v>237</v>
      </c>
      <c r="R319" s="98">
        <v>0.50060000000000004</v>
      </c>
      <c r="S319" s="94">
        <f>((Table3.110[[#This Row],[Sample weight, g]]*'2.1. DM'!Q93)/100)*1000</f>
        <v>464.49615153938419</v>
      </c>
      <c r="T319" s="94">
        <f>'3.2 Digest'!W319</f>
        <v>115.69615153938418</v>
      </c>
      <c r="U319" s="153">
        <v>0.35555555555555557</v>
      </c>
      <c r="V319" s="154">
        <v>42.5</v>
      </c>
      <c r="W319" s="153">
        <v>0.68055555555555558</v>
      </c>
      <c r="X319" s="95">
        <v>56.5</v>
      </c>
      <c r="Y319" s="95">
        <v>10.1</v>
      </c>
      <c r="Z319" s="154">
        <v>40.5</v>
      </c>
      <c r="AA319" s="153">
        <v>0.35416666666666669</v>
      </c>
      <c r="AB319" s="154">
        <v>54.5</v>
      </c>
      <c r="AC319" s="154">
        <v>13.1</v>
      </c>
      <c r="AD319" s="91"/>
      <c r="AE319" s="94">
        <f>Table3.110[[#This Row],[Gas 8h, ml]]-Table3.110[[#This Row],[Gas 0h, ml]]</f>
        <v>14</v>
      </c>
      <c r="AF319" s="94">
        <f>Table3.110[[#This Row],[Gas 24h, ml]]-Table3.110[[#This Row],[V8 Push back, ml]]</f>
        <v>14</v>
      </c>
      <c r="AG319" s="94">
        <f>Table3.110[[#This Row],[GP 8h, ml]]-(AVERAGE(AE$293,AE$294,AE$385,AE$386,AE$477,AE$478))*$AG$8</f>
        <v>12.746240428868305</v>
      </c>
      <c r="AH319" s="94">
        <f>Table3.110[[#This Row],[GP 8-24h, ml]]-(AVERAGE(AF$293,AF$294,AF$385,AF$386,AF$477,AF$478))*$AG$8</f>
        <v>12.008734798790837</v>
      </c>
      <c r="AI319" s="94">
        <f>Table3.110[[#This Row],[Net gas 8-24h, ml]]+Table3.110[[#This Row],[Net gas 8h, ml]]</f>
        <v>24.754975227659141</v>
      </c>
      <c r="AJ319" s="94">
        <f>Table3.110[[#This Row],[Net gas 8h, ml]]*Table3.110[[#This Row],[CH4 8h %]]%</f>
        <v>1.2873702833156986</v>
      </c>
      <c r="AK319" s="94">
        <f>Table3.110[[#This Row],[Net gas 8-24h, ml]]*Table3.110[[#This Row],[CH4 24h, %]]%</f>
        <v>1.5731442586415996</v>
      </c>
      <c r="AL319" s="94">
        <f>Table3.110[[#This Row],[CH4 8-24h, ml]]+Table3.110[[#This Row],[CH4 8h, ml]]</f>
        <v>2.8605145419572979</v>
      </c>
      <c r="AM319" s="94">
        <f>(Table3.110[[#This Row],[Net gas 24h, ml]]/Table3.110[[#This Row],[DM Incubated, mg]])*1000</f>
        <v>53.294252590939266</v>
      </c>
      <c r="AN319" s="94">
        <f>'3.2 Digest'!X319</f>
        <v>24.907881616662738</v>
      </c>
      <c r="AO319" s="94">
        <f>Table3.110[[#This Row],[Digested feed, mg]]/Table3.110[[#This Row],[Net gas 24h, ml]]</f>
        <v>4.673652487040866</v>
      </c>
      <c r="AP319" s="94">
        <f>Table3.110[[#This Row],[CH4 8h, ml]]/Table3.110[[#This Row],[Net gas 8h, ml]]%</f>
        <v>10.099999999999998</v>
      </c>
      <c r="AQ319" s="94">
        <f>Table3.110[[#This Row],[CH4 24h, ml]]/Table3.110[[#This Row],[Net gas 24h, ml]]%</f>
        <v>11.555311672302537</v>
      </c>
      <c r="AR319" s="94">
        <f>Table3.110[[#This Row],[CH4 24h, ml]]/Table3.110[[#This Row],[DM Incubated, mg]]*1000</f>
        <v>6.1583169903072017</v>
      </c>
      <c r="AS319" s="94">
        <f>Table3.110[[#This Row],[CH4 24h, ml]]/Table3.110[[#This Row],[Digested feed, mg]]*1000</f>
        <v>24.724370723632489</v>
      </c>
      <c r="AT319" s="94">
        <f>Table3.110[[#This Row],[CH4 24h, ml]]/'3.2 Digest'!AA319</f>
        <v>-7.0262932969121394E-2</v>
      </c>
      <c r="AU319" s="94">
        <f>((Table3.110[[#This Row],[CH4 24h, ml]]/28.9)*16.04)/Table3.110[[#This Row],[DM Incubated, mg]]*1000</f>
        <v>3.4179724748971458</v>
      </c>
      <c r="AV319" s="94">
        <f>((Table3.110[[#This Row],[CH4 24h, ml]]/28.9)*16.04)/Table3.110[[#This Row],[Digested feed, mg]]*1000</f>
        <v>13.722453508894988</v>
      </c>
    </row>
    <row r="320" spans="2:49" s="89" customFormat="1" x14ac:dyDescent="0.35">
      <c r="B320" s="90">
        <f t="shared" si="4"/>
        <v>310</v>
      </c>
      <c r="C320" s="140">
        <v>46048</v>
      </c>
      <c r="D320" s="6" t="s">
        <v>16</v>
      </c>
      <c r="E320" s="6" t="s">
        <v>158</v>
      </c>
      <c r="F320" s="133" t="s">
        <v>159</v>
      </c>
      <c r="G320" s="133" t="s">
        <v>160</v>
      </c>
      <c r="H320" s="133" t="s">
        <v>161</v>
      </c>
      <c r="I320" s="133" t="s">
        <v>22</v>
      </c>
      <c r="J320" s="135" t="s">
        <v>23</v>
      </c>
      <c r="K320" s="135" t="s">
        <v>24</v>
      </c>
      <c r="L320" s="6" t="s">
        <v>157</v>
      </c>
      <c r="M320" s="93">
        <v>28</v>
      </c>
      <c r="N320" s="93">
        <v>60</v>
      </c>
      <c r="O320" s="6">
        <v>1</v>
      </c>
      <c r="P320" s="129">
        <v>2</v>
      </c>
      <c r="Q320" s="6">
        <v>238</v>
      </c>
      <c r="R320" s="98">
        <v>0.50019999999999998</v>
      </c>
      <c r="S320" s="94">
        <f>((Table3.110[[#This Row],[Sample weight, g]]*'2.1. DM'!Q93)/100)*1000</f>
        <v>464.12499999999989</v>
      </c>
      <c r="T320" s="94">
        <f>'3.2 Digest'!W320</f>
        <v>99.924999999999898</v>
      </c>
      <c r="U320" s="117">
        <v>0.35625000000000001</v>
      </c>
      <c r="V320" s="155">
        <v>42</v>
      </c>
      <c r="W320" s="117">
        <v>0.68125000000000002</v>
      </c>
      <c r="X320" s="97">
        <v>56.5</v>
      </c>
      <c r="Y320" s="97">
        <v>10</v>
      </c>
      <c r="Z320" s="155">
        <v>40</v>
      </c>
      <c r="AA320" s="117">
        <v>0.35416666666666669</v>
      </c>
      <c r="AB320" s="155">
        <v>55</v>
      </c>
      <c r="AC320" s="155">
        <v>13.1</v>
      </c>
      <c r="AD320" s="96"/>
      <c r="AE320" s="94">
        <f>Table3.110[[#This Row],[Gas 8h, ml]]-Table3.110[[#This Row],[Gas 0h, ml]]</f>
        <v>14.5</v>
      </c>
      <c r="AF320" s="94">
        <f>Table3.110[[#This Row],[Gas 24h, ml]]-Table3.110[[#This Row],[V8 Push back, ml]]</f>
        <v>15</v>
      </c>
      <c r="AG320" s="94">
        <f>Table3.110[[#This Row],[GP 8h, ml]]-(AVERAGE(AE$293,AE$294,AE$385,AE$386,AE$477,AE$478))*$AG$8</f>
        <v>13.246240428868305</v>
      </c>
      <c r="AH320" s="94">
        <f>Table3.110[[#This Row],[GP 8-24h, ml]]-(AVERAGE(AF$293,AF$294,AF$385,AF$386,AF$477,AF$478))*$AG$8</f>
        <v>13.008734798790837</v>
      </c>
      <c r="AI320" s="94">
        <f>Table3.110[[#This Row],[Net gas 8-24h, ml]]+Table3.110[[#This Row],[Net gas 8h, ml]]</f>
        <v>26.254975227659141</v>
      </c>
      <c r="AJ320" s="94">
        <f>Table3.110[[#This Row],[Net gas 8h, ml]]*Table3.110[[#This Row],[CH4 8h %]]%</f>
        <v>1.3246240428868306</v>
      </c>
      <c r="AK320" s="94">
        <f>Table3.110[[#This Row],[Net gas 8-24h, ml]]*Table3.110[[#This Row],[CH4 24h, %]]%</f>
        <v>1.7041442586415996</v>
      </c>
      <c r="AL320" s="94">
        <f>Table3.110[[#This Row],[CH4 8-24h, ml]]+Table3.110[[#This Row],[CH4 8h, ml]]</f>
        <v>3.0287683015284301</v>
      </c>
      <c r="AM320" s="94">
        <f>(Table3.110[[#This Row],[Net gas 24h, ml]]/Table3.110[[#This Row],[DM Incubated, mg]])*1000</f>
        <v>56.568758906887474</v>
      </c>
      <c r="AN320" s="94">
        <f>'3.2 Digest'!X320</f>
        <v>21.52976030164286</v>
      </c>
      <c r="AO320" s="94">
        <f>Table3.110[[#This Row],[Digested feed, mg]]/Table3.110[[#This Row],[Net gas 24h, ml]]</f>
        <v>3.8059453164035255</v>
      </c>
      <c r="AP320" s="94">
        <f>Table3.110[[#This Row],[CH4 8h, ml]]/Table3.110[[#This Row],[Net gas 8h, ml]]%</f>
        <v>10</v>
      </c>
      <c r="AQ320" s="94">
        <f>Table3.110[[#This Row],[CH4 24h, ml]]/Table3.110[[#This Row],[Net gas 24h, ml]]%</f>
        <v>11.535978515560274</v>
      </c>
      <c r="AR320" s="94">
        <f>Table3.110[[#This Row],[CH4 24h, ml]]/Table3.110[[#This Row],[DM Incubated, mg]]*1000</f>
        <v>6.5257598740176261</v>
      </c>
      <c r="AS320" s="94">
        <f>Table3.110[[#This Row],[CH4 24h, ml]]/Table3.110[[#This Row],[Digested feed, mg]]*1000</f>
        <v>30.310415827154699</v>
      </c>
      <c r="AT320" s="94">
        <f>Table3.110[[#This Row],[CH4 24h, ml]]/'3.2 Digest'!AA320</f>
        <v>-6.4384788363348086E-2</v>
      </c>
      <c r="AU320" s="94">
        <f>((Table3.110[[#This Row],[CH4 24h, ml]]/28.9)*16.04)/Table3.110[[#This Row],[DM Incubated, mg]]*1000</f>
        <v>3.6219096324997482</v>
      </c>
      <c r="AV320" s="94">
        <f>((Table3.110[[#This Row],[CH4 24h, ml]]/28.9)*16.04)/Table3.110[[#This Row],[Digested feed, mg]]*1000</f>
        <v>16.822805185728765</v>
      </c>
    </row>
    <row r="321" spans="2:48" s="89" customFormat="1" x14ac:dyDescent="0.35">
      <c r="B321" s="90">
        <f t="shared" si="4"/>
        <v>311</v>
      </c>
      <c r="C321" s="140">
        <v>46048</v>
      </c>
      <c r="D321" s="6" t="s">
        <v>16</v>
      </c>
      <c r="E321" s="6" t="s">
        <v>158</v>
      </c>
      <c r="F321" s="133" t="s">
        <v>159</v>
      </c>
      <c r="G321" s="133" t="s">
        <v>160</v>
      </c>
      <c r="H321" s="133" t="s">
        <v>161</v>
      </c>
      <c r="I321" s="133" t="s">
        <v>22</v>
      </c>
      <c r="J321" s="135" t="s">
        <v>23</v>
      </c>
      <c r="K321" s="135" t="s">
        <v>24</v>
      </c>
      <c r="L321" s="6" t="s">
        <v>157</v>
      </c>
      <c r="M321" s="93">
        <v>28</v>
      </c>
      <c r="N321" s="93">
        <v>60</v>
      </c>
      <c r="O321" s="6">
        <v>1</v>
      </c>
      <c r="P321" s="129">
        <v>3</v>
      </c>
      <c r="Q321" s="6">
        <v>239</v>
      </c>
      <c r="R321" s="98">
        <v>0.50049999999999994</v>
      </c>
      <c r="S321" s="94">
        <f>((Table3.110[[#This Row],[Sample weight, g]]*'2.1. DM'!Q93)/100)*1000</f>
        <v>464.40336365453805</v>
      </c>
      <c r="T321" s="94">
        <f>'3.2 Digest'!W321</f>
        <v>110.70336365453807</v>
      </c>
      <c r="U321" s="153">
        <v>0.35625000000000001</v>
      </c>
      <c r="V321" s="154">
        <v>41.5</v>
      </c>
      <c r="W321" s="153">
        <v>0.68125000000000002</v>
      </c>
      <c r="X321" s="95">
        <v>56.5</v>
      </c>
      <c r="Y321" s="95">
        <v>10</v>
      </c>
      <c r="Z321" s="154">
        <v>40</v>
      </c>
      <c r="AA321" s="153">
        <v>0.35416666666666669</v>
      </c>
      <c r="AB321" s="154">
        <v>58.5</v>
      </c>
      <c r="AC321" s="154">
        <v>12.7</v>
      </c>
      <c r="AD321" s="91"/>
      <c r="AE321" s="94">
        <f>Table3.110[[#This Row],[Gas 8h, ml]]-Table3.110[[#This Row],[Gas 0h, ml]]</f>
        <v>15</v>
      </c>
      <c r="AF321" s="94">
        <f>Table3.110[[#This Row],[Gas 24h, ml]]-Table3.110[[#This Row],[V8 Push back, ml]]</f>
        <v>18.5</v>
      </c>
      <c r="AG321" s="94">
        <f>Table3.110[[#This Row],[GP 8h, ml]]-(AVERAGE(AE$293,AE$294,AE$385,AE$386,AE$477,AE$478))*$AG$8</f>
        <v>13.746240428868305</v>
      </c>
      <c r="AH321" s="94">
        <f>Table3.110[[#This Row],[GP 8-24h, ml]]-(AVERAGE(AF$293,AF$294,AF$385,AF$386,AF$477,AF$478))*$AG$8</f>
        <v>16.508734798790837</v>
      </c>
      <c r="AI321" s="94">
        <f>Table3.110[[#This Row],[Net gas 8-24h, ml]]+Table3.110[[#This Row],[Net gas 8h, ml]]</f>
        <v>30.254975227659141</v>
      </c>
      <c r="AJ321" s="94">
        <f>Table3.110[[#This Row],[Net gas 8h, ml]]*Table3.110[[#This Row],[CH4 8h %]]%</f>
        <v>1.3746240428868306</v>
      </c>
      <c r="AK321" s="94">
        <f>Table3.110[[#This Row],[Net gas 8-24h, ml]]*Table3.110[[#This Row],[CH4 24h, %]]%</f>
        <v>2.0966093194464364</v>
      </c>
      <c r="AL321" s="94">
        <f>Table3.110[[#This Row],[CH4 8-24h, ml]]+Table3.110[[#This Row],[CH4 8h, ml]]</f>
        <v>3.4712333623332672</v>
      </c>
      <c r="AM321" s="94">
        <f>(Table3.110[[#This Row],[Net gas 24h, ml]]/Table3.110[[#This Row],[DM Incubated, mg]])*1000</f>
        <v>65.148053600587858</v>
      </c>
      <c r="AN321" s="94">
        <f>'3.2 Digest'!X321</f>
        <v>23.837760946298499</v>
      </c>
      <c r="AO321" s="94">
        <f>Table3.110[[#This Row],[Digested feed, mg]]/Table3.110[[#This Row],[Net gas 24h, ml]]</f>
        <v>3.6590135282389156</v>
      </c>
      <c r="AP321" s="94">
        <f>Table3.110[[#This Row],[CH4 8h, ml]]/Table3.110[[#This Row],[Net gas 8h, ml]]%</f>
        <v>10</v>
      </c>
      <c r="AQ321" s="94">
        <f>Table3.110[[#This Row],[CH4 24h, ml]]/Table3.110[[#This Row],[Net gas 24h, ml]]%</f>
        <v>11.473264599337238</v>
      </c>
      <c r="AR321" s="94">
        <f>Table3.110[[#This Row],[CH4 24h, ml]]/Table3.110[[#This Row],[DM Incubated, mg]]*1000</f>
        <v>7.474608570913496</v>
      </c>
      <c r="AS321" s="94">
        <f>Table3.110[[#This Row],[CH4 24h, ml]]/Table3.110[[#This Row],[Digested feed, mg]]*1000</f>
        <v>31.356168843844976</v>
      </c>
      <c r="AT321" s="94">
        <f>Table3.110[[#This Row],[CH4 24h, ml]]/'3.2 Digest'!AA321</f>
        <v>-8.1261508108095667E-2</v>
      </c>
      <c r="AU321" s="94">
        <f>((Table3.110[[#This Row],[CH4 24h, ml]]/28.9)*16.04)/Table3.110[[#This Row],[DM Incubated, mg]]*1000</f>
        <v>4.1485370753443762</v>
      </c>
      <c r="AV321" s="94">
        <f>((Table3.110[[#This Row],[CH4 24h, ml]]/28.9)*16.04)/Table3.110[[#This Row],[Digested feed, mg]]*1000</f>
        <v>17.403216202604618</v>
      </c>
    </row>
    <row r="322" spans="2:48" s="89" customFormat="1" x14ac:dyDescent="0.35">
      <c r="B322" s="90">
        <f t="shared" si="4"/>
        <v>312</v>
      </c>
      <c r="C322" s="140">
        <v>46048</v>
      </c>
      <c r="D322" s="6" t="s">
        <v>16</v>
      </c>
      <c r="E322" s="6" t="s">
        <v>163</v>
      </c>
      <c r="F322" s="133" t="s">
        <v>129</v>
      </c>
      <c r="G322" s="133" t="s">
        <v>164</v>
      </c>
      <c r="H322" s="133" t="s">
        <v>165</v>
      </c>
      <c r="I322" s="133" t="s">
        <v>22</v>
      </c>
      <c r="J322" s="135" t="s">
        <v>23</v>
      </c>
      <c r="K322" s="135" t="s">
        <v>24</v>
      </c>
      <c r="L322" s="6" t="s">
        <v>162</v>
      </c>
      <c r="M322" s="93">
        <v>28</v>
      </c>
      <c r="N322" s="93">
        <v>60</v>
      </c>
      <c r="O322" s="6">
        <v>1</v>
      </c>
      <c r="P322" s="6">
        <v>1</v>
      </c>
      <c r="Q322" s="6">
        <v>240</v>
      </c>
      <c r="R322" s="98">
        <v>0.50019999999999998</v>
      </c>
      <c r="S322" s="94">
        <f>((Table3.110[[#This Row],[Sample weight, g]]*'2.1. DM'!Q95)/100)*1000</f>
        <v>466.37040295970445</v>
      </c>
      <c r="T322" s="94">
        <f>'3.2 Digest'!W322</f>
        <v>122.97040295970442</v>
      </c>
      <c r="U322" s="117">
        <v>0.35694444444444445</v>
      </c>
      <c r="V322" s="155">
        <v>40.5</v>
      </c>
      <c r="W322" s="117">
        <v>0.68125000000000002</v>
      </c>
      <c r="X322" s="97">
        <v>55</v>
      </c>
      <c r="Y322" s="97">
        <v>12.8</v>
      </c>
      <c r="Z322" s="155">
        <v>30.5</v>
      </c>
      <c r="AA322" s="117">
        <v>0.35486111111111113</v>
      </c>
      <c r="AB322" s="155">
        <v>58.5</v>
      </c>
      <c r="AC322" s="155">
        <v>14</v>
      </c>
      <c r="AD322" s="96" t="s">
        <v>560</v>
      </c>
      <c r="AE322" s="94">
        <f>Table3.110[[#This Row],[Gas 8h, ml]]-Table3.110[[#This Row],[Gas 0h, ml]]</f>
        <v>14.5</v>
      </c>
      <c r="AF322" s="94">
        <f>Table3.110[[#This Row],[Gas 24h, ml]]-Table3.110[[#This Row],[V8 Push back, ml]]</f>
        <v>28</v>
      </c>
      <c r="AG322" s="94">
        <f>Table3.110[[#This Row],[GP 8h, ml]]-(AVERAGE(AE$293,AE$294,AE$385,AE$386,AE$477,AE$478))*$AG$8</f>
        <v>13.246240428868305</v>
      </c>
      <c r="AH322" s="94">
        <f>Table3.110[[#This Row],[GP 8-24h, ml]]-(AVERAGE(AF$293,AF$294,AF$385,AF$386,AF$477,AF$478))*$AG$8</f>
        <v>26.008734798790837</v>
      </c>
      <c r="AI322" s="94">
        <f>Table3.110[[#This Row],[Net gas 8-24h, ml]]+Table3.110[[#This Row],[Net gas 8h, ml]]</f>
        <v>39.254975227659145</v>
      </c>
      <c r="AJ322" s="94">
        <f>Table3.110[[#This Row],[Net gas 8h, ml]]*Table3.110[[#This Row],[CH4 8h %]]%</f>
        <v>1.695518774895143</v>
      </c>
      <c r="AK322" s="94">
        <f>Table3.110[[#This Row],[Net gas 8-24h, ml]]*Table3.110[[#This Row],[CH4 24h, %]]%</f>
        <v>3.6412228718307174</v>
      </c>
      <c r="AL322" s="94">
        <f>Table3.110[[#This Row],[CH4 8-24h, ml]]+Table3.110[[#This Row],[CH4 8h, ml]]</f>
        <v>5.3367416467258604</v>
      </c>
      <c r="AM322" s="94">
        <f>(Table3.110[[#This Row],[Net gas 24h, ml]]/Table3.110[[#This Row],[DM Incubated, mg]])*1000</f>
        <v>84.171240238525314</v>
      </c>
      <c r="AN322" s="94">
        <f>'3.2 Digest'!X322</f>
        <v>26.367540088158076</v>
      </c>
      <c r="AO322" s="94">
        <f>Table3.110[[#This Row],[Digested feed, mg]]/Table3.110[[#This Row],[Net gas 24h, ml]]</f>
        <v>3.1326068159905294</v>
      </c>
      <c r="AP322" s="94">
        <f>Table3.110[[#This Row],[CH4 8h, ml]]/Table3.110[[#This Row],[Net gas 8h, ml]]%</f>
        <v>12.799999999999999</v>
      </c>
      <c r="AQ322" s="94">
        <f>Table3.110[[#This Row],[CH4 24h, ml]]/Table3.110[[#This Row],[Net gas 24h, ml]]%</f>
        <v>13.595070728679456</v>
      </c>
      <c r="AR322" s="94">
        <f>Table3.110[[#This Row],[CH4 24h, ml]]/Table3.110[[#This Row],[DM Incubated, mg]]*1000</f>
        <v>11.44313964363422</v>
      </c>
      <c r="AS322" s="94">
        <f>Table3.110[[#This Row],[CH4 24h, ml]]/Table3.110[[#This Row],[Digested feed, mg]]*1000</f>
        <v>43.398586312469284</v>
      </c>
      <c r="AT322" s="94">
        <f>Table3.110[[#This Row],[CH4 24h, ml]]/'3.2 Digest'!AA322</f>
        <v>-0.71095462671194232</v>
      </c>
      <c r="AU322" s="94">
        <f>((Table3.110[[#This Row],[CH4 24h, ml]]/28.9)*16.04)/Table3.110[[#This Row],[DM Incubated, mg]]*1000</f>
        <v>6.3511404804115195</v>
      </c>
      <c r="AV322" s="94">
        <f>((Table3.110[[#This Row],[CH4 24h, ml]]/28.9)*16.04)/Table3.110[[#This Row],[Digested feed, mg]]*1000</f>
        <v>24.086966244014096</v>
      </c>
    </row>
    <row r="323" spans="2:48" s="89" customFormat="1" x14ac:dyDescent="0.35">
      <c r="B323" s="90">
        <f t="shared" si="4"/>
        <v>313</v>
      </c>
      <c r="C323" s="140">
        <v>46048</v>
      </c>
      <c r="D323" s="6" t="s">
        <v>16</v>
      </c>
      <c r="E323" s="6" t="s">
        <v>163</v>
      </c>
      <c r="F323" s="133" t="s">
        <v>129</v>
      </c>
      <c r="G323" s="133" t="s">
        <v>164</v>
      </c>
      <c r="H323" s="133" t="s">
        <v>165</v>
      </c>
      <c r="I323" s="133" t="s">
        <v>22</v>
      </c>
      <c r="J323" s="135" t="s">
        <v>23</v>
      </c>
      <c r="K323" s="135" t="s">
        <v>24</v>
      </c>
      <c r="L323" s="6" t="s">
        <v>162</v>
      </c>
      <c r="M323" s="93">
        <v>28</v>
      </c>
      <c r="N323" s="93">
        <v>60</v>
      </c>
      <c r="O323" s="6">
        <v>1</v>
      </c>
      <c r="P323" s="129">
        <v>2</v>
      </c>
      <c r="Q323" s="6">
        <v>241</v>
      </c>
      <c r="R323" s="98">
        <v>0.50060000000000004</v>
      </c>
      <c r="S323" s="94">
        <f>((Table3.110[[#This Row],[Sample weight, g]]*'2.1. DM'!Q95)/100)*1000</f>
        <v>466.74335010321482</v>
      </c>
      <c r="T323" s="94">
        <f>'3.2 Digest'!W323</f>
        <v>115.24335010321477</v>
      </c>
      <c r="U323" s="153">
        <v>0.35694444444444445</v>
      </c>
      <c r="V323" s="154">
        <v>41</v>
      </c>
      <c r="W323" s="153">
        <v>0.68125000000000002</v>
      </c>
      <c r="X323" s="95">
        <v>64.5</v>
      </c>
      <c r="Y323" s="95">
        <v>13.1</v>
      </c>
      <c r="Z323" s="154">
        <v>40</v>
      </c>
      <c r="AA323" s="153">
        <v>0.35555555555555557</v>
      </c>
      <c r="AB323" s="154">
        <v>72</v>
      </c>
      <c r="AC323" s="154">
        <v>14.7</v>
      </c>
      <c r="AD323" s="91"/>
      <c r="AE323" s="94">
        <f>Table3.110[[#This Row],[Gas 8h, ml]]-Table3.110[[#This Row],[Gas 0h, ml]]</f>
        <v>23.5</v>
      </c>
      <c r="AF323" s="94">
        <f>Table3.110[[#This Row],[Gas 24h, ml]]-Table3.110[[#This Row],[V8 Push back, ml]]</f>
        <v>32</v>
      </c>
      <c r="AG323" s="94">
        <f>Table3.110[[#This Row],[GP 8h, ml]]-(AVERAGE(AE$293,AE$294,AE$385,AE$386,AE$477,AE$478))*$AG$8</f>
        <v>22.246240428868305</v>
      </c>
      <c r="AH323" s="94">
        <f>Table3.110[[#This Row],[GP 8-24h, ml]]-(AVERAGE(AF$293,AF$294,AF$385,AF$386,AF$477,AF$478))*$AG$8</f>
        <v>30.008734798790837</v>
      </c>
      <c r="AI323" s="94">
        <f>Table3.110[[#This Row],[Net gas 8-24h, ml]]+Table3.110[[#This Row],[Net gas 8h, ml]]</f>
        <v>52.254975227659145</v>
      </c>
      <c r="AJ323" s="94">
        <f>Table3.110[[#This Row],[Net gas 8h, ml]]*Table3.110[[#This Row],[CH4 8h %]]%</f>
        <v>2.9142574961817482</v>
      </c>
      <c r="AK323" s="94">
        <f>Table3.110[[#This Row],[Net gas 8-24h, ml]]*Table3.110[[#This Row],[CH4 24h, %]]%</f>
        <v>4.411284015422253</v>
      </c>
      <c r="AL323" s="94">
        <f>Table3.110[[#This Row],[CH4 8-24h, ml]]+Table3.110[[#This Row],[CH4 8h, ml]]</f>
        <v>7.3255415116040012</v>
      </c>
      <c r="AM323" s="94">
        <f>(Table3.110[[#This Row],[Net gas 24h, ml]]/Table3.110[[#This Row],[DM Incubated, mg]])*1000</f>
        <v>111.95655003141141</v>
      </c>
      <c r="AN323" s="94">
        <f>'3.2 Digest'!X323</f>
        <v>24.690946336510216</v>
      </c>
      <c r="AO323" s="94">
        <f>Table3.110[[#This Row],[Digested feed, mg]]/Table3.110[[#This Row],[Net gas 24h, ml]]</f>
        <v>2.2054043581713376</v>
      </c>
      <c r="AP323" s="94">
        <f>Table3.110[[#This Row],[CH4 8h, ml]]/Table3.110[[#This Row],[Net gas 8h, ml]]%</f>
        <v>13.100000000000001</v>
      </c>
      <c r="AQ323" s="94">
        <f>Table3.110[[#This Row],[CH4 24h, ml]]/Table3.110[[#This Row],[Net gas 24h, ml]]%</f>
        <v>14.018840272507699</v>
      </c>
      <c r="AR323" s="94">
        <f>Table3.110[[#This Row],[CH4 24h, ml]]/Table3.110[[#This Row],[DM Incubated, mg]]*1000</f>
        <v>15.695009923513734</v>
      </c>
      <c r="AS323" s="94">
        <f>Table3.110[[#This Row],[CH4 24h, ml]]/Table3.110[[#This Row],[Digested feed, mg]]*1000</f>
        <v>63.565850047252766</v>
      </c>
      <c r="AT323" s="94">
        <f>Table3.110[[#This Row],[CH4 24h, ml]]/'3.2 Digest'!AA323</f>
        <v>-0.73591424871946443</v>
      </c>
      <c r="AU323" s="94">
        <f>((Table3.110[[#This Row],[CH4 24h, ml]]/28.9)*16.04)/Table3.110[[#This Row],[DM Incubated, mg]]*1000</f>
        <v>8.7110020475141958</v>
      </c>
      <c r="AV323" s="94">
        <f>((Table3.110[[#This Row],[CH4 24h, ml]]/28.9)*16.04)/Table3.110[[#This Row],[Digested feed, mg]]*1000</f>
        <v>35.280146531416406</v>
      </c>
    </row>
    <row r="324" spans="2:48" s="89" customFormat="1" x14ac:dyDescent="0.35">
      <c r="B324" s="90">
        <f t="shared" si="4"/>
        <v>314</v>
      </c>
      <c r="C324" s="140">
        <v>46048</v>
      </c>
      <c r="D324" s="6" t="s">
        <v>16</v>
      </c>
      <c r="E324" s="6" t="s">
        <v>163</v>
      </c>
      <c r="F324" s="133" t="s">
        <v>129</v>
      </c>
      <c r="G324" s="133" t="s">
        <v>164</v>
      </c>
      <c r="H324" s="133" t="s">
        <v>165</v>
      </c>
      <c r="I324" s="133" t="s">
        <v>22</v>
      </c>
      <c r="J324" s="135" t="s">
        <v>23</v>
      </c>
      <c r="K324" s="135" t="s">
        <v>24</v>
      </c>
      <c r="L324" s="6" t="s">
        <v>162</v>
      </c>
      <c r="M324" s="93">
        <v>28</v>
      </c>
      <c r="N324" s="93">
        <v>60</v>
      </c>
      <c r="O324" s="6">
        <v>1</v>
      </c>
      <c r="P324" s="129">
        <v>3</v>
      </c>
      <c r="Q324" s="6">
        <v>242</v>
      </c>
      <c r="R324" s="98">
        <v>0.50060000000000004</v>
      </c>
      <c r="S324" s="94">
        <f>((Table3.110[[#This Row],[Sample weight, g]]*'2.1. DM'!Q95)/100)*1000</f>
        <v>466.74335010321482</v>
      </c>
      <c r="T324" s="94">
        <f>'3.2 Digest'!W324</f>
        <v>124.1433501032148</v>
      </c>
      <c r="U324" s="117">
        <v>0.3576388888888889</v>
      </c>
      <c r="V324" s="155">
        <v>40.5</v>
      </c>
      <c r="W324" s="117">
        <v>0.68194444444444446</v>
      </c>
      <c r="X324" s="97">
        <v>64.5</v>
      </c>
      <c r="Y324" s="97">
        <v>13.3</v>
      </c>
      <c r="Z324" s="155">
        <v>40</v>
      </c>
      <c r="AA324" s="117">
        <v>0.35555555555555557</v>
      </c>
      <c r="AB324" s="155">
        <v>71.5</v>
      </c>
      <c r="AC324" s="155">
        <v>15</v>
      </c>
      <c r="AD324" s="96"/>
      <c r="AE324" s="94">
        <f>Table3.110[[#This Row],[Gas 8h, ml]]-Table3.110[[#This Row],[Gas 0h, ml]]</f>
        <v>24</v>
      </c>
      <c r="AF324" s="94">
        <f>Table3.110[[#This Row],[Gas 24h, ml]]-Table3.110[[#This Row],[V8 Push back, ml]]</f>
        <v>31.5</v>
      </c>
      <c r="AG324" s="94">
        <f>Table3.110[[#This Row],[GP 8h, ml]]-(AVERAGE(AE$293,AE$294,AE$385,AE$386,AE$477,AE$478))*$AG$8</f>
        <v>22.746240428868305</v>
      </c>
      <c r="AH324" s="94">
        <f>Table3.110[[#This Row],[GP 8-24h, ml]]-(AVERAGE(AF$293,AF$294,AF$385,AF$386,AF$477,AF$478))*$AG$8</f>
        <v>29.508734798790837</v>
      </c>
      <c r="AI324" s="94">
        <f>Table3.110[[#This Row],[Net gas 8-24h, ml]]+Table3.110[[#This Row],[Net gas 8h, ml]]</f>
        <v>52.254975227659145</v>
      </c>
      <c r="AJ324" s="94">
        <f>Table3.110[[#This Row],[Net gas 8h, ml]]*Table3.110[[#This Row],[CH4 8h %]]%</f>
        <v>3.0252499770394845</v>
      </c>
      <c r="AK324" s="94">
        <f>Table3.110[[#This Row],[Net gas 8-24h, ml]]*Table3.110[[#This Row],[CH4 24h, %]]%</f>
        <v>4.4263102198186255</v>
      </c>
      <c r="AL324" s="94">
        <f>Table3.110[[#This Row],[CH4 8-24h, ml]]+Table3.110[[#This Row],[CH4 8h, ml]]</f>
        <v>7.45156019685811</v>
      </c>
      <c r="AM324" s="94">
        <f>(Table3.110[[#This Row],[Net gas 24h, ml]]/Table3.110[[#This Row],[DM Incubated, mg]])*1000</f>
        <v>111.95655003141141</v>
      </c>
      <c r="AN324" s="94">
        <f>'3.2 Digest'!X324</f>
        <v>26.597775860279949</v>
      </c>
      <c r="AO324" s="94">
        <f>Table3.110[[#This Row],[Digested feed, mg]]/Table3.110[[#This Row],[Net gas 24h, ml]]</f>
        <v>2.3757230687099118</v>
      </c>
      <c r="AP324" s="94">
        <f>Table3.110[[#This Row],[CH4 8h, ml]]/Table3.110[[#This Row],[Net gas 8h, ml]]%</f>
        <v>13.299999999999999</v>
      </c>
      <c r="AQ324" s="94">
        <f>Table3.110[[#This Row],[CH4 24h, ml]]/Table3.110[[#This Row],[Net gas 24h, ml]]%</f>
        <v>14.260001395836307</v>
      </c>
      <c r="AR324" s="94">
        <f>Table3.110[[#This Row],[CH4 24h, ml]]/Table3.110[[#This Row],[DM Incubated, mg]]*1000</f>
        <v>15.965005597209439</v>
      </c>
      <c r="AS324" s="94">
        <f>Table3.110[[#This Row],[CH4 24h, ml]]/Table3.110[[#This Row],[Digested feed, mg]]*1000</f>
        <v>60.023836884237149</v>
      </c>
      <c r="AT324" s="94">
        <f>Table3.110[[#This Row],[CH4 24h, ml]]/'3.2 Digest'!AA324</f>
        <v>-1.0392270259000416</v>
      </c>
      <c r="AU324" s="94">
        <f>((Table3.110[[#This Row],[CH4 24h, ml]]/28.9)*16.04)/Table3.110[[#This Row],[DM Incubated, mg]]*1000</f>
        <v>8.8608543176207419</v>
      </c>
      <c r="AV324" s="94">
        <f>((Table3.110[[#This Row],[CH4 24h, ml]]/28.9)*16.04)/Table3.110[[#This Row],[Digested feed, mg]]*1000</f>
        <v>33.314267945438196</v>
      </c>
    </row>
    <row r="325" spans="2:48" s="89" customFormat="1" x14ac:dyDescent="0.35">
      <c r="B325" s="90">
        <f t="shared" si="4"/>
        <v>315</v>
      </c>
      <c r="C325" s="140">
        <v>46048</v>
      </c>
      <c r="D325" s="6" t="s">
        <v>16</v>
      </c>
      <c r="E325" s="6" t="s">
        <v>167</v>
      </c>
      <c r="F325" s="133" t="s">
        <v>88</v>
      </c>
      <c r="G325" s="133" t="s">
        <v>168</v>
      </c>
      <c r="H325" s="133" t="s">
        <v>169</v>
      </c>
      <c r="I325" s="133" t="s">
        <v>22</v>
      </c>
      <c r="J325" s="135" t="s">
        <v>23</v>
      </c>
      <c r="K325" s="135" t="s">
        <v>24</v>
      </c>
      <c r="L325" s="6" t="s">
        <v>166</v>
      </c>
      <c r="M325" s="93">
        <v>28</v>
      </c>
      <c r="N325" s="93">
        <v>60</v>
      </c>
      <c r="O325" s="6">
        <v>1</v>
      </c>
      <c r="P325" s="6">
        <v>1</v>
      </c>
      <c r="Q325" s="6">
        <v>243</v>
      </c>
      <c r="R325" s="98">
        <v>0.50049999999999994</v>
      </c>
      <c r="S325" s="94">
        <f>((Table3.110[[#This Row],[Sample weight, g]]*'2.1. DM'!Q97)/100)*1000</f>
        <v>473.55215034989499</v>
      </c>
      <c r="T325" s="94">
        <f>'3.2 Digest'!W325</f>
        <v>167.45215034989508</v>
      </c>
      <c r="U325" s="153">
        <v>0.35833333333333334</v>
      </c>
      <c r="V325" s="154">
        <v>40.5</v>
      </c>
      <c r="W325" s="153">
        <v>0.68263888888888891</v>
      </c>
      <c r="X325" s="95">
        <v>73.5</v>
      </c>
      <c r="Y325" s="95">
        <v>13</v>
      </c>
      <c r="Z325" s="154">
        <v>40</v>
      </c>
      <c r="AA325" s="153">
        <v>0.35555555555555557</v>
      </c>
      <c r="AB325" s="154">
        <v>74.5</v>
      </c>
      <c r="AC325" s="154">
        <v>17</v>
      </c>
      <c r="AD325" s="91"/>
      <c r="AE325" s="94">
        <f>Table3.110[[#This Row],[Gas 8h, ml]]-Table3.110[[#This Row],[Gas 0h, ml]]</f>
        <v>33</v>
      </c>
      <c r="AF325" s="94">
        <f>Table3.110[[#This Row],[Gas 24h, ml]]-Table3.110[[#This Row],[V8 Push back, ml]]</f>
        <v>34.5</v>
      </c>
      <c r="AG325" s="94">
        <f>Table3.110[[#This Row],[GP 8h, ml]]-(AVERAGE(AE$293,AE$294,AE$385,AE$386,AE$477,AE$478))*$AG$8</f>
        <v>31.746240428868305</v>
      </c>
      <c r="AH325" s="94">
        <f>Table3.110[[#This Row],[GP 8-24h, ml]]-(AVERAGE(AF$293,AF$294,AF$385,AF$386,AF$477,AF$478))*$AG$8</f>
        <v>32.50873479879084</v>
      </c>
      <c r="AI325" s="94">
        <f>Table3.110[[#This Row],[Net gas 8-24h, ml]]+Table3.110[[#This Row],[Net gas 8h, ml]]</f>
        <v>64.254975227659145</v>
      </c>
      <c r="AJ325" s="94">
        <f>Table3.110[[#This Row],[Net gas 8h, ml]]*Table3.110[[#This Row],[CH4 8h %]]%</f>
        <v>4.1270112557528797</v>
      </c>
      <c r="AK325" s="94">
        <f>Table3.110[[#This Row],[Net gas 8-24h, ml]]*Table3.110[[#This Row],[CH4 24h, %]]%</f>
        <v>5.5264849157944429</v>
      </c>
      <c r="AL325" s="94">
        <f>Table3.110[[#This Row],[CH4 8-24h, ml]]+Table3.110[[#This Row],[CH4 8h, ml]]</f>
        <v>9.6534961715473226</v>
      </c>
      <c r="AM325" s="94">
        <f>(Table3.110[[#This Row],[Net gas 24h, ml]]/Table3.110[[#This Row],[DM Incubated, mg]])*1000</f>
        <v>135.68722089041907</v>
      </c>
      <c r="AN325" s="94">
        <f>'3.2 Digest'!X325</f>
        <v>35.360867905714116</v>
      </c>
      <c r="AO325" s="94">
        <f>Table3.110[[#This Row],[Digested feed, mg]]/Table3.110[[#This Row],[Net gas 24h, ml]]</f>
        <v>2.6060573481913623</v>
      </c>
      <c r="AP325" s="94">
        <f>Table3.110[[#This Row],[CH4 8h, ml]]/Table3.110[[#This Row],[Net gas 8h, ml]]%</f>
        <v>13</v>
      </c>
      <c r="AQ325" s="94">
        <f>Table3.110[[#This Row],[CH4 24h, ml]]/Table3.110[[#This Row],[Net gas 24h, ml]]%</f>
        <v>15.023733395498821</v>
      </c>
      <c r="AR325" s="94">
        <f>Table3.110[[#This Row],[CH4 24h, ml]]/Table3.110[[#This Row],[DM Incubated, mg]]*1000</f>
        <v>20.385286318338146</v>
      </c>
      <c r="AS325" s="94">
        <f>Table3.110[[#This Row],[CH4 24h, ml]]/Table3.110[[#This Row],[Digested feed, mg]]*1000</f>
        <v>57.649281608961864</v>
      </c>
      <c r="AT325" s="94">
        <f>Table3.110[[#This Row],[CH4 24h, ml]]/'3.2 Digest'!AA325</f>
        <v>-3.3788390330020963</v>
      </c>
      <c r="AU325" s="94">
        <f>((Table3.110[[#This Row],[CH4 24h, ml]]/28.9)*16.04)/Table3.110[[#This Row],[DM Incubated, mg]]*1000</f>
        <v>11.314186593292174</v>
      </c>
      <c r="AV325" s="94">
        <f>((Table3.110[[#This Row],[CH4 24h, ml]]/28.9)*16.04)/Table3.110[[#This Row],[Digested feed, mg]]*1000</f>
        <v>31.996348685389211</v>
      </c>
    </row>
    <row r="326" spans="2:48" s="89" customFormat="1" x14ac:dyDescent="0.35">
      <c r="B326" s="90">
        <f t="shared" si="4"/>
        <v>316</v>
      </c>
      <c r="C326" s="140">
        <v>46048</v>
      </c>
      <c r="D326" s="6" t="s">
        <v>16</v>
      </c>
      <c r="E326" s="6" t="s">
        <v>167</v>
      </c>
      <c r="F326" s="133" t="s">
        <v>88</v>
      </c>
      <c r="G326" s="133" t="s">
        <v>168</v>
      </c>
      <c r="H326" s="133" t="s">
        <v>169</v>
      </c>
      <c r="I326" s="133" t="s">
        <v>22</v>
      </c>
      <c r="J326" s="135" t="s">
        <v>23</v>
      </c>
      <c r="K326" s="135" t="s">
        <v>24</v>
      </c>
      <c r="L326" s="6" t="s">
        <v>166</v>
      </c>
      <c r="M326" s="93">
        <v>28</v>
      </c>
      <c r="N326" s="93">
        <v>60</v>
      </c>
      <c r="O326" s="6">
        <v>1</v>
      </c>
      <c r="P326" s="129">
        <v>2</v>
      </c>
      <c r="Q326" s="6">
        <v>244</v>
      </c>
      <c r="R326" s="98">
        <v>0.50019999999999998</v>
      </c>
      <c r="S326" s="94">
        <f>((Table3.110[[#This Row],[Sample weight, g]]*'2.1. DM'!Q97)/100)*1000</f>
        <v>473.26830290712786</v>
      </c>
      <c r="T326" s="94">
        <f>'3.2 Digest'!W326</f>
        <v>188.06830290712787</v>
      </c>
      <c r="U326" s="117">
        <v>0.35833333333333334</v>
      </c>
      <c r="V326" s="155">
        <v>40.5</v>
      </c>
      <c r="W326" s="117">
        <v>0.68263888888888891</v>
      </c>
      <c r="X326" s="97">
        <v>76</v>
      </c>
      <c r="Y326" s="97">
        <v>12.3</v>
      </c>
      <c r="Z326" s="155">
        <v>40</v>
      </c>
      <c r="AA326" s="117">
        <v>0.35625000000000001</v>
      </c>
      <c r="AB326" s="155">
        <v>71.5</v>
      </c>
      <c r="AC326" s="155">
        <v>17.899999999999999</v>
      </c>
      <c r="AD326" s="96"/>
      <c r="AE326" s="94">
        <f>Table3.110[[#This Row],[Gas 8h, ml]]-Table3.110[[#This Row],[Gas 0h, ml]]</f>
        <v>35.5</v>
      </c>
      <c r="AF326" s="94">
        <f>Table3.110[[#This Row],[Gas 24h, ml]]-Table3.110[[#This Row],[V8 Push back, ml]]</f>
        <v>31.5</v>
      </c>
      <c r="AG326" s="94">
        <f>Table3.110[[#This Row],[GP 8h, ml]]-(AVERAGE(AE$293,AE$294,AE$385,AE$386,AE$477,AE$478))*$AG$8</f>
        <v>34.246240428868305</v>
      </c>
      <c r="AH326" s="94">
        <f>Table3.110[[#This Row],[GP 8-24h, ml]]-(AVERAGE(AF$293,AF$294,AF$385,AF$386,AF$477,AF$478))*$AG$8</f>
        <v>29.508734798790837</v>
      </c>
      <c r="AI326" s="94">
        <f>Table3.110[[#This Row],[Net gas 8-24h, ml]]+Table3.110[[#This Row],[Net gas 8h, ml]]</f>
        <v>63.754975227659145</v>
      </c>
      <c r="AJ326" s="94">
        <f>Table3.110[[#This Row],[Net gas 8h, ml]]*Table3.110[[#This Row],[CH4 8h %]]%</f>
        <v>4.2122875727508022</v>
      </c>
      <c r="AK326" s="94">
        <f>Table3.110[[#This Row],[Net gas 8-24h, ml]]*Table3.110[[#This Row],[CH4 24h, %]]%</f>
        <v>5.2820635289835591</v>
      </c>
      <c r="AL326" s="94">
        <f>Table3.110[[#This Row],[CH4 8-24h, ml]]+Table3.110[[#This Row],[CH4 8h, ml]]</f>
        <v>9.4943511017343614</v>
      </c>
      <c r="AM326" s="94">
        <f>(Table3.110[[#This Row],[Net gas 24h, ml]]/Table3.110[[#This Row],[DM Incubated, mg]])*1000</f>
        <v>134.71211749452434</v>
      </c>
      <c r="AN326" s="94">
        <f>'3.2 Digest'!X326</f>
        <v>39.738199611486252</v>
      </c>
      <c r="AO326" s="94">
        <f>Table3.110[[#This Row],[Digested feed, mg]]/Table3.110[[#This Row],[Net gas 24h, ml]]</f>
        <v>2.9498608106357986</v>
      </c>
      <c r="AP326" s="94">
        <f>Table3.110[[#This Row],[CH4 8h, ml]]/Table3.110[[#This Row],[Net gas 8h, ml]]%</f>
        <v>12.300000000000002</v>
      </c>
      <c r="AQ326" s="94">
        <f>Table3.110[[#This Row],[CH4 24h, ml]]/Table3.110[[#This Row],[Net gas 24h, ml]]%</f>
        <v>14.891937559118333</v>
      </c>
      <c r="AR326" s="94">
        <f>Table3.110[[#This Row],[CH4 24h, ml]]/Table3.110[[#This Row],[DM Incubated, mg]]*1000</f>
        <v>20.061244421850688</v>
      </c>
      <c r="AS326" s="94">
        <f>Table3.110[[#This Row],[CH4 24h, ml]]/Table3.110[[#This Row],[Digested feed, mg]]*1000</f>
        <v>50.483526224102071</v>
      </c>
      <c r="AT326" s="94">
        <f>Table3.110[[#This Row],[CH4 24h, ml]]/'3.2 Digest'!AA326</f>
        <v>2.3109688598897891</v>
      </c>
      <c r="AU326" s="94">
        <f>((Table3.110[[#This Row],[CH4 24h, ml]]/28.9)*16.04)/Table3.110[[#This Row],[DM Incubated, mg]]*1000</f>
        <v>11.134337734480452</v>
      </c>
      <c r="AV326" s="94">
        <f>((Table3.110[[#This Row],[CH4 24h, ml]]/28.9)*16.04)/Table3.110[[#This Row],[Digested feed, mg]]*1000</f>
        <v>28.019230471785367</v>
      </c>
    </row>
    <row r="327" spans="2:48" s="89" customFormat="1" x14ac:dyDescent="0.35">
      <c r="B327" s="90">
        <f t="shared" si="4"/>
        <v>317</v>
      </c>
      <c r="C327" s="140">
        <v>46048</v>
      </c>
      <c r="D327" s="6" t="s">
        <v>16</v>
      </c>
      <c r="E327" s="6" t="s">
        <v>167</v>
      </c>
      <c r="F327" s="133" t="s">
        <v>88</v>
      </c>
      <c r="G327" s="133" t="s">
        <v>168</v>
      </c>
      <c r="H327" s="133" t="s">
        <v>169</v>
      </c>
      <c r="I327" s="133" t="s">
        <v>22</v>
      </c>
      <c r="J327" s="135" t="s">
        <v>23</v>
      </c>
      <c r="K327" s="135" t="s">
        <v>24</v>
      </c>
      <c r="L327" s="6" t="s">
        <v>166</v>
      </c>
      <c r="M327" s="93">
        <v>28</v>
      </c>
      <c r="N327" s="93">
        <v>60</v>
      </c>
      <c r="O327" s="6">
        <v>1</v>
      </c>
      <c r="P327" s="129">
        <v>3</v>
      </c>
      <c r="Q327" s="6">
        <v>245</v>
      </c>
      <c r="R327" s="98">
        <v>0.50060000000000004</v>
      </c>
      <c r="S327" s="94">
        <f>((Table3.110[[#This Row],[Sample weight, g]]*'2.1. DM'!Q97)/100)*1000</f>
        <v>473.64676616415073</v>
      </c>
      <c r="T327" s="94">
        <f>'3.2 Digest'!W327</f>
        <v>184.74676616415081</v>
      </c>
      <c r="U327" s="153">
        <v>0.35833333333333334</v>
      </c>
      <c r="V327" s="154">
        <v>41</v>
      </c>
      <c r="W327" s="153">
        <v>0.68333333333333335</v>
      </c>
      <c r="X327" s="95">
        <v>75</v>
      </c>
      <c r="Y327" s="95">
        <v>12.8</v>
      </c>
      <c r="Z327" s="154">
        <v>40</v>
      </c>
      <c r="AA327" s="153">
        <v>0.35694444444444445</v>
      </c>
      <c r="AB327" s="154">
        <v>71.5</v>
      </c>
      <c r="AC327" s="154">
        <v>17.7</v>
      </c>
      <c r="AD327" s="91"/>
      <c r="AE327" s="94">
        <f>Table3.110[[#This Row],[Gas 8h, ml]]-Table3.110[[#This Row],[Gas 0h, ml]]</f>
        <v>34</v>
      </c>
      <c r="AF327" s="94">
        <f>Table3.110[[#This Row],[Gas 24h, ml]]-Table3.110[[#This Row],[V8 Push back, ml]]</f>
        <v>31.5</v>
      </c>
      <c r="AG327" s="94">
        <f>Table3.110[[#This Row],[GP 8h, ml]]-(AVERAGE(AE$293,AE$294,AE$385,AE$386,AE$477,AE$478))*$AG$8</f>
        <v>32.746240428868305</v>
      </c>
      <c r="AH327" s="94">
        <f>Table3.110[[#This Row],[GP 8-24h, ml]]-(AVERAGE(AF$293,AF$294,AF$385,AF$386,AF$477,AF$478))*$AG$8</f>
        <v>29.508734798790837</v>
      </c>
      <c r="AI327" s="94">
        <f>Table3.110[[#This Row],[Net gas 8-24h, ml]]+Table3.110[[#This Row],[Net gas 8h, ml]]</f>
        <v>62.254975227659145</v>
      </c>
      <c r="AJ327" s="94">
        <f>Table3.110[[#This Row],[Net gas 8h, ml]]*Table3.110[[#This Row],[CH4 8h %]]%</f>
        <v>4.191518774895143</v>
      </c>
      <c r="AK327" s="94">
        <f>Table3.110[[#This Row],[Net gas 8-24h, ml]]*Table3.110[[#This Row],[CH4 24h, %]]%</f>
        <v>5.223046059385978</v>
      </c>
      <c r="AL327" s="94">
        <f>Table3.110[[#This Row],[CH4 8-24h, ml]]+Table3.110[[#This Row],[CH4 8h, ml]]</f>
        <v>9.414564834281121</v>
      </c>
      <c r="AM327" s="94">
        <f>(Table3.110[[#This Row],[Net gas 24h, ml]]/Table3.110[[#This Row],[DM Incubated, mg]])*1000</f>
        <v>131.43755996020792</v>
      </c>
      <c r="AN327" s="94">
        <f>'3.2 Digest'!X327</f>
        <v>39.005178407599118</v>
      </c>
      <c r="AO327" s="94">
        <f>Table3.110[[#This Row],[Digested feed, mg]]/Table3.110[[#This Row],[Net gas 24h, ml]]</f>
        <v>2.9675823576919522</v>
      </c>
      <c r="AP327" s="94">
        <f>Table3.110[[#This Row],[CH4 8h, ml]]/Table3.110[[#This Row],[Net gas 8h, ml]]%</f>
        <v>12.799999999999999</v>
      </c>
      <c r="AQ327" s="94">
        <f>Table3.110[[#This Row],[CH4 24h, ml]]/Table3.110[[#This Row],[Net gas 24h, ml]]%</f>
        <v>15.122590282709391</v>
      </c>
      <c r="AR327" s="94">
        <f>Table3.110[[#This Row],[CH4 24h, ml]]/Table3.110[[#This Row],[DM Incubated, mg]]*1000</f>
        <v>19.876763670372736</v>
      </c>
      <c r="AS327" s="94">
        <f>Table3.110[[#This Row],[CH4 24h, ml]]/Table3.110[[#This Row],[Digested feed, mg]]*1000</f>
        <v>50.959294334365296</v>
      </c>
      <c r="AT327" s="94">
        <f>Table3.110[[#This Row],[CH4 24h, ml]]/'3.2 Digest'!AA327</f>
        <v>3.200093800391373</v>
      </c>
      <c r="AU327" s="94">
        <f>((Table3.110[[#This Row],[CH4 24h, ml]]/28.9)*16.04)/Table3.110[[#This Row],[DM Incubated, mg]]*1000</f>
        <v>11.031947725701682</v>
      </c>
      <c r="AV327" s="94">
        <f>((Table3.110[[#This Row],[CH4 24h, ml]]/28.9)*16.04)/Table3.110[[#This Row],[Digested feed, mg]]*1000</f>
        <v>28.283290004263645</v>
      </c>
    </row>
    <row r="328" spans="2:48" s="89" customFormat="1" x14ac:dyDescent="0.35">
      <c r="B328" s="90">
        <f t="shared" si="4"/>
        <v>318</v>
      </c>
      <c r="C328" s="140">
        <v>46048</v>
      </c>
      <c r="D328" s="6" t="s">
        <v>16</v>
      </c>
      <c r="E328" s="6" t="s">
        <v>171</v>
      </c>
      <c r="F328" s="133" t="s">
        <v>88</v>
      </c>
      <c r="G328" s="133" t="s">
        <v>147</v>
      </c>
      <c r="H328" s="133" t="s">
        <v>148</v>
      </c>
      <c r="I328" s="133" t="s">
        <v>22</v>
      </c>
      <c r="J328" s="135" t="s">
        <v>23</v>
      </c>
      <c r="K328" s="135" t="s">
        <v>24</v>
      </c>
      <c r="L328" s="6" t="s">
        <v>170</v>
      </c>
      <c r="M328" s="93">
        <v>28</v>
      </c>
      <c r="N328" s="93">
        <v>60</v>
      </c>
      <c r="O328" s="6">
        <v>1</v>
      </c>
      <c r="P328" s="6">
        <v>1</v>
      </c>
      <c r="Q328" s="6">
        <v>246</v>
      </c>
      <c r="R328" s="98">
        <v>0.5</v>
      </c>
      <c r="S328" s="94">
        <f>((Table3.110[[#This Row],[Sample weight, g]]*'2.1. DM'!Q99)/100)*1000</f>
        <v>473.93406521830326</v>
      </c>
      <c r="T328" s="94">
        <f>'3.2 Digest'!W328</f>
        <v>178.63406521830325</v>
      </c>
      <c r="U328" s="117">
        <v>0.35902777777777778</v>
      </c>
      <c r="V328" s="155">
        <v>41.5</v>
      </c>
      <c r="W328" s="117">
        <v>0.68333333333333335</v>
      </c>
      <c r="X328" s="97">
        <v>61</v>
      </c>
      <c r="Y328" s="97">
        <v>10.199999999999999</v>
      </c>
      <c r="Z328" s="155">
        <v>40</v>
      </c>
      <c r="AA328" s="117">
        <v>0.3576388888888889</v>
      </c>
      <c r="AB328" s="155">
        <v>59.5</v>
      </c>
      <c r="AC328" s="155">
        <v>12.3</v>
      </c>
      <c r="AD328" s="96"/>
      <c r="AE328" s="94">
        <f>Table3.110[[#This Row],[Gas 8h, ml]]-Table3.110[[#This Row],[Gas 0h, ml]]</f>
        <v>19.5</v>
      </c>
      <c r="AF328" s="94">
        <f>Table3.110[[#This Row],[Gas 24h, ml]]-Table3.110[[#This Row],[V8 Push back, ml]]</f>
        <v>19.5</v>
      </c>
      <c r="AG328" s="94">
        <f>Table3.110[[#This Row],[GP 8h, ml]]-(AVERAGE(AE$293,AE$294,AE$385,AE$386,AE$477,AE$478))*$AG$8</f>
        <v>18.246240428868305</v>
      </c>
      <c r="AH328" s="94">
        <f>Table3.110[[#This Row],[GP 8-24h, ml]]-(AVERAGE(AF$293,AF$294,AF$385,AF$386,AF$477,AF$478))*$AG$8</f>
        <v>17.508734798790837</v>
      </c>
      <c r="AI328" s="94">
        <f>Table3.110[[#This Row],[Net gas 8-24h, ml]]+Table3.110[[#This Row],[Net gas 8h, ml]]</f>
        <v>35.754975227659145</v>
      </c>
      <c r="AJ328" s="94">
        <f>Table3.110[[#This Row],[Net gas 8h, ml]]*Table3.110[[#This Row],[CH4 8h %]]%</f>
        <v>1.861116523744567</v>
      </c>
      <c r="AK328" s="94">
        <f>Table3.110[[#This Row],[Net gas 8-24h, ml]]*Table3.110[[#This Row],[CH4 24h, %]]%</f>
        <v>2.153574380251273</v>
      </c>
      <c r="AL328" s="94">
        <f>Table3.110[[#This Row],[CH4 8-24h, ml]]+Table3.110[[#This Row],[CH4 8h, ml]]</f>
        <v>4.0146909039958398</v>
      </c>
      <c r="AM328" s="94">
        <f>(Table3.110[[#This Row],[Net gas 24h, ml]]/Table3.110[[#This Row],[DM Incubated, mg]])*1000</f>
        <v>75.442931520842905</v>
      </c>
      <c r="AN328" s="94">
        <f>'3.2 Digest'!X328</f>
        <v>37.691754682377791</v>
      </c>
      <c r="AO328" s="94">
        <f>Table3.110[[#This Row],[Digested feed, mg]]/Table3.110[[#This Row],[Net gas 24h, ml]]</f>
        <v>4.996061781078132</v>
      </c>
      <c r="AP328" s="94">
        <f>Table3.110[[#This Row],[CH4 8h, ml]]/Table3.110[[#This Row],[Net gas 8h, ml]]%</f>
        <v>10.199999999999999</v>
      </c>
      <c r="AQ328" s="94">
        <f>Table3.110[[#This Row],[CH4 24h, ml]]/Table3.110[[#This Row],[Net gas 24h, ml]]%</f>
        <v>11.228342009562283</v>
      </c>
      <c r="AR328" s="94">
        <f>Table3.110[[#This Row],[CH4 24h, ml]]/Table3.110[[#This Row],[DM Incubated, mg]]*1000</f>
        <v>8.4709903732001095</v>
      </c>
      <c r="AS328" s="94">
        <f>Table3.110[[#This Row],[CH4 24h, ml]]/Table3.110[[#This Row],[Digested feed, mg]]*1000</f>
        <v>22.47438582943073</v>
      </c>
      <c r="AT328" s="94">
        <f>Table3.110[[#This Row],[CH4 24h, ml]]/'3.2 Digest'!AA328</f>
        <v>-0.21149414812944903</v>
      </c>
      <c r="AU328" s="94">
        <f>((Table3.110[[#This Row],[CH4 24h, ml]]/28.9)*16.04)/Table3.110[[#This Row],[DM Incubated, mg]]*1000</f>
        <v>4.7015462140529323</v>
      </c>
      <c r="AV328" s="94">
        <f>((Table3.110[[#This Row],[CH4 24h, ml]]/28.9)*16.04)/Table3.110[[#This Row],[Digested feed, mg]]*1000</f>
        <v>12.473672965538716</v>
      </c>
    </row>
    <row r="329" spans="2:48" s="89" customFormat="1" x14ac:dyDescent="0.35">
      <c r="B329" s="90">
        <f t="shared" si="4"/>
        <v>319</v>
      </c>
      <c r="C329" s="140">
        <v>46048</v>
      </c>
      <c r="D329" s="6" t="s">
        <v>16</v>
      </c>
      <c r="E329" s="6" t="s">
        <v>171</v>
      </c>
      <c r="F329" s="133" t="s">
        <v>88</v>
      </c>
      <c r="G329" s="133" t="s">
        <v>147</v>
      </c>
      <c r="H329" s="133" t="s">
        <v>148</v>
      </c>
      <c r="I329" s="133" t="s">
        <v>22</v>
      </c>
      <c r="J329" s="135" t="s">
        <v>23</v>
      </c>
      <c r="K329" s="135" t="s">
        <v>24</v>
      </c>
      <c r="L329" s="6" t="s">
        <v>170</v>
      </c>
      <c r="M329" s="93">
        <v>28</v>
      </c>
      <c r="N329" s="93">
        <v>60</v>
      </c>
      <c r="O329" s="6">
        <v>1</v>
      </c>
      <c r="P329" s="129">
        <v>2</v>
      </c>
      <c r="Q329" s="6">
        <v>247</v>
      </c>
      <c r="R329" s="98">
        <v>0.50009999999999999</v>
      </c>
      <c r="S329" s="94">
        <f>((Table3.110[[#This Row],[Sample weight, g]]*'2.1. DM'!Q99)/100)*1000</f>
        <v>474.0288520313469</v>
      </c>
      <c r="T329" s="94">
        <f>'3.2 Digest'!W329</f>
        <v>170.3288520313468</v>
      </c>
      <c r="U329" s="153">
        <v>0.35902777777777778</v>
      </c>
      <c r="V329" s="154">
        <v>41.5</v>
      </c>
      <c r="W329" s="153">
        <v>0.68402777777777779</v>
      </c>
      <c r="X329" s="95">
        <v>61.5</v>
      </c>
      <c r="Y329" s="95">
        <v>10</v>
      </c>
      <c r="Z329" s="154">
        <v>40</v>
      </c>
      <c r="AA329" s="153">
        <v>0.35833333333333334</v>
      </c>
      <c r="AB329" s="154">
        <v>59.5</v>
      </c>
      <c r="AC329" s="154">
        <v>10.9</v>
      </c>
      <c r="AD329" s="91"/>
      <c r="AE329" s="94">
        <f>Table3.110[[#This Row],[Gas 8h, ml]]-Table3.110[[#This Row],[Gas 0h, ml]]</f>
        <v>20</v>
      </c>
      <c r="AF329" s="94">
        <f>Table3.110[[#This Row],[Gas 24h, ml]]-Table3.110[[#This Row],[V8 Push back, ml]]</f>
        <v>19.5</v>
      </c>
      <c r="AG329" s="94">
        <f>Table3.110[[#This Row],[GP 8h, ml]]-(AVERAGE(AE$293,AE$294,AE$385,AE$386,AE$477,AE$478))*$AG$8</f>
        <v>18.746240428868305</v>
      </c>
      <c r="AH329" s="94">
        <f>Table3.110[[#This Row],[GP 8-24h, ml]]-(AVERAGE(AF$293,AF$294,AF$385,AF$386,AF$477,AF$478))*$AG$8</f>
        <v>17.508734798790837</v>
      </c>
      <c r="AI329" s="94">
        <f>Table3.110[[#This Row],[Net gas 8-24h, ml]]+Table3.110[[#This Row],[Net gas 8h, ml]]</f>
        <v>36.254975227659145</v>
      </c>
      <c r="AJ329" s="94">
        <f>Table3.110[[#This Row],[Net gas 8h, ml]]*Table3.110[[#This Row],[CH4 8h %]]%</f>
        <v>1.8746240428868306</v>
      </c>
      <c r="AK329" s="94">
        <f>Table3.110[[#This Row],[Net gas 8-24h, ml]]*Table3.110[[#This Row],[CH4 24h, %]]%</f>
        <v>1.9084520930682012</v>
      </c>
      <c r="AL329" s="94">
        <f>Table3.110[[#This Row],[CH4 8-24h, ml]]+Table3.110[[#This Row],[CH4 8h, ml]]</f>
        <v>3.7830761359550316</v>
      </c>
      <c r="AM329" s="94">
        <f>(Table3.110[[#This Row],[Net gas 24h, ml]]/Table3.110[[#This Row],[DM Incubated, mg]])*1000</f>
        <v>76.482634068150887</v>
      </c>
      <c r="AN329" s="94">
        <f>'3.2 Digest'!X329</f>
        <v>35.932169803892691</v>
      </c>
      <c r="AO329" s="94">
        <f>Table3.110[[#This Row],[Digested feed, mg]]/Table3.110[[#This Row],[Net gas 24h, ml]]</f>
        <v>4.6980821518091087</v>
      </c>
      <c r="AP329" s="94">
        <f>Table3.110[[#This Row],[CH4 8h, ml]]/Table3.110[[#This Row],[Net gas 8h, ml]]%</f>
        <v>10</v>
      </c>
      <c r="AQ329" s="94">
        <f>Table3.110[[#This Row],[CH4 24h, ml]]/Table3.110[[#This Row],[Net gas 24h, ml]]%</f>
        <v>10.434639969272132</v>
      </c>
      <c r="AR329" s="94">
        <f>Table3.110[[#This Row],[CH4 24h, ml]]/Table3.110[[#This Row],[DM Incubated, mg]]*1000</f>
        <v>7.9806875040274168</v>
      </c>
      <c r="AS329" s="94">
        <f>Table3.110[[#This Row],[CH4 24h, ml]]/Table3.110[[#This Row],[Digested feed, mg]]*1000</f>
        <v>22.210424662868071</v>
      </c>
      <c r="AT329" s="94">
        <f>Table3.110[[#This Row],[CH4 24h, ml]]/'3.2 Digest'!AA329</f>
        <v>-0.16932135257285921</v>
      </c>
      <c r="AU329" s="94">
        <f>((Table3.110[[#This Row],[CH4 24h, ml]]/28.9)*16.04)/Table3.110[[#This Row],[DM Incubated, mg]]*1000</f>
        <v>4.4294196389134868</v>
      </c>
      <c r="AV329" s="94">
        <f>((Table3.110[[#This Row],[CH4 24h, ml]]/28.9)*16.04)/Table3.110[[#This Row],[Digested feed, mg]]*1000</f>
        <v>12.32716995129425</v>
      </c>
    </row>
    <row r="330" spans="2:48" s="89" customFormat="1" x14ac:dyDescent="0.35">
      <c r="B330" s="90">
        <f t="shared" si="4"/>
        <v>320</v>
      </c>
      <c r="C330" s="140">
        <v>46048</v>
      </c>
      <c r="D330" s="6" t="s">
        <v>16</v>
      </c>
      <c r="E330" s="6" t="s">
        <v>171</v>
      </c>
      <c r="F330" s="133" t="s">
        <v>88</v>
      </c>
      <c r="G330" s="133" t="s">
        <v>147</v>
      </c>
      <c r="H330" s="133" t="s">
        <v>148</v>
      </c>
      <c r="I330" s="133" t="s">
        <v>22</v>
      </c>
      <c r="J330" s="135" t="s">
        <v>23</v>
      </c>
      <c r="K330" s="135" t="s">
        <v>24</v>
      </c>
      <c r="L330" s="6" t="s">
        <v>170</v>
      </c>
      <c r="M330" s="93">
        <v>28</v>
      </c>
      <c r="N330" s="93">
        <v>60</v>
      </c>
      <c r="O330" s="6">
        <v>1</v>
      </c>
      <c r="P330" s="129">
        <v>3</v>
      </c>
      <c r="Q330" s="6">
        <v>248</v>
      </c>
      <c r="R330" s="98">
        <v>0.50029999999999997</v>
      </c>
      <c r="S330" s="94">
        <f>((Table3.110[[#This Row],[Sample weight, g]]*'2.1. DM'!Q99)/100)*1000</f>
        <v>474.2184256574343</v>
      </c>
      <c r="T330" s="94">
        <f>'3.2 Digest'!W330</f>
        <v>145.01842565743436</v>
      </c>
      <c r="U330" s="117">
        <v>0.35972222222222222</v>
      </c>
      <c r="V330" s="155">
        <v>41.5</v>
      </c>
      <c r="W330" s="117">
        <v>0.68472222222222223</v>
      </c>
      <c r="X330" s="97">
        <v>60.5</v>
      </c>
      <c r="Y330" s="97">
        <v>10.5</v>
      </c>
      <c r="Z330" s="155">
        <v>40</v>
      </c>
      <c r="AA330" s="117">
        <v>0.35833333333333334</v>
      </c>
      <c r="AB330" s="155">
        <v>60.5</v>
      </c>
      <c r="AC330" s="155">
        <v>10.7</v>
      </c>
      <c r="AD330" s="96"/>
      <c r="AE330" s="94">
        <f>Table3.110[[#This Row],[Gas 8h, ml]]-Table3.110[[#This Row],[Gas 0h, ml]]</f>
        <v>19</v>
      </c>
      <c r="AF330" s="94">
        <f>Table3.110[[#This Row],[Gas 24h, ml]]-Table3.110[[#This Row],[V8 Push back, ml]]</f>
        <v>20.5</v>
      </c>
      <c r="AG330" s="94">
        <f>Table3.110[[#This Row],[GP 8h, ml]]-(AVERAGE(AE$293,AE$294,AE$385,AE$386,AE$477,AE$478))*$AG$8</f>
        <v>17.746240428868305</v>
      </c>
      <c r="AH330" s="94">
        <f>Table3.110[[#This Row],[GP 8-24h, ml]]-(AVERAGE(AF$293,AF$294,AF$385,AF$386,AF$477,AF$478))*$AG$8</f>
        <v>18.508734798790837</v>
      </c>
      <c r="AI330" s="94">
        <f>Table3.110[[#This Row],[Net gas 8-24h, ml]]+Table3.110[[#This Row],[Net gas 8h, ml]]</f>
        <v>36.254975227659145</v>
      </c>
      <c r="AJ330" s="94">
        <f>Table3.110[[#This Row],[Net gas 8h, ml]]*Table3.110[[#This Row],[CH4 8h %]]%</f>
        <v>1.8633552450311719</v>
      </c>
      <c r="AK330" s="94">
        <f>Table3.110[[#This Row],[Net gas 8-24h, ml]]*Table3.110[[#This Row],[CH4 24h, %]]%</f>
        <v>1.9804346234706194</v>
      </c>
      <c r="AL330" s="94">
        <f>Table3.110[[#This Row],[CH4 8-24h, ml]]+Table3.110[[#This Row],[CH4 8h, ml]]</f>
        <v>3.8437898685017915</v>
      </c>
      <c r="AM330" s="94">
        <f>(Table3.110[[#This Row],[Net gas 24h, ml]]/Table3.110[[#This Row],[DM Incubated, mg]])*1000</f>
        <v>76.45205935934888</v>
      </c>
      <c r="AN330" s="94">
        <f>'3.2 Digest'!X330</f>
        <v>30.580512652241971</v>
      </c>
      <c r="AO330" s="94">
        <f>Table3.110[[#This Row],[Digested feed, mg]]/Table3.110[[#This Row],[Net gas 24h, ml]]</f>
        <v>3.9999593089446908</v>
      </c>
      <c r="AP330" s="94">
        <f>Table3.110[[#This Row],[CH4 8h, ml]]/Table3.110[[#This Row],[Net gas 8h, ml]]%</f>
        <v>10.5</v>
      </c>
      <c r="AQ330" s="94">
        <f>Table3.110[[#This Row],[CH4 24h, ml]]/Table3.110[[#This Row],[Net gas 24h, ml]]%</f>
        <v>10.602103144093007</v>
      </c>
      <c r="AR330" s="94">
        <f>Table3.110[[#This Row],[CH4 24h, ml]]/Table3.110[[#This Row],[DM Incubated, mg]]*1000</f>
        <v>8.105526189061381</v>
      </c>
      <c r="AS330" s="94">
        <f>Table3.110[[#This Row],[CH4 24h, ml]]/Table3.110[[#This Row],[Digested feed, mg]]*1000</f>
        <v>26.505527494703841</v>
      </c>
      <c r="AT330" s="94">
        <f>Table3.110[[#This Row],[CH4 24h, ml]]/'3.2 Digest'!AA330</f>
        <v>-0.11804528671880897</v>
      </c>
      <c r="AU330" s="94">
        <f>((Table3.110[[#This Row],[CH4 24h, ml]]/28.9)*16.04)/Table3.110[[#This Row],[DM Incubated, mg]]*1000</f>
        <v>4.4987072689461787</v>
      </c>
      <c r="AV330" s="94">
        <f>((Table3.110[[#This Row],[CH4 24h, ml]]/28.9)*16.04)/Table3.110[[#This Row],[Digested feed, mg]]*1000</f>
        <v>14.71102633270068</v>
      </c>
    </row>
    <row r="331" spans="2:48" s="89" customFormat="1" x14ac:dyDescent="0.35">
      <c r="B331" s="90">
        <f t="shared" si="4"/>
        <v>321</v>
      </c>
      <c r="C331" s="140">
        <v>46048</v>
      </c>
      <c r="D331" s="6" t="s">
        <v>16</v>
      </c>
      <c r="E331" s="6" t="s">
        <v>173</v>
      </c>
      <c r="F331" s="133" t="s">
        <v>99</v>
      </c>
      <c r="G331" s="133" t="s">
        <v>100</v>
      </c>
      <c r="H331" s="133" t="s">
        <v>101</v>
      </c>
      <c r="I331" s="133" t="s">
        <v>22</v>
      </c>
      <c r="J331" s="135" t="s">
        <v>23</v>
      </c>
      <c r="K331" s="135" t="s">
        <v>24</v>
      </c>
      <c r="L331" s="6" t="s">
        <v>172</v>
      </c>
      <c r="M331" s="93">
        <v>28</v>
      </c>
      <c r="N331" s="93">
        <v>60</v>
      </c>
      <c r="O331" s="6">
        <v>1</v>
      </c>
      <c r="P331" s="6">
        <v>1</v>
      </c>
      <c r="Q331" s="6">
        <v>249</v>
      </c>
      <c r="R331" s="98">
        <v>0.50060000000000004</v>
      </c>
      <c r="S331" s="94">
        <f>((Table3.110[[#This Row],[Sample weight, g]]*'2.1. DM'!Q101)/100)*1000</f>
        <v>469.09824677746616</v>
      </c>
      <c r="T331" s="94">
        <f>'3.2 Digest'!W331</f>
        <v>239.49824677746614</v>
      </c>
      <c r="U331" s="153">
        <v>0.36041666666666666</v>
      </c>
      <c r="V331" s="154">
        <v>41</v>
      </c>
      <c r="W331" s="153">
        <v>0.68472222222222223</v>
      </c>
      <c r="X331" s="95">
        <v>74.5</v>
      </c>
      <c r="Y331" s="95">
        <v>10.4</v>
      </c>
      <c r="Z331" s="154">
        <v>40</v>
      </c>
      <c r="AA331" s="153">
        <v>0.35902777777777778</v>
      </c>
      <c r="AB331" s="154">
        <v>76.5</v>
      </c>
      <c r="AC331" s="154">
        <v>13.6</v>
      </c>
      <c r="AD331" s="91"/>
      <c r="AE331" s="94">
        <f>Table3.110[[#This Row],[Gas 8h, ml]]-Table3.110[[#This Row],[Gas 0h, ml]]</f>
        <v>33.5</v>
      </c>
      <c r="AF331" s="94">
        <f>Table3.110[[#This Row],[Gas 24h, ml]]-Table3.110[[#This Row],[V8 Push back, ml]]</f>
        <v>36.5</v>
      </c>
      <c r="AG331" s="94">
        <f>Table3.110[[#This Row],[GP 8h, ml]]-(AVERAGE(AE$293,AE$294,AE$385,AE$386,AE$477,AE$478))*$AG$8</f>
        <v>32.246240428868305</v>
      </c>
      <c r="AH331" s="94">
        <f>Table3.110[[#This Row],[GP 8-24h, ml]]-(AVERAGE(AF$293,AF$294,AF$385,AF$386,AF$477,AF$478))*$AG$8</f>
        <v>34.50873479879084</v>
      </c>
      <c r="AI331" s="94">
        <f>Table3.110[[#This Row],[Net gas 8-24h, ml]]+Table3.110[[#This Row],[Net gas 8h, ml]]</f>
        <v>66.754975227659145</v>
      </c>
      <c r="AJ331" s="94">
        <f>Table3.110[[#This Row],[Net gas 8h, ml]]*Table3.110[[#This Row],[CH4 8h %]]%</f>
        <v>3.3536090046023039</v>
      </c>
      <c r="AK331" s="94">
        <f>Table3.110[[#This Row],[Net gas 8-24h, ml]]*Table3.110[[#This Row],[CH4 24h, %]]%</f>
        <v>4.6931879326355546</v>
      </c>
      <c r="AL331" s="94">
        <f>Table3.110[[#This Row],[CH4 8-24h, ml]]+Table3.110[[#This Row],[CH4 8h, ml]]</f>
        <v>8.0467969372378576</v>
      </c>
      <c r="AM331" s="94">
        <f>(Table3.110[[#This Row],[Net gas 24h, ml]]/Table3.110[[#This Row],[DM Incubated, mg]])*1000</f>
        <v>142.30489174973786</v>
      </c>
      <c r="AN331" s="94">
        <f>'3.2 Digest'!X331</f>
        <v>51.055029180503595</v>
      </c>
      <c r="AO331" s="94">
        <f>Table3.110[[#This Row],[Digested feed, mg]]/Table3.110[[#This Row],[Net gas 24h, ml]]</f>
        <v>3.5877213040779146</v>
      </c>
      <c r="AP331" s="94">
        <f>Table3.110[[#This Row],[CH4 8h, ml]]/Table3.110[[#This Row],[Net gas 8h, ml]]%</f>
        <v>10.4</v>
      </c>
      <c r="AQ331" s="94">
        <f>Table3.110[[#This Row],[CH4 24h, ml]]/Table3.110[[#This Row],[Net gas 24h, ml]]%</f>
        <v>12.054228032884899</v>
      </c>
      <c r="AR331" s="94">
        <f>Table3.110[[#This Row],[CH4 24h, ml]]/Table3.110[[#This Row],[DM Incubated, mg]]*1000</f>
        <v>17.153756153463412</v>
      </c>
      <c r="AS331" s="94">
        <f>Table3.110[[#This Row],[CH4 24h, ml]]/Table3.110[[#This Row],[Digested feed, mg]]*1000</f>
        <v>33.598563018770967</v>
      </c>
      <c r="AT331" s="94">
        <f>Table3.110[[#This Row],[CH4 24h, ml]]/'3.2 Digest'!AA331</f>
        <v>0.59056869174513826</v>
      </c>
      <c r="AU331" s="94">
        <f>((Table3.110[[#This Row],[CH4 24h, ml]]/28.9)*16.04)/Table3.110[[#This Row],[DM Incubated, mg]]*1000</f>
        <v>9.5206314429603154</v>
      </c>
      <c r="AV331" s="94">
        <f>((Table3.110[[#This Row],[CH4 24h, ml]]/28.9)*16.04)/Table3.110[[#This Row],[Digested feed, mg]]*1000</f>
        <v>18.647783765435516</v>
      </c>
    </row>
    <row r="332" spans="2:48" s="89" customFormat="1" x14ac:dyDescent="0.35">
      <c r="B332" s="90">
        <f t="shared" ref="B332:B395" si="5">B331+1</f>
        <v>322</v>
      </c>
      <c r="C332" s="140">
        <v>46048</v>
      </c>
      <c r="D332" s="6" t="s">
        <v>16</v>
      </c>
      <c r="E332" s="6" t="s">
        <v>173</v>
      </c>
      <c r="F332" s="133" t="s">
        <v>99</v>
      </c>
      <c r="G332" s="133" t="s">
        <v>100</v>
      </c>
      <c r="H332" s="133" t="s">
        <v>101</v>
      </c>
      <c r="I332" s="133" t="s">
        <v>22</v>
      </c>
      <c r="J332" s="135" t="s">
        <v>23</v>
      </c>
      <c r="K332" s="135" t="s">
        <v>24</v>
      </c>
      <c r="L332" s="6" t="s">
        <v>172</v>
      </c>
      <c r="M332" s="93">
        <v>28</v>
      </c>
      <c r="N332" s="93">
        <v>60</v>
      </c>
      <c r="O332" s="6">
        <v>1</v>
      </c>
      <c r="P332" s="129">
        <v>2</v>
      </c>
      <c r="Q332" s="6">
        <v>250</v>
      </c>
      <c r="R332" s="98">
        <v>0.50039999999999996</v>
      </c>
      <c r="S332" s="94">
        <f>((Table3.110[[#This Row],[Sample weight, g]]*'2.1. DM'!Q101)/100)*1000</f>
        <v>468.91083237603681</v>
      </c>
      <c r="T332" s="94">
        <f>'3.2 Digest'!W332</f>
        <v>226.1108323760368</v>
      </c>
      <c r="U332" s="117">
        <v>0.36041666666666666</v>
      </c>
      <c r="V332" s="155">
        <v>41</v>
      </c>
      <c r="W332" s="117">
        <v>0.68541666666666667</v>
      </c>
      <c r="X332" s="97">
        <v>75.5</v>
      </c>
      <c r="Y332" s="97">
        <v>10.6</v>
      </c>
      <c r="Z332" s="155">
        <v>40</v>
      </c>
      <c r="AA332" s="117">
        <v>0.35902777777777778</v>
      </c>
      <c r="AB332" s="155">
        <v>76</v>
      </c>
      <c r="AC332" s="155">
        <v>14.1</v>
      </c>
      <c r="AD332" s="96" t="s">
        <v>561</v>
      </c>
      <c r="AE332" s="94">
        <f>Table3.110[[#This Row],[Gas 8h, ml]]-Table3.110[[#This Row],[Gas 0h, ml]]</f>
        <v>34.5</v>
      </c>
      <c r="AF332" s="94">
        <f>Table3.110[[#This Row],[Gas 24h, ml]]-Table3.110[[#This Row],[V8 Push back, ml]]</f>
        <v>36</v>
      </c>
      <c r="AG332" s="94">
        <f>Table3.110[[#This Row],[GP 8h, ml]]-(AVERAGE(AE$293,AE$294,AE$385,AE$386,AE$477,AE$478))*$AG$8</f>
        <v>33.246240428868305</v>
      </c>
      <c r="AH332" s="94">
        <f>Table3.110[[#This Row],[GP 8-24h, ml]]-(AVERAGE(AF$293,AF$294,AF$385,AF$386,AF$477,AF$478))*$AG$8</f>
        <v>34.00873479879084</v>
      </c>
      <c r="AI332" s="94">
        <f>Table3.110[[#This Row],[Net gas 8-24h, ml]]+Table3.110[[#This Row],[Net gas 8h, ml]]</f>
        <v>67.254975227659145</v>
      </c>
      <c r="AJ332" s="94">
        <f>Table3.110[[#This Row],[Net gas 8h, ml]]*Table3.110[[#This Row],[CH4 8h %]]%</f>
        <v>3.5241014854600401</v>
      </c>
      <c r="AK332" s="94">
        <f>Table3.110[[#This Row],[Net gas 8-24h, ml]]*Table3.110[[#This Row],[CH4 24h, %]]%</f>
        <v>4.7952316066295078</v>
      </c>
      <c r="AL332" s="94">
        <f>Table3.110[[#This Row],[CH4 8-24h, ml]]+Table3.110[[#This Row],[CH4 8h, ml]]</f>
        <v>8.319333092089547</v>
      </c>
      <c r="AM332" s="94">
        <f>(Table3.110[[#This Row],[Net gas 24h, ml]]/Table3.110[[#This Row],[DM Incubated, mg]])*1000</f>
        <v>143.42806901446227</v>
      </c>
      <c r="AN332" s="94">
        <f>'3.2 Digest'!X332</f>
        <v>48.220432705787914</v>
      </c>
      <c r="AO332" s="94">
        <f>Table3.110[[#This Row],[Digested feed, mg]]/Table3.110[[#This Row],[Net gas 24h, ml]]</f>
        <v>3.3619941366515724</v>
      </c>
      <c r="AP332" s="94">
        <f>Table3.110[[#This Row],[CH4 8h, ml]]/Table3.110[[#This Row],[Net gas 8h, ml]]%</f>
        <v>10.6</v>
      </c>
      <c r="AQ332" s="94">
        <f>Table3.110[[#This Row],[CH4 24h, ml]]/Table3.110[[#This Row],[Net gas 24h, ml]]%</f>
        <v>12.36984039311363</v>
      </c>
      <c r="AR332" s="94">
        <f>Table3.110[[#This Row],[CH4 24h, ml]]/Table3.110[[#This Row],[DM Incubated, mg]]*1000</f>
        <v>17.741823216013845</v>
      </c>
      <c r="AS332" s="94">
        <f>Table3.110[[#This Row],[CH4 24h, ml]]/Table3.110[[#This Row],[Digested feed, mg]]*1000</f>
        <v>36.793164682415409</v>
      </c>
      <c r="AT332" s="94">
        <f>Table3.110[[#This Row],[CH4 24h, ml]]/'3.2 Digest'!AA332</f>
        <v>0.96475974035674872</v>
      </c>
      <c r="AU332" s="94">
        <f>((Table3.110[[#This Row],[CH4 24h, ml]]/28.9)*16.04)/Table3.110[[#This Row],[DM Incubated, mg]]*1000</f>
        <v>9.8470188368464378</v>
      </c>
      <c r="AV332" s="94">
        <f>((Table3.110[[#This Row],[CH4 24h, ml]]/28.9)*16.04)/Table3.110[[#This Row],[Digested feed, mg]]*1000</f>
        <v>20.420842958683153</v>
      </c>
    </row>
    <row r="333" spans="2:48" s="89" customFormat="1" x14ac:dyDescent="0.35">
      <c r="B333" s="90">
        <f t="shared" si="5"/>
        <v>323</v>
      </c>
      <c r="C333" s="140">
        <v>46048</v>
      </c>
      <c r="D333" s="6" t="s">
        <v>16</v>
      </c>
      <c r="E333" s="6" t="s">
        <v>173</v>
      </c>
      <c r="F333" s="133" t="s">
        <v>99</v>
      </c>
      <c r="G333" s="133" t="s">
        <v>100</v>
      </c>
      <c r="H333" s="133" t="s">
        <v>101</v>
      </c>
      <c r="I333" s="133" t="s">
        <v>22</v>
      </c>
      <c r="J333" s="135" t="s">
        <v>23</v>
      </c>
      <c r="K333" s="135" t="s">
        <v>24</v>
      </c>
      <c r="L333" s="6" t="s">
        <v>172</v>
      </c>
      <c r="M333" s="93">
        <v>28</v>
      </c>
      <c r="N333" s="93">
        <v>60</v>
      </c>
      <c r="O333" s="6">
        <v>1</v>
      </c>
      <c r="P333" s="129">
        <v>3</v>
      </c>
      <c r="Q333" s="6">
        <v>251</v>
      </c>
      <c r="R333" s="98">
        <v>0.50009999999999999</v>
      </c>
      <c r="S333" s="94">
        <f>((Table3.110[[#This Row],[Sample weight, g]]*'2.1. DM'!Q101)/100)*1000</f>
        <v>468.6297107738929</v>
      </c>
      <c r="T333" s="94">
        <f>'3.2 Digest'!W333</f>
        <v>169.72971077389298</v>
      </c>
      <c r="U333" s="153">
        <v>0.36041666666666666</v>
      </c>
      <c r="V333" s="154">
        <v>41</v>
      </c>
      <c r="W333" s="153">
        <v>0.68611111111111112</v>
      </c>
      <c r="X333" s="95">
        <v>73.5</v>
      </c>
      <c r="Y333" s="95">
        <v>10.8</v>
      </c>
      <c r="Z333" s="154">
        <v>40</v>
      </c>
      <c r="AA333" s="153">
        <v>0.35902777777777778</v>
      </c>
      <c r="AB333" s="154">
        <v>75.5</v>
      </c>
      <c r="AC333" s="154">
        <v>14.3</v>
      </c>
      <c r="AD333" s="91"/>
      <c r="AE333" s="94">
        <f>Table3.110[[#This Row],[Gas 8h, ml]]-Table3.110[[#This Row],[Gas 0h, ml]]</f>
        <v>32.5</v>
      </c>
      <c r="AF333" s="94">
        <f>Table3.110[[#This Row],[Gas 24h, ml]]-Table3.110[[#This Row],[V8 Push back, ml]]</f>
        <v>35.5</v>
      </c>
      <c r="AG333" s="94">
        <f>Table3.110[[#This Row],[GP 8h, ml]]-(AVERAGE(AE$293,AE$294,AE$385,AE$386,AE$477,AE$478))*$AG$8</f>
        <v>31.246240428868305</v>
      </c>
      <c r="AH333" s="94">
        <f>Table3.110[[#This Row],[GP 8-24h, ml]]-(AVERAGE(AF$293,AF$294,AF$385,AF$386,AF$477,AF$478))*$AG$8</f>
        <v>33.50873479879084</v>
      </c>
      <c r="AI333" s="94">
        <f>Table3.110[[#This Row],[Net gas 8-24h, ml]]+Table3.110[[#This Row],[Net gas 8h, ml]]</f>
        <v>64.754975227659145</v>
      </c>
      <c r="AJ333" s="94">
        <f>Table3.110[[#This Row],[Net gas 8h, ml]]*Table3.110[[#This Row],[CH4 8h %]]%</f>
        <v>3.3745939663177773</v>
      </c>
      <c r="AK333" s="94">
        <f>Table3.110[[#This Row],[Net gas 8-24h, ml]]*Table3.110[[#This Row],[CH4 24h, %]]%</f>
        <v>4.7917490762270907</v>
      </c>
      <c r="AL333" s="94">
        <f>Table3.110[[#This Row],[CH4 8-24h, ml]]+Table3.110[[#This Row],[CH4 8h, ml]]</f>
        <v>8.1663430425448684</v>
      </c>
      <c r="AM333" s="94">
        <f>(Table3.110[[#This Row],[Net gas 24h, ml]]/Table3.110[[#This Row],[DM Incubated, mg]])*1000</f>
        <v>138.17940633922481</v>
      </c>
      <c r="AN333" s="94">
        <f>'3.2 Digest'!X333</f>
        <v>36.218299196950646</v>
      </c>
      <c r="AO333" s="94">
        <f>Table3.110[[#This Row],[Digested feed, mg]]/Table3.110[[#This Row],[Net gas 24h, ml]]</f>
        <v>2.6211068752196107</v>
      </c>
      <c r="AP333" s="94">
        <f>Table3.110[[#This Row],[CH4 8h, ml]]/Table3.110[[#This Row],[Net gas 8h, ml]]%</f>
        <v>10.8</v>
      </c>
      <c r="AQ333" s="94">
        <f>Table3.110[[#This Row],[CH4 24h, ml]]/Table3.110[[#This Row],[Net gas 24h, ml]]%</f>
        <v>12.61114379834823</v>
      </c>
      <c r="AR333" s="94">
        <f>Table3.110[[#This Row],[CH4 24h, ml]]/Table3.110[[#This Row],[DM Incubated, mg]]*1000</f>
        <v>17.426003633143551</v>
      </c>
      <c r="AS333" s="94">
        <f>Table3.110[[#This Row],[CH4 24h, ml]]/Table3.110[[#This Row],[Digested feed, mg]]*1000</f>
        <v>48.113809923495005</v>
      </c>
      <c r="AT333" s="94">
        <f>Table3.110[[#This Row],[CH4 24h, ml]]/'3.2 Digest'!AA333</f>
        <v>-0.65032803681530371</v>
      </c>
      <c r="AU333" s="94">
        <f>((Table3.110[[#This Row],[CH4 24h, ml]]/28.9)*16.04)/Table3.110[[#This Row],[DM Incubated, mg]]*1000</f>
        <v>9.6717335043468022</v>
      </c>
      <c r="AV333" s="94">
        <f>((Table3.110[[#This Row],[CH4 24h, ml]]/28.9)*16.04)/Table3.110[[#This Row],[Digested feed, mg]]*1000</f>
        <v>26.703996926396538</v>
      </c>
    </row>
    <row r="334" spans="2:48" s="89" customFormat="1" x14ac:dyDescent="0.35">
      <c r="B334" s="90">
        <f t="shared" si="5"/>
        <v>324</v>
      </c>
      <c r="C334" s="140">
        <v>46048</v>
      </c>
      <c r="D334" s="6" t="s">
        <v>16</v>
      </c>
      <c r="E334" s="6" t="s">
        <v>175</v>
      </c>
      <c r="F334" s="133" t="s">
        <v>159</v>
      </c>
      <c r="G334" s="133" t="s">
        <v>160</v>
      </c>
      <c r="H334" s="133" t="s">
        <v>161</v>
      </c>
      <c r="I334" s="133" t="s">
        <v>22</v>
      </c>
      <c r="J334" s="135" t="s">
        <v>23</v>
      </c>
      <c r="K334" s="135" t="s">
        <v>24</v>
      </c>
      <c r="L334" s="6" t="s">
        <v>174</v>
      </c>
      <c r="M334" s="93">
        <v>28</v>
      </c>
      <c r="N334" s="93">
        <v>60</v>
      </c>
      <c r="O334" s="6">
        <v>1</v>
      </c>
      <c r="P334" s="6">
        <v>1</v>
      </c>
      <c r="Q334" s="6">
        <v>252</v>
      </c>
      <c r="R334" s="98">
        <v>0.50029999999999997</v>
      </c>
      <c r="S334" s="94">
        <f>((Table3.110[[#This Row],[Sample weight, g]]*'2.1. DM'!Q103)/100)*1000</f>
        <v>474.58713101979578</v>
      </c>
      <c r="T334" s="94">
        <f>'3.2 Digest'!W334</f>
        <v>82.887131019795845</v>
      </c>
      <c r="U334" s="117">
        <v>0.3611111111111111</v>
      </c>
      <c r="V334" s="155">
        <v>41</v>
      </c>
      <c r="W334" s="117">
        <v>0.68611111111111112</v>
      </c>
      <c r="X334" s="97">
        <v>61</v>
      </c>
      <c r="Y334" s="97">
        <v>10.4</v>
      </c>
      <c r="Z334" s="155">
        <v>40</v>
      </c>
      <c r="AA334" s="117">
        <v>0.35972222222222222</v>
      </c>
      <c r="AB334" s="155">
        <v>55</v>
      </c>
      <c r="AC334" s="155">
        <v>12.8</v>
      </c>
      <c r="AD334" s="96" t="s">
        <v>561</v>
      </c>
      <c r="AE334" s="94">
        <f>Table3.110[[#This Row],[Gas 8h, ml]]-Table3.110[[#This Row],[Gas 0h, ml]]</f>
        <v>20</v>
      </c>
      <c r="AF334" s="94">
        <f>Table3.110[[#This Row],[Gas 24h, ml]]-Table3.110[[#This Row],[V8 Push back, ml]]</f>
        <v>15</v>
      </c>
      <c r="AG334" s="94">
        <f>Table3.110[[#This Row],[GP 8h, ml]]-(AVERAGE(AE$293,AE$294,AE$385,AE$386,AE$477,AE$478))*$AG$8</f>
        <v>18.746240428868305</v>
      </c>
      <c r="AH334" s="94">
        <f>Table3.110[[#This Row],[GP 8-24h, ml]]-(AVERAGE(AF$293,AF$294,AF$385,AF$386,AF$477,AF$478))*$AG$8</f>
        <v>13.008734798790837</v>
      </c>
      <c r="AI334" s="94">
        <f>Table3.110[[#This Row],[Net gas 8-24h, ml]]+Table3.110[[#This Row],[Net gas 8h, ml]]</f>
        <v>31.754975227659141</v>
      </c>
      <c r="AJ334" s="94">
        <f>Table3.110[[#This Row],[Net gas 8h, ml]]*Table3.110[[#This Row],[CH4 8h %]]%</f>
        <v>1.9496090046023038</v>
      </c>
      <c r="AK334" s="94">
        <f>Table3.110[[#This Row],[Net gas 8-24h, ml]]*Table3.110[[#This Row],[CH4 24h, %]]%</f>
        <v>1.6651180542452271</v>
      </c>
      <c r="AL334" s="94">
        <f>Table3.110[[#This Row],[CH4 8-24h, ml]]+Table3.110[[#This Row],[CH4 8h, ml]]</f>
        <v>3.6147270588475306</v>
      </c>
      <c r="AM334" s="94">
        <f>(Table3.110[[#This Row],[Net gas 24h, ml]]/Table3.110[[#This Row],[DM Incubated, mg]])*1000</f>
        <v>66.910738096551114</v>
      </c>
      <c r="AN334" s="94">
        <f>'3.2 Digest'!X334</f>
        <v>17.465102949944612</v>
      </c>
      <c r="AO334" s="94">
        <f>Table3.110[[#This Row],[Digested feed, mg]]/Table3.110[[#This Row],[Net gas 24h, ml]]</f>
        <v>2.6102092798233296</v>
      </c>
      <c r="AP334" s="94">
        <f>Table3.110[[#This Row],[CH4 8h, ml]]/Table3.110[[#This Row],[Net gas 8h, ml]]%</f>
        <v>10.4</v>
      </c>
      <c r="AQ334" s="94">
        <f>Table3.110[[#This Row],[CH4 24h, ml]]/Table3.110[[#This Row],[Net gas 24h, ml]]%</f>
        <v>11.383183368693167</v>
      </c>
      <c r="AR334" s="94">
        <f>Table3.110[[#This Row],[CH4 24h, ml]]/Table3.110[[#This Row],[DM Incubated, mg]]*1000</f>
        <v>7.6165720108764496</v>
      </c>
      <c r="AS334" s="94">
        <f>Table3.110[[#This Row],[CH4 24h, ml]]/Table3.110[[#This Row],[Digested feed, mg]]*1000</f>
        <v>43.610232546041786</v>
      </c>
      <c r="AT334" s="94">
        <f>Table3.110[[#This Row],[CH4 24h, ml]]/'3.2 Digest'!AA334</f>
        <v>-7.2211032814696277E-2</v>
      </c>
      <c r="AU334" s="94">
        <f>((Table3.110[[#This Row],[CH4 24h, ml]]/28.9)*16.04)/Table3.110[[#This Row],[DM Incubated, mg]]*1000</f>
        <v>4.2273292406386931</v>
      </c>
      <c r="AV334" s="94">
        <f>((Table3.110[[#This Row],[CH4 24h, ml]]/28.9)*16.04)/Table3.110[[#This Row],[Digested feed, mg]]*1000</f>
        <v>24.204433565346374</v>
      </c>
    </row>
    <row r="335" spans="2:48" s="89" customFormat="1" x14ac:dyDescent="0.35">
      <c r="B335" s="90">
        <f t="shared" si="5"/>
        <v>325</v>
      </c>
      <c r="C335" s="140">
        <v>46048</v>
      </c>
      <c r="D335" s="6" t="s">
        <v>16</v>
      </c>
      <c r="E335" s="6" t="s">
        <v>175</v>
      </c>
      <c r="F335" s="133" t="s">
        <v>159</v>
      </c>
      <c r="G335" s="133" t="s">
        <v>160</v>
      </c>
      <c r="H335" s="133" t="s">
        <v>161</v>
      </c>
      <c r="I335" s="133" t="s">
        <v>22</v>
      </c>
      <c r="J335" s="135" t="s">
        <v>23</v>
      </c>
      <c r="K335" s="135" t="s">
        <v>24</v>
      </c>
      <c r="L335" s="6" t="s">
        <v>174</v>
      </c>
      <c r="M335" s="93">
        <v>28</v>
      </c>
      <c r="N335" s="93">
        <v>60</v>
      </c>
      <c r="O335" s="6">
        <v>1</v>
      </c>
      <c r="P335" s="129">
        <v>2</v>
      </c>
      <c r="Q335" s="6">
        <v>253</v>
      </c>
      <c r="R335" s="98">
        <v>0.50049999999999994</v>
      </c>
      <c r="S335" s="94">
        <f>((Table3.110[[#This Row],[Sample weight, g]]*'2.1. DM'!Q103)/100)*1000</f>
        <v>474.77685203959186</v>
      </c>
      <c r="T335" s="94">
        <f>'3.2 Digest'!W335</f>
        <v>106.4768520395919</v>
      </c>
      <c r="U335" s="153">
        <v>0.3611111111111111</v>
      </c>
      <c r="V335" s="154">
        <v>41.5</v>
      </c>
      <c r="W335" s="153">
        <v>0.68611111111111112</v>
      </c>
      <c r="X335" s="95">
        <v>60</v>
      </c>
      <c r="Y335" s="95">
        <v>10.1</v>
      </c>
      <c r="Z335" s="154">
        <v>40</v>
      </c>
      <c r="AA335" s="153">
        <v>0.36041666666666666</v>
      </c>
      <c r="AB335" s="154">
        <v>53.5</v>
      </c>
      <c r="AC335" s="154">
        <v>12.2</v>
      </c>
      <c r="AD335" s="91"/>
      <c r="AE335" s="94">
        <f>Table3.110[[#This Row],[Gas 8h, ml]]-Table3.110[[#This Row],[Gas 0h, ml]]</f>
        <v>18.5</v>
      </c>
      <c r="AF335" s="94">
        <f>Table3.110[[#This Row],[Gas 24h, ml]]-Table3.110[[#This Row],[V8 Push back, ml]]</f>
        <v>13.5</v>
      </c>
      <c r="AG335" s="94">
        <f>Table3.110[[#This Row],[GP 8h, ml]]-(AVERAGE(AE$293,AE$294,AE$385,AE$386,AE$477,AE$478))*$AG$8</f>
        <v>17.246240428868305</v>
      </c>
      <c r="AH335" s="94">
        <f>Table3.110[[#This Row],[GP 8-24h, ml]]-(AVERAGE(AF$293,AF$294,AF$385,AF$386,AF$477,AF$478))*$AG$8</f>
        <v>11.508734798790837</v>
      </c>
      <c r="AI335" s="94">
        <f>Table3.110[[#This Row],[Net gas 8-24h, ml]]+Table3.110[[#This Row],[Net gas 8h, ml]]</f>
        <v>28.754975227659141</v>
      </c>
      <c r="AJ335" s="94">
        <f>Table3.110[[#This Row],[Net gas 8h, ml]]*Table3.110[[#This Row],[CH4 8h %]]%</f>
        <v>1.7418702833156987</v>
      </c>
      <c r="AK335" s="94">
        <f>Table3.110[[#This Row],[Net gas 8-24h, ml]]*Table3.110[[#This Row],[CH4 24h, %]]%</f>
        <v>1.404065645452482</v>
      </c>
      <c r="AL335" s="94">
        <f>Table3.110[[#This Row],[CH4 8-24h, ml]]+Table3.110[[#This Row],[CH4 8h, ml]]</f>
        <v>3.1459359287681807</v>
      </c>
      <c r="AM335" s="94">
        <f>(Table3.110[[#This Row],[Net gas 24h, ml]]/Table3.110[[#This Row],[DM Incubated, mg]])*1000</f>
        <v>60.565242606354474</v>
      </c>
      <c r="AN335" s="94">
        <f>'3.2 Digest'!X335</f>
        <v>22.426715115149033</v>
      </c>
      <c r="AO335" s="94">
        <f>Table3.110[[#This Row],[Digested feed, mg]]/Table3.110[[#This Row],[Net gas 24h, ml]]</f>
        <v>3.7029018872940225</v>
      </c>
      <c r="AP335" s="94">
        <f>Table3.110[[#This Row],[CH4 8h, ml]]/Table3.110[[#This Row],[Net gas 8h, ml]]%</f>
        <v>10.1</v>
      </c>
      <c r="AQ335" s="94">
        <f>Table3.110[[#This Row],[CH4 24h, ml]]/Table3.110[[#This Row],[Net gas 24h, ml]]%</f>
        <v>10.94049257167203</v>
      </c>
      <c r="AR335" s="94">
        <f>Table3.110[[#This Row],[CH4 24h, ml]]/Table3.110[[#This Row],[DM Incubated, mg]]*1000</f>
        <v>6.6261358683633542</v>
      </c>
      <c r="AS335" s="94">
        <f>Table3.110[[#This Row],[CH4 24h, ml]]/Table3.110[[#This Row],[Digested feed, mg]]*1000</f>
        <v>29.545726310526245</v>
      </c>
      <c r="AT335" s="94">
        <f>Table3.110[[#This Row],[CH4 24h, ml]]/'3.2 Digest'!AA335</f>
        <v>-7.6660873715616779E-2</v>
      </c>
      <c r="AU335" s="94">
        <f>((Table3.110[[#This Row],[CH4 24h, ml]]/28.9)*16.04)/Table3.110[[#This Row],[DM Incubated, mg]]*1000</f>
        <v>3.6776200459705262</v>
      </c>
      <c r="AV335" s="94">
        <f>((Table3.110[[#This Row],[CH4 24h, ml]]/28.9)*16.04)/Table3.110[[#This Row],[Digested feed, mg]]*1000</f>
        <v>16.398389274077545</v>
      </c>
    </row>
    <row r="336" spans="2:48" s="89" customFormat="1" x14ac:dyDescent="0.35">
      <c r="B336" s="90">
        <f t="shared" si="5"/>
        <v>326</v>
      </c>
      <c r="C336" s="140">
        <v>46048</v>
      </c>
      <c r="D336" s="6" t="s">
        <v>16</v>
      </c>
      <c r="E336" s="6" t="s">
        <v>175</v>
      </c>
      <c r="F336" s="133" t="s">
        <v>159</v>
      </c>
      <c r="G336" s="133" t="s">
        <v>160</v>
      </c>
      <c r="H336" s="133" t="s">
        <v>161</v>
      </c>
      <c r="I336" s="133" t="s">
        <v>22</v>
      </c>
      <c r="J336" s="135" t="s">
        <v>23</v>
      </c>
      <c r="K336" s="135" t="s">
        <v>24</v>
      </c>
      <c r="L336" s="6" t="s">
        <v>174</v>
      </c>
      <c r="M336" s="93">
        <v>28</v>
      </c>
      <c r="N336" s="93">
        <v>60</v>
      </c>
      <c r="O336" s="6">
        <v>1</v>
      </c>
      <c r="P336" s="129">
        <v>3</v>
      </c>
      <c r="Q336" s="6">
        <v>254</v>
      </c>
      <c r="R336" s="98">
        <v>0.50019999999999998</v>
      </c>
      <c r="S336" s="94">
        <f>((Table3.110[[#This Row],[Sample weight, g]]*'2.1. DM'!Q103)/100)*1000</f>
        <v>474.49227050989776</v>
      </c>
      <c r="T336" s="94">
        <f>'3.2 Digest'!W336</f>
        <v>110.39227050989768</v>
      </c>
      <c r="U336" s="117">
        <v>0.3611111111111111</v>
      </c>
      <c r="V336" s="155">
        <v>41</v>
      </c>
      <c r="W336" s="117">
        <v>0.68680555555555556</v>
      </c>
      <c r="X336" s="97">
        <v>57.5</v>
      </c>
      <c r="Y336" s="97">
        <v>11.5</v>
      </c>
      <c r="Z336" s="155">
        <v>40</v>
      </c>
      <c r="AA336" s="117">
        <v>0.36041666666666666</v>
      </c>
      <c r="AB336" s="155">
        <v>54.5</v>
      </c>
      <c r="AC336" s="155">
        <v>12.5</v>
      </c>
      <c r="AD336" s="96"/>
      <c r="AE336" s="94">
        <f>Table3.110[[#This Row],[Gas 8h, ml]]-Table3.110[[#This Row],[Gas 0h, ml]]</f>
        <v>16.5</v>
      </c>
      <c r="AF336" s="94">
        <f>Table3.110[[#This Row],[Gas 24h, ml]]-Table3.110[[#This Row],[V8 Push back, ml]]</f>
        <v>14.5</v>
      </c>
      <c r="AG336" s="94">
        <f>Table3.110[[#This Row],[GP 8h, ml]]-(AVERAGE(AE$293,AE$294,AE$385,AE$386,AE$477,AE$478))*$AG$8</f>
        <v>15.246240428868305</v>
      </c>
      <c r="AH336" s="94">
        <f>Table3.110[[#This Row],[GP 8-24h, ml]]-(AVERAGE(AF$293,AF$294,AF$385,AF$386,AF$477,AF$478))*$AG$8</f>
        <v>12.508734798790837</v>
      </c>
      <c r="AI336" s="94">
        <f>Table3.110[[#This Row],[Net gas 8-24h, ml]]+Table3.110[[#This Row],[Net gas 8h, ml]]</f>
        <v>27.754975227659141</v>
      </c>
      <c r="AJ336" s="94">
        <f>Table3.110[[#This Row],[Net gas 8h, ml]]*Table3.110[[#This Row],[CH4 8h %]]%</f>
        <v>1.753317649319855</v>
      </c>
      <c r="AK336" s="94">
        <f>Table3.110[[#This Row],[Net gas 8-24h, ml]]*Table3.110[[#This Row],[CH4 24h, %]]%</f>
        <v>1.5635918498488546</v>
      </c>
      <c r="AL336" s="94">
        <f>Table3.110[[#This Row],[CH4 8-24h, ml]]+Table3.110[[#This Row],[CH4 8h, ml]]</f>
        <v>3.3169094991687098</v>
      </c>
      <c r="AM336" s="94">
        <f>(Table3.110[[#This Row],[Net gas 24h, ml]]/Table3.110[[#This Row],[DM Incubated, mg]])*1000</f>
        <v>58.49405133161212</v>
      </c>
      <c r="AN336" s="94">
        <f>'3.2 Digest'!X336</f>
        <v>23.265346428355556</v>
      </c>
      <c r="AO336" s="94">
        <f>Table3.110[[#This Row],[Digested feed, mg]]/Table3.110[[#This Row],[Net gas 24h, ml]]</f>
        <v>3.9773867425356801</v>
      </c>
      <c r="AP336" s="94">
        <f>Table3.110[[#This Row],[CH4 8h, ml]]/Table3.110[[#This Row],[Net gas 8h, ml]]%</f>
        <v>11.5</v>
      </c>
      <c r="AQ336" s="94">
        <f>Table3.110[[#This Row],[CH4 24h, ml]]/Table3.110[[#This Row],[Net gas 24h, ml]]%</f>
        <v>11.950684415899795</v>
      </c>
      <c r="AR336" s="94">
        <f>Table3.110[[#This Row],[CH4 24h, ml]]/Table3.110[[#This Row],[DM Incubated, mg]]*1000</f>
        <v>6.9904394767153955</v>
      </c>
      <c r="AS336" s="94">
        <f>Table3.110[[#This Row],[CH4 24h, ml]]/Table3.110[[#This Row],[Digested feed, mg]]*1000</f>
        <v>30.046573766877259</v>
      </c>
      <c r="AT336" s="94">
        <f>Table3.110[[#This Row],[CH4 24h, ml]]/'3.2 Digest'!AA336</f>
        <v>-8.3946208322889876E-2</v>
      </c>
      <c r="AU336" s="94">
        <f>((Table3.110[[#This Row],[CH4 24h, ml]]/28.9)*16.04)/Table3.110[[#This Row],[DM Incubated, mg]]*1000</f>
        <v>3.8798148514365036</v>
      </c>
      <c r="AV336" s="94">
        <f>((Table3.110[[#This Row],[CH4 24h, ml]]/28.9)*16.04)/Table3.110[[#This Row],[Digested feed, mg]]*1000</f>
        <v>16.67636827753326</v>
      </c>
    </row>
    <row r="337" spans="2:49" s="89" customFormat="1" x14ac:dyDescent="0.35">
      <c r="B337" s="90">
        <f t="shared" si="5"/>
        <v>327</v>
      </c>
      <c r="C337" s="140">
        <v>46048</v>
      </c>
      <c r="D337" s="6" t="s">
        <v>16</v>
      </c>
      <c r="E337" s="6" t="s">
        <v>177</v>
      </c>
      <c r="F337" s="133" t="s">
        <v>159</v>
      </c>
      <c r="G337" s="133" t="s">
        <v>160</v>
      </c>
      <c r="H337" s="133" t="s">
        <v>161</v>
      </c>
      <c r="I337" s="133" t="s">
        <v>22</v>
      </c>
      <c r="J337" s="135" t="s">
        <v>23</v>
      </c>
      <c r="K337" s="135" t="s">
        <v>24</v>
      </c>
      <c r="L337" s="6" t="s">
        <v>176</v>
      </c>
      <c r="M337" s="93">
        <v>28</v>
      </c>
      <c r="N337" s="93">
        <v>60</v>
      </c>
      <c r="O337" s="6">
        <v>1</v>
      </c>
      <c r="P337" s="6">
        <v>1</v>
      </c>
      <c r="Q337" s="6">
        <v>255</v>
      </c>
      <c r="R337" s="98">
        <v>0.50029999999999997</v>
      </c>
      <c r="S337" s="94">
        <f>((Table3.110[[#This Row],[Sample weight, g]]*'2.1. DM'!Q105)/100)*1000</f>
        <v>469.66743825617431</v>
      </c>
      <c r="T337" s="94">
        <f>'3.2 Digest'!W337</f>
        <v>52.467438256174319</v>
      </c>
      <c r="U337" s="153">
        <v>0.36180555555555555</v>
      </c>
      <c r="V337" s="154">
        <v>40.5</v>
      </c>
      <c r="W337" s="153">
        <v>0.68680555555555556</v>
      </c>
      <c r="X337" s="95">
        <v>61.5</v>
      </c>
      <c r="Y337" s="95">
        <v>10.8</v>
      </c>
      <c r="Z337" s="154">
        <v>39.5</v>
      </c>
      <c r="AA337" s="153">
        <v>0.3611111111111111</v>
      </c>
      <c r="AB337" s="154">
        <v>54.5</v>
      </c>
      <c r="AC337" s="154">
        <v>12.1</v>
      </c>
      <c r="AD337" s="91"/>
      <c r="AE337" s="94">
        <f>Table3.110[[#This Row],[Gas 8h, ml]]-Table3.110[[#This Row],[Gas 0h, ml]]</f>
        <v>21</v>
      </c>
      <c r="AF337" s="94">
        <f>Table3.110[[#This Row],[Gas 24h, ml]]-Table3.110[[#This Row],[V8 Push back, ml]]</f>
        <v>15</v>
      </c>
      <c r="AG337" s="94">
        <f>Table3.110[[#This Row],[GP 8h, ml]]-(AVERAGE(AE$293,AE$294,AE$385,AE$386,AE$477,AE$478))*$AG$8</f>
        <v>19.746240428868305</v>
      </c>
      <c r="AH337" s="94">
        <f>Table3.110[[#This Row],[GP 8-24h, ml]]-(AVERAGE(AF$293,AF$294,AF$385,AF$386,AF$477,AF$478))*$AG$8</f>
        <v>13.008734798790837</v>
      </c>
      <c r="AI337" s="94">
        <f>Table3.110[[#This Row],[Net gas 8-24h, ml]]+Table3.110[[#This Row],[Net gas 8h, ml]]</f>
        <v>32.754975227659145</v>
      </c>
      <c r="AJ337" s="94">
        <f>Table3.110[[#This Row],[Net gas 8h, ml]]*Table3.110[[#This Row],[CH4 8h %]]%</f>
        <v>2.1325939663177773</v>
      </c>
      <c r="AK337" s="94">
        <f>Table3.110[[#This Row],[Net gas 8-24h, ml]]*Table3.110[[#This Row],[CH4 24h, %]]%</f>
        <v>1.5740569106536912</v>
      </c>
      <c r="AL337" s="94">
        <f>Table3.110[[#This Row],[CH4 8-24h, ml]]+Table3.110[[#This Row],[CH4 8h, ml]]</f>
        <v>3.7066508769714686</v>
      </c>
      <c r="AM337" s="94">
        <f>(Table3.110[[#This Row],[Net gas 24h, ml]]/Table3.110[[#This Row],[DM Incubated, mg]])*1000</f>
        <v>69.740783711289239</v>
      </c>
      <c r="AN337" s="94">
        <f>'3.2 Digest'!X337</f>
        <v>11.17118922507815</v>
      </c>
      <c r="AO337" s="94">
        <f>Table3.110[[#This Row],[Digested feed, mg]]/Table3.110[[#This Row],[Net gas 24h, ml]]</f>
        <v>1.6018158429828231</v>
      </c>
      <c r="AP337" s="94">
        <f>Table3.110[[#This Row],[CH4 8h, ml]]/Table3.110[[#This Row],[Net gas 8h, ml]]%</f>
        <v>10.8</v>
      </c>
      <c r="AQ337" s="94">
        <f>Table3.110[[#This Row],[CH4 24h, ml]]/Table3.110[[#This Row],[Net gas 24h, ml]]%</f>
        <v>11.316298825472709</v>
      </c>
      <c r="AR337" s="94">
        <f>Table3.110[[#This Row],[CH4 24h, ml]]/Table3.110[[#This Row],[DM Incubated, mg]]*1000</f>
        <v>7.8920754879960864</v>
      </c>
      <c r="AS337" s="94">
        <f>Table3.110[[#This Row],[CH4 24h, ml]]/Table3.110[[#This Row],[Digested feed, mg]]*1000</f>
        <v>70.646690598340271</v>
      </c>
      <c r="AT337" s="94">
        <f>Table3.110[[#This Row],[CH4 24h, ml]]/'3.2 Digest'!AA337</f>
        <v>-6.0061814960073477E-2</v>
      </c>
      <c r="AU337" s="94">
        <f>((Table3.110[[#This Row],[CH4 24h, ml]]/28.9)*16.04)/Table3.110[[#This Row],[DM Incubated, mg]]*1000</f>
        <v>4.3802384369362359</v>
      </c>
      <c r="AV337" s="94">
        <f>((Table3.110[[#This Row],[CH4 24h, ml]]/28.9)*16.04)/Table3.110[[#This Row],[Digested feed, mg]]*1000</f>
        <v>39.210135543161869</v>
      </c>
    </row>
    <row r="338" spans="2:49" s="89" customFormat="1" x14ac:dyDescent="0.35">
      <c r="B338" s="90">
        <f t="shared" si="5"/>
        <v>328</v>
      </c>
      <c r="C338" s="140">
        <v>46048</v>
      </c>
      <c r="D338" s="6" t="s">
        <v>16</v>
      </c>
      <c r="E338" s="6" t="s">
        <v>177</v>
      </c>
      <c r="F338" s="133" t="s">
        <v>159</v>
      </c>
      <c r="G338" s="133" t="s">
        <v>160</v>
      </c>
      <c r="H338" s="133" t="s">
        <v>161</v>
      </c>
      <c r="I338" s="133" t="s">
        <v>22</v>
      </c>
      <c r="J338" s="135" t="s">
        <v>23</v>
      </c>
      <c r="K338" s="135" t="s">
        <v>24</v>
      </c>
      <c r="L338" s="6" t="s">
        <v>176</v>
      </c>
      <c r="M338" s="93">
        <v>28</v>
      </c>
      <c r="N338" s="93">
        <v>60</v>
      </c>
      <c r="O338" s="6">
        <v>1</v>
      </c>
      <c r="P338" s="129">
        <v>2</v>
      </c>
      <c r="Q338" s="6">
        <v>256</v>
      </c>
      <c r="R338" s="98">
        <v>0.50060000000000004</v>
      </c>
      <c r="S338" s="94">
        <f>((Table3.110[[#This Row],[Sample weight, g]]*'2.1. DM'!Q105)/100)*1000</f>
        <v>469.94906974023763</v>
      </c>
      <c r="T338" s="94">
        <f>'3.2 Digest'!W338</f>
        <v>67.149069740237564</v>
      </c>
      <c r="U338" s="117">
        <v>0.36180555555555555</v>
      </c>
      <c r="V338" s="155">
        <v>41</v>
      </c>
      <c r="W338" s="117">
        <v>0.68819444444444444</v>
      </c>
      <c r="X338" s="97">
        <v>61</v>
      </c>
      <c r="Y338" s="97">
        <v>11.2</v>
      </c>
      <c r="Z338" s="155">
        <v>40.5</v>
      </c>
      <c r="AA338" s="117">
        <v>0.3611111111111111</v>
      </c>
      <c r="AB338" s="155">
        <v>56.5</v>
      </c>
      <c r="AC338" s="155">
        <v>12.2</v>
      </c>
      <c r="AD338" s="96"/>
      <c r="AE338" s="94">
        <f>Table3.110[[#This Row],[Gas 8h, ml]]-Table3.110[[#This Row],[Gas 0h, ml]]</f>
        <v>20</v>
      </c>
      <c r="AF338" s="94">
        <f>Table3.110[[#This Row],[Gas 24h, ml]]-Table3.110[[#This Row],[V8 Push back, ml]]</f>
        <v>16</v>
      </c>
      <c r="AG338" s="94">
        <f>Table3.110[[#This Row],[GP 8h, ml]]-(AVERAGE(AE$293,AE$294,AE$385,AE$386,AE$477,AE$478))*$AG$8</f>
        <v>18.746240428868305</v>
      </c>
      <c r="AH338" s="94">
        <f>Table3.110[[#This Row],[GP 8-24h, ml]]-(AVERAGE(AF$293,AF$294,AF$385,AF$386,AF$477,AF$478))*$AG$8</f>
        <v>14.008734798790837</v>
      </c>
      <c r="AI338" s="94">
        <f>Table3.110[[#This Row],[Net gas 8-24h, ml]]+Table3.110[[#This Row],[Net gas 8h, ml]]</f>
        <v>32.754975227659145</v>
      </c>
      <c r="AJ338" s="94">
        <f>Table3.110[[#This Row],[Net gas 8h, ml]]*Table3.110[[#This Row],[CH4 8h %]]%</f>
        <v>2.09957892803325</v>
      </c>
      <c r="AK338" s="94">
        <f>Table3.110[[#This Row],[Net gas 8-24h, ml]]*Table3.110[[#This Row],[CH4 24h, %]]%</f>
        <v>1.709065645452482</v>
      </c>
      <c r="AL338" s="94">
        <f>Table3.110[[#This Row],[CH4 8-24h, ml]]+Table3.110[[#This Row],[CH4 8h, ml]]</f>
        <v>3.8086445734857319</v>
      </c>
      <c r="AM338" s="94">
        <f>(Table3.110[[#This Row],[Net gas 24h, ml]]/Table3.110[[#This Row],[DM Incubated, mg]])*1000</f>
        <v>69.698989394242901</v>
      </c>
      <c r="AN338" s="94">
        <f>'3.2 Digest'!X338</f>
        <v>14.288584458174144</v>
      </c>
      <c r="AO338" s="94">
        <f>Table3.110[[#This Row],[Digested feed, mg]]/Table3.110[[#This Row],[Net gas 24h, ml]]</f>
        <v>2.0500418416905153</v>
      </c>
      <c r="AP338" s="94">
        <f>Table3.110[[#This Row],[CH4 8h, ml]]/Table3.110[[#This Row],[Net gas 8h, ml]]%</f>
        <v>11.2</v>
      </c>
      <c r="AQ338" s="94">
        <f>Table3.110[[#This Row],[CH4 24h, ml]]/Table3.110[[#This Row],[Net gas 24h, ml]]%</f>
        <v>11.627682655884332</v>
      </c>
      <c r="AR338" s="94">
        <f>Table3.110[[#This Row],[CH4 24h, ml]]/Table3.110[[#This Row],[DM Incubated, mg]]*1000</f>
        <v>8.1043773011210423</v>
      </c>
      <c r="AS338" s="94">
        <f>Table3.110[[#This Row],[CH4 24h, ml]]/Table3.110[[#This Row],[Digested feed, mg]]*1000</f>
        <v>56.719245526695474</v>
      </c>
      <c r="AT338" s="94">
        <f>Table3.110[[#This Row],[CH4 24h, ml]]/'3.2 Digest'!AA338</f>
        <v>-6.7964568790959204E-2</v>
      </c>
      <c r="AU338" s="94">
        <f>((Table3.110[[#This Row],[CH4 24h, ml]]/28.9)*16.04)/Table3.110[[#This Row],[DM Incubated, mg]]*1000</f>
        <v>4.4980696162623364</v>
      </c>
      <c r="AV338" s="94">
        <f>((Table3.110[[#This Row],[CH4 24h, ml]]/28.9)*16.04)/Table3.110[[#This Row],[Digested feed, mg]]*1000</f>
        <v>31.480162569141704</v>
      </c>
    </row>
    <row r="339" spans="2:49" s="89" customFormat="1" x14ac:dyDescent="0.35">
      <c r="B339" s="90">
        <f t="shared" si="5"/>
        <v>329</v>
      </c>
      <c r="C339" s="140">
        <v>46048</v>
      </c>
      <c r="D339" s="6" t="s">
        <v>16</v>
      </c>
      <c r="E339" s="6" t="s">
        <v>177</v>
      </c>
      <c r="F339" s="133" t="s">
        <v>159</v>
      </c>
      <c r="G339" s="133" t="s">
        <v>160</v>
      </c>
      <c r="H339" s="133" t="s">
        <v>161</v>
      </c>
      <c r="I339" s="133" t="s">
        <v>22</v>
      </c>
      <c r="J339" s="135" t="s">
        <v>23</v>
      </c>
      <c r="K339" s="135" t="s">
        <v>24</v>
      </c>
      <c r="L339" s="6" t="s">
        <v>176</v>
      </c>
      <c r="M339" s="93">
        <v>28</v>
      </c>
      <c r="N339" s="93">
        <v>60</v>
      </c>
      <c r="O339" s="6">
        <v>1</v>
      </c>
      <c r="P339" s="129">
        <v>3</v>
      </c>
      <c r="Q339" s="6">
        <v>257</v>
      </c>
      <c r="R339" s="98">
        <v>0.50049999999999994</v>
      </c>
      <c r="S339" s="94">
        <f>((Table3.110[[#This Row],[Sample weight, g]]*'2.1. DM'!Q105)/100)*1000</f>
        <v>469.85519257888313</v>
      </c>
      <c r="T339" s="94">
        <f>'3.2 Digest'!W339</f>
        <v>112.75519257888317</v>
      </c>
      <c r="U339" s="153">
        <v>0.36249999999999999</v>
      </c>
      <c r="V339" s="154">
        <v>41</v>
      </c>
      <c r="W339" s="153">
        <v>0.68888888888888888</v>
      </c>
      <c r="X339" s="95">
        <v>61.5</v>
      </c>
      <c r="Y339" s="95">
        <v>11.2</v>
      </c>
      <c r="Z339" s="154">
        <v>40</v>
      </c>
      <c r="AA339" s="153">
        <v>0.36180555555555555</v>
      </c>
      <c r="AB339" s="154">
        <v>55.5</v>
      </c>
      <c r="AC339" s="154">
        <v>12</v>
      </c>
      <c r="AD339" s="91"/>
      <c r="AE339" s="94">
        <f>Table3.110[[#This Row],[Gas 8h, ml]]-Table3.110[[#This Row],[Gas 0h, ml]]</f>
        <v>20.5</v>
      </c>
      <c r="AF339" s="94">
        <f>Table3.110[[#This Row],[Gas 24h, ml]]-Table3.110[[#This Row],[V8 Push back, ml]]</f>
        <v>15.5</v>
      </c>
      <c r="AG339" s="94">
        <f>Table3.110[[#This Row],[GP 8h, ml]]-(AVERAGE(AE$293,AE$294,AE$385,AE$386,AE$477,AE$478))*$AG$8</f>
        <v>19.246240428868305</v>
      </c>
      <c r="AH339" s="94">
        <f>Table3.110[[#This Row],[GP 8-24h, ml]]-(AVERAGE(AF$293,AF$294,AF$385,AF$386,AF$477,AF$478))*$AG$8</f>
        <v>13.508734798790837</v>
      </c>
      <c r="AI339" s="94">
        <f>Table3.110[[#This Row],[Net gas 8-24h, ml]]+Table3.110[[#This Row],[Net gas 8h, ml]]</f>
        <v>32.754975227659145</v>
      </c>
      <c r="AJ339" s="94">
        <f>Table3.110[[#This Row],[Net gas 8h, ml]]*Table3.110[[#This Row],[CH4 8h %]]%</f>
        <v>2.15557892803325</v>
      </c>
      <c r="AK339" s="94">
        <f>Table3.110[[#This Row],[Net gas 8-24h, ml]]*Table3.110[[#This Row],[CH4 24h, %]]%</f>
        <v>1.6210481758549002</v>
      </c>
      <c r="AL339" s="94">
        <f>Table3.110[[#This Row],[CH4 8-24h, ml]]+Table3.110[[#This Row],[CH4 8h, ml]]</f>
        <v>3.77662710388815</v>
      </c>
      <c r="AM339" s="94">
        <f>(Table3.110[[#This Row],[Net gas 24h, ml]]/Table3.110[[#This Row],[DM Incubated, mg]])*1000</f>
        <v>69.712915266249752</v>
      </c>
      <c r="AN339" s="94">
        <f>'3.2 Digest'!X339</f>
        <v>23.997860268395971</v>
      </c>
      <c r="AO339" s="94">
        <f>Table3.110[[#This Row],[Digested feed, mg]]/Table3.110[[#This Row],[Net gas 24h, ml]]</f>
        <v>3.4423836927121161</v>
      </c>
      <c r="AP339" s="94">
        <f>Table3.110[[#This Row],[CH4 8h, ml]]/Table3.110[[#This Row],[Net gas 8h, ml]]%</f>
        <v>11.2</v>
      </c>
      <c r="AQ339" s="94">
        <f>Table3.110[[#This Row],[CH4 24h, ml]]/Table3.110[[#This Row],[Net gas 24h, ml]]%</f>
        <v>11.529934239422257</v>
      </c>
      <c r="AR339" s="94">
        <f>Table3.110[[#This Row],[CH4 24h, ml]]/Table3.110[[#This Row],[DM Incubated, mg]]*1000</f>
        <v>8.0378532865827577</v>
      </c>
      <c r="AS339" s="94">
        <f>Table3.110[[#This Row],[CH4 24h, ml]]/Table3.110[[#This Row],[Digested feed, mg]]*1000</f>
        <v>33.49404153822924</v>
      </c>
      <c r="AT339" s="94">
        <f>Table3.110[[#This Row],[CH4 24h, ml]]/'3.2 Digest'!AA339</f>
        <v>-9.8444974446334474E-2</v>
      </c>
      <c r="AU339" s="94">
        <f>((Table3.110[[#This Row],[CH4 24h, ml]]/28.9)*16.04)/Table3.110[[#This Row],[DM Incubated, mg]]*1000</f>
        <v>4.4611476372590806</v>
      </c>
      <c r="AV339" s="94">
        <f>((Table3.110[[#This Row],[CH4 24h, ml]]/28.9)*16.04)/Table3.110[[#This Row],[Digested feed, mg]]*1000</f>
        <v>18.589772535404741</v>
      </c>
    </row>
    <row r="340" spans="2:49" s="89" customFormat="1" x14ac:dyDescent="0.35">
      <c r="B340" s="90">
        <f t="shared" si="5"/>
        <v>330</v>
      </c>
      <c r="C340" s="140">
        <v>46048</v>
      </c>
      <c r="D340" s="6" t="s">
        <v>16</v>
      </c>
      <c r="E340" s="57" t="s">
        <v>181</v>
      </c>
      <c r="F340" s="133" t="s">
        <v>159</v>
      </c>
      <c r="G340" s="133" t="s">
        <v>160</v>
      </c>
      <c r="H340" s="125" t="s">
        <v>161</v>
      </c>
      <c r="I340" s="133" t="s">
        <v>22</v>
      </c>
      <c r="J340" s="135" t="s">
        <v>23</v>
      </c>
      <c r="K340" s="135" t="s">
        <v>24</v>
      </c>
      <c r="L340" s="57" t="s">
        <v>180</v>
      </c>
      <c r="M340" s="93">
        <v>28</v>
      </c>
      <c r="N340" s="93">
        <v>60</v>
      </c>
      <c r="O340" s="57">
        <v>1</v>
      </c>
      <c r="P340" s="57">
        <v>1</v>
      </c>
      <c r="Q340" s="57">
        <v>258</v>
      </c>
      <c r="R340" s="106">
        <v>0.50039999999999996</v>
      </c>
      <c r="S340" s="94">
        <f>((Table3.110[[#This Row],[Sample weight, g]]*'2.1. DM'!Q107)/100)*1000</f>
        <v>477.961559971165</v>
      </c>
      <c r="T340" s="94">
        <f>'3.2 Digest'!W340</f>
        <v>145.16155997116499</v>
      </c>
      <c r="U340" s="157">
        <v>0.36249999999999999</v>
      </c>
      <c r="V340" s="158">
        <v>41.5</v>
      </c>
      <c r="W340" s="157">
        <v>0.68958333333333333</v>
      </c>
      <c r="X340" s="107">
        <v>64</v>
      </c>
      <c r="Y340" s="107">
        <v>11.9</v>
      </c>
      <c r="Z340" s="158">
        <v>40</v>
      </c>
      <c r="AA340" s="157">
        <v>0.36249999999999999</v>
      </c>
      <c r="AB340" s="158">
        <v>54.5</v>
      </c>
      <c r="AC340" s="158">
        <v>12.3</v>
      </c>
      <c r="AD340" s="104"/>
      <c r="AE340" s="94">
        <f>Table3.110[[#This Row],[Gas 8h, ml]]-Table3.110[[#This Row],[Gas 0h, ml]]</f>
        <v>22.5</v>
      </c>
      <c r="AF340" s="94">
        <f>Table3.110[[#This Row],[Gas 24h, ml]]-Table3.110[[#This Row],[V8 Push back, ml]]</f>
        <v>14.5</v>
      </c>
      <c r="AG340" s="94">
        <f>Table3.110[[#This Row],[GP 8h, ml]]-(AVERAGE(AE$293,AE$294,AE$385,AE$386,AE$477,AE$478))*$AG$8</f>
        <v>21.246240428868305</v>
      </c>
      <c r="AH340" s="94">
        <f>Table3.110[[#This Row],[GP 8-24h, ml]]-(AVERAGE(AF$293,AF$294,AF$385,AF$386,AF$477,AF$478))*$AG$8</f>
        <v>12.508734798790837</v>
      </c>
      <c r="AI340" s="94">
        <f>Table3.110[[#This Row],[Net gas 8-24h, ml]]+Table3.110[[#This Row],[Net gas 8h, ml]]</f>
        <v>33.754975227659145</v>
      </c>
      <c r="AJ340" s="94">
        <f>Table3.110[[#This Row],[Net gas 8h, ml]]*Table3.110[[#This Row],[CH4 8h %]]%</f>
        <v>2.5283026110353286</v>
      </c>
      <c r="AK340" s="94">
        <f>Table3.110[[#This Row],[Net gas 8-24h, ml]]*Table3.110[[#This Row],[CH4 24h, %]]%</f>
        <v>1.538574380251273</v>
      </c>
      <c r="AL340" s="94">
        <f>Table3.110[[#This Row],[CH4 8-24h, ml]]+Table3.110[[#This Row],[CH4 8h, ml]]</f>
        <v>4.0668769912866019</v>
      </c>
      <c r="AM340" s="94">
        <f>(Table3.110[[#This Row],[Net gas 24h, ml]]/Table3.110[[#This Row],[DM Incubated, mg]])*1000</f>
        <v>70.622782362865237</v>
      </c>
      <c r="AN340" s="94">
        <f>'3.2 Digest'!X340</f>
        <v>30.370969577537256</v>
      </c>
      <c r="AO340" s="94">
        <f>Table3.110[[#This Row],[Digested feed, mg]]/Table3.110[[#This Row],[Net gas 24h, ml]]</f>
        <v>4.3004493113127289</v>
      </c>
      <c r="AP340" s="94">
        <f>Table3.110[[#This Row],[CH4 8h, ml]]/Table3.110[[#This Row],[Net gas 8h, ml]]%</f>
        <v>11.900000000000002</v>
      </c>
      <c r="AQ340" s="94">
        <f>Table3.110[[#This Row],[CH4 24h, ml]]/Table3.110[[#This Row],[Net gas 24h, ml]]%</f>
        <v>12.048229820515953</v>
      </c>
      <c r="AR340" s="94">
        <f>Table3.110[[#This Row],[CH4 24h, ml]]/Table3.110[[#This Row],[DM Incubated, mg]]*1000</f>
        <v>8.5087951247208089</v>
      </c>
      <c r="AS340" s="94">
        <f>Table3.110[[#This Row],[CH4 24h, ml]]/Table3.110[[#This Row],[Digested feed, mg]]*1000</f>
        <v>28.01621167542185</v>
      </c>
      <c r="AT340" s="94">
        <f>Table3.110[[#This Row],[CH4 24h, ml]]/'3.2 Digest'!AA340</f>
        <v>-0.14474475988232766</v>
      </c>
      <c r="AU340" s="94">
        <f>((Table3.110[[#This Row],[CH4 24h, ml]]/28.9)*16.04)/Table3.110[[#This Row],[DM Incubated, mg]]*1000</f>
        <v>4.7225285052083654</v>
      </c>
      <c r="AV340" s="94">
        <f>((Table3.110[[#This Row],[CH4 24h, ml]]/28.9)*16.04)/Table3.110[[#This Row],[Digested feed, mg]]*1000</f>
        <v>15.549482189403681</v>
      </c>
    </row>
    <row r="341" spans="2:49" s="89" customFormat="1" x14ac:dyDescent="0.35">
      <c r="B341" s="90">
        <f t="shared" si="5"/>
        <v>331</v>
      </c>
      <c r="C341" s="140">
        <v>46048</v>
      </c>
      <c r="D341" s="6" t="s">
        <v>16</v>
      </c>
      <c r="E341" s="6" t="s">
        <v>181</v>
      </c>
      <c r="F341" s="133" t="s">
        <v>159</v>
      </c>
      <c r="G341" s="133" t="s">
        <v>160</v>
      </c>
      <c r="H341" s="133" t="s">
        <v>161</v>
      </c>
      <c r="I341" s="133" t="s">
        <v>22</v>
      </c>
      <c r="J341" s="135" t="s">
        <v>23</v>
      </c>
      <c r="K341" s="135" t="s">
        <v>24</v>
      </c>
      <c r="L341" s="6" t="s">
        <v>180</v>
      </c>
      <c r="M341" s="93">
        <v>28</v>
      </c>
      <c r="N341" s="93">
        <v>60</v>
      </c>
      <c r="O341" s="6">
        <v>1</v>
      </c>
      <c r="P341" s="129">
        <v>2</v>
      </c>
      <c r="Q341" s="6">
        <v>259</v>
      </c>
      <c r="R341" s="98">
        <v>0.50009999999999999</v>
      </c>
      <c r="S341" s="94">
        <f>((Table3.110[[#This Row],[Sample weight, g]]*'2.1. DM'!Q107)/100)*1000</f>
        <v>477.67501227334066</v>
      </c>
      <c r="T341" s="94">
        <f>'3.2 Digest'!W341</f>
        <v>138.27501227334062</v>
      </c>
      <c r="U341" s="117">
        <v>0.36319444444444443</v>
      </c>
      <c r="V341" s="155">
        <v>40.5</v>
      </c>
      <c r="W341" s="117">
        <v>0.68958333333333333</v>
      </c>
      <c r="X341" s="97">
        <v>60</v>
      </c>
      <c r="Y341" s="97">
        <v>11.9</v>
      </c>
      <c r="Z341" s="155">
        <v>39.5</v>
      </c>
      <c r="AA341" s="117">
        <v>0.36249999999999999</v>
      </c>
      <c r="AB341" s="155">
        <v>53.5</v>
      </c>
      <c r="AC341" s="155">
        <v>12.6</v>
      </c>
      <c r="AD341" s="96"/>
      <c r="AE341" s="94">
        <f>Table3.110[[#This Row],[Gas 8h, ml]]-Table3.110[[#This Row],[Gas 0h, ml]]</f>
        <v>19.5</v>
      </c>
      <c r="AF341" s="94">
        <f>Table3.110[[#This Row],[Gas 24h, ml]]-Table3.110[[#This Row],[V8 Push back, ml]]</f>
        <v>14</v>
      </c>
      <c r="AG341" s="94">
        <f>Table3.110[[#This Row],[GP 8h, ml]]-(AVERAGE(AE$293,AE$294,AE$385,AE$386,AE$477,AE$478))*$AG$8</f>
        <v>18.246240428868305</v>
      </c>
      <c r="AH341" s="94">
        <f>Table3.110[[#This Row],[GP 8-24h, ml]]-(AVERAGE(AF$293,AF$294,AF$385,AF$386,AF$477,AF$478))*$AG$8</f>
        <v>12.008734798790837</v>
      </c>
      <c r="AI341" s="94">
        <f>Table3.110[[#This Row],[Net gas 8-24h, ml]]+Table3.110[[#This Row],[Net gas 8h, ml]]</f>
        <v>30.254975227659141</v>
      </c>
      <c r="AJ341" s="94">
        <f>Table3.110[[#This Row],[Net gas 8h, ml]]*Table3.110[[#This Row],[CH4 8h %]]%</f>
        <v>2.1713026110353284</v>
      </c>
      <c r="AK341" s="94">
        <f>Table3.110[[#This Row],[Net gas 8-24h, ml]]*Table3.110[[#This Row],[CH4 24h, %]]%</f>
        <v>1.5131005846476455</v>
      </c>
      <c r="AL341" s="94">
        <f>Table3.110[[#This Row],[CH4 8-24h, ml]]+Table3.110[[#This Row],[CH4 8h, ml]]</f>
        <v>3.6844031956829739</v>
      </c>
      <c r="AM341" s="94">
        <f>(Table3.110[[#This Row],[Net gas 24h, ml]]/Table3.110[[#This Row],[DM Incubated, mg]])*1000</f>
        <v>63.337990161282065</v>
      </c>
      <c r="AN341" s="94">
        <f>'3.2 Digest'!X341</f>
        <v>28.947507975195343</v>
      </c>
      <c r="AO341" s="94">
        <f>Table3.110[[#This Row],[Digested feed, mg]]/Table3.110[[#This Row],[Net gas 24h, ml]]</f>
        <v>4.5703231033198604</v>
      </c>
      <c r="AP341" s="94">
        <f>Table3.110[[#This Row],[CH4 8h, ml]]/Table3.110[[#This Row],[Net gas 8h, ml]]%</f>
        <v>11.9</v>
      </c>
      <c r="AQ341" s="94">
        <f>Table3.110[[#This Row],[CH4 24h, ml]]/Table3.110[[#This Row],[Net gas 24h, ml]]%</f>
        <v>12.177842381158809</v>
      </c>
      <c r="AR341" s="94">
        <f>Table3.110[[#This Row],[CH4 24h, ml]]/Table3.110[[#This Row],[DM Incubated, mg]]*1000</f>
        <v>7.7132006092348053</v>
      </c>
      <c r="AS341" s="94">
        <f>Table3.110[[#This Row],[CH4 24h, ml]]/Table3.110[[#This Row],[Digested feed, mg]]*1000</f>
        <v>26.645473647832219</v>
      </c>
      <c r="AT341" s="94">
        <f>Table3.110[[#This Row],[CH4 24h, ml]]/'3.2 Digest'!AA341</f>
        <v>-0.11995204203536829</v>
      </c>
      <c r="AU341" s="94">
        <f>((Table3.110[[#This Row],[CH4 24h, ml]]/28.9)*16.04)/Table3.110[[#This Row],[DM Incubated, mg]]*1000</f>
        <v>4.280959784502639</v>
      </c>
      <c r="AV341" s="94">
        <f>((Table3.110[[#This Row],[CH4 24h, ml]]/28.9)*16.04)/Table3.110[[#This Row],[Digested feed, mg]]*1000</f>
        <v>14.788698868900651</v>
      </c>
    </row>
    <row r="342" spans="2:49" s="89" customFormat="1" x14ac:dyDescent="0.35">
      <c r="B342" s="90">
        <f t="shared" si="5"/>
        <v>332</v>
      </c>
      <c r="C342" s="140">
        <v>46048</v>
      </c>
      <c r="D342" s="6" t="s">
        <v>16</v>
      </c>
      <c r="E342" s="6" t="s">
        <v>181</v>
      </c>
      <c r="F342" s="133" t="s">
        <v>159</v>
      </c>
      <c r="G342" s="133" t="s">
        <v>160</v>
      </c>
      <c r="H342" s="133" t="s">
        <v>161</v>
      </c>
      <c r="I342" s="133" t="s">
        <v>22</v>
      </c>
      <c r="J342" s="135" t="s">
        <v>23</v>
      </c>
      <c r="K342" s="135" t="s">
        <v>24</v>
      </c>
      <c r="L342" s="6" t="s">
        <v>180</v>
      </c>
      <c r="M342" s="93">
        <v>28</v>
      </c>
      <c r="N342" s="93">
        <v>60</v>
      </c>
      <c r="O342" s="6">
        <v>1</v>
      </c>
      <c r="P342" s="129">
        <v>3</v>
      </c>
      <c r="Q342" s="6">
        <v>260</v>
      </c>
      <c r="R342" s="98">
        <v>0.5</v>
      </c>
      <c r="S342" s="94">
        <f>((Table3.110[[#This Row],[Sample weight, g]]*'2.1. DM'!Q107)/100)*1000</f>
        <v>477.5794963740658</v>
      </c>
      <c r="T342" s="94">
        <f>'3.2 Digest'!W342</f>
        <v>145.17949637406588</v>
      </c>
      <c r="U342" s="117">
        <v>0.36388888888888887</v>
      </c>
      <c r="V342" s="155">
        <v>41</v>
      </c>
      <c r="W342" s="117">
        <v>0.69027777777777777</v>
      </c>
      <c r="X342" s="97">
        <v>62.5</v>
      </c>
      <c r="Y342" s="97">
        <v>11.6</v>
      </c>
      <c r="Z342" s="155">
        <v>39.5</v>
      </c>
      <c r="AA342" s="117">
        <v>0.36319444444444443</v>
      </c>
      <c r="AB342" s="155">
        <v>53</v>
      </c>
      <c r="AC342" s="155">
        <v>12.7</v>
      </c>
      <c r="AD342" s="96"/>
      <c r="AE342" s="94">
        <f>Table3.110[[#This Row],[Gas 8h, ml]]-Table3.110[[#This Row],[Gas 0h, ml]]</f>
        <v>21.5</v>
      </c>
      <c r="AF342" s="94">
        <f>Table3.110[[#This Row],[Gas 24h, ml]]-Table3.110[[#This Row],[V8 Push back, ml]]</f>
        <v>13.5</v>
      </c>
      <c r="AG342" s="94">
        <f>Table3.110[[#This Row],[GP 8h, ml]]-(AVERAGE(AE$293,AE$294,AE$385,AE$386,AE$477,AE$478))*$AG$8</f>
        <v>20.246240428868305</v>
      </c>
      <c r="AH342" s="94">
        <f>Table3.110[[#This Row],[GP 8-24h, ml]]-(AVERAGE(AF$293,AF$294,AF$385,AF$386,AF$477,AF$478))*$AG$8</f>
        <v>11.508734798790837</v>
      </c>
      <c r="AI342" s="94">
        <f>Table3.110[[#This Row],[Net gas 8-24h, ml]]+Table3.110[[#This Row],[Net gas 8h, ml]]</f>
        <v>31.754975227659141</v>
      </c>
      <c r="AJ342" s="94">
        <f>Table3.110[[#This Row],[Net gas 8h, ml]]*Table3.110[[#This Row],[CH4 8h %]]%</f>
        <v>2.3485638897487231</v>
      </c>
      <c r="AK342" s="94">
        <f>Table3.110[[#This Row],[Net gas 8-24h, ml]]*Table3.110[[#This Row],[CH4 24h, %]]%</f>
        <v>1.4616093194464364</v>
      </c>
      <c r="AL342" s="94">
        <f>Table3.110[[#This Row],[CH4 8-24h, ml]]+Table3.110[[#This Row],[CH4 8h, ml]]</f>
        <v>3.8101732091951597</v>
      </c>
      <c r="AM342" s="94">
        <f>(Table3.110[[#This Row],[Net gas 24h, ml]]/Table3.110[[#This Row],[DM Incubated, mg]])*1000</f>
        <v>66.491496114789115</v>
      </c>
      <c r="AN342" s="94">
        <f>'3.2 Digest'!X342</f>
        <v>30.399022042678638</v>
      </c>
      <c r="AO342" s="94">
        <f>Table3.110[[#This Row],[Digested feed, mg]]/Table3.110[[#This Row],[Net gas 24h, ml]]</f>
        <v>4.5718661511539143</v>
      </c>
      <c r="AP342" s="94">
        <f>Table3.110[[#This Row],[CH4 8h, ml]]/Table3.110[[#This Row],[Net gas 8h, ml]]%</f>
        <v>11.6</v>
      </c>
      <c r="AQ342" s="94">
        <f>Table3.110[[#This Row],[CH4 24h, ml]]/Table3.110[[#This Row],[Net gas 24h, ml]]%</f>
        <v>11.998665348907064</v>
      </c>
      <c r="AR342" s="94">
        <f>Table3.110[[#This Row],[CH4 24h, ml]]/Table3.110[[#This Row],[DM Incubated, mg]]*1000</f>
        <v>7.9780921042950892</v>
      </c>
      <c r="AS342" s="94">
        <f>Table3.110[[#This Row],[CH4 24h, ml]]/Table3.110[[#This Row],[Digested feed, mg]]*1000</f>
        <v>26.244568305829922</v>
      </c>
      <c r="AT342" s="94">
        <f>Table3.110[[#This Row],[CH4 24h, ml]]/'3.2 Digest'!AA342</f>
        <v>-0.13585792480838396</v>
      </c>
      <c r="AU342" s="94">
        <f>((Table3.110[[#This Row],[CH4 24h, ml]]/28.9)*16.04)/Table3.110[[#This Row],[DM Incubated, mg]]*1000</f>
        <v>4.4279791471589345</v>
      </c>
      <c r="AV342" s="94">
        <f>((Table3.110[[#This Row],[CH4 24h, ml]]/28.9)*16.04)/Table3.110[[#This Row],[Digested feed, mg]]*1000</f>
        <v>14.566189468010794</v>
      </c>
      <c r="AW342" s="89" t="s">
        <v>546</v>
      </c>
    </row>
    <row r="343" spans="2:49" s="89" customFormat="1" x14ac:dyDescent="0.35">
      <c r="B343" s="90">
        <f t="shared" si="5"/>
        <v>333</v>
      </c>
      <c r="C343" s="140">
        <v>46048</v>
      </c>
      <c r="D343" s="6" t="s">
        <v>16</v>
      </c>
      <c r="E343" s="6" t="s">
        <v>183</v>
      </c>
      <c r="F343" s="133" t="s">
        <v>19</v>
      </c>
      <c r="G343" s="133" t="s">
        <v>20</v>
      </c>
      <c r="H343" s="133" t="s">
        <v>21</v>
      </c>
      <c r="I343" s="133" t="s">
        <v>22</v>
      </c>
      <c r="J343" s="135" t="s">
        <v>23</v>
      </c>
      <c r="K343" s="135" t="s">
        <v>24</v>
      </c>
      <c r="L343" s="6" t="s">
        <v>182</v>
      </c>
      <c r="M343" s="93">
        <v>28</v>
      </c>
      <c r="N343" s="93">
        <v>60</v>
      </c>
      <c r="O343" s="6">
        <v>1</v>
      </c>
      <c r="P343" s="129">
        <v>1</v>
      </c>
      <c r="Q343" s="6">
        <v>261</v>
      </c>
      <c r="R343" s="98">
        <v>0.50019999999999998</v>
      </c>
      <c r="S343" s="94">
        <f>((Table3.110[[#This Row],[Sample weight, g]]*'2.1. DM'!Q109)/100)*1000</f>
        <v>479.47085312162562</v>
      </c>
      <c r="T343" s="94">
        <f>'3.2 Digest'!W343</f>
        <v>97.770853121625578</v>
      </c>
      <c r="U343" s="153">
        <v>0.36388888888888887</v>
      </c>
      <c r="V343" s="154">
        <v>40.5</v>
      </c>
      <c r="W343" s="153">
        <v>0.69097222222222221</v>
      </c>
      <c r="X343" s="95">
        <v>68</v>
      </c>
      <c r="Y343" s="95">
        <v>12.9</v>
      </c>
      <c r="Z343" s="154">
        <v>40</v>
      </c>
      <c r="AA343" s="153">
        <v>0.36319444444444443</v>
      </c>
      <c r="AB343" s="154">
        <v>68</v>
      </c>
      <c r="AC343" s="154">
        <v>16.5</v>
      </c>
      <c r="AD343" s="91"/>
      <c r="AE343" s="94">
        <f>Table3.110[[#This Row],[Gas 8h, ml]]-Table3.110[[#This Row],[Gas 0h, ml]]</f>
        <v>27.5</v>
      </c>
      <c r="AF343" s="94">
        <f>Table3.110[[#This Row],[Gas 24h, ml]]-Table3.110[[#This Row],[V8 Push back, ml]]</f>
        <v>28</v>
      </c>
      <c r="AG343" s="94">
        <f>Table3.110[[#This Row],[GP 8h, ml]]-(AVERAGE(AE$293,AE$294,AE$385,AE$386,AE$477,AE$478))*$AG$8</f>
        <v>26.246240428868305</v>
      </c>
      <c r="AH343" s="94">
        <f>Table3.110[[#This Row],[GP 8-24h, ml]]-(AVERAGE(AF$293,AF$294,AF$385,AF$386,AF$477,AF$478))*$AG$8</f>
        <v>26.008734798790837</v>
      </c>
      <c r="AI343" s="94">
        <f>Table3.110[[#This Row],[Net gas 8-24h, ml]]+Table3.110[[#This Row],[Net gas 8h, ml]]</f>
        <v>52.254975227659145</v>
      </c>
      <c r="AJ343" s="94">
        <f>Table3.110[[#This Row],[Net gas 8h, ml]]*Table3.110[[#This Row],[CH4 8h %]]%</f>
        <v>3.3857650153240115</v>
      </c>
      <c r="AK343" s="94">
        <f>Table3.110[[#This Row],[Net gas 8-24h, ml]]*Table3.110[[#This Row],[CH4 24h, %]]%</f>
        <v>4.2914412418004879</v>
      </c>
      <c r="AL343" s="94">
        <f>Table3.110[[#This Row],[CH4 8-24h, ml]]+Table3.110[[#This Row],[CH4 8h, ml]]</f>
        <v>7.6772062571244994</v>
      </c>
      <c r="AM343" s="94">
        <f>(Table3.110[[#This Row],[Net gas 24h, ml]]/Table3.110[[#This Row],[DM Incubated, mg]])*1000</f>
        <v>108.98467526743239</v>
      </c>
      <c r="AN343" s="94">
        <f>'3.2 Digest'!X343</f>
        <v>20.391407003174894</v>
      </c>
      <c r="AO343" s="94">
        <f>Table3.110[[#This Row],[Digested feed, mg]]/Table3.110[[#This Row],[Net gas 24h, ml]]</f>
        <v>1.8710343406664629</v>
      </c>
      <c r="AP343" s="94">
        <f>Table3.110[[#This Row],[CH4 8h, ml]]/Table3.110[[#This Row],[Net gas 8h, ml]]%</f>
        <v>12.9</v>
      </c>
      <c r="AQ343" s="94">
        <f>Table3.110[[#This Row],[CH4 24h, ml]]/Table3.110[[#This Row],[Net gas 24h, ml]]%</f>
        <v>14.691818766877663</v>
      </c>
      <c r="AR343" s="94">
        <f>Table3.110[[#This Row],[CH4 24h, ml]]/Table3.110[[#This Row],[DM Incubated, mg]]*1000</f>
        <v>16.011830973961313</v>
      </c>
      <c r="AS343" s="94">
        <f>Table3.110[[#This Row],[CH4 24h, ml]]/Table3.110[[#This Row],[Digested feed, mg]]*1000</f>
        <v>78.522443161809818</v>
      </c>
      <c r="AT343" s="94">
        <f>Table3.110[[#This Row],[CH4 24h, ml]]/'3.2 Digest'!AA343</f>
        <v>-0.34720359759271829</v>
      </c>
      <c r="AU343" s="94">
        <f>((Table3.110[[#This Row],[CH4 24h, ml]]/28.9)*16.04)/Table3.110[[#This Row],[DM Incubated, mg]]*1000</f>
        <v>8.8868432118456564</v>
      </c>
      <c r="AV343" s="94">
        <f>((Table3.110[[#This Row],[CH4 24h, ml]]/28.9)*16.04)/Table3.110[[#This Row],[Digested feed, mg]]*1000</f>
        <v>43.581314474582328</v>
      </c>
    </row>
    <row r="344" spans="2:49" s="89" customFormat="1" x14ac:dyDescent="0.35">
      <c r="B344" s="90">
        <f t="shared" si="5"/>
        <v>334</v>
      </c>
      <c r="C344" s="140">
        <v>46048</v>
      </c>
      <c r="D344" s="6" t="s">
        <v>16</v>
      </c>
      <c r="E344" s="6" t="s">
        <v>183</v>
      </c>
      <c r="F344" s="133" t="s">
        <v>19</v>
      </c>
      <c r="G344" s="133" t="s">
        <v>20</v>
      </c>
      <c r="H344" s="133" t="s">
        <v>21</v>
      </c>
      <c r="I344" s="133" t="s">
        <v>22</v>
      </c>
      <c r="J344" s="135" t="s">
        <v>23</v>
      </c>
      <c r="K344" s="135" t="s">
        <v>24</v>
      </c>
      <c r="L344" s="6" t="s">
        <v>182</v>
      </c>
      <c r="M344" s="93">
        <v>28</v>
      </c>
      <c r="N344" s="93">
        <v>60</v>
      </c>
      <c r="O344" s="6">
        <v>1</v>
      </c>
      <c r="P344" s="129">
        <v>2</v>
      </c>
      <c r="Q344" s="6">
        <v>262</v>
      </c>
      <c r="R344" s="98">
        <v>0.50049999999999994</v>
      </c>
      <c r="S344" s="94">
        <f>((Table3.110[[#This Row],[Sample weight, g]]*'2.1. DM'!Q109)/100)*1000</f>
        <v>479.75842060650461</v>
      </c>
      <c r="T344" s="94">
        <f>'3.2 Digest'!W344</f>
        <v>105.15842060650459</v>
      </c>
      <c r="U344" s="117">
        <v>0.36458333333333331</v>
      </c>
      <c r="V344" s="155">
        <v>41</v>
      </c>
      <c r="W344" s="117">
        <v>0.69097222222222221</v>
      </c>
      <c r="X344" s="97">
        <v>68</v>
      </c>
      <c r="Y344" s="97">
        <v>13.1</v>
      </c>
      <c r="Z344" s="155">
        <v>40</v>
      </c>
      <c r="AA344" s="117">
        <v>0.36319444444444443</v>
      </c>
      <c r="AB344" s="155">
        <v>68</v>
      </c>
      <c r="AC344" s="155">
        <v>17.7</v>
      </c>
      <c r="AD344" s="96"/>
      <c r="AE344" s="94">
        <f>Table3.110[[#This Row],[Gas 8h, ml]]-Table3.110[[#This Row],[Gas 0h, ml]]</f>
        <v>27</v>
      </c>
      <c r="AF344" s="94">
        <f>Table3.110[[#This Row],[Gas 24h, ml]]-Table3.110[[#This Row],[V8 Push back, ml]]</f>
        <v>28</v>
      </c>
      <c r="AG344" s="94">
        <f>Table3.110[[#This Row],[GP 8h, ml]]-(AVERAGE(AE$293,AE$294,AE$385,AE$386,AE$477,AE$478))*$AG$8</f>
        <v>25.746240428868305</v>
      </c>
      <c r="AH344" s="94">
        <f>Table3.110[[#This Row],[GP 8-24h, ml]]-(AVERAGE(AF$293,AF$294,AF$385,AF$386,AF$477,AF$478))*$AG$8</f>
        <v>26.008734798790837</v>
      </c>
      <c r="AI344" s="94">
        <f>Table3.110[[#This Row],[Net gas 8-24h, ml]]+Table3.110[[#This Row],[Net gas 8h, ml]]</f>
        <v>51.754975227659145</v>
      </c>
      <c r="AJ344" s="94">
        <f>Table3.110[[#This Row],[Net gas 8h, ml]]*Table3.110[[#This Row],[CH4 8h %]]%</f>
        <v>3.3727574961817481</v>
      </c>
      <c r="AK344" s="94">
        <f>Table3.110[[#This Row],[Net gas 8-24h, ml]]*Table3.110[[#This Row],[CH4 24h, %]]%</f>
        <v>4.6035460593859776</v>
      </c>
      <c r="AL344" s="94">
        <f>Table3.110[[#This Row],[CH4 8-24h, ml]]+Table3.110[[#This Row],[CH4 8h, ml]]</f>
        <v>7.9763035555677257</v>
      </c>
      <c r="AM344" s="94">
        <f>(Table3.110[[#This Row],[Net gas 24h, ml]]/Table3.110[[#This Row],[DM Incubated, mg]])*1000</f>
        <v>107.87715859626007</v>
      </c>
      <c r="AN344" s="94">
        <f>'3.2 Digest'!X344</f>
        <v>21.919035933452637</v>
      </c>
      <c r="AO344" s="94">
        <f>Table3.110[[#This Row],[Digested feed, mg]]/Table3.110[[#This Row],[Net gas 24h, ml]]</f>
        <v>2.031851433488955</v>
      </c>
      <c r="AP344" s="94">
        <f>Table3.110[[#This Row],[CH4 8h, ml]]/Table3.110[[#This Row],[Net gas 8h, ml]]%</f>
        <v>13.1</v>
      </c>
      <c r="AQ344" s="94">
        <f>Table3.110[[#This Row],[CH4 24h, ml]]/Table3.110[[#This Row],[Net gas 24h, ml]]%</f>
        <v>15.411665294943452</v>
      </c>
      <c r="AR344" s="94">
        <f>Table3.110[[#This Row],[CH4 24h, ml]]/Table3.110[[#This Row],[DM Incubated, mg]]*1000</f>
        <v>16.625666612550919</v>
      </c>
      <c r="AS344" s="94">
        <f>Table3.110[[#This Row],[CH4 24h, ml]]/Table3.110[[#This Row],[Digested feed, mg]]*1000</f>
        <v>75.850355202789629</v>
      </c>
      <c r="AT344" s="94">
        <f>Table3.110[[#This Row],[CH4 24h, ml]]/'3.2 Digest'!AA344</f>
        <v>-0.40348936822504516</v>
      </c>
      <c r="AU344" s="94">
        <f>((Table3.110[[#This Row],[CH4 24h, ml]]/28.9)*16.04)/Table3.110[[#This Row],[DM Incubated, mg]]*1000</f>
        <v>9.2275326112566365</v>
      </c>
      <c r="AV344" s="94">
        <f>((Table3.110[[#This Row],[CH4 24h, ml]]/28.9)*16.04)/Table3.110[[#This Row],[Digested feed, mg]]*1000</f>
        <v>42.098259427430641</v>
      </c>
    </row>
    <row r="345" spans="2:49" s="89" customFormat="1" x14ac:dyDescent="0.35">
      <c r="B345" s="90">
        <f t="shared" si="5"/>
        <v>335</v>
      </c>
      <c r="C345" s="140">
        <v>46048</v>
      </c>
      <c r="D345" s="6" t="s">
        <v>16</v>
      </c>
      <c r="E345" s="6" t="s">
        <v>183</v>
      </c>
      <c r="F345" s="133" t="s">
        <v>19</v>
      </c>
      <c r="G345" s="133" t="s">
        <v>20</v>
      </c>
      <c r="H345" s="133" t="s">
        <v>21</v>
      </c>
      <c r="I345" s="133" t="s">
        <v>22</v>
      </c>
      <c r="J345" s="135" t="s">
        <v>23</v>
      </c>
      <c r="K345" s="135" t="s">
        <v>24</v>
      </c>
      <c r="L345" s="6" t="s">
        <v>182</v>
      </c>
      <c r="M345" s="93">
        <v>28</v>
      </c>
      <c r="N345" s="93">
        <v>60</v>
      </c>
      <c r="O345" s="6">
        <v>1</v>
      </c>
      <c r="P345" s="129">
        <v>3</v>
      </c>
      <c r="Q345" s="6">
        <v>263</v>
      </c>
      <c r="R345" s="98">
        <v>0.50039999999999996</v>
      </c>
      <c r="S345" s="94">
        <f>((Table3.110[[#This Row],[Sample weight, g]]*'2.1. DM'!Q109)/100)*1000</f>
        <v>479.66256477821162</v>
      </c>
      <c r="T345" s="94">
        <f>'3.2 Digest'!W345</f>
        <v>94.962564778211686</v>
      </c>
      <c r="U345" s="153">
        <v>0.36458333333333331</v>
      </c>
      <c r="V345" s="154">
        <v>41.5</v>
      </c>
      <c r="W345" s="153">
        <v>0.69166666666666665</v>
      </c>
      <c r="X345" s="95">
        <v>58.5</v>
      </c>
      <c r="Y345" s="95">
        <v>12.9</v>
      </c>
      <c r="Z345" s="154">
        <v>33</v>
      </c>
      <c r="AA345" s="153">
        <v>0.36388888888888887</v>
      </c>
      <c r="AB345" s="154">
        <v>56</v>
      </c>
      <c r="AC345" s="154">
        <v>17.2</v>
      </c>
      <c r="AD345" s="96" t="s">
        <v>560</v>
      </c>
      <c r="AE345" s="94">
        <f>Table3.110[[#This Row],[Gas 8h, ml]]-Table3.110[[#This Row],[Gas 0h, ml]]</f>
        <v>17</v>
      </c>
      <c r="AF345" s="94">
        <f>Table3.110[[#This Row],[Gas 24h, ml]]-Table3.110[[#This Row],[V8 Push back, ml]]</f>
        <v>23</v>
      </c>
      <c r="AG345" s="94">
        <f>Table3.110[[#This Row],[GP 8h, ml]]-(AVERAGE(AE$293,AE$294,AE$385,AE$386,AE$477,AE$478))*$AG$8</f>
        <v>15.746240428868305</v>
      </c>
      <c r="AH345" s="94">
        <f>Table3.110[[#This Row],[GP 8-24h, ml]]-(AVERAGE(AF$293,AF$294,AF$385,AF$386,AF$477,AF$478))*$AG$8</f>
        <v>21.008734798790837</v>
      </c>
      <c r="AI345" s="94">
        <f>Table3.110[[#This Row],[Net gas 8-24h, ml]]+Table3.110[[#This Row],[Net gas 8h, ml]]</f>
        <v>36.754975227659145</v>
      </c>
      <c r="AJ345" s="94">
        <f>Table3.110[[#This Row],[Net gas 8h, ml]]*Table3.110[[#This Row],[CH4 8h %]]%</f>
        <v>2.0312650153240113</v>
      </c>
      <c r="AK345" s="94">
        <f>Table3.110[[#This Row],[Net gas 8-24h, ml]]*Table3.110[[#This Row],[CH4 24h, %]]%</f>
        <v>3.6135023853920236</v>
      </c>
      <c r="AL345" s="94">
        <f>Table3.110[[#This Row],[CH4 8-24h, ml]]+Table3.110[[#This Row],[CH4 8h, ml]]</f>
        <v>5.6447674007160344</v>
      </c>
      <c r="AM345" s="94">
        <f>(Table3.110[[#This Row],[Net gas 24h, ml]]/Table3.110[[#This Row],[DM Incubated, mg]])*1000</f>
        <v>76.626732888054462</v>
      </c>
      <c r="AN345" s="94">
        <f>'3.2 Digest'!X345</f>
        <v>19.79778530811986</v>
      </c>
      <c r="AO345" s="94">
        <f>Table3.110[[#This Row],[Digested feed, mg]]/Table3.110[[#This Row],[Net gas 24h, ml]]</f>
        <v>2.583665590576965</v>
      </c>
      <c r="AP345" s="94">
        <f>Table3.110[[#This Row],[CH4 8h, ml]]/Table3.110[[#This Row],[Net gas 8h, ml]]%</f>
        <v>12.9</v>
      </c>
      <c r="AQ345" s="94">
        <f>Table3.110[[#This Row],[CH4 24h, ml]]/Table3.110[[#This Row],[Net gas 24h, ml]]%</f>
        <v>15.357832145859236</v>
      </c>
      <c r="AR345" s="94">
        <f>Table3.110[[#This Row],[CH4 24h, ml]]/Table3.110[[#This Row],[DM Incubated, mg]]*1000</f>
        <v>11.76820501580332</v>
      </c>
      <c r="AS345" s="94">
        <f>Table3.110[[#This Row],[CH4 24h, ml]]/Table3.110[[#This Row],[Digested feed, mg]]*1000</f>
        <v>59.442027644257308</v>
      </c>
      <c r="AT345" s="94">
        <f>Table3.110[[#This Row],[CH4 24h, ml]]/'3.2 Digest'!AA345</f>
        <v>-0.24518911986354697</v>
      </c>
      <c r="AU345" s="94">
        <f>((Table3.110[[#This Row],[CH4 24h, ml]]/28.9)*16.04)/Table3.110[[#This Row],[DM Incubated, mg]]*1000</f>
        <v>6.5315573859337448</v>
      </c>
      <c r="AV345" s="94">
        <f>((Table3.110[[#This Row],[CH4 24h, ml]]/28.9)*16.04)/Table3.110[[#This Row],[Digested feed, mg]]*1000</f>
        <v>32.991353751345578</v>
      </c>
    </row>
    <row r="346" spans="2:49" s="89" customFormat="1" x14ac:dyDescent="0.35">
      <c r="B346" s="90">
        <f t="shared" si="5"/>
        <v>336</v>
      </c>
      <c r="C346" s="140">
        <v>46048</v>
      </c>
      <c r="D346" s="6" t="s">
        <v>16</v>
      </c>
      <c r="E346" s="6" t="s">
        <v>185</v>
      </c>
      <c r="F346" s="133" t="s">
        <v>19</v>
      </c>
      <c r="G346" s="133" t="s">
        <v>20</v>
      </c>
      <c r="H346" s="133" t="s">
        <v>21</v>
      </c>
      <c r="I346" s="133" t="s">
        <v>22</v>
      </c>
      <c r="J346" s="135" t="s">
        <v>23</v>
      </c>
      <c r="K346" s="135" t="s">
        <v>24</v>
      </c>
      <c r="L346" s="6" t="s">
        <v>184</v>
      </c>
      <c r="M346" s="93">
        <v>28</v>
      </c>
      <c r="N346" s="93">
        <v>60</v>
      </c>
      <c r="O346" s="6">
        <v>1</v>
      </c>
      <c r="P346" s="129">
        <v>1</v>
      </c>
      <c r="Q346" s="6">
        <v>264</v>
      </c>
      <c r="R346" s="98">
        <v>0.50049999999999994</v>
      </c>
      <c r="S346" s="94">
        <f>((Table3.110[[#This Row],[Sample weight, g]]*'2.1. DM'!Q111)/100)*1000</f>
        <v>478.63361904246204</v>
      </c>
      <c r="T346" s="94">
        <f>'3.2 Digest'!W346</f>
        <v>126.93361904246206</v>
      </c>
      <c r="U346" s="117">
        <v>0.36527777777777776</v>
      </c>
      <c r="V346" s="155">
        <v>41.5</v>
      </c>
      <c r="W346" s="117">
        <v>0.69166666666666665</v>
      </c>
      <c r="X346" s="97">
        <v>64</v>
      </c>
      <c r="Y346" s="97">
        <v>12.2</v>
      </c>
      <c r="Z346" s="155">
        <v>40</v>
      </c>
      <c r="AA346" s="117">
        <v>0.36458333333333331</v>
      </c>
      <c r="AB346" s="155">
        <v>60.5</v>
      </c>
      <c r="AC346" s="155">
        <v>16.7</v>
      </c>
      <c r="AD346" s="96"/>
      <c r="AE346" s="94">
        <f>Table3.110[[#This Row],[Gas 8h, ml]]-Table3.110[[#This Row],[Gas 0h, ml]]</f>
        <v>22.5</v>
      </c>
      <c r="AF346" s="94">
        <f>Table3.110[[#This Row],[Gas 24h, ml]]-Table3.110[[#This Row],[V8 Push back, ml]]</f>
        <v>20.5</v>
      </c>
      <c r="AG346" s="94">
        <f>Table3.110[[#This Row],[GP 8h, ml]]-(AVERAGE(AE$293,AE$294,AE$385,AE$386,AE$477,AE$478))*$AG$8</f>
        <v>21.246240428868305</v>
      </c>
      <c r="AH346" s="94">
        <f>Table3.110[[#This Row],[GP 8-24h, ml]]-(AVERAGE(AF$293,AF$294,AF$385,AF$386,AF$477,AF$478))*$AG$8</f>
        <v>18.508734798790837</v>
      </c>
      <c r="AI346" s="94">
        <f>Table3.110[[#This Row],[Net gas 8-24h, ml]]+Table3.110[[#This Row],[Net gas 8h, ml]]</f>
        <v>39.754975227659145</v>
      </c>
      <c r="AJ346" s="94">
        <f>Table3.110[[#This Row],[Net gas 8h, ml]]*Table3.110[[#This Row],[CH4 8h %]]%</f>
        <v>2.5920413323219331</v>
      </c>
      <c r="AK346" s="94">
        <f>Table3.110[[#This Row],[Net gas 8-24h, ml]]*Table3.110[[#This Row],[CH4 24h, %]]%</f>
        <v>3.0909587113980694</v>
      </c>
      <c r="AL346" s="94">
        <f>Table3.110[[#This Row],[CH4 8-24h, ml]]+Table3.110[[#This Row],[CH4 8h, ml]]</f>
        <v>5.6830000437200026</v>
      </c>
      <c r="AM346" s="94">
        <f>(Table3.110[[#This Row],[Net gas 24h, ml]]/Table3.110[[#This Row],[DM Incubated, mg]])*1000</f>
        <v>83.059303914320893</v>
      </c>
      <c r="AN346" s="94">
        <f>'3.2 Digest'!X346</f>
        <v>26.519996505134991</v>
      </c>
      <c r="AO346" s="94">
        <f>Table3.110[[#This Row],[Digested feed, mg]]/Table3.110[[#This Row],[Net gas 24h, ml]]</f>
        <v>3.1928989595785033</v>
      </c>
      <c r="AP346" s="94">
        <f>Table3.110[[#This Row],[CH4 8h, ml]]/Table3.110[[#This Row],[Net gas 8h, ml]]%</f>
        <v>12.2</v>
      </c>
      <c r="AQ346" s="94">
        <f>Table3.110[[#This Row],[CH4 24h, ml]]/Table3.110[[#This Row],[Net gas 24h, ml]]%</f>
        <v>14.295066243095302</v>
      </c>
      <c r="AR346" s="94">
        <f>Table3.110[[#This Row],[CH4 24h, ml]]/Table3.110[[#This Row],[DM Incubated, mg]]*1000</f>
        <v>11.873382515606023</v>
      </c>
      <c r="AS346" s="94">
        <f>Table3.110[[#This Row],[CH4 24h, ml]]/Table3.110[[#This Row],[Digested feed, mg]]*1000</f>
        <v>44.771433183662047</v>
      </c>
      <c r="AT346" s="94">
        <f>Table3.110[[#This Row],[CH4 24h, ml]]/'3.2 Digest'!AA346</f>
        <v>-0.44585725948482924</v>
      </c>
      <c r="AU346" s="94">
        <f>((Table3.110[[#This Row],[CH4 24h, ml]]/28.9)*16.04)/Table3.110[[#This Row],[DM Incubated, mg]]*1000</f>
        <v>6.5899327180041736</v>
      </c>
      <c r="AV346" s="94">
        <f>((Table3.110[[#This Row],[CH4 24h, ml]]/28.9)*16.04)/Table3.110[[#This Row],[Digested feed, mg]]*1000</f>
        <v>24.848920009202054</v>
      </c>
    </row>
    <row r="347" spans="2:49" s="89" customFormat="1" x14ac:dyDescent="0.35">
      <c r="B347" s="90">
        <f t="shared" si="5"/>
        <v>337</v>
      </c>
      <c r="C347" s="140">
        <v>46048</v>
      </c>
      <c r="D347" s="6" t="s">
        <v>16</v>
      </c>
      <c r="E347" s="6" t="s">
        <v>185</v>
      </c>
      <c r="F347" s="133" t="s">
        <v>19</v>
      </c>
      <c r="G347" s="133" t="s">
        <v>20</v>
      </c>
      <c r="H347" s="133" t="s">
        <v>21</v>
      </c>
      <c r="I347" s="133" t="s">
        <v>22</v>
      </c>
      <c r="J347" s="135" t="s">
        <v>23</v>
      </c>
      <c r="K347" s="135" t="s">
        <v>24</v>
      </c>
      <c r="L347" s="6" t="s">
        <v>184</v>
      </c>
      <c r="M347" s="93">
        <v>28</v>
      </c>
      <c r="N347" s="93">
        <v>60</v>
      </c>
      <c r="O347" s="6">
        <v>1</v>
      </c>
      <c r="P347" s="129">
        <v>2</v>
      </c>
      <c r="Q347" s="6">
        <v>265</v>
      </c>
      <c r="R347" s="98">
        <v>0.50039999999999996</v>
      </c>
      <c r="S347" s="94">
        <f>((Table3.110[[#This Row],[Sample weight, g]]*'2.1. DM'!Q111)/100)*1000</f>
        <v>478.53798794974625</v>
      </c>
      <c r="T347" s="94">
        <f>'3.2 Digest'!W347</f>
        <v>70.43798794974623</v>
      </c>
      <c r="U347" s="153">
        <v>0.36527777777777776</v>
      </c>
      <c r="V347" s="154">
        <v>41.5</v>
      </c>
      <c r="W347" s="153">
        <v>0.69236111111111109</v>
      </c>
      <c r="X347" s="95">
        <v>63.5</v>
      </c>
      <c r="Y347" s="95">
        <v>12.4</v>
      </c>
      <c r="Z347" s="154">
        <v>41</v>
      </c>
      <c r="AA347" s="153">
        <v>0.36458333333333331</v>
      </c>
      <c r="AB347" s="154">
        <v>61</v>
      </c>
      <c r="AC347" s="154">
        <v>17.399999999999999</v>
      </c>
      <c r="AD347" s="91"/>
      <c r="AE347" s="94">
        <f>Table3.110[[#This Row],[Gas 8h, ml]]-Table3.110[[#This Row],[Gas 0h, ml]]</f>
        <v>22</v>
      </c>
      <c r="AF347" s="94">
        <f>Table3.110[[#This Row],[Gas 24h, ml]]-Table3.110[[#This Row],[V8 Push back, ml]]</f>
        <v>20</v>
      </c>
      <c r="AG347" s="94">
        <f>Table3.110[[#This Row],[GP 8h, ml]]-(AVERAGE(AE$293,AE$294,AE$385,AE$386,AE$477,AE$478))*$AG$8</f>
        <v>20.746240428868305</v>
      </c>
      <c r="AH347" s="94">
        <f>Table3.110[[#This Row],[GP 8-24h, ml]]-(AVERAGE(AF$293,AF$294,AF$385,AF$386,AF$477,AF$478))*$AG$8</f>
        <v>18.008734798790837</v>
      </c>
      <c r="AI347" s="94">
        <f>Table3.110[[#This Row],[Net gas 8-24h, ml]]+Table3.110[[#This Row],[Net gas 8h, ml]]</f>
        <v>38.754975227659145</v>
      </c>
      <c r="AJ347" s="94">
        <f>Table3.110[[#This Row],[Net gas 8h, ml]]*Table3.110[[#This Row],[CH4 8h %]]%</f>
        <v>2.5725338131796698</v>
      </c>
      <c r="AK347" s="94">
        <f>Table3.110[[#This Row],[Net gas 8-24h, ml]]*Table3.110[[#This Row],[CH4 24h, %]]%</f>
        <v>3.1335198549896055</v>
      </c>
      <c r="AL347" s="94">
        <f>Table3.110[[#This Row],[CH4 8-24h, ml]]+Table3.110[[#This Row],[CH4 8h, ml]]</f>
        <v>5.7060536681692753</v>
      </c>
      <c r="AM347" s="94">
        <f>(Table3.110[[#This Row],[Net gas 24h, ml]]/Table3.110[[#This Row],[DM Incubated, mg]])*1000</f>
        <v>80.9862042378316</v>
      </c>
      <c r="AN347" s="94">
        <f>'3.2 Digest'!X347</f>
        <v>14.719414074425224</v>
      </c>
      <c r="AO347" s="94">
        <f>Table3.110[[#This Row],[Digested feed, mg]]/Table3.110[[#This Row],[Net gas 24h, ml]]</f>
        <v>1.8175211707908705</v>
      </c>
      <c r="AP347" s="94">
        <f>Table3.110[[#This Row],[CH4 8h, ml]]/Table3.110[[#This Row],[Net gas 8h, ml]]%</f>
        <v>12.4</v>
      </c>
      <c r="AQ347" s="94">
        <f>Table3.110[[#This Row],[CH4 24h, ml]]/Table3.110[[#This Row],[Net gas 24h, ml]]%</f>
        <v>14.723409406534483</v>
      </c>
      <c r="AR347" s="94">
        <f>Table3.110[[#This Row],[CH4 24h, ml]]/Table3.110[[#This Row],[DM Incubated, mg]]*1000</f>
        <v>11.923930412748124</v>
      </c>
      <c r="AS347" s="94">
        <f>Table3.110[[#This Row],[CH4 24h, ml]]/Table3.110[[#This Row],[Digested feed, mg]]*1000</f>
        <v>81.008186551839643</v>
      </c>
      <c r="AT347" s="94">
        <f>Table3.110[[#This Row],[CH4 24h, ml]]/'3.2 Digest'!AA347</f>
        <v>-0.18494439272088609</v>
      </c>
      <c r="AU347" s="94">
        <f>((Table3.110[[#This Row],[CH4 24h, ml]]/28.9)*16.04)/Table3.110[[#This Row],[DM Incubated, mg]]*1000</f>
        <v>6.6179876754491325</v>
      </c>
      <c r="AV347" s="94">
        <f>((Table3.110[[#This Row],[CH4 24h, ml]]/28.9)*16.04)/Table3.110[[#This Row],[Digested feed, mg]]*1000</f>
        <v>44.960945061989896</v>
      </c>
    </row>
    <row r="348" spans="2:49" s="89" customFormat="1" x14ac:dyDescent="0.35">
      <c r="B348" s="90">
        <f t="shared" si="5"/>
        <v>338</v>
      </c>
      <c r="C348" s="140">
        <v>46048</v>
      </c>
      <c r="D348" s="6" t="s">
        <v>16</v>
      </c>
      <c r="E348" s="6" t="s">
        <v>185</v>
      </c>
      <c r="F348" s="133" t="s">
        <v>19</v>
      </c>
      <c r="G348" s="133" t="s">
        <v>20</v>
      </c>
      <c r="H348" s="133" t="s">
        <v>21</v>
      </c>
      <c r="I348" s="133" t="s">
        <v>22</v>
      </c>
      <c r="J348" s="135" t="s">
        <v>23</v>
      </c>
      <c r="K348" s="135" t="s">
        <v>24</v>
      </c>
      <c r="L348" s="6" t="s">
        <v>184</v>
      </c>
      <c r="M348" s="93">
        <v>28</v>
      </c>
      <c r="N348" s="93">
        <v>60</v>
      </c>
      <c r="O348" s="6">
        <v>1</v>
      </c>
      <c r="P348" s="129">
        <v>3</v>
      </c>
      <c r="Q348" s="6">
        <v>266</v>
      </c>
      <c r="R348" s="98">
        <v>0.5</v>
      </c>
      <c r="S348" s="94">
        <f>((Table3.110[[#This Row],[Sample weight, g]]*'2.1. DM'!Q111)/100)*1000</f>
        <v>478.1554635788832</v>
      </c>
      <c r="T348" s="94">
        <f>'3.2 Digest'!W348</f>
        <v>0</v>
      </c>
      <c r="U348" s="117">
        <v>0.3659722222222222</v>
      </c>
      <c r="V348" s="155">
        <v>42.5</v>
      </c>
      <c r="W348" s="117">
        <v>0.69236111111111109</v>
      </c>
      <c r="X348" s="97">
        <v>65.5</v>
      </c>
      <c r="Y348" s="97">
        <v>11.8</v>
      </c>
      <c r="Z348" s="155">
        <v>40.5</v>
      </c>
      <c r="AA348" s="117">
        <v>0.36527777777777776</v>
      </c>
      <c r="AB348" s="155">
        <v>59</v>
      </c>
      <c r="AC348" s="155">
        <v>17.399999999999999</v>
      </c>
      <c r="AD348" s="96"/>
      <c r="AE348" s="94">
        <f>Table3.110[[#This Row],[Gas 8h, ml]]-Table3.110[[#This Row],[Gas 0h, ml]]</f>
        <v>23</v>
      </c>
      <c r="AF348" s="94">
        <f>Table3.110[[#This Row],[Gas 24h, ml]]-Table3.110[[#This Row],[V8 Push back, ml]]</f>
        <v>18.5</v>
      </c>
      <c r="AG348" s="94"/>
      <c r="AH348" s="94"/>
      <c r="AI348" s="94"/>
      <c r="AJ348" s="94"/>
      <c r="AK348" s="94"/>
      <c r="AL348" s="94"/>
      <c r="AM348" s="94"/>
      <c r="AN348" s="94"/>
      <c r="AO348" s="94"/>
      <c r="AP348" s="94"/>
      <c r="AQ348" s="94"/>
      <c r="AR348" s="94"/>
      <c r="AS348" s="94"/>
      <c r="AT348" s="94"/>
      <c r="AU348" s="94"/>
      <c r="AV348" s="94"/>
    </row>
    <row r="349" spans="2:49" s="89" customFormat="1" x14ac:dyDescent="0.35">
      <c r="B349" s="90">
        <f t="shared" si="5"/>
        <v>339</v>
      </c>
      <c r="C349" s="140">
        <v>46048</v>
      </c>
      <c r="D349" s="6" t="s">
        <v>16</v>
      </c>
      <c r="E349" s="6" t="s">
        <v>187</v>
      </c>
      <c r="F349" s="133" t="s">
        <v>105</v>
      </c>
      <c r="G349" s="133" t="s">
        <v>188</v>
      </c>
      <c r="H349" s="133" t="s">
        <v>189</v>
      </c>
      <c r="I349" s="125" t="s">
        <v>108</v>
      </c>
      <c r="J349" s="138" t="s">
        <v>109</v>
      </c>
      <c r="K349" s="138" t="s">
        <v>110</v>
      </c>
      <c r="L349" s="6" t="s">
        <v>186</v>
      </c>
      <c r="M349" s="93">
        <v>28</v>
      </c>
      <c r="N349" s="93">
        <v>60</v>
      </c>
      <c r="O349" s="6">
        <v>1</v>
      </c>
      <c r="P349" s="129">
        <v>1</v>
      </c>
      <c r="Q349" s="6">
        <v>267</v>
      </c>
      <c r="R349" s="98">
        <v>0.50029999999999997</v>
      </c>
      <c r="S349" s="94">
        <f>((Table3.110[[#This Row],[Sample weight, g]]*'2.1. DM'!Q113)/100)*1000</f>
        <v>474.49097469269549</v>
      </c>
      <c r="T349" s="94">
        <f>'3.2 Digest'!W349</f>
        <v>226.39097469269549</v>
      </c>
      <c r="U349" s="153">
        <v>0.3659722222222222</v>
      </c>
      <c r="V349" s="154">
        <v>41</v>
      </c>
      <c r="W349" s="153">
        <v>0.69305555555555554</v>
      </c>
      <c r="X349" s="95">
        <v>78</v>
      </c>
      <c r="Y349" s="95">
        <v>13.3</v>
      </c>
      <c r="Z349" s="154">
        <v>40.5</v>
      </c>
      <c r="AA349" s="153">
        <v>0.36527777777777776</v>
      </c>
      <c r="AB349" s="154">
        <v>88.5</v>
      </c>
      <c r="AC349" s="154">
        <v>15.1</v>
      </c>
      <c r="AD349" s="91"/>
      <c r="AE349" s="94">
        <f>Table3.110[[#This Row],[Gas 8h, ml]]-Table3.110[[#This Row],[Gas 0h, ml]]</f>
        <v>37</v>
      </c>
      <c r="AF349" s="94">
        <f>Table3.110[[#This Row],[Gas 24h, ml]]-Table3.110[[#This Row],[V8 Push back, ml]]</f>
        <v>48</v>
      </c>
      <c r="AG349" s="94">
        <f>Table3.110[[#This Row],[GP 8h, ml]]-(AVERAGE(AE$293,AE$294,AE$385,AE$386,AE$477,AE$478))*$AG$8</f>
        <v>35.746240428868305</v>
      </c>
      <c r="AH349" s="94">
        <f>Table3.110[[#This Row],[GP 8-24h, ml]]-(AVERAGE(AF$293,AF$294,AF$385,AF$386,AF$477,AF$478))*$AG$8</f>
        <v>46.00873479879084</v>
      </c>
      <c r="AI349" s="94">
        <f>Table3.110[[#This Row],[Net gas 8-24h, ml]]+Table3.110[[#This Row],[Net gas 8h, ml]]</f>
        <v>81.754975227659145</v>
      </c>
      <c r="AJ349" s="94">
        <f>Table3.110[[#This Row],[Net gas 8h, ml]]*Table3.110[[#This Row],[CH4 8h %]]%</f>
        <v>4.7542499770394846</v>
      </c>
      <c r="AK349" s="94">
        <f>Table3.110[[#This Row],[Net gas 8-24h, ml]]*Table3.110[[#This Row],[CH4 24h, %]]%</f>
        <v>6.9473189546174163</v>
      </c>
      <c r="AL349" s="94">
        <f>Table3.110[[#This Row],[CH4 8-24h, ml]]+Table3.110[[#This Row],[CH4 8h, ml]]</f>
        <v>11.701568931656901</v>
      </c>
      <c r="AM349" s="94">
        <f>(Table3.110[[#This Row],[Net gas 24h, ml]]/Table3.110[[#This Row],[DM Incubated, mg]])*1000</f>
        <v>172.3003799610895</v>
      </c>
      <c r="AN349" s="94">
        <f>'3.2 Digest'!X349</f>
        <v>47.712387962556676</v>
      </c>
      <c r="AO349" s="94">
        <f>Table3.110[[#This Row],[Digested feed, mg]]/Table3.110[[#This Row],[Net gas 24h, ml]]</f>
        <v>2.7691400316895143</v>
      </c>
      <c r="AP349" s="94">
        <f>Table3.110[[#This Row],[CH4 8h, ml]]/Table3.110[[#This Row],[Net gas 8h, ml]]%</f>
        <v>13.3</v>
      </c>
      <c r="AQ349" s="94">
        <f>Table3.110[[#This Row],[CH4 24h, ml]]/Table3.110[[#This Row],[Net gas 24h, ml]]%</f>
        <v>14.312974713859438</v>
      </c>
      <c r="AR349" s="94">
        <f>Table3.110[[#This Row],[CH4 24h, ml]]/Table3.110[[#This Row],[DM Incubated, mg]]*1000</f>
        <v>24.661309815714478</v>
      </c>
      <c r="AS349" s="94">
        <f>Table3.110[[#This Row],[CH4 24h, ml]]/Table3.110[[#This Row],[Digested feed, mg]]*1000</f>
        <v>51.687435630067334</v>
      </c>
      <c r="AT349" s="94">
        <f>Table3.110[[#This Row],[CH4 24h, ml]]/'3.2 Digest'!AA349</f>
        <v>0.50454392050885633</v>
      </c>
      <c r="AU349" s="94">
        <f>((Table3.110[[#This Row],[CH4 24h, ml]]/28.9)*16.04)/Table3.110[[#This Row],[DM Incubated, mg]]*1000</f>
        <v>13.687453613981322</v>
      </c>
      <c r="AV349" s="94">
        <f>((Table3.110[[#This Row],[CH4 24h, ml]]/28.9)*16.04)/Table3.110[[#This Row],[Digested feed, mg]]*1000</f>
        <v>28.687421020978547</v>
      </c>
    </row>
    <row r="350" spans="2:49" s="89" customFormat="1" x14ac:dyDescent="0.35">
      <c r="B350" s="90">
        <f t="shared" si="5"/>
        <v>340</v>
      </c>
      <c r="C350" s="144">
        <v>46048</v>
      </c>
      <c r="D350" s="6" t="s">
        <v>16</v>
      </c>
      <c r="E350" s="57" t="s">
        <v>187</v>
      </c>
      <c r="F350" s="133" t="s">
        <v>105</v>
      </c>
      <c r="G350" s="133" t="s">
        <v>188</v>
      </c>
      <c r="H350" s="125" t="s">
        <v>189</v>
      </c>
      <c r="I350" s="125" t="s">
        <v>108</v>
      </c>
      <c r="J350" s="138" t="s">
        <v>109</v>
      </c>
      <c r="K350" s="138" t="s">
        <v>110</v>
      </c>
      <c r="L350" s="57" t="s">
        <v>186</v>
      </c>
      <c r="M350" s="93">
        <v>28</v>
      </c>
      <c r="N350" s="93">
        <v>60</v>
      </c>
      <c r="O350" s="57">
        <v>1</v>
      </c>
      <c r="P350" s="130">
        <v>2</v>
      </c>
      <c r="Q350" s="57">
        <v>268</v>
      </c>
      <c r="R350" s="106">
        <v>0.50060000000000004</v>
      </c>
      <c r="S350" s="94">
        <f>((Table3.110[[#This Row],[Sample weight, g]]*'2.1. DM'!Q113)/100)*1000</f>
        <v>474.77549856318888</v>
      </c>
      <c r="T350" s="94">
        <f>'3.2 Digest'!W350</f>
        <v>98.975498563188978</v>
      </c>
      <c r="U350" s="157">
        <v>0.36666666666666664</v>
      </c>
      <c r="V350" s="158">
        <v>41</v>
      </c>
      <c r="W350" s="157">
        <v>0.69374999999999998</v>
      </c>
      <c r="X350" s="107">
        <v>77.5</v>
      </c>
      <c r="Y350" s="107">
        <v>13.5</v>
      </c>
      <c r="Z350" s="158">
        <v>40.5</v>
      </c>
      <c r="AA350" s="157">
        <v>0.3659722222222222</v>
      </c>
      <c r="AB350" s="158">
        <v>89.5</v>
      </c>
      <c r="AC350" s="158">
        <v>14.9</v>
      </c>
      <c r="AD350" s="178"/>
      <c r="AE350" s="94">
        <f>Table3.110[[#This Row],[Gas 8h, ml]]-Table3.110[[#This Row],[Gas 0h, ml]]</f>
        <v>36.5</v>
      </c>
      <c r="AF350" s="94">
        <f>Table3.110[[#This Row],[Gas 24h, ml]]-Table3.110[[#This Row],[V8 Push back, ml]]</f>
        <v>49</v>
      </c>
      <c r="AG350" s="94">
        <f>Table3.110[[#This Row],[GP 8h, ml]]-(AVERAGE(AE$293,AE$294,AE$385,AE$386,AE$477,AE$478))*$AG$8</f>
        <v>35.246240428868305</v>
      </c>
      <c r="AH350" s="94">
        <f>Table3.110[[#This Row],[GP 8-24h, ml]]-(AVERAGE(AF$293,AF$294,AF$385,AF$386,AF$477,AF$478))*$AG$8</f>
        <v>47.00873479879084</v>
      </c>
      <c r="AI350" s="94">
        <f>Table3.110[[#This Row],[Net gas 8-24h, ml]]+Table3.110[[#This Row],[Net gas 8h, ml]]</f>
        <v>82.254975227659145</v>
      </c>
      <c r="AJ350" s="94">
        <f>Table3.110[[#This Row],[Net gas 8h, ml]]*Table3.110[[#This Row],[CH4 8h %]]%</f>
        <v>4.7582424578972216</v>
      </c>
      <c r="AK350" s="94">
        <f>Table3.110[[#This Row],[Net gas 8-24h, ml]]*Table3.110[[#This Row],[CH4 24h, %]]%</f>
        <v>7.0043014850198348</v>
      </c>
      <c r="AL350" s="94">
        <f>Table3.110[[#This Row],[CH4 8-24h, ml]]+Table3.110[[#This Row],[CH4 8h, ml]]</f>
        <v>11.762543942917056</v>
      </c>
      <c r="AM350" s="94">
        <f>(Table3.110[[#This Row],[Net gas 24h, ml]]/Table3.110[[#This Row],[DM Incubated, mg]])*1000</f>
        <v>173.25025296500564</v>
      </c>
      <c r="AN350" s="94">
        <f>'3.2 Digest'!X350</f>
        <v>20.846799984986191</v>
      </c>
      <c r="AO350" s="94">
        <f>Table3.110[[#This Row],[Digested feed, mg]]/Table3.110[[#This Row],[Net gas 24h, ml]]</f>
        <v>1.2032767414889132</v>
      </c>
      <c r="AP350" s="94">
        <f>Table3.110[[#This Row],[CH4 8h, ml]]/Table3.110[[#This Row],[Net gas 8h, ml]]%</f>
        <v>13.500000000000002</v>
      </c>
      <c r="AQ350" s="94">
        <f>Table3.110[[#This Row],[CH4 24h, ml]]/Table3.110[[#This Row],[Net gas 24h, ml]]%</f>
        <v>14.30010028008831</v>
      </c>
      <c r="AR350" s="94">
        <f>Table3.110[[#This Row],[CH4 24h, ml]]/Table3.110[[#This Row],[DM Incubated, mg]]*1000</f>
        <v>24.774959909502478</v>
      </c>
      <c r="AS350" s="94">
        <f>Table3.110[[#This Row],[CH4 24h, ml]]/Table3.110[[#This Row],[Digested feed, mg]]*1000</f>
        <v>118.84298754410911</v>
      </c>
      <c r="AT350" s="94">
        <f>Table3.110[[#This Row],[CH4 24h, ml]]/'3.2 Digest'!AA350</f>
        <v>-0.72288334774215024</v>
      </c>
      <c r="AU350" s="94">
        <f>((Table3.110[[#This Row],[CH4 24h, ml]]/28.9)*16.04)/Table3.110[[#This Row],[DM Incubated, mg]]*1000</f>
        <v>13.750531382298263</v>
      </c>
      <c r="AV350" s="94">
        <f>((Table3.110[[#This Row],[CH4 24h, ml]]/28.9)*16.04)/Table3.110[[#This Row],[Digested feed, mg]]*1000</f>
        <v>65.959914194031498</v>
      </c>
    </row>
    <row r="351" spans="2:49" s="89" customFormat="1" x14ac:dyDescent="0.35">
      <c r="B351" s="90">
        <f t="shared" si="5"/>
        <v>341</v>
      </c>
      <c r="C351" s="140">
        <v>46048</v>
      </c>
      <c r="D351" s="6" t="s">
        <v>16</v>
      </c>
      <c r="E351" s="6" t="s">
        <v>187</v>
      </c>
      <c r="F351" s="133" t="s">
        <v>105</v>
      </c>
      <c r="G351" s="133" t="s">
        <v>188</v>
      </c>
      <c r="H351" s="133" t="s">
        <v>189</v>
      </c>
      <c r="I351" s="125" t="s">
        <v>108</v>
      </c>
      <c r="J351" s="138" t="s">
        <v>109</v>
      </c>
      <c r="K351" s="138" t="s">
        <v>110</v>
      </c>
      <c r="L351" s="6" t="s">
        <v>186</v>
      </c>
      <c r="M351" s="93">
        <v>28</v>
      </c>
      <c r="N351" s="93">
        <v>60</v>
      </c>
      <c r="O351" s="6">
        <v>1</v>
      </c>
      <c r="P351" s="129">
        <v>3</v>
      </c>
      <c r="Q351" s="6">
        <v>269</v>
      </c>
      <c r="R351" s="98">
        <v>0.50009999999999999</v>
      </c>
      <c r="S351" s="94">
        <f>((Table3.110[[#This Row],[Sample weight, g]]*'2.1. DM'!Q113)/100)*1000</f>
        <v>474.30129211236658</v>
      </c>
      <c r="T351" s="94">
        <f>'3.2 Digest'!W351</f>
        <v>133.30129211236664</v>
      </c>
      <c r="U351" s="153">
        <v>0.36666666666666664</v>
      </c>
      <c r="V351" s="154">
        <v>41</v>
      </c>
      <c r="W351" s="153">
        <v>0.69374999999999998</v>
      </c>
      <c r="X351" s="95">
        <v>77</v>
      </c>
      <c r="Y351" s="95">
        <v>13.2</v>
      </c>
      <c r="Z351" s="154">
        <v>40</v>
      </c>
      <c r="AA351" s="153">
        <v>0.3659722222222222</v>
      </c>
      <c r="AB351" s="154">
        <v>89.5</v>
      </c>
      <c r="AC351" s="154">
        <v>14.4</v>
      </c>
      <c r="AD351" s="91"/>
      <c r="AE351" s="94">
        <f>Table3.110[[#This Row],[Gas 8h, ml]]-Table3.110[[#This Row],[Gas 0h, ml]]</f>
        <v>36</v>
      </c>
      <c r="AF351" s="94">
        <f>Table3.110[[#This Row],[Gas 24h, ml]]-Table3.110[[#This Row],[V8 Push back, ml]]</f>
        <v>49.5</v>
      </c>
      <c r="AG351" s="94">
        <f>Table3.110[[#This Row],[GP 8h, ml]]-(AVERAGE(AE$293,AE$294,AE$385,AE$386,AE$477,AE$478))*$AG$8</f>
        <v>34.746240428868305</v>
      </c>
      <c r="AH351" s="94">
        <f>Table3.110[[#This Row],[GP 8-24h, ml]]-(AVERAGE(AF$293,AF$294,AF$385,AF$386,AF$477,AF$478))*$AG$8</f>
        <v>47.50873479879084</v>
      </c>
      <c r="AI351" s="94">
        <f>Table3.110[[#This Row],[Net gas 8-24h, ml]]+Table3.110[[#This Row],[Net gas 8h, ml]]</f>
        <v>82.254975227659145</v>
      </c>
      <c r="AJ351" s="94">
        <f>Table3.110[[#This Row],[Net gas 8h, ml]]*Table3.110[[#This Row],[CH4 8h %]]%</f>
        <v>4.5865037366106165</v>
      </c>
      <c r="AK351" s="94">
        <f>Table3.110[[#This Row],[Net gas 8-24h, ml]]*Table3.110[[#This Row],[CH4 24h, %]]%</f>
        <v>6.8412578110258817</v>
      </c>
      <c r="AL351" s="94">
        <f>Table3.110[[#This Row],[CH4 8-24h, ml]]+Table3.110[[#This Row],[CH4 8h, ml]]</f>
        <v>11.427761547636498</v>
      </c>
      <c r="AM351" s="94">
        <f>(Table3.110[[#This Row],[Net gas 24h, ml]]/Table3.110[[#This Row],[DM Incubated, mg]])*1000</f>
        <v>173.42346857484873</v>
      </c>
      <c r="AN351" s="94">
        <f>'3.2 Digest'!X351</f>
        <v>28.104771024065915</v>
      </c>
      <c r="AO351" s="94">
        <f>Table3.110[[#This Row],[Digested feed, mg]]/Table3.110[[#This Row],[Net gas 24h, ml]]</f>
        <v>1.620586374786757</v>
      </c>
      <c r="AP351" s="94">
        <f>Table3.110[[#This Row],[CH4 8h, ml]]/Table3.110[[#This Row],[Net gas 8h, ml]]%</f>
        <v>13.200000000000001</v>
      </c>
      <c r="AQ351" s="94">
        <f>Table3.110[[#This Row],[CH4 24h, ml]]/Table3.110[[#This Row],[Net gas 24h, ml]]%</f>
        <v>13.893094631671334</v>
      </c>
      <c r="AR351" s="94">
        <f>Table3.110[[#This Row],[CH4 24h, ml]]/Table3.110[[#This Row],[DM Incubated, mg]]*1000</f>
        <v>24.09388660263053</v>
      </c>
      <c r="AS351" s="94">
        <f>Table3.110[[#This Row],[CH4 24h, ml]]/Table3.110[[#This Row],[Digested feed, mg]]*1000</f>
        <v>85.728813026084097</v>
      </c>
      <c r="AT351" s="94">
        <f>Table3.110[[#This Row],[CH4 24h, ml]]/'3.2 Digest'!AA351</f>
        <v>-2.0369821375980766</v>
      </c>
      <c r="AU351" s="94">
        <f>((Table3.110[[#This Row],[CH4 24h, ml]]/28.9)*16.04)/Table3.110[[#This Row],[DM Incubated, mg]]*1000</f>
        <v>13.372523913709125</v>
      </c>
      <c r="AV351" s="94">
        <f>((Table3.110[[#This Row],[CH4 24h, ml]]/28.9)*16.04)/Table3.110[[#This Row],[Digested feed, mg]]*1000</f>
        <v>47.580974426933878</v>
      </c>
    </row>
    <row r="352" spans="2:49" s="89" customFormat="1" x14ac:dyDescent="0.35">
      <c r="B352" s="90">
        <f t="shared" si="5"/>
        <v>342</v>
      </c>
      <c r="C352" s="140">
        <v>46048</v>
      </c>
      <c r="D352" s="6" t="s">
        <v>16</v>
      </c>
      <c r="E352" s="6" t="s">
        <v>193</v>
      </c>
      <c r="F352" s="133" t="s">
        <v>105</v>
      </c>
      <c r="G352" s="133" t="s">
        <v>188</v>
      </c>
      <c r="H352" s="133" t="s">
        <v>189</v>
      </c>
      <c r="I352" s="125" t="s">
        <v>108</v>
      </c>
      <c r="J352" s="138" t="s">
        <v>109</v>
      </c>
      <c r="K352" s="138" t="s">
        <v>110</v>
      </c>
      <c r="L352" s="6" t="s">
        <v>192</v>
      </c>
      <c r="M352" s="93">
        <v>28</v>
      </c>
      <c r="N352" s="93">
        <v>60</v>
      </c>
      <c r="O352" s="6">
        <v>1</v>
      </c>
      <c r="P352" s="129">
        <v>1</v>
      </c>
      <c r="Q352" s="6">
        <v>270</v>
      </c>
      <c r="R352" s="98">
        <v>0.50019999999999998</v>
      </c>
      <c r="S352" s="94">
        <f>((Table3.110[[#This Row],[Sample weight, g]]*'2.1. DM'!Q115)/100)*1000</f>
        <v>475.56995000000012</v>
      </c>
      <c r="T352" s="94">
        <f>'3.2 Digest'!W352</f>
        <v>184.4699500000001</v>
      </c>
      <c r="U352" s="117">
        <v>0.36736111111111114</v>
      </c>
      <c r="V352" s="155">
        <v>40.5</v>
      </c>
      <c r="W352" s="117">
        <v>0.69513888888888886</v>
      </c>
      <c r="X352" s="97">
        <v>73.5</v>
      </c>
      <c r="Y352" s="97">
        <v>13.7</v>
      </c>
      <c r="Z352" s="155">
        <v>40</v>
      </c>
      <c r="AA352" s="117">
        <v>0.36666666666666664</v>
      </c>
      <c r="AB352" s="155">
        <v>90</v>
      </c>
      <c r="AC352" s="155">
        <v>14.6</v>
      </c>
      <c r="AD352" s="96"/>
      <c r="AE352" s="94">
        <f>Table3.110[[#This Row],[Gas 8h, ml]]-Table3.110[[#This Row],[Gas 0h, ml]]</f>
        <v>33</v>
      </c>
      <c r="AF352" s="94">
        <f>Table3.110[[#This Row],[Gas 24h, ml]]-Table3.110[[#This Row],[V8 Push back, ml]]</f>
        <v>50</v>
      </c>
      <c r="AG352" s="94">
        <f>Table3.110[[#This Row],[GP 8h, ml]]-(AVERAGE(AE$293,AE$294,AE$385,AE$386,AE$477,AE$478))*$AG$8</f>
        <v>31.746240428868305</v>
      </c>
      <c r="AH352" s="94">
        <f>Table3.110[[#This Row],[GP 8-24h, ml]]-(AVERAGE(AF$293,AF$294,AF$385,AF$386,AF$477,AF$478))*$AG$8</f>
        <v>48.00873479879084</v>
      </c>
      <c r="AI352" s="94">
        <f>Table3.110[[#This Row],[Net gas 8-24h, ml]]+Table3.110[[#This Row],[Net gas 8h, ml]]</f>
        <v>79.754975227659145</v>
      </c>
      <c r="AJ352" s="94">
        <f>Table3.110[[#This Row],[Net gas 8h, ml]]*Table3.110[[#This Row],[CH4 8h %]]%</f>
        <v>4.3492349387549574</v>
      </c>
      <c r="AK352" s="94">
        <f>Table3.110[[#This Row],[Net gas 8-24h, ml]]*Table3.110[[#This Row],[CH4 24h, %]]%</f>
        <v>7.0092752806234619</v>
      </c>
      <c r="AL352" s="94">
        <f>Table3.110[[#This Row],[CH4 8-24h, ml]]+Table3.110[[#This Row],[CH4 8h, ml]]</f>
        <v>11.35851021937842</v>
      </c>
      <c r="AM352" s="94">
        <f>(Table3.110[[#This Row],[Net gas 24h, ml]]/Table3.110[[#This Row],[DM Incubated, mg]])*1000</f>
        <v>167.70398387799551</v>
      </c>
      <c r="AN352" s="94">
        <f>'3.2 Digest'!X352</f>
        <v>38.78923594730913</v>
      </c>
      <c r="AO352" s="94">
        <f>Table3.110[[#This Row],[Digested feed, mg]]/Table3.110[[#This Row],[Net gas 24h, ml]]</f>
        <v>2.3129585267054993</v>
      </c>
      <c r="AP352" s="94">
        <f>Table3.110[[#This Row],[CH4 8h, ml]]/Table3.110[[#This Row],[Net gas 8h, ml]]%</f>
        <v>13.7</v>
      </c>
      <c r="AQ352" s="94">
        <f>Table3.110[[#This Row],[CH4 24h, ml]]/Table3.110[[#This Row],[Net gas 24h, ml]]%</f>
        <v>14.241757566792238</v>
      </c>
      <c r="AR352" s="94">
        <f>Table3.110[[#This Row],[CH4 24h, ml]]/Table3.110[[#This Row],[DM Incubated, mg]]*1000</f>
        <v>23.883994813756455</v>
      </c>
      <c r="AS352" s="94">
        <f>Table3.110[[#This Row],[CH4 24h, ml]]/Table3.110[[#This Row],[Digested feed, mg]]*1000</f>
        <v>61.573769708174225</v>
      </c>
      <c r="AT352" s="94">
        <f>Table3.110[[#This Row],[CH4 24h, ml]]/'3.2 Digest'!AA352</f>
        <v>1.0921759022800521</v>
      </c>
      <c r="AU352" s="94">
        <f>((Table3.110[[#This Row],[CH4 24h, ml]]/28.9)*16.04)/Table3.110[[#This Row],[DM Incubated, mg]]*1000</f>
        <v>13.256030339538185</v>
      </c>
      <c r="AV352" s="94">
        <f>((Table3.110[[#This Row],[CH4 24h, ml]]/28.9)*16.04)/Table3.110[[#This Row],[Digested feed, mg]]*1000</f>
        <v>34.17450747817005</v>
      </c>
    </row>
    <row r="353" spans="2:49" s="89" customFormat="1" x14ac:dyDescent="0.35">
      <c r="B353" s="90">
        <f t="shared" si="5"/>
        <v>343</v>
      </c>
      <c r="C353" s="140">
        <v>46048</v>
      </c>
      <c r="D353" s="6" t="s">
        <v>16</v>
      </c>
      <c r="E353" s="6" t="s">
        <v>193</v>
      </c>
      <c r="F353" s="133" t="s">
        <v>105</v>
      </c>
      <c r="G353" s="133" t="s">
        <v>188</v>
      </c>
      <c r="H353" s="133" t="s">
        <v>189</v>
      </c>
      <c r="I353" s="125" t="s">
        <v>108</v>
      </c>
      <c r="J353" s="138" t="s">
        <v>109</v>
      </c>
      <c r="K353" s="138" t="s">
        <v>110</v>
      </c>
      <c r="L353" s="6" t="s">
        <v>192</v>
      </c>
      <c r="M353" s="93">
        <v>28</v>
      </c>
      <c r="N353" s="93">
        <v>60</v>
      </c>
      <c r="O353" s="6">
        <v>1</v>
      </c>
      <c r="P353" s="129">
        <v>2</v>
      </c>
      <c r="Q353" s="6">
        <v>271</v>
      </c>
      <c r="R353" s="98">
        <v>0.50039999999999996</v>
      </c>
      <c r="S353" s="94">
        <f>((Table3.110[[#This Row],[Sample weight, g]]*'2.1. DM'!Q115)/100)*1000</f>
        <v>475.7601019192324</v>
      </c>
      <c r="T353" s="94">
        <f>'3.2 Digest'!W353</f>
        <v>112.56010191923241</v>
      </c>
      <c r="U353" s="153">
        <v>0.36736111111111114</v>
      </c>
      <c r="V353" s="155">
        <v>40.5</v>
      </c>
      <c r="W353" s="153">
        <v>0.69513888888888886</v>
      </c>
      <c r="X353" s="95">
        <v>74.5</v>
      </c>
      <c r="Y353" s="95">
        <v>14</v>
      </c>
      <c r="Z353" s="154">
        <v>40</v>
      </c>
      <c r="AA353" s="153">
        <v>0.36666666666666664</v>
      </c>
      <c r="AB353" s="154">
        <v>89.5</v>
      </c>
      <c r="AC353" s="154">
        <v>14.7</v>
      </c>
      <c r="AD353" s="91"/>
      <c r="AE353" s="94">
        <f>Table3.110[[#This Row],[Gas 8h, ml]]-Table3.110[[#This Row],[Gas 0h, ml]]</f>
        <v>34</v>
      </c>
      <c r="AF353" s="94">
        <f>Table3.110[[#This Row],[Gas 24h, ml]]-Table3.110[[#This Row],[V8 Push back, ml]]</f>
        <v>49.5</v>
      </c>
      <c r="AG353" s="94">
        <f>Table3.110[[#This Row],[GP 8h, ml]]-(AVERAGE(AE$293,AE$294,AE$385,AE$386,AE$477,AE$478))*$AG$8</f>
        <v>32.746240428868305</v>
      </c>
      <c r="AH353" s="94">
        <f>Table3.110[[#This Row],[GP 8-24h, ml]]-(AVERAGE(AF$293,AF$294,AF$385,AF$386,AF$477,AF$478))*$AG$8</f>
        <v>47.50873479879084</v>
      </c>
      <c r="AI353" s="94">
        <f>Table3.110[[#This Row],[Net gas 8-24h, ml]]+Table3.110[[#This Row],[Net gas 8h, ml]]</f>
        <v>80.254975227659145</v>
      </c>
      <c r="AJ353" s="94">
        <f>Table3.110[[#This Row],[Net gas 8h, ml]]*Table3.110[[#This Row],[CH4 8h %]]%</f>
        <v>4.5844736600415628</v>
      </c>
      <c r="AK353" s="94">
        <f>Table3.110[[#This Row],[Net gas 8-24h, ml]]*Table3.110[[#This Row],[CH4 24h, %]]%</f>
        <v>6.9837840154222528</v>
      </c>
      <c r="AL353" s="94">
        <f>Table3.110[[#This Row],[CH4 8-24h, ml]]+Table3.110[[#This Row],[CH4 8h, ml]]</f>
        <v>11.568257675463816</v>
      </c>
      <c r="AM353" s="94">
        <f>(Table3.110[[#This Row],[Net gas 24h, ml]]/Table3.110[[#This Row],[DM Incubated, mg]])*1000</f>
        <v>168.68790574053571</v>
      </c>
      <c r="AN353" s="94">
        <f>'3.2 Digest'!X353</f>
        <v>23.659004078980381</v>
      </c>
      <c r="AO353" s="94">
        <f>Table3.110[[#This Row],[Digested feed, mg]]/Table3.110[[#This Row],[Net gas 24h, ml]]</f>
        <v>1.4025311402805043</v>
      </c>
      <c r="AP353" s="94">
        <f>Table3.110[[#This Row],[CH4 8h, ml]]/Table3.110[[#This Row],[Net gas 8h, ml]]%</f>
        <v>14</v>
      </c>
      <c r="AQ353" s="94">
        <f>Table3.110[[#This Row],[CH4 24h, ml]]/Table3.110[[#This Row],[Net gas 24h, ml]]%</f>
        <v>14.414380719261528</v>
      </c>
      <c r="AR353" s="94">
        <f>Table3.110[[#This Row],[CH4 24h, ml]]/Table3.110[[#This Row],[DM Incubated, mg]]*1000</f>
        <v>24.315316960789843</v>
      </c>
      <c r="AS353" s="94">
        <f>Table3.110[[#This Row],[CH4 24h, ml]]/Table3.110[[#This Row],[Digested feed, mg]]*1000</f>
        <v>102.77405117991655</v>
      </c>
      <c r="AT353" s="94">
        <f>Table3.110[[#This Row],[CH4 24h, ml]]/'3.2 Digest'!AA353</f>
        <v>-0.98472605447762174</v>
      </c>
      <c r="AU353" s="94">
        <f>((Table3.110[[#This Row],[CH4 24h, ml]]/28.9)*16.04)/Table3.110[[#This Row],[DM Incubated, mg]]*1000</f>
        <v>13.495421593462597</v>
      </c>
      <c r="AV353" s="94">
        <f>((Table3.110[[#This Row],[CH4 24h, ml]]/28.9)*16.04)/Table3.110[[#This Row],[Digested feed, mg]]*1000</f>
        <v>57.041376502624971</v>
      </c>
    </row>
    <row r="354" spans="2:49" s="89" customFormat="1" x14ac:dyDescent="0.35">
      <c r="B354" s="90">
        <f t="shared" si="5"/>
        <v>344</v>
      </c>
      <c r="C354" s="140">
        <v>46048</v>
      </c>
      <c r="D354" s="6" t="s">
        <v>16</v>
      </c>
      <c r="E354" s="6" t="s">
        <v>193</v>
      </c>
      <c r="F354" s="133" t="s">
        <v>105</v>
      </c>
      <c r="G354" s="133" t="s">
        <v>188</v>
      </c>
      <c r="H354" s="133" t="s">
        <v>189</v>
      </c>
      <c r="I354" s="125" t="s">
        <v>108</v>
      </c>
      <c r="J354" s="138" t="s">
        <v>109</v>
      </c>
      <c r="K354" s="138" t="s">
        <v>110</v>
      </c>
      <c r="L354" s="6" t="s">
        <v>192</v>
      </c>
      <c r="M354" s="93">
        <v>28</v>
      </c>
      <c r="N354" s="93">
        <v>60</v>
      </c>
      <c r="O354" s="6">
        <v>1</v>
      </c>
      <c r="P354" s="129">
        <v>3</v>
      </c>
      <c r="Q354" s="6">
        <v>272</v>
      </c>
      <c r="R354" s="98">
        <v>0.50039999999999996</v>
      </c>
      <c r="S354" s="94">
        <f>((Table3.110[[#This Row],[Sample weight, g]]*'2.1. DM'!Q115)/100)*1000</f>
        <v>475.7601019192324</v>
      </c>
      <c r="T354" s="94">
        <f>'3.2 Digest'!W354</f>
        <v>158.76010191923234</v>
      </c>
      <c r="U354" s="117">
        <v>0.36805555555555558</v>
      </c>
      <c r="V354" s="155">
        <v>40.5</v>
      </c>
      <c r="W354" s="117">
        <v>0.6958333333333333</v>
      </c>
      <c r="X354" s="97">
        <v>74.5</v>
      </c>
      <c r="Y354" s="97">
        <v>13.9</v>
      </c>
      <c r="Z354" s="155">
        <v>40</v>
      </c>
      <c r="AA354" s="117">
        <v>0.36736111111111114</v>
      </c>
      <c r="AB354" s="155">
        <v>92.5</v>
      </c>
      <c r="AC354" s="155">
        <v>14.7</v>
      </c>
      <c r="AD354" s="96"/>
      <c r="AE354" s="94">
        <f>Table3.110[[#This Row],[Gas 8h, ml]]-Table3.110[[#This Row],[Gas 0h, ml]]</f>
        <v>34</v>
      </c>
      <c r="AF354" s="94">
        <f>Table3.110[[#This Row],[Gas 24h, ml]]-Table3.110[[#This Row],[V8 Push back, ml]]</f>
        <v>52.5</v>
      </c>
      <c r="AG354" s="94">
        <f>Table3.110[[#This Row],[GP 8h, ml]]-(AVERAGE(AE$293,AE$294,AE$385,AE$386,AE$477,AE$478))*$AG$8</f>
        <v>32.746240428868305</v>
      </c>
      <c r="AH354" s="94">
        <f>Table3.110[[#This Row],[GP 8-24h, ml]]-(AVERAGE(AF$293,AF$294,AF$385,AF$386,AF$477,AF$478))*$AG$8</f>
        <v>50.50873479879084</v>
      </c>
      <c r="AI354" s="94">
        <f>Table3.110[[#This Row],[Net gas 8-24h, ml]]+Table3.110[[#This Row],[Net gas 8h, ml]]</f>
        <v>83.254975227659145</v>
      </c>
      <c r="AJ354" s="94">
        <f>Table3.110[[#This Row],[Net gas 8h, ml]]*Table3.110[[#This Row],[CH4 8h %]]%</f>
        <v>4.5517274196126944</v>
      </c>
      <c r="AK354" s="94">
        <f>Table3.110[[#This Row],[Net gas 8-24h, ml]]*Table3.110[[#This Row],[CH4 24h, %]]%</f>
        <v>7.4247840154222535</v>
      </c>
      <c r="AL354" s="94">
        <f>Table3.110[[#This Row],[CH4 8-24h, ml]]+Table3.110[[#This Row],[CH4 8h, ml]]</f>
        <v>11.976511435034947</v>
      </c>
      <c r="AM354" s="94">
        <f>(Table3.110[[#This Row],[Net gas 24h, ml]]/Table3.110[[#This Row],[DM Incubated, mg]])*1000</f>
        <v>174.99360474282258</v>
      </c>
      <c r="AN354" s="94">
        <f>'3.2 Digest'!X354</f>
        <v>33.369780542502134</v>
      </c>
      <c r="AO354" s="94">
        <f>Table3.110[[#This Row],[Digested feed, mg]]/Table3.110[[#This Row],[Net gas 24h, ml]]</f>
        <v>1.906914289327525</v>
      </c>
      <c r="AP354" s="94">
        <f>Table3.110[[#This Row],[CH4 8h, ml]]/Table3.110[[#This Row],[Net gas 8h, ml]]%</f>
        <v>13.9</v>
      </c>
      <c r="AQ354" s="94">
        <f>Table3.110[[#This Row],[CH4 24h, ml]]/Table3.110[[#This Row],[Net gas 24h, ml]]%</f>
        <v>14.385340218149612</v>
      </c>
      <c r="AR354" s="94">
        <f>Table3.110[[#This Row],[CH4 24h, ml]]/Table3.110[[#This Row],[DM Incubated, mg]]*1000</f>
        <v>25.173425402259024</v>
      </c>
      <c r="AS354" s="94">
        <f>Table3.110[[#This Row],[CH4 24h, ml]]/Table3.110[[#This Row],[Digested feed, mg]]*1000</f>
        <v>75.437791298016933</v>
      </c>
      <c r="AT354" s="94">
        <f>Table3.110[[#This Row],[CH4 24h, ml]]/'3.2 Digest'!AA354</f>
        <v>4.8548627092239798</v>
      </c>
      <c r="AU354" s="94">
        <f>((Table3.110[[#This Row],[CH4 24h, ml]]/28.9)*16.04)/Table3.110[[#This Row],[DM Incubated, mg]]*1000</f>
        <v>13.971686624644802</v>
      </c>
      <c r="AV354" s="94">
        <f>((Table3.110[[#This Row],[CH4 24h, ml]]/28.9)*16.04)/Table3.110[[#This Row],[Digested feed, mg]]*1000</f>
        <v>41.869279322497981</v>
      </c>
    </row>
    <row r="355" spans="2:49" s="89" customFormat="1" x14ac:dyDescent="0.35">
      <c r="B355" s="90">
        <f t="shared" si="5"/>
        <v>345</v>
      </c>
      <c r="C355" s="140">
        <v>46048</v>
      </c>
      <c r="D355" s="6" t="s">
        <v>16</v>
      </c>
      <c r="E355" s="6" t="s">
        <v>195</v>
      </c>
      <c r="F355" s="133" t="s">
        <v>105</v>
      </c>
      <c r="G355" s="133" t="s">
        <v>188</v>
      </c>
      <c r="H355" s="133" t="s">
        <v>189</v>
      </c>
      <c r="I355" s="125" t="s">
        <v>108</v>
      </c>
      <c r="J355" s="138" t="s">
        <v>109</v>
      </c>
      <c r="K355" s="138" t="s">
        <v>110</v>
      </c>
      <c r="L355" s="6" t="s">
        <v>194</v>
      </c>
      <c r="M355" s="93">
        <v>28</v>
      </c>
      <c r="N355" s="93">
        <v>60</v>
      </c>
      <c r="O355" s="6">
        <v>1</v>
      </c>
      <c r="P355" s="129">
        <v>1</v>
      </c>
      <c r="Q355" s="6">
        <v>3</v>
      </c>
      <c r="R355" s="98">
        <v>0.50009999999999999</v>
      </c>
      <c r="S355" s="94">
        <f>((Table3.110[[#This Row],[Sample weight, g]]*'2.1. DM'!Q117)/100)*1000</f>
        <v>480.19901759823972</v>
      </c>
      <c r="T355" s="94">
        <f>'3.2 Digest'!W355</f>
        <v>126.09901759823975</v>
      </c>
      <c r="U355" s="117">
        <v>0.36805555555555558</v>
      </c>
      <c r="V355" s="155">
        <v>40.5</v>
      </c>
      <c r="W355" s="117">
        <v>0.69652777777777775</v>
      </c>
      <c r="X355" s="97">
        <v>73.5</v>
      </c>
      <c r="Y355" s="97">
        <v>14</v>
      </c>
      <c r="Z355" s="155">
        <v>40</v>
      </c>
      <c r="AA355" s="117">
        <v>0.36736111111111114</v>
      </c>
      <c r="AB355" s="155">
        <v>88</v>
      </c>
      <c r="AC355" s="155">
        <v>14.7</v>
      </c>
      <c r="AD355" s="103"/>
      <c r="AE355" s="94">
        <f>Table3.110[[#This Row],[Gas 8h, ml]]-Table3.110[[#This Row],[Gas 0h, ml]]</f>
        <v>33</v>
      </c>
      <c r="AF355" s="94">
        <f>Table3.110[[#This Row],[Gas 24h, ml]]-Table3.110[[#This Row],[V8 Push back, ml]]</f>
        <v>48</v>
      </c>
      <c r="AG355" s="94">
        <f>Table3.110[[#This Row],[GP 8h, ml]]-(AVERAGE(AE$293,AE$294,AE$385,AE$386,AE$477,AE$478))*$AG$8</f>
        <v>31.746240428868305</v>
      </c>
      <c r="AH355" s="94">
        <f>Table3.110[[#This Row],[GP 8-24h, ml]]-(AVERAGE(AF$293,AF$294,AF$385,AF$386,AF$477,AF$478))*$AG$8</f>
        <v>46.00873479879084</v>
      </c>
      <c r="AI355" s="94">
        <f>Table3.110[[#This Row],[Net gas 8-24h, ml]]+Table3.110[[#This Row],[Net gas 8h, ml]]</f>
        <v>77.754975227659145</v>
      </c>
      <c r="AJ355" s="94">
        <f>Table3.110[[#This Row],[Net gas 8h, ml]]*Table3.110[[#This Row],[CH4 8h %]]%</f>
        <v>4.4444736600415631</v>
      </c>
      <c r="AK355" s="94">
        <f>Table3.110[[#This Row],[Net gas 8-24h, ml]]*Table3.110[[#This Row],[CH4 24h, %]]%</f>
        <v>6.7632840154222533</v>
      </c>
      <c r="AL355" s="94">
        <f>Table3.110[[#This Row],[CH4 8-24h, ml]]+Table3.110[[#This Row],[CH4 8h, ml]]</f>
        <v>11.207757675463817</v>
      </c>
      <c r="AM355" s="94">
        <f>(Table3.110[[#This Row],[Net gas 24h, ml]]/Table3.110[[#This Row],[DM Incubated, mg]])*1000</f>
        <v>161.92239546127755</v>
      </c>
      <c r="AN355" s="94">
        <f>'3.2 Digest'!X355</f>
        <v>26.259740852643926</v>
      </c>
      <c r="AO355" s="94">
        <f>Table3.110[[#This Row],[Digested feed, mg]]/Table3.110[[#This Row],[Net gas 24h, ml]]</f>
        <v>1.6217485405793504</v>
      </c>
      <c r="AP355" s="94">
        <f>Table3.110[[#This Row],[CH4 8h, ml]]/Table3.110[[#This Row],[Net gas 8h, ml]]%</f>
        <v>14.000000000000002</v>
      </c>
      <c r="AQ355" s="94">
        <f>Table3.110[[#This Row],[CH4 24h, ml]]/Table3.110[[#This Row],[Net gas 24h, ml]]%</f>
        <v>14.414200046554672</v>
      </c>
      <c r="AR355" s="94">
        <f>Table3.110[[#This Row],[CH4 24h, ml]]/Table3.110[[#This Row],[DM Incubated, mg]]*1000</f>
        <v>23.339818001961905</v>
      </c>
      <c r="AS355" s="94">
        <f>Table3.110[[#This Row],[CH4 24h, ml]]/Table3.110[[#This Row],[Digested feed, mg]]*1000</f>
        <v>88.880610562506618</v>
      </c>
      <c r="AT355" s="94">
        <f>Table3.110[[#This Row],[CH4 24h, ml]]/'3.2 Digest'!AA355</f>
        <v>-1.2894158555470401</v>
      </c>
      <c r="AU355" s="94">
        <f>((Table3.110[[#This Row],[CH4 24h, ml]]/28.9)*16.04)/Table3.110[[#This Row],[DM Incubated, mg]]*1000</f>
        <v>12.954002794168476</v>
      </c>
      <c r="AV355" s="94">
        <f>((Table3.110[[#This Row],[CH4 24h, ml]]/28.9)*16.04)/Table3.110[[#This Row],[Digested feed, mg]]*1000</f>
        <v>49.330276589017515</v>
      </c>
    </row>
    <row r="356" spans="2:49" s="89" customFormat="1" x14ac:dyDescent="0.35">
      <c r="B356" s="90">
        <f t="shared" si="5"/>
        <v>346</v>
      </c>
      <c r="C356" s="140">
        <v>46048</v>
      </c>
      <c r="D356" s="6" t="s">
        <v>16</v>
      </c>
      <c r="E356" s="6" t="s">
        <v>195</v>
      </c>
      <c r="F356" s="133" t="s">
        <v>105</v>
      </c>
      <c r="G356" s="133" t="s">
        <v>188</v>
      </c>
      <c r="H356" s="133" t="s">
        <v>189</v>
      </c>
      <c r="I356" s="125" t="s">
        <v>108</v>
      </c>
      <c r="J356" s="138" t="s">
        <v>109</v>
      </c>
      <c r="K356" s="138" t="s">
        <v>110</v>
      </c>
      <c r="L356" s="6" t="s">
        <v>194</v>
      </c>
      <c r="M356" s="93">
        <v>28</v>
      </c>
      <c r="N356" s="93">
        <v>60</v>
      </c>
      <c r="O356" s="6">
        <v>1</v>
      </c>
      <c r="P356" s="129">
        <v>2</v>
      </c>
      <c r="Q356" s="6">
        <v>4</v>
      </c>
      <c r="R356" s="98">
        <v>0.50029999999999997</v>
      </c>
      <c r="S356" s="94">
        <f>((Table3.110[[#This Row],[Sample weight, g]]*'2.1. DM'!Q117)/100)*1000</f>
        <v>480.39105879703925</v>
      </c>
      <c r="T356" s="94">
        <f>'3.2 Digest'!W356</f>
        <v>178.1910587970392</v>
      </c>
      <c r="U356" s="117">
        <v>0.36805555555555558</v>
      </c>
      <c r="V356" s="155">
        <v>41</v>
      </c>
      <c r="W356" s="117">
        <v>0.69652777777777775</v>
      </c>
      <c r="X356" s="97">
        <v>66.5</v>
      </c>
      <c r="Y356" s="97">
        <v>13.9</v>
      </c>
      <c r="Z356" s="155">
        <v>34</v>
      </c>
      <c r="AA356" s="117">
        <v>0.36805555555555558</v>
      </c>
      <c r="AB356" s="155">
        <v>78</v>
      </c>
      <c r="AC356" s="155">
        <v>14.4</v>
      </c>
      <c r="AD356" s="96" t="s">
        <v>560</v>
      </c>
      <c r="AE356" s="94">
        <f>Table3.110[[#This Row],[Gas 8h, ml]]-Table3.110[[#This Row],[Gas 0h, ml]]</f>
        <v>25.5</v>
      </c>
      <c r="AF356" s="94">
        <f>Table3.110[[#This Row],[Gas 24h, ml]]-Table3.110[[#This Row],[V8 Push back, ml]]</f>
        <v>44</v>
      </c>
      <c r="AG356" s="94">
        <f>Table3.110[[#This Row],[GP 8h, ml]]-(AVERAGE(AE$293,AE$294,AE$385,AE$386,AE$477,AE$478))*$AG$8</f>
        <v>24.246240428868305</v>
      </c>
      <c r="AH356" s="94">
        <f>Table3.110[[#This Row],[GP 8-24h, ml]]-(AVERAGE(AF$293,AF$294,AF$385,AF$386,AF$477,AF$478))*$AG$8</f>
        <v>42.00873479879084</v>
      </c>
      <c r="AI356" s="94">
        <f>Table3.110[[#This Row],[Net gas 8-24h, ml]]+Table3.110[[#This Row],[Net gas 8h, ml]]</f>
        <v>66.254975227659145</v>
      </c>
      <c r="AJ356" s="94">
        <f>Table3.110[[#This Row],[Net gas 8h, ml]]*Table3.110[[#This Row],[CH4 8h %]]%</f>
        <v>3.3702274196126947</v>
      </c>
      <c r="AK356" s="94">
        <f>Table3.110[[#This Row],[Net gas 8-24h, ml]]*Table3.110[[#This Row],[CH4 24h, %]]%</f>
        <v>6.0492578110258819</v>
      </c>
      <c r="AL356" s="94">
        <f>Table3.110[[#This Row],[CH4 8-24h, ml]]+Table3.110[[#This Row],[CH4 8h, ml]]</f>
        <v>9.4194852306385766</v>
      </c>
      <c r="AM356" s="94">
        <f>(Table3.110[[#This Row],[Net gas 24h, ml]]/Table3.110[[#This Row],[DM Incubated, mg]])*1000</f>
        <v>137.91883511231472</v>
      </c>
      <c r="AN356" s="94">
        <f>'3.2 Digest'!X356</f>
        <v>37.09291743340362</v>
      </c>
      <c r="AO356" s="94">
        <f>Table3.110[[#This Row],[Digested feed, mg]]/Table3.110[[#This Row],[Net gas 24h, ml]]</f>
        <v>2.6894743856556547</v>
      </c>
      <c r="AP356" s="94">
        <f>Table3.110[[#This Row],[CH4 8h, ml]]/Table3.110[[#This Row],[Net gas 8h, ml]]%</f>
        <v>13.900000000000002</v>
      </c>
      <c r="AQ356" s="94">
        <f>Table3.110[[#This Row],[CH4 24h, ml]]/Table3.110[[#This Row],[Net gas 24h, ml]]%</f>
        <v>14.217023247344406</v>
      </c>
      <c r="AR356" s="94">
        <f>Table3.110[[#This Row],[CH4 24h, ml]]/Table3.110[[#This Row],[DM Incubated, mg]]*1000</f>
        <v>19.607952850384383</v>
      </c>
      <c r="AS356" s="94">
        <f>Table3.110[[#This Row],[CH4 24h, ml]]/Table3.110[[#This Row],[Digested feed, mg]]*1000</f>
        <v>52.861716486950293</v>
      </c>
      <c r="AT356" s="94">
        <f>Table3.110[[#This Row],[CH4 24h, ml]]/'3.2 Digest'!AA356</f>
        <v>1.2946265568801145</v>
      </c>
      <c r="AU356" s="94">
        <f>((Table3.110[[#This Row],[CH4 24h, ml]]/28.9)*16.04)/Table3.110[[#This Row],[DM Incubated, mg]]*1000</f>
        <v>10.88275306990192</v>
      </c>
      <c r="AV356" s="94">
        <f>((Table3.110[[#This Row],[CH4 24h, ml]]/28.9)*16.04)/Table3.110[[#This Row],[Digested feed, mg]]*1000</f>
        <v>29.339167212826393</v>
      </c>
    </row>
    <row r="357" spans="2:49" s="89" customFormat="1" x14ac:dyDescent="0.35">
      <c r="B357" s="90">
        <f t="shared" si="5"/>
        <v>347</v>
      </c>
      <c r="C357" s="140">
        <v>46048</v>
      </c>
      <c r="D357" s="6" t="s">
        <v>16</v>
      </c>
      <c r="E357" s="6" t="s">
        <v>195</v>
      </c>
      <c r="F357" s="133" t="s">
        <v>105</v>
      </c>
      <c r="G357" s="133" t="s">
        <v>188</v>
      </c>
      <c r="H357" s="133" t="s">
        <v>189</v>
      </c>
      <c r="I357" s="125" t="s">
        <v>108</v>
      </c>
      <c r="J357" s="138" t="s">
        <v>109</v>
      </c>
      <c r="K357" s="138" t="s">
        <v>110</v>
      </c>
      <c r="L357" s="6" t="s">
        <v>194</v>
      </c>
      <c r="M357" s="93">
        <v>28</v>
      </c>
      <c r="N357" s="93">
        <v>60</v>
      </c>
      <c r="O357" s="6">
        <v>1</v>
      </c>
      <c r="P357" s="129">
        <v>3</v>
      </c>
      <c r="Q357" s="6">
        <v>5</v>
      </c>
      <c r="R357" s="98">
        <v>0.50009999999999999</v>
      </c>
      <c r="S357" s="94">
        <f>((Table3.110[[#This Row],[Sample weight, g]]*'2.1. DM'!Q117)/100)*1000</f>
        <v>480.19901759823972</v>
      </c>
      <c r="T357" s="94">
        <f>'3.2 Digest'!W357</f>
        <v>177.89901759823971</v>
      </c>
      <c r="U357" s="153">
        <v>0.36875000000000002</v>
      </c>
      <c r="V357" s="155">
        <v>39</v>
      </c>
      <c r="W357" s="153">
        <v>0.69722222222222219</v>
      </c>
      <c r="X357" s="95">
        <v>72.5</v>
      </c>
      <c r="Y357" s="95">
        <v>13.8</v>
      </c>
      <c r="Z357" s="154">
        <v>37.5</v>
      </c>
      <c r="AA357" s="153">
        <v>0.36805555555555558</v>
      </c>
      <c r="AB357" s="154">
        <v>85</v>
      </c>
      <c r="AC357" s="154">
        <v>14.8</v>
      </c>
      <c r="AD357" s="91"/>
      <c r="AE357" s="94">
        <f>Table3.110[[#This Row],[Gas 8h, ml]]-Table3.110[[#This Row],[Gas 0h, ml]]</f>
        <v>33.5</v>
      </c>
      <c r="AF357" s="94">
        <f>Table3.110[[#This Row],[Gas 24h, ml]]-Table3.110[[#This Row],[V8 Push back, ml]]</f>
        <v>47.5</v>
      </c>
      <c r="AG357" s="94">
        <f>Table3.110[[#This Row],[GP 8h, ml]]-(AVERAGE(AE$293,AE$294,AE$385,AE$386,AE$477,AE$478))*$AG$8</f>
        <v>32.246240428868305</v>
      </c>
      <c r="AH357" s="94">
        <f>Table3.110[[#This Row],[GP 8-24h, ml]]-(AVERAGE(AF$293,AF$294,AF$385,AF$386,AF$477,AF$478))*$AG$8</f>
        <v>45.50873479879084</v>
      </c>
      <c r="AI357" s="94">
        <f>Table3.110[[#This Row],[Net gas 8-24h, ml]]+Table3.110[[#This Row],[Net gas 8h, ml]]</f>
        <v>77.754975227659145</v>
      </c>
      <c r="AJ357" s="94">
        <f>Table3.110[[#This Row],[Net gas 8h, ml]]*Table3.110[[#This Row],[CH4 8h %]]%</f>
        <v>4.4499811791838262</v>
      </c>
      <c r="AK357" s="94">
        <f>Table3.110[[#This Row],[Net gas 8-24h, ml]]*Table3.110[[#This Row],[CH4 24h, %]]%</f>
        <v>6.7352927502210456</v>
      </c>
      <c r="AL357" s="94">
        <f>Table3.110[[#This Row],[CH4 8-24h, ml]]+Table3.110[[#This Row],[CH4 8h, ml]]</f>
        <v>11.185273929404872</v>
      </c>
      <c r="AM357" s="94">
        <f>(Table3.110[[#This Row],[Net gas 24h, ml]]/Table3.110[[#This Row],[DM Incubated, mg]])*1000</f>
        <v>161.92239546127755</v>
      </c>
      <c r="AN357" s="94">
        <f>'3.2 Digest'!X357</f>
        <v>37.046934932940573</v>
      </c>
      <c r="AO357" s="94">
        <f>Table3.110[[#This Row],[Digested feed, mg]]/Table3.110[[#This Row],[Net gas 24h, ml]]</f>
        <v>2.2879438528193003</v>
      </c>
      <c r="AP357" s="94">
        <f>Table3.110[[#This Row],[CH4 8h, ml]]/Table3.110[[#This Row],[Net gas 8h, ml]]%</f>
        <v>13.8</v>
      </c>
      <c r="AQ357" s="94">
        <f>Table3.110[[#This Row],[CH4 24h, ml]]/Table3.110[[#This Row],[Net gas 24h, ml]]%</f>
        <v>14.385283895539105</v>
      </c>
      <c r="AR357" s="94">
        <f>Table3.110[[#This Row],[CH4 24h, ml]]/Table3.110[[#This Row],[DM Incubated, mg]]*1000</f>
        <v>23.292996277562303</v>
      </c>
      <c r="AS357" s="94">
        <f>Table3.110[[#This Row],[CH4 24h, ml]]/Table3.110[[#This Row],[Digested feed, mg]]*1000</f>
        <v>62.874287224369411</v>
      </c>
      <c r="AT357" s="94">
        <f>Table3.110[[#This Row],[CH4 24h, ml]]/'3.2 Digest'!AA357</f>
        <v>1.5517743595873588</v>
      </c>
      <c r="AU357" s="94">
        <f>((Table3.110[[#This Row],[CH4 24h, ml]]/28.9)*16.04)/Table3.110[[#This Row],[DM Incubated, mg]]*1000</f>
        <v>12.92801592706226</v>
      </c>
      <c r="AV357" s="94">
        <f>((Table3.110[[#This Row],[CH4 24h, ml]]/28.9)*16.04)/Table3.110[[#This Row],[Digested feed, mg]]*1000</f>
        <v>34.896317199961423</v>
      </c>
    </row>
    <row r="358" spans="2:49" s="89" customFormat="1" x14ac:dyDescent="0.35">
      <c r="B358" s="90">
        <f t="shared" si="5"/>
        <v>348</v>
      </c>
      <c r="C358" s="140">
        <v>46048</v>
      </c>
      <c r="D358" s="6" t="s">
        <v>16</v>
      </c>
      <c r="E358" s="6" t="s">
        <v>197</v>
      </c>
      <c r="F358" s="133" t="s">
        <v>105</v>
      </c>
      <c r="G358" s="133" t="s">
        <v>188</v>
      </c>
      <c r="H358" s="133" t="s">
        <v>189</v>
      </c>
      <c r="I358" s="125" t="s">
        <v>108</v>
      </c>
      <c r="J358" s="138" t="s">
        <v>109</v>
      </c>
      <c r="K358" s="138" t="s">
        <v>110</v>
      </c>
      <c r="L358" s="6" t="s">
        <v>196</v>
      </c>
      <c r="M358" s="93">
        <v>28</v>
      </c>
      <c r="N358" s="93">
        <v>60</v>
      </c>
      <c r="O358" s="6">
        <v>1</v>
      </c>
      <c r="P358" s="129">
        <v>1</v>
      </c>
      <c r="Q358" s="6">
        <v>6</v>
      </c>
      <c r="R358" s="98">
        <v>0.50039999999999996</v>
      </c>
      <c r="S358" s="94">
        <f>((Table3.110[[#This Row],[Sample weight, g]]*'2.1. DM'!Q119)/100)*1000</f>
        <v>480.18586141385839</v>
      </c>
      <c r="T358" s="94">
        <f>'3.2 Digest'!W358</f>
        <v>140.98586141385846</v>
      </c>
      <c r="U358" s="117">
        <v>0.36944444444444446</v>
      </c>
      <c r="V358" s="155">
        <v>41</v>
      </c>
      <c r="W358" s="117">
        <v>0.69791666666666663</v>
      </c>
      <c r="X358" s="97">
        <v>78.5</v>
      </c>
      <c r="Y358" s="97">
        <v>13.9</v>
      </c>
      <c r="Z358" s="155">
        <v>40.5</v>
      </c>
      <c r="AA358" s="117">
        <v>0.36944444444444446</v>
      </c>
      <c r="AB358" s="155">
        <v>92.5</v>
      </c>
      <c r="AC358" s="155">
        <v>14.9</v>
      </c>
      <c r="AD358" s="96"/>
      <c r="AE358" s="94">
        <f>Table3.110[[#This Row],[Gas 8h, ml]]-Table3.110[[#This Row],[Gas 0h, ml]]</f>
        <v>37.5</v>
      </c>
      <c r="AF358" s="94">
        <f>Table3.110[[#This Row],[Gas 24h, ml]]-Table3.110[[#This Row],[V8 Push back, ml]]</f>
        <v>52</v>
      </c>
      <c r="AG358" s="94">
        <f>Table3.110[[#This Row],[GP 8h, ml]]-(AVERAGE(AE$293,AE$294,AE$385,AE$386,AE$477,AE$478))*$AG$8</f>
        <v>36.246240428868305</v>
      </c>
      <c r="AH358" s="94">
        <f>Table3.110[[#This Row],[GP 8-24h, ml]]-(AVERAGE(AF$293,AF$294,AF$385,AF$386,AF$477,AF$478))*$AG$8</f>
        <v>50.00873479879084</v>
      </c>
      <c r="AI358" s="94">
        <f>Table3.110[[#This Row],[Net gas 8-24h, ml]]+Table3.110[[#This Row],[Net gas 8h, ml]]</f>
        <v>86.254975227659145</v>
      </c>
      <c r="AJ358" s="94">
        <f>Table3.110[[#This Row],[Net gas 8h, ml]]*Table3.110[[#This Row],[CH4 8h %]]%</f>
        <v>5.0382274196126948</v>
      </c>
      <c r="AK358" s="94">
        <f>Table3.110[[#This Row],[Net gas 8-24h, ml]]*Table3.110[[#This Row],[CH4 24h, %]]%</f>
        <v>7.4513014850198349</v>
      </c>
      <c r="AL358" s="94">
        <f>Table3.110[[#This Row],[CH4 8-24h, ml]]+Table3.110[[#This Row],[CH4 8h, ml]]</f>
        <v>12.489528904632529</v>
      </c>
      <c r="AM358" s="94">
        <f>(Table3.110[[#This Row],[Net gas 24h, ml]]/Table3.110[[#This Row],[DM Incubated, mg]])*1000</f>
        <v>179.62831094961888</v>
      </c>
      <c r="AN358" s="94">
        <f>'3.2 Digest'!X358</f>
        <v>29.360685672572689</v>
      </c>
      <c r="AO358" s="94">
        <f>Table3.110[[#This Row],[Digested feed, mg]]/Table3.110[[#This Row],[Net gas 24h, ml]]</f>
        <v>1.6345243974825108</v>
      </c>
      <c r="AP358" s="94">
        <f>Table3.110[[#This Row],[CH4 8h, ml]]/Table3.110[[#This Row],[Net gas 8h, ml]]%</f>
        <v>13.900000000000002</v>
      </c>
      <c r="AQ358" s="94">
        <f>Table3.110[[#This Row],[CH4 24h, ml]]/Table3.110[[#This Row],[Net gas 24h, ml]]%</f>
        <v>14.479777974160898</v>
      </c>
      <c r="AR358" s="94">
        <f>Table3.110[[#This Row],[CH4 24h, ml]]/Table3.110[[#This Row],[DM Incubated, mg]]*1000</f>
        <v>26.009780604240163</v>
      </c>
      <c r="AS358" s="94">
        <f>Table3.110[[#This Row],[CH4 24h, ml]]/Table3.110[[#This Row],[Digested feed, mg]]*1000</f>
        <v>88.587102134802066</v>
      </c>
      <c r="AT358" s="94">
        <f>Table3.110[[#This Row],[CH4 24h, ml]]/'3.2 Digest'!AA358</f>
        <v>-2.6227552173160986</v>
      </c>
      <c r="AU358" s="94">
        <f>((Table3.110[[#This Row],[CH4 24h, ml]]/28.9)*16.04)/Table3.110[[#This Row],[DM Incubated, mg]]*1000</f>
        <v>14.435878231557515</v>
      </c>
      <c r="AV358" s="94">
        <f>((Table3.110[[#This Row],[CH4 24h, ml]]/28.9)*16.04)/Table3.110[[#This Row],[Digested feed, mg]]*1000</f>
        <v>49.167374333641007</v>
      </c>
      <c r="AW358" s="89" t="s">
        <v>562</v>
      </c>
    </row>
    <row r="359" spans="2:49" s="89" customFormat="1" x14ac:dyDescent="0.35">
      <c r="B359" s="90">
        <f t="shared" si="5"/>
        <v>349</v>
      </c>
      <c r="C359" s="140">
        <v>46048</v>
      </c>
      <c r="D359" s="6" t="s">
        <v>16</v>
      </c>
      <c r="E359" s="6" t="s">
        <v>197</v>
      </c>
      <c r="F359" s="133" t="s">
        <v>105</v>
      </c>
      <c r="G359" s="133" t="s">
        <v>188</v>
      </c>
      <c r="H359" s="133" t="s">
        <v>189</v>
      </c>
      <c r="I359" s="125" t="s">
        <v>108</v>
      </c>
      <c r="J359" s="138" t="s">
        <v>109</v>
      </c>
      <c r="K359" s="138" t="s">
        <v>110</v>
      </c>
      <c r="L359" s="6" t="s">
        <v>196</v>
      </c>
      <c r="M359" s="93">
        <v>28</v>
      </c>
      <c r="N359" s="93">
        <v>60</v>
      </c>
      <c r="O359" s="6">
        <v>1</v>
      </c>
      <c r="P359" s="129">
        <v>2</v>
      </c>
      <c r="Q359" s="6">
        <v>7</v>
      </c>
      <c r="R359" s="98">
        <v>0.50060000000000004</v>
      </c>
      <c r="S359" s="94">
        <f>((Table3.110[[#This Row],[Sample weight, g]]*'2.1. DM'!Q119)/100)*1000</f>
        <v>480.37778222177769</v>
      </c>
      <c r="T359" s="94">
        <f>'3.2 Digest'!W359</f>
        <v>248.87778222177778</v>
      </c>
      <c r="U359" s="153">
        <v>0.37013888888888891</v>
      </c>
      <c r="V359" s="155">
        <v>45</v>
      </c>
      <c r="W359" s="153">
        <v>0.69861111111111107</v>
      </c>
      <c r="X359" s="95">
        <v>87.5</v>
      </c>
      <c r="Y359" s="95">
        <v>13.9</v>
      </c>
      <c r="Z359" s="154">
        <v>45</v>
      </c>
      <c r="AA359" s="153">
        <v>0.37013888888888891</v>
      </c>
      <c r="AB359" s="154">
        <v>107</v>
      </c>
      <c r="AC359" s="154">
        <v>15.2</v>
      </c>
      <c r="AD359" s="91" t="s">
        <v>563</v>
      </c>
      <c r="AE359" s="94">
        <f>Table3.110[[#This Row],[Gas 8h, ml]]-Table3.110[[#This Row],[Gas 0h, ml]]</f>
        <v>42.5</v>
      </c>
      <c r="AF359" s="94">
        <f>Table3.110[[#This Row],[Gas 24h, ml]]-Table3.110[[#This Row],[V8 Push back, ml]]</f>
        <v>62</v>
      </c>
      <c r="AG359" s="94">
        <f>Table3.110[[#This Row],[GP 8h, ml]]-(AVERAGE(AE$293,AE$294,AE$385,AE$386,AE$477,AE$478))*$AG$8</f>
        <v>41.246240428868305</v>
      </c>
      <c r="AH359" s="94">
        <f>Table3.110[[#This Row],[GP 8-24h, ml]]-(AVERAGE(AF$293,AF$294,AF$385,AF$386,AF$477,AF$478))*$AG$8</f>
        <v>60.00873479879084</v>
      </c>
      <c r="AI359" s="94">
        <f>Table3.110[[#This Row],[Net gas 8-24h, ml]]+Table3.110[[#This Row],[Net gas 8h, ml]]</f>
        <v>101.25497522765914</v>
      </c>
      <c r="AJ359" s="94">
        <f>Table3.110[[#This Row],[Net gas 8h, ml]]*Table3.110[[#This Row],[CH4 8h %]]%</f>
        <v>5.7332274196126951</v>
      </c>
      <c r="AK359" s="94">
        <f>Table3.110[[#This Row],[Net gas 8-24h, ml]]*Table3.110[[#This Row],[CH4 24h, %]]%</f>
        <v>9.1213276894162068</v>
      </c>
      <c r="AL359" s="94">
        <f>Table3.110[[#This Row],[CH4 8-24h, ml]]+Table3.110[[#This Row],[CH4 8h, ml]]</f>
        <v>14.854555109028901</v>
      </c>
      <c r="AM359" s="94">
        <f>(Table3.110[[#This Row],[Net gas 24h, ml]]/Table3.110[[#This Row],[DM Incubated, mg]])*1000</f>
        <v>210.78196988909119</v>
      </c>
      <c r="AN359" s="94">
        <f>'3.2 Digest'!X359</f>
        <v>51.808762068616552</v>
      </c>
      <c r="AO359" s="94">
        <f>Table3.110[[#This Row],[Digested feed, mg]]/Table3.110[[#This Row],[Net gas 24h, ml]]</f>
        <v>2.4579313921336432</v>
      </c>
      <c r="AP359" s="94">
        <f>Table3.110[[#This Row],[CH4 8h, ml]]/Table3.110[[#This Row],[Net gas 8h, ml]]%</f>
        <v>13.900000000000002</v>
      </c>
      <c r="AQ359" s="94">
        <f>Table3.110[[#This Row],[CH4 24h, ml]]/Table3.110[[#This Row],[Net gas 24h, ml]]%</f>
        <v>14.67044466272427</v>
      </c>
      <c r="AR359" s="94">
        <f>Table3.110[[#This Row],[CH4 24h, ml]]/Table3.110[[#This Row],[DM Incubated, mg]]*1000</f>
        <v>30.922652251579251</v>
      </c>
      <c r="AS359" s="94">
        <f>Table3.110[[#This Row],[CH4 24h, ml]]/Table3.110[[#This Row],[Digested feed, mg]]*1000</f>
        <v>59.686143843052413</v>
      </c>
      <c r="AT359" s="94">
        <f>Table3.110[[#This Row],[CH4 24h, ml]]/'3.2 Digest'!AA359</f>
        <v>0.52066906721029016</v>
      </c>
      <c r="AU359" s="94">
        <f>((Table3.110[[#This Row],[CH4 24h, ml]]/28.9)*16.04)/Table3.110[[#This Row],[DM Incubated, mg]]*1000</f>
        <v>17.162606993610076</v>
      </c>
      <c r="AV359" s="94">
        <f>((Table3.110[[#This Row],[CH4 24h, ml]]/28.9)*16.04)/Table3.110[[#This Row],[Digested feed, mg]]*1000</f>
        <v>33.126842465140513</v>
      </c>
    </row>
    <row r="360" spans="2:49" s="89" customFormat="1" x14ac:dyDescent="0.35">
      <c r="B360" s="90">
        <f t="shared" si="5"/>
        <v>350</v>
      </c>
      <c r="C360" s="140">
        <v>46048</v>
      </c>
      <c r="D360" s="6" t="s">
        <v>16</v>
      </c>
      <c r="E360" s="6" t="s">
        <v>197</v>
      </c>
      <c r="F360" s="133" t="s">
        <v>105</v>
      </c>
      <c r="G360" s="133" t="s">
        <v>188</v>
      </c>
      <c r="H360" s="133" t="s">
        <v>189</v>
      </c>
      <c r="I360" s="125" t="s">
        <v>108</v>
      </c>
      <c r="J360" s="138" t="s">
        <v>109</v>
      </c>
      <c r="K360" s="138" t="s">
        <v>110</v>
      </c>
      <c r="L360" s="6" t="s">
        <v>196</v>
      </c>
      <c r="M360" s="93">
        <v>28</v>
      </c>
      <c r="N360" s="93">
        <v>60</v>
      </c>
      <c r="O360" s="6">
        <v>1</v>
      </c>
      <c r="P360" s="129">
        <v>3</v>
      </c>
      <c r="Q360" s="6">
        <v>8</v>
      </c>
      <c r="R360" s="98">
        <v>0.50049999999999994</v>
      </c>
      <c r="S360" s="94">
        <f>((Table3.110[[#This Row],[Sample weight, g]]*'2.1. DM'!Q119)/100)*1000</f>
        <v>480.28182181781801</v>
      </c>
      <c r="T360" s="94">
        <f>'3.2 Digest'!W360</f>
        <v>193.68182181781805</v>
      </c>
      <c r="U360" s="117">
        <v>0.37083333333333335</v>
      </c>
      <c r="V360" s="155">
        <v>41</v>
      </c>
      <c r="W360" s="117">
        <v>0.69861111111111107</v>
      </c>
      <c r="X360" s="97">
        <v>81</v>
      </c>
      <c r="Y360" s="97">
        <v>13.3</v>
      </c>
      <c r="Z360" s="155">
        <v>40</v>
      </c>
      <c r="AA360" s="117">
        <v>0.37083333333333335</v>
      </c>
      <c r="AB360" s="155">
        <v>96.5</v>
      </c>
      <c r="AC360" s="155">
        <v>14.8</v>
      </c>
      <c r="AD360" s="96"/>
      <c r="AE360" s="94">
        <f>Table3.110[[#This Row],[Gas 8h, ml]]-Table3.110[[#This Row],[Gas 0h, ml]]</f>
        <v>40</v>
      </c>
      <c r="AF360" s="94">
        <f>Table3.110[[#This Row],[Gas 24h, ml]]-Table3.110[[#This Row],[V8 Push back, ml]]</f>
        <v>56.5</v>
      </c>
      <c r="AG360" s="94">
        <f>Table3.110[[#This Row],[GP 8h, ml]]-(AVERAGE(AE$293,AE$294,AE$385,AE$386,AE$477,AE$478))*$AG$8</f>
        <v>38.746240428868305</v>
      </c>
      <c r="AH360" s="94">
        <f>Table3.110[[#This Row],[GP 8-24h, ml]]-(AVERAGE(AF$293,AF$294,AF$385,AF$386,AF$477,AF$478))*$AG$8</f>
        <v>54.50873479879084</v>
      </c>
      <c r="AI360" s="94">
        <f>Table3.110[[#This Row],[Net gas 8-24h, ml]]+Table3.110[[#This Row],[Net gas 8h, ml]]</f>
        <v>93.254975227659145</v>
      </c>
      <c r="AJ360" s="94">
        <f>Table3.110[[#This Row],[Net gas 8h, ml]]*Table3.110[[#This Row],[CH4 8h %]]%</f>
        <v>5.1532499770394846</v>
      </c>
      <c r="AK360" s="94">
        <f>Table3.110[[#This Row],[Net gas 8-24h, ml]]*Table3.110[[#This Row],[CH4 24h, %]]%</f>
        <v>8.0672927502210463</v>
      </c>
      <c r="AL360" s="94">
        <f>Table3.110[[#This Row],[CH4 8-24h, ml]]+Table3.110[[#This Row],[CH4 8h, ml]]</f>
        <v>13.220542727260531</v>
      </c>
      <c r="AM360" s="94">
        <f>(Table3.110[[#This Row],[Net gas 24h, ml]]/Table3.110[[#This Row],[DM Incubated, mg]])*1000</f>
        <v>194.16719723994242</v>
      </c>
      <c r="AN360" s="94">
        <f>'3.2 Digest'!X360</f>
        <v>40.326702577405904</v>
      </c>
      <c r="AO360" s="94">
        <f>Table3.110[[#This Row],[Digested feed, mg]]/Table3.110[[#This Row],[Net gas 24h, ml]]</f>
        <v>2.0769060454414512</v>
      </c>
      <c r="AP360" s="94">
        <f>Table3.110[[#This Row],[CH4 8h, ml]]/Table3.110[[#This Row],[Net gas 8h, ml]]%</f>
        <v>13.299999999999999</v>
      </c>
      <c r="AQ360" s="94">
        <f>Table3.110[[#This Row],[CH4 24h, ml]]/Table3.110[[#This Row],[Net gas 24h, ml]]%</f>
        <v>14.17676933052185</v>
      </c>
      <c r="AR360" s="94">
        <f>Table3.110[[#This Row],[CH4 24h, ml]]/Table3.110[[#This Row],[DM Incubated, mg]]*1000</f>
        <v>27.526635668246026</v>
      </c>
      <c r="AS360" s="94">
        <f>Table3.110[[#This Row],[CH4 24h, ml]]/Table3.110[[#This Row],[Digested feed, mg]]*1000</f>
        <v>68.259078746667839</v>
      </c>
      <c r="AT360" s="94">
        <f>Table3.110[[#This Row],[CH4 24h, ml]]/'3.2 Digest'!AA360</f>
        <v>1.1494906508073108</v>
      </c>
      <c r="AU360" s="94">
        <f>((Table3.110[[#This Row],[CH4 24h, ml]]/28.9)*16.04)/Table3.110[[#This Row],[DM Incubated, mg]]*1000</f>
        <v>15.277759035247968</v>
      </c>
      <c r="AV360" s="94">
        <f>((Table3.110[[#This Row],[CH4 24h, ml]]/28.9)*16.04)/Table3.110[[#This Row],[Digested feed, mg]]*1000</f>
        <v>37.884969657320148</v>
      </c>
    </row>
    <row r="361" spans="2:49" s="89" customFormat="1" x14ac:dyDescent="0.35">
      <c r="B361" s="90">
        <f t="shared" si="5"/>
        <v>351</v>
      </c>
      <c r="C361" s="140">
        <v>46048</v>
      </c>
      <c r="D361" s="6" t="s">
        <v>16</v>
      </c>
      <c r="E361" s="6" t="s">
        <v>199</v>
      </c>
      <c r="F361" s="133" t="s">
        <v>105</v>
      </c>
      <c r="G361" s="133" t="s">
        <v>188</v>
      </c>
      <c r="H361" s="133" t="s">
        <v>189</v>
      </c>
      <c r="I361" s="125" t="s">
        <v>108</v>
      </c>
      <c r="J361" s="138" t="s">
        <v>109</v>
      </c>
      <c r="K361" s="138" t="s">
        <v>110</v>
      </c>
      <c r="L361" s="6" t="s">
        <v>198</v>
      </c>
      <c r="M361" s="93">
        <v>28</v>
      </c>
      <c r="N361" s="93">
        <v>60</v>
      </c>
      <c r="O361" s="6">
        <v>1</v>
      </c>
      <c r="P361" s="129">
        <v>1</v>
      </c>
      <c r="Q361" s="6">
        <v>9</v>
      </c>
      <c r="R361" s="98">
        <v>0.50019999999999998</v>
      </c>
      <c r="S361" s="94">
        <f>((Table3.110[[#This Row],[Sample weight, g]]*'2.1. DM'!Q121)/100)*1000</f>
        <v>486.54590540945924</v>
      </c>
      <c r="T361" s="94">
        <f>'3.2 Digest'!W361</f>
        <v>163.64590540945926</v>
      </c>
      <c r="U361" s="153">
        <v>0.37152777777777779</v>
      </c>
      <c r="V361" s="155">
        <v>41.5</v>
      </c>
      <c r="W361" s="153">
        <v>0.69930555555555551</v>
      </c>
      <c r="X361" s="95">
        <v>76.5</v>
      </c>
      <c r="Y361" s="95">
        <v>13.7</v>
      </c>
      <c r="Z361" s="154">
        <v>40</v>
      </c>
      <c r="AA361" s="153">
        <v>0.37152777777777779</v>
      </c>
      <c r="AB361" s="154">
        <v>95.5</v>
      </c>
      <c r="AC361" s="154">
        <v>14.3</v>
      </c>
      <c r="AD361" s="91"/>
      <c r="AE361" s="94">
        <f>Table3.110[[#This Row],[Gas 8h, ml]]-Table3.110[[#This Row],[Gas 0h, ml]]</f>
        <v>35</v>
      </c>
      <c r="AF361" s="94">
        <f>Table3.110[[#This Row],[Gas 24h, ml]]-Table3.110[[#This Row],[V8 Push back, ml]]</f>
        <v>55.5</v>
      </c>
      <c r="AG361" s="94">
        <f>Table3.110[[#This Row],[GP 8h, ml]]-(AVERAGE(AE$293,AE$294,AE$385,AE$386,AE$477,AE$478))*$AG$8</f>
        <v>33.746240428868305</v>
      </c>
      <c r="AH361" s="94">
        <f>Table3.110[[#This Row],[GP 8-24h, ml]]-(AVERAGE(AF$293,AF$294,AF$385,AF$386,AF$477,AF$478))*$AG$8</f>
        <v>53.50873479879084</v>
      </c>
      <c r="AI361" s="94">
        <f>Table3.110[[#This Row],[Net gas 8-24h, ml]]+Table3.110[[#This Row],[Net gas 8h, ml]]</f>
        <v>87.254975227659145</v>
      </c>
      <c r="AJ361" s="94">
        <f>Table3.110[[#This Row],[Net gas 8h, ml]]*Table3.110[[#This Row],[CH4 8h %]]%</f>
        <v>4.6232349387549574</v>
      </c>
      <c r="AK361" s="94">
        <f>Table3.110[[#This Row],[Net gas 8-24h, ml]]*Table3.110[[#This Row],[CH4 24h, %]]%</f>
        <v>7.651749076227091</v>
      </c>
      <c r="AL361" s="94">
        <f>Table3.110[[#This Row],[CH4 8-24h, ml]]+Table3.110[[#This Row],[CH4 8h, ml]]</f>
        <v>12.274984014982049</v>
      </c>
      <c r="AM361" s="94">
        <f>(Table3.110[[#This Row],[Net gas 24h, ml]]/Table3.110[[#This Row],[DM Incubated, mg]])*1000</f>
        <v>179.33554523334965</v>
      </c>
      <c r="AN361" s="94">
        <f>'3.2 Digest'!X361</f>
        <v>33.634216954665533</v>
      </c>
      <c r="AO361" s="94">
        <f>Table3.110[[#This Row],[Digested feed, mg]]/Table3.110[[#This Row],[Net gas 24h, ml]]</f>
        <v>1.8754908242479769</v>
      </c>
      <c r="AP361" s="94">
        <f>Table3.110[[#This Row],[CH4 8h, ml]]/Table3.110[[#This Row],[Net gas 8h, ml]]%</f>
        <v>13.699999999999998</v>
      </c>
      <c r="AQ361" s="94">
        <f>Table3.110[[#This Row],[CH4 24h, ml]]/Table3.110[[#This Row],[Net gas 24h, ml]]%</f>
        <v>14.067947395498171</v>
      </c>
      <c r="AR361" s="94">
        <f>Table3.110[[#This Row],[CH4 24h, ml]]/Table3.110[[#This Row],[DM Incubated, mg]]*1000</f>
        <v>25.22883016485746</v>
      </c>
      <c r="AS361" s="94">
        <f>Table3.110[[#This Row],[CH4 24h, ml]]/Table3.110[[#This Row],[Digested feed, mg]]*1000</f>
        <v>75.009417340866236</v>
      </c>
      <c r="AT361" s="94">
        <f>Table3.110[[#This Row],[CH4 24h, ml]]/'3.2 Digest'!AA361</f>
        <v>2.8151443686440194</v>
      </c>
      <c r="AU361" s="94">
        <f>((Table3.110[[#This Row],[CH4 24h, ml]]/28.9)*16.04)/Table3.110[[#This Row],[DM Incubated, mg]]*1000</f>
        <v>14.00243722644684</v>
      </c>
      <c r="AV361" s="94">
        <f>((Table3.110[[#This Row],[CH4 24h, ml]]/28.9)*16.04)/Table3.110[[#This Row],[Digested feed, mg]]*1000</f>
        <v>41.631524364965209</v>
      </c>
    </row>
    <row r="362" spans="2:49" s="89" customFormat="1" x14ac:dyDescent="0.35">
      <c r="B362" s="90">
        <f t="shared" si="5"/>
        <v>352</v>
      </c>
      <c r="C362" s="140">
        <v>46048</v>
      </c>
      <c r="D362" s="6" t="s">
        <v>16</v>
      </c>
      <c r="E362" s="6" t="s">
        <v>199</v>
      </c>
      <c r="F362" s="133" t="s">
        <v>105</v>
      </c>
      <c r="G362" s="133" t="s">
        <v>188</v>
      </c>
      <c r="H362" s="133" t="s">
        <v>189</v>
      </c>
      <c r="I362" s="125" t="s">
        <v>108</v>
      </c>
      <c r="J362" s="138" t="s">
        <v>109</v>
      </c>
      <c r="K362" s="138" t="s">
        <v>110</v>
      </c>
      <c r="L362" s="6" t="s">
        <v>198</v>
      </c>
      <c r="M362" s="93">
        <v>28</v>
      </c>
      <c r="N362" s="93">
        <v>60</v>
      </c>
      <c r="O362" s="6">
        <v>1</v>
      </c>
      <c r="P362" s="129">
        <v>2</v>
      </c>
      <c r="Q362" s="6">
        <v>10</v>
      </c>
      <c r="R362" s="98">
        <v>0.50060000000000004</v>
      </c>
      <c r="S362" s="94">
        <f>((Table3.110[[#This Row],[Sample weight, g]]*'2.1. DM'!Q121)/100)*1000</f>
        <v>486.93498650135012</v>
      </c>
      <c r="T362" s="94">
        <f>'3.2 Digest'!W362</f>
        <v>205.93498650135012</v>
      </c>
      <c r="U362" s="117">
        <v>0.37222222222222223</v>
      </c>
      <c r="V362" s="155">
        <v>41</v>
      </c>
      <c r="W362" s="117">
        <v>0.69930555555555551</v>
      </c>
      <c r="X362" s="97">
        <v>76.5</v>
      </c>
      <c r="Y362" s="97">
        <v>13.4</v>
      </c>
      <c r="Z362" s="155">
        <v>40.5</v>
      </c>
      <c r="AA362" s="117">
        <v>0.37152777777777779</v>
      </c>
      <c r="AB362" s="155">
        <v>97</v>
      </c>
      <c r="AC362" s="155">
        <v>14.5</v>
      </c>
      <c r="AD362" s="96"/>
      <c r="AE362" s="94">
        <f>Table3.110[[#This Row],[Gas 8h, ml]]-Table3.110[[#This Row],[Gas 0h, ml]]</f>
        <v>35.5</v>
      </c>
      <c r="AF362" s="94">
        <f>Table3.110[[#This Row],[Gas 24h, ml]]-Table3.110[[#This Row],[V8 Push back, ml]]</f>
        <v>56.5</v>
      </c>
      <c r="AG362" s="94">
        <f>Table3.110[[#This Row],[GP 8h, ml]]-(AVERAGE(AE$293,AE$294,AE$385,AE$386,AE$477,AE$478))*$AG$8</f>
        <v>34.246240428868305</v>
      </c>
      <c r="AH362" s="94">
        <f>Table3.110[[#This Row],[GP 8-24h, ml]]-(AVERAGE(AF$293,AF$294,AF$385,AF$386,AF$477,AF$478))*$AG$8</f>
        <v>54.50873479879084</v>
      </c>
      <c r="AI362" s="94">
        <f>Table3.110[[#This Row],[Net gas 8-24h, ml]]+Table3.110[[#This Row],[Net gas 8h, ml]]</f>
        <v>88.754975227659145</v>
      </c>
      <c r="AJ362" s="94">
        <f>Table3.110[[#This Row],[Net gas 8h, ml]]*Table3.110[[#This Row],[CH4 8h %]]%</f>
        <v>4.5889962174683534</v>
      </c>
      <c r="AK362" s="94">
        <f>Table3.110[[#This Row],[Net gas 8-24h, ml]]*Table3.110[[#This Row],[CH4 24h, %]]%</f>
        <v>7.9037665458246709</v>
      </c>
      <c r="AL362" s="94">
        <f>Table3.110[[#This Row],[CH4 8-24h, ml]]+Table3.110[[#This Row],[CH4 8h, ml]]</f>
        <v>12.492762763293024</v>
      </c>
      <c r="AM362" s="94">
        <f>(Table3.110[[#This Row],[Net gas 24h, ml]]/Table3.110[[#This Row],[DM Incubated, mg]])*1000</f>
        <v>182.27274212799466</v>
      </c>
      <c r="AN362" s="94">
        <f>'3.2 Digest'!X362</f>
        <v>42.292090773966009</v>
      </c>
      <c r="AO362" s="94">
        <f>Table3.110[[#This Row],[Digested feed, mg]]/Table3.110[[#This Row],[Net gas 24h, ml]]</f>
        <v>2.3202641426367454</v>
      </c>
      <c r="AP362" s="94">
        <f>Table3.110[[#This Row],[CH4 8h, ml]]/Table3.110[[#This Row],[Net gas 8h, ml]]%</f>
        <v>13.400000000000002</v>
      </c>
      <c r="AQ362" s="94">
        <f>Table3.110[[#This Row],[CH4 24h, ml]]/Table3.110[[#This Row],[Net gas 24h, ml]]%</f>
        <v>14.075563348700978</v>
      </c>
      <c r="AR362" s="94">
        <f>Table3.110[[#This Row],[CH4 24h, ml]]/Table3.110[[#This Row],[DM Incubated, mg]]*1000</f>
        <v>25.655915285640262</v>
      </c>
      <c r="AS362" s="94">
        <f>Table3.110[[#This Row],[CH4 24h, ml]]/Table3.110[[#This Row],[Digested feed, mg]]*1000</f>
        <v>60.663624843615978</v>
      </c>
      <c r="AT362" s="94">
        <f>Table3.110[[#This Row],[CH4 24h, ml]]/'3.2 Digest'!AA362</f>
        <v>0.74197423980368926</v>
      </c>
      <c r="AU362" s="94">
        <f>((Table3.110[[#This Row],[CH4 24h, ml]]/28.9)*16.04)/Table3.110[[#This Row],[DM Incubated, mg]]*1000</f>
        <v>14.239476857497227</v>
      </c>
      <c r="AV362" s="94">
        <f>((Table3.110[[#This Row],[CH4 24h, ml]]/28.9)*16.04)/Table3.110[[#This Row],[Digested feed, mg]]*1000</f>
        <v>33.669361331889284</v>
      </c>
    </row>
    <row r="363" spans="2:49" s="89" customFormat="1" x14ac:dyDescent="0.35">
      <c r="B363" s="90">
        <f t="shared" si="5"/>
        <v>353</v>
      </c>
      <c r="C363" s="140">
        <v>46048</v>
      </c>
      <c r="D363" s="6" t="s">
        <v>16</v>
      </c>
      <c r="E363" s="6" t="s">
        <v>199</v>
      </c>
      <c r="F363" s="133" t="s">
        <v>105</v>
      </c>
      <c r="G363" s="133" t="s">
        <v>188</v>
      </c>
      <c r="H363" s="133" t="s">
        <v>189</v>
      </c>
      <c r="I363" s="125" t="s">
        <v>108</v>
      </c>
      <c r="J363" s="138" t="s">
        <v>109</v>
      </c>
      <c r="K363" s="138" t="s">
        <v>110</v>
      </c>
      <c r="L363" s="6" t="s">
        <v>198</v>
      </c>
      <c r="M363" s="93">
        <v>28</v>
      </c>
      <c r="N363" s="93">
        <v>60</v>
      </c>
      <c r="O363" s="6">
        <v>1</v>
      </c>
      <c r="P363" s="129">
        <v>3</v>
      </c>
      <c r="Q363" s="6">
        <v>11</v>
      </c>
      <c r="R363" s="98">
        <v>0.50019999999999998</v>
      </c>
      <c r="S363" s="94">
        <f>((Table3.110[[#This Row],[Sample weight, g]]*'2.1. DM'!Q121)/100)*1000</f>
        <v>486.54590540945924</v>
      </c>
      <c r="T363" s="94">
        <f>'3.2 Digest'!W363</f>
        <v>148.34590540945919</v>
      </c>
      <c r="U363" s="153">
        <v>0.37222222222222223</v>
      </c>
      <c r="V363" s="155">
        <v>41</v>
      </c>
      <c r="W363" s="153">
        <v>0.7</v>
      </c>
      <c r="X363" s="95">
        <v>76</v>
      </c>
      <c r="Y363" s="95">
        <v>13.6</v>
      </c>
      <c r="Z363" s="154">
        <v>40</v>
      </c>
      <c r="AA363" s="153">
        <v>0.37222222222222223</v>
      </c>
      <c r="AB363" s="154">
        <v>91.5</v>
      </c>
      <c r="AC363" s="154">
        <v>14.7</v>
      </c>
      <c r="AD363" s="91"/>
      <c r="AE363" s="94">
        <f>Table3.110[[#This Row],[Gas 8h, ml]]-Table3.110[[#This Row],[Gas 0h, ml]]</f>
        <v>35</v>
      </c>
      <c r="AF363" s="94">
        <f>Table3.110[[#This Row],[Gas 24h, ml]]-Table3.110[[#This Row],[V8 Push back, ml]]</f>
        <v>51.5</v>
      </c>
      <c r="AG363" s="94">
        <f>Table3.110[[#This Row],[GP 8h, ml]]-(AVERAGE(AE$293,AE$294,AE$385,AE$386,AE$477,AE$478))*$AG$8</f>
        <v>33.746240428868305</v>
      </c>
      <c r="AH363" s="94">
        <f>Table3.110[[#This Row],[GP 8-24h, ml]]-(AVERAGE(AF$293,AF$294,AF$385,AF$386,AF$477,AF$478))*$AG$8</f>
        <v>49.50873479879084</v>
      </c>
      <c r="AI363" s="94">
        <f>Table3.110[[#This Row],[Net gas 8-24h, ml]]+Table3.110[[#This Row],[Net gas 8h, ml]]</f>
        <v>83.254975227659145</v>
      </c>
      <c r="AJ363" s="94">
        <f>Table3.110[[#This Row],[Net gas 8h, ml]]*Table3.110[[#This Row],[CH4 8h %]]%</f>
        <v>4.5894886983260896</v>
      </c>
      <c r="AK363" s="94">
        <f>Table3.110[[#This Row],[Net gas 8-24h, ml]]*Table3.110[[#This Row],[CH4 24h, %]]%</f>
        <v>7.2777840154222533</v>
      </c>
      <c r="AL363" s="94">
        <f>Table3.110[[#This Row],[CH4 8-24h, ml]]+Table3.110[[#This Row],[CH4 8h, ml]]</f>
        <v>11.867272713748342</v>
      </c>
      <c r="AM363" s="94">
        <f>(Table3.110[[#This Row],[Net gas 24h, ml]]/Table3.110[[#This Row],[DM Incubated, mg]])*1000</f>
        <v>171.114327141639</v>
      </c>
      <c r="AN363" s="94">
        <f>'3.2 Digest'!X363</f>
        <v>30.489601034586183</v>
      </c>
      <c r="AO363" s="94">
        <f>Table3.110[[#This Row],[Digested feed, mg]]/Table3.110[[#This Row],[Net gas 24h, ml]]</f>
        <v>1.7818263113262618</v>
      </c>
      <c r="AP363" s="94">
        <f>Table3.110[[#This Row],[CH4 8h, ml]]/Table3.110[[#This Row],[Net gas 8h, ml]]%</f>
        <v>13.6</v>
      </c>
      <c r="AQ363" s="94">
        <f>Table3.110[[#This Row],[CH4 24h, ml]]/Table3.110[[#This Row],[Net gas 24h, ml]]%</f>
        <v>14.254130376349895</v>
      </c>
      <c r="AR363" s="94">
        <f>Table3.110[[#This Row],[CH4 24h, ml]]/Table3.110[[#This Row],[DM Incubated, mg]]*1000</f>
        <v>24.390859283383097</v>
      </c>
      <c r="AS363" s="94">
        <f>Table3.110[[#This Row],[CH4 24h, ml]]/Table3.110[[#This Row],[Digested feed, mg]]*1000</f>
        <v>79.997305493486394</v>
      </c>
      <c r="AT363" s="94">
        <f>Table3.110[[#This Row],[CH4 24h, ml]]/'3.2 Digest'!AA363</f>
        <v>-69.251984384884437</v>
      </c>
      <c r="AU363" s="94">
        <f>((Table3.110[[#This Row],[CH4 24h, ml]]/28.9)*16.04)/Table3.110[[#This Row],[DM Incubated, mg]]*1000</f>
        <v>13.537348889462452</v>
      </c>
      <c r="AV363" s="94">
        <f>((Table3.110[[#This Row],[CH4 24h, ml]]/28.9)*16.04)/Table3.110[[#This Row],[Digested feed, mg]]*1000</f>
        <v>44.399888585312162</v>
      </c>
    </row>
    <row r="364" spans="2:49" s="89" customFormat="1" x14ac:dyDescent="0.35">
      <c r="B364" s="90">
        <f t="shared" si="5"/>
        <v>354</v>
      </c>
      <c r="C364" s="140">
        <v>46048</v>
      </c>
      <c r="D364" s="6" t="s">
        <v>16</v>
      </c>
      <c r="E364" s="6" t="s">
        <v>201</v>
      </c>
      <c r="F364" s="133" t="s">
        <v>105</v>
      </c>
      <c r="G364" s="133" t="s">
        <v>188</v>
      </c>
      <c r="H364" s="133" t="s">
        <v>189</v>
      </c>
      <c r="I364" s="125" t="s">
        <v>108</v>
      </c>
      <c r="J364" s="138" t="s">
        <v>109</v>
      </c>
      <c r="K364" s="138" t="s">
        <v>110</v>
      </c>
      <c r="L364" s="6" t="s">
        <v>200</v>
      </c>
      <c r="M364" s="93">
        <v>28</v>
      </c>
      <c r="N364" s="93">
        <v>60</v>
      </c>
      <c r="O364" s="6">
        <v>1</v>
      </c>
      <c r="P364" s="129">
        <v>1</v>
      </c>
      <c r="Q364" s="6">
        <v>12</v>
      </c>
      <c r="R364" s="98">
        <v>0.50039999999999996</v>
      </c>
      <c r="S364" s="94">
        <f>((Table3.110[[#This Row],[Sample weight, g]]*'2.1. DM'!Q123)/100)*1000</f>
        <v>485.88839999999976</v>
      </c>
      <c r="T364" s="94">
        <f>'3.2 Digest'!W364</f>
        <v>141.98839999999979</v>
      </c>
      <c r="U364" s="117">
        <v>0.37291666666666667</v>
      </c>
      <c r="V364" s="155">
        <v>40.5</v>
      </c>
      <c r="W364" s="117">
        <v>0.7006944444444444</v>
      </c>
      <c r="X364" s="97">
        <v>78.5</v>
      </c>
      <c r="Y364" s="97">
        <v>13.5</v>
      </c>
      <c r="Z364" s="155">
        <v>40.5</v>
      </c>
      <c r="AA364" s="117">
        <v>0.37430555555555556</v>
      </c>
      <c r="AB364" s="155">
        <v>92.5</v>
      </c>
      <c r="AC364" s="155">
        <v>14.5</v>
      </c>
      <c r="AD364" s="96"/>
      <c r="AE364" s="94">
        <f>Table3.110[[#This Row],[Gas 8h, ml]]-Table3.110[[#This Row],[Gas 0h, ml]]</f>
        <v>38</v>
      </c>
      <c r="AF364" s="94">
        <f>Table3.110[[#This Row],[Gas 24h, ml]]-Table3.110[[#This Row],[V8 Push back, ml]]</f>
        <v>52</v>
      </c>
      <c r="AG364" s="94">
        <f>Table3.110[[#This Row],[GP 8h, ml]]-(AVERAGE(AE$293,AE$294,AE$385,AE$386,AE$477,AE$478))*$AG$8</f>
        <v>36.746240428868305</v>
      </c>
      <c r="AH364" s="94">
        <f>Table3.110[[#This Row],[GP 8-24h, ml]]-(AVERAGE(AF$293,AF$294,AF$385,AF$386,AF$477,AF$478))*$AG$8</f>
        <v>50.00873479879084</v>
      </c>
      <c r="AI364" s="94">
        <f>Table3.110[[#This Row],[Net gas 8-24h, ml]]+Table3.110[[#This Row],[Net gas 8h, ml]]</f>
        <v>86.754975227659145</v>
      </c>
      <c r="AJ364" s="94">
        <f>Table3.110[[#This Row],[Net gas 8h, ml]]*Table3.110[[#This Row],[CH4 8h %]]%</f>
        <v>4.9607424578972212</v>
      </c>
      <c r="AK364" s="94">
        <f>Table3.110[[#This Row],[Net gas 8-24h, ml]]*Table3.110[[#This Row],[CH4 24h, %]]%</f>
        <v>7.251266545824671</v>
      </c>
      <c r="AL364" s="94">
        <f>Table3.110[[#This Row],[CH4 8-24h, ml]]+Table3.110[[#This Row],[CH4 8h, ml]]</f>
        <v>12.212009003721892</v>
      </c>
      <c r="AM364" s="94">
        <f>(Table3.110[[#This Row],[Net gas 24h, ml]]/Table3.110[[#This Row],[DM Incubated, mg]])*1000</f>
        <v>178.54917966277685</v>
      </c>
      <c r="AN364" s="94">
        <f>'3.2 Digest'!X364</f>
        <v>29.222430500501734</v>
      </c>
      <c r="AO364" s="94">
        <f>Table3.110[[#This Row],[Digested feed, mg]]/Table3.110[[#This Row],[Net gas 24h, ml]]</f>
        <v>1.6366600258647894</v>
      </c>
      <c r="AP364" s="94">
        <f>Table3.110[[#This Row],[CH4 8h, ml]]/Table3.110[[#This Row],[Net gas 8h, ml]]%</f>
        <v>13.5</v>
      </c>
      <c r="AQ364" s="94">
        <f>Table3.110[[#This Row],[CH4 24h, ml]]/Table3.110[[#This Row],[Net gas 24h, ml]]%</f>
        <v>14.076436506005098</v>
      </c>
      <c r="AR364" s="94">
        <f>Table3.110[[#This Row],[CH4 24h, ml]]/Table3.110[[#This Row],[DM Incubated, mg]]*1000</f>
        <v>25.133361907223755</v>
      </c>
      <c r="AS364" s="94">
        <f>Table3.110[[#This Row],[CH4 24h, ml]]/Table3.110[[#This Row],[Digested feed, mg]]*1000</f>
        <v>86.007089337734001</v>
      </c>
      <c r="AT364" s="94">
        <f>Table3.110[[#This Row],[CH4 24h, ml]]/'3.2 Digest'!AA364</f>
        <v>-1.1797467192416839</v>
      </c>
      <c r="AU364" s="94">
        <f>((Table3.110[[#This Row],[CH4 24h, ml]]/28.9)*16.04)/Table3.110[[#This Row],[DM Incubated, mg]]*1000</f>
        <v>13.949450691760175</v>
      </c>
      <c r="AV364" s="94">
        <f>((Table3.110[[#This Row],[CH4 24h, ml]]/28.9)*16.04)/Table3.110[[#This Row],[Digested feed, mg]]*1000</f>
        <v>47.735422594368636</v>
      </c>
    </row>
    <row r="365" spans="2:49" s="89" customFormat="1" x14ac:dyDescent="0.35">
      <c r="B365" s="90">
        <f t="shared" si="5"/>
        <v>355</v>
      </c>
      <c r="C365" s="140">
        <v>46048</v>
      </c>
      <c r="D365" s="6" t="s">
        <v>16</v>
      </c>
      <c r="E365" s="6" t="s">
        <v>201</v>
      </c>
      <c r="F365" s="133" t="s">
        <v>105</v>
      </c>
      <c r="G365" s="133" t="s">
        <v>188</v>
      </c>
      <c r="H365" s="133" t="s">
        <v>189</v>
      </c>
      <c r="I365" s="125" t="s">
        <v>108</v>
      </c>
      <c r="J365" s="138" t="s">
        <v>109</v>
      </c>
      <c r="K365" s="138" t="s">
        <v>110</v>
      </c>
      <c r="L365" s="6" t="s">
        <v>200</v>
      </c>
      <c r="M365" s="93">
        <v>28</v>
      </c>
      <c r="N365" s="93">
        <v>60</v>
      </c>
      <c r="O365" s="6">
        <v>1</v>
      </c>
      <c r="P365" s="129">
        <v>2</v>
      </c>
      <c r="Q365" s="6">
        <v>13</v>
      </c>
      <c r="R365" s="98">
        <v>0.50039999999999996</v>
      </c>
      <c r="S365" s="94">
        <f>((Table3.110[[#This Row],[Sample weight, g]]*'2.1. DM'!Q123)/100)*1000</f>
        <v>485.88839999999976</v>
      </c>
      <c r="T365" s="94">
        <f>'3.2 Digest'!W365</f>
        <v>212.58839999999975</v>
      </c>
      <c r="U365" s="153">
        <v>0.37291666666666667</v>
      </c>
      <c r="V365" s="155">
        <v>41</v>
      </c>
      <c r="W365" s="153">
        <v>0.7006944444444444</v>
      </c>
      <c r="X365" s="95">
        <v>76</v>
      </c>
      <c r="Y365" s="95">
        <v>13.9</v>
      </c>
      <c r="Z365" s="154">
        <v>40.5</v>
      </c>
      <c r="AA365" s="153">
        <v>0.37430555555555556</v>
      </c>
      <c r="AB365" s="154">
        <v>91.5</v>
      </c>
      <c r="AC365" s="154">
        <v>14.4</v>
      </c>
      <c r="AD365" s="91"/>
      <c r="AE365" s="94">
        <f>Table3.110[[#This Row],[Gas 8h, ml]]-Table3.110[[#This Row],[Gas 0h, ml]]</f>
        <v>35</v>
      </c>
      <c r="AF365" s="94">
        <f>Table3.110[[#This Row],[Gas 24h, ml]]-Table3.110[[#This Row],[V8 Push back, ml]]</f>
        <v>51</v>
      </c>
      <c r="AG365" s="94">
        <f>Table3.110[[#This Row],[GP 8h, ml]]-(AVERAGE(AE$293,AE$294,AE$385,AE$386,AE$477,AE$478))*$AG$8</f>
        <v>33.746240428868305</v>
      </c>
      <c r="AH365" s="94">
        <f>Table3.110[[#This Row],[GP 8-24h, ml]]-(AVERAGE(AF$293,AF$294,AF$385,AF$386,AF$477,AF$478))*$AG$8</f>
        <v>49.00873479879084</v>
      </c>
      <c r="AI365" s="94">
        <f>Table3.110[[#This Row],[Net gas 8-24h, ml]]+Table3.110[[#This Row],[Net gas 8h, ml]]</f>
        <v>82.754975227659145</v>
      </c>
      <c r="AJ365" s="94">
        <f>Table3.110[[#This Row],[Net gas 8h, ml]]*Table3.110[[#This Row],[CH4 8h %]]%</f>
        <v>4.6907274196126947</v>
      </c>
      <c r="AK365" s="94">
        <f>Table3.110[[#This Row],[Net gas 8-24h, ml]]*Table3.110[[#This Row],[CH4 24h, %]]%</f>
        <v>7.0572578110258819</v>
      </c>
      <c r="AL365" s="94">
        <f>Table3.110[[#This Row],[CH4 8-24h, ml]]+Table3.110[[#This Row],[CH4 8h, ml]]</f>
        <v>11.747985230638577</v>
      </c>
      <c r="AM365" s="94">
        <f>(Table3.110[[#This Row],[Net gas 24h, ml]]/Table3.110[[#This Row],[DM Incubated, mg]])*1000</f>
        <v>170.3168365979908</v>
      </c>
      <c r="AN365" s="94">
        <f>'3.2 Digest'!X365</f>
        <v>43.752516009849145</v>
      </c>
      <c r="AO365" s="94">
        <f>Table3.110[[#This Row],[Digested feed, mg]]/Table3.110[[#This Row],[Net gas 24h, ml]]</f>
        <v>2.568889657874569</v>
      </c>
      <c r="AP365" s="94">
        <f>Table3.110[[#This Row],[CH4 8h, ml]]/Table3.110[[#This Row],[Net gas 8h, ml]]%</f>
        <v>13.9</v>
      </c>
      <c r="AQ365" s="94">
        <f>Table3.110[[#This Row],[CH4 24h, ml]]/Table3.110[[#This Row],[Net gas 24h, ml]]%</f>
        <v>14.196107482746312</v>
      </c>
      <c r="AR365" s="94">
        <f>Table3.110[[#This Row],[CH4 24h, ml]]/Table3.110[[#This Row],[DM Incubated, mg]]*1000</f>
        <v>24.17836118466418</v>
      </c>
      <c r="AS365" s="94">
        <f>Table3.110[[#This Row],[CH4 24h, ml]]/Table3.110[[#This Row],[Digested feed, mg]]*1000</f>
        <v>55.261647534101527</v>
      </c>
      <c r="AT365" s="94">
        <f>Table3.110[[#This Row],[CH4 24h, ml]]/'3.2 Digest'!AA365</f>
        <v>0.95489561745433538</v>
      </c>
      <c r="AU365" s="94">
        <f>((Table3.110[[#This Row],[CH4 24h, ml]]/28.9)*16.04)/Table3.110[[#This Row],[DM Incubated, mg]]*1000</f>
        <v>13.419408768235758</v>
      </c>
      <c r="AV365" s="94">
        <f>((Table3.110[[#This Row],[CH4 24h, ml]]/28.9)*16.04)/Table3.110[[#This Row],[Digested feed, mg]]*1000</f>
        <v>30.671170465293724</v>
      </c>
    </row>
    <row r="366" spans="2:49" s="89" customFormat="1" x14ac:dyDescent="0.35">
      <c r="B366" s="90">
        <f t="shared" si="5"/>
        <v>356</v>
      </c>
      <c r="C366" s="140">
        <v>46048</v>
      </c>
      <c r="D366" s="6" t="s">
        <v>16</v>
      </c>
      <c r="E366" s="6" t="s">
        <v>201</v>
      </c>
      <c r="F366" s="133" t="s">
        <v>105</v>
      </c>
      <c r="G366" s="133" t="s">
        <v>188</v>
      </c>
      <c r="H366" s="133" t="s">
        <v>189</v>
      </c>
      <c r="I366" s="125" t="s">
        <v>108</v>
      </c>
      <c r="J366" s="138" t="s">
        <v>109</v>
      </c>
      <c r="K366" s="138" t="s">
        <v>110</v>
      </c>
      <c r="L366" s="6" t="s">
        <v>200</v>
      </c>
      <c r="M366" s="93">
        <v>28</v>
      </c>
      <c r="N366" s="93">
        <v>60</v>
      </c>
      <c r="O366" s="6">
        <v>1</v>
      </c>
      <c r="P366" s="129">
        <v>3</v>
      </c>
      <c r="Q366" s="6">
        <v>19</v>
      </c>
      <c r="R366" s="98">
        <v>0.50029999999999997</v>
      </c>
      <c r="S366" s="94">
        <f>((Table3.110[[#This Row],[Sample weight, g]]*'2.1. DM'!Q123)/100)*1000</f>
        <v>485.79129999999975</v>
      </c>
      <c r="T366" s="94">
        <f>'3.2 Digest'!W366</f>
        <v>192.49129999999974</v>
      </c>
      <c r="U366" s="117">
        <v>0.37361111111111112</v>
      </c>
      <c r="V366" s="155">
        <v>40.5</v>
      </c>
      <c r="W366" s="117">
        <v>0.70138888888888884</v>
      </c>
      <c r="X366" s="97">
        <v>76.5</v>
      </c>
      <c r="Y366" s="97">
        <v>14</v>
      </c>
      <c r="Z366" s="155">
        <v>40</v>
      </c>
      <c r="AA366" s="117">
        <v>0.375</v>
      </c>
      <c r="AB366" s="155">
        <v>93.5</v>
      </c>
      <c r="AC366" s="155">
        <v>14.4</v>
      </c>
      <c r="AD366" s="96"/>
      <c r="AE366" s="94">
        <f>Table3.110[[#This Row],[Gas 8h, ml]]-Table3.110[[#This Row],[Gas 0h, ml]]</f>
        <v>36</v>
      </c>
      <c r="AF366" s="94">
        <f>Table3.110[[#This Row],[Gas 24h, ml]]-Table3.110[[#This Row],[V8 Push back, ml]]</f>
        <v>53.5</v>
      </c>
      <c r="AG366" s="94">
        <f>Table3.110[[#This Row],[GP 8h, ml]]-(AVERAGE(AE$293,AE$294,AE$385,AE$386,AE$477,AE$478))*$AG$8</f>
        <v>34.746240428868305</v>
      </c>
      <c r="AH366" s="94">
        <f>Table3.110[[#This Row],[GP 8-24h, ml]]-(AVERAGE(AF$293,AF$294,AF$385,AF$386,AF$477,AF$478))*$AG$8</f>
        <v>51.50873479879084</v>
      </c>
      <c r="AI366" s="94">
        <f>Table3.110[[#This Row],[Net gas 8-24h, ml]]+Table3.110[[#This Row],[Net gas 8h, ml]]</f>
        <v>86.254975227659145</v>
      </c>
      <c r="AJ366" s="94">
        <f>Table3.110[[#This Row],[Net gas 8h, ml]]*Table3.110[[#This Row],[CH4 8h %]]%</f>
        <v>4.864473660041563</v>
      </c>
      <c r="AK366" s="94">
        <f>Table3.110[[#This Row],[Net gas 8-24h, ml]]*Table3.110[[#This Row],[CH4 24h, %]]%</f>
        <v>7.4172578110258822</v>
      </c>
      <c r="AL366" s="94">
        <f>Table3.110[[#This Row],[CH4 8-24h, ml]]+Table3.110[[#This Row],[CH4 8h, ml]]</f>
        <v>12.281731471067445</v>
      </c>
      <c r="AM366" s="94">
        <f>(Table3.110[[#This Row],[Net gas 24h, ml]]/Table3.110[[#This Row],[DM Incubated, mg]])*1000</f>
        <v>177.5556195173919</v>
      </c>
      <c r="AN366" s="94">
        <f>'3.2 Digest'!X366</f>
        <v>39.624278985646683</v>
      </c>
      <c r="AO366" s="94">
        <f>Table3.110[[#This Row],[Digested feed, mg]]/Table3.110[[#This Row],[Net gas 24h, ml]]</f>
        <v>2.2316544580987148</v>
      </c>
      <c r="AP366" s="94">
        <f>Table3.110[[#This Row],[CH4 8h, ml]]/Table3.110[[#This Row],[Net gas 8h, ml]]%</f>
        <v>14.000000000000002</v>
      </c>
      <c r="AQ366" s="94">
        <f>Table3.110[[#This Row],[CH4 24h, ml]]/Table3.110[[#This Row],[Net gas 24h, ml]]%</f>
        <v>14.238867310148036</v>
      </c>
      <c r="AR366" s="94">
        <f>Table3.110[[#This Row],[CH4 24h, ml]]/Table3.110[[#This Row],[DM Incubated, mg]]*1000</f>
        <v>25.281909064792746</v>
      </c>
      <c r="AS366" s="94">
        <f>Table3.110[[#This Row],[CH4 24h, ml]]/Table3.110[[#This Row],[Digested feed, mg]]*1000</f>
        <v>63.80408606034382</v>
      </c>
      <c r="AT366" s="94">
        <f>Table3.110[[#This Row],[CH4 24h, ml]]/'3.2 Digest'!AA366</f>
        <v>2.0935561817969295</v>
      </c>
      <c r="AU366" s="94">
        <f>((Table3.110[[#This Row],[CH4 24h, ml]]/28.9)*16.04)/Table3.110[[#This Row],[DM Incubated, mg]]*1000</f>
        <v>14.031896934230991</v>
      </c>
      <c r="AV366" s="94">
        <f>((Table3.110[[#This Row],[CH4 24h, ml]]/28.9)*16.04)/Table3.110[[#This Row],[Digested feed, mg]]*1000</f>
        <v>35.412371640412282</v>
      </c>
    </row>
    <row r="367" spans="2:49" s="89" customFormat="1" x14ac:dyDescent="0.35">
      <c r="B367" s="90">
        <f t="shared" si="5"/>
        <v>357</v>
      </c>
      <c r="C367" s="140">
        <v>46048</v>
      </c>
      <c r="D367" s="6" t="s">
        <v>16</v>
      </c>
      <c r="E367" s="6" t="s">
        <v>203</v>
      </c>
      <c r="F367" s="133" t="s">
        <v>105</v>
      </c>
      <c r="G367" s="133" t="s">
        <v>188</v>
      </c>
      <c r="H367" s="133" t="s">
        <v>189</v>
      </c>
      <c r="I367" s="125" t="s">
        <v>108</v>
      </c>
      <c r="J367" s="138" t="s">
        <v>109</v>
      </c>
      <c r="K367" s="138" t="s">
        <v>110</v>
      </c>
      <c r="L367" s="6" t="s">
        <v>202</v>
      </c>
      <c r="M367" s="93">
        <v>28</v>
      </c>
      <c r="N367" s="93">
        <v>60</v>
      </c>
      <c r="O367" s="6">
        <v>1</v>
      </c>
      <c r="P367" s="129">
        <v>1</v>
      </c>
      <c r="Q367" s="6">
        <v>20</v>
      </c>
      <c r="R367" s="98">
        <v>0.50039999999999996</v>
      </c>
      <c r="S367" s="94">
        <f>((Table3.110[[#This Row],[Sample weight, g]]*'2.1. DM'!Q125)/100)*1000</f>
        <v>482.88775122487726</v>
      </c>
      <c r="T367" s="94">
        <f>'3.2 Digest'!W367</f>
        <v>126.48775122487723</v>
      </c>
      <c r="U367" s="153">
        <v>0.37361111111111112</v>
      </c>
      <c r="V367" s="155">
        <v>40.5</v>
      </c>
      <c r="W367" s="153">
        <v>0.70138888888888884</v>
      </c>
      <c r="X367" s="95">
        <v>75.5</v>
      </c>
      <c r="Y367" s="95">
        <v>13.6</v>
      </c>
      <c r="Z367" s="154">
        <v>40.5</v>
      </c>
      <c r="AA367" s="153">
        <v>0.37569444444444444</v>
      </c>
      <c r="AB367" s="154">
        <v>90</v>
      </c>
      <c r="AC367" s="154">
        <v>14.1</v>
      </c>
      <c r="AD367" s="91"/>
      <c r="AE367" s="94">
        <f>Table3.110[[#This Row],[Gas 8h, ml]]-Table3.110[[#This Row],[Gas 0h, ml]]</f>
        <v>35</v>
      </c>
      <c r="AF367" s="94">
        <f>Table3.110[[#This Row],[Gas 24h, ml]]-Table3.110[[#This Row],[V8 Push back, ml]]</f>
        <v>49.5</v>
      </c>
      <c r="AG367" s="94">
        <f>Table3.110[[#This Row],[GP 8h, ml]]-(AVERAGE(AE$293,AE$294,AE$385,AE$386,AE$477,AE$478))*$AG$8</f>
        <v>33.746240428868305</v>
      </c>
      <c r="AH367" s="94">
        <f>Table3.110[[#This Row],[GP 8-24h, ml]]-(AVERAGE(AF$293,AF$294,AF$385,AF$386,AF$477,AF$478))*$AG$8</f>
        <v>47.50873479879084</v>
      </c>
      <c r="AI367" s="94">
        <f>Table3.110[[#This Row],[Net gas 8-24h, ml]]+Table3.110[[#This Row],[Net gas 8h, ml]]</f>
        <v>81.254975227659145</v>
      </c>
      <c r="AJ367" s="94">
        <f>Table3.110[[#This Row],[Net gas 8h, ml]]*Table3.110[[#This Row],[CH4 8h %]]%</f>
        <v>4.5894886983260896</v>
      </c>
      <c r="AK367" s="94">
        <f>Table3.110[[#This Row],[Net gas 8-24h, ml]]*Table3.110[[#This Row],[CH4 24h, %]]%</f>
        <v>6.698731606629508</v>
      </c>
      <c r="AL367" s="94">
        <f>Table3.110[[#This Row],[CH4 8-24h, ml]]+Table3.110[[#This Row],[CH4 8h, ml]]</f>
        <v>11.288220304955598</v>
      </c>
      <c r="AM367" s="94">
        <f>(Table3.110[[#This Row],[Net gas 24h, ml]]/Table3.110[[#This Row],[DM Incubated, mg]])*1000</f>
        <v>168.26886791298895</v>
      </c>
      <c r="AN367" s="94">
        <f>'3.2 Digest'!X367</f>
        <v>26.194027681181094</v>
      </c>
      <c r="AO367" s="94">
        <f>Table3.110[[#This Row],[Digested feed, mg]]/Table3.110[[#This Row],[Net gas 24h, ml]]</f>
        <v>1.5566770018757063</v>
      </c>
      <c r="AP367" s="94">
        <f>Table3.110[[#This Row],[CH4 8h, ml]]/Table3.110[[#This Row],[Net gas 8h, ml]]%</f>
        <v>13.6</v>
      </c>
      <c r="AQ367" s="94">
        <f>Table3.110[[#This Row],[CH4 24h, ml]]/Table3.110[[#This Row],[Net gas 24h, ml]]%</f>
        <v>13.892343543676443</v>
      </c>
      <c r="AR367" s="94">
        <f>Table3.110[[#This Row],[CH4 24h, ml]]/Table3.110[[#This Row],[DM Incubated, mg]]*1000</f>
        <v>23.376489207527563</v>
      </c>
      <c r="AS367" s="94">
        <f>Table3.110[[#This Row],[CH4 24h, ml]]/Table3.110[[#This Row],[Digested feed, mg]]*1000</f>
        <v>89.243584423338731</v>
      </c>
      <c r="AT367" s="94">
        <f>Table3.110[[#This Row],[CH4 24h, ml]]/'3.2 Digest'!AA367</f>
        <v>-1.3712992939665796</v>
      </c>
      <c r="AU367" s="94">
        <f>((Table3.110[[#This Row],[CH4 24h, ml]]/28.9)*16.04)/Table3.110[[#This Row],[DM Incubated, mg]]*1000</f>
        <v>12.974355947707339</v>
      </c>
      <c r="AV367" s="94">
        <f>((Table3.110[[#This Row],[CH4 24h, ml]]/28.9)*16.04)/Table3.110[[#This Row],[Digested feed, mg]]*1000</f>
        <v>49.531733361603912</v>
      </c>
    </row>
    <row r="368" spans="2:49" s="89" customFormat="1" x14ac:dyDescent="0.35">
      <c r="B368" s="90">
        <f t="shared" si="5"/>
        <v>358</v>
      </c>
      <c r="C368" s="140">
        <v>46048</v>
      </c>
      <c r="D368" s="6" t="s">
        <v>16</v>
      </c>
      <c r="E368" s="6" t="s">
        <v>203</v>
      </c>
      <c r="F368" s="133" t="s">
        <v>105</v>
      </c>
      <c r="G368" s="133" t="s">
        <v>188</v>
      </c>
      <c r="H368" s="133" t="s">
        <v>189</v>
      </c>
      <c r="I368" s="125" t="s">
        <v>108</v>
      </c>
      <c r="J368" s="138" t="s">
        <v>109</v>
      </c>
      <c r="K368" s="138" t="s">
        <v>110</v>
      </c>
      <c r="L368" s="6" t="s">
        <v>202</v>
      </c>
      <c r="M368" s="93">
        <v>28</v>
      </c>
      <c r="N368" s="93">
        <v>60</v>
      </c>
      <c r="O368" s="6">
        <v>1</v>
      </c>
      <c r="P368" s="129">
        <v>2</v>
      </c>
      <c r="Q368" s="6">
        <v>21</v>
      </c>
      <c r="R368" s="98">
        <v>0.50049999999999994</v>
      </c>
      <c r="S368" s="94">
        <f>((Table3.110[[#This Row],[Sample weight, g]]*'2.1. DM'!Q125)/100)*1000</f>
        <v>482.98425157484229</v>
      </c>
      <c r="T368" s="94">
        <f>'3.2 Digest'!W368</f>
        <v>123.88425157484232</v>
      </c>
      <c r="U368" s="117">
        <v>0.37361111111111112</v>
      </c>
      <c r="V368" s="155">
        <v>41</v>
      </c>
      <c r="W368" s="117">
        <v>0.70208333333333328</v>
      </c>
      <c r="X368" s="97">
        <v>77</v>
      </c>
      <c r="Y368" s="97">
        <v>13.3</v>
      </c>
      <c r="Z368" s="155">
        <v>40.5</v>
      </c>
      <c r="AA368" s="117">
        <v>0.37569444444444444</v>
      </c>
      <c r="AB368" s="155">
        <v>89.5</v>
      </c>
      <c r="AC368" s="155">
        <v>14.1</v>
      </c>
      <c r="AD368" s="96"/>
      <c r="AE368" s="94">
        <f>Table3.110[[#This Row],[Gas 8h, ml]]-Table3.110[[#This Row],[Gas 0h, ml]]</f>
        <v>36</v>
      </c>
      <c r="AF368" s="94">
        <f>Table3.110[[#This Row],[Gas 24h, ml]]-Table3.110[[#This Row],[V8 Push back, ml]]</f>
        <v>49</v>
      </c>
      <c r="AG368" s="94">
        <f>Table3.110[[#This Row],[GP 8h, ml]]-(AVERAGE(AE$293,AE$294,AE$385,AE$386,AE$477,AE$478))*$AG$8</f>
        <v>34.746240428868305</v>
      </c>
      <c r="AH368" s="94">
        <f>Table3.110[[#This Row],[GP 8-24h, ml]]-(AVERAGE(AF$293,AF$294,AF$385,AF$386,AF$477,AF$478))*$AG$8</f>
        <v>47.00873479879084</v>
      </c>
      <c r="AI368" s="94">
        <f>Table3.110[[#This Row],[Net gas 8-24h, ml]]+Table3.110[[#This Row],[Net gas 8h, ml]]</f>
        <v>81.754975227659145</v>
      </c>
      <c r="AJ368" s="94">
        <f>Table3.110[[#This Row],[Net gas 8h, ml]]*Table3.110[[#This Row],[CH4 8h %]]%</f>
        <v>4.6212499770394846</v>
      </c>
      <c r="AK368" s="94">
        <f>Table3.110[[#This Row],[Net gas 8-24h, ml]]*Table3.110[[#This Row],[CH4 24h, %]]%</f>
        <v>6.6282316066295079</v>
      </c>
      <c r="AL368" s="94">
        <f>Table3.110[[#This Row],[CH4 8-24h, ml]]+Table3.110[[#This Row],[CH4 8h, ml]]</f>
        <v>11.249481583668992</v>
      </c>
      <c r="AM368" s="94">
        <f>(Table3.110[[#This Row],[Net gas 24h, ml]]/Table3.110[[#This Row],[DM Incubated, mg]])*1000</f>
        <v>169.27047820106935</v>
      </c>
      <c r="AN368" s="94">
        <f>'3.2 Digest'!X368</f>
        <v>25.649749690781682</v>
      </c>
      <c r="AO368" s="94">
        <f>Table3.110[[#This Row],[Digested feed, mg]]/Table3.110[[#This Row],[Net gas 24h, ml]]</f>
        <v>1.5153114685665039</v>
      </c>
      <c r="AP368" s="94">
        <f>Table3.110[[#This Row],[CH4 8h, ml]]/Table3.110[[#This Row],[Net gas 8h, ml]]%</f>
        <v>13.3</v>
      </c>
      <c r="AQ368" s="94">
        <f>Table3.110[[#This Row],[CH4 24h, ml]]/Table3.110[[#This Row],[Net gas 24h, ml]]%</f>
        <v>13.759996321132876</v>
      </c>
      <c r="AR368" s="94">
        <f>Table3.110[[#This Row],[CH4 24h, ml]]/Table3.110[[#This Row],[DM Incubated, mg]]*1000</f>
        <v>23.291611573231172</v>
      </c>
      <c r="AS368" s="94">
        <f>Table3.110[[#This Row],[CH4 24h, ml]]/Table3.110[[#This Row],[Digested feed, mg]]*1000</f>
        <v>90.806389356703903</v>
      </c>
      <c r="AT368" s="94">
        <f>Table3.110[[#This Row],[CH4 24h, ml]]/'3.2 Digest'!AA368</f>
        <v>-1.2458009355248469</v>
      </c>
      <c r="AU368" s="94">
        <f>((Table3.110[[#This Row],[CH4 24h, ml]]/28.9)*16.04)/Table3.110[[#This Row],[DM Incubated, mg]]*1000</f>
        <v>12.927247392201659</v>
      </c>
      <c r="AV368" s="94">
        <f>((Table3.110[[#This Row],[CH4 24h, ml]]/28.9)*16.04)/Table3.110[[#This Row],[Digested feed, mg]]*1000</f>
        <v>50.399117137769224</v>
      </c>
    </row>
    <row r="369" spans="2:49" s="89" customFormat="1" x14ac:dyDescent="0.35">
      <c r="B369" s="90">
        <f t="shared" si="5"/>
        <v>359</v>
      </c>
      <c r="C369" s="140">
        <v>46048</v>
      </c>
      <c r="D369" s="6" t="s">
        <v>16</v>
      </c>
      <c r="E369" s="6" t="s">
        <v>203</v>
      </c>
      <c r="F369" s="133" t="s">
        <v>105</v>
      </c>
      <c r="G369" s="133" t="s">
        <v>188</v>
      </c>
      <c r="H369" s="133" t="s">
        <v>189</v>
      </c>
      <c r="I369" s="125" t="s">
        <v>108</v>
      </c>
      <c r="J369" s="138" t="s">
        <v>109</v>
      </c>
      <c r="K369" s="138" t="s">
        <v>110</v>
      </c>
      <c r="L369" s="6" t="s">
        <v>202</v>
      </c>
      <c r="M369" s="93">
        <v>28</v>
      </c>
      <c r="N369" s="93">
        <v>60</v>
      </c>
      <c r="O369" s="6">
        <v>1</v>
      </c>
      <c r="P369" s="129">
        <v>3</v>
      </c>
      <c r="Q369" s="6">
        <v>17</v>
      </c>
      <c r="R369" s="98">
        <v>0.50049999999999994</v>
      </c>
      <c r="S369" s="94">
        <f>((Table3.110[[#This Row],[Sample weight, g]]*'2.1. DM'!Q125)/100)*1000</f>
        <v>482.98425157484229</v>
      </c>
      <c r="T369" s="94">
        <f>'3.2 Digest'!W369</f>
        <v>130.18425157484228</v>
      </c>
      <c r="U369" s="153">
        <v>0.37430555555555556</v>
      </c>
      <c r="V369" s="155">
        <v>40.5</v>
      </c>
      <c r="W369" s="153">
        <v>0.70208333333333328</v>
      </c>
      <c r="X369" s="95">
        <v>76</v>
      </c>
      <c r="Y369" s="95">
        <v>13.2</v>
      </c>
      <c r="Z369" s="154">
        <v>40</v>
      </c>
      <c r="AA369" s="153">
        <v>0.37638888888888888</v>
      </c>
      <c r="AB369" s="154">
        <v>91.5</v>
      </c>
      <c r="AC369" s="154">
        <v>14</v>
      </c>
      <c r="AD369" s="91"/>
      <c r="AE369" s="94">
        <f>Table3.110[[#This Row],[Gas 8h, ml]]-Table3.110[[#This Row],[Gas 0h, ml]]</f>
        <v>35.5</v>
      </c>
      <c r="AF369" s="94">
        <f>Table3.110[[#This Row],[Gas 24h, ml]]-Table3.110[[#This Row],[V8 Push back, ml]]</f>
        <v>51.5</v>
      </c>
      <c r="AG369" s="94">
        <f>Table3.110[[#This Row],[GP 8h, ml]]-(AVERAGE(AE$293,AE$294,AE$385,AE$386,AE$477,AE$478))*$AG$8</f>
        <v>34.246240428868305</v>
      </c>
      <c r="AH369" s="94">
        <f>Table3.110[[#This Row],[GP 8-24h, ml]]-(AVERAGE(AF$293,AF$294,AF$385,AF$386,AF$477,AF$478))*$AG$8</f>
        <v>49.50873479879084</v>
      </c>
      <c r="AI369" s="94">
        <f>Table3.110[[#This Row],[Net gas 8-24h, ml]]+Table3.110[[#This Row],[Net gas 8h, ml]]</f>
        <v>83.754975227659145</v>
      </c>
      <c r="AJ369" s="94">
        <f>Table3.110[[#This Row],[Net gas 8h, ml]]*Table3.110[[#This Row],[CH4 8h %]]%</f>
        <v>4.5205037366106167</v>
      </c>
      <c r="AK369" s="94">
        <f>Table3.110[[#This Row],[Net gas 8-24h, ml]]*Table3.110[[#This Row],[CH4 24h, %]]%</f>
        <v>6.9312228718307187</v>
      </c>
      <c r="AL369" s="94">
        <f>Table3.110[[#This Row],[CH4 8-24h, ml]]+Table3.110[[#This Row],[CH4 8h, ml]]</f>
        <v>11.451726608441335</v>
      </c>
      <c r="AM369" s="94">
        <f>(Table3.110[[#This Row],[Net gas 24h, ml]]/Table3.110[[#This Row],[DM Incubated, mg]])*1000</f>
        <v>173.41139996710768</v>
      </c>
      <c r="AN369" s="94">
        <f>'3.2 Digest'!X369</f>
        <v>26.954140047083747</v>
      </c>
      <c r="AO369" s="94">
        <f>Table3.110[[#This Row],[Digested feed, mg]]/Table3.110[[#This Row],[Net gas 24h, ml]]</f>
        <v>1.5543464877278166</v>
      </c>
      <c r="AP369" s="94">
        <f>Table3.110[[#This Row],[CH4 8h, ml]]/Table3.110[[#This Row],[Net gas 8h, ml]]%</f>
        <v>13.200000000000003</v>
      </c>
      <c r="AQ369" s="94">
        <f>Table3.110[[#This Row],[CH4 24h, ml]]/Table3.110[[#This Row],[Net gas 24h, ml]]%</f>
        <v>13.67289116534719</v>
      </c>
      <c r="AR369" s="94">
        <f>Table3.110[[#This Row],[CH4 24h, ml]]/Table3.110[[#This Row],[DM Incubated, mg]]*1000</f>
        <v>23.710351985807552</v>
      </c>
      <c r="AS369" s="94">
        <f>Table3.110[[#This Row],[CH4 24h, ml]]/Table3.110[[#This Row],[Digested feed, mg]]*1000</f>
        <v>87.965529393221544</v>
      </c>
      <c r="AT369" s="94">
        <f>Table3.110[[#This Row],[CH4 24h, ml]]/'3.2 Digest'!AA369</f>
        <v>-1.6090408991847687</v>
      </c>
      <c r="AU369" s="94">
        <f>((Table3.110[[#This Row],[CH4 24h, ml]]/28.9)*16.04)/Table3.110[[#This Row],[DM Incubated, mg]]*1000</f>
        <v>13.159655565825366</v>
      </c>
      <c r="AV369" s="94">
        <f>((Table3.110[[#This Row],[CH4 24h, ml]]/28.9)*16.04)/Table3.110[[#This Row],[Digested feed, mg]]*1000</f>
        <v>48.82239070821015</v>
      </c>
    </row>
    <row r="370" spans="2:49" s="89" customFormat="1" x14ac:dyDescent="0.35">
      <c r="B370" s="90">
        <f t="shared" si="5"/>
        <v>360</v>
      </c>
      <c r="C370" s="140">
        <v>46048</v>
      </c>
      <c r="D370" s="6" t="s">
        <v>16</v>
      </c>
      <c r="E370" s="6" t="s">
        <v>205</v>
      </c>
      <c r="F370" s="133" t="s">
        <v>105</v>
      </c>
      <c r="G370" s="133" t="s">
        <v>188</v>
      </c>
      <c r="H370" s="133" t="s">
        <v>189</v>
      </c>
      <c r="I370" s="125" t="s">
        <v>108</v>
      </c>
      <c r="J370" s="138" t="s">
        <v>109</v>
      </c>
      <c r="K370" s="138" t="s">
        <v>110</v>
      </c>
      <c r="L370" s="6" t="s">
        <v>204</v>
      </c>
      <c r="M370" s="93">
        <v>28</v>
      </c>
      <c r="N370" s="93">
        <v>60</v>
      </c>
      <c r="O370" s="6">
        <v>1</v>
      </c>
      <c r="P370" s="129">
        <v>1</v>
      </c>
      <c r="Q370" s="6">
        <v>18</v>
      </c>
      <c r="R370" s="98">
        <v>0.50049999999999994</v>
      </c>
      <c r="S370" s="94">
        <f>((Table3.110[[#This Row],[Sample weight, g]]*'2.1. DM'!Q127)/100)*1000</f>
        <v>484.81793102684969</v>
      </c>
      <c r="T370" s="94">
        <f>'3.2 Digest'!W370</f>
        <v>111.51793102684974</v>
      </c>
      <c r="U370" s="117">
        <v>0.375</v>
      </c>
      <c r="V370" s="155">
        <v>40.5</v>
      </c>
      <c r="W370" s="117">
        <v>0.70277777777777772</v>
      </c>
      <c r="X370" s="97">
        <v>75</v>
      </c>
      <c r="Y370" s="97">
        <v>13.8</v>
      </c>
      <c r="Z370" s="155">
        <v>40.5</v>
      </c>
      <c r="AA370" s="117">
        <v>0.37708333333333333</v>
      </c>
      <c r="AB370" s="155">
        <v>85.5</v>
      </c>
      <c r="AC370" s="155">
        <v>14.7</v>
      </c>
      <c r="AD370" s="96"/>
      <c r="AE370" s="94">
        <f>Table3.110[[#This Row],[Gas 8h, ml]]-Table3.110[[#This Row],[Gas 0h, ml]]</f>
        <v>34.5</v>
      </c>
      <c r="AF370" s="94">
        <f>Table3.110[[#This Row],[Gas 24h, ml]]-Table3.110[[#This Row],[V8 Push back, ml]]</f>
        <v>45</v>
      </c>
      <c r="AG370" s="94">
        <f>Table3.110[[#This Row],[GP 8h, ml]]-(AVERAGE(AE$293,AE$294,AE$385,AE$386,AE$477,AE$478))*$AG$8</f>
        <v>33.246240428868305</v>
      </c>
      <c r="AH370" s="94">
        <f>Table3.110[[#This Row],[GP 8-24h, ml]]-(AVERAGE(AF$293,AF$294,AF$385,AF$386,AF$477,AF$478))*$AG$8</f>
        <v>43.00873479879084</v>
      </c>
      <c r="AI370" s="94">
        <f>Table3.110[[#This Row],[Net gas 8-24h, ml]]+Table3.110[[#This Row],[Net gas 8h, ml]]</f>
        <v>76.254975227659145</v>
      </c>
      <c r="AJ370" s="94">
        <f>Table3.110[[#This Row],[Net gas 8h, ml]]*Table3.110[[#This Row],[CH4 8h %]]%</f>
        <v>4.5879811791838261</v>
      </c>
      <c r="AK370" s="94">
        <f>Table3.110[[#This Row],[Net gas 8-24h, ml]]*Table3.110[[#This Row],[CH4 24h, %]]%</f>
        <v>6.3222840154222535</v>
      </c>
      <c r="AL370" s="94">
        <f>Table3.110[[#This Row],[CH4 8-24h, ml]]+Table3.110[[#This Row],[CH4 8h, ml]]</f>
        <v>10.91026519460608</v>
      </c>
      <c r="AM370" s="94">
        <f>(Table3.110[[#This Row],[Net gas 24h, ml]]/Table3.110[[#This Row],[DM Incubated, mg]])*1000</f>
        <v>157.28579812662923</v>
      </c>
      <c r="AN370" s="94">
        <f>'3.2 Digest'!X370</f>
        <v>23.002022798672801</v>
      </c>
      <c r="AO370" s="94">
        <f>Table3.110[[#This Row],[Digested feed, mg]]/Table3.110[[#This Row],[Net gas 24h, ml]]</f>
        <v>1.4624348207302287</v>
      </c>
      <c r="AP370" s="94">
        <f>Table3.110[[#This Row],[CH4 8h, ml]]/Table3.110[[#This Row],[Net gas 8h, ml]]%</f>
        <v>13.799999999999999</v>
      </c>
      <c r="AQ370" s="94">
        <f>Table3.110[[#This Row],[CH4 24h, ml]]/Table3.110[[#This Row],[Net gas 24h, ml]]%</f>
        <v>14.307610961820517</v>
      </c>
      <c r="AR370" s="94">
        <f>Table3.110[[#This Row],[CH4 24h, ml]]/Table3.110[[#This Row],[DM Incubated, mg]]*1000</f>
        <v>22.503840094152494</v>
      </c>
      <c r="AS370" s="94">
        <f>Table3.110[[#This Row],[CH4 24h, ml]]/Table3.110[[#This Row],[Digested feed, mg]]*1000</f>
        <v>97.834178720364335</v>
      </c>
      <c r="AT370" s="94">
        <f>Table3.110[[#This Row],[CH4 24h, ml]]/'3.2 Digest'!AA370</f>
        <v>-1.0047392055064492</v>
      </c>
      <c r="AU370" s="94">
        <f>((Table3.110[[#This Row],[CH4 24h, ml]]/28.9)*16.04)/Table3.110[[#This Row],[DM Incubated, mg]]*1000</f>
        <v>12.490020592048653</v>
      </c>
      <c r="AV370" s="94">
        <f>((Table3.110[[#This Row],[CH4 24h, ml]]/28.9)*16.04)/Table3.110[[#This Row],[Digested feed, mg]]*1000</f>
        <v>54.299661822652041</v>
      </c>
    </row>
    <row r="371" spans="2:49" s="89" customFormat="1" x14ac:dyDescent="0.35">
      <c r="B371" s="90">
        <f t="shared" si="5"/>
        <v>361</v>
      </c>
      <c r="C371" s="140">
        <v>46048</v>
      </c>
      <c r="D371" s="6" t="s">
        <v>16</v>
      </c>
      <c r="E371" s="6" t="s">
        <v>205</v>
      </c>
      <c r="F371" s="133" t="s">
        <v>105</v>
      </c>
      <c r="G371" s="133" t="s">
        <v>188</v>
      </c>
      <c r="H371" s="133" t="s">
        <v>189</v>
      </c>
      <c r="I371" s="125" t="s">
        <v>108</v>
      </c>
      <c r="J371" s="138" t="s">
        <v>109</v>
      </c>
      <c r="K371" s="138" t="s">
        <v>110</v>
      </c>
      <c r="L371" s="6" t="s">
        <v>204</v>
      </c>
      <c r="M371" s="93">
        <v>28</v>
      </c>
      <c r="N371" s="93">
        <v>60</v>
      </c>
      <c r="O371" s="6">
        <v>1</v>
      </c>
      <c r="P371" s="129">
        <v>2</v>
      </c>
      <c r="Q371" s="6">
        <v>14</v>
      </c>
      <c r="R371" s="98">
        <v>0.50019999999999998</v>
      </c>
      <c r="S371" s="94">
        <f>((Table3.110[[#This Row],[Sample weight, g]]*'2.1. DM'!Q127)/100)*1000</f>
        <v>484.52733086839203</v>
      </c>
      <c r="T371" s="94">
        <f>'3.2 Digest'!W371</f>
        <v>77.327330868392153</v>
      </c>
      <c r="U371" s="153">
        <v>0.375</v>
      </c>
      <c r="V371" s="155">
        <v>41.5</v>
      </c>
      <c r="W371" s="153">
        <v>0.70277777777777772</v>
      </c>
      <c r="X371" s="95">
        <v>76.5</v>
      </c>
      <c r="Y371" s="95">
        <v>13.8</v>
      </c>
      <c r="Z371" s="154">
        <v>40.5</v>
      </c>
      <c r="AA371" s="153">
        <v>0.37708333333333333</v>
      </c>
      <c r="AB371" s="154">
        <v>92.5</v>
      </c>
      <c r="AC371" s="154">
        <v>14.4</v>
      </c>
      <c r="AD371" s="91"/>
      <c r="AE371" s="94">
        <f>Table3.110[[#This Row],[Gas 8h, ml]]-Table3.110[[#This Row],[Gas 0h, ml]]</f>
        <v>35</v>
      </c>
      <c r="AF371" s="94">
        <f>Table3.110[[#This Row],[Gas 24h, ml]]-Table3.110[[#This Row],[V8 Push back, ml]]</f>
        <v>52</v>
      </c>
      <c r="AG371" s="94">
        <f>Table3.110[[#This Row],[GP 8h, ml]]-(AVERAGE(AE$293,AE$294,AE$385,AE$386,AE$477,AE$478))*$AG$8</f>
        <v>33.746240428868305</v>
      </c>
      <c r="AH371" s="94">
        <f>Table3.110[[#This Row],[GP 8-24h, ml]]-(AVERAGE(AF$293,AF$294,AF$385,AF$386,AF$477,AF$478))*$AG$8</f>
        <v>50.00873479879084</v>
      </c>
      <c r="AI371" s="94">
        <f>Table3.110[[#This Row],[Net gas 8-24h, ml]]+Table3.110[[#This Row],[Net gas 8h, ml]]</f>
        <v>83.754975227659145</v>
      </c>
      <c r="AJ371" s="94">
        <f>Table3.110[[#This Row],[Net gas 8h, ml]]*Table3.110[[#This Row],[CH4 8h %]]%</f>
        <v>4.656981179183826</v>
      </c>
      <c r="AK371" s="94">
        <f>Table3.110[[#This Row],[Net gas 8-24h, ml]]*Table3.110[[#This Row],[CH4 24h, %]]%</f>
        <v>7.201257811025882</v>
      </c>
      <c r="AL371" s="94">
        <f>Table3.110[[#This Row],[CH4 8-24h, ml]]+Table3.110[[#This Row],[CH4 8h, ml]]</f>
        <v>11.858238990209708</v>
      </c>
      <c r="AM371" s="94">
        <f>(Table3.110[[#This Row],[Net gas 24h, ml]]/Table3.110[[#This Row],[DM Incubated, mg]])*1000</f>
        <v>172.8591348553025</v>
      </c>
      <c r="AN371" s="94">
        <f>'3.2 Digest'!X371</f>
        <v>15.959333136028173</v>
      </c>
      <c r="AO371" s="94">
        <f>Table3.110[[#This Row],[Digested feed, mg]]/Table3.110[[#This Row],[Net gas 24h, ml]]</f>
        <v>0.92325656664818245</v>
      </c>
      <c r="AP371" s="94">
        <f>Table3.110[[#This Row],[CH4 8h, ml]]/Table3.110[[#This Row],[Net gas 8h, ml]]%</f>
        <v>13.799999999999999</v>
      </c>
      <c r="AQ371" s="94">
        <f>Table3.110[[#This Row],[CH4 24h, ml]]/Table3.110[[#This Row],[Net gas 24h, ml]]%</f>
        <v>14.158250250778723</v>
      </c>
      <c r="AR371" s="94">
        <f>Table3.110[[#This Row],[CH4 24h, ml]]/Table3.110[[#This Row],[DM Incubated, mg]]*1000</f>
        <v>24.473828894144795</v>
      </c>
      <c r="AS371" s="94">
        <f>Table3.110[[#This Row],[CH4 24h, ml]]/Table3.110[[#This Row],[Digested feed, mg]]*1000</f>
        <v>153.35120011308717</v>
      </c>
      <c r="AT371" s="94">
        <f>Table3.110[[#This Row],[CH4 24h, ml]]/'3.2 Digest'!AA371</f>
        <v>-0.56471559159797569</v>
      </c>
      <c r="AU371" s="94">
        <f>((Table3.110[[#This Row],[CH4 24h, ml]]/28.9)*16.04)/Table3.110[[#This Row],[DM Incubated, mg]]*1000</f>
        <v>13.583398458895591</v>
      </c>
      <c r="AV371" s="94">
        <f>((Table3.110[[#This Row],[CH4 24h, ml]]/28.9)*16.04)/Table3.110[[#This Row],[Digested feed, mg]]*1000</f>
        <v>85.112569197713441</v>
      </c>
    </row>
    <row r="372" spans="2:49" s="89" customFormat="1" x14ac:dyDescent="0.35">
      <c r="B372" s="90">
        <f t="shared" si="5"/>
        <v>362</v>
      </c>
      <c r="C372" s="140">
        <v>46048</v>
      </c>
      <c r="D372" s="6" t="s">
        <v>16</v>
      </c>
      <c r="E372" s="6" t="s">
        <v>205</v>
      </c>
      <c r="F372" s="133" t="s">
        <v>105</v>
      </c>
      <c r="G372" s="133" t="s">
        <v>188</v>
      </c>
      <c r="H372" s="133" t="s">
        <v>189</v>
      </c>
      <c r="I372" s="125" t="s">
        <v>108</v>
      </c>
      <c r="J372" s="138" t="s">
        <v>109</v>
      </c>
      <c r="K372" s="138" t="s">
        <v>110</v>
      </c>
      <c r="L372" s="6" t="s">
        <v>204</v>
      </c>
      <c r="M372" s="93">
        <v>28</v>
      </c>
      <c r="N372" s="93">
        <v>60</v>
      </c>
      <c r="O372" s="6">
        <v>1</v>
      </c>
      <c r="P372" s="129">
        <v>3</v>
      </c>
      <c r="Q372" s="6">
        <v>15</v>
      </c>
      <c r="R372" s="98">
        <v>0.50049999999999994</v>
      </c>
      <c r="S372" s="94">
        <f>((Table3.110[[#This Row],[Sample weight, g]]*'2.1. DM'!Q127)/100)*1000</f>
        <v>484.81793102684969</v>
      </c>
      <c r="T372" s="94">
        <f>'3.2 Digest'!W372</f>
        <v>148.51793102684974</v>
      </c>
      <c r="U372" s="117">
        <v>0.37569444444444444</v>
      </c>
      <c r="V372" s="155">
        <v>41</v>
      </c>
      <c r="W372" s="117">
        <v>0.70347222222222228</v>
      </c>
      <c r="X372" s="97">
        <v>77.5</v>
      </c>
      <c r="Y372" s="97">
        <v>13.6</v>
      </c>
      <c r="Z372" s="155">
        <v>40.5</v>
      </c>
      <c r="AA372" s="117">
        <v>0.37777777777777777</v>
      </c>
      <c r="AB372" s="155">
        <v>93.5</v>
      </c>
      <c r="AC372" s="155">
        <v>14.3</v>
      </c>
      <c r="AD372" s="96"/>
      <c r="AE372" s="94">
        <f>Table3.110[[#This Row],[Gas 8h, ml]]-Table3.110[[#This Row],[Gas 0h, ml]]</f>
        <v>36.5</v>
      </c>
      <c r="AF372" s="94">
        <f>Table3.110[[#This Row],[Gas 24h, ml]]-Table3.110[[#This Row],[V8 Push back, ml]]</f>
        <v>53</v>
      </c>
      <c r="AG372" s="94">
        <f>Table3.110[[#This Row],[GP 8h, ml]]-(AVERAGE(AE$293,AE$294,AE$385,AE$386,AE$477,AE$478))*$AG$8</f>
        <v>35.246240428868305</v>
      </c>
      <c r="AH372" s="94">
        <f>Table3.110[[#This Row],[GP 8-24h, ml]]-(AVERAGE(AF$293,AF$294,AF$385,AF$386,AF$477,AF$478))*$AG$8</f>
        <v>51.00873479879084</v>
      </c>
      <c r="AI372" s="94">
        <f>Table3.110[[#This Row],[Net gas 8-24h, ml]]+Table3.110[[#This Row],[Net gas 8h, ml]]</f>
        <v>86.254975227659145</v>
      </c>
      <c r="AJ372" s="94">
        <f>Table3.110[[#This Row],[Net gas 8h, ml]]*Table3.110[[#This Row],[CH4 8h %]]%</f>
        <v>4.7934886983260894</v>
      </c>
      <c r="AK372" s="94">
        <f>Table3.110[[#This Row],[Net gas 8-24h, ml]]*Table3.110[[#This Row],[CH4 24h, %]]%</f>
        <v>7.2942490762270911</v>
      </c>
      <c r="AL372" s="94">
        <f>Table3.110[[#This Row],[CH4 8-24h, ml]]+Table3.110[[#This Row],[CH4 8h, ml]]</f>
        <v>12.08773777455318</v>
      </c>
      <c r="AM372" s="94">
        <f>(Table3.110[[#This Row],[Net gas 24h, ml]]/Table3.110[[#This Row],[DM Incubated, mg]])*1000</f>
        <v>177.91209793946805</v>
      </c>
      <c r="AN372" s="94">
        <f>'3.2 Digest'!X372</f>
        <v>30.633753729423152</v>
      </c>
      <c r="AO372" s="94">
        <f>Table3.110[[#This Row],[Digested feed, mg]]/Table3.110[[#This Row],[Net gas 24h, ml]]</f>
        <v>1.7218477036815021</v>
      </c>
      <c r="AP372" s="94">
        <f>Table3.110[[#This Row],[CH4 8h, ml]]/Table3.110[[#This Row],[Net gas 8h, ml]]%</f>
        <v>13.6</v>
      </c>
      <c r="AQ372" s="94">
        <f>Table3.110[[#This Row],[CH4 24h, ml]]/Table3.110[[#This Row],[Net gas 24h, ml]]%</f>
        <v>14.01396005581025</v>
      </c>
      <c r="AR372" s="94">
        <f>Table3.110[[#This Row],[CH4 24h, ml]]/Table3.110[[#This Row],[DM Incubated, mg]]*1000</f>
        <v>24.932530339691066</v>
      </c>
      <c r="AS372" s="94">
        <f>Table3.110[[#This Row],[CH4 24h, ml]]/Table3.110[[#This Row],[Digested feed, mg]]*1000</f>
        <v>81.38908003214712</v>
      </c>
      <c r="AT372" s="94">
        <f>Table3.110[[#This Row],[CH4 24h, ml]]/'3.2 Digest'!AA372</f>
        <v>93.647349739982303</v>
      </c>
      <c r="AU372" s="94">
        <f>((Table3.110[[#This Row],[CH4 24h, ml]]/28.9)*16.04)/Table3.110[[#This Row],[DM Incubated, mg]]*1000</f>
        <v>13.837985697184935</v>
      </c>
      <c r="AV372" s="94">
        <f>((Table3.110[[#This Row],[CH4 24h, ml]]/28.9)*16.04)/Table3.110[[#This Row],[Digested feed, mg]]*1000</f>
        <v>45.172347533413145</v>
      </c>
    </row>
    <row r="373" spans="2:49" s="89" customFormat="1" x14ac:dyDescent="0.35">
      <c r="B373" s="90">
        <f t="shared" si="5"/>
        <v>363</v>
      </c>
      <c r="C373" s="140">
        <v>46048</v>
      </c>
      <c r="D373" s="6" t="s">
        <v>16</v>
      </c>
      <c r="E373" s="6" t="s">
        <v>207</v>
      </c>
      <c r="F373" s="133" t="s">
        <v>105</v>
      </c>
      <c r="G373" s="133" t="s">
        <v>188</v>
      </c>
      <c r="H373" s="133" t="s">
        <v>189</v>
      </c>
      <c r="I373" s="125" t="s">
        <v>108</v>
      </c>
      <c r="J373" s="138" t="s">
        <v>109</v>
      </c>
      <c r="K373" s="138" t="s">
        <v>110</v>
      </c>
      <c r="L373" s="6" t="s">
        <v>206</v>
      </c>
      <c r="M373" s="93">
        <v>28</v>
      </c>
      <c r="N373" s="93">
        <v>60</v>
      </c>
      <c r="O373" s="6">
        <v>1</v>
      </c>
      <c r="P373" s="129">
        <v>1</v>
      </c>
      <c r="Q373" s="6">
        <v>16</v>
      </c>
      <c r="R373" s="98">
        <v>0.5</v>
      </c>
      <c r="S373" s="94">
        <f>((Table3.110[[#This Row],[Sample weight, g]]*'2.1. DM'!Q129)/100)*1000</f>
        <v>488.27677696690995</v>
      </c>
      <c r="T373" s="94">
        <f>'3.2 Digest'!W373</f>
        <v>205.87677696690997</v>
      </c>
      <c r="U373" s="153">
        <v>0.37569444444444444</v>
      </c>
      <c r="V373" s="155">
        <v>41</v>
      </c>
      <c r="W373" s="153">
        <v>0.70347222222222228</v>
      </c>
      <c r="X373" s="95">
        <v>78.5</v>
      </c>
      <c r="Y373" s="95">
        <v>13.7</v>
      </c>
      <c r="Z373" s="154">
        <v>40.5</v>
      </c>
      <c r="AA373" s="153">
        <v>0.37777777777777777</v>
      </c>
      <c r="AB373" s="154">
        <v>91.5</v>
      </c>
      <c r="AC373" s="154">
        <v>14.8</v>
      </c>
      <c r="AD373" s="91"/>
      <c r="AE373" s="94">
        <f>Table3.110[[#This Row],[Gas 8h, ml]]-Table3.110[[#This Row],[Gas 0h, ml]]</f>
        <v>37.5</v>
      </c>
      <c r="AF373" s="94">
        <f>Table3.110[[#This Row],[Gas 24h, ml]]-Table3.110[[#This Row],[V8 Push back, ml]]</f>
        <v>51</v>
      </c>
      <c r="AG373" s="94">
        <f>Table3.110[[#This Row],[GP 8h, ml]]-(AVERAGE(AE$293,AE$294,AE$385,AE$386,AE$477,AE$478))*$AG$8</f>
        <v>36.246240428868305</v>
      </c>
      <c r="AH373" s="94">
        <f>Table3.110[[#This Row],[GP 8-24h, ml]]-(AVERAGE(AF$293,AF$294,AF$385,AF$386,AF$477,AF$478))*$AG$8</f>
        <v>49.00873479879084</v>
      </c>
      <c r="AI373" s="94">
        <f>Table3.110[[#This Row],[Net gas 8-24h, ml]]+Table3.110[[#This Row],[Net gas 8h, ml]]</f>
        <v>85.254975227659145</v>
      </c>
      <c r="AJ373" s="94">
        <f>Table3.110[[#This Row],[Net gas 8h, ml]]*Table3.110[[#This Row],[CH4 8h %]]%</f>
        <v>4.9657349387549568</v>
      </c>
      <c r="AK373" s="94">
        <f>Table3.110[[#This Row],[Net gas 8-24h, ml]]*Table3.110[[#This Row],[CH4 24h, %]]%</f>
        <v>7.2532927502210454</v>
      </c>
      <c r="AL373" s="94">
        <f>Table3.110[[#This Row],[CH4 8-24h, ml]]+Table3.110[[#This Row],[CH4 8h, ml]]</f>
        <v>12.219027688976002</v>
      </c>
      <c r="AM373" s="94">
        <f>(Table3.110[[#This Row],[Net gas 24h, ml]]/Table3.110[[#This Row],[DM Incubated, mg]])*1000</f>
        <v>174.60378877170476</v>
      </c>
      <c r="AN373" s="94">
        <f>'3.2 Digest'!X373</f>
        <v>42.163950177147591</v>
      </c>
      <c r="AO373" s="94">
        <f>Table3.110[[#This Row],[Digested feed, mg]]/Table3.110[[#This Row],[Net gas 24h, ml]]</f>
        <v>2.4148359250254954</v>
      </c>
      <c r="AP373" s="94">
        <f>Table3.110[[#This Row],[CH4 8h, ml]]/Table3.110[[#This Row],[Net gas 8h, ml]]%</f>
        <v>13.699999999999998</v>
      </c>
      <c r="AQ373" s="94">
        <f>Table3.110[[#This Row],[CH4 24h, ml]]/Table3.110[[#This Row],[Net gas 24h, ml]]%</f>
        <v>14.332333868313412</v>
      </c>
      <c r="AR373" s="94">
        <f>Table3.110[[#This Row],[CH4 24h, ml]]/Table3.110[[#This Row],[DM Incubated, mg]]*1000</f>
        <v>25.024797953485454</v>
      </c>
      <c r="AS373" s="94">
        <f>Table3.110[[#This Row],[CH4 24h, ml]]/Table3.110[[#This Row],[Digested feed, mg]]*1000</f>
        <v>59.3511704865087</v>
      </c>
      <c r="AT373" s="94">
        <f>Table3.110[[#This Row],[CH4 24h, ml]]/'3.2 Digest'!AA373</f>
        <v>1.1705165553102852</v>
      </c>
      <c r="AU373" s="94">
        <f>((Table3.110[[#This Row],[CH4 24h, ml]]/28.9)*16.04)/Table3.110[[#This Row],[DM Incubated, mg]]*1000</f>
        <v>13.889195819166321</v>
      </c>
      <c r="AV373" s="94">
        <f>((Table3.110[[#This Row],[CH4 24h, ml]]/28.9)*16.04)/Table3.110[[#This Row],[Digested feed, mg]]*1000</f>
        <v>32.940926456871956</v>
      </c>
    </row>
    <row r="374" spans="2:49" s="89" customFormat="1" x14ac:dyDescent="0.35">
      <c r="B374" s="90">
        <f t="shared" si="5"/>
        <v>364</v>
      </c>
      <c r="C374" s="140">
        <v>46048</v>
      </c>
      <c r="D374" s="6" t="s">
        <v>16</v>
      </c>
      <c r="E374" s="6" t="s">
        <v>207</v>
      </c>
      <c r="F374" s="133" t="s">
        <v>105</v>
      </c>
      <c r="G374" s="133" t="s">
        <v>188</v>
      </c>
      <c r="H374" s="133" t="s">
        <v>189</v>
      </c>
      <c r="I374" s="125" t="s">
        <v>108</v>
      </c>
      <c r="J374" s="138" t="s">
        <v>109</v>
      </c>
      <c r="K374" s="138" t="s">
        <v>110</v>
      </c>
      <c r="L374" s="6" t="s">
        <v>206</v>
      </c>
      <c r="M374" s="93">
        <v>28</v>
      </c>
      <c r="N374" s="93">
        <v>60</v>
      </c>
      <c r="O374" s="6">
        <v>1</v>
      </c>
      <c r="P374" s="129">
        <v>2</v>
      </c>
      <c r="Q374" s="6">
        <v>22</v>
      </c>
      <c r="R374" s="98">
        <v>0.50019999999999998</v>
      </c>
      <c r="S374" s="94">
        <f>((Table3.110[[#This Row],[Sample weight, g]]*'2.1. DM'!Q129)/100)*1000</f>
        <v>488.47208767769672</v>
      </c>
      <c r="T374" s="94">
        <f>'3.2 Digest'!W374</f>
        <v>131.27208767769667</v>
      </c>
      <c r="U374" s="117">
        <v>0.37638888888888888</v>
      </c>
      <c r="V374" s="155">
        <v>41.5</v>
      </c>
      <c r="W374" s="117">
        <v>0.70416666666666672</v>
      </c>
      <c r="X374" s="97">
        <v>76.5</v>
      </c>
      <c r="Y374" s="97">
        <v>14</v>
      </c>
      <c r="Z374" s="155">
        <v>41</v>
      </c>
      <c r="AA374" s="117">
        <v>0.37777777777777777</v>
      </c>
      <c r="AB374" s="155">
        <v>90</v>
      </c>
      <c r="AC374" s="155">
        <v>14.6</v>
      </c>
      <c r="AD374" s="96"/>
      <c r="AE374" s="94">
        <f>Table3.110[[#This Row],[Gas 8h, ml]]-Table3.110[[#This Row],[Gas 0h, ml]]</f>
        <v>35</v>
      </c>
      <c r="AF374" s="94">
        <f>Table3.110[[#This Row],[Gas 24h, ml]]-Table3.110[[#This Row],[V8 Push back, ml]]</f>
        <v>49</v>
      </c>
      <c r="AG374" s="94">
        <f>Table3.110[[#This Row],[GP 8h, ml]]-(AVERAGE(AE$293,AE$294,AE$385,AE$386,AE$477,AE$478))*$AG$8</f>
        <v>33.746240428868305</v>
      </c>
      <c r="AH374" s="94">
        <f>Table3.110[[#This Row],[GP 8-24h, ml]]-(AVERAGE(AF$293,AF$294,AF$385,AF$386,AF$477,AF$478))*$AG$8</f>
        <v>47.00873479879084</v>
      </c>
      <c r="AI374" s="94">
        <f>Table3.110[[#This Row],[Net gas 8-24h, ml]]+Table3.110[[#This Row],[Net gas 8h, ml]]</f>
        <v>80.754975227659145</v>
      </c>
      <c r="AJ374" s="94">
        <f>Table3.110[[#This Row],[Net gas 8h, ml]]*Table3.110[[#This Row],[CH4 8h %]]%</f>
        <v>4.7244736600415633</v>
      </c>
      <c r="AK374" s="94">
        <f>Table3.110[[#This Row],[Net gas 8-24h, ml]]*Table3.110[[#This Row],[CH4 24h, %]]%</f>
        <v>6.863275280623462</v>
      </c>
      <c r="AL374" s="94">
        <f>Table3.110[[#This Row],[CH4 8-24h, ml]]+Table3.110[[#This Row],[CH4 8h, ml]]</f>
        <v>11.587748940665026</v>
      </c>
      <c r="AM374" s="94">
        <f>(Table3.110[[#This Row],[Net gas 24h, ml]]/Table3.110[[#This Row],[DM Incubated, mg]])*1000</f>
        <v>165.32157571497274</v>
      </c>
      <c r="AN374" s="94">
        <f>'3.2 Digest'!X374</f>
        <v>26.874020233539429</v>
      </c>
      <c r="AO374" s="94">
        <f>Table3.110[[#This Row],[Digested feed, mg]]/Table3.110[[#This Row],[Net gas 24h, ml]]</f>
        <v>1.625560373309793</v>
      </c>
      <c r="AP374" s="94">
        <f>Table3.110[[#This Row],[CH4 8h, ml]]/Table3.110[[#This Row],[Net gas 8h, ml]]%</f>
        <v>14.000000000000002</v>
      </c>
      <c r="AQ374" s="94">
        <f>Table3.110[[#This Row],[CH4 24h, ml]]/Table3.110[[#This Row],[Net gas 24h, ml]]%</f>
        <v>14.349269389282336</v>
      </c>
      <c r="AR374" s="94">
        <f>Table3.110[[#This Row],[CH4 24h, ml]]/Table3.110[[#This Row],[DM Incubated, mg]]*1000</f>
        <v>23.722438257947804</v>
      </c>
      <c r="AS374" s="94">
        <f>Table3.110[[#This Row],[CH4 24h, ml]]/Table3.110[[#This Row],[Digested feed, mg]]*1000</f>
        <v>88.272755813220783</v>
      </c>
      <c r="AT374" s="94">
        <f>Table3.110[[#This Row],[CH4 24h, ml]]/'3.2 Digest'!AA374</f>
        <v>-0.87534336191964446</v>
      </c>
      <c r="AU374" s="94">
        <f>((Table3.110[[#This Row],[CH4 24h, ml]]/28.9)*16.04)/Table3.110[[#This Row],[DM Incubated, mg]]*1000</f>
        <v>13.166363655968262</v>
      </c>
      <c r="AV374" s="94">
        <f>((Table3.110[[#This Row],[CH4 24h, ml]]/28.9)*16.04)/Table3.110[[#This Row],[Digested feed, mg]]*1000</f>
        <v>48.992906686645718</v>
      </c>
      <c r="AW374" s="109"/>
    </row>
    <row r="375" spans="2:49" s="89" customFormat="1" x14ac:dyDescent="0.35">
      <c r="B375" s="90">
        <f t="shared" si="5"/>
        <v>365</v>
      </c>
      <c r="C375" s="140">
        <v>46048</v>
      </c>
      <c r="D375" s="6" t="s">
        <v>16</v>
      </c>
      <c r="E375" s="6" t="s">
        <v>207</v>
      </c>
      <c r="F375" s="133" t="s">
        <v>105</v>
      </c>
      <c r="G375" s="133" t="s">
        <v>188</v>
      </c>
      <c r="H375" s="133" t="s">
        <v>189</v>
      </c>
      <c r="I375" s="125" t="s">
        <v>108</v>
      </c>
      <c r="J375" s="138" t="s">
        <v>109</v>
      </c>
      <c r="K375" s="138" t="s">
        <v>110</v>
      </c>
      <c r="L375" s="6" t="s">
        <v>206</v>
      </c>
      <c r="M375" s="93">
        <v>28</v>
      </c>
      <c r="N375" s="93">
        <v>60</v>
      </c>
      <c r="O375" s="6">
        <v>1</v>
      </c>
      <c r="P375" s="129">
        <v>3</v>
      </c>
      <c r="Q375" s="6">
        <v>23</v>
      </c>
      <c r="R375" s="98">
        <v>0.50060000000000004</v>
      </c>
      <c r="S375" s="94">
        <f>((Table3.110[[#This Row],[Sample weight, g]]*'2.1. DM'!Q129)/100)*1000</f>
        <v>488.86270909927032</v>
      </c>
      <c r="T375" s="94">
        <f>'3.2 Digest'!W375</f>
        <v>135.36270909927026</v>
      </c>
      <c r="U375" s="153">
        <v>0.37708333333333333</v>
      </c>
      <c r="V375" s="155">
        <v>41</v>
      </c>
      <c r="W375" s="153">
        <v>0.70416666666666672</v>
      </c>
      <c r="X375" s="95">
        <v>76.5</v>
      </c>
      <c r="Y375" s="95">
        <v>14</v>
      </c>
      <c r="Z375" s="154">
        <v>40.5</v>
      </c>
      <c r="AA375" s="153">
        <v>0.37847222222222221</v>
      </c>
      <c r="AB375" s="154">
        <v>89.5</v>
      </c>
      <c r="AC375" s="154">
        <v>18.8</v>
      </c>
      <c r="AD375" s="91"/>
      <c r="AE375" s="94">
        <f>Table3.110[[#This Row],[Gas 8h, ml]]-Table3.110[[#This Row],[Gas 0h, ml]]</f>
        <v>35.5</v>
      </c>
      <c r="AF375" s="94">
        <f>Table3.110[[#This Row],[Gas 24h, ml]]-Table3.110[[#This Row],[V8 Push back, ml]]</f>
        <v>49</v>
      </c>
      <c r="AG375" s="94">
        <f>Table3.110[[#This Row],[GP 8h, ml]]-(AVERAGE(AE$293,AE$294,AE$385,AE$386,AE$477,AE$478))*$AG$8</f>
        <v>34.246240428868305</v>
      </c>
      <c r="AH375" s="94">
        <f>Table3.110[[#This Row],[GP 8-24h, ml]]-(AVERAGE(AF$293,AF$294,AF$385,AF$386,AF$477,AF$478))*$AG$8</f>
        <v>47.00873479879084</v>
      </c>
      <c r="AI375" s="94">
        <f>Table3.110[[#This Row],[Net gas 8-24h, ml]]+Table3.110[[#This Row],[Net gas 8h, ml]]</f>
        <v>81.254975227659145</v>
      </c>
      <c r="AJ375" s="94">
        <f>Table3.110[[#This Row],[Net gas 8h, ml]]*Table3.110[[#This Row],[CH4 8h %]]%</f>
        <v>4.7944736600415627</v>
      </c>
      <c r="AK375" s="94">
        <f>Table3.110[[#This Row],[Net gas 8-24h, ml]]*Table3.110[[#This Row],[CH4 24h, %]]%</f>
        <v>8.8376421421726779</v>
      </c>
      <c r="AL375" s="94">
        <f>Table3.110[[#This Row],[CH4 8-24h, ml]]+Table3.110[[#This Row],[CH4 8h, ml]]</f>
        <v>13.632115802214241</v>
      </c>
      <c r="AM375" s="94">
        <f>(Table3.110[[#This Row],[Net gas 24h, ml]]/Table3.110[[#This Row],[DM Incubated, mg]])*1000</f>
        <v>166.21225901515675</v>
      </c>
      <c r="AN375" s="94">
        <f>'3.2 Digest'!X375</f>
        <v>27.689309611828666</v>
      </c>
      <c r="AO375" s="94">
        <f>Table3.110[[#This Row],[Digested feed, mg]]/Table3.110[[#This Row],[Net gas 24h, ml]]</f>
        <v>1.66590056448867</v>
      </c>
      <c r="AP375" s="94">
        <f>Table3.110[[#This Row],[CH4 8h, ml]]/Table3.110[[#This Row],[Net gas 8h, ml]]%</f>
        <v>14.000000000000002</v>
      </c>
      <c r="AQ375" s="94">
        <f>Table3.110[[#This Row],[CH4 24h, ml]]/Table3.110[[#This Row],[Net gas 24h, ml]]%</f>
        <v>16.776961366390125</v>
      </c>
      <c r="AR375" s="94">
        <f>Table3.110[[#This Row],[CH4 24h, ml]]/Table3.110[[#This Row],[DM Incubated, mg]]*1000</f>
        <v>27.885366481177133</v>
      </c>
      <c r="AS375" s="94">
        <f>Table3.110[[#This Row],[CH4 24h, ml]]/Table3.110[[#This Row],[Digested feed, mg]]*1000</f>
        <v>100.70805979671199</v>
      </c>
      <c r="AT375" s="94">
        <f>Table3.110[[#This Row],[CH4 24h, ml]]/'3.2 Digest'!AA375</f>
        <v>-1.1383389857228545</v>
      </c>
      <c r="AU375" s="94">
        <f>((Table3.110[[#This Row],[CH4 24h, ml]]/28.9)*16.04)/Table3.110[[#This Row],[DM Incubated, mg]]*1000</f>
        <v>15.476860842840182</v>
      </c>
      <c r="AV375" s="94">
        <f>((Table3.110[[#This Row],[CH4 24h, ml]]/28.9)*16.04)/Table3.110[[#This Row],[Digested feed, mg]]*1000</f>
        <v>55.89471554115088</v>
      </c>
      <c r="AW375" s="109"/>
    </row>
    <row r="376" spans="2:49" s="89" customFormat="1" x14ac:dyDescent="0.35">
      <c r="B376" s="90">
        <f t="shared" si="5"/>
        <v>366</v>
      </c>
      <c r="C376" s="140">
        <v>46048</v>
      </c>
      <c r="D376" s="6" t="s">
        <v>16</v>
      </c>
      <c r="E376" s="6" t="s">
        <v>209</v>
      </c>
      <c r="F376" s="133" t="s">
        <v>105</v>
      </c>
      <c r="G376" s="133" t="s">
        <v>188</v>
      </c>
      <c r="H376" s="133" t="s">
        <v>189</v>
      </c>
      <c r="I376" s="125" t="s">
        <v>108</v>
      </c>
      <c r="J376" s="138" t="s">
        <v>109</v>
      </c>
      <c r="K376" s="138" t="s">
        <v>110</v>
      </c>
      <c r="L376" s="6" t="s">
        <v>208</v>
      </c>
      <c r="M376" s="93">
        <v>28</v>
      </c>
      <c r="N376" s="93">
        <v>60</v>
      </c>
      <c r="O376" s="6">
        <v>1</v>
      </c>
      <c r="P376" s="129">
        <v>1</v>
      </c>
      <c r="Q376" s="6">
        <v>24</v>
      </c>
      <c r="R376" s="98">
        <v>0.50039999999999996</v>
      </c>
      <c r="S376" s="94">
        <f>((Table3.110[[#This Row],[Sample weight, g]]*'2.1. DM'!Q131)/100)*1000</f>
        <v>483.0188498517403</v>
      </c>
      <c r="T376" s="94">
        <f>'3.2 Digest'!W376</f>
        <v>156.21884985174034</v>
      </c>
      <c r="U376" s="117">
        <v>0.37708333333333333</v>
      </c>
      <c r="V376" s="155">
        <v>41</v>
      </c>
      <c r="W376" s="117">
        <v>0.70486111111111116</v>
      </c>
      <c r="X376" s="97">
        <v>77.5</v>
      </c>
      <c r="Y376" s="97">
        <v>14</v>
      </c>
      <c r="Z376" s="155">
        <v>40</v>
      </c>
      <c r="AA376" s="117">
        <v>0.37847222222222221</v>
      </c>
      <c r="AB376" s="155">
        <v>91.5</v>
      </c>
      <c r="AC376" s="155">
        <v>15</v>
      </c>
      <c r="AD376" s="96"/>
      <c r="AE376" s="94">
        <f>Table3.110[[#This Row],[Gas 8h, ml]]-Table3.110[[#This Row],[Gas 0h, ml]]</f>
        <v>36.5</v>
      </c>
      <c r="AF376" s="94">
        <f>Table3.110[[#This Row],[Gas 24h, ml]]-Table3.110[[#This Row],[V8 Push back, ml]]</f>
        <v>51.5</v>
      </c>
      <c r="AG376" s="94">
        <f>Table3.110[[#This Row],[GP 8h, ml]]-(AVERAGE(AE$293,AE$294,AE$385,AE$386,AE$477,AE$478))*$AG$8</f>
        <v>35.246240428868305</v>
      </c>
      <c r="AH376" s="94">
        <f>Table3.110[[#This Row],[GP 8-24h, ml]]-(AVERAGE(AF$293,AF$294,AF$385,AF$386,AF$477,AF$478))*$AG$8</f>
        <v>49.50873479879084</v>
      </c>
      <c r="AI376" s="94">
        <f>Table3.110[[#This Row],[Net gas 8-24h, ml]]+Table3.110[[#This Row],[Net gas 8h, ml]]</f>
        <v>84.754975227659145</v>
      </c>
      <c r="AJ376" s="94">
        <f>Table3.110[[#This Row],[Net gas 8h, ml]]*Table3.110[[#This Row],[CH4 8h %]]%</f>
        <v>4.9344736600415633</v>
      </c>
      <c r="AK376" s="94">
        <f>Table3.110[[#This Row],[Net gas 8-24h, ml]]*Table3.110[[#This Row],[CH4 24h, %]]%</f>
        <v>7.4263102198186255</v>
      </c>
      <c r="AL376" s="94">
        <f>Table3.110[[#This Row],[CH4 8-24h, ml]]+Table3.110[[#This Row],[CH4 8h, ml]]</f>
        <v>12.36078387986019</v>
      </c>
      <c r="AM376" s="94">
        <f>(Table3.110[[#This Row],[Net gas 24h, ml]]/Table3.110[[#This Row],[DM Incubated, mg]])*1000</f>
        <v>175.46929121642805</v>
      </c>
      <c r="AN376" s="94">
        <f>'3.2 Digest'!X376</f>
        <v>32.342184968493626</v>
      </c>
      <c r="AO376" s="94">
        <f>Table3.110[[#This Row],[Digested feed, mg]]/Table3.110[[#This Row],[Net gas 24h, ml]]</f>
        <v>1.8431820601931992</v>
      </c>
      <c r="AP376" s="94">
        <f>Table3.110[[#This Row],[CH4 8h, ml]]/Table3.110[[#This Row],[Net gas 8h, ml]]%</f>
        <v>14.000000000000002</v>
      </c>
      <c r="AQ376" s="94">
        <f>Table3.110[[#This Row],[CH4 24h, ml]]/Table3.110[[#This Row],[Net gas 24h, ml]]%</f>
        <v>14.584139570164538</v>
      </c>
      <c r="AR376" s="94">
        <f>Table3.110[[#This Row],[CH4 24h, ml]]/Table3.110[[#This Row],[DM Incubated, mg]]*1000</f>
        <v>25.59068633378233</v>
      </c>
      <c r="AS376" s="94">
        <f>Table3.110[[#This Row],[CH4 24h, ml]]/Table3.110[[#This Row],[Digested feed, mg]]*1000</f>
        <v>79.12479122456223</v>
      </c>
      <c r="AT376" s="94">
        <f>Table3.110[[#This Row],[CH4 24h, ml]]/'3.2 Digest'!AA376</f>
        <v>-10.577590020293236</v>
      </c>
      <c r="AU376" s="94">
        <f>((Table3.110[[#This Row],[CH4 24h, ml]]/28.9)*16.04)/Table3.110[[#This Row],[DM Incubated, mg]]*1000</f>
        <v>14.203273660687493</v>
      </c>
      <c r="AV376" s="94">
        <f>((Table3.110[[#This Row],[CH4 24h, ml]]/28.9)*16.04)/Table3.110[[#This Row],[Digested feed, mg]]*1000</f>
        <v>43.915628070656687</v>
      </c>
    </row>
    <row r="377" spans="2:49" s="89" customFormat="1" x14ac:dyDescent="0.35">
      <c r="B377" s="90">
        <f t="shared" si="5"/>
        <v>367</v>
      </c>
      <c r="C377" s="140">
        <v>46048</v>
      </c>
      <c r="D377" s="6" t="s">
        <v>16</v>
      </c>
      <c r="E377" s="6" t="s">
        <v>209</v>
      </c>
      <c r="F377" s="133" t="s">
        <v>105</v>
      </c>
      <c r="G377" s="133" t="s">
        <v>188</v>
      </c>
      <c r="H377" s="133" t="s">
        <v>189</v>
      </c>
      <c r="I377" s="125" t="s">
        <v>108</v>
      </c>
      <c r="J377" s="138" t="s">
        <v>109</v>
      </c>
      <c r="K377" s="138" t="s">
        <v>110</v>
      </c>
      <c r="L377" s="6" t="s">
        <v>208</v>
      </c>
      <c r="M377" s="93">
        <v>28</v>
      </c>
      <c r="N377" s="93">
        <v>60</v>
      </c>
      <c r="O377" s="6">
        <v>1</v>
      </c>
      <c r="P377" s="129">
        <v>2</v>
      </c>
      <c r="Q377" s="6">
        <v>25</v>
      </c>
      <c r="R377" s="98">
        <v>0.50019999999999998</v>
      </c>
      <c r="S377" s="94">
        <f>((Table3.110[[#This Row],[Sample weight, g]]*'2.1. DM'!Q131)/100)*1000</f>
        <v>482.82579675427769</v>
      </c>
      <c r="T377" s="94">
        <f>'3.2 Digest'!W377</f>
        <v>99.425796754277599</v>
      </c>
      <c r="U377" s="153">
        <v>0.37708333333333333</v>
      </c>
      <c r="V377" s="155">
        <v>40.5</v>
      </c>
      <c r="W377" s="153">
        <v>0.7055555555555556</v>
      </c>
      <c r="X377" s="95">
        <v>77.5</v>
      </c>
      <c r="Y377" s="95">
        <v>14</v>
      </c>
      <c r="Z377" s="154">
        <v>40</v>
      </c>
      <c r="AA377" s="153">
        <v>0.37916666666666665</v>
      </c>
      <c r="AB377" s="154">
        <v>92.5</v>
      </c>
      <c r="AC377" s="154">
        <v>14.9</v>
      </c>
      <c r="AD377" s="91"/>
      <c r="AE377" s="94">
        <f>Table3.110[[#This Row],[Gas 8h, ml]]-Table3.110[[#This Row],[Gas 0h, ml]]</f>
        <v>37</v>
      </c>
      <c r="AF377" s="94">
        <f>Table3.110[[#This Row],[Gas 24h, ml]]-Table3.110[[#This Row],[V8 Push back, ml]]</f>
        <v>52.5</v>
      </c>
      <c r="AG377" s="94">
        <f>Table3.110[[#This Row],[GP 8h, ml]]-(AVERAGE(AE$293,AE$294,AE$385,AE$386,AE$477,AE$478))*$AG$8</f>
        <v>35.746240428868305</v>
      </c>
      <c r="AH377" s="94">
        <f>Table3.110[[#This Row],[GP 8-24h, ml]]-(AVERAGE(AF$293,AF$294,AF$385,AF$386,AF$477,AF$478))*$AG$8</f>
        <v>50.50873479879084</v>
      </c>
      <c r="AI377" s="94">
        <f>Table3.110[[#This Row],[Net gas 8-24h, ml]]+Table3.110[[#This Row],[Net gas 8h, ml]]</f>
        <v>86.254975227659145</v>
      </c>
      <c r="AJ377" s="94">
        <f>Table3.110[[#This Row],[Net gas 8h, ml]]*Table3.110[[#This Row],[CH4 8h %]]%</f>
        <v>5.0044736600415627</v>
      </c>
      <c r="AK377" s="94">
        <f>Table3.110[[#This Row],[Net gas 8-24h, ml]]*Table3.110[[#This Row],[CH4 24h, %]]%</f>
        <v>7.5258014850198345</v>
      </c>
      <c r="AL377" s="94">
        <f>Table3.110[[#This Row],[CH4 8-24h, ml]]+Table3.110[[#This Row],[CH4 8h, ml]]</f>
        <v>12.530275145061397</v>
      </c>
      <c r="AM377" s="94">
        <f>(Table3.110[[#This Row],[Net gas 24h, ml]]/Table3.110[[#This Row],[DM Incubated, mg]])*1000</f>
        <v>178.64616142611885</v>
      </c>
      <c r="AN377" s="94">
        <f>'3.2 Digest'!X377</f>
        <v>20.592478161409819</v>
      </c>
      <c r="AO377" s="94">
        <f>Table3.110[[#This Row],[Digested feed, mg]]/Table3.110[[#This Row],[Net gas 24h, ml]]</f>
        <v>1.1526963690135639</v>
      </c>
      <c r="AP377" s="94">
        <f>Table3.110[[#This Row],[CH4 8h, ml]]/Table3.110[[#This Row],[Net gas 8h, ml]]%</f>
        <v>14</v>
      </c>
      <c r="AQ377" s="94">
        <f>Table3.110[[#This Row],[CH4 24h, ml]]/Table3.110[[#This Row],[Net gas 24h, ml]]%</f>
        <v>14.527017267107565</v>
      </c>
      <c r="AR377" s="94">
        <f>Table3.110[[#This Row],[CH4 24h, ml]]/Table3.110[[#This Row],[DM Incubated, mg]]*1000</f>
        <v>25.951958717397144</v>
      </c>
      <c r="AS377" s="94">
        <f>Table3.110[[#This Row],[CH4 24h, ml]]/Table3.110[[#This Row],[Digested feed, mg]]*1000</f>
        <v>126.02639912485597</v>
      </c>
      <c r="AT377" s="94">
        <f>Table3.110[[#This Row],[CH4 24h, ml]]/'3.2 Digest'!AA377</f>
        <v>-0.66871313250199649</v>
      </c>
      <c r="AU377" s="94">
        <f>((Table3.110[[#This Row],[CH4 24h, ml]]/28.9)*16.04)/Table3.110[[#This Row],[DM Incubated, mg]]*1000</f>
        <v>14.403786083980975</v>
      </c>
      <c r="AV377" s="94">
        <f>((Table3.110[[#This Row],[CH4 24h, ml]]/28.9)*16.04)/Table3.110[[#This Row],[Digested feed, mg]]*1000</f>
        <v>69.946831901823174</v>
      </c>
    </row>
    <row r="378" spans="2:49" s="89" customFormat="1" x14ac:dyDescent="0.35">
      <c r="B378" s="90">
        <f t="shared" si="5"/>
        <v>368</v>
      </c>
      <c r="C378" s="140">
        <v>46048</v>
      </c>
      <c r="D378" s="6" t="s">
        <v>16</v>
      </c>
      <c r="E378" s="6" t="s">
        <v>209</v>
      </c>
      <c r="F378" s="133" t="s">
        <v>105</v>
      </c>
      <c r="G378" s="133" t="s">
        <v>188</v>
      </c>
      <c r="H378" s="133" t="s">
        <v>189</v>
      </c>
      <c r="I378" s="125" t="s">
        <v>108</v>
      </c>
      <c r="J378" s="138" t="s">
        <v>109</v>
      </c>
      <c r="K378" s="138" t="s">
        <v>110</v>
      </c>
      <c r="L378" s="6" t="s">
        <v>208</v>
      </c>
      <c r="M378" s="93">
        <v>28</v>
      </c>
      <c r="N378" s="93">
        <v>60</v>
      </c>
      <c r="O378" s="6">
        <v>1</v>
      </c>
      <c r="P378" s="129">
        <v>3</v>
      </c>
      <c r="Q378" s="6">
        <v>26</v>
      </c>
      <c r="R378" s="98">
        <v>0.50019999999999998</v>
      </c>
      <c r="S378" s="94">
        <f>((Table3.110[[#This Row],[Sample weight, g]]*'2.1. DM'!Q131)/100)*1000</f>
        <v>482.82579675427769</v>
      </c>
      <c r="T378" s="94">
        <f>'3.2 Digest'!W378</f>
        <v>158.32579675427769</v>
      </c>
      <c r="U378" s="117">
        <v>0.37777777777777777</v>
      </c>
      <c r="V378" s="155">
        <v>40.5</v>
      </c>
      <c r="W378" s="117">
        <v>0.7055555555555556</v>
      </c>
      <c r="X378" s="97">
        <v>77</v>
      </c>
      <c r="Y378" s="97">
        <v>14.1</v>
      </c>
      <c r="Z378" s="155">
        <v>40.5</v>
      </c>
      <c r="AA378" s="117">
        <v>0.37916666666666665</v>
      </c>
      <c r="AB378" s="155">
        <v>91.5</v>
      </c>
      <c r="AC378" s="155">
        <v>14.7</v>
      </c>
      <c r="AD378" s="96"/>
      <c r="AE378" s="94">
        <f>Table3.110[[#This Row],[Gas 8h, ml]]-Table3.110[[#This Row],[Gas 0h, ml]]</f>
        <v>36.5</v>
      </c>
      <c r="AF378" s="94">
        <f>Table3.110[[#This Row],[Gas 24h, ml]]-Table3.110[[#This Row],[V8 Push back, ml]]</f>
        <v>51</v>
      </c>
      <c r="AG378" s="94">
        <f>Table3.110[[#This Row],[GP 8h, ml]]-(AVERAGE(AE$293,AE$294,AE$385,AE$386,AE$477,AE$478))*$AG$8</f>
        <v>35.246240428868305</v>
      </c>
      <c r="AH378" s="94">
        <f>Table3.110[[#This Row],[GP 8-24h, ml]]-(AVERAGE(AF$293,AF$294,AF$385,AF$386,AF$477,AF$478))*$AG$8</f>
        <v>49.00873479879084</v>
      </c>
      <c r="AI378" s="94">
        <f>Table3.110[[#This Row],[Net gas 8-24h, ml]]+Table3.110[[#This Row],[Net gas 8h, ml]]</f>
        <v>84.254975227659145</v>
      </c>
      <c r="AJ378" s="94">
        <f>Table3.110[[#This Row],[Net gas 8h, ml]]*Table3.110[[#This Row],[CH4 8h %]]%</f>
        <v>4.9697199004704302</v>
      </c>
      <c r="AK378" s="94">
        <f>Table3.110[[#This Row],[Net gas 8-24h, ml]]*Table3.110[[#This Row],[CH4 24h, %]]%</f>
        <v>7.2042840154222532</v>
      </c>
      <c r="AL378" s="94">
        <f>Table3.110[[#This Row],[CH4 8-24h, ml]]+Table3.110[[#This Row],[CH4 8h, ml]]</f>
        <v>12.174003915892683</v>
      </c>
      <c r="AM378" s="94">
        <f>(Table3.110[[#This Row],[Net gas 24h, ml]]/Table3.110[[#This Row],[DM Incubated, mg]])*1000</f>
        <v>174.50388068336505</v>
      </c>
      <c r="AN378" s="94">
        <f>'3.2 Digest'!X378</f>
        <v>32.791494948819746</v>
      </c>
      <c r="AO378" s="94">
        <f>Table3.110[[#This Row],[Digested feed, mg]]/Table3.110[[#This Row],[Net gas 24h, ml]]</f>
        <v>1.879126975308903</v>
      </c>
      <c r="AP378" s="94">
        <f>Table3.110[[#This Row],[CH4 8h, ml]]/Table3.110[[#This Row],[Net gas 8h, ml]]%</f>
        <v>14.099999999999998</v>
      </c>
      <c r="AQ378" s="94">
        <f>Table3.110[[#This Row],[CH4 24h, ml]]/Table3.110[[#This Row],[Net gas 24h, ml]]%</f>
        <v>14.449003020887735</v>
      </c>
      <c r="AR378" s="94">
        <f>Table3.110[[#This Row],[CH4 24h, ml]]/Table3.110[[#This Row],[DM Incubated, mg]]*1000</f>
        <v>25.214070991505746</v>
      </c>
      <c r="AS378" s="94">
        <f>Table3.110[[#This Row],[CH4 24h, ml]]/Table3.110[[#This Row],[Digested feed, mg]]*1000</f>
        <v>76.892105806274827</v>
      </c>
      <c r="AT378" s="94">
        <f>Table3.110[[#This Row],[CH4 24h, ml]]/'3.2 Digest'!AA378</f>
        <v>-24.50829122934914</v>
      </c>
      <c r="AU378" s="94">
        <f>((Table3.110[[#This Row],[CH4 24h, ml]]/28.9)*16.04)/Table3.110[[#This Row],[DM Incubated, mg]]*1000</f>
        <v>13.994245629887621</v>
      </c>
      <c r="AV378" s="94">
        <f>((Table3.110[[#This Row],[CH4 24h, ml]]/28.9)*16.04)/Table3.110[[#This Row],[Digested feed, mg]]*1000</f>
        <v>42.676449035731771</v>
      </c>
    </row>
    <row r="379" spans="2:49" s="89" customFormat="1" x14ac:dyDescent="0.35">
      <c r="B379" s="90">
        <f t="shared" si="5"/>
        <v>369</v>
      </c>
      <c r="C379" s="140">
        <v>46048</v>
      </c>
      <c r="D379" s="6" t="s">
        <v>16</v>
      </c>
      <c r="E379" s="6" t="s">
        <v>211</v>
      </c>
      <c r="F379" s="133" t="s">
        <v>212</v>
      </c>
      <c r="G379" s="133" t="s">
        <v>213</v>
      </c>
      <c r="H379" s="133" t="s">
        <v>214</v>
      </c>
      <c r="I379" s="125" t="s">
        <v>22</v>
      </c>
      <c r="J379" s="127" t="s">
        <v>23</v>
      </c>
      <c r="K379" s="125" t="s">
        <v>215</v>
      </c>
      <c r="L379" s="6" t="s">
        <v>210</v>
      </c>
      <c r="M379" s="93">
        <v>28</v>
      </c>
      <c r="N379" s="93">
        <v>60</v>
      </c>
      <c r="O379" s="6">
        <v>1</v>
      </c>
      <c r="P379" s="129">
        <v>1</v>
      </c>
      <c r="Q379" s="6">
        <v>27</v>
      </c>
      <c r="R379" s="98">
        <v>0.50009999999999999</v>
      </c>
      <c r="S379" s="94">
        <f>((Table3.110[[#This Row],[Sample weight, g]]*'2.1. DM'!Q133)/100)*1000</f>
        <v>458.47500208341705</v>
      </c>
      <c r="T379" s="94">
        <f>'3.2 Digest'!W379</f>
        <v>140.475002083417</v>
      </c>
      <c r="U379" s="153">
        <v>0.37847222222222221</v>
      </c>
      <c r="V379" s="155">
        <v>40.5</v>
      </c>
      <c r="W379" s="153">
        <v>0.70625000000000004</v>
      </c>
      <c r="X379" s="95">
        <v>74</v>
      </c>
      <c r="Y379" s="95">
        <v>13.9</v>
      </c>
      <c r="Z379" s="154">
        <v>40</v>
      </c>
      <c r="AA379" s="153">
        <v>0.37986111111111109</v>
      </c>
      <c r="AB379" s="154">
        <v>79</v>
      </c>
      <c r="AC379" s="154">
        <v>16.5</v>
      </c>
      <c r="AD379" s="91"/>
      <c r="AE379" s="94">
        <f>Table3.110[[#This Row],[Gas 8h, ml]]-Table3.110[[#This Row],[Gas 0h, ml]]</f>
        <v>33.5</v>
      </c>
      <c r="AF379" s="94">
        <f>Table3.110[[#This Row],[Gas 24h, ml]]-Table3.110[[#This Row],[V8 Push back, ml]]</f>
        <v>39</v>
      </c>
      <c r="AG379" s="94">
        <f>Table3.110[[#This Row],[GP 8h, ml]]-(AVERAGE(AE$293,AE$294,AE$385,AE$386,AE$477,AE$478))*$AG$8</f>
        <v>32.246240428868305</v>
      </c>
      <c r="AH379" s="94">
        <f>Table3.110[[#This Row],[GP 8-24h, ml]]-(AVERAGE(AF$293,AF$294,AF$385,AF$386,AF$477,AF$478))*$AG$8</f>
        <v>37.00873479879084</v>
      </c>
      <c r="AI379" s="94">
        <f>Table3.110[[#This Row],[Net gas 8-24h, ml]]+Table3.110[[#This Row],[Net gas 8h, ml]]</f>
        <v>69.254975227659145</v>
      </c>
      <c r="AJ379" s="94">
        <f>Table3.110[[#This Row],[Net gas 8h, ml]]*Table3.110[[#This Row],[CH4 8h %]]%</f>
        <v>4.4822274196126948</v>
      </c>
      <c r="AK379" s="94">
        <f>Table3.110[[#This Row],[Net gas 8-24h, ml]]*Table3.110[[#This Row],[CH4 24h, %]]%</f>
        <v>6.1064412418004892</v>
      </c>
      <c r="AL379" s="94">
        <f>Table3.110[[#This Row],[CH4 8-24h, ml]]+Table3.110[[#This Row],[CH4 8h, ml]]</f>
        <v>10.588668661413184</v>
      </c>
      <c r="AM379" s="94">
        <f>(Table3.110[[#This Row],[Net gas 24h, ml]]/Table3.110[[#This Row],[DM Incubated, mg]])*1000</f>
        <v>151.05507369638133</v>
      </c>
      <c r="AN379" s="94">
        <f>'3.2 Digest'!X379</f>
        <v>30.63962079613194</v>
      </c>
      <c r="AO379" s="94">
        <f>Table3.110[[#This Row],[Digested feed, mg]]/Table3.110[[#This Row],[Net gas 24h, ml]]</f>
        <v>2.0283741582700605</v>
      </c>
      <c r="AP379" s="94">
        <f>Table3.110[[#This Row],[CH4 8h, ml]]/Table3.110[[#This Row],[Net gas 8h, ml]]%</f>
        <v>13.9</v>
      </c>
      <c r="AQ379" s="94">
        <f>Table3.110[[#This Row],[CH4 24h, ml]]/Table3.110[[#This Row],[Net gas 24h, ml]]%</f>
        <v>15.289397803703592</v>
      </c>
      <c r="AR379" s="94">
        <f>Table3.110[[#This Row],[CH4 24h, ml]]/Table3.110[[#This Row],[DM Incubated, mg]]*1000</f>
        <v>23.095411120117369</v>
      </c>
      <c r="AS379" s="94">
        <f>Table3.110[[#This Row],[CH4 24h, ml]]/Table3.110[[#This Row],[Digested feed, mg]]*1000</f>
        <v>75.377601027728829</v>
      </c>
      <c r="AT379" s="94">
        <f>Table3.110[[#This Row],[CH4 24h, ml]]/'3.2 Digest'!AA379</f>
        <v>-0.42999577259474142</v>
      </c>
      <c r="AU379" s="94">
        <f>((Table3.110[[#This Row],[CH4 24h, ml]]/28.9)*16.04)/Table3.110[[#This Row],[DM Incubated, mg]]*1000</f>
        <v>12.818352746251993</v>
      </c>
      <c r="AV379" s="94">
        <f>((Table3.110[[#This Row],[CH4 24h, ml]]/28.9)*16.04)/Table3.110[[#This Row],[Digested feed, mg]]*1000</f>
        <v>41.835872681133928</v>
      </c>
    </row>
    <row r="380" spans="2:49" s="89" customFormat="1" x14ac:dyDescent="0.35">
      <c r="B380" s="90">
        <f t="shared" si="5"/>
        <v>370</v>
      </c>
      <c r="C380" s="140">
        <v>46048</v>
      </c>
      <c r="D380" s="6" t="s">
        <v>16</v>
      </c>
      <c r="E380" s="6" t="s">
        <v>211</v>
      </c>
      <c r="F380" s="133" t="s">
        <v>212</v>
      </c>
      <c r="G380" s="133" t="s">
        <v>213</v>
      </c>
      <c r="H380" s="133" t="s">
        <v>214</v>
      </c>
      <c r="I380" s="125" t="s">
        <v>22</v>
      </c>
      <c r="J380" s="127" t="s">
        <v>23</v>
      </c>
      <c r="K380" s="125" t="s">
        <v>215</v>
      </c>
      <c r="L380" s="6" t="s">
        <v>210</v>
      </c>
      <c r="M380" s="93">
        <v>28</v>
      </c>
      <c r="N380" s="93">
        <v>60</v>
      </c>
      <c r="O380" s="6">
        <v>1</v>
      </c>
      <c r="P380" s="129">
        <v>2</v>
      </c>
      <c r="Q380" s="6">
        <v>28</v>
      </c>
      <c r="R380" s="98">
        <v>0.5</v>
      </c>
      <c r="S380" s="94">
        <f>((Table3.110[[#This Row],[Sample weight, g]]*'2.1. DM'!Q133)/100)*1000</f>
        <v>458.38332541833336</v>
      </c>
      <c r="T380" s="94">
        <f>'3.2 Digest'!W380</f>
        <v>68.283325418333334</v>
      </c>
      <c r="U380" s="117">
        <v>0.37847222222222221</v>
      </c>
      <c r="V380" s="155">
        <v>41</v>
      </c>
      <c r="W380" s="117">
        <v>0.70694444444444449</v>
      </c>
      <c r="X380" s="97">
        <v>73.5</v>
      </c>
      <c r="Y380" s="97">
        <v>14</v>
      </c>
      <c r="Z380" s="155">
        <v>40.5</v>
      </c>
      <c r="AA380" s="117">
        <v>0.37986111111111109</v>
      </c>
      <c r="AB380" s="155">
        <v>79</v>
      </c>
      <c r="AC380" s="155">
        <v>16.8</v>
      </c>
      <c r="AD380" s="96"/>
      <c r="AE380" s="94">
        <f>Table3.110[[#This Row],[Gas 8h, ml]]-Table3.110[[#This Row],[Gas 0h, ml]]</f>
        <v>32.5</v>
      </c>
      <c r="AF380" s="94">
        <f>Table3.110[[#This Row],[Gas 24h, ml]]-Table3.110[[#This Row],[V8 Push back, ml]]</f>
        <v>38.5</v>
      </c>
      <c r="AG380" s="94">
        <f>Table3.110[[#This Row],[GP 8h, ml]]-(AVERAGE(AE$293,AE$294,AE$385,AE$386,AE$477,AE$478))*$AG$8</f>
        <v>31.246240428868305</v>
      </c>
      <c r="AH380" s="94">
        <f>Table3.110[[#This Row],[GP 8-24h, ml]]-(AVERAGE(AF$293,AF$294,AF$385,AF$386,AF$477,AF$478))*$AG$8</f>
        <v>36.50873479879084</v>
      </c>
      <c r="AI380" s="94">
        <f>Table3.110[[#This Row],[Net gas 8-24h, ml]]+Table3.110[[#This Row],[Net gas 8h, ml]]</f>
        <v>67.754975227659145</v>
      </c>
      <c r="AJ380" s="94">
        <f>Table3.110[[#This Row],[Net gas 8h, ml]]*Table3.110[[#This Row],[CH4 8h %]]%</f>
        <v>4.3744736600415628</v>
      </c>
      <c r="AK380" s="94">
        <f>Table3.110[[#This Row],[Net gas 8-24h, ml]]*Table3.110[[#This Row],[CH4 24h, %]]%</f>
        <v>6.1334674461968612</v>
      </c>
      <c r="AL380" s="94">
        <f>Table3.110[[#This Row],[CH4 8-24h, ml]]+Table3.110[[#This Row],[CH4 8h, ml]]</f>
        <v>10.507941106238423</v>
      </c>
      <c r="AM380" s="94">
        <f>(Table3.110[[#This Row],[Net gas 24h, ml]]/Table3.110[[#This Row],[DM Incubated, mg]])*1000</f>
        <v>147.8129143677381</v>
      </c>
      <c r="AN380" s="94">
        <f>'3.2 Digest'!X380</f>
        <v>14.896555269765994</v>
      </c>
      <c r="AO380" s="94">
        <f>Table3.110[[#This Row],[Digested feed, mg]]/Table3.110[[#This Row],[Net gas 24h, ml]]</f>
        <v>1.0077979541561179</v>
      </c>
      <c r="AP380" s="94">
        <f>Table3.110[[#This Row],[CH4 8h, ml]]/Table3.110[[#This Row],[Net gas 8h, ml]]%</f>
        <v>14</v>
      </c>
      <c r="AQ380" s="94">
        <f>Table3.110[[#This Row],[CH4 24h, ml]]/Table3.110[[#This Row],[Net gas 24h, ml]]%</f>
        <v>15.508737285979908</v>
      </c>
      <c r="AR380" s="94">
        <f>Table3.110[[#This Row],[CH4 24h, ml]]/Table3.110[[#This Row],[DM Incubated, mg]]*1000</f>
        <v>22.923916564042955</v>
      </c>
      <c r="AS380" s="94">
        <f>Table3.110[[#This Row],[CH4 24h, ml]]/Table3.110[[#This Row],[Digested feed, mg]]*1000</f>
        <v>153.88736623271069</v>
      </c>
      <c r="AT380" s="94">
        <f>Table3.110[[#This Row],[CH4 24h, ml]]/'3.2 Digest'!AA380</f>
        <v>-0.19859348218476028</v>
      </c>
      <c r="AU380" s="94">
        <f>((Table3.110[[#This Row],[CH4 24h, ml]]/28.9)*16.04)/Table3.110[[#This Row],[DM Incubated, mg]]*1000</f>
        <v>12.72317030059685</v>
      </c>
      <c r="AV380" s="94">
        <f>((Table3.110[[#This Row],[CH4 24h, ml]]/28.9)*16.04)/Table3.110[[#This Row],[Digested feed, mg]]*1000</f>
        <v>85.410150670334914</v>
      </c>
    </row>
    <row r="381" spans="2:49" s="89" customFormat="1" x14ac:dyDescent="0.35">
      <c r="B381" s="90">
        <f t="shared" si="5"/>
        <v>371</v>
      </c>
      <c r="C381" s="140">
        <v>46048</v>
      </c>
      <c r="D381" s="6" t="s">
        <v>16</v>
      </c>
      <c r="E381" s="6" t="s">
        <v>211</v>
      </c>
      <c r="F381" s="133" t="s">
        <v>212</v>
      </c>
      <c r="G381" s="133" t="s">
        <v>213</v>
      </c>
      <c r="H381" s="133" t="s">
        <v>214</v>
      </c>
      <c r="I381" s="125" t="s">
        <v>22</v>
      </c>
      <c r="J381" s="127" t="s">
        <v>23</v>
      </c>
      <c r="K381" s="125" t="s">
        <v>215</v>
      </c>
      <c r="L381" s="6" t="s">
        <v>210</v>
      </c>
      <c r="M381" s="93">
        <v>28</v>
      </c>
      <c r="N381" s="93">
        <v>60</v>
      </c>
      <c r="O381" s="6">
        <v>1</v>
      </c>
      <c r="P381" s="129">
        <v>3</v>
      </c>
      <c r="Q381" s="6">
        <v>29</v>
      </c>
      <c r="R381" s="98">
        <v>0.50039999999999996</v>
      </c>
      <c r="S381" s="94">
        <f>((Table3.110[[#This Row],[Sample weight, g]]*'2.1. DM'!Q133)/100)*1000</f>
        <v>458.75003207866803</v>
      </c>
      <c r="T381" s="94">
        <f>'3.2 Digest'!W381</f>
        <v>170.75003207866808</v>
      </c>
      <c r="U381" s="153">
        <v>0.37916666666666665</v>
      </c>
      <c r="V381" s="154">
        <v>41</v>
      </c>
      <c r="W381" s="153">
        <v>0.70694444444444449</v>
      </c>
      <c r="X381" s="95">
        <v>73</v>
      </c>
      <c r="Y381" s="95">
        <v>14.1</v>
      </c>
      <c r="Z381" s="154">
        <v>41</v>
      </c>
      <c r="AA381" s="153">
        <v>0.38055555555555554</v>
      </c>
      <c r="AB381" s="154">
        <v>78.5</v>
      </c>
      <c r="AC381" s="154">
        <v>16.600000000000001</v>
      </c>
      <c r="AD381" s="91"/>
      <c r="AE381" s="94">
        <f>Table3.110[[#This Row],[Gas 8h, ml]]-Table3.110[[#This Row],[Gas 0h, ml]]</f>
        <v>32</v>
      </c>
      <c r="AF381" s="94">
        <f>Table3.110[[#This Row],[Gas 24h, ml]]-Table3.110[[#This Row],[V8 Push back, ml]]</f>
        <v>37.5</v>
      </c>
      <c r="AG381" s="94">
        <f>Table3.110[[#This Row],[GP 8h, ml]]-(AVERAGE(AE$293,AE$294,AE$385,AE$386,AE$477,AE$478))*$AG$8</f>
        <v>30.746240428868305</v>
      </c>
      <c r="AH381" s="94">
        <f>Table3.110[[#This Row],[GP 8-24h, ml]]-(AVERAGE(AF$293,AF$294,AF$385,AF$386,AF$477,AF$478))*$AG$8</f>
        <v>35.50873479879084</v>
      </c>
      <c r="AI381" s="94">
        <f>Table3.110[[#This Row],[Net gas 8-24h, ml]]+Table3.110[[#This Row],[Net gas 8h, ml]]</f>
        <v>66.254975227659145</v>
      </c>
      <c r="AJ381" s="94">
        <f>Table3.110[[#This Row],[Net gas 8h, ml]]*Table3.110[[#This Row],[CH4 8h %]]%</f>
        <v>4.3352199004704302</v>
      </c>
      <c r="AK381" s="94">
        <f>Table3.110[[#This Row],[Net gas 8-24h, ml]]*Table3.110[[#This Row],[CH4 24h, %]]%</f>
        <v>5.8944499765992795</v>
      </c>
      <c r="AL381" s="94">
        <f>Table3.110[[#This Row],[CH4 8-24h, ml]]+Table3.110[[#This Row],[CH4 8h, ml]]</f>
        <v>10.229669877069711</v>
      </c>
      <c r="AM381" s="94">
        <f>(Table3.110[[#This Row],[Net gas 24h, ml]]/Table3.110[[#This Row],[DM Incubated, mg]])*1000</f>
        <v>144.42500402113873</v>
      </c>
      <c r="AN381" s="94">
        <f>'3.2 Digest'!X381</f>
        <v>37.220712836786738</v>
      </c>
      <c r="AO381" s="94">
        <f>Table3.110[[#This Row],[Digested feed, mg]]/Table3.110[[#This Row],[Net gas 24h, ml]]</f>
        <v>2.5771654353798006</v>
      </c>
      <c r="AP381" s="94">
        <f>Table3.110[[#This Row],[CH4 8h, ml]]/Table3.110[[#This Row],[Net gas 8h, ml]]%</f>
        <v>14.099999999999998</v>
      </c>
      <c r="AQ381" s="94">
        <f>Table3.110[[#This Row],[CH4 24h, ml]]/Table3.110[[#This Row],[Net gas 24h, ml]]%</f>
        <v>15.439851636680078</v>
      </c>
      <c r="AR381" s="94">
        <f>Table3.110[[#This Row],[CH4 24h, ml]]/Table3.110[[#This Row],[DM Incubated, mg]]*1000</f>
        <v>22.299006347133055</v>
      </c>
      <c r="AS381" s="94">
        <f>Table3.110[[#This Row],[CH4 24h, ml]]/Table3.110[[#This Row],[Digested feed, mg]]*1000</f>
        <v>59.91020764409982</v>
      </c>
      <c r="AT381" s="94">
        <f>Table3.110[[#This Row],[CH4 24h, ml]]/'3.2 Digest'!AA381</f>
        <v>-0.7991738652530721</v>
      </c>
      <c r="AU381" s="94">
        <f>((Table3.110[[#This Row],[CH4 24h, ml]]/28.9)*16.04)/Table3.110[[#This Row],[DM Incubated, mg]]*1000</f>
        <v>12.376334318616406</v>
      </c>
      <c r="AV381" s="94">
        <f>((Table3.110[[#This Row],[CH4 24h, ml]]/28.9)*16.04)/Table3.110[[#This Row],[Digested feed, mg]]*1000</f>
        <v>33.251201751258165</v>
      </c>
    </row>
    <row r="382" spans="2:49" s="89" customFormat="1" x14ac:dyDescent="0.35">
      <c r="B382" s="90">
        <f t="shared" si="5"/>
        <v>372</v>
      </c>
      <c r="C382" s="140">
        <v>46048</v>
      </c>
      <c r="D382" s="8" t="s">
        <v>120</v>
      </c>
      <c r="E382" s="6" t="s">
        <v>122</v>
      </c>
      <c r="F382" s="133" t="s">
        <v>123</v>
      </c>
      <c r="G382" s="133" t="s">
        <v>545</v>
      </c>
      <c r="H382" s="133" t="s">
        <v>125</v>
      </c>
      <c r="I382" s="125" t="s">
        <v>108</v>
      </c>
      <c r="J382" s="138" t="s">
        <v>109</v>
      </c>
      <c r="K382" s="138" t="s">
        <v>110</v>
      </c>
      <c r="L382" s="6" t="s">
        <v>121</v>
      </c>
      <c r="M382" s="93">
        <v>28</v>
      </c>
      <c r="N382" s="93">
        <v>60</v>
      </c>
      <c r="O382" s="6">
        <v>1</v>
      </c>
      <c r="P382" s="129">
        <v>1</v>
      </c>
      <c r="Q382" s="6">
        <v>30</v>
      </c>
      <c r="R382" s="98">
        <v>0.50049999999999994</v>
      </c>
      <c r="S382" s="94">
        <f>((Table3.110[[#This Row],[Sample weight, g]]*'2.1. DM'!Q135)/100)*1000</f>
        <v>468.21774999999991</v>
      </c>
      <c r="T382" s="94">
        <f>'3.2 Digest'!W382</f>
        <v>159.61774999999994</v>
      </c>
      <c r="U382" s="117">
        <v>0.37916666666666665</v>
      </c>
      <c r="V382" s="155">
        <v>41.5</v>
      </c>
      <c r="W382" s="117">
        <v>0.70763888888888893</v>
      </c>
      <c r="X382" s="97">
        <v>62</v>
      </c>
      <c r="Y382" s="97">
        <v>14</v>
      </c>
      <c r="Z382" s="155">
        <v>41</v>
      </c>
      <c r="AA382" s="117">
        <v>0.38055555555555554</v>
      </c>
      <c r="AB382" s="155">
        <v>80.5</v>
      </c>
      <c r="AC382" s="155">
        <v>16.2</v>
      </c>
      <c r="AD382" s="96"/>
      <c r="AE382" s="94">
        <f>Table3.110[[#This Row],[Gas 8h, ml]]-Table3.110[[#This Row],[Gas 0h, ml]]</f>
        <v>20.5</v>
      </c>
      <c r="AF382" s="94">
        <f>Table3.110[[#This Row],[Gas 24h, ml]]-Table3.110[[#This Row],[V8 Push back, ml]]</f>
        <v>39.5</v>
      </c>
      <c r="AG382" s="94">
        <f>Table3.110[[#This Row],[GP 8h, ml]]-(AVERAGE(AE$293,AE$294,AE$385,AE$386,AE$477,AE$478))*$AG$8</f>
        <v>19.246240428868305</v>
      </c>
      <c r="AH382" s="94">
        <f>Table3.110[[#This Row],[GP 8-24h, ml]]-(AVERAGE(AF$293,AF$294,AF$385,AF$386,AF$477,AF$478))*$AG$8</f>
        <v>37.50873479879084</v>
      </c>
      <c r="AI382" s="94">
        <f>Table3.110[[#This Row],[Net gas 8-24h, ml]]+Table3.110[[#This Row],[Net gas 8h, ml]]</f>
        <v>56.754975227659145</v>
      </c>
      <c r="AJ382" s="94">
        <f>Table3.110[[#This Row],[Net gas 8h, ml]]*Table3.110[[#This Row],[CH4 8h %]]%</f>
        <v>2.6944736600415631</v>
      </c>
      <c r="AK382" s="94">
        <f>Table3.110[[#This Row],[Net gas 8-24h, ml]]*Table3.110[[#This Row],[CH4 24h, %]]%</f>
        <v>6.0764150374041161</v>
      </c>
      <c r="AL382" s="94">
        <f>Table3.110[[#This Row],[CH4 8-24h, ml]]+Table3.110[[#This Row],[CH4 8h, ml]]</f>
        <v>8.7708886974456792</v>
      </c>
      <c r="AM382" s="94">
        <f>(Table3.110[[#This Row],[Net gas 24h, ml]]/Table3.110[[#This Row],[DM Incubated, mg]])*1000</f>
        <v>121.21491598227354</v>
      </c>
      <c r="AN382" s="94">
        <f>'3.2 Digest'!X382</f>
        <v>34.090495287716024</v>
      </c>
      <c r="AO382" s="94">
        <f>Table3.110[[#This Row],[Digested feed, mg]]/Table3.110[[#This Row],[Net gas 24h, ml]]</f>
        <v>2.8124010161176378</v>
      </c>
      <c r="AP382" s="94">
        <f>Table3.110[[#This Row],[CH4 8h, ml]]/Table3.110[[#This Row],[Net gas 8h, ml]]%</f>
        <v>14.000000000000002</v>
      </c>
      <c r="AQ382" s="94">
        <f>Table3.110[[#This Row],[CH4 24h, ml]]/Table3.110[[#This Row],[Net gas 24h, ml]]%</f>
        <v>15.453955644000082</v>
      </c>
      <c r="AR382" s="94">
        <f>Table3.110[[#This Row],[CH4 24h, ml]]/Table3.110[[#This Row],[DM Incubated, mg]]*1000</f>
        <v>18.732499349812517</v>
      </c>
      <c r="AS382" s="94">
        <f>Table3.110[[#This Row],[CH4 24h, ml]]/Table3.110[[#This Row],[Digested feed, mg]]*1000</f>
        <v>54.949331746912122</v>
      </c>
      <c r="AT382" s="94">
        <f>Table3.110[[#This Row],[CH4 24h, ml]]/'3.2 Digest'!AA382</f>
        <v>0.65498742802050258</v>
      </c>
      <c r="AU382" s="94">
        <f>((Table3.110[[#This Row],[CH4 24h, ml]]/28.9)*16.04)/Table3.110[[#This Row],[DM Incubated, mg]]*1000</f>
        <v>10.396861230830201</v>
      </c>
      <c r="AV382" s="94">
        <f>((Table3.110[[#This Row],[CH4 24h, ml]]/28.9)*16.04)/Table3.110[[#This Row],[Digested feed, mg]]*1000</f>
        <v>30.497829800016277</v>
      </c>
    </row>
    <row r="383" spans="2:49" s="89" customFormat="1" x14ac:dyDescent="0.35">
      <c r="B383" s="90">
        <f t="shared" si="5"/>
        <v>373</v>
      </c>
      <c r="C383" s="140">
        <v>46048</v>
      </c>
      <c r="D383" s="8" t="s">
        <v>120</v>
      </c>
      <c r="E383" s="6" t="s">
        <v>122</v>
      </c>
      <c r="F383" s="133" t="s">
        <v>123</v>
      </c>
      <c r="G383" s="133" t="s">
        <v>545</v>
      </c>
      <c r="H383" s="133" t="s">
        <v>125</v>
      </c>
      <c r="I383" s="125" t="s">
        <v>108</v>
      </c>
      <c r="J383" s="138" t="s">
        <v>109</v>
      </c>
      <c r="K383" s="138" t="s">
        <v>110</v>
      </c>
      <c r="L383" s="6" t="s">
        <v>121</v>
      </c>
      <c r="M383" s="93">
        <v>28</v>
      </c>
      <c r="N383" s="93">
        <v>60</v>
      </c>
      <c r="O383" s="6">
        <v>1</v>
      </c>
      <c r="P383" s="129">
        <v>2</v>
      </c>
      <c r="Q383" s="6">
        <v>31</v>
      </c>
      <c r="R383" s="98">
        <v>0.50039999999999996</v>
      </c>
      <c r="S383" s="94">
        <f>((Table3.110[[#This Row],[Sample weight, g]]*'2.1. DM'!Q135)/100)*1000</f>
        <v>468.12419999999992</v>
      </c>
      <c r="T383" s="94">
        <f>'3.2 Digest'!W383</f>
        <v>86.62419999999986</v>
      </c>
      <c r="U383" s="153">
        <v>0.37986111111111109</v>
      </c>
      <c r="V383" s="154">
        <v>41</v>
      </c>
      <c r="W383" s="153">
        <v>0.70763888888888893</v>
      </c>
      <c r="X383" s="95">
        <v>62.5</v>
      </c>
      <c r="Y383" s="95">
        <v>11.9</v>
      </c>
      <c r="Z383" s="154">
        <v>40.5</v>
      </c>
      <c r="AA383" s="153">
        <v>0.38124999999999998</v>
      </c>
      <c r="AB383" s="154">
        <v>82.5</v>
      </c>
      <c r="AC383" s="154">
        <v>16.3</v>
      </c>
      <c r="AD383" s="91"/>
      <c r="AE383" s="94">
        <f>Table3.110[[#This Row],[Gas 8h, ml]]-Table3.110[[#This Row],[Gas 0h, ml]]</f>
        <v>21.5</v>
      </c>
      <c r="AF383" s="94">
        <f>Table3.110[[#This Row],[Gas 24h, ml]]-Table3.110[[#This Row],[V8 Push back, ml]]</f>
        <v>42</v>
      </c>
      <c r="AG383" s="94">
        <f>Table3.110[[#This Row],[GP 8h, ml]]-(AVERAGE(AE$293,AE$294,AE$385,AE$386,AE$477,AE$478))*$AG$8</f>
        <v>20.246240428868305</v>
      </c>
      <c r="AH383" s="94">
        <f>Table3.110[[#This Row],[GP 8-24h, ml]]-(AVERAGE(AF$293,AF$294,AF$385,AF$386,AF$477,AF$478))*$AG$8</f>
        <v>40.00873479879084</v>
      </c>
      <c r="AI383" s="94">
        <f>Table3.110[[#This Row],[Net gas 8-24h, ml]]+Table3.110[[#This Row],[Net gas 8h, ml]]</f>
        <v>60.254975227659145</v>
      </c>
      <c r="AJ383" s="94">
        <f>Table3.110[[#This Row],[Net gas 8h, ml]]*Table3.110[[#This Row],[CH4 8h %]]%</f>
        <v>2.4093026110353284</v>
      </c>
      <c r="AK383" s="94">
        <f>Table3.110[[#This Row],[Net gas 8-24h, ml]]*Table3.110[[#This Row],[CH4 24h, %]]%</f>
        <v>6.5214237722029074</v>
      </c>
      <c r="AL383" s="94">
        <f>Table3.110[[#This Row],[CH4 8-24h, ml]]+Table3.110[[#This Row],[CH4 8h, ml]]</f>
        <v>8.9307263832382358</v>
      </c>
      <c r="AM383" s="94">
        <f>(Table3.110[[#This Row],[Net gas 24h, ml]]/Table3.110[[#This Row],[DM Incubated, mg]])*1000</f>
        <v>128.7157878777879</v>
      </c>
      <c r="AN383" s="94">
        <f>'3.2 Digest'!X383</f>
        <v>18.504533625905236</v>
      </c>
      <c r="AO383" s="94">
        <f>Table3.110[[#This Row],[Digested feed, mg]]/Table3.110[[#This Row],[Net gas 24h, ml]]</f>
        <v>1.4376273440111933</v>
      </c>
      <c r="AP383" s="94">
        <f>Table3.110[[#This Row],[CH4 8h, ml]]/Table3.110[[#This Row],[Net gas 8h, ml]]%</f>
        <v>11.900000000000002</v>
      </c>
      <c r="AQ383" s="94">
        <f>Table3.110[[#This Row],[CH4 24h, ml]]/Table3.110[[#This Row],[Net gas 24h, ml]]%</f>
        <v>14.821558467986423</v>
      </c>
      <c r="AR383" s="94">
        <f>Table3.110[[#This Row],[CH4 24h, ml]]/Table3.110[[#This Row],[DM Incubated, mg]]*1000</f>
        <v>19.077685757835713</v>
      </c>
      <c r="AS383" s="94">
        <f>Table3.110[[#This Row],[CH4 24h, ml]]/Table3.110[[#This Row],[Digested feed, mg]]*1000</f>
        <v>103.09736059020747</v>
      </c>
      <c r="AT383" s="94">
        <f>Table3.110[[#This Row],[CH4 24h, ml]]/'3.2 Digest'!AA383</f>
        <v>-1.2596284188286775</v>
      </c>
      <c r="AU383" s="94">
        <f>((Table3.110[[#This Row],[CH4 24h, ml]]/28.9)*16.04)/Table3.110[[#This Row],[DM Incubated, mg]]*1000</f>
        <v>10.588445659366258</v>
      </c>
      <c r="AV383" s="94">
        <f>((Table3.110[[#This Row],[CH4 24h, ml]]/28.9)*16.04)/Table3.110[[#This Row],[Digested feed, mg]]*1000</f>
        <v>57.22081881892484</v>
      </c>
    </row>
    <row r="384" spans="2:49" s="89" customFormat="1" x14ac:dyDescent="0.35">
      <c r="B384" s="90">
        <f t="shared" si="5"/>
        <v>374</v>
      </c>
      <c r="C384" s="140">
        <v>46048</v>
      </c>
      <c r="D384" s="8" t="s">
        <v>120</v>
      </c>
      <c r="E384" s="6" t="s">
        <v>122</v>
      </c>
      <c r="F384" s="133" t="s">
        <v>123</v>
      </c>
      <c r="G384" s="133" t="s">
        <v>545</v>
      </c>
      <c r="H384" s="133" t="s">
        <v>125</v>
      </c>
      <c r="I384" s="125" t="s">
        <v>108</v>
      </c>
      <c r="J384" s="138" t="s">
        <v>109</v>
      </c>
      <c r="K384" s="138" t="s">
        <v>110</v>
      </c>
      <c r="L384" s="6" t="s">
        <v>121</v>
      </c>
      <c r="M384" s="93">
        <v>28</v>
      </c>
      <c r="N384" s="93">
        <v>60</v>
      </c>
      <c r="O384" s="6">
        <v>1</v>
      </c>
      <c r="P384" s="129">
        <v>3</v>
      </c>
      <c r="Q384" s="6">
        <v>32</v>
      </c>
      <c r="R384" s="98">
        <v>0.50009999999999999</v>
      </c>
      <c r="S384" s="94">
        <f>((Table3.110[[#This Row],[Sample weight, g]]*'2.1. DM'!Q135)/100)*1000</f>
        <v>467.84354999999999</v>
      </c>
      <c r="T384" s="94">
        <f>'3.2 Digest'!W384</f>
        <v>139.9435499999999</v>
      </c>
      <c r="U384" s="117">
        <v>0.37986111111111109</v>
      </c>
      <c r="V384" s="155">
        <v>41.5</v>
      </c>
      <c r="W384" s="117">
        <v>0.70833333333333337</v>
      </c>
      <c r="X384" s="97">
        <v>62</v>
      </c>
      <c r="Y384" s="97">
        <v>13.7</v>
      </c>
      <c r="Z384" s="155">
        <v>40.5</v>
      </c>
      <c r="AA384" s="117">
        <v>0.38124999999999998</v>
      </c>
      <c r="AB384" s="155">
        <v>81.5</v>
      </c>
      <c r="AC384" s="155">
        <v>16.100000000000001</v>
      </c>
      <c r="AD384" s="96"/>
      <c r="AE384" s="94">
        <f>Table3.110[[#This Row],[Gas 8h, ml]]-Table3.110[[#This Row],[Gas 0h, ml]]</f>
        <v>20.5</v>
      </c>
      <c r="AF384" s="94">
        <f>Table3.110[[#This Row],[Gas 24h, ml]]-Table3.110[[#This Row],[V8 Push back, ml]]</f>
        <v>41</v>
      </c>
      <c r="AG384" s="94">
        <f>Table3.110[[#This Row],[GP 8h, ml]]-(AVERAGE(AE$293,AE$294,AE$385,AE$386,AE$477,AE$478))*$AG$8</f>
        <v>19.246240428868305</v>
      </c>
      <c r="AH384" s="94">
        <f>Table3.110[[#This Row],[GP 8-24h, ml]]-(AVERAGE(AF$293,AF$294,AF$385,AF$386,AF$477,AF$478))*$AG$8</f>
        <v>39.00873479879084</v>
      </c>
      <c r="AI384" s="94">
        <f>Table3.110[[#This Row],[Net gas 8-24h, ml]]+Table3.110[[#This Row],[Net gas 8h, ml]]</f>
        <v>58.254975227659145</v>
      </c>
      <c r="AJ384" s="94">
        <f>Table3.110[[#This Row],[Net gas 8h, ml]]*Table3.110[[#This Row],[CH4 8h %]]%</f>
        <v>2.6367349387549575</v>
      </c>
      <c r="AK384" s="94">
        <f>Table3.110[[#This Row],[Net gas 8-24h, ml]]*Table3.110[[#This Row],[CH4 24h, %]]%</f>
        <v>6.2804063026053258</v>
      </c>
      <c r="AL384" s="94">
        <f>Table3.110[[#This Row],[CH4 8-24h, ml]]+Table3.110[[#This Row],[CH4 8h, ml]]</f>
        <v>8.9171412413602837</v>
      </c>
      <c r="AM384" s="94">
        <f>(Table3.110[[#This Row],[Net gas 24h, ml]]/Table3.110[[#This Row],[DM Incubated, mg]])*1000</f>
        <v>124.51806854590419</v>
      </c>
      <c r="AN384" s="94">
        <f>'3.2 Digest'!X384</f>
        <v>29.912467533217011</v>
      </c>
      <c r="AO384" s="94">
        <f>Table3.110[[#This Row],[Digested feed, mg]]/Table3.110[[#This Row],[Net gas 24h, ml]]</f>
        <v>2.4022591967999922</v>
      </c>
      <c r="AP384" s="94">
        <f>Table3.110[[#This Row],[CH4 8h, ml]]/Table3.110[[#This Row],[Net gas 8h, ml]]%</f>
        <v>13.699999999999998</v>
      </c>
      <c r="AQ384" s="94">
        <f>Table3.110[[#This Row],[CH4 24h, ml]]/Table3.110[[#This Row],[Net gas 24h, ml]]%</f>
        <v>15.30708957734905</v>
      </c>
      <c r="AR384" s="94">
        <f>Table3.110[[#This Row],[CH4 24h, ml]]/Table3.110[[#This Row],[DM Incubated, mg]]*1000</f>
        <v>19.060092292306443</v>
      </c>
      <c r="AS384" s="94">
        <f>Table3.110[[#This Row],[CH4 24h, ml]]/Table3.110[[#This Row],[Digested feed, mg]]*1000</f>
        <v>63.719558646041854</v>
      </c>
      <c r="AT384" s="94">
        <f>Table3.110[[#This Row],[CH4 24h, ml]]/'3.2 Digest'!AA384</f>
        <v>1.1286455098817501</v>
      </c>
      <c r="AU384" s="94">
        <f>((Table3.110[[#This Row],[CH4 24h, ml]]/28.9)*16.04)/Table3.110[[#This Row],[DM Incubated, mg]]*1000</f>
        <v>10.578680981612296</v>
      </c>
      <c r="AV384" s="94">
        <f>((Table3.110[[#This Row],[CH4 24h, ml]]/28.9)*16.04)/Table3.110[[#This Row],[Digested feed, mg]]*1000</f>
        <v>35.365457463062675</v>
      </c>
    </row>
    <row r="385" spans="2:49" s="89" customFormat="1" x14ac:dyDescent="0.35">
      <c r="B385" s="90">
        <f t="shared" si="5"/>
        <v>375</v>
      </c>
      <c r="C385" s="143">
        <v>46048</v>
      </c>
      <c r="D385" s="92"/>
      <c r="E385" s="124" t="s">
        <v>564</v>
      </c>
      <c r="F385" s="133" t="s">
        <v>538</v>
      </c>
      <c r="G385" s="133"/>
      <c r="H385" s="185" t="s">
        <v>564</v>
      </c>
      <c r="I385" s="187"/>
      <c r="J385" s="188"/>
      <c r="K385" s="185"/>
      <c r="L385" s="124" t="s">
        <v>543</v>
      </c>
      <c r="M385" s="93">
        <v>28</v>
      </c>
      <c r="N385" s="93">
        <v>60</v>
      </c>
      <c r="O385" s="124">
        <v>1</v>
      </c>
      <c r="P385" s="146">
        <v>1</v>
      </c>
      <c r="Q385" s="124">
        <v>33</v>
      </c>
      <c r="R385" s="148"/>
      <c r="S385" s="94"/>
      <c r="T385" s="94">
        <f>'3.2 Digest'!W385</f>
        <v>0</v>
      </c>
      <c r="U385" s="159">
        <v>0.38055555555555554</v>
      </c>
      <c r="V385" s="160">
        <v>40</v>
      </c>
      <c r="W385" s="159">
        <v>0.70972222222222225</v>
      </c>
      <c r="X385" s="147">
        <v>41.5</v>
      </c>
      <c r="Y385" s="147"/>
      <c r="Z385" s="160"/>
      <c r="AA385" s="159"/>
      <c r="AB385" s="160"/>
      <c r="AC385" s="160"/>
      <c r="AD385" s="147"/>
      <c r="AE385" s="94">
        <f>Table3.110[[#This Row],[Gas 8h, ml]]-Table3.110[[#This Row],[Gas 0h, ml]]</f>
        <v>1.5</v>
      </c>
      <c r="AF385" s="94"/>
      <c r="AG385" s="94"/>
      <c r="AH385" s="94"/>
      <c r="AI385" s="94"/>
      <c r="AJ385" s="94"/>
      <c r="AK385" s="94"/>
      <c r="AL385" s="94"/>
      <c r="AM385" s="94"/>
      <c r="AN385" s="94"/>
      <c r="AO385" s="94"/>
      <c r="AP385" s="94"/>
      <c r="AQ385" s="94"/>
      <c r="AR385" s="94"/>
      <c r="AS385" s="94"/>
      <c r="AT385" s="94"/>
      <c r="AU385" s="94"/>
      <c r="AV385" s="94"/>
    </row>
    <row r="386" spans="2:49" s="89" customFormat="1" x14ac:dyDescent="0.35">
      <c r="B386" s="90">
        <f t="shared" si="5"/>
        <v>376</v>
      </c>
      <c r="C386" s="143">
        <v>46048</v>
      </c>
      <c r="D386" s="92"/>
      <c r="E386" s="124" t="s">
        <v>564</v>
      </c>
      <c r="F386" s="133" t="s">
        <v>538</v>
      </c>
      <c r="G386" s="133"/>
      <c r="H386" s="185" t="s">
        <v>564</v>
      </c>
      <c r="I386" s="187"/>
      <c r="J386" s="188"/>
      <c r="K386" s="185"/>
      <c r="L386" s="124" t="s">
        <v>543</v>
      </c>
      <c r="M386" s="93">
        <v>28</v>
      </c>
      <c r="N386" s="93">
        <v>60</v>
      </c>
      <c r="O386" s="124">
        <v>1</v>
      </c>
      <c r="P386" s="146">
        <v>2</v>
      </c>
      <c r="Q386" s="124">
        <v>34</v>
      </c>
      <c r="R386" s="148"/>
      <c r="S386" s="94"/>
      <c r="T386" s="94">
        <f>'3.2 Digest'!W386</f>
        <v>0</v>
      </c>
      <c r="U386" s="159">
        <v>0.38055555555555554</v>
      </c>
      <c r="V386" s="160">
        <v>40</v>
      </c>
      <c r="W386" s="159">
        <v>0.70972222222222225</v>
      </c>
      <c r="X386" s="147">
        <v>41</v>
      </c>
      <c r="Y386" s="147"/>
      <c r="Z386" s="160"/>
      <c r="AA386" s="159"/>
      <c r="AB386" s="160"/>
      <c r="AC386" s="160"/>
      <c r="AD386" s="147"/>
      <c r="AE386" s="94">
        <f>Table3.110[[#This Row],[Gas 8h, ml]]-Table3.110[[#This Row],[Gas 0h, ml]]</f>
        <v>1</v>
      </c>
      <c r="AF386" s="94"/>
      <c r="AG386" s="94"/>
      <c r="AH386" s="94"/>
      <c r="AI386" s="94"/>
      <c r="AJ386" s="94"/>
      <c r="AK386" s="94"/>
      <c r="AL386" s="94"/>
      <c r="AM386" s="94"/>
      <c r="AN386" s="94"/>
      <c r="AO386" s="94"/>
      <c r="AP386" s="94"/>
      <c r="AQ386" s="94"/>
      <c r="AR386" s="94"/>
      <c r="AS386" s="94"/>
      <c r="AT386" s="94"/>
      <c r="AU386" s="94"/>
      <c r="AV386" s="94"/>
    </row>
    <row r="387" spans="2:49" s="89" customFormat="1" x14ac:dyDescent="0.35">
      <c r="B387" s="90">
        <f t="shared" si="5"/>
        <v>377</v>
      </c>
      <c r="C387" s="140">
        <v>46048</v>
      </c>
      <c r="D387" s="6" t="s">
        <v>16</v>
      </c>
      <c r="E387" s="6" t="s">
        <v>218</v>
      </c>
      <c r="F387" s="133" t="s">
        <v>219</v>
      </c>
      <c r="G387" s="133" t="s">
        <v>220</v>
      </c>
      <c r="H387" s="133" t="s">
        <v>221</v>
      </c>
      <c r="I387" s="125" t="s">
        <v>22</v>
      </c>
      <c r="J387" s="127" t="s">
        <v>23</v>
      </c>
      <c r="K387" s="125" t="s">
        <v>215</v>
      </c>
      <c r="L387" s="6" t="s">
        <v>217</v>
      </c>
      <c r="M387" s="93">
        <v>28</v>
      </c>
      <c r="N387" s="93">
        <v>60</v>
      </c>
      <c r="O387" s="6">
        <v>1</v>
      </c>
      <c r="P387" s="129">
        <v>1</v>
      </c>
      <c r="Q387" s="6">
        <v>35</v>
      </c>
      <c r="R387" s="98">
        <v>0.5</v>
      </c>
      <c r="S387" s="94">
        <f>((Table3.110[[#This Row],[Sample weight, g]]*'2.1. DM'!Q137)/100)*1000</f>
        <v>459.68312674930036</v>
      </c>
      <c r="T387" s="94">
        <f>'3.2 Digest'!W387</f>
        <v>238.78312674930027</v>
      </c>
      <c r="U387" s="153">
        <v>0.38055555555555554</v>
      </c>
      <c r="V387" s="154">
        <v>40.5</v>
      </c>
      <c r="W387" s="153">
        <v>0.7104166666666667</v>
      </c>
      <c r="X387" s="95">
        <v>61.5</v>
      </c>
      <c r="Y387" s="95">
        <v>11.7</v>
      </c>
      <c r="Z387" s="154">
        <v>40.5</v>
      </c>
      <c r="AA387" s="153">
        <v>0.38124999999999998</v>
      </c>
      <c r="AB387" s="154">
        <v>86</v>
      </c>
      <c r="AC387" s="154">
        <v>15.6</v>
      </c>
      <c r="AD387" s="91"/>
      <c r="AE387" s="94">
        <f>Table3.110[[#This Row],[Gas 8h, ml]]-Table3.110[[#This Row],[Gas 0h, ml]]</f>
        <v>21</v>
      </c>
      <c r="AF387" s="94">
        <f>Table3.110[[#This Row],[Gas 24h, ml]]-Table3.110[[#This Row],[V8 Push back, ml]]</f>
        <v>45.5</v>
      </c>
      <c r="AG387" s="94">
        <f>Table3.110[[#This Row],[GP 8h, ml]]-(AVERAGE(AE$293,AE$294,AE$385,AE$386,AE$477,AE$478))*$AG$8</f>
        <v>19.746240428868305</v>
      </c>
      <c r="AH387" s="94">
        <f>Table3.110[[#This Row],[GP 8-24h, ml]]-(AVERAGE(AF$293,AF$294,AF$385,AF$386,AF$477,AF$478))*$AG$8</f>
        <v>43.50873479879084</v>
      </c>
      <c r="AI387" s="94">
        <f>Table3.110[[#This Row],[Net gas 8-24h, ml]]+Table3.110[[#This Row],[Net gas 8h, ml]]</f>
        <v>63.254975227659145</v>
      </c>
      <c r="AJ387" s="94">
        <f>Table3.110[[#This Row],[Net gas 8h, ml]]*Table3.110[[#This Row],[CH4 8h %]]%</f>
        <v>2.3103101301775917</v>
      </c>
      <c r="AK387" s="94">
        <f>Table3.110[[#This Row],[Net gas 8-24h, ml]]*Table3.110[[#This Row],[CH4 24h, %]]%</f>
        <v>6.7873626286113709</v>
      </c>
      <c r="AL387" s="94">
        <f>Table3.110[[#This Row],[CH4 8-24h, ml]]+Table3.110[[#This Row],[CH4 8h, ml]]</f>
        <v>9.0976727587889634</v>
      </c>
      <c r="AM387" s="94">
        <f>(Table3.110[[#This Row],[Net gas 24h, ml]]/Table3.110[[#This Row],[DM Incubated, mg]])*1000</f>
        <v>137.60560600728081</v>
      </c>
      <c r="AN387" s="94">
        <f>'3.2 Digest'!X387</f>
        <v>51.945158056568516</v>
      </c>
      <c r="AO387" s="94">
        <f>Table3.110[[#This Row],[Digested feed, mg]]/Table3.110[[#This Row],[Net gas 24h, ml]]</f>
        <v>3.7749303653966009</v>
      </c>
      <c r="AP387" s="94">
        <f>Table3.110[[#This Row],[CH4 8h, ml]]/Table3.110[[#This Row],[Net gas 8h, ml]]%</f>
        <v>11.7</v>
      </c>
      <c r="AQ387" s="94">
        <f>Table3.110[[#This Row],[CH4 24h, ml]]/Table3.110[[#This Row],[Net gas 24h, ml]]%</f>
        <v>14.382541019178007</v>
      </c>
      <c r="AR387" s="94">
        <f>Table3.110[[#This Row],[CH4 24h, ml]]/Table3.110[[#This Row],[DM Incubated, mg]]*1000</f>
        <v>19.791182728685637</v>
      </c>
      <c r="AS387" s="94">
        <f>Table3.110[[#This Row],[CH4 24h, ml]]/Table3.110[[#This Row],[Digested feed, mg]]*1000</f>
        <v>38.100149213393379</v>
      </c>
      <c r="AT387" s="94">
        <f>Table3.110[[#This Row],[CH4 24h, ml]]/'3.2 Digest'!AA387</f>
        <v>-0.6555089030261031</v>
      </c>
      <c r="AU387" s="94">
        <f>((Table3.110[[#This Row],[CH4 24h, ml]]/28.9)*16.04)/Table3.110[[#This Row],[DM Incubated, mg]]*1000</f>
        <v>10.984448822426215</v>
      </c>
      <c r="AV387" s="94">
        <f>((Table3.110[[#This Row],[CH4 24h, ml]]/28.9)*16.04)/Table3.110[[#This Row],[Digested feed, mg]]*1000</f>
        <v>21.146241985565045</v>
      </c>
    </row>
    <row r="388" spans="2:49" s="89" customFormat="1" x14ac:dyDescent="0.35">
      <c r="B388" s="90">
        <f t="shared" si="5"/>
        <v>378</v>
      </c>
      <c r="C388" s="140">
        <v>46048</v>
      </c>
      <c r="D388" s="6" t="s">
        <v>16</v>
      </c>
      <c r="E388" s="6" t="s">
        <v>218</v>
      </c>
      <c r="F388" s="133" t="s">
        <v>219</v>
      </c>
      <c r="G388" s="133" t="s">
        <v>220</v>
      </c>
      <c r="H388" s="133" t="s">
        <v>221</v>
      </c>
      <c r="I388" s="125" t="s">
        <v>22</v>
      </c>
      <c r="J388" s="127" t="s">
        <v>23</v>
      </c>
      <c r="K388" s="125" t="s">
        <v>215</v>
      </c>
      <c r="L388" s="6" t="s">
        <v>217</v>
      </c>
      <c r="M388" s="93">
        <v>28</v>
      </c>
      <c r="N388" s="93">
        <v>60</v>
      </c>
      <c r="O388" s="6">
        <v>1</v>
      </c>
      <c r="P388" s="129">
        <v>2</v>
      </c>
      <c r="Q388" s="6">
        <v>36</v>
      </c>
      <c r="R388" s="98">
        <v>0.50009999999999999</v>
      </c>
      <c r="S388" s="94">
        <f>((Table3.110[[#This Row],[Sample weight, g]]*'2.1. DM'!Q137)/100)*1000</f>
        <v>459.77506337465019</v>
      </c>
      <c r="T388" s="94">
        <f>'3.2 Digest'!W388</f>
        <v>190.5750633746502</v>
      </c>
      <c r="U388" s="117">
        <v>0.38055555555555554</v>
      </c>
      <c r="V388" s="155">
        <v>41.5</v>
      </c>
      <c r="W388" s="117">
        <v>0.7104166666666667</v>
      </c>
      <c r="X388" s="97">
        <v>72.5</v>
      </c>
      <c r="Y388" s="97">
        <v>11.4</v>
      </c>
      <c r="Z388" s="155">
        <v>40.5</v>
      </c>
      <c r="AA388" s="117">
        <v>0.38194444444444442</v>
      </c>
      <c r="AB388" s="155">
        <v>86.5</v>
      </c>
      <c r="AC388" s="155">
        <v>15.5</v>
      </c>
      <c r="AD388" s="96"/>
      <c r="AE388" s="94">
        <f>Table3.110[[#This Row],[Gas 8h, ml]]-Table3.110[[#This Row],[Gas 0h, ml]]</f>
        <v>31</v>
      </c>
      <c r="AF388" s="94">
        <f>Table3.110[[#This Row],[Gas 24h, ml]]-Table3.110[[#This Row],[V8 Push back, ml]]</f>
        <v>46</v>
      </c>
      <c r="AG388" s="94">
        <f>Table3.110[[#This Row],[GP 8h, ml]]-(AVERAGE(AE$293,AE$294,AE$385,AE$386,AE$477,AE$478))*$AG$8</f>
        <v>29.746240428868305</v>
      </c>
      <c r="AH388" s="94">
        <f>Table3.110[[#This Row],[GP 8-24h, ml]]-(AVERAGE(AF$293,AF$294,AF$385,AF$386,AF$477,AF$478))*$AG$8</f>
        <v>44.00873479879084</v>
      </c>
      <c r="AI388" s="94">
        <f>Table3.110[[#This Row],[Net gas 8-24h, ml]]+Table3.110[[#This Row],[Net gas 8h, ml]]</f>
        <v>73.754975227659145</v>
      </c>
      <c r="AJ388" s="94">
        <f>Table3.110[[#This Row],[Net gas 8h, ml]]*Table3.110[[#This Row],[CH4 8h %]]%</f>
        <v>3.391071408890987</v>
      </c>
      <c r="AK388" s="94">
        <f>Table3.110[[#This Row],[Net gas 8-24h, ml]]*Table3.110[[#This Row],[CH4 24h, %]]%</f>
        <v>6.8213538938125806</v>
      </c>
      <c r="AL388" s="94">
        <f>Table3.110[[#This Row],[CH4 8-24h, ml]]+Table3.110[[#This Row],[CH4 8h, ml]]</f>
        <v>10.212425302703569</v>
      </c>
      <c r="AM388" s="94">
        <f>(Table3.110[[#This Row],[Net gas 24h, ml]]/Table3.110[[#This Row],[DM Incubated, mg]])*1000</f>
        <v>160.415344595493</v>
      </c>
      <c r="AN388" s="94">
        <f>'3.2 Digest'!X388</f>
        <v>41.449630168254487</v>
      </c>
      <c r="AO388" s="94">
        <f>Table3.110[[#This Row],[Digested feed, mg]]/Table3.110[[#This Row],[Net gas 24h, ml]]</f>
        <v>2.5838943445700173</v>
      </c>
      <c r="AP388" s="94">
        <f>Table3.110[[#This Row],[CH4 8h, ml]]/Table3.110[[#This Row],[Net gas 8h, ml]]%</f>
        <v>11.400000000000002</v>
      </c>
      <c r="AQ388" s="94">
        <f>Table3.110[[#This Row],[CH4 24h, ml]]/Table3.110[[#This Row],[Net gas 24h, ml]]%</f>
        <v>13.846422253117057</v>
      </c>
      <c r="AR388" s="94">
        <f>Table3.110[[#This Row],[CH4 24h, ml]]/Table3.110[[#This Row],[DM Incubated, mg]]*1000</f>
        <v>22.211785971484755</v>
      </c>
      <c r="AS388" s="94">
        <f>Table3.110[[#This Row],[CH4 24h, ml]]/Table3.110[[#This Row],[Digested feed, mg]]*1000</f>
        <v>53.587416537425113</v>
      </c>
      <c r="AT388" s="94">
        <f>Table3.110[[#This Row],[CH4 24h, ml]]/'3.2 Digest'!AA388</f>
        <v>-0.26354134168899213</v>
      </c>
      <c r="AU388" s="94">
        <f>((Table3.110[[#This Row],[CH4 24h, ml]]/28.9)*16.04)/Table3.110[[#This Row],[DM Incubated, mg]]*1000</f>
        <v>12.327925501128563</v>
      </c>
      <c r="AV388" s="94">
        <f>((Table3.110[[#This Row],[CH4 24h, ml]]/28.9)*16.04)/Table3.110[[#This Row],[Digested feed, mg]]*1000</f>
        <v>29.741943296204109</v>
      </c>
    </row>
    <row r="389" spans="2:49" s="89" customFormat="1" x14ac:dyDescent="0.35">
      <c r="B389" s="90">
        <f t="shared" si="5"/>
        <v>379</v>
      </c>
      <c r="C389" s="140">
        <v>46048</v>
      </c>
      <c r="D389" s="6" t="s">
        <v>16</v>
      </c>
      <c r="E389" s="6" t="s">
        <v>218</v>
      </c>
      <c r="F389" s="133" t="s">
        <v>219</v>
      </c>
      <c r="G389" s="133" t="s">
        <v>220</v>
      </c>
      <c r="H389" s="133" t="s">
        <v>221</v>
      </c>
      <c r="I389" s="125" t="s">
        <v>22</v>
      </c>
      <c r="J389" s="127" t="s">
        <v>23</v>
      </c>
      <c r="K389" s="125" t="s">
        <v>215</v>
      </c>
      <c r="L389" s="6" t="s">
        <v>217</v>
      </c>
      <c r="M389" s="93">
        <v>28</v>
      </c>
      <c r="N389" s="93">
        <v>60</v>
      </c>
      <c r="O389" s="6">
        <v>1</v>
      </c>
      <c r="P389" s="129">
        <v>3</v>
      </c>
      <c r="Q389" s="6">
        <v>37</v>
      </c>
      <c r="R389" s="98">
        <v>0.50049999999999994</v>
      </c>
      <c r="S389" s="94">
        <f>((Table3.110[[#This Row],[Sample weight, g]]*'2.1. DM'!Q137)/100)*1000</f>
        <v>460.14280987604957</v>
      </c>
      <c r="T389" s="94">
        <f>'3.2 Digest'!W389</f>
        <v>196.84280987604961</v>
      </c>
      <c r="U389" s="153">
        <v>0.38194444444444442</v>
      </c>
      <c r="V389" s="154">
        <v>41</v>
      </c>
      <c r="W389" s="153">
        <v>0.71180555555555558</v>
      </c>
      <c r="X389" s="95">
        <v>70</v>
      </c>
      <c r="Y389" s="95">
        <v>11.2</v>
      </c>
      <c r="Z389" s="154">
        <v>40</v>
      </c>
      <c r="AA389" s="153">
        <v>0.38194444444444442</v>
      </c>
      <c r="AB389" s="154">
        <v>97</v>
      </c>
      <c r="AC389" s="154">
        <v>15.2</v>
      </c>
      <c r="AD389" s="91"/>
      <c r="AE389" s="94">
        <f>Table3.110[[#This Row],[Gas 8h, ml]]-Table3.110[[#This Row],[Gas 0h, ml]]</f>
        <v>29</v>
      </c>
      <c r="AF389" s="94">
        <f>Table3.110[[#This Row],[Gas 24h, ml]]-Table3.110[[#This Row],[V8 Push back, ml]]</f>
        <v>57</v>
      </c>
      <c r="AG389" s="94">
        <f>Table3.110[[#This Row],[GP 8h, ml]]-(AVERAGE(AE$293,AE$294,AE$385,AE$386,AE$477,AE$478))*$AG$8</f>
        <v>27.746240428868305</v>
      </c>
      <c r="AH389" s="94">
        <f>Table3.110[[#This Row],[GP 8-24h, ml]]-(AVERAGE(AF$293,AF$294,AF$385,AF$386,AF$477,AF$478))*$AG$8</f>
        <v>55.00873479879084</v>
      </c>
      <c r="AI389" s="94">
        <f>Table3.110[[#This Row],[Net gas 8-24h, ml]]+Table3.110[[#This Row],[Net gas 8h, ml]]</f>
        <v>82.754975227659145</v>
      </c>
      <c r="AJ389" s="94">
        <f>Table3.110[[#This Row],[Net gas 8h, ml]]*Table3.110[[#This Row],[CH4 8h %]]%</f>
        <v>3.10757892803325</v>
      </c>
      <c r="AK389" s="94">
        <f>Table3.110[[#This Row],[Net gas 8-24h, ml]]*Table3.110[[#This Row],[CH4 24h, %]]%</f>
        <v>8.361327689416207</v>
      </c>
      <c r="AL389" s="94">
        <f>Table3.110[[#This Row],[CH4 8-24h, ml]]+Table3.110[[#This Row],[CH4 8h, ml]]</f>
        <v>11.468906617449457</v>
      </c>
      <c r="AM389" s="94">
        <f>(Table3.110[[#This Row],[Net gas 24h, ml]]/Table3.110[[#This Row],[DM Incubated, mg]])*1000</f>
        <v>179.84628565629694</v>
      </c>
      <c r="AN389" s="94">
        <f>'3.2 Digest'!X389</f>
        <v>42.778634295964309</v>
      </c>
      <c r="AO389" s="94">
        <f>Table3.110[[#This Row],[Digested feed, mg]]/Table3.110[[#This Row],[Net gas 24h, ml]]</f>
        <v>2.3786220627162846</v>
      </c>
      <c r="AP389" s="94">
        <f>Table3.110[[#This Row],[CH4 8h, ml]]/Table3.110[[#This Row],[Net gas 8h, ml]]%</f>
        <v>11.199999999999998</v>
      </c>
      <c r="AQ389" s="94">
        <f>Table3.110[[#This Row],[CH4 24h, ml]]/Table3.110[[#This Row],[Net gas 24h, ml]]%</f>
        <v>13.858872636839617</v>
      </c>
      <c r="AR389" s="94">
        <f>Table3.110[[#This Row],[CH4 24h, ml]]/Table3.110[[#This Row],[DM Incubated, mg]]*1000</f>
        <v>24.924667671192953</v>
      </c>
      <c r="AS389" s="94">
        <f>Table3.110[[#This Row],[CH4 24h, ml]]/Table3.110[[#This Row],[Digested feed, mg]]*1000</f>
        <v>58.264290296766944</v>
      </c>
      <c r="AT389" s="94">
        <f>Table3.110[[#This Row],[CH4 24h, ml]]/'3.2 Digest'!AA389</f>
        <v>-0.3221483357556465</v>
      </c>
      <c r="AU389" s="94">
        <f>((Table3.110[[#This Row],[CH4 24h, ml]]/28.9)*16.04)/Table3.110[[#This Row],[DM Incubated, mg]]*1000</f>
        <v>13.833621780136156</v>
      </c>
      <c r="AV389" s="94">
        <f>((Table3.110[[#This Row],[CH4 24h, ml]]/28.9)*16.04)/Table3.110[[#This Row],[Digested feed, mg]]*1000</f>
        <v>32.337689147409748</v>
      </c>
    </row>
    <row r="390" spans="2:49" s="89" customFormat="1" x14ac:dyDescent="0.35">
      <c r="B390" s="90">
        <f t="shared" si="5"/>
        <v>380</v>
      </c>
      <c r="C390" s="140">
        <v>46048</v>
      </c>
      <c r="D390" s="6" t="s">
        <v>16</v>
      </c>
      <c r="E390" s="6" t="s">
        <v>223</v>
      </c>
      <c r="F390" s="133" t="s">
        <v>219</v>
      </c>
      <c r="G390" s="133" t="s">
        <v>220</v>
      </c>
      <c r="H390" s="133" t="s">
        <v>221</v>
      </c>
      <c r="I390" s="125" t="s">
        <v>22</v>
      </c>
      <c r="J390" s="127" t="s">
        <v>23</v>
      </c>
      <c r="K390" s="125" t="s">
        <v>215</v>
      </c>
      <c r="L390" s="6" t="s">
        <v>222</v>
      </c>
      <c r="M390" s="93">
        <v>28</v>
      </c>
      <c r="N390" s="93">
        <v>60</v>
      </c>
      <c r="O390" s="6">
        <v>1</v>
      </c>
      <c r="P390" s="129">
        <v>1</v>
      </c>
      <c r="Q390" s="6">
        <v>38</v>
      </c>
      <c r="R390" s="98">
        <v>0.50029999999999997</v>
      </c>
      <c r="S390" s="94">
        <f>((Table3.110[[#This Row],[Sample weight, g]]*'2.1. DM'!Q139)/100)*1000</f>
        <v>457.41856528752805</v>
      </c>
      <c r="T390" s="94">
        <f>'3.2 Digest'!W390</f>
        <v>224.01856528752799</v>
      </c>
      <c r="U390" s="117">
        <v>0.38194444444444442</v>
      </c>
      <c r="V390" s="155">
        <v>40.5</v>
      </c>
      <c r="W390" s="117">
        <v>0.71250000000000002</v>
      </c>
      <c r="X390" s="97">
        <v>80.5</v>
      </c>
      <c r="Y390" s="97">
        <v>12.4</v>
      </c>
      <c r="Z390" s="155">
        <v>40.5</v>
      </c>
      <c r="AA390" s="117">
        <v>0.38263888888888886</v>
      </c>
      <c r="AB390" s="155">
        <v>88.5</v>
      </c>
      <c r="AC390" s="155">
        <v>16.7</v>
      </c>
      <c r="AD390" s="96"/>
      <c r="AE390" s="94">
        <f>Table3.110[[#This Row],[Gas 8h, ml]]-Table3.110[[#This Row],[Gas 0h, ml]]</f>
        <v>40</v>
      </c>
      <c r="AF390" s="94">
        <f>Table3.110[[#This Row],[Gas 24h, ml]]-Table3.110[[#This Row],[V8 Push back, ml]]</f>
        <v>48</v>
      </c>
      <c r="AG390" s="94">
        <f>Table3.110[[#This Row],[GP 8h, ml]]-(AVERAGE(AE$293,AE$294,AE$385,AE$386,AE$477,AE$478))*$AG$8</f>
        <v>38.746240428868305</v>
      </c>
      <c r="AH390" s="94">
        <f>Table3.110[[#This Row],[GP 8-24h, ml]]-(AVERAGE(AF$293,AF$294,AF$385,AF$386,AF$477,AF$478))*$AG$8</f>
        <v>46.00873479879084</v>
      </c>
      <c r="AI390" s="94">
        <f>Table3.110[[#This Row],[Net gas 8-24h, ml]]+Table3.110[[#This Row],[Net gas 8h, ml]]</f>
        <v>84.754975227659145</v>
      </c>
      <c r="AJ390" s="94">
        <f>Table3.110[[#This Row],[Net gas 8h, ml]]*Table3.110[[#This Row],[CH4 8h %]]%</f>
        <v>4.8045338131796695</v>
      </c>
      <c r="AK390" s="94">
        <f>Table3.110[[#This Row],[Net gas 8-24h, ml]]*Table3.110[[#This Row],[CH4 24h, %]]%</f>
        <v>7.6834587113980692</v>
      </c>
      <c r="AL390" s="94">
        <f>Table3.110[[#This Row],[CH4 8-24h, ml]]+Table3.110[[#This Row],[CH4 8h, ml]]</f>
        <v>12.487992524577738</v>
      </c>
      <c r="AM390" s="94">
        <f>(Table3.110[[#This Row],[Net gas 24h, ml]]/Table3.110[[#This Row],[DM Incubated, mg]])*1000</f>
        <v>185.28975791435826</v>
      </c>
      <c r="AN390" s="94">
        <f>'3.2 Digest'!X390</f>
        <v>48.974524054727098</v>
      </c>
      <c r="AO390" s="94">
        <f>Table3.110[[#This Row],[Digested feed, mg]]/Table3.110[[#This Row],[Net gas 24h, ml]]</f>
        <v>2.6431317416564029</v>
      </c>
      <c r="AP390" s="94">
        <f>Table3.110[[#This Row],[CH4 8h, ml]]/Table3.110[[#This Row],[Net gas 8h, ml]]%</f>
        <v>12.399999999999999</v>
      </c>
      <c r="AQ390" s="94">
        <f>Table3.110[[#This Row],[CH4 24h, ml]]/Table3.110[[#This Row],[Net gas 24h, ml]]%</f>
        <v>14.734229455007116</v>
      </c>
      <c r="AR390" s="94">
        <f>Table3.110[[#This Row],[CH4 24h, ml]]/Table3.110[[#This Row],[DM Incubated, mg]]*1000</f>
        <v>27.30101808772875</v>
      </c>
      <c r="AS390" s="94">
        <f>Table3.110[[#This Row],[CH4 24h, ml]]/Table3.110[[#This Row],[Digested feed, mg]]*1000</f>
        <v>55.745346411577053</v>
      </c>
      <c r="AT390" s="94">
        <f>Table3.110[[#This Row],[CH4 24h, ml]]/'3.2 Digest'!AA390</f>
        <v>-1.0199826666914336</v>
      </c>
      <c r="AU390" s="94">
        <f>((Table3.110[[#This Row],[CH4 24h, ml]]/28.9)*16.04)/Table3.110[[#This Row],[DM Incubated, mg]]*1000</f>
        <v>15.152537374642533</v>
      </c>
      <c r="AV390" s="94">
        <f>((Table3.110[[#This Row],[CH4 24h, ml]]/28.9)*16.04)/Table3.110[[#This Row],[Digested feed, mg]]*1000</f>
        <v>30.939631710785324</v>
      </c>
    </row>
    <row r="391" spans="2:49" s="89" customFormat="1" x14ac:dyDescent="0.35">
      <c r="B391" s="90">
        <f t="shared" si="5"/>
        <v>381</v>
      </c>
      <c r="C391" s="140">
        <v>46048</v>
      </c>
      <c r="D391" s="6" t="s">
        <v>16</v>
      </c>
      <c r="E391" s="6" t="s">
        <v>223</v>
      </c>
      <c r="F391" s="133" t="s">
        <v>219</v>
      </c>
      <c r="G391" s="133" t="s">
        <v>220</v>
      </c>
      <c r="H391" s="133" t="s">
        <v>221</v>
      </c>
      <c r="I391" s="125" t="s">
        <v>22</v>
      </c>
      <c r="J391" s="127" t="s">
        <v>23</v>
      </c>
      <c r="K391" s="125" t="s">
        <v>215</v>
      </c>
      <c r="L391" s="6" t="s">
        <v>222</v>
      </c>
      <c r="M391" s="93">
        <v>28</v>
      </c>
      <c r="N391" s="93">
        <v>60</v>
      </c>
      <c r="O391" s="6">
        <v>1</v>
      </c>
      <c r="P391" s="129">
        <v>2</v>
      </c>
      <c r="Q391" s="6">
        <v>39</v>
      </c>
      <c r="R391" s="98">
        <v>0.50029999999999997</v>
      </c>
      <c r="S391" s="94">
        <f>((Table3.110[[#This Row],[Sample weight, g]]*'2.1. DM'!Q139)/100)*1000</f>
        <v>457.41856528752805</v>
      </c>
      <c r="T391" s="94">
        <f>'3.2 Digest'!W391</f>
        <v>249.71856528752807</v>
      </c>
      <c r="U391" s="153">
        <v>0.38263888888888886</v>
      </c>
      <c r="V391" s="154">
        <v>41</v>
      </c>
      <c r="W391" s="153">
        <v>0.71250000000000002</v>
      </c>
      <c r="X391" s="95">
        <v>79</v>
      </c>
      <c r="Y391" s="95">
        <v>12.3</v>
      </c>
      <c r="Z391" s="154">
        <v>40.5</v>
      </c>
      <c r="AA391" s="153">
        <v>0.38333333333333336</v>
      </c>
      <c r="AB391" s="154">
        <v>89</v>
      </c>
      <c r="AC391" s="154">
        <v>16.5</v>
      </c>
      <c r="AD391" s="91"/>
      <c r="AE391" s="94">
        <f>Table3.110[[#This Row],[Gas 8h, ml]]-Table3.110[[#This Row],[Gas 0h, ml]]</f>
        <v>38</v>
      </c>
      <c r="AF391" s="94">
        <f>Table3.110[[#This Row],[Gas 24h, ml]]-Table3.110[[#This Row],[V8 Push back, ml]]</f>
        <v>48.5</v>
      </c>
      <c r="AG391" s="94">
        <f>Table3.110[[#This Row],[GP 8h, ml]]-(AVERAGE(AE$293,AE$294,AE$385,AE$386,AE$477,AE$478))*$AG$8</f>
        <v>36.746240428868305</v>
      </c>
      <c r="AH391" s="94">
        <f>Table3.110[[#This Row],[GP 8-24h, ml]]-(AVERAGE(AF$293,AF$294,AF$385,AF$386,AF$477,AF$478))*$AG$8</f>
        <v>46.50873479879084</v>
      </c>
      <c r="AI391" s="94">
        <f>Table3.110[[#This Row],[Net gas 8-24h, ml]]+Table3.110[[#This Row],[Net gas 8h, ml]]</f>
        <v>83.254975227659145</v>
      </c>
      <c r="AJ391" s="94">
        <f>Table3.110[[#This Row],[Net gas 8h, ml]]*Table3.110[[#This Row],[CH4 8h %]]%</f>
        <v>4.5197875727508023</v>
      </c>
      <c r="AK391" s="94">
        <f>Table3.110[[#This Row],[Net gas 8-24h, ml]]*Table3.110[[#This Row],[CH4 24h, %]]%</f>
        <v>7.6739412418004891</v>
      </c>
      <c r="AL391" s="94">
        <f>Table3.110[[#This Row],[CH4 8-24h, ml]]+Table3.110[[#This Row],[CH4 8h, ml]]</f>
        <v>12.193728814551292</v>
      </c>
      <c r="AM391" s="94">
        <f>(Table3.110[[#This Row],[Net gas 24h, ml]]/Table3.110[[#This Row],[DM Incubated, mg]])*1000</f>
        <v>182.01048568137153</v>
      </c>
      <c r="AN391" s="94">
        <f>'3.2 Digest'!X391</f>
        <v>54.593010480577639</v>
      </c>
      <c r="AO391" s="94">
        <f>Table3.110[[#This Row],[Digested feed, mg]]/Table3.110[[#This Row],[Net gas 24h, ml]]</f>
        <v>2.9994431516516267</v>
      </c>
      <c r="AP391" s="94">
        <f>Table3.110[[#This Row],[CH4 8h, ml]]/Table3.110[[#This Row],[Net gas 8h, ml]]%</f>
        <v>12.300000000000002</v>
      </c>
      <c r="AQ391" s="94">
        <f>Table3.110[[#This Row],[CH4 24h, ml]]/Table3.110[[#This Row],[Net gas 24h, ml]]%</f>
        <v>14.646246402942014</v>
      </c>
      <c r="AR391" s="94">
        <f>Table3.110[[#This Row],[CH4 24h, ml]]/Table3.110[[#This Row],[DM Incubated, mg]]*1000</f>
        <v>26.657704212085168</v>
      </c>
      <c r="AS391" s="94">
        <f>Table3.110[[#This Row],[CH4 24h, ml]]/Table3.110[[#This Row],[Digested feed, mg]]*1000</f>
        <v>48.829884956736514</v>
      </c>
      <c r="AT391" s="94">
        <f>Table3.110[[#This Row],[CH4 24h, ml]]/'3.2 Digest'!AA391</f>
        <v>105.17933958816558</v>
      </c>
      <c r="AU391" s="94">
        <f>((Table3.110[[#This Row],[CH4 24h, ml]]/28.9)*16.04)/Table3.110[[#This Row],[DM Incubated, mg]]*1000</f>
        <v>14.795487043662495</v>
      </c>
      <c r="AV391" s="94">
        <f>((Table3.110[[#This Row],[CH4 24h, ml]]/28.9)*16.04)/Table3.110[[#This Row],[Digested feed, mg]]*1000</f>
        <v>27.101430958686976</v>
      </c>
    </row>
    <row r="392" spans="2:49" s="89" customFormat="1" x14ac:dyDescent="0.35">
      <c r="B392" s="90">
        <f t="shared" si="5"/>
        <v>382</v>
      </c>
      <c r="C392" s="140">
        <v>46048</v>
      </c>
      <c r="D392" s="6" t="s">
        <v>16</v>
      </c>
      <c r="E392" s="6" t="s">
        <v>223</v>
      </c>
      <c r="F392" s="133" t="s">
        <v>219</v>
      </c>
      <c r="G392" s="133" t="s">
        <v>220</v>
      </c>
      <c r="H392" s="133" t="s">
        <v>221</v>
      </c>
      <c r="I392" s="125" t="s">
        <v>22</v>
      </c>
      <c r="J392" s="127" t="s">
        <v>23</v>
      </c>
      <c r="K392" s="125" t="s">
        <v>215</v>
      </c>
      <c r="L392" s="6" t="s">
        <v>222</v>
      </c>
      <c r="M392" s="93">
        <v>28</v>
      </c>
      <c r="N392" s="93">
        <v>60</v>
      </c>
      <c r="O392" s="6">
        <v>1</v>
      </c>
      <c r="P392" s="129">
        <v>3</v>
      </c>
      <c r="Q392" s="6">
        <v>40</v>
      </c>
      <c r="R392" s="98">
        <v>0.50039999999999996</v>
      </c>
      <c r="S392" s="94">
        <f>((Table3.110[[#This Row],[Sample weight, g]]*'2.1. DM'!Q139)/100)*1000</f>
        <v>457.50999414327208</v>
      </c>
      <c r="T392" s="94">
        <f>'3.2 Digest'!W392</f>
        <v>265.30999414327204</v>
      </c>
      <c r="U392" s="117">
        <v>0.38263888888888886</v>
      </c>
      <c r="V392" s="155">
        <v>40.5</v>
      </c>
      <c r="W392" s="117">
        <v>0.71319444444444446</v>
      </c>
      <c r="X392" s="97">
        <v>79</v>
      </c>
      <c r="Y392" s="97">
        <v>12.8</v>
      </c>
      <c r="Z392" s="155">
        <v>40</v>
      </c>
      <c r="AA392" s="117">
        <v>0.38333333333333336</v>
      </c>
      <c r="AB392" s="155">
        <v>89.5</v>
      </c>
      <c r="AC392" s="155">
        <v>16.8</v>
      </c>
      <c r="AD392" s="96"/>
      <c r="AE392" s="94">
        <f>Table3.110[[#This Row],[Gas 8h, ml]]-Table3.110[[#This Row],[Gas 0h, ml]]</f>
        <v>38.5</v>
      </c>
      <c r="AF392" s="94">
        <f>Table3.110[[#This Row],[Gas 24h, ml]]-Table3.110[[#This Row],[V8 Push back, ml]]</f>
        <v>49.5</v>
      </c>
      <c r="AG392" s="94">
        <f>Table3.110[[#This Row],[GP 8h, ml]]-(AVERAGE(AE$293,AE$294,AE$385,AE$386,AE$477,AE$478))*$AG$8</f>
        <v>37.246240428868305</v>
      </c>
      <c r="AH392" s="94">
        <f>Table3.110[[#This Row],[GP 8-24h, ml]]-(AVERAGE(AF$293,AF$294,AF$385,AF$386,AF$477,AF$478))*$AG$8</f>
        <v>47.50873479879084</v>
      </c>
      <c r="AI392" s="94">
        <f>Table3.110[[#This Row],[Net gas 8-24h, ml]]+Table3.110[[#This Row],[Net gas 8h, ml]]</f>
        <v>84.754975227659145</v>
      </c>
      <c r="AJ392" s="94">
        <f>Table3.110[[#This Row],[Net gas 8h, ml]]*Table3.110[[#This Row],[CH4 8h %]]%</f>
        <v>4.7675187748951435</v>
      </c>
      <c r="AK392" s="94">
        <f>Table3.110[[#This Row],[Net gas 8-24h, ml]]*Table3.110[[#This Row],[CH4 24h, %]]%</f>
        <v>7.981467446196862</v>
      </c>
      <c r="AL392" s="94">
        <f>Table3.110[[#This Row],[CH4 8-24h, ml]]+Table3.110[[#This Row],[CH4 8h, ml]]</f>
        <v>12.748986221092006</v>
      </c>
      <c r="AM392" s="94">
        <f>(Table3.110[[#This Row],[Net gas 24h, ml]]/Table3.110[[#This Row],[DM Incubated, mg]])*1000</f>
        <v>185.25272958543854</v>
      </c>
      <c r="AN392" s="94">
        <f>'3.2 Digest'!X392</f>
        <v>57.989988752068342</v>
      </c>
      <c r="AO392" s="94">
        <f>Table3.110[[#This Row],[Digested feed, mg]]/Table3.110[[#This Row],[Net gas 24h, ml]]</f>
        <v>3.130317641302196</v>
      </c>
      <c r="AP392" s="94">
        <f>Table3.110[[#This Row],[CH4 8h, ml]]/Table3.110[[#This Row],[Net gas 8h, ml]]%</f>
        <v>12.8</v>
      </c>
      <c r="AQ392" s="94">
        <f>Table3.110[[#This Row],[CH4 24h, ml]]/Table3.110[[#This Row],[Net gas 24h, ml]]%</f>
        <v>15.042168541548309</v>
      </c>
      <c r="AR392" s="94">
        <f>Table3.110[[#This Row],[CH4 24h, ml]]/Table3.110[[#This Row],[DM Incubated, mg]]*1000</f>
        <v>27.866027812060388</v>
      </c>
      <c r="AS392" s="94">
        <f>Table3.110[[#This Row],[CH4 24h, ml]]/Table3.110[[#This Row],[Digested feed, mg]]*1000</f>
        <v>48.053169886270211</v>
      </c>
      <c r="AT392" s="94">
        <f>Table3.110[[#This Row],[CH4 24h, ml]]/'3.2 Digest'!AA392</f>
        <v>1.6800538943096321</v>
      </c>
      <c r="AU392" s="94">
        <f>((Table3.110[[#This Row],[CH4 24h, ml]]/28.9)*16.04)/Table3.110[[#This Row],[DM Incubated, mg]]*1000</f>
        <v>15.466127546901339</v>
      </c>
      <c r="AV392" s="94">
        <f>((Table3.110[[#This Row],[CH4 24h, ml]]/28.9)*16.04)/Table3.110[[#This Row],[Digested feed, mg]]*1000</f>
        <v>26.670340656601184</v>
      </c>
      <c r="AW392" s="89" t="s">
        <v>562</v>
      </c>
    </row>
    <row r="393" spans="2:49" s="89" customFormat="1" x14ac:dyDescent="0.35">
      <c r="B393" s="90">
        <f t="shared" si="5"/>
        <v>383</v>
      </c>
      <c r="C393" s="140">
        <v>46048</v>
      </c>
      <c r="D393" s="6" t="s">
        <v>16</v>
      </c>
      <c r="E393" s="6" t="s">
        <v>225</v>
      </c>
      <c r="F393" s="133" t="s">
        <v>226</v>
      </c>
      <c r="G393" s="133" t="s">
        <v>227</v>
      </c>
      <c r="H393" s="133" t="s">
        <v>228</v>
      </c>
      <c r="I393" s="125" t="s">
        <v>22</v>
      </c>
      <c r="J393" s="127" t="s">
        <v>23</v>
      </c>
      <c r="K393" s="125" t="s">
        <v>215</v>
      </c>
      <c r="L393" s="6" t="s">
        <v>224</v>
      </c>
      <c r="M393" s="93">
        <v>28</v>
      </c>
      <c r="N393" s="93">
        <v>60</v>
      </c>
      <c r="O393" s="6">
        <v>1</v>
      </c>
      <c r="P393" s="129">
        <v>1</v>
      </c>
      <c r="Q393" s="6">
        <v>41</v>
      </c>
      <c r="R393" s="98">
        <v>0.50019999999999998</v>
      </c>
      <c r="S393" s="94">
        <f>((Table3.110[[#This Row],[Sample weight, g]]*'2.1. DM'!Q141)/100)*1000</f>
        <v>455.59780726613326</v>
      </c>
      <c r="T393" s="94">
        <f>'3.2 Digest'!W393</f>
        <v>201.29780726613328</v>
      </c>
      <c r="U393" s="153">
        <v>0.38263888888888886</v>
      </c>
      <c r="V393" s="154">
        <v>41</v>
      </c>
      <c r="W393" s="153">
        <v>0.71319444444444446</v>
      </c>
      <c r="X393" s="95">
        <v>74.5</v>
      </c>
      <c r="Y393" s="95">
        <v>11.6</v>
      </c>
      <c r="Z393" s="154">
        <v>40</v>
      </c>
      <c r="AA393" s="153">
        <v>0.38333333333333336</v>
      </c>
      <c r="AB393" s="154">
        <v>75</v>
      </c>
      <c r="AC393" s="154">
        <v>15</v>
      </c>
      <c r="AD393" s="91"/>
      <c r="AE393" s="94">
        <f>Table3.110[[#This Row],[Gas 8h, ml]]-Table3.110[[#This Row],[Gas 0h, ml]]</f>
        <v>33.5</v>
      </c>
      <c r="AF393" s="94">
        <f>Table3.110[[#This Row],[Gas 24h, ml]]-Table3.110[[#This Row],[V8 Push back, ml]]</f>
        <v>35</v>
      </c>
      <c r="AG393" s="94">
        <f>Table3.110[[#This Row],[GP 8h, ml]]-(AVERAGE(AE$293,AE$294,AE$385,AE$386,AE$477,AE$478))*$AG$8</f>
        <v>32.246240428868305</v>
      </c>
      <c r="AH393" s="94">
        <f>Table3.110[[#This Row],[GP 8-24h, ml]]-(AVERAGE(AF$293,AF$294,AF$385,AF$386,AF$477,AF$478))*$AG$8</f>
        <v>33.00873479879084</v>
      </c>
      <c r="AI393" s="94">
        <f>Table3.110[[#This Row],[Net gas 8-24h, ml]]+Table3.110[[#This Row],[Net gas 8h, ml]]</f>
        <v>65.254975227659145</v>
      </c>
      <c r="AJ393" s="94">
        <f>Table3.110[[#This Row],[Net gas 8h, ml]]*Table3.110[[#This Row],[CH4 8h %]]%</f>
        <v>3.740563889748723</v>
      </c>
      <c r="AK393" s="94">
        <f>Table3.110[[#This Row],[Net gas 8-24h, ml]]*Table3.110[[#This Row],[CH4 24h, %]]%</f>
        <v>4.9513102198186258</v>
      </c>
      <c r="AL393" s="94">
        <f>Table3.110[[#This Row],[CH4 8-24h, ml]]+Table3.110[[#This Row],[CH4 8h, ml]]</f>
        <v>8.6918741095673493</v>
      </c>
      <c r="AM393" s="94">
        <f>(Table3.110[[#This Row],[Net gas 24h, ml]]/Table3.110[[#This Row],[DM Incubated, mg]])*1000</f>
        <v>143.22934436236446</v>
      </c>
      <c r="AN393" s="94">
        <f>'3.2 Digest'!X393</f>
        <v>44.183225655549968</v>
      </c>
      <c r="AO393" s="94">
        <f>Table3.110[[#This Row],[Digested feed, mg]]/Table3.110[[#This Row],[Net gas 24h, ml]]</f>
        <v>3.0847886550236656</v>
      </c>
      <c r="AP393" s="94">
        <f>Table3.110[[#This Row],[CH4 8h, ml]]/Table3.110[[#This Row],[Net gas 8h, ml]]%</f>
        <v>11.599999999999998</v>
      </c>
      <c r="AQ393" s="94">
        <f>Table3.110[[#This Row],[CH4 24h, ml]]/Table3.110[[#This Row],[Net gas 24h, ml]]%</f>
        <v>13.319864239076731</v>
      </c>
      <c r="AR393" s="94">
        <f>Table3.110[[#This Row],[CH4 24h, ml]]/Table3.110[[#This Row],[DM Incubated, mg]]*1000</f>
        <v>19.077954219586641</v>
      </c>
      <c r="AS393" s="94">
        <f>Table3.110[[#This Row],[CH4 24h, ml]]/Table3.110[[#This Row],[Digested feed, mg]]*1000</f>
        <v>43.179179284729777</v>
      </c>
      <c r="AT393" s="94">
        <f>Table3.110[[#This Row],[CH4 24h, ml]]/'3.2 Digest'!AA393</f>
        <v>-0.38831270344673485</v>
      </c>
      <c r="AU393" s="94">
        <f>((Table3.110[[#This Row],[CH4 24h, ml]]/28.9)*16.04)/Table3.110[[#This Row],[DM Incubated, mg]]*1000</f>
        <v>10.588594660282691</v>
      </c>
      <c r="AV393" s="94">
        <f>((Table3.110[[#This Row],[CH4 24h, ml]]/28.9)*16.04)/Table3.110[[#This Row],[Digested feed, mg]]*1000</f>
        <v>23.965191547649329</v>
      </c>
    </row>
    <row r="394" spans="2:49" s="89" customFormat="1" x14ac:dyDescent="0.35">
      <c r="B394" s="90">
        <f t="shared" si="5"/>
        <v>384</v>
      </c>
      <c r="C394" s="140">
        <v>46048</v>
      </c>
      <c r="D394" s="6" t="s">
        <v>16</v>
      </c>
      <c r="E394" s="6" t="s">
        <v>225</v>
      </c>
      <c r="F394" s="133" t="s">
        <v>226</v>
      </c>
      <c r="G394" s="133" t="s">
        <v>227</v>
      </c>
      <c r="H394" s="133" t="s">
        <v>228</v>
      </c>
      <c r="I394" s="125" t="s">
        <v>22</v>
      </c>
      <c r="J394" s="127" t="s">
        <v>23</v>
      </c>
      <c r="K394" s="125" t="s">
        <v>215</v>
      </c>
      <c r="L394" s="6" t="s">
        <v>224</v>
      </c>
      <c r="M394" s="93">
        <v>28</v>
      </c>
      <c r="N394" s="93">
        <v>60</v>
      </c>
      <c r="O394" s="6">
        <v>1</v>
      </c>
      <c r="P394" s="129">
        <v>2</v>
      </c>
      <c r="Q394" s="6">
        <v>42</v>
      </c>
      <c r="R394" s="98">
        <v>0.50039999999999996</v>
      </c>
      <c r="S394" s="94">
        <f>((Table3.110[[#This Row],[Sample weight, g]]*'2.1. DM'!Q141)/100)*1000</f>
        <v>455.7799735225372</v>
      </c>
      <c r="T394" s="94">
        <f>'3.2 Digest'!W394</f>
        <v>124.77997352253726</v>
      </c>
      <c r="U394" s="117">
        <v>0.38263888888888886</v>
      </c>
      <c r="V394" s="155">
        <v>40</v>
      </c>
      <c r="W394" s="117">
        <v>0.71388888888888891</v>
      </c>
      <c r="X394" s="97">
        <v>73.5</v>
      </c>
      <c r="Y394" s="97">
        <v>11.8</v>
      </c>
      <c r="Z394" s="155">
        <v>40</v>
      </c>
      <c r="AA394" s="117">
        <v>0.3840277777777778</v>
      </c>
      <c r="AB394" s="155">
        <v>72.5</v>
      </c>
      <c r="AC394" s="155">
        <v>15.1</v>
      </c>
      <c r="AD394" s="96"/>
      <c r="AE394" s="94">
        <f>Table3.110[[#This Row],[Gas 8h, ml]]-Table3.110[[#This Row],[Gas 0h, ml]]</f>
        <v>33.5</v>
      </c>
      <c r="AF394" s="94">
        <f>Table3.110[[#This Row],[Gas 24h, ml]]-Table3.110[[#This Row],[V8 Push back, ml]]</f>
        <v>32.5</v>
      </c>
      <c r="AG394" s="94">
        <f>Table3.110[[#This Row],[GP 8h, ml]]-(AVERAGE(AE$293,AE$294,AE$385,AE$386,AE$477,AE$478))*$AG$8</f>
        <v>32.246240428868305</v>
      </c>
      <c r="AH394" s="94">
        <f>Table3.110[[#This Row],[GP 8-24h, ml]]-(AVERAGE(AF$293,AF$294,AF$385,AF$386,AF$477,AF$478))*$AG$8</f>
        <v>30.508734798790837</v>
      </c>
      <c r="AI394" s="94">
        <f>Table3.110[[#This Row],[Net gas 8-24h, ml]]+Table3.110[[#This Row],[Net gas 8h, ml]]</f>
        <v>62.754975227659145</v>
      </c>
      <c r="AJ394" s="94">
        <f>Table3.110[[#This Row],[Net gas 8h, ml]]*Table3.110[[#This Row],[CH4 8h %]]%</f>
        <v>3.8050563706064602</v>
      </c>
      <c r="AK394" s="94">
        <f>Table3.110[[#This Row],[Net gas 8-24h, ml]]*Table3.110[[#This Row],[CH4 24h, %]]%</f>
        <v>4.6068189546174159</v>
      </c>
      <c r="AL394" s="94">
        <f>Table3.110[[#This Row],[CH4 8-24h, ml]]+Table3.110[[#This Row],[CH4 8h, ml]]</f>
        <v>8.4118753252238765</v>
      </c>
      <c r="AM394" s="94">
        <f>(Table3.110[[#This Row],[Net gas 24h, ml]]/Table3.110[[#This Row],[DM Incubated, mg]])*1000</f>
        <v>137.68699564101419</v>
      </c>
      <c r="AN394" s="94">
        <f>'3.2 Digest'!X394</f>
        <v>27.377239188059061</v>
      </c>
      <c r="AO394" s="94">
        <f>Table3.110[[#This Row],[Digested feed, mg]]/Table3.110[[#This Row],[Net gas 24h, ml]]</f>
        <v>1.9883678237441278</v>
      </c>
      <c r="AP394" s="94">
        <f>Table3.110[[#This Row],[CH4 8h, ml]]/Table3.110[[#This Row],[Net gas 8h, ml]]%</f>
        <v>11.8</v>
      </c>
      <c r="AQ394" s="94">
        <f>Table3.110[[#This Row],[CH4 24h, ml]]/Table3.110[[#This Row],[Net gas 24h, ml]]%</f>
        <v>13.404316223068728</v>
      </c>
      <c r="AR394" s="94">
        <f>Table3.110[[#This Row],[CH4 24h, ml]]/Table3.110[[#This Row],[DM Incubated, mg]]*1000</f>
        <v>18.456000293764397</v>
      </c>
      <c r="AS394" s="94">
        <f>Table3.110[[#This Row],[CH4 24h, ml]]/Table3.110[[#This Row],[Digested feed, mg]]*1000</f>
        <v>67.413664931613056</v>
      </c>
      <c r="AT394" s="94">
        <f>Table3.110[[#This Row],[CH4 24h, ml]]/'3.2 Digest'!AA394</f>
        <v>-0.1420146330584503</v>
      </c>
      <c r="AU394" s="94">
        <f>((Table3.110[[#This Row],[CH4 24h, ml]]/28.9)*16.04)/Table3.110[[#This Row],[DM Incubated, mg]]*1000</f>
        <v>10.243399471002801</v>
      </c>
      <c r="AV394" s="94">
        <f>((Table3.110[[#This Row],[CH4 24h, ml]]/28.9)*16.04)/Table3.110[[#This Row],[Digested feed, mg]]*1000</f>
        <v>37.415750363428145</v>
      </c>
    </row>
    <row r="395" spans="2:49" s="89" customFormat="1" x14ac:dyDescent="0.35">
      <c r="B395" s="90">
        <f t="shared" si="5"/>
        <v>385</v>
      </c>
      <c r="C395" s="140">
        <v>46048</v>
      </c>
      <c r="D395" s="6" t="s">
        <v>16</v>
      </c>
      <c r="E395" s="6" t="s">
        <v>225</v>
      </c>
      <c r="F395" s="133" t="s">
        <v>226</v>
      </c>
      <c r="G395" s="133" t="s">
        <v>227</v>
      </c>
      <c r="H395" s="133" t="s">
        <v>228</v>
      </c>
      <c r="I395" s="125" t="s">
        <v>22</v>
      </c>
      <c r="J395" s="127" t="s">
        <v>23</v>
      </c>
      <c r="K395" s="125" t="s">
        <v>215</v>
      </c>
      <c r="L395" s="6" t="s">
        <v>224</v>
      </c>
      <c r="M395" s="93">
        <v>28</v>
      </c>
      <c r="N395" s="93">
        <v>60</v>
      </c>
      <c r="O395" s="6">
        <v>1</v>
      </c>
      <c r="P395" s="129">
        <v>3</v>
      </c>
      <c r="Q395" s="6">
        <v>43</v>
      </c>
      <c r="R395" s="98">
        <v>0.50039999999999996</v>
      </c>
      <c r="S395" s="94">
        <f>((Table3.110[[#This Row],[Sample weight, g]]*'2.1. DM'!Q141)/100)*1000</f>
        <v>455.7799735225372</v>
      </c>
      <c r="T395" s="94">
        <f>'3.2 Digest'!W395</f>
        <v>216.47997352253714</v>
      </c>
      <c r="U395" s="153">
        <v>0.38333333333333336</v>
      </c>
      <c r="V395" s="154">
        <v>40.5</v>
      </c>
      <c r="W395" s="153">
        <v>0.71458333333333335</v>
      </c>
      <c r="X395" s="95">
        <v>74</v>
      </c>
      <c r="Y395" s="95">
        <v>11.8</v>
      </c>
      <c r="Z395" s="154">
        <v>40</v>
      </c>
      <c r="AA395" s="153">
        <v>0.3840277777777778</v>
      </c>
      <c r="AB395" s="154">
        <v>75.5</v>
      </c>
      <c r="AC395" s="154">
        <v>14.8</v>
      </c>
      <c r="AD395" s="91"/>
      <c r="AE395" s="94">
        <f>Table3.110[[#This Row],[Gas 8h, ml]]-Table3.110[[#This Row],[Gas 0h, ml]]</f>
        <v>33.5</v>
      </c>
      <c r="AF395" s="94">
        <f>Table3.110[[#This Row],[Gas 24h, ml]]-Table3.110[[#This Row],[V8 Push back, ml]]</f>
        <v>35.5</v>
      </c>
      <c r="AG395" s="94">
        <f>Table3.110[[#This Row],[GP 8h, ml]]-(AVERAGE(AE$293,AE$294,AE$385,AE$386,AE$477,AE$478))*$AG$8</f>
        <v>32.246240428868305</v>
      </c>
      <c r="AH395" s="94">
        <f>Table3.110[[#This Row],[GP 8-24h, ml]]-(AVERAGE(AF$293,AF$294,AF$385,AF$386,AF$477,AF$478))*$AG$8</f>
        <v>33.50873479879084</v>
      </c>
      <c r="AI395" s="94">
        <f>Table3.110[[#This Row],[Net gas 8-24h, ml]]+Table3.110[[#This Row],[Net gas 8h, ml]]</f>
        <v>65.754975227659145</v>
      </c>
      <c r="AJ395" s="94">
        <f>Table3.110[[#This Row],[Net gas 8h, ml]]*Table3.110[[#This Row],[CH4 8h %]]%</f>
        <v>3.8050563706064602</v>
      </c>
      <c r="AK395" s="94">
        <f>Table3.110[[#This Row],[Net gas 8-24h, ml]]*Table3.110[[#This Row],[CH4 24h, %]]%</f>
        <v>4.9592927502210449</v>
      </c>
      <c r="AL395" s="94">
        <f>Table3.110[[#This Row],[CH4 8-24h, ml]]+Table3.110[[#This Row],[CH4 8h, ml]]</f>
        <v>8.7643491208275055</v>
      </c>
      <c r="AM395" s="94">
        <f>(Table3.110[[#This Row],[Net gas 24h, ml]]/Table3.110[[#This Row],[DM Incubated, mg]])*1000</f>
        <v>144.26911897744387</v>
      </c>
      <c r="AN395" s="94">
        <f>'3.2 Digest'!X395</f>
        <v>47.496596186412461</v>
      </c>
      <c r="AO395" s="94">
        <f>Table3.110[[#This Row],[Digested feed, mg]]/Table3.110[[#This Row],[Net gas 24h, ml]]</f>
        <v>3.2922219615022694</v>
      </c>
      <c r="AP395" s="94">
        <f>Table3.110[[#This Row],[CH4 8h, ml]]/Table3.110[[#This Row],[Net gas 8h, ml]]%</f>
        <v>11.8</v>
      </c>
      <c r="AQ395" s="94">
        <f>Table3.110[[#This Row],[CH4 24h, ml]]/Table3.110[[#This Row],[Net gas 24h, ml]]%</f>
        <v>13.328799973664767</v>
      </c>
      <c r="AR395" s="94">
        <f>Table3.110[[#This Row],[CH4 24h, ml]]/Table3.110[[#This Row],[DM Incubated, mg]]*1000</f>
        <v>19.229342292271934</v>
      </c>
      <c r="AS395" s="94">
        <f>Table3.110[[#This Row],[CH4 24h, ml]]/Table3.110[[#This Row],[Digested feed, mg]]*1000</f>
        <v>40.485727054632484</v>
      </c>
      <c r="AT395" s="94">
        <f>Table3.110[[#This Row],[CH4 24h, ml]]/'3.2 Digest'!AA395</f>
        <v>-0.57969830817762369</v>
      </c>
      <c r="AU395" s="94">
        <f>((Table3.110[[#This Row],[CH4 24h, ml]]/28.9)*16.04)/Table3.110[[#This Row],[DM Incubated, mg]]*1000</f>
        <v>10.672617659793833</v>
      </c>
      <c r="AV395" s="94">
        <f>((Table3.110[[#This Row],[CH4 24h, ml]]/28.9)*16.04)/Table3.110[[#This Row],[Digested feed, mg]]*1000</f>
        <v>22.47027896042578</v>
      </c>
    </row>
    <row r="396" spans="2:49" s="89" customFormat="1" x14ac:dyDescent="0.35">
      <c r="B396" s="90">
        <f t="shared" ref="B396:B459" si="6">B395+1</f>
        <v>386</v>
      </c>
      <c r="C396" s="140">
        <v>46048</v>
      </c>
      <c r="D396" s="6" t="s">
        <v>16</v>
      </c>
      <c r="E396" s="6" t="s">
        <v>230</v>
      </c>
      <c r="F396" s="133" t="s">
        <v>226</v>
      </c>
      <c r="G396" s="133" t="s">
        <v>231</v>
      </c>
      <c r="H396" s="133" t="s">
        <v>232</v>
      </c>
      <c r="I396" s="125" t="s">
        <v>22</v>
      </c>
      <c r="J396" s="127" t="s">
        <v>23</v>
      </c>
      <c r="K396" s="125" t="s">
        <v>215</v>
      </c>
      <c r="L396" s="6" t="s">
        <v>229</v>
      </c>
      <c r="M396" s="93">
        <v>28</v>
      </c>
      <c r="N396" s="93">
        <v>60</v>
      </c>
      <c r="O396" s="6">
        <v>1</v>
      </c>
      <c r="P396" s="129">
        <v>1</v>
      </c>
      <c r="Q396" s="6">
        <v>44</v>
      </c>
      <c r="R396" s="98">
        <v>0.5</v>
      </c>
      <c r="S396" s="94">
        <f>((Table3.110[[#This Row],[Sample weight, g]]*'2.1. DM'!Q143)/100)*1000</f>
        <v>464.98905795494943</v>
      </c>
      <c r="T396" s="94">
        <f>'3.2 Digest'!W396</f>
        <v>230.28905795494941</v>
      </c>
      <c r="U396" s="153">
        <v>0.38333333333333336</v>
      </c>
      <c r="V396" s="154">
        <v>40.5</v>
      </c>
      <c r="W396" s="153">
        <v>0.71527777777777779</v>
      </c>
      <c r="X396" s="91">
        <v>72</v>
      </c>
      <c r="Y396" s="91">
        <v>12.7</v>
      </c>
      <c r="Z396" s="154">
        <v>40.5</v>
      </c>
      <c r="AA396" s="153">
        <v>0.38472222222222224</v>
      </c>
      <c r="AB396" s="154">
        <v>84</v>
      </c>
      <c r="AC396" s="154">
        <v>14.9</v>
      </c>
      <c r="AD396" s="91"/>
      <c r="AE396" s="94">
        <f>Table3.110[[#This Row],[Gas 8h, ml]]-Table3.110[[#This Row],[Gas 0h, ml]]</f>
        <v>31.5</v>
      </c>
      <c r="AF396" s="94">
        <f>Table3.110[[#This Row],[Gas 24h, ml]]-Table3.110[[#This Row],[V8 Push back, ml]]</f>
        <v>43.5</v>
      </c>
      <c r="AG396" s="94">
        <f>Table3.110[[#This Row],[GP 8h, ml]]-(AVERAGE(AE$293,AE$294,AE$385,AE$386,AE$477,AE$478))*$AG$8</f>
        <v>30.246240428868305</v>
      </c>
      <c r="AH396" s="94">
        <f>Table3.110[[#This Row],[GP 8-24h, ml]]-(AVERAGE(AF$293,AF$294,AF$385,AF$386,AF$477,AF$478))*$AG$8</f>
        <v>41.50873479879084</v>
      </c>
      <c r="AI396" s="94">
        <f>Table3.110[[#This Row],[Net gas 8-24h, ml]]+Table3.110[[#This Row],[Net gas 8h, ml]]</f>
        <v>71.754975227659145</v>
      </c>
      <c r="AJ396" s="94">
        <f>Table3.110[[#This Row],[Net gas 8h, ml]]*Table3.110[[#This Row],[CH4 8h %]]%</f>
        <v>3.8412725344662748</v>
      </c>
      <c r="AK396" s="94">
        <f>Table3.110[[#This Row],[Net gas 8-24h, ml]]*Table3.110[[#This Row],[CH4 24h, %]]%</f>
        <v>6.1848014850198352</v>
      </c>
      <c r="AL396" s="94">
        <f>Table3.110[[#This Row],[CH4 8-24h, ml]]+Table3.110[[#This Row],[CH4 8h, ml]]</f>
        <v>10.02607401948611</v>
      </c>
      <c r="AM396" s="94">
        <f>(Table3.110[[#This Row],[Net gas 24h, ml]]/Table3.110[[#This Row],[DM Incubated, mg]])*1000</f>
        <v>154.31540592211343</v>
      </c>
      <c r="AN396" s="94">
        <f>'3.2 Digest'!X396</f>
        <v>49.525693995418926</v>
      </c>
      <c r="AO396" s="94">
        <f>Table3.110[[#This Row],[Digested feed, mg]]/Table3.110[[#This Row],[Net gas 24h, ml]]</f>
        <v>3.2093810530113691</v>
      </c>
      <c r="AP396" s="94">
        <f>Table3.110[[#This Row],[CH4 8h, ml]]/Table3.110[[#This Row],[Net gas 8h, ml]]%</f>
        <v>12.700000000000001</v>
      </c>
      <c r="AQ396" s="94">
        <f>Table3.110[[#This Row],[CH4 24h, ml]]/Table3.110[[#This Row],[Net gas 24h, ml]]%</f>
        <v>13.97265344692279</v>
      </c>
      <c r="AR396" s="94">
        <f>Table3.110[[#This Row],[CH4 24h, ml]]/Table3.110[[#This Row],[DM Incubated, mg]]*1000</f>
        <v>21.561956884709076</v>
      </c>
      <c r="AS396" s="94">
        <f>Table3.110[[#This Row],[CH4 24h, ml]]/Table3.110[[#This Row],[Digested feed, mg]]*1000</f>
        <v>43.536910127303898</v>
      </c>
      <c r="AT396" s="94">
        <f>Table3.110[[#This Row],[CH4 24h, ml]]/'3.2 Digest'!AA396</f>
        <v>5.3515608659344922</v>
      </c>
      <c r="AU396" s="94">
        <f>((Table3.110[[#This Row],[CH4 24h, ml]]/28.9)*16.04)/Table3.110[[#This Row],[DM Incubated, mg]]*1000</f>
        <v>11.967259115250297</v>
      </c>
      <c r="AV396" s="94">
        <f>((Table3.110[[#This Row],[CH4 24h, ml]]/28.9)*16.04)/Table3.110[[#This Row],[Digested feed, mg]]*1000</f>
        <v>24.163738354392883</v>
      </c>
    </row>
    <row r="397" spans="2:49" s="89" customFormat="1" x14ac:dyDescent="0.35">
      <c r="B397" s="90">
        <f t="shared" si="6"/>
        <v>387</v>
      </c>
      <c r="C397" s="140">
        <v>46048</v>
      </c>
      <c r="D397" s="6" t="s">
        <v>16</v>
      </c>
      <c r="E397" s="6" t="s">
        <v>230</v>
      </c>
      <c r="F397" s="133" t="s">
        <v>226</v>
      </c>
      <c r="G397" s="133" t="s">
        <v>231</v>
      </c>
      <c r="H397" s="133" t="s">
        <v>232</v>
      </c>
      <c r="I397" s="125" t="s">
        <v>22</v>
      </c>
      <c r="J397" s="127" t="s">
        <v>23</v>
      </c>
      <c r="K397" s="125" t="s">
        <v>215</v>
      </c>
      <c r="L397" s="6" t="s">
        <v>229</v>
      </c>
      <c r="M397" s="93">
        <v>28</v>
      </c>
      <c r="N397" s="93">
        <v>60</v>
      </c>
      <c r="O397" s="6">
        <v>1</v>
      </c>
      <c r="P397" s="129">
        <v>2</v>
      </c>
      <c r="Q397" s="6">
        <v>45</v>
      </c>
      <c r="R397" s="98">
        <v>0.50039999999999996</v>
      </c>
      <c r="S397" s="94">
        <f>((Table3.110[[#This Row],[Sample weight, g]]*'2.1. DM'!Q143)/100)*1000</f>
        <v>465.36104920131339</v>
      </c>
      <c r="T397" s="94">
        <f>'3.2 Digest'!W397</f>
        <v>192.06104920131338</v>
      </c>
      <c r="U397" s="117">
        <v>0.38333333333333336</v>
      </c>
      <c r="V397" s="155">
        <v>41.5</v>
      </c>
      <c r="W397" s="117">
        <v>0.71527777777777779</v>
      </c>
      <c r="X397" s="96">
        <v>71.5</v>
      </c>
      <c r="Y397" s="96">
        <v>12.2</v>
      </c>
      <c r="Z397" s="155">
        <v>40</v>
      </c>
      <c r="AA397" s="117">
        <v>0.38472222222222224</v>
      </c>
      <c r="AB397" s="155">
        <v>85</v>
      </c>
      <c r="AC397" s="155">
        <v>14.6</v>
      </c>
      <c r="AD397" s="96"/>
      <c r="AE397" s="94">
        <f>Table3.110[[#This Row],[Gas 8h, ml]]-Table3.110[[#This Row],[Gas 0h, ml]]</f>
        <v>30</v>
      </c>
      <c r="AF397" s="94">
        <f>Table3.110[[#This Row],[Gas 24h, ml]]-Table3.110[[#This Row],[V8 Push back, ml]]</f>
        <v>45</v>
      </c>
      <c r="AG397" s="94">
        <f>Table3.110[[#This Row],[GP 8h, ml]]-(AVERAGE(AE$293,AE$294,AE$385,AE$386,AE$477,AE$478))*$AG$8</f>
        <v>28.746240428868305</v>
      </c>
      <c r="AH397" s="94">
        <f>Table3.110[[#This Row],[GP 8-24h, ml]]-(AVERAGE(AF$293,AF$294,AF$385,AF$386,AF$477,AF$478))*$AG$8</f>
        <v>43.00873479879084</v>
      </c>
      <c r="AI397" s="94">
        <f>Table3.110[[#This Row],[Net gas 8-24h, ml]]+Table3.110[[#This Row],[Net gas 8h, ml]]</f>
        <v>71.754975227659145</v>
      </c>
      <c r="AJ397" s="94">
        <f>Table3.110[[#This Row],[Net gas 8h, ml]]*Table3.110[[#This Row],[CH4 8h %]]%</f>
        <v>3.5070413323219332</v>
      </c>
      <c r="AK397" s="94">
        <f>Table3.110[[#This Row],[Net gas 8-24h, ml]]*Table3.110[[#This Row],[CH4 24h, %]]%</f>
        <v>6.2792752806234624</v>
      </c>
      <c r="AL397" s="94">
        <f>Table3.110[[#This Row],[CH4 8-24h, ml]]+Table3.110[[#This Row],[CH4 8h, ml]]</f>
        <v>9.7863166129453951</v>
      </c>
      <c r="AM397" s="94">
        <f>(Table3.110[[#This Row],[Net gas 24h, ml]]/Table3.110[[#This Row],[DM Incubated, mg]])*1000</f>
        <v>154.19205228028918</v>
      </c>
      <c r="AN397" s="94">
        <f>'3.2 Digest'!X397</f>
        <v>41.271406262071693</v>
      </c>
      <c r="AO397" s="94">
        <f>Table3.110[[#This Row],[Digested feed, mg]]/Table3.110[[#This Row],[Net gas 24h, ml]]</f>
        <v>2.6766234479484603</v>
      </c>
      <c r="AP397" s="94">
        <f>Table3.110[[#This Row],[CH4 8h, ml]]/Table3.110[[#This Row],[Net gas 8h, ml]]%</f>
        <v>12.200000000000001</v>
      </c>
      <c r="AQ397" s="94">
        <f>Table3.110[[#This Row],[CH4 24h, ml]]/Table3.110[[#This Row],[Net gas 24h, ml]]%</f>
        <v>13.638519951956024</v>
      </c>
      <c r="AR397" s="94">
        <f>Table3.110[[#This Row],[CH4 24h, ml]]/Table3.110[[#This Row],[DM Incubated, mg]]*1000</f>
        <v>21.029513814577705</v>
      </c>
      <c r="AS397" s="94">
        <f>Table3.110[[#This Row],[CH4 24h, ml]]/Table3.110[[#This Row],[Digested feed, mg]]*1000</f>
        <v>50.954197395264842</v>
      </c>
      <c r="AT397" s="94">
        <f>Table3.110[[#This Row],[CH4 24h, ml]]/'3.2 Digest'!AA397</f>
        <v>-0.69046190830715604</v>
      </c>
      <c r="AU397" s="94">
        <f>((Table3.110[[#This Row],[CH4 24h, ml]]/28.9)*16.04)/Table3.110[[#This Row],[DM Incubated, mg]]*1000</f>
        <v>11.671743999509564</v>
      </c>
      <c r="AV397" s="94">
        <f>((Table3.110[[#This Row],[CH4 24h, ml]]/28.9)*16.04)/Table3.110[[#This Row],[Digested feed, mg]]*1000</f>
        <v>28.280461114880559</v>
      </c>
    </row>
    <row r="398" spans="2:49" s="89" customFormat="1" x14ac:dyDescent="0.35">
      <c r="B398" s="90">
        <f t="shared" si="6"/>
        <v>388</v>
      </c>
      <c r="C398" s="140">
        <v>46048</v>
      </c>
      <c r="D398" s="6" t="s">
        <v>16</v>
      </c>
      <c r="E398" s="6" t="s">
        <v>230</v>
      </c>
      <c r="F398" s="133" t="s">
        <v>226</v>
      </c>
      <c r="G398" s="133" t="s">
        <v>231</v>
      </c>
      <c r="H398" s="133" t="s">
        <v>232</v>
      </c>
      <c r="I398" s="125" t="s">
        <v>22</v>
      </c>
      <c r="J398" s="127" t="s">
        <v>23</v>
      </c>
      <c r="K398" s="125" t="s">
        <v>215</v>
      </c>
      <c r="L398" s="6" t="s">
        <v>229</v>
      </c>
      <c r="M398" s="93">
        <v>28</v>
      </c>
      <c r="N398" s="93">
        <v>60</v>
      </c>
      <c r="O398" s="6">
        <v>1</v>
      </c>
      <c r="P398" s="6">
        <v>3</v>
      </c>
      <c r="Q398" s="6">
        <v>46</v>
      </c>
      <c r="R398" s="98">
        <v>0.50019999999999998</v>
      </c>
      <c r="S398" s="94">
        <f>((Table3.110[[#This Row],[Sample weight, g]]*'2.1. DM'!Q143)/100)*1000</f>
        <v>465.17505357813138</v>
      </c>
      <c r="T398" s="94">
        <f>'3.2 Digest'!W398</f>
        <v>140.57505357813136</v>
      </c>
      <c r="U398" s="153">
        <v>0.3840277777777778</v>
      </c>
      <c r="V398" s="154">
        <v>40.5</v>
      </c>
      <c r="W398" s="153">
        <v>0.71597222222222223</v>
      </c>
      <c r="X398" s="91">
        <v>73</v>
      </c>
      <c r="Y398" s="91">
        <v>13</v>
      </c>
      <c r="Z398" s="154">
        <v>40.5</v>
      </c>
      <c r="AA398" s="153">
        <v>0.38541666666666669</v>
      </c>
      <c r="AB398" s="154">
        <v>84.5</v>
      </c>
      <c r="AC398" s="154">
        <v>15</v>
      </c>
      <c r="AD398" s="91"/>
      <c r="AE398" s="94">
        <f>Table3.110[[#This Row],[Gas 8h, ml]]-Table3.110[[#This Row],[Gas 0h, ml]]</f>
        <v>32.5</v>
      </c>
      <c r="AF398" s="94">
        <f>Table3.110[[#This Row],[Gas 24h, ml]]-Table3.110[[#This Row],[V8 Push back, ml]]</f>
        <v>44</v>
      </c>
      <c r="AG398" s="94">
        <f>Table3.110[[#This Row],[GP 8h, ml]]-(AVERAGE(AE$293,AE$294,AE$385,AE$386,AE$477,AE$478))*$AG$8</f>
        <v>31.246240428868305</v>
      </c>
      <c r="AH398" s="94">
        <f>Table3.110[[#This Row],[GP 8-24h, ml]]-(AVERAGE(AF$293,AF$294,AF$385,AF$386,AF$477,AF$478))*$AG$8</f>
        <v>42.00873479879084</v>
      </c>
      <c r="AI398" s="94">
        <f>Table3.110[[#This Row],[Net gas 8-24h, ml]]+Table3.110[[#This Row],[Net gas 8h, ml]]</f>
        <v>73.254975227659145</v>
      </c>
      <c r="AJ398" s="94">
        <f>Table3.110[[#This Row],[Net gas 8h, ml]]*Table3.110[[#This Row],[CH4 8h %]]%</f>
        <v>4.0620112557528794</v>
      </c>
      <c r="AK398" s="94">
        <f>Table3.110[[#This Row],[Net gas 8-24h, ml]]*Table3.110[[#This Row],[CH4 24h, %]]%</f>
        <v>6.3013102198186255</v>
      </c>
      <c r="AL398" s="94">
        <f>Table3.110[[#This Row],[CH4 8-24h, ml]]+Table3.110[[#This Row],[CH4 8h, ml]]</f>
        <v>10.363321475571505</v>
      </c>
      <c r="AM398" s="94">
        <f>(Table3.110[[#This Row],[Net gas 24h, ml]]/Table3.110[[#This Row],[DM Incubated, mg]])*1000</f>
        <v>157.47829696408076</v>
      </c>
      <c r="AN398" s="94">
        <f>'3.2 Digest'!X398</f>
        <v>30.219817786191793</v>
      </c>
      <c r="AO398" s="94">
        <f>Table3.110[[#This Row],[Digested feed, mg]]/Table3.110[[#This Row],[Net gas 24h, ml]]</f>
        <v>1.9189830198052396</v>
      </c>
      <c r="AP398" s="94">
        <f>Table3.110[[#This Row],[CH4 8h, ml]]/Table3.110[[#This Row],[Net gas 8h, ml]]%</f>
        <v>13</v>
      </c>
      <c r="AQ398" s="94">
        <f>Table3.110[[#This Row],[CH4 24h, ml]]/Table3.110[[#This Row],[Net gas 24h, ml]]%</f>
        <v>14.146918271919077</v>
      </c>
      <c r="AR398" s="94">
        <f>Table3.110[[#This Row],[CH4 24h, ml]]/Table3.110[[#This Row],[DM Incubated, mg]]*1000</f>
        <v>22.278325967518526</v>
      </c>
      <c r="AS398" s="94">
        <f>Table3.110[[#This Row],[CH4 24h, ml]]/Table3.110[[#This Row],[Digested feed, mg]]*1000</f>
        <v>73.720914285916237</v>
      </c>
      <c r="AT398" s="94">
        <f>Table3.110[[#This Row],[CH4 24h, ml]]/'3.2 Digest'!AA398</f>
        <v>-0.29062415258331631</v>
      </c>
      <c r="AU398" s="94">
        <f>((Table3.110[[#This Row],[CH4 24h, ml]]/28.9)*16.04)/Table3.110[[#This Row],[DM Incubated, mg]]*1000</f>
        <v>12.364856350138307</v>
      </c>
      <c r="AV398" s="94">
        <f>((Table3.110[[#This Row],[CH4 24h, ml]]/28.9)*16.04)/Table3.110[[#This Row],[Digested feed, mg]]*1000</f>
        <v>40.916382877027559</v>
      </c>
    </row>
    <row r="399" spans="2:49" s="89" customFormat="1" x14ac:dyDescent="0.35">
      <c r="B399" s="90">
        <f t="shared" si="6"/>
        <v>389</v>
      </c>
      <c r="C399" s="140">
        <v>46048</v>
      </c>
      <c r="D399" s="6" t="s">
        <v>16</v>
      </c>
      <c r="E399" s="6" t="s">
        <v>234</v>
      </c>
      <c r="F399" s="133" t="s">
        <v>235</v>
      </c>
      <c r="G399" s="133" t="s">
        <v>236</v>
      </c>
      <c r="H399" s="133" t="s">
        <v>237</v>
      </c>
      <c r="I399" s="125" t="s">
        <v>22</v>
      </c>
      <c r="J399" s="127" t="s">
        <v>23</v>
      </c>
      <c r="K399" s="125" t="s">
        <v>215</v>
      </c>
      <c r="L399" s="6" t="s">
        <v>233</v>
      </c>
      <c r="M399" s="93">
        <v>28</v>
      </c>
      <c r="N399" s="93">
        <v>60</v>
      </c>
      <c r="O399" s="6">
        <v>1</v>
      </c>
      <c r="P399" s="129">
        <v>1</v>
      </c>
      <c r="Q399" s="6">
        <v>47</v>
      </c>
      <c r="R399" s="98">
        <v>0.5</v>
      </c>
      <c r="S399" s="94">
        <f>((Table3.110[[#This Row],[Sample weight, g]]*'2.1. DM'!Q145)/100)*1000</f>
        <v>444.23901772157853</v>
      </c>
      <c r="T399" s="94">
        <f>'3.2 Digest'!W399</f>
        <v>199.43901772157852</v>
      </c>
      <c r="U399" s="117">
        <v>0.3840277777777778</v>
      </c>
      <c r="V399" s="155">
        <v>41</v>
      </c>
      <c r="W399" s="117">
        <v>0.71597222222222223</v>
      </c>
      <c r="X399" s="96">
        <v>83.5</v>
      </c>
      <c r="Y399" s="96">
        <v>13.6</v>
      </c>
      <c r="Z399" s="155">
        <v>40</v>
      </c>
      <c r="AA399" s="117">
        <v>0.38541666666666669</v>
      </c>
      <c r="AB399" s="155">
        <v>91.5</v>
      </c>
      <c r="AC399" s="155">
        <v>15.9</v>
      </c>
      <c r="AD399" s="96"/>
      <c r="AE399" s="94">
        <f>Table3.110[[#This Row],[Gas 8h, ml]]-Table3.110[[#This Row],[Gas 0h, ml]]</f>
        <v>42.5</v>
      </c>
      <c r="AF399" s="94">
        <f>Table3.110[[#This Row],[Gas 24h, ml]]-Table3.110[[#This Row],[V8 Push back, ml]]</f>
        <v>51.5</v>
      </c>
      <c r="AG399" s="94">
        <f>Table3.110[[#This Row],[GP 8h, ml]]-(AVERAGE(AE$293,AE$294,AE$385,AE$386,AE$477,AE$478))*$AG$8</f>
        <v>41.246240428868305</v>
      </c>
      <c r="AH399" s="94">
        <f>Table3.110[[#This Row],[GP 8-24h, ml]]-(AVERAGE(AF$293,AF$294,AF$385,AF$386,AF$477,AF$478))*$AG$8</f>
        <v>49.50873479879084</v>
      </c>
      <c r="AI399" s="94">
        <f>Table3.110[[#This Row],[Net gas 8-24h, ml]]+Table3.110[[#This Row],[Net gas 8h, ml]]</f>
        <v>90.754975227659145</v>
      </c>
      <c r="AJ399" s="94">
        <f>Table3.110[[#This Row],[Net gas 8h, ml]]*Table3.110[[#This Row],[CH4 8h %]]%</f>
        <v>5.6094886983260901</v>
      </c>
      <c r="AK399" s="94">
        <f>Table3.110[[#This Row],[Net gas 8-24h, ml]]*Table3.110[[#This Row],[CH4 24h, %]]%</f>
        <v>7.8718888330077439</v>
      </c>
      <c r="AL399" s="94">
        <f>Table3.110[[#This Row],[CH4 8-24h, ml]]+Table3.110[[#This Row],[CH4 8h, ml]]</f>
        <v>13.481377531333834</v>
      </c>
      <c r="AM399" s="94">
        <f>(Table3.110[[#This Row],[Net gas 24h, ml]]/Table3.110[[#This Row],[DM Incubated, mg]])*1000</f>
        <v>204.29312061134337</v>
      </c>
      <c r="AN399" s="94">
        <f>'3.2 Digest'!X399</f>
        <v>44.89452969360169</v>
      </c>
      <c r="AO399" s="94">
        <f>Table3.110[[#This Row],[Digested feed, mg]]/Table3.110[[#This Row],[Net gas 24h, ml]]</f>
        <v>2.1975546488915358</v>
      </c>
      <c r="AP399" s="94">
        <f>Table3.110[[#This Row],[CH4 8h, ml]]/Table3.110[[#This Row],[Net gas 8h, ml]]%</f>
        <v>13.600000000000001</v>
      </c>
      <c r="AQ399" s="94">
        <f>Table3.110[[#This Row],[CH4 24h, ml]]/Table3.110[[#This Row],[Net gas 24h, ml]]%</f>
        <v>14.854698045496411</v>
      </c>
      <c r="AR399" s="94">
        <f>Table3.110[[#This Row],[CH4 24h, ml]]/Table3.110[[#This Row],[DM Incubated, mg]]*1000</f>
        <v>30.347126194536848</v>
      </c>
      <c r="AS399" s="94">
        <f>Table3.110[[#This Row],[CH4 24h, ml]]/Table3.110[[#This Row],[Digested feed, mg]]*1000</f>
        <v>67.596489821034666</v>
      </c>
      <c r="AT399" s="94">
        <f>Table3.110[[#This Row],[CH4 24h, ml]]/'3.2 Digest'!AA399</f>
        <v>-1.7115271023164293</v>
      </c>
      <c r="AU399" s="94">
        <f>((Table3.110[[#This Row],[CH4 24h, ml]]/28.9)*16.04)/Table3.110[[#This Row],[DM Incubated, mg]]*1000</f>
        <v>16.843180074753324</v>
      </c>
      <c r="AV399" s="94">
        <f>((Table3.110[[#This Row],[CH4 24h, ml]]/28.9)*16.04)/Table3.110[[#This Row],[Digested feed, mg]]*1000</f>
        <v>37.517221340117516</v>
      </c>
    </row>
    <row r="400" spans="2:49" s="89" customFormat="1" x14ac:dyDescent="0.35">
      <c r="B400" s="90">
        <f t="shared" si="6"/>
        <v>390</v>
      </c>
      <c r="C400" s="140">
        <v>46048</v>
      </c>
      <c r="D400" s="6" t="s">
        <v>16</v>
      </c>
      <c r="E400" s="6" t="s">
        <v>234</v>
      </c>
      <c r="F400" s="133" t="s">
        <v>235</v>
      </c>
      <c r="G400" s="133" t="s">
        <v>236</v>
      </c>
      <c r="H400" s="133" t="s">
        <v>237</v>
      </c>
      <c r="I400" s="125" t="s">
        <v>22</v>
      </c>
      <c r="J400" s="127" t="s">
        <v>23</v>
      </c>
      <c r="K400" s="125" t="s">
        <v>215</v>
      </c>
      <c r="L400" s="6" t="s">
        <v>233</v>
      </c>
      <c r="M400" s="93">
        <v>28</v>
      </c>
      <c r="N400" s="93">
        <v>60</v>
      </c>
      <c r="O400" s="6">
        <v>1</v>
      </c>
      <c r="P400" s="129">
        <v>2</v>
      </c>
      <c r="Q400" s="6">
        <v>48</v>
      </c>
      <c r="R400" s="106">
        <v>0.50009999999999999</v>
      </c>
      <c r="S400" s="94">
        <f>((Table3.110[[#This Row],[Sample weight, g]]*'2.1. DM'!Q145)/100)*1000</f>
        <v>444.32786552512283</v>
      </c>
      <c r="T400" s="94">
        <f>'3.2 Digest'!W400</f>
        <v>230.9278655251228</v>
      </c>
      <c r="U400" s="157">
        <v>0.38472222222222224</v>
      </c>
      <c r="V400" s="154">
        <v>40.5</v>
      </c>
      <c r="W400" s="153">
        <v>0.71666666666666667</v>
      </c>
      <c r="X400" s="91">
        <v>86</v>
      </c>
      <c r="Y400" s="91">
        <v>13.1</v>
      </c>
      <c r="Z400" s="154">
        <v>40</v>
      </c>
      <c r="AA400" s="153">
        <v>0.38611111111111113</v>
      </c>
      <c r="AB400" s="154">
        <v>91</v>
      </c>
      <c r="AC400" s="154">
        <v>16</v>
      </c>
      <c r="AD400" s="91"/>
      <c r="AE400" s="94">
        <f>Table3.110[[#This Row],[Gas 8h, ml]]-Table3.110[[#This Row],[Gas 0h, ml]]</f>
        <v>45.5</v>
      </c>
      <c r="AF400" s="94">
        <f>Table3.110[[#This Row],[Gas 24h, ml]]-Table3.110[[#This Row],[V8 Push back, ml]]</f>
        <v>51</v>
      </c>
      <c r="AG400" s="94">
        <f>Table3.110[[#This Row],[GP 8h, ml]]-(AVERAGE(AE$293,AE$294,AE$385,AE$386,AE$477,AE$478))*$AG$8</f>
        <v>44.246240428868305</v>
      </c>
      <c r="AH400" s="94">
        <f>Table3.110[[#This Row],[GP 8-24h, ml]]-(AVERAGE(AF$293,AF$294,AF$385,AF$386,AF$477,AF$478))*$AG$8</f>
        <v>49.00873479879084</v>
      </c>
      <c r="AI400" s="94">
        <f>Table3.110[[#This Row],[Net gas 8-24h, ml]]+Table3.110[[#This Row],[Net gas 8h, ml]]</f>
        <v>93.254975227659145</v>
      </c>
      <c r="AJ400" s="94">
        <f>Table3.110[[#This Row],[Net gas 8h, ml]]*Table3.110[[#This Row],[CH4 8h %]]%</f>
        <v>5.7962574961817479</v>
      </c>
      <c r="AK400" s="94">
        <f>Table3.110[[#This Row],[Net gas 8-24h, ml]]*Table3.110[[#This Row],[CH4 24h, %]]%</f>
        <v>7.8413975678065349</v>
      </c>
      <c r="AL400" s="94">
        <f>Table3.110[[#This Row],[CH4 8-24h, ml]]+Table3.110[[#This Row],[CH4 8h, ml]]</f>
        <v>13.637655063988284</v>
      </c>
      <c r="AM400" s="94">
        <f>(Table3.110[[#This Row],[Net gas 24h, ml]]/Table3.110[[#This Row],[DM Incubated, mg]])*1000</f>
        <v>209.87874599637595</v>
      </c>
      <c r="AN400" s="94">
        <f>'3.2 Digest'!X400</f>
        <v>51.972402237749336</v>
      </c>
      <c r="AO400" s="94">
        <f>Table3.110[[#This Row],[Digested feed, mg]]/Table3.110[[#This Row],[Net gas 24h, ml]]</f>
        <v>2.4763061162299285</v>
      </c>
      <c r="AP400" s="94">
        <f>Table3.110[[#This Row],[CH4 8h, ml]]/Table3.110[[#This Row],[Net gas 8h, ml]]%</f>
        <v>13.1</v>
      </c>
      <c r="AQ400" s="94">
        <f>Table3.110[[#This Row],[CH4 24h, ml]]/Table3.110[[#This Row],[Net gas 24h, ml]]%</f>
        <v>14.624050921353305</v>
      </c>
      <c r="AR400" s="94">
        <f>Table3.110[[#This Row],[CH4 24h, ml]]/Table3.110[[#This Row],[DM Incubated, mg]]*1000</f>
        <v>30.69277468760778</v>
      </c>
      <c r="AS400" s="94">
        <f>Table3.110[[#This Row],[CH4 24h, ml]]/Table3.110[[#This Row],[Digested feed, mg]]*1000</f>
        <v>59.055909225059004</v>
      </c>
      <c r="AT400" s="94">
        <f>Table3.110[[#This Row],[CH4 24h, ml]]/'3.2 Digest'!AA400</f>
        <v>2.2808753513369879</v>
      </c>
      <c r="AU400" s="94">
        <f>((Table3.110[[#This Row],[CH4 24h, ml]]/28.9)*16.04)/Table3.110[[#This Row],[DM Incubated, mg]]*1000</f>
        <v>17.035020968485426</v>
      </c>
      <c r="AV400" s="94">
        <f>((Table3.110[[#This Row],[CH4 24h, ml]]/28.9)*16.04)/Table3.110[[#This Row],[Digested feed, mg]]*1000</f>
        <v>32.777051348441049</v>
      </c>
    </row>
    <row r="401" spans="2:48" s="89" customFormat="1" x14ac:dyDescent="0.35">
      <c r="B401" s="90">
        <f t="shared" si="6"/>
        <v>391</v>
      </c>
      <c r="C401" s="140">
        <v>46048</v>
      </c>
      <c r="D401" s="6" t="s">
        <v>16</v>
      </c>
      <c r="E401" s="6" t="s">
        <v>234</v>
      </c>
      <c r="F401" s="133" t="s">
        <v>235</v>
      </c>
      <c r="G401" s="133" t="s">
        <v>236</v>
      </c>
      <c r="H401" s="133" t="s">
        <v>237</v>
      </c>
      <c r="I401" s="125" t="s">
        <v>22</v>
      </c>
      <c r="J401" s="127" t="s">
        <v>23</v>
      </c>
      <c r="K401" s="125" t="s">
        <v>215</v>
      </c>
      <c r="L401" s="6" t="s">
        <v>233</v>
      </c>
      <c r="M401" s="93">
        <v>28</v>
      </c>
      <c r="N401" s="93">
        <v>60</v>
      </c>
      <c r="O401" s="6">
        <v>1</v>
      </c>
      <c r="P401" s="6">
        <v>3</v>
      </c>
      <c r="Q401" s="6">
        <v>49</v>
      </c>
      <c r="R401" s="98">
        <v>0.50019999999999998</v>
      </c>
      <c r="S401" s="94">
        <f>((Table3.110[[#This Row],[Sample weight, g]]*'2.1. DM'!Q145)/100)*1000</f>
        <v>444.41671332866719</v>
      </c>
      <c r="T401" s="94">
        <f>'3.2 Digest'!W401</f>
        <v>207.91671332866713</v>
      </c>
      <c r="U401" s="117">
        <v>0.38472222222222224</v>
      </c>
      <c r="V401" s="155">
        <v>40.5</v>
      </c>
      <c r="W401" s="117">
        <v>0.71736111111111112</v>
      </c>
      <c r="X401" s="96">
        <v>86</v>
      </c>
      <c r="Y401" s="96">
        <v>13.1</v>
      </c>
      <c r="Z401" s="155">
        <v>40</v>
      </c>
      <c r="AA401" s="117">
        <v>0.38611111111111113</v>
      </c>
      <c r="AB401" s="155">
        <v>94.5</v>
      </c>
      <c r="AC401" s="155">
        <v>15.8</v>
      </c>
      <c r="AD401" s="96"/>
      <c r="AE401" s="94">
        <f>Table3.110[[#This Row],[Gas 8h, ml]]-Table3.110[[#This Row],[Gas 0h, ml]]</f>
        <v>45.5</v>
      </c>
      <c r="AF401" s="94">
        <f>Table3.110[[#This Row],[Gas 24h, ml]]-Table3.110[[#This Row],[V8 Push back, ml]]</f>
        <v>54.5</v>
      </c>
      <c r="AG401" s="94">
        <f>Table3.110[[#This Row],[GP 8h, ml]]-(AVERAGE(AE$293,AE$294,AE$385,AE$386,AE$477,AE$478))*$AG$8</f>
        <v>44.246240428868305</v>
      </c>
      <c r="AH401" s="94">
        <f>Table3.110[[#This Row],[GP 8-24h, ml]]-(AVERAGE(AF$293,AF$294,AF$385,AF$386,AF$477,AF$478))*$AG$8</f>
        <v>52.50873479879084</v>
      </c>
      <c r="AI401" s="94">
        <f>Table3.110[[#This Row],[Net gas 8-24h, ml]]+Table3.110[[#This Row],[Net gas 8h, ml]]</f>
        <v>96.754975227659145</v>
      </c>
      <c r="AJ401" s="94">
        <f>Table3.110[[#This Row],[Net gas 8h, ml]]*Table3.110[[#This Row],[CH4 8h %]]%</f>
        <v>5.7962574961817479</v>
      </c>
      <c r="AK401" s="94">
        <f>Table3.110[[#This Row],[Net gas 8-24h, ml]]*Table3.110[[#This Row],[CH4 24h, %]]%</f>
        <v>8.2963800982089531</v>
      </c>
      <c r="AL401" s="94">
        <f>Table3.110[[#This Row],[CH4 8-24h, ml]]+Table3.110[[#This Row],[CH4 8h, ml]]</f>
        <v>14.092637594390702</v>
      </c>
      <c r="AM401" s="94">
        <f>(Table3.110[[#This Row],[Net gas 24h, ml]]/Table3.110[[#This Row],[DM Incubated, mg]])*1000</f>
        <v>217.71227842213096</v>
      </c>
      <c r="AN401" s="94">
        <f>'3.2 Digest'!X401</f>
        <v>46.78417959832732</v>
      </c>
      <c r="AO401" s="94">
        <f>Table3.110[[#This Row],[Digested feed, mg]]/Table3.110[[#This Row],[Net gas 24h, ml]]</f>
        <v>2.148899452864832</v>
      </c>
      <c r="AP401" s="94">
        <f>Table3.110[[#This Row],[CH4 8h, ml]]/Table3.110[[#This Row],[Net gas 8h, ml]]%</f>
        <v>13.1</v>
      </c>
      <c r="AQ401" s="94">
        <f>Table3.110[[#This Row],[CH4 24h, ml]]/Table3.110[[#This Row],[Net gas 24h, ml]]%</f>
        <v>14.565284690768097</v>
      </c>
      <c r="AR401" s="94">
        <f>Table3.110[[#This Row],[CH4 24h, ml]]/Table3.110[[#This Row],[DM Incubated, mg]]*1000</f>
        <v>31.710413158941055</v>
      </c>
      <c r="AS401" s="94">
        <f>Table3.110[[#This Row],[CH4 24h, ml]]/Table3.110[[#This Row],[Digested feed, mg]]*1000</f>
        <v>67.780205683193799</v>
      </c>
      <c r="AT401" s="94">
        <f>Table3.110[[#This Row],[CH4 24h, ml]]/'3.2 Digest'!AA401</f>
        <v>-3.3734190878303596</v>
      </c>
      <c r="AU401" s="94">
        <f>((Table3.110[[#This Row],[CH4 24h, ml]]/28.9)*16.04)/Table3.110[[#This Row],[DM Incubated, mg]]*1000</f>
        <v>17.599827926277321</v>
      </c>
      <c r="AV401" s="94">
        <f>((Table3.110[[#This Row],[CH4 24h, ml]]/28.9)*16.04)/Table3.110[[#This Row],[Digested feed, mg]]*1000</f>
        <v>37.619186822090967</v>
      </c>
    </row>
    <row r="402" spans="2:48" s="89" customFormat="1" x14ac:dyDescent="0.35">
      <c r="B402" s="90">
        <f t="shared" si="6"/>
        <v>392</v>
      </c>
      <c r="C402" s="140">
        <v>46048</v>
      </c>
      <c r="D402" s="6" t="s">
        <v>16</v>
      </c>
      <c r="E402" s="6" t="s">
        <v>239</v>
      </c>
      <c r="F402" s="133" t="s">
        <v>240</v>
      </c>
      <c r="G402" s="133" t="s">
        <v>241</v>
      </c>
      <c r="H402" s="133" t="s">
        <v>242</v>
      </c>
      <c r="I402" s="125" t="s">
        <v>22</v>
      </c>
      <c r="J402" s="127" t="s">
        <v>23</v>
      </c>
      <c r="K402" s="125" t="s">
        <v>215</v>
      </c>
      <c r="L402" s="6" t="s">
        <v>238</v>
      </c>
      <c r="M402" s="93">
        <v>28</v>
      </c>
      <c r="N402" s="93">
        <v>60</v>
      </c>
      <c r="O402" s="6">
        <v>1</v>
      </c>
      <c r="P402" s="129">
        <v>1</v>
      </c>
      <c r="Q402" s="6">
        <v>50</v>
      </c>
      <c r="R402" s="98">
        <v>0.50019999999999998</v>
      </c>
      <c r="S402" s="94">
        <f>((Table3.110[[#This Row],[Sample weight, g]]*'2.1. DM'!Q147)/100)*1000</f>
        <v>460.04800729509282</v>
      </c>
      <c r="T402" s="94">
        <f>'3.2 Digest'!W402</f>
        <v>168.7480072950928</v>
      </c>
      <c r="U402" s="153">
        <v>0.38541666666666669</v>
      </c>
      <c r="V402" s="154">
        <v>40.5</v>
      </c>
      <c r="W402" s="153">
        <v>0.71805555555555556</v>
      </c>
      <c r="X402" s="91">
        <v>72.5</v>
      </c>
      <c r="Y402" s="91">
        <v>11.4</v>
      </c>
      <c r="Z402" s="154">
        <v>40</v>
      </c>
      <c r="AA402" s="153">
        <v>0.38680555555555557</v>
      </c>
      <c r="AB402" s="154">
        <v>85</v>
      </c>
      <c r="AC402" s="154">
        <v>15</v>
      </c>
      <c r="AD402" s="91"/>
      <c r="AE402" s="94">
        <f>Table3.110[[#This Row],[Gas 8h, ml]]-Table3.110[[#This Row],[Gas 0h, ml]]</f>
        <v>32</v>
      </c>
      <c r="AF402" s="94">
        <f>Table3.110[[#This Row],[Gas 24h, ml]]-Table3.110[[#This Row],[V8 Push back, ml]]</f>
        <v>45</v>
      </c>
      <c r="AG402" s="94">
        <f>Table3.110[[#This Row],[GP 8h, ml]]-(AVERAGE(AE$293,AE$294,AE$385,AE$386,AE$477,AE$478))*$AG$8</f>
        <v>30.746240428868305</v>
      </c>
      <c r="AH402" s="94">
        <f>Table3.110[[#This Row],[GP 8-24h, ml]]-(AVERAGE(AF$293,AF$294,AF$385,AF$386,AF$477,AF$478))*$AG$8</f>
        <v>43.00873479879084</v>
      </c>
      <c r="AI402" s="94">
        <f>Table3.110[[#This Row],[Net gas 8-24h, ml]]+Table3.110[[#This Row],[Net gas 8h, ml]]</f>
        <v>73.754975227659145</v>
      </c>
      <c r="AJ402" s="94">
        <f>Table3.110[[#This Row],[Net gas 8h, ml]]*Table3.110[[#This Row],[CH4 8h %]]%</f>
        <v>3.5050714088909869</v>
      </c>
      <c r="AK402" s="94">
        <f>Table3.110[[#This Row],[Net gas 8-24h, ml]]*Table3.110[[#This Row],[CH4 24h, %]]%</f>
        <v>6.4513102198186258</v>
      </c>
      <c r="AL402" s="94">
        <f>Table3.110[[#This Row],[CH4 8-24h, ml]]+Table3.110[[#This Row],[CH4 8h, ml]]</f>
        <v>9.9563816287096127</v>
      </c>
      <c r="AM402" s="94">
        <f>(Table3.110[[#This Row],[Net gas 24h, ml]]/Table3.110[[#This Row],[DM Incubated, mg]])*1000</f>
        <v>160.32017106499455</v>
      </c>
      <c r="AN402" s="94">
        <f>'3.2 Digest'!X402</f>
        <v>36.68052129760693</v>
      </c>
      <c r="AO402" s="94">
        <f>Table3.110[[#This Row],[Digested feed, mg]]/Table3.110[[#This Row],[Net gas 24h, ml]]</f>
        <v>2.2879542264670159</v>
      </c>
      <c r="AP402" s="94">
        <f>Table3.110[[#This Row],[CH4 8h, ml]]/Table3.110[[#This Row],[Net gas 8h, ml]]%</f>
        <v>11.4</v>
      </c>
      <c r="AQ402" s="94">
        <f>Table3.110[[#This Row],[CH4 24h, ml]]/Table3.110[[#This Row],[Net gas 24h, ml]]%</f>
        <v>13.499267809361056</v>
      </c>
      <c r="AR402" s="94">
        <f>Table3.110[[#This Row],[CH4 24h, ml]]/Table3.110[[#This Row],[DM Incubated, mg]]*1000</f>
        <v>21.642049244489389</v>
      </c>
      <c r="AS402" s="94">
        <f>Table3.110[[#This Row],[CH4 24h, ml]]/Table3.110[[#This Row],[Digested feed, mg]]*1000</f>
        <v>59.001476748099911</v>
      </c>
      <c r="AT402" s="94">
        <f>Table3.110[[#This Row],[CH4 24h, ml]]/'3.2 Digest'!AA402</f>
        <v>-0.92751814134087407</v>
      </c>
      <c r="AU402" s="94">
        <f>((Table3.110[[#This Row],[CH4 24h, ml]]/28.9)*16.04)/Table3.110[[#This Row],[DM Incubated, mg]]*1000</f>
        <v>12.011711760609336</v>
      </c>
      <c r="AV402" s="94">
        <f>((Table3.110[[#This Row],[CH4 24h, ml]]/28.9)*16.04)/Table3.110[[#This Row],[Digested feed, mg]]*1000</f>
        <v>32.746840381990403</v>
      </c>
    </row>
    <row r="403" spans="2:48" s="89" customFormat="1" x14ac:dyDescent="0.35">
      <c r="B403" s="90">
        <f t="shared" si="6"/>
        <v>393</v>
      </c>
      <c r="C403" s="140">
        <v>46048</v>
      </c>
      <c r="D403" s="6" t="s">
        <v>16</v>
      </c>
      <c r="E403" s="6" t="s">
        <v>239</v>
      </c>
      <c r="F403" s="133" t="s">
        <v>240</v>
      </c>
      <c r="G403" s="133" t="s">
        <v>241</v>
      </c>
      <c r="H403" s="133" t="s">
        <v>242</v>
      </c>
      <c r="I403" s="125" t="s">
        <v>22</v>
      </c>
      <c r="J403" s="127" t="s">
        <v>23</v>
      </c>
      <c r="K403" s="125" t="s">
        <v>215</v>
      </c>
      <c r="L403" s="6" t="s">
        <v>238</v>
      </c>
      <c r="M403" s="93">
        <v>28</v>
      </c>
      <c r="N403" s="93">
        <v>60</v>
      </c>
      <c r="O403" s="6">
        <v>1</v>
      </c>
      <c r="P403" s="129">
        <v>2</v>
      </c>
      <c r="Q403" s="6">
        <v>51</v>
      </c>
      <c r="R403" s="98">
        <v>0.50039999999999996</v>
      </c>
      <c r="S403" s="94">
        <f>((Table3.110[[#This Row],[Sample weight, g]]*'2.1. DM'!Q147)/100)*1000</f>
        <v>460.23195291976094</v>
      </c>
      <c r="T403" s="94">
        <f>'3.2 Digest'!W403</f>
        <v>149.83195291976091</v>
      </c>
      <c r="U403" s="117">
        <v>0.38541666666666669</v>
      </c>
      <c r="V403" s="155">
        <v>40.5</v>
      </c>
      <c r="W403" s="117">
        <v>0.71875</v>
      </c>
      <c r="X403" s="96">
        <v>72.5</v>
      </c>
      <c r="Y403" s="96">
        <v>10.8</v>
      </c>
      <c r="Z403" s="155">
        <v>40</v>
      </c>
      <c r="AA403" s="117">
        <v>0.38680555555555557</v>
      </c>
      <c r="AB403" s="155">
        <v>89.5</v>
      </c>
      <c r="AC403" s="155">
        <v>14.5</v>
      </c>
      <c r="AD403" s="96"/>
      <c r="AE403" s="94">
        <f>Table3.110[[#This Row],[Gas 8h, ml]]-Table3.110[[#This Row],[Gas 0h, ml]]</f>
        <v>32</v>
      </c>
      <c r="AF403" s="94">
        <f>Table3.110[[#This Row],[Gas 24h, ml]]-Table3.110[[#This Row],[V8 Push back, ml]]</f>
        <v>49.5</v>
      </c>
      <c r="AG403" s="94">
        <f>Table3.110[[#This Row],[GP 8h, ml]]-(AVERAGE(AE$293,AE$294,AE$385,AE$386,AE$477,AE$478))*$AG$8</f>
        <v>30.746240428868305</v>
      </c>
      <c r="AH403" s="94">
        <f>Table3.110[[#This Row],[GP 8-24h, ml]]-(AVERAGE(AF$293,AF$294,AF$385,AF$386,AF$477,AF$478))*$AG$8</f>
        <v>47.50873479879084</v>
      </c>
      <c r="AI403" s="94">
        <f>Table3.110[[#This Row],[Net gas 8-24h, ml]]+Table3.110[[#This Row],[Net gas 8h, ml]]</f>
        <v>78.254975227659145</v>
      </c>
      <c r="AJ403" s="94">
        <f>Table3.110[[#This Row],[Net gas 8h, ml]]*Table3.110[[#This Row],[CH4 8h %]]%</f>
        <v>3.3205939663177775</v>
      </c>
      <c r="AK403" s="94">
        <f>Table3.110[[#This Row],[Net gas 8-24h, ml]]*Table3.110[[#This Row],[CH4 24h, %]]%</f>
        <v>6.8887665458246712</v>
      </c>
      <c r="AL403" s="94">
        <f>Table3.110[[#This Row],[CH4 8-24h, ml]]+Table3.110[[#This Row],[CH4 8h, ml]]</f>
        <v>10.20936051214245</v>
      </c>
      <c r="AM403" s="94">
        <f>(Table3.110[[#This Row],[Net gas 24h, ml]]/Table3.110[[#This Row],[DM Incubated, mg]])*1000</f>
        <v>170.03377260357777</v>
      </c>
      <c r="AN403" s="94">
        <f>'3.2 Digest'!X403</f>
        <v>32.555747589712297</v>
      </c>
      <c r="AO403" s="94">
        <f>Table3.110[[#This Row],[Digested feed, mg]]/Table3.110[[#This Row],[Net gas 24h, ml]]</f>
        <v>1.9146636042484229</v>
      </c>
      <c r="AP403" s="94">
        <f>Table3.110[[#This Row],[CH4 8h, ml]]/Table3.110[[#This Row],[Net gas 8h, ml]]%</f>
        <v>10.800000000000002</v>
      </c>
      <c r="AQ403" s="94">
        <f>Table3.110[[#This Row],[CH4 24h, ml]]/Table3.110[[#This Row],[Net gas 24h, ml]]%</f>
        <v>13.046276588090928</v>
      </c>
      <c r="AR403" s="94">
        <f>Table3.110[[#This Row],[CH4 24h, ml]]/Table3.110[[#This Row],[DM Incubated, mg]]*1000</f>
        <v>22.183076267028333</v>
      </c>
      <c r="AS403" s="94">
        <f>Table3.110[[#This Row],[CH4 24h, ml]]/Table3.110[[#This Row],[Digested feed, mg]]*1000</f>
        <v>68.138740189883535</v>
      </c>
      <c r="AT403" s="94">
        <f>Table3.110[[#This Row],[CH4 24h, ml]]/'3.2 Digest'!AA403</f>
        <v>-0.56883238606435704</v>
      </c>
      <c r="AU403" s="94">
        <f>((Table3.110[[#This Row],[CH4 24h, ml]]/28.9)*16.04)/Table3.110[[#This Row],[DM Incubated, mg]]*1000</f>
        <v>12.311991118447557</v>
      </c>
      <c r="AV403" s="94">
        <f>((Table3.110[[#This Row],[CH4 24h, ml]]/28.9)*16.04)/Table3.110[[#This Row],[Digested feed, mg]]*1000</f>
        <v>37.818179676322892</v>
      </c>
    </row>
    <row r="404" spans="2:48" s="89" customFormat="1" x14ac:dyDescent="0.35">
      <c r="B404" s="90">
        <f t="shared" si="6"/>
        <v>394</v>
      </c>
      <c r="C404" s="140">
        <v>46048</v>
      </c>
      <c r="D404" s="6" t="s">
        <v>16</v>
      </c>
      <c r="E404" s="6" t="s">
        <v>239</v>
      </c>
      <c r="F404" s="133" t="s">
        <v>240</v>
      </c>
      <c r="G404" s="133" t="s">
        <v>241</v>
      </c>
      <c r="H404" s="133" t="s">
        <v>242</v>
      </c>
      <c r="I404" s="125" t="s">
        <v>22</v>
      </c>
      <c r="J404" s="127" t="s">
        <v>23</v>
      </c>
      <c r="K404" s="125" t="s">
        <v>215</v>
      </c>
      <c r="L404" s="6" t="s">
        <v>238</v>
      </c>
      <c r="M404" s="93">
        <v>28</v>
      </c>
      <c r="N404" s="93">
        <v>60</v>
      </c>
      <c r="O404" s="6">
        <v>1</v>
      </c>
      <c r="P404" s="6">
        <v>3</v>
      </c>
      <c r="Q404" s="6">
        <v>52</v>
      </c>
      <c r="R404" s="98">
        <v>0.50029999999999997</v>
      </c>
      <c r="S404" s="94">
        <f>((Table3.110[[#This Row],[Sample weight, g]]*'2.1. DM'!Q147)/100)*1000</f>
        <v>460.13998010742688</v>
      </c>
      <c r="T404" s="94">
        <f>'3.2 Digest'!W404</f>
        <v>152.93998010742683</v>
      </c>
      <c r="U404" s="153">
        <v>0.38611111111111113</v>
      </c>
      <c r="V404" s="154">
        <v>40.5</v>
      </c>
      <c r="W404" s="153">
        <v>0.71944444444444444</v>
      </c>
      <c r="X404" s="91">
        <v>72.5</v>
      </c>
      <c r="Y404" s="91">
        <v>10.9</v>
      </c>
      <c r="Z404" s="154">
        <v>40</v>
      </c>
      <c r="AA404" s="153">
        <v>0.38750000000000001</v>
      </c>
      <c r="AB404" s="154">
        <v>85</v>
      </c>
      <c r="AC404" s="154">
        <v>14.8</v>
      </c>
      <c r="AD404" s="91"/>
      <c r="AE404" s="94">
        <f>Table3.110[[#This Row],[Gas 8h, ml]]-Table3.110[[#This Row],[Gas 0h, ml]]</f>
        <v>32</v>
      </c>
      <c r="AF404" s="94">
        <f>Table3.110[[#This Row],[Gas 24h, ml]]-Table3.110[[#This Row],[V8 Push back, ml]]</f>
        <v>45</v>
      </c>
      <c r="AG404" s="94">
        <f>Table3.110[[#This Row],[GP 8h, ml]]-(AVERAGE(AE$293,AE$294,AE$385,AE$386,AE$477,AE$478))*$AG$8</f>
        <v>30.746240428868305</v>
      </c>
      <c r="AH404" s="94">
        <f>Table3.110[[#This Row],[GP 8-24h, ml]]-(AVERAGE(AF$293,AF$294,AF$385,AF$386,AF$477,AF$478))*$AG$8</f>
        <v>43.00873479879084</v>
      </c>
      <c r="AI404" s="94">
        <f>Table3.110[[#This Row],[Net gas 8-24h, ml]]+Table3.110[[#This Row],[Net gas 8h, ml]]</f>
        <v>73.754975227659145</v>
      </c>
      <c r="AJ404" s="94">
        <f>Table3.110[[#This Row],[Net gas 8h, ml]]*Table3.110[[#This Row],[CH4 8h %]]%</f>
        <v>3.3513402067466451</v>
      </c>
      <c r="AK404" s="94">
        <f>Table3.110[[#This Row],[Net gas 8-24h, ml]]*Table3.110[[#This Row],[CH4 24h, %]]%</f>
        <v>6.3652927502210455</v>
      </c>
      <c r="AL404" s="94">
        <f>Table3.110[[#This Row],[CH4 8-24h, ml]]+Table3.110[[#This Row],[CH4 8h, ml]]</f>
        <v>9.7166329569676897</v>
      </c>
      <c r="AM404" s="94">
        <f>(Table3.110[[#This Row],[Net gas 24h, ml]]/Table3.110[[#This Row],[DM Incubated, mg]])*1000</f>
        <v>160.28812625766597</v>
      </c>
      <c r="AN404" s="94">
        <f>'3.2 Digest'!X404</f>
        <v>33.237707375855621</v>
      </c>
      <c r="AO404" s="94">
        <f>Table3.110[[#This Row],[Digested feed, mg]]/Table3.110[[#This Row],[Net gas 24h, ml]]</f>
        <v>2.0736225540764903</v>
      </c>
      <c r="AP404" s="94">
        <f>Table3.110[[#This Row],[CH4 8h, ml]]/Table3.110[[#This Row],[Net gas 8h, ml]]%</f>
        <v>10.9</v>
      </c>
      <c r="AQ404" s="94">
        <f>Table3.110[[#This Row],[CH4 24h, ml]]/Table3.110[[#This Row],[Net gas 24h, ml]]%</f>
        <v>13.174206793474477</v>
      </c>
      <c r="AR404" s="94">
        <f>Table3.110[[#This Row],[CH4 24h, ml]]/Table3.110[[#This Row],[DM Incubated, mg]]*1000</f>
        <v>21.116689218570379</v>
      </c>
      <c r="AS404" s="94">
        <f>Table3.110[[#This Row],[CH4 24h, ml]]/Table3.110[[#This Row],[Digested feed, mg]]*1000</f>
        <v>63.532327846143389</v>
      </c>
      <c r="AT404" s="94">
        <f>Table3.110[[#This Row],[CH4 24h, ml]]/'3.2 Digest'!AA404</f>
        <v>-0.57991404495581267</v>
      </c>
      <c r="AU404" s="94">
        <f>((Table3.110[[#This Row],[CH4 24h, ml]]/28.9)*16.04)/Table3.110[[#This Row],[DM Incubated, mg]]*1000</f>
        <v>11.72012785695048</v>
      </c>
      <c r="AV404" s="94">
        <f>((Table3.110[[#This Row],[CH4 24h, ml]]/28.9)*16.04)/Table3.110[[#This Row],[Digested feed, mg]]*1000</f>
        <v>35.261541129831826</v>
      </c>
    </row>
    <row r="405" spans="2:48" s="89" customFormat="1" x14ac:dyDescent="0.35">
      <c r="B405" s="90">
        <f t="shared" si="6"/>
        <v>395</v>
      </c>
      <c r="C405" s="140">
        <v>46048</v>
      </c>
      <c r="D405" s="6" t="s">
        <v>16</v>
      </c>
      <c r="E405" s="6" t="s">
        <v>244</v>
      </c>
      <c r="F405" s="133" t="s">
        <v>240</v>
      </c>
      <c r="G405" s="133" t="s">
        <v>245</v>
      </c>
      <c r="H405" s="133" t="s">
        <v>246</v>
      </c>
      <c r="I405" s="125" t="s">
        <v>22</v>
      </c>
      <c r="J405" s="127" t="s">
        <v>23</v>
      </c>
      <c r="K405" s="125" t="s">
        <v>215</v>
      </c>
      <c r="L405" s="6" t="s">
        <v>243</v>
      </c>
      <c r="M405" s="93">
        <v>28</v>
      </c>
      <c r="N405" s="93">
        <v>60</v>
      </c>
      <c r="O405" s="6">
        <v>1</v>
      </c>
      <c r="P405" s="129">
        <v>1</v>
      </c>
      <c r="Q405" s="6">
        <v>53</v>
      </c>
      <c r="R405" s="98">
        <v>0.50019999999999998</v>
      </c>
      <c r="S405" s="94">
        <f>((Table3.110[[#This Row],[Sample weight, g]]*'2.1. DM'!Q149)/100)*1000</f>
        <v>455.24781975538917</v>
      </c>
      <c r="T405" s="94">
        <f>'3.2 Digest'!W405</f>
        <v>166.24781975538912</v>
      </c>
      <c r="U405" s="117">
        <v>0.38611111111111113</v>
      </c>
      <c r="V405" s="155">
        <v>40.5</v>
      </c>
      <c r="W405" s="117">
        <v>0.72013888888888888</v>
      </c>
      <c r="X405" s="96">
        <v>76.5</v>
      </c>
      <c r="Y405" s="96">
        <v>11.2</v>
      </c>
      <c r="Z405" s="155">
        <v>40</v>
      </c>
      <c r="AA405" s="117">
        <v>0.38750000000000001</v>
      </c>
      <c r="AB405" s="155">
        <v>85.5</v>
      </c>
      <c r="AC405" s="155">
        <v>15.4</v>
      </c>
      <c r="AD405" s="96"/>
      <c r="AE405" s="94">
        <f>Table3.110[[#This Row],[Gas 8h, ml]]-Table3.110[[#This Row],[Gas 0h, ml]]</f>
        <v>36</v>
      </c>
      <c r="AF405" s="94">
        <f>Table3.110[[#This Row],[Gas 24h, ml]]-Table3.110[[#This Row],[V8 Push back, ml]]</f>
        <v>45.5</v>
      </c>
      <c r="AG405" s="94">
        <f>Table3.110[[#This Row],[GP 8h, ml]]-(AVERAGE(AE$293,AE$294,AE$385,AE$386,AE$477,AE$478))*$AG$8</f>
        <v>34.746240428868305</v>
      </c>
      <c r="AH405" s="94">
        <f>Table3.110[[#This Row],[GP 8-24h, ml]]-(AVERAGE(AF$293,AF$294,AF$385,AF$386,AF$477,AF$478))*$AG$8</f>
        <v>43.50873479879084</v>
      </c>
      <c r="AI405" s="94">
        <f>Table3.110[[#This Row],[Net gas 8-24h, ml]]+Table3.110[[#This Row],[Net gas 8h, ml]]</f>
        <v>78.254975227659145</v>
      </c>
      <c r="AJ405" s="94">
        <f>Table3.110[[#This Row],[Net gas 8h, ml]]*Table3.110[[#This Row],[CH4 8h %]]%</f>
        <v>3.8915789280332498</v>
      </c>
      <c r="AK405" s="94">
        <f>Table3.110[[#This Row],[Net gas 8-24h, ml]]*Table3.110[[#This Row],[CH4 24h, %]]%</f>
        <v>6.7003451590137892</v>
      </c>
      <c r="AL405" s="94">
        <f>Table3.110[[#This Row],[CH4 8-24h, ml]]+Table3.110[[#This Row],[CH4 8h, ml]]</f>
        <v>10.591924087047039</v>
      </c>
      <c r="AM405" s="94">
        <f>(Table3.110[[#This Row],[Net gas 24h, ml]]/Table3.110[[#This Row],[DM Incubated, mg]])*1000</f>
        <v>171.89533223839842</v>
      </c>
      <c r="AN405" s="94">
        <f>'3.2 Digest'!X405</f>
        <v>36.518092463290948</v>
      </c>
      <c r="AO405" s="94">
        <f>Table3.110[[#This Row],[Digested feed, mg]]/Table3.110[[#This Row],[Net gas 24h, ml]]</f>
        <v>2.1244377021619578</v>
      </c>
      <c r="AP405" s="94">
        <f>Table3.110[[#This Row],[CH4 8h, ml]]/Table3.110[[#This Row],[Net gas 8h, ml]]%</f>
        <v>11.2</v>
      </c>
      <c r="AQ405" s="94">
        <f>Table3.110[[#This Row],[CH4 24h, ml]]/Table3.110[[#This Row],[Net gas 24h, ml]]%</f>
        <v>13.535144642539397</v>
      </c>
      <c r="AR405" s="94">
        <f>Table3.110[[#This Row],[CH4 24h, ml]]/Table3.110[[#This Row],[DM Incubated, mg]]*1000</f>
        <v>23.266281852240883</v>
      </c>
      <c r="AS405" s="94">
        <f>Table3.110[[#This Row],[CH4 24h, ml]]/Table3.110[[#This Row],[Digested feed, mg]]*1000</f>
        <v>63.711657107032167</v>
      </c>
      <c r="AT405" s="94">
        <f>Table3.110[[#This Row],[CH4 24h, ml]]/'3.2 Digest'!AA405</f>
        <v>-1.8765930496981693</v>
      </c>
      <c r="AU405" s="94">
        <f>((Table3.110[[#This Row],[CH4 24h, ml]]/28.9)*16.04)/Table3.110[[#This Row],[DM Incubated, mg]]*1000</f>
        <v>12.913188958821582</v>
      </c>
      <c r="AV405" s="94">
        <f>((Table3.110[[#This Row],[CH4 24h, ml]]/28.9)*16.04)/Table3.110[[#This Row],[Digested feed, mg]]*1000</f>
        <v>35.361071972207469</v>
      </c>
    </row>
    <row r="406" spans="2:48" s="89" customFormat="1" x14ac:dyDescent="0.35">
      <c r="B406" s="90">
        <f t="shared" si="6"/>
        <v>396</v>
      </c>
      <c r="C406" s="140">
        <v>46048</v>
      </c>
      <c r="D406" s="6" t="s">
        <v>16</v>
      </c>
      <c r="E406" s="6" t="s">
        <v>244</v>
      </c>
      <c r="F406" s="133" t="s">
        <v>240</v>
      </c>
      <c r="G406" s="133" t="s">
        <v>245</v>
      </c>
      <c r="H406" s="133" t="s">
        <v>246</v>
      </c>
      <c r="I406" s="125" t="s">
        <v>22</v>
      </c>
      <c r="J406" s="127" t="s">
        <v>23</v>
      </c>
      <c r="K406" s="125" t="s">
        <v>215</v>
      </c>
      <c r="L406" s="6" t="s">
        <v>243</v>
      </c>
      <c r="M406" s="93">
        <v>28</v>
      </c>
      <c r="N406" s="93">
        <v>60</v>
      </c>
      <c r="O406" s="6">
        <v>1</v>
      </c>
      <c r="P406" s="129">
        <v>2</v>
      </c>
      <c r="Q406" s="6">
        <v>54</v>
      </c>
      <c r="R406" s="98">
        <v>0.5</v>
      </c>
      <c r="S406" s="94">
        <f>((Table3.110[[#This Row],[Sample weight, g]]*'2.1. DM'!Q149)/100)*1000</f>
        <v>455.06579343801405</v>
      </c>
      <c r="T406" s="94">
        <f>'3.2 Digest'!W406</f>
        <v>129.66579343801413</v>
      </c>
      <c r="U406" s="153">
        <v>0.38680555555555557</v>
      </c>
      <c r="V406" s="154">
        <v>40.5</v>
      </c>
      <c r="W406" s="153">
        <v>0.72083333333333333</v>
      </c>
      <c r="X406" s="91">
        <v>75</v>
      </c>
      <c r="Y406" s="91">
        <v>10.9</v>
      </c>
      <c r="Z406" s="154">
        <v>40</v>
      </c>
      <c r="AA406" s="153">
        <v>0.38819444444444445</v>
      </c>
      <c r="AB406" s="154">
        <v>81.5</v>
      </c>
      <c r="AC406" s="154">
        <v>15.3</v>
      </c>
      <c r="AD406" s="91"/>
      <c r="AE406" s="94">
        <f>Table3.110[[#This Row],[Gas 8h, ml]]-Table3.110[[#This Row],[Gas 0h, ml]]</f>
        <v>34.5</v>
      </c>
      <c r="AF406" s="94">
        <f>Table3.110[[#This Row],[Gas 24h, ml]]-Table3.110[[#This Row],[V8 Push back, ml]]</f>
        <v>41.5</v>
      </c>
      <c r="AG406" s="94">
        <f>Table3.110[[#This Row],[GP 8h, ml]]-(AVERAGE(AE$293,AE$294,AE$385,AE$386,AE$477,AE$478))*$AG$8</f>
        <v>33.246240428868305</v>
      </c>
      <c r="AH406" s="94">
        <f>Table3.110[[#This Row],[GP 8-24h, ml]]-(AVERAGE(AF$293,AF$294,AF$385,AF$386,AF$477,AF$478))*$AG$8</f>
        <v>39.50873479879084</v>
      </c>
      <c r="AI406" s="94">
        <f>Table3.110[[#This Row],[Net gas 8-24h, ml]]+Table3.110[[#This Row],[Net gas 8h, ml]]</f>
        <v>72.754975227659145</v>
      </c>
      <c r="AJ406" s="94">
        <f>Table3.110[[#This Row],[Net gas 8h, ml]]*Table3.110[[#This Row],[CH4 8h %]]%</f>
        <v>3.6238402067466451</v>
      </c>
      <c r="AK406" s="94">
        <f>Table3.110[[#This Row],[Net gas 8-24h, ml]]*Table3.110[[#This Row],[CH4 24h, %]]%</f>
        <v>6.0448364242149983</v>
      </c>
      <c r="AL406" s="94">
        <f>Table3.110[[#This Row],[CH4 8-24h, ml]]+Table3.110[[#This Row],[CH4 8h, ml]]</f>
        <v>9.6686766309616434</v>
      </c>
      <c r="AM406" s="94">
        <f>(Table3.110[[#This Row],[Net gas 24h, ml]]/Table3.110[[#This Row],[DM Incubated, mg]])*1000</f>
        <v>159.87792595439132</v>
      </c>
      <c r="AN406" s="94">
        <f>'3.2 Digest'!X406</f>
        <v>28.493856340726325</v>
      </c>
      <c r="AO406" s="94">
        <f>Table3.110[[#This Row],[Digested feed, mg]]/Table3.110[[#This Row],[Net gas 24h, ml]]</f>
        <v>1.782225793250209</v>
      </c>
      <c r="AP406" s="94">
        <f>Table3.110[[#This Row],[CH4 8h, ml]]/Table3.110[[#This Row],[Net gas 8h, ml]]%</f>
        <v>10.899999999999999</v>
      </c>
      <c r="AQ406" s="94">
        <f>Table3.110[[#This Row],[CH4 24h, ml]]/Table3.110[[#This Row],[Net gas 24h, ml]]%</f>
        <v>13.289368322519774</v>
      </c>
      <c r="AR406" s="94">
        <f>Table3.110[[#This Row],[CH4 24h, ml]]/Table3.110[[#This Row],[DM Incubated, mg]]*1000</f>
        <v>21.2467664464845</v>
      </c>
      <c r="AS406" s="94">
        <f>Table3.110[[#This Row],[CH4 24h, ml]]/Table3.110[[#This Row],[Digested feed, mg]]*1000</f>
        <v>74.566131703683979</v>
      </c>
      <c r="AT406" s="94">
        <f>Table3.110[[#This Row],[CH4 24h, ml]]/'3.2 Digest'!AA406</f>
        <v>-0.50893487456244213</v>
      </c>
      <c r="AU406" s="94">
        <f>((Table3.110[[#This Row],[CH4 24h, ml]]/28.9)*16.04)/Table3.110[[#This Row],[DM Incubated, mg]]*1000</f>
        <v>11.79232296891389</v>
      </c>
      <c r="AV406" s="94">
        <f>((Table3.110[[#This Row],[CH4 24h, ml]]/28.9)*16.04)/Table3.110[[#This Row],[Digested feed, mg]]*1000</f>
        <v>41.38549316702737</v>
      </c>
    </row>
    <row r="407" spans="2:48" s="89" customFormat="1" x14ac:dyDescent="0.35">
      <c r="B407" s="90">
        <f t="shared" si="6"/>
        <v>397</v>
      </c>
      <c r="C407" s="140">
        <v>46048</v>
      </c>
      <c r="D407" s="6" t="s">
        <v>16</v>
      </c>
      <c r="E407" s="6" t="s">
        <v>244</v>
      </c>
      <c r="F407" s="133" t="s">
        <v>240</v>
      </c>
      <c r="G407" s="133" t="s">
        <v>245</v>
      </c>
      <c r="H407" s="133" t="s">
        <v>246</v>
      </c>
      <c r="I407" s="125" t="s">
        <v>22</v>
      </c>
      <c r="J407" s="127" t="s">
        <v>23</v>
      </c>
      <c r="K407" s="125" t="s">
        <v>215</v>
      </c>
      <c r="L407" s="6" t="s">
        <v>243</v>
      </c>
      <c r="M407" s="93">
        <v>28</v>
      </c>
      <c r="N407" s="93">
        <v>60</v>
      </c>
      <c r="O407" s="6">
        <v>1</v>
      </c>
      <c r="P407" s="6">
        <v>3</v>
      </c>
      <c r="Q407" s="6">
        <v>55</v>
      </c>
      <c r="R407" s="98">
        <v>0.5</v>
      </c>
      <c r="S407" s="94">
        <f>((Table3.110[[#This Row],[Sample weight, g]]*'2.1. DM'!Q149)/100)*1000</f>
        <v>455.06579343801405</v>
      </c>
      <c r="T407" s="94">
        <f>'3.2 Digest'!W407</f>
        <v>155.2657934380141</v>
      </c>
      <c r="U407" s="117">
        <v>0.38680555555555557</v>
      </c>
      <c r="V407" s="155">
        <v>40.5</v>
      </c>
      <c r="W407" s="117">
        <v>0.72083333333333333</v>
      </c>
      <c r="X407" s="96">
        <v>77</v>
      </c>
      <c r="Y407" s="96">
        <v>11.9</v>
      </c>
      <c r="Z407" s="155">
        <v>40</v>
      </c>
      <c r="AA407" s="117">
        <v>0.38819444444444445</v>
      </c>
      <c r="AB407" s="155">
        <v>84</v>
      </c>
      <c r="AC407" s="155">
        <v>15.6</v>
      </c>
      <c r="AD407" s="96"/>
      <c r="AE407" s="94">
        <f>Table3.110[[#This Row],[Gas 8h, ml]]-Table3.110[[#This Row],[Gas 0h, ml]]</f>
        <v>36.5</v>
      </c>
      <c r="AF407" s="94">
        <f>Table3.110[[#This Row],[Gas 24h, ml]]-Table3.110[[#This Row],[V8 Push back, ml]]</f>
        <v>44</v>
      </c>
      <c r="AG407" s="94">
        <f>Table3.110[[#This Row],[GP 8h, ml]]-(AVERAGE(AE$293,AE$294,AE$385,AE$386,AE$477,AE$478))*$AG$8</f>
        <v>35.246240428868305</v>
      </c>
      <c r="AH407" s="94">
        <f>Table3.110[[#This Row],[GP 8-24h, ml]]-(AVERAGE(AF$293,AF$294,AF$385,AF$386,AF$477,AF$478))*$AG$8</f>
        <v>42.00873479879084</v>
      </c>
      <c r="AI407" s="94">
        <f>Table3.110[[#This Row],[Net gas 8-24h, ml]]+Table3.110[[#This Row],[Net gas 8h, ml]]</f>
        <v>77.254975227659145</v>
      </c>
      <c r="AJ407" s="94">
        <f>Table3.110[[#This Row],[Net gas 8h, ml]]*Table3.110[[#This Row],[CH4 8h %]]%</f>
        <v>4.1943026110353285</v>
      </c>
      <c r="AK407" s="94">
        <f>Table3.110[[#This Row],[Net gas 8-24h, ml]]*Table3.110[[#This Row],[CH4 24h, %]]%</f>
        <v>6.5533626286113709</v>
      </c>
      <c r="AL407" s="94">
        <f>Table3.110[[#This Row],[CH4 8-24h, ml]]+Table3.110[[#This Row],[CH4 8h, ml]]</f>
        <v>10.7476652396467</v>
      </c>
      <c r="AM407" s="94">
        <f>(Table3.110[[#This Row],[Net gas 24h, ml]]/Table3.110[[#This Row],[DM Incubated, mg]])*1000</f>
        <v>169.76660593185693</v>
      </c>
      <c r="AN407" s="94">
        <f>'3.2 Digest'!X407</f>
        <v>34.119416505684548</v>
      </c>
      <c r="AO407" s="94">
        <f>Table3.110[[#This Row],[Digested feed, mg]]/Table3.110[[#This Row],[Net gas 24h, ml]]</f>
        <v>2.0097837450658478</v>
      </c>
      <c r="AP407" s="94">
        <f>Table3.110[[#This Row],[CH4 8h, ml]]/Table3.110[[#This Row],[Net gas 8h, ml]]%</f>
        <v>11.900000000000002</v>
      </c>
      <c r="AQ407" s="94">
        <f>Table3.110[[#This Row],[CH4 24h, ml]]/Table3.110[[#This Row],[Net gas 24h, ml]]%</f>
        <v>13.911939273781266</v>
      </c>
      <c r="AR407" s="94">
        <f>Table3.110[[#This Row],[CH4 24h, ml]]/Table3.110[[#This Row],[DM Incubated, mg]]*1000</f>
        <v>23.617827124399483</v>
      </c>
      <c r="AS407" s="94">
        <f>Table3.110[[#This Row],[CH4 24h, ml]]/Table3.110[[#This Row],[Digested feed, mg]]*1000</f>
        <v>69.221075690038788</v>
      </c>
      <c r="AT407" s="94">
        <f>Table3.110[[#This Row],[CH4 24h, ml]]/'3.2 Digest'!AA407</f>
        <v>-1.1153637508456249</v>
      </c>
      <c r="AU407" s="94">
        <f>((Table3.110[[#This Row],[CH4 24h, ml]]/28.9)*16.04)/Table3.110[[#This Row],[DM Incubated, mg]]*1000</f>
        <v>13.10830266696774</v>
      </c>
      <c r="AV407" s="94">
        <f>((Table3.110[[#This Row],[CH4 24h, ml]]/28.9)*16.04)/Table3.110[[#This Row],[Digested feed, mg]]*1000</f>
        <v>38.418894604436744</v>
      </c>
    </row>
    <row r="408" spans="2:48" s="89" customFormat="1" x14ac:dyDescent="0.35">
      <c r="B408" s="90">
        <f t="shared" si="6"/>
        <v>398</v>
      </c>
      <c r="C408" s="140">
        <v>46048</v>
      </c>
      <c r="D408" s="6" t="s">
        <v>16</v>
      </c>
      <c r="E408" s="6" t="s">
        <v>248</v>
      </c>
      <c r="F408" s="133" t="s">
        <v>226</v>
      </c>
      <c r="G408" s="133" t="s">
        <v>227</v>
      </c>
      <c r="H408" s="133" t="s">
        <v>228</v>
      </c>
      <c r="I408" s="125" t="s">
        <v>22</v>
      </c>
      <c r="J408" s="127" t="s">
        <v>23</v>
      </c>
      <c r="K408" s="125" t="s">
        <v>215</v>
      </c>
      <c r="L408" s="6" t="s">
        <v>247</v>
      </c>
      <c r="M408" s="93">
        <v>28</v>
      </c>
      <c r="N408" s="93">
        <v>60</v>
      </c>
      <c r="O408" s="6">
        <v>1</v>
      </c>
      <c r="P408" s="129">
        <v>1</v>
      </c>
      <c r="Q408" s="6">
        <v>56</v>
      </c>
      <c r="R408" s="98">
        <v>0.50009999999999999</v>
      </c>
      <c r="S408" s="94">
        <f>((Table3.110[[#This Row],[Sample weight, g]]*'2.1. DM'!Q151)/100)*1000</f>
        <v>461.60775534679186</v>
      </c>
      <c r="T408" s="94">
        <f>'3.2 Digest'!W408</f>
        <v>147.70775534679188</v>
      </c>
      <c r="U408" s="153">
        <v>0.38680555555555557</v>
      </c>
      <c r="V408" s="154">
        <v>41.5</v>
      </c>
      <c r="W408" s="153">
        <v>0.72152777777777777</v>
      </c>
      <c r="X408" s="91">
        <v>69.5</v>
      </c>
      <c r="Y408" s="91">
        <v>11.1</v>
      </c>
      <c r="Z408" s="154">
        <v>40</v>
      </c>
      <c r="AA408" s="153">
        <v>0.3888888888888889</v>
      </c>
      <c r="AB408" s="154">
        <v>75.5</v>
      </c>
      <c r="AC408" s="154">
        <v>13.8</v>
      </c>
      <c r="AD408" s="91"/>
      <c r="AE408" s="94">
        <f>Table3.110[[#This Row],[Gas 8h, ml]]-Table3.110[[#This Row],[Gas 0h, ml]]</f>
        <v>28</v>
      </c>
      <c r="AF408" s="94">
        <f>Table3.110[[#This Row],[Gas 24h, ml]]-Table3.110[[#This Row],[V8 Push back, ml]]</f>
        <v>35.5</v>
      </c>
      <c r="AG408" s="94">
        <f>Table3.110[[#This Row],[GP 8h, ml]]-(AVERAGE(AE$293,AE$294,AE$385,AE$386,AE$477,AE$478))*$AG$8</f>
        <v>26.746240428868305</v>
      </c>
      <c r="AH408" s="94">
        <f>Table3.110[[#This Row],[GP 8-24h, ml]]-(AVERAGE(AF$293,AF$294,AF$385,AF$386,AF$477,AF$478))*$AG$8</f>
        <v>33.50873479879084</v>
      </c>
      <c r="AI408" s="94">
        <f>Table3.110[[#This Row],[Net gas 8-24h, ml]]+Table3.110[[#This Row],[Net gas 8h, ml]]</f>
        <v>60.254975227659145</v>
      </c>
      <c r="AJ408" s="94">
        <f>Table3.110[[#This Row],[Net gas 8h, ml]]*Table3.110[[#This Row],[CH4 8h %]]%</f>
        <v>2.9688326876043818</v>
      </c>
      <c r="AK408" s="94">
        <f>Table3.110[[#This Row],[Net gas 8-24h, ml]]*Table3.110[[#This Row],[CH4 24h, %]]%</f>
        <v>4.6242054022331365</v>
      </c>
      <c r="AL408" s="94">
        <f>Table3.110[[#This Row],[CH4 8-24h, ml]]+Table3.110[[#This Row],[CH4 8h, ml]]</f>
        <v>7.5930380898375187</v>
      </c>
      <c r="AM408" s="94">
        <f>(Table3.110[[#This Row],[Net gas 24h, ml]]/Table3.110[[#This Row],[DM Incubated, mg]])*1000</f>
        <v>130.53284857051722</v>
      </c>
      <c r="AN408" s="94">
        <f>'3.2 Digest'!X408</f>
        <v>31.998542839867049</v>
      </c>
      <c r="AO408" s="94">
        <f>Table3.110[[#This Row],[Digested feed, mg]]/Table3.110[[#This Row],[Net gas 24h, ml]]</f>
        <v>2.4513785756066304</v>
      </c>
      <c r="AP408" s="94">
        <f>Table3.110[[#This Row],[CH4 8h, ml]]/Table3.110[[#This Row],[Net gas 8h, ml]]%</f>
        <v>11.1</v>
      </c>
      <c r="AQ408" s="94">
        <f>Table3.110[[#This Row],[CH4 24h, ml]]/Table3.110[[#This Row],[Net gas 24h, ml]]%</f>
        <v>12.601512258778671</v>
      </c>
      <c r="AR408" s="94">
        <f>Table3.110[[#This Row],[CH4 24h, ml]]/Table3.110[[#This Row],[DM Incubated, mg]]*1000</f>
        <v>16.449112914346728</v>
      </c>
      <c r="AS408" s="94">
        <f>Table3.110[[#This Row],[CH4 24h, ml]]/Table3.110[[#This Row],[Digested feed, mg]]*1000</f>
        <v>51.405818685758227</v>
      </c>
      <c r="AT408" s="94">
        <f>Table3.110[[#This Row],[CH4 24h, ml]]/'3.2 Digest'!AA408</f>
        <v>-0.24095821781817925</v>
      </c>
      <c r="AU408" s="94">
        <f>((Table3.110[[#This Row],[CH4 24h, ml]]/28.9)*16.04)/Table3.110[[#This Row],[DM Incubated, mg]]*1000</f>
        <v>9.1295422541910565</v>
      </c>
      <c r="AV408" s="94">
        <f>((Table3.110[[#This Row],[CH4 24h, ml]]/28.9)*16.04)/Table3.110[[#This Row],[Digested feed, mg]]*1000</f>
        <v>28.531118744621523</v>
      </c>
    </row>
    <row r="409" spans="2:48" s="89" customFormat="1" x14ac:dyDescent="0.35">
      <c r="B409" s="90">
        <f t="shared" si="6"/>
        <v>399</v>
      </c>
      <c r="C409" s="140">
        <v>46048</v>
      </c>
      <c r="D409" s="6" t="s">
        <v>16</v>
      </c>
      <c r="E409" s="6" t="s">
        <v>248</v>
      </c>
      <c r="F409" s="133" t="s">
        <v>226</v>
      </c>
      <c r="G409" s="133" t="s">
        <v>227</v>
      </c>
      <c r="H409" s="133" t="s">
        <v>228</v>
      </c>
      <c r="I409" s="125" t="s">
        <v>22</v>
      </c>
      <c r="J409" s="127" t="s">
        <v>23</v>
      </c>
      <c r="K409" s="125" t="s">
        <v>215</v>
      </c>
      <c r="L409" s="6" t="s">
        <v>247</v>
      </c>
      <c r="M409" s="93">
        <v>28</v>
      </c>
      <c r="N409" s="93">
        <v>60</v>
      </c>
      <c r="O409" s="6">
        <v>1</v>
      </c>
      <c r="P409" s="129">
        <v>2</v>
      </c>
      <c r="Q409" s="6">
        <v>57</v>
      </c>
      <c r="R409" s="98">
        <v>0.50019999999999998</v>
      </c>
      <c r="S409" s="94">
        <f>((Table3.110[[#This Row],[Sample weight, g]]*'2.1. DM'!Q151)/100)*1000</f>
        <v>461.70005843724323</v>
      </c>
      <c r="T409" s="94">
        <f>'3.2 Digest'!W409</f>
        <v>188.50005843724324</v>
      </c>
      <c r="U409" s="117">
        <v>0.38680555555555557</v>
      </c>
      <c r="V409" s="155">
        <v>41</v>
      </c>
      <c r="W409" s="117">
        <v>0.72222222222222221</v>
      </c>
      <c r="X409" s="96">
        <v>70.5</v>
      </c>
      <c r="Y409" s="96">
        <v>11</v>
      </c>
      <c r="Z409" s="155">
        <v>40.5</v>
      </c>
      <c r="AA409" s="117">
        <v>0.3888888888888889</v>
      </c>
      <c r="AB409" s="155">
        <v>77.5</v>
      </c>
      <c r="AC409" s="155">
        <v>13.6</v>
      </c>
      <c r="AD409" s="96"/>
      <c r="AE409" s="94">
        <f>Table3.110[[#This Row],[Gas 8h, ml]]-Table3.110[[#This Row],[Gas 0h, ml]]</f>
        <v>29.5</v>
      </c>
      <c r="AF409" s="94">
        <f>Table3.110[[#This Row],[Gas 24h, ml]]-Table3.110[[#This Row],[V8 Push back, ml]]</f>
        <v>37</v>
      </c>
      <c r="AG409" s="94">
        <f>Table3.110[[#This Row],[GP 8h, ml]]-(AVERAGE(AE$293,AE$294,AE$385,AE$386,AE$477,AE$478))*$AG$8</f>
        <v>28.246240428868305</v>
      </c>
      <c r="AH409" s="94">
        <f>Table3.110[[#This Row],[GP 8-24h, ml]]-(AVERAGE(AF$293,AF$294,AF$385,AF$386,AF$477,AF$478))*$AG$8</f>
        <v>35.00873479879084</v>
      </c>
      <c r="AI409" s="94">
        <f>Table3.110[[#This Row],[Net gas 8-24h, ml]]+Table3.110[[#This Row],[Net gas 8h, ml]]</f>
        <v>63.254975227659145</v>
      </c>
      <c r="AJ409" s="94">
        <f>Table3.110[[#This Row],[Net gas 8h, ml]]*Table3.110[[#This Row],[CH4 8h %]]%</f>
        <v>3.1070864471755137</v>
      </c>
      <c r="AK409" s="94">
        <f>Table3.110[[#This Row],[Net gas 8-24h, ml]]*Table3.110[[#This Row],[CH4 24h, %]]%</f>
        <v>4.7611879326355542</v>
      </c>
      <c r="AL409" s="94">
        <f>Table3.110[[#This Row],[CH4 8-24h, ml]]+Table3.110[[#This Row],[CH4 8h, ml]]</f>
        <v>7.8682743798110675</v>
      </c>
      <c r="AM409" s="94">
        <f>(Table3.110[[#This Row],[Net gas 24h, ml]]/Table3.110[[#This Row],[DM Incubated, mg]])*1000</f>
        <v>137.00447741281172</v>
      </c>
      <c r="AN409" s="94">
        <f>'3.2 Digest'!X409</f>
        <v>40.827384574148844</v>
      </c>
      <c r="AO409" s="94">
        <f>Table3.110[[#This Row],[Digested feed, mg]]/Table3.110[[#This Row],[Net gas 24h, ml]]</f>
        <v>2.9800036717873679</v>
      </c>
      <c r="AP409" s="94">
        <f>Table3.110[[#This Row],[CH4 8h, ml]]/Table3.110[[#This Row],[Net gas 8h, ml]]%</f>
        <v>11.000000000000002</v>
      </c>
      <c r="AQ409" s="94">
        <f>Table3.110[[#This Row],[CH4 24h, ml]]/Table3.110[[#This Row],[Net gas 24h, ml]]%</f>
        <v>12.438981046933604</v>
      </c>
      <c r="AR409" s="94">
        <f>Table3.110[[#This Row],[CH4 24h, ml]]/Table3.110[[#This Row],[DM Incubated, mg]]*1000</f>
        <v>17.04196097883008</v>
      </c>
      <c r="AS409" s="94">
        <f>Table3.110[[#This Row],[CH4 24h, ml]]/Table3.110[[#This Row],[Digested feed, mg]]*1000</f>
        <v>41.741495705852145</v>
      </c>
      <c r="AT409" s="94">
        <f>Table3.110[[#This Row],[CH4 24h, ml]]/'3.2 Digest'!AA409</f>
        <v>-0.54499808664613392</v>
      </c>
      <c r="AU409" s="94">
        <f>((Table3.110[[#This Row],[CH4 24h, ml]]/28.9)*16.04)/Table3.110[[#This Row],[DM Incubated, mg]]*1000</f>
        <v>9.458583186866246</v>
      </c>
      <c r="AV409" s="94">
        <f>((Table3.110[[#This Row],[CH4 24h, ml]]/28.9)*16.04)/Table3.110[[#This Row],[Digested feed, mg]]*1000</f>
        <v>23.167252287953925</v>
      </c>
    </row>
    <row r="410" spans="2:48" s="89" customFormat="1" x14ac:dyDescent="0.35">
      <c r="B410" s="90">
        <f t="shared" si="6"/>
        <v>400</v>
      </c>
      <c r="C410" s="140">
        <v>46048</v>
      </c>
      <c r="D410" s="6" t="s">
        <v>16</v>
      </c>
      <c r="E410" s="6" t="s">
        <v>248</v>
      </c>
      <c r="F410" s="133" t="s">
        <v>226</v>
      </c>
      <c r="G410" s="133" t="s">
        <v>227</v>
      </c>
      <c r="H410" s="133" t="s">
        <v>228</v>
      </c>
      <c r="I410" s="125" t="s">
        <v>22</v>
      </c>
      <c r="J410" s="127" t="s">
        <v>23</v>
      </c>
      <c r="K410" s="125" t="s">
        <v>215</v>
      </c>
      <c r="L410" s="6" t="s">
        <v>247</v>
      </c>
      <c r="M410" s="93">
        <v>28</v>
      </c>
      <c r="N410" s="93">
        <v>60</v>
      </c>
      <c r="O410" s="6">
        <v>1</v>
      </c>
      <c r="P410" s="6">
        <v>3</v>
      </c>
      <c r="Q410" s="6">
        <v>58</v>
      </c>
      <c r="R410" s="98">
        <v>0.5</v>
      </c>
      <c r="S410" s="94">
        <f>((Table3.110[[#This Row],[Sample weight, g]]*'2.1. DM'!Q151)/100)*1000</f>
        <v>461.51545225634067</v>
      </c>
      <c r="T410" s="94">
        <f>'3.2 Digest'!W410</f>
        <v>136.21545225634065</v>
      </c>
      <c r="U410" s="153">
        <v>0.38750000000000001</v>
      </c>
      <c r="V410" s="154">
        <v>41</v>
      </c>
      <c r="W410" s="153">
        <v>0.72291666666666665</v>
      </c>
      <c r="X410" s="91">
        <v>70</v>
      </c>
      <c r="Y410" s="91">
        <v>11.7</v>
      </c>
      <c r="Z410" s="154">
        <v>40.5</v>
      </c>
      <c r="AA410" s="153">
        <v>0.38958333333333334</v>
      </c>
      <c r="AB410" s="154">
        <v>77.5</v>
      </c>
      <c r="AC410" s="154">
        <v>13.8</v>
      </c>
      <c r="AD410" s="91"/>
      <c r="AE410" s="94">
        <f>Table3.110[[#This Row],[Gas 8h, ml]]-Table3.110[[#This Row],[Gas 0h, ml]]</f>
        <v>29</v>
      </c>
      <c r="AF410" s="94">
        <f>Table3.110[[#This Row],[Gas 24h, ml]]-Table3.110[[#This Row],[V8 Push back, ml]]</f>
        <v>37</v>
      </c>
      <c r="AG410" s="94">
        <f>Table3.110[[#This Row],[GP 8h, ml]]-(AVERAGE(AE$293,AE$294,AE$385,AE$386,AE$477,AE$478))*$AG$8</f>
        <v>27.746240428868305</v>
      </c>
      <c r="AH410" s="94">
        <f>Table3.110[[#This Row],[GP 8-24h, ml]]-(AVERAGE(AF$293,AF$294,AF$385,AF$386,AF$477,AF$478))*$AG$8</f>
        <v>35.00873479879084</v>
      </c>
      <c r="AI410" s="94">
        <f>Table3.110[[#This Row],[Net gas 8-24h, ml]]+Table3.110[[#This Row],[Net gas 8h, ml]]</f>
        <v>62.754975227659145</v>
      </c>
      <c r="AJ410" s="94">
        <f>Table3.110[[#This Row],[Net gas 8h, ml]]*Table3.110[[#This Row],[CH4 8h %]]%</f>
        <v>3.2463101301775916</v>
      </c>
      <c r="AK410" s="94">
        <f>Table3.110[[#This Row],[Net gas 8-24h, ml]]*Table3.110[[#This Row],[CH4 24h, %]]%</f>
        <v>4.8312054022331363</v>
      </c>
      <c r="AL410" s="94">
        <f>Table3.110[[#This Row],[CH4 8-24h, ml]]+Table3.110[[#This Row],[CH4 8h, ml]]</f>
        <v>8.0775155324107288</v>
      </c>
      <c r="AM410" s="94">
        <f>(Table3.110[[#This Row],[Net gas 24h, ml]]/Table3.110[[#This Row],[DM Incubated, mg]])*1000</f>
        <v>135.9758918598526</v>
      </c>
      <c r="AN410" s="94">
        <f>'3.2 Digest'!X410</f>
        <v>29.514819404287717</v>
      </c>
      <c r="AO410" s="94">
        <f>Table3.110[[#This Row],[Digested feed, mg]]/Table3.110[[#This Row],[Net gas 24h, ml]]</f>
        <v>2.1705920807423715</v>
      </c>
      <c r="AP410" s="94">
        <f>Table3.110[[#This Row],[CH4 8h, ml]]/Table3.110[[#This Row],[Net gas 8h, ml]]%</f>
        <v>11.7</v>
      </c>
      <c r="AQ410" s="94">
        <f>Table3.110[[#This Row],[CH4 24h, ml]]/Table3.110[[#This Row],[Net gas 24h, ml]]%</f>
        <v>12.871514175740726</v>
      </c>
      <c r="AR410" s="94">
        <f>Table3.110[[#This Row],[CH4 24h, ml]]/Table3.110[[#This Row],[DM Incubated, mg]]*1000</f>
        <v>17.502156196330812</v>
      </c>
      <c r="AS410" s="94">
        <f>Table3.110[[#This Row],[CH4 24h, ml]]/Table3.110[[#This Row],[Digested feed, mg]]*1000</f>
        <v>59.299553748203557</v>
      </c>
      <c r="AT410" s="94">
        <f>Table3.110[[#This Row],[CH4 24h, ml]]/'3.2 Digest'!AA410</f>
        <v>-0.22242759672901</v>
      </c>
      <c r="AU410" s="94">
        <f>((Table3.110[[#This Row],[CH4 24h, ml]]/28.9)*16.04)/Table3.110[[#This Row],[DM Incubated, mg]]*1000</f>
        <v>9.713999494434125</v>
      </c>
      <c r="AV410" s="94">
        <f>((Table3.110[[#This Row],[CH4 24h, ml]]/28.9)*16.04)/Table3.110[[#This Row],[Digested feed, mg]]*1000</f>
        <v>32.912278274089452</v>
      </c>
    </row>
    <row r="411" spans="2:48" s="89" customFormat="1" x14ac:dyDescent="0.35">
      <c r="B411" s="90">
        <f t="shared" si="6"/>
        <v>401</v>
      </c>
      <c r="C411" s="140">
        <v>46048</v>
      </c>
      <c r="D411" s="6" t="s">
        <v>16</v>
      </c>
      <c r="E411" s="6" t="s">
        <v>250</v>
      </c>
      <c r="F411" s="133" t="s">
        <v>219</v>
      </c>
      <c r="G411" s="133" t="s">
        <v>220</v>
      </c>
      <c r="H411" s="133" t="s">
        <v>221</v>
      </c>
      <c r="I411" s="125" t="s">
        <v>22</v>
      </c>
      <c r="J411" s="127" t="s">
        <v>23</v>
      </c>
      <c r="K411" s="125" t="s">
        <v>215</v>
      </c>
      <c r="L411" s="6" t="s">
        <v>249</v>
      </c>
      <c r="M411" s="93">
        <v>28</v>
      </c>
      <c r="N411" s="93">
        <v>60</v>
      </c>
      <c r="O411" s="6">
        <v>1</v>
      </c>
      <c r="P411" s="129">
        <v>1</v>
      </c>
      <c r="Q411" s="6">
        <v>59</v>
      </c>
      <c r="R411" s="98">
        <v>0.50029999999999997</v>
      </c>
      <c r="S411" s="94">
        <f>((Table3.110[[#This Row],[Sample weight, g]]*'2.1. DM'!Q153)/100)*1000</f>
        <v>454.97732179964021</v>
      </c>
      <c r="T411" s="94">
        <f>'3.2 Digest'!W411</f>
        <v>224.47732179964029</v>
      </c>
      <c r="U411" s="117">
        <v>0.38750000000000001</v>
      </c>
      <c r="V411" s="155">
        <v>40</v>
      </c>
      <c r="W411" s="117">
        <v>0.72361111111111109</v>
      </c>
      <c r="X411" s="96">
        <v>75.5</v>
      </c>
      <c r="Y411" s="96">
        <v>13.3</v>
      </c>
      <c r="Z411" s="155">
        <v>39.5</v>
      </c>
      <c r="AA411" s="117">
        <v>0.38958333333333334</v>
      </c>
      <c r="AB411" s="155">
        <v>88</v>
      </c>
      <c r="AC411" s="155">
        <v>15.2</v>
      </c>
      <c r="AD411" s="96"/>
      <c r="AE411" s="94">
        <f>Table3.110[[#This Row],[Gas 8h, ml]]-Table3.110[[#This Row],[Gas 0h, ml]]</f>
        <v>35.5</v>
      </c>
      <c r="AF411" s="94">
        <f>Table3.110[[#This Row],[Gas 24h, ml]]-Table3.110[[#This Row],[V8 Push back, ml]]</f>
        <v>48.5</v>
      </c>
      <c r="AG411" s="94">
        <f>Table3.110[[#This Row],[GP 8h, ml]]-(AVERAGE(AE$293,AE$294,AE$385,AE$386,AE$477,AE$478))*$AG$8</f>
        <v>34.246240428868305</v>
      </c>
      <c r="AH411" s="94">
        <f>Table3.110[[#This Row],[GP 8-24h, ml]]-(AVERAGE(AF$293,AF$294,AF$385,AF$386,AF$477,AF$478))*$AG$8</f>
        <v>46.50873479879084</v>
      </c>
      <c r="AI411" s="94">
        <f>Table3.110[[#This Row],[Net gas 8-24h, ml]]+Table3.110[[#This Row],[Net gas 8h, ml]]</f>
        <v>80.754975227659145</v>
      </c>
      <c r="AJ411" s="94">
        <f>Table3.110[[#This Row],[Net gas 8h, ml]]*Table3.110[[#This Row],[CH4 8h %]]%</f>
        <v>4.554749977039485</v>
      </c>
      <c r="AK411" s="94">
        <f>Table3.110[[#This Row],[Net gas 8-24h, ml]]*Table3.110[[#This Row],[CH4 24h, %]]%</f>
        <v>7.0693276894162071</v>
      </c>
      <c r="AL411" s="94">
        <f>Table3.110[[#This Row],[CH4 8-24h, ml]]+Table3.110[[#This Row],[CH4 8h, ml]]</f>
        <v>11.624077666455692</v>
      </c>
      <c r="AM411" s="94">
        <f>(Table3.110[[#This Row],[Net gas 24h, ml]]/Table3.110[[#This Row],[DM Incubated, mg]])*1000</f>
        <v>177.49230864570757</v>
      </c>
      <c r="AN411" s="94">
        <f>'3.2 Digest'!X411</f>
        <v>49.338134241885157</v>
      </c>
      <c r="AO411" s="94">
        <f>Table3.110[[#This Row],[Digested feed, mg]]/Table3.110[[#This Row],[Net gas 24h, ml]]</f>
        <v>2.7797336469586984</v>
      </c>
      <c r="AP411" s="94">
        <f>Table3.110[[#This Row],[CH4 8h, ml]]/Table3.110[[#This Row],[Net gas 8h, ml]]%</f>
        <v>13.300000000000002</v>
      </c>
      <c r="AQ411" s="94">
        <f>Table3.110[[#This Row],[CH4 24h, ml]]/Table3.110[[#This Row],[Net gas 24h, ml]]%</f>
        <v>14.394255751655985</v>
      </c>
      <c r="AR411" s="94">
        <f>Table3.110[[#This Row],[CH4 24h, ml]]/Table3.110[[#This Row],[DM Incubated, mg]]*1000</f>
        <v>25.548696845981752</v>
      </c>
      <c r="AS411" s="94">
        <f>Table3.110[[#This Row],[CH4 24h, ml]]/Table3.110[[#This Row],[Digested feed, mg]]*1000</f>
        <v>51.78285972616375</v>
      </c>
      <c r="AT411" s="94">
        <f>Table3.110[[#This Row],[CH4 24h, ml]]/'3.2 Digest'!AA411</f>
        <v>-3.765433384187884</v>
      </c>
      <c r="AU411" s="94">
        <f>((Table3.110[[#This Row],[CH4 24h, ml]]/28.9)*16.04)/Table3.110[[#This Row],[DM Incubated, mg]]*1000</f>
        <v>14.179968768496444</v>
      </c>
      <c r="AV411" s="94">
        <f>((Table3.110[[#This Row],[CH4 24h, ml]]/28.9)*16.04)/Table3.110[[#This Row],[Digested feed, mg]]*1000</f>
        <v>28.74038304524797</v>
      </c>
    </row>
    <row r="412" spans="2:48" s="89" customFormat="1" x14ac:dyDescent="0.35">
      <c r="B412" s="90">
        <f t="shared" si="6"/>
        <v>402</v>
      </c>
      <c r="C412" s="140">
        <v>46048</v>
      </c>
      <c r="D412" s="6" t="s">
        <v>16</v>
      </c>
      <c r="E412" s="6" t="s">
        <v>250</v>
      </c>
      <c r="F412" s="133" t="s">
        <v>219</v>
      </c>
      <c r="G412" s="133" t="s">
        <v>220</v>
      </c>
      <c r="H412" s="133" t="s">
        <v>221</v>
      </c>
      <c r="I412" s="125" t="s">
        <v>22</v>
      </c>
      <c r="J412" s="127" t="s">
        <v>23</v>
      </c>
      <c r="K412" s="125" t="s">
        <v>215</v>
      </c>
      <c r="L412" s="6" t="s">
        <v>249</v>
      </c>
      <c r="M412" s="93">
        <v>28</v>
      </c>
      <c r="N412" s="93">
        <v>60</v>
      </c>
      <c r="O412" s="6">
        <v>1</v>
      </c>
      <c r="P412" s="129">
        <v>2</v>
      </c>
      <c r="Q412" s="6">
        <v>60</v>
      </c>
      <c r="R412" s="98">
        <v>0.50029999999999997</v>
      </c>
      <c r="S412" s="94">
        <f>((Table3.110[[#This Row],[Sample weight, g]]*'2.1. DM'!Q153)/100)*1000</f>
        <v>454.97732179964021</v>
      </c>
      <c r="T412" s="94">
        <f>'3.2 Digest'!W412</f>
        <v>235.97732179964024</v>
      </c>
      <c r="U412" s="156">
        <v>0.38819444444444445</v>
      </c>
      <c r="V412" s="154">
        <v>41</v>
      </c>
      <c r="W412" s="153">
        <v>0.72361111111111109</v>
      </c>
      <c r="X412" s="91">
        <v>76.5</v>
      </c>
      <c r="Y412" s="91">
        <v>13.7</v>
      </c>
      <c r="Z412" s="154">
        <v>40.5</v>
      </c>
      <c r="AA412" s="153">
        <v>0.39027777777777778</v>
      </c>
      <c r="AB412" s="154">
        <v>88</v>
      </c>
      <c r="AC412" s="154">
        <v>15.1</v>
      </c>
      <c r="AD412" s="91"/>
      <c r="AE412" s="94">
        <f>Table3.110[[#This Row],[Gas 8h, ml]]-Table3.110[[#This Row],[Gas 0h, ml]]</f>
        <v>35.5</v>
      </c>
      <c r="AF412" s="94">
        <f>Table3.110[[#This Row],[Gas 24h, ml]]-Table3.110[[#This Row],[V8 Push back, ml]]</f>
        <v>47.5</v>
      </c>
      <c r="AG412" s="94">
        <f>Table3.110[[#This Row],[GP 8h, ml]]-(AVERAGE(AE$293,AE$294,AE$385,AE$386,AE$477,AE$478))*$AG$8</f>
        <v>34.246240428868305</v>
      </c>
      <c r="AH412" s="94">
        <f>Table3.110[[#This Row],[GP 8-24h, ml]]-(AVERAGE(AF$293,AF$294,AF$385,AF$386,AF$477,AF$478))*$AG$8</f>
        <v>45.50873479879084</v>
      </c>
      <c r="AI412" s="94">
        <f>Table3.110[[#This Row],[Net gas 8-24h, ml]]+Table3.110[[#This Row],[Net gas 8h, ml]]</f>
        <v>79.754975227659145</v>
      </c>
      <c r="AJ412" s="94">
        <f>Table3.110[[#This Row],[Net gas 8h, ml]]*Table3.110[[#This Row],[CH4 8h %]]%</f>
        <v>4.6917349387549567</v>
      </c>
      <c r="AK412" s="94">
        <f>Table3.110[[#This Row],[Net gas 8-24h, ml]]*Table3.110[[#This Row],[CH4 24h, %]]%</f>
        <v>6.8718189546174164</v>
      </c>
      <c r="AL412" s="94">
        <f>Table3.110[[#This Row],[CH4 8-24h, ml]]+Table3.110[[#This Row],[CH4 8h, ml]]</f>
        <v>11.563553893372372</v>
      </c>
      <c r="AM412" s="94">
        <f>(Table3.110[[#This Row],[Net gas 24h, ml]]/Table3.110[[#This Row],[DM Incubated, mg]])*1000</f>
        <v>175.29439689915156</v>
      </c>
      <c r="AN412" s="94">
        <f>'3.2 Digest'!X412</f>
        <v>51.865732750424499</v>
      </c>
      <c r="AO412" s="94">
        <f>Table3.110[[#This Row],[Digested feed, mg]]/Table3.110[[#This Row],[Net gas 24h, ml]]</f>
        <v>2.9587786984579609</v>
      </c>
      <c r="AP412" s="94">
        <f>Table3.110[[#This Row],[CH4 8h, ml]]/Table3.110[[#This Row],[Net gas 8h, ml]]%</f>
        <v>13.699999999999998</v>
      </c>
      <c r="AQ412" s="94">
        <f>Table3.110[[#This Row],[CH4 24h, ml]]/Table3.110[[#This Row],[Net gas 24h, ml]]%</f>
        <v>14.498849583194549</v>
      </c>
      <c r="AR412" s="94">
        <f>Table3.110[[#This Row],[CH4 24h, ml]]/Table3.110[[#This Row],[DM Incubated, mg]]*1000</f>
        <v>25.415670934176035</v>
      </c>
      <c r="AS412" s="94">
        <f>Table3.110[[#This Row],[CH4 24h, ml]]/Table3.110[[#This Row],[Digested feed, mg]]*1000</f>
        <v>49.002818597926819</v>
      </c>
      <c r="AT412" s="94">
        <f>Table3.110[[#This Row],[CH4 24h, ml]]/'3.2 Digest'!AA412</f>
        <v>5.6239613761390261</v>
      </c>
      <c r="AU412" s="94">
        <f>((Table3.110[[#This Row],[CH4 24h, ml]]/28.9)*16.04)/Table3.110[[#This Row],[DM Incubated, mg]]*1000</f>
        <v>14.10613708595791</v>
      </c>
      <c r="AV412" s="94">
        <f>((Table3.110[[#This Row],[CH4 24h, ml]]/28.9)*16.04)/Table3.110[[#This Row],[Digested feed, mg]]*1000</f>
        <v>27.197412121479104</v>
      </c>
    </row>
    <row r="413" spans="2:48" s="89" customFormat="1" x14ac:dyDescent="0.35">
      <c r="B413" s="90">
        <f t="shared" si="6"/>
        <v>403</v>
      </c>
      <c r="C413" s="140">
        <v>46048</v>
      </c>
      <c r="D413" s="6" t="s">
        <v>16</v>
      </c>
      <c r="E413" s="6" t="s">
        <v>250</v>
      </c>
      <c r="F413" s="133" t="s">
        <v>219</v>
      </c>
      <c r="G413" s="133" t="s">
        <v>220</v>
      </c>
      <c r="H413" s="133" t="s">
        <v>221</v>
      </c>
      <c r="I413" s="125" t="s">
        <v>22</v>
      </c>
      <c r="J413" s="127" t="s">
        <v>23</v>
      </c>
      <c r="K413" s="125" t="s">
        <v>215</v>
      </c>
      <c r="L413" s="6" t="s">
        <v>249</v>
      </c>
      <c r="M413" s="93">
        <v>28</v>
      </c>
      <c r="N413" s="93">
        <v>60</v>
      </c>
      <c r="O413" s="6">
        <v>1</v>
      </c>
      <c r="P413" s="6">
        <v>3</v>
      </c>
      <c r="Q413" s="6">
        <v>61</v>
      </c>
      <c r="R413" s="98">
        <v>0.50029999999999997</v>
      </c>
      <c r="S413" s="94">
        <f>((Table3.110[[#This Row],[Sample weight, g]]*'2.1. DM'!Q153)/100)*1000</f>
        <v>454.97732179964021</v>
      </c>
      <c r="T413" s="94">
        <f>'3.2 Digest'!W413</f>
        <v>172.57732179964023</v>
      </c>
      <c r="U413" s="117">
        <v>0.38819444444444445</v>
      </c>
      <c r="V413" s="155">
        <v>41</v>
      </c>
      <c r="W413" s="117">
        <v>0.72430555555555554</v>
      </c>
      <c r="X413" s="96">
        <v>73.5</v>
      </c>
      <c r="Y413" s="96">
        <v>13.6</v>
      </c>
      <c r="Z413" s="155">
        <v>40</v>
      </c>
      <c r="AA413" s="117">
        <v>0.39027777777777778</v>
      </c>
      <c r="AB413" s="155">
        <v>88.5</v>
      </c>
      <c r="AC413" s="155">
        <v>15.8</v>
      </c>
      <c r="AD413" s="96"/>
      <c r="AE413" s="94">
        <f>Table3.110[[#This Row],[Gas 8h, ml]]-Table3.110[[#This Row],[Gas 0h, ml]]</f>
        <v>32.5</v>
      </c>
      <c r="AF413" s="94">
        <f>Table3.110[[#This Row],[Gas 24h, ml]]-Table3.110[[#This Row],[V8 Push back, ml]]</f>
        <v>48.5</v>
      </c>
      <c r="AG413" s="94">
        <f>Table3.110[[#This Row],[GP 8h, ml]]-(AVERAGE(AE$293,AE$294,AE$385,AE$386,AE$477,AE$478))*$AG$8</f>
        <v>31.246240428868305</v>
      </c>
      <c r="AH413" s="94">
        <f>Table3.110[[#This Row],[GP 8-24h, ml]]-(AVERAGE(AF$293,AF$294,AF$385,AF$386,AF$477,AF$478))*$AG$8</f>
        <v>46.50873479879084</v>
      </c>
      <c r="AI413" s="94">
        <f>Table3.110[[#This Row],[Net gas 8-24h, ml]]+Table3.110[[#This Row],[Net gas 8h, ml]]</f>
        <v>77.754975227659145</v>
      </c>
      <c r="AJ413" s="94">
        <f>Table3.110[[#This Row],[Net gas 8h, ml]]*Table3.110[[#This Row],[CH4 8h %]]%</f>
        <v>4.2494886983260898</v>
      </c>
      <c r="AK413" s="94">
        <f>Table3.110[[#This Row],[Net gas 8-24h, ml]]*Table3.110[[#This Row],[CH4 24h, %]]%</f>
        <v>7.3483800982089527</v>
      </c>
      <c r="AL413" s="94">
        <f>Table3.110[[#This Row],[CH4 8-24h, ml]]+Table3.110[[#This Row],[CH4 8h, ml]]</f>
        <v>11.597868796535042</v>
      </c>
      <c r="AM413" s="94">
        <f>(Table3.110[[#This Row],[Net gas 24h, ml]]/Table3.110[[#This Row],[DM Incubated, mg]])*1000</f>
        <v>170.89857340603967</v>
      </c>
      <c r="AN413" s="94">
        <f>'3.2 Digest'!X413</f>
        <v>37.930972277259713</v>
      </c>
      <c r="AO413" s="94">
        <f>Table3.110[[#This Row],[Digested feed, mg]]/Table3.110[[#This Row],[Net gas 24h, ml]]</f>
        <v>2.2195019842055164</v>
      </c>
      <c r="AP413" s="94">
        <f>Table3.110[[#This Row],[CH4 8h, ml]]/Table3.110[[#This Row],[Net gas 8h, ml]]%</f>
        <v>13.600000000000001</v>
      </c>
      <c r="AQ413" s="94">
        <f>Table3.110[[#This Row],[CH4 24h, ml]]/Table3.110[[#This Row],[Net gas 24h, ml]]%</f>
        <v>14.915918579586181</v>
      </c>
      <c r="AR413" s="94">
        <f>Table3.110[[#This Row],[CH4 24h, ml]]/Table3.110[[#This Row],[DM Incubated, mg]]*1000</f>
        <v>25.491092062919197</v>
      </c>
      <c r="AS413" s="94">
        <f>Table3.110[[#This Row],[CH4 24h, ml]]/Table3.110[[#This Row],[Digested feed, mg]]*1000</f>
        <v>67.203898377794971</v>
      </c>
      <c r="AT413" s="94">
        <f>Table3.110[[#This Row],[CH4 24h, ml]]/'3.2 Digest'!AA413</f>
        <v>-0.44101032771943566</v>
      </c>
      <c r="AU413" s="94">
        <f>((Table3.110[[#This Row],[CH4 24h, ml]]/28.9)*16.04)/Table3.110[[#This Row],[DM Incubated, mg]]*1000</f>
        <v>14.147997117274183</v>
      </c>
      <c r="AV413" s="94">
        <f>((Table3.110[[#This Row],[CH4 24h, ml]]/28.9)*16.04)/Table3.110[[#This Row],[Digested feed, mg]]*1000</f>
        <v>37.299326296879975</v>
      </c>
    </row>
    <row r="414" spans="2:48" s="89" customFormat="1" x14ac:dyDescent="0.35">
      <c r="B414" s="90">
        <f t="shared" si="6"/>
        <v>404</v>
      </c>
      <c r="C414" s="140">
        <v>46048</v>
      </c>
      <c r="D414" s="6" t="s">
        <v>16</v>
      </c>
      <c r="E414" s="6" t="s">
        <v>252</v>
      </c>
      <c r="F414" s="133" t="s">
        <v>219</v>
      </c>
      <c r="G414" s="133" t="s">
        <v>253</v>
      </c>
      <c r="H414" s="133" t="s">
        <v>254</v>
      </c>
      <c r="I414" s="125" t="s">
        <v>22</v>
      </c>
      <c r="J414" s="127" t="s">
        <v>23</v>
      </c>
      <c r="K414" s="125" t="s">
        <v>215</v>
      </c>
      <c r="L414" s="6" t="s">
        <v>251</v>
      </c>
      <c r="M414" s="93">
        <v>28</v>
      </c>
      <c r="N414" s="93">
        <v>60</v>
      </c>
      <c r="O414" s="6">
        <v>1</v>
      </c>
      <c r="P414" s="129">
        <v>1</v>
      </c>
      <c r="Q414" s="6">
        <v>62</v>
      </c>
      <c r="R414" s="98">
        <v>0.50029999999999997</v>
      </c>
      <c r="S414" s="94">
        <f>((Table3.110[[#This Row],[Sample weight, g]]*'2.1. DM'!Q155)/100)*1000</f>
        <v>460.56109337514715</v>
      </c>
      <c r="T414" s="94">
        <f>'3.2 Digest'!W414</f>
        <v>233.56109337514718</v>
      </c>
      <c r="U414" s="153">
        <v>0.38819444444444445</v>
      </c>
      <c r="V414" s="154">
        <v>40.5</v>
      </c>
      <c r="W414" s="153">
        <v>0.72499999999999998</v>
      </c>
      <c r="X414" s="91">
        <v>80.5</v>
      </c>
      <c r="Y414" s="91">
        <v>13.6</v>
      </c>
      <c r="Z414" s="154">
        <v>40</v>
      </c>
      <c r="AA414" s="153">
        <v>0.39097222222222222</v>
      </c>
      <c r="AB414" s="154">
        <v>89</v>
      </c>
      <c r="AC414" s="154">
        <v>15.6</v>
      </c>
      <c r="AD414" s="91"/>
      <c r="AE414" s="94">
        <f>Table3.110[[#This Row],[Gas 8h, ml]]-Table3.110[[#This Row],[Gas 0h, ml]]</f>
        <v>40</v>
      </c>
      <c r="AF414" s="94">
        <f>Table3.110[[#This Row],[Gas 24h, ml]]-Table3.110[[#This Row],[V8 Push back, ml]]</f>
        <v>49</v>
      </c>
      <c r="AG414" s="94">
        <f>Table3.110[[#This Row],[GP 8h, ml]]-(AVERAGE(AE$293,AE$294,AE$385,AE$386,AE$477,AE$478))*$AG$8</f>
        <v>38.746240428868305</v>
      </c>
      <c r="AH414" s="94">
        <f>Table3.110[[#This Row],[GP 8-24h, ml]]-(AVERAGE(AF$293,AF$294,AF$385,AF$386,AF$477,AF$478))*$AG$8</f>
        <v>47.00873479879084</v>
      </c>
      <c r="AI414" s="94">
        <f>Table3.110[[#This Row],[Net gas 8-24h, ml]]+Table3.110[[#This Row],[Net gas 8h, ml]]</f>
        <v>85.754975227659145</v>
      </c>
      <c r="AJ414" s="94">
        <f>Table3.110[[#This Row],[Net gas 8h, ml]]*Table3.110[[#This Row],[CH4 8h %]]%</f>
        <v>5.2694886983260902</v>
      </c>
      <c r="AK414" s="94">
        <f>Table3.110[[#This Row],[Net gas 8-24h, ml]]*Table3.110[[#This Row],[CH4 24h, %]]%</f>
        <v>7.3333626286113711</v>
      </c>
      <c r="AL414" s="94">
        <f>Table3.110[[#This Row],[CH4 8-24h, ml]]+Table3.110[[#This Row],[CH4 8h, ml]]</f>
        <v>12.602851326937461</v>
      </c>
      <c r="AM414" s="94">
        <f>(Table3.110[[#This Row],[Net gas 24h, ml]]/Table3.110[[#This Row],[DM Incubated, mg]])*1000</f>
        <v>186.19674232405899</v>
      </c>
      <c r="AN414" s="94">
        <f>'3.2 Digest'!X414</f>
        <v>50.712293490431989</v>
      </c>
      <c r="AO414" s="94">
        <f>Table3.110[[#This Row],[Digested feed, mg]]/Table3.110[[#This Row],[Net gas 24h, ml]]</f>
        <v>2.7235865062650628</v>
      </c>
      <c r="AP414" s="94">
        <f>Table3.110[[#This Row],[CH4 8h, ml]]/Table3.110[[#This Row],[Net gas 8h, ml]]%</f>
        <v>13.600000000000001</v>
      </c>
      <c r="AQ414" s="94">
        <f>Table3.110[[#This Row],[CH4 24h, ml]]/Table3.110[[#This Row],[Net gas 24h, ml]]%</f>
        <v>14.696350029231397</v>
      </c>
      <c r="AR414" s="94">
        <f>Table3.110[[#This Row],[CH4 24h, ml]]/Table3.110[[#This Row],[DM Incubated, mg]]*1000</f>
        <v>27.36412499496975</v>
      </c>
      <c r="AS414" s="94">
        <f>Table3.110[[#This Row],[CH4 24h, ml]]/Table3.110[[#This Row],[Digested feed, mg]]*1000</f>
        <v>53.959549276020425</v>
      </c>
      <c r="AT414" s="94">
        <f>Table3.110[[#This Row],[CH4 24h, ml]]/'3.2 Digest'!AA414</f>
        <v>-6.2694140118444448</v>
      </c>
      <c r="AU414" s="94">
        <f>((Table3.110[[#This Row],[CH4 24h, ml]]/28.9)*16.04)/Table3.110[[#This Row],[DM Incubated, mg]]*1000</f>
        <v>15.187562799976289</v>
      </c>
      <c r="AV414" s="94">
        <f>((Table3.110[[#This Row],[CH4 24h, ml]]/28.9)*16.04)/Table3.110[[#This Row],[Digested feed, mg]]*1000</f>
        <v>29.948483404407181</v>
      </c>
    </row>
    <row r="415" spans="2:48" s="89" customFormat="1" x14ac:dyDescent="0.35">
      <c r="B415" s="90">
        <f t="shared" si="6"/>
        <v>405</v>
      </c>
      <c r="C415" s="140">
        <v>46048</v>
      </c>
      <c r="D415" s="6" t="s">
        <v>16</v>
      </c>
      <c r="E415" s="6" t="s">
        <v>252</v>
      </c>
      <c r="F415" s="133" t="s">
        <v>219</v>
      </c>
      <c r="G415" s="133" t="s">
        <v>253</v>
      </c>
      <c r="H415" s="133" t="s">
        <v>254</v>
      </c>
      <c r="I415" s="125" t="s">
        <v>22</v>
      </c>
      <c r="J415" s="127" t="s">
        <v>23</v>
      </c>
      <c r="K415" s="125" t="s">
        <v>215</v>
      </c>
      <c r="L415" s="6" t="s">
        <v>251</v>
      </c>
      <c r="M415" s="93">
        <v>28</v>
      </c>
      <c r="N415" s="93">
        <v>60</v>
      </c>
      <c r="O415" s="6">
        <v>1</v>
      </c>
      <c r="P415" s="129">
        <v>2</v>
      </c>
      <c r="Q415" s="6">
        <v>63</v>
      </c>
      <c r="R415" s="98">
        <v>0.5</v>
      </c>
      <c r="S415" s="94">
        <f>((Table3.110[[#This Row],[Sample weight, g]]*'2.1. DM'!Q155)/100)*1000</f>
        <v>460.2849224216942</v>
      </c>
      <c r="T415" s="94">
        <f>'3.2 Digest'!W415</f>
        <v>162.38492242169417</v>
      </c>
      <c r="U415" s="117">
        <v>0.3888888888888889</v>
      </c>
      <c r="V415" s="155">
        <v>40.5</v>
      </c>
      <c r="W415" s="117">
        <v>0.72569444444444442</v>
      </c>
      <c r="X415" s="96">
        <v>80</v>
      </c>
      <c r="Y415" s="96">
        <v>13.7</v>
      </c>
      <c r="Z415" s="155">
        <v>40</v>
      </c>
      <c r="AA415" s="117">
        <v>0.39097222222222222</v>
      </c>
      <c r="AB415" s="155">
        <v>87</v>
      </c>
      <c r="AC415" s="155">
        <v>15.7</v>
      </c>
      <c r="AD415" s="96"/>
      <c r="AE415" s="94">
        <f>Table3.110[[#This Row],[Gas 8h, ml]]-Table3.110[[#This Row],[Gas 0h, ml]]</f>
        <v>39.5</v>
      </c>
      <c r="AF415" s="94">
        <f>Table3.110[[#This Row],[Gas 24h, ml]]-Table3.110[[#This Row],[V8 Push back, ml]]</f>
        <v>47</v>
      </c>
      <c r="AG415" s="94">
        <f>Table3.110[[#This Row],[GP 8h, ml]]-(AVERAGE(AE$293,AE$294,AE$385,AE$386,AE$477,AE$478))*$AG$8</f>
        <v>38.246240428868305</v>
      </c>
      <c r="AH415" s="94">
        <f>Table3.110[[#This Row],[GP 8-24h, ml]]-(AVERAGE(AF$293,AF$294,AF$385,AF$386,AF$477,AF$478))*$AG$8</f>
        <v>45.00873479879084</v>
      </c>
      <c r="AI415" s="94">
        <f>Table3.110[[#This Row],[Net gas 8-24h, ml]]+Table3.110[[#This Row],[Net gas 8h, ml]]</f>
        <v>83.254975227659145</v>
      </c>
      <c r="AJ415" s="94">
        <f>Table3.110[[#This Row],[Net gas 8h, ml]]*Table3.110[[#This Row],[CH4 8h %]]%</f>
        <v>5.2397349387549568</v>
      </c>
      <c r="AK415" s="94">
        <f>Table3.110[[#This Row],[Net gas 8-24h, ml]]*Table3.110[[#This Row],[CH4 24h, %]]%</f>
        <v>7.0663713634101617</v>
      </c>
      <c r="AL415" s="94">
        <f>Table3.110[[#This Row],[CH4 8-24h, ml]]+Table3.110[[#This Row],[CH4 8h, ml]]</f>
        <v>12.306106302165119</v>
      </c>
      <c r="AM415" s="94">
        <f>(Table3.110[[#This Row],[Net gas 24h, ml]]/Table3.110[[#This Row],[DM Incubated, mg]])*1000</f>
        <v>180.87704196268317</v>
      </c>
      <c r="AN415" s="94">
        <f>'3.2 Digest'!X415</f>
        <v>35.279218264925859</v>
      </c>
      <c r="AO415" s="94">
        <f>Table3.110[[#This Row],[Digested feed, mg]]/Table3.110[[#This Row],[Net gas 24h, ml]]</f>
        <v>1.9504530747580633</v>
      </c>
      <c r="AP415" s="94">
        <f>Table3.110[[#This Row],[CH4 8h, ml]]/Table3.110[[#This Row],[Net gas 8h, ml]]%</f>
        <v>13.699999999999998</v>
      </c>
      <c r="AQ415" s="94">
        <f>Table3.110[[#This Row],[CH4 24h, ml]]/Table3.110[[#This Row],[Net gas 24h, ml]]%</f>
        <v>14.781226309315818</v>
      </c>
      <c r="AR415" s="94">
        <f>Table3.110[[#This Row],[CH4 24h, ml]]/Table3.110[[#This Row],[DM Incubated, mg]]*1000</f>
        <v>26.735844914100333</v>
      </c>
      <c r="AS415" s="94">
        <f>Table3.110[[#This Row],[CH4 24h, ml]]/Table3.110[[#This Row],[Digested feed, mg]]*1000</f>
        <v>75.783552553035918</v>
      </c>
      <c r="AT415" s="94">
        <f>Table3.110[[#This Row],[CH4 24h, ml]]/'3.2 Digest'!AA415</f>
        <v>-0.36245734769822374</v>
      </c>
      <c r="AU415" s="94">
        <f>((Table3.110[[#This Row],[CH4 24h, ml]]/28.9)*16.04)/Table3.110[[#This Row],[DM Incubated, mg]]*1000</f>
        <v>14.838856485196171</v>
      </c>
      <c r="AV415" s="94">
        <f>((Table3.110[[#This Row],[CH4 24h, ml]]/28.9)*16.04)/Table3.110[[#This Row],[Digested feed, mg]]*1000</f>
        <v>42.061182801062145</v>
      </c>
    </row>
    <row r="416" spans="2:48" s="89" customFormat="1" x14ac:dyDescent="0.35">
      <c r="B416" s="90">
        <f t="shared" si="6"/>
        <v>406</v>
      </c>
      <c r="C416" s="140">
        <v>46048</v>
      </c>
      <c r="D416" s="6" t="s">
        <v>16</v>
      </c>
      <c r="E416" s="6" t="s">
        <v>252</v>
      </c>
      <c r="F416" s="133" t="s">
        <v>219</v>
      </c>
      <c r="G416" s="133" t="s">
        <v>253</v>
      </c>
      <c r="H416" s="133" t="s">
        <v>254</v>
      </c>
      <c r="I416" s="125" t="s">
        <v>22</v>
      </c>
      <c r="J416" s="127" t="s">
        <v>23</v>
      </c>
      <c r="K416" s="125" t="s">
        <v>215</v>
      </c>
      <c r="L416" s="6" t="s">
        <v>251</v>
      </c>
      <c r="M416" s="93">
        <v>28</v>
      </c>
      <c r="N416" s="93">
        <v>60</v>
      </c>
      <c r="O416" s="6">
        <v>1</v>
      </c>
      <c r="P416" s="129">
        <v>3</v>
      </c>
      <c r="Q416" s="6">
        <v>64</v>
      </c>
      <c r="R416" s="98">
        <v>0.50019999999999998</v>
      </c>
      <c r="S416" s="94">
        <f>((Table3.110[[#This Row],[Sample weight, g]]*'2.1. DM'!Q155)/100)*1000</f>
        <v>460.46903639066289</v>
      </c>
      <c r="T416" s="94">
        <f>'3.2 Digest'!W416</f>
        <v>232.26903639066282</v>
      </c>
      <c r="U416" s="153">
        <v>0.3888888888888889</v>
      </c>
      <c r="V416" s="154">
        <v>40.5</v>
      </c>
      <c r="W416" s="153">
        <v>0.72569444444444442</v>
      </c>
      <c r="X416" s="91">
        <v>79.5</v>
      </c>
      <c r="Y416" s="91">
        <v>13.8</v>
      </c>
      <c r="Z416" s="154">
        <v>40</v>
      </c>
      <c r="AA416" s="153">
        <v>0.39166666666666666</v>
      </c>
      <c r="AB416" s="154">
        <v>88.5</v>
      </c>
      <c r="AC416" s="154">
        <v>15.8</v>
      </c>
      <c r="AD416" s="91"/>
      <c r="AE416" s="94">
        <f>Table3.110[[#This Row],[Gas 8h, ml]]-Table3.110[[#This Row],[Gas 0h, ml]]</f>
        <v>39</v>
      </c>
      <c r="AF416" s="94">
        <f>Table3.110[[#This Row],[Gas 24h, ml]]-Table3.110[[#This Row],[V8 Push back, ml]]</f>
        <v>48.5</v>
      </c>
      <c r="AG416" s="94">
        <f>Table3.110[[#This Row],[GP 8h, ml]]-(AVERAGE(AE$293,AE$294,AE$385,AE$386,AE$477,AE$478))*$AG$8</f>
        <v>37.746240428868305</v>
      </c>
      <c r="AH416" s="94">
        <f>Table3.110[[#This Row],[GP 8-24h, ml]]-(AVERAGE(AF$293,AF$294,AF$385,AF$386,AF$477,AF$478))*$AG$8</f>
        <v>46.50873479879084</v>
      </c>
      <c r="AI416" s="94">
        <f>Table3.110[[#This Row],[Net gas 8-24h, ml]]+Table3.110[[#This Row],[Net gas 8h, ml]]</f>
        <v>84.254975227659145</v>
      </c>
      <c r="AJ416" s="94">
        <f>Table3.110[[#This Row],[Net gas 8h, ml]]*Table3.110[[#This Row],[CH4 8h %]]%</f>
        <v>5.2089811791838265</v>
      </c>
      <c r="AK416" s="94">
        <f>Table3.110[[#This Row],[Net gas 8-24h, ml]]*Table3.110[[#This Row],[CH4 24h, %]]%</f>
        <v>7.3483800982089527</v>
      </c>
      <c r="AL416" s="94">
        <f>Table3.110[[#This Row],[CH4 8-24h, ml]]+Table3.110[[#This Row],[CH4 8h, ml]]</f>
        <v>12.557361277392779</v>
      </c>
      <c r="AM416" s="94">
        <f>(Table3.110[[#This Row],[Net gas 24h, ml]]/Table3.110[[#This Row],[DM Incubated, mg]])*1000</f>
        <v>182.9764187578881</v>
      </c>
      <c r="AN416" s="94">
        <f>'3.2 Digest'!X416</f>
        <v>50.441836048581834</v>
      </c>
      <c r="AO416" s="94">
        <f>Table3.110[[#This Row],[Digested feed, mg]]/Table3.110[[#This Row],[Net gas 24h, ml]]</f>
        <v>2.7567397149315611</v>
      </c>
      <c r="AP416" s="94">
        <f>Table3.110[[#This Row],[CH4 8h, ml]]/Table3.110[[#This Row],[Net gas 8h, ml]]%</f>
        <v>13.8</v>
      </c>
      <c r="AQ416" s="94">
        <f>Table3.110[[#This Row],[CH4 24h, ml]]/Table3.110[[#This Row],[Net gas 24h, ml]]%</f>
        <v>14.903999726381096</v>
      </c>
      <c r="AR416" s="94">
        <f>Table3.110[[#This Row],[CH4 24h, ml]]/Table3.110[[#This Row],[DM Incubated, mg]]*1000</f>
        <v>27.270804951017571</v>
      </c>
      <c r="AS416" s="94">
        <f>Table3.110[[#This Row],[CH4 24h, ml]]/Table3.110[[#This Row],[Digested feed, mg]]*1000</f>
        <v>54.063862633295805</v>
      </c>
      <c r="AT416" s="94">
        <f>Table3.110[[#This Row],[CH4 24h, ml]]/'3.2 Digest'!AA416</f>
        <v>-4.8861808291959514</v>
      </c>
      <c r="AU416" s="94">
        <f>((Table3.110[[#This Row],[CH4 24h, ml]]/28.9)*16.04)/Table3.110[[#This Row],[DM Incubated, mg]]*1000</f>
        <v>15.135768561049197</v>
      </c>
      <c r="AV416" s="94">
        <f>((Table3.110[[#This Row],[CH4 24h, ml]]/28.9)*16.04)/Table3.110[[#This Row],[Digested feed, mg]]*1000</f>
        <v>30.006379122424384</v>
      </c>
    </row>
    <row r="417" spans="2:48" s="89" customFormat="1" x14ac:dyDescent="0.35">
      <c r="B417" s="90">
        <f t="shared" si="6"/>
        <v>407</v>
      </c>
      <c r="C417" s="140">
        <v>46048</v>
      </c>
      <c r="D417" s="6" t="s">
        <v>16</v>
      </c>
      <c r="E417" s="6" t="s">
        <v>256</v>
      </c>
      <c r="F417" s="133" t="s">
        <v>219</v>
      </c>
      <c r="G417" s="133" t="s">
        <v>253</v>
      </c>
      <c r="H417" s="133" t="s">
        <v>254</v>
      </c>
      <c r="I417" s="125" t="s">
        <v>22</v>
      </c>
      <c r="J417" s="127" t="s">
        <v>23</v>
      </c>
      <c r="K417" s="125" t="s">
        <v>215</v>
      </c>
      <c r="L417" s="6" t="s">
        <v>255</v>
      </c>
      <c r="M417" s="93">
        <v>28</v>
      </c>
      <c r="N417" s="93">
        <v>60</v>
      </c>
      <c r="O417" s="6">
        <v>1</v>
      </c>
      <c r="P417" s="129">
        <v>1</v>
      </c>
      <c r="Q417" s="6">
        <v>65</v>
      </c>
      <c r="R417" s="98">
        <v>0.50029999999999997</v>
      </c>
      <c r="S417" s="94">
        <f>((Table3.110[[#This Row],[Sample weight, g]]*'2.1. DM'!Q157)/100)*1000</f>
        <v>461.39225154969012</v>
      </c>
      <c r="T417" s="94">
        <f>'3.2 Digest'!W417</f>
        <v>197.69225154969007</v>
      </c>
      <c r="U417" s="117">
        <v>0.38958333333333334</v>
      </c>
      <c r="V417" s="155">
        <v>40</v>
      </c>
      <c r="W417" s="117">
        <v>0.72638888888888886</v>
      </c>
      <c r="X417" s="96">
        <v>78</v>
      </c>
      <c r="Y417" s="96">
        <v>11.9</v>
      </c>
      <c r="Z417" s="155">
        <v>40</v>
      </c>
      <c r="AA417" s="117">
        <v>0.39166666666666666</v>
      </c>
      <c r="AB417" s="155">
        <v>87.5</v>
      </c>
      <c r="AC417" s="155">
        <v>15.2</v>
      </c>
      <c r="AD417" s="96"/>
      <c r="AE417" s="94">
        <f>Table3.110[[#This Row],[Gas 8h, ml]]-Table3.110[[#This Row],[Gas 0h, ml]]</f>
        <v>38</v>
      </c>
      <c r="AF417" s="94">
        <f>Table3.110[[#This Row],[Gas 24h, ml]]-Table3.110[[#This Row],[V8 Push back, ml]]</f>
        <v>47.5</v>
      </c>
      <c r="AG417" s="94">
        <f>Table3.110[[#This Row],[GP 8h, ml]]-(AVERAGE(AE$293,AE$294,AE$385,AE$386,AE$477,AE$478))*$AG$8</f>
        <v>36.746240428868305</v>
      </c>
      <c r="AH417" s="94">
        <f>Table3.110[[#This Row],[GP 8-24h, ml]]-(AVERAGE(AF$293,AF$294,AF$385,AF$386,AF$477,AF$478))*$AG$8</f>
        <v>45.50873479879084</v>
      </c>
      <c r="AI417" s="94">
        <f>Table3.110[[#This Row],[Net gas 8-24h, ml]]+Table3.110[[#This Row],[Net gas 8h, ml]]</f>
        <v>82.254975227659145</v>
      </c>
      <c r="AJ417" s="94">
        <f>Table3.110[[#This Row],[Net gas 8h, ml]]*Table3.110[[#This Row],[CH4 8h %]]%</f>
        <v>4.3728026110353282</v>
      </c>
      <c r="AK417" s="94">
        <f>Table3.110[[#This Row],[Net gas 8-24h, ml]]*Table3.110[[#This Row],[CH4 24h, %]]%</f>
        <v>6.9173276894162079</v>
      </c>
      <c r="AL417" s="94">
        <f>Table3.110[[#This Row],[CH4 8-24h, ml]]+Table3.110[[#This Row],[CH4 8h, ml]]</f>
        <v>11.290130300451537</v>
      </c>
      <c r="AM417" s="94">
        <f>(Table3.110[[#This Row],[Net gas 24h, ml]]/Table3.110[[#This Row],[DM Incubated, mg]])*1000</f>
        <v>178.27558861551583</v>
      </c>
      <c r="AN417" s="94">
        <f>'3.2 Digest'!X417</f>
        <v>42.846894564374665</v>
      </c>
      <c r="AO417" s="94">
        <f>Table3.110[[#This Row],[Digested feed, mg]]/Table3.110[[#This Row],[Net gas 24h, ml]]</f>
        <v>2.4034078303778257</v>
      </c>
      <c r="AP417" s="94">
        <f>Table3.110[[#This Row],[CH4 8h, ml]]/Table3.110[[#This Row],[Net gas 8h, ml]]%</f>
        <v>11.9</v>
      </c>
      <c r="AQ417" s="94">
        <f>Table3.110[[#This Row],[CH4 24h, ml]]/Table3.110[[#This Row],[Net gas 24h, ml]]%</f>
        <v>13.725771929544155</v>
      </c>
      <c r="AR417" s="94">
        <f>Table3.110[[#This Row],[CH4 24h, ml]]/Table3.110[[#This Row],[DM Incubated, mg]]*1000</f>
        <v>24.469700699418084</v>
      </c>
      <c r="AS417" s="94">
        <f>Table3.110[[#This Row],[CH4 24h, ml]]/Table3.110[[#This Row],[Digested feed, mg]]*1000</f>
        <v>57.109624742241124</v>
      </c>
      <c r="AT417" s="94">
        <f>Table3.110[[#This Row],[CH4 24h, ml]]/'3.2 Digest'!AA417</f>
        <v>-0.74480606725313736</v>
      </c>
      <c r="AU417" s="94">
        <f>((Table3.110[[#This Row],[CH4 24h, ml]]/28.9)*16.04)/Table3.110[[#This Row],[DM Incubated, mg]]*1000</f>
        <v>13.581107239400209</v>
      </c>
      <c r="AV417" s="94">
        <f>((Table3.110[[#This Row],[CH4 24h, ml]]/28.9)*16.04)/Table3.110[[#This Row],[Digested feed, mg]]*1000</f>
        <v>31.696829787735211</v>
      </c>
    </row>
    <row r="418" spans="2:48" s="89" customFormat="1" x14ac:dyDescent="0.35">
      <c r="B418" s="90">
        <f t="shared" si="6"/>
        <v>408</v>
      </c>
      <c r="C418" s="140">
        <v>46048</v>
      </c>
      <c r="D418" s="6" t="s">
        <v>16</v>
      </c>
      <c r="E418" s="6" t="s">
        <v>256</v>
      </c>
      <c r="F418" s="133" t="s">
        <v>219</v>
      </c>
      <c r="G418" s="133" t="s">
        <v>253</v>
      </c>
      <c r="H418" s="133" t="s">
        <v>254</v>
      </c>
      <c r="I418" s="125" t="s">
        <v>22</v>
      </c>
      <c r="J418" s="127" t="s">
        <v>23</v>
      </c>
      <c r="K418" s="125" t="s">
        <v>215</v>
      </c>
      <c r="L418" s="6" t="s">
        <v>255</v>
      </c>
      <c r="M418" s="93">
        <v>28</v>
      </c>
      <c r="N418" s="93">
        <v>60</v>
      </c>
      <c r="O418" s="6">
        <v>1</v>
      </c>
      <c r="P418" s="6">
        <v>2</v>
      </c>
      <c r="Q418" s="6">
        <v>66</v>
      </c>
      <c r="R418" s="98">
        <v>0.50029999999999997</v>
      </c>
      <c r="S418" s="94">
        <f>((Table3.110[[#This Row],[Sample weight, g]]*'2.1. DM'!Q157)/100)*1000</f>
        <v>461.39225154969012</v>
      </c>
      <c r="T418" s="94">
        <f>'3.2 Digest'!W418</f>
        <v>216.39225154969012</v>
      </c>
      <c r="U418" s="153">
        <v>0.38958333333333334</v>
      </c>
      <c r="V418" s="154">
        <v>40</v>
      </c>
      <c r="W418" s="153">
        <v>0.7270833333333333</v>
      </c>
      <c r="X418" s="91">
        <v>78.5</v>
      </c>
      <c r="Y418" s="91">
        <v>11.8</v>
      </c>
      <c r="Z418" s="154">
        <v>40</v>
      </c>
      <c r="AA418" s="153">
        <v>0.3923611111111111</v>
      </c>
      <c r="AB418" s="154">
        <v>85</v>
      </c>
      <c r="AC418" s="154">
        <v>15.5</v>
      </c>
      <c r="AD418" s="91"/>
      <c r="AE418" s="94">
        <f>Table3.110[[#This Row],[Gas 8h, ml]]-Table3.110[[#This Row],[Gas 0h, ml]]</f>
        <v>38.5</v>
      </c>
      <c r="AF418" s="94">
        <f>Table3.110[[#This Row],[Gas 24h, ml]]-Table3.110[[#This Row],[V8 Push back, ml]]</f>
        <v>45</v>
      </c>
      <c r="AG418" s="94">
        <f>Table3.110[[#This Row],[GP 8h, ml]]-(AVERAGE(AE$293,AE$294,AE$385,AE$386,AE$477,AE$478))*$AG$8</f>
        <v>37.246240428868305</v>
      </c>
      <c r="AH418" s="94">
        <f>Table3.110[[#This Row],[GP 8-24h, ml]]-(AVERAGE(AF$293,AF$294,AF$385,AF$386,AF$477,AF$478))*$AG$8</f>
        <v>43.00873479879084</v>
      </c>
      <c r="AI418" s="94">
        <f>Table3.110[[#This Row],[Net gas 8-24h, ml]]+Table3.110[[#This Row],[Net gas 8h, ml]]</f>
        <v>80.254975227659145</v>
      </c>
      <c r="AJ418" s="94">
        <f>Table3.110[[#This Row],[Net gas 8h, ml]]*Table3.110[[#This Row],[CH4 8h %]]%</f>
        <v>4.3950563706064605</v>
      </c>
      <c r="AK418" s="94">
        <f>Table3.110[[#This Row],[Net gas 8-24h, ml]]*Table3.110[[#This Row],[CH4 24h, %]]%</f>
        <v>6.6663538938125804</v>
      </c>
      <c r="AL418" s="94">
        <f>Table3.110[[#This Row],[CH4 8-24h, ml]]+Table3.110[[#This Row],[CH4 8h, ml]]</f>
        <v>11.061410264419042</v>
      </c>
      <c r="AM418" s="94">
        <f>(Table3.110[[#This Row],[Net gas 24h, ml]]/Table3.110[[#This Row],[DM Incubated, mg]])*1000</f>
        <v>173.9408820978347</v>
      </c>
      <c r="AN418" s="94">
        <f>'3.2 Digest'!X418</f>
        <v>46.899845158406507</v>
      </c>
      <c r="AO418" s="94">
        <f>Table3.110[[#This Row],[Digested feed, mg]]/Table3.110[[#This Row],[Net gas 24h, ml]]</f>
        <v>2.6963094927865918</v>
      </c>
      <c r="AP418" s="94">
        <f>Table3.110[[#This Row],[CH4 8h, ml]]/Table3.110[[#This Row],[Net gas 8h, ml]]%</f>
        <v>11.8</v>
      </c>
      <c r="AQ418" s="94">
        <f>Table3.110[[#This Row],[CH4 24h, ml]]/Table3.110[[#This Row],[Net gas 24h, ml]]%</f>
        <v>13.782834314061102</v>
      </c>
      <c r="AR418" s="94">
        <f>Table3.110[[#This Row],[CH4 24h, ml]]/Table3.110[[#This Row],[DM Incubated, mg]]*1000</f>
        <v>23.97398358396093</v>
      </c>
      <c r="AS418" s="94">
        <f>Table3.110[[#This Row],[CH4 24h, ml]]/Table3.110[[#This Row],[Digested feed, mg]]*1000</f>
        <v>51.117404552163514</v>
      </c>
      <c r="AT418" s="94">
        <f>Table3.110[[#This Row],[CH4 24h, ml]]/'3.2 Digest'!AA418</f>
        <v>-1.5819768747457448</v>
      </c>
      <c r="AU418" s="94">
        <f>((Table3.110[[#This Row],[CH4 24h, ml]]/28.9)*16.04)/Table3.110[[#This Row],[DM Incubated, mg]]*1000</f>
        <v>13.305975663900806</v>
      </c>
      <c r="AV418" s="94">
        <f>((Table3.110[[#This Row],[CH4 24h, ml]]/28.9)*16.04)/Table3.110[[#This Row],[Digested feed, mg]]*1000</f>
        <v>28.371043910612553</v>
      </c>
    </row>
    <row r="419" spans="2:48" s="89" customFormat="1" x14ac:dyDescent="0.35">
      <c r="B419" s="90">
        <f t="shared" si="6"/>
        <v>409</v>
      </c>
      <c r="C419" s="140">
        <v>46048</v>
      </c>
      <c r="D419" s="6" t="s">
        <v>16</v>
      </c>
      <c r="E419" s="6" t="s">
        <v>256</v>
      </c>
      <c r="F419" s="133" t="s">
        <v>219</v>
      </c>
      <c r="G419" s="133" t="s">
        <v>253</v>
      </c>
      <c r="H419" s="133" t="s">
        <v>254</v>
      </c>
      <c r="I419" s="125" t="s">
        <v>22</v>
      </c>
      <c r="J419" s="127" t="s">
        <v>23</v>
      </c>
      <c r="K419" s="125" t="s">
        <v>215</v>
      </c>
      <c r="L419" s="6" t="s">
        <v>255</v>
      </c>
      <c r="M419" s="93">
        <v>28</v>
      </c>
      <c r="N419" s="93">
        <v>60</v>
      </c>
      <c r="O419" s="6">
        <v>1</v>
      </c>
      <c r="P419" s="129">
        <v>3</v>
      </c>
      <c r="Q419" s="6">
        <v>67</v>
      </c>
      <c r="R419" s="98">
        <v>0.50019999999999998</v>
      </c>
      <c r="S419" s="94">
        <f>((Table3.110[[#This Row],[Sample weight, g]]*'2.1. DM'!Q157)/100)*1000</f>
        <v>461.30002843325002</v>
      </c>
      <c r="T419" s="94">
        <f>'3.2 Digest'!W419</f>
        <v>249.40002843325004</v>
      </c>
      <c r="U419" s="117">
        <v>0.38958333333333334</v>
      </c>
      <c r="V419" s="155">
        <v>40</v>
      </c>
      <c r="W419" s="117">
        <v>0.7270833333333333</v>
      </c>
      <c r="X419" s="96">
        <v>78</v>
      </c>
      <c r="Y419" s="96">
        <v>11.6</v>
      </c>
      <c r="Z419" s="155">
        <v>40</v>
      </c>
      <c r="AA419" s="117">
        <v>0.3923611111111111</v>
      </c>
      <c r="AB419" s="155">
        <v>86</v>
      </c>
      <c r="AC419" s="155">
        <v>15.2</v>
      </c>
      <c r="AD419" s="96"/>
      <c r="AE419" s="94">
        <f>Table3.110[[#This Row],[Gas 8h, ml]]-Table3.110[[#This Row],[Gas 0h, ml]]</f>
        <v>38</v>
      </c>
      <c r="AF419" s="94">
        <f>Table3.110[[#This Row],[Gas 24h, ml]]-Table3.110[[#This Row],[V8 Push back, ml]]</f>
        <v>46</v>
      </c>
      <c r="AG419" s="94">
        <f>Table3.110[[#This Row],[GP 8h, ml]]-(AVERAGE(AE$293,AE$294,AE$385,AE$386,AE$477,AE$478))*$AG$8</f>
        <v>36.746240428868305</v>
      </c>
      <c r="AH419" s="94">
        <f>Table3.110[[#This Row],[GP 8-24h, ml]]-(AVERAGE(AF$293,AF$294,AF$385,AF$386,AF$477,AF$478))*$AG$8</f>
        <v>44.00873479879084</v>
      </c>
      <c r="AI419" s="94">
        <f>Table3.110[[#This Row],[Net gas 8-24h, ml]]+Table3.110[[#This Row],[Net gas 8h, ml]]</f>
        <v>80.754975227659145</v>
      </c>
      <c r="AJ419" s="94">
        <f>Table3.110[[#This Row],[Net gas 8h, ml]]*Table3.110[[#This Row],[CH4 8h %]]%</f>
        <v>4.2625638897487228</v>
      </c>
      <c r="AK419" s="94">
        <f>Table3.110[[#This Row],[Net gas 8-24h, ml]]*Table3.110[[#This Row],[CH4 24h, %]]%</f>
        <v>6.6893276894162073</v>
      </c>
      <c r="AL419" s="94">
        <f>Table3.110[[#This Row],[CH4 8-24h, ml]]+Table3.110[[#This Row],[CH4 8h, ml]]</f>
        <v>10.951891579164929</v>
      </c>
      <c r="AM419" s="94">
        <f>(Table3.110[[#This Row],[Net gas 24h, ml]]/Table3.110[[#This Row],[DM Incubated, mg]])*1000</f>
        <v>175.05954964263429</v>
      </c>
      <c r="AN419" s="94">
        <f>'3.2 Digest'!X419</f>
        <v>54.06460287468596</v>
      </c>
      <c r="AO419" s="94">
        <f>Table3.110[[#This Row],[Digested feed, mg]]/Table3.110[[#This Row],[Net gas 24h, ml]]</f>
        <v>3.0883549617860422</v>
      </c>
      <c r="AP419" s="94">
        <f>Table3.110[[#This Row],[CH4 8h, ml]]/Table3.110[[#This Row],[Net gas 8h, ml]]%</f>
        <v>11.599999999999998</v>
      </c>
      <c r="AQ419" s="94">
        <f>Table3.110[[#This Row],[CH4 24h, ml]]/Table3.110[[#This Row],[Net gas 24h, ml]]%</f>
        <v>13.561878445619076</v>
      </c>
      <c r="AR419" s="94">
        <f>Table3.110[[#This Row],[CH4 24h, ml]]/Table3.110[[#This Row],[DM Incubated, mg]]*1000</f>
        <v>23.741363329982246</v>
      </c>
      <c r="AS419" s="94">
        <f>Table3.110[[#This Row],[CH4 24h, ml]]/Table3.110[[#This Row],[Digested feed, mg]]*1000</f>
        <v>43.912952408087307</v>
      </c>
      <c r="AT419" s="94">
        <f>Table3.110[[#This Row],[CH4 24h, ml]]/'3.2 Digest'!AA419</f>
        <v>1.471195380501801</v>
      </c>
      <c r="AU419" s="94">
        <f>((Table3.110[[#This Row],[CH4 24h, ml]]/28.9)*16.04)/Table3.110[[#This Row],[DM Incubated, mg]]*1000</f>
        <v>13.176867398370769</v>
      </c>
      <c r="AV419" s="94">
        <f>((Table3.110[[#This Row],[CH4 24h, ml]]/28.9)*16.04)/Table3.110[[#This Row],[Digested feed, mg]]*1000</f>
        <v>24.372448326149495</v>
      </c>
    </row>
    <row r="420" spans="2:48" s="89" customFormat="1" x14ac:dyDescent="0.35">
      <c r="B420" s="90">
        <f t="shared" si="6"/>
        <v>410</v>
      </c>
      <c r="C420" s="140">
        <v>46048</v>
      </c>
      <c r="D420" s="6" t="s">
        <v>16</v>
      </c>
      <c r="E420" s="6" t="s">
        <v>258</v>
      </c>
      <c r="F420" s="133" t="s">
        <v>259</v>
      </c>
      <c r="G420" s="133" t="s">
        <v>260</v>
      </c>
      <c r="H420" s="133" t="s">
        <v>261</v>
      </c>
      <c r="I420" s="125" t="s">
        <v>22</v>
      </c>
      <c r="J420" s="127" t="s">
        <v>23</v>
      </c>
      <c r="K420" s="125" t="s">
        <v>215</v>
      </c>
      <c r="L420" s="6" t="s">
        <v>257</v>
      </c>
      <c r="M420" s="93">
        <v>28</v>
      </c>
      <c r="N420" s="93">
        <v>60</v>
      </c>
      <c r="O420" s="6">
        <v>1</v>
      </c>
      <c r="P420" s="129">
        <v>1</v>
      </c>
      <c r="Q420" s="6">
        <v>68</v>
      </c>
      <c r="R420" s="98">
        <v>0.5</v>
      </c>
      <c r="S420" s="94">
        <f>((Table3.110[[#This Row],[Sample weight, g]]*'2.1. DM'!Q159)/100)*1000</f>
        <v>457.0314780565829</v>
      </c>
      <c r="T420" s="94">
        <f>'3.2 Digest'!W420</f>
        <v>70.031478056582898</v>
      </c>
      <c r="U420" s="153">
        <v>0.39027777777777778</v>
      </c>
      <c r="V420" s="154">
        <v>40.5</v>
      </c>
      <c r="W420" s="153">
        <v>0.72777777777777775</v>
      </c>
      <c r="X420" s="91">
        <v>77</v>
      </c>
      <c r="Y420" s="91">
        <v>13.7</v>
      </c>
      <c r="Z420" s="154">
        <v>40</v>
      </c>
      <c r="AA420" s="153">
        <v>0.39305555555555555</v>
      </c>
      <c r="AB420" s="154">
        <v>77.5</v>
      </c>
      <c r="AC420" s="154">
        <v>17.5</v>
      </c>
      <c r="AD420" s="91"/>
      <c r="AE420" s="94">
        <f>Table3.110[[#This Row],[Gas 8h, ml]]-Table3.110[[#This Row],[Gas 0h, ml]]</f>
        <v>36.5</v>
      </c>
      <c r="AF420" s="94">
        <f>Table3.110[[#This Row],[Gas 24h, ml]]-Table3.110[[#This Row],[V8 Push back, ml]]</f>
        <v>37.5</v>
      </c>
      <c r="AG420" s="94">
        <f>Table3.110[[#This Row],[GP 8h, ml]]-(AVERAGE(AE$293,AE$294,AE$385,AE$386,AE$477,AE$478))*$AG$8</f>
        <v>35.246240428868305</v>
      </c>
      <c r="AH420" s="94">
        <f>Table3.110[[#This Row],[GP 8-24h, ml]]-(AVERAGE(AF$293,AF$294,AF$385,AF$386,AF$477,AF$478))*$AG$8</f>
        <v>35.50873479879084</v>
      </c>
      <c r="AI420" s="94">
        <f>Table3.110[[#This Row],[Net gas 8-24h, ml]]+Table3.110[[#This Row],[Net gas 8h, ml]]</f>
        <v>70.754975227659145</v>
      </c>
      <c r="AJ420" s="94">
        <f>Table3.110[[#This Row],[Net gas 8h, ml]]*Table3.110[[#This Row],[CH4 8h %]]%</f>
        <v>4.8287349387549572</v>
      </c>
      <c r="AK420" s="94">
        <f>Table3.110[[#This Row],[Net gas 8-24h, ml]]*Table3.110[[#This Row],[CH4 24h, %]]%</f>
        <v>6.2140285897883967</v>
      </c>
      <c r="AL420" s="94">
        <f>Table3.110[[#This Row],[CH4 8-24h, ml]]+Table3.110[[#This Row],[CH4 8h, ml]]</f>
        <v>11.042763528543354</v>
      </c>
      <c r="AM420" s="94">
        <f>(Table3.110[[#This Row],[Net gas 24h, ml]]/Table3.110[[#This Row],[DM Incubated, mg]])*1000</f>
        <v>154.81422752001188</v>
      </c>
      <c r="AN420" s="94">
        <f>'3.2 Digest'!X420</f>
        <v>15.323119176467891</v>
      </c>
      <c r="AO420" s="94">
        <f>Table3.110[[#This Row],[Digested feed, mg]]/Table3.110[[#This Row],[Net gas 24h, ml]]</f>
        <v>0.98977461063694328</v>
      </c>
      <c r="AP420" s="94">
        <f>Table3.110[[#This Row],[CH4 8h, ml]]/Table3.110[[#This Row],[Net gas 8h, ml]]%</f>
        <v>13.7</v>
      </c>
      <c r="AQ420" s="94">
        <f>Table3.110[[#This Row],[CH4 24h, ml]]/Table3.110[[#This Row],[Net gas 24h, ml]]%</f>
        <v>15.607048823086263</v>
      </c>
      <c r="AR420" s="94">
        <f>Table3.110[[#This Row],[CH4 24h, ml]]/Table3.110[[#This Row],[DM Incubated, mg]]*1000</f>
        <v>24.161932074132103</v>
      </c>
      <c r="AS420" s="94">
        <f>Table3.110[[#This Row],[CH4 24h, ml]]/Table3.110[[#This Row],[Digested feed, mg]]*1000</f>
        <v>157.68285683790938</v>
      </c>
      <c r="AT420" s="94">
        <f>Table3.110[[#This Row],[CH4 24h, ml]]/'3.2 Digest'!AA420</f>
        <v>-0.23305505472488591</v>
      </c>
      <c r="AU420" s="94">
        <f>((Table3.110[[#This Row],[CH4 24h, ml]]/28.9)*16.04)/Table3.110[[#This Row],[DM Incubated, mg]]*1000</f>
        <v>13.410290327649792</v>
      </c>
      <c r="AV420" s="94">
        <f>((Table3.110[[#This Row],[CH4 24h, ml]]/28.9)*16.04)/Table3.110[[#This Row],[Digested feed, mg]]*1000</f>
        <v>87.516713622147634</v>
      </c>
    </row>
    <row r="421" spans="2:48" s="89" customFormat="1" x14ac:dyDescent="0.35">
      <c r="B421" s="90">
        <f t="shared" si="6"/>
        <v>411</v>
      </c>
      <c r="C421" s="140">
        <v>46048</v>
      </c>
      <c r="D421" s="6" t="s">
        <v>16</v>
      </c>
      <c r="E421" s="6" t="s">
        <v>258</v>
      </c>
      <c r="F421" s="133" t="s">
        <v>259</v>
      </c>
      <c r="G421" s="133" t="s">
        <v>260</v>
      </c>
      <c r="H421" s="133" t="s">
        <v>261</v>
      </c>
      <c r="I421" s="125" t="s">
        <v>22</v>
      </c>
      <c r="J421" s="127" t="s">
        <v>23</v>
      </c>
      <c r="K421" s="125" t="s">
        <v>215</v>
      </c>
      <c r="L421" s="6" t="s">
        <v>257</v>
      </c>
      <c r="M421" s="93">
        <v>28</v>
      </c>
      <c r="N421" s="93">
        <v>60</v>
      </c>
      <c r="O421" s="6">
        <v>1</v>
      </c>
      <c r="P421" s="6">
        <v>2</v>
      </c>
      <c r="Q421" s="6">
        <v>69</v>
      </c>
      <c r="R421" s="98">
        <v>0.5</v>
      </c>
      <c r="S421" s="94">
        <f>((Table3.110[[#This Row],[Sample weight, g]]*'2.1. DM'!Q159)/100)*1000</f>
        <v>457.0314780565829</v>
      </c>
      <c r="T421" s="94">
        <f>'3.2 Digest'!W421</f>
        <v>180.83147805658291</v>
      </c>
      <c r="U421" s="117">
        <v>0.39027777777777778</v>
      </c>
      <c r="V421" s="155">
        <v>40</v>
      </c>
      <c r="W421" s="117">
        <v>0.72777777777777775</v>
      </c>
      <c r="X421" s="96">
        <v>79</v>
      </c>
      <c r="Y421" s="96">
        <v>13.9</v>
      </c>
      <c r="Z421" s="155">
        <v>40</v>
      </c>
      <c r="AA421" s="117">
        <v>0.39305555555555555</v>
      </c>
      <c r="AB421" s="155">
        <v>80</v>
      </c>
      <c r="AC421" s="155">
        <v>17.8</v>
      </c>
      <c r="AD421" s="96"/>
      <c r="AE421" s="94">
        <f>Table3.110[[#This Row],[Gas 8h, ml]]-Table3.110[[#This Row],[Gas 0h, ml]]</f>
        <v>39</v>
      </c>
      <c r="AF421" s="94">
        <f>Table3.110[[#This Row],[Gas 24h, ml]]-Table3.110[[#This Row],[V8 Push back, ml]]</f>
        <v>40</v>
      </c>
      <c r="AG421" s="94">
        <f>Table3.110[[#This Row],[GP 8h, ml]]-(AVERAGE(AE$293,AE$294,AE$385,AE$386,AE$477,AE$478))*$AG$8</f>
        <v>37.746240428868305</v>
      </c>
      <c r="AH421" s="94">
        <f>Table3.110[[#This Row],[GP 8-24h, ml]]-(AVERAGE(AF$293,AF$294,AF$385,AF$386,AF$477,AF$478))*$AG$8</f>
        <v>38.00873479879084</v>
      </c>
      <c r="AI421" s="94">
        <f>Table3.110[[#This Row],[Net gas 8-24h, ml]]+Table3.110[[#This Row],[Net gas 8h, ml]]</f>
        <v>75.754975227659145</v>
      </c>
      <c r="AJ421" s="94">
        <f>Table3.110[[#This Row],[Net gas 8h, ml]]*Table3.110[[#This Row],[CH4 8h %]]%</f>
        <v>5.2467274196126947</v>
      </c>
      <c r="AK421" s="94">
        <f>Table3.110[[#This Row],[Net gas 8-24h, ml]]*Table3.110[[#This Row],[CH4 24h, %]]%</f>
        <v>6.7655547941847702</v>
      </c>
      <c r="AL421" s="94">
        <f>Table3.110[[#This Row],[CH4 8-24h, ml]]+Table3.110[[#This Row],[CH4 8h, ml]]</f>
        <v>12.012282213797466</v>
      </c>
      <c r="AM421" s="94">
        <f>(Table3.110[[#This Row],[Net gas 24h, ml]]/Table3.110[[#This Row],[DM Incubated, mg]])*1000</f>
        <v>165.75439300108837</v>
      </c>
      <c r="AN421" s="94">
        <f>'3.2 Digest'!X421</f>
        <v>39.566525882533412</v>
      </c>
      <c r="AO421" s="94">
        <f>Table3.110[[#This Row],[Digested feed, mg]]/Table3.110[[#This Row],[Net gas 24h, ml]]</f>
        <v>2.3870574508558344</v>
      </c>
      <c r="AP421" s="94">
        <f>Table3.110[[#This Row],[CH4 8h, ml]]/Table3.110[[#This Row],[Net gas 8h, ml]]%</f>
        <v>13.9</v>
      </c>
      <c r="AQ421" s="94">
        <f>Table3.110[[#This Row],[CH4 24h, ml]]/Table3.110[[#This Row],[Net gas 24h, ml]]%</f>
        <v>15.856756837023719</v>
      </c>
      <c r="AR421" s="94">
        <f>Table3.110[[#This Row],[CH4 24h, ml]]/Table3.110[[#This Row],[DM Incubated, mg]]*1000</f>
        <v>26.283271044867245</v>
      </c>
      <c r="AS421" s="94">
        <f>Table3.110[[#This Row],[CH4 24h, ml]]/Table3.110[[#This Row],[Digested feed, mg]]*1000</f>
        <v>66.428048605778542</v>
      </c>
      <c r="AT421" s="94">
        <f>Table3.110[[#This Row],[CH4 24h, ml]]/'3.2 Digest'!AA421</f>
        <v>-2.3161716908088938</v>
      </c>
      <c r="AU421" s="94">
        <f>((Table3.110[[#This Row],[CH4 24h, ml]]/28.9)*16.04)/Table3.110[[#This Row],[DM Incubated, mg]]*1000</f>
        <v>14.587670157774072</v>
      </c>
      <c r="AV421" s="94">
        <f>((Table3.110[[#This Row],[CH4 24h, ml]]/28.9)*16.04)/Table3.110[[#This Row],[Digested feed, mg]]*1000</f>
        <v>36.868716250404432</v>
      </c>
    </row>
    <row r="422" spans="2:48" s="89" customFormat="1" x14ac:dyDescent="0.35">
      <c r="B422" s="90">
        <f t="shared" si="6"/>
        <v>412</v>
      </c>
      <c r="C422" s="140">
        <v>46048</v>
      </c>
      <c r="D422" s="6" t="s">
        <v>16</v>
      </c>
      <c r="E422" s="6" t="s">
        <v>258</v>
      </c>
      <c r="F422" s="133" t="s">
        <v>259</v>
      </c>
      <c r="G422" s="133" t="s">
        <v>260</v>
      </c>
      <c r="H422" s="133" t="s">
        <v>261</v>
      </c>
      <c r="I422" s="125" t="s">
        <v>22</v>
      </c>
      <c r="J422" s="127" t="s">
        <v>23</v>
      </c>
      <c r="K422" s="125" t="s">
        <v>215</v>
      </c>
      <c r="L422" s="6" t="s">
        <v>257</v>
      </c>
      <c r="M422" s="93">
        <v>28</v>
      </c>
      <c r="N422" s="93">
        <v>60</v>
      </c>
      <c r="O422" s="6">
        <v>1</v>
      </c>
      <c r="P422" s="129">
        <v>3</v>
      </c>
      <c r="Q422" s="6">
        <v>70</v>
      </c>
      <c r="R422" s="98">
        <v>0.50009999999999999</v>
      </c>
      <c r="S422" s="94">
        <f>((Table3.110[[#This Row],[Sample weight, g]]*'2.1. DM'!Q159)/100)*1000</f>
        <v>457.12288435219421</v>
      </c>
      <c r="T422" s="94">
        <f>'3.2 Digest'!W422</f>
        <v>203.42288435219416</v>
      </c>
      <c r="U422" s="153">
        <v>0.39097222222222222</v>
      </c>
      <c r="V422" s="154">
        <v>40.5</v>
      </c>
      <c r="W422" s="153">
        <v>0.72847222222222219</v>
      </c>
      <c r="X422" s="91">
        <v>77</v>
      </c>
      <c r="Y422" s="91">
        <v>14</v>
      </c>
      <c r="Z422" s="154">
        <v>40</v>
      </c>
      <c r="AA422" s="153">
        <v>0.39374999999999999</v>
      </c>
      <c r="AB422" s="154">
        <v>80.5</v>
      </c>
      <c r="AC422" s="154">
        <v>17.7</v>
      </c>
      <c r="AD422" s="91"/>
      <c r="AE422" s="94">
        <f>Table3.110[[#This Row],[Gas 8h, ml]]-Table3.110[[#This Row],[Gas 0h, ml]]</f>
        <v>36.5</v>
      </c>
      <c r="AF422" s="94">
        <f>Table3.110[[#This Row],[Gas 24h, ml]]-Table3.110[[#This Row],[V8 Push back, ml]]</f>
        <v>40.5</v>
      </c>
      <c r="AG422" s="94">
        <f>Table3.110[[#This Row],[GP 8h, ml]]-(AVERAGE(AE$293,AE$294,AE$385,AE$386,AE$477,AE$478))*$AG$8</f>
        <v>35.246240428868305</v>
      </c>
      <c r="AH422" s="94">
        <f>Table3.110[[#This Row],[GP 8-24h, ml]]-(AVERAGE(AF$293,AF$294,AF$385,AF$386,AF$477,AF$478))*$AG$8</f>
        <v>38.50873479879084</v>
      </c>
      <c r="AI422" s="94">
        <f>Table3.110[[#This Row],[Net gas 8-24h, ml]]+Table3.110[[#This Row],[Net gas 8h, ml]]</f>
        <v>73.754975227659145</v>
      </c>
      <c r="AJ422" s="94">
        <f>Table3.110[[#This Row],[Net gas 8h, ml]]*Table3.110[[#This Row],[CH4 8h %]]%</f>
        <v>4.9344736600415633</v>
      </c>
      <c r="AK422" s="94">
        <f>Table3.110[[#This Row],[Net gas 8-24h, ml]]*Table3.110[[#This Row],[CH4 24h, %]]%</f>
        <v>6.816046059385978</v>
      </c>
      <c r="AL422" s="94">
        <f>Table3.110[[#This Row],[CH4 8-24h, ml]]+Table3.110[[#This Row],[CH4 8h, ml]]</f>
        <v>11.75051971942754</v>
      </c>
      <c r="AM422" s="94">
        <f>(Table3.110[[#This Row],[Net gas 24h, ml]]/Table3.110[[#This Row],[DM Incubated, mg]])*1000</f>
        <v>161.34605759713835</v>
      </c>
      <c r="AN422" s="94">
        <f>'3.2 Digest'!X422</f>
        <v>44.500700208976035</v>
      </c>
      <c r="AO422" s="94">
        <f>Table3.110[[#This Row],[Digested feed, mg]]/Table3.110[[#This Row],[Net gas 24h, ml]]</f>
        <v>2.7580903352524988</v>
      </c>
      <c r="AP422" s="94">
        <f>Table3.110[[#This Row],[CH4 8h, ml]]/Table3.110[[#This Row],[Net gas 8h, ml]]%</f>
        <v>14.000000000000002</v>
      </c>
      <c r="AQ422" s="94">
        <f>Table3.110[[#This Row],[CH4 24h, ml]]/Table3.110[[#This Row],[Net gas 24h, ml]]%</f>
        <v>15.931833321287499</v>
      </c>
      <c r="AR422" s="94">
        <f>Table3.110[[#This Row],[CH4 24h, ml]]/Table3.110[[#This Row],[DM Incubated, mg]]*1000</f>
        <v>25.705384966844608</v>
      </c>
      <c r="AS422" s="94">
        <f>Table3.110[[#This Row],[CH4 24h, ml]]/Table3.110[[#This Row],[Digested feed, mg]]*1000</f>
        <v>57.764001119379451</v>
      </c>
      <c r="AT422" s="94">
        <f>Table3.110[[#This Row],[CH4 24h, ml]]/'3.2 Digest'!AA422</f>
        <v>3.4541944924718178</v>
      </c>
      <c r="AU422" s="94">
        <f>((Table3.110[[#This Row],[CH4 24h, ml]]/28.9)*16.04)/Table3.110[[#This Row],[DM Incubated, mg]]*1000</f>
        <v>14.266933386442476</v>
      </c>
      <c r="AV422" s="94">
        <f>((Table3.110[[#This Row],[CH4 24h, ml]]/28.9)*16.04)/Table3.110[[#This Row],[Digested feed, mg]]*1000</f>
        <v>32.060019998437589</v>
      </c>
    </row>
    <row r="423" spans="2:48" s="89" customFormat="1" x14ac:dyDescent="0.35">
      <c r="B423" s="90">
        <f t="shared" si="6"/>
        <v>413</v>
      </c>
      <c r="C423" s="140">
        <v>46048</v>
      </c>
      <c r="D423" s="6" t="s">
        <v>16</v>
      </c>
      <c r="E423" s="6" t="s">
        <v>263</v>
      </c>
      <c r="F423" s="133" t="s">
        <v>264</v>
      </c>
      <c r="G423" s="133" t="s">
        <v>265</v>
      </c>
      <c r="H423" s="133" t="s">
        <v>266</v>
      </c>
      <c r="I423" s="125" t="s">
        <v>22</v>
      </c>
      <c r="J423" s="127" t="s">
        <v>23</v>
      </c>
      <c r="K423" s="125" t="s">
        <v>215</v>
      </c>
      <c r="L423" s="6" t="s">
        <v>262</v>
      </c>
      <c r="M423" s="93">
        <v>28</v>
      </c>
      <c r="N423" s="93">
        <v>60</v>
      </c>
      <c r="O423" s="6">
        <v>1</v>
      </c>
      <c r="P423" s="129">
        <v>1</v>
      </c>
      <c r="Q423" s="6">
        <v>71</v>
      </c>
      <c r="R423" s="98">
        <v>0.5</v>
      </c>
      <c r="S423" s="94">
        <f>((Table3.110[[#This Row],[Sample weight, g]]*'2.1. DM'!Q161)/100)*1000</f>
        <v>453.78425018639803</v>
      </c>
      <c r="T423" s="94">
        <f>'3.2 Digest'!W423</f>
        <v>185.28425018639797</v>
      </c>
      <c r="U423" s="117">
        <v>0.39166666666666666</v>
      </c>
      <c r="V423" s="155">
        <v>40</v>
      </c>
      <c r="W423" s="117">
        <v>0.72916666666666663</v>
      </c>
      <c r="X423" s="96">
        <v>73</v>
      </c>
      <c r="Y423" s="96">
        <v>13.3</v>
      </c>
      <c r="Z423" s="155">
        <v>40</v>
      </c>
      <c r="AA423" s="117">
        <v>0.39374999999999999</v>
      </c>
      <c r="AB423" s="155">
        <v>73.5</v>
      </c>
      <c r="AC423" s="155">
        <v>16.8</v>
      </c>
      <c r="AD423" s="96"/>
      <c r="AE423" s="94">
        <f>Table3.110[[#This Row],[Gas 8h, ml]]-Table3.110[[#This Row],[Gas 0h, ml]]</f>
        <v>33</v>
      </c>
      <c r="AF423" s="94">
        <f>Table3.110[[#This Row],[Gas 24h, ml]]-Table3.110[[#This Row],[V8 Push back, ml]]</f>
        <v>33.5</v>
      </c>
      <c r="AG423" s="94">
        <f>Table3.110[[#This Row],[GP 8h, ml]]-(AVERAGE(AE$293,AE$294,AE$385,AE$386,AE$477,AE$478))*$AG$8</f>
        <v>31.746240428868305</v>
      </c>
      <c r="AH423" s="94">
        <f>Table3.110[[#This Row],[GP 8-24h, ml]]-(AVERAGE(AF$293,AF$294,AF$385,AF$386,AF$477,AF$478))*$AG$8</f>
        <v>31.508734798790837</v>
      </c>
      <c r="AI423" s="94">
        <f>Table3.110[[#This Row],[Net gas 8-24h, ml]]+Table3.110[[#This Row],[Net gas 8h, ml]]</f>
        <v>63.254975227659145</v>
      </c>
      <c r="AJ423" s="94">
        <f>Table3.110[[#This Row],[Net gas 8h, ml]]*Table3.110[[#This Row],[CH4 8h %]]%</f>
        <v>4.2222499770394846</v>
      </c>
      <c r="AK423" s="94">
        <f>Table3.110[[#This Row],[Net gas 8-24h, ml]]*Table3.110[[#This Row],[CH4 24h, %]]%</f>
        <v>5.2934674461968605</v>
      </c>
      <c r="AL423" s="94">
        <f>Table3.110[[#This Row],[CH4 8-24h, ml]]+Table3.110[[#This Row],[CH4 8h, ml]]</f>
        <v>9.515717423236346</v>
      </c>
      <c r="AM423" s="94">
        <f>(Table3.110[[#This Row],[Net gas 24h, ml]]/Table3.110[[#This Row],[DM Incubated, mg]])*1000</f>
        <v>139.39438224591601</v>
      </c>
      <c r="AN423" s="94">
        <f>'3.2 Digest'!X423</f>
        <v>40.830912511901843</v>
      </c>
      <c r="AO423" s="94">
        <f>Table3.110[[#This Row],[Digested feed, mg]]/Table3.110[[#This Row],[Net gas 24h, ml]]</f>
        <v>2.9291648525597678</v>
      </c>
      <c r="AP423" s="94">
        <f>Table3.110[[#This Row],[CH4 8h, ml]]/Table3.110[[#This Row],[Net gas 8h, ml]]%</f>
        <v>13.3</v>
      </c>
      <c r="AQ423" s="94">
        <f>Table3.110[[#This Row],[CH4 24h, ml]]/Table3.110[[#This Row],[Net gas 24h, ml]]%</f>
        <v>15.043429214838206</v>
      </c>
      <c r="AR423" s="94">
        <f>Table3.110[[#This Row],[CH4 24h, ml]]/Table3.110[[#This Row],[DM Incubated, mg]]*1000</f>
        <v>20.969695222625369</v>
      </c>
      <c r="AS423" s="94">
        <f>Table3.110[[#This Row],[CH4 24h, ml]]/Table3.110[[#This Row],[Digested feed, mg]]*1000</f>
        <v>51.357400392442592</v>
      </c>
      <c r="AT423" s="94">
        <f>Table3.110[[#This Row],[CH4 24h, ml]]/'3.2 Digest'!AA423</f>
        <v>-0.9102405302113068</v>
      </c>
      <c r="AU423" s="94">
        <f>((Table3.110[[#This Row],[CH4 24h, ml]]/28.9)*16.04)/Table3.110[[#This Row],[DM Incubated, mg]]*1000</f>
        <v>11.638543646052282</v>
      </c>
      <c r="AV423" s="94">
        <f>((Table3.110[[#This Row],[CH4 24h, ml]]/28.9)*16.04)/Table3.110[[#This Row],[Digested feed, mg]]*1000</f>
        <v>28.504245754144609</v>
      </c>
    </row>
    <row r="424" spans="2:48" s="89" customFormat="1" x14ac:dyDescent="0.35">
      <c r="B424" s="90">
        <f t="shared" si="6"/>
        <v>414</v>
      </c>
      <c r="C424" s="140">
        <v>46048</v>
      </c>
      <c r="D424" s="6" t="s">
        <v>16</v>
      </c>
      <c r="E424" s="6" t="s">
        <v>263</v>
      </c>
      <c r="F424" s="133" t="s">
        <v>264</v>
      </c>
      <c r="G424" s="133" t="s">
        <v>265</v>
      </c>
      <c r="H424" s="133" t="s">
        <v>266</v>
      </c>
      <c r="I424" s="125" t="s">
        <v>22</v>
      </c>
      <c r="J424" s="127" t="s">
        <v>23</v>
      </c>
      <c r="K424" s="125" t="s">
        <v>215</v>
      </c>
      <c r="L424" s="6" t="s">
        <v>262</v>
      </c>
      <c r="M424" s="93">
        <v>28</v>
      </c>
      <c r="N424" s="93">
        <v>60</v>
      </c>
      <c r="O424" s="6">
        <v>1</v>
      </c>
      <c r="P424" s="6">
        <v>2</v>
      </c>
      <c r="Q424" s="6">
        <v>72</v>
      </c>
      <c r="R424" s="98">
        <v>0.50039999999999996</v>
      </c>
      <c r="S424" s="94">
        <f>((Table3.110[[#This Row],[Sample weight, g]]*'2.1. DM'!Q161)/100)*1000</f>
        <v>454.14727758654715</v>
      </c>
      <c r="T424" s="94">
        <f>'3.2 Digest'!W424</f>
        <v>140.24727758654706</v>
      </c>
      <c r="U424" s="153">
        <v>0.39166666666666666</v>
      </c>
      <c r="V424" s="154">
        <v>40</v>
      </c>
      <c r="W424" s="153">
        <v>0.72916666666666663</v>
      </c>
      <c r="X424" s="91">
        <v>71.5</v>
      </c>
      <c r="Y424" s="91">
        <v>13.6</v>
      </c>
      <c r="Z424" s="154">
        <v>40</v>
      </c>
      <c r="AA424" s="153">
        <v>0.39444444444444443</v>
      </c>
      <c r="AB424" s="154">
        <v>75</v>
      </c>
      <c r="AC424" s="154">
        <v>16.3</v>
      </c>
      <c r="AD424" s="91"/>
      <c r="AE424" s="94">
        <f>Table3.110[[#This Row],[Gas 8h, ml]]-Table3.110[[#This Row],[Gas 0h, ml]]</f>
        <v>31.5</v>
      </c>
      <c r="AF424" s="94">
        <f>Table3.110[[#This Row],[Gas 24h, ml]]-Table3.110[[#This Row],[V8 Push back, ml]]</f>
        <v>35</v>
      </c>
      <c r="AG424" s="94">
        <f>Table3.110[[#This Row],[GP 8h, ml]]-(AVERAGE(AE$293,AE$294,AE$385,AE$386,AE$477,AE$478))*$AG$8</f>
        <v>30.246240428868305</v>
      </c>
      <c r="AH424" s="94">
        <f>Table3.110[[#This Row],[GP 8-24h, ml]]-(AVERAGE(AF$293,AF$294,AF$385,AF$386,AF$477,AF$478))*$AG$8</f>
        <v>33.00873479879084</v>
      </c>
      <c r="AI424" s="94">
        <f>Table3.110[[#This Row],[Net gas 8-24h, ml]]+Table3.110[[#This Row],[Net gas 8h, ml]]</f>
        <v>63.254975227659145</v>
      </c>
      <c r="AJ424" s="94">
        <f>Table3.110[[#This Row],[Net gas 8h, ml]]*Table3.110[[#This Row],[CH4 8h %]]%</f>
        <v>4.1134886983260897</v>
      </c>
      <c r="AK424" s="94">
        <f>Table3.110[[#This Row],[Net gas 8-24h, ml]]*Table3.110[[#This Row],[CH4 24h, %]]%</f>
        <v>5.3804237722029074</v>
      </c>
      <c r="AL424" s="94">
        <f>Table3.110[[#This Row],[CH4 8-24h, ml]]+Table3.110[[#This Row],[CH4 8h, ml]]</f>
        <v>9.493912470528997</v>
      </c>
      <c r="AM424" s="94">
        <f>(Table3.110[[#This Row],[Net gas 24h, ml]]/Table3.110[[#This Row],[DM Incubated, mg]])*1000</f>
        <v>139.28295588121102</v>
      </c>
      <c r="AN424" s="94">
        <f>'3.2 Digest'!X424</f>
        <v>30.881452891638229</v>
      </c>
      <c r="AO424" s="94">
        <f>Table3.110[[#This Row],[Digested feed, mg]]/Table3.110[[#This Row],[Net gas 24h, ml]]</f>
        <v>2.2171738599499431</v>
      </c>
      <c r="AP424" s="94">
        <f>Table3.110[[#This Row],[CH4 8h, ml]]/Table3.110[[#This Row],[Net gas 8h, ml]]%</f>
        <v>13.600000000000001</v>
      </c>
      <c r="AQ424" s="94">
        <f>Table3.110[[#This Row],[CH4 24h, ml]]/Table3.110[[#This Row],[Net gas 24h, ml]]%</f>
        <v>15.00895769282927</v>
      </c>
      <c r="AR424" s="94">
        <f>Table3.110[[#This Row],[CH4 24h, ml]]/Table3.110[[#This Row],[DM Incubated, mg]]*1000</f>
        <v>20.904919921533022</v>
      </c>
      <c r="AS424" s="94">
        <f>Table3.110[[#This Row],[CH4 24h, ml]]/Table3.110[[#This Row],[Digested feed, mg]]*1000</f>
        <v>67.694094558593278</v>
      </c>
      <c r="AT424" s="94">
        <f>Table3.110[[#This Row],[CH4 24h, ml]]/'3.2 Digest'!AA424</f>
        <v>-0.32706893404753135</v>
      </c>
      <c r="AU424" s="94">
        <f>((Table3.110[[#This Row],[CH4 24h, ml]]/28.9)*16.04)/Table3.110[[#This Row],[DM Incubated, mg]]*1000</f>
        <v>11.602592233266078</v>
      </c>
      <c r="AV424" s="94">
        <f>((Table3.110[[#This Row],[CH4 24h, ml]]/28.9)*16.04)/Table3.110[[#This Row],[Digested feed, mg]]*1000</f>
        <v>37.571393658125828</v>
      </c>
    </row>
    <row r="425" spans="2:48" s="89" customFormat="1" x14ac:dyDescent="0.35">
      <c r="B425" s="90">
        <f t="shared" si="6"/>
        <v>415</v>
      </c>
      <c r="C425" s="140">
        <v>46048</v>
      </c>
      <c r="D425" s="6" t="s">
        <v>16</v>
      </c>
      <c r="E425" s="6" t="s">
        <v>263</v>
      </c>
      <c r="F425" s="133" t="s">
        <v>264</v>
      </c>
      <c r="G425" s="133" t="s">
        <v>265</v>
      </c>
      <c r="H425" s="133" t="s">
        <v>266</v>
      </c>
      <c r="I425" s="125" t="s">
        <v>22</v>
      </c>
      <c r="J425" s="127" t="s">
        <v>23</v>
      </c>
      <c r="K425" s="125" t="s">
        <v>215</v>
      </c>
      <c r="L425" s="6" t="s">
        <v>262</v>
      </c>
      <c r="M425" s="93">
        <v>28</v>
      </c>
      <c r="N425" s="93">
        <v>60</v>
      </c>
      <c r="O425" s="6">
        <v>1</v>
      </c>
      <c r="P425" s="129">
        <v>3</v>
      </c>
      <c r="Q425" s="6">
        <v>73</v>
      </c>
      <c r="R425" s="98">
        <v>0.50039999999999996</v>
      </c>
      <c r="S425" s="94">
        <f>((Table3.110[[#This Row],[Sample weight, g]]*'2.1. DM'!Q161)/100)*1000</f>
        <v>454.14727758654715</v>
      </c>
      <c r="T425" s="94">
        <f>'3.2 Digest'!W425</f>
        <v>195.34727758654725</v>
      </c>
      <c r="U425" s="117">
        <v>0.39166666666666666</v>
      </c>
      <c r="V425" s="155">
        <v>40.5</v>
      </c>
      <c r="W425" s="117">
        <v>0.72986111111111107</v>
      </c>
      <c r="X425" s="96">
        <v>73</v>
      </c>
      <c r="Y425" s="96">
        <v>13.4</v>
      </c>
      <c r="Z425" s="155">
        <v>40</v>
      </c>
      <c r="AA425" s="117">
        <v>0.39444444444444443</v>
      </c>
      <c r="AB425" s="155">
        <v>75.5</v>
      </c>
      <c r="AC425" s="155">
        <v>16.399999999999999</v>
      </c>
      <c r="AD425" s="96"/>
      <c r="AE425" s="94">
        <f>Table3.110[[#This Row],[Gas 8h, ml]]-Table3.110[[#This Row],[Gas 0h, ml]]</f>
        <v>32.5</v>
      </c>
      <c r="AF425" s="94">
        <f>Table3.110[[#This Row],[Gas 24h, ml]]-Table3.110[[#This Row],[V8 Push back, ml]]</f>
        <v>35.5</v>
      </c>
      <c r="AG425" s="94">
        <f>Table3.110[[#This Row],[GP 8h, ml]]-(AVERAGE(AE$293,AE$294,AE$385,AE$386,AE$477,AE$478))*$AG$8</f>
        <v>31.246240428868305</v>
      </c>
      <c r="AH425" s="94">
        <f>Table3.110[[#This Row],[GP 8-24h, ml]]-(AVERAGE(AF$293,AF$294,AF$385,AF$386,AF$477,AF$478))*$AG$8</f>
        <v>33.50873479879084</v>
      </c>
      <c r="AI425" s="94">
        <f>Table3.110[[#This Row],[Net gas 8-24h, ml]]+Table3.110[[#This Row],[Net gas 8h, ml]]</f>
        <v>64.754975227659145</v>
      </c>
      <c r="AJ425" s="94">
        <f>Table3.110[[#This Row],[Net gas 8h, ml]]*Table3.110[[#This Row],[CH4 8h %]]%</f>
        <v>4.1869962174683533</v>
      </c>
      <c r="AK425" s="94">
        <f>Table3.110[[#This Row],[Net gas 8-24h, ml]]*Table3.110[[#This Row],[CH4 24h, %]]%</f>
        <v>5.4954325070016967</v>
      </c>
      <c r="AL425" s="94">
        <f>Table3.110[[#This Row],[CH4 8-24h, ml]]+Table3.110[[#This Row],[CH4 8h, ml]]</f>
        <v>9.68242872447005</v>
      </c>
      <c r="AM425" s="94">
        <f>(Table3.110[[#This Row],[Net gas 24h, ml]]/Table3.110[[#This Row],[DM Incubated, mg]])*1000</f>
        <v>142.58584918043186</v>
      </c>
      <c r="AN425" s="94">
        <f>'3.2 Digest'!X425</f>
        <v>43.014080944109544</v>
      </c>
      <c r="AO425" s="94">
        <f>Table3.110[[#This Row],[Digested feed, mg]]/Table3.110[[#This Row],[Net gas 24h, ml]]</f>
        <v>3.0167145752085394</v>
      </c>
      <c r="AP425" s="94">
        <f>Table3.110[[#This Row],[CH4 8h, ml]]/Table3.110[[#This Row],[Net gas 8h, ml]]%</f>
        <v>13.400000000000002</v>
      </c>
      <c r="AQ425" s="94">
        <f>Table3.110[[#This Row],[CH4 24h, ml]]/Table3.110[[#This Row],[Net gas 24h, ml]]%</f>
        <v>14.952408970012767</v>
      </c>
      <c r="AR425" s="94">
        <f>Table3.110[[#This Row],[CH4 24h, ml]]/Table3.110[[#This Row],[DM Incubated, mg]]*1000</f>
        <v>21.32001930282377</v>
      </c>
      <c r="AS425" s="94">
        <f>Table3.110[[#This Row],[CH4 24h, ml]]/Table3.110[[#This Row],[Digested feed, mg]]*1000</f>
        <v>49.565209426480578</v>
      </c>
      <c r="AT425" s="94">
        <f>Table3.110[[#This Row],[CH4 24h, ml]]/'3.2 Digest'!AA425</f>
        <v>-1.5179472987187685</v>
      </c>
      <c r="AU425" s="94">
        <f>((Table3.110[[#This Row],[CH4 24h, ml]]/28.9)*16.04)/Table3.110[[#This Row],[DM Incubated, mg]]*1000</f>
        <v>11.83297957153264</v>
      </c>
      <c r="AV425" s="94">
        <f>((Table3.110[[#This Row],[CH4 24h, ml]]/28.9)*16.04)/Table3.110[[#This Row],[Digested feed, mg]]*1000</f>
        <v>27.509548761271574</v>
      </c>
    </row>
    <row r="426" spans="2:48" s="89" customFormat="1" x14ac:dyDescent="0.35">
      <c r="B426" s="90">
        <f t="shared" si="6"/>
        <v>416</v>
      </c>
      <c r="C426" s="140">
        <v>46048</v>
      </c>
      <c r="D426" s="6" t="s">
        <v>16</v>
      </c>
      <c r="E426" s="6" t="s">
        <v>268</v>
      </c>
      <c r="F426" s="133" t="s">
        <v>269</v>
      </c>
      <c r="G426" s="133" t="s">
        <v>270</v>
      </c>
      <c r="H426" s="133" t="s">
        <v>271</v>
      </c>
      <c r="I426" s="125" t="s">
        <v>22</v>
      </c>
      <c r="J426" s="127" t="s">
        <v>23</v>
      </c>
      <c r="K426" s="125" t="s">
        <v>215</v>
      </c>
      <c r="L426" s="6" t="s">
        <v>267</v>
      </c>
      <c r="M426" s="93">
        <v>28</v>
      </c>
      <c r="N426" s="93">
        <v>60</v>
      </c>
      <c r="O426" s="6">
        <v>1</v>
      </c>
      <c r="P426" s="129">
        <v>1</v>
      </c>
      <c r="Q426" s="6">
        <v>74</v>
      </c>
      <c r="R426" s="98">
        <v>0.50019999999999998</v>
      </c>
      <c r="S426" s="94">
        <f>((Table3.110[[#This Row],[Sample weight, g]]*'2.1. DM'!Q163)/100)*1000</f>
        <v>456.75217804236979</v>
      </c>
      <c r="T426" s="94">
        <f>'3.2 Digest'!W426</f>
        <v>208.5521780423698</v>
      </c>
      <c r="U426" s="153">
        <v>0.39166666666666666</v>
      </c>
      <c r="V426" s="154">
        <v>40.5</v>
      </c>
      <c r="W426" s="153">
        <v>0.73055555555555551</v>
      </c>
      <c r="X426" s="91">
        <v>83</v>
      </c>
      <c r="Y426" s="91">
        <v>12.5</v>
      </c>
      <c r="Z426" s="154">
        <v>40</v>
      </c>
      <c r="AA426" s="153">
        <v>0.39513888888888887</v>
      </c>
      <c r="AB426" s="154">
        <v>90.5</v>
      </c>
      <c r="AC426" s="154">
        <v>14.8</v>
      </c>
      <c r="AD426" s="91"/>
      <c r="AE426" s="94">
        <f>Table3.110[[#This Row],[Gas 8h, ml]]-Table3.110[[#This Row],[Gas 0h, ml]]</f>
        <v>42.5</v>
      </c>
      <c r="AF426" s="94">
        <f>Table3.110[[#This Row],[Gas 24h, ml]]-Table3.110[[#This Row],[V8 Push back, ml]]</f>
        <v>50.5</v>
      </c>
      <c r="AG426" s="94">
        <f>Table3.110[[#This Row],[GP 8h, ml]]-(AVERAGE(AE$293,AE$294,AE$385,AE$386,AE$477,AE$478))*$AG$8</f>
        <v>41.246240428868305</v>
      </c>
      <c r="AH426" s="94">
        <f>Table3.110[[#This Row],[GP 8-24h, ml]]-(AVERAGE(AF$293,AF$294,AF$385,AF$386,AF$477,AF$478))*$AG$8</f>
        <v>48.50873479879084</v>
      </c>
      <c r="AI426" s="94">
        <f>Table3.110[[#This Row],[Net gas 8-24h, ml]]+Table3.110[[#This Row],[Net gas 8h, ml]]</f>
        <v>89.754975227659145</v>
      </c>
      <c r="AJ426" s="94">
        <f>Table3.110[[#This Row],[Net gas 8h, ml]]*Table3.110[[#This Row],[CH4 8h %]]%</f>
        <v>5.1557800536085381</v>
      </c>
      <c r="AK426" s="94">
        <f>Table3.110[[#This Row],[Net gas 8-24h, ml]]*Table3.110[[#This Row],[CH4 24h, %]]%</f>
        <v>7.1792927502210455</v>
      </c>
      <c r="AL426" s="94">
        <f>Table3.110[[#This Row],[CH4 8-24h, ml]]+Table3.110[[#This Row],[CH4 8h, ml]]</f>
        <v>12.335072803829583</v>
      </c>
      <c r="AM426" s="94">
        <f>(Table3.110[[#This Row],[Net gas 24h, ml]]/Table3.110[[#This Row],[DM Incubated, mg]])*1000</f>
        <v>196.50694521555886</v>
      </c>
      <c r="AN426" s="94">
        <f>'3.2 Digest'!X426</f>
        <v>45.659810301555659</v>
      </c>
      <c r="AO426" s="94">
        <f>Table3.110[[#This Row],[Digested feed, mg]]/Table3.110[[#This Row],[Net gas 24h, ml]]</f>
        <v>2.3235723425179198</v>
      </c>
      <c r="AP426" s="94">
        <f>Table3.110[[#This Row],[CH4 8h, ml]]/Table3.110[[#This Row],[Net gas 8h, ml]]%</f>
        <v>12.5</v>
      </c>
      <c r="AQ426" s="94">
        <f>Table3.110[[#This Row],[CH4 24h, ml]]/Table3.110[[#This Row],[Net gas 24h, ml]]%</f>
        <v>13.743051872659169</v>
      </c>
      <c r="AR426" s="94">
        <f>Table3.110[[#This Row],[CH4 24h, ml]]/Table3.110[[#This Row],[DM Incubated, mg]]*1000</f>
        <v>27.006051414352189</v>
      </c>
      <c r="AS426" s="94">
        <f>Table3.110[[#This Row],[CH4 24h, ml]]/Table3.110[[#This Row],[Digested feed, mg]]*1000</f>
        <v>59.146219040318869</v>
      </c>
      <c r="AT426" s="94">
        <f>Table3.110[[#This Row],[CH4 24h, ml]]/'3.2 Digest'!AA426</f>
        <v>12.578163176294447</v>
      </c>
      <c r="AU426" s="94">
        <f>((Table3.110[[#This Row],[CH4 24h, ml]]/28.9)*16.04)/Table3.110[[#This Row],[DM Incubated, mg]]*1000</f>
        <v>14.988825767688896</v>
      </c>
      <c r="AV426" s="94">
        <f>((Table3.110[[#This Row],[CH4 24h, ml]]/28.9)*16.04)/Table3.110[[#This Row],[Digested feed, mg]]*1000</f>
        <v>32.827174858363826</v>
      </c>
    </row>
    <row r="427" spans="2:48" s="89" customFormat="1" x14ac:dyDescent="0.35">
      <c r="B427" s="90">
        <f t="shared" si="6"/>
        <v>417</v>
      </c>
      <c r="C427" s="140">
        <v>46048</v>
      </c>
      <c r="D427" s="6" t="s">
        <v>16</v>
      </c>
      <c r="E427" s="6" t="s">
        <v>268</v>
      </c>
      <c r="F427" s="133" t="s">
        <v>269</v>
      </c>
      <c r="G427" s="133" t="s">
        <v>270</v>
      </c>
      <c r="H427" s="133" t="s">
        <v>271</v>
      </c>
      <c r="I427" s="125" t="s">
        <v>22</v>
      </c>
      <c r="J427" s="127" t="s">
        <v>23</v>
      </c>
      <c r="K427" s="125" t="s">
        <v>215</v>
      </c>
      <c r="L427" s="6" t="s">
        <v>267</v>
      </c>
      <c r="M427" s="93">
        <v>28</v>
      </c>
      <c r="N427" s="93">
        <v>60</v>
      </c>
      <c r="O427" s="6">
        <v>1</v>
      </c>
      <c r="P427" s="6">
        <v>2</v>
      </c>
      <c r="Q427" s="6">
        <v>75</v>
      </c>
      <c r="R427" s="98">
        <v>0.50029999999999997</v>
      </c>
      <c r="S427" s="94">
        <f>((Table3.110[[#This Row],[Sample weight, g]]*'2.1. DM'!Q163)/100)*1000</f>
        <v>456.84349195241424</v>
      </c>
      <c r="T427" s="94">
        <f>'3.2 Digest'!W427</f>
        <v>231.14349195241422</v>
      </c>
      <c r="U427" s="117">
        <v>0.3923611111111111</v>
      </c>
      <c r="V427" s="155">
        <v>40.5</v>
      </c>
      <c r="W427" s="117">
        <v>0.73055555555555551</v>
      </c>
      <c r="X427" s="96">
        <v>81.5</v>
      </c>
      <c r="Y427" s="96">
        <v>12.4</v>
      </c>
      <c r="Z427" s="155">
        <v>40</v>
      </c>
      <c r="AA427" s="117">
        <v>0.39513888888888887</v>
      </c>
      <c r="AB427" s="155">
        <v>92</v>
      </c>
      <c r="AC427" s="155">
        <v>14.2</v>
      </c>
      <c r="AD427" s="96"/>
      <c r="AE427" s="94">
        <f>Table3.110[[#This Row],[Gas 8h, ml]]-Table3.110[[#This Row],[Gas 0h, ml]]</f>
        <v>41</v>
      </c>
      <c r="AF427" s="94">
        <f>Table3.110[[#This Row],[Gas 24h, ml]]-Table3.110[[#This Row],[V8 Push back, ml]]</f>
        <v>52</v>
      </c>
      <c r="AG427" s="94">
        <f>Table3.110[[#This Row],[GP 8h, ml]]-(AVERAGE(AE$293,AE$294,AE$385,AE$386,AE$477,AE$478))*$AG$8</f>
        <v>39.746240428868305</v>
      </c>
      <c r="AH427" s="94">
        <f>Table3.110[[#This Row],[GP 8-24h, ml]]-(AVERAGE(AF$293,AF$294,AF$385,AF$386,AF$477,AF$478))*$AG$8</f>
        <v>50.00873479879084</v>
      </c>
      <c r="AI427" s="94">
        <f>Table3.110[[#This Row],[Net gas 8-24h, ml]]+Table3.110[[#This Row],[Net gas 8h, ml]]</f>
        <v>89.754975227659145</v>
      </c>
      <c r="AJ427" s="94">
        <f>Table3.110[[#This Row],[Net gas 8h, ml]]*Table3.110[[#This Row],[CH4 8h %]]%</f>
        <v>4.9285338131796701</v>
      </c>
      <c r="AK427" s="94">
        <f>Table3.110[[#This Row],[Net gas 8-24h, ml]]*Table3.110[[#This Row],[CH4 24h, %]]%</f>
        <v>7.1012403414282987</v>
      </c>
      <c r="AL427" s="94">
        <f>Table3.110[[#This Row],[CH4 8-24h, ml]]+Table3.110[[#This Row],[CH4 8h, ml]]</f>
        <v>12.029774154607969</v>
      </c>
      <c r="AM427" s="94">
        <f>(Table3.110[[#This Row],[Net gas 24h, ml]]/Table3.110[[#This Row],[DM Incubated, mg]])*1000</f>
        <v>196.46766739320915</v>
      </c>
      <c r="AN427" s="94">
        <f>'3.2 Digest'!X427</f>
        <v>50.595772080406611</v>
      </c>
      <c r="AO427" s="94">
        <f>Table3.110[[#This Row],[Digested feed, mg]]/Table3.110[[#This Row],[Net gas 24h, ml]]</f>
        <v>2.5752721937266427</v>
      </c>
      <c r="AP427" s="94">
        <f>Table3.110[[#This Row],[CH4 8h, ml]]/Table3.110[[#This Row],[Net gas 8h, ml]]%</f>
        <v>12.4</v>
      </c>
      <c r="AQ427" s="94">
        <f>Table3.110[[#This Row],[CH4 24h, ml]]/Table3.110[[#This Row],[Net gas 24h, ml]]%</f>
        <v>13.402905102580698</v>
      </c>
      <c r="AR427" s="94">
        <f>Table3.110[[#This Row],[CH4 24h, ml]]/Table3.110[[#This Row],[DM Incubated, mg]]*1000</f>
        <v>26.332375017965703</v>
      </c>
      <c r="AS427" s="94">
        <f>Table3.110[[#This Row],[CH4 24h, ml]]/Table3.110[[#This Row],[Digested feed, mg]]*1000</f>
        <v>52.044615459407147</v>
      </c>
      <c r="AT427" s="94">
        <f>Table3.110[[#This Row],[CH4 24h, ml]]/'3.2 Digest'!AA427</f>
        <v>1.2059874824769099</v>
      </c>
      <c r="AU427" s="94">
        <f>((Table3.110[[#This Row],[CH4 24h, ml]]/28.9)*16.04)/Table3.110[[#This Row],[DM Incubated, mg]]*1000</f>
        <v>14.614923712393422</v>
      </c>
      <c r="AV427" s="94">
        <f>((Table3.110[[#This Row],[CH4 24h, ml]]/28.9)*16.04)/Table3.110[[#This Row],[Digested feed, mg]]*1000</f>
        <v>28.885662005843969</v>
      </c>
    </row>
    <row r="428" spans="2:48" s="89" customFormat="1" x14ac:dyDescent="0.35">
      <c r="B428" s="90">
        <f t="shared" si="6"/>
        <v>418</v>
      </c>
      <c r="C428" s="140">
        <v>46048</v>
      </c>
      <c r="D428" s="6" t="s">
        <v>16</v>
      </c>
      <c r="E428" s="6" t="s">
        <v>268</v>
      </c>
      <c r="F428" s="133" t="s">
        <v>269</v>
      </c>
      <c r="G428" s="133" t="s">
        <v>270</v>
      </c>
      <c r="H428" s="133" t="s">
        <v>271</v>
      </c>
      <c r="I428" s="125" t="s">
        <v>22</v>
      </c>
      <c r="J428" s="127" t="s">
        <v>23</v>
      </c>
      <c r="K428" s="125" t="s">
        <v>215</v>
      </c>
      <c r="L428" s="6" t="s">
        <v>267</v>
      </c>
      <c r="M428" s="93">
        <v>28</v>
      </c>
      <c r="N428" s="93">
        <v>60</v>
      </c>
      <c r="O428" s="6">
        <v>1</v>
      </c>
      <c r="P428" s="129">
        <v>3</v>
      </c>
      <c r="Q428" s="6">
        <v>76</v>
      </c>
      <c r="R428" s="98">
        <v>0.50039999999999996</v>
      </c>
      <c r="S428" s="94">
        <f>((Table3.110[[#This Row],[Sample weight, g]]*'2.1. DM'!Q163)/100)*1000</f>
        <v>456.93480586245869</v>
      </c>
      <c r="T428" s="94">
        <f>'3.2 Digest'!W428</f>
        <v>223.43480586245866</v>
      </c>
      <c r="U428" s="153">
        <v>0.39305555555555555</v>
      </c>
      <c r="V428" s="154">
        <v>40</v>
      </c>
      <c r="W428" s="153">
        <v>0.73124999999999996</v>
      </c>
      <c r="X428" s="91">
        <v>82</v>
      </c>
      <c r="Y428" s="91">
        <v>12.6</v>
      </c>
      <c r="Z428" s="154">
        <v>40</v>
      </c>
      <c r="AA428" s="153">
        <v>0.39583333333333331</v>
      </c>
      <c r="AB428" s="154">
        <v>91.5</v>
      </c>
      <c r="AC428" s="154">
        <v>14.3</v>
      </c>
      <c r="AD428" s="91"/>
      <c r="AE428" s="94">
        <f>Table3.110[[#This Row],[Gas 8h, ml]]-Table3.110[[#This Row],[Gas 0h, ml]]</f>
        <v>42</v>
      </c>
      <c r="AF428" s="94">
        <f>Table3.110[[#This Row],[Gas 24h, ml]]-Table3.110[[#This Row],[V8 Push back, ml]]</f>
        <v>51.5</v>
      </c>
      <c r="AG428" s="94">
        <f>Table3.110[[#This Row],[GP 8h, ml]]-(AVERAGE(AE$293,AE$294,AE$385,AE$386,AE$477,AE$478))*$AG$8</f>
        <v>40.746240428868305</v>
      </c>
      <c r="AH428" s="94">
        <f>Table3.110[[#This Row],[GP 8-24h, ml]]-(AVERAGE(AF$293,AF$294,AF$385,AF$386,AF$477,AF$478))*$AG$8</f>
        <v>49.50873479879084</v>
      </c>
      <c r="AI428" s="94">
        <f>Table3.110[[#This Row],[Net gas 8-24h, ml]]+Table3.110[[#This Row],[Net gas 8h, ml]]</f>
        <v>90.254975227659145</v>
      </c>
      <c r="AJ428" s="94">
        <f>Table3.110[[#This Row],[Net gas 8h, ml]]*Table3.110[[#This Row],[CH4 8h %]]%</f>
        <v>5.1340262940374064</v>
      </c>
      <c r="AK428" s="94">
        <f>Table3.110[[#This Row],[Net gas 8-24h, ml]]*Table3.110[[#This Row],[CH4 24h, %]]%</f>
        <v>7.0797490762270909</v>
      </c>
      <c r="AL428" s="94">
        <f>Table3.110[[#This Row],[CH4 8-24h, ml]]+Table3.110[[#This Row],[CH4 8h, ml]]</f>
        <v>12.213775370264496</v>
      </c>
      <c r="AM428" s="94">
        <f>(Table3.110[[#This Row],[Net gas 24h, ml]]/Table3.110[[#This Row],[DM Incubated, mg]])*1000</f>
        <v>197.5226532750203</v>
      </c>
      <c r="AN428" s="94">
        <f>'3.2 Digest'!X428</f>
        <v>48.898618138911147</v>
      </c>
      <c r="AO428" s="94">
        <f>Table3.110[[#This Row],[Digested feed, mg]]/Table3.110[[#This Row],[Net gas 24h, ml]]</f>
        <v>2.4755954483269949</v>
      </c>
      <c r="AP428" s="94">
        <f>Table3.110[[#This Row],[CH4 8h, ml]]/Table3.110[[#This Row],[Net gas 8h, ml]]%</f>
        <v>12.600000000000001</v>
      </c>
      <c r="AQ428" s="94">
        <f>Table3.110[[#This Row],[CH4 24h, ml]]/Table3.110[[#This Row],[Net gas 24h, ml]]%</f>
        <v>13.532523098539965</v>
      </c>
      <c r="AR428" s="94">
        <f>Table3.110[[#This Row],[CH4 24h, ml]]/Table3.110[[#This Row],[DM Incubated, mg]]*1000</f>
        <v>26.729798679291129</v>
      </c>
      <c r="AS428" s="94">
        <f>Table3.110[[#This Row],[CH4 24h, ml]]/Table3.110[[#This Row],[Digested feed, mg]]*1000</f>
        <v>54.663709725614623</v>
      </c>
      <c r="AT428" s="94">
        <f>Table3.110[[#This Row],[CH4 24h, ml]]/'3.2 Digest'!AA428</f>
        <v>1.7746217193300824</v>
      </c>
      <c r="AU428" s="94">
        <f>((Table3.110[[#This Row],[CH4 24h, ml]]/28.9)*16.04)/Table3.110[[#This Row],[DM Incubated, mg]]*1000</f>
        <v>14.835500720270923</v>
      </c>
      <c r="AV428" s="94">
        <f>((Table3.110[[#This Row],[CH4 24h, ml]]/28.9)*16.04)/Table3.110[[#This Row],[Digested feed, mg]]*1000</f>
        <v>30.339304636638705</v>
      </c>
    </row>
    <row r="429" spans="2:48" s="89" customFormat="1" x14ac:dyDescent="0.35">
      <c r="B429" s="90">
        <f t="shared" si="6"/>
        <v>419</v>
      </c>
      <c r="C429" s="140">
        <v>46048</v>
      </c>
      <c r="D429" s="6" t="s">
        <v>16</v>
      </c>
      <c r="E429" s="6" t="s">
        <v>273</v>
      </c>
      <c r="F429" s="133" t="s">
        <v>235</v>
      </c>
      <c r="G429" s="133" t="s">
        <v>274</v>
      </c>
      <c r="H429" s="133" t="s">
        <v>275</v>
      </c>
      <c r="I429" s="125" t="s">
        <v>22</v>
      </c>
      <c r="J429" s="127" t="s">
        <v>23</v>
      </c>
      <c r="K429" s="125" t="s">
        <v>215</v>
      </c>
      <c r="L429" s="6" t="s">
        <v>272</v>
      </c>
      <c r="M429" s="93">
        <v>28</v>
      </c>
      <c r="N429" s="93">
        <v>60</v>
      </c>
      <c r="O429" s="6">
        <v>1</v>
      </c>
      <c r="P429" s="129">
        <v>1</v>
      </c>
      <c r="Q429" s="6">
        <v>77</v>
      </c>
      <c r="R429" s="98">
        <v>0.50049999999999994</v>
      </c>
      <c r="S429" s="94">
        <f>((Table3.110[[#This Row],[Sample weight, g]]*'2.1. DM'!Q165)/100)*1000</f>
        <v>451.72870968903135</v>
      </c>
      <c r="T429" s="94">
        <f>'3.2 Digest'!W429</f>
        <v>114.5287096890313</v>
      </c>
      <c r="U429" s="117">
        <v>0.39305555555555555</v>
      </c>
      <c r="V429" s="155">
        <v>40.5</v>
      </c>
      <c r="W429" s="117">
        <v>0.73124999999999996</v>
      </c>
      <c r="X429" s="96">
        <v>72.5</v>
      </c>
      <c r="Y429" s="96">
        <v>13.1</v>
      </c>
      <c r="Z429" s="155">
        <v>40</v>
      </c>
      <c r="AA429" s="117">
        <v>0.39583333333333331</v>
      </c>
      <c r="AB429" s="155">
        <v>79.5</v>
      </c>
      <c r="AC429" s="155">
        <v>16.399999999999999</v>
      </c>
      <c r="AD429" s="96"/>
      <c r="AE429" s="94">
        <f>Table3.110[[#This Row],[Gas 8h, ml]]-Table3.110[[#This Row],[Gas 0h, ml]]</f>
        <v>32</v>
      </c>
      <c r="AF429" s="94">
        <f>Table3.110[[#This Row],[Gas 24h, ml]]-Table3.110[[#This Row],[V8 Push back, ml]]</f>
        <v>39.5</v>
      </c>
      <c r="AG429" s="94">
        <f>Table3.110[[#This Row],[GP 8h, ml]]-(AVERAGE(AE$293,AE$294,AE$385,AE$386,AE$477,AE$478))*$AG$8</f>
        <v>30.746240428868305</v>
      </c>
      <c r="AH429" s="94">
        <f>Table3.110[[#This Row],[GP 8-24h, ml]]-(AVERAGE(AF$293,AF$294,AF$385,AF$386,AF$477,AF$478))*$AG$8</f>
        <v>37.50873479879084</v>
      </c>
      <c r="AI429" s="94">
        <f>Table3.110[[#This Row],[Net gas 8-24h, ml]]+Table3.110[[#This Row],[Net gas 8h, ml]]</f>
        <v>68.254975227659145</v>
      </c>
      <c r="AJ429" s="94">
        <f>Table3.110[[#This Row],[Net gas 8h, ml]]*Table3.110[[#This Row],[CH4 8h %]]%</f>
        <v>4.0277574961817484</v>
      </c>
      <c r="AK429" s="94">
        <f>Table3.110[[#This Row],[Net gas 8-24h, ml]]*Table3.110[[#This Row],[CH4 24h, %]]%</f>
        <v>6.1514325070016973</v>
      </c>
      <c r="AL429" s="94">
        <f>Table3.110[[#This Row],[CH4 8-24h, ml]]+Table3.110[[#This Row],[CH4 8h, ml]]</f>
        <v>10.179190003183447</v>
      </c>
      <c r="AM429" s="94">
        <f>(Table3.110[[#This Row],[Net gas 24h, ml]]/Table3.110[[#This Row],[DM Incubated, mg]])*1000</f>
        <v>151.09727091431859</v>
      </c>
      <c r="AN429" s="94">
        <f>'3.2 Digest'!X429</f>
        <v>25.35342723022243</v>
      </c>
      <c r="AO429" s="94">
        <f>Table3.110[[#This Row],[Digested feed, mg]]/Table3.110[[#This Row],[Net gas 24h, ml]]</f>
        <v>1.6779540144440712</v>
      </c>
      <c r="AP429" s="94">
        <f>Table3.110[[#This Row],[CH4 8h, ml]]/Table3.110[[#This Row],[Net gas 8h, ml]]%</f>
        <v>13.100000000000001</v>
      </c>
      <c r="AQ429" s="94">
        <f>Table3.110[[#This Row],[CH4 24h, ml]]/Table3.110[[#This Row],[Net gas 24h, ml]]%</f>
        <v>14.913476957879704</v>
      </c>
      <c r="AR429" s="94">
        <f>Table3.110[[#This Row],[CH4 24h, ml]]/Table3.110[[#This Row],[DM Incubated, mg]]*1000</f>
        <v>22.533856681791974</v>
      </c>
      <c r="AS429" s="94">
        <f>Table3.110[[#This Row],[CH4 24h, ml]]/Table3.110[[#This Row],[Digested feed, mg]]*1000</f>
        <v>88.87893726229882</v>
      </c>
      <c r="AT429" s="94">
        <f>Table3.110[[#This Row],[CH4 24h, ml]]/'3.2 Digest'!AA429</f>
        <v>-0.23306773664896513</v>
      </c>
      <c r="AU429" s="94">
        <f>((Table3.110[[#This Row],[CH4 24h, ml]]/28.9)*16.04)/Table3.110[[#This Row],[DM Incubated, mg]]*1000</f>
        <v>12.506680317506687</v>
      </c>
      <c r="AV429" s="94">
        <f>((Table3.110[[#This Row],[CH4 24h, ml]]/28.9)*16.04)/Table3.110[[#This Row],[Digested feed, mg]]*1000</f>
        <v>49.329347878452346</v>
      </c>
    </row>
    <row r="430" spans="2:48" s="89" customFormat="1" x14ac:dyDescent="0.35">
      <c r="B430" s="90">
        <f t="shared" si="6"/>
        <v>420</v>
      </c>
      <c r="C430" s="140">
        <v>46048</v>
      </c>
      <c r="D430" s="6" t="s">
        <v>16</v>
      </c>
      <c r="E430" s="6" t="s">
        <v>273</v>
      </c>
      <c r="F430" s="133" t="s">
        <v>235</v>
      </c>
      <c r="G430" s="133" t="s">
        <v>274</v>
      </c>
      <c r="H430" s="133" t="s">
        <v>275</v>
      </c>
      <c r="I430" s="125" t="s">
        <v>22</v>
      </c>
      <c r="J430" s="127" t="s">
        <v>23</v>
      </c>
      <c r="K430" s="125" t="s">
        <v>215</v>
      </c>
      <c r="L430" s="6" t="s">
        <v>272</v>
      </c>
      <c r="M430" s="93">
        <v>28</v>
      </c>
      <c r="N430" s="93">
        <v>60</v>
      </c>
      <c r="O430" s="6">
        <v>1</v>
      </c>
      <c r="P430" s="6">
        <v>2</v>
      </c>
      <c r="Q430" s="6">
        <v>78</v>
      </c>
      <c r="R430" s="98">
        <v>0.50029999999999997</v>
      </c>
      <c r="S430" s="94">
        <f>((Table3.110[[#This Row],[Sample weight, g]]*'2.1. DM'!Q165)/100)*1000</f>
        <v>451.5481987161287</v>
      </c>
      <c r="T430" s="94">
        <f>'3.2 Digest'!W430</f>
        <v>189.24819871612874</v>
      </c>
      <c r="U430" s="153">
        <v>0.39305555555555555</v>
      </c>
      <c r="V430" s="154">
        <v>40.5</v>
      </c>
      <c r="W430" s="153">
        <v>0.7319444444444444</v>
      </c>
      <c r="X430" s="91">
        <v>74</v>
      </c>
      <c r="Y430" s="91">
        <v>12.7</v>
      </c>
      <c r="Z430" s="154">
        <v>39</v>
      </c>
      <c r="AA430" s="153">
        <v>0.39652777777777776</v>
      </c>
      <c r="AB430" s="154">
        <v>81</v>
      </c>
      <c r="AC430" s="154">
        <v>17.100000000000001</v>
      </c>
      <c r="AD430" s="91"/>
      <c r="AE430" s="94">
        <f>Table3.110[[#This Row],[Gas 8h, ml]]-Table3.110[[#This Row],[Gas 0h, ml]]</f>
        <v>33.5</v>
      </c>
      <c r="AF430" s="94">
        <f>Table3.110[[#This Row],[Gas 24h, ml]]-Table3.110[[#This Row],[V8 Push back, ml]]</f>
        <v>42</v>
      </c>
      <c r="AG430" s="94">
        <f>Table3.110[[#This Row],[GP 8h, ml]]-(AVERAGE(AE$293,AE$294,AE$385,AE$386,AE$477,AE$478))*$AG$8</f>
        <v>32.246240428868305</v>
      </c>
      <c r="AH430" s="94">
        <f>Table3.110[[#This Row],[GP 8-24h, ml]]-(AVERAGE(AF$293,AF$294,AF$385,AF$386,AF$477,AF$478))*$AG$8</f>
        <v>40.00873479879084</v>
      </c>
      <c r="AI430" s="94">
        <f>Table3.110[[#This Row],[Net gas 8-24h, ml]]+Table3.110[[#This Row],[Net gas 8h, ml]]</f>
        <v>72.254975227659145</v>
      </c>
      <c r="AJ430" s="94">
        <f>Table3.110[[#This Row],[Net gas 8h, ml]]*Table3.110[[#This Row],[CH4 8h %]]%</f>
        <v>4.0952725344662744</v>
      </c>
      <c r="AK430" s="94">
        <f>Table3.110[[#This Row],[Net gas 8-24h, ml]]*Table3.110[[#This Row],[CH4 24h, %]]%</f>
        <v>6.8414936505932342</v>
      </c>
      <c r="AL430" s="94">
        <f>Table3.110[[#This Row],[CH4 8-24h, ml]]+Table3.110[[#This Row],[CH4 8h, ml]]</f>
        <v>10.936766185059508</v>
      </c>
      <c r="AM430" s="94">
        <f>(Table3.110[[#This Row],[Net gas 24h, ml]]/Table3.110[[#This Row],[DM Incubated, mg]])*1000</f>
        <v>160.0160856207581</v>
      </c>
      <c r="AN430" s="94">
        <f>'3.2 Digest'!X430</f>
        <v>41.910963049838657</v>
      </c>
      <c r="AO430" s="94">
        <f>Table3.110[[#This Row],[Digested feed, mg]]/Table3.110[[#This Row],[Net gas 24h, ml]]</f>
        <v>2.6191718718309751</v>
      </c>
      <c r="AP430" s="94">
        <f>Table3.110[[#This Row],[CH4 8h, ml]]/Table3.110[[#This Row],[Net gas 8h, ml]]%</f>
        <v>12.7</v>
      </c>
      <c r="AQ430" s="94">
        <f>Table3.110[[#This Row],[CH4 24h, ml]]/Table3.110[[#This Row],[Net gas 24h, ml]]%</f>
        <v>15.13635033518484</v>
      </c>
      <c r="AR430" s="94">
        <f>Table3.110[[#This Row],[CH4 24h, ml]]/Table3.110[[#This Row],[DM Incubated, mg]]*1000</f>
        <v>24.22059531220728</v>
      </c>
      <c r="AS430" s="94">
        <f>Table3.110[[#This Row],[CH4 24h, ml]]/Table3.110[[#This Row],[Digested feed, mg]]*1000</f>
        <v>57.790595943608409</v>
      </c>
      <c r="AT430" s="94">
        <f>Table3.110[[#This Row],[CH4 24h, ml]]/'3.2 Digest'!AA430</f>
        <v>-0.9263768624970018</v>
      </c>
      <c r="AU430" s="94">
        <f>((Table3.110[[#This Row],[CH4 24h, ml]]/28.9)*16.04)/Table3.110[[#This Row],[DM Incubated, mg]]*1000</f>
        <v>13.442849439716426</v>
      </c>
      <c r="AV430" s="94">
        <f>((Table3.110[[#This Row],[CH4 24h, ml]]/28.9)*16.04)/Table3.110[[#This Row],[Digested feed, mg]]*1000</f>
        <v>32.074780586002731</v>
      </c>
    </row>
    <row r="431" spans="2:48" s="89" customFormat="1" x14ac:dyDescent="0.35">
      <c r="B431" s="90">
        <f t="shared" si="6"/>
        <v>421</v>
      </c>
      <c r="C431" s="140">
        <v>46048</v>
      </c>
      <c r="D431" s="6" t="s">
        <v>16</v>
      </c>
      <c r="E431" s="6" t="s">
        <v>273</v>
      </c>
      <c r="F431" s="133" t="s">
        <v>235</v>
      </c>
      <c r="G431" s="133" t="s">
        <v>274</v>
      </c>
      <c r="H431" s="133" t="s">
        <v>275</v>
      </c>
      <c r="I431" s="125" t="s">
        <v>22</v>
      </c>
      <c r="J431" s="127" t="s">
        <v>23</v>
      </c>
      <c r="K431" s="125" t="s">
        <v>215</v>
      </c>
      <c r="L431" s="6" t="s">
        <v>272</v>
      </c>
      <c r="M431" s="93">
        <v>28</v>
      </c>
      <c r="N431" s="93">
        <v>60</v>
      </c>
      <c r="O431" s="6">
        <v>1</v>
      </c>
      <c r="P431" s="129">
        <v>3</v>
      </c>
      <c r="Q431" s="6">
        <v>79</v>
      </c>
      <c r="R431" s="98">
        <v>0.50039999999999996</v>
      </c>
      <c r="S431" s="94">
        <f>((Table3.110[[#This Row],[Sample weight, g]]*'2.1. DM'!Q165)/100)*1000</f>
        <v>451.63845420257996</v>
      </c>
      <c r="T431" s="94">
        <f>'3.2 Digest'!W431</f>
        <v>163.43845420258009</v>
      </c>
      <c r="U431" s="117">
        <v>0.39374999999999999</v>
      </c>
      <c r="V431" s="155">
        <v>40.5</v>
      </c>
      <c r="W431" s="117">
        <v>0.73263888888888884</v>
      </c>
      <c r="X431" s="96">
        <v>74.5</v>
      </c>
      <c r="Y431" s="96">
        <v>13.1</v>
      </c>
      <c r="Z431" s="155">
        <v>40</v>
      </c>
      <c r="AA431" s="117">
        <v>0.39652777777777776</v>
      </c>
      <c r="AB431" s="155">
        <v>81</v>
      </c>
      <c r="AC431" s="155">
        <v>17.3</v>
      </c>
      <c r="AD431" s="96"/>
      <c r="AE431" s="94">
        <f>Table3.110[[#This Row],[Gas 8h, ml]]-Table3.110[[#This Row],[Gas 0h, ml]]</f>
        <v>34</v>
      </c>
      <c r="AF431" s="94">
        <f>Table3.110[[#This Row],[Gas 24h, ml]]-Table3.110[[#This Row],[V8 Push back, ml]]</f>
        <v>41</v>
      </c>
      <c r="AG431" s="94">
        <f>Table3.110[[#This Row],[GP 8h, ml]]-(AVERAGE(AE$293,AE$294,AE$385,AE$386,AE$477,AE$478))*$AG$8</f>
        <v>32.746240428868305</v>
      </c>
      <c r="AH431" s="94">
        <f>Table3.110[[#This Row],[GP 8-24h, ml]]-(AVERAGE(AF$293,AF$294,AF$385,AF$386,AF$477,AF$478))*$AG$8</f>
        <v>39.00873479879084</v>
      </c>
      <c r="AI431" s="94">
        <f>Table3.110[[#This Row],[Net gas 8-24h, ml]]+Table3.110[[#This Row],[Net gas 8h, ml]]</f>
        <v>71.754975227659145</v>
      </c>
      <c r="AJ431" s="94">
        <f>Table3.110[[#This Row],[Net gas 8h, ml]]*Table3.110[[#This Row],[CH4 8h %]]%</f>
        <v>4.289757496181748</v>
      </c>
      <c r="AK431" s="94">
        <f>Table3.110[[#This Row],[Net gas 8-24h, ml]]*Table3.110[[#This Row],[CH4 24h, %]]%</f>
        <v>6.7485111201908161</v>
      </c>
      <c r="AL431" s="94">
        <f>Table3.110[[#This Row],[CH4 8-24h, ml]]+Table3.110[[#This Row],[CH4 8h, ml]]</f>
        <v>11.038268616372564</v>
      </c>
      <c r="AM431" s="94">
        <f>(Table3.110[[#This Row],[Net gas 24h, ml]]/Table3.110[[#This Row],[DM Incubated, mg]])*1000</f>
        <v>158.87702776405712</v>
      </c>
      <c r="AN431" s="94">
        <f>'3.2 Digest'!X431</f>
        <v>36.187896022084658</v>
      </c>
      <c r="AO431" s="94">
        <f>Table3.110[[#This Row],[Digested feed, mg]]/Table3.110[[#This Row],[Net gas 24h, ml]]</f>
        <v>2.2777299230336858</v>
      </c>
      <c r="AP431" s="94">
        <f>Table3.110[[#This Row],[CH4 8h, ml]]/Table3.110[[#This Row],[Net gas 8h, ml]]%</f>
        <v>13.1</v>
      </c>
      <c r="AQ431" s="94">
        <f>Table3.110[[#This Row],[CH4 24h, ml]]/Table3.110[[#This Row],[Net gas 24h, ml]]%</f>
        <v>15.383279809310951</v>
      </c>
      <c r="AR431" s="94">
        <f>Table3.110[[#This Row],[CH4 24h, ml]]/Table3.110[[#This Row],[DM Incubated, mg]]*1000</f>
        <v>24.440497733661559</v>
      </c>
      <c r="AS431" s="94">
        <f>Table3.110[[#This Row],[CH4 24h, ml]]/Table3.110[[#This Row],[Digested feed, mg]]*1000</f>
        <v>67.537769310340863</v>
      </c>
      <c r="AT431" s="94">
        <f>Table3.110[[#This Row],[CH4 24h, ml]]/'3.2 Digest'!AA431</f>
        <v>-0.48368186104426897</v>
      </c>
      <c r="AU431" s="94">
        <f>((Table3.110[[#This Row],[CH4 24h, ml]]/28.9)*16.04)/Table3.110[[#This Row],[DM Incubated, mg]]*1000</f>
        <v>13.564899088163715</v>
      </c>
      <c r="AV431" s="94">
        <f>((Table3.110[[#This Row],[CH4 24h, ml]]/28.9)*16.04)/Table3.110[[#This Row],[Digested feed, mg]]*1000</f>
        <v>37.484630440756661</v>
      </c>
    </row>
    <row r="432" spans="2:48" s="89" customFormat="1" x14ac:dyDescent="0.35">
      <c r="B432" s="90">
        <f t="shared" si="6"/>
        <v>422</v>
      </c>
      <c r="C432" s="140">
        <v>46048</v>
      </c>
      <c r="D432" s="6" t="s">
        <v>16</v>
      </c>
      <c r="E432" s="6" t="s">
        <v>277</v>
      </c>
      <c r="F432" s="133" t="s">
        <v>269</v>
      </c>
      <c r="G432" s="133" t="s">
        <v>270</v>
      </c>
      <c r="H432" s="133" t="s">
        <v>271</v>
      </c>
      <c r="I432" s="125" t="s">
        <v>22</v>
      </c>
      <c r="J432" s="127" t="s">
        <v>23</v>
      </c>
      <c r="K432" s="125" t="s">
        <v>215</v>
      </c>
      <c r="L432" s="6" t="s">
        <v>276</v>
      </c>
      <c r="M432" s="93">
        <v>28</v>
      </c>
      <c r="N432" s="93">
        <v>60</v>
      </c>
      <c r="O432" s="6">
        <v>1</v>
      </c>
      <c r="P432" s="129">
        <v>1</v>
      </c>
      <c r="Q432" s="6">
        <v>80</v>
      </c>
      <c r="R432" s="98">
        <v>0.50039999999999996</v>
      </c>
      <c r="S432" s="94">
        <f>((Table3.110[[#This Row],[Sample weight, g]]*'2.1. DM'!Q167)/100)*1000</f>
        <v>460.39702029796996</v>
      </c>
      <c r="T432" s="94">
        <f>'3.2 Digest'!W432</f>
        <v>222.09702029797</v>
      </c>
      <c r="U432" s="153">
        <v>0.39374999999999999</v>
      </c>
      <c r="V432" s="154">
        <v>40.5</v>
      </c>
      <c r="W432" s="153">
        <v>0.73263888888888884</v>
      </c>
      <c r="X432" s="91">
        <v>80.5</v>
      </c>
      <c r="Y432" s="91">
        <v>12.3</v>
      </c>
      <c r="Z432" s="154">
        <v>40</v>
      </c>
      <c r="AA432" s="153">
        <v>0.3972222222222222</v>
      </c>
      <c r="AB432" s="154">
        <v>94.5</v>
      </c>
      <c r="AC432" s="154">
        <v>14.7</v>
      </c>
      <c r="AD432" s="91"/>
      <c r="AE432" s="94">
        <f>Table3.110[[#This Row],[Gas 8h, ml]]-Table3.110[[#This Row],[Gas 0h, ml]]</f>
        <v>40</v>
      </c>
      <c r="AF432" s="94">
        <f>Table3.110[[#This Row],[Gas 24h, ml]]-Table3.110[[#This Row],[V8 Push back, ml]]</f>
        <v>54.5</v>
      </c>
      <c r="AG432" s="94">
        <f>Table3.110[[#This Row],[GP 8h, ml]]-(AVERAGE(AE$293,AE$294,AE$385,AE$386,AE$477,AE$478))*$AG$8</f>
        <v>38.746240428868305</v>
      </c>
      <c r="AH432" s="94">
        <f>Table3.110[[#This Row],[GP 8-24h, ml]]-(AVERAGE(AF$293,AF$294,AF$385,AF$386,AF$477,AF$478))*$AG$8</f>
        <v>52.50873479879084</v>
      </c>
      <c r="AI432" s="94">
        <f>Table3.110[[#This Row],[Net gas 8-24h, ml]]+Table3.110[[#This Row],[Net gas 8h, ml]]</f>
        <v>91.254975227659145</v>
      </c>
      <c r="AJ432" s="94">
        <f>Table3.110[[#This Row],[Net gas 8h, ml]]*Table3.110[[#This Row],[CH4 8h %]]%</f>
        <v>4.7657875727508019</v>
      </c>
      <c r="AK432" s="94">
        <f>Table3.110[[#This Row],[Net gas 8-24h, ml]]*Table3.110[[#This Row],[CH4 24h, %]]%</f>
        <v>7.7187840154222531</v>
      </c>
      <c r="AL432" s="94">
        <f>Table3.110[[#This Row],[CH4 8-24h, ml]]+Table3.110[[#This Row],[CH4 8h, ml]]</f>
        <v>12.484571588173054</v>
      </c>
      <c r="AM432" s="94">
        <f>(Table3.110[[#This Row],[Net gas 24h, ml]]/Table3.110[[#This Row],[DM Incubated, mg]])*1000</f>
        <v>198.2093089321011</v>
      </c>
      <c r="AN432" s="94">
        <f>'3.2 Digest'!X432</f>
        <v>48.240325307541809</v>
      </c>
      <c r="AO432" s="94">
        <f>Table3.110[[#This Row],[Digested feed, mg]]/Table3.110[[#This Row],[Net gas 24h, ml]]</f>
        <v>2.4338072498939542</v>
      </c>
      <c r="AP432" s="94">
        <f>Table3.110[[#This Row],[CH4 8h, ml]]/Table3.110[[#This Row],[Net gas 8h, ml]]%</f>
        <v>12.3</v>
      </c>
      <c r="AQ432" s="94">
        <f>Table3.110[[#This Row],[CH4 24h, ml]]/Table3.110[[#This Row],[Net gas 24h, ml]]%</f>
        <v>13.68097635994866</v>
      </c>
      <c r="AR432" s="94">
        <f>Table3.110[[#This Row],[CH4 24h, ml]]/Table3.110[[#This Row],[DM Incubated, mg]]*1000</f>
        <v>27.116968698218361</v>
      </c>
      <c r="AS432" s="94">
        <f>Table3.110[[#This Row],[CH4 24h, ml]]/Table3.110[[#This Row],[Digested feed, mg]]*1000</f>
        <v>56.212242611015185</v>
      </c>
      <c r="AT432" s="94">
        <f>Table3.110[[#This Row],[CH4 24h, ml]]/'3.2 Digest'!AA432</f>
        <v>-3.531196382220406</v>
      </c>
      <c r="AU432" s="94">
        <f>((Table3.110[[#This Row],[CH4 24h, ml]]/28.9)*16.04)/Table3.110[[#This Row],[DM Incubated, mg]]*1000</f>
        <v>15.050386779218773</v>
      </c>
      <c r="AV432" s="94">
        <f>((Table3.110[[#This Row],[CH4 24h, ml]]/28.9)*16.04)/Table3.110[[#This Row],[Digested feed, mg]]*1000</f>
        <v>31.198767179262404</v>
      </c>
    </row>
    <row r="433" spans="2:48" s="89" customFormat="1" x14ac:dyDescent="0.35">
      <c r="B433" s="90">
        <f t="shared" si="6"/>
        <v>423</v>
      </c>
      <c r="C433" s="140">
        <v>46048</v>
      </c>
      <c r="D433" s="6" t="s">
        <v>16</v>
      </c>
      <c r="E433" s="6" t="s">
        <v>277</v>
      </c>
      <c r="F433" s="133" t="s">
        <v>269</v>
      </c>
      <c r="G433" s="133" t="s">
        <v>270</v>
      </c>
      <c r="H433" s="133" t="s">
        <v>271</v>
      </c>
      <c r="I433" s="125" t="s">
        <v>22</v>
      </c>
      <c r="J433" s="127" t="s">
        <v>23</v>
      </c>
      <c r="K433" s="125" t="s">
        <v>215</v>
      </c>
      <c r="L433" s="6" t="s">
        <v>276</v>
      </c>
      <c r="M433" s="93">
        <v>28</v>
      </c>
      <c r="N433" s="93">
        <v>60</v>
      </c>
      <c r="O433" s="6">
        <v>1</v>
      </c>
      <c r="P433" s="6">
        <v>2</v>
      </c>
      <c r="Q433" s="6">
        <v>81</v>
      </c>
      <c r="R433" s="98">
        <v>0.50029999999999997</v>
      </c>
      <c r="S433" s="94">
        <f>((Table3.110[[#This Row],[Sample weight, g]]*'2.1. DM'!Q167)/100)*1000</f>
        <v>460.30501449854989</v>
      </c>
      <c r="T433" s="94">
        <f>'3.2 Digest'!W433</f>
        <v>207.40501449854989</v>
      </c>
      <c r="U433" s="117">
        <v>0.39374999999999999</v>
      </c>
      <c r="V433" s="155">
        <v>40.5</v>
      </c>
      <c r="W433" s="117">
        <v>0.73333333333333328</v>
      </c>
      <c r="X433" s="96">
        <v>80</v>
      </c>
      <c r="Y433" s="96">
        <v>12.1</v>
      </c>
      <c r="Z433" s="155">
        <v>40</v>
      </c>
      <c r="AA433" s="117">
        <v>0.3972222222222222</v>
      </c>
      <c r="AB433" s="155">
        <v>94</v>
      </c>
      <c r="AC433" s="155">
        <v>14.8</v>
      </c>
      <c r="AD433" s="96"/>
      <c r="AE433" s="94">
        <f>Table3.110[[#This Row],[Gas 8h, ml]]-Table3.110[[#This Row],[Gas 0h, ml]]</f>
        <v>39.5</v>
      </c>
      <c r="AF433" s="94">
        <f>Table3.110[[#This Row],[Gas 24h, ml]]-Table3.110[[#This Row],[V8 Push back, ml]]</f>
        <v>54</v>
      </c>
      <c r="AG433" s="94">
        <f>Table3.110[[#This Row],[GP 8h, ml]]-(AVERAGE(AE$293,AE$294,AE$385,AE$386,AE$477,AE$478))*$AG$8</f>
        <v>38.246240428868305</v>
      </c>
      <c r="AH433" s="94">
        <f>Table3.110[[#This Row],[GP 8-24h, ml]]-(AVERAGE(AF$293,AF$294,AF$385,AF$386,AF$477,AF$478))*$AG$8</f>
        <v>52.00873479879084</v>
      </c>
      <c r="AI433" s="94">
        <f>Table3.110[[#This Row],[Net gas 8-24h, ml]]+Table3.110[[#This Row],[Net gas 8h, ml]]</f>
        <v>90.254975227659145</v>
      </c>
      <c r="AJ433" s="94">
        <f>Table3.110[[#This Row],[Net gas 8h, ml]]*Table3.110[[#This Row],[CH4 8h %]]%</f>
        <v>4.6277950918930646</v>
      </c>
      <c r="AK433" s="94">
        <f>Table3.110[[#This Row],[Net gas 8-24h, ml]]*Table3.110[[#This Row],[CH4 24h, %]]%</f>
        <v>7.6972927502210453</v>
      </c>
      <c r="AL433" s="94">
        <f>Table3.110[[#This Row],[CH4 8-24h, ml]]+Table3.110[[#This Row],[CH4 8h, ml]]</f>
        <v>12.32508784211411</v>
      </c>
      <c r="AM433" s="94">
        <f>(Table3.110[[#This Row],[Net gas 24h, ml]]/Table3.110[[#This Row],[DM Incubated, mg]])*1000</f>
        <v>196.07645449177153</v>
      </c>
      <c r="AN433" s="94">
        <f>'3.2 Digest'!X433</f>
        <v>45.058169684398102</v>
      </c>
      <c r="AO433" s="94">
        <f>Table3.110[[#This Row],[Digested feed, mg]]/Table3.110[[#This Row],[Net gas 24h, ml]]</f>
        <v>2.2979898224490283</v>
      </c>
      <c r="AP433" s="94">
        <f>Table3.110[[#This Row],[CH4 8h, ml]]/Table3.110[[#This Row],[Net gas 8h, ml]]%</f>
        <v>12.1</v>
      </c>
      <c r="AQ433" s="94">
        <f>Table3.110[[#This Row],[CH4 24h, ml]]/Table3.110[[#This Row],[Net gas 24h, ml]]%</f>
        <v>13.655854218590509</v>
      </c>
      <c r="AR433" s="94">
        <f>Table3.110[[#This Row],[CH4 24h, ml]]/Table3.110[[#This Row],[DM Incubated, mg]]*1000</f>
        <v>26.775914782377278</v>
      </c>
      <c r="AS433" s="94">
        <f>Table3.110[[#This Row],[CH4 24h, ml]]/Table3.110[[#This Row],[Digested feed, mg]]*1000</f>
        <v>59.425216270266617</v>
      </c>
      <c r="AT433" s="94">
        <f>Table3.110[[#This Row],[CH4 24h, ml]]/'3.2 Digest'!AA433</f>
        <v>-1.2448562360206927</v>
      </c>
      <c r="AU433" s="94">
        <f>((Table3.110[[#This Row],[CH4 24h, ml]]/28.9)*16.04)/Table3.110[[#This Row],[DM Incubated, mg]]*1000</f>
        <v>14.861095955340192</v>
      </c>
      <c r="AV433" s="94">
        <f>((Table3.110[[#This Row],[CH4 24h, ml]]/28.9)*16.04)/Table3.110[[#This Row],[Digested feed, mg]]*1000</f>
        <v>32.982023147926526</v>
      </c>
    </row>
    <row r="434" spans="2:48" s="89" customFormat="1" x14ac:dyDescent="0.35">
      <c r="B434" s="90">
        <f t="shared" si="6"/>
        <v>424</v>
      </c>
      <c r="C434" s="140">
        <v>46048</v>
      </c>
      <c r="D434" s="6" t="s">
        <v>16</v>
      </c>
      <c r="E434" s="6" t="s">
        <v>277</v>
      </c>
      <c r="F434" s="133" t="s">
        <v>269</v>
      </c>
      <c r="G434" s="133" t="s">
        <v>270</v>
      </c>
      <c r="H434" s="133" t="s">
        <v>271</v>
      </c>
      <c r="I434" s="125" t="s">
        <v>22</v>
      </c>
      <c r="J434" s="127" t="s">
        <v>23</v>
      </c>
      <c r="K434" s="125" t="s">
        <v>215</v>
      </c>
      <c r="L434" s="6" t="s">
        <v>276</v>
      </c>
      <c r="M434" s="93">
        <v>28</v>
      </c>
      <c r="N434" s="93">
        <v>60</v>
      </c>
      <c r="O434" s="6">
        <v>1</v>
      </c>
      <c r="P434" s="129">
        <v>3</v>
      </c>
      <c r="Q434" s="6">
        <v>82</v>
      </c>
      <c r="R434" s="98">
        <v>0.50009999999999999</v>
      </c>
      <c r="S434" s="94">
        <f>((Table3.110[[#This Row],[Sample weight, g]]*'2.1. DM'!Q167)/100)*1000</f>
        <v>460.12100289970982</v>
      </c>
      <c r="T434" s="94">
        <f>'3.2 Digest'!W434</f>
        <v>177.32100289970975</v>
      </c>
      <c r="U434" s="153">
        <v>0.39444444444444443</v>
      </c>
      <c r="V434" s="154">
        <v>40.5</v>
      </c>
      <c r="W434" s="153">
        <v>0.73333333333333328</v>
      </c>
      <c r="X434" s="91">
        <v>79.5</v>
      </c>
      <c r="Y434" s="91">
        <v>12.3</v>
      </c>
      <c r="Z434" s="154">
        <v>40</v>
      </c>
      <c r="AA434" s="153">
        <v>0.39791666666666664</v>
      </c>
      <c r="AB434" s="154">
        <v>94.5</v>
      </c>
      <c r="AC434" s="154">
        <v>14.9</v>
      </c>
      <c r="AD434" s="91"/>
      <c r="AE434" s="94">
        <f>Table3.110[[#This Row],[Gas 8h, ml]]-Table3.110[[#This Row],[Gas 0h, ml]]</f>
        <v>39</v>
      </c>
      <c r="AF434" s="94">
        <f>Table3.110[[#This Row],[Gas 24h, ml]]-Table3.110[[#This Row],[V8 Push back, ml]]</f>
        <v>54.5</v>
      </c>
      <c r="AG434" s="94">
        <f>Table3.110[[#This Row],[GP 8h, ml]]-(AVERAGE(AE$293,AE$294,AE$385,AE$386,AE$477,AE$478))*$AG$8</f>
        <v>37.746240428868305</v>
      </c>
      <c r="AH434" s="94">
        <f>Table3.110[[#This Row],[GP 8-24h, ml]]-(AVERAGE(AF$293,AF$294,AF$385,AF$386,AF$477,AF$478))*$AG$8</f>
        <v>52.50873479879084</v>
      </c>
      <c r="AI434" s="94">
        <f>Table3.110[[#This Row],[Net gas 8-24h, ml]]+Table3.110[[#This Row],[Net gas 8h, ml]]</f>
        <v>90.254975227659145</v>
      </c>
      <c r="AJ434" s="94">
        <f>Table3.110[[#This Row],[Net gas 8h, ml]]*Table3.110[[#This Row],[CH4 8h %]]%</f>
        <v>4.6427875727508017</v>
      </c>
      <c r="AK434" s="94">
        <f>Table3.110[[#This Row],[Net gas 8-24h, ml]]*Table3.110[[#This Row],[CH4 24h, %]]%</f>
        <v>7.8238014850198345</v>
      </c>
      <c r="AL434" s="94">
        <f>Table3.110[[#This Row],[CH4 8-24h, ml]]+Table3.110[[#This Row],[CH4 8h, ml]]</f>
        <v>12.466589057770637</v>
      </c>
      <c r="AM434" s="94">
        <f>(Table3.110[[#This Row],[Net gas 24h, ml]]/Table3.110[[#This Row],[DM Incubated, mg]])*1000</f>
        <v>196.15486939058843</v>
      </c>
      <c r="AN434" s="94">
        <f>'3.2 Digest'!X434</f>
        <v>38.537906720671799</v>
      </c>
      <c r="AO434" s="94">
        <f>Table3.110[[#This Row],[Digested feed, mg]]/Table3.110[[#This Row],[Net gas 24h, ml]]</f>
        <v>1.964667348835178</v>
      </c>
      <c r="AP434" s="94">
        <f>Table3.110[[#This Row],[CH4 8h, ml]]/Table3.110[[#This Row],[Net gas 8h, ml]]%</f>
        <v>12.3</v>
      </c>
      <c r="AQ434" s="94">
        <f>Table3.110[[#This Row],[CH4 24h, ml]]/Table3.110[[#This Row],[Net gas 24h, ml]]%</f>
        <v>13.81263362637341</v>
      </c>
      <c r="AR434" s="94">
        <f>Table3.110[[#This Row],[CH4 24h, ml]]/Table3.110[[#This Row],[DM Incubated, mg]]*1000</f>
        <v>27.094153449213259</v>
      </c>
      <c r="AS434" s="94">
        <f>Table3.110[[#This Row],[CH4 24h, ml]]/Table3.110[[#This Row],[Digested feed, mg]]*1000</f>
        <v>70.305202733494369</v>
      </c>
      <c r="AT434" s="94">
        <f>Table3.110[[#This Row],[CH4 24h, ml]]/'3.2 Digest'!AA434</f>
        <v>-0.54336338052853217</v>
      </c>
      <c r="AU434" s="94">
        <f>((Table3.110[[#This Row],[CH4 24h, ml]]/28.9)*16.04)/Table3.110[[#This Row],[DM Incubated, mg]]*1000</f>
        <v>15.03772392129345</v>
      </c>
      <c r="AV434" s="94">
        <f>((Table3.110[[#This Row],[CH4 24h, ml]]/28.9)*16.04)/Table3.110[[#This Row],[Digested feed, mg]]*1000</f>
        <v>39.020603870077842</v>
      </c>
    </row>
    <row r="435" spans="2:48" s="89" customFormat="1" x14ac:dyDescent="0.35">
      <c r="B435" s="90">
        <f t="shared" si="6"/>
        <v>425</v>
      </c>
      <c r="C435" s="140">
        <v>46048</v>
      </c>
      <c r="D435" s="6" t="s">
        <v>16</v>
      </c>
      <c r="E435" s="6" t="s">
        <v>279</v>
      </c>
      <c r="F435" s="133" t="s">
        <v>269</v>
      </c>
      <c r="G435" s="133" t="s">
        <v>270</v>
      </c>
      <c r="H435" s="133" t="s">
        <v>271</v>
      </c>
      <c r="I435" s="125" t="s">
        <v>22</v>
      </c>
      <c r="J435" s="127" t="s">
        <v>23</v>
      </c>
      <c r="K435" s="125" t="s">
        <v>215</v>
      </c>
      <c r="L435" s="6" t="s">
        <v>278</v>
      </c>
      <c r="M435" s="93">
        <v>28</v>
      </c>
      <c r="N435" s="93">
        <v>60</v>
      </c>
      <c r="O435" s="6">
        <v>1</v>
      </c>
      <c r="P435" s="129">
        <v>1</v>
      </c>
      <c r="Q435" s="6">
        <v>83</v>
      </c>
      <c r="R435" s="98">
        <v>0.50049999999999994</v>
      </c>
      <c r="S435" s="94">
        <f>((Table3.110[[#This Row],[Sample weight, g]]*'2.1. DM'!Q169)/100)*1000</f>
        <v>461.29756782549919</v>
      </c>
      <c r="T435" s="94">
        <f>'3.2 Digest'!W435</f>
        <v>181.69756782549922</v>
      </c>
      <c r="U435" s="117">
        <v>0.39444444444444443</v>
      </c>
      <c r="V435" s="155">
        <v>40.5</v>
      </c>
      <c r="W435" s="117">
        <v>0.73402777777777772</v>
      </c>
      <c r="X435" s="96">
        <v>79.5</v>
      </c>
      <c r="Y435" s="96">
        <v>12</v>
      </c>
      <c r="Z435" s="155">
        <v>40</v>
      </c>
      <c r="AA435" s="117">
        <v>0.39791666666666664</v>
      </c>
      <c r="AB435" s="155">
        <v>88</v>
      </c>
      <c r="AC435" s="155">
        <v>13.6</v>
      </c>
      <c r="AD435" s="96"/>
      <c r="AE435" s="94">
        <f>Table3.110[[#This Row],[Gas 8h, ml]]-Table3.110[[#This Row],[Gas 0h, ml]]</f>
        <v>39</v>
      </c>
      <c r="AF435" s="94">
        <f>Table3.110[[#This Row],[Gas 24h, ml]]-Table3.110[[#This Row],[V8 Push back, ml]]</f>
        <v>48</v>
      </c>
      <c r="AG435" s="94">
        <f>Table3.110[[#This Row],[GP 8h, ml]]-(AVERAGE(AE$293,AE$294,AE$385,AE$386,AE$477,AE$478))*$AG$8</f>
        <v>37.746240428868305</v>
      </c>
      <c r="AH435" s="94">
        <f>Table3.110[[#This Row],[GP 8-24h, ml]]-(AVERAGE(AF$293,AF$294,AF$385,AF$386,AF$477,AF$478))*$AG$8</f>
        <v>46.00873479879084</v>
      </c>
      <c r="AI435" s="94">
        <f>Table3.110[[#This Row],[Net gas 8-24h, ml]]+Table3.110[[#This Row],[Net gas 8h, ml]]</f>
        <v>83.754975227659145</v>
      </c>
      <c r="AJ435" s="94">
        <f>Table3.110[[#This Row],[Net gas 8h, ml]]*Table3.110[[#This Row],[CH4 8h %]]%</f>
        <v>4.5295488514641962</v>
      </c>
      <c r="AK435" s="94">
        <f>Table3.110[[#This Row],[Net gas 8-24h, ml]]*Table3.110[[#This Row],[CH4 24h, %]]%</f>
        <v>6.2571879326355546</v>
      </c>
      <c r="AL435" s="94">
        <f>Table3.110[[#This Row],[CH4 8-24h, ml]]+Table3.110[[#This Row],[CH4 8h, ml]]</f>
        <v>10.786736784099752</v>
      </c>
      <c r="AM435" s="94">
        <f>(Table3.110[[#This Row],[Net gas 24h, ml]]/Table3.110[[#This Row],[DM Incubated, mg]])*1000</f>
        <v>181.56387778602419</v>
      </c>
      <c r="AN435" s="94">
        <f>'3.2 Digest'!X435</f>
        <v>39.388364582540405</v>
      </c>
      <c r="AO435" s="94">
        <f>Table3.110[[#This Row],[Digested feed, mg]]/Table3.110[[#This Row],[Net gas 24h, ml]]</f>
        <v>2.1693943235206836</v>
      </c>
      <c r="AP435" s="94">
        <f>Table3.110[[#This Row],[CH4 8h, ml]]/Table3.110[[#This Row],[Net gas 8h, ml]]%</f>
        <v>11.999999999999998</v>
      </c>
      <c r="AQ435" s="94">
        <f>Table3.110[[#This Row],[CH4 24h, ml]]/Table3.110[[#This Row],[Net gas 24h, ml]]%</f>
        <v>12.878920631018888</v>
      </c>
      <c r="AR435" s="94">
        <f>Table3.110[[#This Row],[CH4 24h, ml]]/Table3.110[[#This Row],[DM Incubated, mg]]*1000</f>
        <v>23.383467714662189</v>
      </c>
      <c r="AS435" s="94">
        <f>Table3.110[[#This Row],[CH4 24h, ml]]/Table3.110[[#This Row],[Digested feed, mg]]*1000</f>
        <v>59.366434637469894</v>
      </c>
      <c r="AT435" s="94">
        <f>Table3.110[[#This Row],[CH4 24h, ml]]/'3.2 Digest'!AA435</f>
        <v>-0.37684094810128527</v>
      </c>
      <c r="AU435" s="94">
        <f>((Table3.110[[#This Row],[CH4 24h, ml]]/28.9)*16.04)/Table3.110[[#This Row],[DM Incubated, mg]]*1000</f>
        <v>12.978229139902476</v>
      </c>
      <c r="AV435" s="94">
        <f>((Table3.110[[#This Row],[CH4 24h, ml]]/28.9)*16.04)/Table3.110[[#This Row],[Digested feed, mg]]*1000</f>
        <v>32.949398324741082</v>
      </c>
    </row>
    <row r="436" spans="2:48" s="89" customFormat="1" x14ac:dyDescent="0.35">
      <c r="B436" s="90">
        <f t="shared" si="6"/>
        <v>426</v>
      </c>
      <c r="C436" s="140">
        <v>46048</v>
      </c>
      <c r="D436" s="6" t="s">
        <v>16</v>
      </c>
      <c r="E436" s="6" t="s">
        <v>279</v>
      </c>
      <c r="F436" s="133" t="s">
        <v>269</v>
      </c>
      <c r="G436" s="133" t="s">
        <v>270</v>
      </c>
      <c r="H436" s="133" t="s">
        <v>271</v>
      </c>
      <c r="I436" s="125" t="s">
        <v>22</v>
      </c>
      <c r="J436" s="127" t="s">
        <v>23</v>
      </c>
      <c r="K436" s="125" t="s">
        <v>215</v>
      </c>
      <c r="L436" s="6" t="s">
        <v>278</v>
      </c>
      <c r="M436" s="93">
        <v>28</v>
      </c>
      <c r="N436" s="93">
        <v>60</v>
      </c>
      <c r="O436" s="6">
        <v>1</v>
      </c>
      <c r="P436" s="6">
        <v>2</v>
      </c>
      <c r="Q436" s="6">
        <v>84</v>
      </c>
      <c r="R436" s="98">
        <v>0.5</v>
      </c>
      <c r="S436" s="94">
        <f>((Table3.110[[#This Row],[Sample weight, g]]*'2.1. DM'!Q169)/100)*1000</f>
        <v>460.8367310944048</v>
      </c>
      <c r="T436" s="94">
        <f>'3.2 Digest'!W436</f>
        <v>256.93673109440482</v>
      </c>
      <c r="U436" s="153">
        <v>0.39444444444444443</v>
      </c>
      <c r="V436" s="154">
        <v>41</v>
      </c>
      <c r="W436" s="153">
        <v>0.73472222222222228</v>
      </c>
      <c r="X436" s="91">
        <v>79.5</v>
      </c>
      <c r="Y436" s="91">
        <v>11.9</v>
      </c>
      <c r="Z436" s="154">
        <v>40</v>
      </c>
      <c r="AA436" s="153">
        <v>0.39791666666666664</v>
      </c>
      <c r="AB436" s="154">
        <v>87</v>
      </c>
      <c r="AC436" s="154">
        <v>12.9</v>
      </c>
      <c r="AD436" s="91"/>
      <c r="AE436" s="94">
        <f>Table3.110[[#This Row],[Gas 8h, ml]]-Table3.110[[#This Row],[Gas 0h, ml]]</f>
        <v>38.5</v>
      </c>
      <c r="AF436" s="94">
        <f>Table3.110[[#This Row],[Gas 24h, ml]]-Table3.110[[#This Row],[V8 Push back, ml]]</f>
        <v>47</v>
      </c>
      <c r="AG436" s="94">
        <f>Table3.110[[#This Row],[GP 8h, ml]]-(AVERAGE(AE$293,AE$294,AE$385,AE$386,AE$477,AE$478))*$AG$8</f>
        <v>37.246240428868305</v>
      </c>
      <c r="AH436" s="94">
        <f>Table3.110[[#This Row],[GP 8-24h, ml]]-(AVERAGE(AF$293,AF$294,AF$385,AF$386,AF$477,AF$478))*$AG$8</f>
        <v>45.00873479879084</v>
      </c>
      <c r="AI436" s="94">
        <f>Table3.110[[#This Row],[Net gas 8-24h, ml]]+Table3.110[[#This Row],[Net gas 8h, ml]]</f>
        <v>82.254975227659145</v>
      </c>
      <c r="AJ436" s="94">
        <f>Table3.110[[#This Row],[Net gas 8h, ml]]*Table3.110[[#This Row],[CH4 8h %]]%</f>
        <v>4.432302611035329</v>
      </c>
      <c r="AK436" s="94">
        <f>Table3.110[[#This Row],[Net gas 8-24h, ml]]*Table3.110[[#This Row],[CH4 24h, %]]%</f>
        <v>5.8061267890440185</v>
      </c>
      <c r="AL436" s="94">
        <f>Table3.110[[#This Row],[CH4 8-24h, ml]]+Table3.110[[#This Row],[CH4 8h, ml]]</f>
        <v>10.238429400079347</v>
      </c>
      <c r="AM436" s="94">
        <f>(Table3.110[[#This Row],[Net gas 24h, ml]]/Table3.110[[#This Row],[DM Incubated, mg]])*1000</f>
        <v>178.49049278758292</v>
      </c>
      <c r="AN436" s="94">
        <f>'3.2 Digest'!X436</f>
        <v>55.75439494248343</v>
      </c>
      <c r="AO436" s="94">
        <f>Table3.110[[#This Row],[Digested feed, mg]]/Table3.110[[#This Row],[Net gas 24h, ml]]</f>
        <v>3.1236618865092916</v>
      </c>
      <c r="AP436" s="94">
        <f>Table3.110[[#This Row],[CH4 8h, ml]]/Table3.110[[#This Row],[Net gas 8h, ml]]%</f>
        <v>11.900000000000002</v>
      </c>
      <c r="AQ436" s="94">
        <f>Table3.110[[#This Row],[CH4 24h, ml]]/Table3.110[[#This Row],[Net gas 24h, ml]]%</f>
        <v>12.447185561410956</v>
      </c>
      <c r="AR436" s="94">
        <f>Table3.110[[#This Row],[CH4 24h, ml]]/Table3.110[[#This Row],[DM Incubated, mg]]*1000</f>
        <v>22.217042846747283</v>
      </c>
      <c r="AS436" s="94">
        <f>Table3.110[[#This Row],[CH4 24h, ml]]/Table3.110[[#This Row],[Digested feed, mg]]*1000</f>
        <v>39.848056587586534</v>
      </c>
      <c r="AT436" s="94">
        <f>Table3.110[[#This Row],[CH4 24h, ml]]/'3.2 Digest'!AA436</f>
        <v>1.6767032876191219</v>
      </c>
      <c r="AU436" s="94">
        <f>((Table3.110[[#This Row],[CH4 24h, ml]]/28.9)*16.04)/Table3.110[[#This Row],[DM Incubated, mg]]*1000</f>
        <v>12.330843157848665</v>
      </c>
      <c r="AV436" s="94">
        <f>((Table3.110[[#This Row],[CH4 24h, ml]]/28.9)*16.04)/Table3.110[[#This Row],[Digested feed, mg]]*1000</f>
        <v>22.116360818854258</v>
      </c>
    </row>
    <row r="437" spans="2:48" s="89" customFormat="1" x14ac:dyDescent="0.35">
      <c r="B437" s="90">
        <f t="shared" si="6"/>
        <v>427</v>
      </c>
      <c r="C437" s="140">
        <v>46048</v>
      </c>
      <c r="D437" s="6" t="s">
        <v>16</v>
      </c>
      <c r="E437" s="6" t="s">
        <v>279</v>
      </c>
      <c r="F437" s="133" t="s">
        <v>269</v>
      </c>
      <c r="G437" s="133" t="s">
        <v>270</v>
      </c>
      <c r="H437" s="133" t="s">
        <v>271</v>
      </c>
      <c r="I437" s="125" t="s">
        <v>22</v>
      </c>
      <c r="J437" s="127" t="s">
        <v>23</v>
      </c>
      <c r="K437" s="125" t="s">
        <v>215</v>
      </c>
      <c r="L437" s="6" t="s">
        <v>278</v>
      </c>
      <c r="M437" s="93">
        <v>28</v>
      </c>
      <c r="N437" s="93">
        <v>60</v>
      </c>
      <c r="O437" s="6">
        <v>1</v>
      </c>
      <c r="P437" s="129">
        <v>3</v>
      </c>
      <c r="Q437" s="6">
        <v>85</v>
      </c>
      <c r="R437" s="98">
        <v>0.50049999999999994</v>
      </c>
      <c r="S437" s="94">
        <f>((Table3.110[[#This Row],[Sample weight, g]]*'2.1. DM'!Q169)/100)*1000</f>
        <v>461.29756782549919</v>
      </c>
      <c r="T437" s="94">
        <f>'3.2 Digest'!W437</f>
        <v>261.99756782549912</v>
      </c>
      <c r="U437" s="117">
        <v>0.39513888888888887</v>
      </c>
      <c r="V437" s="155">
        <v>41</v>
      </c>
      <c r="W437" s="117">
        <v>0.73472222222222228</v>
      </c>
      <c r="X437" s="96">
        <v>80</v>
      </c>
      <c r="Y437" s="96">
        <v>11.9</v>
      </c>
      <c r="Z437" s="155">
        <v>40</v>
      </c>
      <c r="AA437" s="117">
        <v>0.39861111111111114</v>
      </c>
      <c r="AB437" s="155">
        <v>85.5</v>
      </c>
      <c r="AC437" s="155">
        <v>13.4</v>
      </c>
      <c r="AD437" s="96"/>
      <c r="AE437" s="94">
        <f>Table3.110[[#This Row],[Gas 8h, ml]]-Table3.110[[#This Row],[Gas 0h, ml]]</f>
        <v>39</v>
      </c>
      <c r="AF437" s="94">
        <f>Table3.110[[#This Row],[Gas 24h, ml]]-Table3.110[[#This Row],[V8 Push back, ml]]</f>
        <v>45.5</v>
      </c>
      <c r="AG437" s="94">
        <f>Table3.110[[#This Row],[GP 8h, ml]]-(AVERAGE(AE$293,AE$294,AE$385,AE$386,AE$477,AE$478))*$AG$8</f>
        <v>37.746240428868305</v>
      </c>
      <c r="AH437" s="94">
        <f>Table3.110[[#This Row],[GP 8-24h, ml]]-(AVERAGE(AF$293,AF$294,AF$385,AF$386,AF$477,AF$478))*$AG$8</f>
        <v>43.50873479879084</v>
      </c>
      <c r="AI437" s="94">
        <f>Table3.110[[#This Row],[Net gas 8-24h, ml]]+Table3.110[[#This Row],[Net gas 8h, ml]]</f>
        <v>81.254975227659145</v>
      </c>
      <c r="AJ437" s="94">
        <f>Table3.110[[#This Row],[Net gas 8h, ml]]*Table3.110[[#This Row],[CH4 8h %]]%</f>
        <v>4.4918026110353289</v>
      </c>
      <c r="AK437" s="94">
        <f>Table3.110[[#This Row],[Net gas 8-24h, ml]]*Table3.110[[#This Row],[CH4 24h, %]]%</f>
        <v>5.8301704630379731</v>
      </c>
      <c r="AL437" s="94">
        <f>Table3.110[[#This Row],[CH4 8-24h, ml]]+Table3.110[[#This Row],[CH4 8h, ml]]</f>
        <v>10.321973074073302</v>
      </c>
      <c r="AM437" s="94">
        <f>(Table3.110[[#This Row],[Net gas 24h, ml]]/Table3.110[[#This Row],[DM Incubated, mg]])*1000</f>
        <v>176.14438248761044</v>
      </c>
      <c r="AN437" s="94">
        <f>'3.2 Digest'!X437</f>
        <v>56.795783481045412</v>
      </c>
      <c r="AO437" s="94">
        <f>Table3.110[[#This Row],[Digested feed, mg]]/Table3.110[[#This Row],[Net gas 24h, ml]]</f>
        <v>3.2243880093672752</v>
      </c>
      <c r="AP437" s="94">
        <f>Table3.110[[#This Row],[CH4 8h, ml]]/Table3.110[[#This Row],[Net gas 8h, ml]]%</f>
        <v>11.900000000000002</v>
      </c>
      <c r="AQ437" s="94">
        <f>Table3.110[[#This Row],[CH4 24h, ml]]/Table3.110[[#This Row],[Net gas 24h, ml]]%</f>
        <v>12.70318899877002</v>
      </c>
      <c r="AR437" s="94">
        <f>Table3.110[[#This Row],[CH4 24h, ml]]/Table3.110[[#This Row],[DM Incubated, mg]]*1000</f>
        <v>22.375953818117516</v>
      </c>
      <c r="AS437" s="94">
        <f>Table3.110[[#This Row],[CH4 24h, ml]]/Table3.110[[#This Row],[Digested feed, mg]]*1000</f>
        <v>39.397209522754615</v>
      </c>
      <c r="AT437" s="94">
        <f>Table3.110[[#This Row],[CH4 24h, ml]]/'3.2 Digest'!AA437</f>
        <v>1.241185802574615</v>
      </c>
      <c r="AU437" s="94">
        <f>((Table3.110[[#This Row],[CH4 24h, ml]]/28.9)*16.04)/Table3.110[[#This Row],[DM Incubated, mg]]*1000</f>
        <v>12.419041496283908</v>
      </c>
      <c r="AV437" s="94">
        <f>((Table3.110[[#This Row],[CH4 24h, ml]]/28.9)*16.04)/Table3.110[[#This Row],[Digested feed, mg]]*1000</f>
        <v>21.866132897750315</v>
      </c>
    </row>
    <row r="438" spans="2:48" s="89" customFormat="1" x14ac:dyDescent="0.35">
      <c r="B438" s="90">
        <f t="shared" si="6"/>
        <v>428</v>
      </c>
      <c r="C438" s="140">
        <v>46048</v>
      </c>
      <c r="D438" s="6" t="s">
        <v>16</v>
      </c>
      <c r="E438" s="6" t="s">
        <v>281</v>
      </c>
      <c r="F438" s="133" t="s">
        <v>269</v>
      </c>
      <c r="G438" s="133" t="s">
        <v>282</v>
      </c>
      <c r="H438" s="133" t="s">
        <v>283</v>
      </c>
      <c r="I438" s="125" t="s">
        <v>22</v>
      </c>
      <c r="J438" s="127" t="s">
        <v>23</v>
      </c>
      <c r="K438" s="125" t="s">
        <v>215</v>
      </c>
      <c r="L438" s="6" t="s">
        <v>280</v>
      </c>
      <c r="M438" s="93">
        <v>28</v>
      </c>
      <c r="N438" s="93">
        <v>60</v>
      </c>
      <c r="O438" s="6">
        <v>1</v>
      </c>
      <c r="P438" s="129">
        <v>1</v>
      </c>
      <c r="Q438" s="6">
        <v>86</v>
      </c>
      <c r="R438" s="98">
        <v>0.50029999999999997</v>
      </c>
      <c r="S438" s="94">
        <f>((Table3.110[[#This Row],[Sample weight, g]]*'2.1. DM'!Q171)/100)*1000</f>
        <v>456.2367889633112</v>
      </c>
      <c r="T438" s="94">
        <f>'3.2 Digest'!W438</f>
        <v>319.03678896331121</v>
      </c>
      <c r="U438" s="153">
        <v>0.39513888888888887</v>
      </c>
      <c r="V438" s="154">
        <v>41</v>
      </c>
      <c r="W438" s="153">
        <v>0.73541666666666672</v>
      </c>
      <c r="X438" s="91">
        <v>84.5</v>
      </c>
      <c r="Y438" s="91">
        <v>12.6</v>
      </c>
      <c r="Z438" s="154">
        <v>40.5</v>
      </c>
      <c r="AA438" s="153">
        <v>0.39861111111111114</v>
      </c>
      <c r="AB438" s="154">
        <v>90</v>
      </c>
      <c r="AC438" s="154">
        <v>15</v>
      </c>
      <c r="AD438" s="91"/>
      <c r="AE438" s="94">
        <f>Table3.110[[#This Row],[Gas 8h, ml]]-Table3.110[[#This Row],[Gas 0h, ml]]</f>
        <v>43.5</v>
      </c>
      <c r="AF438" s="94">
        <f>Table3.110[[#This Row],[Gas 24h, ml]]-Table3.110[[#This Row],[V8 Push back, ml]]</f>
        <v>49.5</v>
      </c>
      <c r="AG438" s="94">
        <f>Table3.110[[#This Row],[GP 8h, ml]]-(AVERAGE(AE$293,AE$294,AE$385,AE$386,AE$477,AE$478))*$AG$8</f>
        <v>42.246240428868305</v>
      </c>
      <c r="AH438" s="94">
        <f>Table3.110[[#This Row],[GP 8-24h, ml]]-(AVERAGE(AF$293,AF$294,AF$385,AF$386,AF$477,AF$478))*$AG$8</f>
        <v>47.50873479879084</v>
      </c>
      <c r="AI438" s="94">
        <f>Table3.110[[#This Row],[Net gas 8-24h, ml]]+Table3.110[[#This Row],[Net gas 8h, ml]]</f>
        <v>89.754975227659145</v>
      </c>
      <c r="AJ438" s="94">
        <f>Table3.110[[#This Row],[Net gas 8h, ml]]*Table3.110[[#This Row],[CH4 8h %]]%</f>
        <v>5.3230262940374065</v>
      </c>
      <c r="AK438" s="94">
        <f>Table3.110[[#This Row],[Net gas 8-24h, ml]]*Table3.110[[#This Row],[CH4 24h, %]]%</f>
        <v>7.1263102198186257</v>
      </c>
      <c r="AL438" s="94">
        <f>Table3.110[[#This Row],[CH4 8-24h, ml]]+Table3.110[[#This Row],[CH4 8h, ml]]</f>
        <v>12.449336513856032</v>
      </c>
      <c r="AM438" s="94">
        <f>(Table3.110[[#This Row],[Net gas 24h, ml]]/Table3.110[[#This Row],[DM Incubated, mg]])*1000</f>
        <v>196.72892979894456</v>
      </c>
      <c r="AN438" s="94">
        <f>'3.2 Digest'!X438</f>
        <v>69.927896364571097</v>
      </c>
      <c r="AO438" s="94">
        <f>Table3.110[[#This Row],[Digested feed, mg]]/Table3.110[[#This Row],[Net gas 24h, ml]]</f>
        <v>3.5545304107553912</v>
      </c>
      <c r="AP438" s="94">
        <f>Table3.110[[#This Row],[CH4 8h, ml]]/Table3.110[[#This Row],[Net gas 8h, ml]]%</f>
        <v>12.6</v>
      </c>
      <c r="AQ438" s="94">
        <f>Table3.110[[#This Row],[CH4 24h, ml]]/Table3.110[[#This Row],[Net gas 24h, ml]]%</f>
        <v>13.870358141461121</v>
      </c>
      <c r="AR438" s="94">
        <f>Table3.110[[#This Row],[CH4 24h, ml]]/Table3.110[[#This Row],[DM Incubated, mg]]*1000</f>
        <v>27.287007130977241</v>
      </c>
      <c r="AS438" s="94">
        <f>Table3.110[[#This Row],[CH4 24h, ml]]/Table3.110[[#This Row],[Digested feed, mg]]*1000</f>
        <v>39.021633067174861</v>
      </c>
      <c r="AT438" s="94">
        <f>Table3.110[[#This Row],[CH4 24h, ml]]/'3.2 Digest'!AA438</f>
        <v>0.31499021515950076</v>
      </c>
      <c r="AU438" s="94">
        <f>((Table3.110[[#This Row],[CH4 24h, ml]]/28.9)*16.04)/Table3.110[[#This Row],[DM Incubated, mg]]*1000</f>
        <v>15.14476105124135</v>
      </c>
      <c r="AV438" s="94">
        <f>((Table3.110[[#This Row],[CH4 24h, ml]]/28.9)*16.04)/Table3.110[[#This Row],[Digested feed, mg]]*1000</f>
        <v>21.657681467040998</v>
      </c>
    </row>
    <row r="439" spans="2:48" s="89" customFormat="1" x14ac:dyDescent="0.35">
      <c r="B439" s="90">
        <f t="shared" si="6"/>
        <v>429</v>
      </c>
      <c r="C439" s="140">
        <v>46048</v>
      </c>
      <c r="D439" s="6" t="s">
        <v>16</v>
      </c>
      <c r="E439" s="6" t="s">
        <v>281</v>
      </c>
      <c r="F439" s="133" t="s">
        <v>269</v>
      </c>
      <c r="G439" s="133" t="s">
        <v>282</v>
      </c>
      <c r="H439" s="133" t="s">
        <v>283</v>
      </c>
      <c r="I439" s="125" t="s">
        <v>22</v>
      </c>
      <c r="J439" s="127" t="s">
        <v>23</v>
      </c>
      <c r="K439" s="125" t="s">
        <v>215</v>
      </c>
      <c r="L439" s="6" t="s">
        <v>280</v>
      </c>
      <c r="M439" s="93">
        <v>28</v>
      </c>
      <c r="N439" s="93">
        <v>60</v>
      </c>
      <c r="O439" s="6">
        <v>1</v>
      </c>
      <c r="P439" s="6">
        <v>2</v>
      </c>
      <c r="Q439" s="6">
        <v>87</v>
      </c>
      <c r="R439" s="98">
        <v>0.50049999999999994</v>
      </c>
      <c r="S439" s="94">
        <f>((Table3.110[[#This Row],[Sample weight, g]]*'2.1. DM'!Q171)/100)*1000</f>
        <v>456.41917424772589</v>
      </c>
      <c r="T439" s="94">
        <f>'3.2 Digest'!W439</f>
        <v>280.41917424772583</v>
      </c>
      <c r="U439" s="117">
        <v>0.39513888888888887</v>
      </c>
      <c r="V439" s="155">
        <v>41.5</v>
      </c>
      <c r="W439" s="117">
        <v>0.73611111111111116</v>
      </c>
      <c r="X439" s="96">
        <v>85.5</v>
      </c>
      <c r="Y439" s="96">
        <v>12.9</v>
      </c>
      <c r="Z439" s="155">
        <v>40</v>
      </c>
      <c r="AA439" s="117">
        <v>0.39861111111111114</v>
      </c>
      <c r="AB439" s="155">
        <v>89</v>
      </c>
      <c r="AC439" s="155">
        <v>14.7</v>
      </c>
      <c r="AD439" s="96"/>
      <c r="AE439" s="94">
        <f>Table3.110[[#This Row],[Gas 8h, ml]]-Table3.110[[#This Row],[Gas 0h, ml]]</f>
        <v>44</v>
      </c>
      <c r="AF439" s="94">
        <f>Table3.110[[#This Row],[Gas 24h, ml]]-Table3.110[[#This Row],[V8 Push back, ml]]</f>
        <v>49</v>
      </c>
      <c r="AG439" s="94">
        <f>Table3.110[[#This Row],[GP 8h, ml]]-(AVERAGE(AE$293,AE$294,AE$385,AE$386,AE$477,AE$478))*$AG$8</f>
        <v>42.746240428868305</v>
      </c>
      <c r="AH439" s="94">
        <f>Table3.110[[#This Row],[GP 8-24h, ml]]-(AVERAGE(AF$293,AF$294,AF$385,AF$386,AF$477,AF$478))*$AG$8</f>
        <v>47.00873479879084</v>
      </c>
      <c r="AI439" s="94">
        <f>Table3.110[[#This Row],[Net gas 8-24h, ml]]+Table3.110[[#This Row],[Net gas 8h, ml]]</f>
        <v>89.754975227659145</v>
      </c>
      <c r="AJ439" s="94">
        <f>Table3.110[[#This Row],[Net gas 8h, ml]]*Table3.110[[#This Row],[CH4 8h %]]%</f>
        <v>5.5142650153240114</v>
      </c>
      <c r="AK439" s="94">
        <f>Table3.110[[#This Row],[Net gas 8-24h, ml]]*Table3.110[[#This Row],[CH4 24h, %]]%</f>
        <v>6.9102840154222527</v>
      </c>
      <c r="AL439" s="94">
        <f>Table3.110[[#This Row],[CH4 8-24h, ml]]+Table3.110[[#This Row],[CH4 8h, ml]]</f>
        <v>12.424549030746263</v>
      </c>
      <c r="AM439" s="94">
        <f>(Table3.110[[#This Row],[Net gas 24h, ml]]/Table3.110[[#This Row],[DM Incubated, mg]])*1000</f>
        <v>196.65031683998396</v>
      </c>
      <c r="AN439" s="94">
        <f>'3.2 Digest'!X439</f>
        <v>61.438955694601397</v>
      </c>
      <c r="AO439" s="94">
        <f>Table3.110[[#This Row],[Digested feed, mg]]/Table3.110[[#This Row],[Net gas 24h, ml]]</f>
        <v>3.1242744319906075</v>
      </c>
      <c r="AP439" s="94">
        <f>Table3.110[[#This Row],[CH4 8h, ml]]/Table3.110[[#This Row],[Net gas 8h, ml]]%</f>
        <v>12.9</v>
      </c>
      <c r="AQ439" s="94">
        <f>Table3.110[[#This Row],[CH4 24h, ml]]/Table3.110[[#This Row],[Net gas 24h, ml]]%</f>
        <v>13.842741306798867</v>
      </c>
      <c r="AR439" s="94">
        <f>Table3.110[[#This Row],[CH4 24h, ml]]/Table3.110[[#This Row],[DM Incubated, mg]]*1000</f>
        <v>27.22179463915931</v>
      </c>
      <c r="AS439" s="94">
        <f>Table3.110[[#This Row],[CH4 24h, ml]]/Table3.110[[#This Row],[Digested feed, mg]]*1000</f>
        <v>44.307059472938391</v>
      </c>
      <c r="AT439" s="94">
        <f>Table3.110[[#This Row],[CH4 24h, ml]]/'3.2 Digest'!AA439</f>
        <v>0.55340522616580456</v>
      </c>
      <c r="AU439" s="94">
        <f>((Table3.110[[#This Row],[CH4 24h, ml]]/28.9)*16.04)/Table3.110[[#This Row],[DM Incubated, mg]]*1000</f>
        <v>15.108566990038593</v>
      </c>
      <c r="AV439" s="94">
        <f>((Table3.110[[#This Row],[CH4 24h, ml]]/28.9)*16.04)/Table3.110[[#This Row],[Digested feed, mg]]*1000</f>
        <v>24.591184565603182</v>
      </c>
    </row>
    <row r="440" spans="2:48" s="89" customFormat="1" x14ac:dyDescent="0.35">
      <c r="B440" s="90">
        <f t="shared" si="6"/>
        <v>430</v>
      </c>
      <c r="C440" s="140">
        <v>46048</v>
      </c>
      <c r="D440" s="6" t="s">
        <v>16</v>
      </c>
      <c r="E440" s="6" t="s">
        <v>281</v>
      </c>
      <c r="F440" s="133" t="s">
        <v>269</v>
      </c>
      <c r="G440" s="133" t="s">
        <v>282</v>
      </c>
      <c r="H440" s="133" t="s">
        <v>283</v>
      </c>
      <c r="I440" s="125" t="s">
        <v>22</v>
      </c>
      <c r="J440" s="127" t="s">
        <v>23</v>
      </c>
      <c r="K440" s="125" t="s">
        <v>215</v>
      </c>
      <c r="L440" s="6" t="s">
        <v>280</v>
      </c>
      <c r="M440" s="93">
        <v>28</v>
      </c>
      <c r="N440" s="93">
        <v>60</v>
      </c>
      <c r="O440" s="6">
        <v>1</v>
      </c>
      <c r="P440" s="129">
        <v>3</v>
      </c>
      <c r="Q440" s="6">
        <v>88</v>
      </c>
      <c r="R440" s="98">
        <v>0.50039999999999996</v>
      </c>
      <c r="S440" s="94">
        <f>((Table3.110[[#This Row],[Sample weight, g]]*'2.1. DM'!Q171)/100)*1000</f>
        <v>456.32798160551852</v>
      </c>
      <c r="T440" s="94">
        <f>'3.2 Digest'!W440</f>
        <v>312.12798160551853</v>
      </c>
      <c r="U440" s="117">
        <v>0.39583333333333331</v>
      </c>
      <c r="V440" s="155">
        <v>41</v>
      </c>
      <c r="W440" s="117">
        <v>0.7368055555555556</v>
      </c>
      <c r="X440" s="96">
        <v>88</v>
      </c>
      <c r="Y440" s="96">
        <v>12.9</v>
      </c>
      <c r="Z440" s="155">
        <v>40</v>
      </c>
      <c r="AA440" s="117">
        <v>0.39930555555555558</v>
      </c>
      <c r="AB440" s="155">
        <v>86.5</v>
      </c>
      <c r="AC440" s="155">
        <v>14.9</v>
      </c>
      <c r="AD440" s="96"/>
      <c r="AE440" s="94">
        <f>Table3.110[[#This Row],[Gas 8h, ml]]-Table3.110[[#This Row],[Gas 0h, ml]]</f>
        <v>47</v>
      </c>
      <c r="AF440" s="94">
        <f>Table3.110[[#This Row],[Gas 24h, ml]]-Table3.110[[#This Row],[V8 Push back, ml]]</f>
        <v>46.5</v>
      </c>
      <c r="AG440" s="94">
        <f>Table3.110[[#This Row],[GP 8h, ml]]-(AVERAGE(AE$293,AE$294,AE$385,AE$386,AE$477,AE$478))*$AG$8</f>
        <v>45.746240428868305</v>
      </c>
      <c r="AH440" s="94">
        <f>Table3.110[[#This Row],[GP 8-24h, ml]]-(AVERAGE(AF$293,AF$294,AF$385,AF$386,AF$477,AF$478))*$AG$8</f>
        <v>44.50873479879084</v>
      </c>
      <c r="AI440" s="94">
        <f>Table3.110[[#This Row],[Net gas 8-24h, ml]]+Table3.110[[#This Row],[Net gas 8h, ml]]</f>
        <v>90.254975227659145</v>
      </c>
      <c r="AJ440" s="94">
        <f>Table3.110[[#This Row],[Net gas 8h, ml]]*Table3.110[[#This Row],[CH4 8h %]]%</f>
        <v>5.9012650153240118</v>
      </c>
      <c r="AK440" s="94">
        <f>Table3.110[[#This Row],[Net gas 8-24h, ml]]*Table3.110[[#This Row],[CH4 24h, %]]%</f>
        <v>6.6318014850198352</v>
      </c>
      <c r="AL440" s="94">
        <f>Table3.110[[#This Row],[CH4 8-24h, ml]]+Table3.110[[#This Row],[CH4 8h, ml]]</f>
        <v>12.533066500343846</v>
      </c>
      <c r="AM440" s="94">
        <f>(Table3.110[[#This Row],[Net gas 24h, ml]]/Table3.110[[#This Row],[DM Incubated, mg]])*1000</f>
        <v>197.78531859937922</v>
      </c>
      <c r="AN440" s="94">
        <f>'3.2 Digest'!X440</f>
        <v>68.399921588710185</v>
      </c>
      <c r="AO440" s="94">
        <f>Table3.110[[#This Row],[Digested feed, mg]]/Table3.110[[#This Row],[Net gas 24h, ml]]</f>
        <v>3.4582911448173013</v>
      </c>
      <c r="AP440" s="94">
        <f>Table3.110[[#This Row],[CH4 8h, ml]]/Table3.110[[#This Row],[Net gas 8h, ml]]%</f>
        <v>12.9</v>
      </c>
      <c r="AQ440" s="94">
        <f>Table3.110[[#This Row],[CH4 24h, ml]]/Table3.110[[#This Row],[Net gas 24h, ml]]%</f>
        <v>13.886288782120255</v>
      </c>
      <c r="AR440" s="94">
        <f>Table3.110[[#This Row],[CH4 24h, ml]]/Table3.110[[#This Row],[DM Incubated, mg]]*1000</f>
        <v>27.465040509346402</v>
      </c>
      <c r="AS440" s="94">
        <f>Table3.110[[#This Row],[CH4 24h, ml]]/Table3.110[[#This Row],[Digested feed, mg]]*1000</f>
        <v>40.153614026773489</v>
      </c>
      <c r="AT440" s="94">
        <f>Table3.110[[#This Row],[CH4 24h, ml]]/'3.2 Digest'!AA440</f>
        <v>0.34384205583660216</v>
      </c>
      <c r="AU440" s="94">
        <f>((Table3.110[[#This Row],[CH4 24h, ml]]/28.9)*16.04)/Table3.110[[#This Row],[DM Incubated, mg]]*1000</f>
        <v>15.243572656398486</v>
      </c>
      <c r="AV440" s="94">
        <f>((Table3.110[[#This Row],[CH4 24h, ml]]/28.9)*16.04)/Table3.110[[#This Row],[Digested feed, mg]]*1000</f>
        <v>22.2859504840639</v>
      </c>
    </row>
    <row r="441" spans="2:48" s="89" customFormat="1" x14ac:dyDescent="0.35">
      <c r="B441" s="90">
        <f t="shared" si="6"/>
        <v>431</v>
      </c>
      <c r="C441" s="140">
        <v>46048</v>
      </c>
      <c r="D441" s="6" t="s">
        <v>16</v>
      </c>
      <c r="E441" s="6" t="s">
        <v>285</v>
      </c>
      <c r="F441" s="133" t="s">
        <v>269</v>
      </c>
      <c r="G441" s="133" t="s">
        <v>282</v>
      </c>
      <c r="H441" s="133" t="s">
        <v>283</v>
      </c>
      <c r="I441" s="125" t="s">
        <v>22</v>
      </c>
      <c r="J441" s="127" t="s">
        <v>23</v>
      </c>
      <c r="K441" s="125" t="s">
        <v>215</v>
      </c>
      <c r="L441" s="6" t="s">
        <v>284</v>
      </c>
      <c r="M441" s="93">
        <v>28</v>
      </c>
      <c r="N441" s="93">
        <v>60</v>
      </c>
      <c r="O441" s="6">
        <v>1</v>
      </c>
      <c r="P441" s="129">
        <v>1</v>
      </c>
      <c r="Q441" s="6">
        <v>89</v>
      </c>
      <c r="R441" s="98">
        <v>0.5</v>
      </c>
      <c r="S441" s="94">
        <f>((Table3.110[[#This Row],[Sample weight, g]]*'2.1. DM'!Q173)/100)*1000</f>
        <v>467.03163583471684</v>
      </c>
      <c r="T441" s="94">
        <f>'3.2 Digest'!W441</f>
        <v>230.03163583471684</v>
      </c>
      <c r="U441" s="117">
        <v>0.39583333333333331</v>
      </c>
      <c r="V441" s="155">
        <v>40</v>
      </c>
      <c r="W441" s="117">
        <v>0.7368055555555556</v>
      </c>
      <c r="X441" s="96">
        <v>82.5</v>
      </c>
      <c r="Y441" s="96">
        <v>12.8</v>
      </c>
      <c r="Z441" s="155">
        <v>40</v>
      </c>
      <c r="AA441" s="117">
        <v>0.39930555555555558</v>
      </c>
      <c r="AB441" s="155">
        <v>83</v>
      </c>
      <c r="AC441" s="155">
        <v>16.8</v>
      </c>
      <c r="AD441" s="96"/>
      <c r="AE441" s="94">
        <f>Table3.110[[#This Row],[Gas 8h, ml]]-Table3.110[[#This Row],[Gas 0h, ml]]</f>
        <v>42.5</v>
      </c>
      <c r="AF441" s="94">
        <f>Table3.110[[#This Row],[Gas 24h, ml]]-Table3.110[[#This Row],[V8 Push back, ml]]</f>
        <v>43</v>
      </c>
      <c r="AG441" s="94">
        <f>Table3.110[[#This Row],[GP 8h, ml]]-(AVERAGE(AE$293,AE$294,AE$385,AE$386,AE$477,AE$478))*$AG$8</f>
        <v>41.246240428868305</v>
      </c>
      <c r="AH441" s="94">
        <f>Table3.110[[#This Row],[GP 8-24h, ml]]-(AVERAGE(AF$293,AF$294,AF$385,AF$386,AF$477,AF$478))*$AG$8</f>
        <v>41.00873479879084</v>
      </c>
      <c r="AI441" s="94">
        <f>Table3.110[[#This Row],[Net gas 8-24h, ml]]+Table3.110[[#This Row],[Net gas 8h, ml]]</f>
        <v>82.254975227659145</v>
      </c>
      <c r="AJ441" s="94">
        <f>Table3.110[[#This Row],[Net gas 8h, ml]]*Table3.110[[#This Row],[CH4 8h %]]%</f>
        <v>5.2795187748951431</v>
      </c>
      <c r="AK441" s="94">
        <f>Table3.110[[#This Row],[Net gas 8-24h, ml]]*Table3.110[[#This Row],[CH4 24h, %]]%</f>
        <v>6.8894674461968615</v>
      </c>
      <c r="AL441" s="94">
        <f>Table3.110[[#This Row],[CH4 8-24h, ml]]+Table3.110[[#This Row],[CH4 8h, ml]]</f>
        <v>12.168986221092005</v>
      </c>
      <c r="AM441" s="94">
        <f>(Table3.110[[#This Row],[Net gas 24h, ml]]/Table3.110[[#This Row],[DM Incubated, mg]])*1000</f>
        <v>176.12291955478855</v>
      </c>
      <c r="AN441" s="94">
        <f>'3.2 Digest'!X441</f>
        <v>49.253973004116872</v>
      </c>
      <c r="AO441" s="94">
        <f>Table3.110[[#This Row],[Digested feed, mg]]/Table3.110[[#This Row],[Net gas 24h, ml]]</f>
        <v>2.7965680519391385</v>
      </c>
      <c r="AP441" s="94">
        <f>Table3.110[[#This Row],[CH4 8h, ml]]/Table3.110[[#This Row],[Net gas 8h, ml]]%</f>
        <v>12.8</v>
      </c>
      <c r="AQ441" s="94">
        <f>Table3.110[[#This Row],[CH4 24h, ml]]/Table3.110[[#This Row],[Net gas 24h, ml]]%</f>
        <v>14.794225136426823</v>
      </c>
      <c r="AR441" s="94">
        <f>Table3.110[[#This Row],[CH4 24h, ml]]/Table3.110[[#This Row],[DM Incubated, mg]]*1000</f>
        <v>26.056021235783323</v>
      </c>
      <c r="AS441" s="94">
        <f>Table3.110[[#This Row],[CH4 24h, ml]]/Table3.110[[#This Row],[Digested feed, mg]]*1000</f>
        <v>52.901359314923575</v>
      </c>
      <c r="AT441" s="94">
        <f>Table3.110[[#This Row],[CH4 24h, ml]]/'3.2 Digest'!AA441</f>
        <v>1.2047812048706652</v>
      </c>
      <c r="AU441" s="94">
        <f>((Table3.110[[#This Row],[CH4 24h, ml]]/28.9)*16.04)/Table3.110[[#This Row],[DM Incubated, mg]]*1000</f>
        <v>14.461542582074896</v>
      </c>
      <c r="AV441" s="94">
        <f>((Table3.110[[#This Row],[CH4 24h, ml]]/28.9)*16.04)/Table3.110[[#This Row],[Digested feed, mg]]*1000</f>
        <v>29.361169668213638</v>
      </c>
    </row>
    <row r="442" spans="2:48" s="89" customFormat="1" x14ac:dyDescent="0.35">
      <c r="B442" s="90">
        <f t="shared" si="6"/>
        <v>432</v>
      </c>
      <c r="C442" s="140">
        <v>46048</v>
      </c>
      <c r="D442" s="6" t="s">
        <v>16</v>
      </c>
      <c r="E442" s="6" t="s">
        <v>285</v>
      </c>
      <c r="F442" s="133" t="s">
        <v>269</v>
      </c>
      <c r="G442" s="133" t="s">
        <v>282</v>
      </c>
      <c r="H442" s="133" t="s">
        <v>283</v>
      </c>
      <c r="I442" s="125" t="s">
        <v>22</v>
      </c>
      <c r="J442" s="127" t="s">
        <v>23</v>
      </c>
      <c r="K442" s="125" t="s">
        <v>215</v>
      </c>
      <c r="L442" s="6" t="s">
        <v>284</v>
      </c>
      <c r="M442" s="93">
        <v>28</v>
      </c>
      <c r="N442" s="93">
        <v>60</v>
      </c>
      <c r="O442" s="6">
        <v>1</v>
      </c>
      <c r="P442" s="129">
        <v>2</v>
      </c>
      <c r="Q442" s="6">
        <v>90</v>
      </c>
      <c r="R442" s="98">
        <v>0.50019999999999998</v>
      </c>
      <c r="S442" s="94">
        <f>((Table3.110[[#This Row],[Sample weight, g]]*'2.1. DM'!Q173)/100)*1000</f>
        <v>467.21844848905067</v>
      </c>
      <c r="T442" s="94">
        <f>'3.2 Digest'!W442</f>
        <v>246.41844848905069</v>
      </c>
      <c r="U442" s="153">
        <v>0.39652777777777776</v>
      </c>
      <c r="V442" s="154">
        <v>40.5</v>
      </c>
      <c r="W442" s="153">
        <v>0.73750000000000004</v>
      </c>
      <c r="X442" s="91">
        <v>84</v>
      </c>
      <c r="Y442" s="91">
        <v>12.9</v>
      </c>
      <c r="Z442" s="154">
        <v>40</v>
      </c>
      <c r="AA442" s="153">
        <v>0.4</v>
      </c>
      <c r="AB442" s="154">
        <v>81</v>
      </c>
      <c r="AC442" s="154">
        <v>16.899999999999999</v>
      </c>
      <c r="AD442" s="91"/>
      <c r="AE442" s="94">
        <f>Table3.110[[#This Row],[Gas 8h, ml]]-Table3.110[[#This Row],[Gas 0h, ml]]</f>
        <v>43.5</v>
      </c>
      <c r="AF442" s="94">
        <f>Table3.110[[#This Row],[Gas 24h, ml]]-Table3.110[[#This Row],[V8 Push back, ml]]</f>
        <v>41</v>
      </c>
      <c r="AG442" s="94">
        <f>Table3.110[[#This Row],[GP 8h, ml]]-(AVERAGE(AE$293,AE$294,AE$385,AE$386,AE$477,AE$478))*$AG$8</f>
        <v>42.246240428868305</v>
      </c>
      <c r="AH442" s="94">
        <f>Table3.110[[#This Row],[GP 8-24h, ml]]-(AVERAGE(AF$293,AF$294,AF$385,AF$386,AF$477,AF$478))*$AG$8</f>
        <v>39.00873479879084</v>
      </c>
      <c r="AI442" s="94">
        <f>Table3.110[[#This Row],[Net gas 8-24h, ml]]+Table3.110[[#This Row],[Net gas 8h, ml]]</f>
        <v>81.254975227659145</v>
      </c>
      <c r="AJ442" s="94">
        <f>Table3.110[[#This Row],[Net gas 8h, ml]]*Table3.110[[#This Row],[CH4 8h %]]%</f>
        <v>5.4497650153240116</v>
      </c>
      <c r="AK442" s="94">
        <f>Table3.110[[#This Row],[Net gas 8-24h, ml]]*Table3.110[[#This Row],[CH4 24h, %]]%</f>
        <v>6.5924761809956509</v>
      </c>
      <c r="AL442" s="94">
        <f>Table3.110[[#This Row],[CH4 8-24h, ml]]+Table3.110[[#This Row],[CH4 8h, ml]]</f>
        <v>12.042241196319662</v>
      </c>
      <c r="AM442" s="94">
        <f>(Table3.110[[#This Row],[Net gas 24h, ml]]/Table3.110[[#This Row],[DM Incubated, mg]])*1000</f>
        <v>173.91217211227772</v>
      </c>
      <c r="AN442" s="94">
        <f>'3.2 Digest'!X442</f>
        <v>52.741592136601078</v>
      </c>
      <c r="AO442" s="94">
        <f>Table3.110[[#This Row],[Digested feed, mg]]/Table3.110[[#This Row],[Net gas 24h, ml]]</f>
        <v>3.0326567425396247</v>
      </c>
      <c r="AP442" s="94">
        <f>Table3.110[[#This Row],[CH4 8h, ml]]/Table3.110[[#This Row],[Net gas 8h, ml]]%</f>
        <v>12.9</v>
      </c>
      <c r="AQ442" s="94">
        <f>Table3.110[[#This Row],[CH4 24h, ml]]/Table3.110[[#This Row],[Net gas 24h, ml]]%</f>
        <v>14.820312433275458</v>
      </c>
      <c r="AR442" s="94">
        <f>Table3.110[[#This Row],[CH4 24h, ml]]/Table3.110[[#This Row],[DM Incubated, mg]]*1000</f>
        <v>25.774327266535312</v>
      </c>
      <c r="AS442" s="94">
        <f>Table3.110[[#This Row],[CH4 24h, ml]]/Table3.110[[#This Row],[Digested feed, mg]]*1000</f>
        <v>48.86907319706927</v>
      </c>
      <c r="AT442" s="94">
        <f>Table3.110[[#This Row],[CH4 24h, ml]]/'3.2 Digest'!AA442</f>
        <v>0.73973675840300823</v>
      </c>
      <c r="AU442" s="94">
        <f>((Table3.110[[#This Row],[CH4 24h, ml]]/28.9)*16.04)/Table3.110[[#This Row],[DM Incubated, mg]]*1000</f>
        <v>14.305197555544165</v>
      </c>
      <c r="AV442" s="94">
        <f>((Table3.110[[#This Row],[CH4 24h, ml]]/28.9)*16.04)/Table3.110[[#This Row],[Digested feed, mg]]*1000</f>
        <v>27.123181110068895</v>
      </c>
    </row>
    <row r="443" spans="2:48" s="89" customFormat="1" x14ac:dyDescent="0.35">
      <c r="B443" s="90">
        <f t="shared" si="6"/>
        <v>433</v>
      </c>
      <c r="C443" s="140">
        <v>46048</v>
      </c>
      <c r="D443" s="6" t="s">
        <v>16</v>
      </c>
      <c r="E443" s="6" t="s">
        <v>285</v>
      </c>
      <c r="F443" s="133" t="s">
        <v>269</v>
      </c>
      <c r="G443" s="133" t="s">
        <v>282</v>
      </c>
      <c r="H443" s="133" t="s">
        <v>283</v>
      </c>
      <c r="I443" s="125" t="s">
        <v>22</v>
      </c>
      <c r="J443" s="127" t="s">
        <v>23</v>
      </c>
      <c r="K443" s="125" t="s">
        <v>215</v>
      </c>
      <c r="L443" s="6" t="s">
        <v>284</v>
      </c>
      <c r="M443" s="93">
        <v>28</v>
      </c>
      <c r="N443" s="93">
        <v>60</v>
      </c>
      <c r="O443" s="6">
        <v>1</v>
      </c>
      <c r="P443" s="6">
        <v>3</v>
      </c>
      <c r="Q443" s="6">
        <v>91</v>
      </c>
      <c r="R443" s="98">
        <v>0.50019999999999998</v>
      </c>
      <c r="S443" s="94">
        <f>((Table3.110[[#This Row],[Sample weight, g]]*'2.1. DM'!Q173)/100)*1000</f>
        <v>467.21844848905067</v>
      </c>
      <c r="T443" s="94">
        <f>'3.2 Digest'!W443</f>
        <v>245.3184484890507</v>
      </c>
      <c r="U443" s="117">
        <v>0.39652777777777776</v>
      </c>
      <c r="V443" s="155">
        <v>40.5</v>
      </c>
      <c r="W443" s="117">
        <v>0.73750000000000004</v>
      </c>
      <c r="X443" s="96">
        <v>85</v>
      </c>
      <c r="Y443" s="96">
        <v>13.1</v>
      </c>
      <c r="Z443" s="155">
        <v>40.5</v>
      </c>
      <c r="AA443" s="117">
        <v>0.40069444444444446</v>
      </c>
      <c r="AB443" s="155">
        <v>79.5</v>
      </c>
      <c r="AC443" s="155">
        <v>16.5</v>
      </c>
      <c r="AD443" s="96"/>
      <c r="AE443" s="94">
        <f>Table3.110[[#This Row],[Gas 8h, ml]]-Table3.110[[#This Row],[Gas 0h, ml]]</f>
        <v>44.5</v>
      </c>
      <c r="AF443" s="94">
        <f>Table3.110[[#This Row],[Gas 24h, ml]]-Table3.110[[#This Row],[V8 Push back, ml]]</f>
        <v>39</v>
      </c>
      <c r="AG443" s="94">
        <f>Table3.110[[#This Row],[GP 8h, ml]]-(AVERAGE(AE$293,AE$294,AE$385,AE$386,AE$477,AE$478))*$AG$8</f>
        <v>43.246240428868305</v>
      </c>
      <c r="AH443" s="94">
        <f>Table3.110[[#This Row],[GP 8-24h, ml]]-(AVERAGE(AF$293,AF$294,AF$385,AF$386,AF$477,AF$478))*$AG$8</f>
        <v>37.00873479879084</v>
      </c>
      <c r="AI443" s="94">
        <f>Table3.110[[#This Row],[Net gas 8-24h, ml]]+Table3.110[[#This Row],[Net gas 8h, ml]]</f>
        <v>80.254975227659145</v>
      </c>
      <c r="AJ443" s="94">
        <f>Table3.110[[#This Row],[Net gas 8h, ml]]*Table3.110[[#This Row],[CH4 8h %]]%</f>
        <v>5.6652574961817486</v>
      </c>
      <c r="AK443" s="94">
        <f>Table3.110[[#This Row],[Net gas 8-24h, ml]]*Table3.110[[#This Row],[CH4 24h, %]]%</f>
        <v>6.1064412418004892</v>
      </c>
      <c r="AL443" s="94">
        <f>Table3.110[[#This Row],[CH4 8-24h, ml]]+Table3.110[[#This Row],[CH4 8h, ml]]</f>
        <v>11.771698737982238</v>
      </c>
      <c r="AM443" s="94">
        <f>(Table3.110[[#This Row],[Net gas 24h, ml]]/Table3.110[[#This Row],[DM Incubated, mg]])*1000</f>
        <v>171.77184566918902</v>
      </c>
      <c r="AN443" s="94">
        <f>'3.2 Digest'!X443</f>
        <v>52.506156227861311</v>
      </c>
      <c r="AO443" s="94">
        <f>Table3.110[[#This Row],[Digested feed, mg]]/Table3.110[[#This Row],[Net gas 24h, ml]]</f>
        <v>3.0567381996338083</v>
      </c>
      <c r="AP443" s="94">
        <f>Table3.110[[#This Row],[CH4 8h, ml]]/Table3.110[[#This Row],[Net gas 8h, ml]]%</f>
        <v>13.100000000000001</v>
      </c>
      <c r="AQ443" s="94">
        <f>Table3.110[[#This Row],[CH4 24h, ml]]/Table3.110[[#This Row],[Net gas 24h, ml]]%</f>
        <v>14.667874115703707</v>
      </c>
      <c r="AR443" s="94">
        <f>Table3.110[[#This Row],[CH4 24h, ml]]/Table3.110[[#This Row],[DM Incubated, mg]]*1000</f>
        <v>25.195278088977492</v>
      </c>
      <c r="AS443" s="94">
        <f>Table3.110[[#This Row],[CH4 24h, ml]]/Table3.110[[#This Row],[Digested feed, mg]]*1000</f>
        <v>47.98537904705379</v>
      </c>
      <c r="AT443" s="94">
        <f>Table3.110[[#This Row],[CH4 24h, ml]]/'3.2 Digest'!AA443</f>
        <v>0.74213196479067967</v>
      </c>
      <c r="AU443" s="94">
        <f>((Table3.110[[#This Row],[CH4 24h, ml]]/28.9)*16.04)/Table3.110[[#This Row],[DM Incubated, mg]]*1000</f>
        <v>13.983815243847715</v>
      </c>
      <c r="AV443" s="94">
        <f>((Table3.110[[#This Row],[CH4 24h, ml]]/28.9)*16.04)/Table3.110[[#This Row],[Digested feed, mg]]*1000</f>
        <v>26.632715567984178</v>
      </c>
    </row>
    <row r="444" spans="2:48" s="89" customFormat="1" x14ac:dyDescent="0.35">
      <c r="B444" s="90">
        <f t="shared" si="6"/>
        <v>434</v>
      </c>
      <c r="C444" s="140">
        <v>46048</v>
      </c>
      <c r="D444" s="6" t="s">
        <v>16</v>
      </c>
      <c r="E444" s="6" t="s">
        <v>287</v>
      </c>
      <c r="F444" s="133" t="s">
        <v>235</v>
      </c>
      <c r="G444" s="133" t="s">
        <v>274</v>
      </c>
      <c r="H444" s="133" t="s">
        <v>275</v>
      </c>
      <c r="I444" s="125" t="s">
        <v>22</v>
      </c>
      <c r="J444" s="127" t="s">
        <v>23</v>
      </c>
      <c r="K444" s="125" t="s">
        <v>215</v>
      </c>
      <c r="L444" s="6" t="s">
        <v>286</v>
      </c>
      <c r="M444" s="93">
        <v>28</v>
      </c>
      <c r="N444" s="93">
        <v>60</v>
      </c>
      <c r="O444" s="6">
        <v>1</v>
      </c>
      <c r="P444" s="129">
        <v>1</v>
      </c>
      <c r="Q444" s="6">
        <v>92</v>
      </c>
      <c r="R444" s="98">
        <v>0.50019999999999998</v>
      </c>
      <c r="S444" s="94">
        <f>((Table3.110[[#This Row],[Sample weight, g]]*'2.1. DM'!Q175)/100)*1000</f>
        <v>460.66510888203317</v>
      </c>
      <c r="T444" s="94">
        <f>'3.2 Digest'!W444</f>
        <v>194.76510888203313</v>
      </c>
      <c r="U444" s="153">
        <v>0.3972222222222222</v>
      </c>
      <c r="V444" s="154">
        <v>41</v>
      </c>
      <c r="W444" s="153">
        <v>0.73819444444444449</v>
      </c>
      <c r="X444" s="91">
        <v>73</v>
      </c>
      <c r="Y444" s="91">
        <v>12.1</v>
      </c>
      <c r="Z444" s="154">
        <v>39.5</v>
      </c>
      <c r="AA444" s="153">
        <v>0.40069444444444446</v>
      </c>
      <c r="AB444" s="154">
        <v>69.5</v>
      </c>
      <c r="AC444" s="154">
        <v>17.7</v>
      </c>
      <c r="AD444" s="91"/>
      <c r="AE444" s="94">
        <f>Table3.110[[#This Row],[Gas 8h, ml]]-Table3.110[[#This Row],[Gas 0h, ml]]</f>
        <v>32</v>
      </c>
      <c r="AF444" s="94">
        <f>Table3.110[[#This Row],[Gas 24h, ml]]-Table3.110[[#This Row],[V8 Push back, ml]]</f>
        <v>30</v>
      </c>
      <c r="AG444" s="94">
        <f>Table3.110[[#This Row],[GP 8h, ml]]-(AVERAGE(AE$293,AE$294,AE$385,AE$386,AE$477,AE$478))*$AG$8</f>
        <v>30.746240428868305</v>
      </c>
      <c r="AH444" s="94">
        <f>Table3.110[[#This Row],[GP 8-24h, ml]]-(AVERAGE(AF$293,AF$294,AF$385,AF$386,AF$477,AF$478))*$AG$8</f>
        <v>28.008734798790837</v>
      </c>
      <c r="AI444" s="94">
        <f>Table3.110[[#This Row],[Net gas 8-24h, ml]]+Table3.110[[#This Row],[Net gas 8h, ml]]</f>
        <v>58.754975227659145</v>
      </c>
      <c r="AJ444" s="94">
        <f>Table3.110[[#This Row],[Net gas 8h, ml]]*Table3.110[[#This Row],[CH4 8h %]]%</f>
        <v>3.7202950918930648</v>
      </c>
      <c r="AK444" s="94">
        <f>Table3.110[[#This Row],[Net gas 8-24h, ml]]*Table3.110[[#This Row],[CH4 24h, %]]%</f>
        <v>4.9575460593859777</v>
      </c>
      <c r="AL444" s="94">
        <f>Table3.110[[#This Row],[CH4 8-24h, ml]]+Table3.110[[#This Row],[CH4 8h, ml]]</f>
        <v>8.6778411512790434</v>
      </c>
      <c r="AM444" s="94">
        <f>(Table3.110[[#This Row],[Net gas 24h, ml]]/Table3.110[[#This Row],[DM Incubated, mg]])*1000</f>
        <v>127.54379286560008</v>
      </c>
      <c r="AN444" s="94">
        <f>'3.2 Digest'!X444</f>
        <v>42.279110166320081</v>
      </c>
      <c r="AO444" s="94">
        <f>Table3.110[[#This Row],[Digested feed, mg]]/Table3.110[[#This Row],[Net gas 24h, ml]]</f>
        <v>3.3148700706173844</v>
      </c>
      <c r="AP444" s="94">
        <f>Table3.110[[#This Row],[CH4 8h, ml]]/Table3.110[[#This Row],[Net gas 8h, ml]]%</f>
        <v>12.1</v>
      </c>
      <c r="AQ444" s="94">
        <f>Table3.110[[#This Row],[CH4 24h, ml]]/Table3.110[[#This Row],[Net gas 24h, ml]]%</f>
        <v>14.769542694307722</v>
      </c>
      <c r="AR444" s="94">
        <f>Table3.110[[#This Row],[CH4 24h, ml]]/Table3.110[[#This Row],[DM Incubated, mg]]*1000</f>
        <v>18.837634941224213</v>
      </c>
      <c r="AS444" s="94">
        <f>Table3.110[[#This Row],[CH4 24h, ml]]/Table3.110[[#This Row],[Digested feed, mg]]*1000</f>
        <v>44.55541960821693</v>
      </c>
      <c r="AT444" s="94">
        <f>Table3.110[[#This Row],[CH4 24h, ml]]/'3.2 Digest'!AA444</f>
        <v>-0.52007377806536725</v>
      </c>
      <c r="AU444" s="94">
        <f>((Table3.110[[#This Row],[CH4 24h, ml]]/28.9)*16.04)/Table3.110[[#This Row],[DM Incubated, mg]]*1000</f>
        <v>10.45521330301856</v>
      </c>
      <c r="AV444" s="94">
        <f>((Table3.110[[#This Row],[CH4 24h, ml]]/28.9)*16.04)/Table3.110[[#This Row],[Digested feed, mg]]*1000</f>
        <v>24.729028737570918</v>
      </c>
    </row>
    <row r="445" spans="2:48" s="89" customFormat="1" x14ac:dyDescent="0.35">
      <c r="B445" s="90">
        <f t="shared" si="6"/>
        <v>435</v>
      </c>
      <c r="C445" s="140">
        <v>46048</v>
      </c>
      <c r="D445" s="6" t="s">
        <v>16</v>
      </c>
      <c r="E445" s="6" t="s">
        <v>287</v>
      </c>
      <c r="F445" s="133" t="s">
        <v>235</v>
      </c>
      <c r="G445" s="133" t="s">
        <v>274</v>
      </c>
      <c r="H445" s="133" t="s">
        <v>275</v>
      </c>
      <c r="I445" s="125" t="s">
        <v>22</v>
      </c>
      <c r="J445" s="127" t="s">
        <v>23</v>
      </c>
      <c r="K445" s="125" t="s">
        <v>215</v>
      </c>
      <c r="L445" s="6" t="s">
        <v>286</v>
      </c>
      <c r="M445" s="93">
        <v>28</v>
      </c>
      <c r="N445" s="93">
        <v>60</v>
      </c>
      <c r="O445" s="6">
        <v>1</v>
      </c>
      <c r="P445" s="129">
        <v>2</v>
      </c>
      <c r="Q445" s="6">
        <v>273</v>
      </c>
      <c r="R445" s="98">
        <v>0.50039999999999996</v>
      </c>
      <c r="S445" s="94">
        <f>((Table3.110[[#This Row],[Sample weight, g]]*'2.1. DM'!Q175)/100)*1000</f>
        <v>460.84930124863939</v>
      </c>
      <c r="T445" s="94">
        <f>'3.2 Digest'!W445</f>
        <v>201.44930124863942</v>
      </c>
      <c r="U445" s="117">
        <v>0.3972222222222222</v>
      </c>
      <c r="V445" s="155">
        <v>40.5</v>
      </c>
      <c r="W445" s="117">
        <v>0.73819444444444449</v>
      </c>
      <c r="X445" s="96">
        <v>72.5</v>
      </c>
      <c r="Y445" s="96">
        <v>12.3</v>
      </c>
      <c r="Z445" s="155">
        <v>40</v>
      </c>
      <c r="AA445" s="117">
        <v>0.40138888888888891</v>
      </c>
      <c r="AB445" s="155">
        <v>71.5</v>
      </c>
      <c r="AC445" s="155">
        <v>17.600000000000001</v>
      </c>
      <c r="AD445" s="96"/>
      <c r="AE445" s="94">
        <f>Table3.110[[#This Row],[Gas 8h, ml]]-Table3.110[[#This Row],[Gas 0h, ml]]</f>
        <v>32</v>
      </c>
      <c r="AF445" s="94">
        <f>Table3.110[[#This Row],[Gas 24h, ml]]-Table3.110[[#This Row],[V8 Push back, ml]]</f>
        <v>31.5</v>
      </c>
      <c r="AG445" s="94">
        <f>Table3.110[[#This Row],[GP 8h, ml]]-(AVERAGE(AE$293,AE$294,AE$385,AE$386,AE$477,AE$478))*$AG$8</f>
        <v>30.746240428868305</v>
      </c>
      <c r="AH445" s="94">
        <f>Table3.110[[#This Row],[GP 8-24h, ml]]-(AVERAGE(AF$293,AF$294,AF$385,AF$386,AF$477,AF$478))*$AG$8</f>
        <v>29.508734798790837</v>
      </c>
      <c r="AI445" s="94">
        <f>Table3.110[[#This Row],[Net gas 8-24h, ml]]+Table3.110[[#This Row],[Net gas 8h, ml]]</f>
        <v>60.254975227659145</v>
      </c>
      <c r="AJ445" s="94">
        <f>Table3.110[[#This Row],[Net gas 8h, ml]]*Table3.110[[#This Row],[CH4 8h %]]%</f>
        <v>3.7817875727508019</v>
      </c>
      <c r="AK445" s="94">
        <f>Table3.110[[#This Row],[Net gas 8-24h, ml]]*Table3.110[[#This Row],[CH4 24h, %]]%</f>
        <v>5.1935373245871874</v>
      </c>
      <c r="AL445" s="94">
        <f>Table3.110[[#This Row],[CH4 8-24h, ml]]+Table3.110[[#This Row],[CH4 8h, ml]]</f>
        <v>8.9753248973379893</v>
      </c>
      <c r="AM445" s="94">
        <f>(Table3.110[[#This Row],[Net gas 24h, ml]]/Table3.110[[#This Row],[DM Incubated, mg]])*1000</f>
        <v>130.74767622388154</v>
      </c>
      <c r="AN445" s="94">
        <f>'3.2 Digest'!X445</f>
        <v>43.712619440417164</v>
      </c>
      <c r="AO445" s="94">
        <f>Table3.110[[#This Row],[Digested feed, mg]]/Table3.110[[#This Row],[Net gas 24h, ml]]</f>
        <v>3.3432807911298772</v>
      </c>
      <c r="AP445" s="94">
        <f>Table3.110[[#This Row],[CH4 8h, ml]]/Table3.110[[#This Row],[Net gas 8h, ml]]%</f>
        <v>12.3</v>
      </c>
      <c r="AQ445" s="94">
        <f>Table3.110[[#This Row],[CH4 24h, ml]]/Table3.110[[#This Row],[Net gas 24h, ml]]%</f>
        <v>14.895574786026964</v>
      </c>
      <c r="AR445" s="94">
        <f>Table3.110[[#This Row],[CH4 24h, ml]]/Table3.110[[#This Row],[DM Incubated, mg]]*1000</f>
        <v>19.475617892920667</v>
      </c>
      <c r="AS445" s="94">
        <f>Table3.110[[#This Row],[CH4 24h, ml]]/Table3.110[[#This Row],[Digested feed, mg]]*1000</f>
        <v>44.553765347938175</v>
      </c>
      <c r="AT445" s="94">
        <f>Table3.110[[#This Row],[CH4 24h, ml]]/'3.2 Digest'!AA445</f>
        <v>-0.65095781265474117</v>
      </c>
      <c r="AU445" s="94">
        <f>((Table3.110[[#This Row],[CH4 24h, ml]]/28.9)*16.04)/Table3.110[[#This Row],[DM Incubated, mg]]*1000</f>
        <v>10.809304878977423</v>
      </c>
      <c r="AV445" s="94">
        <f>((Table3.110[[#This Row],[CH4 24h, ml]]/28.9)*16.04)/Table3.110[[#This Row],[Digested feed, mg]]*1000</f>
        <v>24.728110594495792</v>
      </c>
    </row>
    <row r="446" spans="2:48" s="89" customFormat="1" x14ac:dyDescent="0.35">
      <c r="B446" s="90">
        <f t="shared" si="6"/>
        <v>436</v>
      </c>
      <c r="C446" s="140">
        <v>46048</v>
      </c>
      <c r="D446" s="6" t="s">
        <v>16</v>
      </c>
      <c r="E446" s="6" t="s">
        <v>287</v>
      </c>
      <c r="F446" s="133" t="s">
        <v>235</v>
      </c>
      <c r="G446" s="133" t="s">
        <v>274</v>
      </c>
      <c r="H446" s="133" t="s">
        <v>275</v>
      </c>
      <c r="I446" s="125" t="s">
        <v>22</v>
      </c>
      <c r="J446" s="127" t="s">
        <v>23</v>
      </c>
      <c r="K446" s="125" t="s">
        <v>215</v>
      </c>
      <c r="L446" s="6" t="s">
        <v>286</v>
      </c>
      <c r="M446" s="93">
        <v>28</v>
      </c>
      <c r="N446" s="93">
        <v>60</v>
      </c>
      <c r="O446" s="6">
        <v>1</v>
      </c>
      <c r="P446" s="129">
        <v>3</v>
      </c>
      <c r="Q446" s="6">
        <v>274</v>
      </c>
      <c r="R446" s="98">
        <v>0.5</v>
      </c>
      <c r="S446" s="94">
        <f>((Table3.110[[#This Row],[Sample weight, g]]*'2.1. DM'!Q175)/100)*1000</f>
        <v>460.48091651542705</v>
      </c>
      <c r="T446" s="94">
        <f>'3.2 Digest'!W446</f>
        <v>200.58091651542702</v>
      </c>
      <c r="U446" s="153">
        <v>0.3972222222222222</v>
      </c>
      <c r="V446" s="154">
        <v>40.5</v>
      </c>
      <c r="W446" s="153">
        <v>0.73888888888888893</v>
      </c>
      <c r="X446" s="91">
        <v>72</v>
      </c>
      <c r="Y446" s="91">
        <v>12.4</v>
      </c>
      <c r="Z446" s="154">
        <v>40</v>
      </c>
      <c r="AA446" s="153">
        <v>0.40208333333333335</v>
      </c>
      <c r="AB446" s="154">
        <v>72.5</v>
      </c>
      <c r="AC446" s="154">
        <v>17.2</v>
      </c>
      <c r="AD446" s="91"/>
      <c r="AE446" s="94">
        <f>Table3.110[[#This Row],[Gas 8h, ml]]-Table3.110[[#This Row],[Gas 0h, ml]]</f>
        <v>31.5</v>
      </c>
      <c r="AF446" s="94">
        <f>Table3.110[[#This Row],[Gas 24h, ml]]-Table3.110[[#This Row],[V8 Push back, ml]]</f>
        <v>32.5</v>
      </c>
      <c r="AG446" s="94">
        <f>Table3.110[[#This Row],[GP 8h, ml]]-(AVERAGE(AE$293,AE$294,AE$385,AE$386,AE$477,AE$478))*$AG$8</f>
        <v>30.246240428868305</v>
      </c>
      <c r="AH446" s="94">
        <f>Table3.110[[#This Row],[GP 8-24h, ml]]-(AVERAGE(AF$293,AF$294,AF$385,AF$386,AF$477,AF$478))*$AG$8</f>
        <v>30.508734798790837</v>
      </c>
      <c r="AI446" s="94">
        <f>Table3.110[[#This Row],[Net gas 8-24h, ml]]+Table3.110[[#This Row],[Net gas 8h, ml]]</f>
        <v>60.754975227659145</v>
      </c>
      <c r="AJ446" s="94">
        <f>Table3.110[[#This Row],[Net gas 8h, ml]]*Table3.110[[#This Row],[CH4 8h %]]%</f>
        <v>3.7505338131796697</v>
      </c>
      <c r="AK446" s="94">
        <f>Table3.110[[#This Row],[Net gas 8-24h, ml]]*Table3.110[[#This Row],[CH4 24h, %]]%</f>
        <v>5.2475023853920231</v>
      </c>
      <c r="AL446" s="94">
        <f>Table3.110[[#This Row],[CH4 8-24h, ml]]+Table3.110[[#This Row],[CH4 8h, ml]]</f>
        <v>8.9980361985716932</v>
      </c>
      <c r="AM446" s="94">
        <f>(Table3.110[[#This Row],[Net gas 24h, ml]]/Table3.110[[#This Row],[DM Incubated, mg]])*1000</f>
        <v>131.93809569223208</v>
      </c>
      <c r="AN446" s="94">
        <f>'3.2 Digest'!X446</f>
        <v>43.559007403232343</v>
      </c>
      <c r="AO446" s="94">
        <f>Table3.110[[#This Row],[Digested feed, mg]]/Table3.110[[#This Row],[Net gas 24h, ml]]</f>
        <v>3.3014731018129213</v>
      </c>
      <c r="AP446" s="94">
        <f>Table3.110[[#This Row],[CH4 8h, ml]]/Table3.110[[#This Row],[Net gas 8h, ml]]%</f>
        <v>12.4</v>
      </c>
      <c r="AQ446" s="94">
        <f>Table3.110[[#This Row],[CH4 24h, ml]]/Table3.110[[#This Row],[Net gas 24h, ml]]%</f>
        <v>14.810369298735672</v>
      </c>
      <c r="AR446" s="94">
        <f>Table3.110[[#This Row],[CH4 24h, ml]]/Table3.110[[#This Row],[DM Incubated, mg]]*1000</f>
        <v>19.540519217738833</v>
      </c>
      <c r="AS446" s="94">
        <f>Table3.110[[#This Row],[CH4 24h, ml]]/Table3.110[[#This Row],[Digested feed, mg]]*1000</f>
        <v>44.859881761880573</v>
      </c>
      <c r="AT446" s="94">
        <f>Table3.110[[#This Row],[CH4 24h, ml]]/'3.2 Digest'!AA446</f>
        <v>-0.63823058168783364</v>
      </c>
      <c r="AU446" s="94">
        <f>((Table3.110[[#This Row],[CH4 24h, ml]]/28.9)*16.04)/Table3.110[[#This Row],[DM Incubated, mg]]*1000</f>
        <v>10.845326237111795</v>
      </c>
      <c r="AV446" s="94">
        <f>((Table3.110[[#This Row],[CH4 24h, ml]]/28.9)*16.04)/Table3.110[[#This Row],[Digested feed, mg]]*1000</f>
        <v>24.898010500365547</v>
      </c>
    </row>
    <row r="447" spans="2:48" s="89" customFormat="1" x14ac:dyDescent="0.35">
      <c r="B447" s="90">
        <f t="shared" si="6"/>
        <v>437</v>
      </c>
      <c r="C447" s="140">
        <v>46048</v>
      </c>
      <c r="D447" s="6" t="s">
        <v>16</v>
      </c>
      <c r="E447" s="6" t="s">
        <v>289</v>
      </c>
      <c r="F447" s="133" t="s">
        <v>290</v>
      </c>
      <c r="G447" s="133" t="s">
        <v>291</v>
      </c>
      <c r="H447" s="133" t="s">
        <v>292</v>
      </c>
      <c r="I447" s="125" t="s">
        <v>22</v>
      </c>
      <c r="J447" s="127" t="s">
        <v>23</v>
      </c>
      <c r="K447" s="125" t="s">
        <v>215</v>
      </c>
      <c r="L447" s="6" t="s">
        <v>288</v>
      </c>
      <c r="M447" s="93">
        <v>28</v>
      </c>
      <c r="N447" s="93">
        <v>60</v>
      </c>
      <c r="O447" s="6">
        <v>1</v>
      </c>
      <c r="P447" s="129">
        <v>1</v>
      </c>
      <c r="Q447" s="6">
        <v>275</v>
      </c>
      <c r="R447" s="98">
        <v>0.50009999999999999</v>
      </c>
      <c r="S447" s="94">
        <f>((Table3.110[[#This Row],[Sample weight, g]]*'2.1. DM'!Q177)/100)*1000</f>
        <v>458.08352488506898</v>
      </c>
      <c r="T447" s="94">
        <f>'3.2 Digest'!W447</f>
        <v>252.38352488506899</v>
      </c>
      <c r="U447" s="117">
        <v>0.39791666666666664</v>
      </c>
      <c r="V447" s="155">
        <v>40.5</v>
      </c>
      <c r="W447" s="117">
        <v>0.73958333333333337</v>
      </c>
      <c r="X447" s="96">
        <v>70</v>
      </c>
      <c r="Y447" s="96">
        <v>12.4</v>
      </c>
      <c r="Z447" s="155">
        <v>40</v>
      </c>
      <c r="AA447" s="117">
        <v>0.40208333333333335</v>
      </c>
      <c r="AB447" s="155">
        <v>85.5</v>
      </c>
      <c r="AC447" s="155">
        <v>16.100000000000001</v>
      </c>
      <c r="AD447" s="96"/>
      <c r="AE447" s="94">
        <f>Table3.110[[#This Row],[Gas 8h, ml]]-Table3.110[[#This Row],[Gas 0h, ml]]</f>
        <v>29.5</v>
      </c>
      <c r="AF447" s="94">
        <f>Table3.110[[#This Row],[Gas 24h, ml]]-Table3.110[[#This Row],[V8 Push back, ml]]</f>
        <v>45.5</v>
      </c>
      <c r="AG447" s="94">
        <f>Table3.110[[#This Row],[GP 8h, ml]]-(AVERAGE(AE$293,AE$294,AE$385,AE$386,AE$477,AE$478))*$AG$8</f>
        <v>28.246240428868305</v>
      </c>
      <c r="AH447" s="94">
        <f>Table3.110[[#This Row],[GP 8-24h, ml]]-(AVERAGE(AF$293,AF$294,AF$385,AF$386,AF$477,AF$478))*$AG$8</f>
        <v>43.50873479879084</v>
      </c>
      <c r="AI447" s="94">
        <f>Table3.110[[#This Row],[Net gas 8-24h, ml]]+Table3.110[[#This Row],[Net gas 8h, ml]]</f>
        <v>71.754975227659145</v>
      </c>
      <c r="AJ447" s="94">
        <f>Table3.110[[#This Row],[Net gas 8h, ml]]*Table3.110[[#This Row],[CH4 8h %]]%</f>
        <v>3.5025338131796699</v>
      </c>
      <c r="AK447" s="94">
        <f>Table3.110[[#This Row],[Net gas 8-24h, ml]]*Table3.110[[#This Row],[CH4 24h, %]]%</f>
        <v>7.0049063026053258</v>
      </c>
      <c r="AL447" s="94">
        <f>Table3.110[[#This Row],[CH4 8-24h, ml]]+Table3.110[[#This Row],[CH4 8h, ml]]</f>
        <v>10.507440115784995</v>
      </c>
      <c r="AM447" s="94">
        <f>(Table3.110[[#This Row],[Net gas 24h, ml]]/Table3.110[[#This Row],[DM Incubated, mg]])*1000</f>
        <v>156.64168504130799</v>
      </c>
      <c r="AN447" s="94">
        <f>'3.2 Digest'!X447</f>
        <v>55.095525417202204</v>
      </c>
      <c r="AO447" s="94">
        <f>Table3.110[[#This Row],[Digested feed, mg]]/Table3.110[[#This Row],[Net gas 24h, ml]]</f>
        <v>3.5172965231236479</v>
      </c>
      <c r="AP447" s="94">
        <f>Table3.110[[#This Row],[CH4 8h, ml]]/Table3.110[[#This Row],[Net gas 8h, ml]]%</f>
        <v>12.400000000000002</v>
      </c>
      <c r="AQ447" s="94">
        <f>Table3.110[[#This Row],[CH4 24h, ml]]/Table3.110[[#This Row],[Net gas 24h, ml]]%</f>
        <v>14.643500443624609</v>
      </c>
      <c r="AR447" s="94">
        <f>Table3.110[[#This Row],[CH4 24h, ml]]/Table3.110[[#This Row],[DM Incubated, mg]]*1000</f>
        <v>22.937825843924998</v>
      </c>
      <c r="AS447" s="94">
        <f>Table3.110[[#This Row],[CH4 24h, ml]]/Table3.110[[#This Row],[Digested feed, mg]]*1000</f>
        <v>41.632828927997174</v>
      </c>
      <c r="AT447" s="94">
        <f>Table3.110[[#This Row],[CH4 24h, ml]]/'3.2 Digest'!AA447</f>
        <v>-2.0076370693381631</v>
      </c>
      <c r="AU447" s="94">
        <f>((Table3.110[[#This Row],[CH4 24h, ml]]/28.9)*16.04)/Table3.110[[#This Row],[DM Incubated, mg]]*1000</f>
        <v>12.730890191576366</v>
      </c>
      <c r="AV447" s="94">
        <f>((Table3.110[[#This Row],[CH4 24h, ml]]/28.9)*16.04)/Table3.110[[#This Row],[Digested feed, mg]]*1000</f>
        <v>23.106940346196357</v>
      </c>
    </row>
    <row r="448" spans="2:48" s="89" customFormat="1" x14ac:dyDescent="0.35">
      <c r="B448" s="90">
        <f t="shared" si="6"/>
        <v>438</v>
      </c>
      <c r="C448" s="140">
        <v>46048</v>
      </c>
      <c r="D448" s="6" t="s">
        <v>16</v>
      </c>
      <c r="E448" s="6" t="s">
        <v>289</v>
      </c>
      <c r="F448" s="133" t="s">
        <v>290</v>
      </c>
      <c r="G448" s="133" t="s">
        <v>291</v>
      </c>
      <c r="H448" s="133" t="s">
        <v>292</v>
      </c>
      <c r="I448" s="125" t="s">
        <v>22</v>
      </c>
      <c r="J448" s="127" t="s">
        <v>23</v>
      </c>
      <c r="K448" s="125" t="s">
        <v>215</v>
      </c>
      <c r="L448" s="6" t="s">
        <v>288</v>
      </c>
      <c r="M448" s="93">
        <v>28</v>
      </c>
      <c r="N448" s="93">
        <v>60</v>
      </c>
      <c r="O448" s="6">
        <v>1</v>
      </c>
      <c r="P448" s="129">
        <v>2</v>
      </c>
      <c r="Q448" s="6">
        <v>1</v>
      </c>
      <c r="R448" s="98">
        <v>0.50009999999999999</v>
      </c>
      <c r="S448" s="94">
        <f>((Table3.110[[#This Row],[Sample weight, g]]*'2.1. DM'!Q177)/100)*1000</f>
        <v>458.08352488506898</v>
      </c>
      <c r="T448" s="94">
        <f>'3.2 Digest'!W448</f>
        <v>256.98352488506907</v>
      </c>
      <c r="U448" s="153">
        <v>0.39791666666666664</v>
      </c>
      <c r="V448" s="154">
        <v>40.5</v>
      </c>
      <c r="W448" s="153">
        <v>0.73958333333333337</v>
      </c>
      <c r="X448" s="91">
        <v>73</v>
      </c>
      <c r="Y448" s="91">
        <v>12.2</v>
      </c>
      <c r="Z448" s="154">
        <v>40</v>
      </c>
      <c r="AA448" s="153">
        <v>0.40208333333333335</v>
      </c>
      <c r="AB448" s="154">
        <v>87</v>
      </c>
      <c r="AC448" s="154">
        <v>17.5</v>
      </c>
      <c r="AD448" s="91"/>
      <c r="AE448" s="94">
        <f>Table3.110[[#This Row],[Gas 8h, ml]]-Table3.110[[#This Row],[Gas 0h, ml]]</f>
        <v>32.5</v>
      </c>
      <c r="AF448" s="94">
        <f>Table3.110[[#This Row],[Gas 24h, ml]]-Table3.110[[#This Row],[V8 Push back, ml]]</f>
        <v>47</v>
      </c>
      <c r="AG448" s="94">
        <f>Table3.110[[#This Row],[GP 8h, ml]]-(AVERAGE(AE$293,AE$294,AE$385,AE$386,AE$477,AE$478))*$AG$8</f>
        <v>31.246240428868305</v>
      </c>
      <c r="AH448" s="94">
        <f>Table3.110[[#This Row],[GP 8-24h, ml]]-(AVERAGE(AF$293,AF$294,AF$385,AF$386,AF$477,AF$478))*$AG$8</f>
        <v>45.00873479879084</v>
      </c>
      <c r="AI448" s="94">
        <f>Table3.110[[#This Row],[Net gas 8-24h, ml]]+Table3.110[[#This Row],[Net gas 8h, ml]]</f>
        <v>76.254975227659145</v>
      </c>
      <c r="AJ448" s="94">
        <f>Table3.110[[#This Row],[Net gas 8h, ml]]*Table3.110[[#This Row],[CH4 8h %]]%</f>
        <v>3.8120413323219329</v>
      </c>
      <c r="AK448" s="94">
        <f>Table3.110[[#This Row],[Net gas 8-24h, ml]]*Table3.110[[#This Row],[CH4 24h, %]]%</f>
        <v>7.8765285897883963</v>
      </c>
      <c r="AL448" s="94">
        <f>Table3.110[[#This Row],[CH4 8-24h, ml]]+Table3.110[[#This Row],[CH4 8h, ml]]</f>
        <v>11.688569922110329</v>
      </c>
      <c r="AM448" s="94">
        <f>(Table3.110[[#This Row],[Net gas 24h, ml]]/Table3.110[[#This Row],[DM Incubated, mg]])*1000</f>
        <v>166.46522104629534</v>
      </c>
      <c r="AN448" s="94">
        <f>'3.2 Digest'!X448</f>
        <v>56.099709097712051</v>
      </c>
      <c r="AO448" s="94">
        <f>Table3.110[[#This Row],[Digested feed, mg]]/Table3.110[[#This Row],[Net gas 24h, ml]]</f>
        <v>3.3700558438035686</v>
      </c>
      <c r="AP448" s="94">
        <f>Table3.110[[#This Row],[CH4 8h, ml]]/Table3.110[[#This Row],[Net gas 8h, ml]]%</f>
        <v>12.2</v>
      </c>
      <c r="AQ448" s="94">
        <f>Table3.110[[#This Row],[CH4 24h, ml]]/Table3.110[[#This Row],[Net gas 24h, ml]]%</f>
        <v>15.328271876312483</v>
      </c>
      <c r="AR448" s="94">
        <f>Table3.110[[#This Row],[CH4 24h, ml]]/Table3.110[[#This Row],[DM Incubated, mg]]*1000</f>
        <v>25.516241661480702</v>
      </c>
      <c r="AS448" s="94">
        <f>Table3.110[[#This Row],[CH4 24h, ml]]/Table3.110[[#This Row],[Digested feed, mg]]*1000</f>
        <v>45.483732575221765</v>
      </c>
      <c r="AT448" s="94">
        <f>Table3.110[[#This Row],[CH4 24h, ml]]/'3.2 Digest'!AA448</f>
        <v>-4.05792789084418</v>
      </c>
      <c r="AU448" s="94">
        <f>((Table3.110[[#This Row],[CH4 24h, ml]]/28.9)*16.04)/Table3.110[[#This Row],[DM Incubated, mg]]*1000</f>
        <v>14.16195557958998</v>
      </c>
      <c r="AV448" s="94">
        <f>((Table3.110[[#This Row],[CH4 24h, ml]]/28.9)*16.04)/Table3.110[[#This Row],[Digested feed, mg]]*1000</f>
        <v>25.244258495036576</v>
      </c>
    </row>
    <row r="449" spans="2:48" s="89" customFormat="1" x14ac:dyDescent="0.35">
      <c r="B449" s="90">
        <f t="shared" si="6"/>
        <v>439</v>
      </c>
      <c r="C449" s="140">
        <v>46048</v>
      </c>
      <c r="D449" s="6" t="s">
        <v>16</v>
      </c>
      <c r="E449" s="6" t="s">
        <v>289</v>
      </c>
      <c r="F449" s="133" t="s">
        <v>290</v>
      </c>
      <c r="G449" s="133" t="s">
        <v>291</v>
      </c>
      <c r="H449" s="133" t="s">
        <v>292</v>
      </c>
      <c r="I449" s="125" t="s">
        <v>22</v>
      </c>
      <c r="J449" s="127" t="s">
        <v>23</v>
      </c>
      <c r="K449" s="125" t="s">
        <v>215</v>
      </c>
      <c r="L449" s="6" t="s">
        <v>288</v>
      </c>
      <c r="M449" s="93">
        <v>28</v>
      </c>
      <c r="N449" s="93">
        <v>60</v>
      </c>
      <c r="O449" s="6">
        <v>1</v>
      </c>
      <c r="P449" s="129">
        <v>3</v>
      </c>
      <c r="Q449" s="6">
        <v>2</v>
      </c>
      <c r="R449" s="98">
        <v>0.50019999999999998</v>
      </c>
      <c r="S449" s="94">
        <f>((Table3.110[[#This Row],[Sample weight, g]]*'2.1. DM'!Q177)/100)*1000</f>
        <v>458.17512327036894</v>
      </c>
      <c r="T449" s="94">
        <f>'3.2 Digest'!W449</f>
        <v>234.87512327036887</v>
      </c>
      <c r="U449" s="117">
        <v>0.39861111111111114</v>
      </c>
      <c r="V449" s="155">
        <v>40.5</v>
      </c>
      <c r="W449" s="117">
        <v>0.74027777777777781</v>
      </c>
      <c r="X449" s="96">
        <v>73</v>
      </c>
      <c r="Y449" s="96">
        <v>12.6</v>
      </c>
      <c r="Z449" s="155">
        <v>40.5</v>
      </c>
      <c r="AA449" s="117">
        <v>0.40277777777777779</v>
      </c>
      <c r="AB449" s="155">
        <v>89</v>
      </c>
      <c r="AC449" s="155">
        <v>16</v>
      </c>
      <c r="AD449" s="96"/>
      <c r="AE449" s="94">
        <f>Table3.110[[#This Row],[Gas 8h, ml]]-Table3.110[[#This Row],[Gas 0h, ml]]</f>
        <v>32.5</v>
      </c>
      <c r="AF449" s="94">
        <f>Table3.110[[#This Row],[Gas 24h, ml]]-Table3.110[[#This Row],[V8 Push back, ml]]</f>
        <v>48.5</v>
      </c>
      <c r="AG449" s="94">
        <f>Table3.110[[#This Row],[GP 8h, ml]]-(AVERAGE(AE$293,AE$294,AE$385,AE$386,AE$477,AE$478))*$AG$8</f>
        <v>31.246240428868305</v>
      </c>
      <c r="AH449" s="94">
        <f>Table3.110[[#This Row],[GP 8-24h, ml]]-(AVERAGE(AF$293,AF$294,AF$385,AF$386,AF$477,AF$478))*$AG$8</f>
        <v>46.50873479879084</v>
      </c>
      <c r="AI449" s="94">
        <f>Table3.110[[#This Row],[Net gas 8-24h, ml]]+Table3.110[[#This Row],[Net gas 8h, ml]]</f>
        <v>77.754975227659145</v>
      </c>
      <c r="AJ449" s="94">
        <f>Table3.110[[#This Row],[Net gas 8h, ml]]*Table3.110[[#This Row],[CH4 8h %]]%</f>
        <v>3.9370262940374063</v>
      </c>
      <c r="AK449" s="94">
        <f>Table3.110[[#This Row],[Net gas 8-24h, ml]]*Table3.110[[#This Row],[CH4 24h, %]]%</f>
        <v>7.4413975678065345</v>
      </c>
      <c r="AL449" s="94">
        <f>Table3.110[[#This Row],[CH4 8-24h, ml]]+Table3.110[[#This Row],[CH4 8h, ml]]</f>
        <v>11.378423861843942</v>
      </c>
      <c r="AM449" s="94">
        <f>(Table3.110[[#This Row],[Net gas 24h, ml]]/Table3.110[[#This Row],[DM Incubated, mg]])*1000</f>
        <v>169.70579867509736</v>
      </c>
      <c r="AN449" s="94">
        <f>'3.2 Digest'!X449</f>
        <v>51.263176750818303</v>
      </c>
      <c r="AO449" s="94">
        <f>Table3.110[[#This Row],[Digested feed, mg]]/Table3.110[[#This Row],[Net gas 24h, ml]]</f>
        <v>3.0207086116698889</v>
      </c>
      <c r="AP449" s="94">
        <f>Table3.110[[#This Row],[CH4 8h, ml]]/Table3.110[[#This Row],[Net gas 8h, ml]]%</f>
        <v>12.6</v>
      </c>
      <c r="AQ449" s="94">
        <f>Table3.110[[#This Row],[CH4 24h, ml]]/Table3.110[[#This Row],[Net gas 24h, ml]]%</f>
        <v>14.633692350269554</v>
      </c>
      <c r="AR449" s="94">
        <f>Table3.110[[#This Row],[CH4 24h, ml]]/Table3.110[[#This Row],[DM Incubated, mg]]*1000</f>
        <v>24.83422447868157</v>
      </c>
      <c r="AS449" s="94">
        <f>Table3.110[[#This Row],[CH4 24h, ml]]/Table3.110[[#This Row],[Digested feed, mg]]*1000</f>
        <v>48.444567919379175</v>
      </c>
      <c r="AT449" s="94">
        <f>Table3.110[[#This Row],[CH4 24h, ml]]/'3.2 Digest'!AA449</f>
        <v>-0.80046021984105176</v>
      </c>
      <c r="AU449" s="94">
        <f>((Table3.110[[#This Row],[CH4 24h, ml]]/28.9)*16.04)/Table3.110[[#This Row],[DM Incubated, mg]]*1000</f>
        <v>13.783424243531224</v>
      </c>
      <c r="AV449" s="94">
        <f>((Table3.110[[#This Row],[CH4 24h, ml]]/28.9)*16.04)/Table3.110[[#This Row],[Digested feed, mg]]*1000</f>
        <v>26.887573336568927</v>
      </c>
    </row>
    <row r="450" spans="2:48" s="89" customFormat="1" x14ac:dyDescent="0.35">
      <c r="B450" s="90">
        <f t="shared" si="6"/>
        <v>440</v>
      </c>
      <c r="C450" s="140">
        <v>46048</v>
      </c>
      <c r="D450" s="6" t="s">
        <v>16</v>
      </c>
      <c r="E450" s="6" t="s">
        <v>294</v>
      </c>
      <c r="F450" s="133" t="s">
        <v>240</v>
      </c>
      <c r="G450" s="133" t="s">
        <v>241</v>
      </c>
      <c r="H450" s="133" t="s">
        <v>242</v>
      </c>
      <c r="I450" s="125" t="s">
        <v>22</v>
      </c>
      <c r="J450" s="127" t="s">
        <v>23</v>
      </c>
      <c r="K450" s="125" t="s">
        <v>215</v>
      </c>
      <c r="L450" s="6" t="s">
        <v>293</v>
      </c>
      <c r="M450" s="93">
        <v>28</v>
      </c>
      <c r="N450" s="93">
        <v>60</v>
      </c>
      <c r="O450" s="6">
        <v>1</v>
      </c>
      <c r="P450" s="129">
        <v>1</v>
      </c>
      <c r="Q450" s="6">
        <v>276</v>
      </c>
      <c r="R450" s="98">
        <v>0.50029999999999997</v>
      </c>
      <c r="S450" s="94">
        <f>((Table3.110[[#This Row],[Sample weight, g]]*'2.1. DM'!Q179)/100)*1000</f>
        <v>464.01230808272004</v>
      </c>
      <c r="T450" s="94">
        <f>'3.2 Digest'!W450</f>
        <v>200.81230808272005</v>
      </c>
      <c r="U450" s="153">
        <v>0.39861111111111114</v>
      </c>
      <c r="V450" s="154">
        <v>40.5</v>
      </c>
      <c r="W450" s="153">
        <v>0.74097222222222225</v>
      </c>
      <c r="X450" s="91">
        <v>71</v>
      </c>
      <c r="Y450" s="91">
        <v>11.5</v>
      </c>
      <c r="Z450" s="154">
        <v>40</v>
      </c>
      <c r="AA450" s="153">
        <v>0.40277777777777779</v>
      </c>
      <c r="AB450" s="154">
        <v>84.5</v>
      </c>
      <c r="AC450" s="154">
        <v>15.1</v>
      </c>
      <c r="AD450" s="91"/>
      <c r="AE450" s="94">
        <f>Table3.110[[#This Row],[Gas 8h, ml]]-Table3.110[[#This Row],[Gas 0h, ml]]</f>
        <v>30.5</v>
      </c>
      <c r="AF450" s="94">
        <f>Table3.110[[#This Row],[Gas 24h, ml]]-Table3.110[[#This Row],[V8 Push back, ml]]</f>
        <v>44.5</v>
      </c>
      <c r="AG450" s="94">
        <f>Table3.110[[#This Row],[GP 8h, ml]]-(AVERAGE(AE$293,AE$294,AE$385,AE$386,AE$477,AE$478))*$AG$8</f>
        <v>29.246240428868305</v>
      </c>
      <c r="AH450" s="94">
        <f>Table3.110[[#This Row],[GP 8-24h, ml]]-(AVERAGE(AF$293,AF$294,AF$385,AF$386,AF$477,AF$478))*$AG$8</f>
        <v>42.50873479879084</v>
      </c>
      <c r="AI450" s="94">
        <f>Table3.110[[#This Row],[Net gas 8-24h, ml]]+Table3.110[[#This Row],[Net gas 8h, ml]]</f>
        <v>71.754975227659145</v>
      </c>
      <c r="AJ450" s="94">
        <f>Table3.110[[#This Row],[Net gas 8h, ml]]*Table3.110[[#This Row],[CH4 8h %]]%</f>
        <v>3.3633176493198551</v>
      </c>
      <c r="AK450" s="94">
        <f>Table3.110[[#This Row],[Net gas 8-24h, ml]]*Table3.110[[#This Row],[CH4 24h, %]]%</f>
        <v>6.418818954617417</v>
      </c>
      <c r="AL450" s="94">
        <f>Table3.110[[#This Row],[CH4 8-24h, ml]]+Table3.110[[#This Row],[CH4 8h, ml]]</f>
        <v>9.7821366039372712</v>
      </c>
      <c r="AM450" s="94">
        <f>(Table3.110[[#This Row],[Net gas 24h, ml]]/Table3.110[[#This Row],[DM Incubated, mg]])*1000</f>
        <v>154.64024116978229</v>
      </c>
      <c r="AN450" s="94">
        <f>'3.2 Digest'!X450</f>
        <v>43.277366695825016</v>
      </c>
      <c r="AO450" s="94">
        <f>Table3.110[[#This Row],[Digested feed, mg]]/Table3.110[[#This Row],[Net gas 24h, ml]]</f>
        <v>2.7985837559778521</v>
      </c>
      <c r="AP450" s="94">
        <f>Table3.110[[#This Row],[CH4 8h, ml]]/Table3.110[[#This Row],[Net gas 8h, ml]]%</f>
        <v>11.5</v>
      </c>
      <c r="AQ450" s="94">
        <f>Table3.110[[#This Row],[CH4 24h, ml]]/Table3.110[[#This Row],[Net gas 24h, ml]]%</f>
        <v>13.632694559368455</v>
      </c>
      <c r="AR450" s="94">
        <f>Table3.110[[#This Row],[CH4 24h, ml]]/Table3.110[[#This Row],[DM Incubated, mg]]*1000</f>
        <v>21.081631744547167</v>
      </c>
      <c r="AS450" s="94">
        <f>Table3.110[[#This Row],[CH4 24h, ml]]/Table3.110[[#This Row],[Digested feed, mg]]*1000</f>
        <v>48.712833876237028</v>
      </c>
      <c r="AT450" s="94">
        <f>Table3.110[[#This Row],[CH4 24h, ml]]/'3.2 Digest'!AA450</f>
        <v>10.668300505307538</v>
      </c>
      <c r="AU450" s="94">
        <f>((Table3.110[[#This Row],[CH4 24h, ml]]/28.9)*16.04)/Table3.110[[#This Row],[DM Incubated, mg]]*1000</f>
        <v>11.700670352336907</v>
      </c>
      <c r="AV450" s="94">
        <f>((Table3.110[[#This Row],[CH4 24h, ml]]/28.9)*16.04)/Table3.110[[#This Row],[Digested feed, mg]]*1000</f>
        <v>27.036465583904562</v>
      </c>
    </row>
    <row r="451" spans="2:48" s="89" customFormat="1" x14ac:dyDescent="0.35">
      <c r="B451" s="90">
        <f t="shared" si="6"/>
        <v>441</v>
      </c>
      <c r="C451" s="140">
        <v>46048</v>
      </c>
      <c r="D451" s="6" t="s">
        <v>16</v>
      </c>
      <c r="E451" s="6" t="s">
        <v>294</v>
      </c>
      <c r="F451" s="133" t="s">
        <v>240</v>
      </c>
      <c r="G451" s="133" t="s">
        <v>241</v>
      </c>
      <c r="H451" s="133" t="s">
        <v>242</v>
      </c>
      <c r="I451" s="125" t="s">
        <v>22</v>
      </c>
      <c r="J451" s="127" t="s">
        <v>23</v>
      </c>
      <c r="K451" s="125" t="s">
        <v>215</v>
      </c>
      <c r="L451" s="6" t="s">
        <v>293</v>
      </c>
      <c r="M451" s="93">
        <v>28</v>
      </c>
      <c r="N451" s="93">
        <v>60</v>
      </c>
      <c r="O451" s="6">
        <v>1</v>
      </c>
      <c r="P451" s="129">
        <v>2</v>
      </c>
      <c r="Q451" s="6">
        <v>277</v>
      </c>
      <c r="R451" s="98">
        <v>0.50029999999999997</v>
      </c>
      <c r="S451" s="94">
        <f>((Table3.110[[#This Row],[Sample weight, g]]*'2.1. DM'!Q179)/100)*1000</f>
        <v>464.01230808272004</v>
      </c>
      <c r="T451" s="94">
        <f>'3.2 Digest'!W451</f>
        <v>252.21230808272006</v>
      </c>
      <c r="U451" s="117">
        <v>0.39861111111111114</v>
      </c>
      <c r="V451" s="155">
        <v>41</v>
      </c>
      <c r="W451" s="117">
        <v>0.74097222222222225</v>
      </c>
      <c r="X451" s="96">
        <v>74</v>
      </c>
      <c r="Y451" s="96">
        <v>11.3</v>
      </c>
      <c r="Z451" s="155">
        <v>40.5</v>
      </c>
      <c r="AA451" s="117">
        <v>0.40347222222222223</v>
      </c>
      <c r="AB451" s="155">
        <v>87.5</v>
      </c>
      <c r="AC451" s="155">
        <v>14.8</v>
      </c>
      <c r="AD451" s="96"/>
      <c r="AE451" s="94">
        <f>Table3.110[[#This Row],[Gas 8h, ml]]-Table3.110[[#This Row],[Gas 0h, ml]]</f>
        <v>33</v>
      </c>
      <c r="AF451" s="94">
        <f>Table3.110[[#This Row],[Gas 24h, ml]]-Table3.110[[#This Row],[V8 Push back, ml]]</f>
        <v>47</v>
      </c>
      <c r="AG451" s="94">
        <f>Table3.110[[#This Row],[GP 8h, ml]]-(AVERAGE(AE$293,AE$294,AE$385,AE$386,AE$477,AE$478))*$AG$8</f>
        <v>31.746240428868305</v>
      </c>
      <c r="AH451" s="94">
        <f>Table3.110[[#This Row],[GP 8-24h, ml]]-(AVERAGE(AF$293,AF$294,AF$385,AF$386,AF$477,AF$478))*$AG$8</f>
        <v>45.00873479879084</v>
      </c>
      <c r="AI451" s="94">
        <f>Table3.110[[#This Row],[Net gas 8-24h, ml]]+Table3.110[[#This Row],[Net gas 8h, ml]]</f>
        <v>76.754975227659145</v>
      </c>
      <c r="AJ451" s="94">
        <f>Table3.110[[#This Row],[Net gas 8h, ml]]*Table3.110[[#This Row],[CH4 8h %]]%</f>
        <v>3.5873251684621184</v>
      </c>
      <c r="AK451" s="94">
        <f>Table3.110[[#This Row],[Net gas 8-24h, ml]]*Table3.110[[#This Row],[CH4 24h, %]]%</f>
        <v>6.6612927502210448</v>
      </c>
      <c r="AL451" s="94">
        <f>Table3.110[[#This Row],[CH4 8-24h, ml]]+Table3.110[[#This Row],[CH4 8h, ml]]</f>
        <v>10.248617918683163</v>
      </c>
      <c r="AM451" s="94">
        <f>(Table3.110[[#This Row],[Net gas 24h, ml]]/Table3.110[[#This Row],[DM Incubated, mg]])*1000</f>
        <v>165.41581740537782</v>
      </c>
      <c r="AN451" s="94">
        <f>'3.2 Digest'!X451</f>
        <v>54.354659066017241</v>
      </c>
      <c r="AO451" s="94">
        <f>Table3.110[[#This Row],[Digested feed, mg]]/Table3.110[[#This Row],[Net gas 24h, ml]]</f>
        <v>3.2859408440253621</v>
      </c>
      <c r="AP451" s="94">
        <f>Table3.110[[#This Row],[CH4 8h, ml]]/Table3.110[[#This Row],[Net gas 8h, ml]]%</f>
        <v>11.299999999999999</v>
      </c>
      <c r="AQ451" s="94">
        <f>Table3.110[[#This Row],[CH4 24h, ml]]/Table3.110[[#This Row],[Net gas 24h, ml]]%</f>
        <v>13.35238255016726</v>
      </c>
      <c r="AR451" s="94">
        <f>Table3.110[[#This Row],[CH4 24h, ml]]/Table3.110[[#This Row],[DM Incubated, mg]]*1000</f>
        <v>22.086952738452208</v>
      </c>
      <c r="AS451" s="94">
        <f>Table3.110[[#This Row],[CH4 24h, ml]]/Table3.110[[#This Row],[Digested feed, mg]]*1000</f>
        <v>40.634884144202204</v>
      </c>
      <c r="AT451" s="94">
        <f>Table3.110[[#This Row],[CH4 24h, ml]]/'3.2 Digest'!AA451</f>
        <v>0.50568647521666354</v>
      </c>
      <c r="AU451" s="94">
        <f>((Table3.110[[#This Row],[CH4 24h, ml]]/28.9)*16.04)/Table3.110[[#This Row],[DM Incubated, mg]]*1000</f>
        <v>12.258640897050983</v>
      </c>
      <c r="AV451" s="94">
        <f>((Table3.110[[#This Row],[CH4 24h, ml]]/28.9)*16.04)/Table3.110[[#This Row],[Digested feed, mg]]*1000</f>
        <v>22.55306372570946</v>
      </c>
    </row>
    <row r="452" spans="2:48" s="89" customFormat="1" x14ac:dyDescent="0.35">
      <c r="B452" s="90">
        <f t="shared" si="6"/>
        <v>442</v>
      </c>
      <c r="C452" s="140">
        <v>46048</v>
      </c>
      <c r="D452" s="6" t="s">
        <v>16</v>
      </c>
      <c r="E452" s="6" t="s">
        <v>294</v>
      </c>
      <c r="F452" s="133" t="s">
        <v>240</v>
      </c>
      <c r="G452" s="133" t="s">
        <v>241</v>
      </c>
      <c r="H452" s="133" t="s">
        <v>242</v>
      </c>
      <c r="I452" s="125" t="s">
        <v>22</v>
      </c>
      <c r="J452" s="127" t="s">
        <v>23</v>
      </c>
      <c r="K452" s="125" t="s">
        <v>215</v>
      </c>
      <c r="L452" s="6" t="s">
        <v>293</v>
      </c>
      <c r="M452" s="93">
        <v>28</v>
      </c>
      <c r="N452" s="93">
        <v>60</v>
      </c>
      <c r="O452" s="6">
        <v>1</v>
      </c>
      <c r="P452" s="129">
        <v>3</v>
      </c>
      <c r="Q452" s="6">
        <v>278</v>
      </c>
      <c r="R452" s="98">
        <v>0.50019999999999998</v>
      </c>
      <c r="S452" s="94">
        <f>((Table3.110[[#This Row],[Sample weight, g]]*'2.1. DM'!Q179)/100)*1000</f>
        <v>463.9195612691916</v>
      </c>
      <c r="T452" s="94">
        <f>'3.2 Digest'!W452</f>
        <v>249.21956126919162</v>
      </c>
      <c r="U452" s="153">
        <v>0.39930555555555558</v>
      </c>
      <c r="V452" s="155">
        <v>40.5</v>
      </c>
      <c r="W452" s="153">
        <v>0.7416666666666667</v>
      </c>
      <c r="X452" s="91">
        <v>70.5</v>
      </c>
      <c r="Y452" s="91">
        <v>11.5</v>
      </c>
      <c r="Z452" s="154">
        <v>40</v>
      </c>
      <c r="AA452" s="153">
        <v>0.40347222222222223</v>
      </c>
      <c r="AB452" s="154">
        <v>84.5</v>
      </c>
      <c r="AC452" s="154">
        <v>14.8</v>
      </c>
      <c r="AD452" s="91"/>
      <c r="AE452" s="94">
        <f>Table3.110[[#This Row],[Gas 8h, ml]]-Table3.110[[#This Row],[Gas 0h, ml]]</f>
        <v>30</v>
      </c>
      <c r="AF452" s="94">
        <f>Table3.110[[#This Row],[Gas 24h, ml]]-Table3.110[[#This Row],[V8 Push back, ml]]</f>
        <v>44.5</v>
      </c>
      <c r="AG452" s="94">
        <f>Table3.110[[#This Row],[GP 8h, ml]]-(AVERAGE(AE$293,AE$294,AE$385,AE$386,AE$477,AE$478))*$AG$8</f>
        <v>28.746240428868305</v>
      </c>
      <c r="AH452" s="94">
        <f>Table3.110[[#This Row],[GP 8-24h, ml]]-(AVERAGE(AF$293,AF$294,AF$385,AF$386,AF$477,AF$478))*$AG$8</f>
        <v>42.50873479879084</v>
      </c>
      <c r="AI452" s="94">
        <f>Table3.110[[#This Row],[Net gas 8-24h, ml]]+Table3.110[[#This Row],[Net gas 8h, ml]]</f>
        <v>71.254975227659145</v>
      </c>
      <c r="AJ452" s="94">
        <f>Table3.110[[#This Row],[Net gas 8h, ml]]*Table3.110[[#This Row],[CH4 8h %]]%</f>
        <v>3.305817649319855</v>
      </c>
      <c r="AK452" s="94">
        <f>Table3.110[[#This Row],[Net gas 8-24h, ml]]*Table3.110[[#This Row],[CH4 24h, %]]%</f>
        <v>6.2912927502210456</v>
      </c>
      <c r="AL452" s="94">
        <f>Table3.110[[#This Row],[CH4 8-24h, ml]]+Table3.110[[#This Row],[CH4 8h, ml]]</f>
        <v>9.5971103995409006</v>
      </c>
      <c r="AM452" s="94">
        <f>(Table3.110[[#This Row],[Net gas 24h, ml]]/Table3.110[[#This Row],[DM Incubated, mg]])*1000</f>
        <v>153.59338380282932</v>
      </c>
      <c r="AN452" s="94">
        <f>'3.2 Digest'!X452</f>
        <v>53.720425279627463</v>
      </c>
      <c r="AO452" s="94">
        <f>Table3.110[[#This Row],[Digested feed, mg]]/Table3.110[[#This Row],[Net gas 24h, ml]]</f>
        <v>3.497574176019806</v>
      </c>
      <c r="AP452" s="94">
        <f>Table3.110[[#This Row],[CH4 8h, ml]]/Table3.110[[#This Row],[Net gas 8h, ml]]%</f>
        <v>11.5</v>
      </c>
      <c r="AQ452" s="94">
        <f>Table3.110[[#This Row],[CH4 24h, ml]]/Table3.110[[#This Row],[Net gas 24h, ml]]%</f>
        <v>13.468688142656987</v>
      </c>
      <c r="AR452" s="94">
        <f>Table3.110[[#This Row],[CH4 24h, ml]]/Table3.110[[#This Row],[DM Incubated, mg]]*1000</f>
        <v>20.687013872157312</v>
      </c>
      <c r="AS452" s="94">
        <f>Table3.110[[#This Row],[CH4 24h, ml]]/Table3.110[[#This Row],[Digested feed, mg]]*1000</f>
        <v>38.508656185196848</v>
      </c>
      <c r="AT452" s="94">
        <f>Table3.110[[#This Row],[CH4 24h, ml]]/'3.2 Digest'!AA452</f>
        <v>0.50092272856105879</v>
      </c>
      <c r="AU452" s="94">
        <f>((Table3.110[[#This Row],[CH4 24h, ml]]/28.9)*16.04)/Table3.110[[#This Row],[DM Incubated, mg]]*1000</f>
        <v>11.481650605861706</v>
      </c>
      <c r="AV452" s="94">
        <f>((Table3.110[[#This Row],[CH4 24h, ml]]/28.9)*16.04)/Table3.110[[#This Row],[Digested feed, mg]]*1000</f>
        <v>21.37297042251064</v>
      </c>
    </row>
    <row r="453" spans="2:48" s="89" customFormat="1" x14ac:dyDescent="0.35">
      <c r="B453" s="90">
        <f t="shared" si="6"/>
        <v>443</v>
      </c>
      <c r="C453" s="140">
        <v>46048</v>
      </c>
      <c r="D453" s="6" t="s">
        <v>16</v>
      </c>
      <c r="E453" s="6" t="s">
        <v>296</v>
      </c>
      <c r="F453" s="133" t="s">
        <v>240</v>
      </c>
      <c r="G453" s="133" t="s">
        <v>297</v>
      </c>
      <c r="H453" s="133" t="s">
        <v>298</v>
      </c>
      <c r="I453" s="125" t="s">
        <v>22</v>
      </c>
      <c r="J453" s="127" t="s">
        <v>23</v>
      </c>
      <c r="K453" s="125" t="s">
        <v>215</v>
      </c>
      <c r="L453" s="6" t="s">
        <v>295</v>
      </c>
      <c r="M453" s="93">
        <v>28</v>
      </c>
      <c r="N453" s="93">
        <v>60</v>
      </c>
      <c r="O453" s="6">
        <v>1</v>
      </c>
      <c r="P453" s="129">
        <v>1</v>
      </c>
      <c r="Q453" s="6">
        <v>279</v>
      </c>
      <c r="R453" s="98">
        <v>0.5</v>
      </c>
      <c r="S453" s="94">
        <f>((Table3.110[[#This Row],[Sample weight, g]]*'2.1. DM'!Q181)/100)*1000</f>
        <v>458.60621646293623</v>
      </c>
      <c r="T453" s="94">
        <f>'3.2 Digest'!W453</f>
        <v>279.30621646293622</v>
      </c>
      <c r="U453" s="117">
        <v>0.39930555555555558</v>
      </c>
      <c r="V453" s="155">
        <v>41</v>
      </c>
      <c r="W453" s="117">
        <v>0.74236111111111114</v>
      </c>
      <c r="X453" s="96">
        <v>78</v>
      </c>
      <c r="Y453" s="96">
        <v>11.2</v>
      </c>
      <c r="Z453" s="155">
        <v>40.5</v>
      </c>
      <c r="AA453" s="117">
        <v>0.40416666666666667</v>
      </c>
      <c r="AB453" s="155">
        <v>88</v>
      </c>
      <c r="AC453" s="155">
        <v>15.2</v>
      </c>
      <c r="AD453" s="96"/>
      <c r="AE453" s="94">
        <f>Table3.110[[#This Row],[Gas 8h, ml]]-Table3.110[[#This Row],[Gas 0h, ml]]</f>
        <v>37</v>
      </c>
      <c r="AF453" s="94">
        <f>Table3.110[[#This Row],[Gas 24h, ml]]-Table3.110[[#This Row],[V8 Push back, ml]]</f>
        <v>47.5</v>
      </c>
      <c r="AG453" s="94">
        <f>Table3.110[[#This Row],[GP 8h, ml]]-(AVERAGE(AE$293,AE$294,AE$385,AE$386,AE$477,AE$478))*$AG$8</f>
        <v>35.746240428868305</v>
      </c>
      <c r="AH453" s="94">
        <f>Table3.110[[#This Row],[GP 8-24h, ml]]-(AVERAGE(AF$293,AF$294,AF$385,AF$386,AF$477,AF$478))*$AG$8</f>
        <v>45.50873479879084</v>
      </c>
      <c r="AI453" s="94">
        <f>Table3.110[[#This Row],[Net gas 8-24h, ml]]+Table3.110[[#This Row],[Net gas 8h, ml]]</f>
        <v>81.254975227659145</v>
      </c>
      <c r="AJ453" s="94">
        <f>Table3.110[[#This Row],[Net gas 8h, ml]]*Table3.110[[#This Row],[CH4 8h %]]%</f>
        <v>4.0035789280332494</v>
      </c>
      <c r="AK453" s="94">
        <f>Table3.110[[#This Row],[Net gas 8-24h, ml]]*Table3.110[[#This Row],[CH4 24h, %]]%</f>
        <v>6.9173276894162079</v>
      </c>
      <c r="AL453" s="94">
        <f>Table3.110[[#This Row],[CH4 8-24h, ml]]+Table3.110[[#This Row],[CH4 8h, ml]]</f>
        <v>10.920906617449457</v>
      </c>
      <c r="AM453" s="94">
        <f>(Table3.110[[#This Row],[Net gas 24h, ml]]/Table3.110[[#This Row],[DM Incubated, mg]])*1000</f>
        <v>177.17809377803329</v>
      </c>
      <c r="AN453" s="94">
        <f>'3.2 Digest'!X453</f>
        <v>60.903277460371982</v>
      </c>
      <c r="AO453" s="94">
        <f>Table3.110[[#This Row],[Digested feed, mg]]/Table3.110[[#This Row],[Net gas 24h, ml]]</f>
        <v>3.4374044872991427</v>
      </c>
      <c r="AP453" s="94">
        <f>Table3.110[[#This Row],[CH4 8h, ml]]/Table3.110[[#This Row],[Net gas 8h, ml]]%</f>
        <v>11.2</v>
      </c>
      <c r="AQ453" s="94">
        <f>Table3.110[[#This Row],[CH4 24h, ml]]/Table3.110[[#This Row],[Net gas 24h, ml]]%</f>
        <v>13.440292839732463</v>
      </c>
      <c r="AR453" s="94">
        <f>Table3.110[[#This Row],[CH4 24h, ml]]/Table3.110[[#This Row],[DM Incubated, mg]]*1000</f>
        <v>23.813254651623474</v>
      </c>
      <c r="AS453" s="94">
        <f>Table3.110[[#This Row],[CH4 24h, ml]]/Table3.110[[#This Row],[Digested feed, mg]]*1000</f>
        <v>39.100120132480676</v>
      </c>
      <c r="AT453" s="94">
        <f>Table3.110[[#This Row],[CH4 24h, ml]]/'3.2 Digest'!AA453</f>
        <v>0.30312680936983077</v>
      </c>
      <c r="AU453" s="94">
        <f>((Table3.110[[#This Row],[CH4 24h, ml]]/28.9)*16.04)/Table3.110[[#This Row],[DM Incubated, mg]]*1000</f>
        <v>13.21676832567614</v>
      </c>
      <c r="AV453" s="94">
        <f>((Table3.110[[#This Row],[CH4 24h, ml]]/28.9)*16.04)/Table3.110[[#This Row],[Digested feed, mg]]*1000</f>
        <v>21.701243146193423</v>
      </c>
    </row>
    <row r="454" spans="2:48" s="89" customFormat="1" x14ac:dyDescent="0.35">
      <c r="B454" s="90">
        <f t="shared" si="6"/>
        <v>444</v>
      </c>
      <c r="C454" s="140">
        <v>46048</v>
      </c>
      <c r="D454" s="6" t="s">
        <v>16</v>
      </c>
      <c r="E454" s="6" t="s">
        <v>296</v>
      </c>
      <c r="F454" s="133" t="s">
        <v>240</v>
      </c>
      <c r="G454" s="133" t="s">
        <v>297</v>
      </c>
      <c r="H454" s="133" t="s">
        <v>298</v>
      </c>
      <c r="I454" s="125" t="s">
        <v>22</v>
      </c>
      <c r="J454" s="127" t="s">
        <v>23</v>
      </c>
      <c r="K454" s="125" t="s">
        <v>215</v>
      </c>
      <c r="L454" s="6" t="s">
        <v>295</v>
      </c>
      <c r="M454" s="93">
        <v>28</v>
      </c>
      <c r="N454" s="93">
        <v>60</v>
      </c>
      <c r="O454" s="6">
        <v>1</v>
      </c>
      <c r="P454" s="129">
        <v>2</v>
      </c>
      <c r="Q454" s="6">
        <v>0</v>
      </c>
      <c r="R454" s="98">
        <v>0.50029999999999997</v>
      </c>
      <c r="S454" s="94">
        <f>((Table3.110[[#This Row],[Sample weight, g]]*'2.1. DM'!Q181)/100)*1000</f>
        <v>458.88138019281399</v>
      </c>
      <c r="T454" s="94">
        <f>'3.2 Digest'!W454</f>
        <v>277.08138019281404</v>
      </c>
      <c r="U454" s="153">
        <v>0.39930555555555558</v>
      </c>
      <c r="V454" s="155">
        <v>40.5</v>
      </c>
      <c r="W454" s="153">
        <v>0.74236111111111114</v>
      </c>
      <c r="X454" s="91">
        <v>78</v>
      </c>
      <c r="Y454" s="91">
        <v>11.5</v>
      </c>
      <c r="Z454" s="154">
        <v>40</v>
      </c>
      <c r="AA454" s="153">
        <v>0.40416666666666667</v>
      </c>
      <c r="AB454" s="154">
        <v>86.5</v>
      </c>
      <c r="AC454" s="154">
        <v>15.3</v>
      </c>
      <c r="AD454" s="91"/>
      <c r="AE454" s="94">
        <f>Table3.110[[#This Row],[Gas 8h, ml]]-Table3.110[[#This Row],[Gas 0h, ml]]</f>
        <v>37.5</v>
      </c>
      <c r="AF454" s="94">
        <f>Table3.110[[#This Row],[Gas 24h, ml]]-Table3.110[[#This Row],[V8 Push back, ml]]</f>
        <v>46.5</v>
      </c>
      <c r="AG454" s="94">
        <f>Table3.110[[#This Row],[GP 8h, ml]]-(AVERAGE(AE$293,AE$294,AE$385,AE$386,AE$477,AE$478))*$AG$8</f>
        <v>36.246240428868305</v>
      </c>
      <c r="AH454" s="94">
        <f>Table3.110[[#This Row],[GP 8-24h, ml]]-(AVERAGE(AF$293,AF$294,AF$385,AF$386,AF$477,AF$478))*$AG$8</f>
        <v>44.50873479879084</v>
      </c>
      <c r="AI454" s="94">
        <f>Table3.110[[#This Row],[Net gas 8-24h, ml]]+Table3.110[[#This Row],[Net gas 8h, ml]]</f>
        <v>80.754975227659145</v>
      </c>
      <c r="AJ454" s="94">
        <f>Table3.110[[#This Row],[Net gas 8h, ml]]*Table3.110[[#This Row],[CH4 8h %]]%</f>
        <v>4.1683176493198548</v>
      </c>
      <c r="AK454" s="94">
        <f>Table3.110[[#This Row],[Net gas 8-24h, ml]]*Table3.110[[#This Row],[CH4 24h, %]]%</f>
        <v>6.809836424214998</v>
      </c>
      <c r="AL454" s="94">
        <f>Table3.110[[#This Row],[CH4 8-24h, ml]]+Table3.110[[#This Row],[CH4 8h, ml]]</f>
        <v>10.978154073534853</v>
      </c>
      <c r="AM454" s="94">
        <f>(Table3.110[[#This Row],[Net gas 24h, ml]]/Table3.110[[#This Row],[DM Incubated, mg]])*1000</f>
        <v>175.98224446092649</v>
      </c>
      <c r="AN454" s="94">
        <f>'3.2 Digest'!X454</f>
        <v>60.381918324162385</v>
      </c>
      <c r="AO454" s="94">
        <f>Table3.110[[#This Row],[Digested feed, mg]]/Table3.110[[#This Row],[Net gas 24h, ml]]</f>
        <v>3.4311369598180712</v>
      </c>
      <c r="AP454" s="94">
        <f>Table3.110[[#This Row],[CH4 8h, ml]]/Table3.110[[#This Row],[Net gas 8h, ml]]%</f>
        <v>11.5</v>
      </c>
      <c r="AQ454" s="94">
        <f>Table3.110[[#This Row],[CH4 24h, ml]]/Table3.110[[#This Row],[Net gas 24h, ml]]%</f>
        <v>13.594399654740725</v>
      </c>
      <c r="AR454" s="94">
        <f>Table3.110[[#This Row],[CH4 24h, ml]]/Table3.110[[#This Row],[DM Incubated, mg]]*1000</f>
        <v>23.92372963340117</v>
      </c>
      <c r="AS454" s="94">
        <f>Table3.110[[#This Row],[CH4 24h, ml]]/Table3.110[[#This Row],[Digested feed, mg]]*1000</f>
        <v>39.620684962285914</v>
      </c>
      <c r="AT454" s="94">
        <f>Table3.110[[#This Row],[CH4 24h, ml]]/'3.2 Digest'!AA454</f>
        <v>0.31210602660924391</v>
      </c>
      <c r="AU454" s="94">
        <f>((Table3.110[[#This Row],[CH4 24h, ml]]/28.9)*16.04)/Table3.110[[#This Row],[DM Incubated, mg]]*1000</f>
        <v>13.278083851894628</v>
      </c>
      <c r="AV454" s="94">
        <f>((Table3.110[[#This Row],[CH4 24h, ml]]/28.9)*16.04)/Table3.110[[#This Row],[Digested feed, mg]]*1000</f>
        <v>21.990165633047265</v>
      </c>
    </row>
    <row r="455" spans="2:48" s="89" customFormat="1" x14ac:dyDescent="0.35">
      <c r="B455" s="90">
        <f t="shared" si="6"/>
        <v>445</v>
      </c>
      <c r="C455" s="140">
        <v>46048</v>
      </c>
      <c r="D455" s="6" t="s">
        <v>16</v>
      </c>
      <c r="E455" s="6" t="s">
        <v>296</v>
      </c>
      <c r="F455" s="133" t="s">
        <v>240</v>
      </c>
      <c r="G455" s="133" t="s">
        <v>297</v>
      </c>
      <c r="H455" s="133" t="s">
        <v>298</v>
      </c>
      <c r="I455" s="125" t="s">
        <v>22</v>
      </c>
      <c r="J455" s="127" t="s">
        <v>23</v>
      </c>
      <c r="K455" s="125" t="s">
        <v>215</v>
      </c>
      <c r="L455" s="6" t="s">
        <v>295</v>
      </c>
      <c r="M455" s="93">
        <v>28</v>
      </c>
      <c r="N455" s="93">
        <v>60</v>
      </c>
      <c r="O455" s="6">
        <v>1</v>
      </c>
      <c r="P455" s="129">
        <v>3</v>
      </c>
      <c r="Q455" s="6">
        <v>0</v>
      </c>
      <c r="R455" s="98">
        <v>0.50009999999999999</v>
      </c>
      <c r="S455" s="94">
        <f>((Table3.110[[#This Row],[Sample weight, g]]*'2.1. DM'!Q181)/100)*1000</f>
        <v>458.69793770622886</v>
      </c>
      <c r="T455" s="94">
        <f>'3.2 Digest'!W455</f>
        <v>264.19793770622886</v>
      </c>
      <c r="U455" s="117">
        <v>0.39930555555555558</v>
      </c>
      <c r="V455" s="155">
        <v>41.5</v>
      </c>
      <c r="W455" s="117">
        <v>0.74236111111111114</v>
      </c>
      <c r="X455" s="96">
        <v>78</v>
      </c>
      <c r="Y455" s="96">
        <v>11.1</v>
      </c>
      <c r="Z455" s="155">
        <v>40</v>
      </c>
      <c r="AA455" s="117">
        <v>0.40555555555555556</v>
      </c>
      <c r="AB455" s="155">
        <v>87.5</v>
      </c>
      <c r="AC455" s="155">
        <v>14.9</v>
      </c>
      <c r="AD455" s="96"/>
      <c r="AE455" s="94">
        <f>Table3.110[[#This Row],[Gas 8h, ml]]-Table3.110[[#This Row],[Gas 0h, ml]]</f>
        <v>36.5</v>
      </c>
      <c r="AF455" s="94">
        <f>Table3.110[[#This Row],[Gas 24h, ml]]-Table3.110[[#This Row],[V8 Push back, ml]]</f>
        <v>47.5</v>
      </c>
      <c r="AG455" s="94">
        <f>Table3.110[[#This Row],[GP 8h, ml]]-(AVERAGE(AE$293,AE$294,AE$385,AE$386,AE$477,AE$478))*$AG$8</f>
        <v>35.246240428868305</v>
      </c>
      <c r="AH455" s="94">
        <f>Table3.110[[#This Row],[GP 8-24h, ml]]-(AVERAGE(AF$293,AF$294,AF$385,AF$386,AF$477,AF$478))*$AG$8</f>
        <v>45.50873479879084</v>
      </c>
      <c r="AI455" s="94">
        <f>Table3.110[[#This Row],[Net gas 8-24h, ml]]+Table3.110[[#This Row],[Net gas 8h, ml]]</f>
        <v>80.754975227659145</v>
      </c>
      <c r="AJ455" s="94">
        <f>Table3.110[[#This Row],[Net gas 8h, ml]]*Table3.110[[#This Row],[CH4 8h %]]%</f>
        <v>3.912332687604382</v>
      </c>
      <c r="AK455" s="94">
        <f>Table3.110[[#This Row],[Net gas 8-24h, ml]]*Table3.110[[#This Row],[CH4 24h, %]]%</f>
        <v>6.7808014850198353</v>
      </c>
      <c r="AL455" s="94">
        <f>Table3.110[[#This Row],[CH4 8-24h, ml]]+Table3.110[[#This Row],[CH4 8h, ml]]</f>
        <v>10.693134172624218</v>
      </c>
      <c r="AM455" s="94">
        <f>(Table3.110[[#This Row],[Net gas 24h, ml]]/Table3.110[[#This Row],[DM Incubated, mg]])*1000</f>
        <v>176.05262328294643</v>
      </c>
      <c r="AN455" s="94">
        <f>'3.2 Digest'!X455</f>
        <v>57.597367676728751</v>
      </c>
      <c r="AO455" s="94">
        <f>Table3.110[[#This Row],[Digested feed, mg]]/Table3.110[[#This Row],[Net gas 24h, ml]]</f>
        <v>3.271599513979409</v>
      </c>
      <c r="AP455" s="94">
        <f>Table3.110[[#This Row],[CH4 8h, ml]]/Table3.110[[#This Row],[Net gas 8h, ml]]%</f>
        <v>11.100000000000001</v>
      </c>
      <c r="AQ455" s="94">
        <f>Table3.110[[#This Row],[CH4 24h, ml]]/Table3.110[[#This Row],[Net gas 24h, ml]]%</f>
        <v>13.241455579026349</v>
      </c>
      <c r="AR455" s="94">
        <f>Table3.110[[#This Row],[CH4 24h, ml]]/Table3.110[[#This Row],[DM Incubated, mg]]*1000</f>
        <v>23.31192990772195</v>
      </c>
      <c r="AS455" s="94">
        <f>Table3.110[[#This Row],[CH4 24h, ml]]/Table3.110[[#This Row],[Digested feed, mg]]*1000</f>
        <v>40.473950196062077</v>
      </c>
      <c r="AT455" s="94">
        <f>Table3.110[[#This Row],[CH4 24h, ml]]/'3.2 Digest'!AA455</f>
        <v>0.34924129849631763</v>
      </c>
      <c r="AU455" s="94">
        <f>((Table3.110[[#This Row],[CH4 24h, ml]]/28.9)*16.04)/Table3.110[[#This Row],[DM Incubated, mg]]*1000</f>
        <v>12.938524419372323</v>
      </c>
      <c r="AV455" s="94">
        <f>((Table3.110[[#This Row],[CH4 24h, ml]]/28.9)*16.04)/Table3.110[[#This Row],[Digested feed, mg]]*1000</f>
        <v>22.463742600167325</v>
      </c>
    </row>
    <row r="456" spans="2:48" s="89" customFormat="1" x14ac:dyDescent="0.35">
      <c r="B456" s="90">
        <f t="shared" si="6"/>
        <v>446</v>
      </c>
      <c r="C456" s="140">
        <v>46048</v>
      </c>
      <c r="D456" s="6" t="s">
        <v>16</v>
      </c>
      <c r="E456" s="6" t="s">
        <v>300</v>
      </c>
      <c r="F456" s="133" t="s">
        <v>212</v>
      </c>
      <c r="G456" s="133" t="s">
        <v>301</v>
      </c>
      <c r="H456" s="133" t="s">
        <v>302</v>
      </c>
      <c r="I456" s="125" t="s">
        <v>22</v>
      </c>
      <c r="J456" s="127" t="s">
        <v>23</v>
      </c>
      <c r="K456" s="138" t="s">
        <v>303</v>
      </c>
      <c r="L456" s="6" t="s">
        <v>299</v>
      </c>
      <c r="M456" s="93">
        <v>28</v>
      </c>
      <c r="N456" s="93">
        <v>60</v>
      </c>
      <c r="O456" s="6">
        <v>1</v>
      </c>
      <c r="P456" s="129">
        <v>1</v>
      </c>
      <c r="Q456" s="6">
        <v>0</v>
      </c>
      <c r="R456" s="98">
        <v>0.50009999999999999</v>
      </c>
      <c r="S456" s="94">
        <f>((Table3.110[[#This Row],[Sample weight, g]]*'2.1. DM'!Q183)/100)*1000</f>
        <v>458.42292770722918</v>
      </c>
      <c r="T456" s="94">
        <f>'3.2 Digest'!W456</f>
        <v>279.52292770722909</v>
      </c>
      <c r="U456" s="153">
        <v>0.4</v>
      </c>
      <c r="V456" s="155">
        <v>40.5</v>
      </c>
      <c r="W456" s="153">
        <v>0.74305555555555558</v>
      </c>
      <c r="X456" s="91">
        <v>78.5</v>
      </c>
      <c r="Y456" s="91">
        <v>12.1</v>
      </c>
      <c r="Z456" s="154">
        <v>40</v>
      </c>
      <c r="AA456" s="153">
        <v>0.40555555555555556</v>
      </c>
      <c r="AB456" s="154">
        <v>81.5</v>
      </c>
      <c r="AC456" s="154">
        <v>16.5</v>
      </c>
      <c r="AD456" s="91"/>
      <c r="AE456" s="94">
        <f>Table3.110[[#This Row],[Gas 8h, ml]]-Table3.110[[#This Row],[Gas 0h, ml]]</f>
        <v>38</v>
      </c>
      <c r="AF456" s="94">
        <f>Table3.110[[#This Row],[Gas 24h, ml]]-Table3.110[[#This Row],[V8 Push back, ml]]</f>
        <v>41.5</v>
      </c>
      <c r="AG456" s="94">
        <f>Table3.110[[#This Row],[GP 8h, ml]]-(AVERAGE(AE$293,AE$294,AE$385,AE$386,AE$477,AE$478))*$AG$8</f>
        <v>36.746240428868305</v>
      </c>
      <c r="AH456" s="94">
        <f>Table3.110[[#This Row],[GP 8-24h, ml]]-(AVERAGE(AF$293,AF$294,AF$385,AF$386,AF$477,AF$478))*$AG$8</f>
        <v>39.50873479879084</v>
      </c>
      <c r="AI456" s="94">
        <f>Table3.110[[#This Row],[Net gas 8-24h, ml]]+Table3.110[[#This Row],[Net gas 8h, ml]]</f>
        <v>76.254975227659145</v>
      </c>
      <c r="AJ456" s="94">
        <f>Table3.110[[#This Row],[Net gas 8h, ml]]*Table3.110[[#This Row],[CH4 8h %]]%</f>
        <v>4.4462950918930648</v>
      </c>
      <c r="AK456" s="94">
        <f>Table3.110[[#This Row],[Net gas 8-24h, ml]]*Table3.110[[#This Row],[CH4 24h, %]]%</f>
        <v>6.5189412418004888</v>
      </c>
      <c r="AL456" s="94">
        <f>Table3.110[[#This Row],[CH4 8-24h, ml]]+Table3.110[[#This Row],[CH4 8h, ml]]</f>
        <v>10.965236333693554</v>
      </c>
      <c r="AM456" s="94">
        <f>(Table3.110[[#This Row],[Net gas 24h, ml]]/Table3.110[[#This Row],[DM Incubated, mg]])*1000</f>
        <v>166.34197510373917</v>
      </c>
      <c r="AN456" s="94">
        <f>'3.2 Digest'!X456</f>
        <v>60.974901300256477</v>
      </c>
      <c r="AO456" s="94">
        <f>Table3.110[[#This Row],[Digested feed, mg]]/Table3.110[[#This Row],[Net gas 24h, ml]]</f>
        <v>3.6656352831105603</v>
      </c>
      <c r="AP456" s="94">
        <f>Table3.110[[#This Row],[CH4 8h, ml]]/Table3.110[[#This Row],[Net gas 8h, ml]]%</f>
        <v>12.1</v>
      </c>
      <c r="AQ456" s="94">
        <f>Table3.110[[#This Row],[CH4 24h, ml]]/Table3.110[[#This Row],[Net gas 24h, ml]]%</f>
        <v>14.379699555283903</v>
      </c>
      <c r="AR456" s="94">
        <f>Table3.110[[#This Row],[CH4 24h, ml]]/Table3.110[[#This Row],[DM Incubated, mg]]*1000</f>
        <v>23.919476254242849</v>
      </c>
      <c r="AS456" s="94">
        <f>Table3.110[[#This Row],[CH4 24h, ml]]/Table3.110[[#This Row],[Digested feed, mg]]*1000</f>
        <v>39.228396838983052</v>
      </c>
      <c r="AT456" s="94">
        <f>Table3.110[[#This Row],[CH4 24h, ml]]/'3.2 Digest'!AA456</f>
        <v>0.47557090227846216</v>
      </c>
      <c r="AU456" s="94">
        <f>((Table3.110[[#This Row],[CH4 24h, ml]]/28.9)*16.04)/Table3.110[[#This Row],[DM Incubated, mg]]*1000</f>
        <v>13.275723152873883</v>
      </c>
      <c r="AV456" s="94">
        <f>((Table3.110[[#This Row],[CH4 24h, ml]]/28.9)*16.04)/Table3.110[[#This Row],[Digested feed, mg]]*1000</f>
        <v>21.772438937622425</v>
      </c>
    </row>
    <row r="457" spans="2:48" s="89" customFormat="1" x14ac:dyDescent="0.35">
      <c r="B457" s="90">
        <f t="shared" si="6"/>
        <v>447</v>
      </c>
      <c r="C457" s="140">
        <v>46048</v>
      </c>
      <c r="D457" s="6" t="s">
        <v>16</v>
      </c>
      <c r="E457" s="6" t="s">
        <v>300</v>
      </c>
      <c r="F457" s="133" t="s">
        <v>212</v>
      </c>
      <c r="G457" s="133" t="s">
        <v>301</v>
      </c>
      <c r="H457" s="133" t="s">
        <v>302</v>
      </c>
      <c r="I457" s="125" t="s">
        <v>22</v>
      </c>
      <c r="J457" s="127" t="s">
        <v>23</v>
      </c>
      <c r="K457" s="138" t="s">
        <v>303</v>
      </c>
      <c r="L457" s="6" t="s">
        <v>299</v>
      </c>
      <c r="M457" s="93">
        <v>28</v>
      </c>
      <c r="N457" s="93">
        <v>60</v>
      </c>
      <c r="O457" s="6">
        <v>1</v>
      </c>
      <c r="P457" s="129">
        <v>2</v>
      </c>
      <c r="Q457" s="6">
        <v>0</v>
      </c>
      <c r="R457" s="98">
        <v>0.50039999999999996</v>
      </c>
      <c r="S457" s="94">
        <f>((Table3.110[[#This Row],[Sample weight, g]]*'2.1. DM'!Q183)/100)*1000</f>
        <v>458.69792646410212</v>
      </c>
      <c r="T457" s="94">
        <f>'3.2 Digest'!W457</f>
        <v>268.79792646410215</v>
      </c>
      <c r="U457" s="117">
        <v>0.4</v>
      </c>
      <c r="V457" s="155">
        <v>40.5</v>
      </c>
      <c r="W457" s="117">
        <v>0.74305555555555558</v>
      </c>
      <c r="X457" s="96">
        <v>80</v>
      </c>
      <c r="Y457" s="96">
        <v>12.2</v>
      </c>
      <c r="Z457" s="155">
        <v>40.5</v>
      </c>
      <c r="AA457" s="117">
        <v>0.40555555555555556</v>
      </c>
      <c r="AB457" s="155">
        <v>86.5</v>
      </c>
      <c r="AC457" s="155">
        <v>16.100000000000001</v>
      </c>
      <c r="AD457" s="96"/>
      <c r="AE457" s="94">
        <f>Table3.110[[#This Row],[Gas 8h, ml]]-Table3.110[[#This Row],[Gas 0h, ml]]</f>
        <v>39.5</v>
      </c>
      <c r="AF457" s="94">
        <f>Table3.110[[#This Row],[Gas 24h, ml]]-Table3.110[[#This Row],[V8 Push back, ml]]</f>
        <v>46</v>
      </c>
      <c r="AG457" s="94">
        <f>Table3.110[[#This Row],[GP 8h, ml]]-(AVERAGE(AE$293,AE$294,AE$385,AE$386,AE$477,AE$478))*$AG$8</f>
        <v>38.246240428868305</v>
      </c>
      <c r="AH457" s="94">
        <f>Table3.110[[#This Row],[GP 8-24h, ml]]-(AVERAGE(AF$293,AF$294,AF$385,AF$386,AF$477,AF$478))*$AG$8</f>
        <v>44.00873479879084</v>
      </c>
      <c r="AI457" s="94">
        <f>Table3.110[[#This Row],[Net gas 8-24h, ml]]+Table3.110[[#This Row],[Net gas 8h, ml]]</f>
        <v>82.254975227659145</v>
      </c>
      <c r="AJ457" s="94">
        <f>Table3.110[[#This Row],[Net gas 8h, ml]]*Table3.110[[#This Row],[CH4 8h %]]%</f>
        <v>4.6660413323219334</v>
      </c>
      <c r="AK457" s="94">
        <f>Table3.110[[#This Row],[Net gas 8-24h, ml]]*Table3.110[[#This Row],[CH4 24h, %]]%</f>
        <v>7.0854063026053256</v>
      </c>
      <c r="AL457" s="94">
        <f>Table3.110[[#This Row],[CH4 8-24h, ml]]+Table3.110[[#This Row],[CH4 8h, ml]]</f>
        <v>11.75144763492726</v>
      </c>
      <c r="AM457" s="94">
        <f>(Table3.110[[#This Row],[Net gas 24h, ml]]/Table3.110[[#This Row],[DM Incubated, mg]])*1000</f>
        <v>179.32275356404179</v>
      </c>
      <c r="AN457" s="94">
        <f>'3.2 Digest'!X457</f>
        <v>58.6002052671451</v>
      </c>
      <c r="AO457" s="94">
        <f>Table3.110[[#This Row],[Digested feed, mg]]/Table3.110[[#This Row],[Net gas 24h, ml]]</f>
        <v>3.2678622262075141</v>
      </c>
      <c r="AP457" s="94">
        <f>Table3.110[[#This Row],[CH4 8h, ml]]/Table3.110[[#This Row],[Net gas 8h, ml]]%</f>
        <v>12.200000000000001</v>
      </c>
      <c r="AQ457" s="94">
        <f>Table3.110[[#This Row],[CH4 24h, ml]]/Table3.110[[#This Row],[Net gas 24h, ml]]%</f>
        <v>14.286610144131082</v>
      </c>
      <c r="AR457" s="94">
        <f>Table3.110[[#This Row],[CH4 24h, ml]]/Table3.110[[#This Row],[DM Incubated, mg]]*1000</f>
        <v>25.619142701415576</v>
      </c>
      <c r="AS457" s="94">
        <f>Table3.110[[#This Row],[CH4 24h, ml]]/Table3.110[[#This Row],[Digested feed, mg]]*1000</f>
        <v>43.718520412383697</v>
      </c>
      <c r="AT457" s="94">
        <f>Table3.110[[#This Row],[CH4 24h, ml]]/'3.2 Digest'!AA457</f>
        <v>0.63953536373054243</v>
      </c>
      <c r="AU457" s="94">
        <f>((Table3.110[[#This Row],[CH4 24h, ml]]/28.9)*16.04)/Table3.110[[#This Row],[DM Incubated, mg]]*1000</f>
        <v>14.219067437048645</v>
      </c>
      <c r="AV457" s="94">
        <f>((Table3.110[[#This Row],[CH4 24h, ml]]/28.9)*16.04)/Table3.110[[#This Row],[Digested feed, mg]]*1000</f>
        <v>24.264535204658632</v>
      </c>
    </row>
    <row r="458" spans="2:48" s="89" customFormat="1" x14ac:dyDescent="0.35">
      <c r="B458" s="90">
        <f t="shared" si="6"/>
        <v>448</v>
      </c>
      <c r="C458" s="140">
        <v>46048</v>
      </c>
      <c r="D458" s="6" t="s">
        <v>16</v>
      </c>
      <c r="E458" s="6" t="s">
        <v>300</v>
      </c>
      <c r="F458" s="133" t="s">
        <v>212</v>
      </c>
      <c r="G458" s="133" t="s">
        <v>301</v>
      </c>
      <c r="H458" s="133" t="s">
        <v>302</v>
      </c>
      <c r="I458" s="125" t="s">
        <v>22</v>
      </c>
      <c r="J458" s="127" t="s">
        <v>23</v>
      </c>
      <c r="K458" s="138" t="s">
        <v>303</v>
      </c>
      <c r="L458" s="6" t="s">
        <v>299</v>
      </c>
      <c r="M458" s="93">
        <v>28</v>
      </c>
      <c r="N458" s="93">
        <v>60</v>
      </c>
      <c r="O458" s="6">
        <v>1</v>
      </c>
      <c r="P458" s="129">
        <v>3</v>
      </c>
      <c r="Q458" s="6">
        <v>0</v>
      </c>
      <c r="R458" s="98">
        <v>0.5</v>
      </c>
      <c r="S458" s="94">
        <f>((Table3.110[[#This Row],[Sample weight, g]]*'2.1. DM'!Q183)/100)*1000</f>
        <v>458.33126145493821</v>
      </c>
      <c r="T458" s="94">
        <f>'3.2 Digest'!W458</f>
        <v>262.33126145493827</v>
      </c>
      <c r="U458" s="153">
        <v>0.40069444444444446</v>
      </c>
      <c r="V458" s="155">
        <v>40.5</v>
      </c>
      <c r="W458" s="153">
        <v>0.74375000000000002</v>
      </c>
      <c r="X458" s="91">
        <v>80</v>
      </c>
      <c r="Y458" s="91">
        <v>12.2</v>
      </c>
      <c r="Z458" s="154">
        <v>40</v>
      </c>
      <c r="AA458" s="153">
        <v>0.40625</v>
      </c>
      <c r="AB458" s="154">
        <v>81</v>
      </c>
      <c r="AC458" s="154">
        <v>16.5</v>
      </c>
      <c r="AD458" s="91"/>
      <c r="AE458" s="94">
        <f>Table3.110[[#This Row],[Gas 8h, ml]]-Table3.110[[#This Row],[Gas 0h, ml]]</f>
        <v>39.5</v>
      </c>
      <c r="AF458" s="94">
        <f>Table3.110[[#This Row],[Gas 24h, ml]]-Table3.110[[#This Row],[V8 Push back, ml]]</f>
        <v>41</v>
      </c>
      <c r="AG458" s="94">
        <f>Table3.110[[#This Row],[GP 8h, ml]]-(AVERAGE(AE$293,AE$294,AE$385,AE$386,AE$477,AE$478))*$AG$8</f>
        <v>38.246240428868305</v>
      </c>
      <c r="AH458" s="94">
        <f>Table3.110[[#This Row],[GP 8-24h, ml]]-(AVERAGE(AF$293,AF$294,AF$385,AF$386,AF$477,AF$478))*$AG$8</f>
        <v>39.00873479879084</v>
      </c>
      <c r="AI458" s="94">
        <f>Table3.110[[#This Row],[Net gas 8-24h, ml]]+Table3.110[[#This Row],[Net gas 8h, ml]]</f>
        <v>77.254975227659145</v>
      </c>
      <c r="AJ458" s="94">
        <f>Table3.110[[#This Row],[Net gas 8h, ml]]*Table3.110[[#This Row],[CH4 8h %]]%</f>
        <v>4.6660413323219334</v>
      </c>
      <c r="AK458" s="94">
        <f>Table3.110[[#This Row],[Net gas 8-24h, ml]]*Table3.110[[#This Row],[CH4 24h, %]]%</f>
        <v>6.4364412418004893</v>
      </c>
      <c r="AL458" s="94">
        <f>Table3.110[[#This Row],[CH4 8-24h, ml]]+Table3.110[[#This Row],[CH4 8h, ml]]</f>
        <v>11.102482574122423</v>
      </c>
      <c r="AM458" s="94">
        <f>(Table3.110[[#This Row],[Net gas 24h, ml]]/Table3.110[[#This Row],[DM Incubated, mg]])*1000</f>
        <v>168.55707154344876</v>
      </c>
      <c r="AN458" s="94">
        <f>'3.2 Digest'!X458</f>
        <v>57.236170324098637</v>
      </c>
      <c r="AO458" s="94">
        <f>Table3.110[[#This Row],[Digested feed, mg]]/Table3.110[[#This Row],[Net gas 24h, ml]]</f>
        <v>3.3956552400914801</v>
      </c>
      <c r="AP458" s="94">
        <f>Table3.110[[#This Row],[CH4 8h, ml]]/Table3.110[[#This Row],[Net gas 8h, ml]]%</f>
        <v>12.200000000000001</v>
      </c>
      <c r="AQ458" s="94">
        <f>Table3.110[[#This Row],[CH4 24h, ml]]/Table3.110[[#This Row],[Net gas 24h, ml]]%</f>
        <v>14.371220159484908</v>
      </c>
      <c r="AR458" s="94">
        <f>Table3.110[[#This Row],[CH4 24h, ml]]/Table3.110[[#This Row],[DM Incubated, mg]]*1000</f>
        <v>24.223707845889507</v>
      </c>
      <c r="AS458" s="94">
        <f>Table3.110[[#This Row],[CH4 24h, ml]]/Table3.110[[#This Row],[Digested feed, mg]]*1000</f>
        <v>42.322377106510203</v>
      </c>
      <c r="AT458" s="94">
        <f>Table3.110[[#This Row],[CH4 24h, ml]]/'3.2 Digest'!AA458</f>
        <v>0.70781340083813804</v>
      </c>
      <c r="AU458" s="94">
        <f>((Table3.110[[#This Row],[CH4 24h, ml]]/28.9)*16.04)/Table3.110[[#This Row],[DM Incubated, mg]]*1000</f>
        <v>13.444576949760128</v>
      </c>
      <c r="AV458" s="94">
        <f>((Table3.110[[#This Row],[CH4 24h, ml]]/28.9)*16.04)/Table3.110[[#This Row],[Digested feed, mg]]*1000</f>
        <v>23.489651515170369</v>
      </c>
    </row>
    <row r="459" spans="2:48" s="89" customFormat="1" x14ac:dyDescent="0.35">
      <c r="B459" s="90">
        <f t="shared" si="6"/>
        <v>449</v>
      </c>
      <c r="C459" s="140">
        <v>46048</v>
      </c>
      <c r="D459" s="6" t="s">
        <v>16</v>
      </c>
      <c r="E459" s="6" t="s">
        <v>305</v>
      </c>
      <c r="F459" s="133" t="s">
        <v>212</v>
      </c>
      <c r="G459" s="133" t="s">
        <v>301</v>
      </c>
      <c r="H459" s="133" t="s">
        <v>302</v>
      </c>
      <c r="I459" s="125" t="s">
        <v>22</v>
      </c>
      <c r="J459" s="127" t="s">
        <v>23</v>
      </c>
      <c r="K459" s="138" t="s">
        <v>303</v>
      </c>
      <c r="L459" s="6" t="s">
        <v>304</v>
      </c>
      <c r="M459" s="93">
        <v>28</v>
      </c>
      <c r="N459" s="93">
        <v>60</v>
      </c>
      <c r="O459" s="6">
        <v>1</v>
      </c>
      <c r="P459" s="129">
        <v>1</v>
      </c>
      <c r="Q459" s="6">
        <v>0</v>
      </c>
      <c r="R459" s="98">
        <v>0.50039999999999996</v>
      </c>
      <c r="S459" s="94">
        <f>((Table3.110[[#This Row],[Sample weight, g]]*'2.1. DM'!Q185)/100)*1000</f>
        <v>459.42747052309028</v>
      </c>
      <c r="T459" s="94">
        <f>'3.2 Digest'!W459</f>
        <v>209.22747052309029</v>
      </c>
      <c r="U459" s="117">
        <v>0.40069444444444446</v>
      </c>
      <c r="V459" s="155">
        <v>40.5</v>
      </c>
      <c r="W459" s="117">
        <v>0.74444444444444446</v>
      </c>
      <c r="X459" s="96">
        <v>78</v>
      </c>
      <c r="Y459" s="96">
        <v>13.9</v>
      </c>
      <c r="Z459" s="155">
        <v>40</v>
      </c>
      <c r="AA459" s="117">
        <v>0.40625</v>
      </c>
      <c r="AB459" s="155">
        <v>72.5</v>
      </c>
      <c r="AC459" s="155">
        <v>16.5</v>
      </c>
      <c r="AD459" s="96"/>
      <c r="AE459" s="94">
        <f>Table3.110[[#This Row],[Gas 8h, ml]]-Table3.110[[#This Row],[Gas 0h, ml]]</f>
        <v>37.5</v>
      </c>
      <c r="AF459" s="94">
        <f>Table3.110[[#This Row],[Gas 24h, ml]]-Table3.110[[#This Row],[V8 Push back, ml]]</f>
        <v>32.5</v>
      </c>
      <c r="AG459" s="94">
        <f>Table3.110[[#This Row],[GP 8h, ml]]-(AVERAGE(AE$293,AE$294,AE$385,AE$386,AE$477,AE$478))*$AG$8</f>
        <v>36.246240428868305</v>
      </c>
      <c r="AH459" s="94">
        <f>Table3.110[[#This Row],[GP 8-24h, ml]]-(AVERAGE(AF$293,AF$294,AF$385,AF$386,AF$477,AF$478))*$AG$8</f>
        <v>30.508734798790837</v>
      </c>
      <c r="AI459" s="94">
        <f>Table3.110[[#This Row],[Net gas 8-24h, ml]]+Table3.110[[#This Row],[Net gas 8h, ml]]</f>
        <v>66.754975227659145</v>
      </c>
      <c r="AJ459" s="94">
        <f>Table3.110[[#This Row],[Net gas 8h, ml]]*Table3.110[[#This Row],[CH4 8h %]]%</f>
        <v>5.0382274196126948</v>
      </c>
      <c r="AK459" s="94">
        <f>Table3.110[[#This Row],[Net gas 8-24h, ml]]*Table3.110[[#This Row],[CH4 24h, %]]%</f>
        <v>5.0339412418004885</v>
      </c>
      <c r="AL459" s="94">
        <f>Table3.110[[#This Row],[CH4 8-24h, ml]]+Table3.110[[#This Row],[CH4 8h, ml]]</f>
        <v>10.072168661413183</v>
      </c>
      <c r="AM459" s="94">
        <f>(Table3.110[[#This Row],[Net gas 24h, ml]]/Table3.110[[#This Row],[DM Incubated, mg]])*1000</f>
        <v>145.30035644506398</v>
      </c>
      <c r="AN459" s="94">
        <f>'3.2 Digest'!X459</f>
        <v>45.54091427856288</v>
      </c>
      <c r="AO459" s="94">
        <f>Table3.110[[#This Row],[Digested feed, mg]]/Table3.110[[#This Row],[Net gas 24h, ml]]</f>
        <v>3.1342603275568188</v>
      </c>
      <c r="AP459" s="94">
        <f>Table3.110[[#This Row],[CH4 8h, ml]]/Table3.110[[#This Row],[Net gas 8h, ml]]%</f>
        <v>13.900000000000002</v>
      </c>
      <c r="AQ459" s="94">
        <f>Table3.110[[#This Row],[CH4 24h, ml]]/Table3.110[[#This Row],[Net gas 24h, ml]]%</f>
        <v>15.088266645389899</v>
      </c>
      <c r="AR459" s="94">
        <f>Table3.110[[#This Row],[CH4 24h, ml]]/Table3.110[[#This Row],[DM Incubated, mg]]*1000</f>
        <v>21.923305217133219</v>
      </c>
      <c r="AS459" s="94">
        <f>Table3.110[[#This Row],[CH4 24h, ml]]/Table3.110[[#This Row],[Digested feed, mg]]*1000</f>
        <v>48.139800362886007</v>
      </c>
      <c r="AT459" s="94">
        <f>Table3.110[[#This Row],[CH4 24h, ml]]/'3.2 Digest'!AA459</f>
        <v>-1.2230495572276421</v>
      </c>
      <c r="AU459" s="94">
        <f>((Table3.110[[#This Row],[CH4 24h, ml]]/28.9)*16.04)/Table3.110[[#This Row],[DM Incubated, mg]]*1000</f>
        <v>12.167813691446948</v>
      </c>
      <c r="AV459" s="94">
        <f>((Table3.110[[#This Row],[CH4 24h, ml]]/28.9)*16.04)/Table3.110[[#This Row],[Digested feed, mg]]*1000</f>
        <v>26.71842206992012</v>
      </c>
    </row>
    <row r="460" spans="2:48" s="89" customFormat="1" x14ac:dyDescent="0.35">
      <c r="B460" s="90">
        <f t="shared" ref="B460:B523" si="7">B459+1</f>
        <v>450</v>
      </c>
      <c r="C460" s="140">
        <v>46048</v>
      </c>
      <c r="D460" s="6" t="s">
        <v>16</v>
      </c>
      <c r="E460" s="6" t="s">
        <v>305</v>
      </c>
      <c r="F460" s="133" t="s">
        <v>212</v>
      </c>
      <c r="G460" s="133" t="s">
        <v>301</v>
      </c>
      <c r="H460" s="133" t="s">
        <v>302</v>
      </c>
      <c r="I460" s="125" t="s">
        <v>22</v>
      </c>
      <c r="J460" s="127" t="s">
        <v>23</v>
      </c>
      <c r="K460" s="138" t="s">
        <v>303</v>
      </c>
      <c r="L460" s="6" t="s">
        <v>304</v>
      </c>
      <c r="M460" s="93">
        <v>28</v>
      </c>
      <c r="N460" s="93">
        <v>60</v>
      </c>
      <c r="O460" s="6">
        <v>1</v>
      </c>
      <c r="P460" s="129">
        <v>2</v>
      </c>
      <c r="Q460" s="6">
        <v>0</v>
      </c>
      <c r="R460" s="98">
        <v>0.50049999999999994</v>
      </c>
      <c r="S460" s="94">
        <f>((Table3.110[[#This Row],[Sample weight, g]]*'2.1. DM'!Q185)/100)*1000</f>
        <v>459.51928256755934</v>
      </c>
      <c r="T460" s="94">
        <f>'3.2 Digest'!W460</f>
        <v>229.1192825675594</v>
      </c>
      <c r="U460" s="153">
        <v>0.40138888888888891</v>
      </c>
      <c r="V460" s="155">
        <v>40.5</v>
      </c>
      <c r="W460" s="153">
        <v>0.74444444444444446</v>
      </c>
      <c r="X460" s="91">
        <v>76</v>
      </c>
      <c r="Y460" s="91">
        <v>13.8</v>
      </c>
      <c r="Z460" s="154">
        <v>40</v>
      </c>
      <c r="AA460" s="153">
        <v>0.40694444444444444</v>
      </c>
      <c r="AB460" s="154">
        <v>68.5</v>
      </c>
      <c r="AC460" s="154">
        <v>17.2</v>
      </c>
      <c r="AD460" s="91"/>
      <c r="AE460" s="94">
        <f>Table3.110[[#This Row],[Gas 8h, ml]]-Table3.110[[#This Row],[Gas 0h, ml]]</f>
        <v>35.5</v>
      </c>
      <c r="AF460" s="94">
        <f>Table3.110[[#This Row],[Gas 24h, ml]]-Table3.110[[#This Row],[V8 Push back, ml]]</f>
        <v>28.5</v>
      </c>
      <c r="AG460" s="94">
        <f>Table3.110[[#This Row],[GP 8h, ml]]-(AVERAGE(AE$293,AE$294,AE$385,AE$386,AE$477,AE$478))*$AG$8</f>
        <v>34.246240428868305</v>
      </c>
      <c r="AH460" s="94">
        <f>Table3.110[[#This Row],[GP 8-24h, ml]]-(AVERAGE(AF$293,AF$294,AF$385,AF$386,AF$477,AF$478))*$AG$8</f>
        <v>26.508734798790837</v>
      </c>
      <c r="AI460" s="94">
        <f>Table3.110[[#This Row],[Net gas 8-24h, ml]]+Table3.110[[#This Row],[Net gas 8h, ml]]</f>
        <v>60.754975227659145</v>
      </c>
      <c r="AJ460" s="94">
        <f>Table3.110[[#This Row],[Net gas 8h, ml]]*Table3.110[[#This Row],[CH4 8h %]]%</f>
        <v>4.7259811791838269</v>
      </c>
      <c r="AK460" s="94">
        <f>Table3.110[[#This Row],[Net gas 8-24h, ml]]*Table3.110[[#This Row],[CH4 24h, %]]%</f>
        <v>4.5595023853920233</v>
      </c>
      <c r="AL460" s="94">
        <f>Table3.110[[#This Row],[CH4 8-24h, ml]]+Table3.110[[#This Row],[CH4 8h, ml]]</f>
        <v>9.2854835645758502</v>
      </c>
      <c r="AM460" s="94">
        <f>(Table3.110[[#This Row],[Net gas 24h, ml]]/Table3.110[[#This Row],[DM Incubated, mg]])*1000</f>
        <v>132.21420195512002</v>
      </c>
      <c r="AN460" s="94">
        <f>'3.2 Digest'!X460</f>
        <v>49.86064595317039</v>
      </c>
      <c r="AO460" s="94">
        <f>Table3.110[[#This Row],[Digested feed, mg]]/Table3.110[[#This Row],[Net gas 24h, ml]]</f>
        <v>3.7712019749660137</v>
      </c>
      <c r="AP460" s="94">
        <f>Table3.110[[#This Row],[CH4 8h, ml]]/Table3.110[[#This Row],[Net gas 8h, ml]]%</f>
        <v>13.800000000000004</v>
      </c>
      <c r="AQ460" s="94">
        <f>Table3.110[[#This Row],[CH4 24h, ml]]/Table3.110[[#This Row],[Net gas 24h, ml]]%</f>
        <v>15.283494939766786</v>
      </c>
      <c r="AR460" s="94">
        <f>Table3.110[[#This Row],[CH4 24h, ml]]/Table3.110[[#This Row],[DM Incubated, mg]]*1000</f>
        <v>20.206950865463806</v>
      </c>
      <c r="AS460" s="94">
        <f>Table3.110[[#This Row],[CH4 24h, ml]]/Table3.110[[#This Row],[Digested feed, mg]]*1000</f>
        <v>40.526853351323155</v>
      </c>
      <c r="AT460" s="94">
        <f>Table3.110[[#This Row],[CH4 24h, ml]]/'3.2 Digest'!AA460</f>
        <v>26.529492800823263</v>
      </c>
      <c r="AU460" s="94">
        <f>((Table3.110[[#This Row],[CH4 24h, ml]]/28.9)*16.04)/Table3.110[[#This Row],[DM Incubated, mg]]*1000</f>
        <v>11.215207331558458</v>
      </c>
      <c r="AV460" s="94">
        <f>((Table3.110[[#This Row],[CH4 24h, ml]]/28.9)*16.04)/Table3.110[[#This Row],[Digested feed, mg]]*1000</f>
        <v>22.493104766616725</v>
      </c>
    </row>
    <row r="461" spans="2:48" s="89" customFormat="1" x14ac:dyDescent="0.35">
      <c r="B461" s="90">
        <f t="shared" si="7"/>
        <v>451</v>
      </c>
      <c r="C461" s="140">
        <v>46048</v>
      </c>
      <c r="D461" s="6" t="s">
        <v>16</v>
      </c>
      <c r="E461" s="6" t="s">
        <v>305</v>
      </c>
      <c r="F461" s="133" t="s">
        <v>212</v>
      </c>
      <c r="G461" s="133" t="s">
        <v>301</v>
      </c>
      <c r="H461" s="133" t="s">
        <v>302</v>
      </c>
      <c r="I461" s="125" t="s">
        <v>22</v>
      </c>
      <c r="J461" s="127" t="s">
        <v>23</v>
      </c>
      <c r="K461" s="138" t="s">
        <v>303</v>
      </c>
      <c r="L461" s="6" t="s">
        <v>304</v>
      </c>
      <c r="M461" s="93">
        <v>28</v>
      </c>
      <c r="N461" s="93">
        <v>60</v>
      </c>
      <c r="O461" s="6">
        <v>1</v>
      </c>
      <c r="P461" s="129">
        <v>3</v>
      </c>
      <c r="Q461" s="6">
        <v>0</v>
      </c>
      <c r="R461" s="98">
        <v>0.50019999999999998</v>
      </c>
      <c r="S461" s="94">
        <f>((Table3.110[[#This Row],[Sample weight, g]]*'2.1. DM'!Q185)/100)*1000</f>
        <v>459.2438464341522</v>
      </c>
      <c r="T461" s="94">
        <f>'3.2 Digest'!W461</f>
        <v>217.3438464341522</v>
      </c>
      <c r="U461" s="117">
        <v>0.40138888888888891</v>
      </c>
      <c r="V461" s="155">
        <v>40.5</v>
      </c>
      <c r="W461" s="117">
        <v>0.74513888888888891</v>
      </c>
      <c r="X461" s="96">
        <v>75</v>
      </c>
      <c r="Y461" s="96">
        <v>14.3</v>
      </c>
      <c r="Z461" s="155">
        <v>40</v>
      </c>
      <c r="AA461" s="117">
        <v>0.40694444444444444</v>
      </c>
      <c r="AB461" s="155">
        <v>74.5</v>
      </c>
      <c r="AC461" s="155">
        <v>17</v>
      </c>
      <c r="AD461" s="96"/>
      <c r="AE461" s="94">
        <f>Table3.110[[#This Row],[Gas 8h, ml]]-Table3.110[[#This Row],[Gas 0h, ml]]</f>
        <v>34.5</v>
      </c>
      <c r="AF461" s="94">
        <f>Table3.110[[#This Row],[Gas 24h, ml]]-Table3.110[[#This Row],[V8 Push back, ml]]</f>
        <v>34.5</v>
      </c>
      <c r="AG461" s="94">
        <f>Table3.110[[#This Row],[GP 8h, ml]]-(AVERAGE(AE$293,AE$294,AE$385,AE$386,AE$477,AE$478))*$AG$8</f>
        <v>33.246240428868305</v>
      </c>
      <c r="AH461" s="94">
        <f>Table3.110[[#This Row],[GP 8-24h, ml]]-(AVERAGE(AF$293,AF$294,AF$385,AF$386,AF$477,AF$478))*$AG$8</f>
        <v>32.50873479879084</v>
      </c>
      <c r="AI461" s="94">
        <f>Table3.110[[#This Row],[Net gas 8-24h, ml]]+Table3.110[[#This Row],[Net gas 8h, ml]]</f>
        <v>65.754975227659145</v>
      </c>
      <c r="AJ461" s="94">
        <f>Table3.110[[#This Row],[Net gas 8h, ml]]*Table3.110[[#This Row],[CH4 8h %]]%</f>
        <v>4.754212381328168</v>
      </c>
      <c r="AK461" s="94">
        <f>Table3.110[[#This Row],[Net gas 8-24h, ml]]*Table3.110[[#This Row],[CH4 24h, %]]%</f>
        <v>5.5264849157944429</v>
      </c>
      <c r="AL461" s="94">
        <f>Table3.110[[#This Row],[CH4 8-24h, ml]]+Table3.110[[#This Row],[CH4 8h, ml]]</f>
        <v>10.280697297122611</v>
      </c>
      <c r="AM461" s="94">
        <f>(Table3.110[[#This Row],[Net gas 24h, ml]]/Table3.110[[#This Row],[DM Incubated, mg]])*1000</f>
        <v>143.18096091699576</v>
      </c>
      <c r="AN461" s="94">
        <f>'3.2 Digest'!X461</f>
        <v>47.326458072708355</v>
      </c>
      <c r="AO461" s="94">
        <f>Table3.110[[#This Row],[Digested feed, mg]]/Table3.110[[#This Row],[Net gas 24h, ml]]</f>
        <v>3.3053597188905757</v>
      </c>
      <c r="AP461" s="94">
        <f>Table3.110[[#This Row],[CH4 8h, ml]]/Table3.110[[#This Row],[Net gas 8h, ml]]%</f>
        <v>14.3</v>
      </c>
      <c r="AQ461" s="94">
        <f>Table3.110[[#This Row],[CH4 24h, ml]]/Table3.110[[#This Row],[Net gas 24h, ml]]%</f>
        <v>15.634858444594386</v>
      </c>
      <c r="AR461" s="94">
        <f>Table3.110[[#This Row],[CH4 24h, ml]]/Table3.110[[#This Row],[DM Incubated, mg]]*1000</f>
        <v>22.386140558982294</v>
      </c>
      <c r="AS461" s="94">
        <f>Table3.110[[#This Row],[CH4 24h, ml]]/Table3.110[[#This Row],[Digested feed, mg]]*1000</f>
        <v>47.301533794458322</v>
      </c>
      <c r="AT461" s="94">
        <f>Table3.110[[#This Row],[CH4 24h, ml]]/'3.2 Digest'!AA461</f>
        <v>-2.1936400382439318</v>
      </c>
      <c r="AU461" s="94">
        <f>((Table3.110[[#This Row],[CH4 24h, ml]]/28.9)*16.04)/Table3.110[[#This Row],[DM Incubated, mg]]*1000</f>
        <v>12.424695313705053</v>
      </c>
      <c r="AV461" s="94">
        <f>((Table3.110[[#This Row],[CH4 24h, ml]]/28.9)*16.04)/Table3.110[[#This Row],[Digested feed, mg]]*1000</f>
        <v>26.253169621560954</v>
      </c>
    </row>
    <row r="462" spans="2:48" s="89" customFormat="1" x14ac:dyDescent="0.35">
      <c r="B462" s="90">
        <f t="shared" si="7"/>
        <v>452</v>
      </c>
      <c r="C462" s="140">
        <v>46048</v>
      </c>
      <c r="D462" s="6" t="s">
        <v>16</v>
      </c>
      <c r="E462" s="6" t="s">
        <v>307</v>
      </c>
      <c r="F462" s="133" t="s">
        <v>212</v>
      </c>
      <c r="G462" s="133" t="s">
        <v>213</v>
      </c>
      <c r="H462" s="133" t="s">
        <v>214</v>
      </c>
      <c r="I462" s="125" t="s">
        <v>22</v>
      </c>
      <c r="J462" s="138" t="s">
        <v>23</v>
      </c>
      <c r="K462" s="138" t="s">
        <v>215</v>
      </c>
      <c r="L462" s="6" t="s">
        <v>306</v>
      </c>
      <c r="M462" s="93">
        <v>28</v>
      </c>
      <c r="N462" s="93">
        <v>60</v>
      </c>
      <c r="O462" s="6">
        <v>1</v>
      </c>
      <c r="P462" s="129">
        <v>1</v>
      </c>
      <c r="Q462" s="6">
        <v>0</v>
      </c>
      <c r="R462" s="98">
        <v>0.50049999999999994</v>
      </c>
      <c r="S462" s="94">
        <f>((Table3.110[[#This Row],[Sample weight, g]]*'2.1. DM'!Q187)/100)*1000</f>
        <v>453.99711928991366</v>
      </c>
      <c r="T462" s="94">
        <f>'3.2 Digest'!W462</f>
        <v>164.1971192899137</v>
      </c>
      <c r="U462" s="153">
        <v>0.40208333333333335</v>
      </c>
      <c r="V462" s="155">
        <v>40.5</v>
      </c>
      <c r="W462" s="153">
        <v>0.74583333333333335</v>
      </c>
      <c r="X462" s="91">
        <v>71.5</v>
      </c>
      <c r="Y462" s="91">
        <v>14.3</v>
      </c>
      <c r="Z462" s="154">
        <v>40</v>
      </c>
      <c r="AA462" s="153">
        <v>0.40763888888888888</v>
      </c>
      <c r="AB462" s="154">
        <v>71.5</v>
      </c>
      <c r="AC462" s="154">
        <v>17.399999999999999</v>
      </c>
      <c r="AD462" s="91"/>
      <c r="AE462" s="94">
        <f>Table3.110[[#This Row],[Gas 8h, ml]]-Table3.110[[#This Row],[Gas 0h, ml]]</f>
        <v>31</v>
      </c>
      <c r="AF462" s="94">
        <f>Table3.110[[#This Row],[Gas 24h, ml]]-Table3.110[[#This Row],[V8 Push back, ml]]</f>
        <v>31.5</v>
      </c>
      <c r="AG462" s="94">
        <f>Table3.110[[#This Row],[GP 8h, ml]]-(AVERAGE(AE$293,AE$294,AE$385,AE$386,AE$477,AE$478))*$AG$8</f>
        <v>29.746240428868305</v>
      </c>
      <c r="AH462" s="94">
        <f>Table3.110[[#This Row],[GP 8-24h, ml]]-(AVERAGE(AF$293,AF$294,AF$385,AF$386,AF$477,AF$478))*$AG$8</f>
        <v>29.508734798790837</v>
      </c>
      <c r="AI462" s="94">
        <f>Table3.110[[#This Row],[Net gas 8-24h, ml]]+Table3.110[[#This Row],[Net gas 8h, ml]]</f>
        <v>59.254975227659145</v>
      </c>
      <c r="AJ462" s="94">
        <f>Table3.110[[#This Row],[Net gas 8h, ml]]*Table3.110[[#This Row],[CH4 8h %]]%</f>
        <v>4.2537123813281683</v>
      </c>
      <c r="AK462" s="94">
        <f>Table3.110[[#This Row],[Net gas 8-24h, ml]]*Table3.110[[#This Row],[CH4 24h, %]]%</f>
        <v>5.1345198549896054</v>
      </c>
      <c r="AL462" s="94">
        <f>Table3.110[[#This Row],[CH4 8-24h, ml]]+Table3.110[[#This Row],[CH4 8h, ml]]</f>
        <v>9.3882322363177728</v>
      </c>
      <c r="AM462" s="94">
        <f>(Table3.110[[#This Row],[Net gas 24h, ml]]/Table3.110[[#This Row],[DM Incubated, mg]])*1000</f>
        <v>130.51839474298532</v>
      </c>
      <c r="AN462" s="94">
        <f>'3.2 Digest'!X462</f>
        <v>36.1669958493857</v>
      </c>
      <c r="AO462" s="94">
        <f>Table3.110[[#This Row],[Digested feed, mg]]/Table3.110[[#This Row],[Net gas 24h, ml]]</f>
        <v>2.7710267139436668</v>
      </c>
      <c r="AP462" s="94">
        <f>Table3.110[[#This Row],[CH4 8h, ml]]/Table3.110[[#This Row],[Net gas 8h, ml]]%</f>
        <v>14.300000000000002</v>
      </c>
      <c r="AQ462" s="94">
        <f>Table3.110[[#This Row],[CH4 24h, ml]]/Table3.110[[#This Row],[Net gas 24h, ml]]%</f>
        <v>15.843787294227939</v>
      </c>
      <c r="AR462" s="94">
        <f>Table3.110[[#This Row],[CH4 24h, ml]]/Table3.110[[#This Row],[DM Incubated, mg]]*1000</f>
        <v>20.679056842919373</v>
      </c>
      <c r="AS462" s="94">
        <f>Table3.110[[#This Row],[CH4 24h, ml]]/Table3.110[[#This Row],[Digested feed, mg]]*1000</f>
        <v>57.176595283267389</v>
      </c>
      <c r="AT462" s="94">
        <f>Table3.110[[#This Row],[CH4 24h, ml]]/'3.2 Digest'!AA462</f>
        <v>-0.98818270469161085</v>
      </c>
      <c r="AU462" s="94">
        <f>((Table3.110[[#This Row],[CH4 24h, ml]]/28.9)*16.04)/Table3.110[[#This Row],[DM Incubated, mg]]*1000</f>
        <v>11.477234316969785</v>
      </c>
      <c r="AV462" s="94">
        <f>((Table3.110[[#This Row],[CH4 24h, ml]]/28.9)*16.04)/Table3.110[[#This Row],[Digested feed, mg]]*1000</f>
        <v>31.733999596664674</v>
      </c>
    </row>
    <row r="463" spans="2:48" s="89" customFormat="1" x14ac:dyDescent="0.35">
      <c r="B463" s="90">
        <f t="shared" si="7"/>
        <v>453</v>
      </c>
      <c r="C463" s="140">
        <v>46048</v>
      </c>
      <c r="D463" s="6" t="s">
        <v>16</v>
      </c>
      <c r="E463" s="6" t="s">
        <v>307</v>
      </c>
      <c r="F463" s="133" t="s">
        <v>212</v>
      </c>
      <c r="G463" s="133" t="s">
        <v>213</v>
      </c>
      <c r="H463" s="133" t="s">
        <v>214</v>
      </c>
      <c r="I463" s="125" t="s">
        <v>22</v>
      </c>
      <c r="J463" s="138" t="s">
        <v>23</v>
      </c>
      <c r="K463" s="138" t="s">
        <v>215</v>
      </c>
      <c r="L463" s="6" t="s">
        <v>306</v>
      </c>
      <c r="M463" s="93">
        <v>28</v>
      </c>
      <c r="N463" s="93">
        <v>60</v>
      </c>
      <c r="O463" s="6">
        <v>1</v>
      </c>
      <c r="P463" s="129">
        <v>2</v>
      </c>
      <c r="Q463" s="6">
        <v>0</v>
      </c>
      <c r="R463" s="98">
        <v>0.5</v>
      </c>
      <c r="S463" s="94">
        <f>((Table3.110[[#This Row],[Sample weight, g]]*'2.1. DM'!Q187)/100)*1000</f>
        <v>453.54357571419951</v>
      </c>
      <c r="T463" s="94">
        <f>'3.2 Digest'!W463</f>
        <v>185.34357571419952</v>
      </c>
      <c r="U463" s="117">
        <v>0.40208333333333335</v>
      </c>
      <c r="V463" s="155">
        <v>40</v>
      </c>
      <c r="W463" s="117">
        <v>0.74652777777777779</v>
      </c>
      <c r="X463" s="96">
        <v>72.5</v>
      </c>
      <c r="Y463" s="96">
        <v>14.8</v>
      </c>
      <c r="Z463" s="155">
        <v>40</v>
      </c>
      <c r="AA463" s="117">
        <v>0.40763888888888888</v>
      </c>
      <c r="AB463" s="155">
        <v>74</v>
      </c>
      <c r="AC463" s="155">
        <v>17.2</v>
      </c>
      <c r="AD463" s="96"/>
      <c r="AE463" s="94">
        <f>Table3.110[[#This Row],[Gas 8h, ml]]-Table3.110[[#This Row],[Gas 0h, ml]]</f>
        <v>32.5</v>
      </c>
      <c r="AF463" s="94">
        <f>Table3.110[[#This Row],[Gas 24h, ml]]-Table3.110[[#This Row],[V8 Push back, ml]]</f>
        <v>34</v>
      </c>
      <c r="AG463" s="94">
        <f>Table3.110[[#This Row],[GP 8h, ml]]-(AVERAGE(AE$293,AE$294,AE$385,AE$386,AE$477,AE$478))*$AG$8</f>
        <v>31.246240428868305</v>
      </c>
      <c r="AH463" s="94">
        <f>Table3.110[[#This Row],[GP 8-24h, ml]]-(AVERAGE(AF$293,AF$294,AF$385,AF$386,AF$477,AF$478))*$AG$8</f>
        <v>32.00873479879084</v>
      </c>
      <c r="AI463" s="94">
        <f>Table3.110[[#This Row],[Net gas 8-24h, ml]]+Table3.110[[#This Row],[Net gas 8h, ml]]</f>
        <v>63.254975227659145</v>
      </c>
      <c r="AJ463" s="94">
        <f>Table3.110[[#This Row],[Net gas 8h, ml]]*Table3.110[[#This Row],[CH4 8h %]]%</f>
        <v>4.6244435834725097</v>
      </c>
      <c r="AK463" s="94">
        <f>Table3.110[[#This Row],[Net gas 8-24h, ml]]*Table3.110[[#This Row],[CH4 24h, %]]%</f>
        <v>5.505502385392024</v>
      </c>
      <c r="AL463" s="94">
        <f>Table3.110[[#This Row],[CH4 8-24h, ml]]+Table3.110[[#This Row],[CH4 8h, ml]]</f>
        <v>10.129945968864533</v>
      </c>
      <c r="AM463" s="94">
        <f>(Table3.110[[#This Row],[Net gas 24h, ml]]/Table3.110[[#This Row],[DM Incubated, mg]])*1000</f>
        <v>139.4683523585378</v>
      </c>
      <c r="AN463" s="94">
        <f>'3.2 Digest'!X463</f>
        <v>40.86566002447222</v>
      </c>
      <c r="AO463" s="94">
        <f>Table3.110[[#This Row],[Digested feed, mg]]/Table3.110[[#This Row],[Net gas 24h, ml]]</f>
        <v>2.9301027317951647</v>
      </c>
      <c r="AP463" s="94">
        <f>Table3.110[[#This Row],[CH4 8h, ml]]/Table3.110[[#This Row],[Net gas 8h, ml]]%</f>
        <v>14.800000000000002</v>
      </c>
      <c r="AQ463" s="94">
        <f>Table3.110[[#This Row],[CH4 24h, ml]]/Table3.110[[#This Row],[Net gas 24h, ml]]%</f>
        <v>16.014465158520952</v>
      </c>
      <c r="AR463" s="94">
        <f>Table3.110[[#This Row],[CH4 24h, ml]]/Table3.110[[#This Row],[DM Incubated, mg]]*1000</f>
        <v>22.335110695621271</v>
      </c>
      <c r="AS463" s="94">
        <f>Table3.110[[#This Row],[CH4 24h, ml]]/Table3.110[[#This Row],[Digested feed, mg]]*1000</f>
        <v>54.654961359356456</v>
      </c>
      <c r="AT463" s="94">
        <f>Table3.110[[#This Row],[CH4 24h, ml]]/'3.2 Digest'!AA463</f>
        <v>-7.0331544087429361</v>
      </c>
      <c r="AU463" s="94">
        <f>((Table3.110[[#This Row],[CH4 24h, ml]]/28.9)*16.04)/Table3.110[[#This Row],[DM Incubated, mg]]*1000</f>
        <v>12.396372856670075</v>
      </c>
      <c r="AV463" s="94">
        <f>((Table3.110[[#This Row],[CH4 24h, ml]]/28.9)*16.04)/Table3.110[[#This Row],[Digested feed, mg]]*1000</f>
        <v>30.3344491420096</v>
      </c>
    </row>
    <row r="464" spans="2:48" s="89" customFormat="1" x14ac:dyDescent="0.35">
      <c r="B464" s="90">
        <f t="shared" si="7"/>
        <v>454</v>
      </c>
      <c r="C464" s="140">
        <v>46048</v>
      </c>
      <c r="D464" s="6" t="s">
        <v>16</v>
      </c>
      <c r="E464" s="6" t="s">
        <v>307</v>
      </c>
      <c r="F464" s="133" t="s">
        <v>212</v>
      </c>
      <c r="G464" s="133" t="s">
        <v>213</v>
      </c>
      <c r="H464" s="133" t="s">
        <v>214</v>
      </c>
      <c r="I464" s="125" t="s">
        <v>22</v>
      </c>
      <c r="J464" s="138" t="s">
        <v>23</v>
      </c>
      <c r="K464" s="138" t="s">
        <v>215</v>
      </c>
      <c r="L464" s="6" t="s">
        <v>306</v>
      </c>
      <c r="M464" s="93">
        <v>28</v>
      </c>
      <c r="N464" s="93">
        <v>60</v>
      </c>
      <c r="O464" s="6">
        <v>1</v>
      </c>
      <c r="P464" s="129">
        <v>3</v>
      </c>
      <c r="Q464" s="6">
        <v>0</v>
      </c>
      <c r="R464" s="98">
        <v>0.50009999999999999</v>
      </c>
      <c r="S464" s="94">
        <f>((Table3.110[[#This Row],[Sample weight, g]]*'2.1. DM'!Q187)/100)*1000</f>
        <v>453.63428442934236</v>
      </c>
      <c r="T464" s="94">
        <f>'3.2 Digest'!W464</f>
        <v>176.93428442934231</v>
      </c>
      <c r="U464" s="153">
        <v>0.40277777777777779</v>
      </c>
      <c r="V464" s="155">
        <v>40</v>
      </c>
      <c r="W464" s="153">
        <v>0.74652777777777779</v>
      </c>
      <c r="X464" s="91">
        <v>72.5</v>
      </c>
      <c r="Y464" s="91">
        <v>14.9</v>
      </c>
      <c r="Z464" s="154">
        <v>39.5</v>
      </c>
      <c r="AA464" s="153">
        <v>0.40833333333333333</v>
      </c>
      <c r="AB464" s="154">
        <v>73.5</v>
      </c>
      <c r="AC464" s="154">
        <v>17.3</v>
      </c>
      <c r="AD464" s="91"/>
      <c r="AE464" s="94">
        <f>Table3.110[[#This Row],[Gas 8h, ml]]-Table3.110[[#This Row],[Gas 0h, ml]]</f>
        <v>32.5</v>
      </c>
      <c r="AF464" s="94">
        <f>Table3.110[[#This Row],[Gas 24h, ml]]-Table3.110[[#This Row],[V8 Push back, ml]]</f>
        <v>34</v>
      </c>
      <c r="AG464" s="94">
        <f>Table3.110[[#This Row],[GP 8h, ml]]-(AVERAGE(AE$293,AE$294,AE$385,AE$386,AE$477,AE$478))*$AG$8</f>
        <v>31.246240428868305</v>
      </c>
      <c r="AH464" s="94">
        <f>Table3.110[[#This Row],[GP 8-24h, ml]]-(AVERAGE(AF$293,AF$294,AF$385,AF$386,AF$477,AF$478))*$AG$8</f>
        <v>32.00873479879084</v>
      </c>
      <c r="AI464" s="94">
        <f>Table3.110[[#This Row],[Net gas 8-24h, ml]]+Table3.110[[#This Row],[Net gas 8h, ml]]</f>
        <v>63.254975227659145</v>
      </c>
      <c r="AJ464" s="94">
        <f>Table3.110[[#This Row],[Net gas 8h, ml]]*Table3.110[[#This Row],[CH4 8h %]]%</f>
        <v>4.6556898239013771</v>
      </c>
      <c r="AK464" s="94">
        <f>Table3.110[[#This Row],[Net gas 8-24h, ml]]*Table3.110[[#This Row],[CH4 24h, %]]%</f>
        <v>5.5375111201908158</v>
      </c>
      <c r="AL464" s="94">
        <f>Table3.110[[#This Row],[CH4 8-24h, ml]]+Table3.110[[#This Row],[CH4 8h, ml]]</f>
        <v>10.193200944092194</v>
      </c>
      <c r="AM464" s="94">
        <f>(Table3.110[[#This Row],[Net gas 24h, ml]]/Table3.110[[#This Row],[DM Incubated, mg]])*1000</f>
        <v>139.44046426568465</v>
      </c>
      <c r="AN464" s="94">
        <f>'3.2 Digest'!X464</f>
        <v>39.003728444361315</v>
      </c>
      <c r="AO464" s="94">
        <f>Table3.110[[#This Row],[Digested feed, mg]]/Table3.110[[#This Row],[Net gas 24h, ml]]</f>
        <v>2.7971599671416083</v>
      </c>
      <c r="AP464" s="94">
        <f>Table3.110[[#This Row],[CH4 8h, ml]]/Table3.110[[#This Row],[Net gas 8h, ml]]%</f>
        <v>14.899999999999999</v>
      </c>
      <c r="AQ464" s="94">
        <f>Table3.110[[#This Row],[CH4 24h, ml]]/Table3.110[[#This Row],[Net gas 24h, ml]]%</f>
        <v>16.114465158520954</v>
      </c>
      <c r="AR464" s="94">
        <f>Table3.110[[#This Row],[CH4 24h, ml]]/Table3.110[[#This Row],[DM Incubated, mg]]*1000</f>
        <v>22.470085030973618</v>
      </c>
      <c r="AS464" s="94">
        <f>Table3.110[[#This Row],[CH4 24h, ml]]/Table3.110[[#This Row],[Digested feed, mg]]*1000</f>
        <v>57.610095052905308</v>
      </c>
      <c r="AT464" s="94">
        <f>Table3.110[[#This Row],[CH4 24h, ml]]/'3.2 Digest'!AA464</f>
        <v>-2.1995074906032328</v>
      </c>
      <c r="AU464" s="94">
        <f>((Table3.110[[#This Row],[CH4 24h, ml]]/28.9)*16.04)/Table3.110[[#This Row],[DM Incubated, mg]]*1000</f>
        <v>12.47128594798674</v>
      </c>
      <c r="AV464" s="94">
        <f>((Table3.110[[#This Row],[CH4 24h, ml]]/28.9)*16.04)/Table3.110[[#This Row],[Digested feed, mg]]*1000</f>
        <v>31.974599468809725</v>
      </c>
    </row>
    <row r="465" spans="2:48" s="89" customFormat="1" x14ac:dyDescent="0.35">
      <c r="B465" s="90">
        <f t="shared" si="7"/>
        <v>455</v>
      </c>
      <c r="C465" s="140">
        <v>46048</v>
      </c>
      <c r="D465" s="6" t="s">
        <v>16</v>
      </c>
      <c r="E465" s="6" t="s">
        <v>309</v>
      </c>
      <c r="F465" s="133" t="s">
        <v>212</v>
      </c>
      <c r="G465" s="133" t="s">
        <v>310</v>
      </c>
      <c r="H465" s="133" t="s">
        <v>311</v>
      </c>
      <c r="I465" s="125" t="s">
        <v>22</v>
      </c>
      <c r="J465" s="138" t="s">
        <v>23</v>
      </c>
      <c r="K465" s="138" t="s">
        <v>215</v>
      </c>
      <c r="L465" s="6" t="s">
        <v>308</v>
      </c>
      <c r="M465" s="93">
        <v>28</v>
      </c>
      <c r="N465" s="93">
        <v>60</v>
      </c>
      <c r="O465" s="6">
        <v>1</v>
      </c>
      <c r="P465" s="129">
        <v>1</v>
      </c>
      <c r="Q465" s="6">
        <v>0</v>
      </c>
      <c r="R465" s="98">
        <v>0.50029999999999997</v>
      </c>
      <c r="S465" s="94">
        <f>((Table3.110[[#This Row],[Sample weight, g]]*'2.1. DM'!Q189)/100)*1000</f>
        <v>463.32322088955482</v>
      </c>
      <c r="T465" s="94">
        <f>'3.2 Digest'!W465</f>
        <v>180.52322088955475</v>
      </c>
      <c r="U465" s="117">
        <v>0.40277777777777779</v>
      </c>
      <c r="V465" s="155">
        <v>40.5</v>
      </c>
      <c r="W465" s="117">
        <v>0.74722222222222223</v>
      </c>
      <c r="X465" s="96">
        <v>67</v>
      </c>
      <c r="Y465" s="96">
        <v>13.8</v>
      </c>
      <c r="Z465" s="155">
        <v>40</v>
      </c>
      <c r="AA465" s="117">
        <v>0.40902777777777777</v>
      </c>
      <c r="AB465" s="155">
        <v>74.5</v>
      </c>
      <c r="AC465" s="155">
        <v>16.5</v>
      </c>
      <c r="AD465" s="96"/>
      <c r="AE465" s="94">
        <f>Table3.110[[#This Row],[Gas 8h, ml]]-Table3.110[[#This Row],[Gas 0h, ml]]</f>
        <v>26.5</v>
      </c>
      <c r="AF465" s="94">
        <f>Table3.110[[#This Row],[Gas 24h, ml]]-Table3.110[[#This Row],[V8 Push back, ml]]</f>
        <v>34.5</v>
      </c>
      <c r="AG465" s="94">
        <f>Table3.110[[#This Row],[GP 8h, ml]]-(AVERAGE(AE$293,AE$294,AE$385,AE$386,AE$477,AE$478))*$AG$8</f>
        <v>25.246240428868305</v>
      </c>
      <c r="AH465" s="94">
        <f>Table3.110[[#This Row],[GP 8-24h, ml]]-(AVERAGE(AF$293,AF$294,AF$385,AF$386,AF$477,AF$478))*$AG$8</f>
        <v>32.50873479879084</v>
      </c>
      <c r="AI465" s="94">
        <f>Table3.110[[#This Row],[Net gas 8-24h, ml]]+Table3.110[[#This Row],[Net gas 8h, ml]]</f>
        <v>57.754975227659145</v>
      </c>
      <c r="AJ465" s="94">
        <f>Table3.110[[#This Row],[Net gas 8h, ml]]*Table3.110[[#This Row],[CH4 8h %]]%</f>
        <v>3.4839811791838264</v>
      </c>
      <c r="AK465" s="94">
        <f>Table3.110[[#This Row],[Net gas 8-24h, ml]]*Table3.110[[#This Row],[CH4 24h, %]]%</f>
        <v>5.3639412418004886</v>
      </c>
      <c r="AL465" s="94">
        <f>Table3.110[[#This Row],[CH4 8-24h, ml]]+Table3.110[[#This Row],[CH4 8h, ml]]</f>
        <v>8.8479224209843146</v>
      </c>
      <c r="AM465" s="94">
        <f>(Table3.110[[#This Row],[Net gas 24h, ml]]/Table3.110[[#This Row],[DM Incubated, mg]])*1000</f>
        <v>124.65374629135316</v>
      </c>
      <c r="AN465" s="94">
        <f>'3.2 Digest'!X465</f>
        <v>38.962696612304512</v>
      </c>
      <c r="AO465" s="94">
        <f>Table3.110[[#This Row],[Digested feed, mg]]/Table3.110[[#This Row],[Net gas 24h, ml]]</f>
        <v>3.1256739385302565</v>
      </c>
      <c r="AP465" s="94">
        <f>Table3.110[[#This Row],[CH4 8h, ml]]/Table3.110[[#This Row],[Net gas 8h, ml]]%</f>
        <v>13.8</v>
      </c>
      <c r="AQ465" s="94">
        <f>Table3.110[[#This Row],[CH4 24h, ml]]/Table3.110[[#This Row],[Net gas 24h, ml]]%</f>
        <v>15.319757970819802</v>
      </c>
      <c r="AR465" s="94">
        <f>Table3.110[[#This Row],[CH4 24h, ml]]/Table3.110[[#This Row],[DM Incubated, mg]]*1000</f>
        <v>19.096652233395069</v>
      </c>
      <c r="AS465" s="94">
        <f>Table3.110[[#This Row],[CH4 24h, ml]]/Table3.110[[#This Row],[Digested feed, mg]]*1000</f>
        <v>49.012655421196641</v>
      </c>
      <c r="AT465" s="94">
        <f>Table3.110[[#This Row],[CH4 24h, ml]]/'3.2 Digest'!AA465</f>
        <v>-3.4621917182055859</v>
      </c>
      <c r="AU465" s="94">
        <f>((Table3.110[[#This Row],[CH4 24h, ml]]/28.9)*16.04)/Table3.110[[#This Row],[DM Incubated, mg]]*1000</f>
        <v>10.598972381441417</v>
      </c>
      <c r="AV465" s="94">
        <f>((Table3.110[[#This Row],[CH4 24h, ml]]/28.9)*16.04)/Table3.110[[#This Row],[Digested feed, mg]]*1000</f>
        <v>27.202871728581112</v>
      </c>
    </row>
    <row r="466" spans="2:48" s="89" customFormat="1" x14ac:dyDescent="0.35">
      <c r="B466" s="90">
        <f t="shared" si="7"/>
        <v>456</v>
      </c>
      <c r="C466" s="140">
        <v>46048</v>
      </c>
      <c r="D466" s="6" t="s">
        <v>16</v>
      </c>
      <c r="E466" s="6" t="s">
        <v>309</v>
      </c>
      <c r="F466" s="133" t="s">
        <v>212</v>
      </c>
      <c r="G466" s="133" t="s">
        <v>310</v>
      </c>
      <c r="H466" s="133" t="s">
        <v>311</v>
      </c>
      <c r="I466" s="125" t="s">
        <v>22</v>
      </c>
      <c r="J466" s="138" t="s">
        <v>23</v>
      </c>
      <c r="K466" s="138" t="s">
        <v>215</v>
      </c>
      <c r="L466" s="6" t="s">
        <v>308</v>
      </c>
      <c r="M466" s="93">
        <v>28</v>
      </c>
      <c r="N466" s="93">
        <v>60</v>
      </c>
      <c r="O466" s="6">
        <v>1</v>
      </c>
      <c r="P466" s="129">
        <v>2</v>
      </c>
      <c r="Q466" s="6">
        <v>0</v>
      </c>
      <c r="R466" s="98">
        <v>0.5</v>
      </c>
      <c r="S466" s="94">
        <f>((Table3.110[[#This Row],[Sample weight, g]]*'2.1. DM'!Q189)/100)*1000</f>
        <v>463.04539365336285</v>
      </c>
      <c r="T466" s="94">
        <f>'3.2 Digest'!W466</f>
        <v>114.64539365336282</v>
      </c>
      <c r="U466" s="153">
        <v>0.40277777777777779</v>
      </c>
      <c r="V466" s="155">
        <v>40.5</v>
      </c>
      <c r="W466" s="153">
        <v>0.74791666666666667</v>
      </c>
      <c r="X466" s="91">
        <v>69</v>
      </c>
      <c r="Y466" s="91">
        <v>12.8</v>
      </c>
      <c r="Z466" s="154">
        <v>39.5</v>
      </c>
      <c r="AA466" s="153">
        <v>0.40902777777777777</v>
      </c>
      <c r="AB466" s="154">
        <v>73.5</v>
      </c>
      <c r="AC466" s="154">
        <v>16.399999999999999</v>
      </c>
      <c r="AD466" s="91"/>
      <c r="AE466" s="94">
        <f>Table3.110[[#This Row],[Gas 8h, ml]]-Table3.110[[#This Row],[Gas 0h, ml]]</f>
        <v>28.5</v>
      </c>
      <c r="AF466" s="94">
        <f>Table3.110[[#This Row],[Gas 24h, ml]]-Table3.110[[#This Row],[V8 Push back, ml]]</f>
        <v>34</v>
      </c>
      <c r="AG466" s="94">
        <f>Table3.110[[#This Row],[GP 8h, ml]]-(AVERAGE(AE$293,AE$294,AE$385,AE$386,AE$477,AE$478))*$AG$8</f>
        <v>27.246240428868305</v>
      </c>
      <c r="AH466" s="94">
        <f>Table3.110[[#This Row],[GP 8-24h, ml]]-(AVERAGE(AF$293,AF$294,AF$385,AF$386,AF$477,AF$478))*$AG$8</f>
        <v>32.00873479879084</v>
      </c>
      <c r="AI466" s="94">
        <f>Table3.110[[#This Row],[Net gas 8-24h, ml]]+Table3.110[[#This Row],[Net gas 8h, ml]]</f>
        <v>59.254975227659145</v>
      </c>
      <c r="AJ466" s="94">
        <f>Table3.110[[#This Row],[Net gas 8h, ml]]*Table3.110[[#This Row],[CH4 8h %]]%</f>
        <v>3.4875187748951433</v>
      </c>
      <c r="AK466" s="94">
        <f>Table3.110[[#This Row],[Net gas 8-24h, ml]]*Table3.110[[#This Row],[CH4 24h, %]]%</f>
        <v>5.2494325070016972</v>
      </c>
      <c r="AL466" s="94">
        <f>Table3.110[[#This Row],[CH4 8-24h, ml]]+Table3.110[[#This Row],[CH4 8h, ml]]</f>
        <v>8.7369512818968396</v>
      </c>
      <c r="AM466" s="94">
        <f>(Table3.110[[#This Row],[Net gas 24h, ml]]/Table3.110[[#This Row],[DM Incubated, mg]])*1000</f>
        <v>127.96796175888015</v>
      </c>
      <c r="AN466" s="94">
        <f>'3.2 Digest'!X466</f>
        <v>24.75899668255564</v>
      </c>
      <c r="AO466" s="94">
        <f>Table3.110[[#This Row],[Digested feed, mg]]/Table3.110[[#This Row],[Net gas 24h, ml]]</f>
        <v>1.934780889079647</v>
      </c>
      <c r="AP466" s="94">
        <f>Table3.110[[#This Row],[CH4 8h, ml]]/Table3.110[[#This Row],[Net gas 8h, ml]]%</f>
        <v>12.8</v>
      </c>
      <c r="AQ466" s="94">
        <f>Table3.110[[#This Row],[CH4 24h, ml]]/Table3.110[[#This Row],[Net gas 24h, ml]]%</f>
        <v>14.744671225208089</v>
      </c>
      <c r="AR466" s="94">
        <f>Table3.110[[#This Row],[CH4 24h, ml]]/Table3.110[[#This Row],[DM Incubated, mg]]*1000</f>
        <v>18.868455234946893</v>
      </c>
      <c r="AS466" s="94">
        <f>Table3.110[[#This Row],[CH4 24h, ml]]/Table3.110[[#This Row],[Digested feed, mg]]*1000</f>
        <v>76.208480807467353</v>
      </c>
      <c r="AT466" s="94">
        <f>Table3.110[[#This Row],[CH4 24h, ml]]/'3.2 Digest'!AA466</f>
        <v>-0.33068451805168186</v>
      </c>
      <c r="AU466" s="94">
        <f>((Table3.110[[#This Row],[CH4 24h, ml]]/28.9)*16.04)/Table3.110[[#This Row],[DM Incubated, mg]]*1000</f>
        <v>10.472319099257723</v>
      </c>
      <c r="AV466" s="94">
        <f>((Table3.110[[#This Row],[CH4 24h, ml]]/28.9)*16.04)/Table3.110[[#This Row],[Digested feed, mg]]*1000</f>
        <v>42.297025333971497</v>
      </c>
    </row>
    <row r="467" spans="2:48" s="89" customFormat="1" x14ac:dyDescent="0.35">
      <c r="B467" s="90">
        <f t="shared" si="7"/>
        <v>457</v>
      </c>
      <c r="C467" s="140">
        <v>46048</v>
      </c>
      <c r="D467" s="6" t="s">
        <v>16</v>
      </c>
      <c r="E467" s="6" t="s">
        <v>309</v>
      </c>
      <c r="F467" s="133" t="s">
        <v>212</v>
      </c>
      <c r="G467" s="133" t="s">
        <v>310</v>
      </c>
      <c r="H467" s="133" t="s">
        <v>311</v>
      </c>
      <c r="I467" s="125" t="s">
        <v>22</v>
      </c>
      <c r="J467" s="138" t="s">
        <v>23</v>
      </c>
      <c r="K467" s="138" t="s">
        <v>215</v>
      </c>
      <c r="L467" s="6" t="s">
        <v>308</v>
      </c>
      <c r="M467" s="93">
        <v>28</v>
      </c>
      <c r="N467" s="93">
        <v>60</v>
      </c>
      <c r="O467" s="6">
        <v>1</v>
      </c>
      <c r="P467" s="129">
        <v>3</v>
      </c>
      <c r="Q467" s="6">
        <v>0</v>
      </c>
      <c r="R467" s="98">
        <v>0.50029999999999997</v>
      </c>
      <c r="S467" s="94">
        <f>((Table3.110[[#This Row],[Sample weight, g]]*'2.1. DM'!Q189)/100)*1000</f>
        <v>463.32322088955482</v>
      </c>
      <c r="T467" s="94">
        <f>'3.2 Digest'!W467</f>
        <v>151.42322088955473</v>
      </c>
      <c r="U467" s="117">
        <v>0.40277777777777779</v>
      </c>
      <c r="V467" s="155">
        <v>40</v>
      </c>
      <c r="W467" s="117">
        <v>0.74791666666666667</v>
      </c>
      <c r="X467" s="96">
        <v>67.5</v>
      </c>
      <c r="Y467" s="96">
        <v>13.1</v>
      </c>
      <c r="Z467" s="155">
        <v>40</v>
      </c>
      <c r="AA467" s="117">
        <v>0.40972222222222221</v>
      </c>
      <c r="AB467" s="155">
        <v>74</v>
      </c>
      <c r="AC467" s="155">
        <v>16.399999999999999</v>
      </c>
      <c r="AD467" s="96"/>
      <c r="AE467" s="94">
        <f>Table3.110[[#This Row],[Gas 8h, ml]]-Table3.110[[#This Row],[Gas 0h, ml]]</f>
        <v>27.5</v>
      </c>
      <c r="AF467" s="94">
        <f>Table3.110[[#This Row],[Gas 24h, ml]]-Table3.110[[#This Row],[V8 Push back, ml]]</f>
        <v>34</v>
      </c>
      <c r="AG467" s="94">
        <f>Table3.110[[#This Row],[GP 8h, ml]]-(AVERAGE(AE$293,AE$294,AE$385,AE$386,AE$477,AE$478))*$AG$8</f>
        <v>26.246240428868305</v>
      </c>
      <c r="AH467" s="94">
        <f>Table3.110[[#This Row],[GP 8-24h, ml]]-(AVERAGE(AF$293,AF$294,AF$385,AF$386,AF$477,AF$478))*$AG$8</f>
        <v>32.00873479879084</v>
      </c>
      <c r="AI467" s="94">
        <f>Table3.110[[#This Row],[Net gas 8-24h, ml]]+Table3.110[[#This Row],[Net gas 8h, ml]]</f>
        <v>58.254975227659145</v>
      </c>
      <c r="AJ467" s="94">
        <f>Table3.110[[#This Row],[Net gas 8h, ml]]*Table3.110[[#This Row],[CH4 8h %]]%</f>
        <v>3.4382574961817483</v>
      </c>
      <c r="AK467" s="94">
        <f>Table3.110[[#This Row],[Net gas 8-24h, ml]]*Table3.110[[#This Row],[CH4 24h, %]]%</f>
        <v>5.2494325070016972</v>
      </c>
      <c r="AL467" s="94">
        <f>Table3.110[[#This Row],[CH4 8-24h, ml]]+Table3.110[[#This Row],[CH4 8h, ml]]</f>
        <v>8.6876900031834445</v>
      </c>
      <c r="AM467" s="94">
        <f>(Table3.110[[#This Row],[Net gas 24h, ml]]/Table3.110[[#This Row],[DM Incubated, mg]])*1000</f>
        <v>125.73290653512429</v>
      </c>
      <c r="AN467" s="94">
        <f>'3.2 Digest'!X467</f>
        <v>32.6819839935565</v>
      </c>
      <c r="AO467" s="94">
        <f>Table3.110[[#This Row],[Digested feed, mg]]/Table3.110[[#This Row],[Net gas 24h, ml]]</f>
        <v>2.5993182607630705</v>
      </c>
      <c r="AP467" s="94">
        <f>Table3.110[[#This Row],[CH4 8h, ml]]/Table3.110[[#This Row],[Net gas 8h, ml]]%</f>
        <v>13.100000000000001</v>
      </c>
      <c r="AQ467" s="94">
        <f>Table3.110[[#This Row],[CH4 24h, ml]]/Table3.110[[#This Row],[Net gas 24h, ml]]%</f>
        <v>14.91321551375165</v>
      </c>
      <c r="AR467" s="94">
        <f>Table3.110[[#This Row],[CH4 24h, ml]]/Table3.110[[#This Row],[DM Incubated, mg]]*1000</f>
        <v>18.750819323287022</v>
      </c>
      <c r="AS467" s="94">
        <f>Table3.110[[#This Row],[CH4 24h, ml]]/Table3.110[[#This Row],[Digested feed, mg]]*1000</f>
        <v>57.373564979971491</v>
      </c>
      <c r="AT467" s="94">
        <f>Table3.110[[#This Row],[CH4 24h, ml]]/'3.2 Digest'!AA467</f>
        <v>-0.66275189270248791</v>
      </c>
      <c r="AU467" s="94">
        <f>((Table3.110[[#This Row],[CH4 24h, ml]]/28.9)*16.04)/Table3.110[[#This Row],[DM Incubated, mg]]*1000</f>
        <v>10.407029133063105</v>
      </c>
      <c r="AV467" s="94">
        <f>((Table3.110[[#This Row],[CH4 24h, ml]]/28.9)*16.04)/Table3.110[[#This Row],[Digested feed, mg]]*1000</f>
        <v>31.843321186115666</v>
      </c>
    </row>
    <row r="468" spans="2:48" s="89" customFormat="1" x14ac:dyDescent="0.35">
      <c r="B468" s="90">
        <f t="shared" si="7"/>
        <v>458</v>
      </c>
      <c r="C468" s="140">
        <v>46048</v>
      </c>
      <c r="D468" s="6" t="s">
        <v>16</v>
      </c>
      <c r="E468" s="6" t="s">
        <v>313</v>
      </c>
      <c r="F468" s="133" t="s">
        <v>290</v>
      </c>
      <c r="G468" s="133" t="s">
        <v>314</v>
      </c>
      <c r="H468" s="133" t="s">
        <v>315</v>
      </c>
      <c r="I468" s="125" t="s">
        <v>22</v>
      </c>
      <c r="J468" s="138" t="s">
        <v>23</v>
      </c>
      <c r="K468" s="138" t="s">
        <v>215</v>
      </c>
      <c r="L468" s="6" t="s">
        <v>312</v>
      </c>
      <c r="M468" s="93">
        <v>28</v>
      </c>
      <c r="N468" s="93">
        <v>60</v>
      </c>
      <c r="O468" s="6">
        <v>1</v>
      </c>
      <c r="P468" s="129">
        <v>1</v>
      </c>
      <c r="Q468" s="6">
        <v>0</v>
      </c>
      <c r="R468" s="98">
        <v>0.50049999999999994</v>
      </c>
      <c r="S468" s="94">
        <f>((Table3.110[[#This Row],[Sample weight, g]]*'2.1. DM'!Q191)/100)*1000</f>
        <v>449.58697595354431</v>
      </c>
      <c r="T468" s="94">
        <f>'3.2 Digest'!W468</f>
        <v>169.18697595354422</v>
      </c>
      <c r="U468" s="153">
        <v>0.40277777777777779</v>
      </c>
      <c r="V468" s="155">
        <v>41</v>
      </c>
      <c r="W468" s="153">
        <v>0.74861111111111112</v>
      </c>
      <c r="X468" s="91">
        <v>65</v>
      </c>
      <c r="Y468" s="91">
        <v>12.3</v>
      </c>
      <c r="Z468" s="154">
        <v>40.5</v>
      </c>
      <c r="AA468" s="153">
        <v>0.40972222222222221</v>
      </c>
      <c r="AB468" s="154">
        <v>77.5</v>
      </c>
      <c r="AC468" s="154">
        <v>16</v>
      </c>
      <c r="AD468" s="91"/>
      <c r="AE468" s="94">
        <f>Table3.110[[#This Row],[Gas 8h, ml]]-Table3.110[[#This Row],[Gas 0h, ml]]</f>
        <v>24</v>
      </c>
      <c r="AF468" s="94">
        <f>Table3.110[[#This Row],[Gas 24h, ml]]-Table3.110[[#This Row],[V8 Push back, ml]]</f>
        <v>37</v>
      </c>
      <c r="AG468" s="94">
        <f>Table3.110[[#This Row],[GP 8h, ml]]-(AVERAGE(AE$293,AE$294,AE$385,AE$386,AE$477,AE$478))*$AG$8</f>
        <v>22.746240428868305</v>
      </c>
      <c r="AH468" s="94">
        <f>Table3.110[[#This Row],[GP 8-24h, ml]]-(AVERAGE(AF$293,AF$294,AF$385,AF$386,AF$477,AF$478))*$AG$8</f>
        <v>35.00873479879084</v>
      </c>
      <c r="AI468" s="94">
        <f>Table3.110[[#This Row],[Net gas 8-24h, ml]]+Table3.110[[#This Row],[Net gas 8h, ml]]</f>
        <v>57.754975227659145</v>
      </c>
      <c r="AJ468" s="94">
        <f>Table3.110[[#This Row],[Net gas 8h, ml]]*Table3.110[[#This Row],[CH4 8h %]]%</f>
        <v>2.7977875727508019</v>
      </c>
      <c r="AK468" s="94">
        <f>Table3.110[[#This Row],[Net gas 8-24h, ml]]*Table3.110[[#This Row],[CH4 24h, %]]%</f>
        <v>5.6013975678065346</v>
      </c>
      <c r="AL468" s="94">
        <f>Table3.110[[#This Row],[CH4 8-24h, ml]]+Table3.110[[#This Row],[CH4 8h, ml]]</f>
        <v>8.3991851405573357</v>
      </c>
      <c r="AM468" s="94">
        <f>(Table3.110[[#This Row],[Net gas 24h, ml]]/Table3.110[[#This Row],[DM Incubated, mg]])*1000</f>
        <v>128.46229610002527</v>
      </c>
      <c r="AN468" s="94">
        <f>'3.2 Digest'!X468</f>
        <v>37.631645266126718</v>
      </c>
      <c r="AO468" s="94">
        <f>Table3.110[[#This Row],[Digested feed, mg]]/Table3.110[[#This Row],[Net gas 24h, ml]]</f>
        <v>2.9293922348099239</v>
      </c>
      <c r="AP468" s="94">
        <f>Table3.110[[#This Row],[CH4 8h, ml]]/Table3.110[[#This Row],[Net gas 8h, ml]]%</f>
        <v>12.3</v>
      </c>
      <c r="AQ468" s="94">
        <f>Table3.110[[#This Row],[CH4 24h, ml]]/Table3.110[[#This Row],[Net gas 24h, ml]]%</f>
        <v>14.54279065560905</v>
      </c>
      <c r="AR468" s="94">
        <f>Table3.110[[#This Row],[CH4 24h, ml]]/Table3.110[[#This Row],[DM Incubated, mg]]*1000</f>
        <v>18.682002793215304</v>
      </c>
      <c r="AS468" s="94">
        <f>Table3.110[[#This Row],[CH4 24h, ml]]/Table3.110[[#This Row],[Digested feed, mg]]*1000</f>
        <v>49.644395457860803</v>
      </c>
      <c r="AT468" s="94">
        <f>Table3.110[[#This Row],[CH4 24h, ml]]/'3.2 Digest'!AA468</f>
        <v>-0.33807268763504067</v>
      </c>
      <c r="AU468" s="94">
        <f>((Table3.110[[#This Row],[CH4 24h, ml]]/28.9)*16.04)/Table3.110[[#This Row],[DM Incubated, mg]]*1000</f>
        <v>10.368834768275896</v>
      </c>
      <c r="AV468" s="94">
        <f>((Table3.110[[#This Row],[CH4 24h, ml]]/28.9)*16.04)/Table3.110[[#This Row],[Digested feed, mg]]*1000</f>
        <v>27.55349837868814</v>
      </c>
    </row>
    <row r="469" spans="2:48" s="89" customFormat="1" x14ac:dyDescent="0.35">
      <c r="B469" s="90">
        <f t="shared" si="7"/>
        <v>459</v>
      </c>
      <c r="C469" s="140">
        <v>46048</v>
      </c>
      <c r="D469" s="6" t="s">
        <v>16</v>
      </c>
      <c r="E469" s="6" t="s">
        <v>313</v>
      </c>
      <c r="F469" s="133" t="s">
        <v>290</v>
      </c>
      <c r="G469" s="133" t="s">
        <v>314</v>
      </c>
      <c r="H469" s="133" t="s">
        <v>315</v>
      </c>
      <c r="I469" s="125" t="s">
        <v>22</v>
      </c>
      <c r="J469" s="138" t="s">
        <v>23</v>
      </c>
      <c r="K469" s="138" t="s">
        <v>215</v>
      </c>
      <c r="L469" s="6" t="s">
        <v>312</v>
      </c>
      <c r="M469" s="93">
        <v>28</v>
      </c>
      <c r="N469" s="93">
        <v>60</v>
      </c>
      <c r="O469" s="6">
        <v>1</v>
      </c>
      <c r="P469" s="129">
        <v>2</v>
      </c>
      <c r="Q469" s="6">
        <v>0</v>
      </c>
      <c r="R469" s="98">
        <v>0.5</v>
      </c>
      <c r="S469" s="94">
        <f>((Table3.110[[#This Row],[Sample weight, g]]*'2.1. DM'!Q191)/100)*1000</f>
        <v>449.13783811542891</v>
      </c>
      <c r="T469" s="94">
        <f>'3.2 Digest'!W469</f>
        <v>215.33783811542889</v>
      </c>
      <c r="U469" s="117">
        <v>0.40347222222222223</v>
      </c>
      <c r="V469" s="155">
        <v>40.5</v>
      </c>
      <c r="W469" s="117">
        <v>0.74930555555555556</v>
      </c>
      <c r="X469" s="96">
        <v>62</v>
      </c>
      <c r="Y469" s="96">
        <v>12.9</v>
      </c>
      <c r="Z469" s="155">
        <v>40</v>
      </c>
      <c r="AA469" s="117">
        <v>0.41041666666666665</v>
      </c>
      <c r="AB469" s="155">
        <v>80</v>
      </c>
      <c r="AC469" s="155">
        <v>15.7</v>
      </c>
      <c r="AD469" s="96"/>
      <c r="AE469" s="94">
        <f>Table3.110[[#This Row],[Gas 8h, ml]]-Table3.110[[#This Row],[Gas 0h, ml]]</f>
        <v>21.5</v>
      </c>
      <c r="AF469" s="94">
        <f>Table3.110[[#This Row],[Gas 24h, ml]]-Table3.110[[#This Row],[V8 Push back, ml]]</f>
        <v>40</v>
      </c>
      <c r="AG469" s="94">
        <f>Table3.110[[#This Row],[GP 8h, ml]]-(AVERAGE(AE$293,AE$294,AE$385,AE$386,AE$477,AE$478))*$AG$8</f>
        <v>20.246240428868305</v>
      </c>
      <c r="AH469" s="94">
        <f>Table3.110[[#This Row],[GP 8-24h, ml]]-(AVERAGE(AF$293,AF$294,AF$385,AF$386,AF$477,AF$478))*$AG$8</f>
        <v>38.00873479879084</v>
      </c>
      <c r="AI469" s="94">
        <f>Table3.110[[#This Row],[Net gas 8-24h, ml]]+Table3.110[[#This Row],[Net gas 8h, ml]]</f>
        <v>58.254975227659145</v>
      </c>
      <c r="AJ469" s="94">
        <f>Table3.110[[#This Row],[Net gas 8h, ml]]*Table3.110[[#This Row],[CH4 8h %]]%</f>
        <v>2.6117650153240115</v>
      </c>
      <c r="AK469" s="94">
        <f>Table3.110[[#This Row],[Net gas 8-24h, ml]]*Table3.110[[#This Row],[CH4 24h, %]]%</f>
        <v>5.9673713634101615</v>
      </c>
      <c r="AL469" s="94">
        <f>Table3.110[[#This Row],[CH4 8-24h, ml]]+Table3.110[[#This Row],[CH4 8h, ml]]</f>
        <v>8.579136378734173</v>
      </c>
      <c r="AM469" s="94">
        <f>(Table3.110[[#This Row],[Net gas 24h, ml]]/Table3.110[[#This Row],[DM Incubated, mg]])*1000</f>
        <v>129.70400238843283</v>
      </c>
      <c r="AN469" s="94">
        <f>'3.2 Digest'!X469</f>
        <v>47.944710919699183</v>
      </c>
      <c r="AO469" s="94">
        <f>Table3.110[[#This Row],[Digested feed, mg]]/Table3.110[[#This Row],[Net gas 24h, ml]]</f>
        <v>3.6964711987927799</v>
      </c>
      <c r="AP469" s="94">
        <f>Table3.110[[#This Row],[CH4 8h, ml]]/Table3.110[[#This Row],[Net gas 8h, ml]]%</f>
        <v>12.900000000000002</v>
      </c>
      <c r="AQ469" s="94">
        <f>Table3.110[[#This Row],[CH4 24h, ml]]/Table3.110[[#This Row],[Net gas 24h, ml]]%</f>
        <v>14.726873275985612</v>
      </c>
      <c r="AR469" s="94">
        <f>Table3.110[[#This Row],[CH4 24h, ml]]/Table3.110[[#This Row],[DM Incubated, mg]]*1000</f>
        <v>19.101344065625856</v>
      </c>
      <c r="AS469" s="94">
        <f>Table3.110[[#This Row],[CH4 24h, ml]]/Table3.110[[#This Row],[Digested feed, mg]]*1000</f>
        <v>39.840357151423824</v>
      </c>
      <c r="AT469" s="94">
        <f>Table3.110[[#This Row],[CH4 24h, ml]]/'3.2 Digest'!AA469</f>
        <v>-2.042460746648818</v>
      </c>
      <c r="AU469" s="94">
        <f>((Table3.110[[#This Row],[CH4 24h, ml]]/28.9)*16.04)/Table3.110[[#This Row],[DM Incubated, mg]]*1000</f>
        <v>10.601576429503067</v>
      </c>
      <c r="AV469" s="94">
        <f>((Table3.110[[#This Row],[CH4 24h, ml]]/28.9)*16.04)/Table3.110[[#This Row],[Digested feed, mg]]*1000</f>
        <v>22.112087498575711</v>
      </c>
    </row>
    <row r="470" spans="2:48" s="89" customFormat="1" x14ac:dyDescent="0.35">
      <c r="B470" s="90">
        <f t="shared" si="7"/>
        <v>460</v>
      </c>
      <c r="C470" s="140">
        <v>46048</v>
      </c>
      <c r="D470" s="6" t="s">
        <v>16</v>
      </c>
      <c r="E470" s="6" t="s">
        <v>313</v>
      </c>
      <c r="F470" s="133" t="s">
        <v>290</v>
      </c>
      <c r="G470" s="133" t="s">
        <v>314</v>
      </c>
      <c r="H470" s="133" t="s">
        <v>315</v>
      </c>
      <c r="I470" s="125" t="s">
        <v>22</v>
      </c>
      <c r="J470" s="138" t="s">
        <v>23</v>
      </c>
      <c r="K470" s="138" t="s">
        <v>215</v>
      </c>
      <c r="L470" s="6" t="s">
        <v>312</v>
      </c>
      <c r="M470" s="93">
        <v>28</v>
      </c>
      <c r="N470" s="93">
        <v>60</v>
      </c>
      <c r="O470" s="6">
        <v>1</v>
      </c>
      <c r="P470" s="129">
        <v>3</v>
      </c>
      <c r="Q470" s="6">
        <v>0</v>
      </c>
      <c r="R470" s="98">
        <v>0.50019999999999998</v>
      </c>
      <c r="S470" s="94">
        <f>((Table3.110[[#This Row],[Sample weight, g]]*'2.1. DM'!Q191)/100)*1000</f>
        <v>449.31749325067506</v>
      </c>
      <c r="T470" s="94">
        <f>'3.2 Digest'!W470</f>
        <v>190.71749325067509</v>
      </c>
      <c r="U470" s="153">
        <v>0.40347222222222223</v>
      </c>
      <c r="V470" s="155">
        <v>41</v>
      </c>
      <c r="W470" s="153">
        <v>0.74930555555555556</v>
      </c>
      <c r="X470" s="91">
        <v>63</v>
      </c>
      <c r="Y470" s="91">
        <v>12.2</v>
      </c>
      <c r="Z470" s="154">
        <v>40</v>
      </c>
      <c r="AA470" s="153">
        <v>0.41111111111111109</v>
      </c>
      <c r="AB470" s="154">
        <v>78</v>
      </c>
      <c r="AC470" s="154">
        <v>15.4</v>
      </c>
      <c r="AD470" s="91"/>
      <c r="AE470" s="94">
        <f>Table3.110[[#This Row],[Gas 8h, ml]]-Table3.110[[#This Row],[Gas 0h, ml]]</f>
        <v>22</v>
      </c>
      <c r="AF470" s="94">
        <f>Table3.110[[#This Row],[Gas 24h, ml]]-Table3.110[[#This Row],[V8 Push back, ml]]</f>
        <v>38</v>
      </c>
      <c r="AG470" s="94">
        <f>Table3.110[[#This Row],[GP 8h, ml]]-(AVERAGE(AE$293,AE$294,AE$385,AE$386,AE$477,AE$478))*$AG$8</f>
        <v>20.746240428868305</v>
      </c>
      <c r="AH470" s="94">
        <f>Table3.110[[#This Row],[GP 8-24h, ml]]-(AVERAGE(AF$293,AF$294,AF$385,AF$386,AF$477,AF$478))*$AG$8</f>
        <v>36.00873479879084</v>
      </c>
      <c r="AI470" s="94">
        <f>Table3.110[[#This Row],[Net gas 8-24h, ml]]+Table3.110[[#This Row],[Net gas 8h, ml]]</f>
        <v>56.754975227659145</v>
      </c>
      <c r="AJ470" s="94">
        <f>Table3.110[[#This Row],[Net gas 8h, ml]]*Table3.110[[#This Row],[CH4 8h %]]%</f>
        <v>2.5310413323219332</v>
      </c>
      <c r="AK470" s="94">
        <f>Table3.110[[#This Row],[Net gas 8-24h, ml]]*Table3.110[[#This Row],[CH4 24h, %]]%</f>
        <v>5.545345159013789</v>
      </c>
      <c r="AL470" s="94">
        <f>Table3.110[[#This Row],[CH4 8-24h, ml]]+Table3.110[[#This Row],[CH4 8h, ml]]</f>
        <v>8.0763864913357217</v>
      </c>
      <c r="AM470" s="94">
        <f>(Table3.110[[#This Row],[Net gas 24h, ml]]/Table3.110[[#This Row],[DM Incubated, mg]])*1000</f>
        <v>126.31374491354477</v>
      </c>
      <c r="AN470" s="94">
        <f>'3.2 Digest'!X470</f>
        <v>42.446042300933392</v>
      </c>
      <c r="AO470" s="94">
        <f>Table3.110[[#This Row],[Digested feed, mg]]/Table3.110[[#This Row],[Net gas 24h, ml]]</f>
        <v>3.3603660733822371</v>
      </c>
      <c r="AP470" s="94">
        <f>Table3.110[[#This Row],[CH4 8h, ml]]/Table3.110[[#This Row],[Net gas 8h, ml]]%</f>
        <v>12.200000000000001</v>
      </c>
      <c r="AQ470" s="94">
        <f>Table3.110[[#This Row],[CH4 24h, ml]]/Table3.110[[#This Row],[Net gas 24h, ml]]%</f>
        <v>14.230270489836723</v>
      </c>
      <c r="AR470" s="94">
        <f>Table3.110[[#This Row],[CH4 24h, ml]]/Table3.110[[#This Row],[DM Incubated, mg]]*1000</f>
        <v>17.974787567039797</v>
      </c>
      <c r="AS470" s="94">
        <f>Table3.110[[#This Row],[CH4 24h, ml]]/Table3.110[[#This Row],[Digested feed, mg]]*1000</f>
        <v>42.347381740804906</v>
      </c>
      <c r="AT470" s="94">
        <f>Table3.110[[#This Row],[CH4 24h, ml]]/'3.2 Digest'!AA470</f>
        <v>-0.53108906399831834</v>
      </c>
      <c r="AU470" s="94">
        <f>((Table3.110[[#This Row],[CH4 24h, ml]]/28.9)*16.04)/Table3.110[[#This Row],[DM Incubated, mg]]*1000</f>
        <v>9.9763180821909447</v>
      </c>
      <c r="AV470" s="94">
        <f>((Table3.110[[#This Row],[CH4 24h, ml]]/28.9)*16.04)/Table3.110[[#This Row],[Digested feed, mg]]*1000</f>
        <v>23.503529519810058</v>
      </c>
    </row>
    <row r="471" spans="2:48" s="89" customFormat="1" x14ac:dyDescent="0.35">
      <c r="B471" s="90">
        <f t="shared" si="7"/>
        <v>461</v>
      </c>
      <c r="C471" s="140">
        <v>46048</v>
      </c>
      <c r="D471" s="6" t="s">
        <v>16</v>
      </c>
      <c r="E471" s="6" t="s">
        <v>317</v>
      </c>
      <c r="F471" s="133" t="s">
        <v>290</v>
      </c>
      <c r="G471" s="133" t="s">
        <v>318</v>
      </c>
      <c r="H471" s="133" t="s">
        <v>319</v>
      </c>
      <c r="I471" s="125" t="s">
        <v>22</v>
      </c>
      <c r="J471" s="138" t="s">
        <v>23</v>
      </c>
      <c r="K471" s="138" t="s">
        <v>215</v>
      </c>
      <c r="L471" s="6" t="s">
        <v>316</v>
      </c>
      <c r="M471" s="93">
        <v>28</v>
      </c>
      <c r="N471" s="93">
        <v>60</v>
      </c>
      <c r="O471" s="6">
        <v>1</v>
      </c>
      <c r="P471" s="129">
        <v>1</v>
      </c>
      <c r="Q471" s="6">
        <v>0</v>
      </c>
      <c r="R471" s="98">
        <v>0.50019999999999998</v>
      </c>
      <c r="S471" s="94">
        <f>((Table3.110[[#This Row],[Sample weight, g]]*'2.1. DM'!Q193)/100)*1000</f>
        <v>451.89522950553499</v>
      </c>
      <c r="T471" s="94">
        <f>'3.2 Digest'!W471</f>
        <v>171.19522950553505</v>
      </c>
      <c r="U471" s="117">
        <v>0.40416666666666667</v>
      </c>
      <c r="V471" s="155">
        <v>41</v>
      </c>
      <c r="W471" s="117">
        <v>0.75</v>
      </c>
      <c r="X471" s="96">
        <v>65</v>
      </c>
      <c r="Y471" s="96">
        <v>12.7</v>
      </c>
      <c r="Z471" s="155">
        <v>40</v>
      </c>
      <c r="AA471" s="117">
        <v>0.41111111111111109</v>
      </c>
      <c r="AB471" s="155">
        <v>70</v>
      </c>
      <c r="AC471" s="155">
        <v>14.9</v>
      </c>
      <c r="AD471" s="96"/>
      <c r="AE471" s="94">
        <f>Table3.110[[#This Row],[Gas 8h, ml]]-Table3.110[[#This Row],[Gas 0h, ml]]</f>
        <v>24</v>
      </c>
      <c r="AF471" s="94">
        <f>Table3.110[[#This Row],[Gas 24h, ml]]-Table3.110[[#This Row],[V8 Push back, ml]]</f>
        <v>30</v>
      </c>
      <c r="AG471" s="94">
        <f>Table3.110[[#This Row],[GP 8h, ml]]-(AVERAGE(AE$293,AE$294,AE$385,AE$386,AE$477,AE$478))*$AG$8</f>
        <v>22.746240428868305</v>
      </c>
      <c r="AH471" s="94">
        <f>Table3.110[[#This Row],[GP 8-24h, ml]]-(AVERAGE(AF$293,AF$294,AF$385,AF$386,AF$477,AF$478))*$AG$8</f>
        <v>28.008734798790837</v>
      </c>
      <c r="AI471" s="94">
        <f>Table3.110[[#This Row],[Net gas 8-24h, ml]]+Table3.110[[#This Row],[Net gas 8h, ml]]</f>
        <v>50.754975227659145</v>
      </c>
      <c r="AJ471" s="94">
        <f>Table3.110[[#This Row],[Net gas 8h, ml]]*Table3.110[[#This Row],[CH4 8h %]]%</f>
        <v>2.8887725344662747</v>
      </c>
      <c r="AK471" s="94">
        <f>Table3.110[[#This Row],[Net gas 8-24h, ml]]*Table3.110[[#This Row],[CH4 24h, %]]%</f>
        <v>4.1733014850198344</v>
      </c>
      <c r="AL471" s="94">
        <f>Table3.110[[#This Row],[CH4 8-24h, ml]]+Table3.110[[#This Row],[CH4 8h, ml]]</f>
        <v>7.0620740194861096</v>
      </c>
      <c r="AM471" s="94">
        <f>(Table3.110[[#This Row],[Net gas 24h, ml]]/Table3.110[[#This Row],[DM Incubated, mg]])*1000</f>
        <v>112.31580223406071</v>
      </c>
      <c r="AN471" s="94">
        <f>'3.2 Digest'!X471</f>
        <v>37.883831987528907</v>
      </c>
      <c r="AO471" s="94">
        <f>Table3.110[[#This Row],[Digested feed, mg]]/Table3.110[[#This Row],[Net gas 24h, ml]]</f>
        <v>3.3729743485765997</v>
      </c>
      <c r="AP471" s="94">
        <f>Table3.110[[#This Row],[CH4 8h, ml]]/Table3.110[[#This Row],[Net gas 8h, ml]]%</f>
        <v>12.7</v>
      </c>
      <c r="AQ471" s="94">
        <f>Table3.110[[#This Row],[CH4 24h, ml]]/Table3.110[[#This Row],[Net gas 24h, ml]]%</f>
        <v>13.914052736326823</v>
      </c>
      <c r="AR471" s="94">
        <f>Table3.110[[#This Row],[CH4 24h, ml]]/Table3.110[[#This Row],[DM Incubated, mg]]*1000</f>
        <v>15.627679954075751</v>
      </c>
      <c r="AS471" s="94">
        <f>Table3.110[[#This Row],[CH4 24h, ml]]/Table3.110[[#This Row],[Digested feed, mg]]*1000</f>
        <v>41.251581833696946</v>
      </c>
      <c r="AT471" s="94">
        <f>Table3.110[[#This Row],[CH4 24h, ml]]/'3.2 Digest'!AA471</f>
        <v>-0.24338053727258477</v>
      </c>
      <c r="AU471" s="94">
        <f>((Table3.110[[#This Row],[CH4 24h, ml]]/28.9)*16.04)/Table3.110[[#This Row],[DM Incubated, mg]]*1000</f>
        <v>8.6736327495977523</v>
      </c>
      <c r="AV471" s="94">
        <f>((Table3.110[[#This Row],[CH4 24h, ml]]/28.9)*16.04)/Table3.110[[#This Row],[Digested feed, mg]]*1000</f>
        <v>22.895341612889244</v>
      </c>
    </row>
    <row r="472" spans="2:48" s="89" customFormat="1" x14ac:dyDescent="0.35">
      <c r="B472" s="90">
        <f t="shared" si="7"/>
        <v>462</v>
      </c>
      <c r="C472" s="140">
        <v>46048</v>
      </c>
      <c r="D472" s="6" t="s">
        <v>16</v>
      </c>
      <c r="E472" s="6" t="s">
        <v>317</v>
      </c>
      <c r="F472" s="133" t="s">
        <v>290</v>
      </c>
      <c r="G472" s="133" t="s">
        <v>318</v>
      </c>
      <c r="H472" s="133" t="s">
        <v>319</v>
      </c>
      <c r="I472" s="125" t="s">
        <v>22</v>
      </c>
      <c r="J472" s="138" t="s">
        <v>23</v>
      </c>
      <c r="K472" s="138" t="s">
        <v>215</v>
      </c>
      <c r="L472" s="6" t="s">
        <v>316</v>
      </c>
      <c r="M472" s="93">
        <v>28</v>
      </c>
      <c r="N472" s="93">
        <v>60</v>
      </c>
      <c r="O472" s="6">
        <v>1</v>
      </c>
      <c r="P472" s="129">
        <v>2</v>
      </c>
      <c r="Q472" s="6">
        <v>0</v>
      </c>
      <c r="R472" s="98">
        <v>0.50029999999999997</v>
      </c>
      <c r="S472" s="94">
        <f>((Table3.110[[#This Row],[Sample weight, g]]*'2.1. DM'!Q193)/100)*1000</f>
        <v>451.98557241427261</v>
      </c>
      <c r="T472" s="94">
        <f>'3.2 Digest'!W472</f>
        <v>187.1855724142726</v>
      </c>
      <c r="U472" s="153">
        <v>0.40416666666666667</v>
      </c>
      <c r="V472" s="155">
        <v>41.5</v>
      </c>
      <c r="W472" s="153">
        <v>0.75</v>
      </c>
      <c r="X472" s="91">
        <v>65.5</v>
      </c>
      <c r="Y472" s="91">
        <v>12</v>
      </c>
      <c r="Z472" s="154">
        <v>40</v>
      </c>
      <c r="AA472" s="153">
        <v>0.41111111111111109</v>
      </c>
      <c r="AB472" s="154">
        <v>65.5</v>
      </c>
      <c r="AC472" s="154">
        <v>15.1</v>
      </c>
      <c r="AD472" s="91"/>
      <c r="AE472" s="94">
        <f>Table3.110[[#This Row],[Gas 8h, ml]]-Table3.110[[#This Row],[Gas 0h, ml]]</f>
        <v>24</v>
      </c>
      <c r="AF472" s="94">
        <f>Table3.110[[#This Row],[Gas 24h, ml]]-Table3.110[[#This Row],[V8 Push back, ml]]</f>
        <v>25.5</v>
      </c>
      <c r="AG472" s="94">
        <f>Table3.110[[#This Row],[GP 8h, ml]]-(AVERAGE(AE$293,AE$294,AE$385,AE$386,AE$477,AE$478))*$AG$8</f>
        <v>22.746240428868305</v>
      </c>
      <c r="AH472" s="94">
        <f>Table3.110[[#This Row],[GP 8-24h, ml]]-(AVERAGE(AF$293,AF$294,AF$385,AF$386,AF$477,AF$478))*$AG$8</f>
        <v>23.508734798790837</v>
      </c>
      <c r="AI472" s="94">
        <f>Table3.110[[#This Row],[Net gas 8-24h, ml]]+Table3.110[[#This Row],[Net gas 8h, ml]]</f>
        <v>46.254975227659145</v>
      </c>
      <c r="AJ472" s="94">
        <f>Table3.110[[#This Row],[Net gas 8h, ml]]*Table3.110[[#This Row],[CH4 8h %]]%</f>
        <v>2.7295488514641963</v>
      </c>
      <c r="AK472" s="94">
        <f>Table3.110[[#This Row],[Net gas 8-24h, ml]]*Table3.110[[#This Row],[CH4 24h, %]]%</f>
        <v>3.5498189546174164</v>
      </c>
      <c r="AL472" s="94">
        <f>Table3.110[[#This Row],[CH4 8-24h, ml]]+Table3.110[[#This Row],[CH4 8h, ml]]</f>
        <v>6.2793678060816127</v>
      </c>
      <c r="AM472" s="94">
        <f>(Table3.110[[#This Row],[Net gas 24h, ml]]/Table3.110[[#This Row],[DM Incubated, mg]])*1000</f>
        <v>102.33728253888513</v>
      </c>
      <c r="AN472" s="94">
        <f>'3.2 Digest'!X472</f>
        <v>41.414059173266153</v>
      </c>
      <c r="AO472" s="94">
        <f>Table3.110[[#This Row],[Digested feed, mg]]/Table3.110[[#This Row],[Net gas 24h, ml]]</f>
        <v>4.0468202932328241</v>
      </c>
      <c r="AP472" s="94">
        <f>Table3.110[[#This Row],[CH4 8h, ml]]/Table3.110[[#This Row],[Net gas 8h, ml]]%</f>
        <v>11.999999999999998</v>
      </c>
      <c r="AQ472" s="94">
        <f>Table3.110[[#This Row],[CH4 24h, ml]]/Table3.110[[#This Row],[Net gas 24h, ml]]%</f>
        <v>13.575551116773124</v>
      </c>
      <c r="AR472" s="94">
        <f>Table3.110[[#This Row],[CH4 24h, ml]]/Table3.110[[#This Row],[DM Incubated, mg]]*1000</f>
        <v>13.892850102582889</v>
      </c>
      <c r="AS472" s="94">
        <f>Table3.110[[#This Row],[CH4 24h, ml]]/Table3.110[[#This Row],[Digested feed, mg]]*1000</f>
        <v>33.546216864322929</v>
      </c>
      <c r="AT472" s="94">
        <f>Table3.110[[#This Row],[CH4 24h, ml]]/'3.2 Digest'!AA472</f>
        <v>-0.28958214681864514</v>
      </c>
      <c r="AU472" s="94">
        <f>((Table3.110[[#This Row],[CH4 24h, ml]]/28.9)*16.04)/Table3.110[[#This Row],[DM Incubated, mg]]*1000</f>
        <v>7.7107721676619212</v>
      </c>
      <c r="AV472" s="94">
        <f>((Table3.110[[#This Row],[CH4 24h, ml]]/28.9)*16.04)/Table3.110[[#This Row],[Digested feed, mg]]*1000</f>
        <v>18.618730744074043</v>
      </c>
    </row>
    <row r="473" spans="2:48" s="89" customFormat="1" x14ac:dyDescent="0.35">
      <c r="B473" s="90">
        <f t="shared" si="7"/>
        <v>463</v>
      </c>
      <c r="C473" s="140">
        <v>46048</v>
      </c>
      <c r="D473" s="6" t="s">
        <v>16</v>
      </c>
      <c r="E473" s="6" t="s">
        <v>317</v>
      </c>
      <c r="F473" s="133" t="s">
        <v>290</v>
      </c>
      <c r="G473" s="133" t="s">
        <v>318</v>
      </c>
      <c r="H473" s="133" t="s">
        <v>319</v>
      </c>
      <c r="I473" s="125" t="s">
        <v>22</v>
      </c>
      <c r="J473" s="138" t="s">
        <v>23</v>
      </c>
      <c r="K473" s="138" t="s">
        <v>215</v>
      </c>
      <c r="L473" s="6" t="s">
        <v>316</v>
      </c>
      <c r="M473" s="93">
        <v>28</v>
      </c>
      <c r="N473" s="93">
        <v>60</v>
      </c>
      <c r="O473" s="6">
        <v>1</v>
      </c>
      <c r="P473" s="129">
        <v>3</v>
      </c>
      <c r="Q473" s="6">
        <v>0</v>
      </c>
      <c r="R473" s="98">
        <v>0.50039999999999996</v>
      </c>
      <c r="S473" s="94">
        <f>((Table3.110[[#This Row],[Sample weight, g]]*'2.1. DM'!Q193)/100)*1000</f>
        <v>452.07591532301024</v>
      </c>
      <c r="T473" s="94">
        <f>'3.2 Digest'!W473</f>
        <v>181.1759153230102</v>
      </c>
      <c r="U473" s="117">
        <v>0.40486111111111112</v>
      </c>
      <c r="V473" s="155">
        <v>41</v>
      </c>
      <c r="W473" s="117">
        <v>0.75069444444444444</v>
      </c>
      <c r="X473" s="96">
        <v>65</v>
      </c>
      <c r="Y473" s="96">
        <v>12.5</v>
      </c>
      <c r="Z473" s="155">
        <v>40</v>
      </c>
      <c r="AA473" s="117">
        <v>0.41180555555555554</v>
      </c>
      <c r="AB473" s="155">
        <v>67.5</v>
      </c>
      <c r="AC473" s="155">
        <v>14.9</v>
      </c>
      <c r="AD473" s="96"/>
      <c r="AE473" s="94">
        <f>Table3.110[[#This Row],[Gas 8h, ml]]-Table3.110[[#This Row],[Gas 0h, ml]]</f>
        <v>24</v>
      </c>
      <c r="AF473" s="94">
        <f>Table3.110[[#This Row],[Gas 24h, ml]]-Table3.110[[#This Row],[V8 Push back, ml]]</f>
        <v>27.5</v>
      </c>
      <c r="AG473" s="94">
        <f>Table3.110[[#This Row],[GP 8h, ml]]-(AVERAGE(AE$293,AE$294,AE$385,AE$386,AE$477,AE$478))*$AG$8</f>
        <v>22.746240428868305</v>
      </c>
      <c r="AH473" s="94">
        <f>Table3.110[[#This Row],[GP 8-24h, ml]]-(AVERAGE(AF$293,AF$294,AF$385,AF$386,AF$477,AF$478))*$AG$8</f>
        <v>25.508734798790837</v>
      </c>
      <c r="AI473" s="94">
        <f>Table3.110[[#This Row],[Net gas 8-24h, ml]]+Table3.110[[#This Row],[Net gas 8h, ml]]</f>
        <v>48.254975227659145</v>
      </c>
      <c r="AJ473" s="94">
        <f>Table3.110[[#This Row],[Net gas 8h, ml]]*Table3.110[[#This Row],[CH4 8h %]]%</f>
        <v>2.8432800536085381</v>
      </c>
      <c r="AK473" s="94">
        <f>Table3.110[[#This Row],[Net gas 8-24h, ml]]*Table3.110[[#This Row],[CH4 24h, %]]%</f>
        <v>3.8008014850198344</v>
      </c>
      <c r="AL473" s="94">
        <f>Table3.110[[#This Row],[CH4 8-24h, ml]]+Table3.110[[#This Row],[CH4 8h, ml]]</f>
        <v>6.644081538628372</v>
      </c>
      <c r="AM473" s="94">
        <f>(Table3.110[[#This Row],[Net gas 24h, ml]]/Table3.110[[#This Row],[DM Incubated, mg]])*1000</f>
        <v>106.7408671686939</v>
      </c>
      <c r="AN473" s="94">
        <f>'3.2 Digest'!X473</f>
        <v>40.076436098914755</v>
      </c>
      <c r="AO473" s="94">
        <f>Table3.110[[#This Row],[Digested feed, mg]]/Table3.110[[#This Row],[Net gas 24h, ml]]</f>
        <v>3.7545541049032067</v>
      </c>
      <c r="AP473" s="94">
        <f>Table3.110[[#This Row],[CH4 8h, ml]]/Table3.110[[#This Row],[Net gas 8h, ml]]%</f>
        <v>12.5</v>
      </c>
      <c r="AQ473" s="94">
        <f>Table3.110[[#This Row],[CH4 24h, ml]]/Table3.110[[#This Row],[Net gas 24h, ml]]%</f>
        <v>13.768697439554519</v>
      </c>
      <c r="AR473" s="94">
        <f>Table3.110[[#This Row],[CH4 24h, ml]]/Table3.110[[#This Row],[DM Incubated, mg]]*1000</f>
        <v>14.696827044814247</v>
      </c>
      <c r="AS473" s="94">
        <f>Table3.110[[#This Row],[CH4 24h, ml]]/Table3.110[[#This Row],[Digested feed, mg]]*1000</f>
        <v>36.671991013722462</v>
      </c>
      <c r="AT473" s="94">
        <f>Table3.110[[#This Row],[CH4 24h, ml]]/'3.2 Digest'!AA473</f>
        <v>-0.27160263066873291</v>
      </c>
      <c r="AU473" s="94">
        <f>((Table3.110[[#This Row],[CH4 24h, ml]]/28.9)*16.04)/Table3.110[[#This Row],[DM Incubated, mg]]*1000</f>
        <v>8.1569932802360032</v>
      </c>
      <c r="AV473" s="94">
        <f>((Table3.110[[#This Row],[CH4 24h, ml]]/28.9)*16.04)/Table3.110[[#This Row],[Digested feed, mg]]*1000</f>
        <v>20.353589476128317</v>
      </c>
    </row>
    <row r="474" spans="2:48" s="89" customFormat="1" x14ac:dyDescent="0.35">
      <c r="B474" s="90">
        <f t="shared" si="7"/>
        <v>464</v>
      </c>
      <c r="C474" s="140">
        <v>46048</v>
      </c>
      <c r="D474" s="8" t="s">
        <v>120</v>
      </c>
      <c r="E474" s="6" t="s">
        <v>122</v>
      </c>
      <c r="F474" s="133" t="s">
        <v>123</v>
      </c>
      <c r="G474" s="133" t="s">
        <v>545</v>
      </c>
      <c r="H474" s="133" t="s">
        <v>125</v>
      </c>
      <c r="I474" s="125" t="s">
        <v>108</v>
      </c>
      <c r="J474" s="138" t="s">
        <v>109</v>
      </c>
      <c r="K474" s="138" t="s">
        <v>110</v>
      </c>
      <c r="L474" s="6" t="s">
        <v>121</v>
      </c>
      <c r="M474" s="93">
        <v>28</v>
      </c>
      <c r="N474" s="93">
        <v>60</v>
      </c>
      <c r="O474" s="6">
        <v>1</v>
      </c>
      <c r="P474" s="129">
        <v>1</v>
      </c>
      <c r="Q474" s="6">
        <v>0</v>
      </c>
      <c r="R474" s="98">
        <v>0.50039999999999996</v>
      </c>
      <c r="S474" s="94">
        <f>((Table3.110[[#This Row],[Sample weight, g]]*'2.1. DM'!Q195)/100)*1000</f>
        <v>468.12419999999992</v>
      </c>
      <c r="T474" s="94">
        <f>'3.2 Digest'!W474</f>
        <v>109.32419999999991</v>
      </c>
      <c r="U474" s="153">
        <v>0.40486111111111112</v>
      </c>
      <c r="V474" s="155">
        <v>41</v>
      </c>
      <c r="W474" s="153">
        <v>0.75138888888888888</v>
      </c>
      <c r="X474" s="91">
        <v>60.5</v>
      </c>
      <c r="Y474" s="91">
        <v>13.6</v>
      </c>
      <c r="Z474" s="154">
        <v>40</v>
      </c>
      <c r="AA474" s="153">
        <v>0.41249999999999998</v>
      </c>
      <c r="AB474" s="154">
        <v>77.5</v>
      </c>
      <c r="AC474" s="154">
        <v>15.3</v>
      </c>
      <c r="AD474" s="91"/>
      <c r="AE474" s="94">
        <f>Table3.110[[#This Row],[Gas 8h, ml]]-Table3.110[[#This Row],[Gas 0h, ml]]</f>
        <v>19.5</v>
      </c>
      <c r="AF474" s="94">
        <f>Table3.110[[#This Row],[Gas 24h, ml]]-Table3.110[[#This Row],[V8 Push back, ml]]</f>
        <v>37.5</v>
      </c>
      <c r="AG474" s="94">
        <f>Table3.110[[#This Row],[GP 8h, ml]]-(AVERAGE(AE$293,AE$294,AE$385,AE$386,AE$477,AE$478))*$AG$8</f>
        <v>18.246240428868305</v>
      </c>
      <c r="AH474" s="94">
        <f>Table3.110[[#This Row],[GP 8-24h, ml]]-(AVERAGE(AF$293,AF$294,AF$385,AF$386,AF$477,AF$478))*$AG$8</f>
        <v>35.50873479879084</v>
      </c>
      <c r="AI474" s="94">
        <f>Table3.110[[#This Row],[Net gas 8-24h, ml]]+Table3.110[[#This Row],[Net gas 8h, ml]]</f>
        <v>53.754975227659145</v>
      </c>
      <c r="AJ474" s="94">
        <f>Table3.110[[#This Row],[Net gas 8h, ml]]*Table3.110[[#This Row],[CH4 8h %]]%</f>
        <v>2.4814886983260895</v>
      </c>
      <c r="AK474" s="94">
        <f>Table3.110[[#This Row],[Net gas 8-24h, ml]]*Table3.110[[#This Row],[CH4 24h, %]]%</f>
        <v>5.4328364242149982</v>
      </c>
      <c r="AL474" s="94">
        <f>Table3.110[[#This Row],[CH4 8-24h, ml]]+Table3.110[[#This Row],[CH4 8h, ml]]</f>
        <v>7.9143251225410882</v>
      </c>
      <c r="AM474" s="94">
        <f>(Table3.110[[#This Row],[Net gas 24h, ml]]/Table3.110[[#This Row],[DM Incubated, mg]])*1000</f>
        <v>114.83058390841396</v>
      </c>
      <c r="AN474" s="94">
        <f>'3.2 Digest'!X474</f>
        <v>23.353674089055836</v>
      </c>
      <c r="AO474" s="94">
        <f>Table3.110[[#This Row],[Digested feed, mg]]/Table3.110[[#This Row],[Net gas 24h, ml]]</f>
        <v>2.0337503558879533</v>
      </c>
      <c r="AP474" s="94">
        <f>Table3.110[[#This Row],[CH4 8h, ml]]/Table3.110[[#This Row],[Net gas 8h, ml]]%</f>
        <v>13.600000000000001</v>
      </c>
      <c r="AQ474" s="94">
        <f>Table3.110[[#This Row],[CH4 24h, ml]]/Table3.110[[#This Row],[Net gas 24h, ml]]%</f>
        <v>14.72296301695409</v>
      </c>
      <c r="AR474" s="94">
        <f>Table3.110[[#This Row],[CH4 24h, ml]]/Table3.110[[#This Row],[DM Incubated, mg]]*1000</f>
        <v>16.90646440098822</v>
      </c>
      <c r="AS474" s="94">
        <f>Table3.110[[#This Row],[CH4 24h, ml]]/Table3.110[[#This Row],[Digested feed, mg]]*1000</f>
        <v>72.393167501258603</v>
      </c>
      <c r="AT474" s="94">
        <f>Table3.110[[#This Row],[CH4 24h, ml]]/'3.2 Digest'!AA474</f>
        <v>-11.024191416887117</v>
      </c>
      <c r="AU474" s="94">
        <f>((Table3.110[[#This Row],[CH4 24h, ml]]/28.9)*16.04)/Table3.110[[#This Row],[DM Incubated, mg]]*1000</f>
        <v>9.3833802419325636</v>
      </c>
      <c r="AV474" s="94">
        <f>((Table3.110[[#This Row],[CH4 24h, ml]]/28.9)*16.04)/Table3.110[[#This Row],[Digested feed, mg]]*1000</f>
        <v>40.179460440144915</v>
      </c>
    </row>
    <row r="475" spans="2:48" s="89" customFormat="1" x14ac:dyDescent="0.35">
      <c r="B475" s="90">
        <f t="shared" si="7"/>
        <v>465</v>
      </c>
      <c r="C475" s="140">
        <v>46048</v>
      </c>
      <c r="D475" s="8" t="s">
        <v>120</v>
      </c>
      <c r="E475" s="6" t="s">
        <v>122</v>
      </c>
      <c r="F475" s="133" t="s">
        <v>123</v>
      </c>
      <c r="G475" s="133" t="s">
        <v>545</v>
      </c>
      <c r="H475" s="133" t="s">
        <v>125</v>
      </c>
      <c r="I475" s="125" t="s">
        <v>108</v>
      </c>
      <c r="J475" s="138" t="s">
        <v>109</v>
      </c>
      <c r="K475" s="138" t="s">
        <v>110</v>
      </c>
      <c r="L475" s="6" t="s">
        <v>121</v>
      </c>
      <c r="M475" s="93">
        <v>28</v>
      </c>
      <c r="N475" s="93">
        <v>60</v>
      </c>
      <c r="O475" s="6">
        <v>1</v>
      </c>
      <c r="P475" s="129">
        <v>2</v>
      </c>
      <c r="Q475" s="6">
        <v>0</v>
      </c>
      <c r="R475" s="98">
        <v>0.50019999999999998</v>
      </c>
      <c r="S475" s="94">
        <f>((Table3.110[[#This Row],[Sample weight, g]]*'2.1. DM'!Q195)/100)*1000</f>
        <v>467.93709999999999</v>
      </c>
      <c r="T475" s="94">
        <f>'3.2 Digest'!W475</f>
        <v>175.13709999999992</v>
      </c>
      <c r="U475" s="117">
        <v>0.40486111111111112</v>
      </c>
      <c r="V475" s="155">
        <v>40.5</v>
      </c>
      <c r="W475" s="117">
        <v>0.75138888888888888</v>
      </c>
      <c r="X475" s="96">
        <v>60.5</v>
      </c>
      <c r="Y475" s="96">
        <v>15</v>
      </c>
      <c r="Z475" s="155">
        <v>40</v>
      </c>
      <c r="AA475" s="117">
        <v>0.41249999999999998</v>
      </c>
      <c r="AB475" s="155">
        <v>79.5</v>
      </c>
      <c r="AC475" s="155">
        <v>15.8</v>
      </c>
      <c r="AD475" s="96"/>
      <c r="AE475" s="94">
        <f>Table3.110[[#This Row],[Gas 8h, ml]]-Table3.110[[#This Row],[Gas 0h, ml]]</f>
        <v>20</v>
      </c>
      <c r="AF475" s="94">
        <f>Table3.110[[#This Row],[Gas 24h, ml]]-Table3.110[[#This Row],[V8 Push back, ml]]</f>
        <v>39.5</v>
      </c>
      <c r="AG475" s="94">
        <f>Table3.110[[#This Row],[GP 8h, ml]]-(AVERAGE(AE$293,AE$294,AE$385,AE$386,AE$477,AE$478))*$AG$8</f>
        <v>18.746240428868305</v>
      </c>
      <c r="AH475" s="94">
        <f>Table3.110[[#This Row],[GP 8-24h, ml]]-(AVERAGE(AF$293,AF$294,AF$385,AF$386,AF$477,AF$478))*$AG$8</f>
        <v>37.50873479879084</v>
      </c>
      <c r="AI475" s="94">
        <f>Table3.110[[#This Row],[Net gas 8-24h, ml]]+Table3.110[[#This Row],[Net gas 8h, ml]]</f>
        <v>56.254975227659145</v>
      </c>
      <c r="AJ475" s="94">
        <f>Table3.110[[#This Row],[Net gas 8h, ml]]*Table3.110[[#This Row],[CH4 8h %]]%</f>
        <v>2.8119360643302458</v>
      </c>
      <c r="AK475" s="94">
        <f>Table3.110[[#This Row],[Net gas 8-24h, ml]]*Table3.110[[#This Row],[CH4 24h, %]]%</f>
        <v>5.926380098208953</v>
      </c>
      <c r="AL475" s="94">
        <f>Table3.110[[#This Row],[CH4 8-24h, ml]]+Table3.110[[#This Row],[CH4 8h, ml]]</f>
        <v>8.7383161625391992</v>
      </c>
      <c r="AM475" s="94">
        <f>(Table3.110[[#This Row],[Net gas 24h, ml]]/Table3.110[[#This Row],[DM Incubated, mg]])*1000</f>
        <v>120.21909617266753</v>
      </c>
      <c r="AN475" s="94">
        <f>'3.2 Digest'!X475</f>
        <v>37.427487583267052</v>
      </c>
      <c r="AO475" s="94">
        <f>Table3.110[[#This Row],[Digested feed, mg]]/Table3.110[[#This Row],[Net gas 24h, ml]]</f>
        <v>3.1132730801361981</v>
      </c>
      <c r="AP475" s="94">
        <f>Table3.110[[#This Row],[CH4 8h, ml]]/Table3.110[[#This Row],[Net gas 8h, ml]]%</f>
        <v>15</v>
      </c>
      <c r="AQ475" s="94">
        <f>Table3.110[[#This Row],[CH4 24h, ml]]/Table3.110[[#This Row],[Net gas 24h, ml]]%</f>
        <v>15.53341038223903</v>
      </c>
      <c r="AR475" s="94">
        <f>Table3.110[[#This Row],[CH4 24h, ml]]/Table3.110[[#This Row],[DM Incubated, mg]]*1000</f>
        <v>18.674125566319059</v>
      </c>
      <c r="AS475" s="94">
        <f>Table3.110[[#This Row],[CH4 24h, ml]]/Table3.110[[#This Row],[Digested feed, mg]]*1000</f>
        <v>49.894146714426604</v>
      </c>
      <c r="AT475" s="94">
        <f>Table3.110[[#This Row],[CH4 24h, ml]]/'3.2 Digest'!AA475</f>
        <v>0.49158120151726759</v>
      </c>
      <c r="AU475" s="94">
        <f>((Table3.110[[#This Row],[CH4 24h, ml]]/28.9)*16.04)/Table3.110[[#This Row],[DM Incubated, mg]]*1000</f>
        <v>10.364462771064282</v>
      </c>
      <c r="AV475" s="94">
        <f>((Table3.110[[#This Row],[CH4 24h, ml]]/28.9)*16.04)/Table3.110[[#This Row],[Digested feed, mg]]*1000</f>
        <v>27.692114647038153</v>
      </c>
    </row>
    <row r="476" spans="2:48" s="89" customFormat="1" x14ac:dyDescent="0.35">
      <c r="B476" s="90">
        <f t="shared" si="7"/>
        <v>466</v>
      </c>
      <c r="C476" s="140">
        <v>46048</v>
      </c>
      <c r="D476" s="8" t="s">
        <v>120</v>
      </c>
      <c r="E476" s="6" t="s">
        <v>122</v>
      </c>
      <c r="F476" s="133" t="s">
        <v>123</v>
      </c>
      <c r="G476" s="133" t="s">
        <v>545</v>
      </c>
      <c r="H476" s="133" t="s">
        <v>125</v>
      </c>
      <c r="I476" s="125" t="s">
        <v>108</v>
      </c>
      <c r="J476" s="138" t="s">
        <v>109</v>
      </c>
      <c r="K476" s="138" t="s">
        <v>110</v>
      </c>
      <c r="L476" s="6" t="s">
        <v>121</v>
      </c>
      <c r="M476" s="93">
        <v>28</v>
      </c>
      <c r="N476" s="93">
        <v>60</v>
      </c>
      <c r="O476" s="6">
        <v>1</v>
      </c>
      <c r="P476" s="129">
        <v>3</v>
      </c>
      <c r="Q476" s="6">
        <v>0</v>
      </c>
      <c r="R476" s="98">
        <v>0.50009999999999999</v>
      </c>
      <c r="S476" s="94">
        <f>((Table3.110[[#This Row],[Sample weight, g]]*'2.1. DM'!Q195)/100)*1000</f>
        <v>467.84354999999999</v>
      </c>
      <c r="T476" s="94">
        <f>'3.2 Digest'!W476</f>
        <v>77.043549999999982</v>
      </c>
      <c r="U476" s="153">
        <v>0.40486111111111112</v>
      </c>
      <c r="V476" s="155">
        <v>41</v>
      </c>
      <c r="W476" s="153">
        <v>0.75138888888888888</v>
      </c>
      <c r="X476" s="91">
        <v>60</v>
      </c>
      <c r="Y476" s="91">
        <v>14.1</v>
      </c>
      <c r="Z476" s="154">
        <v>40</v>
      </c>
      <c r="AA476" s="153">
        <v>0.41319444444444442</v>
      </c>
      <c r="AB476" s="154">
        <v>76</v>
      </c>
      <c r="AC476" s="154">
        <v>15.1</v>
      </c>
      <c r="AD476" s="91"/>
      <c r="AE476" s="94">
        <f>Table3.110[[#This Row],[Gas 8h, ml]]-Table3.110[[#This Row],[Gas 0h, ml]]</f>
        <v>19</v>
      </c>
      <c r="AF476" s="94">
        <f>Table3.110[[#This Row],[Gas 24h, ml]]-Table3.110[[#This Row],[V8 Push back, ml]]</f>
        <v>36</v>
      </c>
      <c r="AG476" s="94">
        <f>Table3.110[[#This Row],[GP 8h, ml]]-(AVERAGE(AE$293,AE$294,AE$385,AE$386,AE$477,AE$478))*$AG$8</f>
        <v>17.746240428868305</v>
      </c>
      <c r="AH476" s="94">
        <f>Table3.110[[#This Row],[GP 8-24h, ml]]-(AVERAGE(AF$293,AF$294,AF$385,AF$386,AF$477,AF$478))*$AG$8</f>
        <v>34.00873479879084</v>
      </c>
      <c r="AI476" s="94">
        <f>Table3.110[[#This Row],[Net gas 8-24h, ml]]+Table3.110[[#This Row],[Net gas 8h, ml]]</f>
        <v>51.754975227659145</v>
      </c>
      <c r="AJ476" s="94">
        <f>Table3.110[[#This Row],[Net gas 8h, ml]]*Table3.110[[#This Row],[CH4 8h %]]%</f>
        <v>2.5022199004704309</v>
      </c>
      <c r="AK476" s="94">
        <f>Table3.110[[#This Row],[Net gas 8-24h, ml]]*Table3.110[[#This Row],[CH4 24h, %]]%</f>
        <v>5.1353189546174169</v>
      </c>
      <c r="AL476" s="94">
        <f>Table3.110[[#This Row],[CH4 8-24h, ml]]+Table3.110[[#This Row],[CH4 8h, ml]]</f>
        <v>7.6375388550878478</v>
      </c>
      <c r="AM476" s="94">
        <f>(Table3.110[[#This Row],[Net gas 24h, ml]]/Table3.110[[#This Row],[DM Incubated, mg]])*1000</f>
        <v>110.62453512003991</v>
      </c>
      <c r="AN476" s="94">
        <f>'3.2 Digest'!X476</f>
        <v>16.467802110342227</v>
      </c>
      <c r="AO476" s="94">
        <f>Table3.110[[#This Row],[Digested feed, mg]]/Table3.110[[#This Row],[Net gas 24h, ml]]</f>
        <v>1.4886211356705663</v>
      </c>
      <c r="AP476" s="94">
        <f>Table3.110[[#This Row],[CH4 8h, ml]]/Table3.110[[#This Row],[Net gas 8h, ml]]%</f>
        <v>14.1</v>
      </c>
      <c r="AQ476" s="94">
        <f>Table3.110[[#This Row],[CH4 24h, ml]]/Table3.110[[#This Row],[Net gas 24h, ml]]%</f>
        <v>14.75711044492232</v>
      </c>
      <c r="AR476" s="94">
        <f>Table3.110[[#This Row],[CH4 24h, ml]]/Table3.110[[#This Row],[DM Incubated, mg]]*1000</f>
        <v>16.324984826846173</v>
      </c>
      <c r="AS476" s="94">
        <f>Table3.110[[#This Row],[CH4 24h, ml]]/Table3.110[[#This Row],[Digested feed, mg]]*1000</f>
        <v>99.132748362294436</v>
      </c>
      <c r="AT476" s="94">
        <f>Table3.110[[#This Row],[CH4 24h, ml]]/'3.2 Digest'!AA476</f>
        <v>-0.78202533826631915</v>
      </c>
      <c r="AU476" s="94">
        <f>((Table3.110[[#This Row],[CH4 24h, ml]]/28.9)*16.04)/Table3.110[[#This Row],[DM Incubated, mg]]*1000</f>
        <v>9.0606490180834811</v>
      </c>
      <c r="AV476" s="94">
        <f>((Table3.110[[#This Row],[CH4 24h, ml]]/28.9)*16.04)/Table3.110[[#This Row],[Digested feed, mg]]*1000</f>
        <v>55.02039044052605</v>
      </c>
    </row>
    <row r="477" spans="2:48" s="89" customFormat="1" x14ac:dyDescent="0.35">
      <c r="B477" s="90">
        <f t="shared" si="7"/>
        <v>467</v>
      </c>
      <c r="C477" s="143">
        <v>46048</v>
      </c>
      <c r="D477" s="92"/>
      <c r="E477" s="124" t="s">
        <v>537</v>
      </c>
      <c r="F477" s="133" t="s">
        <v>538</v>
      </c>
      <c r="G477" s="133">
        <v>24</v>
      </c>
      <c r="H477" s="185" t="s">
        <v>537</v>
      </c>
      <c r="I477" s="187"/>
      <c r="J477" s="188"/>
      <c r="K477" s="185"/>
      <c r="L477" s="124" t="s">
        <v>539</v>
      </c>
      <c r="M477" s="93">
        <v>28</v>
      </c>
      <c r="N477" s="93">
        <v>60</v>
      </c>
      <c r="O477" s="124">
        <v>1</v>
      </c>
      <c r="P477" s="146">
        <v>1</v>
      </c>
      <c r="Q477" s="124">
        <v>0</v>
      </c>
      <c r="R477" s="148"/>
      <c r="S477" s="94"/>
      <c r="T477" s="94">
        <f>'3.2 Digest'!W477</f>
        <v>0</v>
      </c>
      <c r="U477" s="149">
        <v>0.40555555555555556</v>
      </c>
      <c r="V477" s="150">
        <v>40</v>
      </c>
      <c r="W477" s="149">
        <v>0.75208333333333333</v>
      </c>
      <c r="X477" s="163">
        <v>41</v>
      </c>
      <c r="Y477" s="163"/>
      <c r="Z477" s="150">
        <v>40</v>
      </c>
      <c r="AA477" s="149">
        <v>0.41388888888888886</v>
      </c>
      <c r="AB477" s="150">
        <v>42</v>
      </c>
      <c r="AC477" s="150"/>
      <c r="AD477" s="163"/>
      <c r="AE477" s="94">
        <f>Table3.110[[#This Row],[Gas 8h, ml]]-Table3.110[[#This Row],[Gas 0h, ml]]</f>
        <v>1</v>
      </c>
      <c r="AF477" s="94">
        <f>Table3.110[[#This Row],[Gas 24h, ml]]-Table3.110[[#This Row],[V8 Push back, ml]]</f>
        <v>2</v>
      </c>
      <c r="AG477" s="94"/>
      <c r="AH477" s="94"/>
      <c r="AI477" s="94"/>
      <c r="AJ477" s="94"/>
      <c r="AK477" s="94"/>
      <c r="AL477" s="94"/>
      <c r="AM477" s="94"/>
      <c r="AN477" s="94"/>
      <c r="AO477" s="94"/>
      <c r="AP477" s="94"/>
      <c r="AQ477" s="94"/>
      <c r="AR477" s="94"/>
      <c r="AS477" s="94"/>
      <c r="AT477" s="94"/>
      <c r="AU477" s="94"/>
      <c r="AV477" s="94"/>
    </row>
    <row r="478" spans="2:48" s="89" customFormat="1" x14ac:dyDescent="0.35">
      <c r="B478" s="90">
        <f t="shared" si="7"/>
        <v>468</v>
      </c>
      <c r="C478" s="143">
        <v>46048</v>
      </c>
      <c r="D478" s="92"/>
      <c r="E478" s="124" t="s">
        <v>537</v>
      </c>
      <c r="F478" s="133" t="s">
        <v>538</v>
      </c>
      <c r="G478" s="133">
        <v>24</v>
      </c>
      <c r="H478" s="185" t="s">
        <v>537</v>
      </c>
      <c r="I478" s="187"/>
      <c r="J478" s="188"/>
      <c r="K478" s="185"/>
      <c r="L478" s="124" t="s">
        <v>539</v>
      </c>
      <c r="M478" s="93">
        <v>28</v>
      </c>
      <c r="N478" s="93">
        <v>60</v>
      </c>
      <c r="O478" s="124">
        <v>1</v>
      </c>
      <c r="P478" s="146">
        <v>2</v>
      </c>
      <c r="Q478" s="124">
        <v>0</v>
      </c>
      <c r="R478" s="148"/>
      <c r="S478" s="94"/>
      <c r="T478" s="94">
        <f>'3.2 Digest'!W478</f>
        <v>0</v>
      </c>
      <c r="U478" s="151">
        <v>0.40555555555555556</v>
      </c>
      <c r="V478" s="152">
        <v>40</v>
      </c>
      <c r="W478" s="151">
        <v>0.66874999999999996</v>
      </c>
      <c r="X478" s="164">
        <v>41</v>
      </c>
      <c r="Y478" s="164"/>
      <c r="Z478" s="152">
        <v>40</v>
      </c>
      <c r="AA478" s="151">
        <v>0.41458333333333336</v>
      </c>
      <c r="AB478" s="152">
        <v>42</v>
      </c>
      <c r="AC478" s="152"/>
      <c r="AD478" s="164"/>
      <c r="AE478" s="94">
        <f>Table3.110[[#This Row],[Gas 8h, ml]]-Table3.110[[#This Row],[Gas 0h, ml]]</f>
        <v>1</v>
      </c>
      <c r="AF478" s="94">
        <f>Table3.110[[#This Row],[Gas 24h, ml]]-Table3.110[[#This Row],[V8 Push back, ml]]</f>
        <v>2</v>
      </c>
      <c r="AG478" s="94"/>
      <c r="AH478" s="94"/>
      <c r="AI478" s="94"/>
      <c r="AJ478" s="94"/>
      <c r="AK478" s="94"/>
      <c r="AL478" s="94"/>
      <c r="AM478" s="94"/>
      <c r="AN478" s="94"/>
      <c r="AO478" s="94"/>
      <c r="AP478" s="94"/>
      <c r="AQ478" s="94"/>
      <c r="AR478" s="94"/>
      <c r="AS478" s="94"/>
      <c r="AT478" s="94"/>
      <c r="AU478" s="94"/>
      <c r="AV478" s="94"/>
    </row>
    <row r="479" spans="2:48" s="89" customFormat="1" x14ac:dyDescent="0.35">
      <c r="B479" s="90">
        <f t="shared" si="7"/>
        <v>469</v>
      </c>
      <c r="C479" s="143">
        <v>46050</v>
      </c>
      <c r="D479" s="92"/>
      <c r="E479" s="124" t="s">
        <v>537</v>
      </c>
      <c r="F479" s="133" t="s">
        <v>538</v>
      </c>
      <c r="G479" s="133">
        <v>24</v>
      </c>
      <c r="H479" s="185" t="s">
        <v>537</v>
      </c>
      <c r="I479" s="187"/>
      <c r="J479" s="188"/>
      <c r="K479" s="185"/>
      <c r="L479" s="124" t="s">
        <v>539</v>
      </c>
      <c r="M479" s="93">
        <v>28</v>
      </c>
      <c r="N479" s="93">
        <v>61</v>
      </c>
      <c r="O479" s="124">
        <v>2</v>
      </c>
      <c r="P479" s="124">
        <v>1</v>
      </c>
      <c r="Q479" s="124">
        <v>0</v>
      </c>
      <c r="R479" s="148"/>
      <c r="S479" s="94"/>
      <c r="T479" s="94">
        <f>'3.2 Digest'!W479</f>
        <v>0</v>
      </c>
      <c r="U479" s="149">
        <v>0.32708333333333334</v>
      </c>
      <c r="V479" s="150">
        <v>39</v>
      </c>
      <c r="W479" s="149">
        <v>0.66249999999999998</v>
      </c>
      <c r="X479" s="163">
        <v>42.5</v>
      </c>
      <c r="Y479" s="163"/>
      <c r="Z479" s="150">
        <v>39</v>
      </c>
      <c r="AA479" s="149">
        <v>0.36249999999999999</v>
      </c>
      <c r="AB479" s="150">
        <v>44</v>
      </c>
      <c r="AC479" s="150"/>
      <c r="AD479" s="163"/>
      <c r="AE479" s="94">
        <f>Table3.110[[#This Row],[Gas 8h, ml]]-Table3.110[[#This Row],[Gas 0h, ml]]</f>
        <v>3.5</v>
      </c>
      <c r="AF479" s="94">
        <f>Table3.110[[#This Row],[Gas 24h, ml]]-Table3.110[[#This Row],[V8 Push back, ml]]</f>
        <v>5</v>
      </c>
      <c r="AG479" s="94"/>
      <c r="AH479" s="94"/>
      <c r="AI479" s="94"/>
      <c r="AJ479" s="94"/>
      <c r="AK479" s="94"/>
      <c r="AL479" s="94"/>
      <c r="AM479" s="94"/>
      <c r="AN479" s="94"/>
      <c r="AO479" s="94"/>
      <c r="AP479" s="94"/>
      <c r="AQ479" s="94"/>
      <c r="AR479" s="94"/>
      <c r="AS479" s="94"/>
      <c r="AT479" s="94"/>
      <c r="AU479" s="94"/>
      <c r="AV479" s="94"/>
    </row>
    <row r="480" spans="2:48" s="89" customFormat="1" x14ac:dyDescent="0.35">
      <c r="B480" s="90">
        <f t="shared" si="7"/>
        <v>470</v>
      </c>
      <c r="C480" s="143">
        <v>46050</v>
      </c>
      <c r="D480" s="92"/>
      <c r="E480" s="124" t="s">
        <v>537</v>
      </c>
      <c r="F480" s="133" t="s">
        <v>538</v>
      </c>
      <c r="G480" s="133">
        <v>24</v>
      </c>
      <c r="H480" s="185" t="s">
        <v>537</v>
      </c>
      <c r="I480" s="187"/>
      <c r="J480" s="188"/>
      <c r="K480" s="185"/>
      <c r="L480" s="124" t="s">
        <v>539</v>
      </c>
      <c r="M480" s="93">
        <v>28</v>
      </c>
      <c r="N480" s="93">
        <v>61</v>
      </c>
      <c r="O480" s="124">
        <v>2</v>
      </c>
      <c r="P480" s="146">
        <v>2</v>
      </c>
      <c r="Q480" s="124">
        <v>0</v>
      </c>
      <c r="R480" s="148"/>
      <c r="S480" s="94"/>
      <c r="T480" s="94">
        <f>'3.2 Digest'!W480</f>
        <v>0</v>
      </c>
      <c r="U480" s="151">
        <v>0.32708333333333334</v>
      </c>
      <c r="V480" s="152">
        <v>39.5</v>
      </c>
      <c r="W480" s="151">
        <v>0.66249999999999998</v>
      </c>
      <c r="X480" s="164">
        <v>44</v>
      </c>
      <c r="Y480" s="164"/>
      <c r="Z480" s="152">
        <v>40</v>
      </c>
      <c r="AA480" s="151">
        <v>0.36388888888888887</v>
      </c>
      <c r="AB480" s="152">
        <v>44</v>
      </c>
      <c r="AC480" s="152"/>
      <c r="AD480" s="164"/>
      <c r="AE480" s="94">
        <f>Table3.110[[#This Row],[Gas 8h, ml]]-Table3.110[[#This Row],[Gas 0h, ml]]</f>
        <v>4.5</v>
      </c>
      <c r="AF480" s="94">
        <f>Table3.110[[#This Row],[Gas 24h, ml]]-Table3.110[[#This Row],[V8 Push back, ml]]</f>
        <v>4</v>
      </c>
      <c r="AG480" s="94"/>
      <c r="AH480" s="94"/>
      <c r="AI480" s="94"/>
      <c r="AJ480" s="94"/>
      <c r="AK480" s="94"/>
      <c r="AL480" s="94"/>
      <c r="AM480" s="94"/>
      <c r="AN480" s="94"/>
      <c r="AO480" s="94"/>
      <c r="AP480" s="94"/>
      <c r="AQ480" s="94"/>
      <c r="AR480" s="94"/>
      <c r="AS480" s="94"/>
      <c r="AT480" s="94"/>
      <c r="AU480" s="94"/>
      <c r="AV480" s="94"/>
    </row>
    <row r="481" spans="2:48" s="89" customFormat="1" x14ac:dyDescent="0.35">
      <c r="B481" s="90">
        <f t="shared" si="7"/>
        <v>471</v>
      </c>
      <c r="C481" s="140">
        <v>46050</v>
      </c>
      <c r="D481" s="6" t="s">
        <v>16</v>
      </c>
      <c r="E481" s="6" t="s">
        <v>128</v>
      </c>
      <c r="F481" s="133" t="s">
        <v>129</v>
      </c>
      <c r="G481" s="133" t="s">
        <v>130</v>
      </c>
      <c r="H481" s="133" t="s">
        <v>131</v>
      </c>
      <c r="I481" s="133" t="s">
        <v>22</v>
      </c>
      <c r="J481" s="135" t="s">
        <v>23</v>
      </c>
      <c r="K481" s="135" t="s">
        <v>24</v>
      </c>
      <c r="L481" s="6" t="s">
        <v>127</v>
      </c>
      <c r="M481" s="93">
        <v>28</v>
      </c>
      <c r="N481" s="93">
        <v>61</v>
      </c>
      <c r="O481" s="6">
        <v>2</v>
      </c>
      <c r="P481" s="129">
        <v>1</v>
      </c>
      <c r="Q481" s="6">
        <v>0</v>
      </c>
      <c r="R481" s="98">
        <v>0.50019999999999998</v>
      </c>
      <c r="S481" s="94">
        <f>((Table3.110[[#This Row],[Sample weight, g]]*'2.1. DM'!Q77)/100)*1000</f>
        <v>473.12500000000023</v>
      </c>
      <c r="T481" s="94">
        <f>'3.2 Digest'!W481</f>
        <v>259.32500000000027</v>
      </c>
      <c r="U481" s="153">
        <v>0.32777777777777778</v>
      </c>
      <c r="V481" s="154">
        <v>41</v>
      </c>
      <c r="W481" s="153">
        <v>0.66249999999999998</v>
      </c>
      <c r="X481" s="91">
        <v>74.5</v>
      </c>
      <c r="Y481" s="91">
        <v>12.6</v>
      </c>
      <c r="Z481" s="154">
        <v>40.5</v>
      </c>
      <c r="AA481" s="153">
        <v>0.36458333333333331</v>
      </c>
      <c r="AB481" s="154">
        <v>83.5</v>
      </c>
      <c r="AC481" s="154">
        <v>14.8</v>
      </c>
      <c r="AD481" s="91"/>
      <c r="AE481" s="94">
        <f>Table3.110[[#This Row],[Gas 8h, ml]]-Table3.110[[#This Row],[Gas 0h, ml]]</f>
        <v>33.5</v>
      </c>
      <c r="AF481" s="94">
        <f>Table3.110[[#This Row],[Gas 24h, ml]]-Table3.110[[#This Row],[V8 Push back, ml]]</f>
        <v>43</v>
      </c>
      <c r="AG481" s="94">
        <f>Table3.110[[#This Row],[GP 8h, ml]]-(AVERAGE(AE$479,AE$480,AE$660,AE$661,AE$662,AE$663))*AG$8</f>
        <v>30.107474101643646</v>
      </c>
      <c r="AH481" s="94">
        <f>Table3.110[[#This Row],[GP 8-24h, ml]]-(AVERAGE(AF$479,AF$480,AF$660,AF$661,AF$662,AF$663))*AG$8</f>
        <v>38.685592064046816</v>
      </c>
      <c r="AI481" s="94">
        <f>Table3.110[[#This Row],[Net gas 8-24h, ml]]+Table3.110[[#This Row],[Net gas 8h, ml]]</f>
        <v>68.793066165690462</v>
      </c>
      <c r="AJ481" s="94">
        <f>Table3.110[[#This Row],[Net gas 8h, ml]]*Table3.110[[#This Row],[CH4 8h %]]%</f>
        <v>3.7935417368070996</v>
      </c>
      <c r="AK481" s="94">
        <f>Table3.110[[#This Row],[Net gas 8-24h, ml]]*Table3.110[[#This Row],[CH4 24h, %]]%</f>
        <v>5.7254676254789292</v>
      </c>
      <c r="AL481" s="94">
        <f>Table3.110[[#This Row],[CH4 8-24h, ml]]+Table3.110[[#This Row],[CH4 8h, ml]]</f>
        <v>9.5190093622860292</v>
      </c>
      <c r="AM481" s="94">
        <f>(Table3.110[[#This Row],[Net gas 24h, ml]]/Table3.110[[#This Row],[DM Incubated, mg]])*1000</f>
        <v>145.40146085218586</v>
      </c>
      <c r="AN481" s="94">
        <f>'3.2 Digest'!X481</f>
        <v>54.811096433289329</v>
      </c>
      <c r="AO481" s="94">
        <f>Table3.110[[#This Row],[Digested feed, mg]]/Table3.110[[#This Row],[Net gas 24h, ml]]</f>
        <v>3.7696386344432899</v>
      </c>
      <c r="AP481" s="94">
        <f>Table3.110[[#This Row],[CH4 8h, ml]]/Table3.110[[#This Row],[Net gas 8h, ml]]%</f>
        <v>12.600000000000001</v>
      </c>
      <c r="AQ481" s="94">
        <f>Table3.110[[#This Row],[CH4 24h, ml]]/Table3.110[[#This Row],[Net gas 24h, ml]]%</f>
        <v>13.83716396556474</v>
      </c>
      <c r="AR481" s="94">
        <f>Table3.110[[#This Row],[CH4 24h, ml]]/Table3.110[[#This Row],[DM Incubated, mg]]*1000</f>
        <v>20.11943854644338</v>
      </c>
      <c r="AS481" s="94">
        <f>Table3.110[[#This Row],[CH4 24h, ml]]/Table3.110[[#This Row],[Digested feed, mg]]*1000</f>
        <v>36.706871155060327</v>
      </c>
      <c r="AT481" s="94">
        <f>Table3.110[[#This Row],[CH4 24h, ml]]/'3.2 Digest'!AA481</f>
        <v>0.72890086609355575</v>
      </c>
      <c r="AU481" s="94">
        <f>((Table3.110[[#This Row],[CH4 24h, ml]]/28.9)*16.04)/Table3.110[[#This Row],[DM Incubated, mg]]*1000</f>
        <v>11.16663648044816</v>
      </c>
      <c r="AV481" s="94">
        <f>((Table3.110[[#This Row],[CH4 24h, ml]]/28.9)*16.04)/Table3.110[[#This Row],[Digested feed, mg]]*1000</f>
        <v>20.372948558033482</v>
      </c>
    </row>
    <row r="482" spans="2:48" s="89" customFormat="1" x14ac:dyDescent="0.35">
      <c r="B482" s="90">
        <f t="shared" si="7"/>
        <v>472</v>
      </c>
      <c r="C482" s="140">
        <v>46050</v>
      </c>
      <c r="D482" s="6" t="s">
        <v>16</v>
      </c>
      <c r="E482" s="6" t="s">
        <v>128</v>
      </c>
      <c r="F482" s="133" t="s">
        <v>129</v>
      </c>
      <c r="G482" s="133" t="s">
        <v>130</v>
      </c>
      <c r="H482" s="133" t="s">
        <v>131</v>
      </c>
      <c r="I482" s="133" t="s">
        <v>22</v>
      </c>
      <c r="J482" s="135" t="s">
        <v>23</v>
      </c>
      <c r="K482" s="135" t="s">
        <v>24</v>
      </c>
      <c r="L482" s="6" t="s">
        <v>127</v>
      </c>
      <c r="M482" s="93">
        <v>28</v>
      </c>
      <c r="N482" s="93">
        <v>61</v>
      </c>
      <c r="O482" s="6">
        <v>2</v>
      </c>
      <c r="P482" s="6">
        <v>2</v>
      </c>
      <c r="Q482" s="6">
        <v>0</v>
      </c>
      <c r="R482" s="98">
        <v>0.50039999999999996</v>
      </c>
      <c r="S482" s="94">
        <f>((Table3.110[[#This Row],[Sample weight, g]]*'2.1. DM'!Q77)/100)*1000</f>
        <v>473.31417433026809</v>
      </c>
      <c r="T482" s="94">
        <f>'3.2 Digest'!W482</f>
        <v>261.71417433026807</v>
      </c>
      <c r="U482" s="117">
        <v>0.32847222222222222</v>
      </c>
      <c r="V482" s="155">
        <v>41.5</v>
      </c>
      <c r="W482" s="117">
        <v>0.66319444444444442</v>
      </c>
      <c r="X482" s="96">
        <v>76.5</v>
      </c>
      <c r="Y482" s="96">
        <v>13.1</v>
      </c>
      <c r="Z482" s="155">
        <v>40.5</v>
      </c>
      <c r="AA482" s="117">
        <v>0.36527777777777776</v>
      </c>
      <c r="AB482" s="155">
        <v>85.5</v>
      </c>
      <c r="AC482" s="155">
        <v>15.8</v>
      </c>
      <c r="AD482" s="96"/>
      <c r="AE482" s="94">
        <f>Table3.110[[#This Row],[Gas 8h, ml]]-Table3.110[[#This Row],[Gas 0h, ml]]</f>
        <v>35</v>
      </c>
      <c r="AF482" s="94">
        <f>Table3.110[[#This Row],[Gas 24h, ml]]-Table3.110[[#This Row],[V8 Push back, ml]]</f>
        <v>45</v>
      </c>
      <c r="AG482" s="94">
        <f>Table3.110[[#This Row],[GP 8h, ml]]-(AVERAGE(AE$479,AE$480,AE$660,AE$661,AE$662,AE$663))*AG$8</f>
        <v>31.607474101643646</v>
      </c>
      <c r="AH482" s="94">
        <f>Table3.110[[#This Row],[GP 8-24h, ml]]-(AVERAGE(AF$479,AF$480,AF$660,AF$661,AF$662,AF$663))*AG$8</f>
        <v>40.685592064046816</v>
      </c>
      <c r="AI482" s="94">
        <f>Table3.110[[#This Row],[Net gas 8-24h, ml]]+Table3.110[[#This Row],[Net gas 8h, ml]]</f>
        <v>72.293066165690462</v>
      </c>
      <c r="AJ482" s="94">
        <f>Table3.110[[#This Row],[Net gas 8h, ml]]*Table3.110[[#This Row],[CH4 8h %]]%</f>
        <v>4.1405791073153182</v>
      </c>
      <c r="AK482" s="94">
        <f>Table3.110[[#This Row],[Net gas 8-24h, ml]]*Table3.110[[#This Row],[CH4 24h, %]]%</f>
        <v>6.4283235461193966</v>
      </c>
      <c r="AL482" s="94">
        <f>Table3.110[[#This Row],[CH4 8-24h, ml]]+Table3.110[[#This Row],[CH4 8h, ml]]</f>
        <v>10.568902653434716</v>
      </c>
      <c r="AM482" s="94">
        <f>(Table3.110[[#This Row],[Net gas 24h, ml]]/Table3.110[[#This Row],[DM Incubated, mg]])*1000</f>
        <v>152.73801226845569</v>
      </c>
      <c r="AN482" s="94">
        <f>'3.2 Digest'!X482</f>
        <v>55.29396509212711</v>
      </c>
      <c r="AO482" s="94">
        <f>Table3.110[[#This Row],[Digested feed, mg]]/Table3.110[[#This Row],[Net gas 24h, ml]]</f>
        <v>3.620183624947352</v>
      </c>
      <c r="AP482" s="94">
        <f>Table3.110[[#This Row],[CH4 8h, ml]]/Table3.110[[#This Row],[Net gas 8h, ml]]%</f>
        <v>13.100000000000001</v>
      </c>
      <c r="AQ482" s="94">
        <f>Table3.110[[#This Row],[CH4 24h, ml]]/Table3.110[[#This Row],[Net gas 24h, ml]]%</f>
        <v>14.619524684720879</v>
      </c>
      <c r="AR482" s="94">
        <f>Table3.110[[#This Row],[CH4 24h, ml]]/Table3.110[[#This Row],[DM Incubated, mg]]*1000</f>
        <v>22.329571406538886</v>
      </c>
      <c r="AS482" s="94">
        <f>Table3.110[[#This Row],[CH4 24h, ml]]/Table3.110[[#This Row],[Digested feed, mg]]*1000</f>
        <v>40.38337885397592</v>
      </c>
      <c r="AT482" s="94">
        <f>Table3.110[[#This Row],[CH4 24h, ml]]/'3.2 Digest'!AA482</f>
        <v>0.75554706375954994</v>
      </c>
      <c r="AU482" s="94">
        <f>((Table3.110[[#This Row],[CH4 24h, ml]]/28.9)*16.04)/Table3.110[[#This Row],[DM Incubated, mg]]*1000</f>
        <v>12.3932984553939</v>
      </c>
      <c r="AV482" s="94">
        <f>((Table3.110[[#This Row],[CH4 24h, ml]]/28.9)*16.04)/Table3.110[[#This Row],[Digested feed, mg]]*1000</f>
        <v>22.413473938331272</v>
      </c>
    </row>
    <row r="483" spans="2:48" s="89" customFormat="1" x14ac:dyDescent="0.35">
      <c r="B483" s="90">
        <f t="shared" si="7"/>
        <v>473</v>
      </c>
      <c r="C483" s="140">
        <v>46050</v>
      </c>
      <c r="D483" s="6" t="s">
        <v>16</v>
      </c>
      <c r="E483" s="6" t="s">
        <v>128</v>
      </c>
      <c r="F483" s="133" t="s">
        <v>129</v>
      </c>
      <c r="G483" s="133" t="s">
        <v>130</v>
      </c>
      <c r="H483" s="133" t="s">
        <v>131</v>
      </c>
      <c r="I483" s="133" t="s">
        <v>22</v>
      </c>
      <c r="J483" s="135" t="s">
        <v>23</v>
      </c>
      <c r="K483" s="135" t="s">
        <v>24</v>
      </c>
      <c r="L483" s="6" t="s">
        <v>127</v>
      </c>
      <c r="M483" s="93">
        <v>28</v>
      </c>
      <c r="N483" s="93">
        <v>61</v>
      </c>
      <c r="O483" s="6">
        <v>2</v>
      </c>
      <c r="P483" s="129">
        <v>3</v>
      </c>
      <c r="Q483" s="6">
        <v>0</v>
      </c>
      <c r="R483" s="98">
        <v>0.5</v>
      </c>
      <c r="S483" s="94">
        <f>((Table3.110[[#This Row],[Sample weight, g]]*'2.1. DM'!Q77)/100)*1000</f>
        <v>472.93582566973237</v>
      </c>
      <c r="T483" s="94">
        <f>'3.2 Digest'!W483</f>
        <v>254.13582566973238</v>
      </c>
      <c r="U483" s="153">
        <v>0.32916666666666666</v>
      </c>
      <c r="V483" s="154">
        <v>41.5</v>
      </c>
      <c r="W483" s="153">
        <v>0.66319444444444442</v>
      </c>
      <c r="X483" s="91">
        <v>75</v>
      </c>
      <c r="Y483" s="91">
        <v>13.9</v>
      </c>
      <c r="Z483" s="154">
        <v>40.5</v>
      </c>
      <c r="AA483" s="153">
        <v>0.36527777777777776</v>
      </c>
      <c r="AB483" s="154">
        <v>86.5</v>
      </c>
      <c r="AC483" s="154">
        <v>16.100000000000001</v>
      </c>
      <c r="AD483" s="91"/>
      <c r="AE483" s="94">
        <f>Table3.110[[#This Row],[Gas 8h, ml]]-Table3.110[[#This Row],[Gas 0h, ml]]</f>
        <v>33.5</v>
      </c>
      <c r="AF483" s="94">
        <f>Table3.110[[#This Row],[Gas 24h, ml]]-Table3.110[[#This Row],[V8 Push back, ml]]</f>
        <v>46</v>
      </c>
      <c r="AG483" s="94">
        <f>Table3.110[[#This Row],[GP 8h, ml]]-(AVERAGE(AE$479,AE$480,AE$660,AE$661,AE$662,AE$663))*AG$8</f>
        <v>30.107474101643646</v>
      </c>
      <c r="AH483" s="94">
        <f>Table3.110[[#This Row],[GP 8-24h, ml]]-(AVERAGE(AF$479,AF$480,AF$660,AF$661,AF$662,AF$663))*AG$8</f>
        <v>41.685592064046816</v>
      </c>
      <c r="AI483" s="94">
        <f>Table3.110[[#This Row],[Net gas 8-24h, ml]]+Table3.110[[#This Row],[Net gas 8h, ml]]</f>
        <v>71.793066165690462</v>
      </c>
      <c r="AJ483" s="94">
        <f>Table3.110[[#This Row],[Net gas 8h, ml]]*Table3.110[[#This Row],[CH4 8h %]]%</f>
        <v>4.1849389001284676</v>
      </c>
      <c r="AK483" s="94">
        <f>Table3.110[[#This Row],[Net gas 8-24h, ml]]*Table3.110[[#This Row],[CH4 24h, %]]%</f>
        <v>6.7113803223115376</v>
      </c>
      <c r="AL483" s="94">
        <f>Table3.110[[#This Row],[CH4 8-24h, ml]]+Table3.110[[#This Row],[CH4 8h, ml]]</f>
        <v>10.896319222440006</v>
      </c>
      <c r="AM483" s="94">
        <f>(Table3.110[[#This Row],[Net gas 24h, ml]]/Table3.110[[#This Row],[DM Incubated, mg]])*1000</f>
        <v>151.80297678659278</v>
      </c>
      <c r="AN483" s="94">
        <f>'3.2 Digest'!X483</f>
        <v>53.73579498018497</v>
      </c>
      <c r="AO483" s="94">
        <f>Table3.110[[#This Row],[Digested feed, mg]]/Table3.110[[#This Row],[Net gas 24h, ml]]</f>
        <v>3.5398380267422342</v>
      </c>
      <c r="AP483" s="94">
        <f>Table3.110[[#This Row],[CH4 8h, ml]]/Table3.110[[#This Row],[Net gas 8h, ml]]%</f>
        <v>13.900000000000004</v>
      </c>
      <c r="AQ483" s="94">
        <f>Table3.110[[#This Row],[CH4 24h, ml]]/Table3.110[[#This Row],[Net gas 24h, ml]]%</f>
        <v>15.177397768877157</v>
      </c>
      <c r="AR483" s="94">
        <f>Table3.110[[#This Row],[CH4 24h, ml]]/Table3.110[[#This Row],[DM Incubated, mg]]*1000</f>
        <v>23.039741611897437</v>
      </c>
      <c r="AS483" s="94">
        <f>Table3.110[[#This Row],[CH4 24h, ml]]/Table3.110[[#This Row],[Digested feed, mg]]*1000</f>
        <v>42.875966793444341</v>
      </c>
      <c r="AT483" s="94">
        <f>Table3.110[[#This Row],[CH4 24h, ml]]/'3.2 Digest'!AA483</f>
        <v>0.99142261088924422</v>
      </c>
      <c r="AU483" s="94">
        <f>((Table3.110[[#This Row],[CH4 24h, ml]]/28.9)*16.04)/Table3.110[[#This Row],[DM Incubated, mg]]*1000</f>
        <v>12.787455206049652</v>
      </c>
      <c r="AV483" s="94">
        <f>((Table3.110[[#This Row],[CH4 24h, ml]]/28.9)*16.04)/Table3.110[[#This Row],[Digested feed, mg]]*1000</f>
        <v>23.796903369095059</v>
      </c>
    </row>
    <row r="484" spans="2:48" s="89" customFormat="1" x14ac:dyDescent="0.35">
      <c r="B484" s="90">
        <f t="shared" si="7"/>
        <v>474</v>
      </c>
      <c r="C484" s="140">
        <v>46050</v>
      </c>
      <c r="D484" s="6" t="s">
        <v>16</v>
      </c>
      <c r="E484" s="6" t="s">
        <v>135</v>
      </c>
      <c r="F484" s="133" t="s">
        <v>99</v>
      </c>
      <c r="G484" s="133" t="s">
        <v>100</v>
      </c>
      <c r="H484" s="133" t="s">
        <v>101</v>
      </c>
      <c r="I484" s="133" t="s">
        <v>22</v>
      </c>
      <c r="J484" s="135" t="s">
        <v>23</v>
      </c>
      <c r="K484" s="135" t="s">
        <v>24</v>
      </c>
      <c r="L484" s="6" t="s">
        <v>134</v>
      </c>
      <c r="M484" s="93">
        <v>28</v>
      </c>
      <c r="N484" s="93">
        <v>61</v>
      </c>
      <c r="O484" s="6">
        <v>2</v>
      </c>
      <c r="P484" s="129">
        <v>1</v>
      </c>
      <c r="Q484" s="6">
        <v>0</v>
      </c>
      <c r="R484" s="98">
        <v>0.5</v>
      </c>
      <c r="S484" s="94">
        <f>((Table3.110[[#This Row],[Sample weight, g]]*'2.1. DM'!Q79)/100)*1000</f>
        <v>463.30916262014</v>
      </c>
      <c r="T484" s="94">
        <f>'3.2 Digest'!W484</f>
        <v>228.6091626201401</v>
      </c>
      <c r="U484" s="117">
        <v>0.3298611111111111</v>
      </c>
      <c r="V484" s="155">
        <v>41.5</v>
      </c>
      <c r="W484" s="117">
        <v>0.66388888888888886</v>
      </c>
      <c r="X484" s="96">
        <v>81</v>
      </c>
      <c r="Y484" s="96">
        <v>11.4</v>
      </c>
      <c r="Z484" s="155">
        <v>40</v>
      </c>
      <c r="AA484" s="117">
        <v>0.36666666666666664</v>
      </c>
      <c r="AB484" s="155">
        <v>71.5</v>
      </c>
      <c r="AC484" s="155">
        <v>14.1</v>
      </c>
      <c r="AD484" s="96"/>
      <c r="AE484" s="94">
        <f>Table3.110[[#This Row],[Gas 8h, ml]]-Table3.110[[#This Row],[Gas 0h, ml]]</f>
        <v>39.5</v>
      </c>
      <c r="AF484" s="94">
        <f>Table3.110[[#This Row],[Gas 24h, ml]]-Table3.110[[#This Row],[V8 Push back, ml]]</f>
        <v>31.5</v>
      </c>
      <c r="AG484" s="94">
        <f>Table3.110[[#This Row],[GP 8h, ml]]-(AVERAGE(AE$479,AE$480,AE$660,AE$661,AE$662,AE$663))*AG$8</f>
        <v>36.107474101643646</v>
      </c>
      <c r="AH484" s="94">
        <f>Table3.110[[#This Row],[GP 8-24h, ml]]-(AVERAGE(AF$479,AF$480,AF$660,AF$661,AF$662,AF$663))*AG$8</f>
        <v>27.185592064046812</v>
      </c>
      <c r="AI484" s="94">
        <f>Table3.110[[#This Row],[Net gas 8-24h, ml]]+Table3.110[[#This Row],[Net gas 8h, ml]]</f>
        <v>63.293066165690462</v>
      </c>
      <c r="AJ484" s="94">
        <f>Table3.110[[#This Row],[Net gas 8h, ml]]*Table3.110[[#This Row],[CH4 8h %]]%</f>
        <v>4.1162520475873761</v>
      </c>
      <c r="AK484" s="94">
        <f>Table3.110[[#This Row],[Net gas 8-24h, ml]]*Table3.110[[#This Row],[CH4 24h, %]]%</f>
        <v>3.8331684810305999</v>
      </c>
      <c r="AL484" s="94">
        <f>Table3.110[[#This Row],[CH4 8-24h, ml]]+Table3.110[[#This Row],[CH4 8h, ml]]</f>
        <v>7.949420528617976</v>
      </c>
      <c r="AM484" s="94">
        <f>(Table3.110[[#This Row],[Net gas 24h, ml]]/Table3.110[[#This Row],[DM Incubated, mg]])*1000</f>
        <v>136.61086650596519</v>
      </c>
      <c r="AN484" s="94">
        <f>'3.2 Digest'!X484</f>
        <v>49.342681100303039</v>
      </c>
      <c r="AO484" s="94">
        <f>Table3.110[[#This Row],[Digested feed, mg]]/Table3.110[[#This Row],[Net gas 24h, ml]]</f>
        <v>3.6119148031425792</v>
      </c>
      <c r="AP484" s="94">
        <f>Table3.110[[#This Row],[CH4 8h, ml]]/Table3.110[[#This Row],[Net gas 8h, ml]]%</f>
        <v>11.400000000000002</v>
      </c>
      <c r="AQ484" s="94">
        <f>Table3.110[[#This Row],[CH4 24h, ml]]/Table3.110[[#This Row],[Net gas 24h, ml]]%</f>
        <v>12.559702049838679</v>
      </c>
      <c r="AR484" s="94">
        <f>Table3.110[[#This Row],[CH4 24h, ml]]/Table3.110[[#This Row],[DM Incubated, mg]]*1000</f>
        <v>17.15791780085209</v>
      </c>
      <c r="AS484" s="94">
        <f>Table3.110[[#This Row],[CH4 24h, ml]]/Table3.110[[#This Row],[Digested feed, mg]]*1000</f>
        <v>34.772974265370259</v>
      </c>
      <c r="AT484" s="94">
        <f>Table3.110[[#This Row],[CH4 24h, ml]]/'3.2 Digest'!AA484</f>
        <v>10.406029673541129</v>
      </c>
      <c r="AU484" s="94">
        <f>((Table3.110[[#This Row],[CH4 24h, ml]]/28.9)*16.04)/Table3.110[[#This Row],[DM Incubated, mg]]*1000</f>
        <v>9.5229412292618534</v>
      </c>
      <c r="AV484" s="94">
        <f>((Table3.110[[#This Row],[CH4 24h, ml]]/28.9)*16.04)/Table3.110[[#This Row],[Digested feed, mg]]*1000</f>
        <v>19.299602325831799</v>
      </c>
    </row>
    <row r="485" spans="2:48" s="89" customFormat="1" x14ac:dyDescent="0.35">
      <c r="B485" s="90">
        <f t="shared" si="7"/>
        <v>475</v>
      </c>
      <c r="C485" s="140">
        <v>46050</v>
      </c>
      <c r="D485" s="6" t="s">
        <v>16</v>
      </c>
      <c r="E485" s="6" t="s">
        <v>135</v>
      </c>
      <c r="F485" s="133" t="s">
        <v>99</v>
      </c>
      <c r="G485" s="133" t="s">
        <v>100</v>
      </c>
      <c r="H485" s="133" t="s">
        <v>101</v>
      </c>
      <c r="I485" s="133" t="s">
        <v>22</v>
      </c>
      <c r="J485" s="135" t="s">
        <v>23</v>
      </c>
      <c r="K485" s="135" t="s">
        <v>24</v>
      </c>
      <c r="L485" s="6" t="s">
        <v>134</v>
      </c>
      <c r="M485" s="93">
        <v>28</v>
      </c>
      <c r="N485" s="93">
        <v>61</v>
      </c>
      <c r="O485" s="6">
        <v>2</v>
      </c>
      <c r="P485" s="6">
        <v>2</v>
      </c>
      <c r="Q485" s="6">
        <v>0</v>
      </c>
      <c r="R485" s="98">
        <v>0.50009999999999999</v>
      </c>
      <c r="S485" s="94">
        <f>((Table3.110[[#This Row],[Sample weight, g]]*'2.1. DM'!Q79)/100)*1000</f>
        <v>463.40182445266396</v>
      </c>
      <c r="T485" s="94">
        <f>'3.2 Digest'!W485</f>
        <v>261.30182445266394</v>
      </c>
      <c r="U485" s="153">
        <v>0.33055555555555555</v>
      </c>
      <c r="V485" s="154">
        <v>41.5</v>
      </c>
      <c r="W485" s="153">
        <v>0.66388888888888886</v>
      </c>
      <c r="X485" s="91">
        <v>80.5</v>
      </c>
      <c r="Y485" s="91">
        <v>11.7</v>
      </c>
      <c r="Z485" s="154">
        <v>40</v>
      </c>
      <c r="AA485" s="153">
        <v>0.36666666666666664</v>
      </c>
      <c r="AB485" s="154">
        <v>73</v>
      </c>
      <c r="AC485" s="154">
        <v>13.8</v>
      </c>
      <c r="AD485" s="91"/>
      <c r="AE485" s="94">
        <f>Table3.110[[#This Row],[Gas 8h, ml]]-Table3.110[[#This Row],[Gas 0h, ml]]</f>
        <v>39</v>
      </c>
      <c r="AF485" s="94">
        <f>Table3.110[[#This Row],[Gas 24h, ml]]-Table3.110[[#This Row],[V8 Push back, ml]]</f>
        <v>33</v>
      </c>
      <c r="AG485" s="94">
        <f>Table3.110[[#This Row],[GP 8h, ml]]-(AVERAGE(AE$479,AE$480,AE$660,AE$661,AE$662,AE$663))*AG$8</f>
        <v>35.607474101643646</v>
      </c>
      <c r="AH485" s="94">
        <f>Table3.110[[#This Row],[GP 8-24h, ml]]-(AVERAGE(AF$479,AF$480,AF$660,AF$661,AF$662,AF$663))*AG$8</f>
        <v>28.685592064046812</v>
      </c>
      <c r="AI485" s="94">
        <f>Table3.110[[#This Row],[Net gas 8-24h, ml]]+Table3.110[[#This Row],[Net gas 8h, ml]]</f>
        <v>64.293066165690462</v>
      </c>
      <c r="AJ485" s="94">
        <f>Table3.110[[#This Row],[Net gas 8h, ml]]*Table3.110[[#This Row],[CH4 8h %]]%</f>
        <v>4.1660744698923065</v>
      </c>
      <c r="AK485" s="94">
        <f>Table3.110[[#This Row],[Net gas 8-24h, ml]]*Table3.110[[#This Row],[CH4 24h, %]]%</f>
        <v>3.9586117048384604</v>
      </c>
      <c r="AL485" s="94">
        <f>Table3.110[[#This Row],[CH4 8-24h, ml]]+Table3.110[[#This Row],[CH4 8h, ml]]</f>
        <v>8.1246861747307673</v>
      </c>
      <c r="AM485" s="94">
        <f>(Table3.110[[#This Row],[Net gas 24h, ml]]/Table3.110[[#This Row],[DM Incubated, mg]])*1000</f>
        <v>138.74150418295977</v>
      </c>
      <c r="AN485" s="94">
        <f>'3.2 Digest'!X485</f>
        <v>56.387741839664606</v>
      </c>
      <c r="AO485" s="94">
        <f>Table3.110[[#This Row],[Digested feed, mg]]/Table3.110[[#This Row],[Net gas 24h, ml]]</f>
        <v>4.0642302511947364</v>
      </c>
      <c r="AP485" s="94">
        <f>Table3.110[[#This Row],[CH4 8h, ml]]/Table3.110[[#This Row],[Net gas 8h, ml]]%</f>
        <v>11.700000000000001</v>
      </c>
      <c r="AQ485" s="94">
        <f>Table3.110[[#This Row],[CH4 24h, ml]]/Table3.110[[#This Row],[Net gas 24h, ml]]%</f>
        <v>12.636955521443848</v>
      </c>
      <c r="AR485" s="94">
        <f>Table3.110[[#This Row],[CH4 24h, ml]]/Table3.110[[#This Row],[DM Incubated, mg]]*1000</f>
        <v>17.532702173382781</v>
      </c>
      <c r="AS485" s="94">
        <f>Table3.110[[#This Row],[CH4 24h, ml]]/Table3.110[[#This Row],[Digested feed, mg]]*1000</f>
        <v>31.093109249233706</v>
      </c>
      <c r="AT485" s="94">
        <f>Table3.110[[#This Row],[CH4 24h, ml]]/'3.2 Digest'!AA485</f>
        <v>0.5578235873031705</v>
      </c>
      <c r="AU485" s="94">
        <f>((Table3.110[[#This Row],[CH4 24h, ml]]/28.9)*16.04)/Table3.110[[#This Row],[DM Incubated, mg]]*1000</f>
        <v>9.7309530401750788</v>
      </c>
      <c r="AV485" s="94">
        <f>((Table3.110[[#This Row],[CH4 24h, ml]]/28.9)*16.04)/Table3.110[[#This Row],[Digested feed, mg]]*1000</f>
        <v>17.257213576391301</v>
      </c>
    </row>
    <row r="486" spans="2:48" s="89" customFormat="1" x14ac:dyDescent="0.35">
      <c r="B486" s="90">
        <f t="shared" si="7"/>
        <v>476</v>
      </c>
      <c r="C486" s="140">
        <v>46050</v>
      </c>
      <c r="D486" s="6" t="s">
        <v>16</v>
      </c>
      <c r="E486" s="6" t="s">
        <v>135</v>
      </c>
      <c r="F486" s="133" t="s">
        <v>99</v>
      </c>
      <c r="G486" s="133" t="s">
        <v>100</v>
      </c>
      <c r="H486" s="133" t="s">
        <v>101</v>
      </c>
      <c r="I486" s="133" t="s">
        <v>22</v>
      </c>
      <c r="J486" s="135" t="s">
        <v>23</v>
      </c>
      <c r="K486" s="135" t="s">
        <v>24</v>
      </c>
      <c r="L486" s="6" t="s">
        <v>134</v>
      </c>
      <c r="M486" s="93">
        <v>28</v>
      </c>
      <c r="N486" s="93">
        <v>61</v>
      </c>
      <c r="O486" s="6">
        <v>2</v>
      </c>
      <c r="P486" s="129">
        <v>3</v>
      </c>
      <c r="Q486" s="6">
        <v>0</v>
      </c>
      <c r="R486" s="98">
        <v>0.50019999999999998</v>
      </c>
      <c r="S486" s="94">
        <f>((Table3.110[[#This Row],[Sample weight, g]]*'2.1. DM'!Q79)/100)*1000</f>
        <v>463.49448628518803</v>
      </c>
      <c r="T486" s="94">
        <f>'3.2 Digest'!W486</f>
        <v>242.89448628518801</v>
      </c>
      <c r="U486" s="117">
        <v>0.33124999999999999</v>
      </c>
      <c r="V486" s="155">
        <v>41.5</v>
      </c>
      <c r="W486" s="117">
        <v>0.6645833333333333</v>
      </c>
      <c r="X486" s="96">
        <v>80.5</v>
      </c>
      <c r="Y486" s="96">
        <v>11.8</v>
      </c>
      <c r="Z486" s="155">
        <v>40</v>
      </c>
      <c r="AA486" s="117">
        <v>0.36736111111111114</v>
      </c>
      <c r="AB486" s="155">
        <v>71.5</v>
      </c>
      <c r="AC486" s="155">
        <v>13.9</v>
      </c>
      <c r="AD486" s="96"/>
      <c r="AE486" s="94">
        <f>Table3.110[[#This Row],[Gas 8h, ml]]-Table3.110[[#This Row],[Gas 0h, ml]]</f>
        <v>39</v>
      </c>
      <c r="AF486" s="94">
        <f>Table3.110[[#This Row],[Gas 24h, ml]]-Table3.110[[#This Row],[V8 Push back, ml]]</f>
        <v>31.5</v>
      </c>
      <c r="AG486" s="94">
        <f>Table3.110[[#This Row],[GP 8h, ml]]-(AVERAGE(AE$479,AE$480,AE$660,AE$661,AE$662,AE$663))*AG$8</f>
        <v>35.607474101643646</v>
      </c>
      <c r="AH486" s="94">
        <f>Table3.110[[#This Row],[GP 8-24h, ml]]-(AVERAGE(AF$479,AF$480,AF$660,AF$661,AF$662,AF$663))*AG$8</f>
        <v>27.185592064046812</v>
      </c>
      <c r="AI486" s="94">
        <f>Table3.110[[#This Row],[Net gas 8-24h, ml]]+Table3.110[[#This Row],[Net gas 8h, ml]]</f>
        <v>62.793066165690462</v>
      </c>
      <c r="AJ486" s="94">
        <f>Table3.110[[#This Row],[Net gas 8h, ml]]*Table3.110[[#This Row],[CH4 8h %]]%</f>
        <v>4.2016819439939503</v>
      </c>
      <c r="AK486" s="94">
        <f>Table3.110[[#This Row],[Net gas 8-24h, ml]]*Table3.110[[#This Row],[CH4 24h, %]]%</f>
        <v>3.7787972969025074</v>
      </c>
      <c r="AL486" s="94">
        <f>Table3.110[[#This Row],[CH4 8-24h, ml]]+Table3.110[[#This Row],[CH4 8h, ml]]</f>
        <v>7.9804792408964573</v>
      </c>
      <c r="AM486" s="94">
        <f>(Table3.110[[#This Row],[Net gas 24h, ml]]/Table3.110[[#This Row],[DM Incubated, mg]])*1000</f>
        <v>135.47748252404003</v>
      </c>
      <c r="AN486" s="94">
        <f>'3.2 Digest'!X486</f>
        <v>52.405043311720235</v>
      </c>
      <c r="AO486" s="94">
        <f>Table3.110[[#This Row],[Digested feed, mg]]/Table3.110[[#This Row],[Net gas 24h, ml]]</f>
        <v>3.8681736872709562</v>
      </c>
      <c r="AP486" s="94">
        <f>Table3.110[[#This Row],[CH4 8h, ml]]/Table3.110[[#This Row],[Net gas 8h, ml]]%</f>
        <v>11.8</v>
      </c>
      <c r="AQ486" s="94">
        <f>Table3.110[[#This Row],[CH4 24h, ml]]/Table3.110[[#This Row],[Net gas 24h, ml]]%</f>
        <v>12.709172729101285</v>
      </c>
      <c r="AR486" s="94">
        <f>Table3.110[[#This Row],[CH4 24h, ml]]/Table3.110[[#This Row],[DM Incubated, mg]]*1000</f>
        <v>17.218067263018249</v>
      </c>
      <c r="AS486" s="94">
        <f>Table3.110[[#This Row],[CH4 24h, ml]]/Table3.110[[#This Row],[Digested feed, mg]]*1000</f>
        <v>32.855744743116126</v>
      </c>
      <c r="AT486" s="94">
        <f>Table3.110[[#This Row],[CH4 24h, ml]]/'3.2 Digest'!AA486</f>
        <v>1.1800215369037308</v>
      </c>
      <c r="AU486" s="94">
        <f>((Table3.110[[#This Row],[CH4 24h, ml]]/28.9)*16.04)/Table3.110[[#This Row],[DM Incubated, mg]]*1000</f>
        <v>9.5563252214122052</v>
      </c>
      <c r="AV486" s="94">
        <f>((Table3.110[[#This Row],[CH4 24h, ml]]/28.9)*16.04)/Table3.110[[#This Row],[Digested feed, mg]]*1000</f>
        <v>18.235506770919812</v>
      </c>
    </row>
    <row r="487" spans="2:48" s="89" customFormat="1" x14ac:dyDescent="0.35">
      <c r="B487" s="90">
        <f t="shared" si="7"/>
        <v>477</v>
      </c>
      <c r="C487" s="140">
        <v>46050</v>
      </c>
      <c r="D487" s="6" t="s">
        <v>16</v>
      </c>
      <c r="E487" s="6" t="s">
        <v>137</v>
      </c>
      <c r="F487" s="133" t="s">
        <v>99</v>
      </c>
      <c r="G487" s="133" t="s">
        <v>100</v>
      </c>
      <c r="H487" s="133" t="s">
        <v>101</v>
      </c>
      <c r="I487" s="133" t="s">
        <v>22</v>
      </c>
      <c r="J487" s="135" t="s">
        <v>23</v>
      </c>
      <c r="K487" s="135" t="s">
        <v>24</v>
      </c>
      <c r="L487" s="6" t="s">
        <v>136</v>
      </c>
      <c r="M487" s="93">
        <v>28</v>
      </c>
      <c r="N487" s="93">
        <v>61</v>
      </c>
      <c r="O487" s="6">
        <v>2</v>
      </c>
      <c r="P487" s="129">
        <v>1</v>
      </c>
      <c r="Q487" s="6">
        <v>0</v>
      </c>
      <c r="R487" s="98">
        <v>0.5</v>
      </c>
      <c r="S487" s="94">
        <f>((Table3.110[[#This Row],[Sample weight, g]]*'2.1. DM'!Q81)/100)*1000</f>
        <v>471.30431427962986</v>
      </c>
      <c r="T487" s="94">
        <f>'3.2 Digest'!W487</f>
        <v>251.00431427962982</v>
      </c>
      <c r="U487" s="153">
        <v>0.33402777777777776</v>
      </c>
      <c r="V487" s="154">
        <v>41.5</v>
      </c>
      <c r="W487" s="153">
        <v>0.6645833333333333</v>
      </c>
      <c r="X487" s="91">
        <v>78</v>
      </c>
      <c r="Y487" s="91">
        <v>12.5</v>
      </c>
      <c r="Z487" s="154">
        <v>41</v>
      </c>
      <c r="AA487" s="153">
        <v>0.36805555555555558</v>
      </c>
      <c r="AB487" s="154">
        <v>74</v>
      </c>
      <c r="AC487" s="154">
        <v>15.1</v>
      </c>
      <c r="AD487" s="91" t="s">
        <v>565</v>
      </c>
      <c r="AE487" s="94">
        <f>Table3.110[[#This Row],[Gas 8h, ml]]-Table3.110[[#This Row],[Gas 0h, ml]]</f>
        <v>36.5</v>
      </c>
      <c r="AF487" s="94">
        <f>Table3.110[[#This Row],[Gas 24h, ml]]-Table3.110[[#This Row],[V8 Push back, ml]]</f>
        <v>33</v>
      </c>
      <c r="AG487" s="94">
        <f>Table3.110[[#This Row],[GP 8h, ml]]-(AVERAGE(AE$479,AE$480,AE$660,AE$661,AE$662,AE$663))*AG$8</f>
        <v>33.107474101643646</v>
      </c>
      <c r="AH487" s="94">
        <f>Table3.110[[#This Row],[GP 8-24h, ml]]-(AVERAGE(AF$479,AF$480,AF$660,AF$661,AF$662,AF$663))*AG$8</f>
        <v>28.685592064046812</v>
      </c>
      <c r="AI487" s="94">
        <f>Table3.110[[#This Row],[Net gas 8-24h, ml]]+Table3.110[[#This Row],[Net gas 8h, ml]]</f>
        <v>61.793066165690462</v>
      </c>
      <c r="AJ487" s="94">
        <f>Table3.110[[#This Row],[Net gas 8h, ml]]*Table3.110[[#This Row],[CH4 8h %]]%</f>
        <v>4.1384342627054558</v>
      </c>
      <c r="AK487" s="94">
        <f>Table3.110[[#This Row],[Net gas 8-24h, ml]]*Table3.110[[#This Row],[CH4 24h, %]]%</f>
        <v>4.3315244016710688</v>
      </c>
      <c r="AL487" s="94">
        <f>Table3.110[[#This Row],[CH4 8-24h, ml]]+Table3.110[[#This Row],[CH4 8h, ml]]</f>
        <v>8.4699586643765237</v>
      </c>
      <c r="AM487" s="94">
        <f>(Table3.110[[#This Row],[Net gas 24h, ml]]/Table3.110[[#This Row],[DM Incubated, mg]])*1000</f>
        <v>131.11075857673558</v>
      </c>
      <c r="AN487" s="94">
        <f>'3.2 Digest'!X487</f>
        <v>53.257376746758631</v>
      </c>
      <c r="AO487" s="94">
        <f>Table3.110[[#This Row],[Digested feed, mg]]/Table3.110[[#This Row],[Net gas 24h, ml]]</f>
        <v>4.0620142332246925</v>
      </c>
      <c r="AP487" s="94">
        <f>Table3.110[[#This Row],[CH4 8h, ml]]/Table3.110[[#This Row],[Net gas 8h, ml]]%</f>
        <v>12.5</v>
      </c>
      <c r="AQ487" s="94">
        <f>Table3.110[[#This Row],[CH4 24h, ml]]/Table3.110[[#This Row],[Net gas 24h, ml]]%</f>
        <v>13.706972626451936</v>
      </c>
      <c r="AR487" s="94">
        <f>Table3.110[[#This Row],[CH4 24h, ml]]/Table3.110[[#This Row],[DM Incubated, mg]]*1000</f>
        <v>17.971315788446628</v>
      </c>
      <c r="AS487" s="94">
        <f>Table3.110[[#This Row],[CH4 24h, ml]]/Table3.110[[#This Row],[Digested feed, mg]]*1000</f>
        <v>33.744275227638596</v>
      </c>
      <c r="AT487" s="94">
        <f>Table3.110[[#This Row],[CH4 24h, ml]]/'3.2 Digest'!AA487</f>
        <v>-5.9563118071139147</v>
      </c>
      <c r="AU487" s="94">
        <f>((Table3.110[[#This Row],[CH4 24h, ml]]/28.9)*16.04)/Table3.110[[#This Row],[DM Incubated, mg]]*1000</f>
        <v>9.9743911850063629</v>
      </c>
      <c r="AV487" s="94">
        <f>((Table3.110[[#This Row],[CH4 24h, ml]]/28.9)*16.04)/Table3.110[[#This Row],[Digested feed, mg]]*1000</f>
        <v>18.728656562329515</v>
      </c>
    </row>
    <row r="488" spans="2:48" s="89" customFormat="1" x14ac:dyDescent="0.35">
      <c r="B488" s="90">
        <f t="shared" si="7"/>
        <v>478</v>
      </c>
      <c r="C488" s="140">
        <v>46050</v>
      </c>
      <c r="D488" s="6" t="s">
        <v>16</v>
      </c>
      <c r="E488" s="6" t="s">
        <v>137</v>
      </c>
      <c r="F488" s="133" t="s">
        <v>99</v>
      </c>
      <c r="G488" s="133" t="s">
        <v>100</v>
      </c>
      <c r="H488" s="133" t="s">
        <v>101</v>
      </c>
      <c r="I488" s="133" t="s">
        <v>22</v>
      </c>
      <c r="J488" s="135" t="s">
        <v>23</v>
      </c>
      <c r="K488" s="135" t="s">
        <v>24</v>
      </c>
      <c r="L488" s="6" t="s">
        <v>136</v>
      </c>
      <c r="M488" s="93">
        <v>28</v>
      </c>
      <c r="N488" s="93">
        <v>61</v>
      </c>
      <c r="O488" s="6">
        <v>2</v>
      </c>
      <c r="P488" s="6">
        <v>2</v>
      </c>
      <c r="Q488" s="6">
        <v>0</v>
      </c>
      <c r="R488" s="98">
        <v>0.50019999999999998</v>
      </c>
      <c r="S488" s="94">
        <f>((Table3.110[[#This Row],[Sample weight, g]]*'2.1. DM'!Q81)/100)*1000</f>
        <v>471.49283600534176</v>
      </c>
      <c r="T488" s="94">
        <f>'3.2 Digest'!W488</f>
        <v>248.39283600534179</v>
      </c>
      <c r="U488" s="117">
        <v>0.33402777777777776</v>
      </c>
      <c r="V488" s="155">
        <v>41.5</v>
      </c>
      <c r="W488" s="117">
        <v>0.66527777777777775</v>
      </c>
      <c r="X488" s="96">
        <v>79.5</v>
      </c>
      <c r="Y488" s="96">
        <v>12.3</v>
      </c>
      <c r="Z488" s="155">
        <v>40</v>
      </c>
      <c r="AA488" s="117">
        <v>0.36805555555555558</v>
      </c>
      <c r="AB488" s="155">
        <v>75.5</v>
      </c>
      <c r="AC488" s="155">
        <v>15.2</v>
      </c>
      <c r="AD488" s="96"/>
      <c r="AE488" s="94">
        <f>Table3.110[[#This Row],[Gas 8h, ml]]-Table3.110[[#This Row],[Gas 0h, ml]]</f>
        <v>38</v>
      </c>
      <c r="AF488" s="94">
        <f>Table3.110[[#This Row],[Gas 24h, ml]]-Table3.110[[#This Row],[V8 Push back, ml]]</f>
        <v>35.5</v>
      </c>
      <c r="AG488" s="94">
        <f>Table3.110[[#This Row],[GP 8h, ml]]-(AVERAGE(AE$479,AE$480,AE$660,AE$661,AE$662,AE$663))*AG$8</f>
        <v>34.607474101643646</v>
      </c>
      <c r="AH488" s="94">
        <f>Table3.110[[#This Row],[GP 8-24h, ml]]-(AVERAGE(AF$479,AF$480,AF$660,AF$661,AF$662,AF$663))*AG$8</f>
        <v>31.185592064046812</v>
      </c>
      <c r="AI488" s="94">
        <f>Table3.110[[#This Row],[Net gas 8-24h, ml]]+Table3.110[[#This Row],[Net gas 8h, ml]]</f>
        <v>65.793066165690462</v>
      </c>
      <c r="AJ488" s="94">
        <f>Table3.110[[#This Row],[Net gas 8h, ml]]*Table3.110[[#This Row],[CH4 8h %]]%</f>
        <v>4.2567193145021687</v>
      </c>
      <c r="AK488" s="94">
        <f>Table3.110[[#This Row],[Net gas 8-24h, ml]]*Table3.110[[#This Row],[CH4 24h, %]]%</f>
        <v>4.7402099937351156</v>
      </c>
      <c r="AL488" s="94">
        <f>Table3.110[[#This Row],[CH4 8-24h, ml]]+Table3.110[[#This Row],[CH4 8h, ml]]</f>
        <v>8.9969293082372843</v>
      </c>
      <c r="AM488" s="94">
        <f>(Table3.110[[#This Row],[Net gas 24h, ml]]/Table3.110[[#This Row],[DM Incubated, mg]])*1000</f>
        <v>139.54202724078093</v>
      </c>
      <c r="AN488" s="94">
        <f>'3.2 Digest'!X488</f>
        <v>52.682207880360586</v>
      </c>
      <c r="AO488" s="94">
        <f>Table3.110[[#This Row],[Digested feed, mg]]/Table3.110[[#This Row],[Net gas 24h, ml]]</f>
        <v>3.7753649507654776</v>
      </c>
      <c r="AP488" s="94">
        <f>Table3.110[[#This Row],[CH4 8h, ml]]/Table3.110[[#This Row],[Net gas 8h, ml]]%</f>
        <v>12.3</v>
      </c>
      <c r="AQ488" s="94">
        <f>Table3.110[[#This Row],[CH4 24h, ml]]/Table3.110[[#This Row],[Net gas 24h, ml]]%</f>
        <v>13.67458583793587</v>
      </c>
      <c r="AR488" s="94">
        <f>Table3.110[[#This Row],[CH4 24h, ml]]/Table3.110[[#This Row],[DM Incubated, mg]]*1000</f>
        <v>19.081794295036445</v>
      </c>
      <c r="AS488" s="94">
        <f>Table3.110[[#This Row],[CH4 24h, ml]]/Table3.110[[#This Row],[Digested feed, mg]]*1000</f>
        <v>36.220566796233214</v>
      </c>
      <c r="AT488" s="94">
        <f>Table3.110[[#This Row],[CH4 24h, ml]]/'3.2 Digest'!AA488</f>
        <v>-3.3696190439986737</v>
      </c>
      <c r="AU488" s="94">
        <f>((Table3.110[[#This Row],[CH4 24h, ml]]/28.9)*16.04)/Table3.110[[#This Row],[DM Incubated, mg]]*1000</f>
        <v>10.590725968594622</v>
      </c>
      <c r="AV488" s="94">
        <f>((Table3.110[[#This Row],[CH4 24h, ml]]/28.9)*16.04)/Table3.110[[#This Row],[Digested feed, mg]]*1000</f>
        <v>20.103041225314211</v>
      </c>
    </row>
    <row r="489" spans="2:48" s="89" customFormat="1" x14ac:dyDescent="0.35">
      <c r="B489" s="90">
        <f t="shared" si="7"/>
        <v>479</v>
      </c>
      <c r="C489" s="140">
        <v>46050</v>
      </c>
      <c r="D489" s="6" t="s">
        <v>16</v>
      </c>
      <c r="E489" s="6" t="s">
        <v>137</v>
      </c>
      <c r="F489" s="133" t="s">
        <v>99</v>
      </c>
      <c r="G489" s="133" t="s">
        <v>100</v>
      </c>
      <c r="H489" s="133" t="s">
        <v>101</v>
      </c>
      <c r="I489" s="133" t="s">
        <v>22</v>
      </c>
      <c r="J489" s="135" t="s">
        <v>23</v>
      </c>
      <c r="K489" s="135" t="s">
        <v>24</v>
      </c>
      <c r="L489" s="6" t="s">
        <v>136</v>
      </c>
      <c r="M489" s="93">
        <v>28</v>
      </c>
      <c r="N489" s="93">
        <v>61</v>
      </c>
      <c r="O489" s="6">
        <v>2</v>
      </c>
      <c r="P489" s="129">
        <v>3</v>
      </c>
      <c r="Q489" s="6">
        <v>0</v>
      </c>
      <c r="R489" s="98">
        <v>0.50029999999999997</v>
      </c>
      <c r="S489" s="94">
        <f>((Table3.110[[#This Row],[Sample weight, g]]*'2.1. DM'!Q81)/100)*1000</f>
        <v>471.58709686819759</v>
      </c>
      <c r="T489" s="94">
        <f>'3.2 Digest'!W489</f>
        <v>234.18709686819753</v>
      </c>
      <c r="U489" s="153">
        <v>0.33402777777777776</v>
      </c>
      <c r="V489" s="154">
        <v>41</v>
      </c>
      <c r="W489" s="153">
        <v>0.66527777777777775</v>
      </c>
      <c r="X489" s="91">
        <v>78.5</v>
      </c>
      <c r="Y489" s="91">
        <v>12.3</v>
      </c>
      <c r="Z489" s="154">
        <v>40</v>
      </c>
      <c r="AA489" s="153">
        <v>0.36875000000000002</v>
      </c>
      <c r="AB489" s="154">
        <v>74</v>
      </c>
      <c r="AC489" s="154">
        <v>15.3</v>
      </c>
      <c r="AD489" s="91"/>
      <c r="AE489" s="94">
        <f>Table3.110[[#This Row],[Gas 8h, ml]]-Table3.110[[#This Row],[Gas 0h, ml]]</f>
        <v>37.5</v>
      </c>
      <c r="AF489" s="94">
        <f>Table3.110[[#This Row],[Gas 24h, ml]]-Table3.110[[#This Row],[V8 Push back, ml]]</f>
        <v>34</v>
      </c>
      <c r="AG489" s="94">
        <f>Table3.110[[#This Row],[GP 8h, ml]]-(AVERAGE(AE$479,AE$480,AE$660,AE$661,AE$662,AE$663))*AG$8</f>
        <v>34.107474101643646</v>
      </c>
      <c r="AH489" s="94">
        <f>Table3.110[[#This Row],[GP 8-24h, ml]]-(AVERAGE(AF$479,AF$480,AF$660,AF$661,AF$662,AF$663))*AG$8</f>
        <v>29.685592064046812</v>
      </c>
      <c r="AI489" s="94">
        <f>Table3.110[[#This Row],[Net gas 8-24h, ml]]+Table3.110[[#This Row],[Net gas 8h, ml]]</f>
        <v>63.793066165690462</v>
      </c>
      <c r="AJ489" s="94">
        <f>Table3.110[[#This Row],[Net gas 8h, ml]]*Table3.110[[#This Row],[CH4 8h %]]%</f>
        <v>4.195219314502169</v>
      </c>
      <c r="AK489" s="94">
        <f>Table3.110[[#This Row],[Net gas 8-24h, ml]]*Table3.110[[#This Row],[CH4 24h, %]]%</f>
        <v>4.5418955857991623</v>
      </c>
      <c r="AL489" s="94">
        <f>Table3.110[[#This Row],[CH4 8-24h, ml]]+Table3.110[[#This Row],[CH4 8h, ml]]</f>
        <v>8.7371149003013322</v>
      </c>
      <c r="AM489" s="94">
        <f>(Table3.110[[#This Row],[Net gas 24h, ml]]/Table3.110[[#This Row],[DM Incubated, mg]])*1000</f>
        <v>135.27313743174741</v>
      </c>
      <c r="AN489" s="94">
        <f>'3.2 Digest'!X489</f>
        <v>49.659352094964071</v>
      </c>
      <c r="AO489" s="94">
        <f>Table3.110[[#This Row],[Digested feed, mg]]/Table3.110[[#This Row],[Net gas 24h, ml]]</f>
        <v>3.6710431234006013</v>
      </c>
      <c r="AP489" s="94">
        <f>Table3.110[[#This Row],[CH4 8h, ml]]/Table3.110[[#This Row],[Net gas 8h, ml]]%</f>
        <v>12.3</v>
      </c>
      <c r="AQ489" s="94">
        <f>Table3.110[[#This Row],[CH4 24h, ml]]/Table3.110[[#This Row],[Net gas 24h, ml]]%</f>
        <v>13.696025956188285</v>
      </c>
      <c r="AR489" s="94">
        <f>Table3.110[[#This Row],[CH4 24h, ml]]/Table3.110[[#This Row],[DM Incubated, mg]]*1000</f>
        <v>18.527044014402374</v>
      </c>
      <c r="AS489" s="94">
        <f>Table3.110[[#This Row],[CH4 24h, ml]]/Table3.110[[#This Row],[Digested feed, mg]]*1000</f>
        <v>37.308267693410343</v>
      </c>
      <c r="AT489" s="94">
        <f>Table3.110[[#This Row],[CH4 24h, ml]]/'3.2 Digest'!AA489</f>
        <v>-0.94670245091441507</v>
      </c>
      <c r="AU489" s="94">
        <f>((Table3.110[[#This Row],[CH4 24h, ml]]/28.9)*16.04)/Table3.110[[#This Row],[DM Incubated, mg]]*1000</f>
        <v>10.282829965086993</v>
      </c>
      <c r="AV489" s="94">
        <f>((Table3.110[[#This Row],[CH4 24h, ml]]/28.9)*16.04)/Table3.110[[#This Row],[Digested feed, mg]]*1000</f>
        <v>20.706734041602143</v>
      </c>
    </row>
    <row r="490" spans="2:48" s="89" customFormat="1" x14ac:dyDescent="0.35">
      <c r="B490" s="90">
        <f t="shared" si="7"/>
        <v>480</v>
      </c>
      <c r="C490" s="140">
        <v>46050</v>
      </c>
      <c r="D490" s="6" t="s">
        <v>16</v>
      </c>
      <c r="E490" s="6" t="s">
        <v>139</v>
      </c>
      <c r="F490" s="133" t="s">
        <v>79</v>
      </c>
      <c r="G490" s="133" t="s">
        <v>80</v>
      </c>
      <c r="H490" s="133" t="s">
        <v>81</v>
      </c>
      <c r="I490" s="133" t="s">
        <v>22</v>
      </c>
      <c r="J490" s="135" t="s">
        <v>23</v>
      </c>
      <c r="K490" s="135" t="s">
        <v>24</v>
      </c>
      <c r="L490" s="6" t="s">
        <v>138</v>
      </c>
      <c r="M490" s="93">
        <v>28</v>
      </c>
      <c r="N490" s="93">
        <v>61</v>
      </c>
      <c r="O490" s="6">
        <v>2</v>
      </c>
      <c r="P490" s="129">
        <v>1</v>
      </c>
      <c r="Q490" s="6">
        <v>0</v>
      </c>
      <c r="R490" s="98">
        <v>0.5</v>
      </c>
      <c r="S490" s="94">
        <f>((Table3.110[[#This Row],[Sample weight, g]]*'2.1. DM'!Q83)/100)*1000</f>
        <v>466.93826184978116</v>
      </c>
      <c r="T490" s="94">
        <f>'3.2 Digest'!W490</f>
        <v>289.63826184978114</v>
      </c>
      <c r="U490" s="117">
        <v>0.3347222222222222</v>
      </c>
      <c r="V490" s="155">
        <v>40</v>
      </c>
      <c r="W490" s="117">
        <v>0.66597222222222219</v>
      </c>
      <c r="X490" s="96">
        <v>59.5</v>
      </c>
      <c r="Y490" s="96">
        <v>9.1</v>
      </c>
      <c r="Z490" s="155">
        <v>39.5</v>
      </c>
      <c r="AA490" s="117">
        <v>0.36875000000000002</v>
      </c>
      <c r="AB490" s="155">
        <v>57</v>
      </c>
      <c r="AC490" s="155">
        <v>5.7</v>
      </c>
      <c r="AD490" s="96" t="s">
        <v>566</v>
      </c>
      <c r="AE490" s="94">
        <f>Table3.110[[#This Row],[Gas 8h, ml]]-Table3.110[[#This Row],[Gas 0h, ml]]</f>
        <v>19.5</v>
      </c>
      <c r="AF490" s="94">
        <f>Table3.110[[#This Row],[Gas 24h, ml]]-Table3.110[[#This Row],[V8 Push back, ml]]</f>
        <v>17.5</v>
      </c>
      <c r="AG490" s="94">
        <f>Table3.110[[#This Row],[GP 8h, ml]]-(AVERAGE(AE$479,AE$480,AE$660,AE$661,AE$662,AE$663))*AG$8</f>
        <v>16.107474101643646</v>
      </c>
      <c r="AH490" s="94">
        <f>Table3.110[[#This Row],[GP 8-24h, ml]]-(AVERAGE(AF$479,AF$480,AF$660,AF$661,AF$662,AF$663))*AG$8</f>
        <v>13.185592064046812</v>
      </c>
      <c r="AI490" s="94">
        <f>Table3.110[[#This Row],[Net gas 8-24h, ml]]+Table3.110[[#This Row],[Net gas 8h, ml]]</f>
        <v>29.293066165690458</v>
      </c>
      <c r="AJ490" s="94">
        <f>Table3.110[[#This Row],[Net gas 8h, ml]]*Table3.110[[#This Row],[CH4 8h %]]%</f>
        <v>1.4657801432495718</v>
      </c>
      <c r="AK490" s="94">
        <f>Table3.110[[#This Row],[Net gas 8-24h, ml]]*Table3.110[[#This Row],[CH4 24h, %]]%</f>
        <v>0.75157874765066834</v>
      </c>
      <c r="AL490" s="94">
        <f>Table3.110[[#This Row],[CH4 8-24h, ml]]+Table3.110[[#This Row],[CH4 8h, ml]]</f>
        <v>2.2173588909002402</v>
      </c>
      <c r="AM490" s="94">
        <f>(Table3.110[[#This Row],[Net gas 24h, ml]]/Table3.110[[#This Row],[DM Incubated, mg]])*1000</f>
        <v>62.734345327893351</v>
      </c>
      <c r="AN490" s="94">
        <f>'3.2 Digest'!X490</f>
        <v>62.029241446690598</v>
      </c>
      <c r="AO490" s="94">
        <f>Table3.110[[#This Row],[Digested feed, mg]]/Table3.110[[#This Row],[Net gas 24h, ml]]</f>
        <v>9.8876048076189562</v>
      </c>
      <c r="AP490" s="94">
        <f>Table3.110[[#This Row],[CH4 8h, ml]]/Table3.110[[#This Row],[Net gas 8h, ml]]%</f>
        <v>9.1000000000000014</v>
      </c>
      <c r="AQ490" s="94">
        <f>Table3.110[[#This Row],[CH4 24h, ml]]/Table3.110[[#This Row],[Net gas 24h, ml]]%</f>
        <v>7.5695691204129556</v>
      </c>
      <c r="AR490" s="94">
        <f>Table3.110[[#This Row],[CH4 24h, ml]]/Table3.110[[#This Row],[DM Incubated, mg]]*1000</f>
        <v>4.7487196318334428</v>
      </c>
      <c r="AS490" s="94">
        <f>Table3.110[[#This Row],[CH4 24h, ml]]/Table3.110[[#This Row],[Digested feed, mg]]*1000</f>
        <v>7.6556145473979464</v>
      </c>
      <c r="AT490" s="94">
        <f>Table3.110[[#This Row],[CH4 24h, ml]]/'3.2 Digest'!AA490</f>
        <v>8.0300958812827769E-2</v>
      </c>
      <c r="AU490" s="94">
        <f>((Table3.110[[#This Row],[CH4 24h, ml]]/28.9)*16.04)/Table3.110[[#This Row],[DM Incubated, mg]]*1000</f>
        <v>2.6356215534466578</v>
      </c>
      <c r="AV490" s="94">
        <f>((Table3.110[[#This Row],[CH4 24h, ml]]/28.9)*16.04)/Table3.110[[#This Row],[Digested feed, mg]]*1000</f>
        <v>4.2489985238845351</v>
      </c>
    </row>
    <row r="491" spans="2:48" s="89" customFormat="1" x14ac:dyDescent="0.35">
      <c r="B491" s="90">
        <f t="shared" si="7"/>
        <v>481</v>
      </c>
      <c r="C491" s="140">
        <v>46050</v>
      </c>
      <c r="D491" s="6" t="s">
        <v>16</v>
      </c>
      <c r="E491" s="6" t="s">
        <v>139</v>
      </c>
      <c r="F491" s="133" t="s">
        <v>79</v>
      </c>
      <c r="G491" s="133" t="s">
        <v>80</v>
      </c>
      <c r="H491" s="133" t="s">
        <v>81</v>
      </c>
      <c r="I491" s="133" t="s">
        <v>22</v>
      </c>
      <c r="J491" s="135" t="s">
        <v>23</v>
      </c>
      <c r="K491" s="135" t="s">
        <v>24</v>
      </c>
      <c r="L491" s="6" t="s">
        <v>138</v>
      </c>
      <c r="M491" s="93">
        <v>28</v>
      </c>
      <c r="N491" s="93">
        <v>61</v>
      </c>
      <c r="O491" s="6">
        <v>2</v>
      </c>
      <c r="P491" s="6">
        <v>2</v>
      </c>
      <c r="Q491" s="6">
        <v>0</v>
      </c>
      <c r="R491" s="98">
        <v>0.50019999999999998</v>
      </c>
      <c r="S491" s="94">
        <f>((Table3.110[[#This Row],[Sample weight, g]]*'2.1. DM'!Q83)/100)*1000</f>
        <v>467.12503715452101</v>
      </c>
      <c r="T491" s="94">
        <f>'3.2 Digest'!W491</f>
        <v>283.22503715452092</v>
      </c>
      <c r="U491" s="153">
        <v>0.3347222222222222</v>
      </c>
      <c r="V491" s="154">
        <v>40</v>
      </c>
      <c r="W491" s="153">
        <v>0.66597222222222219</v>
      </c>
      <c r="X491" s="91">
        <v>60.5</v>
      </c>
      <c r="Y491" s="91">
        <v>7.9</v>
      </c>
      <c r="Z491" s="154">
        <v>39.5</v>
      </c>
      <c r="AA491" s="153">
        <v>0.36944444444444446</v>
      </c>
      <c r="AB491" s="154">
        <v>55.5</v>
      </c>
      <c r="AC491" s="154">
        <v>2.2000000000000002</v>
      </c>
      <c r="AD491" s="91"/>
      <c r="AE491" s="94">
        <f>Table3.110[[#This Row],[Gas 8h, ml]]-Table3.110[[#This Row],[Gas 0h, ml]]</f>
        <v>20.5</v>
      </c>
      <c r="AF491" s="94">
        <f>Table3.110[[#This Row],[Gas 24h, ml]]-Table3.110[[#This Row],[V8 Push back, ml]]</f>
        <v>16</v>
      </c>
      <c r="AG491" s="94">
        <f>Table3.110[[#This Row],[GP 8h, ml]]-(AVERAGE(AE$479,AE$480,AE$660,AE$661,AE$662,AE$663))*AG$8</f>
        <v>17.107474101643646</v>
      </c>
      <c r="AH491" s="94">
        <f>Table3.110[[#This Row],[GP 8-24h, ml]]-(AVERAGE(AF$479,AF$480,AF$660,AF$661,AF$662,AF$663))*AG$8</f>
        <v>11.685592064046812</v>
      </c>
      <c r="AI491" s="94">
        <f>Table3.110[[#This Row],[Net gas 8-24h, ml]]+Table3.110[[#This Row],[Net gas 8h, ml]]</f>
        <v>28.793066165690458</v>
      </c>
      <c r="AJ491" s="94">
        <f>Table3.110[[#This Row],[Net gas 8h, ml]]*Table3.110[[#This Row],[CH4 8h %]]%</f>
        <v>1.351490454029848</v>
      </c>
      <c r="AK491" s="94">
        <f>Table3.110[[#This Row],[Net gas 8-24h, ml]]*Table3.110[[#This Row],[CH4 24h, %]]%</f>
        <v>0.25708302540902989</v>
      </c>
      <c r="AL491" s="94">
        <f>Table3.110[[#This Row],[CH4 8-24h, ml]]+Table3.110[[#This Row],[CH4 8h, ml]]</f>
        <v>1.608573479438878</v>
      </c>
      <c r="AM491" s="94">
        <f>(Table3.110[[#This Row],[Net gas 24h, ml]]/Table3.110[[#This Row],[DM Incubated, mg]])*1000</f>
        <v>61.638884400379418</v>
      </c>
      <c r="AN491" s="94">
        <f>'3.2 Digest'!X491</f>
        <v>60.63152574303836</v>
      </c>
      <c r="AO491" s="94">
        <f>Table3.110[[#This Row],[Digested feed, mg]]/Table3.110[[#This Row],[Net gas 24h, ml]]</f>
        <v>9.8365709134516965</v>
      </c>
      <c r="AP491" s="94">
        <f>Table3.110[[#This Row],[CH4 8h, ml]]/Table3.110[[#This Row],[Net gas 8h, ml]]%</f>
        <v>7.8999999999999995</v>
      </c>
      <c r="AQ491" s="94">
        <f>Table3.110[[#This Row],[CH4 24h, ml]]/Table3.110[[#This Row],[Net gas 24h, ml]]%</f>
        <v>5.5866696175471535</v>
      </c>
      <c r="AR491" s="94">
        <f>Table3.110[[#This Row],[CH4 24h, ml]]/Table3.110[[#This Row],[DM Incubated, mg]]*1000</f>
        <v>3.4435608273910088</v>
      </c>
      <c r="AS491" s="94">
        <f>Table3.110[[#This Row],[CH4 24h, ml]]/Table3.110[[#This Row],[Digested feed, mg]]*1000</f>
        <v>5.6794889872722596</v>
      </c>
      <c r="AT491" s="94">
        <f>Table3.110[[#This Row],[CH4 24h, ml]]/'3.2 Digest'!AA491</f>
        <v>6.4475703825731173E-2</v>
      </c>
      <c r="AU491" s="94">
        <f>((Table3.110[[#This Row],[CH4 24h, ml]]/28.9)*16.04)/Table3.110[[#This Row],[DM Incubated, mg]]*1000</f>
        <v>1.9112358363789541</v>
      </c>
      <c r="AV491" s="94">
        <f>((Table3.110[[#This Row],[CH4 24h, ml]]/28.9)*16.04)/Table3.110[[#This Row],[Digested feed, mg]]*1000</f>
        <v>3.1522146489912464</v>
      </c>
    </row>
    <row r="492" spans="2:48" s="89" customFormat="1" x14ac:dyDescent="0.35">
      <c r="B492" s="90">
        <f t="shared" si="7"/>
        <v>482</v>
      </c>
      <c r="C492" s="140">
        <v>46050</v>
      </c>
      <c r="D492" s="6" t="s">
        <v>16</v>
      </c>
      <c r="E492" s="6" t="s">
        <v>139</v>
      </c>
      <c r="F492" s="133" t="s">
        <v>79</v>
      </c>
      <c r="G492" s="133" t="s">
        <v>80</v>
      </c>
      <c r="H492" s="133" t="s">
        <v>81</v>
      </c>
      <c r="I492" s="133" t="s">
        <v>22</v>
      </c>
      <c r="J492" s="135" t="s">
        <v>23</v>
      </c>
      <c r="K492" s="135" t="s">
        <v>24</v>
      </c>
      <c r="L492" s="6" t="s">
        <v>138</v>
      </c>
      <c r="M492" s="93">
        <v>28</v>
      </c>
      <c r="N492" s="93">
        <v>61</v>
      </c>
      <c r="O492" s="6">
        <v>2</v>
      </c>
      <c r="P492" s="129">
        <v>3</v>
      </c>
      <c r="Q492" s="6">
        <v>0</v>
      </c>
      <c r="R492" s="98">
        <v>0.50029999999999997</v>
      </c>
      <c r="S492" s="94">
        <f>((Table3.110[[#This Row],[Sample weight, g]]*'2.1. DM'!Q83)/100)*1000</f>
        <v>467.21842480689094</v>
      </c>
      <c r="T492" s="94">
        <f>'3.2 Digest'!W492</f>
        <v>270.21842480689099</v>
      </c>
      <c r="U492" s="117">
        <v>0.3347222222222222</v>
      </c>
      <c r="V492" s="155">
        <v>41</v>
      </c>
      <c r="W492" s="117">
        <v>0.66666666666666663</v>
      </c>
      <c r="X492" s="96">
        <v>59.5</v>
      </c>
      <c r="Y492" s="96">
        <v>8.4</v>
      </c>
      <c r="Z492" s="155">
        <v>40</v>
      </c>
      <c r="AA492" s="117">
        <v>0.36944444444444446</v>
      </c>
      <c r="AB492" s="155">
        <v>56.5</v>
      </c>
      <c r="AC492" s="155">
        <v>1.1000000000000001</v>
      </c>
      <c r="AD492" s="96"/>
      <c r="AE492" s="94">
        <f>Table3.110[[#This Row],[Gas 8h, ml]]-Table3.110[[#This Row],[Gas 0h, ml]]</f>
        <v>18.5</v>
      </c>
      <c r="AF492" s="94">
        <f>Table3.110[[#This Row],[Gas 24h, ml]]-Table3.110[[#This Row],[V8 Push back, ml]]</f>
        <v>16.5</v>
      </c>
      <c r="AG492" s="94">
        <f>Table3.110[[#This Row],[GP 8h, ml]]-(AVERAGE(AE$479,AE$480,AE$660,AE$661,AE$662,AE$663))*AG$8</f>
        <v>15.107474101643646</v>
      </c>
      <c r="AH492" s="94">
        <f>Table3.110[[#This Row],[GP 8-24h, ml]]-(AVERAGE(AF$479,AF$480,AF$660,AF$661,AF$662,AF$663))*AG$8</f>
        <v>12.185592064046812</v>
      </c>
      <c r="AI492" s="94">
        <f>Table3.110[[#This Row],[Net gas 8-24h, ml]]+Table3.110[[#This Row],[Net gas 8h, ml]]</f>
        <v>27.293066165690458</v>
      </c>
      <c r="AJ492" s="94">
        <f>Table3.110[[#This Row],[Net gas 8h, ml]]*Table3.110[[#This Row],[CH4 8h %]]%</f>
        <v>1.2690278245380664</v>
      </c>
      <c r="AK492" s="94">
        <f>Table3.110[[#This Row],[Net gas 8-24h, ml]]*Table3.110[[#This Row],[CH4 24h, %]]%</f>
        <v>0.13404151270451495</v>
      </c>
      <c r="AL492" s="94">
        <f>Table3.110[[#This Row],[CH4 8-24h, ml]]+Table3.110[[#This Row],[CH4 8h, ml]]</f>
        <v>1.4030693372425813</v>
      </c>
      <c r="AM492" s="94">
        <f>(Table3.110[[#This Row],[Net gas 24h, ml]]/Table3.110[[#This Row],[DM Incubated, mg]])*1000</f>
        <v>58.41607418836518</v>
      </c>
      <c r="AN492" s="94">
        <f>'3.2 Digest'!X492</f>
        <v>57.835566933940306</v>
      </c>
      <c r="AO492" s="94">
        <f>Table3.110[[#This Row],[Digested feed, mg]]/Table3.110[[#This Row],[Net gas 24h, ml]]</f>
        <v>9.9006254250237706</v>
      </c>
      <c r="AP492" s="94">
        <f>Table3.110[[#This Row],[CH4 8h, ml]]/Table3.110[[#This Row],[Net gas 8h, ml]]%</f>
        <v>8.4</v>
      </c>
      <c r="AQ492" s="94">
        <f>Table3.110[[#This Row],[CH4 24h, ml]]/Table3.110[[#This Row],[Net gas 24h, ml]]%</f>
        <v>5.1407538043722996</v>
      </c>
      <c r="AR492" s="94">
        <f>Table3.110[[#This Row],[CH4 24h, ml]]/Table3.110[[#This Row],[DM Incubated, mg]]*1000</f>
        <v>3.003026556203328</v>
      </c>
      <c r="AS492" s="94">
        <f>Table3.110[[#This Row],[CH4 24h, ml]]/Table3.110[[#This Row],[Digested feed, mg]]*1000</f>
        <v>5.1923525875234873</v>
      </c>
      <c r="AT492" s="94">
        <f>Table3.110[[#This Row],[CH4 24h, ml]]/'3.2 Digest'!AA492</f>
        <v>7.1518224774412442E-2</v>
      </c>
      <c r="AU492" s="94">
        <f>((Table3.110[[#This Row],[CH4 24h, ml]]/28.9)*16.04)/Table3.110[[#This Row],[DM Incubated, mg]]*1000</f>
        <v>1.6667316941695982</v>
      </c>
      <c r="AV492" s="94">
        <f>((Table3.110[[#This Row],[CH4 24h, ml]]/28.9)*16.04)/Table3.110[[#This Row],[Digested feed, mg]]*1000</f>
        <v>2.8818455191652852</v>
      </c>
    </row>
    <row r="493" spans="2:48" s="89" customFormat="1" x14ac:dyDescent="0.35">
      <c r="B493" s="90">
        <f t="shared" si="7"/>
        <v>483</v>
      </c>
      <c r="C493" s="140">
        <v>46050</v>
      </c>
      <c r="D493" s="6" t="s">
        <v>16</v>
      </c>
      <c r="E493" s="6" t="s">
        <v>141</v>
      </c>
      <c r="F493" s="133" t="s">
        <v>142</v>
      </c>
      <c r="G493" s="133" t="s">
        <v>143</v>
      </c>
      <c r="H493" s="133" t="s">
        <v>144</v>
      </c>
      <c r="I493" s="133" t="s">
        <v>22</v>
      </c>
      <c r="J493" s="135" t="s">
        <v>23</v>
      </c>
      <c r="K493" s="135" t="s">
        <v>24</v>
      </c>
      <c r="L493" s="6" t="s">
        <v>140</v>
      </c>
      <c r="M493" s="93">
        <v>28</v>
      </c>
      <c r="N493" s="93">
        <v>61</v>
      </c>
      <c r="O493" s="6">
        <v>2</v>
      </c>
      <c r="P493" s="129">
        <v>1</v>
      </c>
      <c r="Q493" s="6">
        <v>0</v>
      </c>
      <c r="R493" s="98">
        <v>0.50019999999999998</v>
      </c>
      <c r="S493" s="94">
        <f>((Table3.110[[#This Row],[Sample weight, g]]*'2.1. DM'!Q85)/100)*1000</f>
        <v>466.22336845168195</v>
      </c>
      <c r="T493" s="94">
        <f>'3.2 Digest'!W493</f>
        <v>211.12336845168196</v>
      </c>
      <c r="U493" s="153">
        <v>0.33541666666666664</v>
      </c>
      <c r="V493" s="154">
        <v>41</v>
      </c>
      <c r="W493" s="153">
        <v>0.66666666666666663</v>
      </c>
      <c r="X493" s="91">
        <v>87</v>
      </c>
      <c r="Y493" s="91">
        <v>14.2</v>
      </c>
      <c r="Z493" s="154">
        <v>40</v>
      </c>
      <c r="AA493" s="153">
        <v>0.37013888888888891</v>
      </c>
      <c r="AB493" s="154">
        <v>81.599999999999994</v>
      </c>
      <c r="AC493" s="154">
        <v>17.8</v>
      </c>
      <c r="AD493" s="91"/>
      <c r="AE493" s="94">
        <f>Table3.110[[#This Row],[Gas 8h, ml]]-Table3.110[[#This Row],[Gas 0h, ml]]</f>
        <v>46</v>
      </c>
      <c r="AF493" s="94">
        <f>Table3.110[[#This Row],[Gas 24h, ml]]-Table3.110[[#This Row],[V8 Push back, ml]]</f>
        <v>41.599999999999994</v>
      </c>
      <c r="AG493" s="94">
        <f>Table3.110[[#This Row],[GP 8h, ml]]-(AVERAGE(AE$479,AE$480,AE$660,AE$661,AE$662,AE$663))*AG$8</f>
        <v>42.607474101643646</v>
      </c>
      <c r="AH493" s="94">
        <f>Table3.110[[#This Row],[GP 8-24h, ml]]-(AVERAGE(AF$479,AF$480,AF$660,AF$661,AF$662,AF$663))*AG$8</f>
        <v>37.28559206404681</v>
      </c>
      <c r="AI493" s="94">
        <f>Table3.110[[#This Row],[Net gas 8-24h, ml]]+Table3.110[[#This Row],[Net gas 8h, ml]]</f>
        <v>79.893066165690456</v>
      </c>
      <c r="AJ493" s="94">
        <f>Table3.110[[#This Row],[Net gas 8h, ml]]*Table3.110[[#This Row],[CH4 8h %]]%</f>
        <v>6.0502613224333972</v>
      </c>
      <c r="AK493" s="94">
        <f>Table3.110[[#This Row],[Net gas 8-24h, ml]]*Table3.110[[#This Row],[CH4 24h, %]]%</f>
        <v>6.6368353874003327</v>
      </c>
      <c r="AL493" s="94">
        <f>Table3.110[[#This Row],[CH4 8-24h, ml]]+Table3.110[[#This Row],[CH4 8h, ml]]</f>
        <v>12.68709670983373</v>
      </c>
      <c r="AM493" s="94">
        <f>(Table3.110[[#This Row],[Net gas 24h, ml]]/Table3.110[[#This Row],[DM Incubated, mg]])*1000</f>
        <v>171.36220870054981</v>
      </c>
      <c r="AN493" s="94">
        <f>'3.2 Digest'!X493</f>
        <v>45.283737954366856</v>
      </c>
      <c r="AO493" s="94">
        <f>Table3.110[[#This Row],[Digested feed, mg]]/Table3.110[[#This Row],[Net gas 24h, ml]]</f>
        <v>2.6425743632599179</v>
      </c>
      <c r="AP493" s="94">
        <f>Table3.110[[#This Row],[CH4 8h, ml]]/Table3.110[[#This Row],[Net gas 8h, ml]]%</f>
        <v>14.2</v>
      </c>
      <c r="AQ493" s="94">
        <f>Table3.110[[#This Row],[CH4 24h, ml]]/Table3.110[[#This Row],[Net gas 24h, ml]]%</f>
        <v>15.880097383572593</v>
      </c>
      <c r="AR493" s="94">
        <f>Table3.110[[#This Row],[CH4 24h, ml]]/Table3.110[[#This Row],[DM Incubated, mg]]*1000</f>
        <v>27.21248562028822</v>
      </c>
      <c r="AS493" s="94">
        <f>Table3.110[[#This Row],[CH4 24h, ml]]/Table3.110[[#This Row],[Digested feed, mg]]*1000</f>
        <v>60.093284807253916</v>
      </c>
      <c r="AT493" s="94">
        <f>Table3.110[[#This Row],[CH4 24h, ml]]/'3.2 Digest'!AA493</f>
        <v>7.1498050766340828</v>
      </c>
      <c r="AU493" s="94">
        <f>((Table3.110[[#This Row],[CH4 24h, ml]]/28.9)*16.04)/Table3.110[[#This Row],[DM Incubated, mg]]*1000</f>
        <v>15.103400323509446</v>
      </c>
      <c r="AV493" s="94">
        <f>((Table3.110[[#This Row],[CH4 24h, ml]]/28.9)*16.04)/Table3.110[[#This Row],[Digested feed, mg]]*1000</f>
        <v>33.352812744233667</v>
      </c>
    </row>
    <row r="494" spans="2:48" s="89" customFormat="1" x14ac:dyDescent="0.35">
      <c r="B494" s="90">
        <f t="shared" si="7"/>
        <v>484</v>
      </c>
      <c r="C494" s="140">
        <v>46050</v>
      </c>
      <c r="D494" s="6" t="s">
        <v>16</v>
      </c>
      <c r="E494" s="6" t="s">
        <v>141</v>
      </c>
      <c r="F494" s="133" t="s">
        <v>142</v>
      </c>
      <c r="G494" s="133" t="s">
        <v>143</v>
      </c>
      <c r="H494" s="133" t="s">
        <v>144</v>
      </c>
      <c r="I494" s="133" t="s">
        <v>22</v>
      </c>
      <c r="J494" s="135" t="s">
        <v>23</v>
      </c>
      <c r="K494" s="135" t="s">
        <v>24</v>
      </c>
      <c r="L494" s="6" t="s">
        <v>140</v>
      </c>
      <c r="M494" s="93">
        <v>28</v>
      </c>
      <c r="N494" s="93">
        <v>61</v>
      </c>
      <c r="O494" s="6">
        <v>2</v>
      </c>
      <c r="P494" s="6">
        <v>2</v>
      </c>
      <c r="Q494" s="6">
        <v>0</v>
      </c>
      <c r="R494" s="98">
        <v>0.50009999999999999</v>
      </c>
      <c r="S494" s="94">
        <f>((Table3.110[[#This Row],[Sample weight, g]]*'2.1. DM'!Q85)/100)*1000</f>
        <v>466.1301610609479</v>
      </c>
      <c r="T494" s="94">
        <f>'3.2 Digest'!W494</f>
        <v>243.63016106094798</v>
      </c>
      <c r="U494" s="117">
        <v>0.33611111111111114</v>
      </c>
      <c r="V494" s="155">
        <v>40.5</v>
      </c>
      <c r="W494" s="117">
        <v>0.66736111111111107</v>
      </c>
      <c r="X494" s="96">
        <v>85.5</v>
      </c>
      <c r="Y494" s="96">
        <v>15.1</v>
      </c>
      <c r="Z494" s="155">
        <v>40</v>
      </c>
      <c r="AA494" s="117">
        <v>0.37013888888888891</v>
      </c>
      <c r="AB494" s="155">
        <v>82.5</v>
      </c>
      <c r="AC494" s="155">
        <v>18.899999999999999</v>
      </c>
      <c r="AD494" s="96" t="s">
        <v>559</v>
      </c>
      <c r="AE494" s="94">
        <f>Table3.110[[#This Row],[Gas 8h, ml]]-Table3.110[[#This Row],[Gas 0h, ml]]</f>
        <v>45</v>
      </c>
      <c r="AF494" s="94">
        <f>Table3.110[[#This Row],[Gas 24h, ml]]-Table3.110[[#This Row],[V8 Push back, ml]]</f>
        <v>42.5</v>
      </c>
      <c r="AG494" s="94">
        <f>Table3.110[[#This Row],[GP 8h, ml]]-(AVERAGE(AE$479,AE$480,AE$660,AE$661,AE$662,AE$663))*AG$8</f>
        <v>41.607474101643646</v>
      </c>
      <c r="AH494" s="94">
        <f>Table3.110[[#This Row],[GP 8-24h, ml]]-(AVERAGE(AF$479,AF$480,AF$660,AF$661,AF$662,AF$663))*AG$8</f>
        <v>38.185592064046816</v>
      </c>
      <c r="AI494" s="94">
        <f>Table3.110[[#This Row],[Net gas 8-24h, ml]]+Table3.110[[#This Row],[Net gas 8h, ml]]</f>
        <v>79.793066165690462</v>
      </c>
      <c r="AJ494" s="94">
        <f>Table3.110[[#This Row],[Net gas 8h, ml]]*Table3.110[[#This Row],[CH4 8h %]]%</f>
        <v>6.2827285893481903</v>
      </c>
      <c r="AK494" s="94">
        <f>Table3.110[[#This Row],[Net gas 8-24h, ml]]*Table3.110[[#This Row],[CH4 24h, %]]%</f>
        <v>7.2170769001048471</v>
      </c>
      <c r="AL494" s="94">
        <f>Table3.110[[#This Row],[CH4 8-24h, ml]]+Table3.110[[#This Row],[CH4 8h, ml]]</f>
        <v>13.499805489453038</v>
      </c>
      <c r="AM494" s="94">
        <f>(Table3.110[[#This Row],[Net gas 24h, ml]]/Table3.110[[#This Row],[DM Incubated, mg]])*1000</f>
        <v>171.18194193672286</v>
      </c>
      <c r="AN494" s="94">
        <f>'3.2 Digest'!X494</f>
        <v>52.266551580019424</v>
      </c>
      <c r="AO494" s="94">
        <f>Table3.110[[#This Row],[Digested feed, mg]]/Table3.110[[#This Row],[Net gas 24h, ml]]</f>
        <v>3.0532748366261484</v>
      </c>
      <c r="AP494" s="94">
        <f>Table3.110[[#This Row],[CH4 8h, ml]]/Table3.110[[#This Row],[Net gas 8h, ml]]%</f>
        <v>15.099999999999998</v>
      </c>
      <c r="AQ494" s="94">
        <f>Table3.110[[#This Row],[CH4 24h, ml]]/Table3.110[[#This Row],[Net gas 24h, ml]]%</f>
        <v>16.918519538302569</v>
      </c>
      <c r="AR494" s="94">
        <f>Table3.110[[#This Row],[CH4 24h, ml]]/Table3.110[[#This Row],[DM Incubated, mg]]*1000</f>
        <v>28.96145029261022</v>
      </c>
      <c r="AS494" s="94">
        <f>Table3.110[[#This Row],[CH4 24h, ml]]/Table3.110[[#This Row],[Digested feed, mg]]*1000</f>
        <v>55.411060070168588</v>
      </c>
      <c r="AT494" s="94">
        <f>Table3.110[[#This Row],[CH4 24h, ml]]/'3.2 Digest'!AA494</f>
        <v>0.9433909408227148</v>
      </c>
      <c r="AU494" s="94">
        <f>((Table3.110[[#This Row],[CH4 24h, ml]]/28.9)*16.04)/Table3.110[[#This Row],[DM Incubated, mg]]*1000</f>
        <v>16.074105975552524</v>
      </c>
      <c r="AV494" s="94">
        <f>((Table3.110[[#This Row],[CH4 24h, ml]]/28.9)*16.04)/Table3.110[[#This Row],[Digested feed, mg]]*1000</f>
        <v>30.754097007802912</v>
      </c>
    </row>
    <row r="495" spans="2:48" s="89" customFormat="1" x14ac:dyDescent="0.35">
      <c r="B495" s="90">
        <f t="shared" si="7"/>
        <v>485</v>
      </c>
      <c r="C495" s="140">
        <v>46050</v>
      </c>
      <c r="D495" s="6" t="s">
        <v>16</v>
      </c>
      <c r="E495" s="6" t="s">
        <v>141</v>
      </c>
      <c r="F495" s="133" t="s">
        <v>142</v>
      </c>
      <c r="G495" s="133" t="s">
        <v>143</v>
      </c>
      <c r="H495" s="133" t="s">
        <v>144</v>
      </c>
      <c r="I495" s="133" t="s">
        <v>22</v>
      </c>
      <c r="J495" s="135" t="s">
        <v>23</v>
      </c>
      <c r="K495" s="135" t="s">
        <v>24</v>
      </c>
      <c r="L495" s="6" t="s">
        <v>140</v>
      </c>
      <c r="M495" s="93">
        <v>28</v>
      </c>
      <c r="N495" s="93">
        <v>61</v>
      </c>
      <c r="O495" s="6">
        <v>2</v>
      </c>
      <c r="P495" s="129">
        <v>3</v>
      </c>
      <c r="Q495" s="6">
        <v>0</v>
      </c>
      <c r="R495" s="98">
        <v>0.50029999999999997</v>
      </c>
      <c r="S495" s="94">
        <f>((Table3.110[[#This Row],[Sample weight, g]]*'2.1. DM'!Q85)/100)*1000</f>
        <v>466.31657584241594</v>
      </c>
      <c r="T495" s="94">
        <f>'3.2 Digest'!W495</f>
        <v>192.11657584241595</v>
      </c>
      <c r="U495" s="153">
        <v>0.33611111111111114</v>
      </c>
      <c r="V495" s="154">
        <v>40.5</v>
      </c>
      <c r="W495" s="153">
        <v>0.66736111111111107</v>
      </c>
      <c r="X495" s="91">
        <v>86</v>
      </c>
      <c r="Y495" s="91">
        <v>14.7</v>
      </c>
      <c r="Z495" s="154">
        <v>40</v>
      </c>
      <c r="AA495" s="153">
        <v>0.37083333333333335</v>
      </c>
      <c r="AB495" s="154">
        <v>81.5</v>
      </c>
      <c r="AC495" s="154">
        <v>19.2</v>
      </c>
      <c r="AD495" s="91"/>
      <c r="AE495" s="94">
        <f>Table3.110[[#This Row],[Gas 8h, ml]]-Table3.110[[#This Row],[Gas 0h, ml]]</f>
        <v>45.5</v>
      </c>
      <c r="AF495" s="94">
        <f>Table3.110[[#This Row],[Gas 24h, ml]]-Table3.110[[#This Row],[V8 Push back, ml]]</f>
        <v>41.5</v>
      </c>
      <c r="AG495" s="94">
        <f>Table3.110[[#This Row],[GP 8h, ml]]-(AVERAGE(AE$479,AE$480,AE$660,AE$661,AE$662,AE$663))*AG$8</f>
        <v>42.107474101643646</v>
      </c>
      <c r="AH495" s="94">
        <f>Table3.110[[#This Row],[GP 8-24h, ml]]-(AVERAGE(AF$479,AF$480,AF$660,AF$661,AF$662,AF$663))*AG$8</f>
        <v>37.185592064046816</v>
      </c>
      <c r="AI495" s="94">
        <f>Table3.110[[#This Row],[Net gas 8-24h, ml]]+Table3.110[[#This Row],[Net gas 8h, ml]]</f>
        <v>79.293066165690462</v>
      </c>
      <c r="AJ495" s="94">
        <f>Table3.110[[#This Row],[Net gas 8h, ml]]*Table3.110[[#This Row],[CH4 8h %]]%</f>
        <v>6.1897986929416158</v>
      </c>
      <c r="AK495" s="94">
        <f>Table3.110[[#This Row],[Net gas 8-24h, ml]]*Table3.110[[#This Row],[CH4 24h, %]]%</f>
        <v>7.139633676296989</v>
      </c>
      <c r="AL495" s="94">
        <f>Table3.110[[#This Row],[CH4 8-24h, ml]]+Table3.110[[#This Row],[CH4 8h, ml]]</f>
        <v>13.329432369238605</v>
      </c>
      <c r="AM495" s="94">
        <f>(Table3.110[[#This Row],[Net gas 24h, ml]]/Table3.110[[#This Row],[DM Incubated, mg]])*1000</f>
        <v>170.04127726415251</v>
      </c>
      <c r="AN495" s="94">
        <f>'3.2 Digest'!X495</f>
        <v>41.198744757325251</v>
      </c>
      <c r="AO495" s="94">
        <f>Table3.110[[#This Row],[Digested feed, mg]]/Table3.110[[#This Row],[Net gas 24h, ml]]</f>
        <v>2.4228672837669052</v>
      </c>
      <c r="AP495" s="94">
        <f>Table3.110[[#This Row],[CH4 8h, ml]]/Table3.110[[#This Row],[Net gas 8h, ml]]%</f>
        <v>14.700000000000001</v>
      </c>
      <c r="AQ495" s="94">
        <f>Table3.110[[#This Row],[CH4 24h, ml]]/Table3.110[[#This Row],[Net gas 24h, ml]]%</f>
        <v>16.810337919567239</v>
      </c>
      <c r="AR495" s="94">
        <f>Table3.110[[#This Row],[CH4 24h, ml]]/Table3.110[[#This Row],[DM Incubated, mg]]*1000</f>
        <v>28.584513310852302</v>
      </c>
      <c r="AS495" s="94">
        <f>Table3.110[[#This Row],[CH4 24h, ml]]/Table3.110[[#This Row],[Digested feed, mg]]*1000</f>
        <v>69.382000542067232</v>
      </c>
      <c r="AT495" s="94">
        <f>Table3.110[[#This Row],[CH4 24h, ml]]/'3.2 Digest'!AA495</f>
        <v>-2.3978844769371439</v>
      </c>
      <c r="AU495" s="94">
        <f>((Table3.110[[#This Row],[CH4 24h, ml]]/28.9)*16.04)/Table3.110[[#This Row],[DM Incubated, mg]]*1000</f>
        <v>15.864899429275811</v>
      </c>
      <c r="AV495" s="94">
        <f>((Table3.110[[#This Row],[CH4 24h, ml]]/28.9)*16.04)/Table3.110[[#This Row],[Digested feed, mg]]*1000</f>
        <v>38.508210681479532</v>
      </c>
    </row>
    <row r="496" spans="2:48" s="89" customFormat="1" x14ac:dyDescent="0.35">
      <c r="B496" s="90">
        <f t="shared" si="7"/>
        <v>486</v>
      </c>
      <c r="C496" s="140">
        <v>46050</v>
      </c>
      <c r="D496" s="6" t="s">
        <v>16</v>
      </c>
      <c r="E496" s="6" t="s">
        <v>146</v>
      </c>
      <c r="F496" s="133" t="s">
        <v>88</v>
      </c>
      <c r="G496" s="133" t="s">
        <v>147</v>
      </c>
      <c r="H496" s="133" t="s">
        <v>148</v>
      </c>
      <c r="I496" s="133" t="s">
        <v>22</v>
      </c>
      <c r="J496" s="135" t="s">
        <v>23</v>
      </c>
      <c r="K496" s="135" t="s">
        <v>24</v>
      </c>
      <c r="L496" s="6" t="s">
        <v>145</v>
      </c>
      <c r="M496" s="93">
        <v>28</v>
      </c>
      <c r="N496" s="93">
        <v>61</v>
      </c>
      <c r="O496" s="6">
        <v>2</v>
      </c>
      <c r="P496" s="129">
        <v>1</v>
      </c>
      <c r="Q496" s="6">
        <v>0</v>
      </c>
      <c r="R496" s="98">
        <v>0.5</v>
      </c>
      <c r="S496" s="94">
        <f>((Table3.110[[#This Row],[Sample weight, g]]*'2.1. DM'!Q87)/100)*1000</f>
        <v>469.86058560401869</v>
      </c>
      <c r="T496" s="94">
        <f>'3.2 Digest'!W496</f>
        <v>17.160585604018706</v>
      </c>
      <c r="U496" s="117">
        <v>0.33611111111111114</v>
      </c>
      <c r="V496" s="155">
        <v>41</v>
      </c>
      <c r="W496" s="117">
        <v>0.66805555555555551</v>
      </c>
      <c r="X496" s="96">
        <v>63</v>
      </c>
      <c r="Y496" s="96">
        <v>14.2</v>
      </c>
      <c r="Z496" s="155">
        <v>40.5</v>
      </c>
      <c r="AA496" s="117">
        <v>0.37152777777777779</v>
      </c>
      <c r="AB496" s="155">
        <v>61</v>
      </c>
      <c r="AC496" s="155">
        <v>13.5</v>
      </c>
      <c r="AD496" s="96"/>
      <c r="AE496" s="94">
        <f>Table3.110[[#This Row],[Gas 8h, ml]]-Table3.110[[#This Row],[Gas 0h, ml]]</f>
        <v>22</v>
      </c>
      <c r="AF496" s="94">
        <f>Table3.110[[#This Row],[Gas 24h, ml]]-Table3.110[[#This Row],[V8 Push back, ml]]</f>
        <v>20.5</v>
      </c>
      <c r="AG496" s="94">
        <f>Table3.110[[#This Row],[GP 8h, ml]]-(AVERAGE(AE$479,AE$480,AE$660,AE$661,AE$662,AE$663))*AG$8</f>
        <v>18.607474101643646</v>
      </c>
      <c r="AH496" s="94">
        <f>Table3.110[[#This Row],[GP 8-24h, ml]]-(AVERAGE(AF$479,AF$480,AF$660,AF$661,AF$662,AF$663))*AG$8</f>
        <v>16.185592064046812</v>
      </c>
      <c r="AI496" s="94">
        <f>Table3.110[[#This Row],[Net gas 8-24h, ml]]+Table3.110[[#This Row],[Net gas 8h, ml]]</f>
        <v>34.793066165690462</v>
      </c>
      <c r="AJ496" s="94">
        <f>Table3.110[[#This Row],[Net gas 8h, ml]]*Table3.110[[#This Row],[CH4 8h %]]%</f>
        <v>2.6422613224333977</v>
      </c>
      <c r="AK496" s="94">
        <f>Table3.110[[#This Row],[Net gas 8-24h, ml]]*Table3.110[[#This Row],[CH4 24h, %]]%</f>
        <v>2.1850549286463199</v>
      </c>
      <c r="AL496" s="94">
        <f>Table3.110[[#This Row],[CH4 8-24h, ml]]+Table3.110[[#This Row],[CH4 8h, ml]]</f>
        <v>4.8273162510797176</v>
      </c>
      <c r="AM496" s="94">
        <f>(Table3.110[[#This Row],[Net gas 24h, ml]]/Table3.110[[#This Row],[DM Incubated, mg]])*1000</f>
        <v>74.049765465990347</v>
      </c>
      <c r="AN496" s="94">
        <f>'3.2 Digest'!X496</f>
        <v>3.6522717865254224</v>
      </c>
      <c r="AO496" s="94">
        <f>Table3.110[[#This Row],[Digested feed, mg]]/Table3.110[[#This Row],[Net gas 24h, ml]]</f>
        <v>0.49321854884237848</v>
      </c>
      <c r="AP496" s="94">
        <f>Table3.110[[#This Row],[CH4 8h, ml]]/Table3.110[[#This Row],[Net gas 8h, ml]]%</f>
        <v>14.200000000000001</v>
      </c>
      <c r="AQ496" s="94">
        <f>Table3.110[[#This Row],[CH4 24h, ml]]/Table3.110[[#This Row],[Net gas 24h, ml]]%</f>
        <v>13.874362863253333</v>
      </c>
      <c r="AR496" s="94">
        <f>Table3.110[[#This Row],[CH4 24h, ml]]/Table3.110[[#This Row],[DM Incubated, mg]]*1000</f>
        <v>10.273933160139554</v>
      </c>
      <c r="AS496" s="94">
        <f>Table3.110[[#This Row],[CH4 24h, ml]]/Table3.110[[#This Row],[Digested feed, mg]]*1000</f>
        <v>281.3025360829904</v>
      </c>
      <c r="AT496" s="94">
        <f>Table3.110[[#This Row],[CH4 24h, ml]]/'3.2 Digest'!AA496</f>
        <v>-7.3926144009311703E-2</v>
      </c>
      <c r="AU496" s="94">
        <f>((Table3.110[[#This Row],[CH4 24h, ml]]/28.9)*16.04)/Table3.110[[#This Row],[DM Incubated, mg]]*1000</f>
        <v>5.7022106535861061</v>
      </c>
      <c r="AV496" s="94">
        <f>((Table3.110[[#This Row],[CH4 24h, ml]]/28.9)*16.04)/Table3.110[[#This Row],[Digested feed, mg]]*1000</f>
        <v>156.12777435194346</v>
      </c>
    </row>
    <row r="497" spans="2:48" s="89" customFormat="1" x14ac:dyDescent="0.35">
      <c r="B497" s="90">
        <f t="shared" si="7"/>
        <v>487</v>
      </c>
      <c r="C497" s="140">
        <v>46050</v>
      </c>
      <c r="D497" s="6" t="s">
        <v>16</v>
      </c>
      <c r="E497" s="6" t="s">
        <v>146</v>
      </c>
      <c r="F497" s="133" t="s">
        <v>88</v>
      </c>
      <c r="G497" s="133" t="s">
        <v>147</v>
      </c>
      <c r="H497" s="133" t="s">
        <v>148</v>
      </c>
      <c r="I497" s="133" t="s">
        <v>22</v>
      </c>
      <c r="J497" s="135" t="s">
        <v>23</v>
      </c>
      <c r="K497" s="135" t="s">
        <v>24</v>
      </c>
      <c r="L497" s="6" t="s">
        <v>145</v>
      </c>
      <c r="M497" s="93">
        <v>28</v>
      </c>
      <c r="N497" s="93">
        <v>61</v>
      </c>
      <c r="O497" s="6">
        <v>2</v>
      </c>
      <c r="P497" s="6">
        <v>2</v>
      </c>
      <c r="Q497" s="6">
        <v>0</v>
      </c>
      <c r="R497" s="98">
        <v>0.5</v>
      </c>
      <c r="S497" s="94">
        <f>((Table3.110[[#This Row],[Sample weight, g]]*'2.1. DM'!Q87)/100)*1000</f>
        <v>469.86058560401869</v>
      </c>
      <c r="T497" s="94">
        <f>'3.2 Digest'!W497</f>
        <v>122.86058560401869</v>
      </c>
      <c r="U497" s="153">
        <v>0.33680555555555558</v>
      </c>
      <c r="V497" s="154">
        <v>40.5</v>
      </c>
      <c r="W497" s="153">
        <v>0.66874999999999996</v>
      </c>
      <c r="X497" s="91">
        <v>65.5</v>
      </c>
      <c r="Y497" s="91">
        <v>12.6</v>
      </c>
      <c r="Z497" s="154">
        <v>40</v>
      </c>
      <c r="AA497" s="153">
        <v>0.37152777777777779</v>
      </c>
      <c r="AB497" s="154">
        <v>60.5</v>
      </c>
      <c r="AC497" s="154">
        <v>12.1</v>
      </c>
      <c r="AD497" s="91"/>
      <c r="AE497" s="94">
        <f>Table3.110[[#This Row],[Gas 8h, ml]]-Table3.110[[#This Row],[Gas 0h, ml]]</f>
        <v>25</v>
      </c>
      <c r="AF497" s="94">
        <f>Table3.110[[#This Row],[Gas 24h, ml]]-Table3.110[[#This Row],[V8 Push back, ml]]</f>
        <v>20.5</v>
      </c>
      <c r="AG497" s="94">
        <f>Table3.110[[#This Row],[GP 8h, ml]]-(AVERAGE(AE$479,AE$480,AE$660,AE$661,AE$662,AE$663))*AG$8</f>
        <v>21.607474101643646</v>
      </c>
      <c r="AH497" s="94">
        <f>Table3.110[[#This Row],[GP 8-24h, ml]]-(AVERAGE(AF$479,AF$480,AF$660,AF$661,AF$662,AF$663))*AG$8</f>
        <v>16.185592064046812</v>
      </c>
      <c r="AI497" s="94">
        <f>Table3.110[[#This Row],[Net gas 8-24h, ml]]+Table3.110[[#This Row],[Net gas 8h, ml]]</f>
        <v>37.793066165690462</v>
      </c>
      <c r="AJ497" s="94">
        <f>Table3.110[[#This Row],[Net gas 8h, ml]]*Table3.110[[#This Row],[CH4 8h %]]%</f>
        <v>2.7225417368070994</v>
      </c>
      <c r="AK497" s="94">
        <f>Table3.110[[#This Row],[Net gas 8-24h, ml]]*Table3.110[[#This Row],[CH4 24h, %]]%</f>
        <v>1.9584566397496641</v>
      </c>
      <c r="AL497" s="94">
        <f>Table3.110[[#This Row],[CH4 8-24h, ml]]+Table3.110[[#This Row],[CH4 8h, ml]]</f>
        <v>4.6809983765567633</v>
      </c>
      <c r="AM497" s="94">
        <f>(Table3.110[[#This Row],[Net gas 24h, ml]]/Table3.110[[#This Row],[DM Incubated, mg]])*1000</f>
        <v>80.434638111018472</v>
      </c>
      <c r="AN497" s="94">
        <f>'3.2 Digest'!X497</f>
        <v>26.148306405841222</v>
      </c>
      <c r="AO497" s="94">
        <f>Table3.110[[#This Row],[Digested feed, mg]]/Table3.110[[#This Row],[Net gas 24h, ml]]</f>
        <v>3.2508763661931925</v>
      </c>
      <c r="AP497" s="94">
        <f>Table3.110[[#This Row],[CH4 8h, ml]]/Table3.110[[#This Row],[Net gas 8h, ml]]%</f>
        <v>12.600000000000001</v>
      </c>
      <c r="AQ497" s="94">
        <f>Table3.110[[#This Row],[CH4 24h, ml]]/Table3.110[[#This Row],[Net gas 24h, ml]]%</f>
        <v>12.3858655871809</v>
      </c>
      <c r="AR497" s="94">
        <f>Table3.110[[#This Row],[CH4 24h, ml]]/Table3.110[[#This Row],[DM Incubated, mg]]*1000</f>
        <v>9.9625261619661316</v>
      </c>
      <c r="AS497" s="94">
        <f>Table3.110[[#This Row],[CH4 24h, ml]]/Table3.110[[#This Row],[Digested feed, mg]]*1000</f>
        <v>38.100081922478239</v>
      </c>
      <c r="AT497" s="94">
        <f>Table3.110[[#This Row],[CH4 24h, ml]]/'3.2 Digest'!AA497</f>
        <v>-0.17529329042301375</v>
      </c>
      <c r="AU497" s="94">
        <f>((Table3.110[[#This Row],[CH4 24h, ml]]/28.9)*16.04)/Table3.110[[#This Row],[DM Incubated, mg]]*1000</f>
        <v>5.5293743819355274</v>
      </c>
      <c r="AV497" s="94">
        <f>((Table3.110[[#This Row],[CH4 24h, ml]]/28.9)*16.04)/Table3.110[[#This Row],[Digested feed, mg]]*1000</f>
        <v>21.146204637942944</v>
      </c>
    </row>
    <row r="498" spans="2:48" s="89" customFormat="1" x14ac:dyDescent="0.35">
      <c r="B498" s="90">
        <f t="shared" si="7"/>
        <v>488</v>
      </c>
      <c r="C498" s="140">
        <v>46050</v>
      </c>
      <c r="D498" s="6" t="s">
        <v>16</v>
      </c>
      <c r="E498" s="6" t="s">
        <v>146</v>
      </c>
      <c r="F498" s="133" t="s">
        <v>88</v>
      </c>
      <c r="G498" s="133" t="s">
        <v>147</v>
      </c>
      <c r="H498" s="133" t="s">
        <v>148</v>
      </c>
      <c r="I498" s="133" t="s">
        <v>22</v>
      </c>
      <c r="J498" s="135" t="s">
        <v>23</v>
      </c>
      <c r="K498" s="135" t="s">
        <v>24</v>
      </c>
      <c r="L498" s="6" t="s">
        <v>145</v>
      </c>
      <c r="M498" s="93">
        <v>28</v>
      </c>
      <c r="N498" s="93">
        <v>61</v>
      </c>
      <c r="O498" s="6">
        <v>2</v>
      </c>
      <c r="P498" s="129">
        <v>3</v>
      </c>
      <c r="Q498" s="6">
        <v>0</v>
      </c>
      <c r="R498" s="98">
        <v>0.50029999999999997</v>
      </c>
      <c r="S498" s="94">
        <f>((Table3.110[[#This Row],[Sample weight, g]]*'2.1. DM'!Q87)/100)*1000</f>
        <v>470.14250195538108</v>
      </c>
      <c r="T498" s="94">
        <f>'3.2 Digest'!W498</f>
        <v>109.44250195538103</v>
      </c>
      <c r="U498" s="117">
        <v>0.33680555555555558</v>
      </c>
      <c r="V498" s="155">
        <v>41</v>
      </c>
      <c r="W498" s="117">
        <v>0.66874999999999996</v>
      </c>
      <c r="X498" s="96">
        <v>65</v>
      </c>
      <c r="Y498" s="96">
        <v>12.7</v>
      </c>
      <c r="Z498" s="155">
        <v>40</v>
      </c>
      <c r="AA498" s="117">
        <v>0.37222222222222223</v>
      </c>
      <c r="AB498" s="155">
        <v>61</v>
      </c>
      <c r="AC498" s="155">
        <v>11.8</v>
      </c>
      <c r="AD498" s="96"/>
      <c r="AE498" s="94">
        <f>Table3.110[[#This Row],[Gas 8h, ml]]-Table3.110[[#This Row],[Gas 0h, ml]]</f>
        <v>24</v>
      </c>
      <c r="AF498" s="94">
        <f>Table3.110[[#This Row],[Gas 24h, ml]]-Table3.110[[#This Row],[V8 Push back, ml]]</f>
        <v>21</v>
      </c>
      <c r="AG498" s="94">
        <f>Table3.110[[#This Row],[GP 8h, ml]]-(AVERAGE(AE$479,AE$480,AE$660,AE$661,AE$662,AE$663))*AG$8</f>
        <v>20.607474101643646</v>
      </c>
      <c r="AH498" s="94">
        <f>Table3.110[[#This Row],[GP 8-24h, ml]]-(AVERAGE(AF$479,AF$480,AF$660,AF$661,AF$662,AF$663))*AG$8</f>
        <v>16.685592064046812</v>
      </c>
      <c r="AI498" s="94">
        <f>Table3.110[[#This Row],[Net gas 8-24h, ml]]+Table3.110[[#This Row],[Net gas 8h, ml]]</f>
        <v>37.293066165690462</v>
      </c>
      <c r="AJ498" s="94">
        <f>Table3.110[[#This Row],[Net gas 8h, ml]]*Table3.110[[#This Row],[CH4 8h %]]%</f>
        <v>2.6171492109087433</v>
      </c>
      <c r="AK498" s="94">
        <f>Table3.110[[#This Row],[Net gas 8-24h, ml]]*Table3.110[[#This Row],[CH4 24h, %]]%</f>
        <v>1.9688998635575239</v>
      </c>
      <c r="AL498" s="94">
        <f>Table3.110[[#This Row],[CH4 8-24h, ml]]+Table3.110[[#This Row],[CH4 8h, ml]]</f>
        <v>4.586049074466267</v>
      </c>
      <c r="AM498" s="94">
        <f>(Table3.110[[#This Row],[Net gas 24h, ml]]/Table3.110[[#This Row],[DM Incubated, mg]])*1000</f>
        <v>79.322898930821964</v>
      </c>
      <c r="AN498" s="94">
        <f>'3.2 Digest'!X498</f>
        <v>23.27858074949533</v>
      </c>
      <c r="AO498" s="94">
        <f>Table3.110[[#This Row],[Digested feed, mg]]/Table3.110[[#This Row],[Net gas 24h, ml]]</f>
        <v>2.9346608688364673</v>
      </c>
      <c r="AP498" s="94">
        <f>Table3.110[[#This Row],[CH4 8h, ml]]/Table3.110[[#This Row],[Net gas 8h, ml]]%</f>
        <v>12.700000000000001</v>
      </c>
      <c r="AQ498" s="94">
        <f>Table3.110[[#This Row],[CH4 24h, ml]]/Table3.110[[#This Row],[Net gas 24h, ml]]%</f>
        <v>12.297323727930479</v>
      </c>
      <c r="AR498" s="94">
        <f>Table3.110[[#This Row],[CH4 24h, ml]]/Table3.110[[#This Row],[DM Incubated, mg]]*1000</f>
        <v>9.754593671902283</v>
      </c>
      <c r="AS498" s="94">
        <f>Table3.110[[#This Row],[CH4 24h, ml]]/Table3.110[[#This Row],[Digested feed, mg]]*1000</f>
        <v>41.903730201050848</v>
      </c>
      <c r="AT498" s="94">
        <f>Table3.110[[#This Row],[CH4 24h, ml]]/'3.2 Digest'!AA498</f>
        <v>-0.14500305325440238</v>
      </c>
      <c r="AU498" s="94">
        <f>((Table3.110[[#This Row],[CH4 24h, ml]]/28.9)*16.04)/Table3.110[[#This Row],[DM Incubated, mg]]*1000</f>
        <v>5.4139682525021664</v>
      </c>
      <c r="AV498" s="94">
        <f>((Table3.110[[#This Row],[CH4 24h, ml]]/28.9)*16.04)/Table3.110[[#This Row],[Digested feed, mg]]*1000</f>
        <v>23.257295239614383</v>
      </c>
    </row>
    <row r="499" spans="2:48" s="89" customFormat="1" x14ac:dyDescent="0.35">
      <c r="B499" s="90">
        <f t="shared" si="7"/>
        <v>489</v>
      </c>
      <c r="C499" s="140">
        <v>46050</v>
      </c>
      <c r="D499" s="6" t="s">
        <v>16</v>
      </c>
      <c r="E499" s="6" t="s">
        <v>150</v>
      </c>
      <c r="F499" s="133" t="s">
        <v>142</v>
      </c>
      <c r="G499" s="133" t="s">
        <v>151</v>
      </c>
      <c r="H499" s="133" t="s">
        <v>152</v>
      </c>
      <c r="I499" s="133" t="s">
        <v>22</v>
      </c>
      <c r="J499" s="135" t="s">
        <v>23</v>
      </c>
      <c r="K499" s="135" t="s">
        <v>24</v>
      </c>
      <c r="L499" s="6" t="s">
        <v>149</v>
      </c>
      <c r="M499" s="93">
        <v>28</v>
      </c>
      <c r="N499" s="93">
        <v>61</v>
      </c>
      <c r="O499" s="6">
        <v>2</v>
      </c>
      <c r="P499" s="129">
        <v>1</v>
      </c>
      <c r="Q499" s="6">
        <v>0</v>
      </c>
      <c r="R499" s="98">
        <v>0.5</v>
      </c>
      <c r="S499" s="94">
        <f>((Table3.110[[#This Row],[Sample weight, g]]*'2.1. DM'!Q89)/100)*1000</f>
        <v>469.58412476257115</v>
      </c>
      <c r="T499" s="94">
        <f>'3.2 Digest'!W499</f>
        <v>316.68412476257123</v>
      </c>
      <c r="U499" s="156">
        <v>0.33750000000000002</v>
      </c>
      <c r="V499" s="154">
        <v>41.5</v>
      </c>
      <c r="W499" s="153">
        <v>0.6694444444444444</v>
      </c>
      <c r="X499" s="91">
        <v>96.5</v>
      </c>
      <c r="Y499" s="91">
        <v>14</v>
      </c>
      <c r="Z499" s="154">
        <v>40.5</v>
      </c>
      <c r="AA499" s="153">
        <v>0.37291666666666667</v>
      </c>
      <c r="AB499" s="154">
        <v>93.5</v>
      </c>
      <c r="AC499" s="154">
        <v>17.899999999999999</v>
      </c>
      <c r="AD499" s="91"/>
      <c r="AE499" s="94">
        <f>Table3.110[[#This Row],[Gas 8h, ml]]-Table3.110[[#This Row],[Gas 0h, ml]]</f>
        <v>55</v>
      </c>
      <c r="AF499" s="94">
        <f>Table3.110[[#This Row],[Gas 24h, ml]]-Table3.110[[#This Row],[V8 Push back, ml]]</f>
        <v>53</v>
      </c>
      <c r="AG499" s="94">
        <f>Table3.110[[#This Row],[GP 8h, ml]]-(AVERAGE(AE$479,AE$480,AE$660,AE$661,AE$662,AE$663))*AG$8</f>
        <v>51.607474101643646</v>
      </c>
      <c r="AH499" s="94">
        <f>Table3.110[[#This Row],[GP 8-24h, ml]]-(AVERAGE(AF$479,AF$480,AF$660,AF$661,AF$662,AF$663))*AG$8</f>
        <v>48.685592064046816</v>
      </c>
      <c r="AI499" s="94">
        <f>Table3.110[[#This Row],[Net gas 8-24h, ml]]+Table3.110[[#This Row],[Net gas 8h, ml]]</f>
        <v>100.29306616569046</v>
      </c>
      <c r="AJ499" s="94">
        <f>Table3.110[[#This Row],[Net gas 8h, ml]]*Table3.110[[#This Row],[CH4 8h %]]%</f>
        <v>7.2250463742301108</v>
      </c>
      <c r="AK499" s="94">
        <f>Table3.110[[#This Row],[Net gas 8-24h, ml]]*Table3.110[[#This Row],[CH4 24h, %]]%</f>
        <v>8.7147209794643796</v>
      </c>
      <c r="AL499" s="94">
        <f>Table3.110[[#This Row],[CH4 8-24h, ml]]+Table3.110[[#This Row],[CH4 8h, ml]]</f>
        <v>15.93976735369449</v>
      </c>
      <c r="AM499" s="94">
        <f>(Table3.110[[#This Row],[Net gas 24h, ml]]/Table3.110[[#This Row],[DM Incubated, mg]])*1000</f>
        <v>213.57848546604967</v>
      </c>
      <c r="AN499" s="94">
        <f>'3.2 Digest'!X499</f>
        <v>67.439274043323223</v>
      </c>
      <c r="AO499" s="94">
        <f>Table3.110[[#This Row],[Digested feed, mg]]/Table3.110[[#This Row],[Net gas 24h, ml]]</f>
        <v>3.1575874272244215</v>
      </c>
      <c r="AP499" s="94">
        <f>Table3.110[[#This Row],[CH4 8h, ml]]/Table3.110[[#This Row],[Net gas 8h, ml]]%</f>
        <v>14</v>
      </c>
      <c r="AQ499" s="94">
        <f>Table3.110[[#This Row],[CH4 24h, ml]]/Table3.110[[#This Row],[Net gas 24h, ml]]%</f>
        <v>15.893189791765852</v>
      </c>
      <c r="AR499" s="94">
        <f>Table3.110[[#This Row],[CH4 24h, ml]]/Table3.110[[#This Row],[DM Incubated, mg]]*1000</f>
        <v>33.944434049498327</v>
      </c>
      <c r="AS499" s="94">
        <f>Table3.110[[#This Row],[CH4 24h, ml]]/Table3.110[[#This Row],[Digested feed, mg]]*1000</f>
        <v>50.333332514362922</v>
      </c>
      <c r="AT499" s="94">
        <f>Table3.110[[#This Row],[CH4 24h, ml]]/'3.2 Digest'!AA499</f>
        <v>0.40893302500174383</v>
      </c>
      <c r="AU499" s="94">
        <f>((Table3.110[[#This Row],[CH4 24h, ml]]/28.9)*16.04)/Table3.110[[#This Row],[DM Incubated, mg]]*1000</f>
        <v>18.839748171417064</v>
      </c>
      <c r="AV499" s="94">
        <f>((Table3.110[[#This Row],[CH4 24h, ml]]/28.9)*16.04)/Table3.110[[#This Row],[Digested feed, mg]]*1000</f>
        <v>27.935870364373056</v>
      </c>
    </row>
    <row r="500" spans="2:48" s="89" customFormat="1" x14ac:dyDescent="0.35">
      <c r="B500" s="90">
        <f t="shared" si="7"/>
        <v>490</v>
      </c>
      <c r="C500" s="140">
        <v>46050</v>
      </c>
      <c r="D500" s="6" t="s">
        <v>16</v>
      </c>
      <c r="E500" s="6" t="s">
        <v>150</v>
      </c>
      <c r="F500" s="133" t="s">
        <v>142</v>
      </c>
      <c r="G500" s="133" t="s">
        <v>151</v>
      </c>
      <c r="H500" s="133" t="s">
        <v>152</v>
      </c>
      <c r="I500" s="133" t="s">
        <v>22</v>
      </c>
      <c r="J500" s="135" t="s">
        <v>23</v>
      </c>
      <c r="K500" s="135" t="s">
        <v>24</v>
      </c>
      <c r="L500" s="6" t="s">
        <v>149</v>
      </c>
      <c r="M500" s="93">
        <v>28</v>
      </c>
      <c r="N500" s="93">
        <v>61</v>
      </c>
      <c r="O500" s="6">
        <v>2</v>
      </c>
      <c r="P500" s="6">
        <v>2</v>
      </c>
      <c r="Q500" s="6">
        <v>0</v>
      </c>
      <c r="R500" s="98">
        <v>0.50009999999999999</v>
      </c>
      <c r="S500" s="94">
        <f>((Table3.110[[#This Row],[Sample weight, g]]*'2.1. DM'!Q89)/100)*1000</f>
        <v>469.67804158752364</v>
      </c>
      <c r="T500" s="94">
        <f>'3.2 Digest'!W500</f>
        <v>201.97804158752359</v>
      </c>
      <c r="U500" s="117">
        <v>0.33750000000000002</v>
      </c>
      <c r="V500" s="155">
        <v>42.5</v>
      </c>
      <c r="W500" s="117">
        <v>0.67013888888888884</v>
      </c>
      <c r="X500" s="96">
        <v>98.5</v>
      </c>
      <c r="Y500" s="96">
        <v>14.2</v>
      </c>
      <c r="Z500" s="155">
        <v>41</v>
      </c>
      <c r="AA500" s="117">
        <v>0.37291666666666667</v>
      </c>
      <c r="AB500" s="155">
        <v>95</v>
      </c>
      <c r="AC500" s="155">
        <v>18.3</v>
      </c>
      <c r="AD500" s="96"/>
      <c r="AE500" s="94">
        <f>Table3.110[[#This Row],[Gas 8h, ml]]-Table3.110[[#This Row],[Gas 0h, ml]]</f>
        <v>56</v>
      </c>
      <c r="AF500" s="94">
        <f>Table3.110[[#This Row],[Gas 24h, ml]]-Table3.110[[#This Row],[V8 Push back, ml]]</f>
        <v>54</v>
      </c>
      <c r="AG500" s="94">
        <f>Table3.110[[#This Row],[GP 8h, ml]]-(AVERAGE(AE$479,AE$480,AE$660,AE$661,AE$662,AE$663))*AG$8</f>
        <v>52.607474101643646</v>
      </c>
      <c r="AH500" s="94">
        <f>Table3.110[[#This Row],[GP 8-24h, ml]]-(AVERAGE(AF$479,AF$480,AF$660,AF$661,AF$662,AF$663))*AG$8</f>
        <v>49.685592064046816</v>
      </c>
      <c r="AI500" s="94">
        <f>Table3.110[[#This Row],[Net gas 8-24h, ml]]+Table3.110[[#This Row],[Net gas 8h, ml]]</f>
        <v>102.29306616569046</v>
      </c>
      <c r="AJ500" s="94">
        <f>Table3.110[[#This Row],[Net gas 8h, ml]]*Table3.110[[#This Row],[CH4 8h %]]%</f>
        <v>7.4702613224333971</v>
      </c>
      <c r="AK500" s="94">
        <f>Table3.110[[#This Row],[Net gas 8-24h, ml]]*Table3.110[[#This Row],[CH4 24h, %]]%</f>
        <v>9.0924633477205674</v>
      </c>
      <c r="AL500" s="94">
        <f>Table3.110[[#This Row],[CH4 8-24h, ml]]+Table3.110[[#This Row],[CH4 8h, ml]]</f>
        <v>16.562724670153965</v>
      </c>
      <c r="AM500" s="94">
        <f>(Table3.110[[#This Row],[Net gas 24h, ml]]/Table3.110[[#This Row],[DM Incubated, mg]])*1000</f>
        <v>217.79401442728155</v>
      </c>
      <c r="AN500" s="94">
        <f>'3.2 Digest'!X500</f>
        <v>43.003509575374807</v>
      </c>
      <c r="AO500" s="94">
        <f>Table3.110[[#This Row],[Digested feed, mg]]/Table3.110[[#This Row],[Net gas 24h, ml]]</f>
        <v>1.97450373870275</v>
      </c>
      <c r="AP500" s="94">
        <f>Table3.110[[#This Row],[CH4 8h, ml]]/Table3.110[[#This Row],[Net gas 8h, ml]]%</f>
        <v>14.2</v>
      </c>
      <c r="AQ500" s="94">
        <f>Table3.110[[#This Row],[CH4 24h, ml]]/Table3.110[[#This Row],[Net gas 24h, ml]]%</f>
        <v>16.191444142779222</v>
      </c>
      <c r="AR500" s="94">
        <f>Table3.110[[#This Row],[CH4 24h, ml]]/Table3.110[[#This Row],[DM Incubated, mg]]*1000</f>
        <v>35.263996192309818</v>
      </c>
      <c r="AS500" s="94">
        <f>Table3.110[[#This Row],[CH4 24h, ml]]/Table3.110[[#This Row],[Digested feed, mg]]*1000</f>
        <v>82.002600579612036</v>
      </c>
      <c r="AT500" s="94">
        <f>Table3.110[[#This Row],[CH4 24h, ml]]/'3.2 Digest'!AA500</f>
        <v>-2.4301858992630865</v>
      </c>
      <c r="AU500" s="94">
        <f>((Table3.110[[#This Row],[CH4 24h, ml]]/28.9)*16.04)/Table3.110[[#This Row],[DM Incubated, mg]]*1000</f>
        <v>19.5721279904723</v>
      </c>
      <c r="AV500" s="94">
        <f>((Table3.110[[#This Row],[CH4 24h, ml]]/28.9)*16.04)/Table3.110[[#This Row],[Digested feed, mg]]*1000</f>
        <v>45.512862051798514</v>
      </c>
    </row>
    <row r="501" spans="2:48" s="89" customFormat="1" x14ac:dyDescent="0.35">
      <c r="B501" s="90">
        <f t="shared" si="7"/>
        <v>491</v>
      </c>
      <c r="C501" s="140">
        <v>46050</v>
      </c>
      <c r="D501" s="6" t="s">
        <v>16</v>
      </c>
      <c r="E501" s="6" t="s">
        <v>150</v>
      </c>
      <c r="F501" s="133" t="s">
        <v>142</v>
      </c>
      <c r="G501" s="133" t="s">
        <v>151</v>
      </c>
      <c r="H501" s="133" t="s">
        <v>152</v>
      </c>
      <c r="I501" s="133" t="s">
        <v>22</v>
      </c>
      <c r="J501" s="135" t="s">
        <v>23</v>
      </c>
      <c r="K501" s="135" t="s">
        <v>24</v>
      </c>
      <c r="L501" s="6" t="s">
        <v>149</v>
      </c>
      <c r="M501" s="93">
        <v>28</v>
      </c>
      <c r="N501" s="93">
        <v>61</v>
      </c>
      <c r="O501" s="6">
        <v>2</v>
      </c>
      <c r="P501" s="129">
        <v>3</v>
      </c>
      <c r="Q501" s="6">
        <v>0</v>
      </c>
      <c r="R501" s="98">
        <v>0.50019999999999998</v>
      </c>
      <c r="S501" s="94">
        <f>((Table3.110[[#This Row],[Sample weight, g]]*'2.1. DM'!Q89)/100)*1000</f>
        <v>469.77195841247618</v>
      </c>
      <c r="T501" s="94">
        <f>'3.2 Digest'!W501</f>
        <v>303.87195841247626</v>
      </c>
      <c r="U501" s="153">
        <v>0.33750000000000002</v>
      </c>
      <c r="V501" s="154">
        <v>42</v>
      </c>
      <c r="W501" s="153">
        <v>0.67013888888888884</v>
      </c>
      <c r="X501" s="91">
        <v>97</v>
      </c>
      <c r="Y501" s="91">
        <v>14.2</v>
      </c>
      <c r="Z501" s="154">
        <v>40.5</v>
      </c>
      <c r="AA501" s="153">
        <v>0.37361111111111112</v>
      </c>
      <c r="AB501" s="154">
        <v>95.5</v>
      </c>
      <c r="AC501" s="154">
        <v>18.3</v>
      </c>
      <c r="AD501" s="91"/>
      <c r="AE501" s="94">
        <f>Table3.110[[#This Row],[Gas 8h, ml]]-Table3.110[[#This Row],[Gas 0h, ml]]</f>
        <v>55</v>
      </c>
      <c r="AF501" s="94">
        <f>Table3.110[[#This Row],[Gas 24h, ml]]-Table3.110[[#This Row],[V8 Push back, ml]]</f>
        <v>55</v>
      </c>
      <c r="AG501" s="94">
        <f>Table3.110[[#This Row],[GP 8h, ml]]-(AVERAGE(AE$479,AE$480,AE$660,AE$661,AE$662,AE$663))*AG$8</f>
        <v>51.607474101643646</v>
      </c>
      <c r="AH501" s="94">
        <f>Table3.110[[#This Row],[GP 8-24h, ml]]-(AVERAGE(AF$479,AF$480,AF$660,AF$661,AF$662,AF$663))*AG$8</f>
        <v>50.685592064046816</v>
      </c>
      <c r="AI501" s="94">
        <f>Table3.110[[#This Row],[Net gas 8-24h, ml]]+Table3.110[[#This Row],[Net gas 8h, ml]]</f>
        <v>102.29306616569046</v>
      </c>
      <c r="AJ501" s="94">
        <f>Table3.110[[#This Row],[Net gas 8h, ml]]*Table3.110[[#This Row],[CH4 8h %]]%</f>
        <v>7.3282613224333968</v>
      </c>
      <c r="AK501" s="94">
        <f>Table3.110[[#This Row],[Net gas 8-24h, ml]]*Table3.110[[#This Row],[CH4 24h, %]]%</f>
        <v>9.2754633477205672</v>
      </c>
      <c r="AL501" s="94">
        <f>Table3.110[[#This Row],[CH4 8-24h, ml]]+Table3.110[[#This Row],[CH4 8h, ml]]</f>
        <v>16.603724670153966</v>
      </c>
      <c r="AM501" s="94">
        <f>(Table3.110[[#This Row],[Net gas 24h, ml]]/Table3.110[[#This Row],[DM Incubated, mg]])*1000</f>
        <v>217.7504730409506</v>
      </c>
      <c r="AN501" s="94">
        <f>'3.2 Digest'!X501</f>
        <v>64.684992999447218</v>
      </c>
      <c r="AO501" s="94">
        <f>Table3.110[[#This Row],[Digested feed, mg]]/Table3.110[[#This Row],[Net gas 24h, ml]]</f>
        <v>2.9706017211398854</v>
      </c>
      <c r="AP501" s="94">
        <f>Table3.110[[#This Row],[CH4 8h, ml]]/Table3.110[[#This Row],[Net gas 8h, ml]]%</f>
        <v>14.199999999999998</v>
      </c>
      <c r="AQ501" s="94">
        <f>Table3.110[[#This Row],[CH4 24h, ml]]/Table3.110[[#This Row],[Net gas 24h, ml]]%</f>
        <v>16.231525060808984</v>
      </c>
      <c r="AR501" s="94">
        <f>Table3.110[[#This Row],[CH4 24h, ml]]/Table3.110[[#This Row],[DM Incubated, mg]]*1000</f>
        <v>35.344222601672016</v>
      </c>
      <c r="AS501" s="94">
        <f>Table3.110[[#This Row],[CH4 24h, ml]]/Table3.110[[#This Row],[Digested feed, mg]]*1000</f>
        <v>54.640529375915776</v>
      </c>
      <c r="AT501" s="94">
        <f>Table3.110[[#This Row],[CH4 24h, ml]]/'3.2 Digest'!AA501</f>
        <v>0.49098455429408056</v>
      </c>
      <c r="AU501" s="94">
        <f>((Table3.110[[#This Row],[CH4 24h, ml]]/28.9)*16.04)/Table3.110[[#This Row],[DM Incubated, mg]]*1000</f>
        <v>19.616655035668479</v>
      </c>
      <c r="AV501" s="94">
        <f>((Table3.110[[#This Row],[CH4 24h, ml]]/28.9)*16.04)/Table3.110[[#This Row],[Digested feed, mg]]*1000</f>
        <v>30.326439141511727</v>
      </c>
    </row>
    <row r="502" spans="2:48" s="89" customFormat="1" x14ac:dyDescent="0.35">
      <c r="B502" s="90">
        <f t="shared" si="7"/>
        <v>492</v>
      </c>
      <c r="C502" s="140">
        <v>46050</v>
      </c>
      <c r="D502" s="6" t="s">
        <v>16</v>
      </c>
      <c r="E502" s="19" t="s">
        <v>154</v>
      </c>
      <c r="F502" s="123" t="s">
        <v>99</v>
      </c>
      <c r="G502" s="123" t="s">
        <v>155</v>
      </c>
      <c r="H502" s="123" t="s">
        <v>156</v>
      </c>
      <c r="I502" s="133" t="s">
        <v>22</v>
      </c>
      <c r="J502" s="135" t="s">
        <v>23</v>
      </c>
      <c r="K502" s="135" t="s">
        <v>24</v>
      </c>
      <c r="L502" s="6" t="s">
        <v>153</v>
      </c>
      <c r="M502" s="93">
        <v>28</v>
      </c>
      <c r="N502" s="93">
        <v>61</v>
      </c>
      <c r="O502" s="6">
        <v>2</v>
      </c>
      <c r="P502" s="129">
        <v>1</v>
      </c>
      <c r="Q502" s="6">
        <v>0</v>
      </c>
      <c r="R502" s="98">
        <v>0.5</v>
      </c>
      <c r="S502" s="94">
        <f>((Table3.110[[#This Row],[Sample weight, g]]*'2.1. DM'!Q91)/100)*1000</f>
        <v>466.05682828698065</v>
      </c>
      <c r="T502" s="94">
        <f>'3.2 Digest'!W502</f>
        <v>143.25682828698069</v>
      </c>
      <c r="U502" s="117">
        <v>0.33819444444444446</v>
      </c>
      <c r="V502" s="155">
        <v>42.5</v>
      </c>
      <c r="W502" s="117">
        <v>0.67083333333333328</v>
      </c>
      <c r="X502" s="96">
        <v>71.5</v>
      </c>
      <c r="Y502" s="96">
        <v>12.4</v>
      </c>
      <c r="Z502" s="155">
        <v>40</v>
      </c>
      <c r="AA502" s="117">
        <v>0.37430555555555556</v>
      </c>
      <c r="AB502" s="155">
        <v>63</v>
      </c>
      <c r="AC502" s="155">
        <v>14.8</v>
      </c>
      <c r="AD502" s="96"/>
      <c r="AE502" s="94">
        <f>Table3.110[[#This Row],[Gas 8h, ml]]-Table3.110[[#This Row],[Gas 0h, ml]]</f>
        <v>29</v>
      </c>
      <c r="AF502" s="94">
        <f>Table3.110[[#This Row],[Gas 24h, ml]]-Table3.110[[#This Row],[V8 Push back, ml]]</f>
        <v>23</v>
      </c>
      <c r="AG502" s="94">
        <f>Table3.110[[#This Row],[GP 8h, ml]]-(AVERAGE(AE$479,AE$480,AE$660,AE$661,AE$662,AE$663))*AG$8</f>
        <v>25.607474101643646</v>
      </c>
      <c r="AH502" s="94">
        <f>Table3.110[[#This Row],[GP 8-24h, ml]]-(AVERAGE(AF$479,AF$480,AF$660,AF$661,AF$662,AF$663))*AG$8</f>
        <v>18.685592064046812</v>
      </c>
      <c r="AI502" s="94">
        <f>Table3.110[[#This Row],[Net gas 8-24h, ml]]+Table3.110[[#This Row],[Net gas 8h, ml]]</f>
        <v>44.293066165690462</v>
      </c>
      <c r="AJ502" s="94">
        <f>Table3.110[[#This Row],[Net gas 8h, ml]]*Table3.110[[#This Row],[CH4 8h %]]%</f>
        <v>3.1753267886038121</v>
      </c>
      <c r="AK502" s="94">
        <f>Table3.110[[#This Row],[Net gas 8-24h, ml]]*Table3.110[[#This Row],[CH4 24h, %]]%</f>
        <v>2.7654676254789288</v>
      </c>
      <c r="AL502" s="94">
        <f>Table3.110[[#This Row],[CH4 8-24h, ml]]+Table3.110[[#This Row],[CH4 8h, ml]]</f>
        <v>5.9407944140827409</v>
      </c>
      <c r="AM502" s="94">
        <f>(Table3.110[[#This Row],[Net gas 24h, ml]]/Table3.110[[#This Row],[DM Incubated, mg]])*1000</f>
        <v>95.037908420937072</v>
      </c>
      <c r="AN502" s="94">
        <f>'3.2 Digest'!X502</f>
        <v>30.738060166080949</v>
      </c>
      <c r="AO502" s="94">
        <f>Table3.110[[#This Row],[Digested feed, mg]]/Table3.110[[#This Row],[Net gas 24h, ml]]</f>
        <v>3.2342946805960309</v>
      </c>
      <c r="AP502" s="94">
        <f>Table3.110[[#This Row],[CH4 8h, ml]]/Table3.110[[#This Row],[Net gas 8h, ml]]%</f>
        <v>12.4</v>
      </c>
      <c r="AQ502" s="94">
        <f>Table3.110[[#This Row],[CH4 24h, ml]]/Table3.110[[#This Row],[Net gas 24h, ml]]%</f>
        <v>13.412470457248446</v>
      </c>
      <c r="AR502" s="94">
        <f>Table3.110[[#This Row],[CH4 24h, ml]]/Table3.110[[#This Row],[DM Incubated, mg]]*1000</f>
        <v>12.74693139014502</v>
      </c>
      <c r="AS502" s="94">
        <f>Table3.110[[#This Row],[CH4 24h, ml]]/Table3.110[[#This Row],[Digested feed, mg]]*1000</f>
        <v>41.46953750910766</v>
      </c>
      <c r="AT502" s="94">
        <f>Table3.110[[#This Row],[CH4 24h, ml]]/'3.2 Digest'!AA502</f>
        <v>-0.64762893599307791</v>
      </c>
      <c r="AU502" s="94">
        <f>((Table3.110[[#This Row],[CH4 24h, ml]]/28.9)*16.04)/Table3.110[[#This Row],[DM Incubated, mg]]*1000</f>
        <v>7.0747674566756444</v>
      </c>
      <c r="AV502" s="94">
        <f>((Table3.110[[#This Row],[CH4 24h, ml]]/28.9)*16.04)/Table3.110[[#This Row],[Digested feed, mg]]*1000</f>
        <v>23.016310783601618</v>
      </c>
    </row>
    <row r="503" spans="2:48" s="89" customFormat="1" x14ac:dyDescent="0.35">
      <c r="B503" s="90">
        <f t="shared" si="7"/>
        <v>493</v>
      </c>
      <c r="C503" s="140">
        <v>46050</v>
      </c>
      <c r="D503" s="6" t="s">
        <v>16</v>
      </c>
      <c r="E503" s="6" t="s">
        <v>154</v>
      </c>
      <c r="F503" s="133" t="s">
        <v>99</v>
      </c>
      <c r="G503" s="133" t="s">
        <v>155</v>
      </c>
      <c r="H503" s="133" t="s">
        <v>156</v>
      </c>
      <c r="I503" s="133" t="s">
        <v>22</v>
      </c>
      <c r="J503" s="135" t="s">
        <v>23</v>
      </c>
      <c r="K503" s="135" t="s">
        <v>24</v>
      </c>
      <c r="L503" s="6" t="s">
        <v>153</v>
      </c>
      <c r="M503" s="93">
        <v>28</v>
      </c>
      <c r="N503" s="93">
        <v>61</v>
      </c>
      <c r="O503" s="6">
        <v>2</v>
      </c>
      <c r="P503" s="129">
        <v>2</v>
      </c>
      <c r="Q503" s="6">
        <v>0</v>
      </c>
      <c r="R503" s="98">
        <v>0.50009999999999999</v>
      </c>
      <c r="S503" s="94">
        <f>((Table3.110[[#This Row],[Sample weight, g]]*'2.1. DM'!Q91)/100)*1000</f>
        <v>466.15003965263804</v>
      </c>
      <c r="T503" s="94">
        <f>'3.2 Digest'!W503</f>
        <v>137.95003965263811</v>
      </c>
      <c r="U503" s="153">
        <v>0.33819444444444446</v>
      </c>
      <c r="V503" s="154">
        <v>41.5</v>
      </c>
      <c r="W503" s="153">
        <v>0.67152777777777772</v>
      </c>
      <c r="X503" s="91">
        <v>70</v>
      </c>
      <c r="Y503" s="91">
        <v>12.4</v>
      </c>
      <c r="Z503" s="154">
        <v>40</v>
      </c>
      <c r="AA503" s="153">
        <v>0.37430555555555556</v>
      </c>
      <c r="AB503" s="154">
        <v>62.5</v>
      </c>
      <c r="AC503" s="154">
        <v>14.2</v>
      </c>
      <c r="AD503" s="91"/>
      <c r="AE503" s="94">
        <f>Table3.110[[#This Row],[Gas 8h, ml]]-Table3.110[[#This Row],[Gas 0h, ml]]</f>
        <v>28.5</v>
      </c>
      <c r="AF503" s="94">
        <f>Table3.110[[#This Row],[Gas 24h, ml]]-Table3.110[[#This Row],[V8 Push back, ml]]</f>
        <v>22.5</v>
      </c>
      <c r="AG503" s="94">
        <f>Table3.110[[#This Row],[GP 8h, ml]]-(AVERAGE(AE$479,AE$480,AE$660,AE$661,AE$662,AE$663))*AG$8</f>
        <v>25.107474101643646</v>
      </c>
      <c r="AH503" s="94">
        <f>Table3.110[[#This Row],[GP 8-24h, ml]]-(AVERAGE(AF$479,AF$480,AF$660,AF$661,AF$662,AF$663))*AG$8</f>
        <v>18.185592064046812</v>
      </c>
      <c r="AI503" s="94">
        <f>Table3.110[[#This Row],[Net gas 8-24h, ml]]+Table3.110[[#This Row],[Net gas 8h, ml]]</f>
        <v>43.293066165690462</v>
      </c>
      <c r="AJ503" s="94">
        <f>Table3.110[[#This Row],[Net gas 8h, ml]]*Table3.110[[#This Row],[CH4 8h %]]%</f>
        <v>3.1133267886038123</v>
      </c>
      <c r="AK503" s="94">
        <f>Table3.110[[#This Row],[Net gas 8-24h, ml]]*Table3.110[[#This Row],[CH4 24h, %]]%</f>
        <v>2.5823540730946473</v>
      </c>
      <c r="AL503" s="94">
        <f>Table3.110[[#This Row],[CH4 8-24h, ml]]+Table3.110[[#This Row],[CH4 8h, ml]]</f>
        <v>5.6956808616984596</v>
      </c>
      <c r="AM503" s="94">
        <f>(Table3.110[[#This Row],[Net gas 24h, ml]]/Table3.110[[#This Row],[DM Incubated, mg]])*1000</f>
        <v>92.87367260110338</v>
      </c>
      <c r="AN503" s="94">
        <f>'3.2 Digest'!X503</f>
        <v>29.593484483115056</v>
      </c>
      <c r="AO503" s="94">
        <f>Table3.110[[#This Row],[Digested feed, mg]]/Table3.110[[#This Row],[Net gas 24h, ml]]</f>
        <v>3.1864234130398188</v>
      </c>
      <c r="AP503" s="94">
        <f>Table3.110[[#This Row],[CH4 8h, ml]]/Table3.110[[#This Row],[Net gas 8h, ml]]%</f>
        <v>12.4</v>
      </c>
      <c r="AQ503" s="94">
        <f>Table3.110[[#This Row],[CH4 24h, ml]]/Table3.110[[#This Row],[Net gas 24h, ml]]%</f>
        <v>13.156104120461345</v>
      </c>
      <c r="AR503" s="94">
        <f>Table3.110[[#This Row],[CH4 24h, ml]]/Table3.110[[#This Row],[DM Incubated, mg]]*1000</f>
        <v>12.218557067897541</v>
      </c>
      <c r="AS503" s="94">
        <f>Table3.110[[#This Row],[CH4 24h, ml]]/Table3.110[[#This Row],[Digested feed, mg]]*1000</f>
        <v>41.287997278147486</v>
      </c>
      <c r="AT503" s="94">
        <f>Table3.110[[#This Row],[CH4 24h, ml]]/'3.2 Digest'!AA503</f>
        <v>-0.51886148919025799</v>
      </c>
      <c r="AU503" s="94">
        <f>((Table3.110[[#This Row],[CH4 24h, ml]]/28.9)*16.04)/Table3.110[[#This Row],[DM Incubated, mg]]*1000</f>
        <v>6.7815105664040329</v>
      </c>
      <c r="AV503" s="94">
        <f>((Table3.110[[#This Row],[CH4 24h, ml]]/28.9)*16.04)/Table3.110[[#This Row],[Digested feed, mg]]*1000</f>
        <v>22.915552814584277</v>
      </c>
    </row>
    <row r="504" spans="2:48" s="89" customFormat="1" x14ac:dyDescent="0.35">
      <c r="B504" s="90">
        <f t="shared" si="7"/>
        <v>494</v>
      </c>
      <c r="C504" s="140">
        <v>46050</v>
      </c>
      <c r="D504" s="6" t="s">
        <v>16</v>
      </c>
      <c r="E504" s="6" t="s">
        <v>154</v>
      </c>
      <c r="F504" s="133" t="s">
        <v>99</v>
      </c>
      <c r="G504" s="133" t="s">
        <v>155</v>
      </c>
      <c r="H504" s="133" t="s">
        <v>156</v>
      </c>
      <c r="I504" s="133" t="s">
        <v>22</v>
      </c>
      <c r="J504" s="135" t="s">
        <v>23</v>
      </c>
      <c r="K504" s="135" t="s">
        <v>24</v>
      </c>
      <c r="L504" s="6" t="s">
        <v>153</v>
      </c>
      <c r="M504" s="93">
        <v>28</v>
      </c>
      <c r="N504" s="93">
        <v>61</v>
      </c>
      <c r="O504" s="6">
        <v>2</v>
      </c>
      <c r="P504" s="129">
        <v>3</v>
      </c>
      <c r="Q504" s="6">
        <v>0</v>
      </c>
      <c r="R504" s="98">
        <v>0.50029999999999997</v>
      </c>
      <c r="S504" s="94">
        <f>((Table3.110[[#This Row],[Sample weight, g]]*'2.1. DM'!Q91)/100)*1000</f>
        <v>466.33646238395278</v>
      </c>
      <c r="T504" s="94">
        <f>'3.2 Digest'!W504</f>
        <v>144.53646238395282</v>
      </c>
      <c r="U504" s="117">
        <v>0.33888888888888891</v>
      </c>
      <c r="V504" s="155">
        <v>42</v>
      </c>
      <c r="W504" s="117">
        <v>0.67152777777777772</v>
      </c>
      <c r="X504" s="96">
        <v>70.5</v>
      </c>
      <c r="Y504" s="96">
        <v>12.7</v>
      </c>
      <c r="Z504" s="155">
        <v>40</v>
      </c>
      <c r="AA504" s="117">
        <v>0.375</v>
      </c>
      <c r="AB504" s="155">
        <v>63</v>
      </c>
      <c r="AC504" s="155">
        <v>14</v>
      </c>
      <c r="AD504" s="96" t="s">
        <v>559</v>
      </c>
      <c r="AE504" s="94">
        <f>Table3.110[[#This Row],[Gas 8h, ml]]-Table3.110[[#This Row],[Gas 0h, ml]]</f>
        <v>28.5</v>
      </c>
      <c r="AF504" s="94">
        <f>Table3.110[[#This Row],[Gas 24h, ml]]-Table3.110[[#This Row],[V8 Push back, ml]]</f>
        <v>23</v>
      </c>
      <c r="AG504" s="94">
        <f>Table3.110[[#This Row],[GP 8h, ml]]-(AVERAGE(AE$479,AE$480,AE$660,AE$661,AE$662,AE$663))*AG$8</f>
        <v>25.107474101643646</v>
      </c>
      <c r="AH504" s="94">
        <f>Table3.110[[#This Row],[GP 8-24h, ml]]-(AVERAGE(AF$479,AF$480,AF$660,AF$661,AF$662,AF$663))*AG$8</f>
        <v>18.685592064046812</v>
      </c>
      <c r="AI504" s="94">
        <f>Table3.110[[#This Row],[Net gas 8-24h, ml]]+Table3.110[[#This Row],[Net gas 8h, ml]]</f>
        <v>43.793066165690462</v>
      </c>
      <c r="AJ504" s="94">
        <f>Table3.110[[#This Row],[Net gas 8h, ml]]*Table3.110[[#This Row],[CH4 8h %]]%</f>
        <v>3.1886492109087432</v>
      </c>
      <c r="AK504" s="94">
        <f>Table3.110[[#This Row],[Net gas 8-24h, ml]]*Table3.110[[#This Row],[CH4 24h, %]]%</f>
        <v>2.615982888966554</v>
      </c>
      <c r="AL504" s="94">
        <f>Table3.110[[#This Row],[CH4 8-24h, ml]]+Table3.110[[#This Row],[CH4 8h, ml]]</f>
        <v>5.8046320998752972</v>
      </c>
      <c r="AM504" s="94">
        <f>(Table3.110[[#This Row],[Net gas 24h, ml]]/Table3.110[[#This Row],[DM Incubated, mg]])*1000</f>
        <v>93.908732638697131</v>
      </c>
      <c r="AN504" s="94">
        <f>'3.2 Digest'!X504</f>
        <v>30.994029856698269</v>
      </c>
      <c r="AO504" s="94">
        <f>Table3.110[[#This Row],[Digested feed, mg]]/Table3.110[[#This Row],[Net gas 24h, ml]]</f>
        <v>3.3004417146107357</v>
      </c>
      <c r="AP504" s="94">
        <f>Table3.110[[#This Row],[CH4 8h, ml]]/Table3.110[[#This Row],[Net gas 8h, ml]]%</f>
        <v>12.700000000000001</v>
      </c>
      <c r="AQ504" s="94">
        <f>Table3.110[[#This Row],[CH4 24h, ml]]/Table3.110[[#This Row],[Net gas 24h, ml]]%</f>
        <v>13.254683008295311</v>
      </c>
      <c r="AR504" s="94">
        <f>Table3.110[[#This Row],[CH4 24h, ml]]/Table3.110[[#This Row],[DM Incubated, mg]]*1000</f>
        <v>12.447304828366862</v>
      </c>
      <c r="AS504" s="94">
        <f>Table3.110[[#This Row],[CH4 24h, ml]]/Table3.110[[#This Row],[Digested feed, mg]]*1000</f>
        <v>40.160330508544099</v>
      </c>
      <c r="AT504" s="94">
        <f>Table3.110[[#This Row],[CH4 24h, ml]]/'3.2 Digest'!AA504</f>
        <v>-0.66189806046501953</v>
      </c>
      <c r="AU504" s="94">
        <f>((Table3.110[[#This Row],[CH4 24h, ml]]/28.9)*16.04)/Table3.110[[#This Row],[DM Incubated, mg]]*1000</f>
        <v>6.9084695310382163</v>
      </c>
      <c r="AV504" s="94">
        <f>((Table3.110[[#This Row],[CH4 24h, ml]]/28.9)*16.04)/Table3.110[[#This Row],[Digested feed, mg]]*1000</f>
        <v>22.289678247648698</v>
      </c>
    </row>
    <row r="505" spans="2:48" s="89" customFormat="1" x14ac:dyDescent="0.35">
      <c r="B505" s="90">
        <f t="shared" si="7"/>
        <v>495</v>
      </c>
      <c r="C505" s="140">
        <v>46050</v>
      </c>
      <c r="D505" s="6" t="s">
        <v>16</v>
      </c>
      <c r="E505" s="6" t="s">
        <v>158</v>
      </c>
      <c r="F505" s="133" t="s">
        <v>159</v>
      </c>
      <c r="G505" s="133" t="s">
        <v>160</v>
      </c>
      <c r="H505" s="133" t="s">
        <v>161</v>
      </c>
      <c r="I505" s="133" t="s">
        <v>22</v>
      </c>
      <c r="J505" s="135" t="s">
        <v>23</v>
      </c>
      <c r="K505" s="135" t="s">
        <v>24</v>
      </c>
      <c r="L505" s="6" t="s">
        <v>157</v>
      </c>
      <c r="M505" s="93">
        <v>28</v>
      </c>
      <c r="N505" s="93">
        <v>61</v>
      </c>
      <c r="O505" s="6">
        <v>2</v>
      </c>
      <c r="P505" s="6">
        <v>1</v>
      </c>
      <c r="Q505" s="6">
        <v>0</v>
      </c>
      <c r="R505" s="98">
        <v>0.50009999999999999</v>
      </c>
      <c r="S505" s="94">
        <f>((Table3.110[[#This Row],[Sample weight, g]]*'2.1. DM'!Q93)/100)*1000</f>
        <v>464.03221211515387</v>
      </c>
      <c r="T505" s="94">
        <f>'3.2 Digest'!W505</f>
        <v>94.032212115153868</v>
      </c>
      <c r="U505" s="153">
        <v>0.33958333333333335</v>
      </c>
      <c r="V505" s="154">
        <v>41.5</v>
      </c>
      <c r="W505" s="153">
        <v>0.67222222222222228</v>
      </c>
      <c r="X505" s="91">
        <v>61</v>
      </c>
      <c r="Y505" s="91">
        <v>12.8</v>
      </c>
      <c r="Z505" s="154">
        <v>40.5</v>
      </c>
      <c r="AA505" s="153">
        <v>0.375</v>
      </c>
      <c r="AB505" s="154">
        <v>58</v>
      </c>
      <c r="AC505" s="154">
        <v>13.1</v>
      </c>
      <c r="AD505" s="91"/>
      <c r="AE505" s="94">
        <f>Table3.110[[#This Row],[Gas 8h, ml]]-Table3.110[[#This Row],[Gas 0h, ml]]</f>
        <v>19.5</v>
      </c>
      <c r="AF505" s="94">
        <f>Table3.110[[#This Row],[Gas 24h, ml]]-Table3.110[[#This Row],[V8 Push back, ml]]</f>
        <v>17.5</v>
      </c>
      <c r="AG505" s="94">
        <f>Table3.110[[#This Row],[GP 8h, ml]]-(AVERAGE(AE$479,AE$480,AE$660,AE$661,AE$662,AE$663))*AG$8</f>
        <v>16.107474101643646</v>
      </c>
      <c r="AH505" s="94">
        <f>Table3.110[[#This Row],[GP 8-24h, ml]]-(AVERAGE(AF$479,AF$480,AF$660,AF$661,AF$662,AF$663))*AG$8</f>
        <v>13.185592064046812</v>
      </c>
      <c r="AI505" s="94">
        <f>Table3.110[[#This Row],[Net gas 8-24h, ml]]+Table3.110[[#This Row],[Net gas 8h, ml]]</f>
        <v>29.293066165690458</v>
      </c>
      <c r="AJ505" s="94">
        <f>Table3.110[[#This Row],[Net gas 8h, ml]]*Table3.110[[#This Row],[CH4 8h %]]%</f>
        <v>2.0617566850103866</v>
      </c>
      <c r="AK505" s="94">
        <f>Table3.110[[#This Row],[Net gas 8-24h, ml]]*Table3.110[[#This Row],[CH4 24h, %]]%</f>
        <v>1.7273125603901325</v>
      </c>
      <c r="AL505" s="94">
        <f>Table3.110[[#This Row],[CH4 8-24h, ml]]+Table3.110[[#This Row],[CH4 8h, ml]]</f>
        <v>3.789069245400519</v>
      </c>
      <c r="AM505" s="94">
        <f>(Table3.110[[#This Row],[Net gas 24h, ml]]/Table3.110[[#This Row],[DM Incubated, mg]])*1000</f>
        <v>63.127225655664418</v>
      </c>
      <c r="AN505" s="94">
        <f>'3.2 Digest'!X505</f>
        <v>20.264156164188645</v>
      </c>
      <c r="AO505" s="94">
        <f>Table3.110[[#This Row],[Digested feed, mg]]/Table3.110[[#This Row],[Net gas 24h, ml]]</f>
        <v>3.2100501730777919</v>
      </c>
      <c r="AP505" s="94">
        <f>Table3.110[[#This Row],[CH4 8h, ml]]/Table3.110[[#This Row],[Net gas 8h, ml]]%</f>
        <v>12.799999999999999</v>
      </c>
      <c r="AQ505" s="94">
        <f>Table3.110[[#This Row],[CH4 24h, ml]]/Table3.110[[#This Row],[Net gas 24h, ml]]%</f>
        <v>12.935038018787093</v>
      </c>
      <c r="AR505" s="94">
        <f>Table3.110[[#This Row],[CH4 24h, ml]]/Table3.110[[#This Row],[DM Incubated, mg]]*1000</f>
        <v>8.1655306387657127</v>
      </c>
      <c r="AS505" s="94">
        <f>Table3.110[[#This Row],[CH4 24h, ml]]/Table3.110[[#This Row],[Digested feed, mg]]*1000</f>
        <v>40.295438766880686</v>
      </c>
      <c r="AT505" s="94">
        <f>Table3.110[[#This Row],[CH4 24h, ml]]/'3.2 Digest'!AA505</f>
        <v>-7.6681268738832076E-2</v>
      </c>
      <c r="AU505" s="94">
        <f>((Table3.110[[#This Row],[CH4 24h, ml]]/28.9)*16.04)/Table3.110[[#This Row],[DM Incubated, mg]]*1000</f>
        <v>4.5320107766713509</v>
      </c>
      <c r="AV505" s="94">
        <f>((Table3.110[[#This Row],[CH4 24h, ml]]/28.9)*16.04)/Table3.110[[#This Row],[Digested feed, mg]]*1000</f>
        <v>22.364665668538628</v>
      </c>
    </row>
    <row r="506" spans="2:48" s="89" customFormat="1" x14ac:dyDescent="0.35">
      <c r="B506" s="90">
        <f t="shared" si="7"/>
        <v>496</v>
      </c>
      <c r="C506" s="140">
        <v>46050</v>
      </c>
      <c r="D506" s="6" t="s">
        <v>16</v>
      </c>
      <c r="E506" s="6" t="s">
        <v>158</v>
      </c>
      <c r="F506" s="133" t="s">
        <v>159</v>
      </c>
      <c r="G506" s="133" t="s">
        <v>160</v>
      </c>
      <c r="H506" s="133" t="s">
        <v>161</v>
      </c>
      <c r="I506" s="133" t="s">
        <v>22</v>
      </c>
      <c r="J506" s="135" t="s">
        <v>23</v>
      </c>
      <c r="K506" s="135" t="s">
        <v>24</v>
      </c>
      <c r="L506" s="6" t="s">
        <v>157</v>
      </c>
      <c r="M506" s="93">
        <v>28</v>
      </c>
      <c r="N506" s="93">
        <v>61</v>
      </c>
      <c r="O506" s="6">
        <v>2</v>
      </c>
      <c r="P506" s="129">
        <v>2</v>
      </c>
      <c r="Q506" s="6">
        <v>0</v>
      </c>
      <c r="R506" s="98">
        <v>0.50019999999999998</v>
      </c>
      <c r="S506" s="94">
        <f>((Table3.110[[#This Row],[Sample weight, g]]*'2.1. DM'!Q93)/100)*1000</f>
        <v>464.12499999999989</v>
      </c>
      <c r="T506" s="94">
        <f>'3.2 Digest'!W506</f>
        <v>89.824999999999932</v>
      </c>
      <c r="U506" s="117">
        <v>0.33958333333333335</v>
      </c>
      <c r="V506" s="155">
        <v>42</v>
      </c>
      <c r="W506" s="117">
        <v>0.67291666666666672</v>
      </c>
      <c r="X506" s="96">
        <v>60.5</v>
      </c>
      <c r="Y506" s="96">
        <v>12.7</v>
      </c>
      <c r="Z506" s="155">
        <v>40</v>
      </c>
      <c r="AA506" s="117">
        <v>0.37569444444444444</v>
      </c>
      <c r="AB506" s="155">
        <v>57</v>
      </c>
      <c r="AC506" s="155">
        <v>12.9</v>
      </c>
      <c r="AD506" s="96"/>
      <c r="AE506" s="94">
        <f>Table3.110[[#This Row],[Gas 8h, ml]]-Table3.110[[#This Row],[Gas 0h, ml]]</f>
        <v>18.5</v>
      </c>
      <c r="AF506" s="94">
        <f>Table3.110[[#This Row],[Gas 24h, ml]]-Table3.110[[#This Row],[V8 Push back, ml]]</f>
        <v>17</v>
      </c>
      <c r="AG506" s="94">
        <f>Table3.110[[#This Row],[GP 8h, ml]]-(AVERAGE(AE$479,AE$480,AE$660,AE$661,AE$662,AE$663))*AG$8</f>
        <v>15.107474101643646</v>
      </c>
      <c r="AH506" s="94">
        <f>Table3.110[[#This Row],[GP 8-24h, ml]]-(AVERAGE(AF$479,AF$480,AF$660,AF$661,AF$662,AF$663))*AG$8</f>
        <v>12.685592064046812</v>
      </c>
      <c r="AI506" s="94">
        <f>Table3.110[[#This Row],[Net gas 8-24h, ml]]+Table3.110[[#This Row],[Net gas 8h, ml]]</f>
        <v>27.793066165690458</v>
      </c>
      <c r="AJ506" s="94">
        <f>Table3.110[[#This Row],[Net gas 8h, ml]]*Table3.110[[#This Row],[CH4 8h %]]%</f>
        <v>1.9186492109087432</v>
      </c>
      <c r="AK506" s="94">
        <f>Table3.110[[#This Row],[Net gas 8-24h, ml]]*Table3.110[[#This Row],[CH4 24h, %]]%</f>
        <v>1.6364413762620389</v>
      </c>
      <c r="AL506" s="94">
        <f>Table3.110[[#This Row],[CH4 8-24h, ml]]+Table3.110[[#This Row],[CH4 8h, ml]]</f>
        <v>3.5550905871707821</v>
      </c>
      <c r="AM506" s="94">
        <f>(Table3.110[[#This Row],[Net gas 24h, ml]]/Table3.110[[#This Row],[DM Incubated, mg]])*1000</f>
        <v>59.882717297474741</v>
      </c>
      <c r="AN506" s="94">
        <f>'3.2 Digest'!X506</f>
        <v>19.353622407756522</v>
      </c>
      <c r="AO506" s="94">
        <f>Table3.110[[#This Row],[Digested feed, mg]]/Table3.110[[#This Row],[Net gas 24h, ml]]</f>
        <v>3.2319212088548066</v>
      </c>
      <c r="AP506" s="94">
        <f>Table3.110[[#This Row],[CH4 8h, ml]]/Table3.110[[#This Row],[Net gas 8h, ml]]%</f>
        <v>12.7</v>
      </c>
      <c r="AQ506" s="94">
        <f>Table3.110[[#This Row],[CH4 24h, ml]]/Table3.110[[#This Row],[Net gas 24h, ml]]%</f>
        <v>12.79128602068171</v>
      </c>
      <c r="AR506" s="94">
        <f>Table3.110[[#This Row],[CH4 24h, ml]]/Table3.110[[#This Row],[DM Incubated, mg]]*1000</f>
        <v>7.6597696464762359</v>
      </c>
      <c r="AS506" s="94">
        <f>Table3.110[[#This Row],[CH4 24h, ml]]/Table3.110[[#This Row],[Digested feed, mg]]*1000</f>
        <v>39.577963675711494</v>
      </c>
      <c r="AT506" s="94">
        <f>Table3.110[[#This Row],[CH4 24h, ml]]/'3.2 Digest'!AA506</f>
        <v>-6.9544791230070513E-2</v>
      </c>
      <c r="AU506" s="94">
        <f>((Table3.110[[#This Row],[CH4 24h, ml]]/28.9)*16.04)/Table3.110[[#This Row],[DM Incubated, mg]]*1000</f>
        <v>4.2513046757605126</v>
      </c>
      <c r="AV506" s="94">
        <f>((Table3.110[[#This Row],[CH4 24h, ml]]/28.9)*16.04)/Table3.110[[#This Row],[Digested feed, mg]]*1000</f>
        <v>21.966454579875858</v>
      </c>
    </row>
    <row r="507" spans="2:48" s="89" customFormat="1" x14ac:dyDescent="0.35">
      <c r="B507" s="90">
        <f t="shared" si="7"/>
        <v>497</v>
      </c>
      <c r="C507" s="140">
        <v>46050</v>
      </c>
      <c r="D507" s="6" t="s">
        <v>16</v>
      </c>
      <c r="E507" s="6" t="s">
        <v>158</v>
      </c>
      <c r="F507" s="133" t="s">
        <v>159</v>
      </c>
      <c r="G507" s="133" t="s">
        <v>160</v>
      </c>
      <c r="H507" s="133" t="s">
        <v>161</v>
      </c>
      <c r="I507" s="133" t="s">
        <v>22</v>
      </c>
      <c r="J507" s="135" t="s">
        <v>23</v>
      </c>
      <c r="K507" s="135" t="s">
        <v>24</v>
      </c>
      <c r="L507" s="6" t="s">
        <v>157</v>
      </c>
      <c r="M507" s="93">
        <v>28</v>
      </c>
      <c r="N507" s="93">
        <v>61</v>
      </c>
      <c r="O507" s="6">
        <v>2</v>
      </c>
      <c r="P507" s="129">
        <v>3</v>
      </c>
      <c r="Q507" s="6">
        <v>0</v>
      </c>
      <c r="R507" s="98">
        <v>0.50009999999999999</v>
      </c>
      <c r="S507" s="94">
        <f>((Table3.110[[#This Row],[Sample weight, g]]*'2.1. DM'!Q93)/100)*1000</f>
        <v>464.03221211515387</v>
      </c>
      <c r="T507" s="94">
        <f>'3.2 Digest'!W507</f>
        <v>134.43221211515385</v>
      </c>
      <c r="U507" s="153">
        <v>0.33958333333333335</v>
      </c>
      <c r="V507" s="154">
        <v>42</v>
      </c>
      <c r="W507" s="153">
        <v>0.67361111111111116</v>
      </c>
      <c r="X507" s="91">
        <v>62</v>
      </c>
      <c r="Y507" s="91">
        <v>11.8</v>
      </c>
      <c r="Z507" s="154">
        <v>40</v>
      </c>
      <c r="AA507" s="153">
        <v>0.37638888888888888</v>
      </c>
      <c r="AB507" s="154">
        <v>56.5</v>
      </c>
      <c r="AC507" s="154">
        <v>12.9</v>
      </c>
      <c r="AD507" s="91"/>
      <c r="AE507" s="94">
        <f>Table3.110[[#This Row],[Gas 8h, ml]]-Table3.110[[#This Row],[Gas 0h, ml]]</f>
        <v>20</v>
      </c>
      <c r="AF507" s="94">
        <f>Table3.110[[#This Row],[Gas 24h, ml]]-Table3.110[[#This Row],[V8 Push back, ml]]</f>
        <v>16.5</v>
      </c>
      <c r="AG507" s="94">
        <f>Table3.110[[#This Row],[GP 8h, ml]]-(AVERAGE(AE$479,AE$480,AE$660,AE$661,AE$662,AE$663))*AG$8</f>
        <v>16.607474101643646</v>
      </c>
      <c r="AH507" s="94">
        <f>Table3.110[[#This Row],[GP 8-24h, ml]]-(AVERAGE(AF$479,AF$480,AF$660,AF$661,AF$662,AF$663))*AG$8</f>
        <v>12.185592064046812</v>
      </c>
      <c r="AI507" s="94">
        <f>Table3.110[[#This Row],[Net gas 8-24h, ml]]+Table3.110[[#This Row],[Net gas 8h, ml]]</f>
        <v>28.793066165690458</v>
      </c>
      <c r="AJ507" s="94">
        <f>Table3.110[[#This Row],[Net gas 8h, ml]]*Table3.110[[#This Row],[CH4 8h %]]%</f>
        <v>1.9596819439939503</v>
      </c>
      <c r="AK507" s="94">
        <f>Table3.110[[#This Row],[Net gas 8-24h, ml]]*Table3.110[[#This Row],[CH4 24h, %]]%</f>
        <v>1.5719413762620389</v>
      </c>
      <c r="AL507" s="94">
        <f>Table3.110[[#This Row],[CH4 8-24h, ml]]+Table3.110[[#This Row],[CH4 8h, ml]]</f>
        <v>3.5316233202559895</v>
      </c>
      <c r="AM507" s="94">
        <f>(Table3.110[[#This Row],[Net gas 24h, ml]]/Table3.110[[#This Row],[DM Incubated, mg]])*1000</f>
        <v>62.049714252477784</v>
      </c>
      <c r="AN507" s="94">
        <f>'3.2 Digest'!X507</f>
        <v>28.970448301936692</v>
      </c>
      <c r="AO507" s="94">
        <f>Table3.110[[#This Row],[Digested feed, mg]]/Table3.110[[#This Row],[Net gas 24h, ml]]</f>
        <v>4.6689092207672545</v>
      </c>
      <c r="AP507" s="94">
        <f>Table3.110[[#This Row],[CH4 8h, ml]]/Table3.110[[#This Row],[Net gas 8h, ml]]%</f>
        <v>11.8</v>
      </c>
      <c r="AQ507" s="94">
        <f>Table3.110[[#This Row],[CH4 24h, ml]]/Table3.110[[#This Row],[Net gas 24h, ml]]%</f>
        <v>12.26553400021092</v>
      </c>
      <c r="AR507" s="94">
        <f>Table3.110[[#This Row],[CH4 24h, ml]]/Table3.110[[#This Row],[DM Incubated, mg]]*1000</f>
        <v>7.6107287986713832</v>
      </c>
      <c r="AS507" s="94">
        <f>Table3.110[[#This Row],[CH4 24h, ml]]/Table3.110[[#This Row],[Digested feed, mg]]*1000</f>
        <v>26.27066284701781</v>
      </c>
      <c r="AT507" s="94">
        <f>Table3.110[[#This Row],[CH4 24h, ml]]/'3.2 Digest'!AA507</f>
        <v>-0.10669904532924407</v>
      </c>
      <c r="AU507" s="94">
        <f>((Table3.110[[#This Row],[CH4 24h, ml]]/28.9)*16.04)/Table3.110[[#This Row],[DM Incubated, mg]]*1000</f>
        <v>4.2240861567712455</v>
      </c>
      <c r="AV507" s="94">
        <f>((Table3.110[[#This Row],[CH4 24h, ml]]/28.9)*16.04)/Table3.110[[#This Row],[Digested feed, mg]]*1000</f>
        <v>14.580672389832721</v>
      </c>
    </row>
    <row r="508" spans="2:48" s="89" customFormat="1" x14ac:dyDescent="0.35">
      <c r="B508" s="90">
        <f t="shared" si="7"/>
        <v>498</v>
      </c>
      <c r="C508" s="140">
        <v>46050</v>
      </c>
      <c r="D508" s="6" t="s">
        <v>16</v>
      </c>
      <c r="E508" s="6" t="s">
        <v>163</v>
      </c>
      <c r="F508" s="133" t="s">
        <v>129</v>
      </c>
      <c r="G508" s="133" t="s">
        <v>164</v>
      </c>
      <c r="H508" s="133" t="s">
        <v>165</v>
      </c>
      <c r="I508" s="133" t="s">
        <v>22</v>
      </c>
      <c r="J508" s="135" t="s">
        <v>23</v>
      </c>
      <c r="K508" s="135" t="s">
        <v>24</v>
      </c>
      <c r="L508" s="6" t="s">
        <v>162</v>
      </c>
      <c r="M508" s="93">
        <v>28</v>
      </c>
      <c r="N508" s="93">
        <v>61</v>
      </c>
      <c r="O508" s="6">
        <v>2</v>
      </c>
      <c r="P508" s="6">
        <v>1</v>
      </c>
      <c r="Q508" s="6">
        <v>0</v>
      </c>
      <c r="R508" s="98">
        <v>0.50029999999999997</v>
      </c>
      <c r="S508" s="94">
        <f>((Table3.110[[#This Row],[Sample weight, g]]*'2.1. DM'!Q95)/100)*1000</f>
        <v>466.46363974558199</v>
      </c>
      <c r="T508" s="94">
        <f>'3.2 Digest'!W508</f>
        <v>172.36363974558196</v>
      </c>
      <c r="U508" s="117">
        <v>0.34097222222222223</v>
      </c>
      <c r="V508" s="155">
        <v>41</v>
      </c>
      <c r="W508" s="117">
        <v>0.67361111111111116</v>
      </c>
      <c r="X508" s="96">
        <v>69.5</v>
      </c>
      <c r="Y508" s="96">
        <v>14.9</v>
      </c>
      <c r="Z508" s="155">
        <v>40</v>
      </c>
      <c r="AA508" s="117">
        <v>0.37638888888888888</v>
      </c>
      <c r="AB508" s="155">
        <v>72</v>
      </c>
      <c r="AC508" s="155">
        <v>16</v>
      </c>
      <c r="AD508" s="96" t="s">
        <v>567</v>
      </c>
      <c r="AE508" s="94">
        <f>Table3.110[[#This Row],[Gas 8h, ml]]-Table3.110[[#This Row],[Gas 0h, ml]]</f>
        <v>28.5</v>
      </c>
      <c r="AF508" s="94">
        <f>Table3.110[[#This Row],[Gas 24h, ml]]-Table3.110[[#This Row],[V8 Push back, ml]]</f>
        <v>32</v>
      </c>
      <c r="AG508" s="94">
        <f>Table3.110[[#This Row],[GP 8h, ml]]-(AVERAGE(AE$479,AE$480,AE$660,AE$661,AE$662,AE$663))*AG$8</f>
        <v>25.107474101643646</v>
      </c>
      <c r="AH508" s="94">
        <f>Table3.110[[#This Row],[GP 8-24h, ml]]-(AVERAGE(AF$479,AF$480,AF$660,AF$661,AF$662,AF$663))*AG$8</f>
        <v>27.685592064046812</v>
      </c>
      <c r="AI508" s="94">
        <f>Table3.110[[#This Row],[Net gas 8-24h, ml]]+Table3.110[[#This Row],[Net gas 8h, ml]]</f>
        <v>52.793066165690462</v>
      </c>
      <c r="AJ508" s="94">
        <f>Table3.110[[#This Row],[Net gas 8h, ml]]*Table3.110[[#This Row],[CH4 8h %]]%</f>
        <v>3.7410136411449031</v>
      </c>
      <c r="AK508" s="94">
        <f>Table3.110[[#This Row],[Net gas 8-24h, ml]]*Table3.110[[#This Row],[CH4 24h, %]]%</f>
        <v>4.4296947302474896</v>
      </c>
      <c r="AL508" s="94">
        <f>Table3.110[[#This Row],[CH4 8-24h, ml]]+Table3.110[[#This Row],[CH4 8h, ml]]</f>
        <v>8.1707083713923936</v>
      </c>
      <c r="AM508" s="94">
        <f>(Table3.110[[#This Row],[Net gas 24h, ml]]/Table3.110[[#This Row],[DM Incubated, mg]])*1000</f>
        <v>113.1772375537883</v>
      </c>
      <c r="AN508" s="94">
        <f>'3.2 Digest'!X508</f>
        <v>36.95114153797546</v>
      </c>
      <c r="AO508" s="94">
        <f>Table3.110[[#This Row],[Digested feed, mg]]/Table3.110[[#This Row],[Net gas 24h, ml]]</f>
        <v>3.2648916280903362</v>
      </c>
      <c r="AP508" s="94">
        <f>Table3.110[[#This Row],[CH4 8h, ml]]/Table3.110[[#This Row],[Net gas 8h, ml]]%</f>
        <v>14.9</v>
      </c>
      <c r="AQ508" s="94">
        <f>Table3.110[[#This Row],[CH4 24h, ml]]/Table3.110[[#This Row],[Net gas 24h, ml]]%</f>
        <v>15.476858922625775</v>
      </c>
      <c r="AR508" s="94">
        <f>Table3.110[[#This Row],[CH4 24h, ml]]/Table3.110[[#This Row],[DM Incubated, mg]]*1000</f>
        <v>17.516281388724856</v>
      </c>
      <c r="AS508" s="94">
        <f>Table3.110[[#This Row],[CH4 24h, ml]]/Table3.110[[#This Row],[Digested feed, mg]]*1000</f>
        <v>47.40389784906376</v>
      </c>
      <c r="AT508" s="94">
        <f>Table3.110[[#This Row],[CH4 24h, ml]]/'3.2 Digest'!AA508</f>
        <v>1.0282726768142654</v>
      </c>
      <c r="AU508" s="94">
        <f>((Table3.110[[#This Row],[CH4 24h, ml]]/28.9)*16.04)/Table3.110[[#This Row],[DM Incubated, mg]]*1000</f>
        <v>9.72183922059331</v>
      </c>
      <c r="AV508" s="94">
        <f>((Table3.110[[#This Row],[CH4 24h, ml]]/28.9)*16.04)/Table3.110[[#This Row],[Digested feed, mg]]*1000</f>
        <v>26.309983442871374</v>
      </c>
    </row>
    <row r="509" spans="2:48" s="89" customFormat="1" x14ac:dyDescent="0.35">
      <c r="B509" s="90">
        <f t="shared" si="7"/>
        <v>499</v>
      </c>
      <c r="C509" s="140">
        <v>46050</v>
      </c>
      <c r="D509" s="6" t="s">
        <v>16</v>
      </c>
      <c r="E509" s="6" t="s">
        <v>163</v>
      </c>
      <c r="F509" s="133" t="s">
        <v>129</v>
      </c>
      <c r="G509" s="133" t="s">
        <v>164</v>
      </c>
      <c r="H509" s="133" t="s">
        <v>165</v>
      </c>
      <c r="I509" s="133" t="s">
        <v>22</v>
      </c>
      <c r="J509" s="135" t="s">
        <v>23</v>
      </c>
      <c r="K509" s="135" t="s">
        <v>24</v>
      </c>
      <c r="L509" s="6" t="s">
        <v>162</v>
      </c>
      <c r="M509" s="93">
        <v>28</v>
      </c>
      <c r="N509" s="93">
        <v>61</v>
      </c>
      <c r="O509" s="6">
        <v>2</v>
      </c>
      <c r="P509" s="129">
        <v>2</v>
      </c>
      <c r="Q509" s="6">
        <v>0</v>
      </c>
      <c r="R509" s="98">
        <v>0.50039999999999996</v>
      </c>
      <c r="S509" s="94">
        <f>((Table3.110[[#This Row],[Sample weight, g]]*'2.1. DM'!Q95)/100)*1000</f>
        <v>466.55687653145958</v>
      </c>
      <c r="T509" s="94">
        <f>'3.2 Digest'!W509</f>
        <v>134.45687653145961</v>
      </c>
      <c r="U509" s="153">
        <v>0.34097222222222223</v>
      </c>
      <c r="V509" s="154">
        <v>41</v>
      </c>
      <c r="W509" s="153">
        <v>0.6743055555555556</v>
      </c>
      <c r="X509" s="91">
        <v>69.5</v>
      </c>
      <c r="Y509" s="91">
        <v>15</v>
      </c>
      <c r="Z509" s="154">
        <v>40</v>
      </c>
      <c r="AA509" s="153">
        <v>0.37708333333333333</v>
      </c>
      <c r="AB509" s="154">
        <v>73</v>
      </c>
      <c r="AC509" s="154">
        <v>15.9</v>
      </c>
      <c r="AD509" s="91"/>
      <c r="AE509" s="94">
        <f>Table3.110[[#This Row],[Gas 8h, ml]]-Table3.110[[#This Row],[Gas 0h, ml]]</f>
        <v>28.5</v>
      </c>
      <c r="AF509" s="94">
        <f>Table3.110[[#This Row],[Gas 24h, ml]]-Table3.110[[#This Row],[V8 Push back, ml]]</f>
        <v>33</v>
      </c>
      <c r="AG509" s="94">
        <f>Table3.110[[#This Row],[GP 8h, ml]]-(AVERAGE(AE$479,AE$480,AE$660,AE$661,AE$662,AE$663))*AG$8</f>
        <v>25.107474101643646</v>
      </c>
      <c r="AH509" s="94">
        <f>Table3.110[[#This Row],[GP 8-24h, ml]]-(AVERAGE(AF$479,AF$480,AF$660,AF$661,AF$662,AF$663))*AG$8</f>
        <v>28.685592064046812</v>
      </c>
      <c r="AI509" s="94">
        <f>Table3.110[[#This Row],[Net gas 8-24h, ml]]+Table3.110[[#This Row],[Net gas 8h, ml]]</f>
        <v>53.793066165690462</v>
      </c>
      <c r="AJ509" s="94">
        <f>Table3.110[[#This Row],[Net gas 8h, ml]]*Table3.110[[#This Row],[CH4 8h %]]%</f>
        <v>3.7661211152465466</v>
      </c>
      <c r="AK509" s="94">
        <f>Table3.110[[#This Row],[Net gas 8-24h, ml]]*Table3.110[[#This Row],[CH4 24h, %]]%</f>
        <v>4.5610091381834428</v>
      </c>
      <c r="AL509" s="94">
        <f>Table3.110[[#This Row],[CH4 8-24h, ml]]+Table3.110[[#This Row],[CH4 8h, ml]]</f>
        <v>8.3271302534299885</v>
      </c>
      <c r="AM509" s="94">
        <f>(Table3.110[[#This Row],[Net gas 24h, ml]]/Table3.110[[#This Row],[DM Incubated, mg]])*1000</f>
        <v>115.29798160002736</v>
      </c>
      <c r="AN509" s="94">
        <f>'3.2 Digest'!X509</f>
        <v>28.818967910420092</v>
      </c>
      <c r="AO509" s="94">
        <f>Table3.110[[#This Row],[Digested feed, mg]]/Table3.110[[#This Row],[Net gas 24h, ml]]</f>
        <v>2.4995205909496381</v>
      </c>
      <c r="AP509" s="94">
        <f>Table3.110[[#This Row],[CH4 8h, ml]]/Table3.110[[#This Row],[Net gas 8h, ml]]%</f>
        <v>15</v>
      </c>
      <c r="AQ509" s="94">
        <f>Table3.110[[#This Row],[CH4 24h, ml]]/Table3.110[[#This Row],[Net gas 24h, ml]]%</f>
        <v>15.479932353700042</v>
      </c>
      <c r="AR509" s="94">
        <f>Table3.110[[#This Row],[CH4 24h, ml]]/Table3.110[[#This Row],[DM Incubated, mg]]*1000</f>
        <v>17.848049556865757</v>
      </c>
      <c r="AS509" s="94">
        <f>Table3.110[[#This Row],[CH4 24h, ml]]/Table3.110[[#This Row],[Digested feed, mg]]*1000</f>
        <v>61.931605643699783</v>
      </c>
      <c r="AT509" s="94">
        <f>Table3.110[[#This Row],[CH4 24h, ml]]/'3.2 Digest'!AA509</f>
        <v>-2.1203417700046852</v>
      </c>
      <c r="AU509" s="94">
        <f>((Table3.110[[#This Row],[CH4 24h, ml]]/28.9)*16.04)/Table3.110[[#This Row],[DM Incubated, mg]]*1000</f>
        <v>9.9059762938452156</v>
      </c>
      <c r="AV509" s="94">
        <f>((Table3.110[[#This Row],[CH4 24h, ml]]/28.9)*16.04)/Table3.110[[#This Row],[Digested feed, mg]]*1000</f>
        <v>34.373112613319876</v>
      </c>
    </row>
    <row r="510" spans="2:48" s="89" customFormat="1" x14ac:dyDescent="0.35">
      <c r="B510" s="90">
        <f t="shared" si="7"/>
        <v>500</v>
      </c>
      <c r="C510" s="140">
        <v>46050</v>
      </c>
      <c r="D510" s="6" t="s">
        <v>16</v>
      </c>
      <c r="E510" s="6" t="s">
        <v>163</v>
      </c>
      <c r="F510" s="133" t="s">
        <v>129</v>
      </c>
      <c r="G510" s="133" t="s">
        <v>164</v>
      </c>
      <c r="H510" s="133" t="s">
        <v>165</v>
      </c>
      <c r="I510" s="133" t="s">
        <v>22</v>
      </c>
      <c r="J510" s="135" t="s">
        <v>23</v>
      </c>
      <c r="K510" s="135" t="s">
        <v>24</v>
      </c>
      <c r="L510" s="6" t="s">
        <v>162</v>
      </c>
      <c r="M510" s="93">
        <v>28</v>
      </c>
      <c r="N510" s="93">
        <v>61</v>
      </c>
      <c r="O510" s="6">
        <v>2</v>
      </c>
      <c r="P510" s="129">
        <v>3</v>
      </c>
      <c r="Q510" s="6">
        <v>0</v>
      </c>
      <c r="R510" s="98">
        <v>0.5</v>
      </c>
      <c r="S510" s="94">
        <f>((Table3.110[[#This Row],[Sample weight, g]]*'2.1. DM'!Q95)/100)*1000</f>
        <v>466.18392938794926</v>
      </c>
      <c r="T510" s="94">
        <f>'3.2 Digest'!W510</f>
        <v>143.98392938794922</v>
      </c>
      <c r="U510" s="117">
        <v>0.34097222222222223</v>
      </c>
      <c r="V510" s="155">
        <v>41.5</v>
      </c>
      <c r="W510" s="117">
        <v>0.67500000000000004</v>
      </c>
      <c r="X510" s="96">
        <v>68.5</v>
      </c>
      <c r="Y510" s="96">
        <v>15.1</v>
      </c>
      <c r="Z510" s="155">
        <v>40.5</v>
      </c>
      <c r="AA510" s="117">
        <v>0.37777777777777777</v>
      </c>
      <c r="AB510" s="155">
        <v>73</v>
      </c>
      <c r="AC510" s="155">
        <v>16.100000000000001</v>
      </c>
      <c r="AD510" s="96"/>
      <c r="AE510" s="94">
        <f>Table3.110[[#This Row],[Gas 8h, ml]]-Table3.110[[#This Row],[Gas 0h, ml]]</f>
        <v>27</v>
      </c>
      <c r="AF510" s="94">
        <f>Table3.110[[#This Row],[Gas 24h, ml]]-Table3.110[[#This Row],[V8 Push back, ml]]</f>
        <v>32.5</v>
      </c>
      <c r="AG510" s="94">
        <f>Table3.110[[#This Row],[GP 8h, ml]]-(AVERAGE(AE$479,AE$480,AE$660,AE$661,AE$662,AE$663))*AG$8</f>
        <v>23.607474101643646</v>
      </c>
      <c r="AH510" s="94">
        <f>Table3.110[[#This Row],[GP 8-24h, ml]]-(AVERAGE(AF$479,AF$480,AF$660,AF$661,AF$662,AF$663))*AG$8</f>
        <v>28.185592064046812</v>
      </c>
      <c r="AI510" s="94">
        <f>Table3.110[[#This Row],[Net gas 8-24h, ml]]+Table3.110[[#This Row],[Net gas 8h, ml]]</f>
        <v>51.793066165690462</v>
      </c>
      <c r="AJ510" s="94">
        <f>Table3.110[[#This Row],[Net gas 8h, ml]]*Table3.110[[#This Row],[CH4 8h %]]%</f>
        <v>3.5647285893481904</v>
      </c>
      <c r="AK510" s="94">
        <f>Table3.110[[#This Row],[Net gas 8-24h, ml]]*Table3.110[[#This Row],[CH4 24h, %]]%</f>
        <v>4.5378803223115369</v>
      </c>
      <c r="AL510" s="94">
        <f>Table3.110[[#This Row],[CH4 8-24h, ml]]+Table3.110[[#This Row],[CH4 8h, ml]]</f>
        <v>8.1026089116597273</v>
      </c>
      <c r="AM510" s="94">
        <f>(Table3.110[[#This Row],[Net gas 24h, ml]]/Table3.110[[#This Row],[DM Incubated, mg]])*1000</f>
        <v>111.10006780733377</v>
      </c>
      <c r="AN510" s="94">
        <f>'3.2 Digest'!X510</f>
        <v>30.885648412845345</v>
      </c>
      <c r="AO510" s="94">
        <f>Table3.110[[#This Row],[Digested feed, mg]]/Table3.110[[#This Row],[Net gas 24h, ml]]</f>
        <v>2.7799846590918613</v>
      </c>
      <c r="AP510" s="94">
        <f>Table3.110[[#This Row],[CH4 8h, ml]]/Table3.110[[#This Row],[Net gas 8h, ml]]%</f>
        <v>15.099999999999998</v>
      </c>
      <c r="AQ510" s="94">
        <f>Table3.110[[#This Row],[CH4 24h, ml]]/Table3.110[[#This Row],[Net gas 24h, ml]]%</f>
        <v>15.644196243834621</v>
      </c>
      <c r="AR510" s="94">
        <f>Table3.110[[#This Row],[CH4 24h, ml]]/Table3.110[[#This Row],[DM Incubated, mg]]*1000</f>
        <v>17.380712634812625</v>
      </c>
      <c r="AS510" s="94">
        <f>Table3.110[[#This Row],[CH4 24h, ml]]/Table3.110[[#This Row],[Digested feed, mg]]*1000</f>
        <v>56.274397747738355</v>
      </c>
      <c r="AT510" s="94">
        <f>Table3.110[[#This Row],[CH4 24h, ml]]/'3.2 Digest'!AA510</f>
        <v>-8.905734512139901</v>
      </c>
      <c r="AU510" s="94">
        <f>((Table3.110[[#This Row],[CH4 24h, ml]]/28.9)*16.04)/Table3.110[[#This Row],[DM Incubated, mg]]*1000</f>
        <v>9.6465962166918544</v>
      </c>
      <c r="AV510" s="94">
        <f>((Table3.110[[#This Row],[CH4 24h, ml]]/28.9)*16.04)/Table3.110[[#This Row],[Digested feed, mg]]*1000</f>
        <v>31.233264355492153</v>
      </c>
    </row>
    <row r="511" spans="2:48" s="89" customFormat="1" x14ac:dyDescent="0.35">
      <c r="B511" s="90">
        <f t="shared" si="7"/>
        <v>501</v>
      </c>
      <c r="C511" s="140">
        <v>46050</v>
      </c>
      <c r="D511" s="6" t="s">
        <v>16</v>
      </c>
      <c r="E511" s="6" t="s">
        <v>167</v>
      </c>
      <c r="F511" s="133" t="s">
        <v>88</v>
      </c>
      <c r="G511" s="133" t="s">
        <v>168</v>
      </c>
      <c r="H511" s="133" t="s">
        <v>169</v>
      </c>
      <c r="I511" s="133" t="s">
        <v>22</v>
      </c>
      <c r="J511" s="135" t="s">
        <v>23</v>
      </c>
      <c r="K511" s="135" t="s">
        <v>24</v>
      </c>
      <c r="L511" s="6" t="s">
        <v>166</v>
      </c>
      <c r="M511" s="93">
        <v>28</v>
      </c>
      <c r="N511" s="93">
        <v>61</v>
      </c>
      <c r="O511" s="6">
        <v>2</v>
      </c>
      <c r="P511" s="6">
        <v>1</v>
      </c>
      <c r="Q511" s="6">
        <v>0</v>
      </c>
      <c r="R511" s="98">
        <v>0.50009999999999999</v>
      </c>
      <c r="S511" s="94">
        <f>((Table3.110[[#This Row],[Sample weight, g]]*'2.1. DM'!Q97)/100)*1000</f>
        <v>473.17368709287211</v>
      </c>
      <c r="T511" s="94">
        <f>'3.2 Digest'!W511</f>
        <v>162.07368709287209</v>
      </c>
      <c r="U511" s="153">
        <v>0.34097222222222223</v>
      </c>
      <c r="V511" s="154">
        <v>40.5</v>
      </c>
      <c r="W511" s="153">
        <v>0.67569444444444449</v>
      </c>
      <c r="X511" s="91">
        <v>79.5</v>
      </c>
      <c r="Y511" s="91">
        <v>14.4</v>
      </c>
      <c r="Z511" s="154">
        <v>40</v>
      </c>
      <c r="AA511" s="153">
        <v>0.37777777777777777</v>
      </c>
      <c r="AB511" s="154">
        <v>74.5</v>
      </c>
      <c r="AC511" s="154">
        <v>18.2</v>
      </c>
      <c r="AD511" s="91"/>
      <c r="AE511" s="94">
        <f>Table3.110[[#This Row],[Gas 8h, ml]]-Table3.110[[#This Row],[Gas 0h, ml]]</f>
        <v>39</v>
      </c>
      <c r="AF511" s="94">
        <f>Table3.110[[#This Row],[Gas 24h, ml]]-Table3.110[[#This Row],[V8 Push back, ml]]</f>
        <v>34.5</v>
      </c>
      <c r="AG511" s="94">
        <f>Table3.110[[#This Row],[GP 8h, ml]]-(AVERAGE(AE$479,AE$480,AE$660,AE$661,AE$662,AE$663))*AG$8</f>
        <v>35.607474101643646</v>
      </c>
      <c r="AH511" s="94">
        <f>Table3.110[[#This Row],[GP 8-24h, ml]]-(AVERAGE(AF$479,AF$480,AF$660,AF$661,AF$662,AF$663))*AG$8</f>
        <v>30.185592064046812</v>
      </c>
      <c r="AI511" s="94">
        <f>Table3.110[[#This Row],[Net gas 8-24h, ml]]+Table3.110[[#This Row],[Net gas 8h, ml]]</f>
        <v>65.793066165690462</v>
      </c>
      <c r="AJ511" s="94">
        <f>Table3.110[[#This Row],[Net gas 8h, ml]]*Table3.110[[#This Row],[CH4 8h %]]%</f>
        <v>5.1274762706366861</v>
      </c>
      <c r="AK511" s="94">
        <f>Table3.110[[#This Row],[Net gas 8-24h, ml]]*Table3.110[[#This Row],[CH4 24h, %]]%</f>
        <v>5.4937777556565193</v>
      </c>
      <c r="AL511" s="94">
        <f>Table3.110[[#This Row],[CH4 8-24h, ml]]+Table3.110[[#This Row],[CH4 8h, ml]]</f>
        <v>10.621254026293204</v>
      </c>
      <c r="AM511" s="94">
        <f>(Table3.110[[#This Row],[Net gas 24h, ml]]/Table3.110[[#This Row],[DM Incubated, mg]])*1000</f>
        <v>139.0463332183916</v>
      </c>
      <c r="AN511" s="94">
        <f>'3.2 Digest'!X511</f>
        <v>34.252472509330616</v>
      </c>
      <c r="AO511" s="94">
        <f>Table3.110[[#This Row],[Digested feed, mg]]/Table3.110[[#This Row],[Net gas 24h, ml]]</f>
        <v>2.4633855288749213</v>
      </c>
      <c r="AP511" s="94">
        <f>Table3.110[[#This Row],[CH4 8h, ml]]/Table3.110[[#This Row],[Net gas 8h, ml]]%</f>
        <v>14.400000000000004</v>
      </c>
      <c r="AQ511" s="94">
        <f>Table3.110[[#This Row],[CH4 24h, ml]]/Table3.110[[#This Row],[Net gas 24h, ml]]%</f>
        <v>16.143424596666598</v>
      </c>
      <c r="AR511" s="94">
        <f>Table3.110[[#This Row],[CH4 24h, ml]]/Table3.110[[#This Row],[DM Incubated, mg]]*1000</f>
        <v>22.446839957540831</v>
      </c>
      <c r="AS511" s="94">
        <f>Table3.110[[#This Row],[CH4 24h, ml]]/Table3.110[[#This Row],[Digested feed, mg]]*1000</f>
        <v>65.533487988133274</v>
      </c>
      <c r="AT511" s="94">
        <f>Table3.110[[#This Row],[CH4 24h, ml]]/'3.2 Digest'!AA511</f>
        <v>-2.2985846979037499</v>
      </c>
      <c r="AU511" s="94">
        <f>((Table3.110[[#This Row],[CH4 24h, ml]]/28.9)*16.04)/Table3.110[[#This Row],[DM Incubated, mg]]*1000</f>
        <v>12.458384530067645</v>
      </c>
      <c r="AV511" s="94">
        <f>((Table3.110[[#This Row],[CH4 24h, ml]]/28.9)*16.04)/Table3.110[[#This Row],[Digested feed, mg]]*1000</f>
        <v>36.372219630784002</v>
      </c>
    </row>
    <row r="512" spans="2:48" s="89" customFormat="1" x14ac:dyDescent="0.35">
      <c r="B512" s="90">
        <f t="shared" si="7"/>
        <v>502</v>
      </c>
      <c r="C512" s="140">
        <v>46050</v>
      </c>
      <c r="D512" s="6" t="s">
        <v>16</v>
      </c>
      <c r="E512" s="6" t="s">
        <v>167</v>
      </c>
      <c r="F512" s="133" t="s">
        <v>88</v>
      </c>
      <c r="G512" s="133" t="s">
        <v>168</v>
      </c>
      <c r="H512" s="133" t="s">
        <v>169</v>
      </c>
      <c r="I512" s="133" t="s">
        <v>22</v>
      </c>
      <c r="J512" s="135" t="s">
        <v>23</v>
      </c>
      <c r="K512" s="135" t="s">
        <v>24</v>
      </c>
      <c r="L512" s="6" t="s">
        <v>166</v>
      </c>
      <c r="M512" s="93">
        <v>28</v>
      </c>
      <c r="N512" s="93">
        <v>61</v>
      </c>
      <c r="O512" s="6">
        <v>2</v>
      </c>
      <c r="P512" s="129">
        <v>2</v>
      </c>
      <c r="Q512" s="6">
        <v>0</v>
      </c>
      <c r="R512" s="98">
        <v>0.5</v>
      </c>
      <c r="S512" s="94">
        <f>((Table3.110[[#This Row],[Sample weight, g]]*'2.1. DM'!Q97)/100)*1000</f>
        <v>473.07907127861637</v>
      </c>
      <c r="T512" s="94">
        <f>'3.2 Digest'!W512</f>
        <v>198.77907127861636</v>
      </c>
      <c r="U512" s="117">
        <v>0.34166666666666667</v>
      </c>
      <c r="V512" s="155">
        <v>40.5</v>
      </c>
      <c r="W512" s="117">
        <v>0.67569444444444449</v>
      </c>
      <c r="X512" s="96">
        <v>79</v>
      </c>
      <c r="Y512" s="96">
        <v>15.2</v>
      </c>
      <c r="Z512" s="155">
        <v>40</v>
      </c>
      <c r="AA512" s="117">
        <v>0.37847222222222221</v>
      </c>
      <c r="AB512" s="155">
        <v>74.5</v>
      </c>
      <c r="AC512" s="155">
        <v>18.5</v>
      </c>
      <c r="AD512" s="96"/>
      <c r="AE512" s="94">
        <f>Table3.110[[#This Row],[Gas 8h, ml]]-Table3.110[[#This Row],[Gas 0h, ml]]</f>
        <v>38.5</v>
      </c>
      <c r="AF512" s="94">
        <f>Table3.110[[#This Row],[Gas 24h, ml]]-Table3.110[[#This Row],[V8 Push back, ml]]</f>
        <v>34.5</v>
      </c>
      <c r="AG512" s="94">
        <f>Table3.110[[#This Row],[GP 8h, ml]]-(AVERAGE(AE$479,AE$480,AE$660,AE$661,AE$662,AE$663))*AG$8</f>
        <v>35.107474101643646</v>
      </c>
      <c r="AH512" s="94">
        <f>Table3.110[[#This Row],[GP 8-24h, ml]]-(AVERAGE(AF$479,AF$480,AF$660,AF$661,AF$662,AF$663))*AG$8</f>
        <v>30.185592064046812</v>
      </c>
      <c r="AI512" s="94">
        <f>Table3.110[[#This Row],[Net gas 8-24h, ml]]+Table3.110[[#This Row],[Net gas 8h, ml]]</f>
        <v>65.293066165690462</v>
      </c>
      <c r="AJ512" s="94">
        <f>Table3.110[[#This Row],[Net gas 8h, ml]]*Table3.110[[#This Row],[CH4 8h %]]%</f>
        <v>5.336336063449834</v>
      </c>
      <c r="AK512" s="94">
        <f>Table3.110[[#This Row],[Net gas 8-24h, ml]]*Table3.110[[#This Row],[CH4 24h, %]]%</f>
        <v>5.5843345318486604</v>
      </c>
      <c r="AL512" s="94">
        <f>Table3.110[[#This Row],[CH4 8-24h, ml]]+Table3.110[[#This Row],[CH4 8h, ml]]</f>
        <v>10.920670595298494</v>
      </c>
      <c r="AM512" s="94">
        <f>(Table3.110[[#This Row],[Net gas 24h, ml]]/Table3.110[[#This Row],[DM Incubated, mg]])*1000</f>
        <v>138.01723671524795</v>
      </c>
      <c r="AN512" s="94">
        <f>'3.2 Digest'!X512</f>
        <v>42.018149469467211</v>
      </c>
      <c r="AO512" s="94">
        <f>Table3.110[[#This Row],[Digested feed, mg]]/Table3.110[[#This Row],[Net gas 24h, ml]]</f>
        <v>3.04441318124326</v>
      </c>
      <c r="AP512" s="94">
        <f>Table3.110[[#This Row],[CH4 8h, ml]]/Table3.110[[#This Row],[Net gas 8h, ml]]%</f>
        <v>15.199999999999998</v>
      </c>
      <c r="AQ512" s="94">
        <f>Table3.110[[#This Row],[CH4 24h, ml]]/Table3.110[[#This Row],[Net gas 24h, ml]]%</f>
        <v>16.725620707696184</v>
      </c>
      <c r="AR512" s="94">
        <f>Table3.110[[#This Row],[CH4 24h, ml]]/Table3.110[[#This Row],[DM Incubated, mg]]*1000</f>
        <v>23.084239524235574</v>
      </c>
      <c r="AS512" s="94">
        <f>Table3.110[[#This Row],[CH4 24h, ml]]/Table3.110[[#This Row],[Digested feed, mg]]*1000</f>
        <v>54.938734370036691</v>
      </c>
      <c r="AT512" s="94">
        <f>Table3.110[[#This Row],[CH4 24h, ml]]/'3.2 Digest'!AA512</f>
        <v>1.4116038094346244</v>
      </c>
      <c r="AU512" s="94">
        <f>((Table3.110[[#This Row],[CH4 24h, ml]]/28.9)*16.04)/Table3.110[[#This Row],[DM Incubated, mg]]*1000</f>
        <v>12.812152317257393</v>
      </c>
      <c r="AV512" s="94">
        <f>((Table3.110[[#This Row],[CH4 24h, ml]]/28.9)*16.04)/Table3.110[[#This Row],[Digested feed, mg]]*1000</f>
        <v>30.491948072504794</v>
      </c>
    </row>
    <row r="513" spans="2:48" s="89" customFormat="1" x14ac:dyDescent="0.35">
      <c r="B513" s="90">
        <f t="shared" si="7"/>
        <v>503</v>
      </c>
      <c r="C513" s="140">
        <v>46050</v>
      </c>
      <c r="D513" s="6" t="s">
        <v>16</v>
      </c>
      <c r="E513" s="6" t="s">
        <v>167</v>
      </c>
      <c r="F513" s="133" t="s">
        <v>88</v>
      </c>
      <c r="G513" s="133" t="s">
        <v>168</v>
      </c>
      <c r="H513" s="133" t="s">
        <v>169</v>
      </c>
      <c r="I513" s="133" t="s">
        <v>22</v>
      </c>
      <c r="J513" s="135" t="s">
        <v>23</v>
      </c>
      <c r="K513" s="135" t="s">
        <v>24</v>
      </c>
      <c r="L513" s="6" t="s">
        <v>166</v>
      </c>
      <c r="M513" s="93">
        <v>28</v>
      </c>
      <c r="N513" s="93">
        <v>61</v>
      </c>
      <c r="O513" s="6">
        <v>2</v>
      </c>
      <c r="P513" s="129">
        <v>3</v>
      </c>
      <c r="Q513" s="6">
        <v>0</v>
      </c>
      <c r="R513" s="98">
        <v>0.50039999999999996</v>
      </c>
      <c r="S513" s="94">
        <f>((Table3.110[[#This Row],[Sample weight, g]]*'2.1. DM'!Q97)/100)*1000</f>
        <v>473.45753453563924</v>
      </c>
      <c r="T513" s="94">
        <f>'3.2 Digest'!W513</f>
        <v>164.95753453563924</v>
      </c>
      <c r="U513" s="153">
        <v>0.34166666666666667</v>
      </c>
      <c r="V513" s="154">
        <v>41</v>
      </c>
      <c r="W513" s="153">
        <v>0.67638888888888893</v>
      </c>
      <c r="X513" s="91">
        <v>78.5</v>
      </c>
      <c r="Y513" s="91">
        <v>14.9</v>
      </c>
      <c r="Z513" s="154">
        <v>40.5</v>
      </c>
      <c r="AA513" s="153">
        <v>0.37916666666666665</v>
      </c>
      <c r="AB513" s="154">
        <v>74</v>
      </c>
      <c r="AC513" s="154">
        <v>18.600000000000001</v>
      </c>
      <c r="AD513" s="91"/>
      <c r="AE513" s="94">
        <f>Table3.110[[#This Row],[Gas 8h, ml]]-Table3.110[[#This Row],[Gas 0h, ml]]</f>
        <v>37.5</v>
      </c>
      <c r="AF513" s="94">
        <f>Table3.110[[#This Row],[Gas 24h, ml]]-Table3.110[[#This Row],[V8 Push back, ml]]</f>
        <v>33.5</v>
      </c>
      <c r="AG513" s="94">
        <f>Table3.110[[#This Row],[GP 8h, ml]]-(AVERAGE(AE$479,AE$480,AE$660,AE$661,AE$662,AE$663))*AG$8</f>
        <v>34.107474101643646</v>
      </c>
      <c r="AH513" s="94">
        <f>Table3.110[[#This Row],[GP 8-24h, ml]]-(AVERAGE(AF$479,AF$480,AF$660,AF$661,AF$662,AF$663))*AG$8</f>
        <v>29.185592064046812</v>
      </c>
      <c r="AI513" s="94">
        <f>Table3.110[[#This Row],[Net gas 8-24h, ml]]+Table3.110[[#This Row],[Net gas 8h, ml]]</f>
        <v>63.293066165690462</v>
      </c>
      <c r="AJ513" s="94">
        <f>Table3.110[[#This Row],[Net gas 8h, ml]]*Table3.110[[#This Row],[CH4 8h %]]%</f>
        <v>5.0820136411449033</v>
      </c>
      <c r="AK513" s="94">
        <f>Table3.110[[#This Row],[Net gas 8-24h, ml]]*Table3.110[[#This Row],[CH4 24h, %]]%</f>
        <v>5.4285201239127074</v>
      </c>
      <c r="AL513" s="94">
        <f>Table3.110[[#This Row],[CH4 8-24h, ml]]+Table3.110[[#This Row],[CH4 8h, ml]]</f>
        <v>10.510533765057611</v>
      </c>
      <c r="AM513" s="94">
        <f>(Table3.110[[#This Row],[Net gas 24h, ml]]/Table3.110[[#This Row],[DM Incubated, mg]])*1000</f>
        <v>133.68266750209699</v>
      </c>
      <c r="AN513" s="94">
        <f>'3.2 Digest'!X513</f>
        <v>34.841041171184948</v>
      </c>
      <c r="AO513" s="94">
        <f>Table3.110[[#This Row],[Digested feed, mg]]/Table3.110[[#This Row],[Net gas 24h, ml]]</f>
        <v>2.6062496973018896</v>
      </c>
      <c r="AP513" s="94">
        <f>Table3.110[[#This Row],[CH4 8h, ml]]/Table3.110[[#This Row],[Net gas 8h, ml]]%</f>
        <v>14.899999999999999</v>
      </c>
      <c r="AQ513" s="94">
        <f>Table3.110[[#This Row],[CH4 24h, ml]]/Table3.110[[#This Row],[Net gas 24h, ml]]%</f>
        <v>16.606137767986819</v>
      </c>
      <c r="AR513" s="94">
        <f>Table3.110[[#This Row],[CH4 24h, ml]]/Table3.110[[#This Row],[DM Incubated, mg]]*1000</f>
        <v>22.199527937317971</v>
      </c>
      <c r="AS513" s="94">
        <f>Table3.110[[#This Row],[CH4 24h, ml]]/Table3.110[[#This Row],[Digested feed, mg]]*1000</f>
        <v>63.716603152715031</v>
      </c>
      <c r="AT513" s="94">
        <f>Table3.110[[#This Row],[CH4 24h, ml]]/'3.2 Digest'!AA513</f>
        <v>-2.8528519828878536</v>
      </c>
      <c r="AU513" s="94">
        <f>((Table3.110[[#This Row],[CH4 24h, ml]]/28.9)*16.04)/Table3.110[[#This Row],[DM Incubated, mg]]*1000</f>
        <v>12.321122080089282</v>
      </c>
      <c r="AV513" s="94">
        <f>((Table3.110[[#This Row],[CH4 24h, ml]]/28.9)*16.04)/Table3.110[[#This Row],[Digested feed, mg]]*1000</f>
        <v>35.363817113133187</v>
      </c>
    </row>
    <row r="514" spans="2:48" s="89" customFormat="1" x14ac:dyDescent="0.35">
      <c r="B514" s="90">
        <f t="shared" si="7"/>
        <v>504</v>
      </c>
      <c r="C514" s="140">
        <v>46050</v>
      </c>
      <c r="D514" s="6" t="s">
        <v>16</v>
      </c>
      <c r="E514" s="6" t="s">
        <v>171</v>
      </c>
      <c r="F514" s="133" t="s">
        <v>88</v>
      </c>
      <c r="G514" s="133" t="s">
        <v>147</v>
      </c>
      <c r="H514" s="133" t="s">
        <v>148</v>
      </c>
      <c r="I514" s="133" t="s">
        <v>22</v>
      </c>
      <c r="J514" s="135" t="s">
        <v>23</v>
      </c>
      <c r="K514" s="135" t="s">
        <v>24</v>
      </c>
      <c r="L514" s="6" t="s">
        <v>170</v>
      </c>
      <c r="M514" s="93">
        <v>28</v>
      </c>
      <c r="N514" s="93">
        <v>61</v>
      </c>
      <c r="O514" s="6">
        <v>2</v>
      </c>
      <c r="P514" s="6">
        <v>1</v>
      </c>
      <c r="Q514" s="6">
        <v>0</v>
      </c>
      <c r="R514" s="98">
        <v>0.50029999999999997</v>
      </c>
      <c r="S514" s="94">
        <f>((Table3.110[[#This Row],[Sample weight, g]]*'2.1. DM'!Q99)/100)*1000</f>
        <v>474.2184256574343</v>
      </c>
      <c r="T514" s="94">
        <f>'3.2 Digest'!W514</f>
        <v>182.51842565743436</v>
      </c>
      <c r="U514" s="117">
        <v>0.34236111111111112</v>
      </c>
      <c r="V514" s="155">
        <v>42</v>
      </c>
      <c r="W514" s="117">
        <v>0.67708333333333337</v>
      </c>
      <c r="X514" s="96">
        <v>64.5</v>
      </c>
      <c r="Y514" s="96">
        <v>12</v>
      </c>
      <c r="Z514" s="155">
        <v>40</v>
      </c>
      <c r="AA514" s="117">
        <v>0.37916666666666665</v>
      </c>
      <c r="AB514" s="155">
        <v>63</v>
      </c>
      <c r="AC514" s="155">
        <v>12.4</v>
      </c>
      <c r="AD514" s="96" t="s">
        <v>551</v>
      </c>
      <c r="AE514" s="94">
        <f>Table3.110[[#This Row],[Gas 8h, ml]]-Table3.110[[#This Row],[Gas 0h, ml]]</f>
        <v>22.5</v>
      </c>
      <c r="AF514" s="94">
        <f>Table3.110[[#This Row],[Gas 24h, ml]]-Table3.110[[#This Row],[V8 Push back, ml]]</f>
        <v>23</v>
      </c>
      <c r="AG514" s="94">
        <f>Table3.110[[#This Row],[GP 8h, ml]]-(AVERAGE(AE$479,AE$480,AE$660,AE$661,AE$662,AE$663))*AG$8</f>
        <v>19.107474101643646</v>
      </c>
      <c r="AH514" s="94">
        <f>Table3.110[[#This Row],[GP 8-24h, ml]]-(AVERAGE(AF$479,AF$480,AF$660,AF$661,AF$662,AF$663))*AG$8</f>
        <v>18.685592064046812</v>
      </c>
      <c r="AI514" s="94">
        <f>Table3.110[[#This Row],[Net gas 8-24h, ml]]+Table3.110[[#This Row],[Net gas 8h, ml]]</f>
        <v>37.793066165690462</v>
      </c>
      <c r="AJ514" s="94">
        <f>Table3.110[[#This Row],[Net gas 8h, ml]]*Table3.110[[#This Row],[CH4 8h %]]%</f>
        <v>2.2928968921972372</v>
      </c>
      <c r="AK514" s="94">
        <f>Table3.110[[#This Row],[Net gas 8-24h, ml]]*Table3.110[[#This Row],[CH4 24h, %]]%</f>
        <v>2.3170134159418048</v>
      </c>
      <c r="AL514" s="94">
        <f>Table3.110[[#This Row],[CH4 8-24h, ml]]+Table3.110[[#This Row],[CH4 8h, ml]]</f>
        <v>4.6099103081390425</v>
      </c>
      <c r="AM514" s="94">
        <f>(Table3.110[[#This Row],[Net gas 24h, ml]]/Table3.110[[#This Row],[DM Incubated, mg]])*1000</f>
        <v>79.695482336638264</v>
      </c>
      <c r="AN514" s="94">
        <f>'3.2 Digest'!X514</f>
        <v>38.488261059109909</v>
      </c>
      <c r="AO514" s="94">
        <f>Table3.110[[#This Row],[Digested feed, mg]]/Table3.110[[#This Row],[Net gas 24h, ml]]</f>
        <v>4.8294156620488602</v>
      </c>
      <c r="AP514" s="94">
        <f>Table3.110[[#This Row],[CH4 8h, ml]]/Table3.110[[#This Row],[Net gas 8h, ml]]%</f>
        <v>11.999999999999998</v>
      </c>
      <c r="AQ514" s="94">
        <f>Table3.110[[#This Row],[CH4 24h, ml]]/Table3.110[[#This Row],[Net gas 24h, ml]]%</f>
        <v>12.197767410372329</v>
      </c>
      <c r="AR514" s="94">
        <f>Table3.110[[#This Row],[CH4 24h, ml]]/Table3.110[[#This Row],[DM Incubated, mg]]*1000</f>
        <v>9.7210695719974982</v>
      </c>
      <c r="AS514" s="94">
        <f>Table3.110[[#This Row],[CH4 24h, ml]]/Table3.110[[#This Row],[Digested feed, mg]]*1000</f>
        <v>25.257232476853062</v>
      </c>
      <c r="AT514" s="94">
        <f>Table3.110[[#This Row],[CH4 24h, ml]]/'3.2 Digest'!AA514</f>
        <v>-0.26400390062540979</v>
      </c>
      <c r="AU514" s="94">
        <f>((Table3.110[[#This Row],[CH4 24h, ml]]/28.9)*16.04)/Table3.110[[#This Row],[DM Incubated, mg]]*1000</f>
        <v>5.3953617970532832</v>
      </c>
      <c r="AV514" s="94">
        <f>((Table3.110[[#This Row],[CH4 24h, ml]]/28.9)*16.04)/Table3.110[[#This Row],[Digested feed, mg]]*1000</f>
        <v>14.01820100099388</v>
      </c>
    </row>
    <row r="515" spans="2:48" s="89" customFormat="1" x14ac:dyDescent="0.35">
      <c r="B515" s="90">
        <f t="shared" si="7"/>
        <v>505</v>
      </c>
      <c r="C515" s="140">
        <v>46050</v>
      </c>
      <c r="D515" s="6" t="s">
        <v>16</v>
      </c>
      <c r="E515" s="6" t="s">
        <v>171</v>
      </c>
      <c r="F515" s="133" t="s">
        <v>88</v>
      </c>
      <c r="G515" s="133" t="s">
        <v>147</v>
      </c>
      <c r="H515" s="133" t="s">
        <v>148</v>
      </c>
      <c r="I515" s="133" t="s">
        <v>22</v>
      </c>
      <c r="J515" s="135" t="s">
        <v>23</v>
      </c>
      <c r="K515" s="135" t="s">
        <v>24</v>
      </c>
      <c r="L515" s="6" t="s">
        <v>170</v>
      </c>
      <c r="M515" s="93">
        <v>28</v>
      </c>
      <c r="N515" s="93">
        <v>61</v>
      </c>
      <c r="O515" s="6">
        <v>2</v>
      </c>
      <c r="P515" s="129">
        <v>2</v>
      </c>
      <c r="Q515" s="6">
        <v>0</v>
      </c>
      <c r="R515" s="98">
        <v>0.50009999999999999</v>
      </c>
      <c r="S515" s="94">
        <f>((Table3.110[[#This Row],[Sample weight, g]]*'2.1. DM'!Q99)/100)*1000</f>
        <v>474.0288520313469</v>
      </c>
      <c r="T515" s="94">
        <f>'3.2 Digest'!W515</f>
        <v>127.42885203134688</v>
      </c>
      <c r="U515" s="153">
        <v>0.34236111111111112</v>
      </c>
      <c r="V515" s="154">
        <v>42</v>
      </c>
      <c r="W515" s="153">
        <v>0.67777777777777781</v>
      </c>
      <c r="X515" s="91">
        <v>63.5</v>
      </c>
      <c r="Y515" s="91">
        <v>12.1</v>
      </c>
      <c r="Z515" s="154">
        <v>40</v>
      </c>
      <c r="AA515" s="153">
        <v>0.37986111111111109</v>
      </c>
      <c r="AB515" s="154">
        <v>61.5</v>
      </c>
      <c r="AC515" s="154">
        <v>11</v>
      </c>
      <c r="AD515" s="91"/>
      <c r="AE515" s="94">
        <f>Table3.110[[#This Row],[Gas 8h, ml]]-Table3.110[[#This Row],[Gas 0h, ml]]</f>
        <v>21.5</v>
      </c>
      <c r="AF515" s="94">
        <f>Table3.110[[#This Row],[Gas 24h, ml]]-Table3.110[[#This Row],[V8 Push back, ml]]</f>
        <v>21.5</v>
      </c>
      <c r="AG515" s="94">
        <f>Table3.110[[#This Row],[GP 8h, ml]]-(AVERAGE(AE$479,AE$480,AE$660,AE$661,AE$662,AE$663))*AG$8</f>
        <v>18.107474101643646</v>
      </c>
      <c r="AH515" s="94">
        <f>Table3.110[[#This Row],[GP 8-24h, ml]]-(AVERAGE(AF$479,AF$480,AF$660,AF$661,AF$662,AF$663))*AG$8</f>
        <v>17.185592064046812</v>
      </c>
      <c r="AI515" s="94">
        <f>Table3.110[[#This Row],[Net gas 8-24h, ml]]+Table3.110[[#This Row],[Net gas 8h, ml]]</f>
        <v>35.293066165690462</v>
      </c>
      <c r="AJ515" s="94">
        <f>Table3.110[[#This Row],[Net gas 8h, ml]]*Table3.110[[#This Row],[CH4 8h %]]%</f>
        <v>2.191004366298881</v>
      </c>
      <c r="AK515" s="94">
        <f>Table3.110[[#This Row],[Net gas 8-24h, ml]]*Table3.110[[#This Row],[CH4 24h, %]]%</f>
        <v>1.8904151270451492</v>
      </c>
      <c r="AL515" s="94">
        <f>Table3.110[[#This Row],[CH4 8-24h, ml]]+Table3.110[[#This Row],[CH4 8h, ml]]</f>
        <v>4.08141949334403</v>
      </c>
      <c r="AM515" s="94">
        <f>(Table3.110[[#This Row],[Net gas 24h, ml]]/Table3.110[[#This Row],[DM Incubated, mg]])*1000</f>
        <v>74.453413572717679</v>
      </c>
      <c r="AN515" s="94">
        <f>'3.2 Digest'!X515</f>
        <v>26.882087764337214</v>
      </c>
      <c r="AO515" s="94">
        <f>Table3.110[[#This Row],[Digested feed, mg]]/Table3.110[[#This Row],[Net gas 24h, ml]]</f>
        <v>3.61059170753559</v>
      </c>
      <c r="AP515" s="94">
        <f>Table3.110[[#This Row],[CH4 8h, ml]]/Table3.110[[#This Row],[Net gas 8h, ml]]%</f>
        <v>12.099999999999998</v>
      </c>
      <c r="AQ515" s="94">
        <f>Table3.110[[#This Row],[CH4 24h, ml]]/Table3.110[[#This Row],[Net gas 24h, ml]]%</f>
        <v>11.564366423089957</v>
      </c>
      <c r="AR515" s="94">
        <f>Table3.110[[#This Row],[CH4 24h, ml]]/Table3.110[[#This Row],[DM Incubated, mg]]*1000</f>
        <v>8.6100655600476639</v>
      </c>
      <c r="AS515" s="94">
        <f>Table3.110[[#This Row],[CH4 24h, ml]]/Table3.110[[#This Row],[Digested feed, mg]]*1000</f>
        <v>32.02900621234523</v>
      </c>
      <c r="AT515" s="94">
        <f>Table3.110[[#This Row],[CH4 24h, ml]]/'3.2 Digest'!AA515</f>
        <v>-0.1030026097553319</v>
      </c>
      <c r="AU515" s="94">
        <f>((Table3.110[[#This Row],[CH4 24h, ml]]/28.9)*16.04)/Table3.110[[#This Row],[DM Incubated, mg]]*1000</f>
        <v>4.7787353488984268</v>
      </c>
      <c r="AV515" s="94">
        <f>((Table3.110[[#This Row],[CH4 24h, ml]]/28.9)*16.04)/Table3.110[[#This Row],[Digested feed, mg]]*1000</f>
        <v>17.776652582907179</v>
      </c>
    </row>
    <row r="516" spans="2:48" s="89" customFormat="1" x14ac:dyDescent="0.35">
      <c r="B516" s="90">
        <f t="shared" si="7"/>
        <v>506</v>
      </c>
      <c r="C516" s="140">
        <v>46050</v>
      </c>
      <c r="D516" s="6" t="s">
        <v>16</v>
      </c>
      <c r="E516" s="6" t="s">
        <v>171</v>
      </c>
      <c r="F516" s="133" t="s">
        <v>88</v>
      </c>
      <c r="G516" s="133" t="s">
        <v>147</v>
      </c>
      <c r="H516" s="133" t="s">
        <v>148</v>
      </c>
      <c r="I516" s="133" t="s">
        <v>22</v>
      </c>
      <c r="J516" s="135" t="s">
        <v>23</v>
      </c>
      <c r="K516" s="135" t="s">
        <v>24</v>
      </c>
      <c r="L516" s="6" t="s">
        <v>170</v>
      </c>
      <c r="M516" s="93">
        <v>28</v>
      </c>
      <c r="N516" s="93">
        <v>61</v>
      </c>
      <c r="O516" s="6">
        <v>2</v>
      </c>
      <c r="P516" s="129">
        <v>3</v>
      </c>
      <c r="Q516" s="6">
        <v>0</v>
      </c>
      <c r="R516" s="98">
        <v>0.50009999999999999</v>
      </c>
      <c r="S516" s="94">
        <f>((Table3.110[[#This Row],[Sample weight, g]]*'2.1. DM'!Q99)/100)*1000</f>
        <v>474.0288520313469</v>
      </c>
      <c r="T516" s="94">
        <f>'3.2 Digest'!W516</f>
        <v>90.12885203134698</v>
      </c>
      <c r="U516" s="117">
        <v>0.34305555555555556</v>
      </c>
      <c r="V516" s="155">
        <v>41.5</v>
      </c>
      <c r="W516" s="117">
        <v>0.67847222222222225</v>
      </c>
      <c r="X516" s="96">
        <v>62.5</v>
      </c>
      <c r="Y516" s="96">
        <v>12.3</v>
      </c>
      <c r="Z516" s="155">
        <v>40</v>
      </c>
      <c r="AA516" s="117">
        <v>0.38055555555555554</v>
      </c>
      <c r="AB516" s="155">
        <v>62</v>
      </c>
      <c r="AC516" s="155">
        <v>10.6</v>
      </c>
      <c r="AD516" s="96"/>
      <c r="AE516" s="94">
        <f>Table3.110[[#This Row],[Gas 8h, ml]]-Table3.110[[#This Row],[Gas 0h, ml]]</f>
        <v>21</v>
      </c>
      <c r="AF516" s="94">
        <f>Table3.110[[#This Row],[Gas 24h, ml]]-Table3.110[[#This Row],[V8 Push back, ml]]</f>
        <v>22</v>
      </c>
      <c r="AG516" s="94">
        <f>Table3.110[[#This Row],[GP 8h, ml]]-(AVERAGE(AE$479,AE$480,AE$660,AE$661,AE$662,AE$663))*AG$8</f>
        <v>17.607474101643646</v>
      </c>
      <c r="AH516" s="94">
        <f>Table3.110[[#This Row],[GP 8-24h, ml]]-(AVERAGE(AF$479,AF$480,AF$660,AF$661,AF$662,AF$663))*AG$8</f>
        <v>17.685592064046812</v>
      </c>
      <c r="AI516" s="94">
        <f>Table3.110[[#This Row],[Net gas 8-24h, ml]]+Table3.110[[#This Row],[Net gas 8h, ml]]</f>
        <v>35.293066165690462</v>
      </c>
      <c r="AJ516" s="94">
        <f>Table3.110[[#This Row],[Net gas 8h, ml]]*Table3.110[[#This Row],[CH4 8h %]]%</f>
        <v>2.1657193145021685</v>
      </c>
      <c r="AK516" s="94">
        <f>Table3.110[[#This Row],[Net gas 8-24h, ml]]*Table3.110[[#This Row],[CH4 24h, %]]%</f>
        <v>1.874672758788962</v>
      </c>
      <c r="AL516" s="94">
        <f>Table3.110[[#This Row],[CH4 8-24h, ml]]+Table3.110[[#This Row],[CH4 8h, ml]]</f>
        <v>4.0403920732911303</v>
      </c>
      <c r="AM516" s="94">
        <f>(Table3.110[[#This Row],[Net gas 24h, ml]]/Table3.110[[#This Row],[DM Incubated, mg]])*1000</f>
        <v>74.453413572717679</v>
      </c>
      <c r="AN516" s="94">
        <f>'3.2 Digest'!X516</f>
        <v>19.013368415259855</v>
      </c>
      <c r="AO516" s="94">
        <f>Table3.110[[#This Row],[Digested feed, mg]]/Table3.110[[#This Row],[Net gas 24h, ml]]</f>
        <v>2.5537268881150421</v>
      </c>
      <c r="AP516" s="94">
        <f>Table3.110[[#This Row],[CH4 8h, ml]]/Table3.110[[#This Row],[Net gas 8h, ml]]%</f>
        <v>12.299999999999999</v>
      </c>
      <c r="AQ516" s="94">
        <f>Table3.110[[#This Row],[CH4 24h, ml]]/Table3.110[[#This Row],[Net gas 24h, ml]]%</f>
        <v>11.448118603021596</v>
      </c>
      <c r="AR516" s="94">
        <f>Table3.110[[#This Row],[CH4 24h, ml]]/Table3.110[[#This Row],[DM Incubated, mg]]*1000</f>
        <v>8.5235150898028991</v>
      </c>
      <c r="AS516" s="94">
        <f>Table3.110[[#This Row],[CH4 24h, ml]]/Table3.110[[#This Row],[Digested feed, mg]]*1000</f>
        <v>44.829063970390685</v>
      </c>
      <c r="AT516" s="94">
        <f>Table3.110[[#This Row],[CH4 24h, ml]]/'3.2 Digest'!AA516</f>
        <v>-7.3931652152586708E-2</v>
      </c>
      <c r="AU516" s="94">
        <f>((Table3.110[[#This Row],[CH4 24h, ml]]/28.9)*16.04)/Table3.110[[#This Row],[DM Incubated, mg]]*1000</f>
        <v>4.7306983404996013</v>
      </c>
      <c r="AV516" s="94">
        <f>((Table3.110[[#This Row],[CH4 24h, ml]]/28.9)*16.04)/Table3.110[[#This Row],[Digested feed, mg]]*1000</f>
        <v>24.88090609290888</v>
      </c>
    </row>
    <row r="517" spans="2:48" s="89" customFormat="1" x14ac:dyDescent="0.35">
      <c r="B517" s="90">
        <f t="shared" si="7"/>
        <v>507</v>
      </c>
      <c r="C517" s="140">
        <v>46050</v>
      </c>
      <c r="D517" s="6" t="s">
        <v>16</v>
      </c>
      <c r="E517" s="6" t="s">
        <v>173</v>
      </c>
      <c r="F517" s="133" t="s">
        <v>99</v>
      </c>
      <c r="G517" s="133" t="s">
        <v>100</v>
      </c>
      <c r="H517" s="133" t="s">
        <v>101</v>
      </c>
      <c r="I517" s="133" t="s">
        <v>22</v>
      </c>
      <c r="J517" s="135" t="s">
        <v>23</v>
      </c>
      <c r="K517" s="135" t="s">
        <v>24</v>
      </c>
      <c r="L517" s="6" t="s">
        <v>172</v>
      </c>
      <c r="M517" s="93">
        <v>28</v>
      </c>
      <c r="N517" s="93">
        <v>61</v>
      </c>
      <c r="O517" s="6">
        <v>2</v>
      </c>
      <c r="P517" s="6">
        <v>1</v>
      </c>
      <c r="Q517" s="6">
        <v>0</v>
      </c>
      <c r="R517" s="98">
        <v>0.50019999999999998</v>
      </c>
      <c r="S517" s="94">
        <f>((Table3.110[[#This Row],[Sample weight, g]]*'2.1. DM'!Q101)/100)*1000</f>
        <v>468.72341797460751</v>
      </c>
      <c r="T517" s="94">
        <f>'3.2 Digest'!W517</f>
        <v>212.72341797460751</v>
      </c>
      <c r="U517" s="153">
        <v>0.34305555555555556</v>
      </c>
      <c r="V517" s="154">
        <v>42</v>
      </c>
      <c r="W517" s="153">
        <v>0.67847222222222225</v>
      </c>
      <c r="X517" s="91">
        <v>80</v>
      </c>
      <c r="Y517" s="91">
        <v>12.3</v>
      </c>
      <c r="Z517" s="154">
        <v>40.5</v>
      </c>
      <c r="AA517" s="153">
        <v>0.38055555555555554</v>
      </c>
      <c r="AB517" s="154">
        <v>80.5</v>
      </c>
      <c r="AC517" s="154">
        <v>14.3</v>
      </c>
      <c r="AD517" s="91"/>
      <c r="AE517" s="94">
        <f>Table3.110[[#This Row],[Gas 8h, ml]]-Table3.110[[#This Row],[Gas 0h, ml]]</f>
        <v>38</v>
      </c>
      <c r="AF517" s="94">
        <f>Table3.110[[#This Row],[Gas 24h, ml]]-Table3.110[[#This Row],[V8 Push back, ml]]</f>
        <v>40</v>
      </c>
      <c r="AG517" s="94">
        <f>Table3.110[[#This Row],[GP 8h, ml]]-(AVERAGE(AE$479,AE$480,AE$660,AE$661,AE$662,AE$663))*AG$8</f>
        <v>34.607474101643646</v>
      </c>
      <c r="AH517" s="94">
        <f>Table3.110[[#This Row],[GP 8-24h, ml]]-(AVERAGE(AF$479,AF$480,AF$660,AF$661,AF$662,AF$663))*AG$8</f>
        <v>35.685592064046816</v>
      </c>
      <c r="AI517" s="94">
        <f>Table3.110[[#This Row],[Net gas 8-24h, ml]]+Table3.110[[#This Row],[Net gas 8h, ml]]</f>
        <v>70.293066165690462</v>
      </c>
      <c r="AJ517" s="94">
        <f>Table3.110[[#This Row],[Net gas 8h, ml]]*Table3.110[[#This Row],[CH4 8h %]]%</f>
        <v>4.2567193145021687</v>
      </c>
      <c r="AK517" s="94">
        <f>Table3.110[[#This Row],[Net gas 8-24h, ml]]*Table3.110[[#This Row],[CH4 24h, %]]%</f>
        <v>5.1030396651586951</v>
      </c>
      <c r="AL517" s="94">
        <f>Table3.110[[#This Row],[CH4 8-24h, ml]]+Table3.110[[#This Row],[CH4 8h, ml]]</f>
        <v>9.3597589796608638</v>
      </c>
      <c r="AM517" s="94">
        <f>(Table3.110[[#This Row],[Net gas 24h, ml]]/Table3.110[[#This Row],[DM Incubated, mg]])*1000</f>
        <v>149.96704553280608</v>
      </c>
      <c r="AN517" s="94">
        <f>'3.2 Digest'!X517</f>
        <v>45.383569460600647</v>
      </c>
      <c r="AO517" s="94">
        <f>Table3.110[[#This Row],[Digested feed, mg]]/Table3.110[[#This Row],[Net gas 24h, ml]]</f>
        <v>3.0262361507063735</v>
      </c>
      <c r="AP517" s="94">
        <f>Table3.110[[#This Row],[CH4 8h, ml]]/Table3.110[[#This Row],[Net gas 8h, ml]]%</f>
        <v>12.3</v>
      </c>
      <c r="AQ517" s="94">
        <f>Table3.110[[#This Row],[CH4 24h, ml]]/Table3.110[[#This Row],[Net gas 24h, ml]]%</f>
        <v>13.315337472402497</v>
      </c>
      <c r="AR517" s="94">
        <f>Table3.110[[#This Row],[CH4 24h, ml]]/Table3.110[[#This Row],[DM Incubated, mg]]*1000</f>
        <v>19.968618210084646</v>
      </c>
      <c r="AS517" s="94">
        <f>Table3.110[[#This Row],[CH4 24h, ml]]/Table3.110[[#This Row],[Digested feed, mg]]*1000</f>
        <v>43.999664300138903</v>
      </c>
      <c r="AT517" s="94">
        <f>Table3.110[[#This Row],[CH4 24h, ml]]/'3.2 Digest'!AA517</f>
        <v>2.587763848385034</v>
      </c>
      <c r="AU517" s="94">
        <f>((Table3.110[[#This Row],[CH4 24h, ml]]/28.9)*16.04)/Table3.110[[#This Row],[DM Incubated, mg]]*1000</f>
        <v>11.082928584420683</v>
      </c>
      <c r="AV517" s="94">
        <f>((Table3.110[[#This Row],[CH4 24h, ml]]/28.9)*16.04)/Table3.110[[#This Row],[Digested feed, mg]]*1000</f>
        <v>24.420574926443877</v>
      </c>
    </row>
    <row r="518" spans="2:48" s="89" customFormat="1" x14ac:dyDescent="0.35">
      <c r="B518" s="90">
        <f t="shared" si="7"/>
        <v>508</v>
      </c>
      <c r="C518" s="140">
        <v>46050</v>
      </c>
      <c r="D518" s="6" t="s">
        <v>16</v>
      </c>
      <c r="E518" s="6" t="s">
        <v>173</v>
      </c>
      <c r="F518" s="133" t="s">
        <v>99</v>
      </c>
      <c r="G518" s="133" t="s">
        <v>100</v>
      </c>
      <c r="H518" s="133" t="s">
        <v>101</v>
      </c>
      <c r="I518" s="133" t="s">
        <v>22</v>
      </c>
      <c r="J518" s="135" t="s">
        <v>23</v>
      </c>
      <c r="K518" s="135" t="s">
        <v>24</v>
      </c>
      <c r="L518" s="6" t="s">
        <v>172</v>
      </c>
      <c r="M518" s="93">
        <v>28</v>
      </c>
      <c r="N518" s="93">
        <v>61</v>
      </c>
      <c r="O518" s="6">
        <v>2</v>
      </c>
      <c r="P518" s="129">
        <v>2</v>
      </c>
      <c r="Q518" s="6">
        <v>0</v>
      </c>
      <c r="R518" s="98">
        <v>0.50039999999999996</v>
      </c>
      <c r="S518" s="94">
        <f>((Table3.110[[#This Row],[Sample weight, g]]*'2.1. DM'!Q101)/100)*1000</f>
        <v>468.91083237603681</v>
      </c>
      <c r="T518" s="94">
        <f>'3.2 Digest'!W518</f>
        <v>108.51083237603677</v>
      </c>
      <c r="U518" s="117">
        <v>0.34375</v>
      </c>
      <c r="V518" s="155">
        <v>41.5</v>
      </c>
      <c r="W518" s="117">
        <v>0.6791666666666667</v>
      </c>
      <c r="X518" s="96">
        <v>78.5</v>
      </c>
      <c r="Y518" s="96">
        <v>12.1</v>
      </c>
      <c r="Z518" s="155">
        <v>40</v>
      </c>
      <c r="AA518" s="117">
        <v>0.38124999999999998</v>
      </c>
      <c r="AB518" s="155">
        <v>73.5</v>
      </c>
      <c r="AC518" s="155">
        <v>15</v>
      </c>
      <c r="AD518" s="96"/>
      <c r="AE518" s="94">
        <f>Table3.110[[#This Row],[Gas 8h, ml]]-Table3.110[[#This Row],[Gas 0h, ml]]</f>
        <v>37</v>
      </c>
      <c r="AF518" s="94">
        <f>Table3.110[[#This Row],[Gas 24h, ml]]-Table3.110[[#This Row],[V8 Push back, ml]]</f>
        <v>33.5</v>
      </c>
      <c r="AG518" s="94">
        <f>Table3.110[[#This Row],[GP 8h, ml]]-(AVERAGE(AE$479,AE$480,AE$660,AE$661,AE$662,AE$663))*AG$8</f>
        <v>33.607474101643646</v>
      </c>
      <c r="AH518" s="94">
        <f>Table3.110[[#This Row],[GP 8-24h, ml]]-(AVERAGE(AF$479,AF$480,AF$660,AF$661,AF$662,AF$663))*AG$8</f>
        <v>29.185592064046812</v>
      </c>
      <c r="AI518" s="94">
        <f>Table3.110[[#This Row],[Net gas 8-24h, ml]]+Table3.110[[#This Row],[Net gas 8h, ml]]</f>
        <v>62.793066165690462</v>
      </c>
      <c r="AJ518" s="94">
        <f>Table3.110[[#This Row],[Net gas 8h, ml]]*Table3.110[[#This Row],[CH4 8h %]]%</f>
        <v>4.0665043662988811</v>
      </c>
      <c r="AK518" s="94">
        <f>Table3.110[[#This Row],[Net gas 8-24h, ml]]*Table3.110[[#This Row],[CH4 24h, %]]%</f>
        <v>4.377838809607022</v>
      </c>
      <c r="AL518" s="94">
        <f>Table3.110[[#This Row],[CH4 8-24h, ml]]+Table3.110[[#This Row],[CH4 8h, ml]]</f>
        <v>8.4443431759059031</v>
      </c>
      <c r="AM518" s="94">
        <f>(Table3.110[[#This Row],[Net gas 24h, ml]]/Table3.110[[#This Row],[DM Incubated, mg]])*1000</f>
        <v>133.91259452785343</v>
      </c>
      <c r="AN518" s="94">
        <f>'3.2 Digest'!X518</f>
        <v>23.141037673665419</v>
      </c>
      <c r="AO518" s="94">
        <f>Table3.110[[#This Row],[Digested feed, mg]]/Table3.110[[#This Row],[Net gas 24h, ml]]</f>
        <v>1.7280702950499662</v>
      </c>
      <c r="AP518" s="94">
        <f>Table3.110[[#This Row],[CH4 8h, ml]]/Table3.110[[#This Row],[Net gas 8h, ml]]%</f>
        <v>12.1</v>
      </c>
      <c r="AQ518" s="94">
        <f>Table3.110[[#This Row],[CH4 24h, ml]]/Table3.110[[#This Row],[Net gas 24h, ml]]%</f>
        <v>13.447891131202338</v>
      </c>
      <c r="AR518" s="94">
        <f>Table3.110[[#This Row],[CH4 24h, ml]]/Table3.110[[#This Row],[DM Incubated, mg]]*1000</f>
        <v>18.008419923074147</v>
      </c>
      <c r="AS518" s="94">
        <f>Table3.110[[#This Row],[CH4 24h, ml]]/Table3.110[[#This Row],[Digested feed, mg]]*1000</f>
        <v>77.820278316939053</v>
      </c>
      <c r="AT518" s="94">
        <f>Table3.110[[#This Row],[CH4 24h, ml]]/'3.2 Digest'!AA518</f>
        <v>-0.23696728258419086</v>
      </c>
      <c r="AU518" s="94">
        <f>((Table3.110[[#This Row],[CH4 24h, ml]]/28.9)*16.04)/Table3.110[[#This Row],[DM Incubated, mg]]*1000</f>
        <v>9.9949846216646812</v>
      </c>
      <c r="AV518" s="94">
        <f>((Table3.110[[#This Row],[CH4 24h, ml]]/28.9)*16.04)/Table3.110[[#This Row],[Digested feed, mg]]*1000</f>
        <v>43.191600837498349</v>
      </c>
    </row>
    <row r="519" spans="2:48" s="89" customFormat="1" x14ac:dyDescent="0.35">
      <c r="B519" s="90">
        <f t="shared" si="7"/>
        <v>509</v>
      </c>
      <c r="C519" s="140">
        <v>46050</v>
      </c>
      <c r="D519" s="6" t="s">
        <v>16</v>
      </c>
      <c r="E519" s="6" t="s">
        <v>173</v>
      </c>
      <c r="F519" s="133" t="s">
        <v>99</v>
      </c>
      <c r="G519" s="133" t="s">
        <v>100</v>
      </c>
      <c r="H519" s="133" t="s">
        <v>101</v>
      </c>
      <c r="I519" s="133" t="s">
        <v>22</v>
      </c>
      <c r="J519" s="135" t="s">
        <v>23</v>
      </c>
      <c r="K519" s="135" t="s">
        <v>24</v>
      </c>
      <c r="L519" s="6" t="s">
        <v>172</v>
      </c>
      <c r="M519" s="93">
        <v>28</v>
      </c>
      <c r="N519" s="93">
        <v>61</v>
      </c>
      <c r="O519" s="6">
        <v>2</v>
      </c>
      <c r="P519" s="129">
        <v>3</v>
      </c>
      <c r="Q519" s="6">
        <v>0</v>
      </c>
      <c r="R519" s="98">
        <v>0.50029999999999997</v>
      </c>
      <c r="S519" s="94">
        <f>((Table3.110[[#This Row],[Sample weight, g]]*'2.1. DM'!Q101)/100)*1000</f>
        <v>468.81712517532213</v>
      </c>
      <c r="T519" s="94">
        <f>'3.2 Digest'!W519</f>
        <v>162.31712517532213</v>
      </c>
      <c r="U519" s="153">
        <v>0.34375</v>
      </c>
      <c r="V519" s="154">
        <v>41.5</v>
      </c>
      <c r="W519" s="153">
        <v>0.67986111111111114</v>
      </c>
      <c r="X519" s="91">
        <v>79.5</v>
      </c>
      <c r="Y519" s="91">
        <v>11.9</v>
      </c>
      <c r="Z519" s="154">
        <v>40.5</v>
      </c>
      <c r="AA519" s="153">
        <v>0.38124999999999998</v>
      </c>
      <c r="AB519" s="154">
        <v>79</v>
      </c>
      <c r="AC519" s="154">
        <v>14.8</v>
      </c>
      <c r="AD519" s="91"/>
      <c r="AE519" s="94">
        <f>Table3.110[[#This Row],[Gas 8h, ml]]-Table3.110[[#This Row],[Gas 0h, ml]]</f>
        <v>38</v>
      </c>
      <c r="AF519" s="94">
        <f>Table3.110[[#This Row],[Gas 24h, ml]]-Table3.110[[#This Row],[V8 Push back, ml]]</f>
        <v>38.5</v>
      </c>
      <c r="AG519" s="94">
        <f>Table3.110[[#This Row],[GP 8h, ml]]-(AVERAGE(AE$479,AE$480,AE$660,AE$661,AE$662,AE$663))*AG$8</f>
        <v>34.607474101643646</v>
      </c>
      <c r="AH519" s="94">
        <f>Table3.110[[#This Row],[GP 8-24h, ml]]-(AVERAGE(AF$479,AF$480,AF$660,AF$661,AF$662,AF$663))*AG$8</f>
        <v>34.185592064046816</v>
      </c>
      <c r="AI519" s="94">
        <f>Table3.110[[#This Row],[Net gas 8-24h, ml]]+Table3.110[[#This Row],[Net gas 8h, ml]]</f>
        <v>68.793066165690462</v>
      </c>
      <c r="AJ519" s="94">
        <f>Table3.110[[#This Row],[Net gas 8h, ml]]*Table3.110[[#This Row],[CH4 8h %]]%</f>
        <v>4.1182894180955945</v>
      </c>
      <c r="AK519" s="94">
        <f>Table3.110[[#This Row],[Net gas 8-24h, ml]]*Table3.110[[#This Row],[CH4 24h, %]]%</f>
        <v>5.0594676254789297</v>
      </c>
      <c r="AL519" s="94">
        <f>Table3.110[[#This Row],[CH4 8-24h, ml]]+Table3.110[[#This Row],[CH4 8h, ml]]</f>
        <v>9.1777570435745233</v>
      </c>
      <c r="AM519" s="94">
        <f>(Table3.110[[#This Row],[Net gas 24h, ml]]/Table3.110[[#This Row],[DM Incubated, mg]])*1000</f>
        <v>146.73752828453979</v>
      </c>
      <c r="AN519" s="94">
        <f>'3.2 Digest'!X519</f>
        <v>34.62269538780626</v>
      </c>
      <c r="AO519" s="94">
        <f>Table3.110[[#This Row],[Digested feed, mg]]/Table3.110[[#This Row],[Net gas 24h, ml]]</f>
        <v>2.3594983364221007</v>
      </c>
      <c r="AP519" s="94">
        <f>Table3.110[[#This Row],[CH4 8h, ml]]/Table3.110[[#This Row],[Net gas 8h, ml]]%</f>
        <v>11.9</v>
      </c>
      <c r="AQ519" s="94">
        <f>Table3.110[[#This Row],[CH4 24h, ml]]/Table3.110[[#This Row],[Net gas 24h, ml]]%</f>
        <v>13.341107694588841</v>
      </c>
      <c r="AR519" s="94">
        <f>Table3.110[[#This Row],[CH4 24h, ml]]/Table3.110[[#This Row],[DM Incubated, mg]]*1000</f>
        <v>19.576411676818214</v>
      </c>
      <c r="AS519" s="94">
        <f>Table3.110[[#This Row],[CH4 24h, ml]]/Table3.110[[#This Row],[Digested feed, mg]]*1000</f>
        <v>56.542136473039648</v>
      </c>
      <c r="AT519" s="94">
        <f>Table3.110[[#This Row],[CH4 24h, ml]]/'3.2 Digest'!AA519</f>
        <v>-0.59700215247081989</v>
      </c>
      <c r="AU519" s="94">
        <f>((Table3.110[[#This Row],[CH4 24h, ml]]/28.9)*16.04)/Table3.110[[#This Row],[DM Incubated, mg]]*1000</f>
        <v>10.865247172877655</v>
      </c>
      <c r="AV519" s="94">
        <f>((Table3.110[[#This Row],[CH4 24h, ml]]/28.9)*16.04)/Table3.110[[#This Row],[Digested feed, mg]]*1000</f>
        <v>31.38186398019225</v>
      </c>
    </row>
    <row r="520" spans="2:48" s="89" customFormat="1" x14ac:dyDescent="0.35">
      <c r="B520" s="90">
        <f t="shared" si="7"/>
        <v>510</v>
      </c>
      <c r="C520" s="140">
        <v>46050</v>
      </c>
      <c r="D520" s="6" t="s">
        <v>16</v>
      </c>
      <c r="E520" s="6" t="s">
        <v>175</v>
      </c>
      <c r="F520" s="133" t="s">
        <v>159</v>
      </c>
      <c r="G520" s="133" t="s">
        <v>160</v>
      </c>
      <c r="H520" s="133" t="s">
        <v>161</v>
      </c>
      <c r="I520" s="133" t="s">
        <v>22</v>
      </c>
      <c r="J520" s="135" t="s">
        <v>23</v>
      </c>
      <c r="K520" s="135" t="s">
        <v>24</v>
      </c>
      <c r="L520" s="6" t="s">
        <v>174</v>
      </c>
      <c r="M520" s="93">
        <v>28</v>
      </c>
      <c r="N520" s="93">
        <v>61</v>
      </c>
      <c r="O520" s="6">
        <v>2</v>
      </c>
      <c r="P520" s="6">
        <v>1</v>
      </c>
      <c r="Q520" s="6">
        <v>0</v>
      </c>
      <c r="R520" s="98">
        <v>0.50039999999999996</v>
      </c>
      <c r="S520" s="94">
        <f>((Table3.110[[#This Row],[Sample weight, g]]*'2.1. DM'!Q103)/100)*1000</f>
        <v>474.68199152969379</v>
      </c>
      <c r="T520" s="94">
        <f>'3.2 Digest'!W520</f>
        <v>115.08199152969377</v>
      </c>
      <c r="U520" s="117">
        <v>0.34444444444444444</v>
      </c>
      <c r="V520" s="155">
        <v>41.5</v>
      </c>
      <c r="W520" s="117">
        <v>0.68055555555555558</v>
      </c>
      <c r="X520" s="96">
        <v>66</v>
      </c>
      <c r="Y520" s="96">
        <v>11.3</v>
      </c>
      <c r="Z520" s="155">
        <v>39.5</v>
      </c>
      <c r="AA520" s="117">
        <v>0.38194444444444442</v>
      </c>
      <c r="AB520" s="155">
        <v>57.5</v>
      </c>
      <c r="AC520" s="155">
        <v>11.8</v>
      </c>
      <c r="AD520" s="96"/>
      <c r="AE520" s="94">
        <f>Table3.110[[#This Row],[Gas 8h, ml]]-Table3.110[[#This Row],[Gas 0h, ml]]</f>
        <v>24.5</v>
      </c>
      <c r="AF520" s="94">
        <f>Table3.110[[#This Row],[Gas 24h, ml]]-Table3.110[[#This Row],[V8 Push back, ml]]</f>
        <v>18</v>
      </c>
      <c r="AG520" s="94">
        <f>Table3.110[[#This Row],[GP 8h, ml]]-(AVERAGE(AE$479,AE$480,AE$660,AE$661,AE$662,AE$663))*AG$8</f>
        <v>21.107474101643646</v>
      </c>
      <c r="AH520" s="94">
        <f>Table3.110[[#This Row],[GP 8-24h, ml]]-(AVERAGE(AF$479,AF$480,AF$660,AF$661,AF$662,AF$663))*AG$8</f>
        <v>13.685592064046812</v>
      </c>
      <c r="AI520" s="94">
        <f>Table3.110[[#This Row],[Net gas 8-24h, ml]]+Table3.110[[#This Row],[Net gas 8h, ml]]</f>
        <v>34.793066165690462</v>
      </c>
      <c r="AJ520" s="94">
        <f>Table3.110[[#This Row],[Net gas 8h, ml]]*Table3.110[[#This Row],[CH4 8h %]]%</f>
        <v>2.3851445734857322</v>
      </c>
      <c r="AK520" s="94">
        <f>Table3.110[[#This Row],[Net gas 8-24h, ml]]*Table3.110[[#This Row],[CH4 24h, %]]%</f>
        <v>1.614899863557524</v>
      </c>
      <c r="AL520" s="94">
        <f>Table3.110[[#This Row],[CH4 8-24h, ml]]+Table3.110[[#This Row],[CH4 8h, ml]]</f>
        <v>4.0000444370432557</v>
      </c>
      <c r="AM520" s="94">
        <f>(Table3.110[[#This Row],[Net gas 24h, ml]]/Table3.110[[#This Row],[DM Incubated, mg]])*1000</f>
        <v>73.297632491950097</v>
      </c>
      <c r="AN520" s="94">
        <f>'3.2 Digest'!X520</f>
        <v>24.244018855409809</v>
      </c>
      <c r="AO520" s="94">
        <f>Table3.110[[#This Row],[Digested feed, mg]]/Table3.110[[#This Row],[Net gas 24h, ml]]</f>
        <v>3.3076128151986914</v>
      </c>
      <c r="AP520" s="94">
        <f>Table3.110[[#This Row],[CH4 8h, ml]]/Table3.110[[#This Row],[Net gas 8h, ml]]%</f>
        <v>11.3</v>
      </c>
      <c r="AQ520" s="94">
        <f>Table3.110[[#This Row],[CH4 24h, ml]]/Table3.110[[#This Row],[Net gas 24h, ml]]%</f>
        <v>11.496671256262291</v>
      </c>
      <c r="AR520" s="94">
        <f>Table3.110[[#This Row],[CH4 24h, ml]]/Table3.110[[#This Row],[DM Incubated, mg]]*1000</f>
        <v>8.4267878462227959</v>
      </c>
      <c r="AS520" s="94">
        <f>Table3.110[[#This Row],[CH4 24h, ml]]/Table3.110[[#This Row],[Digested feed, mg]]*1000</f>
        <v>34.758213547348575</v>
      </c>
      <c r="AT520" s="94">
        <f>Table3.110[[#This Row],[CH4 24h, ml]]/'3.2 Digest'!AA520</f>
        <v>-0.10600922920370606</v>
      </c>
      <c r="AU520" s="94">
        <f>((Table3.110[[#This Row],[CH4 24h, ml]]/28.9)*16.04)/Table3.110[[#This Row],[DM Incubated, mg]]*1000</f>
        <v>4.6770130468309228</v>
      </c>
      <c r="AV520" s="94">
        <f>((Table3.110[[#This Row],[CH4 24h, ml]]/28.9)*16.04)/Table3.110[[#This Row],[Digested feed, mg]]*1000</f>
        <v>19.29140987195402</v>
      </c>
    </row>
    <row r="521" spans="2:48" s="89" customFormat="1" x14ac:dyDescent="0.35">
      <c r="B521" s="90">
        <f t="shared" si="7"/>
        <v>511</v>
      </c>
      <c r="C521" s="140">
        <v>46050</v>
      </c>
      <c r="D521" s="6" t="s">
        <v>16</v>
      </c>
      <c r="E521" s="6" t="s">
        <v>175</v>
      </c>
      <c r="F521" s="133" t="s">
        <v>159</v>
      </c>
      <c r="G521" s="133" t="s">
        <v>160</v>
      </c>
      <c r="H521" s="133" t="s">
        <v>161</v>
      </c>
      <c r="I521" s="133" t="s">
        <v>22</v>
      </c>
      <c r="J521" s="135" t="s">
        <v>23</v>
      </c>
      <c r="K521" s="135" t="s">
        <v>24</v>
      </c>
      <c r="L521" s="6" t="s">
        <v>174</v>
      </c>
      <c r="M521" s="93">
        <v>28</v>
      </c>
      <c r="N521" s="93">
        <v>61</v>
      </c>
      <c r="O521" s="6">
        <v>2</v>
      </c>
      <c r="P521" s="129">
        <v>2</v>
      </c>
      <c r="Q521" s="6">
        <v>0</v>
      </c>
      <c r="R521" s="98">
        <v>0.50019999999999998</v>
      </c>
      <c r="S521" s="94">
        <f>((Table3.110[[#This Row],[Sample weight, g]]*'2.1. DM'!Q103)/100)*1000</f>
        <v>474.49227050989776</v>
      </c>
      <c r="T521" s="94">
        <f>'3.2 Digest'!W521</f>
        <v>10.492270509897821</v>
      </c>
      <c r="U521" s="153">
        <v>0.34513888888888888</v>
      </c>
      <c r="V521" s="154">
        <v>42</v>
      </c>
      <c r="W521" s="153">
        <v>0.68055555555555558</v>
      </c>
      <c r="X521" s="91">
        <v>63.5</v>
      </c>
      <c r="Y521" s="91">
        <v>11.9</v>
      </c>
      <c r="Z521" s="154">
        <v>40</v>
      </c>
      <c r="AA521" s="153">
        <v>0.38263888888888886</v>
      </c>
      <c r="AB521" s="154">
        <v>58.5</v>
      </c>
      <c r="AC521" s="154">
        <v>12.8</v>
      </c>
      <c r="AD521" s="91"/>
      <c r="AE521" s="94">
        <f>Table3.110[[#This Row],[Gas 8h, ml]]-Table3.110[[#This Row],[Gas 0h, ml]]</f>
        <v>21.5</v>
      </c>
      <c r="AF521" s="94">
        <f>Table3.110[[#This Row],[Gas 24h, ml]]-Table3.110[[#This Row],[V8 Push back, ml]]</f>
        <v>18.5</v>
      </c>
      <c r="AG521" s="94">
        <f>Table3.110[[#This Row],[GP 8h, ml]]-(AVERAGE(AE$479,AE$480,AE$660,AE$661,AE$662,AE$663))*AG$8</f>
        <v>18.107474101643646</v>
      </c>
      <c r="AH521" s="94">
        <f>Table3.110[[#This Row],[GP 8-24h, ml]]-(AVERAGE(AF$479,AF$480,AF$660,AF$661,AF$662,AF$663))*AG$8</f>
        <v>14.185592064046812</v>
      </c>
      <c r="AI521" s="94">
        <f>Table3.110[[#This Row],[Net gas 8-24h, ml]]+Table3.110[[#This Row],[Net gas 8h, ml]]</f>
        <v>32.293066165690462</v>
      </c>
      <c r="AJ521" s="94">
        <f>Table3.110[[#This Row],[Net gas 8h, ml]]*Table3.110[[#This Row],[CH4 8h %]]%</f>
        <v>2.1547894180955942</v>
      </c>
      <c r="AK521" s="94">
        <f>Table3.110[[#This Row],[Net gas 8-24h, ml]]*Table3.110[[#This Row],[CH4 24h, %]]%</f>
        <v>1.8157557841979919</v>
      </c>
      <c r="AL521" s="94">
        <f>Table3.110[[#This Row],[CH4 8-24h, ml]]+Table3.110[[#This Row],[CH4 8h, ml]]</f>
        <v>3.9705452022935859</v>
      </c>
      <c r="AM521" s="94">
        <f>(Table3.110[[#This Row],[Net gas 24h, ml]]/Table3.110[[#This Row],[DM Incubated, mg]])*1000</f>
        <v>68.05815009586513</v>
      </c>
      <c r="AN521" s="94">
        <f>'3.2 Digest'!X521</f>
        <v>2.2112626826613302</v>
      </c>
      <c r="AO521" s="94">
        <f>Table3.110[[#This Row],[Digested feed, mg]]/Table3.110[[#This Row],[Net gas 24h, ml]]</f>
        <v>0.32490784418127688</v>
      </c>
      <c r="AP521" s="94">
        <f>Table3.110[[#This Row],[CH4 8h, ml]]/Table3.110[[#This Row],[Net gas 8h, ml]]%</f>
        <v>11.9</v>
      </c>
      <c r="AQ521" s="94">
        <f>Table3.110[[#This Row],[CH4 24h, ml]]/Table3.110[[#This Row],[Net gas 24h, ml]]%</f>
        <v>12.295349044656724</v>
      </c>
      <c r="AR521" s="94">
        <f>Table3.110[[#This Row],[CH4 24h, ml]]/Table3.110[[#This Row],[DM Incubated, mg]]*1000</f>
        <v>8.3679871076229926</v>
      </c>
      <c r="AS521" s="94">
        <f>Table3.110[[#This Row],[CH4 24h, ml]]/Table3.110[[#This Row],[Digested feed, mg]]*1000</f>
        <v>378.42573716985237</v>
      </c>
      <c r="AT521" s="94">
        <f>Table3.110[[#This Row],[CH4 24h, ml]]/'3.2 Digest'!AA521</f>
        <v>-5.1041165243527184E-2</v>
      </c>
      <c r="AU521" s="94">
        <f>((Table3.110[[#This Row],[CH4 24h, ml]]/28.9)*16.04)/Table3.110[[#This Row],[DM Incubated, mg]]*1000</f>
        <v>4.6443776195942146</v>
      </c>
      <c r="AV521" s="94">
        <f>((Table3.110[[#This Row],[CH4 24h, ml]]/28.9)*16.04)/Table3.110[[#This Row],[Digested feed, mg]]*1000</f>
        <v>210.0328312873506</v>
      </c>
    </row>
    <row r="522" spans="2:48" s="89" customFormat="1" x14ac:dyDescent="0.35">
      <c r="B522" s="90">
        <f t="shared" si="7"/>
        <v>512</v>
      </c>
      <c r="C522" s="140">
        <v>46050</v>
      </c>
      <c r="D522" s="6" t="s">
        <v>16</v>
      </c>
      <c r="E522" s="6" t="s">
        <v>175</v>
      </c>
      <c r="F522" s="133" t="s">
        <v>159</v>
      </c>
      <c r="G522" s="133" t="s">
        <v>160</v>
      </c>
      <c r="H522" s="133" t="s">
        <v>161</v>
      </c>
      <c r="I522" s="133" t="s">
        <v>22</v>
      </c>
      <c r="J522" s="135" t="s">
        <v>23</v>
      </c>
      <c r="K522" s="135" t="s">
        <v>24</v>
      </c>
      <c r="L522" s="6" t="s">
        <v>174</v>
      </c>
      <c r="M522" s="93">
        <v>28</v>
      </c>
      <c r="N522" s="93">
        <v>61</v>
      </c>
      <c r="O522" s="6">
        <v>2</v>
      </c>
      <c r="P522" s="129">
        <v>3</v>
      </c>
      <c r="Q522" s="6">
        <v>0</v>
      </c>
      <c r="R522" s="98">
        <v>0.50029999999999997</v>
      </c>
      <c r="S522" s="94">
        <f>((Table3.110[[#This Row],[Sample weight, g]]*'2.1. DM'!Q103)/100)*1000</f>
        <v>474.58713101979578</v>
      </c>
      <c r="T522" s="94">
        <f>'3.2 Digest'!W522</f>
        <v>96.087131019795834</v>
      </c>
      <c r="U522" s="117">
        <v>0.34583333333333333</v>
      </c>
      <c r="V522" s="155">
        <v>41.5</v>
      </c>
      <c r="W522" s="117">
        <v>0.68125000000000002</v>
      </c>
      <c r="X522" s="96">
        <v>64</v>
      </c>
      <c r="Y522" s="96">
        <v>11.8</v>
      </c>
      <c r="Z522" s="155">
        <v>40</v>
      </c>
      <c r="AA522" s="117">
        <v>0.38333333333333336</v>
      </c>
      <c r="AB522" s="155">
        <v>59</v>
      </c>
      <c r="AC522" s="155">
        <v>12.9</v>
      </c>
      <c r="AD522" s="96"/>
      <c r="AE522" s="94">
        <f>Table3.110[[#This Row],[Gas 8h, ml]]-Table3.110[[#This Row],[Gas 0h, ml]]</f>
        <v>22.5</v>
      </c>
      <c r="AF522" s="94">
        <f>Table3.110[[#This Row],[Gas 24h, ml]]-Table3.110[[#This Row],[V8 Push back, ml]]</f>
        <v>19</v>
      </c>
      <c r="AG522" s="94">
        <f>Table3.110[[#This Row],[GP 8h, ml]]-(AVERAGE(AE$479,AE$480,AE$660,AE$661,AE$662,AE$663))*AG$8</f>
        <v>19.107474101643646</v>
      </c>
      <c r="AH522" s="94">
        <f>Table3.110[[#This Row],[GP 8-24h, ml]]-(AVERAGE(AF$479,AF$480,AF$660,AF$661,AF$662,AF$663))*AG$8</f>
        <v>14.685592064046812</v>
      </c>
      <c r="AI522" s="94">
        <f>Table3.110[[#This Row],[Net gas 8-24h, ml]]+Table3.110[[#This Row],[Net gas 8h, ml]]</f>
        <v>33.793066165690462</v>
      </c>
      <c r="AJ522" s="94">
        <f>Table3.110[[#This Row],[Net gas 8h, ml]]*Table3.110[[#This Row],[CH4 8h %]]%</f>
        <v>2.2546819439939503</v>
      </c>
      <c r="AK522" s="94">
        <f>Table3.110[[#This Row],[Net gas 8-24h, ml]]*Table3.110[[#This Row],[CH4 24h, %]]%</f>
        <v>1.8944413762620389</v>
      </c>
      <c r="AL522" s="94">
        <f>Table3.110[[#This Row],[CH4 8-24h, ml]]+Table3.110[[#This Row],[CH4 8h, ml]]</f>
        <v>4.1491233202559892</v>
      </c>
      <c r="AM522" s="94">
        <f>(Table3.110[[#This Row],[Net gas 24h, ml]]/Table3.110[[#This Row],[DM Incubated, mg]])*1000</f>
        <v>71.205188587974803</v>
      </c>
      <c r="AN522" s="94">
        <f>'3.2 Digest'!X522</f>
        <v>20.246467874786912</v>
      </c>
      <c r="AO522" s="94">
        <f>Table3.110[[#This Row],[Digested feed, mg]]/Table3.110[[#This Row],[Net gas 24h, ml]]</f>
        <v>2.8433978304505407</v>
      </c>
      <c r="AP522" s="94">
        <f>Table3.110[[#This Row],[CH4 8h, ml]]/Table3.110[[#This Row],[Net gas 8h, ml]]%</f>
        <v>11.8</v>
      </c>
      <c r="AQ522" s="94">
        <f>Table3.110[[#This Row],[CH4 24h, ml]]/Table3.110[[#This Row],[Net gas 24h, ml]]%</f>
        <v>12.278031534375904</v>
      </c>
      <c r="AR522" s="94">
        <f>Table3.110[[#This Row],[CH4 24h, ml]]/Table3.110[[#This Row],[DM Incubated, mg]]*1000</f>
        <v>8.7425955089433778</v>
      </c>
      <c r="AS522" s="94">
        <f>Table3.110[[#This Row],[CH4 24h, ml]]/Table3.110[[#This Row],[Digested feed, mg]]*1000</f>
        <v>43.180843014255352</v>
      </c>
      <c r="AT522" s="94">
        <f>Table3.110[[#This Row],[CH4 24h, ml]]/'3.2 Digest'!AA522</f>
        <v>-9.2200722440697339E-2</v>
      </c>
      <c r="AU522" s="94">
        <f>((Table3.110[[#This Row],[CH4 24h, ml]]/28.9)*16.04)/Table3.110[[#This Row],[DM Incubated, mg]]*1000</f>
        <v>4.8522917634412384</v>
      </c>
      <c r="AV522" s="94">
        <f>((Table3.110[[#This Row],[CH4 24h, ml]]/28.9)*16.04)/Table3.110[[#This Row],[Digested feed, mg]]*1000</f>
        <v>23.966114946320268</v>
      </c>
    </row>
    <row r="523" spans="2:48" s="89" customFormat="1" x14ac:dyDescent="0.35">
      <c r="B523" s="90">
        <f t="shared" si="7"/>
        <v>513</v>
      </c>
      <c r="C523" s="140">
        <v>46050</v>
      </c>
      <c r="D523" s="6" t="s">
        <v>16</v>
      </c>
      <c r="E523" s="6" t="s">
        <v>177</v>
      </c>
      <c r="F523" s="133" t="s">
        <v>159</v>
      </c>
      <c r="G523" s="133" t="s">
        <v>160</v>
      </c>
      <c r="H523" s="133" t="s">
        <v>161</v>
      </c>
      <c r="I523" s="133" t="s">
        <v>22</v>
      </c>
      <c r="J523" s="135" t="s">
        <v>23</v>
      </c>
      <c r="K523" s="135" t="s">
        <v>24</v>
      </c>
      <c r="L523" s="6" t="s">
        <v>176</v>
      </c>
      <c r="M523" s="93">
        <v>28</v>
      </c>
      <c r="N523" s="93">
        <v>61</v>
      </c>
      <c r="O523" s="6">
        <v>2</v>
      </c>
      <c r="P523" s="6">
        <v>1</v>
      </c>
      <c r="Q523" s="6">
        <v>0</v>
      </c>
      <c r="R523" s="98">
        <v>0.50029999999999997</v>
      </c>
      <c r="S523" s="94">
        <f>((Table3.110[[#This Row],[Sample weight, g]]*'2.1. DM'!Q105)/100)*1000</f>
        <v>469.66743825617431</v>
      </c>
      <c r="T523" s="94">
        <f>'3.2 Digest'!W523</f>
        <v>107.96743825617426</v>
      </c>
      <c r="U523" s="153">
        <v>0.34583333333333333</v>
      </c>
      <c r="V523" s="154">
        <v>40.5</v>
      </c>
      <c r="W523" s="153">
        <v>0.68194444444444446</v>
      </c>
      <c r="X523" s="91">
        <v>62.5</v>
      </c>
      <c r="Y523" s="91">
        <v>13.1</v>
      </c>
      <c r="Z523" s="154">
        <v>40</v>
      </c>
      <c r="AA523" s="153">
        <v>0.38333333333333336</v>
      </c>
      <c r="AB523" s="154">
        <v>59.5</v>
      </c>
      <c r="AC523" s="154">
        <v>13.5</v>
      </c>
      <c r="AD523" s="91"/>
      <c r="AE523" s="94">
        <f>Table3.110[[#This Row],[Gas 8h, ml]]-Table3.110[[#This Row],[Gas 0h, ml]]</f>
        <v>22</v>
      </c>
      <c r="AF523" s="94">
        <f>Table3.110[[#This Row],[Gas 24h, ml]]-Table3.110[[#This Row],[V8 Push back, ml]]</f>
        <v>19.5</v>
      </c>
      <c r="AG523" s="94">
        <f>Table3.110[[#This Row],[GP 8h, ml]]-(AVERAGE(AE$479,AE$480,AE$660,AE$661,AE$662,AE$663))*AG$8</f>
        <v>18.607474101643646</v>
      </c>
      <c r="AH523" s="94">
        <f>Table3.110[[#This Row],[GP 8-24h, ml]]-(AVERAGE(AF$479,AF$480,AF$660,AF$661,AF$662,AF$663))*AG$8</f>
        <v>15.185592064046812</v>
      </c>
      <c r="AI523" s="94">
        <f>Table3.110[[#This Row],[Net gas 8-24h, ml]]+Table3.110[[#This Row],[Net gas 8h, ml]]</f>
        <v>33.793066165690462</v>
      </c>
      <c r="AJ523" s="94">
        <f>Table3.110[[#This Row],[Net gas 8h, ml]]*Table3.110[[#This Row],[CH4 8h %]]%</f>
        <v>2.4375791073153179</v>
      </c>
      <c r="AK523" s="94">
        <f>Table3.110[[#This Row],[Net gas 8-24h, ml]]*Table3.110[[#This Row],[CH4 24h, %]]%</f>
        <v>2.0500549286463197</v>
      </c>
      <c r="AL523" s="94">
        <f>Table3.110[[#This Row],[CH4 8-24h, ml]]+Table3.110[[#This Row],[CH4 8h, ml]]</f>
        <v>4.4876340359616371</v>
      </c>
      <c r="AM523" s="94">
        <f>(Table3.110[[#This Row],[Net gas 24h, ml]]/Table3.110[[#This Row],[DM Incubated, mg]])*1000</f>
        <v>71.951051772208345</v>
      </c>
      <c r="AN523" s="94">
        <f>'3.2 Digest'!X523</f>
        <v>22.988061224138931</v>
      </c>
      <c r="AO523" s="94">
        <f>Table3.110[[#This Row],[Digested feed, mg]]/Table3.110[[#This Row],[Net gas 24h, ml]]</f>
        <v>3.1949583304101541</v>
      </c>
      <c r="AP523" s="94">
        <f>Table3.110[[#This Row],[CH4 8h, ml]]/Table3.110[[#This Row],[Net gas 8h, ml]]%</f>
        <v>13.100000000000001</v>
      </c>
      <c r="AQ523" s="94">
        <f>Table3.110[[#This Row],[CH4 24h, ml]]/Table3.110[[#This Row],[Net gas 24h, ml]]%</f>
        <v>13.279748022740408</v>
      </c>
      <c r="AR523" s="94">
        <f>Table3.110[[#This Row],[CH4 24h, ml]]/Table3.110[[#This Row],[DM Incubated, mg]]*1000</f>
        <v>9.5549183750607654</v>
      </c>
      <c r="AS523" s="94">
        <f>Table3.110[[#This Row],[CH4 24h, ml]]/Table3.110[[#This Row],[Digested feed, mg]]*1000</f>
        <v>41.564698657699289</v>
      </c>
      <c r="AT523" s="94">
        <f>Table3.110[[#This Row],[CH4 24h, ml]]/'3.2 Digest'!AA523</f>
        <v>-0.11162942683602392</v>
      </c>
      <c r="AU523" s="94">
        <f>((Table3.110[[#This Row],[CH4 24h, ml]]/28.9)*16.04)/Table3.110[[#This Row],[DM Incubated, mg]]*1000</f>
        <v>5.3031450081652141</v>
      </c>
      <c r="AV523" s="94">
        <f>((Table3.110[[#This Row],[CH4 24h, ml]]/28.9)*16.04)/Table3.110[[#This Row],[Digested feed, mg]]*1000</f>
        <v>23.069126867456628</v>
      </c>
    </row>
    <row r="524" spans="2:48" s="89" customFormat="1" x14ac:dyDescent="0.35">
      <c r="B524" s="90">
        <f t="shared" ref="B524:B587" si="8">B523+1</f>
        <v>514</v>
      </c>
      <c r="C524" s="140">
        <v>46050</v>
      </c>
      <c r="D524" s="6" t="s">
        <v>16</v>
      </c>
      <c r="E524" s="6" t="s">
        <v>177</v>
      </c>
      <c r="F524" s="133" t="s">
        <v>159</v>
      </c>
      <c r="G524" s="133" t="s">
        <v>160</v>
      </c>
      <c r="H524" s="133" t="s">
        <v>161</v>
      </c>
      <c r="I524" s="133" t="s">
        <v>22</v>
      </c>
      <c r="J524" s="135" t="s">
        <v>23</v>
      </c>
      <c r="K524" s="135" t="s">
        <v>24</v>
      </c>
      <c r="L524" s="6" t="s">
        <v>176</v>
      </c>
      <c r="M524" s="93">
        <v>28</v>
      </c>
      <c r="N524" s="93">
        <v>61</v>
      </c>
      <c r="O524" s="6">
        <v>2</v>
      </c>
      <c r="P524" s="129">
        <v>2</v>
      </c>
      <c r="Q524" s="6">
        <v>0</v>
      </c>
      <c r="R524" s="98">
        <v>0.50019999999999998</v>
      </c>
      <c r="S524" s="94">
        <f>((Table3.110[[#This Row],[Sample weight, g]]*'2.1. DM'!Q105)/100)*1000</f>
        <v>469.57356109481992</v>
      </c>
      <c r="T524" s="94">
        <f>'3.2 Digest'!W524</f>
        <v>36.573561094819866</v>
      </c>
      <c r="U524" s="117">
        <v>0.34652777777777777</v>
      </c>
      <c r="V524" s="155">
        <v>40.5</v>
      </c>
      <c r="W524" s="117">
        <v>0.68194444444444446</v>
      </c>
      <c r="X524" s="96">
        <v>68</v>
      </c>
      <c r="Y524" s="96">
        <v>14.3</v>
      </c>
      <c r="Z524" s="155">
        <v>40</v>
      </c>
      <c r="AA524" s="117">
        <v>0.38541666666666669</v>
      </c>
      <c r="AB524" s="155">
        <v>57.5</v>
      </c>
      <c r="AC524" s="155">
        <v>13.3</v>
      </c>
      <c r="AD524" s="96" t="s">
        <v>568</v>
      </c>
      <c r="AE524" s="94">
        <f>Table3.110[[#This Row],[Gas 8h, ml]]-Table3.110[[#This Row],[Gas 0h, ml]]</f>
        <v>27.5</v>
      </c>
      <c r="AF524" s="94">
        <f>Table3.110[[#This Row],[Gas 24h, ml]]-Table3.110[[#This Row],[V8 Push back, ml]]</f>
        <v>17.5</v>
      </c>
      <c r="AG524" s="94">
        <f>Table3.110[[#This Row],[GP 8h, ml]]-(AVERAGE(AE$479,AE$480,AE$660,AE$661,AE$662,AE$663))*AG$8</f>
        <v>24.107474101643646</v>
      </c>
      <c r="AH524" s="94">
        <f>Table3.110[[#This Row],[GP 8-24h, ml]]-(AVERAGE(AF$479,AF$480,AF$660,AF$661,AF$662,AF$663))*AG$8</f>
        <v>13.185592064046812</v>
      </c>
      <c r="AI524" s="94">
        <f>Table3.110[[#This Row],[Net gas 8-24h, ml]]+Table3.110[[#This Row],[Net gas 8h, ml]]</f>
        <v>37.293066165690462</v>
      </c>
      <c r="AJ524" s="94">
        <f>Table3.110[[#This Row],[Net gas 8h, ml]]*Table3.110[[#This Row],[CH4 8h %]]%</f>
        <v>3.4473687965350419</v>
      </c>
      <c r="AK524" s="94">
        <f>Table3.110[[#This Row],[Net gas 8-24h, ml]]*Table3.110[[#This Row],[CH4 24h, %]]%</f>
        <v>1.7536837445182261</v>
      </c>
      <c r="AL524" s="94">
        <f>Table3.110[[#This Row],[CH4 8-24h, ml]]+Table3.110[[#This Row],[CH4 8h, ml]]</f>
        <v>5.2010525410532678</v>
      </c>
      <c r="AM524" s="94">
        <f>(Table3.110[[#This Row],[Net gas 24h, ml]]/Table3.110[[#This Row],[DM Incubated, mg]])*1000</f>
        <v>79.419007489989326</v>
      </c>
      <c r="AN524" s="94">
        <f>'3.2 Digest'!X524</f>
        <v>7.7886755398979224</v>
      </c>
      <c r="AO524" s="94">
        <f>Table3.110[[#This Row],[Digested feed, mg]]/Table3.110[[#This Row],[Net gas 24h, ml]]</f>
        <v>0.9807067333194357</v>
      </c>
      <c r="AP524" s="94">
        <f>Table3.110[[#This Row],[CH4 8h, ml]]/Table3.110[[#This Row],[Net gas 8h, ml]]%</f>
        <v>14.3</v>
      </c>
      <c r="AQ524" s="94">
        <f>Table3.110[[#This Row],[CH4 24h, ml]]/Table3.110[[#This Row],[Net gas 24h, ml]]%</f>
        <v>13.946433146433597</v>
      </c>
      <c r="AR524" s="94">
        <f>Table3.110[[#This Row],[CH4 24h, ml]]/Table3.110[[#This Row],[DM Incubated, mg]]*1000</f>
        <v>11.076118785152453</v>
      </c>
      <c r="AS524" s="94">
        <f>Table3.110[[#This Row],[CH4 24h, ml]]/Table3.110[[#This Row],[Digested feed, mg]]*1000</f>
        <v>142.20798810291197</v>
      </c>
      <c r="AT524" s="94">
        <f>Table3.110[[#This Row],[CH4 24h, ml]]/'3.2 Digest'!AA524</f>
        <v>-7.6630491238022042E-2</v>
      </c>
      <c r="AU524" s="94">
        <f>((Table3.110[[#This Row],[CH4 24h, ml]]/28.9)*16.04)/Table3.110[[#This Row],[DM Incubated, mg]]*1000</f>
        <v>6.1474375541122956</v>
      </c>
      <c r="AV524" s="94">
        <f>((Table3.110[[#This Row],[CH4 24h, ml]]/28.9)*16.04)/Table3.110[[#This Row],[Digested feed, mg]]*1000</f>
        <v>78.927893742931076</v>
      </c>
    </row>
    <row r="525" spans="2:48" s="89" customFormat="1" x14ac:dyDescent="0.35">
      <c r="B525" s="90">
        <f t="shared" si="8"/>
        <v>515</v>
      </c>
      <c r="C525" s="140">
        <v>46050</v>
      </c>
      <c r="D525" s="6" t="s">
        <v>16</v>
      </c>
      <c r="E525" s="6" t="s">
        <v>177</v>
      </c>
      <c r="F525" s="133" t="s">
        <v>159</v>
      </c>
      <c r="G525" s="133" t="s">
        <v>160</v>
      </c>
      <c r="H525" s="133" t="s">
        <v>161</v>
      </c>
      <c r="I525" s="133" t="s">
        <v>22</v>
      </c>
      <c r="J525" s="135" t="s">
        <v>23</v>
      </c>
      <c r="K525" s="135" t="s">
        <v>24</v>
      </c>
      <c r="L525" s="6" t="s">
        <v>176</v>
      </c>
      <c r="M525" s="93">
        <v>28</v>
      </c>
      <c r="N525" s="93">
        <v>61</v>
      </c>
      <c r="O525" s="6">
        <v>2</v>
      </c>
      <c r="P525" s="129">
        <v>3</v>
      </c>
      <c r="Q525" s="6">
        <v>0</v>
      </c>
      <c r="R525" s="98">
        <v>0.50009999999999999</v>
      </c>
      <c r="S525" s="94">
        <f>((Table3.110[[#This Row],[Sample weight, g]]*'2.1. DM'!Q105)/100)*1000</f>
        <v>469.47968393346548</v>
      </c>
      <c r="T525" s="94">
        <f>'3.2 Digest'!W525</f>
        <v>65.879683933465515</v>
      </c>
      <c r="U525" s="153">
        <v>0.34652777777777777</v>
      </c>
      <c r="V525" s="154">
        <v>41.5</v>
      </c>
      <c r="W525" s="153">
        <v>0.68263888888888891</v>
      </c>
      <c r="X525" s="91">
        <v>64</v>
      </c>
      <c r="Y525" s="91">
        <v>12.9</v>
      </c>
      <c r="Z525" s="154">
        <v>40</v>
      </c>
      <c r="AA525" s="153">
        <v>0.38541666666666669</v>
      </c>
      <c r="AB525" s="154">
        <v>58.5</v>
      </c>
      <c r="AC525" s="154">
        <v>13.3</v>
      </c>
      <c r="AD525" s="91"/>
      <c r="AE525" s="94">
        <f>Table3.110[[#This Row],[Gas 8h, ml]]-Table3.110[[#This Row],[Gas 0h, ml]]</f>
        <v>22.5</v>
      </c>
      <c r="AF525" s="94">
        <f>Table3.110[[#This Row],[Gas 24h, ml]]-Table3.110[[#This Row],[V8 Push back, ml]]</f>
        <v>18.5</v>
      </c>
      <c r="AG525" s="94">
        <f>Table3.110[[#This Row],[GP 8h, ml]]-(AVERAGE(AE$479,AE$480,AE$660,AE$661,AE$662,AE$663))*AG$8</f>
        <v>19.107474101643646</v>
      </c>
      <c r="AH525" s="94">
        <f>Table3.110[[#This Row],[GP 8-24h, ml]]-(AVERAGE(AF$479,AF$480,AF$660,AF$661,AF$662,AF$663))*AG$8</f>
        <v>14.185592064046812</v>
      </c>
      <c r="AI525" s="94">
        <f>Table3.110[[#This Row],[Net gas 8-24h, ml]]+Table3.110[[#This Row],[Net gas 8h, ml]]</f>
        <v>33.293066165690462</v>
      </c>
      <c r="AJ525" s="94">
        <f>Table3.110[[#This Row],[Net gas 8h, ml]]*Table3.110[[#This Row],[CH4 8h %]]%</f>
        <v>2.4648641591120306</v>
      </c>
      <c r="AK525" s="94">
        <f>Table3.110[[#This Row],[Net gas 8-24h, ml]]*Table3.110[[#This Row],[CH4 24h, %]]%</f>
        <v>1.8866837445182261</v>
      </c>
      <c r="AL525" s="94">
        <f>Table3.110[[#This Row],[CH4 8-24h, ml]]+Table3.110[[#This Row],[CH4 8h, ml]]</f>
        <v>4.3515479036302569</v>
      </c>
      <c r="AM525" s="94">
        <f>(Table3.110[[#This Row],[Net gas 24h, ml]]/Table3.110[[#This Row],[DM Incubated, mg]])*1000</f>
        <v>70.914817626930045</v>
      </c>
      <c r="AN525" s="94">
        <f>'3.2 Digest'!X525</f>
        <v>14.032488771719025</v>
      </c>
      <c r="AO525" s="94">
        <f>Table3.110[[#This Row],[Digested feed, mg]]/Table3.110[[#This Row],[Net gas 24h, ml]]</f>
        <v>1.9787809150890576</v>
      </c>
      <c r="AP525" s="94">
        <f>Table3.110[[#This Row],[CH4 8h, ml]]/Table3.110[[#This Row],[Net gas 8h, ml]]%</f>
        <v>12.900000000000002</v>
      </c>
      <c r="AQ525" s="94">
        <f>Table3.110[[#This Row],[CH4 24h, ml]]/Table3.110[[#This Row],[Net gas 24h, ml]]%</f>
        <v>13.070432990382431</v>
      </c>
      <c r="AR525" s="94">
        <f>Table3.110[[#This Row],[CH4 24h, ml]]/Table3.110[[#This Row],[DM Incubated, mg]]*1000</f>
        <v>9.2688737181797993</v>
      </c>
      <c r="AS525" s="94">
        <f>Table3.110[[#This Row],[CH4 24h, ml]]/Table3.110[[#This Row],[Digested feed, mg]]*1000</f>
        <v>66.052956599261421</v>
      </c>
      <c r="AT525" s="94">
        <f>Table3.110[[#This Row],[CH4 24h, ml]]/'3.2 Digest'!AA525</f>
        <v>-7.701186378257259E-2</v>
      </c>
      <c r="AU525" s="94">
        <f>((Table3.110[[#This Row],[CH4 24h, ml]]/28.9)*16.04)/Table3.110[[#This Row],[DM Incubated, mg]]*1000</f>
        <v>5.1443852747267798</v>
      </c>
      <c r="AV525" s="94">
        <f>((Table3.110[[#This Row],[CH4 24h, ml]]/28.9)*16.04)/Table3.110[[#This Row],[Digested feed, mg]]*1000</f>
        <v>36.660533697306327</v>
      </c>
    </row>
    <row r="526" spans="2:48" s="89" customFormat="1" x14ac:dyDescent="0.35">
      <c r="B526" s="90">
        <f t="shared" si="8"/>
        <v>516</v>
      </c>
      <c r="C526" s="140">
        <v>46050</v>
      </c>
      <c r="D526" s="6" t="s">
        <v>16</v>
      </c>
      <c r="E526" s="57" t="s">
        <v>181</v>
      </c>
      <c r="F526" s="133" t="s">
        <v>159</v>
      </c>
      <c r="G526" s="133" t="s">
        <v>160</v>
      </c>
      <c r="H526" s="125" t="s">
        <v>161</v>
      </c>
      <c r="I526" s="133" t="s">
        <v>22</v>
      </c>
      <c r="J526" s="135" t="s">
        <v>23</v>
      </c>
      <c r="K526" s="135" t="s">
        <v>24</v>
      </c>
      <c r="L526" s="57" t="s">
        <v>180</v>
      </c>
      <c r="M526" s="93">
        <v>28</v>
      </c>
      <c r="N526" s="93">
        <v>61</v>
      </c>
      <c r="O526" s="57">
        <v>2</v>
      </c>
      <c r="P526" s="57">
        <v>1</v>
      </c>
      <c r="Q526" s="57">
        <v>0</v>
      </c>
      <c r="R526" s="106">
        <v>0.50029999999999997</v>
      </c>
      <c r="S526" s="94">
        <f>((Table3.110[[#This Row],[Sample weight, g]]*'2.1. DM'!Q107)/100)*1000</f>
        <v>477.86604407189026</v>
      </c>
      <c r="T526" s="94">
        <f>'3.2 Digest'!W526</f>
        <v>150.76604407189029</v>
      </c>
      <c r="U526" s="157">
        <v>0.34722222222222221</v>
      </c>
      <c r="V526" s="158">
        <v>41.5</v>
      </c>
      <c r="W526" s="157">
        <v>0.68263888888888891</v>
      </c>
      <c r="X526" s="104">
        <v>66</v>
      </c>
      <c r="Y526" s="104">
        <v>12.9</v>
      </c>
      <c r="Z526" s="158">
        <v>40</v>
      </c>
      <c r="AA526" s="157">
        <v>0.38680555555555557</v>
      </c>
      <c r="AB526" s="158">
        <v>58.5</v>
      </c>
      <c r="AC526" s="158">
        <v>13</v>
      </c>
      <c r="AD526" s="104"/>
      <c r="AE526" s="94">
        <f>Table3.110[[#This Row],[Gas 8h, ml]]-Table3.110[[#This Row],[Gas 0h, ml]]</f>
        <v>24.5</v>
      </c>
      <c r="AF526" s="94">
        <f>Table3.110[[#This Row],[Gas 24h, ml]]-Table3.110[[#This Row],[V8 Push back, ml]]</f>
        <v>18.5</v>
      </c>
      <c r="AG526" s="94">
        <f>Table3.110[[#This Row],[GP 8h, ml]]-(AVERAGE(AE$479,AE$480,AE$660,AE$661,AE$662,AE$663))*AG$8</f>
        <v>21.107474101643646</v>
      </c>
      <c r="AH526" s="94">
        <f>Table3.110[[#This Row],[GP 8-24h, ml]]-(AVERAGE(AF$479,AF$480,AF$660,AF$661,AF$662,AF$663))*AG$8</f>
        <v>14.185592064046812</v>
      </c>
      <c r="AI526" s="94">
        <f>Table3.110[[#This Row],[Net gas 8-24h, ml]]+Table3.110[[#This Row],[Net gas 8h, ml]]</f>
        <v>35.293066165690462</v>
      </c>
      <c r="AJ526" s="94">
        <f>Table3.110[[#This Row],[Net gas 8h, ml]]*Table3.110[[#This Row],[CH4 8h %]]%</f>
        <v>2.7228641591120306</v>
      </c>
      <c r="AK526" s="94">
        <f>Table3.110[[#This Row],[Net gas 8-24h, ml]]*Table3.110[[#This Row],[CH4 24h, %]]%</f>
        <v>1.8441269683260857</v>
      </c>
      <c r="AL526" s="94">
        <f>Table3.110[[#This Row],[CH4 8-24h, ml]]+Table3.110[[#This Row],[CH4 8h, ml]]</f>
        <v>4.5669911274381167</v>
      </c>
      <c r="AM526" s="94">
        <f>(Table3.110[[#This Row],[Net gas 24h, ml]]/Table3.110[[#This Row],[DM Incubated, mg]])*1000</f>
        <v>73.855563925318293</v>
      </c>
      <c r="AN526" s="94">
        <f>'3.2 Digest'!X526</f>
        <v>31.549855015270563</v>
      </c>
      <c r="AO526" s="94">
        <f>Table3.110[[#This Row],[Digested feed, mg]]/Table3.110[[#This Row],[Net gas 24h, ml]]</f>
        <v>4.2718318483321482</v>
      </c>
      <c r="AP526" s="94">
        <f>Table3.110[[#This Row],[CH4 8h, ml]]/Table3.110[[#This Row],[Net gas 8h, ml]]%</f>
        <v>12.9</v>
      </c>
      <c r="AQ526" s="94">
        <f>Table3.110[[#This Row],[CH4 24h, ml]]/Table3.110[[#This Row],[Net gas 24h, ml]]%</f>
        <v>12.94019370829797</v>
      </c>
      <c r="AR526" s="94">
        <f>Table3.110[[#This Row],[CH4 24h, ml]]/Table3.110[[#This Row],[DM Incubated, mg]]*1000</f>
        <v>9.5570530362920252</v>
      </c>
      <c r="AS526" s="94">
        <f>Table3.110[[#This Row],[CH4 24h, ml]]/Table3.110[[#This Row],[Digested feed, mg]]*1000</f>
        <v>30.29190793956511</v>
      </c>
      <c r="AT526" s="94">
        <f>Table3.110[[#This Row],[CH4 24h, ml]]/'3.2 Digest'!AA526</f>
        <v>-0.17614070868971257</v>
      </c>
      <c r="AU526" s="94">
        <f>((Table3.110[[#This Row],[CH4 24h, ml]]/28.9)*16.04)/Table3.110[[#This Row],[DM Incubated, mg]]*1000</f>
        <v>5.3043297820804174</v>
      </c>
      <c r="AV526" s="94">
        <f>((Table3.110[[#This Row],[CH4 24h, ml]]/28.9)*16.04)/Table3.110[[#This Row],[Digested feed, mg]]*1000</f>
        <v>16.812532987910881</v>
      </c>
    </row>
    <row r="527" spans="2:48" s="89" customFormat="1" x14ac:dyDescent="0.35">
      <c r="B527" s="90">
        <f t="shared" si="8"/>
        <v>517</v>
      </c>
      <c r="C527" s="140">
        <v>46050</v>
      </c>
      <c r="D527" s="6" t="s">
        <v>16</v>
      </c>
      <c r="E527" s="6" t="s">
        <v>181</v>
      </c>
      <c r="F527" s="133" t="s">
        <v>159</v>
      </c>
      <c r="G527" s="133" t="s">
        <v>160</v>
      </c>
      <c r="H527" s="133" t="s">
        <v>161</v>
      </c>
      <c r="I527" s="133" t="s">
        <v>22</v>
      </c>
      <c r="J527" s="135" t="s">
        <v>23</v>
      </c>
      <c r="K527" s="135" t="s">
        <v>24</v>
      </c>
      <c r="L527" s="6" t="s">
        <v>180</v>
      </c>
      <c r="M527" s="93">
        <v>28</v>
      </c>
      <c r="N527" s="93">
        <v>61</v>
      </c>
      <c r="O527" s="6">
        <v>2</v>
      </c>
      <c r="P527" s="129">
        <v>2</v>
      </c>
      <c r="Q527" s="6">
        <v>0</v>
      </c>
      <c r="R527" s="98">
        <v>0.50019999999999998</v>
      </c>
      <c r="S527" s="94">
        <f>((Table3.110[[#This Row],[Sample weight, g]]*'2.1. DM'!Q107)/100)*1000</f>
        <v>477.7705281726154</v>
      </c>
      <c r="T527" s="94">
        <f>'3.2 Digest'!W527</f>
        <v>164.17052817261543</v>
      </c>
      <c r="U527" s="117">
        <v>0.34722222222222221</v>
      </c>
      <c r="V527" s="155">
        <v>41.5</v>
      </c>
      <c r="W527" s="117">
        <v>0.68333333333333335</v>
      </c>
      <c r="X527" s="96">
        <v>64.5</v>
      </c>
      <c r="Y527" s="96">
        <v>13.3</v>
      </c>
      <c r="Z527" s="155">
        <v>40</v>
      </c>
      <c r="AA527" s="117">
        <v>0.38680555555555557</v>
      </c>
      <c r="AB527" s="155">
        <v>52.5</v>
      </c>
      <c r="AC527" s="155">
        <v>13.2</v>
      </c>
      <c r="AD527" s="96"/>
      <c r="AE527" s="94">
        <f>Table3.110[[#This Row],[Gas 8h, ml]]-Table3.110[[#This Row],[Gas 0h, ml]]</f>
        <v>23</v>
      </c>
      <c r="AF527" s="94">
        <f>Table3.110[[#This Row],[Gas 24h, ml]]-Table3.110[[#This Row],[V8 Push back, ml]]</f>
        <v>12.5</v>
      </c>
      <c r="AG527" s="94">
        <f>Table3.110[[#This Row],[GP 8h, ml]]-(AVERAGE(AE$479,AE$480,AE$660,AE$661,AE$662,AE$663))*AG$8</f>
        <v>19.607474101643646</v>
      </c>
      <c r="AH527" s="94">
        <f>Table3.110[[#This Row],[GP 8-24h, ml]]-(AVERAGE(AF$479,AF$480,AF$660,AF$661,AF$662,AF$663))*AG$8</f>
        <v>8.1855920640468121</v>
      </c>
      <c r="AI527" s="94">
        <f>Table3.110[[#This Row],[Net gas 8-24h, ml]]+Table3.110[[#This Row],[Net gas 8h, ml]]</f>
        <v>27.793066165690458</v>
      </c>
      <c r="AJ527" s="94">
        <f>Table3.110[[#This Row],[Net gas 8h, ml]]*Table3.110[[#This Row],[CH4 8h %]]%</f>
        <v>2.607794055518605</v>
      </c>
      <c r="AK527" s="94">
        <f>Table3.110[[#This Row],[Net gas 8-24h, ml]]*Table3.110[[#This Row],[CH4 24h, %]]%</f>
        <v>1.0804981524541792</v>
      </c>
      <c r="AL527" s="94">
        <f>Table3.110[[#This Row],[CH4 8-24h, ml]]+Table3.110[[#This Row],[CH4 8h, ml]]</f>
        <v>3.6882922079727845</v>
      </c>
      <c r="AM527" s="94">
        <f>(Table3.110[[#This Row],[Net gas 24h, ml]]/Table3.110[[#This Row],[DM Incubated, mg]])*1000</f>
        <v>58.172416519691659</v>
      </c>
      <c r="AN527" s="94">
        <f>'3.2 Digest'!X527</f>
        <v>34.361794730314905</v>
      </c>
      <c r="AO527" s="94">
        <f>Table3.110[[#This Row],[Digested feed, mg]]/Table3.110[[#This Row],[Net gas 24h, ml]]</f>
        <v>5.906887969607256</v>
      </c>
      <c r="AP527" s="94">
        <f>Table3.110[[#This Row],[CH4 8h, ml]]/Table3.110[[#This Row],[Net gas 8h, ml]]%</f>
        <v>13.3</v>
      </c>
      <c r="AQ527" s="94">
        <f>Table3.110[[#This Row],[CH4 24h, ml]]/Table3.110[[#This Row],[Net gas 24h, ml]]%</f>
        <v>13.270548078375924</v>
      </c>
      <c r="AR527" s="94">
        <f>Table3.110[[#This Row],[CH4 24h, ml]]/Table3.110[[#This Row],[DM Incubated, mg]]*1000</f>
        <v>7.7197985025987794</v>
      </c>
      <c r="AS527" s="94">
        <f>Table3.110[[#This Row],[CH4 24h, ml]]/Table3.110[[#This Row],[Digested feed, mg]]*1000</f>
        <v>22.466226118824245</v>
      </c>
      <c r="AT527" s="94">
        <f>Table3.110[[#This Row],[CH4 24h, ml]]/'3.2 Digest'!AA527</f>
        <v>-0.17770667876812996</v>
      </c>
      <c r="AU527" s="94">
        <f>((Table3.110[[#This Row],[CH4 24h, ml]]/28.9)*16.04)/Table3.110[[#This Row],[DM Incubated, mg]]*1000</f>
        <v>4.2846217294700493</v>
      </c>
      <c r="AV527" s="94">
        <f>((Table3.110[[#This Row],[CH4 24h, ml]]/28.9)*16.04)/Table3.110[[#This Row],[Digested feed, mg]]*1000</f>
        <v>12.469144184980651</v>
      </c>
    </row>
    <row r="528" spans="2:48" s="89" customFormat="1" x14ac:dyDescent="0.35">
      <c r="B528" s="90">
        <f t="shared" si="8"/>
        <v>518</v>
      </c>
      <c r="C528" s="140">
        <v>46050</v>
      </c>
      <c r="D528" s="6" t="s">
        <v>16</v>
      </c>
      <c r="E528" s="6" t="s">
        <v>181</v>
      </c>
      <c r="F528" s="133" t="s">
        <v>159</v>
      </c>
      <c r="G528" s="133" t="s">
        <v>160</v>
      </c>
      <c r="H528" s="133" t="s">
        <v>161</v>
      </c>
      <c r="I528" s="133" t="s">
        <v>22</v>
      </c>
      <c r="J528" s="135" t="s">
        <v>23</v>
      </c>
      <c r="K528" s="135" t="s">
        <v>24</v>
      </c>
      <c r="L528" s="6" t="s">
        <v>180</v>
      </c>
      <c r="M528" s="93">
        <v>28</v>
      </c>
      <c r="N528" s="93">
        <v>61</v>
      </c>
      <c r="O528" s="6">
        <v>2</v>
      </c>
      <c r="P528" s="129">
        <v>3</v>
      </c>
      <c r="Q528" s="6">
        <v>0</v>
      </c>
      <c r="R528" s="98">
        <v>0.50039999999999996</v>
      </c>
      <c r="S528" s="94">
        <f>((Table3.110[[#This Row],[Sample weight, g]]*'2.1. DM'!Q107)/100)*1000</f>
        <v>477.961559971165</v>
      </c>
      <c r="T528" s="94">
        <f>'3.2 Digest'!W528</f>
        <v>113.46155997116495</v>
      </c>
      <c r="U528" s="117">
        <v>0.34722222222222221</v>
      </c>
      <c r="V528" s="155">
        <v>40.5</v>
      </c>
      <c r="W528" s="117">
        <v>0.68333333333333335</v>
      </c>
      <c r="X528" s="96">
        <v>65.5</v>
      </c>
      <c r="Y528" s="96">
        <v>13.2</v>
      </c>
      <c r="Z528" s="155">
        <v>40</v>
      </c>
      <c r="AA528" s="117">
        <v>0.38680555555555557</v>
      </c>
      <c r="AB528" s="155">
        <v>57.5</v>
      </c>
      <c r="AC528" s="155">
        <v>13.3</v>
      </c>
      <c r="AD528" s="96"/>
      <c r="AE528" s="94">
        <f>Table3.110[[#This Row],[Gas 8h, ml]]-Table3.110[[#This Row],[Gas 0h, ml]]</f>
        <v>25</v>
      </c>
      <c r="AF528" s="94">
        <f>Table3.110[[#This Row],[Gas 24h, ml]]-Table3.110[[#This Row],[V8 Push back, ml]]</f>
        <v>17.5</v>
      </c>
      <c r="AG528" s="94">
        <f>Table3.110[[#This Row],[GP 8h, ml]]-(AVERAGE(AE$479,AE$480,AE$660,AE$661,AE$662,AE$663))*AG$8</f>
        <v>21.607474101643646</v>
      </c>
      <c r="AH528" s="94">
        <f>Table3.110[[#This Row],[GP 8-24h, ml]]-(AVERAGE(AF$479,AF$480,AF$660,AF$661,AF$662,AF$663))*AG$8</f>
        <v>13.185592064046812</v>
      </c>
      <c r="AI528" s="94">
        <f>Table3.110[[#This Row],[Net gas 8-24h, ml]]+Table3.110[[#This Row],[Net gas 8h, ml]]</f>
        <v>34.793066165690462</v>
      </c>
      <c r="AJ528" s="94">
        <f>Table3.110[[#This Row],[Net gas 8h, ml]]*Table3.110[[#This Row],[CH4 8h %]]%</f>
        <v>2.8521865814169614</v>
      </c>
      <c r="AK528" s="94">
        <f>Table3.110[[#This Row],[Net gas 8-24h, ml]]*Table3.110[[#This Row],[CH4 24h, %]]%</f>
        <v>1.7536837445182261</v>
      </c>
      <c r="AL528" s="94">
        <f>Table3.110[[#This Row],[CH4 8-24h, ml]]+Table3.110[[#This Row],[CH4 8h, ml]]</f>
        <v>4.6058703259351876</v>
      </c>
      <c r="AM528" s="94">
        <f>(Table3.110[[#This Row],[Net gas 24h, ml]]/Table3.110[[#This Row],[DM Incubated, mg]])*1000</f>
        <v>72.794695388870807</v>
      </c>
      <c r="AN528" s="94">
        <f>'3.2 Digest'!X528</f>
        <v>23.738637052320687</v>
      </c>
      <c r="AO528" s="94">
        <f>Table3.110[[#This Row],[Digested feed, mg]]/Table3.110[[#This Row],[Net gas 24h, ml]]</f>
        <v>3.2610394102905969</v>
      </c>
      <c r="AP528" s="94">
        <f>Table3.110[[#This Row],[CH4 8h, ml]]/Table3.110[[#This Row],[Net gas 8h, ml]]%</f>
        <v>13.200000000000001</v>
      </c>
      <c r="AQ528" s="94">
        <f>Table3.110[[#This Row],[CH4 24h, ml]]/Table3.110[[#This Row],[Net gas 24h, ml]]%</f>
        <v>13.237897183310189</v>
      </c>
      <c r="AR528" s="94">
        <f>Table3.110[[#This Row],[CH4 24h, ml]]/Table3.110[[#This Row],[DM Incubated, mg]]*1000</f>
        <v>9.6364869304825582</v>
      </c>
      <c r="AS528" s="94">
        <f>Table3.110[[#This Row],[CH4 24h, ml]]/Table3.110[[#This Row],[Digested feed, mg]]*1000</f>
        <v>40.594103651542611</v>
      </c>
      <c r="AT528" s="94">
        <f>Table3.110[[#This Row],[CH4 24h, ml]]/'3.2 Digest'!AA528</f>
        <v>-0.11429406125176496</v>
      </c>
      <c r="AU528" s="94">
        <f>((Table3.110[[#This Row],[CH4 24h, ml]]/28.9)*16.04)/Table3.110[[#This Row],[DM Incubated, mg]]*1000</f>
        <v>5.348416967644992</v>
      </c>
      <c r="AV528" s="94">
        <f>((Table3.110[[#This Row],[CH4 24h, ml]]/28.9)*16.04)/Table3.110[[#This Row],[Digested feed, mg]]*1000</f>
        <v>22.530429846738528</v>
      </c>
    </row>
    <row r="529" spans="2:50" s="89" customFormat="1" x14ac:dyDescent="0.35">
      <c r="B529" s="90">
        <f t="shared" si="8"/>
        <v>519</v>
      </c>
      <c r="C529" s="140">
        <v>46050</v>
      </c>
      <c r="D529" s="6" t="s">
        <v>16</v>
      </c>
      <c r="E529" s="6" t="s">
        <v>183</v>
      </c>
      <c r="F529" s="133" t="s">
        <v>19</v>
      </c>
      <c r="G529" s="133" t="s">
        <v>20</v>
      </c>
      <c r="H529" s="133" t="s">
        <v>21</v>
      </c>
      <c r="I529" s="133" t="s">
        <v>22</v>
      </c>
      <c r="J529" s="135" t="s">
        <v>23</v>
      </c>
      <c r="K529" s="135" t="s">
        <v>24</v>
      </c>
      <c r="L529" s="6" t="s">
        <v>182</v>
      </c>
      <c r="M529" s="93">
        <v>28</v>
      </c>
      <c r="N529" s="93">
        <v>61</v>
      </c>
      <c r="O529" s="6">
        <v>2</v>
      </c>
      <c r="P529" s="129">
        <v>1</v>
      </c>
      <c r="Q529" s="6">
        <v>0</v>
      </c>
      <c r="R529" s="98">
        <v>0.5</v>
      </c>
      <c r="S529" s="94">
        <f>((Table3.110[[#This Row],[Sample weight, g]]*'2.1. DM'!Q109)/100)*1000</f>
        <v>479.27914146503963</v>
      </c>
      <c r="T529" s="94">
        <f>'3.2 Digest'!W529</f>
        <v>118.67914146503972</v>
      </c>
      <c r="U529" s="153">
        <v>0.34791666666666665</v>
      </c>
      <c r="V529" s="154">
        <v>41.5</v>
      </c>
      <c r="W529" s="153">
        <v>0.68472222222222223</v>
      </c>
      <c r="X529" s="91">
        <v>75</v>
      </c>
      <c r="Y529" s="91">
        <v>14</v>
      </c>
      <c r="Z529" s="154">
        <v>40</v>
      </c>
      <c r="AA529" s="153">
        <v>0.38750000000000001</v>
      </c>
      <c r="AB529" s="154">
        <v>68.5</v>
      </c>
      <c r="AC529" s="154">
        <v>18</v>
      </c>
      <c r="AD529" s="91"/>
      <c r="AE529" s="94">
        <f>Table3.110[[#This Row],[Gas 8h, ml]]-Table3.110[[#This Row],[Gas 0h, ml]]</f>
        <v>33.5</v>
      </c>
      <c r="AF529" s="94">
        <f>Table3.110[[#This Row],[Gas 24h, ml]]-Table3.110[[#This Row],[V8 Push back, ml]]</f>
        <v>28.5</v>
      </c>
      <c r="AG529" s="94">
        <f>Table3.110[[#This Row],[GP 8h, ml]]-(AVERAGE(AE$479,AE$480,AE$660,AE$661,AE$662,AE$663))*AG$8</f>
        <v>30.107474101643646</v>
      </c>
      <c r="AH529" s="94">
        <f>Table3.110[[#This Row],[GP 8-24h, ml]]-(AVERAGE(AF$479,AF$480,AF$660,AF$661,AF$662,AF$663))*AG$8</f>
        <v>24.185592064046812</v>
      </c>
      <c r="AI529" s="94">
        <f>Table3.110[[#This Row],[Net gas 8-24h, ml]]+Table3.110[[#This Row],[Net gas 8h, ml]]</f>
        <v>54.293066165690462</v>
      </c>
      <c r="AJ529" s="94">
        <f>Table3.110[[#This Row],[Net gas 8h, ml]]*Table3.110[[#This Row],[CH4 8h %]]%</f>
        <v>4.215046374230111</v>
      </c>
      <c r="AK529" s="94">
        <f>Table3.110[[#This Row],[Net gas 8-24h, ml]]*Table3.110[[#This Row],[CH4 24h, %]]%</f>
        <v>4.353406571528426</v>
      </c>
      <c r="AL529" s="94">
        <f>Table3.110[[#This Row],[CH4 8-24h, ml]]+Table3.110[[#This Row],[CH4 8h, ml]]</f>
        <v>8.568452945758537</v>
      </c>
      <c r="AM529" s="94">
        <f>(Table3.110[[#This Row],[Net gas 24h, ml]]/Table3.110[[#This Row],[DM Incubated, mg]])*1000</f>
        <v>113.28067814453551</v>
      </c>
      <c r="AN529" s="94">
        <f>'3.2 Digest'!X529</f>
        <v>24.762008440898654</v>
      </c>
      <c r="AO529" s="94">
        <f>Table3.110[[#This Row],[Digested feed, mg]]/Table3.110[[#This Row],[Net gas 24h, ml]]</f>
        <v>2.1858986763218926</v>
      </c>
      <c r="AP529" s="94">
        <f>Table3.110[[#This Row],[CH4 8h, ml]]/Table3.110[[#This Row],[Net gas 8h, ml]]%</f>
        <v>14.000000000000002</v>
      </c>
      <c r="AQ529" s="94">
        <f>Table3.110[[#This Row],[CH4 24h, ml]]/Table3.110[[#This Row],[Net gas 24h, ml]]%</f>
        <v>15.781854941862205</v>
      </c>
      <c r="AR529" s="94">
        <f>Table3.110[[#This Row],[CH4 24h, ml]]/Table3.110[[#This Row],[DM Incubated, mg]]*1000</f>
        <v>17.877792301928398</v>
      </c>
      <c r="AS529" s="94">
        <f>Table3.110[[#This Row],[CH4 24h, ml]]/Table3.110[[#This Row],[Digested feed, mg]]*1000</f>
        <v>72.198474306309478</v>
      </c>
      <c r="AT529" s="94">
        <f>Table3.110[[#This Row],[CH4 24h, ml]]/'3.2 Digest'!AA529</f>
        <v>-0.55612296957314522</v>
      </c>
      <c r="AU529" s="94">
        <f>((Table3.110[[#This Row],[CH4 24h, ml]]/28.9)*16.04)/Table3.110[[#This Row],[DM Incubated, mg]]*1000</f>
        <v>9.9224840319353476</v>
      </c>
      <c r="AV529" s="94">
        <f>((Table3.110[[#This Row],[CH4 24h, ml]]/28.9)*16.04)/Table3.110[[#This Row],[Digested feed, mg]]*1000</f>
        <v>40.071402348553768</v>
      </c>
    </row>
    <row r="530" spans="2:50" s="89" customFormat="1" x14ac:dyDescent="0.35">
      <c r="B530" s="90">
        <f t="shared" si="8"/>
        <v>520</v>
      </c>
      <c r="C530" s="140">
        <v>46050</v>
      </c>
      <c r="D530" s="6" t="s">
        <v>16</v>
      </c>
      <c r="E530" s="6" t="s">
        <v>183</v>
      </c>
      <c r="F530" s="133" t="s">
        <v>19</v>
      </c>
      <c r="G530" s="133" t="s">
        <v>20</v>
      </c>
      <c r="H530" s="133" t="s">
        <v>21</v>
      </c>
      <c r="I530" s="133" t="s">
        <v>22</v>
      </c>
      <c r="J530" s="135" t="s">
        <v>23</v>
      </c>
      <c r="K530" s="135" t="s">
        <v>24</v>
      </c>
      <c r="L530" s="6" t="s">
        <v>182</v>
      </c>
      <c r="M530" s="93">
        <v>28</v>
      </c>
      <c r="N530" s="93">
        <v>61</v>
      </c>
      <c r="O530" s="6">
        <v>2</v>
      </c>
      <c r="P530" s="129">
        <v>2</v>
      </c>
      <c r="Q530" s="6">
        <v>0</v>
      </c>
      <c r="R530" s="98">
        <v>0.50039999999999996</v>
      </c>
      <c r="S530" s="94">
        <f>((Table3.110[[#This Row],[Sample weight, g]]*'2.1. DM'!Q109)/100)*1000</f>
        <v>479.66256477821162</v>
      </c>
      <c r="T530" s="94">
        <f>'3.2 Digest'!W530</f>
        <v>136.86256477821161</v>
      </c>
      <c r="U530" s="117">
        <v>0.34930555555555554</v>
      </c>
      <c r="V530" s="155">
        <v>41</v>
      </c>
      <c r="W530" s="117">
        <v>0.68541666666666667</v>
      </c>
      <c r="X530" s="96">
        <v>74</v>
      </c>
      <c r="Y530" s="96">
        <v>14.5</v>
      </c>
      <c r="Z530" s="155">
        <v>40</v>
      </c>
      <c r="AA530" s="117">
        <v>0.38819444444444445</v>
      </c>
      <c r="AB530" s="155">
        <v>67.5</v>
      </c>
      <c r="AC530" s="155">
        <v>18.600000000000001</v>
      </c>
      <c r="AD530" s="96"/>
      <c r="AE530" s="94">
        <f>Table3.110[[#This Row],[Gas 8h, ml]]-Table3.110[[#This Row],[Gas 0h, ml]]</f>
        <v>33</v>
      </c>
      <c r="AF530" s="94">
        <f>Table3.110[[#This Row],[Gas 24h, ml]]-Table3.110[[#This Row],[V8 Push back, ml]]</f>
        <v>27.5</v>
      </c>
      <c r="AG530" s="94">
        <f>Table3.110[[#This Row],[GP 8h, ml]]-(AVERAGE(AE$479,AE$480,AE$660,AE$661,AE$662,AE$663))*AG$8</f>
        <v>29.607474101643646</v>
      </c>
      <c r="AH530" s="94">
        <f>Table3.110[[#This Row],[GP 8-24h, ml]]-(AVERAGE(AF$479,AF$480,AF$660,AF$661,AF$662,AF$663))*AG$8</f>
        <v>23.185592064046812</v>
      </c>
      <c r="AI530" s="94">
        <f>Table3.110[[#This Row],[Net gas 8-24h, ml]]+Table3.110[[#This Row],[Net gas 8h, ml]]</f>
        <v>52.793066165690462</v>
      </c>
      <c r="AJ530" s="94">
        <f>Table3.110[[#This Row],[Net gas 8h, ml]]*Table3.110[[#This Row],[CH4 8h %]]%</f>
        <v>4.2930837447383281</v>
      </c>
      <c r="AK530" s="94">
        <f>Table3.110[[#This Row],[Net gas 8-24h, ml]]*Table3.110[[#This Row],[CH4 24h, %]]%</f>
        <v>4.3125201239127078</v>
      </c>
      <c r="AL530" s="94">
        <f>Table3.110[[#This Row],[CH4 8-24h, ml]]+Table3.110[[#This Row],[CH4 8h, ml]]</f>
        <v>8.6056038686510359</v>
      </c>
      <c r="AM530" s="94">
        <f>(Table3.110[[#This Row],[Net gas 24h, ml]]/Table3.110[[#This Row],[DM Incubated, mg]])*1000</f>
        <v>110.06292765436291</v>
      </c>
      <c r="AN530" s="94">
        <f>'3.2 Digest'!X530</f>
        <v>28.533092809003076</v>
      </c>
      <c r="AO530" s="94">
        <f>Table3.110[[#This Row],[Digested feed, mg]]/Table3.110[[#This Row],[Net gas 24h, ml]]</f>
        <v>2.5924344751765305</v>
      </c>
      <c r="AP530" s="94">
        <f>Table3.110[[#This Row],[CH4 8h, ml]]/Table3.110[[#This Row],[Net gas 8h, ml]]%</f>
        <v>14.5</v>
      </c>
      <c r="AQ530" s="94">
        <f>Table3.110[[#This Row],[CH4 24h, ml]]/Table3.110[[#This Row],[Net gas 24h, ml]]%</f>
        <v>16.300632817276501</v>
      </c>
      <c r="AR530" s="94">
        <f>Table3.110[[#This Row],[CH4 24h, ml]]/Table3.110[[#This Row],[DM Incubated, mg]]*1000</f>
        <v>17.940953704882372</v>
      </c>
      <c r="AS530" s="94">
        <f>Table3.110[[#This Row],[CH4 24h, ml]]/Table3.110[[#This Row],[Digested feed, mg]]*1000</f>
        <v>62.877704232684671</v>
      </c>
      <c r="AT530" s="94">
        <f>Table3.110[[#This Row],[CH4 24h, ml]]/'3.2 Digest'!AA530</f>
        <v>-0.89427300730698667</v>
      </c>
      <c r="AU530" s="94">
        <f>((Table3.110[[#This Row],[CH4 24h, ml]]/28.9)*16.04)/Table3.110[[#This Row],[DM Incubated, mg]]*1000</f>
        <v>9.9575397033326389</v>
      </c>
      <c r="AV530" s="94">
        <f>((Table3.110[[#This Row],[CH4 24h, ml]]/28.9)*16.04)/Table3.110[[#This Row],[Digested feed, mg]]*1000</f>
        <v>34.898213698694192</v>
      </c>
    </row>
    <row r="531" spans="2:50" s="89" customFormat="1" x14ac:dyDescent="0.35">
      <c r="B531" s="90">
        <f t="shared" si="8"/>
        <v>521</v>
      </c>
      <c r="C531" s="140">
        <v>46050</v>
      </c>
      <c r="D531" s="6" t="s">
        <v>16</v>
      </c>
      <c r="E531" s="6" t="s">
        <v>183</v>
      </c>
      <c r="F531" s="133" t="s">
        <v>19</v>
      </c>
      <c r="G531" s="133" t="s">
        <v>20</v>
      </c>
      <c r="H531" s="133" t="s">
        <v>21</v>
      </c>
      <c r="I531" s="133" t="s">
        <v>22</v>
      </c>
      <c r="J531" s="135" t="s">
        <v>23</v>
      </c>
      <c r="K531" s="135" t="s">
        <v>24</v>
      </c>
      <c r="L531" s="6" t="s">
        <v>182</v>
      </c>
      <c r="M531" s="93">
        <v>28</v>
      </c>
      <c r="N531" s="93">
        <v>61</v>
      </c>
      <c r="O531" s="6">
        <v>2</v>
      </c>
      <c r="P531" s="129">
        <v>3</v>
      </c>
      <c r="Q531" s="6">
        <v>0</v>
      </c>
      <c r="R531" s="98">
        <v>0.50009999999999999</v>
      </c>
      <c r="S531" s="94">
        <f>((Table3.110[[#This Row],[Sample weight, g]]*'2.1. DM'!Q109)/100)*1000</f>
        <v>479.37499729333268</v>
      </c>
      <c r="T531" s="94">
        <f>'3.2 Digest'!W531</f>
        <v>86.074997293332729</v>
      </c>
      <c r="U531" s="153">
        <v>0.35</v>
      </c>
      <c r="V531" s="154">
        <v>41</v>
      </c>
      <c r="W531" s="153">
        <v>0.68541666666666667</v>
      </c>
      <c r="X531" s="91">
        <v>73.5</v>
      </c>
      <c r="Y531" s="91">
        <v>14.9</v>
      </c>
      <c r="Z531" s="154">
        <v>40</v>
      </c>
      <c r="AA531" s="153">
        <v>0.38819444444444445</v>
      </c>
      <c r="AB531" s="154">
        <v>68</v>
      </c>
      <c r="AC531" s="154">
        <v>18.5</v>
      </c>
      <c r="AD531" s="91"/>
      <c r="AE531" s="94">
        <f>Table3.110[[#This Row],[Gas 8h, ml]]-Table3.110[[#This Row],[Gas 0h, ml]]</f>
        <v>32.5</v>
      </c>
      <c r="AF531" s="94">
        <f>Table3.110[[#This Row],[Gas 24h, ml]]-Table3.110[[#This Row],[V8 Push back, ml]]</f>
        <v>28</v>
      </c>
      <c r="AG531" s="94">
        <f>Table3.110[[#This Row],[GP 8h, ml]]-(AVERAGE(AE$479,AE$480,AE$660,AE$661,AE$662,AE$663))*AG$8</f>
        <v>29.107474101643646</v>
      </c>
      <c r="AH531" s="94">
        <f>Table3.110[[#This Row],[GP 8-24h, ml]]-(AVERAGE(AF$479,AF$480,AF$660,AF$661,AF$662,AF$663))*AG$8</f>
        <v>23.685592064046812</v>
      </c>
      <c r="AI531" s="94">
        <f>Table3.110[[#This Row],[Net gas 8-24h, ml]]+Table3.110[[#This Row],[Net gas 8h, ml]]</f>
        <v>52.793066165690462</v>
      </c>
      <c r="AJ531" s="94">
        <f>Table3.110[[#This Row],[Net gas 8h, ml]]*Table3.110[[#This Row],[CH4 8h %]]%</f>
        <v>4.3370136411449032</v>
      </c>
      <c r="AK531" s="94">
        <f>Table3.110[[#This Row],[Net gas 8-24h, ml]]*Table3.110[[#This Row],[CH4 24h, %]]%</f>
        <v>4.3818345318486598</v>
      </c>
      <c r="AL531" s="94">
        <f>Table3.110[[#This Row],[CH4 8-24h, ml]]+Table3.110[[#This Row],[CH4 8h, ml]]</f>
        <v>8.7188481729935638</v>
      </c>
      <c r="AM531" s="94">
        <f>(Table3.110[[#This Row],[Net gas 24h, ml]]/Table3.110[[#This Row],[DM Incubated, mg]])*1000</f>
        <v>110.12895220604516</v>
      </c>
      <c r="AN531" s="94">
        <f>'3.2 Digest'!X531</f>
        <v>17.955670983954732</v>
      </c>
      <c r="AO531" s="94">
        <f>Table3.110[[#This Row],[Digested feed, mg]]/Table3.110[[#This Row],[Net gas 24h, ml]]</f>
        <v>1.6304223934102877</v>
      </c>
      <c r="AP531" s="94">
        <f>Table3.110[[#This Row],[CH4 8h, ml]]/Table3.110[[#This Row],[Net gas 8h, ml]]%</f>
        <v>14.899999999999999</v>
      </c>
      <c r="AQ531" s="94">
        <f>Table3.110[[#This Row],[CH4 24h, ml]]/Table3.110[[#This Row],[Net gas 24h, ml]]%</f>
        <v>16.515138835902341</v>
      </c>
      <c r="AR531" s="94">
        <f>Table3.110[[#This Row],[CH4 24h, ml]]/Table3.110[[#This Row],[DM Incubated, mg]]*1000</f>
        <v>18.187949355352892</v>
      </c>
      <c r="AS531" s="94">
        <f>Table3.110[[#This Row],[CH4 24h, ml]]/Table3.110[[#This Row],[Digested feed, mg]]*1000</f>
        <v>101.2936212275538</v>
      </c>
      <c r="AT531" s="94">
        <f>Table3.110[[#This Row],[CH4 24h, ml]]/'3.2 Digest'!AA531</f>
        <v>-0.3373160383489644</v>
      </c>
      <c r="AU531" s="94">
        <f>((Table3.110[[#This Row],[CH4 24h, ml]]/28.9)*16.04)/Table3.110[[#This Row],[DM Incubated, mg]]*1000</f>
        <v>10.094626562624926</v>
      </c>
      <c r="AV531" s="94">
        <f>((Table3.110[[#This Row],[CH4 24h, ml]]/28.9)*16.04)/Table3.110[[#This Row],[Digested feed, mg]]*1000</f>
        <v>56.219712266088685</v>
      </c>
    </row>
    <row r="532" spans="2:50" s="89" customFormat="1" x14ac:dyDescent="0.35">
      <c r="B532" s="90">
        <f t="shared" si="8"/>
        <v>522</v>
      </c>
      <c r="C532" s="140">
        <v>46050</v>
      </c>
      <c r="D532" s="6" t="s">
        <v>16</v>
      </c>
      <c r="E532" s="6" t="s">
        <v>185</v>
      </c>
      <c r="F532" s="133" t="s">
        <v>19</v>
      </c>
      <c r="G532" s="133" t="s">
        <v>20</v>
      </c>
      <c r="H532" s="133" t="s">
        <v>21</v>
      </c>
      <c r="I532" s="133" t="s">
        <v>22</v>
      </c>
      <c r="J532" s="135" t="s">
        <v>23</v>
      </c>
      <c r="K532" s="135" t="s">
        <v>24</v>
      </c>
      <c r="L532" s="6" t="s">
        <v>184</v>
      </c>
      <c r="M532" s="93">
        <v>28</v>
      </c>
      <c r="N532" s="93">
        <v>61</v>
      </c>
      <c r="O532" s="6">
        <v>2</v>
      </c>
      <c r="P532" s="129">
        <v>1</v>
      </c>
      <c r="Q532" s="6">
        <v>0</v>
      </c>
      <c r="R532" s="98">
        <v>0.50029999999999997</v>
      </c>
      <c r="S532" s="94">
        <f>((Table3.110[[#This Row],[Sample weight, g]]*'2.1. DM'!Q111)/100)*1000</f>
        <v>478.44235685703057</v>
      </c>
      <c r="T532" s="94">
        <f>'3.2 Digest'!W532</f>
        <v>116.34235685703061</v>
      </c>
      <c r="U532" s="117">
        <v>0.35</v>
      </c>
      <c r="V532" s="155">
        <v>41</v>
      </c>
      <c r="W532" s="117">
        <v>0.68611111111111112</v>
      </c>
      <c r="X532" s="96">
        <v>79</v>
      </c>
      <c r="Y532" s="96">
        <v>14.9</v>
      </c>
      <c r="Z532" s="155">
        <v>40</v>
      </c>
      <c r="AA532" s="117">
        <v>0.3888888888888889</v>
      </c>
      <c r="AB532" s="155">
        <v>62</v>
      </c>
      <c r="AC532" s="155">
        <v>17.399999999999999</v>
      </c>
      <c r="AD532" s="96"/>
      <c r="AE532" s="94">
        <f>Table3.110[[#This Row],[Gas 8h, ml]]-Table3.110[[#This Row],[Gas 0h, ml]]</f>
        <v>38</v>
      </c>
      <c r="AF532" s="94">
        <f>Table3.110[[#This Row],[Gas 24h, ml]]-Table3.110[[#This Row],[V8 Push back, ml]]</f>
        <v>22</v>
      </c>
      <c r="AG532" s="94">
        <f>Table3.110[[#This Row],[GP 8h, ml]]-(AVERAGE(AE$479,AE$480,AE$660,AE$661,AE$662,AE$663))*AG$8</f>
        <v>34.607474101643646</v>
      </c>
      <c r="AH532" s="94">
        <f>Table3.110[[#This Row],[GP 8-24h, ml]]-(AVERAGE(AF$479,AF$480,AF$660,AF$661,AF$662,AF$663))*AG$8</f>
        <v>17.685592064046812</v>
      </c>
      <c r="AI532" s="94">
        <f>Table3.110[[#This Row],[Net gas 8-24h, ml]]+Table3.110[[#This Row],[Net gas 8h, ml]]</f>
        <v>52.293066165690462</v>
      </c>
      <c r="AJ532" s="94">
        <f>Table3.110[[#This Row],[Net gas 8h, ml]]*Table3.110[[#This Row],[CH4 8h %]]%</f>
        <v>5.1565136411449028</v>
      </c>
      <c r="AK532" s="94">
        <f>Table3.110[[#This Row],[Net gas 8-24h, ml]]*Table3.110[[#This Row],[CH4 24h, %]]%</f>
        <v>3.077293019144145</v>
      </c>
      <c r="AL532" s="94">
        <f>Table3.110[[#This Row],[CH4 8-24h, ml]]+Table3.110[[#This Row],[CH4 8h, ml]]</f>
        <v>8.2338066602890478</v>
      </c>
      <c r="AM532" s="94">
        <f>(Table3.110[[#This Row],[Net gas 24h, ml]]/Table3.110[[#This Row],[DM Incubated, mg]])*1000</f>
        <v>109.2985715337006</v>
      </c>
      <c r="AN532" s="94">
        <f>'3.2 Digest'!X532</f>
        <v>24.316901543020435</v>
      </c>
      <c r="AO532" s="94">
        <f>Table3.110[[#This Row],[Digested feed, mg]]/Table3.110[[#This Row],[Net gas 24h, ml]]</f>
        <v>2.2248142131960691</v>
      </c>
      <c r="AP532" s="94">
        <f>Table3.110[[#This Row],[CH4 8h, ml]]/Table3.110[[#This Row],[Net gas 8h, ml]]%</f>
        <v>14.899999999999999</v>
      </c>
      <c r="AQ532" s="94">
        <f>Table3.110[[#This Row],[CH4 24h, ml]]/Table3.110[[#This Row],[Net gas 24h, ml]]%</f>
        <v>15.745503685326559</v>
      </c>
      <c r="AR532" s="94">
        <f>Table3.110[[#This Row],[CH4 24h, ml]]/Table3.110[[#This Row],[DM Incubated, mg]]*1000</f>
        <v>17.209610608848109</v>
      </c>
      <c r="AS532" s="94">
        <f>Table3.110[[#This Row],[CH4 24h, ml]]/Table3.110[[#This Row],[Digested feed, mg]]*1000</f>
        <v>70.772218156172542</v>
      </c>
      <c r="AT532" s="94">
        <f>Table3.110[[#This Row],[CH4 24h, ml]]/'3.2 Digest'!AA532</f>
        <v>-0.51057249069476351</v>
      </c>
      <c r="AU532" s="94">
        <f>((Table3.110[[#This Row],[CH4 24h, ml]]/28.9)*16.04)/Table3.110[[#This Row],[DM Incubated, mg]]*1000</f>
        <v>9.5516316320388821</v>
      </c>
      <c r="AV532" s="94">
        <f>((Table3.110[[#This Row],[CH4 24h, ml]]/28.9)*16.04)/Table3.110[[#This Row],[Digested feed, mg]]*1000</f>
        <v>39.279805509515839</v>
      </c>
    </row>
    <row r="533" spans="2:50" s="89" customFormat="1" x14ac:dyDescent="0.35">
      <c r="B533" s="90">
        <f t="shared" si="8"/>
        <v>523</v>
      </c>
      <c r="C533" s="140">
        <v>46050</v>
      </c>
      <c r="D533" s="6" t="s">
        <v>16</v>
      </c>
      <c r="E533" s="6" t="s">
        <v>185</v>
      </c>
      <c r="F533" s="133" t="s">
        <v>19</v>
      </c>
      <c r="G533" s="133" t="s">
        <v>20</v>
      </c>
      <c r="H533" s="133" t="s">
        <v>21</v>
      </c>
      <c r="I533" s="133" t="s">
        <v>22</v>
      </c>
      <c r="J533" s="135" t="s">
        <v>23</v>
      </c>
      <c r="K533" s="135" t="s">
        <v>24</v>
      </c>
      <c r="L533" s="6" t="s">
        <v>184</v>
      </c>
      <c r="M533" s="93">
        <v>28</v>
      </c>
      <c r="N533" s="93">
        <v>61</v>
      </c>
      <c r="O533" s="6">
        <v>2</v>
      </c>
      <c r="P533" s="129">
        <v>2</v>
      </c>
      <c r="Q533" s="6">
        <v>0</v>
      </c>
      <c r="R533" s="98">
        <v>0.50019999999999998</v>
      </c>
      <c r="S533" s="94">
        <f>((Table3.110[[#This Row],[Sample weight, g]]*'2.1. DM'!Q111)/100)*1000</f>
        <v>478.34672576431473</v>
      </c>
      <c r="T533" s="94">
        <f>'3.2 Digest'!W533</f>
        <v>147.14672576431479</v>
      </c>
      <c r="U533" s="153">
        <v>0.35</v>
      </c>
      <c r="V533" s="154">
        <v>41.5</v>
      </c>
      <c r="W533" s="153">
        <v>0.68680555555555556</v>
      </c>
      <c r="X533" s="91">
        <v>67.5</v>
      </c>
      <c r="Y533" s="91">
        <v>14.7</v>
      </c>
      <c r="Z533" s="154">
        <v>40</v>
      </c>
      <c r="AA533" s="153">
        <v>0.3888888888888889</v>
      </c>
      <c r="AB533" s="154">
        <v>61.5</v>
      </c>
      <c r="AC533" s="154">
        <v>17.600000000000001</v>
      </c>
      <c r="AD533" s="91"/>
      <c r="AE533" s="94">
        <f>Table3.110[[#This Row],[Gas 8h, ml]]-Table3.110[[#This Row],[Gas 0h, ml]]</f>
        <v>26</v>
      </c>
      <c r="AF533" s="94">
        <f>Table3.110[[#This Row],[Gas 24h, ml]]-Table3.110[[#This Row],[V8 Push back, ml]]</f>
        <v>21.5</v>
      </c>
      <c r="AG533" s="94">
        <f>Table3.110[[#This Row],[GP 8h, ml]]-(AVERAGE(AE$479,AE$480,AE$660,AE$661,AE$662,AE$663))*AG$8</f>
        <v>22.607474101643646</v>
      </c>
      <c r="AH533" s="94">
        <f>Table3.110[[#This Row],[GP 8-24h, ml]]-(AVERAGE(AF$479,AF$480,AF$660,AF$661,AF$662,AF$663))*AG$8</f>
        <v>17.185592064046812</v>
      </c>
      <c r="AI533" s="94">
        <f>Table3.110[[#This Row],[Net gas 8-24h, ml]]+Table3.110[[#This Row],[Net gas 8h, ml]]</f>
        <v>39.793066165690462</v>
      </c>
      <c r="AJ533" s="94">
        <f>Table3.110[[#This Row],[Net gas 8h, ml]]*Table3.110[[#This Row],[CH4 8h %]]%</f>
        <v>3.323298692941616</v>
      </c>
      <c r="AK533" s="94">
        <f>Table3.110[[#This Row],[Net gas 8-24h, ml]]*Table3.110[[#This Row],[CH4 24h, %]]%</f>
        <v>3.0246642032722391</v>
      </c>
      <c r="AL533" s="94">
        <f>Table3.110[[#This Row],[CH4 8-24h, ml]]+Table3.110[[#This Row],[CH4 8h, ml]]</f>
        <v>6.347962896213855</v>
      </c>
      <c r="AM533" s="94">
        <f>(Table3.110[[#This Row],[Net gas 24h, ml]]/Table3.110[[#This Row],[DM Incubated, mg]])*1000</f>
        <v>83.188749963968249</v>
      </c>
      <c r="AN533" s="94">
        <f>'3.2 Digest'!X533</f>
        <v>30.761520428346188</v>
      </c>
      <c r="AO533" s="94">
        <f>Table3.110[[#This Row],[Digested feed, mg]]/Table3.110[[#This Row],[Net gas 24h, ml]]</f>
        <v>3.6977981327607408</v>
      </c>
      <c r="AP533" s="94">
        <f>Table3.110[[#This Row],[CH4 8h, ml]]/Table3.110[[#This Row],[Net gas 8h, ml]]%</f>
        <v>14.7</v>
      </c>
      <c r="AQ533" s="94">
        <f>Table3.110[[#This Row],[CH4 24h, ml]]/Table3.110[[#This Row],[Net gas 24h, ml]]%</f>
        <v>15.952434702523783</v>
      </c>
      <c r="AR533" s="94">
        <f>Table3.110[[#This Row],[CH4 24h, ml]]/Table3.110[[#This Row],[DM Incubated, mg]]*1000</f>
        <v>13.27063101784781</v>
      </c>
      <c r="AS533" s="94">
        <f>Table3.110[[#This Row],[CH4 24h, ml]]/Table3.110[[#This Row],[Digested feed, mg]]*1000</f>
        <v>43.140361181949778</v>
      </c>
      <c r="AT533" s="94">
        <f>Table3.110[[#This Row],[CH4 24h, ml]]/'3.2 Digest'!AA533</f>
        <v>-1.0176077818350999</v>
      </c>
      <c r="AU533" s="94">
        <f>((Table3.110[[#This Row],[CH4 24h, ml]]/28.9)*16.04)/Table3.110[[#This Row],[DM Incubated, mg]]*1000</f>
        <v>7.3654298105978846</v>
      </c>
      <c r="AV533" s="94">
        <f>((Table3.110[[#This Row],[CH4 24h, ml]]/28.9)*16.04)/Table3.110[[#This Row],[Digested feed, mg]]*1000</f>
        <v>23.943646829012955</v>
      </c>
    </row>
    <row r="534" spans="2:50" s="89" customFormat="1" x14ac:dyDescent="0.35">
      <c r="B534" s="90">
        <f t="shared" si="8"/>
        <v>524</v>
      </c>
      <c r="C534" s="140">
        <v>46050</v>
      </c>
      <c r="D534" s="6" t="s">
        <v>16</v>
      </c>
      <c r="E534" s="6" t="s">
        <v>185</v>
      </c>
      <c r="F534" s="133" t="s">
        <v>19</v>
      </c>
      <c r="G534" s="133" t="s">
        <v>20</v>
      </c>
      <c r="H534" s="133" t="s">
        <v>21</v>
      </c>
      <c r="I534" s="133" t="s">
        <v>22</v>
      </c>
      <c r="J534" s="135" t="s">
        <v>23</v>
      </c>
      <c r="K534" s="135" t="s">
        <v>24</v>
      </c>
      <c r="L534" s="6" t="s">
        <v>184</v>
      </c>
      <c r="M534" s="93">
        <v>28</v>
      </c>
      <c r="N534" s="93">
        <v>61</v>
      </c>
      <c r="O534" s="6">
        <v>2</v>
      </c>
      <c r="P534" s="129">
        <v>3</v>
      </c>
      <c r="Q534" s="6">
        <v>0</v>
      </c>
      <c r="R534" s="98">
        <v>0.50049999999999994</v>
      </c>
      <c r="S534" s="94">
        <f>((Table3.110[[#This Row],[Sample weight, g]]*'2.1. DM'!Q111)/100)*1000</f>
        <v>478.63361904246204</v>
      </c>
      <c r="T534" s="94">
        <f>'3.2 Digest'!W534</f>
        <v>136.13361904246204</v>
      </c>
      <c r="U534" s="117">
        <v>0.35069444444444442</v>
      </c>
      <c r="V534" s="155">
        <v>42</v>
      </c>
      <c r="W534" s="117">
        <v>0.6875</v>
      </c>
      <c r="X534" s="96">
        <v>68</v>
      </c>
      <c r="Y534" s="96">
        <v>14.8</v>
      </c>
      <c r="Z534" s="155">
        <v>40</v>
      </c>
      <c r="AA534" s="117">
        <v>0.38958333333333334</v>
      </c>
      <c r="AB534" s="155">
        <v>63</v>
      </c>
      <c r="AC534" s="155">
        <v>17.399999999999999</v>
      </c>
      <c r="AD534" s="96"/>
      <c r="AE534" s="94">
        <f>Table3.110[[#This Row],[Gas 8h, ml]]-Table3.110[[#This Row],[Gas 0h, ml]]</f>
        <v>26</v>
      </c>
      <c r="AF534" s="94">
        <f>Table3.110[[#This Row],[Gas 24h, ml]]-Table3.110[[#This Row],[V8 Push back, ml]]</f>
        <v>23</v>
      </c>
      <c r="AG534" s="94">
        <f>Table3.110[[#This Row],[GP 8h, ml]]-(AVERAGE(AE$479,AE$480,AE$660,AE$661,AE$662,AE$663))*AG$8</f>
        <v>22.607474101643646</v>
      </c>
      <c r="AH534" s="94">
        <f>Table3.110[[#This Row],[GP 8-24h, ml]]-(AVERAGE(AF$479,AF$480,AF$660,AF$661,AF$662,AF$663))*AG$8</f>
        <v>18.685592064046812</v>
      </c>
      <c r="AI534" s="94">
        <f>Table3.110[[#This Row],[Net gas 8-24h, ml]]+Table3.110[[#This Row],[Net gas 8h, ml]]</f>
        <v>41.293066165690462</v>
      </c>
      <c r="AJ534" s="94">
        <f>Table3.110[[#This Row],[Net gas 8h, ml]]*Table3.110[[#This Row],[CH4 8h %]]%</f>
        <v>3.3459061670432599</v>
      </c>
      <c r="AK534" s="94">
        <f>Table3.110[[#This Row],[Net gas 8-24h, ml]]*Table3.110[[#This Row],[CH4 24h, %]]%</f>
        <v>3.2512930191441449</v>
      </c>
      <c r="AL534" s="94">
        <f>Table3.110[[#This Row],[CH4 8-24h, ml]]+Table3.110[[#This Row],[CH4 8h, ml]]</f>
        <v>6.5971991861874049</v>
      </c>
      <c r="AM534" s="94">
        <f>(Table3.110[[#This Row],[Net gas 24h, ml]]/Table3.110[[#This Row],[DM Incubated, mg]])*1000</f>
        <v>86.272807681792074</v>
      </c>
      <c r="AN534" s="94">
        <f>'3.2 Digest'!X534</f>
        <v>28.442134782509903</v>
      </c>
      <c r="AO534" s="94">
        <f>Table3.110[[#This Row],[Digested feed, mg]]/Table3.110[[#This Row],[Net gas 24h, ml]]</f>
        <v>3.2967670285422543</v>
      </c>
      <c r="AP534" s="94">
        <f>Table3.110[[#This Row],[CH4 8h, ml]]/Table3.110[[#This Row],[Net gas 8h, ml]]%</f>
        <v>14.8</v>
      </c>
      <c r="AQ534" s="94">
        <f>Table3.110[[#This Row],[CH4 24h, ml]]/Table3.110[[#This Row],[Net gas 24h, ml]]%</f>
        <v>15.976530199321644</v>
      </c>
      <c r="AR534" s="94">
        <f>Table3.110[[#This Row],[CH4 24h, ml]]/Table3.110[[#This Row],[DM Incubated, mg]]*1000</f>
        <v>13.783401173084195</v>
      </c>
      <c r="AS534" s="94">
        <f>Table3.110[[#This Row],[CH4 24h, ml]]/Table3.110[[#This Row],[Digested feed, mg]]*1000</f>
        <v>48.461204753027559</v>
      </c>
      <c r="AT534" s="94">
        <f>Table3.110[[#This Row],[CH4 24h, ml]]/'3.2 Digest'!AA534</f>
        <v>-0.67339372853034696</v>
      </c>
      <c r="AU534" s="94">
        <f>((Table3.110[[#This Row],[CH4 24h, ml]]/28.9)*16.04)/Table3.110[[#This Row],[DM Incubated, mg]]*1000</f>
        <v>7.6500261182100511</v>
      </c>
      <c r="AV534" s="94">
        <f>((Table3.110[[#This Row],[CH4 24h, ml]]/28.9)*16.04)/Table3.110[[#This Row],[Digested feed, mg]]*1000</f>
        <v>26.896807067078271</v>
      </c>
    </row>
    <row r="535" spans="2:50" s="89" customFormat="1" x14ac:dyDescent="0.35">
      <c r="B535" s="90">
        <f t="shared" si="8"/>
        <v>525</v>
      </c>
      <c r="C535" s="140">
        <v>46050</v>
      </c>
      <c r="D535" s="6" t="s">
        <v>16</v>
      </c>
      <c r="E535" s="6" t="s">
        <v>187</v>
      </c>
      <c r="F535" s="133" t="s">
        <v>105</v>
      </c>
      <c r="G535" s="133" t="s">
        <v>188</v>
      </c>
      <c r="H535" s="133" t="s">
        <v>189</v>
      </c>
      <c r="I535" s="125" t="s">
        <v>108</v>
      </c>
      <c r="J535" s="138" t="s">
        <v>109</v>
      </c>
      <c r="K535" s="138" t="s">
        <v>110</v>
      </c>
      <c r="L535" s="6" t="s">
        <v>186</v>
      </c>
      <c r="M535" s="93">
        <v>28</v>
      </c>
      <c r="N535" s="93">
        <v>61</v>
      </c>
      <c r="O535" s="6">
        <v>2</v>
      </c>
      <c r="P535" s="129">
        <v>1</v>
      </c>
      <c r="Q535" s="6">
        <v>0</v>
      </c>
      <c r="R535" s="98">
        <v>0.50019999999999998</v>
      </c>
      <c r="S535" s="94">
        <f>((Table3.110[[#This Row],[Sample weight, g]]*'2.1. DM'!Q113)/100)*1000</f>
        <v>474.39613340253106</v>
      </c>
      <c r="T535" s="94">
        <f>'3.2 Digest'!W535</f>
        <v>88.696133402531018</v>
      </c>
      <c r="U535" s="153">
        <v>0.35069444444444442</v>
      </c>
      <c r="V535" s="154">
        <v>41.5</v>
      </c>
      <c r="W535" s="153">
        <v>0.68819444444444444</v>
      </c>
      <c r="X535" s="91">
        <v>83</v>
      </c>
      <c r="Y535" s="91">
        <v>15.1</v>
      </c>
      <c r="Z535" s="154">
        <v>40</v>
      </c>
      <c r="AA535" s="153">
        <v>0.39027777777777778</v>
      </c>
      <c r="AB535" s="154">
        <v>100</v>
      </c>
      <c r="AC535" s="154">
        <v>16.2</v>
      </c>
      <c r="AD535" s="91"/>
      <c r="AE535" s="94">
        <f>Table3.110[[#This Row],[Gas 8h, ml]]-Table3.110[[#This Row],[Gas 0h, ml]]</f>
        <v>41.5</v>
      </c>
      <c r="AF535" s="94">
        <f>Table3.110[[#This Row],[Gas 24h, ml]]-Table3.110[[#This Row],[V8 Push back, ml]]</f>
        <v>60</v>
      </c>
      <c r="AG535" s="94">
        <f>Table3.110[[#This Row],[GP 8h, ml]]-(AVERAGE(AE$479,AE$480,AE$660,AE$661,AE$662,AE$663))*AG$8</f>
        <v>38.107474101643646</v>
      </c>
      <c r="AH535" s="94">
        <f>Table3.110[[#This Row],[GP 8-24h, ml]]-(AVERAGE(AF$479,AF$480,AF$660,AF$661,AF$662,AF$663))*AG$8</f>
        <v>55.685592064046816</v>
      </c>
      <c r="AI535" s="94">
        <f>Table3.110[[#This Row],[Net gas 8-24h, ml]]+Table3.110[[#This Row],[Net gas 8h, ml]]</f>
        <v>93.793066165690462</v>
      </c>
      <c r="AJ535" s="94">
        <f>Table3.110[[#This Row],[Net gas 8h, ml]]*Table3.110[[#This Row],[CH4 8h %]]%</f>
        <v>5.7542285893481901</v>
      </c>
      <c r="AK535" s="94">
        <f>Table3.110[[#This Row],[Net gas 8-24h, ml]]*Table3.110[[#This Row],[CH4 24h, %]]%</f>
        <v>9.0210659143755851</v>
      </c>
      <c r="AL535" s="94">
        <f>Table3.110[[#This Row],[CH4 8-24h, ml]]+Table3.110[[#This Row],[CH4 8h, ml]]</f>
        <v>14.775294503723774</v>
      </c>
      <c r="AM535" s="94">
        <f>(Table3.110[[#This Row],[Net gas 24h, ml]]/Table3.110[[#This Row],[DM Incubated, mg]])*1000</f>
        <v>197.71043556568341</v>
      </c>
      <c r="AN535" s="94">
        <f>'3.2 Digest'!X535</f>
        <v>18.696639191886337</v>
      </c>
      <c r="AO535" s="94">
        <f>Table3.110[[#This Row],[Digested feed, mg]]/Table3.110[[#This Row],[Net gas 24h, ml]]</f>
        <v>0.94565768055651955</v>
      </c>
      <c r="AP535" s="94">
        <f>Table3.110[[#This Row],[CH4 8h, ml]]/Table3.110[[#This Row],[Net gas 8h, ml]]%</f>
        <v>15.1</v>
      </c>
      <c r="AQ535" s="94">
        <f>Table3.110[[#This Row],[CH4 24h, ml]]/Table3.110[[#This Row],[Net gas 24h, ml]]%</f>
        <v>15.75307760770122</v>
      </c>
      <c r="AR535" s="94">
        <f>Table3.110[[#This Row],[CH4 24h, ml]]/Table3.110[[#This Row],[DM Incubated, mg]]*1000</f>
        <v>31.14547835318622</v>
      </c>
      <c r="AS535" s="94">
        <f>Table3.110[[#This Row],[CH4 24h, ml]]/Table3.110[[#This Row],[Digested feed, mg]]*1000</f>
        <v>166.58329892092172</v>
      </c>
      <c r="AT535" s="94">
        <f>Table3.110[[#This Row],[CH4 24h, ml]]/'3.2 Digest'!AA535</f>
        <v>-0.7604304439342795</v>
      </c>
      <c r="AU535" s="94">
        <f>((Table3.110[[#This Row],[CH4 24h, ml]]/28.9)*16.04)/Table3.110[[#This Row],[DM Incubated, mg]]*1000</f>
        <v>17.28627933512481</v>
      </c>
      <c r="AV535" s="94">
        <f>((Table3.110[[#This Row],[CH4 24h, ml]]/28.9)*16.04)/Table3.110[[#This Row],[Digested feed, mg]]*1000</f>
        <v>92.456612965106743</v>
      </c>
    </row>
    <row r="536" spans="2:50" s="89" customFormat="1" x14ac:dyDescent="0.35">
      <c r="B536" s="90">
        <f t="shared" si="8"/>
        <v>526</v>
      </c>
      <c r="C536" s="140">
        <v>46050</v>
      </c>
      <c r="D536" s="6" t="s">
        <v>16</v>
      </c>
      <c r="E536" s="6" t="s">
        <v>187</v>
      </c>
      <c r="F536" s="133" t="s">
        <v>105</v>
      </c>
      <c r="G536" s="133" t="s">
        <v>188</v>
      </c>
      <c r="H536" s="133" t="s">
        <v>189</v>
      </c>
      <c r="I536" s="125" t="s">
        <v>108</v>
      </c>
      <c r="J536" s="138" t="s">
        <v>109</v>
      </c>
      <c r="K536" s="138" t="s">
        <v>110</v>
      </c>
      <c r="L536" s="6" t="s">
        <v>186</v>
      </c>
      <c r="M536" s="93">
        <v>28</v>
      </c>
      <c r="N536" s="93">
        <v>61</v>
      </c>
      <c r="O536" s="6">
        <v>2</v>
      </c>
      <c r="P536" s="129">
        <v>2</v>
      </c>
      <c r="Q536" s="6">
        <v>0</v>
      </c>
      <c r="R536" s="98">
        <v>0.50009999999999999</v>
      </c>
      <c r="S536" s="94">
        <f>((Table3.110[[#This Row],[Sample weight, g]]*'2.1. DM'!Q113)/100)*1000</f>
        <v>474.30129211236658</v>
      </c>
      <c r="T536" s="94">
        <f>'3.2 Digest'!W536</f>
        <v>245.30129211236661</v>
      </c>
      <c r="U536" s="117">
        <v>0.35069444444444442</v>
      </c>
      <c r="V536" s="155">
        <v>41</v>
      </c>
      <c r="W536" s="117">
        <v>0.68888888888888888</v>
      </c>
      <c r="X536" s="96">
        <v>85.5</v>
      </c>
      <c r="Y536" s="96">
        <v>14.4</v>
      </c>
      <c r="Z536" s="155">
        <v>40</v>
      </c>
      <c r="AA536" s="117">
        <v>0.39027777777777778</v>
      </c>
      <c r="AB536" s="155">
        <v>102</v>
      </c>
      <c r="AC536" s="155">
        <v>16</v>
      </c>
      <c r="AD536" s="96"/>
      <c r="AE536" s="94">
        <f>Table3.110[[#This Row],[Gas 8h, ml]]-Table3.110[[#This Row],[Gas 0h, ml]]</f>
        <v>44.5</v>
      </c>
      <c r="AF536" s="94">
        <f>Table3.110[[#This Row],[Gas 24h, ml]]-Table3.110[[#This Row],[V8 Push back, ml]]</f>
        <v>62</v>
      </c>
      <c r="AG536" s="94">
        <f>Table3.110[[#This Row],[GP 8h, ml]]-(AVERAGE(AE$479,AE$480,AE$660,AE$661,AE$662,AE$663))*AG$8</f>
        <v>41.107474101643646</v>
      </c>
      <c r="AH536" s="94">
        <f>Table3.110[[#This Row],[GP 8-24h, ml]]-(AVERAGE(AF$479,AF$480,AF$660,AF$661,AF$662,AF$663))*AG$8</f>
        <v>57.685592064046816</v>
      </c>
      <c r="AI536" s="94">
        <f>Table3.110[[#This Row],[Net gas 8-24h, ml]]+Table3.110[[#This Row],[Net gas 8h, ml]]</f>
        <v>98.793066165690462</v>
      </c>
      <c r="AJ536" s="94">
        <f>Table3.110[[#This Row],[Net gas 8h, ml]]*Table3.110[[#This Row],[CH4 8h %]]%</f>
        <v>5.9194762706366859</v>
      </c>
      <c r="AK536" s="94">
        <f>Table3.110[[#This Row],[Net gas 8-24h, ml]]*Table3.110[[#This Row],[CH4 24h, %]]%</f>
        <v>9.2296947302474912</v>
      </c>
      <c r="AL536" s="94">
        <f>Table3.110[[#This Row],[CH4 8-24h, ml]]+Table3.110[[#This Row],[CH4 8h, ml]]</f>
        <v>15.149171000884177</v>
      </c>
      <c r="AM536" s="94">
        <f>(Table3.110[[#This Row],[Net gas 24h, ml]]/Table3.110[[#This Row],[DM Incubated, mg]])*1000</f>
        <v>208.29179217644935</v>
      </c>
      <c r="AN536" s="94">
        <f>'3.2 Digest'!X536</f>
        <v>51.718453268360975</v>
      </c>
      <c r="AO536" s="94">
        <f>Table3.110[[#This Row],[Digested feed, mg]]/Table3.110[[#This Row],[Net gas 24h, ml]]</f>
        <v>2.4829808571885033</v>
      </c>
      <c r="AP536" s="94">
        <f>Table3.110[[#This Row],[CH4 8h, ml]]/Table3.110[[#This Row],[Net gas 8h, ml]]%</f>
        <v>14.400000000000002</v>
      </c>
      <c r="AQ536" s="94">
        <f>Table3.110[[#This Row],[CH4 24h, ml]]/Table3.110[[#This Row],[Net gas 24h, ml]]%</f>
        <v>15.334245194371027</v>
      </c>
      <c r="AR536" s="94">
        <f>Table3.110[[#This Row],[CH4 24h, ml]]/Table3.110[[#This Row],[DM Incubated, mg]]*1000</f>
        <v>31.939974132086469</v>
      </c>
      <c r="AS536" s="94">
        <f>Table3.110[[#This Row],[CH4 24h, ml]]/Table3.110[[#This Row],[Digested feed, mg]]*1000</f>
        <v>61.757404008881892</v>
      </c>
      <c r="AT536" s="94">
        <f>Table3.110[[#This Row],[CH4 24h, ml]]/'3.2 Digest'!AA536</f>
        <v>0.52100079572731761</v>
      </c>
      <c r="AU536" s="94">
        <f>((Table3.110[[#This Row],[CH4 24h, ml]]/28.9)*16.04)/Table3.110[[#This Row],[DM Incubated, mg]]*1000</f>
        <v>17.727238238016159</v>
      </c>
      <c r="AV536" s="94">
        <f>((Table3.110[[#This Row],[CH4 24h, ml]]/28.9)*16.04)/Table3.110[[#This Row],[Digested feed, mg]]*1000</f>
        <v>34.27642769212683</v>
      </c>
    </row>
    <row r="537" spans="2:50" s="89" customFormat="1" x14ac:dyDescent="0.35">
      <c r="B537" s="90">
        <f t="shared" si="8"/>
        <v>527</v>
      </c>
      <c r="C537" s="140">
        <v>46050</v>
      </c>
      <c r="D537" s="6" t="s">
        <v>16</v>
      </c>
      <c r="E537" s="6" t="s">
        <v>187</v>
      </c>
      <c r="F537" s="133" t="s">
        <v>105</v>
      </c>
      <c r="G537" s="133" t="s">
        <v>188</v>
      </c>
      <c r="H537" s="133" t="s">
        <v>189</v>
      </c>
      <c r="I537" s="125" t="s">
        <v>108</v>
      </c>
      <c r="J537" s="138" t="s">
        <v>109</v>
      </c>
      <c r="K537" s="138" t="s">
        <v>110</v>
      </c>
      <c r="L537" s="6" t="s">
        <v>186</v>
      </c>
      <c r="M537" s="93">
        <v>28</v>
      </c>
      <c r="N537" s="93">
        <v>61</v>
      </c>
      <c r="O537" s="6">
        <v>2</v>
      </c>
      <c r="P537" s="129">
        <v>3</v>
      </c>
      <c r="Q537" s="6">
        <v>0</v>
      </c>
      <c r="R537" s="98">
        <v>0.5</v>
      </c>
      <c r="S537" s="94">
        <f>((Table3.110[[#This Row],[Sample weight, g]]*'2.1. DM'!Q113)/100)*1000</f>
        <v>474.20645082220221</v>
      </c>
      <c r="T537" s="94">
        <f>'3.2 Digest'!W537</f>
        <v>99.006450822202225</v>
      </c>
      <c r="U537" s="153">
        <v>0.35138888888888886</v>
      </c>
      <c r="V537" s="154">
        <v>40.5</v>
      </c>
      <c r="W537" s="153">
        <v>0.68888888888888888</v>
      </c>
      <c r="X537" s="91">
        <v>84</v>
      </c>
      <c r="Y537" s="91">
        <v>14.8</v>
      </c>
      <c r="Z537" s="154">
        <v>40</v>
      </c>
      <c r="AA537" s="153">
        <v>0.39097222222222222</v>
      </c>
      <c r="AB537" s="154">
        <v>102.5</v>
      </c>
      <c r="AC537" s="154">
        <v>16.100000000000001</v>
      </c>
      <c r="AD537" s="91"/>
      <c r="AE537" s="94">
        <f>Table3.110[[#This Row],[Gas 8h, ml]]-Table3.110[[#This Row],[Gas 0h, ml]]</f>
        <v>43.5</v>
      </c>
      <c r="AF537" s="94">
        <f>Table3.110[[#This Row],[Gas 24h, ml]]-Table3.110[[#This Row],[V8 Push back, ml]]</f>
        <v>62.5</v>
      </c>
      <c r="AG537" s="94">
        <f>Table3.110[[#This Row],[GP 8h, ml]]-(AVERAGE(AE$479,AE$480,AE$660,AE$661,AE$662,AE$663))*AG$8</f>
        <v>40.107474101643646</v>
      </c>
      <c r="AH537" s="94">
        <f>Table3.110[[#This Row],[GP 8-24h, ml]]-(AVERAGE(AF$479,AF$480,AF$660,AF$661,AF$662,AF$663))*AG$8</f>
        <v>58.185592064046816</v>
      </c>
      <c r="AI537" s="94">
        <f>Table3.110[[#This Row],[Net gas 8-24h, ml]]+Table3.110[[#This Row],[Net gas 8h, ml]]</f>
        <v>98.293066165690462</v>
      </c>
      <c r="AJ537" s="94">
        <f>Table3.110[[#This Row],[Net gas 8h, ml]]*Table3.110[[#This Row],[CH4 8h %]]%</f>
        <v>5.9359061670432602</v>
      </c>
      <c r="AK537" s="94">
        <f>Table3.110[[#This Row],[Net gas 8-24h, ml]]*Table3.110[[#This Row],[CH4 24h, %]]%</f>
        <v>9.367880322311537</v>
      </c>
      <c r="AL537" s="94">
        <f>Table3.110[[#This Row],[CH4 8-24h, ml]]+Table3.110[[#This Row],[CH4 8h, ml]]</f>
        <v>15.303786489354797</v>
      </c>
      <c r="AM537" s="94">
        <f>(Table3.110[[#This Row],[Net gas 24h, ml]]/Table3.110[[#This Row],[DM Incubated, mg]])*1000</f>
        <v>207.27905745538715</v>
      </c>
      <c r="AN537" s="94">
        <f>'3.2 Digest'!X537</f>
        <v>20.878343314507852</v>
      </c>
      <c r="AO537" s="94">
        <f>Table3.110[[#This Row],[Digested feed, mg]]/Table3.110[[#This Row],[Net gas 24h, ml]]</f>
        <v>1.007257731235174</v>
      </c>
      <c r="AP537" s="94">
        <f>Table3.110[[#This Row],[CH4 8h, ml]]/Table3.110[[#This Row],[Net gas 8h, ml]]%</f>
        <v>14.8</v>
      </c>
      <c r="AQ537" s="94">
        <f>Table3.110[[#This Row],[CH4 24h, ml]]/Table3.110[[#This Row],[Net gas 24h, ml]]%</f>
        <v>15.569548378476201</v>
      </c>
      <c r="AR537" s="94">
        <f>Table3.110[[#This Row],[CH4 24h, ml]]/Table3.110[[#This Row],[DM Incubated, mg]]*1000</f>
        <v>32.272413128965979</v>
      </c>
      <c r="AS537" s="94">
        <f>Table3.110[[#This Row],[CH4 24h, ml]]/Table3.110[[#This Row],[Digested feed, mg]]*1000</f>
        <v>154.57362992273752</v>
      </c>
      <c r="AT537" s="94">
        <f>Table3.110[[#This Row],[CH4 24h, ml]]/'3.2 Digest'!AA537</f>
        <v>-0.94320115477975952</v>
      </c>
      <c r="AU537" s="94">
        <f>((Table3.110[[#This Row],[CH4 24h, ml]]/28.9)*16.04)/Table3.110[[#This Row],[DM Incubated, mg]]*1000</f>
        <v>17.911747632824024</v>
      </c>
      <c r="AV537" s="94">
        <f>((Table3.110[[#This Row],[CH4 24h, ml]]/28.9)*16.04)/Table3.110[[#This Row],[Digested feed, mg]]*1000</f>
        <v>85.791038891374043</v>
      </c>
    </row>
    <row r="538" spans="2:50" s="89" customFormat="1" x14ac:dyDescent="0.35">
      <c r="B538" s="90">
        <f t="shared" si="8"/>
        <v>528</v>
      </c>
      <c r="C538" s="140">
        <v>46050</v>
      </c>
      <c r="D538" s="6" t="s">
        <v>16</v>
      </c>
      <c r="E538" s="6" t="s">
        <v>193</v>
      </c>
      <c r="F538" s="133" t="s">
        <v>105</v>
      </c>
      <c r="G538" s="133" t="s">
        <v>188</v>
      </c>
      <c r="H538" s="133" t="s">
        <v>189</v>
      </c>
      <c r="I538" s="125" t="s">
        <v>108</v>
      </c>
      <c r="J538" s="138" t="s">
        <v>109</v>
      </c>
      <c r="K538" s="138" t="s">
        <v>110</v>
      </c>
      <c r="L538" s="6" t="s">
        <v>192</v>
      </c>
      <c r="M538" s="93">
        <v>28</v>
      </c>
      <c r="N538" s="93">
        <v>61</v>
      </c>
      <c r="O538" s="6">
        <v>2</v>
      </c>
      <c r="P538" s="129">
        <v>1</v>
      </c>
      <c r="Q538" s="6">
        <v>0</v>
      </c>
      <c r="R538" s="98">
        <v>0.50029999999999997</v>
      </c>
      <c r="S538" s="94">
        <f>((Table3.110[[#This Row],[Sample weight, g]]*'2.1. DM'!Q115)/100)*1000</f>
        <v>475.66502595961629</v>
      </c>
      <c r="T538" s="94">
        <f>'3.2 Digest'!W538</f>
        <v>226.26502595961634</v>
      </c>
      <c r="U538" s="117">
        <v>0.35138888888888886</v>
      </c>
      <c r="V538" s="155">
        <v>41</v>
      </c>
      <c r="W538" s="117">
        <v>0.68958333333333333</v>
      </c>
      <c r="X538" s="96">
        <v>82</v>
      </c>
      <c r="Y538" s="96">
        <v>14.5</v>
      </c>
      <c r="Z538" s="155">
        <v>40</v>
      </c>
      <c r="AA538" s="117">
        <v>0.39097222222222222</v>
      </c>
      <c r="AB538" s="155">
        <v>105.5</v>
      </c>
      <c r="AC538" s="155">
        <v>16</v>
      </c>
      <c r="AD538" s="96"/>
      <c r="AE538" s="94">
        <f>Table3.110[[#This Row],[Gas 8h, ml]]-Table3.110[[#This Row],[Gas 0h, ml]]</f>
        <v>41</v>
      </c>
      <c r="AF538" s="94">
        <f>Table3.110[[#This Row],[Gas 24h, ml]]-Table3.110[[#This Row],[V8 Push back, ml]]</f>
        <v>65.5</v>
      </c>
      <c r="AG538" s="94">
        <f>Table3.110[[#This Row],[GP 8h, ml]]-(AVERAGE(AE$479,AE$480,AE$660,AE$661,AE$662,AE$663))*AG$8</f>
        <v>37.607474101643646</v>
      </c>
      <c r="AH538" s="94">
        <f>Table3.110[[#This Row],[GP 8-24h, ml]]-(AVERAGE(AF$479,AF$480,AF$660,AF$661,AF$662,AF$663))*AG$8</f>
        <v>61.185592064046816</v>
      </c>
      <c r="AI538" s="94">
        <f>Table3.110[[#This Row],[Net gas 8-24h, ml]]+Table3.110[[#This Row],[Net gas 8h, ml]]</f>
        <v>98.793066165690462</v>
      </c>
      <c r="AJ538" s="94">
        <f>Table3.110[[#This Row],[Net gas 8h, ml]]*Table3.110[[#This Row],[CH4 8h %]]%</f>
        <v>5.4530837447383282</v>
      </c>
      <c r="AK538" s="94">
        <f>Table3.110[[#This Row],[Net gas 8-24h, ml]]*Table3.110[[#This Row],[CH4 24h, %]]%</f>
        <v>9.7896947302474899</v>
      </c>
      <c r="AL538" s="94">
        <f>Table3.110[[#This Row],[CH4 8-24h, ml]]+Table3.110[[#This Row],[CH4 8h, ml]]</f>
        <v>15.242778474985819</v>
      </c>
      <c r="AM538" s="94">
        <f>(Table3.110[[#This Row],[Net gas 24h, ml]]/Table3.110[[#This Row],[DM Incubated, mg]])*1000</f>
        <v>207.69461863710353</v>
      </c>
      <c r="AN538" s="94">
        <f>'3.2 Digest'!X538</f>
        <v>47.568144305574009</v>
      </c>
      <c r="AO538" s="94">
        <f>Table3.110[[#This Row],[Digested feed, mg]]/Table3.110[[#This Row],[Net gas 24h, ml]]</f>
        <v>2.2902925755957075</v>
      </c>
      <c r="AP538" s="94">
        <f>Table3.110[[#This Row],[CH4 8h, ml]]/Table3.110[[#This Row],[Net gas 8h, ml]]%</f>
        <v>14.5</v>
      </c>
      <c r="AQ538" s="94">
        <f>Table3.110[[#This Row],[CH4 24h, ml]]/Table3.110[[#This Row],[Net gas 24h, ml]]%</f>
        <v>15.428996251033897</v>
      </c>
      <c r="AR538" s="94">
        <f>Table3.110[[#This Row],[CH4 24h, ml]]/Table3.110[[#This Row],[DM Incubated, mg]]*1000</f>
        <v>32.045194923117862</v>
      </c>
      <c r="AS538" s="94">
        <f>Table3.110[[#This Row],[CH4 24h, ml]]/Table3.110[[#This Row],[Digested feed, mg]]*1000</f>
        <v>67.36692252962834</v>
      </c>
      <c r="AT538" s="94">
        <f>Table3.110[[#This Row],[CH4 24h, ml]]/'3.2 Digest'!AA538</f>
        <v>0.65559132889704952</v>
      </c>
      <c r="AU538" s="94">
        <f>((Table3.110[[#This Row],[CH4 24h, ml]]/28.9)*16.04)/Table3.110[[#This Row],[DM Incubated, mg]]*1000</f>
        <v>17.785637597467488</v>
      </c>
      <c r="AV538" s="94">
        <f>((Table3.110[[#This Row],[CH4 24h, ml]]/28.9)*16.04)/Table3.110[[#This Row],[Digested feed, mg]]*1000</f>
        <v>37.389807521634552</v>
      </c>
    </row>
    <row r="539" spans="2:50" s="89" customFormat="1" x14ac:dyDescent="0.35">
      <c r="B539" s="90">
        <f t="shared" si="8"/>
        <v>529</v>
      </c>
      <c r="C539" s="140">
        <v>46050</v>
      </c>
      <c r="D539" s="6" t="s">
        <v>16</v>
      </c>
      <c r="E539" s="6" t="s">
        <v>193</v>
      </c>
      <c r="F539" s="133" t="s">
        <v>105</v>
      </c>
      <c r="G539" s="133" t="s">
        <v>188</v>
      </c>
      <c r="H539" s="133" t="s">
        <v>189</v>
      </c>
      <c r="I539" s="125" t="s">
        <v>108</v>
      </c>
      <c r="J539" s="138" t="s">
        <v>109</v>
      </c>
      <c r="K539" s="138" t="s">
        <v>110</v>
      </c>
      <c r="L539" s="6" t="s">
        <v>192</v>
      </c>
      <c r="M539" s="93">
        <v>28</v>
      </c>
      <c r="N539" s="93">
        <v>61</v>
      </c>
      <c r="O539" s="6">
        <v>2</v>
      </c>
      <c r="P539" s="129">
        <v>2</v>
      </c>
      <c r="Q539" s="6">
        <v>0</v>
      </c>
      <c r="R539" s="98">
        <v>0.50019999999999998</v>
      </c>
      <c r="S539" s="94">
        <f>((Table3.110[[#This Row],[Sample weight, g]]*'2.1. DM'!Q115)/100)*1000</f>
        <v>475.56995000000012</v>
      </c>
      <c r="T539" s="94">
        <f>'3.2 Digest'!W539</f>
        <v>215.06995000000006</v>
      </c>
      <c r="U539" s="153">
        <v>0.35208333333333336</v>
      </c>
      <c r="V539" s="155">
        <v>40.5</v>
      </c>
      <c r="W539" s="153">
        <v>0.68958333333333333</v>
      </c>
      <c r="X539" s="91">
        <v>80.5</v>
      </c>
      <c r="Y539" s="91">
        <v>15.1</v>
      </c>
      <c r="Z539" s="154">
        <v>40</v>
      </c>
      <c r="AA539" s="153">
        <v>0.39166666666666666</v>
      </c>
      <c r="AB539" s="154">
        <v>99.5</v>
      </c>
      <c r="AC539" s="154">
        <v>15.9</v>
      </c>
      <c r="AD539" s="91"/>
      <c r="AE539" s="94">
        <f>Table3.110[[#This Row],[Gas 8h, ml]]-Table3.110[[#This Row],[Gas 0h, ml]]</f>
        <v>40</v>
      </c>
      <c r="AF539" s="94">
        <f>Table3.110[[#This Row],[Gas 24h, ml]]-Table3.110[[#This Row],[V8 Push back, ml]]</f>
        <v>59.5</v>
      </c>
      <c r="AG539" s="94">
        <f>Table3.110[[#This Row],[GP 8h, ml]]-(AVERAGE(AE$479,AE$480,AE$660,AE$661,AE$662,AE$663))*AG$8</f>
        <v>36.607474101643646</v>
      </c>
      <c r="AH539" s="94">
        <f>Table3.110[[#This Row],[GP 8-24h, ml]]-(AVERAGE(AF$479,AF$480,AF$660,AF$661,AF$662,AF$663))*AG$8</f>
        <v>55.185592064046816</v>
      </c>
      <c r="AI539" s="94">
        <f>Table3.110[[#This Row],[Net gas 8-24h, ml]]+Table3.110[[#This Row],[Net gas 8h, ml]]</f>
        <v>91.793066165690462</v>
      </c>
      <c r="AJ539" s="94">
        <f>Table3.110[[#This Row],[Net gas 8h, ml]]*Table3.110[[#This Row],[CH4 8h %]]%</f>
        <v>5.5277285893481904</v>
      </c>
      <c r="AK539" s="94">
        <f>Table3.110[[#This Row],[Net gas 8-24h, ml]]*Table3.110[[#This Row],[CH4 24h, %]]%</f>
        <v>8.7745091381834435</v>
      </c>
      <c r="AL539" s="94">
        <f>Table3.110[[#This Row],[CH4 8-24h, ml]]+Table3.110[[#This Row],[CH4 8h, ml]]</f>
        <v>14.302237727531633</v>
      </c>
      <c r="AM539" s="94">
        <f>(Table3.110[[#This Row],[Net gas 24h, ml]]/Table3.110[[#This Row],[DM Incubated, mg]])*1000</f>
        <v>193.01696031401991</v>
      </c>
      <c r="AN539" s="94">
        <f>'3.2 Digest'!X539</f>
        <v>45.223620626156048</v>
      </c>
      <c r="AO539" s="94">
        <f>Table3.110[[#This Row],[Digested feed, mg]]/Table3.110[[#This Row],[Net gas 24h, ml]]</f>
        <v>2.3429868832553158</v>
      </c>
      <c r="AP539" s="94">
        <f>Table3.110[[#This Row],[CH4 8h, ml]]/Table3.110[[#This Row],[Net gas 8h, ml]]%</f>
        <v>15.1</v>
      </c>
      <c r="AQ539" s="94">
        <f>Table3.110[[#This Row],[CH4 24h, ml]]/Table3.110[[#This Row],[Net gas 24h, ml]]%</f>
        <v>15.580956519869893</v>
      </c>
      <c r="AR539" s="94">
        <f>Table3.110[[#This Row],[CH4 24h, ml]]/Table3.110[[#This Row],[DM Incubated, mg]]*1000</f>
        <v>30.073888662501972</v>
      </c>
      <c r="AS539" s="94">
        <f>Table3.110[[#This Row],[CH4 24h, ml]]/Table3.110[[#This Row],[Digested feed, mg]]*1000</f>
        <v>66.500400114156477</v>
      </c>
      <c r="AT539" s="94">
        <f>Table3.110[[#This Row],[CH4 24h, ml]]/'3.2 Digest'!AA539</f>
        <v>0.72166018058499248</v>
      </c>
      <c r="AU539" s="94">
        <f>((Table3.110[[#This Row],[CH4 24h, ml]]/28.9)*16.04)/Table3.110[[#This Row],[DM Incubated, mg]]*1000</f>
        <v>16.691528517181023</v>
      </c>
      <c r="AV539" s="94">
        <f>((Table3.110[[#This Row],[CH4 24h, ml]]/28.9)*16.04)/Table3.110[[#This Row],[Digested feed, mg]]*1000</f>
        <v>36.908872589310377</v>
      </c>
    </row>
    <row r="540" spans="2:50" s="89" customFormat="1" x14ac:dyDescent="0.35">
      <c r="B540" s="90">
        <f t="shared" si="8"/>
        <v>530</v>
      </c>
      <c r="C540" s="140">
        <v>46050</v>
      </c>
      <c r="D540" s="6" t="s">
        <v>16</v>
      </c>
      <c r="E540" s="6" t="s">
        <v>193</v>
      </c>
      <c r="F540" s="133" t="s">
        <v>105</v>
      </c>
      <c r="G540" s="133" t="s">
        <v>188</v>
      </c>
      <c r="H540" s="133" t="s">
        <v>189</v>
      </c>
      <c r="I540" s="125" t="s">
        <v>108</v>
      </c>
      <c r="J540" s="138" t="s">
        <v>109</v>
      </c>
      <c r="K540" s="138" t="s">
        <v>110</v>
      </c>
      <c r="L540" s="6" t="s">
        <v>192</v>
      </c>
      <c r="M540" s="93">
        <v>28</v>
      </c>
      <c r="N540" s="93">
        <v>61</v>
      </c>
      <c r="O540" s="6">
        <v>2</v>
      </c>
      <c r="P540" s="129">
        <v>3</v>
      </c>
      <c r="Q540" s="6">
        <v>0</v>
      </c>
      <c r="R540" s="98">
        <v>0.50019999999999998</v>
      </c>
      <c r="S540" s="94">
        <f>((Table3.110[[#This Row],[Sample weight, g]]*'2.1. DM'!Q115)/100)*1000</f>
        <v>475.56995000000012</v>
      </c>
      <c r="T540" s="94">
        <f>'3.2 Digest'!W540</f>
        <v>164.06995000000012</v>
      </c>
      <c r="U540" s="117">
        <v>0.3527777777777778</v>
      </c>
      <c r="V540" s="155">
        <v>40.5</v>
      </c>
      <c r="W540" s="117">
        <v>0.69027777777777777</v>
      </c>
      <c r="X540" s="96">
        <v>82.5</v>
      </c>
      <c r="Y540" s="96">
        <v>14.5</v>
      </c>
      <c r="Z540" s="155">
        <v>40</v>
      </c>
      <c r="AA540" s="117">
        <v>0.3923611111111111</v>
      </c>
      <c r="AB540" s="155">
        <v>101</v>
      </c>
      <c r="AC540" s="155">
        <v>16</v>
      </c>
      <c r="AD540" s="96"/>
      <c r="AE540" s="94">
        <f>Table3.110[[#This Row],[Gas 8h, ml]]-Table3.110[[#This Row],[Gas 0h, ml]]</f>
        <v>42</v>
      </c>
      <c r="AF540" s="94">
        <f>Table3.110[[#This Row],[Gas 24h, ml]]-Table3.110[[#This Row],[V8 Push back, ml]]</f>
        <v>61</v>
      </c>
      <c r="AG540" s="94">
        <f>Table3.110[[#This Row],[GP 8h, ml]]-(AVERAGE(AE$479,AE$480,AE$660,AE$661,AE$662,AE$663))*AG$8</f>
        <v>38.607474101643646</v>
      </c>
      <c r="AH540" s="94">
        <f>Table3.110[[#This Row],[GP 8-24h, ml]]-(AVERAGE(AF$479,AF$480,AF$660,AF$661,AF$662,AF$663))*AG$8</f>
        <v>56.685592064046816</v>
      </c>
      <c r="AI540" s="94">
        <f>Table3.110[[#This Row],[Net gas 8-24h, ml]]+Table3.110[[#This Row],[Net gas 8h, ml]]</f>
        <v>95.293066165690462</v>
      </c>
      <c r="AJ540" s="94">
        <f>Table3.110[[#This Row],[Net gas 8h, ml]]*Table3.110[[#This Row],[CH4 8h %]]%</f>
        <v>5.5980837447383287</v>
      </c>
      <c r="AK540" s="94">
        <f>Table3.110[[#This Row],[Net gas 8-24h, ml]]*Table3.110[[#This Row],[CH4 24h, %]]%</f>
        <v>9.0696947302474911</v>
      </c>
      <c r="AL540" s="94">
        <f>Table3.110[[#This Row],[CH4 8-24h, ml]]+Table3.110[[#This Row],[CH4 8h, ml]]</f>
        <v>14.66777847498582</v>
      </c>
      <c r="AM540" s="94">
        <f>(Table3.110[[#This Row],[Net gas 24h, ml]]/Table3.110[[#This Row],[DM Incubated, mg]])*1000</f>
        <v>200.37655063296248</v>
      </c>
      <c r="AN540" s="94">
        <f>'3.2 Digest'!X540</f>
        <v>34.499646161411185</v>
      </c>
      <c r="AO540" s="94">
        <f>Table3.110[[#This Row],[Digested feed, mg]]/Table3.110[[#This Row],[Net gas 24h, ml]]</f>
        <v>1.721740695327445</v>
      </c>
      <c r="AP540" s="94">
        <f>Table3.110[[#This Row],[CH4 8h, ml]]/Table3.110[[#This Row],[Net gas 8h, ml]]%</f>
        <v>14.5</v>
      </c>
      <c r="AQ540" s="94">
        <f>Table3.110[[#This Row],[CH4 24h, ml]]/Table3.110[[#This Row],[Net gas 24h, ml]]%</f>
        <v>15.392283053923645</v>
      </c>
      <c r="AR540" s="94">
        <f>Table3.110[[#This Row],[CH4 24h, ml]]/Table3.110[[#This Row],[DM Incubated, mg]]*1000</f>
        <v>30.842525847114217</v>
      </c>
      <c r="AS540" s="94">
        <f>Table3.110[[#This Row],[CH4 24h, ml]]/Table3.110[[#This Row],[Digested feed, mg]]*1000</f>
        <v>89.399542542591192</v>
      </c>
      <c r="AT540" s="94">
        <f>Table3.110[[#This Row],[CH4 24h, ml]]/'3.2 Digest'!AA540</f>
        <v>3.5594458891755187</v>
      </c>
      <c r="AU540" s="94">
        <f>((Table3.110[[#This Row],[CH4 24h, ml]]/28.9)*16.04)/Table3.110[[#This Row],[DM Incubated, mg]]*1000</f>
        <v>17.118135452862006</v>
      </c>
      <c r="AV540" s="94">
        <f>((Table3.110[[#This Row],[CH4 24h, ml]]/28.9)*16.04)/Table3.110[[#This Row],[Digested feed, mg]]*1000</f>
        <v>49.61829281602639</v>
      </c>
    </row>
    <row r="541" spans="2:50" s="89" customFormat="1" x14ac:dyDescent="0.35">
      <c r="B541" s="90">
        <f t="shared" si="8"/>
        <v>531</v>
      </c>
      <c r="C541" s="140">
        <v>46050</v>
      </c>
      <c r="D541" s="6" t="s">
        <v>16</v>
      </c>
      <c r="E541" s="6" t="s">
        <v>195</v>
      </c>
      <c r="F541" s="133" t="s">
        <v>105</v>
      </c>
      <c r="G541" s="133" t="s">
        <v>188</v>
      </c>
      <c r="H541" s="133" t="s">
        <v>189</v>
      </c>
      <c r="I541" s="125" t="s">
        <v>108</v>
      </c>
      <c r="J541" s="138" t="s">
        <v>109</v>
      </c>
      <c r="K541" s="138" t="s">
        <v>110</v>
      </c>
      <c r="L541" s="6" t="s">
        <v>194</v>
      </c>
      <c r="M541" s="93">
        <v>28</v>
      </c>
      <c r="N541" s="93">
        <v>61</v>
      </c>
      <c r="O541" s="6">
        <v>2</v>
      </c>
      <c r="P541" s="129">
        <v>1</v>
      </c>
      <c r="Q541" s="6">
        <v>0</v>
      </c>
      <c r="R541" s="98">
        <v>0.50009999999999999</v>
      </c>
      <c r="S541" s="94">
        <f>((Table3.110[[#This Row],[Sample weight, g]]*'2.1. DM'!Q117)/100)*1000</f>
        <v>480.19901759823972</v>
      </c>
      <c r="T541" s="94">
        <f>'3.2 Digest'!W541</f>
        <v>205.49901759823979</v>
      </c>
      <c r="U541" s="153">
        <v>0.3527777777777778</v>
      </c>
      <c r="V541" s="155">
        <v>40.5</v>
      </c>
      <c r="W541" s="153">
        <v>0.69027777777777777</v>
      </c>
      <c r="X541" s="91">
        <v>79.5</v>
      </c>
      <c r="Y541" s="91">
        <v>15</v>
      </c>
      <c r="Z541" s="154">
        <v>40</v>
      </c>
      <c r="AA541" s="153">
        <v>0.39305555555555555</v>
      </c>
      <c r="AB541" s="154">
        <v>100</v>
      </c>
      <c r="AC541" s="154">
        <v>16.100000000000001</v>
      </c>
      <c r="AD541" s="91" t="s">
        <v>569</v>
      </c>
      <c r="AE541" s="94">
        <f>Table3.110[[#This Row],[Gas 8h, ml]]-Table3.110[[#This Row],[Gas 0h, ml]]</f>
        <v>39</v>
      </c>
      <c r="AF541" s="94">
        <f>Table3.110[[#This Row],[Gas 24h, ml]]-Table3.110[[#This Row],[V8 Push back, ml]]</f>
        <v>60</v>
      </c>
      <c r="AG541" s="94">
        <f>Table3.110[[#This Row],[GP 8h, ml]]-(AVERAGE(AE$479,AE$480,AE$660,AE$661,AE$662,AE$663))*AG$8</f>
        <v>35.607474101643646</v>
      </c>
      <c r="AH541" s="94">
        <f>Table3.110[[#This Row],[GP 8-24h, ml]]-(AVERAGE(AF$479,AF$480,AF$660,AF$661,AF$662,AF$663))*AG$8</f>
        <v>55.685592064046816</v>
      </c>
      <c r="AI541" s="94">
        <f>Table3.110[[#This Row],[Net gas 8-24h, ml]]+Table3.110[[#This Row],[Net gas 8h, ml]]</f>
        <v>91.293066165690462</v>
      </c>
      <c r="AJ541" s="94">
        <f>Table3.110[[#This Row],[Net gas 8h, ml]]*Table3.110[[#This Row],[CH4 8h %]]%</f>
        <v>5.3411211152465468</v>
      </c>
      <c r="AK541" s="94">
        <f>Table3.110[[#This Row],[Net gas 8-24h, ml]]*Table3.110[[#This Row],[CH4 24h, %]]%</f>
        <v>8.9653803223115371</v>
      </c>
      <c r="AL541" s="94">
        <f>Table3.110[[#This Row],[CH4 8-24h, ml]]+Table3.110[[#This Row],[CH4 8h, ml]]</f>
        <v>14.306501437558083</v>
      </c>
      <c r="AM541" s="94">
        <f>(Table3.110[[#This Row],[Net gas 24h, ml]]/Table3.110[[#This Row],[DM Incubated, mg]])*1000</f>
        <v>190.11506233873877</v>
      </c>
      <c r="AN541" s="94">
        <f>'3.2 Digest'!X541</f>
        <v>42.794551856033017</v>
      </c>
      <c r="AO541" s="94">
        <f>Table3.110[[#This Row],[Digested feed, mg]]/Table3.110[[#This Row],[Net gas 24h, ml]]</f>
        <v>2.2509816597163423</v>
      </c>
      <c r="AP541" s="94">
        <f>Table3.110[[#This Row],[CH4 8h, ml]]/Table3.110[[#This Row],[Net gas 8h, ml]]%</f>
        <v>15</v>
      </c>
      <c r="AQ541" s="94">
        <f>Table3.110[[#This Row],[CH4 24h, ml]]/Table3.110[[#This Row],[Net gas 24h, ml]]%</f>
        <v>15.67096170435638</v>
      </c>
      <c r="AR541" s="94">
        <f>Table3.110[[#This Row],[CH4 24h, ml]]/Table3.110[[#This Row],[DM Incubated, mg]]*1000</f>
        <v>29.792858613317009</v>
      </c>
      <c r="AS541" s="94">
        <f>Table3.110[[#This Row],[CH4 24h, ml]]/Table3.110[[#This Row],[Digested feed, mg]]*1000</f>
        <v>69.618344675145678</v>
      </c>
      <c r="AT541" s="94">
        <f>Table3.110[[#This Row],[CH4 24h, ml]]/'3.2 Digest'!AA541</f>
        <v>0.91240663604291083</v>
      </c>
      <c r="AU541" s="94">
        <f>((Table3.110[[#This Row],[CH4 24h, ml]]/28.9)*16.04)/Table3.110[[#This Row],[DM Incubated, mg]]*1000</f>
        <v>16.535551977771796</v>
      </c>
      <c r="AV541" s="94">
        <f>((Table3.110[[#This Row],[CH4 24h, ml]]/28.9)*16.04)/Table3.110[[#This Row],[Digested feed, mg]]*1000</f>
        <v>38.639385764336907</v>
      </c>
    </row>
    <row r="542" spans="2:50" s="89" customFormat="1" x14ac:dyDescent="0.35">
      <c r="B542" s="90">
        <f t="shared" si="8"/>
        <v>532</v>
      </c>
      <c r="C542" s="140">
        <v>46050</v>
      </c>
      <c r="D542" s="6" t="s">
        <v>16</v>
      </c>
      <c r="E542" s="6" t="s">
        <v>195</v>
      </c>
      <c r="F542" s="133" t="s">
        <v>105</v>
      </c>
      <c r="G542" s="133" t="s">
        <v>188</v>
      </c>
      <c r="H542" s="133" t="s">
        <v>189</v>
      </c>
      <c r="I542" s="125" t="s">
        <v>108</v>
      </c>
      <c r="J542" s="138" t="s">
        <v>109</v>
      </c>
      <c r="K542" s="138" t="s">
        <v>110</v>
      </c>
      <c r="L542" s="6" t="s">
        <v>194</v>
      </c>
      <c r="M542" s="93">
        <v>28</v>
      </c>
      <c r="N542" s="93">
        <v>61</v>
      </c>
      <c r="O542" s="6">
        <v>2</v>
      </c>
      <c r="P542" s="129">
        <v>2</v>
      </c>
      <c r="Q542" s="6">
        <v>0</v>
      </c>
      <c r="R542" s="98">
        <v>0.50029999999999997</v>
      </c>
      <c r="S542" s="94">
        <f>((Table3.110[[#This Row],[Sample weight, g]]*'2.1. DM'!Q117)/100)*1000</f>
        <v>480.39105879703925</v>
      </c>
      <c r="T542" s="94">
        <f>'3.2 Digest'!W542</f>
        <v>117.59105879703935</v>
      </c>
      <c r="U542" s="117">
        <v>0.3527777777777778</v>
      </c>
      <c r="V542" s="155">
        <v>40.5</v>
      </c>
      <c r="W542" s="117">
        <v>0.69097222222222221</v>
      </c>
      <c r="X542" s="96">
        <v>81</v>
      </c>
      <c r="Y542" s="96">
        <v>14.7</v>
      </c>
      <c r="Z542" s="155">
        <v>40</v>
      </c>
      <c r="AA542" s="117">
        <v>0.39305555555555555</v>
      </c>
      <c r="AB542" s="155">
        <v>96</v>
      </c>
      <c r="AC542" s="155">
        <v>16.100000000000001</v>
      </c>
      <c r="AD542" s="96"/>
      <c r="AE542" s="94">
        <f>Table3.110[[#This Row],[Gas 8h, ml]]-Table3.110[[#This Row],[Gas 0h, ml]]</f>
        <v>40.5</v>
      </c>
      <c r="AF542" s="94">
        <f>Table3.110[[#This Row],[Gas 24h, ml]]-Table3.110[[#This Row],[V8 Push back, ml]]</f>
        <v>56</v>
      </c>
      <c r="AG542" s="94">
        <f>Table3.110[[#This Row],[GP 8h, ml]]-(AVERAGE(AE$479,AE$480,AE$660,AE$661,AE$662,AE$663))*AG$8</f>
        <v>37.107474101643646</v>
      </c>
      <c r="AH542" s="94">
        <f>Table3.110[[#This Row],[GP 8-24h, ml]]-(AVERAGE(AF$479,AF$480,AF$660,AF$661,AF$662,AF$663))*AG$8</f>
        <v>51.685592064046816</v>
      </c>
      <c r="AI542" s="94">
        <f>Table3.110[[#This Row],[Net gas 8-24h, ml]]+Table3.110[[#This Row],[Net gas 8h, ml]]</f>
        <v>88.793066165690462</v>
      </c>
      <c r="AJ542" s="94">
        <f>Table3.110[[#This Row],[Net gas 8h, ml]]*Table3.110[[#This Row],[CH4 8h %]]%</f>
        <v>5.4547986929416155</v>
      </c>
      <c r="AK542" s="94">
        <f>Table3.110[[#This Row],[Net gas 8-24h, ml]]*Table3.110[[#This Row],[CH4 24h, %]]%</f>
        <v>8.321380322311537</v>
      </c>
      <c r="AL542" s="94">
        <f>Table3.110[[#This Row],[CH4 8-24h, ml]]+Table3.110[[#This Row],[CH4 8h, ml]]</f>
        <v>13.776179015253152</v>
      </c>
      <c r="AM542" s="94">
        <f>(Table3.110[[#This Row],[Net gas 24h, ml]]/Table3.110[[#This Row],[DM Incubated, mg]])*1000</f>
        <v>184.83496838604714</v>
      </c>
      <c r="AN542" s="94">
        <f>'3.2 Digest'!X542</f>
        <v>24.478194721505105</v>
      </c>
      <c r="AO542" s="94">
        <f>Table3.110[[#This Row],[Digested feed, mg]]/Table3.110[[#This Row],[Net gas 24h, ml]]</f>
        <v>1.3243270434834518</v>
      </c>
      <c r="AP542" s="94">
        <f>Table3.110[[#This Row],[CH4 8h, ml]]/Table3.110[[#This Row],[Net gas 8h, ml]]%</f>
        <v>14.7</v>
      </c>
      <c r="AQ542" s="94">
        <f>Table3.110[[#This Row],[CH4 24h, ml]]/Table3.110[[#This Row],[Net gas 24h, ml]]%</f>
        <v>15.514926570444588</v>
      </c>
      <c r="AR542" s="94">
        <f>Table3.110[[#This Row],[CH4 24h, ml]]/Table3.110[[#This Row],[DM Incubated, mg]]*1000</f>
        <v>28.67700962159968</v>
      </c>
      <c r="AS542" s="94">
        <f>Table3.110[[#This Row],[CH4 24h, ml]]/Table3.110[[#This Row],[Digested feed, mg]]*1000</f>
        <v>117.15328662046201</v>
      </c>
      <c r="AT542" s="94">
        <f>Table3.110[[#This Row],[CH4 24h, ml]]/'3.2 Digest'!AA542</f>
        <v>-1.217181826201883</v>
      </c>
      <c r="AU542" s="94">
        <f>((Table3.110[[#This Row],[CH4 24h, ml]]/28.9)*16.04)/Table3.110[[#This Row],[DM Incubated, mg]]*1000</f>
        <v>15.916236482022796</v>
      </c>
      <c r="AV542" s="94">
        <f>((Table3.110[[#This Row],[CH4 24h, ml]]/28.9)*16.04)/Table3.110[[#This Row],[Digested feed, mg]]*1000</f>
        <v>65.022100947827354</v>
      </c>
    </row>
    <row r="543" spans="2:50" s="89" customFormat="1" x14ac:dyDescent="0.35">
      <c r="B543" s="90">
        <f t="shared" si="8"/>
        <v>533</v>
      </c>
      <c r="C543" s="140">
        <v>46050</v>
      </c>
      <c r="D543" s="6" t="s">
        <v>16</v>
      </c>
      <c r="E543" s="6" t="s">
        <v>195</v>
      </c>
      <c r="F543" s="133" t="s">
        <v>105</v>
      </c>
      <c r="G543" s="133" t="s">
        <v>188</v>
      </c>
      <c r="H543" s="133" t="s">
        <v>189</v>
      </c>
      <c r="I543" s="125" t="s">
        <v>108</v>
      </c>
      <c r="J543" s="138" t="s">
        <v>109</v>
      </c>
      <c r="K543" s="138" t="s">
        <v>110</v>
      </c>
      <c r="L543" s="6" t="s">
        <v>194</v>
      </c>
      <c r="M543" s="93">
        <v>28</v>
      </c>
      <c r="N543" s="93">
        <v>61</v>
      </c>
      <c r="O543" s="6">
        <v>2</v>
      </c>
      <c r="P543" s="129">
        <v>3</v>
      </c>
      <c r="Q543" s="6">
        <v>0</v>
      </c>
      <c r="R543" s="98">
        <v>0.50009999999999999</v>
      </c>
      <c r="S543" s="94">
        <f>((Table3.110[[#This Row],[Sample weight, g]]*'2.1. DM'!Q117)/100)*1000</f>
        <v>480.19901759823972</v>
      </c>
      <c r="T543" s="94">
        <f>'3.2 Digest'!W543</f>
        <v>201.0990175982397</v>
      </c>
      <c r="U543" s="153">
        <v>0.35347222222222224</v>
      </c>
      <c r="V543" s="155">
        <v>40.5</v>
      </c>
      <c r="W543" s="153">
        <v>0.69166666666666665</v>
      </c>
      <c r="X543" s="91">
        <v>80</v>
      </c>
      <c r="Y543" s="91">
        <v>15.1</v>
      </c>
      <c r="Z543" s="154">
        <v>40</v>
      </c>
      <c r="AA543" s="153">
        <v>0.39374999999999999</v>
      </c>
      <c r="AB543" s="154">
        <v>97.5</v>
      </c>
      <c r="AC543" s="154">
        <v>15.1</v>
      </c>
      <c r="AD543" s="91"/>
      <c r="AE543" s="94">
        <f>Table3.110[[#This Row],[Gas 8h, ml]]-Table3.110[[#This Row],[Gas 0h, ml]]</f>
        <v>39.5</v>
      </c>
      <c r="AF543" s="94">
        <f>Table3.110[[#This Row],[Gas 24h, ml]]-Table3.110[[#This Row],[V8 Push back, ml]]</f>
        <v>57.5</v>
      </c>
      <c r="AG543" s="94">
        <f>Table3.110[[#This Row],[GP 8h, ml]]-(AVERAGE(AE$479,AE$480,AE$660,AE$661,AE$662,AE$663))*AG$8</f>
        <v>36.107474101643646</v>
      </c>
      <c r="AH543" s="94">
        <f>Table3.110[[#This Row],[GP 8-24h, ml]]-(AVERAGE(AF$479,AF$480,AF$660,AF$661,AF$662,AF$663))*AG$8</f>
        <v>53.185592064046816</v>
      </c>
      <c r="AI543" s="94">
        <f>Table3.110[[#This Row],[Net gas 8-24h, ml]]+Table3.110[[#This Row],[Net gas 8h, ml]]</f>
        <v>89.293066165690462</v>
      </c>
      <c r="AJ543" s="94">
        <f>Table3.110[[#This Row],[Net gas 8h, ml]]*Table3.110[[#This Row],[CH4 8h %]]%</f>
        <v>5.4522285893481905</v>
      </c>
      <c r="AK543" s="94">
        <f>Table3.110[[#This Row],[Net gas 8-24h, ml]]*Table3.110[[#This Row],[CH4 24h, %]]%</f>
        <v>8.0310244016710683</v>
      </c>
      <c r="AL543" s="94">
        <f>Table3.110[[#This Row],[CH4 8-24h, ml]]+Table3.110[[#This Row],[CH4 8h, ml]]</f>
        <v>13.48325299101926</v>
      </c>
      <c r="AM543" s="94">
        <f>(Table3.110[[#This Row],[Net gas 24h, ml]]/Table3.110[[#This Row],[DM Incubated, mg]])*1000</f>
        <v>185.95012253939643</v>
      </c>
      <c r="AN543" s="94">
        <f>'3.2 Digest'!X543</f>
        <v>41.878265100177678</v>
      </c>
      <c r="AO543" s="94">
        <f>Table3.110[[#This Row],[Digested feed, mg]]/Table3.110[[#This Row],[Net gas 24h, ml]]</f>
        <v>2.2521235548691352</v>
      </c>
      <c r="AP543" s="94">
        <f>Table3.110[[#This Row],[CH4 8h, ml]]/Table3.110[[#This Row],[Net gas 8h, ml]]%</f>
        <v>15.100000000000001</v>
      </c>
      <c r="AQ543" s="94">
        <f>Table3.110[[#This Row],[CH4 24h, ml]]/Table3.110[[#This Row],[Net gas 24h, ml]]%</f>
        <v>15.1</v>
      </c>
      <c r="AR543" s="94">
        <f>Table3.110[[#This Row],[CH4 24h, ml]]/Table3.110[[#This Row],[DM Incubated, mg]]*1000</f>
        <v>28.07846850344886</v>
      </c>
      <c r="AS543" s="94">
        <f>Table3.110[[#This Row],[CH4 24h, ml]]/Table3.110[[#This Row],[Digested feed, mg]]*1000</f>
        <v>67.047831222907405</v>
      </c>
      <c r="AT543" s="94">
        <f>Table3.110[[#This Row],[CH4 24h, ml]]/'3.2 Digest'!AA543</f>
        <v>0.94095237952817345</v>
      </c>
      <c r="AU543" s="94">
        <f>((Table3.110[[#This Row],[CH4 24h, ml]]/28.9)*16.04)/Table3.110[[#This Row],[DM Incubated, mg]]*1000</f>
        <v>15.584035806066426</v>
      </c>
      <c r="AV543" s="94">
        <f>((Table3.110[[#This Row],[CH4 24h, ml]]/28.9)*16.04)/Table3.110[[#This Row],[Digested feed, mg]]*1000</f>
        <v>37.212706325793583</v>
      </c>
      <c r="AX543" s="99"/>
    </row>
    <row r="544" spans="2:50" s="89" customFormat="1" x14ac:dyDescent="0.35">
      <c r="B544" s="90">
        <f t="shared" si="8"/>
        <v>534</v>
      </c>
      <c r="C544" s="140">
        <v>46050</v>
      </c>
      <c r="D544" s="6" t="s">
        <v>16</v>
      </c>
      <c r="E544" s="6" t="s">
        <v>197</v>
      </c>
      <c r="F544" s="133" t="s">
        <v>105</v>
      </c>
      <c r="G544" s="133" t="s">
        <v>188</v>
      </c>
      <c r="H544" s="133" t="s">
        <v>189</v>
      </c>
      <c r="I544" s="125" t="s">
        <v>108</v>
      </c>
      <c r="J544" s="138" t="s">
        <v>109</v>
      </c>
      <c r="K544" s="138" t="s">
        <v>110</v>
      </c>
      <c r="L544" s="6" t="s">
        <v>196</v>
      </c>
      <c r="M544" s="93">
        <v>28</v>
      </c>
      <c r="N544" s="93">
        <v>61</v>
      </c>
      <c r="O544" s="6">
        <v>2</v>
      </c>
      <c r="P544" s="129">
        <v>1</v>
      </c>
      <c r="Q544" s="6">
        <v>0</v>
      </c>
      <c r="R544" s="98">
        <v>0.50009999999999999</v>
      </c>
      <c r="S544" s="94">
        <f>((Table3.110[[#This Row],[Sample weight, g]]*'2.1. DM'!Q119)/100)*1000</f>
        <v>479.89798020197964</v>
      </c>
      <c r="T544" s="94">
        <f>'3.2 Digest'!W544</f>
        <v>18.297980201979499</v>
      </c>
      <c r="U544" s="117">
        <v>0.35347222222222224</v>
      </c>
      <c r="V544" s="155">
        <v>40.5</v>
      </c>
      <c r="W544" s="117">
        <v>0.69166666666666665</v>
      </c>
      <c r="X544" s="96">
        <v>88.5</v>
      </c>
      <c r="Y544" s="96">
        <v>14.1</v>
      </c>
      <c r="Z544" s="155">
        <v>40</v>
      </c>
      <c r="AA544" s="117">
        <v>0.39374999999999999</v>
      </c>
      <c r="AB544" s="155">
        <v>105</v>
      </c>
      <c r="AC544" s="155">
        <v>16</v>
      </c>
      <c r="AD544" s="96" t="s">
        <v>569</v>
      </c>
      <c r="AE544" s="94">
        <f>Table3.110[[#This Row],[Gas 8h, ml]]-Table3.110[[#This Row],[Gas 0h, ml]]</f>
        <v>48</v>
      </c>
      <c r="AF544" s="94">
        <f>Table3.110[[#This Row],[Gas 24h, ml]]-Table3.110[[#This Row],[V8 Push back, ml]]</f>
        <v>65</v>
      </c>
      <c r="AG544" s="94">
        <f>Table3.110[[#This Row],[GP 8h, ml]]-(AVERAGE(AE$479,AE$480,AE$660,AE$661,AE$662,AE$663))*AG$8</f>
        <v>44.607474101643646</v>
      </c>
      <c r="AH544" s="94">
        <f>Table3.110[[#This Row],[GP 8-24h, ml]]-(AVERAGE(AF$479,AF$480,AF$660,AF$661,AF$662,AF$663))*AG$8</f>
        <v>60.685592064046816</v>
      </c>
      <c r="AI544" s="94">
        <f>Table3.110[[#This Row],[Net gas 8-24h, ml]]+Table3.110[[#This Row],[Net gas 8h, ml]]</f>
        <v>105.29306616569046</v>
      </c>
      <c r="AJ544" s="94">
        <f>Table3.110[[#This Row],[Net gas 8h, ml]]*Table3.110[[#This Row],[CH4 8h %]]%</f>
        <v>6.2896538483317537</v>
      </c>
      <c r="AK544" s="94">
        <f>Table3.110[[#This Row],[Net gas 8-24h, ml]]*Table3.110[[#This Row],[CH4 24h, %]]%</f>
        <v>9.7096947302474899</v>
      </c>
      <c r="AL544" s="94">
        <f>Table3.110[[#This Row],[CH4 8-24h, ml]]+Table3.110[[#This Row],[CH4 8h, ml]]</f>
        <v>15.999348578579244</v>
      </c>
      <c r="AM544" s="94">
        <f>(Table3.110[[#This Row],[Net gas 24h, ml]]/Table3.110[[#This Row],[DM Incubated, mg]])*1000</f>
        <v>219.40718758885936</v>
      </c>
      <c r="AN544" s="94">
        <f>'3.2 Digest'!X544</f>
        <v>3.8128896050527739</v>
      </c>
      <c r="AO544" s="94">
        <f>Table3.110[[#This Row],[Digested feed, mg]]/Table3.110[[#This Row],[Net gas 24h, ml]]</f>
        <v>0.17378143564729678</v>
      </c>
      <c r="AP544" s="94">
        <f>Table3.110[[#This Row],[CH4 8h, ml]]/Table3.110[[#This Row],[Net gas 8h, ml]]%</f>
        <v>14.1</v>
      </c>
      <c r="AQ544" s="94">
        <f>Table3.110[[#This Row],[CH4 24h, ml]]/Table3.110[[#This Row],[Net gas 24h, ml]]%</f>
        <v>15.195063797840662</v>
      </c>
      <c r="AR544" s="94">
        <f>Table3.110[[#This Row],[CH4 24h, ml]]/Table3.110[[#This Row],[DM Incubated, mg]]*1000</f>
        <v>33.339062131175112</v>
      </c>
      <c r="AS544" s="94">
        <f>Table3.110[[#This Row],[CH4 24h, ml]]/Table3.110[[#This Row],[Digested feed, mg]]*1000</f>
        <v>874.37784946605279</v>
      </c>
      <c r="AT544" s="94">
        <f>Table3.110[[#This Row],[CH4 24h, ml]]/'3.2 Digest'!AA544</f>
        <v>-0.37512445501676223</v>
      </c>
      <c r="AU544" s="94">
        <f>((Table3.110[[#This Row],[CH4 24h, ml]]/28.9)*16.04)/Table3.110[[#This Row],[DM Incubated, mg]]*1000</f>
        <v>18.50375628318508</v>
      </c>
      <c r="AV544" s="94">
        <f>((Table3.110[[#This Row],[CH4 24h, ml]]/28.9)*16.04)/Table3.110[[#This Row],[Digested feed, mg]]*1000</f>
        <v>485.29483409811371</v>
      </c>
      <c r="AX544" s="99"/>
    </row>
    <row r="545" spans="2:50" s="89" customFormat="1" x14ac:dyDescent="0.35">
      <c r="B545" s="90">
        <f t="shared" si="8"/>
        <v>535</v>
      </c>
      <c r="C545" s="140">
        <v>46050</v>
      </c>
      <c r="D545" s="6" t="s">
        <v>16</v>
      </c>
      <c r="E545" s="6" t="s">
        <v>197</v>
      </c>
      <c r="F545" s="133" t="s">
        <v>105</v>
      </c>
      <c r="G545" s="133" t="s">
        <v>188</v>
      </c>
      <c r="H545" s="133" t="s">
        <v>189</v>
      </c>
      <c r="I545" s="125" t="s">
        <v>108</v>
      </c>
      <c r="J545" s="138" t="s">
        <v>109</v>
      </c>
      <c r="K545" s="138" t="s">
        <v>110</v>
      </c>
      <c r="L545" s="6" t="s">
        <v>196</v>
      </c>
      <c r="M545" s="93">
        <v>28</v>
      </c>
      <c r="N545" s="93">
        <v>61</v>
      </c>
      <c r="O545" s="6">
        <v>2</v>
      </c>
      <c r="P545" s="129">
        <v>2</v>
      </c>
      <c r="Q545" s="6">
        <v>0</v>
      </c>
      <c r="R545" s="98">
        <v>0.5</v>
      </c>
      <c r="S545" s="94">
        <f>((Table3.110[[#This Row],[Sample weight, g]]*'2.1. DM'!Q119)/100)*1000</f>
        <v>479.80201979802007</v>
      </c>
      <c r="T545" s="94">
        <f>'3.2 Digest'!W545</f>
        <v>203.90201979802004</v>
      </c>
      <c r="U545" s="153">
        <v>0.35416666666666669</v>
      </c>
      <c r="V545" s="155">
        <v>40.5</v>
      </c>
      <c r="W545" s="153">
        <v>0.69236111111111109</v>
      </c>
      <c r="X545" s="91">
        <v>87.5</v>
      </c>
      <c r="Y545" s="91">
        <v>14.5</v>
      </c>
      <c r="Z545" s="154">
        <v>40</v>
      </c>
      <c r="AA545" s="153">
        <v>0.39444444444444443</v>
      </c>
      <c r="AB545" s="154">
        <v>104.5</v>
      </c>
      <c r="AC545" s="154">
        <v>16.3</v>
      </c>
      <c r="AD545" s="91"/>
      <c r="AE545" s="94">
        <f>Table3.110[[#This Row],[Gas 8h, ml]]-Table3.110[[#This Row],[Gas 0h, ml]]</f>
        <v>47</v>
      </c>
      <c r="AF545" s="94">
        <f>Table3.110[[#This Row],[Gas 24h, ml]]-Table3.110[[#This Row],[V8 Push back, ml]]</f>
        <v>64.5</v>
      </c>
      <c r="AG545" s="94">
        <f>Table3.110[[#This Row],[GP 8h, ml]]-(AVERAGE(AE$479,AE$480,AE$660,AE$661,AE$662,AE$663))*AG$8</f>
        <v>43.607474101643646</v>
      </c>
      <c r="AH545" s="94">
        <f>Table3.110[[#This Row],[GP 8-24h, ml]]-(AVERAGE(AF$479,AF$480,AF$660,AF$661,AF$662,AF$663))*AG$8</f>
        <v>60.185592064046816</v>
      </c>
      <c r="AI545" s="94">
        <f>Table3.110[[#This Row],[Net gas 8-24h, ml]]+Table3.110[[#This Row],[Net gas 8h, ml]]</f>
        <v>103.79306616569046</v>
      </c>
      <c r="AJ545" s="94">
        <f>Table3.110[[#This Row],[Net gas 8h, ml]]*Table3.110[[#This Row],[CH4 8h %]]%</f>
        <v>6.3230837447383283</v>
      </c>
      <c r="AK545" s="94">
        <f>Table3.110[[#This Row],[Net gas 8-24h, ml]]*Table3.110[[#This Row],[CH4 24h, %]]%</f>
        <v>9.8102515064396307</v>
      </c>
      <c r="AL545" s="94">
        <f>Table3.110[[#This Row],[CH4 8-24h, ml]]+Table3.110[[#This Row],[CH4 8h, ml]]</f>
        <v>16.133335251177961</v>
      </c>
      <c r="AM545" s="94">
        <f>(Table3.110[[#This Row],[Net gas 24h, ml]]/Table3.110[[#This Row],[DM Incubated, mg]])*1000</f>
        <v>216.32477956091915</v>
      </c>
      <c r="AN545" s="94">
        <f>'3.2 Digest'!X545</f>
        <v>42.49711576534331</v>
      </c>
      <c r="AO545" s="94">
        <f>Table3.110[[#This Row],[Digested feed, mg]]/Table3.110[[#This Row],[Net gas 24h, ml]]</f>
        <v>1.9645052153341367</v>
      </c>
      <c r="AP545" s="94">
        <f>Table3.110[[#This Row],[CH4 8h, ml]]/Table3.110[[#This Row],[Net gas 8h, ml]]%</f>
        <v>14.5</v>
      </c>
      <c r="AQ545" s="94">
        <f>Table3.110[[#This Row],[CH4 24h, ml]]/Table3.110[[#This Row],[Net gas 24h, ml]]%</f>
        <v>15.543750509714636</v>
      </c>
      <c r="AR545" s="94">
        <f>Table3.110[[#This Row],[CH4 24h, ml]]/Table3.110[[#This Row],[DM Incubated, mg]]*1000</f>
        <v>33.624984025639442</v>
      </c>
      <c r="AS545" s="94">
        <f>Table3.110[[#This Row],[CH4 24h, ml]]/Table3.110[[#This Row],[Digested feed, mg]]*1000</f>
        <v>79.122979101233113</v>
      </c>
      <c r="AT545" s="94">
        <f>Table3.110[[#This Row],[CH4 24h, ml]]/'3.2 Digest'!AA545</f>
        <v>1.0960101359959202</v>
      </c>
      <c r="AU545" s="94">
        <f>((Table3.110[[#This Row],[CH4 24h, ml]]/28.9)*16.04)/Table3.110[[#This Row],[DM Incubated, mg]]*1000</f>
        <v>18.662447881358361</v>
      </c>
      <c r="AV545" s="94">
        <f>((Table3.110[[#This Row],[CH4 24h, ml]]/28.9)*16.04)/Table3.110[[#This Row],[Digested feed, mg]]*1000</f>
        <v>43.914622310857418</v>
      </c>
      <c r="AX545" s="99"/>
    </row>
    <row r="546" spans="2:50" s="89" customFormat="1" x14ac:dyDescent="0.35">
      <c r="B546" s="90">
        <f t="shared" si="8"/>
        <v>536</v>
      </c>
      <c r="C546" s="140">
        <v>46050</v>
      </c>
      <c r="D546" s="6" t="s">
        <v>16</v>
      </c>
      <c r="E546" s="6" t="s">
        <v>197</v>
      </c>
      <c r="F546" s="133" t="s">
        <v>105</v>
      </c>
      <c r="G546" s="133" t="s">
        <v>188</v>
      </c>
      <c r="H546" s="133" t="s">
        <v>189</v>
      </c>
      <c r="I546" s="125" t="s">
        <v>108</v>
      </c>
      <c r="J546" s="138" t="s">
        <v>109</v>
      </c>
      <c r="K546" s="138" t="s">
        <v>110</v>
      </c>
      <c r="L546" s="6" t="s">
        <v>196</v>
      </c>
      <c r="M546" s="93">
        <v>28</v>
      </c>
      <c r="N546" s="93">
        <v>61</v>
      </c>
      <c r="O546" s="6">
        <v>2</v>
      </c>
      <c r="P546" s="129">
        <v>3</v>
      </c>
      <c r="Q546" s="6">
        <v>0</v>
      </c>
      <c r="R546" s="98">
        <v>0.50029999999999997</v>
      </c>
      <c r="S546" s="94">
        <f>((Table3.110[[#This Row],[Sample weight, g]]*'2.1. DM'!Q119)/100)*1000</f>
        <v>480.08990100989882</v>
      </c>
      <c r="T546" s="94">
        <f>'3.2 Digest'!W546</f>
        <v>218.9899010098988</v>
      </c>
      <c r="U546" s="117">
        <v>0.35416666666666669</v>
      </c>
      <c r="V546" s="155">
        <v>40.5</v>
      </c>
      <c r="W546" s="117">
        <v>0.69305555555555554</v>
      </c>
      <c r="X546" s="96">
        <v>88</v>
      </c>
      <c r="Y546" s="96">
        <v>13.9</v>
      </c>
      <c r="Z546" s="155">
        <v>40</v>
      </c>
      <c r="AA546" s="117">
        <v>0.39513888888888887</v>
      </c>
      <c r="AB546" s="155">
        <v>105</v>
      </c>
      <c r="AC546" s="155">
        <v>16.100000000000001</v>
      </c>
      <c r="AD546" s="96"/>
      <c r="AE546" s="94">
        <f>Table3.110[[#This Row],[Gas 8h, ml]]-Table3.110[[#This Row],[Gas 0h, ml]]</f>
        <v>47.5</v>
      </c>
      <c r="AF546" s="94">
        <f>Table3.110[[#This Row],[Gas 24h, ml]]-Table3.110[[#This Row],[V8 Push back, ml]]</f>
        <v>65</v>
      </c>
      <c r="AG546" s="94">
        <f>Table3.110[[#This Row],[GP 8h, ml]]-(AVERAGE(AE$479,AE$480,AE$660,AE$661,AE$662,AE$663))*AG$8</f>
        <v>44.107474101643646</v>
      </c>
      <c r="AH546" s="94">
        <f>Table3.110[[#This Row],[GP 8-24h, ml]]-(AVERAGE(AF$479,AF$480,AF$660,AF$661,AF$662,AF$663))*AG$8</f>
        <v>60.685592064046816</v>
      </c>
      <c r="AI546" s="94">
        <f>Table3.110[[#This Row],[Net gas 8-24h, ml]]+Table3.110[[#This Row],[Net gas 8h, ml]]</f>
        <v>104.79306616569046</v>
      </c>
      <c r="AJ546" s="94">
        <f>Table3.110[[#This Row],[Net gas 8h, ml]]*Table3.110[[#This Row],[CH4 8h %]]%</f>
        <v>6.1309389001284673</v>
      </c>
      <c r="AK546" s="94">
        <f>Table3.110[[#This Row],[Net gas 8-24h, ml]]*Table3.110[[#This Row],[CH4 24h, %]]%</f>
        <v>9.7703803223115369</v>
      </c>
      <c r="AL546" s="94">
        <f>Table3.110[[#This Row],[CH4 8-24h, ml]]+Table3.110[[#This Row],[CH4 8h, ml]]</f>
        <v>15.901319222440005</v>
      </c>
      <c r="AM546" s="94">
        <f>(Table3.110[[#This Row],[Net gas 24h, ml]]/Table3.110[[#This Row],[DM Incubated, mg]])*1000</f>
        <v>218.27800573445049</v>
      </c>
      <c r="AN546" s="94">
        <f>'3.2 Digest'!X546</f>
        <v>45.614352759606064</v>
      </c>
      <c r="AO546" s="94">
        <f>Table3.110[[#This Row],[Digested feed, mg]]/Table3.110[[#This Row],[Net gas 24h, ml]]</f>
        <v>2.0897365543598982</v>
      </c>
      <c r="AP546" s="94">
        <f>Table3.110[[#This Row],[CH4 8h, ml]]/Table3.110[[#This Row],[Net gas 8h, ml]]%</f>
        <v>13.900000000000002</v>
      </c>
      <c r="AQ546" s="94">
        <f>Table3.110[[#This Row],[CH4 24h, ml]]/Table3.110[[#This Row],[Net gas 24h, ml]]%</f>
        <v>15.174018476850467</v>
      </c>
      <c r="AR546" s="94">
        <f>Table3.110[[#This Row],[CH4 24h, ml]]/Table3.110[[#This Row],[DM Incubated, mg]]*1000</f>
        <v>33.121544921046237</v>
      </c>
      <c r="AS546" s="94">
        <f>Table3.110[[#This Row],[CH4 24h, ml]]/Table3.110[[#This Row],[Digested feed, mg]]*1000</f>
        <v>72.612112015709954</v>
      </c>
      <c r="AT546" s="94">
        <f>Table3.110[[#This Row],[CH4 24h, ml]]/'3.2 Digest'!AA546</f>
        <v>0.82206699146641193</v>
      </c>
      <c r="AU546" s="94">
        <f>((Table3.110[[#This Row],[CH4 24h, ml]]/28.9)*16.04)/Table3.110[[#This Row],[DM Incubated, mg]]*1000</f>
        <v>18.383030468290023</v>
      </c>
      <c r="AV546" s="94">
        <f>((Table3.110[[#This Row],[CH4 24h, ml]]/28.9)*16.04)/Table3.110[[#This Row],[Digested feed, mg]]*1000</f>
        <v>40.300978433632793</v>
      </c>
      <c r="AX546" s="99"/>
    </row>
    <row r="547" spans="2:50" s="89" customFormat="1" x14ac:dyDescent="0.35">
      <c r="B547" s="90">
        <f t="shared" si="8"/>
        <v>537</v>
      </c>
      <c r="C547" s="140">
        <v>46050</v>
      </c>
      <c r="D547" s="6" t="s">
        <v>16</v>
      </c>
      <c r="E547" s="6" t="s">
        <v>199</v>
      </c>
      <c r="F547" s="133" t="s">
        <v>105</v>
      </c>
      <c r="G547" s="133" t="s">
        <v>188</v>
      </c>
      <c r="H547" s="133" t="s">
        <v>189</v>
      </c>
      <c r="I547" s="125" t="s">
        <v>108</v>
      </c>
      <c r="J547" s="138" t="s">
        <v>109</v>
      </c>
      <c r="K547" s="138" t="s">
        <v>110</v>
      </c>
      <c r="L547" s="6" t="s">
        <v>198</v>
      </c>
      <c r="M547" s="93">
        <v>28</v>
      </c>
      <c r="N547" s="93">
        <v>61</v>
      </c>
      <c r="O547" s="6">
        <v>2</v>
      </c>
      <c r="P547" s="129">
        <v>1</v>
      </c>
      <c r="Q547" s="6">
        <v>0</v>
      </c>
      <c r="R547" s="98">
        <v>0.50009999999999999</v>
      </c>
      <c r="S547" s="94">
        <f>((Table3.110[[#This Row],[Sample weight, g]]*'2.1. DM'!Q121)/100)*1000</f>
        <v>486.44863513648653</v>
      </c>
      <c r="T547" s="94">
        <f>'3.2 Digest'!W547</f>
        <v>168.74863513648654</v>
      </c>
      <c r="U547" s="153">
        <v>0.35486111111111113</v>
      </c>
      <c r="V547" s="155">
        <v>40.5</v>
      </c>
      <c r="W547" s="153">
        <v>0.69305555555555554</v>
      </c>
      <c r="X547" s="91">
        <v>83.5</v>
      </c>
      <c r="Y547" s="91">
        <v>14.4</v>
      </c>
      <c r="Z547" s="154">
        <v>40</v>
      </c>
      <c r="AA547" s="153">
        <v>0.39583333333333331</v>
      </c>
      <c r="AB547" s="154">
        <v>105</v>
      </c>
      <c r="AC547" s="154">
        <v>16.2</v>
      </c>
      <c r="AD547" s="91" t="s">
        <v>569</v>
      </c>
      <c r="AE547" s="94">
        <f>Table3.110[[#This Row],[Gas 8h, ml]]-Table3.110[[#This Row],[Gas 0h, ml]]</f>
        <v>43</v>
      </c>
      <c r="AF547" s="94">
        <f>Table3.110[[#This Row],[Gas 24h, ml]]-Table3.110[[#This Row],[V8 Push back, ml]]</f>
        <v>65</v>
      </c>
      <c r="AG547" s="94">
        <f>Table3.110[[#This Row],[GP 8h, ml]]-(AVERAGE(AE$479,AE$480,AE$660,AE$661,AE$662,AE$663))*AG$8</f>
        <v>39.607474101643646</v>
      </c>
      <c r="AH547" s="94">
        <f>Table3.110[[#This Row],[GP 8-24h, ml]]-(AVERAGE(AF$479,AF$480,AF$660,AF$661,AF$662,AF$663))*AG$8</f>
        <v>60.685592064046816</v>
      </c>
      <c r="AI547" s="94">
        <f>Table3.110[[#This Row],[Net gas 8-24h, ml]]+Table3.110[[#This Row],[Net gas 8h, ml]]</f>
        <v>100.29306616569046</v>
      </c>
      <c r="AJ547" s="94">
        <f>Table3.110[[#This Row],[Net gas 8h, ml]]*Table3.110[[#This Row],[CH4 8h %]]%</f>
        <v>5.7034762706366857</v>
      </c>
      <c r="AK547" s="94">
        <f>Table3.110[[#This Row],[Net gas 8-24h, ml]]*Table3.110[[#This Row],[CH4 24h, %]]%</f>
        <v>9.8310659143755839</v>
      </c>
      <c r="AL547" s="94">
        <f>Table3.110[[#This Row],[CH4 8-24h, ml]]+Table3.110[[#This Row],[CH4 8h, ml]]</f>
        <v>15.53454218501227</v>
      </c>
      <c r="AM547" s="94">
        <f>(Table3.110[[#This Row],[Net gas 24h, ml]]/Table3.110[[#This Row],[DM Incubated, mg]])*1000</f>
        <v>206.17401082346646</v>
      </c>
      <c r="AN547" s="94">
        <f>'3.2 Digest'!X547</f>
        <v>34.689918513007953</v>
      </c>
      <c r="AO547" s="94">
        <f>Table3.110[[#This Row],[Digested feed, mg]]/Table3.110[[#This Row],[Net gas 24h, ml]]</f>
        <v>1.682555350912327</v>
      </c>
      <c r="AP547" s="94">
        <f>Table3.110[[#This Row],[CH4 8h, ml]]/Table3.110[[#This Row],[Net gas 8h, ml]]%</f>
        <v>14.400000000000002</v>
      </c>
      <c r="AQ547" s="94">
        <f>Table3.110[[#This Row],[CH4 24h, ml]]/Table3.110[[#This Row],[Net gas 24h, ml]]%</f>
        <v>15.489148730729029</v>
      </c>
      <c r="AR547" s="94">
        <f>Table3.110[[#This Row],[CH4 24h, ml]]/Table3.110[[#This Row],[DM Incubated, mg]]*1000</f>
        <v>31.934599180556091</v>
      </c>
      <c r="AS547" s="94">
        <f>Table3.110[[#This Row],[CH4 24h, ml]]/Table3.110[[#This Row],[Digested feed, mg]]*1000</f>
        <v>92.0572908482945</v>
      </c>
      <c r="AT547" s="94">
        <f>Table3.110[[#This Row],[CH4 24h, ml]]/'3.2 Digest'!AA547</f>
        <v>2.6411610745488194</v>
      </c>
      <c r="AU547" s="94">
        <f>((Table3.110[[#This Row],[CH4 24h, ml]]/28.9)*16.04)/Table3.110[[#This Row],[DM Incubated, mg]]*1000</f>
        <v>17.724255046924558</v>
      </c>
      <c r="AV547" s="94">
        <f>((Table3.110[[#This Row],[CH4 24h, ml]]/28.9)*16.04)/Table3.110[[#This Row],[Digested feed, mg]]*1000</f>
        <v>51.093389107496336</v>
      </c>
      <c r="AX547" s="99"/>
    </row>
    <row r="548" spans="2:50" s="89" customFormat="1" x14ac:dyDescent="0.35">
      <c r="B548" s="90">
        <f t="shared" si="8"/>
        <v>538</v>
      </c>
      <c r="C548" s="140">
        <v>46050</v>
      </c>
      <c r="D548" s="6" t="s">
        <v>16</v>
      </c>
      <c r="E548" s="6" t="s">
        <v>199</v>
      </c>
      <c r="F548" s="133" t="s">
        <v>105</v>
      </c>
      <c r="G548" s="133" t="s">
        <v>188</v>
      </c>
      <c r="H548" s="133" t="s">
        <v>189</v>
      </c>
      <c r="I548" s="125" t="s">
        <v>108</v>
      </c>
      <c r="J548" s="138" t="s">
        <v>109</v>
      </c>
      <c r="K548" s="138" t="s">
        <v>110</v>
      </c>
      <c r="L548" s="6" t="s">
        <v>198</v>
      </c>
      <c r="M548" s="93">
        <v>28</v>
      </c>
      <c r="N548" s="93">
        <v>61</v>
      </c>
      <c r="O548" s="6">
        <v>2</v>
      </c>
      <c r="P548" s="129">
        <v>2</v>
      </c>
      <c r="Q548" s="6">
        <v>0</v>
      </c>
      <c r="R548" s="98">
        <v>0.50009999999999999</v>
      </c>
      <c r="S548" s="94">
        <f>((Table3.110[[#This Row],[Sample weight, g]]*'2.1. DM'!Q121)/100)*1000</f>
        <v>486.44863513648653</v>
      </c>
      <c r="T548" s="94">
        <f>'3.2 Digest'!W548</f>
        <v>47.248635136486484</v>
      </c>
      <c r="U548" s="117">
        <v>0.35486111111111113</v>
      </c>
      <c r="V548" s="155">
        <v>40.5</v>
      </c>
      <c r="W548" s="117">
        <v>0.69374999999999998</v>
      </c>
      <c r="X548" s="96">
        <v>83</v>
      </c>
      <c r="Y548" s="96">
        <v>14.4</v>
      </c>
      <c r="Z548" s="155">
        <v>40</v>
      </c>
      <c r="AA548" s="117">
        <v>0.39583333333333331</v>
      </c>
      <c r="AB548" s="155">
        <v>105</v>
      </c>
      <c r="AC548" s="155">
        <v>16.2</v>
      </c>
      <c r="AD548" s="96"/>
      <c r="AE548" s="94">
        <f>Table3.110[[#This Row],[Gas 8h, ml]]-Table3.110[[#This Row],[Gas 0h, ml]]</f>
        <v>42.5</v>
      </c>
      <c r="AF548" s="94">
        <f>Table3.110[[#This Row],[Gas 24h, ml]]-Table3.110[[#This Row],[V8 Push back, ml]]</f>
        <v>65</v>
      </c>
      <c r="AG548" s="94">
        <f>Table3.110[[#This Row],[GP 8h, ml]]-(AVERAGE(AE$479,AE$480,AE$660,AE$661,AE$662,AE$663))*AG$8</f>
        <v>39.107474101643646</v>
      </c>
      <c r="AH548" s="94">
        <f>Table3.110[[#This Row],[GP 8-24h, ml]]-(AVERAGE(AF$479,AF$480,AF$660,AF$661,AF$662,AF$663))*AG$8</f>
        <v>60.685592064046816</v>
      </c>
      <c r="AI548" s="94">
        <f>Table3.110[[#This Row],[Net gas 8-24h, ml]]+Table3.110[[#This Row],[Net gas 8h, ml]]</f>
        <v>99.793066165690462</v>
      </c>
      <c r="AJ548" s="94">
        <f>Table3.110[[#This Row],[Net gas 8h, ml]]*Table3.110[[#This Row],[CH4 8h %]]%</f>
        <v>5.6314762706366857</v>
      </c>
      <c r="AK548" s="94">
        <f>Table3.110[[#This Row],[Net gas 8-24h, ml]]*Table3.110[[#This Row],[CH4 24h, %]]%</f>
        <v>9.8310659143755839</v>
      </c>
      <c r="AL548" s="94">
        <f>Table3.110[[#This Row],[CH4 8-24h, ml]]+Table3.110[[#This Row],[CH4 8h, ml]]</f>
        <v>15.46254218501227</v>
      </c>
      <c r="AM548" s="94">
        <f>(Table3.110[[#This Row],[Net gas 24h, ml]]/Table3.110[[#This Row],[DM Incubated, mg]])*1000</f>
        <v>205.14615307264822</v>
      </c>
      <c r="AN548" s="94">
        <f>'3.2 Digest'!X548</f>
        <v>9.7129751681242933</v>
      </c>
      <c r="AO548" s="94">
        <f>Table3.110[[#This Row],[Digested feed, mg]]/Table3.110[[#This Row],[Net gas 24h, ml]]</f>
        <v>0.47346611294654145</v>
      </c>
      <c r="AP548" s="94">
        <f>Table3.110[[#This Row],[CH4 8h, ml]]/Table3.110[[#This Row],[Net gas 8h, ml]]%</f>
        <v>14.400000000000002</v>
      </c>
      <c r="AQ548" s="94">
        <f>Table3.110[[#This Row],[CH4 24h, ml]]/Table3.110[[#This Row],[Net gas 24h, ml]]%</f>
        <v>15.494605766836733</v>
      </c>
      <c r="AR548" s="94">
        <f>Table3.110[[#This Row],[CH4 24h, ml]]/Table3.110[[#This Row],[DM Incubated, mg]]*1000</f>
        <v>31.786587664438258</v>
      </c>
      <c r="AS548" s="94">
        <f>Table3.110[[#This Row],[CH4 24h, ml]]/Table3.110[[#This Row],[Digested feed, mg]]*1000</f>
        <v>327.25902325740913</v>
      </c>
      <c r="AT548" s="94">
        <f>Table3.110[[#This Row],[CH4 24h, ml]]/'3.2 Digest'!AA548</f>
        <v>-0.51349183531776488</v>
      </c>
      <c r="AU548" s="94">
        <f>((Table3.110[[#This Row],[CH4 24h, ml]]/28.9)*16.04)/Table3.110[[#This Row],[DM Incubated, mg]]*1000</f>
        <v>17.642106094726284</v>
      </c>
      <c r="AV548" s="94">
        <f>((Table3.110[[#This Row],[CH4 24h, ml]]/28.9)*16.04)/Table3.110[[#This Row],[Digested feed, mg]]*1000</f>
        <v>181.63441982867968</v>
      </c>
      <c r="AX548" s="99"/>
    </row>
    <row r="549" spans="2:50" s="89" customFormat="1" x14ac:dyDescent="0.35">
      <c r="B549" s="90">
        <f t="shared" si="8"/>
        <v>539</v>
      </c>
      <c r="C549" s="140">
        <v>46050</v>
      </c>
      <c r="D549" s="6" t="s">
        <v>16</v>
      </c>
      <c r="E549" s="6" t="s">
        <v>199</v>
      </c>
      <c r="F549" s="133" t="s">
        <v>105</v>
      </c>
      <c r="G549" s="133" t="s">
        <v>188</v>
      </c>
      <c r="H549" s="133" t="s">
        <v>189</v>
      </c>
      <c r="I549" s="125" t="s">
        <v>108</v>
      </c>
      <c r="J549" s="138" t="s">
        <v>109</v>
      </c>
      <c r="K549" s="138" t="s">
        <v>110</v>
      </c>
      <c r="L549" s="6" t="s">
        <v>198</v>
      </c>
      <c r="M549" s="93">
        <v>28</v>
      </c>
      <c r="N549" s="93">
        <v>61</v>
      </c>
      <c r="O549" s="6">
        <v>2</v>
      </c>
      <c r="P549" s="129">
        <v>3</v>
      </c>
      <c r="Q549" s="6">
        <v>0</v>
      </c>
      <c r="R549" s="98">
        <v>0.50029999999999997</v>
      </c>
      <c r="S549" s="94">
        <f>((Table3.110[[#This Row],[Sample weight, g]]*'2.1. DM'!Q121)/100)*1000</f>
        <v>486.64317568243195</v>
      </c>
      <c r="T549" s="94">
        <f>'3.2 Digest'!W549</f>
        <v>220.54317568243192</v>
      </c>
      <c r="U549" s="153">
        <v>0.35625000000000001</v>
      </c>
      <c r="V549" s="155">
        <v>40.5</v>
      </c>
      <c r="W549" s="153">
        <v>0.69374999999999998</v>
      </c>
      <c r="X549" s="91">
        <v>82.5</v>
      </c>
      <c r="Y549" s="91">
        <v>14.5</v>
      </c>
      <c r="Z549" s="154">
        <v>40</v>
      </c>
      <c r="AA549" s="153">
        <v>0.39583333333333331</v>
      </c>
      <c r="AB549" s="154">
        <v>97.5</v>
      </c>
      <c r="AC549" s="154">
        <v>16.2</v>
      </c>
      <c r="AD549" s="91"/>
      <c r="AE549" s="94">
        <f>Table3.110[[#This Row],[Gas 8h, ml]]-Table3.110[[#This Row],[Gas 0h, ml]]</f>
        <v>42</v>
      </c>
      <c r="AF549" s="94">
        <f>Table3.110[[#This Row],[Gas 24h, ml]]-Table3.110[[#This Row],[V8 Push back, ml]]</f>
        <v>57.5</v>
      </c>
      <c r="AG549" s="94">
        <f>Table3.110[[#This Row],[GP 8h, ml]]-(AVERAGE(AE$479,AE$480,AE$660,AE$661,AE$662,AE$663))*AG$8</f>
        <v>38.607474101643646</v>
      </c>
      <c r="AH549" s="94">
        <f>Table3.110[[#This Row],[GP 8-24h, ml]]-(AVERAGE(AF$479,AF$480,AF$660,AF$661,AF$662,AF$663))*AG$8</f>
        <v>53.185592064046816</v>
      </c>
      <c r="AI549" s="94">
        <f>Table3.110[[#This Row],[Net gas 8-24h, ml]]+Table3.110[[#This Row],[Net gas 8h, ml]]</f>
        <v>91.793066165690462</v>
      </c>
      <c r="AJ549" s="94">
        <f>Table3.110[[#This Row],[Net gas 8h, ml]]*Table3.110[[#This Row],[CH4 8h %]]%</f>
        <v>5.5980837447383287</v>
      </c>
      <c r="AK549" s="94">
        <f>Table3.110[[#This Row],[Net gas 8-24h, ml]]*Table3.110[[#This Row],[CH4 24h, %]]%</f>
        <v>8.616065914375584</v>
      </c>
      <c r="AL549" s="94">
        <f>Table3.110[[#This Row],[CH4 8-24h, ml]]+Table3.110[[#This Row],[CH4 8h, ml]]</f>
        <v>14.214149659113913</v>
      </c>
      <c r="AM549" s="94">
        <f>(Table3.110[[#This Row],[Net gas 24h, ml]]/Table3.110[[#This Row],[DM Incubated, mg]])*1000</f>
        <v>188.62499414887867</v>
      </c>
      <c r="AN549" s="94">
        <f>'3.2 Digest'!X549</f>
        <v>45.319278416502748</v>
      </c>
      <c r="AO549" s="94">
        <f>Table3.110[[#This Row],[Digested feed, mg]]/Table3.110[[#This Row],[Net gas 24h, ml]]</f>
        <v>2.4026125816991661</v>
      </c>
      <c r="AP549" s="94">
        <f>Table3.110[[#This Row],[CH4 8h, ml]]/Table3.110[[#This Row],[Net gas 8h, ml]]%</f>
        <v>14.5</v>
      </c>
      <c r="AQ549" s="94">
        <f>Table3.110[[#This Row],[CH4 24h, ml]]/Table3.110[[#This Row],[Net gas 24h, ml]]%</f>
        <v>15.484992769995019</v>
      </c>
      <c r="AR549" s="94">
        <f>Table3.110[[#This Row],[CH4 24h, ml]]/Table3.110[[#This Row],[DM Incubated, mg]]*1000</f>
        <v>29.208566706357391</v>
      </c>
      <c r="AS549" s="94">
        <f>Table3.110[[#This Row],[CH4 24h, ml]]/Table3.110[[#This Row],[Digested feed, mg]]*1000</f>
        <v>64.450643803104469</v>
      </c>
      <c r="AT549" s="94">
        <f>Table3.110[[#This Row],[CH4 24h, ml]]/'3.2 Digest'!AA549</f>
        <v>0.67048922594237204</v>
      </c>
      <c r="AU549" s="94">
        <f>((Table3.110[[#This Row],[CH4 24h, ml]]/28.9)*16.04)/Table3.110[[#This Row],[DM Incubated, mg]]*1000</f>
        <v>16.211259860552683</v>
      </c>
      <c r="AV549" s="94">
        <f>((Table3.110[[#This Row],[CH4 24h, ml]]/28.9)*16.04)/Table3.110[[#This Row],[Digested feed, mg]]*1000</f>
        <v>35.771222373764559</v>
      </c>
      <c r="AX549" s="99"/>
    </row>
    <row r="550" spans="2:50" s="89" customFormat="1" x14ac:dyDescent="0.35">
      <c r="B550" s="90">
        <f t="shared" si="8"/>
        <v>540</v>
      </c>
      <c r="C550" s="140">
        <v>46050</v>
      </c>
      <c r="D550" s="6" t="s">
        <v>16</v>
      </c>
      <c r="E550" s="6" t="s">
        <v>201</v>
      </c>
      <c r="F550" s="133" t="s">
        <v>105</v>
      </c>
      <c r="G550" s="133" t="s">
        <v>188</v>
      </c>
      <c r="H550" s="133" t="s">
        <v>189</v>
      </c>
      <c r="I550" s="125" t="s">
        <v>108</v>
      </c>
      <c r="J550" s="138" t="s">
        <v>109</v>
      </c>
      <c r="K550" s="138" t="s">
        <v>110</v>
      </c>
      <c r="L550" s="6" t="s">
        <v>200</v>
      </c>
      <c r="M550" s="93">
        <v>28</v>
      </c>
      <c r="N550" s="93">
        <v>61</v>
      </c>
      <c r="O550" s="6">
        <v>2</v>
      </c>
      <c r="P550" s="129">
        <v>1</v>
      </c>
      <c r="Q550" s="6">
        <v>0</v>
      </c>
      <c r="R550" s="98">
        <v>0.5</v>
      </c>
      <c r="S550" s="94">
        <f>((Table3.110[[#This Row],[Sample weight, g]]*'2.1. DM'!Q123)/100)*1000</f>
        <v>485.49999999999983</v>
      </c>
      <c r="T550" s="94">
        <f>'3.2 Digest'!W550</f>
        <v>211.19999999999982</v>
      </c>
      <c r="U550" s="117">
        <v>0.35694444444444445</v>
      </c>
      <c r="V550" s="155">
        <v>40.5</v>
      </c>
      <c r="W550" s="117">
        <v>0.69444444444444442</v>
      </c>
      <c r="X550" s="96">
        <v>83.5</v>
      </c>
      <c r="Y550" s="96">
        <v>14.7</v>
      </c>
      <c r="Z550" s="155">
        <v>40</v>
      </c>
      <c r="AA550" s="117">
        <v>0.39652777777777776</v>
      </c>
      <c r="AB550" s="155">
        <v>103</v>
      </c>
      <c r="AC550" s="155">
        <v>15.6</v>
      </c>
      <c r="AD550" s="96"/>
      <c r="AE550" s="94">
        <f>Table3.110[[#This Row],[Gas 8h, ml]]-Table3.110[[#This Row],[Gas 0h, ml]]</f>
        <v>43</v>
      </c>
      <c r="AF550" s="94">
        <f>Table3.110[[#This Row],[Gas 24h, ml]]-Table3.110[[#This Row],[V8 Push back, ml]]</f>
        <v>63</v>
      </c>
      <c r="AG550" s="94">
        <f>Table3.110[[#This Row],[GP 8h, ml]]-(AVERAGE(AE$479,AE$480,AE$660,AE$661,AE$662,AE$663))*AG$8</f>
        <v>39.607474101643646</v>
      </c>
      <c r="AH550" s="94">
        <f>Table3.110[[#This Row],[GP 8-24h, ml]]-(AVERAGE(AF$479,AF$480,AF$660,AF$661,AF$662,AF$663))*AG$8</f>
        <v>58.685592064046816</v>
      </c>
      <c r="AI550" s="94">
        <f>Table3.110[[#This Row],[Net gas 8-24h, ml]]+Table3.110[[#This Row],[Net gas 8h, ml]]</f>
        <v>98.293066165690462</v>
      </c>
      <c r="AJ550" s="94">
        <f>Table3.110[[#This Row],[Net gas 8h, ml]]*Table3.110[[#This Row],[CH4 8h %]]%</f>
        <v>5.8222986929416161</v>
      </c>
      <c r="AK550" s="94">
        <f>Table3.110[[#This Row],[Net gas 8-24h, ml]]*Table3.110[[#This Row],[CH4 24h, %]]%</f>
        <v>9.1549523619913025</v>
      </c>
      <c r="AL550" s="94">
        <f>Table3.110[[#This Row],[CH4 8-24h, ml]]+Table3.110[[#This Row],[CH4 8h, ml]]</f>
        <v>14.977251054932918</v>
      </c>
      <c r="AM550" s="94">
        <f>(Table3.110[[#This Row],[Net gas 24h, ml]]/Table3.110[[#This Row],[DM Incubated, mg]])*1000</f>
        <v>202.45739683973326</v>
      </c>
      <c r="AN550" s="94">
        <f>'3.2 Digest'!X550</f>
        <v>43.501544799176081</v>
      </c>
      <c r="AO550" s="94">
        <f>Table3.110[[#This Row],[Digested feed, mg]]/Table3.110[[#This Row],[Net gas 24h, ml]]</f>
        <v>2.1486764859281591</v>
      </c>
      <c r="AP550" s="94">
        <f>Table3.110[[#This Row],[CH4 8h, ml]]/Table3.110[[#This Row],[Net gas 8h, ml]]%</f>
        <v>14.7</v>
      </c>
      <c r="AQ550" s="94">
        <f>Table3.110[[#This Row],[CH4 24h, ml]]/Table3.110[[#This Row],[Net gas 24h, ml]]%</f>
        <v>15.237342407943705</v>
      </c>
      <c r="AR550" s="94">
        <f>Table3.110[[#This Row],[CH4 24h, ml]]/Table3.110[[#This Row],[DM Incubated, mg]]*1000</f>
        <v>30.849126786679552</v>
      </c>
      <c r="AS550" s="94">
        <f>Table3.110[[#This Row],[CH4 24h, ml]]/Table3.110[[#This Row],[Digested feed, mg]]*1000</f>
        <v>70.915014464644557</v>
      </c>
      <c r="AT550" s="94">
        <f>Table3.110[[#This Row],[CH4 24h, ml]]/'3.2 Digest'!AA550</f>
        <v>1.2573665014686333</v>
      </c>
      <c r="AU550" s="94">
        <f>((Table3.110[[#This Row],[CH4 24h, ml]]/28.9)*16.04)/Table3.110[[#This Row],[DM Incubated, mg]]*1000</f>
        <v>17.121799088523876</v>
      </c>
      <c r="AV550" s="94">
        <f>((Table3.110[[#This Row],[CH4 24h, ml]]/28.9)*16.04)/Table3.110[[#This Row],[Digested feed, mg]]*1000</f>
        <v>39.359059931242179</v>
      </c>
      <c r="AX550" s="99"/>
    </row>
    <row r="551" spans="2:50" s="89" customFormat="1" x14ac:dyDescent="0.35">
      <c r="B551" s="90">
        <f t="shared" si="8"/>
        <v>541</v>
      </c>
      <c r="C551" s="140">
        <v>46050</v>
      </c>
      <c r="D551" s="6" t="s">
        <v>16</v>
      </c>
      <c r="E551" s="6" t="s">
        <v>201</v>
      </c>
      <c r="F551" s="133" t="s">
        <v>105</v>
      </c>
      <c r="G551" s="133" t="s">
        <v>188</v>
      </c>
      <c r="H551" s="133" t="s">
        <v>189</v>
      </c>
      <c r="I551" s="125" t="s">
        <v>108</v>
      </c>
      <c r="J551" s="138" t="s">
        <v>109</v>
      </c>
      <c r="K551" s="138" t="s">
        <v>110</v>
      </c>
      <c r="L551" s="6" t="s">
        <v>200</v>
      </c>
      <c r="M551" s="93">
        <v>28</v>
      </c>
      <c r="N551" s="93">
        <v>61</v>
      </c>
      <c r="O551" s="6">
        <v>2</v>
      </c>
      <c r="P551" s="129">
        <v>2</v>
      </c>
      <c r="Q551" s="6">
        <v>0</v>
      </c>
      <c r="R551" s="98">
        <v>0.50049999999999994</v>
      </c>
      <c r="S551" s="94">
        <f>((Table3.110[[#This Row],[Sample weight, g]]*'2.1. DM'!Q123)/100)*1000</f>
        <v>485.98549999999972</v>
      </c>
      <c r="T551" s="94">
        <f>'3.2 Digest'!W551</f>
        <v>78.385499999999752</v>
      </c>
      <c r="U551" s="153">
        <v>0.35694444444444445</v>
      </c>
      <c r="V551" s="155">
        <v>40</v>
      </c>
      <c r="W551" s="153">
        <v>0.69513888888888886</v>
      </c>
      <c r="X551" s="91">
        <v>83</v>
      </c>
      <c r="Y551" s="91">
        <v>14.6</v>
      </c>
      <c r="Z551" s="154">
        <v>39.5</v>
      </c>
      <c r="AA551" s="153">
        <v>0.3972222222222222</v>
      </c>
      <c r="AB551" s="154">
        <v>99.5</v>
      </c>
      <c r="AC551" s="154">
        <v>15.8</v>
      </c>
      <c r="AD551" s="91"/>
      <c r="AE551" s="94">
        <f>Table3.110[[#This Row],[Gas 8h, ml]]-Table3.110[[#This Row],[Gas 0h, ml]]</f>
        <v>43</v>
      </c>
      <c r="AF551" s="94">
        <f>Table3.110[[#This Row],[Gas 24h, ml]]-Table3.110[[#This Row],[V8 Push back, ml]]</f>
        <v>60</v>
      </c>
      <c r="AG551" s="94">
        <f>Table3.110[[#This Row],[GP 8h, ml]]-(AVERAGE(AE$479,AE$480,AE$660,AE$661,AE$662,AE$663))*AG$8</f>
        <v>39.607474101643646</v>
      </c>
      <c r="AH551" s="94">
        <f>Table3.110[[#This Row],[GP 8-24h, ml]]-(AVERAGE(AF$479,AF$480,AF$660,AF$661,AF$662,AF$663))*AG$8</f>
        <v>55.685592064046816</v>
      </c>
      <c r="AI551" s="94">
        <f>Table3.110[[#This Row],[Net gas 8-24h, ml]]+Table3.110[[#This Row],[Net gas 8h, ml]]</f>
        <v>95.293066165690462</v>
      </c>
      <c r="AJ551" s="94">
        <f>Table3.110[[#This Row],[Net gas 8h, ml]]*Table3.110[[#This Row],[CH4 8h %]]%</f>
        <v>5.7826912188399717</v>
      </c>
      <c r="AK551" s="94">
        <f>Table3.110[[#This Row],[Net gas 8-24h, ml]]*Table3.110[[#This Row],[CH4 24h, %]]%</f>
        <v>8.7983235461193967</v>
      </c>
      <c r="AL551" s="94">
        <f>Table3.110[[#This Row],[CH4 8-24h, ml]]+Table3.110[[#This Row],[CH4 8h, ml]]</f>
        <v>14.581014764959368</v>
      </c>
      <c r="AM551" s="94">
        <f>(Table3.110[[#This Row],[Net gas 24h, ml]]/Table3.110[[#This Row],[DM Incubated, mg]])*1000</f>
        <v>196.0821180172876</v>
      </c>
      <c r="AN551" s="94">
        <f>'3.2 Digest'!X551</f>
        <v>16.129184924241525</v>
      </c>
      <c r="AO551" s="94">
        <f>Table3.110[[#This Row],[Digested feed, mg]]/Table3.110[[#This Row],[Net gas 24h, ml]]</f>
        <v>0.82257296521141687</v>
      </c>
      <c r="AP551" s="94">
        <f>Table3.110[[#This Row],[CH4 8h, ml]]/Table3.110[[#This Row],[Net gas 8h, ml]]%</f>
        <v>14.599999999999998</v>
      </c>
      <c r="AQ551" s="94">
        <f>Table3.110[[#This Row],[CH4 24h, ml]]/Table3.110[[#This Row],[Net gas 24h, ml]]%</f>
        <v>15.30123371159732</v>
      </c>
      <c r="AR551" s="94">
        <f>Table3.110[[#This Row],[CH4 24h, ml]]/Table3.110[[#This Row],[DM Incubated, mg]]*1000</f>
        <v>30.002983144475252</v>
      </c>
      <c r="AS551" s="94">
        <f>Table3.110[[#This Row],[CH4 24h, ml]]/Table3.110[[#This Row],[Digested feed, mg]]*1000</f>
        <v>186.01673479099344</v>
      </c>
      <c r="AT551" s="94">
        <f>Table3.110[[#This Row],[CH4 24h, ml]]/'3.2 Digest'!AA551</f>
        <v>-0.47394129568154419</v>
      </c>
      <c r="AU551" s="94">
        <f>((Table3.110[[#This Row],[CH4 24h, ml]]/28.9)*16.04)/Table3.110[[#This Row],[DM Incubated, mg]]*1000</f>
        <v>16.652174727937126</v>
      </c>
      <c r="AV551" s="94">
        <f>((Table3.110[[#This Row],[CH4 24h, ml]]/28.9)*16.04)/Table3.110[[#This Row],[Digested feed, mg]]*1000</f>
        <v>103.24250609161018</v>
      </c>
      <c r="AX551" s="99"/>
    </row>
    <row r="552" spans="2:50" s="89" customFormat="1" x14ac:dyDescent="0.35">
      <c r="B552" s="90">
        <f t="shared" si="8"/>
        <v>542</v>
      </c>
      <c r="C552" s="140">
        <v>46050</v>
      </c>
      <c r="D552" s="6" t="s">
        <v>16</v>
      </c>
      <c r="E552" s="6" t="s">
        <v>201</v>
      </c>
      <c r="F552" s="133" t="s">
        <v>105</v>
      </c>
      <c r="G552" s="133" t="s">
        <v>188</v>
      </c>
      <c r="H552" s="133" t="s">
        <v>189</v>
      </c>
      <c r="I552" s="125" t="s">
        <v>108</v>
      </c>
      <c r="J552" s="138" t="s">
        <v>109</v>
      </c>
      <c r="K552" s="138" t="s">
        <v>110</v>
      </c>
      <c r="L552" s="6" t="s">
        <v>200</v>
      </c>
      <c r="M552" s="93">
        <v>28</v>
      </c>
      <c r="N552" s="93">
        <v>61</v>
      </c>
      <c r="O552" s="6">
        <v>2</v>
      </c>
      <c r="P552" s="129">
        <v>3</v>
      </c>
      <c r="Q552" s="6">
        <v>0</v>
      </c>
      <c r="R552" s="98">
        <v>0.50029999999999997</v>
      </c>
      <c r="S552" s="94">
        <f>((Table3.110[[#This Row],[Sample weight, g]]*'2.1. DM'!Q123)/100)*1000</f>
        <v>485.79129999999975</v>
      </c>
      <c r="T552" s="94">
        <f>'3.2 Digest'!W552</f>
        <v>62.091299999999762</v>
      </c>
      <c r="U552" s="117">
        <v>0.3576388888888889</v>
      </c>
      <c r="V552" s="155">
        <v>40.5</v>
      </c>
      <c r="W552" s="117">
        <v>0.6958333333333333</v>
      </c>
      <c r="X552" s="96">
        <v>84.5</v>
      </c>
      <c r="Y552" s="96">
        <v>14.6</v>
      </c>
      <c r="Z552" s="155">
        <v>40</v>
      </c>
      <c r="AA552" s="117">
        <v>0.39791666666666664</v>
      </c>
      <c r="AB552" s="155">
        <v>102.2</v>
      </c>
      <c r="AC552" s="155">
        <v>15.9</v>
      </c>
      <c r="AD552" s="96" t="s">
        <v>569</v>
      </c>
      <c r="AE552" s="94">
        <f>Table3.110[[#This Row],[Gas 8h, ml]]-Table3.110[[#This Row],[Gas 0h, ml]]</f>
        <v>44</v>
      </c>
      <c r="AF552" s="94">
        <f>Table3.110[[#This Row],[Gas 24h, ml]]-Table3.110[[#This Row],[V8 Push back, ml]]</f>
        <v>62.2</v>
      </c>
      <c r="AG552" s="94">
        <f>Table3.110[[#This Row],[GP 8h, ml]]-(AVERAGE(AE$479,AE$480,AE$660,AE$661,AE$662,AE$663))*AG$8</f>
        <v>40.607474101643646</v>
      </c>
      <c r="AH552" s="94">
        <f>Table3.110[[#This Row],[GP 8-24h, ml]]-(AVERAGE(AF$479,AF$480,AF$660,AF$661,AF$662,AF$663))*AG$8</f>
        <v>57.885592064046818</v>
      </c>
      <c r="AI552" s="94">
        <f>Table3.110[[#This Row],[Net gas 8-24h, ml]]+Table3.110[[#This Row],[Net gas 8h, ml]]</f>
        <v>98.493066165690465</v>
      </c>
      <c r="AJ552" s="94">
        <f>Table3.110[[#This Row],[Net gas 8h, ml]]*Table3.110[[#This Row],[CH4 8h %]]%</f>
        <v>5.9286912188399716</v>
      </c>
      <c r="AK552" s="94">
        <f>Table3.110[[#This Row],[Net gas 8-24h, ml]]*Table3.110[[#This Row],[CH4 24h, %]]%</f>
        <v>9.2038091381834448</v>
      </c>
      <c r="AL552" s="94">
        <f>Table3.110[[#This Row],[CH4 8-24h, ml]]+Table3.110[[#This Row],[CH4 8h, ml]]</f>
        <v>15.132500357023417</v>
      </c>
      <c r="AM552" s="94">
        <f>(Table3.110[[#This Row],[Net gas 24h, ml]]/Table3.110[[#This Row],[DM Incubated, mg]])*1000</f>
        <v>202.74769466989326</v>
      </c>
      <c r="AN552" s="94">
        <f>'3.2 Digest'!X552</f>
        <v>12.781476325327315</v>
      </c>
      <c r="AO552" s="94">
        <f>Table3.110[[#This Row],[Digested feed, mg]]/Table3.110[[#This Row],[Net gas 24h, ml]]</f>
        <v>0.63041290536682404</v>
      </c>
      <c r="AP552" s="94">
        <f>Table3.110[[#This Row],[CH4 8h, ml]]/Table3.110[[#This Row],[Net gas 8h, ml]]%</f>
        <v>14.599999999999998</v>
      </c>
      <c r="AQ552" s="94">
        <f>Table3.110[[#This Row],[CH4 24h, ml]]/Table3.110[[#This Row],[Net gas 24h, ml]]%</f>
        <v>15.364026064095405</v>
      </c>
      <c r="AR552" s="94">
        <f>Table3.110[[#This Row],[CH4 24h, ml]]/Table3.110[[#This Row],[DM Incubated, mg]]*1000</f>
        <v>31.150208653434973</v>
      </c>
      <c r="AS552" s="94">
        <f>Table3.110[[#This Row],[CH4 24h, ml]]/Table3.110[[#This Row],[Digested feed, mg]]*1000</f>
        <v>243.71369832848524</v>
      </c>
      <c r="AT552" s="94">
        <f>Table3.110[[#This Row],[CH4 24h, ml]]/'3.2 Digest'!AA552</f>
        <v>-0.42052297177539311</v>
      </c>
      <c r="AU552" s="94">
        <f>((Table3.110[[#This Row],[CH4 24h, ml]]/28.9)*16.04)/Table3.110[[#This Row],[DM Incubated, mg]]*1000</f>
        <v>17.288904733601971</v>
      </c>
      <c r="AV552" s="94">
        <f>((Table3.110[[#This Row],[CH4 24h, ml]]/28.9)*16.04)/Table3.110[[#This Row],[Digested feed, mg]]*1000</f>
        <v>135.26531907228036</v>
      </c>
      <c r="AX552" s="99"/>
    </row>
    <row r="553" spans="2:50" s="89" customFormat="1" x14ac:dyDescent="0.35">
      <c r="B553" s="90">
        <f t="shared" si="8"/>
        <v>543</v>
      </c>
      <c r="C553" s="140">
        <v>46050</v>
      </c>
      <c r="D553" s="6" t="s">
        <v>16</v>
      </c>
      <c r="E553" s="6" t="s">
        <v>203</v>
      </c>
      <c r="F553" s="133" t="s">
        <v>105</v>
      </c>
      <c r="G553" s="133" t="s">
        <v>188</v>
      </c>
      <c r="H553" s="133" t="s">
        <v>189</v>
      </c>
      <c r="I553" s="125" t="s">
        <v>108</v>
      </c>
      <c r="J553" s="138" t="s">
        <v>109</v>
      </c>
      <c r="K553" s="138" t="s">
        <v>110</v>
      </c>
      <c r="L553" s="6" t="s">
        <v>202</v>
      </c>
      <c r="M553" s="93">
        <v>28</v>
      </c>
      <c r="N553" s="93">
        <v>61</v>
      </c>
      <c r="O553" s="6">
        <v>2</v>
      </c>
      <c r="P553" s="129">
        <v>1</v>
      </c>
      <c r="Q553" s="6">
        <v>0</v>
      </c>
      <c r="R553" s="98">
        <v>0.50019999999999998</v>
      </c>
      <c r="S553" s="94">
        <f>((Table3.110[[#This Row],[Sample weight, g]]*'2.1. DM'!Q125)/100)*1000</f>
        <v>482.69475052494732</v>
      </c>
      <c r="T553" s="94">
        <f>'3.2 Digest'!W553</f>
        <v>48.894750524947256</v>
      </c>
      <c r="U553" s="153">
        <v>0.3576388888888889</v>
      </c>
      <c r="V553" s="155">
        <v>40.5</v>
      </c>
      <c r="W553" s="153">
        <v>0.6958333333333333</v>
      </c>
      <c r="X553" s="91">
        <v>85</v>
      </c>
      <c r="Y553" s="91">
        <v>13.9</v>
      </c>
      <c r="Z553" s="154">
        <v>40</v>
      </c>
      <c r="AA553" s="153">
        <v>0.39861111111111114</v>
      </c>
      <c r="AB553" s="154">
        <v>101.5</v>
      </c>
      <c r="AC553" s="154">
        <v>15.5</v>
      </c>
      <c r="AD553" s="91"/>
      <c r="AE553" s="94">
        <f>Table3.110[[#This Row],[Gas 8h, ml]]-Table3.110[[#This Row],[Gas 0h, ml]]</f>
        <v>44.5</v>
      </c>
      <c r="AF553" s="94">
        <f>Table3.110[[#This Row],[Gas 24h, ml]]-Table3.110[[#This Row],[V8 Push back, ml]]</f>
        <v>61.5</v>
      </c>
      <c r="AG553" s="94">
        <f>Table3.110[[#This Row],[GP 8h, ml]]-(AVERAGE(AE$479,AE$480,AE$660,AE$661,AE$662,AE$663))*AG$8</f>
        <v>41.107474101643646</v>
      </c>
      <c r="AH553" s="94">
        <f>Table3.110[[#This Row],[GP 8-24h, ml]]-(AVERAGE(AF$479,AF$480,AF$660,AF$661,AF$662,AF$663))*AG$8</f>
        <v>57.185592064046816</v>
      </c>
      <c r="AI553" s="94">
        <f>Table3.110[[#This Row],[Net gas 8-24h, ml]]+Table3.110[[#This Row],[Net gas 8h, ml]]</f>
        <v>98.293066165690462</v>
      </c>
      <c r="AJ553" s="94">
        <f>Table3.110[[#This Row],[Net gas 8h, ml]]*Table3.110[[#This Row],[CH4 8h %]]%</f>
        <v>5.7139389001284675</v>
      </c>
      <c r="AK553" s="94">
        <f>Table3.110[[#This Row],[Net gas 8-24h, ml]]*Table3.110[[#This Row],[CH4 24h, %]]%</f>
        <v>8.8637667699272562</v>
      </c>
      <c r="AL553" s="94">
        <f>Table3.110[[#This Row],[CH4 8-24h, ml]]+Table3.110[[#This Row],[CH4 8h, ml]]</f>
        <v>14.577705670055725</v>
      </c>
      <c r="AM553" s="94">
        <f>(Table3.110[[#This Row],[Net gas 24h, ml]]/Table3.110[[#This Row],[DM Incubated, mg]])*1000</f>
        <v>203.63400691387952</v>
      </c>
      <c r="AN553" s="94">
        <f>'3.2 Digest'!X553</f>
        <v>10.129538486128659</v>
      </c>
      <c r="AO553" s="94">
        <f>Table3.110[[#This Row],[Digested feed, mg]]/Table3.110[[#This Row],[Net gas 24h, ml]]</f>
        <v>0.49743845046533036</v>
      </c>
      <c r="AP553" s="94">
        <f>Table3.110[[#This Row],[CH4 8h, ml]]/Table3.110[[#This Row],[Net gas 8h, ml]]%</f>
        <v>13.9</v>
      </c>
      <c r="AQ553" s="94">
        <f>Table3.110[[#This Row],[CH4 24h, ml]]/Table3.110[[#This Row],[Net gas 24h, ml]]%</f>
        <v>14.83085861365074</v>
      </c>
      <c r="AR553" s="94">
        <f>Table3.110[[#This Row],[CH4 24h, ml]]/Table3.110[[#This Row],[DM Incubated, mg]]*1000</f>
        <v>30.20067165470924</v>
      </c>
      <c r="AS553" s="94">
        <f>Table3.110[[#This Row],[CH4 24h, ml]]/Table3.110[[#This Row],[Digested feed, mg]]*1000</f>
        <v>298.14459657827348</v>
      </c>
      <c r="AT553" s="94">
        <f>Table3.110[[#This Row],[CH4 24h, ml]]/'3.2 Digest'!AA553</f>
        <v>-0.45857238717238163</v>
      </c>
      <c r="AU553" s="94">
        <f>((Table3.110[[#This Row],[CH4 24h, ml]]/28.9)*16.04)/Table3.110[[#This Row],[DM Incubated, mg]]*1000</f>
        <v>16.761895271333433</v>
      </c>
      <c r="AV553" s="94">
        <f>((Table3.110[[#This Row],[CH4 24h, ml]]/28.9)*16.04)/Table3.110[[#This Row],[Digested feed, mg]]*1000</f>
        <v>165.47540931195525</v>
      </c>
      <c r="AX553" s="99"/>
    </row>
    <row r="554" spans="2:50" s="89" customFormat="1" x14ac:dyDescent="0.35">
      <c r="B554" s="90">
        <f t="shared" si="8"/>
        <v>544</v>
      </c>
      <c r="C554" s="140">
        <v>46050</v>
      </c>
      <c r="D554" s="6" t="s">
        <v>16</v>
      </c>
      <c r="E554" s="6" t="s">
        <v>203</v>
      </c>
      <c r="F554" s="133" t="s">
        <v>105</v>
      </c>
      <c r="G554" s="133" t="s">
        <v>188</v>
      </c>
      <c r="H554" s="133" t="s">
        <v>189</v>
      </c>
      <c r="I554" s="125" t="s">
        <v>108</v>
      </c>
      <c r="J554" s="138" t="s">
        <v>109</v>
      </c>
      <c r="K554" s="138" t="s">
        <v>110</v>
      </c>
      <c r="L554" s="6" t="s">
        <v>202</v>
      </c>
      <c r="M554" s="93">
        <v>28</v>
      </c>
      <c r="N554" s="93">
        <v>61</v>
      </c>
      <c r="O554" s="6">
        <v>2</v>
      </c>
      <c r="P554" s="129">
        <v>2</v>
      </c>
      <c r="Q554" s="6">
        <v>0</v>
      </c>
      <c r="R554" s="98">
        <v>0.50039999999999996</v>
      </c>
      <c r="S554" s="94">
        <f>((Table3.110[[#This Row],[Sample weight, g]]*'2.1. DM'!Q125)/100)*1000</f>
        <v>482.88775122487726</v>
      </c>
      <c r="T554" s="94">
        <f>'3.2 Digest'!W554</f>
        <v>206.38775122487732</v>
      </c>
      <c r="U554" s="117">
        <v>0.35833333333333334</v>
      </c>
      <c r="V554" s="155">
        <v>40.5</v>
      </c>
      <c r="W554" s="117">
        <v>0.69652777777777775</v>
      </c>
      <c r="X554" s="96">
        <v>84</v>
      </c>
      <c r="Y554" s="96">
        <v>14.3</v>
      </c>
      <c r="Z554" s="155">
        <v>40</v>
      </c>
      <c r="AA554" s="117">
        <v>0.39930555555555558</v>
      </c>
      <c r="AB554" s="155">
        <v>102</v>
      </c>
      <c r="AC554" s="155">
        <v>15.6</v>
      </c>
      <c r="AD554" s="96" t="s">
        <v>569</v>
      </c>
      <c r="AE554" s="94">
        <f>Table3.110[[#This Row],[Gas 8h, ml]]-Table3.110[[#This Row],[Gas 0h, ml]]</f>
        <v>43.5</v>
      </c>
      <c r="AF554" s="94">
        <f>Table3.110[[#This Row],[Gas 24h, ml]]-Table3.110[[#This Row],[V8 Push back, ml]]</f>
        <v>62</v>
      </c>
      <c r="AG554" s="94">
        <f>Table3.110[[#This Row],[GP 8h, ml]]-(AVERAGE(AE$479,AE$480,AE$660,AE$661,AE$662,AE$663))*AG$8</f>
        <v>40.107474101643646</v>
      </c>
      <c r="AH554" s="94">
        <f>Table3.110[[#This Row],[GP 8-24h, ml]]-(AVERAGE(AF$479,AF$480,AF$660,AF$661,AF$662,AF$663))*AG$8</f>
        <v>57.685592064046816</v>
      </c>
      <c r="AI554" s="94">
        <f>Table3.110[[#This Row],[Net gas 8-24h, ml]]+Table3.110[[#This Row],[Net gas 8h, ml]]</f>
        <v>97.793066165690462</v>
      </c>
      <c r="AJ554" s="94">
        <f>Table3.110[[#This Row],[Net gas 8h, ml]]*Table3.110[[#This Row],[CH4 8h %]]%</f>
        <v>5.7353687965350417</v>
      </c>
      <c r="AK554" s="94">
        <f>Table3.110[[#This Row],[Net gas 8-24h, ml]]*Table3.110[[#This Row],[CH4 24h, %]]%</f>
        <v>8.9989523619913037</v>
      </c>
      <c r="AL554" s="94">
        <f>Table3.110[[#This Row],[CH4 8-24h, ml]]+Table3.110[[#This Row],[CH4 8h, ml]]</f>
        <v>14.734321158526345</v>
      </c>
      <c r="AM554" s="94">
        <f>(Table3.110[[#This Row],[Net gas 24h, ml]]/Table3.110[[#This Row],[DM Incubated, mg]])*1000</f>
        <v>202.51718109981411</v>
      </c>
      <c r="AN554" s="94">
        <f>'3.2 Digest'!X554</f>
        <v>42.740316088233939</v>
      </c>
      <c r="AO554" s="94">
        <f>Table3.110[[#This Row],[Digested feed, mg]]/Table3.110[[#This Row],[Net gas 24h, ml]]</f>
        <v>2.1104538319229631</v>
      </c>
      <c r="AP554" s="94">
        <f>Table3.110[[#This Row],[CH4 8h, ml]]/Table3.110[[#This Row],[Net gas 8h, ml]]%</f>
        <v>14.3</v>
      </c>
      <c r="AQ554" s="94">
        <f>Table3.110[[#This Row],[CH4 24h, ml]]/Table3.110[[#This Row],[Net gas 24h, ml]]%</f>
        <v>15.066836265837125</v>
      </c>
      <c r="AR554" s="94">
        <f>Table3.110[[#This Row],[CH4 24h, ml]]/Table3.110[[#This Row],[DM Incubated, mg]]*1000</f>
        <v>30.512932086497845</v>
      </c>
      <c r="AS554" s="94">
        <f>Table3.110[[#This Row],[CH4 24h, ml]]/Table3.110[[#This Row],[Digested feed, mg]]*1000</f>
        <v>71.39145162966588</v>
      </c>
      <c r="AT554" s="94">
        <f>Table3.110[[#This Row],[CH4 24h, ml]]/'3.2 Digest'!AA554</f>
        <v>0.91903913489763911</v>
      </c>
      <c r="AU554" s="94">
        <f>((Table3.110[[#This Row],[CH4 24h, ml]]/28.9)*16.04)/Table3.110[[#This Row],[DM Incubated, mg]]*1000</f>
        <v>16.935205213405723</v>
      </c>
      <c r="AV554" s="94">
        <f>((Table3.110[[#This Row],[CH4 24h, ml]]/28.9)*16.04)/Table3.110[[#This Row],[Digested feed, mg]]*1000</f>
        <v>39.623490800686525</v>
      </c>
      <c r="AX554" s="99"/>
    </row>
    <row r="555" spans="2:50" s="89" customFormat="1" x14ac:dyDescent="0.35">
      <c r="B555" s="90">
        <f t="shared" si="8"/>
        <v>545</v>
      </c>
      <c r="C555" s="140">
        <v>46050</v>
      </c>
      <c r="D555" s="6" t="s">
        <v>16</v>
      </c>
      <c r="E555" s="6" t="s">
        <v>203</v>
      </c>
      <c r="F555" s="133" t="s">
        <v>105</v>
      </c>
      <c r="G555" s="133" t="s">
        <v>188</v>
      </c>
      <c r="H555" s="133" t="s">
        <v>189</v>
      </c>
      <c r="I555" s="125" t="s">
        <v>108</v>
      </c>
      <c r="J555" s="138" t="s">
        <v>109</v>
      </c>
      <c r="K555" s="138" t="s">
        <v>110</v>
      </c>
      <c r="L555" s="6" t="s">
        <v>202</v>
      </c>
      <c r="M555" s="93">
        <v>28</v>
      </c>
      <c r="N555" s="93">
        <v>61</v>
      </c>
      <c r="O555" s="6">
        <v>2</v>
      </c>
      <c r="P555" s="129">
        <v>3</v>
      </c>
      <c r="Q555" s="6">
        <v>0</v>
      </c>
      <c r="R555" s="98">
        <v>0.50019999999999998</v>
      </c>
      <c r="S555" s="94">
        <f>((Table3.110[[#This Row],[Sample weight, g]]*'2.1. DM'!Q125)/100)*1000</f>
        <v>482.69475052494732</v>
      </c>
      <c r="T555" s="94">
        <f>'3.2 Digest'!W555</f>
        <v>71.694750524947267</v>
      </c>
      <c r="U555" s="153">
        <v>0.35833333333333334</v>
      </c>
      <c r="V555" s="155">
        <v>40.5</v>
      </c>
      <c r="W555" s="153">
        <v>0.69722222222222219</v>
      </c>
      <c r="X555" s="91">
        <v>84</v>
      </c>
      <c r="Y555" s="91">
        <v>13.9</v>
      </c>
      <c r="Z555" s="154">
        <v>40</v>
      </c>
      <c r="AA555" s="153">
        <v>0.4</v>
      </c>
      <c r="AB555" s="154">
        <v>105</v>
      </c>
      <c r="AC555" s="154">
        <v>15.4</v>
      </c>
      <c r="AD555" s="91"/>
      <c r="AE555" s="94">
        <f>Table3.110[[#This Row],[Gas 8h, ml]]-Table3.110[[#This Row],[Gas 0h, ml]]</f>
        <v>43.5</v>
      </c>
      <c r="AF555" s="94">
        <f>Table3.110[[#This Row],[Gas 24h, ml]]-Table3.110[[#This Row],[V8 Push back, ml]]</f>
        <v>65</v>
      </c>
      <c r="AG555" s="94">
        <f>Table3.110[[#This Row],[GP 8h, ml]]-(AVERAGE(AE$479,AE$480,AE$660,AE$661,AE$662,AE$663))*AG$8</f>
        <v>40.107474101643646</v>
      </c>
      <c r="AH555" s="94">
        <f>Table3.110[[#This Row],[GP 8-24h, ml]]-(AVERAGE(AF$479,AF$480,AF$660,AF$661,AF$662,AF$663))*AG$8</f>
        <v>60.685592064046816</v>
      </c>
      <c r="AI555" s="94">
        <f>Table3.110[[#This Row],[Net gas 8-24h, ml]]+Table3.110[[#This Row],[Net gas 8h, ml]]</f>
        <v>100.79306616569046</v>
      </c>
      <c r="AJ555" s="94">
        <f>Table3.110[[#This Row],[Net gas 8h, ml]]*Table3.110[[#This Row],[CH4 8h %]]%</f>
        <v>5.5749389001284673</v>
      </c>
      <c r="AK555" s="94">
        <f>Table3.110[[#This Row],[Net gas 8-24h, ml]]*Table3.110[[#This Row],[CH4 24h, %]]%</f>
        <v>9.3455811778632096</v>
      </c>
      <c r="AL555" s="94">
        <f>Table3.110[[#This Row],[CH4 8-24h, ml]]+Table3.110[[#This Row],[CH4 8h, ml]]</f>
        <v>14.920520077991677</v>
      </c>
      <c r="AM555" s="94">
        <f>(Table3.110[[#This Row],[Net gas 24h, ml]]/Table3.110[[#This Row],[DM Incubated, mg]])*1000</f>
        <v>208.81326357097214</v>
      </c>
      <c r="AN555" s="94">
        <f>'3.2 Digest'!X555</f>
        <v>14.853020557397139</v>
      </c>
      <c r="AO555" s="94">
        <f>Table3.110[[#This Row],[Digested feed, mg]]/Table3.110[[#This Row],[Net gas 24h, ml]]</f>
        <v>0.71130637505451599</v>
      </c>
      <c r="AP555" s="94">
        <f>Table3.110[[#This Row],[CH4 8h, ml]]/Table3.110[[#This Row],[Net gas 8h, ml]]%</f>
        <v>13.9</v>
      </c>
      <c r="AQ555" s="94">
        <f>Table3.110[[#This Row],[CH4 24h, ml]]/Table3.110[[#This Row],[Net gas 24h, ml]]%</f>
        <v>14.803121529673794</v>
      </c>
      <c r="AR555" s="94">
        <f>Table3.110[[#This Row],[CH4 24h, ml]]/Table3.110[[#This Row],[DM Incubated, mg]]*1000</f>
        <v>30.91088117648906</v>
      </c>
      <c r="AS555" s="94">
        <f>Table3.110[[#This Row],[CH4 24h, ml]]/Table3.110[[#This Row],[Digested feed, mg]]*1000</f>
        <v>208.11175112186015</v>
      </c>
      <c r="AT555" s="94">
        <f>Table3.110[[#This Row],[CH4 24h, ml]]/'3.2 Digest'!AA555</f>
        <v>-0.60011817748211771</v>
      </c>
      <c r="AU555" s="94">
        <f>((Table3.110[[#This Row],[CH4 24h, ml]]/28.9)*16.04)/Table3.110[[#This Row],[DM Incubated, mg]]*1000</f>
        <v>17.156073843283199</v>
      </c>
      <c r="AV555" s="94">
        <f>((Table3.110[[#This Row],[CH4 24h, ml]]/28.9)*16.04)/Table3.110[[#This Row],[Digested feed, mg]]*1000</f>
        <v>115.50562242195971</v>
      </c>
      <c r="AX555" s="99"/>
    </row>
    <row r="556" spans="2:50" s="89" customFormat="1" x14ac:dyDescent="0.35">
      <c r="B556" s="90">
        <f t="shared" si="8"/>
        <v>546</v>
      </c>
      <c r="C556" s="140">
        <v>46050</v>
      </c>
      <c r="D556" s="6" t="s">
        <v>16</v>
      </c>
      <c r="E556" s="6" t="s">
        <v>205</v>
      </c>
      <c r="F556" s="133" t="s">
        <v>105</v>
      </c>
      <c r="G556" s="133" t="s">
        <v>188</v>
      </c>
      <c r="H556" s="133" t="s">
        <v>189</v>
      </c>
      <c r="I556" s="125" t="s">
        <v>108</v>
      </c>
      <c r="J556" s="138" t="s">
        <v>109</v>
      </c>
      <c r="K556" s="138" t="s">
        <v>110</v>
      </c>
      <c r="L556" s="6" t="s">
        <v>204</v>
      </c>
      <c r="M556" s="93">
        <v>28</v>
      </c>
      <c r="N556" s="93">
        <v>61</v>
      </c>
      <c r="O556" s="6">
        <v>2</v>
      </c>
      <c r="P556" s="129">
        <v>1</v>
      </c>
      <c r="Q556" s="6">
        <v>0</v>
      </c>
      <c r="R556" s="98">
        <v>0.50009999999999999</v>
      </c>
      <c r="S556" s="94">
        <f>((Table3.110[[#This Row],[Sample weight, g]]*'2.1. DM'!Q127)/100)*1000</f>
        <v>484.4304641489062</v>
      </c>
      <c r="T556" s="94"/>
      <c r="U556" s="117"/>
      <c r="V556" s="155"/>
      <c r="W556" s="117"/>
      <c r="X556" s="96"/>
      <c r="Y556" s="96"/>
      <c r="Z556" s="155"/>
      <c r="AA556" s="117"/>
      <c r="AB556" s="155"/>
      <c r="AC556" s="155"/>
      <c r="AD556" s="96" t="s">
        <v>570</v>
      </c>
      <c r="AE556" s="94"/>
      <c r="AF556" s="94"/>
      <c r="AG556" s="94"/>
      <c r="AH556" s="94"/>
      <c r="AI556" s="94">
        <f>Table3.110[[#This Row],[Net gas 8-24h, ml]]+Table3.110[[#This Row],[Net gas 8h, ml]]</f>
        <v>0</v>
      </c>
      <c r="AJ556" s="94">
        <f>Table3.110[[#This Row],[Net gas 8h, ml]]*Table3.110[[#This Row],[CH4 8h %]]%</f>
        <v>0</v>
      </c>
      <c r="AK556" s="94">
        <f>Table3.110[[#This Row],[Net gas 8-24h, ml]]*Table3.110[[#This Row],[CH4 24h, %]]%</f>
        <v>0</v>
      </c>
      <c r="AL556" s="94">
        <f>Table3.110[[#This Row],[CH4 8-24h, ml]]+Table3.110[[#This Row],[CH4 8h, ml]]</f>
        <v>0</v>
      </c>
      <c r="AM556" s="94">
        <f>(Table3.110[[#This Row],[Net gas 24h, ml]]/Table3.110[[#This Row],[DM Incubated, mg]])*1000</f>
        <v>0</v>
      </c>
      <c r="AN556" s="94">
        <f>'3.2 Digest'!X556</f>
        <v>0</v>
      </c>
      <c r="AO556" s="94" t="e">
        <f>Table3.110[[#This Row],[Digested feed, mg]]/Table3.110[[#This Row],[Net gas 24h, ml]]</f>
        <v>#DIV/0!</v>
      </c>
      <c r="AP556" s="94" t="e">
        <f>Table3.110[[#This Row],[CH4 8h, ml]]/Table3.110[[#This Row],[Net gas 8h, ml]]%</f>
        <v>#DIV/0!</v>
      </c>
      <c r="AQ556" s="94" t="e">
        <f>Table3.110[[#This Row],[CH4 24h, ml]]/Table3.110[[#This Row],[Net gas 24h, ml]]%</f>
        <v>#DIV/0!</v>
      </c>
      <c r="AR556" s="94">
        <f>Table3.110[[#This Row],[CH4 24h, ml]]/Table3.110[[#This Row],[DM Incubated, mg]]*1000</f>
        <v>0</v>
      </c>
      <c r="AS556" s="94" t="e">
        <f>Table3.110[[#This Row],[CH4 24h, ml]]/Table3.110[[#This Row],[Digested feed, mg]]*1000</f>
        <v>#DIV/0!</v>
      </c>
      <c r="AT556" s="94" t="e">
        <f>Table3.110[[#This Row],[CH4 24h, ml]]/'3.2 Digest'!AA556</f>
        <v>#DIV/0!</v>
      </c>
      <c r="AU556" s="94">
        <f>((Table3.110[[#This Row],[CH4 24h, ml]]/28.9)*16.04)/Table3.110[[#This Row],[DM Incubated, mg]]*1000</f>
        <v>0</v>
      </c>
      <c r="AV556" s="94" t="e">
        <f>((Table3.110[[#This Row],[CH4 24h, ml]]/28.9)*16.04)/Table3.110[[#This Row],[Digested feed, mg]]*1000</f>
        <v>#DIV/0!</v>
      </c>
      <c r="AX556" s="99"/>
    </row>
    <row r="557" spans="2:50" s="89" customFormat="1" x14ac:dyDescent="0.35">
      <c r="B557" s="90">
        <f t="shared" si="8"/>
        <v>547</v>
      </c>
      <c r="C557" s="140">
        <v>46050</v>
      </c>
      <c r="D557" s="6" t="s">
        <v>16</v>
      </c>
      <c r="E557" s="6" t="s">
        <v>205</v>
      </c>
      <c r="F557" s="133" t="s">
        <v>105</v>
      </c>
      <c r="G557" s="133" t="s">
        <v>188</v>
      </c>
      <c r="H557" s="133" t="s">
        <v>189</v>
      </c>
      <c r="I557" s="125" t="s">
        <v>108</v>
      </c>
      <c r="J557" s="138" t="s">
        <v>109</v>
      </c>
      <c r="K557" s="138" t="s">
        <v>110</v>
      </c>
      <c r="L557" s="6" t="s">
        <v>204</v>
      </c>
      <c r="M557" s="93">
        <v>28</v>
      </c>
      <c r="N557" s="93">
        <v>61</v>
      </c>
      <c r="O557" s="6">
        <v>2</v>
      </c>
      <c r="P557" s="129">
        <v>2</v>
      </c>
      <c r="Q557" s="6">
        <v>0</v>
      </c>
      <c r="R557" s="98">
        <v>0.50009999999999999</v>
      </c>
      <c r="S557" s="94">
        <f>((Table3.110[[#This Row],[Sample weight, g]]*'2.1. DM'!Q127)/100)*1000</f>
        <v>484.4304641489062</v>
      </c>
      <c r="T557" s="94">
        <f>'3.2 Digest'!W557</f>
        <v>222.63046414890619</v>
      </c>
      <c r="U557" s="153">
        <v>0.36180555555555555</v>
      </c>
      <c r="V557" s="155">
        <v>41</v>
      </c>
      <c r="W557" s="153">
        <v>0.69722222222222219</v>
      </c>
      <c r="X557" s="91">
        <v>84</v>
      </c>
      <c r="Y557" s="91">
        <v>13.7</v>
      </c>
      <c r="Z557" s="154">
        <v>40</v>
      </c>
      <c r="AA557" s="153">
        <v>0.40069444444444446</v>
      </c>
      <c r="AB557" s="154">
        <v>102</v>
      </c>
      <c r="AC557" s="154">
        <v>16</v>
      </c>
      <c r="AD557" s="91"/>
      <c r="AE557" s="94">
        <f>Table3.110[[#This Row],[Gas 8h, ml]]-Table3.110[[#This Row],[Gas 0h, ml]]</f>
        <v>43</v>
      </c>
      <c r="AF557" s="94">
        <f>Table3.110[[#This Row],[Gas 24h, ml]]-Table3.110[[#This Row],[V8 Push back, ml]]</f>
        <v>62</v>
      </c>
      <c r="AG557" s="94">
        <f>Table3.110[[#This Row],[GP 8h, ml]]-(AVERAGE(AE$479,AE$480,AE$660,AE$661,AE$662,AE$663))*AG$8</f>
        <v>39.607474101643646</v>
      </c>
      <c r="AH557" s="94">
        <f>Table3.110[[#This Row],[GP 8-24h, ml]]-(AVERAGE(AF$479,AF$480,AF$660,AF$661,AF$662,AF$663))*AG$8</f>
        <v>57.685592064046816</v>
      </c>
      <c r="AI557" s="94">
        <f>Table3.110[[#This Row],[Net gas 8-24h, ml]]+Table3.110[[#This Row],[Net gas 8h, ml]]</f>
        <v>97.293066165690462</v>
      </c>
      <c r="AJ557" s="94">
        <f>Table3.110[[#This Row],[Net gas 8h, ml]]*Table3.110[[#This Row],[CH4 8h %]]%</f>
        <v>5.4262239519251789</v>
      </c>
      <c r="AK557" s="94">
        <f>Table3.110[[#This Row],[Net gas 8-24h, ml]]*Table3.110[[#This Row],[CH4 24h, %]]%</f>
        <v>9.2296947302474912</v>
      </c>
      <c r="AL557" s="94">
        <f>Table3.110[[#This Row],[CH4 8-24h, ml]]+Table3.110[[#This Row],[CH4 8h, ml]]</f>
        <v>14.65591868217267</v>
      </c>
      <c r="AM557" s="94">
        <f>(Table3.110[[#This Row],[Net gas 24h, ml]]/Table3.110[[#This Row],[DM Incubated, mg]])*1000</f>
        <v>200.84010681827004</v>
      </c>
      <c r="AN557" s="94">
        <f>'3.2 Digest'!X557</f>
        <v>45.957156005876861</v>
      </c>
      <c r="AO557" s="94">
        <f>Table3.110[[#This Row],[Digested feed, mg]]/Table3.110[[#This Row],[Net gas 24h, ml]]</f>
        <v>2.2882459451916715</v>
      </c>
      <c r="AP557" s="94">
        <f>Table3.110[[#This Row],[CH4 8h, ml]]/Table3.110[[#This Row],[Net gas 8h, ml]]%</f>
        <v>13.699999999999998</v>
      </c>
      <c r="AQ557" s="94">
        <f>Table3.110[[#This Row],[CH4 24h, ml]]/Table3.110[[#This Row],[Net gas 24h, ml]]%</f>
        <v>15.063682603253127</v>
      </c>
      <c r="AR557" s="94">
        <f>Table3.110[[#This Row],[CH4 24h, ml]]/Table3.110[[#This Row],[DM Incubated, mg]]*1000</f>
        <v>30.253916231138746</v>
      </c>
      <c r="AS557" s="94">
        <f>Table3.110[[#This Row],[CH4 24h, ml]]/Table3.110[[#This Row],[Digested feed, mg]]*1000</f>
        <v>65.830697241730903</v>
      </c>
      <c r="AT557" s="94">
        <f>Table3.110[[#This Row],[CH4 24h, ml]]/'3.2 Digest'!AA557</f>
        <v>0.6604401650183096</v>
      </c>
      <c r="AU557" s="94">
        <f>((Table3.110[[#This Row],[CH4 24h, ml]]/28.9)*16.04)/Table3.110[[#This Row],[DM Incubated, mg]]*1000</f>
        <v>16.791446932438252</v>
      </c>
      <c r="AV557" s="94">
        <f>((Table3.110[[#This Row],[CH4 24h, ml]]/28.9)*16.04)/Table3.110[[#This Row],[Digested feed, mg]]*1000</f>
        <v>36.537175908559298</v>
      </c>
      <c r="AX557" s="99"/>
    </row>
    <row r="558" spans="2:50" s="89" customFormat="1" x14ac:dyDescent="0.35">
      <c r="B558" s="90">
        <f t="shared" si="8"/>
        <v>548</v>
      </c>
      <c r="C558" s="140">
        <v>46050</v>
      </c>
      <c r="D558" s="6" t="s">
        <v>16</v>
      </c>
      <c r="E558" s="6" t="s">
        <v>205</v>
      </c>
      <c r="F558" s="133" t="s">
        <v>105</v>
      </c>
      <c r="G558" s="133" t="s">
        <v>188</v>
      </c>
      <c r="H558" s="133" t="s">
        <v>189</v>
      </c>
      <c r="I558" s="125" t="s">
        <v>108</v>
      </c>
      <c r="J558" s="138" t="s">
        <v>109</v>
      </c>
      <c r="K558" s="138" t="s">
        <v>110</v>
      </c>
      <c r="L558" s="6" t="s">
        <v>204</v>
      </c>
      <c r="M558" s="93">
        <v>28</v>
      </c>
      <c r="N558" s="93">
        <v>61</v>
      </c>
      <c r="O558" s="6">
        <v>2</v>
      </c>
      <c r="P558" s="129">
        <v>3</v>
      </c>
      <c r="Q558" s="6">
        <v>0</v>
      </c>
      <c r="R558" s="98">
        <v>0.5</v>
      </c>
      <c r="S558" s="94">
        <f>((Table3.110[[#This Row],[Sample weight, g]]*'2.1. DM'!Q127)/100)*1000</f>
        <v>484.33359742942031</v>
      </c>
      <c r="T558" s="94">
        <f>'3.2 Digest'!W558</f>
        <v>223.03359742942035</v>
      </c>
      <c r="U558" s="117">
        <v>0.36180555555555555</v>
      </c>
      <c r="V558" s="155">
        <v>40.5</v>
      </c>
      <c r="W558" s="117">
        <v>0.69791666666666663</v>
      </c>
      <c r="X558" s="96">
        <v>83.5</v>
      </c>
      <c r="Y558" s="96">
        <v>14.4</v>
      </c>
      <c r="Z558" s="155">
        <v>40</v>
      </c>
      <c r="AA558" s="117">
        <v>0.40069444444444446</v>
      </c>
      <c r="AB558" s="155">
        <v>105</v>
      </c>
      <c r="AC558" s="155">
        <v>15.9</v>
      </c>
      <c r="AD558" s="96"/>
      <c r="AE558" s="94">
        <f>Table3.110[[#This Row],[Gas 8h, ml]]-Table3.110[[#This Row],[Gas 0h, ml]]</f>
        <v>43</v>
      </c>
      <c r="AF558" s="94">
        <f>Table3.110[[#This Row],[Gas 24h, ml]]-Table3.110[[#This Row],[V8 Push back, ml]]</f>
        <v>65</v>
      </c>
      <c r="AG558" s="94">
        <f>Table3.110[[#This Row],[GP 8h, ml]]-(AVERAGE(AE$479,AE$480,AE$660,AE$661,AE$662,AE$663))*AG$8</f>
        <v>39.607474101643646</v>
      </c>
      <c r="AH558" s="94">
        <f>Table3.110[[#This Row],[GP 8-24h, ml]]-(AVERAGE(AF$479,AF$480,AF$660,AF$661,AF$662,AF$663))*AG$8</f>
        <v>60.685592064046816</v>
      </c>
      <c r="AI558" s="94">
        <f>Table3.110[[#This Row],[Net gas 8-24h, ml]]+Table3.110[[#This Row],[Net gas 8h, ml]]</f>
        <v>100.29306616569046</v>
      </c>
      <c r="AJ558" s="94">
        <f>Table3.110[[#This Row],[Net gas 8h, ml]]*Table3.110[[#This Row],[CH4 8h %]]%</f>
        <v>5.7034762706366857</v>
      </c>
      <c r="AK558" s="94">
        <f>Table3.110[[#This Row],[Net gas 8-24h, ml]]*Table3.110[[#This Row],[CH4 24h, %]]%</f>
        <v>9.6490091381834446</v>
      </c>
      <c r="AL558" s="94">
        <f>Table3.110[[#This Row],[CH4 8-24h, ml]]+Table3.110[[#This Row],[CH4 8h, ml]]</f>
        <v>15.352485408820129</v>
      </c>
      <c r="AM558" s="94">
        <f>(Table3.110[[#This Row],[Net gas 24h, ml]]/Table3.110[[#This Row],[DM Incubated, mg]])*1000</f>
        <v>207.07435267342919</v>
      </c>
      <c r="AN558" s="94">
        <f>'3.2 Digest'!X558</f>
        <v>46.049582067641303</v>
      </c>
      <c r="AO558" s="94">
        <f>Table3.110[[#This Row],[Digested feed, mg]]/Table3.110[[#This Row],[Net gas 24h, ml]]</f>
        <v>2.2238187140570096</v>
      </c>
      <c r="AP558" s="94">
        <f>Table3.110[[#This Row],[CH4 8h, ml]]/Table3.110[[#This Row],[Net gas 8h, ml]]%</f>
        <v>14.400000000000002</v>
      </c>
      <c r="AQ558" s="94">
        <f>Table3.110[[#This Row],[CH4 24h, ml]]/Table3.110[[#This Row],[Net gas 24h, ml]]%</f>
        <v>15.307623942274191</v>
      </c>
      <c r="AR558" s="94">
        <f>Table3.110[[#This Row],[CH4 24h, ml]]/Table3.110[[#This Row],[DM Incubated, mg]]*1000</f>
        <v>31.698163188147145</v>
      </c>
      <c r="AS558" s="94">
        <f>Table3.110[[#This Row],[CH4 24h, ml]]/Table3.110[[#This Row],[Digested feed, mg]]*1000</f>
        <v>68.834855312229223</v>
      </c>
      <c r="AT558" s="94">
        <f>Table3.110[[#This Row],[CH4 24h, ml]]/'3.2 Digest'!AA558</f>
        <v>0.68770567307372543</v>
      </c>
      <c r="AU558" s="94">
        <f>((Table3.110[[#This Row],[CH4 24h, ml]]/28.9)*16.04)/Table3.110[[#This Row],[DM Incubated, mg]]*1000</f>
        <v>17.593028980549487</v>
      </c>
      <c r="AV558" s="94">
        <f>((Table3.110[[#This Row],[CH4 24h, ml]]/28.9)*16.04)/Table3.110[[#This Row],[Digested feed, mg]]*1000</f>
        <v>38.204535612738987</v>
      </c>
      <c r="AX558" s="99"/>
    </row>
    <row r="559" spans="2:50" s="89" customFormat="1" x14ac:dyDescent="0.35">
      <c r="B559" s="90">
        <f t="shared" si="8"/>
        <v>549</v>
      </c>
      <c r="C559" s="140">
        <v>46050</v>
      </c>
      <c r="D559" s="6" t="s">
        <v>16</v>
      </c>
      <c r="E559" s="6" t="s">
        <v>207</v>
      </c>
      <c r="F559" s="133" t="s">
        <v>105</v>
      </c>
      <c r="G559" s="133" t="s">
        <v>188</v>
      </c>
      <c r="H559" s="133" t="s">
        <v>189</v>
      </c>
      <c r="I559" s="125" t="s">
        <v>108</v>
      </c>
      <c r="J559" s="138" t="s">
        <v>109</v>
      </c>
      <c r="K559" s="138" t="s">
        <v>110</v>
      </c>
      <c r="L559" s="6" t="s">
        <v>206</v>
      </c>
      <c r="M559" s="93">
        <v>28</v>
      </c>
      <c r="N559" s="93">
        <v>61</v>
      </c>
      <c r="O559" s="6">
        <v>2</v>
      </c>
      <c r="P559" s="129">
        <v>1</v>
      </c>
      <c r="Q559" s="6">
        <v>0</v>
      </c>
      <c r="R559" s="98">
        <v>0.50019999999999998</v>
      </c>
      <c r="S559" s="94">
        <f>((Table3.110[[#This Row],[Sample weight, g]]*'2.1. DM'!Q129)/100)*1000</f>
        <v>488.47208767769672</v>
      </c>
      <c r="T559" s="94">
        <f>'3.2 Digest'!W559</f>
        <v>37.872087677696584</v>
      </c>
      <c r="U559" s="153">
        <v>0.36180555555555555</v>
      </c>
      <c r="V559" s="155">
        <v>40.5</v>
      </c>
      <c r="W559" s="153">
        <v>0.69791666666666663</v>
      </c>
      <c r="X559" s="91">
        <v>84</v>
      </c>
      <c r="Y559" s="91">
        <v>14.4</v>
      </c>
      <c r="Z559" s="154">
        <v>40</v>
      </c>
      <c r="AA559" s="153">
        <v>0.40138888888888891</v>
      </c>
      <c r="AB559" s="154">
        <v>98.5</v>
      </c>
      <c r="AC559" s="154">
        <v>16.100000000000001</v>
      </c>
      <c r="AD559" s="91" t="s">
        <v>569</v>
      </c>
      <c r="AE559" s="94">
        <f>Table3.110[[#This Row],[Gas 8h, ml]]-Table3.110[[#This Row],[Gas 0h, ml]]</f>
        <v>43.5</v>
      </c>
      <c r="AF559" s="94">
        <f>Table3.110[[#This Row],[Gas 24h, ml]]-Table3.110[[#This Row],[V8 Push back, ml]]</f>
        <v>58.5</v>
      </c>
      <c r="AG559" s="94">
        <f>Table3.110[[#This Row],[GP 8h, ml]]-(AVERAGE(AE$479,AE$480,AE$660,AE$661,AE$662,AE$663))*AG$8</f>
        <v>40.107474101643646</v>
      </c>
      <c r="AH559" s="94">
        <f>Table3.110[[#This Row],[GP 8-24h, ml]]-(AVERAGE(AF$479,AF$480,AF$660,AF$661,AF$662,AF$663))*AG$8</f>
        <v>54.185592064046816</v>
      </c>
      <c r="AI559" s="94">
        <f>Table3.110[[#This Row],[Net gas 8-24h, ml]]+Table3.110[[#This Row],[Net gas 8h, ml]]</f>
        <v>94.293066165690462</v>
      </c>
      <c r="AJ559" s="94">
        <f>Table3.110[[#This Row],[Net gas 8h, ml]]*Table3.110[[#This Row],[CH4 8h %]]%</f>
        <v>5.7754762706366858</v>
      </c>
      <c r="AK559" s="94">
        <f>Table3.110[[#This Row],[Net gas 8-24h, ml]]*Table3.110[[#This Row],[CH4 24h, %]]%</f>
        <v>8.7238803223115369</v>
      </c>
      <c r="AL559" s="94">
        <f>Table3.110[[#This Row],[CH4 8-24h, ml]]+Table3.110[[#This Row],[CH4 8h, ml]]</f>
        <v>14.499356592948223</v>
      </c>
      <c r="AM559" s="94">
        <f>(Table3.110[[#This Row],[Net gas 24h, ml]]/Table3.110[[#This Row],[DM Incubated, mg]])*1000</f>
        <v>193.03675387877399</v>
      </c>
      <c r="AN559" s="94">
        <f>'3.2 Digest'!X559</f>
        <v>7.7531733405175274</v>
      </c>
      <c r="AO559" s="94">
        <f>Table3.110[[#This Row],[Digested feed, mg]]/Table3.110[[#This Row],[Net gas 24h, ml]]</f>
        <v>0.40164233933328969</v>
      </c>
      <c r="AP559" s="94">
        <f>Table3.110[[#This Row],[CH4 8h, ml]]/Table3.110[[#This Row],[Net gas 8h, ml]]%</f>
        <v>14.400000000000002</v>
      </c>
      <c r="AQ559" s="94">
        <f>Table3.110[[#This Row],[CH4 24h, ml]]/Table3.110[[#This Row],[Net gas 24h, ml]]%</f>
        <v>15.376906471012571</v>
      </c>
      <c r="AR559" s="94">
        <f>Table3.110[[#This Row],[CH4 24h, ml]]/Table3.110[[#This Row],[DM Incubated, mg]]*1000</f>
        <v>29.683081098617812</v>
      </c>
      <c r="AS559" s="94">
        <f>Table3.110[[#This Row],[CH4 24h, ml]]/Table3.110[[#This Row],[Digested feed, mg]]*1000</f>
        <v>382.85073472427302</v>
      </c>
      <c r="AT559" s="94">
        <f>Table3.110[[#This Row],[CH4 24h, ml]]/'3.2 Digest'!AA559</f>
        <v>-0.33839684998585962</v>
      </c>
      <c r="AU559" s="94">
        <f>((Table3.110[[#This Row],[CH4 24h, ml]]/28.9)*16.04)/Table3.110[[#This Row],[DM Incubated, mg]]*1000</f>
        <v>16.47462355784878</v>
      </c>
      <c r="AV559" s="94">
        <f>((Table3.110[[#This Row],[CH4 24h, ml]]/28.9)*16.04)/Table3.110[[#This Row],[Digested feed, mg]]*1000</f>
        <v>212.48878148710514</v>
      </c>
      <c r="AW559" s="99"/>
      <c r="AX559" s="99"/>
    </row>
    <row r="560" spans="2:50" s="89" customFormat="1" x14ac:dyDescent="0.35">
      <c r="B560" s="90">
        <f t="shared" si="8"/>
        <v>550</v>
      </c>
      <c r="C560" s="140">
        <v>46050</v>
      </c>
      <c r="D560" s="6" t="s">
        <v>16</v>
      </c>
      <c r="E560" s="6" t="s">
        <v>207</v>
      </c>
      <c r="F560" s="133" t="s">
        <v>105</v>
      </c>
      <c r="G560" s="133" t="s">
        <v>188</v>
      </c>
      <c r="H560" s="133" t="s">
        <v>189</v>
      </c>
      <c r="I560" s="125" t="s">
        <v>108</v>
      </c>
      <c r="J560" s="138" t="s">
        <v>109</v>
      </c>
      <c r="K560" s="138" t="s">
        <v>110</v>
      </c>
      <c r="L560" s="6" t="s">
        <v>206</v>
      </c>
      <c r="M560" s="93">
        <v>28</v>
      </c>
      <c r="N560" s="93">
        <v>61</v>
      </c>
      <c r="O560" s="6">
        <v>2</v>
      </c>
      <c r="P560" s="129">
        <v>2</v>
      </c>
      <c r="Q560" s="6">
        <v>0</v>
      </c>
      <c r="R560" s="98">
        <v>0.50029999999999997</v>
      </c>
      <c r="S560" s="94">
        <f>((Table3.110[[#This Row],[Sample weight, g]]*'2.1. DM'!Q129)/100)*1000</f>
        <v>488.56974303309011</v>
      </c>
      <c r="T560" s="94">
        <f>'3.2 Digest'!W560</f>
        <v>236.56974303309011</v>
      </c>
      <c r="U560" s="117">
        <v>0.36249999999999999</v>
      </c>
      <c r="V560" s="155">
        <v>40.5</v>
      </c>
      <c r="W560" s="117">
        <v>0.69861111111111107</v>
      </c>
      <c r="X560" s="96">
        <v>82.5</v>
      </c>
      <c r="Y560" s="96">
        <v>14.7</v>
      </c>
      <c r="Z560" s="155">
        <v>40</v>
      </c>
      <c r="AA560" s="117">
        <v>0.40138888888888891</v>
      </c>
      <c r="AB560" s="155">
        <v>99</v>
      </c>
      <c r="AC560" s="155">
        <v>16</v>
      </c>
      <c r="AD560" s="96"/>
      <c r="AE560" s="94">
        <f>Table3.110[[#This Row],[Gas 8h, ml]]-Table3.110[[#This Row],[Gas 0h, ml]]</f>
        <v>42</v>
      </c>
      <c r="AF560" s="94">
        <f>Table3.110[[#This Row],[Gas 24h, ml]]-Table3.110[[#This Row],[V8 Push back, ml]]</f>
        <v>59</v>
      </c>
      <c r="AG560" s="94">
        <f>Table3.110[[#This Row],[GP 8h, ml]]-(AVERAGE(AE$479,AE$480,AE$660,AE$661,AE$662,AE$663))*AG$8</f>
        <v>38.607474101643646</v>
      </c>
      <c r="AH560" s="94">
        <f>Table3.110[[#This Row],[GP 8-24h, ml]]-(AVERAGE(AF$479,AF$480,AF$660,AF$661,AF$662,AF$663))*AG$8</f>
        <v>54.685592064046816</v>
      </c>
      <c r="AI560" s="94">
        <f>Table3.110[[#This Row],[Net gas 8-24h, ml]]+Table3.110[[#This Row],[Net gas 8h, ml]]</f>
        <v>93.293066165690462</v>
      </c>
      <c r="AJ560" s="94">
        <f>Table3.110[[#This Row],[Net gas 8h, ml]]*Table3.110[[#This Row],[CH4 8h %]]%</f>
        <v>5.6752986929416158</v>
      </c>
      <c r="AK560" s="94">
        <f>Table3.110[[#This Row],[Net gas 8-24h, ml]]*Table3.110[[#This Row],[CH4 24h, %]]%</f>
        <v>8.7496947302474908</v>
      </c>
      <c r="AL560" s="94">
        <f>Table3.110[[#This Row],[CH4 8-24h, ml]]+Table3.110[[#This Row],[CH4 8h, ml]]</f>
        <v>14.424993423189107</v>
      </c>
      <c r="AM560" s="94">
        <f>(Table3.110[[#This Row],[Net gas 24h, ml]]/Table3.110[[#This Row],[DM Incubated, mg]])*1000</f>
        <v>190.95137899149816</v>
      </c>
      <c r="AN560" s="94">
        <f>'3.2 Digest'!X560</f>
        <v>48.420874687089984</v>
      </c>
      <c r="AO560" s="94">
        <f>Table3.110[[#This Row],[Digested feed, mg]]/Table3.110[[#This Row],[Net gas 24h, ml]]</f>
        <v>2.5357698353802332</v>
      </c>
      <c r="AP560" s="94">
        <f>Table3.110[[#This Row],[CH4 8h, ml]]/Table3.110[[#This Row],[Net gas 8h, ml]]%</f>
        <v>14.7</v>
      </c>
      <c r="AQ560" s="94">
        <f>Table3.110[[#This Row],[CH4 24h, ml]]/Table3.110[[#This Row],[Net gas 24h, ml]]%</f>
        <v>15.462020936872214</v>
      </c>
      <c r="AR560" s="94">
        <f>Table3.110[[#This Row],[CH4 24h, ml]]/Table3.110[[#This Row],[DM Incubated, mg]]*1000</f>
        <v>29.52494219891166</v>
      </c>
      <c r="AS560" s="94">
        <f>Table3.110[[#This Row],[CH4 24h, ml]]/Table3.110[[#This Row],[Digested feed, mg]]*1000</f>
        <v>60.975648188329039</v>
      </c>
      <c r="AT560" s="94">
        <f>Table3.110[[#This Row],[CH4 24h, ml]]/'3.2 Digest'!AA560</f>
        <v>0.71666107881415753</v>
      </c>
      <c r="AU560" s="94">
        <f>((Table3.110[[#This Row],[CH4 24h, ml]]/28.9)*16.04)/Table3.110[[#This Row],[DM Incubated, mg]]*1000</f>
        <v>16.386853732544743</v>
      </c>
      <c r="AV560" s="94">
        <f>((Table3.110[[#This Row],[CH4 24h, ml]]/28.9)*16.04)/Table3.110[[#This Row],[Digested feed, mg]]*1000</f>
        <v>33.842539686532803</v>
      </c>
    </row>
    <row r="561" spans="2:48" s="89" customFormat="1" x14ac:dyDescent="0.35">
      <c r="B561" s="90">
        <f t="shared" si="8"/>
        <v>551</v>
      </c>
      <c r="C561" s="140">
        <v>46050</v>
      </c>
      <c r="D561" s="6" t="s">
        <v>16</v>
      </c>
      <c r="E561" s="6" t="s">
        <v>207</v>
      </c>
      <c r="F561" s="133" t="s">
        <v>105</v>
      </c>
      <c r="G561" s="133" t="s">
        <v>188</v>
      </c>
      <c r="H561" s="133" t="s">
        <v>189</v>
      </c>
      <c r="I561" s="125" t="s">
        <v>108</v>
      </c>
      <c r="J561" s="138" t="s">
        <v>109</v>
      </c>
      <c r="K561" s="138" t="s">
        <v>110</v>
      </c>
      <c r="L561" s="6" t="s">
        <v>206</v>
      </c>
      <c r="M561" s="93">
        <v>28</v>
      </c>
      <c r="N561" s="93">
        <v>61</v>
      </c>
      <c r="O561" s="6">
        <v>2</v>
      </c>
      <c r="P561" s="129">
        <v>3</v>
      </c>
      <c r="Q561" s="6">
        <v>0</v>
      </c>
      <c r="R561" s="98">
        <v>0.50049999999999994</v>
      </c>
      <c r="S561" s="94">
        <f>((Table3.110[[#This Row],[Sample weight, g]]*'2.1. DM'!Q129)/100)*1000</f>
        <v>488.76505374387688</v>
      </c>
      <c r="T561" s="94">
        <f>'3.2 Digest'!W561</f>
        <v>257.16505374387685</v>
      </c>
      <c r="U561" s="153">
        <v>0.36249999999999999</v>
      </c>
      <c r="V561" s="155">
        <v>40</v>
      </c>
      <c r="W561" s="153">
        <v>0.69930555555555551</v>
      </c>
      <c r="X561" s="91">
        <v>84</v>
      </c>
      <c r="Y561" s="91">
        <v>14.6</v>
      </c>
      <c r="Z561" s="154">
        <v>40</v>
      </c>
      <c r="AA561" s="153">
        <v>0.40208333333333335</v>
      </c>
      <c r="AB561" s="154">
        <v>98.5</v>
      </c>
      <c r="AC561" s="154">
        <v>16.100000000000001</v>
      </c>
      <c r="AD561" s="91"/>
      <c r="AE561" s="94">
        <f>Table3.110[[#This Row],[Gas 8h, ml]]-Table3.110[[#This Row],[Gas 0h, ml]]</f>
        <v>44</v>
      </c>
      <c r="AF561" s="94">
        <f>Table3.110[[#This Row],[Gas 24h, ml]]-Table3.110[[#This Row],[V8 Push back, ml]]</f>
        <v>58.5</v>
      </c>
      <c r="AG561" s="94">
        <f>Table3.110[[#This Row],[GP 8h, ml]]-(AVERAGE(AE$479,AE$480,AE$660,AE$661,AE$662,AE$663))*AG$8</f>
        <v>40.607474101643646</v>
      </c>
      <c r="AH561" s="94">
        <f>Table3.110[[#This Row],[GP 8-24h, ml]]-(AVERAGE(AF$479,AF$480,AF$660,AF$661,AF$662,AF$663))*AG$8</f>
        <v>54.185592064046816</v>
      </c>
      <c r="AI561" s="94">
        <f>Table3.110[[#This Row],[Net gas 8-24h, ml]]+Table3.110[[#This Row],[Net gas 8h, ml]]</f>
        <v>94.793066165690462</v>
      </c>
      <c r="AJ561" s="94">
        <f>Table3.110[[#This Row],[Net gas 8h, ml]]*Table3.110[[#This Row],[CH4 8h %]]%</f>
        <v>5.9286912188399716</v>
      </c>
      <c r="AK561" s="94">
        <f>Table3.110[[#This Row],[Net gas 8-24h, ml]]*Table3.110[[#This Row],[CH4 24h, %]]%</f>
        <v>8.7238803223115369</v>
      </c>
      <c r="AL561" s="94">
        <f>Table3.110[[#This Row],[CH4 8-24h, ml]]+Table3.110[[#This Row],[CH4 8h, ml]]</f>
        <v>14.652571541151509</v>
      </c>
      <c r="AM561" s="94">
        <f>(Table3.110[[#This Row],[Net gas 24h, ml]]/Table3.110[[#This Row],[DM Incubated, mg]])*1000</f>
        <v>193.94403392711462</v>
      </c>
      <c r="AN561" s="94">
        <f>'3.2 Digest'!X561</f>
        <v>52.615270215009424</v>
      </c>
      <c r="AO561" s="94">
        <f>Table3.110[[#This Row],[Digested feed, mg]]/Table3.110[[#This Row],[Net gas 24h, ml]]</f>
        <v>2.7129099642622969</v>
      </c>
      <c r="AP561" s="94">
        <f>Table3.110[[#This Row],[CH4 8h, ml]]/Table3.110[[#This Row],[Net gas 8h, ml]]%</f>
        <v>14.599999999999998</v>
      </c>
      <c r="AQ561" s="94">
        <f>Table3.110[[#This Row],[CH4 24h, ml]]/Table3.110[[#This Row],[Net gas 24h, ml]]%</f>
        <v>15.457429676913312</v>
      </c>
      <c r="AR561" s="94">
        <f>Table3.110[[#This Row],[CH4 24h, ml]]/Table3.110[[#This Row],[DM Incubated, mg]]*1000</f>
        <v>29.978762656852641</v>
      </c>
      <c r="AS561" s="94">
        <f>Table3.110[[#This Row],[CH4 24h, ml]]/Table3.110[[#This Row],[Digested feed, mg]]*1000</f>
        <v>56.977304372563452</v>
      </c>
      <c r="AT561" s="94">
        <f>Table3.110[[#This Row],[CH4 24h, ml]]/'3.2 Digest'!AA561</f>
        <v>0.55036828555928297</v>
      </c>
      <c r="AU561" s="94">
        <f>((Table3.110[[#This Row],[CH4 24h, ml]]/28.9)*16.04)/Table3.110[[#This Row],[DM Incubated, mg]]*1000</f>
        <v>16.638731938267</v>
      </c>
      <c r="AV561" s="94">
        <f>((Table3.110[[#This Row],[CH4 24h, ml]]/28.9)*16.04)/Table3.110[[#This Row],[Digested feed, mg]]*1000</f>
        <v>31.623389693284349</v>
      </c>
    </row>
    <row r="562" spans="2:48" s="89" customFormat="1" x14ac:dyDescent="0.35">
      <c r="B562" s="90">
        <f t="shared" si="8"/>
        <v>552</v>
      </c>
      <c r="C562" s="140">
        <v>46050</v>
      </c>
      <c r="D562" s="6" t="s">
        <v>16</v>
      </c>
      <c r="E562" s="6" t="s">
        <v>209</v>
      </c>
      <c r="F562" s="133" t="s">
        <v>105</v>
      </c>
      <c r="G562" s="133" t="s">
        <v>188</v>
      </c>
      <c r="H562" s="133" t="s">
        <v>189</v>
      </c>
      <c r="I562" s="125" t="s">
        <v>108</v>
      </c>
      <c r="J562" s="138" t="s">
        <v>109</v>
      </c>
      <c r="K562" s="138" t="s">
        <v>110</v>
      </c>
      <c r="L562" s="6" t="s">
        <v>208</v>
      </c>
      <c r="M562" s="93">
        <v>28</v>
      </c>
      <c r="N562" s="93">
        <v>61</v>
      </c>
      <c r="O562" s="6">
        <v>2</v>
      </c>
      <c r="P562" s="129">
        <v>1</v>
      </c>
      <c r="Q562" s="6">
        <v>0</v>
      </c>
      <c r="R562" s="98">
        <v>0.50009999999999999</v>
      </c>
      <c r="S562" s="94">
        <f>((Table3.110[[#This Row],[Sample weight, g]]*'2.1. DM'!Q131)/100)*1000</f>
        <v>482.72927020554636</v>
      </c>
      <c r="T562" s="94">
        <f>'3.2 Digest'!W562</f>
        <v>251.22927020554633</v>
      </c>
      <c r="U562" s="117">
        <v>0.36319444444444443</v>
      </c>
      <c r="V562" s="155">
        <v>40.5</v>
      </c>
      <c r="W562" s="117">
        <v>0.69930555555555551</v>
      </c>
      <c r="X562" s="96">
        <v>85.5</v>
      </c>
      <c r="Y562" s="96">
        <v>14.9</v>
      </c>
      <c r="Z562" s="155">
        <v>40</v>
      </c>
      <c r="AA562" s="117">
        <v>0.40208333333333335</v>
      </c>
      <c r="AB562" s="155">
        <v>100.5</v>
      </c>
      <c r="AC562" s="155">
        <v>16.2</v>
      </c>
      <c r="AD562" s="96"/>
      <c r="AE562" s="94">
        <f>Table3.110[[#This Row],[Gas 8h, ml]]-Table3.110[[#This Row],[Gas 0h, ml]]</f>
        <v>45</v>
      </c>
      <c r="AF562" s="94">
        <f>Table3.110[[#This Row],[Gas 24h, ml]]-Table3.110[[#This Row],[V8 Push back, ml]]</f>
        <v>60.5</v>
      </c>
      <c r="AG562" s="94">
        <f>Table3.110[[#This Row],[GP 8h, ml]]-(AVERAGE(AE$479,AE$480,AE$660,AE$661,AE$662,AE$663))*AG$8</f>
        <v>41.607474101643646</v>
      </c>
      <c r="AH562" s="94">
        <f>Table3.110[[#This Row],[GP 8-24h, ml]]-(AVERAGE(AF$479,AF$480,AF$660,AF$661,AF$662,AF$663))*AG$8</f>
        <v>56.185592064046816</v>
      </c>
      <c r="AI562" s="94">
        <f>Table3.110[[#This Row],[Net gas 8-24h, ml]]+Table3.110[[#This Row],[Net gas 8h, ml]]</f>
        <v>97.793066165690462</v>
      </c>
      <c r="AJ562" s="94">
        <f>Table3.110[[#This Row],[Net gas 8h, ml]]*Table3.110[[#This Row],[CH4 8h %]]%</f>
        <v>6.199513641144903</v>
      </c>
      <c r="AK562" s="94">
        <f>Table3.110[[#This Row],[Net gas 8-24h, ml]]*Table3.110[[#This Row],[CH4 24h, %]]%</f>
        <v>9.1020659143755847</v>
      </c>
      <c r="AL562" s="94">
        <f>Table3.110[[#This Row],[CH4 8-24h, ml]]+Table3.110[[#This Row],[CH4 8h, ml]]</f>
        <v>15.301579555520487</v>
      </c>
      <c r="AM562" s="94">
        <f>(Table3.110[[#This Row],[Net gas 24h, ml]]/Table3.110[[#This Row],[DM Incubated, mg]])*1000</f>
        <v>202.58366790986204</v>
      </c>
      <c r="AN562" s="94">
        <f>'3.2 Digest'!X562</f>
        <v>52.043512940197886</v>
      </c>
      <c r="AO562" s="94">
        <f>Table3.110[[#This Row],[Digested feed, mg]]/Table3.110[[#This Row],[Net gas 24h, ml]]</f>
        <v>2.5689885802321548</v>
      </c>
      <c r="AP562" s="94">
        <f>Table3.110[[#This Row],[CH4 8h, ml]]/Table3.110[[#This Row],[Net gas 8h, ml]]%</f>
        <v>14.899999999999999</v>
      </c>
      <c r="AQ562" s="94">
        <f>Table3.110[[#This Row],[CH4 24h, ml]]/Table3.110[[#This Row],[Net gas 24h, ml]]%</f>
        <v>15.646896201817697</v>
      </c>
      <c r="AR562" s="94">
        <f>Table3.110[[#This Row],[CH4 24h, ml]]/Table3.110[[#This Row],[DM Incubated, mg]]*1000</f>
        <v>31.69805623969118</v>
      </c>
      <c r="AS562" s="94">
        <f>Table3.110[[#This Row],[CH4 24h, ml]]/Table3.110[[#This Row],[Digested feed, mg]]*1000</f>
        <v>60.906834394739555</v>
      </c>
      <c r="AT562" s="94">
        <f>Table3.110[[#This Row],[CH4 24h, ml]]/'3.2 Digest'!AA562</f>
        <v>0.54086825640778735</v>
      </c>
      <c r="AU562" s="94">
        <f>((Table3.110[[#This Row],[CH4 24h, ml]]/28.9)*16.04)/Table3.110[[#This Row],[DM Incubated, mg]]*1000</f>
        <v>17.592969622306107</v>
      </c>
      <c r="AV562" s="94">
        <f>((Table3.110[[#This Row],[CH4 24h, ml]]/28.9)*16.04)/Table3.110[[#This Row],[Digested feed, mg]]*1000</f>
        <v>33.804346840540575</v>
      </c>
    </row>
    <row r="563" spans="2:48" s="89" customFormat="1" x14ac:dyDescent="0.35">
      <c r="B563" s="90">
        <f t="shared" si="8"/>
        <v>553</v>
      </c>
      <c r="C563" s="140">
        <v>46050</v>
      </c>
      <c r="D563" s="6" t="s">
        <v>16</v>
      </c>
      <c r="E563" s="6" t="s">
        <v>209</v>
      </c>
      <c r="F563" s="133" t="s">
        <v>105</v>
      </c>
      <c r="G563" s="133" t="s">
        <v>188</v>
      </c>
      <c r="H563" s="133" t="s">
        <v>189</v>
      </c>
      <c r="I563" s="125" t="s">
        <v>108</v>
      </c>
      <c r="J563" s="138" t="s">
        <v>109</v>
      </c>
      <c r="K563" s="138" t="s">
        <v>110</v>
      </c>
      <c r="L563" s="6" t="s">
        <v>208</v>
      </c>
      <c r="M563" s="93">
        <v>28</v>
      </c>
      <c r="N563" s="93">
        <v>61</v>
      </c>
      <c r="O563" s="6">
        <v>2</v>
      </c>
      <c r="P563" s="129">
        <v>2</v>
      </c>
      <c r="Q563" s="6">
        <v>0</v>
      </c>
      <c r="R563" s="98">
        <v>0.50019999999999998</v>
      </c>
      <c r="S563" s="94">
        <f>((Table3.110[[#This Row],[Sample weight, g]]*'2.1. DM'!Q131)/100)*1000</f>
        <v>482.82579675427769</v>
      </c>
      <c r="T563" s="94">
        <f>'3.2 Digest'!W563</f>
        <v>210.92579675427766</v>
      </c>
      <c r="U563" s="153">
        <v>0.36388888888888887</v>
      </c>
      <c r="V563" s="155">
        <v>40.5</v>
      </c>
      <c r="W563" s="153">
        <v>0.7</v>
      </c>
      <c r="X563" s="91">
        <v>87</v>
      </c>
      <c r="Y563" s="91">
        <v>14.5</v>
      </c>
      <c r="Z563" s="154">
        <v>40</v>
      </c>
      <c r="AA563" s="153">
        <v>0.40277777777777779</v>
      </c>
      <c r="AB563" s="154">
        <v>99</v>
      </c>
      <c r="AC563" s="154">
        <v>16.2</v>
      </c>
      <c r="AD563" s="91"/>
      <c r="AE563" s="94">
        <f>Table3.110[[#This Row],[Gas 8h, ml]]-Table3.110[[#This Row],[Gas 0h, ml]]</f>
        <v>46.5</v>
      </c>
      <c r="AF563" s="94">
        <f>Table3.110[[#This Row],[Gas 24h, ml]]-Table3.110[[#This Row],[V8 Push back, ml]]</f>
        <v>59</v>
      </c>
      <c r="AG563" s="94">
        <f>Table3.110[[#This Row],[GP 8h, ml]]-(AVERAGE(AE$479,AE$480,AE$660,AE$661,AE$662,AE$663))*AG$8</f>
        <v>43.107474101643646</v>
      </c>
      <c r="AH563" s="94">
        <f>Table3.110[[#This Row],[GP 8-24h, ml]]-(AVERAGE(AF$479,AF$480,AF$660,AF$661,AF$662,AF$663))*AG$8</f>
        <v>54.685592064046816</v>
      </c>
      <c r="AI563" s="94">
        <f>Table3.110[[#This Row],[Net gas 8-24h, ml]]+Table3.110[[#This Row],[Net gas 8h, ml]]</f>
        <v>97.793066165690462</v>
      </c>
      <c r="AJ563" s="94">
        <f>Table3.110[[#This Row],[Net gas 8h, ml]]*Table3.110[[#This Row],[CH4 8h %]]%</f>
        <v>6.2505837447383286</v>
      </c>
      <c r="AK563" s="94">
        <f>Table3.110[[#This Row],[Net gas 8-24h, ml]]*Table3.110[[#This Row],[CH4 24h, %]]%</f>
        <v>8.8590659143755843</v>
      </c>
      <c r="AL563" s="94">
        <f>Table3.110[[#This Row],[CH4 8-24h, ml]]+Table3.110[[#This Row],[CH4 8h, ml]]</f>
        <v>15.109649659113913</v>
      </c>
      <c r="AM563" s="94">
        <f>(Table3.110[[#This Row],[Net gas 24h, ml]]/Table3.110[[#This Row],[DM Incubated, mg]])*1000</f>
        <v>202.54316737649341</v>
      </c>
      <c r="AN563" s="94">
        <f>'3.2 Digest'!X563</f>
        <v>43.685693302262216</v>
      </c>
      <c r="AO563" s="94">
        <f>Table3.110[[#This Row],[Digested feed, mg]]/Table3.110[[#This Row],[Net gas 24h, ml]]</f>
        <v>2.1568584054508197</v>
      </c>
      <c r="AP563" s="94">
        <f>Table3.110[[#This Row],[CH4 8h, ml]]/Table3.110[[#This Row],[Net gas 8h, ml]]%</f>
        <v>14.5</v>
      </c>
      <c r="AQ563" s="94">
        <f>Table3.110[[#This Row],[CH4 24h, ml]]/Table3.110[[#This Row],[Net gas 24h, ml]]%</f>
        <v>15.450634949428506</v>
      </c>
      <c r="AR563" s="94">
        <f>Table3.110[[#This Row],[CH4 24h, ml]]/Table3.110[[#This Row],[DM Incubated, mg]]*1000</f>
        <v>31.294205406351963</v>
      </c>
      <c r="AS563" s="94">
        <f>Table3.110[[#This Row],[CH4 24h, ml]]/Table3.110[[#This Row],[Digested feed, mg]]*1000</f>
        <v>71.634906168998427</v>
      </c>
      <c r="AT563" s="94">
        <f>Table3.110[[#This Row],[CH4 24h, ml]]/'3.2 Digest'!AA563</f>
        <v>0.95671015999673137</v>
      </c>
      <c r="AU563" s="94">
        <f>((Table3.110[[#This Row],[CH4 24h, ml]]/28.9)*16.04)/Table3.110[[#This Row],[DM Incubated, mg]]*1000</f>
        <v>17.368825422764207</v>
      </c>
      <c r="AV563" s="94">
        <f>((Table3.110[[#This Row],[CH4 24h, ml]]/28.9)*16.04)/Table3.110[[#This Row],[Digested feed, mg]]*1000</f>
        <v>39.758612282032345</v>
      </c>
    </row>
    <row r="564" spans="2:48" s="89" customFormat="1" x14ac:dyDescent="0.35">
      <c r="B564" s="90">
        <f t="shared" si="8"/>
        <v>554</v>
      </c>
      <c r="C564" s="140">
        <v>46050</v>
      </c>
      <c r="D564" s="6" t="s">
        <v>16</v>
      </c>
      <c r="E564" s="6" t="s">
        <v>209</v>
      </c>
      <c r="F564" s="133" t="s">
        <v>105</v>
      </c>
      <c r="G564" s="133" t="s">
        <v>188</v>
      </c>
      <c r="H564" s="133" t="s">
        <v>189</v>
      </c>
      <c r="I564" s="125" t="s">
        <v>108</v>
      </c>
      <c r="J564" s="138" t="s">
        <v>109</v>
      </c>
      <c r="K564" s="138" t="s">
        <v>110</v>
      </c>
      <c r="L564" s="6" t="s">
        <v>208</v>
      </c>
      <c r="M564" s="93">
        <v>28</v>
      </c>
      <c r="N564" s="93">
        <v>61</v>
      </c>
      <c r="O564" s="6">
        <v>2</v>
      </c>
      <c r="P564" s="129">
        <v>3</v>
      </c>
      <c r="Q564" s="6">
        <v>0</v>
      </c>
      <c r="R564" s="98">
        <v>0.50039999999999996</v>
      </c>
      <c r="S564" s="94">
        <f>((Table3.110[[#This Row],[Sample weight, g]]*'2.1. DM'!Q131)/100)*1000</f>
        <v>483.0188498517403</v>
      </c>
      <c r="T564" s="94">
        <f>'3.2 Digest'!W564</f>
        <v>65.318849851740254</v>
      </c>
      <c r="U564" s="117">
        <v>0.36388888888888887</v>
      </c>
      <c r="V564" s="155">
        <v>40.5</v>
      </c>
      <c r="W564" s="117">
        <v>0.7006944444444444</v>
      </c>
      <c r="X564" s="96">
        <v>86</v>
      </c>
      <c r="Y564" s="96">
        <v>14.8</v>
      </c>
      <c r="Z564" s="155">
        <v>40</v>
      </c>
      <c r="AA564" s="117">
        <v>0.40277777777777779</v>
      </c>
      <c r="AB564" s="155">
        <v>101</v>
      </c>
      <c r="AC564" s="155">
        <v>16.2</v>
      </c>
      <c r="AD564" s="96"/>
      <c r="AE564" s="94">
        <f>Table3.110[[#This Row],[Gas 8h, ml]]-Table3.110[[#This Row],[Gas 0h, ml]]</f>
        <v>45.5</v>
      </c>
      <c r="AF564" s="94">
        <f>Table3.110[[#This Row],[Gas 24h, ml]]-Table3.110[[#This Row],[V8 Push back, ml]]</f>
        <v>61</v>
      </c>
      <c r="AG564" s="94">
        <f>Table3.110[[#This Row],[GP 8h, ml]]-(AVERAGE(AE$479,AE$480,AE$660,AE$661,AE$662,AE$663))*AG$8</f>
        <v>42.107474101643646</v>
      </c>
      <c r="AH564" s="94">
        <f>Table3.110[[#This Row],[GP 8-24h, ml]]-(AVERAGE(AF$479,AF$480,AF$660,AF$661,AF$662,AF$663))*AG$8</f>
        <v>56.685592064046816</v>
      </c>
      <c r="AI564" s="94">
        <f>Table3.110[[#This Row],[Net gas 8-24h, ml]]+Table3.110[[#This Row],[Net gas 8h, ml]]</f>
        <v>98.793066165690462</v>
      </c>
      <c r="AJ564" s="94">
        <f>Table3.110[[#This Row],[Net gas 8h, ml]]*Table3.110[[#This Row],[CH4 8h %]]%</f>
        <v>6.2319061670432605</v>
      </c>
      <c r="AK564" s="94">
        <f>Table3.110[[#This Row],[Net gas 8-24h, ml]]*Table3.110[[#This Row],[CH4 24h, %]]%</f>
        <v>9.1830659143755842</v>
      </c>
      <c r="AL564" s="94">
        <f>Table3.110[[#This Row],[CH4 8-24h, ml]]+Table3.110[[#This Row],[CH4 8h, ml]]</f>
        <v>15.414972081418846</v>
      </c>
      <c r="AM564" s="94">
        <f>(Table3.110[[#This Row],[Net gas 24h, ml]]/Table3.110[[#This Row],[DM Incubated, mg]])*1000</f>
        <v>204.53252744901033</v>
      </c>
      <c r="AN564" s="94">
        <f>'3.2 Digest'!X564</f>
        <v>13.523043639350613</v>
      </c>
      <c r="AO564" s="94">
        <f>Table3.110[[#This Row],[Digested feed, mg]]/Table3.110[[#This Row],[Net gas 24h, ml]]</f>
        <v>0.66116836319454808</v>
      </c>
      <c r="AP564" s="94">
        <f>Table3.110[[#This Row],[CH4 8h, ml]]/Table3.110[[#This Row],[Net gas 8h, ml]]%</f>
        <v>14.800000000000002</v>
      </c>
      <c r="AQ564" s="94">
        <f>Table3.110[[#This Row],[CH4 24h, ml]]/Table3.110[[#This Row],[Net gas 24h, ml]]%</f>
        <v>15.603293510058364</v>
      </c>
      <c r="AR564" s="94">
        <f>Table3.110[[#This Row],[CH4 24h, ml]]/Table3.110[[#This Row],[DM Incubated, mg]]*1000</f>
        <v>31.91381058140977</v>
      </c>
      <c r="AS564" s="94">
        <f>Table3.110[[#This Row],[CH4 24h, ml]]/Table3.110[[#This Row],[Digested feed, mg]]*1000</f>
        <v>235.99576716992902</v>
      </c>
      <c r="AT564" s="94">
        <f>Table3.110[[#This Row],[CH4 24h, ml]]/'3.2 Digest'!AA564</f>
        <v>-0.52595024467723528</v>
      </c>
      <c r="AU564" s="94">
        <f>((Table3.110[[#This Row],[CH4 24h, ml]]/28.9)*16.04)/Table3.110[[#This Row],[DM Incubated, mg]]*1000</f>
        <v>17.712717014734</v>
      </c>
      <c r="AV564" s="94">
        <f>((Table3.110[[#This Row],[CH4 24h, ml]]/28.9)*16.04)/Table3.110[[#This Row],[Digested feed, mg]]*1000</f>
        <v>130.98173375106094</v>
      </c>
    </row>
    <row r="565" spans="2:48" s="89" customFormat="1" x14ac:dyDescent="0.35">
      <c r="B565" s="90">
        <f t="shared" si="8"/>
        <v>555</v>
      </c>
      <c r="C565" s="140">
        <v>46055</v>
      </c>
      <c r="D565" s="6" t="s">
        <v>16</v>
      </c>
      <c r="E565" s="6" t="s">
        <v>211</v>
      </c>
      <c r="F565" s="133" t="s">
        <v>212</v>
      </c>
      <c r="G565" s="133" t="s">
        <v>213</v>
      </c>
      <c r="H565" s="133" t="s">
        <v>214</v>
      </c>
      <c r="I565" s="125" t="s">
        <v>22</v>
      </c>
      <c r="J565" s="127" t="s">
        <v>23</v>
      </c>
      <c r="K565" s="125" t="s">
        <v>215</v>
      </c>
      <c r="L565" s="6" t="s">
        <v>210</v>
      </c>
      <c r="M565" s="93">
        <v>28</v>
      </c>
      <c r="N565" s="93">
        <v>62</v>
      </c>
      <c r="O565" s="6">
        <v>2</v>
      </c>
      <c r="P565" s="129">
        <v>1</v>
      </c>
      <c r="Q565" s="6">
        <v>0</v>
      </c>
      <c r="R565" s="98">
        <v>0.5</v>
      </c>
      <c r="S565" s="94">
        <f>((Table3.110[[#This Row],[Sample weight, g]]*'2.1. DM'!Q133)/100)*1000</f>
        <v>458.38332541833336</v>
      </c>
      <c r="T565" s="94">
        <f>'3.2 Digest'!W565</f>
        <v>199.58332541833335</v>
      </c>
      <c r="U565" s="117">
        <v>0.3347222222222222</v>
      </c>
      <c r="V565" s="155">
        <v>40</v>
      </c>
      <c r="W565" s="117">
        <v>0.66666666666666663</v>
      </c>
      <c r="X565" s="96">
        <v>72.5</v>
      </c>
      <c r="Y565" s="96">
        <v>13.1</v>
      </c>
      <c r="Z565" s="155">
        <v>39.5</v>
      </c>
      <c r="AA565" s="117">
        <v>0.34097222222222223</v>
      </c>
      <c r="AB565" s="155">
        <v>77</v>
      </c>
      <c r="AC565" s="155">
        <v>16.8</v>
      </c>
      <c r="AD565" s="96"/>
      <c r="AE565" s="94">
        <f>Table3.110[[#This Row],[Gas 8h, ml]]-Table3.110[[#This Row],[Gas 0h, ml]]</f>
        <v>32.5</v>
      </c>
      <c r="AF565" s="94">
        <f>Table3.110[[#This Row],[Gas 24h, ml]]-Table3.110[[#This Row],[V8 Push back, ml]]</f>
        <v>37.5</v>
      </c>
      <c r="AG565" s="94">
        <f>Table3.110[[#This Row],[GP 8h, ml]]-(AVERAGE(AE$658,AE$659))*$AG$8</f>
        <v>31.836244932930278</v>
      </c>
      <c r="AH565" s="94">
        <f>Table3.110[[#This Row],[GP 8-24h, ml]]-(AVERAGE(AF$658,AF$659))*$AG$8</f>
        <v>35.50873479879084</v>
      </c>
      <c r="AI565" s="94">
        <f>Table3.110[[#This Row],[Net gas 8-24h, ml]]+Table3.110[[#This Row],[Net gas 8h, ml]]</f>
        <v>67.344979731721111</v>
      </c>
      <c r="AJ565" s="94">
        <f>Table3.110[[#This Row],[Net gas 8h, ml]]*Table3.110[[#This Row],[CH4 8h %]]%</f>
        <v>4.1705480862138664</v>
      </c>
      <c r="AK565" s="94">
        <f>Table3.110[[#This Row],[Net gas 8-24h, ml]]*Table3.110[[#This Row],[CH4 24h, %]]%</f>
        <v>5.9654674461968611</v>
      </c>
      <c r="AL565" s="94">
        <f>Table3.110[[#This Row],[CH4 8-24h, ml]]+Table3.110[[#This Row],[CH4 8h, ml]]</f>
        <v>10.136015532410728</v>
      </c>
      <c r="AM565" s="94">
        <f>(Table3.110[[#This Row],[Net gas 24h, ml]]/Table3.110[[#This Row],[DM Incubated, mg]])*1000</f>
        <v>146.91847629985278</v>
      </c>
      <c r="AN565" s="94">
        <f>'3.2 Digest'!X565</f>
        <v>43.540703675507409</v>
      </c>
      <c r="AO565" s="94">
        <f>Table3.110[[#This Row],[Digested feed, mg]]/Table3.110[[#This Row],[Net gas 24h, ml]]</f>
        <v>2.9635961910361193</v>
      </c>
      <c r="AP565" s="94">
        <f>Table3.110[[#This Row],[CH4 8h, ml]]/Table3.110[[#This Row],[Net gas 8h, ml]]%</f>
        <v>13.1</v>
      </c>
      <c r="AQ565" s="94">
        <f>Table3.110[[#This Row],[CH4 24h, ml]]/Table3.110[[#This Row],[Net gas 24h, ml]]%</f>
        <v>15.050885118369736</v>
      </c>
      <c r="AR565" s="94">
        <f>Table3.110[[#This Row],[CH4 24h, ml]]/Table3.110[[#This Row],[DM Incubated, mg]]*1000</f>
        <v>22.11253108555011</v>
      </c>
      <c r="AS565" s="94">
        <f>Table3.110[[#This Row],[CH4 24h, ml]]/Table3.110[[#This Row],[Digested feed, mg]]*1000</f>
        <v>50.785883596063442</v>
      </c>
      <c r="AT565" s="94">
        <f>Table3.110[[#This Row],[CH4 24h, ml]]/'3.2 Digest'!AA565</f>
        <v>-7.0160049340283699</v>
      </c>
      <c r="AU565" s="94">
        <f>((Table3.110[[#This Row],[CH4 24h, ml]]/28.9)*16.04)/Table3.110[[#This Row],[DM Incubated, mg]]*1000</f>
        <v>12.272837322222275</v>
      </c>
      <c r="AV565" s="94">
        <f>((Table3.110[[#This Row],[CH4 24h, ml]]/28.9)*16.04)/Table3.110[[#This Row],[Digested feed, mg]]*1000</f>
        <v>28.187044044320338</v>
      </c>
    </row>
    <row r="566" spans="2:48" s="89" customFormat="1" x14ac:dyDescent="0.35">
      <c r="B566" s="90">
        <f t="shared" si="8"/>
        <v>556</v>
      </c>
      <c r="C566" s="140">
        <v>46055</v>
      </c>
      <c r="D566" s="6" t="s">
        <v>16</v>
      </c>
      <c r="E566" s="6" t="s">
        <v>211</v>
      </c>
      <c r="F566" s="133" t="s">
        <v>212</v>
      </c>
      <c r="G566" s="133" t="s">
        <v>213</v>
      </c>
      <c r="H566" s="133" t="s">
        <v>214</v>
      </c>
      <c r="I566" s="125" t="s">
        <v>22</v>
      </c>
      <c r="J566" s="127" t="s">
        <v>23</v>
      </c>
      <c r="K566" s="125" t="s">
        <v>215</v>
      </c>
      <c r="L566" s="6" t="s">
        <v>210</v>
      </c>
      <c r="M566" s="93">
        <v>28</v>
      </c>
      <c r="N566" s="93">
        <v>62</v>
      </c>
      <c r="O566" s="6">
        <v>2</v>
      </c>
      <c r="P566" s="129">
        <v>2</v>
      </c>
      <c r="Q566" s="6">
        <v>0</v>
      </c>
      <c r="R566" s="98">
        <v>0.50049999999999994</v>
      </c>
      <c r="S566" s="94">
        <f>((Table3.110[[#This Row],[Sample weight, g]]*'2.1. DM'!Q133)/100)*1000</f>
        <v>458.84170874375161</v>
      </c>
      <c r="T566" s="94">
        <f>'3.2 Digest'!W566</f>
        <v>229.14170874375159</v>
      </c>
      <c r="U566" s="117">
        <v>0.33541666666666664</v>
      </c>
      <c r="V566" s="155">
        <v>40.5</v>
      </c>
      <c r="W566" s="117">
        <v>0.66736111111111107</v>
      </c>
      <c r="X566" s="96">
        <v>61</v>
      </c>
      <c r="Y566" s="96">
        <v>14.2</v>
      </c>
      <c r="Z566" s="155">
        <v>40</v>
      </c>
      <c r="AA566" s="117">
        <v>0.34236111111111112</v>
      </c>
      <c r="AB566" s="155">
        <v>55</v>
      </c>
      <c r="AC566" s="155">
        <v>16.600000000000001</v>
      </c>
      <c r="AD566" s="96" t="s">
        <v>571</v>
      </c>
      <c r="AE566" s="94">
        <f>Table3.110[[#This Row],[Gas 8h, ml]]-Table3.110[[#This Row],[Gas 0h, ml]]</f>
        <v>20.5</v>
      </c>
      <c r="AF566" s="94">
        <f>Table3.110[[#This Row],[Gas 24h, ml]]-Table3.110[[#This Row],[V8 Push back, ml]]</f>
        <v>15</v>
      </c>
      <c r="AG566" s="94">
        <f>Table3.110[[#This Row],[GP 8h, ml]]-(AVERAGE(AE$658,AE$659))*$AG$8</f>
        <v>19.836244932930278</v>
      </c>
      <c r="AH566" s="94">
        <f>Table3.110[[#This Row],[GP 8-24h, ml]]-(AVERAGE(AF$658,AF$659))*$AG$8</f>
        <v>13.008734798790837</v>
      </c>
      <c r="AI566" s="94">
        <f>Table3.110[[#This Row],[Net gas 8-24h, ml]]+Table3.110[[#This Row],[Net gas 8h, ml]]</f>
        <v>32.844979731721111</v>
      </c>
      <c r="AJ566" s="94">
        <f>Table3.110[[#This Row],[Net gas 8h, ml]]*Table3.110[[#This Row],[CH4 8h %]]%</f>
        <v>2.8167467804760991</v>
      </c>
      <c r="AK566" s="94">
        <f>Table3.110[[#This Row],[Net gas 8-24h, ml]]*Table3.110[[#This Row],[CH4 24h, %]]%</f>
        <v>2.1594499765992792</v>
      </c>
      <c r="AL566" s="94">
        <f>Table3.110[[#This Row],[CH4 8-24h, ml]]+Table3.110[[#This Row],[CH4 8h, ml]]</f>
        <v>4.9761967570753782</v>
      </c>
      <c r="AM566" s="94">
        <f>(Table3.110[[#This Row],[Net gas 24h, ml]]/Table3.110[[#This Row],[DM Incubated, mg]])*1000</f>
        <v>71.582376026029451</v>
      </c>
      <c r="AN566" s="94">
        <f>'3.2 Digest'!X566</f>
        <v>49.939162978690739</v>
      </c>
      <c r="AO566" s="94">
        <f>Table3.110[[#This Row],[Digested feed, mg]]/Table3.110[[#This Row],[Net gas 24h, ml]]</f>
        <v>6.976460652903083</v>
      </c>
      <c r="AP566" s="94">
        <f>Table3.110[[#This Row],[CH4 8h, ml]]/Table3.110[[#This Row],[Net gas 8h, ml]]%</f>
        <v>14.199999999999998</v>
      </c>
      <c r="AQ566" s="94">
        <f>Table3.110[[#This Row],[CH4 24h, ml]]/Table3.110[[#This Row],[Net gas 24h, ml]]%</f>
        <v>15.150555115945021</v>
      </c>
      <c r="AR566" s="94">
        <f>Table3.110[[#This Row],[CH4 24h, ml]]/Table3.110[[#This Row],[DM Incubated, mg]]*1000</f>
        <v>10.845127333126607</v>
      </c>
      <c r="AS566" s="94">
        <f>Table3.110[[#This Row],[CH4 24h, ml]]/Table3.110[[#This Row],[Digested feed, mg]]*1000</f>
        <v>21.716678226573944</v>
      </c>
      <c r="AT566" s="94">
        <f>Table3.110[[#This Row],[CH4 24h, ml]]/'3.2 Digest'!AA566</f>
        <v>0.49505046302710182</v>
      </c>
      <c r="AU566" s="94">
        <f>((Table3.110[[#This Row],[CH4 24h, ml]]/28.9)*16.04)/Table3.110[[#This Row],[DM Incubated, mg]]*1000</f>
        <v>6.0192333018460475</v>
      </c>
      <c r="AV566" s="94">
        <f>((Table3.110[[#This Row],[CH4 24h, ml]]/28.9)*16.04)/Table3.110[[#This Row],[Digested feed, mg]]*1000</f>
        <v>12.053132136825123</v>
      </c>
    </row>
    <row r="567" spans="2:48" s="89" customFormat="1" x14ac:dyDescent="0.35">
      <c r="B567" s="90">
        <f t="shared" si="8"/>
        <v>557</v>
      </c>
      <c r="C567" s="140">
        <v>46055</v>
      </c>
      <c r="D567" s="6" t="s">
        <v>16</v>
      </c>
      <c r="E567" s="6" t="s">
        <v>211</v>
      </c>
      <c r="F567" s="133" t="s">
        <v>212</v>
      </c>
      <c r="G567" s="133" t="s">
        <v>213</v>
      </c>
      <c r="H567" s="133" t="s">
        <v>214</v>
      </c>
      <c r="I567" s="125" t="s">
        <v>22</v>
      </c>
      <c r="J567" s="127" t="s">
        <v>23</v>
      </c>
      <c r="K567" s="125" t="s">
        <v>215</v>
      </c>
      <c r="L567" s="6" t="s">
        <v>210</v>
      </c>
      <c r="M567" s="93">
        <v>28</v>
      </c>
      <c r="N567" s="93">
        <v>62</v>
      </c>
      <c r="O567" s="6">
        <v>2</v>
      </c>
      <c r="P567" s="129">
        <v>3</v>
      </c>
      <c r="Q567" s="6">
        <v>0</v>
      </c>
      <c r="R567" s="98">
        <v>0.50019999999999998</v>
      </c>
      <c r="S567" s="94">
        <f>((Table3.110[[#This Row],[Sample weight, g]]*'2.1. DM'!Q133)/100)*1000</f>
        <v>458.56667874850064</v>
      </c>
      <c r="T567" s="94">
        <f>'3.2 Digest'!W567</f>
        <v>187.16667874850054</v>
      </c>
      <c r="U567" s="117">
        <v>0.33541666666666664</v>
      </c>
      <c r="V567" s="155">
        <v>40.5</v>
      </c>
      <c r="W567" s="117">
        <v>0.66805555555555551</v>
      </c>
      <c r="X567" s="96">
        <v>74.5</v>
      </c>
      <c r="Y567" s="96">
        <v>13.4</v>
      </c>
      <c r="Z567" s="155">
        <v>40</v>
      </c>
      <c r="AA567" s="117">
        <v>0.34375</v>
      </c>
      <c r="AB567" s="155">
        <v>80.5</v>
      </c>
      <c r="AC567" s="155">
        <v>16.600000000000001</v>
      </c>
      <c r="AD567" s="96"/>
      <c r="AE567" s="94">
        <f>Table3.110[[#This Row],[Gas 8h, ml]]-Table3.110[[#This Row],[Gas 0h, ml]]</f>
        <v>34</v>
      </c>
      <c r="AF567" s="94">
        <f>Table3.110[[#This Row],[Gas 24h, ml]]-Table3.110[[#This Row],[V8 Push back, ml]]</f>
        <v>40.5</v>
      </c>
      <c r="AG567" s="94">
        <f>Table3.110[[#This Row],[GP 8h, ml]]-(AVERAGE(AE$658,AE$659))*$AG$8</f>
        <v>33.336244932930278</v>
      </c>
      <c r="AH567" s="94">
        <f>Table3.110[[#This Row],[GP 8-24h, ml]]-(AVERAGE(AF$658,AF$659))*$AG$8</f>
        <v>38.50873479879084</v>
      </c>
      <c r="AI567" s="94">
        <f>Table3.110[[#This Row],[Net gas 8-24h, ml]]+Table3.110[[#This Row],[Net gas 8h, ml]]</f>
        <v>71.844979731721111</v>
      </c>
      <c r="AJ567" s="94">
        <f>Table3.110[[#This Row],[Net gas 8h, ml]]*Table3.110[[#This Row],[CH4 8h %]]%</f>
        <v>4.4670568210126573</v>
      </c>
      <c r="AK567" s="94">
        <f>Table3.110[[#This Row],[Net gas 8-24h, ml]]*Table3.110[[#This Row],[CH4 24h, %]]%</f>
        <v>6.3924499765992797</v>
      </c>
      <c r="AL567" s="94">
        <f>Table3.110[[#This Row],[CH4 8-24h, ml]]+Table3.110[[#This Row],[CH4 8h, ml]]</f>
        <v>10.859506797611937</v>
      </c>
      <c r="AM567" s="94">
        <f>(Table3.110[[#This Row],[Net gas 24h, ml]]/Table3.110[[#This Row],[DM Incubated, mg]])*1000</f>
        <v>156.67291816273519</v>
      </c>
      <c r="AN567" s="94">
        <f>'3.2 Digest'!X567</f>
        <v>40.815586352525081</v>
      </c>
      <c r="AO567" s="94">
        <f>Table3.110[[#This Row],[Digested feed, mg]]/Table3.110[[#This Row],[Net gas 24h, ml]]</f>
        <v>2.6051462391305042</v>
      </c>
      <c r="AP567" s="94">
        <f>Table3.110[[#This Row],[CH4 8h, ml]]/Table3.110[[#This Row],[Net gas 8h, ml]]%</f>
        <v>13.4</v>
      </c>
      <c r="AQ567" s="94">
        <f>Table3.110[[#This Row],[CH4 24h, ml]]/Table3.110[[#This Row],[Net gas 24h, ml]]%</f>
        <v>15.115192234951985</v>
      </c>
      <c r="AR567" s="94">
        <f>Table3.110[[#This Row],[CH4 24h, ml]]/Table3.110[[#This Row],[DM Incubated, mg]]*1000</f>
        <v>23.681412760406424</v>
      </c>
      <c r="AS567" s="94">
        <f>Table3.110[[#This Row],[CH4 24h, ml]]/Table3.110[[#This Row],[Digested feed, mg]]*1000</f>
        <v>58.020513428055558</v>
      </c>
      <c r="AT567" s="94">
        <f>Table3.110[[#This Row],[CH4 24h, ml]]/'3.2 Digest'!AA567</f>
        <v>-1.712552355936499</v>
      </c>
      <c r="AU567" s="94">
        <f>((Table3.110[[#This Row],[CH4 24h, ml]]/28.9)*16.04)/Table3.110[[#This Row],[DM Incubated, mg]]*1000</f>
        <v>13.143593795049105</v>
      </c>
      <c r="AV567" s="94">
        <f>((Table3.110[[#This Row],[CH4 24h, ml]]/28.9)*16.04)/Table3.110[[#This Row],[Digested feed, mg]]*1000</f>
        <v>32.202388767682052</v>
      </c>
    </row>
    <row r="568" spans="2:48" s="89" customFormat="1" x14ac:dyDescent="0.35">
      <c r="B568" s="90">
        <f t="shared" si="8"/>
        <v>558</v>
      </c>
      <c r="C568" s="140">
        <v>46055</v>
      </c>
      <c r="D568" s="6" t="s">
        <v>16</v>
      </c>
      <c r="E568" s="6" t="s">
        <v>218</v>
      </c>
      <c r="F568" s="133" t="s">
        <v>219</v>
      </c>
      <c r="G568" s="133" t="s">
        <v>220</v>
      </c>
      <c r="H568" s="133" t="s">
        <v>221</v>
      </c>
      <c r="I568" s="133" t="s">
        <v>22</v>
      </c>
      <c r="J568" s="135" t="s">
        <v>23</v>
      </c>
      <c r="K568" s="135" t="s">
        <v>215</v>
      </c>
      <c r="L568" s="6" t="s">
        <v>217</v>
      </c>
      <c r="M568" s="93">
        <v>28</v>
      </c>
      <c r="N568" s="93">
        <v>62</v>
      </c>
      <c r="O568" s="6">
        <v>2</v>
      </c>
      <c r="P568" s="129">
        <v>1</v>
      </c>
      <c r="Q568" s="6">
        <v>0</v>
      </c>
      <c r="R568" s="98">
        <v>0.50039999999999996</v>
      </c>
      <c r="S568" s="94">
        <f>((Table3.110[[#This Row],[Sample weight, g]]*'2.1. DM'!Q135)/100)*1000</f>
        <v>468.12419999999992</v>
      </c>
      <c r="T568" s="94">
        <f>'3.2 Digest'!W568</f>
        <v>281.22419999999988</v>
      </c>
      <c r="U568" s="117">
        <v>0.33611111111111114</v>
      </c>
      <c r="V568" s="155">
        <v>41</v>
      </c>
      <c r="W568" s="117">
        <v>0.66874999999999996</v>
      </c>
      <c r="X568" s="96">
        <v>71.5</v>
      </c>
      <c r="Y568" s="96">
        <v>10.5</v>
      </c>
      <c r="Z568" s="155">
        <v>40</v>
      </c>
      <c r="AA568" s="117">
        <v>0.34375</v>
      </c>
      <c r="AB568" s="155">
        <v>91</v>
      </c>
      <c r="AC568" s="155">
        <v>14.8</v>
      </c>
      <c r="AD568" s="96"/>
      <c r="AE568" s="94">
        <f>Table3.110[[#This Row],[Gas 8h, ml]]-Table3.110[[#This Row],[Gas 0h, ml]]</f>
        <v>30.5</v>
      </c>
      <c r="AF568" s="94">
        <f>Table3.110[[#This Row],[Gas 24h, ml]]-Table3.110[[#This Row],[V8 Push back, ml]]</f>
        <v>51</v>
      </c>
      <c r="AG568" s="94">
        <f>Table3.110[[#This Row],[GP 8h, ml]]-(AVERAGE(AE$658,AE$659))*$AG$8</f>
        <v>29.836244932930278</v>
      </c>
      <c r="AH568" s="94">
        <f>Table3.110[[#This Row],[GP 8-24h, ml]]-(AVERAGE(AF$658,AF$659))*$AG$8</f>
        <v>49.00873479879084</v>
      </c>
      <c r="AI568" s="94">
        <f>Table3.110[[#This Row],[Net gas 8-24h, ml]]+Table3.110[[#This Row],[Net gas 8h, ml]]</f>
        <v>78.844979731721111</v>
      </c>
      <c r="AJ568" s="94">
        <f>Table3.110[[#This Row],[Net gas 8h, ml]]*Table3.110[[#This Row],[CH4 8h %]]%</f>
        <v>3.1328057179576789</v>
      </c>
      <c r="AK568" s="94">
        <f>Table3.110[[#This Row],[Net gas 8-24h, ml]]*Table3.110[[#This Row],[CH4 24h, %]]%</f>
        <v>7.2532927502210454</v>
      </c>
      <c r="AL568" s="94">
        <f>Table3.110[[#This Row],[CH4 8-24h, ml]]+Table3.110[[#This Row],[CH4 8h, ml]]</f>
        <v>10.386098468178725</v>
      </c>
      <c r="AM568" s="94">
        <f>(Table3.110[[#This Row],[Net gas 24h, ml]]/Table3.110[[#This Row],[DM Incubated, mg]])*1000</f>
        <v>168.427480851708</v>
      </c>
      <c r="AN568" s="94">
        <f>'3.2 Digest'!X568</f>
        <v>60.074698124984764</v>
      </c>
      <c r="AO568" s="94">
        <f>Table3.110[[#This Row],[Digested feed, mg]]/Table3.110[[#This Row],[Net gas 24h, ml]]</f>
        <v>3.5667990651642851</v>
      </c>
      <c r="AP568" s="94">
        <f>Table3.110[[#This Row],[CH4 8h, ml]]/Table3.110[[#This Row],[Net gas 8h, ml]]%</f>
        <v>10.499999999999998</v>
      </c>
      <c r="AQ568" s="94">
        <f>Table3.110[[#This Row],[CH4 24h, ml]]/Table3.110[[#This Row],[Net gas 24h, ml]]%</f>
        <v>13.172808850377779</v>
      </c>
      <c r="AR568" s="94">
        <f>Table3.110[[#This Row],[CH4 24h, ml]]/Table3.110[[#This Row],[DM Incubated, mg]]*1000</f>
        <v>22.186630104102132</v>
      </c>
      <c r="AS568" s="94">
        <f>Table3.110[[#This Row],[CH4 24h, ml]]/Table3.110[[#This Row],[Digested feed, mg]]*1000</f>
        <v>36.931737980510675</v>
      </c>
      <c r="AT568" s="94">
        <f>Table3.110[[#This Row],[CH4 24h, ml]]/'3.2 Digest'!AA568</f>
        <v>1.9282347426992703</v>
      </c>
      <c r="AU568" s="94">
        <f>((Table3.110[[#This Row],[CH4 24h, ml]]/28.9)*16.04)/Table3.110[[#This Row],[DM Incubated, mg]]*1000</f>
        <v>12.313963559508588</v>
      </c>
      <c r="AV568" s="94">
        <f>((Table3.110[[#This Row],[CH4 24h, ml]]/28.9)*16.04)/Table3.110[[#This Row],[Digested feed, mg]]*1000</f>
        <v>20.497753536587929</v>
      </c>
    </row>
    <row r="569" spans="2:48" s="89" customFormat="1" x14ac:dyDescent="0.35">
      <c r="B569" s="90">
        <f t="shared" si="8"/>
        <v>559</v>
      </c>
      <c r="C569" s="140">
        <v>46055</v>
      </c>
      <c r="D569" s="6" t="s">
        <v>16</v>
      </c>
      <c r="E569" s="6" t="s">
        <v>218</v>
      </c>
      <c r="F569" s="133" t="s">
        <v>219</v>
      </c>
      <c r="G569" s="133" t="s">
        <v>220</v>
      </c>
      <c r="H569" s="133" t="s">
        <v>221</v>
      </c>
      <c r="I569" s="133" t="s">
        <v>22</v>
      </c>
      <c r="J569" s="135" t="s">
        <v>23</v>
      </c>
      <c r="K569" s="135" t="s">
        <v>215</v>
      </c>
      <c r="L569" s="6" t="s">
        <v>217</v>
      </c>
      <c r="M569" s="93">
        <v>28</v>
      </c>
      <c r="N569" s="93">
        <v>62</v>
      </c>
      <c r="O569" s="6">
        <v>2</v>
      </c>
      <c r="P569" s="129">
        <v>2</v>
      </c>
      <c r="Q569" s="6">
        <v>0</v>
      </c>
      <c r="R569" s="98">
        <v>0.50029999999999997</v>
      </c>
      <c r="S569" s="94">
        <f>((Table3.110[[#This Row],[Sample weight, g]]*'2.1. DM'!Q137)/100)*1000</f>
        <v>459.95893662534985</v>
      </c>
      <c r="T569" s="94">
        <f>'3.2 Digest'!W569</f>
        <v>238.65893662534981</v>
      </c>
      <c r="U569" s="117">
        <v>0.33611111111111114</v>
      </c>
      <c r="V569" s="155">
        <v>41</v>
      </c>
      <c r="W569" s="117">
        <v>0.66874999999999996</v>
      </c>
      <c r="X569" s="96">
        <v>69.5</v>
      </c>
      <c r="Y569" s="96">
        <v>11.3</v>
      </c>
      <c r="Z569" s="155">
        <v>40.5</v>
      </c>
      <c r="AA569" s="117">
        <v>0.34444444444444444</v>
      </c>
      <c r="AB569" s="155">
        <v>85</v>
      </c>
      <c r="AC569" s="155">
        <v>14.9</v>
      </c>
      <c r="AD569" s="96" t="s">
        <v>569</v>
      </c>
      <c r="AE569" s="94">
        <f>Table3.110[[#This Row],[Gas 8h, ml]]-Table3.110[[#This Row],[Gas 0h, ml]]</f>
        <v>28.5</v>
      </c>
      <c r="AF569" s="94">
        <f>Table3.110[[#This Row],[Gas 24h, ml]]-Table3.110[[#This Row],[V8 Push back, ml]]</f>
        <v>44.5</v>
      </c>
      <c r="AG569" s="94">
        <f>Table3.110[[#This Row],[GP 8h, ml]]-(AVERAGE(AE$658,AE$659))*$AG$8</f>
        <v>27.836244932930278</v>
      </c>
      <c r="AH569" s="94">
        <f>Table3.110[[#This Row],[GP 8-24h, ml]]-(AVERAGE(AF$658,AF$659))*$AG$8</f>
        <v>42.50873479879084</v>
      </c>
      <c r="AI569" s="94">
        <f>Table3.110[[#This Row],[Net gas 8-24h, ml]]+Table3.110[[#This Row],[Net gas 8h, ml]]</f>
        <v>70.344979731721111</v>
      </c>
      <c r="AJ569" s="94">
        <f>Table3.110[[#This Row],[Net gas 8h, ml]]*Table3.110[[#This Row],[CH4 8h %]]%</f>
        <v>3.1454956774211213</v>
      </c>
      <c r="AK569" s="94">
        <f>Table3.110[[#This Row],[Net gas 8-24h, ml]]*Table3.110[[#This Row],[CH4 24h, %]]%</f>
        <v>6.3338014850198352</v>
      </c>
      <c r="AL569" s="94">
        <f>Table3.110[[#This Row],[CH4 8-24h, ml]]+Table3.110[[#This Row],[CH4 8h, ml]]</f>
        <v>9.4792971624409574</v>
      </c>
      <c r="AM569" s="94">
        <f>(Table3.110[[#This Row],[Net gas 24h, ml]]/Table3.110[[#This Row],[DM Incubated, mg]])*1000</f>
        <v>152.93752144013496</v>
      </c>
      <c r="AN569" s="94">
        <f>'3.2 Digest'!X569</f>
        <v>51.887009387480298</v>
      </c>
      <c r="AO569" s="94">
        <f>Table3.110[[#This Row],[Digested feed, mg]]/Table3.110[[#This Row],[Net gas 24h, ml]]</f>
        <v>3.3926932317777014</v>
      </c>
      <c r="AP569" s="94">
        <f>Table3.110[[#This Row],[CH4 8h, ml]]/Table3.110[[#This Row],[Net gas 8h, ml]]%</f>
        <v>11.3</v>
      </c>
      <c r="AQ569" s="94">
        <f>Table3.110[[#This Row],[CH4 24h, ml]]/Table3.110[[#This Row],[Net gas 24h, ml]]%</f>
        <v>13.475442311011708</v>
      </c>
      <c r="AR569" s="94">
        <f>Table3.110[[#This Row],[CH4 24h, ml]]/Table3.110[[#This Row],[DM Incubated, mg]]*1000</f>
        <v>20.609007473556545</v>
      </c>
      <c r="AS569" s="94">
        <f>Table3.110[[#This Row],[CH4 24h, ml]]/Table3.110[[#This Row],[Digested feed, mg]]*1000</f>
        <v>39.719011977840552</v>
      </c>
      <c r="AT569" s="94">
        <f>Table3.110[[#This Row],[CH4 24h, ml]]/'3.2 Digest'!AA569</f>
        <v>-0.67629113348038727</v>
      </c>
      <c r="AU569" s="94">
        <f>((Table3.110[[#This Row],[CH4 24h, ml]]/28.9)*16.04)/Table3.110[[#This Row],[DM Incubated, mg]]*1000</f>
        <v>11.438355705046611</v>
      </c>
      <c r="AV569" s="94">
        <f>((Table3.110[[#This Row],[CH4 24h, ml]]/28.9)*16.04)/Table3.110[[#This Row],[Digested feed, mg]]*1000</f>
        <v>22.044738827839531</v>
      </c>
    </row>
    <row r="570" spans="2:48" s="89" customFormat="1" x14ac:dyDescent="0.35">
      <c r="B570" s="90">
        <f t="shared" si="8"/>
        <v>560</v>
      </c>
      <c r="C570" s="140">
        <v>46055</v>
      </c>
      <c r="D570" s="6" t="s">
        <v>16</v>
      </c>
      <c r="E570" s="6" t="s">
        <v>218</v>
      </c>
      <c r="F570" s="133" t="s">
        <v>219</v>
      </c>
      <c r="G570" s="133" t="s">
        <v>220</v>
      </c>
      <c r="H570" s="133" t="s">
        <v>221</v>
      </c>
      <c r="I570" s="133" t="s">
        <v>22</v>
      </c>
      <c r="J570" s="135" t="s">
        <v>23</v>
      </c>
      <c r="K570" s="135" t="s">
        <v>215</v>
      </c>
      <c r="L570" s="6" t="s">
        <v>217</v>
      </c>
      <c r="M570" s="93">
        <v>28</v>
      </c>
      <c r="N570" s="93">
        <v>62</v>
      </c>
      <c r="O570" s="6">
        <v>2</v>
      </c>
      <c r="P570" s="129">
        <v>3</v>
      </c>
      <c r="Q570" s="6">
        <v>0</v>
      </c>
      <c r="R570" s="98">
        <v>0.5</v>
      </c>
      <c r="S570" s="94">
        <f>((Table3.110[[#This Row],[Sample weight, g]]*'2.1. DM'!Q137)/100)*1000</f>
        <v>459.68312674930036</v>
      </c>
      <c r="T570" s="94">
        <f>'3.2 Digest'!W570</f>
        <v>277.28312674930032</v>
      </c>
      <c r="U570" s="117">
        <v>0.33680555555555558</v>
      </c>
      <c r="V570" s="155">
        <v>41</v>
      </c>
      <c r="W570" s="117">
        <v>0.6694444444444444</v>
      </c>
      <c r="X570" s="96">
        <v>70</v>
      </c>
      <c r="Y570" s="96">
        <v>10.9</v>
      </c>
      <c r="Z570" s="155">
        <v>40.5</v>
      </c>
      <c r="AA570" s="117">
        <v>0.34513888888888888</v>
      </c>
      <c r="AB570" s="155">
        <v>89.5</v>
      </c>
      <c r="AC570" s="155">
        <v>15</v>
      </c>
      <c r="AD570" s="96"/>
      <c r="AE570" s="94">
        <f>Table3.110[[#This Row],[Gas 8h, ml]]-Table3.110[[#This Row],[Gas 0h, ml]]</f>
        <v>29</v>
      </c>
      <c r="AF570" s="94">
        <f>Table3.110[[#This Row],[Gas 24h, ml]]-Table3.110[[#This Row],[V8 Push back, ml]]</f>
        <v>49</v>
      </c>
      <c r="AG570" s="94">
        <f>Table3.110[[#This Row],[GP 8h, ml]]-(AVERAGE(AE$658,AE$659))*$AG$8</f>
        <v>28.336244932930278</v>
      </c>
      <c r="AH570" s="94">
        <f>Table3.110[[#This Row],[GP 8-24h, ml]]-(AVERAGE(AF$658,AF$659))*$AG$8</f>
        <v>47.00873479879084</v>
      </c>
      <c r="AI570" s="94">
        <f>Table3.110[[#This Row],[Net gas 8-24h, ml]]+Table3.110[[#This Row],[Net gas 8h, ml]]</f>
        <v>75.344979731721111</v>
      </c>
      <c r="AJ570" s="94">
        <f>Table3.110[[#This Row],[Net gas 8h, ml]]*Table3.110[[#This Row],[CH4 8h %]]%</f>
        <v>3.0886506976894004</v>
      </c>
      <c r="AK570" s="94">
        <f>Table3.110[[#This Row],[Net gas 8-24h, ml]]*Table3.110[[#This Row],[CH4 24h, %]]%</f>
        <v>7.0513102198186255</v>
      </c>
      <c r="AL570" s="94">
        <f>Table3.110[[#This Row],[CH4 8-24h, ml]]+Table3.110[[#This Row],[CH4 8h, ml]]</f>
        <v>10.139960917508025</v>
      </c>
      <c r="AM570" s="94">
        <f>(Table3.110[[#This Row],[Net gas 24h, ml]]/Table3.110[[#This Row],[DM Incubated, mg]])*1000</f>
        <v>163.90634188496628</v>
      </c>
      <c r="AN570" s="94">
        <f>'3.2 Digest'!X570</f>
        <v>60.320492664183334</v>
      </c>
      <c r="AO570" s="94">
        <f>Table3.110[[#This Row],[Digested feed, mg]]/Table3.110[[#This Row],[Net gas 24h, ml]]</f>
        <v>3.6801805208072929</v>
      </c>
      <c r="AP570" s="94">
        <f>Table3.110[[#This Row],[CH4 8h, ml]]/Table3.110[[#This Row],[Net gas 8h, ml]]%</f>
        <v>10.9</v>
      </c>
      <c r="AQ570" s="94">
        <f>Table3.110[[#This Row],[CH4 24h, ml]]/Table3.110[[#This Row],[Net gas 24h, ml]]%</f>
        <v>13.458044522160758</v>
      </c>
      <c r="AR570" s="94">
        <f>Table3.110[[#This Row],[CH4 24h, ml]]/Table3.110[[#This Row],[DM Incubated, mg]]*1000</f>
        <v>22.058588465523787</v>
      </c>
      <c r="AS570" s="94">
        <f>Table3.110[[#This Row],[CH4 24h, ml]]/Table3.110[[#This Row],[Digested feed, mg]]*1000</f>
        <v>36.568979282593915</v>
      </c>
      <c r="AT570" s="94">
        <f>Table3.110[[#This Row],[CH4 24h, ml]]/'3.2 Digest'!AA570</f>
        <v>1.6988272212513917</v>
      </c>
      <c r="AU570" s="94">
        <f>((Table3.110[[#This Row],[CH4 24h, ml]]/28.9)*16.04)/Table3.110[[#This Row],[DM Incubated, mg]]*1000</f>
        <v>12.242898234844342</v>
      </c>
      <c r="AV570" s="94">
        <f>((Table3.110[[#This Row],[CH4 24h, ml]]/28.9)*16.04)/Table3.110[[#This Row],[Digested feed, mg]]*1000</f>
        <v>20.296416183142085</v>
      </c>
    </row>
    <row r="571" spans="2:48" s="89" customFormat="1" x14ac:dyDescent="0.35">
      <c r="B571" s="90">
        <f t="shared" si="8"/>
        <v>561</v>
      </c>
      <c r="C571" s="140">
        <v>46055</v>
      </c>
      <c r="D571" s="6" t="s">
        <v>16</v>
      </c>
      <c r="E571" s="6" t="s">
        <v>223</v>
      </c>
      <c r="F571" s="133" t="s">
        <v>219</v>
      </c>
      <c r="G571" s="133" t="s">
        <v>220</v>
      </c>
      <c r="H571" s="133" t="s">
        <v>221</v>
      </c>
      <c r="I571" s="133" t="s">
        <v>22</v>
      </c>
      <c r="J571" s="135" t="s">
        <v>23</v>
      </c>
      <c r="K571" s="135" t="s">
        <v>215</v>
      </c>
      <c r="L571" s="6" t="s">
        <v>222</v>
      </c>
      <c r="M571" s="93">
        <v>28</v>
      </c>
      <c r="N571" s="93">
        <v>62</v>
      </c>
      <c r="O571" s="6">
        <v>2</v>
      </c>
      <c r="P571" s="129">
        <v>1</v>
      </c>
      <c r="Q571" s="6">
        <v>0</v>
      </c>
      <c r="R571" s="98">
        <v>0.5</v>
      </c>
      <c r="S571" s="94">
        <f>((Table3.110[[#This Row],[Sample weight, g]]*'2.1. DM'!Q139)/100)*1000</f>
        <v>457.14427872029592</v>
      </c>
      <c r="T571" s="94">
        <f>'3.2 Digest'!W571</f>
        <v>290.94427872029587</v>
      </c>
      <c r="U571" s="117">
        <v>0.33750000000000002</v>
      </c>
      <c r="V571" s="155">
        <v>41</v>
      </c>
      <c r="W571" s="117">
        <v>0.67013888888888884</v>
      </c>
      <c r="X571" s="96">
        <v>81</v>
      </c>
      <c r="Y571" s="96">
        <v>12</v>
      </c>
      <c r="Z571" s="155">
        <v>40</v>
      </c>
      <c r="AA571" s="117">
        <v>0.34513888888888888</v>
      </c>
      <c r="AB571" s="155">
        <v>91</v>
      </c>
      <c r="AC571" s="155">
        <v>16.8</v>
      </c>
      <c r="AD571" s="96"/>
      <c r="AE571" s="94">
        <f>Table3.110[[#This Row],[Gas 8h, ml]]-Table3.110[[#This Row],[Gas 0h, ml]]</f>
        <v>40</v>
      </c>
      <c r="AF571" s="94">
        <f>Table3.110[[#This Row],[Gas 24h, ml]]-Table3.110[[#This Row],[V8 Push back, ml]]</f>
        <v>51</v>
      </c>
      <c r="AG571" s="94">
        <f>Table3.110[[#This Row],[GP 8h, ml]]-(AVERAGE(AE$658,AE$659))*$AG$8</f>
        <v>39.336244932930278</v>
      </c>
      <c r="AH571" s="94">
        <f>Table3.110[[#This Row],[GP 8-24h, ml]]-(AVERAGE(AF$658,AF$659))*$AG$8</f>
        <v>49.00873479879084</v>
      </c>
      <c r="AI571" s="94">
        <f>Table3.110[[#This Row],[Net gas 8-24h, ml]]+Table3.110[[#This Row],[Net gas 8h, ml]]</f>
        <v>88.344979731721111</v>
      </c>
      <c r="AJ571" s="94">
        <f>Table3.110[[#This Row],[Net gas 8h, ml]]*Table3.110[[#This Row],[CH4 8h %]]%</f>
        <v>4.7203493919516335</v>
      </c>
      <c r="AK571" s="94">
        <f>Table3.110[[#This Row],[Net gas 8-24h, ml]]*Table3.110[[#This Row],[CH4 24h, %]]%</f>
        <v>8.2334674461968618</v>
      </c>
      <c r="AL571" s="94">
        <f>Table3.110[[#This Row],[CH4 8-24h, ml]]+Table3.110[[#This Row],[CH4 8h, ml]]</f>
        <v>12.953816838148494</v>
      </c>
      <c r="AM571" s="94">
        <f>(Table3.110[[#This Row],[Net gas 24h, ml]]/Table3.110[[#This Row],[DM Incubated, mg]])*1000</f>
        <v>193.2540422009198</v>
      </c>
      <c r="AN571" s="94">
        <f>'3.2 Digest'!X571</f>
        <v>63.643863056702578</v>
      </c>
      <c r="AO571" s="94">
        <f>Table3.110[[#This Row],[Digested feed, mg]]/Table3.110[[#This Row],[Net gas 24h, ml]]</f>
        <v>3.2932746105529929</v>
      </c>
      <c r="AP571" s="94">
        <f>Table3.110[[#This Row],[CH4 8h, ml]]/Table3.110[[#This Row],[Net gas 8h, ml]]%</f>
        <v>12.000000000000002</v>
      </c>
      <c r="AQ571" s="94">
        <f>Table3.110[[#This Row],[CH4 24h, ml]]/Table3.110[[#This Row],[Net gas 24h, ml]]%</f>
        <v>14.662765080127471</v>
      </c>
      <c r="AR571" s="94">
        <f>Table3.110[[#This Row],[CH4 24h, ml]]/Table3.110[[#This Row],[DM Incubated, mg]]*1000</f>
        <v>28.336386215771274</v>
      </c>
      <c r="AS571" s="94">
        <f>Table3.110[[#This Row],[CH4 24h, ml]]/Table3.110[[#This Row],[Digested feed, mg]]*1000</f>
        <v>44.523359920068614</v>
      </c>
      <c r="AT571" s="94">
        <f>Table3.110[[#This Row],[CH4 24h, ml]]/'3.2 Digest'!AA571</f>
        <v>0.64686434083819255</v>
      </c>
      <c r="AU571" s="94">
        <f>((Table3.110[[#This Row],[CH4 24h, ml]]/28.9)*16.04)/Table3.110[[#This Row],[DM Incubated, mg]]*1000</f>
        <v>15.727184598649524</v>
      </c>
      <c r="AV571" s="94">
        <f>((Table3.110[[#This Row],[CH4 24h, ml]]/28.9)*16.04)/Table3.110[[#This Row],[Digested feed, mg]]*1000</f>
        <v>24.711235055982723</v>
      </c>
    </row>
    <row r="572" spans="2:48" s="89" customFormat="1" x14ac:dyDescent="0.35">
      <c r="B572" s="90">
        <f t="shared" si="8"/>
        <v>562</v>
      </c>
      <c r="C572" s="140">
        <v>46055</v>
      </c>
      <c r="D572" s="6" t="s">
        <v>16</v>
      </c>
      <c r="E572" s="6" t="s">
        <v>223</v>
      </c>
      <c r="F572" s="133" t="s">
        <v>219</v>
      </c>
      <c r="G572" s="133" t="s">
        <v>220</v>
      </c>
      <c r="H572" s="133" t="s">
        <v>221</v>
      </c>
      <c r="I572" s="133" t="s">
        <v>22</v>
      </c>
      <c r="J572" s="135" t="s">
        <v>23</v>
      </c>
      <c r="K572" s="135" t="s">
        <v>215</v>
      </c>
      <c r="L572" s="6" t="s">
        <v>222</v>
      </c>
      <c r="M572" s="93">
        <v>28</v>
      </c>
      <c r="N572" s="93">
        <v>62</v>
      </c>
      <c r="O572" s="6">
        <v>2</v>
      </c>
      <c r="P572" s="129">
        <v>2</v>
      </c>
      <c r="Q572" s="6">
        <v>0</v>
      </c>
      <c r="R572" s="98">
        <v>0.50019999999999998</v>
      </c>
      <c r="S572" s="94">
        <f>((Table3.110[[#This Row],[Sample weight, g]]*'2.1. DM'!Q139)/100)*1000</f>
        <v>457.32713643178403</v>
      </c>
      <c r="T572" s="94">
        <f>'3.2 Digest'!W572</f>
        <v>277.92713643178399</v>
      </c>
      <c r="U572" s="117">
        <v>0.33750000000000002</v>
      </c>
      <c r="V572" s="155">
        <v>41</v>
      </c>
      <c r="W572" s="117">
        <v>0.67013888888888884</v>
      </c>
      <c r="X572" s="96">
        <v>81.5</v>
      </c>
      <c r="Y572" s="96">
        <v>12</v>
      </c>
      <c r="Z572" s="155">
        <v>40.5</v>
      </c>
      <c r="AA572" s="117">
        <v>0.34583333333333333</v>
      </c>
      <c r="AB572" s="155">
        <v>87</v>
      </c>
      <c r="AC572" s="155">
        <v>17.100000000000001</v>
      </c>
      <c r="AD572" s="96"/>
      <c r="AE572" s="94">
        <f>Table3.110[[#This Row],[Gas 8h, ml]]-Table3.110[[#This Row],[Gas 0h, ml]]</f>
        <v>40.5</v>
      </c>
      <c r="AF572" s="94">
        <f>Table3.110[[#This Row],[Gas 24h, ml]]-Table3.110[[#This Row],[V8 Push back, ml]]</f>
        <v>46.5</v>
      </c>
      <c r="AG572" s="94">
        <f>Table3.110[[#This Row],[GP 8h, ml]]-(AVERAGE(AE$658,AE$659))*$AG$8</f>
        <v>39.836244932930278</v>
      </c>
      <c r="AH572" s="94">
        <f>Table3.110[[#This Row],[GP 8-24h, ml]]-(AVERAGE(AF$658,AF$659))*$AG$8</f>
        <v>44.50873479879084</v>
      </c>
      <c r="AI572" s="94">
        <f>Table3.110[[#This Row],[Net gas 8-24h, ml]]+Table3.110[[#This Row],[Net gas 8h, ml]]</f>
        <v>84.344979731721111</v>
      </c>
      <c r="AJ572" s="94">
        <f>Table3.110[[#This Row],[Net gas 8h, ml]]*Table3.110[[#This Row],[CH4 8h %]]%</f>
        <v>4.7803493919516331</v>
      </c>
      <c r="AK572" s="94">
        <f>Table3.110[[#This Row],[Net gas 8-24h, ml]]*Table3.110[[#This Row],[CH4 24h, %]]%</f>
        <v>7.6109936505932341</v>
      </c>
      <c r="AL572" s="94">
        <f>Table3.110[[#This Row],[CH4 8-24h, ml]]+Table3.110[[#This Row],[CH4 8h, ml]]</f>
        <v>12.391343042544868</v>
      </c>
      <c r="AM572" s="94">
        <f>(Table3.110[[#This Row],[Net gas 24h, ml]]/Table3.110[[#This Row],[DM Incubated, mg]])*1000</f>
        <v>184.43029729179912</v>
      </c>
      <c r="AN572" s="94">
        <f>'3.2 Digest'!X572</f>
        <v>60.772063210651019</v>
      </c>
      <c r="AO572" s="94">
        <f>Table3.110[[#This Row],[Digested feed, mg]]/Table3.110[[#This Row],[Net gas 24h, ml]]</f>
        <v>3.2951236376580573</v>
      </c>
      <c r="AP572" s="94">
        <f>Table3.110[[#This Row],[CH4 8h, ml]]/Table3.110[[#This Row],[Net gas 8h, ml]]%</f>
        <v>12</v>
      </c>
      <c r="AQ572" s="94">
        <f>Table3.110[[#This Row],[CH4 24h, ml]]/Table3.110[[#This Row],[Net gas 24h, ml]]%</f>
        <v>14.691263287937735</v>
      </c>
      <c r="AR572" s="94">
        <f>Table3.110[[#This Row],[CH4 24h, ml]]/Table3.110[[#This Row],[DM Incubated, mg]]*1000</f>
        <v>27.095140557864511</v>
      </c>
      <c r="AS572" s="94">
        <f>Table3.110[[#This Row],[CH4 24h, ml]]/Table3.110[[#This Row],[Digested feed, mg]]*1000</f>
        <v>44.584862067206849</v>
      </c>
      <c r="AT572" s="94">
        <f>Table3.110[[#This Row],[CH4 24h, ml]]/'3.2 Digest'!AA572</f>
        <v>0.90392931796938603</v>
      </c>
      <c r="AU572" s="94">
        <f>((Table3.110[[#This Row],[CH4 24h, ml]]/28.9)*16.04)/Table3.110[[#This Row],[DM Incubated, mg]]*1000</f>
        <v>15.038271783672899</v>
      </c>
      <c r="AV572" s="94">
        <f>((Table3.110[[#This Row],[CH4 24h, ml]]/28.9)*16.04)/Table3.110[[#This Row],[Digested feed, mg]]*1000</f>
        <v>24.745369811695426</v>
      </c>
    </row>
    <row r="573" spans="2:48" s="89" customFormat="1" x14ac:dyDescent="0.35">
      <c r="B573" s="90">
        <f t="shared" si="8"/>
        <v>563</v>
      </c>
      <c r="C573" s="140">
        <v>46055</v>
      </c>
      <c r="D573" s="6" t="s">
        <v>16</v>
      </c>
      <c r="E573" s="6" t="s">
        <v>223</v>
      </c>
      <c r="F573" s="133" t="s">
        <v>219</v>
      </c>
      <c r="G573" s="133" t="s">
        <v>220</v>
      </c>
      <c r="H573" s="133" t="s">
        <v>221</v>
      </c>
      <c r="I573" s="133" t="s">
        <v>22</v>
      </c>
      <c r="J573" s="135" t="s">
        <v>23</v>
      </c>
      <c r="K573" s="135" t="s">
        <v>215</v>
      </c>
      <c r="L573" s="6" t="s">
        <v>222</v>
      </c>
      <c r="M573" s="93">
        <v>28</v>
      </c>
      <c r="N573" s="93">
        <v>62</v>
      </c>
      <c r="O573" s="6">
        <v>2</v>
      </c>
      <c r="P573" s="129">
        <v>3</v>
      </c>
      <c r="Q573" s="6">
        <v>0</v>
      </c>
      <c r="R573" s="98">
        <v>0.50009999999999999</v>
      </c>
      <c r="S573" s="94">
        <f>((Table3.110[[#This Row],[Sample weight, g]]*'2.1. DM'!Q139)/100)*1000</f>
        <v>457.23570757603994</v>
      </c>
      <c r="T573" s="94">
        <f>'3.2 Digest'!W573</f>
        <v>278.53570757603995</v>
      </c>
      <c r="U573" s="117">
        <v>0.33750000000000002</v>
      </c>
      <c r="V573" s="155">
        <v>41</v>
      </c>
      <c r="W573" s="117">
        <v>0.67083333333333328</v>
      </c>
      <c r="X573" s="96">
        <v>82</v>
      </c>
      <c r="Y573" s="96">
        <v>12</v>
      </c>
      <c r="Z573" s="155">
        <v>40.5</v>
      </c>
      <c r="AA573" s="117">
        <v>0.34583333333333333</v>
      </c>
      <c r="AB573" s="155">
        <v>89.5</v>
      </c>
      <c r="AC573" s="155">
        <v>17.2</v>
      </c>
      <c r="AD573" s="96"/>
      <c r="AE573" s="94">
        <f>Table3.110[[#This Row],[Gas 8h, ml]]-Table3.110[[#This Row],[Gas 0h, ml]]</f>
        <v>41</v>
      </c>
      <c r="AF573" s="94">
        <f>Table3.110[[#This Row],[Gas 24h, ml]]-Table3.110[[#This Row],[V8 Push back, ml]]</f>
        <v>49</v>
      </c>
      <c r="AG573" s="94">
        <f>Table3.110[[#This Row],[GP 8h, ml]]-(AVERAGE(AE$658,AE$659))*$AG$8</f>
        <v>40.336244932930278</v>
      </c>
      <c r="AH573" s="94">
        <f>Table3.110[[#This Row],[GP 8-24h, ml]]-(AVERAGE(AF$658,AF$659))*$AG$8</f>
        <v>47.00873479879084</v>
      </c>
      <c r="AI573" s="94">
        <f>Table3.110[[#This Row],[Net gas 8-24h, ml]]+Table3.110[[#This Row],[Net gas 8h, ml]]</f>
        <v>87.344979731721111</v>
      </c>
      <c r="AJ573" s="94">
        <f>Table3.110[[#This Row],[Net gas 8h, ml]]*Table3.110[[#This Row],[CH4 8h %]]%</f>
        <v>4.8403493919516327</v>
      </c>
      <c r="AK573" s="94">
        <f>Table3.110[[#This Row],[Net gas 8-24h, ml]]*Table3.110[[#This Row],[CH4 24h, %]]%</f>
        <v>8.085502385392024</v>
      </c>
      <c r="AL573" s="94">
        <f>Table3.110[[#This Row],[CH4 8-24h, ml]]+Table3.110[[#This Row],[CH4 8h, ml]]</f>
        <v>12.925851777343656</v>
      </c>
      <c r="AM573" s="94">
        <f>(Table3.110[[#This Row],[Net gas 24h, ml]]/Table3.110[[#This Row],[DM Incubated, mg]])*1000</f>
        <v>191.0283433347019</v>
      </c>
      <c r="AN573" s="94">
        <f>'3.2 Digest'!X573</f>
        <v>60.917313097144422</v>
      </c>
      <c r="AO573" s="94">
        <f>Table3.110[[#This Row],[Digested feed, mg]]/Table3.110[[#This Row],[Net gas 24h, ml]]</f>
        <v>3.1889149030838233</v>
      </c>
      <c r="AP573" s="94">
        <f>Table3.110[[#This Row],[CH4 8h, ml]]/Table3.110[[#This Row],[Net gas 8h, ml]]%</f>
        <v>11.999999999999998</v>
      </c>
      <c r="AQ573" s="94">
        <f>Table3.110[[#This Row],[CH4 24h, ml]]/Table3.110[[#This Row],[Net gas 24h, ml]]%</f>
        <v>14.798620157729992</v>
      </c>
      <c r="AR573" s="94">
        <f>Table3.110[[#This Row],[CH4 24h, ml]]/Table3.110[[#This Row],[DM Incubated, mg]]*1000</f>
        <v>28.26955892370685</v>
      </c>
      <c r="AS573" s="94">
        <f>Table3.110[[#This Row],[CH4 24h, ml]]/Table3.110[[#This Row],[Digested feed, mg]]*1000</f>
        <v>46.406444221572244</v>
      </c>
      <c r="AT573" s="94">
        <f>Table3.110[[#This Row],[CH4 24h, ml]]/'3.2 Digest'!AA573</f>
        <v>0.92144387061029265</v>
      </c>
      <c r="AU573" s="94">
        <f>((Table3.110[[#This Row],[CH4 24h, ml]]/28.9)*16.04)/Table3.110[[#This Row],[DM Incubated, mg]]*1000</f>
        <v>15.690094295372246</v>
      </c>
      <c r="AV573" s="94">
        <f>((Table3.110[[#This Row],[CH4 24h, ml]]/28.9)*16.04)/Table3.110[[#This Row],[Digested feed, mg]]*1000</f>
        <v>25.75637942263041</v>
      </c>
    </row>
    <row r="574" spans="2:48" s="89" customFormat="1" x14ac:dyDescent="0.35">
      <c r="B574" s="90">
        <f t="shared" si="8"/>
        <v>564</v>
      </c>
      <c r="C574" s="140">
        <v>46055</v>
      </c>
      <c r="D574" s="6" t="s">
        <v>16</v>
      </c>
      <c r="E574" s="6" t="s">
        <v>225</v>
      </c>
      <c r="F574" s="133" t="s">
        <v>226</v>
      </c>
      <c r="G574" s="133" t="s">
        <v>227</v>
      </c>
      <c r="H574" s="133" t="s">
        <v>228</v>
      </c>
      <c r="I574" s="133" t="s">
        <v>22</v>
      </c>
      <c r="J574" s="135" t="s">
        <v>23</v>
      </c>
      <c r="K574" s="135" t="s">
        <v>215</v>
      </c>
      <c r="L574" s="6" t="s">
        <v>224</v>
      </c>
      <c r="M574" s="93">
        <v>28</v>
      </c>
      <c r="N574" s="93">
        <v>62</v>
      </c>
      <c r="O574" s="6">
        <v>2</v>
      </c>
      <c r="P574" s="129">
        <v>1</v>
      </c>
      <c r="Q574" s="6">
        <v>0</v>
      </c>
      <c r="R574" s="98">
        <v>0.50009999999999999</v>
      </c>
      <c r="S574" s="94">
        <f>((Table3.110[[#This Row],[Sample weight, g]]*'2.1. DM'!Q141)/100)*1000</f>
        <v>455.50672413793137</v>
      </c>
      <c r="T574" s="94">
        <f>'3.2 Digest'!W574</f>
        <v>173.90672413793129</v>
      </c>
      <c r="U574" s="117">
        <v>0.33819444444444446</v>
      </c>
      <c r="V574" s="155">
        <v>42</v>
      </c>
      <c r="W574" s="117">
        <v>0.67083333333333328</v>
      </c>
      <c r="X574" s="96">
        <v>75</v>
      </c>
      <c r="Y574" s="96">
        <v>11.4</v>
      </c>
      <c r="Z574" s="155">
        <v>41</v>
      </c>
      <c r="AA574" s="117">
        <v>0.34652777777777777</v>
      </c>
      <c r="AB574" s="155">
        <v>77</v>
      </c>
      <c r="AC574" s="155">
        <v>14.6</v>
      </c>
      <c r="AD574" s="96"/>
      <c r="AE574" s="94">
        <f>Table3.110[[#This Row],[Gas 8h, ml]]-Table3.110[[#This Row],[Gas 0h, ml]]</f>
        <v>33</v>
      </c>
      <c r="AF574" s="94">
        <f>Table3.110[[#This Row],[Gas 24h, ml]]-Table3.110[[#This Row],[V8 Push back, ml]]</f>
        <v>36</v>
      </c>
      <c r="AG574" s="94">
        <f>Table3.110[[#This Row],[GP 8h, ml]]-(AVERAGE(AE$658,AE$659))*$AG$8</f>
        <v>32.336244932930278</v>
      </c>
      <c r="AH574" s="94">
        <f>Table3.110[[#This Row],[GP 8-24h, ml]]-(AVERAGE(AF$658,AF$659))*$AG$8</f>
        <v>34.00873479879084</v>
      </c>
      <c r="AI574" s="94">
        <f>Table3.110[[#This Row],[Net gas 8-24h, ml]]+Table3.110[[#This Row],[Net gas 8h, ml]]</f>
        <v>66.344979731721111</v>
      </c>
      <c r="AJ574" s="94">
        <f>Table3.110[[#This Row],[Net gas 8h, ml]]*Table3.110[[#This Row],[CH4 8h %]]%</f>
        <v>3.6863319223540518</v>
      </c>
      <c r="AK574" s="94">
        <f>Table3.110[[#This Row],[Net gas 8-24h, ml]]*Table3.110[[#This Row],[CH4 24h, %]]%</f>
        <v>4.9652752806234624</v>
      </c>
      <c r="AL574" s="94">
        <f>Table3.110[[#This Row],[CH4 8-24h, ml]]+Table3.110[[#This Row],[CH4 8h, ml]]</f>
        <v>8.6516072029775142</v>
      </c>
      <c r="AM574" s="94">
        <f>(Table3.110[[#This Row],[Net gas 24h, ml]]/Table3.110[[#This Row],[DM Incubated, mg]])*1000</f>
        <v>145.65093381943419</v>
      </c>
      <c r="AN574" s="94">
        <f>'3.2 Digest'!X574</f>
        <v>38.178739176037027</v>
      </c>
      <c r="AO574" s="94">
        <f>Table3.110[[#This Row],[Digested feed, mg]]/Table3.110[[#This Row],[Net gas 24h, ml]]</f>
        <v>2.6212491863160876</v>
      </c>
      <c r="AP574" s="94">
        <f>Table3.110[[#This Row],[CH4 8h, ml]]/Table3.110[[#This Row],[Net gas 8h, ml]]%</f>
        <v>11.4</v>
      </c>
      <c r="AQ574" s="94">
        <f>Table3.110[[#This Row],[CH4 24h, ml]]/Table3.110[[#This Row],[Net gas 24h, ml]]%</f>
        <v>13.040334382438548</v>
      </c>
      <c r="AR574" s="94">
        <f>Table3.110[[#This Row],[CH4 24h, ml]]/Table3.110[[#This Row],[DM Incubated, mg]]*1000</f>
        <v>18.993368801198493</v>
      </c>
      <c r="AS574" s="94">
        <f>Table3.110[[#This Row],[CH4 24h, ml]]/Table3.110[[#This Row],[Digested feed, mg]]*1000</f>
        <v>49.748549090693196</v>
      </c>
      <c r="AT574" s="94">
        <f>Table3.110[[#This Row],[CH4 24h, ml]]/'3.2 Digest'!AA574</f>
        <v>-0.24337052185974201</v>
      </c>
      <c r="AU574" s="94">
        <f>((Table3.110[[#This Row],[CH4 24h, ml]]/28.9)*16.04)/Table3.110[[#This Row],[DM Incubated, mg]]*1000</f>
        <v>10.541648289661724</v>
      </c>
      <c r="AV574" s="94">
        <f>((Table3.110[[#This Row],[CH4 24h, ml]]/28.9)*16.04)/Table3.110[[#This Row],[Digested feed, mg]]*1000</f>
        <v>27.611305446876084</v>
      </c>
    </row>
    <row r="575" spans="2:48" s="89" customFormat="1" x14ac:dyDescent="0.35">
      <c r="B575" s="90">
        <f t="shared" si="8"/>
        <v>565</v>
      </c>
      <c r="C575" s="140">
        <v>46055</v>
      </c>
      <c r="D575" s="6" t="s">
        <v>16</v>
      </c>
      <c r="E575" s="6" t="s">
        <v>225</v>
      </c>
      <c r="F575" s="133" t="s">
        <v>226</v>
      </c>
      <c r="G575" s="133" t="s">
        <v>227</v>
      </c>
      <c r="H575" s="133" t="s">
        <v>228</v>
      </c>
      <c r="I575" s="133" t="s">
        <v>22</v>
      </c>
      <c r="J575" s="135" t="s">
        <v>23</v>
      </c>
      <c r="K575" s="135" t="s">
        <v>215</v>
      </c>
      <c r="L575" s="6" t="s">
        <v>224</v>
      </c>
      <c r="M575" s="93">
        <v>28</v>
      </c>
      <c r="N575" s="93">
        <v>62</v>
      </c>
      <c r="O575" s="6">
        <v>2</v>
      </c>
      <c r="P575" s="129">
        <v>2</v>
      </c>
      <c r="Q575" s="6">
        <v>0</v>
      </c>
      <c r="R575" s="98">
        <v>0.50060000000000004</v>
      </c>
      <c r="S575" s="94">
        <f>((Table3.110[[#This Row],[Sample weight, g]]*'2.1. DM'!Q141)/100)*1000</f>
        <v>455.96213977894109</v>
      </c>
      <c r="T575" s="94">
        <f>'3.2 Digest'!W575</f>
        <v>182.06213977894117</v>
      </c>
      <c r="U575" s="117">
        <v>0.33819444444444446</v>
      </c>
      <c r="V575" s="155">
        <v>41</v>
      </c>
      <c r="W575" s="117">
        <v>0.67152777777777772</v>
      </c>
      <c r="X575" s="96">
        <v>76.5</v>
      </c>
      <c r="Y575" s="96">
        <v>11.4</v>
      </c>
      <c r="Z575" s="155">
        <v>40.5</v>
      </c>
      <c r="AA575" s="117">
        <v>0.34652777777777777</v>
      </c>
      <c r="AB575" s="155">
        <v>85</v>
      </c>
      <c r="AC575" s="155">
        <v>14.3</v>
      </c>
      <c r="AD575" s="96"/>
      <c r="AE575" s="94">
        <f>Table3.110[[#This Row],[Gas 8h, ml]]-Table3.110[[#This Row],[Gas 0h, ml]]</f>
        <v>35.5</v>
      </c>
      <c r="AF575" s="94">
        <f>Table3.110[[#This Row],[Gas 24h, ml]]-Table3.110[[#This Row],[V8 Push back, ml]]</f>
        <v>44.5</v>
      </c>
      <c r="AG575" s="94">
        <f>Table3.110[[#This Row],[GP 8h, ml]]-(AVERAGE(AE$658,AE$659))*$AG$8</f>
        <v>34.836244932930278</v>
      </c>
      <c r="AH575" s="94">
        <f>Table3.110[[#This Row],[GP 8-24h, ml]]-(AVERAGE(AF$658,AF$659))*$AG$8</f>
        <v>42.50873479879084</v>
      </c>
      <c r="AI575" s="94">
        <f>Table3.110[[#This Row],[Net gas 8-24h, ml]]+Table3.110[[#This Row],[Net gas 8h, ml]]</f>
        <v>77.344979731721111</v>
      </c>
      <c r="AJ575" s="94">
        <f>Table3.110[[#This Row],[Net gas 8h, ml]]*Table3.110[[#This Row],[CH4 8h %]]%</f>
        <v>3.971331922354052</v>
      </c>
      <c r="AK575" s="94">
        <f>Table3.110[[#This Row],[Net gas 8-24h, ml]]*Table3.110[[#This Row],[CH4 24h, %]]%</f>
        <v>6.0787490762270906</v>
      </c>
      <c r="AL575" s="94">
        <f>Table3.110[[#This Row],[CH4 8-24h, ml]]+Table3.110[[#This Row],[CH4 8h, ml]]</f>
        <v>10.050080998581143</v>
      </c>
      <c r="AM575" s="94">
        <f>(Table3.110[[#This Row],[Net gas 24h, ml]]/Table3.110[[#This Row],[DM Incubated, mg]])*1000</f>
        <v>169.6302674805838</v>
      </c>
      <c r="AN575" s="94">
        <f>'3.2 Digest'!X575</f>
        <v>39.929223041897352</v>
      </c>
      <c r="AO575" s="94">
        <f>Table3.110[[#This Row],[Digested feed, mg]]/Table3.110[[#This Row],[Net gas 24h, ml]]</f>
        <v>2.3538973106004053</v>
      </c>
      <c r="AP575" s="94">
        <f>Table3.110[[#This Row],[CH4 8h, ml]]/Table3.110[[#This Row],[Net gas 8h, ml]]%</f>
        <v>11.4</v>
      </c>
      <c r="AQ575" s="94">
        <f>Table3.110[[#This Row],[CH4 24h, ml]]/Table3.110[[#This Row],[Net gas 24h, ml]]%</f>
        <v>12.993837523056914</v>
      </c>
      <c r="AR575" s="94">
        <f>Table3.110[[#This Row],[CH4 24h, ml]]/Table3.110[[#This Row],[DM Incubated, mg]]*1000</f>
        <v>22.041481346353905</v>
      </c>
      <c r="AS575" s="94">
        <f>Table3.110[[#This Row],[CH4 24h, ml]]/Table3.110[[#This Row],[Digested feed, mg]]*1000</f>
        <v>55.201378006343845</v>
      </c>
      <c r="AT575" s="94">
        <f>Table3.110[[#This Row],[CH4 24h, ml]]/'3.2 Digest'!AA575</f>
        <v>-0.31692716731899512</v>
      </c>
      <c r="AU575" s="94">
        <f>((Table3.110[[#This Row],[CH4 24h, ml]]/28.9)*16.04)/Table3.110[[#This Row],[DM Incubated, mg]]*1000</f>
        <v>12.23340348773414</v>
      </c>
      <c r="AV575" s="94">
        <f>((Table3.110[[#This Row],[CH4 24h, ml]]/28.9)*16.04)/Table3.110[[#This Row],[Digested feed, mg]]*1000</f>
        <v>30.637719834662811</v>
      </c>
    </row>
    <row r="576" spans="2:48" s="89" customFormat="1" x14ac:dyDescent="0.35">
      <c r="B576" s="90">
        <f t="shared" si="8"/>
        <v>566</v>
      </c>
      <c r="C576" s="140">
        <v>46055</v>
      </c>
      <c r="D576" s="6" t="s">
        <v>16</v>
      </c>
      <c r="E576" s="6" t="s">
        <v>225</v>
      </c>
      <c r="F576" s="133" t="s">
        <v>226</v>
      </c>
      <c r="G576" s="133" t="s">
        <v>227</v>
      </c>
      <c r="H576" s="133" t="s">
        <v>228</v>
      </c>
      <c r="I576" s="133" t="s">
        <v>22</v>
      </c>
      <c r="J576" s="135" t="s">
        <v>23</v>
      </c>
      <c r="K576" s="135" t="s">
        <v>215</v>
      </c>
      <c r="L576" s="6" t="s">
        <v>224</v>
      </c>
      <c r="M576" s="93">
        <v>28</v>
      </c>
      <c r="N576" s="93">
        <v>62</v>
      </c>
      <c r="O576" s="6">
        <v>2</v>
      </c>
      <c r="P576" s="129">
        <v>3</v>
      </c>
      <c r="Q576" s="6">
        <v>0</v>
      </c>
      <c r="R576" s="98">
        <v>0.50029999999999997</v>
      </c>
      <c r="S576" s="94">
        <f>((Table3.110[[#This Row],[Sample weight, g]]*'2.1. DM'!Q141)/100)*1000</f>
        <v>455.68889039433526</v>
      </c>
      <c r="T576" s="94">
        <f>'3.2 Digest'!W576</f>
        <v>179.88889039433531</v>
      </c>
      <c r="U576" s="117">
        <v>0.33888888888888891</v>
      </c>
      <c r="V576" s="155">
        <v>41.5</v>
      </c>
      <c r="W576" s="117">
        <v>0.67222222222222228</v>
      </c>
      <c r="X576" s="96">
        <v>75</v>
      </c>
      <c r="Y576" s="96">
        <v>11.2</v>
      </c>
      <c r="Z576" s="155">
        <v>40.5</v>
      </c>
      <c r="AA576" s="117">
        <v>0.34722222222222221</v>
      </c>
      <c r="AB576" s="155">
        <v>76.5</v>
      </c>
      <c r="AC576" s="155">
        <v>14.4</v>
      </c>
      <c r="AD576" s="96"/>
      <c r="AE576" s="94">
        <f>Table3.110[[#This Row],[Gas 8h, ml]]-Table3.110[[#This Row],[Gas 0h, ml]]</f>
        <v>33.5</v>
      </c>
      <c r="AF576" s="94">
        <f>Table3.110[[#This Row],[Gas 24h, ml]]-Table3.110[[#This Row],[V8 Push back, ml]]</f>
        <v>36</v>
      </c>
      <c r="AG576" s="94">
        <f>Table3.110[[#This Row],[GP 8h, ml]]-(AVERAGE(AE$658,AE$659))*$AG$8</f>
        <v>32.836244932930278</v>
      </c>
      <c r="AH576" s="94">
        <f>Table3.110[[#This Row],[GP 8-24h, ml]]-(AVERAGE(AF$658,AF$659))*$AG$8</f>
        <v>34.00873479879084</v>
      </c>
      <c r="AI576" s="94">
        <f>Table3.110[[#This Row],[Net gas 8-24h, ml]]+Table3.110[[#This Row],[Net gas 8h, ml]]</f>
        <v>66.844979731721111</v>
      </c>
      <c r="AJ576" s="94">
        <f>Table3.110[[#This Row],[Net gas 8h, ml]]*Table3.110[[#This Row],[CH4 8h %]]%</f>
        <v>3.6776594324881908</v>
      </c>
      <c r="AK576" s="94">
        <f>Table3.110[[#This Row],[Net gas 8-24h, ml]]*Table3.110[[#This Row],[CH4 24h, %]]%</f>
        <v>4.8972578110258818</v>
      </c>
      <c r="AL576" s="94">
        <f>Table3.110[[#This Row],[CH4 8-24h, ml]]+Table3.110[[#This Row],[CH4 8h, ml]]</f>
        <v>8.5749172435140721</v>
      </c>
      <c r="AM576" s="94">
        <f>(Table3.110[[#This Row],[Net gas 24h, ml]]/Table3.110[[#This Row],[DM Incubated, mg]])*1000</f>
        <v>146.68994820978867</v>
      </c>
      <c r="AN576" s="94">
        <f>'3.2 Digest'!X576</f>
        <v>39.476251053359348</v>
      </c>
      <c r="AO576" s="94">
        <f>Table3.110[[#This Row],[Digested feed, mg]]/Table3.110[[#This Row],[Net gas 24h, ml]]</f>
        <v>2.691135386925243</v>
      </c>
      <c r="AP576" s="94">
        <f>Table3.110[[#This Row],[CH4 8h, ml]]/Table3.110[[#This Row],[Net gas 8h, ml]]%</f>
        <v>11.2</v>
      </c>
      <c r="AQ576" s="94">
        <f>Table3.110[[#This Row],[CH4 24h, ml]]/Table3.110[[#This Row],[Net gas 24h, ml]]%</f>
        <v>12.828064692261201</v>
      </c>
      <c r="AR576" s="94">
        <f>Table3.110[[#This Row],[CH4 24h, ml]]/Table3.110[[#This Row],[DM Incubated, mg]]*1000</f>
        <v>18.817481453396145</v>
      </c>
      <c r="AS576" s="94">
        <f>Table3.110[[#This Row],[CH4 24h, ml]]/Table3.110[[#This Row],[Digested feed, mg]]*1000</f>
        <v>47.667853332782002</v>
      </c>
      <c r="AT576" s="94">
        <f>Table3.110[[#This Row],[CH4 24h, ml]]/'3.2 Digest'!AA576</f>
        <v>-0.26219623729526687</v>
      </c>
      <c r="AU576" s="94">
        <f>((Table3.110[[#This Row],[CH4 24h, ml]]/28.9)*16.04)/Table3.110[[#This Row],[DM Incubated, mg]]*1000</f>
        <v>10.444027768597723</v>
      </c>
      <c r="AV576" s="94">
        <f>((Table3.110[[#This Row],[CH4 24h, ml]]/28.9)*16.04)/Table3.110[[#This Row],[Digested feed, mg]]*1000</f>
        <v>26.456483303038869</v>
      </c>
    </row>
    <row r="577" spans="2:48" s="89" customFormat="1" x14ac:dyDescent="0.35">
      <c r="B577" s="90">
        <f t="shared" si="8"/>
        <v>567</v>
      </c>
      <c r="C577" s="140">
        <v>46055</v>
      </c>
      <c r="D577" s="6" t="s">
        <v>16</v>
      </c>
      <c r="E577" s="6" t="s">
        <v>230</v>
      </c>
      <c r="F577" s="133" t="s">
        <v>226</v>
      </c>
      <c r="G577" s="133" t="s">
        <v>231</v>
      </c>
      <c r="H577" s="133" t="s">
        <v>232</v>
      </c>
      <c r="I577" s="133" t="s">
        <v>22</v>
      </c>
      <c r="J577" s="135" t="s">
        <v>23</v>
      </c>
      <c r="K577" s="135" t="s">
        <v>215</v>
      </c>
      <c r="L577" s="6" t="s">
        <v>229</v>
      </c>
      <c r="M577" s="93">
        <v>28</v>
      </c>
      <c r="N577" s="93">
        <v>62</v>
      </c>
      <c r="O577" s="6">
        <v>2</v>
      </c>
      <c r="P577" s="129">
        <v>1</v>
      </c>
      <c r="Q577" s="6">
        <v>0</v>
      </c>
      <c r="R577" s="112">
        <v>0.50019999999999998</v>
      </c>
      <c r="S577" s="94">
        <f>((Table3.110[[#This Row],[Sample weight, g]]*'2.1. DM'!Q143)/100)*1000</f>
        <v>465.17505357813138</v>
      </c>
      <c r="T577" s="94">
        <f>'3.2 Digest'!W577</f>
        <v>206.5750535781313</v>
      </c>
      <c r="U577" s="117">
        <v>0.33888888888888891</v>
      </c>
      <c r="V577" s="155">
        <v>41</v>
      </c>
      <c r="W577" s="117">
        <v>0.67222222222222228</v>
      </c>
      <c r="X577" s="96">
        <v>74.5</v>
      </c>
      <c r="Y577" s="96">
        <v>11.8</v>
      </c>
      <c r="Z577" s="155">
        <v>40.5</v>
      </c>
      <c r="AA577" s="117">
        <v>0.34791666666666665</v>
      </c>
      <c r="AB577" s="155">
        <v>84</v>
      </c>
      <c r="AC577" s="155">
        <v>14.6</v>
      </c>
      <c r="AD577" s="96"/>
      <c r="AE577" s="94">
        <f>Table3.110[[#This Row],[Gas 8h, ml]]-Table3.110[[#This Row],[Gas 0h, ml]]</f>
        <v>33.5</v>
      </c>
      <c r="AF577" s="94">
        <f>Table3.110[[#This Row],[Gas 24h, ml]]-Table3.110[[#This Row],[V8 Push back, ml]]</f>
        <v>43.5</v>
      </c>
      <c r="AG577" s="94">
        <f>Table3.110[[#This Row],[GP 8h, ml]]-(AVERAGE(AE$658,AE$659))*$AG$8</f>
        <v>32.836244932930278</v>
      </c>
      <c r="AH577" s="94">
        <f>Table3.110[[#This Row],[GP 8-24h, ml]]-(AVERAGE(AF$658,AF$659))*$AG$8</f>
        <v>41.50873479879084</v>
      </c>
      <c r="AI577" s="94">
        <f>Table3.110[[#This Row],[Net gas 8-24h, ml]]+Table3.110[[#This Row],[Net gas 8h, ml]]</f>
        <v>74.344979731721111</v>
      </c>
      <c r="AJ577" s="94">
        <f>Table3.110[[#This Row],[Net gas 8h, ml]]*Table3.110[[#This Row],[CH4 8h %]]%</f>
        <v>3.8746769020857732</v>
      </c>
      <c r="AK577" s="94">
        <f>Table3.110[[#This Row],[Net gas 8-24h, ml]]*Table3.110[[#This Row],[CH4 24h, %]]%</f>
        <v>6.0602752806234621</v>
      </c>
      <c r="AL577" s="94">
        <f>Table3.110[[#This Row],[CH4 8-24h, ml]]+Table3.110[[#This Row],[CH4 8h, ml]]</f>
        <v>9.9349521827092353</v>
      </c>
      <c r="AM577" s="94">
        <f>(Table3.110[[#This Row],[Net gas 24h, ml]]/Table3.110[[#This Row],[DM Incubated, mg]])*1000</f>
        <v>159.82151054717733</v>
      </c>
      <c r="AN577" s="94">
        <f>'3.2 Digest'!X577</f>
        <v>44.408024890662951</v>
      </c>
      <c r="AO577" s="94">
        <f>Table3.110[[#This Row],[Digested feed, mg]]/Table3.110[[#This Row],[Net gas 24h, ml]]</f>
        <v>2.7786012495204298</v>
      </c>
      <c r="AP577" s="94">
        <f>Table3.110[[#This Row],[CH4 8h, ml]]/Table3.110[[#This Row],[Net gas 8h, ml]]%</f>
        <v>11.800000000000002</v>
      </c>
      <c r="AQ577" s="94">
        <f>Table3.110[[#This Row],[CH4 24h, ml]]/Table3.110[[#This Row],[Net gas 24h, ml]]%</f>
        <v>13.363312786633587</v>
      </c>
      <c r="AR577" s="94">
        <f>Table3.110[[#This Row],[CH4 24h, ml]]/Table3.110[[#This Row],[DM Incubated, mg]]*1000</f>
        <v>21.357448354741898</v>
      </c>
      <c r="AS577" s="94">
        <f>Table3.110[[#This Row],[CH4 24h, ml]]/Table3.110[[#This Row],[Digested feed, mg]]*1000</f>
        <v>48.093668672106212</v>
      </c>
      <c r="AT577" s="94">
        <f>Table3.110[[#This Row],[CH4 24h, ml]]/'3.2 Digest'!AA577</f>
        <v>-1.2302256546564168</v>
      </c>
      <c r="AU577" s="94">
        <f>((Table3.110[[#This Row],[CH4 24h, ml]]/28.9)*16.04)/Table3.110[[#This Row],[DM Incubated, mg]]*1000</f>
        <v>11.85375334290865</v>
      </c>
      <c r="AV577" s="94">
        <f>((Table3.110[[#This Row],[CH4 24h, ml]]/28.9)*16.04)/Table3.110[[#This Row],[Digested feed, mg]]*1000</f>
        <v>26.692818183411195</v>
      </c>
    </row>
    <row r="578" spans="2:48" s="89" customFormat="1" x14ac:dyDescent="0.35">
      <c r="B578" s="90">
        <f t="shared" si="8"/>
        <v>568</v>
      </c>
      <c r="C578" s="140">
        <v>46055</v>
      </c>
      <c r="D578" s="6" t="s">
        <v>16</v>
      </c>
      <c r="E578" s="6" t="s">
        <v>230</v>
      </c>
      <c r="F578" s="133" t="s">
        <v>226</v>
      </c>
      <c r="G578" s="133" t="s">
        <v>231</v>
      </c>
      <c r="H578" s="133" t="s">
        <v>232</v>
      </c>
      <c r="I578" s="133" t="s">
        <v>22</v>
      </c>
      <c r="J578" s="135" t="s">
        <v>23</v>
      </c>
      <c r="K578" s="135" t="s">
        <v>215</v>
      </c>
      <c r="L578" s="6" t="s">
        <v>229</v>
      </c>
      <c r="M578" s="93">
        <v>28</v>
      </c>
      <c r="N578" s="93">
        <v>62</v>
      </c>
      <c r="O578" s="6">
        <v>2</v>
      </c>
      <c r="P578" s="129">
        <v>2</v>
      </c>
      <c r="Q578" s="6">
        <v>0</v>
      </c>
      <c r="R578" s="112">
        <v>0.5</v>
      </c>
      <c r="S578" s="94">
        <f>((Table3.110[[#This Row],[Sample weight, g]]*'2.1. DM'!Q143)/100)*1000</f>
        <v>464.98905795494943</v>
      </c>
      <c r="T578" s="94">
        <f>'3.2 Digest'!W578</f>
        <v>210.78905795494944</v>
      </c>
      <c r="U578" s="117">
        <v>0.33958333333333335</v>
      </c>
      <c r="V578" s="155">
        <v>41.5</v>
      </c>
      <c r="W578" s="117">
        <v>0.67291666666666672</v>
      </c>
      <c r="X578" s="96">
        <v>72.5</v>
      </c>
      <c r="Y578" s="96">
        <v>11.7</v>
      </c>
      <c r="Z578" s="155">
        <v>40.5</v>
      </c>
      <c r="AA578" s="117">
        <v>0.34791666666666665</v>
      </c>
      <c r="AB578" s="155">
        <v>85</v>
      </c>
      <c r="AC578" s="155">
        <v>14.5</v>
      </c>
      <c r="AD578" s="96"/>
      <c r="AE578" s="94">
        <f>Table3.110[[#This Row],[Gas 8h, ml]]-Table3.110[[#This Row],[Gas 0h, ml]]</f>
        <v>31</v>
      </c>
      <c r="AF578" s="94">
        <f>Table3.110[[#This Row],[Gas 24h, ml]]-Table3.110[[#This Row],[V8 Push back, ml]]</f>
        <v>44.5</v>
      </c>
      <c r="AG578" s="94">
        <f>Table3.110[[#This Row],[GP 8h, ml]]-(AVERAGE(AE$658,AE$659))*$AG$8</f>
        <v>30.336244932930278</v>
      </c>
      <c r="AH578" s="94">
        <f>Table3.110[[#This Row],[GP 8-24h, ml]]-(AVERAGE(AF$658,AF$659))*$AG$8</f>
        <v>42.50873479879084</v>
      </c>
      <c r="AI578" s="94">
        <f>Table3.110[[#This Row],[Net gas 8-24h, ml]]+Table3.110[[#This Row],[Net gas 8h, ml]]</f>
        <v>72.844979731721111</v>
      </c>
      <c r="AJ578" s="94">
        <f>Table3.110[[#This Row],[Net gas 8h, ml]]*Table3.110[[#This Row],[CH4 8h %]]%</f>
        <v>3.5493406571528423</v>
      </c>
      <c r="AK578" s="94">
        <f>Table3.110[[#This Row],[Net gas 8-24h, ml]]*Table3.110[[#This Row],[CH4 24h, %]]%</f>
        <v>6.1637665458246715</v>
      </c>
      <c r="AL578" s="94">
        <f>Table3.110[[#This Row],[CH4 8-24h, ml]]+Table3.110[[#This Row],[CH4 8h, ml]]</f>
        <v>9.7131072029775147</v>
      </c>
      <c r="AM578" s="94">
        <f>(Table3.110[[#This Row],[Net gas 24h, ml]]/Table3.110[[#This Row],[DM Incubated, mg]])*1000</f>
        <v>156.65955679064325</v>
      </c>
      <c r="AN578" s="94">
        <f>'3.2 Digest'!X578</f>
        <v>45.3320469264401</v>
      </c>
      <c r="AO578" s="94">
        <f>Table3.110[[#This Row],[Digested feed, mg]]/Table3.110[[#This Row],[Net gas 24h, ml]]</f>
        <v>2.8936662311014296</v>
      </c>
      <c r="AP578" s="94">
        <f>Table3.110[[#This Row],[CH4 8h, ml]]/Table3.110[[#This Row],[Net gas 8h, ml]]%</f>
        <v>11.7</v>
      </c>
      <c r="AQ578" s="94">
        <f>Table3.110[[#This Row],[CH4 24h, ml]]/Table3.110[[#This Row],[Net gas 24h, ml]]%</f>
        <v>13.333941801823084</v>
      </c>
      <c r="AR578" s="94">
        <f>Table3.110[[#This Row],[CH4 24h, ml]]/Table3.110[[#This Row],[DM Incubated, mg]]*1000</f>
        <v>20.888894129458354</v>
      </c>
      <c r="AS578" s="94">
        <f>Table3.110[[#This Row],[CH4 24h, ml]]/Table3.110[[#This Row],[Digested feed, mg]]*1000</f>
        <v>46.079750520320808</v>
      </c>
      <c r="AT578" s="94">
        <f>Table3.110[[#This Row],[CH4 24h, ml]]/'3.2 Digest'!AA578</f>
        <v>-1.5468369706722687</v>
      </c>
      <c r="AU578" s="94">
        <f>((Table3.110[[#This Row],[CH4 24h, ml]]/28.9)*16.04)/Table3.110[[#This Row],[DM Incubated, mg]]*1000</f>
        <v>11.593697641401802</v>
      </c>
      <c r="AV578" s="94">
        <f>((Table3.110[[#This Row],[CH4 24h, ml]]/28.9)*16.04)/Table3.110[[#This Row],[Digested feed, mg]]*1000</f>
        <v>25.575058766295705</v>
      </c>
    </row>
    <row r="579" spans="2:48" s="89" customFormat="1" x14ac:dyDescent="0.35">
      <c r="B579" s="90">
        <f t="shared" si="8"/>
        <v>569</v>
      </c>
      <c r="C579" s="140">
        <v>46055</v>
      </c>
      <c r="D579" s="6" t="s">
        <v>16</v>
      </c>
      <c r="E579" s="6" t="s">
        <v>230</v>
      </c>
      <c r="F579" s="133" t="s">
        <v>226</v>
      </c>
      <c r="G579" s="133" t="s">
        <v>231</v>
      </c>
      <c r="H579" s="133" t="s">
        <v>232</v>
      </c>
      <c r="I579" s="133" t="s">
        <v>22</v>
      </c>
      <c r="J579" s="135" t="s">
        <v>23</v>
      </c>
      <c r="K579" s="135" t="s">
        <v>215</v>
      </c>
      <c r="L579" s="6" t="s">
        <v>229</v>
      </c>
      <c r="M579" s="93">
        <v>28</v>
      </c>
      <c r="N579" s="93">
        <v>62</v>
      </c>
      <c r="O579" s="6">
        <v>2</v>
      </c>
      <c r="P579" s="129">
        <v>3</v>
      </c>
      <c r="Q579" s="6">
        <v>0</v>
      </c>
      <c r="R579" s="112">
        <v>0.50019999999999998</v>
      </c>
      <c r="S579" s="94">
        <f>((Table3.110[[#This Row],[Sample weight, g]]*'2.1. DM'!Q143)/100)*1000</f>
        <v>465.17505357813138</v>
      </c>
      <c r="T579" s="94">
        <f>'3.2 Digest'!W579</f>
        <v>206.77505357813129</v>
      </c>
      <c r="U579" s="117">
        <v>0.33958333333333335</v>
      </c>
      <c r="V579" s="155">
        <v>41.5</v>
      </c>
      <c r="W579" s="117">
        <v>0.67291666666666672</v>
      </c>
      <c r="X579" s="96">
        <v>73</v>
      </c>
      <c r="Y579" s="96">
        <v>11.5</v>
      </c>
      <c r="Z579" s="155">
        <v>40.5</v>
      </c>
      <c r="AA579" s="117">
        <v>0.34861111111111109</v>
      </c>
      <c r="AB579" s="155">
        <v>87</v>
      </c>
      <c r="AC579" s="155">
        <v>14.4</v>
      </c>
      <c r="AD579" s="96"/>
      <c r="AE579" s="94">
        <f>Table3.110[[#This Row],[Gas 8h, ml]]-Table3.110[[#This Row],[Gas 0h, ml]]</f>
        <v>31.5</v>
      </c>
      <c r="AF579" s="94">
        <f>Table3.110[[#This Row],[Gas 24h, ml]]-Table3.110[[#This Row],[V8 Push back, ml]]</f>
        <v>46.5</v>
      </c>
      <c r="AG579" s="94">
        <f>Table3.110[[#This Row],[GP 8h, ml]]-(AVERAGE(AE$658,AE$659))*$AG$8</f>
        <v>30.836244932930278</v>
      </c>
      <c r="AH579" s="94">
        <f>Table3.110[[#This Row],[GP 8-24h, ml]]-(AVERAGE(AF$658,AF$659))*$AG$8</f>
        <v>44.50873479879084</v>
      </c>
      <c r="AI579" s="94">
        <f>Table3.110[[#This Row],[Net gas 8-24h, ml]]+Table3.110[[#This Row],[Net gas 8h, ml]]</f>
        <v>75.344979731721111</v>
      </c>
      <c r="AJ579" s="94">
        <f>Table3.110[[#This Row],[Net gas 8h, ml]]*Table3.110[[#This Row],[CH4 8h %]]%</f>
        <v>3.5461681672869823</v>
      </c>
      <c r="AK579" s="94">
        <f>Table3.110[[#This Row],[Net gas 8-24h, ml]]*Table3.110[[#This Row],[CH4 24h, %]]%</f>
        <v>6.4092578110258813</v>
      </c>
      <c r="AL579" s="94">
        <f>Table3.110[[#This Row],[CH4 8-24h, ml]]+Table3.110[[#This Row],[CH4 8h, ml]]</f>
        <v>9.9554259783128636</v>
      </c>
      <c r="AM579" s="94">
        <f>(Table3.110[[#This Row],[Net gas 24h, ml]]/Table3.110[[#This Row],[DM Incubated, mg]])*1000</f>
        <v>161.97123889633963</v>
      </c>
      <c r="AN579" s="94">
        <f>'3.2 Digest'!X579</f>
        <v>44.451019457646197</v>
      </c>
      <c r="AO579" s="94">
        <f>Table3.110[[#This Row],[Digested feed, mg]]/Table3.110[[#This Row],[Net gas 24h, ml]]</f>
        <v>2.7443773203521959</v>
      </c>
      <c r="AP579" s="94">
        <f>Table3.110[[#This Row],[CH4 8h, ml]]/Table3.110[[#This Row],[Net gas 8h, ml]]%</f>
        <v>11.5</v>
      </c>
      <c r="AQ579" s="94">
        <f>Table3.110[[#This Row],[CH4 24h, ml]]/Table3.110[[#This Row],[Net gas 24h, ml]]%</f>
        <v>13.213124502469691</v>
      </c>
      <c r="AR579" s="94">
        <f>Table3.110[[#This Row],[CH4 24h, ml]]/Table3.110[[#This Row],[DM Incubated, mg]]*1000</f>
        <v>21.401461453565968</v>
      </c>
      <c r="AS579" s="94">
        <f>Table3.110[[#This Row],[CH4 24h, ml]]/Table3.110[[#This Row],[Digested feed, mg]]*1000</f>
        <v>48.146165632843818</v>
      </c>
      <c r="AT579" s="94">
        <f>Table3.110[[#This Row],[CH4 24h, ml]]/'3.2 Digest'!AA579</f>
        <v>-1.2456536445384427</v>
      </c>
      <c r="AU579" s="94">
        <f>((Table3.110[[#This Row],[CH4 24h, ml]]/28.9)*16.04)/Table3.110[[#This Row],[DM Incubated, mg]]*1000</f>
        <v>11.87818137422831</v>
      </c>
      <c r="AV579" s="94">
        <f>((Table3.110[[#This Row],[CH4 24h, ml]]/28.9)*16.04)/Table3.110[[#This Row],[Digested feed, mg]]*1000</f>
        <v>26.721954904872486</v>
      </c>
    </row>
    <row r="580" spans="2:48" s="89" customFormat="1" x14ac:dyDescent="0.35">
      <c r="B580" s="90">
        <f t="shared" si="8"/>
        <v>570</v>
      </c>
      <c r="C580" s="140">
        <v>46055</v>
      </c>
      <c r="D580" s="6" t="s">
        <v>16</v>
      </c>
      <c r="E580" s="6" t="s">
        <v>234</v>
      </c>
      <c r="F580" s="133" t="s">
        <v>235</v>
      </c>
      <c r="G580" s="133" t="s">
        <v>236</v>
      </c>
      <c r="H580" s="133" t="s">
        <v>237</v>
      </c>
      <c r="I580" s="133" t="s">
        <v>22</v>
      </c>
      <c r="J580" s="135" t="s">
        <v>23</v>
      </c>
      <c r="K580" s="135" t="s">
        <v>215</v>
      </c>
      <c r="L580" s="6" t="s">
        <v>233</v>
      </c>
      <c r="M580" s="93">
        <v>28</v>
      </c>
      <c r="N580" s="93">
        <v>62</v>
      </c>
      <c r="O580" s="6">
        <v>2</v>
      </c>
      <c r="P580" s="129">
        <v>1</v>
      </c>
      <c r="Q580" s="6">
        <v>0</v>
      </c>
      <c r="R580" s="112">
        <v>0.50009999999999999</v>
      </c>
      <c r="S580" s="94">
        <f>((Table3.110[[#This Row],[Sample weight, g]]*'2.1. DM'!Q145)/100)*1000</f>
        <v>444.32786552512283</v>
      </c>
      <c r="T580" s="94">
        <f>'3.2 Digest'!W580</f>
        <v>174.32786552512283</v>
      </c>
      <c r="U580" s="117">
        <v>0.34027777777777779</v>
      </c>
      <c r="V580" s="155">
        <v>41.5</v>
      </c>
      <c r="W580" s="117">
        <v>0.67361111111111116</v>
      </c>
      <c r="X580" s="96">
        <v>88</v>
      </c>
      <c r="Y580" s="96">
        <v>12.6</v>
      </c>
      <c r="Z580" s="155">
        <v>40.5</v>
      </c>
      <c r="AA580" s="117">
        <v>0.34861111111111109</v>
      </c>
      <c r="AB580" s="155">
        <v>95.5</v>
      </c>
      <c r="AC580" s="155">
        <v>16.2</v>
      </c>
      <c r="AD580" s="96"/>
      <c r="AE580" s="94">
        <f>Table3.110[[#This Row],[Gas 8h, ml]]-Table3.110[[#This Row],[Gas 0h, ml]]</f>
        <v>46.5</v>
      </c>
      <c r="AF580" s="94">
        <f>Table3.110[[#This Row],[Gas 24h, ml]]-Table3.110[[#This Row],[V8 Push back, ml]]</f>
        <v>55</v>
      </c>
      <c r="AG580" s="94">
        <f>Table3.110[[#This Row],[GP 8h, ml]]-(AVERAGE(AE$658,AE$659))*$AG$8</f>
        <v>45.836244932930278</v>
      </c>
      <c r="AH580" s="94">
        <f>Table3.110[[#This Row],[GP 8-24h, ml]]-(AVERAGE(AF$658,AF$659))*$AG$8</f>
        <v>53.00873479879084</v>
      </c>
      <c r="AI580" s="94">
        <f>Table3.110[[#This Row],[Net gas 8-24h, ml]]+Table3.110[[#This Row],[Net gas 8h, ml]]</f>
        <v>98.844979731721111</v>
      </c>
      <c r="AJ580" s="94">
        <f>Table3.110[[#This Row],[Net gas 8h, ml]]*Table3.110[[#This Row],[CH4 8h %]]%</f>
        <v>5.7753668615492151</v>
      </c>
      <c r="AK580" s="94">
        <f>Table3.110[[#This Row],[Net gas 8-24h, ml]]*Table3.110[[#This Row],[CH4 24h, %]]%</f>
        <v>8.5874150374041172</v>
      </c>
      <c r="AL580" s="94">
        <f>Table3.110[[#This Row],[CH4 8-24h, ml]]+Table3.110[[#This Row],[CH4 8h, ml]]</f>
        <v>14.362781898953333</v>
      </c>
      <c r="AM580" s="94">
        <f>(Table3.110[[#This Row],[Net gas 24h, ml]]/Table3.110[[#This Row],[DM Incubated, mg]])*1000</f>
        <v>222.45955610932148</v>
      </c>
      <c r="AN580" s="94">
        <f>'3.2 Digest'!X580</f>
        <v>39.234060938108357</v>
      </c>
      <c r="AO580" s="94">
        <f>Table3.110[[#This Row],[Digested feed, mg]]/Table3.110[[#This Row],[Net gas 24h, ml]]</f>
        <v>1.7636491605165248</v>
      </c>
      <c r="AP580" s="94">
        <f>Table3.110[[#This Row],[CH4 8h, ml]]/Table3.110[[#This Row],[Net gas 8h, ml]]%</f>
        <v>12.600000000000001</v>
      </c>
      <c r="AQ580" s="94">
        <f>Table3.110[[#This Row],[CH4 24h, ml]]/Table3.110[[#This Row],[Net gas 24h, ml]]%</f>
        <v>14.530613429165449</v>
      </c>
      <c r="AR580" s="94">
        <f>Table3.110[[#This Row],[CH4 24h, ml]]/Table3.110[[#This Row],[DM Incubated, mg]]*1000</f>
        <v>32.324738134482907</v>
      </c>
      <c r="AS580" s="94">
        <f>Table3.110[[#This Row],[CH4 24h, ml]]/Table3.110[[#This Row],[Digested feed, mg]]*1000</f>
        <v>82.389478329748002</v>
      </c>
      <c r="AT580" s="94">
        <f>Table3.110[[#This Row],[CH4 24h, ml]]/'3.2 Digest'!AA580</f>
        <v>-0.75761114526550488</v>
      </c>
      <c r="AU580" s="94">
        <f>((Table3.110[[#This Row],[CH4 24h, ml]]/28.9)*16.04)/Table3.110[[#This Row],[DM Incubated, mg]]*1000</f>
        <v>17.940788916162834</v>
      </c>
      <c r="AV580" s="94">
        <f>((Table3.110[[#This Row],[CH4 24h, ml]]/28.9)*16.04)/Table3.110[[#This Row],[Digested feed, mg]]*1000</f>
        <v>45.727585896510668</v>
      </c>
    </row>
    <row r="581" spans="2:48" s="89" customFormat="1" x14ac:dyDescent="0.35">
      <c r="B581" s="90">
        <f t="shared" si="8"/>
        <v>571</v>
      </c>
      <c r="C581" s="140">
        <v>46055</v>
      </c>
      <c r="D581" s="6" t="s">
        <v>16</v>
      </c>
      <c r="E581" s="6" t="s">
        <v>234</v>
      </c>
      <c r="F581" s="133" t="s">
        <v>235</v>
      </c>
      <c r="G581" s="133" t="s">
        <v>236</v>
      </c>
      <c r="H581" s="133" t="s">
        <v>237</v>
      </c>
      <c r="I581" s="133" t="s">
        <v>22</v>
      </c>
      <c r="J581" s="135" t="s">
        <v>23</v>
      </c>
      <c r="K581" s="135" t="s">
        <v>215</v>
      </c>
      <c r="L581" s="6" t="s">
        <v>233</v>
      </c>
      <c r="M581" s="93">
        <v>28</v>
      </c>
      <c r="N581" s="93">
        <v>62</v>
      </c>
      <c r="O581" s="6">
        <v>2</v>
      </c>
      <c r="P581" s="129">
        <v>2</v>
      </c>
      <c r="Q581" s="6">
        <v>0</v>
      </c>
      <c r="R581" s="112">
        <v>0.50039999999999996</v>
      </c>
      <c r="S581" s="94">
        <f>((Table3.110[[#This Row],[Sample weight, g]]*'2.1. DM'!Q145)/100)*1000</f>
        <v>444.59440893575572</v>
      </c>
      <c r="T581" s="94">
        <f>'3.2 Digest'!W581</f>
        <v>194.19440893575577</v>
      </c>
      <c r="U581" s="117">
        <v>0.34027777777777779</v>
      </c>
      <c r="V581" s="155">
        <v>40</v>
      </c>
      <c r="W581" s="117">
        <v>0.6743055555555556</v>
      </c>
      <c r="X581" s="96">
        <v>83</v>
      </c>
      <c r="Y581" s="96">
        <v>13</v>
      </c>
      <c r="Z581" s="155">
        <v>39.5</v>
      </c>
      <c r="AA581" s="117">
        <v>0.34930555555555554</v>
      </c>
      <c r="AB581" s="155">
        <v>92.5</v>
      </c>
      <c r="AC581" s="155">
        <v>16.3</v>
      </c>
      <c r="AD581" s="96"/>
      <c r="AE581" s="94">
        <f>Table3.110[[#This Row],[Gas 8h, ml]]-Table3.110[[#This Row],[Gas 0h, ml]]</f>
        <v>43</v>
      </c>
      <c r="AF581" s="94">
        <f>Table3.110[[#This Row],[Gas 24h, ml]]-Table3.110[[#This Row],[V8 Push back, ml]]</f>
        <v>53</v>
      </c>
      <c r="AG581" s="94">
        <f>Table3.110[[#This Row],[GP 8h, ml]]-(AVERAGE(AE$658,AE$659))*$AG$8</f>
        <v>42.336244932930278</v>
      </c>
      <c r="AH581" s="94">
        <f>Table3.110[[#This Row],[GP 8-24h, ml]]-(AVERAGE(AF$658,AF$659))*$AG$8</f>
        <v>51.00873479879084</v>
      </c>
      <c r="AI581" s="94">
        <f>Table3.110[[#This Row],[Net gas 8-24h, ml]]+Table3.110[[#This Row],[Net gas 8h, ml]]</f>
        <v>93.344979731721111</v>
      </c>
      <c r="AJ581" s="94">
        <f>Table3.110[[#This Row],[Net gas 8h, ml]]*Table3.110[[#This Row],[CH4 8h %]]%</f>
        <v>5.5037118412809365</v>
      </c>
      <c r="AK581" s="94">
        <f>Table3.110[[#This Row],[Net gas 8-24h, ml]]*Table3.110[[#This Row],[CH4 24h, %]]%</f>
        <v>8.3144237722029075</v>
      </c>
      <c r="AL581" s="94">
        <f>Table3.110[[#This Row],[CH4 8-24h, ml]]+Table3.110[[#This Row],[CH4 8h, ml]]</f>
        <v>13.818135613483843</v>
      </c>
      <c r="AM581" s="94">
        <f>(Table3.110[[#This Row],[Net gas 24h, ml]]/Table3.110[[#This Row],[DM Incubated, mg]])*1000</f>
        <v>209.95536123624427</v>
      </c>
      <c r="AN581" s="94">
        <f>'3.2 Digest'!X581</f>
        <v>43.679003836464581</v>
      </c>
      <c r="AO581" s="94">
        <f>Table3.110[[#This Row],[Digested feed, mg]]/Table3.110[[#This Row],[Net gas 24h, ml]]</f>
        <v>2.0803947838853443</v>
      </c>
      <c r="AP581" s="94">
        <f>Table3.110[[#This Row],[CH4 8h, ml]]/Table3.110[[#This Row],[Net gas 8h, ml]]%</f>
        <v>13</v>
      </c>
      <c r="AQ581" s="94">
        <f>Table3.110[[#This Row],[CH4 24h, ml]]/Table3.110[[#This Row],[Net gas 24h, ml]]%</f>
        <v>14.803298102584591</v>
      </c>
      <c r="AR581" s="94">
        <f>Table3.110[[#This Row],[CH4 24h, ml]]/Table3.110[[#This Row],[DM Incubated, mg]]*1000</f>
        <v>31.08031800615958</v>
      </c>
      <c r="AS581" s="94">
        <f>Table3.110[[#This Row],[CH4 24h, ml]]/Table3.110[[#This Row],[Digested feed, mg]]*1000</f>
        <v>71.156196974008751</v>
      </c>
      <c r="AT581" s="94">
        <f>Table3.110[[#This Row],[CH4 24h, ml]]/'3.2 Digest'!AA581</f>
        <v>-1.3472725521391262</v>
      </c>
      <c r="AU581" s="94">
        <f>((Table3.110[[#This Row],[CH4 24h, ml]]/28.9)*16.04)/Table3.110[[#This Row],[DM Incubated, mg]]*1000</f>
        <v>17.250114215183377</v>
      </c>
      <c r="AV581" s="94">
        <f>((Table3.110[[#This Row],[CH4 24h, ml]]/28.9)*16.04)/Table3.110[[#This Row],[Digested feed, mg]]*1000</f>
        <v>39.492920396647072</v>
      </c>
    </row>
    <row r="582" spans="2:48" s="89" customFormat="1" x14ac:dyDescent="0.35">
      <c r="B582" s="90">
        <f t="shared" si="8"/>
        <v>572</v>
      </c>
      <c r="C582" s="140">
        <v>46055</v>
      </c>
      <c r="D582" s="6" t="s">
        <v>16</v>
      </c>
      <c r="E582" s="6" t="s">
        <v>234</v>
      </c>
      <c r="F582" s="133" t="s">
        <v>235</v>
      </c>
      <c r="G582" s="133" t="s">
        <v>236</v>
      </c>
      <c r="H582" s="133" t="s">
        <v>237</v>
      </c>
      <c r="I582" s="133" t="s">
        <v>22</v>
      </c>
      <c r="J582" s="135" t="s">
        <v>23</v>
      </c>
      <c r="K582" s="135" t="s">
        <v>215</v>
      </c>
      <c r="L582" s="6" t="s">
        <v>233</v>
      </c>
      <c r="M582" s="93">
        <v>28</v>
      </c>
      <c r="N582" s="93">
        <v>62</v>
      </c>
      <c r="O582" s="6">
        <v>2</v>
      </c>
      <c r="P582" s="129">
        <v>3</v>
      </c>
      <c r="Q582" s="6">
        <v>0</v>
      </c>
      <c r="R582" s="112">
        <v>0.50029999999999997</v>
      </c>
      <c r="S582" s="94">
        <f>((Table3.110[[#This Row],[Sample weight, g]]*'2.1. DM'!Q145)/100)*1000</f>
        <v>444.50556113221148</v>
      </c>
      <c r="T582" s="94">
        <f>'3.2 Digest'!W582</f>
        <v>138.10556113221151</v>
      </c>
      <c r="U582" s="117">
        <v>0.34027777777777779</v>
      </c>
      <c r="V582" s="155">
        <v>41</v>
      </c>
      <c r="W582" s="117">
        <v>0.6743055555555556</v>
      </c>
      <c r="X582" s="96">
        <v>84</v>
      </c>
      <c r="Y582" s="96">
        <v>13.3</v>
      </c>
      <c r="Z582" s="155">
        <v>40</v>
      </c>
      <c r="AA582" s="117">
        <v>0.35</v>
      </c>
      <c r="AB582" s="155">
        <v>91.5</v>
      </c>
      <c r="AC582" s="155">
        <v>16.399999999999999</v>
      </c>
      <c r="AD582" s="96"/>
      <c r="AE582" s="94">
        <f>Table3.110[[#This Row],[Gas 8h, ml]]-Table3.110[[#This Row],[Gas 0h, ml]]</f>
        <v>43</v>
      </c>
      <c r="AF582" s="94">
        <f>Table3.110[[#This Row],[Gas 24h, ml]]-Table3.110[[#This Row],[V8 Push back, ml]]</f>
        <v>51.5</v>
      </c>
      <c r="AG582" s="94">
        <f>Table3.110[[#This Row],[GP 8h, ml]]-(AVERAGE(AE$658,AE$659))*$AG$8</f>
        <v>42.336244932930278</v>
      </c>
      <c r="AH582" s="94">
        <f>Table3.110[[#This Row],[GP 8-24h, ml]]-(AVERAGE(AF$658,AF$659))*$AG$8</f>
        <v>49.50873479879084</v>
      </c>
      <c r="AI582" s="94">
        <f>Table3.110[[#This Row],[Net gas 8-24h, ml]]+Table3.110[[#This Row],[Net gas 8h, ml]]</f>
        <v>91.844979731721111</v>
      </c>
      <c r="AJ582" s="94">
        <f>Table3.110[[#This Row],[Net gas 8h, ml]]*Table3.110[[#This Row],[CH4 8h %]]%</f>
        <v>5.6307205760797272</v>
      </c>
      <c r="AK582" s="94">
        <f>Table3.110[[#This Row],[Net gas 8-24h, ml]]*Table3.110[[#This Row],[CH4 24h, %]]%</f>
        <v>8.1194325070016973</v>
      </c>
      <c r="AL582" s="94">
        <f>Table3.110[[#This Row],[CH4 8-24h, ml]]+Table3.110[[#This Row],[CH4 8h, ml]]</f>
        <v>13.750153083081425</v>
      </c>
      <c r="AM582" s="94">
        <f>(Table3.110[[#This Row],[Net gas 24h, ml]]/Table3.110[[#This Row],[DM Incubated, mg]])*1000</f>
        <v>206.62279116999215</v>
      </c>
      <c r="AN582" s="94">
        <f>'3.2 Digest'!X582</f>
        <v>31.069478811567464</v>
      </c>
      <c r="AO582" s="94">
        <f>Table3.110[[#This Row],[Digested feed, mg]]/Table3.110[[#This Row],[Net gas 24h, ml]]</f>
        <v>1.5036811106673158</v>
      </c>
      <c r="AP582" s="94">
        <f>Table3.110[[#This Row],[CH4 8h, ml]]/Table3.110[[#This Row],[Net gas 8h, ml]]%</f>
        <v>13.3</v>
      </c>
      <c r="AQ582" s="94">
        <f>Table3.110[[#This Row],[CH4 24h, ml]]/Table3.110[[#This Row],[Net gas 24h, ml]]%</f>
        <v>14.971044822749787</v>
      </c>
      <c r="AR582" s="94">
        <f>Table3.110[[#This Row],[CH4 24h, ml]]/Table3.110[[#This Row],[DM Incubated, mg]]*1000</f>
        <v>30.933590680076215</v>
      </c>
      <c r="AS582" s="94">
        <f>Table3.110[[#This Row],[CH4 24h, ml]]/Table3.110[[#This Row],[Digested feed, mg]]*1000</f>
        <v>99.562631441887419</v>
      </c>
      <c r="AT582" s="94">
        <f>Table3.110[[#This Row],[CH4 24h, ml]]/'3.2 Digest'!AA582</f>
        <v>-0.3935212861494814</v>
      </c>
      <c r="AU582" s="94">
        <f>((Table3.110[[#This Row],[CH4 24h, ml]]/28.9)*16.04)/Table3.110[[#This Row],[DM Incubated, mg]]*1000</f>
        <v>17.168678010672057</v>
      </c>
      <c r="AV582" s="94">
        <f>((Table3.110[[#This Row],[CH4 24h, ml]]/28.9)*16.04)/Table3.110[[#This Row],[Digested feed, mg]]*1000</f>
        <v>55.258982987123673</v>
      </c>
    </row>
    <row r="583" spans="2:48" s="89" customFormat="1" x14ac:dyDescent="0.35">
      <c r="B583" s="90">
        <f t="shared" si="8"/>
        <v>573</v>
      </c>
      <c r="C583" s="140">
        <v>46055</v>
      </c>
      <c r="D583" s="6" t="s">
        <v>16</v>
      </c>
      <c r="E583" s="6" t="s">
        <v>239</v>
      </c>
      <c r="F583" s="133" t="s">
        <v>240</v>
      </c>
      <c r="G583" s="133" t="s">
        <v>241</v>
      </c>
      <c r="H583" s="133" t="s">
        <v>242</v>
      </c>
      <c r="I583" s="133" t="s">
        <v>22</v>
      </c>
      <c r="J583" s="135" t="s">
        <v>23</v>
      </c>
      <c r="K583" s="135" t="s">
        <v>215</v>
      </c>
      <c r="L583" s="6" t="s">
        <v>238</v>
      </c>
      <c r="M583" s="93">
        <v>28</v>
      </c>
      <c r="N583" s="93">
        <v>62</v>
      </c>
      <c r="O583" s="6">
        <v>2</v>
      </c>
      <c r="P583" s="129">
        <v>1</v>
      </c>
      <c r="Q583" s="6">
        <v>0</v>
      </c>
      <c r="R583" s="112">
        <v>0.50019999999999998</v>
      </c>
      <c r="S583" s="94">
        <f>((Table3.110[[#This Row],[Sample weight, g]]*'2.1. DM'!Q147)/100)*1000</f>
        <v>460.04800729509282</v>
      </c>
      <c r="T583" s="94">
        <f>'3.2 Digest'!W583</f>
        <v>174.94800729509291</v>
      </c>
      <c r="U583" s="117">
        <v>0.34097222222222223</v>
      </c>
      <c r="V583" s="155">
        <v>40.5</v>
      </c>
      <c r="W583" s="117">
        <v>0.67500000000000004</v>
      </c>
      <c r="X583" s="96">
        <v>66</v>
      </c>
      <c r="Y583" s="96">
        <v>10.5</v>
      </c>
      <c r="Z583" s="155">
        <v>35.5</v>
      </c>
      <c r="AA583" s="117">
        <v>0.35</v>
      </c>
      <c r="AB583" s="155">
        <v>85</v>
      </c>
      <c r="AC583" s="155">
        <v>14.2</v>
      </c>
      <c r="AD583" s="96" t="s">
        <v>572</v>
      </c>
      <c r="AE583" s="94">
        <f>Table3.110[[#This Row],[Gas 8h, ml]]-Table3.110[[#This Row],[Gas 0h, ml]]</f>
        <v>25.5</v>
      </c>
      <c r="AF583" s="94">
        <f>Table3.110[[#This Row],[Gas 24h, ml]]-Table3.110[[#This Row],[V8 Push back, ml]]</f>
        <v>49.5</v>
      </c>
      <c r="AG583" s="94">
        <f>Table3.110[[#This Row],[GP 8h, ml]]-(AVERAGE(AE$658,AE$659))*$AG$8</f>
        <v>24.836244932930278</v>
      </c>
      <c r="AH583" s="94">
        <f>Table3.110[[#This Row],[GP 8-24h, ml]]-(AVERAGE(AF$658,AF$659))*$AG$8</f>
        <v>47.50873479879084</v>
      </c>
      <c r="AI583" s="94">
        <f>Table3.110[[#This Row],[Net gas 8-24h, ml]]+Table3.110[[#This Row],[Net gas 8h, ml]]</f>
        <v>72.344979731721111</v>
      </c>
      <c r="AJ583" s="94">
        <f>Table3.110[[#This Row],[Net gas 8h, ml]]*Table3.110[[#This Row],[CH4 8h %]]%</f>
        <v>2.607805717957679</v>
      </c>
      <c r="AK583" s="94">
        <f>Table3.110[[#This Row],[Net gas 8-24h, ml]]*Table3.110[[#This Row],[CH4 24h, %]]%</f>
        <v>6.7462403414282983</v>
      </c>
      <c r="AL583" s="94">
        <f>Table3.110[[#This Row],[CH4 8-24h, ml]]+Table3.110[[#This Row],[CH4 8h, ml]]</f>
        <v>9.3540460593859773</v>
      </c>
      <c r="AM583" s="94">
        <f>(Table3.110[[#This Row],[Net gas 24h, ml]]/Table3.110[[#This Row],[DM Incubated, mg]])*1000</f>
        <v>157.25528332810757</v>
      </c>
      <c r="AN583" s="94">
        <f>'3.2 Digest'!X583</f>
        <v>38.028206735145012</v>
      </c>
      <c r="AO583" s="94">
        <f>Table3.110[[#This Row],[Digested feed, mg]]/Table3.110[[#This Row],[Net gas 24h, ml]]</f>
        <v>2.4182466833753695</v>
      </c>
      <c r="AP583" s="94">
        <f>Table3.110[[#This Row],[CH4 8h, ml]]/Table3.110[[#This Row],[Net gas 8h, ml]]%</f>
        <v>10.5</v>
      </c>
      <c r="AQ583" s="94">
        <f>Table3.110[[#This Row],[CH4 24h, ml]]/Table3.110[[#This Row],[Net gas 24h, ml]]%</f>
        <v>12.929779086363483</v>
      </c>
      <c r="AR583" s="94">
        <f>Table3.110[[#This Row],[CH4 24h, ml]]/Table3.110[[#This Row],[DM Incubated, mg]]*1000</f>
        <v>20.33276073595929</v>
      </c>
      <c r="AS583" s="94">
        <f>Table3.110[[#This Row],[CH4 24h, ml]]/Table3.110[[#This Row],[Digested feed, mg]]*1000</f>
        <v>53.467577047665792</v>
      </c>
      <c r="AT583" s="94">
        <f>Table3.110[[#This Row],[CH4 24h, ml]]/'3.2 Digest'!AA583</f>
        <v>-1.116558024994017</v>
      </c>
      <c r="AU583" s="94">
        <f>((Table3.110[[#This Row],[CH4 24h, ml]]/28.9)*16.04)/Table3.110[[#This Row],[DM Incubated, mg]]*1000</f>
        <v>11.285033986324814</v>
      </c>
      <c r="AV583" s="94">
        <f>((Table3.110[[#This Row],[CH4 24h, ml]]/28.9)*16.04)/Table3.110[[#This Row],[Digested feed, mg]]*1000</f>
        <v>29.67543030604012</v>
      </c>
    </row>
    <row r="584" spans="2:48" s="89" customFormat="1" x14ac:dyDescent="0.35">
      <c r="B584" s="90">
        <f t="shared" si="8"/>
        <v>574</v>
      </c>
      <c r="C584" s="140">
        <v>46055</v>
      </c>
      <c r="D584" s="6" t="s">
        <v>16</v>
      </c>
      <c r="E584" s="6" t="s">
        <v>239</v>
      </c>
      <c r="F584" s="133" t="s">
        <v>240</v>
      </c>
      <c r="G584" s="133" t="s">
        <v>241</v>
      </c>
      <c r="H584" s="133" t="s">
        <v>242</v>
      </c>
      <c r="I584" s="133" t="s">
        <v>22</v>
      </c>
      <c r="J584" s="135" t="s">
        <v>23</v>
      </c>
      <c r="K584" s="135" t="s">
        <v>215</v>
      </c>
      <c r="L584" s="6" t="s">
        <v>238</v>
      </c>
      <c r="M584" s="93">
        <v>28</v>
      </c>
      <c r="N584" s="93">
        <v>62</v>
      </c>
      <c r="O584" s="6">
        <v>2</v>
      </c>
      <c r="P584" s="129">
        <v>2</v>
      </c>
      <c r="Q584" s="6">
        <v>0</v>
      </c>
      <c r="R584" s="112">
        <v>0.50009999999999999</v>
      </c>
      <c r="S584" s="94">
        <f>((Table3.110[[#This Row],[Sample weight, g]]*'2.1. DM'!Q147)/100)*1000</f>
        <v>459.95603448275875</v>
      </c>
      <c r="T584" s="94">
        <f>'3.2 Digest'!W584</f>
        <v>49.056034482758719</v>
      </c>
      <c r="U584" s="117">
        <v>0.34097222222222223</v>
      </c>
      <c r="V584" s="155">
        <v>41</v>
      </c>
      <c r="W584" s="117">
        <v>0.67569444444444449</v>
      </c>
      <c r="X584" s="96">
        <v>71</v>
      </c>
      <c r="Y584" s="96">
        <v>10.5</v>
      </c>
      <c r="Z584" s="155">
        <v>40</v>
      </c>
      <c r="AA584" s="117">
        <v>0.35069444444444442</v>
      </c>
      <c r="AB584" s="155">
        <v>92</v>
      </c>
      <c r="AC584" s="155">
        <v>14.1</v>
      </c>
      <c r="AD584" s="96"/>
      <c r="AE584" s="94">
        <f>Table3.110[[#This Row],[Gas 8h, ml]]-Table3.110[[#This Row],[Gas 0h, ml]]</f>
        <v>30</v>
      </c>
      <c r="AF584" s="94">
        <f>Table3.110[[#This Row],[Gas 24h, ml]]-Table3.110[[#This Row],[V8 Push back, ml]]</f>
        <v>52</v>
      </c>
      <c r="AG584" s="94">
        <f>Table3.110[[#This Row],[GP 8h, ml]]-(AVERAGE(AE$658,AE$659))*$AG$8</f>
        <v>29.336244932930278</v>
      </c>
      <c r="AH584" s="94">
        <f>Table3.110[[#This Row],[GP 8-24h, ml]]-(AVERAGE(AF$658,AF$659))*$AG$8</f>
        <v>50.00873479879084</v>
      </c>
      <c r="AI584" s="94">
        <f>Table3.110[[#This Row],[Net gas 8-24h, ml]]+Table3.110[[#This Row],[Net gas 8h, ml]]</f>
        <v>79.344979731721111</v>
      </c>
      <c r="AJ584" s="94">
        <f>Table3.110[[#This Row],[Net gas 8h, ml]]*Table3.110[[#This Row],[CH4 8h %]]%</f>
        <v>3.0803057179576792</v>
      </c>
      <c r="AK584" s="94">
        <f>Table3.110[[#This Row],[Net gas 8-24h, ml]]*Table3.110[[#This Row],[CH4 24h, %]]%</f>
        <v>7.051231606629508</v>
      </c>
      <c r="AL584" s="94">
        <f>Table3.110[[#This Row],[CH4 8-24h, ml]]+Table3.110[[#This Row],[CH4 8h, ml]]</f>
        <v>10.131537324587187</v>
      </c>
      <c r="AM584" s="94">
        <f>(Table3.110[[#This Row],[Net gas 24h, ml]]/Table3.110[[#This Row],[DM Incubated, mg]])*1000</f>
        <v>172.50557397501723</v>
      </c>
      <c r="AN584" s="94">
        <f>'3.2 Digest'!X584</f>
        <v>10.665374689110109</v>
      </c>
      <c r="AO584" s="94">
        <f>Table3.110[[#This Row],[Digested feed, mg]]/Table3.110[[#This Row],[Net gas 24h, ml]]</f>
        <v>0.61826261281590245</v>
      </c>
      <c r="AP584" s="94">
        <f>Table3.110[[#This Row],[CH4 8h, ml]]/Table3.110[[#This Row],[Net gas 8h, ml]]%</f>
        <v>10.5</v>
      </c>
      <c r="AQ584" s="94">
        <f>Table3.110[[#This Row],[CH4 24h, ml]]/Table3.110[[#This Row],[Net gas 24h, ml]]%</f>
        <v>12.768970839546043</v>
      </c>
      <c r="AR584" s="94">
        <f>Table3.110[[#This Row],[CH4 24h, ml]]/Table3.110[[#This Row],[DM Incubated, mg]]*1000</f>
        <v>22.027186437461477</v>
      </c>
      <c r="AS584" s="94">
        <f>Table3.110[[#This Row],[CH4 24h, ml]]/Table3.110[[#This Row],[Digested feed, mg]]*1000</f>
        <v>206.52988834937375</v>
      </c>
      <c r="AT584" s="94">
        <f>Table3.110[[#This Row],[CH4 24h, ml]]/'3.2 Digest'!AA584</f>
        <v>-0.18017942539834975</v>
      </c>
      <c r="AU584" s="94">
        <f>((Table3.110[[#This Row],[CH4 24h, ml]]/28.9)*16.04)/Table3.110[[#This Row],[DM Incubated, mg]]*1000</f>
        <v>12.225469565982078</v>
      </c>
      <c r="AV584" s="94">
        <f>((Table3.110[[#This Row],[CH4 24h, ml]]/28.9)*16.04)/Table3.110[[#This Row],[Digested feed, mg]]*1000</f>
        <v>114.62766121536175</v>
      </c>
    </row>
    <row r="585" spans="2:48" s="89" customFormat="1" x14ac:dyDescent="0.35">
      <c r="B585" s="90">
        <f t="shared" si="8"/>
        <v>575</v>
      </c>
      <c r="C585" s="140">
        <v>46055</v>
      </c>
      <c r="D585" s="6" t="s">
        <v>16</v>
      </c>
      <c r="E585" s="6" t="s">
        <v>239</v>
      </c>
      <c r="F585" s="133" t="s">
        <v>240</v>
      </c>
      <c r="G585" s="133" t="s">
        <v>241</v>
      </c>
      <c r="H585" s="133" t="s">
        <v>242</v>
      </c>
      <c r="I585" s="133" t="s">
        <v>22</v>
      </c>
      <c r="J585" s="135" t="s">
        <v>23</v>
      </c>
      <c r="K585" s="135" t="s">
        <v>215</v>
      </c>
      <c r="L585" s="6" t="s">
        <v>238</v>
      </c>
      <c r="M585" s="93">
        <v>28</v>
      </c>
      <c r="N585" s="93">
        <v>62</v>
      </c>
      <c r="O585" s="6">
        <v>2</v>
      </c>
      <c r="P585" s="129">
        <v>3</v>
      </c>
      <c r="Q585" s="6">
        <v>0</v>
      </c>
      <c r="R585" s="112">
        <v>0.50009999999999999</v>
      </c>
      <c r="S585" s="94">
        <f>((Table3.110[[#This Row],[Sample weight, g]]*'2.1. DM'!Q147)/100)*1000</f>
        <v>459.95603448275875</v>
      </c>
      <c r="T585" s="94">
        <f>'3.2 Digest'!W585</f>
        <v>179.95603448275875</v>
      </c>
      <c r="U585" s="117">
        <v>0.34236111111111112</v>
      </c>
      <c r="V585" s="155">
        <v>40.5</v>
      </c>
      <c r="W585" s="117">
        <v>0.67638888888888893</v>
      </c>
      <c r="X585" s="96">
        <v>71.5</v>
      </c>
      <c r="Y585" s="96">
        <v>10.6</v>
      </c>
      <c r="Z585" s="155">
        <v>40</v>
      </c>
      <c r="AA585" s="117">
        <v>0.35138888888888886</v>
      </c>
      <c r="AB585" s="155">
        <v>92</v>
      </c>
      <c r="AC585" s="155">
        <v>14.3</v>
      </c>
      <c r="AD585" s="96" t="s">
        <v>573</v>
      </c>
      <c r="AE585" s="94">
        <f>Table3.110[[#This Row],[Gas 8h, ml]]-Table3.110[[#This Row],[Gas 0h, ml]]</f>
        <v>31</v>
      </c>
      <c r="AF585" s="94">
        <f>Table3.110[[#This Row],[Gas 24h, ml]]-Table3.110[[#This Row],[V8 Push back, ml]]</f>
        <v>52</v>
      </c>
      <c r="AG585" s="94">
        <f>Table3.110[[#This Row],[GP 8h, ml]]-(AVERAGE(AE$658,AE$659))*$AG$8</f>
        <v>30.336244932930278</v>
      </c>
      <c r="AH585" s="94">
        <f>Table3.110[[#This Row],[GP 8-24h, ml]]-(AVERAGE(AF$658,AF$659))*$AG$8</f>
        <v>50.00873479879084</v>
      </c>
      <c r="AI585" s="94">
        <f>Table3.110[[#This Row],[Net gas 8-24h, ml]]+Table3.110[[#This Row],[Net gas 8h, ml]]</f>
        <v>80.344979731721111</v>
      </c>
      <c r="AJ585" s="94">
        <f>Table3.110[[#This Row],[Net gas 8h, ml]]*Table3.110[[#This Row],[CH4 8h %]]%</f>
        <v>3.2156419628906092</v>
      </c>
      <c r="AK585" s="94">
        <f>Table3.110[[#This Row],[Net gas 8-24h, ml]]*Table3.110[[#This Row],[CH4 24h, %]]%</f>
        <v>7.1512490762270913</v>
      </c>
      <c r="AL585" s="94">
        <f>Table3.110[[#This Row],[CH4 8-24h, ml]]+Table3.110[[#This Row],[CH4 8h, ml]]</f>
        <v>10.3668910391177</v>
      </c>
      <c r="AM585" s="94">
        <f>(Table3.110[[#This Row],[Net gas 24h, ml]]/Table3.110[[#This Row],[DM Incubated, mg]])*1000</f>
        <v>174.67969481490258</v>
      </c>
      <c r="AN585" s="94">
        <f>'3.2 Digest'!X585</f>
        <v>39.124616483209621</v>
      </c>
      <c r="AO585" s="94">
        <f>Table3.110[[#This Row],[Digested feed, mg]]/Table3.110[[#This Row],[Net gas 24h, ml]]</f>
        <v>2.239791895942318</v>
      </c>
      <c r="AP585" s="94">
        <f>Table3.110[[#This Row],[CH4 8h, ml]]/Table3.110[[#This Row],[Net gas 8h, ml]]%</f>
        <v>10.6</v>
      </c>
      <c r="AQ585" s="94">
        <f>Table3.110[[#This Row],[CH4 24h, ml]]/Table3.110[[#This Row],[Net gas 24h, ml]]%</f>
        <v>12.902972996861351</v>
      </c>
      <c r="AR585" s="94">
        <f>Table3.110[[#This Row],[CH4 24h, ml]]/Table3.110[[#This Row],[DM Incubated, mg]]*1000</f>
        <v>22.538873852966699</v>
      </c>
      <c r="AS585" s="94">
        <f>Table3.110[[#This Row],[CH4 24h, ml]]/Table3.110[[#This Row],[Digested feed, mg]]*1000</f>
        <v>57.607910003767799</v>
      </c>
      <c r="AT585" s="94">
        <f>Table3.110[[#This Row],[CH4 24h, ml]]/'3.2 Digest'!AA585</f>
        <v>-1.6047450428315448</v>
      </c>
      <c r="AU585" s="94">
        <f>((Table3.110[[#This Row],[CH4 24h, ml]]/28.9)*16.04)/Table3.110[[#This Row],[DM Incubated, mg]]*1000</f>
        <v>12.509464934310927</v>
      </c>
      <c r="AV585" s="94">
        <f>((Table3.110[[#This Row],[CH4 24h, ml]]/28.9)*16.04)/Table3.110[[#This Row],[Digested feed, mg]]*1000</f>
        <v>31.973386728734788</v>
      </c>
    </row>
    <row r="586" spans="2:48" s="89" customFormat="1" x14ac:dyDescent="0.35">
      <c r="B586" s="90">
        <f t="shared" si="8"/>
        <v>576</v>
      </c>
      <c r="C586" s="140">
        <v>46055</v>
      </c>
      <c r="D586" s="6" t="s">
        <v>16</v>
      </c>
      <c r="E586" s="6" t="s">
        <v>244</v>
      </c>
      <c r="F586" s="133" t="s">
        <v>240</v>
      </c>
      <c r="G586" s="133" t="s">
        <v>245</v>
      </c>
      <c r="H586" s="133" t="s">
        <v>246</v>
      </c>
      <c r="I586" s="133" t="s">
        <v>22</v>
      </c>
      <c r="J586" s="135" t="s">
        <v>23</v>
      </c>
      <c r="K586" s="135" t="s">
        <v>215</v>
      </c>
      <c r="L586" s="6" t="s">
        <v>243</v>
      </c>
      <c r="M586" s="93">
        <v>28</v>
      </c>
      <c r="N586" s="93">
        <v>62</v>
      </c>
      <c r="O586" s="6">
        <v>2</v>
      </c>
      <c r="P586" s="129">
        <v>1</v>
      </c>
      <c r="Q586" s="6">
        <v>0</v>
      </c>
      <c r="R586" s="112">
        <v>0.50019999999999998</v>
      </c>
      <c r="S586" s="94">
        <f>((Table3.110[[#This Row],[Sample weight, g]]*'2.1. DM'!Q149)/100)*1000</f>
        <v>455.24781975538917</v>
      </c>
      <c r="T586" s="94">
        <f>'3.2 Digest'!W586</f>
        <v>164.04781975538924</v>
      </c>
      <c r="U586" s="117">
        <v>0.34166666666666667</v>
      </c>
      <c r="V586" s="155">
        <v>41</v>
      </c>
      <c r="W586" s="117">
        <v>0.67708333333333337</v>
      </c>
      <c r="X586" s="96">
        <v>77.5</v>
      </c>
      <c r="Y586" s="96">
        <v>10.4</v>
      </c>
      <c r="Z586" s="155">
        <v>40</v>
      </c>
      <c r="AA586" s="117">
        <v>0.35208333333333336</v>
      </c>
      <c r="AB586" s="155">
        <v>89.5</v>
      </c>
      <c r="AC586" s="155">
        <v>14.9</v>
      </c>
      <c r="AD586" s="96"/>
      <c r="AE586" s="94">
        <f>Table3.110[[#This Row],[Gas 8h, ml]]-Table3.110[[#This Row],[Gas 0h, ml]]</f>
        <v>36.5</v>
      </c>
      <c r="AF586" s="94">
        <f>Table3.110[[#This Row],[Gas 24h, ml]]-Table3.110[[#This Row],[V8 Push back, ml]]</f>
        <v>49.5</v>
      </c>
      <c r="AG586" s="94">
        <f>Table3.110[[#This Row],[GP 8h, ml]]-(AVERAGE(AE$658,AE$659))*$AG$8</f>
        <v>35.836244932930278</v>
      </c>
      <c r="AH586" s="94">
        <f>Table3.110[[#This Row],[GP 8-24h, ml]]-(AVERAGE(AF$658,AF$659))*$AG$8</f>
        <v>47.50873479879084</v>
      </c>
      <c r="AI586" s="94">
        <f>Table3.110[[#This Row],[Net gas 8-24h, ml]]+Table3.110[[#This Row],[Net gas 8h, ml]]</f>
        <v>83.344979731721111</v>
      </c>
      <c r="AJ586" s="94">
        <f>Table3.110[[#This Row],[Net gas 8h, ml]]*Table3.110[[#This Row],[CH4 8h %]]%</f>
        <v>3.7269694730247491</v>
      </c>
      <c r="AK586" s="94">
        <f>Table3.110[[#This Row],[Net gas 8-24h, ml]]*Table3.110[[#This Row],[CH4 24h, %]]%</f>
        <v>7.0788014850198353</v>
      </c>
      <c r="AL586" s="94">
        <f>Table3.110[[#This Row],[CH4 8-24h, ml]]+Table3.110[[#This Row],[CH4 8h, ml]]</f>
        <v>10.805770958044585</v>
      </c>
      <c r="AM586" s="94">
        <f>(Table3.110[[#This Row],[Net gas 24h, ml]]/Table3.110[[#This Row],[DM Incubated, mg]])*1000</f>
        <v>183.07606563937748</v>
      </c>
      <c r="AN586" s="94">
        <f>'3.2 Digest'!X586</f>
        <v>36.034839187925023</v>
      </c>
      <c r="AO586" s="94">
        <f>Table3.110[[#This Row],[Digested feed, mg]]/Table3.110[[#This Row],[Net gas 24h, ml]]</f>
        <v>1.9682987539674524</v>
      </c>
      <c r="AP586" s="94">
        <f>Table3.110[[#This Row],[CH4 8h, ml]]/Table3.110[[#This Row],[Net gas 8h, ml]]%</f>
        <v>10.4</v>
      </c>
      <c r="AQ586" s="94">
        <f>Table3.110[[#This Row],[CH4 24h, ml]]/Table3.110[[#This Row],[Net gas 24h, ml]]%</f>
        <v>12.965113187173657</v>
      </c>
      <c r="AR586" s="94">
        <f>Table3.110[[#This Row],[CH4 24h, ml]]/Table3.110[[#This Row],[DM Incubated, mg]]*1000</f>
        <v>23.736019128769627</v>
      </c>
      <c r="AS586" s="94">
        <f>Table3.110[[#This Row],[CH4 24h, ml]]/Table3.110[[#This Row],[Digested feed, mg]]*1000</f>
        <v>65.869640780090876</v>
      </c>
      <c r="AT586" s="94">
        <f>Table3.110[[#This Row],[CH4 24h, ml]]/'3.2 Digest'!AA586</f>
        <v>-1.6757178818839824</v>
      </c>
      <c r="AU586" s="94">
        <f>((Table3.110[[#This Row],[CH4 24h, ml]]/28.9)*16.04)/Table3.110[[#This Row],[DM Incubated, mg]]*1000</f>
        <v>13.173901274237535</v>
      </c>
      <c r="AV586" s="94">
        <f>((Table3.110[[#This Row],[CH4 24h, ml]]/28.9)*16.04)/Table3.110[[#This Row],[Digested feed, mg]]*1000</f>
        <v>36.558790246112721</v>
      </c>
    </row>
    <row r="587" spans="2:48" s="89" customFormat="1" x14ac:dyDescent="0.35">
      <c r="B587" s="90">
        <f t="shared" si="8"/>
        <v>577</v>
      </c>
      <c r="C587" s="140">
        <v>46055</v>
      </c>
      <c r="D587" s="6" t="s">
        <v>16</v>
      </c>
      <c r="E587" s="6" t="s">
        <v>244</v>
      </c>
      <c r="F587" s="133" t="s">
        <v>240</v>
      </c>
      <c r="G587" s="133" t="s">
        <v>245</v>
      </c>
      <c r="H587" s="133" t="s">
        <v>246</v>
      </c>
      <c r="I587" s="133" t="s">
        <v>22</v>
      </c>
      <c r="J587" s="135" t="s">
        <v>23</v>
      </c>
      <c r="K587" s="135" t="s">
        <v>215</v>
      </c>
      <c r="L587" s="6" t="s">
        <v>243</v>
      </c>
      <c r="M587" s="93">
        <v>28</v>
      </c>
      <c r="N587" s="93">
        <v>62</v>
      </c>
      <c r="O587" s="6">
        <v>2</v>
      </c>
      <c r="P587" s="129">
        <v>2</v>
      </c>
      <c r="Q587" s="6">
        <v>0</v>
      </c>
      <c r="R587" s="112">
        <v>0.5</v>
      </c>
      <c r="S587" s="94">
        <f>((Table3.110[[#This Row],[Sample weight, g]]*'2.1. DM'!Q149)/100)*1000</f>
        <v>455.06579343801405</v>
      </c>
      <c r="T587" s="94">
        <f>'3.2 Digest'!W587</f>
        <v>64.16579343801402</v>
      </c>
      <c r="U587" s="117">
        <v>0.34236111111111112</v>
      </c>
      <c r="V587" s="155">
        <v>40.5</v>
      </c>
      <c r="W587" s="117">
        <v>0.67777777777777781</v>
      </c>
      <c r="X587" s="96">
        <v>75</v>
      </c>
      <c r="Y587" s="96">
        <v>10.5</v>
      </c>
      <c r="Z587" s="155">
        <v>40</v>
      </c>
      <c r="AA587" s="117">
        <v>0.35069444444444442</v>
      </c>
      <c r="AB587" s="155">
        <v>87.5</v>
      </c>
      <c r="AC587" s="155">
        <v>15</v>
      </c>
      <c r="AD587" s="96"/>
      <c r="AE587" s="94">
        <f>Table3.110[[#This Row],[Gas 8h, ml]]-Table3.110[[#This Row],[Gas 0h, ml]]</f>
        <v>34.5</v>
      </c>
      <c r="AF587" s="94">
        <f>Table3.110[[#This Row],[Gas 24h, ml]]-Table3.110[[#This Row],[V8 Push back, ml]]</f>
        <v>47.5</v>
      </c>
      <c r="AG587" s="94">
        <f>Table3.110[[#This Row],[GP 8h, ml]]-(AVERAGE(AE$658,AE$659))*$AG$8</f>
        <v>33.836244932930278</v>
      </c>
      <c r="AH587" s="94">
        <f>Table3.110[[#This Row],[GP 8-24h, ml]]-(AVERAGE(AF$658,AF$659))*$AG$8</f>
        <v>45.50873479879084</v>
      </c>
      <c r="AI587" s="94">
        <f>Table3.110[[#This Row],[Net gas 8-24h, ml]]+Table3.110[[#This Row],[Net gas 8h, ml]]</f>
        <v>79.344979731721111</v>
      </c>
      <c r="AJ587" s="94">
        <f>Table3.110[[#This Row],[Net gas 8h, ml]]*Table3.110[[#This Row],[CH4 8h %]]%</f>
        <v>3.5528057179576789</v>
      </c>
      <c r="AK587" s="94">
        <f>Table3.110[[#This Row],[Net gas 8-24h, ml]]*Table3.110[[#This Row],[CH4 24h, %]]%</f>
        <v>6.8263102198186258</v>
      </c>
      <c r="AL587" s="94">
        <f>Table3.110[[#This Row],[CH4 8-24h, ml]]+Table3.110[[#This Row],[CH4 8h, ml]]</f>
        <v>10.379115937776305</v>
      </c>
      <c r="AM587" s="94">
        <f>(Table3.110[[#This Row],[Net gas 24h, ml]]/Table3.110[[#This Row],[DM Incubated, mg]])*1000</f>
        <v>174.35935830788597</v>
      </c>
      <c r="AN587" s="94">
        <f>'3.2 Digest'!X587</f>
        <v>14.100333262415218</v>
      </c>
      <c r="AO587" s="94">
        <f>Table3.110[[#This Row],[Digested feed, mg]]/Table3.110[[#This Row],[Net gas 24h, ml]]</f>
        <v>0.80869380337570818</v>
      </c>
      <c r="AP587" s="94">
        <f>Table3.110[[#This Row],[CH4 8h, ml]]/Table3.110[[#This Row],[Net gas 8h, ml]]%</f>
        <v>10.5</v>
      </c>
      <c r="AQ587" s="94">
        <f>Table3.110[[#This Row],[CH4 24h, ml]]/Table3.110[[#This Row],[Net gas 24h, ml]]%</f>
        <v>13.080998914953238</v>
      </c>
      <c r="AR587" s="94">
        <f>Table3.110[[#This Row],[CH4 24h, ml]]/Table3.110[[#This Row],[DM Incubated, mg]]*1000</f>
        <v>22.80794576837399</v>
      </c>
      <c r="AS587" s="94">
        <f>Table3.110[[#This Row],[CH4 24h, ml]]/Table3.110[[#This Row],[Digested feed, mg]]*1000</f>
        <v>161.75465745316194</v>
      </c>
      <c r="AT587" s="94">
        <f>Table3.110[[#This Row],[CH4 24h, ml]]/'3.2 Digest'!AA587</f>
        <v>-0.24164997680390021</v>
      </c>
      <c r="AU587" s="94">
        <f>((Table3.110[[#This Row],[CH4 24h, ml]]/28.9)*16.04)/Table3.110[[#This Row],[DM Incubated, mg]]*1000</f>
        <v>12.658804502585426</v>
      </c>
      <c r="AV587" s="94">
        <f>((Table3.110[[#This Row],[CH4 24h, ml]]/28.9)*16.04)/Table3.110[[#This Row],[Digested feed, mg]]*1000</f>
        <v>89.776633409990225</v>
      </c>
    </row>
    <row r="588" spans="2:48" s="89" customFormat="1" x14ac:dyDescent="0.35">
      <c r="B588" s="90">
        <f t="shared" ref="B588:B651" si="9">B587+1</f>
        <v>578</v>
      </c>
      <c r="C588" s="140">
        <v>46055</v>
      </c>
      <c r="D588" s="6" t="s">
        <v>16</v>
      </c>
      <c r="E588" s="6" t="s">
        <v>244</v>
      </c>
      <c r="F588" s="133" t="s">
        <v>240</v>
      </c>
      <c r="G588" s="133" t="s">
        <v>245</v>
      </c>
      <c r="H588" s="133" t="s">
        <v>246</v>
      </c>
      <c r="I588" s="133" t="s">
        <v>22</v>
      </c>
      <c r="J588" s="135" t="s">
        <v>23</v>
      </c>
      <c r="K588" s="135" t="s">
        <v>215</v>
      </c>
      <c r="L588" s="6" t="s">
        <v>243</v>
      </c>
      <c r="M588" s="93">
        <v>28</v>
      </c>
      <c r="N588" s="93">
        <v>62</v>
      </c>
      <c r="O588" s="6">
        <v>2</v>
      </c>
      <c r="P588" s="129">
        <v>3</v>
      </c>
      <c r="Q588" s="6">
        <v>0</v>
      </c>
      <c r="R588" s="112">
        <v>0.5</v>
      </c>
      <c r="S588" s="94">
        <f>((Table3.110[[#This Row],[Sample weight, g]]*'2.1. DM'!Q149)/100)*1000</f>
        <v>455.06579343801405</v>
      </c>
      <c r="T588" s="94">
        <f>'3.2 Digest'!W588</f>
        <v>134.56579343801405</v>
      </c>
      <c r="U588" s="117">
        <v>0.34236111111111112</v>
      </c>
      <c r="V588" s="155">
        <v>41</v>
      </c>
      <c r="W588" s="117">
        <v>0.67847222222222225</v>
      </c>
      <c r="X588" s="96">
        <v>78</v>
      </c>
      <c r="Y588" s="96">
        <v>10.3</v>
      </c>
      <c r="Z588" s="155">
        <v>40</v>
      </c>
      <c r="AA588" s="117">
        <v>0.35208333333333336</v>
      </c>
      <c r="AB588" s="155">
        <v>90.5</v>
      </c>
      <c r="AC588" s="155">
        <v>14.9</v>
      </c>
      <c r="AD588" s="96"/>
      <c r="AE588" s="94">
        <f>Table3.110[[#This Row],[Gas 8h, ml]]-Table3.110[[#This Row],[Gas 0h, ml]]</f>
        <v>37</v>
      </c>
      <c r="AF588" s="94">
        <f>Table3.110[[#This Row],[Gas 24h, ml]]-Table3.110[[#This Row],[V8 Push back, ml]]</f>
        <v>50.5</v>
      </c>
      <c r="AG588" s="94">
        <f>Table3.110[[#This Row],[GP 8h, ml]]-(AVERAGE(AE$658,AE$659))*$AG$8</f>
        <v>36.336244932930278</v>
      </c>
      <c r="AH588" s="94">
        <f>Table3.110[[#This Row],[GP 8-24h, ml]]-(AVERAGE(AF$658,AF$659))*$AG$8</f>
        <v>48.50873479879084</v>
      </c>
      <c r="AI588" s="94">
        <f>Table3.110[[#This Row],[Net gas 8-24h, ml]]+Table3.110[[#This Row],[Net gas 8h, ml]]</f>
        <v>84.844979731721111</v>
      </c>
      <c r="AJ588" s="94">
        <f>Table3.110[[#This Row],[Net gas 8h, ml]]*Table3.110[[#This Row],[CH4 8h %]]%</f>
        <v>3.7426332280918189</v>
      </c>
      <c r="AK588" s="94">
        <f>Table3.110[[#This Row],[Net gas 8-24h, ml]]*Table3.110[[#This Row],[CH4 24h, %]]%</f>
        <v>7.2278014850198344</v>
      </c>
      <c r="AL588" s="94">
        <f>Table3.110[[#This Row],[CH4 8-24h, ml]]+Table3.110[[#This Row],[CH4 8h, ml]]</f>
        <v>10.970434713111654</v>
      </c>
      <c r="AM588" s="94">
        <f>(Table3.110[[#This Row],[Net gas 24h, ml]]/Table3.110[[#This Row],[DM Incubated, mg]])*1000</f>
        <v>186.44552272478839</v>
      </c>
      <c r="AN588" s="94">
        <f>'3.2 Digest'!X588</f>
        <v>29.570623716050342</v>
      </c>
      <c r="AO588" s="94">
        <f>Table3.110[[#This Row],[Digested feed, mg]]/Table3.110[[#This Row],[Net gas 24h, ml]]</f>
        <v>1.5860195130402484</v>
      </c>
      <c r="AP588" s="94">
        <f>Table3.110[[#This Row],[CH4 8h, ml]]/Table3.110[[#This Row],[Net gas 8h, ml]]%</f>
        <v>10.3</v>
      </c>
      <c r="AQ588" s="94">
        <f>Table3.110[[#This Row],[CH4 24h, ml]]/Table3.110[[#This Row],[Net gas 24h, ml]]%</f>
        <v>12.929975053090999</v>
      </c>
      <c r="AR588" s="94">
        <f>Table3.110[[#This Row],[CH4 24h, ml]]/Table3.110[[#This Row],[DM Incubated, mg]]*1000</f>
        <v>24.107359575920249</v>
      </c>
      <c r="AS588" s="94">
        <f>Table3.110[[#This Row],[CH4 24h, ml]]/Table3.110[[#This Row],[Digested feed, mg]]*1000</f>
        <v>81.524690880413374</v>
      </c>
      <c r="AT588" s="94">
        <f>Table3.110[[#This Row],[CH4 24h, ml]]/'3.2 Digest'!AA588</f>
        <v>-0.63759541110318441</v>
      </c>
      <c r="AU588" s="94">
        <f>((Table3.110[[#This Row],[CH4 24h, ml]]/28.9)*16.04)/Table3.110[[#This Row],[DM Incubated, mg]]*1000</f>
        <v>13.380001646981343</v>
      </c>
      <c r="AV588" s="94">
        <f>((Table3.110[[#This Row],[CH4 24h, ml]]/28.9)*16.04)/Table3.110[[#This Row],[Digested feed, mg]]*1000</f>
        <v>45.247613900409362</v>
      </c>
    </row>
    <row r="589" spans="2:48" s="89" customFormat="1" x14ac:dyDescent="0.35">
      <c r="B589" s="90">
        <f t="shared" si="9"/>
        <v>579</v>
      </c>
      <c r="C589" s="140">
        <v>46055</v>
      </c>
      <c r="D589" s="6" t="s">
        <v>16</v>
      </c>
      <c r="E589" s="6" t="s">
        <v>248</v>
      </c>
      <c r="F589" s="133" t="s">
        <v>226</v>
      </c>
      <c r="G589" s="133" t="s">
        <v>227</v>
      </c>
      <c r="H589" s="133" t="s">
        <v>228</v>
      </c>
      <c r="I589" s="133" t="s">
        <v>22</v>
      </c>
      <c r="J589" s="135" t="s">
        <v>23</v>
      </c>
      <c r="K589" s="135" t="s">
        <v>215</v>
      </c>
      <c r="L589" s="6" t="s">
        <v>247</v>
      </c>
      <c r="M589" s="93">
        <v>28</v>
      </c>
      <c r="N589" s="93">
        <v>62</v>
      </c>
      <c r="O589" s="6">
        <v>2</v>
      </c>
      <c r="P589" s="129">
        <v>1</v>
      </c>
      <c r="Q589" s="6">
        <v>0</v>
      </c>
      <c r="R589" s="112">
        <v>0.50049999999999994</v>
      </c>
      <c r="S589" s="94">
        <f>((Table3.110[[#This Row],[Sample weight, g]]*'2.1. DM'!Q151)/100)*1000</f>
        <v>461.97696770859693</v>
      </c>
      <c r="T589" s="94">
        <f>'3.2 Digest'!W589</f>
        <v>81.976967708596931</v>
      </c>
      <c r="U589" s="117">
        <v>0.34305555555555556</v>
      </c>
      <c r="V589" s="155">
        <v>41.5</v>
      </c>
      <c r="W589" s="117">
        <v>0.67847222222222225</v>
      </c>
      <c r="X589" s="96">
        <v>71.5</v>
      </c>
      <c r="Y589" s="96">
        <v>11</v>
      </c>
      <c r="Z589" s="155">
        <v>40.5</v>
      </c>
      <c r="AA589" s="117">
        <v>0.3527777777777778</v>
      </c>
      <c r="AB589" s="155">
        <v>80</v>
      </c>
      <c r="AC589" s="155">
        <v>13.5</v>
      </c>
      <c r="AD589" s="96"/>
      <c r="AE589" s="94">
        <f>Table3.110[[#This Row],[Gas 8h, ml]]-Table3.110[[#This Row],[Gas 0h, ml]]</f>
        <v>30</v>
      </c>
      <c r="AF589" s="94">
        <f>Table3.110[[#This Row],[Gas 24h, ml]]-Table3.110[[#This Row],[V8 Push back, ml]]</f>
        <v>39.5</v>
      </c>
      <c r="AG589" s="94">
        <f>Table3.110[[#This Row],[GP 8h, ml]]-(AVERAGE(AE$658,AE$659))*$AG$8</f>
        <v>29.336244932930278</v>
      </c>
      <c r="AH589" s="94">
        <f>Table3.110[[#This Row],[GP 8-24h, ml]]-(AVERAGE(AF$658,AF$659))*$AG$8</f>
        <v>37.50873479879084</v>
      </c>
      <c r="AI589" s="94">
        <f>Table3.110[[#This Row],[Net gas 8-24h, ml]]+Table3.110[[#This Row],[Net gas 8h, ml]]</f>
        <v>66.844979731721111</v>
      </c>
      <c r="AJ589" s="94">
        <f>Table3.110[[#This Row],[Net gas 8h, ml]]*Table3.110[[#This Row],[CH4 8h %]]%</f>
        <v>3.2269869426223305</v>
      </c>
      <c r="AK589" s="94">
        <f>Table3.110[[#This Row],[Net gas 8-24h, ml]]*Table3.110[[#This Row],[CH4 24h, %]]%</f>
        <v>5.0636791978367635</v>
      </c>
      <c r="AL589" s="94">
        <f>Table3.110[[#This Row],[CH4 8-24h, ml]]+Table3.110[[#This Row],[CH4 8h, ml]]</f>
        <v>8.2906661404590949</v>
      </c>
      <c r="AM589" s="94">
        <f>(Table3.110[[#This Row],[Net gas 24h, ml]]/Table3.110[[#This Row],[DM Incubated, mg]])*1000</f>
        <v>144.69331677566484</v>
      </c>
      <c r="AN589" s="94">
        <f>'3.2 Digest'!X589</f>
        <v>17.744817044711603</v>
      </c>
      <c r="AO589" s="94">
        <f>Table3.110[[#This Row],[Digested feed, mg]]/Table3.110[[#This Row],[Net gas 24h, ml]]</f>
        <v>1.2263743371246019</v>
      </c>
      <c r="AP589" s="94">
        <f>Table3.110[[#This Row],[CH4 8h, ml]]/Table3.110[[#This Row],[Net gas 8h, ml]]%</f>
        <v>11</v>
      </c>
      <c r="AQ589" s="94">
        <f>Table3.110[[#This Row],[CH4 24h, ml]]/Table3.110[[#This Row],[Net gas 24h, ml]]%</f>
        <v>12.402825423439811</v>
      </c>
      <c r="AR589" s="94">
        <f>Table3.110[[#This Row],[CH4 24h, ml]]/Table3.110[[#This Row],[DM Incubated, mg]]*1000</f>
        <v>17.946059479070463</v>
      </c>
      <c r="AS589" s="94">
        <f>Table3.110[[#This Row],[CH4 24h, ml]]/Table3.110[[#This Row],[Digested feed, mg]]*1000</f>
        <v>101.13409134538716</v>
      </c>
      <c r="AT589" s="94">
        <f>Table3.110[[#This Row],[CH4 24h, ml]]/'3.2 Digest'!AA589</f>
        <v>-0.14033440977979608</v>
      </c>
      <c r="AU589" s="94">
        <f>((Table3.110[[#This Row],[CH4 24h, ml]]/28.9)*16.04)/Table3.110[[#This Row],[DM Incubated, mg]]*1000</f>
        <v>9.960373496342223</v>
      </c>
      <c r="AV589" s="94">
        <f>((Table3.110[[#This Row],[CH4 24h, ml]]/28.9)*16.04)/Table3.110[[#This Row],[Digested feed, mg]]*1000</f>
        <v>56.131170421453632</v>
      </c>
    </row>
    <row r="590" spans="2:48" s="89" customFormat="1" x14ac:dyDescent="0.35">
      <c r="B590" s="90">
        <f t="shared" si="9"/>
        <v>580</v>
      </c>
      <c r="C590" s="140">
        <v>46055</v>
      </c>
      <c r="D590" s="6" t="s">
        <v>16</v>
      </c>
      <c r="E590" s="6" t="s">
        <v>248</v>
      </c>
      <c r="F590" s="133" t="s">
        <v>226</v>
      </c>
      <c r="G590" s="133" t="s">
        <v>227</v>
      </c>
      <c r="H590" s="133" t="s">
        <v>228</v>
      </c>
      <c r="I590" s="133" t="s">
        <v>22</v>
      </c>
      <c r="J590" s="135" t="s">
        <v>23</v>
      </c>
      <c r="K590" s="135" t="s">
        <v>215</v>
      </c>
      <c r="L590" s="6" t="s">
        <v>247</v>
      </c>
      <c r="M590" s="93">
        <v>28</v>
      </c>
      <c r="N590" s="93">
        <v>62</v>
      </c>
      <c r="O590" s="6">
        <v>2</v>
      </c>
      <c r="P590" s="129">
        <v>2</v>
      </c>
      <c r="Q590" s="6">
        <v>0</v>
      </c>
      <c r="R590" s="112">
        <v>0.5</v>
      </c>
      <c r="S590" s="94">
        <f>((Table3.110[[#This Row],[Sample weight, g]]*'2.1. DM'!Q151)/100)*1000</f>
        <v>461.51545225634067</v>
      </c>
      <c r="T590" s="94">
        <f>'3.2 Digest'!W590</f>
        <v>204.11545225634069</v>
      </c>
      <c r="U590" s="117">
        <v>0.34375</v>
      </c>
      <c r="V590" s="155">
        <v>41.5</v>
      </c>
      <c r="W590" s="117">
        <v>0.67847222222222225</v>
      </c>
      <c r="X590" s="96">
        <v>71.5</v>
      </c>
      <c r="Y590" s="96">
        <v>11.2</v>
      </c>
      <c r="Z590" s="155">
        <v>40.5</v>
      </c>
      <c r="AA590" s="117">
        <v>0.3527777777777778</v>
      </c>
      <c r="AB590" s="155">
        <v>78.5</v>
      </c>
      <c r="AC590" s="155">
        <v>13.4</v>
      </c>
      <c r="AD590" s="96"/>
      <c r="AE590" s="94">
        <f>Table3.110[[#This Row],[Gas 8h, ml]]-Table3.110[[#This Row],[Gas 0h, ml]]</f>
        <v>30</v>
      </c>
      <c r="AF590" s="94">
        <f>Table3.110[[#This Row],[Gas 24h, ml]]-Table3.110[[#This Row],[V8 Push back, ml]]</f>
        <v>38</v>
      </c>
      <c r="AG590" s="94">
        <f>Table3.110[[#This Row],[GP 8h, ml]]-(AVERAGE(AE$658,AE$659))*$AG$8</f>
        <v>29.336244932930278</v>
      </c>
      <c r="AH590" s="94">
        <f>Table3.110[[#This Row],[GP 8-24h, ml]]-(AVERAGE(AF$658,AF$659))*$AG$8</f>
        <v>36.00873479879084</v>
      </c>
      <c r="AI590" s="94">
        <f>Table3.110[[#This Row],[Net gas 8-24h, ml]]+Table3.110[[#This Row],[Net gas 8h, ml]]</f>
        <v>65.344979731721111</v>
      </c>
      <c r="AJ590" s="94">
        <f>Table3.110[[#This Row],[Net gas 8h, ml]]*Table3.110[[#This Row],[CH4 8h %]]%</f>
        <v>3.2856594324881909</v>
      </c>
      <c r="AK590" s="94">
        <f>Table3.110[[#This Row],[Net gas 8-24h, ml]]*Table3.110[[#This Row],[CH4 24h, %]]%</f>
        <v>4.8251704630379733</v>
      </c>
      <c r="AL590" s="94">
        <f>Table3.110[[#This Row],[CH4 8-24h, ml]]+Table3.110[[#This Row],[CH4 8h, ml]]</f>
        <v>8.1108298955261642</v>
      </c>
      <c r="AM590" s="94">
        <f>(Table3.110[[#This Row],[Net gas 24h, ml]]/Table3.110[[#This Row],[DM Incubated, mg]])*1000</f>
        <v>141.58784806066771</v>
      </c>
      <c r="AN590" s="94">
        <f>'3.2 Digest'!X590</f>
        <v>44.227219534779159</v>
      </c>
      <c r="AO590" s="94">
        <f>Table3.110[[#This Row],[Digested feed, mg]]/Table3.110[[#This Row],[Net gas 24h, ml]]</f>
        <v>3.1236592787135682</v>
      </c>
      <c r="AP590" s="94">
        <f>Table3.110[[#This Row],[CH4 8h, ml]]/Table3.110[[#This Row],[Net gas 8h, ml]]%</f>
        <v>11.2</v>
      </c>
      <c r="AQ590" s="94">
        <f>Table3.110[[#This Row],[CH4 24h, ml]]/Table3.110[[#This Row],[Net gas 24h, ml]]%</f>
        <v>12.412322918800811</v>
      </c>
      <c r="AR590" s="94">
        <f>Table3.110[[#This Row],[CH4 24h, ml]]/Table3.110[[#This Row],[DM Incubated, mg]]*1000</f>
        <v>17.574340915071129</v>
      </c>
      <c r="AS590" s="94">
        <f>Table3.110[[#This Row],[CH4 24h, ml]]/Table3.110[[#This Row],[Digested feed, mg]]*1000</f>
        <v>39.736481515079454</v>
      </c>
      <c r="AT590" s="94">
        <f>Table3.110[[#This Row],[CH4 24h, ml]]/'3.2 Digest'!AA590</f>
        <v>-1.0316340531135642</v>
      </c>
      <c r="AU590" s="94">
        <f>((Table3.110[[#This Row],[CH4 24h, ml]]/28.9)*16.04)/Table3.110[[#This Row],[DM Incubated, mg]]*1000</f>
        <v>9.7540632622055661</v>
      </c>
      <c r="AV590" s="94">
        <f>((Table3.110[[#This Row],[CH4 24h, ml]]/28.9)*16.04)/Table3.110[[#This Row],[Digested feed, mg]]*1000</f>
        <v>22.054434723248246</v>
      </c>
    </row>
    <row r="591" spans="2:48" s="89" customFormat="1" x14ac:dyDescent="0.35">
      <c r="B591" s="90">
        <f t="shared" si="9"/>
        <v>581</v>
      </c>
      <c r="C591" s="140">
        <v>46055</v>
      </c>
      <c r="D591" s="6" t="s">
        <v>16</v>
      </c>
      <c r="E591" s="6" t="s">
        <v>248</v>
      </c>
      <c r="F591" s="133" t="s">
        <v>226</v>
      </c>
      <c r="G591" s="133" t="s">
        <v>227</v>
      </c>
      <c r="H591" s="133" t="s">
        <v>228</v>
      </c>
      <c r="I591" s="133" t="s">
        <v>22</v>
      </c>
      <c r="J591" s="135" t="s">
        <v>23</v>
      </c>
      <c r="K591" s="135" t="s">
        <v>215</v>
      </c>
      <c r="L591" s="6" t="s">
        <v>247</v>
      </c>
      <c r="M591" s="93">
        <v>28</v>
      </c>
      <c r="N591" s="93">
        <v>62</v>
      </c>
      <c r="O591" s="6">
        <v>2</v>
      </c>
      <c r="P591" s="129">
        <v>3</v>
      </c>
      <c r="Q591" s="6">
        <v>0</v>
      </c>
      <c r="R591" s="112">
        <v>0.50019999999999998</v>
      </c>
      <c r="S591" s="94">
        <f>((Table3.110[[#This Row],[Sample weight, g]]*'2.1. DM'!Q151)/100)*1000</f>
        <v>461.70005843724323</v>
      </c>
      <c r="T591" s="94">
        <f>'3.2 Digest'!W591</f>
        <v>114.70005843724323</v>
      </c>
      <c r="U591" s="117">
        <v>0.34375</v>
      </c>
      <c r="V591" s="155">
        <v>41.5</v>
      </c>
      <c r="W591" s="117">
        <v>0.6791666666666667</v>
      </c>
      <c r="X591" s="96">
        <v>68.5</v>
      </c>
      <c r="Y591" s="96">
        <v>11.5</v>
      </c>
      <c r="Z591" s="155">
        <v>40.5</v>
      </c>
      <c r="AA591" s="117">
        <v>0.35347222222222224</v>
      </c>
      <c r="AB591" s="155">
        <v>79.5</v>
      </c>
      <c r="AC591" s="155">
        <v>13.1</v>
      </c>
      <c r="AD591" s="96"/>
      <c r="AE591" s="94">
        <f>Table3.110[[#This Row],[Gas 8h, ml]]-Table3.110[[#This Row],[Gas 0h, ml]]</f>
        <v>27</v>
      </c>
      <c r="AF591" s="94">
        <f>Table3.110[[#This Row],[Gas 24h, ml]]-Table3.110[[#This Row],[V8 Push back, ml]]</f>
        <v>39</v>
      </c>
      <c r="AG591" s="94">
        <f>Table3.110[[#This Row],[GP 8h, ml]]-(AVERAGE(AE$658,AE$659))*$AG$8</f>
        <v>26.336244932930278</v>
      </c>
      <c r="AH591" s="94">
        <f>Table3.110[[#This Row],[GP 8-24h, ml]]-(AVERAGE(AF$658,AF$659))*$AG$8</f>
        <v>37.00873479879084</v>
      </c>
      <c r="AI591" s="94">
        <f>Table3.110[[#This Row],[Net gas 8-24h, ml]]+Table3.110[[#This Row],[Net gas 8h, ml]]</f>
        <v>63.344979731721118</v>
      </c>
      <c r="AJ591" s="94">
        <f>Table3.110[[#This Row],[Net gas 8h, ml]]*Table3.110[[#This Row],[CH4 8h %]]%</f>
        <v>3.0286681672869822</v>
      </c>
      <c r="AK591" s="94">
        <f>Table3.110[[#This Row],[Net gas 8-24h, ml]]*Table3.110[[#This Row],[CH4 24h, %]]%</f>
        <v>4.8481442586416001</v>
      </c>
      <c r="AL591" s="94">
        <f>Table3.110[[#This Row],[CH4 8-24h, ml]]+Table3.110[[#This Row],[CH4 8h, ml]]</f>
        <v>7.8768124259285823</v>
      </c>
      <c r="AM591" s="94">
        <f>(Table3.110[[#This Row],[Net gas 24h, ml]]/Table3.110[[#This Row],[DM Incubated, mg]])*1000</f>
        <v>137.19941891740373</v>
      </c>
      <c r="AN591" s="94">
        <f>'3.2 Digest'!X591</f>
        <v>24.842981139200763</v>
      </c>
      <c r="AO591" s="94">
        <f>Table3.110[[#This Row],[Digested feed, mg]]/Table3.110[[#This Row],[Net gas 24h, ml]]</f>
        <v>1.810720579957896</v>
      </c>
      <c r="AP591" s="94">
        <f>Table3.110[[#This Row],[CH4 8h, ml]]/Table3.110[[#This Row],[Net gas 8h, ml]]%</f>
        <v>11.500000000000002</v>
      </c>
      <c r="AQ591" s="94">
        <f>Table3.110[[#This Row],[CH4 24h, ml]]/Table3.110[[#This Row],[Net gas 24h, ml]]%</f>
        <v>12.434785612511813</v>
      </c>
      <c r="AR591" s="94">
        <f>Table3.110[[#This Row],[CH4 24h, ml]]/Table3.110[[#This Row],[DM Incubated, mg]]*1000</f>
        <v>17.060453603991132</v>
      </c>
      <c r="AS591" s="94">
        <f>Table3.110[[#This Row],[CH4 24h, ml]]/Table3.110[[#This Row],[Digested feed, mg]]*1000</f>
        <v>68.673133503574334</v>
      </c>
      <c r="AT591" s="94">
        <f>Table3.110[[#This Row],[CH4 24h, ml]]/'3.2 Digest'!AA591</f>
        <v>-0.17368786968103497</v>
      </c>
      <c r="AU591" s="94">
        <f>((Table3.110[[#This Row],[CH4 24h, ml]]/28.9)*16.04)/Table3.110[[#This Row],[DM Incubated, mg]]*1000</f>
        <v>9.4688469137722393</v>
      </c>
      <c r="AV591" s="94">
        <f>((Table3.110[[#This Row],[CH4 24h, ml]]/28.9)*16.04)/Table3.110[[#This Row],[Digested feed, mg]]*1000</f>
        <v>38.114777210980357</v>
      </c>
    </row>
    <row r="592" spans="2:48" s="89" customFormat="1" x14ac:dyDescent="0.35">
      <c r="B592" s="90">
        <f t="shared" si="9"/>
        <v>582</v>
      </c>
      <c r="C592" s="140">
        <v>46055</v>
      </c>
      <c r="D592" s="6" t="s">
        <v>16</v>
      </c>
      <c r="E592" s="6" t="s">
        <v>250</v>
      </c>
      <c r="F592" s="133" t="s">
        <v>219</v>
      </c>
      <c r="G592" s="133" t="s">
        <v>220</v>
      </c>
      <c r="H592" s="133" t="s">
        <v>221</v>
      </c>
      <c r="I592" s="133" t="s">
        <v>22</v>
      </c>
      <c r="J592" s="135" t="s">
        <v>23</v>
      </c>
      <c r="K592" s="135" t="s">
        <v>215</v>
      </c>
      <c r="L592" s="6" t="s">
        <v>249</v>
      </c>
      <c r="M592" s="93">
        <v>28</v>
      </c>
      <c r="N592" s="93">
        <v>62</v>
      </c>
      <c r="O592" s="6">
        <v>2</v>
      </c>
      <c r="P592" s="129">
        <v>1</v>
      </c>
      <c r="Q592" s="6">
        <v>0</v>
      </c>
      <c r="R592" s="112">
        <v>0.5</v>
      </c>
      <c r="S592" s="94">
        <f>((Table3.110[[#This Row],[Sample weight, g]]*'2.1. DM'!Q153)/100)*1000</f>
        <v>454.70449910018016</v>
      </c>
      <c r="T592" s="94">
        <f>'3.2 Digest'!W592</f>
        <v>84.804499100180124</v>
      </c>
      <c r="U592" s="117">
        <v>0.34444444444444444</v>
      </c>
      <c r="V592" s="155">
        <v>40</v>
      </c>
      <c r="W592" s="117">
        <v>0.6791666666666667</v>
      </c>
      <c r="X592" s="96">
        <v>77</v>
      </c>
      <c r="Y592" s="96">
        <v>12.9</v>
      </c>
      <c r="Z592" s="155">
        <v>40</v>
      </c>
      <c r="AA592" s="117">
        <v>0.35347222222222224</v>
      </c>
      <c r="AB592" s="155">
        <v>80.5</v>
      </c>
      <c r="AC592" s="155">
        <v>16.100000000000001</v>
      </c>
      <c r="AD592" s="96"/>
      <c r="AE592" s="94">
        <f>Table3.110[[#This Row],[Gas 8h, ml]]-Table3.110[[#This Row],[Gas 0h, ml]]</f>
        <v>37</v>
      </c>
      <c r="AF592" s="94">
        <f>Table3.110[[#This Row],[Gas 24h, ml]]-Table3.110[[#This Row],[V8 Push back, ml]]</f>
        <v>40.5</v>
      </c>
      <c r="AG592" s="94">
        <f>Table3.110[[#This Row],[GP 8h, ml]]-(AVERAGE(AE$658,AE$659))*$AG$8</f>
        <v>36.336244932930278</v>
      </c>
      <c r="AH592" s="94">
        <f>Table3.110[[#This Row],[GP 8-24h, ml]]-(AVERAGE(AF$658,AF$659))*$AG$8</f>
        <v>38.50873479879084</v>
      </c>
      <c r="AI592" s="94">
        <f>Table3.110[[#This Row],[Net gas 8-24h, ml]]+Table3.110[[#This Row],[Net gas 8h, ml]]</f>
        <v>74.844979731721111</v>
      </c>
      <c r="AJ592" s="94">
        <f>Table3.110[[#This Row],[Net gas 8h, ml]]*Table3.110[[#This Row],[CH4 8h %]]%</f>
        <v>4.6873755963480059</v>
      </c>
      <c r="AK592" s="94">
        <f>Table3.110[[#This Row],[Net gas 8-24h, ml]]*Table3.110[[#This Row],[CH4 24h, %]]%</f>
        <v>6.1999063026053252</v>
      </c>
      <c r="AL592" s="94">
        <f>Table3.110[[#This Row],[CH4 8-24h, ml]]+Table3.110[[#This Row],[CH4 8h, ml]]</f>
        <v>10.887281898953331</v>
      </c>
      <c r="AM592" s="94">
        <f>(Table3.110[[#This Row],[Net gas 24h, ml]]/Table3.110[[#This Row],[DM Incubated, mg]])*1000</f>
        <v>164.60136171916636</v>
      </c>
      <c r="AN592" s="94">
        <f>'3.2 Digest'!X592</f>
        <v>18.650464041592002</v>
      </c>
      <c r="AO592" s="94">
        <f>Table3.110[[#This Row],[Digested feed, mg]]/Table3.110[[#This Row],[Net gas 24h, ml]]</f>
        <v>1.13306863605493</v>
      </c>
      <c r="AP592" s="94">
        <f>Table3.110[[#This Row],[CH4 8h, ml]]/Table3.110[[#This Row],[Net gas 8h, ml]]%</f>
        <v>12.9</v>
      </c>
      <c r="AQ592" s="94">
        <f>Table3.110[[#This Row],[CH4 24h, ml]]/Table3.110[[#This Row],[Net gas 24h, ml]]%</f>
        <v>14.546442444073559</v>
      </c>
      <c r="AR592" s="94">
        <f>Table3.110[[#This Row],[CH4 24h, ml]]/Table3.110[[#This Row],[DM Incubated, mg]]*1000</f>
        <v>23.943642344639859</v>
      </c>
      <c r="AS592" s="94">
        <f>Table3.110[[#This Row],[CH4 24h, ml]]/Table3.110[[#This Row],[Digested feed, mg]]*1000</f>
        <v>128.38094693646045</v>
      </c>
      <c r="AT592" s="94">
        <f>Table3.110[[#This Row],[CH4 24h, ml]]/'3.2 Digest'!AA592</f>
        <v>-0.1661406992494652</v>
      </c>
      <c r="AU592" s="94">
        <f>((Table3.110[[#This Row],[CH4 24h, ml]]/28.9)*16.04)/Table3.110[[#This Row],[DM Incubated, mg]]*1000</f>
        <v>13.289135751142677</v>
      </c>
      <c r="AV592" s="94">
        <f>((Table3.110[[#This Row],[CH4 24h, ml]]/28.9)*16.04)/Table3.110[[#This Row],[Digested feed, mg]]*1000</f>
        <v>71.253646673384964</v>
      </c>
    </row>
    <row r="593" spans="2:48" s="89" customFormat="1" x14ac:dyDescent="0.35">
      <c r="B593" s="90">
        <f t="shared" si="9"/>
        <v>583</v>
      </c>
      <c r="C593" s="140">
        <v>46055</v>
      </c>
      <c r="D593" s="6" t="s">
        <v>16</v>
      </c>
      <c r="E593" s="6" t="s">
        <v>250</v>
      </c>
      <c r="F593" s="133" t="s">
        <v>219</v>
      </c>
      <c r="G593" s="133" t="s">
        <v>220</v>
      </c>
      <c r="H593" s="133" t="s">
        <v>221</v>
      </c>
      <c r="I593" s="133" t="s">
        <v>22</v>
      </c>
      <c r="J593" s="135" t="s">
        <v>23</v>
      </c>
      <c r="K593" s="135" t="s">
        <v>215</v>
      </c>
      <c r="L593" s="6" t="s">
        <v>249</v>
      </c>
      <c r="M593" s="93">
        <v>28</v>
      </c>
      <c r="N593" s="93">
        <v>62</v>
      </c>
      <c r="O593" s="6">
        <v>2</v>
      </c>
      <c r="P593" s="129">
        <v>2</v>
      </c>
      <c r="Q593" s="6">
        <v>0</v>
      </c>
      <c r="R593" s="112">
        <v>0.50060000000000004</v>
      </c>
      <c r="S593" s="94">
        <f>((Table3.110[[#This Row],[Sample weight, g]]*'2.1. DM'!Q153)/100)*1000</f>
        <v>455.25014449910043</v>
      </c>
      <c r="T593" s="94">
        <f>'3.2 Digest'!W593</f>
        <v>122.15014449910035</v>
      </c>
      <c r="U593" s="117">
        <v>0.34513888888888888</v>
      </c>
      <c r="V593" s="155">
        <v>41.5</v>
      </c>
      <c r="W593" s="117">
        <v>0.67986111111111114</v>
      </c>
      <c r="X593" s="96">
        <v>76.5</v>
      </c>
      <c r="Y593" s="96">
        <v>12.5</v>
      </c>
      <c r="Z593" s="155">
        <v>40</v>
      </c>
      <c r="AA593" s="117">
        <v>0.35416666666666669</v>
      </c>
      <c r="AB593" s="155">
        <v>88.5</v>
      </c>
      <c r="AC593" s="155">
        <v>16.2</v>
      </c>
      <c r="AD593" s="101"/>
      <c r="AE593" s="94">
        <f>Table3.110[[#This Row],[Gas 8h, ml]]-Table3.110[[#This Row],[Gas 0h, ml]]</f>
        <v>35</v>
      </c>
      <c r="AF593" s="94">
        <f>Table3.110[[#This Row],[Gas 24h, ml]]-Table3.110[[#This Row],[V8 Push back, ml]]</f>
        <v>48.5</v>
      </c>
      <c r="AG593" s="94">
        <f>Table3.110[[#This Row],[GP 8h, ml]]-(AVERAGE(AE$658,AE$659))*$AG$8</f>
        <v>34.336244932930278</v>
      </c>
      <c r="AH593" s="94">
        <f>Table3.110[[#This Row],[GP 8-24h, ml]]-(AVERAGE(AF$658,AF$659))*$AG$8</f>
        <v>46.50873479879084</v>
      </c>
      <c r="AI593" s="94">
        <f>Table3.110[[#This Row],[Net gas 8-24h, ml]]+Table3.110[[#This Row],[Net gas 8h, ml]]</f>
        <v>80.844979731721111</v>
      </c>
      <c r="AJ593" s="94">
        <f>Table3.110[[#This Row],[Net gas 8h, ml]]*Table3.110[[#This Row],[CH4 8h %]]%</f>
        <v>4.2920306166162847</v>
      </c>
      <c r="AK593" s="94">
        <f>Table3.110[[#This Row],[Net gas 8-24h, ml]]*Table3.110[[#This Row],[CH4 24h, %]]%</f>
        <v>7.5344150374041163</v>
      </c>
      <c r="AL593" s="94">
        <f>Table3.110[[#This Row],[CH4 8-24h, ml]]+Table3.110[[#This Row],[CH4 8h, ml]]</f>
        <v>11.8264456540204</v>
      </c>
      <c r="AM593" s="94">
        <f>(Table3.110[[#This Row],[Net gas 24h, ml]]/Table3.110[[#This Row],[DM Incubated, mg]])*1000</f>
        <v>177.58364430762055</v>
      </c>
      <c r="AN593" s="94">
        <f>'3.2 Digest'!X593</f>
        <v>26.831434536610395</v>
      </c>
      <c r="AO593" s="94">
        <f>Table3.110[[#This Row],[Digested feed, mg]]/Table3.110[[#This Row],[Net gas 24h, ml]]</f>
        <v>1.5109181164303311</v>
      </c>
      <c r="AP593" s="94">
        <f>Table3.110[[#This Row],[CH4 8h, ml]]/Table3.110[[#This Row],[Net gas 8h, ml]]%</f>
        <v>12.5</v>
      </c>
      <c r="AQ593" s="94">
        <f>Table3.110[[#This Row],[CH4 24h, ml]]/Table3.110[[#This Row],[Net gas 24h, ml]]%</f>
        <v>14.628546748685821</v>
      </c>
      <c r="AR593" s="94">
        <f>Table3.110[[#This Row],[CH4 24h, ml]]/Table3.110[[#This Row],[DM Incubated, mg]]*1000</f>
        <v>25.977906425560221</v>
      </c>
      <c r="AS593" s="94">
        <f>Table3.110[[#This Row],[CH4 24h, ml]]/Table3.110[[#This Row],[Digested feed, mg]]*1000</f>
        <v>96.818924795520843</v>
      </c>
      <c r="AT593" s="94">
        <f>Table3.110[[#This Row],[CH4 24h, ml]]/'3.2 Digest'!AA593</f>
        <v>-0.24192971283950349</v>
      </c>
      <c r="AU593" s="94">
        <f>((Table3.110[[#This Row],[CH4 24h, ml]]/28.9)*16.04)/Table3.110[[#This Row],[DM Incubated, mg]]*1000</f>
        <v>14.41818751093377</v>
      </c>
      <c r="AV593" s="94">
        <f>((Table3.110[[#This Row],[CH4 24h, ml]]/28.9)*16.04)/Table3.110[[#This Row],[Digested feed, mg]]*1000</f>
        <v>53.736178329417108</v>
      </c>
    </row>
    <row r="594" spans="2:48" s="89" customFormat="1" x14ac:dyDescent="0.35">
      <c r="B594" s="90">
        <f t="shared" si="9"/>
        <v>584</v>
      </c>
      <c r="C594" s="140">
        <v>46055</v>
      </c>
      <c r="D594" s="6" t="s">
        <v>16</v>
      </c>
      <c r="E594" s="6" t="s">
        <v>250</v>
      </c>
      <c r="F594" s="133" t="s">
        <v>219</v>
      </c>
      <c r="G594" s="133" t="s">
        <v>220</v>
      </c>
      <c r="H594" s="133" t="s">
        <v>221</v>
      </c>
      <c r="I594" s="133" t="s">
        <v>22</v>
      </c>
      <c r="J594" s="135" t="s">
        <v>23</v>
      </c>
      <c r="K594" s="135" t="s">
        <v>215</v>
      </c>
      <c r="L594" s="6" t="s">
        <v>249</v>
      </c>
      <c r="M594" s="93">
        <v>28</v>
      </c>
      <c r="N594" s="93">
        <v>62</v>
      </c>
      <c r="O594" s="6">
        <v>2</v>
      </c>
      <c r="P594" s="129">
        <v>3</v>
      </c>
      <c r="Q594" s="6">
        <v>0</v>
      </c>
      <c r="R594" s="112">
        <v>0.50049999999999994</v>
      </c>
      <c r="S594" s="94">
        <f>((Table3.110[[#This Row],[Sample weight, g]]*'2.1. DM'!Q153)/100)*1000</f>
        <v>455.15920359928032</v>
      </c>
      <c r="T594" s="94">
        <f>'3.2 Digest'!W594</f>
        <v>105.65920359928026</v>
      </c>
      <c r="U594" s="117">
        <v>0.34513888888888888</v>
      </c>
      <c r="V594" s="155">
        <v>41.5</v>
      </c>
      <c r="W594" s="117">
        <v>0.68055555555555558</v>
      </c>
      <c r="X594" s="96">
        <v>76.5</v>
      </c>
      <c r="Y594" s="96">
        <v>12.3</v>
      </c>
      <c r="Z594" s="155">
        <v>40</v>
      </c>
      <c r="AA594" s="117">
        <v>0.35416666666666669</v>
      </c>
      <c r="AB594" s="155">
        <v>86.5</v>
      </c>
      <c r="AC594" s="155">
        <v>16.3</v>
      </c>
      <c r="AD594" s="96"/>
      <c r="AE594" s="94">
        <f>Table3.110[[#This Row],[Gas 8h, ml]]-Table3.110[[#This Row],[Gas 0h, ml]]</f>
        <v>35</v>
      </c>
      <c r="AF594" s="94">
        <f>Table3.110[[#This Row],[Gas 24h, ml]]-Table3.110[[#This Row],[V8 Push back, ml]]</f>
        <v>46.5</v>
      </c>
      <c r="AG594" s="94">
        <f>Table3.110[[#This Row],[GP 8h, ml]]-(AVERAGE(AE$658,AE$659))*$AG$8</f>
        <v>34.336244932930278</v>
      </c>
      <c r="AH594" s="94">
        <f>Table3.110[[#This Row],[GP 8-24h, ml]]-(AVERAGE(AF$658,AF$659))*$AG$8</f>
        <v>44.50873479879084</v>
      </c>
      <c r="AI594" s="94">
        <f>Table3.110[[#This Row],[Net gas 8-24h, ml]]+Table3.110[[#This Row],[Net gas 8h, ml]]</f>
        <v>78.844979731721111</v>
      </c>
      <c r="AJ594" s="94">
        <f>Table3.110[[#This Row],[Net gas 8h, ml]]*Table3.110[[#This Row],[CH4 8h %]]%</f>
        <v>4.2233581267504245</v>
      </c>
      <c r="AK594" s="94">
        <f>Table3.110[[#This Row],[Net gas 8-24h, ml]]*Table3.110[[#This Row],[CH4 24h, %]]%</f>
        <v>7.2549237722029076</v>
      </c>
      <c r="AL594" s="94">
        <f>Table3.110[[#This Row],[CH4 8-24h, ml]]+Table3.110[[#This Row],[CH4 8h, ml]]</f>
        <v>11.478281898953332</v>
      </c>
      <c r="AM594" s="94">
        <f>(Table3.110[[#This Row],[Net gas 24h, ml]]/Table3.110[[#This Row],[DM Incubated, mg]])*1000</f>
        <v>173.225058634947</v>
      </c>
      <c r="AN594" s="94">
        <f>'3.2 Digest'!X594</f>
        <v>23.21368056797596</v>
      </c>
      <c r="AO594" s="94">
        <f>Table3.110[[#This Row],[Digested feed, mg]]/Table3.110[[#This Row],[Net gas 24h, ml]]</f>
        <v>1.3400879036153925</v>
      </c>
      <c r="AP594" s="94">
        <f>Table3.110[[#This Row],[CH4 8h, ml]]/Table3.110[[#This Row],[Net gas 8h, ml]]%</f>
        <v>12.3</v>
      </c>
      <c r="AQ594" s="94">
        <f>Table3.110[[#This Row],[CH4 24h, ml]]/Table3.110[[#This Row],[Net gas 24h, ml]]%</f>
        <v>14.558037731773759</v>
      </c>
      <c r="AR594" s="94">
        <f>Table3.110[[#This Row],[CH4 24h, ml]]/Table3.110[[#This Row],[DM Incubated, mg]]*1000</f>
        <v>25.2181693969628</v>
      </c>
      <c r="AS594" s="94">
        <f>Table3.110[[#This Row],[CH4 24h, ml]]/Table3.110[[#This Row],[Digested feed, mg]]*1000</f>
        <v>108.6349462038868</v>
      </c>
      <c r="AT594" s="94">
        <f>Table3.110[[#This Row],[CH4 24h, ml]]/'3.2 Digest'!AA594</f>
        <v>-0.20407563527395184</v>
      </c>
      <c r="AU594" s="94">
        <f>((Table3.110[[#This Row],[CH4 24h, ml]]/28.9)*16.04)/Table3.110[[#This Row],[DM Incubated, mg]]*1000</f>
        <v>13.996520315822954</v>
      </c>
      <c r="AV594" s="94">
        <f>((Table3.110[[#This Row],[CH4 24h, ml]]/28.9)*16.04)/Table3.110[[#This Row],[Digested feed, mg]]*1000</f>
        <v>60.29427464049634</v>
      </c>
    </row>
    <row r="595" spans="2:48" s="89" customFormat="1" x14ac:dyDescent="0.35">
      <c r="B595" s="90">
        <f t="shared" si="9"/>
        <v>585</v>
      </c>
      <c r="C595" s="140">
        <v>46055</v>
      </c>
      <c r="D595" s="6" t="s">
        <v>16</v>
      </c>
      <c r="E595" s="6" t="s">
        <v>252</v>
      </c>
      <c r="F595" s="133" t="s">
        <v>219</v>
      </c>
      <c r="G595" s="133" t="s">
        <v>253</v>
      </c>
      <c r="H595" s="133" t="s">
        <v>254</v>
      </c>
      <c r="I595" s="133" t="s">
        <v>22</v>
      </c>
      <c r="J595" s="135" t="s">
        <v>23</v>
      </c>
      <c r="K595" s="135" t="s">
        <v>215</v>
      </c>
      <c r="L595" s="6" t="s">
        <v>251</v>
      </c>
      <c r="M595" s="93">
        <v>28</v>
      </c>
      <c r="N595" s="93">
        <v>62</v>
      </c>
      <c r="O595" s="6">
        <v>2</v>
      </c>
      <c r="P595" s="129">
        <v>1</v>
      </c>
      <c r="Q595" s="6">
        <v>0</v>
      </c>
      <c r="R595" s="112">
        <v>0.50049999999999994</v>
      </c>
      <c r="S595" s="94">
        <f>((Table3.110[[#This Row],[Sample weight, g]]*'2.1. DM'!Q155)/100)*1000</f>
        <v>460.74520734411584</v>
      </c>
      <c r="T595" s="94">
        <f>'3.2 Digest'!W595</f>
        <v>171.44520734411583</v>
      </c>
      <c r="U595" s="117">
        <v>0.34513888888888888</v>
      </c>
      <c r="V595" s="155">
        <v>40.5</v>
      </c>
      <c r="W595" s="117">
        <v>0.68125000000000002</v>
      </c>
      <c r="X595" s="96">
        <v>82.5</v>
      </c>
      <c r="Y595" s="96">
        <v>12.5</v>
      </c>
      <c r="Z595" s="155">
        <v>40</v>
      </c>
      <c r="AA595" s="117">
        <v>0.35486111111111113</v>
      </c>
      <c r="AB595" s="155">
        <v>89</v>
      </c>
      <c r="AC595" s="155">
        <v>15.9</v>
      </c>
      <c r="AD595" s="96"/>
      <c r="AE595" s="94">
        <f>Table3.110[[#This Row],[Gas 8h, ml]]-Table3.110[[#This Row],[Gas 0h, ml]]</f>
        <v>42</v>
      </c>
      <c r="AF595" s="94">
        <f>Table3.110[[#This Row],[Gas 24h, ml]]-Table3.110[[#This Row],[V8 Push back, ml]]</f>
        <v>49</v>
      </c>
      <c r="AG595" s="94">
        <f>Table3.110[[#This Row],[GP 8h, ml]]-(AVERAGE(AE$658,AE$659))*$AG$8</f>
        <v>41.336244932930278</v>
      </c>
      <c r="AH595" s="94">
        <f>Table3.110[[#This Row],[GP 8-24h, ml]]-(AVERAGE(AF$658,AF$659))*$AG$8</f>
        <v>47.00873479879084</v>
      </c>
      <c r="AI595" s="94">
        <f>Table3.110[[#This Row],[Net gas 8-24h, ml]]+Table3.110[[#This Row],[Net gas 8h, ml]]</f>
        <v>88.344979731721111</v>
      </c>
      <c r="AJ595" s="94">
        <f>Table3.110[[#This Row],[Net gas 8h, ml]]*Table3.110[[#This Row],[CH4 8h %]]%</f>
        <v>5.1670306166162847</v>
      </c>
      <c r="AK595" s="94">
        <f>Table3.110[[#This Row],[Net gas 8-24h, ml]]*Table3.110[[#This Row],[CH4 24h, %]]%</f>
        <v>7.4743888330077439</v>
      </c>
      <c r="AL595" s="94">
        <f>Table3.110[[#This Row],[CH4 8-24h, ml]]+Table3.110[[#This Row],[CH4 8h, ml]]</f>
        <v>12.641419449624028</v>
      </c>
      <c r="AM595" s="94">
        <f>(Table3.110[[#This Row],[Net gas 24h, ml]]/Table3.110[[#This Row],[DM Incubated, mg]])*1000</f>
        <v>191.7436759482971</v>
      </c>
      <c r="AN595" s="94">
        <f>'3.2 Digest'!X595</f>
        <v>37.210415781073749</v>
      </c>
      <c r="AO595" s="94">
        <f>Table3.110[[#This Row],[Digested feed, mg]]/Table3.110[[#This Row],[Net gas 24h, ml]]</f>
        <v>1.9406332749721238</v>
      </c>
      <c r="AP595" s="94">
        <f>Table3.110[[#This Row],[CH4 8h, ml]]/Table3.110[[#This Row],[Net gas 8h, ml]]%</f>
        <v>12.5</v>
      </c>
      <c r="AQ595" s="94">
        <f>Table3.110[[#This Row],[CH4 24h, ml]]/Table3.110[[#This Row],[Net gas 24h, ml]]%</f>
        <v>14.309154281332644</v>
      </c>
      <c r="AR595" s="94">
        <f>Table3.110[[#This Row],[CH4 24h, ml]]/Table3.110[[#This Row],[DM Incubated, mg]]*1000</f>
        <v>27.436898416140345</v>
      </c>
      <c r="AS595" s="94">
        <f>Table3.110[[#This Row],[CH4 24h, ml]]/Table3.110[[#This Row],[Digested feed, mg]]*1000</f>
        <v>73.734458054874835</v>
      </c>
      <c r="AT595" s="94">
        <f>Table3.110[[#This Row],[CH4 24h, ml]]/'3.2 Digest'!AA595</f>
        <v>-0.4220151270018645</v>
      </c>
      <c r="AU595" s="94">
        <f>((Table3.110[[#This Row],[CH4 24h, ml]]/28.9)*16.04)/Table3.110[[#This Row],[DM Incubated, mg]]*1000</f>
        <v>15.227953307781702</v>
      </c>
      <c r="AV595" s="94">
        <f>((Table3.110[[#This Row],[CH4 24h, ml]]/28.9)*16.04)/Table3.110[[#This Row],[Digested feed, mg]]*1000</f>
        <v>40.923899903120841</v>
      </c>
    </row>
    <row r="596" spans="2:48" s="89" customFormat="1" x14ac:dyDescent="0.35">
      <c r="B596" s="90">
        <f t="shared" si="9"/>
        <v>586</v>
      </c>
      <c r="C596" s="140">
        <v>46055</v>
      </c>
      <c r="D596" s="6" t="s">
        <v>16</v>
      </c>
      <c r="E596" s="6" t="s">
        <v>252</v>
      </c>
      <c r="F596" s="133" t="s">
        <v>219</v>
      </c>
      <c r="G596" s="133" t="s">
        <v>253</v>
      </c>
      <c r="H596" s="133" t="s">
        <v>254</v>
      </c>
      <c r="I596" s="133" t="s">
        <v>22</v>
      </c>
      <c r="J596" s="135" t="s">
        <v>23</v>
      </c>
      <c r="K596" s="135" t="s">
        <v>215</v>
      </c>
      <c r="L596" s="6" t="s">
        <v>251</v>
      </c>
      <c r="M596" s="93">
        <v>28</v>
      </c>
      <c r="N596" s="93">
        <v>62</v>
      </c>
      <c r="O596" s="6">
        <v>2</v>
      </c>
      <c r="P596" s="129">
        <v>2</v>
      </c>
      <c r="Q596" s="6">
        <v>0</v>
      </c>
      <c r="R596" s="112">
        <v>0.50049999999999994</v>
      </c>
      <c r="S596" s="94">
        <f>((Table3.110[[#This Row],[Sample weight, g]]*'2.1. DM'!Q155)/100)*1000</f>
        <v>460.74520734411584</v>
      </c>
      <c r="T596" s="94">
        <f>'3.2 Digest'!W596</f>
        <v>161.14520734411587</v>
      </c>
      <c r="U596" s="117">
        <v>0.34583333333333333</v>
      </c>
      <c r="V596" s="155">
        <v>40.5</v>
      </c>
      <c r="W596" s="117">
        <v>0.68125000000000002</v>
      </c>
      <c r="X596" s="96">
        <v>82.5</v>
      </c>
      <c r="Y596" s="96">
        <v>12.7</v>
      </c>
      <c r="Z596" s="155">
        <v>40</v>
      </c>
      <c r="AA596" s="117">
        <v>0.35555555555555557</v>
      </c>
      <c r="AB596" s="155">
        <v>91.5</v>
      </c>
      <c r="AC596" s="155">
        <v>15.6</v>
      </c>
      <c r="AD596" s="96"/>
      <c r="AE596" s="94">
        <f>Table3.110[[#This Row],[Gas 8h, ml]]-Table3.110[[#This Row],[Gas 0h, ml]]</f>
        <v>42</v>
      </c>
      <c r="AF596" s="94">
        <f>Table3.110[[#This Row],[Gas 24h, ml]]-Table3.110[[#This Row],[V8 Push back, ml]]</f>
        <v>51.5</v>
      </c>
      <c r="AG596" s="94">
        <f>Table3.110[[#This Row],[GP 8h, ml]]-(AVERAGE(AE$658,AE$659))*$AG$8</f>
        <v>41.336244932930278</v>
      </c>
      <c r="AH596" s="94">
        <f>Table3.110[[#This Row],[GP 8-24h, ml]]-(AVERAGE(AF$658,AF$659))*$AG$8</f>
        <v>49.50873479879084</v>
      </c>
      <c r="AI596" s="94">
        <f>Table3.110[[#This Row],[Net gas 8-24h, ml]]+Table3.110[[#This Row],[Net gas 8h, ml]]</f>
        <v>90.844979731721111</v>
      </c>
      <c r="AJ596" s="94">
        <f>Table3.110[[#This Row],[Net gas 8h, ml]]*Table3.110[[#This Row],[CH4 8h %]]%</f>
        <v>5.2497031064821451</v>
      </c>
      <c r="AK596" s="94">
        <f>Table3.110[[#This Row],[Net gas 8-24h, ml]]*Table3.110[[#This Row],[CH4 24h, %]]%</f>
        <v>7.7233626286113708</v>
      </c>
      <c r="AL596" s="94">
        <f>Table3.110[[#This Row],[CH4 8-24h, ml]]+Table3.110[[#This Row],[CH4 8h, ml]]</f>
        <v>12.973065735093517</v>
      </c>
      <c r="AM596" s="94">
        <f>(Table3.110[[#This Row],[Net gas 24h, ml]]/Table3.110[[#This Row],[DM Incubated, mg]])*1000</f>
        <v>197.16966836265297</v>
      </c>
      <c r="AN596" s="94">
        <f>'3.2 Digest'!X596</f>
        <v>34.974906906359131</v>
      </c>
      <c r="AO596" s="94">
        <f>Table3.110[[#This Row],[Digested feed, mg]]/Table3.110[[#This Row],[Net gas 24h, ml]]</f>
        <v>1.7738482392753228</v>
      </c>
      <c r="AP596" s="94">
        <f>Table3.110[[#This Row],[CH4 8h, ml]]/Table3.110[[#This Row],[Net gas 8h, ml]]%</f>
        <v>12.7</v>
      </c>
      <c r="AQ596" s="94">
        <f>Table3.110[[#This Row],[CH4 24h, ml]]/Table3.110[[#This Row],[Net gas 24h, ml]]%</f>
        <v>14.280443204902387</v>
      </c>
      <c r="AR596" s="94">
        <f>Table3.110[[#This Row],[CH4 24h, ml]]/Table3.110[[#This Row],[DM Incubated, mg]]*1000</f>
        <v>28.156702507823049</v>
      </c>
      <c r="AS596" s="94">
        <f>Table3.110[[#This Row],[CH4 24h, ml]]/Table3.110[[#This Row],[Digested feed, mg]]*1000</f>
        <v>80.505439466097911</v>
      </c>
      <c r="AT596" s="94">
        <f>Table3.110[[#This Row],[CH4 24h, ml]]/'3.2 Digest'!AA596</f>
        <v>-0.37514246564520176</v>
      </c>
      <c r="AU596" s="94">
        <f>((Table3.110[[#This Row],[CH4 24h, ml]]/28.9)*16.04)/Table3.110[[#This Row],[DM Incubated, mg]]*1000</f>
        <v>15.627457032023589</v>
      </c>
      <c r="AV596" s="94">
        <f>((Table3.110[[#This Row],[CH4 24h, ml]]/28.9)*16.04)/Table3.110[[#This Row],[Digested feed, mg]]*1000</f>
        <v>44.681911731356763</v>
      </c>
    </row>
    <row r="597" spans="2:48" s="89" customFormat="1" x14ac:dyDescent="0.35">
      <c r="B597" s="90">
        <f t="shared" si="9"/>
        <v>587</v>
      </c>
      <c r="C597" s="140">
        <v>46055</v>
      </c>
      <c r="D597" s="6" t="s">
        <v>16</v>
      </c>
      <c r="E597" s="6" t="s">
        <v>252</v>
      </c>
      <c r="F597" s="133" t="s">
        <v>219</v>
      </c>
      <c r="G597" s="133" t="s">
        <v>253</v>
      </c>
      <c r="H597" s="133" t="s">
        <v>254</v>
      </c>
      <c r="I597" s="133" t="s">
        <v>22</v>
      </c>
      <c r="J597" s="135" t="s">
        <v>23</v>
      </c>
      <c r="K597" s="135" t="s">
        <v>215</v>
      </c>
      <c r="L597" s="6" t="s">
        <v>251</v>
      </c>
      <c r="M597" s="93">
        <v>28</v>
      </c>
      <c r="N597" s="93">
        <v>62</v>
      </c>
      <c r="O597" s="6">
        <v>2</v>
      </c>
      <c r="P597" s="129">
        <v>3</v>
      </c>
      <c r="Q597" s="6">
        <v>0</v>
      </c>
      <c r="R597" s="112">
        <v>0.50019999999999998</v>
      </c>
      <c r="S597" s="94">
        <f>((Table3.110[[#This Row],[Sample weight, g]]*'2.1. DM'!Q155)/100)*1000</f>
        <v>460.46903639066289</v>
      </c>
      <c r="T597" s="94">
        <f>'3.2 Digest'!W597</f>
        <v>156.46903639066295</v>
      </c>
      <c r="U597" s="117">
        <v>0.34583333333333333</v>
      </c>
      <c r="V597" s="155">
        <v>40.5</v>
      </c>
      <c r="W597" s="117">
        <v>0.68194444444444446</v>
      </c>
      <c r="X597" s="96">
        <v>82.5</v>
      </c>
      <c r="Y597" s="96">
        <v>12.6</v>
      </c>
      <c r="Z597" s="155">
        <v>40</v>
      </c>
      <c r="AA597" s="117">
        <v>0.35625000000000001</v>
      </c>
      <c r="AB597" s="155">
        <v>88</v>
      </c>
      <c r="AC597" s="155">
        <v>15.8</v>
      </c>
      <c r="AD597" s="96"/>
      <c r="AE597" s="94">
        <f>Table3.110[[#This Row],[Gas 8h, ml]]-Table3.110[[#This Row],[Gas 0h, ml]]</f>
        <v>42</v>
      </c>
      <c r="AF597" s="94">
        <f>Table3.110[[#This Row],[Gas 24h, ml]]-Table3.110[[#This Row],[V8 Push back, ml]]</f>
        <v>48</v>
      </c>
      <c r="AG597" s="94">
        <f>Table3.110[[#This Row],[GP 8h, ml]]-(AVERAGE(AE$658,AE$659))*$AG$8</f>
        <v>41.336244932930278</v>
      </c>
      <c r="AH597" s="94">
        <f>Table3.110[[#This Row],[GP 8-24h, ml]]-(AVERAGE(AF$658,AF$659))*$AG$8</f>
        <v>46.00873479879084</v>
      </c>
      <c r="AI597" s="94">
        <f>Table3.110[[#This Row],[Net gas 8-24h, ml]]+Table3.110[[#This Row],[Net gas 8h, ml]]</f>
        <v>87.344979731721111</v>
      </c>
      <c r="AJ597" s="94">
        <f>Table3.110[[#This Row],[Net gas 8h, ml]]*Table3.110[[#This Row],[CH4 8h %]]%</f>
        <v>5.2083668615492149</v>
      </c>
      <c r="AK597" s="94">
        <f>Table3.110[[#This Row],[Net gas 8-24h, ml]]*Table3.110[[#This Row],[CH4 24h, %]]%</f>
        <v>7.2693800982089529</v>
      </c>
      <c r="AL597" s="94">
        <f>Table3.110[[#This Row],[CH4 8-24h, ml]]+Table3.110[[#This Row],[CH4 8h, ml]]</f>
        <v>12.477746959758168</v>
      </c>
      <c r="AM597" s="94">
        <f>(Table3.110[[#This Row],[Net gas 24h, ml]]/Table3.110[[#This Row],[DM Incubated, mg]])*1000</f>
        <v>189.68697747054907</v>
      </c>
      <c r="AN597" s="94">
        <f>'3.2 Digest'!X597</f>
        <v>33.98036002966208</v>
      </c>
      <c r="AO597" s="94">
        <f>Table3.110[[#This Row],[Digested feed, mg]]/Table3.110[[#This Row],[Net gas 24h, ml]]</f>
        <v>1.7913912954271145</v>
      </c>
      <c r="AP597" s="94">
        <f>Table3.110[[#This Row],[CH4 8h, ml]]/Table3.110[[#This Row],[Net gas 8h, ml]]%</f>
        <v>12.6</v>
      </c>
      <c r="AQ597" s="94">
        <f>Table3.110[[#This Row],[CH4 24h, ml]]/Table3.110[[#This Row],[Net gas 24h, ml]]%</f>
        <v>14.2855914536627</v>
      </c>
      <c r="AR597" s="94">
        <f>Table3.110[[#This Row],[CH4 24h, ml]]/Table3.110[[#This Row],[DM Incubated, mg]]*1000</f>
        <v>27.097906642243846</v>
      </c>
      <c r="AS597" s="94">
        <f>Table3.110[[#This Row],[CH4 24h, ml]]/Table3.110[[#This Row],[Digested feed, mg]]*1000</f>
        <v>79.745790269995922</v>
      </c>
      <c r="AT597" s="94">
        <f>Table3.110[[#This Row],[CH4 24h, ml]]/'3.2 Digest'!AA597</f>
        <v>-0.34054887193271749</v>
      </c>
      <c r="AU597" s="94">
        <f>((Table3.110[[#This Row],[CH4 24h, ml]]/28.9)*16.04)/Table3.110[[#This Row],[DM Incubated, mg]]*1000</f>
        <v>15.03980700835956</v>
      </c>
      <c r="AV597" s="94">
        <f>((Table3.110[[#This Row],[CH4 24h, ml]]/28.9)*16.04)/Table3.110[[#This Row],[Digested feed, mg]]*1000</f>
        <v>44.260293284800511</v>
      </c>
    </row>
    <row r="598" spans="2:48" s="89" customFormat="1" x14ac:dyDescent="0.35">
      <c r="B598" s="90">
        <f t="shared" si="9"/>
        <v>588</v>
      </c>
      <c r="C598" s="140">
        <v>46055</v>
      </c>
      <c r="D598" s="6" t="s">
        <v>16</v>
      </c>
      <c r="E598" s="6" t="s">
        <v>256</v>
      </c>
      <c r="F598" s="133" t="s">
        <v>219</v>
      </c>
      <c r="G598" s="133" t="s">
        <v>253</v>
      </c>
      <c r="H598" s="133" t="s">
        <v>254</v>
      </c>
      <c r="I598" s="133" t="s">
        <v>22</v>
      </c>
      <c r="J598" s="135" t="s">
        <v>23</v>
      </c>
      <c r="K598" s="135" t="s">
        <v>215</v>
      </c>
      <c r="L598" s="6" t="s">
        <v>255</v>
      </c>
      <c r="M598" s="93">
        <v>28</v>
      </c>
      <c r="N598" s="93">
        <v>62</v>
      </c>
      <c r="O598" s="6">
        <v>2</v>
      </c>
      <c r="P598" s="129">
        <v>1</v>
      </c>
      <c r="Q598" s="6">
        <v>0</v>
      </c>
      <c r="R598" s="112">
        <v>0.50060000000000004</v>
      </c>
      <c r="S598" s="94">
        <f>((Table3.110[[#This Row],[Sample weight, g]]*'2.1. DM'!Q157)/100)*1000</f>
        <v>461.6689208990104</v>
      </c>
      <c r="T598" s="94">
        <f>'3.2 Digest'!W598</f>
        <v>132.76892089901042</v>
      </c>
      <c r="U598" s="117">
        <v>0.34652777777777777</v>
      </c>
      <c r="V598" s="155">
        <v>41</v>
      </c>
      <c r="W598" s="117">
        <v>0.68263888888888891</v>
      </c>
      <c r="X598" s="96">
        <v>81.5</v>
      </c>
      <c r="Y598" s="96">
        <v>11.6</v>
      </c>
      <c r="Z598" s="155">
        <v>40.5</v>
      </c>
      <c r="AA598" s="117">
        <v>0.35625000000000001</v>
      </c>
      <c r="AB598" s="155">
        <v>89</v>
      </c>
      <c r="AC598" s="155">
        <v>15.2</v>
      </c>
      <c r="AD598" s="96"/>
      <c r="AE598" s="94">
        <f>Table3.110[[#This Row],[Gas 8h, ml]]-Table3.110[[#This Row],[Gas 0h, ml]]</f>
        <v>40.5</v>
      </c>
      <c r="AF598" s="94">
        <f>Table3.110[[#This Row],[Gas 24h, ml]]-Table3.110[[#This Row],[V8 Push back, ml]]</f>
        <v>48.5</v>
      </c>
      <c r="AG598" s="94">
        <f>Table3.110[[#This Row],[GP 8h, ml]]-(AVERAGE(AE$658,AE$659))*$AG$8</f>
        <v>39.836244932930278</v>
      </c>
      <c r="AH598" s="94">
        <f>Table3.110[[#This Row],[GP 8-24h, ml]]-(AVERAGE(AF$658,AF$659))*$AG$8</f>
        <v>46.50873479879084</v>
      </c>
      <c r="AI598" s="94">
        <f>Table3.110[[#This Row],[Net gas 8-24h, ml]]+Table3.110[[#This Row],[Net gas 8h, ml]]</f>
        <v>86.344979731721111</v>
      </c>
      <c r="AJ598" s="94">
        <f>Table3.110[[#This Row],[Net gas 8h, ml]]*Table3.110[[#This Row],[CH4 8h %]]%</f>
        <v>4.6210044122199117</v>
      </c>
      <c r="AK598" s="94">
        <f>Table3.110[[#This Row],[Net gas 8-24h, ml]]*Table3.110[[#This Row],[CH4 24h, %]]%</f>
        <v>7.0693276894162071</v>
      </c>
      <c r="AL598" s="94">
        <f>Table3.110[[#This Row],[CH4 8-24h, ml]]+Table3.110[[#This Row],[CH4 8h, ml]]</f>
        <v>11.69033210163612</v>
      </c>
      <c r="AM598" s="94">
        <f>(Table3.110[[#This Row],[Net gas 24h, ml]]/Table3.110[[#This Row],[DM Incubated, mg]])*1000</f>
        <v>187.02792374150087</v>
      </c>
      <c r="AN598" s="94">
        <f>'3.2 Digest'!X598</f>
        <v>28.758470602800983</v>
      </c>
      <c r="AO598" s="94">
        <f>Table3.110[[#This Row],[Digested feed, mg]]/Table3.110[[#This Row],[Net gas 24h, ml]]</f>
        <v>1.5376565182079052</v>
      </c>
      <c r="AP598" s="94">
        <f>Table3.110[[#This Row],[CH4 8h, ml]]/Table3.110[[#This Row],[Net gas 8h, ml]]%</f>
        <v>11.6</v>
      </c>
      <c r="AQ598" s="94">
        <f>Table3.110[[#This Row],[CH4 24h, ml]]/Table3.110[[#This Row],[Net gas 24h, ml]]%</f>
        <v>13.539098784849639</v>
      </c>
      <c r="AR598" s="94">
        <f>Table3.110[[#This Row],[CH4 24h, ml]]/Table3.110[[#This Row],[DM Incubated, mg]]*1000</f>
        <v>25.321895350615051</v>
      </c>
      <c r="AS598" s="94">
        <f>Table3.110[[#This Row],[CH4 24h, ml]]/Table3.110[[#This Row],[Digested feed, mg]]*1000</f>
        <v>88.05021553597075</v>
      </c>
      <c r="AT598" s="94">
        <f>Table3.110[[#This Row],[CH4 24h, ml]]/'3.2 Digest'!AA598</f>
        <v>-0.26846296014790971</v>
      </c>
      <c r="AU598" s="94">
        <f>((Table3.110[[#This Row],[CH4 24h, ml]]/28.9)*16.04)/Table3.110[[#This Row],[DM Incubated, mg]]*1000</f>
        <v>14.054090014666624</v>
      </c>
      <c r="AV598" s="94">
        <f>((Table3.110[[#This Row],[CH4 24h, ml]]/28.9)*16.04)/Table3.110[[#This Row],[Digested feed, mg]]*1000</f>
        <v>48.86939298259415</v>
      </c>
    </row>
    <row r="599" spans="2:48" s="89" customFormat="1" x14ac:dyDescent="0.35">
      <c r="B599" s="90">
        <f t="shared" si="9"/>
        <v>589</v>
      </c>
      <c r="C599" s="140">
        <v>46055</v>
      </c>
      <c r="D599" s="6" t="s">
        <v>16</v>
      </c>
      <c r="E599" s="6" t="s">
        <v>256</v>
      </c>
      <c r="F599" s="133" t="s">
        <v>219</v>
      </c>
      <c r="G599" s="133" t="s">
        <v>253</v>
      </c>
      <c r="H599" s="133" t="s">
        <v>254</v>
      </c>
      <c r="I599" s="133" t="s">
        <v>22</v>
      </c>
      <c r="J599" s="135" t="s">
        <v>23</v>
      </c>
      <c r="K599" s="135" t="s">
        <v>215</v>
      </c>
      <c r="L599" s="6" t="s">
        <v>255</v>
      </c>
      <c r="M599" s="93">
        <v>28</v>
      </c>
      <c r="N599" s="93">
        <v>62</v>
      </c>
      <c r="O599" s="6">
        <v>2</v>
      </c>
      <c r="P599" s="129">
        <v>2</v>
      </c>
      <c r="Q599" s="6">
        <v>0</v>
      </c>
      <c r="R599" s="112">
        <v>0.50039999999999996</v>
      </c>
      <c r="S599" s="94">
        <f>((Table3.110[[#This Row],[Sample weight, g]]*'2.1. DM'!Q157)/100)*1000</f>
        <v>461.48447466613015</v>
      </c>
      <c r="T599" s="94">
        <f>'3.2 Digest'!W599</f>
        <v>225.58447466613015</v>
      </c>
      <c r="U599" s="117">
        <v>0.34652777777777777</v>
      </c>
      <c r="V599" s="155">
        <v>40.5</v>
      </c>
      <c r="W599" s="117">
        <v>0.68263888888888891</v>
      </c>
      <c r="X599" s="96">
        <v>81.5</v>
      </c>
      <c r="Y599" s="96">
        <v>11.3</v>
      </c>
      <c r="Z599" s="155">
        <v>40</v>
      </c>
      <c r="AA599" s="117">
        <v>0.35694444444444445</v>
      </c>
      <c r="AB599" s="155">
        <v>86</v>
      </c>
      <c r="AC599" s="155">
        <v>15.5</v>
      </c>
      <c r="AD599" s="96"/>
      <c r="AE599" s="94">
        <f>Table3.110[[#This Row],[Gas 8h, ml]]-Table3.110[[#This Row],[Gas 0h, ml]]</f>
        <v>41</v>
      </c>
      <c r="AF599" s="94">
        <f>Table3.110[[#This Row],[Gas 24h, ml]]-Table3.110[[#This Row],[V8 Push back, ml]]</f>
        <v>46</v>
      </c>
      <c r="AG599" s="94">
        <f>Table3.110[[#This Row],[GP 8h, ml]]-(AVERAGE(AE$658,AE$659))*$AG$8</f>
        <v>40.336244932930278</v>
      </c>
      <c r="AH599" s="94">
        <f>Table3.110[[#This Row],[GP 8-24h, ml]]-(AVERAGE(AF$658,AF$659))*$AG$8</f>
        <v>44.00873479879084</v>
      </c>
      <c r="AI599" s="94">
        <f>Table3.110[[#This Row],[Net gas 8-24h, ml]]+Table3.110[[#This Row],[Net gas 8h, ml]]</f>
        <v>84.344979731721111</v>
      </c>
      <c r="AJ599" s="94">
        <f>Table3.110[[#This Row],[Net gas 8h, ml]]*Table3.110[[#This Row],[CH4 8h %]]%</f>
        <v>4.5579956774211219</v>
      </c>
      <c r="AK599" s="94">
        <f>Table3.110[[#This Row],[Net gas 8-24h, ml]]*Table3.110[[#This Row],[CH4 24h, %]]%</f>
        <v>6.8213538938125806</v>
      </c>
      <c r="AL599" s="94">
        <f>Table3.110[[#This Row],[CH4 8-24h, ml]]+Table3.110[[#This Row],[CH4 8h, ml]]</f>
        <v>11.379349571233703</v>
      </c>
      <c r="AM599" s="94">
        <f>(Table3.110[[#This Row],[Net gas 24h, ml]]/Table3.110[[#This Row],[DM Incubated, mg]])*1000</f>
        <v>182.76883484052658</v>
      </c>
      <c r="AN599" s="94">
        <f>'3.2 Digest'!X599</f>
        <v>48.882354022707609</v>
      </c>
      <c r="AO599" s="94">
        <f>Table3.110[[#This Row],[Digested feed, mg]]/Table3.110[[#This Row],[Net gas 24h, ml]]</f>
        <v>2.6745453657544789</v>
      </c>
      <c r="AP599" s="94">
        <f>Table3.110[[#This Row],[CH4 8h, ml]]/Table3.110[[#This Row],[Net gas 8h, ml]]%</f>
        <v>11.300000000000002</v>
      </c>
      <c r="AQ599" s="94">
        <f>Table3.110[[#This Row],[CH4 24h, ml]]/Table3.110[[#This Row],[Net gas 24h, ml]]%</f>
        <v>13.491436725017161</v>
      </c>
      <c r="AR599" s="94">
        <f>Table3.110[[#This Row],[CH4 24h, ml]]/Table3.110[[#This Row],[DM Incubated, mg]]*1000</f>
        <v>24.658141705560762</v>
      </c>
      <c r="AS599" s="94">
        <f>Table3.110[[#This Row],[CH4 24h, ml]]/Table3.110[[#This Row],[Digested feed, mg]]*1000</f>
        <v>50.443850748485168</v>
      </c>
      <c r="AT599" s="94">
        <f>Table3.110[[#This Row],[CH4 24h, ml]]/'3.2 Digest'!AA599</f>
        <v>-3.7962002886963102</v>
      </c>
      <c r="AU599" s="94">
        <f>((Table3.110[[#This Row],[CH4 24h, ml]]/28.9)*16.04)/Table3.110[[#This Row],[DM Incubated, mg]]*1000</f>
        <v>13.685695258034416</v>
      </c>
      <c r="AV599" s="94">
        <f>((Table3.110[[#This Row],[CH4 24h, ml]]/28.9)*16.04)/Table3.110[[#This Row],[Digested feed, mg]]*1000</f>
        <v>27.997209896391077</v>
      </c>
    </row>
    <row r="600" spans="2:48" s="89" customFormat="1" x14ac:dyDescent="0.35">
      <c r="B600" s="90">
        <f t="shared" si="9"/>
        <v>590</v>
      </c>
      <c r="C600" s="140">
        <v>46055</v>
      </c>
      <c r="D600" s="6" t="s">
        <v>16</v>
      </c>
      <c r="E600" s="6" t="s">
        <v>256</v>
      </c>
      <c r="F600" s="133" t="s">
        <v>219</v>
      </c>
      <c r="G600" s="133" t="s">
        <v>253</v>
      </c>
      <c r="H600" s="133" t="s">
        <v>254</v>
      </c>
      <c r="I600" s="133" t="s">
        <v>22</v>
      </c>
      <c r="J600" s="135" t="s">
        <v>23</v>
      </c>
      <c r="K600" s="135" t="s">
        <v>215</v>
      </c>
      <c r="L600" s="6" t="s">
        <v>255</v>
      </c>
      <c r="M600" s="93">
        <v>28</v>
      </c>
      <c r="N600" s="93">
        <v>62</v>
      </c>
      <c r="O600" s="6">
        <v>2</v>
      </c>
      <c r="P600" s="129">
        <v>3</v>
      </c>
      <c r="Q600" s="6">
        <v>0</v>
      </c>
      <c r="R600" s="112">
        <v>0.50019999999999998</v>
      </c>
      <c r="S600" s="94">
        <f>((Table3.110[[#This Row],[Sample weight, g]]*'2.1. DM'!Q157)/100)*1000</f>
        <v>461.30002843325002</v>
      </c>
      <c r="T600" s="94">
        <f>'3.2 Digest'!W600</f>
        <v>257.50002843325001</v>
      </c>
      <c r="U600" s="117">
        <v>0.34652777777777777</v>
      </c>
      <c r="V600" s="155">
        <v>41</v>
      </c>
      <c r="W600" s="117">
        <v>0.68333333333333335</v>
      </c>
      <c r="X600" s="96">
        <v>80</v>
      </c>
      <c r="Y600" s="96">
        <v>11.5</v>
      </c>
      <c r="Z600" s="155">
        <v>40</v>
      </c>
      <c r="AA600" s="117">
        <v>0.3576388888888889</v>
      </c>
      <c r="AB600" s="155">
        <v>86.5</v>
      </c>
      <c r="AC600" s="155">
        <v>15.4</v>
      </c>
      <c r="AD600" s="96"/>
      <c r="AE600" s="94">
        <f>Table3.110[[#This Row],[Gas 8h, ml]]-Table3.110[[#This Row],[Gas 0h, ml]]</f>
        <v>39</v>
      </c>
      <c r="AF600" s="94">
        <f>Table3.110[[#This Row],[Gas 24h, ml]]-Table3.110[[#This Row],[V8 Push back, ml]]</f>
        <v>46.5</v>
      </c>
      <c r="AG600" s="94">
        <f>Table3.110[[#This Row],[GP 8h, ml]]-(AVERAGE(AE$658,AE$659))*$AG$8</f>
        <v>38.336244932930278</v>
      </c>
      <c r="AH600" s="94">
        <f>Table3.110[[#This Row],[GP 8-24h, ml]]-(AVERAGE(AF$658,AF$659))*$AG$8</f>
        <v>44.50873479879084</v>
      </c>
      <c r="AI600" s="94">
        <f>Table3.110[[#This Row],[Net gas 8-24h, ml]]+Table3.110[[#This Row],[Net gas 8h, ml]]</f>
        <v>82.844979731721111</v>
      </c>
      <c r="AJ600" s="94">
        <f>Table3.110[[#This Row],[Net gas 8h, ml]]*Table3.110[[#This Row],[CH4 8h %]]%</f>
        <v>4.4086681672869821</v>
      </c>
      <c r="AK600" s="94">
        <f>Table3.110[[#This Row],[Net gas 8-24h, ml]]*Table3.110[[#This Row],[CH4 24h, %]]%</f>
        <v>6.8543451590137892</v>
      </c>
      <c r="AL600" s="94">
        <f>Table3.110[[#This Row],[CH4 8-24h, ml]]+Table3.110[[#This Row],[CH4 8h, ml]]</f>
        <v>11.263013326300772</v>
      </c>
      <c r="AM600" s="94">
        <f>(Table3.110[[#This Row],[Net gas 24h, ml]]/Table3.110[[#This Row],[DM Incubated, mg]])*1000</f>
        <v>179.59023330888166</v>
      </c>
      <c r="AN600" s="94">
        <f>'3.2 Digest'!X600</f>
        <v>55.820509985186398</v>
      </c>
      <c r="AO600" s="94">
        <f>Table3.110[[#This Row],[Digested feed, mg]]/Table3.110[[#This Row],[Net gas 24h, ml]]</f>
        <v>3.1082152384745405</v>
      </c>
      <c r="AP600" s="94">
        <f>Table3.110[[#This Row],[CH4 8h, ml]]/Table3.110[[#This Row],[Net gas 8h, ml]]%</f>
        <v>11.5</v>
      </c>
      <c r="AQ600" s="94">
        <f>Table3.110[[#This Row],[CH4 24h, ml]]/Table3.110[[#This Row],[Net gas 24h, ml]]%</f>
        <v>13.595287684026308</v>
      </c>
      <c r="AR600" s="94">
        <f>Table3.110[[#This Row],[CH4 24h, ml]]/Table3.110[[#This Row],[DM Incubated, mg]]*1000</f>
        <v>24.415808870756504</v>
      </c>
      <c r="AS600" s="94">
        <f>Table3.110[[#This Row],[CH4 24h, ml]]/Table3.110[[#This Row],[Digested feed, mg]]*1000</f>
        <v>43.739852748095544</v>
      </c>
      <c r="AT600" s="94">
        <f>Table3.110[[#This Row],[CH4 24h, ml]]/'3.2 Digest'!AA600</f>
        <v>1.0255688023349974</v>
      </c>
      <c r="AU600" s="94">
        <f>((Table3.110[[#This Row],[CH4 24h, ml]]/28.9)*16.04)/Table3.110[[#This Row],[DM Incubated, mg]]*1000</f>
        <v>13.551196342108453</v>
      </c>
      <c r="AV600" s="94">
        <f>((Table3.110[[#This Row],[CH4 24h, ml]]/28.9)*16.04)/Table3.110[[#This Row],[Digested feed, mg]]*1000</f>
        <v>24.276375020050263</v>
      </c>
    </row>
    <row r="601" spans="2:48" s="89" customFormat="1" x14ac:dyDescent="0.35">
      <c r="B601" s="90">
        <f t="shared" si="9"/>
        <v>591</v>
      </c>
      <c r="C601" s="140">
        <v>46055</v>
      </c>
      <c r="D601" s="6" t="s">
        <v>16</v>
      </c>
      <c r="E601" s="6" t="s">
        <v>258</v>
      </c>
      <c r="F601" s="133" t="s">
        <v>259</v>
      </c>
      <c r="G601" s="133" t="s">
        <v>260</v>
      </c>
      <c r="H601" s="133" t="s">
        <v>261</v>
      </c>
      <c r="I601" s="133" t="s">
        <v>22</v>
      </c>
      <c r="J601" s="135" t="s">
        <v>23</v>
      </c>
      <c r="K601" s="135" t="s">
        <v>215</v>
      </c>
      <c r="L601" s="6" t="s">
        <v>257</v>
      </c>
      <c r="M601" s="93">
        <v>28</v>
      </c>
      <c r="N601" s="93">
        <v>62</v>
      </c>
      <c r="O601" s="6">
        <v>2</v>
      </c>
      <c r="P601" s="129">
        <v>1</v>
      </c>
      <c r="Q601" s="6">
        <v>0</v>
      </c>
      <c r="R601" s="112">
        <v>0.50029999999999997</v>
      </c>
      <c r="S601" s="94">
        <f>((Table3.110[[#This Row],[Sample weight, g]]*'2.1. DM'!Q159)/100)*1000</f>
        <v>457.30569694341682</v>
      </c>
      <c r="T601" s="94">
        <f>'3.2 Digest'!W601</f>
        <v>75.805696943416876</v>
      </c>
      <c r="U601" s="117">
        <v>0.34722222222222221</v>
      </c>
      <c r="V601" s="155">
        <v>40</v>
      </c>
      <c r="W601" s="117">
        <v>0.68333333333333335</v>
      </c>
      <c r="X601" s="96">
        <v>78.5</v>
      </c>
      <c r="Y601" s="96">
        <v>13.3</v>
      </c>
      <c r="Z601" s="155">
        <v>39.5</v>
      </c>
      <c r="AA601" s="117">
        <v>0.35833333333333334</v>
      </c>
      <c r="AB601" s="155">
        <v>84.5</v>
      </c>
      <c r="AC601" s="155">
        <v>16.899999999999999</v>
      </c>
      <c r="AD601" s="96"/>
      <c r="AE601" s="94">
        <f>Table3.110[[#This Row],[Gas 8h, ml]]-Table3.110[[#This Row],[Gas 0h, ml]]</f>
        <v>38.5</v>
      </c>
      <c r="AF601" s="94">
        <f>Table3.110[[#This Row],[Gas 24h, ml]]-Table3.110[[#This Row],[V8 Push back, ml]]</f>
        <v>45</v>
      </c>
      <c r="AG601" s="94">
        <f>Table3.110[[#This Row],[GP 8h, ml]]-(AVERAGE(AE$658,AE$659))*$AG$8</f>
        <v>37.836244932930278</v>
      </c>
      <c r="AH601" s="94">
        <f>Table3.110[[#This Row],[GP 8-24h, ml]]-(AVERAGE(AF$658,AF$659))*$AG$8</f>
        <v>43.00873479879084</v>
      </c>
      <c r="AI601" s="94">
        <f>Table3.110[[#This Row],[Net gas 8-24h, ml]]+Table3.110[[#This Row],[Net gas 8h, ml]]</f>
        <v>80.844979731721111</v>
      </c>
      <c r="AJ601" s="94">
        <f>Table3.110[[#This Row],[Net gas 8h, ml]]*Table3.110[[#This Row],[CH4 8h %]]%</f>
        <v>5.0322205760797276</v>
      </c>
      <c r="AK601" s="94">
        <f>Table3.110[[#This Row],[Net gas 8-24h, ml]]*Table3.110[[#This Row],[CH4 24h, %]]%</f>
        <v>7.2684761809956511</v>
      </c>
      <c r="AL601" s="94">
        <f>Table3.110[[#This Row],[CH4 8-24h, ml]]+Table3.110[[#This Row],[CH4 8h, ml]]</f>
        <v>12.300696757075379</v>
      </c>
      <c r="AM601" s="94">
        <f>(Table3.110[[#This Row],[Net gas 24h, ml]]/Table3.110[[#This Row],[DM Incubated, mg]])*1000</f>
        <v>176.78542006382264</v>
      </c>
      <c r="AN601" s="94">
        <f>'3.2 Digest'!X601</f>
        <v>16.576591424531596</v>
      </c>
      <c r="AO601" s="94">
        <f>Table3.110[[#This Row],[Digested feed, mg]]/Table3.110[[#This Row],[Net gas 24h, ml]]</f>
        <v>0.93766733809536751</v>
      </c>
      <c r="AP601" s="94">
        <f>Table3.110[[#This Row],[CH4 8h, ml]]/Table3.110[[#This Row],[Net gas 8h, ml]]%</f>
        <v>13.3</v>
      </c>
      <c r="AQ601" s="94">
        <f>Table3.110[[#This Row],[CH4 24h, ml]]/Table3.110[[#This Row],[Net gas 24h, ml]]%</f>
        <v>15.21516462480967</v>
      </c>
      <c r="AR601" s="94">
        <f>Table3.110[[#This Row],[CH4 24h, ml]]/Table3.110[[#This Row],[DM Incubated, mg]]*1000</f>
        <v>26.898192695371918</v>
      </c>
      <c r="AS601" s="94">
        <f>Table3.110[[#This Row],[CH4 24h, ml]]/Table3.110[[#This Row],[Digested feed, mg]]*1000</f>
        <v>162.26612580657232</v>
      </c>
      <c r="AT601" s="94">
        <f>Table3.110[[#This Row],[CH4 24h, ml]]/'3.2 Digest'!AA601</f>
        <v>-0.27213369063501447</v>
      </c>
      <c r="AU601" s="94">
        <f>((Table3.110[[#This Row],[CH4 24h, ml]]/28.9)*16.04)/Table3.110[[#This Row],[DM Incubated, mg]]*1000</f>
        <v>14.928962312587045</v>
      </c>
      <c r="AV601" s="94">
        <f>((Table3.110[[#This Row],[CH4 24h, ml]]/28.9)*16.04)/Table3.110[[#This Row],[Digested feed, mg]]*1000</f>
        <v>90.06050719506645</v>
      </c>
    </row>
    <row r="602" spans="2:48" s="89" customFormat="1" x14ac:dyDescent="0.35">
      <c r="B602" s="90">
        <f t="shared" si="9"/>
        <v>592</v>
      </c>
      <c r="C602" s="140">
        <v>46055</v>
      </c>
      <c r="D602" s="6" t="s">
        <v>16</v>
      </c>
      <c r="E602" s="6" t="s">
        <v>258</v>
      </c>
      <c r="F602" s="133" t="s">
        <v>259</v>
      </c>
      <c r="G602" s="133" t="s">
        <v>260</v>
      </c>
      <c r="H602" s="133" t="s">
        <v>261</v>
      </c>
      <c r="I602" s="133" t="s">
        <v>22</v>
      </c>
      <c r="J602" s="135" t="s">
        <v>23</v>
      </c>
      <c r="K602" s="135" t="s">
        <v>215</v>
      </c>
      <c r="L602" s="6" t="s">
        <v>257</v>
      </c>
      <c r="M602" s="93">
        <v>28</v>
      </c>
      <c r="N602" s="93">
        <v>62</v>
      </c>
      <c r="O602" s="6">
        <v>2</v>
      </c>
      <c r="P602" s="129">
        <v>2</v>
      </c>
      <c r="Q602" s="6">
        <v>0</v>
      </c>
      <c r="R602" s="112">
        <v>0.50060000000000004</v>
      </c>
      <c r="S602" s="94">
        <f>((Table3.110[[#This Row],[Sample weight, g]]*'2.1. DM'!Q159)/100)*1000</f>
        <v>457.5799158302508</v>
      </c>
      <c r="T602" s="94">
        <f>'3.2 Digest'!W602</f>
        <v>115.57991583025074</v>
      </c>
      <c r="U602" s="117">
        <v>0.34722222222222221</v>
      </c>
      <c r="V602" s="155">
        <v>41</v>
      </c>
      <c r="W602" s="117">
        <v>0.68402777777777779</v>
      </c>
      <c r="X602" s="96">
        <v>77.5</v>
      </c>
      <c r="Y602" s="96">
        <v>14</v>
      </c>
      <c r="Z602" s="155">
        <v>40.5</v>
      </c>
      <c r="AA602" s="117">
        <v>0.3576388888888889</v>
      </c>
      <c r="AB602" s="155">
        <v>84.5</v>
      </c>
      <c r="AC602" s="155">
        <v>17.100000000000001</v>
      </c>
      <c r="AD602" s="96"/>
      <c r="AE602" s="94">
        <f>Table3.110[[#This Row],[Gas 8h, ml]]-Table3.110[[#This Row],[Gas 0h, ml]]</f>
        <v>36.5</v>
      </c>
      <c r="AF602" s="94">
        <f>Table3.110[[#This Row],[Gas 24h, ml]]-Table3.110[[#This Row],[V8 Push back, ml]]</f>
        <v>44</v>
      </c>
      <c r="AG602" s="94">
        <f>Table3.110[[#This Row],[GP 8h, ml]]-(AVERAGE(AE$658,AE$659))*$AG$8</f>
        <v>35.836244932930278</v>
      </c>
      <c r="AH602" s="94">
        <f>Table3.110[[#This Row],[GP 8-24h, ml]]-(AVERAGE(AF$658,AF$659))*$AG$8</f>
        <v>42.00873479879084</v>
      </c>
      <c r="AI602" s="94">
        <f>Table3.110[[#This Row],[Net gas 8-24h, ml]]+Table3.110[[#This Row],[Net gas 8h, ml]]</f>
        <v>77.844979731721111</v>
      </c>
      <c r="AJ602" s="94">
        <f>Table3.110[[#This Row],[Net gas 8h, ml]]*Table3.110[[#This Row],[CH4 8h %]]%</f>
        <v>5.017074290610239</v>
      </c>
      <c r="AK602" s="94">
        <f>Table3.110[[#This Row],[Net gas 8-24h, ml]]*Table3.110[[#This Row],[CH4 24h, %]]%</f>
        <v>7.1834936505932339</v>
      </c>
      <c r="AL602" s="94">
        <f>Table3.110[[#This Row],[CH4 8-24h, ml]]+Table3.110[[#This Row],[CH4 8h, ml]]</f>
        <v>12.200567941203474</v>
      </c>
      <c r="AM602" s="94">
        <f>(Table3.110[[#This Row],[Net gas 24h, ml]]/Table3.110[[#This Row],[DM Incubated, mg]])*1000</f>
        <v>170.12324413425392</v>
      </c>
      <c r="AN602" s="94">
        <f>'3.2 Digest'!X602</f>
        <v>25.258957360604008</v>
      </c>
      <c r="AO602" s="94">
        <f>Table3.110[[#This Row],[Digested feed, mg]]/Table3.110[[#This Row],[Net gas 24h, ml]]</f>
        <v>1.4847446325835831</v>
      </c>
      <c r="AP602" s="94">
        <f>Table3.110[[#This Row],[CH4 8h, ml]]/Table3.110[[#This Row],[Net gas 8h, ml]]%</f>
        <v>14</v>
      </c>
      <c r="AQ602" s="94">
        <f>Table3.110[[#This Row],[CH4 24h, ml]]/Table3.110[[#This Row],[Net gas 24h, ml]]%</f>
        <v>15.672902714151334</v>
      </c>
      <c r="AR602" s="94">
        <f>Table3.110[[#This Row],[CH4 24h, ml]]/Table3.110[[#This Row],[DM Incubated, mg]]*1000</f>
        <v>26.66325054731978</v>
      </c>
      <c r="AS602" s="94">
        <f>Table3.110[[#This Row],[CH4 24h, ml]]/Table3.110[[#This Row],[Digested feed, mg]]*1000</f>
        <v>105.5595849292894</v>
      </c>
      <c r="AT602" s="94">
        <f>Table3.110[[#This Row],[CH4 24h, ml]]/'3.2 Digest'!AA602</f>
        <v>-0.4054824500975871</v>
      </c>
      <c r="AU602" s="94">
        <f>((Table3.110[[#This Row],[CH4 24h, ml]]/28.9)*16.04)/Table3.110[[#This Row],[DM Incubated, mg]]*1000</f>
        <v>14.798565355675063</v>
      </c>
      <c r="AV602" s="94">
        <f>((Table3.110[[#This Row],[CH4 24h, ml]]/28.9)*16.04)/Table3.110[[#This Row],[Digested feed, mg]]*1000</f>
        <v>58.587395926152325</v>
      </c>
    </row>
    <row r="603" spans="2:48" s="89" customFormat="1" x14ac:dyDescent="0.35">
      <c r="B603" s="90">
        <f t="shared" si="9"/>
        <v>593</v>
      </c>
      <c r="C603" s="140">
        <v>46055</v>
      </c>
      <c r="D603" s="6" t="s">
        <v>16</v>
      </c>
      <c r="E603" s="6" t="s">
        <v>258</v>
      </c>
      <c r="F603" s="133" t="s">
        <v>259</v>
      </c>
      <c r="G603" s="133" t="s">
        <v>260</v>
      </c>
      <c r="H603" s="133" t="s">
        <v>261</v>
      </c>
      <c r="I603" s="133" t="s">
        <v>22</v>
      </c>
      <c r="J603" s="135" t="s">
        <v>23</v>
      </c>
      <c r="K603" s="135" t="s">
        <v>215</v>
      </c>
      <c r="L603" s="6" t="s">
        <v>257</v>
      </c>
      <c r="M603" s="93">
        <v>28</v>
      </c>
      <c r="N603" s="93">
        <v>62</v>
      </c>
      <c r="O603" s="6">
        <v>2</v>
      </c>
      <c r="P603" s="129">
        <v>3</v>
      </c>
      <c r="Q603" s="6">
        <v>0</v>
      </c>
      <c r="R603" s="112">
        <v>0.50060000000000004</v>
      </c>
      <c r="S603" s="94">
        <f>((Table3.110[[#This Row],[Sample weight, g]]*'2.1. DM'!Q159)/100)*1000</f>
        <v>457.5799158302508</v>
      </c>
      <c r="T603" s="94">
        <f>'3.2 Digest'!W603</f>
        <v>135.17991583025076</v>
      </c>
      <c r="U603" s="117">
        <v>0.34722222222222221</v>
      </c>
      <c r="V603" s="155">
        <v>41</v>
      </c>
      <c r="W603" s="117">
        <v>0.68472222222222223</v>
      </c>
      <c r="X603" s="96">
        <v>76.5</v>
      </c>
      <c r="Y603" s="96">
        <v>13.8</v>
      </c>
      <c r="Z603" s="155">
        <v>40</v>
      </c>
      <c r="AA603" s="117">
        <v>0.35833333333333334</v>
      </c>
      <c r="AB603" s="155">
        <v>83</v>
      </c>
      <c r="AC603" s="155">
        <v>16.8</v>
      </c>
      <c r="AD603" s="96"/>
      <c r="AE603" s="94">
        <f>Table3.110[[#This Row],[Gas 8h, ml]]-Table3.110[[#This Row],[Gas 0h, ml]]</f>
        <v>35.5</v>
      </c>
      <c r="AF603" s="94">
        <f>Table3.110[[#This Row],[Gas 24h, ml]]-Table3.110[[#This Row],[V8 Push back, ml]]</f>
        <v>43</v>
      </c>
      <c r="AG603" s="94">
        <f>Table3.110[[#This Row],[GP 8h, ml]]-(AVERAGE(AE$658,AE$659))*$AG$8</f>
        <v>34.836244932930278</v>
      </c>
      <c r="AH603" s="94">
        <f>Table3.110[[#This Row],[GP 8-24h, ml]]-(AVERAGE(AF$658,AF$659))*$AG$8</f>
        <v>41.00873479879084</v>
      </c>
      <c r="AI603" s="94">
        <f>Table3.110[[#This Row],[Net gas 8-24h, ml]]+Table3.110[[#This Row],[Net gas 8h, ml]]</f>
        <v>75.844979731721111</v>
      </c>
      <c r="AJ603" s="94">
        <f>Table3.110[[#This Row],[Net gas 8h, ml]]*Table3.110[[#This Row],[CH4 8h %]]%</f>
        <v>4.8074018007443788</v>
      </c>
      <c r="AK603" s="94">
        <f>Table3.110[[#This Row],[Net gas 8-24h, ml]]*Table3.110[[#This Row],[CH4 24h, %]]%</f>
        <v>6.8894674461968615</v>
      </c>
      <c r="AL603" s="94">
        <f>Table3.110[[#This Row],[CH4 8-24h, ml]]+Table3.110[[#This Row],[CH4 8h, ml]]</f>
        <v>11.69686924694124</v>
      </c>
      <c r="AM603" s="94">
        <f>(Table3.110[[#This Row],[Net gas 24h, ml]]/Table3.110[[#This Row],[DM Incubated, mg]])*1000</f>
        <v>165.75242292727168</v>
      </c>
      <c r="AN603" s="94">
        <f>'3.2 Digest'!X603</f>
        <v>29.542362143446589</v>
      </c>
      <c r="AO603" s="94">
        <f>Table3.110[[#This Row],[Digested feed, mg]]/Table3.110[[#This Row],[Net gas 24h, ml]]</f>
        <v>1.7823185701731243</v>
      </c>
      <c r="AP603" s="94">
        <f>Table3.110[[#This Row],[CH4 8h, ml]]/Table3.110[[#This Row],[Net gas 8h, ml]]%</f>
        <v>13.800000000000002</v>
      </c>
      <c r="AQ603" s="94">
        <f>Table3.110[[#This Row],[CH4 24h, ml]]/Table3.110[[#This Row],[Net gas 24h, ml]]%</f>
        <v>15.422074458079376</v>
      </c>
      <c r="AR603" s="94">
        <f>Table3.110[[#This Row],[CH4 24h, ml]]/Table3.110[[#This Row],[DM Incubated, mg]]*1000</f>
        <v>25.562462079914468</v>
      </c>
      <c r="AS603" s="94">
        <f>Table3.110[[#This Row],[CH4 24h, ml]]/Table3.110[[#This Row],[Digested feed, mg]]*1000</f>
        <v>86.528158973181561</v>
      </c>
      <c r="AT603" s="94">
        <f>Table3.110[[#This Row],[CH4 24h, ml]]/'3.2 Digest'!AA603</f>
        <v>-0.5167917525504282</v>
      </c>
      <c r="AU603" s="94">
        <f>((Table3.110[[#This Row],[CH4 24h, ml]]/28.9)*16.04)/Table3.110[[#This Row],[DM Incubated, mg]]*1000</f>
        <v>14.187608711481941</v>
      </c>
      <c r="AV603" s="94">
        <f>((Table3.110[[#This Row],[CH4 24h, ml]]/28.9)*16.04)/Table3.110[[#This Row],[Digested feed, mg]]*1000</f>
        <v>48.024625257087614</v>
      </c>
    </row>
    <row r="604" spans="2:48" s="89" customFormat="1" x14ac:dyDescent="0.35">
      <c r="B604" s="90">
        <f t="shared" si="9"/>
        <v>594</v>
      </c>
      <c r="C604" s="140">
        <v>46055</v>
      </c>
      <c r="D604" s="6" t="s">
        <v>16</v>
      </c>
      <c r="E604" s="6" t="s">
        <v>263</v>
      </c>
      <c r="F604" s="133" t="s">
        <v>264</v>
      </c>
      <c r="G604" s="133" t="s">
        <v>265</v>
      </c>
      <c r="H604" s="133" t="s">
        <v>266</v>
      </c>
      <c r="I604" s="133" t="s">
        <v>22</v>
      </c>
      <c r="J604" s="135" t="s">
        <v>23</v>
      </c>
      <c r="K604" s="135" t="s">
        <v>215</v>
      </c>
      <c r="L604" s="6" t="s">
        <v>262</v>
      </c>
      <c r="M604" s="93">
        <v>28</v>
      </c>
      <c r="N604" s="93">
        <v>62</v>
      </c>
      <c r="O604" s="6">
        <v>2</v>
      </c>
      <c r="P604" s="129">
        <v>1</v>
      </c>
      <c r="Q604" s="6">
        <v>0</v>
      </c>
      <c r="R604" s="112">
        <v>0.5</v>
      </c>
      <c r="S604" s="94">
        <f>((Table3.110[[#This Row],[Sample weight, g]]*'2.1. DM'!Q161)/100)*1000</f>
        <v>453.78425018639803</v>
      </c>
      <c r="T604" s="94">
        <f>'3.2 Digest'!W604</f>
        <v>135.28425018639803</v>
      </c>
      <c r="U604" s="117">
        <v>0.34791666666666665</v>
      </c>
      <c r="V604" s="155">
        <v>41</v>
      </c>
      <c r="W604" s="117">
        <v>0.68472222222222223</v>
      </c>
      <c r="X604" s="96">
        <v>72.5</v>
      </c>
      <c r="Y604" s="96">
        <v>13.1</v>
      </c>
      <c r="Z604" s="155">
        <v>40.5</v>
      </c>
      <c r="AA604" s="117">
        <v>0.35902777777777778</v>
      </c>
      <c r="AB604" s="155">
        <v>83</v>
      </c>
      <c r="AC604" s="155">
        <v>15.5</v>
      </c>
      <c r="AD604" s="96"/>
      <c r="AE604" s="94">
        <f>Table3.110[[#This Row],[Gas 8h, ml]]-Table3.110[[#This Row],[Gas 0h, ml]]</f>
        <v>31.5</v>
      </c>
      <c r="AF604" s="94">
        <f>Table3.110[[#This Row],[Gas 24h, ml]]-Table3.110[[#This Row],[V8 Push back, ml]]</f>
        <v>42.5</v>
      </c>
      <c r="AG604" s="94">
        <f>Table3.110[[#This Row],[GP 8h, ml]]-(AVERAGE(AE$658,AE$659))*$AG$8</f>
        <v>30.836244932930278</v>
      </c>
      <c r="AH604" s="94">
        <f>Table3.110[[#This Row],[GP 8-24h, ml]]-(AVERAGE(AF$658,AF$659))*$AG$8</f>
        <v>40.50873479879084</v>
      </c>
      <c r="AI604" s="94">
        <f>Table3.110[[#This Row],[Net gas 8-24h, ml]]+Table3.110[[#This Row],[Net gas 8h, ml]]</f>
        <v>71.344979731721111</v>
      </c>
      <c r="AJ604" s="94">
        <f>Table3.110[[#This Row],[Net gas 8h, ml]]*Table3.110[[#This Row],[CH4 8h %]]%</f>
        <v>4.0395480862138662</v>
      </c>
      <c r="AK604" s="94">
        <f>Table3.110[[#This Row],[Net gas 8-24h, ml]]*Table3.110[[#This Row],[CH4 24h, %]]%</f>
        <v>6.2788538938125802</v>
      </c>
      <c r="AL604" s="94">
        <f>Table3.110[[#This Row],[CH4 8-24h, ml]]+Table3.110[[#This Row],[CH4 8h, ml]]</f>
        <v>10.318401980026447</v>
      </c>
      <c r="AM604" s="94">
        <f>(Table3.110[[#This Row],[Net gas 24h, ml]]/Table3.110[[#This Row],[DM Incubated, mg]])*1000</f>
        <v>157.222247582227</v>
      </c>
      <c r="AN604" s="94">
        <f>'3.2 Digest'!X604</f>
        <v>29.812460465701086</v>
      </c>
      <c r="AO604" s="94">
        <f>Table3.110[[#This Row],[Digested feed, mg]]/Table3.110[[#This Row],[Net gas 24h, ml]]</f>
        <v>1.8961985930209537</v>
      </c>
      <c r="AP604" s="94">
        <f>Table3.110[[#This Row],[CH4 8h, ml]]/Table3.110[[#This Row],[Net gas 8h, ml]]%</f>
        <v>13.1</v>
      </c>
      <c r="AQ604" s="94">
        <f>Table3.110[[#This Row],[CH4 24h, ml]]/Table3.110[[#This Row],[Net gas 24h, ml]]%</f>
        <v>14.462688221128923</v>
      </c>
      <c r="AR604" s="94">
        <f>Table3.110[[#This Row],[CH4 24h, ml]]/Table3.110[[#This Row],[DM Incubated, mg]]*1000</f>
        <v>22.738563482068898</v>
      </c>
      <c r="AS604" s="94">
        <f>Table3.110[[#This Row],[CH4 24h, ml]]/Table3.110[[#This Row],[Digested feed, mg]]*1000</f>
        <v>76.272012195133541</v>
      </c>
      <c r="AT604" s="94">
        <f>Table3.110[[#This Row],[CH4 24h, ml]]/'3.2 Digest'!AA604</f>
        <v>-0.3326070809473658</v>
      </c>
      <c r="AU604" s="94">
        <f>((Table3.110[[#This Row],[CH4 24h, ml]]/28.9)*16.04)/Table3.110[[#This Row],[DM Incubated, mg]]*1000</f>
        <v>12.620296133300522</v>
      </c>
      <c r="AV604" s="94">
        <f>((Table3.110[[#This Row],[CH4 24h, ml]]/28.9)*16.04)/Table3.110[[#This Row],[Digested feed, mg]]*1000</f>
        <v>42.332286353285191</v>
      </c>
    </row>
    <row r="605" spans="2:48" s="89" customFormat="1" x14ac:dyDescent="0.35">
      <c r="B605" s="90">
        <f t="shared" si="9"/>
        <v>595</v>
      </c>
      <c r="C605" s="140">
        <v>46055</v>
      </c>
      <c r="D605" s="6" t="s">
        <v>16</v>
      </c>
      <c r="E605" s="6" t="s">
        <v>263</v>
      </c>
      <c r="F605" s="133" t="s">
        <v>264</v>
      </c>
      <c r="G605" s="133" t="s">
        <v>265</v>
      </c>
      <c r="H605" s="133" t="s">
        <v>266</v>
      </c>
      <c r="I605" s="133" t="s">
        <v>22</v>
      </c>
      <c r="J605" s="135" t="s">
        <v>23</v>
      </c>
      <c r="K605" s="135" t="s">
        <v>215</v>
      </c>
      <c r="L605" s="6" t="s">
        <v>262</v>
      </c>
      <c r="M605" s="93">
        <v>28</v>
      </c>
      <c r="N605" s="93">
        <v>62</v>
      </c>
      <c r="O605" s="6">
        <v>2</v>
      </c>
      <c r="P605" s="129">
        <v>2</v>
      </c>
      <c r="Q605" s="6">
        <v>0</v>
      </c>
      <c r="R605" s="112">
        <v>0.50009999999999999</v>
      </c>
      <c r="S605" s="94">
        <f>((Table3.110[[#This Row],[Sample weight, g]]*'2.1. DM'!Q161)/100)*1000</f>
        <v>453.87500703643531</v>
      </c>
      <c r="T605" s="94">
        <f>'3.2 Digest'!W605</f>
        <v>111.27500703643528</v>
      </c>
      <c r="U605" s="117">
        <v>0.34861111111111109</v>
      </c>
      <c r="V605" s="155">
        <v>41</v>
      </c>
      <c r="W605" s="117">
        <v>0.68541666666666667</v>
      </c>
      <c r="X605" s="96">
        <v>73</v>
      </c>
      <c r="Y605" s="96">
        <v>12.9</v>
      </c>
      <c r="Z605" s="155">
        <v>40</v>
      </c>
      <c r="AA605" s="117">
        <v>0.35972222222222222</v>
      </c>
      <c r="AB605" s="155">
        <v>81.5</v>
      </c>
      <c r="AC605" s="155">
        <v>15.5</v>
      </c>
      <c r="AD605" s="96"/>
      <c r="AE605" s="94">
        <f>Table3.110[[#This Row],[Gas 8h, ml]]-Table3.110[[#This Row],[Gas 0h, ml]]</f>
        <v>32</v>
      </c>
      <c r="AF605" s="94">
        <f>Table3.110[[#This Row],[Gas 24h, ml]]-Table3.110[[#This Row],[V8 Push back, ml]]</f>
        <v>41.5</v>
      </c>
      <c r="AG605" s="94">
        <f>Table3.110[[#This Row],[GP 8h, ml]]-(AVERAGE(AE$658,AE$659))*$AG$8</f>
        <v>31.336244932930278</v>
      </c>
      <c r="AH605" s="94">
        <f>Table3.110[[#This Row],[GP 8-24h, ml]]-(AVERAGE(AF$658,AF$659))*$AG$8</f>
        <v>39.50873479879084</v>
      </c>
      <c r="AI605" s="94">
        <f>Table3.110[[#This Row],[Net gas 8-24h, ml]]+Table3.110[[#This Row],[Net gas 8h, ml]]</f>
        <v>70.844979731721111</v>
      </c>
      <c r="AJ605" s="94">
        <f>Table3.110[[#This Row],[Net gas 8h, ml]]*Table3.110[[#This Row],[CH4 8h %]]%</f>
        <v>4.0423755963480064</v>
      </c>
      <c r="AK605" s="94">
        <f>Table3.110[[#This Row],[Net gas 8-24h, ml]]*Table3.110[[#This Row],[CH4 24h, %]]%</f>
        <v>6.1238538938125799</v>
      </c>
      <c r="AL605" s="94">
        <f>Table3.110[[#This Row],[CH4 8-24h, ml]]+Table3.110[[#This Row],[CH4 8h, ml]]</f>
        <v>10.166229490160585</v>
      </c>
      <c r="AM605" s="94">
        <f>(Table3.110[[#This Row],[Net gas 24h, ml]]/Table3.110[[#This Row],[DM Incubated, mg]])*1000</f>
        <v>156.0891845406988</v>
      </c>
      <c r="AN605" s="94">
        <f>'3.2 Digest'!X605</f>
        <v>24.516663246782954</v>
      </c>
      <c r="AO605" s="94">
        <f>Table3.110[[#This Row],[Digested feed, mg]]/Table3.110[[#This Row],[Net gas 24h, ml]]</f>
        <v>1.5706830245109304</v>
      </c>
      <c r="AP605" s="94">
        <f>Table3.110[[#This Row],[CH4 8h, ml]]/Table3.110[[#This Row],[Net gas 8h, ml]]%</f>
        <v>12.9</v>
      </c>
      <c r="AQ605" s="94">
        <f>Table3.110[[#This Row],[CH4 24h, ml]]/Table3.110[[#This Row],[Net gas 24h, ml]]%</f>
        <v>14.349964568637764</v>
      </c>
      <c r="AR605" s="94">
        <f>Table3.110[[#This Row],[CH4 24h, ml]]/Table3.110[[#This Row],[DM Incubated, mg]]*1000</f>
        <v>22.398742677065894</v>
      </c>
      <c r="AS605" s="94">
        <f>Table3.110[[#This Row],[CH4 24h, ml]]/Table3.110[[#This Row],[Digested feed, mg]]*1000</f>
        <v>91.361301705708371</v>
      </c>
      <c r="AT605" s="94">
        <f>Table3.110[[#This Row],[CH4 24h, ml]]/'3.2 Digest'!AA605</f>
        <v>-0.24850995023346023</v>
      </c>
      <c r="AU605" s="94">
        <f>((Table3.110[[#This Row],[CH4 24h, ml]]/28.9)*16.04)/Table3.110[[#This Row],[DM Incubated, mg]]*1000</f>
        <v>12.431689707271174</v>
      </c>
      <c r="AV605" s="94">
        <f>((Table3.110[[#This Row],[CH4 24h, ml]]/28.9)*16.04)/Table3.110[[#This Row],[Digested feed, mg]]*1000</f>
        <v>50.707103092026379</v>
      </c>
    </row>
    <row r="606" spans="2:48" s="89" customFormat="1" x14ac:dyDescent="0.35">
      <c r="B606" s="90">
        <f t="shared" si="9"/>
        <v>596</v>
      </c>
      <c r="C606" s="140">
        <v>46055</v>
      </c>
      <c r="D606" s="6" t="s">
        <v>16</v>
      </c>
      <c r="E606" s="6" t="s">
        <v>263</v>
      </c>
      <c r="F606" s="133" t="s">
        <v>264</v>
      </c>
      <c r="G606" s="133" t="s">
        <v>265</v>
      </c>
      <c r="H606" s="133" t="s">
        <v>266</v>
      </c>
      <c r="I606" s="133" t="s">
        <v>22</v>
      </c>
      <c r="J606" s="135" t="s">
        <v>23</v>
      </c>
      <c r="K606" s="135" t="s">
        <v>215</v>
      </c>
      <c r="L606" s="6" t="s">
        <v>262</v>
      </c>
      <c r="M606" s="93">
        <v>28</v>
      </c>
      <c r="N606" s="93">
        <v>62</v>
      </c>
      <c r="O606" s="6">
        <v>2</v>
      </c>
      <c r="P606" s="129">
        <v>3</v>
      </c>
      <c r="Q606" s="6">
        <v>0</v>
      </c>
      <c r="R606" s="112">
        <v>0.50039999999999996</v>
      </c>
      <c r="S606" s="94">
        <f>((Table3.110[[#This Row],[Sample weight, g]]*'2.1. DM'!Q161)/100)*1000</f>
        <v>454.14727758654715</v>
      </c>
      <c r="T606" s="94">
        <f>'3.2 Digest'!W606</f>
        <v>162.74727758654717</v>
      </c>
      <c r="U606" s="117">
        <v>0.34861111111111109</v>
      </c>
      <c r="V606" s="155">
        <v>41</v>
      </c>
      <c r="W606" s="117">
        <v>0.68541666666666667</v>
      </c>
      <c r="X606" s="96">
        <v>73</v>
      </c>
      <c r="Y606" s="96">
        <v>13.2</v>
      </c>
      <c r="Z606" s="155">
        <v>40.5</v>
      </c>
      <c r="AA606" s="117">
        <v>0.35972222222222222</v>
      </c>
      <c r="AB606" s="155">
        <v>84</v>
      </c>
      <c r="AC606" s="155">
        <v>15.6</v>
      </c>
      <c r="AD606" s="101"/>
      <c r="AE606" s="94">
        <f>Table3.110[[#This Row],[Gas 8h, ml]]-Table3.110[[#This Row],[Gas 0h, ml]]</f>
        <v>32</v>
      </c>
      <c r="AF606" s="94">
        <f>Table3.110[[#This Row],[Gas 24h, ml]]-Table3.110[[#This Row],[V8 Push back, ml]]</f>
        <v>43.5</v>
      </c>
      <c r="AG606" s="94">
        <f>Table3.110[[#This Row],[GP 8h, ml]]-(AVERAGE(AE$658,AE$659))*$AG$8</f>
        <v>31.336244932930278</v>
      </c>
      <c r="AH606" s="94">
        <f>Table3.110[[#This Row],[GP 8-24h, ml]]-(AVERAGE(AF$658,AF$659))*$AG$8</f>
        <v>41.50873479879084</v>
      </c>
      <c r="AI606" s="94">
        <f>Table3.110[[#This Row],[Net gas 8-24h, ml]]+Table3.110[[#This Row],[Net gas 8h, ml]]</f>
        <v>72.844979731721111</v>
      </c>
      <c r="AJ606" s="94">
        <f>Table3.110[[#This Row],[Net gas 8h, ml]]*Table3.110[[#This Row],[CH4 8h %]]%</f>
        <v>4.1363843311467967</v>
      </c>
      <c r="AK606" s="94">
        <f>Table3.110[[#This Row],[Net gas 8-24h, ml]]*Table3.110[[#This Row],[CH4 24h, %]]%</f>
        <v>6.4753626286113715</v>
      </c>
      <c r="AL606" s="94">
        <f>Table3.110[[#This Row],[CH4 8-24h, ml]]+Table3.110[[#This Row],[CH4 8h, ml]]</f>
        <v>10.611746959758168</v>
      </c>
      <c r="AM606" s="94">
        <f>(Table3.110[[#This Row],[Net gas 24h, ml]]/Table3.110[[#This Row],[DM Incubated, mg]])*1000</f>
        <v>160.39946362518708</v>
      </c>
      <c r="AN606" s="94">
        <f>'3.2 Digest'!X606</f>
        <v>35.835792840469537</v>
      </c>
      <c r="AO606" s="94">
        <f>Table3.110[[#This Row],[Digested feed, mg]]/Table3.110[[#This Row],[Net gas 24h, ml]]</f>
        <v>2.2341591443353392</v>
      </c>
      <c r="AP606" s="94">
        <f>Table3.110[[#This Row],[CH4 8h, ml]]/Table3.110[[#This Row],[Net gas 8h, ml]]%</f>
        <v>13.2</v>
      </c>
      <c r="AQ606" s="94">
        <f>Table3.110[[#This Row],[CH4 24h, ml]]/Table3.110[[#This Row],[Net gas 24h, ml]]%</f>
        <v>14.567574867670903</v>
      </c>
      <c r="AR606" s="94">
        <f>Table3.110[[#This Row],[CH4 24h, ml]]/Table3.110[[#This Row],[DM Incubated, mg]]*1000</f>
        <v>23.366311950941686</v>
      </c>
      <c r="AS606" s="94">
        <f>Table3.110[[#This Row],[CH4 24h, ml]]/Table3.110[[#This Row],[Digested feed, mg]]*1000</f>
        <v>65.203836998839876</v>
      </c>
      <c r="AT606" s="94">
        <f>Table3.110[[#This Row],[CH4 24h, ml]]/'3.2 Digest'!AA606</f>
        <v>-0.53652334706279659</v>
      </c>
      <c r="AU606" s="94">
        <f>((Table3.110[[#This Row],[CH4 24h, ml]]/28.9)*16.04)/Table3.110[[#This Row],[DM Incubated, mg]]*1000</f>
        <v>12.968707394225074</v>
      </c>
      <c r="AV606" s="94">
        <f>((Table3.110[[#This Row],[CH4 24h, ml]]/28.9)*16.04)/Table3.110[[#This Row],[Digested feed, mg]]*1000</f>
        <v>36.189257628421849</v>
      </c>
    </row>
    <row r="607" spans="2:48" s="89" customFormat="1" x14ac:dyDescent="0.35">
      <c r="B607" s="90">
        <f t="shared" si="9"/>
        <v>597</v>
      </c>
      <c r="C607" s="140">
        <v>46055</v>
      </c>
      <c r="D607" s="6" t="s">
        <v>16</v>
      </c>
      <c r="E607" s="6" t="s">
        <v>268</v>
      </c>
      <c r="F607" s="133" t="s">
        <v>269</v>
      </c>
      <c r="G607" s="133" t="s">
        <v>270</v>
      </c>
      <c r="H607" s="133" t="s">
        <v>271</v>
      </c>
      <c r="I607" s="133" t="s">
        <v>22</v>
      </c>
      <c r="J607" s="135" t="s">
        <v>23</v>
      </c>
      <c r="K607" s="135" t="s">
        <v>215</v>
      </c>
      <c r="L607" s="6" t="s">
        <v>267</v>
      </c>
      <c r="M607" s="93">
        <v>28</v>
      </c>
      <c r="N607" s="93">
        <v>62</v>
      </c>
      <c r="O607" s="6">
        <v>2</v>
      </c>
      <c r="P607" s="129">
        <v>1</v>
      </c>
      <c r="Q607" s="6">
        <v>0</v>
      </c>
      <c r="R607" s="112">
        <v>0.50029999999999997</v>
      </c>
      <c r="S607" s="94">
        <f>((Table3.110[[#This Row],[Sample weight, g]]*'2.1. DM'!Q163)/100)*1000</f>
        <v>456.84349195241424</v>
      </c>
      <c r="T607" s="94">
        <f>'3.2 Digest'!W607</f>
        <v>238.84349195241427</v>
      </c>
      <c r="U607" s="117">
        <v>0.34861111111111109</v>
      </c>
      <c r="V607" s="155">
        <v>41</v>
      </c>
      <c r="W607" s="117">
        <v>0.68611111111111112</v>
      </c>
      <c r="X607" s="96">
        <v>86.5</v>
      </c>
      <c r="Y607" s="96">
        <v>11.9</v>
      </c>
      <c r="Z607" s="155">
        <v>40</v>
      </c>
      <c r="AA607" s="117">
        <v>0.36041666666666666</v>
      </c>
      <c r="AB607" s="155">
        <v>95</v>
      </c>
      <c r="AC607" s="155">
        <v>14.1</v>
      </c>
      <c r="AD607" s="96"/>
      <c r="AE607" s="94">
        <f>Table3.110[[#This Row],[Gas 8h, ml]]-Table3.110[[#This Row],[Gas 0h, ml]]</f>
        <v>45.5</v>
      </c>
      <c r="AF607" s="94">
        <f>Table3.110[[#This Row],[Gas 24h, ml]]-Table3.110[[#This Row],[V8 Push back, ml]]</f>
        <v>55</v>
      </c>
      <c r="AG607" s="94">
        <f>Table3.110[[#This Row],[GP 8h, ml]]-(AVERAGE(AE$658,AE$659))*$AG$8</f>
        <v>44.836244932930278</v>
      </c>
      <c r="AH607" s="94">
        <f>Table3.110[[#This Row],[GP 8-24h, ml]]-(AVERAGE(AF$658,AF$659))*$AG$8</f>
        <v>53.00873479879084</v>
      </c>
      <c r="AI607" s="94">
        <f>Table3.110[[#This Row],[Net gas 8-24h, ml]]+Table3.110[[#This Row],[Net gas 8h, ml]]</f>
        <v>97.844979731721111</v>
      </c>
      <c r="AJ607" s="94">
        <f>Table3.110[[#This Row],[Net gas 8h, ml]]*Table3.110[[#This Row],[CH4 8h %]]%</f>
        <v>5.3355131470187036</v>
      </c>
      <c r="AK607" s="94">
        <f>Table3.110[[#This Row],[Net gas 8-24h, ml]]*Table3.110[[#This Row],[CH4 24h, %]]%</f>
        <v>7.474231606629508</v>
      </c>
      <c r="AL607" s="94">
        <f>Table3.110[[#This Row],[CH4 8-24h, ml]]+Table3.110[[#This Row],[CH4 8h, ml]]</f>
        <v>12.809744753648211</v>
      </c>
      <c r="AM607" s="94">
        <f>(Table3.110[[#This Row],[Net gas 24h, ml]]/Table3.110[[#This Row],[DM Incubated, mg]])*1000</f>
        <v>214.17614884598783</v>
      </c>
      <c r="AN607" s="94">
        <f>'3.2 Digest'!X607</f>
        <v>52.281250835306345</v>
      </c>
      <c r="AO607" s="94">
        <f>Table3.110[[#This Row],[Digested feed, mg]]/Table3.110[[#This Row],[Net gas 24h, ml]]</f>
        <v>2.4410398224548029</v>
      </c>
      <c r="AP607" s="94">
        <f>Table3.110[[#This Row],[CH4 8h, ml]]/Table3.110[[#This Row],[Net gas 8h, ml]]%</f>
        <v>11.9</v>
      </c>
      <c r="AQ607" s="94">
        <f>Table3.110[[#This Row],[CH4 24h, ml]]/Table3.110[[#This Row],[Net gas 24h, ml]]%</f>
        <v>13.091877364348129</v>
      </c>
      <c r="AR607" s="94">
        <f>Table3.110[[#This Row],[CH4 24h, ml]]/Table3.110[[#This Row],[DM Incubated, mg]]*1000</f>
        <v>28.039678750600434</v>
      </c>
      <c r="AS607" s="94">
        <f>Table3.110[[#This Row],[CH4 24h, ml]]/Table3.110[[#This Row],[Digested feed, mg]]*1000</f>
        <v>53.632379299664343</v>
      </c>
      <c r="AT607" s="94">
        <f>Table3.110[[#This Row],[CH4 24h, ml]]/'3.2 Digest'!AA607</f>
        <v>0.98186503576334694</v>
      </c>
      <c r="AU607" s="94">
        <f>((Table3.110[[#This Row],[CH4 24h, ml]]/28.9)*16.04)/Table3.110[[#This Row],[DM Incubated, mg]]*1000</f>
        <v>15.56250682213256</v>
      </c>
      <c r="AV607" s="94">
        <f>((Table3.110[[#This Row],[CH4 24h, ml]]/28.9)*16.04)/Table3.110[[#This Row],[Digested feed, mg]]*1000</f>
        <v>29.766898407149345</v>
      </c>
    </row>
    <row r="608" spans="2:48" s="89" customFormat="1" x14ac:dyDescent="0.35">
      <c r="B608" s="90">
        <f t="shared" si="9"/>
        <v>598</v>
      </c>
      <c r="C608" s="140">
        <v>46055</v>
      </c>
      <c r="D608" s="6" t="s">
        <v>16</v>
      </c>
      <c r="E608" s="6" t="s">
        <v>268</v>
      </c>
      <c r="F608" s="133" t="s">
        <v>269</v>
      </c>
      <c r="G608" s="133" t="s">
        <v>270</v>
      </c>
      <c r="H608" s="133" t="s">
        <v>271</v>
      </c>
      <c r="I608" s="133" t="s">
        <v>22</v>
      </c>
      <c r="J608" s="135" t="s">
        <v>23</v>
      </c>
      <c r="K608" s="135" t="s">
        <v>215</v>
      </c>
      <c r="L608" s="6" t="s">
        <v>267</v>
      </c>
      <c r="M608" s="93">
        <v>28</v>
      </c>
      <c r="N608" s="93">
        <v>62</v>
      </c>
      <c r="O608" s="6">
        <v>2</v>
      </c>
      <c r="P608" s="129">
        <v>2</v>
      </c>
      <c r="Q608" s="6">
        <v>0</v>
      </c>
      <c r="R608" s="112">
        <v>0.50009999999999999</v>
      </c>
      <c r="S608" s="94">
        <f>((Table3.110[[#This Row],[Sample weight, g]]*'2.1. DM'!Q163)/100)*1000</f>
        <v>456.66086413232534</v>
      </c>
      <c r="T608" s="94">
        <f>'3.2 Digest'!W608</f>
        <v>47.860864132325275</v>
      </c>
      <c r="U608" s="117">
        <v>0.34930555555555554</v>
      </c>
      <c r="V608" s="155">
        <v>41</v>
      </c>
      <c r="W608" s="117">
        <v>0.68611111111111112</v>
      </c>
      <c r="X608" s="96">
        <v>87.5</v>
      </c>
      <c r="Y608" s="96">
        <v>11.9</v>
      </c>
      <c r="Z608" s="155">
        <v>40.5</v>
      </c>
      <c r="AA608" s="117">
        <v>0.36041666666666666</v>
      </c>
      <c r="AB608" s="155">
        <v>95</v>
      </c>
      <c r="AC608" s="155">
        <v>14.1</v>
      </c>
      <c r="AD608" s="96"/>
      <c r="AE608" s="94">
        <f>Table3.110[[#This Row],[Gas 8h, ml]]-Table3.110[[#This Row],[Gas 0h, ml]]</f>
        <v>46.5</v>
      </c>
      <c r="AF608" s="94">
        <f>Table3.110[[#This Row],[Gas 24h, ml]]-Table3.110[[#This Row],[V8 Push back, ml]]</f>
        <v>54.5</v>
      </c>
      <c r="AG608" s="94">
        <f>Table3.110[[#This Row],[GP 8h, ml]]-(AVERAGE(AE$658,AE$659))*$AG$8</f>
        <v>45.836244932930278</v>
      </c>
      <c r="AH608" s="94">
        <f>Table3.110[[#This Row],[GP 8-24h, ml]]-(AVERAGE(AF$658,AF$659))*$AG$8</f>
        <v>52.50873479879084</v>
      </c>
      <c r="AI608" s="94">
        <f>Table3.110[[#This Row],[Net gas 8-24h, ml]]+Table3.110[[#This Row],[Net gas 8h, ml]]</f>
        <v>98.344979731721111</v>
      </c>
      <c r="AJ608" s="94">
        <f>Table3.110[[#This Row],[Net gas 8h, ml]]*Table3.110[[#This Row],[CH4 8h %]]%</f>
        <v>5.4545131470187034</v>
      </c>
      <c r="AK608" s="94">
        <f>Table3.110[[#This Row],[Net gas 8-24h, ml]]*Table3.110[[#This Row],[CH4 24h, %]]%</f>
        <v>7.403731606629508</v>
      </c>
      <c r="AL608" s="94">
        <f>Table3.110[[#This Row],[CH4 8-24h, ml]]+Table3.110[[#This Row],[CH4 8h, ml]]</f>
        <v>12.858244753648211</v>
      </c>
      <c r="AM608" s="94">
        <f>(Table3.110[[#This Row],[Net gas 24h, ml]]/Table3.110[[#This Row],[DM Incubated, mg]])*1000</f>
        <v>215.35670659797105</v>
      </c>
      <c r="AN608" s="94">
        <f>'3.2 Digest'!X608</f>
        <v>10.480614366475855</v>
      </c>
      <c r="AO608" s="94">
        <f>Table3.110[[#This Row],[Digested feed, mg]]/Table3.110[[#This Row],[Net gas 24h, ml]]</f>
        <v>0.48666301282370172</v>
      </c>
      <c r="AP608" s="94">
        <f>Table3.110[[#This Row],[CH4 8h, ml]]/Table3.110[[#This Row],[Net gas 8h, ml]]%</f>
        <v>11.900000000000002</v>
      </c>
      <c r="AQ608" s="94">
        <f>Table3.110[[#This Row],[CH4 24h, ml]]/Table3.110[[#This Row],[Net gas 24h, ml]]%</f>
        <v>13.074632572729884</v>
      </c>
      <c r="AR608" s="94">
        <f>Table3.110[[#This Row],[CH4 24h, ml]]/Table3.110[[#This Row],[DM Incubated, mg]]*1000</f>
        <v>28.157098108416651</v>
      </c>
      <c r="AS608" s="94">
        <f>Table3.110[[#This Row],[CH4 24h, ml]]/Table3.110[[#This Row],[Digested feed, mg]]*1000</f>
        <v>268.65885074907663</v>
      </c>
      <c r="AT608" s="94">
        <f>Table3.110[[#This Row],[CH4 24h, ml]]/'3.2 Digest'!AA608</f>
        <v>-0.20370055924761898</v>
      </c>
      <c r="AU608" s="94">
        <f>((Table3.110[[#This Row],[CH4 24h, ml]]/28.9)*16.04)/Table3.110[[#This Row],[DM Incubated, mg]]*1000</f>
        <v>15.62767659719734</v>
      </c>
      <c r="AV608" s="94">
        <f>((Table3.110[[#This Row],[CH4 24h, ml]]/28.9)*16.04)/Table3.110[[#This Row],[Digested feed, mg]]*1000</f>
        <v>149.1103102427401</v>
      </c>
    </row>
    <row r="609" spans="2:48" s="89" customFormat="1" x14ac:dyDescent="0.35">
      <c r="B609" s="90">
        <f t="shared" si="9"/>
        <v>599</v>
      </c>
      <c r="C609" s="140">
        <v>46055</v>
      </c>
      <c r="D609" s="6" t="s">
        <v>16</v>
      </c>
      <c r="E609" s="6" t="s">
        <v>268</v>
      </c>
      <c r="F609" s="133" t="s">
        <v>269</v>
      </c>
      <c r="G609" s="133" t="s">
        <v>270</v>
      </c>
      <c r="H609" s="133" t="s">
        <v>271</v>
      </c>
      <c r="I609" s="133" t="s">
        <v>22</v>
      </c>
      <c r="J609" s="135" t="s">
        <v>23</v>
      </c>
      <c r="K609" s="135" t="s">
        <v>215</v>
      </c>
      <c r="L609" s="6" t="s">
        <v>267</v>
      </c>
      <c r="M609" s="93">
        <v>28</v>
      </c>
      <c r="N609" s="93">
        <v>62</v>
      </c>
      <c r="O609" s="6">
        <v>2</v>
      </c>
      <c r="P609" s="129">
        <v>3</v>
      </c>
      <c r="Q609" s="6">
        <v>0</v>
      </c>
      <c r="R609" s="112">
        <v>0.50060000000000004</v>
      </c>
      <c r="S609" s="94">
        <f>((Table3.110[[#This Row],[Sample weight, g]]*'2.1. DM'!Q163)/100)*1000</f>
        <v>457.11743368254764</v>
      </c>
      <c r="T609" s="94">
        <f>'3.2 Digest'!W609</f>
        <v>200.31743368254763</v>
      </c>
      <c r="U609" s="117">
        <v>0.34930555555555554</v>
      </c>
      <c r="V609" s="155">
        <v>40.5</v>
      </c>
      <c r="W609" s="117">
        <v>0.68680555555555556</v>
      </c>
      <c r="X609" s="96">
        <v>83.5</v>
      </c>
      <c r="Y609" s="96">
        <v>11.7</v>
      </c>
      <c r="Z609" s="155">
        <v>40</v>
      </c>
      <c r="AA609" s="117">
        <v>0.3611111111111111</v>
      </c>
      <c r="AB609" s="155">
        <v>94</v>
      </c>
      <c r="AC609" s="155">
        <v>14.1</v>
      </c>
      <c r="AD609" s="96"/>
      <c r="AE609" s="94">
        <f>Table3.110[[#This Row],[Gas 8h, ml]]-Table3.110[[#This Row],[Gas 0h, ml]]</f>
        <v>43</v>
      </c>
      <c r="AF609" s="94">
        <f>Table3.110[[#This Row],[Gas 24h, ml]]-Table3.110[[#This Row],[V8 Push back, ml]]</f>
        <v>54</v>
      </c>
      <c r="AG609" s="94">
        <f>Table3.110[[#This Row],[GP 8h, ml]]-(AVERAGE(AE$658,AE$659))*$AG$8</f>
        <v>42.336244932930278</v>
      </c>
      <c r="AH609" s="94">
        <f>Table3.110[[#This Row],[GP 8-24h, ml]]-(AVERAGE(AF$658,AF$659))*$AG$8</f>
        <v>52.00873479879084</v>
      </c>
      <c r="AI609" s="94">
        <f>Table3.110[[#This Row],[Net gas 8-24h, ml]]+Table3.110[[#This Row],[Net gas 8h, ml]]</f>
        <v>94.344979731721111</v>
      </c>
      <c r="AJ609" s="94">
        <f>Table3.110[[#This Row],[Net gas 8h, ml]]*Table3.110[[#This Row],[CH4 8h %]]%</f>
        <v>4.9533406571528422</v>
      </c>
      <c r="AK609" s="94">
        <f>Table3.110[[#This Row],[Net gas 8-24h, ml]]*Table3.110[[#This Row],[CH4 24h, %]]%</f>
        <v>7.333231606629508</v>
      </c>
      <c r="AL609" s="94">
        <f>Table3.110[[#This Row],[CH4 8-24h, ml]]+Table3.110[[#This Row],[CH4 8h, ml]]</f>
        <v>12.28657226378235</v>
      </c>
      <c r="AM609" s="94">
        <f>(Table3.110[[#This Row],[Net gas 24h, ml]]/Table3.110[[#This Row],[DM Incubated, mg]])*1000</f>
        <v>206.39112136169467</v>
      </c>
      <c r="AN609" s="94">
        <f>'3.2 Digest'!X609</f>
        <v>43.821875719940536</v>
      </c>
      <c r="AO609" s="94">
        <f>Table3.110[[#This Row],[Digested feed, mg]]/Table3.110[[#This Row],[Net gas 24h, ml]]</f>
        <v>2.1232442282797583</v>
      </c>
      <c r="AP609" s="94">
        <f>Table3.110[[#This Row],[CH4 8h, ml]]/Table3.110[[#This Row],[Net gas 8h, ml]]%</f>
        <v>11.7</v>
      </c>
      <c r="AQ609" s="94">
        <f>Table3.110[[#This Row],[CH4 24h, ml]]/Table3.110[[#This Row],[Net gas 24h, ml]]%</f>
        <v>13.023027084981504</v>
      </c>
      <c r="AR609" s="94">
        <f>Table3.110[[#This Row],[CH4 24h, ml]]/Table3.110[[#This Row],[DM Incubated, mg]]*1000</f>
        <v>26.878371635930545</v>
      </c>
      <c r="AS609" s="94">
        <f>Table3.110[[#This Row],[CH4 24h, ml]]/Table3.110[[#This Row],[Digested feed, mg]]*1000</f>
        <v>61.335511532428349</v>
      </c>
      <c r="AT609" s="94">
        <f>Table3.110[[#This Row],[CH4 24h, ml]]/'3.2 Digest'!AA609</f>
        <v>-5.187639481699744</v>
      </c>
      <c r="AU609" s="94">
        <f>((Table3.110[[#This Row],[CH4 24h, ml]]/28.9)*16.04)/Table3.110[[#This Row],[DM Incubated, mg]]*1000</f>
        <v>14.917961281672177</v>
      </c>
      <c r="AV609" s="94">
        <f>((Table3.110[[#This Row],[CH4 24h, ml]]/28.9)*16.04)/Table3.110[[#This Row],[Digested feed, mg]]*1000</f>
        <v>34.042270068517325</v>
      </c>
    </row>
    <row r="610" spans="2:48" s="89" customFormat="1" x14ac:dyDescent="0.35">
      <c r="B610" s="90">
        <f t="shared" si="9"/>
        <v>600</v>
      </c>
      <c r="C610" s="140">
        <v>46055</v>
      </c>
      <c r="D610" s="6" t="s">
        <v>16</v>
      </c>
      <c r="E610" s="6" t="s">
        <v>273</v>
      </c>
      <c r="F610" s="133" t="s">
        <v>235</v>
      </c>
      <c r="G610" s="133" t="s">
        <v>274</v>
      </c>
      <c r="H610" s="133" t="s">
        <v>275</v>
      </c>
      <c r="I610" s="133" t="s">
        <v>22</v>
      </c>
      <c r="J610" s="135" t="s">
        <v>23</v>
      </c>
      <c r="K610" s="135" t="s">
        <v>215</v>
      </c>
      <c r="L610" s="6" t="s">
        <v>272</v>
      </c>
      <c r="M610" s="93">
        <v>28</v>
      </c>
      <c r="N610" s="93">
        <v>62</v>
      </c>
      <c r="O610" s="6">
        <v>2</v>
      </c>
      <c r="P610" s="129">
        <v>1</v>
      </c>
      <c r="Q610" s="6">
        <v>0</v>
      </c>
      <c r="R610" s="112">
        <v>0.50019999999999998</v>
      </c>
      <c r="S610" s="258">
        <f>((Table3.110[[#This Row],[Sample weight, g]]*'2.1. DM'!Q165)/100)*1000</f>
        <v>451.45794322967731</v>
      </c>
      <c r="T610" s="94">
        <f>'3.2 Digest'!W610</f>
        <v>170.25794322967732</v>
      </c>
      <c r="U610" s="117">
        <v>0.34930555555555554</v>
      </c>
      <c r="V610" s="155">
        <v>41.5</v>
      </c>
      <c r="W610" s="117">
        <v>0.6875</v>
      </c>
      <c r="X610" s="96">
        <v>76.5</v>
      </c>
      <c r="Y610" s="96">
        <v>12.2</v>
      </c>
      <c r="Z610" s="155">
        <v>40.5</v>
      </c>
      <c r="AA610" s="117">
        <v>0.3611111111111111</v>
      </c>
      <c r="AB610" s="155">
        <v>82.5</v>
      </c>
      <c r="AC610" s="155">
        <v>17.2</v>
      </c>
      <c r="AD610" s="96"/>
      <c r="AE610" s="94">
        <f>Table3.110[[#This Row],[Gas 8h, ml]]-Table3.110[[#This Row],[Gas 0h, ml]]</f>
        <v>35</v>
      </c>
      <c r="AF610" s="94">
        <f>Table3.110[[#This Row],[Gas 24h, ml]]-Table3.110[[#This Row],[V8 Push back, ml]]</f>
        <v>42</v>
      </c>
      <c r="AG610" s="94">
        <f>Table3.110[[#This Row],[GP 8h, ml]]-(AVERAGE(AE$658,AE$659))*$AG$8</f>
        <v>34.336244932930278</v>
      </c>
      <c r="AH610" s="94">
        <f>Table3.110[[#This Row],[GP 8-24h, ml]]-(AVERAGE(AF$658,AF$659))*$AG$8</f>
        <v>40.00873479879084</v>
      </c>
      <c r="AI610" s="94">
        <f>Table3.110[[#This Row],[Net gas 8-24h, ml]]+Table3.110[[#This Row],[Net gas 8h, ml]]</f>
        <v>74.344979731721111</v>
      </c>
      <c r="AJ610" s="94">
        <f>Table3.110[[#This Row],[Net gas 8h, ml]]*Table3.110[[#This Row],[CH4 8h %]]%</f>
        <v>4.189021881817494</v>
      </c>
      <c r="AK610" s="94">
        <f>Table3.110[[#This Row],[Net gas 8-24h, ml]]*Table3.110[[#This Row],[CH4 24h, %]]%</f>
        <v>6.8815023853920243</v>
      </c>
      <c r="AL610" s="94">
        <f>Table3.110[[#This Row],[CH4 8-24h, ml]]+Table3.110[[#This Row],[CH4 8h, ml]]</f>
        <v>11.070524267209517</v>
      </c>
      <c r="AM610" s="94">
        <f>(Table3.110[[#This Row],[Net gas 24h, ml]]/Table3.110[[#This Row],[DM Incubated, mg]])*1000</f>
        <v>164.67753164307138</v>
      </c>
      <c r="AN610" s="94">
        <f>'3.2 Digest'!X610</f>
        <v>37.712913413743905</v>
      </c>
      <c r="AO610" s="94">
        <f>Table3.110[[#This Row],[Digested feed, mg]]/Table3.110[[#This Row],[Net gas 24h, ml]]</f>
        <v>2.2901067946223757</v>
      </c>
      <c r="AP610" s="94">
        <f>Table3.110[[#This Row],[CH4 8h, ml]]/Table3.110[[#This Row],[Net gas 8h, ml]]%</f>
        <v>12.200000000000001</v>
      </c>
      <c r="AQ610" s="94">
        <f>Table3.110[[#This Row],[CH4 24h, ml]]/Table3.110[[#This Row],[Net gas 24h, ml]]%</f>
        <v>14.89074892098734</v>
      </c>
      <c r="AR610" s="94">
        <f>Table3.110[[#This Row],[CH4 24h, ml]]/Table3.110[[#This Row],[DM Incubated, mg]]*1000</f>
        <v>24.521717766249235</v>
      </c>
      <c r="AS610" s="94">
        <f>Table3.110[[#This Row],[CH4 24h, ml]]/Table3.110[[#This Row],[Digested feed, mg]]*1000</f>
        <v>65.022072140713121</v>
      </c>
      <c r="AT610" s="94">
        <f>Table3.110[[#This Row],[CH4 24h, ml]]/'3.2 Digest'!AA610</f>
        <v>-0.55669694541313985</v>
      </c>
      <c r="AU610" s="94">
        <f>((Table3.110[[#This Row],[CH4 24h, ml]]/28.9)*16.04)/Table3.110[[#This Row],[DM Incubated, mg]]*1000</f>
        <v>13.609977611440753</v>
      </c>
      <c r="AV610" s="94">
        <f>((Table3.110[[#This Row],[CH4 24h, ml]]/28.9)*16.04)/Table3.110[[#This Row],[Digested feed, mg]]*1000</f>
        <v>36.088374987440773</v>
      </c>
    </row>
    <row r="611" spans="2:48" s="89" customFormat="1" x14ac:dyDescent="0.35">
      <c r="B611" s="90">
        <f t="shared" si="9"/>
        <v>601</v>
      </c>
      <c r="C611" s="140">
        <v>46055</v>
      </c>
      <c r="D611" s="6" t="s">
        <v>16</v>
      </c>
      <c r="E611" s="6" t="s">
        <v>273</v>
      </c>
      <c r="F611" s="133" t="s">
        <v>235</v>
      </c>
      <c r="G611" s="133" t="s">
        <v>274</v>
      </c>
      <c r="H611" s="133" t="s">
        <v>275</v>
      </c>
      <c r="I611" s="133" t="s">
        <v>22</v>
      </c>
      <c r="J611" s="135" t="s">
        <v>23</v>
      </c>
      <c r="K611" s="135" t="s">
        <v>215</v>
      </c>
      <c r="L611" s="6" t="s">
        <v>272</v>
      </c>
      <c r="M611" s="93">
        <v>28</v>
      </c>
      <c r="N611" s="93">
        <v>62</v>
      </c>
      <c r="O611" s="6">
        <v>2</v>
      </c>
      <c r="P611" s="129">
        <v>2</v>
      </c>
      <c r="Q611" s="6">
        <v>0</v>
      </c>
      <c r="R611" s="112">
        <v>0.50039999999999996</v>
      </c>
      <c r="S611" s="94">
        <f>((Table3.110[[#This Row],[Sample weight, g]]*'2.1. DM'!Q165)/100)*1000</f>
        <v>451.63845420257996</v>
      </c>
      <c r="T611" s="94">
        <f>'3.2 Digest'!W611</f>
        <v>160.83845420258001</v>
      </c>
      <c r="U611" s="117">
        <v>0.35</v>
      </c>
      <c r="V611" s="155">
        <v>40.5</v>
      </c>
      <c r="W611" s="117">
        <v>0.6875</v>
      </c>
      <c r="X611" s="96">
        <v>74.5</v>
      </c>
      <c r="Y611" s="96">
        <v>12.4</v>
      </c>
      <c r="Z611" s="155">
        <v>40</v>
      </c>
      <c r="AA611" s="117">
        <v>0.36180555555555555</v>
      </c>
      <c r="AB611" s="155">
        <v>82.5</v>
      </c>
      <c r="AC611" s="155">
        <v>17.3</v>
      </c>
      <c r="AD611" s="96"/>
      <c r="AE611" s="94">
        <f>Table3.110[[#This Row],[Gas 8h, ml]]-Table3.110[[#This Row],[Gas 0h, ml]]</f>
        <v>34</v>
      </c>
      <c r="AF611" s="94">
        <f>Table3.110[[#This Row],[Gas 24h, ml]]-Table3.110[[#This Row],[V8 Push back, ml]]</f>
        <v>42.5</v>
      </c>
      <c r="AG611" s="94">
        <f>Table3.110[[#This Row],[GP 8h, ml]]-(AVERAGE(AE$658,AE$659))*$AG$8</f>
        <v>33.336244932930278</v>
      </c>
      <c r="AH611" s="94">
        <f>Table3.110[[#This Row],[GP 8-24h, ml]]-(AVERAGE(AF$658,AF$659))*$AG$8</f>
        <v>40.50873479879084</v>
      </c>
      <c r="AI611" s="94">
        <f>Table3.110[[#This Row],[Net gas 8-24h, ml]]+Table3.110[[#This Row],[Net gas 8h, ml]]</f>
        <v>73.844979731721111</v>
      </c>
      <c r="AJ611" s="94">
        <f>Table3.110[[#This Row],[Net gas 8h, ml]]*Table3.110[[#This Row],[CH4 8h %]]%</f>
        <v>4.1336943716833545</v>
      </c>
      <c r="AK611" s="94">
        <f>Table3.110[[#This Row],[Net gas 8-24h, ml]]*Table3.110[[#This Row],[CH4 24h, %]]%</f>
        <v>7.0080111201908162</v>
      </c>
      <c r="AL611" s="94">
        <f>Table3.110[[#This Row],[CH4 8-24h, ml]]+Table3.110[[#This Row],[CH4 8h, ml]]</f>
        <v>11.14170549187417</v>
      </c>
      <c r="AM611" s="94">
        <f>(Table3.110[[#This Row],[Net gas 24h, ml]]/Table3.110[[#This Row],[DM Incubated, mg]])*1000</f>
        <v>163.5046330634157</v>
      </c>
      <c r="AN611" s="94">
        <f>'3.2 Digest'!X611</f>
        <v>35.612214306808518</v>
      </c>
      <c r="AO611" s="94">
        <f>Table3.110[[#This Row],[Digested feed, mg]]/Table3.110[[#This Row],[Net gas 24h, ml]]</f>
        <v>2.1780553639110782</v>
      </c>
      <c r="AP611" s="94">
        <f>Table3.110[[#This Row],[CH4 8h, ml]]/Table3.110[[#This Row],[Net gas 8h, ml]]%</f>
        <v>12.4</v>
      </c>
      <c r="AQ611" s="94">
        <f>Table3.110[[#This Row],[CH4 24h, ml]]/Table3.110[[#This Row],[Net gas 24h, ml]]%</f>
        <v>15.087966077520772</v>
      </c>
      <c r="AR611" s="94">
        <f>Table3.110[[#This Row],[CH4 24h, ml]]/Table3.110[[#This Row],[DM Incubated, mg]]*1000</f>
        <v>24.669523571782971</v>
      </c>
      <c r="AS611" s="94">
        <f>Table3.110[[#This Row],[CH4 24h, ml]]/Table3.110[[#This Row],[Digested feed, mg]]*1000</f>
        <v>69.272647185734058</v>
      </c>
      <c r="AT611" s="94">
        <f>Table3.110[[#This Row],[CH4 24h, ml]]/'3.2 Digest'!AA611</f>
        <v>-0.46560787392280267</v>
      </c>
      <c r="AU611" s="94">
        <f>((Table3.110[[#This Row],[CH4 24h, ml]]/28.9)*16.04)/Table3.110[[#This Row],[DM Incubated, mg]]*1000</f>
        <v>13.692012390705843</v>
      </c>
      <c r="AV611" s="94">
        <f>((Table3.110[[#This Row],[CH4 24h, ml]]/28.9)*16.04)/Table3.110[[#This Row],[Digested feed, mg]]*1000</f>
        <v>38.447517676788038</v>
      </c>
    </row>
    <row r="612" spans="2:48" s="89" customFormat="1" x14ac:dyDescent="0.35">
      <c r="B612" s="90">
        <f t="shared" si="9"/>
        <v>602</v>
      </c>
      <c r="C612" s="140">
        <v>46055</v>
      </c>
      <c r="D612" s="6" t="s">
        <v>16</v>
      </c>
      <c r="E612" s="6" t="s">
        <v>273</v>
      </c>
      <c r="F612" s="133" t="s">
        <v>235</v>
      </c>
      <c r="G612" s="133" t="s">
        <v>274</v>
      </c>
      <c r="H612" s="133" t="s">
        <v>275</v>
      </c>
      <c r="I612" s="133" t="s">
        <v>22</v>
      </c>
      <c r="J612" s="135" t="s">
        <v>23</v>
      </c>
      <c r="K612" s="135" t="s">
        <v>215</v>
      </c>
      <c r="L612" s="6" t="s">
        <v>272</v>
      </c>
      <c r="M612" s="93">
        <v>28</v>
      </c>
      <c r="N612" s="93">
        <v>62</v>
      </c>
      <c r="O612" s="6">
        <v>2</v>
      </c>
      <c r="P612" s="129">
        <v>3</v>
      </c>
      <c r="Q612" s="6">
        <v>0</v>
      </c>
      <c r="R612" s="112">
        <v>0.50009999999999999</v>
      </c>
      <c r="S612" s="94">
        <f>((Table3.110[[#This Row],[Sample weight, g]]*'2.1. DM'!Q165)/100)*1000</f>
        <v>451.36768774322599</v>
      </c>
      <c r="T612" s="94">
        <f>'3.2 Digest'!W612</f>
        <v>186.66768774322594</v>
      </c>
      <c r="U612" s="117">
        <v>0.35</v>
      </c>
      <c r="V612" s="155">
        <v>40</v>
      </c>
      <c r="W612" s="117">
        <v>0.68819444444444444</v>
      </c>
      <c r="X612" s="96">
        <v>74</v>
      </c>
      <c r="Y612" s="96">
        <v>12.5</v>
      </c>
      <c r="Z612" s="155">
        <v>40</v>
      </c>
      <c r="AA612" s="117">
        <v>0.36249999999999999</v>
      </c>
      <c r="AB612" s="155">
        <v>81.5</v>
      </c>
      <c r="AC612" s="155">
        <v>17.3</v>
      </c>
      <c r="AD612" s="96"/>
      <c r="AE612" s="94">
        <f>Table3.110[[#This Row],[Gas 8h, ml]]-Table3.110[[#This Row],[Gas 0h, ml]]</f>
        <v>34</v>
      </c>
      <c r="AF612" s="94">
        <f>Table3.110[[#This Row],[Gas 24h, ml]]-Table3.110[[#This Row],[V8 Push back, ml]]</f>
        <v>41.5</v>
      </c>
      <c r="AG612" s="94">
        <f>Table3.110[[#This Row],[GP 8h, ml]]-(AVERAGE(AE$658,AE$659))*$AG$8</f>
        <v>33.336244932930278</v>
      </c>
      <c r="AH612" s="94">
        <f>Table3.110[[#This Row],[GP 8-24h, ml]]-(AVERAGE(AF$658,AF$659))*$AG$8</f>
        <v>39.50873479879084</v>
      </c>
      <c r="AI612" s="94">
        <f>Table3.110[[#This Row],[Net gas 8-24h, ml]]+Table3.110[[#This Row],[Net gas 8h, ml]]</f>
        <v>72.844979731721111</v>
      </c>
      <c r="AJ612" s="94">
        <f>Table3.110[[#This Row],[Net gas 8h, ml]]*Table3.110[[#This Row],[CH4 8h %]]%</f>
        <v>4.1670306166162847</v>
      </c>
      <c r="AK612" s="94">
        <f>Table3.110[[#This Row],[Net gas 8-24h, ml]]*Table3.110[[#This Row],[CH4 24h, %]]%</f>
        <v>6.8350111201908161</v>
      </c>
      <c r="AL612" s="94">
        <f>Table3.110[[#This Row],[CH4 8-24h, ml]]+Table3.110[[#This Row],[CH4 8h, ml]]</f>
        <v>11.002041736807101</v>
      </c>
      <c r="AM612" s="94">
        <f>(Table3.110[[#This Row],[Net gas 24h, ml]]/Table3.110[[#This Row],[DM Incubated, mg]])*1000</f>
        <v>161.38722755263146</v>
      </c>
      <c r="AN612" s="94">
        <f>'3.2 Digest'!X612</f>
        <v>41.356014799494787</v>
      </c>
      <c r="AO612" s="94">
        <f>Table3.110[[#This Row],[Digested feed, mg]]/Table3.110[[#This Row],[Net gas 24h, ml]]</f>
        <v>2.5625333198073434</v>
      </c>
      <c r="AP612" s="94">
        <f>Table3.110[[#This Row],[CH4 8h, ml]]/Table3.110[[#This Row],[Net gas 8h, ml]]%</f>
        <v>12.5</v>
      </c>
      <c r="AQ612" s="94">
        <f>Table3.110[[#This Row],[CH4 24h, ml]]/Table3.110[[#This Row],[Net gas 24h, ml]]%</f>
        <v>15.103363028346269</v>
      </c>
      <c r="AR612" s="94">
        <f>Table3.110[[#This Row],[CH4 24h, ml]]/Table3.110[[#This Row],[DM Incubated, mg]]*1000</f>
        <v>24.374898858657208</v>
      </c>
      <c r="AS612" s="94">
        <f>Table3.110[[#This Row],[CH4 24h, ml]]/Table3.110[[#This Row],[Digested feed, mg]]*1000</f>
        <v>58.93918690384784</v>
      </c>
      <c r="AT612" s="94">
        <f>Table3.110[[#This Row],[CH4 24h, ml]]/'3.2 Digest'!AA612</f>
        <v>-0.85458819850463352</v>
      </c>
      <c r="AU612" s="94">
        <f>((Table3.110[[#This Row],[CH4 24h, ml]]/28.9)*16.04)/Table3.110[[#This Row],[DM Incubated, mg]]*1000</f>
        <v>13.528490577607668</v>
      </c>
      <c r="AV612" s="94">
        <f>((Table3.110[[#This Row],[CH4 24h, ml]]/28.9)*16.04)/Table3.110[[#This Row],[Digested feed, mg]]*1000</f>
        <v>32.712268440751537</v>
      </c>
    </row>
    <row r="613" spans="2:48" s="89" customFormat="1" x14ac:dyDescent="0.35">
      <c r="B613" s="90">
        <f t="shared" si="9"/>
        <v>603</v>
      </c>
      <c r="C613" s="140">
        <v>46055</v>
      </c>
      <c r="D613" s="6" t="s">
        <v>16</v>
      </c>
      <c r="E613" s="6" t="s">
        <v>277</v>
      </c>
      <c r="F613" s="133" t="s">
        <v>269</v>
      </c>
      <c r="G613" s="133" t="s">
        <v>270</v>
      </c>
      <c r="H613" s="133" t="s">
        <v>271</v>
      </c>
      <c r="I613" s="133" t="s">
        <v>22</v>
      </c>
      <c r="J613" s="135" t="s">
        <v>23</v>
      </c>
      <c r="K613" s="135" t="s">
        <v>215</v>
      </c>
      <c r="L613" s="6" t="s">
        <v>276</v>
      </c>
      <c r="M613" s="93">
        <v>28</v>
      </c>
      <c r="N613" s="93">
        <v>62</v>
      </c>
      <c r="O613" s="6">
        <v>2</v>
      </c>
      <c r="P613" s="129">
        <v>1</v>
      </c>
      <c r="Q613" s="6">
        <v>0</v>
      </c>
      <c r="R613" s="112">
        <v>0.50049999999999994</v>
      </c>
      <c r="S613" s="94">
        <f>((Table3.110[[#This Row],[Sample weight, g]]*'2.1. DM'!Q167)/100)*1000</f>
        <v>460.48902609739002</v>
      </c>
      <c r="T613" s="94">
        <f>'3.2 Digest'!W613</f>
        <v>39.589026097390104</v>
      </c>
      <c r="U613" s="117">
        <v>0.35069444444444442</v>
      </c>
      <c r="V613" s="155">
        <v>41</v>
      </c>
      <c r="W613" s="117">
        <v>0.68819444444444444</v>
      </c>
      <c r="X613" s="96">
        <v>78.5</v>
      </c>
      <c r="Y613" s="96">
        <v>12.5</v>
      </c>
      <c r="Z613" s="155">
        <v>40</v>
      </c>
      <c r="AA613" s="117">
        <v>0.36249999999999999</v>
      </c>
      <c r="AB613" s="155">
        <v>98</v>
      </c>
      <c r="AC613" s="155">
        <v>14.3</v>
      </c>
      <c r="AD613" s="96"/>
      <c r="AE613" s="94">
        <f>Table3.110[[#This Row],[Gas 8h, ml]]-Table3.110[[#This Row],[Gas 0h, ml]]</f>
        <v>37.5</v>
      </c>
      <c r="AF613" s="94">
        <f>Table3.110[[#This Row],[Gas 24h, ml]]-Table3.110[[#This Row],[V8 Push back, ml]]</f>
        <v>58</v>
      </c>
      <c r="AG613" s="94">
        <f>Table3.110[[#This Row],[GP 8h, ml]]-(AVERAGE(AE$658,AE$659))*$AG$8</f>
        <v>36.836244932930278</v>
      </c>
      <c r="AH613" s="94">
        <f>Table3.110[[#This Row],[GP 8-24h, ml]]-(AVERAGE(AF$658,AF$659))*$AG$8</f>
        <v>56.00873479879084</v>
      </c>
      <c r="AI613" s="94">
        <f>Table3.110[[#This Row],[Net gas 8-24h, ml]]+Table3.110[[#This Row],[Net gas 8h, ml]]</f>
        <v>92.844979731721111</v>
      </c>
      <c r="AJ613" s="94">
        <f>Table3.110[[#This Row],[Net gas 8h, ml]]*Table3.110[[#This Row],[CH4 8h %]]%</f>
        <v>4.6045306166162847</v>
      </c>
      <c r="AK613" s="94">
        <f>Table3.110[[#This Row],[Net gas 8-24h, ml]]*Table3.110[[#This Row],[CH4 24h, %]]%</f>
        <v>8.0092490762270909</v>
      </c>
      <c r="AL613" s="94">
        <f>Table3.110[[#This Row],[CH4 8-24h, ml]]+Table3.110[[#This Row],[CH4 8h, ml]]</f>
        <v>12.613779692843377</v>
      </c>
      <c r="AM613" s="94">
        <f>(Table3.110[[#This Row],[Net gas 24h, ml]]/Table3.110[[#This Row],[DM Incubated, mg]])*1000</f>
        <v>201.62256746610305</v>
      </c>
      <c r="AN613" s="94">
        <f>'3.2 Digest'!X613</f>
        <v>8.5971703675338649</v>
      </c>
      <c r="AO613" s="94">
        <f>Table3.110[[#This Row],[Digested feed, mg]]/Table3.110[[#This Row],[Net gas 24h, ml]]</f>
        <v>0.42639921094047312</v>
      </c>
      <c r="AP613" s="94">
        <f>Table3.110[[#This Row],[CH4 8h, ml]]/Table3.110[[#This Row],[Net gas 8h, ml]]%</f>
        <v>12.5</v>
      </c>
      <c r="AQ613" s="94">
        <f>Table3.110[[#This Row],[CH4 24h, ml]]/Table3.110[[#This Row],[Net gas 24h, ml]]%</f>
        <v>13.585850015037263</v>
      </c>
      <c r="AR613" s="94">
        <f>Table3.110[[#This Row],[CH4 24h, ml]]/Table3.110[[#This Row],[DM Incubated, mg]]*1000</f>
        <v>27.39213961241208</v>
      </c>
      <c r="AS613" s="94">
        <f>Table3.110[[#This Row],[CH4 24h, ml]]/Table3.110[[#This Row],[Digested feed, mg]]*1000</f>
        <v>318.61808526971913</v>
      </c>
      <c r="AT613" s="94">
        <f>Table3.110[[#This Row],[CH4 24h, ml]]/'3.2 Digest'!AA613</f>
        <v>-0.15227744982845176</v>
      </c>
      <c r="AU613" s="94">
        <f>((Table3.110[[#This Row],[CH4 24h, ml]]/28.9)*16.04)/Table3.110[[#This Row],[DM Incubated, mg]]*1000</f>
        <v>15.203111397338745</v>
      </c>
      <c r="AV613" s="94">
        <f>((Table3.110[[#This Row],[CH4 24h, ml]]/28.9)*16.04)/Table3.110[[#This Row],[Digested feed, mg]]*1000</f>
        <v>176.8385497483147</v>
      </c>
    </row>
    <row r="614" spans="2:48" s="89" customFormat="1" x14ac:dyDescent="0.35">
      <c r="B614" s="90">
        <f t="shared" si="9"/>
        <v>604</v>
      </c>
      <c r="C614" s="140">
        <v>46055</v>
      </c>
      <c r="D614" s="6" t="s">
        <v>16</v>
      </c>
      <c r="E614" s="6" t="s">
        <v>277</v>
      </c>
      <c r="F614" s="133" t="s">
        <v>269</v>
      </c>
      <c r="G614" s="133" t="s">
        <v>270</v>
      </c>
      <c r="H614" s="133" t="s">
        <v>271</v>
      </c>
      <c r="I614" s="133" t="s">
        <v>22</v>
      </c>
      <c r="J614" s="135" t="s">
        <v>23</v>
      </c>
      <c r="K614" s="135" t="s">
        <v>215</v>
      </c>
      <c r="L614" s="6" t="s">
        <v>276</v>
      </c>
      <c r="M614" s="93">
        <v>28</v>
      </c>
      <c r="N614" s="93">
        <v>62</v>
      </c>
      <c r="O614" s="6">
        <v>2</v>
      </c>
      <c r="P614" s="129">
        <v>2</v>
      </c>
      <c r="Q614" s="6">
        <v>0</v>
      </c>
      <c r="R614" s="112">
        <v>0.50009999999999999</v>
      </c>
      <c r="S614" s="94">
        <f>((Table3.110[[#This Row],[Sample weight, g]]*'2.1. DM'!Q167)/100)*1000</f>
        <v>460.12100289970982</v>
      </c>
      <c r="T614" s="94">
        <f>'3.2 Digest'!W614</f>
        <v>180.42100289970989</v>
      </c>
      <c r="U614" s="117">
        <v>0.35069444444444442</v>
      </c>
      <c r="V614" s="155">
        <v>40.5</v>
      </c>
      <c r="W614" s="117">
        <v>0.68888888888888888</v>
      </c>
      <c r="X614" s="96">
        <v>78.5</v>
      </c>
      <c r="Y614" s="96">
        <v>11.9</v>
      </c>
      <c r="Z614" s="155">
        <v>40</v>
      </c>
      <c r="AA614" s="117">
        <v>0.36319444444444443</v>
      </c>
      <c r="AB614" s="155">
        <v>96</v>
      </c>
      <c r="AC614" s="155">
        <v>14.3</v>
      </c>
      <c r="AD614" s="96"/>
      <c r="AE614" s="94">
        <f>Table3.110[[#This Row],[Gas 8h, ml]]-Table3.110[[#This Row],[Gas 0h, ml]]</f>
        <v>38</v>
      </c>
      <c r="AF614" s="94">
        <f>Table3.110[[#This Row],[Gas 24h, ml]]-Table3.110[[#This Row],[V8 Push back, ml]]</f>
        <v>56</v>
      </c>
      <c r="AG614" s="94">
        <f>Table3.110[[#This Row],[GP 8h, ml]]-(AVERAGE(AE$658,AE$659))*$AG$8</f>
        <v>37.336244932930278</v>
      </c>
      <c r="AH614" s="94">
        <f>Table3.110[[#This Row],[GP 8-24h, ml]]-(AVERAGE(AF$658,AF$659))*$AG$8</f>
        <v>54.00873479879084</v>
      </c>
      <c r="AI614" s="94">
        <f>Table3.110[[#This Row],[Net gas 8-24h, ml]]+Table3.110[[#This Row],[Net gas 8h, ml]]</f>
        <v>91.344979731721111</v>
      </c>
      <c r="AJ614" s="94">
        <f>Table3.110[[#This Row],[Net gas 8h, ml]]*Table3.110[[#This Row],[CH4 8h %]]%</f>
        <v>4.4430131470187035</v>
      </c>
      <c r="AK614" s="94">
        <f>Table3.110[[#This Row],[Net gas 8-24h, ml]]*Table3.110[[#This Row],[CH4 24h, %]]%</f>
        <v>7.7232490762270913</v>
      </c>
      <c r="AL614" s="94">
        <f>Table3.110[[#This Row],[CH4 8-24h, ml]]+Table3.110[[#This Row],[CH4 8h, ml]]</f>
        <v>12.166262223245795</v>
      </c>
      <c r="AM614" s="94">
        <f>(Table3.110[[#This Row],[Net gas 24h, ml]]/Table3.110[[#This Row],[DM Incubated, mg]])*1000</f>
        <v>198.52382124714944</v>
      </c>
      <c r="AN614" s="94">
        <f>'3.2 Digest'!X614</f>
        <v>39.21164253809021</v>
      </c>
      <c r="AO614" s="94">
        <f>Table3.110[[#This Row],[Digested feed, mg]]/Table3.110[[#This Row],[Net gas 24h, ml]]</f>
        <v>1.9751605772928493</v>
      </c>
      <c r="AP614" s="94">
        <f>Table3.110[[#This Row],[CH4 8h, ml]]/Table3.110[[#This Row],[Net gas 8h, ml]]%</f>
        <v>11.9</v>
      </c>
      <c r="AQ614" s="94">
        <f>Table3.110[[#This Row],[CH4 24h, ml]]/Table3.110[[#This Row],[Net gas 24h, ml]]%</f>
        <v>13.319026682120827</v>
      </c>
      <c r="AR614" s="94">
        <f>Table3.110[[#This Row],[CH4 24h, ml]]/Table3.110[[#This Row],[DM Incubated, mg]]*1000</f>
        <v>26.441440722273683</v>
      </c>
      <c r="AS614" s="94">
        <f>Table3.110[[#This Row],[CH4 24h, ml]]/Table3.110[[#This Row],[Digested feed, mg]]*1000</f>
        <v>67.432627175942585</v>
      </c>
      <c r="AT614" s="94">
        <f>Table3.110[[#This Row],[CH4 24h, ml]]/'3.2 Digest'!AA614</f>
        <v>-0.56336524931015042</v>
      </c>
      <c r="AU614" s="94">
        <f>((Table3.110[[#This Row],[CH4 24h, ml]]/28.9)*16.04)/Table3.110[[#This Row],[DM Incubated, mg]]*1000</f>
        <v>14.675457065234252</v>
      </c>
      <c r="AV614" s="94">
        <f>((Table3.110[[#This Row],[CH4 24h, ml]]/28.9)*16.04)/Table3.110[[#This Row],[Digested feed, mg]]*1000</f>
        <v>37.42627473709755</v>
      </c>
    </row>
    <row r="615" spans="2:48" s="89" customFormat="1" x14ac:dyDescent="0.35">
      <c r="B615" s="90">
        <f t="shared" si="9"/>
        <v>605</v>
      </c>
      <c r="C615" s="140">
        <v>46055</v>
      </c>
      <c r="D615" s="6" t="s">
        <v>16</v>
      </c>
      <c r="E615" s="6" t="s">
        <v>277</v>
      </c>
      <c r="F615" s="133" t="s">
        <v>269</v>
      </c>
      <c r="G615" s="133" t="s">
        <v>270</v>
      </c>
      <c r="H615" s="133" t="s">
        <v>271</v>
      </c>
      <c r="I615" s="133" t="s">
        <v>22</v>
      </c>
      <c r="J615" s="135" t="s">
        <v>23</v>
      </c>
      <c r="K615" s="135" t="s">
        <v>215</v>
      </c>
      <c r="L615" s="6" t="s">
        <v>276</v>
      </c>
      <c r="M615" s="93">
        <v>28</v>
      </c>
      <c r="N615" s="93">
        <v>62</v>
      </c>
      <c r="O615" s="6">
        <v>2</v>
      </c>
      <c r="P615" s="129">
        <v>3</v>
      </c>
      <c r="Q615" s="6">
        <v>0</v>
      </c>
      <c r="R615" s="112">
        <v>0.50009999999999999</v>
      </c>
      <c r="S615" s="94">
        <f>((Table3.110[[#This Row],[Sample weight, g]]*'2.1. DM'!Q167)/100)*1000</f>
        <v>460.12100289970982</v>
      </c>
      <c r="T615" s="94">
        <f>'3.2 Digest'!W615</f>
        <v>152.12100289970988</v>
      </c>
      <c r="U615" s="117">
        <v>0.35069444444444442</v>
      </c>
      <c r="V615" s="155">
        <v>40</v>
      </c>
      <c r="W615" s="117">
        <v>0.68888888888888888</v>
      </c>
      <c r="X615" s="96">
        <v>77</v>
      </c>
      <c r="Y615" s="96">
        <v>11.7</v>
      </c>
      <c r="Z615" s="155">
        <v>39</v>
      </c>
      <c r="AA615" s="117">
        <v>0.36388888888888887</v>
      </c>
      <c r="AB615" s="155">
        <v>98.5</v>
      </c>
      <c r="AC615" s="155">
        <v>14</v>
      </c>
      <c r="AD615" s="96"/>
      <c r="AE615" s="94">
        <f>Table3.110[[#This Row],[Gas 8h, ml]]-Table3.110[[#This Row],[Gas 0h, ml]]</f>
        <v>37</v>
      </c>
      <c r="AF615" s="94">
        <f>Table3.110[[#This Row],[Gas 24h, ml]]-Table3.110[[#This Row],[V8 Push back, ml]]</f>
        <v>59.5</v>
      </c>
      <c r="AG615" s="94">
        <f>Table3.110[[#This Row],[GP 8h, ml]]-(AVERAGE(AE$658,AE$659))*$AG$8</f>
        <v>36.336244932930278</v>
      </c>
      <c r="AH615" s="94">
        <f>Table3.110[[#This Row],[GP 8-24h, ml]]-(AVERAGE(AF$658,AF$659))*$AG$8</f>
        <v>57.50873479879084</v>
      </c>
      <c r="AI615" s="94">
        <f>Table3.110[[#This Row],[Net gas 8-24h, ml]]+Table3.110[[#This Row],[Net gas 8h, ml]]</f>
        <v>93.844979731721111</v>
      </c>
      <c r="AJ615" s="94">
        <f>Table3.110[[#This Row],[Net gas 8h, ml]]*Table3.110[[#This Row],[CH4 8h %]]%</f>
        <v>4.2513406571528423</v>
      </c>
      <c r="AK615" s="94">
        <f>Table3.110[[#This Row],[Net gas 8-24h, ml]]*Table3.110[[#This Row],[CH4 24h, %]]%</f>
        <v>8.0512228718307188</v>
      </c>
      <c r="AL615" s="94">
        <f>Table3.110[[#This Row],[CH4 8-24h, ml]]+Table3.110[[#This Row],[CH4 8h, ml]]</f>
        <v>12.302563528983562</v>
      </c>
      <c r="AM615" s="94">
        <f>(Table3.110[[#This Row],[Net gas 24h, ml]]/Table3.110[[#This Row],[DM Incubated, mg]])*1000</f>
        <v>203.95717461342667</v>
      </c>
      <c r="AN615" s="94">
        <f>'3.2 Digest'!X615</f>
        <v>33.061086527464361</v>
      </c>
      <c r="AO615" s="94">
        <f>Table3.110[[#This Row],[Digested feed, mg]]/Table3.110[[#This Row],[Net gas 24h, ml]]</f>
        <v>1.6209817865013672</v>
      </c>
      <c r="AP615" s="94">
        <f>Table3.110[[#This Row],[CH4 8h, ml]]/Table3.110[[#This Row],[Net gas 8h, ml]]%</f>
        <v>11.7</v>
      </c>
      <c r="AQ615" s="94">
        <f>Table3.110[[#This Row],[CH4 24h, ml]]/Table3.110[[#This Row],[Net gas 24h, ml]]%</f>
        <v>13.109453019387352</v>
      </c>
      <c r="AR615" s="94">
        <f>Table3.110[[#This Row],[CH4 24h, ml]]/Table3.110[[#This Row],[DM Incubated, mg]]*1000</f>
        <v>26.737669985616996</v>
      </c>
      <c r="AS615" s="94">
        <f>Table3.110[[#This Row],[CH4 24h, ml]]/Table3.110[[#This Row],[Digested feed, mg]]*1000</f>
        <v>80.873536819201604</v>
      </c>
      <c r="AT615" s="94">
        <f>Table3.110[[#This Row],[CH4 24h, ml]]/'3.2 Digest'!AA615</f>
        <v>-0.36292114171278755</v>
      </c>
      <c r="AU615" s="94">
        <f>((Table3.110[[#This Row],[CH4 24h, ml]]/28.9)*16.04)/Table3.110[[#This Row],[DM Incubated, mg]]*1000</f>
        <v>14.839869431463551</v>
      </c>
      <c r="AV615" s="94">
        <f>((Table3.110[[#This Row],[CH4 24h, ml]]/28.9)*16.04)/Table3.110[[#This Row],[Digested feed, mg]]*1000</f>
        <v>44.886212130795634</v>
      </c>
    </row>
    <row r="616" spans="2:48" s="89" customFormat="1" x14ac:dyDescent="0.35">
      <c r="B616" s="90">
        <f t="shared" si="9"/>
        <v>606</v>
      </c>
      <c r="C616" s="140">
        <v>46055</v>
      </c>
      <c r="D616" s="6" t="s">
        <v>16</v>
      </c>
      <c r="E616" s="6" t="s">
        <v>279</v>
      </c>
      <c r="F616" s="133" t="s">
        <v>269</v>
      </c>
      <c r="G616" s="133" t="s">
        <v>270</v>
      </c>
      <c r="H616" s="133" t="s">
        <v>271</v>
      </c>
      <c r="I616" s="133" t="s">
        <v>22</v>
      </c>
      <c r="J616" s="135" t="s">
        <v>23</v>
      </c>
      <c r="K616" s="135" t="s">
        <v>215</v>
      </c>
      <c r="L616" s="6" t="s">
        <v>278</v>
      </c>
      <c r="M616" s="93">
        <v>28</v>
      </c>
      <c r="N616" s="93">
        <v>62</v>
      </c>
      <c r="O616" s="6">
        <v>2</v>
      </c>
      <c r="P616" s="129">
        <v>1</v>
      </c>
      <c r="Q616" s="6">
        <v>0</v>
      </c>
      <c r="R616" s="112">
        <v>0.50060000000000004</v>
      </c>
      <c r="S616" s="94">
        <f>((Table3.110[[#This Row],[Sample weight, g]]*'2.1. DM'!Q169)/100)*1000</f>
        <v>461.38973517171809</v>
      </c>
      <c r="T616" s="94">
        <f>'3.2 Digest'!W616</f>
        <v>218.38973517171809</v>
      </c>
      <c r="U616" s="117">
        <v>0.35208333333333336</v>
      </c>
      <c r="V616" s="155">
        <v>40.5</v>
      </c>
      <c r="W616" s="117">
        <v>0.68888888888888888</v>
      </c>
      <c r="X616" s="96">
        <v>79</v>
      </c>
      <c r="Y616" s="96">
        <v>12</v>
      </c>
      <c r="Z616" s="155">
        <v>40</v>
      </c>
      <c r="AA616" s="117">
        <v>0.36388888888888887</v>
      </c>
      <c r="AB616" s="155">
        <v>89</v>
      </c>
      <c r="AC616" s="155">
        <v>13.3</v>
      </c>
      <c r="AD616" s="96"/>
      <c r="AE616" s="94">
        <f>Table3.110[[#This Row],[Gas 8h, ml]]-Table3.110[[#This Row],[Gas 0h, ml]]</f>
        <v>38.5</v>
      </c>
      <c r="AF616" s="94">
        <f>Table3.110[[#This Row],[Gas 24h, ml]]-Table3.110[[#This Row],[V8 Push back, ml]]</f>
        <v>49</v>
      </c>
      <c r="AG616" s="94">
        <f>Table3.110[[#This Row],[GP 8h, ml]]-(AVERAGE(AE$658,AE$659))*$AG$8</f>
        <v>37.836244932930278</v>
      </c>
      <c r="AH616" s="94">
        <f>Table3.110[[#This Row],[GP 8-24h, ml]]-(AVERAGE(AF$658,AF$659))*$AG$8</f>
        <v>47.00873479879084</v>
      </c>
      <c r="AI616" s="94">
        <f>Table3.110[[#This Row],[Net gas 8-24h, ml]]+Table3.110[[#This Row],[Net gas 8h, ml]]</f>
        <v>84.844979731721111</v>
      </c>
      <c r="AJ616" s="94">
        <f>Table3.110[[#This Row],[Net gas 8h, ml]]*Table3.110[[#This Row],[CH4 8h %]]%</f>
        <v>4.5403493919516329</v>
      </c>
      <c r="AK616" s="94">
        <f>Table3.110[[#This Row],[Net gas 8-24h, ml]]*Table3.110[[#This Row],[CH4 24h, %]]%</f>
        <v>6.2521617282391819</v>
      </c>
      <c r="AL616" s="94">
        <f>Table3.110[[#This Row],[CH4 8-24h, ml]]+Table3.110[[#This Row],[CH4 8h, ml]]</f>
        <v>10.792511120190815</v>
      </c>
      <c r="AM616" s="94">
        <f>(Table3.110[[#This Row],[Net gas 24h, ml]]/Table3.110[[#This Row],[DM Incubated, mg]])*1000</f>
        <v>183.89004623205122</v>
      </c>
      <c r="AN616" s="94">
        <f>'3.2 Digest'!X616</f>
        <v>47.333028570832575</v>
      </c>
      <c r="AO616" s="94">
        <f>Table3.110[[#This Row],[Digested feed, mg]]/Table3.110[[#This Row],[Net gas 24h, ml]]</f>
        <v>2.5739853537859756</v>
      </c>
      <c r="AP616" s="94">
        <f>Table3.110[[#This Row],[CH4 8h, ml]]/Table3.110[[#This Row],[Net gas 8h, ml]]%</f>
        <v>11.999999999999998</v>
      </c>
      <c r="AQ616" s="94">
        <f>Table3.110[[#This Row],[CH4 24h, ml]]/Table3.110[[#This Row],[Net gas 24h, ml]]%</f>
        <v>12.720270727056114</v>
      </c>
      <c r="AR616" s="94">
        <f>Table3.110[[#This Row],[CH4 24h, ml]]/Table3.110[[#This Row],[DM Incubated, mg]]*1000</f>
        <v>23.39131172082557</v>
      </c>
      <c r="AS616" s="94">
        <f>Table3.110[[#This Row],[CH4 24h, ml]]/Table3.110[[#This Row],[Digested feed, mg]]*1000</f>
        <v>49.418582387605127</v>
      </c>
      <c r="AT616" s="94">
        <f>Table3.110[[#This Row],[CH4 24h, ml]]/'3.2 Digest'!AA616</f>
        <v>-0.91736251171419003</v>
      </c>
      <c r="AU616" s="94">
        <f>((Table3.110[[#This Row],[CH4 24h, ml]]/28.9)*16.04)/Table3.110[[#This Row],[DM Incubated, mg]]*1000</f>
        <v>12.982582699032598</v>
      </c>
      <c r="AV616" s="94">
        <f>((Table3.110[[#This Row],[CH4 24h, ml]]/28.9)*16.04)/Table3.110[[#This Row],[Digested feed, mg]]*1000</f>
        <v>27.428168217895713</v>
      </c>
    </row>
    <row r="617" spans="2:48" s="89" customFormat="1" x14ac:dyDescent="0.35">
      <c r="B617" s="90">
        <f t="shared" si="9"/>
        <v>607</v>
      </c>
      <c r="C617" s="140">
        <v>46055</v>
      </c>
      <c r="D617" s="6" t="s">
        <v>16</v>
      </c>
      <c r="E617" s="6" t="s">
        <v>279</v>
      </c>
      <c r="F617" s="133" t="s">
        <v>269</v>
      </c>
      <c r="G617" s="133" t="s">
        <v>270</v>
      </c>
      <c r="H617" s="133" t="s">
        <v>271</v>
      </c>
      <c r="I617" s="133" t="s">
        <v>22</v>
      </c>
      <c r="J617" s="135" t="s">
        <v>23</v>
      </c>
      <c r="K617" s="135" t="s">
        <v>215</v>
      </c>
      <c r="L617" s="6" t="s">
        <v>278</v>
      </c>
      <c r="M617" s="93">
        <v>28</v>
      </c>
      <c r="N617" s="93">
        <v>62</v>
      </c>
      <c r="O617" s="6">
        <v>2</v>
      </c>
      <c r="P617" s="129">
        <v>2</v>
      </c>
      <c r="Q617" s="6">
        <v>0</v>
      </c>
      <c r="R617" s="112">
        <v>0.50060000000000004</v>
      </c>
      <c r="S617" s="94">
        <f>((Table3.110[[#This Row],[Sample weight, g]]*'2.1. DM'!Q169)/100)*1000</f>
        <v>461.38973517171809</v>
      </c>
      <c r="T617" s="94">
        <f>'3.2 Digest'!W617</f>
        <v>219.48973517171808</v>
      </c>
      <c r="U617" s="117">
        <v>0.35208333333333336</v>
      </c>
      <c r="V617" s="155">
        <v>41</v>
      </c>
      <c r="W617" s="117">
        <v>0.68958333333333333</v>
      </c>
      <c r="X617" s="96">
        <v>77.5</v>
      </c>
      <c r="Y617" s="96">
        <v>12.1</v>
      </c>
      <c r="Z617" s="155">
        <v>40</v>
      </c>
      <c r="AA617" s="117">
        <v>0.36458333333333331</v>
      </c>
      <c r="AB617" s="155">
        <v>86.5</v>
      </c>
      <c r="AC617" s="155">
        <v>13.2</v>
      </c>
      <c r="AD617" s="96"/>
      <c r="AE617" s="94">
        <f>Table3.110[[#This Row],[Gas 8h, ml]]-Table3.110[[#This Row],[Gas 0h, ml]]</f>
        <v>36.5</v>
      </c>
      <c r="AF617" s="94">
        <f>Table3.110[[#This Row],[Gas 24h, ml]]-Table3.110[[#This Row],[V8 Push back, ml]]</f>
        <v>46.5</v>
      </c>
      <c r="AG617" s="94">
        <f>Table3.110[[#This Row],[GP 8h, ml]]-(AVERAGE(AE$658,AE$659))*$AG$8</f>
        <v>35.836244932930278</v>
      </c>
      <c r="AH617" s="94">
        <f>Table3.110[[#This Row],[GP 8-24h, ml]]-(AVERAGE(AF$658,AF$659))*$AG$8</f>
        <v>44.50873479879084</v>
      </c>
      <c r="AI617" s="94">
        <f>Table3.110[[#This Row],[Net gas 8-24h, ml]]+Table3.110[[#This Row],[Net gas 8h, ml]]</f>
        <v>80.344979731721111</v>
      </c>
      <c r="AJ617" s="94">
        <f>Table3.110[[#This Row],[Net gas 8h, ml]]*Table3.110[[#This Row],[CH4 8h %]]%</f>
        <v>4.3361856368845633</v>
      </c>
      <c r="AK617" s="94">
        <f>Table3.110[[#This Row],[Net gas 8-24h, ml]]*Table3.110[[#This Row],[CH4 24h, %]]%</f>
        <v>5.8751529934403912</v>
      </c>
      <c r="AL617" s="94">
        <f>Table3.110[[#This Row],[CH4 8-24h, ml]]+Table3.110[[#This Row],[CH4 8h, ml]]</f>
        <v>10.211338630324954</v>
      </c>
      <c r="AM617" s="94">
        <f>(Table3.110[[#This Row],[Net gas 24h, ml]]/Table3.110[[#This Row],[DM Incubated, mg]])*1000</f>
        <v>174.13690337479801</v>
      </c>
      <c r="AN617" s="94">
        <f>'3.2 Digest'!X617</f>
        <v>47.571438729565436</v>
      </c>
      <c r="AO617" s="94">
        <f>Table3.110[[#This Row],[Digested feed, mg]]/Table3.110[[#This Row],[Net gas 24h, ml]]</f>
        <v>2.7318413160923489</v>
      </c>
      <c r="AP617" s="94">
        <f>Table3.110[[#This Row],[CH4 8h, ml]]/Table3.110[[#This Row],[Net gas 8h, ml]]%</f>
        <v>12.1</v>
      </c>
      <c r="AQ617" s="94">
        <f>Table3.110[[#This Row],[CH4 24h, ml]]/Table3.110[[#This Row],[Net gas 24h, ml]]%</f>
        <v>12.709367361123874</v>
      </c>
      <c r="AR617" s="94">
        <f>Table3.110[[#This Row],[CH4 24h, ml]]/Table3.110[[#This Row],[DM Incubated, mg]]*1000</f>
        <v>22.131698761188396</v>
      </c>
      <c r="AS617" s="94">
        <f>Table3.110[[#This Row],[CH4 24h, ml]]/Table3.110[[#This Row],[Digested feed, mg]]*1000</f>
        <v>46.523080554706119</v>
      </c>
      <c r="AT617" s="94">
        <f>Table3.110[[#This Row],[CH4 24h, ml]]/'3.2 Digest'!AA617</f>
        <v>-0.9069661412786425</v>
      </c>
      <c r="AU617" s="94">
        <f>((Table3.110[[#This Row],[CH4 24h, ml]]/28.9)*16.04)/Table3.110[[#This Row],[DM Incubated, mg]]*1000</f>
        <v>12.283475713822208</v>
      </c>
      <c r="AV617" s="94">
        <f>((Table3.110[[#This Row],[CH4 24h, ml]]/28.9)*16.04)/Table3.110[[#This Row],[Digested feed, mg]]*1000</f>
        <v>25.821114605449349</v>
      </c>
    </row>
    <row r="618" spans="2:48" s="89" customFormat="1" x14ac:dyDescent="0.35">
      <c r="B618" s="90">
        <f t="shared" si="9"/>
        <v>608</v>
      </c>
      <c r="C618" s="140">
        <v>46055</v>
      </c>
      <c r="D618" s="6" t="s">
        <v>16</v>
      </c>
      <c r="E618" s="6" t="s">
        <v>279</v>
      </c>
      <c r="F618" s="133" t="s">
        <v>269</v>
      </c>
      <c r="G618" s="133" t="s">
        <v>270</v>
      </c>
      <c r="H618" s="133" t="s">
        <v>271</v>
      </c>
      <c r="I618" s="133" t="s">
        <v>22</v>
      </c>
      <c r="J618" s="135" t="s">
        <v>23</v>
      </c>
      <c r="K618" s="135" t="s">
        <v>215</v>
      </c>
      <c r="L618" s="6" t="s">
        <v>278</v>
      </c>
      <c r="M618" s="93">
        <v>28</v>
      </c>
      <c r="N618" s="93">
        <v>62</v>
      </c>
      <c r="O618" s="6">
        <v>2</v>
      </c>
      <c r="P618" s="129">
        <v>3</v>
      </c>
      <c r="Q618" s="6">
        <v>0</v>
      </c>
      <c r="R618" s="112">
        <v>0.50039999999999996</v>
      </c>
      <c r="S618" s="94">
        <f>((Table3.110[[#This Row],[Sample weight, g]]*'2.1. DM'!Q169)/100)*1000</f>
        <v>461.20540047928034</v>
      </c>
      <c r="T618" s="94">
        <f>'3.2 Digest'!W618</f>
        <v>142.90540047928033</v>
      </c>
      <c r="U618" s="117">
        <v>0.3527777777777778</v>
      </c>
      <c r="V618" s="155">
        <v>40.5</v>
      </c>
      <c r="W618" s="117">
        <v>0.69027777777777777</v>
      </c>
      <c r="X618" s="96">
        <v>76.5</v>
      </c>
      <c r="Y618" s="96">
        <v>12.1</v>
      </c>
      <c r="Z618" s="155">
        <v>39</v>
      </c>
      <c r="AA618" s="117">
        <v>0.36527777777777776</v>
      </c>
      <c r="AB618" s="155">
        <v>82</v>
      </c>
      <c r="AC618" s="155">
        <v>13.5</v>
      </c>
      <c r="AD618" s="96"/>
      <c r="AE618" s="94">
        <f>Table3.110[[#This Row],[Gas 8h, ml]]-Table3.110[[#This Row],[Gas 0h, ml]]</f>
        <v>36</v>
      </c>
      <c r="AF618" s="94">
        <f>Table3.110[[#This Row],[Gas 24h, ml]]-Table3.110[[#This Row],[V8 Push back, ml]]</f>
        <v>43</v>
      </c>
      <c r="AG618" s="94">
        <f>Table3.110[[#This Row],[GP 8h, ml]]-(AVERAGE(AE$658,AE$659))*$AG$8</f>
        <v>35.336244932930278</v>
      </c>
      <c r="AH618" s="94">
        <f>Table3.110[[#This Row],[GP 8-24h, ml]]-(AVERAGE(AF$658,AF$659))*$AG$8</f>
        <v>41.00873479879084</v>
      </c>
      <c r="AI618" s="94">
        <f>Table3.110[[#This Row],[Net gas 8-24h, ml]]+Table3.110[[#This Row],[Net gas 8h, ml]]</f>
        <v>76.344979731721111</v>
      </c>
      <c r="AJ618" s="94">
        <f>Table3.110[[#This Row],[Net gas 8h, ml]]*Table3.110[[#This Row],[CH4 8h %]]%</f>
        <v>4.275685636884563</v>
      </c>
      <c r="AK618" s="94">
        <f>Table3.110[[#This Row],[Net gas 8-24h, ml]]*Table3.110[[#This Row],[CH4 24h, %]]%</f>
        <v>5.5361791978367636</v>
      </c>
      <c r="AL618" s="94">
        <f>Table3.110[[#This Row],[CH4 8-24h, ml]]+Table3.110[[#This Row],[CH4 8h, ml]]</f>
        <v>9.8118648347213266</v>
      </c>
      <c r="AM618" s="94">
        <f>(Table3.110[[#This Row],[Net gas 24h, ml]]/Table3.110[[#This Row],[DM Incubated, mg]])*1000</f>
        <v>165.53357712720648</v>
      </c>
      <c r="AN618" s="94">
        <f>'3.2 Digest'!X618</f>
        <v>30.985196689105194</v>
      </c>
      <c r="AO618" s="94">
        <f>Table3.110[[#This Row],[Digested feed, mg]]/Table3.110[[#This Row],[Net gas 24h, ml]]</f>
        <v>1.8718375586902352</v>
      </c>
      <c r="AP618" s="94">
        <f>Table3.110[[#This Row],[CH4 8h, ml]]/Table3.110[[#This Row],[Net gas 8h, ml]]%</f>
        <v>12.099999999999998</v>
      </c>
      <c r="AQ618" s="94">
        <f>Table3.110[[#This Row],[CH4 24h, ml]]/Table3.110[[#This Row],[Net gas 24h, ml]]%</f>
        <v>12.852010530621081</v>
      </c>
      <c r="AR618" s="94">
        <f>Table3.110[[#This Row],[CH4 24h, ml]]/Table3.110[[#This Row],[DM Incubated, mg]]*1000</f>
        <v>21.274392764102348</v>
      </c>
      <c r="AS618" s="94">
        <f>Table3.110[[#This Row],[CH4 24h, ml]]/Table3.110[[#This Row],[Digested feed, mg]]*1000</f>
        <v>68.659860311884685</v>
      </c>
      <c r="AT618" s="94">
        <f>Table3.110[[#This Row],[CH4 24h, ml]]/'3.2 Digest'!AA618</f>
        <v>-0.21120544946087857</v>
      </c>
      <c r="AU618" s="94">
        <f>((Table3.110[[#This Row],[CH4 24h, ml]]/28.9)*16.04)/Table3.110[[#This Row],[DM Incubated, mg]]*1000</f>
        <v>11.807656053155764</v>
      </c>
      <c r="AV618" s="94">
        <f>((Table3.110[[#This Row],[CH4 24h, ml]]/28.9)*16.04)/Table3.110[[#This Row],[Digested feed, mg]]*1000</f>
        <v>38.107410359952603</v>
      </c>
    </row>
    <row r="619" spans="2:48" s="89" customFormat="1" x14ac:dyDescent="0.35">
      <c r="B619" s="90">
        <f t="shared" si="9"/>
        <v>609</v>
      </c>
      <c r="C619" s="140">
        <v>46055</v>
      </c>
      <c r="D619" s="6" t="s">
        <v>16</v>
      </c>
      <c r="E619" s="6" t="s">
        <v>281</v>
      </c>
      <c r="F619" s="133" t="s">
        <v>269</v>
      </c>
      <c r="G619" s="133" t="s">
        <v>282</v>
      </c>
      <c r="H619" s="133" t="s">
        <v>283</v>
      </c>
      <c r="I619" s="133" t="s">
        <v>22</v>
      </c>
      <c r="J619" s="135" t="s">
        <v>23</v>
      </c>
      <c r="K619" s="135" t="s">
        <v>215</v>
      </c>
      <c r="L619" s="6" t="s">
        <v>280</v>
      </c>
      <c r="M619" s="93">
        <v>28</v>
      </c>
      <c r="N619" s="93">
        <v>62</v>
      </c>
      <c r="O619" s="6">
        <v>2</v>
      </c>
      <c r="P619" s="129">
        <v>1</v>
      </c>
      <c r="Q619" s="6">
        <v>0</v>
      </c>
      <c r="R619" s="112">
        <v>0.5</v>
      </c>
      <c r="S619" s="94">
        <f>((Table3.110[[#This Row],[Sample weight, g]]*'2.1. DM'!Q171)/100)*1000</f>
        <v>455.96321103668919</v>
      </c>
      <c r="T619" s="94">
        <f>'3.2 Digest'!W619</f>
        <v>240.0632110366891</v>
      </c>
      <c r="U619" s="117">
        <v>0.3527777777777778</v>
      </c>
      <c r="V619" s="155">
        <v>41.5</v>
      </c>
      <c r="W619" s="117">
        <v>0.69097222222222221</v>
      </c>
      <c r="X619" s="96">
        <v>82.5</v>
      </c>
      <c r="Y619" s="96">
        <v>12.5</v>
      </c>
      <c r="Z619" s="155">
        <v>40.5</v>
      </c>
      <c r="AA619" s="117">
        <v>0.36527777777777776</v>
      </c>
      <c r="AB619" s="155">
        <v>92</v>
      </c>
      <c r="AC619" s="155">
        <v>14.8</v>
      </c>
      <c r="AD619" s="96"/>
      <c r="AE619" s="94">
        <f>Table3.110[[#This Row],[Gas 8h, ml]]-Table3.110[[#This Row],[Gas 0h, ml]]</f>
        <v>41</v>
      </c>
      <c r="AF619" s="94">
        <f>Table3.110[[#This Row],[Gas 24h, ml]]-Table3.110[[#This Row],[V8 Push back, ml]]</f>
        <v>51.5</v>
      </c>
      <c r="AG619" s="94">
        <f>Table3.110[[#This Row],[GP 8h, ml]]-(AVERAGE(AE$658,AE$659))*$AG$8</f>
        <v>40.336244932930278</v>
      </c>
      <c r="AH619" s="94">
        <f>Table3.110[[#This Row],[GP 8-24h, ml]]-(AVERAGE(AF$658,AF$659))*$AG$8</f>
        <v>49.50873479879084</v>
      </c>
      <c r="AI619" s="94">
        <f>Table3.110[[#This Row],[Net gas 8-24h, ml]]+Table3.110[[#This Row],[Net gas 8h, ml]]</f>
        <v>89.844979731721111</v>
      </c>
      <c r="AJ619" s="94">
        <f>Table3.110[[#This Row],[Net gas 8h, ml]]*Table3.110[[#This Row],[CH4 8h %]]%</f>
        <v>5.0420306166162847</v>
      </c>
      <c r="AK619" s="94">
        <f>Table3.110[[#This Row],[Net gas 8-24h, ml]]*Table3.110[[#This Row],[CH4 24h, %]]%</f>
        <v>7.3272927502210452</v>
      </c>
      <c r="AL619" s="94">
        <f>Table3.110[[#This Row],[CH4 8-24h, ml]]+Table3.110[[#This Row],[CH4 8h, ml]]</f>
        <v>12.36932336683733</v>
      </c>
      <c r="AM619" s="94">
        <f>(Table3.110[[#This Row],[Net gas 24h, ml]]/Table3.110[[#This Row],[DM Incubated, mg]])*1000</f>
        <v>197.04436138048803</v>
      </c>
      <c r="AN619" s="94">
        <f>'3.2 Digest'!X619</f>
        <v>52.649688664766501</v>
      </c>
      <c r="AO619" s="94">
        <f>Table3.110[[#This Row],[Digested feed, mg]]/Table3.110[[#This Row],[Net gas 24h, ml]]</f>
        <v>2.6719713416767705</v>
      </c>
      <c r="AP619" s="94">
        <f>Table3.110[[#This Row],[CH4 8h, ml]]/Table3.110[[#This Row],[Net gas 8h, ml]]%</f>
        <v>12.5</v>
      </c>
      <c r="AQ619" s="94">
        <f>Table3.110[[#This Row],[CH4 24h, ml]]/Table3.110[[#This Row],[Net gas 24h, ml]]%</f>
        <v>13.767406263290809</v>
      </c>
      <c r="AR619" s="94">
        <f>Table3.110[[#This Row],[CH4 24h, ml]]/Table3.110[[#This Row],[DM Incubated, mg]]*1000</f>
        <v>27.127897750158684</v>
      </c>
      <c r="AS619" s="94">
        <f>Table3.110[[#This Row],[CH4 24h, ml]]/Table3.110[[#This Row],[Digested feed, mg]]*1000</f>
        <v>51.525276669513985</v>
      </c>
      <c r="AT619" s="94">
        <f>Table3.110[[#This Row],[CH4 24h, ml]]/'3.2 Digest'!AA619</f>
        <v>2.5902895577888243</v>
      </c>
      <c r="AU619" s="94">
        <f>((Table3.110[[#This Row],[CH4 24h, ml]]/28.9)*16.04)/Table3.110[[#This Row],[DM Incubated, mg]]*1000</f>
        <v>15.056452592129595</v>
      </c>
      <c r="AV619" s="94">
        <f>((Table3.110[[#This Row],[CH4 24h, ml]]/28.9)*16.04)/Table3.110[[#This Row],[Digested feed, mg]]*1000</f>
        <v>28.597419992353096</v>
      </c>
    </row>
    <row r="620" spans="2:48" s="89" customFormat="1" x14ac:dyDescent="0.35">
      <c r="B620" s="90">
        <f t="shared" si="9"/>
        <v>610</v>
      </c>
      <c r="C620" s="140">
        <v>46055</v>
      </c>
      <c r="D620" s="6" t="s">
        <v>16</v>
      </c>
      <c r="E620" s="6" t="s">
        <v>281</v>
      </c>
      <c r="F620" s="133" t="s">
        <v>269</v>
      </c>
      <c r="G620" s="133" t="s">
        <v>282</v>
      </c>
      <c r="H620" s="133" t="s">
        <v>283</v>
      </c>
      <c r="I620" s="133" t="s">
        <v>22</v>
      </c>
      <c r="J620" s="135" t="s">
        <v>23</v>
      </c>
      <c r="K620" s="135" t="s">
        <v>215</v>
      </c>
      <c r="L620" s="6" t="s">
        <v>280</v>
      </c>
      <c r="M620" s="93">
        <v>28</v>
      </c>
      <c r="N620" s="93">
        <v>62</v>
      </c>
      <c r="O620" s="6">
        <v>2</v>
      </c>
      <c r="P620" s="129">
        <v>2</v>
      </c>
      <c r="Q620" s="6">
        <v>0</v>
      </c>
      <c r="R620" s="112">
        <v>0.50049999999999994</v>
      </c>
      <c r="S620" s="94">
        <f>((Table3.110[[#This Row],[Sample weight, g]]*'2.1. DM'!Q171)/100)*1000</f>
        <v>456.41917424772589</v>
      </c>
      <c r="T620" s="94">
        <f>'3.2 Digest'!W620</f>
        <v>273.01917424772591</v>
      </c>
      <c r="U620" s="117">
        <v>0.3527777777777778</v>
      </c>
      <c r="V620" s="155">
        <v>41</v>
      </c>
      <c r="W620" s="117">
        <v>0.69097222222222221</v>
      </c>
      <c r="X620" s="96">
        <v>82</v>
      </c>
      <c r="Y620" s="96">
        <v>12.7</v>
      </c>
      <c r="Z620" s="155">
        <v>40.5</v>
      </c>
      <c r="AA620" s="117">
        <v>0.3659722222222222</v>
      </c>
      <c r="AB620" s="155">
        <v>93.5</v>
      </c>
      <c r="AC620" s="155">
        <v>14.9</v>
      </c>
      <c r="AD620" s="96"/>
      <c r="AE620" s="94">
        <f>Table3.110[[#This Row],[Gas 8h, ml]]-Table3.110[[#This Row],[Gas 0h, ml]]</f>
        <v>41</v>
      </c>
      <c r="AF620" s="94">
        <f>Table3.110[[#This Row],[Gas 24h, ml]]-Table3.110[[#This Row],[V8 Push back, ml]]</f>
        <v>53</v>
      </c>
      <c r="AG620" s="94">
        <f>Table3.110[[#This Row],[GP 8h, ml]]-(AVERAGE(AE$658,AE$659))*$AG$8</f>
        <v>40.336244932930278</v>
      </c>
      <c r="AH620" s="94">
        <f>Table3.110[[#This Row],[GP 8-24h, ml]]-(AVERAGE(AF$658,AF$659))*$AG$8</f>
        <v>51.00873479879084</v>
      </c>
      <c r="AI620" s="94">
        <f>Table3.110[[#This Row],[Net gas 8-24h, ml]]+Table3.110[[#This Row],[Net gas 8h, ml]]</f>
        <v>91.344979731721111</v>
      </c>
      <c r="AJ620" s="94">
        <f>Table3.110[[#This Row],[Net gas 8h, ml]]*Table3.110[[#This Row],[CH4 8h %]]%</f>
        <v>5.1227031064821453</v>
      </c>
      <c r="AK620" s="94">
        <f>Table3.110[[#This Row],[Net gas 8-24h, ml]]*Table3.110[[#This Row],[CH4 24h, %]]%</f>
        <v>7.6003014850198349</v>
      </c>
      <c r="AL620" s="94">
        <f>Table3.110[[#This Row],[CH4 8-24h, ml]]+Table3.110[[#This Row],[CH4 8h, ml]]</f>
        <v>12.723004591501979</v>
      </c>
      <c r="AM620" s="94">
        <f>(Table3.110[[#This Row],[Net gas 24h, ml]]/Table3.110[[#This Row],[DM Incubated, mg]])*1000</f>
        <v>200.13396650628607</v>
      </c>
      <c r="AN620" s="94">
        <f>'3.2 Digest'!X620</f>
        <v>59.81763905903351</v>
      </c>
      <c r="AO620" s="94">
        <f>Table3.110[[#This Row],[Digested feed, mg]]/Table3.110[[#This Row],[Net gas 24h, ml]]</f>
        <v>2.9888799039594653</v>
      </c>
      <c r="AP620" s="94">
        <f>Table3.110[[#This Row],[CH4 8h, ml]]/Table3.110[[#This Row],[Net gas 8h, ml]]%</f>
        <v>12.700000000000001</v>
      </c>
      <c r="AQ620" s="94">
        <f>Table3.110[[#This Row],[CH4 24h, ml]]/Table3.110[[#This Row],[Net gas 24h, ml]]%</f>
        <v>13.928520898323324</v>
      </c>
      <c r="AR620" s="94">
        <f>Table3.110[[#This Row],[CH4 24h, ml]]/Table3.110[[#This Row],[DM Incubated, mg]]*1000</f>
        <v>27.875701349471456</v>
      </c>
      <c r="AS620" s="94">
        <f>Table3.110[[#This Row],[CH4 24h, ml]]/Table3.110[[#This Row],[Digested feed, mg]]*1000</f>
        <v>46.601139376231757</v>
      </c>
      <c r="AT620" s="94">
        <f>Table3.110[[#This Row],[CH4 24h, ml]]/'3.2 Digest'!AA620</f>
        <v>0.66298425234909075</v>
      </c>
      <c r="AU620" s="94">
        <f>((Table3.110[[#This Row],[CH4 24h, ml]]/28.9)*16.04)/Table3.110[[#This Row],[DM Incubated, mg]]*1000</f>
        <v>15.471496527526718</v>
      </c>
      <c r="AV620" s="94">
        <f>((Table3.110[[#This Row],[CH4 24h, ml]]/28.9)*16.04)/Table3.110[[#This Row],[Digested feed, mg]]*1000</f>
        <v>25.864438601894719</v>
      </c>
    </row>
    <row r="621" spans="2:48" s="89" customFormat="1" x14ac:dyDescent="0.35">
      <c r="B621" s="90">
        <f t="shared" si="9"/>
        <v>611</v>
      </c>
      <c r="C621" s="140">
        <v>46055</v>
      </c>
      <c r="D621" s="6" t="s">
        <v>16</v>
      </c>
      <c r="E621" s="6" t="s">
        <v>281</v>
      </c>
      <c r="F621" s="133" t="s">
        <v>269</v>
      </c>
      <c r="G621" s="133" t="s">
        <v>282</v>
      </c>
      <c r="H621" s="133" t="s">
        <v>283</v>
      </c>
      <c r="I621" s="133" t="s">
        <v>22</v>
      </c>
      <c r="J621" s="135" t="s">
        <v>23</v>
      </c>
      <c r="K621" s="135" t="s">
        <v>215</v>
      </c>
      <c r="L621" s="6" t="s">
        <v>280</v>
      </c>
      <c r="M621" s="93">
        <v>28</v>
      </c>
      <c r="N621" s="93">
        <v>62</v>
      </c>
      <c r="O621" s="6">
        <v>2</v>
      </c>
      <c r="P621" s="129">
        <v>3</v>
      </c>
      <c r="Q621" s="6">
        <v>0</v>
      </c>
      <c r="R621" s="112">
        <v>0.50009999999999999</v>
      </c>
      <c r="S621" s="94">
        <f>((Table3.110[[#This Row],[Sample weight, g]]*'2.1. DM'!Q171)/100)*1000</f>
        <v>456.05440367889656</v>
      </c>
      <c r="T621" s="94">
        <f>'3.2 Digest'!W621</f>
        <v>206.75440367889661</v>
      </c>
      <c r="U621" s="117">
        <v>0.35347222222222224</v>
      </c>
      <c r="V621" s="155">
        <v>41.5</v>
      </c>
      <c r="W621" s="117">
        <v>0.69166666666666665</v>
      </c>
      <c r="X621" s="96">
        <v>83.5</v>
      </c>
      <c r="Y621" s="96">
        <v>12.7</v>
      </c>
      <c r="Z621" s="155">
        <v>40.5</v>
      </c>
      <c r="AA621" s="117">
        <v>0.36666666666666664</v>
      </c>
      <c r="AB621" s="155">
        <v>90.5</v>
      </c>
      <c r="AC621" s="155">
        <v>15.3</v>
      </c>
      <c r="AD621" s="96"/>
      <c r="AE621" s="94">
        <f>Table3.110[[#This Row],[Gas 8h, ml]]-Table3.110[[#This Row],[Gas 0h, ml]]</f>
        <v>42</v>
      </c>
      <c r="AF621" s="94">
        <f>Table3.110[[#This Row],[Gas 24h, ml]]-Table3.110[[#This Row],[V8 Push back, ml]]</f>
        <v>50</v>
      </c>
      <c r="AG621" s="94">
        <f>Table3.110[[#This Row],[GP 8h, ml]]-(AVERAGE(AE$658,AE$659))*$AG$8</f>
        <v>41.336244932930278</v>
      </c>
      <c r="AH621" s="94">
        <f>Table3.110[[#This Row],[GP 8-24h, ml]]-(AVERAGE(AF$658,AF$659))*$AG$8</f>
        <v>48.00873479879084</v>
      </c>
      <c r="AI621" s="94">
        <f>Table3.110[[#This Row],[Net gas 8-24h, ml]]+Table3.110[[#This Row],[Net gas 8h, ml]]</f>
        <v>89.344979731721111</v>
      </c>
      <c r="AJ621" s="94">
        <f>Table3.110[[#This Row],[Net gas 8h, ml]]*Table3.110[[#This Row],[CH4 8h %]]%</f>
        <v>5.2497031064821451</v>
      </c>
      <c r="AK621" s="94">
        <f>Table3.110[[#This Row],[Net gas 8-24h, ml]]*Table3.110[[#This Row],[CH4 24h, %]]%</f>
        <v>7.3453364242149988</v>
      </c>
      <c r="AL621" s="94">
        <f>Table3.110[[#This Row],[CH4 8-24h, ml]]+Table3.110[[#This Row],[CH4 8h, ml]]</f>
        <v>12.595039530697143</v>
      </c>
      <c r="AM621" s="94">
        <f>(Table3.110[[#This Row],[Net gas 24h, ml]]/Table3.110[[#This Row],[DM Incubated, mg]])*1000</f>
        <v>195.90859996306062</v>
      </c>
      <c r="AN621" s="94">
        <f>'3.2 Digest'!X621</f>
        <v>45.33546919206384</v>
      </c>
      <c r="AO621" s="94">
        <f>Table3.110[[#This Row],[Digested feed, mg]]/Table3.110[[#This Row],[Net gas 24h, ml]]</f>
        <v>2.3141132753034848</v>
      </c>
      <c r="AP621" s="94">
        <f>Table3.110[[#This Row],[CH4 8h, ml]]/Table3.110[[#This Row],[Net gas 8h, ml]]%</f>
        <v>12.7</v>
      </c>
      <c r="AQ621" s="94">
        <f>Table3.110[[#This Row],[CH4 24h, ml]]/Table3.110[[#This Row],[Net gas 24h, ml]]%</f>
        <v>14.097087008712355</v>
      </c>
      <c r="AR621" s="94">
        <f>Table3.110[[#This Row],[CH4 24h, ml]]/Table3.110[[#This Row],[DM Incubated, mg]]*1000</f>
        <v>27.617405794342876</v>
      </c>
      <c r="AS621" s="94">
        <f>Table3.110[[#This Row],[CH4 24h, ml]]/Table3.110[[#This Row],[Digested feed, mg]]*1000</f>
        <v>60.917877958517778</v>
      </c>
      <c r="AT621" s="94">
        <f>Table3.110[[#This Row],[CH4 24h, ml]]/'3.2 Digest'!AA621</f>
        <v>-1.2678550803640793</v>
      </c>
      <c r="AU621" s="94">
        <f>((Table3.110[[#This Row],[CH4 24h, ml]]/28.9)*16.04)/Table3.110[[#This Row],[DM Incubated, mg]]*1000</f>
        <v>15.328138025649125</v>
      </c>
      <c r="AV621" s="94">
        <f>((Table3.110[[#This Row],[CH4 24h, ml]]/28.9)*16.04)/Table3.110[[#This Row],[Digested feed, mg]]*1000</f>
        <v>33.810476209502603</v>
      </c>
    </row>
    <row r="622" spans="2:48" s="89" customFormat="1" x14ac:dyDescent="0.35">
      <c r="B622" s="90">
        <f t="shared" si="9"/>
        <v>612</v>
      </c>
      <c r="C622" s="140">
        <v>46055</v>
      </c>
      <c r="D622" s="6" t="s">
        <v>16</v>
      </c>
      <c r="E622" s="6" t="s">
        <v>285</v>
      </c>
      <c r="F622" s="133" t="s">
        <v>269</v>
      </c>
      <c r="G622" s="133" t="s">
        <v>282</v>
      </c>
      <c r="H622" s="133" t="s">
        <v>283</v>
      </c>
      <c r="I622" s="133" t="s">
        <v>22</v>
      </c>
      <c r="J622" s="135" t="s">
        <v>23</v>
      </c>
      <c r="K622" s="135" t="s">
        <v>215</v>
      </c>
      <c r="L622" s="6" t="s">
        <v>284</v>
      </c>
      <c r="M622" s="93">
        <v>28</v>
      </c>
      <c r="N622" s="93">
        <v>62</v>
      </c>
      <c r="O622" s="6">
        <v>2</v>
      </c>
      <c r="P622" s="129">
        <v>1</v>
      </c>
      <c r="Q622" s="6">
        <v>0</v>
      </c>
      <c r="R622" s="112">
        <v>0.50060000000000004</v>
      </c>
      <c r="S622" s="94">
        <f>((Table3.110[[#This Row],[Sample weight, g]]*'2.1. DM'!Q173)/100)*1000</f>
        <v>467.59207379771863</v>
      </c>
      <c r="T622" s="94">
        <f>'3.2 Digest'!W622</f>
        <v>206.39207379771864</v>
      </c>
      <c r="U622" s="117">
        <v>0.35416666666666669</v>
      </c>
      <c r="V622" s="155">
        <v>41</v>
      </c>
      <c r="W622" s="117">
        <v>0.69166666666666665</v>
      </c>
      <c r="X622" s="96">
        <v>84.5</v>
      </c>
      <c r="Y622" s="96">
        <v>12.7</v>
      </c>
      <c r="Z622" s="155">
        <v>40</v>
      </c>
      <c r="AA622" s="117">
        <v>0.36666666666666664</v>
      </c>
      <c r="AB622" s="155">
        <v>84.5</v>
      </c>
      <c r="AC622" s="155">
        <v>16.3</v>
      </c>
      <c r="AD622" s="96"/>
      <c r="AE622" s="94">
        <f>Table3.110[[#This Row],[Gas 8h, ml]]-Table3.110[[#This Row],[Gas 0h, ml]]</f>
        <v>43.5</v>
      </c>
      <c r="AF622" s="94">
        <f>Table3.110[[#This Row],[Gas 24h, ml]]-Table3.110[[#This Row],[V8 Push back, ml]]</f>
        <v>44.5</v>
      </c>
      <c r="AG622" s="94">
        <f>Table3.110[[#This Row],[GP 8h, ml]]-(AVERAGE(AE$658,AE$659))*$AG$8</f>
        <v>42.836244932930278</v>
      </c>
      <c r="AH622" s="94">
        <f>Table3.110[[#This Row],[GP 8-24h, ml]]-(AVERAGE(AF$658,AF$659))*$AG$8</f>
        <v>42.50873479879084</v>
      </c>
      <c r="AI622" s="94">
        <f>Table3.110[[#This Row],[Net gas 8-24h, ml]]+Table3.110[[#This Row],[Net gas 8h, ml]]</f>
        <v>85.344979731721111</v>
      </c>
      <c r="AJ622" s="94">
        <f>Table3.110[[#This Row],[Net gas 8h, ml]]*Table3.110[[#This Row],[CH4 8h %]]%</f>
        <v>5.4402031064821452</v>
      </c>
      <c r="AK622" s="94">
        <f>Table3.110[[#This Row],[Net gas 8-24h, ml]]*Table3.110[[#This Row],[CH4 24h, %]]%</f>
        <v>6.9289237722029071</v>
      </c>
      <c r="AL622" s="94">
        <f>Table3.110[[#This Row],[CH4 8-24h, ml]]+Table3.110[[#This Row],[CH4 8h, ml]]</f>
        <v>12.369126878685051</v>
      </c>
      <c r="AM622" s="94">
        <f>(Table3.110[[#This Row],[Net gas 24h, ml]]/Table3.110[[#This Row],[DM Incubated, mg]])*1000</f>
        <v>182.52015916044277</v>
      </c>
      <c r="AN622" s="94">
        <f>'3.2 Digest'!X622</f>
        <v>44.139343963089566</v>
      </c>
      <c r="AO622" s="94">
        <f>Table3.110[[#This Row],[Digested feed, mg]]/Table3.110[[#This Row],[Net gas 24h, ml]]</f>
        <v>2.418327058562844</v>
      </c>
      <c r="AP622" s="94">
        <f>Table3.110[[#This Row],[CH4 8h, ml]]/Table3.110[[#This Row],[Net gas 8h, ml]]%</f>
        <v>12.7</v>
      </c>
      <c r="AQ622" s="94">
        <f>Table3.110[[#This Row],[CH4 24h, ml]]/Table3.110[[#This Row],[Net gas 24h, ml]]%</f>
        <v>14.493092525848573</v>
      </c>
      <c r="AR622" s="94">
        <f>Table3.110[[#This Row],[CH4 24h, ml]]/Table3.110[[#This Row],[DM Incubated, mg]]*1000</f>
        <v>26.452815545449052</v>
      </c>
      <c r="AS622" s="94">
        <f>Table3.110[[#This Row],[CH4 24h, ml]]/Table3.110[[#This Row],[Digested feed, mg]]*1000</f>
        <v>59.930241753410655</v>
      </c>
      <c r="AT622" s="94">
        <f>Table3.110[[#This Row],[CH4 24h, ml]]/'3.2 Digest'!AA622</f>
        <v>11.896518468075909</v>
      </c>
      <c r="AU622" s="94">
        <f>((Table3.110[[#This Row],[CH4 24h, ml]]/28.9)*16.04)/Table3.110[[#This Row],[DM Incubated, mg]]*1000</f>
        <v>14.681770288892832</v>
      </c>
      <c r="AV622" s="94">
        <f>((Table3.110[[#This Row],[CH4 24h, ml]]/28.9)*16.04)/Table3.110[[#This Row],[Digested feed, mg]]*1000</f>
        <v>33.262321028536576</v>
      </c>
    </row>
    <row r="623" spans="2:48" s="89" customFormat="1" x14ac:dyDescent="0.35">
      <c r="B623" s="90">
        <f t="shared" si="9"/>
        <v>613</v>
      </c>
      <c r="C623" s="140">
        <v>46055</v>
      </c>
      <c r="D623" s="6" t="s">
        <v>16</v>
      </c>
      <c r="E623" s="6" t="s">
        <v>285</v>
      </c>
      <c r="F623" s="133" t="s">
        <v>269</v>
      </c>
      <c r="G623" s="133" t="s">
        <v>282</v>
      </c>
      <c r="H623" s="133" t="s">
        <v>283</v>
      </c>
      <c r="I623" s="133" t="s">
        <v>22</v>
      </c>
      <c r="J623" s="135" t="s">
        <v>23</v>
      </c>
      <c r="K623" s="135" t="s">
        <v>215</v>
      </c>
      <c r="L623" s="6" t="s">
        <v>284</v>
      </c>
      <c r="M623" s="93">
        <v>28</v>
      </c>
      <c r="N623" s="93">
        <v>62</v>
      </c>
      <c r="O623" s="6">
        <v>2</v>
      </c>
      <c r="P623" s="129">
        <v>2</v>
      </c>
      <c r="Q623" s="6">
        <v>0</v>
      </c>
      <c r="R623" s="112">
        <v>0.50039999999999996</v>
      </c>
      <c r="S623" s="94">
        <f>((Table3.110[[#This Row],[Sample weight, g]]*'2.1. DM'!Q173)/100)*1000</f>
        <v>467.40526114338462</v>
      </c>
      <c r="T623" s="94">
        <f>'3.2 Digest'!W623</f>
        <v>198.20526114338463</v>
      </c>
      <c r="U623" s="117">
        <v>0.35416666666666669</v>
      </c>
      <c r="V623" s="155">
        <v>41</v>
      </c>
      <c r="W623" s="117">
        <v>0.69236111111111109</v>
      </c>
      <c r="X623" s="96">
        <v>83.5</v>
      </c>
      <c r="Y623" s="96">
        <v>12.7</v>
      </c>
      <c r="Z623" s="155">
        <v>40</v>
      </c>
      <c r="AA623" s="117">
        <v>0.36736111111111114</v>
      </c>
      <c r="AB623" s="155">
        <v>84</v>
      </c>
      <c r="AC623" s="155">
        <v>16.399999999999999</v>
      </c>
      <c r="AD623" s="96"/>
      <c r="AE623" s="94">
        <f>Table3.110[[#This Row],[Gas 8h, ml]]-Table3.110[[#This Row],[Gas 0h, ml]]</f>
        <v>42.5</v>
      </c>
      <c r="AF623" s="94">
        <f>Table3.110[[#This Row],[Gas 24h, ml]]-Table3.110[[#This Row],[V8 Push back, ml]]</f>
        <v>44</v>
      </c>
      <c r="AG623" s="94">
        <f>Table3.110[[#This Row],[GP 8h, ml]]-(AVERAGE(AE$658,AE$659))*$AG$8</f>
        <v>41.836244932930278</v>
      </c>
      <c r="AH623" s="94">
        <f>Table3.110[[#This Row],[GP 8-24h, ml]]-(AVERAGE(AF$658,AF$659))*$AG$8</f>
        <v>42.00873479879084</v>
      </c>
      <c r="AI623" s="94">
        <f>Table3.110[[#This Row],[Net gas 8-24h, ml]]+Table3.110[[#This Row],[Net gas 8h, ml]]</f>
        <v>83.844979731721111</v>
      </c>
      <c r="AJ623" s="94">
        <f>Table3.110[[#This Row],[Net gas 8h, ml]]*Table3.110[[#This Row],[CH4 8h %]]%</f>
        <v>5.3132031064821454</v>
      </c>
      <c r="AK623" s="94">
        <f>Table3.110[[#This Row],[Net gas 8-24h, ml]]*Table3.110[[#This Row],[CH4 24h, %]]%</f>
        <v>6.8894325070016968</v>
      </c>
      <c r="AL623" s="94">
        <f>Table3.110[[#This Row],[CH4 8-24h, ml]]+Table3.110[[#This Row],[CH4 8h, ml]]</f>
        <v>12.202635613483842</v>
      </c>
      <c r="AM623" s="94">
        <f>(Table3.110[[#This Row],[Net gas 24h, ml]]/Table3.110[[#This Row],[DM Incubated, mg]])*1000</f>
        <v>179.38390236904121</v>
      </c>
      <c r="AN623" s="94">
        <f>'3.2 Digest'!X623</f>
        <v>42.405440764301055</v>
      </c>
      <c r="AO623" s="94">
        <f>Table3.110[[#This Row],[Digested feed, mg]]/Table3.110[[#This Row],[Net gas 24h, ml]]</f>
        <v>2.3639490614415108</v>
      </c>
      <c r="AP623" s="94">
        <f>Table3.110[[#This Row],[CH4 8h, ml]]/Table3.110[[#This Row],[Net gas 8h, ml]]%</f>
        <v>12.700000000000001</v>
      </c>
      <c r="AQ623" s="94">
        <f>Table3.110[[#This Row],[CH4 24h, ml]]/Table3.110[[#This Row],[Net gas 24h, ml]]%</f>
        <v>14.553805907674652</v>
      </c>
      <c r="AR623" s="94">
        <f>Table3.110[[#This Row],[CH4 24h, ml]]/Table3.110[[#This Row],[DM Incubated, mg]]*1000</f>
        <v>26.107184980402849</v>
      </c>
      <c r="AS623" s="94">
        <f>Table3.110[[#This Row],[CH4 24h, ml]]/Table3.110[[#This Row],[Digested feed, mg]]*1000</f>
        <v>61.565649383324264</v>
      </c>
      <c r="AT623" s="94">
        <f>Table3.110[[#This Row],[CH4 24h, ml]]/'3.2 Digest'!AA623</f>
        <v>-6.0052938090995545</v>
      </c>
      <c r="AU623" s="94">
        <f>((Table3.110[[#This Row],[CH4 24h, ml]]/28.9)*16.04)/Table3.110[[#This Row],[DM Incubated, mg]]*1000</f>
        <v>14.489939345524625</v>
      </c>
      <c r="AV623" s="94">
        <f>((Table3.110[[#This Row],[CH4 24h, ml]]/28.9)*16.04)/Table3.110[[#This Row],[Digested feed, mg]]*1000</f>
        <v>34.170000557388271</v>
      </c>
    </row>
    <row r="624" spans="2:48" s="89" customFormat="1" x14ac:dyDescent="0.35">
      <c r="B624" s="90">
        <f t="shared" si="9"/>
        <v>614</v>
      </c>
      <c r="C624" s="140">
        <v>46055</v>
      </c>
      <c r="D624" s="6" t="s">
        <v>16</v>
      </c>
      <c r="E624" s="6" t="s">
        <v>285</v>
      </c>
      <c r="F624" s="133" t="s">
        <v>269</v>
      </c>
      <c r="G624" s="133" t="s">
        <v>282</v>
      </c>
      <c r="H624" s="133" t="s">
        <v>283</v>
      </c>
      <c r="I624" s="133" t="s">
        <v>22</v>
      </c>
      <c r="J624" s="135" t="s">
        <v>23</v>
      </c>
      <c r="K624" s="135" t="s">
        <v>215</v>
      </c>
      <c r="L624" s="6" t="s">
        <v>284</v>
      </c>
      <c r="M624" s="93">
        <v>28</v>
      </c>
      <c r="N624" s="93">
        <v>62</v>
      </c>
      <c r="O624" s="6">
        <v>2</v>
      </c>
      <c r="P624" s="129">
        <v>3</v>
      </c>
      <c r="Q624" s="6">
        <v>0</v>
      </c>
      <c r="R624" s="112">
        <v>0.50009999999999999</v>
      </c>
      <c r="S624" s="94">
        <f>((Table3.110[[#This Row],[Sample weight, g]]*'2.1. DM'!Q173)/100)*1000</f>
        <v>467.12504216188375</v>
      </c>
      <c r="T624" s="94">
        <f>'3.2 Digest'!W624</f>
        <v>162.52504216188379</v>
      </c>
      <c r="U624" s="117">
        <v>0.35416666666666669</v>
      </c>
      <c r="V624" s="155">
        <v>40.5</v>
      </c>
      <c r="W624" s="117">
        <v>0.69236111111111109</v>
      </c>
      <c r="X624" s="96">
        <v>83.5</v>
      </c>
      <c r="Y624" s="96">
        <v>12.6</v>
      </c>
      <c r="Z624" s="155">
        <v>40</v>
      </c>
      <c r="AA624" s="117">
        <v>0.36736111111111114</v>
      </c>
      <c r="AB624" s="155">
        <v>85</v>
      </c>
      <c r="AC624" s="155">
        <v>16.2</v>
      </c>
      <c r="AD624" s="96"/>
      <c r="AE624" s="94">
        <f>Table3.110[[#This Row],[Gas 8h, ml]]-Table3.110[[#This Row],[Gas 0h, ml]]</f>
        <v>43</v>
      </c>
      <c r="AF624" s="94">
        <f>Table3.110[[#This Row],[Gas 24h, ml]]-Table3.110[[#This Row],[V8 Push back, ml]]</f>
        <v>45</v>
      </c>
      <c r="AG624" s="94">
        <f>Table3.110[[#This Row],[GP 8h, ml]]-(AVERAGE(AE$658,AE$659))*$AG$8</f>
        <v>42.336244932930278</v>
      </c>
      <c r="AH624" s="94">
        <f>Table3.110[[#This Row],[GP 8-24h, ml]]-(AVERAGE(AF$658,AF$659))*$AG$8</f>
        <v>43.00873479879084</v>
      </c>
      <c r="AI624" s="94">
        <f>Table3.110[[#This Row],[Net gas 8-24h, ml]]+Table3.110[[#This Row],[Net gas 8h, ml]]</f>
        <v>85.344979731721111</v>
      </c>
      <c r="AJ624" s="94">
        <f>Table3.110[[#This Row],[Net gas 8h, ml]]*Table3.110[[#This Row],[CH4 8h %]]%</f>
        <v>5.3343668615492152</v>
      </c>
      <c r="AK624" s="94">
        <f>Table3.110[[#This Row],[Net gas 8-24h, ml]]*Table3.110[[#This Row],[CH4 24h, %]]%</f>
        <v>6.9674150374041162</v>
      </c>
      <c r="AL624" s="94">
        <f>Table3.110[[#This Row],[CH4 8-24h, ml]]+Table3.110[[#This Row],[CH4 8h, ml]]</f>
        <v>12.301781898953331</v>
      </c>
      <c r="AM624" s="94">
        <f>(Table3.110[[#This Row],[Net gas 24h, ml]]/Table3.110[[#This Row],[DM Incubated, mg]])*1000</f>
        <v>182.70264282287079</v>
      </c>
      <c r="AN624" s="94">
        <f>'3.2 Digest'!X624</f>
        <v>34.792620282078602</v>
      </c>
      <c r="AO624" s="94">
        <f>Table3.110[[#This Row],[Digested feed, mg]]/Table3.110[[#This Row],[Net gas 24h, ml]]</f>
        <v>1.9043304324727177</v>
      </c>
      <c r="AP624" s="94">
        <f>Table3.110[[#This Row],[CH4 8h, ml]]/Table3.110[[#This Row],[Net gas 8h, ml]]%</f>
        <v>12.6</v>
      </c>
      <c r="AQ624" s="94">
        <f>Table3.110[[#This Row],[CH4 24h, ml]]/Table3.110[[#This Row],[Net gas 24h, ml]]%</f>
        <v>14.414183397340466</v>
      </c>
      <c r="AR624" s="94">
        <f>Table3.110[[#This Row],[CH4 24h, ml]]/Table3.110[[#This Row],[DM Incubated, mg]]*1000</f>
        <v>26.335094008276496</v>
      </c>
      <c r="AS624" s="94">
        <f>Table3.110[[#This Row],[CH4 24h, ml]]/Table3.110[[#This Row],[Digested feed, mg]]*1000</f>
        <v>75.691608722673564</v>
      </c>
      <c r="AT624" s="94">
        <f>Table3.110[[#This Row],[CH4 24h, ml]]/'3.2 Digest'!AA624</f>
        <v>-0.79271635227394155</v>
      </c>
      <c r="AU624" s="94">
        <f>((Table3.110[[#This Row],[CH4 24h, ml]]/28.9)*16.04)/Table3.110[[#This Row],[DM Incubated, mg]]*1000</f>
        <v>14.616432799057266</v>
      </c>
      <c r="AV624" s="94">
        <f>((Table3.110[[#This Row],[CH4 24h, ml]]/28.9)*16.04)/Table3.110[[#This Row],[Digested feed, mg]]*1000</f>
        <v>42.010152384487334</v>
      </c>
    </row>
    <row r="625" spans="2:48" s="89" customFormat="1" x14ac:dyDescent="0.35">
      <c r="B625" s="90">
        <f t="shared" si="9"/>
        <v>615</v>
      </c>
      <c r="C625" s="140">
        <v>46055</v>
      </c>
      <c r="D625" s="6" t="s">
        <v>16</v>
      </c>
      <c r="E625" s="6" t="s">
        <v>287</v>
      </c>
      <c r="F625" s="133" t="s">
        <v>235</v>
      </c>
      <c r="G625" s="133" t="s">
        <v>274</v>
      </c>
      <c r="H625" s="133" t="s">
        <v>275</v>
      </c>
      <c r="I625" s="133" t="s">
        <v>22</v>
      </c>
      <c r="J625" s="135" t="s">
        <v>23</v>
      </c>
      <c r="K625" s="135" t="s">
        <v>215</v>
      </c>
      <c r="L625" s="6" t="s">
        <v>286</v>
      </c>
      <c r="M625" s="93">
        <v>28</v>
      </c>
      <c r="N625" s="93">
        <v>62</v>
      </c>
      <c r="O625" s="6">
        <v>2</v>
      </c>
      <c r="P625" s="129">
        <v>1</v>
      </c>
      <c r="Q625" s="6">
        <v>0</v>
      </c>
      <c r="R625" s="112">
        <v>0.5</v>
      </c>
      <c r="S625" s="94">
        <f>((Table3.110[[#This Row],[Sample weight, g]]*'2.1. DM'!Q175)/100)*1000</f>
        <v>460.48091651542705</v>
      </c>
      <c r="T625" s="94">
        <f>'3.2 Digest'!W625</f>
        <v>120.28091651542712</v>
      </c>
      <c r="U625" s="117">
        <v>0.35416666666666669</v>
      </c>
      <c r="V625" s="155">
        <v>41</v>
      </c>
      <c r="W625" s="117">
        <v>0.69305555555555554</v>
      </c>
      <c r="X625" s="96">
        <v>73</v>
      </c>
      <c r="Y625" s="96">
        <v>12.2</v>
      </c>
      <c r="Z625" s="155">
        <v>40</v>
      </c>
      <c r="AA625" s="117">
        <v>0.36805555555555558</v>
      </c>
      <c r="AB625" s="155">
        <v>70.5</v>
      </c>
      <c r="AC625" s="155">
        <v>17.2</v>
      </c>
      <c r="AD625" s="96"/>
      <c r="AE625" s="94">
        <f>Table3.110[[#This Row],[Gas 8h, ml]]-Table3.110[[#This Row],[Gas 0h, ml]]</f>
        <v>32</v>
      </c>
      <c r="AF625" s="94">
        <f>Table3.110[[#This Row],[Gas 24h, ml]]-Table3.110[[#This Row],[V8 Push back, ml]]</f>
        <v>30.5</v>
      </c>
      <c r="AG625" s="94">
        <f>Table3.110[[#This Row],[GP 8h, ml]]-(AVERAGE(AE$658,AE$659))*$AG$8</f>
        <v>31.336244932930278</v>
      </c>
      <c r="AH625" s="94">
        <f>Table3.110[[#This Row],[GP 8-24h, ml]]-(AVERAGE(AF$658,AF$659))*$AG$8</f>
        <v>28.508734798790837</v>
      </c>
      <c r="AI625" s="94">
        <f>Table3.110[[#This Row],[Net gas 8-24h, ml]]+Table3.110[[#This Row],[Net gas 8h, ml]]</f>
        <v>59.844979731721111</v>
      </c>
      <c r="AJ625" s="94">
        <f>Table3.110[[#This Row],[Net gas 8h, ml]]*Table3.110[[#This Row],[CH4 8h %]]%</f>
        <v>3.8230218818174939</v>
      </c>
      <c r="AK625" s="94">
        <f>Table3.110[[#This Row],[Net gas 8-24h, ml]]*Table3.110[[#This Row],[CH4 24h, %]]%</f>
        <v>4.9035023853920237</v>
      </c>
      <c r="AL625" s="94">
        <f>Table3.110[[#This Row],[CH4 8-24h, ml]]+Table3.110[[#This Row],[CH4 8h, ml]]</f>
        <v>8.726524267209518</v>
      </c>
      <c r="AM625" s="94">
        <f>(Table3.110[[#This Row],[Net gas 24h, ml]]/Table3.110[[#This Row],[DM Incubated, mg]])*1000</f>
        <v>129.96191065762912</v>
      </c>
      <c r="AN625" s="94">
        <f>'3.2 Digest'!X625</f>
        <v>26.120716885646978</v>
      </c>
      <c r="AO625" s="94">
        <f>Table3.110[[#This Row],[Digested feed, mg]]/Table3.110[[#This Row],[Net gas 24h, ml]]</f>
        <v>2.0098747974288589</v>
      </c>
      <c r="AP625" s="94">
        <f>Table3.110[[#This Row],[CH4 8h, ml]]/Table3.110[[#This Row],[Net gas 8h, ml]]%</f>
        <v>12.2</v>
      </c>
      <c r="AQ625" s="94">
        <f>Table3.110[[#This Row],[CH4 24h, ml]]/Table3.110[[#This Row],[Net gas 24h, ml]]%</f>
        <v>14.581881899416841</v>
      </c>
      <c r="AR625" s="94">
        <f>Table3.110[[#This Row],[CH4 24h, ml]]/Table3.110[[#This Row],[DM Incubated, mg]]*1000</f>
        <v>18.95089232632111</v>
      </c>
      <c r="AS625" s="94">
        <f>Table3.110[[#This Row],[CH4 24h, ml]]/Table3.110[[#This Row],[Digested feed, mg]]*1000</f>
        <v>72.551195318587887</v>
      </c>
      <c r="AT625" s="94">
        <f>Table3.110[[#This Row],[CH4 24h, ml]]/'3.2 Digest'!AA625</f>
        <v>-0.17682631595365816</v>
      </c>
      <c r="AU625" s="94">
        <f>((Table3.110[[#This Row],[CH4 24h, ml]]/28.9)*16.04)/Table3.110[[#This Row],[DM Incubated, mg]]*1000</f>
        <v>10.518073111217667</v>
      </c>
      <c r="AV625" s="94">
        <f>((Table3.110[[#This Row],[CH4 24h, ml]]/28.9)*16.04)/Table3.110[[#This Row],[Digested feed, mg]]*1000</f>
        <v>40.267168612807957</v>
      </c>
    </row>
    <row r="626" spans="2:48" s="89" customFormat="1" x14ac:dyDescent="0.35">
      <c r="B626" s="90">
        <f t="shared" si="9"/>
        <v>616</v>
      </c>
      <c r="C626" s="140">
        <v>46055</v>
      </c>
      <c r="D626" s="6" t="s">
        <v>16</v>
      </c>
      <c r="E626" s="6" t="s">
        <v>287</v>
      </c>
      <c r="F626" s="133" t="s">
        <v>235</v>
      </c>
      <c r="G626" s="133" t="s">
        <v>274</v>
      </c>
      <c r="H626" s="133" t="s">
        <v>275</v>
      </c>
      <c r="I626" s="133" t="s">
        <v>22</v>
      </c>
      <c r="J626" s="135" t="s">
        <v>23</v>
      </c>
      <c r="K626" s="135" t="s">
        <v>215</v>
      </c>
      <c r="L626" s="6" t="s">
        <v>286</v>
      </c>
      <c r="M626" s="93">
        <v>28</v>
      </c>
      <c r="N626" s="93">
        <v>62</v>
      </c>
      <c r="O626" s="6">
        <v>2</v>
      </c>
      <c r="P626" s="129">
        <v>2</v>
      </c>
      <c r="Q626" s="6">
        <v>0</v>
      </c>
      <c r="R626" s="112">
        <v>0.50049999999999994</v>
      </c>
      <c r="S626" s="94">
        <f>((Table3.110[[#This Row],[Sample weight, g]]*'2.1. DM'!Q175)/100)*1000</f>
        <v>460.94139743194239</v>
      </c>
      <c r="T626" s="94">
        <f>'3.2 Digest'!W626</f>
        <v>130.34139743194237</v>
      </c>
      <c r="U626" s="117">
        <v>0.35486111111111113</v>
      </c>
      <c r="V626" s="155">
        <v>40.5</v>
      </c>
      <c r="W626" s="117">
        <v>0.69305555555555554</v>
      </c>
      <c r="X626" s="96">
        <v>72.5</v>
      </c>
      <c r="Y626" s="96">
        <v>12.2</v>
      </c>
      <c r="Z626" s="155">
        <v>40</v>
      </c>
      <c r="AA626" s="117">
        <v>0.36805555555555558</v>
      </c>
      <c r="AB626" s="155">
        <v>78.5</v>
      </c>
      <c r="AC626" s="155">
        <v>17.100000000000001</v>
      </c>
      <c r="AD626" s="96"/>
      <c r="AE626" s="94">
        <f>Table3.110[[#This Row],[Gas 8h, ml]]-Table3.110[[#This Row],[Gas 0h, ml]]</f>
        <v>32</v>
      </c>
      <c r="AF626" s="94">
        <f>Table3.110[[#This Row],[Gas 24h, ml]]-Table3.110[[#This Row],[V8 Push back, ml]]</f>
        <v>38.5</v>
      </c>
      <c r="AG626" s="94">
        <f>Table3.110[[#This Row],[GP 8h, ml]]-(AVERAGE(AE$658,AE$659))*$AG$8</f>
        <v>31.336244932930278</v>
      </c>
      <c r="AH626" s="94">
        <f>Table3.110[[#This Row],[GP 8-24h, ml]]-(AVERAGE(AF$658,AF$659))*$AG$8</f>
        <v>36.50873479879084</v>
      </c>
      <c r="AI626" s="94">
        <f>Table3.110[[#This Row],[Net gas 8-24h, ml]]+Table3.110[[#This Row],[Net gas 8h, ml]]</f>
        <v>67.844979731721111</v>
      </c>
      <c r="AJ626" s="94">
        <f>Table3.110[[#This Row],[Net gas 8h, ml]]*Table3.110[[#This Row],[CH4 8h %]]%</f>
        <v>3.8230218818174939</v>
      </c>
      <c r="AK626" s="94">
        <f>Table3.110[[#This Row],[Net gas 8-24h, ml]]*Table3.110[[#This Row],[CH4 24h, %]]%</f>
        <v>6.2429936505932337</v>
      </c>
      <c r="AL626" s="94">
        <f>Table3.110[[#This Row],[CH4 8-24h, ml]]+Table3.110[[#This Row],[CH4 8h, ml]]</f>
        <v>10.066015532410727</v>
      </c>
      <c r="AM626" s="94">
        <f>(Table3.110[[#This Row],[Net gas 24h, ml]]/Table3.110[[#This Row],[DM Incubated, mg]])*1000</f>
        <v>147.18786403154073</v>
      </c>
      <c r="AN626" s="94">
        <f>'3.2 Digest'!X626</f>
        <v>28.277216617582535</v>
      </c>
      <c r="AO626" s="94">
        <f>Table3.110[[#This Row],[Digested feed, mg]]/Table3.110[[#This Row],[Net gas 24h, ml]]</f>
        <v>1.9211649549804624</v>
      </c>
      <c r="AP626" s="94">
        <f>Table3.110[[#This Row],[CH4 8h, ml]]/Table3.110[[#This Row],[Net gas 8h, ml]]%</f>
        <v>12.2</v>
      </c>
      <c r="AQ626" s="94">
        <f>Table3.110[[#This Row],[CH4 24h, ml]]/Table3.110[[#This Row],[Net gas 24h, ml]]%</f>
        <v>14.836787588727562</v>
      </c>
      <c r="AR626" s="94">
        <f>Table3.110[[#This Row],[CH4 24h, ml]]/Table3.110[[#This Row],[DM Incubated, mg]]*1000</f>
        <v>21.837950742744834</v>
      </c>
      <c r="AS626" s="94">
        <f>Table3.110[[#This Row],[CH4 24h, ml]]/Table3.110[[#This Row],[Digested feed, mg]]*1000</f>
        <v>77.228077423879753</v>
      </c>
      <c r="AT626" s="94">
        <f>Table3.110[[#This Row],[CH4 24h, ml]]/'3.2 Digest'!AA626</f>
        <v>-0.22373225724117149</v>
      </c>
      <c r="AU626" s="94">
        <f>((Table3.110[[#This Row],[CH4 24h, ml]]/28.9)*16.04)/Table3.110[[#This Row],[DM Incubated, mg]]*1000</f>
        <v>12.120440481440383</v>
      </c>
      <c r="AV626" s="94">
        <f>((Table3.110[[#This Row],[CH4 24h, ml]]/28.9)*16.04)/Table3.110[[#This Row],[Digested feed, mg]]*1000</f>
        <v>42.862919096160255</v>
      </c>
    </row>
    <row r="627" spans="2:48" s="89" customFormat="1" x14ac:dyDescent="0.35">
      <c r="B627" s="90">
        <f t="shared" si="9"/>
        <v>617</v>
      </c>
      <c r="C627" s="140">
        <v>46055</v>
      </c>
      <c r="D627" s="6" t="s">
        <v>16</v>
      </c>
      <c r="E627" s="6" t="s">
        <v>287</v>
      </c>
      <c r="F627" s="133" t="s">
        <v>235</v>
      </c>
      <c r="G627" s="133" t="s">
        <v>274</v>
      </c>
      <c r="H627" s="133" t="s">
        <v>275</v>
      </c>
      <c r="I627" s="133" t="s">
        <v>22</v>
      </c>
      <c r="J627" s="135" t="s">
        <v>23</v>
      </c>
      <c r="K627" s="135" t="s">
        <v>215</v>
      </c>
      <c r="L627" s="6" t="s">
        <v>286</v>
      </c>
      <c r="M627" s="93">
        <v>28</v>
      </c>
      <c r="N627" s="93">
        <v>62</v>
      </c>
      <c r="O627" s="6">
        <v>2</v>
      </c>
      <c r="P627" s="129">
        <v>3</v>
      </c>
      <c r="Q627" s="6">
        <v>0</v>
      </c>
      <c r="R627" s="112">
        <v>0.50029999999999997</v>
      </c>
      <c r="S627" s="94">
        <f>((Table3.110[[#This Row],[Sample weight, g]]*'2.1. DM'!Q175)/100)*1000</f>
        <v>460.75720506533628</v>
      </c>
      <c r="T627" s="94">
        <f>'3.2 Digest'!W627</f>
        <v>15.557205065336348</v>
      </c>
      <c r="U627" s="117">
        <v>0.35486111111111113</v>
      </c>
      <c r="V627" s="155">
        <v>41.5</v>
      </c>
      <c r="W627" s="117">
        <v>0.69374999999999998</v>
      </c>
      <c r="X627" s="96">
        <v>72</v>
      </c>
      <c r="Y627" s="96">
        <v>12.2</v>
      </c>
      <c r="Z627" s="155">
        <v>40.5</v>
      </c>
      <c r="AA627" s="117">
        <v>0.36875000000000002</v>
      </c>
      <c r="AB627" s="155">
        <v>80</v>
      </c>
      <c r="AC627" s="155">
        <v>16.8</v>
      </c>
      <c r="AD627" s="96"/>
      <c r="AE627" s="94">
        <f>Table3.110[[#This Row],[Gas 8h, ml]]-Table3.110[[#This Row],[Gas 0h, ml]]</f>
        <v>30.5</v>
      </c>
      <c r="AF627" s="94">
        <f>Table3.110[[#This Row],[Gas 24h, ml]]-Table3.110[[#This Row],[V8 Push back, ml]]</f>
        <v>39.5</v>
      </c>
      <c r="AG627" s="94">
        <f>Table3.110[[#This Row],[GP 8h, ml]]-(AVERAGE(AE$658,AE$659))*$AG$8</f>
        <v>29.836244932930278</v>
      </c>
      <c r="AH627" s="94">
        <f>Table3.110[[#This Row],[GP 8-24h, ml]]-(AVERAGE(AF$658,AF$659))*$AG$8</f>
        <v>37.50873479879084</v>
      </c>
      <c r="AI627" s="94">
        <f>Table3.110[[#This Row],[Net gas 8-24h, ml]]+Table3.110[[#This Row],[Net gas 8h, ml]]</f>
        <v>67.344979731721111</v>
      </c>
      <c r="AJ627" s="94">
        <f>Table3.110[[#This Row],[Net gas 8h, ml]]*Table3.110[[#This Row],[CH4 8h %]]%</f>
        <v>3.6400218818174936</v>
      </c>
      <c r="AK627" s="94">
        <f>Table3.110[[#This Row],[Net gas 8-24h, ml]]*Table3.110[[#This Row],[CH4 24h, %]]%</f>
        <v>6.3014674461968614</v>
      </c>
      <c r="AL627" s="94">
        <f>Table3.110[[#This Row],[CH4 8-24h, ml]]+Table3.110[[#This Row],[CH4 8h, ml]]</f>
        <v>9.9414893280143559</v>
      </c>
      <c r="AM627" s="94">
        <f>(Table3.110[[#This Row],[Net gas 24h, ml]]/Table3.110[[#This Row],[DM Incubated, mg]])*1000</f>
        <v>146.16153364801198</v>
      </c>
      <c r="AN627" s="94">
        <f>'3.2 Digest'!X627</f>
        <v>3.3764431449596768</v>
      </c>
      <c r="AO627" s="94">
        <f>Table3.110[[#This Row],[Digested feed, mg]]/Table3.110[[#This Row],[Net gas 24h, ml]]</f>
        <v>0.23100764343995384</v>
      </c>
      <c r="AP627" s="94">
        <f>Table3.110[[#This Row],[CH4 8h, ml]]/Table3.110[[#This Row],[Net gas 8h, ml]]%</f>
        <v>12.2</v>
      </c>
      <c r="AQ627" s="94">
        <f>Table3.110[[#This Row],[CH4 24h, ml]]/Table3.110[[#This Row],[Net gas 24h, ml]]%</f>
        <v>14.762034776189374</v>
      </c>
      <c r="AR627" s="94">
        <f>Table3.110[[#This Row],[CH4 24h, ml]]/Table3.110[[#This Row],[DM Incubated, mg]]*1000</f>
        <v>21.576416426531264</v>
      </c>
      <c r="AS627" s="94">
        <f>Table3.110[[#This Row],[CH4 24h, ml]]/Table3.110[[#This Row],[Digested feed, mg]]*1000</f>
        <v>639.02798004285489</v>
      </c>
      <c r="AT627" s="94">
        <f>Table3.110[[#This Row],[CH4 24h, ml]]/'3.2 Digest'!AA627</f>
        <v>-0.10428548574276779</v>
      </c>
      <c r="AU627" s="94">
        <f>((Table3.110[[#This Row],[CH4 24h, ml]]/28.9)*16.04)/Table3.110[[#This Row],[DM Incubated, mg]]*1000</f>
        <v>11.975284411126694</v>
      </c>
      <c r="AV627" s="94">
        <f>((Table3.110[[#This Row],[CH4 24h, ml]]/28.9)*16.04)/Table3.110[[#This Row],[Digested feed, mg]]*1000</f>
        <v>354.67158477119006</v>
      </c>
    </row>
    <row r="628" spans="2:48" s="89" customFormat="1" x14ac:dyDescent="0.35">
      <c r="B628" s="90">
        <f t="shared" si="9"/>
        <v>618</v>
      </c>
      <c r="C628" s="140">
        <v>46055</v>
      </c>
      <c r="D628" s="6" t="s">
        <v>16</v>
      </c>
      <c r="E628" s="6" t="s">
        <v>289</v>
      </c>
      <c r="F628" s="133" t="s">
        <v>290</v>
      </c>
      <c r="G628" s="133" t="s">
        <v>291</v>
      </c>
      <c r="H628" s="133" t="s">
        <v>292</v>
      </c>
      <c r="I628" s="133" t="s">
        <v>22</v>
      </c>
      <c r="J628" s="135" t="s">
        <v>23</v>
      </c>
      <c r="K628" s="135" t="s">
        <v>215</v>
      </c>
      <c r="L628" s="6" t="s">
        <v>288</v>
      </c>
      <c r="M628" s="93">
        <v>28</v>
      </c>
      <c r="N628" s="93">
        <v>62</v>
      </c>
      <c r="O628" s="6">
        <v>2</v>
      </c>
      <c r="P628" s="129">
        <v>1</v>
      </c>
      <c r="Q628" s="6">
        <v>0</v>
      </c>
      <c r="R628" s="112">
        <v>0.50019999999999998</v>
      </c>
      <c r="S628" s="94">
        <f>((Table3.110[[#This Row],[Sample weight, g]]*'2.1. DM'!Q177)/100)*1000</f>
        <v>458.17512327036894</v>
      </c>
      <c r="T628" s="94">
        <f>'3.2 Digest'!W628</f>
        <v>221.27512327036894</v>
      </c>
      <c r="U628" s="117">
        <v>0.35486111111111113</v>
      </c>
      <c r="V628" s="155">
        <v>40.5</v>
      </c>
      <c r="W628" s="117">
        <v>0.69374999999999998</v>
      </c>
      <c r="X628" s="96">
        <v>72.5</v>
      </c>
      <c r="Y628" s="96">
        <v>12.2</v>
      </c>
      <c r="Z628" s="155">
        <v>40</v>
      </c>
      <c r="AA628" s="117">
        <v>0.36875000000000002</v>
      </c>
      <c r="AB628" s="155">
        <v>91</v>
      </c>
      <c r="AC628" s="155">
        <v>15.6</v>
      </c>
      <c r="AD628" s="96"/>
      <c r="AE628" s="94">
        <f>Table3.110[[#This Row],[Gas 8h, ml]]-Table3.110[[#This Row],[Gas 0h, ml]]</f>
        <v>32</v>
      </c>
      <c r="AF628" s="94">
        <f>Table3.110[[#This Row],[Gas 24h, ml]]-Table3.110[[#This Row],[V8 Push back, ml]]</f>
        <v>51</v>
      </c>
      <c r="AG628" s="94">
        <f>Table3.110[[#This Row],[GP 8h, ml]]-(AVERAGE(AE$658,AE$659))*$AG$8</f>
        <v>31.336244932930278</v>
      </c>
      <c r="AH628" s="94">
        <f>Table3.110[[#This Row],[GP 8-24h, ml]]-(AVERAGE(AF$658,AF$659))*$AG$8</f>
        <v>49.00873479879084</v>
      </c>
      <c r="AI628" s="94">
        <f>Table3.110[[#This Row],[Net gas 8-24h, ml]]+Table3.110[[#This Row],[Net gas 8h, ml]]</f>
        <v>80.344979731721111</v>
      </c>
      <c r="AJ628" s="94">
        <f>Table3.110[[#This Row],[Net gas 8h, ml]]*Table3.110[[#This Row],[CH4 8h %]]%</f>
        <v>3.8230218818174939</v>
      </c>
      <c r="AK628" s="94">
        <f>Table3.110[[#This Row],[Net gas 8-24h, ml]]*Table3.110[[#This Row],[CH4 24h, %]]%</f>
        <v>7.6453626286113714</v>
      </c>
      <c r="AL628" s="94">
        <f>Table3.110[[#This Row],[CH4 8-24h, ml]]+Table3.110[[#This Row],[CH4 8h, ml]]</f>
        <v>11.468384510428866</v>
      </c>
      <c r="AM628" s="94">
        <f>(Table3.110[[#This Row],[Net gas 24h, ml]]/Table3.110[[#This Row],[DM Incubated, mg]])*1000</f>
        <v>175.35866888239931</v>
      </c>
      <c r="AN628" s="94">
        <f>'3.2 Digest'!X628</f>
        <v>48.294879410071026</v>
      </c>
      <c r="AO628" s="94">
        <f>Table3.110[[#This Row],[Digested feed, mg]]/Table3.110[[#This Row],[Net gas 24h, ml]]</f>
        <v>2.7540628426222256</v>
      </c>
      <c r="AP628" s="94">
        <f>Table3.110[[#This Row],[CH4 8h, ml]]/Table3.110[[#This Row],[Net gas 8h, ml]]%</f>
        <v>12.2</v>
      </c>
      <c r="AQ628" s="94">
        <f>Table3.110[[#This Row],[CH4 24h, ml]]/Table3.110[[#This Row],[Net gas 24h, ml]]%</f>
        <v>14.273927940143617</v>
      </c>
      <c r="AR628" s="94">
        <f>Table3.110[[#This Row],[CH4 24h, ml]]/Table3.110[[#This Row],[DM Incubated, mg]]*1000</f>
        <v>25.030570033068724</v>
      </c>
      <c r="AS628" s="94">
        <f>Table3.110[[#This Row],[CH4 24h, ml]]/Table3.110[[#This Row],[Digested feed, mg]]*1000</f>
        <v>51.828621043930077</v>
      </c>
      <c r="AT628" s="94">
        <f>Table3.110[[#This Row],[CH4 24h, ml]]/'3.2 Digest'!AA628</f>
        <v>-0.54170091126354936</v>
      </c>
      <c r="AU628" s="94">
        <f>((Table3.110[[#This Row],[CH4 24h, ml]]/28.9)*16.04)/Table3.110[[#This Row],[DM Incubated, mg]]*1000</f>
        <v>13.892399423198004</v>
      </c>
      <c r="AV628" s="94">
        <f>((Table3.110[[#This Row],[CH4 24h, ml]]/28.9)*16.04)/Table3.110[[#This Row],[Digested feed, mg]]*1000</f>
        <v>28.765781368326589</v>
      </c>
    </row>
    <row r="629" spans="2:48" s="89" customFormat="1" x14ac:dyDescent="0.35">
      <c r="B629" s="90">
        <f t="shared" si="9"/>
        <v>619</v>
      </c>
      <c r="C629" s="140">
        <v>46055</v>
      </c>
      <c r="D629" s="6" t="s">
        <v>16</v>
      </c>
      <c r="E629" s="6" t="s">
        <v>289</v>
      </c>
      <c r="F629" s="133" t="s">
        <v>290</v>
      </c>
      <c r="G629" s="133" t="s">
        <v>291</v>
      </c>
      <c r="H629" s="133" t="s">
        <v>292</v>
      </c>
      <c r="I629" s="133" t="s">
        <v>22</v>
      </c>
      <c r="J629" s="135" t="s">
        <v>23</v>
      </c>
      <c r="K629" s="135" t="s">
        <v>215</v>
      </c>
      <c r="L629" s="6" t="s">
        <v>288</v>
      </c>
      <c r="M629" s="93">
        <v>28</v>
      </c>
      <c r="N629" s="93">
        <v>62</v>
      </c>
      <c r="O629" s="6">
        <v>2</v>
      </c>
      <c r="P629" s="129">
        <v>2</v>
      </c>
      <c r="Q629" s="6">
        <v>0</v>
      </c>
      <c r="R629" s="112">
        <v>0.50009999999999999</v>
      </c>
      <c r="S629" s="94">
        <f>((Table3.110[[#This Row],[Sample weight, g]]*'2.1. DM'!Q177)/100)*1000</f>
        <v>458.08352488506898</v>
      </c>
      <c r="T629" s="94">
        <f>'3.2 Digest'!W629</f>
        <v>111.98352488506902</v>
      </c>
      <c r="U629" s="117">
        <v>0.35555555555555557</v>
      </c>
      <c r="V629" s="155">
        <v>40.5</v>
      </c>
      <c r="W629" s="117">
        <v>0.69444444444444442</v>
      </c>
      <c r="X629" s="96">
        <v>71.5</v>
      </c>
      <c r="Y629" s="96">
        <v>12.3</v>
      </c>
      <c r="Z629" s="155">
        <v>40</v>
      </c>
      <c r="AA629" s="117">
        <v>0.36875000000000002</v>
      </c>
      <c r="AB629" s="155">
        <v>88.5</v>
      </c>
      <c r="AC629" s="155">
        <v>15.2</v>
      </c>
      <c r="AD629" s="96"/>
      <c r="AE629" s="94">
        <f>Table3.110[[#This Row],[Gas 8h, ml]]-Table3.110[[#This Row],[Gas 0h, ml]]</f>
        <v>31</v>
      </c>
      <c r="AF629" s="94">
        <f>Table3.110[[#This Row],[Gas 24h, ml]]-Table3.110[[#This Row],[V8 Push back, ml]]</f>
        <v>48.5</v>
      </c>
      <c r="AG629" s="94">
        <f>Table3.110[[#This Row],[GP 8h, ml]]-(AVERAGE(AE$658,AE$659))*$AG$8</f>
        <v>30.336244932930278</v>
      </c>
      <c r="AH629" s="94">
        <f>Table3.110[[#This Row],[GP 8-24h, ml]]-(AVERAGE(AF$658,AF$659))*$AG$8</f>
        <v>46.50873479879084</v>
      </c>
      <c r="AI629" s="94">
        <f>Table3.110[[#This Row],[Net gas 8-24h, ml]]+Table3.110[[#This Row],[Net gas 8h, ml]]</f>
        <v>76.844979731721111</v>
      </c>
      <c r="AJ629" s="94">
        <f>Table3.110[[#This Row],[Net gas 8h, ml]]*Table3.110[[#This Row],[CH4 8h %]]%</f>
        <v>3.7313581267504246</v>
      </c>
      <c r="AK629" s="94">
        <f>Table3.110[[#This Row],[Net gas 8-24h, ml]]*Table3.110[[#This Row],[CH4 24h, %]]%</f>
        <v>7.0693276894162071</v>
      </c>
      <c r="AL629" s="94">
        <f>Table3.110[[#This Row],[CH4 8-24h, ml]]+Table3.110[[#This Row],[CH4 8h, ml]]</f>
        <v>10.800685816166631</v>
      </c>
      <c r="AM629" s="94">
        <f>(Table3.110[[#This Row],[Net gas 24h, ml]]/Table3.110[[#This Row],[DM Incubated, mg]])*1000</f>
        <v>167.75320559935255</v>
      </c>
      <c r="AN629" s="94">
        <f>'3.2 Digest'!X629</f>
        <v>24.446093081641642</v>
      </c>
      <c r="AO629" s="94">
        <f>Table3.110[[#This Row],[Digested feed, mg]]/Table3.110[[#This Row],[Net gas 24h, ml]]</f>
        <v>1.4572653317890452</v>
      </c>
      <c r="AP629" s="94">
        <f>Table3.110[[#This Row],[CH4 8h, ml]]/Table3.110[[#This Row],[Net gas 8h, ml]]%</f>
        <v>12.3</v>
      </c>
      <c r="AQ629" s="94">
        <f>Table3.110[[#This Row],[CH4 24h, ml]]/Table3.110[[#This Row],[Net gas 24h, ml]]%</f>
        <v>14.055161253049532</v>
      </c>
      <c r="AR629" s="94">
        <f>Table3.110[[#This Row],[CH4 24h, ml]]/Table3.110[[#This Row],[DM Incubated, mg]]*1000</f>
        <v>23.577983554148716</v>
      </c>
      <c r="AS629" s="94">
        <f>Table3.110[[#This Row],[CH4 24h, ml]]/Table3.110[[#This Row],[Digested feed, mg]]*1000</f>
        <v>96.448882344537694</v>
      </c>
      <c r="AT629" s="94">
        <f>Table3.110[[#This Row],[CH4 24h, ml]]/'3.2 Digest'!AA629</f>
        <v>-0.14015807336732269</v>
      </c>
      <c r="AU629" s="94">
        <f>((Table3.110[[#This Row],[CH4 24h, ml]]/28.9)*16.04)/Table3.110[[#This Row],[DM Incubated, mg]]*1000</f>
        <v>13.086188796143439</v>
      </c>
      <c r="AV629" s="94">
        <f>((Table3.110[[#This Row],[CH4 24h, ml]]/28.9)*16.04)/Table3.110[[#This Row],[Digested feed, mg]]*1000</f>
        <v>53.530798367002923</v>
      </c>
    </row>
    <row r="630" spans="2:48" s="89" customFormat="1" x14ac:dyDescent="0.35">
      <c r="B630" s="90">
        <f t="shared" si="9"/>
        <v>620</v>
      </c>
      <c r="C630" s="140">
        <v>46055</v>
      </c>
      <c r="D630" s="6" t="s">
        <v>16</v>
      </c>
      <c r="E630" s="6" t="s">
        <v>289</v>
      </c>
      <c r="F630" s="133" t="s">
        <v>290</v>
      </c>
      <c r="G630" s="133" t="s">
        <v>291</v>
      </c>
      <c r="H630" s="133" t="s">
        <v>292</v>
      </c>
      <c r="I630" s="133" t="s">
        <v>22</v>
      </c>
      <c r="J630" s="135" t="s">
        <v>23</v>
      </c>
      <c r="K630" s="135" t="s">
        <v>215</v>
      </c>
      <c r="L630" s="6" t="s">
        <v>288</v>
      </c>
      <c r="M630" s="93">
        <v>28</v>
      </c>
      <c r="N630" s="93">
        <v>62</v>
      </c>
      <c r="O630" s="6">
        <v>2</v>
      </c>
      <c r="P630" s="129">
        <v>3</v>
      </c>
      <c r="Q630" s="6">
        <v>0</v>
      </c>
      <c r="R630" s="112">
        <v>0.50019999999999998</v>
      </c>
      <c r="S630" s="94">
        <f>((Table3.110[[#This Row],[Sample weight, g]]*'2.1. DM'!Q177)/100)*1000</f>
        <v>458.17512327036894</v>
      </c>
      <c r="T630" s="94">
        <f>'3.2 Digest'!W630</f>
        <v>183.77512327036897</v>
      </c>
      <c r="U630" s="117">
        <v>0.35555555555555557</v>
      </c>
      <c r="V630" s="155">
        <v>40.5</v>
      </c>
      <c r="W630" s="117">
        <v>0.69444444444444442</v>
      </c>
      <c r="X630" s="96">
        <v>72.5</v>
      </c>
      <c r="Y630" s="96">
        <v>12.4</v>
      </c>
      <c r="Z630" s="155">
        <v>40.5</v>
      </c>
      <c r="AA630" s="117">
        <v>0.36944444444444446</v>
      </c>
      <c r="AB630" s="155">
        <v>87</v>
      </c>
      <c r="AC630" s="155">
        <v>15.9</v>
      </c>
      <c r="AD630" s="96"/>
      <c r="AE630" s="94">
        <f>Table3.110[[#This Row],[Gas 8h, ml]]-Table3.110[[#This Row],[Gas 0h, ml]]</f>
        <v>32</v>
      </c>
      <c r="AF630" s="94">
        <f>Table3.110[[#This Row],[Gas 24h, ml]]-Table3.110[[#This Row],[V8 Push back, ml]]</f>
        <v>46.5</v>
      </c>
      <c r="AG630" s="94">
        <f>Table3.110[[#This Row],[GP 8h, ml]]-(AVERAGE(AE$658,AE$659))*$AG$8</f>
        <v>31.336244932930278</v>
      </c>
      <c r="AH630" s="94">
        <f>Table3.110[[#This Row],[GP 8-24h, ml]]-(AVERAGE(AF$658,AF$659))*$AG$8</f>
        <v>44.50873479879084</v>
      </c>
      <c r="AI630" s="94">
        <f>Table3.110[[#This Row],[Net gas 8-24h, ml]]+Table3.110[[#This Row],[Net gas 8h, ml]]</f>
        <v>75.844979731721111</v>
      </c>
      <c r="AJ630" s="94">
        <f>Table3.110[[#This Row],[Net gas 8h, ml]]*Table3.110[[#This Row],[CH4 8h %]]%</f>
        <v>3.8856943716833543</v>
      </c>
      <c r="AK630" s="94">
        <f>Table3.110[[#This Row],[Net gas 8-24h, ml]]*Table3.110[[#This Row],[CH4 24h, %]]%</f>
        <v>7.076888833007744</v>
      </c>
      <c r="AL630" s="94">
        <f>Table3.110[[#This Row],[CH4 8-24h, ml]]+Table3.110[[#This Row],[CH4 8h, ml]]</f>
        <v>10.962583204691098</v>
      </c>
      <c r="AM630" s="94">
        <f>(Table3.110[[#This Row],[Net gas 24h, ml]]/Table3.110[[#This Row],[DM Incubated, mg]])*1000</f>
        <v>165.53709679904426</v>
      </c>
      <c r="AN630" s="94">
        <f>'3.2 Digest'!X630</f>
        <v>40.110236007275176</v>
      </c>
      <c r="AO630" s="94">
        <f>Table3.110[[#This Row],[Digested feed, mg]]/Table3.110[[#This Row],[Net gas 24h, ml]]</f>
        <v>2.4230360917811358</v>
      </c>
      <c r="AP630" s="94">
        <f>Table3.110[[#This Row],[CH4 8h, ml]]/Table3.110[[#This Row],[Net gas 8h, ml]]%</f>
        <v>12.399999999999999</v>
      </c>
      <c r="AQ630" s="94">
        <f>Table3.110[[#This Row],[CH4 24h, ml]]/Table3.110[[#This Row],[Net gas 24h, ml]]%</f>
        <v>14.453933857544628</v>
      </c>
      <c r="AR630" s="94">
        <f>Table3.110[[#This Row],[CH4 24h, ml]]/Table3.110[[#This Row],[DM Incubated, mg]]*1000</f>
        <v>23.926622481033487</v>
      </c>
      <c r="AS630" s="94">
        <f>Table3.110[[#This Row],[CH4 24h, ml]]/Table3.110[[#This Row],[Digested feed, mg]]*1000</f>
        <v>59.652160801780582</v>
      </c>
      <c r="AT630" s="94">
        <f>Table3.110[[#This Row],[CH4 24h, ml]]/'3.2 Digest'!AA630</f>
        <v>-0.27167524038009389</v>
      </c>
      <c r="AU630" s="94">
        <f>((Table3.110[[#This Row],[CH4 24h, ml]]/28.9)*16.04)/Table3.110[[#This Row],[DM Incubated, mg]]*1000</f>
        <v>13.279689432379831</v>
      </c>
      <c r="AV630" s="94">
        <f>((Table3.110[[#This Row],[CH4 24h, ml]]/28.9)*16.04)/Table3.110[[#This Row],[Digested feed, mg]]*1000</f>
        <v>33.107981289292752</v>
      </c>
    </row>
    <row r="631" spans="2:48" s="89" customFormat="1" x14ac:dyDescent="0.35">
      <c r="B631" s="90">
        <f t="shared" si="9"/>
        <v>621</v>
      </c>
      <c r="C631" s="140">
        <v>46055</v>
      </c>
      <c r="D631" s="6" t="s">
        <v>16</v>
      </c>
      <c r="E631" s="6" t="s">
        <v>294</v>
      </c>
      <c r="F631" s="133" t="s">
        <v>240</v>
      </c>
      <c r="G631" s="133" t="s">
        <v>241</v>
      </c>
      <c r="H631" s="133" t="s">
        <v>242</v>
      </c>
      <c r="I631" s="133" t="s">
        <v>22</v>
      </c>
      <c r="J631" s="135" t="s">
        <v>23</v>
      </c>
      <c r="K631" s="135" t="s">
        <v>215</v>
      </c>
      <c r="L631" s="6" t="s">
        <v>293</v>
      </c>
      <c r="M631" s="93">
        <v>28</v>
      </c>
      <c r="N631" s="93">
        <v>62</v>
      </c>
      <c r="O631" s="6">
        <v>2</v>
      </c>
      <c r="P631" s="129">
        <v>1</v>
      </c>
      <c r="Q631" s="6">
        <v>0</v>
      </c>
      <c r="R631" s="112">
        <v>0.50009999999999999</v>
      </c>
      <c r="S631" s="94">
        <f>((Table3.110[[#This Row],[Sample weight, g]]*'2.1. DM'!Q179)/100)*1000</f>
        <v>463.82681445566323</v>
      </c>
      <c r="T631" s="94">
        <f>'3.2 Digest'!W631</f>
        <v>189.42681445566313</v>
      </c>
      <c r="U631" s="117">
        <v>0.35555555555555557</v>
      </c>
      <c r="V631" s="155">
        <v>41</v>
      </c>
      <c r="W631" s="117">
        <v>0.69444444444444442</v>
      </c>
      <c r="X631" s="96">
        <v>70.5</v>
      </c>
      <c r="Y631" s="96">
        <v>11.3</v>
      </c>
      <c r="Z631" s="155">
        <v>40.5</v>
      </c>
      <c r="AA631" s="117">
        <v>0.36944444444444446</v>
      </c>
      <c r="AB631" s="155">
        <v>89.5</v>
      </c>
      <c r="AC631" s="155">
        <v>14.5</v>
      </c>
      <c r="AD631" s="96"/>
      <c r="AE631" s="94">
        <f>Table3.110[[#This Row],[Gas 8h, ml]]-Table3.110[[#This Row],[Gas 0h, ml]]</f>
        <v>29.5</v>
      </c>
      <c r="AF631" s="94">
        <f>Table3.110[[#This Row],[Gas 24h, ml]]-Table3.110[[#This Row],[V8 Push back, ml]]</f>
        <v>49</v>
      </c>
      <c r="AG631" s="94">
        <f>Table3.110[[#This Row],[GP 8h, ml]]-(AVERAGE(AE$658,AE$659))*$AG$8</f>
        <v>28.836244932930278</v>
      </c>
      <c r="AH631" s="94">
        <f>Table3.110[[#This Row],[GP 8-24h, ml]]-(AVERAGE(AF$658,AF$659))*$AG$8</f>
        <v>47.00873479879084</v>
      </c>
      <c r="AI631" s="94">
        <f>Table3.110[[#This Row],[Net gas 8-24h, ml]]+Table3.110[[#This Row],[Net gas 8h, ml]]</f>
        <v>75.844979731721111</v>
      </c>
      <c r="AJ631" s="94">
        <f>Table3.110[[#This Row],[Net gas 8h, ml]]*Table3.110[[#This Row],[CH4 8h %]]%</f>
        <v>3.2584956774211213</v>
      </c>
      <c r="AK631" s="94">
        <f>Table3.110[[#This Row],[Net gas 8-24h, ml]]*Table3.110[[#This Row],[CH4 24h, %]]%</f>
        <v>6.8162665458246714</v>
      </c>
      <c r="AL631" s="94">
        <f>Table3.110[[#This Row],[CH4 8-24h, ml]]+Table3.110[[#This Row],[CH4 8h, ml]]</f>
        <v>10.074762223245793</v>
      </c>
      <c r="AM631" s="94">
        <f>(Table3.110[[#This Row],[Net gas 24h, ml]]/Table3.110[[#This Row],[DM Incubated, mg]])*1000</f>
        <v>163.52004103240793</v>
      </c>
      <c r="AN631" s="94">
        <f>'3.2 Digest'!X631</f>
        <v>40.839987804062211</v>
      </c>
      <c r="AO631" s="94">
        <f>Table3.110[[#This Row],[Digested feed, mg]]/Table3.110[[#This Row],[Net gas 24h, ml]]</f>
        <v>2.4975524434933432</v>
      </c>
      <c r="AP631" s="94">
        <f>Table3.110[[#This Row],[CH4 8h, ml]]/Table3.110[[#This Row],[Net gas 8h, ml]]%</f>
        <v>11.3</v>
      </c>
      <c r="AQ631" s="94">
        <f>Table3.110[[#This Row],[CH4 24h, ml]]/Table3.110[[#This Row],[Net gas 24h, ml]]%</f>
        <v>13.283360690295186</v>
      </c>
      <c r="AR631" s="94">
        <f>Table3.110[[#This Row],[CH4 24h, ml]]/Table3.110[[#This Row],[DM Incubated, mg]]*1000</f>
        <v>21.720956851253433</v>
      </c>
      <c r="AS631" s="94">
        <f>Table3.110[[#This Row],[CH4 24h, ml]]/Table3.110[[#This Row],[Digested feed, mg]]*1000</f>
        <v>53.185512580130897</v>
      </c>
      <c r="AT631" s="94">
        <f>Table3.110[[#This Row],[CH4 24h, ml]]/'3.2 Digest'!AA631</f>
        <v>-3.015784347433208</v>
      </c>
      <c r="AU631" s="94">
        <f>((Table3.110[[#This Row],[CH4 24h, ml]]/28.9)*16.04)/Table3.110[[#This Row],[DM Incubated, mg]]*1000</f>
        <v>12.055506847546887</v>
      </c>
      <c r="AV631" s="94">
        <f>((Table3.110[[#This Row],[CH4 24h, ml]]/28.9)*16.04)/Table3.110[[#This Row],[Digested feed, mg]]*1000</f>
        <v>29.518879646550158</v>
      </c>
    </row>
    <row r="632" spans="2:48" s="89" customFormat="1" x14ac:dyDescent="0.35">
      <c r="B632" s="90">
        <f t="shared" si="9"/>
        <v>622</v>
      </c>
      <c r="C632" s="140">
        <v>46055</v>
      </c>
      <c r="D632" s="6" t="s">
        <v>16</v>
      </c>
      <c r="E632" s="6" t="s">
        <v>294</v>
      </c>
      <c r="F632" s="133" t="s">
        <v>240</v>
      </c>
      <c r="G632" s="133" t="s">
        <v>241</v>
      </c>
      <c r="H632" s="133" t="s">
        <v>242</v>
      </c>
      <c r="I632" s="133" t="s">
        <v>22</v>
      </c>
      <c r="J632" s="135" t="s">
        <v>23</v>
      </c>
      <c r="K632" s="135" t="s">
        <v>215</v>
      </c>
      <c r="L632" s="6" t="s">
        <v>293</v>
      </c>
      <c r="M632" s="93">
        <v>28</v>
      </c>
      <c r="N632" s="93">
        <v>62</v>
      </c>
      <c r="O632" s="6">
        <v>2</v>
      </c>
      <c r="P632" s="129">
        <v>2</v>
      </c>
      <c r="Q632" s="6">
        <v>0</v>
      </c>
      <c r="R632" s="112">
        <v>0.50019999999999998</v>
      </c>
      <c r="S632" s="94">
        <f>((Table3.110[[#This Row],[Sample weight, g]]*'2.1. DM'!Q179)/100)*1000</f>
        <v>463.9195612691916</v>
      </c>
      <c r="T632" s="94">
        <f>'3.2 Digest'!W632</f>
        <v>192.21956126919156</v>
      </c>
      <c r="U632" s="117">
        <v>0.35625000000000001</v>
      </c>
      <c r="V632" s="155">
        <v>40</v>
      </c>
      <c r="W632" s="117">
        <v>0.69513888888888886</v>
      </c>
      <c r="X632" s="96">
        <v>68</v>
      </c>
      <c r="Y632" s="96">
        <v>10.9</v>
      </c>
      <c r="Z632" s="155">
        <v>39</v>
      </c>
      <c r="AA632" s="117">
        <v>0.37013888888888891</v>
      </c>
      <c r="AB632" s="155">
        <v>86.5</v>
      </c>
      <c r="AC632" s="155">
        <v>14.2</v>
      </c>
      <c r="AD632" s="96"/>
      <c r="AE632" s="94">
        <f>Table3.110[[#This Row],[Gas 8h, ml]]-Table3.110[[#This Row],[Gas 0h, ml]]</f>
        <v>28</v>
      </c>
      <c r="AF632" s="94">
        <f>Table3.110[[#This Row],[Gas 24h, ml]]-Table3.110[[#This Row],[V8 Push back, ml]]</f>
        <v>47.5</v>
      </c>
      <c r="AG632" s="94">
        <f>Table3.110[[#This Row],[GP 8h, ml]]-(AVERAGE(AE$658,AE$659))*$AG$8</f>
        <v>27.336244932930278</v>
      </c>
      <c r="AH632" s="94">
        <f>Table3.110[[#This Row],[GP 8-24h, ml]]-(AVERAGE(AF$658,AF$659))*$AG$8</f>
        <v>45.50873479879084</v>
      </c>
      <c r="AI632" s="94">
        <f>Table3.110[[#This Row],[Net gas 8-24h, ml]]+Table3.110[[#This Row],[Net gas 8h, ml]]</f>
        <v>72.844979731721111</v>
      </c>
      <c r="AJ632" s="94">
        <f>Table3.110[[#This Row],[Net gas 8h, ml]]*Table3.110[[#This Row],[CH4 8h %]]%</f>
        <v>2.9796506976894004</v>
      </c>
      <c r="AK632" s="94">
        <f>Table3.110[[#This Row],[Net gas 8-24h, ml]]*Table3.110[[#This Row],[CH4 24h, %]]%</f>
        <v>6.4622403414282985</v>
      </c>
      <c r="AL632" s="94">
        <f>Table3.110[[#This Row],[CH4 8-24h, ml]]+Table3.110[[#This Row],[CH4 8h, ml]]</f>
        <v>9.4418910391176993</v>
      </c>
      <c r="AM632" s="94">
        <f>(Table3.110[[#This Row],[Net gas 24h, ml]]/Table3.110[[#This Row],[DM Incubated, mg]])*1000</f>
        <v>157.02071180708947</v>
      </c>
      <c r="AN632" s="94">
        <f>'3.2 Digest'!X632</f>
        <v>41.43381252200642</v>
      </c>
      <c r="AO632" s="94">
        <f>Table3.110[[#This Row],[Digested feed, mg]]/Table3.110[[#This Row],[Net gas 24h, ml]]</f>
        <v>2.6387482291451243</v>
      </c>
      <c r="AP632" s="94">
        <f>Table3.110[[#This Row],[CH4 8h, ml]]/Table3.110[[#This Row],[Net gas 8h, ml]]%</f>
        <v>10.9</v>
      </c>
      <c r="AQ632" s="94">
        <f>Table3.110[[#This Row],[CH4 24h, ml]]/Table3.110[[#This Row],[Net gas 24h, ml]]%</f>
        <v>12.96162216516635</v>
      </c>
      <c r="AR632" s="94">
        <f>Table3.110[[#This Row],[CH4 24h, ml]]/Table3.110[[#This Row],[DM Incubated, mg]]*1000</f>
        <v>20.352431385489684</v>
      </c>
      <c r="AS632" s="94">
        <f>Table3.110[[#This Row],[CH4 24h, ml]]/Table3.110[[#This Row],[Digested feed, mg]]*1000</f>
        <v>49.120344343596315</v>
      </c>
      <c r="AT632" s="94">
        <f>Table3.110[[#This Row],[CH4 24h, ml]]/'3.2 Digest'!AA632</f>
        <v>-4.0991379126534886</v>
      </c>
      <c r="AU632" s="94">
        <f>((Table3.110[[#This Row],[CH4 24h, ml]]/28.9)*16.04)/Table3.110[[#This Row],[DM Incubated, mg]]*1000</f>
        <v>11.295951537136835</v>
      </c>
      <c r="AV632" s="94">
        <f>((Table3.110[[#This Row],[CH4 24h, ml]]/28.9)*16.04)/Table3.110[[#This Row],[Digested feed, mg]]*1000</f>
        <v>27.262640943643078</v>
      </c>
    </row>
    <row r="633" spans="2:48" s="89" customFormat="1" x14ac:dyDescent="0.35">
      <c r="B633" s="90">
        <f t="shared" si="9"/>
        <v>623</v>
      </c>
      <c r="C633" s="140">
        <v>46055</v>
      </c>
      <c r="D633" s="6" t="s">
        <v>16</v>
      </c>
      <c r="E633" s="6" t="s">
        <v>294</v>
      </c>
      <c r="F633" s="133" t="s">
        <v>240</v>
      </c>
      <c r="G633" s="133" t="s">
        <v>241</v>
      </c>
      <c r="H633" s="133" t="s">
        <v>242</v>
      </c>
      <c r="I633" s="133" t="s">
        <v>22</v>
      </c>
      <c r="J633" s="135" t="s">
        <v>23</v>
      </c>
      <c r="K633" s="135" t="s">
        <v>215</v>
      </c>
      <c r="L633" s="6" t="s">
        <v>293</v>
      </c>
      <c r="M633" s="93">
        <v>28</v>
      </c>
      <c r="N633" s="93">
        <v>62</v>
      </c>
      <c r="O633" s="6">
        <v>2</v>
      </c>
      <c r="P633" s="129">
        <v>3</v>
      </c>
      <c r="Q633" s="6">
        <v>0</v>
      </c>
      <c r="R633" s="112">
        <v>0.50060000000000004</v>
      </c>
      <c r="S633" s="94">
        <f>((Table3.110[[#This Row],[Sample weight, g]]*'2.1. DM'!Q179)/100)*1000</f>
        <v>464.29054852330535</v>
      </c>
      <c r="T633" s="94">
        <f>'3.2 Digest'!W633</f>
        <v>81.490548523305335</v>
      </c>
      <c r="U633" s="117">
        <v>0.35625000000000001</v>
      </c>
      <c r="V633" s="155">
        <v>41.5</v>
      </c>
      <c r="W633" s="117">
        <v>0.69513888888888886</v>
      </c>
      <c r="X633" s="96">
        <v>70</v>
      </c>
      <c r="Y633" s="96">
        <v>11</v>
      </c>
      <c r="Z633" s="155">
        <v>40.5</v>
      </c>
      <c r="AA633" s="117">
        <v>0.37152777777777779</v>
      </c>
      <c r="AB633" s="155">
        <v>88.5</v>
      </c>
      <c r="AC633" s="155">
        <v>14.4</v>
      </c>
      <c r="AD633" s="96"/>
      <c r="AE633" s="94">
        <f>Table3.110[[#This Row],[Gas 8h, ml]]-Table3.110[[#This Row],[Gas 0h, ml]]</f>
        <v>28.5</v>
      </c>
      <c r="AF633" s="94">
        <f>Table3.110[[#This Row],[Gas 24h, ml]]-Table3.110[[#This Row],[V8 Push back, ml]]</f>
        <v>48</v>
      </c>
      <c r="AG633" s="94">
        <f>Table3.110[[#This Row],[GP 8h, ml]]-(AVERAGE(AE$658,AE$659))*$AG$8</f>
        <v>27.836244932930278</v>
      </c>
      <c r="AH633" s="94">
        <f>Table3.110[[#This Row],[GP 8-24h, ml]]-(AVERAGE(AF$658,AF$659))*$AG$8</f>
        <v>46.00873479879084</v>
      </c>
      <c r="AI633" s="94">
        <f>Table3.110[[#This Row],[Net gas 8-24h, ml]]+Table3.110[[#This Row],[Net gas 8h, ml]]</f>
        <v>73.844979731721111</v>
      </c>
      <c r="AJ633" s="94">
        <f>Table3.110[[#This Row],[Net gas 8h, ml]]*Table3.110[[#This Row],[CH4 8h %]]%</f>
        <v>3.0619869426223305</v>
      </c>
      <c r="AK633" s="94">
        <f>Table3.110[[#This Row],[Net gas 8-24h, ml]]*Table3.110[[#This Row],[CH4 24h, %]]%</f>
        <v>6.6252578110258815</v>
      </c>
      <c r="AL633" s="94">
        <f>Table3.110[[#This Row],[CH4 8-24h, ml]]+Table3.110[[#This Row],[CH4 8h, ml]]</f>
        <v>9.687244753648212</v>
      </c>
      <c r="AM633" s="94">
        <f>(Table3.110[[#This Row],[Net gas 24h, ml]]/Table3.110[[#This Row],[DM Incubated, mg]])*1000</f>
        <v>159.04906952465006</v>
      </c>
      <c r="AN633" s="94">
        <f>'3.2 Digest'!X633</f>
        <v>17.55162770004457</v>
      </c>
      <c r="AO633" s="94">
        <f>Table3.110[[#This Row],[Digested feed, mg]]/Table3.110[[#This Row],[Net gas 24h, ml]]</f>
        <v>1.1035353902101481</v>
      </c>
      <c r="AP633" s="94">
        <f>Table3.110[[#This Row],[CH4 8h, ml]]/Table3.110[[#This Row],[Net gas 8h, ml]]%</f>
        <v>11</v>
      </c>
      <c r="AQ633" s="94">
        <f>Table3.110[[#This Row],[CH4 24h, ml]]/Table3.110[[#This Row],[Net gas 24h, ml]]%</f>
        <v>13.118352512035324</v>
      </c>
      <c r="AR633" s="94">
        <f>Table3.110[[#This Row],[CH4 24h, ml]]/Table3.110[[#This Row],[DM Incubated, mg]]*1000</f>
        <v>20.86461760735574</v>
      </c>
      <c r="AS633" s="94">
        <f>Table3.110[[#This Row],[CH4 24h, ml]]/Table3.110[[#This Row],[Digested feed, mg]]*1000</f>
        <v>118.87568471671011</v>
      </c>
      <c r="AT633" s="94">
        <f>Table3.110[[#This Row],[CH4 24h, ml]]/'3.2 Digest'!AA633</f>
        <v>-0.22006076435190117</v>
      </c>
      <c r="AU633" s="94">
        <f>((Table3.110[[#This Row],[CH4 24h, ml]]/28.9)*16.04)/Table3.110[[#This Row],[DM Incubated, mg]]*1000</f>
        <v>11.580223751625816</v>
      </c>
      <c r="AV633" s="94">
        <f>((Table3.110[[#This Row],[CH4 24h, ml]]/28.9)*16.04)/Table3.110[[#This Row],[Digested feed, mg]]*1000</f>
        <v>65.978061690520079</v>
      </c>
    </row>
    <row r="634" spans="2:48" s="89" customFormat="1" x14ac:dyDescent="0.35">
      <c r="B634" s="90">
        <f t="shared" si="9"/>
        <v>624</v>
      </c>
      <c r="C634" s="140">
        <v>46055</v>
      </c>
      <c r="D634" s="6" t="s">
        <v>16</v>
      </c>
      <c r="E634" s="6" t="s">
        <v>296</v>
      </c>
      <c r="F634" s="133" t="s">
        <v>240</v>
      </c>
      <c r="G634" s="133" t="s">
        <v>297</v>
      </c>
      <c r="H634" s="133" t="s">
        <v>298</v>
      </c>
      <c r="I634" s="133" t="s">
        <v>22</v>
      </c>
      <c r="J634" s="135" t="s">
        <v>23</v>
      </c>
      <c r="K634" s="135" t="s">
        <v>215</v>
      </c>
      <c r="L634" s="6" t="s">
        <v>295</v>
      </c>
      <c r="M634" s="93">
        <v>28</v>
      </c>
      <c r="N634" s="93">
        <v>62</v>
      </c>
      <c r="O634" s="6">
        <v>2</v>
      </c>
      <c r="P634" s="129">
        <v>1</v>
      </c>
      <c r="Q634" s="6">
        <v>0</v>
      </c>
      <c r="R634" s="112">
        <v>0.50039999999999996</v>
      </c>
      <c r="S634" s="94">
        <f>((Table3.110[[#This Row],[Sample weight, g]]*'2.1. DM'!Q181)/100)*1000</f>
        <v>458.97310143610656</v>
      </c>
      <c r="T634" s="94">
        <f>'3.2 Digest'!W634</f>
        <v>158.47310143610656</v>
      </c>
      <c r="U634" s="117">
        <v>0.3576388888888889</v>
      </c>
      <c r="V634" s="155">
        <v>39.5</v>
      </c>
      <c r="W634" s="117">
        <v>0.6958333333333333</v>
      </c>
      <c r="X634" s="96">
        <v>79.5</v>
      </c>
      <c r="Y634" s="96">
        <v>11</v>
      </c>
      <c r="Z634" s="155">
        <v>39.5</v>
      </c>
      <c r="AA634" s="117">
        <v>0.37152777777777779</v>
      </c>
      <c r="AB634" s="155">
        <v>89</v>
      </c>
      <c r="AC634" s="155">
        <v>15.4</v>
      </c>
      <c r="AD634" s="96" t="s">
        <v>559</v>
      </c>
      <c r="AE634" s="94">
        <f>Table3.110[[#This Row],[Gas 8h, ml]]-Table3.110[[#This Row],[Gas 0h, ml]]</f>
        <v>40</v>
      </c>
      <c r="AF634" s="94">
        <f>Table3.110[[#This Row],[Gas 24h, ml]]-Table3.110[[#This Row],[V8 Push back, ml]]</f>
        <v>49.5</v>
      </c>
      <c r="AG634" s="94">
        <f>Table3.110[[#This Row],[GP 8h, ml]]-(AVERAGE(AE$658,AE$659))*$AG$8</f>
        <v>39.336244932930278</v>
      </c>
      <c r="AH634" s="94">
        <f>Table3.110[[#This Row],[GP 8-24h, ml]]-(AVERAGE(AF$658,AF$659))*$AG$8</f>
        <v>47.50873479879084</v>
      </c>
      <c r="AI634" s="94">
        <f>Table3.110[[#This Row],[Net gas 8-24h, ml]]+Table3.110[[#This Row],[Net gas 8h, ml]]</f>
        <v>86.844979731721111</v>
      </c>
      <c r="AJ634" s="94">
        <f>Table3.110[[#This Row],[Net gas 8h, ml]]*Table3.110[[#This Row],[CH4 8h %]]%</f>
        <v>4.3269869426223302</v>
      </c>
      <c r="AK634" s="94">
        <f>Table3.110[[#This Row],[Net gas 8-24h, ml]]*Table3.110[[#This Row],[CH4 24h, %]]%</f>
        <v>7.3163451590137889</v>
      </c>
      <c r="AL634" s="94">
        <f>Table3.110[[#This Row],[CH4 8-24h, ml]]+Table3.110[[#This Row],[CH4 8h, ml]]</f>
        <v>11.643332101636119</v>
      </c>
      <c r="AM634" s="94">
        <f>(Table3.110[[#This Row],[Net gas 24h, ml]]/Table3.110[[#This Row],[DM Incubated, mg]])*1000</f>
        <v>189.21583739872119</v>
      </c>
      <c r="AN634" s="94">
        <f>'3.2 Digest'!X634</f>
        <v>34.527753574283814</v>
      </c>
      <c r="AO634" s="94">
        <f>Table3.110[[#This Row],[Digested feed, mg]]/Table3.110[[#This Row],[Net gas 24h, ml]]</f>
        <v>1.8247813739568699</v>
      </c>
      <c r="AP634" s="94">
        <f>Table3.110[[#This Row],[CH4 8h, ml]]/Table3.110[[#This Row],[Net gas 8h, ml]]%</f>
        <v>11</v>
      </c>
      <c r="AQ634" s="94">
        <f>Table3.110[[#This Row],[CH4 24h, ml]]/Table3.110[[#This Row],[Net gas 24h, ml]]%</f>
        <v>13.407029557268999</v>
      </c>
      <c r="AR634" s="94">
        <f>Table3.110[[#This Row],[CH4 24h, ml]]/Table3.110[[#This Row],[DM Incubated, mg]]*1000</f>
        <v>25.368223247080596</v>
      </c>
      <c r="AS634" s="94">
        <f>Table3.110[[#This Row],[CH4 24h, ml]]/Table3.110[[#This Row],[Digested feed, mg]]*1000</f>
        <v>73.471977238550451</v>
      </c>
      <c r="AT634" s="94">
        <f>Table3.110[[#This Row],[CH4 24h, ml]]/'3.2 Digest'!AA634</f>
        <v>-1.633063243789129</v>
      </c>
      <c r="AU634" s="94">
        <f>((Table3.110[[#This Row],[CH4 24h, ml]]/28.9)*16.04)/Table3.110[[#This Row],[DM Incubated, mg]]*1000</f>
        <v>14.079802798725703</v>
      </c>
      <c r="AV634" s="94">
        <f>((Table3.110[[#This Row],[CH4 24h, ml]]/28.9)*16.04)/Table3.110[[#This Row],[Digested feed, mg]]*1000</f>
        <v>40.778218508870225</v>
      </c>
    </row>
    <row r="635" spans="2:48" s="89" customFormat="1" x14ac:dyDescent="0.35">
      <c r="B635" s="90">
        <f t="shared" si="9"/>
        <v>625</v>
      </c>
      <c r="C635" s="140">
        <v>46055</v>
      </c>
      <c r="D635" s="6" t="s">
        <v>16</v>
      </c>
      <c r="E635" s="6" t="s">
        <v>296</v>
      </c>
      <c r="F635" s="133" t="s">
        <v>240</v>
      </c>
      <c r="G635" s="133" t="s">
        <v>297</v>
      </c>
      <c r="H635" s="133" t="s">
        <v>298</v>
      </c>
      <c r="I635" s="133" t="s">
        <v>22</v>
      </c>
      <c r="J635" s="135" t="s">
        <v>23</v>
      </c>
      <c r="K635" s="135" t="s">
        <v>215</v>
      </c>
      <c r="L635" s="6" t="s">
        <v>295</v>
      </c>
      <c r="M635" s="93">
        <v>28</v>
      </c>
      <c r="N635" s="93">
        <v>62</v>
      </c>
      <c r="O635" s="6">
        <v>2</v>
      </c>
      <c r="P635" s="129">
        <v>2</v>
      </c>
      <c r="Q635" s="6">
        <v>0</v>
      </c>
      <c r="R635" s="112">
        <v>0.50049999999999994</v>
      </c>
      <c r="S635" s="94">
        <f>((Table3.110[[#This Row],[Sample weight, g]]*'2.1. DM'!Q181)/100)*1000</f>
        <v>459.06482267939913</v>
      </c>
      <c r="T635" s="94">
        <f>'3.2 Digest'!W635</f>
        <v>211.86482267939905</v>
      </c>
      <c r="U635" s="117">
        <v>0.3576388888888889</v>
      </c>
      <c r="V635" s="155">
        <v>41.5</v>
      </c>
      <c r="W635" s="117">
        <v>0.6958333333333333</v>
      </c>
      <c r="X635" s="96">
        <v>80.5</v>
      </c>
      <c r="Y635" s="96">
        <v>10.8</v>
      </c>
      <c r="Z635" s="155">
        <v>40</v>
      </c>
      <c r="AA635" s="117">
        <v>0.37152777777777779</v>
      </c>
      <c r="AB635" s="155">
        <v>87</v>
      </c>
      <c r="AC635" s="155">
        <v>15.5</v>
      </c>
      <c r="AD635" s="96"/>
      <c r="AE635" s="94">
        <f>Table3.110[[#This Row],[Gas 8h, ml]]-Table3.110[[#This Row],[Gas 0h, ml]]</f>
        <v>39</v>
      </c>
      <c r="AF635" s="94">
        <f>Table3.110[[#This Row],[Gas 24h, ml]]-Table3.110[[#This Row],[V8 Push back, ml]]</f>
        <v>47</v>
      </c>
      <c r="AG635" s="94">
        <f>Table3.110[[#This Row],[GP 8h, ml]]-(AVERAGE(AE$658,AE$659))*$AG$8</f>
        <v>38.336244932930278</v>
      </c>
      <c r="AH635" s="94">
        <f>Table3.110[[#This Row],[GP 8-24h, ml]]-(AVERAGE(AF$658,AF$659))*$AG$8</f>
        <v>45.00873479879084</v>
      </c>
      <c r="AI635" s="94">
        <f>Table3.110[[#This Row],[Net gas 8-24h, ml]]+Table3.110[[#This Row],[Net gas 8h, ml]]</f>
        <v>83.344979731721111</v>
      </c>
      <c r="AJ635" s="94">
        <f>Table3.110[[#This Row],[Net gas 8h, ml]]*Table3.110[[#This Row],[CH4 8h %]]%</f>
        <v>4.1403144527564706</v>
      </c>
      <c r="AK635" s="94">
        <f>Table3.110[[#This Row],[Net gas 8-24h, ml]]*Table3.110[[#This Row],[CH4 24h, %]]%</f>
        <v>6.97635389381258</v>
      </c>
      <c r="AL635" s="94">
        <f>Table3.110[[#This Row],[CH4 8-24h, ml]]+Table3.110[[#This Row],[CH4 8h, ml]]</f>
        <v>11.11666834656905</v>
      </c>
      <c r="AM635" s="94">
        <f>(Table3.110[[#This Row],[Net gas 24h, ml]]/Table3.110[[#This Row],[DM Incubated, mg]])*1000</f>
        <v>181.55383643918941</v>
      </c>
      <c r="AN635" s="94">
        <f>'3.2 Digest'!X635</f>
        <v>46.151395666263198</v>
      </c>
      <c r="AO635" s="94">
        <f>Table3.110[[#This Row],[Digested feed, mg]]/Table3.110[[#This Row],[Net gas 24h, ml]]</f>
        <v>2.5420226072568504</v>
      </c>
      <c r="AP635" s="94">
        <f>Table3.110[[#This Row],[CH4 8h, ml]]/Table3.110[[#This Row],[Net gas 8h, ml]]%</f>
        <v>10.8</v>
      </c>
      <c r="AQ635" s="94">
        <f>Table3.110[[#This Row],[CH4 24h, ml]]/Table3.110[[#This Row],[Net gas 24h, ml]]%</f>
        <v>13.338137920667156</v>
      </c>
      <c r="AR635" s="94">
        <f>Table3.110[[#This Row],[CH4 24h, ml]]/Table3.110[[#This Row],[DM Incubated, mg]]*1000</f>
        <v>24.215901104521549</v>
      </c>
      <c r="AS635" s="94">
        <f>Table3.110[[#This Row],[CH4 24h, ml]]/Table3.110[[#This Row],[Digested feed, mg]]*1000</f>
        <v>52.470571593620164</v>
      </c>
      <c r="AT635" s="94">
        <f>Table3.110[[#This Row],[CH4 24h, ml]]/'3.2 Digest'!AA635</f>
        <v>0.93499296364555584</v>
      </c>
      <c r="AU635" s="94">
        <f>((Table3.110[[#This Row],[CH4 24h, ml]]/28.9)*16.04)/Table3.110[[#This Row],[DM Incubated, mg]]*1000</f>
        <v>13.44024407323618</v>
      </c>
      <c r="AV635" s="94">
        <f>((Table3.110[[#This Row],[CH4 24h, ml]]/28.9)*16.04)/Table3.110[[#This Row],[Digested feed, mg]]*1000</f>
        <v>29.12207502981548</v>
      </c>
    </row>
    <row r="636" spans="2:48" s="89" customFormat="1" x14ac:dyDescent="0.35">
      <c r="B636" s="90">
        <f t="shared" si="9"/>
        <v>626</v>
      </c>
      <c r="C636" s="140">
        <v>46055</v>
      </c>
      <c r="D636" s="6" t="s">
        <v>16</v>
      </c>
      <c r="E636" s="6" t="s">
        <v>296</v>
      </c>
      <c r="F636" s="133" t="s">
        <v>240</v>
      </c>
      <c r="G636" s="133" t="s">
        <v>297</v>
      </c>
      <c r="H636" s="133" t="s">
        <v>298</v>
      </c>
      <c r="I636" s="133" t="s">
        <v>22</v>
      </c>
      <c r="J636" s="135" t="s">
        <v>23</v>
      </c>
      <c r="K636" s="135" t="s">
        <v>215</v>
      </c>
      <c r="L636" s="6" t="s">
        <v>295</v>
      </c>
      <c r="M636" s="93">
        <v>28</v>
      </c>
      <c r="N636" s="93">
        <v>62</v>
      </c>
      <c r="O636" s="6">
        <v>2</v>
      </c>
      <c r="P636" s="129">
        <v>3</v>
      </c>
      <c r="Q636" s="6">
        <v>0</v>
      </c>
      <c r="R636" s="112">
        <v>0.50009999999999999</v>
      </c>
      <c r="S636" s="94">
        <f>((Table3.110[[#This Row],[Sample weight, g]]*'2.1. DM'!Q181)/100)*1000</f>
        <v>458.69793770622886</v>
      </c>
      <c r="T636" s="94">
        <f>'3.2 Digest'!W636</f>
        <v>267.19793770622886</v>
      </c>
      <c r="U636" s="117">
        <v>0.35833333333333334</v>
      </c>
      <c r="V636" s="155">
        <v>41</v>
      </c>
      <c r="W636" s="117">
        <v>0.69652777777777775</v>
      </c>
      <c r="X636" s="96">
        <v>80.5</v>
      </c>
      <c r="Y636" s="96">
        <v>10.7</v>
      </c>
      <c r="Z636" s="155">
        <v>40.5</v>
      </c>
      <c r="AA636" s="117">
        <v>0.37222222222222223</v>
      </c>
      <c r="AB636" s="155">
        <v>88.5</v>
      </c>
      <c r="AC636" s="155">
        <v>15.2</v>
      </c>
      <c r="AD636" s="96"/>
      <c r="AE636" s="94">
        <f>Table3.110[[#This Row],[Gas 8h, ml]]-Table3.110[[#This Row],[Gas 0h, ml]]</f>
        <v>39.5</v>
      </c>
      <c r="AF636" s="94">
        <f>Table3.110[[#This Row],[Gas 24h, ml]]-Table3.110[[#This Row],[V8 Push back, ml]]</f>
        <v>48</v>
      </c>
      <c r="AG636" s="94">
        <f>Table3.110[[#This Row],[GP 8h, ml]]-(AVERAGE(AE$658,AE$659))*$AG$8</f>
        <v>38.836244932930278</v>
      </c>
      <c r="AH636" s="94">
        <f>Table3.110[[#This Row],[GP 8-24h, ml]]-(AVERAGE(AF$658,AF$659))*$AG$8</f>
        <v>46.00873479879084</v>
      </c>
      <c r="AI636" s="94">
        <f>Table3.110[[#This Row],[Net gas 8-24h, ml]]+Table3.110[[#This Row],[Net gas 8h, ml]]</f>
        <v>84.844979731721111</v>
      </c>
      <c r="AJ636" s="94">
        <f>Table3.110[[#This Row],[Net gas 8h, ml]]*Table3.110[[#This Row],[CH4 8h %]]%</f>
        <v>4.1554782078235393</v>
      </c>
      <c r="AK636" s="94">
        <f>Table3.110[[#This Row],[Net gas 8-24h, ml]]*Table3.110[[#This Row],[CH4 24h, %]]%</f>
        <v>6.9933276894162075</v>
      </c>
      <c r="AL636" s="94">
        <f>Table3.110[[#This Row],[CH4 8-24h, ml]]+Table3.110[[#This Row],[CH4 8h, ml]]</f>
        <v>11.148805897239747</v>
      </c>
      <c r="AM636" s="94">
        <f>(Table3.110[[#This Row],[Net gas 24h, ml]]/Table3.110[[#This Row],[DM Incubated, mg]])*1000</f>
        <v>184.96917635164891</v>
      </c>
      <c r="AN636" s="94">
        <f>'3.2 Digest'!X636</f>
        <v>58.251392853951444</v>
      </c>
      <c r="AO636" s="94">
        <f>Table3.110[[#This Row],[Digested feed, mg]]/Table3.110[[#This Row],[Net gas 24h, ml]]</f>
        <v>3.1492486479589692</v>
      </c>
      <c r="AP636" s="94">
        <f>Table3.110[[#This Row],[CH4 8h, ml]]/Table3.110[[#This Row],[Net gas 8h, ml]]%</f>
        <v>10.7</v>
      </c>
      <c r="AQ636" s="94">
        <f>Table3.110[[#This Row],[CH4 24h, ml]]/Table3.110[[#This Row],[Net gas 24h, ml]]%</f>
        <v>13.140206919127269</v>
      </c>
      <c r="AR636" s="94">
        <f>Table3.110[[#This Row],[CH4 24h, ml]]/Table3.110[[#This Row],[DM Incubated, mg]]*1000</f>
        <v>24.305332509212093</v>
      </c>
      <c r="AS636" s="94">
        <f>Table3.110[[#This Row],[CH4 24h, ml]]/Table3.110[[#This Row],[Digested feed, mg]]*1000</f>
        <v>41.724895008348895</v>
      </c>
      <c r="AT636" s="94">
        <f>Table3.110[[#This Row],[CH4 24h, ml]]/'3.2 Digest'!AA636</f>
        <v>0.35182675612828646</v>
      </c>
      <c r="AU636" s="94">
        <f>((Table3.110[[#This Row],[CH4 24h, ml]]/28.9)*16.04)/Table3.110[[#This Row],[DM Incubated, mg]]*1000</f>
        <v>13.489880050095568</v>
      </c>
      <c r="AV636" s="94">
        <f>((Table3.110[[#This Row],[CH4 24h, ml]]/28.9)*16.04)/Table3.110[[#This Row],[Digested feed, mg]]*1000</f>
        <v>23.158038613630318</v>
      </c>
    </row>
    <row r="637" spans="2:48" s="89" customFormat="1" x14ac:dyDescent="0.35">
      <c r="B637" s="90">
        <f t="shared" si="9"/>
        <v>627</v>
      </c>
      <c r="C637" s="140">
        <v>46055</v>
      </c>
      <c r="D637" s="6" t="s">
        <v>16</v>
      </c>
      <c r="E637" s="6" t="s">
        <v>300</v>
      </c>
      <c r="F637" s="133" t="s">
        <v>212</v>
      </c>
      <c r="G637" s="133" t="s">
        <v>301</v>
      </c>
      <c r="H637" s="133" t="s">
        <v>302</v>
      </c>
      <c r="I637" s="125" t="s">
        <v>22</v>
      </c>
      <c r="J637" s="138" t="s">
        <v>23</v>
      </c>
      <c r="K637" s="138" t="s">
        <v>303</v>
      </c>
      <c r="L637" s="6" t="s">
        <v>299</v>
      </c>
      <c r="M637" s="93">
        <v>28</v>
      </c>
      <c r="N637" s="93">
        <v>62</v>
      </c>
      <c r="O637" s="6">
        <v>2</v>
      </c>
      <c r="P637" s="129">
        <v>1</v>
      </c>
      <c r="Q637" s="6">
        <v>0</v>
      </c>
      <c r="R637" s="113">
        <v>0.50039999999999996</v>
      </c>
      <c r="S637" s="94">
        <f>((Table3.110[[#This Row],[Sample weight, g]]*'2.1. DM'!Q183)/100)*1000</f>
        <v>458.69792646410212</v>
      </c>
      <c r="T637" s="94">
        <f>'3.2 Digest'!W637</f>
        <v>179.19792646410207</v>
      </c>
      <c r="U637" s="117">
        <v>0.35833333333333334</v>
      </c>
      <c r="V637" s="155">
        <v>41</v>
      </c>
      <c r="W637" s="117">
        <v>0.69652777777777775</v>
      </c>
      <c r="X637" s="96">
        <v>82</v>
      </c>
      <c r="Y637" s="96">
        <v>11.9</v>
      </c>
      <c r="Z637" s="155">
        <v>40</v>
      </c>
      <c r="AA637" s="117">
        <v>0.37291666666666667</v>
      </c>
      <c r="AB637" s="155">
        <v>88</v>
      </c>
      <c r="AC637" s="155">
        <v>16.2</v>
      </c>
      <c r="AD637" s="96"/>
      <c r="AE637" s="94">
        <f>Table3.110[[#This Row],[Gas 8h, ml]]-Table3.110[[#This Row],[Gas 0h, ml]]</f>
        <v>41</v>
      </c>
      <c r="AF637" s="94">
        <f>Table3.110[[#This Row],[Gas 24h, ml]]-Table3.110[[#This Row],[V8 Push back, ml]]</f>
        <v>48</v>
      </c>
      <c r="AG637" s="94">
        <f>Table3.110[[#This Row],[GP 8h, ml]]-(AVERAGE(AE$658,AE$659))*$AG$8</f>
        <v>40.336244932930278</v>
      </c>
      <c r="AH637" s="94">
        <f>Table3.110[[#This Row],[GP 8-24h, ml]]-(AVERAGE(AF$658,AF$659))*$AG$8</f>
        <v>46.00873479879084</v>
      </c>
      <c r="AI637" s="94">
        <f>Table3.110[[#This Row],[Net gas 8-24h, ml]]+Table3.110[[#This Row],[Net gas 8h, ml]]</f>
        <v>86.344979731721111</v>
      </c>
      <c r="AJ637" s="94">
        <f>Table3.110[[#This Row],[Net gas 8h, ml]]*Table3.110[[#This Row],[CH4 8h %]]%</f>
        <v>4.8000131470187037</v>
      </c>
      <c r="AK637" s="94">
        <f>Table3.110[[#This Row],[Net gas 8-24h, ml]]*Table3.110[[#This Row],[CH4 24h, %]]%</f>
        <v>7.4534150374041159</v>
      </c>
      <c r="AL637" s="94">
        <f>Table3.110[[#This Row],[CH4 8-24h, ml]]+Table3.110[[#This Row],[CH4 8h, ml]]</f>
        <v>12.25342818442282</v>
      </c>
      <c r="AM637" s="94">
        <f>(Table3.110[[#This Row],[Net gas 24h, ml]]/Table3.110[[#This Row],[DM Incubated, mg]])*1000</f>
        <v>188.23930685127809</v>
      </c>
      <c r="AN637" s="94">
        <f>'3.2 Digest'!X637</f>
        <v>39.066652828683793</v>
      </c>
      <c r="AO637" s="94">
        <f>Table3.110[[#This Row],[Digested feed, mg]]/Table3.110[[#This Row],[Net gas 24h, ml]]</f>
        <v>2.0753716894818957</v>
      </c>
      <c r="AP637" s="94">
        <f>Table3.110[[#This Row],[CH4 8h, ml]]/Table3.110[[#This Row],[Net gas 8h, ml]]%</f>
        <v>11.900000000000002</v>
      </c>
      <c r="AQ637" s="94">
        <f>Table3.110[[#This Row],[CH4 24h, ml]]/Table3.110[[#This Row],[Net gas 24h, ml]]%</f>
        <v>14.191245654923931</v>
      </c>
      <c r="AR637" s="94">
        <f>Table3.110[[#This Row],[CH4 24h, ml]]/Table3.110[[#This Row],[DM Incubated, mg]]*1000</f>
        <v>26.713502454390923</v>
      </c>
      <c r="AS637" s="94">
        <f>Table3.110[[#This Row],[CH4 24h, ml]]/Table3.110[[#This Row],[Digested feed, mg]]*1000</f>
        <v>68.3792967151185</v>
      </c>
      <c r="AT637" s="94">
        <f>Table3.110[[#This Row],[CH4 24h, ml]]/'3.2 Digest'!AA637</f>
        <v>-0.6084749009122522</v>
      </c>
      <c r="AU637" s="94">
        <f>((Table3.110[[#This Row],[CH4 24h, ml]]/28.9)*16.04)/Table3.110[[#This Row],[DM Incubated, mg]]*1000</f>
        <v>14.826456033509706</v>
      </c>
      <c r="AV637" s="94">
        <f>((Table3.110[[#This Row],[CH4 24h, ml]]/28.9)*16.04)/Table3.110[[#This Row],[Digested feed, mg]]*1000</f>
        <v>37.95169270970591</v>
      </c>
    </row>
    <row r="638" spans="2:48" s="89" customFormat="1" x14ac:dyDescent="0.35">
      <c r="B638" s="90">
        <f t="shared" si="9"/>
        <v>628</v>
      </c>
      <c r="C638" s="140">
        <v>46055</v>
      </c>
      <c r="D638" s="6" t="s">
        <v>16</v>
      </c>
      <c r="E638" s="6" t="s">
        <v>300</v>
      </c>
      <c r="F638" s="133" t="s">
        <v>212</v>
      </c>
      <c r="G638" s="133" t="s">
        <v>301</v>
      </c>
      <c r="H638" s="133" t="s">
        <v>302</v>
      </c>
      <c r="I638" s="125" t="s">
        <v>22</v>
      </c>
      <c r="J638" s="138" t="s">
        <v>23</v>
      </c>
      <c r="K638" s="138" t="s">
        <v>303</v>
      </c>
      <c r="L638" s="6" t="s">
        <v>299</v>
      </c>
      <c r="M638" s="93">
        <v>28</v>
      </c>
      <c r="N638" s="93">
        <v>62</v>
      </c>
      <c r="O638" s="6">
        <v>2</v>
      </c>
      <c r="P638" s="129">
        <v>2</v>
      </c>
      <c r="Q638" s="6">
        <v>0</v>
      </c>
      <c r="R638" s="113">
        <v>0.50049999999999994</v>
      </c>
      <c r="S638" s="94">
        <f>((Table3.110[[#This Row],[Sample weight, g]]*'2.1. DM'!Q183)/100)*1000</f>
        <v>458.78959271639309</v>
      </c>
      <c r="T638" s="94">
        <f>'3.2 Digest'!W638</f>
        <v>209.08959271639316</v>
      </c>
      <c r="U638" s="117">
        <v>0.35833333333333334</v>
      </c>
      <c r="V638" s="155">
        <v>40.5</v>
      </c>
      <c r="W638" s="117">
        <v>0.69652777777777775</v>
      </c>
      <c r="X638" s="96">
        <v>81</v>
      </c>
      <c r="Y638" s="96">
        <v>12</v>
      </c>
      <c r="Z638" s="155">
        <v>40</v>
      </c>
      <c r="AA638" s="117">
        <v>0.37291666666666667</v>
      </c>
      <c r="AB638" s="155">
        <v>87.5</v>
      </c>
      <c r="AC638" s="155">
        <v>16.3</v>
      </c>
      <c r="AD638" s="96"/>
      <c r="AE638" s="94">
        <f>Table3.110[[#This Row],[Gas 8h, ml]]-Table3.110[[#This Row],[Gas 0h, ml]]</f>
        <v>40.5</v>
      </c>
      <c r="AF638" s="94">
        <f>Table3.110[[#This Row],[Gas 24h, ml]]-Table3.110[[#This Row],[V8 Push back, ml]]</f>
        <v>47.5</v>
      </c>
      <c r="AG638" s="94">
        <f>Table3.110[[#This Row],[GP 8h, ml]]-(AVERAGE(AE$658,AE$659))*$AG$8</f>
        <v>39.836244932930278</v>
      </c>
      <c r="AH638" s="94">
        <f>Table3.110[[#This Row],[GP 8-24h, ml]]-(AVERAGE(AF$658,AF$659))*$AG$8</f>
        <v>45.50873479879084</v>
      </c>
      <c r="AI638" s="94">
        <f>Table3.110[[#This Row],[Net gas 8-24h, ml]]+Table3.110[[#This Row],[Net gas 8h, ml]]</f>
        <v>85.344979731721111</v>
      </c>
      <c r="AJ638" s="94">
        <f>Table3.110[[#This Row],[Net gas 8h, ml]]*Table3.110[[#This Row],[CH4 8h %]]%</f>
        <v>4.7803493919516331</v>
      </c>
      <c r="AK638" s="94">
        <f>Table3.110[[#This Row],[Net gas 8-24h, ml]]*Table3.110[[#This Row],[CH4 24h, %]]%</f>
        <v>7.417923772202907</v>
      </c>
      <c r="AL638" s="94">
        <f>Table3.110[[#This Row],[CH4 8-24h, ml]]+Table3.110[[#This Row],[CH4 8h, ml]]</f>
        <v>12.198273164154539</v>
      </c>
      <c r="AM638" s="94">
        <f>(Table3.110[[#This Row],[Net gas 24h, ml]]/Table3.110[[#This Row],[DM Incubated, mg]])*1000</f>
        <v>186.02204820386643</v>
      </c>
      <c r="AN638" s="94">
        <f>'3.2 Digest'!X638</f>
        <v>45.574179544574953</v>
      </c>
      <c r="AO638" s="94">
        <f>Table3.110[[#This Row],[Digested feed, mg]]/Table3.110[[#This Row],[Net gas 24h, ml]]</f>
        <v>2.449934294596575</v>
      </c>
      <c r="AP638" s="94">
        <f>Table3.110[[#This Row],[CH4 8h, ml]]/Table3.110[[#This Row],[Net gas 8h, ml]]%</f>
        <v>12</v>
      </c>
      <c r="AQ638" s="94">
        <f>Table3.110[[#This Row],[CH4 24h, ml]]/Table3.110[[#This Row],[Net gas 24h, ml]]%</f>
        <v>14.292900651566587</v>
      </c>
      <c r="AR638" s="94">
        <f>Table3.110[[#This Row],[CH4 24h, ml]]/Table3.110[[#This Row],[DM Incubated, mg]]*1000</f>
        <v>26.587946539787936</v>
      </c>
      <c r="AS638" s="94">
        <f>Table3.110[[#This Row],[CH4 24h, ml]]/Table3.110[[#This Row],[Digested feed, mg]]*1000</f>
        <v>58.339934597797715</v>
      </c>
      <c r="AT638" s="94">
        <f>Table3.110[[#This Row],[CH4 24h, ml]]/'3.2 Digest'!AA638</f>
        <v>-1.6692792665031377</v>
      </c>
      <c r="AU638" s="94">
        <f>((Table3.110[[#This Row],[CH4 24h, ml]]/28.9)*16.04)/Table3.110[[#This Row],[DM Incubated, mg]]*1000</f>
        <v>14.756770328657387</v>
      </c>
      <c r="AV638" s="94">
        <f>((Table3.110[[#This Row],[CH4 24h, ml]]/28.9)*16.04)/Table3.110[[#This Row],[Digested feed, mg]]*1000</f>
        <v>32.379673043206765</v>
      </c>
    </row>
    <row r="639" spans="2:48" s="89" customFormat="1" x14ac:dyDescent="0.35">
      <c r="B639" s="90">
        <f t="shared" si="9"/>
        <v>629</v>
      </c>
      <c r="C639" s="140">
        <v>46055</v>
      </c>
      <c r="D639" s="6" t="s">
        <v>16</v>
      </c>
      <c r="E639" s="6" t="s">
        <v>300</v>
      </c>
      <c r="F639" s="133" t="s">
        <v>212</v>
      </c>
      <c r="G639" s="133" t="s">
        <v>301</v>
      </c>
      <c r="H639" s="133" t="s">
        <v>302</v>
      </c>
      <c r="I639" s="125" t="s">
        <v>22</v>
      </c>
      <c r="J639" s="138" t="s">
        <v>23</v>
      </c>
      <c r="K639" s="138" t="s">
        <v>303</v>
      </c>
      <c r="L639" s="6" t="s">
        <v>299</v>
      </c>
      <c r="M639" s="93">
        <v>28</v>
      </c>
      <c r="N639" s="93">
        <v>62</v>
      </c>
      <c r="O639" s="6">
        <v>2</v>
      </c>
      <c r="P639" s="129">
        <v>3</v>
      </c>
      <c r="Q639" s="6">
        <v>0</v>
      </c>
      <c r="R639" s="112">
        <v>0.50019999999999998</v>
      </c>
      <c r="S639" s="94">
        <f>((Table3.110[[#This Row],[Sample weight, g]]*'2.1. DM'!Q183)/100)*1000</f>
        <v>458.5145939595202</v>
      </c>
      <c r="T639" s="94">
        <f>'3.2 Digest'!W639</f>
        <v>188.11459395952022</v>
      </c>
      <c r="U639" s="117">
        <v>0.35902777777777778</v>
      </c>
      <c r="V639" s="155">
        <v>41.5</v>
      </c>
      <c r="W639" s="117">
        <v>0.69722222222222219</v>
      </c>
      <c r="X639" s="96">
        <v>79.5</v>
      </c>
      <c r="Y639" s="96">
        <v>11.9</v>
      </c>
      <c r="Z639" s="155">
        <v>41</v>
      </c>
      <c r="AA639" s="117">
        <v>0.37361111111111112</v>
      </c>
      <c r="AB639" s="155">
        <v>88</v>
      </c>
      <c r="AC639" s="155">
        <v>16.100000000000001</v>
      </c>
      <c r="AD639" s="96"/>
      <c r="AE639" s="94">
        <f>Table3.110[[#This Row],[Gas 8h, ml]]-Table3.110[[#This Row],[Gas 0h, ml]]</f>
        <v>38</v>
      </c>
      <c r="AF639" s="94">
        <f>Table3.110[[#This Row],[Gas 24h, ml]]-Table3.110[[#This Row],[V8 Push back, ml]]</f>
        <v>47</v>
      </c>
      <c r="AG639" s="94">
        <f>Table3.110[[#This Row],[GP 8h, ml]]-(AVERAGE(AE$658,AE$659))*$AG$8</f>
        <v>37.336244932930278</v>
      </c>
      <c r="AH639" s="94">
        <f>Table3.110[[#This Row],[GP 8-24h, ml]]-(AVERAGE(AF$658,AF$659))*$AG$8</f>
        <v>45.00873479879084</v>
      </c>
      <c r="AI639" s="94">
        <f>Table3.110[[#This Row],[Net gas 8-24h, ml]]+Table3.110[[#This Row],[Net gas 8h, ml]]</f>
        <v>82.344979731721111</v>
      </c>
      <c r="AJ639" s="94">
        <f>Table3.110[[#This Row],[Net gas 8h, ml]]*Table3.110[[#This Row],[CH4 8h %]]%</f>
        <v>4.4430131470187035</v>
      </c>
      <c r="AK639" s="94">
        <f>Table3.110[[#This Row],[Net gas 8-24h, ml]]*Table3.110[[#This Row],[CH4 24h, %]]%</f>
        <v>7.2464063026053251</v>
      </c>
      <c r="AL639" s="94">
        <f>Table3.110[[#This Row],[CH4 8-24h, ml]]+Table3.110[[#This Row],[CH4 8h, ml]]</f>
        <v>11.68941944962403</v>
      </c>
      <c r="AM639" s="94">
        <f>(Table3.110[[#This Row],[Net gas 24h, ml]]/Table3.110[[#This Row],[DM Incubated, mg]])*1000</f>
        <v>179.59074981807646</v>
      </c>
      <c r="AN639" s="94">
        <f>'3.2 Digest'!X639</f>
        <v>41.026958888058388</v>
      </c>
      <c r="AO639" s="94">
        <f>Table3.110[[#This Row],[Digested feed, mg]]/Table3.110[[#This Row],[Net gas 24h, ml]]</f>
        <v>2.2844694913083368</v>
      </c>
      <c r="AP639" s="94">
        <f>Table3.110[[#This Row],[CH4 8h, ml]]/Table3.110[[#This Row],[Net gas 8h, ml]]%</f>
        <v>11.9</v>
      </c>
      <c r="AQ639" s="94">
        <f>Table3.110[[#This Row],[CH4 24h, ml]]/Table3.110[[#This Row],[Net gas 24h, ml]]%</f>
        <v>14.195667407664692</v>
      </c>
      <c r="AR639" s="94">
        <f>Table3.110[[#This Row],[CH4 24h, ml]]/Table3.110[[#This Row],[DM Incubated, mg]]*1000</f>
        <v>25.49410553910532</v>
      </c>
      <c r="AS639" s="94">
        <f>Table3.110[[#This Row],[CH4 24h, ml]]/Table3.110[[#This Row],[Digested feed, mg]]*1000</f>
        <v>62.139886138443032</v>
      </c>
      <c r="AT639" s="94">
        <f>Table3.110[[#This Row],[CH4 24h, ml]]/'3.2 Digest'!AA639</f>
        <v>-0.71833483760323313</v>
      </c>
      <c r="AU639" s="94">
        <f>((Table3.110[[#This Row],[CH4 24h, ml]]/28.9)*16.04)/Table3.110[[#This Row],[DM Incubated, mg]]*1000</f>
        <v>14.149669648693747</v>
      </c>
      <c r="AV639" s="94">
        <f>((Table3.110[[#This Row],[CH4 24h, ml]]/28.9)*16.04)/Table3.110[[#This Row],[Digested feed, mg]]*1000</f>
        <v>34.488711891371146</v>
      </c>
    </row>
    <row r="640" spans="2:48" s="89" customFormat="1" x14ac:dyDescent="0.35">
      <c r="B640" s="90">
        <f t="shared" si="9"/>
        <v>630</v>
      </c>
      <c r="C640" s="140">
        <v>46055</v>
      </c>
      <c r="D640" s="6" t="s">
        <v>16</v>
      </c>
      <c r="E640" s="6" t="s">
        <v>305</v>
      </c>
      <c r="F640" s="133" t="s">
        <v>212</v>
      </c>
      <c r="G640" s="133" t="s">
        <v>301</v>
      </c>
      <c r="H640" s="133" t="s">
        <v>302</v>
      </c>
      <c r="I640" s="125" t="s">
        <v>22</v>
      </c>
      <c r="J640" s="138" t="s">
        <v>23</v>
      </c>
      <c r="K640" s="138" t="s">
        <v>303</v>
      </c>
      <c r="L640" s="6" t="s">
        <v>304</v>
      </c>
      <c r="M640" s="93">
        <v>28</v>
      </c>
      <c r="N640" s="93">
        <v>62</v>
      </c>
      <c r="O640" s="6">
        <v>2</v>
      </c>
      <c r="P640" s="129">
        <v>1</v>
      </c>
      <c r="Q640" s="6">
        <v>0</v>
      </c>
      <c r="R640" s="112">
        <v>0.50049999999999994</v>
      </c>
      <c r="S640" s="94">
        <f>((Table3.110[[#This Row],[Sample weight, g]]*'2.1. DM'!Q185)/100)*1000</f>
        <v>459.51928256755934</v>
      </c>
      <c r="T640" s="94">
        <f>'3.2 Digest'!W640</f>
        <v>116.01928256755934</v>
      </c>
      <c r="U640" s="117">
        <v>0.35972222222222222</v>
      </c>
      <c r="V640" s="155">
        <v>40</v>
      </c>
      <c r="W640" s="117">
        <v>0.69861111111111107</v>
      </c>
      <c r="X640" s="96">
        <v>77.5</v>
      </c>
      <c r="Y640" s="96">
        <v>13.5</v>
      </c>
      <c r="Z640" s="155">
        <v>40</v>
      </c>
      <c r="AA640" s="117">
        <v>0.37361111111111112</v>
      </c>
      <c r="AB640" s="155">
        <v>78.5</v>
      </c>
      <c r="AC640" s="155">
        <v>16.3</v>
      </c>
      <c r="AD640" s="96"/>
      <c r="AE640" s="94">
        <f>Table3.110[[#This Row],[Gas 8h, ml]]-Table3.110[[#This Row],[Gas 0h, ml]]</f>
        <v>37.5</v>
      </c>
      <c r="AF640" s="94">
        <f>Table3.110[[#This Row],[Gas 24h, ml]]-Table3.110[[#This Row],[V8 Push back, ml]]</f>
        <v>38.5</v>
      </c>
      <c r="AG640" s="94">
        <f>Table3.110[[#This Row],[GP 8h, ml]]-(AVERAGE(AE$658,AE$659))*$AG$8</f>
        <v>36.836244932930278</v>
      </c>
      <c r="AH640" s="94">
        <f>Table3.110[[#This Row],[GP 8-24h, ml]]-(AVERAGE(AF$658,AF$659))*$AG$8</f>
        <v>36.50873479879084</v>
      </c>
      <c r="AI640" s="94">
        <f>Table3.110[[#This Row],[Net gas 8-24h, ml]]+Table3.110[[#This Row],[Net gas 8h, ml]]</f>
        <v>73.344979731721111</v>
      </c>
      <c r="AJ640" s="94">
        <f>Table3.110[[#This Row],[Net gas 8h, ml]]*Table3.110[[#This Row],[CH4 8h %]]%</f>
        <v>4.9728930659455877</v>
      </c>
      <c r="AK640" s="94">
        <f>Table3.110[[#This Row],[Net gas 8-24h, ml]]*Table3.110[[#This Row],[CH4 24h, %]]%</f>
        <v>5.9509237722029074</v>
      </c>
      <c r="AL640" s="94">
        <f>Table3.110[[#This Row],[CH4 8-24h, ml]]+Table3.110[[#This Row],[CH4 8h, ml]]</f>
        <v>10.923816838148495</v>
      </c>
      <c r="AM640" s="94">
        <f>(Table3.110[[#This Row],[Net gas 24h, ml]]/Table3.110[[#This Row],[DM Incubated, mg]])*1000</f>
        <v>159.61240912874598</v>
      </c>
      <c r="AN640" s="94">
        <f>'3.2 Digest'!X640</f>
        <v>25.2479682504949</v>
      </c>
      <c r="AO640" s="94">
        <f>Table3.110[[#This Row],[Digested feed, mg]]/Table3.110[[#This Row],[Net gas 24h, ml]]</f>
        <v>1.5818299083581577</v>
      </c>
      <c r="AP640" s="94">
        <f>Table3.110[[#This Row],[CH4 8h, ml]]/Table3.110[[#This Row],[Net gas 8h, ml]]%</f>
        <v>13.5</v>
      </c>
      <c r="AQ640" s="94">
        <f>Table3.110[[#This Row],[CH4 24h, ml]]/Table3.110[[#This Row],[Net gas 24h, ml]]%</f>
        <v>14.893748526627558</v>
      </c>
      <c r="AR640" s="94">
        <f>Table3.110[[#This Row],[CH4 24h, ml]]/Table3.110[[#This Row],[DM Incubated, mg]]*1000</f>
        <v>23.772270832927358</v>
      </c>
      <c r="AS640" s="94">
        <f>Table3.110[[#This Row],[CH4 24h, ml]]/Table3.110[[#This Row],[Digested feed, mg]]*1000</f>
        <v>94.155183486740086</v>
      </c>
      <c r="AT640" s="94">
        <f>Table3.110[[#This Row],[CH4 24h, ml]]/'3.2 Digest'!AA640</f>
        <v>-0.22492390317341152</v>
      </c>
      <c r="AU640" s="94">
        <f>((Table3.110[[#This Row],[CH4 24h, ml]]/28.9)*16.04)/Table3.110[[#This Row],[DM Incubated, mg]]*1000</f>
        <v>13.194021597237191</v>
      </c>
      <c r="AV640" s="94">
        <f>((Table3.110[[#This Row],[CH4 24h, ml]]/28.9)*16.04)/Table3.110[[#This Row],[Digested feed, mg]]*1000</f>
        <v>52.257755817554013</v>
      </c>
    </row>
    <row r="641" spans="2:48" s="89" customFormat="1" x14ac:dyDescent="0.35">
      <c r="B641" s="90">
        <f t="shared" si="9"/>
        <v>631</v>
      </c>
      <c r="C641" s="140">
        <v>46055</v>
      </c>
      <c r="D641" s="6" t="s">
        <v>16</v>
      </c>
      <c r="E641" s="6" t="s">
        <v>305</v>
      </c>
      <c r="F641" s="133" t="s">
        <v>212</v>
      </c>
      <c r="G641" s="133" t="s">
        <v>301</v>
      </c>
      <c r="H641" s="133" t="s">
        <v>302</v>
      </c>
      <c r="I641" s="125" t="s">
        <v>22</v>
      </c>
      <c r="J641" s="138" t="s">
        <v>23</v>
      </c>
      <c r="K641" s="138" t="s">
        <v>303</v>
      </c>
      <c r="L641" s="6" t="s">
        <v>304</v>
      </c>
      <c r="M641" s="93">
        <v>28</v>
      </c>
      <c r="N641" s="93">
        <v>62</v>
      </c>
      <c r="O641" s="6">
        <v>2</v>
      </c>
      <c r="P641" s="129">
        <v>2</v>
      </c>
      <c r="Q641" s="6">
        <v>0</v>
      </c>
      <c r="R641" s="112">
        <v>0.5</v>
      </c>
      <c r="S641" s="94">
        <f>((Table3.110[[#This Row],[Sample weight, g]]*'2.1. DM'!Q185)/100)*1000</f>
        <v>459.06022234521413</v>
      </c>
      <c r="T641" s="94">
        <f>'3.2 Digest'!W641</f>
        <v>219.56022234521407</v>
      </c>
      <c r="U641" s="117">
        <v>0.35972222222222222</v>
      </c>
      <c r="V641" s="155">
        <v>40</v>
      </c>
      <c r="W641" s="117">
        <v>0.69861111111111107</v>
      </c>
      <c r="X641" s="96">
        <v>76</v>
      </c>
      <c r="Y641" s="96">
        <v>13.6</v>
      </c>
      <c r="Z641" s="155">
        <v>40</v>
      </c>
      <c r="AA641" s="117">
        <v>0.37430555555555556</v>
      </c>
      <c r="AB641" s="155">
        <v>80</v>
      </c>
      <c r="AC641" s="155">
        <v>16.3</v>
      </c>
      <c r="AD641" s="101"/>
      <c r="AE641" s="94">
        <f>Table3.110[[#This Row],[Gas 8h, ml]]-Table3.110[[#This Row],[Gas 0h, ml]]</f>
        <v>36</v>
      </c>
      <c r="AF641" s="94">
        <f>Table3.110[[#This Row],[Gas 24h, ml]]-Table3.110[[#This Row],[V8 Push back, ml]]</f>
        <v>40</v>
      </c>
      <c r="AG641" s="94">
        <f>Table3.110[[#This Row],[GP 8h, ml]]-(AVERAGE(AE$658,AE$659))*$AG$8</f>
        <v>35.336244932930278</v>
      </c>
      <c r="AH641" s="94">
        <f>Table3.110[[#This Row],[GP 8-24h, ml]]-(AVERAGE(AF$658,AF$659))*$AG$8</f>
        <v>38.00873479879084</v>
      </c>
      <c r="AI641" s="94">
        <f>Table3.110[[#This Row],[Net gas 8-24h, ml]]+Table3.110[[#This Row],[Net gas 8h, ml]]</f>
        <v>73.344979731721111</v>
      </c>
      <c r="AJ641" s="94">
        <f>Table3.110[[#This Row],[Net gas 8h, ml]]*Table3.110[[#This Row],[CH4 8h %]]%</f>
        <v>4.805729310878518</v>
      </c>
      <c r="AK641" s="94">
        <f>Table3.110[[#This Row],[Net gas 8-24h, ml]]*Table3.110[[#This Row],[CH4 24h, %]]%</f>
        <v>6.1954237722029069</v>
      </c>
      <c r="AL641" s="94">
        <f>Table3.110[[#This Row],[CH4 8-24h, ml]]+Table3.110[[#This Row],[CH4 8h, ml]]</f>
        <v>11.001153083081425</v>
      </c>
      <c r="AM641" s="94">
        <f>(Table3.110[[#This Row],[Net gas 24h, ml]]/Table3.110[[#This Row],[DM Incubated, mg]])*1000</f>
        <v>159.77202153787474</v>
      </c>
      <c r="AN641" s="94">
        <f>'3.2 Digest'!X641</f>
        <v>47.828195878863227</v>
      </c>
      <c r="AO641" s="94">
        <f>Table3.110[[#This Row],[Digested feed, mg]]/Table3.110[[#This Row],[Net gas 24h, ml]]</f>
        <v>2.9935276163183131</v>
      </c>
      <c r="AP641" s="94">
        <f>Table3.110[[#This Row],[CH4 8h, ml]]/Table3.110[[#This Row],[Net gas 8h, ml]]%</f>
        <v>13.600000000000001</v>
      </c>
      <c r="AQ641" s="94">
        <f>Table3.110[[#This Row],[CH4 24h, ml]]/Table3.110[[#This Row],[Net gas 24h, ml]]%</f>
        <v>14.999190296760712</v>
      </c>
      <c r="AR641" s="94">
        <f>Table3.110[[#This Row],[CH4 24h, ml]]/Table3.110[[#This Row],[DM Incubated, mg]]*1000</f>
        <v>23.964509551447343</v>
      </c>
      <c r="AS641" s="94">
        <f>Table3.110[[#This Row],[CH4 24h, ml]]/Table3.110[[#This Row],[Digested feed, mg]]*1000</f>
        <v>50.105401450105724</v>
      </c>
      <c r="AT641" s="94">
        <f>Table3.110[[#This Row],[CH4 24h, ml]]/'3.2 Digest'!AA641</f>
        <v>-2.9818202758204291</v>
      </c>
      <c r="AU641" s="94">
        <f>((Table3.110[[#This Row],[CH4 24h, ml]]/28.9)*16.04)/Table3.110[[#This Row],[DM Incubated, mg]]*1000</f>
        <v>13.300717411945168</v>
      </c>
      <c r="AV641" s="94">
        <f>((Table3.110[[#This Row],[CH4 24h, ml]]/28.9)*16.04)/Table3.110[[#This Row],[Digested feed, mg]]*1000</f>
        <v>27.809364680266295</v>
      </c>
    </row>
    <row r="642" spans="2:48" s="89" customFormat="1" x14ac:dyDescent="0.35">
      <c r="B642" s="90">
        <f t="shared" si="9"/>
        <v>632</v>
      </c>
      <c r="C642" s="140">
        <v>46055</v>
      </c>
      <c r="D642" s="6" t="s">
        <v>16</v>
      </c>
      <c r="E642" s="6" t="s">
        <v>305</v>
      </c>
      <c r="F642" s="133" t="s">
        <v>212</v>
      </c>
      <c r="G642" s="133" t="s">
        <v>301</v>
      </c>
      <c r="H642" s="133" t="s">
        <v>302</v>
      </c>
      <c r="I642" s="125" t="s">
        <v>22</v>
      </c>
      <c r="J642" s="138" t="s">
        <v>23</v>
      </c>
      <c r="K642" s="138" t="s">
        <v>303</v>
      </c>
      <c r="L642" s="6" t="s">
        <v>304</v>
      </c>
      <c r="M642" s="93">
        <v>28</v>
      </c>
      <c r="N642" s="93">
        <v>62</v>
      </c>
      <c r="O642" s="6">
        <v>2</v>
      </c>
      <c r="P642" s="129">
        <v>3</v>
      </c>
      <c r="Q642" s="6">
        <v>0</v>
      </c>
      <c r="R642" s="112">
        <v>0.50060000000000004</v>
      </c>
      <c r="S642" s="94">
        <f>((Table3.110[[#This Row],[Sample weight, g]]*'2.1. DM'!Q185)/100)*1000</f>
        <v>459.61109461202841</v>
      </c>
      <c r="T642" s="94">
        <f>'3.2 Digest'!W642</f>
        <v>0</v>
      </c>
      <c r="U642" s="117">
        <v>0.36041666666666666</v>
      </c>
      <c r="V642" s="155">
        <v>40.5</v>
      </c>
      <c r="W642" s="117">
        <v>0.69930555555555551</v>
      </c>
      <c r="X642" s="96">
        <v>76.5</v>
      </c>
      <c r="Y642" s="96">
        <v>13.4</v>
      </c>
      <c r="Z642" s="155">
        <v>40</v>
      </c>
      <c r="AA642" s="117">
        <v>0.37430555555555556</v>
      </c>
      <c r="AB642" s="155">
        <v>77</v>
      </c>
      <c r="AC642" s="155">
        <v>16.5</v>
      </c>
      <c r="AD642" s="96"/>
      <c r="AE642" s="94">
        <f>Table3.110[[#This Row],[Gas 8h, ml]]-Table3.110[[#This Row],[Gas 0h, ml]]</f>
        <v>36</v>
      </c>
      <c r="AF642" s="94">
        <f>Table3.110[[#This Row],[Gas 24h, ml]]-Table3.110[[#This Row],[V8 Push back, ml]]</f>
        <v>37</v>
      </c>
      <c r="AG642" s="94"/>
      <c r="AH642" s="94"/>
      <c r="AI642" s="94">
        <f>Table3.110[[#This Row],[Net gas 8-24h, ml]]+Table3.110[[#This Row],[Net gas 8h, ml]]</f>
        <v>0</v>
      </c>
      <c r="AJ642" s="94">
        <f>Table3.110[[#This Row],[Net gas 8h, ml]]*Table3.110[[#This Row],[CH4 8h %]]%</f>
        <v>0</v>
      </c>
      <c r="AK642" s="94">
        <f>Table3.110[[#This Row],[Net gas 8-24h, ml]]*Table3.110[[#This Row],[CH4 24h, %]]%</f>
        <v>0</v>
      </c>
      <c r="AL642" s="94">
        <f>Table3.110[[#This Row],[CH4 8-24h, ml]]+Table3.110[[#This Row],[CH4 8h, ml]]</f>
        <v>0</v>
      </c>
      <c r="AM642" s="94">
        <f>(Table3.110[[#This Row],[Net gas 24h, ml]]/Table3.110[[#This Row],[DM Incubated, mg]])*1000</f>
        <v>0</v>
      </c>
      <c r="AN642" s="94">
        <f>'3.2 Digest'!X642</f>
        <v>0</v>
      </c>
      <c r="AO642" s="94" t="e">
        <f>Table3.110[[#This Row],[Digested feed, mg]]/Table3.110[[#This Row],[Net gas 24h, ml]]</f>
        <v>#DIV/0!</v>
      </c>
      <c r="AP642" s="94" t="e">
        <f>Table3.110[[#This Row],[CH4 8h, ml]]/Table3.110[[#This Row],[Net gas 8h, ml]]%</f>
        <v>#DIV/0!</v>
      </c>
      <c r="AQ642" s="94" t="e">
        <f>Table3.110[[#This Row],[CH4 24h, ml]]/Table3.110[[#This Row],[Net gas 24h, ml]]%</f>
        <v>#DIV/0!</v>
      </c>
      <c r="AR642" s="94">
        <f>Table3.110[[#This Row],[CH4 24h, ml]]/Table3.110[[#This Row],[DM Incubated, mg]]*1000</f>
        <v>0</v>
      </c>
      <c r="AS642" s="94" t="e">
        <f>Table3.110[[#This Row],[CH4 24h, ml]]/Table3.110[[#This Row],[Digested feed, mg]]*1000</f>
        <v>#DIV/0!</v>
      </c>
      <c r="AT642" s="94" t="e">
        <f>Table3.110[[#This Row],[CH4 24h, ml]]/'3.2 Digest'!AA642</f>
        <v>#DIV/0!</v>
      </c>
      <c r="AU642" s="94">
        <f>((Table3.110[[#This Row],[CH4 24h, ml]]/28.9)*16.04)/Table3.110[[#This Row],[DM Incubated, mg]]*1000</f>
        <v>0</v>
      </c>
      <c r="AV642" s="94" t="e">
        <f>((Table3.110[[#This Row],[CH4 24h, ml]]/28.9)*16.04)/Table3.110[[#This Row],[Digested feed, mg]]*1000</f>
        <v>#DIV/0!</v>
      </c>
    </row>
    <row r="643" spans="2:48" s="89" customFormat="1" x14ac:dyDescent="0.35">
      <c r="B643" s="90">
        <f t="shared" si="9"/>
        <v>633</v>
      </c>
      <c r="C643" s="140">
        <v>46055</v>
      </c>
      <c r="D643" s="6" t="s">
        <v>16</v>
      </c>
      <c r="E643" s="6" t="s">
        <v>307</v>
      </c>
      <c r="F643" s="133" t="s">
        <v>212</v>
      </c>
      <c r="G643" s="133" t="s">
        <v>213</v>
      </c>
      <c r="H643" s="133" t="s">
        <v>214</v>
      </c>
      <c r="I643" s="125" t="s">
        <v>22</v>
      </c>
      <c r="J643" s="138" t="s">
        <v>23</v>
      </c>
      <c r="K643" s="138" t="s">
        <v>215</v>
      </c>
      <c r="L643" s="6" t="s">
        <v>306</v>
      </c>
      <c r="M643" s="93">
        <v>28</v>
      </c>
      <c r="N643" s="93">
        <v>62</v>
      </c>
      <c r="O643" s="6">
        <v>2</v>
      </c>
      <c r="P643" s="129">
        <v>1</v>
      </c>
      <c r="Q643" s="6">
        <v>0</v>
      </c>
      <c r="R643" s="112">
        <v>0.50039999999999996</v>
      </c>
      <c r="S643" s="94">
        <f>((Table3.110[[#This Row],[Sample weight, g]]*'2.1. DM'!Q187)/100)*1000</f>
        <v>453.9064105747708</v>
      </c>
      <c r="T643" s="94">
        <f>'3.2 Digest'!W643</f>
        <v>0</v>
      </c>
      <c r="U643" s="117">
        <v>0.36041666666666666</v>
      </c>
      <c r="V643" s="155">
        <v>40.5</v>
      </c>
      <c r="W643" s="117">
        <v>0.69930555555555551</v>
      </c>
      <c r="X643" s="96">
        <v>74</v>
      </c>
      <c r="Y643" s="96">
        <v>14.5</v>
      </c>
      <c r="Z643" s="155">
        <v>40</v>
      </c>
      <c r="AA643" s="117">
        <v>0.375</v>
      </c>
      <c r="AB643" s="155">
        <v>77.5</v>
      </c>
      <c r="AC643" s="155">
        <v>16.8</v>
      </c>
      <c r="AD643" s="96" t="s">
        <v>574</v>
      </c>
      <c r="AE643" s="94">
        <f>Table3.110[[#This Row],[Gas 8h, ml]]-Table3.110[[#This Row],[Gas 0h, ml]]</f>
        <v>33.5</v>
      </c>
      <c r="AF643" s="94">
        <f>Table3.110[[#This Row],[Gas 24h, ml]]-Table3.110[[#This Row],[V8 Push back, ml]]</f>
        <v>37.5</v>
      </c>
      <c r="AG643" s="94"/>
      <c r="AH643" s="94"/>
      <c r="AI643" s="94">
        <f>Table3.110[[#This Row],[Net gas 8-24h, ml]]+Table3.110[[#This Row],[Net gas 8h, ml]]</f>
        <v>0</v>
      </c>
      <c r="AJ643" s="94">
        <f>Table3.110[[#This Row],[Net gas 8h, ml]]*Table3.110[[#This Row],[CH4 8h %]]%</f>
        <v>0</v>
      </c>
      <c r="AK643" s="94">
        <f>Table3.110[[#This Row],[Net gas 8-24h, ml]]*Table3.110[[#This Row],[CH4 24h, %]]%</f>
        <v>0</v>
      </c>
      <c r="AL643" s="94">
        <f>Table3.110[[#This Row],[CH4 8-24h, ml]]+Table3.110[[#This Row],[CH4 8h, ml]]</f>
        <v>0</v>
      </c>
      <c r="AM643" s="94">
        <f>(Table3.110[[#This Row],[Net gas 24h, ml]]/Table3.110[[#This Row],[DM Incubated, mg]])*1000</f>
        <v>0</v>
      </c>
      <c r="AN643" s="94">
        <f>'3.2 Digest'!X643</f>
        <v>0</v>
      </c>
      <c r="AO643" s="94" t="e">
        <f>Table3.110[[#This Row],[Digested feed, mg]]/Table3.110[[#This Row],[Net gas 24h, ml]]</f>
        <v>#DIV/0!</v>
      </c>
      <c r="AP643" s="94" t="e">
        <f>Table3.110[[#This Row],[CH4 8h, ml]]/Table3.110[[#This Row],[Net gas 8h, ml]]%</f>
        <v>#DIV/0!</v>
      </c>
      <c r="AQ643" s="94" t="e">
        <f>Table3.110[[#This Row],[CH4 24h, ml]]/Table3.110[[#This Row],[Net gas 24h, ml]]%</f>
        <v>#DIV/0!</v>
      </c>
      <c r="AR643" s="94">
        <f>Table3.110[[#This Row],[CH4 24h, ml]]/Table3.110[[#This Row],[DM Incubated, mg]]*1000</f>
        <v>0</v>
      </c>
      <c r="AS643" s="94" t="e">
        <f>Table3.110[[#This Row],[CH4 24h, ml]]/Table3.110[[#This Row],[Digested feed, mg]]*1000</f>
        <v>#DIV/0!</v>
      </c>
      <c r="AT643" s="94" t="e">
        <f>Table3.110[[#This Row],[CH4 24h, ml]]/'3.2 Digest'!AA643</f>
        <v>#DIV/0!</v>
      </c>
      <c r="AU643" s="94">
        <f>((Table3.110[[#This Row],[CH4 24h, ml]]/28.9)*16.04)/Table3.110[[#This Row],[DM Incubated, mg]]*1000</f>
        <v>0</v>
      </c>
      <c r="AV643" s="94" t="e">
        <f>((Table3.110[[#This Row],[CH4 24h, ml]]/28.9)*16.04)/Table3.110[[#This Row],[Digested feed, mg]]*1000</f>
        <v>#DIV/0!</v>
      </c>
    </row>
    <row r="644" spans="2:48" s="89" customFormat="1" x14ac:dyDescent="0.35">
      <c r="B644" s="90">
        <f t="shared" si="9"/>
        <v>634</v>
      </c>
      <c r="C644" s="140">
        <v>46055</v>
      </c>
      <c r="D644" s="6" t="s">
        <v>16</v>
      </c>
      <c r="E644" s="6" t="s">
        <v>307</v>
      </c>
      <c r="F644" s="133" t="s">
        <v>212</v>
      </c>
      <c r="G644" s="133" t="s">
        <v>213</v>
      </c>
      <c r="H644" s="133" t="s">
        <v>214</v>
      </c>
      <c r="I644" s="125" t="s">
        <v>22</v>
      </c>
      <c r="J644" s="138" t="s">
        <v>23</v>
      </c>
      <c r="K644" s="138" t="s">
        <v>215</v>
      </c>
      <c r="L644" s="6" t="s">
        <v>306</v>
      </c>
      <c r="M644" s="93">
        <v>28</v>
      </c>
      <c r="N644" s="93">
        <v>62</v>
      </c>
      <c r="O644" s="6">
        <v>2</v>
      </c>
      <c r="P644" s="129">
        <v>2</v>
      </c>
      <c r="Q644" s="6">
        <v>0</v>
      </c>
      <c r="R644" s="112">
        <v>0.50049999999999994</v>
      </c>
      <c r="S644" s="94">
        <f>((Table3.110[[#This Row],[Sample weight, g]]*'2.1. DM'!Q187)/100)*1000</f>
        <v>453.99711928991366</v>
      </c>
      <c r="T644" s="94">
        <f>'3.2 Digest'!W644</f>
        <v>158.49711928991354</v>
      </c>
      <c r="U644" s="117">
        <v>0.36041666666666666</v>
      </c>
      <c r="V644" s="155">
        <v>40.5</v>
      </c>
      <c r="W644" s="117">
        <v>0.69930555555555551</v>
      </c>
      <c r="X644" s="96">
        <v>73</v>
      </c>
      <c r="Y644" s="96">
        <v>14.2</v>
      </c>
      <c r="Z644" s="155">
        <v>40</v>
      </c>
      <c r="AA644" s="117">
        <v>0.37569444444444444</v>
      </c>
      <c r="AB644" s="155">
        <v>79</v>
      </c>
      <c r="AC644" s="155">
        <v>16.8</v>
      </c>
      <c r="AD644" s="96"/>
      <c r="AE644" s="94">
        <f>Table3.110[[#This Row],[Gas 8h, ml]]-Table3.110[[#This Row],[Gas 0h, ml]]</f>
        <v>32.5</v>
      </c>
      <c r="AF644" s="94">
        <f>Table3.110[[#This Row],[Gas 24h, ml]]-Table3.110[[#This Row],[V8 Push back, ml]]</f>
        <v>39</v>
      </c>
      <c r="AG644" s="94">
        <f>Table3.110[[#This Row],[GP 8h, ml]]-(AVERAGE(AE$658,AE$659))*$AG$8</f>
        <v>31.836244932930278</v>
      </c>
      <c r="AH644" s="94">
        <f>Table3.110[[#This Row],[GP 8-24h, ml]]-(AVERAGE(AF$658,AF$659))*$AG$8</f>
        <v>37.00873479879084</v>
      </c>
      <c r="AI644" s="94">
        <f>Table3.110[[#This Row],[Net gas 8-24h, ml]]+Table3.110[[#This Row],[Net gas 8h, ml]]</f>
        <v>68.844979731721111</v>
      </c>
      <c r="AJ644" s="94">
        <f>Table3.110[[#This Row],[Net gas 8h, ml]]*Table3.110[[#This Row],[CH4 8h %]]%</f>
        <v>4.5207467804760988</v>
      </c>
      <c r="AK644" s="94">
        <f>Table3.110[[#This Row],[Net gas 8-24h, ml]]*Table3.110[[#This Row],[CH4 24h, %]]%</f>
        <v>6.2174674461968618</v>
      </c>
      <c r="AL644" s="94">
        <f>Table3.110[[#This Row],[CH4 8-24h, ml]]+Table3.110[[#This Row],[CH4 8h, ml]]</f>
        <v>10.738214226672961</v>
      </c>
      <c r="AM644" s="94">
        <f>(Table3.110[[#This Row],[Net gas 24h, ml]]/Table3.110[[#This Row],[DM Incubated, mg]])*1000</f>
        <v>151.64188671373057</v>
      </c>
      <c r="AN644" s="94">
        <f>'3.2 Digest'!X644</f>
        <v>34.911481274994699</v>
      </c>
      <c r="AO644" s="94">
        <f>Table3.110[[#This Row],[Digested feed, mg]]/Table3.110[[#This Row],[Net gas 24h, ml]]</f>
        <v>2.3022320568261301</v>
      </c>
      <c r="AP644" s="94">
        <f>Table3.110[[#This Row],[CH4 8h, ml]]/Table3.110[[#This Row],[Net gas 8h, ml]]%</f>
        <v>14.199999999999998</v>
      </c>
      <c r="AQ644" s="94">
        <f>Table3.110[[#This Row],[CH4 24h, ml]]/Table3.110[[#This Row],[Net gas 24h, ml]]%</f>
        <v>15.597672144749293</v>
      </c>
      <c r="AR644" s="94">
        <f>Table3.110[[#This Row],[CH4 24h, ml]]/Table3.110[[#This Row],[DM Incubated, mg]]*1000</f>
        <v>23.652604323719832</v>
      </c>
      <c r="AS644" s="94">
        <f>Table3.110[[#This Row],[CH4 24h, ml]]/Table3.110[[#This Row],[Digested feed, mg]]*1000</f>
        <v>67.750217005718909</v>
      </c>
      <c r="AT644" s="94">
        <f>Table3.110[[#This Row],[CH4 24h, ml]]/'3.2 Digest'!AA644</f>
        <v>-0.92139985814026193</v>
      </c>
      <c r="AU644" s="94">
        <f>((Table3.110[[#This Row],[CH4 24h, ml]]/28.9)*16.04)/Table3.110[[#This Row],[DM Incubated, mg]]*1000</f>
        <v>13.127604614272185</v>
      </c>
      <c r="AV644" s="94">
        <f>((Table3.110[[#This Row],[CH4 24h, ml]]/28.9)*16.04)/Table3.110[[#This Row],[Digested feed, mg]]*1000</f>
        <v>37.60254258725714</v>
      </c>
    </row>
    <row r="645" spans="2:48" s="89" customFormat="1" x14ac:dyDescent="0.35">
      <c r="B645" s="90">
        <f t="shared" si="9"/>
        <v>635</v>
      </c>
      <c r="C645" s="140">
        <v>46055</v>
      </c>
      <c r="D645" s="6" t="s">
        <v>16</v>
      </c>
      <c r="E645" s="6" t="s">
        <v>307</v>
      </c>
      <c r="F645" s="133" t="s">
        <v>212</v>
      </c>
      <c r="G645" s="133" t="s">
        <v>213</v>
      </c>
      <c r="H645" s="133" t="s">
        <v>214</v>
      </c>
      <c r="I645" s="125" t="s">
        <v>22</v>
      </c>
      <c r="J645" s="138" t="s">
        <v>23</v>
      </c>
      <c r="K645" s="138" t="s">
        <v>215</v>
      </c>
      <c r="L645" s="6" t="s">
        <v>306</v>
      </c>
      <c r="M645" s="93">
        <v>28</v>
      </c>
      <c r="N645" s="93">
        <v>62</v>
      </c>
      <c r="O645" s="6">
        <v>2</v>
      </c>
      <c r="P645" s="129">
        <v>3</v>
      </c>
      <c r="Q645" s="6">
        <v>0</v>
      </c>
      <c r="R645" s="112">
        <v>0.50019999999999998</v>
      </c>
      <c r="S645" s="94">
        <f>((Table3.110[[#This Row],[Sample weight, g]]*'2.1. DM'!Q187)/100)*1000</f>
        <v>453.72499314448515</v>
      </c>
      <c r="T645" s="94">
        <f>'3.2 Digest'!W645</f>
        <v>39.9249931444852</v>
      </c>
      <c r="U645" s="117">
        <v>0.36041666666666666</v>
      </c>
      <c r="V645" s="155">
        <v>41</v>
      </c>
      <c r="W645" s="117">
        <v>0.7</v>
      </c>
      <c r="X645" s="96">
        <v>73</v>
      </c>
      <c r="Y645" s="96">
        <v>14.2</v>
      </c>
      <c r="Z645" s="155">
        <v>40</v>
      </c>
      <c r="AA645" s="117">
        <v>0.37569444444444444</v>
      </c>
      <c r="AB645" s="155">
        <v>77</v>
      </c>
      <c r="AC645" s="155">
        <v>16.8</v>
      </c>
      <c r="AD645" s="96"/>
      <c r="AE645" s="94">
        <f>Table3.110[[#This Row],[Gas 8h, ml]]-Table3.110[[#This Row],[Gas 0h, ml]]</f>
        <v>32</v>
      </c>
      <c r="AF645" s="94">
        <f>Table3.110[[#This Row],[Gas 24h, ml]]-Table3.110[[#This Row],[V8 Push back, ml]]</f>
        <v>37</v>
      </c>
      <c r="AG645" s="94">
        <f>Table3.110[[#This Row],[GP 8h, ml]]-(AVERAGE(AE$658,AE$659))*$AG$8</f>
        <v>31.336244932930278</v>
      </c>
      <c r="AH645" s="94">
        <f>Table3.110[[#This Row],[GP 8-24h, ml]]-(AVERAGE(AF$658,AF$659))*$AG$8</f>
        <v>35.00873479879084</v>
      </c>
      <c r="AI645" s="94">
        <f>Table3.110[[#This Row],[Net gas 8-24h, ml]]+Table3.110[[#This Row],[Net gas 8h, ml]]</f>
        <v>66.344979731721111</v>
      </c>
      <c r="AJ645" s="94">
        <f>Table3.110[[#This Row],[Net gas 8h, ml]]*Table3.110[[#This Row],[CH4 8h %]]%</f>
        <v>4.4497467804760991</v>
      </c>
      <c r="AK645" s="94">
        <f>Table3.110[[#This Row],[Net gas 8-24h, ml]]*Table3.110[[#This Row],[CH4 24h, %]]%</f>
        <v>5.8814674461968615</v>
      </c>
      <c r="AL645" s="94">
        <f>Table3.110[[#This Row],[CH4 8-24h, ml]]+Table3.110[[#This Row],[CH4 8h, ml]]</f>
        <v>10.331214226672961</v>
      </c>
      <c r="AM645" s="94">
        <f>(Table3.110[[#This Row],[Net gas 24h, ml]]/Table3.110[[#This Row],[DM Incubated, mg]])*1000</f>
        <v>146.22288993146577</v>
      </c>
      <c r="AN645" s="94">
        <f>'3.2 Digest'!X645</f>
        <v>8.7993815081223428</v>
      </c>
      <c r="AO645" s="94">
        <f>Table3.110[[#This Row],[Digested feed, mg]]/Table3.110[[#This Row],[Net gas 24h, ml]]</f>
        <v>0.60177866216750253</v>
      </c>
      <c r="AP645" s="94">
        <f>Table3.110[[#This Row],[CH4 8h, ml]]/Table3.110[[#This Row],[Net gas 8h, ml]]%</f>
        <v>14.199999999999998</v>
      </c>
      <c r="AQ645" s="94">
        <f>Table3.110[[#This Row],[CH4 24h, ml]]/Table3.110[[#This Row],[Net gas 24h, ml]]%</f>
        <v>15.571960785049967</v>
      </c>
      <c r="AR645" s="94">
        <f>Table3.110[[#This Row],[CH4 24h, ml]]/Table3.110[[#This Row],[DM Incubated, mg]]*1000</f>
        <v>22.769771078894625</v>
      </c>
      <c r="AS645" s="94">
        <f>Table3.110[[#This Row],[CH4 24h, ml]]/Table3.110[[#This Row],[Digested feed, mg]]*1000</f>
        <v>258.76558548889824</v>
      </c>
      <c r="AT645" s="94">
        <f>Table3.110[[#This Row],[CH4 24h, ml]]/'3.2 Digest'!AA645</f>
        <v>-0.18302343371696622</v>
      </c>
      <c r="AU645" s="94">
        <f>((Table3.110[[#This Row],[CH4 24h, ml]]/28.9)*16.04)/Table3.110[[#This Row],[DM Incubated, mg]]*1000</f>
        <v>12.637616889462624</v>
      </c>
      <c r="AV645" s="94">
        <f>((Table3.110[[#This Row],[CH4 24h, ml]]/28.9)*16.04)/Table3.110[[#This Row],[Digested feed, mg]]*1000</f>
        <v>143.61937685958227</v>
      </c>
    </row>
    <row r="646" spans="2:48" s="89" customFormat="1" x14ac:dyDescent="0.35">
      <c r="B646" s="90">
        <f t="shared" si="9"/>
        <v>636</v>
      </c>
      <c r="C646" s="140">
        <v>46055</v>
      </c>
      <c r="D646" s="6" t="s">
        <v>16</v>
      </c>
      <c r="E646" s="6" t="s">
        <v>309</v>
      </c>
      <c r="F646" s="133" t="s">
        <v>212</v>
      </c>
      <c r="G646" s="133" t="s">
        <v>310</v>
      </c>
      <c r="H646" s="133" t="s">
        <v>311</v>
      </c>
      <c r="I646" s="125" t="s">
        <v>22</v>
      </c>
      <c r="J646" s="138" t="s">
        <v>23</v>
      </c>
      <c r="K646" s="138" t="s">
        <v>215</v>
      </c>
      <c r="L646" s="6" t="s">
        <v>308</v>
      </c>
      <c r="M646" s="93">
        <v>28</v>
      </c>
      <c r="N646" s="93">
        <v>62</v>
      </c>
      <c r="O646" s="6">
        <v>2</v>
      </c>
      <c r="P646" s="129">
        <v>1</v>
      </c>
      <c r="Q646" s="6">
        <v>0</v>
      </c>
      <c r="R646" s="112">
        <v>0.50049999999999994</v>
      </c>
      <c r="S646" s="94">
        <f>((Table3.110[[#This Row],[Sample weight, g]]*'2.1. DM'!Q189)/100)*1000</f>
        <v>463.50843904701611</v>
      </c>
      <c r="T646" s="94">
        <f>'3.2 Digest'!W646</f>
        <v>168.40843904701609</v>
      </c>
      <c r="U646" s="117">
        <v>0.3611111111111111</v>
      </c>
      <c r="V646" s="155">
        <v>41</v>
      </c>
      <c r="W646" s="117">
        <v>0.7</v>
      </c>
      <c r="X646" s="96">
        <v>69.5</v>
      </c>
      <c r="Y646" s="96">
        <v>12.7</v>
      </c>
      <c r="Z646" s="155">
        <v>40.5</v>
      </c>
      <c r="AA646" s="117">
        <v>0.37638888888888888</v>
      </c>
      <c r="AB646" s="155">
        <v>75</v>
      </c>
      <c r="AC646" s="155">
        <v>16.100000000000001</v>
      </c>
      <c r="AD646" s="96"/>
      <c r="AE646" s="94">
        <f>Table3.110[[#This Row],[Gas 8h, ml]]-Table3.110[[#This Row],[Gas 0h, ml]]</f>
        <v>28.5</v>
      </c>
      <c r="AF646" s="94">
        <f>Table3.110[[#This Row],[Gas 24h, ml]]-Table3.110[[#This Row],[V8 Push back, ml]]</f>
        <v>34.5</v>
      </c>
      <c r="AG646" s="94">
        <f>Table3.110[[#This Row],[GP 8h, ml]]-(AVERAGE(AE$658,AE$659))*$AG$8</f>
        <v>27.836244932930278</v>
      </c>
      <c r="AH646" s="94">
        <f>Table3.110[[#This Row],[GP 8-24h, ml]]-(AVERAGE(AF$658,AF$659))*$AG$8</f>
        <v>32.50873479879084</v>
      </c>
      <c r="AI646" s="94">
        <f>Table3.110[[#This Row],[Net gas 8-24h, ml]]+Table3.110[[#This Row],[Net gas 8h, ml]]</f>
        <v>60.344979731721118</v>
      </c>
      <c r="AJ646" s="94">
        <f>Table3.110[[#This Row],[Net gas 8h, ml]]*Table3.110[[#This Row],[CH4 8h %]]%</f>
        <v>3.5352031064821454</v>
      </c>
      <c r="AK646" s="94">
        <f>Table3.110[[#This Row],[Net gas 8-24h, ml]]*Table3.110[[#This Row],[CH4 24h, %]]%</f>
        <v>5.233906302605325</v>
      </c>
      <c r="AL646" s="94">
        <f>Table3.110[[#This Row],[CH4 8-24h, ml]]+Table3.110[[#This Row],[CH4 8h, ml]]</f>
        <v>8.7691094090874699</v>
      </c>
      <c r="AM646" s="94">
        <f>(Table3.110[[#This Row],[Net gas 24h, ml]]/Table3.110[[#This Row],[DM Incubated, mg]])*1000</f>
        <v>130.19176059834373</v>
      </c>
      <c r="AN646" s="94">
        <f>'3.2 Digest'!X646</f>
        <v>36.333413776298798</v>
      </c>
      <c r="AO646" s="94">
        <f>Table3.110[[#This Row],[Digested feed, mg]]/Table3.110[[#This Row],[Net gas 24h, ml]]</f>
        <v>2.7907613822345856</v>
      </c>
      <c r="AP646" s="94">
        <f>Table3.110[[#This Row],[CH4 8h, ml]]/Table3.110[[#This Row],[Net gas 8h, ml]]%</f>
        <v>12.700000000000001</v>
      </c>
      <c r="AQ646" s="94">
        <f>Table3.110[[#This Row],[CH4 24h, ml]]/Table3.110[[#This Row],[Net gas 24h, ml]]%</f>
        <v>14.531630382631274</v>
      </c>
      <c r="AR646" s="94">
        <f>Table3.110[[#This Row],[CH4 24h, ml]]/Table3.110[[#This Row],[DM Incubated, mg]]*1000</f>
        <v>18.918985438791488</v>
      </c>
      <c r="AS646" s="94">
        <f>Table3.110[[#This Row],[CH4 24h, ml]]/Table3.110[[#This Row],[Digested feed, mg]]*1000</f>
        <v>52.070486839672675</v>
      </c>
      <c r="AT646" s="94">
        <f>Table3.110[[#This Row],[CH4 24h, ml]]/'3.2 Digest'!AA646</f>
        <v>-1.2575200485845479</v>
      </c>
      <c r="AU646" s="94">
        <f>((Table3.110[[#This Row],[CH4 24h, ml]]/28.9)*16.04)/Table3.110[[#This Row],[DM Incubated, mg]]*1000</f>
        <v>10.50036423661645</v>
      </c>
      <c r="AV646" s="94">
        <f>((Table3.110[[#This Row],[CH4 24h, ml]]/28.9)*16.04)/Table3.110[[#This Row],[Digested feed, mg]]*1000</f>
        <v>28.900021069493068</v>
      </c>
    </row>
    <row r="647" spans="2:48" s="89" customFormat="1" x14ac:dyDescent="0.35">
      <c r="B647" s="90">
        <f t="shared" si="9"/>
        <v>637</v>
      </c>
      <c r="C647" s="140">
        <v>46055</v>
      </c>
      <c r="D647" s="6" t="s">
        <v>16</v>
      </c>
      <c r="E647" s="6" t="s">
        <v>309</v>
      </c>
      <c r="F647" s="133" t="s">
        <v>212</v>
      </c>
      <c r="G647" s="133" t="s">
        <v>310</v>
      </c>
      <c r="H647" s="133" t="s">
        <v>311</v>
      </c>
      <c r="I647" s="125" t="s">
        <v>22</v>
      </c>
      <c r="J647" s="138" t="s">
        <v>23</v>
      </c>
      <c r="K647" s="138" t="s">
        <v>215</v>
      </c>
      <c r="L647" s="6" t="s">
        <v>308</v>
      </c>
      <c r="M647" s="93">
        <v>28</v>
      </c>
      <c r="N647" s="93">
        <v>62</v>
      </c>
      <c r="O647" s="6">
        <v>2</v>
      </c>
      <c r="P647" s="129">
        <v>2</v>
      </c>
      <c r="Q647" s="6">
        <v>0</v>
      </c>
      <c r="R647" s="112">
        <v>0.50009999999999999</v>
      </c>
      <c r="S647" s="94">
        <f>((Table3.110[[#This Row],[Sample weight, g]]*'2.1. DM'!Q189)/100)*1000</f>
        <v>463.13800273209341</v>
      </c>
      <c r="T647" s="94">
        <f>'3.2 Digest'!W647</f>
        <v>83.038002732093446</v>
      </c>
      <c r="U647" s="117">
        <v>0.3611111111111111</v>
      </c>
      <c r="V647" s="155">
        <v>41.5</v>
      </c>
      <c r="W647" s="117">
        <v>0.7006944444444444</v>
      </c>
      <c r="X647" s="96">
        <v>68.5</v>
      </c>
      <c r="Y647" s="96">
        <v>12.8</v>
      </c>
      <c r="Z647" s="155">
        <v>40</v>
      </c>
      <c r="AA647" s="117">
        <v>0.37638888888888888</v>
      </c>
      <c r="AB647" s="155">
        <v>75</v>
      </c>
      <c r="AC647" s="155">
        <v>16</v>
      </c>
      <c r="AD647" s="96"/>
      <c r="AE647" s="94">
        <f>Table3.110[[#This Row],[Gas 8h, ml]]-Table3.110[[#This Row],[Gas 0h, ml]]</f>
        <v>27</v>
      </c>
      <c r="AF647" s="94">
        <f>Table3.110[[#This Row],[Gas 24h, ml]]-Table3.110[[#This Row],[V8 Push back, ml]]</f>
        <v>35</v>
      </c>
      <c r="AG647" s="94">
        <f>Table3.110[[#This Row],[GP 8h, ml]]-(AVERAGE(AE$658,AE$659))*$AG$8</f>
        <v>26.336244932930278</v>
      </c>
      <c r="AH647" s="94">
        <f>Table3.110[[#This Row],[GP 8-24h, ml]]-(AVERAGE(AF$658,AF$659))*$AG$8</f>
        <v>33.00873479879084</v>
      </c>
      <c r="AI647" s="94">
        <f>Table3.110[[#This Row],[Net gas 8-24h, ml]]+Table3.110[[#This Row],[Net gas 8h, ml]]</f>
        <v>59.344979731721118</v>
      </c>
      <c r="AJ647" s="94">
        <f>Table3.110[[#This Row],[Net gas 8h, ml]]*Table3.110[[#This Row],[CH4 8h %]]%</f>
        <v>3.3710393514150758</v>
      </c>
      <c r="AK647" s="94">
        <f>Table3.110[[#This Row],[Net gas 8-24h, ml]]*Table3.110[[#This Row],[CH4 24h, %]]%</f>
        <v>5.2813975678065344</v>
      </c>
      <c r="AL647" s="94">
        <f>Table3.110[[#This Row],[CH4 8-24h, ml]]+Table3.110[[#This Row],[CH4 8h, ml]]</f>
        <v>8.6524369192216106</v>
      </c>
      <c r="AM647" s="94">
        <f>(Table3.110[[#This Row],[Net gas 24h, ml]]/Table3.110[[#This Row],[DM Incubated, mg]])*1000</f>
        <v>128.13670953719983</v>
      </c>
      <c r="AN647" s="94">
        <f>'3.2 Digest'!X647</f>
        <v>17.92942972553422</v>
      </c>
      <c r="AO647" s="94">
        <f>Table3.110[[#This Row],[Digested feed, mg]]/Table3.110[[#This Row],[Net gas 24h, ml]]</f>
        <v>1.3992422460582274</v>
      </c>
      <c r="AP647" s="94">
        <f>Table3.110[[#This Row],[CH4 8h, ml]]/Table3.110[[#This Row],[Net gas 8h, ml]]%</f>
        <v>12.800000000000002</v>
      </c>
      <c r="AQ647" s="94">
        <f>Table3.110[[#This Row],[CH4 24h, ml]]/Table3.110[[#This Row],[Net gas 24h, ml]]%</f>
        <v>14.579896999436844</v>
      </c>
      <c r="AR647" s="94">
        <f>Table3.110[[#This Row],[CH4 24h, ml]]/Table3.110[[#This Row],[DM Incubated, mg]]*1000</f>
        <v>18.682200268991306</v>
      </c>
      <c r="AS647" s="94">
        <f>Table3.110[[#This Row],[CH4 24h, ml]]/Table3.110[[#This Row],[Digested feed, mg]]*1000</f>
        <v>104.19851916642405</v>
      </c>
      <c r="AT647" s="94">
        <f>Table3.110[[#This Row],[CH4 24h, ml]]/'3.2 Digest'!AA647</f>
        <v>-0.22832105057200597</v>
      </c>
      <c r="AU647" s="94">
        <f>((Table3.110[[#This Row],[CH4 24h, ml]]/28.9)*16.04)/Table3.110[[#This Row],[DM Incubated, mg]]*1000</f>
        <v>10.368944370748114</v>
      </c>
      <c r="AV647" s="94">
        <f>((Table3.110[[#This Row],[CH4 24h, ml]]/28.9)*16.04)/Table3.110[[#This Row],[Digested feed, mg]]*1000</f>
        <v>57.831980879911477</v>
      </c>
    </row>
    <row r="648" spans="2:48" s="89" customFormat="1" x14ac:dyDescent="0.35">
      <c r="B648" s="90">
        <f t="shared" si="9"/>
        <v>638</v>
      </c>
      <c r="C648" s="140">
        <v>46055</v>
      </c>
      <c r="D648" s="6" t="s">
        <v>16</v>
      </c>
      <c r="E648" s="6" t="s">
        <v>309</v>
      </c>
      <c r="F648" s="133" t="s">
        <v>212</v>
      </c>
      <c r="G648" s="133" t="s">
        <v>310</v>
      </c>
      <c r="H648" s="133" t="s">
        <v>311</v>
      </c>
      <c r="I648" s="125" t="s">
        <v>22</v>
      </c>
      <c r="J648" s="138" t="s">
        <v>23</v>
      </c>
      <c r="K648" s="138" t="s">
        <v>215</v>
      </c>
      <c r="L648" s="6" t="s">
        <v>308</v>
      </c>
      <c r="M648" s="93">
        <v>28</v>
      </c>
      <c r="N648" s="93">
        <v>62</v>
      </c>
      <c r="O648" s="6">
        <v>2</v>
      </c>
      <c r="P648" s="129">
        <v>3</v>
      </c>
      <c r="Q648" s="6">
        <v>0</v>
      </c>
      <c r="R648" s="112">
        <v>0.50049999999999994</v>
      </c>
      <c r="S648" s="94">
        <f>((Table3.110[[#This Row],[Sample weight, g]]*'2.1. DM'!Q189)/100)*1000</f>
        <v>463.50843904701611</v>
      </c>
      <c r="T648" s="94">
        <f>'3.2 Digest'!W648</f>
        <v>0</v>
      </c>
      <c r="U648" s="117">
        <v>0.36180555555555555</v>
      </c>
      <c r="V648" s="155">
        <v>40.5</v>
      </c>
      <c r="W648" s="117">
        <v>0.7006944444444444</v>
      </c>
      <c r="X648" s="96">
        <v>69.5</v>
      </c>
      <c r="Y648" s="96">
        <v>12.7</v>
      </c>
      <c r="Z648" s="155">
        <v>40</v>
      </c>
      <c r="AA648" s="117">
        <v>0.37708333333333333</v>
      </c>
      <c r="AB648" s="155">
        <v>74</v>
      </c>
      <c r="AC648" s="155">
        <v>16</v>
      </c>
      <c r="AD648" s="96"/>
      <c r="AE648" s="94">
        <f>Table3.110[[#This Row],[Gas 8h, ml]]-Table3.110[[#This Row],[Gas 0h, ml]]</f>
        <v>29</v>
      </c>
      <c r="AF648" s="94">
        <f>Table3.110[[#This Row],[Gas 24h, ml]]-Table3.110[[#This Row],[V8 Push back, ml]]</f>
        <v>34</v>
      </c>
      <c r="AG648" s="94"/>
      <c r="AH648" s="94"/>
      <c r="AI648" s="94"/>
      <c r="AJ648" s="94"/>
      <c r="AK648" s="94"/>
      <c r="AL648" s="94"/>
      <c r="AM648" s="94"/>
      <c r="AN648" s="94"/>
      <c r="AO648" s="94"/>
      <c r="AP648" s="94"/>
      <c r="AQ648" s="94"/>
      <c r="AR648" s="94"/>
      <c r="AS648" s="94"/>
      <c r="AT648" s="94"/>
      <c r="AU648" s="94"/>
      <c r="AV648" s="94"/>
    </row>
    <row r="649" spans="2:48" s="89" customFormat="1" x14ac:dyDescent="0.35">
      <c r="B649" s="90">
        <f t="shared" si="9"/>
        <v>639</v>
      </c>
      <c r="C649" s="140">
        <v>46055</v>
      </c>
      <c r="D649" s="6" t="s">
        <v>16</v>
      </c>
      <c r="E649" s="6" t="s">
        <v>313</v>
      </c>
      <c r="F649" s="133" t="s">
        <v>290</v>
      </c>
      <c r="G649" s="133" t="s">
        <v>314</v>
      </c>
      <c r="H649" s="133" t="s">
        <v>315</v>
      </c>
      <c r="I649" s="125" t="s">
        <v>22</v>
      </c>
      <c r="J649" s="138" t="s">
        <v>23</v>
      </c>
      <c r="K649" s="138" t="s">
        <v>215</v>
      </c>
      <c r="L649" s="6" t="s">
        <v>312</v>
      </c>
      <c r="M649" s="93">
        <v>28</v>
      </c>
      <c r="N649" s="93">
        <v>62</v>
      </c>
      <c r="O649" s="6">
        <v>2</v>
      </c>
      <c r="P649" s="129">
        <v>1</v>
      </c>
      <c r="Q649" s="6">
        <v>0</v>
      </c>
      <c r="R649" s="112">
        <v>0.50009999999999999</v>
      </c>
      <c r="S649" s="94">
        <f>((Table3.110[[#This Row],[Sample weight, g]]*'2.1. DM'!Q191)/100)*1000</f>
        <v>449.22766568305201</v>
      </c>
      <c r="T649" s="94">
        <f>'3.2 Digest'!W649</f>
        <v>0</v>
      </c>
      <c r="U649" s="117">
        <v>0.36180555555555555</v>
      </c>
      <c r="V649" s="155">
        <v>41</v>
      </c>
      <c r="W649" s="117">
        <v>0.70138888888888884</v>
      </c>
      <c r="X649" s="96">
        <v>63</v>
      </c>
      <c r="Y649" s="96">
        <v>12.8</v>
      </c>
      <c r="Z649" s="155">
        <v>40.5</v>
      </c>
      <c r="AA649" s="117">
        <v>0.37708333333333333</v>
      </c>
      <c r="AB649" s="155">
        <v>83</v>
      </c>
      <c r="AC649" s="155">
        <v>15.2</v>
      </c>
      <c r="AD649" s="96"/>
      <c r="AE649" s="94">
        <f>Table3.110[[#This Row],[Gas 8h, ml]]-Table3.110[[#This Row],[Gas 0h, ml]]</f>
        <v>22</v>
      </c>
      <c r="AF649" s="94">
        <f>Table3.110[[#This Row],[Gas 24h, ml]]-Table3.110[[#This Row],[V8 Push back, ml]]</f>
        <v>42.5</v>
      </c>
      <c r="AG649" s="94"/>
      <c r="AH649" s="94"/>
      <c r="AI649" s="94"/>
      <c r="AJ649" s="94"/>
      <c r="AK649" s="94"/>
      <c r="AL649" s="94"/>
      <c r="AM649" s="94"/>
      <c r="AN649" s="94"/>
      <c r="AO649" s="94"/>
      <c r="AP649" s="94"/>
      <c r="AQ649" s="94"/>
      <c r="AR649" s="94"/>
      <c r="AS649" s="94"/>
      <c r="AT649" s="94"/>
      <c r="AU649" s="94"/>
      <c r="AV649" s="94"/>
    </row>
    <row r="650" spans="2:48" s="89" customFormat="1" x14ac:dyDescent="0.35">
      <c r="B650" s="90">
        <f t="shared" si="9"/>
        <v>640</v>
      </c>
      <c r="C650" s="140">
        <v>46055</v>
      </c>
      <c r="D650" s="6" t="s">
        <v>16</v>
      </c>
      <c r="E650" s="6" t="s">
        <v>313</v>
      </c>
      <c r="F650" s="133" t="s">
        <v>290</v>
      </c>
      <c r="G650" s="133" t="s">
        <v>314</v>
      </c>
      <c r="H650" s="133" t="s">
        <v>315</v>
      </c>
      <c r="I650" s="125" t="s">
        <v>22</v>
      </c>
      <c r="J650" s="138" t="s">
        <v>23</v>
      </c>
      <c r="K650" s="138" t="s">
        <v>215</v>
      </c>
      <c r="L650" s="6" t="s">
        <v>312</v>
      </c>
      <c r="M650" s="93">
        <v>28</v>
      </c>
      <c r="N650" s="93">
        <v>62</v>
      </c>
      <c r="O650" s="6">
        <v>2</v>
      </c>
      <c r="P650" s="129">
        <v>2</v>
      </c>
      <c r="Q650" s="6">
        <v>0</v>
      </c>
      <c r="R650" s="112">
        <v>0.50049999999999994</v>
      </c>
      <c r="S650" s="94">
        <f>((Table3.110[[#This Row],[Sample weight, g]]*'2.1. DM'!Q191)/100)*1000</f>
        <v>449.58697595354431</v>
      </c>
      <c r="T650" s="94">
        <f>'3.2 Digest'!W650</f>
        <v>167.58697595354431</v>
      </c>
      <c r="U650" s="117">
        <v>0.36249999999999999</v>
      </c>
      <c r="V650" s="155">
        <v>41.5</v>
      </c>
      <c r="W650" s="117">
        <v>0.70138888888888884</v>
      </c>
      <c r="X650" s="96">
        <v>64</v>
      </c>
      <c r="Y650" s="96">
        <v>12.6</v>
      </c>
      <c r="Z650" s="155">
        <v>40.5</v>
      </c>
      <c r="AA650" s="117">
        <v>0.37777777777777777</v>
      </c>
      <c r="AB650" s="155">
        <v>83</v>
      </c>
      <c r="AC650" s="155">
        <v>15.2</v>
      </c>
      <c r="AD650" s="96"/>
      <c r="AE650" s="94">
        <f>Table3.110[[#This Row],[Gas 8h, ml]]-Table3.110[[#This Row],[Gas 0h, ml]]</f>
        <v>22.5</v>
      </c>
      <c r="AF650" s="94">
        <f>Table3.110[[#This Row],[Gas 24h, ml]]-Table3.110[[#This Row],[V8 Push back, ml]]</f>
        <v>42.5</v>
      </c>
      <c r="AG650" s="94">
        <f>Table3.110[[#This Row],[GP 8h, ml]]-(AVERAGE(AE$658,AE$659))*$AG$8</f>
        <v>21.836244932930278</v>
      </c>
      <c r="AH650" s="94">
        <f>Table3.110[[#This Row],[GP 8-24h, ml]]-(AVERAGE(AF$658,AF$659))*$AG$8</f>
        <v>40.50873479879084</v>
      </c>
      <c r="AI650" s="94">
        <f>Table3.110[[#This Row],[Net gas 8-24h, ml]]+Table3.110[[#This Row],[Net gas 8h, ml]]</f>
        <v>62.344979731721118</v>
      </c>
      <c r="AJ650" s="94">
        <f>Table3.110[[#This Row],[Net gas 8h, ml]]*Table3.110[[#This Row],[CH4 8h %]]%</f>
        <v>2.7513668615492151</v>
      </c>
      <c r="AK650" s="94">
        <f>Table3.110[[#This Row],[Net gas 8-24h, ml]]*Table3.110[[#This Row],[CH4 24h, %]]%</f>
        <v>6.1573276894162072</v>
      </c>
      <c r="AL650" s="94">
        <f>Table3.110[[#This Row],[CH4 8-24h, ml]]+Table3.110[[#This Row],[CH4 8h, ml]]</f>
        <v>8.9086945509654214</v>
      </c>
      <c r="AM650" s="94">
        <f>(Table3.110[[#This Row],[Net gas 24h, ml]]/Table3.110[[#This Row],[DM Incubated, mg]])*1000</f>
        <v>138.67167659715128</v>
      </c>
      <c r="AN650" s="94">
        <f>'3.2 Digest'!X650</f>
        <v>37.275763070783668</v>
      </c>
      <c r="AO650" s="94">
        <f>Table3.110[[#This Row],[Digested feed, mg]]/Table3.110[[#This Row],[Net gas 24h, ml]]</f>
        <v>2.6880588729789268</v>
      </c>
      <c r="AP650" s="94">
        <f>Table3.110[[#This Row],[CH4 8h, ml]]/Table3.110[[#This Row],[Net gas 8h, ml]]%</f>
        <v>12.600000000000001</v>
      </c>
      <c r="AQ650" s="94">
        <f>Table3.110[[#This Row],[CH4 24h, ml]]/Table3.110[[#This Row],[Net gas 24h, ml]]%</f>
        <v>14.289353512184524</v>
      </c>
      <c r="AR650" s="94">
        <f>Table3.110[[#This Row],[CH4 24h, ml]]/Table3.110[[#This Row],[DM Incubated, mg]]*1000</f>
        <v>19.8152860902402</v>
      </c>
      <c r="AS650" s="94">
        <f>Table3.110[[#This Row],[CH4 24h, ml]]/Table3.110[[#This Row],[Digested feed, mg]]*1000</f>
        <v>53.158633004004692</v>
      </c>
      <c r="AT650" s="94">
        <f>Table3.110[[#This Row],[CH4 24h, ml]]/'3.2 Digest'!AA650</f>
        <v>-0.34858553824791294</v>
      </c>
      <c r="AU650" s="94">
        <f>((Table3.110[[#This Row],[CH4 24h, ml]]/28.9)*16.04)/Table3.110[[#This Row],[DM Incubated, mg]]*1000</f>
        <v>10.997826605102173</v>
      </c>
      <c r="AV650" s="94">
        <f>((Table3.110[[#This Row],[CH4 24h, ml]]/28.9)*16.04)/Table3.110[[#This Row],[Digested feed, mg]]*1000</f>
        <v>29.503961016755543</v>
      </c>
    </row>
    <row r="651" spans="2:48" s="89" customFormat="1" x14ac:dyDescent="0.35">
      <c r="B651" s="90">
        <f t="shared" si="9"/>
        <v>641</v>
      </c>
      <c r="C651" s="140">
        <v>46055</v>
      </c>
      <c r="D651" s="6" t="s">
        <v>16</v>
      </c>
      <c r="E651" s="6" t="s">
        <v>313</v>
      </c>
      <c r="F651" s="133" t="s">
        <v>290</v>
      </c>
      <c r="G651" s="133" t="s">
        <v>314</v>
      </c>
      <c r="H651" s="133" t="s">
        <v>315</v>
      </c>
      <c r="I651" s="125" t="s">
        <v>22</v>
      </c>
      <c r="J651" s="138" t="s">
        <v>23</v>
      </c>
      <c r="K651" s="138" t="s">
        <v>215</v>
      </c>
      <c r="L651" s="6" t="s">
        <v>312</v>
      </c>
      <c r="M651" s="93">
        <v>28</v>
      </c>
      <c r="N651" s="93">
        <v>62</v>
      </c>
      <c r="O651" s="6">
        <v>2</v>
      </c>
      <c r="P651" s="129">
        <v>3</v>
      </c>
      <c r="Q651" s="6">
        <v>0</v>
      </c>
      <c r="R651" s="112">
        <v>0.50049999999999994</v>
      </c>
      <c r="S651" s="94">
        <f>((Table3.110[[#This Row],[Sample weight, g]]*'2.1. DM'!Q191)/100)*1000</f>
        <v>449.58697595354431</v>
      </c>
      <c r="T651" s="94">
        <f>'3.2 Digest'!W651</f>
        <v>77.686975953544277</v>
      </c>
      <c r="U651" s="117">
        <v>0.36249999999999999</v>
      </c>
      <c r="V651" s="155">
        <v>41.5</v>
      </c>
      <c r="W651" s="117">
        <v>0.70208333333333328</v>
      </c>
      <c r="X651" s="96">
        <v>62.5</v>
      </c>
      <c r="Y651" s="96">
        <v>12.6</v>
      </c>
      <c r="Z651" s="155">
        <v>40.5</v>
      </c>
      <c r="AA651" s="117">
        <v>0.37847222222222221</v>
      </c>
      <c r="AB651" s="155">
        <v>82</v>
      </c>
      <c r="AC651" s="155">
        <v>15</v>
      </c>
      <c r="AD651" s="96"/>
      <c r="AE651" s="94">
        <f>Table3.110[[#This Row],[Gas 8h, ml]]-Table3.110[[#This Row],[Gas 0h, ml]]</f>
        <v>21</v>
      </c>
      <c r="AF651" s="94">
        <f>Table3.110[[#This Row],[Gas 24h, ml]]-Table3.110[[#This Row],[V8 Push back, ml]]</f>
        <v>41.5</v>
      </c>
      <c r="AG651" s="94">
        <f>Table3.110[[#This Row],[GP 8h, ml]]-(AVERAGE(AE$658,AE$659))*$AG$8</f>
        <v>20.336244932930278</v>
      </c>
      <c r="AH651" s="94">
        <f>Table3.110[[#This Row],[GP 8-24h, ml]]-(AVERAGE(AF$658,AF$659))*$AG$8</f>
        <v>39.50873479879084</v>
      </c>
      <c r="AI651" s="94">
        <f>Table3.110[[#This Row],[Net gas 8-24h, ml]]+Table3.110[[#This Row],[Net gas 8h, ml]]</f>
        <v>59.844979731721118</v>
      </c>
      <c r="AJ651" s="94">
        <f>Table3.110[[#This Row],[Net gas 8h, ml]]*Table3.110[[#This Row],[CH4 8h %]]%</f>
        <v>2.562366861549215</v>
      </c>
      <c r="AK651" s="94">
        <f>Table3.110[[#This Row],[Net gas 8-24h, ml]]*Table3.110[[#This Row],[CH4 24h, %]]%</f>
        <v>5.9263102198186255</v>
      </c>
      <c r="AL651" s="94">
        <f>Table3.110[[#This Row],[CH4 8-24h, ml]]+Table3.110[[#This Row],[CH4 8h, ml]]</f>
        <v>8.4886770813678396</v>
      </c>
      <c r="AM651" s="94">
        <f>(Table3.110[[#This Row],[Net gas 24h, ml]]/Table3.110[[#This Row],[DM Incubated, mg]])*1000</f>
        <v>133.1110172949158</v>
      </c>
      <c r="AN651" s="94">
        <f>'3.2 Digest'!X651</f>
        <v>17.279632219944833</v>
      </c>
      <c r="AO651" s="94">
        <f>Table3.110[[#This Row],[Digested feed, mg]]/Table3.110[[#This Row],[Net gas 24h, ml]]</f>
        <v>1.2981368913784748</v>
      </c>
      <c r="AP651" s="94">
        <f>Table3.110[[#This Row],[CH4 8h, ml]]/Table3.110[[#This Row],[Net gas 8h, ml]]%</f>
        <v>12.6</v>
      </c>
      <c r="AQ651" s="94">
        <f>Table3.110[[#This Row],[CH4 24h, ml]]/Table3.110[[#This Row],[Net gas 24h, ml]]%</f>
        <v>14.18444307178598</v>
      </c>
      <c r="AR651" s="94">
        <f>Table3.110[[#This Row],[CH4 24h, ml]]/Table3.110[[#This Row],[DM Incubated, mg]]*1000</f>
        <v>18.881056470472515</v>
      </c>
      <c r="AS651" s="94">
        <f>Table3.110[[#This Row],[CH4 24h, ml]]/Table3.110[[#This Row],[Digested feed, mg]]*1000</f>
        <v>109.26769869950851</v>
      </c>
      <c r="AT651" s="94">
        <f>Table3.110[[#This Row],[CH4 24h, ml]]/'3.2 Digest'!AA651</f>
        <v>-0.12943320373412293</v>
      </c>
      <c r="AU651" s="94">
        <f>((Table3.110[[#This Row],[CH4 24h, ml]]/28.9)*16.04)/Table3.110[[#This Row],[DM Incubated, mg]]*1000</f>
        <v>10.479313002988897</v>
      </c>
      <c r="AV651" s="94">
        <f>((Table3.110[[#This Row],[CH4 24h, ml]]/28.9)*16.04)/Table3.110[[#This Row],[Digested feed, mg]]*1000</f>
        <v>60.6454632228414</v>
      </c>
    </row>
    <row r="652" spans="2:48" s="89" customFormat="1" x14ac:dyDescent="0.35">
      <c r="B652" s="90">
        <f t="shared" ref="B652:B715" si="10">B651+1</f>
        <v>642</v>
      </c>
      <c r="C652" s="140">
        <v>46055</v>
      </c>
      <c r="D652" s="6" t="s">
        <v>16</v>
      </c>
      <c r="E652" s="6" t="s">
        <v>317</v>
      </c>
      <c r="F652" s="133" t="s">
        <v>290</v>
      </c>
      <c r="G652" s="133" t="s">
        <v>318</v>
      </c>
      <c r="H652" s="133" t="s">
        <v>319</v>
      </c>
      <c r="I652" s="125" t="s">
        <v>22</v>
      </c>
      <c r="J652" s="138" t="s">
        <v>23</v>
      </c>
      <c r="K652" s="138" t="s">
        <v>215</v>
      </c>
      <c r="L652" s="6" t="s">
        <v>316</v>
      </c>
      <c r="M652" s="93">
        <v>28</v>
      </c>
      <c r="N652" s="93">
        <v>62</v>
      </c>
      <c r="O652" s="6">
        <v>2</v>
      </c>
      <c r="P652" s="129">
        <v>1</v>
      </c>
      <c r="Q652" s="6">
        <v>0</v>
      </c>
      <c r="R652" s="112">
        <v>0.50009999999999999</v>
      </c>
      <c r="S652" s="94">
        <f>((Table3.110[[#This Row],[Sample weight, g]]*'2.1. DM'!Q193)/100)*1000</f>
        <v>451.80488659679742</v>
      </c>
      <c r="T652" s="94">
        <f>'3.2 Digest'!W652</f>
        <v>6.204886596797337</v>
      </c>
      <c r="U652" s="117">
        <v>0.36249999999999999</v>
      </c>
      <c r="V652" s="155">
        <v>41.5</v>
      </c>
      <c r="W652" s="117">
        <v>0.70208333333333328</v>
      </c>
      <c r="X652" s="96">
        <v>65.5</v>
      </c>
      <c r="Y652" s="96">
        <v>12.5</v>
      </c>
      <c r="Z652" s="155">
        <v>40.5</v>
      </c>
      <c r="AA652" s="117">
        <v>0.37847222222222221</v>
      </c>
      <c r="AB652" s="155">
        <v>70</v>
      </c>
      <c r="AC652" s="155">
        <v>14.6</v>
      </c>
      <c r="AD652" s="96"/>
      <c r="AE652" s="94">
        <f>Table3.110[[#This Row],[Gas 8h, ml]]-Table3.110[[#This Row],[Gas 0h, ml]]</f>
        <v>24</v>
      </c>
      <c r="AF652" s="94">
        <f>Table3.110[[#This Row],[Gas 24h, ml]]-Table3.110[[#This Row],[V8 Push back, ml]]</f>
        <v>29.5</v>
      </c>
      <c r="AG652" s="94">
        <f>Table3.110[[#This Row],[GP 8h, ml]]-(AVERAGE(AE$658,AE$659))*$AG$8</f>
        <v>23.336244932930278</v>
      </c>
      <c r="AH652" s="94">
        <f>Table3.110[[#This Row],[GP 8-24h, ml]]-(AVERAGE(AF$658,AF$659))*$AG$8</f>
        <v>27.508734798790837</v>
      </c>
      <c r="AI652" s="94">
        <f>Table3.110[[#This Row],[Net gas 8-24h, ml]]+Table3.110[[#This Row],[Net gas 8h, ml]]</f>
        <v>50.844979731721111</v>
      </c>
      <c r="AJ652" s="94">
        <f>Table3.110[[#This Row],[Net gas 8h, ml]]*Table3.110[[#This Row],[CH4 8h %]]%</f>
        <v>2.9170306166162847</v>
      </c>
      <c r="AK652" s="94">
        <f>Table3.110[[#This Row],[Net gas 8-24h, ml]]*Table3.110[[#This Row],[CH4 24h, %]]%</f>
        <v>4.0162752806234616</v>
      </c>
      <c r="AL652" s="94">
        <f>Table3.110[[#This Row],[CH4 8-24h, ml]]+Table3.110[[#This Row],[CH4 8h, ml]]</f>
        <v>6.9333058972397463</v>
      </c>
      <c r="AM652" s="94">
        <f>(Table3.110[[#This Row],[Net gas 24h, ml]]/Table3.110[[#This Row],[DM Incubated, mg]])*1000</f>
        <v>112.53747190454031</v>
      </c>
      <c r="AN652" s="94">
        <f>'3.2 Digest'!X652</f>
        <v>1.3733553533551621</v>
      </c>
      <c r="AO652" s="94">
        <f>Table3.110[[#This Row],[Digested feed, mg]]/Table3.110[[#This Row],[Net gas 24h, ml]]</f>
        <v>0.12203538342500782</v>
      </c>
      <c r="AP652" s="94">
        <f>Table3.110[[#This Row],[CH4 8h, ml]]/Table3.110[[#This Row],[Net gas 8h, ml]]%</f>
        <v>12.5</v>
      </c>
      <c r="AQ652" s="94">
        <f>Table3.110[[#This Row],[CH4 24h, ml]]/Table3.110[[#This Row],[Net gas 24h, ml]]%</f>
        <v>13.6361661147722</v>
      </c>
      <c r="AR652" s="94">
        <f>Table3.110[[#This Row],[CH4 24h, ml]]/Table3.110[[#This Row],[DM Incubated, mg]]*1000</f>
        <v>15.345796610268209</v>
      </c>
      <c r="AS652" s="94">
        <f>Table3.110[[#This Row],[CH4 24h, ml]]/Table3.110[[#This Row],[Digested feed, mg]]*1000</f>
        <v>1117.3944582352858</v>
      </c>
      <c r="AT652" s="94">
        <f>Table3.110[[#This Row],[CH4 24h, ml]]/'3.2 Digest'!AA652</f>
        <v>-6.6126187310261098E-2</v>
      </c>
      <c r="AU652" s="94">
        <f>((Table3.110[[#This Row],[CH4 24h, ml]]/28.9)*16.04)/Table3.110[[#This Row],[DM Incubated, mg]]*1000</f>
        <v>8.517182616910107</v>
      </c>
      <c r="AV652" s="94">
        <f>((Table3.110[[#This Row],[CH4 24h, ml]]/28.9)*16.04)/Table3.110[[#This Row],[Digested feed, mg]]*1000</f>
        <v>620.17325640463605</v>
      </c>
    </row>
    <row r="653" spans="2:48" s="89" customFormat="1" x14ac:dyDescent="0.35">
      <c r="B653" s="90">
        <f t="shared" si="10"/>
        <v>643</v>
      </c>
      <c r="C653" s="140">
        <v>46055</v>
      </c>
      <c r="D653" s="6" t="s">
        <v>16</v>
      </c>
      <c r="E653" s="6" t="s">
        <v>317</v>
      </c>
      <c r="F653" s="133" t="s">
        <v>290</v>
      </c>
      <c r="G653" s="133" t="s">
        <v>318</v>
      </c>
      <c r="H653" s="133" t="s">
        <v>319</v>
      </c>
      <c r="I653" s="125" t="s">
        <v>22</v>
      </c>
      <c r="J653" s="138" t="s">
        <v>23</v>
      </c>
      <c r="K653" s="138" t="s">
        <v>215</v>
      </c>
      <c r="L653" s="6" t="s">
        <v>316</v>
      </c>
      <c r="M653" s="93">
        <v>28</v>
      </c>
      <c r="N653" s="93">
        <v>62</v>
      </c>
      <c r="O653" s="6">
        <v>2</v>
      </c>
      <c r="P653" s="129">
        <v>2</v>
      </c>
      <c r="Q653" s="6">
        <v>0</v>
      </c>
      <c r="R653" s="112">
        <v>0.50049999999999994</v>
      </c>
      <c r="S653" s="94">
        <f>((Table3.110[[#This Row],[Sample weight, g]]*'2.1. DM'!Q193)/100)*1000</f>
        <v>452.1662582317478</v>
      </c>
      <c r="T653" s="94">
        <f>'3.2 Digest'!W653</f>
        <v>101.66625823174775</v>
      </c>
      <c r="U653" s="117">
        <v>0.36249999999999999</v>
      </c>
      <c r="V653" s="155">
        <v>41.5</v>
      </c>
      <c r="W653" s="117">
        <v>0.70277777777777772</v>
      </c>
      <c r="X653" s="96">
        <v>66</v>
      </c>
      <c r="Y653" s="96">
        <v>12.3</v>
      </c>
      <c r="Z653" s="155">
        <v>40</v>
      </c>
      <c r="AA653" s="117">
        <v>0.37916666666666665</v>
      </c>
      <c r="AB653" s="155">
        <v>70</v>
      </c>
      <c r="AC653" s="155">
        <v>14.5</v>
      </c>
      <c r="AD653" s="96"/>
      <c r="AE653" s="94">
        <f>Table3.110[[#This Row],[Gas 8h, ml]]-Table3.110[[#This Row],[Gas 0h, ml]]</f>
        <v>24.5</v>
      </c>
      <c r="AF653" s="94">
        <f>Table3.110[[#This Row],[Gas 24h, ml]]-Table3.110[[#This Row],[V8 Push back, ml]]</f>
        <v>30</v>
      </c>
      <c r="AG653" s="94">
        <f>Table3.110[[#This Row],[GP 8h, ml]]-(AVERAGE(AE$658,AE$659))*$AG$8</f>
        <v>23.836244932930278</v>
      </c>
      <c r="AH653" s="94">
        <f>Table3.110[[#This Row],[GP 8-24h, ml]]-(AVERAGE(AF$658,AF$659))*$AG$8</f>
        <v>28.008734798790837</v>
      </c>
      <c r="AI653" s="94">
        <f>Table3.110[[#This Row],[Net gas 8-24h, ml]]+Table3.110[[#This Row],[Net gas 8h, ml]]</f>
        <v>51.844979731721111</v>
      </c>
      <c r="AJ653" s="94">
        <f>Table3.110[[#This Row],[Net gas 8h, ml]]*Table3.110[[#This Row],[CH4 8h %]]%</f>
        <v>2.9318581267504245</v>
      </c>
      <c r="AK653" s="94">
        <f>Table3.110[[#This Row],[Net gas 8-24h, ml]]*Table3.110[[#This Row],[CH4 24h, %]]%</f>
        <v>4.0612665458246706</v>
      </c>
      <c r="AL653" s="94">
        <f>Table3.110[[#This Row],[CH4 8-24h, ml]]+Table3.110[[#This Row],[CH4 8h, ml]]</f>
        <v>6.9931246725750951</v>
      </c>
      <c r="AM653" s="94">
        <f>(Table3.110[[#This Row],[Net gas 24h, ml]]/Table3.110[[#This Row],[DM Incubated, mg]])*1000</f>
        <v>114.65910776816327</v>
      </c>
      <c r="AN653" s="94">
        <f>'3.2 Digest'!X653</f>
        <v>22.484264666126627</v>
      </c>
      <c r="AO653" s="94">
        <f>Table3.110[[#This Row],[Digested feed, mg]]/Table3.110[[#This Row],[Net gas 24h, ml]]</f>
        <v>1.960966302963828</v>
      </c>
      <c r="AP653" s="94">
        <f>Table3.110[[#This Row],[CH4 8h, ml]]/Table3.110[[#This Row],[Net gas 8h, ml]]%</f>
        <v>12.3</v>
      </c>
      <c r="AQ653" s="94">
        <f>Table3.110[[#This Row],[CH4 24h, ml]]/Table3.110[[#This Row],[Net gas 24h, ml]]%</f>
        <v>13.488528125118322</v>
      </c>
      <c r="AR653" s="94">
        <f>Table3.110[[#This Row],[CH4 24h, ml]]/Table3.110[[#This Row],[DM Incubated, mg]]*1000</f>
        <v>15.465825999318428</v>
      </c>
      <c r="AS653" s="94">
        <f>Table3.110[[#This Row],[CH4 24h, ml]]/Table3.110[[#This Row],[Digested feed, mg]]*1000</f>
        <v>68.785109181792663</v>
      </c>
      <c r="AT653" s="94">
        <f>Table3.110[[#This Row],[CH4 24h, ml]]/'3.2 Digest'!AA653</f>
        <v>-0.1146379682343575</v>
      </c>
      <c r="AU653" s="94">
        <f>((Table3.110[[#This Row],[CH4 24h, ml]]/28.9)*16.04)/Table3.110[[#This Row],[DM Incubated, mg]]*1000</f>
        <v>8.5838010044660056</v>
      </c>
      <c r="AV653" s="94">
        <f>((Table3.110[[#This Row],[CH4 24h, ml]]/28.9)*16.04)/Table3.110[[#This Row],[Digested feed, mg]]*1000</f>
        <v>38.176925649686993</v>
      </c>
    </row>
    <row r="654" spans="2:48" s="89" customFormat="1" x14ac:dyDescent="0.35">
      <c r="B654" s="90">
        <f t="shared" si="10"/>
        <v>644</v>
      </c>
      <c r="C654" s="140">
        <v>46055</v>
      </c>
      <c r="D654" s="6" t="s">
        <v>16</v>
      </c>
      <c r="E654" s="6" t="s">
        <v>317</v>
      </c>
      <c r="F654" s="133" t="s">
        <v>290</v>
      </c>
      <c r="G654" s="133" t="s">
        <v>318</v>
      </c>
      <c r="H654" s="133" t="s">
        <v>319</v>
      </c>
      <c r="I654" s="125" t="s">
        <v>22</v>
      </c>
      <c r="J654" s="138" t="s">
        <v>23</v>
      </c>
      <c r="K654" s="138" t="s">
        <v>215</v>
      </c>
      <c r="L654" s="6" t="s">
        <v>316</v>
      </c>
      <c r="M654" s="93">
        <v>28</v>
      </c>
      <c r="N654" s="93">
        <v>62</v>
      </c>
      <c r="O654" s="6">
        <v>2</v>
      </c>
      <c r="P654" s="129">
        <v>3</v>
      </c>
      <c r="Q654" s="6">
        <v>0</v>
      </c>
      <c r="R654" s="112">
        <v>0.50019999999999998</v>
      </c>
      <c r="S654" s="94">
        <f>((Table3.110[[#This Row],[Sample weight, g]]*'2.1. DM'!Q193)/100)*1000</f>
        <v>451.89522950553499</v>
      </c>
      <c r="T654" s="94">
        <f>'3.2 Digest'!W654</f>
        <v>41.895229505534928</v>
      </c>
      <c r="U654" s="117">
        <v>0.36319444444444443</v>
      </c>
      <c r="V654" s="155">
        <v>40</v>
      </c>
      <c r="W654" s="117">
        <v>0.70277777777777772</v>
      </c>
      <c r="X654" s="96">
        <v>65</v>
      </c>
      <c r="Y654" s="96">
        <v>12.3</v>
      </c>
      <c r="Z654" s="155">
        <v>40</v>
      </c>
      <c r="AA654" s="117">
        <v>0.37916666666666665</v>
      </c>
      <c r="AB654" s="155">
        <v>68.5</v>
      </c>
      <c r="AC654" s="155">
        <v>14.5</v>
      </c>
      <c r="AD654" s="101"/>
      <c r="AE654" s="94">
        <f>Table3.110[[#This Row],[Gas 8h, ml]]-Table3.110[[#This Row],[Gas 0h, ml]]</f>
        <v>25</v>
      </c>
      <c r="AF654" s="94">
        <f>Table3.110[[#This Row],[Gas 24h, ml]]-Table3.110[[#This Row],[V8 Push back, ml]]</f>
        <v>28.5</v>
      </c>
      <c r="AG654" s="94">
        <f>Table3.110[[#This Row],[GP 8h, ml]]-(AVERAGE(AE$658,AE$659))*$AG$8</f>
        <v>24.336244932930278</v>
      </c>
      <c r="AH654" s="94">
        <f>Table3.110[[#This Row],[GP 8-24h, ml]]-(AVERAGE(AF$658,AF$659))*$AG$8</f>
        <v>26.508734798790837</v>
      </c>
      <c r="AI654" s="94">
        <f>Table3.110[[#This Row],[Net gas 8-24h, ml]]+Table3.110[[#This Row],[Net gas 8h, ml]]</f>
        <v>50.844979731721111</v>
      </c>
      <c r="AJ654" s="94">
        <f>Table3.110[[#This Row],[Net gas 8h, ml]]*Table3.110[[#This Row],[CH4 8h %]]%</f>
        <v>2.9933581267504246</v>
      </c>
      <c r="AK654" s="94">
        <f>Table3.110[[#This Row],[Net gas 8-24h, ml]]*Table3.110[[#This Row],[CH4 24h, %]]%</f>
        <v>3.8437665458246713</v>
      </c>
      <c r="AL654" s="94">
        <f>Table3.110[[#This Row],[CH4 8-24h, ml]]+Table3.110[[#This Row],[CH4 8h, ml]]</f>
        <v>6.8371246725750954</v>
      </c>
      <c r="AM654" s="94">
        <f>(Table3.110[[#This Row],[Net gas 24h, ml]]/Table3.110[[#This Row],[DM Incubated, mg]])*1000</f>
        <v>112.5149734095574</v>
      </c>
      <c r="AN654" s="94">
        <f>'3.2 Digest'!X654</f>
        <v>9.2710050405658855</v>
      </c>
      <c r="AO654" s="94">
        <f>Table3.110[[#This Row],[Digested feed, mg]]/Table3.110[[#This Row],[Net gas 24h, ml]]</f>
        <v>0.82397966773890519</v>
      </c>
      <c r="AP654" s="94">
        <f>Table3.110[[#This Row],[CH4 8h, ml]]/Table3.110[[#This Row],[Net gas 8h, ml]]%</f>
        <v>12.3</v>
      </c>
      <c r="AQ654" s="94">
        <f>Table3.110[[#This Row],[CH4 24h, ml]]/Table3.110[[#This Row],[Net gas 24h, ml]]%</f>
        <v>13.447000487856538</v>
      </c>
      <c r="AR654" s="94">
        <f>Table3.110[[#This Row],[CH4 24h, ml]]/Table3.110[[#This Row],[DM Incubated, mg]]*1000</f>
        <v>15.129889023294838</v>
      </c>
      <c r="AS654" s="94">
        <f>Table3.110[[#This Row],[CH4 24h, ml]]/Table3.110[[#This Row],[Digested feed, mg]]*1000</f>
        <v>163.195780361385</v>
      </c>
      <c r="AT654" s="94">
        <f>Table3.110[[#This Row],[CH4 24h, ml]]/'3.2 Digest'!AA654</f>
        <v>-7.7302779671002061E-2</v>
      </c>
      <c r="AU654" s="94">
        <f>((Table3.110[[#This Row],[CH4 24h, ml]]/28.9)*16.04)/Table3.110[[#This Row],[DM Incubated, mg]]*1000</f>
        <v>8.3973501707145051</v>
      </c>
      <c r="AV654" s="94">
        <f>((Table3.110[[#This Row],[CH4 24h, ml]]/28.9)*16.04)/Table3.110[[#This Row],[Digested feed, mg]]*1000</f>
        <v>90.576481556976333</v>
      </c>
    </row>
    <row r="655" spans="2:48" s="89" customFormat="1" x14ac:dyDescent="0.35">
      <c r="B655" s="90">
        <f t="shared" si="10"/>
        <v>645</v>
      </c>
      <c r="C655" s="140">
        <v>46050</v>
      </c>
      <c r="D655" s="8" t="s">
        <v>120</v>
      </c>
      <c r="E655" s="6" t="s">
        <v>122</v>
      </c>
      <c r="F655" s="133" t="s">
        <v>123</v>
      </c>
      <c r="G655" s="133" t="s">
        <v>545</v>
      </c>
      <c r="H655" s="133" t="s">
        <v>125</v>
      </c>
      <c r="I655" s="125" t="s">
        <v>108</v>
      </c>
      <c r="J655" s="138" t="s">
        <v>109</v>
      </c>
      <c r="K655" s="138" t="s">
        <v>110</v>
      </c>
      <c r="L655" s="6" t="s">
        <v>121</v>
      </c>
      <c r="M655" s="93">
        <v>28</v>
      </c>
      <c r="N655" s="93">
        <v>61</v>
      </c>
      <c r="O655" s="6">
        <v>2</v>
      </c>
      <c r="P655" s="129">
        <v>1</v>
      </c>
      <c r="Q655" s="6">
        <v>0</v>
      </c>
      <c r="R655" s="111">
        <v>0.50029999999999997</v>
      </c>
      <c r="S655" s="94">
        <f>((Table3.110[[#This Row],[Sample weight, g]]*'2.1. DM'!Q195)/100)*1000</f>
        <v>468.03064999999998</v>
      </c>
      <c r="T655" s="94">
        <f>'3.2 Digest'!W655</f>
        <v>179.93064999999996</v>
      </c>
      <c r="U655" s="153">
        <v>0.36458333333333331</v>
      </c>
      <c r="V655" s="154">
        <v>41</v>
      </c>
      <c r="W655" s="153">
        <v>0.70138888888888884</v>
      </c>
      <c r="X655" s="91">
        <v>70.5</v>
      </c>
      <c r="Y655" s="91">
        <v>15.4</v>
      </c>
      <c r="Z655" s="154">
        <v>40</v>
      </c>
      <c r="AA655" s="153">
        <v>0.40347222222222223</v>
      </c>
      <c r="AB655" s="154">
        <v>89.5</v>
      </c>
      <c r="AC655" s="154">
        <v>16.5</v>
      </c>
      <c r="AD655" s="102"/>
      <c r="AE655" s="94">
        <f>Table3.110[[#This Row],[Gas 8h, ml]]-Table3.110[[#This Row],[Gas 0h, ml]]</f>
        <v>29.5</v>
      </c>
      <c r="AF655" s="94">
        <f>Table3.110[[#This Row],[Gas 24h, ml]]-Table3.110[[#This Row],[V8 Push back, ml]]</f>
        <v>49.5</v>
      </c>
      <c r="AG655" s="94">
        <f>Table3.110[[#This Row],[GP 8h, ml]]-(AVERAGE(AE$479,AE$480,AE$660,AE$661,AE$662,AE$663))*AG$8</f>
        <v>26.107474101643646</v>
      </c>
      <c r="AH655" s="94">
        <f>Table3.110[[#This Row],[GP 8-24h, ml]]-(AVERAGE(AF$479,AF$480,AF$660,AF$661,AF$662,AF$663))*AG$8</f>
        <v>45.185592064046816</v>
      </c>
      <c r="AI655" s="94">
        <f>Table3.110[[#This Row],[Net gas 8-24h, ml]]+Table3.110[[#This Row],[Net gas 8h, ml]]</f>
        <v>71.293066165690462</v>
      </c>
      <c r="AJ655" s="94">
        <f>Table3.110[[#This Row],[Net gas 8h, ml]]*Table3.110[[#This Row],[CH4 8h %]]%</f>
        <v>4.0205510116531213</v>
      </c>
      <c r="AK655" s="94">
        <f>Table3.110[[#This Row],[Net gas 8-24h, ml]]*Table3.110[[#This Row],[CH4 24h, %]]%</f>
        <v>7.4556226905677248</v>
      </c>
      <c r="AL655" s="94">
        <f>Table3.110[[#This Row],[CH4 8-24h, ml]]+Table3.110[[#This Row],[CH4 8h, ml]]</f>
        <v>11.476173702220846</v>
      </c>
      <c r="AM655" s="94">
        <f>(Table3.110[[#This Row],[Net gas 24h, ml]]/Table3.110[[#This Row],[DM Incubated, mg]])*1000</f>
        <v>152.32563543795789</v>
      </c>
      <c r="AN655" s="94">
        <f>'3.2 Digest'!X655</f>
        <v>38.444202318801125</v>
      </c>
      <c r="AO655" s="94">
        <f>Table3.110[[#This Row],[Digested feed, mg]]/Table3.110[[#This Row],[Net gas 24h, ml]]</f>
        <v>2.5238169667415842</v>
      </c>
      <c r="AP655" s="94">
        <f>Table3.110[[#This Row],[CH4 8h, ml]]/Table3.110[[#This Row],[Net gas 8h, ml]]%</f>
        <v>15.399999999999999</v>
      </c>
      <c r="AQ655" s="94">
        <f>Table3.110[[#This Row],[CH4 24h, ml]]/Table3.110[[#This Row],[Net gas 24h, ml]]%</f>
        <v>16.097180720982532</v>
      </c>
      <c r="AR655" s="94">
        <f>Table3.110[[#This Row],[CH4 24h, ml]]/Table3.110[[#This Row],[DM Incubated, mg]]*1000</f>
        <v>24.520132820833094</v>
      </c>
      <c r="AS655" s="94">
        <f>Table3.110[[#This Row],[CH4 24h, ml]]/Table3.110[[#This Row],[Digested feed, mg]]*1000</f>
        <v>63.781094006056499</v>
      </c>
      <c r="AT655" s="94">
        <f>Table3.110[[#This Row],[CH4 24h, ml]]/'3.2 Digest'!AA655</f>
        <v>0.60047075776033043</v>
      </c>
      <c r="AU655" s="94">
        <f>((Table3.110[[#This Row],[CH4 24h, ml]]/28.9)*16.04)/Table3.110[[#This Row],[DM Incubated, mg]]*1000</f>
        <v>13.609097939313591</v>
      </c>
      <c r="AV655" s="94">
        <f>((Table3.110[[#This Row],[CH4 24h, ml]]/28.9)*16.04)/Table3.110[[#This Row],[Digested feed, mg]]*1000</f>
        <v>35.399610652496399</v>
      </c>
    </row>
    <row r="656" spans="2:48" s="89" customFormat="1" x14ac:dyDescent="0.35">
      <c r="B656" s="90">
        <f t="shared" si="10"/>
        <v>646</v>
      </c>
      <c r="C656" s="140">
        <v>46050</v>
      </c>
      <c r="D656" s="8" t="s">
        <v>120</v>
      </c>
      <c r="E656" s="6" t="s">
        <v>122</v>
      </c>
      <c r="F656" s="133" t="s">
        <v>123</v>
      </c>
      <c r="G656" s="133" t="s">
        <v>545</v>
      </c>
      <c r="H656" s="133" t="s">
        <v>125</v>
      </c>
      <c r="I656" s="125" t="s">
        <v>108</v>
      </c>
      <c r="J656" s="138" t="s">
        <v>109</v>
      </c>
      <c r="K656" s="138" t="s">
        <v>110</v>
      </c>
      <c r="L656" s="6" t="s">
        <v>121</v>
      </c>
      <c r="M656" s="93">
        <v>28</v>
      </c>
      <c r="N656" s="93">
        <v>61</v>
      </c>
      <c r="O656" s="6">
        <v>2</v>
      </c>
      <c r="P656" s="129">
        <v>2</v>
      </c>
      <c r="Q656" s="6">
        <v>0</v>
      </c>
      <c r="R656" s="112">
        <v>0.5</v>
      </c>
      <c r="S656" s="94">
        <f>((Table3.110[[#This Row],[Sample weight, g]]*'2.1. DM'!Q195)/100)*1000</f>
        <v>467.75</v>
      </c>
      <c r="T656" s="94">
        <f>'3.2 Digest'!W656</f>
        <v>157.14999999999992</v>
      </c>
      <c r="U656" s="117">
        <v>0.36458333333333331</v>
      </c>
      <c r="V656" s="155">
        <v>40.5</v>
      </c>
      <c r="W656" s="117">
        <v>0.70208333333333328</v>
      </c>
      <c r="X656" s="96">
        <v>65</v>
      </c>
      <c r="Y656" s="96">
        <v>17</v>
      </c>
      <c r="Z656" s="155">
        <v>40</v>
      </c>
      <c r="AA656" s="117">
        <v>0.40416666666666667</v>
      </c>
      <c r="AB656" s="155">
        <v>89</v>
      </c>
      <c r="AC656" s="155">
        <v>16.5</v>
      </c>
      <c r="AD656" s="96"/>
      <c r="AE656" s="94">
        <f>Table3.110[[#This Row],[Gas 8h, ml]]-Table3.110[[#This Row],[Gas 0h, ml]]</f>
        <v>24.5</v>
      </c>
      <c r="AF656" s="94">
        <f>Table3.110[[#This Row],[Gas 24h, ml]]-Table3.110[[#This Row],[V8 Push back, ml]]</f>
        <v>49</v>
      </c>
      <c r="AG656" s="94">
        <f>Table3.110[[#This Row],[GP 8h, ml]]-(AVERAGE(AE$479,AE$480,AE$660,AE$661,AE$662,AE$663))*AG$8</f>
        <v>21.107474101643646</v>
      </c>
      <c r="AH656" s="94">
        <f>Table3.110[[#This Row],[GP 8-24h, ml]]-(AVERAGE(AF$479,AF$480,AF$660,AF$661,AF$662,AF$663))*AG$8</f>
        <v>44.685592064046816</v>
      </c>
      <c r="AI656" s="94">
        <f>Table3.110[[#This Row],[Net gas 8-24h, ml]]+Table3.110[[#This Row],[Net gas 8h, ml]]</f>
        <v>65.793066165690462</v>
      </c>
      <c r="AJ656" s="94">
        <f>Table3.110[[#This Row],[Net gas 8h, ml]]*Table3.110[[#This Row],[CH4 8h %]]%</f>
        <v>3.5882705972794202</v>
      </c>
      <c r="AK656" s="94">
        <f>Table3.110[[#This Row],[Net gas 8-24h, ml]]*Table3.110[[#This Row],[CH4 24h, %]]%</f>
        <v>7.3731226905677252</v>
      </c>
      <c r="AL656" s="94">
        <f>Table3.110[[#This Row],[CH4 8-24h, ml]]+Table3.110[[#This Row],[CH4 8h, ml]]</f>
        <v>10.961393287847145</v>
      </c>
      <c r="AM656" s="94">
        <f>(Table3.110[[#This Row],[Net gas 24h, ml]]/Table3.110[[#This Row],[DM Incubated, mg]])*1000</f>
        <v>140.65861286090959</v>
      </c>
      <c r="AN656" s="94">
        <f>'3.2 Digest'!X656</f>
        <v>33.59700694815605</v>
      </c>
      <c r="AO656" s="94">
        <f>Table3.110[[#This Row],[Digested feed, mg]]/Table3.110[[#This Row],[Net gas 24h, ml]]</f>
        <v>2.388549571534484</v>
      </c>
      <c r="AP656" s="94">
        <f>Table3.110[[#This Row],[CH4 8h, ml]]/Table3.110[[#This Row],[Net gas 8h, ml]]%</f>
        <v>17</v>
      </c>
      <c r="AQ656" s="94">
        <f>Table3.110[[#This Row],[CH4 24h, ml]]/Table3.110[[#This Row],[Net gas 24h, ml]]%</f>
        <v>16.660408043975998</v>
      </c>
      <c r="AR656" s="94">
        <f>Table3.110[[#This Row],[CH4 24h, ml]]/Table3.110[[#This Row],[DM Incubated, mg]]*1000</f>
        <v>23.434298851624039</v>
      </c>
      <c r="AS656" s="94">
        <f>Table3.110[[#This Row],[CH4 24h, ml]]/Table3.110[[#This Row],[Digested feed, mg]]*1000</f>
        <v>69.751150415826586</v>
      </c>
      <c r="AT656" s="94">
        <f>Table3.110[[#This Row],[CH4 24h, ml]]/'3.2 Digest'!AA656</f>
        <v>0.86022628803394896</v>
      </c>
      <c r="AU656" s="94">
        <f>((Table3.110[[#This Row],[CH4 24h, ml]]/28.9)*16.04)/Table3.110[[#This Row],[DM Incubated, mg]]*1000</f>
        <v>13.006441300347737</v>
      </c>
      <c r="AV656" s="94">
        <f>((Table3.110[[#This Row],[CH4 24h, ml]]/28.9)*16.04)/Table3.110[[#This Row],[Digested feed, mg]]*1000</f>
        <v>38.713095248091996</v>
      </c>
    </row>
    <row r="657" spans="2:48" s="89" customFormat="1" x14ac:dyDescent="0.35">
      <c r="B657" s="90">
        <f t="shared" si="10"/>
        <v>647</v>
      </c>
      <c r="C657" s="140">
        <v>46050</v>
      </c>
      <c r="D657" s="8" t="s">
        <v>120</v>
      </c>
      <c r="E657" s="6" t="s">
        <v>122</v>
      </c>
      <c r="F657" s="133" t="s">
        <v>123</v>
      </c>
      <c r="G657" s="133" t="s">
        <v>545</v>
      </c>
      <c r="H657" s="133" t="s">
        <v>125</v>
      </c>
      <c r="I657" s="125" t="s">
        <v>108</v>
      </c>
      <c r="J657" s="138" t="s">
        <v>109</v>
      </c>
      <c r="K657" s="138" t="s">
        <v>110</v>
      </c>
      <c r="L657" s="6" t="s">
        <v>121</v>
      </c>
      <c r="M657" s="93">
        <v>28</v>
      </c>
      <c r="N657" s="93">
        <v>61</v>
      </c>
      <c r="O657" s="6">
        <v>2</v>
      </c>
      <c r="P657" s="129">
        <v>3</v>
      </c>
      <c r="Q657" s="6">
        <v>0</v>
      </c>
      <c r="R657" s="111">
        <v>0.50009999999999999</v>
      </c>
      <c r="S657" s="94">
        <f>((Table3.110[[#This Row],[Sample weight, g]]*'2.1. DM'!Q195)/100)*1000</f>
        <v>467.84354999999999</v>
      </c>
      <c r="T657" s="94">
        <f>'3.2 Digest'!W657</f>
        <v>105.74355000000003</v>
      </c>
      <c r="U657" s="153">
        <v>0.36458333333333331</v>
      </c>
      <c r="V657" s="154">
        <v>41</v>
      </c>
      <c r="W657" s="153">
        <v>0.70208333333333328</v>
      </c>
      <c r="X657" s="91">
        <v>69</v>
      </c>
      <c r="Y657" s="91">
        <v>15.6</v>
      </c>
      <c r="Z657" s="154">
        <v>40</v>
      </c>
      <c r="AA657" s="153">
        <v>0.40416666666666667</v>
      </c>
      <c r="AB657" s="116">
        <v>87.5</v>
      </c>
      <c r="AC657" s="154">
        <v>16.7</v>
      </c>
      <c r="AD657" s="102"/>
      <c r="AE657" s="94">
        <f>Table3.110[[#This Row],[Gas 8h, ml]]-Table3.110[[#This Row],[Gas 0h, ml]]</f>
        <v>28</v>
      </c>
      <c r="AF657" s="94">
        <f>Table3.110[[#This Row],[Gas 24h, ml]]-Table3.110[[#This Row],[V8 Push back, ml]]</f>
        <v>47.5</v>
      </c>
      <c r="AG657" s="94">
        <f>Table3.110[[#This Row],[GP 8h, ml]]-(AVERAGE(AE$479,AE$480,AE$660,AE$661,AE$662,AE$663))*AG$8</f>
        <v>24.607474101643646</v>
      </c>
      <c r="AH657" s="94">
        <f>Table3.110[[#This Row],[GP 8-24h, ml]]-(AVERAGE(AF$479,AF$480,AF$660,AF$661,AF$662,AF$663))*AG$8</f>
        <v>43.185592064046816</v>
      </c>
      <c r="AI657" s="94">
        <f>Table3.110[[#This Row],[Net gas 8-24h, ml]]+Table3.110[[#This Row],[Net gas 8h, ml]]</f>
        <v>67.793066165690462</v>
      </c>
      <c r="AJ657" s="94">
        <f>Table3.110[[#This Row],[Net gas 8h, ml]]*Table3.110[[#This Row],[CH4 8h %]]%</f>
        <v>3.838765959856409</v>
      </c>
      <c r="AK657" s="94">
        <f>Table3.110[[#This Row],[Net gas 8-24h, ml]]*Table3.110[[#This Row],[CH4 24h, %]]%</f>
        <v>7.2119938746958177</v>
      </c>
      <c r="AL657" s="94">
        <f>Table3.110[[#This Row],[CH4 8-24h, ml]]+Table3.110[[#This Row],[CH4 8h, ml]]</f>
        <v>11.050759834552228</v>
      </c>
      <c r="AM657" s="94">
        <f>(Table3.110[[#This Row],[Net gas 24h, ml]]/Table3.110[[#This Row],[DM Incubated, mg]])*1000</f>
        <v>144.90542012536127</v>
      </c>
      <c r="AN657" s="94">
        <f>'3.2 Digest'!X657</f>
        <v>22.602331484531536</v>
      </c>
      <c r="AO657" s="94">
        <f>Table3.110[[#This Row],[Digested feed, mg]]/Table3.110[[#This Row],[Net gas 24h, ml]]</f>
        <v>1.5597988995151248</v>
      </c>
      <c r="AP657" s="94">
        <f>Table3.110[[#This Row],[CH4 8h, ml]]/Table3.110[[#This Row],[Net gas 8h, ml]]%</f>
        <v>15.600000000000001</v>
      </c>
      <c r="AQ657" s="94">
        <f>Table3.110[[#This Row],[CH4 24h, ml]]/Table3.110[[#This Row],[Net gas 24h, ml]]%</f>
        <v>16.300722860865275</v>
      </c>
      <c r="AR657" s="94">
        <f>Table3.110[[#This Row],[CH4 24h, ml]]/Table3.110[[#This Row],[DM Incubated, mg]]*1000</f>
        <v>23.620630945007637</v>
      </c>
      <c r="AS657" s="94">
        <f>Table3.110[[#This Row],[CH4 24h, ml]]/Table3.110[[#This Row],[Digested feed, mg]]*1000</f>
        <v>104.50528504624845</v>
      </c>
      <c r="AT657" s="94">
        <f>Table3.110[[#This Row],[CH4 24h, ml]]/'3.2 Digest'!AA657</f>
        <v>-6.4805673666654879</v>
      </c>
      <c r="AU657" s="94">
        <f>((Table3.110[[#This Row],[CH4 24h, ml]]/28.9)*16.04)/Table3.110[[#This Row],[DM Incubated, mg]]*1000</f>
        <v>13.109858835914272</v>
      </c>
      <c r="AV657" s="94">
        <f>((Table3.110[[#This Row],[CH4 24h, ml]]/28.9)*16.04)/Table3.110[[#This Row],[Digested feed, mg]]*1000</f>
        <v>58.002241250582173</v>
      </c>
    </row>
    <row r="658" spans="2:48" s="89" customFormat="1" x14ac:dyDescent="0.35">
      <c r="B658" s="90">
        <f t="shared" si="10"/>
        <v>648</v>
      </c>
      <c r="C658" s="143">
        <v>46055</v>
      </c>
      <c r="D658" s="92"/>
      <c r="E658" s="124" t="s">
        <v>537</v>
      </c>
      <c r="F658" s="133" t="s">
        <v>538</v>
      </c>
      <c r="G658" s="133">
        <v>24</v>
      </c>
      <c r="H658" s="185" t="s">
        <v>537</v>
      </c>
      <c r="I658" s="125"/>
      <c r="J658" s="138"/>
      <c r="K658" s="138"/>
      <c r="L658" s="124" t="s">
        <v>539</v>
      </c>
      <c r="M658" s="93">
        <v>28</v>
      </c>
      <c r="N658" s="93">
        <v>62</v>
      </c>
      <c r="O658" s="124">
        <v>2</v>
      </c>
      <c r="P658" s="124">
        <v>1</v>
      </c>
      <c r="Q658" s="124">
        <v>0</v>
      </c>
      <c r="R658" s="148"/>
      <c r="S658" s="94"/>
      <c r="T658" s="94">
        <f>'3.2 Digest'!W658</f>
        <v>0</v>
      </c>
      <c r="U658" s="149">
        <v>0.33333333333333331</v>
      </c>
      <c r="V658" s="150">
        <v>39.5</v>
      </c>
      <c r="W658" s="149">
        <v>0.66666666666666663</v>
      </c>
      <c r="X658" s="163">
        <v>40.5</v>
      </c>
      <c r="Y658" s="163"/>
      <c r="Z658" s="150">
        <v>39.5</v>
      </c>
      <c r="AA658" s="149">
        <v>0.33958333333333335</v>
      </c>
      <c r="AB658" s="150">
        <v>42</v>
      </c>
      <c r="AC658" s="150"/>
      <c r="AD658" s="163"/>
      <c r="AE658" s="94">
        <f>Table3.110[[#This Row],[Gas 8h, ml]]-Table3.110[[#This Row],[Gas 0h, ml]]</f>
        <v>1</v>
      </c>
      <c r="AF658" s="94">
        <f>Table3.110[[#This Row],[Gas 24h, ml]]-Table3.110[[#This Row],[V8 Push back, ml]]</f>
        <v>2.5</v>
      </c>
      <c r="AG658" s="94"/>
      <c r="AH658" s="94"/>
      <c r="AI658" s="94"/>
      <c r="AJ658" s="94"/>
      <c r="AK658" s="94"/>
      <c r="AL658" s="94"/>
      <c r="AM658" s="94"/>
      <c r="AN658" s="94"/>
      <c r="AO658" s="94"/>
      <c r="AP658" s="94"/>
      <c r="AQ658" s="94"/>
      <c r="AR658" s="94"/>
      <c r="AS658" s="94"/>
      <c r="AT658" s="94"/>
      <c r="AU658" s="94"/>
      <c r="AV658" s="94"/>
    </row>
    <row r="659" spans="2:48" s="89" customFormat="1" x14ac:dyDescent="0.35">
      <c r="B659" s="90">
        <f t="shared" si="10"/>
        <v>649</v>
      </c>
      <c r="C659" s="143">
        <v>46055</v>
      </c>
      <c r="D659" s="92"/>
      <c r="E659" s="124" t="s">
        <v>537</v>
      </c>
      <c r="F659" s="133" t="s">
        <v>538</v>
      </c>
      <c r="G659" s="133">
        <v>24</v>
      </c>
      <c r="H659" s="185" t="s">
        <v>537</v>
      </c>
      <c r="I659" s="125"/>
      <c r="J659" s="138"/>
      <c r="K659" s="138"/>
      <c r="L659" s="124" t="s">
        <v>539</v>
      </c>
      <c r="M659" s="93">
        <v>28</v>
      </c>
      <c r="N659" s="93">
        <v>62</v>
      </c>
      <c r="O659" s="124">
        <v>2</v>
      </c>
      <c r="P659" s="146">
        <v>2</v>
      </c>
      <c r="Q659" s="124">
        <v>0</v>
      </c>
      <c r="R659" s="148"/>
      <c r="S659" s="94"/>
      <c r="T659" s="94">
        <f>'3.2 Digest'!W659</f>
        <v>0</v>
      </c>
      <c r="U659" s="151">
        <v>0.33402777777777776</v>
      </c>
      <c r="V659" s="152">
        <v>39.5</v>
      </c>
      <c r="W659" s="151">
        <v>0.66666666666666663</v>
      </c>
      <c r="X659" s="164">
        <v>40</v>
      </c>
      <c r="Y659" s="164"/>
      <c r="Z659" s="152">
        <v>39</v>
      </c>
      <c r="AA659" s="151">
        <v>0.34027777777777779</v>
      </c>
      <c r="AB659" s="152">
        <v>41</v>
      </c>
      <c r="AC659" s="152"/>
      <c r="AD659" s="164"/>
      <c r="AE659" s="94">
        <f>Table3.110[[#This Row],[Gas 8h, ml]]-Table3.110[[#This Row],[Gas 0h, ml]]</f>
        <v>0.5</v>
      </c>
      <c r="AF659" s="94">
        <f>Table3.110[[#This Row],[Gas 24h, ml]]-Table3.110[[#This Row],[V8 Push back, ml]]</f>
        <v>2</v>
      </c>
      <c r="AG659" s="94"/>
      <c r="AH659" s="94"/>
      <c r="AI659" s="94"/>
      <c r="AJ659" s="94"/>
      <c r="AK659" s="94"/>
      <c r="AL659" s="94"/>
      <c r="AM659" s="94"/>
      <c r="AN659" s="94"/>
      <c r="AO659" s="94"/>
      <c r="AP659" s="94"/>
      <c r="AQ659" s="94"/>
      <c r="AR659" s="94"/>
      <c r="AS659" s="94"/>
      <c r="AT659" s="94"/>
      <c r="AU659" s="94"/>
      <c r="AV659" s="94"/>
    </row>
    <row r="660" spans="2:48" s="89" customFormat="1" x14ac:dyDescent="0.35">
      <c r="B660" s="90">
        <f t="shared" si="10"/>
        <v>650</v>
      </c>
      <c r="C660" s="165">
        <v>46050</v>
      </c>
      <c r="D660" s="92"/>
      <c r="E660" s="166"/>
      <c r="F660" s="133" t="s">
        <v>554</v>
      </c>
      <c r="G660" s="133" t="s">
        <v>542</v>
      </c>
      <c r="H660" s="186" t="s">
        <v>575</v>
      </c>
      <c r="I660" s="125"/>
      <c r="J660" s="138"/>
      <c r="K660" s="138"/>
      <c r="L660" s="166"/>
      <c r="M660" s="93">
        <v>28</v>
      </c>
      <c r="N660" s="93">
        <v>61</v>
      </c>
      <c r="O660" s="166">
        <v>2</v>
      </c>
      <c r="P660" s="167">
        <v>1</v>
      </c>
      <c r="Q660" s="168">
        <v>276</v>
      </c>
      <c r="R660" s="170"/>
      <c r="S660" s="94"/>
      <c r="T660" s="94">
        <f>'3.2 Digest'!W660</f>
        <v>0</v>
      </c>
      <c r="U660" s="171">
        <v>0.36527777777777776</v>
      </c>
      <c r="V660" s="172">
        <v>39.5</v>
      </c>
      <c r="W660" s="171">
        <v>0.70277777777777772</v>
      </c>
      <c r="X660" s="175">
        <v>43.5</v>
      </c>
      <c r="Y660" s="175"/>
      <c r="Z660" s="172"/>
      <c r="AA660" s="171"/>
      <c r="AB660" s="172"/>
      <c r="AC660" s="172"/>
      <c r="AD660" s="175"/>
      <c r="AE660" s="94">
        <f>Table3.110[[#This Row],[Gas 8h, ml]]-Table3.110[[#This Row],[Gas 0h, ml]]</f>
        <v>4</v>
      </c>
      <c r="AF660" s="94"/>
      <c r="AG660" s="94"/>
      <c r="AH660" s="94"/>
      <c r="AI660" s="94"/>
      <c r="AJ660" s="94"/>
      <c r="AK660" s="94"/>
      <c r="AL660" s="94"/>
      <c r="AM660" s="94"/>
      <c r="AN660" s="94"/>
      <c r="AO660" s="94"/>
      <c r="AP660" s="94"/>
      <c r="AQ660" s="94"/>
      <c r="AR660" s="94"/>
      <c r="AS660" s="94"/>
      <c r="AT660" s="94"/>
      <c r="AU660" s="94"/>
      <c r="AV660" s="94"/>
    </row>
    <row r="661" spans="2:48" s="89" customFormat="1" x14ac:dyDescent="0.35">
      <c r="B661" s="90">
        <f t="shared" si="10"/>
        <v>651</v>
      </c>
      <c r="C661" s="165">
        <v>46050</v>
      </c>
      <c r="D661" s="92"/>
      <c r="E661" s="166"/>
      <c r="F661" s="133" t="s">
        <v>554</v>
      </c>
      <c r="G661" s="133" t="s">
        <v>542</v>
      </c>
      <c r="H661" s="186" t="s">
        <v>575</v>
      </c>
      <c r="I661" s="125"/>
      <c r="J661" s="138"/>
      <c r="K661" s="138"/>
      <c r="L661" s="166"/>
      <c r="M661" s="93">
        <v>28</v>
      </c>
      <c r="N661" s="93">
        <v>61</v>
      </c>
      <c r="O661" s="166">
        <v>2</v>
      </c>
      <c r="P661" s="167">
        <v>2</v>
      </c>
      <c r="Q661" s="169">
        <v>277</v>
      </c>
      <c r="R661" s="170"/>
      <c r="S661" s="94"/>
      <c r="T661" s="94">
        <f>'3.2 Digest'!W661</f>
        <v>0</v>
      </c>
      <c r="U661" s="173">
        <v>0.3659722222222222</v>
      </c>
      <c r="V661" s="174">
        <v>39.5</v>
      </c>
      <c r="W661" s="173">
        <v>0.70277777777777772</v>
      </c>
      <c r="X661" s="176">
        <v>43.5</v>
      </c>
      <c r="Y661" s="176"/>
      <c r="Z661" s="174"/>
      <c r="AA661" s="173"/>
      <c r="AB661" s="174"/>
      <c r="AC661" s="174"/>
      <c r="AD661" s="176" t="s">
        <v>559</v>
      </c>
      <c r="AE661" s="94">
        <f>Table3.110[[#This Row],[Gas 8h, ml]]-Table3.110[[#This Row],[Gas 0h, ml]]</f>
        <v>4</v>
      </c>
      <c r="AF661" s="94"/>
      <c r="AG661" s="94"/>
      <c r="AH661" s="94"/>
      <c r="AI661" s="94"/>
      <c r="AJ661" s="94"/>
      <c r="AK661" s="94"/>
      <c r="AL661" s="94"/>
      <c r="AM661" s="94"/>
      <c r="AN661" s="94"/>
      <c r="AO661" s="94"/>
      <c r="AP661" s="94"/>
      <c r="AQ661" s="94"/>
      <c r="AR661" s="94"/>
      <c r="AS661" s="94"/>
      <c r="AT661" s="94"/>
      <c r="AU661" s="94"/>
      <c r="AV661" s="94"/>
    </row>
    <row r="662" spans="2:48" s="89" customFormat="1" x14ac:dyDescent="0.35">
      <c r="B662" s="90">
        <f t="shared" si="10"/>
        <v>652</v>
      </c>
      <c r="C662" s="165">
        <v>46050</v>
      </c>
      <c r="D662" s="92"/>
      <c r="E662" s="166"/>
      <c r="F662" s="133" t="s">
        <v>554</v>
      </c>
      <c r="G662" s="133" t="s">
        <v>576</v>
      </c>
      <c r="H662" s="186" t="s">
        <v>577</v>
      </c>
      <c r="I662" s="125"/>
      <c r="J662" s="138"/>
      <c r="K662" s="138"/>
      <c r="L662" s="166"/>
      <c r="M662" s="93">
        <v>28</v>
      </c>
      <c r="N662" s="93">
        <v>61</v>
      </c>
      <c r="O662" s="166">
        <v>2</v>
      </c>
      <c r="P662" s="167">
        <v>1</v>
      </c>
      <c r="Q662" s="168">
        <v>278</v>
      </c>
      <c r="R662" s="170"/>
      <c r="S662" s="94"/>
      <c r="T662" s="94">
        <f>'3.2 Digest'!W662</f>
        <v>0</v>
      </c>
      <c r="U662" s="171">
        <v>0.3659722222222222</v>
      </c>
      <c r="V662" s="172">
        <v>40</v>
      </c>
      <c r="W662" s="171">
        <v>0.70347222222222228</v>
      </c>
      <c r="X662" s="175">
        <v>43</v>
      </c>
      <c r="Y662" s="175"/>
      <c r="Z662" s="172">
        <v>39.5</v>
      </c>
      <c r="AA662" s="171">
        <v>0.40486111111111112</v>
      </c>
      <c r="AB662" s="172">
        <v>45</v>
      </c>
      <c r="AC662" s="172"/>
      <c r="AD662" s="175"/>
      <c r="AE662" s="94">
        <f>Table3.110[[#This Row],[Gas 8h, ml]]-Table3.110[[#This Row],[Gas 0h, ml]]</f>
        <v>3</v>
      </c>
      <c r="AF662" s="94">
        <f>Table3.110[[#This Row],[Gas 24h, ml]]-Table3.110[[#This Row],[V8 Push back, ml]]</f>
        <v>5.5</v>
      </c>
      <c r="AG662" s="94"/>
      <c r="AH662" s="94"/>
      <c r="AI662" s="94"/>
      <c r="AJ662" s="94"/>
      <c r="AK662" s="94"/>
      <c r="AL662" s="94"/>
      <c r="AM662" s="94"/>
      <c r="AN662" s="94"/>
      <c r="AO662" s="94"/>
      <c r="AP662" s="94"/>
      <c r="AQ662" s="94"/>
      <c r="AR662" s="94"/>
      <c r="AS662" s="94"/>
      <c r="AT662" s="94"/>
      <c r="AU662" s="94"/>
      <c r="AV662" s="94"/>
    </row>
    <row r="663" spans="2:48" s="89" customFormat="1" x14ac:dyDescent="0.35">
      <c r="B663" s="90">
        <f t="shared" si="10"/>
        <v>653</v>
      </c>
      <c r="C663" s="165">
        <v>46050</v>
      </c>
      <c r="D663" s="92"/>
      <c r="E663" s="166"/>
      <c r="F663" s="133" t="s">
        <v>554</v>
      </c>
      <c r="G663" s="133" t="s">
        <v>576</v>
      </c>
      <c r="H663" s="186" t="s">
        <v>577</v>
      </c>
      <c r="I663" s="187"/>
      <c r="J663" s="188"/>
      <c r="K663" s="186"/>
      <c r="L663" s="166"/>
      <c r="M663" s="93">
        <v>28</v>
      </c>
      <c r="N663" s="93">
        <v>61</v>
      </c>
      <c r="O663" s="166">
        <v>2</v>
      </c>
      <c r="P663" s="167">
        <v>2</v>
      </c>
      <c r="Q663" s="169">
        <v>279</v>
      </c>
      <c r="R663" s="170"/>
      <c r="S663" s="94"/>
      <c r="T663" s="94">
        <f>'3.2 Digest'!W663</f>
        <v>0</v>
      </c>
      <c r="U663" s="173">
        <v>0.36666666666666664</v>
      </c>
      <c r="V663" s="174">
        <v>39.5</v>
      </c>
      <c r="W663" s="173">
        <v>0.70347222222222228</v>
      </c>
      <c r="X663" s="176">
        <v>43.5</v>
      </c>
      <c r="Y663" s="176"/>
      <c r="Z663" s="174">
        <v>39</v>
      </c>
      <c r="AA663" s="173">
        <v>0.40555555555555556</v>
      </c>
      <c r="AB663" s="174">
        <v>44</v>
      </c>
      <c r="AC663" s="174"/>
      <c r="AD663" s="176"/>
      <c r="AE663" s="94">
        <f>Table3.110[[#This Row],[Gas 8h, ml]]-Table3.110[[#This Row],[Gas 0h, ml]]</f>
        <v>4</v>
      </c>
      <c r="AF663" s="94">
        <f>Table3.110[[#This Row],[Gas 24h, ml]]-Table3.110[[#This Row],[V8 Push back, ml]]</f>
        <v>5</v>
      </c>
      <c r="AG663" s="94"/>
      <c r="AH663" s="94"/>
      <c r="AI663" s="94"/>
      <c r="AJ663" s="94"/>
      <c r="AK663" s="94"/>
      <c r="AL663" s="94"/>
      <c r="AM663" s="94"/>
      <c r="AN663" s="94"/>
      <c r="AO663" s="94"/>
      <c r="AP663" s="94"/>
      <c r="AQ663" s="94"/>
      <c r="AR663" s="94"/>
      <c r="AS663" s="94"/>
      <c r="AT663" s="94"/>
      <c r="AU663" s="94"/>
      <c r="AV663" s="94"/>
    </row>
    <row r="664" spans="2:48" s="89" customFormat="1" x14ac:dyDescent="0.35">
      <c r="B664" s="90">
        <f t="shared" si="10"/>
        <v>654</v>
      </c>
      <c r="C664" s="142">
        <v>46076</v>
      </c>
      <c r="D664" s="92"/>
      <c r="E664" s="145" t="s">
        <v>537</v>
      </c>
      <c r="F664" s="242"/>
      <c r="G664" s="242"/>
      <c r="H664" s="145" t="s">
        <v>537</v>
      </c>
      <c r="I664" s="242"/>
      <c r="J664" s="243"/>
      <c r="K664" s="243"/>
      <c r="L664" s="145" t="s">
        <v>539</v>
      </c>
      <c r="M664" s="256">
        <v>28</v>
      </c>
      <c r="N664" s="256">
        <v>69</v>
      </c>
      <c r="O664" s="256">
        <v>3</v>
      </c>
      <c r="P664" s="257">
        <v>1</v>
      </c>
      <c r="Q664" s="96">
        <v>73</v>
      </c>
      <c r="R664" s="147"/>
      <c r="S664" s="94"/>
      <c r="T664" s="94">
        <f>'3.2 Digest'!W664</f>
        <v>0</v>
      </c>
      <c r="U664" s="149">
        <v>0.34027777777777779</v>
      </c>
      <c r="V664" s="150">
        <v>40</v>
      </c>
      <c r="W664" s="149">
        <v>0.68541666666666667</v>
      </c>
      <c r="X664" s="161">
        <v>42.5</v>
      </c>
      <c r="Y664" s="161"/>
      <c r="Z664" s="150">
        <v>39.5</v>
      </c>
      <c r="AA664" s="149">
        <v>0.36458333333333331</v>
      </c>
      <c r="AB664" s="150">
        <v>43</v>
      </c>
      <c r="AC664" s="150"/>
      <c r="AD664" s="163"/>
      <c r="AE664" s="94">
        <f>Table3.110[[#This Row],[Gas 8h, ml]]-Table3.110[[#This Row],[Gas 0h, ml]]</f>
        <v>2.5</v>
      </c>
      <c r="AF664" s="94">
        <f>Table3.110[[#This Row],[Gas 24h, ml]]-Table3.110[[#This Row],[V8 Push back, ml]]</f>
        <v>3.5</v>
      </c>
      <c r="AG664" s="94"/>
      <c r="AH664" s="94"/>
      <c r="AI664" s="94"/>
      <c r="AJ664" s="94"/>
      <c r="AK664" s="94"/>
      <c r="AL664" s="94"/>
      <c r="AM664" s="94"/>
      <c r="AN664" s="94"/>
      <c r="AO664" s="94"/>
      <c r="AP664" s="94"/>
      <c r="AQ664" s="94"/>
      <c r="AR664" s="94"/>
      <c r="AS664" s="94"/>
      <c r="AT664" s="94"/>
      <c r="AU664" s="94"/>
      <c r="AV664" s="94"/>
    </row>
    <row r="665" spans="2:48" s="89" customFormat="1" x14ac:dyDescent="0.35">
      <c r="B665" s="90">
        <f t="shared" si="10"/>
        <v>655</v>
      </c>
      <c r="C665" s="143">
        <v>46076</v>
      </c>
      <c r="D665" s="92"/>
      <c r="E665" s="145" t="s">
        <v>537</v>
      </c>
      <c r="F665" s="242"/>
      <c r="G665" s="242"/>
      <c r="H665" s="145" t="s">
        <v>537</v>
      </c>
      <c r="I665" s="242"/>
      <c r="J665" s="243"/>
      <c r="K665" s="243"/>
      <c r="L665" s="145" t="s">
        <v>539</v>
      </c>
      <c r="M665" s="256">
        <v>28</v>
      </c>
      <c r="N665" s="256">
        <v>69</v>
      </c>
      <c r="O665" s="256">
        <v>3</v>
      </c>
      <c r="P665" s="257">
        <v>2</v>
      </c>
      <c r="Q665" s="96">
        <v>74</v>
      </c>
      <c r="R665" s="147"/>
      <c r="S665" s="94"/>
      <c r="T665" s="94">
        <f>'3.2 Digest'!W665</f>
        <v>0</v>
      </c>
      <c r="U665" s="151">
        <v>0.34027777777777779</v>
      </c>
      <c r="V665" s="152">
        <v>39.5</v>
      </c>
      <c r="W665" s="151">
        <v>0.68611111111111112</v>
      </c>
      <c r="X665" s="162">
        <v>41.5</v>
      </c>
      <c r="Y665" s="162"/>
      <c r="Z665" s="152">
        <v>39.5</v>
      </c>
      <c r="AA665" s="151">
        <v>0.36458333333333331</v>
      </c>
      <c r="AB665" s="152">
        <v>42</v>
      </c>
      <c r="AC665" s="152"/>
      <c r="AD665" s="164"/>
      <c r="AE665" s="94">
        <f>Table3.110[[#This Row],[Gas 8h, ml]]-Table3.110[[#This Row],[Gas 0h, ml]]</f>
        <v>2</v>
      </c>
      <c r="AF665" s="94">
        <f>Table3.110[[#This Row],[Gas 24h, ml]]-Table3.110[[#This Row],[V8 Push back, ml]]</f>
        <v>2.5</v>
      </c>
      <c r="AG665" s="94"/>
      <c r="AH665" s="94"/>
      <c r="AI665" s="94"/>
      <c r="AJ665" s="94"/>
      <c r="AK665" s="94"/>
      <c r="AL665" s="94"/>
      <c r="AM665" s="94"/>
      <c r="AN665" s="94"/>
      <c r="AO665" s="94"/>
      <c r="AP665" s="94"/>
      <c r="AQ665" s="94"/>
      <c r="AR665" s="94"/>
      <c r="AS665" s="94"/>
      <c r="AT665" s="94"/>
      <c r="AU665" s="94"/>
      <c r="AV665" s="94"/>
    </row>
    <row r="666" spans="2:48" s="89" customFormat="1" x14ac:dyDescent="0.35">
      <c r="B666" s="90">
        <f t="shared" si="10"/>
        <v>656</v>
      </c>
      <c r="C666" s="139">
        <v>46076</v>
      </c>
      <c r="D666" s="92" t="s">
        <v>16</v>
      </c>
      <c r="E666" s="6" t="s">
        <v>128</v>
      </c>
      <c r="F666" s="242" t="s">
        <v>129</v>
      </c>
      <c r="G666" s="242" t="s">
        <v>130</v>
      </c>
      <c r="H666" s="6" t="str">
        <f>'[2]1. Information samples'!$K$16</f>
        <v>Erythrina berteroana</v>
      </c>
      <c r="I666" s="57" t="s">
        <v>22</v>
      </c>
      <c r="J666" s="130" t="s">
        <v>23</v>
      </c>
      <c r="K666" s="130" t="s">
        <v>24</v>
      </c>
      <c r="L666" s="6" t="s">
        <v>127</v>
      </c>
      <c r="M666" s="256">
        <v>28</v>
      </c>
      <c r="N666" s="256">
        <v>69</v>
      </c>
      <c r="O666" s="256">
        <v>3</v>
      </c>
      <c r="P666" s="257">
        <v>1</v>
      </c>
      <c r="Q666" s="96">
        <v>75</v>
      </c>
      <c r="R666" s="98">
        <v>0.50009999999999999</v>
      </c>
      <c r="S666" s="94">
        <f>((Table3.110[[#This Row],[Sample weight, g]]*'2.1. DM'!Q77)/100)*1000</f>
        <v>473.0304128348663</v>
      </c>
      <c r="T666" s="94">
        <f>'3.2 Digest'!W666</f>
        <v>258.73041283486634</v>
      </c>
      <c r="U666" s="153">
        <v>0.34097222222222223</v>
      </c>
      <c r="V666" s="154">
        <v>41</v>
      </c>
      <c r="W666" s="153">
        <v>0.68611111111111112</v>
      </c>
      <c r="X666" s="95">
        <v>69.5</v>
      </c>
      <c r="Y666" s="95">
        <v>13.3</v>
      </c>
      <c r="Z666" s="154">
        <v>40</v>
      </c>
      <c r="AA666" s="153">
        <v>0.36527777777777776</v>
      </c>
      <c r="AB666" s="154">
        <v>79.5</v>
      </c>
      <c r="AC666" s="154">
        <v>15</v>
      </c>
      <c r="AD666" s="91"/>
      <c r="AE666" s="94">
        <f>Table3.110[[#This Row],[Gas 8h, ml]]-Table3.110[[#This Row],[Gas 0h, ml]]</f>
        <v>28.5</v>
      </c>
      <c r="AF666" s="94">
        <f>Table3.110[[#This Row],[Gas 24h, ml]]-Table3.110[[#This Row],[V8 Push back, ml]]</f>
        <v>39.5</v>
      </c>
      <c r="AG666" s="94">
        <f>Table3.110[[#This Row],[GP 8h, ml]]-(AVERAGE(AE$479,AE$480,AE$660,AE$661,AE$662,AE$663))*AG$8</f>
        <v>25.107474101643646</v>
      </c>
      <c r="AH666" s="94">
        <f>Table3.110[[#This Row],[GP 8-24h, ml]]-(AVERAGE(AF$479,AF$480,AF$660,AF$661,AF$662,AF$663))*AG$8</f>
        <v>35.185592064046816</v>
      </c>
      <c r="AI666" s="94">
        <f>Table3.110[[#This Row],[Net gas 8-24h, ml]]+Table3.110[[#This Row],[Net gas 8h, ml]]</f>
        <v>60.293066165690462</v>
      </c>
      <c r="AJ666" s="94">
        <f>Table3.110[[#This Row],[Net gas 8h, ml]]*Table3.110[[#This Row],[CH4 8h %]]%</f>
        <v>3.339294055518605</v>
      </c>
      <c r="AK666" s="94">
        <f>Table3.110[[#This Row],[Net gas 8-24h, ml]]*Table3.110[[#This Row],[CH4 24h, %]]%</f>
        <v>5.2778388096070223</v>
      </c>
      <c r="AL666" s="94">
        <f>Table3.110[[#This Row],[CH4 8-24h, ml]]+Table3.110[[#This Row],[CH4 8h, ml]]</f>
        <v>8.6171328651256278</v>
      </c>
      <c r="AM666" s="94">
        <f>(Table3.110[[#This Row],[Net gas 24h, ml]]/Table3.110[[#This Row],[DM Incubated, mg]])*1000</f>
        <v>127.4612890202022</v>
      </c>
      <c r="AN666" s="94">
        <f>'3.2 Digest'!X666</f>
        <v>54.696359010892706</v>
      </c>
      <c r="AO666" s="94">
        <f>Table3.110[[#This Row],[Digested feed, mg]]/Table3.110[[#This Row],[Net gas 24h, ml]]</f>
        <v>4.291213389676571</v>
      </c>
      <c r="AP666" s="94">
        <f>Table3.110[[#This Row],[CH4 8h, ml]]/Table3.110[[#This Row],[Net gas 8h, ml]]%</f>
        <v>13.3</v>
      </c>
      <c r="AQ666" s="94">
        <f>Table3.110[[#This Row],[CH4 24h, ml]]/Table3.110[[#This Row],[Net gas 24h, ml]]%</f>
        <v>14.2920793602452</v>
      </c>
      <c r="AR666" s="94">
        <f>Table3.110[[#This Row],[CH4 24h, ml]]/Table3.110[[#This Row],[DM Incubated, mg]]*1000</f>
        <v>18.216868580358799</v>
      </c>
      <c r="AS666" s="94">
        <f>Table3.110[[#This Row],[CH4 24h, ml]]/Table3.110[[#This Row],[Digested feed, mg]]*1000</f>
        <v>33.305450142907937</v>
      </c>
      <c r="AT666" s="94">
        <f>Table3.110[[#This Row],[CH4 24h, ml]]/'3.2 Digest'!AA666</f>
        <v>0.67118660800652674</v>
      </c>
      <c r="AU666" s="94">
        <f>((Table3.110[[#This Row],[CH4 24h, ml]]/28.9)*16.04)/Table3.110[[#This Row],[DM Incubated, mg]]*1000</f>
        <v>10.110677232835821</v>
      </c>
      <c r="AV666" s="94">
        <f>((Table3.110[[#This Row],[CH4 24h, ml]]/28.9)*16.04)/Table3.110[[#This Row],[Digested feed, mg]]*1000</f>
        <v>18.48510104817451</v>
      </c>
    </row>
    <row r="667" spans="2:48" s="89" customFormat="1" x14ac:dyDescent="0.35">
      <c r="B667" s="90">
        <f t="shared" si="10"/>
        <v>657</v>
      </c>
      <c r="C667" s="140">
        <v>46076</v>
      </c>
      <c r="D667" s="92" t="s">
        <v>16</v>
      </c>
      <c r="E667" s="6" t="s">
        <v>128</v>
      </c>
      <c r="F667" s="242" t="s">
        <v>129</v>
      </c>
      <c r="G667" s="242" t="s">
        <v>130</v>
      </c>
      <c r="H667" s="6" t="str">
        <f>'[2]1. Information samples'!$K$16</f>
        <v>Erythrina berteroana</v>
      </c>
      <c r="I667" s="57" t="s">
        <v>22</v>
      </c>
      <c r="J667" s="130" t="s">
        <v>23</v>
      </c>
      <c r="K667" s="130" t="s">
        <v>24</v>
      </c>
      <c r="L667" s="6" t="s">
        <v>127</v>
      </c>
      <c r="M667" s="256">
        <v>28</v>
      </c>
      <c r="N667" s="256">
        <v>69</v>
      </c>
      <c r="O667" s="256">
        <v>3</v>
      </c>
      <c r="P667" s="257">
        <v>2</v>
      </c>
      <c r="Q667" s="96">
        <v>76</v>
      </c>
      <c r="R667" s="98">
        <v>0.5</v>
      </c>
      <c r="S667" s="94">
        <f>((Table3.110[[#This Row],[Sample weight, g]]*'2.1. DM'!Q77)/100)*1000</f>
        <v>472.93582566973237</v>
      </c>
      <c r="T667" s="94">
        <f>'3.2 Digest'!W667</f>
        <v>249.9358256697324</v>
      </c>
      <c r="U667" s="117">
        <v>0.34097222222222223</v>
      </c>
      <c r="V667" s="155">
        <v>41</v>
      </c>
      <c r="W667" s="117">
        <v>0.68611111111111112</v>
      </c>
      <c r="X667" s="97">
        <v>70</v>
      </c>
      <c r="Y667" s="97">
        <v>13.1</v>
      </c>
      <c r="Z667" s="155">
        <v>41</v>
      </c>
      <c r="AA667" s="117">
        <v>0.36527777777777776</v>
      </c>
      <c r="AB667" s="155">
        <v>81</v>
      </c>
      <c r="AC667" s="155">
        <v>15</v>
      </c>
      <c r="AD667" s="96"/>
      <c r="AE667" s="94">
        <f>Table3.110[[#This Row],[Gas 8h, ml]]-Table3.110[[#This Row],[Gas 0h, ml]]</f>
        <v>29</v>
      </c>
      <c r="AF667" s="94">
        <f>Table3.110[[#This Row],[Gas 24h, ml]]-Table3.110[[#This Row],[V8 Push back, ml]]</f>
        <v>40</v>
      </c>
      <c r="AG667" s="94">
        <f>Table3.110[[#This Row],[GP 8h, ml]]-(AVERAGE(AE$479,AE$480,AE$660,AE$661,AE$662,AE$663))*AG$8</f>
        <v>25.607474101643646</v>
      </c>
      <c r="AH667" s="94">
        <f>Table3.110[[#This Row],[GP 8-24h, ml]]-(AVERAGE(AF$479,AF$480,AF$660,AF$661,AF$662,AF$663))*AG$8</f>
        <v>35.685592064046816</v>
      </c>
      <c r="AI667" s="94">
        <f>Table3.110[[#This Row],[Net gas 8-24h, ml]]+Table3.110[[#This Row],[Net gas 8h, ml]]</f>
        <v>61.293066165690462</v>
      </c>
      <c r="AJ667" s="94">
        <f>Table3.110[[#This Row],[Net gas 8h, ml]]*Table3.110[[#This Row],[CH4 8h %]]%</f>
        <v>3.3545791073153177</v>
      </c>
      <c r="AK667" s="94">
        <f>Table3.110[[#This Row],[Net gas 8-24h, ml]]*Table3.110[[#This Row],[CH4 24h, %]]%</f>
        <v>5.3528388096070225</v>
      </c>
      <c r="AL667" s="94">
        <f>Table3.110[[#This Row],[CH4 8-24h, ml]]+Table3.110[[#This Row],[CH4 8h, ml]]</f>
        <v>8.7074179169223402</v>
      </c>
      <c r="AM667" s="94">
        <f>(Table3.110[[#This Row],[Net gas 24h, ml]]/Table3.110[[#This Row],[DM Incubated, mg]])*1000</f>
        <v>129.6012330613616</v>
      </c>
      <c r="AN667" s="94">
        <f>'3.2 Digest'!X667</f>
        <v>52.847725231175723</v>
      </c>
      <c r="AO667" s="94">
        <f>Table3.110[[#This Row],[Digested feed, mg]]/Table3.110[[#This Row],[Net gas 24h, ml]]</f>
        <v>4.0777177795950594</v>
      </c>
      <c r="AP667" s="94">
        <f>Table3.110[[#This Row],[CH4 8h, ml]]/Table3.110[[#This Row],[Net gas 8h, ml]]%</f>
        <v>13.1</v>
      </c>
      <c r="AQ667" s="94">
        <f>Table3.110[[#This Row],[CH4 24h, ml]]/Table3.110[[#This Row],[Net gas 24h, ml]]%</f>
        <v>14.206203836146843</v>
      </c>
      <c r="AR667" s="94">
        <f>Table3.110[[#This Row],[CH4 24h, ml]]/Table3.110[[#This Row],[DM Incubated, mg]]*1000</f>
        <v>18.41141534285676</v>
      </c>
      <c r="AS667" s="94">
        <f>Table3.110[[#This Row],[CH4 24h, ml]]/Table3.110[[#This Row],[Digested feed, mg]]*1000</f>
        <v>34.838614646738989</v>
      </c>
      <c r="AT667" s="94">
        <f>Table3.110[[#This Row],[CH4 24h, ml]]/'3.2 Digest'!AA667</f>
        <v>0.93809720411744257</v>
      </c>
      <c r="AU667" s="94">
        <f>((Table3.110[[#This Row],[CH4 24h, ml]]/28.9)*16.04)/Table3.110[[#This Row],[DM Incubated, mg]]*1000</f>
        <v>10.218654051883126</v>
      </c>
      <c r="AV667" s="94">
        <f>((Table3.110[[#This Row],[CH4 24h, ml]]/28.9)*16.04)/Table3.110[[#This Row],[Digested feed, mg]]*1000</f>
        <v>19.336033873138174</v>
      </c>
    </row>
    <row r="668" spans="2:48" s="89" customFormat="1" x14ac:dyDescent="0.35">
      <c r="B668" s="90">
        <f t="shared" si="10"/>
        <v>658</v>
      </c>
      <c r="C668" s="140">
        <v>46076</v>
      </c>
      <c r="D668" s="92" t="s">
        <v>16</v>
      </c>
      <c r="E668" s="6" t="s">
        <v>135</v>
      </c>
      <c r="F668" s="242" t="s">
        <v>99</v>
      </c>
      <c r="G668" s="242" t="s">
        <v>100</v>
      </c>
      <c r="H668" s="6" t="str">
        <f>'[2]1. Information samples'!$K$17</f>
        <v>Leucaena leucocephala</v>
      </c>
      <c r="I668" s="57" t="s">
        <v>22</v>
      </c>
      <c r="J668" s="130" t="s">
        <v>23</v>
      </c>
      <c r="K668" s="130" t="s">
        <v>24</v>
      </c>
      <c r="L668" s="6" t="s">
        <v>134</v>
      </c>
      <c r="M668" s="256">
        <v>28</v>
      </c>
      <c r="N668" s="256">
        <v>69</v>
      </c>
      <c r="O668" s="256">
        <v>3</v>
      </c>
      <c r="P668" s="257">
        <v>1</v>
      </c>
      <c r="Q668" s="96">
        <v>77</v>
      </c>
      <c r="R668" s="98">
        <v>0.50039999999999996</v>
      </c>
      <c r="S668" s="94">
        <f>((Table3.110[[#This Row],[Sample weight, g]]*'2.1. DM'!Q79)/100)*1000</f>
        <v>463.67980995023606</v>
      </c>
      <c r="T668" s="94">
        <f>'3.2 Digest'!W668</f>
        <v>255.27980995023603</v>
      </c>
      <c r="U668" s="117">
        <v>0.34166666666666667</v>
      </c>
      <c r="V668" s="155">
        <v>41.5</v>
      </c>
      <c r="W668" s="117">
        <v>0.68680555555555556</v>
      </c>
      <c r="X668" s="97">
        <v>77.5</v>
      </c>
      <c r="Y668" s="97">
        <v>10.7</v>
      </c>
      <c r="Z668" s="155">
        <v>40</v>
      </c>
      <c r="AA668" s="117">
        <v>0.36666666666666664</v>
      </c>
      <c r="AB668" s="155">
        <v>64</v>
      </c>
      <c r="AC668" s="155">
        <v>13.7</v>
      </c>
      <c r="AD668" s="96"/>
      <c r="AE668" s="94">
        <f>Table3.110[[#This Row],[Gas 8h, ml]]-Table3.110[[#This Row],[Gas 0h, ml]]</f>
        <v>36</v>
      </c>
      <c r="AF668" s="94">
        <f>Table3.110[[#This Row],[Gas 24h, ml]]-Table3.110[[#This Row],[V8 Push back, ml]]</f>
        <v>24</v>
      </c>
      <c r="AG668" s="94">
        <f>Table3.110[[#This Row],[GP 8h, ml]]-(AVERAGE(AE$479,AE$480,AE$660,AE$661,AE$662,AE$663))*AG$8</f>
        <v>32.607474101643646</v>
      </c>
      <c r="AH668" s="94">
        <f>Table3.110[[#This Row],[GP 8-24h, ml]]-(AVERAGE(AF$479,AF$480,AF$660,AF$661,AF$662,AF$663))*AG$8</f>
        <v>19.685592064046812</v>
      </c>
      <c r="AI668" s="94">
        <f>Table3.110[[#This Row],[Net gas 8-24h, ml]]+Table3.110[[#This Row],[Net gas 8h, ml]]</f>
        <v>52.293066165690462</v>
      </c>
      <c r="AJ668" s="94">
        <f>Table3.110[[#This Row],[Net gas 8h, ml]]*Table3.110[[#This Row],[CH4 8h %]]%</f>
        <v>3.4889997288758701</v>
      </c>
      <c r="AK668" s="94">
        <f>Table3.110[[#This Row],[Net gas 8-24h, ml]]*Table3.110[[#This Row],[CH4 24h, %]]%</f>
        <v>2.6969261127744129</v>
      </c>
      <c r="AL668" s="94">
        <f>Table3.110[[#This Row],[CH4 8-24h, ml]]+Table3.110[[#This Row],[CH4 8h, ml]]</f>
        <v>6.1859258416502829</v>
      </c>
      <c r="AM668" s="94">
        <f>(Table3.110[[#This Row],[Net gas 24h, ml]]/Table3.110[[#This Row],[DM Incubated, mg]])*1000</f>
        <v>112.77839803139749</v>
      </c>
      <c r="AN668" s="94">
        <f>'3.2 Digest'!X668</f>
        <v>55.05519206834424</v>
      </c>
      <c r="AO668" s="94">
        <f>Table3.110[[#This Row],[Digested feed, mg]]/Table3.110[[#This Row],[Net gas 24h, ml]]</f>
        <v>4.8817143202386051</v>
      </c>
      <c r="AP668" s="94">
        <f>Table3.110[[#This Row],[CH4 8h, ml]]/Table3.110[[#This Row],[Net gas 8h, ml]]%</f>
        <v>10.7</v>
      </c>
      <c r="AQ668" s="94">
        <f>Table3.110[[#This Row],[CH4 24h, ml]]/Table3.110[[#This Row],[Net gas 24h, ml]]%</f>
        <v>11.829342387478659</v>
      </c>
      <c r="AR668" s="94">
        <f>Table3.110[[#This Row],[CH4 24h, ml]]/Table3.110[[#This Row],[DM Incubated, mg]]*1000</f>
        <v>13.3409428422475</v>
      </c>
      <c r="AS668" s="94">
        <f>Table3.110[[#This Row],[CH4 24h, ml]]/Table3.110[[#This Row],[Digested feed, mg]]*1000</f>
        <v>24.231943148407076</v>
      </c>
      <c r="AT668" s="94">
        <f>Table3.110[[#This Row],[CH4 24h, ml]]/'3.2 Digest'!AA668</f>
        <v>0.517453605034501</v>
      </c>
      <c r="AU668" s="94">
        <f>((Table3.110[[#This Row],[CH4 24h, ml]]/28.9)*16.04)/Table3.110[[#This Row],[DM Incubated, mg]]*1000</f>
        <v>7.4044540896072624</v>
      </c>
      <c r="AV668" s="94">
        <f>((Table3.110[[#This Row],[CH4 24h, ml]]/28.9)*16.04)/Table3.110[[#This Row],[Digested feed, mg]]*1000</f>
        <v>13.44914768513666</v>
      </c>
    </row>
    <row r="669" spans="2:48" s="89" customFormat="1" x14ac:dyDescent="0.35">
      <c r="B669" s="90">
        <f t="shared" si="10"/>
        <v>659</v>
      </c>
      <c r="C669" s="139">
        <v>46076</v>
      </c>
      <c r="D669" s="92" t="s">
        <v>16</v>
      </c>
      <c r="E669" s="6" t="s">
        <v>135</v>
      </c>
      <c r="F669" s="242" t="s">
        <v>99</v>
      </c>
      <c r="G669" s="242" t="s">
        <v>100</v>
      </c>
      <c r="H669" s="6" t="str">
        <f>'[2]1. Information samples'!$K$17</f>
        <v>Leucaena leucocephala</v>
      </c>
      <c r="I669" s="57" t="s">
        <v>22</v>
      </c>
      <c r="J669" s="130" t="s">
        <v>23</v>
      </c>
      <c r="K669" s="130" t="s">
        <v>24</v>
      </c>
      <c r="L669" s="6" t="s">
        <v>134</v>
      </c>
      <c r="M669" s="256">
        <v>28</v>
      </c>
      <c r="N669" s="256">
        <v>69</v>
      </c>
      <c r="O669" s="256">
        <v>3</v>
      </c>
      <c r="P669" s="257">
        <v>2</v>
      </c>
      <c r="Q669" s="96">
        <v>78</v>
      </c>
      <c r="R669" s="98">
        <v>0.50009999999999999</v>
      </c>
      <c r="S669" s="94">
        <f>((Table3.110[[#This Row],[Sample weight, g]]*'2.1. DM'!Q79)/100)*1000</f>
        <v>463.40182445266396</v>
      </c>
      <c r="T669" s="94">
        <f>'3.2 Digest'!W669</f>
        <v>219.0018244526639</v>
      </c>
      <c r="U669" s="153">
        <v>0.34166666666666667</v>
      </c>
      <c r="V669" s="154">
        <v>41</v>
      </c>
      <c r="W669" s="153">
        <v>0.68680555555555556</v>
      </c>
      <c r="X669" s="95">
        <v>76</v>
      </c>
      <c r="Y669" s="95">
        <v>10.8</v>
      </c>
      <c r="Z669" s="154">
        <v>40</v>
      </c>
      <c r="AA669" s="153">
        <v>0.36736111111111114</v>
      </c>
      <c r="AB669" s="154">
        <v>68.5</v>
      </c>
      <c r="AC669" s="154">
        <v>13.6</v>
      </c>
      <c r="AD669" s="91"/>
      <c r="AE669" s="94">
        <f>Table3.110[[#This Row],[Gas 8h, ml]]-Table3.110[[#This Row],[Gas 0h, ml]]</f>
        <v>35</v>
      </c>
      <c r="AF669" s="94">
        <f>Table3.110[[#This Row],[Gas 24h, ml]]-Table3.110[[#This Row],[V8 Push back, ml]]</f>
        <v>28.5</v>
      </c>
      <c r="AG669" s="94">
        <f>Table3.110[[#This Row],[GP 8h, ml]]-(AVERAGE(AE$479,AE$480,AE$660,AE$661,AE$662,AE$663))*AG$8</f>
        <v>31.607474101643646</v>
      </c>
      <c r="AH669" s="94">
        <f>Table3.110[[#This Row],[GP 8-24h, ml]]-(AVERAGE(AF$479,AF$480,AF$660,AF$661,AF$662,AF$663))*AG$8</f>
        <v>24.185592064046812</v>
      </c>
      <c r="AI669" s="94">
        <f>Table3.110[[#This Row],[Net gas 8-24h, ml]]+Table3.110[[#This Row],[Net gas 8h, ml]]</f>
        <v>55.793066165690462</v>
      </c>
      <c r="AJ669" s="94">
        <f>Table3.110[[#This Row],[Net gas 8h, ml]]*Table3.110[[#This Row],[CH4 8h %]]%</f>
        <v>3.4136072029775142</v>
      </c>
      <c r="AK669" s="94">
        <f>Table3.110[[#This Row],[Net gas 8-24h, ml]]*Table3.110[[#This Row],[CH4 24h, %]]%</f>
        <v>3.2892405207103668</v>
      </c>
      <c r="AL669" s="94">
        <f>Table3.110[[#This Row],[CH4 8-24h, ml]]+Table3.110[[#This Row],[CH4 8h, ml]]</f>
        <v>6.7028477236878814</v>
      </c>
      <c r="AM669" s="94">
        <f>(Table3.110[[#This Row],[Net gas 24h, ml]]/Table3.110[[#This Row],[DM Incubated, mg]])*1000</f>
        <v>120.39889189385285</v>
      </c>
      <c r="AN669" s="94">
        <f>'3.2 Digest'!X669</f>
        <v>47.259594782850215</v>
      </c>
      <c r="AO669" s="94">
        <f>Table3.110[[#This Row],[Digested feed, mg]]/Table3.110[[#This Row],[Net gas 24h, ml]]</f>
        <v>3.9252516397339976</v>
      </c>
      <c r="AP669" s="94">
        <f>Table3.110[[#This Row],[CH4 8h, ml]]/Table3.110[[#This Row],[Net gas 8h, ml]]%</f>
        <v>10.8</v>
      </c>
      <c r="AQ669" s="94">
        <f>Table3.110[[#This Row],[CH4 24h, ml]]/Table3.110[[#This Row],[Net gas 24h, ml]]%</f>
        <v>12.01376476385474</v>
      </c>
      <c r="AR669" s="94">
        <f>Table3.110[[#This Row],[CH4 24h, ml]]/Table3.110[[#This Row],[DM Incubated, mg]]*1000</f>
        <v>14.464439650415255</v>
      </c>
      <c r="AS669" s="94">
        <f>Table3.110[[#This Row],[CH4 24h, ml]]/Table3.110[[#This Row],[Digested feed, mg]]*1000</f>
        <v>30.606355633976314</v>
      </c>
      <c r="AT669" s="94">
        <f>Table3.110[[#This Row],[CH4 24h, ml]]/'3.2 Digest'!AA669</f>
        <v>-2.0208928915093773</v>
      </c>
      <c r="AU669" s="94">
        <f>((Table3.110[[#This Row],[CH4 24h, ml]]/28.9)*16.04)/Table3.110[[#This Row],[DM Incubated, mg]]*1000</f>
        <v>8.0280142558014056</v>
      </c>
      <c r="AV669" s="94">
        <f>((Table3.110[[#This Row],[CH4 24h, ml]]/28.9)*16.04)/Table3.110[[#This Row],[Digested feed, mg]]*1000</f>
        <v>16.987056898580622</v>
      </c>
    </row>
    <row r="670" spans="2:48" s="89" customFormat="1" x14ac:dyDescent="0.35">
      <c r="B670" s="90">
        <f t="shared" si="10"/>
        <v>660</v>
      </c>
      <c r="C670" s="139">
        <v>46076</v>
      </c>
      <c r="D670" s="92" t="s">
        <v>16</v>
      </c>
      <c r="E670" s="6" t="s">
        <v>137</v>
      </c>
      <c r="F670" s="242" t="s">
        <v>99</v>
      </c>
      <c r="G670" s="242" t="s">
        <v>100</v>
      </c>
      <c r="H670" s="6" t="str">
        <f>'[2]1. Information samples'!$K$18</f>
        <v>Leucaena leucocephala</v>
      </c>
      <c r="I670" s="57" t="s">
        <v>22</v>
      </c>
      <c r="J670" s="130" t="s">
        <v>23</v>
      </c>
      <c r="K670" s="130" t="s">
        <v>24</v>
      </c>
      <c r="L670" s="6" t="s">
        <v>136</v>
      </c>
      <c r="M670" s="256">
        <v>28</v>
      </c>
      <c r="N670" s="256">
        <v>69</v>
      </c>
      <c r="O670" s="256">
        <v>3</v>
      </c>
      <c r="P670" s="257">
        <v>1</v>
      </c>
      <c r="Q670" s="96">
        <v>79</v>
      </c>
      <c r="R670" s="98">
        <v>0.5</v>
      </c>
      <c r="S670" s="94">
        <f>((Table3.110[[#This Row],[Sample weight, g]]*'2.1. DM'!Q81)/100)*1000</f>
        <v>471.30431427962986</v>
      </c>
      <c r="T670" s="94">
        <f>'3.2 Digest'!W670</f>
        <v>174.20431427962995</v>
      </c>
      <c r="U670" s="153">
        <v>0.34166666666666667</v>
      </c>
      <c r="V670" s="154">
        <v>41.5</v>
      </c>
      <c r="W670" s="153">
        <v>0.6875</v>
      </c>
      <c r="X670" s="95">
        <v>75</v>
      </c>
      <c r="Y670" s="95">
        <v>11.3</v>
      </c>
      <c r="Z670" s="154">
        <v>40</v>
      </c>
      <c r="AA670" s="153">
        <v>0.36736111111111114</v>
      </c>
      <c r="AB670" s="154">
        <v>72</v>
      </c>
      <c r="AC670" s="154">
        <v>14.7</v>
      </c>
      <c r="AD670" s="91"/>
      <c r="AE670" s="94">
        <f>Table3.110[[#This Row],[Gas 8h, ml]]-Table3.110[[#This Row],[Gas 0h, ml]]</f>
        <v>33.5</v>
      </c>
      <c r="AF670" s="94">
        <f>Table3.110[[#This Row],[Gas 24h, ml]]-Table3.110[[#This Row],[V8 Push back, ml]]</f>
        <v>32</v>
      </c>
      <c r="AG670" s="94">
        <f>Table3.110[[#This Row],[GP 8h, ml]]-(AVERAGE(AE$479,AE$480,AE$660,AE$661,AE$662,AE$663))*AG$8</f>
        <v>30.107474101643646</v>
      </c>
      <c r="AH670" s="94">
        <f>Table3.110[[#This Row],[GP 8-24h, ml]]-(AVERAGE(AF$479,AF$480,AF$660,AF$661,AF$662,AF$663))*AG$8</f>
        <v>27.685592064046812</v>
      </c>
      <c r="AI670" s="94">
        <f>Table3.110[[#This Row],[Net gas 8-24h, ml]]+Table3.110[[#This Row],[Net gas 8h, ml]]</f>
        <v>57.793066165690462</v>
      </c>
      <c r="AJ670" s="94">
        <f>Table3.110[[#This Row],[Net gas 8h, ml]]*Table3.110[[#This Row],[CH4 8h %]]%</f>
        <v>3.4021445734857321</v>
      </c>
      <c r="AK670" s="94">
        <f>Table3.110[[#This Row],[Net gas 8-24h, ml]]*Table3.110[[#This Row],[CH4 24h, %]]%</f>
        <v>4.0697820334148815</v>
      </c>
      <c r="AL670" s="94">
        <f>Table3.110[[#This Row],[CH4 8-24h, ml]]+Table3.110[[#This Row],[CH4 8h, ml]]</f>
        <v>7.4719266069006132</v>
      </c>
      <c r="AM670" s="94">
        <f>(Table3.110[[#This Row],[Net gas 24h, ml]]/Table3.110[[#This Row],[DM Incubated, mg]])*1000</f>
        <v>122.6236731017939</v>
      </c>
      <c r="AN670" s="94">
        <f>'3.2 Digest'!X670</f>
        <v>36.962172634870619</v>
      </c>
      <c r="AO670" s="94">
        <f>Table3.110[[#This Row],[Digested feed, mg]]/Table3.110[[#This Row],[Net gas 24h, ml]]</f>
        <v>3.0142770722735666</v>
      </c>
      <c r="AP670" s="94">
        <f>Table3.110[[#This Row],[CH4 8h, ml]]/Table3.110[[#This Row],[Net gas 8h, ml]]%</f>
        <v>11.3</v>
      </c>
      <c r="AQ670" s="94">
        <f>Table3.110[[#This Row],[CH4 24h, ml]]/Table3.110[[#This Row],[Net gas 24h, ml]]%</f>
        <v>12.928759629189583</v>
      </c>
      <c r="AR670" s="94">
        <f>Table3.110[[#This Row],[CH4 24h, ml]]/Table3.110[[#This Row],[DM Incubated, mg]]*1000</f>
        <v>15.853719943814136</v>
      </c>
      <c r="AS670" s="94">
        <f>Table3.110[[#This Row],[CH4 24h, ml]]/Table3.110[[#This Row],[Digested feed, mg]]*1000</f>
        <v>42.891742594312547</v>
      </c>
      <c r="AT670" s="94">
        <f>Table3.110[[#This Row],[CH4 24h, ml]]/'3.2 Digest'!AA670</f>
        <v>-0.20315574486308474</v>
      </c>
      <c r="AU670" s="94">
        <f>((Table3.110[[#This Row],[CH4 24h, ml]]/28.9)*16.04)/Table3.110[[#This Row],[DM Incubated, mg]]*1000</f>
        <v>8.7990888546290229</v>
      </c>
      <c r="AV670" s="94">
        <f>((Table3.110[[#This Row],[CH4 24h, ml]]/28.9)*16.04)/Table3.110[[#This Row],[Digested feed, mg]]*1000</f>
        <v>23.805659211514644</v>
      </c>
    </row>
    <row r="671" spans="2:48" s="89" customFormat="1" x14ac:dyDescent="0.35">
      <c r="B671" s="90">
        <f t="shared" si="10"/>
        <v>661</v>
      </c>
      <c r="C671" s="140">
        <v>46076</v>
      </c>
      <c r="D671" s="92" t="s">
        <v>16</v>
      </c>
      <c r="E671" s="6" t="s">
        <v>137</v>
      </c>
      <c r="F671" s="242" t="s">
        <v>99</v>
      </c>
      <c r="G671" s="242" t="s">
        <v>100</v>
      </c>
      <c r="H671" s="6" t="str">
        <f>'[2]1. Information samples'!$K$18</f>
        <v>Leucaena leucocephala</v>
      </c>
      <c r="I671" s="57" t="s">
        <v>22</v>
      </c>
      <c r="J671" s="130" t="s">
        <v>23</v>
      </c>
      <c r="K671" s="130" t="s">
        <v>24</v>
      </c>
      <c r="L671" s="6" t="s">
        <v>136</v>
      </c>
      <c r="M671" s="256">
        <v>28</v>
      </c>
      <c r="N671" s="256">
        <v>69</v>
      </c>
      <c r="O671" s="256">
        <v>3</v>
      </c>
      <c r="P671" s="257">
        <v>2</v>
      </c>
      <c r="Q671" s="96">
        <v>80</v>
      </c>
      <c r="R671" s="98">
        <v>0.50039999999999996</v>
      </c>
      <c r="S671" s="94">
        <f>((Table3.110[[#This Row],[Sample weight, g]]*'2.1. DM'!Q81)/100)*1000</f>
        <v>471.68135773105359</v>
      </c>
      <c r="T671" s="94">
        <f>'3.2 Digest'!W671</f>
        <v>212.2813577310535</v>
      </c>
      <c r="U671" s="117">
        <v>0.34166666666666667</v>
      </c>
      <c r="V671" s="155">
        <v>41</v>
      </c>
      <c r="W671" s="117">
        <v>0.6875</v>
      </c>
      <c r="X671" s="97">
        <v>75.5</v>
      </c>
      <c r="Y671" s="97">
        <v>11.2</v>
      </c>
      <c r="Z671" s="155">
        <v>40</v>
      </c>
      <c r="AA671" s="117">
        <v>0.36736111111111114</v>
      </c>
      <c r="AB671" s="155">
        <v>73</v>
      </c>
      <c r="AC671" s="155">
        <v>14.7</v>
      </c>
      <c r="AD671" s="96"/>
      <c r="AE671" s="94">
        <f>Table3.110[[#This Row],[Gas 8h, ml]]-Table3.110[[#This Row],[Gas 0h, ml]]</f>
        <v>34.5</v>
      </c>
      <c r="AF671" s="94">
        <f>Table3.110[[#This Row],[Gas 24h, ml]]-Table3.110[[#This Row],[V8 Push back, ml]]</f>
        <v>33</v>
      </c>
      <c r="AG671" s="94">
        <f>Table3.110[[#This Row],[GP 8h, ml]]-(AVERAGE(AE$479,AE$480,AE$660,AE$661,AE$662,AE$663))*AG$8</f>
        <v>31.107474101643646</v>
      </c>
      <c r="AH671" s="94">
        <f>Table3.110[[#This Row],[GP 8-24h, ml]]-(AVERAGE(AF$479,AF$480,AF$660,AF$661,AF$662,AF$663))*AG$8</f>
        <v>28.685592064046812</v>
      </c>
      <c r="AI671" s="94">
        <f>Table3.110[[#This Row],[Net gas 8-24h, ml]]+Table3.110[[#This Row],[Net gas 8h, ml]]</f>
        <v>59.793066165690462</v>
      </c>
      <c r="AJ671" s="94">
        <f>Table3.110[[#This Row],[Net gas 8h, ml]]*Table3.110[[#This Row],[CH4 8h %]]%</f>
        <v>3.4840370993840879</v>
      </c>
      <c r="AK671" s="94">
        <f>Table3.110[[#This Row],[Net gas 8-24h, ml]]*Table3.110[[#This Row],[CH4 24h, %]]%</f>
        <v>4.2167820334148809</v>
      </c>
      <c r="AL671" s="94">
        <f>Table3.110[[#This Row],[CH4 8-24h, ml]]+Table3.110[[#This Row],[CH4 8h, ml]]</f>
        <v>7.7008191327989692</v>
      </c>
      <c r="AM671" s="94">
        <f>(Table3.110[[#This Row],[Net gas 24h, ml]]/Table3.110[[#This Row],[DM Incubated, mg]])*1000</f>
        <v>126.76580319670735</v>
      </c>
      <c r="AN671" s="94">
        <f>'3.2 Digest'!X671</f>
        <v>45.005246497804876</v>
      </c>
      <c r="AO671" s="94">
        <f>Table3.110[[#This Row],[Digested feed, mg]]/Table3.110[[#This Row],[Net gas 24h, ml]]</f>
        <v>3.5502671353699791</v>
      </c>
      <c r="AP671" s="94">
        <f>Table3.110[[#This Row],[CH4 8h, ml]]/Table3.110[[#This Row],[Net gas 8h, ml]]%</f>
        <v>11.2</v>
      </c>
      <c r="AQ671" s="94">
        <f>Table3.110[[#This Row],[CH4 24h, ml]]/Table3.110[[#This Row],[Net gas 24h, ml]]%</f>
        <v>12.879117306778515</v>
      </c>
      <c r="AR671" s="94">
        <f>Table3.110[[#This Row],[CH4 24h, ml]]/Table3.110[[#This Row],[DM Incubated, mg]]*1000</f>
        <v>16.326316498583932</v>
      </c>
      <c r="AS671" s="94">
        <f>Table3.110[[#This Row],[CH4 24h, ml]]/Table3.110[[#This Row],[Digested feed, mg]]*1000</f>
        <v>36.276473898171496</v>
      </c>
      <c r="AT671" s="94">
        <f>Table3.110[[#This Row],[CH4 24h, ml]]/'3.2 Digest'!AA671</f>
        <v>-0.39843920705968222</v>
      </c>
      <c r="AU671" s="94">
        <f>((Table3.110[[#This Row],[CH4 24h, ml]]/28.9)*16.04)/Table3.110[[#This Row],[DM Incubated, mg]]*1000</f>
        <v>9.0613881189372396</v>
      </c>
      <c r="AV671" s="94">
        <f>((Table3.110[[#This Row],[CH4 24h, ml]]/28.9)*16.04)/Table3.110[[#This Row],[Digested feed, mg]]*1000</f>
        <v>20.134070634140858</v>
      </c>
    </row>
    <row r="672" spans="2:48" s="89" customFormat="1" x14ac:dyDescent="0.35">
      <c r="B672" s="90">
        <f t="shared" si="10"/>
        <v>662</v>
      </c>
      <c r="C672" s="140">
        <v>46076</v>
      </c>
      <c r="D672" s="92" t="s">
        <v>16</v>
      </c>
      <c r="E672" s="6" t="s">
        <v>139</v>
      </c>
      <c r="F672" s="242" t="s">
        <v>79</v>
      </c>
      <c r="G672" s="242" t="s">
        <v>80</v>
      </c>
      <c r="H672" s="6" t="str">
        <f>'[2]1. Information samples'!$K$19</f>
        <v>Prosopis juliflora</v>
      </c>
      <c r="I672" s="57" t="s">
        <v>22</v>
      </c>
      <c r="J672" s="130" t="s">
        <v>23</v>
      </c>
      <c r="K672" s="130" t="s">
        <v>24</v>
      </c>
      <c r="L672" s="6" t="s">
        <v>138</v>
      </c>
      <c r="M672" s="256">
        <v>28</v>
      </c>
      <c r="N672" s="256">
        <v>69</v>
      </c>
      <c r="O672" s="256">
        <v>3</v>
      </c>
      <c r="P672" s="257">
        <v>1</v>
      </c>
      <c r="Q672" s="96">
        <v>81</v>
      </c>
      <c r="R672" s="98">
        <v>0.50029999999999997</v>
      </c>
      <c r="S672" s="94">
        <f>((Table3.110[[#This Row],[Sample weight, g]]*'2.1. DM'!Q83)/100)*1000</f>
        <v>467.21842480689094</v>
      </c>
      <c r="T672" s="94">
        <f>'3.2 Digest'!W672</f>
        <v>304.21842480689099</v>
      </c>
      <c r="U672" s="117">
        <v>0.34236111111111112</v>
      </c>
      <c r="V672" s="155">
        <v>40.5</v>
      </c>
      <c r="W672" s="117">
        <v>0.6875</v>
      </c>
      <c r="X672" s="97">
        <v>55.5</v>
      </c>
      <c r="Y672" s="97">
        <v>13.3</v>
      </c>
      <c r="Z672" s="155">
        <v>40</v>
      </c>
      <c r="AA672" s="117">
        <v>0.36805555555555558</v>
      </c>
      <c r="AB672" s="155">
        <v>54.5</v>
      </c>
      <c r="AC672" s="155">
        <v>3.8</v>
      </c>
      <c r="AD672" s="96"/>
      <c r="AE672" s="94">
        <f>Table3.110[[#This Row],[Gas 8h, ml]]-Table3.110[[#This Row],[Gas 0h, ml]]</f>
        <v>15</v>
      </c>
      <c r="AF672" s="94">
        <f>Table3.110[[#This Row],[Gas 24h, ml]]-Table3.110[[#This Row],[V8 Push back, ml]]</f>
        <v>14.5</v>
      </c>
      <c r="AG672" s="94">
        <f>Table3.110[[#This Row],[GP 8h, ml]]-(AVERAGE(AE$479,AE$480,AE$660,AE$661,AE$662,AE$663))*AG$8</f>
        <v>11.607474101643646</v>
      </c>
      <c r="AH672" s="94">
        <f>Table3.110[[#This Row],[GP 8-24h, ml]]-(AVERAGE(AF$479,AF$480,AF$660,AF$661,AF$662,AF$663))*AG$8</f>
        <v>10.185592064046812</v>
      </c>
      <c r="AI672" s="94">
        <f>Table3.110[[#This Row],[Net gas 8-24h, ml]]+Table3.110[[#This Row],[Net gas 8h, ml]]</f>
        <v>21.793066165690458</v>
      </c>
      <c r="AJ672" s="94">
        <f>Table3.110[[#This Row],[Net gas 8h, ml]]*Table3.110[[#This Row],[CH4 8h %]]%</f>
        <v>1.5437940555186049</v>
      </c>
      <c r="AK672" s="94">
        <f>Table3.110[[#This Row],[Net gas 8-24h, ml]]*Table3.110[[#This Row],[CH4 24h, %]]%</f>
        <v>0.38705249843377887</v>
      </c>
      <c r="AL672" s="94">
        <f>Table3.110[[#This Row],[CH4 8-24h, ml]]+Table3.110[[#This Row],[CH4 8h, ml]]</f>
        <v>1.9308465539523838</v>
      </c>
      <c r="AM672" s="94">
        <f>(Table3.110[[#This Row],[Net gas 24h, ml]]/Table3.110[[#This Row],[DM Incubated, mg]])*1000</f>
        <v>46.644278154693687</v>
      </c>
      <c r="AN672" s="94">
        <f>'3.2 Digest'!X672</f>
        <v>65.11267720930087</v>
      </c>
      <c r="AO672" s="94">
        <f>Table3.110[[#This Row],[Digested feed, mg]]/Table3.110[[#This Row],[Net gas 24h, ml]]</f>
        <v>13.959413626974257</v>
      </c>
      <c r="AP672" s="94">
        <f>Table3.110[[#This Row],[CH4 8h, ml]]/Table3.110[[#This Row],[Net gas 8h, ml]]%</f>
        <v>13.3</v>
      </c>
      <c r="AQ672" s="94">
        <f>Table3.110[[#This Row],[CH4 24h, ml]]/Table3.110[[#This Row],[Net gas 24h, ml]]%</f>
        <v>8.859912319231972</v>
      </c>
      <c r="AR672" s="94">
        <f>Table3.110[[#This Row],[CH4 24h, ml]]/Table3.110[[#This Row],[DM Incubated, mg]]*1000</f>
        <v>4.1326421464445344</v>
      </c>
      <c r="AS672" s="94">
        <f>Table3.110[[#This Row],[CH4 24h, ml]]/Table3.110[[#This Row],[Digested feed, mg]]*1000</f>
        <v>6.3469086567588047</v>
      </c>
      <c r="AT672" s="94">
        <f>Table3.110[[#This Row],[CH4 24h, ml]]/'3.2 Digest'!AA672</f>
        <v>5.7652144206011044E-2</v>
      </c>
      <c r="AU672" s="94">
        <f>((Table3.110[[#This Row],[CH4 24h, ml]]/28.9)*16.04)/Table3.110[[#This Row],[DM Incubated, mg]]*1000</f>
        <v>2.2936878902757898</v>
      </c>
      <c r="AV672" s="94">
        <f>((Table3.110[[#This Row],[CH4 24h, ml]]/28.9)*16.04)/Table3.110[[#This Row],[Digested feed, mg]]*1000</f>
        <v>3.522644112609385</v>
      </c>
    </row>
    <row r="673" spans="2:48" s="89" customFormat="1" x14ac:dyDescent="0.35">
      <c r="B673" s="90">
        <f t="shared" si="10"/>
        <v>663</v>
      </c>
      <c r="C673" s="140">
        <v>46076</v>
      </c>
      <c r="D673" s="92" t="s">
        <v>16</v>
      </c>
      <c r="E673" s="6" t="s">
        <v>139</v>
      </c>
      <c r="F673" s="242" t="s">
        <v>79</v>
      </c>
      <c r="G673" s="242" t="s">
        <v>80</v>
      </c>
      <c r="H673" s="6" t="str">
        <f>'[2]1. Information samples'!$K$19</f>
        <v>Prosopis juliflora</v>
      </c>
      <c r="I673" s="57" t="s">
        <v>22</v>
      </c>
      <c r="J673" s="130" t="s">
        <v>23</v>
      </c>
      <c r="K673" s="130" t="s">
        <v>24</v>
      </c>
      <c r="L673" s="6" t="s">
        <v>138</v>
      </c>
      <c r="M673" s="256">
        <v>28</v>
      </c>
      <c r="N673" s="256">
        <v>69</v>
      </c>
      <c r="O673" s="256">
        <v>3</v>
      </c>
      <c r="P673" s="257">
        <v>2</v>
      </c>
      <c r="Q673" s="96">
        <v>82</v>
      </c>
      <c r="R673" s="98">
        <v>0.50009999999999999</v>
      </c>
      <c r="S673" s="94">
        <f>((Table3.110[[#This Row],[Sample weight, g]]*'2.1. DM'!Q83)/100)*1000</f>
        <v>467.03164950215108</v>
      </c>
      <c r="T673" s="94">
        <f>'3.2 Digest'!W673</f>
        <v>278.63164950215105</v>
      </c>
      <c r="U673" s="153">
        <v>0.34236111111111112</v>
      </c>
      <c r="V673" s="154">
        <v>41</v>
      </c>
      <c r="W673" s="153">
        <v>0.68819444444444444</v>
      </c>
      <c r="X673" s="95">
        <v>55.5</v>
      </c>
      <c r="Y673" s="95">
        <v>6.7</v>
      </c>
      <c r="Z673" s="154">
        <v>40</v>
      </c>
      <c r="AA673" s="153">
        <v>0.36875000000000002</v>
      </c>
      <c r="AB673" s="154">
        <v>54.5</v>
      </c>
      <c r="AC673" s="154">
        <v>0.8</v>
      </c>
      <c r="AD673" s="274"/>
      <c r="AE673" s="94">
        <f>Table3.110[[#This Row],[Gas 8h, ml]]-Table3.110[[#This Row],[Gas 0h, ml]]</f>
        <v>14.5</v>
      </c>
      <c r="AF673" s="94">
        <f>Table3.110[[#This Row],[Gas 24h, ml]]-Table3.110[[#This Row],[V8 Push back, ml]]</f>
        <v>14.5</v>
      </c>
      <c r="AG673" s="94">
        <f>Table3.110[[#This Row],[GP 8h, ml]]-(AVERAGE(AE$479,AE$480,AE$660,AE$661,AE$662,AE$663))*AG$8</f>
        <v>11.107474101643646</v>
      </c>
      <c r="AH673" s="94">
        <f>Table3.110[[#This Row],[GP 8-24h, ml]]-(AVERAGE(AF$479,AF$480,AF$660,AF$661,AF$662,AF$663))*AG$8</f>
        <v>10.185592064046812</v>
      </c>
      <c r="AI673" s="94">
        <f>Table3.110[[#This Row],[Net gas 8-24h, ml]]+Table3.110[[#This Row],[Net gas 8h, ml]]</f>
        <v>21.293066165690458</v>
      </c>
      <c r="AJ673" s="94">
        <f>Table3.110[[#This Row],[Net gas 8h, ml]]*Table3.110[[#This Row],[CH4 8h %]]%</f>
        <v>0.74420076481012432</v>
      </c>
      <c r="AK673" s="94">
        <f>Table3.110[[#This Row],[Net gas 8-24h, ml]]*Table3.110[[#This Row],[CH4 24h, %]]%</f>
        <v>8.1484736512374492E-2</v>
      </c>
      <c r="AL673" s="94">
        <f>Table3.110[[#This Row],[CH4 8-24h, ml]]+Table3.110[[#This Row],[CH4 8h, ml]]</f>
        <v>0.82568550132249885</v>
      </c>
      <c r="AM673" s="94">
        <f>(Table3.110[[#This Row],[Net gas 24h, ml]]/Table3.110[[#This Row],[DM Incubated, mg]])*1000</f>
        <v>45.592340879656781</v>
      </c>
      <c r="AN673" s="94">
        <f>'3.2 Digest'!X673</f>
        <v>59.660121492658647</v>
      </c>
      <c r="AO673" s="94">
        <f>Table3.110[[#This Row],[Digested feed, mg]]/Table3.110[[#This Row],[Net gas 24h, ml]]</f>
        <v>13.085557868181077</v>
      </c>
      <c r="AP673" s="94">
        <f>Table3.110[[#This Row],[CH4 8h, ml]]/Table3.110[[#This Row],[Net gas 8h, ml]]%</f>
        <v>6.7</v>
      </c>
      <c r="AQ673" s="94">
        <f>Table3.110[[#This Row],[CH4 24h, ml]]/Table3.110[[#This Row],[Net gas 24h, ml]]%</f>
        <v>3.8777200751525718</v>
      </c>
      <c r="AR673" s="94">
        <f>Table3.110[[#This Row],[CH4 24h, ml]]/Table3.110[[#This Row],[DM Incubated, mg]]*1000</f>
        <v>1.7679433550224435</v>
      </c>
      <c r="AS673" s="94">
        <f>Table3.110[[#This Row],[CH4 24h, ml]]/Table3.110[[#This Row],[Digested feed, mg]]*1000</f>
        <v>2.9633586234650795</v>
      </c>
      <c r="AT673" s="94">
        <f>Table3.110[[#This Row],[CH4 24h, ml]]/'3.2 Digest'!AA673</f>
        <v>3.5749144396937681E-2</v>
      </c>
      <c r="AU673" s="94">
        <f>((Table3.110[[#This Row],[CH4 24h, ml]]/28.9)*16.04)/Table3.110[[#This Row],[DM Incubated, mg]]*1000</f>
        <v>0.98123914929273315</v>
      </c>
      <c r="AV673" s="94">
        <f>((Table3.110[[#This Row],[CH4 24h, ml]]/28.9)*16.04)/Table3.110[[#This Row],[Digested feed, mg]]*1000</f>
        <v>1.6447153052034558</v>
      </c>
    </row>
    <row r="674" spans="2:48" s="89" customFormat="1" x14ac:dyDescent="0.35">
      <c r="B674" s="90">
        <f t="shared" si="10"/>
        <v>664</v>
      </c>
      <c r="C674" s="140">
        <v>46076</v>
      </c>
      <c r="D674" s="92" t="s">
        <v>16</v>
      </c>
      <c r="E674" s="6" t="s">
        <v>141</v>
      </c>
      <c r="F674" s="242" t="s">
        <v>142</v>
      </c>
      <c r="G674" s="242" t="s">
        <v>143</v>
      </c>
      <c r="H674" s="6" t="str">
        <f>'[2]1. Information samples'!$K$20</f>
        <v>Senna cobanensis</v>
      </c>
      <c r="I674" s="57" t="s">
        <v>22</v>
      </c>
      <c r="J674" s="130" t="s">
        <v>23</v>
      </c>
      <c r="K674" s="130" t="s">
        <v>24</v>
      </c>
      <c r="L674" s="6" t="s">
        <v>140</v>
      </c>
      <c r="M674" s="256">
        <v>28</v>
      </c>
      <c r="N674" s="256">
        <v>69</v>
      </c>
      <c r="O674" s="256">
        <v>3</v>
      </c>
      <c r="P674" s="257">
        <v>1</v>
      </c>
      <c r="Q674" s="96">
        <v>83</v>
      </c>
      <c r="R674" s="98">
        <v>0.5</v>
      </c>
      <c r="S674" s="94">
        <f>((Table3.110[[#This Row],[Sample weight, g]]*'2.1. DM'!Q85)/100)*1000</f>
        <v>466.03695367021385</v>
      </c>
      <c r="T674" s="94">
        <f>'3.2 Digest'!W674</f>
        <v>217.43695367021391</v>
      </c>
      <c r="U674" s="153">
        <v>0.34236111111111112</v>
      </c>
      <c r="V674" s="154">
        <v>40.5</v>
      </c>
      <c r="W674" s="153">
        <v>0.68819444444444444</v>
      </c>
      <c r="X674" s="95">
        <v>83</v>
      </c>
      <c r="Y674" s="95">
        <v>13</v>
      </c>
      <c r="Z674" s="154">
        <v>40</v>
      </c>
      <c r="AA674" s="153">
        <v>0.36875000000000002</v>
      </c>
      <c r="AB674" s="154">
        <v>78.5</v>
      </c>
      <c r="AC674" s="154">
        <v>18.100000000000001</v>
      </c>
      <c r="AD674" s="91"/>
      <c r="AE674" s="94">
        <f>Table3.110[[#This Row],[Gas 8h, ml]]-Table3.110[[#This Row],[Gas 0h, ml]]</f>
        <v>42.5</v>
      </c>
      <c r="AF674" s="94">
        <f>Table3.110[[#This Row],[Gas 24h, ml]]-Table3.110[[#This Row],[V8 Push back, ml]]</f>
        <v>38.5</v>
      </c>
      <c r="AG674" s="94">
        <f>Table3.110[[#This Row],[GP 8h, ml]]-(AVERAGE(AE$479,AE$480,AE$660,AE$661,AE$662,AE$663))*AG$8</f>
        <v>39.107474101643646</v>
      </c>
      <c r="AH674" s="94">
        <f>Table3.110[[#This Row],[GP 8-24h, ml]]-(AVERAGE(AF$479,AF$480,AF$660,AF$661,AF$662,AF$663))*AG$8</f>
        <v>34.185592064046816</v>
      </c>
      <c r="AI674" s="94">
        <f>Table3.110[[#This Row],[Net gas 8-24h, ml]]+Table3.110[[#This Row],[Net gas 8h, ml]]</f>
        <v>73.293066165690462</v>
      </c>
      <c r="AJ674" s="94">
        <f>Table3.110[[#This Row],[Net gas 8h, ml]]*Table3.110[[#This Row],[CH4 8h %]]%</f>
        <v>5.0839716332136744</v>
      </c>
      <c r="AK674" s="94">
        <f>Table3.110[[#This Row],[Net gas 8-24h, ml]]*Table3.110[[#This Row],[CH4 24h, %]]%</f>
        <v>6.1875921635924742</v>
      </c>
      <c r="AL674" s="94">
        <f>Table3.110[[#This Row],[CH4 8-24h, ml]]+Table3.110[[#This Row],[CH4 8h, ml]]</f>
        <v>11.271563796806149</v>
      </c>
      <c r="AM674" s="94">
        <f>(Table3.110[[#This Row],[Net gas 24h, ml]]/Table3.110[[#This Row],[DM Incubated, mg]])*1000</f>
        <v>157.26878649532057</v>
      </c>
      <c r="AN674" s="94">
        <f>'3.2 Digest'!X674</f>
        <v>46.656590632527582</v>
      </c>
      <c r="AO674" s="94">
        <f>Table3.110[[#This Row],[Digested feed, mg]]/Table3.110[[#This Row],[Net gas 24h, ml]]</f>
        <v>2.9666783646172421</v>
      </c>
      <c r="AP674" s="94">
        <f>Table3.110[[#This Row],[CH4 8h, ml]]/Table3.110[[#This Row],[Net gas 8h, ml]]%</f>
        <v>13</v>
      </c>
      <c r="AQ674" s="94">
        <f>Table3.110[[#This Row],[CH4 24h, ml]]/Table3.110[[#This Row],[Net gas 24h, ml]]%</f>
        <v>15.378758710032697</v>
      </c>
      <c r="AR674" s="94">
        <f>Table3.110[[#This Row],[CH4 24h, ml]]/Table3.110[[#This Row],[DM Incubated, mg]]*1000</f>
        <v>24.185987201311836</v>
      </c>
      <c r="AS674" s="94">
        <f>Table3.110[[#This Row],[CH4 24h, ml]]/Table3.110[[#This Row],[Digested feed, mg]]*1000</f>
        <v>51.838308100571076</v>
      </c>
      <c r="AT674" s="94">
        <f>Table3.110[[#This Row],[CH4 24h, ml]]/'3.2 Digest'!AA674</f>
        <v>2.6590242256522645</v>
      </c>
      <c r="AU674" s="94">
        <f>((Table3.110[[#This Row],[CH4 24h, ml]]/28.9)*16.04)/Table3.110[[#This Row],[DM Incubated, mg]]*1000</f>
        <v>13.423641339413212</v>
      </c>
      <c r="AV674" s="94">
        <f>((Table3.110[[#This Row],[CH4 24h, ml]]/28.9)*16.04)/Table3.110[[#This Row],[Digested feed, mg]]*1000</f>
        <v>28.771157852358485</v>
      </c>
    </row>
    <row r="675" spans="2:48" s="89" customFormat="1" x14ac:dyDescent="0.35">
      <c r="B675" s="90">
        <f t="shared" si="10"/>
        <v>665</v>
      </c>
      <c r="C675" s="140">
        <v>46076</v>
      </c>
      <c r="D675" s="92" t="s">
        <v>16</v>
      </c>
      <c r="E675" s="6" t="s">
        <v>141</v>
      </c>
      <c r="F675" s="242" t="s">
        <v>142</v>
      </c>
      <c r="G675" s="242" t="s">
        <v>143</v>
      </c>
      <c r="H675" s="6" t="str">
        <f>'[2]1. Information samples'!$K$20</f>
        <v>Senna cobanensis</v>
      </c>
      <c r="I675" s="57" t="s">
        <v>22</v>
      </c>
      <c r="J675" s="130" t="s">
        <v>23</v>
      </c>
      <c r="K675" s="130" t="s">
        <v>24</v>
      </c>
      <c r="L675" s="6" t="s">
        <v>140</v>
      </c>
      <c r="M675" s="256">
        <v>28</v>
      </c>
      <c r="N675" s="256">
        <v>69</v>
      </c>
      <c r="O675" s="256">
        <v>3</v>
      </c>
      <c r="P675" s="257">
        <v>2</v>
      </c>
      <c r="Q675" s="96">
        <v>84</v>
      </c>
      <c r="R675" s="98">
        <v>0.50019999999999998</v>
      </c>
      <c r="S675" s="94">
        <f>((Table3.110[[#This Row],[Sample weight, g]]*'2.1. DM'!Q85)/100)*1000</f>
        <v>466.22336845168195</v>
      </c>
      <c r="T675" s="94">
        <f>'3.2 Digest'!W675</f>
        <v>255.82336845168192</v>
      </c>
      <c r="U675" s="117">
        <v>0.34305555555555556</v>
      </c>
      <c r="V675" s="155">
        <v>41</v>
      </c>
      <c r="W675" s="117">
        <v>0.68888888888888888</v>
      </c>
      <c r="X675" s="97">
        <v>83.5</v>
      </c>
      <c r="Y675" s="97">
        <v>13.8</v>
      </c>
      <c r="Z675" s="155">
        <v>41</v>
      </c>
      <c r="AA675" s="117">
        <v>0.36944444444444446</v>
      </c>
      <c r="AB675" s="155">
        <v>84</v>
      </c>
      <c r="AC675" s="155">
        <v>18.2</v>
      </c>
      <c r="AD675" s="96"/>
      <c r="AE675" s="94">
        <f>Table3.110[[#This Row],[Gas 8h, ml]]-Table3.110[[#This Row],[Gas 0h, ml]]</f>
        <v>42.5</v>
      </c>
      <c r="AF675" s="94">
        <f>Table3.110[[#This Row],[Gas 24h, ml]]-Table3.110[[#This Row],[V8 Push back, ml]]</f>
        <v>43</v>
      </c>
      <c r="AG675" s="94">
        <f>Table3.110[[#This Row],[GP 8h, ml]]-(AVERAGE(AE$479,AE$480,AE$660,AE$661,AE$662,AE$663))*AG$8</f>
        <v>39.107474101643646</v>
      </c>
      <c r="AH675" s="94">
        <f>Table3.110[[#This Row],[GP 8-24h, ml]]-(AVERAGE(AF$479,AF$480,AF$660,AF$661,AF$662,AF$663))*AG$8</f>
        <v>38.685592064046816</v>
      </c>
      <c r="AI675" s="94">
        <f>Table3.110[[#This Row],[Net gas 8-24h, ml]]+Table3.110[[#This Row],[Net gas 8h, ml]]</f>
        <v>77.793066165690462</v>
      </c>
      <c r="AJ675" s="94">
        <f>Table3.110[[#This Row],[Net gas 8h, ml]]*Table3.110[[#This Row],[CH4 8h %]]%</f>
        <v>5.3968314260268233</v>
      </c>
      <c r="AK675" s="94">
        <f>Table3.110[[#This Row],[Net gas 8-24h, ml]]*Table3.110[[#This Row],[CH4 24h, %]]%</f>
        <v>7.0407777556565199</v>
      </c>
      <c r="AL675" s="94">
        <f>Table3.110[[#This Row],[CH4 8-24h, ml]]+Table3.110[[#This Row],[CH4 8h, ml]]</f>
        <v>12.437609181683342</v>
      </c>
      <c r="AM675" s="94">
        <f>(Table3.110[[#This Row],[Net gas 24h, ml]]/Table3.110[[#This Row],[DM Incubated, mg]])*1000</f>
        <v>166.8579299747235</v>
      </c>
      <c r="AN675" s="94">
        <f>'3.2 Digest'!X675</f>
        <v>54.871416956482889</v>
      </c>
      <c r="AO675" s="94">
        <f>Table3.110[[#This Row],[Digested feed, mg]]/Table3.110[[#This Row],[Net gas 24h, ml]]</f>
        <v>3.28851118821833</v>
      </c>
      <c r="AP675" s="94">
        <f>Table3.110[[#This Row],[CH4 8h, ml]]/Table3.110[[#This Row],[Net gas 8h, ml]]%</f>
        <v>13.8</v>
      </c>
      <c r="AQ675" s="94">
        <f>Table3.110[[#This Row],[CH4 24h, ml]]/Table3.110[[#This Row],[Net gas 24h, ml]]%</f>
        <v>15.98806911041742</v>
      </c>
      <c r="AR675" s="94">
        <f>Table3.110[[#This Row],[CH4 24h, ml]]/Table3.110[[#This Row],[DM Incubated, mg]]*1000</f>
        <v>26.677361160570698</v>
      </c>
      <c r="AS675" s="94">
        <f>Table3.110[[#This Row],[CH4 24h, ml]]/Table3.110[[#This Row],[Digested feed, mg]]*1000</f>
        <v>48.61795565025745</v>
      </c>
      <c r="AT675" s="94">
        <f>Table3.110[[#This Row],[CH4 24h, ml]]/'3.2 Digest'!AA675</f>
        <v>0.6550910914761835</v>
      </c>
      <c r="AU675" s="94">
        <f>((Table3.110[[#This Row],[CH4 24h, ml]]/28.9)*16.04)/Table3.110[[#This Row],[DM Incubated, mg]]*1000</f>
        <v>14.806396990157578</v>
      </c>
      <c r="AV675" s="94">
        <f>((Table3.110[[#This Row],[CH4 24h, ml]]/28.9)*16.04)/Table3.110[[#This Row],[Digested feed, mg]]*1000</f>
        <v>26.983806526994105</v>
      </c>
    </row>
    <row r="676" spans="2:48" s="89" customFormat="1" x14ac:dyDescent="0.35">
      <c r="B676" s="90">
        <f t="shared" si="10"/>
        <v>666</v>
      </c>
      <c r="C676" s="140">
        <v>46076</v>
      </c>
      <c r="D676" s="92" t="s">
        <v>16</v>
      </c>
      <c r="E676" s="6" t="s">
        <v>146</v>
      </c>
      <c r="F676" s="242" t="s">
        <v>88</v>
      </c>
      <c r="G676" s="242" t="s">
        <v>147</v>
      </c>
      <c r="H676" s="6" t="str">
        <f>'[2]1. Information samples'!$K$21</f>
        <v>Acacia angustissima</v>
      </c>
      <c r="I676" s="57" t="s">
        <v>22</v>
      </c>
      <c r="J676" s="130" t="s">
        <v>23</v>
      </c>
      <c r="K676" s="130" t="s">
        <v>24</v>
      </c>
      <c r="L676" s="6" t="s">
        <v>145</v>
      </c>
      <c r="M676" s="256">
        <v>28</v>
      </c>
      <c r="N676" s="256">
        <v>69</v>
      </c>
      <c r="O676" s="256">
        <v>3</v>
      </c>
      <c r="P676" s="257">
        <v>1</v>
      </c>
      <c r="Q676" s="96">
        <v>85</v>
      </c>
      <c r="R676" s="98">
        <v>0.50039999999999996</v>
      </c>
      <c r="S676" s="94">
        <f>((Table3.110[[#This Row],[Sample weight, g]]*'2.1. DM'!Q87)/100)*1000</f>
        <v>470.23647407250184</v>
      </c>
      <c r="T676" s="94">
        <f>'3.2 Digest'!W676</f>
        <v>133.73647407250184</v>
      </c>
      <c r="U676" s="117">
        <v>0.34305555555555556</v>
      </c>
      <c r="V676" s="155">
        <v>40.5</v>
      </c>
      <c r="W676" s="117">
        <v>0.68958333333333333</v>
      </c>
      <c r="X676" s="97">
        <v>63</v>
      </c>
      <c r="Y676" s="97">
        <v>12</v>
      </c>
      <c r="Z676" s="155">
        <v>39.5</v>
      </c>
      <c r="AA676" s="117">
        <v>0.37083333333333335</v>
      </c>
      <c r="AB676" s="155">
        <v>56.5</v>
      </c>
      <c r="AC676" s="155">
        <v>12.9</v>
      </c>
      <c r="AD676" s="96"/>
      <c r="AE676" s="94">
        <f>Table3.110[[#This Row],[Gas 8h, ml]]-Table3.110[[#This Row],[Gas 0h, ml]]</f>
        <v>22.5</v>
      </c>
      <c r="AF676" s="94">
        <f>Table3.110[[#This Row],[Gas 24h, ml]]-Table3.110[[#This Row],[V8 Push back, ml]]</f>
        <v>17</v>
      </c>
      <c r="AG676" s="94">
        <f>Table3.110[[#This Row],[GP 8h, ml]]-(AVERAGE(AE$479,AE$480,AE$660,AE$661,AE$662,AE$663))*AG$8</f>
        <v>19.107474101643646</v>
      </c>
      <c r="AH676" s="94">
        <f>Table3.110[[#This Row],[GP 8-24h, ml]]-(AVERAGE(AF$479,AF$480,AF$660,AF$661,AF$662,AF$663))*AG$8</f>
        <v>12.685592064046812</v>
      </c>
      <c r="AI676" s="94">
        <f>Table3.110[[#This Row],[Net gas 8-24h, ml]]+Table3.110[[#This Row],[Net gas 8h, ml]]</f>
        <v>31.793066165690458</v>
      </c>
      <c r="AJ676" s="94">
        <f>Table3.110[[#This Row],[Net gas 8h, ml]]*Table3.110[[#This Row],[CH4 8h %]]%</f>
        <v>2.2928968921972372</v>
      </c>
      <c r="AK676" s="94">
        <f>Table3.110[[#This Row],[Net gas 8-24h, ml]]*Table3.110[[#This Row],[CH4 24h, %]]%</f>
        <v>1.6364413762620389</v>
      </c>
      <c r="AL676" s="94">
        <f>Table3.110[[#This Row],[CH4 8-24h, ml]]+Table3.110[[#This Row],[CH4 8h, ml]]</f>
        <v>3.9293382684592761</v>
      </c>
      <c r="AM676" s="94">
        <f>(Table3.110[[#This Row],[Net gas 24h, ml]]/Table3.110[[#This Row],[DM Incubated, mg]])*1000</f>
        <v>67.610804177620111</v>
      </c>
      <c r="AN676" s="94">
        <f>'3.2 Digest'!X676</f>
        <v>28.440259623901937</v>
      </c>
      <c r="AO676" s="94">
        <f>Table3.110[[#This Row],[Digested feed, mg]]/Table3.110[[#This Row],[Net gas 24h, ml]]</f>
        <v>4.2064666986043573</v>
      </c>
      <c r="AP676" s="94">
        <f>Table3.110[[#This Row],[CH4 8h, ml]]/Table3.110[[#This Row],[Net gas 8h, ml]]%</f>
        <v>11.999999999999998</v>
      </c>
      <c r="AQ676" s="94">
        <f>Table3.110[[#This Row],[CH4 24h, ml]]/Table3.110[[#This Row],[Net gas 24h, ml]]%</f>
        <v>12.359104491468106</v>
      </c>
      <c r="AR676" s="94">
        <f>Table3.110[[#This Row],[CH4 24h, ml]]/Table3.110[[#This Row],[DM Incubated, mg]]*1000</f>
        <v>8.3560899358339533</v>
      </c>
      <c r="AS676" s="94">
        <f>Table3.110[[#This Row],[CH4 24h, ml]]/Table3.110[[#This Row],[Digested feed, mg]]*1000</f>
        <v>29.381201319313124</v>
      </c>
      <c r="AT676" s="94">
        <f>Table3.110[[#This Row],[CH4 24h, ml]]/'3.2 Digest'!AA676</f>
        <v>-0.17255422896742212</v>
      </c>
      <c r="AU676" s="94">
        <f>((Table3.110[[#This Row],[CH4 24h, ml]]/28.9)*16.04)/Table3.110[[#This Row],[DM Incubated, mg]]*1000</f>
        <v>4.6377744834178749</v>
      </c>
      <c r="AV676" s="94">
        <f>((Table3.110[[#This Row],[CH4 24h, ml]]/28.9)*16.04)/Table3.110[[#This Row],[Digested feed, mg]]*1000</f>
        <v>16.307075057501123</v>
      </c>
    </row>
    <row r="677" spans="2:48" s="89" customFormat="1" x14ac:dyDescent="0.35">
      <c r="B677" s="90">
        <f t="shared" si="10"/>
        <v>667</v>
      </c>
      <c r="C677" s="140">
        <v>46076</v>
      </c>
      <c r="D677" s="92" t="s">
        <v>16</v>
      </c>
      <c r="E677" s="6" t="s">
        <v>146</v>
      </c>
      <c r="F677" s="242" t="s">
        <v>88</v>
      </c>
      <c r="G677" s="242" t="s">
        <v>147</v>
      </c>
      <c r="H677" s="6" t="str">
        <f>'[2]1. Information samples'!$K$21</f>
        <v>Acacia angustissima</v>
      </c>
      <c r="I677" s="57" t="s">
        <v>22</v>
      </c>
      <c r="J677" s="130" t="s">
        <v>23</v>
      </c>
      <c r="K677" s="130" t="s">
        <v>24</v>
      </c>
      <c r="L677" s="6" t="s">
        <v>145</v>
      </c>
      <c r="M677" s="256">
        <v>28</v>
      </c>
      <c r="N677" s="256">
        <v>69</v>
      </c>
      <c r="O677" s="256">
        <v>3</v>
      </c>
      <c r="P677" s="257">
        <v>2</v>
      </c>
      <c r="Q677" s="96">
        <v>86</v>
      </c>
      <c r="R677" s="98">
        <v>0.50009999999999999</v>
      </c>
      <c r="S677" s="94">
        <f>((Table3.110[[#This Row],[Sample weight, g]]*'2.1. DM'!Q87)/100)*1000</f>
        <v>469.95455772113945</v>
      </c>
      <c r="T677" s="94">
        <f>'3.2 Digest'!W677</f>
        <v>134.65455772113938</v>
      </c>
      <c r="U677" s="153">
        <v>0.34305555555555556</v>
      </c>
      <c r="V677" s="154">
        <v>41</v>
      </c>
      <c r="W677" s="153">
        <v>0.69027777777777777</v>
      </c>
      <c r="X677" s="95">
        <v>63</v>
      </c>
      <c r="Y677" s="95">
        <v>12</v>
      </c>
      <c r="Z677" s="154">
        <v>40</v>
      </c>
      <c r="AA677" s="153">
        <v>0.37083333333333335</v>
      </c>
      <c r="AB677" s="154">
        <v>56.5</v>
      </c>
      <c r="AC677" s="154">
        <v>11.8</v>
      </c>
      <c r="AD677" s="91"/>
      <c r="AE677" s="94">
        <f>Table3.110[[#This Row],[Gas 8h, ml]]-Table3.110[[#This Row],[Gas 0h, ml]]</f>
        <v>22</v>
      </c>
      <c r="AF677" s="94">
        <f>Table3.110[[#This Row],[Gas 24h, ml]]-Table3.110[[#This Row],[V8 Push back, ml]]</f>
        <v>16.5</v>
      </c>
      <c r="AG677" s="94">
        <f>Table3.110[[#This Row],[GP 8h, ml]]-(AVERAGE(AE$479,AE$480,AE$660,AE$661,AE$662,AE$663))*AG$8</f>
        <v>18.607474101643646</v>
      </c>
      <c r="AH677" s="94">
        <f>Table3.110[[#This Row],[GP 8-24h, ml]]-(AVERAGE(AF$479,AF$480,AF$660,AF$661,AF$662,AF$663))*AG$8</f>
        <v>12.185592064046812</v>
      </c>
      <c r="AI677" s="94">
        <f>Table3.110[[#This Row],[Net gas 8-24h, ml]]+Table3.110[[#This Row],[Net gas 8h, ml]]</f>
        <v>30.793066165690458</v>
      </c>
      <c r="AJ677" s="94">
        <f>Table3.110[[#This Row],[Net gas 8h, ml]]*Table3.110[[#This Row],[CH4 8h %]]%</f>
        <v>2.2328968921972376</v>
      </c>
      <c r="AK677" s="94">
        <f>Table3.110[[#This Row],[Net gas 8-24h, ml]]*Table3.110[[#This Row],[CH4 24h, %]]%</f>
        <v>1.437899863557524</v>
      </c>
      <c r="AL677" s="94">
        <f>Table3.110[[#This Row],[CH4 8-24h, ml]]+Table3.110[[#This Row],[CH4 8h, ml]]</f>
        <v>3.6707967557547616</v>
      </c>
      <c r="AM677" s="94">
        <f>(Table3.110[[#This Row],[Net gas 24h, ml]]/Table3.110[[#This Row],[DM Incubated, mg]])*1000</f>
        <v>65.523497239838193</v>
      </c>
      <c r="AN677" s="94">
        <f>'3.2 Digest'!X677</f>
        <v>28.652676202161743</v>
      </c>
      <c r="AO677" s="94">
        <f>Table3.110[[#This Row],[Digested feed, mg]]/Table3.110[[#This Row],[Net gas 24h, ml]]</f>
        <v>4.3728856683707287</v>
      </c>
      <c r="AP677" s="94">
        <f>Table3.110[[#This Row],[CH4 8h, ml]]/Table3.110[[#This Row],[Net gas 8h, ml]]%</f>
        <v>12.000000000000002</v>
      </c>
      <c r="AQ677" s="94">
        <f>Table3.110[[#This Row],[CH4 24h, ml]]/Table3.110[[#This Row],[Net gas 24h, ml]]%</f>
        <v>11.920854961318378</v>
      </c>
      <c r="AR677" s="94">
        <f>Table3.110[[#This Row],[CH4 24h, ml]]/Table3.110[[#This Row],[DM Incubated, mg]]*1000</f>
        <v>7.8109610715445612</v>
      </c>
      <c r="AS677" s="94">
        <f>Table3.110[[#This Row],[CH4 24h, ml]]/Table3.110[[#This Row],[Digested feed, mg]]*1000</f>
        <v>27.260842988744113</v>
      </c>
      <c r="AT677" s="94">
        <f>Table3.110[[#This Row],[CH4 24h, ml]]/'3.2 Digest'!AA677</f>
        <v>-0.16382233763125159</v>
      </c>
      <c r="AU677" s="94">
        <f>((Table3.110[[#This Row],[CH4 24h, ml]]/28.9)*16.04)/Table3.110[[#This Row],[DM Incubated, mg]]*1000</f>
        <v>4.3352185324420329</v>
      </c>
      <c r="AV677" s="94">
        <f>((Table3.110[[#This Row],[CH4 24h, ml]]/28.9)*16.04)/Table3.110[[#This Row],[Digested feed, mg]]*1000</f>
        <v>15.130239499635138</v>
      </c>
    </row>
    <row r="678" spans="2:48" s="89" customFormat="1" x14ac:dyDescent="0.35">
      <c r="B678" s="90">
        <f t="shared" si="10"/>
        <v>668</v>
      </c>
      <c r="C678" s="140">
        <v>46076</v>
      </c>
      <c r="D678" s="92" t="s">
        <v>16</v>
      </c>
      <c r="E678" s="6" t="s">
        <v>150</v>
      </c>
      <c r="F678" s="242" t="s">
        <v>142</v>
      </c>
      <c r="G678" s="242" t="s">
        <v>151</v>
      </c>
      <c r="H678" s="6" t="str">
        <f>'[2]1. Information samples'!$K$22</f>
        <v>Senna pallida</v>
      </c>
      <c r="I678" s="57" t="s">
        <v>22</v>
      </c>
      <c r="J678" s="130" t="s">
        <v>23</v>
      </c>
      <c r="K678" s="130" t="s">
        <v>24</v>
      </c>
      <c r="L678" s="6" t="s">
        <v>149</v>
      </c>
      <c r="M678" s="256">
        <v>28</v>
      </c>
      <c r="N678" s="256">
        <v>69</v>
      </c>
      <c r="O678" s="256">
        <v>3</v>
      </c>
      <c r="P678" s="257">
        <v>1</v>
      </c>
      <c r="Q678" s="96">
        <v>87</v>
      </c>
      <c r="R678" s="98">
        <v>0.50009999999999999</v>
      </c>
      <c r="S678" s="94">
        <f>((Table3.110[[#This Row],[Sample weight, g]]*'2.1. DM'!Q89)/100)*1000</f>
        <v>469.67804158752364</v>
      </c>
      <c r="T678" s="94">
        <f>'3.2 Digest'!W678</f>
        <v>317.37804158752363</v>
      </c>
      <c r="U678" s="156">
        <v>0.34375</v>
      </c>
      <c r="V678" s="154">
        <v>41.5</v>
      </c>
      <c r="W678" s="153">
        <v>0.69097222222222221</v>
      </c>
      <c r="X678" s="95">
        <v>93</v>
      </c>
      <c r="Y678" s="95">
        <v>12.7</v>
      </c>
      <c r="Z678" s="154">
        <v>41</v>
      </c>
      <c r="AA678" s="153">
        <v>0.37152777777777779</v>
      </c>
      <c r="AB678" s="154">
        <v>91</v>
      </c>
      <c r="AC678" s="154">
        <v>17.600000000000001</v>
      </c>
      <c r="AD678" s="91"/>
      <c r="AE678" s="94">
        <f>Table3.110[[#This Row],[Gas 8h, ml]]-Table3.110[[#This Row],[Gas 0h, ml]]</f>
        <v>51.5</v>
      </c>
      <c r="AF678" s="94">
        <f>Table3.110[[#This Row],[Gas 24h, ml]]-Table3.110[[#This Row],[V8 Push back, ml]]</f>
        <v>50</v>
      </c>
      <c r="AG678" s="94">
        <f>Table3.110[[#This Row],[GP 8h, ml]]-(AVERAGE(AE$479,AE$480,AE$660,AE$661,AE$662,AE$663))*AG$8</f>
        <v>48.107474101643646</v>
      </c>
      <c r="AH678" s="94">
        <f>Table3.110[[#This Row],[GP 8-24h, ml]]-(AVERAGE(AF$479,AF$480,AF$660,AF$661,AF$662,AF$663))*AG$8</f>
        <v>45.685592064046816</v>
      </c>
      <c r="AI678" s="94">
        <f>Table3.110[[#This Row],[Net gas 8-24h, ml]]+Table3.110[[#This Row],[Net gas 8h, ml]]</f>
        <v>93.793066165690462</v>
      </c>
      <c r="AJ678" s="94">
        <f>Table3.110[[#This Row],[Net gas 8h, ml]]*Table3.110[[#This Row],[CH4 8h %]]%</f>
        <v>6.109649210908743</v>
      </c>
      <c r="AK678" s="94">
        <f>Table3.110[[#This Row],[Net gas 8-24h, ml]]*Table3.110[[#This Row],[CH4 24h, %]]%</f>
        <v>8.0406642032722395</v>
      </c>
      <c r="AL678" s="94">
        <f>Table3.110[[#This Row],[CH4 8-24h, ml]]+Table3.110[[#This Row],[CH4 8h, ml]]</f>
        <v>14.150313414180982</v>
      </c>
      <c r="AM678" s="94">
        <f>(Table3.110[[#This Row],[Net gas 24h, ml]]/Table3.110[[#This Row],[DM Incubated, mg]])*1000</f>
        <v>199.69651093048236</v>
      </c>
      <c r="AN678" s="94">
        <f>'3.2 Digest'!X678</f>
        <v>67.573531969852766</v>
      </c>
      <c r="AO678" s="94">
        <f>Table3.110[[#This Row],[Digested feed, mg]]/Table3.110[[#This Row],[Net gas 24h, ml]]</f>
        <v>3.3838113472786824</v>
      </c>
      <c r="AP678" s="94">
        <f>Table3.110[[#This Row],[CH4 8h, ml]]/Table3.110[[#This Row],[Net gas 8h, ml]]%</f>
        <v>12.700000000000001</v>
      </c>
      <c r="AQ678" s="94">
        <f>Table3.110[[#This Row],[CH4 24h, ml]]/Table3.110[[#This Row],[Net gas 24h, ml]]%</f>
        <v>15.086737210599019</v>
      </c>
      <c r="AR678" s="94">
        <f>Table3.110[[#This Row],[CH4 24h, ml]]/Table3.110[[#This Row],[DM Incubated, mg]]*1000</f>
        <v>30.12768782281702</v>
      </c>
      <c r="AS678" s="94">
        <f>Table3.110[[#This Row],[CH4 24h, ml]]/Table3.110[[#This Row],[Digested feed, mg]]*1000</f>
        <v>44.585042315470766</v>
      </c>
      <c r="AT678" s="94">
        <f>Table3.110[[#This Row],[CH4 24h, ml]]/'3.2 Digest'!AA678</f>
        <v>0.36069648151230932</v>
      </c>
      <c r="AU678" s="94">
        <f>((Table3.110[[#This Row],[CH4 24h, ml]]/28.9)*16.04)/Table3.110[[#This Row],[DM Incubated, mg]]*1000</f>
        <v>16.721387981937198</v>
      </c>
      <c r="AV678" s="94">
        <f>((Table3.110[[#This Row],[CH4 24h, ml]]/28.9)*16.04)/Table3.110[[#This Row],[Digested feed, mg]]*1000</f>
        <v>24.745469852600387</v>
      </c>
    </row>
    <row r="679" spans="2:48" s="89" customFormat="1" x14ac:dyDescent="0.35">
      <c r="B679" s="90">
        <f t="shared" si="10"/>
        <v>669</v>
      </c>
      <c r="C679" s="140">
        <v>46076</v>
      </c>
      <c r="D679" s="92" t="s">
        <v>16</v>
      </c>
      <c r="E679" s="6" t="s">
        <v>150</v>
      </c>
      <c r="F679" s="242" t="s">
        <v>142</v>
      </c>
      <c r="G679" s="242" t="s">
        <v>151</v>
      </c>
      <c r="H679" s="6" t="str">
        <f>'[2]1. Information samples'!$K$22</f>
        <v>Senna pallida</v>
      </c>
      <c r="I679" s="57" t="s">
        <v>22</v>
      </c>
      <c r="J679" s="130" t="s">
        <v>23</v>
      </c>
      <c r="K679" s="130" t="s">
        <v>24</v>
      </c>
      <c r="L679" s="6" t="s">
        <v>149</v>
      </c>
      <c r="M679" s="256">
        <v>28</v>
      </c>
      <c r="N679" s="256">
        <v>69</v>
      </c>
      <c r="O679" s="256">
        <v>3</v>
      </c>
      <c r="P679" s="257">
        <v>2</v>
      </c>
      <c r="Q679" s="96">
        <v>88</v>
      </c>
      <c r="R679" s="98">
        <v>0.50039999999999996</v>
      </c>
      <c r="S679" s="94">
        <f>((Table3.110[[#This Row],[Sample weight, g]]*'2.1. DM'!Q89)/100)*1000</f>
        <v>469.95979206238121</v>
      </c>
      <c r="T679" s="94">
        <f>'3.2 Digest'!W679</f>
        <v>295.6597920623812</v>
      </c>
      <c r="U679" s="117">
        <v>0.34375</v>
      </c>
      <c r="V679" s="155">
        <v>41.5</v>
      </c>
      <c r="W679" s="117">
        <v>0.69097222222222221</v>
      </c>
      <c r="X679" s="97">
        <v>94.5</v>
      </c>
      <c r="Y679" s="97">
        <v>12.8</v>
      </c>
      <c r="Z679" s="155">
        <v>41.5</v>
      </c>
      <c r="AA679" s="117">
        <v>0.37152777777777779</v>
      </c>
      <c r="AB679" s="155">
        <v>84</v>
      </c>
      <c r="AC679" s="155">
        <v>17.899999999999999</v>
      </c>
      <c r="AD679" s="96"/>
      <c r="AE679" s="94">
        <f>Table3.110[[#This Row],[Gas 8h, ml]]-Table3.110[[#This Row],[Gas 0h, ml]]</f>
        <v>53</v>
      </c>
      <c r="AF679" s="94">
        <f>Table3.110[[#This Row],[Gas 24h, ml]]-Table3.110[[#This Row],[V8 Push back, ml]]</f>
        <v>42.5</v>
      </c>
      <c r="AG679" s="94">
        <f>Table3.110[[#This Row],[GP 8h, ml]]-(AVERAGE(AE$479,AE$480,AE$660,AE$661,AE$662,AE$663))*AG$8</f>
        <v>49.607474101643646</v>
      </c>
      <c r="AH679" s="94">
        <f>Table3.110[[#This Row],[GP 8-24h, ml]]-(AVERAGE(AF$479,AF$480,AF$660,AF$661,AF$662,AF$663))*AG$8</f>
        <v>38.185592064046816</v>
      </c>
      <c r="AI679" s="94">
        <f>Table3.110[[#This Row],[Net gas 8-24h, ml]]+Table3.110[[#This Row],[Net gas 8h, ml]]</f>
        <v>87.793066165690462</v>
      </c>
      <c r="AJ679" s="94">
        <f>Table3.110[[#This Row],[Net gas 8h, ml]]*Table3.110[[#This Row],[CH4 8h %]]%</f>
        <v>6.3497566850103873</v>
      </c>
      <c r="AK679" s="94">
        <f>Table3.110[[#This Row],[Net gas 8-24h, ml]]*Table3.110[[#This Row],[CH4 24h, %]]%</f>
        <v>6.8352209794643795</v>
      </c>
      <c r="AL679" s="94">
        <f>Table3.110[[#This Row],[CH4 8-24h, ml]]+Table3.110[[#This Row],[CH4 8h, ml]]</f>
        <v>13.184977664474767</v>
      </c>
      <c r="AM679" s="94">
        <f>(Table3.110[[#This Row],[Net gas 24h, ml]]/Table3.110[[#This Row],[DM Incubated, mg]])*1000</f>
        <v>186.80973914899735</v>
      </c>
      <c r="AN679" s="94">
        <f>'3.2 Digest'!X679</f>
        <v>62.911720759110409</v>
      </c>
      <c r="AO679" s="94">
        <f>Table3.110[[#This Row],[Digested feed, mg]]/Table3.110[[#This Row],[Net gas 24h, ml]]</f>
        <v>3.3676895565349905</v>
      </c>
      <c r="AP679" s="94">
        <f>Table3.110[[#This Row],[CH4 8h, ml]]/Table3.110[[#This Row],[Net gas 8h, ml]]%</f>
        <v>12.8</v>
      </c>
      <c r="AQ679" s="94">
        <f>Table3.110[[#This Row],[CH4 24h, ml]]/Table3.110[[#This Row],[Net gas 24h, ml]]%</f>
        <v>15.018244880058031</v>
      </c>
      <c r="AR679" s="94">
        <f>Table3.110[[#This Row],[CH4 24h, ml]]/Table3.110[[#This Row],[DM Incubated, mg]]*1000</f>
        <v>28.055544085194054</v>
      </c>
      <c r="AS679" s="94">
        <f>Table3.110[[#This Row],[CH4 24h, ml]]/Table3.110[[#This Row],[Digested feed, mg]]*1000</f>
        <v>44.595098888836638</v>
      </c>
      <c r="AT679" s="94">
        <f>Table3.110[[#This Row],[CH4 24h, ml]]/'3.2 Digest'!AA679</f>
        <v>0.43237987153492302</v>
      </c>
      <c r="AU679" s="94">
        <f>((Table3.110[[#This Row],[CH4 24h, ml]]/28.9)*16.04)/Table3.110[[#This Row],[DM Incubated, mg]]*1000</f>
        <v>15.571312357318776</v>
      </c>
      <c r="AV679" s="94">
        <f>((Table3.110[[#This Row],[CH4 24h, ml]]/28.9)*16.04)/Table3.110[[#This Row],[Digested feed, mg]]*1000</f>
        <v>24.751051424807599</v>
      </c>
    </row>
    <row r="680" spans="2:48" s="89" customFormat="1" x14ac:dyDescent="0.35">
      <c r="B680" s="90">
        <f t="shared" si="10"/>
        <v>670</v>
      </c>
      <c r="C680" s="140">
        <v>46076</v>
      </c>
      <c r="D680" s="92" t="s">
        <v>16</v>
      </c>
      <c r="E680" s="6" t="s">
        <v>154</v>
      </c>
      <c r="F680" s="242" t="s">
        <v>99</v>
      </c>
      <c r="G680" s="242" t="s">
        <v>155</v>
      </c>
      <c r="H680" s="6" t="str">
        <f>'[2]1. Information samples'!$K$23</f>
        <v>Leucaena diversifolia</v>
      </c>
      <c r="I680" s="57" t="s">
        <v>22</v>
      </c>
      <c r="J680" s="130" t="s">
        <v>23</v>
      </c>
      <c r="K680" s="130" t="s">
        <v>24</v>
      </c>
      <c r="L680" s="6" t="s">
        <v>153</v>
      </c>
      <c r="M680" s="256">
        <v>28</v>
      </c>
      <c r="N680" s="256">
        <v>69</v>
      </c>
      <c r="O680" s="256">
        <v>3</v>
      </c>
      <c r="P680" s="257">
        <v>1</v>
      </c>
      <c r="Q680" s="96">
        <v>89</v>
      </c>
      <c r="R680" s="98">
        <v>0.50029999999999997</v>
      </c>
      <c r="S680" s="94">
        <f>((Table3.110[[#This Row],[Sample weight, g]]*'2.1. DM'!Q91)/100)*1000</f>
        <v>466.33646238395278</v>
      </c>
      <c r="T680" s="94">
        <f>'3.2 Digest'!W680</f>
        <v>196.33646238395278</v>
      </c>
      <c r="U680" s="117">
        <v>0.34444444444444444</v>
      </c>
      <c r="V680" s="155">
        <v>42</v>
      </c>
      <c r="W680" s="117">
        <v>0.69097222222222221</v>
      </c>
      <c r="X680" s="97">
        <v>68</v>
      </c>
      <c r="Y680" s="97">
        <v>10.9</v>
      </c>
      <c r="Z680" s="155">
        <v>40</v>
      </c>
      <c r="AA680" s="117">
        <v>0.37222222222222223</v>
      </c>
      <c r="AB680" s="155">
        <v>61</v>
      </c>
      <c r="AC680" s="155">
        <v>14.3</v>
      </c>
      <c r="AD680" s="96"/>
      <c r="AE680" s="94">
        <f>Table3.110[[#This Row],[Gas 8h, ml]]-Table3.110[[#This Row],[Gas 0h, ml]]</f>
        <v>26</v>
      </c>
      <c r="AF680" s="94">
        <f>Table3.110[[#This Row],[Gas 24h, ml]]-Table3.110[[#This Row],[V8 Push back, ml]]</f>
        <v>21</v>
      </c>
      <c r="AG680" s="94">
        <f>Table3.110[[#This Row],[GP 8h, ml]]-(AVERAGE(AE$479,AE$480,AE$660,AE$661,AE$662,AE$663))*AG$8</f>
        <v>22.607474101643646</v>
      </c>
      <c r="AH680" s="94">
        <f>Table3.110[[#This Row],[GP 8-24h, ml]]-(AVERAGE(AF$479,AF$480,AF$660,AF$661,AF$662,AF$663))*AG$8</f>
        <v>16.685592064046812</v>
      </c>
      <c r="AI680" s="94">
        <f>Table3.110[[#This Row],[Net gas 8-24h, ml]]+Table3.110[[#This Row],[Net gas 8h, ml]]</f>
        <v>39.293066165690462</v>
      </c>
      <c r="AJ680" s="94">
        <f>Table3.110[[#This Row],[Net gas 8h, ml]]*Table3.110[[#This Row],[CH4 8h %]]%</f>
        <v>2.4642146770791573</v>
      </c>
      <c r="AK680" s="94">
        <f>Table3.110[[#This Row],[Net gas 8-24h, ml]]*Table3.110[[#This Row],[CH4 24h, %]]%</f>
        <v>2.3860396651586946</v>
      </c>
      <c r="AL680" s="94">
        <f>Table3.110[[#This Row],[CH4 8-24h, ml]]+Table3.110[[#This Row],[CH4 8h, ml]]</f>
        <v>4.8502543422378519</v>
      </c>
      <c r="AM680" s="94">
        <f>(Table3.110[[#This Row],[Net gas 24h, ml]]/Table3.110[[#This Row],[DM Incubated, mg]])*1000</f>
        <v>84.259047565830187</v>
      </c>
      <c r="AN680" s="94">
        <f>'3.2 Digest'!X680</f>
        <v>42.101889562798419</v>
      </c>
      <c r="AO680" s="94">
        <f>Table3.110[[#This Row],[Digested feed, mg]]/Table3.110[[#This Row],[Net gas 24h, ml]]</f>
        <v>4.9967203260759518</v>
      </c>
      <c r="AP680" s="94">
        <f>Table3.110[[#This Row],[CH4 8h, ml]]/Table3.110[[#This Row],[Net gas 8h, ml]]%</f>
        <v>10.9</v>
      </c>
      <c r="AQ680" s="94">
        <f>Table3.110[[#This Row],[CH4 24h, ml]]/Table3.110[[#This Row],[Net gas 24h, ml]]%</f>
        <v>12.343791960101475</v>
      </c>
      <c r="AR680" s="94">
        <f>Table3.110[[#This Row],[CH4 24h, ml]]/Table3.110[[#This Row],[DM Incubated, mg]]*1000</f>
        <v>10.400761539089025</v>
      </c>
      <c r="AS680" s="94">
        <f>Table3.110[[#This Row],[CH4 24h, ml]]/Table3.110[[#This Row],[Digested feed, mg]]*1000</f>
        <v>24.703787994064822</v>
      </c>
      <c r="AT680" s="94">
        <f>Table3.110[[#This Row],[CH4 24h, ml]]/'3.2 Digest'!AA680</f>
        <v>0.55501704144961206</v>
      </c>
      <c r="AU680" s="94">
        <f>((Table3.110[[#This Row],[CH4 24h, ml]]/28.9)*16.04)/Table3.110[[#This Row],[DM Incubated, mg]]*1000</f>
        <v>5.7726025981656743</v>
      </c>
      <c r="AV680" s="94">
        <f>((Table3.110[[#This Row],[CH4 24h, ml]]/28.9)*16.04)/Table3.110[[#This Row],[Digested feed, mg]]*1000</f>
        <v>13.711029737882345</v>
      </c>
    </row>
    <row r="681" spans="2:48" s="89" customFormat="1" x14ac:dyDescent="0.35">
      <c r="B681" s="90">
        <f t="shared" si="10"/>
        <v>671</v>
      </c>
      <c r="C681" s="140">
        <v>46076</v>
      </c>
      <c r="D681" s="92" t="s">
        <v>16</v>
      </c>
      <c r="E681" s="6" t="s">
        <v>154</v>
      </c>
      <c r="F681" s="242" t="s">
        <v>99</v>
      </c>
      <c r="G681" s="242" t="s">
        <v>155</v>
      </c>
      <c r="H681" s="6" t="str">
        <f>'[2]1. Information samples'!$K$23</f>
        <v>Leucaena diversifolia</v>
      </c>
      <c r="I681" s="57" t="s">
        <v>22</v>
      </c>
      <c r="J681" s="130" t="s">
        <v>23</v>
      </c>
      <c r="K681" s="130" t="s">
        <v>24</v>
      </c>
      <c r="L681" s="6" t="s">
        <v>153</v>
      </c>
      <c r="M681" s="256">
        <v>28</v>
      </c>
      <c r="N681" s="256">
        <v>69</v>
      </c>
      <c r="O681" s="256">
        <v>3</v>
      </c>
      <c r="P681" s="257">
        <v>2</v>
      </c>
      <c r="Q681" s="96">
        <v>90</v>
      </c>
      <c r="R681" s="98">
        <v>0.50039999999999996</v>
      </c>
      <c r="S681" s="94">
        <f>((Table3.110[[#This Row],[Sample weight, g]]*'2.1. DM'!Q91)/100)*1000</f>
        <v>466.42967374961017</v>
      </c>
      <c r="T681" s="94">
        <f>'3.2 Digest'!W681</f>
        <v>175.42967374961012</v>
      </c>
      <c r="U681" s="153">
        <v>0.34444444444444444</v>
      </c>
      <c r="V681" s="154">
        <v>41.5</v>
      </c>
      <c r="W681" s="153">
        <v>0.69166666666666665</v>
      </c>
      <c r="X681" s="95">
        <v>67.5</v>
      </c>
      <c r="Y681" s="95">
        <v>10.7</v>
      </c>
      <c r="Z681" s="154">
        <v>40</v>
      </c>
      <c r="AA681" s="153">
        <v>0.37291666666666667</v>
      </c>
      <c r="AB681" s="154">
        <v>60.5</v>
      </c>
      <c r="AC681" s="154">
        <v>13.5</v>
      </c>
      <c r="AD681" s="91"/>
      <c r="AE681" s="94">
        <f>Table3.110[[#This Row],[Gas 8h, ml]]-Table3.110[[#This Row],[Gas 0h, ml]]</f>
        <v>26</v>
      </c>
      <c r="AF681" s="94">
        <f>Table3.110[[#This Row],[Gas 24h, ml]]-Table3.110[[#This Row],[V8 Push back, ml]]</f>
        <v>20.5</v>
      </c>
      <c r="AG681" s="94">
        <f>Table3.110[[#This Row],[GP 8h, ml]]-(AVERAGE(AE$479,AE$480,AE$660,AE$661,AE$662,AE$663))*AG$8</f>
        <v>22.607474101643646</v>
      </c>
      <c r="AH681" s="94">
        <f>Table3.110[[#This Row],[GP 8-24h, ml]]-(AVERAGE(AF$479,AF$480,AF$660,AF$661,AF$662,AF$663))*AG$8</f>
        <v>16.185592064046812</v>
      </c>
      <c r="AI681" s="94">
        <f>Table3.110[[#This Row],[Net gas 8-24h, ml]]+Table3.110[[#This Row],[Net gas 8h, ml]]</f>
        <v>38.793066165690462</v>
      </c>
      <c r="AJ681" s="94">
        <f>Table3.110[[#This Row],[Net gas 8h, ml]]*Table3.110[[#This Row],[CH4 8h %]]%</f>
        <v>2.4189997288758702</v>
      </c>
      <c r="AK681" s="94">
        <f>Table3.110[[#This Row],[Net gas 8-24h, ml]]*Table3.110[[#This Row],[CH4 24h, %]]%</f>
        <v>2.1850549286463199</v>
      </c>
      <c r="AL681" s="94">
        <f>Table3.110[[#This Row],[CH4 8-24h, ml]]+Table3.110[[#This Row],[CH4 8h, ml]]</f>
        <v>4.6040546575221901</v>
      </c>
      <c r="AM681" s="94">
        <f>(Table3.110[[#This Row],[Net gas 24h, ml]]/Table3.110[[#This Row],[DM Incubated, mg]])*1000</f>
        <v>83.170236262702801</v>
      </c>
      <c r="AN681" s="94">
        <f>'3.2 Digest'!X681</f>
        <v>37.611173478594907</v>
      </c>
      <c r="AO681" s="94">
        <f>Table3.110[[#This Row],[Digested feed, mg]]/Table3.110[[#This Row],[Net gas 24h, ml]]</f>
        <v>4.5221914916528156</v>
      </c>
      <c r="AP681" s="94">
        <f>Table3.110[[#This Row],[CH4 8h, ml]]/Table3.110[[#This Row],[Net gas 8h, ml]]%</f>
        <v>10.700000000000001</v>
      </c>
      <c r="AQ681" s="94">
        <f>Table3.110[[#This Row],[CH4 24h, ml]]/Table3.110[[#This Row],[Net gas 24h, ml]]%</f>
        <v>11.868241189952984</v>
      </c>
      <c r="AR681" s="94">
        <f>Table3.110[[#This Row],[CH4 24h, ml]]/Table3.110[[#This Row],[DM Incubated, mg]]*1000</f>
        <v>9.8708442379113066</v>
      </c>
      <c r="AS681" s="94">
        <f>Table3.110[[#This Row],[CH4 24h, ml]]/Table3.110[[#This Row],[Digested feed, mg]]*1000</f>
        <v>26.244446330633515</v>
      </c>
      <c r="AT681" s="94">
        <f>Table3.110[[#This Row],[CH4 24h, ml]]/'3.2 Digest'!AA681</f>
        <v>2.7726893115032185</v>
      </c>
      <c r="AU681" s="94">
        <f>((Table3.110[[#This Row],[CH4 24h, ml]]/28.9)*16.04)/Table3.110[[#This Row],[DM Incubated, mg]]*1000</f>
        <v>5.4784893278926425</v>
      </c>
      <c r="AV681" s="94">
        <f>((Table3.110[[#This Row],[CH4 24h, ml]]/28.9)*16.04)/Table3.110[[#This Row],[Digested feed, mg]]*1000</f>
        <v>14.566121769666491</v>
      </c>
    </row>
    <row r="682" spans="2:48" s="89" customFormat="1" x14ac:dyDescent="0.35">
      <c r="B682" s="90">
        <f t="shared" si="10"/>
        <v>672</v>
      </c>
      <c r="C682" s="140">
        <v>46076</v>
      </c>
      <c r="D682" s="92" t="s">
        <v>16</v>
      </c>
      <c r="E682" s="6" t="s">
        <v>158</v>
      </c>
      <c r="F682" s="242" t="s">
        <v>159</v>
      </c>
      <c r="G682" s="242" t="s">
        <v>160</v>
      </c>
      <c r="H682" s="6" t="str">
        <f>'[2]1. Information samples'!$K$24</f>
        <v>Calliandra calothyrsus</v>
      </c>
      <c r="I682" s="57" t="s">
        <v>22</v>
      </c>
      <c r="J682" s="130" t="s">
        <v>23</v>
      </c>
      <c r="K682" s="130" t="s">
        <v>24</v>
      </c>
      <c r="L682" s="6" t="s">
        <v>157</v>
      </c>
      <c r="M682" s="256">
        <v>28</v>
      </c>
      <c r="N682" s="256">
        <v>69</v>
      </c>
      <c r="O682" s="256">
        <v>3</v>
      </c>
      <c r="P682" s="257">
        <v>1</v>
      </c>
      <c r="Q682" s="96">
        <v>91</v>
      </c>
      <c r="R682" s="98">
        <v>0.50009999999999999</v>
      </c>
      <c r="S682" s="94">
        <f>((Table3.110[[#This Row],[Sample weight, g]]*'2.1. DM'!Q93)/100)*1000</f>
        <v>464.03221211515387</v>
      </c>
      <c r="T682" s="94">
        <f>'3.2 Digest'!W682</f>
        <v>129.13221211515389</v>
      </c>
      <c r="U682" s="153">
        <v>0.34513888888888888</v>
      </c>
      <c r="V682" s="154">
        <v>42</v>
      </c>
      <c r="W682" s="153">
        <v>0.69166666666666665</v>
      </c>
      <c r="X682" s="95">
        <v>54.5</v>
      </c>
      <c r="Y682" s="95">
        <v>10.9</v>
      </c>
      <c r="Z682" s="154">
        <v>40</v>
      </c>
      <c r="AA682" s="153">
        <v>0.37361111111111112</v>
      </c>
      <c r="AB682" s="154">
        <v>53.5</v>
      </c>
      <c r="AC682" s="154">
        <v>13.7</v>
      </c>
      <c r="AD682" s="91" t="s">
        <v>578</v>
      </c>
      <c r="AE682" s="94">
        <f>Table3.110[[#This Row],[Gas 8h, ml]]-Table3.110[[#This Row],[Gas 0h, ml]]</f>
        <v>12.5</v>
      </c>
      <c r="AF682" s="94">
        <f>Table3.110[[#This Row],[Gas 24h, ml]]-Table3.110[[#This Row],[V8 Push back, ml]]</f>
        <v>13.5</v>
      </c>
      <c r="AG682" s="94">
        <f>Table3.110[[#This Row],[GP 8h, ml]]-(AVERAGE(AE$479,AE$480,AE$660,AE$661,AE$662,AE$663))*AG$8</f>
        <v>9.1074741016436462</v>
      </c>
      <c r="AH682" s="94">
        <f>Table3.110[[#This Row],[GP 8-24h, ml]]-(AVERAGE(AF$479,AF$480,AF$660,AF$661,AF$662,AF$663))*AG$8</f>
        <v>9.1855920640468121</v>
      </c>
      <c r="AI682" s="94">
        <f>Table3.110[[#This Row],[Net gas 8-24h, ml]]+Table3.110[[#This Row],[Net gas 8h, ml]]</f>
        <v>18.293066165690458</v>
      </c>
      <c r="AJ682" s="94">
        <f>Table3.110[[#This Row],[Net gas 8h, ml]]*Table3.110[[#This Row],[CH4 8h %]]%</f>
        <v>0.99271467707915739</v>
      </c>
      <c r="AK682" s="94">
        <f>Table3.110[[#This Row],[Net gas 8-24h, ml]]*Table3.110[[#This Row],[CH4 24h, %]]%</f>
        <v>1.2584261127744132</v>
      </c>
      <c r="AL682" s="94">
        <f>Table3.110[[#This Row],[CH4 8-24h, ml]]+Table3.110[[#This Row],[CH4 8h, ml]]</f>
        <v>2.2511407898535705</v>
      </c>
      <c r="AM682" s="94">
        <f>(Table3.110[[#This Row],[Net gas 24h, ml]]/Table3.110[[#This Row],[DM Incubated, mg]])*1000</f>
        <v>39.421974785558348</v>
      </c>
      <c r="AN682" s="94">
        <f>'3.2 Digest'!X682</f>
        <v>27.828286214558862</v>
      </c>
      <c r="AO682" s="94">
        <f>Table3.110[[#This Row],[Digested feed, mg]]/Table3.110[[#This Row],[Net gas 24h, ml]]</f>
        <v>7.0590797051479361</v>
      </c>
      <c r="AP682" s="94">
        <f>Table3.110[[#This Row],[CH4 8h, ml]]/Table3.110[[#This Row],[Net gas 8h, ml]]%</f>
        <v>10.899999999999999</v>
      </c>
      <c r="AQ682" s="94">
        <f>Table3.110[[#This Row],[CH4 24h, ml]]/Table3.110[[#This Row],[Net gas 24h, ml]]%</f>
        <v>12.305978502803949</v>
      </c>
      <c r="AR682" s="94">
        <f>Table3.110[[#This Row],[CH4 24h, ml]]/Table3.110[[#This Row],[DM Incubated, mg]]*1000</f>
        <v>4.8512597424916031</v>
      </c>
      <c r="AS682" s="94">
        <f>Table3.110[[#This Row],[CH4 24h, ml]]/Table3.110[[#This Row],[Digested feed, mg]]*1000</f>
        <v>17.432836880747551</v>
      </c>
      <c r="AT682" s="94">
        <f>Table3.110[[#This Row],[CH4 24h, ml]]/'3.2 Digest'!AA682</f>
        <v>-6.3881785732522678E-2</v>
      </c>
      <c r="AU682" s="94">
        <f>((Table3.110[[#This Row],[CH4 24h, ml]]/28.9)*16.04)/Table3.110[[#This Row],[DM Incubated, mg]]*1000</f>
        <v>2.6925330889122945</v>
      </c>
      <c r="AV682" s="94">
        <f>((Table3.110[[#This Row],[CH4 24h, ml]]/28.9)*16.04)/Table3.110[[#This Row],[Digested feed, mg]]*1000</f>
        <v>9.675526074989298</v>
      </c>
    </row>
    <row r="683" spans="2:48" s="89" customFormat="1" x14ac:dyDescent="0.35">
      <c r="B683" s="90">
        <f t="shared" si="10"/>
        <v>673</v>
      </c>
      <c r="C683" s="140">
        <v>46076</v>
      </c>
      <c r="D683" s="92" t="s">
        <v>16</v>
      </c>
      <c r="E683" s="6" t="s">
        <v>158</v>
      </c>
      <c r="F683" s="242" t="s">
        <v>159</v>
      </c>
      <c r="G683" s="242" t="s">
        <v>160</v>
      </c>
      <c r="H683" s="6" t="str">
        <f>'[2]1. Information samples'!$K$24</f>
        <v>Calliandra calothyrsus</v>
      </c>
      <c r="I683" s="57" t="s">
        <v>22</v>
      </c>
      <c r="J683" s="130" t="s">
        <v>23</v>
      </c>
      <c r="K683" s="130" t="s">
        <v>24</v>
      </c>
      <c r="L683" s="6" t="s">
        <v>157</v>
      </c>
      <c r="M683" s="256">
        <v>28</v>
      </c>
      <c r="N683" s="256">
        <v>69</v>
      </c>
      <c r="O683" s="256">
        <v>3</v>
      </c>
      <c r="P683" s="257">
        <v>2</v>
      </c>
      <c r="Q683" s="96">
        <v>92</v>
      </c>
      <c r="R683" s="98">
        <v>0.5</v>
      </c>
      <c r="S683" s="94">
        <f>((Table3.110[[#This Row],[Sample weight, g]]*'2.1. DM'!Q93)/100)*1000</f>
        <v>463.93942423030779</v>
      </c>
      <c r="T683" s="94">
        <f>'3.2 Digest'!W683</f>
        <v>160.03942423030787</v>
      </c>
      <c r="U683" s="117">
        <v>0.34513888888888888</v>
      </c>
      <c r="V683" s="155">
        <v>42.5</v>
      </c>
      <c r="W683" s="117">
        <v>0.69236111111111109</v>
      </c>
      <c r="X683" s="97">
        <v>56</v>
      </c>
      <c r="Y683" s="97">
        <v>10.5</v>
      </c>
      <c r="Z683" s="155">
        <v>40</v>
      </c>
      <c r="AA683" s="117">
        <v>0.37430555555555556</v>
      </c>
      <c r="AB683" s="155">
        <v>52.5</v>
      </c>
      <c r="AC683" s="155">
        <v>13.9</v>
      </c>
      <c r="AD683" s="91" t="s">
        <v>578</v>
      </c>
      <c r="AE683" s="94">
        <f>Table3.110[[#This Row],[Gas 8h, ml]]-Table3.110[[#This Row],[Gas 0h, ml]]</f>
        <v>13.5</v>
      </c>
      <c r="AF683" s="94">
        <f>Table3.110[[#This Row],[Gas 24h, ml]]-Table3.110[[#This Row],[V8 Push back, ml]]</f>
        <v>12.5</v>
      </c>
      <c r="AG683" s="94">
        <f>Table3.110[[#This Row],[GP 8h, ml]]-(AVERAGE(AE$479,AE$480,AE$660,AE$661,AE$662,AE$663))*AG$8</f>
        <v>10.107474101643646</v>
      </c>
      <c r="AH683" s="94">
        <f>Table3.110[[#This Row],[GP 8-24h, ml]]-(AVERAGE(AF$479,AF$480,AF$660,AF$661,AF$662,AF$663))*AG$8</f>
        <v>8.1855920640468121</v>
      </c>
      <c r="AI683" s="94">
        <f>Table3.110[[#This Row],[Net gas 8-24h, ml]]+Table3.110[[#This Row],[Net gas 8h, ml]]</f>
        <v>18.293066165690458</v>
      </c>
      <c r="AJ683" s="94">
        <f>Table3.110[[#This Row],[Net gas 8h, ml]]*Table3.110[[#This Row],[CH4 8h %]]%</f>
        <v>1.0612847806725829</v>
      </c>
      <c r="AK683" s="94">
        <f>Table3.110[[#This Row],[Net gas 8-24h, ml]]*Table3.110[[#This Row],[CH4 24h, %]]%</f>
        <v>1.137797296902507</v>
      </c>
      <c r="AL683" s="94">
        <f>Table3.110[[#This Row],[CH4 8-24h, ml]]+Table3.110[[#This Row],[CH4 8h, ml]]</f>
        <v>2.1990820775750901</v>
      </c>
      <c r="AM683" s="94">
        <f>(Table3.110[[#This Row],[Net gas 24h, ml]]/Table3.110[[#This Row],[DM Incubated, mg]])*1000</f>
        <v>39.429859180515464</v>
      </c>
      <c r="AN683" s="94">
        <f>'3.2 Digest'!X683</f>
        <v>34.495758685698902</v>
      </c>
      <c r="AO683" s="94">
        <f>Table3.110[[#This Row],[Digested feed, mg]]/Table3.110[[#This Row],[Net gas 24h, ml]]</f>
        <v>8.7486385705240419</v>
      </c>
      <c r="AP683" s="94">
        <f>Table3.110[[#This Row],[CH4 8h, ml]]/Table3.110[[#This Row],[Net gas 8h, ml]]%</f>
        <v>10.500000000000002</v>
      </c>
      <c r="AQ683" s="94">
        <f>Table3.110[[#This Row],[CH4 24h, ml]]/Table3.110[[#This Row],[Net gas 24h, ml]]%</f>
        <v>12.021396837778767</v>
      </c>
      <c r="AR683" s="94">
        <f>Table3.110[[#This Row],[CH4 24h, ml]]/Table3.110[[#This Row],[DM Incubated, mg]]*1000</f>
        <v>4.7400198446671062</v>
      </c>
      <c r="AS683" s="94">
        <f>Table3.110[[#This Row],[CH4 24h, ml]]/Table3.110[[#This Row],[Digested feed, mg]]*1000</f>
        <v>13.740877212920099</v>
      </c>
      <c r="AT683" s="94">
        <f>Table3.110[[#This Row],[CH4 24h, ml]]/'3.2 Digest'!AA683</f>
        <v>-9.6682908314685637E-2</v>
      </c>
      <c r="AU683" s="94">
        <f>((Table3.110[[#This Row],[CH4 24h, ml]]/28.9)*16.04)/Table3.110[[#This Row],[DM Incubated, mg]]*1000</f>
        <v>2.630793021053992</v>
      </c>
      <c r="AV683" s="94">
        <f>((Table3.110[[#This Row],[CH4 24h, ml]]/28.9)*16.04)/Table3.110[[#This Row],[Digested feed, mg]]*1000</f>
        <v>7.6264245846103238</v>
      </c>
    </row>
    <row r="684" spans="2:48" s="89" customFormat="1" x14ac:dyDescent="0.35">
      <c r="B684" s="90">
        <f t="shared" si="10"/>
        <v>674</v>
      </c>
      <c r="C684" s="140">
        <v>46076</v>
      </c>
      <c r="D684" s="92" t="s">
        <v>16</v>
      </c>
      <c r="E684" s="6" t="s">
        <v>163</v>
      </c>
      <c r="F684" s="242" t="s">
        <v>129</v>
      </c>
      <c r="G684" s="242" t="s">
        <v>164</v>
      </c>
      <c r="H684" s="6" t="str">
        <f>'[2]1. Information samples'!$K$25</f>
        <v>Erythrina fusca</v>
      </c>
      <c r="I684" s="57" t="s">
        <v>22</v>
      </c>
      <c r="J684" s="130" t="s">
        <v>23</v>
      </c>
      <c r="K684" s="130" t="s">
        <v>24</v>
      </c>
      <c r="L684" s="6" t="s">
        <v>162</v>
      </c>
      <c r="M684" s="256">
        <v>28</v>
      </c>
      <c r="N684" s="256">
        <v>69</v>
      </c>
      <c r="O684" s="256">
        <v>3</v>
      </c>
      <c r="P684" s="257">
        <v>1</v>
      </c>
      <c r="Q684" s="96">
        <v>93</v>
      </c>
      <c r="R684" s="98">
        <v>0.50009999999999999</v>
      </c>
      <c r="S684" s="94">
        <f>((Table3.110[[#This Row],[Sample weight, g]]*'2.1. DM'!Q95)/100)*1000</f>
        <v>466.2771661738268</v>
      </c>
      <c r="T684" s="94">
        <f>'3.2 Digest'!W684</f>
        <v>156.7771661738268</v>
      </c>
      <c r="U684" s="117">
        <v>0.34583333333333333</v>
      </c>
      <c r="V684" s="155">
        <v>41</v>
      </c>
      <c r="W684" s="117">
        <v>0.69236111111111109</v>
      </c>
      <c r="X684" s="97">
        <v>60.5</v>
      </c>
      <c r="Y684" s="97">
        <v>13.8</v>
      </c>
      <c r="Z684" s="155">
        <v>40</v>
      </c>
      <c r="AA684" s="117">
        <v>0.375</v>
      </c>
      <c r="AB684" s="155">
        <v>69.5</v>
      </c>
      <c r="AC684" s="155">
        <v>15.5</v>
      </c>
      <c r="AD684" s="96"/>
      <c r="AE684" s="94">
        <f>Table3.110[[#This Row],[Gas 8h, ml]]-Table3.110[[#This Row],[Gas 0h, ml]]</f>
        <v>19.5</v>
      </c>
      <c r="AF684" s="94">
        <f>Table3.110[[#This Row],[Gas 24h, ml]]-Table3.110[[#This Row],[V8 Push back, ml]]</f>
        <v>29.5</v>
      </c>
      <c r="AG684" s="94">
        <f>Table3.110[[#This Row],[GP 8h, ml]]-(AVERAGE(AE$479,AE$480,AE$660,AE$661,AE$662,AE$663))*AG$8</f>
        <v>16.107474101643646</v>
      </c>
      <c r="AH684" s="94">
        <f>Table3.110[[#This Row],[GP 8-24h, ml]]-(AVERAGE(AF$479,AF$480,AF$660,AF$661,AF$662,AF$663))*AG$8</f>
        <v>25.185592064046812</v>
      </c>
      <c r="AI684" s="94">
        <f>Table3.110[[#This Row],[Net gas 8-24h, ml]]+Table3.110[[#This Row],[Net gas 8h, ml]]</f>
        <v>41.293066165690462</v>
      </c>
      <c r="AJ684" s="94">
        <f>Table3.110[[#This Row],[Net gas 8h, ml]]*Table3.110[[#This Row],[CH4 8h %]]%</f>
        <v>2.2228314260268234</v>
      </c>
      <c r="AK684" s="94">
        <f>Table3.110[[#This Row],[Net gas 8-24h, ml]]*Table3.110[[#This Row],[CH4 24h, %]]%</f>
        <v>3.9037667699272558</v>
      </c>
      <c r="AL684" s="94">
        <f>Table3.110[[#This Row],[CH4 8-24h, ml]]+Table3.110[[#This Row],[CH4 8h, ml]]</f>
        <v>6.1265981959540792</v>
      </c>
      <c r="AM684" s="94">
        <f>(Table3.110[[#This Row],[Net gas 24h, ml]]/Table3.110[[#This Row],[DM Incubated, mg]])*1000</f>
        <v>88.559057061560083</v>
      </c>
      <c r="AN684" s="94">
        <f>'3.2 Digest'!X684</f>
        <v>33.623170411776229</v>
      </c>
      <c r="AO684" s="94">
        <f>Table3.110[[#This Row],[Digested feed, mg]]/Table3.110[[#This Row],[Net gas 24h, ml]]</f>
        <v>3.7966947173346415</v>
      </c>
      <c r="AP684" s="94">
        <f>Table3.110[[#This Row],[CH4 8h, ml]]/Table3.110[[#This Row],[Net gas 8h, ml]]%</f>
        <v>13.800000000000002</v>
      </c>
      <c r="AQ684" s="94">
        <f>Table3.110[[#This Row],[CH4 24h, ml]]/Table3.110[[#This Row],[Net gas 24h, ml]]%</f>
        <v>14.836869152246535</v>
      </c>
      <c r="AR684" s="94">
        <f>Table3.110[[#This Row],[CH4 24h, ml]]/Table3.110[[#This Row],[DM Incubated, mg]]*1000</f>
        <v>13.139391418687016</v>
      </c>
      <c r="AS684" s="94">
        <f>Table3.110[[#This Row],[CH4 24h, ml]]/Table3.110[[#This Row],[Digested feed, mg]]*1000</f>
        <v>39.078383322487213</v>
      </c>
      <c r="AT684" s="94">
        <f>Table3.110[[#This Row],[CH4 24h, ml]]/'3.2 Digest'!AA684</f>
        <v>1.9845956109763354</v>
      </c>
      <c r="AU684" s="94">
        <f>((Table3.110[[#This Row],[CH4 24h, ml]]/28.9)*16.04)/Table3.110[[#This Row],[DM Incubated, mg]]*1000</f>
        <v>7.2925895624823438</v>
      </c>
      <c r="AV684" s="94">
        <f>((Table3.110[[#This Row],[CH4 24h, ml]]/28.9)*16.04)/Table3.110[[#This Row],[Digested feed, mg]]*1000</f>
        <v>21.689178840577675</v>
      </c>
    </row>
    <row r="685" spans="2:48" s="89" customFormat="1" x14ac:dyDescent="0.35">
      <c r="B685" s="90">
        <f t="shared" si="10"/>
        <v>675</v>
      </c>
      <c r="C685" s="140">
        <v>46076</v>
      </c>
      <c r="D685" s="92" t="s">
        <v>16</v>
      </c>
      <c r="E685" s="6" t="s">
        <v>163</v>
      </c>
      <c r="F685" s="242" t="s">
        <v>129</v>
      </c>
      <c r="G685" s="242" t="s">
        <v>164</v>
      </c>
      <c r="H685" s="6" t="str">
        <f>'[2]1. Information samples'!$K$25</f>
        <v>Erythrina fusca</v>
      </c>
      <c r="I685" s="57" t="s">
        <v>22</v>
      </c>
      <c r="J685" s="130" t="s">
        <v>23</v>
      </c>
      <c r="K685" s="130" t="s">
        <v>24</v>
      </c>
      <c r="L685" s="6" t="s">
        <v>162</v>
      </c>
      <c r="M685" s="256">
        <v>28</v>
      </c>
      <c r="N685" s="256">
        <v>69</v>
      </c>
      <c r="O685" s="256">
        <v>3</v>
      </c>
      <c r="P685" s="257">
        <v>2</v>
      </c>
      <c r="Q685" s="96">
        <v>94</v>
      </c>
      <c r="R685" s="98">
        <v>0.5</v>
      </c>
      <c r="S685" s="94">
        <f>((Table3.110[[#This Row],[Sample weight, g]]*'2.1. DM'!Q95)/100)*1000</f>
        <v>466.18392938794926</v>
      </c>
      <c r="T685" s="94">
        <f>'3.2 Digest'!W685</f>
        <v>146.38392938794919</v>
      </c>
      <c r="U685" s="153">
        <v>0.34583333333333333</v>
      </c>
      <c r="V685" s="154">
        <v>41</v>
      </c>
      <c r="W685" s="153">
        <v>0.69305555555555554</v>
      </c>
      <c r="X685" s="95">
        <v>66.5</v>
      </c>
      <c r="Y685" s="95">
        <v>13.9</v>
      </c>
      <c r="Z685" s="154">
        <v>40</v>
      </c>
      <c r="AA685" s="153">
        <v>0.375</v>
      </c>
      <c r="AB685" s="154">
        <v>69</v>
      </c>
      <c r="AC685" s="154">
        <v>15.8</v>
      </c>
      <c r="AD685" s="91"/>
      <c r="AE685" s="94">
        <f>Table3.110[[#This Row],[Gas 8h, ml]]-Table3.110[[#This Row],[Gas 0h, ml]]</f>
        <v>25.5</v>
      </c>
      <c r="AF685" s="94">
        <f>Table3.110[[#This Row],[Gas 24h, ml]]-Table3.110[[#This Row],[V8 Push back, ml]]</f>
        <v>29</v>
      </c>
      <c r="AG685" s="94">
        <f>Table3.110[[#This Row],[GP 8h, ml]]-(AVERAGE(AE$479,AE$480,AE$660,AE$661,AE$662,AE$663))*AG$8</f>
        <v>22.107474101643646</v>
      </c>
      <c r="AH685" s="94">
        <f>Table3.110[[#This Row],[GP 8-24h, ml]]-(AVERAGE(AF$479,AF$480,AF$660,AF$661,AF$662,AF$663))*AG$8</f>
        <v>24.685592064046812</v>
      </c>
      <c r="AI685" s="94">
        <f>Table3.110[[#This Row],[Net gas 8-24h, ml]]+Table3.110[[#This Row],[Net gas 8h, ml]]</f>
        <v>46.793066165690462</v>
      </c>
      <c r="AJ685" s="94">
        <f>Table3.110[[#This Row],[Net gas 8h, ml]]*Table3.110[[#This Row],[CH4 8h %]]%</f>
        <v>3.072938900128467</v>
      </c>
      <c r="AK685" s="94">
        <f>Table3.110[[#This Row],[Net gas 8-24h, ml]]*Table3.110[[#This Row],[CH4 24h, %]]%</f>
        <v>3.9003235461193961</v>
      </c>
      <c r="AL685" s="94">
        <f>Table3.110[[#This Row],[CH4 8-24h, ml]]+Table3.110[[#This Row],[CH4 8h, ml]]</f>
        <v>6.9732624462478636</v>
      </c>
      <c r="AM685" s="94">
        <f>(Table3.110[[#This Row],[Net gas 24h, ml]]/Table3.110[[#This Row],[DM Incubated, mg]])*1000</f>
        <v>100.37468736239978</v>
      </c>
      <c r="AN685" s="94">
        <f>'3.2 Digest'!X685</f>
        <v>31.400466674202171</v>
      </c>
      <c r="AO685" s="94">
        <f>Table3.110[[#This Row],[Digested feed, mg]]/Table3.110[[#This Row],[Net gas 24h, ml]]</f>
        <v>3.1283252281356289</v>
      </c>
      <c r="AP685" s="94">
        <f>Table3.110[[#This Row],[CH4 8h, ml]]/Table3.110[[#This Row],[Net gas 8h, ml]]%</f>
        <v>13.900000000000002</v>
      </c>
      <c r="AQ685" s="94">
        <f>Table3.110[[#This Row],[CH4 24h, ml]]/Table3.110[[#This Row],[Net gas 24h, ml]]%</f>
        <v>14.902341345950926</v>
      </c>
      <c r="AR685" s="94">
        <f>Table3.110[[#This Row],[CH4 24h, ml]]/Table3.110[[#This Row],[DM Incubated, mg]]*1000</f>
        <v>14.958178535675881</v>
      </c>
      <c r="AS685" s="94">
        <f>Table3.110[[#This Row],[CH4 24h, ml]]/Table3.110[[#This Row],[Digested feed, mg]]*1000</f>
        <v>47.63680327071426</v>
      </c>
      <c r="AT685" s="94">
        <f>Table3.110[[#This Row],[CH4 24h, ml]]/'3.2 Digest'!AA685</f>
        <v>-44.089014292878787</v>
      </c>
      <c r="AU685" s="94">
        <f>((Table3.110[[#This Row],[CH4 24h, ml]]/28.9)*16.04)/Table3.110[[#This Row],[DM Incubated, mg]]*1000</f>
        <v>8.3020478793163015</v>
      </c>
      <c r="AV685" s="94">
        <f>((Table3.110[[#This Row],[CH4 24h, ml]]/28.9)*16.04)/Table3.110[[#This Row],[Digested feed, mg]]*1000</f>
        <v>26.439249981392965</v>
      </c>
    </row>
    <row r="686" spans="2:48" s="89" customFormat="1" x14ac:dyDescent="0.35">
      <c r="B686" s="90">
        <f t="shared" si="10"/>
        <v>676</v>
      </c>
      <c r="C686" s="140">
        <v>46076</v>
      </c>
      <c r="D686" s="92" t="s">
        <v>16</v>
      </c>
      <c r="E686" s="6" t="s">
        <v>167</v>
      </c>
      <c r="F686" s="242" t="s">
        <v>88</v>
      </c>
      <c r="G686" s="242" t="s">
        <v>168</v>
      </c>
      <c r="H686" s="6" t="str">
        <f>'[2]1. Information samples'!$K$26</f>
        <v>Acacia farnesiana</v>
      </c>
      <c r="I686" s="57" t="s">
        <v>22</v>
      </c>
      <c r="J686" s="130" t="s">
        <v>23</v>
      </c>
      <c r="K686" s="130" t="s">
        <v>24</v>
      </c>
      <c r="L686" s="6" t="s">
        <v>166</v>
      </c>
      <c r="M686" s="256">
        <v>28</v>
      </c>
      <c r="N686" s="256">
        <v>69</v>
      </c>
      <c r="O686" s="256">
        <v>3</v>
      </c>
      <c r="P686" s="257">
        <v>1</v>
      </c>
      <c r="Q686" s="96">
        <v>95</v>
      </c>
      <c r="R686" s="98">
        <v>0.50009999999999999</v>
      </c>
      <c r="S686" s="94">
        <f>((Table3.110[[#This Row],[Sample weight, g]]*'2.1. DM'!Q97)/100)*1000</f>
        <v>473.17368709287211</v>
      </c>
      <c r="T686" s="94">
        <f>'3.2 Digest'!W686</f>
        <v>222.57368709287218</v>
      </c>
      <c r="U686" s="153">
        <v>0.34583333333333333</v>
      </c>
      <c r="V686" s="154">
        <v>40.5</v>
      </c>
      <c r="W686" s="153">
        <v>0.69374999999999998</v>
      </c>
      <c r="X686" s="95">
        <v>77.5</v>
      </c>
      <c r="Y686" s="95">
        <v>13.1</v>
      </c>
      <c r="Z686" s="154">
        <v>40</v>
      </c>
      <c r="AA686" s="153">
        <v>0.37569444444444444</v>
      </c>
      <c r="AB686" s="154">
        <v>73</v>
      </c>
      <c r="AC686" s="154">
        <v>18</v>
      </c>
      <c r="AD686" s="91"/>
      <c r="AE686" s="94">
        <f>Table3.110[[#This Row],[Gas 8h, ml]]-Table3.110[[#This Row],[Gas 0h, ml]]</f>
        <v>37</v>
      </c>
      <c r="AF686" s="94">
        <f>Table3.110[[#This Row],[Gas 24h, ml]]-Table3.110[[#This Row],[V8 Push back, ml]]</f>
        <v>33</v>
      </c>
      <c r="AG686" s="94">
        <f>Table3.110[[#This Row],[GP 8h, ml]]-(AVERAGE(AE$479,AE$480,AE$660,AE$661,AE$662,AE$663))*AG$8</f>
        <v>33.607474101643646</v>
      </c>
      <c r="AH686" s="94">
        <f>Table3.110[[#This Row],[GP 8-24h, ml]]-(AVERAGE(AF$479,AF$480,AF$660,AF$661,AF$662,AF$663))*AG$8</f>
        <v>28.685592064046812</v>
      </c>
      <c r="AI686" s="94">
        <f>Table3.110[[#This Row],[Net gas 8-24h, ml]]+Table3.110[[#This Row],[Net gas 8h, ml]]</f>
        <v>62.293066165690462</v>
      </c>
      <c r="AJ686" s="94">
        <f>Table3.110[[#This Row],[Net gas 8h, ml]]*Table3.110[[#This Row],[CH4 8h %]]%</f>
        <v>4.4025791073153178</v>
      </c>
      <c r="AK686" s="94">
        <f>Table3.110[[#This Row],[Net gas 8-24h, ml]]*Table3.110[[#This Row],[CH4 24h, %]]%</f>
        <v>5.1634065715284256</v>
      </c>
      <c r="AL686" s="94">
        <f>Table3.110[[#This Row],[CH4 8-24h, ml]]+Table3.110[[#This Row],[CH4 8h, ml]]</f>
        <v>9.5659856788437434</v>
      </c>
      <c r="AM686" s="94">
        <f>(Table3.110[[#This Row],[Net gas 24h, ml]]/Table3.110[[#This Row],[DM Incubated, mg]])*1000</f>
        <v>131.64947220208359</v>
      </c>
      <c r="AN686" s="94">
        <f>'3.2 Digest'!X686</f>
        <v>47.038475123234512</v>
      </c>
      <c r="AO686" s="94">
        <f>Table3.110[[#This Row],[Digested feed, mg]]/Table3.110[[#This Row],[Net gas 24h, ml]]</f>
        <v>3.5730090167797917</v>
      </c>
      <c r="AP686" s="94">
        <f>Table3.110[[#This Row],[CH4 8h, ml]]/Table3.110[[#This Row],[Net gas 8h, ml]]%</f>
        <v>13.1</v>
      </c>
      <c r="AQ686" s="94">
        <f>Table3.110[[#This Row],[CH4 24h, ml]]/Table3.110[[#This Row],[Net gas 24h, ml]]%</f>
        <v>15.356421296392151</v>
      </c>
      <c r="AR686" s="94">
        <f>Table3.110[[#This Row],[CH4 24h, ml]]/Table3.110[[#This Row],[DM Incubated, mg]]*1000</f>
        <v>20.216647585828625</v>
      </c>
      <c r="AS686" s="94">
        <f>Table3.110[[#This Row],[CH4 24h, ml]]/Table3.110[[#This Row],[Digested feed, mg]]*1000</f>
        <v>42.978960378421526</v>
      </c>
      <c r="AT686" s="94">
        <f>Table3.110[[#This Row],[CH4 24h, ml]]/'3.2 Digest'!AA686</f>
        <v>0.60833163182702044</v>
      </c>
      <c r="AU686" s="94">
        <f>((Table3.110[[#This Row],[CH4 24h, ml]]/28.9)*16.04)/Table3.110[[#This Row],[DM Incubated, mg]]*1000</f>
        <v>11.220589179124262</v>
      </c>
      <c r="AV686" s="94">
        <f>((Table3.110[[#This Row],[CH4 24h, ml]]/28.9)*16.04)/Table3.110[[#This Row],[Digested feed, mg]]*1000</f>
        <v>23.854066590653328</v>
      </c>
    </row>
    <row r="687" spans="2:48" s="89" customFormat="1" x14ac:dyDescent="0.35">
      <c r="B687" s="90">
        <f t="shared" si="10"/>
        <v>677</v>
      </c>
      <c r="C687" s="140">
        <v>46076</v>
      </c>
      <c r="D687" s="92" t="s">
        <v>16</v>
      </c>
      <c r="E687" s="6" t="s">
        <v>167</v>
      </c>
      <c r="F687" s="242" t="s">
        <v>88</v>
      </c>
      <c r="G687" s="242" t="s">
        <v>168</v>
      </c>
      <c r="H687" s="6" t="str">
        <f>'[2]1. Information samples'!$K$26</f>
        <v>Acacia farnesiana</v>
      </c>
      <c r="I687" s="57" t="s">
        <v>22</v>
      </c>
      <c r="J687" s="130" t="s">
        <v>23</v>
      </c>
      <c r="K687" s="130" t="s">
        <v>24</v>
      </c>
      <c r="L687" s="6" t="s">
        <v>166</v>
      </c>
      <c r="M687" s="256">
        <v>28</v>
      </c>
      <c r="N687" s="256">
        <v>69</v>
      </c>
      <c r="O687" s="256">
        <v>3</v>
      </c>
      <c r="P687" s="257">
        <v>2</v>
      </c>
      <c r="Q687" s="96">
        <v>96</v>
      </c>
      <c r="R687" s="98">
        <v>0.5</v>
      </c>
      <c r="S687" s="94">
        <f>((Table3.110[[#This Row],[Sample weight, g]]*'2.1. DM'!Q97)/100)*1000</f>
        <v>473.07907127861637</v>
      </c>
      <c r="T687" s="94">
        <f>'3.2 Digest'!W687</f>
        <v>186.77907127861636</v>
      </c>
      <c r="U687" s="117">
        <v>0.34583333333333333</v>
      </c>
      <c r="V687" s="155">
        <v>41</v>
      </c>
      <c r="W687" s="117">
        <v>0.69374999999999998</v>
      </c>
      <c r="X687" s="97">
        <v>77.5</v>
      </c>
      <c r="Y687" s="97">
        <v>13.6</v>
      </c>
      <c r="Z687" s="155">
        <v>40</v>
      </c>
      <c r="AA687" s="117">
        <v>0.37638888888888888</v>
      </c>
      <c r="AB687" s="155">
        <v>74</v>
      </c>
      <c r="AC687" s="155">
        <v>18.399999999999999</v>
      </c>
      <c r="AD687" s="96"/>
      <c r="AE687" s="94">
        <f>Table3.110[[#This Row],[Gas 8h, ml]]-Table3.110[[#This Row],[Gas 0h, ml]]</f>
        <v>36.5</v>
      </c>
      <c r="AF687" s="94">
        <f>Table3.110[[#This Row],[Gas 24h, ml]]-Table3.110[[#This Row],[V8 Push back, ml]]</f>
        <v>34</v>
      </c>
      <c r="AG687" s="94">
        <f>Table3.110[[#This Row],[GP 8h, ml]]-(AVERAGE(AE$479,AE$480,AE$660,AE$661,AE$662,AE$663))*AG$8</f>
        <v>33.107474101643646</v>
      </c>
      <c r="AH687" s="94">
        <f>Table3.110[[#This Row],[GP 8-24h, ml]]-(AVERAGE(AF$479,AF$480,AF$660,AF$661,AF$662,AF$663))*AG$8</f>
        <v>29.685592064046812</v>
      </c>
      <c r="AI687" s="94">
        <f>Table3.110[[#This Row],[Net gas 8-24h, ml]]+Table3.110[[#This Row],[Net gas 8h, ml]]</f>
        <v>62.793066165690462</v>
      </c>
      <c r="AJ687" s="94">
        <f>Table3.110[[#This Row],[Net gas 8h, ml]]*Table3.110[[#This Row],[CH4 8h %]]%</f>
        <v>4.502616477823536</v>
      </c>
      <c r="AK687" s="94">
        <f>Table3.110[[#This Row],[Net gas 8-24h, ml]]*Table3.110[[#This Row],[CH4 24h, %]]%</f>
        <v>5.4621489397846137</v>
      </c>
      <c r="AL687" s="94">
        <f>Table3.110[[#This Row],[CH4 8-24h, ml]]+Table3.110[[#This Row],[CH4 8h, ml]]</f>
        <v>9.9647654176081488</v>
      </c>
      <c r="AM687" s="94">
        <f>(Table3.110[[#This Row],[Net gas 24h, ml]]/Table3.110[[#This Row],[DM Incubated, mg]])*1000</f>
        <v>132.73270786631133</v>
      </c>
      <c r="AN687" s="94">
        <f>'3.2 Digest'!X687</f>
        <v>39.481575621977626</v>
      </c>
      <c r="AO687" s="94">
        <f>Table3.110[[#This Row],[Digested feed, mg]]/Table3.110[[#This Row],[Net gas 24h, ml]]</f>
        <v>2.9745174536590899</v>
      </c>
      <c r="AP687" s="94">
        <f>Table3.110[[#This Row],[CH4 8h, ml]]/Table3.110[[#This Row],[Net gas 8h, ml]]%</f>
        <v>13.6</v>
      </c>
      <c r="AQ687" s="94">
        <f>Table3.110[[#This Row],[CH4 24h, ml]]/Table3.110[[#This Row],[Net gas 24h, ml]]%</f>
        <v>15.869212997680949</v>
      </c>
      <c r="AR687" s="94">
        <f>Table3.110[[#This Row],[CH4 24h, ml]]/Table3.110[[#This Row],[DM Incubated, mg]]*1000</f>
        <v>21.063636128894561</v>
      </c>
      <c r="AS687" s="94">
        <f>Table3.110[[#This Row],[CH4 24h, ml]]/Table3.110[[#This Row],[Digested feed, mg]]*1000</f>
        <v>53.350545911773025</v>
      </c>
      <c r="AT687" s="94">
        <f>Table3.110[[#This Row],[CH4 24h, ml]]/'3.2 Digest'!AA687</f>
        <v>2.693156160583551</v>
      </c>
      <c r="AU687" s="94">
        <f>((Table3.110[[#This Row],[CH4 24h, ml]]/28.9)*16.04)/Table3.110[[#This Row],[DM Incubated, mg]]*1000</f>
        <v>11.690682474306877</v>
      </c>
      <c r="AV687" s="94">
        <f>((Table3.110[[#This Row],[CH4 24h, ml]]/28.9)*16.04)/Table3.110[[#This Row],[Digested feed, mg]]*1000</f>
        <v>29.610476000859492</v>
      </c>
    </row>
    <row r="688" spans="2:48" s="89" customFormat="1" x14ac:dyDescent="0.35">
      <c r="B688" s="90">
        <f t="shared" si="10"/>
        <v>678</v>
      </c>
      <c r="C688" s="140">
        <v>46076</v>
      </c>
      <c r="D688" s="92" t="s">
        <v>16</v>
      </c>
      <c r="E688" s="6" t="s">
        <v>171</v>
      </c>
      <c r="F688" s="242" t="s">
        <v>88</v>
      </c>
      <c r="G688" s="242" t="s">
        <v>147</v>
      </c>
      <c r="H688" s="6" t="str">
        <f>'[2]1. Information samples'!$K$27</f>
        <v>Acacia angustissima</v>
      </c>
      <c r="I688" s="57" t="s">
        <v>22</v>
      </c>
      <c r="J688" s="130" t="s">
        <v>23</v>
      </c>
      <c r="K688" s="130" t="s">
        <v>24</v>
      </c>
      <c r="L688" s="6" t="s">
        <v>170</v>
      </c>
      <c r="M688" s="256">
        <v>28</v>
      </c>
      <c r="N688" s="256">
        <v>69</v>
      </c>
      <c r="O688" s="256">
        <v>3</v>
      </c>
      <c r="P688" s="257">
        <v>1</v>
      </c>
      <c r="Q688" s="96">
        <v>97</v>
      </c>
      <c r="R688" s="98">
        <v>0.50009999999999999</v>
      </c>
      <c r="S688" s="94">
        <f>((Table3.110[[#This Row],[Sample weight, g]]*'2.1. DM'!Q99)/100)*1000</f>
        <v>474.0288520313469</v>
      </c>
      <c r="T688" s="94">
        <f>'3.2 Digest'!W688</f>
        <v>200.0288520313469</v>
      </c>
      <c r="U688" s="117">
        <v>0.34652777777777777</v>
      </c>
      <c r="V688" s="155">
        <v>42</v>
      </c>
      <c r="W688" s="117">
        <v>0.69444444444444442</v>
      </c>
      <c r="X688" s="97">
        <v>62</v>
      </c>
      <c r="Y688" s="97">
        <v>10.3</v>
      </c>
      <c r="Z688" s="155">
        <v>40</v>
      </c>
      <c r="AA688" s="117">
        <v>0.37708333333333333</v>
      </c>
      <c r="AB688" s="155">
        <v>58.5</v>
      </c>
      <c r="AC688" s="155">
        <v>11.7</v>
      </c>
      <c r="AD688" s="96"/>
      <c r="AE688" s="94">
        <f>Table3.110[[#This Row],[Gas 8h, ml]]-Table3.110[[#This Row],[Gas 0h, ml]]</f>
        <v>20</v>
      </c>
      <c r="AF688" s="94">
        <f>Table3.110[[#This Row],[Gas 24h, ml]]-Table3.110[[#This Row],[V8 Push back, ml]]</f>
        <v>18.5</v>
      </c>
      <c r="AG688" s="94">
        <f>Table3.110[[#This Row],[GP 8h, ml]]-(AVERAGE(AE$479,AE$480,AE$660,AE$661,AE$662,AE$663))*AG$8</f>
        <v>16.607474101643646</v>
      </c>
      <c r="AH688" s="94">
        <f>Table3.110[[#This Row],[GP 8-24h, ml]]-(AVERAGE(AF$479,AF$480,AF$660,AF$661,AF$662,AF$663))*AG$8</f>
        <v>14.185592064046812</v>
      </c>
      <c r="AI688" s="94">
        <f>Table3.110[[#This Row],[Net gas 8-24h, ml]]+Table3.110[[#This Row],[Net gas 8h, ml]]</f>
        <v>30.793066165690458</v>
      </c>
      <c r="AJ688" s="94">
        <f>Table3.110[[#This Row],[Net gas 8h, ml]]*Table3.110[[#This Row],[CH4 8h %]]%</f>
        <v>1.7105698324692957</v>
      </c>
      <c r="AK688" s="94">
        <f>Table3.110[[#This Row],[Net gas 8-24h, ml]]*Table3.110[[#This Row],[CH4 24h, %]]%</f>
        <v>1.6597142714934769</v>
      </c>
      <c r="AL688" s="94">
        <f>Table3.110[[#This Row],[CH4 8-24h, ml]]+Table3.110[[#This Row],[CH4 8h, ml]]</f>
        <v>3.3702841039627724</v>
      </c>
      <c r="AM688" s="94">
        <f>(Table3.110[[#This Row],[Net gas 24h, ml]]/Table3.110[[#This Row],[DM Incubated, mg]])*1000</f>
        <v>64.960320524232884</v>
      </c>
      <c r="AN688" s="94">
        <f>'3.2 Digest'!X688</f>
        <v>42.197611215892664</v>
      </c>
      <c r="AO688" s="94">
        <f>Table3.110[[#This Row],[Digested feed, mg]]/Table3.110[[#This Row],[Net gas 24h, ml]]</f>
        <v>6.4959056352179196</v>
      </c>
      <c r="AP688" s="94">
        <f>Table3.110[[#This Row],[CH4 8h, ml]]/Table3.110[[#This Row],[Net gas 8h, ml]]%</f>
        <v>10.3</v>
      </c>
      <c r="AQ688" s="94">
        <f>Table3.110[[#This Row],[CH4 24h, ml]]/Table3.110[[#This Row],[Net gas 24h, ml]]%</f>
        <v>10.944944832151638</v>
      </c>
      <c r="AR688" s="94">
        <f>Table3.110[[#This Row],[CH4 24h, ml]]/Table3.110[[#This Row],[DM Incubated, mg]]*1000</f>
        <v>7.1098712441661673</v>
      </c>
      <c r="AS688" s="94">
        <f>Table3.110[[#This Row],[CH4 24h, ml]]/Table3.110[[#This Row],[Digested feed, mg]]*1000</f>
        <v>16.848989881892681</v>
      </c>
      <c r="AT688" s="94">
        <f>Table3.110[[#This Row],[CH4 24h, ml]]/'3.2 Digest'!AA688</f>
        <v>-0.32474567177526897</v>
      </c>
      <c r="AU688" s="94">
        <f>((Table3.110[[#This Row],[CH4 24h, ml]]/28.9)*16.04)/Table3.110[[#This Row],[DM Incubated, mg]]*1000</f>
        <v>3.946101548665236</v>
      </c>
      <c r="AV688" s="94">
        <f>((Table3.110[[#This Row],[CH4 24h, ml]]/28.9)*16.04)/Table3.110[[#This Row],[Digested feed, mg]]*1000</f>
        <v>9.3514808894656962</v>
      </c>
    </row>
    <row r="689" spans="2:48" s="89" customFormat="1" x14ac:dyDescent="0.35">
      <c r="B689" s="90">
        <f t="shared" si="10"/>
        <v>679</v>
      </c>
      <c r="C689" s="140">
        <v>46076</v>
      </c>
      <c r="D689" s="92" t="s">
        <v>16</v>
      </c>
      <c r="E689" s="6" t="s">
        <v>171</v>
      </c>
      <c r="F689" s="242" t="s">
        <v>88</v>
      </c>
      <c r="G689" s="242" t="s">
        <v>147</v>
      </c>
      <c r="H689" s="6" t="str">
        <f>'[2]1. Information samples'!$K$27</f>
        <v>Acacia angustissima</v>
      </c>
      <c r="I689" s="57" t="s">
        <v>22</v>
      </c>
      <c r="J689" s="130" t="s">
        <v>23</v>
      </c>
      <c r="K689" s="130" t="s">
        <v>24</v>
      </c>
      <c r="L689" s="6" t="s">
        <v>170</v>
      </c>
      <c r="M689" s="256">
        <v>28</v>
      </c>
      <c r="N689" s="256">
        <v>69</v>
      </c>
      <c r="O689" s="256">
        <v>3</v>
      </c>
      <c r="P689" s="257">
        <v>2</v>
      </c>
      <c r="Q689" s="96">
        <v>98</v>
      </c>
      <c r="R689" s="98">
        <v>0.50009999999999999</v>
      </c>
      <c r="S689" s="94">
        <f>((Table3.110[[#This Row],[Sample weight, g]]*'2.1. DM'!Q99)/100)*1000</f>
        <v>474.0288520313469</v>
      </c>
      <c r="T689" s="94">
        <f>'3.2 Digest'!W689</f>
        <v>186.32885203134697</v>
      </c>
      <c r="U689" s="153">
        <v>0.34652777777777777</v>
      </c>
      <c r="V689" s="154">
        <v>42</v>
      </c>
      <c r="W689" s="153">
        <v>0.69444444444444442</v>
      </c>
      <c r="X689" s="95">
        <v>62</v>
      </c>
      <c r="Y689" s="95">
        <v>10.1</v>
      </c>
      <c r="Z689" s="154">
        <v>40</v>
      </c>
      <c r="AA689" s="153">
        <v>0.37708333333333333</v>
      </c>
      <c r="AB689" s="154">
        <v>60</v>
      </c>
      <c r="AC689" s="154">
        <v>10.9</v>
      </c>
      <c r="AD689" s="91" t="s">
        <v>578</v>
      </c>
      <c r="AE689" s="94">
        <f>Table3.110[[#This Row],[Gas 8h, ml]]-Table3.110[[#This Row],[Gas 0h, ml]]</f>
        <v>20</v>
      </c>
      <c r="AF689" s="94">
        <f>Table3.110[[#This Row],[Gas 24h, ml]]-Table3.110[[#This Row],[V8 Push back, ml]]</f>
        <v>20</v>
      </c>
      <c r="AG689" s="94">
        <f>Table3.110[[#This Row],[GP 8h, ml]]-(AVERAGE(AE$479,AE$480,AE$660,AE$661,AE$662,AE$663))*AG$8</f>
        <v>16.607474101643646</v>
      </c>
      <c r="AH689" s="94">
        <f>Table3.110[[#This Row],[GP 8-24h, ml]]-(AVERAGE(AF$479,AF$480,AF$660,AF$661,AF$662,AF$663))*AG$8</f>
        <v>15.685592064046812</v>
      </c>
      <c r="AI689" s="94">
        <f>Table3.110[[#This Row],[Net gas 8-24h, ml]]+Table3.110[[#This Row],[Net gas 8h, ml]]</f>
        <v>32.293066165690462</v>
      </c>
      <c r="AJ689" s="94">
        <f>Table3.110[[#This Row],[Net gas 8h, ml]]*Table3.110[[#This Row],[CH4 8h %]]%</f>
        <v>1.6773548842660082</v>
      </c>
      <c r="AK689" s="94">
        <f>Table3.110[[#This Row],[Net gas 8-24h, ml]]*Table3.110[[#This Row],[CH4 24h, %]]%</f>
        <v>1.7097295349811026</v>
      </c>
      <c r="AL689" s="94">
        <f>Table3.110[[#This Row],[CH4 8-24h, ml]]+Table3.110[[#This Row],[CH4 8h, ml]]</f>
        <v>3.3870844192471106</v>
      </c>
      <c r="AM689" s="94">
        <f>(Table3.110[[#This Row],[Net gas 24h, ml]]/Table3.110[[#This Row],[DM Incubated, mg]])*1000</f>
        <v>68.124684873727816</v>
      </c>
      <c r="AN689" s="94">
        <f>'3.2 Digest'!X689</f>
        <v>39.307491776687314</v>
      </c>
      <c r="AO689" s="94">
        <f>Table3.110[[#This Row],[Digested feed, mg]]/Table3.110[[#This Row],[Net gas 24h, ml]]</f>
        <v>5.7699337398103969</v>
      </c>
      <c r="AP689" s="94">
        <f>Table3.110[[#This Row],[CH4 8h, ml]]/Table3.110[[#This Row],[Net gas 8h, ml]]%</f>
        <v>10.1</v>
      </c>
      <c r="AQ689" s="94">
        <f>Table3.110[[#This Row],[CH4 24h, ml]]/Table3.110[[#This Row],[Net gas 24h, ml]]%</f>
        <v>10.488581052875352</v>
      </c>
      <c r="AR689" s="94">
        <f>Table3.110[[#This Row],[CH4 24h, ml]]/Table3.110[[#This Row],[DM Incubated, mg]]*1000</f>
        <v>7.1453127899968569</v>
      </c>
      <c r="AS689" s="94">
        <f>Table3.110[[#This Row],[CH4 24h, ml]]/Table3.110[[#This Row],[Digested feed, mg]]*1000</f>
        <v>18.177992202073384</v>
      </c>
      <c r="AT689" s="94">
        <f>Table3.110[[#This Row],[CH4 24h, ml]]/'3.2 Digest'!AA689</f>
        <v>-0.2130625323251141</v>
      </c>
      <c r="AU689" s="94">
        <f>((Table3.110[[#This Row],[CH4 24h, ml]]/28.9)*16.04)/Table3.110[[#This Row],[DM Incubated, mg]]*1000</f>
        <v>3.9657722197768019</v>
      </c>
      <c r="AV689" s="94">
        <f>((Table3.110[[#This Row],[CH4 24h, ml]]/28.9)*16.04)/Table3.110[[#This Row],[Digested feed, mg]]*1000</f>
        <v>10.089100170285711</v>
      </c>
    </row>
    <row r="690" spans="2:48" s="89" customFormat="1" x14ac:dyDescent="0.35">
      <c r="B690" s="90">
        <f t="shared" si="10"/>
        <v>680</v>
      </c>
      <c r="C690" s="140">
        <v>46076</v>
      </c>
      <c r="D690" s="92" t="s">
        <v>16</v>
      </c>
      <c r="E690" s="6" t="s">
        <v>173</v>
      </c>
      <c r="F690" s="242" t="s">
        <v>99</v>
      </c>
      <c r="G690" s="242" t="s">
        <v>100</v>
      </c>
      <c r="H690" s="6" t="str">
        <f>'[2]1. Information samples'!$K$28</f>
        <v>Leucaena leucocephala</v>
      </c>
      <c r="I690" s="57" t="s">
        <v>22</v>
      </c>
      <c r="J690" s="130" t="s">
        <v>23</v>
      </c>
      <c r="K690" s="130" t="s">
        <v>24</v>
      </c>
      <c r="L690" s="6" t="s">
        <v>172</v>
      </c>
      <c r="M690" s="256">
        <v>28</v>
      </c>
      <c r="N690" s="256">
        <v>69</v>
      </c>
      <c r="O690" s="256">
        <v>3</v>
      </c>
      <c r="P690" s="257">
        <v>1</v>
      </c>
      <c r="Q690" s="96">
        <v>99</v>
      </c>
      <c r="R690" s="98">
        <v>0.50019999999999998</v>
      </c>
      <c r="S690" s="94">
        <f>((Table3.110[[#This Row],[Sample weight, g]]*'2.1. DM'!Q101)/100)*1000</f>
        <v>468.72341797460751</v>
      </c>
      <c r="T690" s="94">
        <f>'3.2 Digest'!W690</f>
        <v>243.12341797460761</v>
      </c>
      <c r="U690" s="153">
        <v>0.34652777777777777</v>
      </c>
      <c r="V690" s="154">
        <v>42</v>
      </c>
      <c r="W690" s="153">
        <v>0.69513888888888886</v>
      </c>
      <c r="X690" s="95">
        <v>76</v>
      </c>
      <c r="Y690" s="95">
        <v>11.1</v>
      </c>
      <c r="Z690" s="154">
        <v>40.5</v>
      </c>
      <c r="AA690" s="153">
        <v>0.37847222222222221</v>
      </c>
      <c r="AB690" s="154">
        <v>74</v>
      </c>
      <c r="AC690" s="154">
        <v>14.1</v>
      </c>
      <c r="AD690" s="91"/>
      <c r="AE690" s="94">
        <f>Table3.110[[#This Row],[Gas 8h, ml]]-Table3.110[[#This Row],[Gas 0h, ml]]</f>
        <v>34</v>
      </c>
      <c r="AF690" s="94">
        <f>Table3.110[[#This Row],[Gas 24h, ml]]-Table3.110[[#This Row],[V8 Push back, ml]]</f>
        <v>33.5</v>
      </c>
      <c r="AG690" s="94">
        <f>Table3.110[[#This Row],[GP 8h, ml]]-(AVERAGE(AE$479,AE$480,AE$660,AE$661,AE$662,AE$663))*AG$8</f>
        <v>30.607474101643646</v>
      </c>
      <c r="AH690" s="94">
        <f>Table3.110[[#This Row],[GP 8-24h, ml]]-(AVERAGE(AF$479,AF$480,AF$660,AF$661,AF$662,AF$663))*AG$8</f>
        <v>29.185592064046812</v>
      </c>
      <c r="AI690" s="94">
        <f>Table3.110[[#This Row],[Net gas 8-24h, ml]]+Table3.110[[#This Row],[Net gas 8h, ml]]</f>
        <v>59.793066165690462</v>
      </c>
      <c r="AJ690" s="94">
        <f>Table3.110[[#This Row],[Net gas 8h, ml]]*Table3.110[[#This Row],[CH4 8h %]]%</f>
        <v>3.3974296252824447</v>
      </c>
      <c r="AK690" s="94">
        <f>Table3.110[[#This Row],[Net gas 8-24h, ml]]*Table3.110[[#This Row],[CH4 24h, %]]%</f>
        <v>4.1151684810306</v>
      </c>
      <c r="AL690" s="94">
        <f>Table3.110[[#This Row],[CH4 8-24h, ml]]+Table3.110[[#This Row],[CH4 8h, ml]]</f>
        <v>7.5125981063130443</v>
      </c>
      <c r="AM690" s="94">
        <f>(Table3.110[[#This Row],[Net gas 24h, ml]]/Table3.110[[#This Row],[DM Incubated, mg]])*1000</f>
        <v>127.56577519438056</v>
      </c>
      <c r="AN690" s="94">
        <f>'3.2 Digest'!X690</f>
        <v>51.86927058715434</v>
      </c>
      <c r="AO690" s="94">
        <f>Table3.110[[#This Row],[Digested feed, mg]]/Table3.110[[#This Row],[Net gas 24h, ml]]</f>
        <v>4.0660804599131417</v>
      </c>
      <c r="AP690" s="94">
        <f>Table3.110[[#This Row],[CH4 8h, ml]]/Table3.110[[#This Row],[Net gas 8h, ml]]%</f>
        <v>11.100000000000001</v>
      </c>
      <c r="AQ690" s="94">
        <f>Table3.110[[#This Row],[CH4 24h, ml]]/Table3.110[[#This Row],[Net gas 24h, ml]]%</f>
        <v>12.564329926642577</v>
      </c>
      <c r="AR690" s="94">
        <f>Table3.110[[#This Row],[CH4 24h, ml]]/Table3.110[[#This Row],[DM Incubated, mg]]*1000</f>
        <v>16.027784868901151</v>
      </c>
      <c r="AS690" s="94">
        <f>Table3.110[[#This Row],[CH4 24h, ml]]/Table3.110[[#This Row],[Digested feed, mg]]*1000</f>
        <v>30.900347522663072</v>
      </c>
      <c r="AT690" s="94">
        <f>Table3.110[[#This Row],[CH4 24h, ml]]/'3.2 Digest'!AA690</f>
        <v>0.49876438288596636</v>
      </c>
      <c r="AU690" s="94">
        <f>((Table3.110[[#This Row],[CH4 24h, ml]]/28.9)*16.04)/Table3.110[[#This Row],[DM Incubated, mg]]*1000</f>
        <v>8.8956978995562093</v>
      </c>
      <c r="AV690" s="94">
        <f>((Table3.110[[#This Row],[CH4 24h, ml]]/28.9)*16.04)/Table3.110[[#This Row],[Digested feed, mg]]*1000</f>
        <v>17.150227483166631</v>
      </c>
    </row>
    <row r="691" spans="2:48" s="89" customFormat="1" x14ac:dyDescent="0.35">
      <c r="B691" s="90">
        <f t="shared" si="10"/>
        <v>681</v>
      </c>
      <c r="C691" s="140">
        <v>46076</v>
      </c>
      <c r="D691" s="92" t="s">
        <v>16</v>
      </c>
      <c r="E691" s="6" t="s">
        <v>173</v>
      </c>
      <c r="F691" s="242" t="s">
        <v>99</v>
      </c>
      <c r="G691" s="242" t="s">
        <v>100</v>
      </c>
      <c r="H691" s="6" t="str">
        <f>'[2]1. Information samples'!$K$28</f>
        <v>Leucaena leucocephala</v>
      </c>
      <c r="I691" s="57" t="s">
        <v>22</v>
      </c>
      <c r="J691" s="130" t="s">
        <v>23</v>
      </c>
      <c r="K691" s="130" t="s">
        <v>24</v>
      </c>
      <c r="L691" s="6" t="s">
        <v>172</v>
      </c>
      <c r="M691" s="256">
        <v>28</v>
      </c>
      <c r="N691" s="256">
        <v>69</v>
      </c>
      <c r="O691" s="256">
        <v>3</v>
      </c>
      <c r="P691" s="257">
        <v>2</v>
      </c>
      <c r="Q691" s="96">
        <v>100</v>
      </c>
      <c r="R691" s="98">
        <v>0.5</v>
      </c>
      <c r="S691" s="94">
        <f>((Table3.110[[#This Row],[Sample weight, g]]*'2.1. DM'!Q101)/100)*1000</f>
        <v>468.53600357317833</v>
      </c>
      <c r="T691" s="94">
        <f>'3.2 Digest'!W691</f>
        <v>271.23600357317832</v>
      </c>
      <c r="U691" s="117">
        <v>0.34861111111111109</v>
      </c>
      <c r="V691" s="155">
        <v>41</v>
      </c>
      <c r="W691" s="117">
        <v>0.69513888888888886</v>
      </c>
      <c r="X691" s="97">
        <v>76.5</v>
      </c>
      <c r="Y691" s="97">
        <v>10.9</v>
      </c>
      <c r="Z691" s="155">
        <v>39.5</v>
      </c>
      <c r="AA691" s="117">
        <v>0.37916666666666665</v>
      </c>
      <c r="AB691" s="155">
        <v>75</v>
      </c>
      <c r="AC691" s="155">
        <v>14.2</v>
      </c>
      <c r="AD691" s="96" t="s">
        <v>579</v>
      </c>
      <c r="AE691" s="94">
        <f>Table3.110[[#This Row],[Gas 8h, ml]]-Table3.110[[#This Row],[Gas 0h, ml]]</f>
        <v>35.5</v>
      </c>
      <c r="AF691" s="94">
        <f>Table3.110[[#This Row],[Gas 24h, ml]]-Table3.110[[#This Row],[V8 Push back, ml]]</f>
        <v>35.5</v>
      </c>
      <c r="AG691" s="94">
        <f>Table3.110[[#This Row],[GP 8h, ml]]-(AVERAGE(AE$479,AE$480,AE$660,AE$661,AE$662,AE$663))*AG$8</f>
        <v>32.107474101643646</v>
      </c>
      <c r="AH691" s="94">
        <f>Table3.110[[#This Row],[GP 8-24h, ml]]-(AVERAGE(AF$479,AF$480,AF$660,AF$661,AF$662,AF$663))*AG$8</f>
        <v>31.185592064046812</v>
      </c>
      <c r="AI691" s="94">
        <f>Table3.110[[#This Row],[Net gas 8-24h, ml]]+Table3.110[[#This Row],[Net gas 8h, ml]]</f>
        <v>63.293066165690462</v>
      </c>
      <c r="AJ691" s="94">
        <f>Table3.110[[#This Row],[Net gas 8h, ml]]*Table3.110[[#This Row],[CH4 8h %]]%</f>
        <v>3.4997146770791576</v>
      </c>
      <c r="AK691" s="94">
        <f>Table3.110[[#This Row],[Net gas 8-24h, ml]]*Table3.110[[#This Row],[CH4 24h, %]]%</f>
        <v>4.4283540730946473</v>
      </c>
      <c r="AL691" s="94">
        <f>Table3.110[[#This Row],[CH4 8-24h, ml]]+Table3.110[[#This Row],[CH4 8h, ml]]</f>
        <v>7.9280687501738054</v>
      </c>
      <c r="AM691" s="94">
        <f>(Table3.110[[#This Row],[Net gas 24h, ml]]/Table3.110[[#This Row],[DM Incubated, mg]])*1000</f>
        <v>135.0868784533119</v>
      </c>
      <c r="AN691" s="94">
        <f>'3.2 Digest'!X691</f>
        <v>57.890109085462271</v>
      </c>
      <c r="AO691" s="94">
        <f>Table3.110[[#This Row],[Digested feed, mg]]/Table3.110[[#This Row],[Net gas 24h, ml]]</f>
        <v>4.2853983857114564</v>
      </c>
      <c r="AP691" s="94">
        <f>Table3.110[[#This Row],[CH4 8h, ml]]/Table3.110[[#This Row],[Net gas 8h, ml]]%</f>
        <v>10.9</v>
      </c>
      <c r="AQ691" s="94">
        <f>Table3.110[[#This Row],[CH4 24h, ml]]/Table3.110[[#This Row],[Net gas 24h, ml]]%</f>
        <v>12.525967266966452</v>
      </c>
      <c r="AR691" s="94">
        <f>Table3.110[[#This Row],[CH4 24h, ml]]/Table3.110[[#This Row],[DM Incubated, mg]]*1000</f>
        <v>16.920938177028606</v>
      </c>
      <c r="AS691" s="94">
        <f>Table3.110[[#This Row],[CH4 24h, ml]]/Table3.110[[#This Row],[Digested feed, mg]]*1000</f>
        <v>29.229411456192786</v>
      </c>
      <c r="AT691" s="94">
        <f>Table3.110[[#This Row],[CH4 24h, ml]]/'3.2 Digest'!AA691</f>
        <v>0.30863464122597123</v>
      </c>
      <c r="AU691" s="94">
        <f>((Table3.110[[#This Row],[CH4 24h, ml]]/28.9)*16.04)/Table3.110[[#This Row],[DM Incubated, mg]]*1000</f>
        <v>9.3914134380463281</v>
      </c>
      <c r="AV691" s="94">
        <f>((Table3.110[[#This Row],[CH4 24h, ml]]/28.9)*16.04)/Table3.110[[#This Row],[Digested feed, mg]]*1000</f>
        <v>16.222829057347138</v>
      </c>
    </row>
    <row r="692" spans="2:48" s="89" customFormat="1" x14ac:dyDescent="0.35">
      <c r="B692" s="90">
        <f t="shared" si="10"/>
        <v>682</v>
      </c>
      <c r="C692" s="140">
        <v>46076</v>
      </c>
      <c r="D692" s="92" t="s">
        <v>16</v>
      </c>
      <c r="E692" s="6" t="s">
        <v>175</v>
      </c>
      <c r="F692" s="242" t="s">
        <v>159</v>
      </c>
      <c r="G692" s="242" t="s">
        <v>160</v>
      </c>
      <c r="H692" s="6" t="str">
        <f>'[2]1. Information samples'!$K$29</f>
        <v>Calliandra calothyrsus</v>
      </c>
      <c r="I692" s="57" t="s">
        <v>22</v>
      </c>
      <c r="J692" s="130" t="s">
        <v>23</v>
      </c>
      <c r="K692" s="130" t="s">
        <v>24</v>
      </c>
      <c r="L692" s="6" t="s">
        <v>174</v>
      </c>
      <c r="M692" s="256">
        <v>28</v>
      </c>
      <c r="N692" s="256">
        <v>69</v>
      </c>
      <c r="O692" s="256">
        <v>3</v>
      </c>
      <c r="P692" s="257">
        <v>1</v>
      </c>
      <c r="Q692" s="96">
        <v>101</v>
      </c>
      <c r="R692" s="98">
        <v>0.50029999999999997</v>
      </c>
      <c r="S692" s="94">
        <f>((Table3.110[[#This Row],[Sample weight, g]]*'2.1. DM'!Q103)/100)*1000</f>
        <v>474.58713101979578</v>
      </c>
      <c r="T692" s="94">
        <f>'3.2 Digest'!W692</f>
        <v>144.88713101979579</v>
      </c>
      <c r="U692" s="117">
        <v>0.34861111111111109</v>
      </c>
      <c r="V692" s="155">
        <v>41</v>
      </c>
      <c r="W692" s="117">
        <v>0.6958333333333333</v>
      </c>
      <c r="X692" s="97">
        <v>61.5</v>
      </c>
      <c r="Y692" s="97">
        <v>10.5</v>
      </c>
      <c r="Z692" s="155">
        <v>40</v>
      </c>
      <c r="AA692" s="117">
        <v>0.37916666666666665</v>
      </c>
      <c r="AB692" s="155">
        <v>53.5</v>
      </c>
      <c r="AC692" s="155">
        <v>12.6</v>
      </c>
      <c r="AD692" s="91" t="s">
        <v>578</v>
      </c>
      <c r="AE692" s="94">
        <f>Table3.110[[#This Row],[Gas 8h, ml]]-Table3.110[[#This Row],[Gas 0h, ml]]</f>
        <v>20.5</v>
      </c>
      <c r="AF692" s="94">
        <f>Table3.110[[#This Row],[Gas 24h, ml]]-Table3.110[[#This Row],[V8 Push back, ml]]</f>
        <v>13.5</v>
      </c>
      <c r="AG692" s="94">
        <f>Table3.110[[#This Row],[GP 8h, ml]]-(AVERAGE(AE$479,AE$480,AE$660,AE$661,AE$662,AE$663))*AG$8</f>
        <v>17.107474101643646</v>
      </c>
      <c r="AH692" s="94">
        <f>Table3.110[[#This Row],[GP 8-24h, ml]]-(AVERAGE(AF$479,AF$480,AF$660,AF$661,AF$662,AF$663))*AG$8</f>
        <v>9.1855920640468121</v>
      </c>
      <c r="AI692" s="94">
        <f>Table3.110[[#This Row],[Net gas 8-24h, ml]]+Table3.110[[#This Row],[Net gas 8h, ml]]</f>
        <v>26.293066165690458</v>
      </c>
      <c r="AJ692" s="94">
        <f>Table3.110[[#This Row],[Net gas 8h, ml]]*Table3.110[[#This Row],[CH4 8h %]]%</f>
        <v>1.7962847806725828</v>
      </c>
      <c r="AK692" s="94">
        <f>Table3.110[[#This Row],[Net gas 8-24h, ml]]*Table3.110[[#This Row],[CH4 24h, %]]%</f>
        <v>1.1573846000698984</v>
      </c>
      <c r="AL692" s="94">
        <f>Table3.110[[#This Row],[CH4 8-24h, ml]]+Table3.110[[#This Row],[CH4 8h, ml]]</f>
        <v>2.9536693807424812</v>
      </c>
      <c r="AM692" s="94">
        <f>(Table3.110[[#This Row],[Net gas 24h, ml]]/Table3.110[[#This Row],[DM Incubated, mg]])*1000</f>
        <v>55.401978787734407</v>
      </c>
      <c r="AN692" s="94">
        <f>'3.2 Digest'!X692</f>
        <v>30.529089718143311</v>
      </c>
      <c r="AO692" s="94">
        <f>Table3.110[[#This Row],[Digested feed, mg]]/Table3.110[[#This Row],[Net gas 24h, ml]]</f>
        <v>5.5104691901189318</v>
      </c>
      <c r="AP692" s="94">
        <f>Table3.110[[#This Row],[CH4 8h, ml]]/Table3.110[[#This Row],[Net gas 8h, ml]]%</f>
        <v>10.5</v>
      </c>
      <c r="AQ692" s="94">
        <f>Table3.110[[#This Row],[CH4 24h, ml]]/Table3.110[[#This Row],[Net gas 24h, ml]]%</f>
        <v>11.233643737589999</v>
      </c>
      <c r="AR692" s="94">
        <f>Table3.110[[#This Row],[CH4 24h, ml]]/Table3.110[[#This Row],[DM Incubated, mg]]*1000</f>
        <v>6.2236609205892668</v>
      </c>
      <c r="AS692" s="94">
        <f>Table3.110[[#This Row],[CH4 24h, ml]]/Table3.110[[#This Row],[Digested feed, mg]]*1000</f>
        <v>20.386002262263887</v>
      </c>
      <c r="AT692" s="94">
        <f>Table3.110[[#This Row],[CH4 24h, ml]]/'3.2 Digest'!AA692</f>
        <v>-0.11228116303157111</v>
      </c>
      <c r="AU692" s="94">
        <f>((Table3.110[[#This Row],[CH4 24h, ml]]/28.9)*16.04)/Table3.110[[#This Row],[DM Incubated, mg]]*1000</f>
        <v>3.4542394867215163</v>
      </c>
      <c r="AV692" s="94">
        <f>((Table3.110[[#This Row],[CH4 24h, ml]]/28.9)*16.04)/Table3.110[[#This Row],[Digested feed, mg]]*1000</f>
        <v>11.314583954557534</v>
      </c>
    </row>
    <row r="693" spans="2:48" s="89" customFormat="1" x14ac:dyDescent="0.35">
      <c r="B693" s="90">
        <f t="shared" si="10"/>
        <v>683</v>
      </c>
      <c r="C693" s="140">
        <v>46076</v>
      </c>
      <c r="D693" s="92" t="s">
        <v>16</v>
      </c>
      <c r="E693" s="6" t="s">
        <v>175</v>
      </c>
      <c r="F693" s="242" t="s">
        <v>159</v>
      </c>
      <c r="G693" s="242" t="s">
        <v>160</v>
      </c>
      <c r="H693" s="6" t="str">
        <f>'[2]1. Information samples'!$K$29</f>
        <v>Calliandra calothyrsus</v>
      </c>
      <c r="I693" s="57" t="s">
        <v>22</v>
      </c>
      <c r="J693" s="130" t="s">
        <v>23</v>
      </c>
      <c r="K693" s="130" t="s">
        <v>24</v>
      </c>
      <c r="L693" s="6" t="s">
        <v>174</v>
      </c>
      <c r="M693" s="256">
        <v>28</v>
      </c>
      <c r="N693" s="256">
        <v>69</v>
      </c>
      <c r="O693" s="256">
        <v>3</v>
      </c>
      <c r="P693" s="257">
        <v>2</v>
      </c>
      <c r="Q693" s="96">
        <v>102</v>
      </c>
      <c r="R693" s="98">
        <v>0.5</v>
      </c>
      <c r="S693" s="94">
        <f>((Table3.110[[#This Row],[Sample weight, g]]*'2.1. DM'!Q103)/100)*1000</f>
        <v>474.30254949010174</v>
      </c>
      <c r="T693" s="94">
        <f>'3.2 Digest'!W693</f>
        <v>96.602549490101694</v>
      </c>
      <c r="U693" s="153">
        <v>0.34930555555555554</v>
      </c>
      <c r="V693" s="154">
        <v>41.5</v>
      </c>
      <c r="W693" s="153">
        <v>0.69652777777777775</v>
      </c>
      <c r="X693" s="95">
        <v>60.5</v>
      </c>
      <c r="Y693" s="95">
        <v>10.6</v>
      </c>
      <c r="Z693" s="154">
        <v>40</v>
      </c>
      <c r="AA693" s="153">
        <v>0.37986111111111109</v>
      </c>
      <c r="AB693" s="154">
        <v>53.5</v>
      </c>
      <c r="AC693" s="154">
        <v>12.1</v>
      </c>
      <c r="AD693" s="91" t="s">
        <v>578</v>
      </c>
      <c r="AE693" s="94">
        <f>Table3.110[[#This Row],[Gas 8h, ml]]-Table3.110[[#This Row],[Gas 0h, ml]]</f>
        <v>19</v>
      </c>
      <c r="AF693" s="94">
        <f>Table3.110[[#This Row],[Gas 24h, ml]]-Table3.110[[#This Row],[V8 Push back, ml]]</f>
        <v>13.5</v>
      </c>
      <c r="AG693" s="94">
        <f>Table3.110[[#This Row],[GP 8h, ml]]-(AVERAGE(AE$479,AE$480,AE$660,AE$661,AE$662,AE$663))*AG$8</f>
        <v>15.607474101643646</v>
      </c>
      <c r="AH693" s="94">
        <f>Table3.110[[#This Row],[GP 8-24h, ml]]-(AVERAGE(AF$479,AF$480,AF$660,AF$661,AF$662,AF$663))*AG$8</f>
        <v>9.1855920640468121</v>
      </c>
      <c r="AI693" s="94">
        <f>Table3.110[[#This Row],[Net gas 8-24h, ml]]+Table3.110[[#This Row],[Net gas 8h, ml]]</f>
        <v>24.793066165690458</v>
      </c>
      <c r="AJ693" s="94">
        <f>Table3.110[[#This Row],[Net gas 8h, ml]]*Table3.110[[#This Row],[CH4 8h %]]%</f>
        <v>1.6543922547742265</v>
      </c>
      <c r="AK693" s="94">
        <f>Table3.110[[#This Row],[Net gas 8-24h, ml]]*Table3.110[[#This Row],[CH4 24h, %]]%</f>
        <v>1.1114566397496641</v>
      </c>
      <c r="AL693" s="94">
        <f>Table3.110[[#This Row],[CH4 8-24h, ml]]+Table3.110[[#This Row],[CH4 8h, ml]]</f>
        <v>2.7658488945238906</v>
      </c>
      <c r="AM693" s="94">
        <f>(Table3.110[[#This Row],[Net gas 24h, ml]]/Table3.110[[#This Row],[DM Incubated, mg]])*1000</f>
        <v>52.272681629782952</v>
      </c>
      <c r="AN693" s="94">
        <f>'3.2 Digest'!X693</f>
        <v>20.367284467257054</v>
      </c>
      <c r="AO693" s="94">
        <f>Table3.110[[#This Row],[Digested feed, mg]]/Table3.110[[#This Row],[Net gas 24h, ml]]</f>
        <v>3.8963534741735089</v>
      </c>
      <c r="AP693" s="94">
        <f>Table3.110[[#This Row],[CH4 8h, ml]]/Table3.110[[#This Row],[Net gas 8h, ml]]%</f>
        <v>10.6</v>
      </c>
      <c r="AQ693" s="94">
        <f>Table3.110[[#This Row],[CH4 24h, ml]]/Table3.110[[#This Row],[Net gas 24h, ml]]%</f>
        <v>11.15573554331643</v>
      </c>
      <c r="AR693" s="94">
        <f>Table3.110[[#This Row],[CH4 24h, ml]]/Table3.110[[#This Row],[DM Incubated, mg]]*1000</f>
        <v>5.8314021240183349</v>
      </c>
      <c r="AS693" s="94">
        <f>Table3.110[[#This Row],[CH4 24h, ml]]/Table3.110[[#This Row],[Digested feed, mg]]*1000</f>
        <v>28.631220491828646</v>
      </c>
      <c r="AT693" s="94">
        <f>Table3.110[[#This Row],[CH4 24h, ml]]/'3.2 Digest'!AA693</f>
        <v>-6.176344255358935E-2</v>
      </c>
      <c r="AU693" s="94">
        <f>((Table3.110[[#This Row],[CH4 24h, ml]]/28.9)*16.04)/Table3.110[[#This Row],[DM Incubated, mg]]*1000</f>
        <v>3.2365290681402796</v>
      </c>
      <c r="AV693" s="94">
        <f>((Table3.110[[#This Row],[CH4 24h, ml]]/28.9)*16.04)/Table3.110[[#This Row],[Digested feed, mg]]*1000</f>
        <v>15.890822722800399</v>
      </c>
    </row>
    <row r="694" spans="2:48" s="89" customFormat="1" x14ac:dyDescent="0.35">
      <c r="B694" s="90">
        <f t="shared" si="10"/>
        <v>684</v>
      </c>
      <c r="C694" s="140">
        <v>46076</v>
      </c>
      <c r="D694" s="92" t="s">
        <v>16</v>
      </c>
      <c r="E694" s="6" t="s">
        <v>177</v>
      </c>
      <c r="F694" s="242" t="s">
        <v>159</v>
      </c>
      <c r="G694" s="242" t="s">
        <v>160</v>
      </c>
      <c r="H694" s="6" t="str">
        <f>'[2]1. Information samples'!$K$30</f>
        <v>Calliandra calothyrsus</v>
      </c>
      <c r="I694" s="57" t="s">
        <v>22</v>
      </c>
      <c r="J694" s="130" t="s">
        <v>23</v>
      </c>
      <c r="K694" s="130" t="s">
        <v>24</v>
      </c>
      <c r="L694" s="6" t="s">
        <v>176</v>
      </c>
      <c r="M694" s="256">
        <v>28</v>
      </c>
      <c r="N694" s="256">
        <v>69</v>
      </c>
      <c r="O694" s="256">
        <v>3</v>
      </c>
      <c r="P694" s="257">
        <v>1</v>
      </c>
      <c r="Q694" s="96">
        <v>103</v>
      </c>
      <c r="R694" s="98">
        <v>0.50029999999999997</v>
      </c>
      <c r="S694" s="94">
        <f>((Table3.110[[#This Row],[Sample weight, g]]*'2.1. DM'!Q105)/100)*1000</f>
        <v>469.66743825617431</v>
      </c>
      <c r="T694" s="94">
        <f>'3.2 Digest'!W694</f>
        <v>38.867438256174353</v>
      </c>
      <c r="U694" s="153">
        <v>0.34930555555555554</v>
      </c>
      <c r="V694" s="154">
        <v>41.5</v>
      </c>
      <c r="W694" s="153">
        <v>0.69652777777777775</v>
      </c>
      <c r="X694" s="95">
        <v>63.5</v>
      </c>
      <c r="Y694" s="95">
        <v>11.2</v>
      </c>
      <c r="Z694" s="154">
        <v>40</v>
      </c>
      <c r="AA694" s="153">
        <v>0.38055555555555554</v>
      </c>
      <c r="AB694" s="154">
        <v>55.5</v>
      </c>
      <c r="AC694" s="154">
        <v>12.3</v>
      </c>
      <c r="AD694" s="91"/>
      <c r="AE694" s="94">
        <f>Table3.110[[#This Row],[Gas 8h, ml]]-Table3.110[[#This Row],[Gas 0h, ml]]</f>
        <v>22</v>
      </c>
      <c r="AF694" s="94">
        <f>Table3.110[[#This Row],[Gas 24h, ml]]-Table3.110[[#This Row],[V8 Push back, ml]]</f>
        <v>15.5</v>
      </c>
      <c r="AG694" s="94">
        <f>Table3.110[[#This Row],[GP 8h, ml]]-(AVERAGE(AE$479,AE$480,AE$660,AE$661,AE$662,AE$663))*AG$8</f>
        <v>18.607474101643646</v>
      </c>
      <c r="AH694" s="94">
        <f>Table3.110[[#This Row],[GP 8-24h, ml]]-(AVERAGE(AF$479,AF$480,AF$660,AF$661,AF$662,AF$663))*AG$8</f>
        <v>11.185592064046812</v>
      </c>
      <c r="AI694" s="94">
        <f>Table3.110[[#This Row],[Net gas 8-24h, ml]]+Table3.110[[#This Row],[Net gas 8h, ml]]</f>
        <v>29.793066165690458</v>
      </c>
      <c r="AJ694" s="94">
        <f>Table3.110[[#This Row],[Net gas 8h, ml]]*Table3.110[[#This Row],[CH4 8h %]]%</f>
        <v>2.084037099384088</v>
      </c>
      <c r="AK694" s="94">
        <f>Table3.110[[#This Row],[Net gas 8-24h, ml]]*Table3.110[[#This Row],[CH4 24h, %]]%</f>
        <v>1.3758278238777579</v>
      </c>
      <c r="AL694" s="94">
        <f>Table3.110[[#This Row],[CH4 8-24h, ml]]+Table3.110[[#This Row],[CH4 8h, ml]]</f>
        <v>3.4598649232618461</v>
      </c>
      <c r="AM694" s="94">
        <f>(Table3.110[[#This Row],[Net gas 24h, ml]]/Table3.110[[#This Row],[DM Incubated, mg]])*1000</f>
        <v>63.434387268380732</v>
      </c>
      <c r="AN694" s="94">
        <f>'3.2 Digest'!X694</f>
        <v>8.2755232937767733</v>
      </c>
      <c r="AO694" s="94">
        <f>Table3.110[[#This Row],[Digested feed, mg]]/Table3.110[[#This Row],[Net gas 24h, ml]]</f>
        <v>1.3045799999240728</v>
      </c>
      <c r="AP694" s="94">
        <f>Table3.110[[#This Row],[CH4 8h, ml]]/Table3.110[[#This Row],[Net gas 8h, ml]]%</f>
        <v>11.2</v>
      </c>
      <c r="AQ694" s="94">
        <f>Table3.110[[#This Row],[CH4 24h, ml]]/Table3.110[[#This Row],[Net gas 24h, ml]]%</f>
        <v>11.61298707565121</v>
      </c>
      <c r="AR694" s="94">
        <f>Table3.110[[#This Row],[CH4 24h, ml]]/Table3.110[[#This Row],[DM Incubated, mg]]*1000</f>
        <v>7.3666271949955906</v>
      </c>
      <c r="AS694" s="94">
        <f>Table3.110[[#This Row],[CH4 24h, ml]]/Table3.110[[#This Row],[Digested feed, mg]]*1000</f>
        <v>89.017055882560612</v>
      </c>
      <c r="AT694" s="94">
        <f>Table3.110[[#This Row],[CH4 24h, ml]]/'3.2 Digest'!AA694</f>
        <v>-5.1650930775812051E-2</v>
      </c>
      <c r="AU694" s="94">
        <f>((Table3.110[[#This Row],[CH4 24h, ml]]/28.9)*16.04)/Table3.110[[#This Row],[DM Incubated, mg]]*1000</f>
        <v>4.0886055435200443</v>
      </c>
      <c r="AV694" s="94">
        <f>((Table3.110[[#This Row],[CH4 24h, ml]]/28.9)*16.04)/Table3.110[[#This Row],[Digested feed, mg]]*1000</f>
        <v>49.406006102293148</v>
      </c>
    </row>
    <row r="695" spans="2:48" s="89" customFormat="1" x14ac:dyDescent="0.35">
      <c r="B695" s="90">
        <f t="shared" si="10"/>
        <v>685</v>
      </c>
      <c r="C695" s="140">
        <v>46076</v>
      </c>
      <c r="D695" s="92" t="s">
        <v>16</v>
      </c>
      <c r="E695" s="6" t="s">
        <v>177</v>
      </c>
      <c r="F695" s="242" t="s">
        <v>159</v>
      </c>
      <c r="G695" s="242" t="s">
        <v>160</v>
      </c>
      <c r="H695" s="6" t="str">
        <f>'[2]1. Information samples'!$K$30</f>
        <v>Calliandra calothyrsus</v>
      </c>
      <c r="I695" s="57" t="s">
        <v>22</v>
      </c>
      <c r="J695" s="130" t="s">
        <v>23</v>
      </c>
      <c r="K695" s="130" t="s">
        <v>24</v>
      </c>
      <c r="L695" s="6" t="s">
        <v>176</v>
      </c>
      <c r="M695" s="256">
        <v>28</v>
      </c>
      <c r="N695" s="256">
        <v>69</v>
      </c>
      <c r="O695" s="256">
        <v>3</v>
      </c>
      <c r="P695" s="257">
        <v>2</v>
      </c>
      <c r="Q695" s="96">
        <v>104</v>
      </c>
      <c r="R695" s="98">
        <v>0.5</v>
      </c>
      <c r="S695" s="94">
        <f>((Table3.110[[#This Row],[Sample weight, g]]*'2.1. DM'!Q105)/100)*1000</f>
        <v>469.38580677211104</v>
      </c>
      <c r="T695" s="94">
        <f>'3.2 Digest'!W695</f>
        <v>144.78580677211102</v>
      </c>
      <c r="U695" s="117">
        <v>0.35</v>
      </c>
      <c r="V695" s="155">
        <v>42</v>
      </c>
      <c r="W695" s="117">
        <v>0.69722222222222219</v>
      </c>
      <c r="X695" s="97">
        <v>62</v>
      </c>
      <c r="Y695" s="97">
        <v>11.8</v>
      </c>
      <c r="Z695" s="155">
        <v>40</v>
      </c>
      <c r="AA695" s="117">
        <v>0.38055555555555554</v>
      </c>
      <c r="AB695" s="155">
        <v>55.5</v>
      </c>
      <c r="AC695" s="155">
        <v>12.3</v>
      </c>
      <c r="AD695" s="91" t="s">
        <v>578</v>
      </c>
      <c r="AE695" s="94">
        <f>Table3.110[[#This Row],[Gas 8h, ml]]-Table3.110[[#This Row],[Gas 0h, ml]]</f>
        <v>20</v>
      </c>
      <c r="AF695" s="94">
        <f>Table3.110[[#This Row],[Gas 24h, ml]]-Table3.110[[#This Row],[V8 Push back, ml]]</f>
        <v>15.5</v>
      </c>
      <c r="AG695" s="94">
        <f>Table3.110[[#This Row],[GP 8h, ml]]-(AVERAGE(AE$479,AE$480,AE$660,AE$661,AE$662,AE$663))*AG$8</f>
        <v>16.607474101643646</v>
      </c>
      <c r="AH695" s="94">
        <f>Table3.110[[#This Row],[GP 8-24h, ml]]-(AVERAGE(AF$479,AF$480,AF$660,AF$661,AF$662,AF$663))*AG$8</f>
        <v>11.185592064046812</v>
      </c>
      <c r="AI695" s="94">
        <f>Table3.110[[#This Row],[Net gas 8-24h, ml]]+Table3.110[[#This Row],[Net gas 8h, ml]]</f>
        <v>27.793066165690458</v>
      </c>
      <c r="AJ695" s="94">
        <f>Table3.110[[#This Row],[Net gas 8h, ml]]*Table3.110[[#This Row],[CH4 8h %]]%</f>
        <v>1.9596819439939503</v>
      </c>
      <c r="AK695" s="94">
        <f>Table3.110[[#This Row],[Net gas 8-24h, ml]]*Table3.110[[#This Row],[CH4 24h, %]]%</f>
        <v>1.3758278238777579</v>
      </c>
      <c r="AL695" s="94">
        <f>Table3.110[[#This Row],[CH4 8-24h, ml]]+Table3.110[[#This Row],[CH4 8h, ml]]</f>
        <v>3.3355097678717085</v>
      </c>
      <c r="AM695" s="94">
        <f>(Table3.110[[#This Row],[Net gas 24h, ml]]/Table3.110[[#This Row],[DM Incubated, mg]])*1000</f>
        <v>59.211560649476816</v>
      </c>
      <c r="AN695" s="94">
        <f>'3.2 Digest'!X695</f>
        <v>30.845799911969895</v>
      </c>
      <c r="AO695" s="94">
        <f>Table3.110[[#This Row],[Digested feed, mg]]/Table3.110[[#This Row],[Net gas 24h, ml]]</f>
        <v>5.2094218719503464</v>
      </c>
      <c r="AP695" s="94">
        <f>Table3.110[[#This Row],[CH4 8h, ml]]/Table3.110[[#This Row],[Net gas 8h, ml]]%</f>
        <v>11.8</v>
      </c>
      <c r="AQ695" s="94">
        <f>Table3.110[[#This Row],[CH4 24h, ml]]/Table3.110[[#This Row],[Net gas 24h, ml]]%</f>
        <v>12.001229903842978</v>
      </c>
      <c r="AR695" s="94">
        <f>Table3.110[[#This Row],[CH4 24h, ml]]/Table3.110[[#This Row],[DM Incubated, mg]]*1000</f>
        <v>7.1061155231971336</v>
      </c>
      <c r="AS695" s="94">
        <f>Table3.110[[#This Row],[CH4 24h, ml]]/Table3.110[[#This Row],[Digested feed, mg]]*1000</f>
        <v>23.037546581632213</v>
      </c>
      <c r="AT695" s="94">
        <f>Table3.110[[#This Row],[CH4 24h, ml]]/'3.2 Digest'!AA695</f>
        <v>-0.12880372984857311</v>
      </c>
      <c r="AU695" s="94">
        <f>((Table3.110[[#This Row],[CH4 24h, ml]]/28.9)*16.04)/Table3.110[[#This Row],[DM Incubated, mg]]*1000</f>
        <v>3.9440170585495506</v>
      </c>
      <c r="AV695" s="94">
        <f>((Table3.110[[#This Row],[CH4 24h, ml]]/28.9)*16.04)/Table3.110[[#This Row],[Digested feed, mg]]*1000</f>
        <v>12.786236926276151</v>
      </c>
    </row>
    <row r="696" spans="2:48" s="89" customFormat="1" x14ac:dyDescent="0.35">
      <c r="B696" s="90">
        <f t="shared" si="10"/>
        <v>686</v>
      </c>
      <c r="C696" s="140">
        <v>46076</v>
      </c>
      <c r="D696" s="92" t="s">
        <v>16</v>
      </c>
      <c r="E696" s="57" t="s">
        <v>181</v>
      </c>
      <c r="F696" s="242" t="s">
        <v>159</v>
      </c>
      <c r="G696" s="242" t="s">
        <v>160</v>
      </c>
      <c r="H696" s="57" t="str">
        <f>'[2]1. Information samples'!$K$31</f>
        <v>Calliandra calothyrsus</v>
      </c>
      <c r="I696" s="57" t="s">
        <v>22</v>
      </c>
      <c r="J696" s="130" t="s">
        <v>23</v>
      </c>
      <c r="K696" s="130" t="s">
        <v>24</v>
      </c>
      <c r="L696" s="57" t="s">
        <v>180</v>
      </c>
      <c r="M696" s="256">
        <v>28</v>
      </c>
      <c r="N696" s="256">
        <v>69</v>
      </c>
      <c r="O696" s="256">
        <v>3</v>
      </c>
      <c r="P696" s="257">
        <v>1</v>
      </c>
      <c r="Q696" s="96">
        <v>105</v>
      </c>
      <c r="R696" s="106">
        <v>0.5</v>
      </c>
      <c r="S696" s="94">
        <f>((Table3.110[[#This Row],[Sample weight, g]]*'2.1. DM'!Q107)/100)*1000</f>
        <v>477.5794963740658</v>
      </c>
      <c r="T696" s="94">
        <f>'3.2 Digest'!W696</f>
        <v>30.779496374065843</v>
      </c>
      <c r="U696" s="157">
        <v>0.35</v>
      </c>
      <c r="V696" s="158">
        <v>41</v>
      </c>
      <c r="W696" s="157">
        <v>0.69722222222222219</v>
      </c>
      <c r="X696" s="107">
        <v>62</v>
      </c>
      <c r="Y696" s="107">
        <v>12.4</v>
      </c>
      <c r="Z696" s="158">
        <v>40</v>
      </c>
      <c r="AA696" s="157">
        <v>0.38124999999999998</v>
      </c>
      <c r="AB696" s="158">
        <v>53</v>
      </c>
      <c r="AC696" s="158">
        <v>12.7</v>
      </c>
      <c r="AD696" s="104"/>
      <c r="AE696" s="94">
        <f>Table3.110[[#This Row],[Gas 8h, ml]]-Table3.110[[#This Row],[Gas 0h, ml]]</f>
        <v>21</v>
      </c>
      <c r="AF696" s="94">
        <f>Table3.110[[#This Row],[Gas 24h, ml]]-Table3.110[[#This Row],[V8 Push back, ml]]</f>
        <v>13</v>
      </c>
      <c r="AG696" s="94">
        <f>Table3.110[[#This Row],[GP 8h, ml]]-(AVERAGE(AE$479,AE$480,AE$660,AE$661,AE$662,AE$663))*AG$8</f>
        <v>17.607474101643646</v>
      </c>
      <c r="AH696" s="94">
        <f>Table3.110[[#This Row],[GP 8-24h, ml]]-(AVERAGE(AF$479,AF$480,AF$660,AF$661,AF$662,AF$663))*AG$8</f>
        <v>8.6855920640468121</v>
      </c>
      <c r="AI696" s="94">
        <f>Table3.110[[#This Row],[Net gas 8-24h, ml]]+Table3.110[[#This Row],[Net gas 8h, ml]]</f>
        <v>26.293066165690458</v>
      </c>
      <c r="AJ696" s="94">
        <f>Table3.110[[#This Row],[Net gas 8h, ml]]*Table3.110[[#This Row],[CH4 8h %]]%</f>
        <v>2.1833267886038121</v>
      </c>
      <c r="AK696" s="94">
        <f>Table3.110[[#This Row],[Net gas 8-24h, ml]]*Table3.110[[#This Row],[CH4 24h, %]]%</f>
        <v>1.1030701921339452</v>
      </c>
      <c r="AL696" s="94">
        <f>Table3.110[[#This Row],[CH4 8-24h, ml]]+Table3.110[[#This Row],[CH4 8h, ml]]</f>
        <v>3.2863969807377575</v>
      </c>
      <c r="AM696" s="94">
        <f>(Table3.110[[#This Row],[Net gas 24h, ml]]/Table3.110[[#This Row],[DM Incubated, mg]])*1000</f>
        <v>55.05484713082474</v>
      </c>
      <c r="AN696" s="94">
        <f>'3.2 Digest'!X696</f>
        <v>6.4448948515908846</v>
      </c>
      <c r="AO696" s="94">
        <f>Table3.110[[#This Row],[Digested feed, mg]]/Table3.110[[#This Row],[Net gas 24h, ml]]</f>
        <v>1.1706316859396824</v>
      </c>
      <c r="AP696" s="94">
        <f>Table3.110[[#This Row],[CH4 8h, ml]]/Table3.110[[#This Row],[Net gas 8h, ml]]%</f>
        <v>12.399999999999999</v>
      </c>
      <c r="AQ696" s="94">
        <f>Table3.110[[#This Row],[CH4 24h, ml]]/Table3.110[[#This Row],[Net gas 24h, ml]]%</f>
        <v>12.499101322104996</v>
      </c>
      <c r="AR696" s="94">
        <f>Table3.110[[#This Row],[CH4 24h, ml]]/Table3.110[[#This Row],[DM Incubated, mg]]*1000</f>
        <v>6.8813611256117992</v>
      </c>
      <c r="AS696" s="94">
        <f>Table3.110[[#This Row],[CH4 24h, ml]]/Table3.110[[#This Row],[Digested feed, mg]]*1000</f>
        <v>106.77227920814217</v>
      </c>
      <c r="AT696" s="94">
        <f>Table3.110[[#This Row],[CH4 24h, ml]]/'3.2 Digest'!AA696</f>
        <v>-4.5572367346419604E-2</v>
      </c>
      <c r="AU696" s="94">
        <f>((Table3.110[[#This Row],[CH4 24h, ml]]/28.9)*16.04)/Table3.110[[#This Row],[DM Incubated, mg]]*1000</f>
        <v>3.8192744794053031</v>
      </c>
      <c r="AV696" s="94">
        <f>((Table3.110[[#This Row],[CH4 24h, ml]]/28.9)*16.04)/Table3.110[[#This Row],[Digested feed, mg]]*1000</f>
        <v>59.260462231785482</v>
      </c>
    </row>
    <row r="697" spans="2:48" s="89" customFormat="1" x14ac:dyDescent="0.35">
      <c r="B697" s="90">
        <f t="shared" si="10"/>
        <v>687</v>
      </c>
      <c r="C697" s="140">
        <v>46076</v>
      </c>
      <c r="D697" s="92" t="s">
        <v>16</v>
      </c>
      <c r="E697" s="6" t="s">
        <v>181</v>
      </c>
      <c r="F697" s="242" t="s">
        <v>159</v>
      </c>
      <c r="G697" s="242" t="s">
        <v>160</v>
      </c>
      <c r="H697" s="6" t="str">
        <f>'[2]1. Information samples'!$K$31</f>
        <v>Calliandra calothyrsus</v>
      </c>
      <c r="I697" s="57" t="s">
        <v>22</v>
      </c>
      <c r="J697" s="130" t="s">
        <v>23</v>
      </c>
      <c r="K697" s="130" t="s">
        <v>24</v>
      </c>
      <c r="L697" s="6" t="s">
        <v>180</v>
      </c>
      <c r="M697" s="256">
        <v>28</v>
      </c>
      <c r="N697" s="256">
        <v>69</v>
      </c>
      <c r="O697" s="256">
        <v>3</v>
      </c>
      <c r="P697" s="257">
        <v>2</v>
      </c>
      <c r="Q697" s="96">
        <v>106</v>
      </c>
      <c r="R697" s="98">
        <v>0.50029999999999997</v>
      </c>
      <c r="S697" s="94">
        <f>((Table3.110[[#This Row],[Sample weight, g]]*'2.1. DM'!Q107)/100)*1000</f>
        <v>477.86604407189026</v>
      </c>
      <c r="T697" s="94">
        <f>'3.2 Digest'!W697</f>
        <v>147.56604407189025</v>
      </c>
      <c r="U697" s="117">
        <v>0.35</v>
      </c>
      <c r="V697" s="155">
        <v>41.5</v>
      </c>
      <c r="W697" s="117">
        <v>0.69791666666666663</v>
      </c>
      <c r="X697" s="97">
        <v>62.5</v>
      </c>
      <c r="Y697" s="97">
        <v>12.1</v>
      </c>
      <c r="Z697" s="155">
        <v>40</v>
      </c>
      <c r="AA697" s="117">
        <v>0.38124999999999998</v>
      </c>
      <c r="AB697" s="155">
        <v>53.5</v>
      </c>
      <c r="AC697" s="155">
        <v>13.3</v>
      </c>
      <c r="AD697" s="96"/>
      <c r="AE697" s="94">
        <f>Table3.110[[#This Row],[Gas 8h, ml]]-Table3.110[[#This Row],[Gas 0h, ml]]</f>
        <v>21</v>
      </c>
      <c r="AF697" s="94">
        <f>Table3.110[[#This Row],[Gas 24h, ml]]-Table3.110[[#This Row],[V8 Push back, ml]]</f>
        <v>13.5</v>
      </c>
      <c r="AG697" s="94">
        <f>Table3.110[[#This Row],[GP 8h, ml]]-(AVERAGE(AE$479,AE$480,AE$660,AE$661,AE$662,AE$663))*AG$8</f>
        <v>17.607474101643646</v>
      </c>
      <c r="AH697" s="94">
        <f>Table3.110[[#This Row],[GP 8-24h, ml]]-(AVERAGE(AF$479,AF$480,AF$660,AF$661,AF$662,AF$663))*AG$8</f>
        <v>9.1855920640468121</v>
      </c>
      <c r="AI697" s="94">
        <f>Table3.110[[#This Row],[Net gas 8-24h, ml]]+Table3.110[[#This Row],[Net gas 8h, ml]]</f>
        <v>26.793066165690458</v>
      </c>
      <c r="AJ697" s="94">
        <f>Table3.110[[#This Row],[Net gas 8h, ml]]*Table3.110[[#This Row],[CH4 8h %]]%</f>
        <v>2.1305043662988812</v>
      </c>
      <c r="AK697" s="94">
        <f>Table3.110[[#This Row],[Net gas 8-24h, ml]]*Table3.110[[#This Row],[CH4 24h, %]]%</f>
        <v>1.221683744518226</v>
      </c>
      <c r="AL697" s="94">
        <f>Table3.110[[#This Row],[CH4 8-24h, ml]]+Table3.110[[#This Row],[CH4 8h, ml]]</f>
        <v>3.3521881108171074</v>
      </c>
      <c r="AM697" s="94">
        <f>(Table3.110[[#This Row],[Net gas 24h, ml]]/Table3.110[[#This Row],[DM Incubated, mg]])*1000</f>
        <v>56.068152357901589</v>
      </c>
      <c r="AN697" s="94">
        <f>'3.2 Digest'!X697</f>
        <v>30.880211285673688</v>
      </c>
      <c r="AO697" s="94">
        <f>Table3.110[[#This Row],[Digested feed, mg]]/Table3.110[[#This Row],[Net gas 24h, ml]]</f>
        <v>5.5076206343585339</v>
      </c>
      <c r="AP697" s="94">
        <f>Table3.110[[#This Row],[CH4 8h, ml]]/Table3.110[[#This Row],[Net gas 8h, ml]]%</f>
        <v>12.1</v>
      </c>
      <c r="AQ697" s="94">
        <f>Table3.110[[#This Row],[CH4 24h, ml]]/Table3.110[[#This Row],[Net gas 24h, ml]]%</f>
        <v>12.511401606993797</v>
      </c>
      <c r="AR697" s="94">
        <f>Table3.110[[#This Row],[CH4 24h, ml]]/Table3.110[[#This Row],[DM Incubated, mg]]*1000</f>
        <v>7.0149117151182301</v>
      </c>
      <c r="AS697" s="94">
        <f>Table3.110[[#This Row],[CH4 24h, ml]]/Table3.110[[#This Row],[Digested feed, mg]]*1000</f>
        <v>22.716527585329935</v>
      </c>
      <c r="AT697" s="94">
        <f>Table3.110[[#This Row],[CH4 24h, ml]]/'3.2 Digest'!AA697</f>
        <v>-0.12342357351936777</v>
      </c>
      <c r="AU697" s="94">
        <f>((Table3.110[[#This Row],[CH4 24h, ml]]/28.9)*16.04)/Table3.110[[#This Row],[DM Incubated, mg]]*1000</f>
        <v>3.8933973671452042</v>
      </c>
      <c r="AV697" s="94">
        <f>((Table3.110[[#This Row],[CH4 24h, ml]]/28.9)*16.04)/Table3.110[[#This Row],[Digested feed, mg]]*1000</f>
        <v>12.60806582936651</v>
      </c>
    </row>
    <row r="698" spans="2:48" s="89" customFormat="1" x14ac:dyDescent="0.35">
      <c r="B698" s="90">
        <f t="shared" si="10"/>
        <v>688</v>
      </c>
      <c r="C698" s="140">
        <v>46076</v>
      </c>
      <c r="D698" s="92" t="s">
        <v>16</v>
      </c>
      <c r="E698" s="6" t="s">
        <v>183</v>
      </c>
      <c r="F698" s="242" t="s">
        <v>19</v>
      </c>
      <c r="G698" s="242" t="s">
        <v>20</v>
      </c>
      <c r="H698" s="6" t="str">
        <f>'[2]1. Information samples'!$K$32</f>
        <v>Dendrolobium triangulare</v>
      </c>
      <c r="I698" s="57" t="s">
        <v>22</v>
      </c>
      <c r="J698" s="130" t="s">
        <v>23</v>
      </c>
      <c r="K698" s="130" t="s">
        <v>24</v>
      </c>
      <c r="L698" s="6" t="s">
        <v>182</v>
      </c>
      <c r="M698" s="256">
        <v>28</v>
      </c>
      <c r="N698" s="256">
        <v>69</v>
      </c>
      <c r="O698" s="256">
        <v>3</v>
      </c>
      <c r="P698" s="257">
        <v>1</v>
      </c>
      <c r="Q698" s="96">
        <v>107</v>
      </c>
      <c r="R698" s="98">
        <v>0.50029999999999997</v>
      </c>
      <c r="S698" s="94">
        <f>((Table3.110[[#This Row],[Sample weight, g]]*'2.1. DM'!Q109)/100)*1000</f>
        <v>479.56670894991868</v>
      </c>
      <c r="T698" s="94">
        <f>'3.2 Digest'!W698</f>
        <v>122.06670894991873</v>
      </c>
      <c r="U698" s="153">
        <v>0.35069444444444442</v>
      </c>
      <c r="V698" s="154">
        <v>41.5</v>
      </c>
      <c r="W698" s="153">
        <v>0.69861111111111107</v>
      </c>
      <c r="X698" s="95">
        <v>69.5</v>
      </c>
      <c r="Y698" s="95">
        <v>13.7</v>
      </c>
      <c r="Z698" s="154">
        <v>40</v>
      </c>
      <c r="AA698" s="153">
        <v>0.38124999999999998</v>
      </c>
      <c r="AB698" s="154">
        <v>66</v>
      </c>
      <c r="AC698" s="154">
        <v>18</v>
      </c>
      <c r="AD698" s="91" t="s">
        <v>559</v>
      </c>
      <c r="AE698" s="94">
        <f>Table3.110[[#This Row],[Gas 8h, ml]]-Table3.110[[#This Row],[Gas 0h, ml]]</f>
        <v>28</v>
      </c>
      <c r="AF698" s="94">
        <f>Table3.110[[#This Row],[Gas 24h, ml]]-Table3.110[[#This Row],[V8 Push back, ml]]</f>
        <v>26</v>
      </c>
      <c r="AG698" s="94">
        <f>Table3.110[[#This Row],[GP 8h, ml]]-(AVERAGE(AE$479,AE$480,AE$660,AE$661,AE$662,AE$663))*AG$8</f>
        <v>24.607474101643646</v>
      </c>
      <c r="AH698" s="94">
        <f>Table3.110[[#This Row],[GP 8-24h, ml]]-(AVERAGE(AF$479,AF$480,AF$660,AF$661,AF$662,AF$663))*AG$8</f>
        <v>21.685592064046812</v>
      </c>
      <c r="AI698" s="94">
        <f>Table3.110[[#This Row],[Net gas 8-24h, ml]]+Table3.110[[#This Row],[Net gas 8h, ml]]</f>
        <v>46.293066165690462</v>
      </c>
      <c r="AJ698" s="94">
        <f>Table3.110[[#This Row],[Net gas 8h, ml]]*Table3.110[[#This Row],[CH4 8h %]]%</f>
        <v>3.3712239519251792</v>
      </c>
      <c r="AK698" s="94">
        <f>Table3.110[[#This Row],[Net gas 8-24h, ml]]*Table3.110[[#This Row],[CH4 24h, %]]%</f>
        <v>3.9034065715284259</v>
      </c>
      <c r="AL698" s="94">
        <f>Table3.110[[#This Row],[CH4 8-24h, ml]]+Table3.110[[#This Row],[CH4 8h, ml]]</f>
        <v>7.2746305234536051</v>
      </c>
      <c r="AM698" s="94">
        <f>(Table3.110[[#This Row],[Net gas 24h, ml]]/Table3.110[[#This Row],[DM Incubated, mg]])*1000</f>
        <v>96.531025406362943</v>
      </c>
      <c r="AN698" s="94">
        <f>'3.2 Digest'!X698</f>
        <v>25.453541013554009</v>
      </c>
      <c r="AO698" s="94">
        <f>Table3.110[[#This Row],[Digested feed, mg]]/Table3.110[[#This Row],[Net gas 24h, ml]]</f>
        <v>2.6368248867556536</v>
      </c>
      <c r="AP698" s="94">
        <f>Table3.110[[#This Row],[CH4 8h, ml]]/Table3.110[[#This Row],[Net gas 8h, ml]]%</f>
        <v>13.7</v>
      </c>
      <c r="AQ698" s="94">
        <f>Table3.110[[#This Row],[CH4 24h, ml]]/Table3.110[[#This Row],[Net gas 24h, ml]]%</f>
        <v>15.714298330157073</v>
      </c>
      <c r="AR698" s="94">
        <f>Table3.110[[#This Row],[CH4 24h, ml]]/Table3.110[[#This Row],[DM Incubated, mg]]*1000</f>
        <v>15.169173313515591</v>
      </c>
      <c r="AS698" s="94">
        <f>Table3.110[[#This Row],[CH4 24h, ml]]/Table3.110[[#This Row],[Digested feed, mg]]*1000</f>
        <v>59.59553252507385</v>
      </c>
      <c r="AT698" s="94">
        <f>Table3.110[[#This Row],[CH4 24h, ml]]/'3.2 Digest'!AA698</f>
        <v>-0.50705816241553481</v>
      </c>
      <c r="AU698" s="94">
        <f>((Table3.110[[#This Row],[CH4 24h, ml]]/28.9)*16.04)/Table3.110[[#This Row],[DM Incubated, mg]]*1000</f>
        <v>8.4191536314460222</v>
      </c>
      <c r="AV698" s="94">
        <f>((Table3.110[[#This Row],[CH4 24h, ml]]/28.9)*16.04)/Table3.110[[#This Row],[Digested feed, mg]]*1000</f>
        <v>33.076551615992543</v>
      </c>
    </row>
    <row r="699" spans="2:48" s="89" customFormat="1" x14ac:dyDescent="0.35">
      <c r="B699" s="90">
        <f t="shared" si="10"/>
        <v>689</v>
      </c>
      <c r="C699" s="140">
        <v>46076</v>
      </c>
      <c r="D699" s="92" t="s">
        <v>16</v>
      </c>
      <c r="E699" s="6" t="s">
        <v>183</v>
      </c>
      <c r="F699" s="242" t="s">
        <v>19</v>
      </c>
      <c r="G699" s="242" t="s">
        <v>20</v>
      </c>
      <c r="H699" s="6" t="str">
        <f>'[2]1. Information samples'!$K$32</f>
        <v>Dendrolobium triangulare</v>
      </c>
      <c r="I699" s="57" t="s">
        <v>22</v>
      </c>
      <c r="J699" s="130" t="s">
        <v>23</v>
      </c>
      <c r="K699" s="130" t="s">
        <v>24</v>
      </c>
      <c r="L699" s="6" t="s">
        <v>182</v>
      </c>
      <c r="M699" s="256">
        <v>28</v>
      </c>
      <c r="N699" s="256">
        <v>69</v>
      </c>
      <c r="O699" s="256">
        <v>3</v>
      </c>
      <c r="P699" s="257">
        <v>2</v>
      </c>
      <c r="Q699" s="96">
        <v>108</v>
      </c>
      <c r="R699" s="98">
        <v>0.50009999999999999</v>
      </c>
      <c r="S699" s="94">
        <f>((Table3.110[[#This Row],[Sample weight, g]]*'2.1. DM'!Q109)/100)*1000</f>
        <v>479.37499729333268</v>
      </c>
      <c r="T699" s="94">
        <f>'3.2 Digest'!W699</f>
        <v>0</v>
      </c>
      <c r="U699" s="117">
        <v>0.35069444444444442</v>
      </c>
      <c r="V699" s="155">
        <v>41</v>
      </c>
      <c r="W699" s="117">
        <v>0.69930555555555551</v>
      </c>
      <c r="X699" s="97">
        <v>70.5</v>
      </c>
      <c r="Y699" s="97">
        <v>13.7</v>
      </c>
      <c r="Z699" s="155">
        <v>40</v>
      </c>
      <c r="AA699" s="117">
        <v>0.38194444444444442</v>
      </c>
      <c r="AB699" s="155">
        <v>65.5</v>
      </c>
      <c r="AC699" s="155">
        <v>18.8</v>
      </c>
      <c r="AD699" s="96"/>
      <c r="AE699" s="94">
        <f>Table3.110[[#This Row],[Gas 8h, ml]]-Table3.110[[#This Row],[Gas 0h, ml]]</f>
        <v>29.5</v>
      </c>
      <c r="AF699" s="94">
        <f>Table3.110[[#This Row],[Gas 24h, ml]]-Table3.110[[#This Row],[V8 Push back, ml]]</f>
        <v>25.5</v>
      </c>
      <c r="AG699" s="94"/>
      <c r="AH699" s="94"/>
      <c r="AI699" s="94"/>
      <c r="AJ699" s="94"/>
      <c r="AK699" s="94"/>
      <c r="AL699" s="94"/>
      <c r="AM699" s="94"/>
      <c r="AN699" s="94"/>
      <c r="AO699" s="94"/>
      <c r="AP699" s="94"/>
      <c r="AQ699" s="94"/>
      <c r="AR699" s="94"/>
      <c r="AS699" s="94"/>
      <c r="AT699" s="94"/>
      <c r="AU699" s="94"/>
      <c r="AV699" s="94"/>
    </row>
    <row r="700" spans="2:48" s="89" customFormat="1" x14ac:dyDescent="0.35">
      <c r="B700" s="90">
        <f t="shared" si="10"/>
        <v>690</v>
      </c>
      <c r="C700" s="140">
        <v>46076</v>
      </c>
      <c r="D700" s="92" t="s">
        <v>16</v>
      </c>
      <c r="E700" s="6" t="s">
        <v>185</v>
      </c>
      <c r="F700" s="242" t="s">
        <v>19</v>
      </c>
      <c r="G700" s="242" t="s">
        <v>20</v>
      </c>
      <c r="H700" s="6" t="str">
        <f>'[2]1. Information samples'!$K$33</f>
        <v>Dendrolobium triangulare</v>
      </c>
      <c r="I700" s="57" t="s">
        <v>22</v>
      </c>
      <c r="J700" s="130" t="s">
        <v>23</v>
      </c>
      <c r="K700" s="130" t="s">
        <v>24</v>
      </c>
      <c r="L700" s="6" t="s">
        <v>184</v>
      </c>
      <c r="M700" s="256">
        <v>28</v>
      </c>
      <c r="N700" s="256">
        <v>69</v>
      </c>
      <c r="O700" s="256">
        <v>3</v>
      </c>
      <c r="P700" s="257">
        <v>1</v>
      </c>
      <c r="Q700" s="96">
        <v>109</v>
      </c>
      <c r="R700" s="98">
        <v>0.50039999999999996</v>
      </c>
      <c r="S700" s="94">
        <f>((Table3.110[[#This Row],[Sample weight, g]]*'2.1. DM'!Q111)/100)*1000</f>
        <v>478.53798794974625</v>
      </c>
      <c r="T700" s="94">
        <f>'3.2 Digest'!W700</f>
        <v>100.63798794974622</v>
      </c>
      <c r="U700" s="117">
        <v>0.35069444444444442</v>
      </c>
      <c r="V700" s="155">
        <v>42</v>
      </c>
      <c r="W700" s="117">
        <v>0.70416666666666672</v>
      </c>
      <c r="X700" s="97">
        <v>65</v>
      </c>
      <c r="Y700" s="97">
        <v>12.8</v>
      </c>
      <c r="Z700" s="155">
        <v>41</v>
      </c>
      <c r="AA700" s="117">
        <v>0.38194444444444442</v>
      </c>
      <c r="AB700" s="155">
        <v>59.5</v>
      </c>
      <c r="AC700" s="155">
        <v>18.2</v>
      </c>
      <c r="AD700" s="96"/>
      <c r="AE700" s="94">
        <f>Table3.110[[#This Row],[Gas 8h, ml]]-Table3.110[[#This Row],[Gas 0h, ml]]</f>
        <v>23</v>
      </c>
      <c r="AF700" s="94">
        <f>Table3.110[[#This Row],[Gas 24h, ml]]-Table3.110[[#This Row],[V8 Push back, ml]]</f>
        <v>18.5</v>
      </c>
      <c r="AG700" s="94">
        <f>Table3.110[[#This Row],[GP 8h, ml]]-(AVERAGE(AE$479,AE$480,AE$660,AE$661,AE$662,AE$663))*AG$8</f>
        <v>19.607474101643646</v>
      </c>
      <c r="AH700" s="94">
        <f>Table3.110[[#This Row],[GP 8-24h, ml]]-(AVERAGE(AF$479,AF$480,AF$660,AF$661,AF$662,AF$663))*AG$8</f>
        <v>14.185592064046812</v>
      </c>
      <c r="AI700" s="94">
        <f>Table3.110[[#This Row],[Net gas 8-24h, ml]]+Table3.110[[#This Row],[Net gas 8h, ml]]</f>
        <v>33.793066165690462</v>
      </c>
      <c r="AJ700" s="94">
        <f>Table3.110[[#This Row],[Net gas 8h, ml]]*Table3.110[[#This Row],[CH4 8h %]]%</f>
        <v>2.509756685010387</v>
      </c>
      <c r="AK700" s="94">
        <f>Table3.110[[#This Row],[Net gas 8-24h, ml]]*Table3.110[[#This Row],[CH4 24h, %]]%</f>
        <v>2.5817777556565198</v>
      </c>
      <c r="AL700" s="94">
        <f>Table3.110[[#This Row],[CH4 8-24h, ml]]+Table3.110[[#This Row],[CH4 8h, ml]]</f>
        <v>5.0915344406669067</v>
      </c>
      <c r="AM700" s="94">
        <f>(Table3.110[[#This Row],[Net gas 24h, ml]]/Table3.110[[#This Row],[DM Incubated, mg]])*1000</f>
        <v>70.617311512663534</v>
      </c>
      <c r="AN700" s="94">
        <f>'3.2 Digest'!X700</f>
        <v>21.030302814813258</v>
      </c>
      <c r="AO700" s="94">
        <f>Table3.110[[#This Row],[Digested feed, mg]]/Table3.110[[#This Row],[Net gas 24h, ml]]</f>
        <v>2.978066194298826</v>
      </c>
      <c r="AP700" s="94">
        <f>Table3.110[[#This Row],[CH4 8h, ml]]/Table3.110[[#This Row],[Net gas 8h, ml]]%</f>
        <v>12.8</v>
      </c>
      <c r="AQ700" s="94">
        <f>Table3.110[[#This Row],[CH4 24h, ml]]/Table3.110[[#This Row],[Net gas 24h, ml]]%</f>
        <v>15.066802212331526</v>
      </c>
      <c r="AR700" s="94">
        <f>Table3.110[[#This Row],[CH4 24h, ml]]/Table3.110[[#This Row],[DM Incubated, mg]]*1000</f>
        <v>10.639770653279035</v>
      </c>
      <c r="AS700" s="94">
        <f>Table3.110[[#This Row],[CH4 24h, ml]]/Table3.110[[#This Row],[Digested feed, mg]]*1000</f>
        <v>50.592569907194232</v>
      </c>
      <c r="AT700" s="94">
        <f>Table3.110[[#This Row],[CH4 24h, ml]]/'3.2 Digest'!AA700</f>
        <v>-0.24051266042350608</v>
      </c>
      <c r="AU700" s="94">
        <f>((Table3.110[[#This Row],[CH4 24h, ml]]/28.9)*16.04)/Table3.110[[#This Row],[DM Incubated, mg]]*1000</f>
        <v>5.9052567916469103</v>
      </c>
      <c r="AV700" s="94">
        <f>((Table3.110[[#This Row],[CH4 24h, ml]]/28.9)*16.04)/Table3.110[[#This Row],[Digested feed, mg]]*1000</f>
        <v>28.079751602470434</v>
      </c>
    </row>
    <row r="701" spans="2:48" s="89" customFormat="1" x14ac:dyDescent="0.35">
      <c r="B701" s="90">
        <f t="shared" si="10"/>
        <v>691</v>
      </c>
      <c r="C701" s="140">
        <v>46076</v>
      </c>
      <c r="D701" s="92" t="s">
        <v>16</v>
      </c>
      <c r="E701" s="6" t="s">
        <v>185</v>
      </c>
      <c r="F701" s="242" t="s">
        <v>19</v>
      </c>
      <c r="G701" s="242" t="s">
        <v>20</v>
      </c>
      <c r="H701" s="6" t="str">
        <f>'[2]1. Information samples'!$K$33</f>
        <v>Dendrolobium triangulare</v>
      </c>
      <c r="I701" s="57" t="s">
        <v>22</v>
      </c>
      <c r="J701" s="130" t="s">
        <v>23</v>
      </c>
      <c r="K701" s="130" t="s">
        <v>24</v>
      </c>
      <c r="L701" s="6" t="s">
        <v>184</v>
      </c>
      <c r="M701" s="256">
        <v>28</v>
      </c>
      <c r="N701" s="256">
        <v>69</v>
      </c>
      <c r="O701" s="256">
        <v>3</v>
      </c>
      <c r="P701" s="257">
        <v>2</v>
      </c>
      <c r="Q701" s="96">
        <v>110</v>
      </c>
      <c r="R701" s="98">
        <v>0.50039999999999996</v>
      </c>
      <c r="S701" s="94">
        <f>((Table3.110[[#This Row],[Sample weight, g]]*'2.1. DM'!Q111)/100)*1000</f>
        <v>478.53798794974625</v>
      </c>
      <c r="T701" s="94">
        <f>'3.2 Digest'!W701</f>
        <v>58.537987949746309</v>
      </c>
      <c r="U701" s="153">
        <v>0.35069444444444442</v>
      </c>
      <c r="V701" s="154">
        <v>42.5</v>
      </c>
      <c r="W701" s="153">
        <v>0.70416666666666672</v>
      </c>
      <c r="X701" s="95">
        <v>66.5</v>
      </c>
      <c r="Y701" s="95">
        <v>12</v>
      </c>
      <c r="Z701" s="154">
        <v>40.5</v>
      </c>
      <c r="AA701" s="153">
        <v>0.38263888888888886</v>
      </c>
      <c r="AB701" s="154">
        <v>57.5</v>
      </c>
      <c r="AC701" s="154">
        <v>18.3</v>
      </c>
      <c r="AD701" s="91"/>
      <c r="AE701" s="94">
        <f>Table3.110[[#This Row],[Gas 8h, ml]]-Table3.110[[#This Row],[Gas 0h, ml]]</f>
        <v>24</v>
      </c>
      <c r="AF701" s="94">
        <f>Table3.110[[#This Row],[Gas 24h, ml]]-Table3.110[[#This Row],[V8 Push back, ml]]</f>
        <v>17</v>
      </c>
      <c r="AG701" s="94">
        <f>Table3.110[[#This Row],[GP 8h, ml]]-(AVERAGE(AE$479,AE$480,AE$660,AE$661,AE$662,AE$663))*AG$8</f>
        <v>20.607474101643646</v>
      </c>
      <c r="AH701" s="94">
        <f>Table3.110[[#This Row],[GP 8-24h, ml]]-(AVERAGE(AF$479,AF$480,AF$660,AF$661,AF$662,AF$663))*AG$8</f>
        <v>12.685592064046812</v>
      </c>
      <c r="AI701" s="94">
        <f>Table3.110[[#This Row],[Net gas 8-24h, ml]]+Table3.110[[#This Row],[Net gas 8h, ml]]</f>
        <v>33.293066165690462</v>
      </c>
      <c r="AJ701" s="94">
        <f>Table3.110[[#This Row],[Net gas 8h, ml]]*Table3.110[[#This Row],[CH4 8h %]]%</f>
        <v>2.4728968921972374</v>
      </c>
      <c r="AK701" s="94">
        <f>Table3.110[[#This Row],[Net gas 8-24h, ml]]*Table3.110[[#This Row],[CH4 24h, %]]%</f>
        <v>2.3214633477205666</v>
      </c>
      <c r="AL701" s="94">
        <f>Table3.110[[#This Row],[CH4 8-24h, ml]]+Table3.110[[#This Row],[CH4 8h, ml]]</f>
        <v>4.794360239917804</v>
      </c>
      <c r="AM701" s="94">
        <f>(Table3.110[[#This Row],[Net gas 24h, ml]]/Table3.110[[#This Row],[DM Incubated, mg]])*1000</f>
        <v>69.57246238346022</v>
      </c>
      <c r="AN701" s="94">
        <f>'3.2 Digest'!X701</f>
        <v>12.232673146921345</v>
      </c>
      <c r="AO701" s="94">
        <f>Table3.110[[#This Row],[Digested feed, mg]]/Table3.110[[#This Row],[Net gas 24h, ml]]</f>
        <v>1.7582636474039006</v>
      </c>
      <c r="AP701" s="94">
        <f>Table3.110[[#This Row],[CH4 8h, ml]]/Table3.110[[#This Row],[Net gas 8h, ml]]%</f>
        <v>11.999999999999998</v>
      </c>
      <c r="AQ701" s="94">
        <f>Table3.110[[#This Row],[CH4 24h, ml]]/Table3.110[[#This Row],[Net gas 24h, ml]]%</f>
        <v>14.400476712050455</v>
      </c>
      <c r="AR701" s="94">
        <f>Table3.110[[#This Row],[CH4 24h, ml]]/Table3.110[[#This Row],[DM Incubated, mg]]*1000</f>
        <v>10.018766243530251</v>
      </c>
      <c r="AS701" s="94">
        <f>Table3.110[[#This Row],[CH4 24h, ml]]/Table3.110[[#This Row],[Digested feed, mg]]*1000</f>
        <v>81.90169166787328</v>
      </c>
      <c r="AT701" s="94">
        <f>Table3.110[[#This Row],[CH4 24h, ml]]/'3.2 Digest'!AA701</f>
        <v>-0.13829189027562303</v>
      </c>
      <c r="AU701" s="94">
        <f>((Table3.110[[#This Row],[CH4 24h, ml]]/28.9)*16.04)/Table3.110[[#This Row],[DM Incubated, mg]]*1000</f>
        <v>5.5605886002154064</v>
      </c>
      <c r="AV701" s="94">
        <f>((Table3.110[[#This Row],[CH4 24h, ml]]/28.9)*16.04)/Table3.110[[#This Row],[Digested feed, mg]]*1000</f>
        <v>45.456855859954587</v>
      </c>
    </row>
    <row r="702" spans="2:48" s="89" customFormat="1" x14ac:dyDescent="0.35">
      <c r="B702" s="90">
        <f t="shared" si="10"/>
        <v>692</v>
      </c>
      <c r="C702" s="140">
        <v>46076</v>
      </c>
      <c r="D702" s="92" t="s">
        <v>16</v>
      </c>
      <c r="E702" s="6" t="s">
        <v>187</v>
      </c>
      <c r="F702" s="242" t="s">
        <v>105</v>
      </c>
      <c r="G702" s="242" t="s">
        <v>188</v>
      </c>
      <c r="H702" s="6" t="str">
        <f>'[2]1. Information samples'!$K$34</f>
        <v>Urochloa humidicola</v>
      </c>
      <c r="I702" s="57" t="s">
        <v>22</v>
      </c>
      <c r="J702" s="130" t="s">
        <v>23</v>
      </c>
      <c r="K702" s="130" t="s">
        <v>24</v>
      </c>
      <c r="L702" s="6" t="s">
        <v>186</v>
      </c>
      <c r="M702" s="256">
        <v>28</v>
      </c>
      <c r="N702" s="256">
        <v>69</v>
      </c>
      <c r="O702" s="256">
        <v>3</v>
      </c>
      <c r="P702" s="257">
        <v>1</v>
      </c>
      <c r="Q702" s="96">
        <v>111</v>
      </c>
      <c r="R702" s="98">
        <v>0.50019999999999998</v>
      </c>
      <c r="S702" s="94">
        <f>((Table3.110[[#This Row],[Sample weight, g]]*'2.1. DM'!Q113)/100)*1000</f>
        <v>474.39613340253106</v>
      </c>
      <c r="T702" s="94">
        <f>'3.2 Digest'!W702</f>
        <v>228.79613340253113</v>
      </c>
      <c r="U702" s="153">
        <v>0.35138888888888886</v>
      </c>
      <c r="V702" s="154">
        <v>41</v>
      </c>
      <c r="W702" s="153">
        <v>0.70486111111111116</v>
      </c>
      <c r="X702" s="95">
        <v>80.5</v>
      </c>
      <c r="Y702" s="95">
        <v>13.6</v>
      </c>
      <c r="Z702" s="154">
        <v>40</v>
      </c>
      <c r="AA702" s="153">
        <v>0.38333333333333336</v>
      </c>
      <c r="AB702" s="154">
        <v>97.5</v>
      </c>
      <c r="AC702" s="154">
        <v>15.1</v>
      </c>
      <c r="AD702" s="91"/>
      <c r="AE702" s="94">
        <f>Table3.110[[#This Row],[Gas 8h, ml]]-Table3.110[[#This Row],[Gas 0h, ml]]</f>
        <v>39.5</v>
      </c>
      <c r="AF702" s="94">
        <f>Table3.110[[#This Row],[Gas 24h, ml]]-Table3.110[[#This Row],[V8 Push back, ml]]</f>
        <v>57.5</v>
      </c>
      <c r="AG702" s="94">
        <f>Table3.110[[#This Row],[GP 8h, ml]]-(AVERAGE(AE$479,AE$480,AE$660,AE$661,AE$662,AE$663))*AG$8</f>
        <v>36.107474101643646</v>
      </c>
      <c r="AH702" s="94">
        <f>Table3.110[[#This Row],[GP 8-24h, ml]]-(AVERAGE(AF$479,AF$480,AF$660,AF$661,AF$662,AF$663))*AG$8</f>
        <v>53.185592064046816</v>
      </c>
      <c r="AI702" s="94">
        <f>Table3.110[[#This Row],[Net gas 8-24h, ml]]+Table3.110[[#This Row],[Net gas 8h, ml]]</f>
        <v>89.293066165690462</v>
      </c>
      <c r="AJ702" s="94">
        <f>Table3.110[[#This Row],[Net gas 8h, ml]]*Table3.110[[#This Row],[CH4 8h %]]%</f>
        <v>4.9106164778235364</v>
      </c>
      <c r="AK702" s="94">
        <f>Table3.110[[#This Row],[Net gas 8-24h, ml]]*Table3.110[[#This Row],[CH4 24h, %]]%</f>
        <v>8.0310244016710683</v>
      </c>
      <c r="AL702" s="94">
        <f>Table3.110[[#This Row],[CH4 8-24h, ml]]+Table3.110[[#This Row],[CH4 8h, ml]]</f>
        <v>12.941640879494605</v>
      </c>
      <c r="AM702" s="94">
        <f>(Table3.110[[#This Row],[Net gas 24h, ml]]/Table3.110[[#This Row],[DM Incubated, mg]])*1000</f>
        <v>188.22469214757317</v>
      </c>
      <c r="AN702" s="94">
        <f>'3.2 Digest'!X702</f>
        <v>48.228920366936201</v>
      </c>
      <c r="AO702" s="94">
        <f>Table3.110[[#This Row],[Digested feed, mg]]/Table3.110[[#This Row],[Net gas 24h, ml]]</f>
        <v>2.5623057111509815</v>
      </c>
      <c r="AP702" s="94">
        <f>Table3.110[[#This Row],[CH4 8h, ml]]/Table3.110[[#This Row],[Net gas 8h, ml]]%</f>
        <v>13.600000000000001</v>
      </c>
      <c r="AQ702" s="94">
        <f>Table3.110[[#This Row],[CH4 24h, ml]]/Table3.110[[#This Row],[Net gas 24h, ml]]%</f>
        <v>14.493444379522538</v>
      </c>
      <c r="AR702" s="94">
        <f>Table3.110[[#This Row],[CH4 24h, ml]]/Table3.110[[#This Row],[DM Incubated, mg]]*1000</f>
        <v>27.280241064936043</v>
      </c>
      <c r="AS702" s="94">
        <f>Table3.110[[#This Row],[CH4 24h, ml]]/Table3.110[[#This Row],[Digested feed, mg]]*1000</f>
        <v>56.564071634575249</v>
      </c>
      <c r="AT702" s="94">
        <f>Table3.110[[#This Row],[CH4 24h, ml]]/'3.2 Digest'!AA702</f>
        <v>0.5403353612813544</v>
      </c>
      <c r="AU702" s="94">
        <f>((Table3.110[[#This Row],[CH4 24h, ml]]/28.9)*16.04)/Table3.110[[#This Row],[DM Incubated, mg]]*1000</f>
        <v>15.141005767528515</v>
      </c>
      <c r="AV702" s="94">
        <f>((Table3.110[[#This Row],[CH4 24h, ml]]/28.9)*16.04)/Table3.110[[#This Row],[Digested feed, mg]]*1000</f>
        <v>31.394038374345566</v>
      </c>
    </row>
    <row r="703" spans="2:48" s="89" customFormat="1" x14ac:dyDescent="0.35">
      <c r="B703" s="90">
        <f t="shared" si="10"/>
        <v>693</v>
      </c>
      <c r="C703" s="140">
        <v>46076</v>
      </c>
      <c r="D703" s="92" t="s">
        <v>16</v>
      </c>
      <c r="E703" s="6" t="s">
        <v>187</v>
      </c>
      <c r="F703" s="242" t="s">
        <v>105</v>
      </c>
      <c r="G703" s="242" t="s">
        <v>188</v>
      </c>
      <c r="H703" s="6" t="str">
        <f>'[2]1. Information samples'!$K$34</f>
        <v>Urochloa humidicola</v>
      </c>
      <c r="I703" s="57" t="s">
        <v>22</v>
      </c>
      <c r="J703" s="130" t="s">
        <v>23</v>
      </c>
      <c r="K703" s="130" t="s">
        <v>24</v>
      </c>
      <c r="L703" s="6" t="s">
        <v>186</v>
      </c>
      <c r="M703" s="256">
        <v>28</v>
      </c>
      <c r="N703" s="256">
        <v>69</v>
      </c>
      <c r="O703" s="256">
        <v>3</v>
      </c>
      <c r="P703" s="257">
        <v>2</v>
      </c>
      <c r="Q703" s="96">
        <v>112</v>
      </c>
      <c r="R703" s="98">
        <v>0.50029999999999997</v>
      </c>
      <c r="S703" s="94">
        <f>((Table3.110[[#This Row],[Sample weight, g]]*'2.1. DM'!Q113)/100)*1000</f>
        <v>474.49097469269549</v>
      </c>
      <c r="T703" s="94">
        <f>'3.2 Digest'!W703</f>
        <v>104.99097469269554</v>
      </c>
      <c r="U703" s="153">
        <v>0.35138888888888886</v>
      </c>
      <c r="V703" s="154">
        <v>40.5</v>
      </c>
      <c r="W703" s="153">
        <v>0.7055555555555556</v>
      </c>
      <c r="X703" s="95">
        <v>81.5</v>
      </c>
      <c r="Y703" s="95">
        <v>13.7</v>
      </c>
      <c r="Z703" s="154">
        <v>40</v>
      </c>
      <c r="AA703" s="153">
        <v>0.38333333333333336</v>
      </c>
      <c r="AB703" s="154">
        <v>94.5</v>
      </c>
      <c r="AC703" s="154">
        <v>15</v>
      </c>
      <c r="AD703" s="91"/>
      <c r="AE703" s="94">
        <f>Table3.110[[#This Row],[Gas 8h, ml]]-Table3.110[[#This Row],[Gas 0h, ml]]</f>
        <v>41</v>
      </c>
      <c r="AF703" s="94">
        <f>Table3.110[[#This Row],[Gas 24h, ml]]-Table3.110[[#This Row],[V8 Push back, ml]]</f>
        <v>54.5</v>
      </c>
      <c r="AG703" s="94">
        <f>Table3.110[[#This Row],[GP 8h, ml]]-(AVERAGE(AE$479,AE$480,AE$660,AE$661,AE$662,AE$663))*AG$8</f>
        <v>37.607474101643646</v>
      </c>
      <c r="AH703" s="94">
        <f>Table3.110[[#This Row],[GP 8-24h, ml]]-(AVERAGE(AF$479,AF$480,AF$660,AF$661,AF$662,AF$663))*AG$8</f>
        <v>50.185592064046816</v>
      </c>
      <c r="AI703" s="94">
        <f>Table3.110[[#This Row],[Net gas 8-24h, ml]]+Table3.110[[#This Row],[Net gas 8h, ml]]</f>
        <v>87.793066165690462</v>
      </c>
      <c r="AJ703" s="94">
        <f>Table3.110[[#This Row],[Net gas 8h, ml]]*Table3.110[[#This Row],[CH4 8h %]]%</f>
        <v>5.1522239519251789</v>
      </c>
      <c r="AK703" s="94">
        <f>Table3.110[[#This Row],[Net gas 8-24h, ml]]*Table3.110[[#This Row],[CH4 24h, %]]%</f>
        <v>7.5278388096070223</v>
      </c>
      <c r="AL703" s="94">
        <f>Table3.110[[#This Row],[CH4 8-24h, ml]]+Table3.110[[#This Row],[CH4 8h, ml]]</f>
        <v>12.680062761532202</v>
      </c>
      <c r="AM703" s="94">
        <f>(Table3.110[[#This Row],[Net gas 24h, ml]]/Table3.110[[#This Row],[DM Incubated, mg]])*1000</f>
        <v>185.02578731355158</v>
      </c>
      <c r="AN703" s="94">
        <f>'3.2 Digest'!X703</f>
        <v>22.127075180026985</v>
      </c>
      <c r="AO703" s="94">
        <f>Table3.110[[#This Row],[Digested feed, mg]]/Table3.110[[#This Row],[Net gas 24h, ml]]</f>
        <v>1.1958914214768139</v>
      </c>
      <c r="AP703" s="94">
        <f>Table3.110[[#This Row],[CH4 8h, ml]]/Table3.110[[#This Row],[Net gas 8h, ml]]%</f>
        <v>13.7</v>
      </c>
      <c r="AQ703" s="94">
        <f>Table3.110[[#This Row],[CH4 24h, ml]]/Table3.110[[#This Row],[Net gas 24h, ml]]%</f>
        <v>14.443125539779327</v>
      </c>
      <c r="AR703" s="94">
        <f>Table3.110[[#This Row],[CH4 24h, ml]]/Table3.110[[#This Row],[DM Incubated, mg]]*1000</f>
        <v>26.723506742661346</v>
      </c>
      <c r="AS703" s="94">
        <f>Table3.110[[#This Row],[CH4 24h, ml]]/Table3.110[[#This Row],[Digested feed, mg]]*1000</f>
        <v>120.77288356114654</v>
      </c>
      <c r="AT703" s="94">
        <f>Table3.110[[#This Row],[CH4 24h, ml]]/'3.2 Digest'!AA703</f>
        <v>-0.88110753711840162</v>
      </c>
      <c r="AU703" s="94">
        <f>((Table3.110[[#This Row],[CH4 24h, ml]]/28.9)*16.04)/Table3.110[[#This Row],[DM Incubated, mg]]*1000</f>
        <v>14.832008586584362</v>
      </c>
      <c r="AV703" s="94">
        <f>((Table3.110[[#This Row],[CH4 24h, ml]]/28.9)*16.04)/Table3.110[[#This Row],[Digested feed, mg]]*1000</f>
        <v>67.031039872691721</v>
      </c>
    </row>
    <row r="704" spans="2:48" s="89" customFormat="1" x14ac:dyDescent="0.35">
      <c r="B704" s="90">
        <f t="shared" si="10"/>
        <v>694</v>
      </c>
      <c r="C704" s="140">
        <v>46076</v>
      </c>
      <c r="D704" s="92" t="s">
        <v>16</v>
      </c>
      <c r="E704" s="6" t="s">
        <v>193</v>
      </c>
      <c r="F704" s="242" t="s">
        <v>105</v>
      </c>
      <c r="G704" s="242" t="s">
        <v>188</v>
      </c>
      <c r="H704" s="6" t="str">
        <f>'[2]1. Information samples'!$K$35</f>
        <v>Urochloa humidicola</v>
      </c>
      <c r="I704" s="57" t="s">
        <v>22</v>
      </c>
      <c r="J704" s="130" t="s">
        <v>23</v>
      </c>
      <c r="K704" s="130" t="s">
        <v>24</v>
      </c>
      <c r="L704" s="6" t="s">
        <v>192</v>
      </c>
      <c r="M704" s="256">
        <v>28</v>
      </c>
      <c r="N704" s="256">
        <v>69</v>
      </c>
      <c r="O704" s="256">
        <v>3</v>
      </c>
      <c r="P704" s="257">
        <v>1</v>
      </c>
      <c r="Q704" s="96">
        <v>113</v>
      </c>
      <c r="R704" s="98">
        <v>0.50019999999999998</v>
      </c>
      <c r="S704" s="94">
        <f>((Table3.110[[#This Row],[Sample weight, g]]*'2.1. DM'!Q115)/100)*1000</f>
        <v>475.56995000000012</v>
      </c>
      <c r="T704" s="94">
        <f>'3.2 Digest'!W704</f>
        <v>24.769950000000165</v>
      </c>
      <c r="U704" s="117">
        <v>0.35138888888888886</v>
      </c>
      <c r="V704" s="155">
        <v>41</v>
      </c>
      <c r="W704" s="117">
        <v>0.7055555555555556</v>
      </c>
      <c r="X704" s="97">
        <v>76</v>
      </c>
      <c r="Y704" s="97">
        <v>14</v>
      </c>
      <c r="Z704" s="155">
        <v>40.5</v>
      </c>
      <c r="AA704" s="117">
        <v>0.3840277777777778</v>
      </c>
      <c r="AB704" s="155">
        <v>91.5</v>
      </c>
      <c r="AC704" s="155">
        <v>14.7</v>
      </c>
      <c r="AD704" s="96"/>
      <c r="AE704" s="94">
        <f>Table3.110[[#This Row],[Gas 8h, ml]]-Table3.110[[#This Row],[Gas 0h, ml]]</f>
        <v>35</v>
      </c>
      <c r="AF704" s="94">
        <f>Table3.110[[#This Row],[Gas 24h, ml]]-Table3.110[[#This Row],[V8 Push back, ml]]</f>
        <v>51</v>
      </c>
      <c r="AG704" s="94">
        <f>Table3.110[[#This Row],[GP 8h, ml]]-(AVERAGE(AE$479,AE$480,AE$660,AE$661,AE$662,AE$663))*AG$8</f>
        <v>31.607474101643646</v>
      </c>
      <c r="AH704" s="94">
        <f>Table3.110[[#This Row],[GP 8-24h, ml]]-(AVERAGE(AF$479,AF$480,AF$660,AF$661,AF$662,AF$663))*AG$8</f>
        <v>46.685592064046816</v>
      </c>
      <c r="AI704" s="94">
        <f>Table3.110[[#This Row],[Net gas 8-24h, ml]]+Table3.110[[#This Row],[Net gas 8h, ml]]</f>
        <v>78.293066165690462</v>
      </c>
      <c r="AJ704" s="94">
        <f>Table3.110[[#This Row],[Net gas 8h, ml]]*Table3.110[[#This Row],[CH4 8h %]]%</f>
        <v>4.4250463742301109</v>
      </c>
      <c r="AK704" s="94">
        <f>Table3.110[[#This Row],[Net gas 8-24h, ml]]*Table3.110[[#This Row],[CH4 24h, %]]%</f>
        <v>6.8627820334148817</v>
      </c>
      <c r="AL704" s="94">
        <f>Table3.110[[#This Row],[CH4 8-24h, ml]]+Table3.110[[#This Row],[CH4 8h, ml]]</f>
        <v>11.287828407644993</v>
      </c>
      <c r="AM704" s="94">
        <f>(Table3.110[[#This Row],[Net gas 24h, ml]]/Table3.110[[#This Row],[DM Incubated, mg]])*1000</f>
        <v>164.62996908381288</v>
      </c>
      <c r="AN704" s="94">
        <f>'3.2 Digest'!X704</f>
        <v>5.2084766920197882</v>
      </c>
      <c r="AO704" s="94">
        <f>Table3.110[[#This Row],[Digested feed, mg]]/Table3.110[[#This Row],[Net gas 24h, ml]]</f>
        <v>0.3163747597722113</v>
      </c>
      <c r="AP704" s="94">
        <f>Table3.110[[#This Row],[CH4 8h, ml]]/Table3.110[[#This Row],[Net gas 8h, ml]]%</f>
        <v>14.000000000000002</v>
      </c>
      <c r="AQ704" s="94">
        <f>Table3.110[[#This Row],[CH4 24h, ml]]/Table3.110[[#This Row],[Net gas 24h, ml]]%</f>
        <v>14.417404963750849</v>
      </c>
      <c r="AR704" s="94">
        <f>Table3.110[[#This Row],[CH4 24h, ml]]/Table3.110[[#This Row],[DM Incubated, mg]]*1000</f>
        <v>23.735369334511127</v>
      </c>
      <c r="AS704" s="94">
        <f>Table3.110[[#This Row],[CH4 24h, ml]]/Table3.110[[#This Row],[Digested feed, mg]]*1000</f>
        <v>455.70654796012576</v>
      </c>
      <c r="AT704" s="94">
        <f>Table3.110[[#This Row],[CH4 24h, ml]]/'3.2 Digest'!AA704</f>
        <v>-0.29125737689853687</v>
      </c>
      <c r="AU704" s="94">
        <f>((Table3.110[[#This Row],[CH4 24h, ml]]/28.9)*16.04)/Table3.110[[#This Row],[DM Incubated, mg]]*1000</f>
        <v>13.173540627181954</v>
      </c>
      <c r="AV704" s="94">
        <f>((Table3.110[[#This Row],[CH4 24h, ml]]/28.9)*16.04)/Table3.110[[#This Row],[Digested feed, mg]]*1000</f>
        <v>252.92501831420128</v>
      </c>
    </row>
    <row r="705" spans="2:48" s="89" customFormat="1" x14ac:dyDescent="0.35">
      <c r="B705" s="90">
        <f t="shared" si="10"/>
        <v>695</v>
      </c>
      <c r="C705" s="140">
        <v>46076</v>
      </c>
      <c r="D705" s="92" t="s">
        <v>16</v>
      </c>
      <c r="E705" s="6" t="s">
        <v>193</v>
      </c>
      <c r="F705" s="242" t="s">
        <v>105</v>
      </c>
      <c r="G705" s="242" t="s">
        <v>188</v>
      </c>
      <c r="H705" s="6" t="str">
        <f>'[2]1. Information samples'!$K$35</f>
        <v>Urochloa humidicola</v>
      </c>
      <c r="I705" s="57" t="s">
        <v>22</v>
      </c>
      <c r="J705" s="130" t="s">
        <v>23</v>
      </c>
      <c r="K705" s="130" t="s">
        <v>24</v>
      </c>
      <c r="L705" s="6" t="s">
        <v>192</v>
      </c>
      <c r="M705" s="256">
        <v>28</v>
      </c>
      <c r="N705" s="256">
        <v>69</v>
      </c>
      <c r="O705" s="256">
        <v>3</v>
      </c>
      <c r="P705" s="257">
        <v>2</v>
      </c>
      <c r="Q705" s="96">
        <v>114</v>
      </c>
      <c r="R705" s="98">
        <v>0.50019999999999998</v>
      </c>
      <c r="S705" s="94">
        <f>((Table3.110[[#This Row],[Sample weight, g]]*'2.1. DM'!Q115)/100)*1000</f>
        <v>475.56995000000012</v>
      </c>
      <c r="T705" s="94">
        <f>'3.2 Digest'!W705</f>
        <v>46.069950000000119</v>
      </c>
      <c r="U705" s="153">
        <v>0.35208333333333336</v>
      </c>
      <c r="V705" s="155">
        <v>41.5</v>
      </c>
      <c r="W705" s="153">
        <v>0.70625000000000004</v>
      </c>
      <c r="X705" s="95">
        <v>78</v>
      </c>
      <c r="Y705" s="95">
        <v>13.7</v>
      </c>
      <c r="Z705" s="154">
        <v>41</v>
      </c>
      <c r="AA705" s="153">
        <v>0.3840277777777778</v>
      </c>
      <c r="AB705" s="154">
        <v>92</v>
      </c>
      <c r="AC705" s="154">
        <v>14.9</v>
      </c>
      <c r="AD705" s="91" t="s">
        <v>580</v>
      </c>
      <c r="AE705" s="94">
        <f>Table3.110[[#This Row],[Gas 8h, ml]]-Table3.110[[#This Row],[Gas 0h, ml]]</f>
        <v>36.5</v>
      </c>
      <c r="AF705" s="94">
        <f>Table3.110[[#This Row],[Gas 24h, ml]]-Table3.110[[#This Row],[V8 Push back, ml]]</f>
        <v>51</v>
      </c>
      <c r="AG705" s="94">
        <f>Table3.110[[#This Row],[GP 8h, ml]]-(AVERAGE(AE$479,AE$480,AE$660,AE$661,AE$662,AE$663))*AG$8</f>
        <v>33.107474101643646</v>
      </c>
      <c r="AH705" s="94">
        <f>Table3.110[[#This Row],[GP 8-24h, ml]]-(AVERAGE(AF$479,AF$480,AF$660,AF$661,AF$662,AF$663))*AG$8</f>
        <v>46.685592064046816</v>
      </c>
      <c r="AI705" s="94">
        <f>Table3.110[[#This Row],[Net gas 8-24h, ml]]+Table3.110[[#This Row],[Net gas 8h, ml]]</f>
        <v>79.793066165690462</v>
      </c>
      <c r="AJ705" s="94">
        <f>Table3.110[[#This Row],[Net gas 8h, ml]]*Table3.110[[#This Row],[CH4 8h %]]%</f>
        <v>4.5357239519251786</v>
      </c>
      <c r="AK705" s="94">
        <f>Table3.110[[#This Row],[Net gas 8-24h, ml]]*Table3.110[[#This Row],[CH4 24h, %]]%</f>
        <v>6.9561532175429752</v>
      </c>
      <c r="AL705" s="94">
        <f>Table3.110[[#This Row],[CH4 8-24h, ml]]+Table3.110[[#This Row],[CH4 8h, ml]]</f>
        <v>11.491877169468154</v>
      </c>
      <c r="AM705" s="94">
        <f>(Table3.110[[#This Row],[Net gas 24h, ml]]/Table3.110[[#This Row],[DM Incubated, mg]])*1000</f>
        <v>167.78407922050258</v>
      </c>
      <c r="AN705" s="94">
        <f>'3.2 Digest'!X705</f>
        <v>9.6873130861191097</v>
      </c>
      <c r="AO705" s="94">
        <f>Table3.110[[#This Row],[Digested feed, mg]]/Table3.110[[#This Row],[Net gas 24h, ml]]</f>
        <v>0.57736783675333114</v>
      </c>
      <c r="AP705" s="94">
        <f>Table3.110[[#This Row],[CH4 8h, ml]]/Table3.110[[#This Row],[Net gas 8h, ml]]%</f>
        <v>13.699999999999998</v>
      </c>
      <c r="AQ705" s="94">
        <f>Table3.110[[#This Row],[CH4 24h, ml]]/Table3.110[[#This Row],[Net gas 24h, ml]]%</f>
        <v>14.402099983982628</v>
      </c>
      <c r="AR705" s="94">
        <f>Table3.110[[#This Row],[CH4 24h, ml]]/Table3.110[[#This Row],[DM Incubated, mg]]*1000</f>
        <v>24.1644308465414</v>
      </c>
      <c r="AS705" s="94">
        <f>Table3.110[[#This Row],[CH4 24h, ml]]/Table3.110[[#This Row],[Digested feed, mg]]*1000</f>
        <v>249.44409901612926</v>
      </c>
      <c r="AT705" s="94">
        <f>Table3.110[[#This Row],[CH4 24h, ml]]/'3.2 Digest'!AA705</f>
        <v>-0.35689718764865025</v>
      </c>
      <c r="AU705" s="94">
        <f>((Table3.110[[#This Row],[CH4 24h, ml]]/28.9)*16.04)/Table3.110[[#This Row],[DM Incubated, mg]]*1000</f>
        <v>13.411677189568305</v>
      </c>
      <c r="AV705" s="94">
        <f>((Table3.110[[#This Row],[CH4 24h, ml]]/28.9)*16.04)/Table3.110[[#This Row],[Digested feed, mg]]*1000</f>
        <v>138.44579059580323</v>
      </c>
    </row>
    <row r="706" spans="2:48" s="89" customFormat="1" x14ac:dyDescent="0.35">
      <c r="B706" s="90">
        <f t="shared" si="10"/>
        <v>696</v>
      </c>
      <c r="C706" s="140">
        <v>46076</v>
      </c>
      <c r="D706" s="92" t="s">
        <v>16</v>
      </c>
      <c r="E706" s="6" t="s">
        <v>195</v>
      </c>
      <c r="F706" s="242" t="s">
        <v>105</v>
      </c>
      <c r="G706" s="242" t="s">
        <v>188</v>
      </c>
      <c r="H706" s="6" t="str">
        <f>'[2]1. Information samples'!$K$36</f>
        <v>Urochloa humidicola</v>
      </c>
      <c r="I706" s="57" t="s">
        <v>22</v>
      </c>
      <c r="J706" s="130" t="s">
        <v>23</v>
      </c>
      <c r="K706" s="130" t="s">
        <v>24</v>
      </c>
      <c r="L706" s="6" t="s">
        <v>194</v>
      </c>
      <c r="M706" s="256">
        <v>28</v>
      </c>
      <c r="N706" s="256">
        <v>69</v>
      </c>
      <c r="O706" s="256">
        <v>3</v>
      </c>
      <c r="P706" s="257">
        <v>1</v>
      </c>
      <c r="Q706" s="96">
        <v>115</v>
      </c>
      <c r="R706" s="98">
        <v>0.50019999999999998</v>
      </c>
      <c r="S706" s="94">
        <f>((Table3.110[[#This Row],[Sample weight, g]]*'2.1. DM'!Q117)/100)*1000</f>
        <v>480.29503819763954</v>
      </c>
      <c r="T706" s="94">
        <f>'3.2 Digest'!W706</f>
        <v>138.59503819763955</v>
      </c>
      <c r="U706" s="117">
        <v>0.35208333333333336</v>
      </c>
      <c r="V706" s="155">
        <v>40.5</v>
      </c>
      <c r="W706" s="117">
        <v>0.70625000000000004</v>
      </c>
      <c r="X706" s="97">
        <v>76.5</v>
      </c>
      <c r="Y706" s="97">
        <v>13.8</v>
      </c>
      <c r="Z706" s="155">
        <v>40</v>
      </c>
      <c r="AA706" s="117">
        <v>0.38472222222222224</v>
      </c>
      <c r="AB706" s="155">
        <v>91.5</v>
      </c>
      <c r="AC706" s="155">
        <v>14.8</v>
      </c>
      <c r="AD706" s="103"/>
      <c r="AE706" s="94">
        <f>Table3.110[[#This Row],[Gas 8h, ml]]-Table3.110[[#This Row],[Gas 0h, ml]]</f>
        <v>36</v>
      </c>
      <c r="AF706" s="94">
        <f>Table3.110[[#This Row],[Gas 24h, ml]]-Table3.110[[#This Row],[V8 Push back, ml]]</f>
        <v>51.5</v>
      </c>
      <c r="AG706" s="94">
        <f>Table3.110[[#This Row],[GP 8h, ml]]-(AVERAGE(AE$479,AE$480,AE$660,AE$661,AE$662,AE$663))*AG$8</f>
        <v>32.607474101643646</v>
      </c>
      <c r="AH706" s="94">
        <f>Table3.110[[#This Row],[GP 8-24h, ml]]-(AVERAGE(AF$479,AF$480,AF$660,AF$661,AF$662,AF$663))*AG$8</f>
        <v>47.185592064046816</v>
      </c>
      <c r="AI706" s="94">
        <f>Table3.110[[#This Row],[Net gas 8-24h, ml]]+Table3.110[[#This Row],[Net gas 8h, ml]]</f>
        <v>79.793066165690462</v>
      </c>
      <c r="AJ706" s="94">
        <f>Table3.110[[#This Row],[Net gas 8h, ml]]*Table3.110[[#This Row],[CH4 8h %]]%</f>
        <v>4.499831426026824</v>
      </c>
      <c r="AK706" s="94">
        <f>Table3.110[[#This Row],[Net gas 8-24h, ml]]*Table3.110[[#This Row],[CH4 24h, %]]%</f>
        <v>6.9834676254789301</v>
      </c>
      <c r="AL706" s="94">
        <f>Table3.110[[#This Row],[CH4 8-24h, ml]]+Table3.110[[#This Row],[CH4 8h, ml]]</f>
        <v>11.483299051505753</v>
      </c>
      <c r="AM706" s="94">
        <f>(Table3.110[[#This Row],[Net gas 24h, ml]]/Table3.110[[#This Row],[DM Incubated, mg]])*1000</f>
        <v>166.13343844883929</v>
      </c>
      <c r="AN706" s="94">
        <f>'3.2 Digest'!X706</f>
        <v>28.856229437166959</v>
      </c>
      <c r="AO706" s="94">
        <f>Table3.110[[#This Row],[Digested feed, mg]]/Table3.110[[#This Row],[Net gas 24h, ml]]</f>
        <v>1.7369308494781575</v>
      </c>
      <c r="AP706" s="94">
        <f>Table3.110[[#This Row],[CH4 8h, ml]]/Table3.110[[#This Row],[Net gas 8h, ml]]%</f>
        <v>13.800000000000002</v>
      </c>
      <c r="AQ706" s="94">
        <f>Table3.110[[#This Row],[CH4 24h, ml]]/Table3.110[[#This Row],[Net gas 24h, ml]]%</f>
        <v>14.391349528617761</v>
      </c>
      <c r="AR706" s="94">
        <f>Table3.110[[#This Row],[CH4 24h, ml]]/Table3.110[[#This Row],[DM Incubated, mg]]*1000</f>
        <v>23.908843811083511</v>
      </c>
      <c r="AS706" s="94">
        <f>Table3.110[[#This Row],[CH4 24h, ml]]/Table3.110[[#This Row],[Digested feed, mg]]*1000</f>
        <v>82.855051673136501</v>
      </c>
      <c r="AT706" s="94">
        <f>Table3.110[[#This Row],[CH4 24h, ml]]/'3.2 Digest'!AA706</f>
        <v>-2.3604233141476616</v>
      </c>
      <c r="AU706" s="94">
        <f>((Table3.110[[#This Row],[CH4 24h, ml]]/28.9)*16.04)/Table3.110[[#This Row],[DM Incubated, mg]]*1000</f>
        <v>13.269821962968148</v>
      </c>
      <c r="AV706" s="94">
        <f>((Table3.110[[#This Row],[CH4 24h, ml]]/28.9)*16.04)/Table3.110[[#This Row],[Digested feed, mg]]*1000</f>
        <v>45.98598715699341</v>
      </c>
    </row>
    <row r="707" spans="2:48" s="89" customFormat="1" x14ac:dyDescent="0.35">
      <c r="B707" s="90">
        <f t="shared" si="10"/>
        <v>697</v>
      </c>
      <c r="C707" s="140">
        <v>46076</v>
      </c>
      <c r="D707" s="92" t="s">
        <v>16</v>
      </c>
      <c r="E707" s="6" t="s">
        <v>195</v>
      </c>
      <c r="F707" s="242" t="s">
        <v>105</v>
      </c>
      <c r="G707" s="242" t="s">
        <v>188</v>
      </c>
      <c r="H707" s="6" t="str">
        <f>'[2]1. Information samples'!$K$36</f>
        <v>Urochloa humidicola</v>
      </c>
      <c r="I707" s="57" t="s">
        <v>22</v>
      </c>
      <c r="J707" s="130" t="s">
        <v>23</v>
      </c>
      <c r="K707" s="130" t="s">
        <v>24</v>
      </c>
      <c r="L707" s="6" t="s">
        <v>194</v>
      </c>
      <c r="M707" s="256">
        <v>28</v>
      </c>
      <c r="N707" s="256">
        <v>69</v>
      </c>
      <c r="O707" s="256">
        <v>3</v>
      </c>
      <c r="P707" s="257">
        <v>2</v>
      </c>
      <c r="Q707" s="96">
        <v>116</v>
      </c>
      <c r="R707" s="98">
        <v>0.5</v>
      </c>
      <c r="S707" s="94">
        <f>((Table3.110[[#This Row],[Sample weight, g]]*'2.1. DM'!Q117)/100)*1000</f>
        <v>480.10299699884001</v>
      </c>
      <c r="T707" s="94">
        <f>'3.2 Digest'!W707</f>
        <v>185.30299699884006</v>
      </c>
      <c r="U707" s="117">
        <v>0.35208333333333336</v>
      </c>
      <c r="V707" s="155">
        <v>40</v>
      </c>
      <c r="W707" s="117">
        <v>0.70694444444444449</v>
      </c>
      <c r="X707" s="97">
        <v>74</v>
      </c>
      <c r="Y707" s="97">
        <v>14.5</v>
      </c>
      <c r="Z707" s="155">
        <v>40</v>
      </c>
      <c r="AA707" s="117">
        <v>0.38472222222222224</v>
      </c>
      <c r="AB707" s="155">
        <v>92.5</v>
      </c>
      <c r="AC707" s="155">
        <v>14.9</v>
      </c>
      <c r="AD707" s="96"/>
      <c r="AE707" s="94">
        <f>Table3.110[[#This Row],[Gas 8h, ml]]-Table3.110[[#This Row],[Gas 0h, ml]]</f>
        <v>34</v>
      </c>
      <c r="AF707" s="94">
        <f>Table3.110[[#This Row],[Gas 24h, ml]]-Table3.110[[#This Row],[V8 Push back, ml]]</f>
        <v>52.5</v>
      </c>
      <c r="AG707" s="94">
        <f>Table3.110[[#This Row],[GP 8h, ml]]-(AVERAGE(AE$479,AE$480,AE$660,AE$661,AE$662,AE$663))*AG$8</f>
        <v>30.607474101643646</v>
      </c>
      <c r="AH707" s="94">
        <f>Table3.110[[#This Row],[GP 8-24h, ml]]-(AVERAGE(AF$479,AF$480,AF$660,AF$661,AF$662,AF$663))*AG$8</f>
        <v>48.185592064046816</v>
      </c>
      <c r="AI707" s="94">
        <f>Table3.110[[#This Row],[Net gas 8-24h, ml]]+Table3.110[[#This Row],[Net gas 8h, ml]]</f>
        <v>78.793066165690462</v>
      </c>
      <c r="AJ707" s="94">
        <f>Table3.110[[#This Row],[Net gas 8h, ml]]*Table3.110[[#This Row],[CH4 8h %]]%</f>
        <v>4.4380837447383286</v>
      </c>
      <c r="AK707" s="94">
        <f>Table3.110[[#This Row],[Net gas 8-24h, ml]]*Table3.110[[#This Row],[CH4 24h, %]]%</f>
        <v>7.1796532175429748</v>
      </c>
      <c r="AL707" s="94">
        <f>Table3.110[[#This Row],[CH4 8-24h, ml]]+Table3.110[[#This Row],[CH4 8h, ml]]</f>
        <v>11.617736962281302</v>
      </c>
      <c r="AM707" s="94">
        <f>(Table3.110[[#This Row],[Net gas 24h, ml]]/Table3.110[[#This Row],[DM Incubated, mg]])*1000</f>
        <v>164.1170054305677</v>
      </c>
      <c r="AN707" s="94">
        <f>'3.2 Digest'!X707</f>
        <v>38.596509115165503</v>
      </c>
      <c r="AO707" s="94">
        <f>Table3.110[[#This Row],[Digested feed, mg]]/Table3.110[[#This Row],[Net gas 24h, ml]]</f>
        <v>2.3517678143045551</v>
      </c>
      <c r="AP707" s="94">
        <f>Table3.110[[#This Row],[CH4 8h, ml]]/Table3.110[[#This Row],[Net gas 8h, ml]]%</f>
        <v>14.5</v>
      </c>
      <c r="AQ707" s="94">
        <f>Table3.110[[#This Row],[CH4 24h, ml]]/Table3.110[[#This Row],[Net gas 24h, ml]]%</f>
        <v>14.744618438697227</v>
      </c>
      <c r="AR707" s="94">
        <f>Table3.110[[#This Row],[CH4 24h, ml]]/Table3.110[[#This Row],[DM Incubated, mg]]*1000</f>
        <v>24.198426243753218</v>
      </c>
      <c r="AS707" s="94">
        <f>Table3.110[[#This Row],[CH4 24h, ml]]/Table3.110[[#This Row],[Digested feed, mg]]*1000</f>
        <v>62.695893484950098</v>
      </c>
      <c r="AT707" s="94">
        <f>Table3.110[[#This Row],[CH4 24h, ml]]/'3.2 Digest'!AA707</f>
        <v>1.223936806732653</v>
      </c>
      <c r="AU707" s="94">
        <f>((Table3.110[[#This Row],[CH4 24h, ml]]/28.9)*16.04)/Table3.110[[#This Row],[DM Incubated, mg]]*1000</f>
        <v>13.430545223176527</v>
      </c>
      <c r="AV707" s="94">
        <f>((Table3.110[[#This Row],[CH4 24h, ml]]/28.9)*16.04)/Table3.110[[#This Row],[Digested feed, mg]]*1000</f>
        <v>34.797305588186831</v>
      </c>
    </row>
    <row r="708" spans="2:48" s="89" customFormat="1" x14ac:dyDescent="0.35">
      <c r="B708" s="90">
        <f t="shared" si="10"/>
        <v>698</v>
      </c>
      <c r="C708" s="140">
        <v>46076</v>
      </c>
      <c r="D708" s="92" t="s">
        <v>16</v>
      </c>
      <c r="E708" s="6" t="s">
        <v>197</v>
      </c>
      <c r="F708" s="242" t="s">
        <v>105</v>
      </c>
      <c r="G708" s="242" t="s">
        <v>188</v>
      </c>
      <c r="H708" s="6" t="str">
        <f>'[2]1. Information samples'!$K$37</f>
        <v>Urochloa humidicola</v>
      </c>
      <c r="I708" s="57" t="s">
        <v>22</v>
      </c>
      <c r="J708" s="130" t="s">
        <v>23</v>
      </c>
      <c r="K708" s="130" t="s">
        <v>24</v>
      </c>
      <c r="L708" s="6" t="s">
        <v>196</v>
      </c>
      <c r="M708" s="256">
        <v>28</v>
      </c>
      <c r="N708" s="256">
        <v>69</v>
      </c>
      <c r="O708" s="256">
        <v>3</v>
      </c>
      <c r="P708" s="257">
        <v>1</v>
      </c>
      <c r="Q708" s="96">
        <v>117</v>
      </c>
      <c r="R708" s="98">
        <v>0.50009999999999999</v>
      </c>
      <c r="S708" s="94">
        <f>((Table3.110[[#This Row],[Sample weight, g]]*'2.1. DM'!Q119)/100)*1000</f>
        <v>479.89798020197964</v>
      </c>
      <c r="T708" s="94">
        <f>'3.2 Digest'!W708</f>
        <v>168.79798020197961</v>
      </c>
      <c r="U708" s="117">
        <v>0.35208333333333336</v>
      </c>
      <c r="V708" s="155">
        <v>41</v>
      </c>
      <c r="W708" s="117">
        <v>0.70763888888888893</v>
      </c>
      <c r="X708" s="97">
        <v>83.5</v>
      </c>
      <c r="Y708" s="97">
        <v>13.9</v>
      </c>
      <c r="Z708" s="155">
        <v>40</v>
      </c>
      <c r="AA708" s="117">
        <v>0.38541666666666669</v>
      </c>
      <c r="AB708" s="155">
        <v>100</v>
      </c>
      <c r="AC708" s="155">
        <v>15.2</v>
      </c>
      <c r="AD708" s="96"/>
      <c r="AE708" s="94">
        <f>Table3.110[[#This Row],[Gas 8h, ml]]-Table3.110[[#This Row],[Gas 0h, ml]]</f>
        <v>42.5</v>
      </c>
      <c r="AF708" s="94">
        <f>Table3.110[[#This Row],[Gas 24h, ml]]-Table3.110[[#This Row],[V8 Push back, ml]]</f>
        <v>60</v>
      </c>
      <c r="AG708" s="94">
        <f>Table3.110[[#This Row],[GP 8h, ml]]-(AVERAGE(AE$479,AE$480,AE$660,AE$661,AE$662,AE$663))*AG$8</f>
        <v>39.107474101643646</v>
      </c>
      <c r="AH708" s="94">
        <f>Table3.110[[#This Row],[GP 8-24h, ml]]-(AVERAGE(AF$479,AF$480,AF$660,AF$661,AF$662,AF$663))*AG$8</f>
        <v>55.685592064046816</v>
      </c>
      <c r="AI708" s="94">
        <f>Table3.110[[#This Row],[Net gas 8-24h, ml]]+Table3.110[[#This Row],[Net gas 8h, ml]]</f>
        <v>94.793066165690462</v>
      </c>
      <c r="AJ708" s="94">
        <f>Table3.110[[#This Row],[Net gas 8h, ml]]*Table3.110[[#This Row],[CH4 8h %]]%</f>
        <v>5.435938900128467</v>
      </c>
      <c r="AK708" s="94">
        <f>Table3.110[[#This Row],[Net gas 8-24h, ml]]*Table3.110[[#This Row],[CH4 24h, %]]%</f>
        <v>8.4642099937351158</v>
      </c>
      <c r="AL708" s="94">
        <f>Table3.110[[#This Row],[CH4 8-24h, ml]]+Table3.110[[#This Row],[CH4 8h, ml]]</f>
        <v>13.900148893863584</v>
      </c>
      <c r="AM708" s="94">
        <f>(Table3.110[[#This Row],[Net gas 24h, ml]]/Table3.110[[#This Row],[DM Incubated, mg]])*1000</f>
        <v>197.52753726071927</v>
      </c>
      <c r="AN708" s="94">
        <f>'3.2 Digest'!X708</f>
        <v>35.173721742053566</v>
      </c>
      <c r="AO708" s="94">
        <f>Table3.110[[#This Row],[Digested feed, mg]]/Table3.110[[#This Row],[Net gas 24h, ml]]</f>
        <v>1.7806996548348237</v>
      </c>
      <c r="AP708" s="94">
        <f>Table3.110[[#This Row],[CH4 8h, ml]]/Table3.110[[#This Row],[Net gas 8h, ml]]%</f>
        <v>13.9</v>
      </c>
      <c r="AQ708" s="94">
        <f>Table3.110[[#This Row],[CH4 24h, ml]]/Table3.110[[#This Row],[Net gas 24h, ml]]%</f>
        <v>14.663676844851995</v>
      </c>
      <c r="AR708" s="94">
        <f>Table3.110[[#This Row],[CH4 24h, ml]]/Table3.110[[#This Row],[DM Incubated, mg]]*1000</f>
        <v>28.964799743506493</v>
      </c>
      <c r="AS708" s="94">
        <f>Table3.110[[#This Row],[CH4 24h, ml]]/Table3.110[[#This Row],[Digested feed, mg]]*1000</f>
        <v>82.347838980247261</v>
      </c>
      <c r="AT708" s="94">
        <f>Table3.110[[#This Row],[CH4 24h, ml]]/'3.2 Digest'!AA708</f>
        <v>3.6019481091277026</v>
      </c>
      <c r="AU708" s="94">
        <f>((Table3.110[[#This Row],[CH4 24h, ml]]/28.9)*16.04)/Table3.110[[#This Row],[DM Incubated, mg]]*1000</f>
        <v>16.075964978748935</v>
      </c>
      <c r="AV708" s="94">
        <f>((Table3.110[[#This Row],[CH4 24h, ml]]/28.9)*16.04)/Table3.110[[#This Row],[Digested feed, mg]]*1000</f>
        <v>45.704475337133779</v>
      </c>
    </row>
    <row r="709" spans="2:48" s="89" customFormat="1" x14ac:dyDescent="0.35">
      <c r="B709" s="90">
        <f t="shared" si="10"/>
        <v>699</v>
      </c>
      <c r="C709" s="140">
        <v>46076</v>
      </c>
      <c r="D709" s="92" t="s">
        <v>16</v>
      </c>
      <c r="E709" s="6" t="s">
        <v>197</v>
      </c>
      <c r="F709" s="242" t="s">
        <v>105</v>
      </c>
      <c r="G709" s="242" t="s">
        <v>188</v>
      </c>
      <c r="H709" s="6" t="str">
        <f>'[2]1. Information samples'!$K$37</f>
        <v>Urochloa humidicola</v>
      </c>
      <c r="I709" s="57" t="s">
        <v>22</v>
      </c>
      <c r="J709" s="130" t="s">
        <v>23</v>
      </c>
      <c r="K709" s="130" t="s">
        <v>24</v>
      </c>
      <c r="L709" s="6" t="s">
        <v>196</v>
      </c>
      <c r="M709" s="256">
        <v>28</v>
      </c>
      <c r="N709" s="256">
        <v>69</v>
      </c>
      <c r="O709" s="256">
        <v>3</v>
      </c>
      <c r="P709" s="257">
        <v>2</v>
      </c>
      <c r="Q709" s="96">
        <v>118</v>
      </c>
      <c r="R709" s="98">
        <v>0.50009999999999999</v>
      </c>
      <c r="S709" s="94">
        <f>((Table3.110[[#This Row],[Sample weight, g]]*'2.1. DM'!Q119)/100)*1000</f>
        <v>479.89798020197964</v>
      </c>
      <c r="T709" s="94">
        <f>'3.2 Digest'!W709</f>
        <v>44.097980201979567</v>
      </c>
      <c r="U709" s="153">
        <v>0.3527777777777778</v>
      </c>
      <c r="V709" s="155">
        <v>40.5</v>
      </c>
      <c r="W709" s="153">
        <v>0.70833333333333337</v>
      </c>
      <c r="X709" s="95">
        <v>81</v>
      </c>
      <c r="Y709" s="95">
        <v>13.5</v>
      </c>
      <c r="Z709" s="154">
        <v>40</v>
      </c>
      <c r="AA709" s="153">
        <v>0.38611111111111113</v>
      </c>
      <c r="AB709" s="154">
        <v>100.5</v>
      </c>
      <c r="AC709" s="154">
        <v>15</v>
      </c>
      <c r="AD709" s="91"/>
      <c r="AE709" s="94">
        <f>Table3.110[[#This Row],[Gas 8h, ml]]-Table3.110[[#This Row],[Gas 0h, ml]]</f>
        <v>40.5</v>
      </c>
      <c r="AF709" s="94">
        <f>Table3.110[[#This Row],[Gas 24h, ml]]-Table3.110[[#This Row],[V8 Push back, ml]]</f>
        <v>60.5</v>
      </c>
      <c r="AG709" s="94">
        <f>Table3.110[[#This Row],[GP 8h, ml]]-(AVERAGE(AE$479,AE$480,AE$660,AE$661,AE$662,AE$663))*AG$8</f>
        <v>37.107474101643646</v>
      </c>
      <c r="AH709" s="94">
        <f>Table3.110[[#This Row],[GP 8-24h, ml]]-(AVERAGE(AF$479,AF$480,AF$660,AF$661,AF$662,AF$663))*AG$8</f>
        <v>56.185592064046816</v>
      </c>
      <c r="AI709" s="94">
        <f>Table3.110[[#This Row],[Net gas 8-24h, ml]]+Table3.110[[#This Row],[Net gas 8h, ml]]</f>
        <v>93.293066165690462</v>
      </c>
      <c r="AJ709" s="94">
        <f>Table3.110[[#This Row],[Net gas 8h, ml]]*Table3.110[[#This Row],[CH4 8h %]]%</f>
        <v>5.0095090037218926</v>
      </c>
      <c r="AK709" s="94">
        <f>Table3.110[[#This Row],[Net gas 8-24h, ml]]*Table3.110[[#This Row],[CH4 24h, %]]%</f>
        <v>8.4278388096070227</v>
      </c>
      <c r="AL709" s="94">
        <f>Table3.110[[#This Row],[CH4 8-24h, ml]]+Table3.110[[#This Row],[CH4 8h, ml]]</f>
        <v>13.437347813328916</v>
      </c>
      <c r="AM709" s="94">
        <f>(Table3.110[[#This Row],[Net gas 24h, ml]]/Table3.110[[#This Row],[DM Incubated, mg]])*1000</f>
        <v>194.40187292812786</v>
      </c>
      <c r="AN709" s="94">
        <f>'3.2 Digest'!X709</f>
        <v>9.1890322571100622</v>
      </c>
      <c r="AO709" s="94">
        <f>Table3.110[[#This Row],[Digested feed, mg]]/Table3.110[[#This Row],[Net gas 24h, ml]]</f>
        <v>0.47268229048941984</v>
      </c>
      <c r="AP709" s="94">
        <f>Table3.110[[#This Row],[CH4 8h, ml]]/Table3.110[[#This Row],[Net gas 8h, ml]]%</f>
        <v>13.500000000000002</v>
      </c>
      <c r="AQ709" s="94">
        <f>Table3.110[[#This Row],[CH4 24h, ml]]/Table3.110[[#This Row],[Net gas 24h, ml]]%</f>
        <v>14.403372475146117</v>
      </c>
      <c r="AR709" s="94">
        <f>Table3.110[[#This Row],[CH4 24h, ml]]/Table3.110[[#This Row],[DM Incubated, mg]]*1000</f>
        <v>28.000425856498499</v>
      </c>
      <c r="AS709" s="94">
        <f>Table3.110[[#This Row],[CH4 24h, ml]]/Table3.110[[#This Row],[Digested feed, mg]]*1000</f>
        <v>304.71572057909606</v>
      </c>
      <c r="AT709" s="94">
        <f>Table3.110[[#This Row],[CH4 24h, ml]]/'3.2 Digest'!AA709</f>
        <v>-0.3874929292273086</v>
      </c>
      <c r="AU709" s="94">
        <f>((Table3.110[[#This Row],[CH4 24h, ml]]/28.9)*16.04)/Table3.110[[#This Row],[DM Incubated, mg]]*1000</f>
        <v>15.540720786790171</v>
      </c>
      <c r="AV709" s="94">
        <f>((Table3.110[[#This Row],[CH4 24h, ml]]/28.9)*16.04)/Table3.110[[#This Row],[Digested feed, mg]]*1000</f>
        <v>169.12249681967822</v>
      </c>
    </row>
    <row r="710" spans="2:48" s="89" customFormat="1" x14ac:dyDescent="0.35">
      <c r="B710" s="90">
        <f t="shared" si="10"/>
        <v>700</v>
      </c>
      <c r="C710" s="140">
        <v>46076</v>
      </c>
      <c r="D710" s="92" t="s">
        <v>16</v>
      </c>
      <c r="E710" s="6" t="s">
        <v>199</v>
      </c>
      <c r="F710" s="242" t="s">
        <v>105</v>
      </c>
      <c r="G710" s="242" t="s">
        <v>188</v>
      </c>
      <c r="H710" s="6" t="str">
        <f>'[2]1. Information samples'!$K$38</f>
        <v>Urochloa humidicola</v>
      </c>
      <c r="I710" s="57" t="s">
        <v>22</v>
      </c>
      <c r="J710" s="130" t="s">
        <v>23</v>
      </c>
      <c r="K710" s="130" t="s">
        <v>24</v>
      </c>
      <c r="L710" s="6" t="s">
        <v>198</v>
      </c>
      <c r="M710" s="256">
        <v>28</v>
      </c>
      <c r="N710" s="256">
        <v>69</v>
      </c>
      <c r="O710" s="256">
        <v>3</v>
      </c>
      <c r="P710" s="257">
        <v>1</v>
      </c>
      <c r="Q710" s="96">
        <v>119</v>
      </c>
      <c r="R710" s="98">
        <v>0.5</v>
      </c>
      <c r="S710" s="94">
        <f>((Table3.110[[#This Row],[Sample weight, g]]*'2.1. DM'!Q121)/100)*1000</f>
        <v>486.35136486351382</v>
      </c>
      <c r="T710" s="94">
        <f>'3.2 Digest'!W710</f>
        <v>180.45136486351379</v>
      </c>
      <c r="U710" s="153">
        <v>0.3527777777777778</v>
      </c>
      <c r="V710" s="155">
        <v>40</v>
      </c>
      <c r="W710" s="153">
        <v>0.70902777777777781</v>
      </c>
      <c r="X710" s="95">
        <v>76.5</v>
      </c>
      <c r="Y710" s="95">
        <v>14.1</v>
      </c>
      <c r="Z710" s="154">
        <v>39.5</v>
      </c>
      <c r="AA710" s="153">
        <v>0.38680555555555557</v>
      </c>
      <c r="AB710" s="154">
        <v>84</v>
      </c>
      <c r="AC710" s="154">
        <v>15</v>
      </c>
      <c r="AD710" s="91"/>
      <c r="AE710" s="94">
        <f>Table3.110[[#This Row],[Gas 8h, ml]]-Table3.110[[#This Row],[Gas 0h, ml]]</f>
        <v>36.5</v>
      </c>
      <c r="AF710" s="94">
        <f>Table3.110[[#This Row],[Gas 24h, ml]]-Table3.110[[#This Row],[V8 Push back, ml]]</f>
        <v>44.5</v>
      </c>
      <c r="AG710" s="94">
        <f>Table3.110[[#This Row],[GP 8h, ml]]-(AVERAGE(AE$479,AE$480,AE$660,AE$661,AE$662,AE$663))*AG$8</f>
        <v>33.107474101643646</v>
      </c>
      <c r="AH710" s="94">
        <f>Table3.110[[#This Row],[GP 8-24h, ml]]-(AVERAGE(AF$479,AF$480,AF$660,AF$661,AF$662,AF$663))*AG$8</f>
        <v>40.185592064046816</v>
      </c>
      <c r="AI710" s="94">
        <f>Table3.110[[#This Row],[Net gas 8-24h, ml]]+Table3.110[[#This Row],[Net gas 8h, ml]]</f>
        <v>73.293066165690462</v>
      </c>
      <c r="AJ710" s="94">
        <f>Table3.110[[#This Row],[Net gas 8h, ml]]*Table3.110[[#This Row],[CH4 8h %]]%</f>
        <v>4.6681538483317535</v>
      </c>
      <c r="AK710" s="94">
        <f>Table3.110[[#This Row],[Net gas 8-24h, ml]]*Table3.110[[#This Row],[CH4 24h, %]]%</f>
        <v>6.0278388096070223</v>
      </c>
      <c r="AL710" s="94">
        <f>Table3.110[[#This Row],[CH4 8-24h, ml]]+Table3.110[[#This Row],[CH4 8h, ml]]</f>
        <v>10.695992657938776</v>
      </c>
      <c r="AM710" s="94">
        <f>(Table3.110[[#This Row],[Net gas 24h, ml]]/Table3.110[[#This Row],[DM Incubated, mg]])*1000</f>
        <v>150.69982621773644</v>
      </c>
      <c r="AN710" s="94">
        <f>'3.2 Digest'!X710</f>
        <v>37.103085937500012</v>
      </c>
      <c r="AO710" s="94">
        <f>Table3.110[[#This Row],[Digested feed, mg]]/Table3.110[[#This Row],[Net gas 24h, ml]]</f>
        <v>2.4620523373326364</v>
      </c>
      <c r="AP710" s="94">
        <f>Table3.110[[#This Row],[CH4 8h, ml]]/Table3.110[[#This Row],[Net gas 8h, ml]]%</f>
        <v>14.099999999999998</v>
      </c>
      <c r="AQ710" s="94">
        <f>Table3.110[[#This Row],[CH4 24h, ml]]/Table3.110[[#This Row],[Net gas 24h, ml]]%</f>
        <v>14.593457768240736</v>
      </c>
      <c r="AR710" s="94">
        <f>Table3.110[[#This Row],[CH4 24h, ml]]/Table3.110[[#This Row],[DM Incubated, mg]]*1000</f>
        <v>21.992315495897543</v>
      </c>
      <c r="AS710" s="94">
        <f>Table3.110[[#This Row],[CH4 24h, ml]]/Table3.110[[#This Row],[Digested feed, mg]]*1000</f>
        <v>59.273548116573117</v>
      </c>
      <c r="AT710" s="94">
        <f>Table3.110[[#This Row],[CH4 24h, ml]]/'3.2 Digest'!AA710</f>
        <v>1.1428169701824471</v>
      </c>
      <c r="AU710" s="94">
        <f>((Table3.110[[#This Row],[CH4 24h, ml]]/28.9)*16.04)/Table3.110[[#This Row],[DM Incubated, mg]]*1000</f>
        <v>12.20611559011061</v>
      </c>
      <c r="AV710" s="94">
        <f>((Table3.110[[#This Row],[CH4 24h, ml]]/28.9)*16.04)/Table3.110[[#This Row],[Digested feed, mg]]*1000</f>
        <v>32.897844698610129</v>
      </c>
    </row>
    <row r="711" spans="2:48" s="89" customFormat="1" x14ac:dyDescent="0.35">
      <c r="B711" s="90">
        <f t="shared" si="10"/>
        <v>701</v>
      </c>
      <c r="C711" s="140">
        <v>46076</v>
      </c>
      <c r="D711" s="92" t="s">
        <v>16</v>
      </c>
      <c r="E711" s="6" t="s">
        <v>199</v>
      </c>
      <c r="F711" s="242" t="s">
        <v>105</v>
      </c>
      <c r="G711" s="242" t="s">
        <v>188</v>
      </c>
      <c r="H711" s="6" t="str">
        <f>'[2]1. Information samples'!$K$38</f>
        <v>Urochloa humidicola</v>
      </c>
      <c r="I711" s="57" t="s">
        <v>22</v>
      </c>
      <c r="J711" s="130" t="s">
        <v>23</v>
      </c>
      <c r="K711" s="130" t="s">
        <v>24</v>
      </c>
      <c r="L711" s="6" t="s">
        <v>198</v>
      </c>
      <c r="M711" s="256">
        <v>28</v>
      </c>
      <c r="N711" s="256">
        <v>69</v>
      </c>
      <c r="O711" s="256">
        <v>3</v>
      </c>
      <c r="P711" s="257">
        <v>2</v>
      </c>
      <c r="Q711" s="96">
        <v>120</v>
      </c>
      <c r="R711" s="98">
        <v>0.50029999999999997</v>
      </c>
      <c r="S711" s="94">
        <f>((Table3.110[[#This Row],[Sample weight, g]]*'2.1. DM'!Q121)/100)*1000</f>
        <v>486.64317568243195</v>
      </c>
      <c r="T711" s="94">
        <f>'3.2 Digest'!W711</f>
        <v>142.34317568243199</v>
      </c>
      <c r="U711" s="117">
        <v>0.3527777777777778</v>
      </c>
      <c r="V711" s="155">
        <v>41</v>
      </c>
      <c r="W711" s="117">
        <v>0.70902777777777781</v>
      </c>
      <c r="X711" s="97">
        <v>78.5</v>
      </c>
      <c r="Y711" s="97">
        <v>13.9</v>
      </c>
      <c r="Z711" s="155">
        <v>40.5</v>
      </c>
      <c r="AA711" s="117">
        <v>0.38750000000000001</v>
      </c>
      <c r="AB711" s="155">
        <v>93.5</v>
      </c>
      <c r="AC711" s="155">
        <v>15.2</v>
      </c>
      <c r="AD711" s="96"/>
      <c r="AE711" s="94">
        <f>Table3.110[[#This Row],[Gas 8h, ml]]-Table3.110[[#This Row],[Gas 0h, ml]]</f>
        <v>37.5</v>
      </c>
      <c r="AF711" s="94">
        <f>Table3.110[[#This Row],[Gas 24h, ml]]-Table3.110[[#This Row],[V8 Push back, ml]]</f>
        <v>53</v>
      </c>
      <c r="AG711" s="94">
        <f>Table3.110[[#This Row],[GP 8h, ml]]-(AVERAGE(AE$479,AE$480,AE$660,AE$661,AE$662,AE$663))*AG$8</f>
        <v>34.107474101643646</v>
      </c>
      <c r="AH711" s="94">
        <f>Table3.110[[#This Row],[GP 8-24h, ml]]-(AVERAGE(AF$479,AF$480,AF$660,AF$661,AF$662,AF$663))*AG$8</f>
        <v>48.685592064046816</v>
      </c>
      <c r="AI711" s="94">
        <f>Table3.110[[#This Row],[Net gas 8-24h, ml]]+Table3.110[[#This Row],[Net gas 8h, ml]]</f>
        <v>82.793066165690462</v>
      </c>
      <c r="AJ711" s="94">
        <f>Table3.110[[#This Row],[Net gas 8h, ml]]*Table3.110[[#This Row],[CH4 8h %]]%</f>
        <v>4.7409389001284676</v>
      </c>
      <c r="AK711" s="94">
        <f>Table3.110[[#This Row],[Net gas 8-24h, ml]]*Table3.110[[#This Row],[CH4 24h, %]]%</f>
        <v>7.4002099937351158</v>
      </c>
      <c r="AL711" s="94">
        <f>Table3.110[[#This Row],[CH4 8-24h, ml]]+Table3.110[[#This Row],[CH4 8h, ml]]</f>
        <v>12.141148893863583</v>
      </c>
      <c r="AM711" s="94">
        <f>(Table3.110[[#This Row],[Net gas 24h, ml]]/Table3.110[[#This Row],[DM Incubated, mg]])*1000</f>
        <v>170.13095077227305</v>
      </c>
      <c r="AN711" s="94">
        <f>'3.2 Digest'!X711</f>
        <v>29.250009615940996</v>
      </c>
      <c r="AO711" s="94">
        <f>Table3.110[[#This Row],[Digested feed, mg]]/Table3.110[[#This Row],[Net gas 24h, ml]]</f>
        <v>1.7192644538319946</v>
      </c>
      <c r="AP711" s="94">
        <f>Table3.110[[#This Row],[CH4 8h, ml]]/Table3.110[[#This Row],[Net gas 8h, ml]]%</f>
        <v>13.900000000000002</v>
      </c>
      <c r="AQ711" s="94">
        <f>Table3.110[[#This Row],[CH4 24h, ml]]/Table3.110[[#This Row],[Net gas 24h, ml]]%</f>
        <v>14.664451331668266</v>
      </c>
      <c r="AR711" s="94">
        <f>Table3.110[[#This Row],[CH4 24h, ml]]/Table3.110[[#This Row],[DM Incubated, mg]]*1000</f>
        <v>24.948770476104482</v>
      </c>
      <c r="AS711" s="94">
        <f>Table3.110[[#This Row],[CH4 24h, ml]]/Table3.110[[#This Row],[Digested feed, mg]]*1000</f>
        <v>85.294913757934694</v>
      </c>
      <c r="AT711" s="94">
        <f>Table3.110[[#This Row],[CH4 24h, ml]]/'3.2 Digest'!AA711</f>
        <v>-6.2016223153335837</v>
      </c>
      <c r="AU711" s="94">
        <f>((Table3.110[[#This Row],[CH4 24h, ml]]/28.9)*16.04)/Table3.110[[#This Row],[DM Incubated, mg]]*1000</f>
        <v>13.846999253865599</v>
      </c>
      <c r="AV711" s="94">
        <f>((Table3.110[[#This Row],[CH4 24h, ml]]/28.9)*16.04)/Table3.110[[#This Row],[Digested feed, mg]]*1000</f>
        <v>47.340152826203202</v>
      </c>
    </row>
    <row r="712" spans="2:48" s="89" customFormat="1" x14ac:dyDescent="0.35">
      <c r="B712" s="90">
        <f t="shared" si="10"/>
        <v>702</v>
      </c>
      <c r="C712" s="140">
        <v>46076</v>
      </c>
      <c r="D712" s="92" t="s">
        <v>16</v>
      </c>
      <c r="E712" s="6" t="s">
        <v>201</v>
      </c>
      <c r="F712" s="242" t="s">
        <v>105</v>
      </c>
      <c r="G712" s="242" t="s">
        <v>188</v>
      </c>
      <c r="H712" s="6" t="str">
        <f>'[2]1. Information samples'!$K$39</f>
        <v>Urochloa humidicola</v>
      </c>
      <c r="I712" s="57" t="s">
        <v>22</v>
      </c>
      <c r="J712" s="130" t="s">
        <v>23</v>
      </c>
      <c r="K712" s="130" t="s">
        <v>24</v>
      </c>
      <c r="L712" s="6" t="s">
        <v>200</v>
      </c>
      <c r="M712" s="256">
        <v>28</v>
      </c>
      <c r="N712" s="256">
        <v>69</v>
      </c>
      <c r="O712" s="256">
        <v>3</v>
      </c>
      <c r="P712" s="257">
        <v>1</v>
      </c>
      <c r="Q712" s="96">
        <v>121</v>
      </c>
      <c r="R712" s="98">
        <v>0.50039999999999996</v>
      </c>
      <c r="S712" s="94">
        <f>((Table3.110[[#This Row],[Sample weight, g]]*'2.1. DM'!Q123)/100)*1000</f>
        <v>485.88839999999976</v>
      </c>
      <c r="T712" s="94">
        <f>'3.2 Digest'!W712</f>
        <v>209.08839999999981</v>
      </c>
      <c r="U712" s="117">
        <v>0.3527777777777778</v>
      </c>
      <c r="V712" s="155">
        <v>40.5</v>
      </c>
      <c r="W712" s="117">
        <v>0.70972222222222225</v>
      </c>
      <c r="X712" s="97">
        <v>77.5</v>
      </c>
      <c r="Y712" s="97">
        <v>13.9</v>
      </c>
      <c r="Z712" s="155">
        <v>40</v>
      </c>
      <c r="AA712" s="117">
        <v>0.38750000000000001</v>
      </c>
      <c r="AB712" s="155">
        <v>95</v>
      </c>
      <c r="AC712" s="155">
        <v>14.8</v>
      </c>
      <c r="AD712" s="96"/>
      <c r="AE712" s="94">
        <f>Table3.110[[#This Row],[Gas 8h, ml]]-Table3.110[[#This Row],[Gas 0h, ml]]</f>
        <v>37</v>
      </c>
      <c r="AF712" s="94">
        <f>Table3.110[[#This Row],[Gas 24h, ml]]-Table3.110[[#This Row],[V8 Push back, ml]]</f>
        <v>55</v>
      </c>
      <c r="AG712" s="94">
        <f>Table3.110[[#This Row],[GP 8h, ml]]-(AVERAGE(AE$479,AE$480,AE$660,AE$661,AE$662,AE$663))*AG$8</f>
        <v>33.607474101643646</v>
      </c>
      <c r="AH712" s="94">
        <f>Table3.110[[#This Row],[GP 8-24h, ml]]-(AVERAGE(AF$479,AF$480,AF$660,AF$661,AF$662,AF$663))*AG$8</f>
        <v>50.685592064046816</v>
      </c>
      <c r="AI712" s="94">
        <f>Table3.110[[#This Row],[Net gas 8-24h, ml]]+Table3.110[[#This Row],[Net gas 8h, ml]]</f>
        <v>84.293066165690462</v>
      </c>
      <c r="AJ712" s="94">
        <f>Table3.110[[#This Row],[Net gas 8h, ml]]*Table3.110[[#This Row],[CH4 8h %]]%</f>
        <v>4.6714389001284671</v>
      </c>
      <c r="AK712" s="94">
        <f>Table3.110[[#This Row],[Net gas 8-24h, ml]]*Table3.110[[#This Row],[CH4 24h, %]]%</f>
        <v>7.5014676254789299</v>
      </c>
      <c r="AL712" s="94">
        <f>Table3.110[[#This Row],[CH4 8-24h, ml]]+Table3.110[[#This Row],[CH4 8h, ml]]</f>
        <v>12.172906525607397</v>
      </c>
      <c r="AM712" s="94">
        <f>(Table3.110[[#This Row],[Net gas 24h, ml]]/Table3.110[[#This Row],[DM Incubated, mg]])*1000</f>
        <v>173.48235966466888</v>
      </c>
      <c r="AN712" s="94">
        <f>'3.2 Digest'!X712</f>
        <v>43.032185991680379</v>
      </c>
      <c r="AO712" s="94">
        <f>Table3.110[[#This Row],[Digested feed, mg]]/Table3.110[[#This Row],[Net gas 24h, ml]]</f>
        <v>2.4804934677427166</v>
      </c>
      <c r="AP712" s="94">
        <f>Table3.110[[#This Row],[CH4 8h, ml]]/Table3.110[[#This Row],[Net gas 8h, ml]]%</f>
        <v>13.9</v>
      </c>
      <c r="AQ712" s="94">
        <f>Table3.110[[#This Row],[CH4 24h, ml]]/Table3.110[[#This Row],[Net gas 24h, ml]]%</f>
        <v>14.441171829815458</v>
      </c>
      <c r="AR712" s="94">
        <f>Table3.110[[#This Row],[CH4 24h, ml]]/Table3.110[[#This Row],[DM Incubated, mg]]*1000</f>
        <v>25.0528856535933</v>
      </c>
      <c r="AS712" s="94">
        <f>Table3.110[[#This Row],[CH4 24h, ml]]/Table3.110[[#This Row],[Digested feed, mg]]*1000</f>
        <v>58.218947228097818</v>
      </c>
      <c r="AT712" s="94">
        <f>Table3.110[[#This Row],[CH4 24h, ml]]/'3.2 Digest'!AA712</f>
        <v>1.0888292393872745</v>
      </c>
      <c r="AU712" s="94">
        <f>((Table3.110[[#This Row],[CH4 24h, ml]]/28.9)*16.04)/Table3.110[[#This Row],[DM Incubated, mg]]*1000</f>
        <v>13.904784978672543</v>
      </c>
      <c r="AV712" s="94">
        <f>((Table3.110[[#This Row],[CH4 24h, ml]]/28.9)*16.04)/Table3.110[[#This Row],[Digested feed, mg]]*1000</f>
        <v>32.312522959816228</v>
      </c>
    </row>
    <row r="713" spans="2:48" s="89" customFormat="1" x14ac:dyDescent="0.35">
      <c r="B713" s="90">
        <f t="shared" si="10"/>
        <v>703</v>
      </c>
      <c r="C713" s="140">
        <v>46076</v>
      </c>
      <c r="D713" s="92" t="s">
        <v>16</v>
      </c>
      <c r="E713" s="6" t="s">
        <v>201</v>
      </c>
      <c r="F713" s="242" t="s">
        <v>105</v>
      </c>
      <c r="G713" s="242" t="s">
        <v>188</v>
      </c>
      <c r="H713" s="6" t="str">
        <f>'[2]1. Information samples'!$K$39</f>
        <v>Urochloa humidicola</v>
      </c>
      <c r="I713" s="57" t="s">
        <v>22</v>
      </c>
      <c r="J713" s="130" t="s">
        <v>23</v>
      </c>
      <c r="K713" s="130" t="s">
        <v>24</v>
      </c>
      <c r="L713" s="6" t="s">
        <v>200</v>
      </c>
      <c r="M713" s="256">
        <v>28</v>
      </c>
      <c r="N713" s="256">
        <v>69</v>
      </c>
      <c r="O713" s="256">
        <v>3</v>
      </c>
      <c r="P713" s="257">
        <v>2</v>
      </c>
      <c r="Q713" s="96">
        <v>122</v>
      </c>
      <c r="R713" s="98">
        <v>0.50009999999999999</v>
      </c>
      <c r="S713" s="94">
        <f>((Table3.110[[#This Row],[Sample weight, g]]*'2.1. DM'!Q123)/100)*1000</f>
        <v>485.59709999999984</v>
      </c>
      <c r="T713" s="94">
        <f>'3.2 Digest'!W713</f>
        <v>88.29709999999983</v>
      </c>
      <c r="U713" s="153">
        <v>0.35347222222222224</v>
      </c>
      <c r="V713" s="155">
        <v>40.5</v>
      </c>
      <c r="W713" s="153">
        <v>0.7104166666666667</v>
      </c>
      <c r="X713" s="95">
        <v>80.5</v>
      </c>
      <c r="Y713" s="95">
        <v>13.8</v>
      </c>
      <c r="Z713" s="154">
        <v>40</v>
      </c>
      <c r="AA713" s="153">
        <v>0.38819444444444445</v>
      </c>
      <c r="AB713" s="154">
        <v>95.5</v>
      </c>
      <c r="AC713" s="154">
        <v>14.8</v>
      </c>
      <c r="AD713" s="91" t="s">
        <v>559</v>
      </c>
      <c r="AE713" s="94">
        <f>Table3.110[[#This Row],[Gas 8h, ml]]-Table3.110[[#This Row],[Gas 0h, ml]]</f>
        <v>40</v>
      </c>
      <c r="AF713" s="94">
        <f>Table3.110[[#This Row],[Gas 24h, ml]]-Table3.110[[#This Row],[V8 Push back, ml]]</f>
        <v>55.5</v>
      </c>
      <c r="AG713" s="94">
        <f>Table3.110[[#This Row],[GP 8h, ml]]-(AVERAGE(AE$479,AE$480,AE$660,AE$661,AE$662,AE$663))*AG$8</f>
        <v>36.607474101643646</v>
      </c>
      <c r="AH713" s="94">
        <f>Table3.110[[#This Row],[GP 8-24h, ml]]-(AVERAGE(AF$479,AF$480,AF$660,AF$661,AF$662,AF$663))*AG$8</f>
        <v>51.185592064046816</v>
      </c>
      <c r="AI713" s="94">
        <f>Table3.110[[#This Row],[Net gas 8-24h, ml]]+Table3.110[[#This Row],[Net gas 8h, ml]]</f>
        <v>87.793066165690462</v>
      </c>
      <c r="AJ713" s="94">
        <f>Table3.110[[#This Row],[Net gas 8h, ml]]*Table3.110[[#This Row],[CH4 8h %]]%</f>
        <v>5.0518314260268236</v>
      </c>
      <c r="AK713" s="94">
        <f>Table3.110[[#This Row],[Net gas 8-24h, ml]]*Table3.110[[#This Row],[CH4 24h, %]]%</f>
        <v>7.5754676254789297</v>
      </c>
      <c r="AL713" s="94">
        <f>Table3.110[[#This Row],[CH4 8-24h, ml]]+Table3.110[[#This Row],[CH4 8h, ml]]</f>
        <v>12.627299051505753</v>
      </c>
      <c r="AM713" s="94">
        <f>(Table3.110[[#This Row],[Net gas 24h, ml]]/Table3.110[[#This Row],[DM Incubated, mg]])*1000</f>
        <v>180.79404956432091</v>
      </c>
      <c r="AN713" s="94">
        <f>'3.2 Digest'!X713</f>
        <v>18.183201670685399</v>
      </c>
      <c r="AO713" s="94">
        <f>Table3.110[[#This Row],[Digested feed, mg]]/Table3.110[[#This Row],[Net gas 24h, ml]]</f>
        <v>1.0057411576599695</v>
      </c>
      <c r="AP713" s="94">
        <f>Table3.110[[#This Row],[CH4 8h, ml]]/Table3.110[[#This Row],[Net gas 8h, ml]]%</f>
        <v>13.800000000000002</v>
      </c>
      <c r="AQ713" s="94">
        <f>Table3.110[[#This Row],[CH4 24h, ml]]/Table3.110[[#This Row],[Net gas 24h, ml]]%</f>
        <v>14.383025451775943</v>
      </c>
      <c r="AR713" s="94">
        <f>Table3.110[[#This Row],[CH4 24h, ml]]/Table3.110[[#This Row],[DM Incubated, mg]]*1000</f>
        <v>26.003654164132687</v>
      </c>
      <c r="AS713" s="94">
        <f>Table3.110[[#This Row],[CH4 24h, ml]]/Table3.110[[#This Row],[Digested feed, mg]]*1000</f>
        <v>143.00921606152158</v>
      </c>
      <c r="AT713" s="94">
        <f>Table3.110[[#This Row],[CH4 24h, ml]]/'3.2 Digest'!AA713</f>
        <v>-0.45812553499850361</v>
      </c>
      <c r="AU713" s="94">
        <f>((Table3.110[[#This Row],[CH4 24h, ml]]/28.9)*16.04)/Table3.110[[#This Row],[DM Incubated, mg]]*1000</f>
        <v>14.432477951304094</v>
      </c>
      <c r="AV713" s="94">
        <f>((Table3.110[[#This Row],[CH4 24h, ml]]/28.9)*16.04)/Table3.110[[#This Row],[Digested feed, mg]]*1000</f>
        <v>79.372589122034825</v>
      </c>
    </row>
    <row r="714" spans="2:48" s="89" customFormat="1" x14ac:dyDescent="0.35">
      <c r="B714" s="90">
        <f t="shared" si="10"/>
        <v>704</v>
      </c>
      <c r="C714" s="140">
        <v>46076</v>
      </c>
      <c r="D714" s="92" t="s">
        <v>16</v>
      </c>
      <c r="E714" s="6" t="s">
        <v>203</v>
      </c>
      <c r="F714" s="242" t="s">
        <v>105</v>
      </c>
      <c r="G714" s="242" t="s">
        <v>188</v>
      </c>
      <c r="H714" s="6" t="str">
        <f>'[2]1. Information samples'!$K$40</f>
        <v>Urochloa humidicola</v>
      </c>
      <c r="I714" s="57" t="s">
        <v>22</v>
      </c>
      <c r="J714" s="130" t="s">
        <v>23</v>
      </c>
      <c r="K714" s="130" t="s">
        <v>24</v>
      </c>
      <c r="L714" s="6" t="s">
        <v>202</v>
      </c>
      <c r="M714" s="256">
        <v>28</v>
      </c>
      <c r="N714" s="256">
        <v>69</v>
      </c>
      <c r="O714" s="256">
        <v>3</v>
      </c>
      <c r="P714" s="257">
        <v>1</v>
      </c>
      <c r="Q714" s="96">
        <v>123</v>
      </c>
      <c r="R714" s="98">
        <v>0.50009999999999999</v>
      </c>
      <c r="S714" s="94">
        <f>((Table3.110[[#This Row],[Sample weight, g]]*'2.1. DM'!Q125)/100)*1000</f>
        <v>482.5982501749823</v>
      </c>
      <c r="T714" s="94">
        <f>'3.2 Digest'!W714</f>
        <v>145.69825017498232</v>
      </c>
      <c r="U714" s="153">
        <v>0.35347222222222224</v>
      </c>
      <c r="V714" s="155">
        <v>40.5</v>
      </c>
      <c r="W714" s="153">
        <v>0.7104166666666667</v>
      </c>
      <c r="X714" s="95">
        <v>80.5</v>
      </c>
      <c r="Y714" s="95">
        <v>13.9</v>
      </c>
      <c r="Z714" s="154">
        <v>40</v>
      </c>
      <c r="AA714" s="153">
        <v>0.3888888888888889</v>
      </c>
      <c r="AB714" s="154">
        <v>97.5</v>
      </c>
      <c r="AC714" s="154">
        <v>14.7</v>
      </c>
      <c r="AD714" s="91"/>
      <c r="AE714" s="94">
        <f>Table3.110[[#This Row],[Gas 8h, ml]]-Table3.110[[#This Row],[Gas 0h, ml]]</f>
        <v>40</v>
      </c>
      <c r="AF714" s="94">
        <f>Table3.110[[#This Row],[Gas 24h, ml]]-Table3.110[[#This Row],[V8 Push back, ml]]</f>
        <v>57.5</v>
      </c>
      <c r="AG714" s="94">
        <f>Table3.110[[#This Row],[GP 8h, ml]]-(AVERAGE(AE$479,AE$480,AE$660,AE$661,AE$662,AE$663))*AG$8</f>
        <v>36.607474101643646</v>
      </c>
      <c r="AH714" s="94">
        <f>Table3.110[[#This Row],[GP 8-24h, ml]]-(AVERAGE(AF$479,AF$480,AF$660,AF$661,AF$662,AF$663))*AG$8</f>
        <v>53.185592064046816</v>
      </c>
      <c r="AI714" s="94">
        <f>Table3.110[[#This Row],[Net gas 8-24h, ml]]+Table3.110[[#This Row],[Net gas 8h, ml]]</f>
        <v>89.793066165690462</v>
      </c>
      <c r="AJ714" s="94">
        <f>Table3.110[[#This Row],[Net gas 8h, ml]]*Table3.110[[#This Row],[CH4 8h %]]%</f>
        <v>5.0884389001284669</v>
      </c>
      <c r="AK714" s="94">
        <f>Table3.110[[#This Row],[Net gas 8-24h, ml]]*Table3.110[[#This Row],[CH4 24h, %]]%</f>
        <v>7.8182820334148815</v>
      </c>
      <c r="AL714" s="94">
        <f>Table3.110[[#This Row],[CH4 8-24h, ml]]+Table3.110[[#This Row],[CH4 8h, ml]]</f>
        <v>12.906720933543347</v>
      </c>
      <c r="AM714" s="94">
        <f>(Table3.110[[#This Row],[Net gas 24h, ml]]/Table3.110[[#This Row],[DM Incubated, mg]])*1000</f>
        <v>186.06173174712703</v>
      </c>
      <c r="AN714" s="94">
        <f>'3.2 Digest'!X714</f>
        <v>30.190380947745769</v>
      </c>
      <c r="AO714" s="94">
        <f>Table3.110[[#This Row],[Digested feed, mg]]/Table3.110[[#This Row],[Net gas 24h, ml]]</f>
        <v>1.6226002340329144</v>
      </c>
      <c r="AP714" s="94">
        <f>Table3.110[[#This Row],[CH4 8h, ml]]/Table3.110[[#This Row],[Net gas 8h, ml]]%</f>
        <v>13.9</v>
      </c>
      <c r="AQ714" s="94">
        <f>Table3.110[[#This Row],[CH4 24h, ml]]/Table3.110[[#This Row],[Net gas 24h, ml]]%</f>
        <v>14.373850325733668</v>
      </c>
      <c r="AR714" s="94">
        <f>Table3.110[[#This Row],[CH4 24h, ml]]/Table3.110[[#This Row],[DM Incubated, mg]]*1000</f>
        <v>26.744234834800128</v>
      </c>
      <c r="AS714" s="94">
        <f>Table3.110[[#This Row],[CH4 24h, ml]]/Table3.110[[#This Row],[Digested feed, mg]]*1000</f>
        <v>88.58528443576013</v>
      </c>
      <c r="AT714" s="94">
        <f>Table3.110[[#This Row],[CH4 24h, ml]]/'3.2 Digest'!AA714</f>
        <v>-1.4596693821989009</v>
      </c>
      <c r="AU714" s="94">
        <f>((Table3.110[[#This Row],[CH4 24h, ml]]/28.9)*16.04)/Table3.110[[#This Row],[DM Incubated, mg]]*1000</f>
        <v>14.843513036338893</v>
      </c>
      <c r="AV714" s="94">
        <f>((Table3.110[[#This Row],[CH4 24h, ml]]/28.9)*16.04)/Table3.110[[#This Row],[Digested feed, mg]]*1000</f>
        <v>49.166365479224659</v>
      </c>
    </row>
    <row r="715" spans="2:48" s="89" customFormat="1" x14ac:dyDescent="0.35">
      <c r="B715" s="90">
        <f t="shared" si="10"/>
        <v>705</v>
      </c>
      <c r="C715" s="140">
        <v>46076</v>
      </c>
      <c r="D715" s="92" t="s">
        <v>16</v>
      </c>
      <c r="E715" s="6" t="s">
        <v>203</v>
      </c>
      <c r="F715" s="242" t="s">
        <v>105</v>
      </c>
      <c r="G715" s="242" t="s">
        <v>188</v>
      </c>
      <c r="H715" s="6" t="str">
        <f>'[2]1. Information samples'!$K$40</f>
        <v>Urochloa humidicola</v>
      </c>
      <c r="I715" s="57" t="s">
        <v>22</v>
      </c>
      <c r="J715" s="130" t="s">
        <v>23</v>
      </c>
      <c r="K715" s="130" t="s">
        <v>24</v>
      </c>
      <c r="L715" s="6" t="s">
        <v>202</v>
      </c>
      <c r="M715" s="256">
        <v>28</v>
      </c>
      <c r="N715" s="256">
        <v>69</v>
      </c>
      <c r="O715" s="256">
        <v>3</v>
      </c>
      <c r="P715" s="257">
        <v>2</v>
      </c>
      <c r="Q715" s="96">
        <v>124</v>
      </c>
      <c r="R715" s="98">
        <v>0.50009999999999999</v>
      </c>
      <c r="S715" s="94">
        <f>((Table3.110[[#This Row],[Sample weight, g]]*'2.1. DM'!Q125)/100)*1000</f>
        <v>482.5982501749823</v>
      </c>
      <c r="T715" s="94">
        <f>'3.2 Digest'!W715</f>
        <v>206.09825017498224</v>
      </c>
      <c r="U715" s="117">
        <v>0.35347222222222224</v>
      </c>
      <c r="V715" s="155">
        <v>40</v>
      </c>
      <c r="W715" s="117">
        <v>0.71111111111111114</v>
      </c>
      <c r="X715" s="97">
        <v>80.5</v>
      </c>
      <c r="Y715" s="97">
        <v>13.4</v>
      </c>
      <c r="Z715" s="155">
        <v>39.5</v>
      </c>
      <c r="AA715" s="117">
        <v>0.3888888888888889</v>
      </c>
      <c r="AB715" s="155">
        <v>95.5</v>
      </c>
      <c r="AC715" s="155">
        <v>14.6</v>
      </c>
      <c r="AD715" s="96"/>
      <c r="AE715" s="94">
        <f>Table3.110[[#This Row],[Gas 8h, ml]]-Table3.110[[#This Row],[Gas 0h, ml]]</f>
        <v>40.5</v>
      </c>
      <c r="AF715" s="94">
        <f>Table3.110[[#This Row],[Gas 24h, ml]]-Table3.110[[#This Row],[V8 Push back, ml]]</f>
        <v>56</v>
      </c>
      <c r="AG715" s="94">
        <f>Table3.110[[#This Row],[GP 8h, ml]]-(AVERAGE(AE$479,AE$480,AE$660,AE$661,AE$662,AE$663))*AG$8</f>
        <v>37.107474101643646</v>
      </c>
      <c r="AH715" s="94">
        <f>Table3.110[[#This Row],[GP 8-24h, ml]]-(AVERAGE(AF$479,AF$480,AF$660,AF$661,AF$662,AF$663))*AG$8</f>
        <v>51.685592064046816</v>
      </c>
      <c r="AI715" s="94">
        <f>Table3.110[[#This Row],[Net gas 8-24h, ml]]+Table3.110[[#This Row],[Net gas 8h, ml]]</f>
        <v>88.793066165690462</v>
      </c>
      <c r="AJ715" s="94">
        <f>Table3.110[[#This Row],[Net gas 8h, ml]]*Table3.110[[#This Row],[CH4 8h %]]%</f>
        <v>4.9724015296202486</v>
      </c>
      <c r="AK715" s="94">
        <f>Table3.110[[#This Row],[Net gas 8-24h, ml]]*Table3.110[[#This Row],[CH4 24h, %]]%</f>
        <v>7.5460964413508345</v>
      </c>
      <c r="AL715" s="94">
        <f>Table3.110[[#This Row],[CH4 8-24h, ml]]+Table3.110[[#This Row],[CH4 8h, ml]]</f>
        <v>12.518497970971083</v>
      </c>
      <c r="AM715" s="94">
        <f>(Table3.110[[#This Row],[Net gas 24h, ml]]/Table3.110[[#This Row],[DM Incubated, mg]])*1000</f>
        <v>183.98961482660894</v>
      </c>
      <c r="AN715" s="94">
        <f>'3.2 Digest'!X715</f>
        <v>42.705967147674976</v>
      </c>
      <c r="AO715" s="94">
        <f>Table3.110[[#This Row],[Digested feed, mg]]/Table3.110[[#This Row],[Net gas 24h, ml]]</f>
        <v>2.3211074814152366</v>
      </c>
      <c r="AP715" s="94">
        <f>Table3.110[[#This Row],[CH4 8h, ml]]/Table3.110[[#This Row],[Net gas 8h, ml]]%</f>
        <v>13.4</v>
      </c>
      <c r="AQ715" s="94">
        <f>Table3.110[[#This Row],[CH4 24h, ml]]/Table3.110[[#This Row],[Net gas 24h, ml]]%</f>
        <v>14.098508488952504</v>
      </c>
      <c r="AR715" s="94">
        <f>Table3.110[[#This Row],[CH4 24h, ml]]/Table3.110[[#This Row],[DM Incubated, mg]]*1000</f>
        <v>25.939791465120479</v>
      </c>
      <c r="AS715" s="94">
        <f>Table3.110[[#This Row],[CH4 24h, ml]]/Table3.110[[#This Row],[Digested feed, mg]]*1000</f>
        <v>60.740437923866821</v>
      </c>
      <c r="AT715" s="94">
        <f>Table3.110[[#This Row],[CH4 24h, ml]]/'3.2 Digest'!AA715</f>
        <v>1.1731111683665276</v>
      </c>
      <c r="AU715" s="94">
        <f>((Table3.110[[#This Row],[CH4 24h, ml]]/28.9)*16.04)/Table3.110[[#This Row],[DM Incubated, mg]]*1000</f>
        <v>14.397033048461331</v>
      </c>
      <c r="AV715" s="94">
        <f>((Table3.110[[#This Row],[CH4 24h, ml]]/28.9)*16.04)/Table3.110[[#This Row],[Digested feed, mg]]*1000</f>
        <v>33.711993920374532</v>
      </c>
    </row>
    <row r="716" spans="2:48" s="89" customFormat="1" x14ac:dyDescent="0.35">
      <c r="B716" s="90">
        <f t="shared" ref="B716:B779" si="11">B715+1</f>
        <v>706</v>
      </c>
      <c r="C716" s="140">
        <v>46076</v>
      </c>
      <c r="D716" s="92" t="s">
        <v>16</v>
      </c>
      <c r="E716" s="6" t="s">
        <v>205</v>
      </c>
      <c r="F716" s="242" t="s">
        <v>105</v>
      </c>
      <c r="G716" s="242" t="s">
        <v>188</v>
      </c>
      <c r="H716" s="6" t="str">
        <f>'[2]1. Information samples'!$K$41</f>
        <v>Urochloa humidicola</v>
      </c>
      <c r="I716" s="57" t="s">
        <v>22</v>
      </c>
      <c r="J716" s="130" t="s">
        <v>23</v>
      </c>
      <c r="K716" s="130" t="s">
        <v>24</v>
      </c>
      <c r="L716" s="6" t="s">
        <v>204</v>
      </c>
      <c r="M716" s="256">
        <v>28</v>
      </c>
      <c r="N716" s="256">
        <v>69</v>
      </c>
      <c r="O716" s="256">
        <v>3</v>
      </c>
      <c r="P716" s="257">
        <v>1</v>
      </c>
      <c r="Q716" s="96">
        <v>125</v>
      </c>
      <c r="R716" s="98">
        <v>0.50029999999999997</v>
      </c>
      <c r="S716" s="94">
        <f>((Table3.110[[#This Row],[Sample weight, g]]*'2.1. DM'!Q127)/100)*1000</f>
        <v>484.62419758787797</v>
      </c>
      <c r="T716" s="94">
        <f>'3.2 Digest'!W716</f>
        <v>51.124197587878086</v>
      </c>
      <c r="U716" s="117">
        <v>0.35416666666666669</v>
      </c>
      <c r="V716" s="155">
        <v>40.5</v>
      </c>
      <c r="W716" s="117">
        <v>0.71111111111111114</v>
      </c>
      <c r="X716" s="97">
        <v>79.5</v>
      </c>
      <c r="Y716" s="97">
        <v>13.7</v>
      </c>
      <c r="Z716" s="155">
        <v>40</v>
      </c>
      <c r="AA716" s="117">
        <v>0.39027777777777778</v>
      </c>
      <c r="AB716" s="155">
        <v>97</v>
      </c>
      <c r="AC716" s="155">
        <v>15.1</v>
      </c>
      <c r="AD716" s="96"/>
      <c r="AE716" s="94">
        <f>Table3.110[[#This Row],[Gas 8h, ml]]-Table3.110[[#This Row],[Gas 0h, ml]]</f>
        <v>39</v>
      </c>
      <c r="AF716" s="94">
        <f>Table3.110[[#This Row],[Gas 24h, ml]]-Table3.110[[#This Row],[V8 Push back, ml]]</f>
        <v>57</v>
      </c>
      <c r="AG716" s="94">
        <f>Table3.110[[#This Row],[GP 8h, ml]]-(AVERAGE(AE$479,AE$480,AE$660,AE$661,AE$662,AE$663))*AG$8</f>
        <v>35.607474101643646</v>
      </c>
      <c r="AH716" s="94">
        <f>Table3.110[[#This Row],[GP 8-24h, ml]]-(AVERAGE(AF$479,AF$480,AF$660,AF$661,AF$662,AF$663))*AG$8</f>
        <v>52.685592064046816</v>
      </c>
      <c r="AI716" s="94">
        <f>Table3.110[[#This Row],[Net gas 8-24h, ml]]+Table3.110[[#This Row],[Net gas 8h, ml]]</f>
        <v>88.293066165690462</v>
      </c>
      <c r="AJ716" s="94">
        <f>Table3.110[[#This Row],[Net gas 8h, ml]]*Table3.110[[#This Row],[CH4 8h %]]%</f>
        <v>4.8782239519251789</v>
      </c>
      <c r="AK716" s="94">
        <f>Table3.110[[#This Row],[Net gas 8-24h, ml]]*Table3.110[[#This Row],[CH4 24h, %]]%</f>
        <v>7.9555244016710693</v>
      </c>
      <c r="AL716" s="94">
        <f>Table3.110[[#This Row],[CH4 8-24h, ml]]+Table3.110[[#This Row],[CH4 8h, ml]]</f>
        <v>12.833748353596249</v>
      </c>
      <c r="AM716" s="94">
        <f>(Table3.110[[#This Row],[Net gas 24h, ml]]/Table3.110[[#This Row],[DM Incubated, mg]])*1000</f>
        <v>182.1887281013864</v>
      </c>
      <c r="AN716" s="94">
        <f>'3.2 Digest'!X716</f>
        <v>10.549245754202694</v>
      </c>
      <c r="AO716" s="94">
        <f>Table3.110[[#This Row],[Digested feed, mg]]/Table3.110[[#This Row],[Net gas 24h, ml]]</f>
        <v>0.57902845385320056</v>
      </c>
      <c r="AP716" s="94">
        <f>Table3.110[[#This Row],[CH4 8h, ml]]/Table3.110[[#This Row],[Net gas 8h, ml]]%</f>
        <v>13.7</v>
      </c>
      <c r="AQ716" s="94">
        <f>Table3.110[[#This Row],[CH4 24h, ml]]/Table3.110[[#This Row],[Net gas 24h, ml]]%</f>
        <v>14.535397750840913</v>
      </c>
      <c r="AR716" s="94">
        <f>Table3.110[[#This Row],[CH4 24h, ml]]/Table3.110[[#This Row],[DM Incubated, mg]]*1000</f>
        <v>26.481856286734583</v>
      </c>
      <c r="AS716" s="94">
        <f>Table3.110[[#This Row],[CH4 24h, ml]]/Table3.110[[#This Row],[Digested feed, mg]]*1000</f>
        <v>251.03080261623944</v>
      </c>
      <c r="AT716" s="94">
        <f>Table3.110[[#This Row],[CH4 24h, ml]]/'3.2 Digest'!AA716</f>
        <v>-0.44580441370630464</v>
      </c>
      <c r="AU716" s="94">
        <f>((Table3.110[[#This Row],[CH4 24h, ml]]/28.9)*16.04)/Table3.110[[#This Row],[DM Incubated, mg]]*1000</f>
        <v>14.697888402741272</v>
      </c>
      <c r="AV716" s="94">
        <f>((Table3.110[[#This Row],[CH4 24h, ml]]/28.9)*16.04)/Table3.110[[#This Row],[Digested feed, mg]]*1000</f>
        <v>139.32643854548377</v>
      </c>
    </row>
    <row r="717" spans="2:48" s="89" customFormat="1" x14ac:dyDescent="0.35">
      <c r="B717" s="90">
        <f t="shared" si="11"/>
        <v>707</v>
      </c>
      <c r="C717" s="140">
        <v>46076</v>
      </c>
      <c r="D717" s="92" t="s">
        <v>16</v>
      </c>
      <c r="E717" s="6" t="s">
        <v>205</v>
      </c>
      <c r="F717" s="242" t="s">
        <v>105</v>
      </c>
      <c r="G717" s="242" t="s">
        <v>188</v>
      </c>
      <c r="H717" s="6" t="str">
        <f>'[2]1. Information samples'!$K$41</f>
        <v>Urochloa humidicola</v>
      </c>
      <c r="I717" s="57" t="s">
        <v>22</v>
      </c>
      <c r="J717" s="130" t="s">
        <v>23</v>
      </c>
      <c r="K717" s="130" t="s">
        <v>24</v>
      </c>
      <c r="L717" s="6" t="s">
        <v>204</v>
      </c>
      <c r="M717" s="256">
        <v>28</v>
      </c>
      <c r="N717" s="256">
        <v>69</v>
      </c>
      <c r="O717" s="256">
        <v>3</v>
      </c>
      <c r="P717" s="257">
        <v>2</v>
      </c>
      <c r="Q717" s="96">
        <v>126</v>
      </c>
      <c r="R717" s="98">
        <v>0.50009999999999999</v>
      </c>
      <c r="S717" s="94">
        <f>((Table3.110[[#This Row],[Sample weight, g]]*'2.1. DM'!Q127)/100)*1000</f>
        <v>484.4304641489062</v>
      </c>
      <c r="T717" s="94">
        <f>'3.2 Digest'!W717</f>
        <v>147.83046414890617</v>
      </c>
      <c r="U717" s="153">
        <v>0.35416666666666669</v>
      </c>
      <c r="V717" s="155">
        <v>40.5</v>
      </c>
      <c r="W717" s="153">
        <v>0.71180555555555558</v>
      </c>
      <c r="X717" s="95">
        <v>79</v>
      </c>
      <c r="Y717" s="95">
        <v>13.7</v>
      </c>
      <c r="Z717" s="154">
        <v>40</v>
      </c>
      <c r="AA717" s="153">
        <v>0.38958333333333334</v>
      </c>
      <c r="AB717" s="154">
        <v>98</v>
      </c>
      <c r="AC717" s="154">
        <v>14.8</v>
      </c>
      <c r="AD717" s="91"/>
      <c r="AE717" s="94">
        <f>Table3.110[[#This Row],[Gas 8h, ml]]-Table3.110[[#This Row],[Gas 0h, ml]]</f>
        <v>38.5</v>
      </c>
      <c r="AF717" s="94">
        <f>Table3.110[[#This Row],[Gas 24h, ml]]-Table3.110[[#This Row],[V8 Push back, ml]]</f>
        <v>58</v>
      </c>
      <c r="AG717" s="94">
        <f>Table3.110[[#This Row],[GP 8h, ml]]-(AVERAGE(AE$479,AE$480,AE$660,AE$661,AE$662,AE$663))*AG$8</f>
        <v>35.107474101643646</v>
      </c>
      <c r="AH717" s="94">
        <f>Table3.110[[#This Row],[GP 8-24h, ml]]-(AVERAGE(AF$479,AF$480,AF$660,AF$661,AF$662,AF$663))*AG$8</f>
        <v>53.685592064046816</v>
      </c>
      <c r="AI717" s="94">
        <f>Table3.110[[#This Row],[Net gas 8-24h, ml]]+Table3.110[[#This Row],[Net gas 8h, ml]]</f>
        <v>88.793066165690462</v>
      </c>
      <c r="AJ717" s="94">
        <f>Table3.110[[#This Row],[Net gas 8h, ml]]*Table3.110[[#This Row],[CH4 8h %]]%</f>
        <v>4.8097239519251787</v>
      </c>
      <c r="AK717" s="94">
        <f>Table3.110[[#This Row],[Net gas 8-24h, ml]]*Table3.110[[#This Row],[CH4 24h, %]]%</f>
        <v>7.9454676254789298</v>
      </c>
      <c r="AL717" s="94">
        <f>Table3.110[[#This Row],[CH4 8-24h, ml]]+Table3.110[[#This Row],[CH4 8h, ml]]</f>
        <v>12.755191577404108</v>
      </c>
      <c r="AM717" s="94">
        <f>(Table3.110[[#This Row],[Net gas 24h, ml]]/Table3.110[[#This Row],[DM Incubated, mg]])*1000</f>
        <v>183.2937288981002</v>
      </c>
      <c r="AN717" s="94">
        <f>'3.2 Digest'!X717</f>
        <v>30.516343436127386</v>
      </c>
      <c r="AO717" s="94">
        <f>Table3.110[[#This Row],[Digested feed, mg]]/Table3.110[[#This Row],[Net gas 24h, ml]]</f>
        <v>1.664887479761654</v>
      </c>
      <c r="AP717" s="94">
        <f>Table3.110[[#This Row],[CH4 8h, ml]]/Table3.110[[#This Row],[Net gas 8h, ml]]%</f>
        <v>13.699999999999996</v>
      </c>
      <c r="AQ717" s="94">
        <f>Table3.110[[#This Row],[CH4 24h, ml]]/Table3.110[[#This Row],[Net gas 24h, ml]]%</f>
        <v>14.365076157638873</v>
      </c>
      <c r="AR717" s="94">
        <f>Table3.110[[#This Row],[CH4 24h, ml]]/Table3.110[[#This Row],[DM Incubated, mg]]*1000</f>
        <v>26.330283748388222</v>
      </c>
      <c r="AS717" s="94">
        <f>Table3.110[[#This Row],[CH4 24h, ml]]/Table3.110[[#This Row],[Digested feed, mg]]*1000</f>
        <v>86.282564631306997</v>
      </c>
      <c r="AT717" s="94">
        <f>Table3.110[[#This Row],[CH4 24h, ml]]/'3.2 Digest'!AA717</f>
        <v>-319.15313604814202</v>
      </c>
      <c r="AU717" s="94">
        <f>((Table3.110[[#This Row],[CH4 24h, ml]]/28.9)*16.04)/Table3.110[[#This Row],[DM Incubated, mg]]*1000</f>
        <v>14.613763021596787</v>
      </c>
      <c r="AV717" s="94">
        <f>((Table3.110[[#This Row],[CH4 24h, ml]]/28.9)*16.04)/Table3.110[[#This Row],[Digested feed, mg]]*1000</f>
        <v>47.888316148310182</v>
      </c>
    </row>
    <row r="718" spans="2:48" s="89" customFormat="1" x14ac:dyDescent="0.35">
      <c r="B718" s="90">
        <f t="shared" si="11"/>
        <v>708</v>
      </c>
      <c r="C718" s="140">
        <v>46076</v>
      </c>
      <c r="D718" s="92" t="s">
        <v>16</v>
      </c>
      <c r="E718" s="6" t="s">
        <v>207</v>
      </c>
      <c r="F718" s="242" t="s">
        <v>105</v>
      </c>
      <c r="G718" s="242" t="s">
        <v>188</v>
      </c>
      <c r="H718" s="6" t="str">
        <f>'[2]1. Information samples'!$K$42</f>
        <v>Urochloa humidicola</v>
      </c>
      <c r="I718" s="57" t="s">
        <v>22</v>
      </c>
      <c r="J718" s="130" t="s">
        <v>23</v>
      </c>
      <c r="K718" s="130" t="s">
        <v>24</v>
      </c>
      <c r="L718" s="6" t="s">
        <v>206</v>
      </c>
      <c r="M718" s="256">
        <v>28</v>
      </c>
      <c r="N718" s="256">
        <v>69</v>
      </c>
      <c r="O718" s="256">
        <v>3</v>
      </c>
      <c r="P718" s="257">
        <v>1</v>
      </c>
      <c r="Q718" s="96">
        <v>127</v>
      </c>
      <c r="R718" s="98">
        <v>0.50019999999999998</v>
      </c>
      <c r="S718" s="94">
        <f>((Table3.110[[#This Row],[Sample weight, g]]*'2.1. DM'!Q129)/100)*1000</f>
        <v>488.47208767769672</v>
      </c>
      <c r="T718" s="94">
        <f>'3.2 Digest'!W718</f>
        <v>80.472087677696663</v>
      </c>
      <c r="U718" s="153">
        <v>0.35416666666666669</v>
      </c>
      <c r="V718" s="155">
        <v>40</v>
      </c>
      <c r="W718" s="153">
        <v>0.71180555555555558</v>
      </c>
      <c r="X718" s="95">
        <v>80</v>
      </c>
      <c r="Y718" s="95">
        <v>13.3</v>
      </c>
      <c r="Z718" s="154">
        <v>39.5</v>
      </c>
      <c r="AA718" s="153">
        <v>0.38958333333333334</v>
      </c>
      <c r="AB718" s="154">
        <v>91.5</v>
      </c>
      <c r="AC718" s="154">
        <v>14.9</v>
      </c>
      <c r="AD718" s="91"/>
      <c r="AE718" s="94">
        <f>Table3.110[[#This Row],[Gas 8h, ml]]-Table3.110[[#This Row],[Gas 0h, ml]]</f>
        <v>40</v>
      </c>
      <c r="AF718" s="94">
        <f>Table3.110[[#This Row],[Gas 24h, ml]]-Table3.110[[#This Row],[V8 Push back, ml]]</f>
        <v>52</v>
      </c>
      <c r="AG718" s="94">
        <f>Table3.110[[#This Row],[GP 8h, ml]]-(AVERAGE(AE$479,AE$480,AE$660,AE$661,AE$662,AE$663))*AG$8</f>
        <v>36.607474101643646</v>
      </c>
      <c r="AH718" s="94">
        <f>Table3.110[[#This Row],[GP 8-24h, ml]]-(AVERAGE(AF$479,AF$480,AF$660,AF$661,AF$662,AF$663))*AG$8</f>
        <v>47.685592064046816</v>
      </c>
      <c r="AI718" s="94">
        <f>Table3.110[[#This Row],[Net gas 8-24h, ml]]+Table3.110[[#This Row],[Net gas 8h, ml]]</f>
        <v>84.293066165690462</v>
      </c>
      <c r="AJ718" s="94">
        <f>Table3.110[[#This Row],[Net gas 8h, ml]]*Table3.110[[#This Row],[CH4 8h %]]%</f>
        <v>4.8687940555186051</v>
      </c>
      <c r="AK718" s="94">
        <f>Table3.110[[#This Row],[Net gas 8-24h, ml]]*Table3.110[[#This Row],[CH4 24h, %]]%</f>
        <v>7.1051532175429752</v>
      </c>
      <c r="AL718" s="94">
        <f>Table3.110[[#This Row],[CH4 8-24h, ml]]+Table3.110[[#This Row],[CH4 8h, ml]]</f>
        <v>11.973947273061579</v>
      </c>
      <c r="AM718" s="94">
        <f>(Table3.110[[#This Row],[Net gas 24h, ml]]/Table3.110[[#This Row],[DM Incubated, mg]])*1000</f>
        <v>172.56475506397541</v>
      </c>
      <c r="AN718" s="94">
        <f>'3.2 Digest'!X718</f>
        <v>16.474244835621743</v>
      </c>
      <c r="AO718" s="94">
        <f>Table3.110[[#This Row],[Digested feed, mg]]/Table3.110[[#This Row],[Net gas 24h, ml]]</f>
        <v>0.95467031083573228</v>
      </c>
      <c r="AP718" s="94">
        <f>Table3.110[[#This Row],[CH4 8h, ml]]/Table3.110[[#This Row],[Net gas 8h, ml]]%</f>
        <v>13.3</v>
      </c>
      <c r="AQ718" s="94">
        <f>Table3.110[[#This Row],[CH4 24h, ml]]/Table3.110[[#This Row],[Net gas 24h, ml]]%</f>
        <v>14.205139067459022</v>
      </c>
      <c r="AR718" s="94">
        <f>Table3.110[[#This Row],[CH4 24h, ml]]/Table3.110[[#This Row],[DM Incubated, mg]]*1000</f>
        <v>24.513063438257745</v>
      </c>
      <c r="AS718" s="94">
        <f>Table3.110[[#This Row],[CH4 24h, ml]]/Table3.110[[#This Row],[Digested feed, mg]]*1000</f>
        <v>148.79627978609324</v>
      </c>
      <c r="AT718" s="94">
        <f>Table3.110[[#This Row],[CH4 24h, ml]]/'3.2 Digest'!AA718</f>
        <v>-0.40807750858668701</v>
      </c>
      <c r="AU718" s="94">
        <f>((Table3.110[[#This Row],[CH4 24h, ml]]/28.9)*16.04)/Table3.110[[#This Row],[DM Incubated, mg]]*1000</f>
        <v>13.605174309676617</v>
      </c>
      <c r="AV718" s="94">
        <f>((Table3.110[[#This Row],[CH4 24h, ml]]/28.9)*16.04)/Table3.110[[#This Row],[Digested feed, mg]]*1000</f>
        <v>82.584509611381861</v>
      </c>
    </row>
    <row r="719" spans="2:48" s="89" customFormat="1" x14ac:dyDescent="0.35">
      <c r="B719" s="90">
        <f t="shared" si="11"/>
        <v>709</v>
      </c>
      <c r="C719" s="140">
        <v>46076</v>
      </c>
      <c r="D719" s="92" t="s">
        <v>16</v>
      </c>
      <c r="E719" s="6" t="s">
        <v>207</v>
      </c>
      <c r="F719" s="242" t="s">
        <v>105</v>
      </c>
      <c r="G719" s="242" t="s">
        <v>188</v>
      </c>
      <c r="H719" s="6" t="str">
        <f>'[2]1. Information samples'!$K$42</f>
        <v>Urochloa humidicola</v>
      </c>
      <c r="I719" s="57" t="s">
        <v>22</v>
      </c>
      <c r="J719" s="130" t="s">
        <v>23</v>
      </c>
      <c r="K719" s="130" t="s">
        <v>24</v>
      </c>
      <c r="L719" s="6" t="s">
        <v>206</v>
      </c>
      <c r="M719" s="256">
        <v>28</v>
      </c>
      <c r="N719" s="256">
        <v>69</v>
      </c>
      <c r="O719" s="256">
        <v>3</v>
      </c>
      <c r="P719" s="257">
        <v>2</v>
      </c>
      <c r="Q719" s="96">
        <v>128</v>
      </c>
      <c r="R719" s="98">
        <v>0.50019999999999998</v>
      </c>
      <c r="S719" s="94">
        <f>((Table3.110[[#This Row],[Sample weight, g]]*'2.1. DM'!Q129)/100)*1000</f>
        <v>488.47208767769672</v>
      </c>
      <c r="T719" s="94">
        <f>'3.2 Digest'!W719</f>
        <v>182.07208767769674</v>
      </c>
      <c r="U719" s="117">
        <v>0.35486111111111113</v>
      </c>
      <c r="V719" s="155">
        <v>41</v>
      </c>
      <c r="W719" s="117">
        <v>0.71250000000000002</v>
      </c>
      <c r="X719" s="97">
        <v>78.5</v>
      </c>
      <c r="Y719" s="97">
        <v>13.6</v>
      </c>
      <c r="Z719" s="155">
        <v>40</v>
      </c>
      <c r="AA719" s="117">
        <v>0.39027777777777778</v>
      </c>
      <c r="AB719" s="155">
        <v>93</v>
      </c>
      <c r="AC719" s="155">
        <v>14.9</v>
      </c>
      <c r="AD719" s="96"/>
      <c r="AE719" s="94">
        <f>Table3.110[[#This Row],[Gas 8h, ml]]-Table3.110[[#This Row],[Gas 0h, ml]]</f>
        <v>37.5</v>
      </c>
      <c r="AF719" s="94">
        <f>Table3.110[[#This Row],[Gas 24h, ml]]-Table3.110[[#This Row],[V8 Push back, ml]]</f>
        <v>53</v>
      </c>
      <c r="AG719" s="94">
        <f>Table3.110[[#This Row],[GP 8h, ml]]-(AVERAGE(AE$479,AE$480,AE$660,AE$661,AE$662,AE$663))*AG$8</f>
        <v>34.107474101643646</v>
      </c>
      <c r="AH719" s="94">
        <f>Table3.110[[#This Row],[GP 8-24h, ml]]-(AVERAGE(AF$479,AF$480,AF$660,AF$661,AF$662,AF$663))*AG$8</f>
        <v>48.685592064046816</v>
      </c>
      <c r="AI719" s="94">
        <f>Table3.110[[#This Row],[Net gas 8-24h, ml]]+Table3.110[[#This Row],[Net gas 8h, ml]]</f>
        <v>82.793066165690462</v>
      </c>
      <c r="AJ719" s="94">
        <f>Table3.110[[#This Row],[Net gas 8h, ml]]*Table3.110[[#This Row],[CH4 8h %]]%</f>
        <v>4.6386164778235361</v>
      </c>
      <c r="AK719" s="94">
        <f>Table3.110[[#This Row],[Net gas 8-24h, ml]]*Table3.110[[#This Row],[CH4 24h, %]]%</f>
        <v>7.2541532175429753</v>
      </c>
      <c r="AL719" s="94">
        <f>Table3.110[[#This Row],[CH4 8-24h, ml]]+Table3.110[[#This Row],[CH4 8h, ml]]</f>
        <v>11.892769695366511</v>
      </c>
      <c r="AM719" s="94">
        <f>(Table3.110[[#This Row],[Net gas 24h, ml]]/Table3.110[[#This Row],[DM Incubated, mg]])*1000</f>
        <v>169.49395524175566</v>
      </c>
      <c r="AN719" s="94">
        <f>'3.2 Digest'!X719</f>
        <v>37.273795631457126</v>
      </c>
      <c r="AO719" s="94">
        <f>Table3.110[[#This Row],[Digested feed, mg]]/Table3.110[[#This Row],[Net gas 24h, ml]]</f>
        <v>2.1991224157989646</v>
      </c>
      <c r="AP719" s="94">
        <f>Table3.110[[#This Row],[CH4 8h, ml]]/Table3.110[[#This Row],[Net gas 8h, ml]]%</f>
        <v>13.6</v>
      </c>
      <c r="AQ719" s="94">
        <f>Table3.110[[#This Row],[CH4 24h, ml]]/Table3.110[[#This Row],[Net gas 24h, ml]]%</f>
        <v>14.364451331668263</v>
      </c>
      <c r="AR719" s="94">
        <f>Table3.110[[#This Row],[CH4 24h, ml]]/Table3.110[[#This Row],[DM Incubated, mg]]*1000</f>
        <v>24.346876710821579</v>
      </c>
      <c r="AS719" s="94">
        <f>Table3.110[[#This Row],[CH4 24h, ml]]/Table3.110[[#This Row],[Digested feed, mg]]*1000</f>
        <v>65.319016478896216</v>
      </c>
      <c r="AT719" s="94">
        <f>Table3.110[[#This Row],[CH4 24h, ml]]/'3.2 Digest'!AA719</f>
        <v>4.1489658001913954</v>
      </c>
      <c r="AU719" s="94">
        <f>((Table3.110[[#This Row],[CH4 24h, ml]]/28.9)*16.04)/Table3.110[[#This Row],[DM Incubated, mg]]*1000</f>
        <v>13.512937800746649</v>
      </c>
      <c r="AV719" s="94">
        <f>((Table3.110[[#This Row],[CH4 24h, ml]]/28.9)*16.04)/Table3.110[[#This Row],[Digested feed, mg]]*1000</f>
        <v>36.253184232577695</v>
      </c>
    </row>
    <row r="720" spans="2:48" s="89" customFormat="1" x14ac:dyDescent="0.35">
      <c r="B720" s="90">
        <f t="shared" si="11"/>
        <v>710</v>
      </c>
      <c r="C720" s="140">
        <v>46076</v>
      </c>
      <c r="D720" s="92" t="s">
        <v>16</v>
      </c>
      <c r="E720" s="6" t="s">
        <v>209</v>
      </c>
      <c r="F720" s="242" t="s">
        <v>105</v>
      </c>
      <c r="G720" s="242" t="s">
        <v>188</v>
      </c>
      <c r="H720" s="6" t="str">
        <f>'[2]1. Information samples'!$K$43</f>
        <v>Urochloa humidicola</v>
      </c>
      <c r="I720" s="125" t="s">
        <v>108</v>
      </c>
      <c r="J720" s="138" t="s">
        <v>109</v>
      </c>
      <c r="K720" s="138" t="s">
        <v>110</v>
      </c>
      <c r="L720" s="6" t="s">
        <v>208</v>
      </c>
      <c r="M720" s="256">
        <v>28</v>
      </c>
      <c r="N720" s="256">
        <v>69</v>
      </c>
      <c r="O720" s="256">
        <v>3</v>
      </c>
      <c r="P720" s="257">
        <v>1</v>
      </c>
      <c r="Q720" s="96">
        <v>129</v>
      </c>
      <c r="R720" s="98">
        <v>0.50029999999999997</v>
      </c>
      <c r="S720" s="94">
        <f>((Table3.110[[#This Row],[Sample weight, g]]*'2.1. DM'!Q131)/100)*1000</f>
        <v>482.92232330300902</v>
      </c>
      <c r="T720" s="94">
        <f>'3.2 Digest'!W720</f>
        <v>201.52232330300905</v>
      </c>
      <c r="U720" s="117">
        <v>0.35486111111111113</v>
      </c>
      <c r="V720" s="155">
        <v>41</v>
      </c>
      <c r="W720" s="117">
        <v>0.71319444444444446</v>
      </c>
      <c r="X720" s="97">
        <v>81.5</v>
      </c>
      <c r="Y720" s="97">
        <v>13.9</v>
      </c>
      <c r="Z720" s="155">
        <v>40</v>
      </c>
      <c r="AA720" s="117">
        <v>0.39097222222222222</v>
      </c>
      <c r="AB720" s="155">
        <v>95.5</v>
      </c>
      <c r="AC720" s="155">
        <v>15.2</v>
      </c>
      <c r="AD720" s="96"/>
      <c r="AE720" s="94">
        <f>Table3.110[[#This Row],[Gas 8h, ml]]-Table3.110[[#This Row],[Gas 0h, ml]]</f>
        <v>40.5</v>
      </c>
      <c r="AF720" s="94">
        <f>Table3.110[[#This Row],[Gas 24h, ml]]-Table3.110[[#This Row],[V8 Push back, ml]]</f>
        <v>55.5</v>
      </c>
      <c r="AG720" s="94">
        <f>Table3.110[[#This Row],[GP 8h, ml]]-(AVERAGE(AE$479,AE$480,AE$660,AE$661,AE$662,AE$663))*AG$8</f>
        <v>37.107474101643646</v>
      </c>
      <c r="AH720" s="94">
        <f>Table3.110[[#This Row],[GP 8-24h, ml]]-(AVERAGE(AF$479,AF$480,AF$660,AF$661,AF$662,AF$663))*AG$8</f>
        <v>51.185592064046816</v>
      </c>
      <c r="AI720" s="94">
        <f>Table3.110[[#This Row],[Net gas 8-24h, ml]]+Table3.110[[#This Row],[Net gas 8h, ml]]</f>
        <v>88.293066165690462</v>
      </c>
      <c r="AJ720" s="94">
        <f>Table3.110[[#This Row],[Net gas 8h, ml]]*Table3.110[[#This Row],[CH4 8h %]]%</f>
        <v>5.1579389001284675</v>
      </c>
      <c r="AK720" s="94">
        <f>Table3.110[[#This Row],[Net gas 8-24h, ml]]*Table3.110[[#This Row],[CH4 24h, %]]%</f>
        <v>7.7802099937351157</v>
      </c>
      <c r="AL720" s="94">
        <f>Table3.110[[#This Row],[CH4 8-24h, ml]]+Table3.110[[#This Row],[CH4 8h, ml]]</f>
        <v>12.938148893863584</v>
      </c>
      <c r="AM720" s="94">
        <f>(Table3.110[[#This Row],[Net gas 24h, ml]]/Table3.110[[#This Row],[DM Incubated, mg]])*1000</f>
        <v>182.83078231256474</v>
      </c>
      <c r="AN720" s="94">
        <f>'3.2 Digest'!X720</f>
        <v>41.729759337831254</v>
      </c>
      <c r="AO720" s="94">
        <f>Table3.110[[#This Row],[Digested feed, mg]]/Table3.110[[#This Row],[Net gas 24h, ml]]</f>
        <v>2.2824252464495109</v>
      </c>
      <c r="AP720" s="94">
        <f>Table3.110[[#This Row],[CH4 8h, ml]]/Table3.110[[#This Row],[Net gas 8h, ml]]%</f>
        <v>13.900000000000002</v>
      </c>
      <c r="AQ720" s="94">
        <f>Table3.110[[#This Row],[CH4 24h, ml]]/Table3.110[[#This Row],[Net gas 24h, ml]]%</f>
        <v>14.653640943427991</v>
      </c>
      <c r="AR720" s="94">
        <f>Table3.110[[#This Row],[CH4 24h, ml]]/Table3.110[[#This Row],[DM Incubated, mg]]*1000</f>
        <v>26.791366374143692</v>
      </c>
      <c r="AS720" s="94">
        <f>Table3.110[[#This Row],[CH4 24h, ml]]/Table3.110[[#This Row],[Digested feed, mg]]*1000</f>
        <v>64.202062986390743</v>
      </c>
      <c r="AT720" s="94">
        <f>Table3.110[[#This Row],[CH4 24h, ml]]/'3.2 Digest'!AA720</f>
        <v>1.005401644110629</v>
      </c>
      <c r="AU720" s="94">
        <f>((Table3.110[[#This Row],[CH4 24h, ml]]/28.9)*16.04)/Table3.110[[#This Row],[DM Incubated, mg]]*1000</f>
        <v>14.86967185609913</v>
      </c>
      <c r="AV720" s="94">
        <f>((Table3.110[[#This Row],[CH4 24h, ml]]/28.9)*16.04)/Table3.110[[#This Row],[Digested feed, mg]]*1000</f>
        <v>35.633255719782262</v>
      </c>
    </row>
    <row r="721" spans="2:48" s="89" customFormat="1" x14ac:dyDescent="0.35">
      <c r="B721" s="90">
        <f t="shared" si="11"/>
        <v>711</v>
      </c>
      <c r="C721" s="140">
        <v>46076</v>
      </c>
      <c r="D721" s="92" t="s">
        <v>16</v>
      </c>
      <c r="E721" s="6" t="s">
        <v>209</v>
      </c>
      <c r="F721" s="242" t="s">
        <v>105</v>
      </c>
      <c r="G721" s="242" t="s">
        <v>188</v>
      </c>
      <c r="H721" s="6" t="str">
        <f>'[2]1. Information samples'!$K$43</f>
        <v>Urochloa humidicola</v>
      </c>
      <c r="I721" s="125" t="s">
        <v>108</v>
      </c>
      <c r="J721" s="138" t="s">
        <v>109</v>
      </c>
      <c r="K721" s="138" t="s">
        <v>110</v>
      </c>
      <c r="L721" s="6" t="s">
        <v>208</v>
      </c>
      <c r="M721" s="256">
        <v>28</v>
      </c>
      <c r="N721" s="256">
        <v>69</v>
      </c>
      <c r="O721" s="256">
        <v>3</v>
      </c>
      <c r="P721" s="257">
        <v>2</v>
      </c>
      <c r="Q721" s="96">
        <v>130</v>
      </c>
      <c r="R721" s="98">
        <v>0.50009999999999999</v>
      </c>
      <c r="S721" s="94">
        <f>((Table3.110[[#This Row],[Sample weight, g]]*'2.1. DM'!Q131)/100)*1000</f>
        <v>482.72927020554636</v>
      </c>
      <c r="T721" s="94">
        <f>'3.2 Digest'!W721</f>
        <v>55.429270205546345</v>
      </c>
      <c r="U721" s="153">
        <v>0.35486111111111113</v>
      </c>
      <c r="V721" s="155">
        <v>40.5</v>
      </c>
      <c r="W721" s="153">
        <v>0.71319444444444446</v>
      </c>
      <c r="X721" s="95">
        <v>80</v>
      </c>
      <c r="Y721" s="95">
        <v>13.7</v>
      </c>
      <c r="Z721" s="154">
        <v>40</v>
      </c>
      <c r="AA721" s="153">
        <v>0.39097222222222222</v>
      </c>
      <c r="AB721" s="154">
        <v>95.5</v>
      </c>
      <c r="AC721" s="154">
        <v>15.1</v>
      </c>
      <c r="AD721" s="91"/>
      <c r="AE721" s="94">
        <f>Table3.110[[#This Row],[Gas 8h, ml]]-Table3.110[[#This Row],[Gas 0h, ml]]</f>
        <v>39.5</v>
      </c>
      <c r="AF721" s="94">
        <f>Table3.110[[#This Row],[Gas 24h, ml]]-Table3.110[[#This Row],[V8 Push back, ml]]</f>
        <v>55.5</v>
      </c>
      <c r="AG721" s="94">
        <f>Table3.110[[#This Row],[GP 8h, ml]]-(AVERAGE(AE$479,AE$480,AE$660,AE$661,AE$662,AE$663))*AG$8</f>
        <v>36.107474101643646</v>
      </c>
      <c r="AH721" s="94">
        <f>Table3.110[[#This Row],[GP 8-24h, ml]]-(AVERAGE(AF$479,AF$480,AF$660,AF$661,AF$662,AF$663))*AG$8</f>
        <v>51.185592064046816</v>
      </c>
      <c r="AI721" s="94">
        <f>Table3.110[[#This Row],[Net gas 8-24h, ml]]+Table3.110[[#This Row],[Net gas 8h, ml]]</f>
        <v>87.293066165690462</v>
      </c>
      <c r="AJ721" s="94">
        <f>Table3.110[[#This Row],[Net gas 8h, ml]]*Table3.110[[#This Row],[CH4 8h %]]%</f>
        <v>4.9467239519251791</v>
      </c>
      <c r="AK721" s="94">
        <f>Table3.110[[#This Row],[Net gas 8-24h, ml]]*Table3.110[[#This Row],[CH4 24h, %]]%</f>
        <v>7.7290244016710687</v>
      </c>
      <c r="AL721" s="94">
        <f>Table3.110[[#This Row],[CH4 8-24h, ml]]+Table3.110[[#This Row],[CH4 8h, ml]]</f>
        <v>12.675748353596248</v>
      </c>
      <c r="AM721" s="94">
        <f>(Table3.110[[#This Row],[Net gas 24h, ml]]/Table3.110[[#This Row],[DM Incubated, mg]])*1000</f>
        <v>180.83234548532977</v>
      </c>
      <c r="AN721" s="94">
        <f>'3.2 Digest'!X721</f>
        <v>11.482475504736751</v>
      </c>
      <c r="AO721" s="94">
        <f>Table3.110[[#This Row],[Digested feed, mg]]/Table3.110[[#This Row],[Net gas 24h, ml]]</f>
        <v>0.63497907268300524</v>
      </c>
      <c r="AP721" s="94">
        <f>Table3.110[[#This Row],[CH4 8h, ml]]/Table3.110[[#This Row],[Net gas 8h, ml]]%</f>
        <v>13.7</v>
      </c>
      <c r="AQ721" s="94">
        <f>Table3.110[[#This Row],[CH4 24h, ml]]/Table3.110[[#This Row],[Net gas 24h, ml]]%</f>
        <v>14.520910892895529</v>
      </c>
      <c r="AR721" s="94">
        <f>Table3.110[[#This Row],[CH4 24h, ml]]/Table3.110[[#This Row],[DM Incubated, mg]]*1000</f>
        <v>26.258503753457727</v>
      </c>
      <c r="AS721" s="94">
        <f>Table3.110[[#This Row],[CH4 24h, ml]]/Table3.110[[#This Row],[Digested feed, mg]]*1000</f>
        <v>228.68329867218586</v>
      </c>
      <c r="AT721" s="94">
        <f>Table3.110[[#This Row],[CH4 24h, ml]]/'3.2 Digest'!AA721</f>
        <v>-0.39170966785314121</v>
      </c>
      <c r="AU721" s="94">
        <f>((Table3.110[[#This Row],[CH4 24h, ml]]/28.9)*16.04)/Table3.110[[#This Row],[DM Incubated, mg]]*1000</f>
        <v>14.573923882541935</v>
      </c>
      <c r="AV721" s="94">
        <f>((Table3.110[[#This Row],[CH4 24h, ml]]/28.9)*16.04)/Table3.110[[#This Row],[Digested feed, mg]]*1000</f>
        <v>126.92318722151768</v>
      </c>
    </row>
    <row r="722" spans="2:48" s="89" customFormat="1" x14ac:dyDescent="0.35">
      <c r="B722" s="90">
        <f t="shared" si="11"/>
        <v>712</v>
      </c>
      <c r="C722" s="140">
        <v>46076</v>
      </c>
      <c r="D722" s="92" t="s">
        <v>16</v>
      </c>
      <c r="E722" s="6" t="s">
        <v>211</v>
      </c>
      <c r="F722" s="242" t="s">
        <v>212</v>
      </c>
      <c r="G722" s="242" t="s">
        <v>213</v>
      </c>
      <c r="H722" s="6" t="str">
        <f>'[2]1. Information samples'!$K$44</f>
        <v>Desmodium scorpiurus</v>
      </c>
      <c r="I722" s="57" t="s">
        <v>22</v>
      </c>
      <c r="J722" s="130" t="s">
        <v>23</v>
      </c>
      <c r="K722" s="130" t="s">
        <v>24</v>
      </c>
      <c r="L722" s="6" t="s">
        <v>210</v>
      </c>
      <c r="M722" s="256">
        <v>28</v>
      </c>
      <c r="N722" s="256">
        <v>69</v>
      </c>
      <c r="O722" s="256">
        <v>3</v>
      </c>
      <c r="P722" s="257">
        <v>1</v>
      </c>
      <c r="Q722" s="96">
        <v>131</v>
      </c>
      <c r="R722" s="98">
        <v>0.50009999999999999</v>
      </c>
      <c r="S722" s="94">
        <f>((Table3.110[[#This Row],[Sample weight, g]]*'2.1. DM'!Q133)/100)*1000</f>
        <v>458.47500208341705</v>
      </c>
      <c r="T722" s="94">
        <f>'3.2 Digest'!W722</f>
        <v>148.57500208341696</v>
      </c>
      <c r="U722" s="153">
        <v>0.35555555555555557</v>
      </c>
      <c r="V722" s="155">
        <v>40.5</v>
      </c>
      <c r="W722" s="153">
        <v>0.71388888888888891</v>
      </c>
      <c r="X722" s="95">
        <v>76.5</v>
      </c>
      <c r="Y722" s="95">
        <v>13.9</v>
      </c>
      <c r="Z722" s="154">
        <v>39.5</v>
      </c>
      <c r="AA722" s="153">
        <v>0.39166666666666666</v>
      </c>
      <c r="AB722" s="154">
        <v>76</v>
      </c>
      <c r="AC722" s="154">
        <v>16.8</v>
      </c>
      <c r="AD722" s="91"/>
      <c r="AE722" s="94">
        <f>Table3.110[[#This Row],[Gas 8h, ml]]-Table3.110[[#This Row],[Gas 0h, ml]]</f>
        <v>36</v>
      </c>
      <c r="AF722" s="94">
        <f>Table3.110[[#This Row],[Gas 24h, ml]]-Table3.110[[#This Row],[V8 Push back, ml]]</f>
        <v>36.5</v>
      </c>
      <c r="AG722" s="94">
        <f>Table3.110[[#This Row],[GP 8h, ml]]-(AVERAGE(AE$479,AE$480,AE$660,AE$661,AE$662,AE$663))*AG$8</f>
        <v>32.607474101643646</v>
      </c>
      <c r="AH722" s="94">
        <f>Table3.110[[#This Row],[GP 8-24h, ml]]-(AVERAGE(AF$479,AF$480,AF$660,AF$661,AF$662,AF$663))*AG$8</f>
        <v>32.185592064046816</v>
      </c>
      <c r="AI722" s="94">
        <f>Table3.110[[#This Row],[Net gas 8-24h, ml]]+Table3.110[[#This Row],[Net gas 8h, ml]]</f>
        <v>64.793066165690462</v>
      </c>
      <c r="AJ722" s="94">
        <f>Table3.110[[#This Row],[Net gas 8h, ml]]*Table3.110[[#This Row],[CH4 8h %]]%</f>
        <v>4.5324389001284668</v>
      </c>
      <c r="AK722" s="94">
        <f>Table3.110[[#This Row],[Net gas 8-24h, ml]]*Table3.110[[#This Row],[CH4 24h, %]]%</f>
        <v>5.4071794667598656</v>
      </c>
      <c r="AL722" s="94">
        <f>Table3.110[[#This Row],[CH4 8-24h, ml]]+Table3.110[[#This Row],[CH4 8h, ml]]</f>
        <v>9.9396183668883324</v>
      </c>
      <c r="AM722" s="94">
        <f>(Table3.110[[#This Row],[Net gas 24h, ml]]/Table3.110[[#This Row],[DM Incubated, mg]])*1000</f>
        <v>141.32300751677997</v>
      </c>
      <c r="AN722" s="94">
        <f>'3.2 Digest'!X722</f>
        <v>32.406347436230462</v>
      </c>
      <c r="AO722" s="94">
        <f>Table3.110[[#This Row],[Digested feed, mg]]/Table3.110[[#This Row],[Net gas 24h, ml]]</f>
        <v>2.2930694729506582</v>
      </c>
      <c r="AP722" s="94">
        <f>Table3.110[[#This Row],[CH4 8h, ml]]/Table3.110[[#This Row],[Net gas 8h, ml]]%</f>
        <v>13.9</v>
      </c>
      <c r="AQ722" s="94">
        <f>Table3.110[[#This Row],[CH4 24h, ml]]/Table3.110[[#This Row],[Net gas 24h, ml]]%</f>
        <v>15.340558728106014</v>
      </c>
      <c r="AR722" s="94">
        <f>Table3.110[[#This Row],[CH4 24h, ml]]/Table3.110[[#This Row],[DM Incubated, mg]]*1000</f>
        <v>21.679738964437309</v>
      </c>
      <c r="AS722" s="94">
        <f>Table3.110[[#This Row],[CH4 24h, ml]]/Table3.110[[#This Row],[Digested feed, mg]]*1000</f>
        <v>66.899668366201766</v>
      </c>
      <c r="AT722" s="94">
        <f>Table3.110[[#This Row],[CH4 24h, ml]]/'3.2 Digest'!AA722</f>
        <v>-0.46337162001324461</v>
      </c>
      <c r="AU722" s="94">
        <f>((Table3.110[[#This Row],[CH4 24h, ml]]/28.9)*16.04)/Table3.110[[#This Row],[DM Incubated, mg]]*1000</f>
        <v>12.03263020725171</v>
      </c>
      <c r="AV722" s="94">
        <f>((Table3.110[[#This Row],[CH4 24h, ml]]/28.9)*16.04)/Table3.110[[#This Row],[Digested feed, mg]]*1000</f>
        <v>37.130473376950746</v>
      </c>
    </row>
    <row r="723" spans="2:48" s="89" customFormat="1" x14ac:dyDescent="0.35">
      <c r="B723" s="90">
        <f t="shared" si="11"/>
        <v>713</v>
      </c>
      <c r="C723" s="140">
        <v>46076</v>
      </c>
      <c r="D723" s="92" t="s">
        <v>16</v>
      </c>
      <c r="E723" s="6" t="s">
        <v>211</v>
      </c>
      <c r="F723" s="242" t="s">
        <v>212</v>
      </c>
      <c r="G723" s="242" t="s">
        <v>213</v>
      </c>
      <c r="H723" s="6" t="str">
        <f>'[2]1. Information samples'!$K$44</f>
        <v>Desmodium scorpiurus</v>
      </c>
      <c r="I723" s="57" t="s">
        <v>22</v>
      </c>
      <c r="J723" s="130" t="s">
        <v>23</v>
      </c>
      <c r="K723" s="130" t="s">
        <v>24</v>
      </c>
      <c r="L723" s="6" t="s">
        <v>210</v>
      </c>
      <c r="M723" s="256">
        <v>28</v>
      </c>
      <c r="N723" s="256">
        <v>69</v>
      </c>
      <c r="O723" s="256">
        <v>3</v>
      </c>
      <c r="P723" s="257">
        <v>2</v>
      </c>
      <c r="Q723" s="96">
        <v>132</v>
      </c>
      <c r="R723" s="98">
        <v>0.5</v>
      </c>
      <c r="S723" s="94">
        <f>((Table3.110[[#This Row],[Sample weight, g]]*'2.1. DM'!Q133)/100)*1000</f>
        <v>458.38332541833336</v>
      </c>
      <c r="T723" s="94">
        <f>'3.2 Digest'!W723</f>
        <v>30.183325418333425</v>
      </c>
      <c r="U723" s="117">
        <v>0.35555555555555557</v>
      </c>
      <c r="V723" s="155">
        <v>42</v>
      </c>
      <c r="W723" s="117">
        <v>0.71388888888888891</v>
      </c>
      <c r="X723" s="97">
        <v>76</v>
      </c>
      <c r="Y723" s="97">
        <v>14.3</v>
      </c>
      <c r="Z723" s="155">
        <v>40</v>
      </c>
      <c r="AA723" s="117">
        <v>0.3923611111111111</v>
      </c>
      <c r="AB723" s="155">
        <v>78</v>
      </c>
      <c r="AC723" s="155">
        <v>16.600000000000001</v>
      </c>
      <c r="AD723" s="96"/>
      <c r="AE723" s="94">
        <f>Table3.110[[#This Row],[Gas 8h, ml]]-Table3.110[[#This Row],[Gas 0h, ml]]</f>
        <v>34</v>
      </c>
      <c r="AF723" s="94">
        <f>Table3.110[[#This Row],[Gas 24h, ml]]-Table3.110[[#This Row],[V8 Push back, ml]]</f>
        <v>38</v>
      </c>
      <c r="AG723" s="94">
        <f>Table3.110[[#This Row],[GP 8h, ml]]-(AVERAGE(AE$479,AE$480,AE$660,AE$661,AE$662,AE$663))*AG$8</f>
        <v>30.607474101643646</v>
      </c>
      <c r="AH723" s="94">
        <f>Table3.110[[#This Row],[GP 8-24h, ml]]-(AVERAGE(AF$479,AF$480,AF$660,AF$661,AF$662,AF$663))*AG$8</f>
        <v>33.685592064046816</v>
      </c>
      <c r="AI723" s="94">
        <f>Table3.110[[#This Row],[Net gas 8-24h, ml]]+Table3.110[[#This Row],[Net gas 8h, ml]]</f>
        <v>64.293066165690462</v>
      </c>
      <c r="AJ723" s="94">
        <f>Table3.110[[#This Row],[Net gas 8h, ml]]*Table3.110[[#This Row],[CH4 8h %]]%</f>
        <v>4.3768687965350415</v>
      </c>
      <c r="AK723" s="94">
        <f>Table3.110[[#This Row],[Net gas 8-24h, ml]]*Table3.110[[#This Row],[CH4 24h, %]]%</f>
        <v>5.5918082826317717</v>
      </c>
      <c r="AL723" s="94">
        <f>Table3.110[[#This Row],[CH4 8-24h, ml]]+Table3.110[[#This Row],[CH4 8h, ml]]</f>
        <v>9.9686770791668131</v>
      </c>
      <c r="AM723" s="94">
        <f>(Table3.110[[#This Row],[Net gas 24h, ml]]/Table3.110[[#This Row],[DM Incubated, mg]])*1000</f>
        <v>140.26048200382252</v>
      </c>
      <c r="AN723" s="94">
        <f>'3.2 Digest'!X723</f>
        <v>6.5847345975744833</v>
      </c>
      <c r="AO723" s="94">
        <f>Table3.110[[#This Row],[Digested feed, mg]]/Table3.110[[#This Row],[Net gas 24h, ml]]</f>
        <v>0.4694647062024947</v>
      </c>
      <c r="AP723" s="94">
        <f>Table3.110[[#This Row],[CH4 8h, ml]]/Table3.110[[#This Row],[Net gas 8h, ml]]%</f>
        <v>14.3</v>
      </c>
      <c r="AQ723" s="94">
        <f>Table3.110[[#This Row],[CH4 24h, ml]]/Table3.110[[#This Row],[Net gas 24h, ml]]%</f>
        <v>15.505057813662848</v>
      </c>
      <c r="AR723" s="94">
        <f>Table3.110[[#This Row],[CH4 24h, ml]]/Table3.110[[#This Row],[DM Incubated, mg]]*1000</f>
        <v>21.747468824414852</v>
      </c>
      <c r="AS723" s="94">
        <f>Table3.110[[#This Row],[CH4 24h, ml]]/Table3.110[[#This Row],[Digested feed, mg]]*1000</f>
        <v>330.27100032893708</v>
      </c>
      <c r="AT723" s="94">
        <f>Table3.110[[#This Row],[CH4 24h, ml]]/'3.2 Digest'!AA723</f>
        <v>-0.14693031739890214</v>
      </c>
      <c r="AU723" s="94">
        <f>((Table3.110[[#This Row],[CH4 24h, ml]]/28.9)*16.04)/Table3.110[[#This Row],[DM Incubated, mg]]*1000</f>
        <v>12.070221451336135</v>
      </c>
      <c r="AV723" s="94">
        <f>((Table3.110[[#This Row],[CH4 24h, ml]]/28.9)*16.04)/Table3.110[[#This Row],[Digested feed, mg]]*1000</f>
        <v>183.30611921370766</v>
      </c>
    </row>
    <row r="724" spans="2:48" s="89" customFormat="1" x14ac:dyDescent="0.35">
      <c r="B724" s="90">
        <f t="shared" si="11"/>
        <v>714</v>
      </c>
      <c r="C724" s="140">
        <v>46076</v>
      </c>
      <c r="D724" s="8" t="s">
        <v>120</v>
      </c>
      <c r="E724" s="6" t="s">
        <v>122</v>
      </c>
      <c r="F724" s="242" t="s">
        <v>123</v>
      </c>
      <c r="G724" s="242" t="s">
        <v>545</v>
      </c>
      <c r="H724" s="6" t="str">
        <f>'[2]1. Information samples'!$K$45</f>
        <v xml:space="preserve">Cynodon nlemfuensis </v>
      </c>
      <c r="I724" s="125" t="s">
        <v>108</v>
      </c>
      <c r="J724" s="138" t="s">
        <v>109</v>
      </c>
      <c r="K724" s="138" t="s">
        <v>110</v>
      </c>
      <c r="L724" s="6" t="s">
        <v>121</v>
      </c>
      <c r="M724" s="256">
        <v>28</v>
      </c>
      <c r="N724" s="256">
        <v>69</v>
      </c>
      <c r="O724" s="256">
        <v>3</v>
      </c>
      <c r="P724" s="257">
        <v>1</v>
      </c>
      <c r="Q724" s="96">
        <v>133</v>
      </c>
      <c r="R724" s="98">
        <v>0.5</v>
      </c>
      <c r="S724" s="94">
        <f>((Table3.110[[#This Row],[Sample weight, g]]*'2.1. DM'!Q135)/100)*1000</f>
        <v>467.75</v>
      </c>
      <c r="T724" s="94">
        <f>'3.2 Digest'!W724</f>
        <v>45.449999999999989</v>
      </c>
      <c r="U724" s="117">
        <v>0.35555555555555557</v>
      </c>
      <c r="V724" s="155">
        <v>41</v>
      </c>
      <c r="W724" s="117">
        <v>0.71458333333333335</v>
      </c>
      <c r="X724" s="97">
        <v>65</v>
      </c>
      <c r="Y724" s="97">
        <v>14.4</v>
      </c>
      <c r="Z724" s="155">
        <v>40</v>
      </c>
      <c r="AA724" s="117">
        <v>0.3923611111111111</v>
      </c>
      <c r="AB724" s="155">
        <v>84</v>
      </c>
      <c r="AC724" s="155">
        <v>15.8</v>
      </c>
      <c r="AD724" s="96"/>
      <c r="AE724" s="94">
        <f>Table3.110[[#This Row],[Gas 8h, ml]]-Table3.110[[#This Row],[Gas 0h, ml]]</f>
        <v>24</v>
      </c>
      <c r="AF724" s="94">
        <f>Table3.110[[#This Row],[Gas 24h, ml]]-Table3.110[[#This Row],[V8 Push back, ml]]</f>
        <v>44</v>
      </c>
      <c r="AG724" s="94">
        <f>Table3.110[[#This Row],[GP 8h, ml]]-(AVERAGE(AE$479,AE$480,AE$660,AE$661,AE$662,AE$663))*AG$8</f>
        <v>20.607474101643646</v>
      </c>
      <c r="AH724" s="94">
        <f>Table3.110[[#This Row],[GP 8-24h, ml]]-(AVERAGE(AF$479,AF$480,AF$660,AF$661,AF$662,AF$663))*AG$8</f>
        <v>39.685592064046816</v>
      </c>
      <c r="AI724" s="94">
        <f>Table3.110[[#This Row],[Net gas 8-24h, ml]]+Table3.110[[#This Row],[Net gas 8h, ml]]</f>
        <v>60.293066165690462</v>
      </c>
      <c r="AJ724" s="94">
        <f>Table3.110[[#This Row],[Net gas 8h, ml]]*Table3.110[[#This Row],[CH4 8h %]]%</f>
        <v>2.9674762706366855</v>
      </c>
      <c r="AK724" s="94">
        <f>Table3.110[[#This Row],[Net gas 8-24h, ml]]*Table3.110[[#This Row],[CH4 24h, %]]%</f>
        <v>6.2703235461193971</v>
      </c>
      <c r="AL724" s="94">
        <f>Table3.110[[#This Row],[CH4 8-24h, ml]]+Table3.110[[#This Row],[CH4 8h, ml]]</f>
        <v>9.2377998167560822</v>
      </c>
      <c r="AM724" s="94">
        <f>(Table3.110[[#This Row],[Net gas 24h, ml]]/Table3.110[[#This Row],[DM Incubated, mg]])*1000</f>
        <v>128.90019490259851</v>
      </c>
      <c r="AN724" s="94">
        <f>'3.2 Digest'!X724</f>
        <v>9.7167290219134124</v>
      </c>
      <c r="AO724" s="94">
        <f>Table3.110[[#This Row],[Digested feed, mg]]/Table3.110[[#This Row],[Net gas 24h, ml]]</f>
        <v>0.75381802403446418</v>
      </c>
      <c r="AP724" s="94">
        <f>Table3.110[[#This Row],[CH4 8h, ml]]/Table3.110[[#This Row],[Net gas 8h, ml]]%</f>
        <v>14.400000000000002</v>
      </c>
      <c r="AQ724" s="94">
        <f>Table3.110[[#This Row],[CH4 24h, ml]]/Table3.110[[#This Row],[Net gas 24h, ml]]%</f>
        <v>15.321496159060521</v>
      </c>
      <c r="AR724" s="94">
        <f>Table3.110[[#This Row],[CH4 24h, ml]]/Table3.110[[#This Row],[DM Incubated, mg]]*1000</f>
        <v>19.749438411023156</v>
      </c>
      <c r="AS724" s="94">
        <f>Table3.110[[#This Row],[CH4 24h, ml]]/Table3.110[[#This Row],[Digested feed, mg]]*1000</f>
        <v>203.25192116074993</v>
      </c>
      <c r="AT724" s="94">
        <f>Table3.110[[#This Row],[CH4 24h, ml]]/'3.2 Digest'!AA724</f>
        <v>-0.49565193187190698</v>
      </c>
      <c r="AU724" s="94">
        <f>((Table3.110[[#This Row],[CH4 24h, ml]]/28.9)*16.04)/Table3.110[[#This Row],[DM Incubated, mg]]*1000</f>
        <v>10.961280003903509</v>
      </c>
      <c r="AV724" s="94">
        <f>((Table3.110[[#This Row],[CH4 24h, ml]]/28.9)*16.04)/Table3.110[[#This Row],[Digested feed, mg]]*1000</f>
        <v>112.80833271344045</v>
      </c>
    </row>
    <row r="725" spans="2:48" s="89" customFormat="1" x14ac:dyDescent="0.35">
      <c r="B725" s="90">
        <f t="shared" si="11"/>
        <v>715</v>
      </c>
      <c r="C725" s="140">
        <v>46076</v>
      </c>
      <c r="D725" s="8" t="s">
        <v>120</v>
      </c>
      <c r="E725" s="6" t="s">
        <v>122</v>
      </c>
      <c r="F725" s="242" t="s">
        <v>123</v>
      </c>
      <c r="G725" s="242" t="s">
        <v>545</v>
      </c>
      <c r="H725" s="6" t="str">
        <f>'[2]1. Information samples'!$K$45</f>
        <v xml:space="preserve">Cynodon nlemfuensis </v>
      </c>
      <c r="I725" s="125" t="s">
        <v>108</v>
      </c>
      <c r="J725" s="138" t="s">
        <v>109</v>
      </c>
      <c r="K725" s="138" t="s">
        <v>110</v>
      </c>
      <c r="L725" s="6" t="s">
        <v>121</v>
      </c>
      <c r="M725" s="256">
        <v>28</v>
      </c>
      <c r="N725" s="256">
        <v>69</v>
      </c>
      <c r="O725" s="256">
        <v>3</v>
      </c>
      <c r="P725" s="257">
        <v>2</v>
      </c>
      <c r="Q725" s="96">
        <v>134</v>
      </c>
      <c r="R725" s="98">
        <v>0.5</v>
      </c>
      <c r="S725" s="94">
        <f>((Table3.110[[#This Row],[Sample weight, g]]*'2.1. DM'!Q135)/100)*1000</f>
        <v>467.75</v>
      </c>
      <c r="T725" s="94">
        <f>'3.2 Digest'!W725</f>
        <v>113.25000000000006</v>
      </c>
      <c r="U725" s="153">
        <v>0.35555555555555557</v>
      </c>
      <c r="V725" s="154">
        <v>41</v>
      </c>
      <c r="W725" s="153">
        <v>0.71527777777777779</v>
      </c>
      <c r="X725" s="95">
        <v>64.5</v>
      </c>
      <c r="Y725" s="95">
        <v>14.5</v>
      </c>
      <c r="Z725" s="154">
        <v>40.5</v>
      </c>
      <c r="AA725" s="153">
        <v>0.39305555555555555</v>
      </c>
      <c r="AB725" s="154">
        <v>83</v>
      </c>
      <c r="AC725" s="154">
        <v>16</v>
      </c>
      <c r="AD725" s="91"/>
      <c r="AE725" s="94">
        <f>Table3.110[[#This Row],[Gas 8h, ml]]-Table3.110[[#This Row],[Gas 0h, ml]]</f>
        <v>23.5</v>
      </c>
      <c r="AF725" s="94">
        <f>Table3.110[[#This Row],[Gas 24h, ml]]-Table3.110[[#This Row],[V8 Push back, ml]]</f>
        <v>42.5</v>
      </c>
      <c r="AG725" s="94">
        <f>Table3.110[[#This Row],[GP 8h, ml]]-(AVERAGE(AE$479,AE$480,AE$660,AE$661,AE$662,AE$663))*AG$8</f>
        <v>20.107474101643646</v>
      </c>
      <c r="AH725" s="94">
        <f>Table3.110[[#This Row],[GP 8-24h, ml]]-(AVERAGE(AF$479,AF$480,AF$660,AF$661,AF$662,AF$663))*AG$8</f>
        <v>38.185592064046816</v>
      </c>
      <c r="AI725" s="94">
        <f>Table3.110[[#This Row],[Net gas 8-24h, ml]]+Table3.110[[#This Row],[Net gas 8h, ml]]</f>
        <v>58.293066165690462</v>
      </c>
      <c r="AJ725" s="94">
        <f>Table3.110[[#This Row],[Net gas 8h, ml]]*Table3.110[[#This Row],[CH4 8h %]]%</f>
        <v>2.9155837447383286</v>
      </c>
      <c r="AK725" s="94">
        <f>Table3.110[[#This Row],[Net gas 8-24h, ml]]*Table3.110[[#This Row],[CH4 24h, %]]%</f>
        <v>6.1096947302474902</v>
      </c>
      <c r="AL725" s="94">
        <f>Table3.110[[#This Row],[CH4 8-24h, ml]]+Table3.110[[#This Row],[CH4 8h, ml]]</f>
        <v>9.0252784749858179</v>
      </c>
      <c r="AM725" s="94">
        <f>(Table3.110[[#This Row],[Net gas 24h, ml]]/Table3.110[[#This Row],[DM Incubated, mg]])*1000</f>
        <v>124.62440655412178</v>
      </c>
      <c r="AN725" s="94">
        <f>'3.2 Digest'!X725</f>
        <v>24.211651523249611</v>
      </c>
      <c r="AO725" s="94">
        <f>Table3.110[[#This Row],[Digested feed, mg]]/Table3.110[[#This Row],[Net gas 24h, ml]]</f>
        <v>1.9427696542518738</v>
      </c>
      <c r="AP725" s="94">
        <f>Table3.110[[#This Row],[CH4 8h, ml]]/Table3.110[[#This Row],[Net gas 8h, ml]]%</f>
        <v>14.5</v>
      </c>
      <c r="AQ725" s="94">
        <f>Table3.110[[#This Row],[CH4 24h, ml]]/Table3.110[[#This Row],[Net gas 24h, ml]]%</f>
        <v>15.48259350320094</v>
      </c>
      <c r="AR725" s="94">
        <f>Table3.110[[#This Row],[CH4 24h, ml]]/Table3.110[[#This Row],[DM Incubated, mg]]*1000</f>
        <v>19.295090272551189</v>
      </c>
      <c r="AS725" s="94">
        <f>Table3.110[[#This Row],[CH4 24h, ml]]/Table3.110[[#This Row],[Digested feed, mg]]*1000</f>
        <v>79.69340816764516</v>
      </c>
      <c r="AT725" s="94">
        <f>Table3.110[[#This Row],[CH4 24h, ml]]/'3.2 Digest'!AA725</f>
        <v>22.038194608673884</v>
      </c>
      <c r="AU725" s="94">
        <f>((Table3.110[[#This Row],[CH4 24h, ml]]/28.9)*16.04)/Table3.110[[#This Row],[DM Incubated, mg]]*1000</f>
        <v>10.709108926357128</v>
      </c>
      <c r="AV725" s="94">
        <f>((Table3.110[[#This Row],[CH4 24h, ml]]/28.9)*16.04)/Table3.110[[#This Row],[Digested feed, mg]]*1000</f>
        <v>44.231220311731079</v>
      </c>
    </row>
    <row r="726" spans="2:48" s="89" customFormat="1" x14ac:dyDescent="0.35">
      <c r="B726" s="90">
        <f t="shared" si="11"/>
        <v>716</v>
      </c>
      <c r="C726" s="143">
        <v>46076</v>
      </c>
      <c r="D726" s="92" t="s">
        <v>16</v>
      </c>
      <c r="E726" s="124" t="s">
        <v>564</v>
      </c>
      <c r="F726" s="242" t="s">
        <v>538</v>
      </c>
      <c r="G726" s="242">
        <v>8</v>
      </c>
      <c r="H726" s="124" t="s">
        <v>564</v>
      </c>
      <c r="I726" s="57"/>
      <c r="J726" s="130"/>
      <c r="K726" s="130"/>
      <c r="L726" s="124" t="s">
        <v>543</v>
      </c>
      <c r="M726" s="256">
        <v>28</v>
      </c>
      <c r="N726" s="256">
        <v>69</v>
      </c>
      <c r="O726" s="256">
        <v>3</v>
      </c>
      <c r="P726" s="257">
        <v>1</v>
      </c>
      <c r="Q726" s="96">
        <v>135</v>
      </c>
      <c r="R726" s="148"/>
      <c r="S726" s="94"/>
      <c r="T726" s="94">
        <f>'3.2 Digest'!W726</f>
        <v>0</v>
      </c>
      <c r="U726" s="159">
        <v>0.35625000000000001</v>
      </c>
      <c r="V726" s="160">
        <v>40</v>
      </c>
      <c r="W726" s="159">
        <v>0.71527777777777779</v>
      </c>
      <c r="X726" s="147">
        <v>42</v>
      </c>
      <c r="Y726" s="147"/>
      <c r="Z726" s="160"/>
      <c r="AA726" s="159"/>
      <c r="AB726" s="160"/>
      <c r="AC726" s="160"/>
      <c r="AD726" s="147"/>
      <c r="AE726" s="94">
        <f>Table3.110[[#This Row],[Gas 8h, ml]]-Table3.110[[#This Row],[Gas 0h, ml]]</f>
        <v>2</v>
      </c>
      <c r="AF726" s="94"/>
      <c r="AG726" s="94"/>
      <c r="AH726" s="94"/>
      <c r="AI726" s="94"/>
      <c r="AJ726" s="94"/>
      <c r="AK726" s="94"/>
      <c r="AL726" s="94"/>
      <c r="AM726" s="94"/>
      <c r="AN726" s="94"/>
      <c r="AO726" s="94"/>
      <c r="AP726" s="94"/>
      <c r="AQ726" s="94"/>
      <c r="AR726" s="94"/>
      <c r="AS726" s="94"/>
      <c r="AT726" s="94"/>
      <c r="AU726" s="94"/>
      <c r="AV726" s="94"/>
    </row>
    <row r="727" spans="2:48" s="89" customFormat="1" x14ac:dyDescent="0.35">
      <c r="B727" s="90">
        <f t="shared" si="11"/>
        <v>717</v>
      </c>
      <c r="C727" s="143">
        <v>46076</v>
      </c>
      <c r="D727" s="92" t="s">
        <v>16</v>
      </c>
      <c r="E727" s="124" t="s">
        <v>564</v>
      </c>
      <c r="F727" s="242" t="s">
        <v>538</v>
      </c>
      <c r="G727" s="242">
        <v>8</v>
      </c>
      <c r="H727" s="124" t="s">
        <v>564</v>
      </c>
      <c r="I727" s="57"/>
      <c r="J727" s="130"/>
      <c r="K727" s="130"/>
      <c r="L727" s="124" t="s">
        <v>543</v>
      </c>
      <c r="M727" s="256">
        <v>28</v>
      </c>
      <c r="N727" s="256">
        <v>69</v>
      </c>
      <c r="O727" s="256">
        <v>3</v>
      </c>
      <c r="P727" s="257">
        <v>2</v>
      </c>
      <c r="Q727" s="96">
        <v>136</v>
      </c>
      <c r="R727" s="148"/>
      <c r="S727" s="94"/>
      <c r="T727" s="94">
        <f>'3.2 Digest'!W727</f>
        <v>0</v>
      </c>
      <c r="U727" s="159">
        <v>0.35625000000000001</v>
      </c>
      <c r="V727" s="160">
        <v>39.5</v>
      </c>
      <c r="W727" s="159">
        <v>0.71597222222222223</v>
      </c>
      <c r="X727" s="147">
        <v>41.5</v>
      </c>
      <c r="Y727" s="147"/>
      <c r="Z727" s="160"/>
      <c r="AA727" s="159"/>
      <c r="AB727" s="160"/>
      <c r="AC727" s="160"/>
      <c r="AD727" s="147"/>
      <c r="AE727" s="94">
        <f>Table3.110[[#This Row],[Gas 8h, ml]]-Table3.110[[#This Row],[Gas 0h, ml]]</f>
        <v>2</v>
      </c>
      <c r="AF727" s="94"/>
      <c r="AG727" s="94"/>
      <c r="AH727" s="94"/>
      <c r="AI727" s="94"/>
      <c r="AJ727" s="94"/>
      <c r="AK727" s="94"/>
      <c r="AL727" s="94"/>
      <c r="AM727" s="94"/>
      <c r="AN727" s="94"/>
      <c r="AO727" s="94"/>
      <c r="AP727" s="94"/>
      <c r="AQ727" s="94"/>
      <c r="AR727" s="94"/>
      <c r="AS727" s="94"/>
      <c r="AT727" s="94"/>
      <c r="AU727" s="94"/>
      <c r="AV727" s="94"/>
    </row>
    <row r="728" spans="2:48" s="89" customFormat="1" x14ac:dyDescent="0.35">
      <c r="B728" s="90">
        <f t="shared" si="11"/>
        <v>718</v>
      </c>
      <c r="C728" s="140">
        <v>46076</v>
      </c>
      <c r="D728" s="92" t="s">
        <v>16</v>
      </c>
      <c r="E728" s="6" t="s">
        <v>218</v>
      </c>
      <c r="F728" s="242" t="s">
        <v>219</v>
      </c>
      <c r="G728" s="242" t="s">
        <v>220</v>
      </c>
      <c r="H728" s="6" t="str">
        <f>'[2]1. Information samples'!$K$46</f>
        <v>Vigna radiata</v>
      </c>
      <c r="I728" s="57" t="s">
        <v>22</v>
      </c>
      <c r="J728" s="130" t="s">
        <v>23</v>
      </c>
      <c r="K728" s="130" t="s">
        <v>24</v>
      </c>
      <c r="L728" s="6" t="s">
        <v>217</v>
      </c>
      <c r="M728" s="256">
        <v>28</v>
      </c>
      <c r="N728" s="256">
        <v>69</v>
      </c>
      <c r="O728" s="256">
        <v>3</v>
      </c>
      <c r="P728" s="257">
        <v>1</v>
      </c>
      <c r="Q728" s="96">
        <v>137</v>
      </c>
      <c r="R728" s="98">
        <v>0.50019999999999998</v>
      </c>
      <c r="S728" s="94">
        <f>((Table3.110[[#This Row],[Sample weight, g]]*'2.1. DM'!Q137)/100)*1000</f>
        <v>459.86700000000008</v>
      </c>
      <c r="T728" s="94">
        <f>'3.2 Digest'!W728</f>
        <v>254.36700000000005</v>
      </c>
      <c r="U728" s="153">
        <v>0.3576388888888889</v>
      </c>
      <c r="V728" s="154">
        <v>41.5</v>
      </c>
      <c r="W728" s="153">
        <v>0.71597222222222223</v>
      </c>
      <c r="X728" s="95">
        <v>72.5</v>
      </c>
      <c r="Y728" s="95">
        <v>11.2</v>
      </c>
      <c r="Z728" s="154">
        <v>38.5</v>
      </c>
      <c r="AA728" s="153">
        <v>0.39305555555555555</v>
      </c>
      <c r="AB728" s="154">
        <v>81</v>
      </c>
      <c r="AC728" s="154">
        <v>16.100000000000001</v>
      </c>
      <c r="AD728" s="91"/>
      <c r="AE728" s="94">
        <f>Table3.110[[#This Row],[Gas 8h, ml]]-Table3.110[[#This Row],[Gas 0h, ml]]</f>
        <v>31</v>
      </c>
      <c r="AF728" s="94">
        <f>Table3.110[[#This Row],[Gas 24h, ml]]-Table3.110[[#This Row],[V8 Push back, ml]]</f>
        <v>42.5</v>
      </c>
      <c r="AG728" s="94">
        <f>Table3.110[[#This Row],[GP 8h, ml]]-(AVERAGE(AE$479,AE$480,AE$660,AE$661,AE$662,AE$663))*AG$8</f>
        <v>27.607474101643646</v>
      </c>
      <c r="AH728" s="94">
        <f>Table3.110[[#This Row],[GP 8-24h, ml]]-(AVERAGE(AF$479,AF$480,AF$660,AF$661,AF$662,AF$663))*AG$8</f>
        <v>38.185592064046816</v>
      </c>
      <c r="AI728" s="94">
        <f>Table3.110[[#This Row],[Net gas 8-24h, ml]]+Table3.110[[#This Row],[Net gas 8h, ml]]</f>
        <v>65.793066165690462</v>
      </c>
      <c r="AJ728" s="94">
        <f>Table3.110[[#This Row],[Net gas 8h, ml]]*Table3.110[[#This Row],[CH4 8h %]]%</f>
        <v>3.092037099384088</v>
      </c>
      <c r="AK728" s="94">
        <f>Table3.110[[#This Row],[Net gas 8-24h, ml]]*Table3.110[[#This Row],[CH4 24h, %]]%</f>
        <v>6.1478803223115372</v>
      </c>
      <c r="AL728" s="94">
        <f>Table3.110[[#This Row],[CH4 8-24h, ml]]+Table3.110[[#This Row],[CH4 8h, ml]]</f>
        <v>9.2399174216956261</v>
      </c>
      <c r="AM728" s="94">
        <f>(Table3.110[[#This Row],[Net gas 24h, ml]]/Table3.110[[#This Row],[DM Incubated, mg]])*1000</f>
        <v>143.06977053298118</v>
      </c>
      <c r="AN728" s="94">
        <f>'3.2 Digest'!X728</f>
        <v>55.313166632961277</v>
      </c>
      <c r="AO728" s="94">
        <f>Table3.110[[#This Row],[Digested feed, mg]]/Table3.110[[#This Row],[Net gas 24h, ml]]</f>
        <v>3.8661672851575726</v>
      </c>
      <c r="AP728" s="94">
        <f>Table3.110[[#This Row],[CH4 8h, ml]]/Table3.110[[#This Row],[Net gas 8h, ml]]%</f>
        <v>11.199999999999998</v>
      </c>
      <c r="AQ728" s="94">
        <f>Table3.110[[#This Row],[CH4 24h, ml]]/Table3.110[[#This Row],[Net gas 24h, ml]]%</f>
        <v>14.043907603312196</v>
      </c>
      <c r="AR728" s="94">
        <f>Table3.110[[#This Row],[CH4 24h, ml]]/Table3.110[[#This Row],[DM Incubated, mg]]*1000</f>
        <v>20.092586381922651</v>
      </c>
      <c r="AS728" s="94">
        <f>Table3.110[[#This Row],[CH4 24h, ml]]/Table3.110[[#This Row],[Digested feed, mg]]*1000</f>
        <v>36.325142104501069</v>
      </c>
      <c r="AT728" s="94">
        <f>Table3.110[[#This Row],[CH4 24h, ml]]/'3.2 Digest'!AA728</f>
        <v>-1.5667789515242474</v>
      </c>
      <c r="AU728" s="94">
        <f>((Table3.110[[#This Row],[CH4 24h, ml]]/28.9)*16.04)/Table3.110[[#This Row],[DM Incubated, mg]]*1000</f>
        <v>11.151733064568838</v>
      </c>
      <c r="AV728" s="94">
        <f>((Table3.110[[#This Row],[CH4 24h, ml]]/28.9)*16.04)/Table3.110[[#This Row],[Digested feed, mg]]*1000</f>
        <v>20.161082330664264</v>
      </c>
    </row>
    <row r="729" spans="2:48" s="89" customFormat="1" x14ac:dyDescent="0.35">
      <c r="B729" s="90">
        <f t="shared" si="11"/>
        <v>719</v>
      </c>
      <c r="C729" s="140">
        <v>46076</v>
      </c>
      <c r="D729" s="92" t="s">
        <v>16</v>
      </c>
      <c r="E729" s="6" t="s">
        <v>218</v>
      </c>
      <c r="F729" s="242" t="s">
        <v>219</v>
      </c>
      <c r="G729" s="242" t="s">
        <v>220</v>
      </c>
      <c r="H729" s="6" t="str">
        <f>'[2]1. Information samples'!$K$46</f>
        <v>Vigna radiata</v>
      </c>
      <c r="I729" s="57" t="s">
        <v>22</v>
      </c>
      <c r="J729" s="130" t="s">
        <v>23</v>
      </c>
      <c r="K729" s="130" t="s">
        <v>24</v>
      </c>
      <c r="L729" s="6" t="s">
        <v>217</v>
      </c>
      <c r="M729" s="256">
        <v>28</v>
      </c>
      <c r="N729" s="256">
        <v>69</v>
      </c>
      <c r="O729" s="256">
        <v>3</v>
      </c>
      <c r="P729" s="257">
        <v>2</v>
      </c>
      <c r="Q729" s="96">
        <v>138</v>
      </c>
      <c r="R729" s="98">
        <v>0.50009999999999999</v>
      </c>
      <c r="S729" s="94">
        <f>((Table3.110[[#This Row],[Sample weight, g]]*'2.1. DM'!Q137)/100)*1000</f>
        <v>459.77506337465019</v>
      </c>
      <c r="T729" s="94">
        <f>'3.2 Digest'!W729</f>
        <v>217.57506337465011</v>
      </c>
      <c r="U729" s="117">
        <v>0.3576388888888889</v>
      </c>
      <c r="V729" s="155">
        <v>40.5</v>
      </c>
      <c r="W729" s="117">
        <v>0.71736111111111112</v>
      </c>
      <c r="X729" s="97">
        <v>74</v>
      </c>
      <c r="Y729" s="97">
        <v>11.6</v>
      </c>
      <c r="Z729" s="155">
        <v>40</v>
      </c>
      <c r="AA729" s="117">
        <v>0.39374999999999999</v>
      </c>
      <c r="AB729" s="155">
        <v>86</v>
      </c>
      <c r="AC729" s="155">
        <v>15.9</v>
      </c>
      <c r="AD729" s="96"/>
      <c r="AE729" s="94">
        <f>Table3.110[[#This Row],[Gas 8h, ml]]-Table3.110[[#This Row],[Gas 0h, ml]]</f>
        <v>33.5</v>
      </c>
      <c r="AF729" s="94">
        <f>Table3.110[[#This Row],[Gas 24h, ml]]-Table3.110[[#This Row],[V8 Push back, ml]]</f>
        <v>46</v>
      </c>
      <c r="AG729" s="94">
        <f>Table3.110[[#This Row],[GP 8h, ml]]-(AVERAGE(AE$479,AE$480,AE$660,AE$661,AE$662,AE$663))*AG$8</f>
        <v>30.107474101643646</v>
      </c>
      <c r="AH729" s="94">
        <f>Table3.110[[#This Row],[GP 8-24h, ml]]-(AVERAGE(AF$479,AF$480,AF$660,AF$661,AF$662,AF$663))*AG$8</f>
        <v>41.685592064046816</v>
      </c>
      <c r="AI729" s="94">
        <f>Table3.110[[#This Row],[Net gas 8-24h, ml]]+Table3.110[[#This Row],[Net gas 8h, ml]]</f>
        <v>71.793066165690462</v>
      </c>
      <c r="AJ729" s="94">
        <f>Table3.110[[#This Row],[Net gas 8h, ml]]*Table3.110[[#This Row],[CH4 8h %]]%</f>
        <v>3.4924669957906627</v>
      </c>
      <c r="AK729" s="94">
        <f>Table3.110[[#This Row],[Net gas 8-24h, ml]]*Table3.110[[#This Row],[CH4 24h, %]]%</f>
        <v>6.6280091381834438</v>
      </c>
      <c r="AL729" s="94">
        <f>Table3.110[[#This Row],[CH4 8-24h, ml]]+Table3.110[[#This Row],[CH4 8h, ml]]</f>
        <v>10.120476133974107</v>
      </c>
      <c r="AM729" s="94">
        <f>(Table3.110[[#This Row],[Net gas 24h, ml]]/Table3.110[[#This Row],[DM Incubated, mg]])*1000</f>
        <v>156.14823831189273</v>
      </c>
      <c r="AN729" s="94">
        <f>'3.2 Digest'!X729</f>
        <v>47.322066964157621</v>
      </c>
      <c r="AO729" s="94">
        <f>Table3.110[[#This Row],[Digested feed, mg]]/Table3.110[[#This Row],[Net gas 24h, ml]]</f>
        <v>3.0305860300284557</v>
      </c>
      <c r="AP729" s="94">
        <f>Table3.110[[#This Row],[CH4 8h, ml]]/Table3.110[[#This Row],[Net gas 8h, ml]]%</f>
        <v>11.6</v>
      </c>
      <c r="AQ729" s="94">
        <f>Table3.110[[#This Row],[CH4 24h, ml]]/Table3.110[[#This Row],[Net gas 24h, ml]]%</f>
        <v>14.096732002805348</v>
      </c>
      <c r="AR729" s="94">
        <f>Table3.110[[#This Row],[CH4 24h, ml]]/Table3.110[[#This Row],[DM Incubated, mg]]*1000</f>
        <v>22.011798681929346</v>
      </c>
      <c r="AS729" s="94">
        <f>Table3.110[[#This Row],[CH4 24h, ml]]/Table3.110[[#This Row],[Digested feed, mg]]*1000</f>
        <v>46.514871589614593</v>
      </c>
      <c r="AT729" s="94">
        <f>Table3.110[[#This Row],[CH4 24h, ml]]/'3.2 Digest'!AA729</f>
        <v>-0.40751772991191498</v>
      </c>
      <c r="AU729" s="94">
        <f>((Table3.110[[#This Row],[CH4 24h, ml]]/28.9)*16.04)/Table3.110[[#This Row],[DM Incubated, mg]]*1000</f>
        <v>12.216929095437601</v>
      </c>
      <c r="AV729" s="94">
        <f>((Table3.110[[#This Row],[CH4 24h, ml]]/28.9)*16.04)/Table3.110[[#This Row],[Digested feed, mg]]*1000</f>
        <v>25.816558487799927</v>
      </c>
    </row>
    <row r="730" spans="2:48" s="89" customFormat="1" x14ac:dyDescent="0.35">
      <c r="B730" s="90">
        <f t="shared" si="11"/>
        <v>720</v>
      </c>
      <c r="C730" s="140">
        <v>46076</v>
      </c>
      <c r="D730" s="92" t="s">
        <v>16</v>
      </c>
      <c r="E730" s="6" t="s">
        <v>223</v>
      </c>
      <c r="F730" s="242" t="s">
        <v>219</v>
      </c>
      <c r="G730" s="242" t="s">
        <v>220</v>
      </c>
      <c r="H730" s="6" t="str">
        <f>'[2]1. Information samples'!$K$47</f>
        <v>Vigna radiata</v>
      </c>
      <c r="I730" s="57" t="s">
        <v>22</v>
      </c>
      <c r="J730" s="130" t="s">
        <v>23</v>
      </c>
      <c r="K730" s="130" t="s">
        <v>24</v>
      </c>
      <c r="L730" s="6" t="s">
        <v>222</v>
      </c>
      <c r="M730" s="256">
        <v>28</v>
      </c>
      <c r="N730" s="256">
        <v>69</v>
      </c>
      <c r="O730" s="256">
        <v>3</v>
      </c>
      <c r="P730" s="257">
        <v>1</v>
      </c>
      <c r="Q730" s="96">
        <v>139</v>
      </c>
      <c r="R730" s="98">
        <v>0.50019999999999998</v>
      </c>
      <c r="S730" s="94">
        <f>((Table3.110[[#This Row],[Sample weight, g]]*'2.1. DM'!Q139)/100)*1000</f>
        <v>457.32713643178403</v>
      </c>
      <c r="T730" s="94">
        <f>'3.2 Digest'!W730</f>
        <v>280.52713643178407</v>
      </c>
      <c r="U730" s="117">
        <v>0.3576388888888889</v>
      </c>
      <c r="V730" s="155">
        <v>41</v>
      </c>
      <c r="W730" s="117">
        <v>0.71736111111111112</v>
      </c>
      <c r="X730" s="97">
        <v>85.5</v>
      </c>
      <c r="Y730" s="97">
        <v>12.6</v>
      </c>
      <c r="Z730" s="155">
        <v>40</v>
      </c>
      <c r="AA730" s="117">
        <v>0.39444444444444443</v>
      </c>
      <c r="AB730" s="155">
        <v>89</v>
      </c>
      <c r="AC730" s="155">
        <v>16.8</v>
      </c>
      <c r="AD730" s="96"/>
      <c r="AE730" s="94">
        <f>Table3.110[[#This Row],[Gas 8h, ml]]-Table3.110[[#This Row],[Gas 0h, ml]]</f>
        <v>44.5</v>
      </c>
      <c r="AF730" s="94">
        <f>Table3.110[[#This Row],[Gas 24h, ml]]-Table3.110[[#This Row],[V8 Push back, ml]]</f>
        <v>49</v>
      </c>
      <c r="AG730" s="94">
        <f>Table3.110[[#This Row],[GP 8h, ml]]-AVERAGE(AE$664,AE$665,AE$726,AE$727,AE$788,AE$789)*$AG$8</f>
        <v>42.656235924806332</v>
      </c>
      <c r="AH730" s="94">
        <f>Table3.110[[#This Row],[GP 8-24h, ml]]-AVERAGE(AF$664,AF$665,AF$726,AF$727,AF$788,AF$789)*$AG$8</f>
        <v>46.676857265255975</v>
      </c>
      <c r="AI730" s="94">
        <f>Table3.110[[#This Row],[Net gas 8-24h, ml]]+Table3.110[[#This Row],[Net gas 8h, ml]]</f>
        <v>89.3330931900623</v>
      </c>
      <c r="AJ730" s="94">
        <f>Table3.110[[#This Row],[Net gas 8h, ml]]*Table3.110[[#This Row],[CH4 8h %]]%</f>
        <v>5.3746857265255974</v>
      </c>
      <c r="AK730" s="94">
        <f>Table3.110[[#This Row],[Net gas 8-24h, ml]]*Table3.110[[#This Row],[CH4 24h, %]]%</f>
        <v>7.841712020563004</v>
      </c>
      <c r="AL730" s="94">
        <f>Table3.110[[#This Row],[CH4 8-24h, ml]]+Table3.110[[#This Row],[CH4 8h, ml]]</f>
        <v>13.216397747088601</v>
      </c>
      <c r="AM730" s="94">
        <f>(Table3.110[[#This Row],[Net gas 24h, ml]]/Table3.110[[#This Row],[DM Incubated, mg]])*1000</f>
        <v>195.33739870996575</v>
      </c>
      <c r="AN730" s="94">
        <f>'3.2 Digest'!X730</f>
        <v>61.340584033685076</v>
      </c>
      <c r="AO730" s="94">
        <f>Table3.110[[#This Row],[Digested feed, mg]]/Table3.110[[#This Row],[Net gas 24h, ml]]</f>
        <v>3.1402375806571849</v>
      </c>
      <c r="AP730" s="94">
        <f>Table3.110[[#This Row],[CH4 8h, ml]]/Table3.110[[#This Row],[Net gas 8h, ml]]%</f>
        <v>12.6</v>
      </c>
      <c r="AQ730" s="94">
        <f>Table3.110[[#This Row],[CH4 24h, ml]]/Table3.110[[#This Row],[Net gas 24h, ml]]%</f>
        <v>14.794514860209539</v>
      </c>
      <c r="AR730" s="94">
        <f>Table3.110[[#This Row],[CH4 24h, ml]]/Table3.110[[#This Row],[DM Incubated, mg]]*1000</f>
        <v>28.899220479692637</v>
      </c>
      <c r="AS730" s="94">
        <f>Table3.110[[#This Row],[CH4 24h, ml]]/Table3.110[[#This Row],[Digested feed, mg]]*1000</f>
        <v>47.11272469108328</v>
      </c>
      <c r="AT730" s="94">
        <f>Table3.110[[#This Row],[CH4 24h, ml]]/'3.2 Digest'!AA730</f>
        <v>0.88351318981493965</v>
      </c>
      <c r="AU730" s="94">
        <f>((Table3.110[[#This Row],[CH4 24h, ml]]/28.9)*16.04)/Table3.110[[#This Row],[DM Incubated, mg]]*1000</f>
        <v>16.039567352742903</v>
      </c>
      <c r="AV730" s="94">
        <f>((Table3.110[[#This Row],[CH4 24h, ml]]/28.9)*16.04)/Table3.110[[#This Row],[Digested feed, mg]]*1000</f>
        <v>26.148377302594319</v>
      </c>
    </row>
    <row r="731" spans="2:48" s="89" customFormat="1" x14ac:dyDescent="0.35">
      <c r="B731" s="90">
        <f t="shared" si="11"/>
        <v>721</v>
      </c>
      <c r="C731" s="140">
        <v>46076</v>
      </c>
      <c r="D731" s="92" t="s">
        <v>16</v>
      </c>
      <c r="E731" s="6" t="s">
        <v>223</v>
      </c>
      <c r="F731" s="242" t="s">
        <v>219</v>
      </c>
      <c r="G731" s="242" t="s">
        <v>220</v>
      </c>
      <c r="H731" s="6" t="str">
        <f>'[2]1. Information samples'!$K$47</f>
        <v>Vigna radiata</v>
      </c>
      <c r="I731" s="57" t="s">
        <v>22</v>
      </c>
      <c r="J731" s="130" t="s">
        <v>23</v>
      </c>
      <c r="K731" s="130" t="s">
        <v>24</v>
      </c>
      <c r="L731" s="6" t="s">
        <v>222</v>
      </c>
      <c r="M731" s="256">
        <v>28</v>
      </c>
      <c r="N731" s="256">
        <v>69</v>
      </c>
      <c r="O731" s="256">
        <v>3</v>
      </c>
      <c r="P731" s="257">
        <v>2</v>
      </c>
      <c r="Q731" s="96">
        <v>140</v>
      </c>
      <c r="R731" s="98">
        <v>0.50009999999999999</v>
      </c>
      <c r="S731" s="94">
        <f>((Table3.110[[#This Row],[Sample weight, g]]*'2.1. DM'!Q139)/100)*1000</f>
        <v>457.23570757603994</v>
      </c>
      <c r="T731" s="94">
        <f>'3.2 Digest'!W731</f>
        <v>198.13570757603992</v>
      </c>
      <c r="U731" s="153">
        <v>0.3576388888888889</v>
      </c>
      <c r="V731" s="154">
        <v>40.5</v>
      </c>
      <c r="W731" s="153">
        <v>0.71805555555555556</v>
      </c>
      <c r="X731" s="95">
        <v>83.5</v>
      </c>
      <c r="Y731" s="95">
        <v>12.9</v>
      </c>
      <c r="Z731" s="154">
        <v>40</v>
      </c>
      <c r="AA731" s="153">
        <v>0.39444444444444443</v>
      </c>
      <c r="AB731" s="154">
        <v>89.5</v>
      </c>
      <c r="AC731" s="154">
        <v>16.8</v>
      </c>
      <c r="AD731" s="91"/>
      <c r="AE731" s="94">
        <f>Table3.110[[#This Row],[Gas 8h, ml]]-Table3.110[[#This Row],[Gas 0h, ml]]</f>
        <v>43</v>
      </c>
      <c r="AF731" s="94">
        <f>Table3.110[[#This Row],[Gas 24h, ml]]-Table3.110[[#This Row],[V8 Push back, ml]]</f>
        <v>49.5</v>
      </c>
      <c r="AG731" s="94">
        <f>Table3.110[[#This Row],[GP 8h, ml]]-AVERAGE(AE$664,AE$665,AE$726,AE$727,AE$788,AE$789)*$AG$8</f>
        <v>41.156235924806332</v>
      </c>
      <c r="AH731" s="94">
        <f>Table3.110[[#This Row],[GP 8-24h, ml]]-AVERAGE(AF$664,AF$665,AF$726,AF$727,AF$788,AF$789)*$AG$8</f>
        <v>47.176857265255975</v>
      </c>
      <c r="AI731" s="94">
        <f>Table3.110[[#This Row],[Net gas 8-24h, ml]]+Table3.110[[#This Row],[Net gas 8h, ml]]</f>
        <v>88.3330931900623</v>
      </c>
      <c r="AJ731" s="94">
        <f>Table3.110[[#This Row],[Net gas 8h, ml]]*Table3.110[[#This Row],[CH4 8h %]]%</f>
        <v>5.3091544343000168</v>
      </c>
      <c r="AK731" s="94">
        <f>Table3.110[[#This Row],[Net gas 8-24h, ml]]*Table3.110[[#This Row],[CH4 24h, %]]%</f>
        <v>7.9257120205630045</v>
      </c>
      <c r="AL731" s="94">
        <f>Table3.110[[#This Row],[CH4 8-24h, ml]]+Table3.110[[#This Row],[CH4 8h, ml]]</f>
        <v>13.23486645486302</v>
      </c>
      <c r="AM731" s="94">
        <f>(Table3.110[[#This Row],[Net gas 24h, ml]]/Table3.110[[#This Row],[DM Incubated, mg]])*1000</f>
        <v>193.18940259138049</v>
      </c>
      <c r="AN731" s="94">
        <f>'3.2 Digest'!X731</f>
        <v>43.333384574538997</v>
      </c>
      <c r="AO731" s="94">
        <f>Table3.110[[#This Row],[Digested feed, mg]]/Table3.110[[#This Row],[Net gas 24h, ml]]</f>
        <v>2.243051844111474</v>
      </c>
      <c r="AP731" s="94">
        <f>Table3.110[[#This Row],[CH4 8h, ml]]/Table3.110[[#This Row],[Net gas 8h, ml]]%</f>
        <v>12.899999999999999</v>
      </c>
      <c r="AQ731" s="94">
        <f>Table3.110[[#This Row],[CH4 24h, ml]]/Table3.110[[#This Row],[Net gas 24h, ml]]%</f>
        <v>14.982908417331386</v>
      </c>
      <c r="AR731" s="94">
        <f>Table3.110[[#This Row],[CH4 24h, ml]]/Table3.110[[#This Row],[DM Incubated, mg]]*1000</f>
        <v>28.945391262256162</v>
      </c>
      <c r="AS731" s="94">
        <f>Table3.110[[#This Row],[CH4 24h, ml]]/Table3.110[[#This Row],[Digested feed, mg]]*1000</f>
        <v>66.796977772337087</v>
      </c>
      <c r="AT731" s="94">
        <f>Table3.110[[#This Row],[CH4 24h, ml]]/'3.2 Digest'!AA731</f>
        <v>-0.53685828148744907</v>
      </c>
      <c r="AU731" s="94">
        <f>((Table3.110[[#This Row],[CH4 24h, ml]]/28.9)*16.04)/Table3.110[[#This Row],[DM Incubated, mg]]*1000</f>
        <v>16.065192935868126</v>
      </c>
      <c r="AV731" s="94">
        <f>((Table3.110[[#This Row],[CH4 24h, ml]]/28.9)*16.04)/Table3.110[[#This Row],[Digested feed, mg]]*1000</f>
        <v>37.073478320701973</v>
      </c>
    </row>
    <row r="732" spans="2:48" s="89" customFormat="1" x14ac:dyDescent="0.35">
      <c r="B732" s="90">
        <f t="shared" si="11"/>
        <v>722</v>
      </c>
      <c r="C732" s="140">
        <v>46076</v>
      </c>
      <c r="D732" s="92" t="s">
        <v>16</v>
      </c>
      <c r="E732" s="6" t="s">
        <v>225</v>
      </c>
      <c r="F732" s="242" t="s">
        <v>226</v>
      </c>
      <c r="G732" s="242" t="s">
        <v>227</v>
      </c>
      <c r="H732" s="6" t="str">
        <f>'[2]1. Information samples'!$K$48</f>
        <v>Macroptilium atropurpureum</v>
      </c>
      <c r="I732" s="57" t="s">
        <v>22</v>
      </c>
      <c r="J732" s="130" t="s">
        <v>23</v>
      </c>
      <c r="K732" s="130" t="s">
        <v>24</v>
      </c>
      <c r="L732" s="6" t="s">
        <v>224</v>
      </c>
      <c r="M732" s="256">
        <v>28</v>
      </c>
      <c r="N732" s="256">
        <v>69</v>
      </c>
      <c r="O732" s="256">
        <v>3</v>
      </c>
      <c r="P732" s="257">
        <v>1</v>
      </c>
      <c r="Q732" s="96">
        <v>141</v>
      </c>
      <c r="R732" s="98">
        <v>0.50029999999999997</v>
      </c>
      <c r="S732" s="94">
        <f>((Table3.110[[#This Row],[Sample weight, g]]*'2.1. DM'!Q141)/100)*1000</f>
        <v>455.68889039433526</v>
      </c>
      <c r="T732" s="94">
        <f>'3.2 Digest'!W732</f>
        <v>155.58889039433535</v>
      </c>
      <c r="U732" s="153">
        <v>0.3576388888888889</v>
      </c>
      <c r="V732" s="154">
        <v>41</v>
      </c>
      <c r="W732" s="153">
        <v>0.71875</v>
      </c>
      <c r="X732" s="95">
        <v>78.5</v>
      </c>
      <c r="Y732" s="95">
        <v>11.8</v>
      </c>
      <c r="Z732" s="154">
        <v>40</v>
      </c>
      <c r="AA732" s="153">
        <v>0.39513888888888887</v>
      </c>
      <c r="AB732" s="154">
        <v>75</v>
      </c>
      <c r="AC732" s="154">
        <v>15.6</v>
      </c>
      <c r="AD732" s="91"/>
      <c r="AE732" s="94">
        <f>Table3.110[[#This Row],[Gas 8h, ml]]-Table3.110[[#This Row],[Gas 0h, ml]]</f>
        <v>37.5</v>
      </c>
      <c r="AF732" s="94">
        <f>Table3.110[[#This Row],[Gas 24h, ml]]-Table3.110[[#This Row],[V8 Push back, ml]]</f>
        <v>35</v>
      </c>
      <c r="AG732" s="94">
        <f>Table3.110[[#This Row],[GP 8h, ml]]-AVERAGE(AE$664,AE$665,AE$726,AE$727,AE$788,AE$789)*$AG$8</f>
        <v>35.656235924806332</v>
      </c>
      <c r="AH732" s="94">
        <f>Table3.110[[#This Row],[GP 8-24h, ml]]-AVERAGE(AF$664,AF$665,AF$726,AF$727,AF$788,AF$789)*$AG$8</f>
        <v>32.676857265255975</v>
      </c>
      <c r="AI732" s="94">
        <f>Table3.110[[#This Row],[Net gas 8-24h, ml]]+Table3.110[[#This Row],[Net gas 8h, ml]]</f>
        <v>68.3330931900623</v>
      </c>
      <c r="AJ732" s="94">
        <f>Table3.110[[#This Row],[Net gas 8h, ml]]*Table3.110[[#This Row],[CH4 8h %]]%</f>
        <v>4.2074358391271476</v>
      </c>
      <c r="AK732" s="94">
        <f>Table3.110[[#This Row],[Net gas 8-24h, ml]]*Table3.110[[#This Row],[CH4 24h, %]]%</f>
        <v>5.097589733379932</v>
      </c>
      <c r="AL732" s="94">
        <f>Table3.110[[#This Row],[CH4 8-24h, ml]]+Table3.110[[#This Row],[CH4 8h, ml]]</f>
        <v>9.3050255725070805</v>
      </c>
      <c r="AM732" s="94">
        <f>(Table3.110[[#This Row],[Net gas 24h, ml]]/Table3.110[[#This Row],[DM Incubated, mg]])*1000</f>
        <v>149.9555829217814</v>
      </c>
      <c r="AN732" s="94">
        <f>'3.2 Digest'!X732</f>
        <v>34.143665486269555</v>
      </c>
      <c r="AO732" s="94">
        <f>Table3.110[[#This Row],[Digested feed, mg]]/Table3.110[[#This Row],[Net gas 24h, ml]]</f>
        <v>2.2769185928928897</v>
      </c>
      <c r="AP732" s="94">
        <f>Table3.110[[#This Row],[CH4 8h, ml]]/Table3.110[[#This Row],[Net gas 8h, ml]]%</f>
        <v>11.8</v>
      </c>
      <c r="AQ732" s="94">
        <f>Table3.110[[#This Row],[CH4 24h, ml]]/Table3.110[[#This Row],[Net gas 24h, ml]]%</f>
        <v>13.617158448580684</v>
      </c>
      <c r="AR732" s="94">
        <f>Table3.110[[#This Row],[CH4 24h, ml]]/Table3.110[[#This Row],[DM Incubated, mg]]*1000</f>
        <v>20.419689328951769</v>
      </c>
      <c r="AS732" s="94">
        <f>Table3.110[[#This Row],[CH4 24h, ml]]/Table3.110[[#This Row],[Digested feed, mg]]*1000</f>
        <v>59.805205557567596</v>
      </c>
      <c r="AT732" s="94">
        <f>Table3.110[[#This Row],[CH4 24h, ml]]/'3.2 Digest'!AA732</f>
        <v>-0.20958960371871979</v>
      </c>
      <c r="AU732" s="94">
        <f>((Table3.110[[#This Row],[CH4 24h, ml]]/28.9)*16.04)/Table3.110[[#This Row],[DM Incubated, mg]]*1000</f>
        <v>11.333280859390532</v>
      </c>
      <c r="AV732" s="94">
        <f>((Table3.110[[#This Row],[CH4 24h, ml]]/28.9)*16.04)/Table3.110[[#This Row],[Digested feed, mg]]*1000</f>
        <v>33.192923776587691</v>
      </c>
    </row>
    <row r="733" spans="2:48" s="89" customFormat="1" x14ac:dyDescent="0.35">
      <c r="B733" s="90">
        <f t="shared" si="11"/>
        <v>723</v>
      </c>
      <c r="C733" s="140">
        <v>46076</v>
      </c>
      <c r="D733" s="92" t="s">
        <v>16</v>
      </c>
      <c r="E733" s="6" t="s">
        <v>225</v>
      </c>
      <c r="F733" s="242" t="s">
        <v>226</v>
      </c>
      <c r="G733" s="242" t="s">
        <v>227</v>
      </c>
      <c r="H733" s="6" t="str">
        <f>'[2]1. Information samples'!$K$48</f>
        <v>Macroptilium atropurpureum</v>
      </c>
      <c r="I733" s="57" t="s">
        <v>22</v>
      </c>
      <c r="J733" s="130" t="s">
        <v>23</v>
      </c>
      <c r="K733" s="130" t="s">
        <v>24</v>
      </c>
      <c r="L733" s="6" t="s">
        <v>224</v>
      </c>
      <c r="M733" s="256">
        <v>28</v>
      </c>
      <c r="N733" s="256">
        <v>69</v>
      </c>
      <c r="O733" s="256">
        <v>3</v>
      </c>
      <c r="P733" s="257">
        <v>2</v>
      </c>
      <c r="Q733" s="96">
        <v>142</v>
      </c>
      <c r="R733" s="98">
        <v>0.50029999999999997</v>
      </c>
      <c r="S733" s="94">
        <f>((Table3.110[[#This Row],[Sample weight, g]]*'2.1. DM'!Q141)/100)*1000</f>
        <v>455.68889039433526</v>
      </c>
      <c r="T733" s="94">
        <f>'3.2 Digest'!W733</f>
        <v>150.88889039433519</v>
      </c>
      <c r="U733" s="117">
        <v>0.3576388888888889</v>
      </c>
      <c r="V733" s="155">
        <v>41.5</v>
      </c>
      <c r="W733" s="117">
        <v>0.71875</v>
      </c>
      <c r="X733" s="97">
        <v>78</v>
      </c>
      <c r="Y733" s="97">
        <v>11.6</v>
      </c>
      <c r="Z733" s="155">
        <v>40.5</v>
      </c>
      <c r="AA733" s="117">
        <v>0.39513888888888887</v>
      </c>
      <c r="AB733" s="155">
        <v>75.5</v>
      </c>
      <c r="AC733" s="155">
        <v>15.2</v>
      </c>
      <c r="AD733" s="96"/>
      <c r="AE733" s="94">
        <f>Table3.110[[#This Row],[Gas 8h, ml]]-Table3.110[[#This Row],[Gas 0h, ml]]</f>
        <v>36.5</v>
      </c>
      <c r="AF733" s="94">
        <f>Table3.110[[#This Row],[Gas 24h, ml]]-Table3.110[[#This Row],[V8 Push back, ml]]</f>
        <v>35</v>
      </c>
      <c r="AG733" s="94">
        <f>Table3.110[[#This Row],[GP 8h, ml]]-AVERAGE(AE$664,AE$665,AE$726,AE$727,AE$788,AE$789)*$AG$8</f>
        <v>34.656235924806332</v>
      </c>
      <c r="AH733" s="94">
        <f>Table3.110[[#This Row],[GP 8-24h, ml]]-AVERAGE(AF$664,AF$665,AF$726,AF$727,AF$788,AF$789)*$AG$8</f>
        <v>32.676857265255975</v>
      </c>
      <c r="AI733" s="94">
        <f>Table3.110[[#This Row],[Net gas 8-24h, ml]]+Table3.110[[#This Row],[Net gas 8h, ml]]</f>
        <v>67.3330931900623</v>
      </c>
      <c r="AJ733" s="94">
        <f>Table3.110[[#This Row],[Net gas 8h, ml]]*Table3.110[[#This Row],[CH4 8h %]]%</f>
        <v>4.0201233672775345</v>
      </c>
      <c r="AK733" s="94">
        <f>Table3.110[[#This Row],[Net gas 8-24h, ml]]*Table3.110[[#This Row],[CH4 24h, %]]%</f>
        <v>4.9668823043189079</v>
      </c>
      <c r="AL733" s="94">
        <f>Table3.110[[#This Row],[CH4 8-24h, ml]]+Table3.110[[#This Row],[CH4 8h, ml]]</f>
        <v>8.9870056715964424</v>
      </c>
      <c r="AM733" s="94">
        <f>(Table3.110[[#This Row],[Net gas 24h, ml]]/Table3.110[[#This Row],[DM Incubated, mg]])*1000</f>
        <v>147.76110326454281</v>
      </c>
      <c r="AN733" s="94">
        <f>'3.2 Digest'!X733</f>
        <v>33.112260047367378</v>
      </c>
      <c r="AO733" s="94">
        <f>Table3.110[[#This Row],[Digested feed, mg]]/Table3.110[[#This Row],[Net gas 24h, ml]]</f>
        <v>2.2409321070163593</v>
      </c>
      <c r="AP733" s="94">
        <f>Table3.110[[#This Row],[CH4 8h, ml]]/Table3.110[[#This Row],[Net gas 8h, ml]]%</f>
        <v>11.6</v>
      </c>
      <c r="AQ733" s="94">
        <f>Table3.110[[#This Row],[CH4 24h, ml]]/Table3.110[[#This Row],[Net gas 24h, ml]]%</f>
        <v>13.347085728304007</v>
      </c>
      <c r="AR733" s="94">
        <f>Table3.110[[#This Row],[CH4 24h, ml]]/Table3.110[[#This Row],[DM Incubated, mg]]*1000</f>
        <v>19.721801125806337</v>
      </c>
      <c r="AS733" s="94">
        <f>Table3.110[[#This Row],[CH4 24h, ml]]/Table3.110[[#This Row],[Digested feed, mg]]*1000</f>
        <v>59.560419909707548</v>
      </c>
      <c r="AT733" s="94">
        <f>Table3.110[[#This Row],[CH4 24h, ml]]/'3.2 Digest'!AA733</f>
        <v>-0.19261502302871608</v>
      </c>
      <c r="AU733" s="94">
        <f>((Table3.110[[#This Row],[CH4 24h, ml]]/28.9)*16.04)/Table3.110[[#This Row],[DM Incubated, mg]]*1000</f>
        <v>10.945940832454452</v>
      </c>
      <c r="AV733" s="94">
        <f>((Table3.110[[#This Row],[CH4 24h, ml]]/28.9)*16.04)/Table3.110[[#This Row],[Digested feed, mg]]*1000</f>
        <v>33.057063506979553</v>
      </c>
    </row>
    <row r="734" spans="2:48" s="89" customFormat="1" x14ac:dyDescent="0.35">
      <c r="B734" s="90">
        <f t="shared" si="11"/>
        <v>724</v>
      </c>
      <c r="C734" s="140">
        <v>46076</v>
      </c>
      <c r="D734" s="92" t="s">
        <v>16</v>
      </c>
      <c r="E734" s="6" t="s">
        <v>230</v>
      </c>
      <c r="F734" s="242" t="s">
        <v>226</v>
      </c>
      <c r="G734" s="242" t="s">
        <v>231</v>
      </c>
      <c r="H734" s="6" t="str">
        <f>'[2]1. Information samples'!$K$49</f>
        <v>Macroptilium bracteatum</v>
      </c>
      <c r="I734" s="57" t="s">
        <v>22</v>
      </c>
      <c r="J734" s="130" t="s">
        <v>23</v>
      </c>
      <c r="K734" s="130" t="s">
        <v>24</v>
      </c>
      <c r="L734" s="6" t="s">
        <v>229</v>
      </c>
      <c r="M734" s="256">
        <v>28</v>
      </c>
      <c r="N734" s="256">
        <v>69</v>
      </c>
      <c r="O734" s="256">
        <v>3</v>
      </c>
      <c r="P734" s="257">
        <v>1</v>
      </c>
      <c r="Q734" s="96">
        <v>143</v>
      </c>
      <c r="R734" s="98">
        <v>0.5</v>
      </c>
      <c r="S734" s="94">
        <f>((Table3.110[[#This Row],[Sample weight, g]]*'2.1. DM'!Q143)/100)*1000</f>
        <v>464.98905795494943</v>
      </c>
      <c r="T734" s="94">
        <f>'3.2 Digest'!W734</f>
        <v>154.88905795494952</v>
      </c>
      <c r="U734" s="153">
        <v>0.35833333333333334</v>
      </c>
      <c r="V734" s="154">
        <v>41</v>
      </c>
      <c r="W734" s="153">
        <v>0.71944444444444444</v>
      </c>
      <c r="X734" s="91">
        <v>76</v>
      </c>
      <c r="Y734" s="91">
        <v>12.5</v>
      </c>
      <c r="Z734" s="154">
        <v>40.5</v>
      </c>
      <c r="AA734" s="153">
        <v>0.39583333333333331</v>
      </c>
      <c r="AB734" s="154">
        <v>82.5</v>
      </c>
      <c r="AC734" s="154">
        <v>15.2</v>
      </c>
      <c r="AD734" s="91"/>
      <c r="AE734" s="94">
        <f>Table3.110[[#This Row],[Gas 8h, ml]]-Table3.110[[#This Row],[Gas 0h, ml]]</f>
        <v>35</v>
      </c>
      <c r="AF734" s="94">
        <f>Table3.110[[#This Row],[Gas 24h, ml]]-Table3.110[[#This Row],[V8 Push back, ml]]</f>
        <v>42</v>
      </c>
      <c r="AG734" s="94">
        <f>Table3.110[[#This Row],[GP 8h, ml]]-AVERAGE(AE$664,AE$665,AE$726,AE$727,AE$788,AE$789)*$AG$8</f>
        <v>33.156235924806332</v>
      </c>
      <c r="AH734" s="94">
        <f>Table3.110[[#This Row],[GP 8-24h, ml]]-AVERAGE(AF$664,AF$665,AF$726,AF$727,AF$788,AF$789)*$AG$8</f>
        <v>39.676857265255975</v>
      </c>
      <c r="AI734" s="94">
        <f>Table3.110[[#This Row],[Net gas 8-24h, ml]]+Table3.110[[#This Row],[Net gas 8h, ml]]</f>
        <v>72.8330931900623</v>
      </c>
      <c r="AJ734" s="94">
        <f>Table3.110[[#This Row],[Net gas 8h, ml]]*Table3.110[[#This Row],[CH4 8h %]]%</f>
        <v>4.1445294906007915</v>
      </c>
      <c r="AK734" s="94">
        <f>Table3.110[[#This Row],[Net gas 8-24h, ml]]*Table3.110[[#This Row],[CH4 24h, %]]%</f>
        <v>6.0308823043189079</v>
      </c>
      <c r="AL734" s="94">
        <f>Table3.110[[#This Row],[CH4 8-24h, ml]]+Table3.110[[#This Row],[CH4 8h, ml]]</f>
        <v>10.1754117949197</v>
      </c>
      <c r="AM734" s="94">
        <f>(Table3.110[[#This Row],[Net gas 24h, ml]]/Table3.110[[#This Row],[DM Incubated, mg]])*1000</f>
        <v>156.63399373393159</v>
      </c>
      <c r="AN734" s="94">
        <f>'3.2 Digest'!X734</f>
        <v>33.310258662034151</v>
      </c>
      <c r="AO734" s="94">
        <f>Table3.110[[#This Row],[Digested feed, mg]]/Table3.110[[#This Row],[Net gas 24h, ml]]</f>
        <v>2.1266302331929978</v>
      </c>
      <c r="AP734" s="94">
        <f>Table3.110[[#This Row],[CH4 8h, ml]]/Table3.110[[#This Row],[Net gas 8h, ml]]%</f>
        <v>12.5</v>
      </c>
      <c r="AQ734" s="94">
        <f>Table3.110[[#This Row],[CH4 24h, ml]]/Table3.110[[#This Row],[Net gas 24h, ml]]%</f>
        <v>13.970863173923364</v>
      </c>
      <c r="AR734" s="94">
        <f>Table3.110[[#This Row],[CH4 24h, ml]]/Table3.110[[#This Row],[DM Incubated, mg]]*1000</f>
        <v>21.883120948419279</v>
      </c>
      <c r="AS734" s="94">
        <f>Table3.110[[#This Row],[CH4 24h, ml]]/Table3.110[[#This Row],[Digested feed, mg]]*1000</f>
        <v>65.694839450048732</v>
      </c>
      <c r="AT734" s="94">
        <f>Table3.110[[#This Row],[CH4 24h, ml]]/'3.2 Digest'!AA734</f>
        <v>-0.34317547964116174</v>
      </c>
      <c r="AU734" s="94">
        <f>((Table3.110[[#This Row],[CH4 24h, ml]]/28.9)*16.04)/Table3.110[[#This Row],[DM Incubated, mg]]*1000</f>
        <v>12.145510727081151</v>
      </c>
      <c r="AV734" s="94">
        <f>((Table3.110[[#This Row],[CH4 24h, ml]]/28.9)*16.04)/Table3.110[[#This Row],[Digested feed, mg]]*1000</f>
        <v>36.461772483694865</v>
      </c>
    </row>
    <row r="735" spans="2:48" s="89" customFormat="1" x14ac:dyDescent="0.35">
      <c r="B735" s="90">
        <f t="shared" si="11"/>
        <v>725</v>
      </c>
      <c r="C735" s="140">
        <v>46076</v>
      </c>
      <c r="D735" s="92" t="s">
        <v>16</v>
      </c>
      <c r="E735" s="6" t="s">
        <v>230</v>
      </c>
      <c r="F735" s="242" t="s">
        <v>226</v>
      </c>
      <c r="G735" s="242" t="s">
        <v>231</v>
      </c>
      <c r="H735" s="6" t="str">
        <f>'[2]1. Information samples'!$K$49</f>
        <v>Macroptilium bracteatum</v>
      </c>
      <c r="I735" s="57" t="s">
        <v>22</v>
      </c>
      <c r="J735" s="130" t="s">
        <v>23</v>
      </c>
      <c r="K735" s="130" t="s">
        <v>24</v>
      </c>
      <c r="L735" s="6" t="s">
        <v>229</v>
      </c>
      <c r="M735" s="256">
        <v>28</v>
      </c>
      <c r="N735" s="256">
        <v>69</v>
      </c>
      <c r="O735" s="256">
        <v>3</v>
      </c>
      <c r="P735" s="257">
        <v>2</v>
      </c>
      <c r="Q735" s="96">
        <v>144</v>
      </c>
      <c r="R735" s="98">
        <v>0.50009999999999999</v>
      </c>
      <c r="S735" s="94">
        <f>((Table3.110[[#This Row],[Sample weight, g]]*'2.1. DM'!Q143)/100)*1000</f>
        <v>465.08205576654046</v>
      </c>
      <c r="T735" s="94">
        <f>'3.2 Digest'!W735</f>
        <v>181.78205576654045</v>
      </c>
      <c r="U735" s="117">
        <v>0.35833333333333334</v>
      </c>
      <c r="V735" s="155">
        <v>40.5</v>
      </c>
      <c r="W735" s="117">
        <v>0.71944444444444444</v>
      </c>
      <c r="X735" s="96">
        <v>74.5</v>
      </c>
      <c r="Y735" s="96">
        <v>12.1</v>
      </c>
      <c r="Z735" s="155">
        <v>38.5</v>
      </c>
      <c r="AA735" s="117">
        <v>0.39583333333333331</v>
      </c>
      <c r="AB735" s="155">
        <v>77.5</v>
      </c>
      <c r="AC735" s="155">
        <v>15</v>
      </c>
      <c r="AD735" s="96"/>
      <c r="AE735" s="94">
        <f>Table3.110[[#This Row],[Gas 8h, ml]]-Table3.110[[#This Row],[Gas 0h, ml]]</f>
        <v>34</v>
      </c>
      <c r="AF735" s="94">
        <f>Table3.110[[#This Row],[Gas 24h, ml]]-Table3.110[[#This Row],[V8 Push back, ml]]</f>
        <v>39</v>
      </c>
      <c r="AG735" s="94">
        <f>Table3.110[[#This Row],[GP 8h, ml]]-AVERAGE(AE$664,AE$665,AE$726,AE$727,AE$788,AE$789)*$AG$8</f>
        <v>32.156235924806332</v>
      </c>
      <c r="AH735" s="94">
        <f>Table3.110[[#This Row],[GP 8-24h, ml]]-AVERAGE(AF$664,AF$665,AF$726,AF$727,AF$788,AF$789)*$AG$8</f>
        <v>36.676857265255975</v>
      </c>
      <c r="AI735" s="94">
        <f>Table3.110[[#This Row],[Net gas 8-24h, ml]]+Table3.110[[#This Row],[Net gas 8h, ml]]</f>
        <v>68.8330931900623</v>
      </c>
      <c r="AJ735" s="94">
        <f>Table3.110[[#This Row],[Net gas 8h, ml]]*Table3.110[[#This Row],[CH4 8h %]]%</f>
        <v>3.8909045469015662</v>
      </c>
      <c r="AK735" s="94">
        <f>Table3.110[[#This Row],[Net gas 8-24h, ml]]*Table3.110[[#This Row],[CH4 24h, %]]%</f>
        <v>5.5015285897883963</v>
      </c>
      <c r="AL735" s="94">
        <f>Table3.110[[#This Row],[CH4 8-24h, ml]]+Table3.110[[#This Row],[CH4 8h, ml]]</f>
        <v>9.3924331366899629</v>
      </c>
      <c r="AM735" s="94">
        <f>(Table3.110[[#This Row],[Net gas 24h, ml]]/Table3.110[[#This Row],[DM Incubated, mg]])*1000</f>
        <v>148.00204036385094</v>
      </c>
      <c r="AN735" s="94">
        <f>'3.2 Digest'!X735</f>
        <v>39.086017942990793</v>
      </c>
      <c r="AO735" s="94">
        <f>Table3.110[[#This Row],[Digested feed, mg]]/Table3.110[[#This Row],[Net gas 24h, ml]]</f>
        <v>2.6409107500748643</v>
      </c>
      <c r="AP735" s="94">
        <f>Table3.110[[#This Row],[CH4 8h, ml]]/Table3.110[[#This Row],[Net gas 8h, ml]]%</f>
        <v>12.1</v>
      </c>
      <c r="AQ735" s="94">
        <f>Table3.110[[#This Row],[CH4 24h, ml]]/Table3.110[[#This Row],[Net gas 24h, ml]]%</f>
        <v>13.645228917369044</v>
      </c>
      <c r="AR735" s="94">
        <f>Table3.110[[#This Row],[CH4 24h, ml]]/Table3.110[[#This Row],[DM Incubated, mg]]*1000</f>
        <v>20.195217210024396</v>
      </c>
      <c r="AS735" s="94">
        <f>Table3.110[[#This Row],[CH4 24h, ml]]/Table3.110[[#This Row],[Digested feed, mg]]*1000</f>
        <v>51.668648465239613</v>
      </c>
      <c r="AT735" s="94">
        <f>Table3.110[[#This Row],[CH4 24h, ml]]/'3.2 Digest'!AA735</f>
        <v>-0.50984408692797856</v>
      </c>
      <c r="AU735" s="94">
        <f>((Table3.110[[#This Row],[CH4 24h, ml]]/28.9)*16.04)/Table3.110[[#This Row],[DM Incubated, mg]]*1000</f>
        <v>11.208694949785166</v>
      </c>
      <c r="AV735" s="94">
        <f>((Table3.110[[#This Row],[CH4 24h, ml]]/28.9)*16.04)/Table3.110[[#This Row],[Digested feed, mg]]*1000</f>
        <v>28.67699381946171</v>
      </c>
    </row>
    <row r="736" spans="2:48" s="89" customFormat="1" x14ac:dyDescent="0.35">
      <c r="B736" s="90">
        <f t="shared" si="11"/>
        <v>726</v>
      </c>
      <c r="C736" s="140">
        <v>46076</v>
      </c>
      <c r="D736" s="92" t="s">
        <v>16</v>
      </c>
      <c r="E736" s="6" t="s">
        <v>234</v>
      </c>
      <c r="F736" s="242" t="s">
        <v>235</v>
      </c>
      <c r="G736" s="242" t="s">
        <v>236</v>
      </c>
      <c r="H736" s="6" t="str">
        <f>'[2]1. Information samples'!$K$50</f>
        <v>Zornia latifolia</v>
      </c>
      <c r="I736" s="57" t="s">
        <v>22</v>
      </c>
      <c r="J736" s="130" t="s">
        <v>23</v>
      </c>
      <c r="K736" s="130" t="s">
        <v>24</v>
      </c>
      <c r="L736" s="6" t="s">
        <v>233</v>
      </c>
      <c r="M736" s="256">
        <v>28</v>
      </c>
      <c r="N736" s="256">
        <v>69</v>
      </c>
      <c r="O736" s="256">
        <v>3</v>
      </c>
      <c r="P736" s="257">
        <v>1</v>
      </c>
      <c r="Q736" s="96">
        <v>145</v>
      </c>
      <c r="R736" s="98">
        <v>0.50019999999999998</v>
      </c>
      <c r="S736" s="94">
        <f>((Table3.110[[#This Row],[Sample weight, g]]*'2.1. DM'!Q145)/100)*1000</f>
        <v>444.41671332866719</v>
      </c>
      <c r="T736" s="94">
        <f>'3.2 Digest'!W736</f>
        <v>96.616713328667174</v>
      </c>
      <c r="U736" s="117">
        <v>0.35902777777777778</v>
      </c>
      <c r="V736" s="155">
        <v>41.5</v>
      </c>
      <c r="W736" s="117">
        <v>0.72013888888888888</v>
      </c>
      <c r="X736" s="96">
        <v>92.5</v>
      </c>
      <c r="Y736" s="96">
        <v>13.2</v>
      </c>
      <c r="Z736" s="155">
        <v>40.5</v>
      </c>
      <c r="AA736" s="117">
        <v>0.39652777777777776</v>
      </c>
      <c r="AB736" s="155">
        <v>92.5</v>
      </c>
      <c r="AC736" s="155">
        <v>15.9</v>
      </c>
      <c r="AD736" s="96"/>
      <c r="AE736" s="94">
        <f>Table3.110[[#This Row],[Gas 8h, ml]]-Table3.110[[#This Row],[Gas 0h, ml]]</f>
        <v>51</v>
      </c>
      <c r="AF736" s="94">
        <f>Table3.110[[#This Row],[Gas 24h, ml]]-Table3.110[[#This Row],[V8 Push back, ml]]</f>
        <v>52</v>
      </c>
      <c r="AG736" s="94">
        <f>Table3.110[[#This Row],[GP 8h, ml]]-AVERAGE(AE$664,AE$665,AE$726,AE$727,AE$788,AE$789)*$AG$8</f>
        <v>49.156235924806332</v>
      </c>
      <c r="AH736" s="94">
        <f>Table3.110[[#This Row],[GP 8-24h, ml]]-AVERAGE(AF$664,AF$665,AF$726,AF$727,AF$788,AF$789)*$AG$8</f>
        <v>49.676857265255975</v>
      </c>
      <c r="AI736" s="94">
        <f>Table3.110[[#This Row],[Net gas 8-24h, ml]]+Table3.110[[#This Row],[Net gas 8h, ml]]</f>
        <v>98.8330931900623</v>
      </c>
      <c r="AJ736" s="94">
        <f>Table3.110[[#This Row],[Net gas 8h, ml]]*Table3.110[[#This Row],[CH4 8h %]]%</f>
        <v>6.4886231420744362</v>
      </c>
      <c r="AK736" s="94">
        <f>Table3.110[[#This Row],[Net gas 8-24h, ml]]*Table3.110[[#This Row],[CH4 24h, %]]%</f>
        <v>7.8986203051757</v>
      </c>
      <c r="AL736" s="94">
        <f>Table3.110[[#This Row],[CH4 8-24h, ml]]+Table3.110[[#This Row],[CH4 8h, ml]]</f>
        <v>14.387243447250135</v>
      </c>
      <c r="AM736" s="94">
        <f>(Table3.110[[#This Row],[Net gas 24h, ml]]/Table3.110[[#This Row],[DM Incubated, mg]])*1000</f>
        <v>222.38833560017477</v>
      </c>
      <c r="AN736" s="94">
        <f>'3.2 Digest'!X736</f>
        <v>21.740116973776939</v>
      </c>
      <c r="AO736" s="94">
        <f>Table3.110[[#This Row],[Digested feed, mg]]/Table3.110[[#This Row],[Net gas 24h, ml]]</f>
        <v>0.97757451689655317</v>
      </c>
      <c r="AP736" s="94">
        <f>Table3.110[[#This Row],[CH4 8h, ml]]/Table3.110[[#This Row],[Net gas 8h, ml]]%</f>
        <v>13.200000000000001</v>
      </c>
      <c r="AQ736" s="94">
        <f>Table3.110[[#This Row],[CH4 24h, ml]]/Table3.110[[#This Row],[Net gas 24h, ml]]%</f>
        <v>14.557111371170539</v>
      </c>
      <c r="AR736" s="94">
        <f>Table3.110[[#This Row],[CH4 24h, ml]]/Table3.110[[#This Row],[DM Incubated, mg]]*1000</f>
        <v>32.373317689809944</v>
      </c>
      <c r="AS736" s="94">
        <f>Table3.110[[#This Row],[CH4 24h, ml]]/Table3.110[[#This Row],[Digested feed, mg]]*1000</f>
        <v>148.91050369627189</v>
      </c>
      <c r="AT736" s="94">
        <f>Table3.110[[#This Row],[CH4 24h, ml]]/'3.2 Digest'!AA736</f>
        <v>-0.27041212643538665</v>
      </c>
      <c r="AU736" s="94">
        <f>((Table3.110[[#This Row],[CH4 24h, ml]]/28.9)*16.04)/Table3.110[[#This Row],[DM Incubated, mg]]*1000</f>
        <v>17.96775140984607</v>
      </c>
      <c r="AV736" s="94">
        <f>((Table3.110[[#This Row],[CH4 24h, ml]]/28.9)*16.04)/Table3.110[[#This Row],[Digested feed, mg]]*1000</f>
        <v>82.647905857723231</v>
      </c>
    </row>
    <row r="737" spans="2:48" s="89" customFormat="1" x14ac:dyDescent="0.35">
      <c r="B737" s="90">
        <f t="shared" si="11"/>
        <v>727</v>
      </c>
      <c r="C737" s="140">
        <v>46076</v>
      </c>
      <c r="D737" s="92" t="s">
        <v>16</v>
      </c>
      <c r="E737" s="6" t="s">
        <v>234</v>
      </c>
      <c r="F737" s="242" t="s">
        <v>235</v>
      </c>
      <c r="G737" s="242" t="s">
        <v>236</v>
      </c>
      <c r="H737" s="6" t="str">
        <f>'[2]1. Information samples'!$K$50</f>
        <v>Zornia latifolia</v>
      </c>
      <c r="I737" s="57" t="s">
        <v>22</v>
      </c>
      <c r="J737" s="130" t="s">
        <v>23</v>
      </c>
      <c r="K737" s="130" t="s">
        <v>24</v>
      </c>
      <c r="L737" s="6" t="s">
        <v>233</v>
      </c>
      <c r="M737" s="256">
        <v>28</v>
      </c>
      <c r="N737" s="256">
        <v>69</v>
      </c>
      <c r="O737" s="256">
        <v>3</v>
      </c>
      <c r="P737" s="257">
        <v>2</v>
      </c>
      <c r="Q737" s="96">
        <v>146</v>
      </c>
      <c r="R737" s="98">
        <v>0.5</v>
      </c>
      <c r="S737" s="94">
        <f>((Table3.110[[#This Row],[Sample weight, g]]*'2.1. DM'!Q145)/100)*1000</f>
        <v>444.23901772157853</v>
      </c>
      <c r="T737" s="94">
        <f>'3.2 Digest'!W737</f>
        <v>200.13901772157854</v>
      </c>
      <c r="U737" s="117">
        <v>0.35902777777777778</v>
      </c>
      <c r="V737" s="154">
        <v>40.5</v>
      </c>
      <c r="W737" s="153">
        <v>0.72083333333333333</v>
      </c>
      <c r="X737" s="91">
        <v>98</v>
      </c>
      <c r="Y737" s="91">
        <v>13.7</v>
      </c>
      <c r="Z737" s="154">
        <v>40</v>
      </c>
      <c r="AA737" s="153">
        <v>0.3972222222222222</v>
      </c>
      <c r="AB737" s="154">
        <v>91.5</v>
      </c>
      <c r="AC737" s="154">
        <v>16</v>
      </c>
      <c r="AD737" s="91"/>
      <c r="AE737" s="94">
        <f>Table3.110[[#This Row],[Gas 8h, ml]]-Table3.110[[#This Row],[Gas 0h, ml]]</f>
        <v>57.5</v>
      </c>
      <c r="AF737" s="94">
        <f>Table3.110[[#This Row],[Gas 24h, ml]]-Table3.110[[#This Row],[V8 Push back, ml]]</f>
        <v>51.5</v>
      </c>
      <c r="AG737" s="94">
        <f>Table3.110[[#This Row],[GP 8h, ml]]-AVERAGE(AE$664,AE$665,AE$726,AE$727,AE$788,AE$789)*$AG$8</f>
        <v>55.656235924806332</v>
      </c>
      <c r="AH737" s="94">
        <f>Table3.110[[#This Row],[GP 8-24h, ml]]-AVERAGE(AF$664,AF$665,AF$726,AF$727,AF$788,AF$789)*$AG$8</f>
        <v>49.176857265255975</v>
      </c>
      <c r="AI737" s="94">
        <f>Table3.110[[#This Row],[Net gas 8-24h, ml]]+Table3.110[[#This Row],[Net gas 8h, ml]]</f>
        <v>104.8330931900623</v>
      </c>
      <c r="AJ737" s="94">
        <f>Table3.110[[#This Row],[Net gas 8h, ml]]*Table3.110[[#This Row],[CH4 8h %]]%</f>
        <v>7.6249043216984669</v>
      </c>
      <c r="AK737" s="94">
        <f>Table3.110[[#This Row],[Net gas 8-24h, ml]]*Table3.110[[#This Row],[CH4 24h, %]]%</f>
        <v>7.8682971624409559</v>
      </c>
      <c r="AL737" s="94">
        <f>Table3.110[[#This Row],[CH4 8-24h, ml]]+Table3.110[[#This Row],[CH4 8h, ml]]</f>
        <v>15.493201484139423</v>
      </c>
      <c r="AM737" s="94">
        <f>(Table3.110[[#This Row],[Net gas 24h, ml]]/Table3.110[[#This Row],[DM Incubated, mg]])*1000</f>
        <v>235.9835336565713</v>
      </c>
      <c r="AN737" s="94">
        <f>'3.2 Digest'!X737</f>
        <v>45.052102525360183</v>
      </c>
      <c r="AO737" s="94">
        <f>Table3.110[[#This Row],[Digested feed, mg]]/Table3.110[[#This Row],[Net gas 24h, ml]]</f>
        <v>1.9091205995298326</v>
      </c>
      <c r="AP737" s="94">
        <f>Table3.110[[#This Row],[CH4 8h, ml]]/Table3.110[[#This Row],[Net gas 8h, ml]]%</f>
        <v>13.7</v>
      </c>
      <c r="AQ737" s="94">
        <f>Table3.110[[#This Row],[CH4 24h, ml]]/Table3.110[[#This Row],[Net gas 24h, ml]]%</f>
        <v>14.778922392426466</v>
      </c>
      <c r="AR737" s="94">
        <f>Table3.110[[#This Row],[CH4 24h, ml]]/Table3.110[[#This Row],[DM Incubated, mg]]*1000</f>
        <v>34.87582329801026</v>
      </c>
      <c r="AS737" s="94">
        <f>Table3.110[[#This Row],[CH4 24h, ml]]/Table3.110[[#This Row],[Digested feed, mg]]*1000</f>
        <v>77.412199083002591</v>
      </c>
      <c r="AT737" s="94">
        <f>Table3.110[[#This Row],[CH4 24h, ml]]/'3.2 Digest'!AA737</f>
        <v>-2.0471067140817554</v>
      </c>
      <c r="AU737" s="94">
        <f>((Table3.110[[#This Row],[CH4 24h, ml]]/28.9)*16.04)/Table3.110[[#This Row],[DM Incubated, mg]]*1000</f>
        <v>19.356685318342027</v>
      </c>
      <c r="AV737" s="94">
        <f>((Table3.110[[#This Row],[CH4 24h, ml]]/28.9)*16.04)/Table3.110[[#This Row],[Digested feed, mg]]*1000</f>
        <v>42.965109802469264</v>
      </c>
    </row>
    <row r="738" spans="2:48" s="89" customFormat="1" x14ac:dyDescent="0.35">
      <c r="B738" s="90">
        <f t="shared" si="11"/>
        <v>728</v>
      </c>
      <c r="C738" s="140">
        <v>46076</v>
      </c>
      <c r="D738" s="92" t="s">
        <v>16</v>
      </c>
      <c r="E738" s="6" t="s">
        <v>239</v>
      </c>
      <c r="F738" s="242" t="s">
        <v>240</v>
      </c>
      <c r="G738" s="242" t="s">
        <v>241</v>
      </c>
      <c r="H738" s="6" t="str">
        <f>'[2]1. Information samples'!$K$51</f>
        <v>Stylosanthes seabrana</v>
      </c>
      <c r="I738" s="57" t="s">
        <v>22</v>
      </c>
      <c r="J738" s="130" t="s">
        <v>23</v>
      </c>
      <c r="K738" s="130" t="s">
        <v>24</v>
      </c>
      <c r="L738" s="6" t="s">
        <v>238</v>
      </c>
      <c r="M738" s="256">
        <v>28</v>
      </c>
      <c r="N738" s="256">
        <v>69</v>
      </c>
      <c r="O738" s="256">
        <v>3</v>
      </c>
      <c r="P738" s="257">
        <v>1</v>
      </c>
      <c r="Q738" s="96">
        <v>147</v>
      </c>
      <c r="R738" s="98">
        <v>0.50039999999999996</v>
      </c>
      <c r="S738" s="94">
        <f>((Table3.110[[#This Row],[Sample weight, g]]*'2.1. DM'!Q147)/100)*1000</f>
        <v>460.23195291976094</v>
      </c>
      <c r="T738" s="94">
        <f>'3.2 Digest'!W738</f>
        <v>47.13195291976092</v>
      </c>
      <c r="U738" s="153">
        <v>0.35902777777777778</v>
      </c>
      <c r="V738" s="154">
        <v>41</v>
      </c>
      <c r="W738" s="153">
        <v>0.72083333333333333</v>
      </c>
      <c r="X738" s="91">
        <v>76.5</v>
      </c>
      <c r="Y738" s="91">
        <v>11.4</v>
      </c>
      <c r="Z738" s="154">
        <v>40</v>
      </c>
      <c r="AA738" s="153">
        <v>0.3972222222222222</v>
      </c>
      <c r="AB738" s="154">
        <v>89</v>
      </c>
      <c r="AC738" s="154">
        <v>14.9</v>
      </c>
      <c r="AD738" s="91"/>
      <c r="AE738" s="94">
        <f>Table3.110[[#This Row],[Gas 8h, ml]]-Table3.110[[#This Row],[Gas 0h, ml]]</f>
        <v>35.5</v>
      </c>
      <c r="AF738" s="94">
        <f>Table3.110[[#This Row],[Gas 24h, ml]]-Table3.110[[#This Row],[V8 Push back, ml]]</f>
        <v>49</v>
      </c>
      <c r="AG738" s="94">
        <f>Table3.110[[#This Row],[GP 8h, ml]]-AVERAGE(AE$664,AE$665,AE$726,AE$727,AE$788,AE$789)*$AG$8</f>
        <v>33.656235924806332</v>
      </c>
      <c r="AH738" s="94">
        <f>Table3.110[[#This Row],[GP 8-24h, ml]]-AVERAGE(AF$664,AF$665,AF$726,AF$727,AF$788,AF$789)*$AG$8</f>
        <v>46.676857265255975</v>
      </c>
      <c r="AI738" s="94">
        <f>Table3.110[[#This Row],[Net gas 8-24h, ml]]+Table3.110[[#This Row],[Net gas 8h, ml]]</f>
        <v>80.3330931900623</v>
      </c>
      <c r="AJ738" s="94">
        <f>Table3.110[[#This Row],[Net gas 8h, ml]]*Table3.110[[#This Row],[CH4 8h %]]%</f>
        <v>3.8368108954279219</v>
      </c>
      <c r="AK738" s="94">
        <f>Table3.110[[#This Row],[Net gas 8-24h, ml]]*Table3.110[[#This Row],[CH4 24h, %]]%</f>
        <v>6.9548517325231405</v>
      </c>
      <c r="AL738" s="94">
        <f>Table3.110[[#This Row],[CH4 8-24h, ml]]+Table3.110[[#This Row],[CH4 8h, ml]]</f>
        <v>10.791662627951062</v>
      </c>
      <c r="AM738" s="94">
        <f>(Table3.110[[#This Row],[Net gas 24h, ml]]/Table3.110[[#This Row],[DM Incubated, mg]])*1000</f>
        <v>174.54914349258135</v>
      </c>
      <c r="AN738" s="94">
        <f>'3.2 Digest'!X738</f>
        <v>10.240912787726005</v>
      </c>
      <c r="AO738" s="94">
        <f>Table3.110[[#This Row],[Digested feed, mg]]/Table3.110[[#This Row],[Net gas 24h, ml]]</f>
        <v>0.58670656199245463</v>
      </c>
      <c r="AP738" s="94">
        <f>Table3.110[[#This Row],[CH4 8h, ml]]/Table3.110[[#This Row],[Net gas 8h, ml]]%</f>
        <v>11.4</v>
      </c>
      <c r="AQ738" s="94">
        <f>Table3.110[[#This Row],[CH4 24h, ml]]/Table3.110[[#This Row],[Net gas 24h, ml]]%</f>
        <v>13.433645088729209</v>
      </c>
      <c r="AR738" s="94">
        <f>Table3.110[[#This Row],[CH4 24h, ml]]/Table3.110[[#This Row],[DM Incubated, mg]]*1000</f>
        <v>23.448312442210057</v>
      </c>
      <c r="AS738" s="94">
        <f>Table3.110[[#This Row],[CH4 24h, ml]]/Table3.110[[#This Row],[Digested feed, mg]]*1000</f>
        <v>228.96701620497595</v>
      </c>
      <c r="AT738" s="94">
        <f>Table3.110[[#This Row],[CH4 24h, ml]]/'3.2 Digest'!AA738</f>
        <v>-0.18941854949206161</v>
      </c>
      <c r="AU738" s="94">
        <f>((Table3.110[[#This Row],[CH4 24h, ml]]/28.9)*16.04)/Table3.110[[#This Row],[DM Incubated, mg]]*1000</f>
        <v>13.014219085572639</v>
      </c>
      <c r="AV738" s="94">
        <f>((Table3.110[[#This Row],[CH4 24h, ml]]/28.9)*16.04)/Table3.110[[#This Row],[Digested feed, mg]]*1000</f>
        <v>127.08065536082403</v>
      </c>
    </row>
    <row r="739" spans="2:48" s="89" customFormat="1" x14ac:dyDescent="0.35">
      <c r="B739" s="90">
        <f t="shared" si="11"/>
        <v>729</v>
      </c>
      <c r="C739" s="140">
        <v>46076</v>
      </c>
      <c r="D739" s="92" t="s">
        <v>16</v>
      </c>
      <c r="E739" s="6" t="s">
        <v>239</v>
      </c>
      <c r="F739" s="242" t="s">
        <v>240</v>
      </c>
      <c r="G739" s="242" t="s">
        <v>241</v>
      </c>
      <c r="H739" s="6" t="str">
        <f>'[2]1. Information samples'!$K$51</f>
        <v>Stylosanthes seabrana</v>
      </c>
      <c r="I739" s="57" t="s">
        <v>22</v>
      </c>
      <c r="J739" s="130" t="s">
        <v>23</v>
      </c>
      <c r="K739" s="130" t="s">
        <v>24</v>
      </c>
      <c r="L739" s="6" t="s">
        <v>238</v>
      </c>
      <c r="M739" s="256">
        <v>28</v>
      </c>
      <c r="N739" s="256">
        <v>69</v>
      </c>
      <c r="O739" s="256">
        <v>3</v>
      </c>
      <c r="P739" s="257">
        <v>2</v>
      </c>
      <c r="Q739" s="96">
        <v>148</v>
      </c>
      <c r="R739" s="98">
        <v>0.50009999999999999</v>
      </c>
      <c r="S739" s="94">
        <f>((Table3.110[[#This Row],[Sample weight, g]]*'2.1. DM'!Q147)/100)*1000</f>
        <v>459.95603448275875</v>
      </c>
      <c r="T739" s="94">
        <f>'3.2 Digest'!W739</f>
        <v>167.05603448275883</v>
      </c>
      <c r="U739" s="117">
        <v>0.35972222222222222</v>
      </c>
      <c r="V739" s="155">
        <v>41.5</v>
      </c>
      <c r="W739" s="117">
        <v>0.72152777777777777</v>
      </c>
      <c r="X739" s="96">
        <v>74.5</v>
      </c>
      <c r="Y739" s="96">
        <v>11</v>
      </c>
      <c r="Z739" s="155">
        <v>40</v>
      </c>
      <c r="AA739" s="117">
        <v>0.39791666666666664</v>
      </c>
      <c r="AB739" s="155">
        <v>88</v>
      </c>
      <c r="AC739" s="155">
        <v>14.7</v>
      </c>
      <c r="AD739" s="96"/>
      <c r="AE739" s="94">
        <f>Table3.110[[#This Row],[Gas 8h, ml]]-Table3.110[[#This Row],[Gas 0h, ml]]</f>
        <v>33</v>
      </c>
      <c r="AF739" s="94">
        <f>Table3.110[[#This Row],[Gas 24h, ml]]-Table3.110[[#This Row],[V8 Push back, ml]]</f>
        <v>48</v>
      </c>
      <c r="AG739" s="94">
        <f>Table3.110[[#This Row],[GP 8h, ml]]-AVERAGE(AE$664,AE$665,AE$726,AE$727,AE$788,AE$789)*$AG$8</f>
        <v>31.156235924806332</v>
      </c>
      <c r="AH739" s="94">
        <f>Table3.110[[#This Row],[GP 8-24h, ml]]-AVERAGE(AF$664,AF$665,AF$726,AF$727,AF$788,AF$789)*$AG$8</f>
        <v>45.676857265255975</v>
      </c>
      <c r="AI739" s="94">
        <f>Table3.110[[#This Row],[Net gas 8-24h, ml]]+Table3.110[[#This Row],[Net gas 8h, ml]]</f>
        <v>76.8330931900623</v>
      </c>
      <c r="AJ739" s="94">
        <f>Table3.110[[#This Row],[Net gas 8h, ml]]*Table3.110[[#This Row],[CH4 8h %]]%</f>
        <v>3.4271859517286964</v>
      </c>
      <c r="AK739" s="94">
        <f>Table3.110[[#This Row],[Net gas 8-24h, ml]]*Table3.110[[#This Row],[CH4 24h, %]]%</f>
        <v>6.7144980179926277</v>
      </c>
      <c r="AL739" s="94">
        <f>Table3.110[[#This Row],[CH4 8-24h, ml]]+Table3.110[[#This Row],[CH4 8h, ml]]</f>
        <v>10.141683969721324</v>
      </c>
      <c r="AM739" s="94">
        <f>(Table3.110[[#This Row],[Net gas 24h, ml]]/Table3.110[[#This Row],[DM Incubated, mg]])*1000</f>
        <v>167.04442909736923</v>
      </c>
      <c r="AN739" s="94">
        <f>'3.2 Digest'!X739</f>
        <v>36.320000599757506</v>
      </c>
      <c r="AO739" s="94">
        <f>Table3.110[[#This Row],[Digested feed, mg]]/Table3.110[[#This Row],[Net gas 24h, ml]]</f>
        <v>2.1742718865881363</v>
      </c>
      <c r="AP739" s="94">
        <f>Table3.110[[#This Row],[CH4 8h, ml]]/Table3.110[[#This Row],[Net gas 8h, ml]]%</f>
        <v>11</v>
      </c>
      <c r="AQ739" s="94">
        <f>Table3.110[[#This Row],[CH4 24h, ml]]/Table3.110[[#This Row],[Net gas 24h, ml]]%</f>
        <v>13.199629936326792</v>
      </c>
      <c r="AR739" s="94">
        <f>Table3.110[[#This Row],[CH4 24h, ml]]/Table3.110[[#This Row],[DM Incubated, mg]]*1000</f>
        <v>22.049246470102524</v>
      </c>
      <c r="AS739" s="94">
        <f>Table3.110[[#This Row],[CH4 24h, ml]]/Table3.110[[#This Row],[Digested feed, mg]]*1000</f>
        <v>60.708276723568495</v>
      </c>
      <c r="AT739" s="94">
        <f>Table3.110[[#This Row],[CH4 24h, ml]]/'3.2 Digest'!AA739</f>
        <v>-0.89236742917528844</v>
      </c>
      <c r="AU739" s="94">
        <f>((Table3.110[[#This Row],[CH4 24h, ml]]/28.9)*16.04)/Table3.110[[#This Row],[DM Incubated, mg]]*1000</f>
        <v>12.237713265759325</v>
      </c>
      <c r="AV739" s="94">
        <f>((Table3.110[[#This Row],[CH4 24h, ml]]/28.9)*16.04)/Table3.110[[#This Row],[Digested feed, mg]]*1000</f>
        <v>33.694143897786809</v>
      </c>
    </row>
    <row r="740" spans="2:48" s="89" customFormat="1" x14ac:dyDescent="0.35">
      <c r="B740" s="90">
        <f t="shared" si="11"/>
        <v>730</v>
      </c>
      <c r="C740" s="140">
        <v>46076</v>
      </c>
      <c r="D740" s="92" t="s">
        <v>16</v>
      </c>
      <c r="E740" s="6" t="s">
        <v>244</v>
      </c>
      <c r="F740" s="242" t="s">
        <v>240</v>
      </c>
      <c r="G740" s="242" t="s">
        <v>245</v>
      </c>
      <c r="H740" s="6" t="str">
        <f>'[2]1. Information samples'!$K$52</f>
        <v>Stylosanthes angustifolia</v>
      </c>
      <c r="I740" s="57" t="s">
        <v>22</v>
      </c>
      <c r="J740" s="130" t="s">
        <v>23</v>
      </c>
      <c r="K740" s="130" t="s">
        <v>24</v>
      </c>
      <c r="L740" s="6" t="s">
        <v>243</v>
      </c>
      <c r="M740" s="256">
        <v>28</v>
      </c>
      <c r="N740" s="256">
        <v>69</v>
      </c>
      <c r="O740" s="256">
        <v>3</v>
      </c>
      <c r="P740" s="257">
        <v>1</v>
      </c>
      <c r="Q740" s="96">
        <v>149</v>
      </c>
      <c r="R740" s="98">
        <v>0.50009999999999999</v>
      </c>
      <c r="S740" s="94">
        <f>((Table3.110[[#This Row],[Sample weight, g]]*'2.1. DM'!Q149)/100)*1000</f>
        <v>455.15680659670164</v>
      </c>
      <c r="T740" s="94">
        <f>'3.2 Digest'!W740</f>
        <v>171.05680659670162</v>
      </c>
      <c r="U740" s="117">
        <v>0.35972222222222222</v>
      </c>
      <c r="V740" s="155">
        <v>40.5</v>
      </c>
      <c r="W740" s="117">
        <v>0.72152777777777777</v>
      </c>
      <c r="X740" s="96">
        <v>81</v>
      </c>
      <c r="Y740" s="96">
        <v>11.4</v>
      </c>
      <c r="Z740" s="155">
        <v>39.5</v>
      </c>
      <c r="AA740" s="117">
        <v>0.39861111111111114</v>
      </c>
      <c r="AB740" s="155">
        <v>82.5</v>
      </c>
      <c r="AC740" s="155">
        <v>15.7</v>
      </c>
      <c r="AD740" s="96"/>
      <c r="AE740" s="94">
        <f>Table3.110[[#This Row],[Gas 8h, ml]]-Table3.110[[#This Row],[Gas 0h, ml]]</f>
        <v>40.5</v>
      </c>
      <c r="AF740" s="94">
        <f>Table3.110[[#This Row],[Gas 24h, ml]]-Table3.110[[#This Row],[V8 Push back, ml]]</f>
        <v>43</v>
      </c>
      <c r="AG740" s="94">
        <f>Table3.110[[#This Row],[GP 8h, ml]]-AVERAGE(AE$664,AE$665,AE$726,AE$727,AE$788,AE$789)*$AG$8</f>
        <v>38.656235924806332</v>
      </c>
      <c r="AH740" s="94">
        <f>Table3.110[[#This Row],[GP 8-24h, ml]]-AVERAGE(AF$664,AF$665,AF$726,AF$727,AF$788,AF$789)*$AG$8</f>
        <v>40.676857265255975</v>
      </c>
      <c r="AI740" s="94">
        <f>Table3.110[[#This Row],[Net gas 8-24h, ml]]+Table3.110[[#This Row],[Net gas 8h, ml]]</f>
        <v>79.3330931900623</v>
      </c>
      <c r="AJ740" s="94">
        <f>Table3.110[[#This Row],[Net gas 8h, ml]]*Table3.110[[#This Row],[CH4 8h %]]%</f>
        <v>4.4068108954279221</v>
      </c>
      <c r="AK740" s="94">
        <f>Table3.110[[#This Row],[Net gas 8-24h, ml]]*Table3.110[[#This Row],[CH4 24h, %]]%</f>
        <v>6.3862665906451879</v>
      </c>
      <c r="AL740" s="94">
        <f>Table3.110[[#This Row],[CH4 8-24h, ml]]+Table3.110[[#This Row],[CH4 8h, ml]]</f>
        <v>10.793077486073109</v>
      </c>
      <c r="AM740" s="94">
        <f>(Table3.110[[#This Row],[Net gas 24h, ml]]/Table3.110[[#This Row],[DM Incubated, mg]])*1000</f>
        <v>174.29837814192362</v>
      </c>
      <c r="AN740" s="94">
        <f>'3.2 Digest'!X740</f>
        <v>37.581950685463219</v>
      </c>
      <c r="AO740" s="94">
        <f>Table3.110[[#This Row],[Digested feed, mg]]/Table3.110[[#This Row],[Net gas 24h, ml]]</f>
        <v>2.1561847612180225</v>
      </c>
      <c r="AP740" s="94">
        <f>Table3.110[[#This Row],[CH4 8h, ml]]/Table3.110[[#This Row],[Net gas 8h, ml]]%</f>
        <v>11.4</v>
      </c>
      <c r="AQ740" s="94">
        <f>Table3.110[[#This Row],[CH4 24h, ml]]/Table3.110[[#This Row],[Net gas 24h, ml]]%</f>
        <v>13.604760702088836</v>
      </c>
      <c r="AR740" s="94">
        <f>Table3.110[[#This Row],[CH4 24h, ml]]/Table3.110[[#This Row],[DM Incubated, mg]]*1000</f>
        <v>23.712877253830619</v>
      </c>
      <c r="AS740" s="94">
        <f>Table3.110[[#This Row],[CH4 24h, ml]]/Table3.110[[#This Row],[Digested feed, mg]]*1000</f>
        <v>63.096451411721986</v>
      </c>
      <c r="AT740" s="94">
        <f>Table3.110[[#This Row],[CH4 24h, ml]]/'3.2 Digest'!AA740</f>
        <v>-2.7861750143192063</v>
      </c>
      <c r="AU740" s="94">
        <f>((Table3.110[[#This Row],[CH4 24h, ml]]/28.9)*16.04)/Table3.110[[#This Row],[DM Incubated, mg]]*1000</f>
        <v>13.161057133267928</v>
      </c>
      <c r="AV740" s="94">
        <f>((Table3.110[[#This Row],[CH4 24h, ml]]/28.9)*16.04)/Table3.110[[#This Row],[Digested feed, mg]]*1000</f>
        <v>35.019622167613171</v>
      </c>
    </row>
    <row r="741" spans="2:48" s="89" customFormat="1" x14ac:dyDescent="0.35">
      <c r="B741" s="90">
        <f t="shared" si="11"/>
        <v>731</v>
      </c>
      <c r="C741" s="140">
        <v>46076</v>
      </c>
      <c r="D741" s="92" t="s">
        <v>16</v>
      </c>
      <c r="E741" s="6" t="s">
        <v>244</v>
      </c>
      <c r="F741" s="242" t="s">
        <v>240</v>
      </c>
      <c r="G741" s="242" t="s">
        <v>245</v>
      </c>
      <c r="H741" s="6" t="str">
        <f>'[2]1. Information samples'!$K$52</f>
        <v>Stylosanthes angustifolia</v>
      </c>
      <c r="I741" s="57" t="s">
        <v>22</v>
      </c>
      <c r="J741" s="130" t="s">
        <v>23</v>
      </c>
      <c r="K741" s="130" t="s">
        <v>24</v>
      </c>
      <c r="L741" s="6" t="s">
        <v>243</v>
      </c>
      <c r="M741" s="256">
        <v>28</v>
      </c>
      <c r="N741" s="256">
        <v>69</v>
      </c>
      <c r="O741" s="256">
        <v>3</v>
      </c>
      <c r="P741" s="257">
        <v>2</v>
      </c>
      <c r="Q741" s="96">
        <v>150</v>
      </c>
      <c r="R741" s="98">
        <v>0.50019999999999998</v>
      </c>
      <c r="S741" s="94">
        <f>((Table3.110[[#This Row],[Sample weight, g]]*'2.1. DM'!Q149)/100)*1000</f>
        <v>455.24781975538917</v>
      </c>
      <c r="T741" s="94">
        <f>'3.2 Digest'!W741</f>
        <v>103.84781975538914</v>
      </c>
      <c r="U741" s="153">
        <v>0.35972222222222222</v>
      </c>
      <c r="V741" s="154">
        <v>40.5</v>
      </c>
      <c r="W741" s="153">
        <v>0.72222222222222221</v>
      </c>
      <c r="X741" s="91">
        <v>81.5</v>
      </c>
      <c r="Y741" s="91">
        <v>11.4</v>
      </c>
      <c r="Z741" s="154">
        <v>40</v>
      </c>
      <c r="AA741" s="153">
        <v>0.39861111111111114</v>
      </c>
      <c r="AB741" s="154">
        <v>84</v>
      </c>
      <c r="AC741" s="154">
        <v>15.4</v>
      </c>
      <c r="AD741" s="91"/>
      <c r="AE741" s="94">
        <f>Table3.110[[#This Row],[Gas 8h, ml]]-Table3.110[[#This Row],[Gas 0h, ml]]</f>
        <v>41</v>
      </c>
      <c r="AF741" s="94">
        <f>Table3.110[[#This Row],[Gas 24h, ml]]-Table3.110[[#This Row],[V8 Push back, ml]]</f>
        <v>44</v>
      </c>
      <c r="AG741" s="94">
        <f>Table3.110[[#This Row],[GP 8h, ml]]-AVERAGE(AE$664,AE$665,AE$726,AE$727,AE$788,AE$789)*$AG$8</f>
        <v>39.156235924806332</v>
      </c>
      <c r="AH741" s="94">
        <f>Table3.110[[#This Row],[GP 8-24h, ml]]-AVERAGE(AF$664,AF$665,AF$726,AF$727,AF$788,AF$789)*$AG$8</f>
        <v>41.676857265255975</v>
      </c>
      <c r="AI741" s="94">
        <f>Table3.110[[#This Row],[Net gas 8-24h, ml]]+Table3.110[[#This Row],[Net gas 8h, ml]]</f>
        <v>80.8330931900623</v>
      </c>
      <c r="AJ741" s="94">
        <f>Table3.110[[#This Row],[Net gas 8h, ml]]*Table3.110[[#This Row],[CH4 8h %]]%</f>
        <v>4.4638108954279216</v>
      </c>
      <c r="AK741" s="94">
        <f>Table3.110[[#This Row],[Net gas 8-24h, ml]]*Table3.110[[#This Row],[CH4 24h, %]]%</f>
        <v>6.4182360188494201</v>
      </c>
      <c r="AL741" s="94">
        <f>Table3.110[[#This Row],[CH4 8-24h, ml]]+Table3.110[[#This Row],[CH4 8h, ml]]</f>
        <v>10.882046914277343</v>
      </c>
      <c r="AM741" s="94">
        <f>(Table3.110[[#This Row],[Net gas 24h, ml]]/Table3.110[[#This Row],[DM Incubated, mg]])*1000</f>
        <v>177.55844110026715</v>
      </c>
      <c r="AN741" s="94">
        <f>'3.2 Digest'!X741</f>
        <v>22.811272289274878</v>
      </c>
      <c r="AO741" s="94">
        <f>Table3.110[[#This Row],[Digested feed, mg]]/Table3.110[[#This Row],[Net gas 24h, ml]]</f>
        <v>1.284719112643784</v>
      </c>
      <c r="AP741" s="94">
        <f>Table3.110[[#This Row],[CH4 8h, ml]]/Table3.110[[#This Row],[Net gas 8h, ml]]%</f>
        <v>11.4</v>
      </c>
      <c r="AQ741" s="94">
        <f>Table3.110[[#This Row],[CH4 24h, ml]]/Table3.110[[#This Row],[Net gas 24h, ml]]%</f>
        <v>13.462366074115783</v>
      </c>
      <c r="AR741" s="94">
        <f>Table3.110[[#This Row],[CH4 24h, ml]]/Table3.110[[#This Row],[DM Incubated, mg]]*1000</f>
        <v>23.903567336411218</v>
      </c>
      <c r="AS741" s="94">
        <f>Table3.110[[#This Row],[CH4 24h, ml]]/Table3.110[[#This Row],[Digested feed, mg]]*1000</f>
        <v>104.78840037190693</v>
      </c>
      <c r="AT741" s="94">
        <f>Table3.110[[#This Row],[CH4 24h, ml]]/'3.2 Digest'!AA741</f>
        <v>-0.38243526858835003</v>
      </c>
      <c r="AU741" s="94">
        <f>((Table3.110[[#This Row],[CH4 24h, ml]]/28.9)*16.04)/Table3.110[[#This Row],[DM Incubated, mg]]*1000</f>
        <v>13.266893428236539</v>
      </c>
      <c r="AV741" s="94">
        <f>((Table3.110[[#This Row],[CH4 24h, ml]]/28.9)*16.04)/Table3.110[[#This Row],[Digested feed, mg]]*1000</f>
        <v>58.159375154511665</v>
      </c>
    </row>
    <row r="742" spans="2:48" s="89" customFormat="1" x14ac:dyDescent="0.35">
      <c r="B742" s="90">
        <f t="shared" si="11"/>
        <v>732</v>
      </c>
      <c r="C742" s="140">
        <v>46076</v>
      </c>
      <c r="D742" s="92" t="s">
        <v>16</v>
      </c>
      <c r="E742" s="6" t="s">
        <v>248</v>
      </c>
      <c r="F742" s="242" t="s">
        <v>226</v>
      </c>
      <c r="G742" s="242" t="s">
        <v>227</v>
      </c>
      <c r="H742" s="6" t="str">
        <f>'[2]1. Information samples'!$K$53</f>
        <v>Macroptilium atropurpureum</v>
      </c>
      <c r="I742" s="57" t="s">
        <v>22</v>
      </c>
      <c r="J742" s="130" t="s">
        <v>23</v>
      </c>
      <c r="K742" s="130" t="s">
        <v>24</v>
      </c>
      <c r="L742" s="6" t="s">
        <v>247</v>
      </c>
      <c r="M742" s="256">
        <v>28</v>
      </c>
      <c r="N742" s="256">
        <v>69</v>
      </c>
      <c r="O742" s="256">
        <v>3</v>
      </c>
      <c r="P742" s="257">
        <v>1</v>
      </c>
      <c r="Q742" s="96">
        <v>151</v>
      </c>
      <c r="R742" s="98">
        <v>0.50009999999999999</v>
      </c>
      <c r="S742" s="94">
        <f>((Table3.110[[#This Row],[Sample weight, g]]*'2.1. DM'!Q151)/100)*1000</f>
        <v>461.60775534679186</v>
      </c>
      <c r="T742" s="94">
        <f>'3.2 Digest'!W742</f>
        <v>163.50775534679184</v>
      </c>
      <c r="U742" s="153">
        <v>0.35972222222222222</v>
      </c>
      <c r="V742" s="154">
        <v>42</v>
      </c>
      <c r="W742" s="153">
        <v>0.72291666666666665</v>
      </c>
      <c r="X742" s="91">
        <v>75</v>
      </c>
      <c r="Y742" s="91">
        <v>11.4</v>
      </c>
      <c r="Z742" s="154">
        <v>40.5</v>
      </c>
      <c r="AA742" s="153">
        <v>0.39930555555555558</v>
      </c>
      <c r="AB742" s="154">
        <v>77.5</v>
      </c>
      <c r="AC742" s="154">
        <v>14.5</v>
      </c>
      <c r="AD742" s="91"/>
      <c r="AE742" s="94">
        <f>Table3.110[[#This Row],[Gas 8h, ml]]-Table3.110[[#This Row],[Gas 0h, ml]]</f>
        <v>33</v>
      </c>
      <c r="AF742" s="94">
        <f>Table3.110[[#This Row],[Gas 24h, ml]]-Table3.110[[#This Row],[V8 Push back, ml]]</f>
        <v>37</v>
      </c>
      <c r="AG742" s="94">
        <f>Table3.110[[#This Row],[GP 8h, ml]]-AVERAGE(AE$664,AE$665,AE$726,AE$727,AE$788,AE$789)*$AG$8</f>
        <v>31.156235924806332</v>
      </c>
      <c r="AH742" s="94">
        <f>Table3.110[[#This Row],[GP 8-24h, ml]]-AVERAGE(AF$664,AF$665,AF$726,AF$727,AF$788,AF$789)*$AG$8</f>
        <v>34.676857265255975</v>
      </c>
      <c r="AI742" s="94">
        <f>Table3.110[[#This Row],[Net gas 8-24h, ml]]+Table3.110[[#This Row],[Net gas 8h, ml]]</f>
        <v>65.8330931900623</v>
      </c>
      <c r="AJ742" s="94">
        <f>Table3.110[[#This Row],[Net gas 8h, ml]]*Table3.110[[#This Row],[CH4 8h %]]%</f>
        <v>3.5518108954279217</v>
      </c>
      <c r="AK742" s="94">
        <f>Table3.110[[#This Row],[Net gas 8-24h, ml]]*Table3.110[[#This Row],[CH4 24h, %]]%</f>
        <v>5.028144303462116</v>
      </c>
      <c r="AL742" s="94">
        <f>Table3.110[[#This Row],[CH4 8-24h, ml]]+Table3.110[[#This Row],[CH4 8h, ml]]</f>
        <v>8.5799551988900369</v>
      </c>
      <c r="AM742" s="94">
        <f>(Table3.110[[#This Row],[Net gas 24h, ml]]/Table3.110[[#This Row],[DM Incubated, mg]])*1000</f>
        <v>142.61695655568849</v>
      </c>
      <c r="AN742" s="94">
        <f>'3.2 Digest'!X742</f>
        <v>35.421362282779114</v>
      </c>
      <c r="AO742" s="94">
        <f>Table3.110[[#This Row],[Digested feed, mg]]/Table3.110[[#This Row],[Net gas 24h, ml]]</f>
        <v>2.4836711663348336</v>
      </c>
      <c r="AP742" s="94">
        <f>Table3.110[[#This Row],[CH4 8h, ml]]/Table3.110[[#This Row],[Net gas 8h, ml]]%</f>
        <v>11.4</v>
      </c>
      <c r="AQ742" s="94">
        <f>Table3.110[[#This Row],[CH4 24h, ml]]/Table3.110[[#This Row],[Net gas 24h, ml]]%</f>
        <v>13.032890880760267</v>
      </c>
      <c r="AR742" s="94">
        <f>Table3.110[[#This Row],[CH4 24h, ml]]/Table3.110[[#This Row],[DM Incubated, mg]]*1000</f>
        <v>18.587112325364156</v>
      </c>
      <c r="AS742" s="94">
        <f>Table3.110[[#This Row],[CH4 24h, ml]]/Table3.110[[#This Row],[Digested feed, mg]]*1000</f>
        <v>52.474301177288979</v>
      </c>
      <c r="AT742" s="94">
        <f>Table3.110[[#This Row],[CH4 24h, ml]]/'3.2 Digest'!AA742</f>
        <v>-0.34468362675208436</v>
      </c>
      <c r="AU742" s="94">
        <f>((Table3.110[[#This Row],[CH4 24h, ml]]/28.9)*16.04)/Table3.110[[#This Row],[DM Incubated, mg]]*1000</f>
        <v>10.316168916914917</v>
      </c>
      <c r="AV742" s="94">
        <f>((Table3.110[[#This Row],[CH4 24h, ml]]/28.9)*16.04)/Table3.110[[#This Row],[Digested feed, mg]]*1000</f>
        <v>29.124145013277342</v>
      </c>
    </row>
    <row r="743" spans="2:48" s="89" customFormat="1" x14ac:dyDescent="0.35">
      <c r="B743" s="90">
        <f t="shared" si="11"/>
        <v>733</v>
      </c>
      <c r="C743" s="140">
        <v>46076</v>
      </c>
      <c r="D743" s="92" t="s">
        <v>16</v>
      </c>
      <c r="E743" s="6" t="s">
        <v>248</v>
      </c>
      <c r="F743" s="242" t="s">
        <v>226</v>
      </c>
      <c r="G743" s="242" t="s">
        <v>227</v>
      </c>
      <c r="H743" s="6" t="str">
        <f>'[2]1. Information samples'!$K$53</f>
        <v>Macroptilium atropurpureum</v>
      </c>
      <c r="I743" s="57" t="s">
        <v>22</v>
      </c>
      <c r="J743" s="130" t="s">
        <v>23</v>
      </c>
      <c r="K743" s="130" t="s">
        <v>24</v>
      </c>
      <c r="L743" s="6" t="s">
        <v>247</v>
      </c>
      <c r="M743" s="256">
        <v>28</v>
      </c>
      <c r="N743" s="256">
        <v>69</v>
      </c>
      <c r="O743" s="256">
        <v>3</v>
      </c>
      <c r="P743" s="257">
        <v>2</v>
      </c>
      <c r="Q743" s="96">
        <v>152</v>
      </c>
      <c r="R743" s="98">
        <v>0.50009999999999999</v>
      </c>
      <c r="S743" s="94">
        <f>((Table3.110[[#This Row],[Sample weight, g]]*'2.1. DM'!Q151)/100)*1000</f>
        <v>461.60775534679186</v>
      </c>
      <c r="T743" s="94">
        <f>'3.2 Digest'!W743</f>
        <v>207.00775534679181</v>
      </c>
      <c r="U743" s="117">
        <v>0.36041666666666666</v>
      </c>
      <c r="V743" s="155">
        <v>40.5</v>
      </c>
      <c r="W743" s="117">
        <v>0.72291666666666665</v>
      </c>
      <c r="X743" s="96">
        <v>73</v>
      </c>
      <c r="Y743" s="96">
        <v>11.9</v>
      </c>
      <c r="Z743" s="155">
        <v>40</v>
      </c>
      <c r="AA743" s="117">
        <v>0.39930555555555558</v>
      </c>
      <c r="AB743" s="155">
        <v>77</v>
      </c>
      <c r="AC743" s="155">
        <v>14.4</v>
      </c>
      <c r="AD743" s="96"/>
      <c r="AE743" s="94">
        <f>Table3.110[[#This Row],[Gas 8h, ml]]-Table3.110[[#This Row],[Gas 0h, ml]]</f>
        <v>32.5</v>
      </c>
      <c r="AF743" s="94">
        <f>Table3.110[[#This Row],[Gas 24h, ml]]-Table3.110[[#This Row],[V8 Push back, ml]]</f>
        <v>37</v>
      </c>
      <c r="AG743" s="94">
        <f>Table3.110[[#This Row],[GP 8h, ml]]-AVERAGE(AE$664,AE$665,AE$726,AE$727,AE$788,AE$789)*$AG$8</f>
        <v>30.656235924806332</v>
      </c>
      <c r="AH743" s="94">
        <f>Table3.110[[#This Row],[GP 8-24h, ml]]-AVERAGE(AF$664,AF$665,AF$726,AF$727,AF$788,AF$789)*$AG$8</f>
        <v>34.676857265255975</v>
      </c>
      <c r="AI743" s="94">
        <f>Table3.110[[#This Row],[Net gas 8-24h, ml]]+Table3.110[[#This Row],[Net gas 8h, ml]]</f>
        <v>65.3330931900623</v>
      </c>
      <c r="AJ743" s="94">
        <f>Table3.110[[#This Row],[Net gas 8h, ml]]*Table3.110[[#This Row],[CH4 8h %]]%</f>
        <v>3.6480920750519537</v>
      </c>
      <c r="AK743" s="94">
        <f>Table3.110[[#This Row],[Net gas 8-24h, ml]]*Table3.110[[#This Row],[CH4 24h, %]]%</f>
        <v>4.9934674461968607</v>
      </c>
      <c r="AL743" s="94">
        <f>Table3.110[[#This Row],[CH4 8-24h, ml]]+Table3.110[[#This Row],[CH4 8h, ml]]</f>
        <v>8.6415595212488139</v>
      </c>
      <c r="AM743" s="94">
        <f>(Table3.110[[#This Row],[Net gas 24h, ml]]/Table3.110[[#This Row],[DM Incubated, mg]])*1000</f>
        <v>141.53378584590621</v>
      </c>
      <c r="AN743" s="94">
        <f>'3.2 Digest'!X743</f>
        <v>44.844947457885141</v>
      </c>
      <c r="AO743" s="94">
        <f>Table3.110[[#This Row],[Digested feed, mg]]/Table3.110[[#This Row],[Net gas 24h, ml]]</f>
        <v>3.1684976975539771</v>
      </c>
      <c r="AP743" s="94">
        <f>Table3.110[[#This Row],[CH4 8h, ml]]/Table3.110[[#This Row],[Net gas 8h, ml]]%</f>
        <v>11.900000000000002</v>
      </c>
      <c r="AQ743" s="94">
        <f>Table3.110[[#This Row],[CH4 24h, ml]]/Table3.110[[#This Row],[Net gas 24h, ml]]%</f>
        <v>13.226925435949306</v>
      </c>
      <c r="AR743" s="94">
        <f>Table3.110[[#This Row],[CH4 24h, ml]]/Table3.110[[#This Row],[DM Incubated, mg]]*1000</f>
        <v>18.720568320514186</v>
      </c>
      <c r="AS743" s="94">
        <f>Table3.110[[#This Row],[CH4 24h, ml]]/Table3.110[[#This Row],[Digested feed, mg]]*1000</f>
        <v>41.745100355162805</v>
      </c>
      <c r="AT743" s="94">
        <f>Table3.110[[#This Row],[CH4 24h, ml]]/'3.2 Digest'!AA743</f>
        <v>-1.2960796167266431</v>
      </c>
      <c r="AU743" s="94">
        <f>((Table3.110[[#This Row],[CH4 24h, ml]]/28.9)*16.04)/Table3.110[[#This Row],[DM Incubated, mg]]*1000</f>
        <v>10.390239303150432</v>
      </c>
      <c r="AV743" s="94">
        <f>((Table3.110[[#This Row],[CH4 24h, ml]]/28.9)*16.04)/Table3.110[[#This Row],[Digested feed, mg]]*1000</f>
        <v>23.169252930685516</v>
      </c>
    </row>
    <row r="744" spans="2:48" s="89" customFormat="1" x14ac:dyDescent="0.35">
      <c r="B744" s="90">
        <f t="shared" si="11"/>
        <v>734</v>
      </c>
      <c r="C744" s="140">
        <v>46076</v>
      </c>
      <c r="D744" s="92" t="s">
        <v>16</v>
      </c>
      <c r="E744" s="6" t="s">
        <v>250</v>
      </c>
      <c r="F744" s="242" t="s">
        <v>219</v>
      </c>
      <c r="G744" s="242" t="s">
        <v>220</v>
      </c>
      <c r="H744" s="6" t="str">
        <f>'[2]1. Information samples'!$K$54</f>
        <v>Vigna radiata</v>
      </c>
      <c r="I744" s="57" t="s">
        <v>22</v>
      </c>
      <c r="J744" s="130" t="s">
        <v>23</v>
      </c>
      <c r="K744" s="130" t="s">
        <v>24</v>
      </c>
      <c r="L744" s="6" t="s">
        <v>249</v>
      </c>
      <c r="M744" s="256">
        <v>28</v>
      </c>
      <c r="N744" s="256">
        <v>69</v>
      </c>
      <c r="O744" s="256">
        <v>3</v>
      </c>
      <c r="P744" s="257">
        <v>1</v>
      </c>
      <c r="Q744" s="96">
        <v>153</v>
      </c>
      <c r="R744" s="98">
        <v>0.50019999999999998</v>
      </c>
      <c r="S744" s="94">
        <f>((Table3.110[[#This Row],[Sample weight, g]]*'2.1. DM'!Q153)/100)*1000</f>
        <v>454.88638089982027</v>
      </c>
      <c r="T744" s="94">
        <f>'3.2 Digest'!W744</f>
        <v>206.08638089982026</v>
      </c>
      <c r="U744" s="117">
        <v>0.3611111111111111</v>
      </c>
      <c r="V744" s="155">
        <v>40</v>
      </c>
      <c r="W744" s="117">
        <v>0.72361111111111109</v>
      </c>
      <c r="X744" s="96">
        <v>78</v>
      </c>
      <c r="Y744" s="96">
        <v>13.8</v>
      </c>
      <c r="Z744" s="155">
        <v>39.5</v>
      </c>
      <c r="AA744" s="117">
        <v>0.4</v>
      </c>
      <c r="AB744" s="155">
        <v>89</v>
      </c>
      <c r="AC744" s="155">
        <v>15.9</v>
      </c>
      <c r="AD744" s="96"/>
      <c r="AE744" s="94">
        <f>Table3.110[[#This Row],[Gas 8h, ml]]-Table3.110[[#This Row],[Gas 0h, ml]]</f>
        <v>38</v>
      </c>
      <c r="AF744" s="94">
        <f>Table3.110[[#This Row],[Gas 24h, ml]]-Table3.110[[#This Row],[V8 Push back, ml]]</f>
        <v>49.5</v>
      </c>
      <c r="AG744" s="94">
        <f>Table3.110[[#This Row],[GP 8h, ml]]-AVERAGE(AE$664,AE$665,AE$726,AE$727,AE$788,AE$789)*$AG$8</f>
        <v>36.156235924806332</v>
      </c>
      <c r="AH744" s="94">
        <f>Table3.110[[#This Row],[GP 8-24h, ml]]-AVERAGE(AF$664,AF$665,AF$726,AF$727,AF$788,AF$789)*$AG$8</f>
        <v>47.176857265255975</v>
      </c>
      <c r="AI744" s="94">
        <f>Table3.110[[#This Row],[Net gas 8-24h, ml]]+Table3.110[[#This Row],[Net gas 8h, ml]]</f>
        <v>83.3330931900623</v>
      </c>
      <c r="AJ744" s="94">
        <f>Table3.110[[#This Row],[Net gas 8h, ml]]*Table3.110[[#This Row],[CH4 8h %]]%</f>
        <v>4.9895605576232738</v>
      </c>
      <c r="AK744" s="94">
        <f>Table3.110[[#This Row],[Net gas 8-24h, ml]]*Table3.110[[#This Row],[CH4 24h, %]]%</f>
        <v>7.5011203051757001</v>
      </c>
      <c r="AL744" s="94">
        <f>Table3.110[[#This Row],[CH4 8-24h, ml]]+Table3.110[[#This Row],[CH4 8h, ml]]</f>
        <v>12.490680862798975</v>
      </c>
      <c r="AM744" s="94">
        <f>(Table3.110[[#This Row],[Net gas 24h, ml]]/Table3.110[[#This Row],[DM Incubated, mg]])*1000</f>
        <v>183.19540150931616</v>
      </c>
      <c r="AN744" s="94">
        <f>'3.2 Digest'!X744</f>
        <v>45.305023309811226</v>
      </c>
      <c r="AO744" s="94">
        <f>Table3.110[[#This Row],[Digested feed, mg]]/Table3.110[[#This Row],[Net gas 24h, ml]]</f>
        <v>2.4730436974154779</v>
      </c>
      <c r="AP744" s="94">
        <f>Table3.110[[#This Row],[CH4 8h, ml]]/Table3.110[[#This Row],[Net gas 8h, ml]]%</f>
        <v>13.8</v>
      </c>
      <c r="AQ744" s="94">
        <f>Table3.110[[#This Row],[CH4 24h, ml]]/Table3.110[[#This Row],[Net gas 24h, ml]]%</f>
        <v>14.988860229045862</v>
      </c>
      <c r="AR744" s="94">
        <f>Table3.110[[#This Row],[CH4 24h, ml]]/Table3.110[[#This Row],[DM Incubated, mg]]*1000</f>
        <v>27.458902678270778</v>
      </c>
      <c r="AS744" s="94">
        <f>Table3.110[[#This Row],[CH4 24h, ml]]/Table3.110[[#This Row],[Digested feed, mg]]*1000</f>
        <v>60.608958283714848</v>
      </c>
      <c r="AT744" s="94">
        <f>Table3.110[[#This Row],[CH4 24h, ml]]/'3.2 Digest'!AA744</f>
        <v>-1.105991901342444</v>
      </c>
      <c r="AU744" s="94">
        <f>((Table3.110[[#This Row],[CH4 24h, ml]]/28.9)*16.04)/Table3.110[[#This Row],[DM Incubated, mg]]*1000</f>
        <v>15.240166053960666</v>
      </c>
      <c r="AV744" s="94">
        <f>((Table3.110[[#This Row],[CH4 24h, ml]]/28.9)*16.04)/Table3.110[[#This Row],[Digested feed, mg]]*1000</f>
        <v>33.639020445355925</v>
      </c>
    </row>
    <row r="745" spans="2:48" s="89" customFormat="1" x14ac:dyDescent="0.35">
      <c r="B745" s="90">
        <f t="shared" si="11"/>
        <v>735</v>
      </c>
      <c r="C745" s="140">
        <v>46076</v>
      </c>
      <c r="D745" s="92" t="s">
        <v>16</v>
      </c>
      <c r="E745" s="6" t="s">
        <v>250</v>
      </c>
      <c r="F745" s="242" t="s">
        <v>219</v>
      </c>
      <c r="G745" s="242" t="s">
        <v>220</v>
      </c>
      <c r="H745" s="6" t="str">
        <f>'[2]1. Information samples'!$K$54</f>
        <v>Vigna radiata</v>
      </c>
      <c r="I745" s="57" t="s">
        <v>22</v>
      </c>
      <c r="J745" s="130" t="s">
        <v>23</v>
      </c>
      <c r="K745" s="130" t="s">
        <v>24</v>
      </c>
      <c r="L745" s="6" t="s">
        <v>249</v>
      </c>
      <c r="M745" s="256">
        <v>28</v>
      </c>
      <c r="N745" s="256">
        <v>69</v>
      </c>
      <c r="O745" s="256">
        <v>3</v>
      </c>
      <c r="P745" s="257">
        <v>2</v>
      </c>
      <c r="Q745" s="96">
        <v>154</v>
      </c>
      <c r="R745" s="98">
        <v>0.50019999999999998</v>
      </c>
      <c r="S745" s="94">
        <f>((Table3.110[[#This Row],[Sample weight, g]]*'2.1. DM'!Q153)/100)*1000</f>
        <v>454.88638089982027</v>
      </c>
      <c r="T745" s="94">
        <f>'3.2 Digest'!W745</f>
        <v>153.38638089982027</v>
      </c>
      <c r="U745" s="156">
        <v>0.3611111111111111</v>
      </c>
      <c r="V745" s="154">
        <v>41</v>
      </c>
      <c r="W745" s="153">
        <v>0.72430555555555554</v>
      </c>
      <c r="X745" s="91">
        <v>80.5</v>
      </c>
      <c r="Y745" s="91">
        <v>13.5</v>
      </c>
      <c r="Z745" s="154">
        <v>40.5</v>
      </c>
      <c r="AA745" s="153">
        <v>0.4</v>
      </c>
      <c r="AB745" s="154">
        <v>90</v>
      </c>
      <c r="AC745" s="154">
        <v>15.8</v>
      </c>
      <c r="AD745" s="91"/>
      <c r="AE745" s="94">
        <f>Table3.110[[#This Row],[Gas 8h, ml]]-Table3.110[[#This Row],[Gas 0h, ml]]</f>
        <v>39.5</v>
      </c>
      <c r="AF745" s="94">
        <f>Table3.110[[#This Row],[Gas 24h, ml]]-Table3.110[[#This Row],[V8 Push back, ml]]</f>
        <v>49.5</v>
      </c>
      <c r="AG745" s="94">
        <f>Table3.110[[#This Row],[GP 8h, ml]]-AVERAGE(AE$664,AE$665,AE$726,AE$727,AE$788,AE$789)*$AG$8</f>
        <v>37.656235924806332</v>
      </c>
      <c r="AH745" s="94">
        <f>Table3.110[[#This Row],[GP 8-24h, ml]]-AVERAGE(AF$664,AF$665,AF$726,AF$727,AF$788,AF$789)*$AG$8</f>
        <v>47.176857265255975</v>
      </c>
      <c r="AI745" s="94">
        <f>Table3.110[[#This Row],[Net gas 8-24h, ml]]+Table3.110[[#This Row],[Net gas 8h, ml]]</f>
        <v>84.8330931900623</v>
      </c>
      <c r="AJ745" s="94">
        <f>Table3.110[[#This Row],[Net gas 8h, ml]]*Table3.110[[#This Row],[CH4 8h %]]%</f>
        <v>5.0835918498488555</v>
      </c>
      <c r="AK745" s="94">
        <f>Table3.110[[#This Row],[Net gas 8-24h, ml]]*Table3.110[[#This Row],[CH4 24h, %]]%</f>
        <v>7.4539434479104445</v>
      </c>
      <c r="AL745" s="94">
        <f>Table3.110[[#This Row],[CH4 8-24h, ml]]+Table3.110[[#This Row],[CH4 8h, ml]]</f>
        <v>12.5375352977593</v>
      </c>
      <c r="AM745" s="94">
        <f>(Table3.110[[#This Row],[Net gas 24h, ml]]/Table3.110[[#This Row],[DM Incubated, mg]])*1000</f>
        <v>186.49292823903011</v>
      </c>
      <c r="AN745" s="94">
        <f>'3.2 Digest'!X745</f>
        <v>33.719712732749542</v>
      </c>
      <c r="AO745" s="94">
        <f>Table3.110[[#This Row],[Digested feed, mg]]/Table3.110[[#This Row],[Net gas 24h, ml]]</f>
        <v>1.8080960522819718</v>
      </c>
      <c r="AP745" s="94">
        <f>Table3.110[[#This Row],[CH4 8h, ml]]/Table3.110[[#This Row],[Net gas 8h, ml]]%</f>
        <v>13.500000000000002</v>
      </c>
      <c r="AQ745" s="94">
        <f>Table3.110[[#This Row],[CH4 24h, ml]]/Table3.110[[#This Row],[Net gas 24h, ml]]%</f>
        <v>14.779061833416677</v>
      </c>
      <c r="AR745" s="94">
        <f>Table3.110[[#This Row],[CH4 24h, ml]]/Table3.110[[#This Row],[DM Incubated, mg]]*1000</f>
        <v>27.561905179395652</v>
      </c>
      <c r="AS745" s="94">
        <f>Table3.110[[#This Row],[CH4 24h, ml]]/Table3.110[[#This Row],[Digested feed, mg]]*1000</f>
        <v>81.738256188128048</v>
      </c>
      <c r="AT745" s="94">
        <f>Table3.110[[#This Row],[CH4 24h, ml]]/'3.2 Digest'!AA745</f>
        <v>-0.359576538840438</v>
      </c>
      <c r="AU745" s="94">
        <f>((Table3.110[[#This Row],[CH4 24h, ml]]/28.9)*16.04)/Table3.110[[#This Row],[DM Incubated, mg]]*1000</f>
        <v>15.297334224135165</v>
      </c>
      <c r="AV745" s="94">
        <f>((Table3.110[[#This Row],[CH4 24h, ml]]/28.9)*16.04)/Table3.110[[#This Row],[Digested feed, mg]]*1000</f>
        <v>45.366146341092517</v>
      </c>
    </row>
    <row r="746" spans="2:48" s="89" customFormat="1" x14ac:dyDescent="0.35">
      <c r="B746" s="90">
        <f t="shared" si="11"/>
        <v>736</v>
      </c>
      <c r="C746" s="140">
        <v>46076</v>
      </c>
      <c r="D746" s="92" t="s">
        <v>16</v>
      </c>
      <c r="E746" s="6" t="s">
        <v>252</v>
      </c>
      <c r="F746" s="242" t="s">
        <v>219</v>
      </c>
      <c r="G746" s="242" t="s">
        <v>253</v>
      </c>
      <c r="H746" s="6" t="str">
        <f>'[2]1. Information samples'!$K$55</f>
        <v>Vigna unguiculata</v>
      </c>
      <c r="I746" s="57" t="s">
        <v>22</v>
      </c>
      <c r="J746" s="130" t="s">
        <v>23</v>
      </c>
      <c r="K746" s="130" t="s">
        <v>24</v>
      </c>
      <c r="L746" s="6" t="s">
        <v>251</v>
      </c>
      <c r="M746" s="256">
        <v>28</v>
      </c>
      <c r="N746" s="256">
        <v>69</v>
      </c>
      <c r="O746" s="256">
        <v>3</v>
      </c>
      <c r="P746" s="257">
        <v>1</v>
      </c>
      <c r="Q746" s="96">
        <v>155</v>
      </c>
      <c r="R746" s="98">
        <v>0.50029999999999997</v>
      </c>
      <c r="S746" s="262">
        <f>((Table3.110[[#This Row],[Sample weight, g]]*'2.1. DM'!Q155)/100)*1000</f>
        <v>460.56109337514715</v>
      </c>
      <c r="T746" s="94">
        <f>'3.2 Digest'!W746</f>
        <v>157.86109337514716</v>
      </c>
      <c r="U746" s="153">
        <v>0.3611111111111111</v>
      </c>
      <c r="V746" s="154">
        <v>41</v>
      </c>
      <c r="W746" s="153">
        <v>0.72499999999999998</v>
      </c>
      <c r="X746" s="91">
        <v>86</v>
      </c>
      <c r="Y746" s="91">
        <v>13.3</v>
      </c>
      <c r="Z746" s="154">
        <v>40.5</v>
      </c>
      <c r="AA746" s="153">
        <v>0.40069444444444446</v>
      </c>
      <c r="AB746" s="154">
        <v>88</v>
      </c>
      <c r="AC746" s="154">
        <v>16.399999999999999</v>
      </c>
      <c r="AD746" s="91"/>
      <c r="AE746" s="94">
        <f>Table3.110[[#This Row],[Gas 8h, ml]]-Table3.110[[#This Row],[Gas 0h, ml]]</f>
        <v>45</v>
      </c>
      <c r="AF746" s="94">
        <f>Table3.110[[#This Row],[Gas 24h, ml]]-Table3.110[[#This Row],[V8 Push back, ml]]</f>
        <v>47.5</v>
      </c>
      <c r="AG746" s="94">
        <f>Table3.110[[#This Row],[GP 8h, ml]]-AVERAGE(AE$664,AE$665,AE$726,AE$727,AE$788,AE$789)*$AG$8</f>
        <v>43.156235924806332</v>
      </c>
      <c r="AH746" s="94">
        <f>Table3.110[[#This Row],[GP 8-24h, ml]]-AVERAGE(AF$664,AF$665,AF$726,AF$727,AF$788,AF$789)*$AG$8</f>
        <v>45.176857265255975</v>
      </c>
      <c r="AI746" s="94">
        <f>Table3.110[[#This Row],[Net gas 8-24h, ml]]+Table3.110[[#This Row],[Net gas 8h, ml]]</f>
        <v>88.3330931900623</v>
      </c>
      <c r="AJ746" s="94">
        <f>Table3.110[[#This Row],[Net gas 8h, ml]]*Table3.110[[#This Row],[CH4 8h %]]%</f>
        <v>5.7397793779992421</v>
      </c>
      <c r="AK746" s="94">
        <f>Table3.110[[#This Row],[Net gas 8-24h, ml]]*Table3.110[[#This Row],[CH4 24h, %]]%</f>
        <v>7.4090045915019793</v>
      </c>
      <c r="AL746" s="94">
        <f>Table3.110[[#This Row],[CH4 8-24h, ml]]+Table3.110[[#This Row],[CH4 8h, ml]]</f>
        <v>13.148783969501221</v>
      </c>
      <c r="AM746" s="94">
        <f>(Table3.110[[#This Row],[Net gas 24h, ml]]/Table3.110[[#This Row],[DM Incubated, mg]])*1000</f>
        <v>191.79451860062164</v>
      </c>
      <c r="AN746" s="94">
        <f>'3.2 Digest'!X746</f>
        <v>34.275820438562839</v>
      </c>
      <c r="AO746" s="94">
        <f>Table3.110[[#This Row],[Digested feed, mg]]/Table3.110[[#This Row],[Net gas 24h, ml]]</f>
        <v>1.7871115759015099</v>
      </c>
      <c r="AP746" s="94">
        <f>Table3.110[[#This Row],[CH4 8h, ml]]/Table3.110[[#This Row],[Net gas 8h, ml]]%</f>
        <v>13.3</v>
      </c>
      <c r="AQ746" s="94">
        <f>Table3.110[[#This Row],[CH4 24h, ml]]/Table3.110[[#This Row],[Net gas 24h, ml]]%</f>
        <v>14.885456282176806</v>
      </c>
      <c r="AR746" s="94">
        <f>Table3.110[[#This Row],[CH4 24h, ml]]/Table3.110[[#This Row],[DM Incubated, mg]]*1000</f>
        <v>28.549489217906995</v>
      </c>
      <c r="AS746" s="94">
        <f>Table3.110[[#This Row],[CH4 24h, ml]]/Table3.110[[#This Row],[Digested feed, mg]]*1000</f>
        <v>83.293379567908758</v>
      </c>
      <c r="AT746" s="94">
        <f>Table3.110[[#This Row],[CH4 24h, ml]]/'3.2 Digest'!AA746</f>
        <v>-0.36495410917786386</v>
      </c>
      <c r="AU746" s="94">
        <f>((Table3.110[[#This Row],[CH4 24h, ml]]/28.9)*16.04)/Table3.110[[#This Row],[DM Incubated, mg]]*1000</f>
        <v>15.845460451737999</v>
      </c>
      <c r="AV746" s="94">
        <f>((Table3.110[[#This Row],[CH4 24h, ml]]/28.9)*16.04)/Table3.110[[#This Row],[Digested feed, mg]]*1000</f>
        <v>46.229266722119604</v>
      </c>
    </row>
    <row r="747" spans="2:48" s="89" customFormat="1" x14ac:dyDescent="0.35">
      <c r="B747" s="90">
        <f t="shared" si="11"/>
        <v>737</v>
      </c>
      <c r="C747" s="140">
        <v>46076</v>
      </c>
      <c r="D747" s="92" t="s">
        <v>16</v>
      </c>
      <c r="E747" s="6" t="s">
        <v>252</v>
      </c>
      <c r="F747" s="242" t="s">
        <v>219</v>
      </c>
      <c r="G747" s="242" t="s">
        <v>253</v>
      </c>
      <c r="H747" s="6" t="str">
        <f>'[2]1. Information samples'!$K$55</f>
        <v>Vigna unguiculata</v>
      </c>
      <c r="I747" s="57" t="s">
        <v>22</v>
      </c>
      <c r="J747" s="130" t="s">
        <v>23</v>
      </c>
      <c r="K747" s="130" t="s">
        <v>24</v>
      </c>
      <c r="L747" s="6" t="s">
        <v>251</v>
      </c>
      <c r="M747" s="256">
        <v>28</v>
      </c>
      <c r="N747" s="256">
        <v>69</v>
      </c>
      <c r="O747" s="256">
        <v>3</v>
      </c>
      <c r="P747" s="257">
        <v>2</v>
      </c>
      <c r="Q747" s="96">
        <v>156</v>
      </c>
      <c r="R747" s="98">
        <v>0.5</v>
      </c>
      <c r="S747" s="262">
        <f>((Table3.110[[#This Row],[Sample weight, g]]*'2.1. DM'!Q155)/100)*1000</f>
        <v>460.2849224216942</v>
      </c>
      <c r="T747" s="94">
        <f>'3.2 Digest'!W747</f>
        <v>99.284922421694205</v>
      </c>
      <c r="U747" s="117">
        <v>0.3611111111111111</v>
      </c>
      <c r="V747" s="155">
        <v>40.5</v>
      </c>
      <c r="W747" s="117">
        <v>0.72569444444444442</v>
      </c>
      <c r="X747" s="96">
        <v>85.5</v>
      </c>
      <c r="Y747" s="96">
        <v>13.2</v>
      </c>
      <c r="Z747" s="155">
        <v>40.5</v>
      </c>
      <c r="AA747" s="117">
        <v>0.40069444444444446</v>
      </c>
      <c r="AB747" s="155">
        <v>88</v>
      </c>
      <c r="AC747" s="155">
        <v>16.100000000000001</v>
      </c>
      <c r="AD747" s="96"/>
      <c r="AE747" s="94">
        <f>Table3.110[[#This Row],[Gas 8h, ml]]-Table3.110[[#This Row],[Gas 0h, ml]]</f>
        <v>45</v>
      </c>
      <c r="AF747" s="94">
        <f>Table3.110[[#This Row],[Gas 24h, ml]]-Table3.110[[#This Row],[V8 Push back, ml]]</f>
        <v>47.5</v>
      </c>
      <c r="AG747" s="94">
        <f>Table3.110[[#This Row],[GP 8h, ml]]-AVERAGE(AE$664,AE$665,AE$726,AE$727,AE$788,AE$789)*$AG$8</f>
        <v>43.156235924806332</v>
      </c>
      <c r="AH747" s="94">
        <f>Table3.110[[#This Row],[GP 8-24h, ml]]-AVERAGE(AF$664,AF$665,AF$726,AF$727,AF$788,AF$789)*$AG$8</f>
        <v>45.176857265255975</v>
      </c>
      <c r="AI747" s="94">
        <f>Table3.110[[#This Row],[Net gas 8-24h, ml]]+Table3.110[[#This Row],[Net gas 8h, ml]]</f>
        <v>88.3330931900623</v>
      </c>
      <c r="AJ747" s="94">
        <f>Table3.110[[#This Row],[Net gas 8h, ml]]*Table3.110[[#This Row],[CH4 8h %]]%</f>
        <v>5.6966231420744364</v>
      </c>
      <c r="AK747" s="94">
        <f>Table3.110[[#This Row],[Net gas 8-24h, ml]]*Table3.110[[#This Row],[CH4 24h, %]]%</f>
        <v>7.273474019706212</v>
      </c>
      <c r="AL747" s="94">
        <f>Table3.110[[#This Row],[CH4 8-24h, ml]]+Table3.110[[#This Row],[CH4 8h, ml]]</f>
        <v>12.970097161780648</v>
      </c>
      <c r="AM747" s="94">
        <f>(Table3.110[[#This Row],[Net gas 24h, ml]]/Table3.110[[#This Row],[DM Incubated, mg]])*1000</f>
        <v>191.90959531178197</v>
      </c>
      <c r="AN747" s="94">
        <f>'3.2 Digest'!X747</f>
        <v>21.570318206237793</v>
      </c>
      <c r="AO747" s="94">
        <f>Table3.110[[#This Row],[Digested feed, mg]]/Table3.110[[#This Row],[Net gas 24h, ml]]</f>
        <v>1.1239833094949743</v>
      </c>
      <c r="AP747" s="94">
        <f>Table3.110[[#This Row],[CH4 8h, ml]]/Table3.110[[#This Row],[Net gas 8h, ml]]%</f>
        <v>13.200000000000003</v>
      </c>
      <c r="AQ747" s="94">
        <f>Table3.110[[#This Row],[CH4 24h, ml]]/Table3.110[[#This Row],[Net gas 24h, ml]]%</f>
        <v>14.683168780100885</v>
      </c>
      <c r="AR747" s="94">
        <f>Table3.110[[#This Row],[CH4 24h, ml]]/Table3.110[[#This Row],[DM Incubated, mg]]*1000</f>
        <v>28.178409784837523</v>
      </c>
      <c r="AS747" s="94">
        <f>Table3.110[[#This Row],[CH4 24h, ml]]/Table3.110[[#This Row],[Digested feed, mg]]*1000</f>
        <v>130.63511402761216</v>
      </c>
      <c r="AT747" s="94">
        <f>Table3.110[[#This Row],[CH4 24h, ml]]/'3.2 Digest'!AA747</f>
        <v>-0.20810414429816698</v>
      </c>
      <c r="AU747" s="94">
        <f>((Table3.110[[#This Row],[CH4 24h, ml]]/28.9)*16.04)/Table3.110[[#This Row],[DM Incubated, mg]]*1000</f>
        <v>15.639504946325047</v>
      </c>
      <c r="AV747" s="94">
        <f>((Table3.110[[#This Row],[CH4 24h, ml]]/28.9)*16.04)/Table3.110[[#This Row],[Digested feed, mg]]*1000</f>
        <v>72.504748408404808</v>
      </c>
    </row>
    <row r="748" spans="2:48" s="89" customFormat="1" x14ac:dyDescent="0.35">
      <c r="B748" s="90">
        <f t="shared" si="11"/>
        <v>738</v>
      </c>
      <c r="C748" s="140">
        <v>46076</v>
      </c>
      <c r="D748" s="92" t="s">
        <v>16</v>
      </c>
      <c r="E748" s="6" t="s">
        <v>256</v>
      </c>
      <c r="F748" s="242" t="s">
        <v>219</v>
      </c>
      <c r="G748" s="242" t="s">
        <v>253</v>
      </c>
      <c r="H748" s="6" t="str">
        <f>'[2]1. Information samples'!$K$56</f>
        <v>Vigna unguiculata</v>
      </c>
      <c r="I748" s="57" t="s">
        <v>22</v>
      </c>
      <c r="J748" s="130" t="s">
        <v>23</v>
      </c>
      <c r="K748" s="130" t="s">
        <v>24</v>
      </c>
      <c r="L748" s="6" t="s">
        <v>255</v>
      </c>
      <c r="M748" s="256">
        <v>28</v>
      </c>
      <c r="N748" s="256">
        <v>69</v>
      </c>
      <c r="O748" s="256">
        <v>3</v>
      </c>
      <c r="P748" s="257">
        <v>1</v>
      </c>
      <c r="Q748" s="96">
        <v>157</v>
      </c>
      <c r="R748" s="98">
        <v>0.50049999999999994</v>
      </c>
      <c r="S748" s="262">
        <f>((Table3.110[[#This Row],[Sample weight, g]]*'2.1. DM'!Q157)/100)*1000</f>
        <v>461.57669778257019</v>
      </c>
      <c r="T748" s="94">
        <f>'3.2 Digest'!W748</f>
        <v>236.07669778257016</v>
      </c>
      <c r="U748" s="117">
        <v>0.3611111111111111</v>
      </c>
      <c r="V748" s="155">
        <v>41</v>
      </c>
      <c r="W748" s="117">
        <v>0.72569444444444442</v>
      </c>
      <c r="X748" s="96">
        <v>84.5</v>
      </c>
      <c r="Y748" s="96">
        <v>12.2</v>
      </c>
      <c r="Z748" s="155">
        <v>40</v>
      </c>
      <c r="AA748" s="117">
        <v>0.40138888888888891</v>
      </c>
      <c r="AB748" s="155">
        <v>89.5</v>
      </c>
      <c r="AC748" s="155">
        <v>15.7</v>
      </c>
      <c r="AD748" s="96" t="s">
        <v>581</v>
      </c>
      <c r="AE748" s="94">
        <f>Table3.110[[#This Row],[Gas 8h, ml]]-Table3.110[[#This Row],[Gas 0h, ml]]</f>
        <v>43.5</v>
      </c>
      <c r="AF748" s="94">
        <f>Table3.110[[#This Row],[Gas 24h, ml]]-Table3.110[[#This Row],[V8 Push back, ml]]</f>
        <v>49.5</v>
      </c>
      <c r="AG748" s="94">
        <f>Table3.110[[#This Row],[GP 8h, ml]]-AVERAGE(AE$664,AE$665,AE$726,AE$727,AE$788,AE$789)*$AG$8</f>
        <v>41.656235924806332</v>
      </c>
      <c r="AH748" s="94">
        <f>Table3.110[[#This Row],[GP 8-24h, ml]]-AVERAGE(AF$664,AF$665,AF$726,AF$727,AF$788,AF$789)*$AG$8</f>
        <v>47.176857265255975</v>
      </c>
      <c r="AI748" s="94">
        <f>Table3.110[[#This Row],[Net gas 8-24h, ml]]+Table3.110[[#This Row],[Net gas 8h, ml]]</f>
        <v>88.8330931900623</v>
      </c>
      <c r="AJ748" s="94">
        <f>Table3.110[[#This Row],[Net gas 8h, ml]]*Table3.110[[#This Row],[CH4 8h %]]%</f>
        <v>5.082060782826372</v>
      </c>
      <c r="AK748" s="94">
        <f>Table3.110[[#This Row],[Net gas 8-24h, ml]]*Table3.110[[#This Row],[CH4 24h, %]]%</f>
        <v>7.4067665906451881</v>
      </c>
      <c r="AL748" s="94">
        <f>Table3.110[[#This Row],[CH4 8-24h, ml]]+Table3.110[[#This Row],[CH4 8h, ml]]</f>
        <v>12.48882737347156</v>
      </c>
      <c r="AM748" s="94">
        <f>(Table3.110[[#This Row],[Net gas 24h, ml]]/Table3.110[[#This Row],[DM Incubated, mg]])*1000</f>
        <v>192.455757876902</v>
      </c>
      <c r="AN748" s="94">
        <f>'3.2 Digest'!X748</f>
        <v>51.145714009543909</v>
      </c>
      <c r="AO748" s="94">
        <f>Table3.110[[#This Row],[Digested feed, mg]]/Table3.110[[#This Row],[Net gas 24h, ml]]</f>
        <v>2.6575309865375703</v>
      </c>
      <c r="AP748" s="94">
        <f>Table3.110[[#This Row],[CH4 8h, ml]]/Table3.110[[#This Row],[Net gas 8h, ml]]%</f>
        <v>12.199999999999998</v>
      </c>
      <c r="AQ748" s="94">
        <f>Table3.110[[#This Row],[CH4 24h, ml]]/Table3.110[[#This Row],[Net gas 24h, ml]]%</f>
        <v>14.058755498641894</v>
      </c>
      <c r="AR748" s="94">
        <f>Table3.110[[#This Row],[CH4 24h, ml]]/Table3.110[[#This Row],[DM Incubated, mg]]*1000</f>
        <v>27.056884442971889</v>
      </c>
      <c r="AS748" s="94">
        <f>Table3.110[[#This Row],[CH4 24h, ml]]/Table3.110[[#This Row],[Digested feed, mg]]*1000</f>
        <v>52.901567544688127</v>
      </c>
      <c r="AT748" s="94">
        <f>Table3.110[[#This Row],[CH4 24h, ml]]/'3.2 Digest'!AA748</f>
        <v>7.990760952021815</v>
      </c>
      <c r="AU748" s="94">
        <f>((Table3.110[[#This Row],[CH4 24h, ml]]/28.9)*16.04)/Table3.110[[#This Row],[DM Incubated, mg]]*1000</f>
        <v>15.017038978036991</v>
      </c>
      <c r="AV748" s="94">
        <f>((Table3.110[[#This Row],[CH4 24h, ml]]/28.9)*16.04)/Table3.110[[#This Row],[Digested feed, mg]]*1000</f>
        <v>29.361285239335551</v>
      </c>
    </row>
    <row r="749" spans="2:48" s="89" customFormat="1" x14ac:dyDescent="0.35">
      <c r="B749" s="90">
        <f t="shared" si="11"/>
        <v>739</v>
      </c>
      <c r="C749" s="140">
        <v>46076</v>
      </c>
      <c r="D749" s="92" t="s">
        <v>16</v>
      </c>
      <c r="E749" s="6" t="s">
        <v>256</v>
      </c>
      <c r="F749" s="242" t="s">
        <v>219</v>
      </c>
      <c r="G749" s="242" t="s">
        <v>253</v>
      </c>
      <c r="H749" s="6" t="str">
        <f>'[2]1. Information samples'!$K$56</f>
        <v>Vigna unguiculata</v>
      </c>
      <c r="I749" s="57" t="s">
        <v>22</v>
      </c>
      <c r="J749" s="130" t="s">
        <v>23</v>
      </c>
      <c r="K749" s="130" t="s">
        <v>24</v>
      </c>
      <c r="L749" s="6" t="s">
        <v>255</v>
      </c>
      <c r="M749" s="256">
        <v>28</v>
      </c>
      <c r="N749" s="256">
        <v>69</v>
      </c>
      <c r="O749" s="256">
        <v>3</v>
      </c>
      <c r="P749" s="257">
        <v>2</v>
      </c>
      <c r="Q749" s="96">
        <v>158</v>
      </c>
      <c r="R749" s="98">
        <v>0.5</v>
      </c>
      <c r="S749" s="262">
        <f>((Table3.110[[#This Row],[Sample weight, g]]*'2.1. DM'!Q157)/100)*1000</f>
        <v>461.11558220036989</v>
      </c>
      <c r="T749" s="94">
        <f>'3.2 Digest'!W749</f>
        <v>329.41558220036984</v>
      </c>
      <c r="U749" s="153">
        <v>0.36180555555555555</v>
      </c>
      <c r="V749" s="154">
        <v>40.5</v>
      </c>
      <c r="W749" s="153">
        <v>0.72638888888888886</v>
      </c>
      <c r="X749" s="91">
        <v>84</v>
      </c>
      <c r="Y749" s="91">
        <v>12.1</v>
      </c>
      <c r="Z749" s="154">
        <v>40.5</v>
      </c>
      <c r="AA749" s="153">
        <v>0.40138888888888891</v>
      </c>
      <c r="AB749" s="154">
        <v>88</v>
      </c>
      <c r="AC749" s="154">
        <v>15.6</v>
      </c>
      <c r="AD749" s="91"/>
      <c r="AE749" s="94">
        <f>Table3.110[[#This Row],[Gas 8h, ml]]-Table3.110[[#This Row],[Gas 0h, ml]]</f>
        <v>43.5</v>
      </c>
      <c r="AF749" s="94">
        <f>Table3.110[[#This Row],[Gas 24h, ml]]-Table3.110[[#This Row],[V8 Push back, ml]]</f>
        <v>47.5</v>
      </c>
      <c r="AG749" s="94">
        <f>Table3.110[[#This Row],[GP 8h, ml]]-AVERAGE(AE$664,AE$665,AE$726,AE$727,AE$788,AE$789)*$AG$8</f>
        <v>41.656235924806332</v>
      </c>
      <c r="AH749" s="94">
        <f>Table3.110[[#This Row],[GP 8-24h, ml]]-AVERAGE(AF$664,AF$665,AF$726,AF$727,AF$788,AF$789)*$AG$8</f>
        <v>45.176857265255975</v>
      </c>
      <c r="AI749" s="94">
        <f>Table3.110[[#This Row],[Net gas 8-24h, ml]]+Table3.110[[#This Row],[Net gas 8h, ml]]</f>
        <v>86.8330931900623</v>
      </c>
      <c r="AJ749" s="94">
        <f>Table3.110[[#This Row],[Net gas 8h, ml]]*Table3.110[[#This Row],[CH4 8h %]]%</f>
        <v>5.0404045469015664</v>
      </c>
      <c r="AK749" s="94">
        <f>Table3.110[[#This Row],[Net gas 8-24h, ml]]*Table3.110[[#This Row],[CH4 24h, %]]%</f>
        <v>7.0475897333799322</v>
      </c>
      <c r="AL749" s="94">
        <f>Table3.110[[#This Row],[CH4 8-24h, ml]]+Table3.110[[#This Row],[CH4 8h, ml]]</f>
        <v>12.087994280281499</v>
      </c>
      <c r="AM749" s="94">
        <f>(Table3.110[[#This Row],[Net gas 24h, ml]]/Table3.110[[#This Row],[DM Incubated, mg]])*1000</f>
        <v>188.31090629318717</v>
      </c>
      <c r="AN749" s="94">
        <f>'3.2 Digest'!X749</f>
        <v>71.438831155618573</v>
      </c>
      <c r="AO749" s="94">
        <f>Table3.110[[#This Row],[Digested feed, mg]]/Table3.110[[#This Row],[Net gas 24h, ml]]</f>
        <v>3.7936640294425228</v>
      </c>
      <c r="AP749" s="94">
        <f>Table3.110[[#This Row],[CH4 8h, ml]]/Table3.110[[#This Row],[Net gas 8h, ml]]%</f>
        <v>12.1</v>
      </c>
      <c r="AQ749" s="94">
        <f>Table3.110[[#This Row],[CH4 24h, ml]]/Table3.110[[#This Row],[Net gas 24h, ml]]%</f>
        <v>13.920953217482435</v>
      </c>
      <c r="AR749" s="94">
        <f>Table3.110[[#This Row],[CH4 24h, ml]]/Table3.110[[#This Row],[DM Incubated, mg]]*1000</f>
        <v>26.214673168491775</v>
      </c>
      <c r="AS749" s="94">
        <f>Table3.110[[#This Row],[CH4 24h, ml]]/Table3.110[[#This Row],[Digested feed, mg]]*1000</f>
        <v>36.695271667291301</v>
      </c>
      <c r="AT749" s="94">
        <f>Table3.110[[#This Row],[CH4 24h, ml]]/'3.2 Digest'!AA749</f>
        <v>0.28474662899328407</v>
      </c>
      <c r="AU749" s="94">
        <f>((Table3.110[[#This Row],[CH4 24h, ml]]/28.9)*16.04)/Table3.110[[#This Row],[DM Incubated, mg]]*1000</f>
        <v>14.549597149571213</v>
      </c>
      <c r="AV749" s="94">
        <f>((Table3.110[[#This Row],[CH4 24h, ml]]/28.9)*16.04)/Table3.110[[#This Row],[Digested feed, mg]]*1000</f>
        <v>20.366510641638492</v>
      </c>
    </row>
    <row r="750" spans="2:48" s="89" customFormat="1" x14ac:dyDescent="0.35">
      <c r="B750" s="90">
        <f t="shared" si="11"/>
        <v>740</v>
      </c>
      <c r="C750" s="140">
        <v>46076</v>
      </c>
      <c r="D750" s="92" t="s">
        <v>16</v>
      </c>
      <c r="E750" s="6" t="s">
        <v>258</v>
      </c>
      <c r="F750" s="242" t="s">
        <v>259</v>
      </c>
      <c r="G750" s="242" t="s">
        <v>260</v>
      </c>
      <c r="H750" s="6" t="str">
        <f>'[2]1. Information samples'!$K$57</f>
        <v>Chamaecrista mimosoides</v>
      </c>
      <c r="I750" s="57" t="s">
        <v>22</v>
      </c>
      <c r="J750" s="130" t="s">
        <v>23</v>
      </c>
      <c r="K750" s="130" t="s">
        <v>24</v>
      </c>
      <c r="L750" s="6" t="s">
        <v>257</v>
      </c>
      <c r="M750" s="256">
        <v>28</v>
      </c>
      <c r="N750" s="256">
        <v>69</v>
      </c>
      <c r="O750" s="256">
        <v>3</v>
      </c>
      <c r="P750" s="257">
        <v>1</v>
      </c>
      <c r="Q750" s="96">
        <v>159</v>
      </c>
      <c r="R750" s="98">
        <v>0.50039999999999996</v>
      </c>
      <c r="S750" s="262">
        <f>((Table3.110[[#This Row],[Sample weight, g]]*'2.1. DM'!Q159)/100)*1000</f>
        <v>457.39710323902813</v>
      </c>
      <c r="T750" s="94">
        <f>'3.2 Digest'!W750</f>
        <v>136.59710323902806</v>
      </c>
      <c r="U750" s="153">
        <v>0.36180555555555555</v>
      </c>
      <c r="V750" s="154">
        <v>41</v>
      </c>
      <c r="W750" s="153">
        <v>0.7270833333333333</v>
      </c>
      <c r="X750" s="91">
        <v>82.5</v>
      </c>
      <c r="Y750" s="91">
        <v>14.2</v>
      </c>
      <c r="Z750" s="154">
        <v>40.5</v>
      </c>
      <c r="AA750" s="153">
        <v>0.40208333333333335</v>
      </c>
      <c r="AB750" s="154">
        <v>78.8</v>
      </c>
      <c r="AC750" s="154">
        <v>18.2</v>
      </c>
      <c r="AD750" s="91"/>
      <c r="AE750" s="94">
        <f>Table3.110[[#This Row],[Gas 8h, ml]]-Table3.110[[#This Row],[Gas 0h, ml]]</f>
        <v>41.5</v>
      </c>
      <c r="AF750" s="94">
        <f>Table3.110[[#This Row],[Gas 24h, ml]]-Table3.110[[#This Row],[V8 Push back, ml]]</f>
        <v>38.299999999999997</v>
      </c>
      <c r="AG750" s="94">
        <f>Table3.110[[#This Row],[GP 8h, ml]]-AVERAGE(AE$664,AE$665,AE$726,AE$727,AE$788,AE$789)*$AG$8</f>
        <v>39.656235924806332</v>
      </c>
      <c r="AH750" s="94">
        <f>Table3.110[[#This Row],[GP 8-24h, ml]]-AVERAGE(AF$664,AF$665,AF$726,AF$727,AF$788,AF$789)*$AG$8</f>
        <v>35.976857265255973</v>
      </c>
      <c r="AI750" s="94">
        <f>Table3.110[[#This Row],[Net gas 8-24h, ml]]+Table3.110[[#This Row],[Net gas 8h, ml]]</f>
        <v>75.633093190062311</v>
      </c>
      <c r="AJ750" s="94">
        <f>Table3.110[[#This Row],[Net gas 8h, ml]]*Table3.110[[#This Row],[CH4 8h %]]%</f>
        <v>5.6311855013224985</v>
      </c>
      <c r="AK750" s="94">
        <f>Table3.110[[#This Row],[Net gas 8-24h, ml]]*Table3.110[[#This Row],[CH4 24h, %]]%</f>
        <v>6.5477880222765865</v>
      </c>
      <c r="AL750" s="94">
        <f>Table3.110[[#This Row],[CH4 8-24h, ml]]+Table3.110[[#This Row],[CH4 8h, ml]]</f>
        <v>12.178973523599085</v>
      </c>
      <c r="AM750" s="94">
        <f>(Table3.110[[#This Row],[Net gas 24h, ml]]/Table3.110[[#This Row],[DM Incubated, mg]])*1000</f>
        <v>165.35542672761028</v>
      </c>
      <c r="AN750" s="94">
        <f>'3.2 Digest'!X750</f>
        <v>29.864007067758951</v>
      </c>
      <c r="AO750" s="94">
        <f>Table3.110[[#This Row],[Digested feed, mg]]/Table3.110[[#This Row],[Net gas 24h, ml]]</f>
        <v>1.8060494087656329</v>
      </c>
      <c r="AP750" s="94">
        <f>Table3.110[[#This Row],[CH4 8h, ml]]/Table3.110[[#This Row],[Net gas 8h, ml]]%</f>
        <v>14.199999999999998</v>
      </c>
      <c r="AQ750" s="94">
        <f>Table3.110[[#This Row],[CH4 24h, ml]]/Table3.110[[#This Row],[Net gas 24h, ml]]%</f>
        <v>16.102704530401677</v>
      </c>
      <c r="AR750" s="94">
        <f>Table3.110[[#This Row],[CH4 24h, ml]]/Table3.110[[#This Row],[DM Incubated, mg]]*1000</f>
        <v>26.626695790931922</v>
      </c>
      <c r="AS750" s="94">
        <f>Table3.110[[#This Row],[CH4 24h, ml]]/Table3.110[[#This Row],[Digested feed, mg]]*1000</f>
        <v>89.159822827921801</v>
      </c>
      <c r="AT750" s="94">
        <f>Table3.110[[#This Row],[CH4 24h, ml]]/'3.2 Digest'!AA750</f>
        <v>-0.55173913402872599</v>
      </c>
      <c r="AU750" s="94">
        <f>((Table3.110[[#This Row],[CH4 24h, ml]]/28.9)*16.04)/Table3.110[[#This Row],[DM Incubated, mg]]*1000</f>
        <v>14.778276833444568</v>
      </c>
      <c r="AV750" s="94">
        <f>((Table3.110[[#This Row],[CH4 24h, ml]]/28.9)*16.04)/Table3.110[[#This Row],[Digested feed, mg]]*1000</f>
        <v>49.485244226984967</v>
      </c>
    </row>
    <row r="751" spans="2:48" s="89" customFormat="1" x14ac:dyDescent="0.35">
      <c r="B751" s="90">
        <f t="shared" si="11"/>
        <v>741</v>
      </c>
      <c r="C751" s="140">
        <v>46076</v>
      </c>
      <c r="D751" s="92" t="s">
        <v>16</v>
      </c>
      <c r="E751" s="6" t="s">
        <v>258</v>
      </c>
      <c r="F751" s="242" t="s">
        <v>259</v>
      </c>
      <c r="G751" s="242" t="s">
        <v>260</v>
      </c>
      <c r="H751" s="6" t="str">
        <f>'[2]1. Information samples'!$K$57</f>
        <v>Chamaecrista mimosoides</v>
      </c>
      <c r="I751" s="57" t="s">
        <v>22</v>
      </c>
      <c r="J751" s="130" t="s">
        <v>23</v>
      </c>
      <c r="K751" s="130" t="s">
        <v>24</v>
      </c>
      <c r="L751" s="6" t="s">
        <v>257</v>
      </c>
      <c r="M751" s="256">
        <v>28</v>
      </c>
      <c r="N751" s="256">
        <v>69</v>
      </c>
      <c r="O751" s="256">
        <v>3</v>
      </c>
      <c r="P751" s="257">
        <v>2</v>
      </c>
      <c r="Q751" s="96">
        <v>160</v>
      </c>
      <c r="R751" s="98">
        <v>0.50029999999999997</v>
      </c>
      <c r="S751" s="262">
        <f>((Table3.110[[#This Row],[Sample weight, g]]*'2.1. DM'!Q159)/100)*1000</f>
        <v>457.30569694341682</v>
      </c>
      <c r="T751" s="94">
        <f>'3.2 Digest'!W751</f>
        <v>185.40569694341679</v>
      </c>
      <c r="U751" s="117">
        <v>0.36180555555555555</v>
      </c>
      <c r="V751" s="155">
        <v>40</v>
      </c>
      <c r="W751" s="117">
        <v>0.72777777777777775</v>
      </c>
      <c r="X751" s="96">
        <v>80.5</v>
      </c>
      <c r="Y751" s="96">
        <v>14.4</v>
      </c>
      <c r="Z751" s="155">
        <v>40</v>
      </c>
      <c r="AA751" s="117">
        <v>0.40208333333333335</v>
      </c>
      <c r="AB751" s="155">
        <v>78.5</v>
      </c>
      <c r="AC751" s="155">
        <v>18</v>
      </c>
      <c r="AD751" s="96"/>
      <c r="AE751" s="94">
        <f>Table3.110[[#This Row],[Gas 8h, ml]]-Table3.110[[#This Row],[Gas 0h, ml]]</f>
        <v>40.5</v>
      </c>
      <c r="AF751" s="94">
        <f>Table3.110[[#This Row],[Gas 24h, ml]]-Table3.110[[#This Row],[V8 Push back, ml]]</f>
        <v>38.5</v>
      </c>
      <c r="AG751" s="94">
        <f>Table3.110[[#This Row],[GP 8h, ml]]-AVERAGE(AE$664,AE$665,AE$726,AE$727,AE$788,AE$789)*$AG$8</f>
        <v>38.656235924806332</v>
      </c>
      <c r="AH751" s="94">
        <f>Table3.110[[#This Row],[GP 8-24h, ml]]-AVERAGE(AF$664,AF$665,AF$726,AF$727,AF$788,AF$789)*$AG$8</f>
        <v>36.176857265255975</v>
      </c>
      <c r="AI751" s="94">
        <f>Table3.110[[#This Row],[Net gas 8-24h, ml]]+Table3.110[[#This Row],[Net gas 8h, ml]]</f>
        <v>74.8330931900623</v>
      </c>
      <c r="AJ751" s="94">
        <f>Table3.110[[#This Row],[Net gas 8h, ml]]*Table3.110[[#This Row],[CH4 8h %]]%</f>
        <v>5.5664979731721127</v>
      </c>
      <c r="AK751" s="94">
        <f>Table3.110[[#This Row],[Net gas 8-24h, ml]]*Table3.110[[#This Row],[CH4 24h, %]]%</f>
        <v>6.5118343077460752</v>
      </c>
      <c r="AL751" s="94">
        <f>Table3.110[[#This Row],[CH4 8-24h, ml]]+Table3.110[[#This Row],[CH4 8h, ml]]</f>
        <v>12.078332280918188</v>
      </c>
      <c r="AM751" s="94">
        <f>(Table3.110[[#This Row],[Net gas 24h, ml]]/Table3.110[[#This Row],[DM Incubated, mg]])*1000</f>
        <v>163.63910113134131</v>
      </c>
      <c r="AN751" s="94">
        <f>'3.2 Digest'!X751</f>
        <v>40.543054281337184</v>
      </c>
      <c r="AO751" s="94">
        <f>Table3.110[[#This Row],[Digested feed, mg]]/Table3.110[[#This Row],[Net gas 24h, ml]]</f>
        <v>2.4775896470365111</v>
      </c>
      <c r="AP751" s="94">
        <f>Table3.110[[#This Row],[CH4 8h, ml]]/Table3.110[[#This Row],[Net gas 8h, ml]]%</f>
        <v>14.400000000000002</v>
      </c>
      <c r="AQ751" s="94">
        <f>Table3.110[[#This Row],[CH4 24h, ml]]/Table3.110[[#This Row],[Net gas 24h, ml]]%</f>
        <v>16.14036219275534</v>
      </c>
      <c r="AR751" s="94">
        <f>Table3.110[[#This Row],[CH4 24h, ml]]/Table3.110[[#This Row],[DM Incubated, mg]]*1000</f>
        <v>26.41194361156769</v>
      </c>
      <c r="AS751" s="94">
        <f>Table3.110[[#This Row],[CH4 24h, ml]]/Table3.110[[#This Row],[Digested feed, mg]]*1000</f>
        <v>65.14542152717307</v>
      </c>
      <c r="AT751" s="94">
        <f>Table3.110[[#This Row],[CH4 24h, ml]]/'3.2 Digest'!AA751</f>
        <v>-3.464225955555873</v>
      </c>
      <c r="AU751" s="94">
        <f>((Table3.110[[#This Row],[CH4 24h, ml]]/28.9)*16.04)/Table3.110[[#This Row],[DM Incubated, mg]]*1000</f>
        <v>14.659085658461789</v>
      </c>
      <c r="AV751" s="94">
        <f>((Table3.110[[#This Row],[CH4 24h, ml]]/28.9)*16.04)/Table3.110[[#This Row],[Digested feed, mg]]*1000</f>
        <v>36.156836030998463</v>
      </c>
    </row>
    <row r="752" spans="2:48" s="89" customFormat="1" x14ac:dyDescent="0.35">
      <c r="B752" s="90">
        <f t="shared" si="11"/>
        <v>742</v>
      </c>
      <c r="C752" s="140">
        <v>46076</v>
      </c>
      <c r="D752" s="92" t="s">
        <v>16</v>
      </c>
      <c r="E752" s="6" t="s">
        <v>263</v>
      </c>
      <c r="F752" s="242" t="s">
        <v>264</v>
      </c>
      <c r="G752" s="242" t="s">
        <v>265</v>
      </c>
      <c r="H752" s="6" t="str">
        <f>'[2]1. Information samples'!$K$58</f>
        <v>Tephrosia purpurea</v>
      </c>
      <c r="I752" s="57" t="s">
        <v>22</v>
      </c>
      <c r="J752" s="130" t="s">
        <v>23</v>
      </c>
      <c r="K752" s="130" t="s">
        <v>24</v>
      </c>
      <c r="L752" s="6" t="s">
        <v>262</v>
      </c>
      <c r="M752" s="256">
        <v>28</v>
      </c>
      <c r="N752" s="256">
        <v>69</v>
      </c>
      <c r="O752" s="256">
        <v>3</v>
      </c>
      <c r="P752" s="257">
        <v>1</v>
      </c>
      <c r="Q752" s="96">
        <v>161</v>
      </c>
      <c r="R752" s="98">
        <v>0.5</v>
      </c>
      <c r="S752" s="262">
        <f>((Table3.110[[#This Row],[Sample weight, g]]*'2.1. DM'!Q161)/100)*1000</f>
        <v>453.78425018639803</v>
      </c>
      <c r="T752" s="94">
        <f>'3.2 Digest'!W752</f>
        <v>191.48425018639807</v>
      </c>
      <c r="U752" s="117">
        <v>0.36180555555555555</v>
      </c>
      <c r="V752" s="155">
        <v>40</v>
      </c>
      <c r="W752" s="117">
        <v>0.72777777777777775</v>
      </c>
      <c r="X752" s="96">
        <v>76.5</v>
      </c>
      <c r="Y752" s="96">
        <v>13.9</v>
      </c>
      <c r="Z752" s="155">
        <v>40</v>
      </c>
      <c r="AA752" s="117">
        <v>0.40277777777777779</v>
      </c>
      <c r="AB752" s="155">
        <v>79</v>
      </c>
      <c r="AC752" s="155">
        <v>16.3</v>
      </c>
      <c r="AD752" s="96"/>
      <c r="AE752" s="94">
        <f>Table3.110[[#This Row],[Gas 8h, ml]]-Table3.110[[#This Row],[Gas 0h, ml]]</f>
        <v>36.5</v>
      </c>
      <c r="AF752" s="94">
        <f>Table3.110[[#This Row],[Gas 24h, ml]]-Table3.110[[#This Row],[V8 Push back, ml]]</f>
        <v>39</v>
      </c>
      <c r="AG752" s="94">
        <f>Table3.110[[#This Row],[GP 8h, ml]]-AVERAGE(AE$664,AE$665,AE$726,AE$727,AE$788,AE$789)*$AG$8</f>
        <v>34.656235924806332</v>
      </c>
      <c r="AH752" s="94">
        <f>Table3.110[[#This Row],[GP 8-24h, ml]]-AVERAGE(AF$664,AF$665,AF$726,AF$727,AF$788,AF$789)*$AG$8</f>
        <v>36.676857265255975</v>
      </c>
      <c r="AI752" s="94">
        <f>Table3.110[[#This Row],[Net gas 8-24h, ml]]+Table3.110[[#This Row],[Net gas 8h, ml]]</f>
        <v>71.3330931900623</v>
      </c>
      <c r="AJ752" s="94">
        <f>Table3.110[[#This Row],[Net gas 8h, ml]]*Table3.110[[#This Row],[CH4 8h %]]%</f>
        <v>4.8172167935480807</v>
      </c>
      <c r="AK752" s="94">
        <f>Table3.110[[#This Row],[Net gas 8-24h, ml]]*Table3.110[[#This Row],[CH4 24h, %]]%</f>
        <v>5.978327734236724</v>
      </c>
      <c r="AL752" s="94">
        <f>Table3.110[[#This Row],[CH4 8-24h, ml]]+Table3.110[[#This Row],[CH4 8h, ml]]</f>
        <v>10.795544527784806</v>
      </c>
      <c r="AM752" s="94">
        <f>(Table3.110[[#This Row],[Net gas 24h, ml]]/Table3.110[[#This Row],[DM Incubated, mg]])*1000</f>
        <v>157.19605332437445</v>
      </c>
      <c r="AN752" s="94">
        <f>'3.2 Digest'!X752</f>
        <v>42.197200565630766</v>
      </c>
      <c r="AO752" s="94">
        <f>Table3.110[[#This Row],[Digested feed, mg]]/Table3.110[[#This Row],[Net gas 24h, ml]]</f>
        <v>2.6843676843817916</v>
      </c>
      <c r="AP752" s="94">
        <f>Table3.110[[#This Row],[CH4 8h, ml]]/Table3.110[[#This Row],[Net gas 8h, ml]]%</f>
        <v>13.9</v>
      </c>
      <c r="AQ752" s="94">
        <f>Table3.110[[#This Row],[CH4 24h, ml]]/Table3.110[[#This Row],[Net gas 24h, ml]]%</f>
        <v>15.13399187530084</v>
      </c>
      <c r="AR752" s="94">
        <f>Table3.110[[#This Row],[CH4 24h, ml]]/Table3.110[[#This Row],[DM Incubated, mg]]*1000</f>
        <v>23.790037938404407</v>
      </c>
      <c r="AS752" s="94">
        <f>Table3.110[[#This Row],[CH4 24h, ml]]/Table3.110[[#This Row],[Digested feed, mg]]*1000</f>
        <v>56.378237464835941</v>
      </c>
      <c r="AT752" s="94">
        <f>Table3.110[[#This Row],[CH4 24h, ml]]/'3.2 Digest'!AA752</f>
        <v>-1.3659113713269242</v>
      </c>
      <c r="AU752" s="94">
        <f>((Table3.110[[#This Row],[CH4 24h, ml]]/28.9)*16.04)/Table3.110[[#This Row],[DM Incubated, mg]]*1000</f>
        <v>13.203882648166319</v>
      </c>
      <c r="AV752" s="94">
        <f>((Table3.110[[#This Row],[CH4 24h, ml]]/28.9)*16.04)/Table3.110[[#This Row],[Digested feed, mg]]*1000</f>
        <v>31.29089719501621</v>
      </c>
    </row>
    <row r="753" spans="2:48" s="89" customFormat="1" x14ac:dyDescent="0.35">
      <c r="B753" s="90">
        <f t="shared" si="11"/>
        <v>743</v>
      </c>
      <c r="C753" s="140">
        <v>46076</v>
      </c>
      <c r="D753" s="92" t="s">
        <v>16</v>
      </c>
      <c r="E753" s="6" t="s">
        <v>263</v>
      </c>
      <c r="F753" s="242" t="s">
        <v>264</v>
      </c>
      <c r="G753" s="242" t="s">
        <v>265</v>
      </c>
      <c r="H753" s="6" t="str">
        <f>'[2]1. Information samples'!$K$58</f>
        <v>Tephrosia purpurea</v>
      </c>
      <c r="I753" s="57" t="s">
        <v>22</v>
      </c>
      <c r="J753" s="130" t="s">
        <v>23</v>
      </c>
      <c r="K753" s="130" t="s">
        <v>24</v>
      </c>
      <c r="L753" s="6" t="s">
        <v>262</v>
      </c>
      <c r="M753" s="256">
        <v>28</v>
      </c>
      <c r="N753" s="256">
        <v>69</v>
      </c>
      <c r="O753" s="256">
        <v>3</v>
      </c>
      <c r="P753" s="257">
        <v>2</v>
      </c>
      <c r="Q753" s="96">
        <v>162</v>
      </c>
      <c r="R753" s="98">
        <v>0.50019999999999998</v>
      </c>
      <c r="S753" s="262">
        <f>((Table3.110[[#This Row],[Sample weight, g]]*'2.1. DM'!Q161)/100)*1000</f>
        <v>453.96576388647253</v>
      </c>
      <c r="T753" s="94">
        <f>'3.2 Digest'!W753</f>
        <v>134.36576388647251</v>
      </c>
      <c r="U753" s="153">
        <v>0.36249999999999999</v>
      </c>
      <c r="V753" s="154">
        <v>41</v>
      </c>
      <c r="W753" s="153">
        <v>0.72847222222222219</v>
      </c>
      <c r="X753" s="91">
        <v>77.5</v>
      </c>
      <c r="Y753" s="91">
        <v>13.6</v>
      </c>
      <c r="Z753" s="154">
        <v>40</v>
      </c>
      <c r="AA753" s="153">
        <v>0.40277777777777779</v>
      </c>
      <c r="AB753" s="154">
        <v>76</v>
      </c>
      <c r="AC753" s="154">
        <v>16.7</v>
      </c>
      <c r="AD753" s="91"/>
      <c r="AE753" s="94">
        <f>Table3.110[[#This Row],[Gas 8h, ml]]-Table3.110[[#This Row],[Gas 0h, ml]]</f>
        <v>36.5</v>
      </c>
      <c r="AF753" s="94">
        <f>Table3.110[[#This Row],[Gas 24h, ml]]-Table3.110[[#This Row],[V8 Push back, ml]]</f>
        <v>36</v>
      </c>
      <c r="AG753" s="94">
        <f>Table3.110[[#This Row],[GP 8h, ml]]-AVERAGE(AE$664,AE$665,AE$726,AE$727,AE$788,AE$789)*$AG$8</f>
        <v>34.656235924806332</v>
      </c>
      <c r="AH753" s="94">
        <f>Table3.110[[#This Row],[GP 8-24h, ml]]-AVERAGE(AF$664,AF$665,AF$726,AF$727,AF$788,AF$789)*$AG$8</f>
        <v>33.676857265255975</v>
      </c>
      <c r="AI753" s="94">
        <f>Table3.110[[#This Row],[Net gas 8-24h, ml]]+Table3.110[[#This Row],[Net gas 8h, ml]]</f>
        <v>68.3330931900623</v>
      </c>
      <c r="AJ753" s="94">
        <f>Table3.110[[#This Row],[Net gas 8h, ml]]*Table3.110[[#This Row],[CH4 8h %]]%</f>
        <v>4.7132480857736612</v>
      </c>
      <c r="AK753" s="94">
        <f>Table3.110[[#This Row],[Net gas 8-24h, ml]]*Table3.110[[#This Row],[CH4 24h, %]]%</f>
        <v>5.624035163297747</v>
      </c>
      <c r="AL753" s="94">
        <f>Table3.110[[#This Row],[CH4 8-24h, ml]]+Table3.110[[#This Row],[CH4 8h, ml]]</f>
        <v>10.337283249071408</v>
      </c>
      <c r="AM753" s="94">
        <f>(Table3.110[[#This Row],[Net gas 24h, ml]]/Table3.110[[#This Row],[DM Incubated, mg]])*1000</f>
        <v>150.52477218777889</v>
      </c>
      <c r="AN753" s="94">
        <f>'3.2 Digest'!X753</f>
        <v>29.598215234590818</v>
      </c>
      <c r="AO753" s="94">
        <f>Table3.110[[#This Row],[Digested feed, mg]]/Table3.110[[#This Row],[Net gas 24h, ml]]</f>
        <v>1.9663351622726388</v>
      </c>
      <c r="AP753" s="94">
        <f>Table3.110[[#This Row],[CH4 8h, ml]]/Table3.110[[#This Row],[Net gas 8h, ml]]%</f>
        <v>13.6</v>
      </c>
      <c r="AQ753" s="94">
        <f>Table3.110[[#This Row],[CH4 24h, ml]]/Table3.110[[#This Row],[Net gas 24h, ml]]%</f>
        <v>15.127784747456394</v>
      </c>
      <c r="AR753" s="94">
        <f>Table3.110[[#This Row],[CH4 24h, ml]]/Table3.110[[#This Row],[DM Incubated, mg]]*1000</f>
        <v>22.771063528166302</v>
      </c>
      <c r="AS753" s="94">
        <f>Table3.110[[#This Row],[CH4 24h, ml]]/Table3.110[[#This Row],[Digested feed, mg]]*1000</f>
        <v>76.933907493024208</v>
      </c>
      <c r="AT753" s="94">
        <f>Table3.110[[#This Row],[CH4 24h, ml]]/'3.2 Digest'!AA753</f>
        <v>-0.32897459766295317</v>
      </c>
      <c r="AU753" s="94">
        <f>((Table3.110[[#This Row],[CH4 24h, ml]]/28.9)*16.04)/Table3.110[[#This Row],[DM Incubated, mg]]*1000</f>
        <v>12.638334221169117</v>
      </c>
      <c r="AV753" s="94">
        <f>((Table3.110[[#This Row],[CH4 24h, ml]]/28.9)*16.04)/Table3.110[[#This Row],[Digested feed, mg]]*1000</f>
        <v>42.699649695090258</v>
      </c>
    </row>
    <row r="754" spans="2:48" s="89" customFormat="1" x14ac:dyDescent="0.35">
      <c r="B754" s="90">
        <f t="shared" si="11"/>
        <v>744</v>
      </c>
      <c r="C754" s="140">
        <v>46076</v>
      </c>
      <c r="D754" s="92" t="s">
        <v>16</v>
      </c>
      <c r="E754" s="6" t="s">
        <v>268</v>
      </c>
      <c r="F754" s="242" t="s">
        <v>269</v>
      </c>
      <c r="G754" s="242" t="s">
        <v>270</v>
      </c>
      <c r="H754" s="6" t="str">
        <f>'[2]1. Information samples'!$K$59</f>
        <v>Crotalaria retusa</v>
      </c>
      <c r="I754" s="57" t="s">
        <v>22</v>
      </c>
      <c r="J754" s="130" t="s">
        <v>23</v>
      </c>
      <c r="K754" s="130" t="s">
        <v>24</v>
      </c>
      <c r="L754" s="6" t="s">
        <v>267</v>
      </c>
      <c r="M754" s="256">
        <v>28</v>
      </c>
      <c r="N754" s="256">
        <v>69</v>
      </c>
      <c r="O754" s="256">
        <v>3</v>
      </c>
      <c r="P754" s="257">
        <v>1</v>
      </c>
      <c r="Q754" s="96">
        <v>163</v>
      </c>
      <c r="R754" s="98">
        <v>0.50019999999999998</v>
      </c>
      <c r="S754" s="262">
        <f>((Table3.110[[#This Row],[Sample weight, g]]*'2.1. DM'!Q163)/100)*1000</f>
        <v>456.75217804236979</v>
      </c>
      <c r="T754" s="94">
        <f>'3.2 Digest'!W754</f>
        <v>246.85217804236981</v>
      </c>
      <c r="U754" s="153">
        <v>0.36249999999999999</v>
      </c>
      <c r="V754" s="154">
        <v>41</v>
      </c>
      <c r="W754" s="153">
        <v>0.72847222222222219</v>
      </c>
      <c r="X754" s="91">
        <v>90.5</v>
      </c>
      <c r="Y754" s="91">
        <v>12.5</v>
      </c>
      <c r="Z754" s="154">
        <v>40</v>
      </c>
      <c r="AA754" s="153">
        <v>0.40347222222222223</v>
      </c>
      <c r="AB754" s="154">
        <v>91.5</v>
      </c>
      <c r="AC754" s="154">
        <v>14.2</v>
      </c>
      <c r="AD754" s="91"/>
      <c r="AE754" s="94">
        <f>Table3.110[[#This Row],[Gas 8h, ml]]-Table3.110[[#This Row],[Gas 0h, ml]]</f>
        <v>49.5</v>
      </c>
      <c r="AF754" s="94">
        <f>Table3.110[[#This Row],[Gas 24h, ml]]-Table3.110[[#This Row],[V8 Push back, ml]]</f>
        <v>51.5</v>
      </c>
      <c r="AG754" s="94">
        <f>Table3.110[[#This Row],[GP 8h, ml]]-AVERAGE(AE$664,AE$665,AE$726,AE$727,AE$788,AE$789)*$AG$8</f>
        <v>47.656235924806332</v>
      </c>
      <c r="AH754" s="94">
        <f>Table3.110[[#This Row],[GP 8-24h, ml]]-AVERAGE(AF$664,AF$665,AF$726,AF$727,AF$788,AF$789)*$AG$8</f>
        <v>49.176857265255975</v>
      </c>
      <c r="AI754" s="94">
        <f>Table3.110[[#This Row],[Net gas 8-24h, ml]]+Table3.110[[#This Row],[Net gas 8h, ml]]</f>
        <v>96.8330931900623</v>
      </c>
      <c r="AJ754" s="94">
        <f>Table3.110[[#This Row],[Net gas 8h, ml]]*Table3.110[[#This Row],[CH4 8h %]]%</f>
        <v>5.9570294906007915</v>
      </c>
      <c r="AK754" s="94">
        <f>Table3.110[[#This Row],[Net gas 8-24h, ml]]*Table3.110[[#This Row],[CH4 24h, %]]%</f>
        <v>6.9831137316663483</v>
      </c>
      <c r="AL754" s="94">
        <f>Table3.110[[#This Row],[CH4 8-24h, ml]]+Table3.110[[#This Row],[CH4 8h, ml]]</f>
        <v>12.940143222267139</v>
      </c>
      <c r="AM754" s="94">
        <f>(Table3.110[[#This Row],[Net gas 24h, ml]]/Table3.110[[#This Row],[DM Incubated, mg]])*1000</f>
        <v>212.00357183864321</v>
      </c>
      <c r="AN754" s="94">
        <f>'3.2 Digest'!X754</f>
        <v>54.045101459695942</v>
      </c>
      <c r="AO754" s="94">
        <f>Table3.110[[#This Row],[Digested feed, mg]]/Table3.110[[#This Row],[Net gas 24h, ml]]</f>
        <v>2.5492542880753866</v>
      </c>
      <c r="AP754" s="94">
        <f>Table3.110[[#This Row],[CH4 8h, ml]]/Table3.110[[#This Row],[Net gas 8h, ml]]%</f>
        <v>12.5</v>
      </c>
      <c r="AQ754" s="94">
        <f>Table3.110[[#This Row],[CH4 24h, ml]]/Table3.110[[#This Row],[Net gas 24h, ml]]%</f>
        <v>13.363348000118567</v>
      </c>
      <c r="AR754" s="94">
        <f>Table3.110[[#This Row],[CH4 24h, ml]]/Table3.110[[#This Row],[DM Incubated, mg]]*1000</f>
        <v>28.330775077479259</v>
      </c>
      <c r="AS754" s="94">
        <f>Table3.110[[#This Row],[CH4 24h, ml]]/Table3.110[[#This Row],[Digested feed, mg]]*1000</f>
        <v>52.420615952783237</v>
      </c>
      <c r="AT754" s="94">
        <f>Table3.110[[#This Row],[CH4 24h, ml]]/'3.2 Digest'!AA754</f>
        <v>0.79580480095318629</v>
      </c>
      <c r="AU754" s="94">
        <f>((Table3.110[[#This Row],[CH4 24h, ml]]/28.9)*16.04)/Table3.110[[#This Row],[DM Incubated, mg]]*1000</f>
        <v>15.724070319818939</v>
      </c>
      <c r="AV754" s="94">
        <f>((Table3.110[[#This Row],[CH4 24h, ml]]/28.9)*16.04)/Table3.110[[#This Row],[Digested feed, mg]]*1000</f>
        <v>29.094348784866543</v>
      </c>
    </row>
    <row r="755" spans="2:48" s="89" customFormat="1" x14ac:dyDescent="0.35">
      <c r="B755" s="90">
        <f t="shared" si="11"/>
        <v>745</v>
      </c>
      <c r="C755" s="140">
        <v>46076</v>
      </c>
      <c r="D755" s="92" t="s">
        <v>16</v>
      </c>
      <c r="E755" s="6" t="s">
        <v>268</v>
      </c>
      <c r="F755" s="242" t="s">
        <v>269</v>
      </c>
      <c r="G755" s="242" t="s">
        <v>270</v>
      </c>
      <c r="H755" s="6" t="str">
        <f>'[2]1. Information samples'!$K$59</f>
        <v>Crotalaria retusa</v>
      </c>
      <c r="I755" s="57" t="s">
        <v>22</v>
      </c>
      <c r="J755" s="130" t="s">
        <v>23</v>
      </c>
      <c r="K755" s="130" t="s">
        <v>24</v>
      </c>
      <c r="L755" s="6" t="s">
        <v>267</v>
      </c>
      <c r="M755" s="256">
        <v>28</v>
      </c>
      <c r="N755" s="256">
        <v>69</v>
      </c>
      <c r="O755" s="256">
        <v>3</v>
      </c>
      <c r="P755" s="257">
        <v>2</v>
      </c>
      <c r="Q755" s="96">
        <v>164</v>
      </c>
      <c r="R755" s="98">
        <v>0.50049999999999994</v>
      </c>
      <c r="S755" s="262">
        <f>((Table3.110[[#This Row],[Sample weight, g]]*'2.1. DM'!Q163)/100)*1000</f>
        <v>457.02611977250314</v>
      </c>
      <c r="T755" s="94">
        <f>'3.2 Digest'!W755</f>
        <v>306.42611977250317</v>
      </c>
      <c r="U755" s="117">
        <v>0.36249999999999999</v>
      </c>
      <c r="V755" s="155">
        <v>40.5</v>
      </c>
      <c r="W755" s="117">
        <v>0.72916666666666663</v>
      </c>
      <c r="X755" s="96">
        <v>89.5</v>
      </c>
      <c r="Y755" s="96">
        <v>12.3</v>
      </c>
      <c r="Z755" s="155">
        <v>40</v>
      </c>
      <c r="AA755" s="117">
        <v>0.40416666666666667</v>
      </c>
      <c r="AB755" s="155">
        <v>87</v>
      </c>
      <c r="AC755" s="155">
        <v>14.3</v>
      </c>
      <c r="AD755" s="96"/>
      <c r="AE755" s="94">
        <f>Table3.110[[#This Row],[Gas 8h, ml]]-Table3.110[[#This Row],[Gas 0h, ml]]</f>
        <v>49</v>
      </c>
      <c r="AF755" s="94">
        <f>Table3.110[[#This Row],[Gas 24h, ml]]-Table3.110[[#This Row],[V8 Push back, ml]]</f>
        <v>47</v>
      </c>
      <c r="AG755" s="94">
        <f>Table3.110[[#This Row],[GP 8h, ml]]-AVERAGE(AE$664,AE$665,AE$726,AE$727,AE$788,AE$789)*$AG$8</f>
        <v>47.156235924806332</v>
      </c>
      <c r="AH755" s="94">
        <f>Table3.110[[#This Row],[GP 8-24h, ml]]-AVERAGE(AF$664,AF$665,AF$726,AF$727,AF$788,AF$789)*$AG$8</f>
        <v>44.676857265255975</v>
      </c>
      <c r="AI755" s="94">
        <f>Table3.110[[#This Row],[Net gas 8-24h, ml]]+Table3.110[[#This Row],[Net gas 8h, ml]]</f>
        <v>91.8330931900623</v>
      </c>
      <c r="AJ755" s="94">
        <f>Table3.110[[#This Row],[Net gas 8h, ml]]*Table3.110[[#This Row],[CH4 8h %]]%</f>
        <v>5.8002170187511792</v>
      </c>
      <c r="AK755" s="94">
        <f>Table3.110[[#This Row],[Net gas 8-24h, ml]]*Table3.110[[#This Row],[CH4 24h, %]]%</f>
        <v>6.388790588931605</v>
      </c>
      <c r="AL755" s="94">
        <f>Table3.110[[#This Row],[CH4 8-24h, ml]]+Table3.110[[#This Row],[CH4 8h, ml]]</f>
        <v>12.189007607682784</v>
      </c>
      <c r="AM755" s="94">
        <f>(Table3.110[[#This Row],[Net gas 24h, ml]]/Table3.110[[#This Row],[DM Incubated, mg]])*1000</f>
        <v>200.93620302440189</v>
      </c>
      <c r="AN755" s="94">
        <f>'3.2 Digest'!X755</f>
        <v>67.047835236426948</v>
      </c>
      <c r="AO755" s="94">
        <f>Table3.110[[#This Row],[Digested feed, mg]]/Table3.110[[#This Row],[Net gas 24h, ml]]</f>
        <v>3.3367722803184745</v>
      </c>
      <c r="AP755" s="94">
        <f>Table3.110[[#This Row],[CH4 8h, ml]]/Table3.110[[#This Row],[Net gas 8h, ml]]%</f>
        <v>12.3</v>
      </c>
      <c r="AQ755" s="94">
        <f>Table3.110[[#This Row],[CH4 24h, ml]]/Table3.110[[#This Row],[Net gas 24h, ml]]%</f>
        <v>13.273001250710148</v>
      </c>
      <c r="AR755" s="94">
        <f>Table3.110[[#This Row],[CH4 24h, ml]]/Table3.110[[#This Row],[DM Incubated, mg]]*1000</f>
        <v>26.670264740558341</v>
      </c>
      <c r="AS755" s="94">
        <f>Table3.110[[#This Row],[CH4 24h, ml]]/Table3.110[[#This Row],[Digested feed, mg]]*1000</f>
        <v>39.777965457814574</v>
      </c>
      <c r="AT755" s="94">
        <f>Table3.110[[#This Row],[CH4 24h, ml]]/'3.2 Digest'!AA755</f>
        <v>0.3050746403196356</v>
      </c>
      <c r="AU755" s="94">
        <f>((Table3.110[[#This Row],[CH4 24h, ml]]/28.9)*16.04)/Table3.110[[#This Row],[DM Incubated, mg]]*1000</f>
        <v>14.802458354275288</v>
      </c>
      <c r="AV755" s="94">
        <f>((Table3.110[[#This Row],[CH4 24h, ml]]/28.9)*16.04)/Table3.110[[#This Row],[Digested feed, mg]]*1000</f>
        <v>22.077459029181515</v>
      </c>
    </row>
    <row r="756" spans="2:48" s="89" customFormat="1" x14ac:dyDescent="0.35">
      <c r="B756" s="90">
        <f t="shared" si="11"/>
        <v>746</v>
      </c>
      <c r="C756" s="140">
        <v>46076</v>
      </c>
      <c r="D756" s="92" t="s">
        <v>16</v>
      </c>
      <c r="E756" s="6" t="s">
        <v>273</v>
      </c>
      <c r="F756" s="242" t="s">
        <v>235</v>
      </c>
      <c r="G756" s="242" t="s">
        <v>274</v>
      </c>
      <c r="H756" s="6" t="str">
        <f>'[2]1. Information samples'!$K$60</f>
        <v>Zornia brasiliensis</v>
      </c>
      <c r="I756" s="57" t="s">
        <v>22</v>
      </c>
      <c r="J756" s="130" t="s">
        <v>23</v>
      </c>
      <c r="K756" s="130" t="s">
        <v>24</v>
      </c>
      <c r="L756" s="6" t="s">
        <v>272</v>
      </c>
      <c r="M756" s="256">
        <v>28</v>
      </c>
      <c r="N756" s="256">
        <v>69</v>
      </c>
      <c r="O756" s="256">
        <v>3</v>
      </c>
      <c r="P756" s="257">
        <v>1</v>
      </c>
      <c r="Q756" s="96">
        <v>165</v>
      </c>
      <c r="R756" s="98">
        <v>0.5</v>
      </c>
      <c r="S756" s="262">
        <f>((Table3.110[[#This Row],[Sample weight, g]]*'2.1. DM'!Q165)/100)*1000</f>
        <v>451.27743225677466</v>
      </c>
      <c r="T756" s="94">
        <f>'3.2 Digest'!W756</f>
        <v>204.27743225677466</v>
      </c>
      <c r="U756" s="117">
        <v>0.36319444444444443</v>
      </c>
      <c r="V756" s="155">
        <v>41</v>
      </c>
      <c r="W756" s="117">
        <v>0.72916666666666663</v>
      </c>
      <c r="X756" s="96">
        <v>78.5</v>
      </c>
      <c r="Y756" s="96">
        <v>12.6</v>
      </c>
      <c r="Z756" s="155">
        <v>40</v>
      </c>
      <c r="AA756" s="117">
        <v>0.40416666666666667</v>
      </c>
      <c r="AB756" s="155">
        <v>74.5</v>
      </c>
      <c r="AC756" s="155">
        <v>17.8</v>
      </c>
      <c r="AD756" s="96"/>
      <c r="AE756" s="94">
        <f>Table3.110[[#This Row],[Gas 8h, ml]]-Table3.110[[#This Row],[Gas 0h, ml]]</f>
        <v>37.5</v>
      </c>
      <c r="AF756" s="94">
        <f>Table3.110[[#This Row],[Gas 24h, ml]]-Table3.110[[#This Row],[V8 Push back, ml]]</f>
        <v>34.5</v>
      </c>
      <c r="AG756" s="94">
        <f>Table3.110[[#This Row],[GP 8h, ml]]-AVERAGE(AE$664,AE$665,AE$726,AE$727,AE$788,AE$789)*$AG$8</f>
        <v>35.656235924806332</v>
      </c>
      <c r="AH756" s="94">
        <f>Table3.110[[#This Row],[GP 8-24h, ml]]-AVERAGE(AF$664,AF$665,AF$726,AF$727,AF$788,AF$789)*$AG$8</f>
        <v>32.176857265255975</v>
      </c>
      <c r="AI756" s="94">
        <f>Table3.110[[#This Row],[Net gas 8-24h, ml]]+Table3.110[[#This Row],[Net gas 8h, ml]]</f>
        <v>67.8330931900623</v>
      </c>
      <c r="AJ756" s="94">
        <f>Table3.110[[#This Row],[Net gas 8h, ml]]*Table3.110[[#This Row],[CH4 8h %]]%</f>
        <v>4.4926857265255977</v>
      </c>
      <c r="AK756" s="94">
        <f>Table3.110[[#This Row],[Net gas 8-24h, ml]]*Table3.110[[#This Row],[CH4 24h, %]]%</f>
        <v>5.7274805932155646</v>
      </c>
      <c r="AL756" s="94">
        <f>Table3.110[[#This Row],[CH4 8-24h, ml]]+Table3.110[[#This Row],[CH4 8h, ml]]</f>
        <v>10.220166319741162</v>
      </c>
      <c r="AM756" s="94">
        <f>(Table3.110[[#This Row],[Net gas 24h, ml]]/Table3.110[[#This Row],[DM Incubated, mg]])*1000</f>
        <v>150.31350637420221</v>
      </c>
      <c r="AN756" s="94">
        <f>'3.2 Digest'!X756</f>
        <v>45.266485238406915</v>
      </c>
      <c r="AO756" s="94">
        <f>Table3.110[[#This Row],[Digested feed, mg]]/Table3.110[[#This Row],[Net gas 24h, ml]]</f>
        <v>3.0114715789888491</v>
      </c>
      <c r="AP756" s="94">
        <f>Table3.110[[#This Row],[CH4 8h, ml]]/Table3.110[[#This Row],[Net gas 8h, ml]]%</f>
        <v>12.6</v>
      </c>
      <c r="AQ756" s="94">
        <f>Table3.110[[#This Row],[CH4 24h, ml]]/Table3.110[[#This Row],[Net gas 24h, ml]]%</f>
        <v>15.066637593991423</v>
      </c>
      <c r="AR756" s="94">
        <f>Table3.110[[#This Row],[CH4 24h, ml]]/Table3.110[[#This Row],[DM Incubated, mg]]*1000</f>
        <v>22.647191260222243</v>
      </c>
      <c r="AS756" s="94">
        <f>Table3.110[[#This Row],[CH4 24h, ml]]/Table3.110[[#This Row],[Digested feed, mg]]*1000</f>
        <v>50.030814499834307</v>
      </c>
      <c r="AT756" s="94">
        <f>Table3.110[[#This Row],[CH4 24h, ml]]/'3.2 Digest'!AA756</f>
        <v>-1.9112154756033037</v>
      </c>
      <c r="AU756" s="94">
        <f>((Table3.110[[#This Row],[CH4 24h, ml]]/28.9)*16.04)/Table3.110[[#This Row],[DM Incubated, mg]]*1000</f>
        <v>12.569582969341342</v>
      </c>
      <c r="AV756" s="94">
        <f>((Table3.110[[#This Row],[CH4 24h, ml]]/28.9)*16.04)/Table3.110[[#This Row],[Digested feed, mg]]*1000</f>
        <v>27.76796763243399</v>
      </c>
    </row>
    <row r="757" spans="2:48" s="89" customFormat="1" x14ac:dyDescent="0.35">
      <c r="B757" s="90">
        <f t="shared" si="11"/>
        <v>747</v>
      </c>
      <c r="C757" s="140">
        <v>46076</v>
      </c>
      <c r="D757" s="92" t="s">
        <v>16</v>
      </c>
      <c r="E757" s="6" t="s">
        <v>273</v>
      </c>
      <c r="F757" s="242" t="s">
        <v>235</v>
      </c>
      <c r="G757" s="242" t="s">
        <v>274</v>
      </c>
      <c r="H757" s="6" t="str">
        <f>'[2]1. Information samples'!$K$60</f>
        <v>Zornia brasiliensis</v>
      </c>
      <c r="I757" s="57" t="s">
        <v>22</v>
      </c>
      <c r="J757" s="130" t="s">
        <v>23</v>
      </c>
      <c r="K757" s="130" t="s">
        <v>24</v>
      </c>
      <c r="L757" s="6" t="s">
        <v>272</v>
      </c>
      <c r="M757" s="256">
        <v>28</v>
      </c>
      <c r="N757" s="256">
        <v>69</v>
      </c>
      <c r="O757" s="256">
        <v>3</v>
      </c>
      <c r="P757" s="257">
        <v>2</v>
      </c>
      <c r="Q757" s="96">
        <v>166</v>
      </c>
      <c r="R757" s="98">
        <v>0.50019999999999998</v>
      </c>
      <c r="S757" s="262">
        <f>((Table3.110[[#This Row],[Sample weight, g]]*'2.1. DM'!Q165)/100)*1000</f>
        <v>451.45794322967731</v>
      </c>
      <c r="T757" s="94">
        <f>'3.2 Digest'!W757</f>
        <v>162.05794322967733</v>
      </c>
      <c r="U757" s="153">
        <v>0.36319444444444443</v>
      </c>
      <c r="V757" s="154">
        <v>40</v>
      </c>
      <c r="W757" s="153">
        <v>0.72986111111111107</v>
      </c>
      <c r="X757" s="91">
        <v>77.5</v>
      </c>
      <c r="Y757" s="91">
        <v>13</v>
      </c>
      <c r="Z757" s="154">
        <v>39</v>
      </c>
      <c r="AA757" s="153">
        <v>0.40486111111111112</v>
      </c>
      <c r="AB757" s="154">
        <v>75</v>
      </c>
      <c r="AC757" s="154">
        <v>17.899999999999999</v>
      </c>
      <c r="AD757" s="91"/>
      <c r="AE757" s="94">
        <f>Table3.110[[#This Row],[Gas 8h, ml]]-Table3.110[[#This Row],[Gas 0h, ml]]</f>
        <v>37.5</v>
      </c>
      <c r="AF757" s="94">
        <f>Table3.110[[#This Row],[Gas 24h, ml]]-Table3.110[[#This Row],[V8 Push back, ml]]</f>
        <v>36</v>
      </c>
      <c r="AG757" s="94">
        <f>Table3.110[[#This Row],[GP 8h, ml]]-AVERAGE(AE$664,AE$665,AE$726,AE$727,AE$788,AE$789)*$AG$8</f>
        <v>35.656235924806332</v>
      </c>
      <c r="AH757" s="94">
        <f>Table3.110[[#This Row],[GP 8-24h, ml]]-AVERAGE(AF$664,AF$665,AF$726,AF$727,AF$788,AF$789)*$AG$8</f>
        <v>33.676857265255975</v>
      </c>
      <c r="AI757" s="94">
        <f>Table3.110[[#This Row],[Net gas 8-24h, ml]]+Table3.110[[#This Row],[Net gas 8h, ml]]</f>
        <v>69.3330931900623</v>
      </c>
      <c r="AJ757" s="94">
        <f>Table3.110[[#This Row],[Net gas 8h, ml]]*Table3.110[[#This Row],[CH4 8h %]]%</f>
        <v>4.6353106702248237</v>
      </c>
      <c r="AK757" s="94">
        <f>Table3.110[[#This Row],[Net gas 8-24h, ml]]*Table3.110[[#This Row],[CH4 24h, %]]%</f>
        <v>6.0281574504808191</v>
      </c>
      <c r="AL757" s="94">
        <f>Table3.110[[#This Row],[CH4 8-24h, ml]]+Table3.110[[#This Row],[CH4 8h, ml]]</f>
        <v>10.663468120705643</v>
      </c>
      <c r="AM757" s="94">
        <f>(Table3.110[[#This Row],[Net gas 24h, ml]]/Table3.110[[#This Row],[DM Incubated, mg]])*1000</f>
        <v>153.57597364233192</v>
      </c>
      <c r="AN757" s="94">
        <f>'3.2 Digest'!X757</f>
        <v>35.896575895937012</v>
      </c>
      <c r="AO757" s="94">
        <f>Table3.110[[#This Row],[Digested feed, mg]]/Table3.110[[#This Row],[Net gas 24h, ml]]</f>
        <v>2.3373822769659083</v>
      </c>
      <c r="AP757" s="94">
        <f>Table3.110[[#This Row],[CH4 8h, ml]]/Table3.110[[#This Row],[Net gas 8h, ml]]%</f>
        <v>13</v>
      </c>
      <c r="AQ757" s="94">
        <f>Table3.110[[#This Row],[CH4 24h, ml]]/Table3.110[[#This Row],[Net gas 24h, ml]]%</f>
        <v>15.380055367606282</v>
      </c>
      <c r="AR757" s="94">
        <f>Table3.110[[#This Row],[CH4 24h, ml]]/Table3.110[[#This Row],[DM Incubated, mg]]*1000</f>
        <v>23.620069777531079</v>
      </c>
      <c r="AS757" s="94">
        <f>Table3.110[[#This Row],[CH4 24h, ml]]/Table3.110[[#This Row],[Digested feed, mg]]*1000</f>
        <v>65.800342199782193</v>
      </c>
      <c r="AT757" s="94">
        <f>Table3.110[[#This Row],[CH4 24h, ml]]/'3.2 Digest'!AA757</f>
        <v>-0.45605351066635202</v>
      </c>
      <c r="AU757" s="94">
        <f>((Table3.110[[#This Row],[CH4 24h, ml]]/28.9)*16.04)/Table3.110[[#This Row],[DM Incubated, mg]]*1000</f>
        <v>13.109547378256003</v>
      </c>
      <c r="AV757" s="94">
        <f>((Table3.110[[#This Row],[CH4 24h, ml]]/28.9)*16.04)/Table3.110[[#This Row],[Digested feed, mg]]*1000</f>
        <v>36.520328335104018</v>
      </c>
    </row>
    <row r="758" spans="2:48" s="89" customFormat="1" x14ac:dyDescent="0.35">
      <c r="B758" s="90">
        <f t="shared" si="11"/>
        <v>748</v>
      </c>
      <c r="C758" s="140">
        <v>46076</v>
      </c>
      <c r="D758" s="92" t="s">
        <v>16</v>
      </c>
      <c r="E758" s="6" t="s">
        <v>277</v>
      </c>
      <c r="F758" s="242" t="s">
        <v>269</v>
      </c>
      <c r="G758" s="242" t="s">
        <v>270</v>
      </c>
      <c r="H758" s="6" t="str">
        <f>'[2]1. Information samples'!$K$61</f>
        <v>Crotalaria retusa</v>
      </c>
      <c r="I758" s="57" t="s">
        <v>22</v>
      </c>
      <c r="J758" s="130" t="s">
        <v>23</v>
      </c>
      <c r="K758" s="130" t="s">
        <v>24</v>
      </c>
      <c r="L758" s="6" t="s">
        <v>276</v>
      </c>
      <c r="M758" s="256">
        <v>28</v>
      </c>
      <c r="N758" s="256">
        <v>69</v>
      </c>
      <c r="O758" s="256">
        <v>3</v>
      </c>
      <c r="P758" s="257">
        <v>1</v>
      </c>
      <c r="Q758" s="96">
        <v>167</v>
      </c>
      <c r="R758" s="98">
        <v>0.5</v>
      </c>
      <c r="S758" s="262">
        <f>((Table3.110[[#This Row],[Sample weight, g]]*'2.1. DM'!Q167)/100)*1000</f>
        <v>460.02899710028976</v>
      </c>
      <c r="T758" s="94">
        <f>'3.2 Digest'!W758</f>
        <v>225.72899710028969</v>
      </c>
      <c r="U758" s="153">
        <v>0.36458333333333331</v>
      </c>
      <c r="V758" s="154">
        <v>41.5</v>
      </c>
      <c r="W758" s="153">
        <v>0.73055555555555551</v>
      </c>
      <c r="X758" s="91">
        <v>84</v>
      </c>
      <c r="Y758" s="91">
        <v>12.4</v>
      </c>
      <c r="Z758" s="154">
        <v>40.5</v>
      </c>
      <c r="AA758" s="153">
        <v>0.40555555555555556</v>
      </c>
      <c r="AB758" s="154">
        <v>88</v>
      </c>
      <c r="AC758" s="154">
        <v>15.1</v>
      </c>
      <c r="AD758" s="91"/>
      <c r="AE758" s="94">
        <f>Table3.110[[#This Row],[Gas 8h, ml]]-Table3.110[[#This Row],[Gas 0h, ml]]</f>
        <v>42.5</v>
      </c>
      <c r="AF758" s="94">
        <f>Table3.110[[#This Row],[Gas 24h, ml]]-Table3.110[[#This Row],[V8 Push back, ml]]</f>
        <v>47.5</v>
      </c>
      <c r="AG758" s="94">
        <f>Table3.110[[#This Row],[GP 8h, ml]]-AVERAGE(AE$664,AE$665,AE$726,AE$727,AE$788,AE$789)*$AG$8</f>
        <v>40.656235924806332</v>
      </c>
      <c r="AH758" s="94">
        <f>Table3.110[[#This Row],[GP 8-24h, ml]]-AVERAGE(AF$664,AF$665,AF$726,AF$727,AF$788,AF$789)*$AG$8</f>
        <v>45.176857265255975</v>
      </c>
      <c r="AI758" s="94">
        <f>Table3.110[[#This Row],[Net gas 8-24h, ml]]+Table3.110[[#This Row],[Net gas 8h, ml]]</f>
        <v>85.8330931900623</v>
      </c>
      <c r="AJ758" s="94">
        <f>Table3.110[[#This Row],[Net gas 8h, ml]]*Table3.110[[#This Row],[CH4 8h %]]%</f>
        <v>5.0413732546759853</v>
      </c>
      <c r="AK758" s="94">
        <f>Table3.110[[#This Row],[Net gas 8-24h, ml]]*Table3.110[[#This Row],[CH4 24h, %]]%</f>
        <v>6.8217054470536524</v>
      </c>
      <c r="AL758" s="94">
        <f>Table3.110[[#This Row],[CH4 8-24h, ml]]+Table3.110[[#This Row],[CH4 8h, ml]]</f>
        <v>11.863078701729638</v>
      </c>
      <c r="AM758" s="94">
        <f>(Table3.110[[#This Row],[Net gas 24h, ml]]/Table3.110[[#This Row],[DM Incubated, mg]])*1000</f>
        <v>186.58191925095113</v>
      </c>
      <c r="AN758" s="94">
        <f>'3.2 Digest'!X758</f>
        <v>49.068427973699904</v>
      </c>
      <c r="AO758" s="94">
        <f>Table3.110[[#This Row],[Digested feed, mg]]/Table3.110[[#This Row],[Net gas 24h, ml]]</f>
        <v>2.6298597511853905</v>
      </c>
      <c r="AP758" s="94">
        <f>Table3.110[[#This Row],[CH4 8h, ml]]/Table3.110[[#This Row],[Net gas 8h, ml]]%</f>
        <v>12.4</v>
      </c>
      <c r="AQ758" s="94">
        <f>Table3.110[[#This Row],[CH4 24h, ml]]/Table3.110[[#This Row],[Net gas 24h, ml]]%</f>
        <v>13.821101233601047</v>
      </c>
      <c r="AR758" s="94">
        <f>Table3.110[[#This Row],[CH4 24h, ml]]/Table3.110[[#This Row],[DM Incubated, mg]]*1000</f>
        <v>25.787675943269718</v>
      </c>
      <c r="AS758" s="94">
        <f>Table3.110[[#This Row],[CH4 24h, ml]]/Table3.110[[#This Row],[Digested feed, mg]]*1000</f>
        <v>52.55451826802279</v>
      </c>
      <c r="AT758" s="94">
        <f>Table3.110[[#This Row],[CH4 24h, ml]]/'3.2 Digest'!AA758</f>
        <v>-6.3133595417032815</v>
      </c>
      <c r="AU758" s="94">
        <f>((Table3.110[[#This Row],[CH4 24h, ml]]/28.9)*16.04)/Table3.110[[#This Row],[DM Incubated, mg]]*1000</f>
        <v>14.312606302077727</v>
      </c>
      <c r="AV758" s="94">
        <f>((Table3.110[[#This Row],[CH4 24h, ml]]/28.9)*16.04)/Table3.110[[#This Row],[Digested feed, mg]]*1000</f>
        <v>29.168666886473549</v>
      </c>
    </row>
    <row r="759" spans="2:48" s="89" customFormat="1" x14ac:dyDescent="0.35">
      <c r="B759" s="90">
        <f t="shared" si="11"/>
        <v>749</v>
      </c>
      <c r="C759" s="140">
        <v>46076</v>
      </c>
      <c r="D759" s="92" t="s">
        <v>16</v>
      </c>
      <c r="E759" s="6" t="s">
        <v>277</v>
      </c>
      <c r="F759" s="242" t="s">
        <v>269</v>
      </c>
      <c r="G759" s="242" t="s">
        <v>270</v>
      </c>
      <c r="H759" s="6" t="str">
        <f>'[2]1. Information samples'!$K$61</f>
        <v>Crotalaria retusa</v>
      </c>
      <c r="I759" s="57" t="s">
        <v>22</v>
      </c>
      <c r="J759" s="130" t="s">
        <v>23</v>
      </c>
      <c r="K759" s="130" t="s">
        <v>24</v>
      </c>
      <c r="L759" s="6" t="s">
        <v>276</v>
      </c>
      <c r="M759" s="256">
        <v>28</v>
      </c>
      <c r="N759" s="256">
        <v>69</v>
      </c>
      <c r="O759" s="256">
        <v>3</v>
      </c>
      <c r="P759" s="257">
        <v>2</v>
      </c>
      <c r="Q759" s="96">
        <v>168</v>
      </c>
      <c r="R759" s="98">
        <v>0.50049999999999994</v>
      </c>
      <c r="S759" s="262">
        <f>((Table3.110[[#This Row],[Sample weight, g]]*'2.1. DM'!Q167)/100)*1000</f>
        <v>460.48902609739002</v>
      </c>
      <c r="T759" s="94">
        <f>'3.2 Digest'!W759</f>
        <v>260.08902609738999</v>
      </c>
      <c r="U759" s="117">
        <v>0.36388888888888887</v>
      </c>
      <c r="V759" s="155">
        <v>40.5</v>
      </c>
      <c r="W759" s="117">
        <v>0.73055555555555551</v>
      </c>
      <c r="X759" s="96">
        <v>83.5</v>
      </c>
      <c r="Y759" s="96">
        <v>12.4</v>
      </c>
      <c r="Z759" s="155">
        <v>39.5</v>
      </c>
      <c r="AA759" s="117">
        <v>0.40625</v>
      </c>
      <c r="AB759" s="155">
        <v>91.5</v>
      </c>
      <c r="AC759" s="155">
        <v>14.7</v>
      </c>
      <c r="AD759" s="96"/>
      <c r="AE759" s="94">
        <f>Table3.110[[#This Row],[Gas 8h, ml]]-Table3.110[[#This Row],[Gas 0h, ml]]</f>
        <v>43</v>
      </c>
      <c r="AF759" s="94">
        <f>Table3.110[[#This Row],[Gas 24h, ml]]-Table3.110[[#This Row],[V8 Push back, ml]]</f>
        <v>52</v>
      </c>
      <c r="AG759" s="94">
        <f>Table3.110[[#This Row],[GP 8h, ml]]-AVERAGE(AE$664,AE$665,AE$726,AE$727,AE$788,AE$789)*$AG$8</f>
        <v>41.156235924806332</v>
      </c>
      <c r="AH759" s="94">
        <f>Table3.110[[#This Row],[GP 8-24h, ml]]-AVERAGE(AF$664,AF$665,AF$726,AF$727,AF$788,AF$789)*$AG$8</f>
        <v>49.676857265255975</v>
      </c>
      <c r="AI759" s="94">
        <f>Table3.110[[#This Row],[Net gas 8-24h, ml]]+Table3.110[[#This Row],[Net gas 8h, ml]]</f>
        <v>90.8330931900623</v>
      </c>
      <c r="AJ759" s="94">
        <f>Table3.110[[#This Row],[Net gas 8h, ml]]*Table3.110[[#This Row],[CH4 8h %]]%</f>
        <v>5.1033732546759847</v>
      </c>
      <c r="AK759" s="94">
        <f>Table3.110[[#This Row],[Net gas 8-24h, ml]]*Table3.110[[#This Row],[CH4 24h, %]]%</f>
        <v>7.3024980179926278</v>
      </c>
      <c r="AL759" s="94">
        <f>Table3.110[[#This Row],[CH4 8-24h, ml]]+Table3.110[[#This Row],[CH4 8h, ml]]</f>
        <v>12.405871272668612</v>
      </c>
      <c r="AM759" s="94">
        <f>(Table3.110[[#This Row],[Net gas 24h, ml]]/Table3.110[[#This Row],[DM Incubated, mg]])*1000</f>
        <v>197.25354577907308</v>
      </c>
      <c r="AN759" s="94">
        <f>'3.2 Digest'!X759</f>
        <v>56.481047616188597</v>
      </c>
      <c r="AO759" s="94">
        <f>Table3.110[[#This Row],[Digested feed, mg]]/Table3.110[[#This Row],[Net gas 24h, ml]]</f>
        <v>2.8633729950511619</v>
      </c>
      <c r="AP759" s="94">
        <f>Table3.110[[#This Row],[CH4 8h, ml]]/Table3.110[[#This Row],[Net gas 8h, ml]]%</f>
        <v>12.399999999999999</v>
      </c>
      <c r="AQ759" s="94">
        <f>Table3.110[[#This Row],[CH4 24h, ml]]/Table3.110[[#This Row],[Net gas 24h, ml]]%</f>
        <v>13.657876041620799</v>
      </c>
      <c r="AR759" s="94">
        <f>Table3.110[[#This Row],[CH4 24h, ml]]/Table3.110[[#This Row],[DM Incubated, mg]]*1000</f>
        <v>26.940644770207538</v>
      </c>
      <c r="AS759" s="94">
        <f>Table3.110[[#This Row],[CH4 24h, ml]]/Table3.110[[#This Row],[Digested feed, mg]]*1000</f>
        <v>47.698557139520567</v>
      </c>
      <c r="AT759" s="94">
        <f>Table3.110[[#This Row],[CH4 24h, ml]]/'3.2 Digest'!AA759</f>
        <v>0.95809260333516666</v>
      </c>
      <c r="AU759" s="94">
        <f>((Table3.110[[#This Row],[CH4 24h, ml]]/28.9)*16.04)/Table3.110[[#This Row],[DM Incubated, mg]]*1000</f>
        <v>14.952523948585775</v>
      </c>
      <c r="AV759" s="94">
        <f>((Table3.110[[#This Row],[CH4 24h, ml]]/28.9)*16.04)/Table3.110[[#This Row],[Digested feed, mg]]*1000</f>
        <v>26.473524446986502</v>
      </c>
    </row>
    <row r="760" spans="2:48" s="89" customFormat="1" x14ac:dyDescent="0.35">
      <c r="B760" s="90">
        <f t="shared" si="11"/>
        <v>750</v>
      </c>
      <c r="C760" s="140">
        <v>46076</v>
      </c>
      <c r="D760" s="92" t="s">
        <v>16</v>
      </c>
      <c r="E760" s="6" t="s">
        <v>279</v>
      </c>
      <c r="F760" s="242" t="s">
        <v>269</v>
      </c>
      <c r="G760" s="242" t="s">
        <v>270</v>
      </c>
      <c r="H760" s="6" t="str">
        <f>'[2]1. Information samples'!$K$62</f>
        <v>Crotalaria retusa</v>
      </c>
      <c r="I760" s="57" t="s">
        <v>22</v>
      </c>
      <c r="J760" s="130" t="s">
        <v>23</v>
      </c>
      <c r="K760" s="130" t="s">
        <v>24</v>
      </c>
      <c r="L760" s="6" t="s">
        <v>278</v>
      </c>
      <c r="M760" s="256">
        <v>28</v>
      </c>
      <c r="N760" s="256">
        <v>69</v>
      </c>
      <c r="O760" s="256">
        <v>3</v>
      </c>
      <c r="P760" s="257">
        <v>1</v>
      </c>
      <c r="Q760" s="96">
        <v>169</v>
      </c>
      <c r="R760" s="98">
        <v>0.50019999999999998</v>
      </c>
      <c r="S760" s="262">
        <f>((Table3.110[[#This Row],[Sample weight, g]]*'2.1. DM'!Q169)/100)*1000</f>
        <v>461.02106578684254</v>
      </c>
      <c r="T760" s="94">
        <f>'3.2 Digest'!W760</f>
        <v>180.3210657868425</v>
      </c>
      <c r="U760" s="117">
        <v>0.36458333333333331</v>
      </c>
      <c r="V760" s="155">
        <v>40.5</v>
      </c>
      <c r="W760" s="117">
        <v>0.73124999999999996</v>
      </c>
      <c r="X760" s="96">
        <v>82</v>
      </c>
      <c r="Y760" s="96">
        <v>12.7</v>
      </c>
      <c r="Z760" s="155">
        <v>40</v>
      </c>
      <c r="AA760" s="117">
        <v>0.40763888888888888</v>
      </c>
      <c r="AB760" s="155">
        <v>80</v>
      </c>
      <c r="AC760" s="155">
        <v>13.9</v>
      </c>
      <c r="AD760" s="96"/>
      <c r="AE760" s="94">
        <f>Table3.110[[#This Row],[Gas 8h, ml]]-Table3.110[[#This Row],[Gas 0h, ml]]</f>
        <v>41.5</v>
      </c>
      <c r="AF760" s="94">
        <f>Table3.110[[#This Row],[Gas 24h, ml]]-Table3.110[[#This Row],[V8 Push back, ml]]</f>
        <v>40</v>
      </c>
      <c r="AG760" s="94"/>
      <c r="AH760" s="94"/>
      <c r="AI760" s="94">
        <f>Table3.110[[#This Row],[Net gas 8-24h, ml]]+Table3.110[[#This Row],[Net gas 8h, ml]]</f>
        <v>0</v>
      </c>
      <c r="AJ760" s="94">
        <f>Table3.110[[#This Row],[Net gas 8h, ml]]*Table3.110[[#This Row],[CH4 8h %]]%</f>
        <v>0</v>
      </c>
      <c r="AK760" s="94">
        <f>Table3.110[[#This Row],[Net gas 8-24h, ml]]*Table3.110[[#This Row],[CH4 24h, %]]%</f>
        <v>0</v>
      </c>
      <c r="AL760" s="94">
        <f>Table3.110[[#This Row],[CH4 8-24h, ml]]+Table3.110[[#This Row],[CH4 8h, ml]]</f>
        <v>0</v>
      </c>
      <c r="AM760" s="94">
        <f>(Table3.110[[#This Row],[Net gas 24h, ml]]/Table3.110[[#This Row],[DM Incubated, mg]])*1000</f>
        <v>0</v>
      </c>
      <c r="AN760" s="94">
        <f>'3.2 Digest'!X760</f>
        <v>39.113411331666924</v>
      </c>
      <c r="AO760" s="94" t="e">
        <f>Table3.110[[#This Row],[Digested feed, mg]]/Table3.110[[#This Row],[Net gas 24h, ml]]</f>
        <v>#DIV/0!</v>
      </c>
      <c r="AP760" s="94" t="e">
        <f>Table3.110[[#This Row],[CH4 8h, ml]]/Table3.110[[#This Row],[Net gas 8h, ml]]%</f>
        <v>#DIV/0!</v>
      </c>
      <c r="AQ760" s="94" t="e">
        <f>Table3.110[[#This Row],[CH4 24h, ml]]/Table3.110[[#This Row],[Net gas 24h, ml]]%</f>
        <v>#DIV/0!</v>
      </c>
      <c r="AR760" s="94">
        <f>Table3.110[[#This Row],[CH4 24h, ml]]/Table3.110[[#This Row],[DM Incubated, mg]]*1000</f>
        <v>0</v>
      </c>
      <c r="AS760" s="94">
        <f>Table3.110[[#This Row],[CH4 24h, ml]]/Table3.110[[#This Row],[Digested feed, mg]]*1000</f>
        <v>0</v>
      </c>
      <c r="AT760" s="94">
        <f>Table3.110[[#This Row],[CH4 24h, ml]]/'3.2 Digest'!AA760</f>
        <v>0</v>
      </c>
      <c r="AU760" s="94">
        <f>((Table3.110[[#This Row],[CH4 24h, ml]]/28.9)*16.04)/Table3.110[[#This Row],[DM Incubated, mg]]*1000</f>
        <v>0</v>
      </c>
      <c r="AV760" s="94">
        <f>((Table3.110[[#This Row],[CH4 24h, ml]]/28.9)*16.04)/Table3.110[[#This Row],[Digested feed, mg]]*1000</f>
        <v>0</v>
      </c>
    </row>
    <row r="761" spans="2:48" s="89" customFormat="1" x14ac:dyDescent="0.35">
      <c r="B761" s="90">
        <f t="shared" si="11"/>
        <v>751</v>
      </c>
      <c r="C761" s="140">
        <v>46076</v>
      </c>
      <c r="D761" s="92" t="s">
        <v>16</v>
      </c>
      <c r="E761" s="6" t="s">
        <v>279</v>
      </c>
      <c r="F761" s="242" t="s">
        <v>269</v>
      </c>
      <c r="G761" s="242" t="s">
        <v>270</v>
      </c>
      <c r="H761" s="6" t="str">
        <f>'[2]1. Information samples'!$K$62</f>
        <v>Crotalaria retusa</v>
      </c>
      <c r="I761" s="57" t="s">
        <v>22</v>
      </c>
      <c r="J761" s="130" t="s">
        <v>23</v>
      </c>
      <c r="K761" s="130" t="s">
        <v>24</v>
      </c>
      <c r="L761" s="6" t="s">
        <v>278</v>
      </c>
      <c r="M761" s="256">
        <v>28</v>
      </c>
      <c r="N761" s="256">
        <v>69</v>
      </c>
      <c r="O761" s="256">
        <v>3</v>
      </c>
      <c r="P761" s="257">
        <v>2</v>
      </c>
      <c r="Q761" s="96">
        <v>170</v>
      </c>
      <c r="R761" s="98">
        <v>0.50009999999999999</v>
      </c>
      <c r="S761" s="262">
        <f>((Table3.110[[#This Row],[Sample weight, g]]*'2.1. DM'!Q169)/100)*1000</f>
        <v>460.9288984406237</v>
      </c>
      <c r="T761" s="94">
        <f>'3.2 Digest'!W761</f>
        <v>181.02889844062366</v>
      </c>
      <c r="U761" s="153">
        <v>0.36458333333333331</v>
      </c>
      <c r="V761" s="154">
        <v>40.5</v>
      </c>
      <c r="W761" s="153">
        <v>0.7319444444444444</v>
      </c>
      <c r="X761" s="91">
        <v>82.5</v>
      </c>
      <c r="Y761" s="91">
        <v>12.6</v>
      </c>
      <c r="Z761" s="154">
        <v>40.5</v>
      </c>
      <c r="AA761" s="153">
        <v>0.40833333333333333</v>
      </c>
      <c r="AB761" s="154">
        <v>85</v>
      </c>
      <c r="AC761" s="154">
        <v>13.4</v>
      </c>
      <c r="AD761" s="91"/>
      <c r="AE761" s="94">
        <f>Table3.110[[#This Row],[Gas 8h, ml]]-Table3.110[[#This Row],[Gas 0h, ml]]</f>
        <v>42</v>
      </c>
      <c r="AF761" s="94">
        <f>Table3.110[[#This Row],[Gas 24h, ml]]-Table3.110[[#This Row],[V8 Push back, ml]]</f>
        <v>44.5</v>
      </c>
      <c r="AG761" s="94"/>
      <c r="AH761" s="94"/>
      <c r="AI761" s="94">
        <f>Table3.110[[#This Row],[Net gas 8-24h, ml]]+Table3.110[[#This Row],[Net gas 8h, ml]]</f>
        <v>0</v>
      </c>
      <c r="AJ761" s="94">
        <f>Table3.110[[#This Row],[Net gas 8h, ml]]*Table3.110[[#This Row],[CH4 8h %]]%</f>
        <v>0</v>
      </c>
      <c r="AK761" s="94">
        <f>Table3.110[[#This Row],[Net gas 8-24h, ml]]*Table3.110[[#This Row],[CH4 24h, %]]%</f>
        <v>0</v>
      </c>
      <c r="AL761" s="94">
        <f>Table3.110[[#This Row],[CH4 8-24h, ml]]+Table3.110[[#This Row],[CH4 8h, ml]]</f>
        <v>0</v>
      </c>
      <c r="AM761" s="94">
        <f>(Table3.110[[#This Row],[Net gas 24h, ml]]/Table3.110[[#This Row],[DM Incubated, mg]])*1000</f>
        <v>0</v>
      </c>
      <c r="AN761" s="94">
        <f>'3.2 Digest'!X761</f>
        <v>39.274799009796432</v>
      </c>
      <c r="AO761" s="94" t="e">
        <f>Table3.110[[#This Row],[Digested feed, mg]]/Table3.110[[#This Row],[Net gas 24h, ml]]</f>
        <v>#DIV/0!</v>
      </c>
      <c r="AP761" s="94" t="e">
        <f>Table3.110[[#This Row],[CH4 8h, ml]]/Table3.110[[#This Row],[Net gas 8h, ml]]%</f>
        <v>#DIV/0!</v>
      </c>
      <c r="AQ761" s="94" t="e">
        <f>Table3.110[[#This Row],[CH4 24h, ml]]/Table3.110[[#This Row],[Net gas 24h, ml]]%</f>
        <v>#DIV/0!</v>
      </c>
      <c r="AR761" s="94">
        <f>Table3.110[[#This Row],[CH4 24h, ml]]/Table3.110[[#This Row],[DM Incubated, mg]]*1000</f>
        <v>0</v>
      </c>
      <c r="AS761" s="94">
        <f>Table3.110[[#This Row],[CH4 24h, ml]]/Table3.110[[#This Row],[Digested feed, mg]]*1000</f>
        <v>0</v>
      </c>
      <c r="AT761" s="94">
        <f>Table3.110[[#This Row],[CH4 24h, ml]]/'3.2 Digest'!AA761</f>
        <v>0</v>
      </c>
      <c r="AU761" s="94">
        <f>((Table3.110[[#This Row],[CH4 24h, ml]]/28.9)*16.04)/Table3.110[[#This Row],[DM Incubated, mg]]*1000</f>
        <v>0</v>
      </c>
      <c r="AV761" s="94">
        <f>((Table3.110[[#This Row],[CH4 24h, ml]]/28.9)*16.04)/Table3.110[[#This Row],[Digested feed, mg]]*1000</f>
        <v>0</v>
      </c>
    </row>
    <row r="762" spans="2:48" s="89" customFormat="1" x14ac:dyDescent="0.35">
      <c r="B762" s="90">
        <f t="shared" si="11"/>
        <v>752</v>
      </c>
      <c r="C762" s="140">
        <v>46076</v>
      </c>
      <c r="D762" s="92" t="s">
        <v>16</v>
      </c>
      <c r="E762" s="6" t="s">
        <v>281</v>
      </c>
      <c r="F762" s="242" t="s">
        <v>269</v>
      </c>
      <c r="G762" s="242" t="s">
        <v>282</v>
      </c>
      <c r="H762" s="6" t="str">
        <f>'[2]1. Information samples'!$K$63</f>
        <v>Crotalaria pumila</v>
      </c>
      <c r="I762" s="57" t="s">
        <v>22</v>
      </c>
      <c r="J762" s="130" t="s">
        <v>23</v>
      </c>
      <c r="K762" s="130" t="s">
        <v>24</v>
      </c>
      <c r="L762" s="6" t="s">
        <v>280</v>
      </c>
      <c r="M762" s="256">
        <v>28</v>
      </c>
      <c r="N762" s="256">
        <v>69</v>
      </c>
      <c r="O762" s="256">
        <v>3</v>
      </c>
      <c r="P762" s="257">
        <v>1</v>
      </c>
      <c r="Q762" s="96">
        <v>171</v>
      </c>
      <c r="R762" s="98">
        <v>0.50009999999999999</v>
      </c>
      <c r="S762" s="262">
        <f>((Table3.110[[#This Row],[Sample weight, g]]*'2.1. DM'!Q171)/100)*1000</f>
        <v>456.05440367889656</v>
      </c>
      <c r="T762" s="94">
        <f>'3.2 Digest'!W762</f>
        <v>270.25440367889649</v>
      </c>
      <c r="U762" s="153">
        <v>0.36458333333333331</v>
      </c>
      <c r="V762" s="154">
        <v>40.5</v>
      </c>
      <c r="W762" s="153">
        <v>0.7319444444444444</v>
      </c>
      <c r="X762" s="91">
        <v>87.5</v>
      </c>
      <c r="Y762" s="91">
        <v>13</v>
      </c>
      <c r="Z762" s="154">
        <v>40</v>
      </c>
      <c r="AA762" s="153">
        <v>0.40833333333333333</v>
      </c>
      <c r="AB762" s="154">
        <v>85</v>
      </c>
      <c r="AC762" s="154">
        <v>15.2</v>
      </c>
      <c r="AD762" s="91"/>
      <c r="AE762" s="94">
        <f>Table3.110[[#This Row],[Gas 8h, ml]]-Table3.110[[#This Row],[Gas 0h, ml]]</f>
        <v>47</v>
      </c>
      <c r="AF762" s="94">
        <f>Table3.110[[#This Row],[Gas 24h, ml]]-Table3.110[[#This Row],[V8 Push back, ml]]</f>
        <v>45</v>
      </c>
      <c r="AG762" s="94">
        <f>Table3.110[[#This Row],[GP 8h, ml]]-AVERAGE(AE$664,AE$665,AE$726,AE$727,AE$788,AE$789)*$AG$8</f>
        <v>45.156235924806332</v>
      </c>
      <c r="AH762" s="94">
        <f>Table3.110[[#This Row],[GP 8-24h, ml]]-AVERAGE(AF$664,AF$665,AF$726,AF$727,AF$788,AF$789)*$AG$8</f>
        <v>42.676857265255975</v>
      </c>
      <c r="AI762" s="94">
        <f>Table3.110[[#This Row],[Net gas 8-24h, ml]]+Table3.110[[#This Row],[Net gas 8h, ml]]</f>
        <v>87.8330931900623</v>
      </c>
      <c r="AJ762" s="94">
        <f>Table3.110[[#This Row],[Net gas 8h, ml]]*Table3.110[[#This Row],[CH4 8h %]]%</f>
        <v>5.8703106702248231</v>
      </c>
      <c r="AK762" s="94">
        <f>Table3.110[[#This Row],[Net gas 8-24h, ml]]*Table3.110[[#This Row],[CH4 24h, %]]%</f>
        <v>6.4868823043189083</v>
      </c>
      <c r="AL762" s="94">
        <f>Table3.110[[#This Row],[CH4 8-24h, ml]]+Table3.110[[#This Row],[CH4 8h, ml]]</f>
        <v>12.357192974543732</v>
      </c>
      <c r="AM762" s="94">
        <f>(Table3.110[[#This Row],[Net gas 24h, ml]]/Table3.110[[#This Row],[DM Incubated, mg]])*1000</f>
        <v>192.59345481927355</v>
      </c>
      <c r="AN762" s="94">
        <f>'3.2 Digest'!X762</f>
        <v>59.259246594005035</v>
      </c>
      <c r="AO762" s="94">
        <f>Table3.110[[#This Row],[Digested feed, mg]]/Table3.110[[#This Row],[Net gas 24h, ml]]</f>
        <v>3.0769086441495594</v>
      </c>
      <c r="AP762" s="94">
        <f>Table3.110[[#This Row],[CH4 8h, ml]]/Table3.110[[#This Row],[Net gas 8h, ml]]%</f>
        <v>13</v>
      </c>
      <c r="AQ762" s="94">
        <f>Table3.110[[#This Row],[CH4 24h, ml]]/Table3.110[[#This Row],[Net gas 24h, ml]]%</f>
        <v>14.068948873067654</v>
      </c>
      <c r="AR762" s="94">
        <f>Table3.110[[#This Row],[CH4 24h, ml]]/Table3.110[[#This Row],[DM Incubated, mg]]*1000</f>
        <v>27.095874691398247</v>
      </c>
      <c r="AS762" s="94">
        <f>Table3.110[[#This Row],[CH4 24h, ml]]/Table3.110[[#This Row],[Digested feed, mg]]*1000</f>
        <v>45.724298314213463</v>
      </c>
      <c r="AT762" s="94">
        <f>Table3.110[[#This Row],[CH4 24h, ml]]/'3.2 Digest'!AA762</f>
        <v>0.68394432118900428</v>
      </c>
      <c r="AU762" s="94">
        <f>((Table3.110[[#This Row],[CH4 24h, ml]]/28.9)*16.04)/Table3.110[[#This Row],[DM Incubated, mg]]*1000</f>
        <v>15.038679240485394</v>
      </c>
      <c r="AV762" s="94">
        <f>((Table3.110[[#This Row],[CH4 24h, ml]]/28.9)*16.04)/Table3.110[[#This Row],[Digested feed, mg]]*1000</f>
        <v>25.377776642213977</v>
      </c>
    </row>
    <row r="763" spans="2:48" s="89" customFormat="1" x14ac:dyDescent="0.35">
      <c r="B763" s="90">
        <f t="shared" si="11"/>
        <v>753</v>
      </c>
      <c r="C763" s="140">
        <v>46076</v>
      </c>
      <c r="D763" s="92" t="s">
        <v>16</v>
      </c>
      <c r="E763" s="6" t="s">
        <v>281</v>
      </c>
      <c r="F763" s="242" t="s">
        <v>269</v>
      </c>
      <c r="G763" s="242" t="s">
        <v>282</v>
      </c>
      <c r="H763" s="6" t="str">
        <f>'[2]1. Information samples'!$K$63</f>
        <v>Crotalaria pumila</v>
      </c>
      <c r="I763" s="57" t="s">
        <v>22</v>
      </c>
      <c r="J763" s="130" t="s">
        <v>23</v>
      </c>
      <c r="K763" s="130" t="s">
        <v>24</v>
      </c>
      <c r="L763" s="6" t="s">
        <v>280</v>
      </c>
      <c r="M763" s="256">
        <v>28</v>
      </c>
      <c r="N763" s="256">
        <v>69</v>
      </c>
      <c r="O763" s="256">
        <v>3</v>
      </c>
      <c r="P763" s="257">
        <v>2</v>
      </c>
      <c r="Q763" s="96">
        <v>172</v>
      </c>
      <c r="R763" s="98">
        <v>0.50019999999999998</v>
      </c>
      <c r="S763" s="94">
        <f>((Table3.110[[#This Row],[Sample weight, g]]*'2.1. DM'!Q171)/100)*1000</f>
        <v>456.14559632110388</v>
      </c>
      <c r="T763" s="94">
        <f>'3.2 Digest'!W763</f>
        <v>283.64559632110388</v>
      </c>
      <c r="U763" s="117">
        <v>0.36458333333333331</v>
      </c>
      <c r="V763" s="155">
        <v>40.5</v>
      </c>
      <c r="W763" s="117">
        <v>0.73263888888888884</v>
      </c>
      <c r="X763" s="96">
        <v>86.5</v>
      </c>
      <c r="Y763" s="96">
        <v>13.3</v>
      </c>
      <c r="Z763" s="155">
        <v>40</v>
      </c>
      <c r="AA763" s="117">
        <v>0.40902777777777777</v>
      </c>
      <c r="AB763" s="155">
        <v>87.5</v>
      </c>
      <c r="AC763" s="155">
        <v>15.5</v>
      </c>
      <c r="AD763" s="96"/>
      <c r="AE763" s="94">
        <f>Table3.110[[#This Row],[Gas 8h, ml]]-Table3.110[[#This Row],[Gas 0h, ml]]</f>
        <v>46</v>
      </c>
      <c r="AF763" s="94">
        <f>Table3.110[[#This Row],[Gas 24h, ml]]-Table3.110[[#This Row],[V8 Push back, ml]]</f>
        <v>47.5</v>
      </c>
      <c r="AG763" s="94">
        <f>Table3.110[[#This Row],[GP 8h, ml]]-AVERAGE(AE$664,AE$665,AE$726,AE$727,AE$788,AE$789)*$AG$8</f>
        <v>44.156235924806332</v>
      </c>
      <c r="AH763" s="94">
        <f>Table3.110[[#This Row],[GP 8-24h, ml]]-AVERAGE(AF$664,AF$665,AF$726,AF$727,AF$788,AF$789)*$AG$8</f>
        <v>45.176857265255975</v>
      </c>
      <c r="AI763" s="94">
        <f>Table3.110[[#This Row],[Net gas 8-24h, ml]]+Table3.110[[#This Row],[Net gas 8h, ml]]</f>
        <v>89.3330931900623</v>
      </c>
      <c r="AJ763" s="94">
        <f>Table3.110[[#This Row],[Net gas 8h, ml]]*Table3.110[[#This Row],[CH4 8h %]]%</f>
        <v>5.8727793779992421</v>
      </c>
      <c r="AK763" s="94">
        <f>Table3.110[[#This Row],[Net gas 8-24h, ml]]*Table3.110[[#This Row],[CH4 24h, %]]%</f>
        <v>7.0024128761146764</v>
      </c>
      <c r="AL763" s="94">
        <f>Table3.110[[#This Row],[CH4 8-24h, ml]]+Table3.110[[#This Row],[CH4 8h, ml]]</f>
        <v>12.875192254113919</v>
      </c>
      <c r="AM763" s="94">
        <f>(Table3.110[[#This Row],[Net gas 24h, ml]]/Table3.110[[#This Row],[DM Incubated, mg]])*1000</f>
        <v>195.84337525244075</v>
      </c>
      <c r="AN763" s="94">
        <f>'3.2 Digest'!X763</f>
        <v>62.183127187625296</v>
      </c>
      <c r="AO763" s="94">
        <f>Table3.110[[#This Row],[Digested feed, mg]]/Table3.110[[#This Row],[Net gas 24h, ml]]</f>
        <v>3.1751458075858672</v>
      </c>
      <c r="AP763" s="94">
        <f>Table3.110[[#This Row],[CH4 8h, ml]]/Table3.110[[#This Row],[Net gas 8h, ml]]%</f>
        <v>13.3</v>
      </c>
      <c r="AQ763" s="94">
        <f>Table3.110[[#This Row],[CH4 24h, ml]]/Table3.110[[#This Row],[Net gas 24h, ml]]%</f>
        <v>14.412567386109718</v>
      </c>
      <c r="AR763" s="94">
        <f>Table3.110[[#This Row],[CH4 24h, ml]]/Table3.110[[#This Row],[DM Incubated, mg]]*1000</f>
        <v>28.22605842948974</v>
      </c>
      <c r="AS763" s="94">
        <f>Table3.110[[#This Row],[CH4 24h, ml]]/Table3.110[[#This Row],[Digested feed, mg]]*1000</f>
        <v>45.391828468714976</v>
      </c>
      <c r="AT763" s="94">
        <f>Table3.110[[#This Row],[CH4 24h, ml]]/'3.2 Digest'!AA763</f>
        <v>0.53763867987790337</v>
      </c>
      <c r="AU763" s="94">
        <f>((Table3.110[[#This Row],[CH4 24h, ml]]/28.9)*16.04)/Table3.110[[#This Row],[DM Incubated, mg]]*1000</f>
        <v>15.665950768478043</v>
      </c>
      <c r="AV763" s="94">
        <f>((Table3.110[[#This Row],[CH4 24h, ml]]/28.9)*16.04)/Table3.110[[#This Row],[Digested feed, mg]]*1000</f>
        <v>25.193250125888866</v>
      </c>
    </row>
    <row r="764" spans="2:48" s="89" customFormat="1" x14ac:dyDescent="0.35">
      <c r="B764" s="90">
        <f t="shared" si="11"/>
        <v>754</v>
      </c>
      <c r="C764" s="140">
        <v>46076</v>
      </c>
      <c r="D764" s="92" t="s">
        <v>16</v>
      </c>
      <c r="E764" s="6" t="s">
        <v>285</v>
      </c>
      <c r="F764" s="242" t="s">
        <v>269</v>
      </c>
      <c r="G764" s="242" t="s">
        <v>282</v>
      </c>
      <c r="H764" s="6" t="str">
        <f>'[2]1. Information samples'!$K$64</f>
        <v>Crotalaria pumila</v>
      </c>
      <c r="I764" s="57" t="s">
        <v>22</v>
      </c>
      <c r="J764" s="130" t="s">
        <v>23</v>
      </c>
      <c r="K764" s="130" t="s">
        <v>24</v>
      </c>
      <c r="L764" s="6" t="s">
        <v>284</v>
      </c>
      <c r="M764" s="256">
        <v>28</v>
      </c>
      <c r="N764" s="256">
        <v>69</v>
      </c>
      <c r="O764" s="256">
        <v>3</v>
      </c>
      <c r="P764" s="257">
        <v>1</v>
      </c>
      <c r="Q764" s="96">
        <v>173</v>
      </c>
      <c r="R764" s="98">
        <v>0.50009999999999999</v>
      </c>
      <c r="S764" s="94">
        <f>((Table3.110[[#This Row],[Sample weight, g]]*'2.1. DM'!Q173)/100)*1000</f>
        <v>467.12504216188375</v>
      </c>
      <c r="T764" s="94">
        <f>'3.2 Digest'!W764</f>
        <v>266.72504216188372</v>
      </c>
      <c r="U764" s="117">
        <v>0.36527777777777776</v>
      </c>
      <c r="V764" s="155">
        <v>41</v>
      </c>
      <c r="W764" s="117">
        <v>0.73263888888888884</v>
      </c>
      <c r="X764" s="96">
        <v>90</v>
      </c>
      <c r="Y764" s="96">
        <v>13</v>
      </c>
      <c r="Z764" s="155">
        <v>40.5</v>
      </c>
      <c r="AA764" s="117">
        <v>0.40902777777777777</v>
      </c>
      <c r="AB764" s="155">
        <v>83</v>
      </c>
      <c r="AC764" s="155">
        <v>16.8</v>
      </c>
      <c r="AD764" s="96"/>
      <c r="AE764" s="94">
        <f>Table3.110[[#This Row],[Gas 8h, ml]]-Table3.110[[#This Row],[Gas 0h, ml]]</f>
        <v>49</v>
      </c>
      <c r="AF764" s="94">
        <f>Table3.110[[#This Row],[Gas 24h, ml]]-Table3.110[[#This Row],[V8 Push back, ml]]</f>
        <v>42.5</v>
      </c>
      <c r="AG764" s="94">
        <f>Table3.110[[#This Row],[GP 8h, ml]]-AVERAGE(AE$664,AE$665,AE$726,AE$727,AE$788,AE$789)*$AG$8</f>
        <v>47.156235924806332</v>
      </c>
      <c r="AH764" s="94">
        <f>Table3.110[[#This Row],[GP 8-24h, ml]]-AVERAGE(AF$664,AF$665,AF$726,AF$727,AF$788,AF$789)*$AG$8</f>
        <v>40.176857265255975</v>
      </c>
      <c r="AI764" s="94">
        <f>Table3.110[[#This Row],[Net gas 8-24h, ml]]+Table3.110[[#This Row],[Net gas 8h, ml]]</f>
        <v>87.3330931900623</v>
      </c>
      <c r="AJ764" s="94">
        <f>Table3.110[[#This Row],[Net gas 8h, ml]]*Table3.110[[#This Row],[CH4 8h %]]%</f>
        <v>6.1303106702248229</v>
      </c>
      <c r="AK764" s="94">
        <f>Table3.110[[#This Row],[Net gas 8-24h, ml]]*Table3.110[[#This Row],[CH4 24h, %]]%</f>
        <v>6.7497120205630043</v>
      </c>
      <c r="AL764" s="94">
        <f>Table3.110[[#This Row],[CH4 8-24h, ml]]+Table3.110[[#This Row],[CH4 8h, ml]]</f>
        <v>12.880022690787827</v>
      </c>
      <c r="AM764" s="94">
        <f>(Table3.110[[#This Row],[Net gas 24h, ml]]/Table3.110[[#This Row],[DM Incubated, mg]])*1000</f>
        <v>186.95870550180592</v>
      </c>
      <c r="AN764" s="94">
        <f>'3.2 Digest'!X764</f>
        <v>57.099281367460762</v>
      </c>
      <c r="AO764" s="94">
        <f>Table3.110[[#This Row],[Digested feed, mg]]/Table3.110[[#This Row],[Net gas 24h, ml]]</f>
        <v>3.0541119341944318</v>
      </c>
      <c r="AP764" s="94">
        <f>Table3.110[[#This Row],[CH4 8h, ml]]/Table3.110[[#This Row],[Net gas 8h, ml]]%</f>
        <v>12.999999999999998</v>
      </c>
      <c r="AQ764" s="94">
        <f>Table3.110[[#This Row],[CH4 24h, ml]]/Table3.110[[#This Row],[Net gas 24h, ml]]%</f>
        <v>14.748158138355569</v>
      </c>
      <c r="AR764" s="94">
        <f>Table3.110[[#This Row],[CH4 24h, ml]]/Table3.110[[#This Row],[DM Incubated, mg]]*1000</f>
        <v>27.572965540828815</v>
      </c>
      <c r="AS764" s="94">
        <f>Table3.110[[#This Row],[CH4 24h, ml]]/Table3.110[[#This Row],[Digested feed, mg]]*1000</f>
        <v>48.289514124326359</v>
      </c>
      <c r="AT764" s="94">
        <f>Table3.110[[#This Row],[CH4 24h, ml]]/'3.2 Digest'!AA764</f>
        <v>0.53669042450521931</v>
      </c>
      <c r="AU764" s="94">
        <f>((Table3.110[[#This Row],[CH4 24h, ml]]/28.9)*16.04)/Table3.110[[#This Row],[DM Incubated, mg]]*1000</f>
        <v>15.303472916086305</v>
      </c>
      <c r="AV764" s="94">
        <f>((Table3.110[[#This Row],[CH4 24h, ml]]/28.9)*16.04)/Table3.110[[#This Row],[Digested feed, mg]]*1000</f>
        <v>26.801515797723003</v>
      </c>
    </row>
    <row r="765" spans="2:48" s="89" customFormat="1" x14ac:dyDescent="0.35">
      <c r="B765" s="90">
        <f t="shared" si="11"/>
        <v>755</v>
      </c>
      <c r="C765" s="140">
        <v>46076</v>
      </c>
      <c r="D765" s="92" t="s">
        <v>16</v>
      </c>
      <c r="E765" s="6" t="s">
        <v>285</v>
      </c>
      <c r="F765" s="242" t="s">
        <v>269</v>
      </c>
      <c r="G765" s="242" t="s">
        <v>282</v>
      </c>
      <c r="H765" s="6" t="str">
        <f>'[2]1. Information samples'!$K$64</f>
        <v>Crotalaria pumila</v>
      </c>
      <c r="I765" s="57" t="s">
        <v>22</v>
      </c>
      <c r="J765" s="130" t="s">
        <v>23</v>
      </c>
      <c r="K765" s="130" t="s">
        <v>24</v>
      </c>
      <c r="L765" s="6" t="s">
        <v>284</v>
      </c>
      <c r="M765" s="256">
        <v>28</v>
      </c>
      <c r="N765" s="256">
        <v>69</v>
      </c>
      <c r="O765" s="256">
        <v>3</v>
      </c>
      <c r="P765" s="257">
        <v>2</v>
      </c>
      <c r="Q765" s="96">
        <v>174</v>
      </c>
      <c r="R765" s="98">
        <v>0.50049999999999994</v>
      </c>
      <c r="S765" s="94">
        <f>((Table3.110[[#This Row],[Sample weight, g]]*'2.1. DM'!Q173)/100)*1000</f>
        <v>467.49866747055154</v>
      </c>
      <c r="T765" s="94">
        <f>'3.2 Digest'!W765</f>
        <v>204.69866747055153</v>
      </c>
      <c r="U765" s="153">
        <v>0.36527777777777776</v>
      </c>
      <c r="V765" s="154">
        <v>40.5</v>
      </c>
      <c r="W765" s="153">
        <v>0.73333333333333328</v>
      </c>
      <c r="X765" s="91">
        <v>88.5</v>
      </c>
      <c r="Y765" s="91">
        <v>13.4</v>
      </c>
      <c r="Z765" s="154">
        <v>40.5</v>
      </c>
      <c r="AA765" s="153">
        <v>0.40972222222222221</v>
      </c>
      <c r="AB765" s="154">
        <v>83</v>
      </c>
      <c r="AC765" s="154">
        <v>17.100000000000001</v>
      </c>
      <c r="AD765" s="91"/>
      <c r="AE765" s="94">
        <f>Table3.110[[#This Row],[Gas 8h, ml]]-Table3.110[[#This Row],[Gas 0h, ml]]</f>
        <v>48</v>
      </c>
      <c r="AF765" s="94">
        <f>Table3.110[[#This Row],[Gas 24h, ml]]-Table3.110[[#This Row],[V8 Push back, ml]]</f>
        <v>42.5</v>
      </c>
      <c r="AG765" s="94">
        <f>Table3.110[[#This Row],[GP 8h, ml]]-AVERAGE(AE$664,AE$665,AE$726,AE$727,AE$788,AE$789)*$AG$8</f>
        <v>46.156235924806332</v>
      </c>
      <c r="AH765" s="94">
        <f>Table3.110[[#This Row],[GP 8-24h, ml]]-AVERAGE(AF$664,AF$665,AF$726,AF$727,AF$788,AF$789)*$AG$8</f>
        <v>40.176857265255975</v>
      </c>
      <c r="AI765" s="94">
        <f>Table3.110[[#This Row],[Net gas 8-24h, ml]]+Table3.110[[#This Row],[Net gas 8h, ml]]</f>
        <v>86.3330931900623</v>
      </c>
      <c r="AJ765" s="94">
        <f>Table3.110[[#This Row],[Net gas 8h, ml]]*Table3.110[[#This Row],[CH4 8h %]]%</f>
        <v>6.1849356139240488</v>
      </c>
      <c r="AK765" s="94">
        <f>Table3.110[[#This Row],[Net gas 8-24h, ml]]*Table3.110[[#This Row],[CH4 24h, %]]%</f>
        <v>6.870242592358772</v>
      </c>
      <c r="AL765" s="94">
        <f>Table3.110[[#This Row],[CH4 8-24h, ml]]+Table3.110[[#This Row],[CH4 8h, ml]]</f>
        <v>13.055178206282822</v>
      </c>
      <c r="AM765" s="94">
        <f>(Table3.110[[#This Row],[Net gas 24h, ml]]/Table3.110[[#This Row],[DM Incubated, mg]])*1000</f>
        <v>184.67024442481551</v>
      </c>
      <c r="AN765" s="94">
        <f>'3.2 Digest'!X765</f>
        <v>43.785936028030669</v>
      </c>
      <c r="AO765" s="94">
        <f>Table3.110[[#This Row],[Digested feed, mg]]/Table3.110[[#This Row],[Net gas 24h, ml]]</f>
        <v>2.3710336315635931</v>
      </c>
      <c r="AP765" s="94">
        <f>Table3.110[[#This Row],[CH4 8h, ml]]/Table3.110[[#This Row],[Net gas 8h, ml]]%</f>
        <v>13.4</v>
      </c>
      <c r="AQ765" s="94">
        <f>Table3.110[[#This Row],[CH4 24h, ml]]/Table3.110[[#This Row],[Net gas 24h, ml]]%</f>
        <v>15.121870100891494</v>
      </c>
      <c r="AR765" s="94">
        <f>Table3.110[[#This Row],[CH4 24h, ml]]/Table3.110[[#This Row],[DM Incubated, mg]]*1000</f>
        <v>27.925594476919418</v>
      </c>
      <c r="AS765" s="94">
        <f>Table3.110[[#This Row],[CH4 24h, ml]]/Table3.110[[#This Row],[Digested feed, mg]]*1000</f>
        <v>63.777543682158921</v>
      </c>
      <c r="AT765" s="94">
        <f>Table3.110[[#This Row],[CH4 24h, ml]]/'3.2 Digest'!AA765</f>
        <v>31.561332330214164</v>
      </c>
      <c r="AU765" s="94">
        <f>((Table3.110[[#This Row],[CH4 24h, ml]]/28.9)*16.04)/Table3.110[[#This Row],[DM Incubated, mg]]*1000</f>
        <v>15.499188076463234</v>
      </c>
      <c r="AV765" s="94">
        <f>((Table3.110[[#This Row],[CH4 24h, ml]]/28.9)*16.04)/Table3.110[[#This Row],[Digested feed, mg]]*1000</f>
        <v>35.397640161308964</v>
      </c>
    </row>
    <row r="766" spans="2:48" s="89" customFormat="1" x14ac:dyDescent="0.35">
      <c r="B766" s="90">
        <f t="shared" si="11"/>
        <v>756</v>
      </c>
      <c r="C766" s="140">
        <v>46076</v>
      </c>
      <c r="D766" s="92" t="s">
        <v>16</v>
      </c>
      <c r="E766" s="6" t="s">
        <v>287</v>
      </c>
      <c r="F766" s="242" t="s">
        <v>235</v>
      </c>
      <c r="G766" s="242" t="s">
        <v>274</v>
      </c>
      <c r="H766" s="6" t="str">
        <f>'[2]1. Information samples'!$K$65</f>
        <v>Zornia brasiliensis</v>
      </c>
      <c r="I766" s="57" t="s">
        <v>22</v>
      </c>
      <c r="J766" s="130" t="s">
        <v>23</v>
      </c>
      <c r="K766" s="130" t="s">
        <v>24</v>
      </c>
      <c r="L766" s="6" t="s">
        <v>286</v>
      </c>
      <c r="M766" s="256">
        <v>28</v>
      </c>
      <c r="N766" s="256">
        <v>69</v>
      </c>
      <c r="O766" s="256">
        <v>3</v>
      </c>
      <c r="P766" s="257">
        <v>1</v>
      </c>
      <c r="Q766" s="96">
        <v>175</v>
      </c>
      <c r="R766" s="98">
        <v>0.50039999999999996</v>
      </c>
      <c r="S766" s="94">
        <f>((Table3.110[[#This Row],[Sample weight, g]]*'2.1. DM'!Q175)/100)*1000</f>
        <v>460.84930124863939</v>
      </c>
      <c r="T766" s="94">
        <f>'3.2 Digest'!W766</f>
        <v>180.54930124863938</v>
      </c>
      <c r="U766" s="153">
        <v>0.36527777777777776</v>
      </c>
      <c r="V766" s="154">
        <v>40.5</v>
      </c>
      <c r="W766" s="153">
        <v>0.73402777777777772</v>
      </c>
      <c r="X766" s="91">
        <v>77.5</v>
      </c>
      <c r="Y766" s="91">
        <v>12.4</v>
      </c>
      <c r="Z766" s="154">
        <v>40</v>
      </c>
      <c r="AA766" s="153">
        <v>0.41041666666666665</v>
      </c>
      <c r="AB766" s="154">
        <v>71.5</v>
      </c>
      <c r="AC766" s="154">
        <v>18</v>
      </c>
      <c r="AD766" s="91"/>
      <c r="AE766" s="94">
        <f>Table3.110[[#This Row],[Gas 8h, ml]]-Table3.110[[#This Row],[Gas 0h, ml]]</f>
        <v>37</v>
      </c>
      <c r="AF766" s="94">
        <f>Table3.110[[#This Row],[Gas 24h, ml]]-Table3.110[[#This Row],[V8 Push back, ml]]</f>
        <v>31.5</v>
      </c>
      <c r="AG766" s="94">
        <f>Table3.110[[#This Row],[GP 8h, ml]]-AVERAGE(AE$664,AE$665,AE$726,AE$727,AE$788,AE$789)*$AG$8</f>
        <v>35.156235924806332</v>
      </c>
      <c r="AH766" s="94">
        <f>Table3.110[[#This Row],[GP 8-24h, ml]]-AVERAGE(AF$664,AF$665,AF$726,AF$727,AF$788,AF$789)*$AG$8</f>
        <v>29.176857265255975</v>
      </c>
      <c r="AI766" s="94">
        <f>Table3.110[[#This Row],[Net gas 8-24h, ml]]+Table3.110[[#This Row],[Net gas 8h, ml]]</f>
        <v>64.3330931900623</v>
      </c>
      <c r="AJ766" s="94">
        <f>Table3.110[[#This Row],[Net gas 8h, ml]]*Table3.110[[#This Row],[CH4 8h %]]%</f>
        <v>4.3593732546759849</v>
      </c>
      <c r="AK766" s="94">
        <f>Table3.110[[#This Row],[Net gas 8-24h, ml]]*Table3.110[[#This Row],[CH4 24h, %]]%</f>
        <v>5.2518343077460754</v>
      </c>
      <c r="AL766" s="94">
        <f>Table3.110[[#This Row],[CH4 8-24h, ml]]+Table3.110[[#This Row],[CH4 8h, ml]]</f>
        <v>9.6112075624220594</v>
      </c>
      <c r="AM766" s="94">
        <f>(Table3.110[[#This Row],[Net gas 24h, ml]]/Table3.110[[#This Row],[DM Incubated, mg]])*1000</f>
        <v>139.59681183362159</v>
      </c>
      <c r="AN766" s="94">
        <f>'3.2 Digest'!X766</f>
        <v>39.17751437605601</v>
      </c>
      <c r="AO766" s="94">
        <f>Table3.110[[#This Row],[Digested feed, mg]]/Table3.110[[#This Row],[Net gas 24h, ml]]</f>
        <v>2.8064762985239033</v>
      </c>
      <c r="AP766" s="94">
        <f>Table3.110[[#This Row],[CH4 8h, ml]]/Table3.110[[#This Row],[Net gas 8h, ml]]%</f>
        <v>12.399999999999999</v>
      </c>
      <c r="AQ766" s="94">
        <f>Table3.110[[#This Row],[CH4 24h, ml]]/Table3.110[[#This Row],[Net gas 24h, ml]]%</f>
        <v>14.939756641309341</v>
      </c>
      <c r="AR766" s="94">
        <f>Table3.110[[#This Row],[CH4 24h, ml]]/Table3.110[[#This Row],[DM Incubated, mg]]*1000</f>
        <v>20.855423966969582</v>
      </c>
      <c r="AS766" s="94">
        <f>Table3.110[[#This Row],[CH4 24h, ml]]/Table3.110[[#This Row],[Digested feed, mg]]*1000</f>
        <v>53.233147378323011</v>
      </c>
      <c r="AT766" s="94">
        <f>Table3.110[[#This Row],[CH4 24h, ml]]/'3.2 Digest'!AA766</f>
        <v>-0.41868271006622454</v>
      </c>
      <c r="AU766" s="94">
        <f>((Table3.110[[#This Row],[CH4 24h, ml]]/28.9)*16.04)/Table3.110[[#This Row],[DM Incubated, mg]]*1000</f>
        <v>11.575121122151977</v>
      </c>
      <c r="AV766" s="94">
        <f>((Table3.110[[#This Row],[CH4 24h, ml]]/28.9)*16.04)/Table3.110[[#This Row],[Digested feed, mg]]*1000</f>
        <v>29.545317783678243</v>
      </c>
    </row>
    <row r="767" spans="2:48" s="89" customFormat="1" x14ac:dyDescent="0.35">
      <c r="B767" s="90">
        <f t="shared" si="11"/>
        <v>757</v>
      </c>
      <c r="C767" s="140">
        <v>46076</v>
      </c>
      <c r="D767" s="92" t="s">
        <v>16</v>
      </c>
      <c r="E767" s="6" t="s">
        <v>287</v>
      </c>
      <c r="F767" s="242" t="s">
        <v>235</v>
      </c>
      <c r="G767" s="242" t="s">
        <v>274</v>
      </c>
      <c r="H767" s="6" t="str">
        <f>'[2]1. Information samples'!$K$65</f>
        <v>Zornia brasiliensis</v>
      </c>
      <c r="I767" s="57" t="s">
        <v>22</v>
      </c>
      <c r="J767" s="130" t="s">
        <v>23</v>
      </c>
      <c r="K767" s="130" t="s">
        <v>24</v>
      </c>
      <c r="L767" s="6" t="s">
        <v>286</v>
      </c>
      <c r="M767" s="256">
        <v>28</v>
      </c>
      <c r="N767" s="256">
        <v>69</v>
      </c>
      <c r="O767" s="256">
        <v>3</v>
      </c>
      <c r="P767" s="257">
        <v>2</v>
      </c>
      <c r="Q767" s="96">
        <v>176</v>
      </c>
      <c r="R767" s="98">
        <v>0.5</v>
      </c>
      <c r="S767" s="94">
        <f>((Table3.110[[#This Row],[Sample weight, g]]*'2.1. DM'!Q175)/100)*1000</f>
        <v>460.48091651542705</v>
      </c>
      <c r="T767" s="94">
        <f>'3.2 Digest'!W767</f>
        <v>109.38091651542709</v>
      </c>
      <c r="U767" s="117">
        <v>0.36527777777777776</v>
      </c>
      <c r="V767" s="155">
        <v>40.5</v>
      </c>
      <c r="W767" s="117">
        <v>0.73402777777777772</v>
      </c>
      <c r="X767" s="96">
        <v>77.5</v>
      </c>
      <c r="Y767" s="96">
        <v>12.7</v>
      </c>
      <c r="Z767" s="155">
        <v>39.5</v>
      </c>
      <c r="AA767" s="117">
        <v>0.41111111111111109</v>
      </c>
      <c r="AB767" s="155">
        <v>72.5</v>
      </c>
      <c r="AC767" s="155">
        <v>18</v>
      </c>
      <c r="AD767" s="96"/>
      <c r="AE767" s="94">
        <f>Table3.110[[#This Row],[Gas 8h, ml]]-Table3.110[[#This Row],[Gas 0h, ml]]</f>
        <v>37</v>
      </c>
      <c r="AF767" s="94">
        <f>Table3.110[[#This Row],[Gas 24h, ml]]-Table3.110[[#This Row],[V8 Push back, ml]]</f>
        <v>33</v>
      </c>
      <c r="AG767" s="94">
        <f>Table3.110[[#This Row],[GP 8h, ml]]-AVERAGE(AE$664,AE$665,AE$726,AE$727,AE$788,AE$789)*$AG$8</f>
        <v>35.156235924806332</v>
      </c>
      <c r="AH767" s="94">
        <f>Table3.110[[#This Row],[GP 8-24h, ml]]-AVERAGE(AF$664,AF$665,AF$726,AF$727,AF$788,AF$789)*$AG$8</f>
        <v>30.676857265255975</v>
      </c>
      <c r="AI767" s="94">
        <f>Table3.110[[#This Row],[Net gas 8-24h, ml]]+Table3.110[[#This Row],[Net gas 8h, ml]]</f>
        <v>65.8330931900623</v>
      </c>
      <c r="AJ767" s="94">
        <f>Table3.110[[#This Row],[Net gas 8h, ml]]*Table3.110[[#This Row],[CH4 8h %]]%</f>
        <v>4.4648419624504045</v>
      </c>
      <c r="AK767" s="94">
        <f>Table3.110[[#This Row],[Net gas 8-24h, ml]]*Table3.110[[#This Row],[CH4 24h, %]]%</f>
        <v>5.521834307746075</v>
      </c>
      <c r="AL767" s="94">
        <f>Table3.110[[#This Row],[CH4 8-24h, ml]]+Table3.110[[#This Row],[CH4 8h, ml]]</f>
        <v>9.9866762701964795</v>
      </c>
      <c r="AM767" s="94">
        <f>(Table3.110[[#This Row],[Net gas 24h, ml]]/Table3.110[[#This Row],[DM Incubated, mg]])*1000</f>
        <v>142.96595326520281</v>
      </c>
      <c r="AN767" s="94">
        <f>'3.2 Digest'!X767</f>
        <v>23.753626391977221</v>
      </c>
      <c r="AO767" s="94">
        <f>Table3.110[[#This Row],[Digested feed, mg]]/Table3.110[[#This Row],[Net gas 24h, ml]]</f>
        <v>1.6614883368709532</v>
      </c>
      <c r="AP767" s="94">
        <f>Table3.110[[#This Row],[CH4 8h, ml]]/Table3.110[[#This Row],[Net gas 8h, ml]]%</f>
        <v>12.700000000000001</v>
      </c>
      <c r="AQ767" s="94">
        <f>Table3.110[[#This Row],[CH4 24h, ml]]/Table3.110[[#This Row],[Net gas 24h, ml]]%</f>
        <v>15.169690175979758</v>
      </c>
      <c r="AR767" s="94">
        <f>Table3.110[[#This Row],[CH4 24h, ml]]/Table3.110[[#This Row],[DM Incubated, mg]]*1000</f>
        <v>21.687492167467283</v>
      </c>
      <c r="AS767" s="94">
        <f>Table3.110[[#This Row],[CH4 24h, ml]]/Table3.110[[#This Row],[Digested feed, mg]]*1000</f>
        <v>91.301815603162908</v>
      </c>
      <c r="AT767" s="94">
        <f>Table3.110[[#This Row],[CH4 24h, ml]]/'3.2 Digest'!AA767</f>
        <v>-0.18447378004837342</v>
      </c>
      <c r="AU767" s="94">
        <f>((Table3.110[[#This Row],[CH4 24h, ml]]/28.9)*16.04)/Table3.110[[#This Row],[DM Incubated, mg]]*1000</f>
        <v>12.036933369071805</v>
      </c>
      <c r="AV767" s="94">
        <f>((Table3.110[[#This Row],[CH4 24h, ml]]/28.9)*16.04)/Table3.110[[#This Row],[Digested feed, mg]]*1000</f>
        <v>50.67408727594232</v>
      </c>
    </row>
    <row r="768" spans="2:48" s="89" customFormat="1" x14ac:dyDescent="0.35">
      <c r="B768" s="90">
        <f t="shared" si="11"/>
        <v>758</v>
      </c>
      <c r="C768" s="140">
        <v>46076</v>
      </c>
      <c r="D768" s="92" t="s">
        <v>16</v>
      </c>
      <c r="E768" s="6" t="s">
        <v>289</v>
      </c>
      <c r="F768" s="242" t="s">
        <v>290</v>
      </c>
      <c r="G768" s="242" t="s">
        <v>291</v>
      </c>
      <c r="H768" s="6" t="str">
        <f>'[2]1. Information samples'!$K$66</f>
        <v>Indigofera spicata</v>
      </c>
      <c r="I768" s="57" t="s">
        <v>22</v>
      </c>
      <c r="J768" s="130" t="s">
        <v>23</v>
      </c>
      <c r="K768" s="130" t="s">
        <v>24</v>
      </c>
      <c r="L768" s="6" t="s">
        <v>288</v>
      </c>
      <c r="M768" s="256">
        <v>28</v>
      </c>
      <c r="N768" s="256">
        <v>69</v>
      </c>
      <c r="O768" s="256">
        <v>3</v>
      </c>
      <c r="P768" s="257">
        <v>1</v>
      </c>
      <c r="Q768" s="96">
        <v>177</v>
      </c>
      <c r="R768" s="98">
        <v>0.5</v>
      </c>
      <c r="S768" s="94">
        <f>((Table3.110[[#This Row],[Sample weight, g]]*'2.1. DM'!Q177)/100)*1000</f>
        <v>457.99192649976902</v>
      </c>
      <c r="T768" s="94">
        <f>'3.2 Digest'!W768</f>
        <v>233.79192649976895</v>
      </c>
      <c r="U768" s="117">
        <v>0.3659722222222222</v>
      </c>
      <c r="V768" s="155">
        <v>41</v>
      </c>
      <c r="W768" s="117">
        <v>0.73472222222222228</v>
      </c>
      <c r="X768" s="96">
        <v>76.5</v>
      </c>
      <c r="Y768" s="96">
        <v>12.7</v>
      </c>
      <c r="Z768" s="155">
        <v>40.5</v>
      </c>
      <c r="AA768" s="117">
        <v>0.41180555555555554</v>
      </c>
      <c r="AB768" s="155">
        <v>85.5</v>
      </c>
      <c r="AC768" s="155">
        <v>16.3</v>
      </c>
      <c r="AD768" s="96"/>
      <c r="AE768" s="94">
        <f>Table3.110[[#This Row],[Gas 8h, ml]]-Table3.110[[#This Row],[Gas 0h, ml]]</f>
        <v>35.5</v>
      </c>
      <c r="AF768" s="94">
        <f>Table3.110[[#This Row],[Gas 24h, ml]]-Table3.110[[#This Row],[V8 Push back, ml]]</f>
        <v>45</v>
      </c>
      <c r="AG768" s="94">
        <f>Table3.110[[#This Row],[GP 8h, ml]]-AVERAGE(AE$664,AE$665,AE$726,AE$727,AE$788,AE$789)*$AG$8</f>
        <v>33.656235924806332</v>
      </c>
      <c r="AH768" s="94">
        <f>Table3.110[[#This Row],[GP 8-24h, ml]]-AVERAGE(AF$664,AF$665,AF$726,AF$727,AF$788,AF$789)*$AG$8</f>
        <v>42.676857265255975</v>
      </c>
      <c r="AI768" s="94">
        <f>Table3.110[[#This Row],[Net gas 8-24h, ml]]+Table3.110[[#This Row],[Net gas 8h, ml]]</f>
        <v>76.3330931900623</v>
      </c>
      <c r="AJ768" s="94">
        <f>Table3.110[[#This Row],[Net gas 8h, ml]]*Table3.110[[#This Row],[CH4 8h %]]%</f>
        <v>4.2743419624504044</v>
      </c>
      <c r="AK768" s="94">
        <f>Table3.110[[#This Row],[Net gas 8-24h, ml]]*Table3.110[[#This Row],[CH4 24h, %]]%</f>
        <v>6.9563277342367247</v>
      </c>
      <c r="AL768" s="94">
        <f>Table3.110[[#This Row],[CH4 8-24h, ml]]+Table3.110[[#This Row],[CH4 8h, ml]]</f>
        <v>11.23066969668713</v>
      </c>
      <c r="AM768" s="94">
        <f>(Table3.110[[#This Row],[Net gas 24h, ml]]/Table3.110[[#This Row],[DM Incubated, mg]])*1000</f>
        <v>166.66908033388836</v>
      </c>
      <c r="AN768" s="94">
        <f>'3.2 Digest'!X768</f>
        <v>51.047172007274867</v>
      </c>
      <c r="AO768" s="94">
        <f>Table3.110[[#This Row],[Digested feed, mg]]/Table3.110[[#This Row],[Net gas 24h, ml]]</f>
        <v>3.0627859651599443</v>
      </c>
      <c r="AP768" s="94">
        <f>Table3.110[[#This Row],[CH4 8h, ml]]/Table3.110[[#This Row],[Net gas 8h, ml]]%</f>
        <v>12.700000000000001</v>
      </c>
      <c r="AQ768" s="94">
        <f>Table3.110[[#This Row],[CH4 24h, ml]]/Table3.110[[#This Row],[Net gas 24h, ml]]%</f>
        <v>14.712714010846918</v>
      </c>
      <c r="AR768" s="94">
        <f>Table3.110[[#This Row],[CH4 24h, ml]]/Table3.110[[#This Row],[DM Incubated, mg]]*1000</f>
        <v>24.521545134033698</v>
      </c>
      <c r="AS768" s="94">
        <f>Table3.110[[#This Row],[CH4 24h, ml]]/Table3.110[[#This Row],[Digested feed, mg]]*1000</f>
        <v>48.037029613587748</v>
      </c>
      <c r="AT768" s="94">
        <f>Table3.110[[#This Row],[CH4 24h, ml]]/'3.2 Digest'!AA768</f>
        <v>-0.76289816888108297</v>
      </c>
      <c r="AU768" s="94">
        <f>((Table3.110[[#This Row],[CH4 24h, ml]]/28.9)*16.04)/Table3.110[[#This Row],[DM Incubated, mg]]*1000</f>
        <v>13.60988179757441</v>
      </c>
      <c r="AV768" s="94">
        <f>((Table3.110[[#This Row],[CH4 24h, ml]]/28.9)*16.04)/Table3.110[[#This Row],[Digested feed, mg]]*1000</f>
        <v>26.661382526018937</v>
      </c>
    </row>
    <row r="769" spans="2:48" s="89" customFormat="1" x14ac:dyDescent="0.35">
      <c r="B769" s="90">
        <f t="shared" si="11"/>
        <v>759</v>
      </c>
      <c r="C769" s="140">
        <v>46076</v>
      </c>
      <c r="D769" s="92" t="s">
        <v>16</v>
      </c>
      <c r="E769" s="6" t="s">
        <v>289</v>
      </c>
      <c r="F769" s="242" t="s">
        <v>290</v>
      </c>
      <c r="G769" s="242" t="s">
        <v>291</v>
      </c>
      <c r="H769" s="6" t="str">
        <f>'[2]1. Information samples'!$K$66</f>
        <v>Indigofera spicata</v>
      </c>
      <c r="I769" s="57" t="s">
        <v>22</v>
      </c>
      <c r="J769" s="130" t="s">
        <v>23</v>
      </c>
      <c r="K769" s="130" t="s">
        <v>24</v>
      </c>
      <c r="L769" s="6" t="s">
        <v>288</v>
      </c>
      <c r="M769" s="256">
        <v>28</v>
      </c>
      <c r="N769" s="256">
        <v>69</v>
      </c>
      <c r="O769" s="256">
        <v>3</v>
      </c>
      <c r="P769" s="257">
        <v>2</v>
      </c>
      <c r="Q769" s="96">
        <v>178</v>
      </c>
      <c r="R769" s="98">
        <v>0.5</v>
      </c>
      <c r="S769" s="94">
        <f>((Table3.110[[#This Row],[Sample weight, g]]*'2.1. DM'!Q177)/100)*1000</f>
        <v>457.99192649976902</v>
      </c>
      <c r="T769" s="94">
        <f>'3.2 Digest'!W769</f>
        <v>247.49192649976899</v>
      </c>
      <c r="U769" s="153">
        <v>0.3659722222222222</v>
      </c>
      <c r="V769" s="154">
        <v>40.5</v>
      </c>
      <c r="W769" s="153">
        <v>0.73472222222222228</v>
      </c>
      <c r="X769" s="91">
        <v>75.5</v>
      </c>
      <c r="Y769" s="91">
        <v>12.5</v>
      </c>
      <c r="Z769" s="154">
        <v>40</v>
      </c>
      <c r="AA769" s="153">
        <v>0.41180555555555554</v>
      </c>
      <c r="AB769" s="154">
        <v>85</v>
      </c>
      <c r="AC769" s="154">
        <v>16</v>
      </c>
      <c r="AD769" s="91"/>
      <c r="AE769" s="94">
        <f>Table3.110[[#This Row],[Gas 8h, ml]]-Table3.110[[#This Row],[Gas 0h, ml]]</f>
        <v>35</v>
      </c>
      <c r="AF769" s="94">
        <f>Table3.110[[#This Row],[Gas 24h, ml]]-Table3.110[[#This Row],[V8 Push back, ml]]</f>
        <v>45</v>
      </c>
      <c r="AG769" s="94">
        <f>Table3.110[[#This Row],[GP 8h, ml]]-AVERAGE(AE$664,AE$665,AE$726,AE$727,AE$788,AE$789)*$AG$8</f>
        <v>33.156235924806332</v>
      </c>
      <c r="AH769" s="94">
        <f>Table3.110[[#This Row],[GP 8-24h, ml]]-AVERAGE(AF$664,AF$665,AF$726,AF$727,AF$788,AF$789)*$AG$8</f>
        <v>42.676857265255975</v>
      </c>
      <c r="AI769" s="94">
        <f>Table3.110[[#This Row],[Net gas 8-24h, ml]]+Table3.110[[#This Row],[Net gas 8h, ml]]</f>
        <v>75.8330931900623</v>
      </c>
      <c r="AJ769" s="94">
        <f>Table3.110[[#This Row],[Net gas 8h, ml]]*Table3.110[[#This Row],[CH4 8h %]]%</f>
        <v>4.1445294906007915</v>
      </c>
      <c r="AK769" s="94">
        <f>Table3.110[[#This Row],[Net gas 8-24h, ml]]*Table3.110[[#This Row],[CH4 24h, %]]%</f>
        <v>6.8282971624409559</v>
      </c>
      <c r="AL769" s="94">
        <f>Table3.110[[#This Row],[CH4 8-24h, ml]]+Table3.110[[#This Row],[CH4 8h, ml]]</f>
        <v>10.972826653041746</v>
      </c>
      <c r="AM769" s="94">
        <f>(Table3.110[[#This Row],[Net gas 24h, ml]]/Table3.110[[#This Row],[DM Incubated, mg]])*1000</f>
        <v>165.57735803253411</v>
      </c>
      <c r="AN769" s="94">
        <f>'3.2 Digest'!X769</f>
        <v>54.038491112985554</v>
      </c>
      <c r="AO769" s="94">
        <f>Table3.110[[#This Row],[Digested feed, mg]]/Table3.110[[#This Row],[Net gas 24h, ml]]</f>
        <v>3.2636401350459758</v>
      </c>
      <c r="AP769" s="94">
        <f>Table3.110[[#This Row],[CH4 8h, ml]]/Table3.110[[#This Row],[Net gas 8h, ml]]%</f>
        <v>12.5</v>
      </c>
      <c r="AQ769" s="94">
        <f>Table3.110[[#This Row],[CH4 24h, ml]]/Table3.110[[#This Row],[Net gas 24h, ml]]%</f>
        <v>14.469707342070683</v>
      </c>
      <c r="AR769" s="94">
        <f>Table3.110[[#This Row],[CH4 24h, ml]]/Table3.110[[#This Row],[DM Incubated, mg]]*1000</f>
        <v>23.958559132040246</v>
      </c>
      <c r="AS769" s="94">
        <f>Table3.110[[#This Row],[CH4 24h, ml]]/Table3.110[[#This Row],[Digested feed, mg]]*1000</f>
        <v>44.33609939616349</v>
      </c>
      <c r="AT769" s="94">
        <f>Table3.110[[#This Row],[CH4 24h, ml]]/'3.2 Digest'!AA769</f>
        <v>-1.4230285460824958</v>
      </c>
      <c r="AU769" s="94">
        <f>((Table3.110[[#This Row],[CH4 24h, ml]]/28.9)*16.04)/Table3.110[[#This Row],[DM Incubated, mg]]*1000</f>
        <v>13.297414826225797</v>
      </c>
      <c r="AV769" s="94">
        <f>((Table3.110[[#This Row],[CH4 24h, ml]]/28.9)*16.04)/Table3.110[[#This Row],[Digested feed, mg]]*1000</f>
        <v>24.607302225413921</v>
      </c>
    </row>
    <row r="770" spans="2:48" s="89" customFormat="1" x14ac:dyDescent="0.35">
      <c r="B770" s="90">
        <f t="shared" si="11"/>
        <v>760</v>
      </c>
      <c r="C770" s="140">
        <v>46076</v>
      </c>
      <c r="D770" s="92" t="s">
        <v>16</v>
      </c>
      <c r="E770" s="6" t="s">
        <v>294</v>
      </c>
      <c r="F770" s="242" t="s">
        <v>240</v>
      </c>
      <c r="G770" s="242" t="s">
        <v>241</v>
      </c>
      <c r="H770" s="6" t="str">
        <f>'[2]1. Information samples'!$K$67</f>
        <v>Stylosanthes seabrana</v>
      </c>
      <c r="I770" s="57" t="s">
        <v>22</v>
      </c>
      <c r="J770" s="130" t="s">
        <v>23</v>
      </c>
      <c r="K770" s="130" t="s">
        <v>24</v>
      </c>
      <c r="L770" s="6" t="s">
        <v>293</v>
      </c>
      <c r="M770" s="256">
        <v>28</v>
      </c>
      <c r="N770" s="256">
        <v>69</v>
      </c>
      <c r="O770" s="256">
        <v>3</v>
      </c>
      <c r="P770" s="257">
        <v>1</v>
      </c>
      <c r="Q770" s="96">
        <v>179</v>
      </c>
      <c r="R770" s="98">
        <v>0.50029999999999997</v>
      </c>
      <c r="S770" s="94">
        <f>((Table3.110[[#This Row],[Sample weight, g]]*'2.1. DM'!Q179)/100)*1000</f>
        <v>464.01230808272004</v>
      </c>
      <c r="T770" s="94">
        <f>'3.2 Digest'!W770</f>
        <v>149.91230808272002</v>
      </c>
      <c r="U770" s="153">
        <v>0.3659722222222222</v>
      </c>
      <c r="V770" s="154">
        <v>40.5</v>
      </c>
      <c r="W770" s="153">
        <v>0.73541666666666672</v>
      </c>
      <c r="X770" s="91">
        <v>74.5</v>
      </c>
      <c r="Y770" s="91">
        <v>11.3</v>
      </c>
      <c r="Z770" s="154">
        <v>40</v>
      </c>
      <c r="AA770" s="153">
        <v>0.41249999999999998</v>
      </c>
      <c r="AB770" s="154">
        <v>84</v>
      </c>
      <c r="AC770" s="154">
        <v>14.8</v>
      </c>
      <c r="AD770" s="91"/>
      <c r="AE770" s="94">
        <f>Table3.110[[#This Row],[Gas 8h, ml]]-Table3.110[[#This Row],[Gas 0h, ml]]</f>
        <v>34</v>
      </c>
      <c r="AF770" s="94">
        <f>Table3.110[[#This Row],[Gas 24h, ml]]-Table3.110[[#This Row],[V8 Push back, ml]]</f>
        <v>44</v>
      </c>
      <c r="AG770" s="94">
        <f>Table3.110[[#This Row],[GP 8h, ml]]-AVERAGE(AE$664,AE$665,AE$726,AE$727,AE$788,AE$789)*$AG$8</f>
        <v>32.156235924806332</v>
      </c>
      <c r="AH770" s="94">
        <f>Table3.110[[#This Row],[GP 8-24h, ml]]-AVERAGE(AF$664,AF$665,AF$726,AF$727,AF$788,AF$789)*$AG$8</f>
        <v>41.676857265255975</v>
      </c>
      <c r="AI770" s="94">
        <f>Table3.110[[#This Row],[Net gas 8-24h, ml]]+Table3.110[[#This Row],[Net gas 8h, ml]]</f>
        <v>73.8330931900623</v>
      </c>
      <c r="AJ770" s="94">
        <f>Table3.110[[#This Row],[Net gas 8h, ml]]*Table3.110[[#This Row],[CH4 8h %]]%</f>
        <v>3.6336546595031156</v>
      </c>
      <c r="AK770" s="94">
        <f>Table3.110[[#This Row],[Net gas 8-24h, ml]]*Table3.110[[#This Row],[CH4 24h, %]]%</f>
        <v>6.1681748752578853</v>
      </c>
      <c r="AL770" s="94">
        <f>Table3.110[[#This Row],[CH4 8-24h, ml]]+Table3.110[[#This Row],[CH4 8h, ml]]</f>
        <v>9.8018295347610014</v>
      </c>
      <c r="AM770" s="94">
        <f>(Table3.110[[#This Row],[Net gas 24h, ml]]/Table3.110[[#This Row],[DM Incubated, mg]])*1000</f>
        <v>159.11882487586942</v>
      </c>
      <c r="AN770" s="94">
        <f>'3.2 Digest'!X770</f>
        <v>32.307830087988734</v>
      </c>
      <c r="AO770" s="94">
        <f>Table3.110[[#This Row],[Digested feed, mg]]/Table3.110[[#This Row],[Net gas 24h, ml]]</f>
        <v>2.030421611848408</v>
      </c>
      <c r="AP770" s="94">
        <f>Table3.110[[#This Row],[CH4 8h, ml]]/Table3.110[[#This Row],[Net gas 8h, ml]]%</f>
        <v>11.3</v>
      </c>
      <c r="AQ770" s="94">
        <f>Table3.110[[#This Row],[CH4 24h, ml]]/Table3.110[[#This Row],[Net gas 24h, ml]]%</f>
        <v>13.2756588018451</v>
      </c>
      <c r="AR770" s="94">
        <f>Table3.110[[#This Row],[CH4 24h, ml]]/Table3.110[[#This Row],[DM Incubated, mg]]*1000</f>
        <v>21.12407228002585</v>
      </c>
      <c r="AS770" s="94">
        <f>Table3.110[[#This Row],[CH4 24h, ml]]/Table3.110[[#This Row],[Digested feed, mg]]*1000</f>
        <v>65.383754410294685</v>
      </c>
      <c r="AT770" s="94">
        <f>Table3.110[[#This Row],[CH4 24h, ml]]/'3.2 Digest'!AA770</f>
        <v>-0.5372441684743855</v>
      </c>
      <c r="AU770" s="94">
        <f>((Table3.110[[#This Row],[CH4 24h, ml]]/28.9)*16.04)/Table3.110[[#This Row],[DM Incubated, mg]]*1000</f>
        <v>11.724225583792894</v>
      </c>
      <c r="AV770" s="94">
        <f>((Table3.110[[#This Row],[CH4 24h, ml]]/28.9)*16.04)/Table3.110[[#This Row],[Digested feed, mg]]*1000</f>
        <v>36.289114904537264</v>
      </c>
    </row>
    <row r="771" spans="2:48" s="89" customFormat="1" x14ac:dyDescent="0.35">
      <c r="B771" s="90">
        <f t="shared" si="11"/>
        <v>761</v>
      </c>
      <c r="C771" s="140">
        <v>46076</v>
      </c>
      <c r="D771" s="92" t="s">
        <v>16</v>
      </c>
      <c r="E771" s="6" t="s">
        <v>294</v>
      </c>
      <c r="F771" s="242" t="s">
        <v>240</v>
      </c>
      <c r="G771" s="242" t="s">
        <v>241</v>
      </c>
      <c r="H771" s="6" t="str">
        <f>'[2]1. Information samples'!$K$67</f>
        <v>Stylosanthes seabrana</v>
      </c>
      <c r="I771" s="57" t="s">
        <v>22</v>
      </c>
      <c r="J771" s="130" t="s">
        <v>23</v>
      </c>
      <c r="K771" s="130" t="s">
        <v>24</v>
      </c>
      <c r="L771" s="6" t="s">
        <v>293</v>
      </c>
      <c r="M771" s="256">
        <v>28</v>
      </c>
      <c r="N771" s="256">
        <v>69</v>
      </c>
      <c r="O771" s="256">
        <v>3</v>
      </c>
      <c r="P771" s="257">
        <v>2</v>
      </c>
      <c r="Q771" s="96">
        <v>180</v>
      </c>
      <c r="R771" s="98">
        <v>0.50009999999999999</v>
      </c>
      <c r="S771" s="94">
        <f>((Table3.110[[#This Row],[Sample weight, g]]*'2.1. DM'!Q179)/100)*1000</f>
        <v>463.82681445566323</v>
      </c>
      <c r="T771" s="94">
        <f>'3.2 Digest'!W771</f>
        <v>138.4268144556633</v>
      </c>
      <c r="U771" s="117">
        <v>0.3659722222222222</v>
      </c>
      <c r="V771" s="155">
        <v>41</v>
      </c>
      <c r="W771" s="117">
        <v>0.73541666666666672</v>
      </c>
      <c r="X771" s="96">
        <v>72</v>
      </c>
      <c r="Y771" s="96">
        <v>11.2</v>
      </c>
      <c r="Z771" s="155">
        <v>40</v>
      </c>
      <c r="AA771" s="117">
        <v>0.41249999999999998</v>
      </c>
      <c r="AB771" s="155">
        <v>82</v>
      </c>
      <c r="AC771" s="155">
        <v>14.7</v>
      </c>
      <c r="AD771" s="96"/>
      <c r="AE771" s="94">
        <f>Table3.110[[#This Row],[Gas 8h, ml]]-Table3.110[[#This Row],[Gas 0h, ml]]</f>
        <v>31</v>
      </c>
      <c r="AF771" s="94">
        <f>Table3.110[[#This Row],[Gas 24h, ml]]-Table3.110[[#This Row],[V8 Push back, ml]]</f>
        <v>42</v>
      </c>
      <c r="AG771" s="94">
        <f>Table3.110[[#This Row],[GP 8h, ml]]-AVERAGE(AE$664,AE$665,AE$726,AE$727,AE$788,AE$789)*$AG$8</f>
        <v>29.156235924806332</v>
      </c>
      <c r="AH771" s="94">
        <f>Table3.110[[#This Row],[GP 8-24h, ml]]-AVERAGE(AF$664,AF$665,AF$726,AF$727,AF$788,AF$789)*$AG$8</f>
        <v>39.676857265255975</v>
      </c>
      <c r="AI771" s="94">
        <f>Table3.110[[#This Row],[Net gas 8-24h, ml]]+Table3.110[[#This Row],[Net gas 8h, ml]]</f>
        <v>68.8330931900623</v>
      </c>
      <c r="AJ771" s="94">
        <f>Table3.110[[#This Row],[Net gas 8h, ml]]*Table3.110[[#This Row],[CH4 8h %]]%</f>
        <v>3.2654984235783089</v>
      </c>
      <c r="AK771" s="94">
        <f>Table3.110[[#This Row],[Net gas 8-24h, ml]]*Table3.110[[#This Row],[CH4 24h, %]]%</f>
        <v>5.832498017992628</v>
      </c>
      <c r="AL771" s="94">
        <f>Table3.110[[#This Row],[CH4 8-24h, ml]]+Table3.110[[#This Row],[CH4 8h, ml]]</f>
        <v>9.0979964415709365</v>
      </c>
      <c r="AM771" s="94">
        <f>(Table3.110[[#This Row],[Net gas 24h, ml]]/Table3.110[[#This Row],[DM Incubated, mg]])*1000</f>
        <v>148.4025740746431</v>
      </c>
      <c r="AN771" s="94">
        <f>'3.2 Digest'!X771</f>
        <v>29.844504487761863</v>
      </c>
      <c r="AO771" s="94">
        <f>Table3.110[[#This Row],[Digested feed, mg]]/Table3.110[[#This Row],[Net gas 24h, ml]]</f>
        <v>2.01105032536368</v>
      </c>
      <c r="AP771" s="94">
        <f>Table3.110[[#This Row],[CH4 8h, ml]]/Table3.110[[#This Row],[Net gas 8h, ml]]%</f>
        <v>11.199999999999998</v>
      </c>
      <c r="AQ771" s="94">
        <f>Table3.110[[#This Row],[CH4 24h, ml]]/Table3.110[[#This Row],[Net gas 24h, ml]]%</f>
        <v>13.217474357064706</v>
      </c>
      <c r="AR771" s="94">
        <f>Table3.110[[#This Row],[CH4 24h, ml]]/Table3.110[[#This Row],[DM Incubated, mg]]*1000</f>
        <v>19.615072173539904</v>
      </c>
      <c r="AS771" s="94">
        <f>Table3.110[[#This Row],[CH4 24h, ml]]/Table3.110[[#This Row],[Digested feed, mg]]*1000</f>
        <v>65.724234696485993</v>
      </c>
      <c r="AT771" s="94">
        <f>Table3.110[[#This Row],[CH4 24h, ml]]/'3.2 Digest'!AA771</f>
        <v>-0.40350209674020654</v>
      </c>
      <c r="AU771" s="94">
        <f>((Table3.110[[#This Row],[CH4 24h, ml]]/28.9)*16.04)/Table3.110[[#This Row],[DM Incubated, mg]]*1000</f>
        <v>10.886704417424916</v>
      </c>
      <c r="AV771" s="94">
        <f>((Table3.110[[#This Row],[CH4 24h, ml]]/28.9)*16.04)/Table3.110[[#This Row],[Digested feed, mg]]*1000</f>
        <v>36.478087354035829</v>
      </c>
    </row>
    <row r="772" spans="2:48" s="89" customFormat="1" x14ac:dyDescent="0.35">
      <c r="B772" s="90">
        <f t="shared" si="11"/>
        <v>762</v>
      </c>
      <c r="C772" s="140">
        <v>46076</v>
      </c>
      <c r="D772" s="92" t="s">
        <v>16</v>
      </c>
      <c r="E772" s="6" t="s">
        <v>296</v>
      </c>
      <c r="F772" s="242" t="s">
        <v>240</v>
      </c>
      <c r="G772" s="242" t="s">
        <v>297</v>
      </c>
      <c r="H772" s="6" t="str">
        <f>'[2]1. Information samples'!$K$68</f>
        <v>Stylosanthes sympodialis</v>
      </c>
      <c r="I772" s="57" t="s">
        <v>22</v>
      </c>
      <c r="J772" s="130" t="s">
        <v>23</v>
      </c>
      <c r="K772" s="130" t="s">
        <v>24</v>
      </c>
      <c r="L772" s="6" t="s">
        <v>295</v>
      </c>
      <c r="M772" s="256">
        <v>28</v>
      </c>
      <c r="N772" s="256">
        <v>69</v>
      </c>
      <c r="O772" s="256">
        <v>3</v>
      </c>
      <c r="P772" s="257">
        <v>1</v>
      </c>
      <c r="Q772" s="96">
        <v>181</v>
      </c>
      <c r="R772" s="98">
        <v>0.5</v>
      </c>
      <c r="S772" s="94">
        <f>((Table3.110[[#This Row],[Sample weight, g]]*'2.1. DM'!Q181)/100)*1000</f>
        <v>458.60621646293623</v>
      </c>
      <c r="T772" s="94">
        <f>'3.2 Digest'!W772</f>
        <v>244.1062164629362</v>
      </c>
      <c r="U772" s="117">
        <v>0.36666666666666664</v>
      </c>
      <c r="V772" s="155">
        <v>40.5</v>
      </c>
      <c r="W772" s="117">
        <v>0.73611111111111116</v>
      </c>
      <c r="X772" s="96">
        <v>84.5</v>
      </c>
      <c r="Y772" s="96">
        <v>11.5</v>
      </c>
      <c r="Z772" s="155">
        <v>40.5</v>
      </c>
      <c r="AA772" s="117">
        <v>0.41388888888888886</v>
      </c>
      <c r="AB772" s="155">
        <v>86.5</v>
      </c>
      <c r="AC772" s="155">
        <v>15.7</v>
      </c>
      <c r="AD772" s="96"/>
      <c r="AE772" s="94">
        <f>Table3.110[[#This Row],[Gas 8h, ml]]-Table3.110[[#This Row],[Gas 0h, ml]]</f>
        <v>44</v>
      </c>
      <c r="AF772" s="94">
        <f>Table3.110[[#This Row],[Gas 24h, ml]]-Table3.110[[#This Row],[V8 Push back, ml]]</f>
        <v>46</v>
      </c>
      <c r="AG772" s="94">
        <f>Table3.110[[#This Row],[GP 8h, ml]]-AVERAGE(AE$664,AE$665,AE$726,AE$727,AE$788,AE$789)*$AG$8</f>
        <v>42.156235924806332</v>
      </c>
      <c r="AH772" s="94">
        <f>Table3.110[[#This Row],[GP 8-24h, ml]]-AVERAGE(AF$664,AF$665,AF$726,AF$727,AF$788,AF$789)*$AG$8</f>
        <v>43.676857265255975</v>
      </c>
      <c r="AI772" s="94">
        <f>Table3.110[[#This Row],[Net gas 8-24h, ml]]+Table3.110[[#This Row],[Net gas 8h, ml]]</f>
        <v>85.8330931900623</v>
      </c>
      <c r="AJ772" s="94">
        <f>Table3.110[[#This Row],[Net gas 8h, ml]]*Table3.110[[#This Row],[CH4 8h %]]%</f>
        <v>4.8479671313527284</v>
      </c>
      <c r="AK772" s="94">
        <f>Table3.110[[#This Row],[Net gas 8-24h, ml]]*Table3.110[[#This Row],[CH4 24h, %]]%</f>
        <v>6.857266590645188</v>
      </c>
      <c r="AL772" s="94">
        <f>Table3.110[[#This Row],[CH4 8-24h, ml]]+Table3.110[[#This Row],[CH4 8h, ml]]</f>
        <v>11.705233721997917</v>
      </c>
      <c r="AM772" s="94">
        <f>(Table3.110[[#This Row],[Net gas 24h, ml]]/Table3.110[[#This Row],[DM Incubated, mg]])*1000</f>
        <v>187.16077128666481</v>
      </c>
      <c r="AN772" s="94">
        <f>'3.2 Digest'!X772</f>
        <v>53.227847268543172</v>
      </c>
      <c r="AO772" s="94">
        <f>Table3.110[[#This Row],[Digested feed, mg]]/Table3.110[[#This Row],[Net gas 24h, ml]]</f>
        <v>2.8439638767579525</v>
      </c>
      <c r="AP772" s="94">
        <f>Table3.110[[#This Row],[CH4 8h, ml]]/Table3.110[[#This Row],[Net gas 8h, ml]]%</f>
        <v>11.500000000000002</v>
      </c>
      <c r="AQ772" s="94">
        <f>Table3.110[[#This Row],[CH4 24h, ml]]/Table3.110[[#This Row],[Net gas 24h, ml]]%</f>
        <v>13.637203655329925</v>
      </c>
      <c r="AR772" s="94">
        <f>Table3.110[[#This Row],[CH4 24h, ml]]/Table3.110[[#This Row],[DM Incubated, mg]]*1000</f>
        <v>25.523495543248735</v>
      </c>
      <c r="AS772" s="94">
        <f>Table3.110[[#This Row],[CH4 24h, ml]]/Table3.110[[#This Row],[Digested feed, mg]]*1000</f>
        <v>47.951395468763813</v>
      </c>
      <c r="AT772" s="94">
        <f>Table3.110[[#This Row],[CH4 24h, ml]]/'3.2 Digest'!AA772</f>
        <v>0.49876353790888006</v>
      </c>
      <c r="AU772" s="94">
        <f>((Table3.110[[#This Row],[CH4 24h, ml]]/28.9)*16.04)/Table3.110[[#This Row],[DM Incubated, mg]]*1000</f>
        <v>14.165981609470926</v>
      </c>
      <c r="AV772" s="94">
        <f>((Table3.110[[#This Row],[CH4 24h, ml]]/28.9)*16.04)/Table3.110[[#This Row],[Digested feed, mg]]*1000</f>
        <v>26.613854094082065</v>
      </c>
    </row>
    <row r="773" spans="2:48" s="89" customFormat="1" x14ac:dyDescent="0.35">
      <c r="B773" s="90">
        <f t="shared" si="11"/>
        <v>763</v>
      </c>
      <c r="C773" s="140">
        <v>46076</v>
      </c>
      <c r="D773" s="92" t="s">
        <v>16</v>
      </c>
      <c r="E773" s="6" t="s">
        <v>296</v>
      </c>
      <c r="F773" s="242" t="s">
        <v>240</v>
      </c>
      <c r="G773" s="242" t="s">
        <v>297</v>
      </c>
      <c r="H773" s="6" t="str">
        <f>'[2]1. Information samples'!$K$68</f>
        <v>Stylosanthes sympodialis</v>
      </c>
      <c r="I773" s="57" t="s">
        <v>22</v>
      </c>
      <c r="J773" s="130" t="s">
        <v>23</v>
      </c>
      <c r="K773" s="130" t="s">
        <v>24</v>
      </c>
      <c r="L773" s="6" t="s">
        <v>295</v>
      </c>
      <c r="M773" s="256">
        <v>28</v>
      </c>
      <c r="N773" s="256">
        <v>69</v>
      </c>
      <c r="O773" s="256">
        <v>3</v>
      </c>
      <c r="P773" s="257">
        <v>2</v>
      </c>
      <c r="Q773" s="96">
        <v>182</v>
      </c>
      <c r="R773" s="98">
        <v>0.50019999999999998</v>
      </c>
      <c r="S773" s="94">
        <f>((Table3.110[[#This Row],[Sample weight, g]]*'2.1. DM'!Q181)/100)*1000</f>
        <v>458.78965894952137</v>
      </c>
      <c r="T773" s="94">
        <f>'3.2 Digest'!W773</f>
        <v>224.28965894952134</v>
      </c>
      <c r="U773" s="153">
        <v>0.36666666666666664</v>
      </c>
      <c r="V773" s="155">
        <v>40.5</v>
      </c>
      <c r="W773" s="153">
        <v>0.7368055555555556</v>
      </c>
      <c r="X773" s="91">
        <v>83.5</v>
      </c>
      <c r="Y773" s="91">
        <v>11.4</v>
      </c>
      <c r="Z773" s="154">
        <v>40</v>
      </c>
      <c r="AA773" s="153">
        <v>0.41388888888888886</v>
      </c>
      <c r="AB773" s="154">
        <v>84.5</v>
      </c>
      <c r="AC773" s="154">
        <v>15.6</v>
      </c>
      <c r="AD773" s="91"/>
      <c r="AE773" s="94">
        <f>Table3.110[[#This Row],[Gas 8h, ml]]-Table3.110[[#This Row],[Gas 0h, ml]]</f>
        <v>43</v>
      </c>
      <c r="AF773" s="94">
        <f>Table3.110[[#This Row],[Gas 24h, ml]]-Table3.110[[#This Row],[V8 Push back, ml]]</f>
        <v>44.5</v>
      </c>
      <c r="AG773" s="94">
        <f>Table3.110[[#This Row],[GP 8h, ml]]-AVERAGE(AE$664,AE$665,AE$726,AE$727,AE$788,AE$789)*$AG$8</f>
        <v>41.156235924806332</v>
      </c>
      <c r="AH773" s="94">
        <f>Table3.110[[#This Row],[GP 8-24h, ml]]-AVERAGE(AF$664,AF$665,AF$726,AF$727,AF$788,AF$789)*$AG$8</f>
        <v>42.176857265255975</v>
      </c>
      <c r="AI773" s="94">
        <f>Table3.110[[#This Row],[Net gas 8-24h, ml]]+Table3.110[[#This Row],[Net gas 8h, ml]]</f>
        <v>83.3330931900623</v>
      </c>
      <c r="AJ773" s="94">
        <f>Table3.110[[#This Row],[Net gas 8h, ml]]*Table3.110[[#This Row],[CH4 8h %]]%</f>
        <v>4.6918108954279223</v>
      </c>
      <c r="AK773" s="94">
        <f>Table3.110[[#This Row],[Net gas 8-24h, ml]]*Table3.110[[#This Row],[CH4 24h, %]]%</f>
        <v>6.5795897333799322</v>
      </c>
      <c r="AL773" s="94">
        <f>Table3.110[[#This Row],[CH4 8-24h, ml]]+Table3.110[[#This Row],[CH4 8h, ml]]</f>
        <v>11.271400628807854</v>
      </c>
      <c r="AM773" s="94">
        <f>(Table3.110[[#This Row],[Net gas 24h, ml]]/Table3.110[[#This Row],[DM Incubated, mg]])*1000</f>
        <v>181.63681670783055</v>
      </c>
      <c r="AN773" s="94">
        <f>'3.2 Digest'!X773</f>
        <v>48.887252485827929</v>
      </c>
      <c r="AO773" s="94">
        <f>Table3.110[[#This Row],[Digested feed, mg]]/Table3.110[[#This Row],[Net gas 24h, ml]]</f>
        <v>2.6914836634945467</v>
      </c>
      <c r="AP773" s="94">
        <f>Table3.110[[#This Row],[CH4 8h, ml]]/Table3.110[[#This Row],[Net gas 8h, ml]]%</f>
        <v>11.4</v>
      </c>
      <c r="AQ773" s="94">
        <f>Table3.110[[#This Row],[CH4 24h, ml]]/Table3.110[[#This Row],[Net gas 24h, ml]]%</f>
        <v>13.525719731896379</v>
      </c>
      <c r="AR773" s="94">
        <f>Table3.110[[#This Row],[CH4 24h, ml]]/Table3.110[[#This Row],[DM Incubated, mg]]*1000</f>
        <v>24.567686757839493</v>
      </c>
      <c r="AS773" s="94">
        <f>Table3.110[[#This Row],[CH4 24h, ml]]/Table3.110[[#This Row],[Digested feed, mg]]*1000</f>
        <v>50.253768638279467</v>
      </c>
      <c r="AT773" s="94">
        <f>Table3.110[[#This Row],[CH4 24h, ml]]/'3.2 Digest'!AA773</f>
        <v>0.68870190098305084</v>
      </c>
      <c r="AU773" s="94">
        <f>((Table3.110[[#This Row],[CH4 24h, ml]]/28.9)*16.04)/Table3.110[[#This Row],[DM Incubated, mg]]*1000</f>
        <v>13.635491197084619</v>
      </c>
      <c r="AV773" s="94">
        <f>((Table3.110[[#This Row],[CH4 24h, ml]]/28.9)*16.04)/Table3.110[[#This Row],[Digested feed, mg]]*1000</f>
        <v>27.891711036609092</v>
      </c>
    </row>
    <row r="774" spans="2:48" s="89" customFormat="1" x14ac:dyDescent="0.35">
      <c r="B774" s="90">
        <f t="shared" si="11"/>
        <v>764</v>
      </c>
      <c r="C774" s="140">
        <v>46076</v>
      </c>
      <c r="D774" s="92" t="s">
        <v>16</v>
      </c>
      <c r="E774" s="6" t="s">
        <v>300</v>
      </c>
      <c r="F774" s="242" t="s">
        <v>212</v>
      </c>
      <c r="G774" s="242" t="s">
        <v>301</v>
      </c>
      <c r="H774" s="6" t="str">
        <f>'[2]1. Information samples'!$K$69</f>
        <v>Desmodium tortuosum</v>
      </c>
      <c r="I774" s="57" t="s">
        <v>22</v>
      </c>
      <c r="J774" s="130" t="s">
        <v>23</v>
      </c>
      <c r="K774" s="130" t="s">
        <v>24</v>
      </c>
      <c r="L774" s="6" t="s">
        <v>299</v>
      </c>
      <c r="M774" s="256">
        <v>28</v>
      </c>
      <c r="N774" s="256">
        <v>69</v>
      </c>
      <c r="O774" s="256">
        <v>3</v>
      </c>
      <c r="P774" s="257">
        <v>1</v>
      </c>
      <c r="Q774" s="96">
        <v>183</v>
      </c>
      <c r="R774" s="98">
        <v>0.50029999999999997</v>
      </c>
      <c r="S774" s="94">
        <f>((Table3.110[[#This Row],[Sample weight, g]]*'2.1. DM'!Q183)/100)*1000</f>
        <v>458.6062602118111</v>
      </c>
      <c r="T774" s="94">
        <f>'3.2 Digest'!W774</f>
        <v>190.10626021181116</v>
      </c>
      <c r="U774" s="153">
        <v>0.36666666666666664</v>
      </c>
      <c r="V774" s="155">
        <v>40.5</v>
      </c>
      <c r="W774" s="153">
        <v>0.73750000000000004</v>
      </c>
      <c r="X774" s="91">
        <v>86.5</v>
      </c>
      <c r="Y774" s="91">
        <v>12.5</v>
      </c>
      <c r="Z774" s="154">
        <v>40</v>
      </c>
      <c r="AA774" s="153">
        <v>0.41388888888888886</v>
      </c>
      <c r="AB774" s="154">
        <v>85</v>
      </c>
      <c r="AC774" s="154">
        <v>16.2</v>
      </c>
      <c r="AD774" s="91"/>
      <c r="AE774" s="94">
        <f>Table3.110[[#This Row],[Gas 8h, ml]]-Table3.110[[#This Row],[Gas 0h, ml]]</f>
        <v>46</v>
      </c>
      <c r="AF774" s="94">
        <f>Table3.110[[#This Row],[Gas 24h, ml]]-Table3.110[[#This Row],[V8 Push back, ml]]</f>
        <v>45</v>
      </c>
      <c r="AG774" s="94">
        <f>Table3.110[[#This Row],[GP 8h, ml]]-AVERAGE(AE$664,AE$665,AE$726,AE$727,AE$788,AE$789)*$AG$8</f>
        <v>44.156235924806332</v>
      </c>
      <c r="AH774" s="94">
        <f>Table3.110[[#This Row],[GP 8-24h, ml]]-AVERAGE(AF$664,AF$665,AF$726,AF$727,AF$788,AF$789)*$AG$8</f>
        <v>42.676857265255975</v>
      </c>
      <c r="AI774" s="94">
        <f>Table3.110[[#This Row],[Net gas 8-24h, ml]]+Table3.110[[#This Row],[Net gas 8h, ml]]</f>
        <v>86.8330931900623</v>
      </c>
      <c r="AJ774" s="94">
        <f>Table3.110[[#This Row],[Net gas 8h, ml]]*Table3.110[[#This Row],[CH4 8h %]]%</f>
        <v>5.5195294906007915</v>
      </c>
      <c r="AK774" s="94">
        <f>Table3.110[[#This Row],[Net gas 8-24h, ml]]*Table3.110[[#This Row],[CH4 24h, %]]%</f>
        <v>6.9136508769714684</v>
      </c>
      <c r="AL774" s="94">
        <f>Table3.110[[#This Row],[CH4 8-24h, ml]]+Table3.110[[#This Row],[CH4 8h, ml]]</f>
        <v>12.433180367572259</v>
      </c>
      <c r="AM774" s="94">
        <f>(Table3.110[[#This Row],[Net gas 24h, ml]]/Table3.110[[#This Row],[DM Incubated, mg]])*1000</f>
        <v>189.34127316525883</v>
      </c>
      <c r="AN774" s="94">
        <f>'3.2 Digest'!X774</f>
        <v>41.453045173000689</v>
      </c>
      <c r="AO774" s="94">
        <f>Table3.110[[#This Row],[Digested feed, mg]]/Table3.110[[#This Row],[Net gas 24h, ml]]</f>
        <v>2.1893295888435316</v>
      </c>
      <c r="AP774" s="94">
        <f>Table3.110[[#This Row],[CH4 8h, ml]]/Table3.110[[#This Row],[Net gas 8h, ml]]%</f>
        <v>12.5</v>
      </c>
      <c r="AQ774" s="94">
        <f>Table3.110[[#This Row],[CH4 24h, ml]]/Table3.110[[#This Row],[Net gas 24h, ml]]%</f>
        <v>14.318481480739402</v>
      </c>
      <c r="AR774" s="94">
        <f>Table3.110[[#This Row],[CH4 24h, ml]]/Table3.110[[#This Row],[DM Incubated, mg]]*1000</f>
        <v>27.110795133563791</v>
      </c>
      <c r="AS774" s="94">
        <f>Table3.110[[#This Row],[CH4 24h, ml]]/Table3.110[[#This Row],[Digested feed, mg]]*1000</f>
        <v>65.40121484542145</v>
      </c>
      <c r="AT774" s="94">
        <f>Table3.110[[#This Row],[CH4 24h, ml]]/'3.2 Digest'!AA774</f>
        <v>-0.80563057258461623</v>
      </c>
      <c r="AU774" s="94">
        <f>((Table3.110[[#This Row],[CH4 24h, ml]]/28.9)*16.04)/Table3.110[[#This Row],[DM Incubated, mg]]*1000</f>
        <v>15.046960344026409</v>
      </c>
      <c r="AV774" s="94">
        <f>((Table3.110[[#This Row],[CH4 24h, ml]]/28.9)*16.04)/Table3.110[[#This Row],[Digested feed, mg]]*1000</f>
        <v>36.298805748116273</v>
      </c>
    </row>
    <row r="775" spans="2:48" s="89" customFormat="1" x14ac:dyDescent="0.35">
      <c r="B775" s="90">
        <f t="shared" si="11"/>
        <v>765</v>
      </c>
      <c r="C775" s="140">
        <v>46076</v>
      </c>
      <c r="D775" s="92" t="s">
        <v>16</v>
      </c>
      <c r="E775" s="6" t="s">
        <v>300</v>
      </c>
      <c r="F775" s="242" t="s">
        <v>212</v>
      </c>
      <c r="G775" s="242" t="s">
        <v>301</v>
      </c>
      <c r="H775" s="6" t="str">
        <f>'[2]1. Information samples'!$K$69</f>
        <v>Desmodium tortuosum</v>
      </c>
      <c r="I775" s="57" t="s">
        <v>22</v>
      </c>
      <c r="J775" s="130" t="s">
        <v>23</v>
      </c>
      <c r="K775" s="130" t="s">
        <v>24</v>
      </c>
      <c r="L775" s="6" t="s">
        <v>299</v>
      </c>
      <c r="M775" s="256">
        <v>28</v>
      </c>
      <c r="N775" s="256">
        <v>69</v>
      </c>
      <c r="O775" s="256">
        <v>3</v>
      </c>
      <c r="P775" s="257">
        <v>2</v>
      </c>
      <c r="Q775" s="96">
        <v>184</v>
      </c>
      <c r="R775" s="98">
        <v>0.50039999999999996</v>
      </c>
      <c r="S775" s="94">
        <f>((Table3.110[[#This Row],[Sample weight, g]]*'2.1. DM'!Q183)/100)*1000</f>
        <v>458.69792646410212</v>
      </c>
      <c r="T775" s="94">
        <f>'3.2 Digest'!W775</f>
        <v>175.99792646410219</v>
      </c>
      <c r="U775" s="117">
        <v>0.36736111111111114</v>
      </c>
      <c r="V775" s="155">
        <v>41</v>
      </c>
      <c r="W775" s="117">
        <v>0.73750000000000004</v>
      </c>
      <c r="X775" s="96">
        <v>85</v>
      </c>
      <c r="Y775" s="96">
        <v>12.1</v>
      </c>
      <c r="Z775" s="155">
        <v>40.5</v>
      </c>
      <c r="AA775" s="117">
        <v>0.41458333333333336</v>
      </c>
      <c r="AB775" s="155">
        <v>85.5</v>
      </c>
      <c r="AC775" s="155">
        <v>16.7</v>
      </c>
      <c r="AD775" s="96"/>
      <c r="AE775" s="94">
        <f>Table3.110[[#This Row],[Gas 8h, ml]]-Table3.110[[#This Row],[Gas 0h, ml]]</f>
        <v>44</v>
      </c>
      <c r="AF775" s="94">
        <f>Table3.110[[#This Row],[Gas 24h, ml]]-Table3.110[[#This Row],[V8 Push back, ml]]</f>
        <v>45</v>
      </c>
      <c r="AG775" s="94">
        <f>Table3.110[[#This Row],[GP 8h, ml]]-AVERAGE(AE$664,AE$665,AE$726,AE$727,AE$788,AE$789)*$AG$8</f>
        <v>42.156235924806332</v>
      </c>
      <c r="AH775" s="94">
        <f>Table3.110[[#This Row],[GP 8-24h, ml]]-AVERAGE(AF$664,AF$665,AF$726,AF$727,AF$788,AF$789)*$AG$8</f>
        <v>42.676857265255975</v>
      </c>
      <c r="AI775" s="94">
        <f>Table3.110[[#This Row],[Net gas 8-24h, ml]]+Table3.110[[#This Row],[Net gas 8h, ml]]</f>
        <v>84.8330931900623</v>
      </c>
      <c r="AJ775" s="94">
        <f>Table3.110[[#This Row],[Net gas 8h, ml]]*Table3.110[[#This Row],[CH4 8h %]]%</f>
        <v>5.1009045469015657</v>
      </c>
      <c r="AK775" s="94">
        <f>Table3.110[[#This Row],[Net gas 8-24h, ml]]*Table3.110[[#This Row],[CH4 24h, %]]%</f>
        <v>7.1270351632977471</v>
      </c>
      <c r="AL775" s="94">
        <f>Table3.110[[#This Row],[CH4 8-24h, ml]]+Table3.110[[#This Row],[CH4 8h, ml]]</f>
        <v>12.227939710199312</v>
      </c>
      <c r="AM775" s="94">
        <f>(Table3.110[[#This Row],[Net gas 24h, ml]]/Table3.110[[#This Row],[DM Incubated, mg]])*1000</f>
        <v>184.94326722599948</v>
      </c>
      <c r="AN775" s="94">
        <f>'3.2 Digest'!X775</f>
        <v>38.369025955881639</v>
      </c>
      <c r="AO775" s="94">
        <f>Table3.110[[#This Row],[Digested feed, mg]]/Table3.110[[#This Row],[Net gas 24h, ml]]</f>
        <v>2.0746376189512716</v>
      </c>
      <c r="AP775" s="94">
        <f>Table3.110[[#This Row],[CH4 8h, ml]]/Table3.110[[#This Row],[Net gas 8h, ml]]%</f>
        <v>12.1</v>
      </c>
      <c r="AQ775" s="94">
        <f>Table3.110[[#This Row],[CH4 24h, ml]]/Table3.110[[#This Row],[Net gas 24h, ml]]%</f>
        <v>14.414115117556202</v>
      </c>
      <c r="AR775" s="94">
        <f>Table3.110[[#This Row],[CH4 24h, ml]]/Table3.110[[#This Row],[DM Incubated, mg]]*1000</f>
        <v>26.657935440125158</v>
      </c>
      <c r="AS775" s="94">
        <f>Table3.110[[#This Row],[CH4 24h, ml]]/Table3.110[[#This Row],[Digested feed, mg]]*1000</f>
        <v>69.477748720485138</v>
      </c>
      <c r="AT775" s="94">
        <f>Table3.110[[#This Row],[CH4 24h, ml]]/'3.2 Digest'!AA775</f>
        <v>-0.56838722501203487</v>
      </c>
      <c r="AU775" s="94">
        <f>((Table3.110[[#This Row],[CH4 24h, ml]]/28.9)*16.04)/Table3.110[[#This Row],[DM Incubated, mg]]*1000</f>
        <v>14.795615379225175</v>
      </c>
      <c r="AV775" s="94">
        <f>((Table3.110[[#This Row],[CH4 24h, ml]]/28.9)*16.04)/Table3.110[[#This Row],[Digested feed, mg]]*1000</f>
        <v>38.561352577044346</v>
      </c>
    </row>
    <row r="776" spans="2:48" s="89" customFormat="1" x14ac:dyDescent="0.35">
      <c r="B776" s="90">
        <f t="shared" si="11"/>
        <v>766</v>
      </c>
      <c r="C776" s="140">
        <v>46076</v>
      </c>
      <c r="D776" s="92" t="s">
        <v>16</v>
      </c>
      <c r="E776" s="6" t="s">
        <v>305</v>
      </c>
      <c r="F776" s="242" t="s">
        <v>212</v>
      </c>
      <c r="G776" s="242" t="s">
        <v>301</v>
      </c>
      <c r="H776" s="6" t="str">
        <f>'[2]1. Information samples'!$K$70</f>
        <v>Desmodium tortuosum</v>
      </c>
      <c r="I776" s="57" t="s">
        <v>22</v>
      </c>
      <c r="J776" s="130" t="s">
        <v>23</v>
      </c>
      <c r="K776" s="130" t="s">
        <v>24</v>
      </c>
      <c r="L776" s="6" t="s">
        <v>304</v>
      </c>
      <c r="M776" s="256">
        <v>28</v>
      </c>
      <c r="N776" s="256">
        <v>69</v>
      </c>
      <c r="O776" s="256">
        <v>3</v>
      </c>
      <c r="P776" s="257">
        <v>1</v>
      </c>
      <c r="Q776" s="96">
        <v>185</v>
      </c>
      <c r="R776" s="98">
        <v>0.50009999999999999</v>
      </c>
      <c r="S776" s="262">
        <f>((Table3.110[[#This Row],[Sample weight, g]]*'2.1. DM'!Q185)/100)*1000</f>
        <v>459.15203438968319</v>
      </c>
      <c r="T776" s="94">
        <f>'3.2 Digest'!W776</f>
        <v>188.35203438968313</v>
      </c>
      <c r="U776" s="117">
        <v>0.36736111111111114</v>
      </c>
      <c r="V776" s="155">
        <v>40.5</v>
      </c>
      <c r="W776" s="117">
        <v>0.73819444444444449</v>
      </c>
      <c r="X776" s="96">
        <v>83.5</v>
      </c>
      <c r="Y776" s="96">
        <v>14.4</v>
      </c>
      <c r="Z776" s="155">
        <v>40</v>
      </c>
      <c r="AA776" s="117">
        <v>0.41458333333333336</v>
      </c>
      <c r="AB776" s="155">
        <v>74</v>
      </c>
      <c r="AC776" s="155">
        <v>17.2</v>
      </c>
      <c r="AD776" s="96"/>
      <c r="AE776" s="94">
        <f>Table3.110[[#This Row],[Gas 8h, ml]]-Table3.110[[#This Row],[Gas 0h, ml]]</f>
        <v>43</v>
      </c>
      <c r="AF776" s="94">
        <f>Table3.110[[#This Row],[Gas 24h, ml]]-Table3.110[[#This Row],[V8 Push back, ml]]</f>
        <v>34</v>
      </c>
      <c r="AG776" s="94">
        <f>Table3.110[[#This Row],[GP 8h, ml]]-AVERAGE(AE$664,AE$665,AE$726,AE$727,AE$788,AE$789)*$AG$8</f>
        <v>41.156235924806332</v>
      </c>
      <c r="AH776" s="94">
        <f>Table3.110[[#This Row],[GP 8-24h, ml]]-AVERAGE(AF$664,AF$665,AF$726,AF$727,AF$788,AF$789)*$AG$8</f>
        <v>31.676857265255975</v>
      </c>
      <c r="AI776" s="94">
        <f>Table3.110[[#This Row],[Net gas 8-24h, ml]]+Table3.110[[#This Row],[Net gas 8h, ml]]</f>
        <v>72.8330931900623</v>
      </c>
      <c r="AJ776" s="94">
        <f>Table3.110[[#This Row],[Net gas 8h, ml]]*Table3.110[[#This Row],[CH4 8h %]]%</f>
        <v>5.9264979731721121</v>
      </c>
      <c r="AK776" s="94">
        <f>Table3.110[[#This Row],[Net gas 8-24h, ml]]*Table3.110[[#This Row],[CH4 24h, %]]%</f>
        <v>5.4484194496240272</v>
      </c>
      <c r="AL776" s="94">
        <f>Table3.110[[#This Row],[CH4 8-24h, ml]]+Table3.110[[#This Row],[CH4 8h, ml]]</f>
        <v>11.374917422796139</v>
      </c>
      <c r="AM776" s="94">
        <f>(Table3.110[[#This Row],[Net gas 24h, ml]]/Table3.110[[#This Row],[DM Incubated, mg]])*1000</f>
        <v>158.62522157148655</v>
      </c>
      <c r="AN776" s="94">
        <f>'3.2 Digest'!X776</f>
        <v>41.021714003738552</v>
      </c>
      <c r="AO776" s="94">
        <f>Table3.110[[#This Row],[Digested feed, mg]]/Table3.110[[#This Row],[Net gas 24h, ml]]</f>
        <v>2.5860776487711057</v>
      </c>
      <c r="AP776" s="94">
        <f>Table3.110[[#This Row],[CH4 8h, ml]]/Table3.110[[#This Row],[Net gas 8h, ml]]%</f>
        <v>14.4</v>
      </c>
      <c r="AQ776" s="94">
        <f>Table3.110[[#This Row],[CH4 24h, ml]]/Table3.110[[#This Row],[Net gas 24h, ml]]%</f>
        <v>15.617787086307887</v>
      </c>
      <c r="AR776" s="94">
        <f>Table3.110[[#This Row],[CH4 24h, ml]]/Table3.110[[#This Row],[DM Incubated, mg]]*1000</f>
        <v>24.773749370218898</v>
      </c>
      <c r="AS776" s="94">
        <f>Table3.110[[#This Row],[CH4 24h, ml]]/Table3.110[[#This Row],[Digested feed, mg]]*1000</f>
        <v>60.391794862499211</v>
      </c>
      <c r="AT776" s="94">
        <f>Table3.110[[#This Row],[CH4 24h, ml]]/'3.2 Digest'!AA776</f>
        <v>-0.66067850955562824</v>
      </c>
      <c r="AU776" s="94">
        <f>((Table3.110[[#This Row],[CH4 24h, ml]]/28.9)*16.04)/Table3.110[[#This Row],[DM Incubated, mg]]*1000</f>
        <v>13.749859512052286</v>
      </c>
      <c r="AV776" s="94">
        <f>((Table3.110[[#This Row],[CH4 24h, ml]]/28.9)*16.04)/Table3.110[[#This Row],[Digested feed, mg]]*1000</f>
        <v>33.518490989428621</v>
      </c>
    </row>
    <row r="777" spans="2:48" s="89" customFormat="1" x14ac:dyDescent="0.35">
      <c r="B777" s="90">
        <f t="shared" si="11"/>
        <v>767</v>
      </c>
      <c r="C777" s="140">
        <v>46076</v>
      </c>
      <c r="D777" s="92" t="s">
        <v>16</v>
      </c>
      <c r="E777" s="6" t="s">
        <v>305</v>
      </c>
      <c r="F777" s="242" t="s">
        <v>212</v>
      </c>
      <c r="G777" s="242" t="s">
        <v>301</v>
      </c>
      <c r="H777" s="6" t="str">
        <f>'[2]1. Information samples'!$K$70</f>
        <v>Desmodium tortuosum</v>
      </c>
      <c r="I777" s="57" t="s">
        <v>22</v>
      </c>
      <c r="J777" s="130" t="s">
        <v>23</v>
      </c>
      <c r="K777" s="130" t="s">
        <v>24</v>
      </c>
      <c r="L777" s="6" t="s">
        <v>304</v>
      </c>
      <c r="M777" s="256">
        <v>28</v>
      </c>
      <c r="N777" s="256">
        <v>69</v>
      </c>
      <c r="O777" s="256">
        <v>3</v>
      </c>
      <c r="P777" s="257">
        <v>2</v>
      </c>
      <c r="Q777" s="96">
        <v>186</v>
      </c>
      <c r="R777" s="98">
        <v>0.5</v>
      </c>
      <c r="S777" s="94">
        <f>((Table3.110[[#This Row],[Sample weight, g]]*'2.1. DM'!Q185)/100)*1000</f>
        <v>459.06022234521413</v>
      </c>
      <c r="T777" s="94">
        <f>'3.2 Digest'!W777</f>
        <v>224.16022234521412</v>
      </c>
      <c r="U777" s="153">
        <v>0.36736111111111114</v>
      </c>
      <c r="V777" s="155">
        <v>41</v>
      </c>
      <c r="W777" s="153">
        <v>0.73888888888888893</v>
      </c>
      <c r="X777" s="91">
        <v>83.5</v>
      </c>
      <c r="Y777" s="91">
        <v>14.4</v>
      </c>
      <c r="Z777" s="154">
        <v>40.5</v>
      </c>
      <c r="AA777" s="153">
        <v>0.41597222222222224</v>
      </c>
      <c r="AB777" s="154">
        <v>75.5</v>
      </c>
      <c r="AC777" s="154">
        <v>17</v>
      </c>
      <c r="AD777" s="91"/>
      <c r="AE777" s="94">
        <f>Table3.110[[#This Row],[Gas 8h, ml]]-Table3.110[[#This Row],[Gas 0h, ml]]</f>
        <v>42.5</v>
      </c>
      <c r="AF777" s="94">
        <f>Table3.110[[#This Row],[Gas 24h, ml]]-Table3.110[[#This Row],[V8 Push back, ml]]</f>
        <v>35</v>
      </c>
      <c r="AG777" s="94">
        <f>Table3.110[[#This Row],[GP 8h, ml]]-AVERAGE(AE$664,AE$665,AE$726,AE$727,AE$788,AE$789)*$AG$8</f>
        <v>40.656235924806332</v>
      </c>
      <c r="AH777" s="94">
        <f>Table3.110[[#This Row],[GP 8-24h, ml]]-AVERAGE(AF$664,AF$665,AF$726,AF$727,AF$788,AF$789)*$AG$8</f>
        <v>32.676857265255975</v>
      </c>
      <c r="AI777" s="94">
        <f>Table3.110[[#This Row],[Net gas 8-24h, ml]]+Table3.110[[#This Row],[Net gas 8h, ml]]</f>
        <v>73.3330931900623</v>
      </c>
      <c r="AJ777" s="94">
        <f>Table3.110[[#This Row],[Net gas 8h, ml]]*Table3.110[[#This Row],[CH4 8h %]]%</f>
        <v>5.8544979731721121</v>
      </c>
      <c r="AK777" s="94">
        <f>Table3.110[[#This Row],[Net gas 8-24h, ml]]*Table3.110[[#This Row],[CH4 24h, %]]%</f>
        <v>5.5550657350935166</v>
      </c>
      <c r="AL777" s="94">
        <f>Table3.110[[#This Row],[CH4 8-24h, ml]]+Table3.110[[#This Row],[CH4 8h, ml]]</f>
        <v>11.40956370826563</v>
      </c>
      <c r="AM777" s="94">
        <f>(Table3.110[[#This Row],[Net gas 24h, ml]]/Table3.110[[#This Row],[DM Incubated, mg]])*1000</f>
        <v>159.74612833022957</v>
      </c>
      <c r="AN777" s="94">
        <f>'3.2 Digest'!X777</f>
        <v>48.830243056137675</v>
      </c>
      <c r="AO777" s="94">
        <f>Table3.110[[#This Row],[Digested feed, mg]]/Table3.110[[#This Row],[Net gas 24h, ml]]</f>
        <v>3.0567403145567993</v>
      </c>
      <c r="AP777" s="94">
        <f>Table3.110[[#This Row],[CH4 8h, ml]]/Table3.110[[#This Row],[Net gas 8h, ml]]%</f>
        <v>14.4</v>
      </c>
      <c r="AQ777" s="94">
        <f>Table3.110[[#This Row],[CH4 24h, ml]]/Table3.110[[#This Row],[Net gas 24h, ml]]%</f>
        <v>15.558546915094249</v>
      </c>
      <c r="AR777" s="94">
        <f>Table3.110[[#This Row],[CH4 24h, ml]]/Table3.110[[#This Row],[DM Incubated, mg]]*1000</f>
        <v>24.854176321305435</v>
      </c>
      <c r="AS777" s="94">
        <f>Table3.110[[#This Row],[CH4 24h, ml]]/Table3.110[[#This Row],[Digested feed, mg]]*1000</f>
        <v>50.899145213616563</v>
      </c>
      <c r="AT777" s="94">
        <f>Table3.110[[#This Row],[CH4 24h, ml]]/'3.2 Digest'!AA777</f>
        <v>-6.7198915043128391</v>
      </c>
      <c r="AU777" s="94">
        <f>((Table3.110[[#This Row],[CH4 24h, ml]]/28.9)*16.04)/Table3.110[[#This Row],[DM Incubated, mg]]*1000</f>
        <v>13.79449786137506</v>
      </c>
      <c r="AV777" s="94">
        <f>((Table3.110[[#This Row],[CH4 24h, ml]]/28.9)*16.04)/Table3.110[[#This Row],[Digested feed, mg]]*1000</f>
        <v>28.249906201605871</v>
      </c>
    </row>
    <row r="778" spans="2:48" s="89" customFormat="1" x14ac:dyDescent="0.35">
      <c r="B778" s="90">
        <f t="shared" si="11"/>
        <v>768</v>
      </c>
      <c r="C778" s="140">
        <v>46076</v>
      </c>
      <c r="D778" s="92" t="s">
        <v>16</v>
      </c>
      <c r="E778" s="6" t="s">
        <v>307</v>
      </c>
      <c r="F778" s="242" t="s">
        <v>212</v>
      </c>
      <c r="G778" s="242" t="s">
        <v>213</v>
      </c>
      <c r="H778" s="6" t="str">
        <f>'[2]1. Information samples'!$K$71</f>
        <v>Desmodium scorpiurus</v>
      </c>
      <c r="I778" s="57" t="s">
        <v>22</v>
      </c>
      <c r="J778" s="130" t="s">
        <v>23</v>
      </c>
      <c r="K778" s="130" t="s">
        <v>24</v>
      </c>
      <c r="L778" s="6" t="s">
        <v>306</v>
      </c>
      <c r="M778" s="256">
        <v>28</v>
      </c>
      <c r="N778" s="256">
        <v>69</v>
      </c>
      <c r="O778" s="256">
        <v>3</v>
      </c>
      <c r="P778" s="257">
        <v>1</v>
      </c>
      <c r="Q778" s="96">
        <v>187</v>
      </c>
      <c r="R778" s="98">
        <v>0.5</v>
      </c>
      <c r="S778" s="94">
        <f>((Table3.110[[#This Row],[Sample weight, g]]*'2.1. DM'!Q187)/100)*1000</f>
        <v>453.54357571419951</v>
      </c>
      <c r="T778" s="94">
        <f>'3.2 Digest'!W778</f>
        <v>69.84357571419946</v>
      </c>
      <c r="U778" s="153">
        <v>0.36736111111111114</v>
      </c>
      <c r="V778" s="155">
        <v>40.5</v>
      </c>
      <c r="W778" s="153">
        <v>0.73958333333333337</v>
      </c>
      <c r="X778" s="91">
        <v>78</v>
      </c>
      <c r="Y778" s="91">
        <v>14.7</v>
      </c>
      <c r="Z778" s="154">
        <v>40</v>
      </c>
      <c r="AA778" s="153">
        <v>0.41666666666666669</v>
      </c>
      <c r="AB778" s="154">
        <v>74</v>
      </c>
      <c r="AC778" s="154">
        <v>17.8</v>
      </c>
      <c r="AD778" s="91"/>
      <c r="AE778" s="94">
        <f>Table3.110[[#This Row],[Gas 8h, ml]]-Table3.110[[#This Row],[Gas 0h, ml]]</f>
        <v>37.5</v>
      </c>
      <c r="AF778" s="94">
        <f>Table3.110[[#This Row],[Gas 24h, ml]]-Table3.110[[#This Row],[V8 Push back, ml]]</f>
        <v>34</v>
      </c>
      <c r="AG778" s="94">
        <f>Table3.110[[#This Row],[GP 8h, ml]]-AVERAGE(AE$664,AE$665,AE$726,AE$727,AE$788,AE$789)*$AG$8</f>
        <v>35.656235924806332</v>
      </c>
      <c r="AH778" s="94">
        <f>Table3.110[[#This Row],[GP 8-24h, ml]]-AVERAGE(AF$664,AF$665,AF$726,AF$727,AF$788,AF$789)*$AG$8</f>
        <v>31.676857265255975</v>
      </c>
      <c r="AI778" s="94">
        <f>Table3.110[[#This Row],[Net gas 8-24h, ml]]+Table3.110[[#This Row],[Net gas 8h, ml]]</f>
        <v>67.3330931900623</v>
      </c>
      <c r="AJ778" s="94">
        <f>Table3.110[[#This Row],[Net gas 8h, ml]]*Table3.110[[#This Row],[CH4 8h %]]%</f>
        <v>5.2414666809465302</v>
      </c>
      <c r="AK778" s="94">
        <f>Table3.110[[#This Row],[Net gas 8-24h, ml]]*Table3.110[[#This Row],[CH4 24h, %]]%</f>
        <v>5.6384805932155642</v>
      </c>
      <c r="AL778" s="94">
        <f>Table3.110[[#This Row],[CH4 8-24h, ml]]+Table3.110[[#This Row],[CH4 8h, ml]]</f>
        <v>10.879947274162095</v>
      </c>
      <c r="AM778" s="94">
        <f>(Table3.110[[#This Row],[Net gas 24h, ml]]/Table3.110[[#This Row],[DM Incubated, mg]])*1000</f>
        <v>148.46003073471434</v>
      </c>
      <c r="AN778" s="94">
        <f>'3.2 Digest'!X778</f>
        <v>15.399529274384738</v>
      </c>
      <c r="AO778" s="94">
        <f>Table3.110[[#This Row],[Digested feed, mg]]/Table3.110[[#This Row],[Net gas 24h, ml]]</f>
        <v>1.0372845268975062</v>
      </c>
      <c r="AP778" s="94">
        <f>Table3.110[[#This Row],[CH4 8h, ml]]/Table3.110[[#This Row],[Net gas 8h, ml]]%</f>
        <v>14.699999999999998</v>
      </c>
      <c r="AQ778" s="94">
        <f>Table3.110[[#This Row],[CH4 24h, ml]]/Table3.110[[#This Row],[Net gas 24h, ml]]%</f>
        <v>16.158395164545727</v>
      </c>
      <c r="AR778" s="94">
        <f>Table3.110[[#This Row],[CH4 24h, ml]]/Table3.110[[#This Row],[DM Incubated, mg]]*1000</f>
        <v>23.988758427521184</v>
      </c>
      <c r="AS778" s="94">
        <f>Table3.110[[#This Row],[CH4 24h, ml]]/Table3.110[[#This Row],[Digested feed, mg]]*1000</f>
        <v>155.77592016025838</v>
      </c>
      <c r="AT778" s="94">
        <f>Table3.110[[#This Row],[CH4 24h, ml]]/'3.2 Digest'!AA778</f>
        <v>-0.2411044100245652</v>
      </c>
      <c r="AU778" s="94">
        <f>((Table3.110[[#This Row],[CH4 24h, ml]]/28.9)*16.04)/Table3.110[[#This Row],[DM Incubated, mg]]*1000</f>
        <v>13.314175957696879</v>
      </c>
      <c r="AV778" s="94">
        <f>((Table3.110[[#This Row],[CH4 24h, ml]]/28.9)*16.04)/Table3.110[[#This Row],[Digested feed, mg]]*1000</f>
        <v>86.458330774067278</v>
      </c>
    </row>
    <row r="779" spans="2:48" s="89" customFormat="1" x14ac:dyDescent="0.35">
      <c r="B779" s="90">
        <f t="shared" si="11"/>
        <v>769</v>
      </c>
      <c r="C779" s="140">
        <v>46076</v>
      </c>
      <c r="D779" s="92" t="s">
        <v>16</v>
      </c>
      <c r="E779" s="6" t="s">
        <v>307</v>
      </c>
      <c r="F779" s="242" t="s">
        <v>212</v>
      </c>
      <c r="G779" s="242" t="s">
        <v>213</v>
      </c>
      <c r="H779" s="6" t="str">
        <f>'[2]1. Information samples'!$K$71</f>
        <v>Desmodium scorpiurus</v>
      </c>
      <c r="I779" s="57" t="s">
        <v>22</v>
      </c>
      <c r="J779" s="130" t="s">
        <v>23</v>
      </c>
      <c r="K779" s="130" t="s">
        <v>24</v>
      </c>
      <c r="L779" s="6" t="s">
        <v>306</v>
      </c>
      <c r="M779" s="256">
        <v>28</v>
      </c>
      <c r="N779" s="256">
        <v>69</v>
      </c>
      <c r="O779" s="256">
        <v>3</v>
      </c>
      <c r="P779" s="257">
        <v>2</v>
      </c>
      <c r="Q779" s="96">
        <v>188</v>
      </c>
      <c r="R779" s="98">
        <v>0.5</v>
      </c>
      <c r="S779" s="94">
        <f>((Table3.110[[#This Row],[Sample weight, g]]*'2.1. DM'!Q187)/100)*1000</f>
        <v>453.54357571419951</v>
      </c>
      <c r="T779" s="94">
        <f>'3.2 Digest'!W779</f>
        <v>181.44357571419948</v>
      </c>
      <c r="U779" s="117">
        <v>0.36805555555555558</v>
      </c>
      <c r="V779" s="155">
        <v>41</v>
      </c>
      <c r="W779" s="117">
        <v>0.74027777777777781</v>
      </c>
      <c r="X779" s="96">
        <v>78.5</v>
      </c>
      <c r="Y779" s="96">
        <v>15.2</v>
      </c>
      <c r="Z779" s="155">
        <v>40.5</v>
      </c>
      <c r="AA779" s="117">
        <v>0.41666666666666669</v>
      </c>
      <c r="AB779" s="155">
        <v>78</v>
      </c>
      <c r="AC779" s="155">
        <v>17.2</v>
      </c>
      <c r="AD779" s="96"/>
      <c r="AE779" s="94">
        <f>Table3.110[[#This Row],[Gas 8h, ml]]-Table3.110[[#This Row],[Gas 0h, ml]]</f>
        <v>37.5</v>
      </c>
      <c r="AF779" s="94">
        <f>Table3.110[[#This Row],[Gas 24h, ml]]-Table3.110[[#This Row],[V8 Push back, ml]]</f>
        <v>37.5</v>
      </c>
      <c r="AG779" s="94">
        <f>Table3.110[[#This Row],[GP 8h, ml]]-AVERAGE(AE$664,AE$665,AE$726,AE$727,AE$788,AE$789)*$AG$8</f>
        <v>35.656235924806332</v>
      </c>
      <c r="AH779" s="94">
        <f>Table3.110[[#This Row],[GP 8-24h, ml]]-AVERAGE(AF$664,AF$665,AF$726,AF$727,AF$788,AF$789)*$AG$8</f>
        <v>35.176857265255975</v>
      </c>
      <c r="AI779" s="94">
        <f>Table3.110[[#This Row],[Net gas 8-24h, ml]]+Table3.110[[#This Row],[Net gas 8h, ml]]</f>
        <v>70.8330931900623</v>
      </c>
      <c r="AJ779" s="94">
        <f>Table3.110[[#This Row],[Net gas 8h, ml]]*Table3.110[[#This Row],[CH4 8h %]]%</f>
        <v>5.4197478605705625</v>
      </c>
      <c r="AK779" s="94">
        <f>Table3.110[[#This Row],[Net gas 8-24h, ml]]*Table3.110[[#This Row],[CH4 24h, %]]%</f>
        <v>6.0504194496240276</v>
      </c>
      <c r="AL779" s="94">
        <f>Table3.110[[#This Row],[CH4 8-24h, ml]]+Table3.110[[#This Row],[CH4 8h, ml]]</f>
        <v>11.47016731019459</v>
      </c>
      <c r="AM779" s="94">
        <f>(Table3.110[[#This Row],[Net gas 24h, ml]]/Table3.110[[#This Row],[DM Incubated, mg]])*1000</f>
        <v>156.17704005292265</v>
      </c>
      <c r="AN779" s="94">
        <f>'3.2 Digest'!X779</f>
        <v>40.005764700443287</v>
      </c>
      <c r="AO779" s="94">
        <f>Table3.110[[#This Row],[Digested feed, mg]]/Table3.110[[#This Row],[Net gas 24h, ml]]</f>
        <v>2.5615650473902436</v>
      </c>
      <c r="AP779" s="94">
        <f>Table3.110[[#This Row],[CH4 8h, ml]]/Table3.110[[#This Row],[Net gas 8h, ml]]%</f>
        <v>15.2</v>
      </c>
      <c r="AQ779" s="94">
        <f>Table3.110[[#This Row],[CH4 24h, ml]]/Table3.110[[#This Row],[Net gas 24h, ml]]%</f>
        <v>16.193232278332616</v>
      </c>
      <c r="AR779" s="94">
        <f>Table3.110[[#This Row],[CH4 24h, ml]]/Table3.110[[#This Row],[DM Incubated, mg]]*1000</f>
        <v>25.290110861194329</v>
      </c>
      <c r="AS779" s="94">
        <f>Table3.110[[#This Row],[CH4 24h, ml]]/Table3.110[[#This Row],[Digested feed, mg]]*1000</f>
        <v>63.216166596395801</v>
      </c>
      <c r="AT779" s="94">
        <f>Table3.110[[#This Row],[CH4 24h, ml]]/'3.2 Digest'!AA779</f>
        <v>-3.9343425807533094</v>
      </c>
      <c r="AU779" s="94">
        <f>((Table3.110[[#This Row],[CH4 24h, ml]]/28.9)*16.04)/Table3.110[[#This Row],[DM Incubated, mg]]*1000</f>
        <v>14.036449073133461</v>
      </c>
      <c r="AV779" s="94">
        <f>((Table3.110[[#This Row],[CH4 24h, ml]]/28.9)*16.04)/Table3.110[[#This Row],[Digested feed, mg]]*1000</f>
        <v>35.0860661663041</v>
      </c>
    </row>
    <row r="780" spans="2:48" s="89" customFormat="1" x14ac:dyDescent="0.35">
      <c r="B780" s="90">
        <f t="shared" ref="B780:B843" si="12">B779+1</f>
        <v>770</v>
      </c>
      <c r="C780" s="140">
        <v>46076</v>
      </c>
      <c r="D780" s="92" t="s">
        <v>16</v>
      </c>
      <c r="E780" s="6" t="s">
        <v>309</v>
      </c>
      <c r="F780" s="242" t="s">
        <v>212</v>
      </c>
      <c r="G780" s="242" t="s">
        <v>310</v>
      </c>
      <c r="H780" s="6" t="str">
        <f>'[2]1. Information samples'!$K$72</f>
        <v>Desmodium incanum</v>
      </c>
      <c r="I780" s="57" t="s">
        <v>22</v>
      </c>
      <c r="J780" s="130" t="s">
        <v>23</v>
      </c>
      <c r="K780" s="130" t="s">
        <v>24</v>
      </c>
      <c r="L780" s="6" t="s">
        <v>308</v>
      </c>
      <c r="M780" s="256">
        <v>28</v>
      </c>
      <c r="N780" s="256">
        <v>69</v>
      </c>
      <c r="O780" s="256">
        <v>3</v>
      </c>
      <c r="P780" s="257">
        <v>1</v>
      </c>
      <c r="Q780" s="96">
        <v>189</v>
      </c>
      <c r="R780" s="98">
        <v>0.50009999999999999</v>
      </c>
      <c r="S780" s="94">
        <f>((Table3.110[[#This Row],[Sample weight, g]]*'2.1. DM'!Q189)/100)*1000</f>
        <v>463.13800273209341</v>
      </c>
      <c r="T780" s="94">
        <f>'3.2 Digest'!W780</f>
        <v>131.63800273209353</v>
      </c>
      <c r="U780" s="117">
        <v>0.36805555555555558</v>
      </c>
      <c r="V780" s="155">
        <v>40</v>
      </c>
      <c r="W780" s="117">
        <v>0.74097222222222225</v>
      </c>
      <c r="X780" s="96">
        <v>73.5</v>
      </c>
      <c r="Y780" s="96">
        <v>13.1</v>
      </c>
      <c r="Z780" s="155">
        <v>39</v>
      </c>
      <c r="AA780" s="117">
        <v>0.41666666666666669</v>
      </c>
      <c r="AB780" s="155">
        <v>77.5</v>
      </c>
      <c r="AC780" s="155">
        <v>16.600000000000001</v>
      </c>
      <c r="AD780" s="96"/>
      <c r="AE780" s="94">
        <f>Table3.110[[#This Row],[Gas 8h, ml]]-Table3.110[[#This Row],[Gas 0h, ml]]</f>
        <v>33.5</v>
      </c>
      <c r="AF780" s="94">
        <f>Table3.110[[#This Row],[Gas 24h, ml]]-Table3.110[[#This Row],[V8 Push back, ml]]</f>
        <v>38.5</v>
      </c>
      <c r="AG780" s="94">
        <f>Table3.110[[#This Row],[GP 8h, ml]]-AVERAGE(AE$664,AE$665,AE$726,AE$727,AE$788,AE$789)*$AG$8</f>
        <v>31.656235924806332</v>
      </c>
      <c r="AH780" s="94">
        <f>Table3.110[[#This Row],[GP 8-24h, ml]]-AVERAGE(AF$664,AF$665,AF$726,AF$727,AF$788,AF$789)*$AG$8</f>
        <v>36.176857265255975</v>
      </c>
      <c r="AI780" s="94">
        <f>Table3.110[[#This Row],[Net gas 8-24h, ml]]+Table3.110[[#This Row],[Net gas 8h, ml]]</f>
        <v>67.8330931900623</v>
      </c>
      <c r="AJ780" s="94">
        <f>Table3.110[[#This Row],[Net gas 8h, ml]]*Table3.110[[#This Row],[CH4 8h %]]%</f>
        <v>4.1469669061496299</v>
      </c>
      <c r="AK780" s="94">
        <f>Table3.110[[#This Row],[Net gas 8-24h, ml]]*Table3.110[[#This Row],[CH4 24h, %]]%</f>
        <v>6.005358306032492</v>
      </c>
      <c r="AL780" s="94">
        <f>Table3.110[[#This Row],[CH4 8-24h, ml]]+Table3.110[[#This Row],[CH4 8h, ml]]</f>
        <v>10.152325212182122</v>
      </c>
      <c r="AM780" s="94">
        <f>(Table3.110[[#This Row],[Net gas 24h, ml]]/Table3.110[[#This Row],[DM Incubated, mg]])*1000</f>
        <v>146.46410527727951</v>
      </c>
      <c r="AN780" s="94">
        <f>'3.2 Digest'!X780</f>
        <v>28.423062231030254</v>
      </c>
      <c r="AO780" s="94">
        <f>Table3.110[[#This Row],[Digested feed, mg]]/Table3.110[[#This Row],[Net gas 24h, ml]]</f>
        <v>1.9406162470470798</v>
      </c>
      <c r="AP780" s="94">
        <f>Table3.110[[#This Row],[CH4 8h, ml]]/Table3.110[[#This Row],[Net gas 8h, ml]]%</f>
        <v>13.100000000000001</v>
      </c>
      <c r="AQ780" s="94">
        <f>Table3.110[[#This Row],[CH4 24h, ml]]/Table3.110[[#This Row],[Net gas 24h, ml]]%</f>
        <v>14.966625779155034</v>
      </c>
      <c r="AR780" s="94">
        <f>Table3.110[[#This Row],[CH4 24h, ml]]/Table3.110[[#This Row],[DM Incubated, mg]]*1000</f>
        <v>21.920734537638083</v>
      </c>
      <c r="AS780" s="94">
        <f>Table3.110[[#This Row],[CH4 24h, ml]]/Table3.110[[#This Row],[Digested feed, mg]]*1000</f>
        <v>77.123057183144056</v>
      </c>
      <c r="AT780" s="94">
        <f>Table3.110[[#This Row],[CH4 24h, ml]]/'3.2 Digest'!AA780</f>
        <v>-0.50099313224026476</v>
      </c>
      <c r="AU780" s="94">
        <f>((Table3.110[[#This Row],[CH4 24h, ml]]/28.9)*16.04)/Table3.110[[#This Row],[DM Incubated, mg]]*1000</f>
        <v>12.166386919851725</v>
      </c>
      <c r="AV780" s="94">
        <f>((Table3.110[[#This Row],[CH4 24h, ml]]/28.9)*16.04)/Table3.110[[#This Row],[Digested feed, mg]]*1000</f>
        <v>42.804631045592757</v>
      </c>
    </row>
    <row r="781" spans="2:48" s="89" customFormat="1" x14ac:dyDescent="0.35">
      <c r="B781" s="90">
        <f t="shared" si="12"/>
        <v>771</v>
      </c>
      <c r="C781" s="140">
        <v>46076</v>
      </c>
      <c r="D781" s="92" t="s">
        <v>16</v>
      </c>
      <c r="E781" s="6" t="s">
        <v>309</v>
      </c>
      <c r="F781" s="242" t="s">
        <v>212</v>
      </c>
      <c r="G781" s="242" t="s">
        <v>310</v>
      </c>
      <c r="H781" s="6" t="str">
        <f>'[2]1. Information samples'!$K$72</f>
        <v>Desmodium incanum</v>
      </c>
      <c r="I781" s="57" t="s">
        <v>22</v>
      </c>
      <c r="J781" s="130" t="s">
        <v>23</v>
      </c>
      <c r="K781" s="130" t="s">
        <v>24</v>
      </c>
      <c r="L781" s="6" t="s">
        <v>308</v>
      </c>
      <c r="M781" s="256">
        <v>28</v>
      </c>
      <c r="N781" s="256">
        <v>69</v>
      </c>
      <c r="O781" s="256">
        <v>3</v>
      </c>
      <c r="P781" s="257">
        <v>2</v>
      </c>
      <c r="Q781" s="96">
        <v>190</v>
      </c>
      <c r="R781" s="98">
        <v>0.50019999999999998</v>
      </c>
      <c r="S781" s="94">
        <f>((Table3.110[[#This Row],[Sample weight, g]]*'2.1. DM'!Q189)/100)*1000</f>
        <v>463.23061181082414</v>
      </c>
      <c r="T781" s="94">
        <f>'3.2 Digest'!W781</f>
        <v>121.83061181082411</v>
      </c>
      <c r="U781" s="153">
        <v>0.36805555555555558</v>
      </c>
      <c r="V781" s="155">
        <v>40</v>
      </c>
      <c r="W781" s="153">
        <v>0.74097222222222225</v>
      </c>
      <c r="X781" s="91">
        <v>73</v>
      </c>
      <c r="Y781" s="91">
        <v>13</v>
      </c>
      <c r="Z781" s="154">
        <v>40</v>
      </c>
      <c r="AA781" s="153">
        <v>0.41666666666666669</v>
      </c>
      <c r="AB781" s="154">
        <v>74.5</v>
      </c>
      <c r="AC781" s="154">
        <v>16.5</v>
      </c>
      <c r="AD781" s="91"/>
      <c r="AE781" s="94">
        <f>Table3.110[[#This Row],[Gas 8h, ml]]-Table3.110[[#This Row],[Gas 0h, ml]]</f>
        <v>33</v>
      </c>
      <c r="AF781" s="94">
        <f>Table3.110[[#This Row],[Gas 24h, ml]]-Table3.110[[#This Row],[V8 Push back, ml]]</f>
        <v>34.5</v>
      </c>
      <c r="AG781" s="94">
        <f>Table3.110[[#This Row],[GP 8h, ml]]-AVERAGE(AE$664,AE$665,AE$726,AE$727,AE$788,AE$789)*$AG$8</f>
        <v>31.156235924806332</v>
      </c>
      <c r="AH781" s="94">
        <f>Table3.110[[#This Row],[GP 8-24h, ml]]-AVERAGE(AF$664,AF$665,AF$726,AF$727,AF$788,AF$789)*$AG$8</f>
        <v>32.176857265255975</v>
      </c>
      <c r="AI781" s="94">
        <f>Table3.110[[#This Row],[Net gas 8-24h, ml]]+Table3.110[[#This Row],[Net gas 8h, ml]]</f>
        <v>63.333093190062307</v>
      </c>
      <c r="AJ781" s="94">
        <f>Table3.110[[#This Row],[Net gas 8h, ml]]*Table3.110[[#This Row],[CH4 8h %]]%</f>
        <v>4.0503106702248228</v>
      </c>
      <c r="AK781" s="94">
        <f>Table3.110[[#This Row],[Net gas 8-24h, ml]]*Table3.110[[#This Row],[CH4 24h, %]]%</f>
        <v>5.3091814487672364</v>
      </c>
      <c r="AL781" s="94">
        <f>Table3.110[[#This Row],[CH4 8-24h, ml]]+Table3.110[[#This Row],[CH4 8h, ml]]</f>
        <v>9.3594921189920584</v>
      </c>
      <c r="AM781" s="94">
        <f>(Table3.110[[#This Row],[Net gas 24h, ml]]/Table3.110[[#This Row],[DM Incubated, mg]])*1000</f>
        <v>136.7204402629732</v>
      </c>
      <c r="AN781" s="94">
        <f>'3.2 Digest'!X781</f>
        <v>26.300207435465804</v>
      </c>
      <c r="AO781" s="94">
        <f>Table3.110[[#This Row],[Digested feed, mg]]/Table3.110[[#This Row],[Net gas 24h, ml]]</f>
        <v>1.9236485330853972</v>
      </c>
      <c r="AP781" s="94">
        <f>Table3.110[[#This Row],[CH4 8h, ml]]/Table3.110[[#This Row],[Net gas 8h, ml]]%</f>
        <v>13</v>
      </c>
      <c r="AQ781" s="94">
        <f>Table3.110[[#This Row],[CH4 24h, ml]]/Table3.110[[#This Row],[Net gas 24h, ml]]%</f>
        <v>14.778201486076588</v>
      </c>
      <c r="AR781" s="94">
        <f>Table3.110[[#This Row],[CH4 24h, ml]]/Table3.110[[#This Row],[DM Incubated, mg]]*1000</f>
        <v>20.204822134713158</v>
      </c>
      <c r="AS781" s="94">
        <f>Table3.110[[#This Row],[CH4 24h, ml]]/Table3.110[[#This Row],[Digested feed, mg]]*1000</f>
        <v>76.823812832240151</v>
      </c>
      <c r="AT781" s="94">
        <f>Table3.110[[#This Row],[CH4 24h, ml]]/'3.2 Digest'!AA781</f>
        <v>-0.39274037283875224</v>
      </c>
      <c r="AU781" s="94">
        <f>((Table3.110[[#This Row],[CH4 24h, ml]]/28.9)*16.04)/Table3.110[[#This Row],[DM Incubated, mg]]*1000</f>
        <v>11.214025849162597</v>
      </c>
      <c r="AV781" s="94">
        <f>((Table3.110[[#This Row],[CH4 24h, ml]]/28.9)*16.04)/Table3.110[[#This Row],[Digested feed, mg]]*1000</f>
        <v>42.638545253603183</v>
      </c>
    </row>
    <row r="782" spans="2:48" s="89" customFormat="1" x14ac:dyDescent="0.35">
      <c r="B782" s="90">
        <f t="shared" si="12"/>
        <v>772</v>
      </c>
      <c r="C782" s="140">
        <v>46076</v>
      </c>
      <c r="D782" s="92" t="s">
        <v>16</v>
      </c>
      <c r="E782" s="6" t="s">
        <v>313</v>
      </c>
      <c r="F782" s="242" t="s">
        <v>290</v>
      </c>
      <c r="G782" s="242" t="s">
        <v>314</v>
      </c>
      <c r="H782" s="6" t="str">
        <f>'[2]1. Information samples'!$K$73</f>
        <v>Indigofera jamaicensis</v>
      </c>
      <c r="I782" s="57" t="s">
        <v>22</v>
      </c>
      <c r="J782" s="130" t="s">
        <v>23</v>
      </c>
      <c r="K782" s="130" t="s">
        <v>24</v>
      </c>
      <c r="L782" s="6" t="s">
        <v>312</v>
      </c>
      <c r="M782" s="256">
        <v>28</v>
      </c>
      <c r="N782" s="256">
        <v>69</v>
      </c>
      <c r="O782" s="256">
        <v>3</v>
      </c>
      <c r="P782" s="257">
        <v>1</v>
      </c>
      <c r="Q782" s="96">
        <v>191</v>
      </c>
      <c r="R782" s="98">
        <v>0.50009999999999999</v>
      </c>
      <c r="S782" s="94">
        <f>((Table3.110[[#This Row],[Sample weight, g]]*'2.1. DM'!Q191)/100)*1000</f>
        <v>449.22766568305201</v>
      </c>
      <c r="T782" s="94">
        <f>'3.2 Digest'!W782</f>
        <v>126.72766568305201</v>
      </c>
      <c r="U782" s="153">
        <v>0.36805555555555558</v>
      </c>
      <c r="V782" s="155">
        <v>40.5</v>
      </c>
      <c r="W782" s="153">
        <v>0.7416666666666667</v>
      </c>
      <c r="X782" s="91">
        <v>68</v>
      </c>
      <c r="Y782" s="91">
        <v>12.1</v>
      </c>
      <c r="Z782" s="154">
        <v>40</v>
      </c>
      <c r="AA782" s="153">
        <v>0.41736111111111113</v>
      </c>
      <c r="AB782" s="154">
        <v>81.5</v>
      </c>
      <c r="AC782" s="154">
        <v>15.9</v>
      </c>
      <c r="AD782" s="91"/>
      <c r="AE782" s="94">
        <f>Table3.110[[#This Row],[Gas 8h, ml]]-Table3.110[[#This Row],[Gas 0h, ml]]</f>
        <v>27.5</v>
      </c>
      <c r="AF782" s="94">
        <f>Table3.110[[#This Row],[Gas 24h, ml]]-Table3.110[[#This Row],[V8 Push back, ml]]</f>
        <v>41.5</v>
      </c>
      <c r="AG782" s="94">
        <f>Table3.110[[#This Row],[GP 8h, ml]]-AVERAGE(AE$664,AE$665,AE$726,AE$727,AE$788,AE$789)*$AG$8</f>
        <v>25.656235924806332</v>
      </c>
      <c r="AH782" s="94">
        <f>Table3.110[[#This Row],[GP 8-24h, ml]]-AVERAGE(AF$664,AF$665,AF$726,AF$727,AF$788,AF$789)*$AG$8</f>
        <v>39.176857265255975</v>
      </c>
      <c r="AI782" s="94">
        <f>Table3.110[[#This Row],[Net gas 8-24h, ml]]+Table3.110[[#This Row],[Net gas 8h, ml]]</f>
        <v>64.8330931900623</v>
      </c>
      <c r="AJ782" s="94">
        <f>Table3.110[[#This Row],[Net gas 8h, ml]]*Table3.110[[#This Row],[CH4 8h %]]%</f>
        <v>3.104404546901566</v>
      </c>
      <c r="AK782" s="94">
        <f>Table3.110[[#This Row],[Net gas 8-24h, ml]]*Table3.110[[#This Row],[CH4 24h, %]]%</f>
        <v>6.2291203051756998</v>
      </c>
      <c r="AL782" s="94">
        <f>Table3.110[[#This Row],[CH4 8-24h, ml]]+Table3.110[[#This Row],[CH4 8h, ml]]</f>
        <v>9.3335248520772662</v>
      </c>
      <c r="AM782" s="94">
        <f>(Table3.110[[#This Row],[Net gas 24h, ml]]/Table3.110[[#This Row],[DM Incubated, mg]])*1000</f>
        <v>144.32123874535506</v>
      </c>
      <c r="AN782" s="94">
        <f>'3.2 Digest'!X782</f>
        <v>28.21012047206893</v>
      </c>
      <c r="AO782" s="94">
        <f>Table3.110[[#This Row],[Digested feed, mg]]/Table3.110[[#This Row],[Net gas 24h, ml]]</f>
        <v>1.9546756054279544</v>
      </c>
      <c r="AP782" s="94">
        <f>Table3.110[[#This Row],[CH4 8h, ml]]/Table3.110[[#This Row],[Net gas 8h, ml]]%</f>
        <v>12.1</v>
      </c>
      <c r="AQ782" s="94">
        <f>Table3.110[[#This Row],[CH4 24h, ml]]/Table3.110[[#This Row],[Net gas 24h, ml]]%</f>
        <v>14.396235614912666</v>
      </c>
      <c r="AR782" s="94">
        <f>Table3.110[[#This Row],[CH4 24h, ml]]/Table3.110[[#This Row],[DM Incubated, mg]]*1000</f>
        <v>20.776825572141945</v>
      </c>
      <c r="AS782" s="94">
        <f>Table3.110[[#This Row],[CH4 24h, ml]]/Table3.110[[#This Row],[Digested feed, mg]]*1000</f>
        <v>73.650254676201214</v>
      </c>
      <c r="AT782" s="94">
        <f>Table3.110[[#This Row],[CH4 24h, ml]]/'3.2 Digest'!AA782</f>
        <v>-0.21356410121075611</v>
      </c>
      <c r="AU782" s="94">
        <f>((Table3.110[[#This Row],[CH4 24h, ml]]/28.9)*16.04)/Table3.110[[#This Row],[DM Incubated, mg]]*1000</f>
        <v>11.531497653188815</v>
      </c>
      <c r="AV782" s="94">
        <f>((Table3.110[[#This Row],[CH4 24h, ml]]/28.9)*16.04)/Table3.110[[#This Row],[Digested feed, mg]]*1000</f>
        <v>40.877165571151124</v>
      </c>
    </row>
    <row r="783" spans="2:48" s="89" customFormat="1" x14ac:dyDescent="0.35">
      <c r="B783" s="90">
        <f t="shared" si="12"/>
        <v>773</v>
      </c>
      <c r="C783" s="140">
        <v>46076</v>
      </c>
      <c r="D783" s="92" t="s">
        <v>16</v>
      </c>
      <c r="E783" s="6" t="s">
        <v>313</v>
      </c>
      <c r="F783" s="242" t="s">
        <v>290</v>
      </c>
      <c r="G783" s="242" t="s">
        <v>314</v>
      </c>
      <c r="H783" s="6" t="str">
        <f>'[2]1. Information samples'!$K$73</f>
        <v>Indigofera jamaicensis</v>
      </c>
      <c r="I783" s="57" t="s">
        <v>22</v>
      </c>
      <c r="J783" s="130" t="s">
        <v>23</v>
      </c>
      <c r="K783" s="130" t="s">
        <v>24</v>
      </c>
      <c r="L783" s="6" t="s">
        <v>312</v>
      </c>
      <c r="M783" s="256">
        <v>28</v>
      </c>
      <c r="N783" s="256">
        <v>69</v>
      </c>
      <c r="O783" s="256">
        <v>3</v>
      </c>
      <c r="P783" s="257">
        <v>2</v>
      </c>
      <c r="Q783" s="96">
        <v>192</v>
      </c>
      <c r="R783" s="98">
        <v>0.50019999999999998</v>
      </c>
      <c r="S783" s="94">
        <f>((Table3.110[[#This Row],[Sample weight, g]]*'2.1. DM'!Q191)/100)*1000</f>
        <v>449.31749325067506</v>
      </c>
      <c r="T783" s="94">
        <f>'3.2 Digest'!W783</f>
        <v>194.31749325067506</v>
      </c>
      <c r="U783" s="117">
        <v>0.36875000000000002</v>
      </c>
      <c r="V783" s="155">
        <v>41</v>
      </c>
      <c r="W783" s="117">
        <v>0.74236111111111114</v>
      </c>
      <c r="X783" s="96">
        <v>69.5</v>
      </c>
      <c r="Y783" s="96">
        <v>12.4</v>
      </c>
      <c r="Z783" s="155">
        <v>40.5</v>
      </c>
      <c r="AA783" s="117">
        <v>0.41736111111111113</v>
      </c>
      <c r="AB783" s="155">
        <v>81.5</v>
      </c>
      <c r="AC783" s="155">
        <v>15.9</v>
      </c>
      <c r="AD783" s="96"/>
      <c r="AE783" s="94">
        <f>Table3.110[[#This Row],[Gas 8h, ml]]-Table3.110[[#This Row],[Gas 0h, ml]]</f>
        <v>28.5</v>
      </c>
      <c r="AF783" s="94">
        <f>Table3.110[[#This Row],[Gas 24h, ml]]-Table3.110[[#This Row],[V8 Push back, ml]]</f>
        <v>41</v>
      </c>
      <c r="AG783" s="94">
        <f>Table3.110[[#This Row],[GP 8h, ml]]-AVERAGE(AE$664,AE$665,AE$726,AE$727,AE$788,AE$789)*$AG$8</f>
        <v>26.656235924806332</v>
      </c>
      <c r="AH783" s="94">
        <f>Table3.110[[#This Row],[GP 8-24h, ml]]-AVERAGE(AF$664,AF$665,AF$726,AF$727,AF$788,AF$789)*$AG$8</f>
        <v>38.676857265255975</v>
      </c>
      <c r="AI783" s="94">
        <f>Table3.110[[#This Row],[Net gas 8-24h, ml]]+Table3.110[[#This Row],[Net gas 8h, ml]]</f>
        <v>65.3330931900623</v>
      </c>
      <c r="AJ783" s="94">
        <f>Table3.110[[#This Row],[Net gas 8h, ml]]*Table3.110[[#This Row],[CH4 8h %]]%</f>
        <v>3.3053732546759851</v>
      </c>
      <c r="AK783" s="94">
        <f>Table3.110[[#This Row],[Net gas 8-24h, ml]]*Table3.110[[#This Row],[CH4 24h, %]]%</f>
        <v>6.1496203051757004</v>
      </c>
      <c r="AL783" s="94">
        <f>Table3.110[[#This Row],[CH4 8-24h, ml]]+Table3.110[[#This Row],[CH4 8h, ml]]</f>
        <v>9.454993559851685</v>
      </c>
      <c r="AM783" s="94">
        <f>(Table3.110[[#This Row],[Net gas 24h, ml]]/Table3.110[[#This Row],[DM Incubated, mg]])*1000</f>
        <v>145.40518491144712</v>
      </c>
      <c r="AN783" s="94">
        <f>'3.2 Digest'!X783</f>
        <v>43.247257489319466</v>
      </c>
      <c r="AO783" s="94">
        <f>Table3.110[[#This Row],[Digested feed, mg]]/Table3.110[[#This Row],[Net gas 24h, ml]]</f>
        <v>2.9742582780426559</v>
      </c>
      <c r="AP783" s="94">
        <f>Table3.110[[#This Row],[CH4 8h, ml]]/Table3.110[[#This Row],[Net gas 8h, ml]]%</f>
        <v>12.4</v>
      </c>
      <c r="AQ783" s="94">
        <f>Table3.110[[#This Row],[CH4 24h, ml]]/Table3.110[[#This Row],[Net gas 24h, ml]]%</f>
        <v>14.47198211225956</v>
      </c>
      <c r="AR783" s="94">
        <f>Table3.110[[#This Row],[CH4 24h, ml]]/Table3.110[[#This Row],[DM Incubated, mg]]*1000</f>
        <v>21.043012350682567</v>
      </c>
      <c r="AS783" s="94">
        <f>Table3.110[[#This Row],[CH4 24h, ml]]/Table3.110[[#This Row],[Digested feed, mg]]*1000</f>
        <v>48.657449217165826</v>
      </c>
      <c r="AT783" s="94">
        <f>Table3.110[[#This Row],[CH4 24h, ml]]/'3.2 Digest'!AA783</f>
        <v>-0.69504615110427825</v>
      </c>
      <c r="AU783" s="94">
        <f>((Table3.110[[#This Row],[CH4 24h, ml]]/28.9)*16.04)/Table3.110[[#This Row],[DM Incubated, mg]]*1000</f>
        <v>11.679235920586448</v>
      </c>
      <c r="AV783" s="94">
        <f>((Table3.110[[#This Row],[CH4 24h, ml]]/28.9)*16.04)/Table3.110[[#This Row],[Digested feed, mg]]*1000</f>
        <v>27.005726139907956</v>
      </c>
    </row>
    <row r="784" spans="2:48" s="89" customFormat="1" x14ac:dyDescent="0.35">
      <c r="B784" s="90">
        <f t="shared" si="12"/>
        <v>774</v>
      </c>
      <c r="C784" s="140">
        <v>46076</v>
      </c>
      <c r="D784" s="92" t="s">
        <v>16</v>
      </c>
      <c r="E784" s="6" t="s">
        <v>317</v>
      </c>
      <c r="F784" s="242" t="s">
        <v>290</v>
      </c>
      <c r="G784" s="242" t="s">
        <v>318</v>
      </c>
      <c r="H784" s="6" t="str">
        <f>'[2]1. Information samples'!$K$74</f>
        <v>Indigofera atriceps</v>
      </c>
      <c r="I784" s="57" t="s">
        <v>22</v>
      </c>
      <c r="J784" s="130" t="s">
        <v>23</v>
      </c>
      <c r="K784" s="130" t="s">
        <v>24</v>
      </c>
      <c r="L784" s="6" t="s">
        <v>316</v>
      </c>
      <c r="M784" s="256">
        <v>28</v>
      </c>
      <c r="N784" s="256">
        <v>69</v>
      </c>
      <c r="O784" s="256">
        <v>3</v>
      </c>
      <c r="P784" s="257">
        <v>1</v>
      </c>
      <c r="Q784" s="96">
        <v>193</v>
      </c>
      <c r="R784" s="98">
        <v>0.50009999999999999</v>
      </c>
      <c r="S784" s="94">
        <f>((Table3.110[[#This Row],[Sample weight, g]]*'2.1. DM'!Q193)/100)*1000</f>
        <v>451.80488659679742</v>
      </c>
      <c r="T784" s="94">
        <f>'3.2 Digest'!W784</f>
        <v>85.104886596797371</v>
      </c>
      <c r="U784" s="117">
        <v>0.36875000000000002</v>
      </c>
      <c r="V784" s="155">
        <v>40.5</v>
      </c>
      <c r="W784" s="117">
        <v>0.74305555555555558</v>
      </c>
      <c r="X784" s="96">
        <v>67.5</v>
      </c>
      <c r="Y784" s="96">
        <v>13.2</v>
      </c>
      <c r="Z784" s="155">
        <v>39.5</v>
      </c>
      <c r="AA784" s="117">
        <v>0.41736111111111113</v>
      </c>
      <c r="AB784" s="155">
        <v>69</v>
      </c>
      <c r="AC784" s="155">
        <v>14.9</v>
      </c>
      <c r="AD784" s="96"/>
      <c r="AE784" s="94">
        <f>Table3.110[[#This Row],[Gas 8h, ml]]-Table3.110[[#This Row],[Gas 0h, ml]]</f>
        <v>27</v>
      </c>
      <c r="AF784" s="94">
        <f>Table3.110[[#This Row],[Gas 24h, ml]]-Table3.110[[#This Row],[V8 Push back, ml]]</f>
        <v>29.5</v>
      </c>
      <c r="AG784" s="94">
        <f>Table3.110[[#This Row],[GP 8h, ml]]-AVERAGE(AE$664,AE$665,AE$726,AE$727,AE$788,AE$789)*$AG$8</f>
        <v>25.156235924806332</v>
      </c>
      <c r="AH784" s="94">
        <f>Table3.110[[#This Row],[GP 8-24h, ml]]-AVERAGE(AF$664,AF$665,AF$726,AF$727,AF$788,AF$789)*$AG$8</f>
        <v>27.176857265255975</v>
      </c>
      <c r="AI784" s="94">
        <f>Table3.110[[#This Row],[Net gas 8-24h, ml]]+Table3.110[[#This Row],[Net gas 8h, ml]]</f>
        <v>52.333093190062307</v>
      </c>
      <c r="AJ784" s="94">
        <f>Table3.110[[#This Row],[Net gas 8h, ml]]*Table3.110[[#This Row],[CH4 8h %]]%</f>
        <v>3.3206231420744361</v>
      </c>
      <c r="AK784" s="94">
        <f>Table3.110[[#This Row],[Net gas 8-24h, ml]]*Table3.110[[#This Row],[CH4 24h, %]]%</f>
        <v>4.0493517325231405</v>
      </c>
      <c r="AL784" s="94">
        <f>Table3.110[[#This Row],[CH4 8-24h, ml]]+Table3.110[[#This Row],[CH4 8h, ml]]</f>
        <v>7.3699748745975766</v>
      </c>
      <c r="AM784" s="94">
        <f>(Table3.110[[#This Row],[Net gas 24h, ml]]/Table3.110[[#This Row],[DM Incubated, mg]])*1000</f>
        <v>115.83118010134702</v>
      </c>
      <c r="AN784" s="94">
        <f>'3.2 Digest'!X784</f>
        <v>18.836645888858484</v>
      </c>
      <c r="AO784" s="94">
        <f>Table3.110[[#This Row],[Digested feed, mg]]/Table3.110[[#This Row],[Net gas 24h, ml]]</f>
        <v>1.6262154863981593</v>
      </c>
      <c r="AP784" s="94">
        <f>Table3.110[[#This Row],[CH4 8h, ml]]/Table3.110[[#This Row],[Net gas 8h, ml]]%</f>
        <v>13.200000000000001</v>
      </c>
      <c r="AQ784" s="94">
        <f>Table3.110[[#This Row],[CH4 24h, ml]]/Table3.110[[#This Row],[Net gas 24h, ml]]%</f>
        <v>14.082819159630878</v>
      </c>
      <c r="AR784" s="94">
        <f>Table3.110[[#This Row],[CH4 24h, ml]]/Table3.110[[#This Row],[DM Incubated, mg]]*1000</f>
        <v>16.312295624139047</v>
      </c>
      <c r="AS784" s="94">
        <f>Table3.110[[#This Row],[CH4 24h, ml]]/Table3.110[[#This Row],[Digested feed, mg]]*1000</f>
        <v>86.598727397574848</v>
      </c>
      <c r="AT784" s="94">
        <f>Table3.110[[#This Row],[CH4 24h, ml]]/'3.2 Digest'!AA784</f>
        <v>-0.10746849964809733</v>
      </c>
      <c r="AU784" s="94">
        <f>((Table3.110[[#This Row],[CH4 24h, ml]]/28.9)*16.04)/Table3.110[[#This Row],[DM Incubated, mg]]*1000</f>
        <v>9.0536062910446446</v>
      </c>
      <c r="AV784" s="94">
        <f>((Table3.110[[#This Row],[CH4 24h, ml]]/28.9)*16.04)/Table3.110[[#This Row],[Digested feed, mg]]*1000</f>
        <v>48.063791953532878</v>
      </c>
    </row>
    <row r="785" spans="2:48" s="89" customFormat="1" x14ac:dyDescent="0.35">
      <c r="B785" s="90">
        <f t="shared" si="12"/>
        <v>775</v>
      </c>
      <c r="C785" s="140">
        <v>46076</v>
      </c>
      <c r="D785" s="92" t="s">
        <v>16</v>
      </c>
      <c r="E785" s="6" t="s">
        <v>317</v>
      </c>
      <c r="F785" s="242" t="s">
        <v>290</v>
      </c>
      <c r="G785" s="242" t="s">
        <v>318</v>
      </c>
      <c r="H785" s="6" t="str">
        <f>'[2]1. Information samples'!$K$74</f>
        <v>Indigofera atriceps</v>
      </c>
      <c r="I785" s="57" t="s">
        <v>22</v>
      </c>
      <c r="J785" s="130" t="s">
        <v>23</v>
      </c>
      <c r="K785" s="130" t="s">
        <v>24</v>
      </c>
      <c r="L785" s="6" t="s">
        <v>316</v>
      </c>
      <c r="M785" s="256">
        <v>28</v>
      </c>
      <c r="N785" s="256">
        <v>69</v>
      </c>
      <c r="O785" s="256">
        <v>3</v>
      </c>
      <c r="P785" s="257">
        <v>2</v>
      </c>
      <c r="Q785" s="96">
        <v>194</v>
      </c>
      <c r="R785" s="98">
        <v>0.50009999999999999</v>
      </c>
      <c r="S785" s="94">
        <f>((Table3.110[[#This Row],[Sample weight, g]]*'2.1. DM'!Q193)/100)*1000</f>
        <v>451.80488659679742</v>
      </c>
      <c r="T785" s="94">
        <f>'3.2 Digest'!W785</f>
        <v>154.20488659679745</v>
      </c>
      <c r="U785" s="153">
        <v>0.36875000000000002</v>
      </c>
      <c r="V785" s="155">
        <v>41</v>
      </c>
      <c r="W785" s="153">
        <v>0.74375000000000002</v>
      </c>
      <c r="X785" s="91">
        <v>63.5</v>
      </c>
      <c r="Y785" s="91">
        <v>13</v>
      </c>
      <c r="Z785" s="154">
        <v>40</v>
      </c>
      <c r="AA785" s="153">
        <v>0.41805555555555557</v>
      </c>
      <c r="AB785" s="154">
        <v>68</v>
      </c>
      <c r="AC785" s="154">
        <v>14.7</v>
      </c>
      <c r="AD785" s="91"/>
      <c r="AE785" s="94">
        <f>Table3.110[[#This Row],[Gas 8h, ml]]-Table3.110[[#This Row],[Gas 0h, ml]]</f>
        <v>22.5</v>
      </c>
      <c r="AF785" s="94">
        <f>Table3.110[[#This Row],[Gas 24h, ml]]-Table3.110[[#This Row],[V8 Push back, ml]]</f>
        <v>28</v>
      </c>
      <c r="AG785" s="94">
        <f>Table3.110[[#This Row],[GP 8h, ml]]-AVERAGE(AE$664,AE$665,AE$726,AE$727,AE$788,AE$789)*$AG$8</f>
        <v>20.656235924806332</v>
      </c>
      <c r="AH785" s="94">
        <f>Table3.110[[#This Row],[GP 8-24h, ml]]-AVERAGE(AF$664,AF$665,AF$726,AF$727,AF$788,AF$789)*$AG$8</f>
        <v>25.676857265255975</v>
      </c>
      <c r="AI785" s="94">
        <f>Table3.110[[#This Row],[Net gas 8-24h, ml]]+Table3.110[[#This Row],[Net gas 8h, ml]]</f>
        <v>46.333093190062307</v>
      </c>
      <c r="AJ785" s="94">
        <f>Table3.110[[#This Row],[Net gas 8h, ml]]*Table3.110[[#This Row],[CH4 8h %]]%</f>
        <v>2.6853106702248231</v>
      </c>
      <c r="AK785" s="94">
        <f>Table3.110[[#This Row],[Net gas 8-24h, ml]]*Table3.110[[#This Row],[CH4 24h, %]]%</f>
        <v>3.7744980179926282</v>
      </c>
      <c r="AL785" s="94">
        <f>Table3.110[[#This Row],[CH4 8-24h, ml]]+Table3.110[[#This Row],[CH4 8h, ml]]</f>
        <v>6.4598086882174517</v>
      </c>
      <c r="AM785" s="94">
        <f>(Table3.110[[#This Row],[Net gas 24h, ml]]/Table3.110[[#This Row],[DM Incubated, mg]])*1000</f>
        <v>102.55111125305552</v>
      </c>
      <c r="AN785" s="94">
        <f>'3.2 Digest'!X785</f>
        <v>34.130858512474205</v>
      </c>
      <c r="AO785" s="94">
        <f>Table3.110[[#This Row],[Digested feed, mg]]/Table3.110[[#This Row],[Net gas 24h, ml]]</f>
        <v>3.3281802698610221</v>
      </c>
      <c r="AP785" s="94">
        <f>Table3.110[[#This Row],[CH4 8h, ml]]/Table3.110[[#This Row],[Net gas 8h, ml]]%</f>
        <v>13</v>
      </c>
      <c r="AQ785" s="94">
        <f>Table3.110[[#This Row],[CH4 24h, ml]]/Table3.110[[#This Row],[Net gas 24h, ml]]%</f>
        <v>13.942105401249091</v>
      </c>
      <c r="AR785" s="94">
        <f>Table3.110[[#This Row],[CH4 24h, ml]]/Table3.110[[#This Row],[DM Incubated, mg]]*1000</f>
        <v>14.29778402105322</v>
      </c>
      <c r="AS785" s="94">
        <f>Table3.110[[#This Row],[CH4 24h, ml]]/Table3.110[[#This Row],[Digested feed, mg]]*1000</f>
        <v>41.891076416456507</v>
      </c>
      <c r="AT785" s="94">
        <f>Table3.110[[#This Row],[CH4 24h, ml]]/'3.2 Digest'!AA785</f>
        <v>-0.1754829724426025</v>
      </c>
      <c r="AU785" s="94">
        <f>((Table3.110[[#This Row],[CH4 24h, ml]]/28.9)*16.04)/Table3.110[[#This Row],[DM Incubated, mg]]*1000</f>
        <v>7.9355174981900909</v>
      </c>
      <c r="AV785" s="94">
        <f>((Table3.110[[#This Row],[CH4 24h, ml]]/28.9)*16.04)/Table3.110[[#This Row],[Digested feed, mg]]*1000</f>
        <v>23.250272170240912</v>
      </c>
    </row>
    <row r="786" spans="2:48" s="89" customFormat="1" x14ac:dyDescent="0.35">
      <c r="B786" s="90">
        <f t="shared" si="12"/>
        <v>776</v>
      </c>
      <c r="C786" s="140">
        <v>46076</v>
      </c>
      <c r="D786" s="8" t="s">
        <v>120</v>
      </c>
      <c r="E786" s="6" t="s">
        <v>122</v>
      </c>
      <c r="F786" s="242" t="s">
        <v>123</v>
      </c>
      <c r="G786" s="242" t="s">
        <v>545</v>
      </c>
      <c r="H786" s="6" t="str">
        <f>'[2]1. Information samples'!$K$75</f>
        <v xml:space="preserve">Cynodon nlemfuensis </v>
      </c>
      <c r="I786" s="57" t="s">
        <v>108</v>
      </c>
      <c r="J786" s="130" t="s">
        <v>109</v>
      </c>
      <c r="K786" s="130" t="s">
        <v>110</v>
      </c>
      <c r="L786" s="6" t="s">
        <v>121</v>
      </c>
      <c r="M786" s="256">
        <v>28</v>
      </c>
      <c r="N786" s="256">
        <v>69</v>
      </c>
      <c r="O786" s="256">
        <v>3</v>
      </c>
      <c r="P786" s="257">
        <v>1</v>
      </c>
      <c r="Q786" s="96">
        <v>195</v>
      </c>
      <c r="R786" s="98">
        <v>0.50019999999999998</v>
      </c>
      <c r="S786" s="94">
        <f>((Table3.110[[#This Row],[Sample weight, g]]*'2.1. DM'!Q195)/100)*1000</f>
        <v>467.93709999999999</v>
      </c>
      <c r="T786" s="94">
        <f>'3.2 Digest'!W786</f>
        <v>198.13710000000003</v>
      </c>
      <c r="U786" s="153">
        <v>0.36944444444444446</v>
      </c>
      <c r="V786" s="155">
        <v>40.5</v>
      </c>
      <c r="W786" s="153">
        <v>0.74444444444444446</v>
      </c>
      <c r="X786" s="91">
        <v>75</v>
      </c>
      <c r="Y786" s="91">
        <v>14.1</v>
      </c>
      <c r="Z786" s="154">
        <v>40</v>
      </c>
      <c r="AA786" s="153">
        <v>0.41875000000000001</v>
      </c>
      <c r="AB786" s="154">
        <v>80</v>
      </c>
      <c r="AC786" s="154">
        <v>16.5</v>
      </c>
      <c r="AD786" s="91"/>
      <c r="AE786" s="94">
        <f>Table3.110[[#This Row],[Gas 8h, ml]]-Table3.110[[#This Row],[Gas 0h, ml]]</f>
        <v>34.5</v>
      </c>
      <c r="AF786" s="94">
        <f>Table3.110[[#This Row],[Gas 24h, ml]]-Table3.110[[#This Row],[V8 Push back, ml]]</f>
        <v>40</v>
      </c>
      <c r="AG786" s="94">
        <f>Table3.110[[#This Row],[GP 8h, ml]]-AVERAGE(AE$664,AE$665,AE$726,AE$727,AE$788,AE$789)*$AG$8</f>
        <v>32.656235924806332</v>
      </c>
      <c r="AH786" s="94">
        <f>Table3.110[[#This Row],[GP 8-24h, ml]]-AVERAGE(AF$664,AF$665,AF$726,AF$727,AF$788,AF$789)*$AG$8</f>
        <v>37.676857265255975</v>
      </c>
      <c r="AI786" s="94">
        <f>Table3.110[[#This Row],[Net gas 8-24h, ml]]+Table3.110[[#This Row],[Net gas 8h, ml]]</f>
        <v>70.3330931900623</v>
      </c>
      <c r="AJ786" s="94">
        <f>Table3.110[[#This Row],[Net gas 8h, ml]]*Table3.110[[#This Row],[CH4 8h %]]%</f>
        <v>4.6045292653976926</v>
      </c>
      <c r="AK786" s="94">
        <f>Table3.110[[#This Row],[Net gas 8-24h, ml]]*Table3.110[[#This Row],[CH4 24h, %]]%</f>
        <v>6.2166814487672362</v>
      </c>
      <c r="AL786" s="94">
        <f>Table3.110[[#This Row],[CH4 8-24h, ml]]+Table3.110[[#This Row],[CH4 8h, ml]]</f>
        <v>10.821210714164929</v>
      </c>
      <c r="AM786" s="94">
        <f>(Table3.110[[#This Row],[Net gas 24h, ml]]/Table3.110[[#This Row],[DM Incubated, mg]])*1000</f>
        <v>150.3045883518582</v>
      </c>
      <c r="AN786" s="94">
        <f>'3.2 Digest'!X786</f>
        <v>42.342678107805519</v>
      </c>
      <c r="AO786" s="94">
        <f>Table3.110[[#This Row],[Digested feed, mg]]/Table3.110[[#This Row],[Net gas 24h, ml]]</f>
        <v>2.8171247845529956</v>
      </c>
      <c r="AP786" s="94">
        <f>Table3.110[[#This Row],[CH4 8h, ml]]/Table3.110[[#This Row],[Net gas 8h, ml]]%</f>
        <v>14.1</v>
      </c>
      <c r="AQ786" s="94">
        <f>Table3.110[[#This Row],[CH4 24h, ml]]/Table3.110[[#This Row],[Net gas 24h, ml]]%</f>
        <v>15.385660182643452</v>
      </c>
      <c r="AR786" s="94">
        <f>Table3.110[[#This Row],[CH4 24h, ml]]/Table3.110[[#This Row],[DM Incubated, mg]]*1000</f>
        <v>23.125353202737994</v>
      </c>
      <c r="AS786" s="94">
        <f>Table3.110[[#This Row],[CH4 24h, ml]]/Table3.110[[#This Row],[Digested feed, mg]]*1000</f>
        <v>54.614762778727084</v>
      </c>
      <c r="AT786" s="94">
        <f>Table3.110[[#This Row],[CH4 24h, ml]]/'3.2 Digest'!AA786</f>
        <v>0.44651548464613861</v>
      </c>
      <c r="AU786" s="94">
        <f>((Table3.110[[#This Row],[CH4 24h, ml]]/28.9)*16.04)/Table3.110[[#This Row],[DM Incubated, mg]]*1000</f>
        <v>12.834971120135551</v>
      </c>
      <c r="AV786" s="94">
        <f>((Table3.110[[#This Row],[CH4 24h, ml]]/28.9)*16.04)/Table3.110[[#This Row],[Digested feed, mg]]*1000</f>
        <v>30.312138234283132</v>
      </c>
    </row>
    <row r="787" spans="2:48" s="89" customFormat="1" x14ac:dyDescent="0.35">
      <c r="B787" s="90">
        <f t="shared" si="12"/>
        <v>777</v>
      </c>
      <c r="C787" s="140">
        <v>46076</v>
      </c>
      <c r="D787" s="8" t="s">
        <v>120</v>
      </c>
      <c r="E787" s="6" t="s">
        <v>122</v>
      </c>
      <c r="F787" s="242" t="s">
        <v>123</v>
      </c>
      <c r="G787" s="242" t="s">
        <v>545</v>
      </c>
      <c r="H787" s="6" t="str">
        <f>'[2]1. Information samples'!$K$75</f>
        <v xml:space="preserve">Cynodon nlemfuensis </v>
      </c>
      <c r="I787" s="57" t="s">
        <v>108</v>
      </c>
      <c r="J787" s="130" t="s">
        <v>109</v>
      </c>
      <c r="K787" s="130" t="s">
        <v>110</v>
      </c>
      <c r="L787" s="6" t="s">
        <v>121</v>
      </c>
      <c r="M787" s="256">
        <v>28</v>
      </c>
      <c r="N787" s="256">
        <v>69</v>
      </c>
      <c r="O787" s="256">
        <v>3</v>
      </c>
      <c r="P787" s="257">
        <v>2</v>
      </c>
      <c r="Q787" s="96">
        <v>196</v>
      </c>
      <c r="R787" s="98">
        <v>0.5</v>
      </c>
      <c r="S787" s="94">
        <f>((Table3.110[[#This Row],[Sample weight, g]]*'2.1. DM'!Q195)/100)*1000</f>
        <v>467.75</v>
      </c>
      <c r="T787" s="94">
        <f>'3.2 Digest'!W787</f>
        <v>31.549999999999955</v>
      </c>
      <c r="U787" s="117">
        <v>0.36944444444444446</v>
      </c>
      <c r="V787" s="155">
        <v>41</v>
      </c>
      <c r="W787" s="117">
        <v>0.74444444444444446</v>
      </c>
      <c r="X787" s="96">
        <v>65.5</v>
      </c>
      <c r="Y787" s="96">
        <v>14.2</v>
      </c>
      <c r="Z787" s="155">
        <v>40</v>
      </c>
      <c r="AA787" s="117">
        <v>0.41944444444444445</v>
      </c>
      <c r="AB787" s="155">
        <v>80</v>
      </c>
      <c r="AC787" s="155">
        <v>16</v>
      </c>
      <c r="AD787" s="96"/>
      <c r="AE787" s="94">
        <f>Table3.110[[#This Row],[Gas 8h, ml]]-Table3.110[[#This Row],[Gas 0h, ml]]</f>
        <v>24.5</v>
      </c>
      <c r="AF787" s="94">
        <f>Table3.110[[#This Row],[Gas 24h, ml]]-Table3.110[[#This Row],[V8 Push back, ml]]</f>
        <v>40</v>
      </c>
      <c r="AG787" s="94">
        <f>Table3.110[[#This Row],[GP 8h, ml]]-AVERAGE(AE$664,AE$665,AE$726,AE$727,AE$788,AE$789)*$AG$8</f>
        <v>22.656235924806332</v>
      </c>
      <c r="AH787" s="94">
        <f>Table3.110[[#This Row],[GP 8-24h, ml]]-AVERAGE(AF$664,AF$665,AF$726,AF$727,AF$788,AF$789)*$AG$8</f>
        <v>37.676857265255975</v>
      </c>
      <c r="AI787" s="94">
        <f>Table3.110[[#This Row],[Net gas 8-24h, ml]]+Table3.110[[#This Row],[Net gas 8h, ml]]</f>
        <v>60.333093190062307</v>
      </c>
      <c r="AJ787" s="94">
        <f>Table3.110[[#This Row],[Net gas 8h, ml]]*Table3.110[[#This Row],[CH4 8h %]]%</f>
        <v>3.2171855013224988</v>
      </c>
      <c r="AK787" s="94">
        <f>Table3.110[[#This Row],[Net gas 8-24h, ml]]*Table3.110[[#This Row],[CH4 24h, %]]%</f>
        <v>6.028297162440956</v>
      </c>
      <c r="AL787" s="94">
        <f>Table3.110[[#This Row],[CH4 8-24h, ml]]+Table3.110[[#This Row],[CH4 8h, ml]]</f>
        <v>9.245482663763454</v>
      </c>
      <c r="AM787" s="94">
        <f>(Table3.110[[#This Row],[Net gas 24h, ml]]/Table3.110[[#This Row],[DM Incubated, mg]])*1000</f>
        <v>128.98576844481519</v>
      </c>
      <c r="AN787" s="94">
        <f>'3.2 Digest'!X787</f>
        <v>6.7450561197220633</v>
      </c>
      <c r="AO787" s="94">
        <f>Table3.110[[#This Row],[Digested feed, mg]]/Table3.110[[#This Row],[Net gas 24h, ml]]</f>
        <v>0.52293025820192285</v>
      </c>
      <c r="AP787" s="94">
        <f>Table3.110[[#This Row],[CH4 8h, ml]]/Table3.110[[#This Row],[Net gas 8h, ml]]%</f>
        <v>14.2</v>
      </c>
      <c r="AQ787" s="94">
        <f>Table3.110[[#This Row],[CH4 24h, ml]]/Table3.110[[#This Row],[Net gas 24h, ml]]%</f>
        <v>15.324065409075219</v>
      </c>
      <c r="AR787" s="94">
        <f>Table3.110[[#This Row],[CH4 24h, ml]]/Table3.110[[#This Row],[DM Incubated, mg]]*1000</f>
        <v>19.76586352488178</v>
      </c>
      <c r="AS787" s="94">
        <f>Table3.110[[#This Row],[CH4 24h, ml]]/Table3.110[[#This Row],[Digested feed, mg]]*1000</f>
        <v>293.04223973893716</v>
      </c>
      <c r="AT787" s="94">
        <f>Table3.110[[#This Row],[CH4 24h, ml]]/'3.2 Digest'!AA787</f>
        <v>-0.41013321618688903</v>
      </c>
      <c r="AU787" s="94">
        <f>((Table3.110[[#This Row],[CH4 24h, ml]]/28.9)*16.04)/Table3.110[[#This Row],[DM Incubated, mg]]*1000</f>
        <v>10.970396226266569</v>
      </c>
      <c r="AV787" s="94">
        <f>((Table3.110[[#This Row],[CH4 24h, ml]]/28.9)*16.04)/Table3.110[[#This Row],[Digested feed, mg]]*1000</f>
        <v>162.64351299005372</v>
      </c>
    </row>
    <row r="788" spans="2:48" s="89" customFormat="1" x14ac:dyDescent="0.35">
      <c r="B788" s="90">
        <f t="shared" si="12"/>
        <v>778</v>
      </c>
      <c r="C788" s="143">
        <v>46076</v>
      </c>
      <c r="D788" s="92"/>
      <c r="E788" s="124" t="s">
        <v>537</v>
      </c>
      <c r="F788" s="242" t="s">
        <v>538</v>
      </c>
      <c r="G788" s="242">
        <v>24</v>
      </c>
      <c r="H788" s="124" t="s">
        <v>537</v>
      </c>
      <c r="I788" s="242"/>
      <c r="J788" s="243"/>
      <c r="K788" s="243"/>
      <c r="L788" s="124" t="s">
        <v>539</v>
      </c>
      <c r="M788" s="256">
        <v>28</v>
      </c>
      <c r="N788" s="256">
        <v>69</v>
      </c>
      <c r="O788" s="256">
        <v>3</v>
      </c>
      <c r="P788" s="257">
        <v>1</v>
      </c>
      <c r="Q788" s="96">
        <v>197</v>
      </c>
      <c r="R788" s="148"/>
      <c r="S788" s="94"/>
      <c r="T788" s="94">
        <f>'3.2 Digest'!W788</f>
        <v>0</v>
      </c>
      <c r="U788" s="149">
        <v>0.36944444444444446</v>
      </c>
      <c r="V788" s="150">
        <v>39</v>
      </c>
      <c r="W788" s="149">
        <v>0.74583333333333335</v>
      </c>
      <c r="X788" s="163">
        <v>41</v>
      </c>
      <c r="Y788" s="163"/>
      <c r="Z788" s="150">
        <v>39</v>
      </c>
      <c r="AA788" s="149">
        <v>0.4201388888888889</v>
      </c>
      <c r="AB788" s="150">
        <v>41.5</v>
      </c>
      <c r="AC788" s="150"/>
      <c r="AD788" s="163"/>
      <c r="AE788" s="94">
        <f>Table3.110[[#This Row],[Gas 8h, ml]]-Table3.110[[#This Row],[Gas 0h, ml]]</f>
        <v>2</v>
      </c>
      <c r="AF788" s="94">
        <f>Table3.110[[#This Row],[Gas 24h, ml]]-Table3.110[[#This Row],[V8 Push back, ml]]</f>
        <v>2.5</v>
      </c>
      <c r="AG788" s="94"/>
      <c r="AH788" s="94"/>
      <c r="AI788" s="94"/>
      <c r="AJ788" s="94"/>
      <c r="AK788" s="94"/>
      <c r="AL788" s="94"/>
      <c r="AM788" s="94"/>
      <c r="AN788" s="94"/>
      <c r="AO788" s="94"/>
      <c r="AP788" s="94"/>
      <c r="AQ788" s="94"/>
      <c r="AR788" s="94"/>
      <c r="AS788" s="94"/>
      <c r="AT788" s="94"/>
      <c r="AU788" s="94"/>
      <c r="AV788" s="94"/>
    </row>
    <row r="789" spans="2:48" s="89" customFormat="1" x14ac:dyDescent="0.35">
      <c r="B789" s="90">
        <f t="shared" si="12"/>
        <v>779</v>
      </c>
      <c r="C789" s="143">
        <v>46076</v>
      </c>
      <c r="D789" s="92"/>
      <c r="E789" s="124" t="s">
        <v>537</v>
      </c>
      <c r="F789" s="242" t="s">
        <v>538</v>
      </c>
      <c r="G789" s="242">
        <v>24</v>
      </c>
      <c r="H789" s="124" t="s">
        <v>537</v>
      </c>
      <c r="I789" s="242"/>
      <c r="J789" s="243"/>
      <c r="K789" s="243"/>
      <c r="L789" s="124" t="s">
        <v>539</v>
      </c>
      <c r="M789" s="256">
        <v>28</v>
      </c>
      <c r="N789" s="256">
        <v>69</v>
      </c>
      <c r="O789" s="256">
        <v>3</v>
      </c>
      <c r="P789" s="257">
        <v>2</v>
      </c>
      <c r="Q789" s="96">
        <v>198</v>
      </c>
      <c r="R789" s="148"/>
      <c r="S789" s="94"/>
      <c r="T789" s="94">
        <f>'3.2 Digest'!W789</f>
        <v>0</v>
      </c>
      <c r="U789" s="151">
        <v>0.36944444444444446</v>
      </c>
      <c r="V789" s="152">
        <v>40</v>
      </c>
      <c r="W789" s="151">
        <v>0.74583333333333335</v>
      </c>
      <c r="X789" s="164">
        <v>42</v>
      </c>
      <c r="Y789" s="164"/>
      <c r="Z789" s="152">
        <v>40</v>
      </c>
      <c r="AA789" s="151">
        <v>0.4201388888888889</v>
      </c>
      <c r="AB789" s="152">
        <v>42</v>
      </c>
      <c r="AC789" s="152"/>
      <c r="AD789" s="164"/>
      <c r="AE789" s="94">
        <f>Table3.110[[#This Row],[Gas 8h, ml]]-Table3.110[[#This Row],[Gas 0h, ml]]</f>
        <v>2</v>
      </c>
      <c r="AF789" s="94">
        <f>Table3.110[[#This Row],[Gas 24h, ml]]-Table3.110[[#This Row],[V8 Push back, ml]]</f>
        <v>2</v>
      </c>
      <c r="AG789" s="94"/>
      <c r="AH789" s="94"/>
      <c r="AI789" s="94"/>
      <c r="AJ789" s="94"/>
      <c r="AK789" s="94"/>
      <c r="AL789" s="94"/>
      <c r="AM789" s="94"/>
      <c r="AN789" s="94"/>
      <c r="AO789" s="94"/>
      <c r="AP789" s="94"/>
      <c r="AQ789" s="94"/>
      <c r="AR789" s="94"/>
      <c r="AS789" s="94"/>
      <c r="AT789" s="94"/>
      <c r="AU789" s="94"/>
      <c r="AV789" s="94"/>
    </row>
    <row r="790" spans="2:48" s="89" customFormat="1" x14ac:dyDescent="0.35">
      <c r="B790" s="90">
        <f t="shared" si="12"/>
        <v>780</v>
      </c>
      <c r="C790" s="142">
        <v>46055</v>
      </c>
      <c r="D790" s="92"/>
      <c r="E790" s="145" t="s">
        <v>537</v>
      </c>
      <c r="F790" s="6" t="s">
        <v>538</v>
      </c>
      <c r="G790" s="6">
        <v>24</v>
      </c>
      <c r="H790" s="145" t="s">
        <v>537</v>
      </c>
      <c r="I790" s="277"/>
      <c r="J790" s="278"/>
      <c r="K790" s="145"/>
      <c r="L790" s="145" t="s">
        <v>539</v>
      </c>
      <c r="M790" s="93">
        <v>29</v>
      </c>
      <c r="N790" s="147">
        <v>62</v>
      </c>
      <c r="O790" s="124">
        <v>1</v>
      </c>
      <c r="P790" s="124">
        <v>1</v>
      </c>
      <c r="Q790" s="124">
        <v>161</v>
      </c>
      <c r="R790" s="147"/>
      <c r="S790" s="94"/>
      <c r="T790" s="94"/>
      <c r="U790" s="149">
        <v>0.38541666666666669</v>
      </c>
      <c r="V790" s="150">
        <v>40</v>
      </c>
      <c r="W790" s="149"/>
      <c r="X790" s="161">
        <v>40</v>
      </c>
      <c r="Y790" s="161"/>
      <c r="Z790" s="150">
        <v>39.5</v>
      </c>
      <c r="AA790" s="149">
        <v>0.40486111111111112</v>
      </c>
      <c r="AB790" s="150">
        <v>41</v>
      </c>
      <c r="AC790" s="150"/>
      <c r="AD790" s="163"/>
      <c r="AE790" s="94">
        <f>Table3.110[[#This Row],[Gas 8h, ml]]-Table3.110[[#This Row],[Gas 0h, ml]]</f>
        <v>0</v>
      </c>
      <c r="AF790" s="94">
        <f>Table3.110[[#This Row],[Gas 24h, ml]]-Table3.110[[#This Row],[V8 Push back, ml]]</f>
        <v>1.5</v>
      </c>
      <c r="AG790" s="94"/>
      <c r="AH790" s="94"/>
      <c r="AI790" s="94"/>
      <c r="AJ790" s="94"/>
      <c r="AK790" s="94"/>
      <c r="AL790" s="94"/>
      <c r="AM790" s="94"/>
      <c r="AN790" s="94"/>
      <c r="AO790" s="94"/>
      <c r="AP790" s="94"/>
      <c r="AQ790" s="94"/>
      <c r="AR790" s="94"/>
      <c r="AS790" s="94"/>
      <c r="AT790" s="94"/>
      <c r="AU790" s="94"/>
      <c r="AV790" s="94"/>
    </row>
    <row r="791" spans="2:48" s="89" customFormat="1" x14ac:dyDescent="0.35">
      <c r="B791" s="90">
        <f t="shared" si="12"/>
        <v>781</v>
      </c>
      <c r="C791" s="143">
        <v>46055</v>
      </c>
      <c r="D791" s="92"/>
      <c r="E791" s="145" t="s">
        <v>537</v>
      </c>
      <c r="F791" s="6" t="s">
        <v>538</v>
      </c>
      <c r="G791" s="6">
        <v>24</v>
      </c>
      <c r="H791" s="145" t="s">
        <v>537</v>
      </c>
      <c r="I791" s="277"/>
      <c r="J791" s="278"/>
      <c r="K791" s="145"/>
      <c r="L791" s="145" t="s">
        <v>539</v>
      </c>
      <c r="M791" s="93">
        <v>29</v>
      </c>
      <c r="N791" s="147">
        <v>62</v>
      </c>
      <c r="O791" s="124">
        <v>1</v>
      </c>
      <c r="P791" s="146">
        <v>2</v>
      </c>
      <c r="Q791" s="124">
        <v>162</v>
      </c>
      <c r="R791" s="147"/>
      <c r="S791" s="94"/>
      <c r="T791" s="94"/>
      <c r="U791" s="151">
        <v>0.38541666666666669</v>
      </c>
      <c r="V791" s="152">
        <v>40</v>
      </c>
      <c r="W791" s="151"/>
      <c r="X791" s="162">
        <v>40.5</v>
      </c>
      <c r="Y791" s="162"/>
      <c r="Z791" s="152">
        <v>40</v>
      </c>
      <c r="AA791" s="151">
        <v>0.40486111111111112</v>
      </c>
      <c r="AB791" s="152">
        <v>41</v>
      </c>
      <c r="AC791" s="152"/>
      <c r="AD791" s="164"/>
      <c r="AE791" s="94">
        <f>Table3.110[[#This Row],[Gas 8h, ml]]-Table3.110[[#This Row],[Gas 0h, ml]]</f>
        <v>0.5</v>
      </c>
      <c r="AF791" s="94">
        <f>Table3.110[[#This Row],[Gas 24h, ml]]-Table3.110[[#This Row],[V8 Push back, ml]]</f>
        <v>1</v>
      </c>
      <c r="AG791" s="94"/>
      <c r="AH791" s="94"/>
      <c r="AI791" s="94"/>
      <c r="AJ791" s="94"/>
      <c r="AK791" s="94"/>
      <c r="AL791" s="94"/>
      <c r="AM791" s="94"/>
      <c r="AN791" s="94"/>
      <c r="AO791" s="94"/>
      <c r="AP791" s="94"/>
      <c r="AQ791" s="94"/>
      <c r="AR791" s="94"/>
      <c r="AS791" s="94"/>
      <c r="AT791" s="94"/>
      <c r="AU791" s="94"/>
      <c r="AV791" s="94"/>
    </row>
    <row r="792" spans="2:48" s="89" customFormat="1" x14ac:dyDescent="0.35">
      <c r="B792" s="90">
        <f t="shared" si="12"/>
        <v>782</v>
      </c>
      <c r="C792" s="139">
        <v>46055</v>
      </c>
      <c r="D792" s="6" t="s">
        <v>16</v>
      </c>
      <c r="E792" s="6" t="s">
        <v>322</v>
      </c>
      <c r="F792" s="6" t="s">
        <v>290</v>
      </c>
      <c r="G792" s="6" t="s">
        <v>318</v>
      </c>
      <c r="H792" s="6" t="s">
        <v>319</v>
      </c>
      <c r="I792" s="6" t="s">
        <v>22</v>
      </c>
      <c r="J792" s="129" t="s">
        <v>23</v>
      </c>
      <c r="K792" s="129" t="s">
        <v>215</v>
      </c>
      <c r="L792" s="6" t="s">
        <v>321</v>
      </c>
      <c r="M792" s="93">
        <v>29</v>
      </c>
      <c r="N792" s="93">
        <v>62</v>
      </c>
      <c r="O792" s="6">
        <v>1</v>
      </c>
      <c r="P792" s="129">
        <v>1</v>
      </c>
      <c r="Q792" s="6">
        <v>93</v>
      </c>
      <c r="R792" s="98">
        <v>0.50039999999999996</v>
      </c>
      <c r="S792" s="94">
        <f>((Table3.110[[#This Row],[Sample weight, g]]*'2.1. DM'!Q197)/100)*1000</f>
        <v>448.04098141757436</v>
      </c>
      <c r="T792" s="94"/>
      <c r="U792" s="153">
        <v>0.36319444444444443</v>
      </c>
      <c r="V792" s="154">
        <v>41</v>
      </c>
      <c r="W792" s="153">
        <v>0.70486111111111116</v>
      </c>
      <c r="X792" s="95">
        <v>71</v>
      </c>
      <c r="Y792" s="95">
        <v>12.9</v>
      </c>
      <c r="Z792" s="154">
        <v>40.5</v>
      </c>
      <c r="AA792" s="153">
        <v>0.37986111111111109</v>
      </c>
      <c r="AB792" s="154">
        <v>70.5</v>
      </c>
      <c r="AC792" s="154">
        <v>14.8</v>
      </c>
      <c r="AD792" s="91"/>
      <c r="AE792" s="94">
        <f>Table3.110[[#This Row],[Gas 8h, ml]]-Table3.110[[#This Row],[Gas 0h, ml]]</f>
        <v>30</v>
      </c>
      <c r="AF792" s="94">
        <f>Table3.110[[#This Row],[Gas 24h, ml]]-Table3.110[[#This Row],[V8 Push back, ml]]</f>
        <v>30</v>
      </c>
      <c r="AG792" s="94"/>
      <c r="AH792" s="94"/>
      <c r="AI792" s="94"/>
      <c r="AJ792" s="94"/>
      <c r="AK792" s="94"/>
      <c r="AL792" s="94"/>
      <c r="AM792" s="94"/>
      <c r="AN792" s="94"/>
      <c r="AO792" s="94"/>
      <c r="AP792" s="94"/>
      <c r="AQ792" s="94"/>
      <c r="AR792" s="94"/>
      <c r="AS792" s="94"/>
      <c r="AT792" s="94"/>
      <c r="AU792" s="94"/>
      <c r="AV792" s="94"/>
    </row>
    <row r="793" spans="2:48" s="89" customFormat="1" x14ac:dyDescent="0.35">
      <c r="B793" s="90">
        <f t="shared" si="12"/>
        <v>783</v>
      </c>
      <c r="C793" s="140">
        <v>46055</v>
      </c>
      <c r="D793" s="6" t="s">
        <v>16</v>
      </c>
      <c r="E793" s="6" t="s">
        <v>322</v>
      </c>
      <c r="F793" s="6" t="s">
        <v>290</v>
      </c>
      <c r="G793" s="6" t="s">
        <v>318</v>
      </c>
      <c r="H793" s="6" t="s">
        <v>319</v>
      </c>
      <c r="I793" s="6" t="s">
        <v>22</v>
      </c>
      <c r="J793" s="129" t="s">
        <v>23</v>
      </c>
      <c r="K793" s="129" t="s">
        <v>215</v>
      </c>
      <c r="L793" s="6" t="s">
        <v>321</v>
      </c>
      <c r="M793" s="93">
        <v>29</v>
      </c>
      <c r="N793" s="93">
        <v>62</v>
      </c>
      <c r="O793" s="6">
        <v>1</v>
      </c>
      <c r="P793" s="6">
        <v>2</v>
      </c>
      <c r="Q793" s="6">
        <v>94</v>
      </c>
      <c r="R793" s="98">
        <v>0.50049999999999994</v>
      </c>
      <c r="S793" s="94">
        <f>((Table3.110[[#This Row],[Sample weight, g]]*'2.1. DM'!Q197)/100)*1000</f>
        <v>448.13051798460424</v>
      </c>
      <c r="T793" s="94">
        <f>'3.2 Digest'!W793</f>
        <v>122.83051798460423</v>
      </c>
      <c r="U793" s="117">
        <v>0.36388888888888887</v>
      </c>
      <c r="V793" s="155">
        <v>40.5</v>
      </c>
      <c r="W793" s="117">
        <v>0.7055555555555556</v>
      </c>
      <c r="X793" s="97">
        <v>70.5</v>
      </c>
      <c r="Y793" s="97">
        <v>12.9</v>
      </c>
      <c r="Z793" s="155">
        <v>40</v>
      </c>
      <c r="AA793" s="117">
        <v>0.38055555555555554</v>
      </c>
      <c r="AB793" s="155">
        <v>70</v>
      </c>
      <c r="AC793" s="155">
        <v>14.5</v>
      </c>
      <c r="AD793" s="96"/>
      <c r="AE793" s="94">
        <f>Table3.110[[#This Row],[Gas 8h, ml]]-Table3.110[[#This Row],[Gas 0h, ml]]</f>
        <v>30</v>
      </c>
      <c r="AF793" s="94">
        <f>Table3.110[[#This Row],[Gas 24h, ml]]-Table3.110[[#This Row],[V8 Push back, ml]]</f>
        <v>30</v>
      </c>
      <c r="AG793" s="94">
        <f>Table3.110[[#This Row],[GP 8h, ml]]-(AVERAGE(AE$790,AE$791,AE$840,AE$841,AE$860,AE$861))*$AG$8</f>
        <v>28.81999099187605</v>
      </c>
      <c r="AH793" s="94">
        <f>Table3.110[[#This Row],[GP 8-24h, ml]]-(AVERAGE(AF$790,AF$791,AF$840,AF$841,AF$860,AF$861))*$AG$8</f>
        <v>27.123728042697874</v>
      </c>
      <c r="AI793" s="94">
        <f>Table3.110[[#This Row],[Net gas 8-24h, ml]]+Table3.110[[#This Row],[Net gas 8h, ml]]</f>
        <v>55.943719034573924</v>
      </c>
      <c r="AJ793" s="94">
        <f>Table3.110[[#This Row],[Net gas 8h, ml]]*Table3.110[[#This Row],[CH4 8h %]]%</f>
        <v>3.7177788379520105</v>
      </c>
      <c r="AK793" s="94">
        <f>Table3.110[[#This Row],[Net gas 8-24h, ml]]*Table3.110[[#This Row],[CH4 24h, %]]%</f>
        <v>3.9329405661911916</v>
      </c>
      <c r="AL793" s="94">
        <f>Table3.110[[#This Row],[CH4 8-24h, ml]]+Table3.110[[#This Row],[CH4 8h, ml]]</f>
        <v>7.6507194041432021</v>
      </c>
      <c r="AM793" s="94">
        <f>(Table3.110[[#This Row],[Net gas 24h, ml]]/Table3.110[[#This Row],[DM Incubated, mg]])*1000</f>
        <v>124.83800319195377</v>
      </c>
      <c r="AN793" s="94">
        <f>'3.2 Digest'!X793</f>
        <v>27.409540983063362</v>
      </c>
      <c r="AO793" s="94">
        <f>Table3.110[[#This Row],[Digested feed, mg]]/Table3.110[[#This Row],[Net gas 24h, ml]]</f>
        <v>2.1956087314948336</v>
      </c>
      <c r="AP793" s="94">
        <f>Table3.110[[#This Row],[CH4 8h, ml]]/Table3.110[[#This Row],[Net gas 8h, ml]]%</f>
        <v>12.9</v>
      </c>
      <c r="AQ793" s="94">
        <f>Table3.110[[#This Row],[CH4 24h, ml]]/Table3.110[[#This Row],[Net gas 24h, ml]]%</f>
        <v>13.675743293746633</v>
      </c>
      <c r="AR793" s="94">
        <f>Table3.110[[#This Row],[CH4 24h, ml]]/Table3.110[[#This Row],[DM Incubated, mg]]*1000</f>
        <v>17.072524849570826</v>
      </c>
      <c r="AS793" s="94">
        <f>Table3.110[[#This Row],[CH4 24h, ml]]/Table3.110[[#This Row],[Digested feed, mg]]*1000</f>
        <v>62.286795901179502</v>
      </c>
      <c r="AT793" s="94">
        <f>Table3.110[[#This Row],[CH4 24h, ml]]/'3.2 Digest'!AA793</f>
        <v>-0.20293249247268508</v>
      </c>
      <c r="AU793" s="94">
        <f>((Table3.110[[#This Row],[CH4 24h, ml]]/28.9)*16.04)/Table3.110[[#This Row],[DM Incubated, mg]]*1000</f>
        <v>9.4755466639140504</v>
      </c>
      <c r="AV793" s="94">
        <f>((Table3.110[[#This Row],[CH4 24h, ml]]/28.9)*16.04)/Table3.110[[#This Row],[Digested feed, mg]]*1000</f>
        <v>34.570249351381293</v>
      </c>
    </row>
    <row r="794" spans="2:48" s="89" customFormat="1" x14ac:dyDescent="0.35">
      <c r="B794" s="90">
        <f t="shared" si="12"/>
        <v>784</v>
      </c>
      <c r="C794" s="139">
        <v>46055</v>
      </c>
      <c r="D794" s="6" t="s">
        <v>16</v>
      </c>
      <c r="E794" s="6" t="s">
        <v>322</v>
      </c>
      <c r="F794" s="6" t="s">
        <v>290</v>
      </c>
      <c r="G794" s="6" t="s">
        <v>318</v>
      </c>
      <c r="H794" s="6" t="s">
        <v>319</v>
      </c>
      <c r="I794" s="6" t="s">
        <v>22</v>
      </c>
      <c r="J794" s="129" t="s">
        <v>23</v>
      </c>
      <c r="K794" s="129" t="s">
        <v>215</v>
      </c>
      <c r="L794" s="6" t="s">
        <v>321</v>
      </c>
      <c r="M794" s="93">
        <v>29</v>
      </c>
      <c r="N794" s="93">
        <v>62</v>
      </c>
      <c r="O794" s="6">
        <v>1</v>
      </c>
      <c r="P794" s="129">
        <v>3</v>
      </c>
      <c r="Q794" s="6">
        <v>95</v>
      </c>
      <c r="R794" s="98">
        <v>0.50060000000000004</v>
      </c>
      <c r="S794" s="94">
        <f>((Table3.110[[#This Row],[Sample weight, g]]*'2.1. DM'!Q197)/100)*1000</f>
        <v>448.22005455163423</v>
      </c>
      <c r="T794" s="94">
        <f>'3.2 Digest'!W794</f>
        <v>73.120054551634155</v>
      </c>
      <c r="U794" s="153">
        <v>0.36458333333333331</v>
      </c>
      <c r="V794" s="154">
        <v>41</v>
      </c>
      <c r="W794" s="153">
        <v>0.7055555555555556</v>
      </c>
      <c r="X794" s="95">
        <v>71</v>
      </c>
      <c r="Y794" s="95">
        <v>12.7</v>
      </c>
      <c r="Z794" s="154">
        <v>40</v>
      </c>
      <c r="AA794" s="153">
        <v>0.38055555555555554</v>
      </c>
      <c r="AB794" s="154">
        <v>69</v>
      </c>
      <c r="AC794" s="154">
        <v>15.2</v>
      </c>
      <c r="AD794" s="91"/>
      <c r="AE794" s="94">
        <f>Table3.110[[#This Row],[Gas 8h, ml]]-Table3.110[[#This Row],[Gas 0h, ml]]</f>
        <v>30</v>
      </c>
      <c r="AF794" s="94">
        <f>Table3.110[[#This Row],[Gas 24h, ml]]-Table3.110[[#This Row],[V8 Push back, ml]]</f>
        <v>29</v>
      </c>
      <c r="AG794" s="94">
        <f>Table3.110[[#This Row],[GP 8h, ml]]-(AVERAGE(AE$790,AE$791,AE$840,AE$841,AE$860,AE$861))*$AG$8</f>
        <v>28.81999099187605</v>
      </c>
      <c r="AH794" s="94">
        <f>Table3.110[[#This Row],[GP 8-24h, ml]]-(AVERAGE(AF$790,AF$791,AF$840,AF$841,AF$860,AF$861))*$AG$8</f>
        <v>26.123728042697874</v>
      </c>
      <c r="AI794" s="94">
        <f>Table3.110[[#This Row],[Net gas 8-24h, ml]]+Table3.110[[#This Row],[Net gas 8h, ml]]</f>
        <v>54.943719034573924</v>
      </c>
      <c r="AJ794" s="94">
        <f>Table3.110[[#This Row],[Net gas 8h, ml]]*Table3.110[[#This Row],[CH4 8h %]]%</f>
        <v>3.6601388559682584</v>
      </c>
      <c r="AK794" s="94">
        <f>Table3.110[[#This Row],[Net gas 8-24h, ml]]*Table3.110[[#This Row],[CH4 24h, %]]%</f>
        <v>3.9708066624900766</v>
      </c>
      <c r="AL794" s="94">
        <f>Table3.110[[#This Row],[CH4 8-24h, ml]]+Table3.110[[#This Row],[CH4 8h, ml]]</f>
        <v>7.6309455184583346</v>
      </c>
      <c r="AM794" s="94">
        <f>(Table3.110[[#This Row],[Net gas 24h, ml]]/Table3.110[[#This Row],[DM Incubated, mg]])*1000</f>
        <v>122.58201853447969</v>
      </c>
      <c r="AN794" s="94">
        <f>'3.2 Digest'!X794</f>
        <v>16.31342770344758</v>
      </c>
      <c r="AO794" s="94">
        <f>Table3.110[[#This Row],[Digested feed, mg]]/Table3.110[[#This Row],[Net gas 24h, ml]]</f>
        <v>1.3308173497615365</v>
      </c>
      <c r="AP794" s="94">
        <f>Table3.110[[#This Row],[CH4 8h, ml]]/Table3.110[[#This Row],[Net gas 8h, ml]]%</f>
        <v>12.700000000000001</v>
      </c>
      <c r="AQ794" s="94">
        <f>Table3.110[[#This Row],[CH4 24h, ml]]/Table3.110[[#This Row],[Net gas 24h, ml]]%</f>
        <v>13.888658526475938</v>
      </c>
      <c r="AR794" s="94">
        <f>Table3.110[[#This Row],[CH4 24h, ml]]/Table3.110[[#This Row],[DM Incubated, mg]]*1000</f>
        <v>17.024997969115329</v>
      </c>
      <c r="AS794" s="94">
        <f>Table3.110[[#This Row],[CH4 24h, ml]]/Table3.110[[#This Row],[Digested feed, mg]]*1000</f>
        <v>104.36186850858677</v>
      </c>
      <c r="AT794" s="94">
        <f>Table3.110[[#This Row],[CH4 24h, ml]]/'3.2 Digest'!AA794</f>
        <v>-0.12988924304126168</v>
      </c>
      <c r="AU794" s="94">
        <f>((Table3.110[[#This Row],[CH4 24h, ml]]/28.9)*16.04)/Table3.110[[#This Row],[DM Incubated, mg]]*1000</f>
        <v>9.4491684229968822</v>
      </c>
      <c r="AV794" s="94">
        <f>((Table3.110[[#This Row],[CH4 24h, ml]]/28.9)*16.04)/Table3.110[[#This Row],[Digested feed, mg]]*1000</f>
        <v>57.922642590924973</v>
      </c>
    </row>
    <row r="795" spans="2:48" s="89" customFormat="1" x14ac:dyDescent="0.35">
      <c r="B795" s="90">
        <f t="shared" si="12"/>
        <v>785</v>
      </c>
      <c r="C795" s="140">
        <v>46055</v>
      </c>
      <c r="D795" s="6" t="s">
        <v>16</v>
      </c>
      <c r="E795" s="6" t="s">
        <v>326</v>
      </c>
      <c r="F795" s="6" t="s">
        <v>290</v>
      </c>
      <c r="G795" s="6" t="s">
        <v>318</v>
      </c>
      <c r="H795" s="6" t="s">
        <v>319</v>
      </c>
      <c r="I795" s="6" t="s">
        <v>22</v>
      </c>
      <c r="J795" s="129" t="s">
        <v>23</v>
      </c>
      <c r="K795" s="129" t="s">
        <v>215</v>
      </c>
      <c r="L795" s="6" t="s">
        <v>325</v>
      </c>
      <c r="M795" s="93">
        <v>29</v>
      </c>
      <c r="N795" s="93">
        <v>62</v>
      </c>
      <c r="O795" s="6">
        <v>1</v>
      </c>
      <c r="P795" s="129">
        <v>1</v>
      </c>
      <c r="Q795" s="6">
        <v>96</v>
      </c>
      <c r="R795" s="98">
        <v>0.5</v>
      </c>
      <c r="S795" s="94">
        <f>((Table3.110[[#This Row],[Sample weight, g]]*'2.1. DM'!Q199)/100)*1000</f>
        <v>464.70529911615881</v>
      </c>
      <c r="T795" s="94">
        <f>'3.2 Digest'!W795</f>
        <v>124.30529911615878</v>
      </c>
      <c r="U795" s="117">
        <v>0.36458333333333331</v>
      </c>
      <c r="V795" s="155">
        <v>41.5</v>
      </c>
      <c r="W795" s="117">
        <v>0.70625000000000004</v>
      </c>
      <c r="X795" s="97">
        <v>67</v>
      </c>
      <c r="Y795" s="97">
        <v>11.4</v>
      </c>
      <c r="Z795" s="155">
        <v>40</v>
      </c>
      <c r="AA795" s="117">
        <v>0.38124999999999998</v>
      </c>
      <c r="AB795" s="155">
        <v>70.5</v>
      </c>
      <c r="AC795" s="155">
        <v>13.9</v>
      </c>
      <c r="AD795" s="96"/>
      <c r="AE795" s="94">
        <f>Table3.110[[#This Row],[Gas 8h, ml]]-Table3.110[[#This Row],[Gas 0h, ml]]</f>
        <v>25.5</v>
      </c>
      <c r="AF795" s="94">
        <f>Table3.110[[#This Row],[Gas 24h, ml]]-Table3.110[[#This Row],[V8 Push back, ml]]</f>
        <v>30.5</v>
      </c>
      <c r="AG795" s="94">
        <f>Table3.110[[#This Row],[GP 8h, ml]]-(AVERAGE(AE$790,AE$791,AE$840,AE$841,AE$860,AE$861))*$AG$8</f>
        <v>24.31999099187605</v>
      </c>
      <c r="AH795" s="94">
        <f>Table3.110[[#This Row],[GP 8-24h, ml]]-(AVERAGE(AF$790,AF$791,AF$840,AF$841,AF$860,AF$861))*$AG$8</f>
        <v>27.623728042697874</v>
      </c>
      <c r="AI795" s="94">
        <f>Table3.110[[#This Row],[Net gas 8-24h, ml]]+Table3.110[[#This Row],[Net gas 8h, ml]]</f>
        <v>51.943719034573924</v>
      </c>
      <c r="AJ795" s="94">
        <f>Table3.110[[#This Row],[Net gas 8h, ml]]*Table3.110[[#This Row],[CH4 8h %]]%</f>
        <v>2.7724789730738699</v>
      </c>
      <c r="AK795" s="94">
        <f>Table3.110[[#This Row],[Net gas 8-24h, ml]]*Table3.110[[#This Row],[CH4 24h, %]]%</f>
        <v>3.8396981979350047</v>
      </c>
      <c r="AL795" s="94">
        <f>Table3.110[[#This Row],[CH4 8-24h, ml]]+Table3.110[[#This Row],[CH4 8h, ml]]</f>
        <v>6.6121771710088746</v>
      </c>
      <c r="AM795" s="94">
        <f>(Table3.110[[#This Row],[Net gas 24h, ml]]/Table3.110[[#This Row],[DM Incubated, mg]])*1000</f>
        <v>111.77776352748228</v>
      </c>
      <c r="AN795" s="94">
        <f>'3.2 Digest'!X795</f>
        <v>26.749275154077196</v>
      </c>
      <c r="AO795" s="94">
        <f>Table3.110[[#This Row],[Digested feed, mg]]/Table3.110[[#This Row],[Net gas 24h, ml]]</f>
        <v>2.393076611118675</v>
      </c>
      <c r="AP795" s="94">
        <f>Table3.110[[#This Row],[CH4 8h, ml]]/Table3.110[[#This Row],[Net gas 8h, ml]]%</f>
        <v>11.4</v>
      </c>
      <c r="AQ795" s="94">
        <f>Table3.110[[#This Row],[CH4 24h, ml]]/Table3.110[[#This Row],[Net gas 24h, ml]]%</f>
        <v>12.729502804001743</v>
      </c>
      <c r="AR795" s="94">
        <f>Table3.110[[#This Row],[CH4 24h, ml]]/Table3.110[[#This Row],[DM Incubated, mg]]*1000</f>
        <v>14.228753542481295</v>
      </c>
      <c r="AS795" s="94">
        <f>Table3.110[[#This Row],[CH4 24h, ml]]/Table3.110[[#This Row],[Digested feed, mg]]*1000</f>
        <v>53.193043402196679</v>
      </c>
      <c r="AT795" s="94">
        <f>Table3.110[[#This Row],[CH4 24h, ml]]/'3.2 Digest'!AA795</f>
        <v>-0.15698393348379855</v>
      </c>
      <c r="AU795" s="94">
        <f>((Table3.110[[#This Row],[CH4 24h, ml]]/28.9)*16.04)/Table3.110[[#This Row],[DM Incubated, mg]]*1000</f>
        <v>7.8972043882837362</v>
      </c>
      <c r="AV795" s="94">
        <f>((Table3.110[[#This Row],[CH4 24h, ml]]/28.9)*16.04)/Table3.110[[#This Row],[Digested feed, mg]]*1000</f>
        <v>29.523059383087709</v>
      </c>
    </row>
    <row r="796" spans="2:48" s="89" customFormat="1" x14ac:dyDescent="0.35">
      <c r="B796" s="90">
        <f t="shared" si="12"/>
        <v>786</v>
      </c>
      <c r="C796" s="139">
        <v>46055</v>
      </c>
      <c r="D796" s="6" t="s">
        <v>16</v>
      </c>
      <c r="E796" s="6" t="s">
        <v>326</v>
      </c>
      <c r="F796" s="6" t="s">
        <v>290</v>
      </c>
      <c r="G796" s="6" t="s">
        <v>318</v>
      </c>
      <c r="H796" s="6" t="s">
        <v>319</v>
      </c>
      <c r="I796" s="6" t="s">
        <v>22</v>
      </c>
      <c r="J796" s="129" t="s">
        <v>23</v>
      </c>
      <c r="K796" s="129" t="s">
        <v>215</v>
      </c>
      <c r="L796" s="6" t="s">
        <v>325</v>
      </c>
      <c r="M796" s="93">
        <v>29</v>
      </c>
      <c r="N796" s="93">
        <v>62</v>
      </c>
      <c r="O796" s="6">
        <v>1</v>
      </c>
      <c r="P796" s="6">
        <v>2</v>
      </c>
      <c r="Q796" s="6">
        <v>97</v>
      </c>
      <c r="R796" s="98">
        <v>0.50009999999999999</v>
      </c>
      <c r="S796" s="94">
        <f>((Table3.110[[#This Row],[Sample weight, g]]*'2.1. DM'!Q199)/100)*1000</f>
        <v>464.79824017598202</v>
      </c>
      <c r="T796" s="94">
        <f>'3.2 Digest'!W796</f>
        <v>112.29824017598196</v>
      </c>
      <c r="U796" s="153">
        <v>0.36527777777777776</v>
      </c>
      <c r="V796" s="154">
        <v>41</v>
      </c>
      <c r="W796" s="153">
        <v>0.70694444444444449</v>
      </c>
      <c r="X796" s="95">
        <v>67.5</v>
      </c>
      <c r="Y796" s="95">
        <v>11</v>
      </c>
      <c r="Z796" s="154">
        <v>40</v>
      </c>
      <c r="AA796" s="153">
        <v>0.38124999999999998</v>
      </c>
      <c r="AB796" s="154">
        <v>71</v>
      </c>
      <c r="AC796" s="154">
        <v>13.6</v>
      </c>
      <c r="AD796" s="91" t="s">
        <v>582</v>
      </c>
      <c r="AE796" s="94">
        <f>Table3.110[[#This Row],[Gas 8h, ml]]-Table3.110[[#This Row],[Gas 0h, ml]]</f>
        <v>26.5</v>
      </c>
      <c r="AF796" s="94">
        <f>Table3.110[[#This Row],[Gas 24h, ml]]-Table3.110[[#This Row],[V8 Push back, ml]]</f>
        <v>31</v>
      </c>
      <c r="AG796" s="94">
        <f>Table3.110[[#This Row],[GP 8h, ml]]-(AVERAGE(AE$790,AE$791,AE$840,AE$841,AE$860,AE$861))*$AG$8</f>
        <v>25.31999099187605</v>
      </c>
      <c r="AH796" s="94">
        <f>Table3.110[[#This Row],[GP 8-24h, ml]]-(AVERAGE(AF$790,AF$791,AF$840,AF$841,AF$860,AF$861))*$AG$8</f>
        <v>28.123728042697874</v>
      </c>
      <c r="AI796" s="94">
        <f>Table3.110[[#This Row],[Net gas 8-24h, ml]]+Table3.110[[#This Row],[Net gas 8h, ml]]</f>
        <v>53.443719034573924</v>
      </c>
      <c r="AJ796" s="94">
        <f>Table3.110[[#This Row],[Net gas 8h, ml]]*Table3.110[[#This Row],[CH4 8h %]]%</f>
        <v>2.7851990091063654</v>
      </c>
      <c r="AK796" s="94">
        <f>Table3.110[[#This Row],[Net gas 8-24h, ml]]*Table3.110[[#This Row],[CH4 24h, %]]%</f>
        <v>3.8248270138069111</v>
      </c>
      <c r="AL796" s="94">
        <f>Table3.110[[#This Row],[CH4 8-24h, ml]]+Table3.110[[#This Row],[CH4 8h, ml]]</f>
        <v>6.6100260229132761</v>
      </c>
      <c r="AM796" s="94">
        <f>(Table3.110[[#This Row],[Net gas 24h, ml]]/Table3.110[[#This Row],[DM Incubated, mg]])*1000</f>
        <v>114.98261915608599</v>
      </c>
      <c r="AN796" s="94">
        <f>'3.2 Digest'!X796</f>
        <v>24.160642289321828</v>
      </c>
      <c r="AO796" s="94">
        <f>Table3.110[[#This Row],[Digested feed, mg]]/Table3.110[[#This Row],[Net gas 24h, ml]]</f>
        <v>2.1012429936497075</v>
      </c>
      <c r="AP796" s="94">
        <f>Table3.110[[#This Row],[CH4 8h, ml]]/Table3.110[[#This Row],[Net gas 8h, ml]]%</f>
        <v>11</v>
      </c>
      <c r="AQ796" s="94">
        <f>Table3.110[[#This Row],[CH4 24h, ml]]/Table3.110[[#This Row],[Net gas 24h, ml]]%</f>
        <v>12.368199935032786</v>
      </c>
      <c r="AR796" s="94">
        <f>Table3.110[[#This Row],[CH4 24h, ml]]/Table3.110[[#This Row],[DM Incubated, mg]]*1000</f>
        <v>14.221280227762021</v>
      </c>
      <c r="AS796" s="94">
        <f>Table3.110[[#This Row],[CH4 24h, ml]]/Table3.110[[#This Row],[Digested feed, mg]]*1000</f>
        <v>58.861350031440743</v>
      </c>
      <c r="AT796" s="94">
        <f>Table3.110[[#This Row],[CH4 24h, ml]]/'3.2 Digest'!AA796</f>
        <v>-0.14021367661243642</v>
      </c>
      <c r="AU796" s="94">
        <f>((Table3.110[[#This Row],[CH4 24h, ml]]/28.9)*16.04)/Table3.110[[#This Row],[DM Incubated, mg]]*1000</f>
        <v>7.8930565693184356</v>
      </c>
      <c r="AV796" s="94">
        <f>((Table3.110[[#This Row],[CH4 24h, ml]]/28.9)*16.04)/Table3.110[[#This Row],[Digested feed, mg]]*1000</f>
        <v>32.669067629906898</v>
      </c>
    </row>
    <row r="797" spans="2:48" s="89" customFormat="1" x14ac:dyDescent="0.35">
      <c r="B797" s="90">
        <f t="shared" si="12"/>
        <v>787</v>
      </c>
      <c r="C797" s="140">
        <v>46055</v>
      </c>
      <c r="D797" s="6" t="s">
        <v>16</v>
      </c>
      <c r="E797" s="6" t="s">
        <v>326</v>
      </c>
      <c r="F797" s="6" t="s">
        <v>290</v>
      </c>
      <c r="G797" s="6" t="s">
        <v>318</v>
      </c>
      <c r="H797" s="6" t="s">
        <v>319</v>
      </c>
      <c r="I797" s="6" t="s">
        <v>22</v>
      </c>
      <c r="J797" s="129" t="s">
        <v>23</v>
      </c>
      <c r="K797" s="129" t="s">
        <v>215</v>
      </c>
      <c r="L797" s="6" t="s">
        <v>325</v>
      </c>
      <c r="M797" s="93">
        <v>29</v>
      </c>
      <c r="N797" s="93">
        <v>62</v>
      </c>
      <c r="O797" s="6">
        <v>1</v>
      </c>
      <c r="P797" s="129">
        <v>3</v>
      </c>
      <c r="Q797" s="6">
        <v>98</v>
      </c>
      <c r="R797" s="98">
        <v>0.5</v>
      </c>
      <c r="S797" s="94">
        <f>((Table3.110[[#This Row],[Sample weight, g]]*'2.1. DM'!Q199)/100)*1000</f>
        <v>464.70529911615881</v>
      </c>
      <c r="T797" s="94">
        <f>'3.2 Digest'!W797</f>
        <v>115.9052991161588</v>
      </c>
      <c r="U797" s="117">
        <v>0.36527777777777776</v>
      </c>
      <c r="V797" s="155">
        <v>42.5</v>
      </c>
      <c r="W797" s="117">
        <v>0.70694444444444449</v>
      </c>
      <c r="X797" s="97">
        <v>68.5</v>
      </c>
      <c r="Y797" s="97">
        <v>10.8</v>
      </c>
      <c r="Z797" s="155">
        <v>41</v>
      </c>
      <c r="AA797" s="117">
        <v>0.38194444444444442</v>
      </c>
      <c r="AB797" s="155">
        <v>72.5</v>
      </c>
      <c r="AC797" s="155">
        <v>13.4</v>
      </c>
      <c r="AD797" s="96"/>
      <c r="AE797" s="94">
        <f>Table3.110[[#This Row],[Gas 8h, ml]]-Table3.110[[#This Row],[Gas 0h, ml]]</f>
        <v>26</v>
      </c>
      <c r="AF797" s="94">
        <f>Table3.110[[#This Row],[Gas 24h, ml]]-Table3.110[[#This Row],[V8 Push back, ml]]</f>
        <v>31.5</v>
      </c>
      <c r="AG797" s="94">
        <f>Table3.110[[#This Row],[GP 8h, ml]]-(AVERAGE(AE$790,AE$791,AE$840,AE$841,AE$860,AE$861))*$AG$8</f>
        <v>24.81999099187605</v>
      </c>
      <c r="AH797" s="94">
        <f>Table3.110[[#This Row],[GP 8-24h, ml]]-(AVERAGE(AF$790,AF$791,AF$840,AF$841,AF$860,AF$861))*$AG$8</f>
        <v>28.623728042697874</v>
      </c>
      <c r="AI797" s="94">
        <f>Table3.110[[#This Row],[Net gas 8-24h, ml]]+Table3.110[[#This Row],[Net gas 8h, ml]]</f>
        <v>53.443719034573924</v>
      </c>
      <c r="AJ797" s="94">
        <f>Table3.110[[#This Row],[Net gas 8h, ml]]*Table3.110[[#This Row],[CH4 8h %]]%</f>
        <v>2.6805590271226136</v>
      </c>
      <c r="AK797" s="94">
        <f>Table3.110[[#This Row],[Net gas 8-24h, ml]]*Table3.110[[#This Row],[CH4 24h, %]]%</f>
        <v>3.8355795577215153</v>
      </c>
      <c r="AL797" s="94">
        <f>Table3.110[[#This Row],[CH4 8-24h, ml]]+Table3.110[[#This Row],[CH4 8h, ml]]</f>
        <v>6.5161385848441284</v>
      </c>
      <c r="AM797" s="94">
        <f>(Table3.110[[#This Row],[Net gas 24h, ml]]/Table3.110[[#This Row],[DM Incubated, mg]])*1000</f>
        <v>115.0056156799172</v>
      </c>
      <c r="AN797" s="94">
        <f>'3.2 Digest'!X797</f>
        <v>24.941677948713654</v>
      </c>
      <c r="AO797" s="94">
        <f>Table3.110[[#This Row],[Digested feed, mg]]/Table3.110[[#This Row],[Net gas 24h, ml]]</f>
        <v>2.1687356570596648</v>
      </c>
      <c r="AP797" s="94">
        <f>Table3.110[[#This Row],[CH4 8h, ml]]/Table3.110[[#This Row],[Net gas 8h, ml]]%</f>
        <v>10.8</v>
      </c>
      <c r="AQ797" s="94">
        <f>Table3.110[[#This Row],[CH4 24h, ml]]/Table3.110[[#This Row],[Net gas 24h, ml]]%</f>
        <v>12.192524589519481</v>
      </c>
      <c r="AR797" s="94">
        <f>Table3.110[[#This Row],[CH4 24h, ml]]/Table3.110[[#This Row],[DM Incubated, mg]]*1000</f>
        <v>14.022087971102176</v>
      </c>
      <c r="AS797" s="94">
        <f>Table3.110[[#This Row],[CH4 24h, ml]]/Table3.110[[#This Row],[Digested feed, mg]]*1000</f>
        <v>56.219505359403264</v>
      </c>
      <c r="AT797" s="94">
        <f>Table3.110[[#This Row],[CH4 24h, ml]]/'3.2 Digest'!AA797</f>
        <v>-0.14281269997824816</v>
      </c>
      <c r="AU797" s="94">
        <f>((Table3.110[[#This Row],[CH4 24h, ml]]/28.9)*16.04)/Table3.110[[#This Row],[DM Incubated, mg]]*1000</f>
        <v>7.7825014206394076</v>
      </c>
      <c r="AV797" s="94">
        <f>((Table3.110[[#This Row],[CH4 24h, ml]]/28.9)*16.04)/Table3.110[[#This Row],[Digested feed, mg]]*1000</f>
        <v>31.202798130270878</v>
      </c>
    </row>
    <row r="798" spans="2:48" s="89" customFormat="1" x14ac:dyDescent="0.35">
      <c r="B798" s="90">
        <f t="shared" si="12"/>
        <v>788</v>
      </c>
      <c r="C798" s="139">
        <v>46055</v>
      </c>
      <c r="D798" s="6" t="s">
        <v>16</v>
      </c>
      <c r="E798" s="6" t="s">
        <v>328</v>
      </c>
      <c r="F798" s="6" t="s">
        <v>264</v>
      </c>
      <c r="G798" s="6" t="s">
        <v>329</v>
      </c>
      <c r="H798" s="6" t="s">
        <v>330</v>
      </c>
      <c r="I798" s="6" t="s">
        <v>22</v>
      </c>
      <c r="J798" s="129" t="s">
        <v>23</v>
      </c>
      <c r="K798" s="129" t="s">
        <v>215</v>
      </c>
      <c r="L798" s="6" t="s">
        <v>327</v>
      </c>
      <c r="M798" s="93">
        <v>29</v>
      </c>
      <c r="N798" s="93">
        <v>62</v>
      </c>
      <c r="O798" s="6">
        <v>1</v>
      </c>
      <c r="P798" s="129">
        <v>1</v>
      </c>
      <c r="Q798" s="6">
        <v>99</v>
      </c>
      <c r="R798" s="98">
        <v>0.50029999999999997</v>
      </c>
      <c r="S798" s="94">
        <f>((Table3.110[[#This Row],[Sample weight, g]]*'2.1. DM'!Q201)/100)*1000</f>
        <v>452.98581236429101</v>
      </c>
      <c r="T798" s="94">
        <f>'3.2 Digest'!W798</f>
        <v>177.18581236429094</v>
      </c>
      <c r="U798" s="153">
        <v>0.3659722222222222</v>
      </c>
      <c r="V798" s="154">
        <v>40</v>
      </c>
      <c r="W798" s="153">
        <v>0.70694444444444449</v>
      </c>
      <c r="X798" s="95">
        <v>51.5</v>
      </c>
      <c r="Y798" s="95">
        <v>12.4</v>
      </c>
      <c r="Z798" s="154">
        <v>39</v>
      </c>
      <c r="AA798" s="153">
        <v>0.38263888888888886</v>
      </c>
      <c r="AB798" s="154">
        <v>55</v>
      </c>
      <c r="AC798" s="154">
        <v>16.600000000000001</v>
      </c>
      <c r="AD798" s="91" t="s">
        <v>583</v>
      </c>
      <c r="AE798" s="94">
        <f>Table3.110[[#This Row],[Gas 8h, ml]]-Table3.110[[#This Row],[Gas 0h, ml]]</f>
        <v>11.5</v>
      </c>
      <c r="AF798" s="94">
        <f>Table3.110[[#This Row],[Gas 24h, ml]]-Table3.110[[#This Row],[V8 Push back, ml]]</f>
        <v>16</v>
      </c>
      <c r="AG798" s="94">
        <f>Table3.110[[#This Row],[GP 8h, ml]]-(AVERAGE(AE$790,AE$791,AE$840,AE$841,AE$860,AE$861))*$AG$8</f>
        <v>10.31999099187605</v>
      </c>
      <c r="AH798" s="94">
        <f>Table3.110[[#This Row],[GP 8-24h, ml]]-(AVERAGE(AF$790,AF$791,AF$840,AF$841,AF$860,AF$861))*$AG$8</f>
        <v>13.123728042697875</v>
      </c>
      <c r="AI798" s="94">
        <f>Table3.110[[#This Row],[Net gas 8-24h, ml]]+Table3.110[[#This Row],[Net gas 8h, ml]]</f>
        <v>23.443719034573924</v>
      </c>
      <c r="AJ798" s="94">
        <f>Table3.110[[#This Row],[Net gas 8h, ml]]*Table3.110[[#This Row],[CH4 8h %]]%</f>
        <v>1.2796788829926302</v>
      </c>
      <c r="AK798" s="94">
        <f>Table3.110[[#This Row],[Net gas 8-24h, ml]]*Table3.110[[#This Row],[CH4 24h, %]]%</f>
        <v>2.1785388550878473</v>
      </c>
      <c r="AL798" s="94">
        <f>Table3.110[[#This Row],[CH4 8-24h, ml]]+Table3.110[[#This Row],[CH4 8h, ml]]</f>
        <v>3.4582177380804775</v>
      </c>
      <c r="AM798" s="94">
        <f>(Table3.110[[#This Row],[Net gas 24h, ml]]/Table3.110[[#This Row],[DM Incubated, mg]])*1000</f>
        <v>51.75376003988508</v>
      </c>
      <c r="AN798" s="94">
        <f>'3.2 Digest'!X798</f>
        <v>39.115090920728043</v>
      </c>
      <c r="AO798" s="94">
        <f>Table3.110[[#This Row],[Digested feed, mg]]/Table3.110[[#This Row],[Net gas 24h, ml]]</f>
        <v>7.5579225336638736</v>
      </c>
      <c r="AP798" s="94">
        <f>Table3.110[[#This Row],[CH4 8h, ml]]/Table3.110[[#This Row],[Net gas 8h, ml]]%</f>
        <v>12.4</v>
      </c>
      <c r="AQ798" s="94">
        <f>Table3.110[[#This Row],[CH4 24h, ml]]/Table3.110[[#This Row],[Net gas 24h, ml]]%</f>
        <v>14.751148198715514</v>
      </c>
      <c r="AR798" s="94">
        <f>Table3.110[[#This Row],[CH4 24h, ml]]/Table3.110[[#This Row],[DM Incubated, mg]]*1000</f>
        <v>7.6342738418910576</v>
      </c>
      <c r="AS798" s="94">
        <f>Table3.110[[#This Row],[CH4 24h, ml]]/Table3.110[[#This Row],[Digested feed, mg]]*1000</f>
        <v>19.517464135166996</v>
      </c>
      <c r="AT798" s="94">
        <f>Table3.110[[#This Row],[CH4 24h, ml]]/'3.2 Digest'!AA798</f>
        <v>-0.19530573345910726</v>
      </c>
      <c r="AU798" s="94">
        <f>((Table3.110[[#This Row],[CH4 24h, ml]]/28.9)*16.04)/Table3.110[[#This Row],[DM Incubated, mg]]*1000</f>
        <v>4.2371540631118529</v>
      </c>
      <c r="AV798" s="94">
        <f>((Table3.110[[#This Row],[CH4 24h, ml]]/28.9)*16.04)/Table3.110[[#This Row],[Digested feed, mg]]*1000</f>
        <v>10.832530267407567</v>
      </c>
    </row>
    <row r="799" spans="2:48" s="89" customFormat="1" x14ac:dyDescent="0.35">
      <c r="B799" s="90">
        <f t="shared" si="12"/>
        <v>789</v>
      </c>
      <c r="C799" s="140">
        <v>46055</v>
      </c>
      <c r="D799" s="6" t="s">
        <v>16</v>
      </c>
      <c r="E799" s="6" t="s">
        <v>328</v>
      </c>
      <c r="F799" s="6" t="s">
        <v>264</v>
      </c>
      <c r="G799" s="6" t="s">
        <v>329</v>
      </c>
      <c r="H799" s="6" t="s">
        <v>330</v>
      </c>
      <c r="I799" s="6" t="s">
        <v>22</v>
      </c>
      <c r="J799" s="129" t="s">
        <v>23</v>
      </c>
      <c r="K799" s="129" t="s">
        <v>215</v>
      </c>
      <c r="L799" s="6" t="s">
        <v>327</v>
      </c>
      <c r="M799" s="93">
        <v>29</v>
      </c>
      <c r="N799" s="93">
        <v>62</v>
      </c>
      <c r="O799" s="6">
        <v>1</v>
      </c>
      <c r="P799" s="6">
        <v>2</v>
      </c>
      <c r="Q799" s="6">
        <v>100</v>
      </c>
      <c r="R799" s="98">
        <v>0.50049999999999994</v>
      </c>
      <c r="S799" s="94">
        <f>((Table3.110[[#This Row],[Sample weight, g]]*'2.1. DM'!Q201)/100)*1000</f>
        <v>453.16689803783254</v>
      </c>
      <c r="T799" s="94">
        <f>'3.2 Digest'!W799</f>
        <v>178.76689803783256</v>
      </c>
      <c r="U799" s="117">
        <v>0.3659722222222222</v>
      </c>
      <c r="V799" s="155">
        <v>40.5</v>
      </c>
      <c r="W799" s="117">
        <v>0.70763888888888893</v>
      </c>
      <c r="X799" s="97">
        <v>74</v>
      </c>
      <c r="Y799" s="97">
        <v>12.9</v>
      </c>
      <c r="Z799" s="155">
        <v>40</v>
      </c>
      <c r="AA799" s="117">
        <v>0.38263888888888886</v>
      </c>
      <c r="AB799" s="155">
        <v>83</v>
      </c>
      <c r="AC799" s="155">
        <v>17.2</v>
      </c>
      <c r="AD799" s="96"/>
      <c r="AE799" s="94">
        <f>Table3.110[[#This Row],[Gas 8h, ml]]-Table3.110[[#This Row],[Gas 0h, ml]]</f>
        <v>33.5</v>
      </c>
      <c r="AF799" s="94">
        <f>Table3.110[[#This Row],[Gas 24h, ml]]-Table3.110[[#This Row],[V8 Push back, ml]]</f>
        <v>43</v>
      </c>
      <c r="AG799" s="94">
        <f>Table3.110[[#This Row],[GP 8h, ml]]-(AVERAGE(AE$790,AE$791,AE$840,AE$841,AE$860,AE$861))*$AG$8</f>
        <v>32.319990991876054</v>
      </c>
      <c r="AH799" s="94">
        <f>Table3.110[[#This Row],[GP 8-24h, ml]]-(AVERAGE(AF$790,AF$791,AF$840,AF$841,AF$860,AF$861))*$AG$8</f>
        <v>40.123728042697877</v>
      </c>
      <c r="AI799" s="94">
        <f>Table3.110[[#This Row],[Net gas 8-24h, ml]]+Table3.110[[#This Row],[Net gas 8h, ml]]</f>
        <v>72.443719034573931</v>
      </c>
      <c r="AJ799" s="94">
        <f>Table3.110[[#This Row],[Net gas 8h, ml]]*Table3.110[[#This Row],[CH4 8h %]]%</f>
        <v>4.1692788379520112</v>
      </c>
      <c r="AK799" s="94">
        <f>Table3.110[[#This Row],[Net gas 8-24h, ml]]*Table3.110[[#This Row],[CH4 24h, %]]%</f>
        <v>6.9012812233440339</v>
      </c>
      <c r="AL799" s="94">
        <f>Table3.110[[#This Row],[CH4 8-24h, ml]]+Table3.110[[#This Row],[CH4 8h, ml]]</f>
        <v>11.070560061296046</v>
      </c>
      <c r="AM799" s="94">
        <f>(Table3.110[[#This Row],[Net gas 24h, ml]]/Table3.110[[#This Row],[DM Incubated, mg]])*1000</f>
        <v>159.86101224129126</v>
      </c>
      <c r="AN799" s="94">
        <f>'3.2 Digest'!X799</f>
        <v>39.44835750622461</v>
      </c>
      <c r="AO799" s="94">
        <f>Table3.110[[#This Row],[Digested feed, mg]]/Table3.110[[#This Row],[Net gas 24h, ml]]</f>
        <v>2.4676659401281658</v>
      </c>
      <c r="AP799" s="94">
        <f>Table3.110[[#This Row],[CH4 8h, ml]]/Table3.110[[#This Row],[Net gas 8h, ml]]%</f>
        <v>12.900000000000002</v>
      </c>
      <c r="AQ799" s="94">
        <f>Table3.110[[#This Row],[CH4 24h, ml]]/Table3.110[[#This Row],[Net gas 24h, ml]]%</f>
        <v>15.281600957030651</v>
      </c>
      <c r="AR799" s="94">
        <f>Table3.110[[#This Row],[CH4 24h, ml]]/Table3.110[[#This Row],[DM Incubated, mg]]*1000</f>
        <v>24.429321976584049</v>
      </c>
      <c r="AS799" s="94">
        <f>Table3.110[[#This Row],[CH4 24h, ml]]/Table3.110[[#This Row],[Digested feed, mg]]*1000</f>
        <v>61.927348870556429</v>
      </c>
      <c r="AT799" s="94">
        <f>Table3.110[[#This Row],[CH4 24h, ml]]/'3.2 Digest'!AA799</f>
        <v>-0.64882800659058359</v>
      </c>
      <c r="AU799" s="94">
        <f>((Table3.110[[#This Row],[CH4 24h, ml]]/28.9)*16.04)/Table3.110[[#This Row],[DM Incubated, mg]]*1000</f>
        <v>13.5586963496335</v>
      </c>
      <c r="AV799" s="94">
        <f>((Table3.110[[#This Row],[CH4 24h, ml]]/28.9)*16.04)/Table3.110[[#This Row],[Digested feed, mg]]*1000</f>
        <v>34.370750030578719</v>
      </c>
    </row>
    <row r="800" spans="2:48" s="89" customFormat="1" x14ac:dyDescent="0.35">
      <c r="B800" s="90">
        <f t="shared" si="12"/>
        <v>790</v>
      </c>
      <c r="C800" s="140">
        <v>46055</v>
      </c>
      <c r="D800" s="6" t="s">
        <v>16</v>
      </c>
      <c r="E800" s="6" t="s">
        <v>328</v>
      </c>
      <c r="F800" s="6" t="s">
        <v>264</v>
      </c>
      <c r="G800" s="6" t="s">
        <v>329</v>
      </c>
      <c r="H800" s="6" t="s">
        <v>330</v>
      </c>
      <c r="I800" s="6" t="s">
        <v>22</v>
      </c>
      <c r="J800" s="129" t="s">
        <v>23</v>
      </c>
      <c r="K800" s="129" t="s">
        <v>215</v>
      </c>
      <c r="L800" s="6" t="s">
        <v>327</v>
      </c>
      <c r="M800" s="93">
        <v>29</v>
      </c>
      <c r="N800" s="93">
        <v>62</v>
      </c>
      <c r="O800" s="6">
        <v>1</v>
      </c>
      <c r="P800" s="129">
        <v>3</v>
      </c>
      <c r="Q800" s="6">
        <v>101</v>
      </c>
      <c r="R800" s="98">
        <v>0.50019999999999998</v>
      </c>
      <c r="S800" s="94">
        <f>((Table3.110[[#This Row],[Sample weight, g]]*'2.1. DM'!Q201)/100)*1000</f>
        <v>452.89526952752016</v>
      </c>
      <c r="T800" s="94">
        <f>'3.2 Digest'!W800</f>
        <v>195.39526952752021</v>
      </c>
      <c r="U800" s="153">
        <v>0.36666666666666664</v>
      </c>
      <c r="V800" s="154">
        <v>41</v>
      </c>
      <c r="W800" s="153">
        <v>0.70763888888888893</v>
      </c>
      <c r="X800" s="95">
        <v>74</v>
      </c>
      <c r="Y800" s="95">
        <v>13</v>
      </c>
      <c r="Z800" s="154">
        <v>40</v>
      </c>
      <c r="AA800" s="153">
        <v>0.38333333333333336</v>
      </c>
      <c r="AB800" s="154">
        <v>82</v>
      </c>
      <c r="AC800" s="154">
        <v>17.399999999999999</v>
      </c>
      <c r="AD800" s="91"/>
      <c r="AE800" s="94">
        <f>Table3.110[[#This Row],[Gas 8h, ml]]-Table3.110[[#This Row],[Gas 0h, ml]]</f>
        <v>33</v>
      </c>
      <c r="AF800" s="94">
        <f>Table3.110[[#This Row],[Gas 24h, ml]]-Table3.110[[#This Row],[V8 Push back, ml]]</f>
        <v>42</v>
      </c>
      <c r="AG800" s="94">
        <f>Table3.110[[#This Row],[GP 8h, ml]]-(AVERAGE(AE$790,AE$791,AE$840,AE$841,AE$860,AE$861))*$AG$8</f>
        <v>31.81999099187605</v>
      </c>
      <c r="AH800" s="94">
        <f>Table3.110[[#This Row],[GP 8-24h, ml]]-(AVERAGE(AF$790,AF$791,AF$840,AF$841,AF$860,AF$861))*$AG$8</f>
        <v>39.123728042697877</v>
      </c>
      <c r="AI800" s="94">
        <f>Table3.110[[#This Row],[Net gas 8-24h, ml]]+Table3.110[[#This Row],[Net gas 8h, ml]]</f>
        <v>70.943719034573931</v>
      </c>
      <c r="AJ800" s="94">
        <f>Table3.110[[#This Row],[Net gas 8h, ml]]*Table3.110[[#This Row],[CH4 8h %]]%</f>
        <v>4.1365988289438871</v>
      </c>
      <c r="AK800" s="94">
        <f>Table3.110[[#This Row],[Net gas 8-24h, ml]]*Table3.110[[#This Row],[CH4 24h, %]]%</f>
        <v>6.8075286794294305</v>
      </c>
      <c r="AL800" s="94">
        <f>Table3.110[[#This Row],[CH4 8-24h, ml]]+Table3.110[[#This Row],[CH4 8h, ml]]</f>
        <v>10.944127508373317</v>
      </c>
      <c r="AM800" s="94">
        <f>(Table3.110[[#This Row],[Net gas 24h, ml]]/Table3.110[[#This Row],[DM Incubated, mg]])*1000</f>
        <v>156.64486650210648</v>
      </c>
      <c r="AN800" s="94">
        <f>'3.2 Digest'!X800</f>
        <v>43.143588081934475</v>
      </c>
      <c r="AO800" s="94">
        <f>Table3.110[[#This Row],[Digested feed, mg]]/Table3.110[[#This Row],[Net gas 24h, ml]]</f>
        <v>2.7542292987529406</v>
      </c>
      <c r="AP800" s="94">
        <f>Table3.110[[#This Row],[CH4 8h, ml]]/Table3.110[[#This Row],[Net gas 8h, ml]]%</f>
        <v>13.000000000000002</v>
      </c>
      <c r="AQ800" s="94">
        <f>Table3.110[[#This Row],[CH4 24h, ml]]/Table3.110[[#This Row],[Net gas 24h, ml]]%</f>
        <v>15.426492517314708</v>
      </c>
      <c r="AR800" s="94">
        <f>Table3.110[[#This Row],[CH4 24h, ml]]/Table3.110[[#This Row],[DM Incubated, mg]]*1000</f>
        <v>24.164808609705066</v>
      </c>
      <c r="AS800" s="94">
        <f>Table3.110[[#This Row],[CH4 24h, ml]]/Table3.110[[#This Row],[Digested feed, mg]]*1000</f>
        <v>56.010196842722976</v>
      </c>
      <c r="AT800" s="94">
        <f>Table3.110[[#This Row],[CH4 24h, ml]]/'3.2 Digest'!AA800</f>
        <v>-1.103401714909884</v>
      </c>
      <c r="AU800" s="94">
        <f>((Table3.110[[#This Row],[CH4 24h, ml]]/28.9)*16.04)/Table3.110[[#This Row],[DM Incubated, mg]]*1000</f>
        <v>13.411886854659837</v>
      </c>
      <c r="AV800" s="94">
        <f>((Table3.110[[#This Row],[CH4 24h, ml]]/28.9)*16.04)/Table3.110[[#This Row],[Digested feed, mg]]*1000</f>
        <v>31.086628282258701</v>
      </c>
    </row>
    <row r="801" spans="2:48" s="89" customFormat="1" x14ac:dyDescent="0.35">
      <c r="B801" s="90">
        <f t="shared" si="12"/>
        <v>791</v>
      </c>
      <c r="C801" s="140">
        <v>46055</v>
      </c>
      <c r="D801" s="6" t="s">
        <v>16</v>
      </c>
      <c r="E801" s="6" t="s">
        <v>332</v>
      </c>
      <c r="F801" s="6" t="s">
        <v>333</v>
      </c>
      <c r="G801" s="6" t="s">
        <v>334</v>
      </c>
      <c r="H801" s="6" t="s">
        <v>335</v>
      </c>
      <c r="I801" s="6" t="s">
        <v>22</v>
      </c>
      <c r="J801" s="129" t="s">
        <v>23</v>
      </c>
      <c r="K801" s="129" t="s">
        <v>303</v>
      </c>
      <c r="L801" s="6" t="s">
        <v>331</v>
      </c>
      <c r="M801" s="93">
        <v>29</v>
      </c>
      <c r="N801" s="93">
        <v>62</v>
      </c>
      <c r="O801" s="6">
        <v>1</v>
      </c>
      <c r="P801" s="129">
        <v>1</v>
      </c>
      <c r="Q801" s="6">
        <v>102</v>
      </c>
      <c r="R801" s="98">
        <v>0.50019999999999998</v>
      </c>
      <c r="S801" s="94">
        <f>((Table3.110[[#This Row],[Sample weight, g]]*'2.1. DM'!Q203)/100)*1000</f>
        <v>455.35000954786028</v>
      </c>
      <c r="T801" s="94">
        <f>'3.2 Digest'!W801</f>
        <v>103.65000954786029</v>
      </c>
      <c r="U801" s="117">
        <v>0.36666666666666664</v>
      </c>
      <c r="V801" s="155">
        <v>41</v>
      </c>
      <c r="W801" s="117">
        <v>0.70763888888888893</v>
      </c>
      <c r="X801" s="97">
        <v>75.5</v>
      </c>
      <c r="Y801" s="97">
        <v>13.4</v>
      </c>
      <c r="Z801" s="155">
        <v>40</v>
      </c>
      <c r="AA801" s="117">
        <v>0.38333333333333336</v>
      </c>
      <c r="AB801" s="155">
        <v>84</v>
      </c>
      <c r="AC801" s="155">
        <v>15.6</v>
      </c>
      <c r="AD801" s="96"/>
      <c r="AE801" s="94">
        <f>Table3.110[[#This Row],[Gas 8h, ml]]-Table3.110[[#This Row],[Gas 0h, ml]]</f>
        <v>34.5</v>
      </c>
      <c r="AF801" s="94">
        <f>Table3.110[[#This Row],[Gas 24h, ml]]-Table3.110[[#This Row],[V8 Push back, ml]]</f>
        <v>44</v>
      </c>
      <c r="AG801" s="94">
        <f>Table3.110[[#This Row],[GP 8h, ml]]-(AVERAGE(AE$790,AE$791,AE$840,AE$841,AE$860,AE$861))*$AG$8</f>
        <v>33.319990991876054</v>
      </c>
      <c r="AH801" s="94">
        <f>Table3.110[[#This Row],[GP 8-24h, ml]]-(AVERAGE(AF$790,AF$791,AF$840,AF$841,AF$860,AF$861))*$AG$8</f>
        <v>41.123728042697877</v>
      </c>
      <c r="AI801" s="94">
        <f>Table3.110[[#This Row],[Net gas 8-24h, ml]]+Table3.110[[#This Row],[Net gas 8h, ml]]</f>
        <v>74.443719034573931</v>
      </c>
      <c r="AJ801" s="94">
        <f>Table3.110[[#This Row],[Net gas 8h, ml]]*Table3.110[[#This Row],[CH4 8h %]]%</f>
        <v>4.4648787929113913</v>
      </c>
      <c r="AK801" s="94">
        <f>Table3.110[[#This Row],[Net gas 8-24h, ml]]*Table3.110[[#This Row],[CH4 24h, %]]%</f>
        <v>6.4153015746608686</v>
      </c>
      <c r="AL801" s="94">
        <f>Table3.110[[#This Row],[CH4 8-24h, ml]]+Table3.110[[#This Row],[CH4 8h, ml]]</f>
        <v>10.88018036757226</v>
      </c>
      <c r="AM801" s="94">
        <f>(Table3.110[[#This Row],[Net gas 24h, ml]]/Table3.110[[#This Row],[DM Incubated, mg]])*1000</f>
        <v>163.48680679394914</v>
      </c>
      <c r="AN801" s="94">
        <f>'3.2 Digest'!X801</f>
        <v>22.762711622819456</v>
      </c>
      <c r="AO801" s="94">
        <f>Table3.110[[#This Row],[Digested feed, mg]]/Table3.110[[#This Row],[Net gas 24h, ml]]</f>
        <v>1.3923271283601786</v>
      </c>
      <c r="AP801" s="94">
        <f>Table3.110[[#This Row],[CH4 8h, ml]]/Table3.110[[#This Row],[Net gas 8h, ml]]%</f>
        <v>13.4</v>
      </c>
      <c r="AQ801" s="94">
        <f>Table3.110[[#This Row],[CH4 24h, ml]]/Table3.110[[#This Row],[Net gas 24h, ml]]%</f>
        <v>14.615310074069745</v>
      </c>
      <c r="AR801" s="94">
        <f>Table3.110[[#This Row],[CH4 24h, ml]]/Table3.110[[#This Row],[DM Incubated, mg]]*1000</f>
        <v>23.894103743130991</v>
      </c>
      <c r="AS801" s="94">
        <f>Table3.110[[#This Row],[CH4 24h, ml]]/Table3.110[[#This Row],[Digested feed, mg]]*1000</f>
        <v>104.97037496700226</v>
      </c>
      <c r="AT801" s="94">
        <f>Table3.110[[#This Row],[CH4 24h, ml]]/'3.2 Digest'!AA801</f>
        <v>-0.24555247132621966</v>
      </c>
      <c r="AU801" s="94">
        <f>((Table3.110[[#This Row],[CH4 24h, ml]]/28.9)*16.04)/Table3.110[[#This Row],[DM Incubated, mg]]*1000</f>
        <v>13.261640970236023</v>
      </c>
      <c r="AV801" s="94">
        <f>((Table3.110[[#This Row],[CH4 24h, ml]]/28.9)*16.04)/Table3.110[[#This Row],[Digested feed, mg]]*1000</f>
        <v>58.260374203138973</v>
      </c>
    </row>
    <row r="802" spans="2:48" s="89" customFormat="1" x14ac:dyDescent="0.35">
      <c r="B802" s="90">
        <f t="shared" si="12"/>
        <v>792</v>
      </c>
      <c r="C802" s="140">
        <v>46055</v>
      </c>
      <c r="D802" s="6" t="s">
        <v>16</v>
      </c>
      <c r="E802" s="6" t="s">
        <v>332</v>
      </c>
      <c r="F802" s="6" t="s">
        <v>333</v>
      </c>
      <c r="G802" s="6" t="s">
        <v>334</v>
      </c>
      <c r="H802" s="6" t="s">
        <v>335</v>
      </c>
      <c r="I802" s="6" t="s">
        <v>22</v>
      </c>
      <c r="J802" s="129" t="s">
        <v>23</v>
      </c>
      <c r="K802" s="129" t="s">
        <v>303</v>
      </c>
      <c r="L802" s="6" t="s">
        <v>331</v>
      </c>
      <c r="M802" s="93">
        <v>29</v>
      </c>
      <c r="N802" s="93">
        <v>62</v>
      </c>
      <c r="O802" s="6">
        <v>1</v>
      </c>
      <c r="P802" s="6">
        <v>2</v>
      </c>
      <c r="Q802" s="6">
        <v>103</v>
      </c>
      <c r="R802" s="98">
        <v>0.50060000000000004</v>
      </c>
      <c r="S802" s="94">
        <f>((Table3.110[[#This Row],[Sample weight, g]]*'2.1. DM'!Q203)/100)*1000</f>
        <v>455.71414390175704</v>
      </c>
      <c r="T802" s="94">
        <f>'3.2 Digest'!W802</f>
        <v>78.714143901757041</v>
      </c>
      <c r="U802" s="153">
        <v>0.36736111111111114</v>
      </c>
      <c r="V802" s="154">
        <v>40.5</v>
      </c>
      <c r="W802" s="153">
        <v>0.70833333333333337</v>
      </c>
      <c r="X802" s="95">
        <v>74.5</v>
      </c>
      <c r="Y802" s="95">
        <v>13.5</v>
      </c>
      <c r="Z802" s="154">
        <v>40</v>
      </c>
      <c r="AA802" s="153">
        <v>0.3840277777777778</v>
      </c>
      <c r="AB802" s="154">
        <v>84</v>
      </c>
      <c r="AC802" s="154">
        <v>15.2</v>
      </c>
      <c r="AD802" s="91"/>
      <c r="AE802" s="94">
        <f>Table3.110[[#This Row],[Gas 8h, ml]]-Table3.110[[#This Row],[Gas 0h, ml]]</f>
        <v>34</v>
      </c>
      <c r="AF802" s="94">
        <f>Table3.110[[#This Row],[Gas 24h, ml]]-Table3.110[[#This Row],[V8 Push back, ml]]</f>
        <v>44</v>
      </c>
      <c r="AG802" s="94">
        <f>Table3.110[[#This Row],[GP 8h, ml]]-(AVERAGE(AE$790,AE$791,AE$840,AE$841,AE$860,AE$861))*$AG$8</f>
        <v>32.819990991876054</v>
      </c>
      <c r="AH802" s="94">
        <f>Table3.110[[#This Row],[GP 8-24h, ml]]-(AVERAGE(AF$790,AF$791,AF$840,AF$841,AF$860,AF$861))*$AG$8</f>
        <v>41.123728042697877</v>
      </c>
      <c r="AI802" s="94">
        <f>Table3.110[[#This Row],[Net gas 8-24h, ml]]+Table3.110[[#This Row],[Net gas 8h, ml]]</f>
        <v>73.943719034573931</v>
      </c>
      <c r="AJ802" s="94">
        <f>Table3.110[[#This Row],[Net gas 8h, ml]]*Table3.110[[#This Row],[CH4 8h %]]%</f>
        <v>4.4306987839032672</v>
      </c>
      <c r="AK802" s="94">
        <f>Table3.110[[#This Row],[Net gas 8-24h, ml]]*Table3.110[[#This Row],[CH4 24h, %]]%</f>
        <v>6.2508066624900769</v>
      </c>
      <c r="AL802" s="94">
        <f>Table3.110[[#This Row],[CH4 8-24h, ml]]+Table3.110[[#This Row],[CH4 8h, ml]]</f>
        <v>10.681505446393345</v>
      </c>
      <c r="AM802" s="94">
        <f>(Table3.110[[#This Row],[Net gas 24h, ml]]/Table3.110[[#This Row],[DM Incubated, mg]])*1000</f>
        <v>162.2589950829236</v>
      </c>
      <c r="AN802" s="94">
        <f>'3.2 Digest'!X802</f>
        <v>17.272701529037082</v>
      </c>
      <c r="AO802" s="94">
        <f>Table3.110[[#This Row],[Digested feed, mg]]/Table3.110[[#This Row],[Net gas 24h, ml]]</f>
        <v>1.0645142674654029</v>
      </c>
      <c r="AP802" s="94">
        <f>Table3.110[[#This Row],[CH4 8h, ml]]/Table3.110[[#This Row],[Net gas 8h, ml]]%</f>
        <v>13.5</v>
      </c>
      <c r="AQ802" s="94">
        <f>Table3.110[[#This Row],[CH4 24h, ml]]/Table3.110[[#This Row],[Net gas 24h, ml]]%</f>
        <v>14.445453360817549</v>
      </c>
      <c r="AR802" s="94">
        <f>Table3.110[[#This Row],[CH4 24h, ml]]/Table3.110[[#This Row],[DM Incubated, mg]]*1000</f>
        <v>23.439047458434967</v>
      </c>
      <c r="AS802" s="94">
        <f>Table3.110[[#This Row],[CH4 24h, ml]]/Table3.110[[#This Row],[Digested feed, mg]]*1000</f>
        <v>135.69995069405709</v>
      </c>
      <c r="AT802" s="94">
        <f>Table3.110[[#This Row],[CH4 24h, ml]]/'3.2 Digest'!AA802</f>
        <v>-0.19575230417475772</v>
      </c>
      <c r="AU802" s="94">
        <f>((Table3.110[[#This Row],[CH4 24h, ml]]/28.9)*16.04)/Table3.110[[#This Row],[DM Incubated, mg]]*1000</f>
        <v>13.009076859283628</v>
      </c>
      <c r="AV802" s="94">
        <f>((Table3.110[[#This Row],[CH4 24h, ml]]/28.9)*16.04)/Table3.110[[#This Row],[Digested feed, mg]]*1000</f>
        <v>75.315820385213698</v>
      </c>
    </row>
    <row r="803" spans="2:48" s="89" customFormat="1" x14ac:dyDescent="0.35">
      <c r="B803" s="90">
        <f t="shared" si="12"/>
        <v>793</v>
      </c>
      <c r="C803" s="140">
        <v>46055</v>
      </c>
      <c r="D803" s="6" t="s">
        <v>16</v>
      </c>
      <c r="E803" s="6" t="s">
        <v>332</v>
      </c>
      <c r="F803" s="6" t="s">
        <v>333</v>
      </c>
      <c r="G803" s="6" t="s">
        <v>334</v>
      </c>
      <c r="H803" s="6" t="s">
        <v>335</v>
      </c>
      <c r="I803" s="6" t="s">
        <v>22</v>
      </c>
      <c r="J803" s="129" t="s">
        <v>23</v>
      </c>
      <c r="K803" s="129" t="s">
        <v>303</v>
      </c>
      <c r="L803" s="6" t="s">
        <v>331</v>
      </c>
      <c r="M803" s="93">
        <v>29</v>
      </c>
      <c r="N803" s="93">
        <v>62</v>
      </c>
      <c r="O803" s="6">
        <v>1</v>
      </c>
      <c r="P803" s="129">
        <v>3</v>
      </c>
      <c r="Q803" s="6">
        <v>104</v>
      </c>
      <c r="R803" s="98">
        <v>0.5</v>
      </c>
      <c r="S803" s="94">
        <f>((Table3.110[[#This Row],[Sample weight, g]]*'2.1. DM'!Q203)/100)*1000</f>
        <v>455.16794237091193</v>
      </c>
      <c r="T803" s="94">
        <f>'3.2 Digest'!W803</f>
        <v>98.367942370911919</v>
      </c>
      <c r="U803" s="117">
        <v>0.36805555555555558</v>
      </c>
      <c r="V803" s="155">
        <v>41</v>
      </c>
      <c r="W803" s="117">
        <v>0.70833333333333337</v>
      </c>
      <c r="X803" s="97">
        <v>72</v>
      </c>
      <c r="Y803" s="97">
        <v>13.9</v>
      </c>
      <c r="Z803" s="155">
        <v>40.5</v>
      </c>
      <c r="AA803" s="117">
        <v>0.38472222222222224</v>
      </c>
      <c r="AB803" s="155">
        <v>85</v>
      </c>
      <c r="AC803" s="155">
        <v>15.1</v>
      </c>
      <c r="AD803" s="96"/>
      <c r="AE803" s="94">
        <f>Table3.110[[#This Row],[Gas 8h, ml]]-Table3.110[[#This Row],[Gas 0h, ml]]</f>
        <v>31</v>
      </c>
      <c r="AF803" s="94">
        <f>Table3.110[[#This Row],[Gas 24h, ml]]-Table3.110[[#This Row],[V8 Push back, ml]]</f>
        <v>44.5</v>
      </c>
      <c r="AG803" s="94">
        <f>Table3.110[[#This Row],[GP 8h, ml]]-(AVERAGE(AE$790,AE$791,AE$840,AE$841,AE$860,AE$861))*$AG$8</f>
        <v>29.81999099187605</v>
      </c>
      <c r="AH803" s="94">
        <f>Table3.110[[#This Row],[GP 8-24h, ml]]-(AVERAGE(AF$790,AF$791,AF$840,AF$841,AF$860,AF$861))*$AG$8</f>
        <v>41.623728042697877</v>
      </c>
      <c r="AI803" s="94">
        <f>Table3.110[[#This Row],[Net gas 8-24h, ml]]+Table3.110[[#This Row],[Net gas 8h, ml]]</f>
        <v>71.443719034573931</v>
      </c>
      <c r="AJ803" s="94">
        <f>Table3.110[[#This Row],[Net gas 8h, ml]]*Table3.110[[#This Row],[CH4 8h %]]%</f>
        <v>4.1449787478707716</v>
      </c>
      <c r="AK803" s="94">
        <f>Table3.110[[#This Row],[Net gas 8-24h, ml]]*Table3.110[[#This Row],[CH4 24h, %]]%</f>
        <v>6.2851829344473789</v>
      </c>
      <c r="AL803" s="94">
        <f>Table3.110[[#This Row],[CH4 8-24h, ml]]+Table3.110[[#This Row],[CH4 8h, ml]]</f>
        <v>10.43016168231815</v>
      </c>
      <c r="AM803" s="94">
        <f>(Table3.110[[#This Row],[Net gas 24h, ml]]/Table3.110[[#This Row],[DM Incubated, mg]])*1000</f>
        <v>156.96122767880507</v>
      </c>
      <c r="AN803" s="94">
        <f>'3.2 Digest'!X803</f>
        <v>21.6113511550321</v>
      </c>
      <c r="AO803" s="94">
        <f>Table3.110[[#This Row],[Digested feed, mg]]/Table3.110[[#This Row],[Net gas 24h, ml]]</f>
        <v>1.3768592075016208</v>
      </c>
      <c r="AP803" s="94">
        <f>Table3.110[[#This Row],[CH4 8h, ml]]/Table3.110[[#This Row],[Net gas 8h, ml]]%</f>
        <v>13.900000000000002</v>
      </c>
      <c r="AQ803" s="94">
        <f>Table3.110[[#This Row],[CH4 24h, ml]]/Table3.110[[#This Row],[Net gas 24h, ml]]%</f>
        <v>14.59913036899809</v>
      </c>
      <c r="AR803" s="94">
        <f>Table3.110[[#This Row],[CH4 24h, ml]]/Table3.110[[#This Row],[DM Incubated, mg]]*1000</f>
        <v>22.914974257608666</v>
      </c>
      <c r="AS803" s="94">
        <f>Table3.110[[#This Row],[CH4 24h, ml]]/Table3.110[[#This Row],[Digested feed, mg]]*1000</f>
        <v>106.03212216221391</v>
      </c>
      <c r="AT803" s="94">
        <f>Table3.110[[#This Row],[CH4 24h, ml]]/'3.2 Digest'!AA803</f>
        <v>-0.22449685738025196</v>
      </c>
      <c r="AU803" s="94">
        <f>((Table3.110[[#This Row],[CH4 24h, ml]]/28.9)*16.04)/Table3.110[[#This Row],[DM Incubated, mg]]*1000</f>
        <v>12.718207165814633</v>
      </c>
      <c r="AV803" s="94">
        <f>((Table3.110[[#This Row],[CH4 24h, ml]]/28.9)*16.04)/Table3.110[[#This Row],[Digested feed, mg]]*1000</f>
        <v>58.849662265810068</v>
      </c>
    </row>
    <row r="804" spans="2:48" s="89" customFormat="1" x14ac:dyDescent="0.35">
      <c r="B804" s="90">
        <f t="shared" si="12"/>
        <v>794</v>
      </c>
      <c r="C804" s="140">
        <v>46055</v>
      </c>
      <c r="D804" s="6" t="s">
        <v>16</v>
      </c>
      <c r="E804" s="6" t="s">
        <v>337</v>
      </c>
      <c r="F804" s="6" t="s">
        <v>264</v>
      </c>
      <c r="G804" s="6" t="s">
        <v>265</v>
      </c>
      <c r="H804" s="6" t="s">
        <v>266</v>
      </c>
      <c r="I804" s="6" t="s">
        <v>22</v>
      </c>
      <c r="J804" s="129" t="s">
        <v>23</v>
      </c>
      <c r="K804" s="129" t="s">
        <v>215</v>
      </c>
      <c r="L804" s="6" t="s">
        <v>336</v>
      </c>
      <c r="M804" s="93">
        <v>29</v>
      </c>
      <c r="N804" s="93">
        <v>62</v>
      </c>
      <c r="O804" s="6">
        <v>1</v>
      </c>
      <c r="P804" s="129">
        <v>1</v>
      </c>
      <c r="Q804" s="6">
        <v>105</v>
      </c>
      <c r="R804" s="98">
        <v>0.50009999999999999</v>
      </c>
      <c r="S804" s="94">
        <f>((Table3.110[[#This Row],[Sample weight, g]]*'2.1. DM'!Q205)/100)*1000</f>
        <v>460.97305769423059</v>
      </c>
      <c r="T804" s="94">
        <f>'3.2 Digest'!W804</f>
        <v>235.37305769423057</v>
      </c>
      <c r="U804" s="153">
        <v>0.36805555555555558</v>
      </c>
      <c r="V804" s="154">
        <v>41.5</v>
      </c>
      <c r="W804" s="153">
        <v>0.70902777777777781</v>
      </c>
      <c r="X804" s="95">
        <v>78.5</v>
      </c>
      <c r="Y804" s="95">
        <v>13.4</v>
      </c>
      <c r="Z804" s="154">
        <v>40</v>
      </c>
      <c r="AA804" s="153">
        <v>0.38472222222222224</v>
      </c>
      <c r="AB804" s="154">
        <v>84.5</v>
      </c>
      <c r="AC804" s="154">
        <v>18</v>
      </c>
      <c r="AD804" s="91"/>
      <c r="AE804" s="94">
        <f>Table3.110[[#This Row],[Gas 8h, ml]]-Table3.110[[#This Row],[Gas 0h, ml]]</f>
        <v>37</v>
      </c>
      <c r="AF804" s="94">
        <f>Table3.110[[#This Row],[Gas 24h, ml]]-Table3.110[[#This Row],[V8 Push back, ml]]</f>
        <v>44.5</v>
      </c>
      <c r="AG804" s="94">
        <f>Table3.110[[#This Row],[GP 8h, ml]]-(AVERAGE(AE$790,AE$791,AE$840,AE$841,AE$860,AE$861))*$AG$8</f>
        <v>35.819990991876054</v>
      </c>
      <c r="AH804" s="94">
        <f>Table3.110[[#This Row],[GP 8-24h, ml]]-(AVERAGE(AF$790,AF$791,AF$840,AF$841,AF$860,AF$861))*$AG$8</f>
        <v>41.623728042697877</v>
      </c>
      <c r="AI804" s="94">
        <f>Table3.110[[#This Row],[Net gas 8-24h, ml]]+Table3.110[[#This Row],[Net gas 8h, ml]]</f>
        <v>77.443719034573931</v>
      </c>
      <c r="AJ804" s="94">
        <f>Table3.110[[#This Row],[Net gas 8h, ml]]*Table3.110[[#This Row],[CH4 8h %]]%</f>
        <v>4.7998787929113913</v>
      </c>
      <c r="AK804" s="94">
        <f>Table3.110[[#This Row],[Net gas 8-24h, ml]]*Table3.110[[#This Row],[CH4 24h, %]]%</f>
        <v>7.4922710476856178</v>
      </c>
      <c r="AL804" s="94">
        <f>Table3.110[[#This Row],[CH4 8-24h, ml]]+Table3.110[[#This Row],[CH4 8h, ml]]</f>
        <v>12.292149840597009</v>
      </c>
      <c r="AM804" s="94">
        <f>(Table3.110[[#This Row],[Net gas 24h, ml]]/Table3.110[[#This Row],[DM Incubated, mg]])*1000</f>
        <v>168.00053222620954</v>
      </c>
      <c r="AN804" s="94">
        <f>'3.2 Digest'!X804</f>
        <v>51.060046518023739</v>
      </c>
      <c r="AO804" s="94">
        <f>Table3.110[[#This Row],[Digested feed, mg]]/Table3.110[[#This Row],[Net gas 24h, ml]]</f>
        <v>3.0392788547403149</v>
      </c>
      <c r="AP804" s="94">
        <f>Table3.110[[#This Row],[CH4 8h, ml]]/Table3.110[[#This Row],[Net gas 8h, ml]]%</f>
        <v>13.4</v>
      </c>
      <c r="AQ804" s="94">
        <f>Table3.110[[#This Row],[CH4 24h, ml]]/Table3.110[[#This Row],[Net gas 24h, ml]]%</f>
        <v>15.8723651108611</v>
      </c>
      <c r="AR804" s="94">
        <f>Table3.110[[#This Row],[CH4 24h, ml]]/Table3.110[[#This Row],[DM Incubated, mg]]*1000</f>
        <v>26.665657863133841</v>
      </c>
      <c r="AS804" s="94">
        <f>Table3.110[[#This Row],[CH4 24h, ml]]/Table3.110[[#This Row],[Digested feed, mg]]*1000</f>
        <v>52.224115882309469</v>
      </c>
      <c r="AT804" s="94">
        <f>Table3.110[[#This Row],[CH4 24h, ml]]/'3.2 Digest'!AA804</f>
        <v>-3.1438862599323061</v>
      </c>
      <c r="AU804" s="94">
        <f>((Table3.110[[#This Row],[CH4 24h, ml]]/28.9)*16.04)/Table3.110[[#This Row],[DM Incubated, mg]]*1000</f>
        <v>14.799901457600926</v>
      </c>
      <c r="AV804" s="94">
        <f>((Table3.110[[#This Row],[CH4 24h, ml]]/28.9)*16.04)/Table3.110[[#This Row],[Digested feed, mg]]*1000</f>
        <v>28.985287846098402</v>
      </c>
    </row>
    <row r="805" spans="2:48" s="89" customFormat="1" x14ac:dyDescent="0.35">
      <c r="B805" s="90">
        <f t="shared" si="12"/>
        <v>795</v>
      </c>
      <c r="C805" s="140">
        <v>46055</v>
      </c>
      <c r="D805" s="6" t="s">
        <v>16</v>
      </c>
      <c r="E805" s="6" t="s">
        <v>337</v>
      </c>
      <c r="F805" s="6" t="s">
        <v>264</v>
      </c>
      <c r="G805" s="6" t="s">
        <v>265</v>
      </c>
      <c r="H805" s="6" t="s">
        <v>266</v>
      </c>
      <c r="I805" s="6" t="s">
        <v>22</v>
      </c>
      <c r="J805" s="129" t="s">
        <v>23</v>
      </c>
      <c r="K805" s="129" t="s">
        <v>215</v>
      </c>
      <c r="L805" s="6" t="s">
        <v>336</v>
      </c>
      <c r="M805" s="93">
        <v>29</v>
      </c>
      <c r="N805" s="93">
        <v>62</v>
      </c>
      <c r="O805" s="6">
        <v>1</v>
      </c>
      <c r="P805" s="6">
        <v>2</v>
      </c>
      <c r="Q805" s="6">
        <v>106</v>
      </c>
      <c r="R805" s="98">
        <v>0.50049999999999994</v>
      </c>
      <c r="S805" s="94">
        <f>((Table3.110[[#This Row],[Sample weight, g]]*'2.1. DM'!Q205)/100)*1000</f>
        <v>461.34176239944497</v>
      </c>
      <c r="T805" s="94">
        <f>'3.2 Digest'!W805</f>
        <v>198.74176239944501</v>
      </c>
      <c r="U805" s="117">
        <v>0.36875000000000002</v>
      </c>
      <c r="V805" s="155">
        <v>41.5</v>
      </c>
      <c r="W805" s="117">
        <v>0.70902777777777781</v>
      </c>
      <c r="X805" s="97">
        <v>77.5</v>
      </c>
      <c r="Y805" s="97">
        <v>13.6</v>
      </c>
      <c r="Z805" s="155">
        <v>40.5</v>
      </c>
      <c r="AA805" s="117">
        <v>0.38541666666666669</v>
      </c>
      <c r="AB805" s="155">
        <v>83.5</v>
      </c>
      <c r="AC805" s="155">
        <v>18.3</v>
      </c>
      <c r="AD805" s="96"/>
      <c r="AE805" s="94">
        <f>Table3.110[[#This Row],[Gas 8h, ml]]-Table3.110[[#This Row],[Gas 0h, ml]]</f>
        <v>36</v>
      </c>
      <c r="AF805" s="94">
        <f>Table3.110[[#This Row],[Gas 24h, ml]]-Table3.110[[#This Row],[V8 Push back, ml]]</f>
        <v>43</v>
      </c>
      <c r="AG805" s="94">
        <f>Table3.110[[#This Row],[GP 8h, ml]]-(AVERAGE(AE$790,AE$791,AE$840,AE$841,AE$860,AE$861))*$AG$8</f>
        <v>34.819990991876054</v>
      </c>
      <c r="AH805" s="94">
        <f>Table3.110[[#This Row],[GP 8-24h, ml]]-(AVERAGE(AF$790,AF$791,AF$840,AF$841,AF$860,AF$861))*$AG$8</f>
        <v>40.123728042697877</v>
      </c>
      <c r="AI805" s="94">
        <f>Table3.110[[#This Row],[Net gas 8-24h, ml]]+Table3.110[[#This Row],[Net gas 8h, ml]]</f>
        <v>74.943719034573931</v>
      </c>
      <c r="AJ805" s="94">
        <f>Table3.110[[#This Row],[Net gas 8h, ml]]*Table3.110[[#This Row],[CH4 8h %]]%</f>
        <v>4.7355187748951435</v>
      </c>
      <c r="AK805" s="94">
        <f>Table3.110[[#This Row],[Net gas 8-24h, ml]]*Table3.110[[#This Row],[CH4 24h, %]]%</f>
        <v>7.342642231813711</v>
      </c>
      <c r="AL805" s="94">
        <f>Table3.110[[#This Row],[CH4 8-24h, ml]]+Table3.110[[#This Row],[CH4 8h, ml]]</f>
        <v>12.078161006708854</v>
      </c>
      <c r="AM805" s="94">
        <f>(Table3.110[[#This Row],[Net gas 24h, ml]]/Table3.110[[#This Row],[DM Incubated, mg]])*1000</f>
        <v>162.44728993271843</v>
      </c>
      <c r="AN805" s="94">
        <f>'3.2 Digest'!X805</f>
        <v>43.079074689832183</v>
      </c>
      <c r="AO805" s="94">
        <f>Table3.110[[#This Row],[Digested feed, mg]]/Table3.110[[#This Row],[Net gas 24h, ml]]</f>
        <v>2.651880170341681</v>
      </c>
      <c r="AP805" s="94">
        <f>Table3.110[[#This Row],[CH4 8h, ml]]/Table3.110[[#This Row],[Net gas 8h, ml]]%</f>
        <v>13.6</v>
      </c>
      <c r="AQ805" s="94">
        <f>Table3.110[[#This Row],[CH4 24h, ml]]/Table3.110[[#This Row],[Net gas 24h, ml]]%</f>
        <v>16.116308561010712</v>
      </c>
      <c r="AR805" s="94">
        <f>Table3.110[[#This Row],[CH4 24h, ml]]/Table3.110[[#This Row],[DM Incubated, mg]]*1000</f>
        <v>26.180506494556592</v>
      </c>
      <c r="AS805" s="94">
        <f>Table3.110[[#This Row],[CH4 24h, ml]]/Table3.110[[#This Row],[Digested feed, mg]]*1000</f>
        <v>60.773140284593666</v>
      </c>
      <c r="AT805" s="94">
        <f>Table3.110[[#This Row],[CH4 24h, ml]]/'3.2 Digest'!AA805</f>
        <v>-0.57914532391630147</v>
      </c>
      <c r="AU805" s="94">
        <f>((Table3.110[[#This Row],[CH4 24h, ml]]/28.9)*16.04)/Table3.110[[#This Row],[DM Incubated, mg]]*1000</f>
        <v>14.530634054418261</v>
      </c>
      <c r="AV805" s="94">
        <f>((Table3.110[[#This Row],[CH4 24h, ml]]/28.9)*16.04)/Table3.110[[#This Row],[Digested feed, mg]]*1000</f>
        <v>33.73014429636271</v>
      </c>
    </row>
    <row r="806" spans="2:48" s="89" customFormat="1" x14ac:dyDescent="0.35">
      <c r="B806" s="90">
        <f t="shared" si="12"/>
        <v>796</v>
      </c>
      <c r="C806" s="140">
        <v>46055</v>
      </c>
      <c r="D806" s="6" t="s">
        <v>16</v>
      </c>
      <c r="E806" s="6" t="s">
        <v>337</v>
      </c>
      <c r="F806" s="6" t="s">
        <v>264</v>
      </c>
      <c r="G806" s="6" t="s">
        <v>265</v>
      </c>
      <c r="H806" s="6" t="s">
        <v>266</v>
      </c>
      <c r="I806" s="6" t="s">
        <v>22</v>
      </c>
      <c r="J806" s="129" t="s">
        <v>23</v>
      </c>
      <c r="K806" s="129" t="s">
        <v>215</v>
      </c>
      <c r="L806" s="6" t="s">
        <v>336</v>
      </c>
      <c r="M806" s="93">
        <v>29</v>
      </c>
      <c r="N806" s="93">
        <v>62</v>
      </c>
      <c r="O806" s="6">
        <v>1</v>
      </c>
      <c r="P806" s="129">
        <v>3</v>
      </c>
      <c r="Q806" s="6">
        <v>107</v>
      </c>
      <c r="R806" s="98">
        <v>0.50060000000000004</v>
      </c>
      <c r="S806" s="94">
        <f>((Table3.110[[#This Row],[Sample weight, g]]*'2.1. DM'!Q205)/100)*1000</f>
        <v>461.43393857574853</v>
      </c>
      <c r="T806" s="94">
        <f>'3.2 Digest'!W806</f>
        <v>247.33393857574845</v>
      </c>
      <c r="U806" s="153">
        <v>0.36944444444444446</v>
      </c>
      <c r="V806" s="154">
        <v>40.5</v>
      </c>
      <c r="W806" s="153">
        <v>0.70902777777777781</v>
      </c>
      <c r="X806" s="95">
        <v>77.5</v>
      </c>
      <c r="Y806" s="95">
        <v>13.9</v>
      </c>
      <c r="Z806" s="154">
        <v>41</v>
      </c>
      <c r="AA806" s="153">
        <v>0.38541666666666669</v>
      </c>
      <c r="AB806" s="154">
        <v>84</v>
      </c>
      <c r="AC806" s="154">
        <v>18.399999999999999</v>
      </c>
      <c r="AD806" s="91"/>
      <c r="AE806" s="94">
        <f>Table3.110[[#This Row],[Gas 8h, ml]]-Table3.110[[#This Row],[Gas 0h, ml]]</f>
        <v>37</v>
      </c>
      <c r="AF806" s="94">
        <f>Table3.110[[#This Row],[Gas 24h, ml]]-Table3.110[[#This Row],[V8 Push back, ml]]</f>
        <v>43</v>
      </c>
      <c r="AG806" s="94">
        <f>Table3.110[[#This Row],[GP 8h, ml]]-(AVERAGE(AE$790,AE$791,AE$840,AE$841,AE$860,AE$861))*$AG$8</f>
        <v>35.819990991876054</v>
      </c>
      <c r="AH806" s="94">
        <f>Table3.110[[#This Row],[GP 8-24h, ml]]-(AVERAGE(AF$790,AF$791,AF$840,AF$841,AF$860,AF$861))*$AG$8</f>
        <v>40.123728042697877</v>
      </c>
      <c r="AI806" s="94">
        <f>Table3.110[[#This Row],[Net gas 8-24h, ml]]+Table3.110[[#This Row],[Net gas 8h, ml]]</f>
        <v>75.943719034573931</v>
      </c>
      <c r="AJ806" s="94">
        <f>Table3.110[[#This Row],[Net gas 8h, ml]]*Table3.110[[#This Row],[CH4 8h %]]%</f>
        <v>4.9789787478707721</v>
      </c>
      <c r="AK806" s="94">
        <f>Table3.110[[#This Row],[Net gas 8-24h, ml]]*Table3.110[[#This Row],[CH4 24h, %]]%</f>
        <v>7.3827659598564095</v>
      </c>
      <c r="AL806" s="94">
        <f>Table3.110[[#This Row],[CH4 8-24h, ml]]+Table3.110[[#This Row],[CH4 8h, ml]]</f>
        <v>12.361744707727182</v>
      </c>
      <c r="AM806" s="94">
        <f>(Table3.110[[#This Row],[Net gas 24h, ml]]/Table3.110[[#This Row],[DM Incubated, mg]])*1000</f>
        <v>164.58199687040812</v>
      </c>
      <c r="AN806" s="94">
        <f>'3.2 Digest'!X806</f>
        <v>53.60115888726429</v>
      </c>
      <c r="AO806" s="94">
        <f>Table3.110[[#This Row],[Digested feed, mg]]/Table3.110[[#This Row],[Net gas 24h, ml]]</f>
        <v>3.2568057203407155</v>
      </c>
      <c r="AP806" s="94">
        <f>Table3.110[[#This Row],[CH4 8h, ml]]/Table3.110[[#This Row],[Net gas 8h, ml]]%</f>
        <v>13.900000000000002</v>
      </c>
      <c r="AQ806" s="94">
        <f>Table3.110[[#This Row],[CH4 24h, ml]]/Table3.110[[#This Row],[Net gas 24h, ml]]%</f>
        <v>16.277507692373359</v>
      </c>
      <c r="AR806" s="94">
        <f>Table3.110[[#This Row],[CH4 24h, ml]]/Table3.110[[#This Row],[DM Incubated, mg]]*1000</f>
        <v>26.78984720084236</v>
      </c>
      <c r="AS806" s="94">
        <f>Table3.110[[#This Row],[CH4 24h, ml]]/Table3.110[[#This Row],[Digested feed, mg]]*1000</f>
        <v>49.979977591879397</v>
      </c>
      <c r="AT806" s="94">
        <f>Table3.110[[#This Row],[CH4 24h, ml]]/'3.2 Digest'!AA806</f>
        <v>8.3218295412609162</v>
      </c>
      <c r="AU806" s="94">
        <f>((Table3.110[[#This Row],[CH4 24h, ml]]/28.9)*16.04)/Table3.110[[#This Row],[DM Incubated, mg]]*1000</f>
        <v>14.868828688633613</v>
      </c>
      <c r="AV806" s="94">
        <f>((Table3.110[[#This Row],[CH4 24h, ml]]/28.9)*16.04)/Table3.110[[#This Row],[Digested feed, mg]]*1000</f>
        <v>27.739752268987729</v>
      </c>
    </row>
    <row r="807" spans="2:48" s="89" customFormat="1" x14ac:dyDescent="0.35">
      <c r="B807" s="90">
        <f t="shared" si="12"/>
        <v>797</v>
      </c>
      <c r="C807" s="140">
        <v>46055</v>
      </c>
      <c r="D807" s="6" t="s">
        <v>16</v>
      </c>
      <c r="E807" s="6" t="s">
        <v>339</v>
      </c>
      <c r="F807" s="6" t="s">
        <v>219</v>
      </c>
      <c r="G807" s="6" t="s">
        <v>253</v>
      </c>
      <c r="H807" s="6" t="s">
        <v>254</v>
      </c>
      <c r="I807" s="6" t="s">
        <v>22</v>
      </c>
      <c r="J807" s="129" t="s">
        <v>23</v>
      </c>
      <c r="K807" s="129" t="s">
        <v>215</v>
      </c>
      <c r="L807" s="6" t="s">
        <v>338</v>
      </c>
      <c r="M807" s="93">
        <v>29</v>
      </c>
      <c r="N807" s="93">
        <v>62</v>
      </c>
      <c r="O807" s="6">
        <v>1</v>
      </c>
      <c r="P807" s="129">
        <v>1</v>
      </c>
      <c r="Q807" s="6">
        <v>108</v>
      </c>
      <c r="R807" s="98">
        <v>0.50060000000000004</v>
      </c>
      <c r="S807" s="94">
        <f>((Table3.110[[#This Row],[Sample weight, g]]*'2.1. DM'!Q207)/100)*1000</f>
        <v>453.57327964407091</v>
      </c>
      <c r="T807" s="94">
        <f>'3.2 Digest'!W807</f>
        <v>250.97327964407091</v>
      </c>
      <c r="U807" s="117">
        <v>0.36944444444444446</v>
      </c>
      <c r="V807" s="155">
        <v>40.5</v>
      </c>
      <c r="W807" s="117">
        <v>0.70972222222222225</v>
      </c>
      <c r="X807" s="97">
        <v>80.5</v>
      </c>
      <c r="Y807" s="97">
        <v>12.9</v>
      </c>
      <c r="Z807" s="155">
        <v>40</v>
      </c>
      <c r="AA807" s="117">
        <v>0.38611111111111113</v>
      </c>
      <c r="AB807" s="155">
        <v>85</v>
      </c>
      <c r="AC807" s="155">
        <v>15.6</v>
      </c>
      <c r="AD807" s="96"/>
      <c r="AE807" s="94">
        <f>Table3.110[[#This Row],[Gas 8h, ml]]-Table3.110[[#This Row],[Gas 0h, ml]]</f>
        <v>40</v>
      </c>
      <c r="AF807" s="94">
        <f>Table3.110[[#This Row],[Gas 24h, ml]]-Table3.110[[#This Row],[V8 Push back, ml]]</f>
        <v>45</v>
      </c>
      <c r="AG807" s="94">
        <f>Table3.110[[#This Row],[GP 8h, ml]]-(AVERAGE(AE$790,AE$791,AE$840,AE$841,AE$860,AE$861))*$AG$8</f>
        <v>38.819990991876054</v>
      </c>
      <c r="AH807" s="94">
        <f>Table3.110[[#This Row],[GP 8-24h, ml]]-(AVERAGE(AF$790,AF$791,AF$840,AF$841,AF$860,AF$861))*$AG$8</f>
        <v>42.123728042697877</v>
      </c>
      <c r="AI807" s="94">
        <f>Table3.110[[#This Row],[Net gas 8-24h, ml]]+Table3.110[[#This Row],[Net gas 8h, ml]]</f>
        <v>80.943719034573931</v>
      </c>
      <c r="AJ807" s="94">
        <f>Table3.110[[#This Row],[Net gas 8h, ml]]*Table3.110[[#This Row],[CH4 8h %]]%</f>
        <v>5.007778837952011</v>
      </c>
      <c r="AK807" s="94">
        <f>Table3.110[[#This Row],[Net gas 8-24h, ml]]*Table3.110[[#This Row],[CH4 24h, %]]%</f>
        <v>6.5713015746608692</v>
      </c>
      <c r="AL807" s="94">
        <f>Table3.110[[#This Row],[CH4 8-24h, ml]]+Table3.110[[#This Row],[CH4 8h, ml]]</f>
        <v>11.57908041261288</v>
      </c>
      <c r="AM807" s="94">
        <f>(Table3.110[[#This Row],[Net gas 24h, ml]]/Table3.110[[#This Row],[DM Incubated, mg]])*1000</f>
        <v>178.45786484180081</v>
      </c>
      <c r="AN807" s="94">
        <f>'3.2 Digest'!X807</f>
        <v>55.332465757465975</v>
      </c>
      <c r="AO807" s="94">
        <f>Table3.110[[#This Row],[Digested feed, mg]]/Table3.110[[#This Row],[Net gas 24h, ml]]</f>
        <v>3.1005899239306181</v>
      </c>
      <c r="AP807" s="94">
        <f>Table3.110[[#This Row],[CH4 8h, ml]]/Table3.110[[#This Row],[Net gas 8h, ml]]%</f>
        <v>12.9</v>
      </c>
      <c r="AQ807" s="94">
        <f>Table3.110[[#This Row],[CH4 24h, ml]]/Table3.110[[#This Row],[Net gas 24h, ml]]%</f>
        <v>14.305100569529111</v>
      </c>
      <c r="AR807" s="94">
        <f>Table3.110[[#This Row],[CH4 24h, ml]]/Table3.110[[#This Row],[DM Incubated, mg]]*1000</f>
        <v>25.528577039853943</v>
      </c>
      <c r="AS807" s="94">
        <f>Table3.110[[#This Row],[CH4 24h, ml]]/Table3.110[[#This Row],[Digested feed, mg]]*1000</f>
        <v>46.13670598333924</v>
      </c>
      <c r="AT807" s="94">
        <f>Table3.110[[#This Row],[CH4 24h, ml]]/'3.2 Digest'!AA807</f>
        <v>1.6262533295677559</v>
      </c>
      <c r="AU807" s="94">
        <f>((Table3.110[[#This Row],[CH4 24h, ml]]/28.9)*16.04)/Table3.110[[#This Row],[DM Incubated, mg]]*1000</f>
        <v>14.168801928001981</v>
      </c>
      <c r="AV807" s="94">
        <f>((Table3.110[[#This Row],[CH4 24h, ml]]/28.9)*16.04)/Table3.110[[#This Row],[Digested feed, mg]]*1000</f>
        <v>25.606670033659569</v>
      </c>
    </row>
    <row r="808" spans="2:48" s="89" customFormat="1" x14ac:dyDescent="0.35">
      <c r="B808" s="90">
        <f t="shared" si="12"/>
        <v>798</v>
      </c>
      <c r="C808" s="140">
        <v>46055</v>
      </c>
      <c r="D808" s="6" t="s">
        <v>16</v>
      </c>
      <c r="E808" s="6" t="s">
        <v>339</v>
      </c>
      <c r="F808" s="6" t="s">
        <v>219</v>
      </c>
      <c r="G808" s="6" t="s">
        <v>253</v>
      </c>
      <c r="H808" s="6" t="s">
        <v>254</v>
      </c>
      <c r="I808" s="6" t="s">
        <v>22</v>
      </c>
      <c r="J808" s="129" t="s">
        <v>23</v>
      </c>
      <c r="K808" s="129" t="s">
        <v>215</v>
      </c>
      <c r="L808" s="6" t="s">
        <v>338</v>
      </c>
      <c r="M808" s="93">
        <v>29</v>
      </c>
      <c r="N808" s="93">
        <v>62</v>
      </c>
      <c r="O808" s="6">
        <v>1</v>
      </c>
      <c r="P808" s="6">
        <v>2</v>
      </c>
      <c r="Q808" s="6">
        <v>109</v>
      </c>
      <c r="R808" s="98">
        <v>0.5</v>
      </c>
      <c r="S808" s="94">
        <f>((Table3.110[[#This Row],[Sample weight, g]]*'2.1. DM'!Q207)/100)*1000</f>
        <v>453.02964407118543</v>
      </c>
      <c r="T808" s="94">
        <f>'3.2 Digest'!W808</f>
        <v>291.1296440711854</v>
      </c>
      <c r="U808" s="153">
        <v>0.36944444444444446</v>
      </c>
      <c r="V808" s="154">
        <v>40.5</v>
      </c>
      <c r="W808" s="153">
        <v>0.70972222222222225</v>
      </c>
      <c r="X808" s="95">
        <v>77.5</v>
      </c>
      <c r="Y808" s="95">
        <v>12.9</v>
      </c>
      <c r="Z808" s="154">
        <v>40.5</v>
      </c>
      <c r="AA808" s="153">
        <v>0.38611111111111113</v>
      </c>
      <c r="AB808" s="154">
        <v>83.5</v>
      </c>
      <c r="AC808" s="154">
        <v>15.3</v>
      </c>
      <c r="AD808" s="91"/>
      <c r="AE808" s="94">
        <f>Table3.110[[#This Row],[Gas 8h, ml]]-Table3.110[[#This Row],[Gas 0h, ml]]</f>
        <v>37</v>
      </c>
      <c r="AF808" s="94">
        <f>Table3.110[[#This Row],[Gas 24h, ml]]-Table3.110[[#This Row],[V8 Push back, ml]]</f>
        <v>43</v>
      </c>
      <c r="AG808" s="94">
        <f>Table3.110[[#This Row],[GP 8h, ml]]-(AVERAGE(AE$790,AE$791,AE$840,AE$841,AE$860,AE$861))*$AG$8</f>
        <v>35.819990991876054</v>
      </c>
      <c r="AH808" s="94">
        <f>Table3.110[[#This Row],[GP 8-24h, ml]]-(AVERAGE(AF$790,AF$791,AF$840,AF$841,AF$860,AF$861))*$AG$8</f>
        <v>40.123728042697877</v>
      </c>
      <c r="AI808" s="94">
        <f>Table3.110[[#This Row],[Net gas 8-24h, ml]]+Table3.110[[#This Row],[Net gas 8h, ml]]</f>
        <v>75.943719034573931</v>
      </c>
      <c r="AJ808" s="94">
        <f>Table3.110[[#This Row],[Net gas 8h, ml]]*Table3.110[[#This Row],[CH4 8h %]]%</f>
        <v>4.6207788379520114</v>
      </c>
      <c r="AK808" s="94">
        <f>Table3.110[[#This Row],[Net gas 8-24h, ml]]*Table3.110[[#This Row],[CH4 24h, %]]%</f>
        <v>6.1389303905327752</v>
      </c>
      <c r="AL808" s="94">
        <f>Table3.110[[#This Row],[CH4 8-24h, ml]]+Table3.110[[#This Row],[CH4 8h, ml]]</f>
        <v>10.759709228484788</v>
      </c>
      <c r="AM808" s="94">
        <f>(Table3.110[[#This Row],[Net gas 24h, ml]]/Table3.110[[#This Row],[DM Incubated, mg]])*1000</f>
        <v>167.63520892827214</v>
      </c>
      <c r="AN808" s="94">
        <f>'3.2 Digest'!X808</f>
        <v>64.262824272364753</v>
      </c>
      <c r="AO808" s="94">
        <f>Table3.110[[#This Row],[Digested feed, mg]]/Table3.110[[#This Row],[Net gas 24h, ml]]</f>
        <v>3.8334920619129345</v>
      </c>
      <c r="AP808" s="94">
        <f>Table3.110[[#This Row],[CH4 8h, ml]]/Table3.110[[#This Row],[Net gas 8h, ml]]%</f>
        <v>12.9</v>
      </c>
      <c r="AQ808" s="94">
        <f>Table3.110[[#This Row],[CH4 24h, ml]]/Table3.110[[#This Row],[Net gas 24h, ml]]%</f>
        <v>14.168004102599125</v>
      </c>
      <c r="AR808" s="94">
        <f>Table3.110[[#This Row],[CH4 24h, ml]]/Table3.110[[#This Row],[DM Incubated, mg]]*1000</f>
        <v>23.750563278358211</v>
      </c>
      <c r="AS808" s="94">
        <f>Table3.110[[#This Row],[CH4 24h, ml]]/Table3.110[[#This Row],[Digested feed, mg]]*1000</f>
        <v>36.958480345800453</v>
      </c>
      <c r="AT808" s="94">
        <f>Table3.110[[#This Row],[CH4 24h, ml]]/'3.2 Digest'!AA808</f>
        <v>0.41883635047697226</v>
      </c>
      <c r="AU808" s="94">
        <f>((Table3.110[[#This Row],[CH4 24h, ml]]/28.9)*16.04)/Table3.110[[#This Row],[DM Incubated, mg]]*1000</f>
        <v>13.181973528888088</v>
      </c>
      <c r="AV808" s="94">
        <f>((Table3.110[[#This Row],[CH4 24h, ml]]/28.9)*16.04)/Table3.110[[#This Row],[Digested feed, mg]]*1000</f>
        <v>20.512596011994436</v>
      </c>
    </row>
    <row r="809" spans="2:48" s="89" customFormat="1" x14ac:dyDescent="0.35">
      <c r="B809" s="90">
        <f t="shared" si="12"/>
        <v>799</v>
      </c>
      <c r="C809" s="140">
        <v>46055</v>
      </c>
      <c r="D809" s="6" t="s">
        <v>16</v>
      </c>
      <c r="E809" s="6" t="s">
        <v>339</v>
      </c>
      <c r="F809" s="6" t="s">
        <v>219</v>
      </c>
      <c r="G809" s="6" t="s">
        <v>253</v>
      </c>
      <c r="H809" s="6" t="s">
        <v>254</v>
      </c>
      <c r="I809" s="6" t="s">
        <v>22</v>
      </c>
      <c r="J809" s="129" t="s">
        <v>23</v>
      </c>
      <c r="K809" s="129" t="s">
        <v>215</v>
      </c>
      <c r="L809" s="6" t="s">
        <v>338</v>
      </c>
      <c r="M809" s="93">
        <v>29</v>
      </c>
      <c r="N809" s="93">
        <v>62</v>
      </c>
      <c r="O809" s="6">
        <v>1</v>
      </c>
      <c r="P809" s="129">
        <v>3</v>
      </c>
      <c r="Q809" s="6">
        <v>110</v>
      </c>
      <c r="R809" s="98">
        <v>0.50029999999999997</v>
      </c>
      <c r="S809" s="94">
        <f>((Table3.110[[#This Row],[Sample weight, g]]*'2.1. DM'!Q207)/100)*1000</f>
        <v>453.30146185762817</v>
      </c>
      <c r="T809" s="94">
        <f>'3.2 Digest'!W809</f>
        <v>257.10146185762812</v>
      </c>
      <c r="U809" s="117">
        <v>0.37013888888888891</v>
      </c>
      <c r="V809" s="155">
        <v>40.5</v>
      </c>
      <c r="W809" s="117">
        <v>0.7104166666666667</v>
      </c>
      <c r="X809" s="97">
        <v>77</v>
      </c>
      <c r="Y809" s="97">
        <v>12.9</v>
      </c>
      <c r="Z809" s="155">
        <v>40</v>
      </c>
      <c r="AA809" s="117">
        <v>0.38680555555555557</v>
      </c>
      <c r="AB809" s="155">
        <v>83.5</v>
      </c>
      <c r="AC809" s="155">
        <v>15.2</v>
      </c>
      <c r="AD809" s="96"/>
      <c r="AE809" s="94">
        <f>Table3.110[[#This Row],[Gas 8h, ml]]-Table3.110[[#This Row],[Gas 0h, ml]]</f>
        <v>36.5</v>
      </c>
      <c r="AF809" s="94">
        <f>Table3.110[[#This Row],[Gas 24h, ml]]-Table3.110[[#This Row],[V8 Push back, ml]]</f>
        <v>43.5</v>
      </c>
      <c r="AG809" s="94">
        <f>Table3.110[[#This Row],[GP 8h, ml]]-(AVERAGE(AE$790,AE$791,AE$840,AE$841,AE$860,AE$861))*$AG$8</f>
        <v>35.319990991876054</v>
      </c>
      <c r="AH809" s="94">
        <f>Table3.110[[#This Row],[GP 8-24h, ml]]-(AVERAGE(AF$790,AF$791,AF$840,AF$841,AF$860,AF$861))*$AG$8</f>
        <v>40.623728042697877</v>
      </c>
      <c r="AI809" s="94">
        <f>Table3.110[[#This Row],[Net gas 8-24h, ml]]+Table3.110[[#This Row],[Net gas 8h, ml]]</f>
        <v>75.943719034573931</v>
      </c>
      <c r="AJ809" s="94">
        <f>Table3.110[[#This Row],[Net gas 8h, ml]]*Table3.110[[#This Row],[CH4 8h %]]%</f>
        <v>4.5562788379520107</v>
      </c>
      <c r="AK809" s="94">
        <f>Table3.110[[#This Row],[Net gas 8-24h, ml]]*Table3.110[[#This Row],[CH4 24h, %]]%</f>
        <v>6.1748066624900773</v>
      </c>
      <c r="AL809" s="94">
        <f>Table3.110[[#This Row],[CH4 8-24h, ml]]+Table3.110[[#This Row],[CH4 8h, ml]]</f>
        <v>10.731085500442088</v>
      </c>
      <c r="AM809" s="94">
        <f>(Table3.110[[#This Row],[Net gas 24h, ml]]/Table3.110[[#This Row],[DM Incubated, mg]])*1000</f>
        <v>167.53468811540287</v>
      </c>
      <c r="AN809" s="94">
        <f>'3.2 Digest'!X809</f>
        <v>56.717545274181781</v>
      </c>
      <c r="AO809" s="94">
        <f>Table3.110[[#This Row],[Digested feed, mg]]/Table3.110[[#This Row],[Net gas 24h, ml]]</f>
        <v>3.3854210081623841</v>
      </c>
      <c r="AP809" s="94">
        <f>Table3.110[[#This Row],[CH4 8h, ml]]/Table3.110[[#This Row],[Net gas 8h, ml]]%</f>
        <v>12.899999999999999</v>
      </c>
      <c r="AQ809" s="94">
        <f>Table3.110[[#This Row],[CH4 24h, ml]]/Table3.110[[#This Row],[Net gas 24h, ml]]%</f>
        <v>14.130313391100431</v>
      </c>
      <c r="AR809" s="94">
        <f>Table3.110[[#This Row],[CH4 24h, ml]]/Table3.110[[#This Row],[DM Incubated, mg]]*1000</f>
        <v>23.673176469509116</v>
      </c>
      <c r="AS809" s="94">
        <f>Table3.110[[#This Row],[CH4 24h, ml]]/Table3.110[[#This Row],[Digested feed, mg]]*1000</f>
        <v>41.738718336749514</v>
      </c>
      <c r="AT809" s="94">
        <f>Table3.110[[#This Row],[CH4 24h, ml]]/'3.2 Digest'!AA809</f>
        <v>1.0730896730019426</v>
      </c>
      <c r="AU809" s="94">
        <f>((Table3.110[[#This Row],[CH4 24h, ml]]/28.9)*16.04)/Table3.110[[#This Row],[DM Incubated, mg]]*1000</f>
        <v>13.139022511104717</v>
      </c>
      <c r="AV809" s="94">
        <f>((Table3.110[[#This Row],[CH4 24h, ml]]/28.9)*16.04)/Table3.110[[#This Row],[Digested feed, mg]]*1000</f>
        <v>23.165710800050594</v>
      </c>
    </row>
    <row r="810" spans="2:48" s="89" customFormat="1" x14ac:dyDescent="0.35">
      <c r="B810" s="90">
        <f t="shared" si="12"/>
        <v>800</v>
      </c>
      <c r="C810" s="140">
        <v>46055</v>
      </c>
      <c r="D810" s="6" t="s">
        <v>16</v>
      </c>
      <c r="E810" s="6" t="s">
        <v>341</v>
      </c>
      <c r="F810" s="6" t="s">
        <v>333</v>
      </c>
      <c r="G810" s="6" t="s">
        <v>334</v>
      </c>
      <c r="H810" s="6" t="s">
        <v>335</v>
      </c>
      <c r="I810" s="6" t="s">
        <v>22</v>
      </c>
      <c r="J810" s="129" t="s">
        <v>23</v>
      </c>
      <c r="K810" s="129" t="s">
        <v>303</v>
      </c>
      <c r="L810" s="6" t="s">
        <v>340</v>
      </c>
      <c r="M810" s="93">
        <v>29</v>
      </c>
      <c r="N810" s="93">
        <v>62</v>
      </c>
      <c r="O810" s="6">
        <v>1</v>
      </c>
      <c r="P810" s="129">
        <v>1</v>
      </c>
      <c r="Q810" s="6">
        <v>111</v>
      </c>
      <c r="R810" s="98">
        <v>0.5</v>
      </c>
      <c r="S810" s="94">
        <f>((Table3.110[[#This Row],[Sample weight, g]]*'2.1. DM'!Q209)/100)*1000</f>
        <v>462.39566355139465</v>
      </c>
      <c r="T810" s="94">
        <f>'3.2 Digest'!W810</f>
        <v>261.59566355139464</v>
      </c>
      <c r="U810" s="156">
        <v>0.37013888888888891</v>
      </c>
      <c r="V810" s="154">
        <v>41</v>
      </c>
      <c r="W810" s="153">
        <v>0.71111111111111114</v>
      </c>
      <c r="X810" s="95">
        <v>81</v>
      </c>
      <c r="Y810" s="95">
        <v>13.2</v>
      </c>
      <c r="Z810" s="154">
        <v>40.5</v>
      </c>
      <c r="AA810" s="153">
        <v>0.38680555555555557</v>
      </c>
      <c r="AB810" s="154">
        <v>85</v>
      </c>
      <c r="AC810" s="154">
        <v>15.6</v>
      </c>
      <c r="AD810" s="91"/>
      <c r="AE810" s="94">
        <f>Table3.110[[#This Row],[Gas 8h, ml]]-Table3.110[[#This Row],[Gas 0h, ml]]</f>
        <v>40</v>
      </c>
      <c r="AF810" s="94">
        <f>Table3.110[[#This Row],[Gas 24h, ml]]-Table3.110[[#This Row],[V8 Push back, ml]]</f>
        <v>44.5</v>
      </c>
      <c r="AG810" s="94">
        <f>Table3.110[[#This Row],[GP 8h, ml]]-(AVERAGE(AE$790,AE$791,AE$840,AE$841,AE$860,AE$861))*$AG$8</f>
        <v>38.819990991876054</v>
      </c>
      <c r="AH810" s="94">
        <f>Table3.110[[#This Row],[GP 8-24h, ml]]-(AVERAGE(AF$790,AF$791,AF$840,AF$841,AF$860,AF$861))*$AG$8</f>
        <v>41.623728042697877</v>
      </c>
      <c r="AI810" s="94">
        <f>Table3.110[[#This Row],[Net gas 8-24h, ml]]+Table3.110[[#This Row],[Net gas 8h, ml]]</f>
        <v>80.443719034573931</v>
      </c>
      <c r="AJ810" s="94">
        <f>Table3.110[[#This Row],[Net gas 8h, ml]]*Table3.110[[#This Row],[CH4 8h %]]%</f>
        <v>5.1242388109276398</v>
      </c>
      <c r="AK810" s="94">
        <f>Table3.110[[#This Row],[Net gas 8-24h, ml]]*Table3.110[[#This Row],[CH4 24h, %]]%</f>
        <v>6.4933015746608689</v>
      </c>
      <c r="AL810" s="94">
        <f>Table3.110[[#This Row],[CH4 8-24h, ml]]+Table3.110[[#This Row],[CH4 8h, ml]]</f>
        <v>11.617540385588509</v>
      </c>
      <c r="AM810" s="94">
        <f>(Table3.110[[#This Row],[Net gas 24h, ml]]/Table3.110[[#This Row],[DM Incubated, mg]])*1000</f>
        <v>173.97161213998436</v>
      </c>
      <c r="AN810" s="94">
        <f>'3.2 Digest'!X810</f>
        <v>56.573987208753017</v>
      </c>
      <c r="AO810" s="94">
        <f>Table3.110[[#This Row],[Digested feed, mg]]/Table3.110[[#This Row],[Net gas 24h, ml]]</f>
        <v>3.2519091197034706</v>
      </c>
      <c r="AP810" s="94">
        <f>Table3.110[[#This Row],[CH4 8h, ml]]/Table3.110[[#This Row],[Net gas 8h, ml]]%</f>
        <v>13.200000000000003</v>
      </c>
      <c r="AQ810" s="94">
        <f>Table3.110[[#This Row],[CH4 24h, ml]]/Table3.110[[#This Row],[Net gas 24h, ml]]%</f>
        <v>14.441824079012809</v>
      </c>
      <c r="AR810" s="94">
        <f>Table3.110[[#This Row],[CH4 24h, ml]]/Table3.110[[#This Row],[DM Incubated, mg]]*1000</f>
        <v>25.124674172679033</v>
      </c>
      <c r="AS810" s="94">
        <f>Table3.110[[#This Row],[CH4 24h, ml]]/Table3.110[[#This Row],[Digested feed, mg]]*1000</f>
        <v>44.410294222274288</v>
      </c>
      <c r="AT810" s="94">
        <f>Table3.110[[#This Row],[CH4 24h, ml]]/'3.2 Digest'!AA810</f>
        <v>2.5403054293862835</v>
      </c>
      <c r="AU810" s="94">
        <f>((Table3.110[[#This Row],[CH4 24h, ml]]/28.9)*16.04)/Table3.110[[#This Row],[DM Incubated, mg]]*1000</f>
        <v>13.944628848781027</v>
      </c>
      <c r="AV810" s="94">
        <f>((Table3.110[[#This Row],[CH4 24h, ml]]/28.9)*16.04)/Table3.110[[#This Row],[Digested feed, mg]]*1000</f>
        <v>24.648481637552923</v>
      </c>
    </row>
    <row r="811" spans="2:48" s="89" customFormat="1" x14ac:dyDescent="0.35">
      <c r="B811" s="90">
        <f t="shared" si="12"/>
        <v>801</v>
      </c>
      <c r="C811" s="140">
        <v>46055</v>
      </c>
      <c r="D811" s="6" t="s">
        <v>16</v>
      </c>
      <c r="E811" s="6" t="s">
        <v>341</v>
      </c>
      <c r="F811" s="6" t="s">
        <v>333</v>
      </c>
      <c r="G811" s="6" t="s">
        <v>334</v>
      </c>
      <c r="H811" s="6" t="s">
        <v>335</v>
      </c>
      <c r="I811" s="6" t="s">
        <v>22</v>
      </c>
      <c r="J811" s="129" t="s">
        <v>23</v>
      </c>
      <c r="K811" s="129" t="s">
        <v>303</v>
      </c>
      <c r="L811" s="6" t="s">
        <v>340</v>
      </c>
      <c r="M811" s="93">
        <v>29</v>
      </c>
      <c r="N811" s="93">
        <v>62</v>
      </c>
      <c r="O811" s="6">
        <v>1</v>
      </c>
      <c r="P811" s="6">
        <v>2</v>
      </c>
      <c r="Q811" s="6">
        <v>112</v>
      </c>
      <c r="R811" s="98">
        <v>0.50049999999999994</v>
      </c>
      <c r="S811" s="94">
        <f>((Table3.110[[#This Row],[Sample weight, g]]*'2.1. DM'!Q209)/100)*1000</f>
        <v>462.85805921494597</v>
      </c>
      <c r="T811" s="94">
        <f>'3.2 Digest'!W811</f>
        <v>234.25805921494594</v>
      </c>
      <c r="U811" s="117">
        <v>0.37013888888888891</v>
      </c>
      <c r="V811" s="155">
        <v>41</v>
      </c>
      <c r="W811" s="117">
        <v>0.71111111111111114</v>
      </c>
      <c r="X811" s="97">
        <v>81.5</v>
      </c>
      <c r="Y811" s="97">
        <v>13.1</v>
      </c>
      <c r="Z811" s="155">
        <v>40.5</v>
      </c>
      <c r="AA811" s="117">
        <v>0.38750000000000001</v>
      </c>
      <c r="AB811" s="155">
        <v>85</v>
      </c>
      <c r="AC811" s="155">
        <v>15.5</v>
      </c>
      <c r="AD811" s="96"/>
      <c r="AE811" s="94">
        <f>Table3.110[[#This Row],[Gas 8h, ml]]-Table3.110[[#This Row],[Gas 0h, ml]]</f>
        <v>40.5</v>
      </c>
      <c r="AF811" s="94">
        <f>Table3.110[[#This Row],[Gas 24h, ml]]-Table3.110[[#This Row],[V8 Push back, ml]]</f>
        <v>44.5</v>
      </c>
      <c r="AG811" s="94">
        <f>Table3.110[[#This Row],[GP 8h, ml]]-(AVERAGE(AE$790,AE$791,AE$840,AE$841,AE$860,AE$861))*$AG$8</f>
        <v>39.319990991876054</v>
      </c>
      <c r="AH811" s="94">
        <f>Table3.110[[#This Row],[GP 8-24h, ml]]-(AVERAGE(AF$790,AF$791,AF$840,AF$841,AF$860,AF$861))*$AG$8</f>
        <v>41.623728042697877</v>
      </c>
      <c r="AI811" s="94">
        <f>Table3.110[[#This Row],[Net gas 8-24h, ml]]+Table3.110[[#This Row],[Net gas 8h, ml]]</f>
        <v>80.943719034573931</v>
      </c>
      <c r="AJ811" s="94">
        <f>Table3.110[[#This Row],[Net gas 8h, ml]]*Table3.110[[#This Row],[CH4 8h %]]%</f>
        <v>5.1509188199357636</v>
      </c>
      <c r="AK811" s="94">
        <f>Table3.110[[#This Row],[Net gas 8-24h, ml]]*Table3.110[[#This Row],[CH4 24h, %]]%</f>
        <v>6.4516778466181712</v>
      </c>
      <c r="AL811" s="94">
        <f>Table3.110[[#This Row],[CH4 8-24h, ml]]+Table3.110[[#This Row],[CH4 8h, ml]]</f>
        <v>11.602596666553936</v>
      </c>
      <c r="AM811" s="94">
        <f>(Table3.110[[#This Row],[Net gas 24h, ml]]/Table3.110[[#This Row],[DM Incubated, mg]])*1000</f>
        <v>174.87805910058614</v>
      </c>
      <c r="AN811" s="94">
        <f>'3.2 Digest'!X811</f>
        <v>50.611208890317542</v>
      </c>
      <c r="AO811" s="94">
        <f>Table3.110[[#This Row],[Digested feed, mg]]/Table3.110[[#This Row],[Net gas 24h, ml]]</f>
        <v>2.8940856932319359</v>
      </c>
      <c r="AP811" s="94">
        <f>Table3.110[[#This Row],[CH4 8h, ml]]/Table3.110[[#This Row],[Net gas 8h, ml]]%</f>
        <v>13.100000000000001</v>
      </c>
      <c r="AQ811" s="94">
        <f>Table3.110[[#This Row],[CH4 24h, ml]]/Table3.110[[#This Row],[Net gas 24h, ml]]%</f>
        <v>14.334153168324345</v>
      </c>
      <c r="AR811" s="94">
        <f>Table3.110[[#This Row],[CH4 24h, ml]]/Table3.110[[#This Row],[DM Incubated, mg]]*1000</f>
        <v>25.067288849270792</v>
      </c>
      <c r="AS811" s="94">
        <f>Table3.110[[#This Row],[CH4 24h, ml]]/Table3.110[[#This Row],[Digested feed, mg]]*1000</f>
        <v>49.529124869543338</v>
      </c>
      <c r="AT811" s="94">
        <f>Table3.110[[#This Row],[CH4 24h, ml]]/'3.2 Digest'!AA811</f>
        <v>-1.3602659631252192</v>
      </c>
      <c r="AU811" s="94">
        <f>((Table3.110[[#This Row],[CH4 24h, ml]]/28.9)*16.04)/Table3.110[[#This Row],[DM Incubated, mg]]*1000</f>
        <v>13.912779001463791</v>
      </c>
      <c r="AV811" s="94">
        <f>((Table3.110[[#This Row],[CH4 24h, ml]]/28.9)*16.04)/Table3.110[[#This Row],[Digested feed, mg]]*1000</f>
        <v>27.489521207871114</v>
      </c>
    </row>
    <row r="812" spans="2:48" s="89" customFormat="1" x14ac:dyDescent="0.35">
      <c r="B812" s="90">
        <f t="shared" si="12"/>
        <v>802</v>
      </c>
      <c r="C812" s="140">
        <v>46055</v>
      </c>
      <c r="D812" s="6" t="s">
        <v>16</v>
      </c>
      <c r="E812" s="6" t="s">
        <v>341</v>
      </c>
      <c r="F812" s="6" t="s">
        <v>333</v>
      </c>
      <c r="G812" s="6" t="s">
        <v>334</v>
      </c>
      <c r="H812" s="6" t="s">
        <v>335</v>
      </c>
      <c r="I812" s="6" t="s">
        <v>22</v>
      </c>
      <c r="J812" s="129" t="s">
        <v>23</v>
      </c>
      <c r="K812" s="129" t="s">
        <v>303</v>
      </c>
      <c r="L812" s="6" t="s">
        <v>340</v>
      </c>
      <c r="M812" s="93">
        <v>29</v>
      </c>
      <c r="N812" s="93">
        <v>62</v>
      </c>
      <c r="O812" s="6">
        <v>1</v>
      </c>
      <c r="P812" s="129">
        <v>3</v>
      </c>
      <c r="Q812" s="6">
        <v>113</v>
      </c>
      <c r="R812" s="98">
        <v>0.50060000000000004</v>
      </c>
      <c r="S812" s="94">
        <f>((Table3.110[[#This Row],[Sample weight, g]]*'2.1. DM'!Q209)/100)*1000</f>
        <v>462.95053834765639</v>
      </c>
      <c r="T812" s="94">
        <f>'3.2 Digest'!W812</f>
        <v>216.25053834765637</v>
      </c>
      <c r="U812" s="153">
        <v>0.37083333333333335</v>
      </c>
      <c r="V812" s="154">
        <v>41</v>
      </c>
      <c r="W812" s="153">
        <v>0.71111111111111114</v>
      </c>
      <c r="X812" s="95">
        <v>79</v>
      </c>
      <c r="Y812" s="95">
        <v>13.5</v>
      </c>
      <c r="Z812" s="154">
        <v>40.5</v>
      </c>
      <c r="AA812" s="153">
        <v>0.38750000000000001</v>
      </c>
      <c r="AB812" s="154">
        <v>85.5</v>
      </c>
      <c r="AC812" s="154">
        <v>15.8</v>
      </c>
      <c r="AD812" s="91"/>
      <c r="AE812" s="94">
        <f>Table3.110[[#This Row],[Gas 8h, ml]]-Table3.110[[#This Row],[Gas 0h, ml]]</f>
        <v>38</v>
      </c>
      <c r="AF812" s="94">
        <f>Table3.110[[#This Row],[Gas 24h, ml]]-Table3.110[[#This Row],[V8 Push back, ml]]</f>
        <v>45</v>
      </c>
      <c r="AG812" s="94">
        <f>Table3.110[[#This Row],[GP 8h, ml]]-(AVERAGE(AE$790,AE$791,AE$840,AE$841,AE$860,AE$861))*$AG$8</f>
        <v>36.819990991876054</v>
      </c>
      <c r="AH812" s="94">
        <f>Table3.110[[#This Row],[GP 8-24h, ml]]-(AVERAGE(AF$790,AF$791,AF$840,AF$841,AF$860,AF$861))*$AG$8</f>
        <v>42.123728042697877</v>
      </c>
      <c r="AI812" s="94">
        <f>Table3.110[[#This Row],[Net gas 8-24h, ml]]+Table3.110[[#This Row],[Net gas 8h, ml]]</f>
        <v>78.943719034573931</v>
      </c>
      <c r="AJ812" s="94">
        <f>Table3.110[[#This Row],[Net gas 8h, ml]]*Table3.110[[#This Row],[CH4 8h %]]%</f>
        <v>4.9706987839032672</v>
      </c>
      <c r="AK812" s="94">
        <f>Table3.110[[#This Row],[Net gas 8-24h, ml]]*Table3.110[[#This Row],[CH4 24h, %]]%</f>
        <v>6.6555490307462648</v>
      </c>
      <c r="AL812" s="94">
        <f>Table3.110[[#This Row],[CH4 8-24h, ml]]+Table3.110[[#This Row],[CH4 8h, ml]]</f>
        <v>11.626247814649531</v>
      </c>
      <c r="AM812" s="94">
        <f>(Table3.110[[#This Row],[Net gas 24h, ml]]/Table3.110[[#This Row],[DM Incubated, mg]])*1000</f>
        <v>170.52300946951382</v>
      </c>
      <c r="AN812" s="94">
        <f>'3.2 Digest'!X812</f>
        <v>46.711369884024478</v>
      </c>
      <c r="AO812" s="94">
        <f>Table3.110[[#This Row],[Digested feed, mg]]/Table3.110[[#This Row],[Net gas 24h, ml]]</f>
        <v>2.7393001114242921</v>
      </c>
      <c r="AP812" s="94">
        <f>Table3.110[[#This Row],[CH4 8h, ml]]/Table3.110[[#This Row],[Net gas 8h, ml]]%</f>
        <v>13.5</v>
      </c>
      <c r="AQ812" s="94">
        <f>Table3.110[[#This Row],[CH4 24h, ml]]/Table3.110[[#This Row],[Net gas 24h, ml]]%</f>
        <v>14.72726134115589</v>
      </c>
      <c r="AR812" s="94">
        <f>Table3.110[[#This Row],[CH4 24h, ml]]/Table3.110[[#This Row],[DM Incubated, mg]]*1000</f>
        <v>25.113369251379307</v>
      </c>
      <c r="AS812" s="94">
        <f>Table3.110[[#This Row],[CH4 24h, ml]]/Table3.110[[#This Row],[Digested feed, mg]]*1000</f>
        <v>53.762861833705728</v>
      </c>
      <c r="AT812" s="94">
        <f>Table3.110[[#This Row],[CH4 24h, ml]]/'3.2 Digest'!AA812</f>
        <v>-0.67992241223807182</v>
      </c>
      <c r="AU812" s="94">
        <f>((Table3.110[[#This Row],[CH4 24h, ml]]/28.9)*16.04)/Table3.110[[#This Row],[DM Incubated, mg]]*1000</f>
        <v>13.938354421872807</v>
      </c>
      <c r="AV812" s="94">
        <f>((Table3.110[[#This Row],[CH4 24h, ml]]/28.9)*16.04)/Table3.110[[#This Row],[Digested feed, mg]]*1000</f>
        <v>29.839318471025599</v>
      </c>
    </row>
    <row r="813" spans="2:48" s="89" customFormat="1" x14ac:dyDescent="0.35">
      <c r="B813" s="90">
        <f t="shared" si="12"/>
        <v>803</v>
      </c>
      <c r="C813" s="140">
        <v>46055</v>
      </c>
      <c r="D813" s="6" t="s">
        <v>16</v>
      </c>
      <c r="E813" s="6" t="s">
        <v>343</v>
      </c>
      <c r="F813" s="6" t="s">
        <v>212</v>
      </c>
      <c r="G813" s="6" t="s">
        <v>301</v>
      </c>
      <c r="H813" s="6" t="s">
        <v>302</v>
      </c>
      <c r="I813" s="6" t="s">
        <v>22</v>
      </c>
      <c r="J813" s="129" t="s">
        <v>23</v>
      </c>
      <c r="K813" s="129" t="s">
        <v>303</v>
      </c>
      <c r="L813" s="6" t="s">
        <v>342</v>
      </c>
      <c r="M813" s="93">
        <v>29</v>
      </c>
      <c r="N813" s="93">
        <v>62</v>
      </c>
      <c r="O813" s="6">
        <v>1</v>
      </c>
      <c r="P813" s="129">
        <v>1</v>
      </c>
      <c r="Q813" s="6">
        <v>114</v>
      </c>
      <c r="R813" s="98">
        <v>0.50049999999999994</v>
      </c>
      <c r="S813" s="94">
        <f>((Table3.110[[#This Row],[Sample weight, g]]*'2.1. DM'!Q211)/100)*1000</f>
        <v>463.29153796740684</v>
      </c>
      <c r="T813" s="94">
        <f>'3.2 Digest'!W813</f>
        <v>127.59153796740685</v>
      </c>
      <c r="U813" s="117">
        <v>0.37083333333333335</v>
      </c>
      <c r="V813" s="155">
        <v>41</v>
      </c>
      <c r="W813" s="117">
        <v>0.71180555555555558</v>
      </c>
      <c r="X813" s="97">
        <v>77.5</v>
      </c>
      <c r="Y813" s="97">
        <v>13.5</v>
      </c>
      <c r="Z813" s="155">
        <v>40.5</v>
      </c>
      <c r="AA813" s="117">
        <v>0.38819444444444445</v>
      </c>
      <c r="AB813" s="155">
        <v>77.5</v>
      </c>
      <c r="AC813" s="155">
        <v>16.7</v>
      </c>
      <c r="AD813" s="96"/>
      <c r="AE813" s="94">
        <f>Table3.110[[#This Row],[Gas 8h, ml]]-Table3.110[[#This Row],[Gas 0h, ml]]</f>
        <v>36.5</v>
      </c>
      <c r="AF813" s="94">
        <f>Table3.110[[#This Row],[Gas 24h, ml]]-Table3.110[[#This Row],[V8 Push back, ml]]</f>
        <v>37</v>
      </c>
      <c r="AG813" s="94">
        <f>Table3.110[[#This Row],[GP 8h, ml]]-(AVERAGE(AE$790,AE$791,AE$840,AE$841,AE$860,AE$861))*$AG$8</f>
        <v>35.319990991876054</v>
      </c>
      <c r="AH813" s="94">
        <f>Table3.110[[#This Row],[GP 8-24h, ml]]-(AVERAGE(AF$790,AF$791,AF$840,AF$841,AF$860,AF$861))*$AG$8</f>
        <v>34.123728042697877</v>
      </c>
      <c r="AI813" s="94">
        <f>Table3.110[[#This Row],[Net gas 8-24h, ml]]+Table3.110[[#This Row],[Net gas 8h, ml]]</f>
        <v>69.443719034573931</v>
      </c>
      <c r="AJ813" s="94">
        <f>Table3.110[[#This Row],[Net gas 8h, ml]]*Table3.110[[#This Row],[CH4 8h %]]%</f>
        <v>4.7681987839032676</v>
      </c>
      <c r="AK813" s="94">
        <f>Table3.110[[#This Row],[Net gas 8-24h, ml]]*Table3.110[[#This Row],[CH4 24h, %]]%</f>
        <v>5.6986625831305444</v>
      </c>
      <c r="AL813" s="94">
        <f>Table3.110[[#This Row],[CH4 8-24h, ml]]+Table3.110[[#This Row],[CH4 8h, ml]]</f>
        <v>10.466861367033811</v>
      </c>
      <c r="AM813" s="94">
        <f>(Table3.110[[#This Row],[Net gas 24h, ml]]/Table3.110[[#This Row],[DM Incubated, mg]])*1000</f>
        <v>149.89205142671824</v>
      </c>
      <c r="AN813" s="94">
        <f>'3.2 Digest'!X813</f>
        <v>27.540226296208132</v>
      </c>
      <c r="AO813" s="94">
        <f>Table3.110[[#This Row],[Digested feed, mg]]/Table3.110[[#This Row],[Net gas 24h, ml]]</f>
        <v>1.8373373393766954</v>
      </c>
      <c r="AP813" s="94">
        <f>Table3.110[[#This Row],[CH4 8h, ml]]/Table3.110[[#This Row],[Net gas 8h, ml]]%</f>
        <v>13.5</v>
      </c>
      <c r="AQ813" s="94">
        <f>Table3.110[[#This Row],[CH4 24h, ml]]/Table3.110[[#This Row],[Net gas 24h, ml]]%</f>
        <v>15.072437813739031</v>
      </c>
      <c r="AR813" s="94">
        <f>Table3.110[[#This Row],[CH4 24h, ml]]/Table3.110[[#This Row],[DM Incubated, mg]]*1000</f>
        <v>22.592386239029835</v>
      </c>
      <c r="AS813" s="94">
        <f>Table3.110[[#This Row],[CH4 24h, ml]]/Table3.110[[#This Row],[Digested feed, mg]]*1000</f>
        <v>82.034134346021929</v>
      </c>
      <c r="AT813" s="94">
        <f>Table3.110[[#This Row],[CH4 24h, ml]]/'3.2 Digest'!AA813</f>
        <v>-0.4929876089141727</v>
      </c>
      <c r="AU813" s="94">
        <f>((Table3.110[[#This Row],[CH4 24h, ml]]/28.9)*16.04)/Table3.110[[#This Row],[DM Incubated, mg]]*1000</f>
        <v>12.539165234395799</v>
      </c>
      <c r="AV813" s="94">
        <f>((Table3.110[[#This Row],[CH4 24h, ml]]/28.9)*16.04)/Table3.110[[#This Row],[Digested feed, mg]]*1000</f>
        <v>45.530363837722895</v>
      </c>
    </row>
    <row r="814" spans="2:48" s="89" customFormat="1" x14ac:dyDescent="0.35">
      <c r="B814" s="90">
        <f t="shared" si="12"/>
        <v>804</v>
      </c>
      <c r="C814" s="140">
        <v>46055</v>
      </c>
      <c r="D814" s="6" t="s">
        <v>16</v>
      </c>
      <c r="E814" s="6" t="s">
        <v>343</v>
      </c>
      <c r="F814" s="6" t="s">
        <v>212</v>
      </c>
      <c r="G814" s="6" t="s">
        <v>301</v>
      </c>
      <c r="H814" s="6" t="s">
        <v>302</v>
      </c>
      <c r="I814" s="6" t="s">
        <v>22</v>
      </c>
      <c r="J814" s="129" t="s">
        <v>23</v>
      </c>
      <c r="K814" s="129" t="s">
        <v>303</v>
      </c>
      <c r="L814" s="6" t="s">
        <v>342</v>
      </c>
      <c r="M814" s="93">
        <v>29</v>
      </c>
      <c r="N814" s="93">
        <v>62</v>
      </c>
      <c r="O814" s="6">
        <v>1</v>
      </c>
      <c r="P814" s="129">
        <v>2</v>
      </c>
      <c r="Q814" s="6">
        <v>115</v>
      </c>
      <c r="R814" s="98">
        <v>0.50060000000000004</v>
      </c>
      <c r="S814" s="94">
        <f>((Table3.110[[#This Row],[Sample weight, g]]*'2.1. DM'!Q211)/100)*1000</f>
        <v>463.38410370925857</v>
      </c>
      <c r="T814" s="94">
        <f>'3.2 Digest'!W814</f>
        <v>194.48410370925865</v>
      </c>
      <c r="U814" s="153">
        <v>0.37083333333333335</v>
      </c>
      <c r="V814" s="154">
        <v>41</v>
      </c>
      <c r="W814" s="153">
        <v>0.71180555555555558</v>
      </c>
      <c r="X814" s="95">
        <v>78</v>
      </c>
      <c r="Y814" s="95">
        <v>13.6</v>
      </c>
      <c r="Z814" s="154">
        <v>40</v>
      </c>
      <c r="AA814" s="153">
        <v>0.38819444444444445</v>
      </c>
      <c r="AB814" s="154">
        <v>76.5</v>
      </c>
      <c r="AC814" s="154">
        <v>16.899999999999999</v>
      </c>
      <c r="AD814" s="91"/>
      <c r="AE814" s="94">
        <f>Table3.110[[#This Row],[Gas 8h, ml]]-Table3.110[[#This Row],[Gas 0h, ml]]</f>
        <v>37</v>
      </c>
      <c r="AF814" s="94">
        <f>Table3.110[[#This Row],[Gas 24h, ml]]-Table3.110[[#This Row],[V8 Push back, ml]]</f>
        <v>36.5</v>
      </c>
      <c r="AG814" s="94">
        <f>Table3.110[[#This Row],[GP 8h, ml]]-(AVERAGE(AE$790,AE$791,AE$840,AE$841,AE$860,AE$861))*$AG$8</f>
        <v>35.819990991876054</v>
      </c>
      <c r="AH814" s="94">
        <f>Table3.110[[#This Row],[GP 8-24h, ml]]-(AVERAGE(AF$790,AF$791,AF$840,AF$841,AF$860,AF$861))*$AG$8</f>
        <v>33.623728042697877</v>
      </c>
      <c r="AI814" s="94">
        <f>Table3.110[[#This Row],[Net gas 8-24h, ml]]+Table3.110[[#This Row],[Net gas 8h, ml]]</f>
        <v>69.443719034573931</v>
      </c>
      <c r="AJ814" s="94">
        <f>Table3.110[[#This Row],[Net gas 8h, ml]]*Table3.110[[#This Row],[CH4 8h %]]%</f>
        <v>4.8715187748951436</v>
      </c>
      <c r="AK814" s="94">
        <f>Table3.110[[#This Row],[Net gas 8-24h, ml]]*Table3.110[[#This Row],[CH4 24h, %]]%</f>
        <v>5.6824100392159407</v>
      </c>
      <c r="AL814" s="94">
        <f>Table3.110[[#This Row],[CH4 8-24h, ml]]+Table3.110[[#This Row],[CH4 8h, ml]]</f>
        <v>10.553928814111085</v>
      </c>
      <c r="AM814" s="94">
        <f>(Table3.110[[#This Row],[Net gas 24h, ml]]/Table3.110[[#This Row],[DM Incubated, mg]])*1000</f>
        <v>149.86210894740805</v>
      </c>
      <c r="AN814" s="94">
        <f>'3.2 Digest'!X814</f>
        <v>41.970387450166818</v>
      </c>
      <c r="AO814" s="94">
        <f>Table3.110[[#This Row],[Digested feed, mg]]/Table3.110[[#This Row],[Net gas 24h, ml]]</f>
        <v>2.8006003482104824</v>
      </c>
      <c r="AP814" s="94">
        <f>Table3.110[[#This Row],[CH4 8h, ml]]/Table3.110[[#This Row],[Net gas 8h, ml]]%</f>
        <v>13.6</v>
      </c>
      <c r="AQ814" s="94">
        <f>Table3.110[[#This Row],[CH4 24h, ml]]/Table3.110[[#This Row],[Net gas 24h, ml]]%</f>
        <v>15.197816247221152</v>
      </c>
      <c r="AR814" s="94">
        <f>Table3.110[[#This Row],[CH4 24h, ml]]/Table3.110[[#This Row],[DM Incubated, mg]]*1000</f>
        <v>22.775767942037444</v>
      </c>
      <c r="AS814" s="94">
        <f>Table3.110[[#This Row],[CH4 24h, ml]]/Table3.110[[#This Row],[Digested feed, mg]]*1000</f>
        <v>54.266279931487546</v>
      </c>
      <c r="AT814" s="94">
        <f>Table3.110[[#This Row],[CH4 24h, ml]]/'3.2 Digest'!AA814</f>
        <v>3.6250080610138031</v>
      </c>
      <c r="AU814" s="94">
        <f>((Table3.110[[#This Row],[CH4 24h, ml]]/28.9)*16.04)/Table3.110[[#This Row],[DM Incubated, mg]]*1000</f>
        <v>12.640945252258845</v>
      </c>
      <c r="AV814" s="94">
        <f>((Table3.110[[#This Row],[CH4 24h, ml]]/28.9)*16.04)/Table3.110[[#This Row],[Digested feed, mg]]*1000</f>
        <v>30.118724224950181</v>
      </c>
    </row>
    <row r="815" spans="2:48" s="89" customFormat="1" x14ac:dyDescent="0.35">
      <c r="B815" s="90">
        <f t="shared" si="12"/>
        <v>805</v>
      </c>
      <c r="C815" s="140">
        <v>46055</v>
      </c>
      <c r="D815" s="6" t="s">
        <v>16</v>
      </c>
      <c r="E815" s="6" t="s">
        <v>343</v>
      </c>
      <c r="F815" s="6" t="s">
        <v>212</v>
      </c>
      <c r="G815" s="6" t="s">
        <v>301</v>
      </c>
      <c r="H815" s="6" t="s">
        <v>302</v>
      </c>
      <c r="I815" s="6" t="s">
        <v>22</v>
      </c>
      <c r="J815" s="129" t="s">
        <v>23</v>
      </c>
      <c r="K815" s="129" t="s">
        <v>303</v>
      </c>
      <c r="L815" s="6" t="s">
        <v>342</v>
      </c>
      <c r="M815" s="93">
        <v>29</v>
      </c>
      <c r="N815" s="93">
        <v>62</v>
      </c>
      <c r="O815" s="6">
        <v>1</v>
      </c>
      <c r="P815" s="129">
        <v>3</v>
      </c>
      <c r="Q815" s="6">
        <v>116</v>
      </c>
      <c r="R815" s="98">
        <v>0.50019999999999998</v>
      </c>
      <c r="S815" s="94">
        <f>((Table3.110[[#This Row],[Sample weight, g]]*'2.1. DM'!Q211)/100)*1000</f>
        <v>463.01384074185205</v>
      </c>
      <c r="T815" s="94">
        <f>'3.2 Digest'!W815</f>
        <v>179.81384074185206</v>
      </c>
      <c r="U815" s="117">
        <v>0.37152777777777779</v>
      </c>
      <c r="V815" s="155">
        <v>40.5</v>
      </c>
      <c r="W815" s="117">
        <v>0.71250000000000002</v>
      </c>
      <c r="X815" s="97">
        <v>77</v>
      </c>
      <c r="Y815" s="97">
        <v>13.6</v>
      </c>
      <c r="Z815" s="155">
        <v>40</v>
      </c>
      <c r="AA815" s="117">
        <v>0.3888888888888889</v>
      </c>
      <c r="AB815" s="155">
        <v>77.5</v>
      </c>
      <c r="AC815" s="155">
        <v>17</v>
      </c>
      <c r="AD815" s="96"/>
      <c r="AE815" s="94">
        <f>Table3.110[[#This Row],[Gas 8h, ml]]-Table3.110[[#This Row],[Gas 0h, ml]]</f>
        <v>36.5</v>
      </c>
      <c r="AF815" s="94">
        <f>Table3.110[[#This Row],[Gas 24h, ml]]-Table3.110[[#This Row],[V8 Push back, ml]]</f>
        <v>37.5</v>
      </c>
      <c r="AG815" s="94">
        <f>Table3.110[[#This Row],[GP 8h, ml]]-(AVERAGE(AE$790,AE$791,AE$840,AE$841,AE$860,AE$861))*$AG$8</f>
        <v>35.319990991876054</v>
      </c>
      <c r="AH815" s="94">
        <f>Table3.110[[#This Row],[GP 8-24h, ml]]-(AVERAGE(AF$790,AF$791,AF$840,AF$841,AF$860,AF$861))*$AG$8</f>
        <v>34.623728042697877</v>
      </c>
      <c r="AI815" s="94">
        <f>Table3.110[[#This Row],[Net gas 8-24h, ml]]+Table3.110[[#This Row],[Net gas 8h, ml]]</f>
        <v>69.943719034573931</v>
      </c>
      <c r="AJ815" s="94">
        <f>Table3.110[[#This Row],[Net gas 8h, ml]]*Table3.110[[#This Row],[CH4 8h %]]%</f>
        <v>4.803518774895144</v>
      </c>
      <c r="AK815" s="94">
        <f>Table3.110[[#This Row],[Net gas 8-24h, ml]]*Table3.110[[#This Row],[CH4 24h, %]]%</f>
        <v>5.8860337672586391</v>
      </c>
      <c r="AL815" s="94">
        <f>Table3.110[[#This Row],[CH4 8-24h, ml]]+Table3.110[[#This Row],[CH4 8h, ml]]</f>
        <v>10.689552542153784</v>
      </c>
      <c r="AM815" s="94">
        <f>(Table3.110[[#This Row],[Net gas 24h, ml]]/Table3.110[[#This Row],[DM Incubated, mg]])*1000</f>
        <v>151.06183202322504</v>
      </c>
      <c r="AN815" s="94">
        <f>'3.2 Digest'!X815</f>
        <v>38.835521731650601</v>
      </c>
      <c r="AO815" s="94">
        <f>Table3.110[[#This Row],[Digested feed, mg]]/Table3.110[[#This Row],[Net gas 24h, ml]]</f>
        <v>2.5708361411689897</v>
      </c>
      <c r="AP815" s="94">
        <f>Table3.110[[#This Row],[CH4 8h, ml]]/Table3.110[[#This Row],[Net gas 8h, ml]]%</f>
        <v>13.600000000000001</v>
      </c>
      <c r="AQ815" s="94">
        <f>Table3.110[[#This Row],[CH4 24h, ml]]/Table3.110[[#This Row],[Net gas 24h, ml]]%</f>
        <v>15.283077150744335</v>
      </c>
      <c r="AR815" s="94">
        <f>Table3.110[[#This Row],[CH4 24h, ml]]/Table3.110[[#This Row],[DM Incubated, mg]]*1000</f>
        <v>23.086896333437295</v>
      </c>
      <c r="AS815" s="94">
        <f>Table3.110[[#This Row],[CH4 24h, ml]]/Table3.110[[#This Row],[Digested feed, mg]]*1000</f>
        <v>59.447885090781931</v>
      </c>
      <c r="AT815" s="94">
        <f>Table3.110[[#This Row],[CH4 24h, ml]]/'3.2 Digest'!AA815</f>
        <v>-4.5809483892423444</v>
      </c>
      <c r="AU815" s="94">
        <f>((Table3.110[[#This Row],[CH4 24h, ml]]/28.9)*16.04)/Table3.110[[#This Row],[DM Incubated, mg]]*1000</f>
        <v>12.813626892329902</v>
      </c>
      <c r="AV815" s="94">
        <f>((Table3.110[[#This Row],[CH4 24h, ml]]/28.9)*16.04)/Table3.110[[#This Row],[Digested feed, mg]]*1000</f>
        <v>32.994604735506648</v>
      </c>
    </row>
    <row r="816" spans="2:48" s="89" customFormat="1" x14ac:dyDescent="0.35">
      <c r="B816" s="90">
        <f t="shared" si="12"/>
        <v>806</v>
      </c>
      <c r="C816" s="140">
        <v>46055</v>
      </c>
      <c r="D816" s="6" t="s">
        <v>16</v>
      </c>
      <c r="E816" s="6" t="s">
        <v>345</v>
      </c>
      <c r="F816" s="6" t="s">
        <v>346</v>
      </c>
      <c r="G816" s="6" t="s">
        <v>347</v>
      </c>
      <c r="H816" s="6" t="s">
        <v>348</v>
      </c>
      <c r="I816" s="6" t="s">
        <v>22</v>
      </c>
      <c r="J816" s="129" t="s">
        <v>23</v>
      </c>
      <c r="K816" s="129" t="s">
        <v>303</v>
      </c>
      <c r="L816" s="6" t="s">
        <v>344</v>
      </c>
      <c r="M816" s="93">
        <v>29</v>
      </c>
      <c r="N816" s="93">
        <v>62</v>
      </c>
      <c r="O816" s="6">
        <v>1</v>
      </c>
      <c r="P816" s="6">
        <v>1</v>
      </c>
      <c r="Q816" s="6">
        <v>117</v>
      </c>
      <c r="R816" s="98">
        <v>0.50029999999999997</v>
      </c>
      <c r="S816" s="94">
        <f>((Table3.110[[#This Row],[Sample weight, g]]*'2.1. DM'!Q213)/100)*1000</f>
        <v>464.31598983951358</v>
      </c>
      <c r="T816" s="94">
        <f>'3.2 Digest'!W816</f>
        <v>86.9159898395136</v>
      </c>
      <c r="U816" s="153">
        <v>0.37152777777777779</v>
      </c>
      <c r="V816" s="154">
        <v>40.5</v>
      </c>
      <c r="W816" s="153">
        <v>0.71250000000000002</v>
      </c>
      <c r="X816" s="95">
        <v>66</v>
      </c>
      <c r="Y816" s="95">
        <v>12.8</v>
      </c>
      <c r="Z816" s="154">
        <v>40</v>
      </c>
      <c r="AA816" s="153">
        <v>0.3888888888888889</v>
      </c>
      <c r="AB816" s="154">
        <v>75.5</v>
      </c>
      <c r="AC816" s="154">
        <v>15.2</v>
      </c>
      <c r="AD816" s="91"/>
      <c r="AE816" s="94">
        <f>Table3.110[[#This Row],[Gas 8h, ml]]-Table3.110[[#This Row],[Gas 0h, ml]]</f>
        <v>25.5</v>
      </c>
      <c r="AF816" s="94">
        <f>Table3.110[[#This Row],[Gas 24h, ml]]-Table3.110[[#This Row],[V8 Push back, ml]]</f>
        <v>35.5</v>
      </c>
      <c r="AG816" s="94">
        <f>Table3.110[[#This Row],[GP 8h, ml]]-(AVERAGE(AE$790,AE$791,AE$840,AE$841,AE$860,AE$861))*$AG$8</f>
        <v>24.31999099187605</v>
      </c>
      <c r="AH816" s="94">
        <f>Table3.110[[#This Row],[GP 8-24h, ml]]-(AVERAGE(AF$790,AF$791,AF$840,AF$841,AF$860,AF$861))*$AG$8</f>
        <v>32.623728042697877</v>
      </c>
      <c r="AI816" s="94">
        <f>Table3.110[[#This Row],[Net gas 8-24h, ml]]+Table3.110[[#This Row],[Net gas 8h, ml]]</f>
        <v>56.943719034573931</v>
      </c>
      <c r="AJ816" s="94">
        <f>Table3.110[[#This Row],[Net gas 8h, ml]]*Table3.110[[#This Row],[CH4 8h %]]%</f>
        <v>3.1129588469601344</v>
      </c>
      <c r="AK816" s="94">
        <f>Table3.110[[#This Row],[Net gas 8-24h, ml]]*Table3.110[[#This Row],[CH4 24h, %]]%</f>
        <v>4.9588066624900771</v>
      </c>
      <c r="AL816" s="94">
        <f>Table3.110[[#This Row],[CH4 8-24h, ml]]+Table3.110[[#This Row],[CH4 8h, ml]]</f>
        <v>8.071765509450211</v>
      </c>
      <c r="AM816" s="94">
        <f>(Table3.110[[#This Row],[Net gas 24h, ml]]/Table3.110[[#This Row],[DM Incubated, mg]])*1000</f>
        <v>122.64001300979531</v>
      </c>
      <c r="AN816" s="94">
        <f>'3.2 Digest'!X816</f>
        <v>18.719146387690692</v>
      </c>
      <c r="AO816" s="94">
        <f>Table3.110[[#This Row],[Digested feed, mg]]/Table3.110[[#This Row],[Net gas 24h, ml]]</f>
        <v>1.5263490216847571</v>
      </c>
      <c r="AP816" s="94">
        <f>Table3.110[[#This Row],[CH4 8h, ml]]/Table3.110[[#This Row],[Net gas 8h, ml]]%</f>
        <v>12.799999999999999</v>
      </c>
      <c r="AQ816" s="94">
        <f>Table3.110[[#This Row],[CH4 24h, ml]]/Table3.110[[#This Row],[Net gas 24h, ml]]%</f>
        <v>14.174988297742477</v>
      </c>
      <c r="AR816" s="94">
        <f>Table3.110[[#This Row],[CH4 24h, ml]]/Table3.110[[#This Row],[DM Incubated, mg]]*1000</f>
        <v>17.384207492488336</v>
      </c>
      <c r="AS816" s="94">
        <f>Table3.110[[#This Row],[CH4 24h, ml]]/Table3.110[[#This Row],[Digested feed, mg]]*1000</f>
        <v>92.868590973356646</v>
      </c>
      <c r="AT816" s="94">
        <f>Table3.110[[#This Row],[CH4 24h, ml]]/'3.2 Digest'!AA816</f>
        <v>-0.1873025340220803</v>
      </c>
      <c r="AU816" s="94">
        <f>((Table3.110[[#This Row],[CH4 24h, ml]]/28.9)*16.04)/Table3.110[[#This Row],[DM Incubated, mg]]*1000</f>
        <v>9.6485359231665395</v>
      </c>
      <c r="AV816" s="94">
        <f>((Table3.110[[#This Row],[CH4 24h, ml]]/28.9)*16.04)/Table3.110[[#This Row],[Digested feed, mg]]*1000</f>
        <v>51.543674713240165</v>
      </c>
    </row>
    <row r="817" spans="1:48" s="89" customFormat="1" x14ac:dyDescent="0.35">
      <c r="B817" s="90">
        <f t="shared" si="12"/>
        <v>807</v>
      </c>
      <c r="C817" s="140">
        <v>46055</v>
      </c>
      <c r="D817" s="6" t="s">
        <v>16</v>
      </c>
      <c r="E817" s="6" t="s">
        <v>345</v>
      </c>
      <c r="F817" s="6" t="s">
        <v>346</v>
      </c>
      <c r="G817" s="6" t="s">
        <v>347</v>
      </c>
      <c r="H817" s="6" t="s">
        <v>348</v>
      </c>
      <c r="I817" s="6" t="s">
        <v>22</v>
      </c>
      <c r="J817" s="129" t="s">
        <v>23</v>
      </c>
      <c r="K817" s="129" t="s">
        <v>303</v>
      </c>
      <c r="L817" s="6" t="s">
        <v>344</v>
      </c>
      <c r="M817" s="93">
        <v>29</v>
      </c>
      <c r="N817" s="93">
        <v>62</v>
      </c>
      <c r="O817" s="6">
        <v>1</v>
      </c>
      <c r="P817" s="129">
        <v>2</v>
      </c>
      <c r="Q817" s="6">
        <v>118</v>
      </c>
      <c r="R817" s="98">
        <v>0.50039999999999996</v>
      </c>
      <c r="S817" s="94">
        <f>((Table3.110[[#This Row],[Sample weight, g]]*'2.1. DM'!Q213)/100)*1000</f>
        <v>464.40879735297335</v>
      </c>
      <c r="T817" s="94">
        <f>'3.2 Digest'!W817</f>
        <v>198.40879735297347</v>
      </c>
      <c r="U817" s="117">
        <v>0.37152777777777779</v>
      </c>
      <c r="V817" s="155">
        <v>41</v>
      </c>
      <c r="W817" s="117">
        <v>0.71319444444444446</v>
      </c>
      <c r="X817" s="97">
        <v>66.5</v>
      </c>
      <c r="Y817" s="97">
        <v>12.2</v>
      </c>
      <c r="Z817" s="155">
        <v>39.5</v>
      </c>
      <c r="AA817" s="117">
        <v>0.38958333333333334</v>
      </c>
      <c r="AB817" s="155">
        <v>74</v>
      </c>
      <c r="AC817" s="155">
        <v>15.1</v>
      </c>
      <c r="AD817" s="96"/>
      <c r="AE817" s="94">
        <f>Table3.110[[#This Row],[Gas 8h, ml]]-Table3.110[[#This Row],[Gas 0h, ml]]</f>
        <v>25.5</v>
      </c>
      <c r="AF817" s="94">
        <f>Table3.110[[#This Row],[Gas 24h, ml]]-Table3.110[[#This Row],[V8 Push back, ml]]</f>
        <v>34.5</v>
      </c>
      <c r="AG817" s="94">
        <f>Table3.110[[#This Row],[GP 8h, ml]]-(AVERAGE(AE$790,AE$791,AE$840,AE$841,AE$860,AE$861))*$AG$8</f>
        <v>24.31999099187605</v>
      </c>
      <c r="AH817" s="94">
        <f>Table3.110[[#This Row],[GP 8-24h, ml]]-(AVERAGE(AF$790,AF$791,AF$840,AF$841,AF$860,AF$861))*$AG$8</f>
        <v>31.623728042697874</v>
      </c>
      <c r="AI817" s="94">
        <f>Table3.110[[#This Row],[Net gas 8-24h, ml]]+Table3.110[[#This Row],[Net gas 8h, ml]]</f>
        <v>55.943719034573924</v>
      </c>
      <c r="AJ817" s="94">
        <f>Table3.110[[#This Row],[Net gas 8h, ml]]*Table3.110[[#This Row],[CH4 8h %]]%</f>
        <v>2.9670389010088782</v>
      </c>
      <c r="AK817" s="94">
        <f>Table3.110[[#This Row],[Net gas 8-24h, ml]]*Table3.110[[#This Row],[CH4 24h, %]]%</f>
        <v>4.7751829344473791</v>
      </c>
      <c r="AL817" s="94">
        <f>Table3.110[[#This Row],[CH4 8-24h, ml]]+Table3.110[[#This Row],[CH4 8h, ml]]</f>
        <v>7.7422218354562578</v>
      </c>
      <c r="AM817" s="94">
        <f>(Table3.110[[#This Row],[Net gas 24h, ml]]/Table3.110[[#This Row],[DM Incubated, mg]])*1000</f>
        <v>120.46222929763746</v>
      </c>
      <c r="AN817" s="94">
        <f>'3.2 Digest'!X817</f>
        <v>42.722876587148953</v>
      </c>
      <c r="AO817" s="94">
        <f>Table3.110[[#This Row],[Digested feed, mg]]/Table3.110[[#This Row],[Net gas 24h, ml]]</f>
        <v>3.5465786110922357</v>
      </c>
      <c r="AP817" s="94">
        <f>Table3.110[[#This Row],[CH4 8h, ml]]/Table3.110[[#This Row],[Net gas 8h, ml]]%</f>
        <v>12.200000000000001</v>
      </c>
      <c r="AQ817" s="94">
        <f>Table3.110[[#This Row],[CH4 24h, ml]]/Table3.110[[#This Row],[Net gas 24h, ml]]%</f>
        <v>13.839304874728594</v>
      </c>
      <c r="AR817" s="94">
        <f>Table3.110[[#This Row],[CH4 24h, ml]]/Table3.110[[#This Row],[DM Incubated, mg]]*1000</f>
        <v>16.671135171394681</v>
      </c>
      <c r="AS817" s="94">
        <f>Table3.110[[#This Row],[CH4 24h, ml]]/Table3.110[[#This Row],[Digested feed, mg]]*1000</f>
        <v>39.021565267001144</v>
      </c>
      <c r="AT817" s="94">
        <f>Table3.110[[#This Row],[CH4 24h, ml]]/'3.2 Digest'!AA817</f>
        <v>-9.2579727546002299</v>
      </c>
      <c r="AU817" s="94">
        <f>((Table3.110[[#This Row],[CH4 24h, ml]]/28.9)*16.04)/Table3.110[[#This Row],[DM Incubated, mg]]*1000</f>
        <v>9.2527684480681884</v>
      </c>
      <c r="AV817" s="94">
        <f>((Table3.110[[#This Row],[CH4 24h, ml]]/28.9)*16.04)/Table3.110[[#This Row],[Digested feed, mg]]*1000</f>
        <v>21.65764383677157</v>
      </c>
    </row>
    <row r="818" spans="1:48" s="89" customFormat="1" x14ac:dyDescent="0.35">
      <c r="B818" s="90">
        <f t="shared" si="12"/>
        <v>808</v>
      </c>
      <c r="C818" s="140">
        <v>46055</v>
      </c>
      <c r="D818" s="6" t="s">
        <v>16</v>
      </c>
      <c r="E818" s="6" t="s">
        <v>345</v>
      </c>
      <c r="F818" s="6" t="s">
        <v>346</v>
      </c>
      <c r="G818" s="6" t="s">
        <v>347</v>
      </c>
      <c r="H818" s="6" t="s">
        <v>348</v>
      </c>
      <c r="I818" s="6" t="s">
        <v>22</v>
      </c>
      <c r="J818" s="129" t="s">
        <v>23</v>
      </c>
      <c r="K818" s="129" t="s">
        <v>303</v>
      </c>
      <c r="L818" s="6" t="s">
        <v>344</v>
      </c>
      <c r="M818" s="93">
        <v>29</v>
      </c>
      <c r="N818" s="93">
        <v>62</v>
      </c>
      <c r="O818" s="6">
        <v>1</v>
      </c>
      <c r="P818" s="129">
        <v>3</v>
      </c>
      <c r="Q818" s="6">
        <v>119</v>
      </c>
      <c r="R818" s="98">
        <v>0.50029999999999997</v>
      </c>
      <c r="S818" s="94">
        <f>((Table3.110[[#This Row],[Sample weight, g]]*'2.1. DM'!Q213)/100)*1000</f>
        <v>464.31598983951358</v>
      </c>
      <c r="T818" s="94">
        <f>'3.2 Digest'!W818</f>
        <v>150.91598983951354</v>
      </c>
      <c r="U818" s="153">
        <v>0.37222222222222223</v>
      </c>
      <c r="V818" s="154">
        <v>41</v>
      </c>
      <c r="W818" s="153">
        <v>0.71319444444444446</v>
      </c>
      <c r="X818" s="95">
        <v>67.5</v>
      </c>
      <c r="Y818" s="95">
        <v>12.3</v>
      </c>
      <c r="Z818" s="154">
        <v>40</v>
      </c>
      <c r="AA818" s="153">
        <v>0.38958333333333334</v>
      </c>
      <c r="AB818" s="154">
        <v>73.5</v>
      </c>
      <c r="AC818" s="154">
        <v>15</v>
      </c>
      <c r="AD818" s="91"/>
      <c r="AE818" s="94">
        <f>Table3.110[[#This Row],[Gas 8h, ml]]-Table3.110[[#This Row],[Gas 0h, ml]]</f>
        <v>26.5</v>
      </c>
      <c r="AF818" s="94">
        <f>Table3.110[[#This Row],[Gas 24h, ml]]-Table3.110[[#This Row],[V8 Push back, ml]]</f>
        <v>33.5</v>
      </c>
      <c r="AG818" s="94">
        <f>Table3.110[[#This Row],[GP 8h, ml]]-(AVERAGE(AE$790,AE$791,AE$840,AE$841,AE$860,AE$861))*$AG$8</f>
        <v>25.31999099187605</v>
      </c>
      <c r="AH818" s="94">
        <f>Table3.110[[#This Row],[GP 8-24h, ml]]-(AVERAGE(AF$790,AF$791,AF$840,AF$841,AF$860,AF$861))*$AG$8</f>
        <v>30.623728042697874</v>
      </c>
      <c r="AI818" s="94">
        <f>Table3.110[[#This Row],[Net gas 8-24h, ml]]+Table3.110[[#This Row],[Net gas 8h, ml]]</f>
        <v>55.943719034573924</v>
      </c>
      <c r="AJ818" s="94">
        <f>Table3.110[[#This Row],[Net gas 8h, ml]]*Table3.110[[#This Row],[CH4 8h %]]%</f>
        <v>3.1143588920007543</v>
      </c>
      <c r="AK818" s="94">
        <f>Table3.110[[#This Row],[Net gas 8-24h, ml]]*Table3.110[[#This Row],[CH4 24h, %]]%</f>
        <v>4.5935592064046809</v>
      </c>
      <c r="AL818" s="94">
        <f>Table3.110[[#This Row],[CH4 8-24h, ml]]+Table3.110[[#This Row],[CH4 8h, ml]]</f>
        <v>7.7079180984054352</v>
      </c>
      <c r="AM818" s="94">
        <f>(Table3.110[[#This Row],[Net gas 24h, ml]]/Table3.110[[#This Row],[DM Incubated, mg]])*1000</f>
        <v>120.48630729669755</v>
      </c>
      <c r="AN818" s="94">
        <f>'3.2 Digest'!X818</f>
        <v>32.50286295151632</v>
      </c>
      <c r="AO818" s="94">
        <f>Table3.110[[#This Row],[Digested feed, mg]]/Table3.110[[#This Row],[Net gas 24h, ml]]</f>
        <v>2.6976395642600299</v>
      </c>
      <c r="AP818" s="94">
        <f>Table3.110[[#This Row],[CH4 8h, ml]]/Table3.110[[#This Row],[Net gas 8h, ml]]%</f>
        <v>12.3</v>
      </c>
      <c r="AQ818" s="94">
        <f>Table3.110[[#This Row],[CH4 24h, ml]]/Table3.110[[#This Row],[Net gas 24h, ml]]%</f>
        <v>13.777986575475692</v>
      </c>
      <c r="AR818" s="94">
        <f>Table3.110[[#This Row],[CH4 24h, ml]]/Table3.110[[#This Row],[DM Incubated, mg]]*1000</f>
        <v>16.600587244625377</v>
      </c>
      <c r="AS818" s="94">
        <f>Table3.110[[#This Row],[CH4 24h, ml]]/Table3.110[[#This Row],[Digested feed, mg]]*1000</f>
        <v>51.074230812799613</v>
      </c>
      <c r="AT818" s="94">
        <f>Table3.110[[#This Row],[CH4 24h, ml]]/'3.2 Digest'!AA818</f>
        <v>-0.40937303975801254</v>
      </c>
      <c r="AU818" s="94">
        <f>((Table3.110[[#This Row],[CH4 24h, ml]]/28.9)*16.04)/Table3.110[[#This Row],[DM Incubated, mg]]*1000</f>
        <v>9.21361312815886</v>
      </c>
      <c r="AV818" s="94">
        <f>((Table3.110[[#This Row],[CH4 24h, ml]]/28.9)*16.04)/Table3.110[[#This Row],[Digested feed, mg]]*1000</f>
        <v>28.347081738315076</v>
      </c>
    </row>
    <row r="819" spans="1:48" s="89" customFormat="1" x14ac:dyDescent="0.35">
      <c r="B819" s="90">
        <f t="shared" si="12"/>
        <v>809</v>
      </c>
      <c r="C819" s="140">
        <v>46055</v>
      </c>
      <c r="D819" s="6" t="s">
        <v>16</v>
      </c>
      <c r="E819" s="6" t="s">
        <v>350</v>
      </c>
      <c r="F819" s="6" t="s">
        <v>212</v>
      </c>
      <c r="G819" s="6" t="s">
        <v>351</v>
      </c>
      <c r="H819" s="6" t="s">
        <v>352</v>
      </c>
      <c r="I819" s="6" t="s">
        <v>22</v>
      </c>
      <c r="J819" s="129" t="s">
        <v>23</v>
      </c>
      <c r="K819" s="129" t="s">
        <v>215</v>
      </c>
      <c r="L819" s="6" t="s">
        <v>349</v>
      </c>
      <c r="M819" s="93">
        <v>29</v>
      </c>
      <c r="N819" s="93">
        <v>62</v>
      </c>
      <c r="O819" s="6">
        <v>1</v>
      </c>
      <c r="P819" s="6">
        <v>1</v>
      </c>
      <c r="Q819" s="6">
        <v>120</v>
      </c>
      <c r="R819" s="98">
        <v>0.50060000000000004</v>
      </c>
      <c r="S819" s="94">
        <f>((Table3.110[[#This Row],[Sample weight, g]]*'2.1. DM'!Q215)/100)*1000</f>
        <v>464.38701810282868</v>
      </c>
      <c r="T819" s="94">
        <f>'3.2 Digest'!W819</f>
        <v>202.08701810282861</v>
      </c>
      <c r="U819" s="117">
        <v>0.37291666666666667</v>
      </c>
      <c r="V819" s="155">
        <v>40.5</v>
      </c>
      <c r="W819" s="117">
        <v>0.71319444444444446</v>
      </c>
      <c r="X819" s="97">
        <v>76</v>
      </c>
      <c r="Y819" s="97">
        <v>12.7</v>
      </c>
      <c r="Z819" s="155">
        <v>40</v>
      </c>
      <c r="AA819" s="117">
        <v>0.39027777777777778</v>
      </c>
      <c r="AB819" s="155">
        <v>81</v>
      </c>
      <c r="AC819" s="155">
        <v>16</v>
      </c>
      <c r="AD819" s="96"/>
      <c r="AE819" s="94">
        <f>Table3.110[[#This Row],[Gas 8h, ml]]-Table3.110[[#This Row],[Gas 0h, ml]]</f>
        <v>35.5</v>
      </c>
      <c r="AF819" s="94">
        <f>Table3.110[[#This Row],[Gas 24h, ml]]-Table3.110[[#This Row],[V8 Push back, ml]]</f>
        <v>41</v>
      </c>
      <c r="AG819" s="94">
        <f>Table3.110[[#This Row],[GP 8h, ml]]-(AVERAGE(AE$790,AE$791,AE$840,AE$841,AE$860,AE$861))*$AG$8</f>
        <v>34.319990991876054</v>
      </c>
      <c r="AH819" s="94">
        <f>Table3.110[[#This Row],[GP 8-24h, ml]]-(AVERAGE(AF$790,AF$791,AF$840,AF$841,AF$860,AF$861))*$AG$8</f>
        <v>38.123728042697877</v>
      </c>
      <c r="AI819" s="94">
        <f>Table3.110[[#This Row],[Net gas 8-24h, ml]]+Table3.110[[#This Row],[Net gas 8h, ml]]</f>
        <v>72.443719034573931</v>
      </c>
      <c r="AJ819" s="94">
        <f>Table3.110[[#This Row],[Net gas 8h, ml]]*Table3.110[[#This Row],[CH4 8h %]]%</f>
        <v>4.358638855968259</v>
      </c>
      <c r="AK819" s="94">
        <f>Table3.110[[#This Row],[Net gas 8-24h, ml]]*Table3.110[[#This Row],[CH4 24h, %]]%</f>
        <v>6.0997964868316608</v>
      </c>
      <c r="AL819" s="94">
        <f>Table3.110[[#This Row],[CH4 8-24h, ml]]+Table3.110[[#This Row],[CH4 8h, ml]]</f>
        <v>10.45843534279992</v>
      </c>
      <c r="AM819" s="94">
        <f>(Table3.110[[#This Row],[Net gas 24h, ml]]/Table3.110[[#This Row],[DM Incubated, mg]])*1000</f>
        <v>155.99858783850158</v>
      </c>
      <c r="AN819" s="94">
        <f>'3.2 Digest'!X819</f>
        <v>43.51693958380222</v>
      </c>
      <c r="AO819" s="94">
        <f>Table3.110[[#This Row],[Digested feed, mg]]/Table3.110[[#This Row],[Net gas 24h, ml]]</f>
        <v>2.7895726613149461</v>
      </c>
      <c r="AP819" s="94">
        <f>Table3.110[[#This Row],[CH4 8h, ml]]/Table3.110[[#This Row],[Net gas 8h, ml]]%</f>
        <v>12.700000000000001</v>
      </c>
      <c r="AQ819" s="94">
        <f>Table3.110[[#This Row],[CH4 24h, ml]]/Table3.110[[#This Row],[Net gas 24h, ml]]%</f>
        <v>14.436635062604402</v>
      </c>
      <c r="AR819" s="94">
        <f>Table3.110[[#This Row],[CH4 24h, ml]]/Table3.110[[#This Row],[DM Incubated, mg]]*1000</f>
        <v>22.520946829060843</v>
      </c>
      <c r="AS819" s="94">
        <f>Table3.110[[#This Row],[CH4 24h, ml]]/Table3.110[[#This Row],[Digested feed, mg]]*1000</f>
        <v>51.752138464818749</v>
      </c>
      <c r="AT819" s="94">
        <f>Table3.110[[#This Row],[CH4 24h, ml]]/'3.2 Digest'!AA819</f>
        <v>2.6269618458970756</v>
      </c>
      <c r="AU819" s="94">
        <f>((Table3.110[[#This Row],[CH4 24h, ml]]/28.9)*16.04)/Table3.110[[#This Row],[DM Incubated, mg]]*1000</f>
        <v>12.499515125887056</v>
      </c>
      <c r="AV819" s="94">
        <f>((Table3.110[[#This Row],[CH4 24h, ml]]/28.9)*16.04)/Table3.110[[#This Row],[Digested feed, mg]]*1000</f>
        <v>28.723332213691791</v>
      </c>
    </row>
    <row r="820" spans="1:48" s="89" customFormat="1" x14ac:dyDescent="0.35">
      <c r="B820" s="90">
        <f t="shared" si="12"/>
        <v>810</v>
      </c>
      <c r="C820" s="140">
        <v>46055</v>
      </c>
      <c r="D820" s="6" t="s">
        <v>16</v>
      </c>
      <c r="E820" s="6" t="s">
        <v>350</v>
      </c>
      <c r="F820" s="6" t="s">
        <v>212</v>
      </c>
      <c r="G820" s="6" t="s">
        <v>351</v>
      </c>
      <c r="H820" s="6" t="s">
        <v>352</v>
      </c>
      <c r="I820" s="6" t="s">
        <v>22</v>
      </c>
      <c r="J820" s="129" t="s">
        <v>23</v>
      </c>
      <c r="K820" s="129" t="s">
        <v>215</v>
      </c>
      <c r="L820" s="6" t="s">
        <v>349</v>
      </c>
      <c r="M820" s="93">
        <v>29</v>
      </c>
      <c r="N820" s="93">
        <v>62</v>
      </c>
      <c r="O820" s="6">
        <v>1</v>
      </c>
      <c r="P820" s="129">
        <v>2</v>
      </c>
      <c r="Q820" s="6">
        <v>121</v>
      </c>
      <c r="R820" s="98">
        <v>0.50060000000000004</v>
      </c>
      <c r="S820" s="94">
        <f>((Table3.110[[#This Row],[Sample weight, g]]*'2.1. DM'!Q215)/100)*1000</f>
        <v>464.38701810282868</v>
      </c>
      <c r="T820" s="94">
        <f>'3.2 Digest'!W820</f>
        <v>201.88701810282873</v>
      </c>
      <c r="U820" s="153">
        <v>0.37291666666666667</v>
      </c>
      <c r="V820" s="154">
        <v>40.5</v>
      </c>
      <c r="W820" s="153">
        <v>0.71527777777777779</v>
      </c>
      <c r="X820" s="95">
        <v>76.5</v>
      </c>
      <c r="Y820" s="95">
        <v>12.9</v>
      </c>
      <c r="Z820" s="154">
        <v>40</v>
      </c>
      <c r="AA820" s="153">
        <v>0.39027777777777778</v>
      </c>
      <c r="AB820" s="154">
        <v>81</v>
      </c>
      <c r="AC820" s="154">
        <v>15.9</v>
      </c>
      <c r="AD820" s="91"/>
      <c r="AE820" s="94">
        <f>Table3.110[[#This Row],[Gas 8h, ml]]-Table3.110[[#This Row],[Gas 0h, ml]]</f>
        <v>36</v>
      </c>
      <c r="AF820" s="94">
        <f>Table3.110[[#This Row],[Gas 24h, ml]]-Table3.110[[#This Row],[V8 Push back, ml]]</f>
        <v>41</v>
      </c>
      <c r="AG820" s="94">
        <f>Table3.110[[#This Row],[GP 8h, ml]]-(AVERAGE(AE$790,AE$791,AE$840,AE$841,AE$860,AE$861))*$AG$8</f>
        <v>34.819990991876054</v>
      </c>
      <c r="AH820" s="94">
        <f>Table3.110[[#This Row],[GP 8-24h, ml]]-(AVERAGE(AF$790,AF$791,AF$840,AF$841,AF$860,AF$861))*$AG$8</f>
        <v>38.123728042697877</v>
      </c>
      <c r="AI820" s="94">
        <f>Table3.110[[#This Row],[Net gas 8-24h, ml]]+Table3.110[[#This Row],[Net gas 8h, ml]]</f>
        <v>72.943719034573931</v>
      </c>
      <c r="AJ820" s="94">
        <f>Table3.110[[#This Row],[Net gas 8h, ml]]*Table3.110[[#This Row],[CH4 8h %]]%</f>
        <v>4.4917788379520109</v>
      </c>
      <c r="AK820" s="94">
        <f>Table3.110[[#This Row],[Net gas 8-24h, ml]]*Table3.110[[#This Row],[CH4 24h, %]]%</f>
        <v>6.0616727587889629</v>
      </c>
      <c r="AL820" s="94">
        <f>Table3.110[[#This Row],[CH4 8-24h, ml]]+Table3.110[[#This Row],[CH4 8h, ml]]</f>
        <v>10.553451596740974</v>
      </c>
      <c r="AM820" s="94">
        <f>(Table3.110[[#This Row],[Net gas 24h, ml]]/Table3.110[[#This Row],[DM Incubated, mg]])*1000</f>
        <v>157.07527598978248</v>
      </c>
      <c r="AN820" s="94">
        <f>'3.2 Digest'!X820</f>
        <v>43.473872057751009</v>
      </c>
      <c r="AO820" s="94">
        <f>Table3.110[[#This Row],[Digested feed, mg]]/Table3.110[[#This Row],[Net gas 24h, ml]]</f>
        <v>2.7677094172719401</v>
      </c>
      <c r="AP820" s="94">
        <f>Table3.110[[#This Row],[CH4 8h, ml]]/Table3.110[[#This Row],[Net gas 8h, ml]]%</f>
        <v>12.9</v>
      </c>
      <c r="AQ820" s="94">
        <f>Table3.110[[#This Row],[CH4 24h, ml]]/Table3.110[[#This Row],[Net gas 24h, ml]]%</f>
        <v>14.46793738572452</v>
      </c>
      <c r="AR820" s="94">
        <f>Table3.110[[#This Row],[CH4 24h, ml]]/Table3.110[[#This Row],[DM Incubated, mg]]*1000</f>
        <v>22.725552578655709</v>
      </c>
      <c r="AS820" s="94">
        <f>Table3.110[[#This Row],[CH4 24h, ml]]/Table3.110[[#This Row],[Digested feed, mg]]*1000</f>
        <v>52.274047612936165</v>
      </c>
      <c r="AT820" s="94">
        <f>Table3.110[[#This Row],[CH4 24h, ml]]/'3.2 Digest'!AA820</f>
        <v>2.7004893764450228</v>
      </c>
      <c r="AU820" s="94">
        <f>((Table3.110[[#This Row],[CH4 24h, ml]]/28.9)*16.04)/Table3.110[[#This Row],[DM Incubated, mg]]*1000</f>
        <v>12.613074856804069</v>
      </c>
      <c r="AV820" s="94">
        <f>((Table3.110[[#This Row],[CH4 24h, ml]]/28.9)*16.04)/Table3.110[[#This Row],[Digested feed, mg]]*1000</f>
        <v>29.013000820466988</v>
      </c>
    </row>
    <row r="821" spans="1:48" s="89" customFormat="1" x14ac:dyDescent="0.35">
      <c r="B821" s="90">
        <f t="shared" si="12"/>
        <v>811</v>
      </c>
      <c r="C821" s="140">
        <v>46055</v>
      </c>
      <c r="D821" s="6" t="s">
        <v>16</v>
      </c>
      <c r="E821" s="6" t="s">
        <v>350</v>
      </c>
      <c r="F821" s="6" t="s">
        <v>212</v>
      </c>
      <c r="G821" s="6" t="s">
        <v>351</v>
      </c>
      <c r="H821" s="6" t="s">
        <v>352</v>
      </c>
      <c r="I821" s="6" t="s">
        <v>22</v>
      </c>
      <c r="J821" s="129" t="s">
        <v>23</v>
      </c>
      <c r="K821" s="129" t="s">
        <v>215</v>
      </c>
      <c r="L821" s="6" t="s">
        <v>349</v>
      </c>
      <c r="M821" s="93">
        <v>29</v>
      </c>
      <c r="N821" s="93">
        <v>62</v>
      </c>
      <c r="O821" s="6">
        <v>1</v>
      </c>
      <c r="P821" s="129">
        <v>3</v>
      </c>
      <c r="Q821" s="6">
        <v>122</v>
      </c>
      <c r="R821" s="98">
        <v>0.50039999999999996</v>
      </c>
      <c r="S821" s="94">
        <f>((Table3.110[[#This Row],[Sample weight, g]]*'2.1. DM'!Q215)/100)*1000</f>
        <v>464.2014859341898</v>
      </c>
      <c r="T821" s="94">
        <f>'3.2 Digest'!W821</f>
        <v>194.70148593418975</v>
      </c>
      <c r="U821" s="117">
        <v>0.37361111111111112</v>
      </c>
      <c r="V821" s="155">
        <v>41</v>
      </c>
      <c r="W821" s="117">
        <v>0.71527777777777779</v>
      </c>
      <c r="X821" s="97">
        <v>76.5</v>
      </c>
      <c r="Y821" s="97">
        <v>12.9</v>
      </c>
      <c r="Z821" s="155">
        <v>40</v>
      </c>
      <c r="AA821" s="117">
        <v>0.39097222222222222</v>
      </c>
      <c r="AB821" s="155">
        <v>82.5</v>
      </c>
      <c r="AC821" s="155">
        <v>15.8</v>
      </c>
      <c r="AD821" s="96"/>
      <c r="AE821" s="94">
        <f>Table3.110[[#This Row],[Gas 8h, ml]]-Table3.110[[#This Row],[Gas 0h, ml]]</f>
        <v>35.5</v>
      </c>
      <c r="AF821" s="94">
        <f>Table3.110[[#This Row],[Gas 24h, ml]]-Table3.110[[#This Row],[V8 Push back, ml]]</f>
        <v>42.5</v>
      </c>
      <c r="AG821" s="94">
        <f>Table3.110[[#This Row],[GP 8h, ml]]-(AVERAGE(AE$790,AE$791,AE$840,AE$841,AE$860,AE$861))*$AG$8</f>
        <v>34.319990991876054</v>
      </c>
      <c r="AH821" s="94">
        <f>Table3.110[[#This Row],[GP 8-24h, ml]]-(AVERAGE(AF$790,AF$791,AF$840,AF$841,AF$860,AF$861))*$AG$8</f>
        <v>39.623728042697877</v>
      </c>
      <c r="AI821" s="94">
        <f>Table3.110[[#This Row],[Net gas 8-24h, ml]]+Table3.110[[#This Row],[Net gas 8h, ml]]</f>
        <v>73.943719034573931</v>
      </c>
      <c r="AJ821" s="94">
        <f>Table3.110[[#This Row],[Net gas 8h, ml]]*Table3.110[[#This Row],[CH4 8h %]]%</f>
        <v>4.4272788379520112</v>
      </c>
      <c r="AK821" s="94">
        <f>Table3.110[[#This Row],[Net gas 8-24h, ml]]*Table3.110[[#This Row],[CH4 24h, %]]%</f>
        <v>6.2605490307462643</v>
      </c>
      <c r="AL821" s="94">
        <f>Table3.110[[#This Row],[CH4 8-24h, ml]]+Table3.110[[#This Row],[CH4 8h, ml]]</f>
        <v>10.687827868698275</v>
      </c>
      <c r="AM821" s="94">
        <f>(Table3.110[[#This Row],[Net gas 24h, ml]]/Table3.110[[#This Row],[DM Incubated, mg]])*1000</f>
        <v>159.29229284082254</v>
      </c>
      <c r="AN821" s="94">
        <f>'3.2 Digest'!X821</f>
        <v>41.943313805288582</v>
      </c>
      <c r="AO821" s="94">
        <f>Table3.110[[#This Row],[Digested feed, mg]]/Table3.110[[#This Row],[Net gas 24h, ml]]</f>
        <v>2.6331037777955557</v>
      </c>
      <c r="AP821" s="94">
        <f>Table3.110[[#This Row],[CH4 8h, ml]]/Table3.110[[#This Row],[Net gas 8h, ml]]%</f>
        <v>12.9</v>
      </c>
      <c r="AQ821" s="94">
        <f>Table3.110[[#This Row],[CH4 24h, ml]]/Table3.110[[#This Row],[Net gas 24h, ml]]%</f>
        <v>14.454003677717315</v>
      </c>
      <c r="AR821" s="94">
        <f>Table3.110[[#This Row],[CH4 24h, ml]]/Table3.110[[#This Row],[DM Incubated, mg]]*1000</f>
        <v>23.024113865532726</v>
      </c>
      <c r="AS821" s="94">
        <f>Table3.110[[#This Row],[CH4 24h, ml]]/Table3.110[[#This Row],[Digested feed, mg]]*1000</f>
        <v>54.893406783299149</v>
      </c>
      <c r="AT821" s="94">
        <f>Table3.110[[#This Row],[CH4 24h, ml]]/'3.2 Digest'!AA821</f>
        <v>8.1830510063281903</v>
      </c>
      <c r="AU821" s="94">
        <f>((Table3.110[[#This Row],[CH4 24h, ml]]/28.9)*16.04)/Table3.110[[#This Row],[DM Incubated, mg]]*1000</f>
        <v>12.778781536441</v>
      </c>
      <c r="AV821" s="94">
        <f>((Table3.110[[#This Row],[CH4 24h, ml]]/28.9)*16.04)/Table3.110[[#This Row],[Digested feed, mg]]*1000</f>
        <v>30.466790477651152</v>
      </c>
    </row>
    <row r="822" spans="1:48" s="89" customFormat="1" x14ac:dyDescent="0.35">
      <c r="B822" s="90">
        <f t="shared" si="12"/>
        <v>812</v>
      </c>
      <c r="C822" s="140">
        <v>46055</v>
      </c>
      <c r="D822" s="6" t="s">
        <v>16</v>
      </c>
      <c r="E822" s="6" t="s">
        <v>354</v>
      </c>
      <c r="F822" s="6" t="s">
        <v>226</v>
      </c>
      <c r="G822" s="6" t="s">
        <v>227</v>
      </c>
      <c r="H822" s="6" t="s">
        <v>228</v>
      </c>
      <c r="I822" s="6" t="s">
        <v>22</v>
      </c>
      <c r="J822" s="129" t="s">
        <v>23</v>
      </c>
      <c r="K822" s="129" t="s">
        <v>215</v>
      </c>
      <c r="L822" s="6" t="s">
        <v>353</v>
      </c>
      <c r="M822" s="93">
        <v>29</v>
      </c>
      <c r="N822" s="93">
        <v>62</v>
      </c>
      <c r="O822" s="6">
        <v>1</v>
      </c>
      <c r="P822" s="6">
        <v>1</v>
      </c>
      <c r="Q822" s="6">
        <v>123</v>
      </c>
      <c r="R822" s="98">
        <v>0.50009999999999999</v>
      </c>
      <c r="S822" s="94">
        <f>((Table3.110[[#This Row],[Sample weight, g]]*'2.1. DM'!Q217)/100)*1000</f>
        <v>461.58081709145438</v>
      </c>
      <c r="T822" s="94">
        <f>'3.2 Digest'!W822</f>
        <v>269.88081709145439</v>
      </c>
      <c r="U822" s="153">
        <v>0.37361111111111112</v>
      </c>
      <c r="V822" s="154">
        <v>41</v>
      </c>
      <c r="W822" s="153">
        <v>0.71527777777777779</v>
      </c>
      <c r="X822" s="95">
        <v>76</v>
      </c>
      <c r="Y822" s="95">
        <v>12.2</v>
      </c>
      <c r="Z822" s="154">
        <v>40</v>
      </c>
      <c r="AA822" s="153">
        <v>0.39097222222222222</v>
      </c>
      <c r="AB822" s="154">
        <v>78</v>
      </c>
      <c r="AC822" s="154">
        <v>15.3</v>
      </c>
      <c r="AD822" s="91"/>
      <c r="AE822" s="94">
        <f>Table3.110[[#This Row],[Gas 8h, ml]]-Table3.110[[#This Row],[Gas 0h, ml]]</f>
        <v>35</v>
      </c>
      <c r="AF822" s="94">
        <f>Table3.110[[#This Row],[Gas 24h, ml]]-Table3.110[[#This Row],[V8 Push back, ml]]</f>
        <v>38</v>
      </c>
      <c r="AG822" s="94">
        <f>Table3.110[[#This Row],[GP 8h, ml]]-(AVERAGE(AE$790,AE$791,AE$840,AE$841,AE$860,AE$861))*$AG$8</f>
        <v>33.819990991876054</v>
      </c>
      <c r="AH822" s="94">
        <f>Table3.110[[#This Row],[GP 8-24h, ml]]-(AVERAGE(AF$790,AF$791,AF$840,AF$841,AF$860,AF$861))*$AG$8</f>
        <v>35.123728042697877</v>
      </c>
      <c r="AI822" s="94">
        <f>Table3.110[[#This Row],[Net gas 8-24h, ml]]+Table3.110[[#This Row],[Net gas 8h, ml]]</f>
        <v>68.943719034573931</v>
      </c>
      <c r="AJ822" s="94">
        <f>Table3.110[[#This Row],[Net gas 8h, ml]]*Table3.110[[#This Row],[CH4 8h %]]%</f>
        <v>4.1260389010088785</v>
      </c>
      <c r="AK822" s="94">
        <f>Table3.110[[#This Row],[Net gas 8-24h, ml]]*Table3.110[[#This Row],[CH4 24h, %]]%</f>
        <v>5.3739303905327747</v>
      </c>
      <c r="AL822" s="94">
        <f>Table3.110[[#This Row],[CH4 8-24h, ml]]+Table3.110[[#This Row],[CH4 8h, ml]]</f>
        <v>9.4999692915416531</v>
      </c>
      <c r="AM822" s="94">
        <f>(Table3.110[[#This Row],[Net gas 24h, ml]]/Table3.110[[#This Row],[DM Incubated, mg]])*1000</f>
        <v>149.36435068729017</v>
      </c>
      <c r="AN822" s="94">
        <f>'3.2 Digest'!X822</f>
        <v>58.468811332335349</v>
      </c>
      <c r="AO822" s="94">
        <f>Table3.110[[#This Row],[Digested feed, mg]]/Table3.110[[#This Row],[Net gas 24h, ml]]</f>
        <v>3.9145091223772601</v>
      </c>
      <c r="AP822" s="94">
        <f>Table3.110[[#This Row],[CH4 8h, ml]]/Table3.110[[#This Row],[Net gas 8h, ml]]%</f>
        <v>12.2</v>
      </c>
      <c r="AQ822" s="94">
        <f>Table3.110[[#This Row],[CH4 24h, ml]]/Table3.110[[#This Row],[Net gas 24h, ml]]%</f>
        <v>13.779310754584625</v>
      </c>
      <c r="AR822" s="94">
        <f>Table3.110[[#This Row],[CH4 24h, ml]]/Table3.110[[#This Row],[DM Incubated, mg]]*1000</f>
        <v>20.581378037769269</v>
      </c>
      <c r="AS822" s="94">
        <f>Table3.110[[#This Row],[CH4 24h, ml]]/Table3.110[[#This Row],[Digested feed, mg]]*1000</f>
        <v>35.200609639189004</v>
      </c>
      <c r="AT822" s="94">
        <f>Table3.110[[#This Row],[CH4 24h, ml]]/'3.2 Digest'!AA822</f>
        <v>1.1582112222651066</v>
      </c>
      <c r="AU822" s="94">
        <f>((Table3.110[[#This Row],[CH4 24h, ml]]/28.9)*16.04)/Table3.110[[#This Row],[DM Incubated, mg]]*1000</f>
        <v>11.42302089016675</v>
      </c>
      <c r="AV822" s="94">
        <f>((Table3.110[[#This Row],[CH4 24h, ml]]/28.9)*16.04)/Table3.110[[#This Row],[Digested feed, mg]]*1000</f>
        <v>19.536947356837079</v>
      </c>
    </row>
    <row r="823" spans="1:48" s="89" customFormat="1" x14ac:dyDescent="0.35">
      <c r="B823" s="90">
        <f t="shared" si="12"/>
        <v>813</v>
      </c>
      <c r="C823" s="140">
        <v>46055</v>
      </c>
      <c r="D823" s="6" t="s">
        <v>16</v>
      </c>
      <c r="E823" s="6" t="s">
        <v>354</v>
      </c>
      <c r="F823" s="6" t="s">
        <v>226</v>
      </c>
      <c r="G823" s="6" t="s">
        <v>227</v>
      </c>
      <c r="H823" s="6" t="s">
        <v>228</v>
      </c>
      <c r="I823" s="6" t="s">
        <v>22</v>
      </c>
      <c r="J823" s="129" t="s">
        <v>23</v>
      </c>
      <c r="K823" s="129" t="s">
        <v>215</v>
      </c>
      <c r="L823" s="6" t="s">
        <v>353</v>
      </c>
      <c r="M823" s="93">
        <v>29</v>
      </c>
      <c r="N823" s="93">
        <v>62</v>
      </c>
      <c r="O823" s="6">
        <v>1</v>
      </c>
      <c r="P823" s="129">
        <v>2</v>
      </c>
      <c r="Q823" s="6">
        <v>124</v>
      </c>
      <c r="R823" s="98">
        <v>0.5</v>
      </c>
      <c r="S823" s="94">
        <f>((Table3.110[[#This Row],[Sample weight, g]]*'2.1. DM'!Q217)/100)*1000</f>
        <v>461.48851938757684</v>
      </c>
      <c r="T823" s="94">
        <f>'3.2 Digest'!W823</f>
        <v>218.38851938757685</v>
      </c>
      <c r="U823" s="117">
        <v>0.37361111111111112</v>
      </c>
      <c r="V823" s="155">
        <v>40.5</v>
      </c>
      <c r="W823" s="117">
        <v>0.71527777777777779</v>
      </c>
      <c r="X823" s="97">
        <v>74.5</v>
      </c>
      <c r="Y823" s="97">
        <v>12.2</v>
      </c>
      <c r="Z823" s="155">
        <v>40</v>
      </c>
      <c r="AA823" s="117">
        <v>0.39166666666666666</v>
      </c>
      <c r="AB823" s="155">
        <v>74</v>
      </c>
      <c r="AC823" s="155">
        <v>15.2</v>
      </c>
      <c r="AD823" s="96"/>
      <c r="AE823" s="94">
        <f>Table3.110[[#This Row],[Gas 8h, ml]]-Table3.110[[#This Row],[Gas 0h, ml]]</f>
        <v>34</v>
      </c>
      <c r="AF823" s="94">
        <f>Table3.110[[#This Row],[Gas 24h, ml]]-Table3.110[[#This Row],[V8 Push back, ml]]</f>
        <v>34</v>
      </c>
      <c r="AG823" s="94">
        <f>Table3.110[[#This Row],[GP 8h, ml]]-(AVERAGE(AE$790,AE$791,AE$840,AE$841,AE$860,AE$861))*$AG$8</f>
        <v>32.819990991876054</v>
      </c>
      <c r="AH823" s="94">
        <f>Table3.110[[#This Row],[GP 8-24h, ml]]-(AVERAGE(AF$790,AF$791,AF$840,AF$841,AF$860,AF$861))*$AG$8</f>
        <v>31.123728042697874</v>
      </c>
      <c r="AI823" s="94">
        <f>Table3.110[[#This Row],[Net gas 8-24h, ml]]+Table3.110[[#This Row],[Net gas 8h, ml]]</f>
        <v>63.943719034573931</v>
      </c>
      <c r="AJ823" s="94">
        <f>Table3.110[[#This Row],[Net gas 8h, ml]]*Table3.110[[#This Row],[CH4 8h %]]%</f>
        <v>4.0040389010088786</v>
      </c>
      <c r="AK823" s="94">
        <f>Table3.110[[#This Row],[Net gas 8-24h, ml]]*Table3.110[[#This Row],[CH4 24h, %]]%</f>
        <v>4.7308066624900764</v>
      </c>
      <c r="AL823" s="94">
        <f>Table3.110[[#This Row],[CH4 8-24h, ml]]+Table3.110[[#This Row],[CH4 8h, ml]]</f>
        <v>8.7348455634989541</v>
      </c>
      <c r="AM823" s="94">
        <f>(Table3.110[[#This Row],[Net gas 24h, ml]]/Table3.110[[#This Row],[DM Incubated, mg]])*1000</f>
        <v>138.55971784396959</v>
      </c>
      <c r="AN823" s="94">
        <f>'3.2 Digest'!X823</f>
        <v>47.322633221166932</v>
      </c>
      <c r="AO823" s="94">
        <f>Table3.110[[#This Row],[Digested feed, mg]]/Table3.110[[#This Row],[Net gas 24h, ml]]</f>
        <v>3.4153240175082038</v>
      </c>
      <c r="AP823" s="94">
        <f>Table3.110[[#This Row],[CH4 8h, ml]]/Table3.110[[#This Row],[Net gas 8h, ml]]%</f>
        <v>12.200000000000001</v>
      </c>
      <c r="AQ823" s="94">
        <f>Table3.110[[#This Row],[CH4 24h, ml]]/Table3.110[[#This Row],[Net gas 24h, ml]]%</f>
        <v>13.660208845181625</v>
      </c>
      <c r="AR823" s="94">
        <f>Table3.110[[#This Row],[CH4 24h, ml]]/Table3.110[[#This Row],[DM Incubated, mg]]*1000</f>
        <v>18.927546832780632</v>
      </c>
      <c r="AS823" s="94">
        <f>Table3.110[[#This Row],[CH4 24h, ml]]/Table3.110[[#This Row],[Digested feed, mg]]*1000</f>
        <v>39.996816627512885</v>
      </c>
      <c r="AT823" s="94">
        <f>Table3.110[[#This Row],[CH4 24h, ml]]/'3.2 Digest'!AA823</f>
        <v>-0.53149512430882717</v>
      </c>
      <c r="AU823" s="94">
        <f>((Table3.110[[#This Row],[CH4 24h, ml]]/28.9)*16.04)/Table3.110[[#This Row],[DM Incubated, mg]]*1000</f>
        <v>10.505115958401431</v>
      </c>
      <c r="AV823" s="94">
        <f>((Table3.110[[#This Row],[CH4 24h, ml]]/28.9)*16.04)/Table3.110[[#This Row],[Digested feed, mg]]*1000</f>
        <v>22.198925214716496</v>
      </c>
    </row>
    <row r="824" spans="1:48" s="89" customFormat="1" x14ac:dyDescent="0.35">
      <c r="B824" s="90">
        <f t="shared" si="12"/>
        <v>814</v>
      </c>
      <c r="C824" s="140">
        <v>46055</v>
      </c>
      <c r="D824" s="6" t="s">
        <v>16</v>
      </c>
      <c r="E824" s="6" t="s">
        <v>354</v>
      </c>
      <c r="F824" s="6" t="s">
        <v>226</v>
      </c>
      <c r="G824" s="6" t="s">
        <v>227</v>
      </c>
      <c r="H824" s="6" t="s">
        <v>228</v>
      </c>
      <c r="I824" s="6" t="s">
        <v>22</v>
      </c>
      <c r="J824" s="129" t="s">
        <v>23</v>
      </c>
      <c r="K824" s="129" t="s">
        <v>215</v>
      </c>
      <c r="L824" s="6" t="s">
        <v>353</v>
      </c>
      <c r="M824" s="93">
        <v>29</v>
      </c>
      <c r="N824" s="93">
        <v>62</v>
      </c>
      <c r="O824" s="6">
        <v>1</v>
      </c>
      <c r="P824" s="129">
        <v>3</v>
      </c>
      <c r="Q824" s="6">
        <v>125</v>
      </c>
      <c r="R824" s="98">
        <v>0.50039999999999996</v>
      </c>
      <c r="S824" s="94">
        <f>((Table3.110[[#This Row],[Sample weight, g]]*'2.1. DM'!Q217)/100)*1000</f>
        <v>461.85771020308692</v>
      </c>
      <c r="T824" s="94">
        <f>'3.2 Digest'!W824</f>
        <v>290.65771020308694</v>
      </c>
      <c r="U824" s="153">
        <v>0.37430555555555556</v>
      </c>
      <c r="V824" s="154">
        <v>41.5</v>
      </c>
      <c r="W824" s="153">
        <v>0.71597222222222223</v>
      </c>
      <c r="X824" s="95">
        <v>75</v>
      </c>
      <c r="Y824" s="95">
        <v>12.5</v>
      </c>
      <c r="Z824" s="154">
        <v>41</v>
      </c>
      <c r="AA824" s="153">
        <v>0.39166666666666666</v>
      </c>
      <c r="AB824" s="154">
        <v>76</v>
      </c>
      <c r="AC824" s="154">
        <v>15.1</v>
      </c>
      <c r="AD824" s="91" t="s">
        <v>584</v>
      </c>
      <c r="AE824" s="94">
        <f>Table3.110[[#This Row],[Gas 8h, ml]]-Table3.110[[#This Row],[Gas 0h, ml]]</f>
        <v>33.5</v>
      </c>
      <c r="AF824" s="94">
        <f>Table3.110[[#This Row],[Gas 24h, ml]]-Table3.110[[#This Row],[V8 Push back, ml]]</f>
        <v>35</v>
      </c>
      <c r="AG824" s="94">
        <f>Table3.110[[#This Row],[GP 8h, ml]]-(AVERAGE(AE$790,AE$791,AE$840,AE$841,AE$860,AE$861))*$AG$8</f>
        <v>32.319990991876054</v>
      </c>
      <c r="AH824" s="94">
        <f>Table3.110[[#This Row],[GP 8-24h, ml]]-(AVERAGE(AF$790,AF$791,AF$840,AF$841,AF$860,AF$861))*$AG$8</f>
        <v>32.123728042697877</v>
      </c>
      <c r="AI824" s="94">
        <f>Table3.110[[#This Row],[Net gas 8-24h, ml]]+Table3.110[[#This Row],[Net gas 8h, ml]]</f>
        <v>64.443719034573931</v>
      </c>
      <c r="AJ824" s="94">
        <f>Table3.110[[#This Row],[Net gas 8h, ml]]*Table3.110[[#This Row],[CH4 8h %]]%</f>
        <v>4.0399988739845067</v>
      </c>
      <c r="AK824" s="94">
        <f>Table3.110[[#This Row],[Net gas 8-24h, ml]]*Table3.110[[#This Row],[CH4 24h, %]]%</f>
        <v>4.850682934447379</v>
      </c>
      <c r="AL824" s="94">
        <f>Table3.110[[#This Row],[CH4 8-24h, ml]]+Table3.110[[#This Row],[CH4 8h, ml]]</f>
        <v>8.8906818084318857</v>
      </c>
      <c r="AM824" s="94">
        <f>(Table3.110[[#This Row],[Net gas 24h, ml]]/Table3.110[[#This Row],[DM Incubated, mg]])*1000</f>
        <v>139.53154318077077</v>
      </c>
      <c r="AN824" s="94">
        <f>'3.2 Digest'!X824</f>
        <v>62.932306591846142</v>
      </c>
      <c r="AO824" s="94">
        <f>Table3.110[[#This Row],[Digested feed, mg]]/Table3.110[[#This Row],[Net gas 24h, ml]]</f>
        <v>4.510256617051378</v>
      </c>
      <c r="AP824" s="94">
        <f>Table3.110[[#This Row],[CH4 8h, ml]]/Table3.110[[#This Row],[Net gas 8h, ml]]%</f>
        <v>12.5</v>
      </c>
      <c r="AQ824" s="94">
        <f>Table3.110[[#This Row],[CH4 24h, ml]]/Table3.110[[#This Row],[Net gas 24h, ml]]%</f>
        <v>13.796040858011395</v>
      </c>
      <c r="AR824" s="94">
        <f>Table3.110[[#This Row],[CH4 24h, ml]]/Table3.110[[#This Row],[DM Incubated, mg]]*1000</f>
        <v>19.249828707032947</v>
      </c>
      <c r="AS824" s="94">
        <f>Table3.110[[#This Row],[CH4 24h, ml]]/Table3.110[[#This Row],[Digested feed, mg]]*1000</f>
        <v>30.58815058516711</v>
      </c>
      <c r="AT824" s="94">
        <f>Table3.110[[#This Row],[CH4 24h, ml]]/'3.2 Digest'!AA824</f>
        <v>0.49206554976799088</v>
      </c>
      <c r="AU824" s="94">
        <f>((Table3.110[[#This Row],[CH4 24h, ml]]/28.9)*16.04)/Table3.110[[#This Row],[DM Incubated, mg]]*1000</f>
        <v>10.683987974422436</v>
      </c>
      <c r="AV824" s="94">
        <f>((Table3.110[[#This Row],[CH4 24h, ml]]/28.9)*16.04)/Table3.110[[#This Row],[Digested feed, mg]]*1000</f>
        <v>16.97695278152527</v>
      </c>
    </row>
    <row r="825" spans="1:48" s="89" customFormat="1" x14ac:dyDescent="0.35">
      <c r="B825" s="90">
        <f t="shared" si="12"/>
        <v>815</v>
      </c>
      <c r="C825" s="140">
        <v>46055</v>
      </c>
      <c r="D825" s="6" t="s">
        <v>16</v>
      </c>
      <c r="E825" s="6" t="s">
        <v>356</v>
      </c>
      <c r="F825" s="6" t="s">
        <v>219</v>
      </c>
      <c r="G825" s="6" t="s">
        <v>253</v>
      </c>
      <c r="H825" s="6" t="s">
        <v>254</v>
      </c>
      <c r="I825" s="6" t="s">
        <v>22</v>
      </c>
      <c r="J825" s="129" t="s">
        <v>23</v>
      </c>
      <c r="K825" s="129" t="s">
        <v>215</v>
      </c>
      <c r="L825" s="6" t="s">
        <v>355</v>
      </c>
      <c r="M825" s="93">
        <v>29</v>
      </c>
      <c r="N825" s="93">
        <v>62</v>
      </c>
      <c r="O825" s="6">
        <v>1</v>
      </c>
      <c r="P825" s="6">
        <v>1</v>
      </c>
      <c r="Q825" s="6">
        <v>126</v>
      </c>
      <c r="R825" s="98">
        <v>0.50009999999999999</v>
      </c>
      <c r="S825" s="94">
        <f>((Table3.110[[#This Row],[Sample weight, g]]*'2.1. DM'!Q219)/100)*1000</f>
        <v>450.45244128935502</v>
      </c>
      <c r="T825" s="94">
        <f>'3.2 Digest'!W825</f>
        <v>208.55244128935502</v>
      </c>
      <c r="U825" s="117">
        <v>0.37430555555555556</v>
      </c>
      <c r="V825" s="155">
        <v>40.5</v>
      </c>
      <c r="W825" s="117">
        <v>0.71597222222222223</v>
      </c>
      <c r="X825" s="97">
        <v>67.5</v>
      </c>
      <c r="Y825" s="97">
        <v>12.6</v>
      </c>
      <c r="Z825" s="155">
        <v>40</v>
      </c>
      <c r="AA825" s="117">
        <v>0.39166666666666666</v>
      </c>
      <c r="AB825" s="155">
        <v>81</v>
      </c>
      <c r="AC825" s="155">
        <v>14.6</v>
      </c>
      <c r="AD825" s="96"/>
      <c r="AE825" s="94">
        <f>Table3.110[[#This Row],[Gas 8h, ml]]-Table3.110[[#This Row],[Gas 0h, ml]]</f>
        <v>27</v>
      </c>
      <c r="AF825" s="94">
        <f>Table3.110[[#This Row],[Gas 24h, ml]]-Table3.110[[#This Row],[V8 Push back, ml]]</f>
        <v>41</v>
      </c>
      <c r="AG825" s="94">
        <f>Table3.110[[#This Row],[GP 8h, ml]]-(AVERAGE(AE$790,AE$791,AE$840,AE$841,AE$860,AE$861))*$AG$8</f>
        <v>25.81999099187605</v>
      </c>
      <c r="AH825" s="94">
        <f>Table3.110[[#This Row],[GP 8-24h, ml]]-(AVERAGE(AF$790,AF$791,AF$840,AF$841,AF$860,AF$861))*$AG$8</f>
        <v>38.123728042697877</v>
      </c>
      <c r="AI825" s="94">
        <f>Table3.110[[#This Row],[Net gas 8-24h, ml]]+Table3.110[[#This Row],[Net gas 8h, ml]]</f>
        <v>63.943719034573931</v>
      </c>
      <c r="AJ825" s="94">
        <f>Table3.110[[#This Row],[Net gas 8h, ml]]*Table3.110[[#This Row],[CH4 8h %]]%</f>
        <v>3.2533188649763822</v>
      </c>
      <c r="AK825" s="94">
        <f>Table3.110[[#This Row],[Net gas 8-24h, ml]]*Table3.110[[#This Row],[CH4 24h, %]]%</f>
        <v>5.5660642942338896</v>
      </c>
      <c r="AL825" s="94">
        <f>Table3.110[[#This Row],[CH4 8-24h, ml]]+Table3.110[[#This Row],[CH4 8h, ml]]</f>
        <v>8.8193831592102718</v>
      </c>
      <c r="AM825" s="94">
        <f>(Table3.110[[#This Row],[Net gas 24h, ml]]/Table3.110[[#This Row],[DM Incubated, mg]])*1000</f>
        <v>141.95442886610687</v>
      </c>
      <c r="AN825" s="94">
        <f>'3.2 Digest'!X825</f>
        <v>46.298437342775586</v>
      </c>
      <c r="AO825" s="94">
        <f>Table3.110[[#This Row],[Digested feed, mg]]/Table3.110[[#This Row],[Net gas 24h, ml]]</f>
        <v>3.2615000259304927</v>
      </c>
      <c r="AP825" s="94">
        <f>Table3.110[[#This Row],[CH4 8h, ml]]/Table3.110[[#This Row],[Net gas 8h, ml]]%</f>
        <v>12.6</v>
      </c>
      <c r="AQ825" s="94">
        <f>Table3.110[[#This Row],[CH4 24h, ml]]/Table3.110[[#This Row],[Net gas 24h, ml]]%</f>
        <v>13.79241509934962</v>
      </c>
      <c r="AR825" s="94">
        <f>Table3.110[[#This Row],[CH4 24h, ml]]/Table3.110[[#This Row],[DM Incubated, mg]]*1000</f>
        <v>19.57894408112444</v>
      </c>
      <c r="AS825" s="94">
        <f>Table3.110[[#This Row],[CH4 24h, ml]]/Table3.110[[#This Row],[Digested feed, mg]]*1000</f>
        <v>42.288563512780293</v>
      </c>
      <c r="AT825" s="94">
        <f>Table3.110[[#This Row],[CH4 24h, ml]]/'3.2 Digest'!AA825</f>
        <v>-1.0692976623432469</v>
      </c>
      <c r="AU825" s="94">
        <f>((Table3.110[[#This Row],[CH4 24h, ml]]/28.9)*16.04)/Table3.110[[#This Row],[DM Incubated, mg]]*1000</f>
        <v>10.866652701080831</v>
      </c>
      <c r="AV825" s="94">
        <f>((Table3.110[[#This Row],[CH4 24h, ml]]/28.9)*16.04)/Table3.110[[#This Row],[Digested feed, mg]]*1000</f>
        <v>23.470884385639998</v>
      </c>
    </row>
    <row r="826" spans="1:48" s="89" customFormat="1" x14ac:dyDescent="0.35">
      <c r="B826" s="90">
        <f t="shared" si="12"/>
        <v>816</v>
      </c>
      <c r="C826" s="140">
        <v>46055</v>
      </c>
      <c r="D826" s="6" t="s">
        <v>16</v>
      </c>
      <c r="E826" s="6" t="s">
        <v>356</v>
      </c>
      <c r="F826" s="6" t="s">
        <v>219</v>
      </c>
      <c r="G826" s="6" t="s">
        <v>253</v>
      </c>
      <c r="H826" s="6" t="s">
        <v>254</v>
      </c>
      <c r="I826" s="6" t="s">
        <v>22</v>
      </c>
      <c r="J826" s="129" t="s">
        <v>23</v>
      </c>
      <c r="K826" s="129" t="s">
        <v>215</v>
      </c>
      <c r="L826" s="6" t="s">
        <v>355</v>
      </c>
      <c r="M826" s="93">
        <v>29</v>
      </c>
      <c r="N826" s="93">
        <v>62</v>
      </c>
      <c r="O826" s="6">
        <v>1</v>
      </c>
      <c r="P826" s="129">
        <v>2</v>
      </c>
      <c r="Q826" s="6">
        <v>127</v>
      </c>
      <c r="R826" s="98">
        <v>0.50039999999999996</v>
      </c>
      <c r="S826" s="94">
        <f>((Table3.110[[#This Row],[Sample weight, g]]*'2.1. DM'!Q219)/100)*1000</f>
        <v>450.72265871064434</v>
      </c>
      <c r="T826" s="94">
        <f>'3.2 Digest'!W826</f>
        <v>183.02265871064429</v>
      </c>
      <c r="U826" s="153">
        <v>0.37430555555555556</v>
      </c>
      <c r="V826" s="154">
        <v>40.5</v>
      </c>
      <c r="W826" s="153">
        <v>0.71597222222222223</v>
      </c>
      <c r="X826" s="95">
        <v>65.5</v>
      </c>
      <c r="Y826" s="95">
        <v>12.7</v>
      </c>
      <c r="Z826" s="154">
        <v>40</v>
      </c>
      <c r="AA826" s="153">
        <v>0.3923611111111111</v>
      </c>
      <c r="AB826" s="154">
        <v>79.5</v>
      </c>
      <c r="AC826" s="154">
        <v>14.1</v>
      </c>
      <c r="AD826" s="91"/>
      <c r="AE826" s="94">
        <f>Table3.110[[#This Row],[Gas 8h, ml]]-Table3.110[[#This Row],[Gas 0h, ml]]</f>
        <v>25</v>
      </c>
      <c r="AF826" s="94">
        <f>Table3.110[[#This Row],[Gas 24h, ml]]-Table3.110[[#This Row],[V8 Push back, ml]]</f>
        <v>39.5</v>
      </c>
      <c r="AG826" s="94">
        <f>Table3.110[[#This Row],[GP 8h, ml]]-(AVERAGE(AE$790,AE$791,AE$840,AE$841,AE$860,AE$861))*$AG$8</f>
        <v>23.81999099187605</v>
      </c>
      <c r="AH826" s="94">
        <f>Table3.110[[#This Row],[GP 8-24h, ml]]-(AVERAGE(AF$790,AF$791,AF$840,AF$841,AF$860,AF$861))*$AG$8</f>
        <v>36.623728042697877</v>
      </c>
      <c r="AI826" s="94">
        <f>Table3.110[[#This Row],[Net gas 8-24h, ml]]+Table3.110[[#This Row],[Net gas 8h, ml]]</f>
        <v>60.443719034573931</v>
      </c>
      <c r="AJ826" s="94">
        <f>Table3.110[[#This Row],[Net gas 8h, ml]]*Table3.110[[#This Row],[CH4 8h %]]%</f>
        <v>3.0251388559682586</v>
      </c>
      <c r="AK826" s="94">
        <f>Table3.110[[#This Row],[Net gas 8-24h, ml]]*Table3.110[[#This Row],[CH4 24h, %]]%</f>
        <v>5.1639456540204005</v>
      </c>
      <c r="AL826" s="94">
        <f>Table3.110[[#This Row],[CH4 8-24h, ml]]+Table3.110[[#This Row],[CH4 8h, ml]]</f>
        <v>8.1890845099886587</v>
      </c>
      <c r="AM826" s="94">
        <f>(Table3.110[[#This Row],[Net gas 24h, ml]]/Table3.110[[#This Row],[DM Incubated, mg]])*1000</f>
        <v>134.10401688586438</v>
      </c>
      <c r="AN826" s="94">
        <f>'3.2 Digest'!X826</f>
        <v>40.606491635944465</v>
      </c>
      <c r="AO826" s="94">
        <f>Table3.110[[#This Row],[Digested feed, mg]]/Table3.110[[#This Row],[Net gas 24h, ml]]</f>
        <v>3.0279847374373996</v>
      </c>
      <c r="AP826" s="94">
        <f>Table3.110[[#This Row],[CH4 8h, ml]]/Table3.110[[#This Row],[Net gas 8h, ml]]%</f>
        <v>12.700000000000001</v>
      </c>
      <c r="AQ826" s="94">
        <f>Table3.110[[#This Row],[CH4 24h, ml]]/Table3.110[[#This Row],[Net gas 24h, ml]]%</f>
        <v>13.548280352015544</v>
      </c>
      <c r="AR826" s="94">
        <f>Table3.110[[#This Row],[CH4 24h, ml]]/Table3.110[[#This Row],[DM Incubated, mg]]*1000</f>
        <v>18.168788171011169</v>
      </c>
      <c r="AS826" s="94">
        <f>Table3.110[[#This Row],[CH4 24h, ml]]/Table3.110[[#This Row],[Digested feed, mg]]*1000</f>
        <v>44.743555621358681</v>
      </c>
      <c r="AT826" s="94">
        <f>Table3.110[[#This Row],[CH4 24h, ml]]/'3.2 Digest'!AA826</f>
        <v>-0.4152416297417863</v>
      </c>
      <c r="AU826" s="94">
        <f>((Table3.110[[#This Row],[CH4 24h, ml]]/28.9)*16.04)/Table3.110[[#This Row],[DM Incubated, mg]]*1000</f>
        <v>10.083991773806892</v>
      </c>
      <c r="AV826" s="94">
        <f>((Table3.110[[#This Row],[CH4 24h, ml]]/28.9)*16.04)/Table3.110[[#This Row],[Digested feed, mg]]*1000</f>
        <v>24.833447479812918</v>
      </c>
    </row>
    <row r="827" spans="1:48" s="89" customFormat="1" x14ac:dyDescent="0.35">
      <c r="B827" s="90">
        <f t="shared" si="12"/>
        <v>817</v>
      </c>
      <c r="C827" s="140">
        <v>46055</v>
      </c>
      <c r="D827" s="6" t="s">
        <v>16</v>
      </c>
      <c r="E827" s="6" t="s">
        <v>356</v>
      </c>
      <c r="F827" s="6" t="s">
        <v>219</v>
      </c>
      <c r="G827" s="6" t="s">
        <v>253</v>
      </c>
      <c r="H827" s="6" t="s">
        <v>254</v>
      </c>
      <c r="I827" s="6" t="s">
        <v>22</v>
      </c>
      <c r="J827" s="129" t="s">
        <v>23</v>
      </c>
      <c r="K827" s="129" t="s">
        <v>215</v>
      </c>
      <c r="L827" s="6" t="s">
        <v>355</v>
      </c>
      <c r="M827" s="93">
        <v>29</v>
      </c>
      <c r="N827" s="93">
        <v>62</v>
      </c>
      <c r="O827" s="6">
        <v>1</v>
      </c>
      <c r="P827" s="129">
        <v>3</v>
      </c>
      <c r="Q827" s="6">
        <v>128</v>
      </c>
      <c r="R827" s="98">
        <v>0.50009999999999999</v>
      </c>
      <c r="S827" s="94">
        <f>((Table3.110[[#This Row],[Sample weight, g]]*'2.1. DM'!Q219)/100)*1000</f>
        <v>450.45244128935502</v>
      </c>
      <c r="T827" s="94">
        <f>'3.2 Digest'!W827</f>
        <v>146.25244128935498</v>
      </c>
      <c r="U827" s="117">
        <v>0.375</v>
      </c>
      <c r="V827" s="155">
        <v>40.5</v>
      </c>
      <c r="W827" s="117">
        <v>0.71666666666666667</v>
      </c>
      <c r="X827" s="97">
        <v>66</v>
      </c>
      <c r="Y827" s="97">
        <v>12.7</v>
      </c>
      <c r="Z827" s="155">
        <v>40</v>
      </c>
      <c r="AA827" s="117">
        <v>0.3923611111111111</v>
      </c>
      <c r="AB827" s="155">
        <v>79</v>
      </c>
      <c r="AC827" s="155">
        <v>14.4</v>
      </c>
      <c r="AD827" s="96"/>
      <c r="AE827" s="94">
        <f>Table3.110[[#This Row],[Gas 8h, ml]]-Table3.110[[#This Row],[Gas 0h, ml]]</f>
        <v>25.5</v>
      </c>
      <c r="AF827" s="94">
        <f>Table3.110[[#This Row],[Gas 24h, ml]]-Table3.110[[#This Row],[V8 Push back, ml]]</f>
        <v>39</v>
      </c>
      <c r="AG827" s="94">
        <f>Table3.110[[#This Row],[GP 8h, ml]]-(AVERAGE(AE$790,AE$791,AE$840,AE$841,AE$860,AE$861))*$AG$8</f>
        <v>24.31999099187605</v>
      </c>
      <c r="AH827" s="94">
        <f>Table3.110[[#This Row],[GP 8-24h, ml]]-(AVERAGE(AF$790,AF$791,AF$840,AF$841,AF$860,AF$861))*$AG$8</f>
        <v>36.123728042697877</v>
      </c>
      <c r="AI827" s="94">
        <f>Table3.110[[#This Row],[Net gas 8-24h, ml]]+Table3.110[[#This Row],[Net gas 8h, ml]]</f>
        <v>60.443719034573931</v>
      </c>
      <c r="AJ827" s="94">
        <f>Table3.110[[#This Row],[Net gas 8h, ml]]*Table3.110[[#This Row],[CH4 8h %]]%</f>
        <v>3.0886388559682585</v>
      </c>
      <c r="AK827" s="94">
        <f>Table3.110[[#This Row],[Net gas 8-24h, ml]]*Table3.110[[#This Row],[CH4 24h, %]]%</f>
        <v>5.2018168381484946</v>
      </c>
      <c r="AL827" s="94">
        <f>Table3.110[[#This Row],[CH4 8-24h, ml]]+Table3.110[[#This Row],[CH4 8h, ml]]</f>
        <v>8.2904556941167531</v>
      </c>
      <c r="AM827" s="94">
        <f>(Table3.110[[#This Row],[Net gas 24h, ml]]/Table3.110[[#This Row],[DM Incubated, mg]])*1000</f>
        <v>134.18446320673169</v>
      </c>
      <c r="AN827" s="94">
        <f>'3.2 Digest'!X827</f>
        <v>32.467898469087771</v>
      </c>
      <c r="AO827" s="94">
        <f>Table3.110[[#This Row],[Digested feed, mg]]/Table3.110[[#This Row],[Net gas 24h, ml]]</f>
        <v>2.4196466336841098</v>
      </c>
      <c r="AP827" s="94">
        <f>Table3.110[[#This Row],[CH4 8h, ml]]/Table3.110[[#This Row],[Net gas 8h, ml]]%</f>
        <v>12.700000000000001</v>
      </c>
      <c r="AQ827" s="94">
        <f>Table3.110[[#This Row],[CH4 24h, ml]]/Table3.110[[#This Row],[Net gas 24h, ml]]%</f>
        <v>13.715992044391902</v>
      </c>
      <c r="AR827" s="94">
        <f>Table3.110[[#This Row],[CH4 24h, ml]]/Table3.110[[#This Row],[DM Incubated, mg]]*1000</f>
        <v>18.404730298245298</v>
      </c>
      <c r="AS827" s="94">
        <f>Table3.110[[#This Row],[CH4 24h, ml]]/Table3.110[[#This Row],[Digested feed, mg]]*1000</f>
        <v>56.685930306724913</v>
      </c>
      <c r="AT827" s="94">
        <f>Table3.110[[#This Row],[CH4 24h, ml]]/'3.2 Digest'!AA827</f>
        <v>-0.22948434554071281</v>
      </c>
      <c r="AU827" s="94">
        <f>((Table3.110[[#This Row],[CH4 24h, ml]]/28.9)*16.04)/Table3.110[[#This Row],[DM Incubated, mg]]*1000</f>
        <v>10.214943736465553</v>
      </c>
      <c r="AV827" s="94">
        <f>((Table3.110[[#This Row],[CH4 24h, ml]]/28.9)*16.04)/Table3.110[[#This Row],[Digested feed, mg]]*1000</f>
        <v>31.461672045670159</v>
      </c>
    </row>
    <row r="828" spans="1:48" s="89" customFormat="1" x14ac:dyDescent="0.35">
      <c r="B828" s="90">
        <f t="shared" si="12"/>
        <v>818</v>
      </c>
      <c r="C828" s="140">
        <v>46055</v>
      </c>
      <c r="D828" s="6" t="s">
        <v>16</v>
      </c>
      <c r="E828" s="6" t="s">
        <v>358</v>
      </c>
      <c r="F828" s="6" t="s">
        <v>212</v>
      </c>
      <c r="G828" s="6" t="s">
        <v>359</v>
      </c>
      <c r="H828" s="6" t="s">
        <v>360</v>
      </c>
      <c r="I828" s="6" t="s">
        <v>22</v>
      </c>
      <c r="J828" s="129" t="s">
        <v>23</v>
      </c>
      <c r="K828" s="129" t="s">
        <v>215</v>
      </c>
      <c r="L828" s="6" t="s">
        <v>357</v>
      </c>
      <c r="M828" s="93">
        <v>29</v>
      </c>
      <c r="N828" s="93">
        <v>62</v>
      </c>
      <c r="O828" s="6">
        <v>1</v>
      </c>
      <c r="P828" s="6">
        <v>1</v>
      </c>
      <c r="Q828" s="6">
        <v>129</v>
      </c>
      <c r="R828" s="98">
        <v>0.50019999999999998</v>
      </c>
      <c r="S828" s="94">
        <f>((Table3.110[[#This Row],[Sample weight, g]]*'2.1. DM'!Q221)/100)*1000</f>
        <v>459.56281371862826</v>
      </c>
      <c r="T828" s="94">
        <f>'3.2 Digest'!W828</f>
        <v>203.16281371862817</v>
      </c>
      <c r="U828" s="153">
        <v>0.375</v>
      </c>
      <c r="V828" s="154">
        <v>41</v>
      </c>
      <c r="W828" s="153">
        <v>0.71666666666666667</v>
      </c>
      <c r="X828" s="95">
        <v>76</v>
      </c>
      <c r="Y828" s="95">
        <v>13.4</v>
      </c>
      <c r="Z828" s="154">
        <v>40</v>
      </c>
      <c r="AA828" s="153">
        <v>0.39305555555555555</v>
      </c>
      <c r="AB828" s="154">
        <v>79</v>
      </c>
      <c r="AC828" s="154">
        <v>16.3</v>
      </c>
      <c r="AD828" s="91"/>
      <c r="AE828" s="94">
        <f>Table3.110[[#This Row],[Gas 8h, ml]]-Table3.110[[#This Row],[Gas 0h, ml]]</f>
        <v>35</v>
      </c>
      <c r="AF828" s="94">
        <f>Table3.110[[#This Row],[Gas 24h, ml]]-Table3.110[[#This Row],[V8 Push back, ml]]</f>
        <v>39</v>
      </c>
      <c r="AG828" s="94">
        <f>Table3.110[[#This Row],[GP 8h, ml]]-(AVERAGE(AE$790,AE$791,AE$840,AE$841,AE$860,AE$861))*$AG$8</f>
        <v>33.819990991876054</v>
      </c>
      <c r="AH828" s="94">
        <f>Table3.110[[#This Row],[GP 8-24h, ml]]-(AVERAGE(AF$790,AF$791,AF$840,AF$841,AF$860,AF$861))*$AG$8</f>
        <v>36.123728042697877</v>
      </c>
      <c r="AI828" s="94">
        <f>Table3.110[[#This Row],[Net gas 8-24h, ml]]+Table3.110[[#This Row],[Net gas 8h, ml]]</f>
        <v>69.943719034573931</v>
      </c>
      <c r="AJ828" s="94">
        <f>Table3.110[[#This Row],[Net gas 8h, ml]]*Table3.110[[#This Row],[CH4 8h %]]%</f>
        <v>4.5318787929113915</v>
      </c>
      <c r="AK828" s="94">
        <f>Table3.110[[#This Row],[Net gas 8-24h, ml]]*Table3.110[[#This Row],[CH4 24h, %]]%</f>
        <v>5.8881676709597546</v>
      </c>
      <c r="AL828" s="94">
        <f>Table3.110[[#This Row],[CH4 8-24h, ml]]+Table3.110[[#This Row],[CH4 8h, ml]]</f>
        <v>10.420046463871145</v>
      </c>
      <c r="AM828" s="94">
        <f>(Table3.110[[#This Row],[Net gas 24h, ml]]/Table3.110[[#This Row],[DM Incubated, mg]])*1000</f>
        <v>152.19621115253605</v>
      </c>
      <c r="AN828" s="94">
        <f>'3.2 Digest'!X828</f>
        <v>44.207844423856393</v>
      </c>
      <c r="AO828" s="94">
        <f>Table3.110[[#This Row],[Digested feed, mg]]/Table3.110[[#This Row],[Net gas 24h, ml]]</f>
        <v>2.9046612980102275</v>
      </c>
      <c r="AP828" s="94">
        <f>Table3.110[[#This Row],[CH4 8h, ml]]/Table3.110[[#This Row],[Net gas 8h, ml]]%</f>
        <v>13.4</v>
      </c>
      <c r="AQ828" s="94">
        <f>Table3.110[[#This Row],[CH4 24h, ml]]/Table3.110[[#This Row],[Net gas 24h, ml]]%</f>
        <v>14.897758666107539</v>
      </c>
      <c r="AR828" s="94">
        <f>Table3.110[[#This Row],[CH4 24h, ml]]/Table3.110[[#This Row],[DM Incubated, mg]]*1000</f>
        <v>22.673824236464263</v>
      </c>
      <c r="AS828" s="94">
        <f>Table3.110[[#This Row],[CH4 24h, ml]]/Table3.110[[#This Row],[Digested feed, mg]]*1000</f>
        <v>51.289142304863255</v>
      </c>
      <c r="AT828" s="94">
        <f>Table3.110[[#This Row],[CH4 24h, ml]]/'3.2 Digest'!AA828</f>
        <v>-5.1462890541134785</v>
      </c>
      <c r="AU828" s="94">
        <f>((Table3.110[[#This Row],[CH4 24h, ml]]/28.9)*16.04)/Table3.110[[#This Row],[DM Incubated, mg]]*1000</f>
        <v>12.5843647319338</v>
      </c>
      <c r="AV828" s="94">
        <f>((Table3.110[[#This Row],[CH4 24h, ml]]/28.9)*16.04)/Table3.110[[#This Row],[Digested feed, mg]]*1000</f>
        <v>28.466361334602304</v>
      </c>
    </row>
    <row r="829" spans="1:48" s="89" customFormat="1" x14ac:dyDescent="0.35">
      <c r="B829" s="90">
        <f t="shared" si="12"/>
        <v>819</v>
      </c>
      <c r="C829" s="140">
        <v>46055</v>
      </c>
      <c r="D829" s="6" t="s">
        <v>16</v>
      </c>
      <c r="E829" s="6" t="s">
        <v>358</v>
      </c>
      <c r="F829" s="6" t="s">
        <v>212</v>
      </c>
      <c r="G829" s="6" t="s">
        <v>359</v>
      </c>
      <c r="H829" s="6" t="s">
        <v>360</v>
      </c>
      <c r="I829" s="6" t="s">
        <v>22</v>
      </c>
      <c r="J829" s="129" t="s">
        <v>23</v>
      </c>
      <c r="K829" s="129" t="s">
        <v>215</v>
      </c>
      <c r="L829" s="6" t="s">
        <v>357</v>
      </c>
      <c r="M829" s="93">
        <v>29</v>
      </c>
      <c r="N829" s="93">
        <v>62</v>
      </c>
      <c r="O829" s="6">
        <v>1</v>
      </c>
      <c r="P829" s="129">
        <v>2</v>
      </c>
      <c r="Q829" s="6">
        <v>130</v>
      </c>
      <c r="R829" s="98">
        <v>0.5</v>
      </c>
      <c r="S829" s="94">
        <f>((Table3.110[[#This Row],[Sample weight, g]]*'2.1. DM'!Q221)/100)*1000</f>
        <v>459.37906209379082</v>
      </c>
      <c r="T829" s="94">
        <f>'3.2 Digest'!W829</f>
        <v>183.77906209379086</v>
      </c>
      <c r="U829" s="117">
        <v>0.375</v>
      </c>
      <c r="V829" s="155">
        <v>41</v>
      </c>
      <c r="W829" s="117">
        <v>0.71736111111111112</v>
      </c>
      <c r="X829" s="97">
        <v>76.5</v>
      </c>
      <c r="Y829" s="97">
        <v>13.4</v>
      </c>
      <c r="Z829" s="155">
        <v>40.5</v>
      </c>
      <c r="AA829" s="117">
        <v>0.39374999999999999</v>
      </c>
      <c r="AB829" s="155">
        <v>79</v>
      </c>
      <c r="AC829" s="155">
        <v>16.3</v>
      </c>
      <c r="AD829" s="96"/>
      <c r="AE829" s="94">
        <f>Table3.110[[#This Row],[Gas 8h, ml]]-Table3.110[[#This Row],[Gas 0h, ml]]</f>
        <v>35.5</v>
      </c>
      <c r="AF829" s="94">
        <f>Table3.110[[#This Row],[Gas 24h, ml]]-Table3.110[[#This Row],[V8 Push back, ml]]</f>
        <v>38.5</v>
      </c>
      <c r="AG829" s="94">
        <f>Table3.110[[#This Row],[GP 8h, ml]]-(AVERAGE(AE$790,AE$791,AE$840,AE$841,AE$860,AE$861))*$AG$8</f>
        <v>34.319990991876054</v>
      </c>
      <c r="AH829" s="94">
        <f>Table3.110[[#This Row],[GP 8-24h, ml]]-(AVERAGE(AF$790,AF$791,AF$840,AF$841,AF$860,AF$861))*$AG$8</f>
        <v>35.623728042697877</v>
      </c>
      <c r="AI829" s="94">
        <f>Table3.110[[#This Row],[Net gas 8-24h, ml]]+Table3.110[[#This Row],[Net gas 8h, ml]]</f>
        <v>69.943719034573931</v>
      </c>
      <c r="AJ829" s="94">
        <f>Table3.110[[#This Row],[Net gas 8h, ml]]*Table3.110[[#This Row],[CH4 8h %]]%</f>
        <v>4.5988787929113917</v>
      </c>
      <c r="AK829" s="94">
        <f>Table3.110[[#This Row],[Net gas 8-24h, ml]]*Table3.110[[#This Row],[CH4 24h, %]]%</f>
        <v>5.8066676709597544</v>
      </c>
      <c r="AL829" s="94">
        <f>Table3.110[[#This Row],[CH4 8-24h, ml]]+Table3.110[[#This Row],[CH4 8h, ml]]</f>
        <v>10.405546463871147</v>
      </c>
      <c r="AM829" s="94">
        <f>(Table3.110[[#This Row],[Net gas 24h, ml]]/Table3.110[[#This Row],[DM Incubated, mg]])*1000</f>
        <v>152.25708963699702</v>
      </c>
      <c r="AN829" s="94">
        <f>'3.2 Digest'!X829</f>
        <v>40.005972683245396</v>
      </c>
      <c r="AO829" s="94">
        <f>Table3.110[[#This Row],[Digested feed, mg]]/Table3.110[[#This Row],[Net gas 24h, ml]]</f>
        <v>2.6275277413107943</v>
      </c>
      <c r="AP829" s="94">
        <f>Table3.110[[#This Row],[CH4 8h, ml]]/Table3.110[[#This Row],[Net gas 8h, ml]]%</f>
        <v>13.400000000000002</v>
      </c>
      <c r="AQ829" s="94">
        <f>Table3.110[[#This Row],[CH4 24h, ml]]/Table3.110[[#This Row],[Net gas 24h, ml]]%</f>
        <v>14.877027712420574</v>
      </c>
      <c r="AR829" s="94">
        <f>Table3.110[[#This Row],[CH4 24h, ml]]/Table3.110[[#This Row],[DM Incubated, mg]]*1000</f>
        <v>22.651329419421078</v>
      </c>
      <c r="AS829" s="94">
        <f>Table3.110[[#This Row],[CH4 24h, ml]]/Table3.110[[#This Row],[Digested feed, mg]]*1000</f>
        <v>56.619869234944296</v>
      </c>
      <c r="AT829" s="94">
        <f>Table3.110[[#This Row],[CH4 24h, ml]]/'3.2 Digest'!AA829</f>
        <v>-1.0717914554217256</v>
      </c>
      <c r="AU829" s="94">
        <f>((Table3.110[[#This Row],[CH4 24h, ml]]/28.9)*16.04)/Table3.110[[#This Row],[DM Incubated, mg]]*1000</f>
        <v>12.571879719291147</v>
      </c>
      <c r="AV829" s="94">
        <f>((Table3.110[[#This Row],[CH4 24h, ml]]/28.9)*16.04)/Table3.110[[#This Row],[Digested feed, mg]]*1000</f>
        <v>31.425007007906807</v>
      </c>
    </row>
    <row r="830" spans="1:48" s="89" customFormat="1" x14ac:dyDescent="0.35">
      <c r="A830" s="114"/>
      <c r="B830" s="90">
        <f t="shared" si="12"/>
        <v>820</v>
      </c>
      <c r="C830" s="140">
        <v>46055</v>
      </c>
      <c r="D830" s="6" t="s">
        <v>16</v>
      </c>
      <c r="E830" s="6" t="s">
        <v>358</v>
      </c>
      <c r="F830" s="6" t="s">
        <v>212</v>
      </c>
      <c r="G830" s="6" t="s">
        <v>359</v>
      </c>
      <c r="H830" s="6" t="s">
        <v>360</v>
      </c>
      <c r="I830" s="6" t="s">
        <v>22</v>
      </c>
      <c r="J830" s="129" t="s">
        <v>23</v>
      </c>
      <c r="K830" s="129" t="s">
        <v>215</v>
      </c>
      <c r="L830" s="6" t="s">
        <v>357</v>
      </c>
      <c r="M830" s="93">
        <v>29</v>
      </c>
      <c r="N830" s="93">
        <v>62</v>
      </c>
      <c r="O830" s="6">
        <v>1</v>
      </c>
      <c r="P830" s="129">
        <v>3</v>
      </c>
      <c r="Q830" s="6">
        <v>131</v>
      </c>
      <c r="R830" s="98">
        <v>0.5</v>
      </c>
      <c r="S830" s="94">
        <f>((Table3.110[[#This Row],[Sample weight, g]]*'2.1. DM'!Q221)/100)*1000</f>
        <v>459.37906209379082</v>
      </c>
      <c r="T830" s="94">
        <f>'3.2 Digest'!W830</f>
        <v>138.57906209379087</v>
      </c>
      <c r="U830" s="153">
        <v>0.37569444444444444</v>
      </c>
      <c r="V830" s="154">
        <v>40.5</v>
      </c>
      <c r="W830" s="153">
        <v>0.71736111111111112</v>
      </c>
      <c r="X830" s="95">
        <v>75</v>
      </c>
      <c r="Y830" s="95">
        <v>13.4</v>
      </c>
      <c r="Z830" s="154">
        <v>40</v>
      </c>
      <c r="AA830" s="153">
        <v>0.39374999999999999</v>
      </c>
      <c r="AB830" s="154">
        <v>76.5</v>
      </c>
      <c r="AC830" s="154">
        <v>16.2</v>
      </c>
      <c r="AD830" s="91"/>
      <c r="AE830" s="94">
        <f>Table3.110[[#This Row],[Gas 8h, ml]]-Table3.110[[#This Row],[Gas 0h, ml]]</f>
        <v>34.5</v>
      </c>
      <c r="AF830" s="94">
        <f>Table3.110[[#This Row],[Gas 24h, ml]]-Table3.110[[#This Row],[V8 Push back, ml]]</f>
        <v>36.5</v>
      </c>
      <c r="AG830" s="94">
        <f>Table3.110[[#This Row],[GP 8h, ml]]-(AVERAGE(AE$790,AE$791,AE$840,AE$841,AE$860,AE$861))*$AG$8</f>
        <v>33.319990991876054</v>
      </c>
      <c r="AH830" s="94">
        <f>Table3.110[[#This Row],[GP 8-24h, ml]]-(AVERAGE(AF$790,AF$791,AF$840,AF$841,AF$860,AF$861))*$AG$8</f>
        <v>33.623728042697877</v>
      </c>
      <c r="AI830" s="94">
        <f>Table3.110[[#This Row],[Net gas 8-24h, ml]]+Table3.110[[#This Row],[Net gas 8h, ml]]</f>
        <v>66.943719034573931</v>
      </c>
      <c r="AJ830" s="94">
        <f>Table3.110[[#This Row],[Net gas 8h, ml]]*Table3.110[[#This Row],[CH4 8h %]]%</f>
        <v>4.4648787929113913</v>
      </c>
      <c r="AK830" s="94">
        <f>Table3.110[[#This Row],[Net gas 8-24h, ml]]*Table3.110[[#This Row],[CH4 24h, %]]%</f>
        <v>5.4470439429170563</v>
      </c>
      <c r="AL830" s="94">
        <f>Table3.110[[#This Row],[CH4 8-24h, ml]]+Table3.110[[#This Row],[CH4 8h, ml]]</f>
        <v>9.9119227358284476</v>
      </c>
      <c r="AM830" s="94">
        <f>(Table3.110[[#This Row],[Net gas 24h, ml]]/Table3.110[[#This Row],[DM Incubated, mg]])*1000</f>
        <v>145.72653513952736</v>
      </c>
      <c r="AN830" s="94">
        <f>'3.2 Digest'!X830</f>
        <v>30.166603907057777</v>
      </c>
      <c r="AO830" s="94">
        <f>Table3.110[[#This Row],[Digested feed, mg]]/Table3.110[[#This Row],[Net gas 24h, ml]]</f>
        <v>2.0700831099960246</v>
      </c>
      <c r="AP830" s="94">
        <f>Table3.110[[#This Row],[CH4 8h, ml]]/Table3.110[[#This Row],[Net gas 8h, ml]]%</f>
        <v>13.4</v>
      </c>
      <c r="AQ830" s="94">
        <f>Table3.110[[#This Row],[CH4 24h, ml]]/Table3.110[[#This Row],[Net gas 24h, ml]]%</f>
        <v>14.806352080184414</v>
      </c>
      <c r="AR830" s="94">
        <f>Table3.110[[#This Row],[CH4 24h, ml]]/Table3.110[[#This Row],[DM Incubated, mg]]*1000</f>
        <v>21.576783867012082</v>
      </c>
      <c r="AS830" s="94">
        <f>Table3.110[[#This Row],[CH4 24h, ml]]/Table3.110[[#This Row],[Digested feed, mg]]*1000</f>
        <v>71.525399191401789</v>
      </c>
      <c r="AT830" s="94">
        <f>Table3.110[[#This Row],[CH4 24h, ml]]/'3.2 Digest'!AA830</f>
        <v>-0.35781312432059198</v>
      </c>
      <c r="AU830" s="94">
        <f>((Table3.110[[#This Row],[CH4 24h, ml]]/28.9)*16.04)/Table3.110[[#This Row],[DM Incubated, mg]]*1000</f>
        <v>11.975488346950652</v>
      </c>
      <c r="AV830" s="94">
        <f>((Table3.110[[#This Row],[CH4 24h, ml]]/28.9)*16.04)/Table3.110[[#This Row],[Digested feed, mg]]*1000</f>
        <v>39.697834014881828</v>
      </c>
    </row>
    <row r="831" spans="1:48" s="89" customFormat="1" x14ac:dyDescent="0.35">
      <c r="B831" s="90">
        <f t="shared" si="12"/>
        <v>821</v>
      </c>
      <c r="C831" s="140">
        <v>46055</v>
      </c>
      <c r="D831" s="6" t="s">
        <v>16</v>
      </c>
      <c r="E831" s="6" t="s">
        <v>362</v>
      </c>
      <c r="F831" s="6" t="s">
        <v>219</v>
      </c>
      <c r="G831" s="6" t="s">
        <v>253</v>
      </c>
      <c r="H831" s="6" t="s">
        <v>254</v>
      </c>
      <c r="I831" s="6" t="s">
        <v>22</v>
      </c>
      <c r="J831" s="129" t="s">
        <v>23</v>
      </c>
      <c r="K831" s="129" t="s">
        <v>215</v>
      </c>
      <c r="L831" s="6" t="s">
        <v>361</v>
      </c>
      <c r="M831" s="93">
        <v>29</v>
      </c>
      <c r="N831" s="93">
        <v>62</v>
      </c>
      <c r="O831" s="6">
        <v>1</v>
      </c>
      <c r="P831" s="6">
        <v>1</v>
      </c>
      <c r="Q831" s="6">
        <v>132</v>
      </c>
      <c r="R831" s="98">
        <v>0.50009999999999999</v>
      </c>
      <c r="S831" s="94">
        <f>((Table3.110[[#This Row],[Sample weight, g]]*'2.1. DM'!Q223)/100)*1000</f>
        <v>459.0373334176229</v>
      </c>
      <c r="T831" s="94">
        <f>'3.2 Digest'!W831</f>
        <v>206.53733341762296</v>
      </c>
      <c r="U831" s="117">
        <v>0.37569444444444444</v>
      </c>
      <c r="V831" s="155">
        <v>41</v>
      </c>
      <c r="W831" s="117">
        <v>0.71805555555555556</v>
      </c>
      <c r="X831" s="97">
        <v>75</v>
      </c>
      <c r="Y831" s="97">
        <v>12.9</v>
      </c>
      <c r="Z831" s="155">
        <v>40</v>
      </c>
      <c r="AA831" s="117">
        <v>0.39444444444444443</v>
      </c>
      <c r="AB831" s="155">
        <v>82.5</v>
      </c>
      <c r="AC831" s="155">
        <v>15.4</v>
      </c>
      <c r="AD831" s="96"/>
      <c r="AE831" s="94">
        <f>Table3.110[[#This Row],[Gas 8h, ml]]-Table3.110[[#This Row],[Gas 0h, ml]]</f>
        <v>34</v>
      </c>
      <c r="AF831" s="94">
        <f>Table3.110[[#This Row],[Gas 24h, ml]]-Table3.110[[#This Row],[V8 Push back, ml]]</f>
        <v>42.5</v>
      </c>
      <c r="AG831" s="94">
        <f>Table3.110[[#This Row],[GP 8h, ml]]-(AVERAGE(AE$790,AE$791,AE$840,AE$841,AE$860,AE$861))*$AG$8</f>
        <v>32.819990991876054</v>
      </c>
      <c r="AH831" s="94">
        <f>Table3.110[[#This Row],[GP 8-24h, ml]]-(AVERAGE(AF$790,AF$791,AF$840,AF$841,AF$860,AF$861))*$AG$8</f>
        <v>39.623728042697877</v>
      </c>
      <c r="AI831" s="94">
        <f>Table3.110[[#This Row],[Net gas 8-24h, ml]]+Table3.110[[#This Row],[Net gas 8h, ml]]</f>
        <v>72.443719034573931</v>
      </c>
      <c r="AJ831" s="94">
        <f>Table3.110[[#This Row],[Net gas 8h, ml]]*Table3.110[[#This Row],[CH4 8h %]]%</f>
        <v>4.2337788379520109</v>
      </c>
      <c r="AK831" s="94">
        <f>Table3.110[[#This Row],[Net gas 8-24h, ml]]*Table3.110[[#This Row],[CH4 24h, %]]%</f>
        <v>6.1020541185754729</v>
      </c>
      <c r="AL831" s="94">
        <f>Table3.110[[#This Row],[CH4 8-24h, ml]]+Table3.110[[#This Row],[CH4 8h, ml]]</f>
        <v>10.335832956527483</v>
      </c>
      <c r="AM831" s="94">
        <f>(Table3.110[[#This Row],[Net gas 24h, ml]]/Table3.110[[#This Row],[DM Incubated, mg]])*1000</f>
        <v>157.81661699543312</v>
      </c>
      <c r="AN831" s="94">
        <f>'3.2 Digest'!X831</f>
        <v>44.993580779130106</v>
      </c>
      <c r="AO831" s="94">
        <f>Table3.110[[#This Row],[Digested feed, mg]]/Table3.110[[#This Row],[Net gas 24h, ml]]</f>
        <v>2.8510040093200151</v>
      </c>
      <c r="AP831" s="94">
        <f>Table3.110[[#This Row],[CH4 8h, ml]]/Table3.110[[#This Row],[Net gas 8h, ml]]%</f>
        <v>12.9</v>
      </c>
      <c r="AQ831" s="94">
        <f>Table3.110[[#This Row],[CH4 24h, ml]]/Table3.110[[#This Row],[Net gas 24h, ml]]%</f>
        <v>14.267396945199188</v>
      </c>
      <c r="AR831" s="94">
        <f>Table3.110[[#This Row],[CH4 24h, ml]]/Table3.110[[#This Row],[DM Incubated, mg]]*1000</f>
        <v>22.516323192223126</v>
      </c>
      <c r="AS831" s="94">
        <f>Table3.110[[#This Row],[CH4 24h, ml]]/Table3.110[[#This Row],[Digested feed, mg]]*1000</f>
        <v>50.043412420882788</v>
      </c>
      <c r="AT831" s="94">
        <f>Table3.110[[#This Row],[CH4 24h, ml]]/'3.2 Digest'!AA831</f>
        <v>-0.60308212455905541</v>
      </c>
      <c r="AU831" s="94">
        <f>((Table3.110[[#This Row],[CH4 24h, ml]]/28.9)*16.04)/Table3.110[[#This Row],[DM Incubated, mg]]*1000</f>
        <v>12.496948927448409</v>
      </c>
      <c r="AV831" s="94">
        <f>((Table3.110[[#This Row],[CH4 24h, ml]]/28.9)*16.04)/Table3.110[[#This Row],[Digested feed, mg]]*1000</f>
        <v>27.77495969657301</v>
      </c>
    </row>
    <row r="832" spans="1:48" s="89" customFormat="1" x14ac:dyDescent="0.35">
      <c r="B832" s="90">
        <f t="shared" si="12"/>
        <v>822</v>
      </c>
      <c r="C832" s="140">
        <v>46055</v>
      </c>
      <c r="D832" s="6" t="s">
        <v>16</v>
      </c>
      <c r="E832" s="6" t="s">
        <v>362</v>
      </c>
      <c r="F832" s="6" t="s">
        <v>219</v>
      </c>
      <c r="G832" s="6" t="s">
        <v>253</v>
      </c>
      <c r="H832" s="6" t="s">
        <v>254</v>
      </c>
      <c r="I832" s="6" t="s">
        <v>22</v>
      </c>
      <c r="J832" s="129" t="s">
        <v>23</v>
      </c>
      <c r="K832" s="129" t="s">
        <v>215</v>
      </c>
      <c r="L832" s="6" t="s">
        <v>361</v>
      </c>
      <c r="M832" s="93">
        <v>29</v>
      </c>
      <c r="N832" s="93">
        <v>62</v>
      </c>
      <c r="O832" s="6">
        <v>1</v>
      </c>
      <c r="P832" s="129">
        <v>2</v>
      </c>
      <c r="Q832" s="6">
        <v>133</v>
      </c>
      <c r="R832" s="98">
        <v>0.50039999999999996</v>
      </c>
      <c r="S832" s="94">
        <f>((Table3.110[[#This Row],[Sample weight, g]]*'2.1. DM'!Q223)/100)*1000</f>
        <v>459.31270074420809</v>
      </c>
      <c r="T832" s="94">
        <f>'3.2 Digest'!W832</f>
        <v>221.11270074420813</v>
      </c>
      <c r="U832" s="153">
        <v>0.37638888888888888</v>
      </c>
      <c r="V832" s="154">
        <v>41</v>
      </c>
      <c r="W832" s="153">
        <v>0.71805555555555556</v>
      </c>
      <c r="X832" s="95">
        <v>74.5</v>
      </c>
      <c r="Y832" s="95">
        <v>12.7</v>
      </c>
      <c r="Z832" s="154">
        <v>40</v>
      </c>
      <c r="AA832" s="153">
        <v>0.39513888888888887</v>
      </c>
      <c r="AB832" s="154">
        <v>80.5</v>
      </c>
      <c r="AC832" s="154">
        <v>15.2</v>
      </c>
      <c r="AD832" s="91"/>
      <c r="AE832" s="94">
        <f>Table3.110[[#This Row],[Gas 8h, ml]]-Table3.110[[#This Row],[Gas 0h, ml]]</f>
        <v>33.5</v>
      </c>
      <c r="AF832" s="94">
        <f>Table3.110[[#This Row],[Gas 24h, ml]]-Table3.110[[#This Row],[V8 Push back, ml]]</f>
        <v>40.5</v>
      </c>
      <c r="AG832" s="94">
        <f>Table3.110[[#This Row],[GP 8h, ml]]-(AVERAGE(AE$790,AE$791,AE$840,AE$841,AE$860,AE$861))*$AG$8</f>
        <v>32.319990991876054</v>
      </c>
      <c r="AH832" s="94">
        <f>Table3.110[[#This Row],[GP 8-24h, ml]]-(AVERAGE(AF$790,AF$791,AF$840,AF$841,AF$860,AF$861))*$AG$8</f>
        <v>37.623728042697877</v>
      </c>
      <c r="AI832" s="94">
        <f>Table3.110[[#This Row],[Net gas 8-24h, ml]]+Table3.110[[#This Row],[Net gas 8h, ml]]</f>
        <v>69.943719034573931</v>
      </c>
      <c r="AJ832" s="94">
        <f>Table3.110[[#This Row],[Net gas 8h, ml]]*Table3.110[[#This Row],[CH4 8h %]]%</f>
        <v>4.1046388559682585</v>
      </c>
      <c r="AK832" s="94">
        <f>Table3.110[[#This Row],[Net gas 8-24h, ml]]*Table3.110[[#This Row],[CH4 24h, %]]%</f>
        <v>5.7188066624900769</v>
      </c>
      <c r="AL832" s="94">
        <f>Table3.110[[#This Row],[CH4 8-24h, ml]]+Table3.110[[#This Row],[CH4 8h, ml]]</f>
        <v>9.8234455184583354</v>
      </c>
      <c r="AM832" s="94">
        <f>(Table3.110[[#This Row],[Net gas 24h, ml]]/Table3.110[[#This Row],[DM Incubated, mg]])*1000</f>
        <v>152.27908769177645</v>
      </c>
      <c r="AN832" s="94">
        <f>'3.2 Digest'!X832</f>
        <v>48.13990564291975</v>
      </c>
      <c r="AO832" s="94">
        <f>Table3.110[[#This Row],[Digested feed, mg]]/Table3.110[[#This Row],[Net gas 24h, ml]]</f>
        <v>3.1612945922264979</v>
      </c>
      <c r="AP832" s="94">
        <f>Table3.110[[#This Row],[CH4 8h, ml]]/Table3.110[[#This Row],[Net gas 8h, ml]]%</f>
        <v>12.7</v>
      </c>
      <c r="AQ832" s="94">
        <f>Table3.110[[#This Row],[CH4 24h, ml]]/Table3.110[[#This Row],[Net gas 24h, ml]]%</f>
        <v>14.044785799283137</v>
      </c>
      <c r="AR832" s="94">
        <f>Table3.110[[#This Row],[CH4 24h, ml]]/Table3.110[[#This Row],[DM Incubated, mg]]*1000</f>
        <v>21.387271683412532</v>
      </c>
      <c r="AS832" s="94">
        <f>Table3.110[[#This Row],[CH4 24h, ml]]/Table3.110[[#This Row],[Digested feed, mg]]*1000</f>
        <v>44.42732364714989</v>
      </c>
      <c r="AT832" s="94">
        <f>Table3.110[[#This Row],[CH4 24h, ml]]/'3.2 Digest'!AA832</f>
        <v>-0.9411118840953473</v>
      </c>
      <c r="AU832" s="94">
        <f>((Table3.110[[#This Row],[CH4 24h, ml]]/28.9)*16.04)/Table3.110[[#This Row],[DM Incubated, mg]]*1000</f>
        <v>11.870305806295399</v>
      </c>
      <c r="AV832" s="94">
        <f>((Table3.110[[#This Row],[CH4 24h, ml]]/28.9)*16.04)/Table3.110[[#This Row],[Digested feed, mg]]*1000</f>
        <v>24.657933262985612</v>
      </c>
    </row>
    <row r="833" spans="2:48" s="89" customFormat="1" x14ac:dyDescent="0.35">
      <c r="B833" s="90">
        <f t="shared" si="12"/>
        <v>823</v>
      </c>
      <c r="C833" s="140">
        <v>46055</v>
      </c>
      <c r="D833" s="6" t="s">
        <v>16</v>
      </c>
      <c r="E833" s="6" t="s">
        <v>362</v>
      </c>
      <c r="F833" s="6" t="s">
        <v>219</v>
      </c>
      <c r="G833" s="6" t="s">
        <v>253</v>
      </c>
      <c r="H833" s="6" t="s">
        <v>254</v>
      </c>
      <c r="I833" s="6" t="s">
        <v>22</v>
      </c>
      <c r="J833" s="129" t="s">
        <v>23</v>
      </c>
      <c r="K833" s="129" t="s">
        <v>215</v>
      </c>
      <c r="L833" s="6" t="s">
        <v>361</v>
      </c>
      <c r="M833" s="93">
        <v>29</v>
      </c>
      <c r="N833" s="93">
        <v>62</v>
      </c>
      <c r="O833" s="6">
        <v>1</v>
      </c>
      <c r="P833" s="129">
        <v>3</v>
      </c>
      <c r="Q833" s="6">
        <v>134</v>
      </c>
      <c r="R833" s="98">
        <v>0.5</v>
      </c>
      <c r="S833" s="94">
        <f>((Table3.110[[#This Row],[Sample weight, g]]*'2.1. DM'!Q223)/100)*1000</f>
        <v>458.9455443087611</v>
      </c>
      <c r="T833" s="94">
        <f>'3.2 Digest'!W833</f>
        <v>253.04554430876112</v>
      </c>
      <c r="U833" s="117">
        <v>0.37638888888888888</v>
      </c>
      <c r="V833" s="155">
        <v>41</v>
      </c>
      <c r="W833" s="117">
        <v>0.71875</v>
      </c>
      <c r="X833" s="97">
        <v>74.5</v>
      </c>
      <c r="Y833" s="97">
        <v>12.5</v>
      </c>
      <c r="Z833" s="155">
        <v>40</v>
      </c>
      <c r="AA833" s="117">
        <v>0.39513888888888887</v>
      </c>
      <c r="AB833" s="155">
        <v>85</v>
      </c>
      <c r="AC833" s="155">
        <v>15.1</v>
      </c>
      <c r="AD833" s="96"/>
      <c r="AE833" s="94">
        <f>Table3.110[[#This Row],[Gas 8h, ml]]-Table3.110[[#This Row],[Gas 0h, ml]]</f>
        <v>33.5</v>
      </c>
      <c r="AF833" s="94">
        <f>Table3.110[[#This Row],[Gas 24h, ml]]-Table3.110[[#This Row],[V8 Push back, ml]]</f>
        <v>45</v>
      </c>
      <c r="AG833" s="94">
        <f>Table3.110[[#This Row],[GP 8h, ml]]-(AVERAGE(AE$790,AE$791,AE$840,AE$841,AE$860,AE$861))*$AG$8</f>
        <v>32.319990991876054</v>
      </c>
      <c r="AH833" s="94">
        <f>Table3.110[[#This Row],[GP 8-24h, ml]]-(AVERAGE(AF$790,AF$791,AF$840,AF$841,AF$860,AF$861))*$AG$8</f>
        <v>42.123728042697877</v>
      </c>
      <c r="AI833" s="94">
        <f>Table3.110[[#This Row],[Net gas 8-24h, ml]]+Table3.110[[#This Row],[Net gas 8h, ml]]</f>
        <v>74.443719034573931</v>
      </c>
      <c r="AJ833" s="94">
        <f>Table3.110[[#This Row],[Net gas 8h, ml]]*Table3.110[[#This Row],[CH4 8h %]]%</f>
        <v>4.0399988739845067</v>
      </c>
      <c r="AK833" s="94">
        <f>Table3.110[[#This Row],[Net gas 8-24h, ml]]*Table3.110[[#This Row],[CH4 24h, %]]%</f>
        <v>6.3606829344473796</v>
      </c>
      <c r="AL833" s="94">
        <f>Table3.110[[#This Row],[CH4 8-24h, ml]]+Table3.110[[#This Row],[CH4 8h, ml]]</f>
        <v>10.400681808431887</v>
      </c>
      <c r="AM833" s="94">
        <f>(Table3.110[[#This Row],[Net gas 24h, ml]]/Table3.110[[#This Row],[DM Incubated, mg]])*1000</f>
        <v>162.20599580435413</v>
      </c>
      <c r="AN833" s="94">
        <f>'3.2 Digest'!X833</f>
        <v>55.136289576551967</v>
      </c>
      <c r="AO833" s="94">
        <f>Table3.110[[#This Row],[Digested feed, mg]]/Table3.110[[#This Row],[Net gas 24h, ml]]</f>
        <v>3.3991523743089602</v>
      </c>
      <c r="AP833" s="94">
        <f>Table3.110[[#This Row],[CH4 8h, ml]]/Table3.110[[#This Row],[Net gas 8h, ml]]%</f>
        <v>12.5</v>
      </c>
      <c r="AQ833" s="94">
        <f>Table3.110[[#This Row],[CH4 24h, ml]]/Table3.110[[#This Row],[Net gas 24h, ml]]%</f>
        <v>13.971201255543795</v>
      </c>
      <c r="AR833" s="94">
        <f>Table3.110[[#This Row],[CH4 24h, ml]]/Table3.110[[#This Row],[DM Incubated, mg]]*1000</f>
        <v>22.662126122385239</v>
      </c>
      <c r="AS833" s="94">
        <f>Table3.110[[#This Row],[CH4 24h, ml]]/Table3.110[[#This Row],[Digested feed, mg]]*1000</f>
        <v>41.102015199845539</v>
      </c>
      <c r="AT833" s="94">
        <f>Table3.110[[#This Row],[CH4 24h, ml]]/'3.2 Digest'!AA833</f>
        <v>2.3314949072213857</v>
      </c>
      <c r="AU833" s="94">
        <f>((Table3.110[[#This Row],[CH4 24h, ml]]/28.9)*16.04)/Table3.110[[#This Row],[DM Incubated, mg]]*1000</f>
        <v>12.577872076230424</v>
      </c>
      <c r="AV833" s="94">
        <f>((Table3.110[[#This Row],[CH4 24h, ml]]/28.9)*16.04)/Table3.110[[#This Row],[Digested feed, mg]]*1000</f>
        <v>22.812329543443681</v>
      </c>
    </row>
    <row r="834" spans="2:48" s="89" customFormat="1" x14ac:dyDescent="0.35">
      <c r="B834" s="90">
        <f t="shared" si="12"/>
        <v>824</v>
      </c>
      <c r="C834" s="140">
        <v>46055</v>
      </c>
      <c r="D834" s="6" t="s">
        <v>16</v>
      </c>
      <c r="E834" s="6" t="s">
        <v>364</v>
      </c>
      <c r="F834" s="6" t="s">
        <v>219</v>
      </c>
      <c r="G834" s="6" t="s">
        <v>365</v>
      </c>
      <c r="H834" s="6" t="s">
        <v>366</v>
      </c>
      <c r="I834" s="6" t="s">
        <v>22</v>
      </c>
      <c r="J834" s="129" t="s">
        <v>23</v>
      </c>
      <c r="K834" s="129" t="s">
        <v>215</v>
      </c>
      <c r="L834" s="6" t="s">
        <v>363</v>
      </c>
      <c r="M834" s="93">
        <v>29</v>
      </c>
      <c r="N834" s="93">
        <v>62</v>
      </c>
      <c r="O834" s="6">
        <v>1</v>
      </c>
      <c r="P834" s="6">
        <v>1</v>
      </c>
      <c r="Q834" s="6">
        <v>135</v>
      </c>
      <c r="R834" s="98">
        <v>0.50060000000000004</v>
      </c>
      <c r="S834" s="94">
        <f>((Table3.110[[#This Row],[Sample weight, g]]*'2.1. DM'!Q225)/100)*1000</f>
        <v>453.82357463907198</v>
      </c>
      <c r="T834" s="94">
        <f>'3.2 Digest'!W834</f>
        <v>253.52357463907205</v>
      </c>
      <c r="U834" s="153">
        <v>0.37708333333333333</v>
      </c>
      <c r="V834" s="154">
        <v>41</v>
      </c>
      <c r="W834" s="153">
        <v>0.71875</v>
      </c>
      <c r="X834" s="95">
        <v>80</v>
      </c>
      <c r="Y834" s="95">
        <v>12.7</v>
      </c>
      <c r="Z834" s="154">
        <v>40</v>
      </c>
      <c r="AA834" s="153">
        <v>0.39583333333333331</v>
      </c>
      <c r="AB834" s="154">
        <v>85.5</v>
      </c>
      <c r="AC834" s="154">
        <v>16.7</v>
      </c>
      <c r="AD834" s="91"/>
      <c r="AE834" s="94">
        <f>Table3.110[[#This Row],[Gas 8h, ml]]-Table3.110[[#This Row],[Gas 0h, ml]]</f>
        <v>39</v>
      </c>
      <c r="AF834" s="94">
        <f>Table3.110[[#This Row],[Gas 24h, ml]]-Table3.110[[#This Row],[V8 Push back, ml]]</f>
        <v>45.5</v>
      </c>
      <c r="AG834" s="94">
        <f>Table3.110[[#This Row],[GP 8h, ml]]-(AVERAGE(AE$790,AE$791,AE$840,AE$841,AE$860,AE$861))*$AG$8</f>
        <v>37.819990991876054</v>
      </c>
      <c r="AH834" s="94">
        <f>Table3.110[[#This Row],[GP 8-24h, ml]]-(AVERAGE(AF$790,AF$791,AF$840,AF$841,AF$860,AF$861))*$AG$8</f>
        <v>42.623728042697877</v>
      </c>
      <c r="AI834" s="94">
        <f>Table3.110[[#This Row],[Net gas 8-24h, ml]]+Table3.110[[#This Row],[Net gas 8h, ml]]</f>
        <v>80.443719034573931</v>
      </c>
      <c r="AJ834" s="94">
        <f>Table3.110[[#This Row],[Net gas 8h, ml]]*Table3.110[[#This Row],[CH4 8h %]]%</f>
        <v>4.8031388559682586</v>
      </c>
      <c r="AK834" s="94">
        <f>Table3.110[[#This Row],[Net gas 8-24h, ml]]*Table3.110[[#This Row],[CH4 24h, %]]%</f>
        <v>7.1181625831305446</v>
      </c>
      <c r="AL834" s="94">
        <f>Table3.110[[#This Row],[CH4 8-24h, ml]]+Table3.110[[#This Row],[CH4 8h, ml]]</f>
        <v>11.921301439098803</v>
      </c>
      <c r="AM834" s="94">
        <f>(Table3.110[[#This Row],[Net gas 24h, ml]]/Table3.110[[#This Row],[DM Incubated, mg]])*1000</f>
        <v>177.25769116016329</v>
      </c>
      <c r="AN834" s="94">
        <f>'3.2 Digest'!X834</f>
        <v>55.863905889133356</v>
      </c>
      <c r="AO834" s="94">
        <f>Table3.110[[#This Row],[Digested feed, mg]]/Table3.110[[#This Row],[Net gas 24h, ml]]</f>
        <v>3.1515645681437241</v>
      </c>
      <c r="AP834" s="94">
        <f>Table3.110[[#This Row],[CH4 8h, ml]]/Table3.110[[#This Row],[Net gas 8h, ml]]%</f>
        <v>12.700000000000001</v>
      </c>
      <c r="AQ834" s="94">
        <f>Table3.110[[#This Row],[CH4 24h, ml]]/Table3.110[[#This Row],[Net gas 24h, ml]]%</f>
        <v>14.81943100365007</v>
      </c>
      <c r="AR834" s="94">
        <f>Table3.110[[#This Row],[CH4 24h, ml]]/Table3.110[[#This Row],[DM Incubated, mg]]*1000</f>
        <v>26.268581240143529</v>
      </c>
      <c r="AS834" s="94">
        <f>Table3.110[[#This Row],[CH4 24h, ml]]/Table3.110[[#This Row],[Digested feed, mg]]*1000</f>
        <v>47.022457205687964</v>
      </c>
      <c r="AT834" s="94">
        <f>Table3.110[[#This Row],[CH4 24h, ml]]/'3.2 Digest'!AA834</f>
        <v>-2.3154733349687611</v>
      </c>
      <c r="AU834" s="94">
        <f>((Table3.110[[#This Row],[CH4 24h, ml]]/28.9)*16.04)/Table3.110[[#This Row],[DM Incubated, mg]]*1000</f>
        <v>14.579517062003536</v>
      </c>
      <c r="AV834" s="94">
        <f>((Table3.110[[#This Row],[CH4 24h, ml]]/28.9)*16.04)/Table3.110[[#This Row],[Digested feed, mg]]*1000</f>
        <v>26.098277286478716</v>
      </c>
    </row>
    <row r="835" spans="2:48" s="89" customFormat="1" x14ac:dyDescent="0.35">
      <c r="B835" s="90">
        <f t="shared" si="12"/>
        <v>825</v>
      </c>
      <c r="C835" s="140">
        <v>46055</v>
      </c>
      <c r="D835" s="6" t="s">
        <v>16</v>
      </c>
      <c r="E835" s="6" t="s">
        <v>364</v>
      </c>
      <c r="F835" s="6" t="s">
        <v>219</v>
      </c>
      <c r="G835" s="6" t="s">
        <v>365</v>
      </c>
      <c r="H835" s="6" t="s">
        <v>366</v>
      </c>
      <c r="I835" s="6" t="s">
        <v>22</v>
      </c>
      <c r="J835" s="129" t="s">
        <v>23</v>
      </c>
      <c r="K835" s="129" t="s">
        <v>215</v>
      </c>
      <c r="L835" s="6" t="s">
        <v>363</v>
      </c>
      <c r="M835" s="93">
        <v>29</v>
      </c>
      <c r="N835" s="93">
        <v>62</v>
      </c>
      <c r="O835" s="6">
        <v>1</v>
      </c>
      <c r="P835" s="129">
        <v>2</v>
      </c>
      <c r="Q835" s="6">
        <v>136</v>
      </c>
      <c r="R835" s="98">
        <v>0.50019999999999998</v>
      </c>
      <c r="S835" s="94">
        <f>((Table3.110[[#This Row],[Sample weight, g]]*'2.1. DM'!Q225)/100)*1000</f>
        <v>453.46095092781417</v>
      </c>
      <c r="T835" s="94">
        <f>'3.2 Digest'!W835</f>
        <v>188.16095092781421</v>
      </c>
      <c r="U835" s="117">
        <v>0.37708333333333333</v>
      </c>
      <c r="V835" s="155">
        <v>41.5</v>
      </c>
      <c r="W835" s="117">
        <v>0.71875</v>
      </c>
      <c r="X835" s="97">
        <v>79.5</v>
      </c>
      <c r="Y835" s="97">
        <v>12.7</v>
      </c>
      <c r="Z835" s="155">
        <v>40.5</v>
      </c>
      <c r="AA835" s="117">
        <v>0.39583333333333331</v>
      </c>
      <c r="AB835" s="155">
        <v>82</v>
      </c>
      <c r="AC835" s="155">
        <v>17.2</v>
      </c>
      <c r="AD835" s="96"/>
      <c r="AE835" s="94">
        <f>Table3.110[[#This Row],[Gas 8h, ml]]-Table3.110[[#This Row],[Gas 0h, ml]]</f>
        <v>38</v>
      </c>
      <c r="AF835" s="94">
        <f>Table3.110[[#This Row],[Gas 24h, ml]]-Table3.110[[#This Row],[V8 Push back, ml]]</f>
        <v>41.5</v>
      </c>
      <c r="AG835" s="94">
        <f>Table3.110[[#This Row],[GP 8h, ml]]-(AVERAGE(AE$790,AE$791,AE$840,AE$841,AE$860,AE$861))*$AG$8</f>
        <v>36.819990991876054</v>
      </c>
      <c r="AH835" s="94">
        <f>Table3.110[[#This Row],[GP 8-24h, ml]]-(AVERAGE(AF$790,AF$791,AF$840,AF$841,AF$860,AF$861))*$AG$8</f>
        <v>38.623728042697877</v>
      </c>
      <c r="AI835" s="94">
        <f>Table3.110[[#This Row],[Net gas 8-24h, ml]]+Table3.110[[#This Row],[Net gas 8h, ml]]</f>
        <v>75.443719034573931</v>
      </c>
      <c r="AJ835" s="94">
        <f>Table3.110[[#This Row],[Net gas 8h, ml]]*Table3.110[[#This Row],[CH4 8h %]]%</f>
        <v>4.6761388559682588</v>
      </c>
      <c r="AK835" s="94">
        <f>Table3.110[[#This Row],[Net gas 8-24h, ml]]*Table3.110[[#This Row],[CH4 24h, %]]%</f>
        <v>6.6432812233440339</v>
      </c>
      <c r="AL835" s="94">
        <f>Table3.110[[#This Row],[CH4 8-24h, ml]]+Table3.110[[#This Row],[CH4 8h, ml]]</f>
        <v>11.319420079312293</v>
      </c>
      <c r="AM835" s="94">
        <f>(Table3.110[[#This Row],[Net gas 24h, ml]]/Table3.110[[#This Row],[DM Incubated, mg]])*1000</f>
        <v>166.37313285788022</v>
      </c>
      <c r="AN835" s="94">
        <f>'3.2 Digest'!X835</f>
        <v>41.494411049688665</v>
      </c>
      <c r="AO835" s="94">
        <f>Table3.110[[#This Row],[Digested feed, mg]]/Table3.110[[#This Row],[Net gas 24h, ml]]</f>
        <v>2.4940572036432198</v>
      </c>
      <c r="AP835" s="94">
        <f>Table3.110[[#This Row],[CH4 8h, ml]]/Table3.110[[#This Row],[Net gas 8h, ml]]%</f>
        <v>12.7</v>
      </c>
      <c r="AQ835" s="94">
        <f>Table3.110[[#This Row],[CH4 24h, ml]]/Table3.110[[#This Row],[Net gas 24h, ml]]%</f>
        <v>15.003793853435157</v>
      </c>
      <c r="AR835" s="94">
        <f>Table3.110[[#This Row],[CH4 24h, ml]]/Table3.110[[#This Row],[DM Incubated, mg]]*1000</f>
        <v>24.962281881498143</v>
      </c>
      <c r="AS835" s="94">
        <f>Table3.110[[#This Row],[CH4 24h, ml]]/Table3.110[[#This Row],[Digested feed, mg]]*1000</f>
        <v>60.158178535432988</v>
      </c>
      <c r="AT835" s="94">
        <f>Table3.110[[#This Row],[CH4 24h, ml]]/'3.2 Digest'!AA835</f>
        <v>-0.28742622941696078</v>
      </c>
      <c r="AU835" s="94">
        <f>((Table3.110[[#This Row],[CH4 24h, ml]]/28.9)*16.04)/Table3.110[[#This Row],[DM Incubated, mg]]*1000</f>
        <v>13.854498317620422</v>
      </c>
      <c r="AV835" s="94">
        <f>((Table3.110[[#This Row],[CH4 24h, ml]]/28.9)*16.04)/Table3.110[[#This Row],[Digested feed, mg]]*1000</f>
        <v>33.388829886101909</v>
      </c>
    </row>
    <row r="836" spans="2:48" s="89" customFormat="1" x14ac:dyDescent="0.35">
      <c r="B836" s="90">
        <f t="shared" si="12"/>
        <v>826</v>
      </c>
      <c r="C836" s="140">
        <v>46055</v>
      </c>
      <c r="D836" s="6" t="s">
        <v>16</v>
      </c>
      <c r="E836" s="6" t="s">
        <v>364</v>
      </c>
      <c r="F836" s="6" t="s">
        <v>219</v>
      </c>
      <c r="G836" s="6" t="s">
        <v>365</v>
      </c>
      <c r="H836" s="6" t="s">
        <v>366</v>
      </c>
      <c r="I836" s="6" t="s">
        <v>22</v>
      </c>
      <c r="J836" s="129" t="s">
        <v>23</v>
      </c>
      <c r="K836" s="129" t="s">
        <v>215</v>
      </c>
      <c r="L836" s="6" t="s">
        <v>363</v>
      </c>
      <c r="M836" s="93">
        <v>29</v>
      </c>
      <c r="N836" s="93">
        <v>62</v>
      </c>
      <c r="O836" s="6">
        <v>1</v>
      </c>
      <c r="P836" s="129">
        <v>3</v>
      </c>
      <c r="Q836" s="6">
        <v>137</v>
      </c>
      <c r="R836" s="98">
        <v>0.50029999999999997</v>
      </c>
      <c r="S836" s="94">
        <f>((Table3.110[[#This Row],[Sample weight, g]]*'2.1. DM'!Q225)/100)*1000</f>
        <v>453.55160685562856</v>
      </c>
      <c r="T836" s="94">
        <f>'3.2 Digest'!W836</f>
        <v>227.15160685562864</v>
      </c>
      <c r="U836" s="153">
        <v>0.37708333333333333</v>
      </c>
      <c r="V836" s="154">
        <v>41.5</v>
      </c>
      <c r="W836" s="153">
        <v>0.71944444444444444</v>
      </c>
      <c r="X836" s="95">
        <v>80.5</v>
      </c>
      <c r="Y836" s="95">
        <v>13.1</v>
      </c>
      <c r="Z836" s="154">
        <v>40.5</v>
      </c>
      <c r="AA836" s="153">
        <v>0.39652777777777776</v>
      </c>
      <c r="AB836" s="154">
        <v>85.5</v>
      </c>
      <c r="AC836" s="154">
        <v>17.2</v>
      </c>
      <c r="AD836" s="91"/>
      <c r="AE836" s="94">
        <f>Table3.110[[#This Row],[Gas 8h, ml]]-Table3.110[[#This Row],[Gas 0h, ml]]</f>
        <v>39</v>
      </c>
      <c r="AF836" s="94">
        <f>Table3.110[[#This Row],[Gas 24h, ml]]-Table3.110[[#This Row],[V8 Push back, ml]]</f>
        <v>45</v>
      </c>
      <c r="AG836" s="94">
        <f>Table3.110[[#This Row],[GP 8h, ml]]-(AVERAGE(AE$790,AE$791,AE$840,AE$841,AE$860,AE$861))*$AG$8</f>
        <v>37.819990991876054</v>
      </c>
      <c r="AH836" s="94">
        <f>Table3.110[[#This Row],[GP 8-24h, ml]]-(AVERAGE(AF$790,AF$791,AF$840,AF$841,AF$860,AF$861))*$AG$8</f>
        <v>42.123728042697877</v>
      </c>
      <c r="AI836" s="94">
        <f>Table3.110[[#This Row],[Net gas 8-24h, ml]]+Table3.110[[#This Row],[Net gas 8h, ml]]</f>
        <v>79.943719034573931</v>
      </c>
      <c r="AJ836" s="94">
        <f>Table3.110[[#This Row],[Net gas 8h, ml]]*Table3.110[[#This Row],[CH4 8h %]]%</f>
        <v>4.9544188199357633</v>
      </c>
      <c r="AK836" s="94">
        <f>Table3.110[[#This Row],[Net gas 8-24h, ml]]*Table3.110[[#This Row],[CH4 24h, %]]%</f>
        <v>7.2452812233440342</v>
      </c>
      <c r="AL836" s="94">
        <f>Table3.110[[#This Row],[CH4 8-24h, ml]]+Table3.110[[#This Row],[CH4 8h, ml]]</f>
        <v>12.199700043279798</v>
      </c>
      <c r="AM836" s="94">
        <f>(Table3.110[[#This Row],[Net gas 24h, ml]]/Table3.110[[#This Row],[DM Incubated, mg]])*1000</f>
        <v>176.26157161873107</v>
      </c>
      <c r="AN836" s="94">
        <f>'3.2 Digest'!X836</f>
        <v>50.082857920054501</v>
      </c>
      <c r="AO836" s="94">
        <f>Table3.110[[#This Row],[Digested feed, mg]]/Table3.110[[#This Row],[Net gas 24h, ml]]</f>
        <v>2.8413940406924336</v>
      </c>
      <c r="AP836" s="94">
        <f>Table3.110[[#This Row],[CH4 8h, ml]]/Table3.110[[#This Row],[Net gas 8h, ml]]%</f>
        <v>13.100000000000001</v>
      </c>
      <c r="AQ836" s="94">
        <f>Table3.110[[#This Row],[CH4 24h, ml]]/Table3.110[[#This Row],[Net gas 24h, ml]]%</f>
        <v>15.260360902153788</v>
      </c>
      <c r="AR836" s="94">
        <f>Table3.110[[#This Row],[CH4 24h, ml]]/Table3.110[[#This Row],[DM Incubated, mg]]*1000</f>
        <v>26.898151960826635</v>
      </c>
      <c r="AS836" s="94">
        <f>Table3.110[[#This Row],[CH4 24h, ml]]/Table3.110[[#This Row],[Digested feed, mg]]*1000</f>
        <v>53.707302414257597</v>
      </c>
      <c r="AT836" s="94">
        <f>Table3.110[[#This Row],[CH4 24h, ml]]/'3.2 Digest'!AA836</f>
        <v>-0.64476569893394298</v>
      </c>
      <c r="AU836" s="94">
        <f>((Table3.110[[#This Row],[CH4 24h, ml]]/28.9)*16.04)/Table3.110[[#This Row],[DM Incubated, mg]]*1000</f>
        <v>14.928939704209663</v>
      </c>
      <c r="AV836" s="94">
        <f>((Table3.110[[#This Row],[CH4 24h, ml]]/28.9)*16.04)/Table3.110[[#This Row],[Digested feed, mg]]*1000</f>
        <v>29.80848203199626</v>
      </c>
    </row>
    <row r="837" spans="2:48" s="89" customFormat="1" x14ac:dyDescent="0.35">
      <c r="B837" s="90">
        <f t="shared" si="12"/>
        <v>827</v>
      </c>
      <c r="C837" s="140">
        <v>46055</v>
      </c>
      <c r="D837" s="6" t="s">
        <v>16</v>
      </c>
      <c r="E837" s="57" t="s">
        <v>368</v>
      </c>
      <c r="F837" s="6" t="s">
        <v>219</v>
      </c>
      <c r="G837" s="6" t="s">
        <v>365</v>
      </c>
      <c r="H837" s="57" t="s">
        <v>366</v>
      </c>
      <c r="I837" s="6" t="s">
        <v>22</v>
      </c>
      <c r="J837" s="129" t="s">
        <v>23</v>
      </c>
      <c r="K837" s="129" t="s">
        <v>215</v>
      </c>
      <c r="L837" s="57" t="s">
        <v>367</v>
      </c>
      <c r="M837" s="93">
        <v>29</v>
      </c>
      <c r="N837" s="105">
        <v>62</v>
      </c>
      <c r="O837" s="57">
        <v>1</v>
      </c>
      <c r="P837" s="57">
        <v>1</v>
      </c>
      <c r="Q837" s="57">
        <v>138</v>
      </c>
      <c r="R837" s="106">
        <v>0.50009999999999999</v>
      </c>
      <c r="S837" s="94">
        <f>((Table3.110[[#This Row],[Sample weight, g]]*'2.1. DM'!Q227)/100)*1000</f>
        <v>455.44553544645538</v>
      </c>
      <c r="T837" s="94">
        <f>'3.2 Digest'!W837</f>
        <v>218.94553544645544</v>
      </c>
      <c r="U837" s="157">
        <v>0.37708333333333333</v>
      </c>
      <c r="V837" s="158">
        <v>40.5</v>
      </c>
      <c r="W837" s="157">
        <v>0.71944444444444444</v>
      </c>
      <c r="X837" s="107">
        <v>75.5</v>
      </c>
      <c r="Y837" s="107">
        <v>12.8</v>
      </c>
      <c r="Z837" s="158">
        <v>40.5</v>
      </c>
      <c r="AA837" s="157">
        <v>0.3972222222222222</v>
      </c>
      <c r="AB837" s="158">
        <v>87</v>
      </c>
      <c r="AC837" s="158">
        <v>16.3</v>
      </c>
      <c r="AD837" s="104" t="s">
        <v>585</v>
      </c>
      <c r="AE837" s="94">
        <f>Table3.110[[#This Row],[Gas 8h, ml]]-Table3.110[[#This Row],[Gas 0h, ml]]</f>
        <v>35</v>
      </c>
      <c r="AF837" s="94">
        <f>Table3.110[[#This Row],[Gas 24h, ml]]-Table3.110[[#This Row],[V8 Push back, ml]]</f>
        <v>46.5</v>
      </c>
      <c r="AG837" s="94">
        <f>Table3.110[[#This Row],[GP 8h, ml]]-(AVERAGE(AE$790,AE$791,AE$840,AE$841,AE$860,AE$861))*$AG$8</f>
        <v>33.819990991876054</v>
      </c>
      <c r="AH837" s="94">
        <f>Table3.110[[#This Row],[GP 8-24h, ml]]-(AVERAGE(AF$790,AF$791,AF$840,AF$841,AF$860,AF$861))*$AG$8</f>
        <v>43.623728042697877</v>
      </c>
      <c r="AI837" s="94">
        <f>Table3.110[[#This Row],[Net gas 8-24h, ml]]+Table3.110[[#This Row],[Net gas 8h, ml]]</f>
        <v>77.443719034573931</v>
      </c>
      <c r="AJ837" s="94">
        <f>Table3.110[[#This Row],[Net gas 8h, ml]]*Table3.110[[#This Row],[CH4 8h %]]%</f>
        <v>4.328958846960135</v>
      </c>
      <c r="AK837" s="94">
        <f>Table3.110[[#This Row],[Net gas 8-24h, ml]]*Table3.110[[#This Row],[CH4 24h, %]]%</f>
        <v>7.1106676709597538</v>
      </c>
      <c r="AL837" s="94">
        <f>Table3.110[[#This Row],[CH4 8-24h, ml]]+Table3.110[[#This Row],[CH4 8h, ml]]</f>
        <v>11.439626517919889</v>
      </c>
      <c r="AM837" s="94">
        <f>(Table3.110[[#This Row],[Net gas 24h, ml]]/Table3.110[[#This Row],[DM Incubated, mg]])*1000</f>
        <v>170.03947345462262</v>
      </c>
      <c r="AN837" s="94">
        <f>'3.2 Digest'!X837</f>
        <v>48.072825048516883</v>
      </c>
      <c r="AO837" s="94">
        <f>Table3.110[[#This Row],[Digested feed, mg]]/Table3.110[[#This Row],[Net gas 24h, ml]]</f>
        <v>2.8271567814132159</v>
      </c>
      <c r="AP837" s="94">
        <f>Table3.110[[#This Row],[CH4 8h, ml]]/Table3.110[[#This Row],[Net gas 8h, ml]]%</f>
        <v>12.8</v>
      </c>
      <c r="AQ837" s="94">
        <f>Table3.110[[#This Row],[CH4 24h, ml]]/Table3.110[[#This Row],[Net gas 24h, ml]]%</f>
        <v>14.771535588073693</v>
      </c>
      <c r="AR837" s="94">
        <f>Table3.110[[#This Row],[CH4 24h, ml]]/Table3.110[[#This Row],[DM Incubated, mg]]*1000</f>
        <v>25.117441335122699</v>
      </c>
      <c r="AS837" s="94">
        <f>Table3.110[[#This Row],[CH4 24h, ml]]/Table3.110[[#This Row],[Digested feed, mg]]*1000</f>
        <v>52.248731606210463</v>
      </c>
      <c r="AT837" s="94">
        <f>Table3.110[[#This Row],[CH4 24h, ml]]/'3.2 Digest'!AA837</f>
        <v>-1.887680721723183</v>
      </c>
      <c r="AU837" s="94">
        <f>((Table3.110[[#This Row],[CH4 24h, ml]]/28.9)*16.04)/Table3.110[[#This Row],[DM Incubated, mg]]*1000</f>
        <v>13.940614498801663</v>
      </c>
      <c r="AV837" s="94">
        <f>((Table3.110[[#This Row],[CH4 24h, ml]]/28.9)*16.04)/Table3.110[[#This Row],[Digested feed, mg]]*1000</f>
        <v>28.998949998741029</v>
      </c>
    </row>
    <row r="838" spans="2:48" s="89" customFormat="1" x14ac:dyDescent="0.35">
      <c r="B838" s="90">
        <f t="shared" si="12"/>
        <v>828</v>
      </c>
      <c r="C838" s="140">
        <v>46055</v>
      </c>
      <c r="D838" s="6" t="s">
        <v>16</v>
      </c>
      <c r="E838" s="6" t="s">
        <v>368</v>
      </c>
      <c r="F838" s="6" t="s">
        <v>219</v>
      </c>
      <c r="G838" s="6" t="s">
        <v>365</v>
      </c>
      <c r="H838" s="6" t="s">
        <v>366</v>
      </c>
      <c r="I838" s="6" t="s">
        <v>22</v>
      </c>
      <c r="J838" s="129" t="s">
        <v>23</v>
      </c>
      <c r="K838" s="129" t="s">
        <v>215</v>
      </c>
      <c r="L838" s="57" t="s">
        <v>367</v>
      </c>
      <c r="M838" s="93">
        <v>29</v>
      </c>
      <c r="N838" s="93">
        <v>62</v>
      </c>
      <c r="O838" s="6">
        <v>1</v>
      </c>
      <c r="P838" s="129">
        <v>2</v>
      </c>
      <c r="Q838" s="6">
        <v>139</v>
      </c>
      <c r="R838" s="98">
        <v>0.50060000000000004</v>
      </c>
      <c r="S838" s="94">
        <f>((Table3.110[[#This Row],[Sample weight, g]]*'2.1. DM'!Q227)/100)*1000</f>
        <v>455.90088991100896</v>
      </c>
      <c r="T838" s="94">
        <f>'3.2 Digest'!W838</f>
        <v>206.20088991100903</v>
      </c>
      <c r="U838" s="117">
        <v>0.37777777777777777</v>
      </c>
      <c r="V838" s="155">
        <v>41.5</v>
      </c>
      <c r="W838" s="117">
        <v>0.72013888888888888</v>
      </c>
      <c r="X838" s="97">
        <v>75.5</v>
      </c>
      <c r="Y838" s="97">
        <v>12.9</v>
      </c>
      <c r="Z838" s="155">
        <v>40</v>
      </c>
      <c r="AA838" s="117">
        <v>0.3972222222222222</v>
      </c>
      <c r="AB838" s="155">
        <v>76.3</v>
      </c>
      <c r="AC838" s="155">
        <v>16.600000000000001</v>
      </c>
      <c r="AD838" s="96"/>
      <c r="AE838" s="94">
        <f>Table3.110[[#This Row],[Gas 8h, ml]]-Table3.110[[#This Row],[Gas 0h, ml]]</f>
        <v>34</v>
      </c>
      <c r="AF838" s="94">
        <f>Table3.110[[#This Row],[Gas 24h, ml]]-Table3.110[[#This Row],[V8 Push back, ml]]</f>
        <v>36.299999999999997</v>
      </c>
      <c r="AG838" s="94">
        <f>Table3.110[[#This Row],[GP 8h, ml]]-(AVERAGE(AE$790,AE$791,AE$840,AE$841,AE$860,AE$861))*$AG$8</f>
        <v>32.819990991876054</v>
      </c>
      <c r="AH838" s="94">
        <f>Table3.110[[#This Row],[GP 8-24h, ml]]-(AVERAGE(AF$790,AF$791,AF$840,AF$841,AF$860,AF$861))*$AG$8</f>
        <v>33.423728042697874</v>
      </c>
      <c r="AI838" s="94">
        <f>Table3.110[[#This Row],[Net gas 8-24h, ml]]+Table3.110[[#This Row],[Net gas 8h, ml]]</f>
        <v>66.243719034573928</v>
      </c>
      <c r="AJ838" s="94">
        <f>Table3.110[[#This Row],[Net gas 8h, ml]]*Table3.110[[#This Row],[CH4 8h %]]%</f>
        <v>4.2337788379520109</v>
      </c>
      <c r="AK838" s="94">
        <f>Table3.110[[#This Row],[Net gas 8-24h, ml]]*Table3.110[[#This Row],[CH4 24h, %]]%</f>
        <v>5.5483388550878479</v>
      </c>
      <c r="AL838" s="94">
        <f>Table3.110[[#This Row],[CH4 8-24h, ml]]+Table3.110[[#This Row],[CH4 8h, ml]]</f>
        <v>9.7821176930398579</v>
      </c>
      <c r="AM838" s="94">
        <f>(Table3.110[[#This Row],[Net gas 24h, ml]]/Table3.110[[#This Row],[DM Incubated, mg]])*1000</f>
        <v>145.30289477501256</v>
      </c>
      <c r="AN838" s="94">
        <f>'3.2 Digest'!X838</f>
        <v>45.229323845202209</v>
      </c>
      <c r="AO838" s="94">
        <f>Table3.110[[#This Row],[Digested feed, mg]]/Table3.110[[#This Row],[Net gas 24h, ml]]</f>
        <v>3.1127613744540619</v>
      </c>
      <c r="AP838" s="94">
        <f>Table3.110[[#This Row],[CH4 8h, ml]]/Table3.110[[#This Row],[Net gas 8h, ml]]%</f>
        <v>12.9</v>
      </c>
      <c r="AQ838" s="94">
        <f>Table3.110[[#This Row],[CH4 24h, ml]]/Table3.110[[#This Row],[Net gas 24h, ml]]%</f>
        <v>14.766860670872621</v>
      </c>
      <c r="AR838" s="94">
        <f>Table3.110[[#This Row],[CH4 24h, ml]]/Table3.110[[#This Row],[DM Incubated, mg]]*1000</f>
        <v>21.456676022170761</v>
      </c>
      <c r="AS838" s="94">
        <f>Table3.110[[#This Row],[CH4 24h, ml]]/Table3.110[[#This Row],[Digested feed, mg]]*1000</f>
        <v>47.439745275888804</v>
      </c>
      <c r="AT838" s="94">
        <f>Table3.110[[#This Row],[CH4 24h, ml]]/'3.2 Digest'!AA838</f>
        <v>-0.82424733715467513</v>
      </c>
      <c r="AU838" s="94">
        <f>((Table3.110[[#This Row],[CH4 24h, ml]]/28.9)*16.04)/Table3.110[[#This Row],[DM Incubated, mg]]*1000</f>
        <v>11.908826415073323</v>
      </c>
      <c r="AV838" s="94">
        <f>((Table3.110[[#This Row],[CH4 24h, ml]]/28.9)*16.04)/Table3.110[[#This Row],[Digested feed, mg]]*1000</f>
        <v>26.329879384956968</v>
      </c>
    </row>
    <row r="839" spans="2:48" s="89" customFormat="1" x14ac:dyDescent="0.35">
      <c r="B839" s="90">
        <f t="shared" si="12"/>
        <v>829</v>
      </c>
      <c r="C839" s="140">
        <v>46055</v>
      </c>
      <c r="D839" s="6" t="s">
        <v>16</v>
      </c>
      <c r="E839" s="6" t="s">
        <v>368</v>
      </c>
      <c r="F839" s="6" t="s">
        <v>219</v>
      </c>
      <c r="G839" s="6" t="s">
        <v>365</v>
      </c>
      <c r="H839" s="6" t="s">
        <v>366</v>
      </c>
      <c r="I839" s="6" t="s">
        <v>22</v>
      </c>
      <c r="J839" s="129" t="s">
        <v>23</v>
      </c>
      <c r="K839" s="129" t="s">
        <v>215</v>
      </c>
      <c r="L839" s="57" t="s">
        <v>367</v>
      </c>
      <c r="M839" s="93">
        <v>29</v>
      </c>
      <c r="N839" s="93">
        <v>62</v>
      </c>
      <c r="O839" s="6">
        <v>1</v>
      </c>
      <c r="P839" s="129">
        <v>3</v>
      </c>
      <c r="Q839" s="6">
        <v>140</v>
      </c>
      <c r="R839" s="98">
        <v>0.50009999999999999</v>
      </c>
      <c r="S839" s="94">
        <f>((Table3.110[[#This Row],[Sample weight, g]]*'2.1. DM'!Q227)/100)*1000</f>
        <v>455.44553544645538</v>
      </c>
      <c r="T839" s="94">
        <f>'3.2 Digest'!W839</f>
        <v>165.94553544645538</v>
      </c>
      <c r="U839" s="117">
        <v>0.37777777777777777</v>
      </c>
      <c r="V839" s="155">
        <v>41</v>
      </c>
      <c r="W839" s="117">
        <v>0.72013888888888888</v>
      </c>
      <c r="X839" s="97">
        <v>74.5</v>
      </c>
      <c r="Y839" s="97">
        <v>12.9</v>
      </c>
      <c r="Z839" s="155">
        <v>40</v>
      </c>
      <c r="AA839" s="117">
        <v>0.39791666666666664</v>
      </c>
      <c r="AB839" s="155">
        <v>83</v>
      </c>
      <c r="AC839" s="155">
        <v>16.399999999999999</v>
      </c>
      <c r="AD839" s="96"/>
      <c r="AE839" s="94">
        <f>Table3.110[[#This Row],[Gas 8h, ml]]-Table3.110[[#This Row],[Gas 0h, ml]]</f>
        <v>33.5</v>
      </c>
      <c r="AF839" s="94">
        <f>Table3.110[[#This Row],[Gas 24h, ml]]-Table3.110[[#This Row],[V8 Push back, ml]]</f>
        <v>43</v>
      </c>
      <c r="AG839" s="94">
        <f>Table3.110[[#This Row],[GP 8h, ml]]-(AVERAGE(AE$790,AE$791,AE$840,AE$841,AE$860,AE$861))*$AG$8</f>
        <v>32.319990991876054</v>
      </c>
      <c r="AH839" s="94">
        <f>Table3.110[[#This Row],[GP 8-24h, ml]]-(AVERAGE(AF$790,AF$791,AF$840,AF$841,AF$860,AF$861))*$AG$8</f>
        <v>40.123728042697877</v>
      </c>
      <c r="AI839" s="94">
        <f>Table3.110[[#This Row],[Net gas 8-24h, ml]]+Table3.110[[#This Row],[Net gas 8h, ml]]</f>
        <v>72.443719034573931</v>
      </c>
      <c r="AJ839" s="94">
        <f>Table3.110[[#This Row],[Net gas 8h, ml]]*Table3.110[[#This Row],[CH4 8h %]]%</f>
        <v>4.1692788379520112</v>
      </c>
      <c r="AK839" s="94">
        <f>Table3.110[[#This Row],[Net gas 8-24h, ml]]*Table3.110[[#This Row],[CH4 24h, %]]%</f>
        <v>6.5802913990024514</v>
      </c>
      <c r="AL839" s="94">
        <f>Table3.110[[#This Row],[CH4 8-24h, ml]]+Table3.110[[#This Row],[CH4 8h, ml]]</f>
        <v>10.749570236954462</v>
      </c>
      <c r="AM839" s="94">
        <f>(Table3.110[[#This Row],[Net gas 24h, ml]]/Table3.110[[#This Row],[DM Incubated, mg]])*1000</f>
        <v>159.06121236551414</v>
      </c>
      <c r="AN839" s="94">
        <f>'3.2 Digest'!X839</f>
        <v>36.435868294061876</v>
      </c>
      <c r="AO839" s="94">
        <f>Table3.110[[#This Row],[Digested feed, mg]]/Table3.110[[#This Row],[Net gas 24h, ml]]</f>
        <v>2.2906821689711636</v>
      </c>
      <c r="AP839" s="94">
        <f>Table3.110[[#This Row],[CH4 8h, ml]]/Table3.110[[#This Row],[Net gas 8h, ml]]%</f>
        <v>12.900000000000002</v>
      </c>
      <c r="AQ839" s="94">
        <f>Table3.110[[#This Row],[CH4 24h, ml]]/Table3.110[[#This Row],[Net gas 24h, ml]]%</f>
        <v>14.838512406885412</v>
      </c>
      <c r="AR839" s="94">
        <f>Table3.110[[#This Row],[CH4 24h, ml]]/Table3.110[[#This Row],[DM Incubated, mg]]*1000</f>
        <v>23.602317731399168</v>
      </c>
      <c r="AS839" s="94">
        <f>Table3.110[[#This Row],[CH4 24h, ml]]/Table3.110[[#This Row],[Digested feed, mg]]*1000</f>
        <v>64.777700756058962</v>
      </c>
      <c r="AT839" s="94">
        <f>Table3.110[[#This Row],[CH4 24h, ml]]/'3.2 Digest'!AA839</f>
        <v>-0.36038056005438607</v>
      </c>
      <c r="AU839" s="94">
        <f>((Table3.110[[#This Row],[CH4 24h, ml]]/28.9)*16.04)/Table3.110[[#This Row],[DM Incubated, mg]]*1000</f>
        <v>13.099694685523966</v>
      </c>
      <c r="AV839" s="94">
        <f>((Table3.110[[#This Row],[CH4 24h, ml]]/28.9)*16.04)/Table3.110[[#This Row],[Digested feed, mg]]*1000</f>
        <v>35.952744641079086</v>
      </c>
    </row>
    <row r="840" spans="2:48" s="89" customFormat="1" x14ac:dyDescent="0.35">
      <c r="B840" s="90">
        <f t="shared" si="12"/>
        <v>830</v>
      </c>
      <c r="C840" s="179">
        <v>46055</v>
      </c>
      <c r="D840" s="6"/>
      <c r="E840" s="124" t="s">
        <v>541</v>
      </c>
      <c r="F840" s="6" t="s">
        <v>538</v>
      </c>
      <c r="G840" s="6" t="s">
        <v>542</v>
      </c>
      <c r="H840" s="124" t="s">
        <v>541</v>
      </c>
      <c r="I840" s="277"/>
      <c r="J840" s="278"/>
      <c r="K840" s="124"/>
      <c r="L840" s="124" t="s">
        <v>543</v>
      </c>
      <c r="M840" s="93">
        <v>29</v>
      </c>
      <c r="N840" s="147">
        <v>62</v>
      </c>
      <c r="O840" s="124">
        <v>1</v>
      </c>
      <c r="P840" s="146">
        <v>1</v>
      </c>
      <c r="Q840" s="124">
        <v>141</v>
      </c>
      <c r="R840" s="148"/>
      <c r="S840" s="94"/>
      <c r="T840" s="94"/>
      <c r="U840" s="149">
        <v>0.37777777777777777</v>
      </c>
      <c r="V840" s="150">
        <v>40</v>
      </c>
      <c r="W840" s="149">
        <v>0.70416666666666672</v>
      </c>
      <c r="X840" s="161">
        <v>40.5</v>
      </c>
      <c r="Y840" s="161"/>
      <c r="Z840" s="150"/>
      <c r="AA840" s="149"/>
      <c r="AB840" s="150"/>
      <c r="AC840" s="150"/>
      <c r="AD840" s="163"/>
      <c r="AE840" s="94">
        <f>Table3.110[[#This Row],[Gas 8h, ml]]-Table3.110[[#This Row],[Gas 0h, ml]]</f>
        <v>0.5</v>
      </c>
      <c r="AF840" s="94"/>
      <c r="AG840" s="94"/>
      <c r="AH840" s="94"/>
      <c r="AI840" s="94"/>
      <c r="AJ840" s="94"/>
      <c r="AK840" s="94"/>
      <c r="AL840" s="94"/>
      <c r="AM840" s="94"/>
      <c r="AN840" s="94"/>
      <c r="AO840" s="94"/>
      <c r="AP840" s="94"/>
      <c r="AQ840" s="94"/>
      <c r="AR840" s="94"/>
      <c r="AS840" s="94"/>
      <c r="AT840" s="94"/>
      <c r="AU840" s="94"/>
      <c r="AV840" s="94"/>
    </row>
    <row r="841" spans="2:48" s="89" customFormat="1" x14ac:dyDescent="0.35">
      <c r="B841" s="90">
        <f t="shared" si="12"/>
        <v>831</v>
      </c>
      <c r="C841" s="179">
        <v>46055</v>
      </c>
      <c r="D841" s="6"/>
      <c r="E841" s="124" t="s">
        <v>541</v>
      </c>
      <c r="F841" s="6" t="s">
        <v>538</v>
      </c>
      <c r="G841" s="6" t="s">
        <v>542</v>
      </c>
      <c r="H841" s="124" t="s">
        <v>541</v>
      </c>
      <c r="I841" s="277"/>
      <c r="J841" s="278"/>
      <c r="K841" s="124"/>
      <c r="L841" s="124" t="s">
        <v>543</v>
      </c>
      <c r="M841" s="93">
        <v>29</v>
      </c>
      <c r="N841" s="147">
        <v>62</v>
      </c>
      <c r="O841" s="124">
        <v>1</v>
      </c>
      <c r="P841" s="124">
        <v>2</v>
      </c>
      <c r="Q841" s="124">
        <v>142</v>
      </c>
      <c r="R841" s="148"/>
      <c r="S841" s="94"/>
      <c r="T841" s="94"/>
      <c r="U841" s="151">
        <v>0.37847222222222221</v>
      </c>
      <c r="V841" s="152">
        <v>40</v>
      </c>
      <c r="W841" s="151">
        <v>0.70416666666666672</v>
      </c>
      <c r="X841" s="162">
        <v>40</v>
      </c>
      <c r="Y841" s="162"/>
      <c r="Z841" s="152"/>
      <c r="AA841" s="151"/>
      <c r="AB841" s="152"/>
      <c r="AC841" s="152"/>
      <c r="AD841" s="164"/>
      <c r="AE841" s="94">
        <f>Table3.110[[#This Row],[Gas 8h, ml]]-Table3.110[[#This Row],[Gas 0h, ml]]</f>
        <v>0</v>
      </c>
      <c r="AF841" s="94"/>
      <c r="AG841" s="94"/>
      <c r="AH841" s="94"/>
      <c r="AI841" s="94"/>
      <c r="AJ841" s="94"/>
      <c r="AK841" s="94"/>
      <c r="AL841" s="94"/>
      <c r="AM841" s="94"/>
      <c r="AN841" s="94"/>
      <c r="AO841" s="94"/>
      <c r="AP841" s="94"/>
      <c r="AQ841" s="94"/>
      <c r="AR841" s="94"/>
      <c r="AS841" s="94"/>
      <c r="AT841" s="94"/>
      <c r="AU841" s="94"/>
      <c r="AV841" s="94"/>
    </row>
    <row r="842" spans="2:48" s="89" customFormat="1" x14ac:dyDescent="0.35">
      <c r="B842" s="90">
        <f t="shared" si="12"/>
        <v>832</v>
      </c>
      <c r="C842" s="140">
        <v>46055</v>
      </c>
      <c r="D842" s="6" t="s">
        <v>16</v>
      </c>
      <c r="E842" s="6" t="s">
        <v>370</v>
      </c>
      <c r="F842" s="6" t="s">
        <v>219</v>
      </c>
      <c r="G842" s="6" t="s">
        <v>365</v>
      </c>
      <c r="H842" s="6" t="s">
        <v>366</v>
      </c>
      <c r="I842" s="6" t="s">
        <v>22</v>
      </c>
      <c r="J842" s="129" t="s">
        <v>23</v>
      </c>
      <c r="K842" s="129" t="s">
        <v>215</v>
      </c>
      <c r="L842" s="6" t="s">
        <v>369</v>
      </c>
      <c r="M842" s="93">
        <v>29</v>
      </c>
      <c r="N842" s="93">
        <v>62</v>
      </c>
      <c r="O842" s="6">
        <v>1</v>
      </c>
      <c r="P842" s="129">
        <v>1</v>
      </c>
      <c r="Q842" s="6">
        <v>143</v>
      </c>
      <c r="R842" s="98">
        <v>0.50029999999999997</v>
      </c>
      <c r="S842" s="94">
        <f>((Table3.110[[#This Row],[Sample weight, g]]*'2.1. DM'!Q229)/100)*1000</f>
        <v>458.14788605697112</v>
      </c>
      <c r="T842" s="94">
        <f>'3.2 Digest'!W842</f>
        <v>186.24788605697108</v>
      </c>
      <c r="U842" s="153">
        <v>0.37847222222222221</v>
      </c>
      <c r="V842" s="154">
        <v>41.5</v>
      </c>
      <c r="W842" s="153">
        <v>0.72083333333333333</v>
      </c>
      <c r="X842" s="95">
        <v>79</v>
      </c>
      <c r="Y842" s="95">
        <v>13.2</v>
      </c>
      <c r="Z842" s="154">
        <v>40</v>
      </c>
      <c r="AA842" s="153">
        <v>0.39791666666666664</v>
      </c>
      <c r="AB842" s="154">
        <v>84.5</v>
      </c>
      <c r="AC842" s="154">
        <v>17.100000000000001</v>
      </c>
      <c r="AD842" s="91"/>
      <c r="AE842" s="94">
        <f>Table3.110[[#This Row],[Gas 8h, ml]]-Table3.110[[#This Row],[Gas 0h, ml]]</f>
        <v>37.5</v>
      </c>
      <c r="AF842" s="94">
        <f>Table3.110[[#This Row],[Gas 24h, ml]]-Table3.110[[#This Row],[V8 Push back, ml]]</f>
        <v>44.5</v>
      </c>
      <c r="AG842" s="94">
        <f>Table3.110[[#This Row],[GP 8h, ml]]-(AVERAGE(AE$790,AE$791,AE$840,AE$841,AE$860,AE$861))*$AG$8</f>
        <v>36.319990991876054</v>
      </c>
      <c r="AH842" s="94">
        <f>Table3.110[[#This Row],[GP 8-24h, ml]]-(AVERAGE(AF$790,AF$791,AF$840,AF$841,AF$860,AF$861))*$AG$8</f>
        <v>41.623728042697877</v>
      </c>
      <c r="AI842" s="94">
        <f>Table3.110[[#This Row],[Net gas 8-24h, ml]]+Table3.110[[#This Row],[Net gas 8h, ml]]</f>
        <v>77.943719034573931</v>
      </c>
      <c r="AJ842" s="94">
        <f>Table3.110[[#This Row],[Net gas 8h, ml]]*Table3.110[[#This Row],[CH4 8h %]]%</f>
        <v>4.7942388109276397</v>
      </c>
      <c r="AK842" s="94">
        <f>Table3.110[[#This Row],[Net gas 8-24h, ml]]*Table3.110[[#This Row],[CH4 24h, %]]%</f>
        <v>7.1176574953013372</v>
      </c>
      <c r="AL842" s="94">
        <f>Table3.110[[#This Row],[CH4 8-24h, ml]]+Table3.110[[#This Row],[CH4 8h, ml]]</f>
        <v>11.911896306228977</v>
      </c>
      <c r="AM842" s="94">
        <f>(Table3.110[[#This Row],[Net gas 24h, ml]]/Table3.110[[#This Row],[DM Incubated, mg]])*1000</f>
        <v>170.12785916223032</v>
      </c>
      <c r="AN842" s="94">
        <f>'3.2 Digest'!X842</f>
        <v>40.652350851142202</v>
      </c>
      <c r="AO842" s="94">
        <f>Table3.110[[#This Row],[Digested feed, mg]]/Table3.110[[#This Row],[Net gas 24h, ml]]</f>
        <v>2.3895175693933215</v>
      </c>
      <c r="AP842" s="94">
        <f>Table3.110[[#This Row],[CH4 8h, ml]]/Table3.110[[#This Row],[Net gas 8h, ml]]%</f>
        <v>13.200000000000001</v>
      </c>
      <c r="AQ842" s="94">
        <f>Table3.110[[#This Row],[CH4 24h, ml]]/Table3.110[[#This Row],[Net gas 24h, ml]]%</f>
        <v>15.282689168251197</v>
      </c>
      <c r="AR842" s="94">
        <f>Table3.110[[#This Row],[CH4 24h, ml]]/Table3.110[[#This Row],[DM Incubated, mg]]*1000</f>
        <v>26.000111904363827</v>
      </c>
      <c r="AS842" s="94">
        <f>Table3.110[[#This Row],[CH4 24h, ml]]/Table3.110[[#This Row],[Digested feed, mg]]*1000</f>
        <v>63.95721615108836</v>
      </c>
      <c r="AT842" s="94">
        <f>Table3.110[[#This Row],[CH4 24h, ml]]/'3.2 Digest'!AA842</f>
        <v>-1.2723139373668348</v>
      </c>
      <c r="AU842" s="94">
        <f>((Table3.110[[#This Row],[CH4 24h, ml]]/28.9)*16.04)/Table3.110[[#This Row],[DM Incubated, mg]]*1000</f>
        <v>14.430511935847605</v>
      </c>
      <c r="AV842" s="94">
        <f>((Table3.110[[#This Row],[CH4 24h, ml]]/28.9)*16.04)/Table3.110[[#This Row],[Digested feed, mg]]*1000</f>
        <v>35.497361490085034</v>
      </c>
    </row>
    <row r="843" spans="2:48" s="89" customFormat="1" x14ac:dyDescent="0.35">
      <c r="B843" s="90">
        <f t="shared" si="12"/>
        <v>833</v>
      </c>
      <c r="C843" s="140">
        <v>46055</v>
      </c>
      <c r="D843" s="6" t="s">
        <v>16</v>
      </c>
      <c r="E843" s="6" t="s">
        <v>370</v>
      </c>
      <c r="F843" s="6" t="s">
        <v>219</v>
      </c>
      <c r="G843" s="6" t="s">
        <v>365</v>
      </c>
      <c r="H843" s="6" t="s">
        <v>366</v>
      </c>
      <c r="I843" s="6" t="s">
        <v>22</v>
      </c>
      <c r="J843" s="129" t="s">
        <v>23</v>
      </c>
      <c r="K843" s="129" t="s">
        <v>215</v>
      </c>
      <c r="L843" s="6" t="s">
        <v>369</v>
      </c>
      <c r="M843" s="93">
        <v>29</v>
      </c>
      <c r="N843" s="93">
        <v>62</v>
      </c>
      <c r="O843" s="6">
        <v>1</v>
      </c>
      <c r="P843" s="129">
        <v>2</v>
      </c>
      <c r="Q843" s="6">
        <v>144</v>
      </c>
      <c r="R843" s="98">
        <v>0.50039999999999996</v>
      </c>
      <c r="S843" s="94">
        <f>((Table3.110[[#This Row],[Sample weight, g]]*'2.1. DM'!Q229)/100)*1000</f>
        <v>458.23946068940307</v>
      </c>
      <c r="T843" s="94">
        <f>'3.2 Digest'!W843</f>
        <v>143.53946068940309</v>
      </c>
      <c r="U843" s="117">
        <v>0.37916666666666665</v>
      </c>
      <c r="V843" s="155">
        <v>40.5</v>
      </c>
      <c r="W843" s="117">
        <v>0.72083333333333333</v>
      </c>
      <c r="X843" s="97">
        <v>77</v>
      </c>
      <c r="Y843" s="97">
        <v>13.2</v>
      </c>
      <c r="Z843" s="155">
        <v>40</v>
      </c>
      <c r="AA843" s="117">
        <v>0.39861111111111114</v>
      </c>
      <c r="AB843" s="155">
        <v>76.5</v>
      </c>
      <c r="AC843" s="155">
        <v>17.7</v>
      </c>
      <c r="AD843" s="96"/>
      <c r="AE843" s="94">
        <f>Table3.110[[#This Row],[Gas 8h, ml]]-Table3.110[[#This Row],[Gas 0h, ml]]</f>
        <v>36.5</v>
      </c>
      <c r="AF843" s="94">
        <f>Table3.110[[#This Row],[Gas 24h, ml]]-Table3.110[[#This Row],[V8 Push back, ml]]</f>
        <v>36.5</v>
      </c>
      <c r="AG843" s="94">
        <f>Table3.110[[#This Row],[GP 8h, ml]]-(AVERAGE(AE$790,AE$791,AE$840,AE$841,AE$860,AE$861))*$AG$8</f>
        <v>35.319990991876054</v>
      </c>
      <c r="AH843" s="94">
        <f>Table3.110[[#This Row],[GP 8-24h, ml]]-(AVERAGE(AF$790,AF$791,AF$840,AF$841,AF$860,AF$861))*$AG$8</f>
        <v>33.623728042697877</v>
      </c>
      <c r="AI843" s="94">
        <f>Table3.110[[#This Row],[Net gas 8-24h, ml]]+Table3.110[[#This Row],[Net gas 8h, ml]]</f>
        <v>68.943719034573931</v>
      </c>
      <c r="AJ843" s="94">
        <f>Table3.110[[#This Row],[Net gas 8h, ml]]*Table3.110[[#This Row],[CH4 8h %]]%</f>
        <v>4.6622388109276391</v>
      </c>
      <c r="AK843" s="94">
        <f>Table3.110[[#This Row],[Net gas 8-24h, ml]]*Table3.110[[#This Row],[CH4 24h, %]]%</f>
        <v>5.9513998635575236</v>
      </c>
      <c r="AL843" s="94">
        <f>Table3.110[[#This Row],[CH4 8-24h, ml]]+Table3.110[[#This Row],[CH4 8h, ml]]</f>
        <v>10.613638674485163</v>
      </c>
      <c r="AM843" s="94">
        <f>(Table3.110[[#This Row],[Net gas 24h, ml]]/Table3.110[[#This Row],[DM Incubated, mg]])*1000</f>
        <v>150.45347454549386</v>
      </c>
      <c r="AN843" s="94">
        <f>'3.2 Digest'!X843</f>
        <v>31.324116101536447</v>
      </c>
      <c r="AO843" s="94">
        <f>Table3.110[[#This Row],[Digested feed, mg]]/Table3.110[[#This Row],[Net gas 24h, ml]]</f>
        <v>2.0819802398159117</v>
      </c>
      <c r="AP843" s="94">
        <f>Table3.110[[#This Row],[CH4 8h, ml]]/Table3.110[[#This Row],[Net gas 8h, ml]]%</f>
        <v>13.2</v>
      </c>
      <c r="AQ843" s="94">
        <f>Table3.110[[#This Row],[CH4 24h, ml]]/Table3.110[[#This Row],[Net gas 24h, ml]]%</f>
        <v>15.39464192403463</v>
      </c>
      <c r="AR843" s="94">
        <f>Table3.110[[#This Row],[CH4 24h, ml]]/Table3.110[[#This Row],[DM Incubated, mg]]*1000</f>
        <v>23.161773668547365</v>
      </c>
      <c r="AS843" s="94">
        <f>Table3.110[[#This Row],[CH4 24h, ml]]/Table3.110[[#This Row],[Digested feed, mg]]*1000</f>
        <v>73.942305645493647</v>
      </c>
      <c r="AT843" s="94">
        <f>Table3.110[[#This Row],[CH4 24h, ml]]/'3.2 Digest'!AA843</f>
        <v>-0.399731573429422</v>
      </c>
      <c r="AU843" s="94">
        <f>((Table3.110[[#This Row],[CH4 24h, ml]]/28.9)*16.04)/Table3.110[[#This Row],[DM Incubated, mg]]*1000</f>
        <v>12.85518510877162</v>
      </c>
      <c r="AV843" s="94">
        <f>((Table3.110[[#This Row],[CH4 24h, ml]]/28.9)*16.04)/Table3.110[[#This Row],[Digested feed, mg]]*1000</f>
        <v>41.039258911893363</v>
      </c>
    </row>
    <row r="844" spans="2:48" s="89" customFormat="1" x14ac:dyDescent="0.35">
      <c r="B844" s="90">
        <f t="shared" ref="B844:B907" si="13">B843+1</f>
        <v>834</v>
      </c>
      <c r="C844" s="140">
        <v>46055</v>
      </c>
      <c r="D844" s="6" t="s">
        <v>16</v>
      </c>
      <c r="E844" s="6" t="s">
        <v>370</v>
      </c>
      <c r="F844" s="6" t="s">
        <v>219</v>
      </c>
      <c r="G844" s="6" t="s">
        <v>365</v>
      </c>
      <c r="H844" s="6" t="s">
        <v>366</v>
      </c>
      <c r="I844" s="6" t="s">
        <v>22</v>
      </c>
      <c r="J844" s="129" t="s">
        <v>23</v>
      </c>
      <c r="K844" s="129" t="s">
        <v>215</v>
      </c>
      <c r="L844" s="6" t="s">
        <v>369</v>
      </c>
      <c r="M844" s="93">
        <v>29</v>
      </c>
      <c r="N844" s="93">
        <v>62</v>
      </c>
      <c r="O844" s="6">
        <v>1</v>
      </c>
      <c r="P844" s="129">
        <v>3</v>
      </c>
      <c r="Q844" s="6">
        <v>145</v>
      </c>
      <c r="R844" s="98">
        <v>0.50019999999999998</v>
      </c>
      <c r="S844" s="94">
        <f>((Table3.110[[#This Row],[Sample weight, g]]*'2.1. DM'!Q229)/100)*1000</f>
        <v>458.05631142453916</v>
      </c>
      <c r="T844" s="94">
        <f>'3.2 Digest'!W844</f>
        <v>167.95631142453914</v>
      </c>
      <c r="U844" s="153">
        <v>0.37916666666666665</v>
      </c>
      <c r="V844" s="154">
        <v>40.5</v>
      </c>
      <c r="W844" s="153">
        <v>0.72152777777777777</v>
      </c>
      <c r="X844" s="95">
        <v>77</v>
      </c>
      <c r="Y844" s="95">
        <v>13.3</v>
      </c>
      <c r="Z844" s="154">
        <v>40</v>
      </c>
      <c r="AA844" s="153">
        <v>0.39861111111111114</v>
      </c>
      <c r="AB844" s="154">
        <v>80.5</v>
      </c>
      <c r="AC844" s="154">
        <v>17.5</v>
      </c>
      <c r="AD844" s="91"/>
      <c r="AE844" s="94">
        <f>Table3.110[[#This Row],[Gas 8h, ml]]-Table3.110[[#This Row],[Gas 0h, ml]]</f>
        <v>36.5</v>
      </c>
      <c r="AF844" s="94">
        <f>Table3.110[[#This Row],[Gas 24h, ml]]-Table3.110[[#This Row],[V8 Push back, ml]]</f>
        <v>40.5</v>
      </c>
      <c r="AG844" s="94">
        <f>Table3.110[[#This Row],[GP 8h, ml]]-(AVERAGE(AE$790,AE$791,AE$840,AE$841,AE$860,AE$861))*$AG$8</f>
        <v>35.319990991876054</v>
      </c>
      <c r="AH844" s="94">
        <f>Table3.110[[#This Row],[GP 8-24h, ml]]-(AVERAGE(AF$790,AF$791,AF$840,AF$841,AF$860,AF$861))*$AG$8</f>
        <v>37.623728042697877</v>
      </c>
      <c r="AI844" s="94">
        <f>Table3.110[[#This Row],[Net gas 8-24h, ml]]+Table3.110[[#This Row],[Net gas 8h, ml]]</f>
        <v>72.943719034573931</v>
      </c>
      <c r="AJ844" s="94">
        <f>Table3.110[[#This Row],[Net gas 8h, ml]]*Table3.110[[#This Row],[CH4 8h %]]%</f>
        <v>4.6975588019195156</v>
      </c>
      <c r="AK844" s="94">
        <f>Table3.110[[#This Row],[Net gas 8-24h, ml]]*Table3.110[[#This Row],[CH4 24h, %]]%</f>
        <v>6.5841524074721285</v>
      </c>
      <c r="AL844" s="94">
        <f>Table3.110[[#This Row],[CH4 8-24h, ml]]+Table3.110[[#This Row],[CH4 8h, ml]]</f>
        <v>11.281711209391645</v>
      </c>
      <c r="AM844" s="94">
        <f>(Table3.110[[#This Row],[Net gas 24h, ml]]/Table3.110[[#This Row],[DM Incubated, mg]])*1000</f>
        <v>159.24618265322337</v>
      </c>
      <c r="AN844" s="94">
        <f>'3.2 Digest'!X844</f>
        <v>36.667175461942847</v>
      </c>
      <c r="AO844" s="94">
        <f>Table3.110[[#This Row],[Digested feed, mg]]/Table3.110[[#This Row],[Net gas 24h, ml]]</f>
        <v>2.3025465886230871</v>
      </c>
      <c r="AP844" s="94">
        <f>Table3.110[[#This Row],[CH4 8h, ml]]/Table3.110[[#This Row],[Net gas 8h, ml]]%</f>
        <v>13.3</v>
      </c>
      <c r="AQ844" s="94">
        <f>Table3.110[[#This Row],[CH4 24h, ml]]/Table3.110[[#This Row],[Net gas 24h, ml]]%</f>
        <v>15.466323020964053</v>
      </c>
      <c r="AR844" s="94">
        <f>Table3.110[[#This Row],[CH4 24h, ml]]/Table3.110[[#This Row],[DM Incubated, mg]]*1000</f>
        <v>24.629529007701947</v>
      </c>
      <c r="AS844" s="94">
        <f>Table3.110[[#This Row],[CH4 24h, ml]]/Table3.110[[#This Row],[Digested feed, mg]]*1000</f>
        <v>67.170510674499965</v>
      </c>
      <c r="AT844" s="94">
        <f>Table3.110[[#This Row],[CH4 24h, ml]]/'3.2 Digest'!AA844</f>
        <v>-0.67530746737053859</v>
      </c>
      <c r="AU844" s="94">
        <f>((Table3.110[[#This Row],[CH4 24h, ml]]/28.9)*16.04)/Table3.110[[#This Row],[DM Incubated, mg]]*1000</f>
        <v>13.669814715693398</v>
      </c>
      <c r="AV844" s="94">
        <f>((Table3.110[[#This Row],[CH4 24h, ml]]/28.9)*16.04)/Table3.110[[#This Row],[Digested feed, mg]]*1000</f>
        <v>37.280795543909321</v>
      </c>
    </row>
    <row r="845" spans="2:48" s="89" customFormat="1" x14ac:dyDescent="0.35">
      <c r="B845" s="90">
        <f t="shared" si="13"/>
        <v>835</v>
      </c>
      <c r="C845" s="140">
        <v>46055</v>
      </c>
      <c r="D845" s="6" t="s">
        <v>16</v>
      </c>
      <c r="E845" s="6" t="s">
        <v>372</v>
      </c>
      <c r="F845" s="6" t="s">
        <v>219</v>
      </c>
      <c r="G845" s="6" t="s">
        <v>220</v>
      </c>
      <c r="H845" s="6" t="s">
        <v>221</v>
      </c>
      <c r="I845" s="6" t="s">
        <v>22</v>
      </c>
      <c r="J845" s="129" t="s">
        <v>23</v>
      </c>
      <c r="K845" s="129" t="s">
        <v>215</v>
      </c>
      <c r="L845" s="6" t="s">
        <v>371</v>
      </c>
      <c r="M845" s="93">
        <v>29</v>
      </c>
      <c r="N845" s="93">
        <v>62</v>
      </c>
      <c r="O845" s="6">
        <v>1</v>
      </c>
      <c r="P845" s="129">
        <v>1</v>
      </c>
      <c r="Q845" s="6">
        <v>146</v>
      </c>
      <c r="R845" s="98">
        <v>0.50019999999999998</v>
      </c>
      <c r="S845" s="94">
        <f>((Table3.110[[#This Row],[Sample weight, g]]*'2.1. DM'!Q231)/100)*1000</f>
        <v>447.89214433130559</v>
      </c>
      <c r="T845" s="94">
        <f>'3.2 Digest'!W845</f>
        <v>167.19214433130554</v>
      </c>
      <c r="U845" s="117">
        <v>0.37986111111111109</v>
      </c>
      <c r="V845" s="155">
        <v>40.5</v>
      </c>
      <c r="W845" s="117">
        <v>0.72152777777777777</v>
      </c>
      <c r="X845" s="97">
        <v>69.5</v>
      </c>
      <c r="Y845" s="97">
        <v>13.6</v>
      </c>
      <c r="Z845" s="155">
        <v>40</v>
      </c>
      <c r="AA845" s="117">
        <v>0.39930555555555558</v>
      </c>
      <c r="AB845" s="155">
        <v>76.5</v>
      </c>
      <c r="AC845" s="155">
        <v>17</v>
      </c>
      <c r="AD845" s="96"/>
      <c r="AE845" s="94">
        <f>Table3.110[[#This Row],[Gas 8h, ml]]-Table3.110[[#This Row],[Gas 0h, ml]]</f>
        <v>29</v>
      </c>
      <c r="AF845" s="94">
        <f>Table3.110[[#This Row],[Gas 24h, ml]]-Table3.110[[#This Row],[V8 Push back, ml]]</f>
        <v>36.5</v>
      </c>
      <c r="AG845" s="94">
        <f>Table3.110[[#This Row],[GP 8h, ml]]-(AVERAGE(AE$790,AE$791,AE$840,AE$841,AE$860,AE$861))*$AG$8</f>
        <v>27.81999099187605</v>
      </c>
      <c r="AH845" s="94">
        <f>Table3.110[[#This Row],[GP 8-24h, ml]]-(AVERAGE(AF$790,AF$791,AF$840,AF$841,AF$860,AF$861))*$AG$8</f>
        <v>33.623728042697877</v>
      </c>
      <c r="AI845" s="94">
        <f>Table3.110[[#This Row],[Net gas 8-24h, ml]]+Table3.110[[#This Row],[Net gas 8h, ml]]</f>
        <v>61.443719034573931</v>
      </c>
      <c r="AJ845" s="94">
        <f>Table3.110[[#This Row],[Net gas 8h, ml]]*Table3.110[[#This Row],[CH4 8h %]]%</f>
        <v>3.7835187748951431</v>
      </c>
      <c r="AK845" s="94">
        <f>Table3.110[[#This Row],[Net gas 8-24h, ml]]*Table3.110[[#This Row],[CH4 24h, %]]%</f>
        <v>5.7160337672586392</v>
      </c>
      <c r="AL845" s="94">
        <f>Table3.110[[#This Row],[CH4 8-24h, ml]]+Table3.110[[#This Row],[CH4 8h, ml]]</f>
        <v>9.4995525421537828</v>
      </c>
      <c r="AM845" s="94">
        <f>(Table3.110[[#This Row],[Net gas 24h, ml]]/Table3.110[[#This Row],[DM Incubated, mg]])*1000</f>
        <v>137.18418555053745</v>
      </c>
      <c r="AN845" s="94">
        <f>'3.2 Digest'!X845</f>
        <v>37.328661921704438</v>
      </c>
      <c r="AO845" s="94">
        <f>Table3.110[[#This Row],[Digested feed, mg]]/Table3.110[[#This Row],[Net gas 24h, ml]]</f>
        <v>2.7210615984561048</v>
      </c>
      <c r="AP845" s="94">
        <f>Table3.110[[#This Row],[CH4 8h, ml]]/Table3.110[[#This Row],[Net gas 8h, ml]]%</f>
        <v>13.600000000000001</v>
      </c>
      <c r="AQ845" s="94">
        <f>Table3.110[[#This Row],[CH4 24h, ml]]/Table3.110[[#This Row],[Net gas 24h, ml]]%</f>
        <v>15.460575452485964</v>
      </c>
      <c r="AR845" s="94">
        <f>Table3.110[[#This Row],[CH4 24h, ml]]/Table3.110[[#This Row],[DM Incubated, mg]]*1000</f>
        <v>21.209464515919191</v>
      </c>
      <c r="AS845" s="94">
        <f>Table3.110[[#This Row],[CH4 24h, ml]]/Table3.110[[#This Row],[Digested feed, mg]]*1000</f>
        <v>56.818175160966931</v>
      </c>
      <c r="AT845" s="94">
        <f>Table3.110[[#This Row],[CH4 24h, ml]]/'3.2 Digest'!AA845</f>
        <v>-0.23713521778944374</v>
      </c>
      <c r="AU845" s="94">
        <f>((Table3.110[[#This Row],[CH4 24h, ml]]/28.9)*16.04)/Table3.110[[#This Row],[DM Incubated, mg]]*1000</f>
        <v>11.771619752088021</v>
      </c>
      <c r="AV845" s="94">
        <f>((Table3.110[[#This Row],[CH4 24h, ml]]/28.9)*16.04)/Table3.110[[#This Row],[Digested feed, mg]]*1000</f>
        <v>31.535070227747728</v>
      </c>
    </row>
    <row r="846" spans="2:48" s="89" customFormat="1" x14ac:dyDescent="0.35">
      <c r="B846" s="90">
        <f t="shared" si="13"/>
        <v>836</v>
      </c>
      <c r="C846" s="140">
        <v>46055</v>
      </c>
      <c r="D846" s="6" t="s">
        <v>16</v>
      </c>
      <c r="E846" s="6" t="s">
        <v>372</v>
      </c>
      <c r="F846" s="6" t="s">
        <v>219</v>
      </c>
      <c r="G846" s="6" t="s">
        <v>220</v>
      </c>
      <c r="H846" s="6" t="s">
        <v>221</v>
      </c>
      <c r="I846" s="6" t="s">
        <v>22</v>
      </c>
      <c r="J846" s="129" t="s">
        <v>23</v>
      </c>
      <c r="K846" s="129" t="s">
        <v>215</v>
      </c>
      <c r="L846" s="6" t="s">
        <v>371</v>
      </c>
      <c r="M846" s="93">
        <v>29</v>
      </c>
      <c r="N846" s="93">
        <v>62</v>
      </c>
      <c r="O846" s="6">
        <v>1</v>
      </c>
      <c r="P846" s="129">
        <v>2</v>
      </c>
      <c r="Q846" s="6">
        <v>147</v>
      </c>
      <c r="R846" s="98">
        <v>0.50009999999999999</v>
      </c>
      <c r="S846" s="94">
        <f>((Table3.110[[#This Row],[Sample weight, g]]*'2.1. DM'!Q231)/100)*1000</f>
        <v>447.80260171948413</v>
      </c>
      <c r="T846" s="94">
        <f>'3.2 Digest'!W846</f>
        <v>171.60260171948414</v>
      </c>
      <c r="U846" s="153">
        <v>0.38055555555555554</v>
      </c>
      <c r="V846" s="154">
        <v>41</v>
      </c>
      <c r="W846" s="153">
        <v>0.72152777777777777</v>
      </c>
      <c r="X846" s="95">
        <v>69.5</v>
      </c>
      <c r="Y846" s="95">
        <v>13.4</v>
      </c>
      <c r="Z846" s="154">
        <v>40</v>
      </c>
      <c r="AA846" s="153">
        <v>0.39930555555555558</v>
      </c>
      <c r="AB846" s="154">
        <v>79</v>
      </c>
      <c r="AC846" s="154">
        <v>16.600000000000001</v>
      </c>
      <c r="AD846" s="91"/>
      <c r="AE846" s="94">
        <f>Table3.110[[#This Row],[Gas 8h, ml]]-Table3.110[[#This Row],[Gas 0h, ml]]</f>
        <v>28.5</v>
      </c>
      <c r="AF846" s="94">
        <f>Table3.110[[#This Row],[Gas 24h, ml]]-Table3.110[[#This Row],[V8 Push back, ml]]</f>
        <v>39</v>
      </c>
      <c r="AG846" s="94">
        <f>Table3.110[[#This Row],[GP 8h, ml]]-(AVERAGE(AE$790,AE$791,AE$840,AE$841,AE$860,AE$861))*$AG$8</f>
        <v>27.31999099187605</v>
      </c>
      <c r="AH846" s="94">
        <f>Table3.110[[#This Row],[GP 8-24h, ml]]-(AVERAGE(AF$790,AF$791,AF$840,AF$841,AF$860,AF$861))*$AG$8</f>
        <v>36.123728042697877</v>
      </c>
      <c r="AI846" s="94">
        <f>Table3.110[[#This Row],[Net gas 8-24h, ml]]+Table3.110[[#This Row],[Net gas 8h, ml]]</f>
        <v>63.443719034573931</v>
      </c>
      <c r="AJ846" s="94">
        <f>Table3.110[[#This Row],[Net gas 8h, ml]]*Table3.110[[#This Row],[CH4 8h %]]%</f>
        <v>3.6608787929113911</v>
      </c>
      <c r="AK846" s="94">
        <f>Table3.110[[#This Row],[Net gas 8-24h, ml]]*Table3.110[[#This Row],[CH4 24h, %]]%</f>
        <v>5.9965388550878478</v>
      </c>
      <c r="AL846" s="94">
        <f>Table3.110[[#This Row],[CH4 8-24h, ml]]+Table3.110[[#This Row],[CH4 8h, ml]]</f>
        <v>9.6574176479992389</v>
      </c>
      <c r="AM846" s="94">
        <f>(Table3.110[[#This Row],[Net gas 24h, ml]]/Table3.110[[#This Row],[DM Incubated, mg]])*1000</f>
        <v>141.67787054153121</v>
      </c>
      <c r="AN846" s="94">
        <f>'3.2 Digest'!X846</f>
        <v>38.321037229475664</v>
      </c>
      <c r="AO846" s="94">
        <f>Table3.110[[#This Row],[Digested feed, mg]]/Table3.110[[#This Row],[Net gas 24h, ml]]</f>
        <v>2.7048004803433505</v>
      </c>
      <c r="AP846" s="94">
        <f>Table3.110[[#This Row],[CH4 8h, ml]]/Table3.110[[#This Row],[Net gas 8h, ml]]%</f>
        <v>13.4</v>
      </c>
      <c r="AQ846" s="94">
        <f>Table3.110[[#This Row],[CH4 24h, ml]]/Table3.110[[#This Row],[Net gas 24h, ml]]%</f>
        <v>15.222023227762525</v>
      </c>
      <c r="AR846" s="94">
        <f>Table3.110[[#This Row],[CH4 24h, ml]]/Table3.110[[#This Row],[DM Incubated, mg]]*1000</f>
        <v>21.5662383624312</v>
      </c>
      <c r="AS846" s="94">
        <f>Table3.110[[#This Row],[CH4 24h, ml]]/Table3.110[[#This Row],[Digested feed, mg]]*1000</f>
        <v>56.277804364446965</v>
      </c>
      <c r="AT846" s="94">
        <f>Table3.110[[#This Row],[CH4 24h, ml]]/'3.2 Digest'!AA846</f>
        <v>-0.25520464600608411</v>
      </c>
      <c r="AU846" s="94">
        <f>((Table3.110[[#This Row],[CH4 24h, ml]]/28.9)*16.04)/Table3.110[[#This Row],[DM Incubated, mg]]*1000</f>
        <v>11.969635409460087</v>
      </c>
      <c r="AV846" s="94">
        <f>((Table3.110[[#This Row],[CH4 24h, ml]]/28.9)*16.04)/Table3.110[[#This Row],[Digested feed, mg]]*1000</f>
        <v>31.235155086703436</v>
      </c>
    </row>
    <row r="847" spans="2:48" s="89" customFormat="1" x14ac:dyDescent="0.35">
      <c r="B847" s="90">
        <f t="shared" si="13"/>
        <v>837</v>
      </c>
      <c r="C847" s="140">
        <v>46055</v>
      </c>
      <c r="D847" s="6" t="s">
        <v>16</v>
      </c>
      <c r="E847" s="6" t="s">
        <v>372</v>
      </c>
      <c r="F847" s="6" t="s">
        <v>219</v>
      </c>
      <c r="G847" s="6" t="s">
        <v>220</v>
      </c>
      <c r="H847" s="6" t="s">
        <v>221</v>
      </c>
      <c r="I847" s="6" t="s">
        <v>22</v>
      </c>
      <c r="J847" s="129" t="s">
        <v>23</v>
      </c>
      <c r="K847" s="129" t="s">
        <v>215</v>
      </c>
      <c r="L847" s="6" t="s">
        <v>371</v>
      </c>
      <c r="M847" s="93">
        <v>29</v>
      </c>
      <c r="N847" s="93">
        <v>62</v>
      </c>
      <c r="O847" s="6">
        <v>1</v>
      </c>
      <c r="P847" s="129">
        <v>3</v>
      </c>
      <c r="Q847" s="6">
        <v>148</v>
      </c>
      <c r="R847" s="98">
        <v>0.50009999999999999</v>
      </c>
      <c r="S847" s="94">
        <f>((Table3.110[[#This Row],[Sample weight, g]]*'2.1. DM'!Q231)/100)*1000</f>
        <v>447.80260171948413</v>
      </c>
      <c r="T847" s="94">
        <f>'3.2 Digest'!W847</f>
        <v>224.20260171948411</v>
      </c>
      <c r="U847" s="117">
        <v>0.38055555555555554</v>
      </c>
      <c r="V847" s="155">
        <v>41</v>
      </c>
      <c r="W847" s="117">
        <v>0.72222222222222221</v>
      </c>
      <c r="X847" s="97">
        <v>70</v>
      </c>
      <c r="Y847" s="97">
        <v>13.4</v>
      </c>
      <c r="Z847" s="155">
        <v>40</v>
      </c>
      <c r="AA847" s="117">
        <v>0.4</v>
      </c>
      <c r="AB847" s="155">
        <v>81</v>
      </c>
      <c r="AC847" s="155">
        <v>16.7</v>
      </c>
      <c r="AD847" s="96"/>
      <c r="AE847" s="94">
        <f>Table3.110[[#This Row],[Gas 8h, ml]]-Table3.110[[#This Row],[Gas 0h, ml]]</f>
        <v>29</v>
      </c>
      <c r="AF847" s="94">
        <f>Table3.110[[#This Row],[Gas 24h, ml]]-Table3.110[[#This Row],[V8 Push back, ml]]</f>
        <v>41</v>
      </c>
      <c r="AG847" s="94">
        <f>Table3.110[[#This Row],[GP 8h, ml]]-(AVERAGE(AE$790,AE$791,AE$840,AE$841,AE$860,AE$861))*$AG$8</f>
        <v>27.81999099187605</v>
      </c>
      <c r="AH847" s="94">
        <f>Table3.110[[#This Row],[GP 8-24h, ml]]-(AVERAGE(AF$790,AF$791,AF$840,AF$841,AF$860,AF$861))*$AG$8</f>
        <v>38.123728042697877</v>
      </c>
      <c r="AI847" s="94">
        <f>Table3.110[[#This Row],[Net gas 8-24h, ml]]+Table3.110[[#This Row],[Net gas 8h, ml]]</f>
        <v>65.943719034573931</v>
      </c>
      <c r="AJ847" s="94">
        <f>Table3.110[[#This Row],[Net gas 8h, ml]]*Table3.110[[#This Row],[CH4 8h %]]%</f>
        <v>3.7278787929113908</v>
      </c>
      <c r="AK847" s="94">
        <f>Table3.110[[#This Row],[Net gas 8-24h, ml]]*Table3.110[[#This Row],[CH4 24h, %]]%</f>
        <v>6.3666625831305446</v>
      </c>
      <c r="AL847" s="94">
        <f>Table3.110[[#This Row],[CH4 8-24h, ml]]+Table3.110[[#This Row],[CH4 8h, ml]]</f>
        <v>10.094541376041935</v>
      </c>
      <c r="AM847" s="94">
        <f>(Table3.110[[#This Row],[Net gas 24h, ml]]/Table3.110[[#This Row],[DM Incubated, mg]])*1000</f>
        <v>147.26068759172347</v>
      </c>
      <c r="AN847" s="94">
        <f>'3.2 Digest'!X847</f>
        <v>50.067284303080214</v>
      </c>
      <c r="AO847" s="94">
        <f>Table3.110[[#This Row],[Digested feed, mg]]/Table3.110[[#This Row],[Net gas 24h, ml]]</f>
        <v>3.3999083612790462</v>
      </c>
      <c r="AP847" s="94">
        <f>Table3.110[[#This Row],[CH4 8h, ml]]/Table3.110[[#This Row],[Net gas 8h, ml]]%</f>
        <v>13.400000000000002</v>
      </c>
      <c r="AQ847" s="94">
        <f>Table3.110[[#This Row],[CH4 24h, ml]]/Table3.110[[#This Row],[Net gas 24h, ml]]%</f>
        <v>15.307813274452146</v>
      </c>
      <c r="AR847" s="94">
        <f>Table3.110[[#This Row],[CH4 24h, ml]]/Table3.110[[#This Row],[DM Incubated, mg]]*1000</f>
        <v>22.542391083215353</v>
      </c>
      <c r="AS847" s="94">
        <f>Table3.110[[#This Row],[CH4 24h, ml]]/Table3.110[[#This Row],[Digested feed, mg]]*1000</f>
        <v>45.024193736484541</v>
      </c>
      <c r="AT847" s="94">
        <f>Table3.110[[#This Row],[CH4 24h, ml]]/'3.2 Digest'!AA847</f>
        <v>-0.87089342848613316</v>
      </c>
      <c r="AU847" s="94">
        <f>((Table3.110[[#This Row],[CH4 24h, ml]]/28.9)*16.04)/Table3.110[[#This Row],[DM Incubated, mg]]*1000</f>
        <v>12.511417057950666</v>
      </c>
      <c r="AV847" s="94">
        <f>((Table3.110[[#This Row],[CH4 24h, ml]]/28.9)*16.04)/Table3.110[[#This Row],[Digested feed, mg]]*1000</f>
        <v>24.98920648903848</v>
      </c>
    </row>
    <row r="848" spans="2:48" s="89" customFormat="1" x14ac:dyDescent="0.35">
      <c r="B848" s="90">
        <f t="shared" si="13"/>
        <v>838</v>
      </c>
      <c r="C848" s="140">
        <v>46055</v>
      </c>
      <c r="D848" s="6" t="s">
        <v>16</v>
      </c>
      <c r="E848" s="6" t="s">
        <v>374</v>
      </c>
      <c r="F848" s="6" t="s">
        <v>219</v>
      </c>
      <c r="G848" s="6" t="s">
        <v>253</v>
      </c>
      <c r="H848" s="6" t="s">
        <v>254</v>
      </c>
      <c r="I848" s="6" t="s">
        <v>22</v>
      </c>
      <c r="J848" s="129" t="s">
        <v>23</v>
      </c>
      <c r="K848" s="129" t="s">
        <v>215</v>
      </c>
      <c r="L848" s="6" t="s">
        <v>373</v>
      </c>
      <c r="M848" s="93">
        <v>29</v>
      </c>
      <c r="N848" s="93">
        <v>62</v>
      </c>
      <c r="O848" s="6">
        <v>1</v>
      </c>
      <c r="P848" s="129">
        <v>1</v>
      </c>
      <c r="Q848" s="6">
        <v>149</v>
      </c>
      <c r="R848" s="98">
        <v>0.5</v>
      </c>
      <c r="S848" s="94">
        <f>((Table3.110[[#This Row],[Sample weight, g]]*'2.1. DM'!Q233)/100)*1000</f>
        <v>452.41191689683649</v>
      </c>
      <c r="T848" s="94">
        <f>'3.2 Digest'!W848</f>
        <v>248.91191689683649</v>
      </c>
      <c r="U848" s="153">
        <v>0.38124999999999998</v>
      </c>
      <c r="V848" s="154">
        <v>40.5</v>
      </c>
      <c r="W848" s="153">
        <v>0.72222222222222221</v>
      </c>
      <c r="X848" s="95">
        <v>79</v>
      </c>
      <c r="Y848" s="95">
        <v>13.4</v>
      </c>
      <c r="Z848" s="154">
        <v>40</v>
      </c>
      <c r="AA848" s="153">
        <v>0.4</v>
      </c>
      <c r="AB848" s="154">
        <v>80</v>
      </c>
      <c r="AC848" s="154">
        <v>16</v>
      </c>
      <c r="AD848" s="91"/>
      <c r="AE848" s="94">
        <f>Table3.110[[#This Row],[Gas 8h, ml]]-Table3.110[[#This Row],[Gas 0h, ml]]</f>
        <v>38.5</v>
      </c>
      <c r="AF848" s="94">
        <f>Table3.110[[#This Row],[Gas 24h, ml]]-Table3.110[[#This Row],[V8 Push back, ml]]</f>
        <v>40</v>
      </c>
      <c r="AG848" s="94">
        <f>Table3.110[[#This Row],[GP 8h, ml]]-(AVERAGE(AE$790,AE$791,AE$840,AE$841,AE$860,AE$861))*$AG$8</f>
        <v>37.319990991876054</v>
      </c>
      <c r="AH848" s="94">
        <f>Table3.110[[#This Row],[GP 8-24h, ml]]-(AVERAGE(AF$790,AF$791,AF$840,AF$841,AF$860,AF$861))*$AG$8</f>
        <v>37.123728042697877</v>
      </c>
      <c r="AI848" s="94">
        <f>Table3.110[[#This Row],[Net gas 8-24h, ml]]+Table3.110[[#This Row],[Net gas 8h, ml]]</f>
        <v>74.443719034573931</v>
      </c>
      <c r="AJ848" s="94">
        <f>Table3.110[[#This Row],[Net gas 8h, ml]]*Table3.110[[#This Row],[CH4 8h %]]%</f>
        <v>5.0008787929113918</v>
      </c>
      <c r="AK848" s="94">
        <f>Table3.110[[#This Row],[Net gas 8-24h, ml]]*Table3.110[[#This Row],[CH4 24h, %]]%</f>
        <v>5.9397964868316606</v>
      </c>
      <c r="AL848" s="94">
        <f>Table3.110[[#This Row],[CH4 8-24h, ml]]+Table3.110[[#This Row],[CH4 8h, ml]]</f>
        <v>10.940675279743052</v>
      </c>
      <c r="AM848" s="94">
        <f>(Table3.110[[#This Row],[Net gas 24h, ml]]/Table3.110[[#This Row],[DM Incubated, mg]])*1000</f>
        <v>164.54853697310836</v>
      </c>
      <c r="AN848" s="94">
        <f>'3.2 Digest'!X848</f>
        <v>55.018868336661406</v>
      </c>
      <c r="AO848" s="94">
        <f>Table3.110[[#This Row],[Digested feed, mg]]/Table3.110[[#This Row],[Net gas 24h, ml]]</f>
        <v>3.3436254948686028</v>
      </c>
      <c r="AP848" s="94">
        <f>Table3.110[[#This Row],[CH4 8h, ml]]/Table3.110[[#This Row],[Net gas 8h, ml]]%</f>
        <v>13.4</v>
      </c>
      <c r="AQ848" s="94">
        <f>Table3.110[[#This Row],[CH4 24h, ml]]/Table3.110[[#This Row],[Net gas 24h, ml]]%</f>
        <v>14.696572688236962</v>
      </c>
      <c r="AR848" s="94">
        <f>Table3.110[[#This Row],[CH4 24h, ml]]/Table3.110[[#This Row],[DM Incubated, mg]]*1000</f>
        <v>24.182995343683345</v>
      </c>
      <c r="AS848" s="94">
        <f>Table3.110[[#This Row],[CH4 24h, ml]]/Table3.110[[#This Row],[Digested feed, mg]]*1000</f>
        <v>43.954003553303167</v>
      </c>
      <c r="AT848" s="94">
        <f>Table3.110[[#This Row],[CH4 24h, ml]]/'3.2 Digest'!AA848</f>
        <v>1.4559317843782675</v>
      </c>
      <c r="AU848" s="94">
        <f>((Table3.110[[#This Row],[CH4 24h, ml]]/28.9)*16.04)/Table3.110[[#This Row],[DM Incubated, mg]]*1000</f>
        <v>13.421980806667158</v>
      </c>
      <c r="AV848" s="94">
        <f>((Table3.110[[#This Row],[CH4 24h, ml]]/28.9)*16.04)/Table3.110[[#This Row],[Digested feed, mg]]*1000</f>
        <v>24.39523242197172</v>
      </c>
    </row>
    <row r="849" spans="2:48" s="89" customFormat="1" x14ac:dyDescent="0.35">
      <c r="B849" s="90">
        <f t="shared" si="13"/>
        <v>839</v>
      </c>
      <c r="C849" s="144">
        <v>46055</v>
      </c>
      <c r="D849" s="6" t="s">
        <v>16</v>
      </c>
      <c r="E849" s="57" t="s">
        <v>374</v>
      </c>
      <c r="F849" s="6" t="s">
        <v>219</v>
      </c>
      <c r="G849" s="6" t="s">
        <v>253</v>
      </c>
      <c r="H849" s="57" t="s">
        <v>254</v>
      </c>
      <c r="I849" s="6" t="s">
        <v>22</v>
      </c>
      <c r="J849" s="129" t="s">
        <v>23</v>
      </c>
      <c r="K849" s="129" t="s">
        <v>215</v>
      </c>
      <c r="L849" s="6" t="s">
        <v>373</v>
      </c>
      <c r="M849" s="93">
        <v>29</v>
      </c>
      <c r="N849" s="105">
        <v>62</v>
      </c>
      <c r="O849" s="57">
        <v>1</v>
      </c>
      <c r="P849" s="130">
        <v>2</v>
      </c>
      <c r="Q849" s="57">
        <v>150</v>
      </c>
      <c r="R849" s="106">
        <v>0.5</v>
      </c>
      <c r="S849" s="94">
        <f>((Table3.110[[#This Row],[Sample weight, g]]*'2.1. DM'!Q233)/100)*1000</f>
        <v>452.41191689683649</v>
      </c>
      <c r="T849" s="94">
        <f>'3.2 Digest'!W849</f>
        <v>242.81191689683646</v>
      </c>
      <c r="U849" s="157">
        <v>0.38194444444444442</v>
      </c>
      <c r="V849" s="158">
        <v>40.5</v>
      </c>
      <c r="W849" s="157">
        <v>0.72222222222222221</v>
      </c>
      <c r="X849" s="107">
        <v>81.5</v>
      </c>
      <c r="Y849" s="107">
        <v>14</v>
      </c>
      <c r="Z849" s="158">
        <v>40.5</v>
      </c>
      <c r="AA849" s="157">
        <v>0.4</v>
      </c>
      <c r="AB849" s="158">
        <v>85</v>
      </c>
      <c r="AC849" s="158">
        <v>15.6</v>
      </c>
      <c r="AD849" s="178"/>
      <c r="AE849" s="94">
        <f>Table3.110[[#This Row],[Gas 8h, ml]]-Table3.110[[#This Row],[Gas 0h, ml]]</f>
        <v>41</v>
      </c>
      <c r="AF849" s="94">
        <f>Table3.110[[#This Row],[Gas 24h, ml]]-Table3.110[[#This Row],[V8 Push back, ml]]</f>
        <v>44.5</v>
      </c>
      <c r="AG849" s="94">
        <f>Table3.110[[#This Row],[GP 8h, ml]]-(AVERAGE(AE$790,AE$791,AE$840,AE$841,AE$860,AE$861))*$AG$8</f>
        <v>39.819990991876054</v>
      </c>
      <c r="AH849" s="94">
        <f>Table3.110[[#This Row],[GP 8-24h, ml]]-(AVERAGE(AF$790,AF$791,AF$840,AF$841,AF$860,AF$861))*$AG$8</f>
        <v>41.623728042697877</v>
      </c>
      <c r="AI849" s="94">
        <f>Table3.110[[#This Row],[Net gas 8-24h, ml]]+Table3.110[[#This Row],[Net gas 8h, ml]]</f>
        <v>81.443719034573931</v>
      </c>
      <c r="AJ849" s="94">
        <f>Table3.110[[#This Row],[Net gas 8h, ml]]*Table3.110[[#This Row],[CH4 8h %]]%</f>
        <v>5.5747987388626479</v>
      </c>
      <c r="AK849" s="94">
        <f>Table3.110[[#This Row],[Net gas 8-24h, ml]]*Table3.110[[#This Row],[CH4 24h, %]]%</f>
        <v>6.4933015746608689</v>
      </c>
      <c r="AL849" s="94">
        <f>Table3.110[[#This Row],[CH4 8-24h, ml]]+Table3.110[[#This Row],[CH4 8h, ml]]</f>
        <v>12.068100313523516</v>
      </c>
      <c r="AM849" s="94">
        <f>(Table3.110[[#This Row],[Net gas 24h, ml]]/Table3.110[[#This Row],[DM Incubated, mg]])*1000</f>
        <v>180.02116211528875</v>
      </c>
      <c r="AN849" s="94">
        <f>'3.2 Digest'!X849</f>
        <v>53.670539574271402</v>
      </c>
      <c r="AO849" s="94">
        <f>Table3.110[[#This Row],[Digested feed, mg]]/Table3.110[[#This Row],[Net gas 24h, ml]]</f>
        <v>2.9813461341783718</v>
      </c>
      <c r="AP849" s="94">
        <f>Table3.110[[#This Row],[CH4 8h, ml]]/Table3.110[[#This Row],[Net gas 8h, ml]]%</f>
        <v>14.000000000000002</v>
      </c>
      <c r="AQ849" s="94">
        <f>Table3.110[[#This Row],[CH4 24h, ml]]/Table3.110[[#This Row],[Net gas 24h, ml]]%</f>
        <v>14.817717629520882</v>
      </c>
      <c r="AR849" s="94">
        <f>Table3.110[[#This Row],[CH4 24h, ml]]/Table3.110[[#This Row],[DM Incubated, mg]]*1000</f>
        <v>26.675027475625505</v>
      </c>
      <c r="AS849" s="94">
        <f>Table3.110[[#This Row],[CH4 24h, ml]]/Table3.110[[#This Row],[Digested feed, mg]]*1000</f>
        <v>49.701433388258664</v>
      </c>
      <c r="AT849" s="94">
        <f>Table3.110[[#This Row],[CH4 24h, ml]]/'3.2 Digest'!AA849</f>
        <v>2.5447988148806</v>
      </c>
      <c r="AU849" s="94">
        <f>((Table3.110[[#This Row],[CH4 24h, ml]]/28.9)*16.04)/Table3.110[[#This Row],[DM Incubated, mg]]*1000</f>
        <v>14.805101754637823</v>
      </c>
      <c r="AV849" s="94">
        <f>((Table3.110[[#This Row],[CH4 24h, ml]]/28.9)*16.04)/Table3.110[[#This Row],[Digested feed, mg]]*1000</f>
        <v>27.585155416874358</v>
      </c>
    </row>
    <row r="850" spans="2:48" s="89" customFormat="1" x14ac:dyDescent="0.35">
      <c r="B850" s="90">
        <f t="shared" si="13"/>
        <v>840</v>
      </c>
      <c r="C850" s="140">
        <v>46055</v>
      </c>
      <c r="D850" s="6" t="s">
        <v>16</v>
      </c>
      <c r="E850" s="6" t="s">
        <v>374</v>
      </c>
      <c r="F850" s="6" t="s">
        <v>219</v>
      </c>
      <c r="G850" s="6" t="s">
        <v>253</v>
      </c>
      <c r="H850" s="6" t="s">
        <v>254</v>
      </c>
      <c r="I850" s="6" t="s">
        <v>22</v>
      </c>
      <c r="J850" s="129" t="s">
        <v>23</v>
      </c>
      <c r="K850" s="129" t="s">
        <v>215</v>
      </c>
      <c r="L850" s="6" t="s">
        <v>373</v>
      </c>
      <c r="M850" s="93">
        <v>29</v>
      </c>
      <c r="N850" s="93">
        <v>62</v>
      </c>
      <c r="O850" s="6">
        <v>1</v>
      </c>
      <c r="P850" s="129">
        <v>3</v>
      </c>
      <c r="Q850" s="6">
        <v>151</v>
      </c>
      <c r="R850" s="98">
        <v>0.50049999999999994</v>
      </c>
      <c r="S850" s="94">
        <f>((Table3.110[[#This Row],[Sample weight, g]]*'2.1. DM'!Q233)/100)*1000</f>
        <v>452.86432881373321</v>
      </c>
      <c r="T850" s="94">
        <f>'3.2 Digest'!W850</f>
        <v>206.66432881373322</v>
      </c>
      <c r="U850" s="153">
        <v>0.38263888888888886</v>
      </c>
      <c r="V850" s="154">
        <v>40.5</v>
      </c>
      <c r="W850" s="153">
        <v>0.72291666666666665</v>
      </c>
      <c r="X850" s="95">
        <v>82</v>
      </c>
      <c r="Y850" s="95">
        <v>13.7</v>
      </c>
      <c r="Z850" s="154">
        <v>40</v>
      </c>
      <c r="AA850" s="153">
        <v>0.40069444444444446</v>
      </c>
      <c r="AB850" s="154">
        <v>85</v>
      </c>
      <c r="AC850" s="154">
        <v>15.7</v>
      </c>
      <c r="AD850" s="91"/>
      <c r="AE850" s="94">
        <f>Table3.110[[#This Row],[Gas 8h, ml]]-Table3.110[[#This Row],[Gas 0h, ml]]</f>
        <v>41.5</v>
      </c>
      <c r="AF850" s="94">
        <f>Table3.110[[#This Row],[Gas 24h, ml]]-Table3.110[[#This Row],[V8 Push back, ml]]</f>
        <v>45</v>
      </c>
      <c r="AG850" s="94">
        <f>Table3.110[[#This Row],[GP 8h, ml]]-(AVERAGE(AE$790,AE$791,AE$840,AE$841,AE$860,AE$861))*$AG$8</f>
        <v>40.319990991876054</v>
      </c>
      <c r="AH850" s="94">
        <f>Table3.110[[#This Row],[GP 8-24h, ml]]-(AVERAGE(AF$790,AF$791,AF$840,AF$841,AF$860,AF$861))*$AG$8</f>
        <v>42.123728042697877</v>
      </c>
      <c r="AI850" s="94">
        <f>Table3.110[[#This Row],[Net gas 8-24h, ml]]+Table3.110[[#This Row],[Net gas 8h, ml]]</f>
        <v>82.443719034573931</v>
      </c>
      <c r="AJ850" s="94">
        <f>Table3.110[[#This Row],[Net gas 8h, ml]]*Table3.110[[#This Row],[CH4 8h %]]%</f>
        <v>5.5238387658870183</v>
      </c>
      <c r="AK850" s="94">
        <f>Table3.110[[#This Row],[Net gas 8-24h, ml]]*Table3.110[[#This Row],[CH4 24h, %]]%</f>
        <v>6.6134253027035665</v>
      </c>
      <c r="AL850" s="94">
        <f>Table3.110[[#This Row],[CH4 8-24h, ml]]+Table3.110[[#This Row],[CH4 8h, ml]]</f>
        <v>12.137264068590586</v>
      </c>
      <c r="AM850" s="94">
        <f>(Table3.110[[#This Row],[Net gas 24h, ml]]/Table3.110[[#This Row],[DM Incubated, mg]])*1000</f>
        <v>182.04948764795228</v>
      </c>
      <c r="AN850" s="94">
        <f>'3.2 Digest'!X850</f>
        <v>45.634932067863517</v>
      </c>
      <c r="AO850" s="94">
        <f>Table3.110[[#This Row],[Digested feed, mg]]/Table3.110[[#This Row],[Net gas 24h, ml]]</f>
        <v>2.5067322439331687</v>
      </c>
      <c r="AP850" s="94">
        <f>Table3.110[[#This Row],[CH4 8h, ml]]/Table3.110[[#This Row],[Net gas 8h, ml]]%</f>
        <v>13.699999999999998</v>
      </c>
      <c r="AQ850" s="94">
        <f>Table3.110[[#This Row],[CH4 24h, ml]]/Table3.110[[#This Row],[Net gas 24h, ml]]%</f>
        <v>14.721878404709829</v>
      </c>
      <c r="AR850" s="94">
        <f>Table3.110[[#This Row],[CH4 24h, ml]]/Table3.110[[#This Row],[DM Incubated, mg]]*1000</f>
        <v>26.801104207928773</v>
      </c>
      <c r="AS850" s="94">
        <f>Table3.110[[#This Row],[CH4 24h, ml]]/Table3.110[[#This Row],[Digested feed, mg]]*1000</f>
        <v>58.729361463873694</v>
      </c>
      <c r="AT850" s="94">
        <f>Table3.110[[#This Row],[CH4 24h, ml]]/'3.2 Digest'!AA850</f>
        <v>-1.0303537661183564</v>
      </c>
      <c r="AU850" s="94">
        <f>((Table3.110[[#This Row],[CH4 24h, ml]]/28.9)*16.04)/Table3.110[[#This Row],[DM Incubated, mg]]*1000</f>
        <v>14.875076522324484</v>
      </c>
      <c r="AV850" s="94">
        <f>((Table3.110[[#This Row],[CH4 24h, ml]]/28.9)*16.04)/Table3.110[[#This Row],[Digested feed, mg]]*1000</f>
        <v>32.595811691367956</v>
      </c>
    </row>
    <row r="851" spans="2:48" s="89" customFormat="1" x14ac:dyDescent="0.35">
      <c r="B851" s="90">
        <f t="shared" si="13"/>
        <v>841</v>
      </c>
      <c r="C851" s="140">
        <v>46055</v>
      </c>
      <c r="D851" s="6" t="s">
        <v>16</v>
      </c>
      <c r="E851" s="6" t="s">
        <v>376</v>
      </c>
      <c r="F851" s="6" t="s">
        <v>219</v>
      </c>
      <c r="G851" s="6" t="s">
        <v>253</v>
      </c>
      <c r="H851" s="6" t="s">
        <v>254</v>
      </c>
      <c r="I851" s="6" t="s">
        <v>22</v>
      </c>
      <c r="J851" s="129" t="s">
        <v>23</v>
      </c>
      <c r="K851" s="129" t="s">
        <v>215</v>
      </c>
      <c r="L851" s="6" t="s">
        <v>375</v>
      </c>
      <c r="M851" s="93">
        <v>29</v>
      </c>
      <c r="N851" s="93">
        <v>62</v>
      </c>
      <c r="O851" s="6">
        <v>1</v>
      </c>
      <c r="P851" s="129">
        <v>1</v>
      </c>
      <c r="Q851" s="6">
        <v>152</v>
      </c>
      <c r="R851" s="98">
        <v>0.50070000000000003</v>
      </c>
      <c r="S851" s="94">
        <f>((Table3.110[[#This Row],[Sample weight, g]]*'2.1. DM'!Q235)/100)*1000</f>
        <v>448.08957496614278</v>
      </c>
      <c r="T851" s="94">
        <f>'3.2 Digest'!W851</f>
        <v>198.88957496614279</v>
      </c>
      <c r="U851" s="117">
        <v>0.38263888888888886</v>
      </c>
      <c r="V851" s="155">
        <v>41</v>
      </c>
      <c r="W851" s="117">
        <v>0.72291666666666665</v>
      </c>
      <c r="X851" s="97">
        <v>73</v>
      </c>
      <c r="Y851" s="97">
        <v>12.3</v>
      </c>
      <c r="Z851" s="155">
        <v>40</v>
      </c>
      <c r="AA851" s="117">
        <v>0.40069444444444446</v>
      </c>
      <c r="AB851" s="155">
        <v>82</v>
      </c>
      <c r="AC851" s="155">
        <v>14.5</v>
      </c>
      <c r="AD851" s="96" t="s">
        <v>582</v>
      </c>
      <c r="AE851" s="94">
        <f>Table3.110[[#This Row],[Gas 8h, ml]]-Table3.110[[#This Row],[Gas 0h, ml]]</f>
        <v>32</v>
      </c>
      <c r="AF851" s="94">
        <f>Table3.110[[#This Row],[Gas 24h, ml]]-Table3.110[[#This Row],[V8 Push back, ml]]</f>
        <v>42</v>
      </c>
      <c r="AG851" s="94">
        <f>Table3.110[[#This Row],[GP 8h, ml]]-(AVERAGE(AE$790,AE$791,AE$840,AE$841,AE$860,AE$861))*$AG$8</f>
        <v>30.81999099187605</v>
      </c>
      <c r="AH851" s="94">
        <f>Table3.110[[#This Row],[GP 8-24h, ml]]-(AVERAGE(AF$790,AF$791,AF$840,AF$841,AF$860,AF$861))*$AG$8</f>
        <v>39.123728042697877</v>
      </c>
      <c r="AI851" s="94">
        <f>Table3.110[[#This Row],[Net gas 8-24h, ml]]+Table3.110[[#This Row],[Net gas 8h, ml]]</f>
        <v>69.943719034573931</v>
      </c>
      <c r="AJ851" s="94">
        <f>Table3.110[[#This Row],[Net gas 8h, ml]]*Table3.110[[#This Row],[CH4 8h %]]%</f>
        <v>3.7908588920007547</v>
      </c>
      <c r="AK851" s="94">
        <f>Table3.110[[#This Row],[Net gas 8-24h, ml]]*Table3.110[[#This Row],[CH4 24h, %]]%</f>
        <v>5.6729405661911914</v>
      </c>
      <c r="AL851" s="94">
        <f>Table3.110[[#This Row],[CH4 8-24h, ml]]+Table3.110[[#This Row],[CH4 8h, ml]]</f>
        <v>9.4637994581919465</v>
      </c>
      <c r="AM851" s="94">
        <f>(Table3.110[[#This Row],[Net gas 24h, ml]]/Table3.110[[#This Row],[DM Incubated, mg]])*1000</f>
        <v>156.09316293479671</v>
      </c>
      <c r="AN851" s="94">
        <f>'3.2 Digest'!X851</f>
        <v>44.38611966841021</v>
      </c>
      <c r="AO851" s="94">
        <f>Table3.110[[#This Row],[Digested feed, mg]]/Table3.110[[#This Row],[Net gas 24h, ml]]</f>
        <v>2.8435659085818634</v>
      </c>
      <c r="AP851" s="94">
        <f>Table3.110[[#This Row],[CH4 8h, ml]]/Table3.110[[#This Row],[Net gas 8h, ml]]%</f>
        <v>12.3</v>
      </c>
      <c r="AQ851" s="94">
        <f>Table3.110[[#This Row],[CH4 24h, ml]]/Table3.110[[#This Row],[Net gas 24h, ml]]%</f>
        <v>13.530592294518812</v>
      </c>
      <c r="AR851" s="94">
        <f>Table3.110[[#This Row],[CH4 24h, ml]]/Table3.110[[#This Row],[DM Incubated, mg]]*1000</f>
        <v>21.120329476326294</v>
      </c>
      <c r="AS851" s="94">
        <f>Table3.110[[#This Row],[CH4 24h, ml]]/Table3.110[[#This Row],[Digested feed, mg]]*1000</f>
        <v>47.583185090535693</v>
      </c>
      <c r="AT851" s="94">
        <f>Table3.110[[#This Row],[CH4 24h, ml]]/'3.2 Digest'!AA851</f>
        <v>-0.31218231555831177</v>
      </c>
      <c r="AU851" s="94">
        <f>((Table3.110[[#This Row],[CH4 24h, ml]]/28.9)*16.04)/Table3.110[[#This Row],[DM Incubated, mg]]*1000</f>
        <v>11.722148262985254</v>
      </c>
      <c r="AV851" s="94">
        <f>((Table3.110[[#This Row],[CH4 24h, ml]]/28.9)*16.04)/Table3.110[[#This Row],[Digested feed, mg]]*1000</f>
        <v>26.409490963743686</v>
      </c>
    </row>
    <row r="852" spans="2:48" s="89" customFormat="1" x14ac:dyDescent="0.35">
      <c r="B852" s="90">
        <f t="shared" si="13"/>
        <v>842</v>
      </c>
      <c r="C852" s="140">
        <v>46055</v>
      </c>
      <c r="D852" s="6" t="s">
        <v>16</v>
      </c>
      <c r="E852" s="6" t="s">
        <v>376</v>
      </c>
      <c r="F852" s="6" t="s">
        <v>219</v>
      </c>
      <c r="G852" s="6" t="s">
        <v>253</v>
      </c>
      <c r="H852" s="6" t="s">
        <v>254</v>
      </c>
      <c r="I852" s="6" t="s">
        <v>22</v>
      </c>
      <c r="J852" s="129" t="s">
        <v>23</v>
      </c>
      <c r="K852" s="129" t="s">
        <v>215</v>
      </c>
      <c r="L852" s="6" t="s">
        <v>375</v>
      </c>
      <c r="M852" s="93">
        <v>29</v>
      </c>
      <c r="N852" s="93">
        <v>62</v>
      </c>
      <c r="O852" s="6">
        <v>1</v>
      </c>
      <c r="P852" s="129">
        <v>2</v>
      </c>
      <c r="Q852" s="6">
        <v>153</v>
      </c>
      <c r="R852" s="98">
        <v>0.50039999999999996</v>
      </c>
      <c r="S852" s="94">
        <f>((Table3.110[[#This Row],[Sample weight, g]]*'2.1. DM'!Q235)/100)*1000</f>
        <v>447.82109709018931</v>
      </c>
      <c r="T852" s="94">
        <f>'3.2 Digest'!W852</f>
        <v>211.62109709018935</v>
      </c>
      <c r="U852" s="153">
        <v>0.38263888888888886</v>
      </c>
      <c r="V852" s="155">
        <v>41</v>
      </c>
      <c r="W852" s="153">
        <v>0.72361111111111109</v>
      </c>
      <c r="X852" s="95">
        <v>72</v>
      </c>
      <c r="Y852" s="95">
        <v>11.8</v>
      </c>
      <c r="Z852" s="154">
        <v>40.5</v>
      </c>
      <c r="AA852" s="153">
        <v>0.40138888888888891</v>
      </c>
      <c r="AB852" s="154">
        <v>83.5</v>
      </c>
      <c r="AC852" s="154">
        <v>14</v>
      </c>
      <c r="AD852" s="91"/>
      <c r="AE852" s="94">
        <f>Table3.110[[#This Row],[Gas 8h, ml]]-Table3.110[[#This Row],[Gas 0h, ml]]</f>
        <v>31</v>
      </c>
      <c r="AF852" s="94">
        <f>Table3.110[[#This Row],[Gas 24h, ml]]-Table3.110[[#This Row],[V8 Push back, ml]]</f>
        <v>43</v>
      </c>
      <c r="AG852" s="94">
        <f>Table3.110[[#This Row],[GP 8h, ml]]-(AVERAGE(AE$790,AE$791,AE$840,AE$841,AE$860,AE$861))*$AG$8</f>
        <v>29.81999099187605</v>
      </c>
      <c r="AH852" s="94">
        <f>Table3.110[[#This Row],[GP 8-24h, ml]]-(AVERAGE(AF$790,AF$791,AF$840,AF$841,AF$860,AF$861))*$AG$8</f>
        <v>40.123728042697877</v>
      </c>
      <c r="AI852" s="94">
        <f>Table3.110[[#This Row],[Net gas 8-24h, ml]]+Table3.110[[#This Row],[Net gas 8h, ml]]</f>
        <v>69.943719034573931</v>
      </c>
      <c r="AJ852" s="94">
        <f>Table3.110[[#This Row],[Net gas 8h, ml]]*Table3.110[[#This Row],[CH4 8h %]]%</f>
        <v>3.5187589370413743</v>
      </c>
      <c r="AK852" s="94">
        <f>Table3.110[[#This Row],[Net gas 8-24h, ml]]*Table3.110[[#This Row],[CH4 24h, %]]%</f>
        <v>5.617321925977703</v>
      </c>
      <c r="AL852" s="94">
        <f>Table3.110[[#This Row],[CH4 8-24h, ml]]+Table3.110[[#This Row],[CH4 8h, ml]]</f>
        <v>9.1360808630190782</v>
      </c>
      <c r="AM852" s="94">
        <f>(Table3.110[[#This Row],[Net gas 24h, ml]]/Table3.110[[#This Row],[DM Incubated, mg]])*1000</f>
        <v>156.18674396773127</v>
      </c>
      <c r="AN852" s="94">
        <f>'3.2 Digest'!X852</f>
        <v>47.255722980726325</v>
      </c>
      <c r="AO852" s="94">
        <f>Table3.110[[#This Row],[Digested feed, mg]]/Table3.110[[#This Row],[Net gas 24h, ml]]</f>
        <v>3.0255911468702825</v>
      </c>
      <c r="AP852" s="94">
        <f>Table3.110[[#This Row],[CH4 8h, ml]]/Table3.110[[#This Row],[Net gas 8h, ml]]%</f>
        <v>11.8</v>
      </c>
      <c r="AQ852" s="94">
        <f>Table3.110[[#This Row],[CH4 24h, ml]]/Table3.110[[#This Row],[Net gas 24h, ml]]%</f>
        <v>13.062046155285246</v>
      </c>
      <c r="AR852" s="94">
        <f>Table3.110[[#This Row],[CH4 24h, ml]]/Table3.110[[#This Row],[DM Incubated, mg]]*1000</f>
        <v>20.401184585502254</v>
      </c>
      <c r="AS852" s="94">
        <f>Table3.110[[#This Row],[CH4 24h, ml]]/Table3.110[[#This Row],[Digested feed, mg]]*1000</f>
        <v>43.171881200131168</v>
      </c>
      <c r="AT852" s="94">
        <f>Table3.110[[#This Row],[CH4 24h, ml]]/'3.2 Digest'!AA852</f>
        <v>-0.38727149402555072</v>
      </c>
      <c r="AU852" s="94">
        <f>((Table3.110[[#This Row],[CH4 24h, ml]]/28.9)*16.04)/Table3.110[[#This Row],[DM Incubated, mg]]*1000</f>
        <v>11.323010406624782</v>
      </c>
      <c r="AV852" s="94">
        <f>((Table3.110[[#This Row],[CH4 24h, ml]]/28.9)*16.04)/Table3.110[[#This Row],[Digested feed, mg]]*1000</f>
        <v>23.961140984432667</v>
      </c>
    </row>
    <row r="853" spans="2:48" s="89" customFormat="1" x14ac:dyDescent="0.35">
      <c r="B853" s="90">
        <f t="shared" si="13"/>
        <v>843</v>
      </c>
      <c r="C853" s="140">
        <v>46055</v>
      </c>
      <c r="D853" s="6" t="s">
        <v>16</v>
      </c>
      <c r="E853" s="6" t="s">
        <v>376</v>
      </c>
      <c r="F853" s="6" t="s">
        <v>219</v>
      </c>
      <c r="G853" s="6" t="s">
        <v>253</v>
      </c>
      <c r="H853" s="6" t="s">
        <v>254</v>
      </c>
      <c r="I853" s="6" t="s">
        <v>22</v>
      </c>
      <c r="J853" s="129" t="s">
        <v>23</v>
      </c>
      <c r="K853" s="129" t="s">
        <v>215</v>
      </c>
      <c r="L853" s="6" t="s">
        <v>375</v>
      </c>
      <c r="M853" s="93">
        <v>29</v>
      </c>
      <c r="N853" s="93">
        <v>62</v>
      </c>
      <c r="O853" s="6">
        <v>1</v>
      </c>
      <c r="P853" s="129">
        <v>3</v>
      </c>
      <c r="Q853" s="6">
        <v>154</v>
      </c>
      <c r="R853" s="98">
        <v>0.50060000000000004</v>
      </c>
      <c r="S853" s="94">
        <f>((Table3.110[[#This Row],[Sample weight, g]]*'2.1. DM'!Q235)/100)*1000</f>
        <v>448.00008234082497</v>
      </c>
      <c r="T853" s="94">
        <f>'3.2 Digest'!W853</f>
        <v>197.90008234082487</v>
      </c>
      <c r="U853" s="117">
        <v>0.38263888888888886</v>
      </c>
      <c r="V853" s="155">
        <v>42</v>
      </c>
      <c r="W853" s="117">
        <v>0.72361111111111109</v>
      </c>
      <c r="X853" s="97">
        <v>73.5</v>
      </c>
      <c r="Y853" s="97">
        <v>11.8</v>
      </c>
      <c r="Z853" s="155">
        <v>41</v>
      </c>
      <c r="AA853" s="117">
        <v>0.40138888888888891</v>
      </c>
      <c r="AB853" s="155">
        <v>85</v>
      </c>
      <c r="AC853" s="155">
        <v>13.8</v>
      </c>
      <c r="AD853" s="96"/>
      <c r="AE853" s="94">
        <f>Table3.110[[#This Row],[Gas 8h, ml]]-Table3.110[[#This Row],[Gas 0h, ml]]</f>
        <v>31.5</v>
      </c>
      <c r="AF853" s="94">
        <f>Table3.110[[#This Row],[Gas 24h, ml]]-Table3.110[[#This Row],[V8 Push back, ml]]</f>
        <v>44</v>
      </c>
      <c r="AG853" s="94">
        <f>Table3.110[[#This Row],[GP 8h, ml]]-(AVERAGE(AE$790,AE$791,AE$840,AE$841,AE$860,AE$861))*$AG$8</f>
        <v>30.31999099187605</v>
      </c>
      <c r="AH853" s="94">
        <f>Table3.110[[#This Row],[GP 8-24h, ml]]-(AVERAGE(AF$790,AF$791,AF$840,AF$841,AF$860,AF$861))*$AG$8</f>
        <v>41.123728042697877</v>
      </c>
      <c r="AI853" s="94">
        <f>Table3.110[[#This Row],[Net gas 8-24h, ml]]+Table3.110[[#This Row],[Net gas 8h, ml]]</f>
        <v>71.443719034573931</v>
      </c>
      <c r="AJ853" s="94">
        <f>Table3.110[[#This Row],[Net gas 8h, ml]]*Table3.110[[#This Row],[CH4 8h %]]%</f>
        <v>3.577758937041374</v>
      </c>
      <c r="AK853" s="94">
        <f>Table3.110[[#This Row],[Net gas 8-24h, ml]]*Table3.110[[#This Row],[CH4 24h, %]]%</f>
        <v>5.6750744698923077</v>
      </c>
      <c r="AL853" s="94">
        <f>Table3.110[[#This Row],[CH4 8-24h, ml]]+Table3.110[[#This Row],[CH4 8h, ml]]</f>
        <v>9.2528334069336822</v>
      </c>
      <c r="AM853" s="94">
        <f>(Table3.110[[#This Row],[Net gas 24h, ml]]/Table3.110[[#This Row],[DM Incubated, mg]])*1000</f>
        <v>159.4725578202499</v>
      </c>
      <c r="AN853" s="94">
        <f>'3.2 Digest'!X853</f>
        <v>44.174117403458077</v>
      </c>
      <c r="AO853" s="94">
        <f>Table3.110[[#This Row],[Digested feed, mg]]/Table3.110[[#This Row],[Net gas 24h, ml]]</f>
        <v>2.7700137257000099</v>
      </c>
      <c r="AP853" s="94">
        <f>Table3.110[[#This Row],[CH4 8h, ml]]/Table3.110[[#This Row],[Net gas 8h, ml]]%</f>
        <v>11.8</v>
      </c>
      <c r="AQ853" s="94">
        <f>Table3.110[[#This Row],[CH4 24h, ml]]/Table3.110[[#This Row],[Net gas 24h, ml]]%</f>
        <v>12.951220249964782</v>
      </c>
      <c r="AR853" s="94">
        <f>Table3.110[[#This Row],[CH4 24h, ml]]/Table3.110[[#This Row],[DM Incubated, mg]]*1000</f>
        <v>20.653642201553001</v>
      </c>
      <c r="AS853" s="94">
        <f>Table3.110[[#This Row],[CH4 24h, ml]]/Table3.110[[#This Row],[Digested feed, mg]]*1000</f>
        <v>46.755076084295858</v>
      </c>
      <c r="AT853" s="94">
        <f>Table3.110[[#This Row],[CH4 24h, ml]]/'3.2 Digest'!AA853</f>
        <v>-0.30030218461343211</v>
      </c>
      <c r="AU853" s="94">
        <f>((Table3.110[[#This Row],[CH4 24h, ml]]/28.9)*16.04)/Table3.110[[#This Row],[DM Incubated, mg]]*1000</f>
        <v>11.463128751311769</v>
      </c>
      <c r="AV853" s="94">
        <f>((Table3.110[[#This Row],[CH4 24h, ml]]/28.9)*16.04)/Table3.110[[#This Row],[Digested feed, mg]]*1000</f>
        <v>25.949876138135142</v>
      </c>
    </row>
    <row r="854" spans="2:48" s="89" customFormat="1" x14ac:dyDescent="0.35">
      <c r="B854" s="90">
        <f t="shared" si="13"/>
        <v>844</v>
      </c>
      <c r="C854" s="140">
        <v>46055</v>
      </c>
      <c r="D854" s="6" t="s">
        <v>16</v>
      </c>
      <c r="E854" s="6" t="s">
        <v>378</v>
      </c>
      <c r="F854" s="6" t="s">
        <v>212</v>
      </c>
      <c r="G854" s="6" t="s">
        <v>379</v>
      </c>
      <c r="H854" s="6" t="s">
        <v>380</v>
      </c>
      <c r="I854" s="6" t="s">
        <v>22</v>
      </c>
      <c r="J854" s="129" t="s">
        <v>23</v>
      </c>
      <c r="K854" s="129" t="s">
        <v>215</v>
      </c>
      <c r="L854" s="6" t="s">
        <v>377</v>
      </c>
      <c r="M854" s="93">
        <v>29</v>
      </c>
      <c r="N854" s="93">
        <v>62</v>
      </c>
      <c r="O854" s="6">
        <v>1</v>
      </c>
      <c r="P854" s="129">
        <v>1</v>
      </c>
      <c r="Q854" s="6">
        <v>155</v>
      </c>
      <c r="R854" s="98">
        <v>0.50039999999999996</v>
      </c>
      <c r="S854" s="94">
        <f>((Table3.110[[#This Row],[Sample weight, g]]*'2.1. DM'!Q237)/100)*1000</f>
        <v>469.33761372450664</v>
      </c>
      <c r="T854" s="94">
        <f>'3.2 Digest'!W854</f>
        <v>38.737613724506559</v>
      </c>
      <c r="U854" s="117">
        <v>0.38333333333333336</v>
      </c>
      <c r="V854" s="155">
        <v>41.5</v>
      </c>
      <c r="W854" s="117">
        <v>0.72430555555555554</v>
      </c>
      <c r="X854" s="97">
        <v>58</v>
      </c>
      <c r="Y854" s="97">
        <v>11.6</v>
      </c>
      <c r="Z854" s="155">
        <v>40.5</v>
      </c>
      <c r="AA854" s="117">
        <v>0.40208333333333335</v>
      </c>
      <c r="AB854" s="155">
        <v>52</v>
      </c>
      <c r="AC854" s="155">
        <v>14</v>
      </c>
      <c r="AD854" s="103"/>
      <c r="AE854" s="94">
        <f>Table3.110[[#This Row],[Gas 8h, ml]]-Table3.110[[#This Row],[Gas 0h, ml]]</f>
        <v>16.5</v>
      </c>
      <c r="AF854" s="94">
        <f>Table3.110[[#This Row],[Gas 24h, ml]]-Table3.110[[#This Row],[V8 Push back, ml]]</f>
        <v>11.5</v>
      </c>
      <c r="AG854" s="94">
        <f>Table3.110[[#This Row],[GP 8h, ml]]-(AVERAGE(AE$790,AE$791,AE$840,AE$841,AE$860,AE$861))*$AG$8</f>
        <v>15.31999099187605</v>
      </c>
      <c r="AH854" s="94">
        <f>Table3.110[[#This Row],[GP 8-24h, ml]]-(AVERAGE(AF$790,AF$791,AF$840,AF$841,AF$860,AF$861))*$AG$8</f>
        <v>8.6237280426978753</v>
      </c>
      <c r="AI854" s="94">
        <f>Table3.110[[#This Row],[Net gas 8-24h, ml]]+Table3.110[[#This Row],[Net gas 8h, ml]]</f>
        <v>23.943719034573924</v>
      </c>
      <c r="AJ854" s="94">
        <f>Table3.110[[#This Row],[Net gas 8h, ml]]*Table3.110[[#This Row],[CH4 8h %]]%</f>
        <v>1.7771189550576216</v>
      </c>
      <c r="AK854" s="94">
        <f>Table3.110[[#This Row],[Net gas 8-24h, ml]]*Table3.110[[#This Row],[CH4 24h, %]]%</f>
        <v>1.2073219259777026</v>
      </c>
      <c r="AL854" s="94">
        <f>Table3.110[[#This Row],[CH4 8-24h, ml]]+Table3.110[[#This Row],[CH4 8h, ml]]</f>
        <v>2.984440881035324</v>
      </c>
      <c r="AM854" s="94">
        <f>(Table3.110[[#This Row],[Net gas 24h, ml]]/Table3.110[[#This Row],[DM Incubated, mg]])*1000</f>
        <v>51.015981533132539</v>
      </c>
      <c r="AN854" s="94">
        <f>'3.2 Digest'!X854</f>
        <v>8.2536776494638442</v>
      </c>
      <c r="AO854" s="94">
        <f>Table3.110[[#This Row],[Digested feed, mg]]/Table3.110[[#This Row],[Net gas 24h, ml]]</f>
        <v>1.6178611880873957</v>
      </c>
      <c r="AP854" s="94">
        <f>Table3.110[[#This Row],[CH4 8h, ml]]/Table3.110[[#This Row],[Net gas 8h, ml]]%</f>
        <v>11.599999999999998</v>
      </c>
      <c r="AQ854" s="94">
        <f>Table3.110[[#This Row],[CH4 24h, ml]]/Table3.110[[#This Row],[Net gas 24h, ml]]%</f>
        <v>12.464399856705183</v>
      </c>
      <c r="AR854" s="94">
        <f>Table3.110[[#This Row],[CH4 24h, ml]]/Table3.110[[#This Row],[DM Incubated, mg]]*1000</f>
        <v>6.3588359291125158</v>
      </c>
      <c r="AS854" s="94">
        <f>Table3.110[[#This Row],[CH4 24h, ml]]/Table3.110[[#This Row],[Digested feed, mg]]*1000</f>
        <v>77.042455486804513</v>
      </c>
      <c r="AT854" s="94">
        <f>Table3.110[[#This Row],[CH4 24h, ml]]/'3.2 Digest'!AA854</f>
        <v>-7.4154952823727235E-2</v>
      </c>
      <c r="AU854" s="94">
        <f>((Table3.110[[#This Row],[CH4 24h, ml]]/28.9)*16.04)/Table3.110[[#This Row],[DM Incubated, mg]]*1000</f>
        <v>3.5292639551198874</v>
      </c>
      <c r="AV854" s="94">
        <f>((Table3.110[[#This Row],[CH4 24h, ml]]/28.9)*16.04)/Table3.110[[#This Row],[Digested feed, mg]]*1000</f>
        <v>42.759895709631287</v>
      </c>
    </row>
    <row r="855" spans="2:48" s="89" customFormat="1" x14ac:dyDescent="0.35">
      <c r="B855" s="90">
        <f t="shared" si="13"/>
        <v>845</v>
      </c>
      <c r="C855" s="140">
        <v>46055</v>
      </c>
      <c r="D855" s="6" t="s">
        <v>16</v>
      </c>
      <c r="E855" s="6" t="s">
        <v>378</v>
      </c>
      <c r="F855" s="6" t="s">
        <v>212</v>
      </c>
      <c r="G855" s="6" t="s">
        <v>379</v>
      </c>
      <c r="H855" s="6" t="s">
        <v>380</v>
      </c>
      <c r="I855" s="6" t="s">
        <v>22</v>
      </c>
      <c r="J855" s="129" t="s">
        <v>23</v>
      </c>
      <c r="K855" s="129" t="s">
        <v>215</v>
      </c>
      <c r="L855" s="6" t="s">
        <v>377</v>
      </c>
      <c r="M855" s="93">
        <v>29</v>
      </c>
      <c r="N855" s="93">
        <v>62</v>
      </c>
      <c r="O855" s="6">
        <v>1</v>
      </c>
      <c r="P855" s="129">
        <v>2</v>
      </c>
      <c r="Q855" s="6">
        <v>156</v>
      </c>
      <c r="R855" s="98">
        <v>0.50019999999999998</v>
      </c>
      <c r="S855" s="94">
        <f>((Table3.110[[#This Row],[Sample weight, g]]*'2.1. DM'!Q237)/100)*1000</f>
        <v>469.15002874699894</v>
      </c>
      <c r="T855" s="94">
        <f>'3.2 Digest'!W855</f>
        <v>4.1500287469988848</v>
      </c>
      <c r="U855" s="117">
        <v>0.3840277777777778</v>
      </c>
      <c r="V855" s="155">
        <v>41.5</v>
      </c>
      <c r="W855" s="117">
        <v>0.72430555555555554</v>
      </c>
      <c r="X855" s="97">
        <v>54.5</v>
      </c>
      <c r="Y855" s="97">
        <v>11.3</v>
      </c>
      <c r="Z855" s="155">
        <v>38</v>
      </c>
      <c r="AA855" s="117">
        <v>0.40208333333333335</v>
      </c>
      <c r="AB855" s="155">
        <v>49</v>
      </c>
      <c r="AC855" s="155">
        <v>13.9</v>
      </c>
      <c r="AD855" s="96"/>
      <c r="AE855" s="94">
        <f>Table3.110[[#This Row],[Gas 8h, ml]]-Table3.110[[#This Row],[Gas 0h, ml]]</f>
        <v>13</v>
      </c>
      <c r="AF855" s="94">
        <f>Table3.110[[#This Row],[Gas 24h, ml]]-Table3.110[[#This Row],[V8 Push back, ml]]</f>
        <v>11</v>
      </c>
      <c r="AG855" s="94"/>
      <c r="AH855" s="94"/>
      <c r="AI855" s="94"/>
      <c r="AJ855" s="94"/>
      <c r="AK855" s="94"/>
      <c r="AL855" s="94"/>
      <c r="AM855" s="94"/>
      <c r="AN855" s="94"/>
      <c r="AO855" s="94"/>
      <c r="AP855" s="94"/>
      <c r="AQ855" s="94"/>
      <c r="AR855" s="94"/>
      <c r="AS855" s="94"/>
      <c r="AT855" s="94"/>
      <c r="AU855" s="94"/>
      <c r="AV855" s="94"/>
    </row>
    <row r="856" spans="2:48" s="89" customFormat="1" x14ac:dyDescent="0.35">
      <c r="B856" s="90">
        <f t="shared" si="13"/>
        <v>846</v>
      </c>
      <c r="C856" s="140">
        <v>46055</v>
      </c>
      <c r="D856" s="6" t="s">
        <v>16</v>
      </c>
      <c r="E856" s="6" t="s">
        <v>378</v>
      </c>
      <c r="F856" s="6" t="s">
        <v>212</v>
      </c>
      <c r="G856" s="6" t="s">
        <v>379</v>
      </c>
      <c r="H856" s="6" t="s">
        <v>380</v>
      </c>
      <c r="I856" s="6" t="s">
        <v>22</v>
      </c>
      <c r="J856" s="129" t="s">
        <v>23</v>
      </c>
      <c r="K856" s="129" t="s">
        <v>215</v>
      </c>
      <c r="L856" s="6" t="s">
        <v>377</v>
      </c>
      <c r="M856" s="93">
        <v>29</v>
      </c>
      <c r="N856" s="93">
        <v>62</v>
      </c>
      <c r="O856" s="6">
        <v>1</v>
      </c>
      <c r="P856" s="129">
        <v>3</v>
      </c>
      <c r="Q856" s="6">
        <v>157</v>
      </c>
      <c r="R856" s="98">
        <v>0.50029999999999997</v>
      </c>
      <c r="S856" s="94">
        <f>((Table3.110[[#This Row],[Sample weight, g]]*'2.1. DM'!Q237)/100)*1000</f>
        <v>469.24382123575276</v>
      </c>
      <c r="T856" s="94">
        <f>'3.2 Digest'!W856</f>
        <v>19.043821235752716</v>
      </c>
      <c r="U856" s="153">
        <v>0.38472222222222224</v>
      </c>
      <c r="V856" s="155">
        <v>41.5</v>
      </c>
      <c r="W856" s="153">
        <v>0.72430555555555554</v>
      </c>
      <c r="X856" s="95">
        <v>58</v>
      </c>
      <c r="Y856" s="95">
        <v>11.8</v>
      </c>
      <c r="Z856" s="154">
        <v>40.5</v>
      </c>
      <c r="AA856" s="153">
        <v>0.40277777777777779</v>
      </c>
      <c r="AB856" s="154">
        <v>51.5</v>
      </c>
      <c r="AC856" s="154">
        <v>14.5</v>
      </c>
      <c r="AD856" s="91"/>
      <c r="AE856" s="94">
        <f>Table3.110[[#This Row],[Gas 8h, ml]]-Table3.110[[#This Row],[Gas 0h, ml]]</f>
        <v>16.5</v>
      </c>
      <c r="AF856" s="94">
        <f>Table3.110[[#This Row],[Gas 24h, ml]]-Table3.110[[#This Row],[V8 Push back, ml]]</f>
        <v>11</v>
      </c>
      <c r="AG856" s="94">
        <f>Table3.110[[#This Row],[GP 8h, ml]]-(AVERAGE(AE$790,AE$791,AE$840,AE$841,AE$860,AE$861))*$AG$8</f>
        <v>15.31999099187605</v>
      </c>
      <c r="AH856" s="94">
        <f>Table3.110[[#This Row],[GP 8-24h, ml]]-(AVERAGE(AF$790,AF$791,AF$840,AF$841,AF$860,AF$861))*$AG$8</f>
        <v>8.1237280426978753</v>
      </c>
      <c r="AI856" s="94">
        <f>Table3.110[[#This Row],[Net gas 8-24h, ml]]+Table3.110[[#This Row],[Net gas 8h, ml]]</f>
        <v>23.443719034573924</v>
      </c>
      <c r="AJ856" s="94">
        <f>Table3.110[[#This Row],[Net gas 8h, ml]]*Table3.110[[#This Row],[CH4 8h %]]%</f>
        <v>1.807758937041374</v>
      </c>
      <c r="AK856" s="94">
        <f>Table3.110[[#This Row],[Net gas 8-24h, ml]]*Table3.110[[#This Row],[CH4 24h, %]]%</f>
        <v>1.1779405661911919</v>
      </c>
      <c r="AL856" s="94">
        <f>Table3.110[[#This Row],[CH4 8-24h, ml]]+Table3.110[[#This Row],[CH4 8h, ml]]</f>
        <v>2.9856995032325662</v>
      </c>
      <c r="AM856" s="94">
        <f>(Table3.110[[#This Row],[Net gas 24h, ml]]/Table3.110[[#This Row],[DM Incubated, mg]])*1000</f>
        <v>49.960634479607918</v>
      </c>
      <c r="AN856" s="94">
        <f>'3.2 Digest'!X856</f>
        <v>4.0584063921397728</v>
      </c>
      <c r="AO856" s="94">
        <f>Table3.110[[#This Row],[Digested feed, mg]]/Table3.110[[#This Row],[Net gas 24h, ml]]</f>
        <v>0.81232082706961284</v>
      </c>
      <c r="AP856" s="94">
        <f>Table3.110[[#This Row],[CH4 8h, ml]]/Table3.110[[#This Row],[Net gas 8h, ml]]%</f>
        <v>11.8</v>
      </c>
      <c r="AQ856" s="94">
        <f>Table3.110[[#This Row],[CH4 24h, ml]]/Table3.110[[#This Row],[Net gas 24h, ml]]%</f>
        <v>12.735605211909286</v>
      </c>
      <c r="AR856" s="94">
        <f>Table3.110[[#This Row],[CH4 24h, ml]]/Table3.110[[#This Row],[DM Incubated, mg]]*1000</f>
        <v>6.3627891686878941</v>
      </c>
      <c r="AS856" s="94">
        <f>Table3.110[[#This Row],[CH4 24h, ml]]/Table3.110[[#This Row],[Digested feed, mg]]*1000</f>
        <v>156.78048361571666</v>
      </c>
      <c r="AT856" s="94">
        <f>Table3.110[[#This Row],[CH4 24h, ml]]/'3.2 Digest'!AA856</f>
        <v>-6.3989762443468795E-2</v>
      </c>
      <c r="AU856" s="94">
        <f>((Table3.110[[#This Row],[CH4 24h, ml]]/28.9)*16.04)/Table3.110[[#This Row],[DM Incubated, mg]]*1000</f>
        <v>3.5314580714793715</v>
      </c>
      <c r="AV856" s="94">
        <f>((Table3.110[[#This Row],[CH4 24h, ml]]/28.9)*16.04)/Table3.110[[#This Row],[Digested feed, mg]]*1000</f>
        <v>87.015880871837226</v>
      </c>
    </row>
    <row r="857" spans="2:48" s="89" customFormat="1" x14ac:dyDescent="0.35">
      <c r="B857" s="90">
        <f t="shared" si="13"/>
        <v>847</v>
      </c>
      <c r="C857" s="140">
        <v>46055</v>
      </c>
      <c r="D857" s="8" t="s">
        <v>120</v>
      </c>
      <c r="E857" s="6" t="s">
        <v>122</v>
      </c>
      <c r="F857" s="6" t="s">
        <v>123</v>
      </c>
      <c r="G857" s="6" t="s">
        <v>545</v>
      </c>
      <c r="H857" s="6" t="s">
        <v>125</v>
      </c>
      <c r="I857" s="57" t="s">
        <v>108</v>
      </c>
      <c r="J857" s="130" t="s">
        <v>109</v>
      </c>
      <c r="K857" s="130" t="s">
        <v>110</v>
      </c>
      <c r="L857" s="6" t="s">
        <v>121</v>
      </c>
      <c r="M857" s="93">
        <v>29</v>
      </c>
      <c r="N857" s="93">
        <v>62</v>
      </c>
      <c r="O857" s="6">
        <v>1</v>
      </c>
      <c r="P857" s="129">
        <v>1</v>
      </c>
      <c r="Q857" s="6">
        <v>158</v>
      </c>
      <c r="R857" s="98">
        <v>0.50049999999999994</v>
      </c>
      <c r="S857" s="94">
        <f>((Table3.110[[#This Row],[Sample weight, g]]*'2.1. DM'!Q239)/100)*1000</f>
        <v>468.21774999999991</v>
      </c>
      <c r="T857" s="94">
        <f>'3.2 Digest'!W857</f>
        <v>145.9177499999999</v>
      </c>
      <c r="U857" s="117">
        <v>0.38472222222222224</v>
      </c>
      <c r="V857" s="155">
        <v>41.5</v>
      </c>
      <c r="W857" s="117">
        <v>0.72499999999999998</v>
      </c>
      <c r="X857" s="97">
        <v>58.5</v>
      </c>
      <c r="Y857" s="97">
        <v>13.9</v>
      </c>
      <c r="Z857" s="155">
        <v>40.5</v>
      </c>
      <c r="AA857" s="117">
        <v>0.40347222222222223</v>
      </c>
      <c r="AB857" s="155">
        <v>73.5</v>
      </c>
      <c r="AC857" s="155">
        <v>15.8</v>
      </c>
      <c r="AD857" s="96"/>
      <c r="AE857" s="94">
        <f>Table3.110[[#This Row],[Gas 8h, ml]]-Table3.110[[#This Row],[Gas 0h, ml]]</f>
        <v>17</v>
      </c>
      <c r="AF857" s="94">
        <f>Table3.110[[#This Row],[Gas 24h, ml]]-Table3.110[[#This Row],[V8 Push back, ml]]</f>
        <v>33</v>
      </c>
      <c r="AG857" s="94">
        <f>Table3.110[[#This Row],[GP 8h, ml]]-(AVERAGE(AE$790,AE$791,AE$840,AE$841,AE$860,AE$861))*$AG$8</f>
        <v>15.81999099187605</v>
      </c>
      <c r="AH857" s="94">
        <f>Table3.110[[#This Row],[GP 8-24h, ml]]-(AVERAGE(AF$790,AF$791,AF$840,AF$841,AF$860,AF$861))*$AG$8</f>
        <v>30.123728042697874</v>
      </c>
      <c r="AI857" s="94">
        <f>Table3.110[[#This Row],[Net gas 8-24h, ml]]+Table3.110[[#This Row],[Net gas 8h, ml]]</f>
        <v>45.943719034573924</v>
      </c>
      <c r="AJ857" s="94">
        <f>Table3.110[[#This Row],[Net gas 8h, ml]]*Table3.110[[#This Row],[CH4 8h %]]%</f>
        <v>2.1989787478707714</v>
      </c>
      <c r="AK857" s="94">
        <f>Table3.110[[#This Row],[Net gas 8-24h, ml]]*Table3.110[[#This Row],[CH4 24h, %]]%</f>
        <v>4.759549030746264</v>
      </c>
      <c r="AL857" s="94">
        <f>Table3.110[[#This Row],[CH4 8-24h, ml]]+Table3.110[[#This Row],[CH4 8h, ml]]</f>
        <v>6.9585277786170359</v>
      </c>
      <c r="AM857" s="94">
        <f>(Table3.110[[#This Row],[Net gas 24h, ml]]/Table3.110[[#This Row],[DM Incubated, mg]])*1000</f>
        <v>98.124684582278078</v>
      </c>
      <c r="AN857" s="94">
        <f>'3.2 Digest'!X857</f>
        <v>31.164506258039115</v>
      </c>
      <c r="AO857" s="94">
        <f>Table3.110[[#This Row],[Digested feed, mg]]/Table3.110[[#This Row],[Net gas 24h, ml]]</f>
        <v>3.1760108468840484</v>
      </c>
      <c r="AP857" s="94">
        <f>Table3.110[[#This Row],[CH4 8h, ml]]/Table3.110[[#This Row],[Net gas 8h, ml]]%</f>
        <v>13.900000000000002</v>
      </c>
      <c r="AQ857" s="94">
        <f>Table3.110[[#This Row],[CH4 24h, ml]]/Table3.110[[#This Row],[Net gas 24h, ml]]%</f>
        <v>15.145765133598676</v>
      </c>
      <c r="AR857" s="94">
        <f>Table3.110[[#This Row],[CH4 24h, ml]]/Table3.110[[#This Row],[DM Incubated, mg]]*1000</f>
        <v>14.861734264916349</v>
      </c>
      <c r="AS857" s="94">
        <f>Table3.110[[#This Row],[CH4 24h, ml]]/Table3.110[[#This Row],[Digested feed, mg]]*1000</f>
        <v>47.688014505548786</v>
      </c>
      <c r="AT857" s="94">
        <f>Table3.110[[#This Row],[CH4 24h, ml]]/'3.2 Digest'!AA857</f>
        <v>0.72894694442137553</v>
      </c>
      <c r="AU857" s="94">
        <f>((Table3.110[[#This Row],[CH4 24h, ml]]/28.9)*16.04)/Table3.110[[#This Row],[DM Incubated, mg]]*1000</f>
        <v>8.2485196404587615</v>
      </c>
      <c r="AV857" s="94">
        <f>((Table3.110[[#This Row],[CH4 24h, ml]]/28.9)*16.04)/Table3.110[[#This Row],[Digested feed, mg]]*1000</f>
        <v>26.467673102733645</v>
      </c>
    </row>
    <row r="858" spans="2:48" s="89" customFormat="1" x14ac:dyDescent="0.35">
      <c r="B858" s="90">
        <f t="shared" si="13"/>
        <v>848</v>
      </c>
      <c r="C858" s="140">
        <v>46055</v>
      </c>
      <c r="D858" s="8" t="s">
        <v>120</v>
      </c>
      <c r="E858" s="6" t="s">
        <v>122</v>
      </c>
      <c r="F858" s="6" t="s">
        <v>123</v>
      </c>
      <c r="G858" s="6" t="s">
        <v>545</v>
      </c>
      <c r="H858" s="6" t="s">
        <v>125</v>
      </c>
      <c r="I858" s="57" t="s">
        <v>108</v>
      </c>
      <c r="J858" s="130" t="s">
        <v>109</v>
      </c>
      <c r="K858" s="130" t="s">
        <v>110</v>
      </c>
      <c r="L858" s="6" t="s">
        <v>121</v>
      </c>
      <c r="M858" s="93">
        <v>29</v>
      </c>
      <c r="N858" s="93">
        <v>62</v>
      </c>
      <c r="O858" s="6">
        <v>1</v>
      </c>
      <c r="P858" s="129">
        <v>2</v>
      </c>
      <c r="Q858" s="6">
        <v>159</v>
      </c>
      <c r="R858" s="98">
        <v>0.50070000000000003</v>
      </c>
      <c r="S858" s="94">
        <f>((Table3.110[[#This Row],[Sample weight, g]]*'2.1. DM'!Q239)/100)*1000</f>
        <v>468.40485000000001</v>
      </c>
      <c r="T858" s="94">
        <f>'3.2 Digest'!W858</f>
        <v>118.40485000000001</v>
      </c>
      <c r="U858" s="153">
        <v>0.38541666666666669</v>
      </c>
      <c r="V858" s="155">
        <v>40</v>
      </c>
      <c r="W858" s="153">
        <v>0.72499999999999998</v>
      </c>
      <c r="X858" s="95">
        <v>58.5</v>
      </c>
      <c r="Y858" s="95">
        <v>15</v>
      </c>
      <c r="Z858" s="154">
        <v>39.5</v>
      </c>
      <c r="AA858" s="153">
        <v>0.40347222222222223</v>
      </c>
      <c r="AB858" s="154">
        <v>74</v>
      </c>
      <c r="AC858" s="154">
        <v>15.5</v>
      </c>
      <c r="AD858" s="180" t="s">
        <v>582</v>
      </c>
      <c r="AE858" s="94">
        <f>Table3.110[[#This Row],[Gas 8h, ml]]-Table3.110[[#This Row],[Gas 0h, ml]]</f>
        <v>18.5</v>
      </c>
      <c r="AF858" s="94">
        <f>Table3.110[[#This Row],[Gas 24h, ml]]-Table3.110[[#This Row],[V8 Push back, ml]]</f>
        <v>34.5</v>
      </c>
      <c r="AG858" s="94">
        <f>Table3.110[[#This Row],[GP 8h, ml]]-(AVERAGE(AE$790,AE$791,AE$840,AE$841,AE$860,AE$861))*$AG$8</f>
        <v>17.31999099187605</v>
      </c>
      <c r="AH858" s="94">
        <f>Table3.110[[#This Row],[GP 8-24h, ml]]-(AVERAGE(AF$790,AF$791,AF$840,AF$841,AF$860,AF$861))*$AG$8</f>
        <v>31.623728042697874</v>
      </c>
      <c r="AI858" s="94">
        <f>Table3.110[[#This Row],[Net gas 8-24h, ml]]+Table3.110[[#This Row],[Net gas 8h, ml]]</f>
        <v>48.943719034573924</v>
      </c>
      <c r="AJ858" s="94">
        <f>Table3.110[[#This Row],[Net gas 8h, ml]]*Table3.110[[#This Row],[CH4 8h %]]%</f>
        <v>2.5979986487814073</v>
      </c>
      <c r="AK858" s="94">
        <f>Table3.110[[#This Row],[Net gas 8-24h, ml]]*Table3.110[[#This Row],[CH4 24h, %]]%</f>
        <v>4.9016778466181705</v>
      </c>
      <c r="AL858" s="94">
        <f>Table3.110[[#This Row],[CH4 8-24h, ml]]+Table3.110[[#This Row],[CH4 8h, ml]]</f>
        <v>7.4996764953995783</v>
      </c>
      <c r="AM858" s="94">
        <f>(Table3.110[[#This Row],[Net gas 24h, ml]]/Table3.110[[#This Row],[DM Incubated, mg]])*1000</f>
        <v>104.49020550187284</v>
      </c>
      <c r="AN858" s="94">
        <f>'3.2 Digest'!X858</f>
        <v>25.278314261690504</v>
      </c>
      <c r="AO858" s="94">
        <f>Table3.110[[#This Row],[Digested feed, mg]]/Table3.110[[#This Row],[Net gas 24h, ml]]</f>
        <v>2.4192041866773271</v>
      </c>
      <c r="AP858" s="94">
        <f>Table3.110[[#This Row],[CH4 8h, ml]]/Table3.110[[#This Row],[Net gas 8h, ml]]%</f>
        <v>14.999999999999998</v>
      </c>
      <c r="AQ858" s="94">
        <f>Table3.110[[#This Row],[CH4 24h, ml]]/Table3.110[[#This Row],[Net gas 24h, ml]]%</f>
        <v>15.323062168818423</v>
      </c>
      <c r="AR858" s="94">
        <f>Table3.110[[#This Row],[CH4 24h, ml]]/Table3.110[[#This Row],[DM Incubated, mg]]*1000</f>
        <v>16.011099149378104</v>
      </c>
      <c r="AS858" s="94">
        <f>Table3.110[[#This Row],[CH4 24h, ml]]/Table3.110[[#This Row],[Digested feed, mg]]*1000</f>
        <v>63.339267736073126</v>
      </c>
      <c r="AT858" s="94">
        <f>Table3.110[[#This Row],[CH4 24h, ml]]/'3.2 Digest'!AA858</f>
        <v>4.140749299074348</v>
      </c>
      <c r="AU858" s="94">
        <f>((Table3.110[[#This Row],[CH4 24h, ml]]/28.9)*16.04)/Table3.110[[#This Row],[DM Incubated, mg]]*1000</f>
        <v>8.8864370365406486</v>
      </c>
      <c r="AV858" s="94">
        <f>((Table3.110[[#This Row],[CH4 24h, ml]]/28.9)*16.04)/Table3.110[[#This Row],[Digested feed, mg]]*1000</f>
        <v>35.154389428602521</v>
      </c>
    </row>
    <row r="859" spans="2:48" s="89" customFormat="1" x14ac:dyDescent="0.35">
      <c r="B859" s="90">
        <f t="shared" si="13"/>
        <v>849</v>
      </c>
      <c r="C859" s="140">
        <v>46055</v>
      </c>
      <c r="D859" s="8" t="s">
        <v>120</v>
      </c>
      <c r="E859" s="6" t="s">
        <v>122</v>
      </c>
      <c r="F859" s="6" t="s">
        <v>123</v>
      </c>
      <c r="G859" s="6" t="s">
        <v>545</v>
      </c>
      <c r="H859" s="6" t="s">
        <v>125</v>
      </c>
      <c r="I859" s="57" t="s">
        <v>108</v>
      </c>
      <c r="J859" s="130" t="s">
        <v>109</v>
      </c>
      <c r="K859" s="130" t="s">
        <v>110</v>
      </c>
      <c r="L859" s="6" t="s">
        <v>121</v>
      </c>
      <c r="M859" s="93">
        <v>29</v>
      </c>
      <c r="N859" s="93">
        <v>62</v>
      </c>
      <c r="O859" s="6">
        <v>1</v>
      </c>
      <c r="P859" s="129">
        <v>3</v>
      </c>
      <c r="Q859" s="6">
        <v>160</v>
      </c>
      <c r="R859" s="98">
        <v>0.5</v>
      </c>
      <c r="S859" s="94">
        <f>((Table3.110[[#This Row],[Sample weight, g]]*'2.1. DM'!Q239)/100)*1000</f>
        <v>467.75</v>
      </c>
      <c r="T859" s="94">
        <f>'3.2 Digest'!W859</f>
        <v>25.549999999999955</v>
      </c>
      <c r="U859" s="117">
        <v>0.38541666666666669</v>
      </c>
      <c r="V859" s="155">
        <v>41</v>
      </c>
      <c r="W859" s="117">
        <v>0.72569444444444442</v>
      </c>
      <c r="X859" s="97">
        <v>58</v>
      </c>
      <c r="Y859" s="97">
        <v>14.7</v>
      </c>
      <c r="Z859" s="155">
        <v>40</v>
      </c>
      <c r="AA859" s="117">
        <v>0.40416666666666667</v>
      </c>
      <c r="AB859" s="155">
        <v>67.5</v>
      </c>
      <c r="AC859" s="155">
        <v>15.9</v>
      </c>
      <c r="AD859" s="96"/>
      <c r="AE859" s="94">
        <f>Table3.110[[#This Row],[Gas 8h, ml]]-Table3.110[[#This Row],[Gas 0h, ml]]</f>
        <v>17</v>
      </c>
      <c r="AF859" s="94">
        <f>Table3.110[[#This Row],[Gas 24h, ml]]-Table3.110[[#This Row],[V8 Push back, ml]]</f>
        <v>27.5</v>
      </c>
      <c r="AG859" s="94">
        <f>Table3.110[[#This Row],[GP 8h, ml]]-(AVERAGE(AE$790,AE$791,AE$840,AE$841,AE$860,AE$861))*$AG$8</f>
        <v>15.81999099187605</v>
      </c>
      <c r="AH859" s="94">
        <f>Table3.110[[#This Row],[GP 8-24h, ml]]-(AVERAGE(AF$790,AF$791,AF$840,AF$841,AF$860,AF$861))*$AG$8</f>
        <v>24.623728042697874</v>
      </c>
      <c r="AI859" s="94">
        <f>Table3.110[[#This Row],[Net gas 8-24h, ml]]+Table3.110[[#This Row],[Net gas 8h, ml]]</f>
        <v>40.443719034573924</v>
      </c>
      <c r="AJ859" s="94">
        <f>Table3.110[[#This Row],[Net gas 8h, ml]]*Table3.110[[#This Row],[CH4 8h %]]%</f>
        <v>2.3255386758057792</v>
      </c>
      <c r="AK859" s="94">
        <f>Table3.110[[#This Row],[Net gas 8-24h, ml]]*Table3.110[[#This Row],[CH4 24h, %]]%</f>
        <v>3.915172758788962</v>
      </c>
      <c r="AL859" s="94">
        <f>Table3.110[[#This Row],[CH4 8-24h, ml]]+Table3.110[[#This Row],[CH4 8h, ml]]</f>
        <v>6.2407114345947416</v>
      </c>
      <c r="AM859" s="94">
        <f>(Table3.110[[#This Row],[Net gas 24h, ml]]/Table3.110[[#This Row],[DM Incubated, mg]])*1000</f>
        <v>86.464391308549267</v>
      </c>
      <c r="AN859" s="94">
        <f>'3.2 Digest'!X859</f>
        <v>5.4623196151790392</v>
      </c>
      <c r="AO859" s="94">
        <f>Table3.110[[#This Row],[Digested feed, mg]]/Table3.110[[#This Row],[Net gas 24h, ml]]</f>
        <v>0.63174210013075582</v>
      </c>
      <c r="AP859" s="94">
        <f>Table3.110[[#This Row],[CH4 8h, ml]]/Table3.110[[#This Row],[Net gas 8h, ml]]%</f>
        <v>14.699999999999998</v>
      </c>
      <c r="AQ859" s="94">
        <f>Table3.110[[#This Row],[CH4 24h, ml]]/Table3.110[[#This Row],[Net gas 24h, ml]]%</f>
        <v>15.430607232880279</v>
      </c>
      <c r="AR859" s="94">
        <f>Table3.110[[#This Row],[CH4 24h, ml]]/Table3.110[[#This Row],[DM Incubated, mg]]*1000</f>
        <v>13.341980619122911</v>
      </c>
      <c r="AS859" s="94">
        <f>Table3.110[[#This Row],[CH4 24h, ml]]/Table3.110[[#This Row],[Digested feed, mg]]*1000</f>
        <v>244.25485066907055</v>
      </c>
      <c r="AT859" s="94">
        <f>Table3.110[[#This Row],[CH4 24h, ml]]/'3.2 Digest'!AA859</f>
        <v>-0.25758020003624821</v>
      </c>
      <c r="AU859" s="94">
        <f>((Table3.110[[#This Row],[CH4 24h, ml]]/28.9)*16.04)/Table3.110[[#This Row],[DM Incubated, mg]]*1000</f>
        <v>7.4050300737277333</v>
      </c>
      <c r="AV859" s="94">
        <f>((Table3.110[[#This Row],[CH4 24h, ml]]/28.9)*16.04)/Table3.110[[#This Row],[Digested feed, mg]]*1000</f>
        <v>135.56566798380248</v>
      </c>
    </row>
    <row r="860" spans="2:48" s="89" customFormat="1" x14ac:dyDescent="0.35">
      <c r="B860" s="90">
        <f t="shared" si="13"/>
        <v>850</v>
      </c>
      <c r="C860" s="143">
        <v>46055</v>
      </c>
      <c r="D860" s="6"/>
      <c r="E860" s="124" t="s">
        <v>537</v>
      </c>
      <c r="F860" s="6" t="s">
        <v>538</v>
      </c>
      <c r="G860" s="6">
        <v>24</v>
      </c>
      <c r="H860" s="124" t="s">
        <v>537</v>
      </c>
      <c r="I860" s="277"/>
      <c r="J860" s="278"/>
      <c r="K860" s="124"/>
      <c r="L860" s="124" t="s">
        <v>539</v>
      </c>
      <c r="M860" s="93">
        <v>29</v>
      </c>
      <c r="N860" s="147">
        <v>62</v>
      </c>
      <c r="O860" s="124">
        <v>1</v>
      </c>
      <c r="P860" s="146">
        <v>1</v>
      </c>
      <c r="Q860" s="124">
        <v>161</v>
      </c>
      <c r="R860" s="148"/>
      <c r="S860" s="94"/>
      <c r="T860" s="94"/>
      <c r="U860" s="159">
        <v>0.3659722222222222</v>
      </c>
      <c r="V860" s="160">
        <v>40</v>
      </c>
      <c r="W860" s="159">
        <v>0.70347222222222228</v>
      </c>
      <c r="X860" s="147">
        <v>43</v>
      </c>
      <c r="Y860" s="147"/>
      <c r="Z860" s="160">
        <v>39.5</v>
      </c>
      <c r="AA860" s="159">
        <v>0.40486111111111112</v>
      </c>
      <c r="AB860" s="160">
        <v>45</v>
      </c>
      <c r="AC860" s="160"/>
      <c r="AD860" s="147"/>
      <c r="AE860" s="94">
        <f>Table3.110[[#This Row],[Gas 8h, ml]]-Table3.110[[#This Row],[Gas 0h, ml]]</f>
        <v>3</v>
      </c>
      <c r="AF860" s="94">
        <f>Table3.110[[#This Row],[Gas 24h, ml]]-Table3.110[[#This Row],[V8 Push back, ml]]</f>
        <v>5.5</v>
      </c>
      <c r="AG860" s="94"/>
      <c r="AH860" s="94"/>
      <c r="AI860" s="94"/>
      <c r="AJ860" s="94"/>
      <c r="AK860" s="94"/>
      <c r="AL860" s="94"/>
      <c r="AM860" s="94"/>
      <c r="AN860" s="94"/>
      <c r="AO860" s="94"/>
      <c r="AP860" s="94"/>
      <c r="AQ860" s="94"/>
      <c r="AR860" s="94"/>
      <c r="AS860" s="94"/>
      <c r="AT860" s="94"/>
      <c r="AU860" s="94"/>
      <c r="AV860" s="94"/>
    </row>
    <row r="861" spans="2:48" s="89" customFormat="1" x14ac:dyDescent="0.35">
      <c r="B861" s="90">
        <f t="shared" si="13"/>
        <v>851</v>
      </c>
      <c r="C861" s="143">
        <v>46055</v>
      </c>
      <c r="D861" s="6"/>
      <c r="E861" s="124" t="s">
        <v>537</v>
      </c>
      <c r="F861" s="6" t="s">
        <v>538</v>
      </c>
      <c r="G861" s="6">
        <v>24</v>
      </c>
      <c r="H861" s="124" t="s">
        <v>537</v>
      </c>
      <c r="I861" s="277"/>
      <c r="J861" s="278"/>
      <c r="K861" s="124"/>
      <c r="L861" s="124" t="s">
        <v>539</v>
      </c>
      <c r="M861" s="93">
        <v>29</v>
      </c>
      <c r="N861" s="147">
        <v>62</v>
      </c>
      <c r="O861" s="124">
        <v>1</v>
      </c>
      <c r="P861" s="146">
        <v>2</v>
      </c>
      <c r="Q861" s="124">
        <v>162</v>
      </c>
      <c r="R861" s="148"/>
      <c r="S861" s="94"/>
      <c r="T861" s="94"/>
      <c r="U861" s="159">
        <v>0.36666666666666664</v>
      </c>
      <c r="V861" s="160">
        <v>39.5</v>
      </c>
      <c r="W861" s="159">
        <v>0.70347222222222228</v>
      </c>
      <c r="X861" s="147">
        <v>43.5</v>
      </c>
      <c r="Y861" s="147"/>
      <c r="Z861" s="160">
        <v>39</v>
      </c>
      <c r="AA861" s="159">
        <v>0.40555555555555556</v>
      </c>
      <c r="AB861" s="160">
        <v>44</v>
      </c>
      <c r="AC861" s="160"/>
      <c r="AD861" s="147"/>
      <c r="AE861" s="94">
        <f>Table3.110[[#This Row],[Gas 8h, ml]]-Table3.110[[#This Row],[Gas 0h, ml]]</f>
        <v>4</v>
      </c>
      <c r="AF861" s="94">
        <f>Table3.110[[#This Row],[Gas 24h, ml]]-Table3.110[[#This Row],[V8 Push back, ml]]</f>
        <v>5</v>
      </c>
      <c r="AG861" s="94"/>
      <c r="AH861" s="94"/>
      <c r="AI861" s="94"/>
      <c r="AJ861" s="94"/>
      <c r="AK861" s="94"/>
      <c r="AL861" s="94"/>
      <c r="AM861" s="94"/>
      <c r="AN861" s="94"/>
      <c r="AO861" s="94"/>
      <c r="AP861" s="94"/>
      <c r="AQ861" s="94"/>
      <c r="AR861" s="94"/>
      <c r="AS861" s="94"/>
      <c r="AT861" s="94"/>
      <c r="AU861" s="94"/>
      <c r="AV861" s="94"/>
    </row>
    <row r="862" spans="2:48" s="89" customFormat="1" x14ac:dyDescent="0.35">
      <c r="B862" s="90">
        <f t="shared" si="13"/>
        <v>852</v>
      </c>
      <c r="C862" s="143">
        <v>46057</v>
      </c>
      <c r="D862" s="6"/>
      <c r="E862" s="124" t="s">
        <v>537</v>
      </c>
      <c r="F862" s="6" t="s">
        <v>538</v>
      </c>
      <c r="G862" s="6">
        <v>24</v>
      </c>
      <c r="H862" s="124" t="s">
        <v>537</v>
      </c>
      <c r="I862" s="277"/>
      <c r="J862" s="278"/>
      <c r="K862" s="124"/>
      <c r="L862" s="124" t="s">
        <v>539</v>
      </c>
      <c r="M862" s="93">
        <v>29</v>
      </c>
      <c r="N862" s="147">
        <v>63</v>
      </c>
      <c r="O862" s="124">
        <v>2</v>
      </c>
      <c r="P862" s="146">
        <v>1</v>
      </c>
      <c r="Q862" s="124">
        <v>163</v>
      </c>
      <c r="R862" s="148"/>
      <c r="S862" s="94"/>
      <c r="T862" s="94"/>
      <c r="U862" s="149">
        <v>0.3298611111111111</v>
      </c>
      <c r="V862" s="150">
        <v>39</v>
      </c>
      <c r="W862" s="149">
        <v>0.66319444444444442</v>
      </c>
      <c r="X862" s="163">
        <v>42</v>
      </c>
      <c r="Y862" s="163"/>
      <c r="Z862" s="150">
        <v>39</v>
      </c>
      <c r="AA862" s="149">
        <v>0.33194444444444443</v>
      </c>
      <c r="AB862" s="150">
        <v>43.5</v>
      </c>
      <c r="AC862" s="150"/>
      <c r="AD862" s="163"/>
      <c r="AE862" s="94">
        <f>Table3.110[[#This Row],[Gas 8h, ml]]-Table3.110[[#This Row],[Gas 0h, ml]]</f>
        <v>3</v>
      </c>
      <c r="AF862" s="94">
        <f>Table3.110[[#This Row],[Gas 24h, ml]]-Table3.110[[#This Row],[V8 Push back, ml]]</f>
        <v>4.5</v>
      </c>
      <c r="AG862" s="94"/>
      <c r="AH862" s="94"/>
      <c r="AI862" s="94"/>
      <c r="AJ862" s="94"/>
      <c r="AK862" s="94"/>
      <c r="AL862" s="94"/>
      <c r="AM862" s="94"/>
      <c r="AN862" s="94"/>
      <c r="AO862" s="94"/>
      <c r="AP862" s="94"/>
      <c r="AQ862" s="94"/>
      <c r="AR862" s="94"/>
      <c r="AS862" s="94"/>
      <c r="AT862" s="94"/>
      <c r="AU862" s="94"/>
      <c r="AV862" s="94"/>
    </row>
    <row r="863" spans="2:48" s="89" customFormat="1" x14ac:dyDescent="0.35">
      <c r="B863" s="90">
        <f t="shared" si="13"/>
        <v>853</v>
      </c>
      <c r="C863" s="143">
        <v>46057</v>
      </c>
      <c r="D863" s="6"/>
      <c r="E863" s="124" t="s">
        <v>537</v>
      </c>
      <c r="F863" s="6" t="s">
        <v>538</v>
      </c>
      <c r="G863" s="6">
        <v>24</v>
      </c>
      <c r="H863" s="124" t="s">
        <v>537</v>
      </c>
      <c r="I863" s="277"/>
      <c r="J863" s="278"/>
      <c r="K863" s="124"/>
      <c r="L863" s="124" t="s">
        <v>539</v>
      </c>
      <c r="M863" s="93">
        <v>29</v>
      </c>
      <c r="N863" s="147">
        <v>63</v>
      </c>
      <c r="O863" s="124">
        <v>2</v>
      </c>
      <c r="P863" s="124">
        <v>2</v>
      </c>
      <c r="Q863" s="124">
        <v>164</v>
      </c>
      <c r="R863" s="148"/>
      <c r="S863" s="94"/>
      <c r="T863" s="94"/>
      <c r="U863" s="151">
        <v>0.33055555555555555</v>
      </c>
      <c r="V863" s="152">
        <v>39</v>
      </c>
      <c r="W863" s="151">
        <v>0.66319444444444442</v>
      </c>
      <c r="X863" s="164">
        <v>42.5</v>
      </c>
      <c r="Y863" s="164"/>
      <c r="Z863" s="152">
        <v>39</v>
      </c>
      <c r="AA863" s="151">
        <v>0.33263888888888887</v>
      </c>
      <c r="AB863" s="152">
        <v>43.5</v>
      </c>
      <c r="AC863" s="152"/>
      <c r="AD863" s="164"/>
      <c r="AE863" s="94">
        <f>Table3.110[[#This Row],[Gas 8h, ml]]-Table3.110[[#This Row],[Gas 0h, ml]]</f>
        <v>3.5</v>
      </c>
      <c r="AF863" s="94">
        <f>Table3.110[[#This Row],[Gas 24h, ml]]-Table3.110[[#This Row],[V8 Push back, ml]]</f>
        <v>4.5</v>
      </c>
      <c r="AG863" s="94"/>
      <c r="AH863" s="94"/>
      <c r="AI863" s="94"/>
      <c r="AJ863" s="94"/>
      <c r="AK863" s="94"/>
      <c r="AL863" s="94"/>
      <c r="AM863" s="94"/>
      <c r="AN863" s="94"/>
      <c r="AO863" s="94"/>
      <c r="AP863" s="94"/>
      <c r="AQ863" s="94"/>
      <c r="AR863" s="94"/>
      <c r="AS863" s="94"/>
      <c r="AT863" s="94"/>
      <c r="AU863" s="94"/>
      <c r="AV863" s="94"/>
    </row>
    <row r="864" spans="2:48" s="89" customFormat="1" x14ac:dyDescent="0.35">
      <c r="B864" s="90">
        <f t="shared" si="13"/>
        <v>854</v>
      </c>
      <c r="C864" s="140">
        <v>46057</v>
      </c>
      <c r="D864" s="6" t="s">
        <v>16</v>
      </c>
      <c r="E864" s="6" t="s">
        <v>322</v>
      </c>
      <c r="F864" s="6" t="s">
        <v>290</v>
      </c>
      <c r="G864" s="6" t="s">
        <v>318</v>
      </c>
      <c r="H864" s="6" t="s">
        <v>319</v>
      </c>
      <c r="I864" s="6" t="s">
        <v>22</v>
      </c>
      <c r="J864" s="129" t="s">
        <v>23</v>
      </c>
      <c r="K864" s="129" t="s">
        <v>215</v>
      </c>
      <c r="L864" s="6" t="s">
        <v>321</v>
      </c>
      <c r="M864" s="93">
        <v>29</v>
      </c>
      <c r="N864" s="93">
        <v>63</v>
      </c>
      <c r="O864" s="6">
        <v>2</v>
      </c>
      <c r="P864" s="129">
        <v>1</v>
      </c>
      <c r="Q864" s="6">
        <v>165</v>
      </c>
      <c r="R864" s="98">
        <v>0.50019999999999998</v>
      </c>
      <c r="S864" s="94">
        <f>((Table3.110[[#This Row],[Sample weight, g]]*'2.1. DM'!Q197)/100)*1000</f>
        <v>447.86190828351459</v>
      </c>
      <c r="T864" s="94">
        <f>'3.2 Digest'!W864</f>
        <v>174.56190828351458</v>
      </c>
      <c r="U864" s="153">
        <v>0.33055555555555555</v>
      </c>
      <c r="V864" s="154">
        <v>40</v>
      </c>
      <c r="W864" s="153">
        <v>0.66319444444444442</v>
      </c>
      <c r="X864" s="91">
        <v>79</v>
      </c>
      <c r="Y864" s="91">
        <v>14.5</v>
      </c>
      <c r="Z864" s="154">
        <v>39</v>
      </c>
      <c r="AA864" s="153">
        <v>0.33333333333333331</v>
      </c>
      <c r="AB864" s="154">
        <v>74</v>
      </c>
      <c r="AC864" s="154">
        <v>12.4</v>
      </c>
      <c r="AD864" s="91"/>
      <c r="AE864" s="94">
        <f>Table3.110[[#This Row],[Gas 8h, ml]]-Table3.110[[#This Row],[Gas 0h, ml]]</f>
        <v>39</v>
      </c>
      <c r="AF864" s="94">
        <f>Table3.110[[#This Row],[Gas 24h, ml]]-Table3.110[[#This Row],[V8 Push back, ml]]</f>
        <v>35</v>
      </c>
      <c r="AG864" s="94">
        <f>Table3.110[[#This Row],[GP 8h, ml]]-(AVERAGE(AE$862,AE$863,AE$912,AE$913,AE$932,AE$933))*$AG$8</f>
        <v>35.754975227659145</v>
      </c>
      <c r="AH864" s="94">
        <f>Table3.110[[#This Row],[GP 8-24h, ml]]-(AVERAGE(AF$862,AF$863,AF$912,AF$913,AF$932,AF$933))*$AG$8</f>
        <v>30.685592064046812</v>
      </c>
      <c r="AI864" s="94">
        <f>Table3.110[[#This Row],[Net gas 8-24h, ml]]+Table3.110[[#This Row],[Net gas 8h, ml]]</f>
        <v>66.44056729170596</v>
      </c>
      <c r="AJ864" s="94">
        <f>Table3.110[[#This Row],[Net gas 8h, ml]]*Table3.110[[#This Row],[CH4 8h %]]%</f>
        <v>5.1844714080105758</v>
      </c>
      <c r="AK864" s="94">
        <f>Table3.110[[#This Row],[Net gas 8-24h, ml]]*Table3.110[[#This Row],[CH4 24h, %]]%</f>
        <v>3.8050134159418048</v>
      </c>
      <c r="AL864" s="94">
        <f>Table3.110[[#This Row],[CH4 8-24h, ml]]+Table3.110[[#This Row],[CH4 8h, ml]]</f>
        <v>8.989484823952381</v>
      </c>
      <c r="AM864" s="94">
        <f>(Table3.110[[#This Row],[Net gas 24h, ml]]/Table3.110[[#This Row],[DM Incubated, mg]])*1000</f>
        <v>148.3505653480278</v>
      </c>
      <c r="AN864" s="94">
        <f>'3.2 Digest'!X864</f>
        <v>38.97672587350516</v>
      </c>
      <c r="AO864" s="94">
        <f>Table3.110[[#This Row],[Digested feed, mg]]/Table3.110[[#This Row],[Net gas 24h, ml]]</f>
        <v>2.6273392205864838</v>
      </c>
      <c r="AP864" s="94">
        <f>Table3.110[[#This Row],[CH4 8h, ml]]/Table3.110[[#This Row],[Net gas 8h, ml]]%</f>
        <v>14.499999999999998</v>
      </c>
      <c r="AQ864" s="94">
        <f>Table3.110[[#This Row],[CH4 24h, ml]]/Table3.110[[#This Row],[Net gas 24h, ml]]%</f>
        <v>13.530114492376669</v>
      </c>
      <c r="AR864" s="94">
        <f>Table3.110[[#This Row],[CH4 24h, ml]]/Table3.110[[#This Row],[DM Incubated, mg]]*1000</f>
        <v>20.072001341676227</v>
      </c>
      <c r="AS864" s="94">
        <f>Table3.110[[#This Row],[CH4 24h, ml]]/Table3.110[[#This Row],[Digested feed, mg]]*1000</f>
        <v>51.497402339072259</v>
      </c>
      <c r="AT864" s="94">
        <f>Table3.110[[#This Row],[CH4 24h, ml]]/'3.2 Digest'!AA864</f>
        <v>-0.57045724428138977</v>
      </c>
      <c r="AU864" s="94">
        <f>((Table3.110[[#This Row],[CH4 24h, ml]]/28.9)*16.04)/Table3.110[[#This Row],[DM Incubated, mg]]*1000</f>
        <v>11.140308011089505</v>
      </c>
      <c r="AV864" s="94">
        <f>((Table3.110[[#This Row],[CH4 24h, ml]]/28.9)*16.04)/Table3.110[[#This Row],[Digested feed, mg]]*1000</f>
        <v>28.58194925670308</v>
      </c>
    </row>
    <row r="865" spans="2:48" s="89" customFormat="1" x14ac:dyDescent="0.35">
      <c r="B865" s="90">
        <f t="shared" si="13"/>
        <v>855</v>
      </c>
      <c r="C865" s="140">
        <v>46057</v>
      </c>
      <c r="D865" s="6" t="s">
        <v>16</v>
      </c>
      <c r="E865" s="6" t="s">
        <v>322</v>
      </c>
      <c r="F865" s="6" t="s">
        <v>290</v>
      </c>
      <c r="G865" s="6" t="s">
        <v>318</v>
      </c>
      <c r="H865" s="6" t="s">
        <v>319</v>
      </c>
      <c r="I865" s="6" t="s">
        <v>22</v>
      </c>
      <c r="J865" s="129" t="s">
        <v>23</v>
      </c>
      <c r="K865" s="129" t="s">
        <v>215</v>
      </c>
      <c r="L865" s="6" t="s">
        <v>321</v>
      </c>
      <c r="M865" s="93">
        <v>29</v>
      </c>
      <c r="N865" s="93">
        <v>63</v>
      </c>
      <c r="O865" s="6">
        <v>2</v>
      </c>
      <c r="P865" s="129">
        <v>2</v>
      </c>
      <c r="Q865" s="6">
        <v>166</v>
      </c>
      <c r="R865" s="98">
        <v>0.5</v>
      </c>
      <c r="S865" s="94">
        <f>((Table3.110[[#This Row],[Sample weight, g]]*'2.1. DM'!Q197)/100)*1000</f>
        <v>447.68283514945477</v>
      </c>
      <c r="T865" s="94">
        <f>'3.2 Digest'!W865</f>
        <v>179.68283514945477</v>
      </c>
      <c r="U865" s="117">
        <v>0.33055555555555555</v>
      </c>
      <c r="V865" s="155">
        <v>40</v>
      </c>
      <c r="W865" s="117">
        <v>0.66319444444444442</v>
      </c>
      <c r="X865" s="96">
        <v>79.5</v>
      </c>
      <c r="Y865" s="96">
        <v>14.5</v>
      </c>
      <c r="Z865" s="155">
        <v>39.5</v>
      </c>
      <c r="AA865" s="117">
        <v>0.33402777777777776</v>
      </c>
      <c r="AB865" s="155">
        <v>75.5</v>
      </c>
      <c r="AC865" s="155">
        <v>14.6</v>
      </c>
      <c r="AD865" s="96"/>
      <c r="AE865" s="94">
        <f>Table3.110[[#This Row],[Gas 8h, ml]]-Table3.110[[#This Row],[Gas 0h, ml]]</f>
        <v>39.5</v>
      </c>
      <c r="AF865" s="94">
        <f>Table3.110[[#This Row],[Gas 24h, ml]]-Table3.110[[#This Row],[V8 Push back, ml]]</f>
        <v>36</v>
      </c>
      <c r="AG865" s="94">
        <f>Table3.110[[#This Row],[GP 8h, ml]]-(AVERAGE(AE$862,AE$863,AE$912,AE$913,AE$932,AE$933))*$AG$8</f>
        <v>36.254975227659145</v>
      </c>
      <c r="AH865" s="94">
        <f>Table3.110[[#This Row],[GP 8-24h, ml]]-(AVERAGE(AF$862,AF$863,AF$912,AF$913,AF$932,AF$933))*$AG$8</f>
        <v>31.685592064046812</v>
      </c>
      <c r="AI865" s="94">
        <f>Table3.110[[#This Row],[Net gas 8-24h, ml]]+Table3.110[[#This Row],[Net gas 8h, ml]]</f>
        <v>67.94056729170596</v>
      </c>
      <c r="AJ865" s="94">
        <f>Table3.110[[#This Row],[Net gas 8h, ml]]*Table3.110[[#This Row],[CH4 8h %]]%</f>
        <v>5.2569714080105756</v>
      </c>
      <c r="AK865" s="94">
        <f>Table3.110[[#This Row],[Net gas 8-24h, ml]]*Table3.110[[#This Row],[CH4 24h, %]]%</f>
        <v>4.6260964413508345</v>
      </c>
      <c r="AL865" s="94">
        <f>Table3.110[[#This Row],[CH4 8-24h, ml]]+Table3.110[[#This Row],[CH4 8h, ml]]</f>
        <v>9.8830678493614101</v>
      </c>
      <c r="AM865" s="94">
        <f>(Table3.110[[#This Row],[Net gas 24h, ml]]/Table3.110[[#This Row],[DM Incubated, mg]])*1000</f>
        <v>151.76049193180395</v>
      </c>
      <c r="AN865" s="94">
        <f>'3.2 Digest'!X865</f>
        <v>40.136190410219619</v>
      </c>
      <c r="AO865" s="94">
        <f>Table3.110[[#This Row],[Digested feed, mg]]/Table3.110[[#This Row],[Net gas 24h, ml]]</f>
        <v>2.6447061352605172</v>
      </c>
      <c r="AP865" s="94">
        <f>Table3.110[[#This Row],[CH4 8h, ml]]/Table3.110[[#This Row],[Net gas 8h, ml]]%</f>
        <v>14.499999999999998</v>
      </c>
      <c r="AQ865" s="94">
        <f>Table3.110[[#This Row],[CH4 24h, ml]]/Table3.110[[#This Row],[Net gas 24h, ml]]%</f>
        <v>14.546637220334064</v>
      </c>
      <c r="AR865" s="94">
        <f>Table3.110[[#This Row],[CH4 24h, ml]]/Table3.110[[#This Row],[DM Incubated, mg]]*1000</f>
        <v>22.076048205113871</v>
      </c>
      <c r="AS865" s="94">
        <f>Table3.110[[#This Row],[CH4 24h, ml]]/Table3.110[[#This Row],[Digested feed, mg]]*1000</f>
        <v>55.002848998575587</v>
      </c>
      <c r="AT865" s="94">
        <f>Table3.110[[#This Row],[CH4 24h, ml]]/'3.2 Digest'!AA865</f>
        <v>-0.72889715447699377</v>
      </c>
      <c r="AU865" s="94">
        <f>((Table3.110[[#This Row],[CH4 24h, ml]]/28.9)*16.04)/Table3.110[[#This Row],[DM Incubated, mg]]*1000</f>
        <v>12.252588692388459</v>
      </c>
      <c r="AV865" s="94">
        <f>((Table3.110[[#This Row],[CH4 24h, ml]]/28.9)*16.04)/Table3.110[[#This Row],[Digested feed, mg]]*1000</f>
        <v>30.527532800593509</v>
      </c>
    </row>
    <row r="866" spans="2:48" s="89" customFormat="1" x14ac:dyDescent="0.35">
      <c r="B866" s="90">
        <f t="shared" si="13"/>
        <v>856</v>
      </c>
      <c r="C866" s="140">
        <v>46057</v>
      </c>
      <c r="D866" s="6" t="s">
        <v>16</v>
      </c>
      <c r="E866" s="6" t="s">
        <v>322</v>
      </c>
      <c r="F866" s="6" t="s">
        <v>290</v>
      </c>
      <c r="G866" s="6" t="s">
        <v>318</v>
      </c>
      <c r="H866" s="6" t="s">
        <v>319</v>
      </c>
      <c r="I866" s="6" t="s">
        <v>22</v>
      </c>
      <c r="J866" s="129" t="s">
        <v>23</v>
      </c>
      <c r="K866" s="129" t="s">
        <v>215</v>
      </c>
      <c r="L866" s="6" t="s">
        <v>321</v>
      </c>
      <c r="M866" s="93">
        <v>29</v>
      </c>
      <c r="N866" s="93">
        <v>63</v>
      </c>
      <c r="O866" s="6">
        <v>2</v>
      </c>
      <c r="P866" s="6">
        <v>3</v>
      </c>
      <c r="Q866" s="6">
        <v>167</v>
      </c>
      <c r="R866" s="98">
        <v>0.50029999999999997</v>
      </c>
      <c r="S866" s="94">
        <f>((Table3.110[[#This Row],[Sample weight, g]]*'2.1. DM'!Q197)/100)*1000</f>
        <v>447.95144485054442</v>
      </c>
      <c r="T866" s="94">
        <f>'3.2 Digest'!W866</f>
        <v>193.65144485054435</v>
      </c>
      <c r="U866" s="153">
        <v>0.33194444444444443</v>
      </c>
      <c r="V866" s="154">
        <v>40</v>
      </c>
      <c r="W866" s="153">
        <v>0.66388888888888886</v>
      </c>
      <c r="X866" s="91">
        <v>79.5</v>
      </c>
      <c r="Y866" s="91">
        <v>14.5</v>
      </c>
      <c r="Z866" s="154">
        <v>39</v>
      </c>
      <c r="AA866" s="153">
        <v>0.33402777777777776</v>
      </c>
      <c r="AB866" s="154">
        <v>74.5</v>
      </c>
      <c r="AC866" s="154">
        <v>15.1</v>
      </c>
      <c r="AD866" s="91"/>
      <c r="AE866" s="94">
        <f>Table3.110[[#This Row],[Gas 8h, ml]]-Table3.110[[#This Row],[Gas 0h, ml]]</f>
        <v>39.5</v>
      </c>
      <c r="AF866" s="94">
        <f>Table3.110[[#This Row],[Gas 24h, ml]]-Table3.110[[#This Row],[V8 Push back, ml]]</f>
        <v>35.5</v>
      </c>
      <c r="AG866" s="94">
        <f>Table3.110[[#This Row],[GP 8h, ml]]-(AVERAGE(AE$862,AE$863,AE$912,AE$913,AE$932,AE$933))*$AG$8</f>
        <v>36.254975227659145</v>
      </c>
      <c r="AH866" s="94">
        <f>Table3.110[[#This Row],[GP 8-24h, ml]]-(AVERAGE(AF$862,AF$863,AF$912,AF$913,AF$932,AF$933))*$AG$8</f>
        <v>31.185592064046812</v>
      </c>
      <c r="AI866" s="94">
        <f>Table3.110[[#This Row],[Net gas 8-24h, ml]]+Table3.110[[#This Row],[Net gas 8h, ml]]</f>
        <v>67.44056729170596</v>
      </c>
      <c r="AJ866" s="94">
        <f>Table3.110[[#This Row],[Net gas 8h, ml]]*Table3.110[[#This Row],[CH4 8h %]]%</f>
        <v>5.2569714080105756</v>
      </c>
      <c r="AK866" s="94">
        <f>Table3.110[[#This Row],[Net gas 8-24h, ml]]*Table3.110[[#This Row],[CH4 24h, %]]%</f>
        <v>4.7090244016710683</v>
      </c>
      <c r="AL866" s="94">
        <f>Table3.110[[#This Row],[CH4 8-24h, ml]]+Table3.110[[#This Row],[CH4 8h, ml]]</f>
        <v>9.9659958096816439</v>
      </c>
      <c r="AM866" s="94">
        <f>(Table3.110[[#This Row],[Net gas 24h, ml]]/Table3.110[[#This Row],[DM Incubated, mg]])*1000</f>
        <v>150.55329783389132</v>
      </c>
      <c r="AN866" s="94">
        <f>'3.2 Digest'!X866</f>
        <v>43.230454344254802</v>
      </c>
      <c r="AO866" s="94">
        <f>Table3.110[[#This Row],[Digested feed, mg]]/Table3.110[[#This Row],[Net gas 24h, ml]]</f>
        <v>2.8714385514126626</v>
      </c>
      <c r="AP866" s="94">
        <f>Table3.110[[#This Row],[CH4 8h, ml]]/Table3.110[[#This Row],[Net gas 8h, ml]]%</f>
        <v>14.499999999999998</v>
      </c>
      <c r="AQ866" s="94">
        <f>Table3.110[[#This Row],[CH4 24h, ml]]/Table3.110[[#This Row],[Net gas 24h, ml]]%</f>
        <v>14.777449552841013</v>
      </c>
      <c r="AR866" s="94">
        <f>Table3.110[[#This Row],[CH4 24h, ml]]/Table3.110[[#This Row],[DM Incubated, mg]]*1000</f>
        <v>22.247937637541771</v>
      </c>
      <c r="AS866" s="94">
        <f>Table3.110[[#This Row],[CH4 24h, ml]]/Table3.110[[#This Row],[Digested feed, mg]]*1000</f>
        <v>51.463575793989897</v>
      </c>
      <c r="AT866" s="94">
        <f>Table3.110[[#This Row],[CH4 24h, ml]]/'3.2 Digest'!AA866</f>
        <v>-1.2960938425973396</v>
      </c>
      <c r="AU866" s="94">
        <f>((Table3.110[[#This Row],[CH4 24h, ml]]/28.9)*16.04)/Table3.110[[#This Row],[DM Incubated, mg]]*1000</f>
        <v>12.347990301251556</v>
      </c>
      <c r="AV866" s="94">
        <f>((Table3.110[[#This Row],[CH4 24h, ml]]/28.9)*16.04)/Table3.110[[#This Row],[Digested feed, mg]]*1000</f>
        <v>28.563174938948027</v>
      </c>
    </row>
    <row r="867" spans="2:48" s="89" customFormat="1" x14ac:dyDescent="0.35">
      <c r="B867" s="90">
        <f t="shared" si="13"/>
        <v>857</v>
      </c>
      <c r="C867" s="140">
        <v>46057</v>
      </c>
      <c r="D867" s="6" t="s">
        <v>16</v>
      </c>
      <c r="E867" s="6" t="s">
        <v>326</v>
      </c>
      <c r="F867" s="6" t="s">
        <v>290</v>
      </c>
      <c r="G867" s="6" t="s">
        <v>318</v>
      </c>
      <c r="H867" s="6" t="s">
        <v>319</v>
      </c>
      <c r="I867" s="6" t="s">
        <v>22</v>
      </c>
      <c r="J867" s="129" t="s">
        <v>23</v>
      </c>
      <c r="K867" s="129" t="s">
        <v>215</v>
      </c>
      <c r="L867" s="6" t="s">
        <v>325</v>
      </c>
      <c r="M867" s="93">
        <v>29</v>
      </c>
      <c r="N867" s="93">
        <v>63</v>
      </c>
      <c r="O867" s="6">
        <v>2</v>
      </c>
      <c r="P867" s="129">
        <v>1</v>
      </c>
      <c r="Q867" s="6">
        <v>168</v>
      </c>
      <c r="R867" s="98">
        <v>0.5</v>
      </c>
      <c r="S867" s="94">
        <f>((Table3.110[[#This Row],[Sample weight, g]]*'2.1. DM'!Q199)/100)*1000</f>
        <v>464.70529911615881</v>
      </c>
      <c r="T867" s="94">
        <f>'3.2 Digest'!W867</f>
        <v>208.20529911615887</v>
      </c>
      <c r="U867" s="117">
        <v>0.33194444444444443</v>
      </c>
      <c r="V867" s="155">
        <v>40</v>
      </c>
      <c r="W867" s="117">
        <v>0.6645833333333333</v>
      </c>
      <c r="X867" s="96">
        <v>74.5</v>
      </c>
      <c r="Y867" s="96">
        <v>13.1</v>
      </c>
      <c r="Z867" s="155">
        <v>39</v>
      </c>
      <c r="AA867" s="117">
        <v>0.3347222222222222</v>
      </c>
      <c r="AB867" s="155">
        <v>72.5</v>
      </c>
      <c r="AC867" s="155">
        <v>14.6</v>
      </c>
      <c r="AD867" s="96" t="s">
        <v>569</v>
      </c>
      <c r="AE867" s="94">
        <f>Table3.110[[#This Row],[Gas 8h, ml]]-Table3.110[[#This Row],[Gas 0h, ml]]</f>
        <v>34.5</v>
      </c>
      <c r="AF867" s="94">
        <f>Table3.110[[#This Row],[Gas 24h, ml]]-Table3.110[[#This Row],[V8 Push back, ml]]</f>
        <v>33.5</v>
      </c>
      <c r="AG867" s="94">
        <f>Table3.110[[#This Row],[GP 8h, ml]]-(AVERAGE(AE$862,AE$863,AE$912,AE$913,AE$932,AE$933))*$AG$8</f>
        <v>31.254975227659141</v>
      </c>
      <c r="AH867" s="94">
        <f>Table3.110[[#This Row],[GP 8-24h, ml]]-(AVERAGE(AF$862,AF$863,AF$912,AF$913,AF$932,AF$933))*$AG$8</f>
        <v>29.185592064046812</v>
      </c>
      <c r="AI867" s="94">
        <f>Table3.110[[#This Row],[Net gas 8-24h, ml]]+Table3.110[[#This Row],[Net gas 8h, ml]]</f>
        <v>60.440567291705953</v>
      </c>
      <c r="AJ867" s="94">
        <f>Table3.110[[#This Row],[Net gas 8h, ml]]*Table3.110[[#This Row],[CH4 8h %]]%</f>
        <v>4.0944017548233473</v>
      </c>
      <c r="AK867" s="94">
        <f>Table3.110[[#This Row],[Net gas 8-24h, ml]]*Table3.110[[#This Row],[CH4 24h, %]]%</f>
        <v>4.2610964413508343</v>
      </c>
      <c r="AL867" s="94">
        <f>Table3.110[[#This Row],[CH4 8-24h, ml]]+Table3.110[[#This Row],[CH4 8h, ml]]</f>
        <v>8.3554981961741817</v>
      </c>
      <c r="AM867" s="94">
        <f>(Table3.110[[#This Row],[Net gas 24h, ml]]/Table3.110[[#This Row],[DM Incubated, mg]])*1000</f>
        <v>130.06214348461322</v>
      </c>
      <c r="AN867" s="94">
        <f>'3.2 Digest'!X867</f>
        <v>44.803728193363121</v>
      </c>
      <c r="AO867" s="94">
        <f>Table3.110[[#This Row],[Digested feed, mg]]/Table3.110[[#This Row],[Net gas 24h, ml]]</f>
        <v>3.4447939264251439</v>
      </c>
      <c r="AP867" s="94">
        <f>Table3.110[[#This Row],[CH4 8h, ml]]/Table3.110[[#This Row],[Net gas 8h, ml]]%</f>
        <v>13.099999999999998</v>
      </c>
      <c r="AQ867" s="94">
        <f>Table3.110[[#This Row],[CH4 24h, ml]]/Table3.110[[#This Row],[Net gas 24h, ml]]%</f>
        <v>13.824321263974598</v>
      </c>
      <c r="AR867" s="94">
        <f>Table3.110[[#This Row],[CH4 24h, ml]]/Table3.110[[#This Row],[DM Incubated, mg]]*1000</f>
        <v>17.980208558124538</v>
      </c>
      <c r="AS867" s="94">
        <f>Table3.110[[#This Row],[CH4 24h, ml]]/Table3.110[[#This Row],[Digested feed, mg]]*1000</f>
        <v>40.131054452714018</v>
      </c>
      <c r="AT867" s="94">
        <f>Table3.110[[#This Row],[CH4 24h, ml]]/'3.2 Digest'!AA867</f>
        <v>-1.178311544048896</v>
      </c>
      <c r="AU867" s="94">
        <f>((Table3.110[[#This Row],[CH4 24h, ml]]/28.9)*16.04)/Table3.110[[#This Row],[DM Incubated, mg]]*1000</f>
        <v>9.97932682603175</v>
      </c>
      <c r="AV867" s="94">
        <f>((Table3.110[[#This Row],[CH4 24h, ml]]/28.9)*16.04)/Table3.110[[#This Row],[Digested feed, mg]]*1000</f>
        <v>22.273429530156847</v>
      </c>
    </row>
    <row r="868" spans="2:48" s="89" customFormat="1" x14ac:dyDescent="0.35">
      <c r="B868" s="90">
        <f t="shared" si="13"/>
        <v>858</v>
      </c>
      <c r="C868" s="140">
        <v>46057</v>
      </c>
      <c r="D868" s="6" t="s">
        <v>16</v>
      </c>
      <c r="E868" s="6" t="s">
        <v>326</v>
      </c>
      <c r="F868" s="6" t="s">
        <v>290</v>
      </c>
      <c r="G868" s="6" t="s">
        <v>318</v>
      </c>
      <c r="H868" s="6" t="s">
        <v>319</v>
      </c>
      <c r="I868" s="6" t="s">
        <v>22</v>
      </c>
      <c r="J868" s="129" t="s">
        <v>23</v>
      </c>
      <c r="K868" s="129" t="s">
        <v>215</v>
      </c>
      <c r="L868" s="6" t="s">
        <v>325</v>
      </c>
      <c r="M868" s="93">
        <v>29</v>
      </c>
      <c r="N868" s="93">
        <v>63</v>
      </c>
      <c r="O868" s="6">
        <v>2</v>
      </c>
      <c r="P868" s="129">
        <v>2</v>
      </c>
      <c r="Q868" s="6">
        <v>169</v>
      </c>
      <c r="R868" s="106">
        <v>0.50019999999999998</v>
      </c>
      <c r="S868" s="94">
        <f>((Table3.110[[#This Row],[Sample weight, g]]*'2.1. DM'!Q199)/100)*1000</f>
        <v>464.89118123580528</v>
      </c>
      <c r="T868" s="94">
        <f>'3.2 Digest'!W868</f>
        <v>209.39118123580533</v>
      </c>
      <c r="U868" s="157">
        <v>0.33194444444444443</v>
      </c>
      <c r="V868" s="154">
        <v>39.5</v>
      </c>
      <c r="W868" s="153">
        <v>0.6645833333333333</v>
      </c>
      <c r="X868" s="91">
        <v>73</v>
      </c>
      <c r="Y868" s="91">
        <v>13</v>
      </c>
      <c r="Z868" s="154">
        <v>39</v>
      </c>
      <c r="AA868" s="153">
        <v>0.33541666666666664</v>
      </c>
      <c r="AB868" s="154">
        <v>72.5</v>
      </c>
      <c r="AC868" s="154">
        <v>14.3</v>
      </c>
      <c r="AD868" s="91"/>
      <c r="AE868" s="94">
        <f>Table3.110[[#This Row],[Gas 8h, ml]]-Table3.110[[#This Row],[Gas 0h, ml]]</f>
        <v>33.5</v>
      </c>
      <c r="AF868" s="94">
        <f>Table3.110[[#This Row],[Gas 24h, ml]]-Table3.110[[#This Row],[V8 Push back, ml]]</f>
        <v>33.5</v>
      </c>
      <c r="AG868" s="94">
        <f>Table3.110[[#This Row],[GP 8h, ml]]-(AVERAGE(AE$862,AE$863,AE$912,AE$913,AE$932,AE$933))*$AG$8</f>
        <v>30.254975227659141</v>
      </c>
      <c r="AH868" s="94">
        <f>Table3.110[[#This Row],[GP 8-24h, ml]]-(AVERAGE(AF$862,AF$863,AF$912,AF$913,AF$932,AF$933))*$AG$8</f>
        <v>29.185592064046812</v>
      </c>
      <c r="AI868" s="94">
        <f>Table3.110[[#This Row],[Net gas 8-24h, ml]]+Table3.110[[#This Row],[Net gas 8h, ml]]</f>
        <v>59.440567291705953</v>
      </c>
      <c r="AJ868" s="94">
        <f>Table3.110[[#This Row],[Net gas 8h, ml]]*Table3.110[[#This Row],[CH4 8h %]]%</f>
        <v>3.9331467795956887</v>
      </c>
      <c r="AK868" s="94">
        <f>Table3.110[[#This Row],[Net gas 8-24h, ml]]*Table3.110[[#This Row],[CH4 24h, %]]%</f>
        <v>4.1735396651586942</v>
      </c>
      <c r="AL868" s="94">
        <f>Table3.110[[#This Row],[CH4 8-24h, ml]]+Table3.110[[#This Row],[CH4 8h, ml]]</f>
        <v>8.1066864447543825</v>
      </c>
      <c r="AM868" s="94">
        <f>(Table3.110[[#This Row],[Net gas 24h, ml]]/Table3.110[[#This Row],[DM Incubated, mg]])*1000</f>
        <v>127.8590984102925</v>
      </c>
      <c r="AN868" s="94">
        <f>'3.2 Digest'!X868</f>
        <v>45.040901976068355</v>
      </c>
      <c r="AO868" s="94">
        <f>Table3.110[[#This Row],[Digested feed, mg]]/Table3.110[[#This Row],[Net gas 24h, ml]]</f>
        <v>3.5226982307926722</v>
      </c>
      <c r="AP868" s="94">
        <f>Table3.110[[#This Row],[CH4 8h, ml]]/Table3.110[[#This Row],[Net gas 8h, ml]]%</f>
        <v>13</v>
      </c>
      <c r="AQ868" s="94">
        <f>Table3.110[[#This Row],[CH4 24h, ml]]/Table3.110[[#This Row],[Net gas 24h, ml]]%</f>
        <v>13.638305982126033</v>
      </c>
      <c r="AR868" s="94">
        <f>Table3.110[[#This Row],[CH4 24h, ml]]/Table3.110[[#This Row],[DM Incubated, mg]]*1000</f>
        <v>17.43781506718333</v>
      </c>
      <c r="AS868" s="94">
        <f>Table3.110[[#This Row],[CH4 24h, ml]]/Table3.110[[#This Row],[Digested feed, mg]]*1000</f>
        <v>38.715510352009808</v>
      </c>
      <c r="AT868" s="94">
        <f>Table3.110[[#This Row],[CH4 24h, ml]]/'3.2 Digest'!AA868</f>
        <v>-1.2225590948757499</v>
      </c>
      <c r="AU868" s="94">
        <f>((Table3.110[[#This Row],[CH4 24h, ml]]/28.9)*16.04)/Table3.110[[#This Row],[DM Incubated, mg]]*1000</f>
        <v>9.6782890545889479</v>
      </c>
      <c r="AV868" s="94">
        <f>((Table3.110[[#This Row],[CH4 24h, ml]]/28.9)*16.04)/Table3.110[[#This Row],[Digested feed, mg]]*1000</f>
        <v>21.487778063883638</v>
      </c>
    </row>
    <row r="869" spans="2:48" s="89" customFormat="1" x14ac:dyDescent="0.35">
      <c r="B869" s="90">
        <f t="shared" si="13"/>
        <v>859</v>
      </c>
      <c r="C869" s="140">
        <v>46057</v>
      </c>
      <c r="D869" s="6" t="s">
        <v>16</v>
      </c>
      <c r="E869" s="6" t="s">
        <v>326</v>
      </c>
      <c r="F869" s="6" t="s">
        <v>290</v>
      </c>
      <c r="G869" s="6" t="s">
        <v>318</v>
      </c>
      <c r="H869" s="6" t="s">
        <v>319</v>
      </c>
      <c r="I869" s="6" t="s">
        <v>22</v>
      </c>
      <c r="J869" s="129" t="s">
        <v>23</v>
      </c>
      <c r="K869" s="129" t="s">
        <v>215</v>
      </c>
      <c r="L869" s="6" t="s">
        <v>325</v>
      </c>
      <c r="M869" s="93">
        <v>29</v>
      </c>
      <c r="N869" s="93">
        <v>63</v>
      </c>
      <c r="O869" s="6">
        <v>2</v>
      </c>
      <c r="P869" s="6">
        <v>3</v>
      </c>
      <c r="Q869" s="6">
        <v>170</v>
      </c>
      <c r="R869" s="98">
        <v>0.50039999999999996</v>
      </c>
      <c r="S869" s="94">
        <f>((Table3.110[[#This Row],[Sample weight, g]]*'2.1. DM'!Q199)/100)*1000</f>
        <v>465.07706335545174</v>
      </c>
      <c r="T869" s="94">
        <f>'3.2 Digest'!W869</f>
        <v>138.8770633554517</v>
      </c>
      <c r="U869" s="117">
        <v>0.33263888888888887</v>
      </c>
      <c r="V869" s="155">
        <v>40</v>
      </c>
      <c r="W869" s="117">
        <v>0.66527777777777775</v>
      </c>
      <c r="X869" s="96">
        <v>76.5</v>
      </c>
      <c r="Y869" s="96">
        <v>12.7</v>
      </c>
      <c r="Z869" s="155">
        <v>39.5</v>
      </c>
      <c r="AA869" s="117">
        <v>0.33541666666666664</v>
      </c>
      <c r="AB869" s="155">
        <v>73.5</v>
      </c>
      <c r="AC869" s="155">
        <v>14.2</v>
      </c>
      <c r="AD869" s="96" t="s">
        <v>569</v>
      </c>
      <c r="AE869" s="94">
        <f>Table3.110[[#This Row],[Gas 8h, ml]]-Table3.110[[#This Row],[Gas 0h, ml]]</f>
        <v>36.5</v>
      </c>
      <c r="AF869" s="94">
        <f>Table3.110[[#This Row],[Gas 24h, ml]]-Table3.110[[#This Row],[V8 Push back, ml]]</f>
        <v>34</v>
      </c>
      <c r="AG869" s="94">
        <f>Table3.110[[#This Row],[GP 8h, ml]]-(AVERAGE(AE$862,AE$863,AE$912,AE$913,AE$932,AE$933))*$AG$8</f>
        <v>33.254975227659145</v>
      </c>
      <c r="AH869" s="94">
        <f>Table3.110[[#This Row],[GP 8-24h, ml]]-(AVERAGE(AF$862,AF$863,AF$912,AF$913,AF$932,AF$933))*$AG$8</f>
        <v>29.685592064046812</v>
      </c>
      <c r="AI869" s="94">
        <f>Table3.110[[#This Row],[Net gas 8-24h, ml]]+Table3.110[[#This Row],[Net gas 8h, ml]]</f>
        <v>62.94056729170596</v>
      </c>
      <c r="AJ869" s="94">
        <f>Table3.110[[#This Row],[Net gas 8h, ml]]*Table3.110[[#This Row],[CH4 8h %]]%</f>
        <v>4.223381853912711</v>
      </c>
      <c r="AK869" s="94">
        <f>Table3.110[[#This Row],[Net gas 8-24h, ml]]*Table3.110[[#This Row],[CH4 24h, %]]%</f>
        <v>4.2153540730946473</v>
      </c>
      <c r="AL869" s="94">
        <f>Table3.110[[#This Row],[CH4 8-24h, ml]]+Table3.110[[#This Row],[CH4 8h, ml]]</f>
        <v>8.4387359270073574</v>
      </c>
      <c r="AM869" s="94">
        <f>(Table3.110[[#This Row],[Net gas 24h, ml]]/Table3.110[[#This Row],[DM Incubated, mg]])*1000</f>
        <v>135.33363016787044</v>
      </c>
      <c r="AN869" s="94">
        <f>'3.2 Digest'!X869</f>
        <v>29.861086322657442</v>
      </c>
      <c r="AO869" s="94">
        <f>Table3.110[[#This Row],[Digested feed, mg]]/Table3.110[[#This Row],[Net gas 24h, ml]]</f>
        <v>2.206479371433189</v>
      </c>
      <c r="AP869" s="94">
        <f>Table3.110[[#This Row],[CH4 8h, ml]]/Table3.110[[#This Row],[Net gas 8h, ml]]%</f>
        <v>12.7</v>
      </c>
      <c r="AQ869" s="94">
        <f>Table3.110[[#This Row],[CH4 24h, ml]]/Table3.110[[#This Row],[Net gas 24h, ml]]%</f>
        <v>13.407467218871696</v>
      </c>
      <c r="AR869" s="94">
        <f>Table3.110[[#This Row],[CH4 24h, ml]]/Table3.110[[#This Row],[DM Incubated, mg]]*1000</f>
        <v>18.144812100866286</v>
      </c>
      <c r="AS869" s="94">
        <f>Table3.110[[#This Row],[CH4 24h, ml]]/Table3.110[[#This Row],[Digested feed, mg]]*1000</f>
        <v>60.764072360953264</v>
      </c>
      <c r="AT869" s="94">
        <f>Table3.110[[#This Row],[CH4 24h, ml]]/'3.2 Digest'!AA869</f>
        <v>-0.23387276492135625</v>
      </c>
      <c r="AU869" s="94">
        <f>((Table3.110[[#This Row],[CH4 24h, ml]]/28.9)*16.04)/Table3.110[[#This Row],[DM Incubated, mg]]*1000</f>
        <v>10.070684640065581</v>
      </c>
      <c r="AV869" s="94">
        <f>((Table3.110[[#This Row],[CH4 24h, ml]]/28.9)*16.04)/Table3.110[[#This Row],[Digested feed, mg]]*1000</f>
        <v>33.725111441857798</v>
      </c>
    </row>
    <row r="870" spans="2:48" s="89" customFormat="1" x14ac:dyDescent="0.35">
      <c r="B870" s="90">
        <f t="shared" si="13"/>
        <v>860</v>
      </c>
      <c r="C870" s="140">
        <v>46057</v>
      </c>
      <c r="D870" s="6" t="s">
        <v>16</v>
      </c>
      <c r="E870" s="6" t="s">
        <v>328</v>
      </c>
      <c r="F870" s="6" t="s">
        <v>264</v>
      </c>
      <c r="G870" s="6" t="s">
        <v>329</v>
      </c>
      <c r="H870" s="6" t="s">
        <v>330</v>
      </c>
      <c r="I870" s="6" t="s">
        <v>22</v>
      </c>
      <c r="J870" s="129" t="s">
        <v>23</v>
      </c>
      <c r="K870" s="129" t="s">
        <v>215</v>
      </c>
      <c r="L870" s="6" t="s">
        <v>327</v>
      </c>
      <c r="M870" s="93">
        <v>29</v>
      </c>
      <c r="N870" s="93">
        <v>63</v>
      </c>
      <c r="O870" s="6">
        <v>2</v>
      </c>
      <c r="P870" s="129">
        <v>1</v>
      </c>
      <c r="Q870" s="6">
        <v>171</v>
      </c>
      <c r="R870" s="98">
        <v>0.50039999999999996</v>
      </c>
      <c r="S870" s="94">
        <f>((Table3.110[[#This Row],[Sample weight, g]]*'2.1. DM'!Q201)/100)*1000</f>
        <v>453.0763552010618</v>
      </c>
      <c r="T870" s="94">
        <f>'3.2 Digest'!W870</f>
        <v>205.37635520106187</v>
      </c>
      <c r="U870" s="153">
        <v>0.33263888888888887</v>
      </c>
      <c r="V870" s="154">
        <v>40.5</v>
      </c>
      <c r="W870" s="153">
        <v>0.66527777777777775</v>
      </c>
      <c r="X870" s="91">
        <v>85.5</v>
      </c>
      <c r="Y870" s="91">
        <v>14.6</v>
      </c>
      <c r="Z870" s="154">
        <v>39.5</v>
      </c>
      <c r="AA870" s="153">
        <v>0.33611111111111114</v>
      </c>
      <c r="AB870" s="154">
        <v>84</v>
      </c>
      <c r="AC870" s="154">
        <v>17.899999999999999</v>
      </c>
      <c r="AD870" s="91" t="s">
        <v>569</v>
      </c>
      <c r="AE870" s="94">
        <f>Table3.110[[#This Row],[Gas 8h, ml]]-Table3.110[[#This Row],[Gas 0h, ml]]</f>
        <v>45</v>
      </c>
      <c r="AF870" s="94">
        <f>Table3.110[[#This Row],[Gas 24h, ml]]-Table3.110[[#This Row],[V8 Push back, ml]]</f>
        <v>44.5</v>
      </c>
      <c r="AG870" s="94">
        <f>Table3.110[[#This Row],[GP 8h, ml]]-(AVERAGE(AE$862,AE$863,AE$912,AE$913,AE$932,AE$933))*$AG$8</f>
        <v>41.754975227659145</v>
      </c>
      <c r="AH870" s="94">
        <f>Table3.110[[#This Row],[GP 8-24h, ml]]-(AVERAGE(AF$862,AF$863,AF$912,AF$913,AF$932,AF$933))*$AG$8</f>
        <v>40.185592064046816</v>
      </c>
      <c r="AI870" s="94">
        <f>Table3.110[[#This Row],[Net gas 8-24h, ml]]+Table3.110[[#This Row],[Net gas 8h, ml]]</f>
        <v>81.94056729170596</v>
      </c>
      <c r="AJ870" s="94">
        <f>Table3.110[[#This Row],[Net gas 8h, ml]]*Table3.110[[#This Row],[CH4 8h %]]%</f>
        <v>6.0962263832382346</v>
      </c>
      <c r="AK870" s="94">
        <f>Table3.110[[#This Row],[Net gas 8-24h, ml]]*Table3.110[[#This Row],[CH4 24h, %]]%</f>
        <v>7.19322097946438</v>
      </c>
      <c r="AL870" s="94">
        <f>Table3.110[[#This Row],[CH4 8-24h, ml]]+Table3.110[[#This Row],[CH4 8h, ml]]</f>
        <v>13.289447362702614</v>
      </c>
      <c r="AM870" s="94">
        <f>(Table3.110[[#This Row],[Net gas 24h, ml]]/Table3.110[[#This Row],[DM Incubated, mg]])*1000</f>
        <v>180.85377078515424</v>
      </c>
      <c r="AN870" s="94">
        <f>'3.2 Digest'!X870</f>
        <v>45.329303293684781</v>
      </c>
      <c r="AO870" s="94">
        <f>Table3.110[[#This Row],[Digested feed, mg]]/Table3.110[[#This Row],[Net gas 24h, ml]]</f>
        <v>2.5064063136142103</v>
      </c>
      <c r="AP870" s="94">
        <f>Table3.110[[#This Row],[CH4 8h, ml]]/Table3.110[[#This Row],[Net gas 8h, ml]]%</f>
        <v>14.599999999999998</v>
      </c>
      <c r="AQ870" s="94">
        <f>Table3.110[[#This Row],[CH4 24h, ml]]/Table3.110[[#This Row],[Net gas 24h, ml]]%</f>
        <v>16.218398043782855</v>
      </c>
      <c r="AR870" s="94">
        <f>Table3.110[[#This Row],[CH4 24h, ml]]/Table3.110[[#This Row],[DM Incubated, mg]]*1000</f>
        <v>29.331584423126987</v>
      </c>
      <c r="AS870" s="94">
        <f>Table3.110[[#This Row],[CH4 24h, ml]]/Table3.110[[#This Row],[Digested feed, mg]]*1000</f>
        <v>64.707776850418583</v>
      </c>
      <c r="AT870" s="94">
        <f>Table3.110[[#This Row],[CH4 24h, ml]]/'3.2 Digest'!AA870</f>
        <v>-2.3343624833947487</v>
      </c>
      <c r="AU870" s="94">
        <f>((Table3.110[[#This Row],[CH4 24h, ml]]/28.9)*16.04)/Table3.110[[#This Row],[DM Incubated, mg]]*1000</f>
        <v>16.279536821694009</v>
      </c>
      <c r="AV870" s="94">
        <f>((Table3.110[[#This Row],[CH4 24h, ml]]/28.9)*16.04)/Table3.110[[#This Row],[Digested feed, mg]]*1000</f>
        <v>35.913935663692527</v>
      </c>
    </row>
    <row r="871" spans="2:48" s="89" customFormat="1" x14ac:dyDescent="0.35">
      <c r="B871" s="90">
        <f t="shared" si="13"/>
        <v>861</v>
      </c>
      <c r="C871" s="140">
        <v>46057</v>
      </c>
      <c r="D871" s="6" t="s">
        <v>16</v>
      </c>
      <c r="E871" s="6" t="s">
        <v>328</v>
      </c>
      <c r="F871" s="6" t="s">
        <v>264</v>
      </c>
      <c r="G871" s="6" t="s">
        <v>329</v>
      </c>
      <c r="H871" s="6" t="s">
        <v>330</v>
      </c>
      <c r="I871" s="6" t="s">
        <v>22</v>
      </c>
      <c r="J871" s="129" t="s">
        <v>23</v>
      </c>
      <c r="K871" s="129" t="s">
        <v>215</v>
      </c>
      <c r="L871" s="6" t="s">
        <v>327</v>
      </c>
      <c r="M871" s="93">
        <v>29</v>
      </c>
      <c r="N871" s="93">
        <v>63</v>
      </c>
      <c r="O871" s="6">
        <v>2</v>
      </c>
      <c r="P871" s="129">
        <v>2</v>
      </c>
      <c r="Q871" s="6">
        <v>172</v>
      </c>
      <c r="R871" s="98">
        <v>0.50009999999999999</v>
      </c>
      <c r="S871" s="94">
        <f>((Table3.110[[#This Row],[Sample weight, g]]*'2.1. DM'!Q201)/100)*1000</f>
        <v>452.80472669074948</v>
      </c>
      <c r="T871" s="94">
        <f>'3.2 Digest'!W871</f>
        <v>177.80472669074948</v>
      </c>
      <c r="U871" s="117">
        <v>0.33263888888888887</v>
      </c>
      <c r="V871" s="155">
        <v>41</v>
      </c>
      <c r="W871" s="117">
        <v>0.66527777777777775</v>
      </c>
      <c r="X871" s="96">
        <v>86</v>
      </c>
      <c r="Y871" s="96">
        <v>14.4</v>
      </c>
      <c r="Z871" s="155">
        <v>40.5</v>
      </c>
      <c r="AA871" s="117">
        <v>0.33680555555555558</v>
      </c>
      <c r="AB871" s="155">
        <v>82</v>
      </c>
      <c r="AC871" s="155">
        <v>18.399999999999999</v>
      </c>
      <c r="AD871" s="96"/>
      <c r="AE871" s="94">
        <f>Table3.110[[#This Row],[Gas 8h, ml]]-Table3.110[[#This Row],[Gas 0h, ml]]</f>
        <v>45</v>
      </c>
      <c r="AF871" s="94">
        <f>Table3.110[[#This Row],[Gas 24h, ml]]-Table3.110[[#This Row],[V8 Push back, ml]]</f>
        <v>41.5</v>
      </c>
      <c r="AG871" s="94">
        <f>Table3.110[[#This Row],[GP 8h, ml]]-(AVERAGE(AE$862,AE$863,AE$912,AE$913,AE$932,AE$933))*$AG$8</f>
        <v>41.754975227659145</v>
      </c>
      <c r="AH871" s="94">
        <f>Table3.110[[#This Row],[GP 8-24h, ml]]-(AVERAGE(AF$862,AF$863,AF$912,AF$913,AF$932,AF$933))*$AG$8</f>
        <v>37.185592064046816</v>
      </c>
      <c r="AI871" s="94">
        <f>Table3.110[[#This Row],[Net gas 8-24h, ml]]+Table3.110[[#This Row],[Net gas 8h, ml]]</f>
        <v>78.94056729170596</v>
      </c>
      <c r="AJ871" s="94">
        <f>Table3.110[[#This Row],[Net gas 8h, ml]]*Table3.110[[#This Row],[CH4 8h %]]%</f>
        <v>6.0127164327829172</v>
      </c>
      <c r="AK871" s="94">
        <f>Table3.110[[#This Row],[Net gas 8-24h, ml]]*Table3.110[[#This Row],[CH4 24h, %]]%</f>
        <v>6.8421489397846136</v>
      </c>
      <c r="AL871" s="94">
        <f>Table3.110[[#This Row],[CH4 8-24h, ml]]+Table3.110[[#This Row],[CH4 8h, ml]]</f>
        <v>12.854865372567531</v>
      </c>
      <c r="AM871" s="94">
        <f>(Table3.110[[#This Row],[Net gas 24h, ml]]/Table3.110[[#This Row],[DM Incubated, mg]])*1000</f>
        <v>174.33688881436908</v>
      </c>
      <c r="AN871" s="94">
        <f>'3.2 Digest'!X871</f>
        <v>39.267418427852277</v>
      </c>
      <c r="AO871" s="94">
        <f>Table3.110[[#This Row],[Digested feed, mg]]/Table3.110[[#This Row],[Net gas 24h, ml]]</f>
        <v>2.2523872425911851</v>
      </c>
      <c r="AP871" s="94">
        <f>Table3.110[[#This Row],[CH4 8h, ml]]/Table3.110[[#This Row],[Net gas 8h, ml]]%</f>
        <v>14.4</v>
      </c>
      <c r="AQ871" s="94">
        <f>Table3.110[[#This Row],[CH4 24h, ml]]/Table3.110[[#This Row],[Net gas 24h, ml]]%</f>
        <v>16.28423232007626</v>
      </c>
      <c r="AR871" s="94">
        <f>Table3.110[[#This Row],[CH4 24h, ml]]/Table3.110[[#This Row],[DM Incubated, mg]]*1000</f>
        <v>28.3894239941249</v>
      </c>
      <c r="AS871" s="94">
        <f>Table3.110[[#This Row],[CH4 24h, ml]]/Table3.110[[#This Row],[Digested feed, mg]]*1000</f>
        <v>72.297658289622518</v>
      </c>
      <c r="AT871" s="94">
        <f>Table3.110[[#This Row],[CH4 24h, ml]]/'3.2 Digest'!AA871</f>
        <v>-0.73826778272240634</v>
      </c>
      <c r="AU871" s="94">
        <f>((Table3.110[[#This Row],[CH4 24h, ml]]/28.9)*16.04)/Table3.110[[#This Row],[DM Incubated, mg]]*1000</f>
        <v>15.756621483244409</v>
      </c>
      <c r="AV871" s="94">
        <f>((Table3.110[[#This Row],[CH4 24h, ml]]/28.9)*16.04)/Table3.110[[#This Row],[Digested feed, mg]]*1000</f>
        <v>40.126451175278383</v>
      </c>
    </row>
    <row r="872" spans="2:48" s="89" customFormat="1" x14ac:dyDescent="0.35">
      <c r="B872" s="90">
        <f t="shared" si="13"/>
        <v>862</v>
      </c>
      <c r="C872" s="140">
        <v>46057</v>
      </c>
      <c r="D872" s="6" t="s">
        <v>16</v>
      </c>
      <c r="E872" s="6" t="s">
        <v>328</v>
      </c>
      <c r="F872" s="6" t="s">
        <v>264</v>
      </c>
      <c r="G872" s="6" t="s">
        <v>329</v>
      </c>
      <c r="H872" s="6" t="s">
        <v>330</v>
      </c>
      <c r="I872" s="6" t="s">
        <v>22</v>
      </c>
      <c r="J872" s="129" t="s">
        <v>23</v>
      </c>
      <c r="K872" s="129" t="s">
        <v>215</v>
      </c>
      <c r="L872" s="6" t="s">
        <v>327</v>
      </c>
      <c r="M872" s="93">
        <v>29</v>
      </c>
      <c r="N872" s="93">
        <v>63</v>
      </c>
      <c r="O872" s="6">
        <v>2</v>
      </c>
      <c r="P872" s="6">
        <v>3</v>
      </c>
      <c r="Q872" s="6">
        <v>173</v>
      </c>
      <c r="R872" s="98">
        <v>0.50049999999999994</v>
      </c>
      <c r="S872" s="94">
        <f>((Table3.110[[#This Row],[Sample weight, g]]*'2.1. DM'!Q201)/100)*1000</f>
        <v>453.16689803783254</v>
      </c>
      <c r="T872" s="94">
        <f>'3.2 Digest'!W872</f>
        <v>214.46689803783252</v>
      </c>
      <c r="U872" s="153">
        <v>0.33333333333333331</v>
      </c>
      <c r="V872" s="154">
        <v>40.5</v>
      </c>
      <c r="W872" s="153">
        <v>0.66597222222222219</v>
      </c>
      <c r="X872" s="91">
        <v>83</v>
      </c>
      <c r="Y872" s="91">
        <v>14.9</v>
      </c>
      <c r="Z872" s="154">
        <v>40</v>
      </c>
      <c r="AA872" s="153">
        <v>0.33680555555555558</v>
      </c>
      <c r="AB872" s="154">
        <v>85</v>
      </c>
      <c r="AC872" s="154">
        <v>18.600000000000001</v>
      </c>
      <c r="AD872" s="91"/>
      <c r="AE872" s="94">
        <f>Table3.110[[#This Row],[Gas 8h, ml]]-Table3.110[[#This Row],[Gas 0h, ml]]</f>
        <v>42.5</v>
      </c>
      <c r="AF872" s="94">
        <f>Table3.110[[#This Row],[Gas 24h, ml]]-Table3.110[[#This Row],[V8 Push back, ml]]</f>
        <v>45</v>
      </c>
      <c r="AG872" s="94">
        <f>Table3.110[[#This Row],[GP 8h, ml]]-(AVERAGE(AE$862,AE$863,AE$912,AE$913,AE$932,AE$933))*$AG$8</f>
        <v>39.254975227659145</v>
      </c>
      <c r="AH872" s="94">
        <f>Table3.110[[#This Row],[GP 8-24h, ml]]-(AVERAGE(AF$862,AF$863,AF$912,AF$913,AF$932,AF$933))*$AG$8</f>
        <v>40.685592064046816</v>
      </c>
      <c r="AI872" s="94">
        <f>Table3.110[[#This Row],[Net gas 8-24h, ml]]+Table3.110[[#This Row],[Net gas 8h, ml]]</f>
        <v>79.94056729170596</v>
      </c>
      <c r="AJ872" s="94">
        <f>Table3.110[[#This Row],[Net gas 8h, ml]]*Table3.110[[#This Row],[CH4 8h %]]%</f>
        <v>5.848991308921212</v>
      </c>
      <c r="AK872" s="94">
        <f>Table3.110[[#This Row],[Net gas 8-24h, ml]]*Table3.110[[#This Row],[CH4 24h, %]]%</f>
        <v>7.5675201239127086</v>
      </c>
      <c r="AL872" s="94">
        <f>Table3.110[[#This Row],[CH4 8-24h, ml]]+Table3.110[[#This Row],[CH4 8h, ml]]</f>
        <v>13.416511432833921</v>
      </c>
      <c r="AM872" s="94">
        <f>(Table3.110[[#This Row],[Net gas 24h, ml]]/Table3.110[[#This Row],[DM Incubated, mg]])*1000</f>
        <v>176.40425114420458</v>
      </c>
      <c r="AN872" s="94">
        <f>'3.2 Digest'!X872</f>
        <v>47.326249769445383</v>
      </c>
      <c r="AO872" s="94">
        <f>Table3.110[[#This Row],[Digested feed, mg]]/Table3.110[[#This Row],[Net gas 24h, ml]]</f>
        <v>2.68282932312996</v>
      </c>
      <c r="AP872" s="94">
        <f>Table3.110[[#This Row],[CH4 8h, ml]]/Table3.110[[#This Row],[Net gas 8h, ml]]%</f>
        <v>14.899999999999999</v>
      </c>
      <c r="AQ872" s="94">
        <f>Table3.110[[#This Row],[CH4 24h, ml]]/Table3.110[[#This Row],[Net gas 24h, ml]]%</f>
        <v>16.783107610278268</v>
      </c>
      <c r="AR872" s="94">
        <f>Table3.110[[#This Row],[CH4 24h, ml]]/Table3.110[[#This Row],[DM Incubated, mg]]*1000</f>
        <v>29.606115298637384</v>
      </c>
      <c r="AS872" s="94">
        <f>Table3.110[[#This Row],[CH4 24h, ml]]/Table3.110[[#This Row],[Digested feed, mg]]*1000</f>
        <v>62.557492813959627</v>
      </c>
      <c r="AT872" s="94">
        <f>Table3.110[[#This Row],[CH4 24h, ml]]/'3.2 Digest'!AA872</f>
        <v>-7.3220685908271657</v>
      </c>
      <c r="AU872" s="94">
        <f>((Table3.110[[#This Row],[CH4 24h, ml]]/28.9)*16.04)/Table3.110[[#This Row],[DM Incubated, mg]]*1000</f>
        <v>16.431906207271407</v>
      </c>
      <c r="AV872" s="94">
        <f>((Table3.110[[#This Row],[CH4 24h, ml]]/28.9)*16.04)/Table3.110[[#This Row],[Digested feed, mg]]*1000</f>
        <v>34.720490821311849</v>
      </c>
    </row>
    <row r="873" spans="2:48" s="89" customFormat="1" x14ac:dyDescent="0.35">
      <c r="B873" s="90">
        <f t="shared" si="13"/>
        <v>863</v>
      </c>
      <c r="C873" s="140">
        <v>46057</v>
      </c>
      <c r="D873" s="6" t="s">
        <v>16</v>
      </c>
      <c r="E873" s="6" t="s">
        <v>332</v>
      </c>
      <c r="F873" s="6" t="s">
        <v>333</v>
      </c>
      <c r="G873" s="6" t="s">
        <v>334</v>
      </c>
      <c r="H873" s="6" t="s">
        <v>335</v>
      </c>
      <c r="I873" s="6" t="s">
        <v>22</v>
      </c>
      <c r="J873" s="129" t="s">
        <v>23</v>
      </c>
      <c r="K873" s="129" t="s">
        <v>303</v>
      </c>
      <c r="L873" s="6" t="s">
        <v>331</v>
      </c>
      <c r="M873" s="93">
        <v>29</v>
      </c>
      <c r="N873" s="93">
        <v>63</v>
      </c>
      <c r="O873" s="6">
        <v>2</v>
      </c>
      <c r="P873" s="129">
        <v>1</v>
      </c>
      <c r="Q873" s="6">
        <v>174</v>
      </c>
      <c r="R873" s="98">
        <v>0.50039999999999996</v>
      </c>
      <c r="S873" s="94">
        <f>((Table3.110[[#This Row],[Sample weight, g]]*'2.1. DM'!Q203)/100)*1000</f>
        <v>455.53207672480863</v>
      </c>
      <c r="T873" s="94">
        <f>'3.2 Digest'!W873</f>
        <v>181.03207672480869</v>
      </c>
      <c r="U873" s="117">
        <v>0.33333333333333331</v>
      </c>
      <c r="V873" s="155">
        <v>40.5</v>
      </c>
      <c r="W873" s="117">
        <v>0.66597222222222219</v>
      </c>
      <c r="X873" s="96">
        <v>85.5</v>
      </c>
      <c r="Y873" s="96">
        <v>14.7</v>
      </c>
      <c r="Z873" s="155">
        <v>39.5</v>
      </c>
      <c r="AA873" s="117">
        <v>0.33750000000000002</v>
      </c>
      <c r="AB873" s="155">
        <v>83</v>
      </c>
      <c r="AC873" s="155">
        <v>16.5</v>
      </c>
      <c r="AD873" s="96"/>
      <c r="AE873" s="94">
        <f>Table3.110[[#This Row],[Gas 8h, ml]]-Table3.110[[#This Row],[Gas 0h, ml]]</f>
        <v>45</v>
      </c>
      <c r="AF873" s="94">
        <f>Table3.110[[#This Row],[Gas 24h, ml]]-Table3.110[[#This Row],[V8 Push back, ml]]</f>
        <v>43.5</v>
      </c>
      <c r="AG873" s="94">
        <f>Table3.110[[#This Row],[GP 8h, ml]]-(AVERAGE(AE$862,AE$863,AE$912,AE$913,AE$932,AE$933))*$AG$8</f>
        <v>41.754975227659145</v>
      </c>
      <c r="AH873" s="94">
        <f>Table3.110[[#This Row],[GP 8-24h, ml]]-(AVERAGE(AF$862,AF$863,AF$912,AF$913,AF$932,AF$933))*$AG$8</f>
        <v>39.185592064046816</v>
      </c>
      <c r="AI873" s="94">
        <f>Table3.110[[#This Row],[Net gas 8-24h, ml]]+Table3.110[[#This Row],[Net gas 8h, ml]]</f>
        <v>80.94056729170596</v>
      </c>
      <c r="AJ873" s="94">
        <f>Table3.110[[#This Row],[Net gas 8h, ml]]*Table3.110[[#This Row],[CH4 8h %]]%</f>
        <v>6.1379813584658942</v>
      </c>
      <c r="AK873" s="94">
        <f>Table3.110[[#This Row],[Net gas 8-24h, ml]]*Table3.110[[#This Row],[CH4 24h, %]]%</f>
        <v>6.4656226905677245</v>
      </c>
      <c r="AL873" s="94">
        <f>Table3.110[[#This Row],[CH4 8-24h, ml]]+Table3.110[[#This Row],[CH4 8h, ml]]</f>
        <v>12.603604049033619</v>
      </c>
      <c r="AM873" s="94">
        <f>(Table3.110[[#This Row],[Net gas 24h, ml]]/Table3.110[[#This Row],[DM Incubated, mg]])*1000</f>
        <v>177.68357362154092</v>
      </c>
      <c r="AN873" s="94">
        <f>'3.2 Digest'!X873</f>
        <v>39.740796746168968</v>
      </c>
      <c r="AO873" s="94">
        <f>Table3.110[[#This Row],[Digested feed, mg]]/Table3.110[[#This Row],[Net gas 24h, ml]]</f>
        <v>2.236604990330469</v>
      </c>
      <c r="AP873" s="94">
        <f>Table3.110[[#This Row],[CH4 8h, ml]]/Table3.110[[#This Row],[Net gas 8h, ml]]%</f>
        <v>14.7</v>
      </c>
      <c r="AQ873" s="94">
        <f>Table3.110[[#This Row],[CH4 24h, ml]]/Table3.110[[#This Row],[Net gas 24h, ml]]%</f>
        <v>15.571430335558224</v>
      </c>
      <c r="AR873" s="94">
        <f>Table3.110[[#This Row],[CH4 24h, ml]]/Table3.110[[#This Row],[DM Incubated, mg]]*1000</f>
        <v>27.667873884208554</v>
      </c>
      <c r="AS873" s="94">
        <f>Table3.110[[#This Row],[CH4 24h, ml]]/Table3.110[[#This Row],[Digested feed, mg]]*1000</f>
        <v>69.620833374146542</v>
      </c>
      <c r="AT873" s="94">
        <f>Table3.110[[#This Row],[CH4 24h, ml]]/'3.2 Digest'!AA873</f>
        <v>-1.00128847790084</v>
      </c>
      <c r="AU873" s="94">
        <f>((Table3.110[[#This Row],[CH4 24h, ml]]/28.9)*16.04)/Table3.110[[#This Row],[DM Incubated, mg]]*1000</f>
        <v>15.356148688674917</v>
      </c>
      <c r="AV873" s="94">
        <f>((Table3.110[[#This Row],[CH4 24h, ml]]/28.9)*16.04)/Table3.110[[#This Row],[Digested feed, mg]]*1000</f>
        <v>38.640767035339465</v>
      </c>
    </row>
    <row r="874" spans="2:48" s="89" customFormat="1" x14ac:dyDescent="0.35">
      <c r="B874" s="90">
        <f t="shared" si="13"/>
        <v>864</v>
      </c>
      <c r="C874" s="140">
        <v>46057</v>
      </c>
      <c r="D874" s="6" t="s">
        <v>16</v>
      </c>
      <c r="E874" s="6" t="s">
        <v>332</v>
      </c>
      <c r="F874" s="6" t="s">
        <v>333</v>
      </c>
      <c r="G874" s="6" t="s">
        <v>334</v>
      </c>
      <c r="H874" s="6" t="s">
        <v>335</v>
      </c>
      <c r="I874" s="6" t="s">
        <v>22</v>
      </c>
      <c r="J874" s="129" t="s">
        <v>23</v>
      </c>
      <c r="K874" s="129" t="s">
        <v>303</v>
      </c>
      <c r="L874" s="6" t="s">
        <v>331</v>
      </c>
      <c r="M874" s="93">
        <v>29</v>
      </c>
      <c r="N874" s="93">
        <v>63</v>
      </c>
      <c r="O874" s="6">
        <v>2</v>
      </c>
      <c r="P874" s="129">
        <v>2</v>
      </c>
      <c r="Q874" s="6">
        <v>175</v>
      </c>
      <c r="R874" s="98">
        <v>0.50049999999999994</v>
      </c>
      <c r="S874" s="94">
        <f>((Table3.110[[#This Row],[Sample weight, g]]*'2.1. DM'!Q203)/100)*1000</f>
        <v>455.62311031328278</v>
      </c>
      <c r="T874" s="94">
        <f>'3.2 Digest'!W874</f>
        <v>101.92311031328279</v>
      </c>
      <c r="U874" s="153">
        <v>0.33402777777777776</v>
      </c>
      <c r="V874" s="154">
        <v>39.5</v>
      </c>
      <c r="W874" s="153">
        <v>0.66666666666666663</v>
      </c>
      <c r="X874" s="91">
        <v>82.5</v>
      </c>
      <c r="Y874" s="91">
        <v>14.8</v>
      </c>
      <c r="Z874" s="154">
        <v>38.5</v>
      </c>
      <c r="AA874" s="153">
        <v>0.33819444444444446</v>
      </c>
      <c r="AB874" s="154">
        <v>86</v>
      </c>
      <c r="AC874" s="154">
        <v>16.3</v>
      </c>
      <c r="AD874" s="91"/>
      <c r="AE874" s="94">
        <f>Table3.110[[#This Row],[Gas 8h, ml]]-Table3.110[[#This Row],[Gas 0h, ml]]</f>
        <v>43</v>
      </c>
      <c r="AF874" s="94">
        <f>Table3.110[[#This Row],[Gas 24h, ml]]-Table3.110[[#This Row],[V8 Push back, ml]]</f>
        <v>47.5</v>
      </c>
      <c r="AG874" s="94">
        <f>Table3.110[[#This Row],[GP 8h, ml]]-(AVERAGE(AE$862,AE$863,AE$912,AE$913,AE$932,AE$933))*$AG$8</f>
        <v>39.754975227659145</v>
      </c>
      <c r="AH874" s="94">
        <f>Table3.110[[#This Row],[GP 8-24h, ml]]-(AVERAGE(AF$862,AF$863,AF$912,AF$913,AF$932,AF$933))*$AG$8</f>
        <v>43.185592064046816</v>
      </c>
      <c r="AI874" s="94">
        <f>Table3.110[[#This Row],[Net gas 8-24h, ml]]+Table3.110[[#This Row],[Net gas 8h, ml]]</f>
        <v>82.94056729170596</v>
      </c>
      <c r="AJ874" s="94">
        <f>Table3.110[[#This Row],[Net gas 8h, ml]]*Table3.110[[#This Row],[CH4 8h %]]%</f>
        <v>5.8837363336935544</v>
      </c>
      <c r="AK874" s="94">
        <f>Table3.110[[#This Row],[Net gas 8-24h, ml]]*Table3.110[[#This Row],[CH4 24h, %]]%</f>
        <v>7.0392515064396308</v>
      </c>
      <c r="AL874" s="94">
        <f>Table3.110[[#This Row],[CH4 8-24h, ml]]+Table3.110[[#This Row],[CH4 8h, ml]]</f>
        <v>12.922987840133185</v>
      </c>
      <c r="AM874" s="94">
        <f>(Table3.110[[#This Row],[Net gas 24h, ml]]/Table3.110[[#This Row],[DM Incubated, mg]])*1000</f>
        <v>182.03766537363896</v>
      </c>
      <c r="AN874" s="94">
        <f>'3.2 Digest'!X874</f>
        <v>22.370048403207925</v>
      </c>
      <c r="AO874" s="94">
        <f>Table3.110[[#This Row],[Digested feed, mg]]/Table3.110[[#This Row],[Net gas 24h, ml]]</f>
        <v>1.2288692209544976</v>
      </c>
      <c r="AP874" s="94">
        <f>Table3.110[[#This Row],[CH4 8h, ml]]/Table3.110[[#This Row],[Net gas 8h, ml]]%</f>
        <v>14.800000000000002</v>
      </c>
      <c r="AQ874" s="94">
        <f>Table3.110[[#This Row],[CH4 24h, ml]]/Table3.110[[#This Row],[Net gas 24h, ml]]%</f>
        <v>15.581021763068508</v>
      </c>
      <c r="AR874" s="94">
        <f>Table3.110[[#This Row],[CH4 24h, ml]]/Table3.110[[#This Row],[DM Incubated, mg]]*1000</f>
        <v>28.363328258848508</v>
      </c>
      <c r="AS874" s="94">
        <f>Table3.110[[#This Row],[CH4 24h, ml]]/Table3.110[[#This Row],[Digested feed, mg]]*1000</f>
        <v>126.79153727169017</v>
      </c>
      <c r="AT874" s="94">
        <f>Table3.110[[#This Row],[CH4 24h, ml]]/'3.2 Digest'!AA874</f>
        <v>-0.28690571605508774</v>
      </c>
      <c r="AU874" s="94">
        <f>((Table3.110[[#This Row],[CH4 24h, ml]]/28.9)*16.04)/Table3.110[[#This Row],[DM Incubated, mg]]*1000</f>
        <v>15.742137898682701</v>
      </c>
      <c r="AV874" s="94">
        <f>((Table3.110[[#This Row],[CH4 24h, ml]]/28.9)*16.04)/Table3.110[[#This Row],[Digested feed, mg]]*1000</f>
        <v>70.371496811000355</v>
      </c>
    </row>
    <row r="875" spans="2:48" s="89" customFormat="1" x14ac:dyDescent="0.35">
      <c r="B875" s="90">
        <f t="shared" si="13"/>
        <v>865</v>
      </c>
      <c r="C875" s="140">
        <v>46057</v>
      </c>
      <c r="D875" s="6" t="s">
        <v>16</v>
      </c>
      <c r="E875" s="6" t="s">
        <v>332</v>
      </c>
      <c r="F875" s="6" t="s">
        <v>333</v>
      </c>
      <c r="G875" s="6" t="s">
        <v>334</v>
      </c>
      <c r="H875" s="6" t="s">
        <v>335</v>
      </c>
      <c r="I875" s="6" t="s">
        <v>22</v>
      </c>
      <c r="J875" s="129" t="s">
        <v>23</v>
      </c>
      <c r="K875" s="129" t="s">
        <v>303</v>
      </c>
      <c r="L875" s="6" t="s">
        <v>331</v>
      </c>
      <c r="M875" s="93">
        <v>29</v>
      </c>
      <c r="N875" s="93">
        <v>63</v>
      </c>
      <c r="O875" s="6">
        <v>2</v>
      </c>
      <c r="P875" s="6">
        <v>3</v>
      </c>
      <c r="Q875" s="6">
        <v>176</v>
      </c>
      <c r="R875" s="98">
        <v>0.50019999999999998</v>
      </c>
      <c r="S875" s="94">
        <f>((Table3.110[[#This Row],[Sample weight, g]]*'2.1. DM'!Q203)/100)*1000</f>
        <v>455.35000954786028</v>
      </c>
      <c r="T875" s="94">
        <f>'3.2 Digest'!W875</f>
        <v>145.85000954786028</v>
      </c>
      <c r="U875" s="117">
        <v>0.33750000000000002</v>
      </c>
      <c r="V875" s="155">
        <v>41</v>
      </c>
      <c r="W875" s="117">
        <v>0.66666666666666663</v>
      </c>
      <c r="X875" s="96">
        <v>85.5</v>
      </c>
      <c r="Y875" s="96">
        <v>14.6</v>
      </c>
      <c r="Z875" s="155">
        <v>39.5</v>
      </c>
      <c r="AA875" s="117">
        <v>0.33819444444444446</v>
      </c>
      <c r="AB875" s="155">
        <v>88</v>
      </c>
      <c r="AC875" s="155">
        <v>16.2</v>
      </c>
      <c r="AD875" s="96"/>
      <c r="AE875" s="94">
        <f>Table3.110[[#This Row],[Gas 8h, ml]]-Table3.110[[#This Row],[Gas 0h, ml]]</f>
        <v>44.5</v>
      </c>
      <c r="AF875" s="94">
        <f>Table3.110[[#This Row],[Gas 24h, ml]]-Table3.110[[#This Row],[V8 Push back, ml]]</f>
        <v>48.5</v>
      </c>
      <c r="AG875" s="94">
        <f>Table3.110[[#This Row],[GP 8h, ml]]-(AVERAGE(AE$862,AE$863,AE$912,AE$913,AE$932,AE$933))*$AG$8</f>
        <v>41.254975227659145</v>
      </c>
      <c r="AH875" s="94">
        <f>Table3.110[[#This Row],[GP 8-24h, ml]]-(AVERAGE(AF$862,AF$863,AF$912,AF$913,AF$932,AF$933))*$AG$8</f>
        <v>44.185592064046816</v>
      </c>
      <c r="AI875" s="94">
        <f>Table3.110[[#This Row],[Net gas 8-24h, ml]]+Table3.110[[#This Row],[Net gas 8h, ml]]</f>
        <v>85.44056729170596</v>
      </c>
      <c r="AJ875" s="94">
        <f>Table3.110[[#This Row],[Net gas 8h, ml]]*Table3.110[[#This Row],[CH4 8h %]]%</f>
        <v>6.0232263832382351</v>
      </c>
      <c r="AK875" s="94">
        <f>Table3.110[[#This Row],[Net gas 8-24h, ml]]*Table3.110[[#This Row],[CH4 24h, %]]%</f>
        <v>7.1580659143755847</v>
      </c>
      <c r="AL875" s="94">
        <f>Table3.110[[#This Row],[CH4 8-24h, ml]]+Table3.110[[#This Row],[CH4 8h, ml]]</f>
        <v>13.181292297613819</v>
      </c>
      <c r="AM875" s="94">
        <f>(Table3.110[[#This Row],[Net gas 24h, ml]]/Table3.110[[#This Row],[DM Incubated, mg]])*1000</f>
        <v>187.63712638667596</v>
      </c>
      <c r="AN875" s="94">
        <f>'3.2 Digest'!X875</f>
        <v>32.03030778294746</v>
      </c>
      <c r="AO875" s="94">
        <f>Table3.110[[#This Row],[Digested feed, mg]]/Table3.110[[#This Row],[Net gas 24h, ml]]</f>
        <v>1.7070346577862492</v>
      </c>
      <c r="AP875" s="94">
        <f>Table3.110[[#This Row],[CH4 8h, ml]]/Table3.110[[#This Row],[Net gas 8h, ml]]%</f>
        <v>14.6</v>
      </c>
      <c r="AQ875" s="94">
        <f>Table3.110[[#This Row],[CH4 24h, ml]]/Table3.110[[#This Row],[Net gas 24h, ml]]%</f>
        <v>15.427440050358113</v>
      </c>
      <c r="AR875" s="94">
        <f>Table3.110[[#This Row],[CH4 24h, ml]]/Table3.110[[#This Row],[DM Incubated, mg]]*1000</f>
        <v>28.947605185519116</v>
      </c>
      <c r="AS875" s="94">
        <f>Table3.110[[#This Row],[CH4 24h, ml]]/Table3.110[[#This Row],[Digested feed, mg]]*1000</f>
        <v>90.375669761532748</v>
      </c>
      <c r="AT875" s="94">
        <f>Table3.110[[#This Row],[CH4 24h, ml]]/'3.2 Digest'!AA875</f>
        <v>-0.48831272434599904</v>
      </c>
      <c r="AU875" s="94">
        <f>((Table3.110[[#This Row],[CH4 24h, ml]]/28.9)*16.04)/Table3.110[[#This Row],[DM Incubated, mg]]*1000</f>
        <v>16.066421701582236</v>
      </c>
      <c r="AV875" s="94">
        <f>((Table3.110[[#This Row],[CH4 24h, ml]]/28.9)*16.04)/Table3.110[[#This Row],[Digested feed, mg]]*1000</f>
        <v>50.160060310553128</v>
      </c>
    </row>
    <row r="876" spans="2:48" s="89" customFormat="1" x14ac:dyDescent="0.35">
      <c r="B876" s="90">
        <f t="shared" si="13"/>
        <v>866</v>
      </c>
      <c r="C876" s="140">
        <v>46057</v>
      </c>
      <c r="D876" s="6" t="s">
        <v>16</v>
      </c>
      <c r="E876" s="6" t="s">
        <v>337</v>
      </c>
      <c r="F876" s="6" t="s">
        <v>264</v>
      </c>
      <c r="G876" s="6" t="s">
        <v>265</v>
      </c>
      <c r="H876" s="6" t="s">
        <v>266</v>
      </c>
      <c r="I876" s="6" t="s">
        <v>22</v>
      </c>
      <c r="J876" s="129" t="s">
        <v>23</v>
      </c>
      <c r="K876" s="129" t="s">
        <v>215</v>
      </c>
      <c r="L876" s="6" t="s">
        <v>336</v>
      </c>
      <c r="M876" s="93">
        <v>29</v>
      </c>
      <c r="N876" s="93">
        <v>63</v>
      </c>
      <c r="O876" s="6">
        <v>2</v>
      </c>
      <c r="P876" s="129">
        <v>1</v>
      </c>
      <c r="Q876" s="6">
        <v>177</v>
      </c>
      <c r="R876" s="98">
        <v>0.50029999999999997</v>
      </c>
      <c r="S876" s="94">
        <f>((Table3.110[[#This Row],[Sample weight, g]]*'2.1. DM'!Q205)/100)*1000</f>
        <v>461.15741004683775</v>
      </c>
      <c r="T876" s="94">
        <f>'3.2 Digest'!W876</f>
        <v>277.55741004683773</v>
      </c>
      <c r="U876" s="153">
        <v>0.33819444444444446</v>
      </c>
      <c r="V876" s="154">
        <v>41.5</v>
      </c>
      <c r="W876" s="153">
        <v>0.66736111111111107</v>
      </c>
      <c r="X876" s="91">
        <v>90</v>
      </c>
      <c r="Y876" s="91">
        <v>15.2</v>
      </c>
      <c r="Z876" s="154">
        <v>40.5</v>
      </c>
      <c r="AA876" s="153">
        <v>0.33888888888888891</v>
      </c>
      <c r="AB876" s="154">
        <v>85.5</v>
      </c>
      <c r="AC876" s="154">
        <v>18.2</v>
      </c>
      <c r="AD876" s="91"/>
      <c r="AE876" s="94">
        <f>Table3.110[[#This Row],[Gas 8h, ml]]-Table3.110[[#This Row],[Gas 0h, ml]]</f>
        <v>48.5</v>
      </c>
      <c r="AF876" s="94">
        <f>Table3.110[[#This Row],[Gas 24h, ml]]-Table3.110[[#This Row],[V8 Push back, ml]]</f>
        <v>45</v>
      </c>
      <c r="AG876" s="94">
        <f>Table3.110[[#This Row],[GP 8h, ml]]-(AVERAGE(AE$862,AE$863,AE$912,AE$913,AE$932,AE$933))*$AG$8</f>
        <v>45.254975227659145</v>
      </c>
      <c r="AH876" s="94">
        <f>Table3.110[[#This Row],[GP 8-24h, ml]]-(AVERAGE(AF$862,AF$863,AF$912,AF$913,AF$932,AF$933))*$AG$8</f>
        <v>40.685592064046816</v>
      </c>
      <c r="AI876" s="94">
        <f>Table3.110[[#This Row],[Net gas 8-24h, ml]]+Table3.110[[#This Row],[Net gas 8h, ml]]</f>
        <v>85.94056729170596</v>
      </c>
      <c r="AJ876" s="94">
        <f>Table3.110[[#This Row],[Net gas 8h, ml]]*Table3.110[[#This Row],[CH4 8h %]]%</f>
        <v>6.8787562346041895</v>
      </c>
      <c r="AK876" s="94">
        <f>Table3.110[[#This Row],[Net gas 8-24h, ml]]*Table3.110[[#This Row],[CH4 24h, %]]%</f>
        <v>7.4047777556565206</v>
      </c>
      <c r="AL876" s="94">
        <f>Table3.110[[#This Row],[CH4 8-24h, ml]]+Table3.110[[#This Row],[CH4 8h, ml]]</f>
        <v>14.283533990260711</v>
      </c>
      <c r="AM876" s="94">
        <f>(Table3.110[[#This Row],[Net gas 24h, ml]]/Table3.110[[#This Row],[DM Incubated, mg]])*1000</f>
        <v>186.35842213394631</v>
      </c>
      <c r="AN876" s="94">
        <f>'3.2 Digest'!X876</f>
        <v>60.187130034112954</v>
      </c>
      <c r="AO876" s="94">
        <f>Table3.110[[#This Row],[Digested feed, mg]]/Table3.110[[#This Row],[Net gas 24h, ml]]</f>
        <v>3.2296436804371029</v>
      </c>
      <c r="AP876" s="94">
        <f>Table3.110[[#This Row],[CH4 8h, ml]]/Table3.110[[#This Row],[Net gas 8h, ml]]%</f>
        <v>15.2</v>
      </c>
      <c r="AQ876" s="94">
        <f>Table3.110[[#This Row],[CH4 24h, ml]]/Table3.110[[#This Row],[Net gas 24h, ml]]%</f>
        <v>16.620246340448816</v>
      </c>
      <c r="AR876" s="94">
        <f>Table3.110[[#This Row],[CH4 24h, ml]]/Table3.110[[#This Row],[DM Incubated, mg]]*1000</f>
        <v>30.973228834835368</v>
      </c>
      <c r="AS876" s="94">
        <f>Table3.110[[#This Row],[CH4 24h, ml]]/Table3.110[[#This Row],[Digested feed, mg]]*1000</f>
        <v>51.461548037396547</v>
      </c>
      <c r="AT876" s="94">
        <f>Table3.110[[#This Row],[CH4 24h, ml]]/'3.2 Digest'!AA876</f>
        <v>0.92337294294495209</v>
      </c>
      <c r="AU876" s="94">
        <f>((Table3.110[[#This Row],[CH4 24h, ml]]/28.9)*16.04)/Table3.110[[#This Row],[DM Incubated, mg]]*1000</f>
        <v>17.190677872344612</v>
      </c>
      <c r="AV876" s="94">
        <f>((Table3.110[[#This Row],[CH4 24h, ml]]/28.9)*16.04)/Table3.110[[#This Row],[Digested feed, mg]]*1000</f>
        <v>28.562049498956423</v>
      </c>
    </row>
    <row r="877" spans="2:48" s="89" customFormat="1" x14ac:dyDescent="0.35">
      <c r="B877" s="90">
        <f t="shared" si="13"/>
        <v>867</v>
      </c>
      <c r="C877" s="140">
        <v>46057</v>
      </c>
      <c r="D877" s="6" t="s">
        <v>16</v>
      </c>
      <c r="E877" s="6" t="s">
        <v>337</v>
      </c>
      <c r="F877" s="6" t="s">
        <v>264</v>
      </c>
      <c r="G877" s="6" t="s">
        <v>265</v>
      </c>
      <c r="H877" s="6" t="s">
        <v>266</v>
      </c>
      <c r="I877" s="6" t="s">
        <v>22</v>
      </c>
      <c r="J877" s="129" t="s">
        <v>23</v>
      </c>
      <c r="K877" s="129" t="s">
        <v>215</v>
      </c>
      <c r="L877" s="6" t="s">
        <v>336</v>
      </c>
      <c r="M877" s="93">
        <v>29</v>
      </c>
      <c r="N877" s="93">
        <v>63</v>
      </c>
      <c r="O877" s="6">
        <v>2</v>
      </c>
      <c r="P877" s="129">
        <v>2</v>
      </c>
      <c r="Q877" s="6">
        <v>178</v>
      </c>
      <c r="R877" s="98">
        <v>0.50019999999999998</v>
      </c>
      <c r="S877" s="94">
        <f>((Table3.110[[#This Row],[Sample weight, g]]*'2.1. DM'!Q205)/100)*1000</f>
        <v>461.0652338705342</v>
      </c>
      <c r="T877" s="94">
        <f>'3.2 Digest'!W877</f>
        <v>272.66523387053417</v>
      </c>
      <c r="U877" s="117">
        <v>0.33888888888888891</v>
      </c>
      <c r="V877" s="155">
        <v>40.5</v>
      </c>
      <c r="W877" s="117">
        <v>0.66736111111111107</v>
      </c>
      <c r="X877" s="96">
        <v>91</v>
      </c>
      <c r="Y877" s="96">
        <v>15.3</v>
      </c>
      <c r="Z877" s="155">
        <v>40.5</v>
      </c>
      <c r="AA877" s="117">
        <v>0.33888888888888891</v>
      </c>
      <c r="AB877" s="155">
        <v>85</v>
      </c>
      <c r="AC877" s="155">
        <v>18.3</v>
      </c>
      <c r="AD877" s="96"/>
      <c r="AE877" s="94">
        <f>Table3.110[[#This Row],[Gas 8h, ml]]-Table3.110[[#This Row],[Gas 0h, ml]]</f>
        <v>50.5</v>
      </c>
      <c r="AF877" s="94">
        <f>Table3.110[[#This Row],[Gas 24h, ml]]-Table3.110[[#This Row],[V8 Push back, ml]]</f>
        <v>44.5</v>
      </c>
      <c r="AG877" s="94">
        <f>Table3.110[[#This Row],[GP 8h, ml]]-(AVERAGE(AE$862,AE$863,AE$912,AE$913,AE$932,AE$933))*$AG$8</f>
        <v>47.254975227659145</v>
      </c>
      <c r="AH877" s="94">
        <f>Table3.110[[#This Row],[GP 8-24h, ml]]-(AVERAGE(AF$862,AF$863,AF$912,AF$913,AF$932,AF$933))*$AG$8</f>
        <v>40.185592064046816</v>
      </c>
      <c r="AI877" s="94">
        <f>Table3.110[[#This Row],[Net gas 8-24h, ml]]+Table3.110[[#This Row],[Net gas 8h, ml]]</f>
        <v>87.44056729170596</v>
      </c>
      <c r="AJ877" s="94">
        <f>Table3.110[[#This Row],[Net gas 8h, ml]]*Table3.110[[#This Row],[CH4 8h %]]%</f>
        <v>7.230011209831849</v>
      </c>
      <c r="AK877" s="94">
        <f>Table3.110[[#This Row],[Net gas 8-24h, ml]]*Table3.110[[#This Row],[CH4 24h, %]]%</f>
        <v>7.3539633477205673</v>
      </c>
      <c r="AL877" s="94">
        <f>Table3.110[[#This Row],[CH4 8-24h, ml]]+Table3.110[[#This Row],[CH4 8h, ml]]</f>
        <v>14.583974557552416</v>
      </c>
      <c r="AM877" s="94">
        <f>(Table3.110[[#This Row],[Net gas 24h, ml]]/Table3.110[[#This Row],[DM Incubated, mg]])*1000</f>
        <v>189.64901464736988</v>
      </c>
      <c r="AN877" s="94">
        <f>'3.2 Digest'!X877</f>
        <v>59.13810320972884</v>
      </c>
      <c r="AO877" s="94">
        <f>Table3.110[[#This Row],[Digested feed, mg]]/Table3.110[[#This Row],[Net gas 24h, ml]]</f>
        <v>3.1182921419174896</v>
      </c>
      <c r="AP877" s="94">
        <f>Table3.110[[#This Row],[CH4 8h, ml]]/Table3.110[[#This Row],[Net gas 8h, ml]]%</f>
        <v>15.299999999999999</v>
      </c>
      <c r="AQ877" s="94">
        <f>Table3.110[[#This Row],[CH4 24h, ml]]/Table3.110[[#This Row],[Net gas 24h, ml]]%</f>
        <v>16.678728202779805</v>
      </c>
      <c r="AR877" s="94">
        <f>Table3.110[[#This Row],[CH4 24h, ml]]/Table3.110[[#This Row],[DM Incubated, mg]]*1000</f>
        <v>31.631043692284887</v>
      </c>
      <c r="AS877" s="94">
        <f>Table3.110[[#This Row],[CH4 24h, ml]]/Table3.110[[#This Row],[Digested feed, mg]]*1000</f>
        <v>53.486740317165342</v>
      </c>
      <c r="AT877" s="94">
        <f>Table3.110[[#This Row],[CH4 24h, ml]]/'3.2 Digest'!AA877</f>
        <v>1.1013786927676263</v>
      </c>
      <c r="AU877" s="94">
        <f>((Table3.110[[#This Row],[CH4 24h, ml]]/28.9)*16.04)/Table3.110[[#This Row],[DM Incubated, mg]]*1000</f>
        <v>17.555776499108983</v>
      </c>
      <c r="AV877" s="94">
        <f>((Table3.110[[#This Row],[CH4 24h, ml]]/28.9)*16.04)/Table3.110[[#This Row],[Digested feed, mg]]*1000</f>
        <v>29.686066252156824</v>
      </c>
    </row>
    <row r="878" spans="2:48" s="89" customFormat="1" x14ac:dyDescent="0.35">
      <c r="B878" s="90">
        <f t="shared" si="13"/>
        <v>868</v>
      </c>
      <c r="C878" s="140">
        <v>46057</v>
      </c>
      <c r="D878" s="6" t="s">
        <v>16</v>
      </c>
      <c r="E878" s="6" t="s">
        <v>337</v>
      </c>
      <c r="F878" s="6" t="s">
        <v>264</v>
      </c>
      <c r="G878" s="6" t="s">
        <v>265</v>
      </c>
      <c r="H878" s="6" t="s">
        <v>266</v>
      </c>
      <c r="I878" s="6" t="s">
        <v>22</v>
      </c>
      <c r="J878" s="129" t="s">
        <v>23</v>
      </c>
      <c r="K878" s="129" t="s">
        <v>215</v>
      </c>
      <c r="L878" s="6" t="s">
        <v>336</v>
      </c>
      <c r="M878" s="93">
        <v>29</v>
      </c>
      <c r="N878" s="93">
        <v>63</v>
      </c>
      <c r="O878" s="6">
        <v>2</v>
      </c>
      <c r="P878" s="6">
        <v>3</v>
      </c>
      <c r="Q878" s="6">
        <v>179</v>
      </c>
      <c r="R878" s="98">
        <v>0.5</v>
      </c>
      <c r="S878" s="94">
        <f>((Table3.110[[#This Row],[Sample weight, g]]*'2.1. DM'!Q205)/100)*1000</f>
        <v>460.88088151792704</v>
      </c>
      <c r="T878" s="94">
        <f>'3.2 Digest'!W878</f>
        <v>267.08088151792708</v>
      </c>
      <c r="U878" s="153">
        <v>0.33888888888888891</v>
      </c>
      <c r="V878" s="154">
        <v>40.5</v>
      </c>
      <c r="W878" s="153">
        <v>0.66736111111111107</v>
      </c>
      <c r="X878" s="91">
        <v>85.5</v>
      </c>
      <c r="Y878" s="91">
        <v>15.5</v>
      </c>
      <c r="Z878" s="154">
        <v>41</v>
      </c>
      <c r="AA878" s="153">
        <v>0.34027777777777779</v>
      </c>
      <c r="AB878" s="154">
        <v>59</v>
      </c>
      <c r="AC878" s="154">
        <v>18.8</v>
      </c>
      <c r="AD878" s="91" t="s">
        <v>586</v>
      </c>
      <c r="AE878" s="94">
        <f>Table3.110[[#This Row],[Gas 8h, ml]]-Table3.110[[#This Row],[Gas 0h, ml]]</f>
        <v>45</v>
      </c>
      <c r="AF878" s="94">
        <f>Table3.110[[#This Row],[Gas 24h, ml]]-Table3.110[[#This Row],[V8 Push back, ml]]</f>
        <v>18</v>
      </c>
      <c r="AG878" s="94">
        <f>Table3.110[[#This Row],[GP 8h, ml]]-(AVERAGE(AE$862,AE$863,AE$912,AE$913,AE$932,AE$933))*$AG$8</f>
        <v>41.754975227659145</v>
      </c>
      <c r="AH878" s="94">
        <f>Table3.110[[#This Row],[GP 8-24h, ml]]-(AVERAGE(AF$862,AF$863,AF$912,AF$913,AF$932,AF$933))*$AG$8</f>
        <v>13.685592064046812</v>
      </c>
      <c r="AI878" s="94">
        <f>Table3.110[[#This Row],[Net gas 8-24h, ml]]+Table3.110[[#This Row],[Net gas 8h, ml]]</f>
        <v>55.44056729170596</v>
      </c>
      <c r="AJ878" s="94">
        <f>Table3.110[[#This Row],[Net gas 8h, ml]]*Table3.110[[#This Row],[CH4 8h %]]%</f>
        <v>6.4720211602871673</v>
      </c>
      <c r="AK878" s="94">
        <f>Table3.110[[#This Row],[Net gas 8-24h, ml]]*Table3.110[[#This Row],[CH4 24h, %]]%</f>
        <v>2.5728913080408007</v>
      </c>
      <c r="AL878" s="94">
        <f>Table3.110[[#This Row],[CH4 8-24h, ml]]+Table3.110[[#This Row],[CH4 8h, ml]]</f>
        <v>9.0449124683279685</v>
      </c>
      <c r="AM878" s="94">
        <f>(Table3.110[[#This Row],[Net gas 24h, ml]]/Table3.110[[#This Row],[DM Incubated, mg]])*1000</f>
        <v>120.29261684518252</v>
      </c>
      <c r="AN878" s="94">
        <f>'3.2 Digest'!X878</f>
        <v>57.950089107251969</v>
      </c>
      <c r="AO878" s="94">
        <f>Table3.110[[#This Row],[Digested feed, mg]]/Table3.110[[#This Row],[Net gas 24h, ml]]</f>
        <v>4.8174269233692169</v>
      </c>
      <c r="AP878" s="94">
        <f>Table3.110[[#This Row],[CH4 8h, ml]]/Table3.110[[#This Row],[Net gas 8h, ml]]%</f>
        <v>15.499999999999998</v>
      </c>
      <c r="AQ878" s="94">
        <f>Table3.110[[#This Row],[CH4 24h, ml]]/Table3.110[[#This Row],[Net gas 24h, ml]]%</f>
        <v>16.314610239713598</v>
      </c>
      <c r="AR878" s="94">
        <f>Table3.110[[#This Row],[CH4 24h, ml]]/Table3.110[[#This Row],[DM Incubated, mg]]*1000</f>
        <v>19.625271585443592</v>
      </c>
      <c r="AS878" s="94">
        <f>Table3.110[[#This Row],[CH4 24h, ml]]/Table3.110[[#This Row],[Digested feed, mg]]*1000</f>
        <v>33.865817788686812</v>
      </c>
      <c r="AT878" s="94">
        <f>Table3.110[[#This Row],[CH4 24h, ml]]/'3.2 Digest'!AA878</f>
        <v>0.84380815775910589</v>
      </c>
      <c r="AU878" s="94">
        <f>((Table3.110[[#This Row],[CH4 24h, ml]]/28.9)*16.04)/Table3.110[[#This Row],[DM Incubated, mg]]*1000</f>
        <v>10.892365267491877</v>
      </c>
      <c r="AV878" s="94">
        <f>((Table3.110[[#This Row],[CH4 24h, ml]]/28.9)*16.04)/Table3.110[[#This Row],[Digested feed, mg]]*1000</f>
        <v>18.796114786523752</v>
      </c>
    </row>
    <row r="879" spans="2:48" s="89" customFormat="1" x14ac:dyDescent="0.35">
      <c r="B879" s="90">
        <f t="shared" si="13"/>
        <v>869</v>
      </c>
      <c r="C879" s="140">
        <v>46057</v>
      </c>
      <c r="D879" s="6" t="s">
        <v>16</v>
      </c>
      <c r="E879" s="6" t="s">
        <v>339</v>
      </c>
      <c r="F879" s="6" t="s">
        <v>219</v>
      </c>
      <c r="G879" s="6" t="s">
        <v>253</v>
      </c>
      <c r="H879" s="6" t="s">
        <v>254</v>
      </c>
      <c r="I879" s="6" t="s">
        <v>22</v>
      </c>
      <c r="J879" s="129" t="s">
        <v>23</v>
      </c>
      <c r="K879" s="129" t="s">
        <v>215</v>
      </c>
      <c r="L879" s="6" t="s">
        <v>338</v>
      </c>
      <c r="M879" s="93">
        <v>29</v>
      </c>
      <c r="N879" s="93">
        <v>63</v>
      </c>
      <c r="O879" s="6">
        <v>2</v>
      </c>
      <c r="P879" s="129">
        <v>1</v>
      </c>
      <c r="Q879" s="6">
        <v>180</v>
      </c>
      <c r="R879" s="98">
        <v>0.50029999999999997</v>
      </c>
      <c r="S879" s="94">
        <f>((Table3.110[[#This Row],[Sample weight, g]]*'2.1. DM'!Q207)/100)*1000</f>
        <v>453.30146185762817</v>
      </c>
      <c r="T879" s="94">
        <f>'3.2 Digest'!W879</f>
        <v>324.60146185762824</v>
      </c>
      <c r="U879" s="117">
        <v>0.33888888888888891</v>
      </c>
      <c r="V879" s="155">
        <v>40.5</v>
      </c>
      <c r="W879" s="117">
        <v>0.66805555555555551</v>
      </c>
      <c r="X879" s="96">
        <v>93.5</v>
      </c>
      <c r="Y879" s="96">
        <v>14.4</v>
      </c>
      <c r="Z879" s="155">
        <v>41</v>
      </c>
      <c r="AA879" s="117">
        <v>0.34027777777777779</v>
      </c>
      <c r="AB879" s="155">
        <v>82</v>
      </c>
      <c r="AC879" s="155">
        <v>17.5</v>
      </c>
      <c r="AD879" s="96"/>
      <c r="AE879" s="94">
        <f>Table3.110[[#This Row],[Gas 8h, ml]]-Table3.110[[#This Row],[Gas 0h, ml]]</f>
        <v>53</v>
      </c>
      <c r="AF879" s="94">
        <f>Table3.110[[#This Row],[Gas 24h, ml]]-Table3.110[[#This Row],[V8 Push back, ml]]</f>
        <v>41</v>
      </c>
      <c r="AG879" s="94">
        <f>Table3.110[[#This Row],[GP 8h, ml]]-(AVERAGE(AE$862,AE$863,AE$912,AE$913,AE$932,AE$933))*$AG$8</f>
        <v>49.754975227659145</v>
      </c>
      <c r="AH879" s="94">
        <f>Table3.110[[#This Row],[GP 8-24h, ml]]-(AVERAGE(AF$862,AF$863,AF$912,AF$913,AF$932,AF$933))*$AG$8</f>
        <v>36.685592064046816</v>
      </c>
      <c r="AI879" s="94">
        <f>Table3.110[[#This Row],[Net gas 8-24h, ml]]+Table3.110[[#This Row],[Net gas 8h, ml]]</f>
        <v>86.44056729170596</v>
      </c>
      <c r="AJ879" s="94">
        <f>Table3.110[[#This Row],[Net gas 8h, ml]]*Table3.110[[#This Row],[CH4 8h %]]%</f>
        <v>7.1647164327829174</v>
      </c>
      <c r="AK879" s="94">
        <f>Table3.110[[#This Row],[Net gas 8-24h, ml]]*Table3.110[[#This Row],[CH4 24h, %]]%</f>
        <v>6.419978611208192</v>
      </c>
      <c r="AL879" s="94">
        <f>Table3.110[[#This Row],[CH4 8-24h, ml]]+Table3.110[[#This Row],[CH4 8h, ml]]</f>
        <v>13.584695043991109</v>
      </c>
      <c r="AM879" s="94">
        <f>(Table3.110[[#This Row],[Net gas 24h, ml]]/Table3.110[[#This Row],[DM Incubated, mg]])*1000</f>
        <v>190.69112845450078</v>
      </c>
      <c r="AN879" s="94">
        <f>'3.2 Digest'!X879</f>
        <v>71.608298046825695</v>
      </c>
      <c r="AO879" s="94">
        <f>Table3.110[[#This Row],[Digested feed, mg]]/Table3.110[[#This Row],[Net gas 24h, ml]]</f>
        <v>3.7551981902457272</v>
      </c>
      <c r="AP879" s="94">
        <f>Table3.110[[#This Row],[CH4 8h, ml]]/Table3.110[[#This Row],[Net gas 8h, ml]]%</f>
        <v>14.400000000000002</v>
      </c>
      <c r="AQ879" s="94">
        <f>Table3.110[[#This Row],[CH4 24h, ml]]/Table3.110[[#This Row],[Net gas 24h, ml]]%</f>
        <v>15.715647721454243</v>
      </c>
      <c r="AR879" s="94">
        <f>Table3.110[[#This Row],[CH4 24h, ml]]/Table3.110[[#This Row],[DM Incubated, mg]]*1000</f>
        <v>29.968345983975134</v>
      </c>
      <c r="AS879" s="94">
        <f>Table3.110[[#This Row],[CH4 24h, ml]]/Table3.110[[#This Row],[Digested feed, mg]]*1000</f>
        <v>41.850381591779225</v>
      </c>
      <c r="AT879" s="94">
        <f>Table3.110[[#This Row],[CH4 24h, ml]]/'3.2 Digest'!AA879</f>
        <v>0.33162991906540951</v>
      </c>
      <c r="AU879" s="94">
        <f>((Table3.110[[#This Row],[CH4 24h, ml]]/28.9)*16.04)/Table3.110[[#This Row],[DM Incubated, mg]]*1000</f>
        <v>16.632950504600732</v>
      </c>
      <c r="AV879" s="94">
        <f>((Table3.110[[#This Row],[CH4 24h, ml]]/28.9)*16.04)/Table3.110[[#This Row],[Digested feed, mg]]*1000</f>
        <v>23.227685838482305</v>
      </c>
    </row>
    <row r="880" spans="2:48" s="89" customFormat="1" x14ac:dyDescent="0.35">
      <c r="B880" s="90">
        <f t="shared" si="13"/>
        <v>870</v>
      </c>
      <c r="C880" s="140">
        <v>46057</v>
      </c>
      <c r="D880" s="6" t="s">
        <v>16</v>
      </c>
      <c r="E880" s="6" t="s">
        <v>339</v>
      </c>
      <c r="F880" s="6" t="s">
        <v>219</v>
      </c>
      <c r="G880" s="6" t="s">
        <v>253</v>
      </c>
      <c r="H880" s="6" t="s">
        <v>254</v>
      </c>
      <c r="I880" s="6" t="s">
        <v>22</v>
      </c>
      <c r="J880" s="129" t="s">
        <v>23</v>
      </c>
      <c r="K880" s="129" t="s">
        <v>215</v>
      </c>
      <c r="L880" s="6" t="s">
        <v>338</v>
      </c>
      <c r="M880" s="93">
        <v>29</v>
      </c>
      <c r="N880" s="93">
        <v>63</v>
      </c>
      <c r="O880" s="6">
        <v>2</v>
      </c>
      <c r="P880" s="129">
        <v>2</v>
      </c>
      <c r="Q880" s="6">
        <v>181</v>
      </c>
      <c r="R880" s="98">
        <v>0.50039999999999996</v>
      </c>
      <c r="S880" s="94">
        <f>((Table3.110[[#This Row],[Sample weight, g]]*'2.1. DM'!Q207)/100)*1000</f>
        <v>453.39206778644228</v>
      </c>
      <c r="T880" s="94">
        <f>'3.2 Digest'!W880</f>
        <v>272.69206778644229</v>
      </c>
      <c r="U880" s="156">
        <v>0.33958333333333335</v>
      </c>
      <c r="V880" s="154">
        <v>40</v>
      </c>
      <c r="W880" s="153">
        <v>0.66805555555555551</v>
      </c>
      <c r="X880" s="91">
        <v>91.5</v>
      </c>
      <c r="Y880" s="91">
        <v>14.4</v>
      </c>
      <c r="Z880" s="154">
        <v>40</v>
      </c>
      <c r="AA880" s="153">
        <v>0.34027777777777779</v>
      </c>
      <c r="AB880" s="154">
        <v>87</v>
      </c>
      <c r="AC880" s="154">
        <v>17.2</v>
      </c>
      <c r="AD880" s="91"/>
      <c r="AE880" s="94">
        <f>Table3.110[[#This Row],[Gas 8h, ml]]-Table3.110[[#This Row],[Gas 0h, ml]]</f>
        <v>51.5</v>
      </c>
      <c r="AF880" s="94">
        <f>Table3.110[[#This Row],[Gas 24h, ml]]-Table3.110[[#This Row],[V8 Push back, ml]]</f>
        <v>47</v>
      </c>
      <c r="AG880" s="94">
        <f>Table3.110[[#This Row],[GP 8h, ml]]-(AVERAGE(AE$862,AE$863,AE$912,AE$913,AE$932,AE$933))*$AG$8</f>
        <v>48.254975227659145</v>
      </c>
      <c r="AH880" s="94">
        <f>Table3.110[[#This Row],[GP 8-24h, ml]]-(AVERAGE(AF$862,AF$863,AF$912,AF$913,AF$932,AF$933))*$AG$8</f>
        <v>42.685592064046816</v>
      </c>
      <c r="AI880" s="94">
        <f>Table3.110[[#This Row],[Net gas 8-24h, ml]]+Table3.110[[#This Row],[Net gas 8h, ml]]</f>
        <v>90.94056729170596</v>
      </c>
      <c r="AJ880" s="94">
        <f>Table3.110[[#This Row],[Net gas 8h, ml]]*Table3.110[[#This Row],[CH4 8h %]]%</f>
        <v>6.9487164327829181</v>
      </c>
      <c r="AK880" s="94">
        <f>Table3.110[[#This Row],[Net gas 8-24h, ml]]*Table3.110[[#This Row],[CH4 24h, %]]%</f>
        <v>7.341921835016052</v>
      </c>
      <c r="AL880" s="94">
        <f>Table3.110[[#This Row],[CH4 8-24h, ml]]+Table3.110[[#This Row],[CH4 8h, ml]]</f>
        <v>14.29063826779897</v>
      </c>
      <c r="AM880" s="94">
        <f>(Table3.110[[#This Row],[Net gas 24h, ml]]/Table3.110[[#This Row],[DM Incubated, mg]])*1000</f>
        <v>200.57820538347173</v>
      </c>
      <c r="AN880" s="94">
        <f>'3.2 Digest'!X880</f>
        <v>60.14486956460965</v>
      </c>
      <c r="AO880" s="94">
        <f>Table3.110[[#This Row],[Digested feed, mg]]/Table3.110[[#This Row],[Net gas 24h, ml]]</f>
        <v>2.9985745185835517</v>
      </c>
      <c r="AP880" s="94">
        <f>Table3.110[[#This Row],[CH4 8h, ml]]/Table3.110[[#This Row],[Net gas 8h, ml]]%</f>
        <v>14.400000000000002</v>
      </c>
      <c r="AQ880" s="94">
        <f>Table3.110[[#This Row],[CH4 24h, ml]]/Table3.110[[#This Row],[Net gas 24h, ml]]%</f>
        <v>15.7142611855054</v>
      </c>
      <c r="AR880" s="94">
        <f>Table3.110[[#This Row],[CH4 24h, ml]]/Table3.110[[#This Row],[DM Incubated, mg]]*1000</f>
        <v>31.519383075158203</v>
      </c>
      <c r="AS880" s="94">
        <f>Table3.110[[#This Row],[CH4 24h, ml]]/Table3.110[[#This Row],[Digested feed, mg]]*1000</f>
        <v>52.405771769608741</v>
      </c>
      <c r="AT880" s="94">
        <f>Table3.110[[#This Row],[CH4 24h, ml]]/'3.2 Digest'!AA880</f>
        <v>0.83440122310283893</v>
      </c>
      <c r="AU880" s="94">
        <f>((Table3.110[[#This Row],[CH4 24h, ml]]/28.9)*16.04)/Table3.110[[#This Row],[DM Incubated, mg]]*1000</f>
        <v>17.493802924759084</v>
      </c>
      <c r="AV880" s="94">
        <f>((Table3.110[[#This Row],[CH4 24h, ml]]/28.9)*16.04)/Table3.110[[#This Row],[Digested feed, mg]]*1000</f>
        <v>29.086110006384917</v>
      </c>
    </row>
    <row r="881" spans="2:48" s="89" customFormat="1" x14ac:dyDescent="0.35">
      <c r="B881" s="90">
        <f t="shared" si="13"/>
        <v>871</v>
      </c>
      <c r="C881" s="140">
        <v>46057</v>
      </c>
      <c r="D881" s="6" t="s">
        <v>16</v>
      </c>
      <c r="E881" s="6" t="s">
        <v>339</v>
      </c>
      <c r="F881" s="6" t="s">
        <v>219</v>
      </c>
      <c r="G881" s="6" t="s">
        <v>253</v>
      </c>
      <c r="H881" s="6" t="s">
        <v>254</v>
      </c>
      <c r="I881" s="6" t="s">
        <v>22</v>
      </c>
      <c r="J881" s="129" t="s">
        <v>23</v>
      </c>
      <c r="K881" s="129" t="s">
        <v>215</v>
      </c>
      <c r="L881" s="6" t="s">
        <v>338</v>
      </c>
      <c r="M881" s="93">
        <v>29</v>
      </c>
      <c r="N881" s="93">
        <v>63</v>
      </c>
      <c r="O881" s="6">
        <v>2</v>
      </c>
      <c r="P881" s="6">
        <v>3</v>
      </c>
      <c r="Q881" s="6">
        <v>182</v>
      </c>
      <c r="R881" s="98">
        <v>0.50039999999999996</v>
      </c>
      <c r="S881" s="94">
        <f>((Table3.110[[#This Row],[Sample weight, g]]*'2.1. DM'!Q207)/100)*1000</f>
        <v>453.39206778644228</v>
      </c>
      <c r="T881" s="94">
        <f>'3.2 Digest'!W881</f>
        <v>184.89206778644223</v>
      </c>
      <c r="U881" s="117">
        <v>0.33958333333333335</v>
      </c>
      <c r="V881" s="155">
        <v>40.5</v>
      </c>
      <c r="W881" s="117">
        <v>0.66874999999999996</v>
      </c>
      <c r="X881" s="96">
        <v>93.5</v>
      </c>
      <c r="Y881" s="96">
        <v>14.5</v>
      </c>
      <c r="Z881" s="155">
        <v>40.5</v>
      </c>
      <c r="AA881" s="117">
        <v>0.34097222222222223</v>
      </c>
      <c r="AB881" s="155">
        <v>88</v>
      </c>
      <c r="AC881" s="155">
        <v>17.3</v>
      </c>
      <c r="AD881" s="96"/>
      <c r="AE881" s="94">
        <f>Table3.110[[#This Row],[Gas 8h, ml]]-Table3.110[[#This Row],[Gas 0h, ml]]</f>
        <v>53</v>
      </c>
      <c r="AF881" s="94">
        <f>Table3.110[[#This Row],[Gas 24h, ml]]-Table3.110[[#This Row],[V8 Push back, ml]]</f>
        <v>47.5</v>
      </c>
      <c r="AG881" s="94">
        <f>Table3.110[[#This Row],[GP 8h, ml]]-(AVERAGE(AE$862,AE$863,AE$912,AE$913,AE$932,AE$933))*$AG$8</f>
        <v>49.754975227659145</v>
      </c>
      <c r="AH881" s="94">
        <f>Table3.110[[#This Row],[GP 8-24h, ml]]-(AVERAGE(AF$862,AF$863,AF$912,AF$913,AF$932,AF$933))*$AG$8</f>
        <v>43.185592064046816</v>
      </c>
      <c r="AI881" s="94">
        <f>Table3.110[[#This Row],[Net gas 8-24h, ml]]+Table3.110[[#This Row],[Net gas 8h, ml]]</f>
        <v>92.94056729170596</v>
      </c>
      <c r="AJ881" s="94">
        <f>Table3.110[[#This Row],[Net gas 8h, ml]]*Table3.110[[#This Row],[CH4 8h %]]%</f>
        <v>7.2144714080105752</v>
      </c>
      <c r="AK881" s="94">
        <f>Table3.110[[#This Row],[Net gas 8-24h, ml]]*Table3.110[[#This Row],[CH4 24h, %]]%</f>
        <v>7.4711074270801001</v>
      </c>
      <c r="AL881" s="94">
        <f>Table3.110[[#This Row],[CH4 8-24h, ml]]+Table3.110[[#This Row],[CH4 8h, ml]]</f>
        <v>14.685578835090675</v>
      </c>
      <c r="AM881" s="94">
        <f>(Table3.110[[#This Row],[Net gas 24h, ml]]/Table3.110[[#This Row],[DM Incubated, mg]])*1000</f>
        <v>204.9893985694585</v>
      </c>
      <c r="AN881" s="94">
        <f>'3.2 Digest'!X881</f>
        <v>40.779731478127772</v>
      </c>
      <c r="AO881" s="94">
        <f>Table3.110[[#This Row],[Digested feed, mg]]/Table3.110[[#This Row],[Net gas 24h, ml]]</f>
        <v>1.9893580723058706</v>
      </c>
      <c r="AP881" s="94">
        <f>Table3.110[[#This Row],[CH4 8h, ml]]/Table3.110[[#This Row],[Net gas 8h, ml]]%</f>
        <v>14.499999999999998</v>
      </c>
      <c r="AQ881" s="94">
        <f>Table3.110[[#This Row],[CH4 24h, ml]]/Table3.110[[#This Row],[Net gas 24h, ml]]%</f>
        <v>15.801042820190771</v>
      </c>
      <c r="AR881" s="94">
        <f>Table3.110[[#This Row],[CH4 24h, ml]]/Table3.110[[#This Row],[DM Incubated, mg]]*1000</f>
        <v>32.390462644811663</v>
      </c>
      <c r="AS881" s="94">
        <f>Table3.110[[#This Row],[CH4 24h, ml]]/Table3.110[[#This Row],[Digested feed, mg]]*1000</f>
        <v>79.427846802238747</v>
      </c>
      <c r="AT881" s="94">
        <f>Table3.110[[#This Row],[CH4 24h, ml]]/'3.2 Digest'!AA881</f>
        <v>-0.63463262145349841</v>
      </c>
      <c r="AU881" s="94">
        <f>((Table3.110[[#This Row],[CH4 24h, ml]]/28.9)*16.04)/Table3.110[[#This Row],[DM Incubated, mg]]*1000</f>
        <v>17.977267156497543</v>
      </c>
      <c r="AV881" s="94">
        <f>((Table3.110[[#This Row],[CH4 24h, ml]]/28.9)*16.04)/Table3.110[[#This Row],[Digested feed, mg]]*1000</f>
        <v>44.083829159443226</v>
      </c>
    </row>
    <row r="882" spans="2:48" s="89" customFormat="1" x14ac:dyDescent="0.35">
      <c r="B882" s="90">
        <f t="shared" si="13"/>
        <v>872</v>
      </c>
      <c r="C882" s="140">
        <v>46057</v>
      </c>
      <c r="D882" s="6" t="s">
        <v>16</v>
      </c>
      <c r="E882" s="6" t="s">
        <v>341</v>
      </c>
      <c r="F882" s="6" t="s">
        <v>333</v>
      </c>
      <c r="G882" s="6" t="s">
        <v>334</v>
      </c>
      <c r="H882" s="6" t="s">
        <v>335</v>
      </c>
      <c r="I882" s="6" t="s">
        <v>22</v>
      </c>
      <c r="J882" s="129" t="s">
        <v>23</v>
      </c>
      <c r="K882" s="129" t="s">
        <v>303</v>
      </c>
      <c r="L882" s="6" t="s">
        <v>340</v>
      </c>
      <c r="M882" s="93">
        <v>29</v>
      </c>
      <c r="N882" s="93">
        <v>63</v>
      </c>
      <c r="O882" s="6">
        <v>2</v>
      </c>
      <c r="P882" s="129">
        <v>1</v>
      </c>
      <c r="Q882" s="6">
        <v>183</v>
      </c>
      <c r="R882" s="98">
        <v>0.50019999999999998</v>
      </c>
      <c r="S882" s="94">
        <f>((Table3.110[[#This Row],[Sample weight, g]]*'2.1. DM'!Q209)/100)*1000</f>
        <v>462.58062181681515</v>
      </c>
      <c r="T882" s="94">
        <f>'3.2 Digest'!W882</f>
        <v>261.48062181681507</v>
      </c>
      <c r="U882" s="153">
        <v>0.33958333333333335</v>
      </c>
      <c r="V882" s="154">
        <v>40.5</v>
      </c>
      <c r="W882" s="153">
        <v>0.66874999999999996</v>
      </c>
      <c r="X882" s="91">
        <v>93.5</v>
      </c>
      <c r="Y882" s="91">
        <v>14.5</v>
      </c>
      <c r="Z882" s="154">
        <v>40</v>
      </c>
      <c r="AA882" s="153">
        <v>0.34097222222222223</v>
      </c>
      <c r="AB882" s="154">
        <v>89</v>
      </c>
      <c r="AC882" s="154">
        <v>16.8</v>
      </c>
      <c r="AD882" s="91"/>
      <c r="AE882" s="94">
        <f>Table3.110[[#This Row],[Gas 8h, ml]]-Table3.110[[#This Row],[Gas 0h, ml]]</f>
        <v>53</v>
      </c>
      <c r="AF882" s="94">
        <f>Table3.110[[#This Row],[Gas 24h, ml]]-Table3.110[[#This Row],[V8 Push back, ml]]</f>
        <v>49</v>
      </c>
      <c r="AG882" s="94">
        <f>Table3.110[[#This Row],[GP 8h, ml]]-(AVERAGE(AE$862,AE$863,AE$912,AE$913,AE$932,AE$933))*$AG$8</f>
        <v>49.754975227659145</v>
      </c>
      <c r="AH882" s="94">
        <f>Table3.110[[#This Row],[GP 8-24h, ml]]-(AVERAGE(AF$862,AF$863,AF$912,AF$913,AF$932,AF$933))*$AG$8</f>
        <v>44.685592064046816</v>
      </c>
      <c r="AI882" s="94">
        <f>Table3.110[[#This Row],[Net gas 8-24h, ml]]+Table3.110[[#This Row],[Net gas 8h, ml]]</f>
        <v>94.44056729170596</v>
      </c>
      <c r="AJ882" s="94">
        <f>Table3.110[[#This Row],[Net gas 8h, ml]]*Table3.110[[#This Row],[CH4 8h %]]%</f>
        <v>7.2144714080105752</v>
      </c>
      <c r="AK882" s="94">
        <f>Table3.110[[#This Row],[Net gas 8-24h, ml]]*Table3.110[[#This Row],[CH4 24h, %]]%</f>
        <v>7.5071794667598652</v>
      </c>
      <c r="AL882" s="94">
        <f>Table3.110[[#This Row],[CH4 8-24h, ml]]+Table3.110[[#This Row],[CH4 8h, ml]]</f>
        <v>14.72165087477044</v>
      </c>
      <c r="AM882" s="94">
        <f>(Table3.110[[#This Row],[Net gas 24h, ml]]/Table3.110[[#This Row],[DM Incubated, mg]])*1000</f>
        <v>204.16023248182029</v>
      </c>
      <c r="AN882" s="94">
        <f>'3.2 Digest'!X882</f>
        <v>56.526497108727355</v>
      </c>
      <c r="AO882" s="94">
        <f>Table3.110[[#This Row],[Digested feed, mg]]/Table3.110[[#This Row],[Net gas 24h, ml]]</f>
        <v>2.7687320112040354</v>
      </c>
      <c r="AP882" s="94">
        <f>Table3.110[[#This Row],[CH4 8h, ml]]/Table3.110[[#This Row],[Net gas 8h, ml]]%</f>
        <v>14.499999999999998</v>
      </c>
      <c r="AQ882" s="94">
        <f>Table3.110[[#This Row],[CH4 24h, ml]]/Table3.110[[#This Row],[Net gas 24h, ml]]%</f>
        <v>15.588270270866255</v>
      </c>
      <c r="AR882" s="94">
        <f>Table3.110[[#This Row],[CH4 24h, ml]]/Table3.110[[#This Row],[DM Incubated, mg]]*1000</f>
        <v>31.825048824895013</v>
      </c>
      <c r="AS882" s="94">
        <f>Table3.110[[#This Row],[CH4 24h, ml]]/Table3.110[[#This Row],[Digested feed, mg]]*1000</f>
        <v>56.301116206936186</v>
      </c>
      <c r="AT882" s="94">
        <f>Table3.110[[#This Row],[CH4 24h, ml]]/'3.2 Digest'!AA882</f>
        <v>3.2942245888912405</v>
      </c>
      <c r="AU882" s="94">
        <f>((Table3.110[[#This Row],[CH4 24h, ml]]/28.9)*16.04)/Table3.110[[#This Row],[DM Incubated, mg]]*1000</f>
        <v>17.663452704197788</v>
      </c>
      <c r="AV882" s="94">
        <f>((Table3.110[[#This Row],[CH4 24h, ml]]/28.9)*16.04)/Table3.110[[#This Row],[Digested feed, mg]]*1000</f>
        <v>31.24809356260403</v>
      </c>
    </row>
    <row r="883" spans="2:48" s="89" customFormat="1" x14ac:dyDescent="0.35">
      <c r="B883" s="90">
        <f t="shared" si="13"/>
        <v>873</v>
      </c>
      <c r="C883" s="140">
        <v>46057</v>
      </c>
      <c r="D883" s="6" t="s">
        <v>16</v>
      </c>
      <c r="E883" s="6" t="s">
        <v>341</v>
      </c>
      <c r="F883" s="6" t="s">
        <v>333</v>
      </c>
      <c r="G883" s="6" t="s">
        <v>334</v>
      </c>
      <c r="H883" s="6" t="s">
        <v>335</v>
      </c>
      <c r="I883" s="6" t="s">
        <v>22</v>
      </c>
      <c r="J883" s="129" t="s">
        <v>23</v>
      </c>
      <c r="K883" s="129" t="s">
        <v>303</v>
      </c>
      <c r="L883" s="6" t="s">
        <v>340</v>
      </c>
      <c r="M883" s="93">
        <v>29</v>
      </c>
      <c r="N883" s="93">
        <v>63</v>
      </c>
      <c r="O883" s="6">
        <v>2</v>
      </c>
      <c r="P883" s="129">
        <v>2</v>
      </c>
      <c r="Q883" s="6">
        <v>184</v>
      </c>
      <c r="R883" s="98">
        <v>0.5</v>
      </c>
      <c r="S883" s="94">
        <f>((Table3.110[[#This Row],[Sample weight, g]]*'2.1. DM'!Q209)/100)*1000</f>
        <v>462.39566355139465</v>
      </c>
      <c r="T883" s="94">
        <f>'3.2 Digest'!W883</f>
        <v>251.09566355139461</v>
      </c>
      <c r="U883" s="117">
        <v>0.33958333333333335</v>
      </c>
      <c r="V883" s="155">
        <v>41</v>
      </c>
      <c r="W883" s="117">
        <v>0.6694444444444444</v>
      </c>
      <c r="X883" s="96">
        <v>95.5</v>
      </c>
      <c r="Y883" s="96">
        <v>14.6</v>
      </c>
      <c r="Z883" s="155">
        <v>40.5</v>
      </c>
      <c r="AA883" s="117">
        <v>0.34166666666666667</v>
      </c>
      <c r="AB883" s="155">
        <v>89</v>
      </c>
      <c r="AC883" s="155">
        <v>16.8</v>
      </c>
      <c r="AD883" s="96"/>
      <c r="AE883" s="94">
        <f>Table3.110[[#This Row],[Gas 8h, ml]]-Table3.110[[#This Row],[Gas 0h, ml]]</f>
        <v>54.5</v>
      </c>
      <c r="AF883" s="94">
        <f>Table3.110[[#This Row],[Gas 24h, ml]]-Table3.110[[#This Row],[V8 Push back, ml]]</f>
        <v>48.5</v>
      </c>
      <c r="AG883" s="94">
        <f>Table3.110[[#This Row],[GP 8h, ml]]-(AVERAGE(AE$862,AE$863,AE$912,AE$913,AE$932,AE$933))*$AG$8</f>
        <v>51.254975227659145</v>
      </c>
      <c r="AH883" s="94">
        <f>Table3.110[[#This Row],[GP 8-24h, ml]]-(AVERAGE(AF$862,AF$863,AF$912,AF$913,AF$932,AF$933))*$AG$8</f>
        <v>44.185592064046816</v>
      </c>
      <c r="AI883" s="94">
        <f>Table3.110[[#This Row],[Net gas 8-24h, ml]]+Table3.110[[#This Row],[Net gas 8h, ml]]</f>
        <v>95.44056729170596</v>
      </c>
      <c r="AJ883" s="94">
        <f>Table3.110[[#This Row],[Net gas 8h, ml]]*Table3.110[[#This Row],[CH4 8h %]]%</f>
        <v>7.4832263832382351</v>
      </c>
      <c r="AK883" s="94">
        <f>Table3.110[[#This Row],[Net gas 8-24h, ml]]*Table3.110[[#This Row],[CH4 24h, %]]%</f>
        <v>7.4231794667598656</v>
      </c>
      <c r="AL883" s="94">
        <f>Table3.110[[#This Row],[CH4 8-24h, ml]]+Table3.110[[#This Row],[CH4 8h, ml]]</f>
        <v>14.906405849998102</v>
      </c>
      <c r="AM883" s="94">
        <f>(Table3.110[[#This Row],[Net gas 24h, ml]]/Table3.110[[#This Row],[DM Incubated, mg]])*1000</f>
        <v>206.40454661421771</v>
      </c>
      <c r="AN883" s="94">
        <f>'3.2 Digest'!X883</f>
        <v>54.303204667378047</v>
      </c>
      <c r="AO883" s="94">
        <f>Table3.110[[#This Row],[Digested feed, mg]]/Table3.110[[#This Row],[Net gas 24h, ml]]</f>
        <v>2.6309112642210319</v>
      </c>
      <c r="AP883" s="94">
        <f>Table3.110[[#This Row],[CH4 8h, ml]]/Table3.110[[#This Row],[Net gas 8h, ml]]%</f>
        <v>14.599999999999998</v>
      </c>
      <c r="AQ883" s="94">
        <f>Table3.110[[#This Row],[CH4 24h, ml]]/Table3.110[[#This Row],[Net gas 24h, ml]]%</f>
        <v>15.618521843481863</v>
      </c>
      <c r="AR883" s="94">
        <f>Table3.110[[#This Row],[CH4 24h, ml]]/Table3.110[[#This Row],[DM Incubated, mg]]*1000</f>
        <v>32.237339198881294</v>
      </c>
      <c r="AS883" s="94">
        <f>Table3.110[[#This Row],[CH4 24h, ml]]/Table3.110[[#This Row],[Digested feed, mg]]*1000</f>
        <v>59.365445181999483</v>
      </c>
      <c r="AT883" s="94">
        <f>Table3.110[[#This Row],[CH4 24h, ml]]/'3.2 Digest'!AA883</f>
        <v>-35.776126499200011</v>
      </c>
      <c r="AU883" s="94">
        <f>((Table3.110[[#This Row],[CH4 24h, ml]]/28.9)*16.04)/Table3.110[[#This Row],[DM Incubated, mg]]*1000</f>
        <v>17.892280994811625</v>
      </c>
      <c r="AV883" s="94">
        <f>((Table3.110[[#This Row],[CH4 24h, ml]]/28.9)*16.04)/Table3.110[[#This Row],[Digested feed, mg]]*1000</f>
        <v>32.948849159836392</v>
      </c>
    </row>
    <row r="884" spans="2:48" s="89" customFormat="1" x14ac:dyDescent="0.35">
      <c r="B884" s="90">
        <f t="shared" si="13"/>
        <v>874</v>
      </c>
      <c r="C884" s="140">
        <v>46057</v>
      </c>
      <c r="D884" s="6" t="s">
        <v>16</v>
      </c>
      <c r="E884" s="6" t="s">
        <v>341</v>
      </c>
      <c r="F884" s="6" t="s">
        <v>333</v>
      </c>
      <c r="G884" s="6" t="s">
        <v>334</v>
      </c>
      <c r="H884" s="6" t="s">
        <v>335</v>
      </c>
      <c r="I884" s="6" t="s">
        <v>22</v>
      </c>
      <c r="J884" s="129" t="s">
        <v>23</v>
      </c>
      <c r="K884" s="129" t="s">
        <v>303</v>
      </c>
      <c r="L884" s="6" t="s">
        <v>340</v>
      </c>
      <c r="M884" s="93">
        <v>29</v>
      </c>
      <c r="N884" s="93">
        <v>63</v>
      </c>
      <c r="O884" s="6">
        <v>2</v>
      </c>
      <c r="P884" s="129">
        <v>3</v>
      </c>
      <c r="Q884" s="6">
        <v>185</v>
      </c>
      <c r="R884" s="98">
        <v>0.50009999999999999</v>
      </c>
      <c r="S884" s="94">
        <f>((Table3.110[[#This Row],[Sample weight, g]]*'2.1. DM'!Q209)/100)*1000</f>
        <v>462.48814268410496</v>
      </c>
      <c r="T884" s="94">
        <f>'3.2 Digest'!W884</f>
        <v>276.78814268410497</v>
      </c>
      <c r="U884" s="153">
        <v>0.33958333333333335</v>
      </c>
      <c r="V884" s="154">
        <v>41</v>
      </c>
      <c r="W884" s="153">
        <v>0.6694444444444444</v>
      </c>
      <c r="X884" s="91">
        <v>94</v>
      </c>
      <c r="Y884" s="91">
        <v>14.4</v>
      </c>
      <c r="Z884" s="154">
        <v>40.5</v>
      </c>
      <c r="AA884" s="153">
        <v>0.34166666666666667</v>
      </c>
      <c r="AB884" s="154">
        <v>90.5</v>
      </c>
      <c r="AC884" s="154">
        <v>16.899999999999999</v>
      </c>
      <c r="AD884" s="91"/>
      <c r="AE884" s="94">
        <f>Table3.110[[#This Row],[Gas 8h, ml]]-Table3.110[[#This Row],[Gas 0h, ml]]</f>
        <v>53</v>
      </c>
      <c r="AF884" s="94">
        <f>Table3.110[[#This Row],[Gas 24h, ml]]-Table3.110[[#This Row],[V8 Push back, ml]]</f>
        <v>50</v>
      </c>
      <c r="AG884" s="94">
        <f>Table3.110[[#This Row],[GP 8h, ml]]-(AVERAGE(AE$862,AE$863,AE$912,AE$913,AE$932,AE$933))*$AG$8</f>
        <v>49.754975227659145</v>
      </c>
      <c r="AH884" s="94">
        <f>Table3.110[[#This Row],[GP 8-24h, ml]]-(AVERAGE(AF$862,AF$863,AF$912,AF$913,AF$932,AF$933))*$AG$8</f>
        <v>45.685592064046816</v>
      </c>
      <c r="AI884" s="94">
        <f>Table3.110[[#This Row],[Net gas 8-24h, ml]]+Table3.110[[#This Row],[Net gas 8h, ml]]</f>
        <v>95.44056729170596</v>
      </c>
      <c r="AJ884" s="94">
        <f>Table3.110[[#This Row],[Net gas 8h, ml]]*Table3.110[[#This Row],[CH4 8h %]]%</f>
        <v>7.1647164327829174</v>
      </c>
      <c r="AK884" s="94">
        <f>Table3.110[[#This Row],[Net gas 8-24h, ml]]*Table3.110[[#This Row],[CH4 24h, %]]%</f>
        <v>7.7208650588239109</v>
      </c>
      <c r="AL884" s="94">
        <f>Table3.110[[#This Row],[CH4 8-24h, ml]]+Table3.110[[#This Row],[CH4 8h, ml]]</f>
        <v>14.885581491606828</v>
      </c>
      <c r="AM884" s="94">
        <f>(Table3.110[[#This Row],[Net gas 24h, ml]]/Table3.110[[#This Row],[DM Incubated, mg]])*1000</f>
        <v>206.36327395942581</v>
      </c>
      <c r="AN884" s="94">
        <f>'3.2 Digest'!X884</f>
        <v>59.84761924440528</v>
      </c>
      <c r="AO884" s="94">
        <f>Table3.110[[#This Row],[Digested feed, mg]]/Table3.110[[#This Row],[Net gas 24h, ml]]</f>
        <v>2.9001099903160217</v>
      </c>
      <c r="AP884" s="94">
        <f>Table3.110[[#This Row],[CH4 8h, ml]]/Table3.110[[#This Row],[Net gas 8h, ml]]%</f>
        <v>14.400000000000002</v>
      </c>
      <c r="AQ884" s="94">
        <f>Table3.110[[#This Row],[CH4 24h, ml]]/Table3.110[[#This Row],[Net gas 24h, ml]]%</f>
        <v>15.596702653820484</v>
      </c>
      <c r="AR884" s="94">
        <f>Table3.110[[#This Row],[CH4 24h, ml]]/Table3.110[[#This Row],[DM Incubated, mg]]*1000</f>
        <v>32.185866226140597</v>
      </c>
      <c r="AS884" s="94">
        <f>Table3.110[[#This Row],[CH4 24h, ml]]/Table3.110[[#This Row],[Digested feed, mg]]*1000</f>
        <v>53.779693549212354</v>
      </c>
      <c r="AT884" s="94">
        <f>Table3.110[[#This Row],[CH4 24h, ml]]/'3.2 Digest'!AA884</f>
        <v>1.2650337214225829</v>
      </c>
      <c r="AU884" s="94">
        <f>((Table3.110[[#This Row],[CH4 24h, ml]]/28.9)*16.04)/Table3.110[[#This Row],[DM Incubated, mg]]*1000</f>
        <v>17.863712604404679</v>
      </c>
      <c r="AV884" s="94">
        <f>((Table3.110[[#This Row],[CH4 24h, ml]]/28.9)*16.04)/Table3.110[[#This Row],[Digested feed, mg]]*1000</f>
        <v>29.848660364337931</v>
      </c>
    </row>
    <row r="885" spans="2:48" s="89" customFormat="1" x14ac:dyDescent="0.35">
      <c r="B885" s="90">
        <f t="shared" si="13"/>
        <v>875</v>
      </c>
      <c r="C885" s="140">
        <v>46057</v>
      </c>
      <c r="D885" s="6" t="s">
        <v>16</v>
      </c>
      <c r="E885" s="6" t="s">
        <v>343</v>
      </c>
      <c r="F885" s="6" t="s">
        <v>212</v>
      </c>
      <c r="G885" s="6" t="s">
        <v>301</v>
      </c>
      <c r="H885" s="6" t="s">
        <v>302</v>
      </c>
      <c r="I885" s="6" t="s">
        <v>22</v>
      </c>
      <c r="J885" s="129" t="s">
        <v>23</v>
      </c>
      <c r="K885" s="129" t="s">
        <v>303</v>
      </c>
      <c r="L885" s="6" t="s">
        <v>342</v>
      </c>
      <c r="M885" s="93">
        <v>29</v>
      </c>
      <c r="N885" s="93">
        <v>63</v>
      </c>
      <c r="O885" s="6">
        <v>2</v>
      </c>
      <c r="P885" s="129">
        <v>1</v>
      </c>
      <c r="Q885" s="6">
        <v>186</v>
      </c>
      <c r="R885" s="98">
        <v>0.50019999999999998</v>
      </c>
      <c r="S885" s="94">
        <f>((Table3.110[[#This Row],[Sample weight, g]]*'2.1. DM'!Q211)/100)*1000</f>
        <v>463.01384074185205</v>
      </c>
      <c r="T885" s="94">
        <f>'3.2 Digest'!W885</f>
        <v>184.91384074185203</v>
      </c>
      <c r="U885" s="117">
        <v>0.34027777777777779</v>
      </c>
      <c r="V885" s="155">
        <v>41</v>
      </c>
      <c r="W885" s="117">
        <v>0.67013888888888884</v>
      </c>
      <c r="X885" s="96">
        <v>90</v>
      </c>
      <c r="Y885" s="96">
        <v>14.6</v>
      </c>
      <c r="Z885" s="155">
        <v>40.5</v>
      </c>
      <c r="AA885" s="117">
        <v>0.34236111111111112</v>
      </c>
      <c r="AB885" s="155">
        <v>83</v>
      </c>
      <c r="AC885" s="155">
        <v>17.7</v>
      </c>
      <c r="AD885" s="96"/>
      <c r="AE885" s="94">
        <f>Table3.110[[#This Row],[Gas 8h, ml]]-Table3.110[[#This Row],[Gas 0h, ml]]</f>
        <v>49</v>
      </c>
      <c r="AF885" s="94">
        <f>Table3.110[[#This Row],[Gas 24h, ml]]-Table3.110[[#This Row],[V8 Push back, ml]]</f>
        <v>42.5</v>
      </c>
      <c r="AG885" s="94">
        <f>Table3.110[[#This Row],[GP 8h, ml]]-(AVERAGE(AE$862,AE$863,AE$912,AE$913,AE$932,AE$933))*$AG$8</f>
        <v>45.754975227659145</v>
      </c>
      <c r="AH885" s="94">
        <f>Table3.110[[#This Row],[GP 8-24h, ml]]-(AVERAGE(AF$862,AF$863,AF$912,AF$913,AF$932,AF$933))*$AG$8</f>
        <v>38.185592064046816</v>
      </c>
      <c r="AI885" s="94">
        <f>Table3.110[[#This Row],[Net gas 8-24h, ml]]+Table3.110[[#This Row],[Net gas 8h, ml]]</f>
        <v>83.94056729170596</v>
      </c>
      <c r="AJ885" s="94">
        <f>Table3.110[[#This Row],[Net gas 8h, ml]]*Table3.110[[#This Row],[CH4 8h %]]%</f>
        <v>6.6802263832382351</v>
      </c>
      <c r="AK885" s="94">
        <f>Table3.110[[#This Row],[Net gas 8-24h, ml]]*Table3.110[[#This Row],[CH4 24h, %]]%</f>
        <v>6.7588497953362863</v>
      </c>
      <c r="AL885" s="94">
        <f>Table3.110[[#This Row],[CH4 8-24h, ml]]+Table3.110[[#This Row],[CH4 8h, ml]]</f>
        <v>13.439076178574521</v>
      </c>
      <c r="AM885" s="94">
        <f>(Table3.110[[#This Row],[Net gas 24h, ml]]/Table3.110[[#This Row],[DM Incubated, mg]])*1000</f>
        <v>181.2917021167539</v>
      </c>
      <c r="AN885" s="94">
        <f>'3.2 Digest'!X885</f>
        <v>39.937000683517056</v>
      </c>
      <c r="AO885" s="94">
        <f>Table3.110[[#This Row],[Digested feed, mg]]/Table3.110[[#This Row],[Net gas 24h, ml]]</f>
        <v>2.2029138795220304</v>
      </c>
      <c r="AP885" s="94">
        <f>Table3.110[[#This Row],[CH4 8h, ml]]/Table3.110[[#This Row],[Net gas 8h, ml]]%</f>
        <v>14.6</v>
      </c>
      <c r="AQ885" s="94">
        <f>Table3.110[[#This Row],[CH4 24h, ml]]/Table3.110[[#This Row],[Net gas 24h, ml]]%</f>
        <v>16.010227965069298</v>
      </c>
      <c r="AR885" s="94">
        <f>Table3.110[[#This Row],[CH4 24h, ml]]/Table3.110[[#This Row],[DM Incubated, mg]]*1000</f>
        <v>29.025214790646661</v>
      </c>
      <c r="AS885" s="94">
        <f>Table3.110[[#This Row],[CH4 24h, ml]]/Table3.110[[#This Row],[Digested feed, mg]]*1000</f>
        <v>72.677502801621387</v>
      </c>
      <c r="AT885" s="94">
        <f>Table3.110[[#This Row],[CH4 24h, ml]]/'3.2 Digest'!AA885</f>
        <v>-27.392564904248928</v>
      </c>
      <c r="AU885" s="94">
        <f>((Table3.110[[#This Row],[CH4 24h, ml]]/28.9)*16.04)/Table3.110[[#This Row],[DM Incubated, mg]]*1000</f>
        <v>16.109496375154755</v>
      </c>
      <c r="AV885" s="94">
        <f>((Table3.110[[#This Row],[CH4 24h, ml]]/28.9)*16.04)/Table3.110[[#This Row],[Digested feed, mg]]*1000</f>
        <v>40.337271451142108</v>
      </c>
    </row>
    <row r="886" spans="2:48" s="89" customFormat="1" x14ac:dyDescent="0.35">
      <c r="B886" s="90">
        <f t="shared" si="13"/>
        <v>876</v>
      </c>
      <c r="C886" s="140">
        <v>46057</v>
      </c>
      <c r="D886" s="6" t="s">
        <v>16</v>
      </c>
      <c r="E886" s="6" t="s">
        <v>343</v>
      </c>
      <c r="F886" s="6" t="s">
        <v>212</v>
      </c>
      <c r="G886" s="6" t="s">
        <v>301</v>
      </c>
      <c r="H886" s="6" t="s">
        <v>302</v>
      </c>
      <c r="I886" s="6" t="s">
        <v>22</v>
      </c>
      <c r="J886" s="129" t="s">
        <v>23</v>
      </c>
      <c r="K886" s="129" t="s">
        <v>303</v>
      </c>
      <c r="L886" s="6" t="s">
        <v>342</v>
      </c>
      <c r="M886" s="93">
        <v>29</v>
      </c>
      <c r="N886" s="93">
        <v>63</v>
      </c>
      <c r="O886" s="6">
        <v>2</v>
      </c>
      <c r="P886" s="6">
        <v>2</v>
      </c>
      <c r="Q886" s="6">
        <v>187</v>
      </c>
      <c r="R886" s="98">
        <v>0.50029999999999997</v>
      </c>
      <c r="S886" s="94">
        <f>((Table3.110[[#This Row],[Sample weight, g]]*'2.1. DM'!Q211)/100)*1000</f>
        <v>463.10640648370361</v>
      </c>
      <c r="T886" s="94">
        <f>'3.2 Digest'!W886</f>
        <v>204.50640648370364</v>
      </c>
      <c r="U886" s="153">
        <v>0.34027777777777779</v>
      </c>
      <c r="V886" s="154">
        <v>40.5</v>
      </c>
      <c r="W886" s="153">
        <v>0.67013888888888884</v>
      </c>
      <c r="X886" s="91">
        <v>88</v>
      </c>
      <c r="Y886" s="91">
        <v>14.8</v>
      </c>
      <c r="Z886" s="154">
        <v>40</v>
      </c>
      <c r="AA886" s="153">
        <v>0.34305555555555556</v>
      </c>
      <c r="AB886" s="154">
        <v>83</v>
      </c>
      <c r="AC886" s="154">
        <v>17.8</v>
      </c>
      <c r="AD886" s="91"/>
      <c r="AE886" s="94">
        <f>Table3.110[[#This Row],[Gas 8h, ml]]-Table3.110[[#This Row],[Gas 0h, ml]]</f>
        <v>47.5</v>
      </c>
      <c r="AF886" s="94">
        <f>Table3.110[[#This Row],[Gas 24h, ml]]-Table3.110[[#This Row],[V8 Push back, ml]]</f>
        <v>43</v>
      </c>
      <c r="AG886" s="94">
        <f>Table3.110[[#This Row],[GP 8h, ml]]-(AVERAGE(AE$862,AE$863,AE$912,AE$913,AE$932,AE$933))*$AG$8</f>
        <v>44.254975227659145</v>
      </c>
      <c r="AH886" s="94">
        <f>Table3.110[[#This Row],[GP 8-24h, ml]]-(AVERAGE(AF$862,AF$863,AF$912,AF$913,AF$932,AF$933))*$AG$8</f>
        <v>38.685592064046816</v>
      </c>
      <c r="AI886" s="94">
        <f>Table3.110[[#This Row],[Net gas 8-24h, ml]]+Table3.110[[#This Row],[Net gas 8h, ml]]</f>
        <v>82.94056729170596</v>
      </c>
      <c r="AJ886" s="94">
        <f>Table3.110[[#This Row],[Net gas 8h, ml]]*Table3.110[[#This Row],[CH4 8h %]]%</f>
        <v>6.5497363336935539</v>
      </c>
      <c r="AK886" s="94">
        <f>Table3.110[[#This Row],[Net gas 8-24h, ml]]*Table3.110[[#This Row],[CH4 24h, %]]%</f>
        <v>6.8860353874003337</v>
      </c>
      <c r="AL886" s="94">
        <f>Table3.110[[#This Row],[CH4 8-24h, ml]]+Table3.110[[#This Row],[CH4 8h, ml]]</f>
        <v>13.435771721093888</v>
      </c>
      <c r="AM886" s="94">
        <f>(Table3.110[[#This Row],[Net gas 24h, ml]]/Table3.110[[#This Row],[DM Incubated, mg]])*1000</f>
        <v>179.09613456108511</v>
      </c>
      <c r="AN886" s="94">
        <f>'3.2 Digest'!X886</f>
        <v>44.159701446691187</v>
      </c>
      <c r="AO886" s="94">
        <f>Table3.110[[#This Row],[Digested feed, mg]]/Table3.110[[#This Row],[Net gas 24h, ml]]</f>
        <v>2.4656981880102746</v>
      </c>
      <c r="AP886" s="94">
        <f>Table3.110[[#This Row],[CH4 8h, ml]]/Table3.110[[#This Row],[Net gas 8h, ml]]%</f>
        <v>14.8</v>
      </c>
      <c r="AQ886" s="94">
        <f>Table3.110[[#This Row],[CH4 24h, ml]]/Table3.110[[#This Row],[Net gas 24h, ml]]%</f>
        <v>16.19927637321268</v>
      </c>
      <c r="AR886" s="94">
        <f>Table3.110[[#This Row],[CH4 24h, ml]]/Table3.110[[#This Row],[DM Incubated, mg]]*1000</f>
        <v>29.01227781129105</v>
      </c>
      <c r="AS886" s="94">
        <f>Table3.110[[#This Row],[CH4 24h, ml]]/Table3.110[[#This Row],[Digested feed, mg]]*1000</f>
        <v>65.698537039056205</v>
      </c>
      <c r="AT886" s="94">
        <f>Table3.110[[#This Row],[CH4 24h, ml]]/'3.2 Digest'!AA886</f>
        <v>2.0436702401835123</v>
      </c>
      <c r="AU886" s="94">
        <f>((Table3.110[[#This Row],[CH4 24h, ml]]/28.9)*16.04)/Table3.110[[#This Row],[DM Incubated, mg]]*1000</f>
        <v>16.102316127789219</v>
      </c>
      <c r="AV886" s="94">
        <f>((Table3.110[[#This Row],[CH4 24h, ml]]/28.9)*16.04)/Table3.110[[#This Row],[Digested feed, mg]]*1000</f>
        <v>36.46382470956614</v>
      </c>
    </row>
    <row r="887" spans="2:48" s="89" customFormat="1" x14ac:dyDescent="0.35">
      <c r="B887" s="90">
        <f t="shared" si="13"/>
        <v>877</v>
      </c>
      <c r="C887" s="140">
        <v>46057</v>
      </c>
      <c r="D887" s="6" t="s">
        <v>16</v>
      </c>
      <c r="E887" s="6" t="s">
        <v>343</v>
      </c>
      <c r="F887" s="6" t="s">
        <v>212</v>
      </c>
      <c r="G887" s="6" t="s">
        <v>301</v>
      </c>
      <c r="H887" s="6" t="s">
        <v>302</v>
      </c>
      <c r="I887" s="6" t="s">
        <v>22</v>
      </c>
      <c r="J887" s="129" t="s">
        <v>23</v>
      </c>
      <c r="K887" s="129" t="s">
        <v>303</v>
      </c>
      <c r="L887" s="6" t="s">
        <v>342</v>
      </c>
      <c r="M887" s="93">
        <v>29</v>
      </c>
      <c r="N887" s="93">
        <v>63</v>
      </c>
      <c r="O887" s="6">
        <v>2</v>
      </c>
      <c r="P887" s="129">
        <v>3</v>
      </c>
      <c r="Q887" s="6">
        <v>188</v>
      </c>
      <c r="R887" s="98">
        <v>0.50049999999999994</v>
      </c>
      <c r="S887" s="94">
        <f>((Table3.110[[#This Row],[Sample weight, g]]*'2.1. DM'!Q211)/100)*1000</f>
        <v>463.29153796740684</v>
      </c>
      <c r="T887" s="94">
        <f>'3.2 Digest'!W887</f>
        <v>157.19153796740682</v>
      </c>
      <c r="U887" s="117">
        <v>0.34166666666666667</v>
      </c>
      <c r="V887" s="155">
        <v>41</v>
      </c>
      <c r="W887" s="117">
        <v>0.67083333333333328</v>
      </c>
      <c r="X887" s="96">
        <v>89.5</v>
      </c>
      <c r="Y887" s="96">
        <v>14.8</v>
      </c>
      <c r="Z887" s="155">
        <v>40</v>
      </c>
      <c r="AA887" s="117">
        <v>0.34305555555555556</v>
      </c>
      <c r="AB887" s="155">
        <v>84</v>
      </c>
      <c r="AC887" s="155">
        <v>17.8</v>
      </c>
      <c r="AD887" s="96" t="s">
        <v>573</v>
      </c>
      <c r="AE887" s="94">
        <f>Table3.110[[#This Row],[Gas 8h, ml]]-Table3.110[[#This Row],[Gas 0h, ml]]</f>
        <v>48.5</v>
      </c>
      <c r="AF887" s="94">
        <f>Table3.110[[#This Row],[Gas 24h, ml]]-Table3.110[[#This Row],[V8 Push back, ml]]</f>
        <v>44</v>
      </c>
      <c r="AG887" s="94">
        <f>Table3.110[[#This Row],[GP 8h, ml]]-(AVERAGE(AE$862,AE$863,AE$912,AE$913,AE$932,AE$933))*$AG$8</f>
        <v>45.254975227659145</v>
      </c>
      <c r="AH887" s="94">
        <f>Table3.110[[#This Row],[GP 8-24h, ml]]-(AVERAGE(AF$862,AF$863,AF$912,AF$913,AF$932,AF$933))*$AG$8</f>
        <v>39.685592064046816</v>
      </c>
      <c r="AI887" s="94">
        <f>Table3.110[[#This Row],[Net gas 8-24h, ml]]+Table3.110[[#This Row],[Net gas 8h, ml]]</f>
        <v>84.94056729170596</v>
      </c>
      <c r="AJ887" s="94">
        <f>Table3.110[[#This Row],[Net gas 8h, ml]]*Table3.110[[#This Row],[CH4 8h %]]%</f>
        <v>6.6977363336935545</v>
      </c>
      <c r="AK887" s="94">
        <f>Table3.110[[#This Row],[Net gas 8-24h, ml]]*Table3.110[[#This Row],[CH4 24h, %]]%</f>
        <v>7.0640353874003337</v>
      </c>
      <c r="AL887" s="94">
        <f>Table3.110[[#This Row],[CH4 8-24h, ml]]+Table3.110[[#This Row],[CH4 8h, ml]]</f>
        <v>13.761771721093888</v>
      </c>
      <c r="AM887" s="94">
        <f>(Table3.110[[#This Row],[Net gas 24h, ml]]/Table3.110[[#This Row],[DM Incubated, mg]])*1000</f>
        <v>183.34150384952994</v>
      </c>
      <c r="AN887" s="94">
        <f>'3.2 Digest'!X887</f>
        <v>33.929291835773924</v>
      </c>
      <c r="AO887" s="94">
        <f>Table3.110[[#This Row],[Digested feed, mg]]/Table3.110[[#This Row],[Net gas 24h, ml]]</f>
        <v>1.8506061706366284</v>
      </c>
      <c r="AP887" s="94">
        <f>Table3.110[[#This Row],[CH4 8h, ml]]/Table3.110[[#This Row],[Net gas 8h, ml]]%</f>
        <v>14.800000000000002</v>
      </c>
      <c r="AQ887" s="94">
        <f>Table3.110[[#This Row],[CH4 24h, ml]]/Table3.110[[#This Row],[Net gas 24h, ml]]%</f>
        <v>16.201647999162422</v>
      </c>
      <c r="AR887" s="94">
        <f>Table3.110[[#This Row],[CH4 24h, ml]]/Table3.110[[#This Row],[DM Incubated, mg]]*1000</f>
        <v>29.704345090071659</v>
      </c>
      <c r="AS887" s="94">
        <f>Table3.110[[#This Row],[CH4 24h, ml]]/Table3.110[[#This Row],[Digested feed, mg]]*1000</f>
        <v>87.547789779544928</v>
      </c>
      <c r="AT887" s="94">
        <f>Table3.110[[#This Row],[CH4 24h, ml]]/'3.2 Digest'!AA887</f>
        <v>-1.3054196867705716</v>
      </c>
      <c r="AU887" s="94">
        <f>((Table3.110[[#This Row],[CH4 24h, ml]]/28.9)*16.04)/Table3.110[[#This Row],[DM Incubated, mg]]*1000</f>
        <v>16.48642544099479</v>
      </c>
      <c r="AV887" s="94">
        <f>((Table3.110[[#This Row],[CH4 24h, ml]]/28.9)*16.04)/Table3.110[[#This Row],[Digested feed, mg]]*1000</f>
        <v>48.590537995290681</v>
      </c>
    </row>
    <row r="888" spans="2:48" s="89" customFormat="1" x14ac:dyDescent="0.35">
      <c r="B888" s="90">
        <f t="shared" si="13"/>
        <v>878</v>
      </c>
      <c r="C888" s="140">
        <v>46057</v>
      </c>
      <c r="D888" s="6" t="s">
        <v>16</v>
      </c>
      <c r="E888" s="6" t="s">
        <v>345</v>
      </c>
      <c r="F888" s="6" t="s">
        <v>346</v>
      </c>
      <c r="G888" s="6" t="s">
        <v>347</v>
      </c>
      <c r="H888" s="6" t="s">
        <v>348</v>
      </c>
      <c r="I888" s="6" t="s">
        <v>22</v>
      </c>
      <c r="J888" s="129" t="s">
        <v>23</v>
      </c>
      <c r="K888" s="129" t="s">
        <v>303</v>
      </c>
      <c r="L888" s="6" t="s">
        <v>344</v>
      </c>
      <c r="M888" s="93">
        <v>29</v>
      </c>
      <c r="N888" s="93">
        <v>63</v>
      </c>
      <c r="O888" s="6">
        <v>2</v>
      </c>
      <c r="P888" s="129">
        <v>1</v>
      </c>
      <c r="Q888" s="6">
        <v>189</v>
      </c>
      <c r="R888" s="98">
        <v>0.50009999999999999</v>
      </c>
      <c r="S888" s="94">
        <f>((Table3.110[[#This Row],[Sample weight, g]]*'2.1. DM'!Q213)/100)*1000</f>
        <v>464.13037481259397</v>
      </c>
      <c r="T888" s="94">
        <f>'3.2 Digest'!W888</f>
        <v>140.030374812594</v>
      </c>
      <c r="U888" s="153">
        <v>0.34166666666666667</v>
      </c>
      <c r="V888" s="154">
        <v>41</v>
      </c>
      <c r="W888" s="153">
        <v>0.67083333333333328</v>
      </c>
      <c r="X888" s="91">
        <v>75</v>
      </c>
      <c r="Y888" s="91">
        <v>13.8</v>
      </c>
      <c r="Z888" s="154">
        <v>40</v>
      </c>
      <c r="AA888" s="153">
        <v>0.34375</v>
      </c>
      <c r="AB888" s="154">
        <v>79</v>
      </c>
      <c r="AC888" s="154">
        <v>16.399999999999999</v>
      </c>
      <c r="AD888" s="91"/>
      <c r="AE888" s="94">
        <f>Table3.110[[#This Row],[Gas 8h, ml]]-Table3.110[[#This Row],[Gas 0h, ml]]</f>
        <v>34</v>
      </c>
      <c r="AF888" s="94">
        <f>Table3.110[[#This Row],[Gas 24h, ml]]-Table3.110[[#This Row],[V8 Push back, ml]]</f>
        <v>39</v>
      </c>
      <c r="AG888" s="94">
        <f>Table3.110[[#This Row],[GP 8h, ml]]-(AVERAGE(AE$862,AE$863,AE$912,AE$913,AE$932,AE$933))*$AG$8</f>
        <v>30.754975227659141</v>
      </c>
      <c r="AH888" s="94">
        <f>Table3.110[[#This Row],[GP 8-24h, ml]]-(AVERAGE(AF$862,AF$863,AF$912,AF$913,AF$932,AF$933))*$AG$8</f>
        <v>34.685592064046816</v>
      </c>
      <c r="AI888" s="94">
        <f>Table3.110[[#This Row],[Net gas 8-24h, ml]]+Table3.110[[#This Row],[Net gas 8h, ml]]</f>
        <v>65.44056729170596</v>
      </c>
      <c r="AJ888" s="94">
        <f>Table3.110[[#This Row],[Net gas 8h, ml]]*Table3.110[[#This Row],[CH4 8h %]]%</f>
        <v>4.2441865814169617</v>
      </c>
      <c r="AK888" s="94">
        <f>Table3.110[[#This Row],[Net gas 8-24h, ml]]*Table3.110[[#This Row],[CH4 24h, %]]%</f>
        <v>5.6884370985036767</v>
      </c>
      <c r="AL888" s="94">
        <f>Table3.110[[#This Row],[CH4 8-24h, ml]]+Table3.110[[#This Row],[CH4 8h, ml]]</f>
        <v>9.9326236799206384</v>
      </c>
      <c r="AM888" s="94">
        <f>(Table3.110[[#This Row],[Net gas 24h, ml]]/Table3.110[[#This Row],[DM Incubated, mg]])*1000</f>
        <v>140.99608826103977</v>
      </c>
      <c r="AN888" s="94">
        <f>'3.2 Digest'!X888</f>
        <v>30.170482780648715</v>
      </c>
      <c r="AO888" s="94">
        <f>Table3.110[[#This Row],[Digested feed, mg]]/Table3.110[[#This Row],[Net gas 24h, ml]]</f>
        <v>2.1398099162007367</v>
      </c>
      <c r="AP888" s="94">
        <f>Table3.110[[#This Row],[CH4 8h, ml]]/Table3.110[[#This Row],[Net gas 8h, ml]]%</f>
        <v>13.8</v>
      </c>
      <c r="AQ888" s="94">
        <f>Table3.110[[#This Row],[CH4 24h, ml]]/Table3.110[[#This Row],[Net gas 24h, ml]]%</f>
        <v>15.178083092778314</v>
      </c>
      <c r="AR888" s="94">
        <f>Table3.110[[#This Row],[CH4 24h, ml]]/Table3.110[[#This Row],[DM Incubated, mg]]*1000</f>
        <v>21.400503433827666</v>
      </c>
      <c r="AS888" s="94">
        <f>Table3.110[[#This Row],[CH4 24h, ml]]/Table3.110[[#This Row],[Digested feed, mg]]*1000</f>
        <v>70.931922400505655</v>
      </c>
      <c r="AT888" s="94">
        <f>Table3.110[[#This Row],[CH4 24h, ml]]/'3.2 Digest'!AA888</f>
        <v>-0.43308195833406582</v>
      </c>
      <c r="AU888" s="94">
        <f>((Table3.110[[#This Row],[CH4 24h, ml]]/28.9)*16.04)/Table3.110[[#This Row],[DM Incubated, mg]]*1000</f>
        <v>11.877649656698816</v>
      </c>
      <c r="AV888" s="94">
        <f>((Table3.110[[#This Row],[CH4 24h, ml]]/28.9)*16.04)/Table3.110[[#This Row],[Digested feed, mg]]*1000</f>
        <v>39.368444128169919</v>
      </c>
    </row>
    <row r="889" spans="2:48" s="89" customFormat="1" x14ac:dyDescent="0.35">
      <c r="B889" s="90">
        <f t="shared" si="13"/>
        <v>879</v>
      </c>
      <c r="C889" s="140">
        <v>46057</v>
      </c>
      <c r="D889" s="6" t="s">
        <v>16</v>
      </c>
      <c r="E889" s="6" t="s">
        <v>345</v>
      </c>
      <c r="F889" s="6" t="s">
        <v>346</v>
      </c>
      <c r="G889" s="6" t="s">
        <v>347</v>
      </c>
      <c r="H889" s="6" t="s">
        <v>348</v>
      </c>
      <c r="I889" s="6" t="s">
        <v>22</v>
      </c>
      <c r="J889" s="129" t="s">
        <v>23</v>
      </c>
      <c r="K889" s="129" t="s">
        <v>303</v>
      </c>
      <c r="L889" s="6" t="s">
        <v>344</v>
      </c>
      <c r="M889" s="93">
        <v>29</v>
      </c>
      <c r="N889" s="93">
        <v>63</v>
      </c>
      <c r="O889" s="6">
        <v>2</v>
      </c>
      <c r="P889" s="6">
        <v>2</v>
      </c>
      <c r="Q889" s="6">
        <v>190</v>
      </c>
      <c r="R889" s="98">
        <v>0.50039999999999996</v>
      </c>
      <c r="S889" s="94">
        <f>((Table3.110[[#This Row],[Sample weight, g]]*'2.1. DM'!Q213)/100)*1000</f>
        <v>464.40879735297335</v>
      </c>
      <c r="T889" s="94">
        <f>'3.2 Digest'!W889</f>
        <v>169.80879735297339</v>
      </c>
      <c r="U889" s="117">
        <v>0.34166666666666667</v>
      </c>
      <c r="V889" s="155">
        <v>41</v>
      </c>
      <c r="W889" s="117">
        <v>0.67083333333333328</v>
      </c>
      <c r="X889" s="96">
        <v>75</v>
      </c>
      <c r="Y889" s="96">
        <v>13.6</v>
      </c>
      <c r="Z889" s="155">
        <v>40.5</v>
      </c>
      <c r="AA889" s="117">
        <v>0.34375</v>
      </c>
      <c r="AB889" s="155">
        <v>80</v>
      </c>
      <c r="AC889" s="155">
        <v>16.2</v>
      </c>
      <c r="AD889" s="96"/>
      <c r="AE889" s="94">
        <f>Table3.110[[#This Row],[Gas 8h, ml]]-Table3.110[[#This Row],[Gas 0h, ml]]</f>
        <v>34</v>
      </c>
      <c r="AF889" s="94">
        <f>Table3.110[[#This Row],[Gas 24h, ml]]-Table3.110[[#This Row],[V8 Push back, ml]]</f>
        <v>39.5</v>
      </c>
      <c r="AG889" s="94">
        <f>Table3.110[[#This Row],[GP 8h, ml]]-(AVERAGE(AE$862,AE$863,AE$912,AE$913,AE$932,AE$933))*$AG$8</f>
        <v>30.754975227659141</v>
      </c>
      <c r="AH889" s="94">
        <f>Table3.110[[#This Row],[GP 8-24h, ml]]-(AVERAGE(AF$862,AF$863,AF$912,AF$913,AF$932,AF$933))*$AG$8</f>
        <v>35.185592064046816</v>
      </c>
      <c r="AI889" s="94">
        <f>Table3.110[[#This Row],[Net gas 8-24h, ml]]+Table3.110[[#This Row],[Net gas 8h, ml]]</f>
        <v>65.94056729170596</v>
      </c>
      <c r="AJ889" s="94">
        <f>Table3.110[[#This Row],[Net gas 8h, ml]]*Table3.110[[#This Row],[CH4 8h %]]%</f>
        <v>4.1826766309616437</v>
      </c>
      <c r="AK889" s="94">
        <f>Table3.110[[#This Row],[Net gas 8-24h, ml]]*Table3.110[[#This Row],[CH4 24h, %]]%</f>
        <v>5.7000659143755845</v>
      </c>
      <c r="AL889" s="94">
        <f>Table3.110[[#This Row],[CH4 8-24h, ml]]+Table3.110[[#This Row],[CH4 8h, ml]]</f>
        <v>9.8827425453372282</v>
      </c>
      <c r="AM889" s="94">
        <f>(Table3.110[[#This Row],[Net gas 24h, ml]]/Table3.110[[#This Row],[DM Incubated, mg]])*1000</f>
        <v>141.98819589024262</v>
      </c>
      <c r="AN889" s="94">
        <f>'3.2 Digest'!X889</f>
        <v>36.564509182609306</v>
      </c>
      <c r="AO889" s="94">
        <f>Table3.110[[#This Row],[Digested feed, mg]]/Table3.110[[#This Row],[Net gas 24h, ml]]</f>
        <v>2.5751795037154923</v>
      </c>
      <c r="AP889" s="94">
        <f>Table3.110[[#This Row],[CH4 8h, ml]]/Table3.110[[#This Row],[Net gas 8h, ml]]%</f>
        <v>13.600000000000001</v>
      </c>
      <c r="AQ889" s="94">
        <f>Table3.110[[#This Row],[CH4 24h, ml]]/Table3.110[[#This Row],[Net gas 24h, ml]]%</f>
        <v>14.987348382397499</v>
      </c>
      <c r="AR889" s="94">
        <f>Table3.110[[#This Row],[CH4 24h, ml]]/Table3.110[[#This Row],[DM Incubated, mg]]*1000</f>
        <v>21.280265579951671</v>
      </c>
      <c r="AS889" s="94">
        <f>Table3.110[[#This Row],[CH4 24h, ml]]/Table3.110[[#This Row],[Digested feed, mg]]*1000</f>
        <v>58.19923760954768</v>
      </c>
      <c r="AT889" s="94">
        <f>Table3.110[[#This Row],[CH4 24h, ml]]/'3.2 Digest'!AA889</f>
        <v>-0.84626496339116808</v>
      </c>
      <c r="AU889" s="94">
        <f>((Table3.110[[#This Row],[CH4 24h, ml]]/28.9)*16.04)/Table3.110[[#This Row],[DM Incubated, mg]]*1000</f>
        <v>11.81091556755795</v>
      </c>
      <c r="AV889" s="94">
        <f>((Table3.110[[#This Row],[CH4 24h, ml]]/28.9)*16.04)/Table3.110[[#This Row],[Digested feed, mg]]*1000</f>
        <v>32.301583780524034</v>
      </c>
    </row>
    <row r="890" spans="2:48" s="89" customFormat="1" x14ac:dyDescent="0.35">
      <c r="B890" s="90">
        <f t="shared" si="13"/>
        <v>880</v>
      </c>
      <c r="C890" s="140">
        <v>46057</v>
      </c>
      <c r="D890" s="6" t="s">
        <v>16</v>
      </c>
      <c r="E890" s="6" t="s">
        <v>345</v>
      </c>
      <c r="F890" s="6" t="s">
        <v>346</v>
      </c>
      <c r="G890" s="6" t="s">
        <v>347</v>
      </c>
      <c r="H890" s="6" t="s">
        <v>348</v>
      </c>
      <c r="I890" s="6" t="s">
        <v>22</v>
      </c>
      <c r="J890" s="129" t="s">
        <v>23</v>
      </c>
      <c r="K890" s="129" t="s">
        <v>303</v>
      </c>
      <c r="L890" s="6" t="s">
        <v>344</v>
      </c>
      <c r="M890" s="93">
        <v>29</v>
      </c>
      <c r="N890" s="93">
        <v>63</v>
      </c>
      <c r="O890" s="6">
        <v>2</v>
      </c>
      <c r="P890" s="129">
        <v>3</v>
      </c>
      <c r="Q890" s="6">
        <v>191</v>
      </c>
      <c r="R890" s="98">
        <v>0.50009999999999999</v>
      </c>
      <c r="S890" s="94">
        <f>((Table3.110[[#This Row],[Sample weight, g]]*'2.1. DM'!Q213)/100)*1000</f>
        <v>464.13037481259397</v>
      </c>
      <c r="T890" s="94">
        <f>'3.2 Digest'!W890</f>
        <v>180.13037481259403</v>
      </c>
      <c r="U890" s="153">
        <v>0.34236111111111112</v>
      </c>
      <c r="V890" s="154">
        <v>41</v>
      </c>
      <c r="W890" s="153">
        <v>0.67152777777777772</v>
      </c>
      <c r="X890" s="91">
        <v>75</v>
      </c>
      <c r="Y890" s="91">
        <v>13.6</v>
      </c>
      <c r="Z890" s="154">
        <v>40</v>
      </c>
      <c r="AA890" s="153">
        <v>0.34513888888888888</v>
      </c>
      <c r="AB890" s="154">
        <v>82</v>
      </c>
      <c r="AC890" s="154">
        <v>16.399999999999999</v>
      </c>
      <c r="AD890" s="91"/>
      <c r="AE890" s="94">
        <f>Table3.110[[#This Row],[Gas 8h, ml]]-Table3.110[[#This Row],[Gas 0h, ml]]</f>
        <v>34</v>
      </c>
      <c r="AF890" s="94">
        <f>Table3.110[[#This Row],[Gas 24h, ml]]-Table3.110[[#This Row],[V8 Push back, ml]]</f>
        <v>42</v>
      </c>
      <c r="AG890" s="94">
        <f>Table3.110[[#This Row],[GP 8h, ml]]-(AVERAGE(AE$862,AE$863,AE$912,AE$913,AE$932,AE$933))*$AG$8</f>
        <v>30.754975227659141</v>
      </c>
      <c r="AH890" s="94">
        <f>Table3.110[[#This Row],[GP 8-24h, ml]]-(AVERAGE(AF$862,AF$863,AF$912,AF$913,AF$932,AF$933))*$AG$8</f>
        <v>37.685592064046816</v>
      </c>
      <c r="AI890" s="94">
        <f>Table3.110[[#This Row],[Net gas 8-24h, ml]]+Table3.110[[#This Row],[Net gas 8h, ml]]</f>
        <v>68.44056729170596</v>
      </c>
      <c r="AJ890" s="94">
        <f>Table3.110[[#This Row],[Net gas 8h, ml]]*Table3.110[[#This Row],[CH4 8h %]]%</f>
        <v>4.1826766309616437</v>
      </c>
      <c r="AK890" s="94">
        <f>Table3.110[[#This Row],[Net gas 8-24h, ml]]*Table3.110[[#This Row],[CH4 24h, %]]%</f>
        <v>6.1804370985036767</v>
      </c>
      <c r="AL890" s="94">
        <f>Table3.110[[#This Row],[CH4 8-24h, ml]]+Table3.110[[#This Row],[CH4 8h, ml]]</f>
        <v>10.36311372946532</v>
      </c>
      <c r="AM890" s="94">
        <f>(Table3.110[[#This Row],[Net gas 24h, ml]]/Table3.110[[#This Row],[DM Incubated, mg]])*1000</f>
        <v>147.45978933040271</v>
      </c>
      <c r="AN890" s="94">
        <f>'3.2 Digest'!X890</f>
        <v>38.81029654336389</v>
      </c>
      <c r="AO890" s="94">
        <f>Table3.110[[#This Row],[Digested feed, mg]]/Table3.110[[#This Row],[Net gas 24h, ml]]</f>
        <v>2.6319240465212115</v>
      </c>
      <c r="AP890" s="94">
        <f>Table3.110[[#This Row],[CH4 8h, ml]]/Table3.110[[#This Row],[Net gas 8h, ml]]%</f>
        <v>13.600000000000001</v>
      </c>
      <c r="AQ890" s="94">
        <f>Table3.110[[#This Row],[CH4 24h, ml]]/Table3.110[[#This Row],[Net gas 24h, ml]]%</f>
        <v>15.141770647949006</v>
      </c>
      <c r="AR890" s="94">
        <f>Table3.110[[#This Row],[CH4 24h, ml]]/Table3.110[[#This Row],[DM Incubated, mg]]*1000</f>
        <v>22.328023098358358</v>
      </c>
      <c r="AS890" s="94">
        <f>Table3.110[[#This Row],[CH4 24h, ml]]/Table3.110[[#This Row],[Digested feed, mg]]*1000</f>
        <v>57.531183956326124</v>
      </c>
      <c r="AT890" s="94">
        <f>Table3.110[[#This Row],[CH4 24h, ml]]/'3.2 Digest'!AA890</f>
        <v>-1.3416134137966693</v>
      </c>
      <c r="AU890" s="94">
        <f>((Table3.110[[#This Row],[CH4 24h, ml]]/28.9)*16.04)/Table3.110[[#This Row],[DM Incubated, mg]]*1000</f>
        <v>12.39243911756637</v>
      </c>
      <c r="AV890" s="94">
        <f>((Table3.110[[#This Row],[CH4 24h, ml]]/28.9)*16.04)/Table3.110[[#This Row],[Digested feed, mg]]*1000</f>
        <v>31.930802444964392</v>
      </c>
    </row>
    <row r="891" spans="2:48" s="89" customFormat="1" x14ac:dyDescent="0.35">
      <c r="B891" s="90">
        <f t="shared" si="13"/>
        <v>881</v>
      </c>
      <c r="C891" s="140">
        <v>46057</v>
      </c>
      <c r="D891" s="6" t="s">
        <v>16</v>
      </c>
      <c r="E891" s="6" t="s">
        <v>350</v>
      </c>
      <c r="F891" s="6" t="s">
        <v>212</v>
      </c>
      <c r="G891" s="6" t="s">
        <v>351</v>
      </c>
      <c r="H891" s="6" t="s">
        <v>352</v>
      </c>
      <c r="I891" s="6" t="s">
        <v>22</v>
      </c>
      <c r="J891" s="129" t="s">
        <v>23</v>
      </c>
      <c r="K891" s="129" t="s">
        <v>215</v>
      </c>
      <c r="L891" s="6" t="s">
        <v>349</v>
      </c>
      <c r="M891" s="93">
        <v>29</v>
      </c>
      <c r="N891" s="93">
        <v>63</v>
      </c>
      <c r="O891" s="6">
        <v>2</v>
      </c>
      <c r="P891" s="129">
        <v>1</v>
      </c>
      <c r="Q891" s="6">
        <v>192</v>
      </c>
      <c r="R891" s="98">
        <v>0.50049999999999994</v>
      </c>
      <c r="S891" s="94">
        <f>((Table3.110[[#This Row],[Sample weight, g]]*'2.1. DM'!Q215)/100)*1000</f>
        <v>464.29425201850916</v>
      </c>
      <c r="T891" s="94">
        <f>'3.2 Digest'!W891</f>
        <v>204.29425201850916</v>
      </c>
      <c r="U891" s="117">
        <v>0.34236111111111112</v>
      </c>
      <c r="V891" s="155">
        <v>41</v>
      </c>
      <c r="W891" s="117">
        <v>0.67152777777777772</v>
      </c>
      <c r="X891" s="96">
        <v>81</v>
      </c>
      <c r="Y891" s="96">
        <v>14.2</v>
      </c>
      <c r="Z891" s="155">
        <v>40</v>
      </c>
      <c r="AA891" s="117">
        <v>0.34513888888888888</v>
      </c>
      <c r="AB891" s="155">
        <v>90</v>
      </c>
      <c r="AC891" s="155">
        <v>17.3</v>
      </c>
      <c r="AD891" s="96"/>
      <c r="AE891" s="94">
        <f>Table3.110[[#This Row],[Gas 8h, ml]]-Table3.110[[#This Row],[Gas 0h, ml]]</f>
        <v>40</v>
      </c>
      <c r="AF891" s="94">
        <f>Table3.110[[#This Row],[Gas 24h, ml]]-Table3.110[[#This Row],[V8 Push back, ml]]</f>
        <v>50</v>
      </c>
      <c r="AG891" s="94">
        <f>Table3.110[[#This Row],[GP 8h, ml]]-(AVERAGE(AE$862,AE$863,AE$912,AE$913,AE$932,AE$933))*$AG$8</f>
        <v>36.754975227659145</v>
      </c>
      <c r="AH891" s="94">
        <f>Table3.110[[#This Row],[GP 8-24h, ml]]-(AVERAGE(AF$862,AF$863,AF$912,AF$913,AF$932,AF$933))*$AG$8</f>
        <v>45.685592064046816</v>
      </c>
      <c r="AI891" s="94">
        <f>Table3.110[[#This Row],[Net gas 8-24h, ml]]+Table3.110[[#This Row],[Net gas 8h, ml]]</f>
        <v>82.44056729170596</v>
      </c>
      <c r="AJ891" s="94">
        <f>Table3.110[[#This Row],[Net gas 8h, ml]]*Table3.110[[#This Row],[CH4 8h %]]%</f>
        <v>5.2192064823275981</v>
      </c>
      <c r="AK891" s="94">
        <f>Table3.110[[#This Row],[Net gas 8-24h, ml]]*Table3.110[[#This Row],[CH4 24h, %]]%</f>
        <v>7.9036074270801002</v>
      </c>
      <c r="AL891" s="94">
        <f>Table3.110[[#This Row],[CH4 8-24h, ml]]+Table3.110[[#This Row],[CH4 8h, ml]]</f>
        <v>13.122813909407698</v>
      </c>
      <c r="AM891" s="94">
        <f>(Table3.110[[#This Row],[Net gas 24h, ml]]/Table3.110[[#This Row],[DM Incubated, mg]])*1000</f>
        <v>177.56103361886861</v>
      </c>
      <c r="AN891" s="94">
        <f>'3.2 Digest'!X891</f>
        <v>44.001029762988523</v>
      </c>
      <c r="AO891" s="94">
        <f>Table3.110[[#This Row],[Digested feed, mg]]/Table3.110[[#This Row],[Net gas 24h, ml]]</f>
        <v>2.4780791633279122</v>
      </c>
      <c r="AP891" s="94">
        <f>Table3.110[[#This Row],[CH4 8h, ml]]/Table3.110[[#This Row],[Net gas 8h, ml]]%</f>
        <v>14.2</v>
      </c>
      <c r="AQ891" s="94">
        <f>Table3.110[[#This Row],[CH4 24h, ml]]/Table3.110[[#This Row],[Net gas 24h, ml]]%</f>
        <v>15.917908307173835</v>
      </c>
      <c r="AR891" s="94">
        <f>Table3.110[[#This Row],[CH4 24h, ml]]/Table3.110[[#This Row],[DM Incubated, mg]]*1000</f>
        <v>28.264002520721611</v>
      </c>
      <c r="AS891" s="94">
        <f>Table3.110[[#This Row],[CH4 24h, ml]]/Table3.110[[#This Row],[Digested feed, mg]]*1000</f>
        <v>64.234866031467021</v>
      </c>
      <c r="AT891" s="94">
        <f>Table3.110[[#This Row],[CH4 24h, ml]]/'3.2 Digest'!AA891</f>
        <v>2.731573133278673</v>
      </c>
      <c r="AU891" s="94">
        <f>((Table3.110[[#This Row],[CH4 24h, ml]]/28.9)*16.04)/Table3.110[[#This Row],[DM Incubated, mg]]*1000</f>
        <v>15.687010395583901</v>
      </c>
      <c r="AV891" s="94">
        <f>((Table3.110[[#This Row],[CH4 24h, ml]]/28.9)*16.04)/Table3.110[[#This Row],[Digested feed, mg]]*1000</f>
        <v>35.651461977326342</v>
      </c>
    </row>
    <row r="892" spans="2:48" s="89" customFormat="1" x14ac:dyDescent="0.35">
      <c r="B892" s="90">
        <f t="shared" si="13"/>
        <v>882</v>
      </c>
      <c r="C892" s="140">
        <v>46057</v>
      </c>
      <c r="D892" s="6" t="s">
        <v>16</v>
      </c>
      <c r="E892" s="6" t="s">
        <v>350</v>
      </c>
      <c r="F892" s="6" t="s">
        <v>212</v>
      </c>
      <c r="G892" s="6" t="s">
        <v>351</v>
      </c>
      <c r="H892" s="6" t="s">
        <v>352</v>
      </c>
      <c r="I892" s="6" t="s">
        <v>22</v>
      </c>
      <c r="J892" s="129" t="s">
        <v>23</v>
      </c>
      <c r="K892" s="129" t="s">
        <v>215</v>
      </c>
      <c r="L892" s="6" t="s">
        <v>349</v>
      </c>
      <c r="M892" s="93">
        <v>29</v>
      </c>
      <c r="N892" s="93">
        <v>63</v>
      </c>
      <c r="O892" s="6">
        <v>2</v>
      </c>
      <c r="P892" s="6">
        <v>2</v>
      </c>
      <c r="Q892" s="6">
        <v>193</v>
      </c>
      <c r="R892" s="98">
        <v>0.50039999999999996</v>
      </c>
      <c r="S892" s="94">
        <f>((Table3.110[[#This Row],[Sample weight, g]]*'2.1. DM'!Q215)/100)*1000</f>
        <v>464.2014859341898</v>
      </c>
      <c r="T892" s="94">
        <f>'3.2 Digest'!W892</f>
        <v>209.2014859341898</v>
      </c>
      <c r="U892" s="153">
        <v>0.34305555555555556</v>
      </c>
      <c r="V892" s="154">
        <v>41</v>
      </c>
      <c r="W892" s="153">
        <v>0.67222222222222228</v>
      </c>
      <c r="X892" s="91">
        <v>91</v>
      </c>
      <c r="Y892" s="91">
        <v>14.2</v>
      </c>
      <c r="Z892" s="154">
        <v>40</v>
      </c>
      <c r="AA892" s="153">
        <v>0.34583333333333333</v>
      </c>
      <c r="AB892" s="154">
        <v>89</v>
      </c>
      <c r="AC892" s="154">
        <v>17.5</v>
      </c>
      <c r="AD892" s="91"/>
      <c r="AE892" s="94">
        <f>Table3.110[[#This Row],[Gas 8h, ml]]-Table3.110[[#This Row],[Gas 0h, ml]]</f>
        <v>50</v>
      </c>
      <c r="AF892" s="94">
        <f>Table3.110[[#This Row],[Gas 24h, ml]]-Table3.110[[#This Row],[V8 Push back, ml]]</f>
        <v>49</v>
      </c>
      <c r="AG892" s="94">
        <f>Table3.110[[#This Row],[GP 8h, ml]]-(AVERAGE(AE$862,AE$863,AE$912,AE$913,AE$932,AE$933))*$AG$8</f>
        <v>46.754975227659145</v>
      </c>
      <c r="AH892" s="94">
        <f>Table3.110[[#This Row],[GP 8-24h, ml]]-(AVERAGE(AF$862,AF$863,AF$912,AF$913,AF$932,AF$933))*$AG$8</f>
        <v>44.685592064046816</v>
      </c>
      <c r="AI892" s="94">
        <f>Table3.110[[#This Row],[Net gas 8-24h, ml]]+Table3.110[[#This Row],[Net gas 8h, ml]]</f>
        <v>91.44056729170596</v>
      </c>
      <c r="AJ892" s="94">
        <f>Table3.110[[#This Row],[Net gas 8h, ml]]*Table3.110[[#This Row],[CH4 8h %]]%</f>
        <v>6.639206482327598</v>
      </c>
      <c r="AK892" s="94">
        <f>Table3.110[[#This Row],[Net gas 8-24h, ml]]*Table3.110[[#This Row],[CH4 24h, %]]%</f>
        <v>7.8199786112081924</v>
      </c>
      <c r="AL892" s="94">
        <f>Table3.110[[#This Row],[CH4 8-24h, ml]]+Table3.110[[#This Row],[CH4 8h, ml]]</f>
        <v>14.45918509353579</v>
      </c>
      <c r="AM892" s="94">
        <f>(Table3.110[[#This Row],[Net gas 24h, ml]]/Table3.110[[#This Row],[DM Incubated, mg]])*1000</f>
        <v>196.98465011951632</v>
      </c>
      <c r="AN892" s="94">
        <f>'3.2 Digest'!X892</f>
        <v>45.066957403890875</v>
      </c>
      <c r="AO892" s="94">
        <f>Table3.110[[#This Row],[Digested feed, mg]]/Table3.110[[#This Row],[Net gas 24h, ml]]</f>
        <v>2.2878410767817408</v>
      </c>
      <c r="AP892" s="94">
        <f>Table3.110[[#This Row],[CH4 8h, ml]]/Table3.110[[#This Row],[Net gas 8h, ml]]%</f>
        <v>14.2</v>
      </c>
      <c r="AQ892" s="94">
        <f>Table3.110[[#This Row],[CH4 24h, ml]]/Table3.110[[#This Row],[Net gas 24h, ml]]%</f>
        <v>15.812659000035861</v>
      </c>
      <c r="AR892" s="94">
        <f>Table3.110[[#This Row],[CH4 24h, ml]]/Table3.110[[#This Row],[DM Incubated, mg]]*1000</f>
        <v>31.14851100581285</v>
      </c>
      <c r="AS892" s="94">
        <f>Table3.110[[#This Row],[CH4 24h, ml]]/Table3.110[[#This Row],[Digested feed, mg]]*1000</f>
        <v>69.116072617592835</v>
      </c>
      <c r="AT892" s="94">
        <f>Table3.110[[#This Row],[CH4 24h, ml]]/'3.2 Digest'!AA892</f>
        <v>2.1854362535524121</v>
      </c>
      <c r="AU892" s="94">
        <f>((Table3.110[[#This Row],[CH4 24h, ml]]/28.9)*16.04)/Table3.110[[#This Row],[DM Incubated, mg]]*1000</f>
        <v>17.287962509800625</v>
      </c>
      <c r="AV892" s="94">
        <f>((Table3.110[[#This Row],[CH4 24h, ml]]/28.9)*16.04)/Table3.110[[#This Row],[Digested feed, mg]]*1000</f>
        <v>38.360616082567098</v>
      </c>
    </row>
    <row r="893" spans="2:48" s="89" customFormat="1" x14ac:dyDescent="0.35">
      <c r="B893" s="90">
        <f t="shared" si="13"/>
        <v>883</v>
      </c>
      <c r="C893" s="140">
        <v>46057</v>
      </c>
      <c r="D893" s="6" t="s">
        <v>16</v>
      </c>
      <c r="E893" s="6" t="s">
        <v>350</v>
      </c>
      <c r="F893" s="6" t="s">
        <v>212</v>
      </c>
      <c r="G893" s="6" t="s">
        <v>351</v>
      </c>
      <c r="H893" s="6" t="s">
        <v>352</v>
      </c>
      <c r="I893" s="6" t="s">
        <v>22</v>
      </c>
      <c r="J893" s="129" t="s">
        <v>23</v>
      </c>
      <c r="K893" s="129" t="s">
        <v>215</v>
      </c>
      <c r="L893" s="6" t="s">
        <v>349</v>
      </c>
      <c r="M893" s="93">
        <v>29</v>
      </c>
      <c r="N893" s="93">
        <v>63</v>
      </c>
      <c r="O893" s="6">
        <v>2</v>
      </c>
      <c r="P893" s="129">
        <v>3</v>
      </c>
      <c r="Q893" s="6">
        <v>194</v>
      </c>
      <c r="R893" s="98">
        <v>0.50029999999999997</v>
      </c>
      <c r="S893" s="94">
        <f>((Table3.110[[#This Row],[Sample weight, g]]*'2.1. DM'!Q215)/100)*1000</f>
        <v>464.1087198498704</v>
      </c>
      <c r="T893" s="94">
        <f>'3.2 Digest'!W893</f>
        <v>179.00871984987037</v>
      </c>
      <c r="U893" s="117">
        <v>0.34375</v>
      </c>
      <c r="V893" s="155">
        <v>41</v>
      </c>
      <c r="W893" s="117">
        <v>0.67222222222222228</v>
      </c>
      <c r="X893" s="96">
        <v>90</v>
      </c>
      <c r="Y893" s="96">
        <v>14.2</v>
      </c>
      <c r="Z893" s="155">
        <v>40</v>
      </c>
      <c r="AA893" s="117">
        <v>0.34583333333333333</v>
      </c>
      <c r="AB893" s="155">
        <v>88.5</v>
      </c>
      <c r="AC893" s="155">
        <v>17.399999999999999</v>
      </c>
      <c r="AD893" s="96"/>
      <c r="AE893" s="94">
        <f>Table3.110[[#This Row],[Gas 8h, ml]]-Table3.110[[#This Row],[Gas 0h, ml]]</f>
        <v>49</v>
      </c>
      <c r="AF893" s="94">
        <f>Table3.110[[#This Row],[Gas 24h, ml]]-Table3.110[[#This Row],[V8 Push back, ml]]</f>
        <v>48.5</v>
      </c>
      <c r="AG893" s="94">
        <f>Table3.110[[#This Row],[GP 8h, ml]]-(AVERAGE(AE$862,AE$863,AE$912,AE$913,AE$932,AE$933))*$AG$8</f>
        <v>45.754975227659145</v>
      </c>
      <c r="AH893" s="94">
        <f>Table3.110[[#This Row],[GP 8-24h, ml]]-(AVERAGE(AF$862,AF$863,AF$912,AF$913,AF$932,AF$933))*$AG$8</f>
        <v>44.185592064046816</v>
      </c>
      <c r="AI893" s="94">
        <f>Table3.110[[#This Row],[Net gas 8-24h, ml]]+Table3.110[[#This Row],[Net gas 8h, ml]]</f>
        <v>89.94056729170596</v>
      </c>
      <c r="AJ893" s="94">
        <f>Table3.110[[#This Row],[Net gas 8h, ml]]*Table3.110[[#This Row],[CH4 8h %]]%</f>
        <v>6.4972064823275977</v>
      </c>
      <c r="AK893" s="94">
        <f>Table3.110[[#This Row],[Net gas 8-24h, ml]]*Table3.110[[#This Row],[CH4 24h, %]]%</f>
        <v>7.6882930191441456</v>
      </c>
      <c r="AL893" s="94">
        <f>Table3.110[[#This Row],[CH4 8-24h, ml]]+Table3.110[[#This Row],[CH4 8h, ml]]</f>
        <v>14.185499501471742</v>
      </c>
      <c r="AM893" s="94">
        <f>(Table3.110[[#This Row],[Net gas 24h, ml]]/Table3.110[[#This Row],[DM Incubated, mg]])*1000</f>
        <v>193.79202209516743</v>
      </c>
      <c r="AN893" s="94">
        <f>'3.2 Digest'!X893</f>
        <v>38.570428047069662</v>
      </c>
      <c r="AO893" s="94">
        <f>Table3.110[[#This Row],[Digested feed, mg]]/Table3.110[[#This Row],[Net gas 24h, ml]]</f>
        <v>1.9903000974998075</v>
      </c>
      <c r="AP893" s="94">
        <f>Table3.110[[#This Row],[CH4 8h, ml]]/Table3.110[[#This Row],[Net gas 8h, ml]]%</f>
        <v>14.199999999999998</v>
      </c>
      <c r="AQ893" s="94">
        <f>Table3.110[[#This Row],[CH4 24h, ml]]/Table3.110[[#This Row],[Net gas 24h, ml]]%</f>
        <v>15.772081418458971</v>
      </c>
      <c r="AR893" s="94">
        <f>Table3.110[[#This Row],[CH4 24h, ml]]/Table3.110[[#This Row],[DM Incubated, mg]]*1000</f>
        <v>30.565035507327806</v>
      </c>
      <c r="AS893" s="94">
        <f>Table3.110[[#This Row],[CH4 24h, ml]]/Table3.110[[#This Row],[Digested feed, mg]]*1000</f>
        <v>79.244740219184436</v>
      </c>
      <c r="AT893" s="94">
        <f>Table3.110[[#This Row],[CH4 24h, ml]]/'3.2 Digest'!AA893</f>
        <v>-3.2038297228776798</v>
      </c>
      <c r="AU893" s="94">
        <f>((Table3.110[[#This Row],[CH4 24h, ml]]/28.9)*16.04)/Table3.110[[#This Row],[DM Incubated, mg]]*1000</f>
        <v>16.964123513409618</v>
      </c>
      <c r="AV893" s="94">
        <f>((Table3.110[[#This Row],[CH4 24h, ml]]/28.9)*16.04)/Table3.110[[#This Row],[Digested feed, mg]]*1000</f>
        <v>43.982201837914133</v>
      </c>
    </row>
    <row r="894" spans="2:48" s="89" customFormat="1" x14ac:dyDescent="0.35">
      <c r="B894" s="90">
        <f t="shared" si="13"/>
        <v>884</v>
      </c>
      <c r="C894" s="140">
        <v>46057</v>
      </c>
      <c r="D894" s="6" t="s">
        <v>16</v>
      </c>
      <c r="E894" s="6" t="s">
        <v>354</v>
      </c>
      <c r="F894" s="6" t="s">
        <v>226</v>
      </c>
      <c r="G894" s="6" t="s">
        <v>227</v>
      </c>
      <c r="H894" s="6" t="s">
        <v>228</v>
      </c>
      <c r="I894" s="6" t="s">
        <v>22</v>
      </c>
      <c r="J894" s="129" t="s">
        <v>23</v>
      </c>
      <c r="K894" s="129" t="s">
        <v>215</v>
      </c>
      <c r="L894" s="6" t="s">
        <v>353</v>
      </c>
      <c r="M894" s="93">
        <v>29</v>
      </c>
      <c r="N894" s="93">
        <v>63</v>
      </c>
      <c r="O894" s="6">
        <v>2</v>
      </c>
      <c r="P894" s="129">
        <v>1</v>
      </c>
      <c r="Q894" s="6">
        <v>195</v>
      </c>
      <c r="R894" s="98">
        <v>0.50039999999999996</v>
      </c>
      <c r="S894" s="94">
        <f>((Table3.110[[#This Row],[Sample weight, g]]*'2.1. DM'!Q217)/100)*1000</f>
        <v>461.85771020308692</v>
      </c>
      <c r="T894" s="94">
        <f>'3.2 Digest'!W894</f>
        <v>276.25771020308684</v>
      </c>
      <c r="U894" s="153">
        <v>0.34375</v>
      </c>
      <c r="V894" s="154">
        <v>41</v>
      </c>
      <c r="W894" s="153">
        <v>0.67291666666666672</v>
      </c>
      <c r="X894" s="91">
        <v>90.5</v>
      </c>
      <c r="Y894" s="91">
        <v>13.7</v>
      </c>
      <c r="Z894" s="154">
        <v>40</v>
      </c>
      <c r="AA894" s="153">
        <v>0.34583333333333333</v>
      </c>
      <c r="AB894" s="154">
        <v>79</v>
      </c>
      <c r="AC894" s="154">
        <v>17</v>
      </c>
      <c r="AD894" s="91"/>
      <c r="AE894" s="94">
        <f>Table3.110[[#This Row],[Gas 8h, ml]]-Table3.110[[#This Row],[Gas 0h, ml]]</f>
        <v>49.5</v>
      </c>
      <c r="AF894" s="94">
        <f>Table3.110[[#This Row],[Gas 24h, ml]]-Table3.110[[#This Row],[V8 Push back, ml]]</f>
        <v>39</v>
      </c>
      <c r="AG894" s="94">
        <f>Table3.110[[#This Row],[GP 8h, ml]]-(AVERAGE(AE$862,AE$863,AE$912,AE$913,AE$932,AE$933))*$AG$8</f>
        <v>46.254975227659145</v>
      </c>
      <c r="AH894" s="94">
        <f>Table3.110[[#This Row],[GP 8-24h, ml]]-(AVERAGE(AF$862,AF$863,AF$912,AF$913,AF$932,AF$933))*$AG$8</f>
        <v>34.685592064046816</v>
      </c>
      <c r="AI894" s="94">
        <f>Table3.110[[#This Row],[Net gas 8-24h, ml]]+Table3.110[[#This Row],[Net gas 8h, ml]]</f>
        <v>80.94056729170596</v>
      </c>
      <c r="AJ894" s="94">
        <f>Table3.110[[#This Row],[Net gas 8h, ml]]*Table3.110[[#This Row],[CH4 8h %]]%</f>
        <v>6.3369316061893022</v>
      </c>
      <c r="AK894" s="94">
        <f>Table3.110[[#This Row],[Net gas 8-24h, ml]]*Table3.110[[#This Row],[CH4 24h, %]]%</f>
        <v>5.896550650887959</v>
      </c>
      <c r="AL894" s="94">
        <f>Table3.110[[#This Row],[CH4 8-24h, ml]]+Table3.110[[#This Row],[CH4 8h, ml]]</f>
        <v>12.233482257077261</v>
      </c>
      <c r="AM894" s="94">
        <f>(Table3.110[[#This Row],[Net gas 24h, ml]]/Table3.110[[#This Row],[DM Incubated, mg]])*1000</f>
        <v>175.25000774830625</v>
      </c>
      <c r="AN894" s="94">
        <f>'3.2 Digest'!X894</f>
        <v>59.814463221066831</v>
      </c>
      <c r="AO894" s="94">
        <f>Table3.110[[#This Row],[Digested feed, mg]]/Table3.110[[#This Row],[Net gas 24h, ml]]</f>
        <v>3.413093328188165</v>
      </c>
      <c r="AP894" s="94">
        <f>Table3.110[[#This Row],[CH4 8h, ml]]/Table3.110[[#This Row],[Net gas 8h, ml]]%</f>
        <v>13.7</v>
      </c>
      <c r="AQ894" s="94">
        <f>Table3.110[[#This Row],[CH4 24h, ml]]/Table3.110[[#This Row],[Net gas 24h, ml]]%</f>
        <v>15.114154331274172</v>
      </c>
      <c r="AR894" s="94">
        <f>Table3.110[[#This Row],[CH4 24h, ml]]/Table3.110[[#This Row],[DM Incubated, mg]]*1000</f>
        <v>26.487556636648947</v>
      </c>
      <c r="AS894" s="94">
        <f>Table3.110[[#This Row],[CH4 24h, ml]]/Table3.110[[#This Row],[Digested feed, mg]]*1000</f>
        <v>44.28286272294082</v>
      </c>
      <c r="AT894" s="94">
        <f>Table3.110[[#This Row],[CH4 24h, ml]]/'3.2 Digest'!AA894</f>
        <v>1.0945606149585074</v>
      </c>
      <c r="AU894" s="94">
        <f>((Table3.110[[#This Row],[CH4 24h, ml]]/28.9)*16.04)/Table3.110[[#This Row],[DM Incubated, mg]]*1000</f>
        <v>14.701052195565712</v>
      </c>
      <c r="AV894" s="94">
        <f>((Table3.110[[#This Row],[CH4 24h, ml]]/28.9)*16.04)/Table3.110[[#This Row],[Digested feed, mg]]*1000</f>
        <v>24.577754950725627</v>
      </c>
    </row>
    <row r="895" spans="2:48" s="89" customFormat="1" x14ac:dyDescent="0.35">
      <c r="B895" s="90">
        <f t="shared" si="13"/>
        <v>885</v>
      </c>
      <c r="C895" s="140">
        <v>46057</v>
      </c>
      <c r="D895" s="6" t="s">
        <v>16</v>
      </c>
      <c r="E895" s="6" t="s">
        <v>354</v>
      </c>
      <c r="F895" s="6" t="s">
        <v>226</v>
      </c>
      <c r="G895" s="6" t="s">
        <v>227</v>
      </c>
      <c r="H895" s="6" t="s">
        <v>228</v>
      </c>
      <c r="I895" s="6" t="s">
        <v>22</v>
      </c>
      <c r="J895" s="129" t="s">
        <v>23</v>
      </c>
      <c r="K895" s="129" t="s">
        <v>215</v>
      </c>
      <c r="L895" s="6" t="s">
        <v>353</v>
      </c>
      <c r="M895" s="93">
        <v>29</v>
      </c>
      <c r="N895" s="93">
        <v>63</v>
      </c>
      <c r="O895" s="6">
        <v>2</v>
      </c>
      <c r="P895" s="6">
        <v>2</v>
      </c>
      <c r="Q895" s="6">
        <v>196</v>
      </c>
      <c r="R895" s="98">
        <v>0.5</v>
      </c>
      <c r="S895" s="94">
        <f>((Table3.110[[#This Row],[Sample weight, g]]*'2.1. DM'!Q217)/100)*1000</f>
        <v>461.48851938757684</v>
      </c>
      <c r="T895" s="94">
        <f>'3.2 Digest'!W895</f>
        <v>216.18851938757689</v>
      </c>
      <c r="U895" s="117">
        <v>0.34375</v>
      </c>
      <c r="V895" s="155">
        <v>41</v>
      </c>
      <c r="W895" s="117">
        <v>0.67291666666666672</v>
      </c>
      <c r="X895" s="96">
        <v>89</v>
      </c>
      <c r="Y895" s="96">
        <v>13.7</v>
      </c>
      <c r="Z895" s="155">
        <v>40.5</v>
      </c>
      <c r="AA895" s="117">
        <v>0.34652777777777777</v>
      </c>
      <c r="AB895" s="155">
        <v>79</v>
      </c>
      <c r="AC895" s="155">
        <v>16.899999999999999</v>
      </c>
      <c r="AD895" s="96"/>
      <c r="AE895" s="94">
        <f>Table3.110[[#This Row],[Gas 8h, ml]]-Table3.110[[#This Row],[Gas 0h, ml]]</f>
        <v>48</v>
      </c>
      <c r="AF895" s="94">
        <f>Table3.110[[#This Row],[Gas 24h, ml]]-Table3.110[[#This Row],[V8 Push back, ml]]</f>
        <v>38.5</v>
      </c>
      <c r="AG895" s="94">
        <f>Table3.110[[#This Row],[GP 8h, ml]]-(AVERAGE(AE$862,AE$863,AE$912,AE$913,AE$932,AE$933))*$AG$8</f>
        <v>44.754975227659145</v>
      </c>
      <c r="AH895" s="94">
        <f>Table3.110[[#This Row],[GP 8-24h, ml]]-(AVERAGE(AF$862,AF$863,AF$912,AF$913,AF$932,AF$933))*$AG$8</f>
        <v>34.185592064046816</v>
      </c>
      <c r="AI895" s="94">
        <f>Table3.110[[#This Row],[Net gas 8-24h, ml]]+Table3.110[[#This Row],[Net gas 8h, ml]]</f>
        <v>78.94056729170596</v>
      </c>
      <c r="AJ895" s="94">
        <f>Table3.110[[#This Row],[Net gas 8h, ml]]*Table3.110[[#This Row],[CH4 8h %]]%</f>
        <v>6.1314316061893024</v>
      </c>
      <c r="AK895" s="94">
        <f>Table3.110[[#This Row],[Net gas 8-24h, ml]]*Table3.110[[#This Row],[CH4 24h, %]]%</f>
        <v>5.7773650588239116</v>
      </c>
      <c r="AL895" s="94">
        <f>Table3.110[[#This Row],[CH4 8-24h, ml]]+Table3.110[[#This Row],[CH4 8h, ml]]</f>
        <v>11.908796665013213</v>
      </c>
      <c r="AM895" s="94">
        <f>(Table3.110[[#This Row],[Net gas 24h, ml]]/Table3.110[[#This Row],[DM Incubated, mg]])*1000</f>
        <v>171.05640546912167</v>
      </c>
      <c r="AN895" s="94">
        <f>'3.2 Digest'!X895</f>
        <v>46.845914969774789</v>
      </c>
      <c r="AO895" s="94">
        <f>Table3.110[[#This Row],[Digested feed, mg]]/Table3.110[[#This Row],[Net gas 24h, ml]]</f>
        <v>2.7386238382187451</v>
      </c>
      <c r="AP895" s="94">
        <f>Table3.110[[#This Row],[CH4 8h, ml]]/Table3.110[[#This Row],[Net gas 8h, ml]]%</f>
        <v>13.7</v>
      </c>
      <c r="AQ895" s="94">
        <f>Table3.110[[#This Row],[CH4 24h, ml]]/Table3.110[[#This Row],[Net gas 24h, ml]]%</f>
        <v>15.085775379605655</v>
      </c>
      <c r="AR895" s="94">
        <f>Table3.110[[#This Row],[CH4 24h, ml]]/Table3.110[[#This Row],[DM Incubated, mg]]*1000</f>
        <v>25.805185101499177</v>
      </c>
      <c r="AS895" s="94">
        <f>Table3.110[[#This Row],[CH4 24h, ml]]/Table3.110[[#This Row],[Digested feed, mg]]*1000</f>
        <v>55.085240875642647</v>
      </c>
      <c r="AT895" s="94">
        <f>Table3.110[[#This Row],[CH4 24h, ml]]/'3.2 Digest'!AA895</f>
        <v>-0.68096241774171751</v>
      </c>
      <c r="AU895" s="94">
        <f>((Table3.110[[#This Row],[CH4 24h, ml]]/28.9)*16.04)/Table3.110[[#This Row],[DM Incubated, mg]]*1000</f>
        <v>14.322324187821689</v>
      </c>
      <c r="AV895" s="94">
        <f>((Table3.110[[#This Row],[CH4 24h, ml]]/28.9)*16.04)/Table3.110[[#This Row],[Digested feed, mg]]*1000</f>
        <v>30.573261717830729</v>
      </c>
    </row>
    <row r="896" spans="2:48" s="89" customFormat="1" x14ac:dyDescent="0.35">
      <c r="B896" s="90">
        <f t="shared" si="13"/>
        <v>886</v>
      </c>
      <c r="C896" s="140">
        <v>46057</v>
      </c>
      <c r="D896" s="6" t="s">
        <v>16</v>
      </c>
      <c r="E896" s="6" t="s">
        <v>354</v>
      </c>
      <c r="F896" s="6" t="s">
        <v>226</v>
      </c>
      <c r="G896" s="6" t="s">
        <v>227</v>
      </c>
      <c r="H896" s="6" t="s">
        <v>228</v>
      </c>
      <c r="I896" s="6" t="s">
        <v>22</v>
      </c>
      <c r="J896" s="129" t="s">
        <v>23</v>
      </c>
      <c r="K896" s="129" t="s">
        <v>215</v>
      </c>
      <c r="L896" s="6" t="s">
        <v>353</v>
      </c>
      <c r="M896" s="93">
        <v>29</v>
      </c>
      <c r="N896" s="93">
        <v>63</v>
      </c>
      <c r="O896" s="6">
        <v>2</v>
      </c>
      <c r="P896" s="129">
        <v>3</v>
      </c>
      <c r="Q896" s="6">
        <v>197</v>
      </c>
      <c r="R896" s="98">
        <v>0.50049999999999994</v>
      </c>
      <c r="S896" s="94">
        <f>((Table3.110[[#This Row],[Sample weight, g]]*'2.1. DM'!Q217)/100)*1000</f>
        <v>461.9500079069644</v>
      </c>
      <c r="T896" s="94">
        <f>'3.2 Digest'!W896</f>
        <v>269.05000790696431</v>
      </c>
      <c r="U896" s="153">
        <v>0.34375</v>
      </c>
      <c r="V896" s="154">
        <v>40.5</v>
      </c>
      <c r="W896" s="153">
        <v>0.67361111111111116</v>
      </c>
      <c r="X896" s="91">
        <v>87.5</v>
      </c>
      <c r="Y896" s="91">
        <v>13.6</v>
      </c>
      <c r="Z896" s="154">
        <v>40</v>
      </c>
      <c r="AA896" s="153">
        <v>0.34652777777777777</v>
      </c>
      <c r="AB896" s="154">
        <v>79.5</v>
      </c>
      <c r="AC896" s="154">
        <v>16.7</v>
      </c>
      <c r="AD896" s="91"/>
      <c r="AE896" s="94">
        <f>Table3.110[[#This Row],[Gas 8h, ml]]-Table3.110[[#This Row],[Gas 0h, ml]]</f>
        <v>47</v>
      </c>
      <c r="AF896" s="94">
        <f>Table3.110[[#This Row],[Gas 24h, ml]]-Table3.110[[#This Row],[V8 Push back, ml]]</f>
        <v>39.5</v>
      </c>
      <c r="AG896" s="94">
        <f>Table3.110[[#This Row],[GP 8h, ml]]-(AVERAGE(AE$862,AE$863,AE$912,AE$913,AE$932,AE$933))*$AG$8</f>
        <v>43.754975227659145</v>
      </c>
      <c r="AH896" s="94">
        <f>Table3.110[[#This Row],[GP 8-24h, ml]]-(AVERAGE(AF$862,AF$863,AF$912,AF$913,AF$932,AF$933))*$AG$8</f>
        <v>35.185592064046816</v>
      </c>
      <c r="AI896" s="94">
        <f>Table3.110[[#This Row],[Net gas 8-24h, ml]]+Table3.110[[#This Row],[Net gas 8h, ml]]</f>
        <v>78.94056729170596</v>
      </c>
      <c r="AJ896" s="94">
        <f>Table3.110[[#This Row],[Net gas 8h, ml]]*Table3.110[[#This Row],[CH4 8h %]]%</f>
        <v>5.9506766309616443</v>
      </c>
      <c r="AK896" s="94">
        <f>Table3.110[[#This Row],[Net gas 8-24h, ml]]*Table3.110[[#This Row],[CH4 24h, %]]%</f>
        <v>5.8759938746958174</v>
      </c>
      <c r="AL896" s="94">
        <f>Table3.110[[#This Row],[CH4 8-24h, ml]]+Table3.110[[#This Row],[CH4 8h, ml]]</f>
        <v>11.826670505657461</v>
      </c>
      <c r="AM896" s="94">
        <f>(Table3.110[[#This Row],[Net gas 24h, ml]]/Table3.110[[#This Row],[DM Incubated, mg]])*1000</f>
        <v>170.8855199491725</v>
      </c>
      <c r="AN896" s="94">
        <f>'3.2 Digest'!X896</f>
        <v>58.242234722756045</v>
      </c>
      <c r="AO896" s="94">
        <f>Table3.110[[#This Row],[Digested feed, mg]]/Table3.110[[#This Row],[Net gas 24h, ml]]</f>
        <v>3.4082603804043421</v>
      </c>
      <c r="AP896" s="94">
        <f>Table3.110[[#This Row],[CH4 8h, ml]]/Table3.110[[#This Row],[Net gas 8h, ml]]%</f>
        <v>13.600000000000001</v>
      </c>
      <c r="AQ896" s="94">
        <f>Table3.110[[#This Row],[CH4 24h, ml]]/Table3.110[[#This Row],[Net gas 24h, ml]]%</f>
        <v>14.981739948681685</v>
      </c>
      <c r="AR896" s="94">
        <f>Table3.110[[#This Row],[CH4 24h, ml]]/Table3.110[[#This Row],[DM Incubated, mg]]*1000</f>
        <v>25.60162420873759</v>
      </c>
      <c r="AS896" s="94">
        <f>Table3.110[[#This Row],[CH4 24h, ml]]/Table3.110[[#This Row],[Digested feed, mg]]*1000</f>
        <v>43.957146099572107</v>
      </c>
      <c r="AT896" s="94">
        <f>Table3.110[[#This Row],[CH4 24h, ml]]/'3.2 Digest'!AA896</f>
        <v>1.5356385763792439</v>
      </c>
      <c r="AU896" s="94">
        <f>((Table3.110[[#This Row],[CH4 24h, ml]]/28.9)*16.04)/Table3.110[[#This Row],[DM Incubated, mg]]*1000</f>
        <v>14.209344370524255</v>
      </c>
      <c r="AV896" s="94">
        <f>((Table3.110[[#This Row],[CH4 24h, ml]]/28.9)*16.04)/Table3.110[[#This Row],[Digested feed, mg]]*1000</f>
        <v>24.3969765895203</v>
      </c>
    </row>
    <row r="897" spans="2:48" s="89" customFormat="1" x14ac:dyDescent="0.35">
      <c r="B897" s="90">
        <f t="shared" si="13"/>
        <v>887</v>
      </c>
      <c r="C897" s="140">
        <v>46057</v>
      </c>
      <c r="D897" s="6" t="s">
        <v>16</v>
      </c>
      <c r="E897" s="6" t="s">
        <v>356</v>
      </c>
      <c r="F897" s="6" t="s">
        <v>219</v>
      </c>
      <c r="G897" s="6" t="s">
        <v>253</v>
      </c>
      <c r="H897" s="6" t="s">
        <v>254</v>
      </c>
      <c r="I897" s="6" t="s">
        <v>22</v>
      </c>
      <c r="J897" s="129" t="s">
        <v>23</v>
      </c>
      <c r="K897" s="129" t="s">
        <v>215</v>
      </c>
      <c r="L897" s="6" t="s">
        <v>355</v>
      </c>
      <c r="M897" s="93">
        <v>29</v>
      </c>
      <c r="N897" s="93">
        <v>63</v>
      </c>
      <c r="O897" s="6">
        <v>2</v>
      </c>
      <c r="P897" s="129">
        <v>1</v>
      </c>
      <c r="Q897" s="6">
        <v>198</v>
      </c>
      <c r="R897" s="98">
        <v>0.50029999999999997</v>
      </c>
      <c r="S897" s="94">
        <f>((Table3.110[[#This Row],[Sample weight, g]]*'2.1. DM'!Q219)/100)*1000</f>
        <v>450.6325862368812</v>
      </c>
      <c r="T897" s="94">
        <f>'3.2 Digest'!W897</f>
        <v>138.03258623688123</v>
      </c>
      <c r="U897" s="117">
        <v>0.34444444444444444</v>
      </c>
      <c r="V897" s="155">
        <v>40</v>
      </c>
      <c r="W897" s="117">
        <v>0.6743055555555556</v>
      </c>
      <c r="X897" s="96">
        <v>79</v>
      </c>
      <c r="Y897" s="96">
        <v>13.8</v>
      </c>
      <c r="Z897" s="155">
        <v>40.5</v>
      </c>
      <c r="AA897" s="117">
        <v>0.34722222222222221</v>
      </c>
      <c r="AB897" s="155">
        <v>90</v>
      </c>
      <c r="AC897" s="155">
        <v>16.600000000000001</v>
      </c>
      <c r="AD897" s="96"/>
      <c r="AE897" s="94">
        <f>Table3.110[[#This Row],[Gas 8h, ml]]-Table3.110[[#This Row],[Gas 0h, ml]]</f>
        <v>39</v>
      </c>
      <c r="AF897" s="94">
        <f>Table3.110[[#This Row],[Gas 24h, ml]]-Table3.110[[#This Row],[V8 Push back, ml]]</f>
        <v>49.5</v>
      </c>
      <c r="AG897" s="94">
        <f>Table3.110[[#This Row],[GP 8h, ml]]-(AVERAGE(AE$862,AE$863,AE$912,AE$913,AE$932,AE$933))*$AG$8</f>
        <v>35.754975227659145</v>
      </c>
      <c r="AH897" s="94">
        <f>Table3.110[[#This Row],[GP 8-24h, ml]]-(AVERAGE(AF$862,AF$863,AF$912,AF$913,AF$932,AF$933))*$AG$8</f>
        <v>45.185592064046816</v>
      </c>
      <c r="AI897" s="94">
        <f>Table3.110[[#This Row],[Net gas 8-24h, ml]]+Table3.110[[#This Row],[Net gas 8h, ml]]</f>
        <v>80.94056729170596</v>
      </c>
      <c r="AJ897" s="94">
        <f>Table3.110[[#This Row],[Net gas 8h, ml]]*Table3.110[[#This Row],[CH4 8h %]]%</f>
        <v>4.9341865814169621</v>
      </c>
      <c r="AK897" s="94">
        <f>Table3.110[[#This Row],[Net gas 8-24h, ml]]*Table3.110[[#This Row],[CH4 24h, %]]%</f>
        <v>7.5008082826317715</v>
      </c>
      <c r="AL897" s="94">
        <f>Table3.110[[#This Row],[CH4 8-24h, ml]]+Table3.110[[#This Row],[CH4 8h, ml]]</f>
        <v>12.434994864048733</v>
      </c>
      <c r="AM897" s="94">
        <f>(Table3.110[[#This Row],[Net gas 24h, ml]]/Table3.110[[#This Row],[DM Incubated, mg]])*1000</f>
        <v>179.61543342353505</v>
      </c>
      <c r="AN897" s="94">
        <f>'3.2 Digest'!X897</f>
        <v>30.630848822886168</v>
      </c>
      <c r="AO897" s="94">
        <f>Table3.110[[#This Row],[Digested feed, mg]]/Table3.110[[#This Row],[Net gas 24h, ml]]</f>
        <v>1.7053572869018616</v>
      </c>
      <c r="AP897" s="94">
        <f>Table3.110[[#This Row],[CH4 8h, ml]]/Table3.110[[#This Row],[Net gas 8h, ml]]%</f>
        <v>13.799999999999999</v>
      </c>
      <c r="AQ897" s="94">
        <f>Table3.110[[#This Row],[CH4 24h, ml]]/Table3.110[[#This Row],[Net gas 24h, ml]]%</f>
        <v>15.363118001426407</v>
      </c>
      <c r="AR897" s="94">
        <f>Table3.110[[#This Row],[CH4 24h, ml]]/Table3.110[[#This Row],[DM Incubated, mg]]*1000</f>
        <v>27.594530985631181</v>
      </c>
      <c r="AS897" s="94">
        <f>Table3.110[[#This Row],[CH4 24h, ml]]/Table3.110[[#This Row],[Digested feed, mg]]*1000</f>
        <v>90.087385906895349</v>
      </c>
      <c r="AT897" s="94">
        <f>Table3.110[[#This Row],[CH4 24h, ml]]/'3.2 Digest'!AA897</f>
        <v>-0.31220604419288728</v>
      </c>
      <c r="AU897" s="94">
        <f>((Table3.110[[#This Row],[CH4 24h, ml]]/28.9)*16.04)/Table3.110[[#This Row],[DM Incubated, mg]]*1000</f>
        <v>15.3154421110562</v>
      </c>
      <c r="AV897" s="94">
        <f>((Table3.110[[#This Row],[CH4 24h, ml]]/28.9)*16.04)/Table3.110[[#This Row],[Digested feed, mg]]*1000</f>
        <v>50.000057783619432</v>
      </c>
    </row>
    <row r="898" spans="2:48" s="89" customFormat="1" x14ac:dyDescent="0.35">
      <c r="B898" s="90">
        <f t="shared" si="13"/>
        <v>888</v>
      </c>
      <c r="C898" s="140">
        <v>46057</v>
      </c>
      <c r="D898" s="6" t="s">
        <v>16</v>
      </c>
      <c r="E898" s="6" t="s">
        <v>356</v>
      </c>
      <c r="F898" s="6" t="s">
        <v>219</v>
      </c>
      <c r="G898" s="6" t="s">
        <v>253</v>
      </c>
      <c r="H898" s="6" t="s">
        <v>254</v>
      </c>
      <c r="I898" s="6" t="s">
        <v>22</v>
      </c>
      <c r="J898" s="129" t="s">
        <v>23</v>
      </c>
      <c r="K898" s="129" t="s">
        <v>215</v>
      </c>
      <c r="L898" s="6" t="s">
        <v>355</v>
      </c>
      <c r="M898" s="93">
        <v>29</v>
      </c>
      <c r="N898" s="93">
        <v>63</v>
      </c>
      <c r="O898" s="6">
        <v>2</v>
      </c>
      <c r="P898" s="6">
        <v>2</v>
      </c>
      <c r="Q898" s="6">
        <v>199</v>
      </c>
      <c r="R898" s="98">
        <v>0.50019999999999998</v>
      </c>
      <c r="S898" s="94">
        <f>((Table3.110[[#This Row],[Sample weight, g]]*'2.1. DM'!Q219)/100)*1000</f>
        <v>450.54251376311811</v>
      </c>
      <c r="T898" s="94">
        <f>'3.2 Digest'!W898</f>
        <v>219.04251376311808</v>
      </c>
      <c r="U898" s="153">
        <v>0.34444444444444444</v>
      </c>
      <c r="V898" s="154">
        <v>40</v>
      </c>
      <c r="W898" s="153">
        <v>0.6743055555555556</v>
      </c>
      <c r="X898" s="91">
        <v>78</v>
      </c>
      <c r="Y898" s="91">
        <v>13.9</v>
      </c>
      <c r="Z898" s="154">
        <v>40</v>
      </c>
      <c r="AA898" s="153">
        <v>0.34722222222222221</v>
      </c>
      <c r="AB898" s="154">
        <v>89</v>
      </c>
      <c r="AC898" s="154">
        <v>16.2</v>
      </c>
      <c r="AD898" s="91"/>
      <c r="AE898" s="94">
        <f>Table3.110[[#This Row],[Gas 8h, ml]]-Table3.110[[#This Row],[Gas 0h, ml]]</f>
        <v>38</v>
      </c>
      <c r="AF898" s="94">
        <f>Table3.110[[#This Row],[Gas 24h, ml]]-Table3.110[[#This Row],[V8 Push back, ml]]</f>
        <v>49</v>
      </c>
      <c r="AG898" s="94">
        <f>Table3.110[[#This Row],[GP 8h, ml]]-(AVERAGE(AE$862,AE$863,AE$912,AE$913,AE$932,AE$933))*$AG$8</f>
        <v>34.754975227659145</v>
      </c>
      <c r="AH898" s="94">
        <f>Table3.110[[#This Row],[GP 8-24h, ml]]-(AVERAGE(AF$862,AF$863,AF$912,AF$913,AF$932,AF$933))*$AG$8</f>
        <v>44.685592064046816</v>
      </c>
      <c r="AI898" s="94">
        <f>Table3.110[[#This Row],[Net gas 8-24h, ml]]+Table3.110[[#This Row],[Net gas 8h, ml]]</f>
        <v>79.44056729170596</v>
      </c>
      <c r="AJ898" s="94">
        <f>Table3.110[[#This Row],[Net gas 8h, ml]]*Table3.110[[#This Row],[CH4 8h %]]%</f>
        <v>4.8309415566446212</v>
      </c>
      <c r="AK898" s="94">
        <f>Table3.110[[#This Row],[Net gas 8-24h, ml]]*Table3.110[[#This Row],[CH4 24h, %]]%</f>
        <v>7.2390659143755842</v>
      </c>
      <c r="AL898" s="94">
        <f>Table3.110[[#This Row],[CH4 8-24h, ml]]+Table3.110[[#This Row],[CH4 8h, ml]]</f>
        <v>12.070007471020205</v>
      </c>
      <c r="AM898" s="94">
        <f>(Table3.110[[#This Row],[Net gas 24h, ml]]/Table3.110[[#This Row],[DM Incubated, mg]])*1000</f>
        <v>176.32202259490535</v>
      </c>
      <c r="AN898" s="94">
        <f>'3.2 Digest'!X898</f>
        <v>48.617501583498537</v>
      </c>
      <c r="AO898" s="94">
        <f>Table3.110[[#This Row],[Digested feed, mg]]/Table3.110[[#This Row],[Net gas 24h, ml]]</f>
        <v>2.7573130609552852</v>
      </c>
      <c r="AP898" s="94">
        <f>Table3.110[[#This Row],[CH4 8h, ml]]/Table3.110[[#This Row],[Net gas 8h, ml]]%</f>
        <v>13.9</v>
      </c>
      <c r="AQ898" s="94">
        <f>Table3.110[[#This Row],[CH4 24h, ml]]/Table3.110[[#This Row],[Net gas 24h, ml]]%</f>
        <v>15.193757902935292</v>
      </c>
      <c r="AR898" s="94">
        <f>Table3.110[[#This Row],[CH4 24h, ml]]/Table3.110[[#This Row],[DM Incubated, mg]]*1000</f>
        <v>26.789941242628782</v>
      </c>
      <c r="AS898" s="94">
        <f>Table3.110[[#This Row],[CH4 24h, ml]]/Table3.110[[#This Row],[Digested feed, mg]]*1000</f>
        <v>55.103492302289894</v>
      </c>
      <c r="AT898" s="94">
        <f>Table3.110[[#This Row],[CH4 24h, ml]]/'3.2 Digest'!AA898</f>
        <v>-3.3779062298741618</v>
      </c>
      <c r="AU898" s="94">
        <f>((Table3.110[[#This Row],[CH4 24h, ml]]/28.9)*16.04)/Table3.110[[#This Row],[DM Incubated, mg]]*1000</f>
        <v>14.8688808834521</v>
      </c>
      <c r="AV898" s="94">
        <f>((Table3.110[[#This Row],[CH4 24h, ml]]/28.9)*16.04)/Table3.110[[#This Row],[Digested feed, mg]]*1000</f>
        <v>30.583391575388575</v>
      </c>
    </row>
    <row r="899" spans="2:48" s="89" customFormat="1" x14ac:dyDescent="0.35">
      <c r="B899" s="90">
        <f t="shared" si="13"/>
        <v>889</v>
      </c>
      <c r="C899" s="140">
        <v>46057</v>
      </c>
      <c r="D899" s="6" t="s">
        <v>16</v>
      </c>
      <c r="E899" s="6" t="s">
        <v>356</v>
      </c>
      <c r="F899" s="6" t="s">
        <v>219</v>
      </c>
      <c r="G899" s="6" t="s">
        <v>253</v>
      </c>
      <c r="H899" s="6" t="s">
        <v>254</v>
      </c>
      <c r="I899" s="6" t="s">
        <v>22</v>
      </c>
      <c r="J899" s="129" t="s">
        <v>23</v>
      </c>
      <c r="K899" s="129" t="s">
        <v>215</v>
      </c>
      <c r="L899" s="6" t="s">
        <v>355</v>
      </c>
      <c r="M899" s="93">
        <v>29</v>
      </c>
      <c r="N899" s="93">
        <v>63</v>
      </c>
      <c r="O899" s="6">
        <v>2</v>
      </c>
      <c r="P899" s="129">
        <v>3</v>
      </c>
      <c r="Q899" s="6">
        <v>200</v>
      </c>
      <c r="R899" s="98">
        <v>0.50039999999999996</v>
      </c>
      <c r="S899" s="94">
        <f>((Table3.110[[#This Row],[Sample weight, g]]*'2.1. DM'!Q219)/100)*1000</f>
        <v>450.72265871064434</v>
      </c>
      <c r="T899" s="94">
        <f>'3.2 Digest'!W899</f>
        <v>234.92265871064436</v>
      </c>
      <c r="U899" s="117">
        <v>0.34513888888888888</v>
      </c>
      <c r="V899" s="155">
        <v>40</v>
      </c>
      <c r="W899" s="117">
        <v>0.67500000000000004</v>
      </c>
      <c r="X899" s="96">
        <v>78.5</v>
      </c>
      <c r="Y899" s="96">
        <v>13.8</v>
      </c>
      <c r="Z899" s="155">
        <v>40</v>
      </c>
      <c r="AA899" s="117">
        <v>0.34791666666666665</v>
      </c>
      <c r="AB899" s="155">
        <v>89.5</v>
      </c>
      <c r="AC899" s="155">
        <v>16.3</v>
      </c>
      <c r="AD899" s="96"/>
      <c r="AE899" s="94">
        <f>Table3.110[[#This Row],[Gas 8h, ml]]-Table3.110[[#This Row],[Gas 0h, ml]]</f>
        <v>38.5</v>
      </c>
      <c r="AF899" s="94">
        <f>Table3.110[[#This Row],[Gas 24h, ml]]-Table3.110[[#This Row],[V8 Push back, ml]]</f>
        <v>49.5</v>
      </c>
      <c r="AG899" s="94">
        <f>Table3.110[[#This Row],[GP 8h, ml]]-(AVERAGE(AE$862,AE$863,AE$912,AE$913,AE$932,AE$933))*$AG$8</f>
        <v>35.254975227659145</v>
      </c>
      <c r="AH899" s="94">
        <f>Table3.110[[#This Row],[GP 8-24h, ml]]-(AVERAGE(AF$862,AF$863,AF$912,AF$913,AF$932,AF$933))*$AG$8</f>
        <v>45.185592064046816</v>
      </c>
      <c r="AI899" s="94">
        <f>Table3.110[[#This Row],[Net gas 8-24h, ml]]+Table3.110[[#This Row],[Net gas 8h, ml]]</f>
        <v>80.44056729170596</v>
      </c>
      <c r="AJ899" s="94">
        <f>Table3.110[[#This Row],[Net gas 8h, ml]]*Table3.110[[#This Row],[CH4 8h %]]%</f>
        <v>4.8651865814169621</v>
      </c>
      <c r="AK899" s="94">
        <f>Table3.110[[#This Row],[Net gas 8-24h, ml]]*Table3.110[[#This Row],[CH4 24h, %]]%</f>
        <v>7.3652515064396313</v>
      </c>
      <c r="AL899" s="94">
        <f>Table3.110[[#This Row],[CH4 8-24h, ml]]+Table3.110[[#This Row],[CH4 8h, ml]]</f>
        <v>12.230438087856594</v>
      </c>
      <c r="AM899" s="94">
        <f>(Table3.110[[#This Row],[Net gas 24h, ml]]/Table3.110[[#This Row],[DM Incubated, mg]])*1000</f>
        <v>178.47020942283561</v>
      </c>
      <c r="AN899" s="94">
        <f>'3.2 Digest'!X899</f>
        <v>52.121333190275756</v>
      </c>
      <c r="AO899" s="94">
        <f>Table3.110[[#This Row],[Digested feed, mg]]/Table3.110[[#This Row],[Net gas 24h, ml]]</f>
        <v>2.920450049273418</v>
      </c>
      <c r="AP899" s="94">
        <f>Table3.110[[#This Row],[CH4 8h, ml]]/Table3.110[[#This Row],[Net gas 8h, ml]]%</f>
        <v>13.799999999999999</v>
      </c>
      <c r="AQ899" s="94">
        <f>Table3.110[[#This Row],[CH4 24h, ml]]/Table3.110[[#This Row],[Net gas 24h, ml]]%</f>
        <v>15.204316055485659</v>
      </c>
      <c r="AR899" s="94">
        <f>Table3.110[[#This Row],[CH4 24h, ml]]/Table3.110[[#This Row],[DM Incubated, mg]]*1000</f>
        <v>27.135174705535071</v>
      </c>
      <c r="AS899" s="94">
        <f>Table3.110[[#This Row],[CH4 24h, ml]]/Table3.110[[#This Row],[Digested feed, mg]]*1000</f>
        <v>52.061551469672828</v>
      </c>
      <c r="AT899" s="94">
        <f>Table3.110[[#This Row],[CH4 24h, ml]]/'3.2 Digest'!AA899</f>
        <v>3.5048700172062945</v>
      </c>
      <c r="AU899" s="94">
        <f>((Table3.110[[#This Row],[CH4 24h, ml]]/28.9)*16.04)/Table3.110[[#This Row],[DM Incubated, mg]]*1000</f>
        <v>15.060491428262372</v>
      </c>
      <c r="AV899" s="94">
        <f>((Table3.110[[#This Row],[CH4 24h, ml]]/28.9)*16.04)/Table3.110[[#This Row],[Digested feed, mg]]*1000</f>
        <v>28.895061784551974</v>
      </c>
    </row>
    <row r="900" spans="2:48" s="89" customFormat="1" x14ac:dyDescent="0.35">
      <c r="B900" s="90">
        <f t="shared" si="13"/>
        <v>890</v>
      </c>
      <c r="C900" s="140">
        <v>46057</v>
      </c>
      <c r="D900" s="6" t="s">
        <v>16</v>
      </c>
      <c r="E900" s="6" t="s">
        <v>358</v>
      </c>
      <c r="F900" s="6" t="s">
        <v>212</v>
      </c>
      <c r="G900" s="6" t="s">
        <v>359</v>
      </c>
      <c r="H900" s="6" t="s">
        <v>360</v>
      </c>
      <c r="I900" s="6" t="s">
        <v>22</v>
      </c>
      <c r="J900" s="129" t="s">
        <v>23</v>
      </c>
      <c r="K900" s="129" t="s">
        <v>215</v>
      </c>
      <c r="L900" s="6" t="s">
        <v>357</v>
      </c>
      <c r="M900" s="93">
        <v>29</v>
      </c>
      <c r="N900" s="93">
        <v>63</v>
      </c>
      <c r="O900" s="6">
        <v>2</v>
      </c>
      <c r="P900" s="129">
        <v>1</v>
      </c>
      <c r="Q900" s="6">
        <v>201</v>
      </c>
      <c r="R900" s="98">
        <v>0.50009999999999999</v>
      </c>
      <c r="S900" s="94">
        <f>((Table3.110[[#This Row],[Sample weight, g]]*'2.1. DM'!Q221)/100)*1000</f>
        <v>459.47093790620954</v>
      </c>
      <c r="T900" s="94">
        <f>'3.2 Digest'!W900</f>
        <v>214.37093790620955</v>
      </c>
      <c r="U900" s="153">
        <v>0.34513888888888888</v>
      </c>
      <c r="V900" s="154">
        <v>41</v>
      </c>
      <c r="W900" s="153">
        <v>0.67500000000000004</v>
      </c>
      <c r="X900" s="91">
        <v>91.5</v>
      </c>
      <c r="Y900" s="91">
        <v>14.5</v>
      </c>
      <c r="Z900" s="154">
        <v>40</v>
      </c>
      <c r="AA900" s="153">
        <v>0.34791666666666665</v>
      </c>
      <c r="AB900" s="154">
        <v>84.5</v>
      </c>
      <c r="AC900" s="154">
        <v>17.399999999999999</v>
      </c>
      <c r="AD900" s="91"/>
      <c r="AE900" s="94">
        <f>Table3.110[[#This Row],[Gas 8h, ml]]-Table3.110[[#This Row],[Gas 0h, ml]]</f>
        <v>50.5</v>
      </c>
      <c r="AF900" s="94">
        <f>Table3.110[[#This Row],[Gas 24h, ml]]-Table3.110[[#This Row],[V8 Push back, ml]]</f>
        <v>44.5</v>
      </c>
      <c r="AG900" s="94">
        <f>Table3.110[[#This Row],[GP 8h, ml]]-(AVERAGE(AE$862,AE$863,AE$912,AE$913,AE$932,AE$933))*$AG$8</f>
        <v>47.254975227659145</v>
      </c>
      <c r="AH900" s="94">
        <f>Table3.110[[#This Row],[GP 8-24h, ml]]-(AVERAGE(AF$862,AF$863,AF$912,AF$913,AF$932,AF$933))*$AG$8</f>
        <v>40.185592064046816</v>
      </c>
      <c r="AI900" s="94">
        <f>Table3.110[[#This Row],[Net gas 8-24h, ml]]+Table3.110[[#This Row],[Net gas 8h, ml]]</f>
        <v>87.44056729170596</v>
      </c>
      <c r="AJ900" s="94">
        <f>Table3.110[[#This Row],[Net gas 8h, ml]]*Table3.110[[#This Row],[CH4 8h %]]%</f>
        <v>6.8519714080105754</v>
      </c>
      <c r="AK900" s="94">
        <f>Table3.110[[#This Row],[Net gas 8-24h, ml]]*Table3.110[[#This Row],[CH4 24h, %]]%</f>
        <v>6.992293019144145</v>
      </c>
      <c r="AL900" s="94">
        <f>Table3.110[[#This Row],[CH4 8-24h, ml]]+Table3.110[[#This Row],[CH4 8h, ml]]</f>
        <v>13.844264427154719</v>
      </c>
      <c r="AM900" s="94">
        <f>(Table3.110[[#This Row],[Net gas 24h, ml]]/Table3.110[[#This Row],[DM Incubated, mg]])*1000</f>
        <v>190.30706858233316</v>
      </c>
      <c r="AN900" s="94">
        <f>'3.2 Digest'!X900</f>
        <v>46.656038547963277</v>
      </c>
      <c r="AO900" s="94">
        <f>Table3.110[[#This Row],[Digested feed, mg]]/Table3.110[[#This Row],[Net gas 24h, ml]]</f>
        <v>2.4516187914364478</v>
      </c>
      <c r="AP900" s="94">
        <f>Table3.110[[#This Row],[CH4 8h, ml]]/Table3.110[[#This Row],[Net gas 8h, ml]]%</f>
        <v>14.499999999999998</v>
      </c>
      <c r="AQ900" s="94">
        <f>Table3.110[[#This Row],[CH4 24h, ml]]/Table3.110[[#This Row],[Net gas 24h, ml]]%</f>
        <v>15.832770596020476</v>
      </c>
      <c r="AR900" s="94">
        <f>Table3.110[[#This Row],[CH4 24h, ml]]/Table3.110[[#This Row],[DM Incubated, mg]]*1000</f>
        <v>30.130881596652166</v>
      </c>
      <c r="AS900" s="94">
        <f>Table3.110[[#This Row],[CH4 24h, ml]]/Table3.110[[#This Row],[Digested feed, mg]]*1000</f>
        <v>64.580882849016547</v>
      </c>
      <c r="AT900" s="94">
        <f>Table3.110[[#This Row],[CH4 24h, ml]]/'3.2 Digest'!AA900</f>
        <v>5.645787209009109</v>
      </c>
      <c r="AU900" s="94">
        <f>((Table3.110[[#This Row],[CH4 24h, ml]]/28.9)*16.04)/Table3.110[[#This Row],[DM Incubated, mg]]*1000</f>
        <v>16.723160581671305</v>
      </c>
      <c r="AV900" s="94">
        <f>((Table3.110[[#This Row],[CH4 24h, ml]]/28.9)*16.04)/Table3.110[[#This Row],[Digested feed, mg]]*1000</f>
        <v>35.843507297516453</v>
      </c>
    </row>
    <row r="901" spans="2:48" s="89" customFormat="1" x14ac:dyDescent="0.35">
      <c r="B901" s="90">
        <f t="shared" si="13"/>
        <v>891</v>
      </c>
      <c r="C901" s="140">
        <v>46057</v>
      </c>
      <c r="D901" s="6" t="s">
        <v>16</v>
      </c>
      <c r="E901" s="6" t="s">
        <v>358</v>
      </c>
      <c r="F901" s="6" t="s">
        <v>212</v>
      </c>
      <c r="G901" s="6" t="s">
        <v>359</v>
      </c>
      <c r="H901" s="6" t="s">
        <v>360</v>
      </c>
      <c r="I901" s="6" t="s">
        <v>22</v>
      </c>
      <c r="J901" s="129" t="s">
        <v>23</v>
      </c>
      <c r="K901" s="129" t="s">
        <v>215</v>
      </c>
      <c r="L901" s="6" t="s">
        <v>357</v>
      </c>
      <c r="M901" s="93">
        <v>29</v>
      </c>
      <c r="N901" s="93">
        <v>63</v>
      </c>
      <c r="O901" s="6">
        <v>2</v>
      </c>
      <c r="P901" s="6">
        <v>2</v>
      </c>
      <c r="Q901" s="6">
        <v>202</v>
      </c>
      <c r="R901" s="98">
        <v>0.50039999999999996</v>
      </c>
      <c r="S901" s="94">
        <f>((Table3.110[[#This Row],[Sample weight, g]]*'2.1. DM'!Q221)/100)*1000</f>
        <v>459.74656534346582</v>
      </c>
      <c r="T901" s="94">
        <f>'3.2 Digest'!W901</f>
        <v>191.34656534346584</v>
      </c>
      <c r="U901" s="117">
        <v>0.34513888888888888</v>
      </c>
      <c r="V901" s="155">
        <v>40</v>
      </c>
      <c r="W901" s="117">
        <v>0.67569444444444449</v>
      </c>
      <c r="X901" s="96">
        <v>88.5</v>
      </c>
      <c r="Y901" s="96">
        <v>14.5</v>
      </c>
      <c r="Z901" s="155">
        <v>37.5</v>
      </c>
      <c r="AA901" s="117">
        <v>0.34861111111111109</v>
      </c>
      <c r="AB901" s="155">
        <v>81</v>
      </c>
      <c r="AC901" s="155">
        <v>17.399999999999999</v>
      </c>
      <c r="AD901" s="96" t="s">
        <v>587</v>
      </c>
      <c r="AE901" s="94">
        <f>Table3.110[[#This Row],[Gas 8h, ml]]-Table3.110[[#This Row],[Gas 0h, ml]]</f>
        <v>48.5</v>
      </c>
      <c r="AF901" s="94">
        <f>Table3.110[[#This Row],[Gas 24h, ml]]-Table3.110[[#This Row],[V8 Push back, ml]]</f>
        <v>43.5</v>
      </c>
      <c r="AG901" s="94">
        <f>Table3.110[[#This Row],[GP 8h, ml]]-(AVERAGE(AE$862,AE$863,AE$912,AE$913,AE$932,AE$933))*$AG$8</f>
        <v>45.254975227659145</v>
      </c>
      <c r="AH901" s="94">
        <f>Table3.110[[#This Row],[GP 8-24h, ml]]-(AVERAGE(AF$862,AF$863,AF$912,AF$913,AF$932,AF$933))*$AG$8</f>
        <v>39.185592064046816</v>
      </c>
      <c r="AI901" s="94">
        <f>Table3.110[[#This Row],[Net gas 8-24h, ml]]+Table3.110[[#This Row],[Net gas 8h, ml]]</f>
        <v>84.44056729170596</v>
      </c>
      <c r="AJ901" s="94">
        <f>Table3.110[[#This Row],[Net gas 8h, ml]]*Table3.110[[#This Row],[CH4 8h %]]%</f>
        <v>6.5619714080105753</v>
      </c>
      <c r="AK901" s="94">
        <f>Table3.110[[#This Row],[Net gas 8-24h, ml]]*Table3.110[[#This Row],[CH4 24h, %]]%</f>
        <v>6.8182930191441455</v>
      </c>
      <c r="AL901" s="94">
        <f>Table3.110[[#This Row],[CH4 8-24h, ml]]+Table3.110[[#This Row],[CH4 8h, ml]]</f>
        <v>13.380264427154721</v>
      </c>
      <c r="AM901" s="94">
        <f>(Table3.110[[#This Row],[Net gas 24h, ml]]/Table3.110[[#This Row],[DM Incubated, mg]])*1000</f>
        <v>183.6676413854716</v>
      </c>
      <c r="AN901" s="94">
        <f>'3.2 Digest'!X901</f>
        <v>41.620009754834236</v>
      </c>
      <c r="AO901" s="94">
        <f>Table3.110[[#This Row],[Digested feed, mg]]/Table3.110[[#This Row],[Net gas 24h, ml]]</f>
        <v>2.2660502111792487</v>
      </c>
      <c r="AP901" s="94">
        <f>Table3.110[[#This Row],[CH4 8h, ml]]/Table3.110[[#This Row],[Net gas 8h, ml]]%</f>
        <v>14.499999999999998</v>
      </c>
      <c r="AQ901" s="94">
        <f>Table3.110[[#This Row],[CH4 24h, ml]]/Table3.110[[#This Row],[Net gas 24h, ml]]%</f>
        <v>15.845777517021698</v>
      </c>
      <c r="AR901" s="94">
        <f>Table3.110[[#This Row],[CH4 24h, ml]]/Table3.110[[#This Row],[DM Incubated, mg]]*1000</f>
        <v>29.103565824703097</v>
      </c>
      <c r="AS901" s="94">
        <f>Table3.110[[#This Row],[CH4 24h, ml]]/Table3.110[[#This Row],[Digested feed, mg]]*1000</f>
        <v>69.926859691143306</v>
      </c>
      <c r="AT901" s="94">
        <f>Table3.110[[#This Row],[CH4 24h, ml]]/'3.2 Digest'!AA901</f>
        <v>-1.9801980501146814</v>
      </c>
      <c r="AU901" s="94">
        <f>((Table3.110[[#This Row],[CH4 24h, ml]]/28.9)*16.04)/Table3.110[[#This Row],[DM Incubated, mg]]*1000</f>
        <v>16.152982554610297</v>
      </c>
      <c r="AV901" s="94">
        <f>((Table3.110[[#This Row],[CH4 24h, ml]]/28.9)*16.04)/Table3.110[[#This Row],[Digested feed, mg]]*1000</f>
        <v>38.81061693584563</v>
      </c>
    </row>
    <row r="902" spans="2:48" s="89" customFormat="1" x14ac:dyDescent="0.35">
      <c r="B902" s="90">
        <f t="shared" si="13"/>
        <v>892</v>
      </c>
      <c r="C902" s="140">
        <v>46057</v>
      </c>
      <c r="D902" s="6" t="s">
        <v>16</v>
      </c>
      <c r="E902" s="6" t="s">
        <v>358</v>
      </c>
      <c r="F902" s="6" t="s">
        <v>212</v>
      </c>
      <c r="G902" s="6" t="s">
        <v>359</v>
      </c>
      <c r="H902" s="6" t="s">
        <v>360</v>
      </c>
      <c r="I902" s="6" t="s">
        <v>22</v>
      </c>
      <c r="J902" s="129" t="s">
        <v>23</v>
      </c>
      <c r="K902" s="129" t="s">
        <v>215</v>
      </c>
      <c r="L902" s="6" t="s">
        <v>357</v>
      </c>
      <c r="M902" s="93">
        <v>29</v>
      </c>
      <c r="N902" s="93">
        <v>63</v>
      </c>
      <c r="O902" s="6">
        <v>2</v>
      </c>
      <c r="P902" s="129">
        <v>3</v>
      </c>
      <c r="Q902" s="6">
        <v>203</v>
      </c>
      <c r="R902" s="98">
        <v>0.50009999999999999</v>
      </c>
      <c r="S902" s="94">
        <f>((Table3.110[[#This Row],[Sample weight, g]]*'2.1. DM'!Q221)/100)*1000</f>
        <v>459.47093790620954</v>
      </c>
      <c r="T902" s="94">
        <f>'3.2 Digest'!W902</f>
        <v>202.57093790620962</v>
      </c>
      <c r="U902" s="153">
        <v>0.34583333333333333</v>
      </c>
      <c r="V902" s="154">
        <v>40</v>
      </c>
      <c r="W902" s="153">
        <v>0.67569444444444449</v>
      </c>
      <c r="X902" s="91">
        <v>90.5</v>
      </c>
      <c r="Y902" s="91">
        <v>14.6</v>
      </c>
      <c r="Z902" s="154">
        <v>40</v>
      </c>
      <c r="AA902" s="153">
        <v>0.34861111111111109</v>
      </c>
      <c r="AB902" s="154">
        <v>86</v>
      </c>
      <c r="AC902" s="154">
        <v>17.5</v>
      </c>
      <c r="AD902" s="91"/>
      <c r="AE902" s="94">
        <f>Table3.110[[#This Row],[Gas 8h, ml]]-Table3.110[[#This Row],[Gas 0h, ml]]</f>
        <v>50.5</v>
      </c>
      <c r="AF902" s="94">
        <f>Table3.110[[#This Row],[Gas 24h, ml]]-Table3.110[[#This Row],[V8 Push back, ml]]</f>
        <v>46</v>
      </c>
      <c r="AG902" s="94">
        <f>Table3.110[[#This Row],[GP 8h, ml]]-(AVERAGE(AE$862,AE$863,AE$912,AE$913,AE$932,AE$933))*$AG$8</f>
        <v>47.254975227659145</v>
      </c>
      <c r="AH902" s="94">
        <f>Table3.110[[#This Row],[GP 8-24h, ml]]-(AVERAGE(AF$862,AF$863,AF$912,AF$913,AF$932,AF$933))*$AG$8</f>
        <v>41.685592064046816</v>
      </c>
      <c r="AI902" s="94">
        <f>Table3.110[[#This Row],[Net gas 8-24h, ml]]+Table3.110[[#This Row],[Net gas 8h, ml]]</f>
        <v>88.94056729170596</v>
      </c>
      <c r="AJ902" s="94">
        <f>Table3.110[[#This Row],[Net gas 8h, ml]]*Table3.110[[#This Row],[CH4 8h %]]%</f>
        <v>6.8992263832382346</v>
      </c>
      <c r="AK902" s="94">
        <f>Table3.110[[#This Row],[Net gas 8-24h, ml]]*Table3.110[[#This Row],[CH4 24h, %]]%</f>
        <v>7.294978611208192</v>
      </c>
      <c r="AL902" s="94">
        <f>Table3.110[[#This Row],[CH4 8-24h, ml]]+Table3.110[[#This Row],[CH4 8h, ml]]</f>
        <v>14.194204994446427</v>
      </c>
      <c r="AM902" s="94">
        <f>(Table3.110[[#This Row],[Net gas 24h, ml]]/Table3.110[[#This Row],[DM Incubated, mg]])*1000</f>
        <v>193.57169290620322</v>
      </c>
      <c r="AN902" s="94">
        <f>'3.2 Digest'!X902</f>
        <v>44.087867413185513</v>
      </c>
      <c r="AO902" s="94">
        <f>Table3.110[[#This Row],[Digested feed, mg]]/Table3.110[[#This Row],[Net gas 24h, ml]]</f>
        <v>2.2775988963711065</v>
      </c>
      <c r="AP902" s="94">
        <f>Table3.110[[#This Row],[CH4 8h, ml]]/Table3.110[[#This Row],[Net gas 8h, ml]]%</f>
        <v>14.599999999999998</v>
      </c>
      <c r="AQ902" s="94">
        <f>Table3.110[[#This Row],[CH4 24h, ml]]/Table3.110[[#This Row],[Net gas 24h, ml]]%</f>
        <v>15.959202225338277</v>
      </c>
      <c r="AR902" s="94">
        <f>Table3.110[[#This Row],[CH4 24h, ml]]/Table3.110[[#This Row],[DM Incubated, mg]]*1000</f>
        <v>30.892497921911765</v>
      </c>
      <c r="AS902" s="94">
        <f>Table3.110[[#This Row],[CH4 24h, ml]]/Table3.110[[#This Row],[Digested feed, mg]]*1000</f>
        <v>70.070293108966823</v>
      </c>
      <c r="AT902" s="94">
        <f>Table3.110[[#This Row],[CH4 24h, ml]]/'3.2 Digest'!AA902</f>
        <v>-6.3249356909547982</v>
      </c>
      <c r="AU902" s="94">
        <f>((Table3.110[[#This Row],[CH4 24h, ml]]/28.9)*16.04)/Table3.110[[#This Row],[DM Incubated, mg]]*1000</f>
        <v>17.145870818943415</v>
      </c>
      <c r="AV902" s="94">
        <f>((Table3.110[[#This Row],[CH4 24h, ml]]/28.9)*16.04)/Table3.110[[#This Row],[Digested feed, mg]]*1000</f>
        <v>38.890224964284698</v>
      </c>
    </row>
    <row r="903" spans="2:48" s="89" customFormat="1" x14ac:dyDescent="0.35">
      <c r="B903" s="90">
        <f t="shared" si="13"/>
        <v>893</v>
      </c>
      <c r="C903" s="140">
        <v>46057</v>
      </c>
      <c r="D903" s="6" t="s">
        <v>16</v>
      </c>
      <c r="E903" s="6" t="s">
        <v>362</v>
      </c>
      <c r="F903" s="6" t="s">
        <v>219</v>
      </c>
      <c r="G903" s="6" t="s">
        <v>253</v>
      </c>
      <c r="H903" s="6" t="s">
        <v>254</v>
      </c>
      <c r="I903" s="6" t="s">
        <v>22</v>
      </c>
      <c r="J903" s="129" t="s">
        <v>23</v>
      </c>
      <c r="K903" s="129" t="s">
        <v>215</v>
      </c>
      <c r="L903" s="6" t="s">
        <v>361</v>
      </c>
      <c r="M903" s="93">
        <v>29</v>
      </c>
      <c r="N903" s="93">
        <v>63</v>
      </c>
      <c r="O903" s="6">
        <v>2</v>
      </c>
      <c r="P903" s="129">
        <v>1</v>
      </c>
      <c r="Q903" s="6">
        <v>204</v>
      </c>
      <c r="R903" s="98">
        <v>0.50019999999999998</v>
      </c>
      <c r="S903" s="94">
        <f>((Table3.110[[#This Row],[Sample weight, g]]*'2.1. DM'!Q223)/100)*1000</f>
        <v>459.12912252648465</v>
      </c>
      <c r="T903" s="94">
        <f>'3.2 Digest'!W903</f>
        <v>203.7291225264847</v>
      </c>
      <c r="U903" s="117">
        <v>0.34583333333333333</v>
      </c>
      <c r="V903" s="155">
        <v>41</v>
      </c>
      <c r="W903" s="117">
        <v>0.67638888888888893</v>
      </c>
      <c r="X903" s="96">
        <v>86.5</v>
      </c>
      <c r="Y903" s="96">
        <v>13.4</v>
      </c>
      <c r="Z903" s="155">
        <v>40</v>
      </c>
      <c r="AA903" s="117">
        <v>0.34930555555555554</v>
      </c>
      <c r="AB903" s="155">
        <v>92</v>
      </c>
      <c r="AC903" s="155">
        <v>16.399999999999999</v>
      </c>
      <c r="AD903" s="96"/>
      <c r="AE903" s="94">
        <f>Table3.110[[#This Row],[Gas 8h, ml]]-Table3.110[[#This Row],[Gas 0h, ml]]</f>
        <v>45.5</v>
      </c>
      <c r="AF903" s="94">
        <f>Table3.110[[#This Row],[Gas 24h, ml]]-Table3.110[[#This Row],[V8 Push back, ml]]</f>
        <v>52</v>
      </c>
      <c r="AG903" s="94">
        <f>Table3.110[[#This Row],[GP 8h, ml]]-(AVERAGE(AE$862,AE$863,AE$912,AE$913,AE$932,AE$933))*$AG$8</f>
        <v>42.254975227659145</v>
      </c>
      <c r="AH903" s="94">
        <f>Table3.110[[#This Row],[GP 8-24h, ml]]-(AVERAGE(AF$862,AF$863,AF$912,AF$913,AF$932,AF$933))*$AG$8</f>
        <v>47.685592064046816</v>
      </c>
      <c r="AI903" s="94">
        <f>Table3.110[[#This Row],[Net gas 8-24h, ml]]+Table3.110[[#This Row],[Net gas 8h, ml]]</f>
        <v>89.94056729170596</v>
      </c>
      <c r="AJ903" s="94">
        <f>Table3.110[[#This Row],[Net gas 8h, ml]]*Table3.110[[#This Row],[CH4 8h %]]%</f>
        <v>5.662166680506326</v>
      </c>
      <c r="AK903" s="94">
        <f>Table3.110[[#This Row],[Net gas 8-24h, ml]]*Table3.110[[#This Row],[CH4 24h, %]]%</f>
        <v>7.8204370985036764</v>
      </c>
      <c r="AL903" s="94">
        <f>Table3.110[[#This Row],[CH4 8-24h, ml]]+Table3.110[[#This Row],[CH4 8h, ml]]</f>
        <v>13.482603779010002</v>
      </c>
      <c r="AM903" s="94">
        <f>(Table3.110[[#This Row],[Net gas 24h, ml]]/Table3.110[[#This Row],[DM Incubated, mg]])*1000</f>
        <v>195.89384092384117</v>
      </c>
      <c r="AN903" s="94">
        <f>'3.2 Digest'!X903</f>
        <v>44.372947071056835</v>
      </c>
      <c r="AO903" s="94">
        <f>Table3.110[[#This Row],[Digested feed, mg]]/Table3.110[[#This Row],[Net gas 24h, ml]]</f>
        <v>2.265152740984234</v>
      </c>
      <c r="AP903" s="94">
        <f>Table3.110[[#This Row],[CH4 8h, ml]]/Table3.110[[#This Row],[Net gas 8h, ml]]%</f>
        <v>13.4</v>
      </c>
      <c r="AQ903" s="94">
        <f>Table3.110[[#This Row],[CH4 24h, ml]]/Table3.110[[#This Row],[Net gas 24h, ml]]%</f>
        <v>14.990570089781194</v>
      </c>
      <c r="AR903" s="94">
        <f>Table3.110[[#This Row],[CH4 24h, ml]]/Table3.110[[#This Row],[DM Incubated, mg]]*1000</f>
        <v>29.365603525252887</v>
      </c>
      <c r="AS903" s="94">
        <f>Table3.110[[#This Row],[CH4 24h, ml]]/Table3.110[[#This Row],[Digested feed, mg]]*1000</f>
        <v>66.179069598934092</v>
      </c>
      <c r="AT903" s="94">
        <f>Table3.110[[#This Row],[CH4 24h, ml]]/'3.2 Digest'!AA903</f>
        <v>-0.73036798328847086</v>
      </c>
      <c r="AU903" s="94">
        <f>((Table3.110[[#This Row],[CH4 24h, ml]]/28.9)*16.04)/Table3.110[[#This Row],[DM Incubated, mg]]*1000</f>
        <v>16.298418011939667</v>
      </c>
      <c r="AV903" s="94">
        <f>((Table3.110[[#This Row],[CH4 24h, ml]]/28.9)*16.04)/Table3.110[[#This Row],[Digested feed, mg]]*1000</f>
        <v>36.73052859401048</v>
      </c>
    </row>
    <row r="904" spans="2:48" s="89" customFormat="1" x14ac:dyDescent="0.35">
      <c r="B904" s="90">
        <f t="shared" si="13"/>
        <v>894</v>
      </c>
      <c r="C904" s="140">
        <v>46057</v>
      </c>
      <c r="D904" s="6" t="s">
        <v>16</v>
      </c>
      <c r="E904" s="6" t="s">
        <v>362</v>
      </c>
      <c r="F904" s="6" t="s">
        <v>219</v>
      </c>
      <c r="G904" s="6" t="s">
        <v>253</v>
      </c>
      <c r="H904" s="6" t="s">
        <v>254</v>
      </c>
      <c r="I904" s="6" t="s">
        <v>22</v>
      </c>
      <c r="J904" s="129" t="s">
        <v>23</v>
      </c>
      <c r="K904" s="129" t="s">
        <v>215</v>
      </c>
      <c r="L904" s="6" t="s">
        <v>361</v>
      </c>
      <c r="M904" s="93">
        <v>29</v>
      </c>
      <c r="N904" s="93">
        <v>63</v>
      </c>
      <c r="O904" s="6">
        <v>2</v>
      </c>
      <c r="P904" s="6">
        <v>2</v>
      </c>
      <c r="Q904" s="6">
        <v>205</v>
      </c>
      <c r="R904" s="98">
        <v>0.50009999999999999</v>
      </c>
      <c r="S904" s="94">
        <f>((Table3.110[[#This Row],[Sample weight, g]]*'2.1. DM'!Q223)/100)*1000</f>
        <v>459.0373334176229</v>
      </c>
      <c r="T904" s="94">
        <f>'3.2 Digest'!W904</f>
        <v>268.23733341762295</v>
      </c>
      <c r="U904" s="153">
        <v>0.34583333333333333</v>
      </c>
      <c r="V904" s="154">
        <v>41</v>
      </c>
      <c r="W904" s="153">
        <v>0.67638888888888893</v>
      </c>
      <c r="X904" s="91">
        <v>85</v>
      </c>
      <c r="Y904" s="91">
        <v>13.3</v>
      </c>
      <c r="Z904" s="154">
        <v>40</v>
      </c>
      <c r="AA904" s="153">
        <v>0.34930555555555554</v>
      </c>
      <c r="AB904" s="154">
        <v>90</v>
      </c>
      <c r="AC904" s="154">
        <v>16.3</v>
      </c>
      <c r="AD904" s="91" t="s">
        <v>588</v>
      </c>
      <c r="AE904" s="94">
        <f>Table3.110[[#This Row],[Gas 8h, ml]]-Table3.110[[#This Row],[Gas 0h, ml]]</f>
        <v>44</v>
      </c>
      <c r="AF904" s="94">
        <f>Table3.110[[#This Row],[Gas 24h, ml]]-Table3.110[[#This Row],[V8 Push back, ml]]</f>
        <v>50</v>
      </c>
      <c r="AG904" s="94">
        <f>Table3.110[[#This Row],[GP 8h, ml]]-(AVERAGE(AE$862,AE$863,AE$912,AE$913,AE$932,AE$933))*$AG$8</f>
        <v>40.754975227659145</v>
      </c>
      <c r="AH904" s="94">
        <f>Table3.110[[#This Row],[GP 8-24h, ml]]-(AVERAGE(AF$862,AF$863,AF$912,AF$913,AF$932,AF$933))*$AG$8</f>
        <v>45.685592064046816</v>
      </c>
      <c r="AI904" s="94">
        <f>Table3.110[[#This Row],[Net gas 8-24h, ml]]+Table3.110[[#This Row],[Net gas 8h, ml]]</f>
        <v>86.44056729170596</v>
      </c>
      <c r="AJ904" s="94">
        <f>Table3.110[[#This Row],[Net gas 8h, ml]]*Table3.110[[#This Row],[CH4 8h %]]%</f>
        <v>5.4204117052786662</v>
      </c>
      <c r="AK904" s="94">
        <f>Table3.110[[#This Row],[Net gas 8-24h, ml]]*Table3.110[[#This Row],[CH4 24h, %]]%</f>
        <v>7.4467515064396315</v>
      </c>
      <c r="AL904" s="94">
        <f>Table3.110[[#This Row],[CH4 8-24h, ml]]+Table3.110[[#This Row],[CH4 8h, ml]]</f>
        <v>12.867163211718298</v>
      </c>
      <c r="AM904" s="94">
        <f>(Table3.110[[#This Row],[Net gas 24h, ml]]/Table3.110[[#This Row],[DM Incubated, mg]])*1000</f>
        <v>188.30835968860961</v>
      </c>
      <c r="AN904" s="94">
        <f>'3.2 Digest'!X904</f>
        <v>58.43475331745752</v>
      </c>
      <c r="AO904" s="94">
        <f>Table3.110[[#This Row],[Digested feed, mg]]/Table3.110[[#This Row],[Net gas 24h, ml]]</f>
        <v>3.1031417518630806</v>
      </c>
      <c r="AP904" s="94">
        <f>Table3.110[[#This Row],[CH4 8h, ml]]/Table3.110[[#This Row],[Net gas 8h, ml]]%</f>
        <v>13.299999999999999</v>
      </c>
      <c r="AQ904" s="94">
        <f>Table3.110[[#This Row],[CH4 24h, ml]]/Table3.110[[#This Row],[Net gas 24h, ml]]%</f>
        <v>14.885560813473411</v>
      </c>
      <c r="AR904" s="94">
        <f>Table3.110[[#This Row],[CH4 24h, ml]]/Table3.110[[#This Row],[DM Incubated, mg]]*1000</f>
        <v>28.03075539830224</v>
      </c>
      <c r="AS904" s="94">
        <f>Table3.110[[#This Row],[CH4 24h, ml]]/Table3.110[[#This Row],[Digested feed, mg]]*1000</f>
        <v>47.969322717972325</v>
      </c>
      <c r="AT904" s="94">
        <f>Table3.110[[#This Row],[CH4 24h, ml]]/'3.2 Digest'!AA904</f>
        <v>1.1203295527618384</v>
      </c>
      <c r="AU904" s="94">
        <f>((Table3.110[[#This Row],[CH4 24h, ml]]/28.9)*16.04)/Table3.110[[#This Row],[DM Incubated, mg]]*1000</f>
        <v>15.557554207223804</v>
      </c>
      <c r="AV904" s="94">
        <f>((Table3.110[[#This Row],[CH4 24h, ml]]/28.9)*16.04)/Table3.110[[#This Row],[Digested feed, mg]]*1000</f>
        <v>26.623804027552808</v>
      </c>
    </row>
    <row r="905" spans="2:48" s="89" customFormat="1" x14ac:dyDescent="0.35">
      <c r="B905" s="90">
        <f t="shared" si="13"/>
        <v>895</v>
      </c>
      <c r="C905" s="140">
        <v>46057</v>
      </c>
      <c r="D905" s="6" t="s">
        <v>16</v>
      </c>
      <c r="E905" s="6" t="s">
        <v>362</v>
      </c>
      <c r="F905" s="6" t="s">
        <v>219</v>
      </c>
      <c r="G905" s="6" t="s">
        <v>253</v>
      </c>
      <c r="H905" s="6" t="s">
        <v>254</v>
      </c>
      <c r="I905" s="6" t="s">
        <v>22</v>
      </c>
      <c r="J905" s="129" t="s">
        <v>23</v>
      </c>
      <c r="K905" s="129" t="s">
        <v>215</v>
      </c>
      <c r="L905" s="6" t="s">
        <v>361</v>
      </c>
      <c r="M905" s="93">
        <v>29</v>
      </c>
      <c r="N905" s="93">
        <v>63</v>
      </c>
      <c r="O905" s="6">
        <v>2</v>
      </c>
      <c r="P905" s="129">
        <v>3</v>
      </c>
      <c r="Q905" s="6">
        <v>206</v>
      </c>
      <c r="R905" s="98">
        <v>0.50029999999999997</v>
      </c>
      <c r="S905" s="94">
        <f>((Table3.110[[#This Row],[Sample weight, g]]*'2.1. DM'!Q223)/100)*1000</f>
        <v>459.2209116353464</v>
      </c>
      <c r="T905" s="94">
        <f>'3.2 Digest'!W905</f>
        <v>272.52091163534641</v>
      </c>
      <c r="U905" s="117">
        <v>0.34652777777777777</v>
      </c>
      <c r="V905" s="155">
        <v>41</v>
      </c>
      <c r="W905" s="117">
        <v>0.67638888888888893</v>
      </c>
      <c r="X905" s="96">
        <v>85.5</v>
      </c>
      <c r="Y905" s="96">
        <v>13.5</v>
      </c>
      <c r="Z905" s="155">
        <v>40</v>
      </c>
      <c r="AA905" s="117">
        <v>0.35</v>
      </c>
      <c r="AB905" s="155">
        <v>93</v>
      </c>
      <c r="AC905" s="155">
        <v>16.3</v>
      </c>
      <c r="AD905" s="96"/>
      <c r="AE905" s="94">
        <f>Table3.110[[#This Row],[Gas 8h, ml]]-Table3.110[[#This Row],[Gas 0h, ml]]</f>
        <v>44.5</v>
      </c>
      <c r="AF905" s="94">
        <f>Table3.110[[#This Row],[Gas 24h, ml]]-Table3.110[[#This Row],[V8 Push back, ml]]</f>
        <v>53</v>
      </c>
      <c r="AG905" s="94">
        <f>Table3.110[[#This Row],[GP 8h, ml]]-(AVERAGE(AE$862,AE$863,AE$912,AE$913,AE$932,AE$933))*$AG$8</f>
        <v>41.254975227659145</v>
      </c>
      <c r="AH905" s="94">
        <f>Table3.110[[#This Row],[GP 8-24h, ml]]-(AVERAGE(AF$862,AF$863,AF$912,AF$913,AF$932,AF$933))*$AG$8</f>
        <v>48.685592064046816</v>
      </c>
      <c r="AI905" s="94">
        <f>Table3.110[[#This Row],[Net gas 8-24h, ml]]+Table3.110[[#This Row],[Net gas 8h, ml]]</f>
        <v>89.94056729170596</v>
      </c>
      <c r="AJ905" s="94">
        <f>Table3.110[[#This Row],[Net gas 8h, ml]]*Table3.110[[#This Row],[CH4 8h %]]%</f>
        <v>5.5694216557339846</v>
      </c>
      <c r="AK905" s="94">
        <f>Table3.110[[#This Row],[Net gas 8-24h, ml]]*Table3.110[[#This Row],[CH4 24h, %]]%</f>
        <v>7.9357515064396313</v>
      </c>
      <c r="AL905" s="94">
        <f>Table3.110[[#This Row],[CH4 8-24h, ml]]+Table3.110[[#This Row],[CH4 8h, ml]]</f>
        <v>13.505173162173616</v>
      </c>
      <c r="AM905" s="94">
        <f>(Table3.110[[#This Row],[Net gas 24h, ml]]/Table3.110[[#This Row],[DM Incubated, mg]])*1000</f>
        <v>195.8546856488214</v>
      </c>
      <c r="AN905" s="94">
        <f>'3.2 Digest'!X905</f>
        <v>59.344185931094337</v>
      </c>
      <c r="AO905" s="94">
        <f>Table3.110[[#This Row],[Digested feed, mg]]/Table3.110[[#This Row],[Net gas 24h, ml]]</f>
        <v>3.0300110377497855</v>
      </c>
      <c r="AP905" s="94">
        <f>Table3.110[[#This Row],[CH4 8h, ml]]/Table3.110[[#This Row],[Net gas 8h, ml]]%</f>
        <v>13.5</v>
      </c>
      <c r="AQ905" s="94">
        <f>Table3.110[[#This Row],[CH4 24h, ml]]/Table3.110[[#This Row],[Net gas 24h, ml]]%</f>
        <v>15.015663753122691</v>
      </c>
      <c r="AR905" s="94">
        <f>Table3.110[[#This Row],[CH4 24h, ml]]/Table3.110[[#This Row],[DM Incubated, mg]]*1000</f>
        <v>29.408881041762466</v>
      </c>
      <c r="AS905" s="94">
        <f>Table3.110[[#This Row],[CH4 24h, ml]]/Table3.110[[#This Row],[Digested feed, mg]]*1000</f>
        <v>49.556465524541323</v>
      </c>
      <c r="AT905" s="94">
        <f>Table3.110[[#This Row],[CH4 24h, ml]]/'3.2 Digest'!AA905</f>
        <v>1.0062093762691073</v>
      </c>
      <c r="AU905" s="94">
        <f>((Table3.110[[#This Row],[CH4 24h, ml]]/28.9)*16.04)/Table3.110[[#This Row],[DM Incubated, mg]]*1000</f>
        <v>16.322437782348441</v>
      </c>
      <c r="AV905" s="94">
        <f>((Table3.110[[#This Row],[CH4 24h, ml]]/28.9)*16.04)/Table3.110[[#This Row],[Digested feed, mg]]*1000</f>
        <v>27.504695744416704</v>
      </c>
    </row>
    <row r="906" spans="2:48" s="89" customFormat="1" x14ac:dyDescent="0.35">
      <c r="B906" s="90">
        <f t="shared" si="13"/>
        <v>896</v>
      </c>
      <c r="C906" s="140">
        <v>46057</v>
      </c>
      <c r="D906" s="6" t="s">
        <v>16</v>
      </c>
      <c r="E906" s="6" t="s">
        <v>364</v>
      </c>
      <c r="F906" s="6" t="s">
        <v>219</v>
      </c>
      <c r="G906" s="6" t="s">
        <v>365</v>
      </c>
      <c r="H906" s="6" t="s">
        <v>366</v>
      </c>
      <c r="I906" s="6" t="s">
        <v>22</v>
      </c>
      <c r="J906" s="129" t="s">
        <v>23</v>
      </c>
      <c r="K906" s="129" t="s">
        <v>215</v>
      </c>
      <c r="L906" s="6" t="s">
        <v>363</v>
      </c>
      <c r="M906" s="93">
        <v>29</v>
      </c>
      <c r="N906" s="93">
        <v>63</v>
      </c>
      <c r="O906" s="6">
        <v>2</v>
      </c>
      <c r="P906" s="129">
        <v>1</v>
      </c>
      <c r="Q906" s="6">
        <v>207</v>
      </c>
      <c r="R906" s="98">
        <v>0.50029999999999997</v>
      </c>
      <c r="S906" s="94">
        <f>((Table3.110[[#This Row],[Sample weight, g]]*'2.1. DM'!Q225)/100)*1000</f>
        <v>453.55160685562856</v>
      </c>
      <c r="T906" s="94">
        <f>'3.2 Digest'!W906</f>
        <v>246.35160685562863</v>
      </c>
      <c r="U906" s="153">
        <v>0.34652777777777777</v>
      </c>
      <c r="V906" s="154">
        <v>41</v>
      </c>
      <c r="W906" s="153">
        <v>0.67708333333333337</v>
      </c>
      <c r="X906" s="91">
        <v>95</v>
      </c>
      <c r="Y906" s="91">
        <v>14.1</v>
      </c>
      <c r="Z906" s="154">
        <v>40</v>
      </c>
      <c r="AA906" s="153">
        <v>0.35</v>
      </c>
      <c r="AB906" s="154">
        <v>89</v>
      </c>
      <c r="AC906" s="154">
        <v>17.8</v>
      </c>
      <c r="AD906" s="91"/>
      <c r="AE906" s="94">
        <f>Table3.110[[#This Row],[Gas 8h, ml]]-Table3.110[[#This Row],[Gas 0h, ml]]</f>
        <v>54</v>
      </c>
      <c r="AF906" s="94">
        <f>Table3.110[[#This Row],[Gas 24h, ml]]-Table3.110[[#This Row],[V8 Push back, ml]]</f>
        <v>49</v>
      </c>
      <c r="AG906" s="94">
        <f>Table3.110[[#This Row],[GP 8h, ml]]-(AVERAGE(AE$862,AE$863,AE$912,AE$913,AE$932,AE$933))*$AG$8</f>
        <v>50.754975227659145</v>
      </c>
      <c r="AH906" s="94">
        <f>Table3.110[[#This Row],[GP 8-24h, ml]]-(AVERAGE(AF$862,AF$863,AF$912,AF$913,AF$932,AF$933))*$AG$8</f>
        <v>44.685592064046816</v>
      </c>
      <c r="AI906" s="94">
        <f>Table3.110[[#This Row],[Net gas 8-24h, ml]]+Table3.110[[#This Row],[Net gas 8h, ml]]</f>
        <v>95.44056729170596</v>
      </c>
      <c r="AJ906" s="94">
        <f>Table3.110[[#This Row],[Net gas 8h, ml]]*Table3.110[[#This Row],[CH4 8h %]]%</f>
        <v>7.1564515070999386</v>
      </c>
      <c r="AK906" s="94">
        <f>Table3.110[[#This Row],[Net gas 8-24h, ml]]*Table3.110[[#This Row],[CH4 24h, %]]%</f>
        <v>7.9540353874003342</v>
      </c>
      <c r="AL906" s="94">
        <f>Table3.110[[#This Row],[CH4 8-24h, ml]]+Table3.110[[#This Row],[CH4 8h, ml]]</f>
        <v>15.110486894500273</v>
      </c>
      <c r="AM906" s="94">
        <f>(Table3.110[[#This Row],[Net gas 24h, ml]]/Table3.110[[#This Row],[DM Incubated, mg]])*1000</f>
        <v>210.42934442096671</v>
      </c>
      <c r="AN906" s="94">
        <f>'3.2 Digest'!X906</f>
        <v>54.316113785491581</v>
      </c>
      <c r="AO906" s="94">
        <f>Table3.110[[#This Row],[Digested feed, mg]]/Table3.110[[#This Row],[Net gas 24h, ml]]</f>
        <v>2.5812043436694583</v>
      </c>
      <c r="AP906" s="94">
        <f>Table3.110[[#This Row],[CH4 8h, ml]]/Table3.110[[#This Row],[Net gas 8h, ml]]%</f>
        <v>14.099999999999998</v>
      </c>
      <c r="AQ906" s="94">
        <f>Table3.110[[#This Row],[CH4 24h, ml]]/Table3.110[[#This Row],[Net gas 24h, ml]]%</f>
        <v>15.832352345849284</v>
      </c>
      <c r="AR906" s="94">
        <f>Table3.110[[#This Row],[CH4 24h, ml]]/Table3.110[[#This Row],[DM Incubated, mg]]*1000</f>
        <v>33.315915247788197</v>
      </c>
      <c r="AS906" s="94">
        <f>Table3.110[[#This Row],[CH4 24h, ml]]/Table3.110[[#This Row],[Digested feed, mg]]*1000</f>
        <v>61.337074628279531</v>
      </c>
      <c r="AT906" s="94">
        <f>Table3.110[[#This Row],[CH4 24h, ml]]/'3.2 Digest'!AA906</f>
        <v>-1.710114165599705</v>
      </c>
      <c r="AU906" s="94">
        <f>((Table3.110[[#This Row],[CH4 24h, ml]]/28.9)*16.04)/Table3.110[[#This Row],[DM Incubated, mg]]*1000</f>
        <v>18.490909362440231</v>
      </c>
      <c r="AV906" s="94">
        <f>((Table3.110[[#This Row],[CH4 24h, ml]]/28.9)*16.04)/Table3.110[[#This Row],[Digested feed, mg]]*1000</f>
        <v>34.043137613757914</v>
      </c>
    </row>
    <row r="907" spans="2:48" s="89" customFormat="1" x14ac:dyDescent="0.35">
      <c r="B907" s="90">
        <f t="shared" si="13"/>
        <v>897</v>
      </c>
      <c r="C907" s="140">
        <v>46057</v>
      </c>
      <c r="D907" s="6" t="s">
        <v>16</v>
      </c>
      <c r="E907" s="6" t="s">
        <v>364</v>
      </c>
      <c r="F907" s="6" t="s">
        <v>219</v>
      </c>
      <c r="G907" s="6" t="s">
        <v>365</v>
      </c>
      <c r="H907" s="6" t="s">
        <v>366</v>
      </c>
      <c r="I907" s="6" t="s">
        <v>22</v>
      </c>
      <c r="J907" s="129" t="s">
        <v>23</v>
      </c>
      <c r="K907" s="129" t="s">
        <v>215</v>
      </c>
      <c r="L907" s="6" t="s">
        <v>363</v>
      </c>
      <c r="M907" s="93">
        <v>29</v>
      </c>
      <c r="N907" s="93">
        <v>63</v>
      </c>
      <c r="O907" s="6">
        <v>2</v>
      </c>
      <c r="P907" s="6">
        <v>2</v>
      </c>
      <c r="Q907" s="6">
        <v>208</v>
      </c>
      <c r="R907" s="98">
        <v>0.50019999999999998</v>
      </c>
      <c r="S907" s="94">
        <f>((Table3.110[[#This Row],[Sample weight, g]]*'2.1. DM'!Q225)/100)*1000</f>
        <v>453.46095092781417</v>
      </c>
      <c r="T907" s="94">
        <f>'3.2 Digest'!W907</f>
        <v>278.26095092781418</v>
      </c>
      <c r="U907" s="117">
        <v>0.34722222222222221</v>
      </c>
      <c r="V907" s="155">
        <v>40.5</v>
      </c>
      <c r="W907" s="117">
        <v>0.67708333333333337</v>
      </c>
      <c r="X907" s="96">
        <v>95.5</v>
      </c>
      <c r="Y907" s="96">
        <v>14.3</v>
      </c>
      <c r="Z907" s="155">
        <v>40</v>
      </c>
      <c r="AA907" s="117">
        <v>0.35069444444444442</v>
      </c>
      <c r="AB907" s="155">
        <v>91</v>
      </c>
      <c r="AC907" s="155">
        <v>17.8</v>
      </c>
      <c r="AD907" s="96" t="s">
        <v>569</v>
      </c>
      <c r="AE907" s="94">
        <f>Table3.110[[#This Row],[Gas 8h, ml]]-Table3.110[[#This Row],[Gas 0h, ml]]</f>
        <v>55</v>
      </c>
      <c r="AF907" s="94">
        <f>Table3.110[[#This Row],[Gas 24h, ml]]-Table3.110[[#This Row],[V8 Push back, ml]]</f>
        <v>51</v>
      </c>
      <c r="AG907" s="94">
        <f>Table3.110[[#This Row],[GP 8h, ml]]-(AVERAGE(AE$862,AE$863,AE$912,AE$913,AE$932,AE$933))*$AG$8</f>
        <v>51.754975227659145</v>
      </c>
      <c r="AH907" s="94">
        <f>Table3.110[[#This Row],[GP 8-24h, ml]]-(AVERAGE(AF$862,AF$863,AF$912,AF$913,AF$932,AF$933))*$AG$8</f>
        <v>46.685592064046816</v>
      </c>
      <c r="AI907" s="94">
        <f>Table3.110[[#This Row],[Net gas 8-24h, ml]]+Table3.110[[#This Row],[Net gas 8h, ml]]</f>
        <v>98.44056729170596</v>
      </c>
      <c r="AJ907" s="94">
        <f>Table3.110[[#This Row],[Net gas 8h, ml]]*Table3.110[[#This Row],[CH4 8h %]]%</f>
        <v>7.4009614575552582</v>
      </c>
      <c r="AK907" s="94">
        <f>Table3.110[[#This Row],[Net gas 8-24h, ml]]*Table3.110[[#This Row],[CH4 24h, %]]%</f>
        <v>8.3100353874003332</v>
      </c>
      <c r="AL907" s="94">
        <f>Table3.110[[#This Row],[CH4 8-24h, ml]]+Table3.110[[#This Row],[CH4 8h, ml]]</f>
        <v>15.710996844955591</v>
      </c>
      <c r="AM907" s="94">
        <f>(Table3.110[[#This Row],[Net gas 24h, ml]]/Table3.110[[#This Row],[DM Incubated, mg]])*1000</f>
        <v>217.08719811549238</v>
      </c>
      <c r="AN907" s="94">
        <f>'3.2 Digest'!X907</f>
        <v>61.363817624973436</v>
      </c>
      <c r="AO907" s="94">
        <f>Table3.110[[#This Row],[Digested feed, mg]]/Table3.110[[#This Row],[Net gas 24h, ml]]</f>
        <v>2.8266898351291689</v>
      </c>
      <c r="AP907" s="94">
        <f>Table3.110[[#This Row],[CH4 8h, ml]]/Table3.110[[#This Row],[Net gas 8h, ml]]%</f>
        <v>14.299999999999999</v>
      </c>
      <c r="AQ907" s="94">
        <f>Table3.110[[#This Row],[CH4 24h, ml]]/Table3.110[[#This Row],[Net gas 24h, ml]]%</f>
        <v>15.959880440753322</v>
      </c>
      <c r="AR907" s="94">
        <f>Table3.110[[#This Row],[CH4 24h, ml]]/Table3.110[[#This Row],[DM Incubated, mg]]*1000</f>
        <v>34.646857271413879</v>
      </c>
      <c r="AS907" s="94">
        <f>Table3.110[[#This Row],[CH4 24h, ml]]/Table3.110[[#This Row],[Digested feed, mg]]*1000</f>
        <v>56.461378402430967</v>
      </c>
      <c r="AT907" s="94">
        <f>Table3.110[[#This Row],[CH4 24h, ml]]/'3.2 Digest'!AA907</f>
        <v>1.9751599219638305</v>
      </c>
      <c r="AU907" s="94">
        <f>((Table3.110[[#This Row],[CH4 24h, ml]]/28.9)*16.04)/Table3.110[[#This Row],[DM Incubated, mg]]*1000</f>
        <v>19.229605212231093</v>
      </c>
      <c r="AV907" s="94">
        <f>((Table3.110[[#This Row],[CH4 24h, ml]]/28.9)*16.04)/Table3.110[[#This Row],[Digested feed, mg]]*1000</f>
        <v>31.337041853805982</v>
      </c>
    </row>
    <row r="908" spans="2:48" s="89" customFormat="1" x14ac:dyDescent="0.35">
      <c r="B908" s="90">
        <f t="shared" ref="B908:B971" si="14">B907+1</f>
        <v>898</v>
      </c>
      <c r="C908" s="140">
        <v>46057</v>
      </c>
      <c r="D908" s="6" t="s">
        <v>16</v>
      </c>
      <c r="E908" s="6" t="s">
        <v>364</v>
      </c>
      <c r="F908" s="6" t="s">
        <v>219</v>
      </c>
      <c r="G908" s="6" t="s">
        <v>365</v>
      </c>
      <c r="H908" s="6" t="s">
        <v>366</v>
      </c>
      <c r="I908" s="6" t="s">
        <v>22</v>
      </c>
      <c r="J908" s="129" t="s">
        <v>23</v>
      </c>
      <c r="K908" s="129" t="s">
        <v>215</v>
      </c>
      <c r="L908" s="6" t="s">
        <v>363</v>
      </c>
      <c r="M908" s="93">
        <v>29</v>
      </c>
      <c r="N908" s="93">
        <v>63</v>
      </c>
      <c r="O908" s="6">
        <v>2</v>
      </c>
      <c r="P908" s="129">
        <v>3</v>
      </c>
      <c r="Q908" s="6">
        <v>209</v>
      </c>
      <c r="R908" s="98">
        <v>0.50019999999999998</v>
      </c>
      <c r="S908" s="94">
        <f>((Table3.110[[#This Row],[Sample weight, g]]*'2.1. DM'!Q225)/100)*1000</f>
        <v>453.46095092781417</v>
      </c>
      <c r="T908" s="94">
        <f>'3.2 Digest'!W908</f>
        <v>229.4609509278142</v>
      </c>
      <c r="U908" s="117">
        <v>0.34722222222222221</v>
      </c>
      <c r="V908" s="155">
        <v>41.5</v>
      </c>
      <c r="W908" s="117">
        <v>0.67777777777777781</v>
      </c>
      <c r="X908" s="96">
        <v>96</v>
      </c>
      <c r="Y908" s="96">
        <v>14.2</v>
      </c>
      <c r="Z908" s="155">
        <v>40</v>
      </c>
      <c r="AA908" s="117">
        <v>0.35069444444444442</v>
      </c>
      <c r="AB908" s="155">
        <v>89</v>
      </c>
      <c r="AC908" s="155">
        <v>17.899999999999999</v>
      </c>
      <c r="AD908" s="96"/>
      <c r="AE908" s="94">
        <f>Table3.110[[#This Row],[Gas 8h, ml]]-Table3.110[[#This Row],[Gas 0h, ml]]</f>
        <v>54.5</v>
      </c>
      <c r="AF908" s="94">
        <f>Table3.110[[#This Row],[Gas 24h, ml]]-Table3.110[[#This Row],[V8 Push back, ml]]</f>
        <v>49</v>
      </c>
      <c r="AG908" s="94">
        <f>Table3.110[[#This Row],[GP 8h, ml]]-(AVERAGE(AE$862,AE$863,AE$912,AE$913,AE$932,AE$933))*$AG$8</f>
        <v>51.254975227659145</v>
      </c>
      <c r="AH908" s="94">
        <f>Table3.110[[#This Row],[GP 8-24h, ml]]-(AVERAGE(AF$862,AF$863,AF$912,AF$913,AF$932,AF$933))*$AG$8</f>
        <v>44.685592064046816</v>
      </c>
      <c r="AI908" s="94">
        <f>Table3.110[[#This Row],[Net gas 8-24h, ml]]+Table3.110[[#This Row],[Net gas 8h, ml]]</f>
        <v>95.94056729170596</v>
      </c>
      <c r="AJ908" s="94">
        <f>Table3.110[[#This Row],[Net gas 8h, ml]]*Table3.110[[#This Row],[CH4 8h %]]%</f>
        <v>7.2782064823275983</v>
      </c>
      <c r="AK908" s="94">
        <f>Table3.110[[#This Row],[Net gas 8-24h, ml]]*Table3.110[[#This Row],[CH4 24h, %]]%</f>
        <v>7.9987209794643794</v>
      </c>
      <c r="AL908" s="94">
        <f>Table3.110[[#This Row],[CH4 8-24h, ml]]+Table3.110[[#This Row],[CH4 8h, ml]]</f>
        <v>15.276927461791978</v>
      </c>
      <c r="AM908" s="94">
        <f>(Table3.110[[#This Row],[Net gas 24h, ml]]/Table3.110[[#This Row],[DM Incubated, mg]])*1000</f>
        <v>211.5740442377774</v>
      </c>
      <c r="AN908" s="94">
        <f>'3.2 Digest'!X908</f>
        <v>50.602141255673807</v>
      </c>
      <c r="AO908" s="94">
        <f>Table3.110[[#This Row],[Digested feed, mg]]/Table3.110[[#This Row],[Net gas 24h, ml]]</f>
        <v>2.3916989174156265</v>
      </c>
      <c r="AP908" s="94">
        <f>Table3.110[[#This Row],[CH4 8h, ml]]/Table3.110[[#This Row],[Net gas 8h, ml]]%</f>
        <v>14.199999999999998</v>
      </c>
      <c r="AQ908" s="94">
        <f>Table3.110[[#This Row],[CH4 24h, ml]]/Table3.110[[#This Row],[Net gas 24h, ml]]%</f>
        <v>15.923324088070787</v>
      </c>
      <c r="AR908" s="94">
        <f>Table3.110[[#This Row],[CH4 24h, ml]]/Table3.110[[#This Row],[DM Incubated, mg]]*1000</f>
        <v>33.689620750219547</v>
      </c>
      <c r="AS908" s="94">
        <f>Table3.110[[#This Row],[CH4 24h, ml]]/Table3.110[[#This Row],[Digested feed, mg]]*1000</f>
        <v>66.577460783721421</v>
      </c>
      <c r="AT908" s="94">
        <f>Table3.110[[#This Row],[CH4 24h, ml]]/'3.2 Digest'!AA908</f>
        <v>-0.86388359825132144</v>
      </c>
      <c r="AU908" s="94">
        <f>((Table3.110[[#This Row],[CH4 24h, ml]]/28.9)*16.04)/Table3.110[[#This Row],[DM Incubated, mg]]*1000</f>
        <v>18.698322381782756</v>
      </c>
      <c r="AV908" s="94">
        <f>((Table3.110[[#This Row],[CH4 24h, ml]]/28.9)*16.04)/Table3.110[[#This Row],[Digested feed, mg]]*1000</f>
        <v>36.95164259414851</v>
      </c>
    </row>
    <row r="909" spans="2:48" s="89" customFormat="1" x14ac:dyDescent="0.35">
      <c r="B909" s="90">
        <f t="shared" si="14"/>
        <v>899</v>
      </c>
      <c r="C909" s="140">
        <v>46057</v>
      </c>
      <c r="D909" s="6" t="s">
        <v>16</v>
      </c>
      <c r="E909" s="6" t="s">
        <v>368</v>
      </c>
      <c r="F909" s="6" t="s">
        <v>219</v>
      </c>
      <c r="G909" s="6" t="s">
        <v>365</v>
      </c>
      <c r="H909" s="6" t="s">
        <v>366</v>
      </c>
      <c r="I909" s="6" t="s">
        <v>22</v>
      </c>
      <c r="J909" s="129" t="s">
        <v>23</v>
      </c>
      <c r="K909" s="129" t="s">
        <v>215</v>
      </c>
      <c r="L909" s="6" t="s">
        <v>367</v>
      </c>
      <c r="M909" s="93">
        <v>29</v>
      </c>
      <c r="N909" s="93">
        <v>63</v>
      </c>
      <c r="O909" s="6">
        <v>2</v>
      </c>
      <c r="P909" s="129">
        <v>1</v>
      </c>
      <c r="Q909" s="6">
        <v>210</v>
      </c>
      <c r="R909" s="98">
        <v>0.50029999999999997</v>
      </c>
      <c r="S909" s="94">
        <f>((Table3.110[[#This Row],[Sample weight, g]]*'2.1. DM'!Q227)/100)*1000</f>
        <v>455.62767723227682</v>
      </c>
      <c r="T909" s="94">
        <f>'3.2 Digest'!W909</f>
        <v>253.92767723227684</v>
      </c>
      <c r="U909" s="117">
        <v>0.34722222222222221</v>
      </c>
      <c r="V909" s="155">
        <v>41</v>
      </c>
      <c r="W909" s="117">
        <v>0.67777777777777781</v>
      </c>
      <c r="X909" s="96">
        <v>89</v>
      </c>
      <c r="Y909" s="96">
        <v>14.1</v>
      </c>
      <c r="Z909" s="155">
        <v>40</v>
      </c>
      <c r="AA909" s="117">
        <v>0.35138888888888886</v>
      </c>
      <c r="AB909" s="155">
        <v>93</v>
      </c>
      <c r="AC909" s="155">
        <v>17.100000000000001</v>
      </c>
      <c r="AD909" s="96"/>
      <c r="AE909" s="94">
        <f>Table3.110[[#This Row],[Gas 8h, ml]]-Table3.110[[#This Row],[Gas 0h, ml]]</f>
        <v>48</v>
      </c>
      <c r="AF909" s="94">
        <f>Table3.110[[#This Row],[Gas 24h, ml]]-Table3.110[[#This Row],[V8 Push back, ml]]</f>
        <v>53</v>
      </c>
      <c r="AG909" s="94">
        <f>Table3.110[[#This Row],[GP 8h, ml]]-(AVERAGE(AE$862,AE$863,AE$912,AE$913,AE$932,AE$933))*$AG$8</f>
        <v>44.754975227659145</v>
      </c>
      <c r="AH909" s="94">
        <f>Table3.110[[#This Row],[GP 8-24h, ml]]-(AVERAGE(AF$862,AF$863,AF$912,AF$913,AF$932,AF$933))*$AG$8</f>
        <v>48.685592064046816</v>
      </c>
      <c r="AI909" s="94">
        <f>Table3.110[[#This Row],[Net gas 8-24h, ml]]+Table3.110[[#This Row],[Net gas 8h, ml]]</f>
        <v>93.44056729170596</v>
      </c>
      <c r="AJ909" s="94">
        <f>Table3.110[[#This Row],[Net gas 8h, ml]]*Table3.110[[#This Row],[CH4 8h %]]%</f>
        <v>6.3104515070999385</v>
      </c>
      <c r="AK909" s="94">
        <f>Table3.110[[#This Row],[Net gas 8-24h, ml]]*Table3.110[[#This Row],[CH4 24h, %]]%</f>
        <v>8.3252362429520055</v>
      </c>
      <c r="AL909" s="94">
        <f>Table3.110[[#This Row],[CH4 8-24h, ml]]+Table3.110[[#This Row],[CH4 8h, ml]]</f>
        <v>14.635687750051943</v>
      </c>
      <c r="AM909" s="94">
        <f>(Table3.110[[#This Row],[Net gas 24h, ml]]/Table3.110[[#This Row],[DM Incubated, mg]])*1000</f>
        <v>205.08097282261983</v>
      </c>
      <c r="AN909" s="94">
        <f>'3.2 Digest'!X909</f>
        <v>55.731398666289913</v>
      </c>
      <c r="AO909" s="94">
        <f>Table3.110[[#This Row],[Digested feed, mg]]/Table3.110[[#This Row],[Net gas 24h, ml]]</f>
        <v>2.7175314169439568</v>
      </c>
      <c r="AP909" s="94">
        <f>Table3.110[[#This Row],[CH4 8h, ml]]/Table3.110[[#This Row],[Net gas 8h, ml]]%</f>
        <v>14.099999999999998</v>
      </c>
      <c r="AQ909" s="94">
        <f>Table3.110[[#This Row],[CH4 24h, ml]]/Table3.110[[#This Row],[Net gas 24h, ml]]%</f>
        <v>15.663098132058373</v>
      </c>
      <c r="AR909" s="94">
        <f>Table3.110[[#This Row],[CH4 24h, ml]]/Table3.110[[#This Row],[DM Incubated, mg]]*1000</f>
        <v>32.122034023386902</v>
      </c>
      <c r="AS909" s="94">
        <f>Table3.110[[#This Row],[CH4 24h, ml]]/Table3.110[[#This Row],[Digested feed, mg]]*1000</f>
        <v>57.637229267702672</v>
      </c>
      <c r="AT909" s="94">
        <f>Table3.110[[#This Row],[CH4 24h, ml]]/'3.2 Digest'!AA909</f>
        <v>1.5273629877666672</v>
      </c>
      <c r="AU909" s="94">
        <f>((Table3.110[[#This Row],[CH4 24h, ml]]/28.9)*16.04)/Table3.110[[#This Row],[DM Incubated, mg]]*1000</f>
        <v>17.82828462751301</v>
      </c>
      <c r="AV909" s="94">
        <f>((Table3.110[[#This Row],[CH4 24h, ml]]/28.9)*16.04)/Table3.110[[#This Row],[Digested feed, mg]]*1000</f>
        <v>31.989659427472347</v>
      </c>
    </row>
    <row r="910" spans="2:48" s="89" customFormat="1" x14ac:dyDescent="0.35">
      <c r="B910" s="90">
        <f t="shared" si="14"/>
        <v>900</v>
      </c>
      <c r="C910" s="140">
        <v>46057</v>
      </c>
      <c r="D910" s="6" t="s">
        <v>16</v>
      </c>
      <c r="E910" s="6" t="s">
        <v>368</v>
      </c>
      <c r="F910" s="6" t="s">
        <v>219</v>
      </c>
      <c r="G910" s="6" t="s">
        <v>365</v>
      </c>
      <c r="H910" s="6" t="s">
        <v>366</v>
      </c>
      <c r="I910" s="6" t="s">
        <v>22</v>
      </c>
      <c r="J910" s="129" t="s">
        <v>23</v>
      </c>
      <c r="K910" s="129" t="s">
        <v>215</v>
      </c>
      <c r="L910" s="6" t="s">
        <v>367</v>
      </c>
      <c r="M910" s="93">
        <v>29</v>
      </c>
      <c r="N910" s="93">
        <v>63</v>
      </c>
      <c r="O910" s="6">
        <v>2</v>
      </c>
      <c r="P910" s="129">
        <v>2</v>
      </c>
      <c r="Q910" s="6">
        <v>211</v>
      </c>
      <c r="R910" s="98">
        <v>0.50029999999999997</v>
      </c>
      <c r="S910" s="94">
        <f>((Table3.110[[#This Row],[Sample weight, g]]*'2.1. DM'!Q227)/100)*1000</f>
        <v>455.62767723227682</v>
      </c>
      <c r="T910" s="94">
        <f>'3.2 Digest'!W910</f>
        <v>224.22767723227676</v>
      </c>
      <c r="U910" s="153">
        <v>0.34791666666666665</v>
      </c>
      <c r="V910" s="154">
        <v>41.5</v>
      </c>
      <c r="W910" s="153">
        <v>0.67847222222222225</v>
      </c>
      <c r="X910" s="91">
        <v>87.5</v>
      </c>
      <c r="Y910" s="91">
        <v>14.3</v>
      </c>
      <c r="Z910" s="154">
        <v>40.5</v>
      </c>
      <c r="AA910" s="153">
        <v>0.35138888888888886</v>
      </c>
      <c r="AB910" s="154">
        <v>94</v>
      </c>
      <c r="AC910" s="154">
        <v>17.2</v>
      </c>
      <c r="AD910" s="91"/>
      <c r="AE910" s="94">
        <f>Table3.110[[#This Row],[Gas 8h, ml]]-Table3.110[[#This Row],[Gas 0h, ml]]</f>
        <v>46</v>
      </c>
      <c r="AF910" s="94">
        <f>Table3.110[[#This Row],[Gas 24h, ml]]-Table3.110[[#This Row],[V8 Push back, ml]]</f>
        <v>53.5</v>
      </c>
      <c r="AG910" s="94">
        <f>Table3.110[[#This Row],[GP 8h, ml]]-(AVERAGE(AE$862,AE$863,AE$912,AE$913,AE$932,AE$933))*$AG$8</f>
        <v>42.754975227659145</v>
      </c>
      <c r="AH910" s="94">
        <f>Table3.110[[#This Row],[GP 8-24h, ml]]-(AVERAGE(AF$862,AF$863,AF$912,AF$913,AF$932,AF$933))*$AG$8</f>
        <v>49.185592064046816</v>
      </c>
      <c r="AI910" s="94">
        <f>Table3.110[[#This Row],[Net gas 8-24h, ml]]+Table3.110[[#This Row],[Net gas 8h, ml]]</f>
        <v>91.94056729170596</v>
      </c>
      <c r="AJ910" s="94">
        <f>Table3.110[[#This Row],[Net gas 8h, ml]]*Table3.110[[#This Row],[CH4 8h %]]%</f>
        <v>6.1139614575552583</v>
      </c>
      <c r="AK910" s="94">
        <f>Table3.110[[#This Row],[Net gas 8-24h, ml]]*Table3.110[[#This Row],[CH4 24h, %]]%</f>
        <v>8.4599218350160523</v>
      </c>
      <c r="AL910" s="94">
        <f>Table3.110[[#This Row],[CH4 8-24h, ml]]+Table3.110[[#This Row],[CH4 8h, ml]]</f>
        <v>14.57388329257131</v>
      </c>
      <c r="AM910" s="94">
        <f>(Table3.110[[#This Row],[Net gas 24h, ml]]/Table3.110[[#This Row],[DM Incubated, mg]])*1000</f>
        <v>201.78881109725717</v>
      </c>
      <c r="AN910" s="94">
        <f>'3.2 Digest'!X910</f>
        <v>49.212918450071804</v>
      </c>
      <c r="AO910" s="94">
        <f>Table3.110[[#This Row],[Digested feed, mg]]/Table3.110[[#This Row],[Net gas 24h, ml]]</f>
        <v>2.4388328660280578</v>
      </c>
      <c r="AP910" s="94">
        <f>Table3.110[[#This Row],[CH4 8h, ml]]/Table3.110[[#This Row],[Net gas 8h, ml]]%</f>
        <v>14.300000000000002</v>
      </c>
      <c r="AQ910" s="94">
        <f>Table3.110[[#This Row],[CH4 24h, ml]]/Table3.110[[#This Row],[Net gas 24h, ml]]%</f>
        <v>15.851417629751815</v>
      </c>
      <c r="AR910" s="94">
        <f>Table3.110[[#This Row],[CH4 24h, ml]]/Table3.110[[#This Row],[DM Incubated, mg]]*1000</f>
        <v>31.986387177137207</v>
      </c>
      <c r="AS910" s="94">
        <f>Table3.110[[#This Row],[CH4 24h, ml]]/Table3.110[[#This Row],[Digested feed, mg]]*1000</f>
        <v>64.995916081645305</v>
      </c>
      <c r="AT910" s="94">
        <f>Table3.110[[#This Row],[CH4 24h, ml]]/'3.2 Digest'!AA910</f>
        <v>-3.9056026189902084</v>
      </c>
      <c r="AU910" s="94">
        <f>((Table3.110[[#This Row],[CH4 24h, ml]]/28.9)*16.04)/Table3.110[[#This Row],[DM Incubated, mg]]*1000</f>
        <v>17.752998281013173</v>
      </c>
      <c r="AV910" s="94">
        <f>((Table3.110[[#This Row],[CH4 24h, ml]]/28.9)*16.04)/Table3.110[[#This Row],[Digested feed, mg]]*1000</f>
        <v>36.073857922131161</v>
      </c>
    </row>
    <row r="911" spans="2:48" s="89" customFormat="1" x14ac:dyDescent="0.35">
      <c r="B911" s="90">
        <f t="shared" si="14"/>
        <v>901</v>
      </c>
      <c r="C911" s="140">
        <v>46057</v>
      </c>
      <c r="D911" s="6" t="s">
        <v>16</v>
      </c>
      <c r="E911" s="6" t="s">
        <v>368</v>
      </c>
      <c r="F911" s="6" t="s">
        <v>219</v>
      </c>
      <c r="G911" s="6" t="s">
        <v>365</v>
      </c>
      <c r="H911" s="6" t="s">
        <v>366</v>
      </c>
      <c r="I911" s="6" t="s">
        <v>22</v>
      </c>
      <c r="J911" s="129" t="s">
        <v>23</v>
      </c>
      <c r="K911" s="129" t="s">
        <v>215</v>
      </c>
      <c r="L911" s="6" t="s">
        <v>367</v>
      </c>
      <c r="M911" s="93">
        <v>29</v>
      </c>
      <c r="N911" s="93">
        <v>63</v>
      </c>
      <c r="O911" s="6">
        <v>2</v>
      </c>
      <c r="P911" s="6">
        <v>3</v>
      </c>
      <c r="Q911" s="6">
        <v>212</v>
      </c>
      <c r="R911" s="98">
        <v>0.5</v>
      </c>
      <c r="S911" s="94">
        <f>((Table3.110[[#This Row],[Sample weight, g]]*'2.1. DM'!Q227)/100)*1000</f>
        <v>455.35446455354469</v>
      </c>
      <c r="T911" s="94">
        <f>'3.2 Digest'!W911</f>
        <v>257.95446455354465</v>
      </c>
      <c r="U911" s="117">
        <v>0.34791666666666665</v>
      </c>
      <c r="V911" s="155">
        <v>40.5</v>
      </c>
      <c r="W911" s="117">
        <v>0.67847222222222225</v>
      </c>
      <c r="X911" s="96">
        <v>87.5</v>
      </c>
      <c r="Y911" s="96">
        <v>14.4</v>
      </c>
      <c r="Z911" s="155">
        <v>40</v>
      </c>
      <c r="AA911" s="117">
        <v>0.35208333333333336</v>
      </c>
      <c r="AB911" s="155">
        <v>94</v>
      </c>
      <c r="AC911" s="155">
        <v>17.100000000000001</v>
      </c>
      <c r="AD911" s="96"/>
      <c r="AE911" s="94">
        <f>Table3.110[[#This Row],[Gas 8h, ml]]-Table3.110[[#This Row],[Gas 0h, ml]]</f>
        <v>47</v>
      </c>
      <c r="AF911" s="94">
        <f>Table3.110[[#This Row],[Gas 24h, ml]]-Table3.110[[#This Row],[V8 Push back, ml]]</f>
        <v>54</v>
      </c>
      <c r="AG911" s="94">
        <f>Table3.110[[#This Row],[GP 8h, ml]]-(AVERAGE(AE$862,AE$863,AE$912,AE$913,AE$932,AE$933))*$AG$8</f>
        <v>43.754975227659145</v>
      </c>
      <c r="AH911" s="94">
        <f>Table3.110[[#This Row],[GP 8-24h, ml]]-(AVERAGE(AF$862,AF$863,AF$912,AF$913,AF$932,AF$933))*$AG$8</f>
        <v>49.685592064046816</v>
      </c>
      <c r="AI911" s="94">
        <f>Table3.110[[#This Row],[Net gas 8-24h, ml]]+Table3.110[[#This Row],[Net gas 8h, ml]]</f>
        <v>93.44056729170596</v>
      </c>
      <c r="AJ911" s="94">
        <f>Table3.110[[#This Row],[Net gas 8h, ml]]*Table3.110[[#This Row],[CH4 8h %]]%</f>
        <v>6.3007164327829175</v>
      </c>
      <c r="AK911" s="94">
        <f>Table3.110[[#This Row],[Net gas 8-24h, ml]]*Table3.110[[#This Row],[CH4 24h, %]]%</f>
        <v>8.4962362429520066</v>
      </c>
      <c r="AL911" s="94">
        <f>Table3.110[[#This Row],[CH4 8-24h, ml]]+Table3.110[[#This Row],[CH4 8h, ml]]</f>
        <v>14.796952675734925</v>
      </c>
      <c r="AM911" s="94">
        <f>(Table3.110[[#This Row],[Net gas 24h, ml]]/Table3.110[[#This Row],[DM Incubated, mg]])*1000</f>
        <v>205.20402140631342</v>
      </c>
      <c r="AN911" s="94">
        <f>'3.2 Digest'!X911</f>
        <v>56.64915678524374</v>
      </c>
      <c r="AO911" s="94">
        <f>Table3.110[[#This Row],[Digested feed, mg]]/Table3.110[[#This Row],[Net gas 24h, ml]]</f>
        <v>2.7606260538664493</v>
      </c>
      <c r="AP911" s="94">
        <f>Table3.110[[#This Row],[CH4 8h, ml]]/Table3.110[[#This Row],[Net gas 8h, ml]]%</f>
        <v>14.400000000000002</v>
      </c>
      <c r="AQ911" s="94">
        <f>Table3.110[[#This Row],[CH4 24h, ml]]/Table3.110[[#This Row],[Net gas 24h, ml]]%</f>
        <v>15.835683691368539</v>
      </c>
      <c r="AR911" s="94">
        <f>Table3.110[[#This Row],[CH4 24h, ml]]/Table3.110[[#This Row],[DM Incubated, mg]]*1000</f>
        <v>32.495459751871969</v>
      </c>
      <c r="AS911" s="94">
        <f>Table3.110[[#This Row],[CH4 24h, ml]]/Table3.110[[#This Row],[Digested feed, mg]]*1000</f>
        <v>57.362653913917669</v>
      </c>
      <c r="AT911" s="94">
        <f>Table3.110[[#This Row],[CH4 24h, ml]]/'3.2 Digest'!AA911</f>
        <v>1.2915403280336448</v>
      </c>
      <c r="AU911" s="94">
        <f>((Table3.110[[#This Row],[CH4 24h, ml]]/28.9)*16.04)/Table3.110[[#This Row],[DM Incubated, mg]]*1000</f>
        <v>18.035542367474964</v>
      </c>
      <c r="AV911" s="94">
        <f>((Table3.110[[#This Row],[CH4 24h, ml]]/28.9)*16.04)/Table3.110[[#This Row],[Digested feed, mg]]*1000</f>
        <v>31.837265355683027</v>
      </c>
    </row>
    <row r="912" spans="2:48" s="89" customFormat="1" x14ac:dyDescent="0.35">
      <c r="B912" s="90">
        <f t="shared" si="14"/>
        <v>902</v>
      </c>
      <c r="C912" s="143">
        <v>46057</v>
      </c>
      <c r="D912" s="6"/>
      <c r="E912" s="124" t="s">
        <v>541</v>
      </c>
      <c r="F912" s="6" t="s">
        <v>538</v>
      </c>
      <c r="G912" s="6" t="s">
        <v>542</v>
      </c>
      <c r="H912" s="124" t="s">
        <v>541</v>
      </c>
      <c r="I912" s="277"/>
      <c r="J912" s="278"/>
      <c r="K912" s="124"/>
      <c r="L912" s="124" t="s">
        <v>543</v>
      </c>
      <c r="M912" s="93">
        <v>29</v>
      </c>
      <c r="N912" s="147">
        <v>63</v>
      </c>
      <c r="O912" s="124">
        <v>2</v>
      </c>
      <c r="P912" s="146">
        <v>1</v>
      </c>
      <c r="Q912" s="124">
        <v>213</v>
      </c>
      <c r="R912" s="148"/>
      <c r="S912" s="94"/>
      <c r="T912" s="94"/>
      <c r="U912" s="149">
        <v>0.34791666666666665</v>
      </c>
      <c r="V912" s="150">
        <v>40</v>
      </c>
      <c r="W912" s="149">
        <v>0.67847222222222225</v>
      </c>
      <c r="X912" s="163">
        <v>44</v>
      </c>
      <c r="Y912" s="163"/>
      <c r="Z912" s="150"/>
      <c r="AA912" s="149"/>
      <c r="AB912" s="150"/>
      <c r="AC912" s="150"/>
      <c r="AD912" s="163"/>
      <c r="AE912" s="94">
        <f>Table3.110[[#This Row],[Gas 8h, ml]]-Table3.110[[#This Row],[Gas 0h, ml]]</f>
        <v>4</v>
      </c>
      <c r="AF912" s="94"/>
      <c r="AG912" s="94"/>
      <c r="AH912" s="94"/>
      <c r="AI912" s="94"/>
      <c r="AJ912" s="94"/>
      <c r="AK912" s="94"/>
      <c r="AL912" s="94"/>
      <c r="AM912" s="94"/>
      <c r="AN912" s="94"/>
      <c r="AO912" s="94"/>
      <c r="AP912" s="94"/>
      <c r="AQ912" s="94"/>
      <c r="AR912" s="94"/>
      <c r="AS912" s="94"/>
      <c r="AT912" s="94"/>
      <c r="AU912" s="94"/>
      <c r="AV912" s="94"/>
    </row>
    <row r="913" spans="2:48" s="89" customFormat="1" x14ac:dyDescent="0.35">
      <c r="B913" s="90">
        <f t="shared" si="14"/>
        <v>903</v>
      </c>
      <c r="C913" s="143">
        <v>46057</v>
      </c>
      <c r="D913" s="6"/>
      <c r="E913" s="124" t="s">
        <v>541</v>
      </c>
      <c r="F913" s="6" t="s">
        <v>538</v>
      </c>
      <c r="G913" s="6" t="s">
        <v>542</v>
      </c>
      <c r="H913" s="124" t="s">
        <v>541</v>
      </c>
      <c r="I913" s="277"/>
      <c r="J913" s="278"/>
      <c r="K913" s="124"/>
      <c r="L913" s="124" t="s">
        <v>543</v>
      </c>
      <c r="M913" s="93">
        <v>29</v>
      </c>
      <c r="N913" s="147">
        <v>63</v>
      </c>
      <c r="O913" s="124">
        <v>2</v>
      </c>
      <c r="P913" s="146">
        <v>2</v>
      </c>
      <c r="Q913" s="124">
        <v>214</v>
      </c>
      <c r="R913" s="148"/>
      <c r="S913" s="94"/>
      <c r="T913" s="94"/>
      <c r="U913" s="151">
        <v>0.34861111111111109</v>
      </c>
      <c r="V913" s="152">
        <v>40.5</v>
      </c>
      <c r="W913" s="151">
        <v>0.6791666666666667</v>
      </c>
      <c r="X913" s="164">
        <v>43.5</v>
      </c>
      <c r="Y913" s="164"/>
      <c r="Z913" s="152"/>
      <c r="AA913" s="151"/>
      <c r="AB913" s="152"/>
      <c r="AC913" s="152"/>
      <c r="AD913" s="164"/>
      <c r="AE913" s="94">
        <f>Table3.110[[#This Row],[Gas 8h, ml]]-Table3.110[[#This Row],[Gas 0h, ml]]</f>
        <v>3</v>
      </c>
      <c r="AF913" s="94"/>
      <c r="AG913" s="94"/>
      <c r="AH913" s="94"/>
      <c r="AI913" s="94"/>
      <c r="AJ913" s="94"/>
      <c r="AK913" s="94"/>
      <c r="AL913" s="94"/>
      <c r="AM913" s="94"/>
      <c r="AN913" s="94"/>
      <c r="AO913" s="94"/>
      <c r="AP913" s="94"/>
      <c r="AQ913" s="94"/>
      <c r="AR913" s="94"/>
      <c r="AS913" s="94"/>
      <c r="AT913" s="94"/>
      <c r="AU913" s="94"/>
      <c r="AV913" s="94"/>
    </row>
    <row r="914" spans="2:48" s="89" customFormat="1" x14ac:dyDescent="0.35">
      <c r="B914" s="90">
        <f t="shared" si="14"/>
        <v>904</v>
      </c>
      <c r="C914" s="140">
        <v>46057</v>
      </c>
      <c r="D914" s="6" t="s">
        <v>16</v>
      </c>
      <c r="E914" s="6" t="s">
        <v>370</v>
      </c>
      <c r="F914" s="6" t="s">
        <v>219</v>
      </c>
      <c r="G914" s="6" t="s">
        <v>365</v>
      </c>
      <c r="H914" s="6" t="s">
        <v>366</v>
      </c>
      <c r="I914" s="6" t="s">
        <v>22</v>
      </c>
      <c r="J914" s="129" t="s">
        <v>23</v>
      </c>
      <c r="K914" s="129" t="s">
        <v>215</v>
      </c>
      <c r="L914" s="6" t="s">
        <v>369</v>
      </c>
      <c r="M914" s="93">
        <v>29</v>
      </c>
      <c r="N914" s="93">
        <v>63</v>
      </c>
      <c r="O914" s="6">
        <v>2</v>
      </c>
      <c r="P914" s="129">
        <v>1</v>
      </c>
      <c r="Q914" s="6">
        <v>215</v>
      </c>
      <c r="R914" s="98">
        <v>0.50029999999999997</v>
      </c>
      <c r="S914" s="94">
        <f>((Table3.110[[#This Row],[Sample weight, g]]*'2.1. DM'!Q229)/100)*1000</f>
        <v>458.14788605697112</v>
      </c>
      <c r="T914" s="94">
        <f>'3.2 Digest'!W914</f>
        <v>206.04788605697112</v>
      </c>
      <c r="U914" s="153">
        <v>0.34861111111111109</v>
      </c>
      <c r="V914" s="154">
        <v>41.5</v>
      </c>
      <c r="W914" s="153">
        <v>0.6791666666666667</v>
      </c>
      <c r="X914" s="91">
        <v>98</v>
      </c>
      <c r="Y914" s="91">
        <v>14.4</v>
      </c>
      <c r="Z914" s="154">
        <v>40.5</v>
      </c>
      <c r="AA914" s="153">
        <v>0.3527777777777778</v>
      </c>
      <c r="AB914" s="154">
        <v>96</v>
      </c>
      <c r="AC914" s="154">
        <v>17.899999999999999</v>
      </c>
      <c r="AD914" s="91" t="s">
        <v>569</v>
      </c>
      <c r="AE914" s="94">
        <f>Table3.110[[#This Row],[Gas 8h, ml]]-Table3.110[[#This Row],[Gas 0h, ml]]</f>
        <v>56.5</v>
      </c>
      <c r="AF914" s="94">
        <f>Table3.110[[#This Row],[Gas 24h, ml]]-Table3.110[[#This Row],[V8 Push back, ml]]</f>
        <v>55.5</v>
      </c>
      <c r="AG914" s="94">
        <f>Table3.110[[#This Row],[GP 8h, ml]]-(AVERAGE(AE$862,AE$863,AE$912,AE$913,AE$932,AE$933))*$AG$8</f>
        <v>53.254975227659145</v>
      </c>
      <c r="AH914" s="94">
        <f>Table3.110[[#This Row],[GP 8-24h, ml]]-(AVERAGE(AF$862,AF$863,AF$912,AF$913,AF$932,AF$933))*$AG$8</f>
        <v>51.185592064046816</v>
      </c>
      <c r="AI914" s="94">
        <f>Table3.110[[#This Row],[Net gas 8-24h, ml]]+Table3.110[[#This Row],[Net gas 8h, ml]]</f>
        <v>104.44056729170596</v>
      </c>
      <c r="AJ914" s="94">
        <f>Table3.110[[#This Row],[Net gas 8h, ml]]*Table3.110[[#This Row],[CH4 8h %]]%</f>
        <v>7.6687164327829178</v>
      </c>
      <c r="AK914" s="94">
        <f>Table3.110[[#This Row],[Net gas 8-24h, ml]]*Table3.110[[#This Row],[CH4 24h, %]]%</f>
        <v>9.1622209794643794</v>
      </c>
      <c r="AL914" s="94">
        <f>Table3.110[[#This Row],[CH4 8-24h, ml]]+Table3.110[[#This Row],[CH4 8h, ml]]</f>
        <v>16.830937412247298</v>
      </c>
      <c r="AM914" s="94">
        <f>(Table3.110[[#This Row],[Net gas 24h, ml]]/Table3.110[[#This Row],[DM Incubated, mg]])*1000</f>
        <v>227.96256508039124</v>
      </c>
      <c r="AN914" s="94">
        <f>'3.2 Digest'!X914</f>
        <v>44.974099483534204</v>
      </c>
      <c r="AO914" s="94">
        <f>Table3.110[[#This Row],[Digested feed, mg]]/Table3.110[[#This Row],[Net gas 24h, ml]]</f>
        <v>1.9728721453750109</v>
      </c>
      <c r="AP914" s="94">
        <f>Table3.110[[#This Row],[CH4 8h, ml]]/Table3.110[[#This Row],[Net gas 8h, ml]]%</f>
        <v>14.400000000000002</v>
      </c>
      <c r="AQ914" s="94">
        <f>Table3.110[[#This Row],[CH4 24h, ml]]/Table3.110[[#This Row],[Net gas 24h, ml]]%</f>
        <v>16.115325537478107</v>
      </c>
      <c r="AR914" s="94">
        <f>Table3.110[[#This Row],[CH4 24h, ml]]/Table3.110[[#This Row],[DM Incubated, mg]]*1000</f>
        <v>36.736909466290442</v>
      </c>
      <c r="AS914" s="94">
        <f>Table3.110[[#This Row],[CH4 24h, ml]]/Table3.110[[#This Row],[Digested feed, mg]]*1000</f>
        <v>81.684591549721773</v>
      </c>
      <c r="AT914" s="94">
        <f>Table3.110[[#This Row],[CH4 24h, ml]]/'3.2 Digest'!AA914</f>
        <v>-12.034809885145737</v>
      </c>
      <c r="AU914" s="94">
        <f>((Table3.110[[#This Row],[CH4 24h, ml]]/28.9)*16.04)/Table3.110[[#This Row],[DM Incubated, mg]]*1000</f>
        <v>20.389620340460166</v>
      </c>
      <c r="AV914" s="94">
        <f>((Table3.110[[#This Row],[CH4 24h, ml]]/28.9)*16.04)/Table3.110[[#This Row],[Digested feed, mg]]*1000</f>
        <v>45.336361538323096</v>
      </c>
    </row>
    <row r="915" spans="2:48" s="89" customFormat="1" x14ac:dyDescent="0.35">
      <c r="B915" s="90">
        <f t="shared" si="14"/>
        <v>905</v>
      </c>
      <c r="C915" s="140">
        <v>46057</v>
      </c>
      <c r="D915" s="6" t="s">
        <v>16</v>
      </c>
      <c r="E915" s="6" t="s">
        <v>370</v>
      </c>
      <c r="F915" s="6" t="s">
        <v>219</v>
      </c>
      <c r="G915" s="6" t="s">
        <v>365</v>
      </c>
      <c r="H915" s="6" t="s">
        <v>366</v>
      </c>
      <c r="I915" s="6" t="s">
        <v>22</v>
      </c>
      <c r="J915" s="129" t="s">
        <v>23</v>
      </c>
      <c r="K915" s="129" t="s">
        <v>215</v>
      </c>
      <c r="L915" s="6" t="s">
        <v>369</v>
      </c>
      <c r="M915" s="93">
        <v>29</v>
      </c>
      <c r="N915" s="93">
        <v>63</v>
      </c>
      <c r="O915" s="6">
        <v>2</v>
      </c>
      <c r="P915" s="129">
        <v>2</v>
      </c>
      <c r="Q915" s="6">
        <v>216</v>
      </c>
      <c r="R915" s="98">
        <v>0.50029999999999997</v>
      </c>
      <c r="S915" s="94">
        <f>((Table3.110[[#This Row],[Sample weight, g]]*'2.1. DM'!Q229)/100)*1000</f>
        <v>458.14788605697112</v>
      </c>
      <c r="T915" s="94">
        <f>'3.2 Digest'!W915</f>
        <v>272.04788605697115</v>
      </c>
      <c r="U915" s="117">
        <v>0.34861111111111109</v>
      </c>
      <c r="V915" s="155">
        <v>40.5</v>
      </c>
      <c r="W915" s="117">
        <v>0.6791666666666667</v>
      </c>
      <c r="X915" s="96">
        <v>96.5</v>
      </c>
      <c r="Y915" s="96">
        <v>14.6</v>
      </c>
      <c r="Z915" s="155">
        <v>40</v>
      </c>
      <c r="AA915" s="117">
        <v>0.35347222222222224</v>
      </c>
      <c r="AB915" s="155">
        <v>99</v>
      </c>
      <c r="AC915" s="155">
        <v>17.8</v>
      </c>
      <c r="AD915" s="96"/>
      <c r="AE915" s="94">
        <f>Table3.110[[#This Row],[Gas 8h, ml]]-Table3.110[[#This Row],[Gas 0h, ml]]</f>
        <v>56</v>
      </c>
      <c r="AF915" s="94">
        <f>Table3.110[[#This Row],[Gas 24h, ml]]-Table3.110[[#This Row],[V8 Push back, ml]]</f>
        <v>59</v>
      </c>
      <c r="AG915" s="94">
        <f>Table3.110[[#This Row],[GP 8h, ml]]-(AVERAGE(AE$862,AE$863,AE$912,AE$913,AE$932,AE$933))*$AG$8</f>
        <v>52.754975227659145</v>
      </c>
      <c r="AH915" s="94">
        <f>Table3.110[[#This Row],[GP 8-24h, ml]]-(AVERAGE(AF$862,AF$863,AF$912,AF$913,AF$932,AF$933))*$AG$8</f>
        <v>54.685592064046816</v>
      </c>
      <c r="AI915" s="94">
        <f>Table3.110[[#This Row],[Net gas 8-24h, ml]]+Table3.110[[#This Row],[Net gas 8h, ml]]</f>
        <v>107.44056729170596</v>
      </c>
      <c r="AJ915" s="94">
        <f>Table3.110[[#This Row],[Net gas 8h, ml]]*Table3.110[[#This Row],[CH4 8h %]]%</f>
        <v>7.7022263832382345</v>
      </c>
      <c r="AK915" s="94">
        <f>Table3.110[[#This Row],[Net gas 8-24h, ml]]*Table3.110[[#This Row],[CH4 24h, %]]%</f>
        <v>9.7340353874003345</v>
      </c>
      <c r="AL915" s="94">
        <f>Table3.110[[#This Row],[CH4 8-24h, ml]]+Table3.110[[#This Row],[CH4 8h, ml]]</f>
        <v>17.43626177063857</v>
      </c>
      <c r="AM915" s="94">
        <f>(Table3.110[[#This Row],[Net gas 24h, ml]]/Table3.110[[#This Row],[DM Incubated, mg]])*1000</f>
        <v>234.51066906886399</v>
      </c>
      <c r="AN915" s="94">
        <f>'3.2 Digest'!X915</f>
        <v>59.37992825817421</v>
      </c>
      <c r="AO915" s="94">
        <f>Table3.110[[#This Row],[Digested feed, mg]]/Table3.110[[#This Row],[Net gas 24h, ml]]</f>
        <v>2.5320779005042753</v>
      </c>
      <c r="AP915" s="94">
        <f>Table3.110[[#This Row],[CH4 8h, ml]]/Table3.110[[#This Row],[Net gas 8h, ml]]%</f>
        <v>14.6</v>
      </c>
      <c r="AQ915" s="94">
        <f>Table3.110[[#This Row],[CH4 24h, ml]]/Table3.110[[#This Row],[Net gas 24h, ml]]%</f>
        <v>16.228750657373517</v>
      </c>
      <c r="AR915" s="94">
        <f>Table3.110[[#This Row],[CH4 24h, ml]]/Table3.110[[#This Row],[DM Incubated, mg]]*1000</f>
        <v>38.058151748124303</v>
      </c>
      <c r="AS915" s="94">
        <f>Table3.110[[#This Row],[CH4 24h, ml]]/Table3.110[[#This Row],[Digested feed, mg]]*1000</f>
        <v>64.092619955102833</v>
      </c>
      <c r="AT915" s="94">
        <f>Table3.110[[#This Row],[CH4 24h, ml]]/'3.2 Digest'!AA915</f>
        <v>0.69335413190461137</v>
      </c>
      <c r="AU915" s="94">
        <f>((Table3.110[[#This Row],[CH4 24h, ml]]/28.9)*16.04)/Table3.110[[#This Row],[DM Incubated, mg]]*1000</f>
        <v>21.122932665740965</v>
      </c>
      <c r="AV915" s="94">
        <f>((Table3.110[[#This Row],[CH4 24h, ml]]/28.9)*16.04)/Table3.110[[#This Row],[Digested feed, mg]]*1000</f>
        <v>35.572512943939429</v>
      </c>
    </row>
    <row r="916" spans="2:48" s="89" customFormat="1" x14ac:dyDescent="0.35">
      <c r="B916" s="90">
        <f t="shared" si="14"/>
        <v>906</v>
      </c>
      <c r="C916" s="140">
        <v>46057</v>
      </c>
      <c r="D916" s="6" t="s">
        <v>16</v>
      </c>
      <c r="E916" s="6" t="s">
        <v>370</v>
      </c>
      <c r="F916" s="6" t="s">
        <v>219</v>
      </c>
      <c r="G916" s="6" t="s">
        <v>365</v>
      </c>
      <c r="H916" s="6" t="s">
        <v>366</v>
      </c>
      <c r="I916" s="6" t="s">
        <v>22</v>
      </c>
      <c r="J916" s="129" t="s">
        <v>23</v>
      </c>
      <c r="K916" s="129" t="s">
        <v>215</v>
      </c>
      <c r="L916" s="6" t="s">
        <v>369</v>
      </c>
      <c r="M916" s="93">
        <v>29</v>
      </c>
      <c r="N916" s="93">
        <v>63</v>
      </c>
      <c r="O916" s="6">
        <v>2</v>
      </c>
      <c r="P916" s="129">
        <v>3</v>
      </c>
      <c r="Q916" s="6">
        <v>217</v>
      </c>
      <c r="R916" s="98">
        <v>0.50039999999999996</v>
      </c>
      <c r="S916" s="94">
        <f>((Table3.110[[#This Row],[Sample weight, g]]*'2.1. DM'!Q229)/100)*1000</f>
        <v>458.23946068940307</v>
      </c>
      <c r="T916" s="94">
        <f>'3.2 Digest'!W916</f>
        <v>231.73946068940305</v>
      </c>
      <c r="U916" s="153">
        <v>0.34930555555555554</v>
      </c>
      <c r="V916" s="154">
        <v>41</v>
      </c>
      <c r="W916" s="153">
        <v>0.67986111111111114</v>
      </c>
      <c r="X916" s="91">
        <v>94.5</v>
      </c>
      <c r="Y916" s="91">
        <v>14.4</v>
      </c>
      <c r="Z916" s="154">
        <v>40</v>
      </c>
      <c r="AA916" s="153">
        <v>0.35347222222222224</v>
      </c>
      <c r="AB916" s="154">
        <v>89</v>
      </c>
      <c r="AC916" s="154">
        <v>18.100000000000001</v>
      </c>
      <c r="AD916" s="91"/>
      <c r="AE916" s="94">
        <f>Table3.110[[#This Row],[Gas 8h, ml]]-Table3.110[[#This Row],[Gas 0h, ml]]</f>
        <v>53.5</v>
      </c>
      <c r="AF916" s="94">
        <f>Table3.110[[#This Row],[Gas 24h, ml]]-Table3.110[[#This Row],[V8 Push back, ml]]</f>
        <v>49</v>
      </c>
      <c r="AG916" s="94">
        <f>Table3.110[[#This Row],[GP 8h, ml]]-(AVERAGE(AE$862,AE$863,AE$912,AE$913,AE$932,AE$933))*$AG$8</f>
        <v>50.254975227659145</v>
      </c>
      <c r="AH916" s="94">
        <f>Table3.110[[#This Row],[GP 8-24h, ml]]-(AVERAGE(AF$862,AF$863,AF$912,AF$913,AF$932,AF$933))*$AG$8</f>
        <v>44.685592064046816</v>
      </c>
      <c r="AI916" s="94">
        <f>Table3.110[[#This Row],[Net gas 8-24h, ml]]+Table3.110[[#This Row],[Net gas 8h, ml]]</f>
        <v>94.94056729170596</v>
      </c>
      <c r="AJ916" s="94">
        <f>Table3.110[[#This Row],[Net gas 8h, ml]]*Table3.110[[#This Row],[CH4 8h %]]%</f>
        <v>7.2367164327829174</v>
      </c>
      <c r="AK916" s="94">
        <f>Table3.110[[#This Row],[Net gas 8-24h, ml]]*Table3.110[[#This Row],[CH4 24h, %]]%</f>
        <v>8.0880921635924743</v>
      </c>
      <c r="AL916" s="94">
        <f>Table3.110[[#This Row],[CH4 8-24h, ml]]+Table3.110[[#This Row],[CH4 8h, ml]]</f>
        <v>15.324808596375391</v>
      </c>
      <c r="AM916" s="94">
        <f>(Table3.110[[#This Row],[Net gas 24h, ml]]/Table3.110[[#This Row],[DM Incubated, mg]])*1000</f>
        <v>207.18549019953812</v>
      </c>
      <c r="AN916" s="94">
        <f>'3.2 Digest'!X916</f>
        <v>50.571694620266925</v>
      </c>
      <c r="AO916" s="94">
        <f>Table3.110[[#This Row],[Digested feed, mg]]/Table3.110[[#This Row],[Net gas 24h, ml]]</f>
        <v>2.4408897829457974</v>
      </c>
      <c r="AP916" s="94">
        <f>Table3.110[[#This Row],[CH4 8h, ml]]/Table3.110[[#This Row],[Net gas 8h, ml]]%</f>
        <v>14.4</v>
      </c>
      <c r="AQ916" s="94">
        <f>Table3.110[[#This Row],[CH4 24h, ml]]/Table3.110[[#This Row],[Net gas 24h, ml]]%</f>
        <v>16.141475697411565</v>
      </c>
      <c r="AR916" s="94">
        <f>Table3.110[[#This Row],[CH4 24h, ml]]/Table3.110[[#This Row],[DM Incubated, mg]]*1000</f>
        <v>33.44279554912147</v>
      </c>
      <c r="AS916" s="94">
        <f>Table3.110[[#This Row],[CH4 24h, ml]]/Table3.110[[#This Row],[Digested feed, mg]]*1000</f>
        <v>66.129473809879116</v>
      </c>
      <c r="AT916" s="94">
        <f>Table3.110[[#This Row],[CH4 24h, ml]]/'3.2 Digest'!AA916</f>
        <v>1.7187213884578412</v>
      </c>
      <c r="AU916" s="94">
        <f>((Table3.110[[#This Row],[CH4 24h, ml]]/28.9)*16.04)/Table3.110[[#This Row],[DM Incubated, mg]]*1000</f>
        <v>18.561330124841117</v>
      </c>
      <c r="AV916" s="94">
        <f>((Table3.110[[#This Row],[CH4 24h, ml]]/28.9)*16.04)/Table3.110[[#This Row],[Digested feed, mg]]*1000</f>
        <v>36.703002073026333</v>
      </c>
    </row>
    <row r="917" spans="2:48" s="89" customFormat="1" x14ac:dyDescent="0.35">
      <c r="B917" s="90">
        <f t="shared" si="14"/>
        <v>907</v>
      </c>
      <c r="C917" s="140">
        <v>46057</v>
      </c>
      <c r="D917" s="6" t="s">
        <v>16</v>
      </c>
      <c r="E917" s="6" t="s">
        <v>372</v>
      </c>
      <c r="F917" s="6" t="s">
        <v>219</v>
      </c>
      <c r="G917" s="6" t="s">
        <v>220</v>
      </c>
      <c r="H917" s="6" t="s">
        <v>221</v>
      </c>
      <c r="I917" s="6" t="s">
        <v>22</v>
      </c>
      <c r="J917" s="129" t="s">
        <v>23</v>
      </c>
      <c r="K917" s="129" t="s">
        <v>215</v>
      </c>
      <c r="L917" s="6" t="s">
        <v>371</v>
      </c>
      <c r="M917" s="93">
        <v>29</v>
      </c>
      <c r="N917" s="93">
        <v>63</v>
      </c>
      <c r="O917" s="6">
        <v>2</v>
      </c>
      <c r="P917" s="129">
        <v>1</v>
      </c>
      <c r="Q917" s="6">
        <v>218</v>
      </c>
      <c r="R917" s="98">
        <v>0.50019999999999998</v>
      </c>
      <c r="S917" s="94">
        <f>((Table3.110[[#This Row],[Sample weight, g]]*'2.1. DM'!Q231)/100)*1000</f>
        <v>447.89214433130559</v>
      </c>
      <c r="T917" s="94">
        <f>'3.2 Digest'!W917</f>
        <v>163.89214433130564</v>
      </c>
      <c r="U917" s="117">
        <v>0.35</v>
      </c>
      <c r="V917" s="155">
        <v>41</v>
      </c>
      <c r="W917" s="117">
        <v>0.67986111111111114</v>
      </c>
      <c r="X917" s="96">
        <v>83</v>
      </c>
      <c r="Y917" s="96">
        <v>14.4</v>
      </c>
      <c r="Z917" s="155">
        <v>39.5</v>
      </c>
      <c r="AA917" s="117">
        <v>0.35347222222222224</v>
      </c>
      <c r="AB917" s="155">
        <v>88</v>
      </c>
      <c r="AC917" s="155">
        <v>16.399999999999999</v>
      </c>
      <c r="AD917" s="96"/>
      <c r="AE917" s="94">
        <f>Table3.110[[#This Row],[Gas 8h, ml]]-Table3.110[[#This Row],[Gas 0h, ml]]</f>
        <v>42</v>
      </c>
      <c r="AF917" s="94">
        <f>Table3.110[[#This Row],[Gas 24h, ml]]-Table3.110[[#This Row],[V8 Push back, ml]]</f>
        <v>48.5</v>
      </c>
      <c r="AG917" s="94">
        <f>Table3.110[[#This Row],[GP 8h, ml]]-(AVERAGE(AE$862,AE$863,AE$912,AE$913,AE$932,AE$933))*$AG$8</f>
        <v>38.754975227659145</v>
      </c>
      <c r="AH917" s="94">
        <f>Table3.110[[#This Row],[GP 8-24h, ml]]-(AVERAGE(AF$862,AF$863,AF$912,AF$913,AF$932,AF$933))*$AG$8</f>
        <v>44.185592064046816</v>
      </c>
      <c r="AI917" s="94">
        <f>Table3.110[[#This Row],[Net gas 8-24h, ml]]+Table3.110[[#This Row],[Net gas 8h, ml]]</f>
        <v>82.94056729170596</v>
      </c>
      <c r="AJ917" s="94">
        <f>Table3.110[[#This Row],[Net gas 8h, ml]]*Table3.110[[#This Row],[CH4 8h %]]%</f>
        <v>5.5807164327829177</v>
      </c>
      <c r="AK917" s="94">
        <f>Table3.110[[#This Row],[Net gas 8-24h, ml]]*Table3.110[[#This Row],[CH4 24h, %]]%</f>
        <v>7.2464370985036766</v>
      </c>
      <c r="AL917" s="94">
        <f>Table3.110[[#This Row],[CH4 8-24h, ml]]+Table3.110[[#This Row],[CH4 8h, ml]]</f>
        <v>12.827153531286594</v>
      </c>
      <c r="AM917" s="94">
        <f>(Table3.110[[#This Row],[Net gas 24h, ml]]/Table3.110[[#This Row],[DM Incubated, mg]])*1000</f>
        <v>185.17977674186415</v>
      </c>
      <c r="AN917" s="94">
        <f>'3.2 Digest'!X917</f>
        <v>36.591877398518221</v>
      </c>
      <c r="AO917" s="94">
        <f>Table3.110[[#This Row],[Digested feed, mg]]/Table3.110[[#This Row],[Net gas 24h, ml]]</f>
        <v>1.9760190903311416</v>
      </c>
      <c r="AP917" s="94">
        <f>Table3.110[[#This Row],[CH4 8h, ml]]/Table3.110[[#This Row],[Net gas 8h, ml]]%</f>
        <v>14.400000000000002</v>
      </c>
      <c r="AQ917" s="94">
        <f>Table3.110[[#This Row],[CH4 24h, ml]]/Table3.110[[#This Row],[Net gas 24h, ml]]%</f>
        <v>15.465476003043094</v>
      </c>
      <c r="AR917" s="94">
        <f>Table3.110[[#This Row],[CH4 24h, ml]]/Table3.110[[#This Row],[DM Incubated, mg]]*1000</f>
        <v>28.638933934501775</v>
      </c>
      <c r="AS917" s="94">
        <f>Table3.110[[#This Row],[CH4 24h, ml]]/Table3.110[[#This Row],[Digested feed, mg]]*1000</f>
        <v>78.265822828925138</v>
      </c>
      <c r="AT917" s="94">
        <f>Table3.110[[#This Row],[CH4 24h, ml]]/'3.2 Digest'!AA917</f>
        <v>-0.3075596428338298</v>
      </c>
      <c r="AU917" s="94">
        <f>((Table3.110[[#This Row],[CH4 24h, ml]]/28.9)*16.04)/Table3.110[[#This Row],[DM Incubated, mg]]*1000</f>
        <v>15.895103816934549</v>
      </c>
      <c r="AV917" s="94">
        <f>((Table3.110[[#This Row],[CH4 24h, ml]]/28.9)*16.04)/Table3.110[[#This Row],[Digested feed, mg]]*1000</f>
        <v>43.438885750033187</v>
      </c>
    </row>
    <row r="918" spans="2:48" s="89" customFormat="1" x14ac:dyDescent="0.35">
      <c r="B918" s="90">
        <f t="shared" si="14"/>
        <v>908</v>
      </c>
      <c r="C918" s="140">
        <v>46057</v>
      </c>
      <c r="D918" s="6" t="s">
        <v>16</v>
      </c>
      <c r="E918" s="6" t="s">
        <v>372</v>
      </c>
      <c r="F918" s="6" t="s">
        <v>219</v>
      </c>
      <c r="G918" s="6" t="s">
        <v>220</v>
      </c>
      <c r="H918" s="6" t="s">
        <v>221</v>
      </c>
      <c r="I918" s="6" t="s">
        <v>22</v>
      </c>
      <c r="J918" s="129" t="s">
        <v>23</v>
      </c>
      <c r="K918" s="129" t="s">
        <v>215</v>
      </c>
      <c r="L918" s="6" t="s">
        <v>371</v>
      </c>
      <c r="M918" s="93">
        <v>29</v>
      </c>
      <c r="N918" s="93">
        <v>63</v>
      </c>
      <c r="O918" s="6">
        <v>2</v>
      </c>
      <c r="P918" s="129">
        <v>2</v>
      </c>
      <c r="Q918" s="6">
        <v>219</v>
      </c>
      <c r="R918" s="98">
        <v>0.50029999999999997</v>
      </c>
      <c r="S918" s="94">
        <f>((Table3.110[[#This Row],[Sample weight, g]]*'2.1. DM'!Q231)/100)*1000</f>
        <v>447.9816869431271</v>
      </c>
      <c r="T918" s="94">
        <f>'3.2 Digest'!W918</f>
        <v>247.78168694312706</v>
      </c>
      <c r="U918" s="153">
        <v>0.35</v>
      </c>
      <c r="V918" s="154">
        <v>41</v>
      </c>
      <c r="W918" s="153">
        <v>0.68055555555555558</v>
      </c>
      <c r="X918" s="91">
        <v>82.5</v>
      </c>
      <c r="Y918" s="91">
        <v>14.7</v>
      </c>
      <c r="Z918" s="154">
        <v>40</v>
      </c>
      <c r="AA918" s="153">
        <v>0.35416666666666669</v>
      </c>
      <c r="AB918" s="154">
        <v>95</v>
      </c>
      <c r="AC918" s="154">
        <v>16.7</v>
      </c>
      <c r="AD918" s="91"/>
      <c r="AE918" s="94">
        <f>Table3.110[[#This Row],[Gas 8h, ml]]-Table3.110[[#This Row],[Gas 0h, ml]]</f>
        <v>41.5</v>
      </c>
      <c r="AF918" s="94">
        <f>Table3.110[[#This Row],[Gas 24h, ml]]-Table3.110[[#This Row],[V8 Push back, ml]]</f>
        <v>55</v>
      </c>
      <c r="AG918" s="94">
        <f>Table3.110[[#This Row],[GP 8h, ml]]-(AVERAGE(AE$862,AE$863,AE$912,AE$913,AE$932,AE$933))*$AG$8</f>
        <v>38.254975227659145</v>
      </c>
      <c r="AH918" s="94">
        <f>Table3.110[[#This Row],[GP 8-24h, ml]]-(AVERAGE(AF$862,AF$863,AF$912,AF$913,AF$932,AF$933))*$AG$8</f>
        <v>50.685592064046816</v>
      </c>
      <c r="AI918" s="94">
        <f>Table3.110[[#This Row],[Net gas 8-24h, ml]]+Table3.110[[#This Row],[Net gas 8h, ml]]</f>
        <v>88.94056729170596</v>
      </c>
      <c r="AJ918" s="94">
        <f>Table3.110[[#This Row],[Net gas 8h, ml]]*Table3.110[[#This Row],[CH4 8h %]]%</f>
        <v>5.6234813584658943</v>
      </c>
      <c r="AK918" s="94">
        <f>Table3.110[[#This Row],[Net gas 8-24h, ml]]*Table3.110[[#This Row],[CH4 24h, %]]%</f>
        <v>8.4644938746958172</v>
      </c>
      <c r="AL918" s="94">
        <f>Table3.110[[#This Row],[CH4 8-24h, ml]]+Table3.110[[#This Row],[CH4 8h, ml]]</f>
        <v>14.087975233161711</v>
      </c>
      <c r="AM918" s="94">
        <f>(Table3.110[[#This Row],[Net gas 24h, ml]]/Table3.110[[#This Row],[DM Incubated, mg]])*1000</f>
        <v>198.5361676246317</v>
      </c>
      <c r="AN918" s="94">
        <f>'3.2 Digest'!X918</f>
        <v>55.310673218341591</v>
      </c>
      <c r="AO918" s="94">
        <f>Table3.110[[#This Row],[Digested feed, mg]]/Table3.110[[#This Row],[Net gas 24h, ml]]</f>
        <v>2.7859242917852809</v>
      </c>
      <c r="AP918" s="94">
        <f>Table3.110[[#This Row],[CH4 8h, ml]]/Table3.110[[#This Row],[Net gas 8h, ml]]%</f>
        <v>14.700000000000001</v>
      </c>
      <c r="AQ918" s="94">
        <f>Table3.110[[#This Row],[CH4 24h, ml]]/Table3.110[[#This Row],[Net gas 24h, ml]]%</f>
        <v>15.839763183605719</v>
      </c>
      <c r="AR918" s="94">
        <f>Table3.110[[#This Row],[CH4 24h, ml]]/Table3.110[[#This Row],[DM Incubated, mg]]*1000</f>
        <v>31.447658785548143</v>
      </c>
      <c r="AS918" s="94">
        <f>Table3.110[[#This Row],[CH4 24h, ml]]/Table3.110[[#This Row],[Digested feed, mg]]*1000</f>
        <v>56.856402129489503</v>
      </c>
      <c r="AT918" s="94">
        <f>Table3.110[[#This Row],[CH4 24h, ml]]/'3.2 Digest'!AA918</f>
        <v>110.88265475678588</v>
      </c>
      <c r="AU918" s="94">
        <f>((Table3.110[[#This Row],[CH4 24h, ml]]/28.9)*16.04)/Table3.110[[#This Row],[DM Incubated, mg]]*1000</f>
        <v>17.453994703120841</v>
      </c>
      <c r="AV918" s="94">
        <f>((Table3.110[[#This Row],[CH4 24h, ml]]/28.9)*16.04)/Table3.110[[#This Row],[Digested feed, mg]]*1000</f>
        <v>31.556286856644</v>
      </c>
    </row>
    <row r="919" spans="2:48" s="89" customFormat="1" x14ac:dyDescent="0.35">
      <c r="B919" s="90">
        <f t="shared" si="14"/>
        <v>909</v>
      </c>
      <c r="C919" s="140">
        <v>46057</v>
      </c>
      <c r="D919" s="6" t="s">
        <v>16</v>
      </c>
      <c r="E919" s="6" t="s">
        <v>372</v>
      </c>
      <c r="F919" s="6" t="s">
        <v>219</v>
      </c>
      <c r="G919" s="6" t="s">
        <v>220</v>
      </c>
      <c r="H919" s="6" t="s">
        <v>221</v>
      </c>
      <c r="I919" s="6" t="s">
        <v>22</v>
      </c>
      <c r="J919" s="129" t="s">
        <v>23</v>
      </c>
      <c r="K919" s="129" t="s">
        <v>215</v>
      </c>
      <c r="L919" s="6" t="s">
        <v>371</v>
      </c>
      <c r="M919" s="93">
        <v>29</v>
      </c>
      <c r="N919" s="93">
        <v>63</v>
      </c>
      <c r="O919" s="6">
        <v>2</v>
      </c>
      <c r="P919" s="129">
        <v>3</v>
      </c>
      <c r="Q919" s="6">
        <v>220</v>
      </c>
      <c r="R919" s="98">
        <v>0.50039999999999996</v>
      </c>
      <c r="S919" s="94">
        <f>((Table3.110[[#This Row],[Sample weight, g]]*'2.1. DM'!Q231)/100)*1000</f>
        <v>448.07122955494873</v>
      </c>
      <c r="T919" s="94">
        <f>'3.2 Digest'!W919</f>
        <v>182.37122955494868</v>
      </c>
      <c r="U919" s="117">
        <v>0.35</v>
      </c>
      <c r="V919" s="155">
        <v>41</v>
      </c>
      <c r="W919" s="117">
        <v>0.68055555555555558</v>
      </c>
      <c r="X919" s="96">
        <v>80.5</v>
      </c>
      <c r="Y919" s="96">
        <v>14.6</v>
      </c>
      <c r="Z919" s="155">
        <v>40</v>
      </c>
      <c r="AA919" s="117">
        <v>0.35416666666666669</v>
      </c>
      <c r="AB919" s="155">
        <v>90</v>
      </c>
      <c r="AC919" s="155">
        <v>16.7</v>
      </c>
      <c r="AD919" s="96"/>
      <c r="AE919" s="94">
        <f>Table3.110[[#This Row],[Gas 8h, ml]]-Table3.110[[#This Row],[Gas 0h, ml]]</f>
        <v>39.5</v>
      </c>
      <c r="AF919" s="94">
        <f>Table3.110[[#This Row],[Gas 24h, ml]]-Table3.110[[#This Row],[V8 Push back, ml]]</f>
        <v>50</v>
      </c>
      <c r="AG919" s="94">
        <f>Table3.110[[#This Row],[GP 8h, ml]]-(AVERAGE(AE$862,AE$863,AE$912,AE$913,AE$932,AE$933))*$AG$8</f>
        <v>36.254975227659145</v>
      </c>
      <c r="AH919" s="94">
        <f>Table3.110[[#This Row],[GP 8-24h, ml]]-(AVERAGE(AF$862,AF$863,AF$912,AF$913,AF$932,AF$933))*$AG$8</f>
        <v>45.685592064046816</v>
      </c>
      <c r="AI919" s="94">
        <f>Table3.110[[#This Row],[Net gas 8-24h, ml]]+Table3.110[[#This Row],[Net gas 8h, ml]]</f>
        <v>81.94056729170596</v>
      </c>
      <c r="AJ919" s="94">
        <f>Table3.110[[#This Row],[Net gas 8h, ml]]*Table3.110[[#This Row],[CH4 8h %]]%</f>
        <v>5.2932263832382347</v>
      </c>
      <c r="AK919" s="94">
        <f>Table3.110[[#This Row],[Net gas 8-24h, ml]]*Table3.110[[#This Row],[CH4 24h, %]]%</f>
        <v>7.6294938746958172</v>
      </c>
      <c r="AL919" s="94">
        <f>Table3.110[[#This Row],[CH4 8-24h, ml]]+Table3.110[[#This Row],[CH4 8h, ml]]</f>
        <v>12.922720257934053</v>
      </c>
      <c r="AM919" s="94">
        <f>(Table3.110[[#This Row],[Net gas 24h, ml]]/Table3.110[[#This Row],[DM Incubated, mg]])*1000</f>
        <v>182.87397602629889</v>
      </c>
      <c r="AN919" s="94">
        <f>'3.2 Digest'!X919</f>
        <v>40.701392440681978</v>
      </c>
      <c r="AO919" s="94">
        <f>Table3.110[[#This Row],[Digested feed, mg]]/Table3.110[[#This Row],[Net gas 24h, ml]]</f>
        <v>2.2256525135554965</v>
      </c>
      <c r="AP919" s="94">
        <f>Table3.110[[#This Row],[CH4 8h, ml]]/Table3.110[[#This Row],[Net gas 8h, ml]]%</f>
        <v>14.599999999999998</v>
      </c>
      <c r="AQ919" s="94">
        <f>Table3.110[[#This Row],[CH4 24h, ml]]/Table3.110[[#This Row],[Net gas 24h, ml]]%</f>
        <v>15.770845486008849</v>
      </c>
      <c r="AR919" s="94">
        <f>Table3.110[[#This Row],[CH4 24h, ml]]/Table3.110[[#This Row],[DM Incubated, mg]]*1000</f>
        <v>28.84077219322846</v>
      </c>
      <c r="AS919" s="94">
        <f>Table3.110[[#This Row],[CH4 24h, ml]]/Table3.110[[#This Row],[Digested feed, mg]]*1000</f>
        <v>70.859423876617669</v>
      </c>
      <c r="AT919" s="94">
        <f>Table3.110[[#This Row],[CH4 24h, ml]]/'3.2 Digest'!AA919</f>
        <v>-0.39735107211807785</v>
      </c>
      <c r="AU919" s="94">
        <f>((Table3.110[[#This Row],[CH4 24h, ml]]/28.9)*16.04)/Table3.110[[#This Row],[DM Incubated, mg]]*1000</f>
        <v>16.007127542539255</v>
      </c>
      <c r="AV919" s="94">
        <f>((Table3.110[[#This Row],[CH4 24h, ml]]/28.9)*16.04)/Table3.110[[#This Row],[Digested feed, mg]]*1000</f>
        <v>39.328206193112365</v>
      </c>
    </row>
    <row r="920" spans="2:48" s="89" customFormat="1" x14ac:dyDescent="0.35">
      <c r="B920" s="90">
        <f t="shared" si="14"/>
        <v>910</v>
      </c>
      <c r="C920" s="140">
        <v>46057</v>
      </c>
      <c r="D920" s="6" t="s">
        <v>16</v>
      </c>
      <c r="E920" s="6" t="s">
        <v>374</v>
      </c>
      <c r="F920" s="6" t="s">
        <v>219</v>
      </c>
      <c r="G920" s="6" t="s">
        <v>253</v>
      </c>
      <c r="H920" s="6" t="s">
        <v>254</v>
      </c>
      <c r="I920" s="6" t="s">
        <v>22</v>
      </c>
      <c r="J920" s="129" t="s">
        <v>23</v>
      </c>
      <c r="K920" s="129" t="s">
        <v>215</v>
      </c>
      <c r="L920" s="6" t="s">
        <v>373</v>
      </c>
      <c r="M920" s="93">
        <v>29</v>
      </c>
      <c r="N920" s="93">
        <v>63</v>
      </c>
      <c r="O920" s="6">
        <v>2</v>
      </c>
      <c r="P920" s="129">
        <v>1</v>
      </c>
      <c r="Q920" s="6">
        <v>221</v>
      </c>
      <c r="R920" s="98">
        <v>0.50039999999999996</v>
      </c>
      <c r="S920" s="94">
        <f>((Table3.110[[#This Row],[Sample weight, g]]*'2.1. DM'!Q233)/100)*1000</f>
        <v>452.7738464303539</v>
      </c>
      <c r="T920" s="94">
        <f>'3.2 Digest'!W920</f>
        <v>186.57384643035391</v>
      </c>
      <c r="U920" s="153">
        <v>0.35</v>
      </c>
      <c r="V920" s="154">
        <v>41</v>
      </c>
      <c r="W920" s="153">
        <v>0.68125000000000002</v>
      </c>
      <c r="X920" s="91">
        <v>92.5</v>
      </c>
      <c r="Y920" s="91">
        <v>14.6</v>
      </c>
      <c r="Z920" s="154">
        <v>40.5</v>
      </c>
      <c r="AA920" s="153">
        <v>0.35486111111111113</v>
      </c>
      <c r="AB920" s="154">
        <v>88</v>
      </c>
      <c r="AC920" s="154">
        <v>17.100000000000001</v>
      </c>
      <c r="AD920" s="91"/>
      <c r="AE920" s="94">
        <f>Table3.110[[#This Row],[Gas 8h, ml]]-Table3.110[[#This Row],[Gas 0h, ml]]</f>
        <v>51.5</v>
      </c>
      <c r="AF920" s="94">
        <f>Table3.110[[#This Row],[Gas 24h, ml]]-Table3.110[[#This Row],[V8 Push back, ml]]</f>
        <v>47.5</v>
      </c>
      <c r="AG920" s="94">
        <f>Table3.110[[#This Row],[GP 8h, ml]]-(AVERAGE(AE$862,AE$863,AE$912,AE$913,AE$932,AE$933))*$AG$8</f>
        <v>48.254975227659145</v>
      </c>
      <c r="AH920" s="94">
        <f>Table3.110[[#This Row],[GP 8-24h, ml]]-(AVERAGE(AF$862,AF$863,AF$912,AF$913,AF$932,AF$933))*$AG$8</f>
        <v>43.185592064046816</v>
      </c>
      <c r="AI920" s="94">
        <f>Table3.110[[#This Row],[Net gas 8-24h, ml]]+Table3.110[[#This Row],[Net gas 8h, ml]]</f>
        <v>91.44056729170596</v>
      </c>
      <c r="AJ920" s="94">
        <f>Table3.110[[#This Row],[Net gas 8h, ml]]*Table3.110[[#This Row],[CH4 8h %]]%</f>
        <v>7.0452263832382345</v>
      </c>
      <c r="AK920" s="94">
        <f>Table3.110[[#This Row],[Net gas 8-24h, ml]]*Table3.110[[#This Row],[CH4 24h, %]]%</f>
        <v>7.3847362429520063</v>
      </c>
      <c r="AL920" s="94">
        <f>Table3.110[[#This Row],[CH4 8-24h, ml]]+Table3.110[[#This Row],[CH4 8h, ml]]</f>
        <v>14.429962626190241</v>
      </c>
      <c r="AM920" s="94">
        <f>(Table3.110[[#This Row],[Net gas 24h, ml]]/Table3.110[[#This Row],[DM Incubated, mg]])*1000</f>
        <v>201.95638068015361</v>
      </c>
      <c r="AN920" s="94">
        <f>'3.2 Digest'!X920</f>
        <v>41.206851478125927</v>
      </c>
      <c r="AO920" s="94">
        <f>Table3.110[[#This Row],[Digested feed, mg]]/Table3.110[[#This Row],[Net gas 24h, ml]]</f>
        <v>2.0403837372876508</v>
      </c>
      <c r="AP920" s="94">
        <f>Table3.110[[#This Row],[CH4 8h, ml]]/Table3.110[[#This Row],[Net gas 8h, ml]]%</f>
        <v>14.599999999999998</v>
      </c>
      <c r="AQ920" s="94">
        <f>Table3.110[[#This Row],[CH4 24h, ml]]/Table3.110[[#This Row],[Net gas 24h, ml]]%</f>
        <v>15.780701119402501</v>
      </c>
      <c r="AR920" s="94">
        <f>Table3.110[[#This Row],[CH4 24h, ml]]/Table3.110[[#This Row],[DM Incubated, mg]]*1000</f>
        <v>31.87013282669778</v>
      </c>
      <c r="AS920" s="94">
        <f>Table3.110[[#This Row],[CH4 24h, ml]]/Table3.110[[#This Row],[Digested feed, mg]]*1000</f>
        <v>77.341829534381162</v>
      </c>
      <c r="AT920" s="94">
        <f>Table3.110[[#This Row],[CH4 24h, ml]]/'3.2 Digest'!AA920</f>
        <v>-0.69094929892623813</v>
      </c>
      <c r="AU920" s="94">
        <f>((Table3.110[[#This Row],[CH4 24h, ml]]/28.9)*16.04)/Table3.110[[#This Row],[DM Incubated, mg]]*1000</f>
        <v>17.68847510519835</v>
      </c>
      <c r="AV920" s="94">
        <f>((Table3.110[[#This Row],[CH4 24h, ml]]/28.9)*16.04)/Table3.110[[#This Row],[Digested feed, mg]]*1000</f>
        <v>42.926053485518118</v>
      </c>
    </row>
    <row r="921" spans="2:48" s="89" customFormat="1" x14ac:dyDescent="0.35">
      <c r="B921" s="90">
        <f t="shared" si="14"/>
        <v>911</v>
      </c>
      <c r="C921" s="140">
        <v>46057</v>
      </c>
      <c r="D921" s="6" t="s">
        <v>16</v>
      </c>
      <c r="E921" s="6" t="s">
        <v>374</v>
      </c>
      <c r="F921" s="6" t="s">
        <v>219</v>
      </c>
      <c r="G921" s="6" t="s">
        <v>253</v>
      </c>
      <c r="H921" s="6" t="s">
        <v>254</v>
      </c>
      <c r="I921" s="6" t="s">
        <v>22</v>
      </c>
      <c r="J921" s="129" t="s">
        <v>23</v>
      </c>
      <c r="K921" s="129" t="s">
        <v>215</v>
      </c>
      <c r="L921" s="6" t="s">
        <v>373</v>
      </c>
      <c r="M921" s="93">
        <v>29</v>
      </c>
      <c r="N921" s="93">
        <v>63</v>
      </c>
      <c r="O921" s="6">
        <v>2</v>
      </c>
      <c r="P921" s="129">
        <v>2</v>
      </c>
      <c r="Q921" s="6">
        <v>222</v>
      </c>
      <c r="R921" s="98">
        <v>0.50029999999999997</v>
      </c>
      <c r="S921" s="94">
        <f>((Table3.110[[#This Row],[Sample weight, g]]*'2.1. DM'!Q233)/100)*1000</f>
        <v>452.68336404697453</v>
      </c>
      <c r="T921" s="94">
        <f>'3.2 Digest'!W921</f>
        <v>244.1833640469745</v>
      </c>
      <c r="U921" s="117">
        <v>0.35069444444444442</v>
      </c>
      <c r="V921" s="155">
        <v>40.5</v>
      </c>
      <c r="W921" s="117">
        <v>0.68125000000000002</v>
      </c>
      <c r="X921" s="96">
        <v>92.5</v>
      </c>
      <c r="Y921" s="96">
        <v>14.8</v>
      </c>
      <c r="Z921" s="155">
        <v>40.5</v>
      </c>
      <c r="AA921" s="117">
        <v>0.35486111111111113</v>
      </c>
      <c r="AB921" s="155">
        <v>91.5</v>
      </c>
      <c r="AC921" s="155">
        <v>16.899999999999999</v>
      </c>
      <c r="AD921" s="96"/>
      <c r="AE921" s="94">
        <f>Table3.110[[#This Row],[Gas 8h, ml]]-Table3.110[[#This Row],[Gas 0h, ml]]</f>
        <v>52</v>
      </c>
      <c r="AF921" s="94">
        <f>Table3.110[[#This Row],[Gas 24h, ml]]-Table3.110[[#This Row],[V8 Push back, ml]]</f>
        <v>51</v>
      </c>
      <c r="AG921" s="94">
        <f>Table3.110[[#This Row],[GP 8h, ml]]-(AVERAGE(AE$862,AE$863,AE$912,AE$913,AE$932,AE$933))*$AG$8</f>
        <v>48.754975227659145</v>
      </c>
      <c r="AH921" s="94">
        <f>Table3.110[[#This Row],[GP 8-24h, ml]]-(AVERAGE(AF$862,AF$863,AF$912,AF$913,AF$932,AF$933))*$AG$8</f>
        <v>46.685592064046816</v>
      </c>
      <c r="AI921" s="94">
        <f>Table3.110[[#This Row],[Net gas 8-24h, ml]]+Table3.110[[#This Row],[Net gas 8h, ml]]</f>
        <v>95.44056729170596</v>
      </c>
      <c r="AJ921" s="94">
        <f>Table3.110[[#This Row],[Net gas 8h, ml]]*Table3.110[[#This Row],[CH4 8h %]]%</f>
        <v>7.2157363336935543</v>
      </c>
      <c r="AK921" s="94">
        <f>Table3.110[[#This Row],[Net gas 8-24h, ml]]*Table3.110[[#This Row],[CH4 24h, %]]%</f>
        <v>7.8898650588239114</v>
      </c>
      <c r="AL921" s="94">
        <f>Table3.110[[#This Row],[CH4 8-24h, ml]]+Table3.110[[#This Row],[CH4 8h, ml]]</f>
        <v>15.105601392517466</v>
      </c>
      <c r="AM921" s="94">
        <f>(Table3.110[[#This Row],[Net gas 24h, ml]]/Table3.110[[#This Row],[DM Incubated, mg]])*1000</f>
        <v>210.83294609828468</v>
      </c>
      <c r="AN921" s="94">
        <f>'3.2 Digest'!X921</f>
        <v>53.941316036883521</v>
      </c>
      <c r="AO921" s="94">
        <f>Table3.110[[#This Row],[Digested feed, mg]]/Table3.110[[#This Row],[Net gas 24h, ml]]</f>
        <v>2.558486092194411</v>
      </c>
      <c r="AP921" s="94">
        <f>Table3.110[[#This Row],[CH4 8h, ml]]/Table3.110[[#This Row],[Net gas 8h, ml]]%</f>
        <v>14.8</v>
      </c>
      <c r="AQ921" s="94">
        <f>Table3.110[[#This Row],[CH4 24h, ml]]/Table3.110[[#This Row],[Net gas 24h, ml]]%</f>
        <v>15.827233451314767</v>
      </c>
      <c r="AR921" s="94">
        <f>Table3.110[[#This Row],[CH4 24h, ml]]/Table3.110[[#This Row],[DM Incubated, mg]]*1000</f>
        <v>33.369022571260139</v>
      </c>
      <c r="AS921" s="94">
        <f>Table3.110[[#This Row],[CH4 24h, ml]]/Table3.110[[#This Row],[Digested feed, mg]]*1000</f>
        <v>61.861713845549048</v>
      </c>
      <c r="AT921" s="94">
        <f>Table3.110[[#This Row],[CH4 24h, ml]]/'3.2 Digest'!AA921</f>
        <v>2.8506497186763924</v>
      </c>
      <c r="AU921" s="94">
        <f>((Table3.110[[#This Row],[CH4 24h, ml]]/28.9)*16.04)/Table3.110[[#This Row],[DM Incubated, mg]]*1000</f>
        <v>18.520384845778988</v>
      </c>
      <c r="AV921" s="94">
        <f>((Table3.110[[#This Row],[CH4 24h, ml]]/28.9)*16.04)/Table3.110[[#This Row],[Digested feed, mg]]*1000</f>
        <v>34.334321456145567</v>
      </c>
    </row>
    <row r="922" spans="2:48" s="89" customFormat="1" x14ac:dyDescent="0.35">
      <c r="B922" s="90">
        <f t="shared" si="14"/>
        <v>912</v>
      </c>
      <c r="C922" s="140">
        <v>46057</v>
      </c>
      <c r="D922" s="6" t="s">
        <v>16</v>
      </c>
      <c r="E922" s="6" t="s">
        <v>374</v>
      </c>
      <c r="F922" s="6" t="s">
        <v>219</v>
      </c>
      <c r="G922" s="6" t="s">
        <v>253</v>
      </c>
      <c r="H922" s="6" t="s">
        <v>254</v>
      </c>
      <c r="I922" s="6" t="s">
        <v>22</v>
      </c>
      <c r="J922" s="129" t="s">
        <v>23</v>
      </c>
      <c r="K922" s="129" t="s">
        <v>215</v>
      </c>
      <c r="L922" s="6" t="s">
        <v>373</v>
      </c>
      <c r="M922" s="93">
        <v>29</v>
      </c>
      <c r="N922" s="93">
        <v>63</v>
      </c>
      <c r="O922" s="6">
        <v>2</v>
      </c>
      <c r="P922" s="129">
        <v>3</v>
      </c>
      <c r="Q922" s="6">
        <v>223</v>
      </c>
      <c r="R922" s="98">
        <v>0.5</v>
      </c>
      <c r="S922" s="94">
        <f>((Table3.110[[#This Row],[Sample weight, g]]*'2.1. DM'!Q233)/100)*1000</f>
        <v>452.41191689683649</v>
      </c>
      <c r="T922" s="94">
        <f>'3.2 Digest'!W922</f>
        <v>238.7119168968365</v>
      </c>
      <c r="U922" s="153">
        <v>0.35069444444444442</v>
      </c>
      <c r="V922" s="155">
        <v>41</v>
      </c>
      <c r="W922" s="153">
        <v>0.68125000000000002</v>
      </c>
      <c r="X922" s="91">
        <v>95</v>
      </c>
      <c r="Y922" s="91">
        <v>14.9</v>
      </c>
      <c r="Z922" s="154">
        <v>40.5</v>
      </c>
      <c r="AA922" s="153">
        <v>0.35555555555555557</v>
      </c>
      <c r="AB922" s="154">
        <v>91</v>
      </c>
      <c r="AC922" s="154">
        <v>17.2</v>
      </c>
      <c r="AD922" s="91"/>
      <c r="AE922" s="94">
        <f>Table3.110[[#This Row],[Gas 8h, ml]]-Table3.110[[#This Row],[Gas 0h, ml]]</f>
        <v>54</v>
      </c>
      <c r="AF922" s="94">
        <f>Table3.110[[#This Row],[Gas 24h, ml]]-Table3.110[[#This Row],[V8 Push back, ml]]</f>
        <v>50.5</v>
      </c>
      <c r="AG922" s="94">
        <f>Table3.110[[#This Row],[GP 8h, ml]]-(AVERAGE(AE$862,AE$863,AE$912,AE$913,AE$932,AE$933))*$AG$8</f>
        <v>50.754975227659145</v>
      </c>
      <c r="AH922" s="94">
        <f>Table3.110[[#This Row],[GP 8-24h, ml]]-(AVERAGE(AF$862,AF$863,AF$912,AF$913,AF$932,AF$933))*$AG$8</f>
        <v>46.185592064046816</v>
      </c>
      <c r="AI922" s="94">
        <f>Table3.110[[#This Row],[Net gas 8-24h, ml]]+Table3.110[[#This Row],[Net gas 8h, ml]]</f>
        <v>96.94056729170596</v>
      </c>
      <c r="AJ922" s="94">
        <f>Table3.110[[#This Row],[Net gas 8h, ml]]*Table3.110[[#This Row],[CH4 8h %]]%</f>
        <v>7.5624913089212127</v>
      </c>
      <c r="AK922" s="94">
        <f>Table3.110[[#This Row],[Net gas 8-24h, ml]]*Table3.110[[#This Row],[CH4 24h, %]]%</f>
        <v>7.9439218350160514</v>
      </c>
      <c r="AL922" s="94">
        <f>Table3.110[[#This Row],[CH4 8-24h, ml]]+Table3.110[[#This Row],[CH4 8h, ml]]</f>
        <v>15.506413143937264</v>
      </c>
      <c r="AM922" s="94">
        <f>(Table3.110[[#This Row],[Net gas 24h, ml]]/Table3.110[[#This Row],[DM Incubated, mg]])*1000</f>
        <v>214.27500839641084</v>
      </c>
      <c r="AN922" s="94">
        <f>'3.2 Digest'!X922</f>
        <v>52.764285815943701</v>
      </c>
      <c r="AO922" s="94">
        <f>Table3.110[[#This Row],[Digested feed, mg]]/Table3.110[[#This Row],[Net gas 24h, ml]]</f>
        <v>2.4624563644085482</v>
      </c>
      <c r="AP922" s="94">
        <f>Table3.110[[#This Row],[CH4 8h, ml]]/Table3.110[[#This Row],[Net gas 8h, ml]]%</f>
        <v>14.899999999999999</v>
      </c>
      <c r="AQ922" s="94">
        <f>Table3.110[[#This Row],[CH4 24h, ml]]/Table3.110[[#This Row],[Net gas 24h, ml]]%</f>
        <v>15.995793687978512</v>
      </c>
      <c r="AR922" s="94">
        <f>Table3.110[[#This Row],[CH4 24h, ml]]/Table3.110[[#This Row],[DM Incubated, mg]]*1000</f>
        <v>34.274988267988512</v>
      </c>
      <c r="AS922" s="94">
        <f>Table3.110[[#This Row],[CH4 24h, ml]]/Table3.110[[#This Row],[Digested feed, mg]]*1000</f>
        <v>64.958688889581623</v>
      </c>
      <c r="AT922" s="94">
        <f>Table3.110[[#This Row],[CH4 24h, ml]]/'3.2 Digest'!AA922</f>
        <v>5.3861950195613764</v>
      </c>
      <c r="AU922" s="94">
        <f>((Table3.110[[#This Row],[CH4 24h, ml]]/28.9)*16.04)/Table3.110[[#This Row],[DM Incubated, mg]]*1000</f>
        <v>19.023211481610232</v>
      </c>
      <c r="AV922" s="94">
        <f>((Table3.110[[#This Row],[CH4 24h, ml]]/28.9)*16.04)/Table3.110[[#This Row],[Digested feed, mg]]*1000</f>
        <v>36.053196186466757</v>
      </c>
    </row>
    <row r="923" spans="2:48" s="89" customFormat="1" x14ac:dyDescent="0.35">
      <c r="B923" s="90">
        <f t="shared" si="14"/>
        <v>913</v>
      </c>
      <c r="C923" s="140">
        <v>46057</v>
      </c>
      <c r="D923" s="6" t="s">
        <v>16</v>
      </c>
      <c r="E923" s="6" t="s">
        <v>376</v>
      </c>
      <c r="F923" s="6" t="s">
        <v>219</v>
      </c>
      <c r="G923" s="6" t="s">
        <v>253</v>
      </c>
      <c r="H923" s="6" t="s">
        <v>254</v>
      </c>
      <c r="I923" s="6" t="s">
        <v>22</v>
      </c>
      <c r="J923" s="129" t="s">
        <v>23</v>
      </c>
      <c r="K923" s="129" t="s">
        <v>215</v>
      </c>
      <c r="L923" s="6" t="s">
        <v>375</v>
      </c>
      <c r="M923" s="93">
        <v>29</v>
      </c>
      <c r="N923" s="93">
        <v>63</v>
      </c>
      <c r="O923" s="6">
        <v>2</v>
      </c>
      <c r="P923" s="129">
        <v>1</v>
      </c>
      <c r="Q923" s="6">
        <v>224</v>
      </c>
      <c r="R923" s="98">
        <v>0.50039999999999996</v>
      </c>
      <c r="S923" s="94">
        <f>((Table3.110[[#This Row],[Sample weight, g]]*'2.1. DM'!Q235)/100)*1000</f>
        <v>447.82109709018931</v>
      </c>
      <c r="T923" s="94">
        <f>'3.2 Digest'!W923</f>
        <v>149.32109709018931</v>
      </c>
      <c r="U923" s="117">
        <v>0.35138888888888886</v>
      </c>
      <c r="V923" s="155">
        <v>40.5</v>
      </c>
      <c r="W923" s="117">
        <v>0.68194444444444446</v>
      </c>
      <c r="X923" s="96">
        <v>85.5</v>
      </c>
      <c r="Y923" s="96">
        <v>13.1</v>
      </c>
      <c r="Z923" s="155">
        <v>40</v>
      </c>
      <c r="AA923" s="117">
        <v>0.35555555555555557</v>
      </c>
      <c r="AB923" s="155">
        <v>87</v>
      </c>
      <c r="AC923" s="155">
        <v>16.600000000000001</v>
      </c>
      <c r="AD923" s="96"/>
      <c r="AE923" s="94">
        <f>Table3.110[[#This Row],[Gas 8h, ml]]-Table3.110[[#This Row],[Gas 0h, ml]]</f>
        <v>45</v>
      </c>
      <c r="AF923" s="94">
        <f>Table3.110[[#This Row],[Gas 24h, ml]]-Table3.110[[#This Row],[V8 Push back, ml]]</f>
        <v>47</v>
      </c>
      <c r="AG923" s="94">
        <f>Table3.110[[#This Row],[GP 8h, ml]]-(AVERAGE(AE$862,AE$863,AE$912,AE$913,AE$932,AE$933))*$AG$8</f>
        <v>41.754975227659145</v>
      </c>
      <c r="AH923" s="94">
        <f>Table3.110[[#This Row],[GP 8-24h, ml]]-(AVERAGE(AF$862,AF$863,AF$912,AF$913,AF$932,AF$933))*$AG$8</f>
        <v>42.685592064046816</v>
      </c>
      <c r="AI923" s="94">
        <f>Table3.110[[#This Row],[Net gas 8-24h, ml]]+Table3.110[[#This Row],[Net gas 8h, ml]]</f>
        <v>84.44056729170596</v>
      </c>
      <c r="AJ923" s="94">
        <f>Table3.110[[#This Row],[Net gas 8h, ml]]*Table3.110[[#This Row],[CH4 8h %]]%</f>
        <v>5.469901754823348</v>
      </c>
      <c r="AK923" s="94">
        <f>Table3.110[[#This Row],[Net gas 8-24h, ml]]*Table3.110[[#This Row],[CH4 24h, %]]%</f>
        <v>7.0858082826317714</v>
      </c>
      <c r="AL923" s="94">
        <f>Table3.110[[#This Row],[CH4 8-24h, ml]]+Table3.110[[#This Row],[CH4 8h, ml]]</f>
        <v>12.555710037455119</v>
      </c>
      <c r="AM923" s="94">
        <f>(Table3.110[[#This Row],[Net gas 24h, ml]]/Table3.110[[#This Row],[DM Incubated, mg]])*1000</f>
        <v>188.5587075740203</v>
      </c>
      <c r="AN923" s="94">
        <f>'3.2 Digest'!X923</f>
        <v>33.343917484110101</v>
      </c>
      <c r="AO923" s="94">
        <f>Table3.110[[#This Row],[Digested feed, mg]]/Table3.110[[#This Row],[Net gas 24h, ml]]</f>
        <v>1.7683573414937981</v>
      </c>
      <c r="AP923" s="94">
        <f>Table3.110[[#This Row],[CH4 8h, ml]]/Table3.110[[#This Row],[Net gas 8h, ml]]%</f>
        <v>13.1</v>
      </c>
      <c r="AQ923" s="94">
        <f>Table3.110[[#This Row],[CH4 24h, ml]]/Table3.110[[#This Row],[Net gas 24h, ml]]%</f>
        <v>14.869286694960875</v>
      </c>
      <c r="AR923" s="94">
        <f>Table3.110[[#This Row],[CH4 24h, ml]]/Table3.110[[#This Row],[DM Incubated, mg]]*1000</f>
        <v>28.037334817493985</v>
      </c>
      <c r="AS923" s="94">
        <f>Table3.110[[#This Row],[CH4 24h, ml]]/Table3.110[[#This Row],[Digested feed, mg]]*1000</f>
        <v>84.085305305997878</v>
      </c>
      <c r="AT923" s="94">
        <f>Table3.110[[#This Row],[CH4 24h, ml]]/'3.2 Digest'!AA923</f>
        <v>-0.2234542716273111</v>
      </c>
      <c r="AU923" s="94">
        <f>((Table3.110[[#This Row],[CH4 24h, ml]]/28.9)*16.04)/Table3.110[[#This Row],[DM Incubated, mg]]*1000</f>
        <v>15.561205898706003</v>
      </c>
      <c r="AV923" s="94">
        <f>((Table3.110[[#This Row],[CH4 24h, ml]]/28.9)*16.04)/Table3.110[[#This Row],[Digested feed, mg]]*1000</f>
        <v>46.668799207896392</v>
      </c>
    </row>
    <row r="924" spans="2:48" s="89" customFormat="1" x14ac:dyDescent="0.35">
      <c r="B924" s="90">
        <f t="shared" si="14"/>
        <v>914</v>
      </c>
      <c r="C924" s="140">
        <v>46057</v>
      </c>
      <c r="D924" s="6" t="s">
        <v>16</v>
      </c>
      <c r="E924" s="6" t="s">
        <v>376</v>
      </c>
      <c r="F924" s="6" t="s">
        <v>219</v>
      </c>
      <c r="G924" s="6" t="s">
        <v>253</v>
      </c>
      <c r="H924" s="6" t="s">
        <v>254</v>
      </c>
      <c r="I924" s="6" t="s">
        <v>22</v>
      </c>
      <c r="J924" s="129" t="s">
        <v>23</v>
      </c>
      <c r="K924" s="129" t="s">
        <v>215</v>
      </c>
      <c r="L924" s="6" t="s">
        <v>375</v>
      </c>
      <c r="M924" s="93">
        <v>29</v>
      </c>
      <c r="N924" s="93">
        <v>63</v>
      </c>
      <c r="O924" s="6">
        <v>2</v>
      </c>
      <c r="P924" s="129">
        <v>2</v>
      </c>
      <c r="Q924" s="6">
        <v>225</v>
      </c>
      <c r="R924" s="98">
        <v>0.50029999999999997</v>
      </c>
      <c r="S924" s="94">
        <f>((Table3.110[[#This Row],[Sample weight, g]]*'2.1. DM'!Q235)/100)*1000</f>
        <v>447.73160446487151</v>
      </c>
      <c r="T924" s="94">
        <f>'3.2 Digest'!W924</f>
        <v>271.73160446487157</v>
      </c>
      <c r="U924" s="153">
        <v>0.35138888888888886</v>
      </c>
      <c r="V924" s="155">
        <v>41</v>
      </c>
      <c r="W924" s="153">
        <v>0.68194444444444446</v>
      </c>
      <c r="X924" s="91">
        <v>86.5</v>
      </c>
      <c r="Y924" s="91">
        <v>13</v>
      </c>
      <c r="Z924" s="154">
        <v>40.5</v>
      </c>
      <c r="AA924" s="153">
        <v>0.35625000000000001</v>
      </c>
      <c r="AB924" s="154">
        <v>89</v>
      </c>
      <c r="AC924" s="154">
        <v>16.399999999999999</v>
      </c>
      <c r="AD924" s="91"/>
      <c r="AE924" s="94">
        <f>Table3.110[[#This Row],[Gas 8h, ml]]-Table3.110[[#This Row],[Gas 0h, ml]]</f>
        <v>45.5</v>
      </c>
      <c r="AF924" s="94">
        <f>Table3.110[[#This Row],[Gas 24h, ml]]-Table3.110[[#This Row],[V8 Push back, ml]]</f>
        <v>48.5</v>
      </c>
      <c r="AG924" s="94">
        <f>Table3.110[[#This Row],[GP 8h, ml]]-(AVERAGE(AE$862,AE$863,AE$912,AE$913,AE$932,AE$933))*$AG$8</f>
        <v>42.254975227659145</v>
      </c>
      <c r="AH924" s="94">
        <f>Table3.110[[#This Row],[GP 8-24h, ml]]-(AVERAGE(AF$862,AF$863,AF$912,AF$913,AF$932,AF$933))*$AG$8</f>
        <v>44.185592064046816</v>
      </c>
      <c r="AI924" s="94">
        <f>Table3.110[[#This Row],[Net gas 8-24h, ml]]+Table3.110[[#This Row],[Net gas 8h, ml]]</f>
        <v>86.44056729170596</v>
      </c>
      <c r="AJ924" s="94">
        <f>Table3.110[[#This Row],[Net gas 8h, ml]]*Table3.110[[#This Row],[CH4 8h %]]%</f>
        <v>5.4931467795956888</v>
      </c>
      <c r="AK924" s="94">
        <f>Table3.110[[#This Row],[Net gas 8-24h, ml]]*Table3.110[[#This Row],[CH4 24h, %]]%</f>
        <v>7.2464370985036766</v>
      </c>
      <c r="AL924" s="94">
        <f>Table3.110[[#This Row],[CH4 8-24h, ml]]+Table3.110[[#This Row],[CH4 8h, ml]]</f>
        <v>12.739583878099365</v>
      </c>
      <c r="AM924" s="94">
        <f>(Table3.110[[#This Row],[Net gas 24h, ml]]/Table3.110[[#This Row],[DM Incubated, mg]])*1000</f>
        <v>193.06335856058155</v>
      </c>
      <c r="AN924" s="94">
        <f>'3.2 Digest'!X924</f>
        <v>60.690735644995399</v>
      </c>
      <c r="AO924" s="94">
        <f>Table3.110[[#This Row],[Digested feed, mg]]/Table3.110[[#This Row],[Net gas 24h, ml]]</f>
        <v>3.1435657235783139</v>
      </c>
      <c r="AP924" s="94">
        <f>Table3.110[[#This Row],[CH4 8h, ml]]/Table3.110[[#This Row],[Net gas 8h, ml]]%</f>
        <v>12.999999999999998</v>
      </c>
      <c r="AQ924" s="94">
        <f>Table3.110[[#This Row],[CH4 24h, ml]]/Table3.110[[#This Row],[Net gas 24h, ml]]%</f>
        <v>14.737968846395734</v>
      </c>
      <c r="AR924" s="94">
        <f>Table3.110[[#This Row],[CH4 24h, ml]]/Table3.110[[#This Row],[DM Incubated, mg]]*1000</f>
        <v>28.4536176384638</v>
      </c>
      <c r="AS924" s="94">
        <f>Table3.110[[#This Row],[CH4 24h, ml]]/Table3.110[[#This Row],[Digested feed, mg]]*1000</f>
        <v>46.882967121869299</v>
      </c>
      <c r="AT924" s="94">
        <f>Table3.110[[#This Row],[CH4 24h, ml]]/'3.2 Digest'!AA924</f>
        <v>1.6146175133004499</v>
      </c>
      <c r="AU924" s="94">
        <f>((Table3.110[[#This Row],[CH4 24h, ml]]/28.9)*16.04)/Table3.110[[#This Row],[DM Incubated, mg]]*1000</f>
        <v>15.792250066469181</v>
      </c>
      <c r="AV924" s="94">
        <f>((Table3.110[[#This Row],[CH4 24h, ml]]/28.9)*16.04)/Table3.110[[#This Row],[Digested feed, mg]]*1000</f>
        <v>26.020857876636107</v>
      </c>
    </row>
    <row r="925" spans="2:48" s="89" customFormat="1" x14ac:dyDescent="0.35">
      <c r="B925" s="90">
        <f t="shared" si="14"/>
        <v>915</v>
      </c>
      <c r="C925" s="140">
        <v>46057</v>
      </c>
      <c r="D925" s="6" t="s">
        <v>16</v>
      </c>
      <c r="E925" s="6" t="s">
        <v>376</v>
      </c>
      <c r="F925" s="6" t="s">
        <v>219</v>
      </c>
      <c r="G925" s="6" t="s">
        <v>253</v>
      </c>
      <c r="H925" s="6" t="s">
        <v>254</v>
      </c>
      <c r="I925" s="6" t="s">
        <v>22</v>
      </c>
      <c r="J925" s="129" t="s">
        <v>23</v>
      </c>
      <c r="K925" s="129" t="s">
        <v>215</v>
      </c>
      <c r="L925" s="6" t="s">
        <v>375</v>
      </c>
      <c r="M925" s="93">
        <v>29</v>
      </c>
      <c r="N925" s="93">
        <v>63</v>
      </c>
      <c r="O925" s="6">
        <v>2</v>
      </c>
      <c r="P925" s="129">
        <v>3</v>
      </c>
      <c r="Q925" s="6">
        <v>226</v>
      </c>
      <c r="R925" s="98">
        <v>0.50019999999999998</v>
      </c>
      <c r="S925" s="94">
        <f>((Table3.110[[#This Row],[Sample weight, g]]*'2.1. DM'!Q235)/100)*1000</f>
        <v>447.64211183955382</v>
      </c>
      <c r="T925" s="94">
        <f>'3.2 Digest'!W925</f>
        <v>262.34211183955381</v>
      </c>
      <c r="U925" s="117">
        <v>0.35138888888888886</v>
      </c>
      <c r="V925" s="155">
        <v>40.5</v>
      </c>
      <c r="W925" s="117">
        <v>0.68263888888888891</v>
      </c>
      <c r="X925" s="96">
        <v>85.5</v>
      </c>
      <c r="Y925" s="96">
        <v>13.1</v>
      </c>
      <c r="Z925" s="155">
        <v>40</v>
      </c>
      <c r="AA925" s="117">
        <v>0.35694444444444445</v>
      </c>
      <c r="AB925" s="155">
        <v>87</v>
      </c>
      <c r="AC925" s="155">
        <v>16.399999999999999</v>
      </c>
      <c r="AD925" s="96"/>
      <c r="AE925" s="94">
        <f>Table3.110[[#This Row],[Gas 8h, ml]]-Table3.110[[#This Row],[Gas 0h, ml]]</f>
        <v>45</v>
      </c>
      <c r="AF925" s="94">
        <f>Table3.110[[#This Row],[Gas 24h, ml]]-Table3.110[[#This Row],[V8 Push back, ml]]</f>
        <v>47</v>
      </c>
      <c r="AG925" s="94">
        <f>Table3.110[[#This Row],[GP 8h, ml]]-(AVERAGE(AE$862,AE$863,AE$912,AE$913,AE$932,AE$933))*$AG$8</f>
        <v>41.754975227659145</v>
      </c>
      <c r="AH925" s="94">
        <f>Table3.110[[#This Row],[GP 8-24h, ml]]-(AVERAGE(AF$862,AF$863,AF$912,AF$913,AF$932,AF$933))*$AG$8</f>
        <v>42.685592064046816</v>
      </c>
      <c r="AI925" s="94">
        <f>Table3.110[[#This Row],[Net gas 8-24h, ml]]+Table3.110[[#This Row],[Net gas 8h, ml]]</f>
        <v>84.44056729170596</v>
      </c>
      <c r="AJ925" s="94">
        <f>Table3.110[[#This Row],[Net gas 8h, ml]]*Table3.110[[#This Row],[CH4 8h %]]%</f>
        <v>5.469901754823348</v>
      </c>
      <c r="AK925" s="94">
        <f>Table3.110[[#This Row],[Net gas 8-24h, ml]]*Table3.110[[#This Row],[CH4 24h, %]]%</f>
        <v>7.000437098503677</v>
      </c>
      <c r="AL925" s="94">
        <f>Table3.110[[#This Row],[CH4 8-24h, ml]]+Table3.110[[#This Row],[CH4 8h, ml]]</f>
        <v>12.470338853327025</v>
      </c>
      <c r="AM925" s="94">
        <f>(Table3.110[[#This Row],[Net gas 24h, ml]]/Table3.110[[#This Row],[DM Incubated, mg]])*1000</f>
        <v>188.63410089971961</v>
      </c>
      <c r="AN925" s="94">
        <f>'3.2 Digest'!X925</f>
        <v>58.605324410046521</v>
      </c>
      <c r="AO925" s="94">
        <f>Table3.110[[#This Row],[Digested feed, mg]]/Table3.110[[#This Row],[Net gas 24h, ml]]</f>
        <v>3.1068255490666505</v>
      </c>
      <c r="AP925" s="94">
        <f>Table3.110[[#This Row],[CH4 8h, ml]]/Table3.110[[#This Row],[Net gas 8h, ml]]%</f>
        <v>13.1</v>
      </c>
      <c r="AQ925" s="94">
        <f>Table3.110[[#This Row],[CH4 24h, ml]]/Table3.110[[#This Row],[Net gas 24h, ml]]%</f>
        <v>14.768184598105968</v>
      </c>
      <c r="AR925" s="94">
        <f>Table3.110[[#This Row],[CH4 24h, ml]]/Table3.110[[#This Row],[DM Incubated, mg]]*1000</f>
        <v>27.857832235848058</v>
      </c>
      <c r="AS925" s="94">
        <f>Table3.110[[#This Row],[CH4 24h, ml]]/Table3.110[[#This Row],[Digested feed, mg]]*1000</f>
        <v>47.534643850674563</v>
      </c>
      <c r="AT925" s="94">
        <f>Table3.110[[#This Row],[CH4 24h, ml]]/'3.2 Digest'!AA925</f>
        <v>4.1517969899023939</v>
      </c>
      <c r="AU925" s="94">
        <f>((Table3.110[[#This Row],[CH4 24h, ml]]/28.9)*16.04)/Table3.110[[#This Row],[DM Incubated, mg]]*1000</f>
        <v>15.461578860311519</v>
      </c>
      <c r="AV925" s="94">
        <f>((Table3.110[[#This Row],[CH4 24h, ml]]/28.9)*16.04)/Table3.110[[#This Row],[Digested feed, mg]]*1000</f>
        <v>26.382549735806919</v>
      </c>
    </row>
    <row r="926" spans="2:48" s="89" customFormat="1" x14ac:dyDescent="0.35">
      <c r="B926" s="90">
        <f t="shared" si="14"/>
        <v>916</v>
      </c>
      <c r="C926" s="140">
        <v>46057</v>
      </c>
      <c r="D926" s="6" t="s">
        <v>16</v>
      </c>
      <c r="E926" s="6" t="s">
        <v>378</v>
      </c>
      <c r="F926" s="6" t="s">
        <v>212</v>
      </c>
      <c r="G926" s="6" t="s">
        <v>379</v>
      </c>
      <c r="H926" s="6" t="s">
        <v>380</v>
      </c>
      <c r="I926" s="6" t="s">
        <v>22</v>
      </c>
      <c r="J926" s="129" t="s">
        <v>23</v>
      </c>
      <c r="K926" s="129" t="s">
        <v>215</v>
      </c>
      <c r="L926" s="6" t="s">
        <v>377</v>
      </c>
      <c r="M926" s="93">
        <v>29</v>
      </c>
      <c r="N926" s="93">
        <v>63</v>
      </c>
      <c r="O926" s="6">
        <v>2</v>
      </c>
      <c r="P926" s="129">
        <v>1</v>
      </c>
      <c r="Q926" s="6">
        <v>227</v>
      </c>
      <c r="R926" s="98">
        <v>0.50019999999999998</v>
      </c>
      <c r="S926" s="94">
        <f>((Table3.110[[#This Row],[Sample weight, g]]*'2.1. DM'!Q237)/100)*1000</f>
        <v>469.15002874699894</v>
      </c>
      <c r="T926" s="94">
        <f>'3.2 Digest'!W926</f>
        <v>112.9500287469989</v>
      </c>
      <c r="U926" s="153">
        <v>0.35138888888888886</v>
      </c>
      <c r="V926" s="155">
        <v>41.5</v>
      </c>
      <c r="W926" s="153">
        <v>0.68263888888888891</v>
      </c>
      <c r="X926" s="91">
        <v>67.5</v>
      </c>
      <c r="Y926" s="91">
        <v>12.6</v>
      </c>
      <c r="Z926" s="154">
        <v>40.5</v>
      </c>
      <c r="AA926" s="153">
        <v>0.35694444444444445</v>
      </c>
      <c r="AB926" s="154">
        <v>53.5</v>
      </c>
      <c r="AC926" s="154">
        <v>15.7</v>
      </c>
      <c r="AD926" s="91"/>
      <c r="AE926" s="94">
        <f>Table3.110[[#This Row],[Gas 8h, ml]]-Table3.110[[#This Row],[Gas 0h, ml]]</f>
        <v>26</v>
      </c>
      <c r="AF926" s="94">
        <f>Table3.110[[#This Row],[Gas 24h, ml]]-Table3.110[[#This Row],[V8 Push back, ml]]</f>
        <v>13</v>
      </c>
      <c r="AG926" s="94">
        <f>Table3.110[[#This Row],[GP 8h, ml]]-(AVERAGE(AE$862,AE$863,AE$912,AE$913,AE$932,AE$933))*$AG$8</f>
        <v>22.754975227659141</v>
      </c>
      <c r="AH926" s="94">
        <f>Table3.110[[#This Row],[GP 8-24h, ml]]-(AVERAGE(AF$862,AF$863,AF$912,AF$913,AF$932,AF$933))*$AG$8</f>
        <v>8.6855920640468121</v>
      </c>
      <c r="AI926" s="94">
        <f>Table3.110[[#This Row],[Net gas 8-24h, ml]]+Table3.110[[#This Row],[Net gas 8h, ml]]</f>
        <v>31.440567291705953</v>
      </c>
      <c r="AJ926" s="94">
        <f>Table3.110[[#This Row],[Net gas 8h, ml]]*Table3.110[[#This Row],[CH4 8h %]]%</f>
        <v>2.8671268786850517</v>
      </c>
      <c r="AK926" s="94">
        <f>Table3.110[[#This Row],[Net gas 8-24h, ml]]*Table3.110[[#This Row],[CH4 24h, %]]%</f>
        <v>1.3636379540553496</v>
      </c>
      <c r="AL926" s="94">
        <f>Table3.110[[#This Row],[CH4 8-24h, ml]]+Table3.110[[#This Row],[CH4 8h, ml]]</f>
        <v>4.2307648327404017</v>
      </c>
      <c r="AM926" s="94">
        <f>(Table3.110[[#This Row],[Net gas 24h, ml]]/Table3.110[[#This Row],[DM Incubated, mg]])*1000</f>
        <v>67.01601910944585</v>
      </c>
      <c r="AN926" s="94">
        <f>'3.2 Digest'!X926</f>
        <v>24.075460263460851</v>
      </c>
      <c r="AO926" s="94">
        <f>Table3.110[[#This Row],[Digested feed, mg]]/Table3.110[[#This Row],[Net gas 24h, ml]]</f>
        <v>3.5924933446348852</v>
      </c>
      <c r="AP926" s="94">
        <f>Table3.110[[#This Row],[CH4 8h, ml]]/Table3.110[[#This Row],[Net gas 8h, ml]]%</f>
        <v>12.6</v>
      </c>
      <c r="AQ926" s="94">
        <f>Table3.110[[#This Row],[CH4 24h, ml]]/Table3.110[[#This Row],[Net gas 24h, ml]]%</f>
        <v>13.45638834530979</v>
      </c>
      <c r="AR926" s="94">
        <f>Table3.110[[#This Row],[CH4 24h, ml]]/Table3.110[[#This Row],[DM Incubated, mg]]*1000</f>
        <v>9.0179357849340533</v>
      </c>
      <c r="AS926" s="94">
        <f>Table3.110[[#This Row],[CH4 24h, ml]]/Table3.110[[#This Row],[Digested feed, mg]]*1000</f>
        <v>37.456961097522637</v>
      </c>
      <c r="AT926" s="94">
        <f>Table3.110[[#This Row],[CH4 24h, ml]]/'3.2 Digest'!AA926</f>
        <v>-0.26342857549643939</v>
      </c>
      <c r="AU926" s="94">
        <f>((Table3.110[[#This Row],[CH4 24h, ml]]/28.9)*16.04)/Table3.110[[#This Row],[DM Incubated, mg]]*1000</f>
        <v>5.0051103802886576</v>
      </c>
      <c r="AV926" s="94">
        <f>((Table3.110[[#This Row],[CH4 24h, ml]]/28.9)*16.04)/Table3.110[[#This Row],[Digested feed, mg]]*1000</f>
        <v>20.789261453434708</v>
      </c>
    </row>
    <row r="927" spans="2:48" s="89" customFormat="1" x14ac:dyDescent="0.35">
      <c r="B927" s="90">
        <f t="shared" si="14"/>
        <v>917</v>
      </c>
      <c r="C927" s="140">
        <v>46057</v>
      </c>
      <c r="D927" s="6" t="s">
        <v>16</v>
      </c>
      <c r="E927" s="6" t="s">
        <v>378</v>
      </c>
      <c r="F927" s="6" t="s">
        <v>212</v>
      </c>
      <c r="G927" s="6" t="s">
        <v>379</v>
      </c>
      <c r="H927" s="6" t="s">
        <v>380</v>
      </c>
      <c r="I927" s="6" t="s">
        <v>22</v>
      </c>
      <c r="J927" s="129" t="s">
        <v>23</v>
      </c>
      <c r="K927" s="129" t="s">
        <v>215</v>
      </c>
      <c r="L927" s="6" t="s">
        <v>377</v>
      </c>
      <c r="M927" s="93">
        <v>29</v>
      </c>
      <c r="N927" s="93">
        <v>63</v>
      </c>
      <c r="O927" s="6">
        <v>2</v>
      </c>
      <c r="P927" s="129">
        <v>2</v>
      </c>
      <c r="Q927" s="6">
        <v>228</v>
      </c>
      <c r="R927" s="98">
        <v>0.50039999999999996</v>
      </c>
      <c r="S927" s="94">
        <f>((Table3.110[[#This Row],[Sample weight, g]]*'2.1. DM'!Q237)/100)*1000</f>
        <v>469.33761372450664</v>
      </c>
      <c r="T927" s="94">
        <f>'3.2 Digest'!W927</f>
        <v>40.037613724506514</v>
      </c>
      <c r="U927" s="117">
        <v>0.35208333333333336</v>
      </c>
      <c r="V927" s="155">
        <v>41.5</v>
      </c>
      <c r="W927" s="117">
        <v>0.68263888888888891</v>
      </c>
      <c r="X927" s="96">
        <v>66.5</v>
      </c>
      <c r="Y927" s="96">
        <v>13</v>
      </c>
      <c r="Z927" s="155">
        <v>40.5</v>
      </c>
      <c r="AA927" s="117">
        <v>0.35694444444444445</v>
      </c>
      <c r="AB927" s="155">
        <v>53.5</v>
      </c>
      <c r="AC927" s="155">
        <v>15.3</v>
      </c>
      <c r="AD927" s="96"/>
      <c r="AE927" s="94">
        <f>Table3.110[[#This Row],[Gas 8h, ml]]-Table3.110[[#This Row],[Gas 0h, ml]]</f>
        <v>25</v>
      </c>
      <c r="AF927" s="94">
        <f>Table3.110[[#This Row],[Gas 24h, ml]]-Table3.110[[#This Row],[V8 Push back, ml]]</f>
        <v>13</v>
      </c>
      <c r="AG927" s="94">
        <f>Table3.110[[#This Row],[GP 8h, ml]]-(AVERAGE(AE$862,AE$863,AE$912,AE$913,AE$932,AE$933))*$AG$8</f>
        <v>21.754975227659141</v>
      </c>
      <c r="AH927" s="94">
        <f>Table3.110[[#This Row],[GP 8-24h, ml]]-(AVERAGE(AF$862,AF$863,AF$912,AF$913,AF$932,AF$933))*$AG$8</f>
        <v>8.6855920640468121</v>
      </c>
      <c r="AI927" s="94">
        <f>Table3.110[[#This Row],[Net gas 8-24h, ml]]+Table3.110[[#This Row],[Net gas 8h, ml]]</f>
        <v>30.440567291705953</v>
      </c>
      <c r="AJ927" s="94">
        <f>Table3.110[[#This Row],[Net gas 8h, ml]]*Table3.110[[#This Row],[CH4 8h %]]%</f>
        <v>2.8281467795956883</v>
      </c>
      <c r="AK927" s="94">
        <f>Table3.110[[#This Row],[Net gas 8-24h, ml]]*Table3.110[[#This Row],[CH4 24h, %]]%</f>
        <v>1.3288955857991622</v>
      </c>
      <c r="AL927" s="94">
        <f>Table3.110[[#This Row],[CH4 8-24h, ml]]+Table3.110[[#This Row],[CH4 8h, ml]]</f>
        <v>4.1570423653948509</v>
      </c>
      <c r="AM927" s="94">
        <f>(Table3.110[[#This Row],[Net gas 24h, ml]]/Table3.110[[#This Row],[DM Incubated, mg]])*1000</f>
        <v>64.858571743568078</v>
      </c>
      <c r="AN927" s="94">
        <f>'3.2 Digest'!X927</f>
        <v>8.5306637596721426</v>
      </c>
      <c r="AO927" s="94">
        <f>Table3.110[[#This Row],[Digested feed, mg]]/Table3.110[[#This Row],[Net gas 24h, ml]]</f>
        <v>1.3152716025570075</v>
      </c>
      <c r="AP927" s="94">
        <f>Table3.110[[#This Row],[CH4 8h, ml]]/Table3.110[[#This Row],[Net gas 8h, ml]]%</f>
        <v>13</v>
      </c>
      <c r="AQ927" s="94">
        <f>Table3.110[[#This Row],[CH4 24h, ml]]/Table3.110[[#This Row],[Net gas 24h, ml]]%</f>
        <v>13.656257866546092</v>
      </c>
      <c r="AR927" s="94">
        <f>Table3.110[[#This Row],[CH4 24h, ml]]/Table3.110[[#This Row],[DM Incubated, mg]]*1000</f>
        <v>8.8572538058604557</v>
      </c>
      <c r="AS927" s="94">
        <f>Table3.110[[#This Row],[CH4 24h, ml]]/Table3.110[[#This Row],[Digested feed, mg]]*1000</f>
        <v>103.82842479072069</v>
      </c>
      <c r="AT927" s="94">
        <f>Table3.110[[#This Row],[CH4 24h, ml]]/'3.2 Digest'!AA927</f>
        <v>-0.10438902445095717</v>
      </c>
      <c r="AU927" s="94">
        <f>((Table3.110[[#This Row],[CH4 24h, ml]]/28.9)*16.04)/Table3.110[[#This Row],[DM Incubated, mg]]*1000</f>
        <v>4.9159291019377758</v>
      </c>
      <c r="AV927" s="94">
        <f>((Table3.110[[#This Row],[CH4 24h, ml]]/28.9)*16.04)/Table3.110[[#This Row],[Digested feed, mg]]*1000</f>
        <v>57.626572098379228</v>
      </c>
    </row>
    <row r="928" spans="2:48" s="89" customFormat="1" x14ac:dyDescent="0.35">
      <c r="B928" s="90">
        <f t="shared" si="14"/>
        <v>918</v>
      </c>
      <c r="C928" s="140">
        <v>46057</v>
      </c>
      <c r="D928" s="6" t="s">
        <v>16</v>
      </c>
      <c r="E928" s="6" t="s">
        <v>378</v>
      </c>
      <c r="F928" s="6" t="s">
        <v>212</v>
      </c>
      <c r="G928" s="6" t="s">
        <v>379</v>
      </c>
      <c r="H928" s="6" t="s">
        <v>380</v>
      </c>
      <c r="I928" s="6" t="s">
        <v>22</v>
      </c>
      <c r="J928" s="129" t="s">
        <v>23</v>
      </c>
      <c r="K928" s="129" t="s">
        <v>215</v>
      </c>
      <c r="L928" s="6" t="s">
        <v>377</v>
      </c>
      <c r="M928" s="93">
        <v>29</v>
      </c>
      <c r="N928" s="93">
        <v>63</v>
      </c>
      <c r="O928" s="6">
        <v>2</v>
      </c>
      <c r="P928" s="129">
        <v>3</v>
      </c>
      <c r="Q928" s="6">
        <v>229</v>
      </c>
      <c r="R928" s="98">
        <v>0.50009999999999999</v>
      </c>
      <c r="S928" s="94">
        <f>((Table3.110[[#This Row],[Sample weight, g]]*'2.1. DM'!Q237)/100)*1000</f>
        <v>469.05623625824506</v>
      </c>
      <c r="T928" s="94">
        <f>'3.2 Digest'!W928</f>
        <v>31.356236258245076</v>
      </c>
      <c r="U928" s="153">
        <v>0.35208333333333336</v>
      </c>
      <c r="V928" s="155">
        <v>41.5</v>
      </c>
      <c r="W928" s="153">
        <v>0.68333333333333335</v>
      </c>
      <c r="X928" s="91">
        <v>66.5</v>
      </c>
      <c r="Y928" s="91">
        <v>13.1</v>
      </c>
      <c r="Z928" s="154">
        <v>40.5</v>
      </c>
      <c r="AA928" s="153">
        <v>0.3576388888888889</v>
      </c>
      <c r="AB928" s="154">
        <v>53.5</v>
      </c>
      <c r="AC928" s="154">
        <v>15.4</v>
      </c>
      <c r="AD928" s="91"/>
      <c r="AE928" s="94">
        <f>Table3.110[[#This Row],[Gas 8h, ml]]-Table3.110[[#This Row],[Gas 0h, ml]]</f>
        <v>25</v>
      </c>
      <c r="AF928" s="94">
        <f>Table3.110[[#This Row],[Gas 24h, ml]]-Table3.110[[#This Row],[V8 Push back, ml]]</f>
        <v>13</v>
      </c>
      <c r="AG928" s="94">
        <f>Table3.110[[#This Row],[GP 8h, ml]]-(AVERAGE(AE$862,AE$863,AE$912,AE$913,AE$932,AE$933))*$AG$8</f>
        <v>21.754975227659141</v>
      </c>
      <c r="AH928" s="94">
        <f>Table3.110[[#This Row],[GP 8-24h, ml]]-(AVERAGE(AF$862,AF$863,AF$912,AF$913,AF$932,AF$933))*$AG$8</f>
        <v>8.6855920640468121</v>
      </c>
      <c r="AI928" s="94">
        <f>Table3.110[[#This Row],[Net gas 8-24h, ml]]+Table3.110[[#This Row],[Net gas 8h, ml]]</f>
        <v>30.440567291705953</v>
      </c>
      <c r="AJ928" s="94">
        <f>Table3.110[[#This Row],[Net gas 8h, ml]]*Table3.110[[#This Row],[CH4 8h %]]%</f>
        <v>2.8499017548233478</v>
      </c>
      <c r="AK928" s="94">
        <f>Table3.110[[#This Row],[Net gas 8-24h, ml]]*Table3.110[[#This Row],[CH4 24h, %]]%</f>
        <v>1.337581177863209</v>
      </c>
      <c r="AL928" s="94">
        <f>Table3.110[[#This Row],[CH4 8-24h, ml]]+Table3.110[[#This Row],[CH4 8h, ml]]</f>
        <v>4.1874829326865566</v>
      </c>
      <c r="AM928" s="94">
        <f>(Table3.110[[#This Row],[Net gas 24h, ml]]/Table3.110[[#This Row],[DM Incubated, mg]])*1000</f>
        <v>64.897479105141883</v>
      </c>
      <c r="AN928" s="94">
        <f>'3.2 Digest'!X928</f>
        <v>6.6849630885157847</v>
      </c>
      <c r="AO928" s="94">
        <f>Table3.110[[#This Row],[Digested feed, mg]]/Table3.110[[#This Row],[Net gas 24h, ml]]</f>
        <v>1.0300805486890059</v>
      </c>
      <c r="AP928" s="94">
        <f>Table3.110[[#This Row],[CH4 8h, ml]]/Table3.110[[#This Row],[Net gas 8h, ml]]%</f>
        <v>13.100000000000001</v>
      </c>
      <c r="AQ928" s="94">
        <f>Table3.110[[#This Row],[CH4 24h, ml]]/Table3.110[[#This Row],[Net gas 24h, ml]]%</f>
        <v>13.75625786654609</v>
      </c>
      <c r="AR928" s="94">
        <f>Table3.110[[#This Row],[CH4 24h, ml]]/Table3.110[[#This Row],[DM Incubated, mg]]*1000</f>
        <v>8.9274645745911858</v>
      </c>
      <c r="AS928" s="94">
        <f>Table3.110[[#This Row],[CH4 24h, ml]]/Table3.110[[#This Row],[Digested feed, mg]]*1000</f>
        <v>133.54545801349053</v>
      </c>
      <c r="AT928" s="94">
        <f>Table3.110[[#This Row],[CH4 24h, ml]]/'3.2 Digest'!AA928</f>
        <v>-9.8196321137028975E-2</v>
      </c>
      <c r="AU928" s="94">
        <f>((Table3.110[[#This Row],[CH4 24h, ml]]/28.9)*16.04)/Table3.110[[#This Row],[DM Incubated, mg]]*1000</f>
        <v>4.9548972933025119</v>
      </c>
      <c r="AV928" s="94">
        <f>((Table3.110[[#This Row],[CH4 24h, ml]]/28.9)*16.04)/Table3.110[[#This Row],[Digested feed, mg]]*1000</f>
        <v>74.120039672539363</v>
      </c>
    </row>
    <row r="929" spans="2:48" s="89" customFormat="1" x14ac:dyDescent="0.35">
      <c r="B929" s="90">
        <f t="shared" si="14"/>
        <v>919</v>
      </c>
      <c r="C929" s="140">
        <v>46057</v>
      </c>
      <c r="D929" s="8" t="s">
        <v>120</v>
      </c>
      <c r="E929" s="6" t="s">
        <v>122</v>
      </c>
      <c r="F929" s="6" t="s">
        <v>123</v>
      </c>
      <c r="G929" s="6" t="s">
        <v>545</v>
      </c>
      <c r="H929" s="6" t="s">
        <v>125</v>
      </c>
      <c r="I929" s="57" t="s">
        <v>108</v>
      </c>
      <c r="J929" s="130" t="s">
        <v>109</v>
      </c>
      <c r="K929" s="130" t="s">
        <v>110</v>
      </c>
      <c r="L929" s="6" t="s">
        <v>121</v>
      </c>
      <c r="M929" s="93">
        <v>29</v>
      </c>
      <c r="N929" s="93">
        <v>63</v>
      </c>
      <c r="O929" s="6">
        <v>2</v>
      </c>
      <c r="P929" s="129">
        <v>1</v>
      </c>
      <c r="Q929" s="6">
        <v>230</v>
      </c>
      <c r="R929" s="98">
        <v>0.50009999999999999</v>
      </c>
      <c r="S929" s="94">
        <f>((Table3.110[[#This Row],[Sample weight, g]]*'2.1. DM'!Q239)/100)*1000</f>
        <v>467.84354999999999</v>
      </c>
      <c r="T929" s="94">
        <f>'3.2 Digest'!W929</f>
        <v>44.243550000000027</v>
      </c>
      <c r="U929" s="117">
        <v>0.3527777777777778</v>
      </c>
      <c r="V929" s="155">
        <v>41</v>
      </c>
      <c r="W929" s="117">
        <v>0.68333333333333335</v>
      </c>
      <c r="X929" s="96">
        <v>69.5</v>
      </c>
      <c r="Y929" s="96">
        <v>16</v>
      </c>
      <c r="Z929" s="155">
        <v>40</v>
      </c>
      <c r="AA929" s="117">
        <v>0.35833333333333334</v>
      </c>
      <c r="AB929" s="155">
        <v>85.5</v>
      </c>
      <c r="AC929" s="155">
        <v>17.100000000000001</v>
      </c>
      <c r="AD929" s="96"/>
      <c r="AE929" s="94">
        <f>Table3.110[[#This Row],[Gas 8h, ml]]-Table3.110[[#This Row],[Gas 0h, ml]]</f>
        <v>28.5</v>
      </c>
      <c r="AF929" s="94">
        <f>Table3.110[[#This Row],[Gas 24h, ml]]-Table3.110[[#This Row],[V8 Push back, ml]]</f>
        <v>45.5</v>
      </c>
      <c r="AG929" s="94">
        <f>Table3.110[[#This Row],[GP 8h, ml]]-(AVERAGE(AE$862,AE$863,AE$912,AE$913,AE$932,AE$933))*$AG$8</f>
        <v>25.254975227659141</v>
      </c>
      <c r="AH929" s="94">
        <f>Table3.110[[#This Row],[GP 8-24h, ml]]-(AVERAGE(AF$862,AF$863,AF$912,AF$913,AF$932,AF$933))*$AG$8</f>
        <v>41.185592064046816</v>
      </c>
      <c r="AI929" s="94">
        <f>Table3.110[[#This Row],[Net gas 8-24h, ml]]+Table3.110[[#This Row],[Net gas 8h, ml]]</f>
        <v>66.44056729170596</v>
      </c>
      <c r="AJ929" s="94">
        <f>Table3.110[[#This Row],[Net gas 8h, ml]]*Table3.110[[#This Row],[CH4 8h %]]%</f>
        <v>4.0407960364254629</v>
      </c>
      <c r="AK929" s="94">
        <f>Table3.110[[#This Row],[Net gas 8-24h, ml]]*Table3.110[[#This Row],[CH4 24h, %]]%</f>
        <v>7.0427362429520057</v>
      </c>
      <c r="AL929" s="94">
        <f>Table3.110[[#This Row],[CH4 8-24h, ml]]+Table3.110[[#This Row],[CH4 8h, ml]]</f>
        <v>11.083532279377469</v>
      </c>
      <c r="AM929" s="94">
        <f>(Table3.110[[#This Row],[Net gas 24h, ml]]/Table3.110[[#This Row],[DM Incubated, mg]])*1000</f>
        <v>142.01449884626166</v>
      </c>
      <c r="AN929" s="94">
        <f>'3.2 Digest'!X929</f>
        <v>9.4569113969830365</v>
      </c>
      <c r="AO929" s="94">
        <f>Table3.110[[#This Row],[Digested feed, mg]]/Table3.110[[#This Row],[Net gas 24h, ml]]</f>
        <v>0.66591168323036165</v>
      </c>
      <c r="AP929" s="94">
        <f>Table3.110[[#This Row],[CH4 8h, ml]]/Table3.110[[#This Row],[Net gas 8h, ml]]%</f>
        <v>16</v>
      </c>
      <c r="AQ929" s="94">
        <f>Table3.110[[#This Row],[CH4 24h, ml]]/Table3.110[[#This Row],[Net gas 24h, ml]]%</f>
        <v>16.681874841187682</v>
      </c>
      <c r="AR929" s="94">
        <f>Table3.110[[#This Row],[CH4 24h, ml]]/Table3.110[[#This Row],[DM Incubated, mg]]*1000</f>
        <v>23.690680953873294</v>
      </c>
      <c r="AS929" s="94">
        <f>Table3.110[[#This Row],[CH4 24h, ml]]/Table3.110[[#This Row],[Digested feed, mg]]*1000</f>
        <v>250.51182103103076</v>
      </c>
      <c r="AT929" s="94">
        <f>Table3.110[[#This Row],[CH4 24h, ml]]/'3.2 Digest'!AA929</f>
        <v>-0.58398645168211338</v>
      </c>
      <c r="AU929" s="94">
        <f>((Table3.110[[#This Row],[CH4 24h, ml]]/28.9)*16.04)/Table3.110[[#This Row],[DM Incubated, mg]]*1000</f>
        <v>13.148737802772581</v>
      </c>
      <c r="AV929" s="94">
        <f>((Table3.110[[#This Row],[CH4 24h, ml]]/28.9)*16.04)/Table3.110[[#This Row],[Digested feed, mg]]*1000</f>
        <v>139.03839478677276</v>
      </c>
    </row>
    <row r="930" spans="2:48" s="89" customFormat="1" x14ac:dyDescent="0.35">
      <c r="B930" s="90">
        <f t="shared" si="14"/>
        <v>920</v>
      </c>
      <c r="C930" s="140">
        <v>46057</v>
      </c>
      <c r="D930" s="8" t="s">
        <v>120</v>
      </c>
      <c r="E930" s="6" t="s">
        <v>122</v>
      </c>
      <c r="F930" s="6" t="s">
        <v>123</v>
      </c>
      <c r="G930" s="6" t="s">
        <v>545</v>
      </c>
      <c r="H930" s="6" t="s">
        <v>125</v>
      </c>
      <c r="I930" s="57" t="s">
        <v>108</v>
      </c>
      <c r="J930" s="130" t="s">
        <v>109</v>
      </c>
      <c r="K930" s="130" t="s">
        <v>110</v>
      </c>
      <c r="L930" s="6" t="s">
        <v>121</v>
      </c>
      <c r="M930" s="93">
        <v>29</v>
      </c>
      <c r="N930" s="93">
        <v>63</v>
      </c>
      <c r="O930" s="6">
        <v>2</v>
      </c>
      <c r="P930" s="129">
        <v>2</v>
      </c>
      <c r="Q930" s="6">
        <v>231</v>
      </c>
      <c r="R930" s="98">
        <v>0.50039999999999996</v>
      </c>
      <c r="S930" s="94">
        <f>((Table3.110[[#This Row],[Sample weight, g]]*'2.1. DM'!Q239)/100)*1000</f>
        <v>468.12419999999992</v>
      </c>
      <c r="T930" s="94">
        <f>'3.2 Digest'!W930</f>
        <v>129.22419999999994</v>
      </c>
      <c r="U930" s="153">
        <v>0.3527777777777778</v>
      </c>
      <c r="V930" s="155">
        <v>41</v>
      </c>
      <c r="W930" s="153">
        <v>0.68402777777777779</v>
      </c>
      <c r="X930" s="91">
        <v>68.5</v>
      </c>
      <c r="Y930" s="91">
        <v>16.7</v>
      </c>
      <c r="Z930" s="154">
        <v>40</v>
      </c>
      <c r="AA930" s="153">
        <v>0.35833333333333334</v>
      </c>
      <c r="AB930" s="154">
        <v>88</v>
      </c>
      <c r="AC930" s="154">
        <v>16.899999999999999</v>
      </c>
      <c r="AD930" s="91"/>
      <c r="AE930" s="94">
        <f>Table3.110[[#This Row],[Gas 8h, ml]]-Table3.110[[#This Row],[Gas 0h, ml]]</f>
        <v>27.5</v>
      </c>
      <c r="AF930" s="94">
        <f>Table3.110[[#This Row],[Gas 24h, ml]]-Table3.110[[#This Row],[V8 Push back, ml]]</f>
        <v>48</v>
      </c>
      <c r="AG930" s="94">
        <f>Table3.110[[#This Row],[GP 8h, ml]]-(AVERAGE(AE$862,AE$863,AE$912,AE$913,AE$932,AE$933))*$AG$8</f>
        <v>24.254975227659141</v>
      </c>
      <c r="AH930" s="94">
        <f>Table3.110[[#This Row],[GP 8-24h, ml]]-(AVERAGE(AF$862,AF$863,AF$912,AF$913,AF$932,AF$933))*$AG$8</f>
        <v>43.685592064046816</v>
      </c>
      <c r="AI930" s="94">
        <f>Table3.110[[#This Row],[Net gas 8-24h, ml]]+Table3.110[[#This Row],[Net gas 8h, ml]]</f>
        <v>67.94056729170596</v>
      </c>
      <c r="AJ930" s="94">
        <f>Table3.110[[#This Row],[Net gas 8h, ml]]*Table3.110[[#This Row],[CH4 8h %]]%</f>
        <v>4.0505808630190758</v>
      </c>
      <c r="AK930" s="94">
        <f>Table3.110[[#This Row],[Net gas 8-24h, ml]]*Table3.110[[#This Row],[CH4 24h, %]]%</f>
        <v>7.3828650588239109</v>
      </c>
      <c r="AL930" s="94">
        <f>Table3.110[[#This Row],[CH4 8-24h, ml]]+Table3.110[[#This Row],[CH4 8h, ml]]</f>
        <v>11.433445921842987</v>
      </c>
      <c r="AM930" s="94">
        <f>(Table3.110[[#This Row],[Net gas 24h, ml]]/Table3.110[[#This Row],[DM Incubated, mg]])*1000</f>
        <v>145.13363609850967</v>
      </c>
      <c r="AN930" s="94">
        <f>'3.2 Digest'!X930</f>
        <v>27.604682688910327</v>
      </c>
      <c r="AO930" s="94">
        <f>Table3.110[[#This Row],[Digested feed, mg]]/Table3.110[[#This Row],[Net gas 24h, ml]]</f>
        <v>1.9020182661291283</v>
      </c>
      <c r="AP930" s="94">
        <f>Table3.110[[#This Row],[CH4 8h, ml]]/Table3.110[[#This Row],[Net gas 8h, ml]]%</f>
        <v>16.699999999999996</v>
      </c>
      <c r="AQ930" s="94">
        <f>Table3.110[[#This Row],[CH4 24h, ml]]/Table3.110[[#This Row],[Net gas 24h, ml]]%</f>
        <v>16.828599432726193</v>
      </c>
      <c r="AR930" s="94">
        <f>Table3.110[[#This Row],[CH4 24h, ml]]/Table3.110[[#This Row],[DM Incubated, mg]]*1000</f>
        <v>24.4239582611687</v>
      </c>
      <c r="AS930" s="94">
        <f>Table3.110[[#This Row],[CH4 24h, ml]]/Table3.110[[#This Row],[Digested feed, mg]]*1000</f>
        <v>88.477591053711237</v>
      </c>
      <c r="AT930" s="94">
        <f>Table3.110[[#This Row],[CH4 24h, ml]]/'3.2 Digest'!AA930</f>
        <v>2.3486093350363952</v>
      </c>
      <c r="AU930" s="94">
        <f>((Table3.110[[#This Row],[CH4 24h, ml]]/28.9)*16.04)/Table3.110[[#This Row],[DM Incubated, mg]]*1000</f>
        <v>13.555719394780137</v>
      </c>
      <c r="AV930" s="94">
        <f>((Table3.110[[#This Row],[CH4 24h, ml]]/28.9)*16.04)/Table3.110[[#This Row],[Digested feed, mg]]*1000</f>
        <v>49.10659378898022</v>
      </c>
    </row>
    <row r="931" spans="2:48" s="89" customFormat="1" x14ac:dyDescent="0.35">
      <c r="B931" s="90">
        <f t="shared" si="14"/>
        <v>921</v>
      </c>
      <c r="C931" s="140">
        <v>46057</v>
      </c>
      <c r="D931" s="8" t="s">
        <v>120</v>
      </c>
      <c r="E931" s="6" t="s">
        <v>122</v>
      </c>
      <c r="F931" s="6" t="s">
        <v>123</v>
      </c>
      <c r="G931" s="6" t="s">
        <v>545</v>
      </c>
      <c r="H931" s="6" t="s">
        <v>125</v>
      </c>
      <c r="I931" s="57" t="s">
        <v>108</v>
      </c>
      <c r="J931" s="130" t="s">
        <v>109</v>
      </c>
      <c r="K931" s="130" t="s">
        <v>110</v>
      </c>
      <c r="L931" s="6" t="s">
        <v>121</v>
      </c>
      <c r="M931" s="93">
        <v>29</v>
      </c>
      <c r="N931" s="93">
        <v>63</v>
      </c>
      <c r="O931" s="6">
        <v>2</v>
      </c>
      <c r="P931" s="129">
        <v>3</v>
      </c>
      <c r="Q931" s="6">
        <v>232</v>
      </c>
      <c r="R931" s="98">
        <v>0.50029999999999997</v>
      </c>
      <c r="S931" s="94">
        <f>((Table3.110[[#This Row],[Sample weight, g]]*'2.1. DM'!Q239)/100)*1000</f>
        <v>468.03064999999998</v>
      </c>
      <c r="T931" s="94">
        <f>'3.2 Digest'!W931</f>
        <v>140.43064999999996</v>
      </c>
      <c r="U931" s="117">
        <v>0.3527777777777778</v>
      </c>
      <c r="V931" s="155">
        <v>41</v>
      </c>
      <c r="W931" s="117">
        <v>0.68402777777777779</v>
      </c>
      <c r="X931" s="96">
        <v>68.5</v>
      </c>
      <c r="Y931" s="96">
        <v>15.8</v>
      </c>
      <c r="Z931" s="155">
        <v>40</v>
      </c>
      <c r="AA931" s="117">
        <v>0.35902777777777778</v>
      </c>
      <c r="AB931" s="155">
        <v>83.5</v>
      </c>
      <c r="AC931" s="155">
        <v>17</v>
      </c>
      <c r="AD931" s="96"/>
      <c r="AE931" s="94">
        <f>Table3.110[[#This Row],[Gas 8h, ml]]-Table3.110[[#This Row],[Gas 0h, ml]]</f>
        <v>27.5</v>
      </c>
      <c r="AF931" s="94">
        <f>Table3.110[[#This Row],[Gas 24h, ml]]-Table3.110[[#This Row],[V8 Push back, ml]]</f>
        <v>43.5</v>
      </c>
      <c r="AG931" s="94">
        <f>Table3.110[[#This Row],[GP 8h, ml]]-(AVERAGE(AE$862,AE$863,AE$912,AE$913,AE$932,AE$933))*$AG$8</f>
        <v>24.254975227659141</v>
      </c>
      <c r="AH931" s="94">
        <f>Table3.110[[#This Row],[GP 8-24h, ml]]-(AVERAGE(AF$862,AF$863,AF$912,AF$913,AF$932,AF$933))*$AG$8</f>
        <v>39.185592064046816</v>
      </c>
      <c r="AI931" s="94">
        <f>Table3.110[[#This Row],[Net gas 8-24h, ml]]+Table3.110[[#This Row],[Net gas 8h, ml]]</f>
        <v>63.44056729170596</v>
      </c>
      <c r="AJ931" s="94">
        <f>Table3.110[[#This Row],[Net gas 8h, ml]]*Table3.110[[#This Row],[CH4 8h %]]%</f>
        <v>3.8322860859701442</v>
      </c>
      <c r="AK931" s="94">
        <f>Table3.110[[#This Row],[Net gas 8-24h, ml]]*Table3.110[[#This Row],[CH4 24h, %]]%</f>
        <v>6.6615506508879587</v>
      </c>
      <c r="AL931" s="94">
        <f>Table3.110[[#This Row],[CH4 8-24h, ml]]+Table3.110[[#This Row],[CH4 8h, ml]]</f>
        <v>10.493836736858103</v>
      </c>
      <c r="AM931" s="94">
        <f>(Table3.110[[#This Row],[Net gas 24h, ml]]/Table3.110[[#This Row],[DM Incubated, mg]])*1000</f>
        <v>135.54789048902239</v>
      </c>
      <c r="AN931" s="94">
        <f>'3.2 Digest'!X931</f>
        <v>30.004584101489929</v>
      </c>
      <c r="AO931" s="94">
        <f>Table3.110[[#This Row],[Digested feed, mg]]/Table3.110[[#This Row],[Net gas 24h, ml]]</f>
        <v>2.213578093560955</v>
      </c>
      <c r="AP931" s="94">
        <f>Table3.110[[#This Row],[CH4 8h, ml]]/Table3.110[[#This Row],[Net gas 8h, ml]]%</f>
        <v>15.799999999999999</v>
      </c>
      <c r="AQ931" s="94">
        <f>Table3.110[[#This Row],[CH4 24h, ml]]/Table3.110[[#This Row],[Net gas 24h, ml]]%</f>
        <v>16.541208858688812</v>
      </c>
      <c r="AR931" s="94">
        <f>Table3.110[[#This Row],[CH4 24h, ml]]/Table3.110[[#This Row],[DM Incubated, mg]]*1000</f>
        <v>22.421259669335981</v>
      </c>
      <c r="AS931" s="94">
        <f>Table3.110[[#This Row],[CH4 24h, ml]]/Table3.110[[#This Row],[Digested feed, mg]]*1000</f>
        <v>74.726113828128732</v>
      </c>
      <c r="AT931" s="94">
        <f>Table3.110[[#This Row],[CH4 24h, ml]]/'3.2 Digest'!AA931</f>
        <v>1.308166064056673</v>
      </c>
      <c r="AU931" s="94">
        <f>((Table3.110[[#This Row],[CH4 24h, ml]]/28.9)*16.04)/Table3.110[[#This Row],[DM Incubated, mg]]*1000</f>
        <v>12.444187027548415</v>
      </c>
      <c r="AV931" s="94">
        <f>((Table3.110[[#This Row],[CH4 24h, ml]]/28.9)*16.04)/Table3.110[[#This Row],[Digested feed, mg]]*1000</f>
        <v>41.474286013951044</v>
      </c>
    </row>
    <row r="932" spans="2:48" s="89" customFormat="1" x14ac:dyDescent="0.35">
      <c r="B932" s="90">
        <f t="shared" si="14"/>
        <v>922</v>
      </c>
      <c r="C932" s="143">
        <v>46057</v>
      </c>
      <c r="D932" s="92"/>
      <c r="E932" s="124" t="s">
        <v>537</v>
      </c>
      <c r="F932" s="6" t="s">
        <v>538</v>
      </c>
      <c r="G932" s="6">
        <v>24</v>
      </c>
      <c r="H932" s="124" t="s">
        <v>537</v>
      </c>
      <c r="I932" s="277"/>
      <c r="J932" s="278"/>
      <c r="K932" s="124"/>
      <c r="L932" s="124" t="s">
        <v>539</v>
      </c>
      <c r="M932" s="93">
        <v>29</v>
      </c>
      <c r="N932" s="147">
        <v>63</v>
      </c>
      <c r="O932" s="124">
        <v>2</v>
      </c>
      <c r="P932" s="146">
        <v>1</v>
      </c>
      <c r="Q932" s="124">
        <v>233</v>
      </c>
      <c r="R932" s="148"/>
      <c r="S932" s="94"/>
      <c r="T932" s="94"/>
      <c r="U932" s="149">
        <v>0.35347222222222224</v>
      </c>
      <c r="V932" s="150">
        <v>40</v>
      </c>
      <c r="W932" s="149">
        <v>0.68472222222222223</v>
      </c>
      <c r="X932" s="163">
        <v>44.5</v>
      </c>
      <c r="Y932" s="163"/>
      <c r="Z932" s="150">
        <v>40</v>
      </c>
      <c r="AA932" s="149">
        <v>0.35902777777777778</v>
      </c>
      <c r="AB932" s="150">
        <v>45</v>
      </c>
      <c r="AC932" s="150"/>
      <c r="AD932" s="163"/>
      <c r="AE932" s="94">
        <f>Table3.110[[#This Row],[Gas 8h, ml]]-Table3.110[[#This Row],[Gas 0h, ml]]</f>
        <v>4.5</v>
      </c>
      <c r="AF932" s="94">
        <f>Table3.110[[#This Row],[Gas 24h, ml]]-Table3.110[[#This Row],[V8 Push back, ml]]</f>
        <v>5</v>
      </c>
      <c r="AG932" s="94"/>
      <c r="AH932" s="94"/>
      <c r="AI932" s="94"/>
      <c r="AJ932" s="94"/>
      <c r="AK932" s="94"/>
      <c r="AL932" s="94"/>
      <c r="AM932" s="94"/>
      <c r="AN932" s="94"/>
      <c r="AO932" s="94"/>
      <c r="AP932" s="94"/>
      <c r="AQ932" s="94"/>
      <c r="AR932" s="94"/>
      <c r="AS932" s="94"/>
      <c r="AT932" s="94"/>
      <c r="AU932" s="94"/>
      <c r="AV932" s="94"/>
    </row>
    <row r="933" spans="2:48" s="89" customFormat="1" x14ac:dyDescent="0.35">
      <c r="B933" s="90">
        <f t="shared" si="14"/>
        <v>923</v>
      </c>
      <c r="C933" s="143">
        <v>46057</v>
      </c>
      <c r="D933" s="92"/>
      <c r="E933" s="124" t="s">
        <v>537</v>
      </c>
      <c r="F933" s="6" t="s">
        <v>538</v>
      </c>
      <c r="G933" s="6">
        <v>24</v>
      </c>
      <c r="H933" s="124" t="s">
        <v>537</v>
      </c>
      <c r="I933" s="277"/>
      <c r="J933" s="278"/>
      <c r="K933" s="124"/>
      <c r="L933" s="124" t="s">
        <v>539</v>
      </c>
      <c r="M933" s="93">
        <v>29</v>
      </c>
      <c r="N933" s="147">
        <v>63</v>
      </c>
      <c r="O933" s="124">
        <v>2</v>
      </c>
      <c r="P933" s="146">
        <v>2</v>
      </c>
      <c r="Q933" s="124">
        <v>234</v>
      </c>
      <c r="R933" s="148"/>
      <c r="S933" s="94"/>
      <c r="T933" s="94"/>
      <c r="U933" s="151">
        <v>0.35347222222222224</v>
      </c>
      <c r="V933" s="152">
        <v>39.5</v>
      </c>
      <c r="W933" s="151">
        <v>0.68472222222222223</v>
      </c>
      <c r="X933" s="164">
        <v>43.5</v>
      </c>
      <c r="Y933" s="164"/>
      <c r="Z933" s="152">
        <v>39.5</v>
      </c>
      <c r="AA933" s="151">
        <v>0.35972222222222222</v>
      </c>
      <c r="AB933" s="152">
        <v>45</v>
      </c>
      <c r="AC933" s="152"/>
      <c r="AD933" s="164"/>
      <c r="AE933" s="94">
        <f>Table3.110[[#This Row],[Gas 8h, ml]]-Table3.110[[#This Row],[Gas 0h, ml]]</f>
        <v>4</v>
      </c>
      <c r="AF933" s="94">
        <f>Table3.110[[#This Row],[Gas 24h, ml]]-Table3.110[[#This Row],[V8 Push back, ml]]</f>
        <v>5.5</v>
      </c>
      <c r="AG933" s="94"/>
      <c r="AH933" s="94"/>
      <c r="AI933" s="94"/>
      <c r="AJ933" s="94"/>
      <c r="AK933" s="94"/>
      <c r="AL933" s="94"/>
      <c r="AM933" s="94"/>
      <c r="AN933" s="94"/>
      <c r="AO933" s="94"/>
      <c r="AP933" s="94"/>
      <c r="AQ933" s="94"/>
      <c r="AR933" s="94"/>
      <c r="AS933" s="94"/>
      <c r="AT933" s="94"/>
      <c r="AU933" s="94"/>
      <c r="AV933" s="94"/>
    </row>
    <row r="934" spans="2:48" s="89" customFormat="1" x14ac:dyDescent="0.35">
      <c r="B934" s="90">
        <f t="shared" si="14"/>
        <v>924</v>
      </c>
      <c r="C934" s="143">
        <v>46078</v>
      </c>
      <c r="D934" s="92"/>
      <c r="E934" s="124" t="s">
        <v>537</v>
      </c>
      <c r="F934" s="6" t="s">
        <v>538</v>
      </c>
      <c r="G934" s="6">
        <v>24</v>
      </c>
      <c r="H934" s="124" t="s">
        <v>537</v>
      </c>
      <c r="I934" s="277"/>
      <c r="J934" s="278"/>
      <c r="K934" s="124"/>
      <c r="L934" s="124" t="s">
        <v>539</v>
      </c>
      <c r="M934" s="93">
        <v>29</v>
      </c>
      <c r="N934" s="147">
        <v>70</v>
      </c>
      <c r="O934" s="124">
        <v>3</v>
      </c>
      <c r="P934" s="124">
        <v>1</v>
      </c>
      <c r="Q934" s="124">
        <v>199</v>
      </c>
      <c r="R934" s="148"/>
      <c r="S934" s="94"/>
      <c r="T934" s="94"/>
      <c r="U934" s="149">
        <v>0.32569444444444445</v>
      </c>
      <c r="V934" s="150">
        <v>39</v>
      </c>
      <c r="W934" s="149">
        <v>0.65625</v>
      </c>
      <c r="X934" s="163">
        <v>41</v>
      </c>
      <c r="Y934" s="163"/>
      <c r="Z934" s="150">
        <v>39</v>
      </c>
      <c r="AA934" s="149">
        <v>0.33194444444444443</v>
      </c>
      <c r="AB934" s="150">
        <v>42</v>
      </c>
      <c r="AC934" s="150"/>
      <c r="AD934" s="163"/>
      <c r="AE934" s="94">
        <f>Table3.110[[#This Row],[Gas 8h, ml]]-Table3.110[[#This Row],[Gas 0h, ml]]</f>
        <v>2</v>
      </c>
      <c r="AF934" s="94">
        <f>Table3.110[[#This Row],[Gas 24h, ml]]-Table3.110[[#This Row],[V8 Push back, ml]]</f>
        <v>3</v>
      </c>
      <c r="AG934" s="94"/>
      <c r="AH934" s="94"/>
      <c r="AI934" s="94"/>
      <c r="AJ934" s="94"/>
      <c r="AK934" s="94"/>
      <c r="AL934" s="94"/>
      <c r="AM934" s="94"/>
      <c r="AN934" s="94"/>
      <c r="AO934" s="94"/>
      <c r="AP934" s="94"/>
      <c r="AQ934" s="94"/>
      <c r="AR934" s="94"/>
      <c r="AS934" s="94"/>
      <c r="AT934" s="94"/>
      <c r="AU934" s="94"/>
      <c r="AV934" s="94"/>
    </row>
    <row r="935" spans="2:48" s="89" customFormat="1" x14ac:dyDescent="0.35">
      <c r="B935" s="90">
        <f t="shared" si="14"/>
        <v>925</v>
      </c>
      <c r="C935" s="143">
        <v>46078</v>
      </c>
      <c r="D935" s="92"/>
      <c r="E935" s="124" t="s">
        <v>537</v>
      </c>
      <c r="F935" s="6" t="s">
        <v>538</v>
      </c>
      <c r="G935" s="6">
        <v>24</v>
      </c>
      <c r="H935" s="124" t="s">
        <v>537</v>
      </c>
      <c r="I935" s="277"/>
      <c r="J935" s="278"/>
      <c r="K935" s="124"/>
      <c r="L935" s="124" t="s">
        <v>539</v>
      </c>
      <c r="M935" s="93">
        <v>29</v>
      </c>
      <c r="N935" s="147">
        <v>70</v>
      </c>
      <c r="O935" s="124">
        <v>3</v>
      </c>
      <c r="P935" s="146">
        <v>2</v>
      </c>
      <c r="Q935" s="124">
        <v>200</v>
      </c>
      <c r="R935" s="148"/>
      <c r="S935" s="94"/>
      <c r="T935" s="94"/>
      <c r="U935" s="151">
        <v>0.32569444444444445</v>
      </c>
      <c r="V935" s="152">
        <v>40</v>
      </c>
      <c r="W935" s="151">
        <v>0.65694444444444444</v>
      </c>
      <c r="X935" s="164">
        <v>42</v>
      </c>
      <c r="Y935" s="164"/>
      <c r="Z935" s="152">
        <v>39.5</v>
      </c>
      <c r="AA935" s="151">
        <v>0.33194444444444443</v>
      </c>
      <c r="AB935" s="152">
        <v>42.5</v>
      </c>
      <c r="AC935" s="152"/>
      <c r="AD935" s="164"/>
      <c r="AE935" s="94">
        <f>Table3.110[[#This Row],[Gas 8h, ml]]-Table3.110[[#This Row],[Gas 0h, ml]]</f>
        <v>2</v>
      </c>
      <c r="AF935" s="94">
        <f>Table3.110[[#This Row],[Gas 24h, ml]]-Table3.110[[#This Row],[V8 Push back, ml]]</f>
        <v>3</v>
      </c>
      <c r="AG935" s="94"/>
      <c r="AH935" s="94"/>
      <c r="AI935" s="94"/>
      <c r="AJ935" s="94"/>
      <c r="AK935" s="94"/>
      <c r="AL935" s="94"/>
      <c r="AM935" s="94"/>
      <c r="AN935" s="94"/>
      <c r="AO935" s="94"/>
      <c r="AP935" s="94"/>
      <c r="AQ935" s="94"/>
      <c r="AR935" s="94"/>
      <c r="AS935" s="94"/>
      <c r="AT935" s="94"/>
      <c r="AU935" s="94"/>
      <c r="AV935" s="94"/>
    </row>
    <row r="936" spans="2:48" s="89" customFormat="1" x14ac:dyDescent="0.35">
      <c r="B936" s="90">
        <f t="shared" si="14"/>
        <v>926</v>
      </c>
      <c r="C936" s="140">
        <v>46078</v>
      </c>
      <c r="D936" s="6" t="s">
        <v>16</v>
      </c>
      <c r="E936" s="6" t="s">
        <v>322</v>
      </c>
      <c r="F936" s="6" t="s">
        <v>290</v>
      </c>
      <c r="G936" s="6" t="s">
        <v>318</v>
      </c>
      <c r="H936" s="6" t="s">
        <v>319</v>
      </c>
      <c r="I936" s="6" t="s">
        <v>22</v>
      </c>
      <c r="J936" s="129" t="s">
        <v>23</v>
      </c>
      <c r="K936" s="129" t="s">
        <v>215</v>
      </c>
      <c r="L936" s="6" t="s">
        <v>321</v>
      </c>
      <c r="M936" s="93">
        <v>29</v>
      </c>
      <c r="N936" s="93">
        <v>70</v>
      </c>
      <c r="O936" s="6">
        <v>3</v>
      </c>
      <c r="P936" s="129">
        <v>1</v>
      </c>
      <c r="Q936" s="6">
        <v>201</v>
      </c>
      <c r="R936" s="98">
        <v>0.50049999999999994</v>
      </c>
      <c r="S936" s="94">
        <f>((Table3.110[[#This Row],[Sample weight, g]]*'2.1. DM'!Q197)/100)*1000</f>
        <v>448.13051798460424</v>
      </c>
      <c r="T936" s="94">
        <f>'3.2 Digest'!W936</f>
        <v>194.43051798460419</v>
      </c>
      <c r="U936" s="153">
        <v>0.3263888888888889</v>
      </c>
      <c r="V936" s="154">
        <v>41</v>
      </c>
      <c r="W936" s="153">
        <v>0.65694444444444444</v>
      </c>
      <c r="X936" s="91">
        <v>76</v>
      </c>
      <c r="Y936" s="91">
        <v>13.1</v>
      </c>
      <c r="Z936" s="154">
        <v>40</v>
      </c>
      <c r="AA936" s="153">
        <v>0.33263888888888887</v>
      </c>
      <c r="AB936" s="154">
        <v>72</v>
      </c>
      <c r="AC936" s="154">
        <v>12.5</v>
      </c>
      <c r="AD936" s="91"/>
      <c r="AE936" s="94">
        <f>Table3.110[[#This Row],[Gas 8h, ml]]-Table3.110[[#This Row],[Gas 0h, ml]]</f>
        <v>35</v>
      </c>
      <c r="AF936" s="94">
        <f>Table3.110[[#This Row],[Gas 24h, ml]]-Table3.110[[#This Row],[V8 Push back, ml]]</f>
        <v>32</v>
      </c>
      <c r="AG936" s="94">
        <f>Table3.110[[#This Row],[GP 8h, ml]]-(AVERAGE(AE$934,AE$935,AE$958,AE$959))*$AG$8</f>
        <v>33.00873479879084</v>
      </c>
      <c r="AH936" s="94">
        <f>Table3.110[[#This Row],[GP 8-24h, ml]]-(AVERAGE(AF$934,AF$935,AF$958,AF$959))*$AG$8</f>
        <v>29.344979731721114</v>
      </c>
      <c r="AI936" s="94">
        <f>Table3.110[[#This Row],[Net gas 8-24h, ml]]+Table3.110[[#This Row],[Net gas 8h, ml]]</f>
        <v>62.353714530511951</v>
      </c>
      <c r="AJ936" s="94">
        <f>Table3.110[[#This Row],[Net gas 8h, ml]]*Table3.110[[#This Row],[CH4 8h %]]%</f>
        <v>4.3241442586416001</v>
      </c>
      <c r="AK936" s="94">
        <f>Table3.110[[#This Row],[Net gas 8-24h, ml]]*Table3.110[[#This Row],[CH4 24h, %]]%</f>
        <v>3.6681224664651393</v>
      </c>
      <c r="AL936" s="94">
        <f>Table3.110[[#This Row],[CH4 8-24h, ml]]+Table3.110[[#This Row],[CH4 8h, ml]]</f>
        <v>7.9922667251067399</v>
      </c>
      <c r="AM936" s="94">
        <f>(Table3.110[[#This Row],[Net gas 24h, ml]]/Table3.110[[#This Row],[DM Incubated, mg]])*1000</f>
        <v>139.1418616409743</v>
      </c>
      <c r="AN936" s="94">
        <f>'3.2 Digest'!X936</f>
        <v>43.387029042124723</v>
      </c>
      <c r="AO936" s="94">
        <f>Table3.110[[#This Row],[Digested feed, mg]]/Table3.110[[#This Row],[Net gas 24h, ml]]</f>
        <v>3.1181866140382422</v>
      </c>
      <c r="AP936" s="94">
        <f>Table3.110[[#This Row],[CH4 8h, ml]]/Table3.110[[#This Row],[Net gas 8h, ml]]%</f>
        <v>13.1</v>
      </c>
      <c r="AQ936" s="94">
        <f>Table3.110[[#This Row],[CH4 24h, ml]]/Table3.110[[#This Row],[Net gas 24h, ml]]%</f>
        <v>12.817627282165896</v>
      </c>
      <c r="AR936" s="94">
        <f>Table3.110[[#This Row],[CH4 24h, ml]]/Table3.110[[#This Row],[DM Incubated, mg]]*1000</f>
        <v>17.834685218607046</v>
      </c>
      <c r="AS936" s="94">
        <f>Table3.110[[#This Row],[CH4 24h, ml]]/Table3.110[[#This Row],[Digested feed, mg]]*1000</f>
        <v>41.106030102432783</v>
      </c>
      <c r="AT936" s="94">
        <f>Table3.110[[#This Row],[CH4 24h, ml]]/'3.2 Digest'!AA936</f>
        <v>-1.0811698546873039</v>
      </c>
      <c r="AU936" s="94">
        <f>((Table3.110[[#This Row],[CH4 24h, ml]]/28.9)*16.04)/Table3.110[[#This Row],[DM Incubated, mg]]*1000</f>
        <v>9.8985588548947074</v>
      </c>
      <c r="AV936" s="94">
        <f>((Table3.110[[#This Row],[CH4 24h, ml]]/28.9)*16.04)/Table3.110[[#This Row],[Digested feed, mg]]*1000</f>
        <v>22.814557883841591</v>
      </c>
    </row>
    <row r="937" spans="2:48" s="89" customFormat="1" x14ac:dyDescent="0.35">
      <c r="B937" s="90">
        <f t="shared" si="14"/>
        <v>927</v>
      </c>
      <c r="C937" s="140">
        <v>46078</v>
      </c>
      <c r="D937" s="6" t="s">
        <v>16</v>
      </c>
      <c r="E937" s="6" t="s">
        <v>322</v>
      </c>
      <c r="F937" s="6" t="s">
        <v>290</v>
      </c>
      <c r="G937" s="6" t="s">
        <v>318</v>
      </c>
      <c r="H937" s="6" t="s">
        <v>319</v>
      </c>
      <c r="I937" s="6" t="s">
        <v>22</v>
      </c>
      <c r="J937" s="129" t="s">
        <v>23</v>
      </c>
      <c r="K937" s="129" t="s">
        <v>215</v>
      </c>
      <c r="L937" s="6" t="s">
        <v>321</v>
      </c>
      <c r="M937" s="93">
        <v>29</v>
      </c>
      <c r="N937" s="93">
        <v>70</v>
      </c>
      <c r="O937" s="6">
        <v>3</v>
      </c>
      <c r="P937" s="6">
        <v>2</v>
      </c>
      <c r="Q937" s="6">
        <v>202</v>
      </c>
      <c r="R937" s="98">
        <v>0.50009999999999999</v>
      </c>
      <c r="S937" s="94">
        <f>((Table3.110[[#This Row],[Sample weight, g]]*'2.1. DM'!Q197)/100)*1000</f>
        <v>447.77237171648466</v>
      </c>
      <c r="T937" s="94">
        <f>'3.2 Digest'!W937</f>
        <v>191.17237171648463</v>
      </c>
      <c r="U937" s="117">
        <v>0.3263888888888889</v>
      </c>
      <c r="V937" s="155">
        <v>40.5</v>
      </c>
      <c r="W937" s="117">
        <v>0.65694444444444444</v>
      </c>
      <c r="X937" s="96">
        <v>75.5</v>
      </c>
      <c r="Y937" s="96">
        <v>13.8</v>
      </c>
      <c r="Z937" s="155">
        <v>39.5</v>
      </c>
      <c r="AA937" s="117">
        <v>0.33263888888888887</v>
      </c>
      <c r="AB937" s="155">
        <v>72</v>
      </c>
      <c r="AC937" s="155">
        <v>14.6</v>
      </c>
      <c r="AD937" s="96"/>
      <c r="AE937" s="94">
        <f>Table3.110[[#This Row],[Gas 8h, ml]]-Table3.110[[#This Row],[Gas 0h, ml]]</f>
        <v>35</v>
      </c>
      <c r="AF937" s="94">
        <f>Table3.110[[#This Row],[Gas 24h, ml]]-Table3.110[[#This Row],[V8 Push back, ml]]</f>
        <v>32.5</v>
      </c>
      <c r="AG937" s="94">
        <f>Table3.110[[#This Row],[GP 8h, ml]]-(AVERAGE(AE$934,AE$935,AE$958,AE$959))*$AG$8</f>
        <v>33.00873479879084</v>
      </c>
      <c r="AH937" s="94">
        <f>Table3.110[[#This Row],[GP 8-24h, ml]]-(AVERAGE(AF$934,AF$935,AF$958,AF$959))*$AG$8</f>
        <v>29.844979731721114</v>
      </c>
      <c r="AI937" s="94">
        <f>Table3.110[[#This Row],[Net gas 8-24h, ml]]+Table3.110[[#This Row],[Net gas 8h, ml]]</f>
        <v>62.853714530511951</v>
      </c>
      <c r="AJ937" s="94">
        <f>Table3.110[[#This Row],[Net gas 8h, ml]]*Table3.110[[#This Row],[CH4 8h %]]%</f>
        <v>4.5552054022331365</v>
      </c>
      <c r="AK937" s="94">
        <f>Table3.110[[#This Row],[Net gas 8-24h, ml]]*Table3.110[[#This Row],[CH4 24h, %]]%</f>
        <v>4.3573670408312823</v>
      </c>
      <c r="AL937" s="94">
        <f>Table3.110[[#This Row],[CH4 8-24h, ml]]+Table3.110[[#This Row],[CH4 8h, ml]]</f>
        <v>8.9125724430644198</v>
      </c>
      <c r="AM937" s="94">
        <f>(Table3.110[[#This Row],[Net gas 24h, ml]]/Table3.110[[#This Row],[DM Incubated, mg]])*1000</f>
        <v>140.36979166349491</v>
      </c>
      <c r="AN937" s="94">
        <f>'3.2 Digest'!X937</f>
        <v>42.694097222579188</v>
      </c>
      <c r="AO937" s="94">
        <f>Table3.110[[#This Row],[Digested feed, mg]]/Table3.110[[#This Row],[Net gas 24h, ml]]</f>
        <v>3.0415445315277458</v>
      </c>
      <c r="AP937" s="94">
        <f>Table3.110[[#This Row],[CH4 8h, ml]]/Table3.110[[#This Row],[Net gas 8h, ml]]%</f>
        <v>13.800000000000002</v>
      </c>
      <c r="AQ937" s="94">
        <f>Table3.110[[#This Row],[CH4 24h, ml]]/Table3.110[[#This Row],[Net gas 24h, ml]]%</f>
        <v>14.179865915065157</v>
      </c>
      <c r="AR937" s="94">
        <f>Table3.110[[#This Row],[CH4 24h, ml]]/Table3.110[[#This Row],[DM Incubated, mg]]*1000</f>
        <v>19.904248243139886</v>
      </c>
      <c r="AS937" s="94">
        <f>Table3.110[[#This Row],[CH4 24h, ml]]/Table3.110[[#This Row],[Digested feed, mg]]*1000</f>
        <v>46.620609259804965</v>
      </c>
      <c r="AT937" s="94">
        <f>Table3.110[[#This Row],[CH4 24h, ml]]/'3.2 Digest'!AA937</f>
        <v>-1.0236452949658603</v>
      </c>
      <c r="AU937" s="94">
        <f>((Table3.110[[#This Row],[CH4 24h, ml]]/28.9)*16.04)/Table3.110[[#This Row],[DM Incubated, mg]]*1000</f>
        <v>11.047202139099092</v>
      </c>
      <c r="AV937" s="94">
        <f>((Table3.110[[#This Row],[CH4 24h, ml]]/28.9)*16.04)/Table3.110[[#This Row],[Digested feed, mg]]*1000</f>
        <v>25.875244724127043</v>
      </c>
    </row>
    <row r="938" spans="2:48" s="89" customFormat="1" x14ac:dyDescent="0.35">
      <c r="B938" s="90">
        <f t="shared" si="14"/>
        <v>928</v>
      </c>
      <c r="C938" s="140">
        <v>46078</v>
      </c>
      <c r="D938" s="6" t="s">
        <v>16</v>
      </c>
      <c r="E938" s="6" t="s">
        <v>326</v>
      </c>
      <c r="F938" s="6" t="s">
        <v>290</v>
      </c>
      <c r="G938" s="6" t="s">
        <v>318</v>
      </c>
      <c r="H938" s="6" t="s">
        <v>319</v>
      </c>
      <c r="I938" s="6" t="s">
        <v>22</v>
      </c>
      <c r="J938" s="129" t="s">
        <v>23</v>
      </c>
      <c r="K938" s="129" t="s">
        <v>215</v>
      </c>
      <c r="L938" s="6" t="s">
        <v>325</v>
      </c>
      <c r="M938" s="93">
        <v>29</v>
      </c>
      <c r="N938" s="93">
        <v>70</v>
      </c>
      <c r="O938" s="6">
        <v>3</v>
      </c>
      <c r="P938" s="129">
        <v>1</v>
      </c>
      <c r="Q938" s="6">
        <v>203</v>
      </c>
      <c r="R938" s="98">
        <v>0.50039999999999996</v>
      </c>
      <c r="S938" s="94">
        <f>((Table3.110[[#This Row],[Sample weight, g]]*'2.1. DM'!Q199)/100)*1000</f>
        <v>465.07706335545174</v>
      </c>
      <c r="T938" s="94">
        <f>'3.2 Digest'!W938</f>
        <v>180.47706335545178</v>
      </c>
      <c r="U938" s="117">
        <v>0.3263888888888889</v>
      </c>
      <c r="V938" s="155">
        <v>40.5</v>
      </c>
      <c r="W938" s="117">
        <v>0.65763888888888888</v>
      </c>
      <c r="X938" s="96">
        <v>70.5</v>
      </c>
      <c r="Y938" s="96">
        <v>12.2</v>
      </c>
      <c r="Z938" s="155">
        <v>40</v>
      </c>
      <c r="AA938" s="117">
        <v>0.33333333333333331</v>
      </c>
      <c r="AB938" s="155">
        <v>73</v>
      </c>
      <c r="AC938" s="155">
        <v>13.7</v>
      </c>
      <c r="AD938" s="96"/>
      <c r="AE938" s="94">
        <f>Table3.110[[#This Row],[Gas 8h, ml]]-Table3.110[[#This Row],[Gas 0h, ml]]</f>
        <v>30</v>
      </c>
      <c r="AF938" s="94">
        <f>Table3.110[[#This Row],[Gas 24h, ml]]-Table3.110[[#This Row],[V8 Push back, ml]]</f>
        <v>33</v>
      </c>
      <c r="AG938" s="94">
        <f>Table3.110[[#This Row],[GP 8h, ml]]-(AVERAGE(AE$934,AE$935,AE$958,AE$959))*$AG$8</f>
        <v>28.008734798790837</v>
      </c>
      <c r="AH938" s="94">
        <f>Table3.110[[#This Row],[GP 8-24h, ml]]-(AVERAGE(AF$934,AF$935,AF$958,AF$959))*$AG$8</f>
        <v>30.344979731721114</v>
      </c>
      <c r="AI938" s="94">
        <f>Table3.110[[#This Row],[Net gas 8-24h, ml]]+Table3.110[[#This Row],[Net gas 8h, ml]]</f>
        <v>58.353714530511951</v>
      </c>
      <c r="AJ938" s="94">
        <f>Table3.110[[#This Row],[Net gas 8h, ml]]*Table3.110[[#This Row],[CH4 8h %]]%</f>
        <v>3.4170656454524821</v>
      </c>
      <c r="AK938" s="94">
        <f>Table3.110[[#This Row],[Net gas 8-24h, ml]]*Table3.110[[#This Row],[CH4 24h, %]]%</f>
        <v>4.1572622232457919</v>
      </c>
      <c r="AL938" s="94">
        <f>Table3.110[[#This Row],[CH4 8-24h, ml]]+Table3.110[[#This Row],[CH4 8h, ml]]</f>
        <v>7.5743278686982745</v>
      </c>
      <c r="AM938" s="94">
        <f>(Table3.110[[#This Row],[Net gas 24h, ml]]/Table3.110[[#This Row],[DM Incubated, mg]])*1000</f>
        <v>125.47106518111181</v>
      </c>
      <c r="AN938" s="94">
        <f>'3.2 Digest'!X938</f>
        <v>38.805840488744067</v>
      </c>
      <c r="AO938" s="94">
        <f>Table3.110[[#This Row],[Digested feed, mg]]/Table3.110[[#This Row],[Net gas 24h, ml]]</f>
        <v>3.0928119110752417</v>
      </c>
      <c r="AP938" s="94">
        <f>Table3.110[[#This Row],[CH4 8h, ml]]/Table3.110[[#This Row],[Net gas 8h, ml]]%</f>
        <v>12.200000000000001</v>
      </c>
      <c r="AQ938" s="94">
        <f>Table3.110[[#This Row],[CH4 24h, ml]]/Table3.110[[#This Row],[Net gas 24h, ml]]%</f>
        <v>12.980026943679507</v>
      </c>
      <c r="AR938" s="94">
        <f>Table3.110[[#This Row],[CH4 24h, ml]]/Table3.110[[#This Row],[DM Incubated, mg]]*1000</f>
        <v>16.286178067029986</v>
      </c>
      <c r="AS938" s="94">
        <f>Table3.110[[#This Row],[CH4 24h, ml]]/Table3.110[[#This Row],[Digested feed, mg]]*1000</f>
        <v>41.968368322685656</v>
      </c>
      <c r="AT938" s="94">
        <f>Table3.110[[#This Row],[CH4 24h, ml]]/'3.2 Digest'!AA938</f>
        <v>-0.40443654056425343</v>
      </c>
      <c r="AU938" s="94">
        <f>((Table3.110[[#This Row],[CH4 24h, ml]]/28.9)*16.04)/Table3.110[[#This Row],[DM Incubated, mg]]*1000</f>
        <v>9.0391105949882711</v>
      </c>
      <c r="AV938" s="94">
        <f>((Table3.110[[#This Row],[CH4 24h, ml]]/28.9)*16.04)/Table3.110[[#This Row],[Digested feed, mg]]*1000</f>
        <v>23.293170515428304</v>
      </c>
    </row>
    <row r="939" spans="2:48" s="89" customFormat="1" x14ac:dyDescent="0.35">
      <c r="B939" s="90">
        <f t="shared" si="14"/>
        <v>929</v>
      </c>
      <c r="C939" s="140">
        <v>46078</v>
      </c>
      <c r="D939" s="6" t="s">
        <v>16</v>
      </c>
      <c r="E939" s="6" t="s">
        <v>326</v>
      </c>
      <c r="F939" s="6" t="s">
        <v>290</v>
      </c>
      <c r="G939" s="6" t="s">
        <v>318</v>
      </c>
      <c r="H939" s="6" t="s">
        <v>319</v>
      </c>
      <c r="I939" s="6" t="s">
        <v>22</v>
      </c>
      <c r="J939" s="129" t="s">
        <v>23</v>
      </c>
      <c r="K939" s="129" t="s">
        <v>215</v>
      </c>
      <c r="L939" s="6" t="s">
        <v>325</v>
      </c>
      <c r="M939" s="93">
        <v>29</v>
      </c>
      <c r="N939" s="93">
        <v>70</v>
      </c>
      <c r="O939" s="6">
        <v>3</v>
      </c>
      <c r="P939" s="6">
        <v>2</v>
      </c>
      <c r="Q939" s="6">
        <v>204</v>
      </c>
      <c r="R939" s="98">
        <v>0.50039999999999996</v>
      </c>
      <c r="S939" s="94">
        <f>((Table3.110[[#This Row],[Sample weight, g]]*'2.1. DM'!Q199)/100)*1000</f>
        <v>465.07706335545174</v>
      </c>
      <c r="T939" s="94">
        <f>'3.2 Digest'!W939</f>
        <v>237.97706335545166</v>
      </c>
      <c r="U939" s="153">
        <v>0.32708333333333334</v>
      </c>
      <c r="V939" s="154">
        <v>41</v>
      </c>
      <c r="W939" s="153">
        <v>0.65833333333333333</v>
      </c>
      <c r="X939" s="91">
        <v>71.5</v>
      </c>
      <c r="Y939" s="91">
        <v>12</v>
      </c>
      <c r="Z939" s="154">
        <v>40</v>
      </c>
      <c r="AA939" s="153">
        <v>0.33333333333333331</v>
      </c>
      <c r="AB939" s="154">
        <v>72.5</v>
      </c>
      <c r="AC939" s="154">
        <v>13.7</v>
      </c>
      <c r="AD939" s="91"/>
      <c r="AE939" s="94">
        <f>Table3.110[[#This Row],[Gas 8h, ml]]-Table3.110[[#This Row],[Gas 0h, ml]]</f>
        <v>30.5</v>
      </c>
      <c r="AF939" s="94">
        <f>Table3.110[[#This Row],[Gas 24h, ml]]-Table3.110[[#This Row],[V8 Push back, ml]]</f>
        <v>32.5</v>
      </c>
      <c r="AG939" s="94">
        <f>Table3.110[[#This Row],[GP 8h, ml]]-(AVERAGE(AE$934,AE$935,AE$958,AE$959))*$AG$8</f>
        <v>28.508734798790837</v>
      </c>
      <c r="AH939" s="94">
        <f>Table3.110[[#This Row],[GP 8-24h, ml]]-(AVERAGE(AF$934,AF$935,AF$958,AF$959))*$AG$8</f>
        <v>29.844979731721114</v>
      </c>
      <c r="AI939" s="94">
        <f>Table3.110[[#This Row],[Net gas 8-24h, ml]]+Table3.110[[#This Row],[Net gas 8h, ml]]</f>
        <v>58.353714530511951</v>
      </c>
      <c r="AJ939" s="94">
        <f>Table3.110[[#This Row],[Net gas 8h, ml]]*Table3.110[[#This Row],[CH4 8h %]]%</f>
        <v>3.4210481758549003</v>
      </c>
      <c r="AK939" s="94">
        <f>Table3.110[[#This Row],[Net gas 8-24h, ml]]*Table3.110[[#This Row],[CH4 24h, %]]%</f>
        <v>4.0887622232457925</v>
      </c>
      <c r="AL939" s="94">
        <f>Table3.110[[#This Row],[CH4 8-24h, ml]]+Table3.110[[#This Row],[CH4 8h, ml]]</f>
        <v>7.5098103991006928</v>
      </c>
      <c r="AM939" s="94">
        <f>(Table3.110[[#This Row],[Net gas 24h, ml]]/Table3.110[[#This Row],[DM Incubated, mg]])*1000</f>
        <v>125.47106518111181</v>
      </c>
      <c r="AN939" s="94">
        <f>'3.2 Digest'!X939</f>
        <v>51.169382905810856</v>
      </c>
      <c r="AO939" s="94">
        <f>Table3.110[[#This Row],[Digested feed, mg]]/Table3.110[[#This Row],[Net gas 24h, ml]]</f>
        <v>4.0781819164402702</v>
      </c>
      <c r="AP939" s="94">
        <f>Table3.110[[#This Row],[CH4 8h, ml]]/Table3.110[[#This Row],[Net gas 8h, ml]]%</f>
        <v>12</v>
      </c>
      <c r="AQ939" s="94">
        <f>Table3.110[[#This Row],[CH4 24h, ml]]/Table3.110[[#This Row],[Net gas 24h, ml]]%</f>
        <v>12.869464196960365</v>
      </c>
      <c r="AR939" s="94">
        <f>Table3.110[[#This Row],[CH4 24h, ml]]/Table3.110[[#This Row],[DM Incubated, mg]]*1000</f>
        <v>16.147453811027983</v>
      </c>
      <c r="AS939" s="94">
        <f>Table3.110[[#This Row],[CH4 24h, ml]]/Table3.110[[#This Row],[Digested feed, mg]]*1000</f>
        <v>31.556866419028591</v>
      </c>
      <c r="AT939" s="94">
        <f>Table3.110[[#This Row],[CH4 24h, ml]]/'3.2 Digest'!AA939</f>
        <v>1.4278612487228013</v>
      </c>
      <c r="AU939" s="94">
        <f>((Table3.110[[#This Row],[CH4 24h, ml]]/28.9)*16.04)/Table3.110[[#This Row],[DM Incubated, mg]]*1000</f>
        <v>8.9621162328335267</v>
      </c>
      <c r="AV939" s="94">
        <f>((Table3.110[[#This Row],[CH4 24h, ml]]/28.9)*16.04)/Table3.110[[#This Row],[Digested feed, mg]]*1000</f>
        <v>17.514606829107912</v>
      </c>
    </row>
    <row r="940" spans="2:48" s="89" customFormat="1" x14ac:dyDescent="0.35">
      <c r="B940" s="90">
        <f t="shared" si="14"/>
        <v>930</v>
      </c>
      <c r="C940" s="140">
        <v>46078</v>
      </c>
      <c r="D940" s="6" t="s">
        <v>16</v>
      </c>
      <c r="E940" s="6" t="s">
        <v>328</v>
      </c>
      <c r="F940" s="6" t="s">
        <v>264</v>
      </c>
      <c r="G940" s="6" t="s">
        <v>329</v>
      </c>
      <c r="H940" s="6" t="s">
        <v>330</v>
      </c>
      <c r="I940" s="6" t="s">
        <v>22</v>
      </c>
      <c r="J940" s="129" t="s">
        <v>23</v>
      </c>
      <c r="K940" s="129" t="s">
        <v>215</v>
      </c>
      <c r="L940" s="6" t="s">
        <v>327</v>
      </c>
      <c r="M940" s="93">
        <v>29</v>
      </c>
      <c r="N940" s="93">
        <v>70</v>
      </c>
      <c r="O940" s="6">
        <v>3</v>
      </c>
      <c r="P940" s="129">
        <v>1</v>
      </c>
      <c r="Q940" s="6">
        <v>205</v>
      </c>
      <c r="R940" s="98">
        <v>0.5</v>
      </c>
      <c r="S940" s="94">
        <f>((Table3.110[[#This Row],[Sample weight, g]]*'2.1. DM'!Q201)/100)*1000</f>
        <v>452.71418385397868</v>
      </c>
      <c r="T940" s="94">
        <f>'3.2 Digest'!W940</f>
        <v>258.21418385397868</v>
      </c>
      <c r="U940" s="153">
        <v>0.32708333333333334</v>
      </c>
      <c r="V940" s="154">
        <v>41</v>
      </c>
      <c r="W940" s="153">
        <v>0.65902777777777777</v>
      </c>
      <c r="X940" s="91">
        <v>77.5</v>
      </c>
      <c r="Y940" s="91">
        <v>13.6</v>
      </c>
      <c r="Z940" s="154">
        <v>40</v>
      </c>
      <c r="AA940" s="153">
        <v>0.33402777777777776</v>
      </c>
      <c r="AB940" s="154">
        <v>84.5</v>
      </c>
      <c r="AC940" s="154">
        <v>17.399999999999999</v>
      </c>
      <c r="AD940" s="91"/>
      <c r="AE940" s="94">
        <f>Table3.110[[#This Row],[Gas 8h, ml]]-Table3.110[[#This Row],[Gas 0h, ml]]</f>
        <v>36.5</v>
      </c>
      <c r="AF940" s="94">
        <f>Table3.110[[#This Row],[Gas 24h, ml]]-Table3.110[[#This Row],[V8 Push back, ml]]</f>
        <v>44.5</v>
      </c>
      <c r="AG940" s="94">
        <f>Table3.110[[#This Row],[GP 8h, ml]]-(AVERAGE(AE$934,AE$935,AE$958,AE$959))*$AG$8</f>
        <v>34.50873479879084</v>
      </c>
      <c r="AH940" s="94">
        <f>Table3.110[[#This Row],[GP 8-24h, ml]]-(AVERAGE(AF$934,AF$935,AF$958,AF$959))*$AG$8</f>
        <v>41.844979731721118</v>
      </c>
      <c r="AI940" s="94">
        <f>Table3.110[[#This Row],[Net gas 8-24h, ml]]+Table3.110[[#This Row],[Net gas 8h, ml]]</f>
        <v>76.353714530511951</v>
      </c>
      <c r="AJ940" s="94">
        <f>Table3.110[[#This Row],[Net gas 8h, ml]]*Table3.110[[#This Row],[CH4 8h %]]%</f>
        <v>4.6931879326355546</v>
      </c>
      <c r="AK940" s="94">
        <f>Table3.110[[#This Row],[Net gas 8-24h, ml]]*Table3.110[[#This Row],[CH4 24h, %]]%</f>
        <v>7.2810264733194741</v>
      </c>
      <c r="AL940" s="94">
        <f>Table3.110[[#This Row],[CH4 8-24h, ml]]+Table3.110[[#This Row],[CH4 8h, ml]]</f>
        <v>11.974214405955028</v>
      </c>
      <c r="AM940" s="94">
        <f>(Table3.110[[#This Row],[Net gas 24h, ml]]/Table3.110[[#This Row],[DM Incubated, mg]])*1000</f>
        <v>168.65765918909128</v>
      </c>
      <c r="AN940" s="94">
        <f>'3.2 Digest'!X940</f>
        <v>57.036910497433126</v>
      </c>
      <c r="AO940" s="94">
        <f>Table3.110[[#This Row],[Digested feed, mg]]/Table3.110[[#This Row],[Net gas 24h, ml]]</f>
        <v>3.381815612268515</v>
      </c>
      <c r="AP940" s="94">
        <f>Table3.110[[#This Row],[CH4 8h, ml]]/Table3.110[[#This Row],[Net gas 8h, ml]]%</f>
        <v>13.6</v>
      </c>
      <c r="AQ940" s="94">
        <f>Table3.110[[#This Row],[CH4 24h, ml]]/Table3.110[[#This Row],[Net gas 24h, ml]]%</f>
        <v>15.682556480169637</v>
      </c>
      <c r="AR940" s="94">
        <f>Table3.110[[#This Row],[CH4 24h, ml]]/Table3.110[[#This Row],[DM Incubated, mg]]*1000</f>
        <v>26.449832660461258</v>
      </c>
      <c r="AS940" s="94">
        <f>Table3.110[[#This Row],[CH4 24h, ml]]/Table3.110[[#This Row],[Digested feed, mg]]*1000</f>
        <v>46.373186117175123</v>
      </c>
      <c r="AT940" s="94">
        <f>Table3.110[[#This Row],[CH4 24h, ml]]/'3.2 Digest'!AA940</f>
        <v>0.7068209045443945</v>
      </c>
      <c r="AU940" s="94">
        <f>((Table3.110[[#This Row],[CH4 24h, ml]]/28.9)*16.04)/Table3.110[[#This Row],[DM Incubated, mg]]*1000</f>
        <v>14.680114736117597</v>
      </c>
      <c r="AV940" s="94">
        <f>((Table3.110[[#This Row],[CH4 24h, ml]]/28.9)*16.04)/Table3.110[[#This Row],[Digested feed, mg]]*1000</f>
        <v>25.73792059929027</v>
      </c>
    </row>
    <row r="941" spans="2:48" s="89" customFormat="1" x14ac:dyDescent="0.35">
      <c r="B941" s="90">
        <f t="shared" si="14"/>
        <v>931</v>
      </c>
      <c r="C941" s="140">
        <v>46078</v>
      </c>
      <c r="D941" s="6" t="s">
        <v>16</v>
      </c>
      <c r="E941" s="6" t="s">
        <v>328</v>
      </c>
      <c r="F941" s="6" t="s">
        <v>264</v>
      </c>
      <c r="G941" s="6" t="s">
        <v>329</v>
      </c>
      <c r="H941" s="6" t="s">
        <v>330</v>
      </c>
      <c r="I941" s="6" t="s">
        <v>22</v>
      </c>
      <c r="J941" s="129" t="s">
        <v>23</v>
      </c>
      <c r="K941" s="129" t="s">
        <v>215</v>
      </c>
      <c r="L941" s="6" t="s">
        <v>327</v>
      </c>
      <c r="M941" s="93">
        <v>29</v>
      </c>
      <c r="N941" s="93">
        <v>70</v>
      </c>
      <c r="O941" s="6">
        <v>3</v>
      </c>
      <c r="P941" s="6">
        <v>2</v>
      </c>
      <c r="Q941" s="6">
        <v>206</v>
      </c>
      <c r="R941" s="98">
        <v>0.50049999999999994</v>
      </c>
      <c r="S941" s="94">
        <f>((Table3.110[[#This Row],[Sample weight, g]]*'2.1. DM'!Q201)/100)*1000</f>
        <v>453.16689803783254</v>
      </c>
      <c r="T941" s="94">
        <f>'3.2 Digest'!W941</f>
        <v>255.26689803783256</v>
      </c>
      <c r="U941" s="117">
        <v>0.32708333333333334</v>
      </c>
      <c r="V941" s="155">
        <v>40.5</v>
      </c>
      <c r="W941" s="117">
        <v>0.65902777777777777</v>
      </c>
      <c r="X941" s="96">
        <v>77</v>
      </c>
      <c r="Y941" s="96">
        <v>13.9</v>
      </c>
      <c r="Z941" s="155">
        <v>40</v>
      </c>
      <c r="AA941" s="117">
        <v>0.33402777777777776</v>
      </c>
      <c r="AB941" s="155">
        <v>84</v>
      </c>
      <c r="AC941" s="155">
        <v>16.2</v>
      </c>
      <c r="AD941" s="96"/>
      <c r="AE941" s="94">
        <f>Table3.110[[#This Row],[Gas 8h, ml]]-Table3.110[[#This Row],[Gas 0h, ml]]</f>
        <v>36.5</v>
      </c>
      <c r="AF941" s="94">
        <f>Table3.110[[#This Row],[Gas 24h, ml]]-Table3.110[[#This Row],[V8 Push back, ml]]</f>
        <v>44</v>
      </c>
      <c r="AG941" s="94">
        <f>Table3.110[[#This Row],[GP 8h, ml]]-(AVERAGE(AE$934,AE$935,AE$958,AE$959))*$AG$8</f>
        <v>34.50873479879084</v>
      </c>
      <c r="AH941" s="94">
        <f>Table3.110[[#This Row],[GP 8-24h, ml]]-(AVERAGE(AF$934,AF$935,AF$958,AF$959))*$AG$8</f>
        <v>41.344979731721118</v>
      </c>
      <c r="AI941" s="94">
        <f>Table3.110[[#This Row],[Net gas 8-24h, ml]]+Table3.110[[#This Row],[Net gas 8h, ml]]</f>
        <v>75.853714530511951</v>
      </c>
      <c r="AJ941" s="94">
        <f>Table3.110[[#This Row],[Net gas 8h, ml]]*Table3.110[[#This Row],[CH4 8h %]]%</f>
        <v>4.7967141370319268</v>
      </c>
      <c r="AK941" s="94">
        <f>Table3.110[[#This Row],[Net gas 8-24h, ml]]*Table3.110[[#This Row],[CH4 24h, %]]%</f>
        <v>6.6978867165388216</v>
      </c>
      <c r="AL941" s="94">
        <f>Table3.110[[#This Row],[CH4 8-24h, ml]]+Table3.110[[#This Row],[CH4 8h, ml]]</f>
        <v>11.494600853570748</v>
      </c>
      <c r="AM941" s="94">
        <f>(Table3.110[[#This Row],[Net gas 24h, ml]]/Table3.110[[#This Row],[DM Incubated, mg]])*1000</f>
        <v>167.3858237637192</v>
      </c>
      <c r="AN941" s="94">
        <f>'3.2 Digest'!X941</f>
        <v>56.329555213126284</v>
      </c>
      <c r="AO941" s="94">
        <f>Table3.110[[#This Row],[Digested feed, mg]]/Table3.110[[#This Row],[Net gas 24h, ml]]</f>
        <v>3.3652524417265308</v>
      </c>
      <c r="AP941" s="94">
        <f>Table3.110[[#This Row],[CH4 8h, ml]]/Table3.110[[#This Row],[Net gas 8h, ml]]%</f>
        <v>13.9</v>
      </c>
      <c r="AQ941" s="94">
        <f>Table3.110[[#This Row],[CH4 24h, ml]]/Table3.110[[#This Row],[Net gas 24h, ml]]%</f>
        <v>15.153642672234696</v>
      </c>
      <c r="AR941" s="94">
        <f>Table3.110[[#This Row],[CH4 24h, ml]]/Table3.110[[#This Row],[DM Incubated, mg]]*1000</f>
        <v>25.365049617130516</v>
      </c>
      <c r="AS941" s="94">
        <f>Table3.110[[#This Row],[CH4 24h, ml]]/Table3.110[[#This Row],[Digested feed, mg]]*1000</f>
        <v>45.029735315963919</v>
      </c>
      <c r="AT941" s="94">
        <f>Table3.110[[#This Row],[CH4 24h, ml]]/'3.2 Digest'!AA941</f>
        <v>0.73809003465869205</v>
      </c>
      <c r="AU941" s="94">
        <f>((Table3.110[[#This Row],[CH4 24h, ml]]/28.9)*16.04)/Table3.110[[#This Row],[DM Incubated, mg]]*1000</f>
        <v>14.078041379196314</v>
      </c>
      <c r="AV941" s="94">
        <f>((Table3.110[[#This Row],[CH4 24h, ml]]/28.9)*16.04)/Table3.110[[#This Row],[Digested feed, mg]]*1000</f>
        <v>24.992282161524606</v>
      </c>
    </row>
    <row r="942" spans="2:48" s="89" customFormat="1" x14ac:dyDescent="0.35">
      <c r="B942" s="90">
        <f t="shared" si="14"/>
        <v>932</v>
      </c>
      <c r="C942" s="140">
        <v>46078</v>
      </c>
      <c r="D942" s="6" t="s">
        <v>16</v>
      </c>
      <c r="E942" s="6" t="s">
        <v>332</v>
      </c>
      <c r="F942" s="6" t="s">
        <v>333</v>
      </c>
      <c r="G942" s="6" t="s">
        <v>334</v>
      </c>
      <c r="H942" s="6" t="s">
        <v>335</v>
      </c>
      <c r="I942" s="6" t="s">
        <v>22</v>
      </c>
      <c r="J942" s="129" t="s">
        <v>23</v>
      </c>
      <c r="K942" s="129" t="s">
        <v>303</v>
      </c>
      <c r="L942" s="6" t="s">
        <v>331</v>
      </c>
      <c r="M942" s="93">
        <v>29</v>
      </c>
      <c r="N942" s="93">
        <v>70</v>
      </c>
      <c r="O942" s="6">
        <v>3</v>
      </c>
      <c r="P942" s="129">
        <v>1</v>
      </c>
      <c r="Q942" s="6">
        <v>207</v>
      </c>
      <c r="R942" s="98">
        <v>0.50049999999999994</v>
      </c>
      <c r="S942" s="94">
        <f>((Table3.110[[#This Row],[Sample weight, g]]*'2.1. DM'!Q203)/100)*1000</f>
        <v>455.62311031328278</v>
      </c>
      <c r="T942" s="94">
        <f>'3.2 Digest'!W942</f>
        <v>222.22311031328283</v>
      </c>
      <c r="U942" s="117">
        <v>0.32708333333333334</v>
      </c>
      <c r="V942" s="155">
        <v>40</v>
      </c>
      <c r="W942" s="117">
        <v>0.65972222222222221</v>
      </c>
      <c r="X942" s="96">
        <v>81.5</v>
      </c>
      <c r="Y942" s="96">
        <v>14.3</v>
      </c>
      <c r="Z942" s="155">
        <v>40</v>
      </c>
      <c r="AA942" s="117">
        <v>0.33541666666666664</v>
      </c>
      <c r="AB942" s="155">
        <v>85.5</v>
      </c>
      <c r="AC942" s="155">
        <v>16</v>
      </c>
      <c r="AD942" s="96"/>
      <c r="AE942" s="94">
        <f>Table3.110[[#This Row],[Gas 8h, ml]]-Table3.110[[#This Row],[Gas 0h, ml]]</f>
        <v>41.5</v>
      </c>
      <c r="AF942" s="94">
        <f>Table3.110[[#This Row],[Gas 24h, ml]]-Table3.110[[#This Row],[V8 Push back, ml]]</f>
        <v>45.5</v>
      </c>
      <c r="AG942" s="94">
        <f>Table3.110[[#This Row],[GP 8h, ml]]-(AVERAGE(AE$934,AE$935,AE$958,AE$959))*$AG$8</f>
        <v>39.50873479879084</v>
      </c>
      <c r="AH942" s="94">
        <f>Table3.110[[#This Row],[GP 8-24h, ml]]-(AVERAGE(AF$934,AF$935,AF$958,AF$959))*$AG$8</f>
        <v>42.844979731721118</v>
      </c>
      <c r="AI942" s="94">
        <f>Table3.110[[#This Row],[Net gas 8-24h, ml]]+Table3.110[[#This Row],[Net gas 8h, ml]]</f>
        <v>82.353714530511951</v>
      </c>
      <c r="AJ942" s="94">
        <f>Table3.110[[#This Row],[Net gas 8h, ml]]*Table3.110[[#This Row],[CH4 8h %]]%</f>
        <v>5.6497490762270912</v>
      </c>
      <c r="AK942" s="94">
        <f>Table3.110[[#This Row],[Net gas 8-24h, ml]]*Table3.110[[#This Row],[CH4 24h, %]]%</f>
        <v>6.8551967570753787</v>
      </c>
      <c r="AL942" s="94">
        <f>Table3.110[[#This Row],[CH4 8-24h, ml]]+Table3.110[[#This Row],[CH4 8h, ml]]</f>
        <v>12.50494583330247</v>
      </c>
      <c r="AM942" s="94">
        <f>(Table3.110[[#This Row],[Net gas 24h, ml]]/Table3.110[[#This Row],[DM Incubated, mg]])*1000</f>
        <v>180.74964299744627</v>
      </c>
      <c r="AN942" s="94">
        <f>'3.2 Digest'!X942</f>
        <v>48.773450091345019</v>
      </c>
      <c r="AO942" s="94">
        <f>Table3.110[[#This Row],[Digested feed, mg]]/Table3.110[[#This Row],[Net gas 24h, ml]]</f>
        <v>2.6983981424535433</v>
      </c>
      <c r="AP942" s="94">
        <f>Table3.110[[#This Row],[CH4 8h, ml]]/Table3.110[[#This Row],[Net gas 8h, ml]]%</f>
        <v>14.300000000000002</v>
      </c>
      <c r="AQ942" s="94">
        <f>Table3.110[[#This Row],[CH4 24h, ml]]/Table3.110[[#This Row],[Net gas 24h, ml]]%</f>
        <v>15.184434490407114</v>
      </c>
      <c r="AR942" s="94">
        <f>Table3.110[[#This Row],[CH4 24h, ml]]/Table3.110[[#This Row],[DM Incubated, mg]]*1000</f>
        <v>27.44581113259196</v>
      </c>
      <c r="AS942" s="94">
        <f>Table3.110[[#This Row],[CH4 24h, ml]]/Table3.110[[#This Row],[Digested feed, mg]]*1000</f>
        <v>56.272031363765038</v>
      </c>
      <c r="AT942" s="94">
        <f>Table3.110[[#This Row],[CH4 24h, ml]]/'3.2 Digest'!AA942</f>
        <v>2.9155258364680585</v>
      </c>
      <c r="AU942" s="94">
        <f>((Table3.110[[#This Row],[CH4 24h, ml]]/28.9)*16.04)/Table3.110[[#This Row],[DM Incubated, mg]]*1000</f>
        <v>15.232900019611591</v>
      </c>
      <c r="AV942" s="94">
        <f>((Table3.110[[#This Row],[CH4 24h, ml]]/28.9)*16.04)/Table3.110[[#This Row],[Digested feed, mg]]*1000</f>
        <v>31.231950971446064</v>
      </c>
    </row>
    <row r="943" spans="2:48" s="89" customFormat="1" x14ac:dyDescent="0.35">
      <c r="B943" s="90">
        <f t="shared" si="14"/>
        <v>933</v>
      </c>
      <c r="C943" s="140">
        <v>46078</v>
      </c>
      <c r="D943" s="6" t="s">
        <v>16</v>
      </c>
      <c r="E943" s="6" t="s">
        <v>332</v>
      </c>
      <c r="F943" s="6" t="s">
        <v>333</v>
      </c>
      <c r="G943" s="6" t="s">
        <v>334</v>
      </c>
      <c r="H943" s="6" t="s">
        <v>335</v>
      </c>
      <c r="I943" s="6" t="s">
        <v>22</v>
      </c>
      <c r="J943" s="129" t="s">
        <v>23</v>
      </c>
      <c r="K943" s="129" t="s">
        <v>303</v>
      </c>
      <c r="L943" s="6" t="s">
        <v>331</v>
      </c>
      <c r="M943" s="93">
        <v>29</v>
      </c>
      <c r="N943" s="93">
        <v>70</v>
      </c>
      <c r="O943" s="6">
        <v>3</v>
      </c>
      <c r="P943" s="6">
        <v>2</v>
      </c>
      <c r="Q943" s="6">
        <v>208</v>
      </c>
      <c r="R943" s="98">
        <v>0.50039999999999996</v>
      </c>
      <c r="S943" s="94">
        <f>((Table3.110[[#This Row],[Sample weight, g]]*'2.1. DM'!Q203)/100)*1000</f>
        <v>455.53207672480863</v>
      </c>
      <c r="T943" s="94">
        <f>'3.2 Digest'!W943</f>
        <v>274.03207672480863</v>
      </c>
      <c r="U943" s="153">
        <v>0.32777777777777778</v>
      </c>
      <c r="V943" s="154">
        <v>41</v>
      </c>
      <c r="W943" s="153">
        <v>0.65972222222222221</v>
      </c>
      <c r="X943" s="91">
        <v>83</v>
      </c>
      <c r="Y943" s="91">
        <v>13.7</v>
      </c>
      <c r="Z943" s="154">
        <v>39.5</v>
      </c>
      <c r="AA943" s="153">
        <v>0.33541666666666664</v>
      </c>
      <c r="AB943" s="154">
        <v>86.5</v>
      </c>
      <c r="AC943" s="154">
        <v>17.600000000000001</v>
      </c>
      <c r="AD943" s="91"/>
      <c r="AE943" s="94">
        <f>Table3.110[[#This Row],[Gas 8h, ml]]-Table3.110[[#This Row],[Gas 0h, ml]]</f>
        <v>42</v>
      </c>
      <c r="AF943" s="94">
        <f>Table3.110[[#This Row],[Gas 24h, ml]]-Table3.110[[#This Row],[V8 Push back, ml]]</f>
        <v>47</v>
      </c>
      <c r="AG943" s="94">
        <f>Table3.110[[#This Row],[GP 8h, ml]]-(AVERAGE(AE$934,AE$935,AE$958,AE$959))*$AG$8</f>
        <v>40.00873479879084</v>
      </c>
      <c r="AH943" s="94">
        <f>Table3.110[[#This Row],[GP 8-24h, ml]]-(AVERAGE(AF$934,AF$935,AF$958,AF$959))*$AG$8</f>
        <v>44.344979731721118</v>
      </c>
      <c r="AI943" s="94">
        <f>Table3.110[[#This Row],[Net gas 8-24h, ml]]+Table3.110[[#This Row],[Net gas 8h, ml]]</f>
        <v>84.353714530511951</v>
      </c>
      <c r="AJ943" s="94">
        <f>Table3.110[[#This Row],[Net gas 8h, ml]]*Table3.110[[#This Row],[CH4 8h %]]%</f>
        <v>5.4811966674343449</v>
      </c>
      <c r="AK943" s="94">
        <f>Table3.110[[#This Row],[Net gas 8-24h, ml]]*Table3.110[[#This Row],[CH4 24h, %]]%</f>
        <v>7.8047164327829179</v>
      </c>
      <c r="AL943" s="94">
        <f>Table3.110[[#This Row],[CH4 8-24h, ml]]+Table3.110[[#This Row],[CH4 8h, ml]]</f>
        <v>13.285913100217263</v>
      </c>
      <c r="AM943" s="94">
        <f>(Table3.110[[#This Row],[Net gas 24h, ml]]/Table3.110[[#This Row],[DM Incubated, mg]])*1000</f>
        <v>185.17623421164882</v>
      </c>
      <c r="AN943" s="94">
        <f>'3.2 Digest'!X943</f>
        <v>60.156483094461443</v>
      </c>
      <c r="AO943" s="94">
        <f>Table3.110[[#This Row],[Digested feed, mg]]/Table3.110[[#This Row],[Net gas 24h, ml]]</f>
        <v>3.2486071093607536</v>
      </c>
      <c r="AP943" s="94">
        <f>Table3.110[[#This Row],[CH4 8h, ml]]/Table3.110[[#This Row],[Net gas 8h, ml]]%</f>
        <v>13.7</v>
      </c>
      <c r="AQ943" s="94">
        <f>Table3.110[[#This Row],[CH4 24h, ml]]/Table3.110[[#This Row],[Net gas 24h, ml]]%</f>
        <v>15.75024072640163</v>
      </c>
      <c r="AR943" s="94">
        <f>Table3.110[[#This Row],[CH4 24h, ml]]/Table3.110[[#This Row],[DM Incubated, mg]]*1000</f>
        <v>29.165702656419981</v>
      </c>
      <c r="AS943" s="94">
        <f>Table3.110[[#This Row],[CH4 24h, ml]]/Table3.110[[#This Row],[Digested feed, mg]]*1000</f>
        <v>48.483058111329726</v>
      </c>
      <c r="AT943" s="94">
        <f>Table3.110[[#This Row],[CH4 24h, ml]]/'3.2 Digest'!AA943</f>
        <v>0.51985468913916555</v>
      </c>
      <c r="AU943" s="94">
        <f>((Table3.110[[#This Row],[CH4 24h, ml]]/28.9)*16.04)/Table3.110[[#This Row],[DM Incubated, mg]]*1000</f>
        <v>16.187469571244865</v>
      </c>
      <c r="AV943" s="94">
        <f>((Table3.110[[#This Row],[CH4 24h, ml]]/28.9)*16.04)/Table3.110[[#This Row],[Digested feed, mg]]*1000</f>
        <v>26.908936059021759</v>
      </c>
    </row>
    <row r="944" spans="2:48" s="89" customFormat="1" x14ac:dyDescent="0.35">
      <c r="B944" s="90">
        <f t="shared" si="14"/>
        <v>934</v>
      </c>
      <c r="C944" s="140">
        <v>46078</v>
      </c>
      <c r="D944" s="6" t="s">
        <v>16</v>
      </c>
      <c r="E944" s="6" t="s">
        <v>337</v>
      </c>
      <c r="F944" s="6" t="s">
        <v>264</v>
      </c>
      <c r="G944" s="6" t="s">
        <v>265</v>
      </c>
      <c r="H944" s="6" t="s">
        <v>266</v>
      </c>
      <c r="I944" s="6" t="s">
        <v>22</v>
      </c>
      <c r="J944" s="129" t="s">
        <v>23</v>
      </c>
      <c r="K944" s="129" t="s">
        <v>215</v>
      </c>
      <c r="L944" s="6" t="s">
        <v>336</v>
      </c>
      <c r="M944" s="93">
        <v>29</v>
      </c>
      <c r="N944" s="93">
        <v>70</v>
      </c>
      <c r="O944" s="6">
        <v>3</v>
      </c>
      <c r="P944" s="129">
        <v>1</v>
      </c>
      <c r="Q944" s="6">
        <v>209</v>
      </c>
      <c r="R944" s="98">
        <v>0.50039999999999996</v>
      </c>
      <c r="S944" s="94">
        <f>((Table3.110[[#This Row],[Sample weight, g]]*'2.1. DM'!Q205)/100)*1000</f>
        <v>461.24958622314131</v>
      </c>
      <c r="T944" s="94">
        <f>'3.2 Digest'!W944</f>
        <v>329.24958622314131</v>
      </c>
      <c r="U944" s="115">
        <v>0.32777777777777778</v>
      </c>
      <c r="V944" s="154">
        <v>41</v>
      </c>
      <c r="W944" s="153">
        <v>0.66041666666666665</v>
      </c>
      <c r="X944" s="91">
        <v>86</v>
      </c>
      <c r="Y944" s="91">
        <v>14.1</v>
      </c>
      <c r="Z944" s="154">
        <v>40.5</v>
      </c>
      <c r="AA944" s="153">
        <v>0.33680555555555558</v>
      </c>
      <c r="AB944" s="154">
        <v>86.5</v>
      </c>
      <c r="AC944" s="154">
        <v>18.3</v>
      </c>
      <c r="AD944" s="91"/>
      <c r="AE944" s="94">
        <f>Table3.110[[#This Row],[Gas 8h, ml]]-Table3.110[[#This Row],[Gas 0h, ml]]</f>
        <v>45</v>
      </c>
      <c r="AF944" s="94">
        <f>Table3.110[[#This Row],[Gas 24h, ml]]-Table3.110[[#This Row],[V8 Push back, ml]]</f>
        <v>46</v>
      </c>
      <c r="AG944" s="94">
        <f>Table3.110[[#This Row],[GP 8h, ml]]-(AVERAGE(AE$934,AE$935,AE$958,AE$959))*$AG$8</f>
        <v>43.00873479879084</v>
      </c>
      <c r="AH944" s="94">
        <f>Table3.110[[#This Row],[GP 8-24h, ml]]-(AVERAGE(AF$934,AF$935,AF$958,AF$959))*$AG$8</f>
        <v>43.344979731721118</v>
      </c>
      <c r="AI944" s="94">
        <f>Table3.110[[#This Row],[Net gas 8-24h, ml]]+Table3.110[[#This Row],[Net gas 8h, ml]]</f>
        <v>86.353714530511951</v>
      </c>
      <c r="AJ944" s="94">
        <f>Table3.110[[#This Row],[Net gas 8h, ml]]*Table3.110[[#This Row],[CH4 8h %]]%</f>
        <v>6.0642316066295079</v>
      </c>
      <c r="AK944" s="94">
        <f>Table3.110[[#This Row],[Net gas 8-24h, ml]]*Table3.110[[#This Row],[CH4 24h, %]]%</f>
        <v>7.9321312909049642</v>
      </c>
      <c r="AL944" s="94">
        <f>Table3.110[[#This Row],[CH4 8-24h, ml]]+Table3.110[[#This Row],[CH4 8h, ml]]</f>
        <v>13.996362897534471</v>
      </c>
      <c r="AM944" s="94">
        <f>(Table3.110[[#This Row],[Net gas 24h, ml]]/Table3.110[[#This Row],[DM Incubated, mg]])*1000</f>
        <v>187.21689321740902</v>
      </c>
      <c r="AN944" s="94">
        <f>'3.2 Digest'!X944</f>
        <v>71.382088148661964</v>
      </c>
      <c r="AO944" s="94">
        <f>Table3.110[[#This Row],[Digested feed, mg]]/Table3.110[[#This Row],[Net gas 24h, ml]]</f>
        <v>3.8128016613206057</v>
      </c>
      <c r="AP944" s="94">
        <f>Table3.110[[#This Row],[CH4 8h, ml]]/Table3.110[[#This Row],[Net gas 8h, ml]]%</f>
        <v>14.1</v>
      </c>
      <c r="AQ944" s="94">
        <f>Table3.110[[#This Row],[CH4 24h, ml]]/Table3.110[[#This Row],[Net gas 24h, ml]]%</f>
        <v>16.208177000410377</v>
      </c>
      <c r="AR944" s="94">
        <f>Table3.110[[#This Row],[CH4 24h, ml]]/Table3.110[[#This Row],[DM Incubated, mg]]*1000</f>
        <v>30.344445427346947</v>
      </c>
      <c r="AS944" s="94">
        <f>Table3.110[[#This Row],[CH4 24h, ml]]/Table3.110[[#This Row],[Digested feed, mg]]*1000</f>
        <v>42.509887584334756</v>
      </c>
      <c r="AT944" s="94">
        <f>Table3.110[[#This Row],[CH4 24h, ml]]/'3.2 Digest'!AA944</f>
        <v>0.35670312119025283</v>
      </c>
      <c r="AU944" s="94">
        <f>((Table3.110[[#This Row],[CH4 24h, ml]]/28.9)*16.04)/Table3.110[[#This Row],[DM Incubated, mg]]*1000</f>
        <v>16.841692202582873</v>
      </c>
      <c r="AV944" s="94">
        <f>((Table3.110[[#This Row],[CH4 24h, ml]]/28.9)*16.04)/Table3.110[[#This Row],[Digested feed, mg]]*1000</f>
        <v>23.593723074488913</v>
      </c>
    </row>
    <row r="945" spans="2:48" s="89" customFormat="1" x14ac:dyDescent="0.35">
      <c r="B945" s="90">
        <f t="shared" si="14"/>
        <v>935</v>
      </c>
      <c r="C945" s="140">
        <v>46078</v>
      </c>
      <c r="D945" s="6" t="s">
        <v>16</v>
      </c>
      <c r="E945" s="6" t="s">
        <v>337</v>
      </c>
      <c r="F945" s="6" t="s">
        <v>264</v>
      </c>
      <c r="G945" s="6" t="s">
        <v>265</v>
      </c>
      <c r="H945" s="6" t="s">
        <v>266</v>
      </c>
      <c r="I945" s="6" t="s">
        <v>22</v>
      </c>
      <c r="J945" s="129" t="s">
        <v>23</v>
      </c>
      <c r="K945" s="129" t="s">
        <v>215</v>
      </c>
      <c r="L945" s="6" t="s">
        <v>336</v>
      </c>
      <c r="M945" s="93">
        <v>29</v>
      </c>
      <c r="N945" s="93">
        <v>70</v>
      </c>
      <c r="O945" s="6">
        <v>3</v>
      </c>
      <c r="P945" s="6">
        <v>2</v>
      </c>
      <c r="Q945" s="6">
        <v>210</v>
      </c>
      <c r="R945" s="98">
        <v>0.50019999999999998</v>
      </c>
      <c r="S945" s="94">
        <f>((Table3.110[[#This Row],[Sample weight, g]]*'2.1. DM'!Q205)/100)*1000</f>
        <v>461.0652338705342</v>
      </c>
      <c r="T945" s="94">
        <f>'3.2 Digest'!W945</f>
        <v>277.16523387053428</v>
      </c>
      <c r="U945" s="153">
        <v>0.32777777777777778</v>
      </c>
      <c r="V945" s="155">
        <v>41.5</v>
      </c>
      <c r="W945" s="117">
        <v>0.66111111111111109</v>
      </c>
      <c r="X945" s="96">
        <v>87</v>
      </c>
      <c r="Y945" s="96">
        <v>13.7</v>
      </c>
      <c r="Z945" s="155">
        <v>40.5</v>
      </c>
      <c r="AA945" s="117">
        <v>0.33750000000000002</v>
      </c>
      <c r="AB945" s="155">
        <v>86.5</v>
      </c>
      <c r="AC945" s="155">
        <v>18.600000000000001</v>
      </c>
      <c r="AD945" s="96"/>
      <c r="AE945" s="94">
        <f>Table3.110[[#This Row],[Gas 8h, ml]]-Table3.110[[#This Row],[Gas 0h, ml]]</f>
        <v>45.5</v>
      </c>
      <c r="AF945" s="94">
        <f>Table3.110[[#This Row],[Gas 24h, ml]]-Table3.110[[#This Row],[V8 Push back, ml]]</f>
        <v>46</v>
      </c>
      <c r="AG945" s="94">
        <f>Table3.110[[#This Row],[GP 8h, ml]]-(AVERAGE(AE$934,AE$935,AE$958,AE$959))*$AG$8</f>
        <v>43.50873479879084</v>
      </c>
      <c r="AH945" s="94">
        <f>Table3.110[[#This Row],[GP 8-24h, ml]]-(AVERAGE(AF$934,AF$935,AF$958,AF$959))*$AG$8</f>
        <v>43.344979731721118</v>
      </c>
      <c r="AI945" s="94">
        <f>Table3.110[[#This Row],[Net gas 8-24h, ml]]+Table3.110[[#This Row],[Net gas 8h, ml]]</f>
        <v>86.853714530511951</v>
      </c>
      <c r="AJ945" s="94">
        <f>Table3.110[[#This Row],[Net gas 8h, ml]]*Table3.110[[#This Row],[CH4 8h %]]%</f>
        <v>5.9606966674343447</v>
      </c>
      <c r="AK945" s="94">
        <f>Table3.110[[#This Row],[Net gas 8-24h, ml]]*Table3.110[[#This Row],[CH4 24h, %]]%</f>
        <v>8.0621662301001287</v>
      </c>
      <c r="AL945" s="94">
        <f>Table3.110[[#This Row],[CH4 8-24h, ml]]+Table3.110[[#This Row],[CH4 8h, ml]]</f>
        <v>14.022862897534473</v>
      </c>
      <c r="AM945" s="94">
        <f>(Table3.110[[#This Row],[Net gas 24h, ml]]/Table3.110[[#This Row],[DM Incubated, mg]])*1000</f>
        <v>188.37619527587333</v>
      </c>
      <c r="AN945" s="94">
        <f>'3.2 Digest'!X945</f>
        <v>60.114103929241715</v>
      </c>
      <c r="AO945" s="94">
        <f>Table3.110[[#This Row],[Digested feed, mg]]/Table3.110[[#This Row],[Net gas 24h, ml]]</f>
        <v>3.1911730588467275</v>
      </c>
      <c r="AP945" s="94">
        <f>Table3.110[[#This Row],[CH4 8h, ml]]/Table3.110[[#This Row],[Net gas 8h, ml]]%</f>
        <v>13.7</v>
      </c>
      <c r="AQ945" s="94">
        <f>Table3.110[[#This Row],[CH4 24h, ml]]/Table3.110[[#This Row],[Net gas 24h, ml]]%</f>
        <v>16.14538073971287</v>
      </c>
      <c r="AR945" s="94">
        <f>Table3.110[[#This Row],[CH4 24h, ml]]/Table3.110[[#This Row],[DM Incubated, mg]]*1000</f>
        <v>30.414053950274752</v>
      </c>
      <c r="AS945" s="94">
        <f>Table3.110[[#This Row],[CH4 24h, ml]]/Table3.110[[#This Row],[Digested feed, mg]]*1000</f>
        <v>50.593873920293497</v>
      </c>
      <c r="AT945" s="94">
        <f>Table3.110[[#This Row],[CH4 24h, ml]]/'3.2 Digest'!AA945</f>
        <v>0.91569998632654859</v>
      </c>
      <c r="AU945" s="94">
        <f>((Table3.110[[#This Row],[CH4 24h, ml]]/28.9)*16.04)/Table3.110[[#This Row],[DM Incubated, mg]]*1000</f>
        <v>16.880326137107506</v>
      </c>
      <c r="AV945" s="94">
        <f>((Table3.110[[#This Row],[CH4 24h, ml]]/28.9)*16.04)/Table3.110[[#This Row],[Digested feed, mg]]*1000</f>
        <v>28.080475352301303</v>
      </c>
    </row>
    <row r="946" spans="2:48" s="89" customFormat="1" x14ac:dyDescent="0.35">
      <c r="B946" s="90">
        <f t="shared" si="14"/>
        <v>936</v>
      </c>
      <c r="C946" s="140">
        <v>46078</v>
      </c>
      <c r="D946" s="6" t="s">
        <v>16</v>
      </c>
      <c r="E946" s="6" t="s">
        <v>339</v>
      </c>
      <c r="F946" s="6" t="s">
        <v>219</v>
      </c>
      <c r="G946" s="6" t="s">
        <v>253</v>
      </c>
      <c r="H946" s="6" t="s">
        <v>254</v>
      </c>
      <c r="I946" s="6" t="s">
        <v>22</v>
      </c>
      <c r="J946" s="129" t="s">
        <v>23</v>
      </c>
      <c r="K946" s="129" t="s">
        <v>215</v>
      </c>
      <c r="L946" s="6" t="s">
        <v>338</v>
      </c>
      <c r="M946" s="93">
        <v>29</v>
      </c>
      <c r="N946" s="93">
        <v>70</v>
      </c>
      <c r="O946" s="6">
        <v>3</v>
      </c>
      <c r="P946" s="129">
        <v>1</v>
      </c>
      <c r="Q946" s="6">
        <v>211</v>
      </c>
      <c r="R946" s="98">
        <v>0.50029999999999997</v>
      </c>
      <c r="S946" s="94">
        <f>((Table3.110[[#This Row],[Sample weight, g]]*'2.1. DM'!Q207)/100)*1000</f>
        <v>453.30146185762817</v>
      </c>
      <c r="T946" s="94">
        <f>'3.2 Digest'!W946</f>
        <v>328.0014618576281</v>
      </c>
      <c r="U946" s="117">
        <v>0.32847222222222222</v>
      </c>
      <c r="V946" s="155">
        <v>40.5</v>
      </c>
      <c r="W946" s="117">
        <v>0.66111111111111109</v>
      </c>
      <c r="X946" s="96">
        <v>85.5</v>
      </c>
      <c r="Y946" s="96">
        <v>13.5</v>
      </c>
      <c r="Z946" s="155">
        <v>40</v>
      </c>
      <c r="AA946" s="117">
        <v>0.33819444444444446</v>
      </c>
      <c r="AB946" s="155">
        <v>86.5</v>
      </c>
      <c r="AC946" s="155">
        <v>16.3</v>
      </c>
      <c r="AD946" s="96"/>
      <c r="AE946" s="94">
        <f>Table3.110[[#This Row],[Gas 8h, ml]]-Table3.110[[#This Row],[Gas 0h, ml]]</f>
        <v>45</v>
      </c>
      <c r="AF946" s="94">
        <f>Table3.110[[#This Row],[Gas 24h, ml]]-Table3.110[[#This Row],[V8 Push back, ml]]</f>
        <v>46.5</v>
      </c>
      <c r="AG946" s="94">
        <f>Table3.110[[#This Row],[GP 8h, ml]]-(AVERAGE(AE$934,AE$935,AE$958,AE$959))*$AG$8</f>
        <v>43.00873479879084</v>
      </c>
      <c r="AH946" s="94">
        <f>Table3.110[[#This Row],[GP 8-24h, ml]]-(AVERAGE(AF$934,AF$935,AF$958,AF$959))*$AG$8</f>
        <v>43.844979731721118</v>
      </c>
      <c r="AI946" s="94">
        <f>Table3.110[[#This Row],[Net gas 8-24h, ml]]+Table3.110[[#This Row],[Net gas 8h, ml]]</f>
        <v>86.853714530511951</v>
      </c>
      <c r="AJ946" s="94">
        <f>Table3.110[[#This Row],[Net gas 8h, ml]]*Table3.110[[#This Row],[CH4 8h %]]%</f>
        <v>5.8061791978367641</v>
      </c>
      <c r="AK946" s="94">
        <f>Table3.110[[#This Row],[Net gas 8-24h, ml]]*Table3.110[[#This Row],[CH4 24h, %]]%</f>
        <v>7.1467316962705425</v>
      </c>
      <c r="AL946" s="94">
        <f>Table3.110[[#This Row],[CH4 8-24h, ml]]+Table3.110[[#This Row],[CH4 8h, ml]]</f>
        <v>12.952910894107307</v>
      </c>
      <c r="AM946" s="94">
        <f>(Table3.110[[#This Row],[Net gas 24h, ml]]/Table3.110[[#This Row],[DM Incubated, mg]])*1000</f>
        <v>191.6025467347616</v>
      </c>
      <c r="AN946" s="94">
        <f>'3.2 Digest'!X946</f>
        <v>72.358350779077355</v>
      </c>
      <c r="AO946" s="94">
        <f>Table3.110[[#This Row],[Digested feed, mg]]/Table3.110[[#This Row],[Net gas 24h, ml]]</f>
        <v>3.7764816810730677</v>
      </c>
      <c r="AP946" s="94">
        <f>Table3.110[[#This Row],[CH4 8h, ml]]/Table3.110[[#This Row],[Net gas 8h, ml]]%</f>
        <v>13.500000000000002</v>
      </c>
      <c r="AQ946" s="94">
        <f>Table3.110[[#This Row],[CH4 24h, ml]]/Table3.110[[#This Row],[Net gas 24h, ml]]%</f>
        <v>14.913479479978848</v>
      </c>
      <c r="AR946" s="94">
        <f>Table3.110[[#This Row],[CH4 24h, ml]]/Table3.110[[#This Row],[DM Incubated, mg]]*1000</f>
        <v>28.57460649040555</v>
      </c>
      <c r="AS946" s="94">
        <f>Table3.110[[#This Row],[CH4 24h, ml]]/Table3.110[[#This Row],[Digested feed, mg]]*1000</f>
        <v>39.490405990109977</v>
      </c>
      <c r="AT946" s="94">
        <f>Table3.110[[#This Row],[CH4 24h, ml]]/'3.2 Digest'!AA946</f>
        <v>0.30460918174027352</v>
      </c>
      <c r="AU946" s="94">
        <f>((Table3.110[[#This Row],[CH4 24h, ml]]/28.9)*16.04)/Table3.110[[#This Row],[DM Incubated, mg]]*1000</f>
        <v>15.859400972529583</v>
      </c>
      <c r="AV946" s="94">
        <f>((Table3.110[[#This Row],[CH4 24h, ml]]/28.9)*16.04)/Table3.110[[#This Row],[Digested feed, mg]]*1000</f>
        <v>21.917858549528166</v>
      </c>
    </row>
    <row r="947" spans="2:48" s="89" customFormat="1" x14ac:dyDescent="0.35">
      <c r="B947" s="90">
        <f t="shared" si="14"/>
        <v>937</v>
      </c>
      <c r="C947" s="140">
        <v>46078</v>
      </c>
      <c r="D947" s="6" t="s">
        <v>16</v>
      </c>
      <c r="E947" s="6" t="s">
        <v>339</v>
      </c>
      <c r="F947" s="6" t="s">
        <v>219</v>
      </c>
      <c r="G947" s="6" t="s">
        <v>253</v>
      </c>
      <c r="H947" s="6" t="s">
        <v>254</v>
      </c>
      <c r="I947" s="6" t="s">
        <v>22</v>
      </c>
      <c r="J947" s="129" t="s">
        <v>23</v>
      </c>
      <c r="K947" s="129" t="s">
        <v>215</v>
      </c>
      <c r="L947" s="6" t="s">
        <v>338</v>
      </c>
      <c r="M947" s="93">
        <v>29</v>
      </c>
      <c r="N947" s="93">
        <v>70</v>
      </c>
      <c r="O947" s="6">
        <v>3</v>
      </c>
      <c r="P947" s="6">
        <v>2</v>
      </c>
      <c r="Q947" s="6">
        <v>212</v>
      </c>
      <c r="R947" s="98">
        <v>0.50019999999999998</v>
      </c>
      <c r="S947" s="94">
        <f>((Table3.110[[#This Row],[Sample weight, g]]*'2.1. DM'!Q207)/100)*1000</f>
        <v>453.21085592881388</v>
      </c>
      <c r="T947" s="94">
        <f>'3.2 Digest'!W947</f>
        <v>336.51085592881384</v>
      </c>
      <c r="U947" s="153">
        <v>0.32847222222222222</v>
      </c>
      <c r="V947" s="154">
        <v>40.5</v>
      </c>
      <c r="W947" s="153">
        <v>0.66180555555555554</v>
      </c>
      <c r="X947" s="91">
        <v>86.5</v>
      </c>
      <c r="Y947" s="91">
        <v>13.5</v>
      </c>
      <c r="Z947" s="154">
        <v>40.5</v>
      </c>
      <c r="AA947" s="153">
        <v>0.33888888888888891</v>
      </c>
      <c r="AB947" s="154">
        <v>87.5</v>
      </c>
      <c r="AC947" s="154">
        <v>16.100000000000001</v>
      </c>
      <c r="AD947" s="91"/>
      <c r="AE947" s="94">
        <f>Table3.110[[#This Row],[Gas 8h, ml]]-Table3.110[[#This Row],[Gas 0h, ml]]</f>
        <v>46</v>
      </c>
      <c r="AF947" s="94">
        <f>Table3.110[[#This Row],[Gas 24h, ml]]-Table3.110[[#This Row],[V8 Push back, ml]]</f>
        <v>47</v>
      </c>
      <c r="AG947" s="94">
        <f>Table3.110[[#This Row],[GP 8h, ml]]-(AVERAGE(AE$934,AE$935,AE$958,AE$959))*$AG$8</f>
        <v>44.00873479879084</v>
      </c>
      <c r="AH947" s="94">
        <f>Table3.110[[#This Row],[GP 8-24h, ml]]-(AVERAGE(AF$934,AF$935,AF$958,AF$959))*$AG$8</f>
        <v>44.344979731721118</v>
      </c>
      <c r="AI947" s="94">
        <f>Table3.110[[#This Row],[Net gas 8-24h, ml]]+Table3.110[[#This Row],[Net gas 8h, ml]]</f>
        <v>88.353714530511951</v>
      </c>
      <c r="AJ947" s="94">
        <f>Table3.110[[#This Row],[Net gas 8h, ml]]*Table3.110[[#This Row],[CH4 8h %]]%</f>
        <v>5.9411791978367638</v>
      </c>
      <c r="AK947" s="94">
        <f>Table3.110[[#This Row],[Net gas 8-24h, ml]]*Table3.110[[#This Row],[CH4 24h, %]]%</f>
        <v>7.1395417368071001</v>
      </c>
      <c r="AL947" s="94">
        <f>Table3.110[[#This Row],[CH4 8-24h, ml]]+Table3.110[[#This Row],[CH4 8h, ml]]</f>
        <v>13.080720934643864</v>
      </c>
      <c r="AM947" s="94">
        <f>(Table3.110[[#This Row],[Net gas 24h, ml]]/Table3.110[[#This Row],[DM Incubated, mg]])*1000</f>
        <v>194.95056964034799</v>
      </c>
      <c r="AN947" s="94">
        <f>'3.2 Digest'!X947</f>
        <v>74.250396151514479</v>
      </c>
      <c r="AO947" s="94">
        <f>Table3.110[[#This Row],[Digested feed, mg]]/Table3.110[[#This Row],[Net gas 24h, ml]]</f>
        <v>3.8086780812435865</v>
      </c>
      <c r="AP947" s="94">
        <f>Table3.110[[#This Row],[CH4 8h, ml]]/Table3.110[[#This Row],[Net gas 8h, ml]]%</f>
        <v>13.500000000000002</v>
      </c>
      <c r="AQ947" s="94">
        <f>Table3.110[[#This Row],[CH4 24h, ml]]/Table3.110[[#This Row],[Net gas 24h, ml]]%</f>
        <v>14.804947368824642</v>
      </c>
      <c r="AR947" s="94">
        <f>Table3.110[[#This Row],[CH4 24h, ml]]/Table3.110[[#This Row],[DM Incubated, mg]]*1000</f>
        <v>28.86232923047735</v>
      </c>
      <c r="AS947" s="94">
        <f>Table3.110[[#This Row],[CH4 24h, ml]]/Table3.110[[#This Row],[Digested feed, mg]]*1000</f>
        <v>38.871616484821473</v>
      </c>
      <c r="AT947" s="94">
        <f>Table3.110[[#This Row],[CH4 24h, ml]]/'3.2 Digest'!AA947</f>
        <v>0.28156442730295844</v>
      </c>
      <c r="AU947" s="94">
        <f>((Table3.110[[#This Row],[CH4 24h, ml]]/28.9)*16.04)/Table3.110[[#This Row],[DM Incubated, mg]]*1000</f>
        <v>16.01909207117151</v>
      </c>
      <c r="AV947" s="94">
        <f>((Table3.110[[#This Row],[CH4 24h, ml]]/28.9)*16.04)/Table3.110[[#This Row],[Digested feed, mg]]*1000</f>
        <v>21.574419668392263</v>
      </c>
    </row>
    <row r="948" spans="2:48" s="89" customFormat="1" x14ac:dyDescent="0.35">
      <c r="B948" s="90">
        <f t="shared" si="14"/>
        <v>938</v>
      </c>
      <c r="C948" s="140">
        <v>46078</v>
      </c>
      <c r="D948" s="6" t="s">
        <v>16</v>
      </c>
      <c r="E948" s="6" t="s">
        <v>341</v>
      </c>
      <c r="F948" s="6" t="s">
        <v>333</v>
      </c>
      <c r="G948" s="6" t="s">
        <v>334</v>
      </c>
      <c r="H948" s="6" t="s">
        <v>335</v>
      </c>
      <c r="I948" s="6" t="s">
        <v>22</v>
      </c>
      <c r="J948" s="129" t="s">
        <v>23</v>
      </c>
      <c r="K948" s="129" t="s">
        <v>303</v>
      </c>
      <c r="L948" s="6" t="s">
        <v>340</v>
      </c>
      <c r="M948" s="93">
        <v>29</v>
      </c>
      <c r="N948" s="93">
        <v>70</v>
      </c>
      <c r="O948" s="6">
        <v>3</v>
      </c>
      <c r="P948" s="129">
        <v>1</v>
      </c>
      <c r="Q948" s="6">
        <v>213</v>
      </c>
      <c r="R948" s="98">
        <v>0.5</v>
      </c>
      <c r="S948" s="94">
        <f>((Table3.110[[#This Row],[Sample weight, g]]*'2.1. DM'!Q209)/100)*1000</f>
        <v>462.39566355139465</v>
      </c>
      <c r="T948" s="94">
        <f>'3.2 Digest'!W948</f>
        <v>289.69566355139455</v>
      </c>
      <c r="U948" s="156">
        <v>0.32847222222222222</v>
      </c>
      <c r="V948" s="154">
        <v>41</v>
      </c>
      <c r="W948" s="153">
        <v>0.66180555555555554</v>
      </c>
      <c r="X948" s="91">
        <v>90</v>
      </c>
      <c r="Y948" s="91">
        <v>13.7</v>
      </c>
      <c r="Z948" s="154">
        <v>40.5</v>
      </c>
      <c r="AA948" s="153">
        <v>0.34027777777777779</v>
      </c>
      <c r="AB948" s="154">
        <v>88.5</v>
      </c>
      <c r="AC948" s="154">
        <v>16.2</v>
      </c>
      <c r="AD948" s="91"/>
      <c r="AE948" s="94">
        <f>Table3.110[[#This Row],[Gas 8h, ml]]-Table3.110[[#This Row],[Gas 0h, ml]]</f>
        <v>49</v>
      </c>
      <c r="AF948" s="94">
        <f>Table3.110[[#This Row],[Gas 24h, ml]]-Table3.110[[#This Row],[V8 Push back, ml]]</f>
        <v>48</v>
      </c>
      <c r="AG948" s="94">
        <f>Table3.110[[#This Row],[GP 8h, ml]]-(AVERAGE(AE$934,AE$935,AE$958,AE$959))*$AG$8</f>
        <v>47.00873479879084</v>
      </c>
      <c r="AH948" s="94">
        <f>Table3.110[[#This Row],[GP 8-24h, ml]]-(AVERAGE(AF$934,AF$935,AF$958,AF$959))*$AG$8</f>
        <v>45.344979731721118</v>
      </c>
      <c r="AI948" s="94">
        <f>Table3.110[[#This Row],[Net gas 8-24h, ml]]+Table3.110[[#This Row],[Net gas 8h, ml]]</f>
        <v>92.353714530511951</v>
      </c>
      <c r="AJ948" s="94">
        <f>Table3.110[[#This Row],[Net gas 8h, ml]]*Table3.110[[#This Row],[CH4 8h %]]%</f>
        <v>6.4401966674343445</v>
      </c>
      <c r="AK948" s="94">
        <f>Table3.110[[#This Row],[Net gas 8-24h, ml]]*Table3.110[[#This Row],[CH4 24h, %]]%</f>
        <v>7.3458867165388213</v>
      </c>
      <c r="AL948" s="94">
        <f>Table3.110[[#This Row],[CH4 8-24h, ml]]+Table3.110[[#This Row],[CH4 8h, ml]]</f>
        <v>13.786083383973166</v>
      </c>
      <c r="AM948" s="94">
        <f>(Table3.110[[#This Row],[Net gas 24h, ml]]/Table3.110[[#This Row],[DM Incubated, mg]])*1000</f>
        <v>199.72876436858485</v>
      </c>
      <c r="AN948" s="94">
        <f>'3.2 Digest'!X948</f>
        <v>62.651033819480283</v>
      </c>
      <c r="AO948" s="94">
        <f>Table3.110[[#This Row],[Digested feed, mg]]/Table3.110[[#This Row],[Net gas 24h, ml]]</f>
        <v>3.1368057584265814</v>
      </c>
      <c r="AP948" s="94">
        <f>Table3.110[[#This Row],[CH4 8h, ml]]/Table3.110[[#This Row],[Net gas 8h, ml]]%</f>
        <v>13.7</v>
      </c>
      <c r="AQ948" s="94">
        <f>Table3.110[[#This Row],[CH4 24h, ml]]/Table3.110[[#This Row],[Net gas 24h, ml]]%</f>
        <v>14.927481210751409</v>
      </c>
      <c r="AR948" s="94">
        <f>Table3.110[[#This Row],[CH4 24h, ml]]/Table3.110[[#This Row],[DM Incubated, mg]]*1000</f>
        <v>29.814473773586464</v>
      </c>
      <c r="AS948" s="94">
        <f>Table3.110[[#This Row],[CH4 24h, ml]]/Table3.110[[#This Row],[Digested feed, mg]]*1000</f>
        <v>47.588159294374094</v>
      </c>
      <c r="AT948" s="94">
        <f>Table3.110[[#This Row],[CH4 24h, ml]]/'3.2 Digest'!AA948</f>
        <v>0.76899847243470143</v>
      </c>
      <c r="AU948" s="94">
        <f>((Table3.110[[#This Row],[CH4 24h, ml]]/28.9)*16.04)/Table3.110[[#This Row],[DM Incubated, mg]]*1000</f>
        <v>16.547548765686052</v>
      </c>
      <c r="AV948" s="94">
        <f>((Table3.110[[#This Row],[CH4 24h, ml]]/28.9)*16.04)/Table3.110[[#This Row],[Digested feed, mg]]*1000</f>
        <v>26.412251732932887</v>
      </c>
    </row>
    <row r="949" spans="2:48" s="89" customFormat="1" x14ac:dyDescent="0.35">
      <c r="B949" s="90">
        <f t="shared" si="14"/>
        <v>939</v>
      </c>
      <c r="C949" s="140">
        <v>46078</v>
      </c>
      <c r="D949" s="6" t="s">
        <v>16</v>
      </c>
      <c r="E949" s="6" t="s">
        <v>341</v>
      </c>
      <c r="F949" s="6" t="s">
        <v>333</v>
      </c>
      <c r="G949" s="6" t="s">
        <v>334</v>
      </c>
      <c r="H949" s="6" t="s">
        <v>335</v>
      </c>
      <c r="I949" s="6" t="s">
        <v>22</v>
      </c>
      <c r="J949" s="129" t="s">
        <v>23</v>
      </c>
      <c r="K949" s="129" t="s">
        <v>303</v>
      </c>
      <c r="L949" s="6" t="s">
        <v>340</v>
      </c>
      <c r="M949" s="93">
        <v>29</v>
      </c>
      <c r="N949" s="93">
        <v>70</v>
      </c>
      <c r="O949" s="6">
        <v>3</v>
      </c>
      <c r="P949" s="6">
        <v>2</v>
      </c>
      <c r="Q949" s="6">
        <v>214</v>
      </c>
      <c r="R949" s="98">
        <v>0.50019999999999998</v>
      </c>
      <c r="S949" s="94">
        <f>((Table3.110[[#This Row],[Sample weight, g]]*'2.1. DM'!Q209)/100)*1000</f>
        <v>462.58062181681515</v>
      </c>
      <c r="T949" s="94">
        <f>'3.2 Digest'!W949</f>
        <v>290.5806218168151</v>
      </c>
      <c r="U949" s="117">
        <v>0.32916666666666666</v>
      </c>
      <c r="V949" s="155">
        <v>40.5</v>
      </c>
      <c r="W949" s="117">
        <v>0.66249999999999998</v>
      </c>
      <c r="X949" s="96">
        <v>90</v>
      </c>
      <c r="Y949" s="96">
        <v>13.5</v>
      </c>
      <c r="Z949" s="155">
        <v>40</v>
      </c>
      <c r="AA949" s="117">
        <v>0.34027777777777779</v>
      </c>
      <c r="AB949" s="155">
        <v>86.5</v>
      </c>
      <c r="AC949" s="155">
        <v>16.100000000000001</v>
      </c>
      <c r="AD949" s="96"/>
      <c r="AE949" s="94">
        <f>Table3.110[[#This Row],[Gas 8h, ml]]-Table3.110[[#This Row],[Gas 0h, ml]]</f>
        <v>49.5</v>
      </c>
      <c r="AF949" s="94">
        <f>Table3.110[[#This Row],[Gas 24h, ml]]-Table3.110[[#This Row],[V8 Push back, ml]]</f>
        <v>46.5</v>
      </c>
      <c r="AG949" s="94">
        <f>Table3.110[[#This Row],[GP 8h, ml]]-(AVERAGE(AE$934,AE$935,AE$958,AE$959))*$AG$8</f>
        <v>47.50873479879084</v>
      </c>
      <c r="AH949" s="94">
        <f>Table3.110[[#This Row],[GP 8-24h, ml]]-(AVERAGE(AF$934,AF$935,AF$958,AF$959))*$AG$8</f>
        <v>43.844979731721118</v>
      </c>
      <c r="AI949" s="94">
        <f>Table3.110[[#This Row],[Net gas 8-24h, ml]]+Table3.110[[#This Row],[Net gas 8h, ml]]</f>
        <v>91.353714530511951</v>
      </c>
      <c r="AJ949" s="94">
        <f>Table3.110[[#This Row],[Net gas 8h, ml]]*Table3.110[[#This Row],[CH4 8h %]]%</f>
        <v>6.413679197836764</v>
      </c>
      <c r="AK949" s="94">
        <f>Table3.110[[#This Row],[Net gas 8-24h, ml]]*Table3.110[[#This Row],[CH4 24h, %]]%</f>
        <v>7.0590417368071003</v>
      </c>
      <c r="AL949" s="94">
        <f>Table3.110[[#This Row],[CH4 8-24h, ml]]+Table3.110[[#This Row],[CH4 8h, ml]]</f>
        <v>13.472720934643863</v>
      </c>
      <c r="AM949" s="94">
        <f>(Table3.110[[#This Row],[Net gas 24h, ml]]/Table3.110[[#This Row],[DM Incubated, mg]])*1000</f>
        <v>197.48711948138762</v>
      </c>
      <c r="AN949" s="94">
        <f>'3.2 Digest'!X949</f>
        <v>62.817292405276518</v>
      </c>
      <c r="AO949" s="94">
        <f>Table3.110[[#This Row],[Digested feed, mg]]/Table3.110[[#This Row],[Net gas 24h, ml]]</f>
        <v>3.1808298470420899</v>
      </c>
      <c r="AP949" s="94">
        <f>Table3.110[[#This Row],[CH4 8h, ml]]/Table3.110[[#This Row],[Net gas 8h, ml]]%</f>
        <v>13.5</v>
      </c>
      <c r="AQ949" s="94">
        <f>Table3.110[[#This Row],[CH4 24h, ml]]/Table3.110[[#This Row],[Net gas 24h, ml]]%</f>
        <v>14.747863295853177</v>
      </c>
      <c r="AR949" s="94">
        <f>Table3.110[[#This Row],[CH4 24h, ml]]/Table3.110[[#This Row],[DM Incubated, mg]]*1000</f>
        <v>29.125130408033275</v>
      </c>
      <c r="AS949" s="94">
        <f>Table3.110[[#This Row],[CH4 24h, ml]]/Table3.110[[#This Row],[Digested feed, mg]]*1000</f>
        <v>46.364829321403271</v>
      </c>
      <c r="AT949" s="94">
        <f>Table3.110[[#This Row],[CH4 24h, ml]]/'3.2 Digest'!AA949</f>
        <v>0.73650934618855768</v>
      </c>
      <c r="AU949" s="94">
        <f>((Table3.110[[#This Row],[CH4 24h, ml]]/28.9)*16.04)/Table3.110[[#This Row],[DM Incubated, mg]]*1000</f>
        <v>16.164951271448224</v>
      </c>
      <c r="AV949" s="94">
        <f>((Table3.110[[#This Row],[CH4 24h, ml]]/28.9)*16.04)/Table3.110[[#This Row],[Digested feed, mg]]*1000</f>
        <v>25.733282433055656</v>
      </c>
    </row>
    <row r="950" spans="2:48" s="89" customFormat="1" x14ac:dyDescent="0.35">
      <c r="B950" s="90">
        <f t="shared" si="14"/>
        <v>940</v>
      </c>
      <c r="C950" s="140">
        <v>46078</v>
      </c>
      <c r="D950" s="6" t="s">
        <v>16</v>
      </c>
      <c r="E950" s="6" t="s">
        <v>343</v>
      </c>
      <c r="F950" s="6" t="s">
        <v>212</v>
      </c>
      <c r="G950" s="6" t="s">
        <v>301</v>
      </c>
      <c r="H950" s="6" t="s">
        <v>302</v>
      </c>
      <c r="I950" s="6" t="s">
        <v>22</v>
      </c>
      <c r="J950" s="129" t="s">
        <v>23</v>
      </c>
      <c r="K950" s="129" t="s">
        <v>303</v>
      </c>
      <c r="L950" s="6" t="s">
        <v>342</v>
      </c>
      <c r="M950" s="93">
        <v>29</v>
      </c>
      <c r="N950" s="93">
        <v>70</v>
      </c>
      <c r="O950" s="6">
        <v>3</v>
      </c>
      <c r="P950" s="129">
        <v>1</v>
      </c>
      <c r="Q950" s="6">
        <v>215</v>
      </c>
      <c r="R950" s="98">
        <v>0.50060000000000004</v>
      </c>
      <c r="S950" s="94">
        <f>((Table3.110[[#This Row],[Sample weight, g]]*'2.1. DM'!Q211)/100)*1000</f>
        <v>463.38410370925857</v>
      </c>
      <c r="T950" s="94">
        <f>'3.2 Digest'!W950</f>
        <v>174.28410370925855</v>
      </c>
      <c r="U950" s="117">
        <v>0.32916666666666666</v>
      </c>
      <c r="V950" s="155">
        <v>40.5</v>
      </c>
      <c r="W950" s="117">
        <v>0.66249999999999998</v>
      </c>
      <c r="X950" s="96">
        <v>88.5</v>
      </c>
      <c r="Y950" s="96">
        <v>13.9</v>
      </c>
      <c r="Z950" s="155">
        <v>40</v>
      </c>
      <c r="AA950" s="117">
        <v>0.34097222222222223</v>
      </c>
      <c r="AB950" s="155">
        <v>88</v>
      </c>
      <c r="AC950" s="155">
        <v>17.2</v>
      </c>
      <c r="AD950" s="96"/>
      <c r="AE950" s="94">
        <f>Table3.110[[#This Row],[Gas 8h, ml]]-Table3.110[[#This Row],[Gas 0h, ml]]</f>
        <v>48</v>
      </c>
      <c r="AF950" s="94">
        <f>Table3.110[[#This Row],[Gas 24h, ml]]-Table3.110[[#This Row],[V8 Push back, ml]]</f>
        <v>48</v>
      </c>
      <c r="AG950" s="94">
        <f>Table3.110[[#This Row],[GP 8h, ml]]-(AVERAGE(AE$934,AE$935,AE$958,AE$959))*$AG$8</f>
        <v>46.00873479879084</v>
      </c>
      <c r="AH950" s="94">
        <f>Table3.110[[#This Row],[GP 8-24h, ml]]-(AVERAGE(AF$934,AF$935,AF$958,AF$959))*$AG$8</f>
        <v>45.344979731721118</v>
      </c>
      <c r="AI950" s="94">
        <f>Table3.110[[#This Row],[Net gas 8-24h, ml]]+Table3.110[[#This Row],[Net gas 8h, ml]]</f>
        <v>91.353714530511951</v>
      </c>
      <c r="AJ950" s="94">
        <f>Table3.110[[#This Row],[Net gas 8h, ml]]*Table3.110[[#This Row],[CH4 8h %]]%</f>
        <v>6.3952141370319273</v>
      </c>
      <c r="AK950" s="94">
        <f>Table3.110[[#This Row],[Net gas 8-24h, ml]]*Table3.110[[#This Row],[CH4 24h, %]]%</f>
        <v>7.7993365138560318</v>
      </c>
      <c r="AL950" s="94">
        <f>Table3.110[[#This Row],[CH4 8-24h, ml]]+Table3.110[[#This Row],[CH4 8h, ml]]</f>
        <v>14.194550650887958</v>
      </c>
      <c r="AM950" s="94">
        <f>(Table3.110[[#This Row],[Net gas 24h, ml]]/Table3.110[[#This Row],[DM Incubated, mg]])*1000</f>
        <v>197.14468795811362</v>
      </c>
      <c r="AN950" s="94">
        <f>'3.2 Digest'!X950</f>
        <v>37.611152888966984</v>
      </c>
      <c r="AO950" s="94">
        <f>Table3.110[[#This Row],[Digested feed, mg]]/Table3.110[[#This Row],[Net gas 24h, ml]]</f>
        <v>1.9077943858653719</v>
      </c>
      <c r="AP950" s="94">
        <f>Table3.110[[#This Row],[CH4 8h, ml]]/Table3.110[[#This Row],[Net gas 8h, ml]]%</f>
        <v>13.9</v>
      </c>
      <c r="AQ950" s="94">
        <f>Table3.110[[#This Row],[CH4 24h, ml]]/Table3.110[[#This Row],[Net gas 24h, ml]]%</f>
        <v>15.538011479705084</v>
      </c>
      <c r="AR950" s="94">
        <f>Table3.110[[#This Row],[CH4 24h, ml]]/Table3.110[[#This Row],[DM Incubated, mg]]*1000</f>
        <v>30.632364246560464</v>
      </c>
      <c r="AS950" s="94">
        <f>Table3.110[[#This Row],[CH4 24h, ml]]/Table3.110[[#This Row],[Digested feed, mg]]*1000</f>
        <v>81.444895712160687</v>
      </c>
      <c r="AT950" s="94">
        <f>Table3.110[[#This Row],[CH4 24h, ml]]/'3.2 Digest'!AA950</f>
        <v>-3.2393187081319428</v>
      </c>
      <c r="AU950" s="94">
        <f>((Table3.110[[#This Row],[CH4 24h, ml]]/28.9)*16.04)/Table3.110[[#This Row],[DM Incubated, mg]]*1000</f>
        <v>17.001492128540828</v>
      </c>
      <c r="AV950" s="94">
        <f>((Table3.110[[#This Row],[CH4 24h, ml]]/28.9)*16.04)/Table3.110[[#This Row],[Digested feed, mg]]*1000</f>
        <v>45.203326201489872</v>
      </c>
    </row>
    <row r="951" spans="2:48" s="89" customFormat="1" x14ac:dyDescent="0.35">
      <c r="B951" s="90">
        <f t="shared" si="14"/>
        <v>941</v>
      </c>
      <c r="C951" s="140">
        <v>46078</v>
      </c>
      <c r="D951" s="6" t="s">
        <v>16</v>
      </c>
      <c r="E951" s="6" t="s">
        <v>343</v>
      </c>
      <c r="F951" s="6" t="s">
        <v>212</v>
      </c>
      <c r="G951" s="6" t="s">
        <v>301</v>
      </c>
      <c r="H951" s="6" t="s">
        <v>302</v>
      </c>
      <c r="I951" s="6" t="s">
        <v>22</v>
      </c>
      <c r="J951" s="129" t="s">
        <v>23</v>
      </c>
      <c r="K951" s="129" t="s">
        <v>303</v>
      </c>
      <c r="L951" s="6" t="s">
        <v>342</v>
      </c>
      <c r="M951" s="93">
        <v>29</v>
      </c>
      <c r="N951" s="93">
        <v>70</v>
      </c>
      <c r="O951" s="6">
        <v>3</v>
      </c>
      <c r="P951" s="129">
        <v>2</v>
      </c>
      <c r="Q951" s="6">
        <v>216</v>
      </c>
      <c r="R951" s="98">
        <v>0.50019999999999998</v>
      </c>
      <c r="S951" s="94">
        <f>((Table3.110[[#This Row],[Sample weight, g]]*'2.1. DM'!Q211)/100)*1000</f>
        <v>463.01384074185205</v>
      </c>
      <c r="T951" s="94">
        <f>'3.2 Digest'!W951</f>
        <v>196.01384074185205</v>
      </c>
      <c r="U951" s="153">
        <v>0.32916666666666666</v>
      </c>
      <c r="V951" s="154">
        <v>40.5</v>
      </c>
      <c r="W951" s="153">
        <v>0.66319444444444442</v>
      </c>
      <c r="X951" s="91">
        <v>77.5</v>
      </c>
      <c r="Y951" s="91">
        <v>14.1</v>
      </c>
      <c r="Z951" s="154">
        <v>40</v>
      </c>
      <c r="AA951" s="153">
        <v>0.34097222222222223</v>
      </c>
      <c r="AB951" s="154">
        <v>76.5</v>
      </c>
      <c r="AC951" s="154">
        <v>17.5</v>
      </c>
      <c r="AD951" s="91"/>
      <c r="AE951" s="94">
        <f>Table3.110[[#This Row],[Gas 8h, ml]]-Table3.110[[#This Row],[Gas 0h, ml]]</f>
        <v>37</v>
      </c>
      <c r="AF951" s="94">
        <f>Table3.110[[#This Row],[Gas 24h, ml]]-Table3.110[[#This Row],[V8 Push back, ml]]</f>
        <v>36.5</v>
      </c>
      <c r="AG951" s="94">
        <f>Table3.110[[#This Row],[GP 8h, ml]]-(AVERAGE(AE$934,AE$935,AE$958,AE$959))*$AG$8</f>
        <v>35.00873479879084</v>
      </c>
      <c r="AH951" s="94">
        <f>Table3.110[[#This Row],[GP 8-24h, ml]]-(AVERAGE(AF$934,AF$935,AF$958,AF$959))*$AG$8</f>
        <v>33.844979731721118</v>
      </c>
      <c r="AI951" s="94">
        <f>Table3.110[[#This Row],[Net gas 8-24h, ml]]+Table3.110[[#This Row],[Net gas 8h, ml]]</f>
        <v>68.853714530511951</v>
      </c>
      <c r="AJ951" s="94">
        <f>Table3.110[[#This Row],[Net gas 8h, ml]]*Table3.110[[#This Row],[CH4 8h %]]%</f>
        <v>4.9362316066295078</v>
      </c>
      <c r="AK951" s="94">
        <f>Table3.110[[#This Row],[Net gas 8-24h, ml]]*Table3.110[[#This Row],[CH4 24h, %]]%</f>
        <v>5.9228714530511954</v>
      </c>
      <c r="AL951" s="94">
        <f>Table3.110[[#This Row],[CH4 8-24h, ml]]+Table3.110[[#This Row],[CH4 8h, ml]]</f>
        <v>10.859103059680702</v>
      </c>
      <c r="AM951" s="94">
        <f>(Table3.110[[#This Row],[Net gas 24h, ml]]/Table3.110[[#This Row],[DM Incubated, mg]])*1000</f>
        <v>148.70768100623698</v>
      </c>
      <c r="AN951" s="94">
        <f>'3.2 Digest'!X951</f>
        <v>42.334337225814657</v>
      </c>
      <c r="AO951" s="94">
        <f>Table3.110[[#This Row],[Digested feed, mg]]/Table3.110[[#This Row],[Net gas 24h, ml]]</f>
        <v>2.8468157757122916</v>
      </c>
      <c r="AP951" s="94">
        <f>Table3.110[[#This Row],[CH4 8h, ml]]/Table3.110[[#This Row],[Net gas 8h, ml]]%</f>
        <v>14.099999999999998</v>
      </c>
      <c r="AQ951" s="94">
        <f>Table3.110[[#This Row],[CH4 24h, ml]]/Table3.110[[#This Row],[Net gas 24h, ml]]%</f>
        <v>15.771266857169456</v>
      </c>
      <c r="AR951" s="94">
        <f>Table3.110[[#This Row],[CH4 24h, ml]]/Table3.110[[#This Row],[DM Incubated, mg]]*1000</f>
        <v>23.453085208601937</v>
      </c>
      <c r="AS951" s="94">
        <f>Table3.110[[#This Row],[CH4 24h, ml]]/Table3.110[[#This Row],[Digested feed, mg]]*1000</f>
        <v>55.399674934088019</v>
      </c>
      <c r="AT951" s="94">
        <f>Table3.110[[#This Row],[CH4 24h, ml]]/'3.2 Digest'!AA951</f>
        <v>3.0846729981288354</v>
      </c>
      <c r="AU951" s="94">
        <f>((Table3.110[[#This Row],[CH4 24h, ml]]/28.9)*16.04)/Table3.110[[#This Row],[DM Incubated, mg]]*1000</f>
        <v>13.016868053493946</v>
      </c>
      <c r="AV951" s="94">
        <f>((Table3.110[[#This Row],[CH4 24h, ml]]/28.9)*16.04)/Table3.110[[#This Row],[Digested feed, mg]]*1000</f>
        <v>30.747778060303524</v>
      </c>
    </row>
    <row r="952" spans="2:48" s="89" customFormat="1" x14ac:dyDescent="0.35">
      <c r="B952" s="90">
        <f t="shared" si="14"/>
        <v>942</v>
      </c>
      <c r="C952" s="140">
        <v>46078</v>
      </c>
      <c r="D952" s="6" t="s">
        <v>16</v>
      </c>
      <c r="E952" s="6" t="s">
        <v>345</v>
      </c>
      <c r="F952" s="6" t="s">
        <v>346</v>
      </c>
      <c r="G952" s="6" t="s">
        <v>347</v>
      </c>
      <c r="H952" s="6" t="s">
        <v>348</v>
      </c>
      <c r="I952" s="6" t="s">
        <v>22</v>
      </c>
      <c r="J952" s="129" t="s">
        <v>23</v>
      </c>
      <c r="K952" s="129" t="s">
        <v>303</v>
      </c>
      <c r="L952" s="6" t="s">
        <v>344</v>
      </c>
      <c r="M952" s="93">
        <v>29</v>
      </c>
      <c r="N952" s="93">
        <v>70</v>
      </c>
      <c r="O952" s="6">
        <v>3</v>
      </c>
      <c r="P952" s="6">
        <v>1</v>
      </c>
      <c r="Q952" s="6">
        <v>217</v>
      </c>
      <c r="R952" s="98">
        <v>0.50009999999999999</v>
      </c>
      <c r="S952" s="94">
        <f>((Table3.110[[#This Row],[Sample weight, g]]*'2.1. DM'!Q213)/100)*1000</f>
        <v>464.13037481259397</v>
      </c>
      <c r="T952" s="94">
        <f>'3.2 Digest'!W952</f>
        <v>215.93037481259398</v>
      </c>
      <c r="U952" s="153">
        <v>0.3298611111111111</v>
      </c>
      <c r="V952" s="154">
        <v>40.5</v>
      </c>
      <c r="W952" s="153">
        <v>0.66319444444444442</v>
      </c>
      <c r="X952" s="91">
        <v>72.5</v>
      </c>
      <c r="Y952" s="91">
        <v>12.4</v>
      </c>
      <c r="Z952" s="154">
        <v>39.5</v>
      </c>
      <c r="AA952" s="153">
        <v>0.34166666666666667</v>
      </c>
      <c r="AB952" s="154">
        <v>77</v>
      </c>
      <c r="AC952" s="154">
        <v>15.7</v>
      </c>
      <c r="AD952" s="91"/>
      <c r="AE952" s="94">
        <f>Table3.110[[#This Row],[Gas 8h, ml]]-Table3.110[[#This Row],[Gas 0h, ml]]</f>
        <v>32</v>
      </c>
      <c r="AF952" s="94">
        <f>Table3.110[[#This Row],[Gas 24h, ml]]-Table3.110[[#This Row],[V8 Push back, ml]]</f>
        <v>37.5</v>
      </c>
      <c r="AG952" s="94">
        <f>Table3.110[[#This Row],[GP 8h, ml]]-(AVERAGE(AE$934,AE$935,AE$958,AE$959))*$AG$8</f>
        <v>30.008734798790837</v>
      </c>
      <c r="AH952" s="94">
        <f>Table3.110[[#This Row],[GP 8-24h, ml]]-(AVERAGE(AF$934,AF$935,AF$958,AF$959))*$AG$8</f>
        <v>34.844979731721118</v>
      </c>
      <c r="AI952" s="94">
        <f>Table3.110[[#This Row],[Net gas 8-24h, ml]]+Table3.110[[#This Row],[Net gas 8h, ml]]</f>
        <v>64.853714530511951</v>
      </c>
      <c r="AJ952" s="94">
        <f>Table3.110[[#This Row],[Net gas 8h, ml]]*Table3.110[[#This Row],[CH4 8h %]]%</f>
        <v>3.7210831150500638</v>
      </c>
      <c r="AK952" s="94">
        <f>Table3.110[[#This Row],[Net gas 8-24h, ml]]*Table3.110[[#This Row],[CH4 24h, %]]%</f>
        <v>5.4706618178802158</v>
      </c>
      <c r="AL952" s="94">
        <f>Table3.110[[#This Row],[CH4 8-24h, ml]]+Table3.110[[#This Row],[CH4 8h, ml]]</f>
        <v>9.1917449329302805</v>
      </c>
      <c r="AM952" s="94">
        <f>(Table3.110[[#This Row],[Net gas 24h, ml]]/Table3.110[[#This Row],[DM Incubated, mg]])*1000</f>
        <v>139.73167465434364</v>
      </c>
      <c r="AN952" s="94">
        <f>'3.2 Digest'!X952</f>
        <v>46.523646486137025</v>
      </c>
      <c r="AO952" s="94">
        <f>Table3.110[[#This Row],[Digested feed, mg]]/Table3.110[[#This Row],[Net gas 24h, ml]]</f>
        <v>3.3294989558540165</v>
      </c>
      <c r="AP952" s="94">
        <f>Table3.110[[#This Row],[CH4 8h, ml]]/Table3.110[[#This Row],[Net gas 8h, ml]]%</f>
        <v>12.4</v>
      </c>
      <c r="AQ952" s="94">
        <f>Table3.110[[#This Row],[CH4 24h, ml]]/Table3.110[[#This Row],[Net gas 24h, ml]]%</f>
        <v>14.173043131717318</v>
      </c>
      <c r="AR952" s="94">
        <f>Table3.110[[#This Row],[CH4 24h, ml]]/Table3.110[[#This Row],[DM Incubated, mg]]*1000</f>
        <v>19.804230517431041</v>
      </c>
      <c r="AS952" s="94">
        <f>Table3.110[[#This Row],[CH4 24h, ml]]/Table3.110[[#This Row],[Digested feed, mg]]*1000</f>
        <v>42.568096039789665</v>
      </c>
      <c r="AT952" s="94">
        <f>Table3.110[[#This Row],[CH4 24h, ml]]/'3.2 Digest'!AA952</f>
        <v>1.5699039929346685</v>
      </c>
      <c r="AU952" s="94">
        <f>((Table3.110[[#This Row],[CH4 24h, ml]]/28.9)*16.04)/Table3.110[[#This Row],[DM Incubated, mg]]*1000</f>
        <v>10.991690570920204</v>
      </c>
      <c r="AV952" s="94">
        <f>((Table3.110[[#This Row],[CH4 24h, ml]]/28.9)*16.04)/Table3.110[[#This Row],[Digested feed, mg]]*1000</f>
        <v>23.626029774333091</v>
      </c>
    </row>
    <row r="953" spans="2:48" s="89" customFormat="1" x14ac:dyDescent="0.35">
      <c r="B953" s="90">
        <f t="shared" si="14"/>
        <v>943</v>
      </c>
      <c r="C953" s="140">
        <v>46078</v>
      </c>
      <c r="D953" s="6" t="s">
        <v>16</v>
      </c>
      <c r="E953" s="6" t="s">
        <v>345</v>
      </c>
      <c r="F953" s="6" t="s">
        <v>346</v>
      </c>
      <c r="G953" s="6" t="s">
        <v>347</v>
      </c>
      <c r="H953" s="6" t="s">
        <v>348</v>
      </c>
      <c r="I953" s="6" t="s">
        <v>22</v>
      </c>
      <c r="J953" s="129" t="s">
        <v>23</v>
      </c>
      <c r="K953" s="129" t="s">
        <v>303</v>
      </c>
      <c r="L953" s="6" t="s">
        <v>344</v>
      </c>
      <c r="M953" s="93">
        <v>29</v>
      </c>
      <c r="N953" s="93">
        <v>70</v>
      </c>
      <c r="O953" s="6">
        <v>3</v>
      </c>
      <c r="P953" s="129">
        <v>2</v>
      </c>
      <c r="Q953" s="6">
        <v>218</v>
      </c>
      <c r="R953" s="98">
        <v>0.50039999999999996</v>
      </c>
      <c r="S953" s="94">
        <f>((Table3.110[[#This Row],[Sample weight, g]]*'2.1. DM'!Q213)/100)*1000</f>
        <v>464.40879735297335</v>
      </c>
      <c r="T953" s="94">
        <f>'3.2 Digest'!W953</f>
        <v>217.60879735297334</v>
      </c>
      <c r="U953" s="117">
        <v>0.3298611111111111</v>
      </c>
      <c r="V953" s="155">
        <v>40.5</v>
      </c>
      <c r="W953" s="117">
        <v>0.66388888888888886</v>
      </c>
      <c r="X953" s="96">
        <v>70.5</v>
      </c>
      <c r="Y953" s="96">
        <v>13.3</v>
      </c>
      <c r="Z953" s="155">
        <v>40</v>
      </c>
      <c r="AA953" s="117">
        <v>0.34166666666666667</v>
      </c>
      <c r="AB953" s="155">
        <v>76</v>
      </c>
      <c r="AC953" s="155">
        <v>15.6</v>
      </c>
      <c r="AD953" s="96"/>
      <c r="AE953" s="94">
        <f>Table3.110[[#This Row],[Gas 8h, ml]]-Table3.110[[#This Row],[Gas 0h, ml]]</f>
        <v>30</v>
      </c>
      <c r="AF953" s="94">
        <f>Table3.110[[#This Row],[Gas 24h, ml]]-Table3.110[[#This Row],[V8 Push back, ml]]</f>
        <v>36</v>
      </c>
      <c r="AG953" s="94">
        <f>Table3.110[[#This Row],[GP 8h, ml]]-(AVERAGE(AE$934,AE$935,AE$958,AE$959))*$AG$8</f>
        <v>28.008734798790837</v>
      </c>
      <c r="AH953" s="94">
        <f>Table3.110[[#This Row],[GP 8-24h, ml]]-(AVERAGE(AF$934,AF$935,AF$958,AF$959))*$AG$8</f>
        <v>33.344979731721118</v>
      </c>
      <c r="AI953" s="94">
        <f>Table3.110[[#This Row],[Net gas 8-24h, ml]]+Table3.110[[#This Row],[Net gas 8h, ml]]</f>
        <v>61.353714530511951</v>
      </c>
      <c r="AJ953" s="94">
        <f>Table3.110[[#This Row],[Net gas 8h, ml]]*Table3.110[[#This Row],[CH4 8h %]]%</f>
        <v>3.7251617282391813</v>
      </c>
      <c r="AK953" s="94">
        <f>Table3.110[[#This Row],[Net gas 8-24h, ml]]*Table3.110[[#This Row],[CH4 24h, %]]%</f>
        <v>5.2018168381484946</v>
      </c>
      <c r="AL953" s="94">
        <f>Table3.110[[#This Row],[CH4 8-24h, ml]]+Table3.110[[#This Row],[CH4 8h, ml]]</f>
        <v>8.9269785663876764</v>
      </c>
      <c r="AM953" s="94">
        <f>(Table3.110[[#This Row],[Net gas 24h, ml]]/Table3.110[[#This Row],[DM Incubated, mg]])*1000</f>
        <v>132.11143906018674</v>
      </c>
      <c r="AN953" s="94">
        <f>'3.2 Digest'!X953</f>
        <v>46.857165194392309</v>
      </c>
      <c r="AO953" s="94">
        <f>Table3.110[[#This Row],[Digested feed, mg]]/Table3.110[[#This Row],[Net gas 24h, ml]]</f>
        <v>3.5467909158907376</v>
      </c>
      <c r="AP953" s="94">
        <f>Table3.110[[#This Row],[CH4 8h, ml]]/Table3.110[[#This Row],[Net gas 8h, ml]]%</f>
        <v>13.3</v>
      </c>
      <c r="AQ953" s="94">
        <f>Table3.110[[#This Row],[CH4 24h, ml]]/Table3.110[[#This Row],[Net gas 24h, ml]]%</f>
        <v>14.550021355183281</v>
      </c>
      <c r="AR953" s="94">
        <f>Table3.110[[#This Row],[CH4 24h, ml]]/Table3.110[[#This Row],[DM Incubated, mg]]*1000</f>
        <v>19.222242595897118</v>
      </c>
      <c r="AS953" s="94">
        <f>Table3.110[[#This Row],[CH4 24h, ml]]/Table3.110[[#This Row],[Digested feed, mg]]*1000</f>
        <v>41.02305915467025</v>
      </c>
      <c r="AT953" s="94">
        <f>Table3.110[[#This Row],[CH4 24h, ml]]/'3.2 Digest'!AA953</f>
        <v>1.3857180996181466</v>
      </c>
      <c r="AU953" s="94">
        <f>((Table3.110[[#This Row],[CH4 24h, ml]]/28.9)*16.04)/Table3.110[[#This Row],[DM Incubated, mg]]*1000</f>
        <v>10.668677205473694</v>
      </c>
      <c r="AV953" s="94">
        <f>((Table3.110[[#This Row],[CH4 24h, ml]]/28.9)*16.04)/Table3.110[[#This Row],[Digested feed, mg]]*1000</f>
        <v>22.768507572349854</v>
      </c>
    </row>
    <row r="954" spans="2:48" s="89" customFormat="1" x14ac:dyDescent="0.35">
      <c r="B954" s="90">
        <f t="shared" si="14"/>
        <v>944</v>
      </c>
      <c r="C954" s="140">
        <v>46078</v>
      </c>
      <c r="D954" s="6" t="s">
        <v>16</v>
      </c>
      <c r="E954" s="6" t="s">
        <v>350</v>
      </c>
      <c r="F954" s="6" t="s">
        <v>212</v>
      </c>
      <c r="G954" s="6" t="s">
        <v>351</v>
      </c>
      <c r="H954" s="6" t="s">
        <v>352</v>
      </c>
      <c r="I954" s="6" t="s">
        <v>22</v>
      </c>
      <c r="J954" s="129" t="s">
        <v>23</v>
      </c>
      <c r="K954" s="129" t="s">
        <v>215</v>
      </c>
      <c r="L954" s="6" t="s">
        <v>349</v>
      </c>
      <c r="M954" s="93">
        <v>29</v>
      </c>
      <c r="N954" s="93">
        <v>70</v>
      </c>
      <c r="O954" s="6">
        <v>3</v>
      </c>
      <c r="P954" s="6">
        <v>1</v>
      </c>
      <c r="Q954" s="6">
        <v>219</v>
      </c>
      <c r="R954" s="98">
        <v>0.50029999999999997</v>
      </c>
      <c r="S954" s="94">
        <f>((Table3.110[[#This Row],[Sample weight, g]]*'2.1. DM'!Q215)/100)*1000</f>
        <v>464.1087198498704</v>
      </c>
      <c r="T954" s="94">
        <f>'3.2 Digest'!W954</f>
        <v>227.60871984987034</v>
      </c>
      <c r="U954" s="117">
        <v>0.3298611111111111</v>
      </c>
      <c r="V954" s="155">
        <v>40.5</v>
      </c>
      <c r="W954" s="117">
        <v>0.6645833333333333</v>
      </c>
      <c r="X954" s="96">
        <v>82.5</v>
      </c>
      <c r="Y954" s="96">
        <v>13.7</v>
      </c>
      <c r="Z954" s="155">
        <v>40</v>
      </c>
      <c r="AA954" s="117">
        <v>0.34305555555555556</v>
      </c>
      <c r="AB954" s="155">
        <v>85</v>
      </c>
      <c r="AC954" s="155">
        <v>16.100000000000001</v>
      </c>
      <c r="AD954" s="96"/>
      <c r="AE954" s="94">
        <f>Table3.110[[#This Row],[Gas 8h, ml]]-Table3.110[[#This Row],[Gas 0h, ml]]</f>
        <v>42</v>
      </c>
      <c r="AF954" s="94">
        <f>Table3.110[[#This Row],[Gas 24h, ml]]-Table3.110[[#This Row],[V8 Push back, ml]]</f>
        <v>45</v>
      </c>
      <c r="AG954" s="94">
        <f>Table3.110[[#This Row],[GP 8h, ml]]-(AVERAGE(AE$934,AE$935,AE$958,AE$959))*$AG$8</f>
        <v>40.00873479879084</v>
      </c>
      <c r="AH954" s="94">
        <f>Table3.110[[#This Row],[GP 8-24h, ml]]-(AVERAGE(AF$934,AF$935,AF$958,AF$959))*$AG$8</f>
        <v>42.344979731721118</v>
      </c>
      <c r="AI954" s="94">
        <f>Table3.110[[#This Row],[Net gas 8-24h, ml]]+Table3.110[[#This Row],[Net gas 8h, ml]]</f>
        <v>82.353714530511951</v>
      </c>
      <c r="AJ954" s="94">
        <f>Table3.110[[#This Row],[Net gas 8h, ml]]*Table3.110[[#This Row],[CH4 8h %]]%</f>
        <v>5.4811966674343449</v>
      </c>
      <c r="AK954" s="94">
        <f>Table3.110[[#This Row],[Net gas 8-24h, ml]]*Table3.110[[#This Row],[CH4 24h, %]]%</f>
        <v>6.8175417368071001</v>
      </c>
      <c r="AL954" s="94">
        <f>Table3.110[[#This Row],[CH4 8-24h, ml]]+Table3.110[[#This Row],[CH4 8h, ml]]</f>
        <v>12.298738404241444</v>
      </c>
      <c r="AM954" s="94">
        <f>(Table3.110[[#This Row],[Net gas 24h, ml]]/Table3.110[[#This Row],[DM Incubated, mg]])*1000</f>
        <v>177.44487661673685</v>
      </c>
      <c r="AN954" s="94">
        <f>'3.2 Digest'!X954</f>
        <v>49.042112357530591</v>
      </c>
      <c r="AO954" s="94">
        <f>Table3.110[[#This Row],[Digested feed, mg]]/Table3.110[[#This Row],[Net gas 24h, ml]]</f>
        <v>2.7637942155668229</v>
      </c>
      <c r="AP954" s="94">
        <f>Table3.110[[#This Row],[CH4 8h, ml]]/Table3.110[[#This Row],[Net gas 8h, ml]]%</f>
        <v>13.7</v>
      </c>
      <c r="AQ954" s="94">
        <f>Table3.110[[#This Row],[CH4 24h, ml]]/Table3.110[[#This Row],[Net gas 24h, ml]]%</f>
        <v>14.934042106485405</v>
      </c>
      <c r="AR954" s="94">
        <f>Table3.110[[#This Row],[CH4 24h, ml]]/Table3.110[[#This Row],[DM Incubated, mg]]*1000</f>
        <v>26.499692589744562</v>
      </c>
      <c r="AS954" s="94">
        <f>Table3.110[[#This Row],[CH4 24h, ml]]/Table3.110[[#This Row],[Digested feed, mg]]*1000</f>
        <v>54.034566041027055</v>
      </c>
      <c r="AT954" s="94">
        <f>Table3.110[[#This Row],[CH4 24h, ml]]/'3.2 Digest'!AA954</f>
        <v>0.91961778597789667</v>
      </c>
      <c r="AU954" s="94">
        <f>((Table3.110[[#This Row],[CH4 24h, ml]]/28.9)*16.04)/Table3.110[[#This Row],[DM Incubated, mg]]*1000</f>
        <v>14.707787859498364</v>
      </c>
      <c r="AV954" s="94">
        <f>((Table3.110[[#This Row],[CH4 24h, ml]]/28.9)*16.04)/Table3.110[[#This Row],[Digested feed, mg]]*1000</f>
        <v>29.990119006853767</v>
      </c>
    </row>
    <row r="955" spans="2:48" s="89" customFormat="1" x14ac:dyDescent="0.35">
      <c r="B955" s="90">
        <f t="shared" si="14"/>
        <v>945</v>
      </c>
      <c r="C955" s="140">
        <v>46078</v>
      </c>
      <c r="D955" s="6" t="s">
        <v>16</v>
      </c>
      <c r="E955" s="6" t="s">
        <v>350</v>
      </c>
      <c r="F955" s="6" t="s">
        <v>212</v>
      </c>
      <c r="G955" s="6" t="s">
        <v>351</v>
      </c>
      <c r="H955" s="6" t="s">
        <v>352</v>
      </c>
      <c r="I955" s="6" t="s">
        <v>22</v>
      </c>
      <c r="J955" s="129" t="s">
        <v>23</v>
      </c>
      <c r="K955" s="129" t="s">
        <v>215</v>
      </c>
      <c r="L955" s="6" t="s">
        <v>349</v>
      </c>
      <c r="M955" s="93">
        <v>29</v>
      </c>
      <c r="N955" s="93">
        <v>70</v>
      </c>
      <c r="O955" s="6">
        <v>3</v>
      </c>
      <c r="P955" s="129">
        <v>2</v>
      </c>
      <c r="Q955" s="6">
        <v>220</v>
      </c>
      <c r="R955" s="98">
        <v>0.50009999999999999</v>
      </c>
      <c r="S955" s="94">
        <f>((Table3.110[[#This Row],[Sample weight, g]]*'2.1. DM'!Q215)/100)*1000</f>
        <v>463.9231876812317</v>
      </c>
      <c r="T955" s="94">
        <f>'3.2 Digest'!W955</f>
        <v>216.62318768123163</v>
      </c>
      <c r="U955" s="153">
        <v>0.3298611111111111</v>
      </c>
      <c r="V955" s="154">
        <v>40</v>
      </c>
      <c r="W955" s="153">
        <v>0.6645833333333333</v>
      </c>
      <c r="X955" s="91">
        <v>85</v>
      </c>
      <c r="Y955" s="91">
        <v>13.1</v>
      </c>
      <c r="Z955" s="154">
        <v>39.5</v>
      </c>
      <c r="AA955" s="153">
        <v>0.34305555555555556</v>
      </c>
      <c r="AB955" s="154">
        <v>86.5</v>
      </c>
      <c r="AC955" s="154">
        <v>16.399999999999999</v>
      </c>
      <c r="AD955" s="91"/>
      <c r="AE955" s="94">
        <f>Table3.110[[#This Row],[Gas 8h, ml]]-Table3.110[[#This Row],[Gas 0h, ml]]</f>
        <v>45</v>
      </c>
      <c r="AF955" s="94">
        <f>Table3.110[[#This Row],[Gas 24h, ml]]-Table3.110[[#This Row],[V8 Push back, ml]]</f>
        <v>47</v>
      </c>
      <c r="AG955" s="94">
        <f>Table3.110[[#This Row],[GP 8h, ml]]-(AVERAGE(AE$934,AE$935,AE$958,AE$959))*$AG$8</f>
        <v>43.00873479879084</v>
      </c>
      <c r="AH955" s="94">
        <f>Table3.110[[#This Row],[GP 8-24h, ml]]-(AVERAGE(AF$934,AF$935,AF$958,AF$959))*$AG$8</f>
        <v>44.344979731721118</v>
      </c>
      <c r="AI955" s="94">
        <f>Table3.110[[#This Row],[Net gas 8-24h, ml]]+Table3.110[[#This Row],[Net gas 8h, ml]]</f>
        <v>87.353714530511951</v>
      </c>
      <c r="AJ955" s="94">
        <f>Table3.110[[#This Row],[Net gas 8h, ml]]*Table3.110[[#This Row],[CH4 8h %]]%</f>
        <v>5.6341442586416006</v>
      </c>
      <c r="AK955" s="94">
        <f>Table3.110[[#This Row],[Net gas 8-24h, ml]]*Table3.110[[#This Row],[CH4 24h, %]]%</f>
        <v>7.2725766760022621</v>
      </c>
      <c r="AL955" s="94">
        <f>Table3.110[[#This Row],[CH4 8-24h, ml]]+Table3.110[[#This Row],[CH4 8h, ml]]</f>
        <v>12.906720934643863</v>
      </c>
      <c r="AM955" s="94">
        <f>(Table3.110[[#This Row],[Net gas 24h, ml]]/Table3.110[[#This Row],[DM Incubated, mg]])*1000</f>
        <v>188.29348661600838</v>
      </c>
      <c r="AN955" s="94">
        <f>'3.2 Digest'!X955</f>
        <v>46.693761690152151</v>
      </c>
      <c r="AO955" s="94">
        <f>Table3.110[[#This Row],[Digested feed, mg]]/Table3.110[[#This Row],[Net gas 24h, ml]]</f>
        <v>2.4798394532560706</v>
      </c>
      <c r="AP955" s="94">
        <f>Table3.110[[#This Row],[CH4 8h, ml]]/Table3.110[[#This Row],[Net gas 8h, ml]]%</f>
        <v>13.100000000000001</v>
      </c>
      <c r="AQ955" s="94">
        <f>Table3.110[[#This Row],[CH4 24h, ml]]/Table3.110[[#This Row],[Net gas 24h, ml]]%</f>
        <v>14.775239958611776</v>
      </c>
      <c r="AR955" s="94">
        <f>Table3.110[[#This Row],[CH4 24h, ml]]/Table3.110[[#This Row],[DM Incubated, mg]]*1000</f>
        <v>27.820814473951788</v>
      </c>
      <c r="AS955" s="94">
        <f>Table3.110[[#This Row],[CH4 24h, ml]]/Table3.110[[#This Row],[Digested feed, mg]]*1000</f>
        <v>59.581437577386872</v>
      </c>
      <c r="AT955" s="94">
        <f>Table3.110[[#This Row],[CH4 24h, ml]]/'3.2 Digest'!AA955</f>
        <v>1.3757405413802004</v>
      </c>
      <c r="AU955" s="94">
        <f>((Table3.110[[#This Row],[CH4 24h, ml]]/28.9)*16.04)/Table3.110[[#This Row],[DM Incubated, mg]]*1000</f>
        <v>15.441033362013378</v>
      </c>
      <c r="AV955" s="94">
        <f>((Table3.110[[#This Row],[CH4 24h, ml]]/28.9)*16.04)/Table3.110[[#This Row],[Digested feed, mg]]*1000</f>
        <v>33.068728676169044</v>
      </c>
    </row>
    <row r="956" spans="2:48" s="89" customFormat="1" x14ac:dyDescent="0.35">
      <c r="B956" s="90">
        <f t="shared" si="14"/>
        <v>946</v>
      </c>
      <c r="C956" s="140">
        <v>46078</v>
      </c>
      <c r="D956" s="6" t="s">
        <v>16</v>
      </c>
      <c r="E956" s="6" t="s">
        <v>354</v>
      </c>
      <c r="F956" s="6" t="s">
        <v>226</v>
      </c>
      <c r="G956" s="6" t="s">
        <v>227</v>
      </c>
      <c r="H956" s="6" t="s">
        <v>228</v>
      </c>
      <c r="I956" s="6" t="s">
        <v>22</v>
      </c>
      <c r="J956" s="129" t="s">
        <v>23</v>
      </c>
      <c r="K956" s="129" t="s">
        <v>215</v>
      </c>
      <c r="L956" s="6" t="s">
        <v>353</v>
      </c>
      <c r="M956" s="93">
        <v>29</v>
      </c>
      <c r="N956" s="93">
        <v>70</v>
      </c>
      <c r="O956" s="6">
        <v>3</v>
      </c>
      <c r="P956" s="6">
        <v>1</v>
      </c>
      <c r="Q956" s="6">
        <v>221</v>
      </c>
      <c r="R956" s="98">
        <v>0.50039999999999996</v>
      </c>
      <c r="S956" s="94">
        <f>((Table3.110[[#This Row],[Sample weight, g]]*'2.1. DM'!Q217)/100)*1000</f>
        <v>461.85771020308692</v>
      </c>
      <c r="T956" s="94">
        <f>'3.2 Digest'!W956</f>
        <v>272.95771020308689</v>
      </c>
      <c r="U956" s="153">
        <v>0.33055555555555555</v>
      </c>
      <c r="V956" s="154">
        <v>41</v>
      </c>
      <c r="W956" s="153">
        <v>0.66527777777777775</v>
      </c>
      <c r="X956" s="91">
        <v>84.5</v>
      </c>
      <c r="Y956" s="91">
        <v>12.7</v>
      </c>
      <c r="Z956" s="154">
        <v>41</v>
      </c>
      <c r="AA956" s="153">
        <v>0.34375</v>
      </c>
      <c r="AB956" s="154">
        <v>80</v>
      </c>
      <c r="AC956" s="154">
        <v>16.2</v>
      </c>
      <c r="AD956" s="91"/>
      <c r="AE956" s="94">
        <f>Table3.110[[#This Row],[Gas 8h, ml]]-Table3.110[[#This Row],[Gas 0h, ml]]</f>
        <v>43.5</v>
      </c>
      <c r="AF956" s="94">
        <f>Table3.110[[#This Row],[Gas 24h, ml]]-Table3.110[[#This Row],[V8 Push back, ml]]</f>
        <v>39</v>
      </c>
      <c r="AG956" s="94">
        <f>Table3.110[[#This Row],[GP 8h, ml]]-(AVERAGE(AE$934,AE$935,AE$958,AE$959))*$AG$8</f>
        <v>41.50873479879084</v>
      </c>
      <c r="AH956" s="94">
        <f>Table3.110[[#This Row],[GP 8-24h, ml]]-(AVERAGE(AF$934,AF$935,AF$958,AF$959))*$AG$8</f>
        <v>36.344979731721118</v>
      </c>
      <c r="AI956" s="94">
        <f>Table3.110[[#This Row],[Net gas 8-24h, ml]]+Table3.110[[#This Row],[Net gas 8h, ml]]</f>
        <v>77.853714530511951</v>
      </c>
      <c r="AJ956" s="94">
        <f>Table3.110[[#This Row],[Net gas 8h, ml]]*Table3.110[[#This Row],[CH4 8h %]]%</f>
        <v>5.2716093194464371</v>
      </c>
      <c r="AK956" s="94">
        <f>Table3.110[[#This Row],[Net gas 8-24h, ml]]*Table3.110[[#This Row],[CH4 24h, %]]%</f>
        <v>5.8878867165388211</v>
      </c>
      <c r="AL956" s="94">
        <f>Table3.110[[#This Row],[CH4 8-24h, ml]]+Table3.110[[#This Row],[CH4 8h, ml]]</f>
        <v>11.159496035985258</v>
      </c>
      <c r="AM956" s="94">
        <f>(Table3.110[[#This Row],[Net gas 24h, ml]]/Table3.110[[#This Row],[DM Incubated, mg]])*1000</f>
        <v>168.56644981909756</v>
      </c>
      <c r="AN956" s="94">
        <f>'3.2 Digest'!X956</f>
        <v>59.099957448596584</v>
      </c>
      <c r="AO956" s="94">
        <f>Table3.110[[#This Row],[Digested feed, mg]]/Table3.110[[#This Row],[Net gas 24h, ml]]</f>
        <v>3.506033229745396</v>
      </c>
      <c r="AP956" s="94">
        <f>Table3.110[[#This Row],[CH4 8h, ml]]/Table3.110[[#This Row],[Net gas 8h, ml]]%</f>
        <v>12.700000000000001</v>
      </c>
      <c r="AQ956" s="94">
        <f>Table3.110[[#This Row],[CH4 24h, ml]]/Table3.110[[#This Row],[Net gas 24h, ml]]%</f>
        <v>14.333928834714362</v>
      </c>
      <c r="AR956" s="94">
        <f>Table3.110[[#This Row],[CH4 24h, ml]]/Table3.110[[#This Row],[DM Incubated, mg]]*1000</f>
        <v>24.16219495627394</v>
      </c>
      <c r="AS956" s="94">
        <f>Table3.110[[#This Row],[CH4 24h, ml]]/Table3.110[[#This Row],[Digested feed, mg]]*1000</f>
        <v>40.883608042001569</v>
      </c>
      <c r="AT956" s="94">
        <f>Table3.110[[#This Row],[CH4 24h, ml]]/'3.2 Digest'!AA956</f>
        <v>1.162772160269824</v>
      </c>
      <c r="AU956" s="94">
        <f>((Table3.110[[#This Row],[CH4 24h, ml]]/28.9)*16.04)/Table3.110[[#This Row],[DM Incubated, mg]]*1000</f>
        <v>13.410436231786646</v>
      </c>
      <c r="AV956" s="94">
        <f>((Table3.110[[#This Row],[CH4 24h, ml]]/28.9)*16.04)/Table3.110[[#This Row],[Digested feed, mg]]*1000</f>
        <v>22.691109792169733</v>
      </c>
    </row>
    <row r="957" spans="2:48" s="89" customFormat="1" x14ac:dyDescent="0.35">
      <c r="B957" s="90">
        <f t="shared" si="14"/>
        <v>947</v>
      </c>
      <c r="C957" s="140">
        <v>46078</v>
      </c>
      <c r="D957" s="6" t="s">
        <v>16</v>
      </c>
      <c r="E957" s="6" t="s">
        <v>354</v>
      </c>
      <c r="F957" s="6" t="s">
        <v>226</v>
      </c>
      <c r="G957" s="6" t="s">
        <v>227</v>
      </c>
      <c r="H957" s="6" t="s">
        <v>228</v>
      </c>
      <c r="I957" s="6" t="s">
        <v>22</v>
      </c>
      <c r="J957" s="129" t="s">
        <v>23</v>
      </c>
      <c r="K957" s="129" t="s">
        <v>215</v>
      </c>
      <c r="L957" s="6" t="s">
        <v>353</v>
      </c>
      <c r="M957" s="93">
        <v>29</v>
      </c>
      <c r="N957" s="93">
        <v>70</v>
      </c>
      <c r="O957" s="6">
        <v>3</v>
      </c>
      <c r="P957" s="129">
        <v>2</v>
      </c>
      <c r="Q957" s="6">
        <v>222</v>
      </c>
      <c r="R957" s="98">
        <v>0.50039999999999996</v>
      </c>
      <c r="S957" s="94">
        <f>((Table3.110[[#This Row],[Sample weight, g]]*'2.1. DM'!Q217)/100)*1000</f>
        <v>461.85771020308692</v>
      </c>
      <c r="T957" s="94">
        <f>'3.2 Digest'!W957</f>
        <v>284.25771020308696</v>
      </c>
      <c r="U957" s="117">
        <v>0.33055555555555555</v>
      </c>
      <c r="V957" s="155">
        <v>41</v>
      </c>
      <c r="W957" s="117">
        <v>0.66527777777777775</v>
      </c>
      <c r="X957" s="96">
        <v>83.5</v>
      </c>
      <c r="Y957" s="96">
        <v>12.4</v>
      </c>
      <c r="Z957" s="155">
        <v>41</v>
      </c>
      <c r="AA957" s="117">
        <v>0.34375</v>
      </c>
      <c r="AB957" s="155">
        <v>79</v>
      </c>
      <c r="AC957" s="155">
        <v>15.9</v>
      </c>
      <c r="AD957" s="96"/>
      <c r="AE957" s="94">
        <f>Table3.110[[#This Row],[Gas 8h, ml]]-Table3.110[[#This Row],[Gas 0h, ml]]</f>
        <v>42.5</v>
      </c>
      <c r="AF957" s="94">
        <f>Table3.110[[#This Row],[Gas 24h, ml]]-Table3.110[[#This Row],[V8 Push back, ml]]</f>
        <v>38</v>
      </c>
      <c r="AG957" s="94">
        <f>Table3.110[[#This Row],[GP 8h, ml]]-(AVERAGE(AE$934,AE$935,AE$958,AE$959))*$AG$8</f>
        <v>40.50873479879084</v>
      </c>
      <c r="AH957" s="94">
        <f>Table3.110[[#This Row],[GP 8-24h, ml]]-(AVERAGE(AF$934,AF$935,AF$958,AF$959))*$AG$8</f>
        <v>35.344979731721118</v>
      </c>
      <c r="AI957" s="94">
        <f>Table3.110[[#This Row],[Net gas 8-24h, ml]]+Table3.110[[#This Row],[Net gas 8h, ml]]</f>
        <v>75.853714530511951</v>
      </c>
      <c r="AJ957" s="94">
        <f>Table3.110[[#This Row],[Net gas 8h, ml]]*Table3.110[[#This Row],[CH4 8h %]]%</f>
        <v>5.0230831150500643</v>
      </c>
      <c r="AK957" s="94">
        <f>Table3.110[[#This Row],[Net gas 8-24h, ml]]*Table3.110[[#This Row],[CH4 24h, %]]%</f>
        <v>5.6198517773436576</v>
      </c>
      <c r="AL957" s="94">
        <f>Table3.110[[#This Row],[CH4 8-24h, ml]]+Table3.110[[#This Row],[CH4 8h, ml]]</f>
        <v>10.642934892393722</v>
      </c>
      <c r="AM957" s="94">
        <f>(Table3.110[[#This Row],[Net gas 24h, ml]]/Table3.110[[#This Row],[DM Incubated, mg]])*1000</f>
        <v>164.23611180412632</v>
      </c>
      <c r="AN957" s="94">
        <f>'3.2 Digest'!X957</f>
        <v>61.546598427055358</v>
      </c>
      <c r="AO957" s="94">
        <f>Table3.110[[#This Row],[Digested feed, mg]]/Table3.110[[#This Row],[Net gas 24h, ml]]</f>
        <v>3.7474461463419182</v>
      </c>
      <c r="AP957" s="94">
        <f>Table3.110[[#This Row],[CH4 8h, ml]]/Table3.110[[#This Row],[Net gas 8h, ml]]%</f>
        <v>12.4</v>
      </c>
      <c r="AQ957" s="94">
        <f>Table3.110[[#This Row],[CH4 24h, ml]]/Table3.110[[#This Row],[Net gas 24h, ml]]%</f>
        <v>14.030868439689437</v>
      </c>
      <c r="AR957" s="94">
        <f>Table3.110[[#This Row],[CH4 24h, ml]]/Table3.110[[#This Row],[DM Incubated, mg]]*1000</f>
        <v>23.043752777698217</v>
      </c>
      <c r="AS957" s="94">
        <f>Table3.110[[#This Row],[CH4 24h, ml]]/Table3.110[[#This Row],[Digested feed, mg]]*1000</f>
        <v>37.441147628994521</v>
      </c>
      <c r="AT957" s="94">
        <f>Table3.110[[#This Row],[CH4 24h, ml]]/'3.2 Digest'!AA957</f>
        <v>0.70928268769264446</v>
      </c>
      <c r="AU957" s="94">
        <f>((Table3.110[[#This Row],[CH4 24h, ml]]/28.9)*16.04)/Table3.110[[#This Row],[DM Incubated, mg]]*1000</f>
        <v>12.789681472466416</v>
      </c>
      <c r="AV957" s="94">
        <f>((Table3.110[[#This Row],[CH4 24h, ml]]/28.9)*16.04)/Table3.110[[#This Row],[Digested feed, mg]]*1000</f>
        <v>20.780484704812185</v>
      </c>
    </row>
    <row r="958" spans="2:48" s="89" customFormat="1" x14ac:dyDescent="0.35">
      <c r="B958" s="90">
        <f t="shared" si="14"/>
        <v>948</v>
      </c>
      <c r="C958" s="143">
        <v>46078</v>
      </c>
      <c r="D958" s="6"/>
      <c r="E958" s="124" t="s">
        <v>541</v>
      </c>
      <c r="F958" s="6" t="s">
        <v>538</v>
      </c>
      <c r="G958" s="6" t="s">
        <v>542</v>
      </c>
      <c r="H958" s="124" t="s">
        <v>541</v>
      </c>
      <c r="I958" s="277"/>
      <c r="J958" s="278"/>
      <c r="K958" s="124"/>
      <c r="L958" s="124" t="s">
        <v>543</v>
      </c>
      <c r="M958" s="93">
        <v>29</v>
      </c>
      <c r="N958" s="147">
        <v>70</v>
      </c>
      <c r="O958" s="124">
        <v>3</v>
      </c>
      <c r="P958" s="146">
        <v>1</v>
      </c>
      <c r="Q958" s="124">
        <v>223</v>
      </c>
      <c r="R958" s="148"/>
      <c r="S958" s="94"/>
      <c r="T958" s="94"/>
      <c r="U958" s="149">
        <v>0.33124999999999999</v>
      </c>
      <c r="V958" s="150">
        <v>39.5</v>
      </c>
      <c r="W958" s="149">
        <v>0.66597222222222219</v>
      </c>
      <c r="X958" s="163">
        <v>42</v>
      </c>
      <c r="Y958" s="163"/>
      <c r="Z958" s="150"/>
      <c r="AA958" s="149"/>
      <c r="AB958" s="150"/>
      <c r="AC958" s="150"/>
      <c r="AD958" s="163"/>
      <c r="AE958" s="94">
        <f>Table3.110[[#This Row],[Gas 8h, ml]]-Table3.110[[#This Row],[Gas 0h, ml]]</f>
        <v>2.5</v>
      </c>
      <c r="AF958" s="94"/>
      <c r="AG958" s="94"/>
      <c r="AH958" s="94"/>
      <c r="AI958" s="94"/>
      <c r="AJ958" s="94"/>
      <c r="AK958" s="94"/>
      <c r="AL958" s="94"/>
      <c r="AM958" s="94"/>
      <c r="AN958" s="94"/>
      <c r="AO958" s="94"/>
      <c r="AP958" s="94"/>
      <c r="AQ958" s="94"/>
      <c r="AR958" s="94"/>
      <c r="AS958" s="94"/>
      <c r="AT958" s="94"/>
      <c r="AU958" s="94"/>
      <c r="AV958" s="94"/>
    </row>
    <row r="959" spans="2:48" s="89" customFormat="1" x14ac:dyDescent="0.35">
      <c r="B959" s="90">
        <f t="shared" si="14"/>
        <v>949</v>
      </c>
      <c r="C959" s="143">
        <v>46078</v>
      </c>
      <c r="D959" s="6"/>
      <c r="E959" s="124" t="s">
        <v>541</v>
      </c>
      <c r="F959" s="6" t="s">
        <v>538</v>
      </c>
      <c r="G959" s="6" t="s">
        <v>542</v>
      </c>
      <c r="H959" s="124" t="s">
        <v>541</v>
      </c>
      <c r="I959" s="277"/>
      <c r="J959" s="278"/>
      <c r="K959" s="124"/>
      <c r="L959" s="124" t="s">
        <v>543</v>
      </c>
      <c r="M959" s="93">
        <v>29</v>
      </c>
      <c r="N959" s="147">
        <v>70</v>
      </c>
      <c r="O959" s="124">
        <v>3</v>
      </c>
      <c r="P959" s="146">
        <v>2</v>
      </c>
      <c r="Q959" s="124">
        <v>224</v>
      </c>
      <c r="R959" s="148"/>
      <c r="S959" s="94"/>
      <c r="T959" s="94"/>
      <c r="U959" s="151">
        <v>0.33124999999999999</v>
      </c>
      <c r="V959" s="152">
        <v>39.5</v>
      </c>
      <c r="W959" s="151">
        <v>0.66597222222222219</v>
      </c>
      <c r="X959" s="164">
        <v>42</v>
      </c>
      <c r="Y959" s="164"/>
      <c r="Z959" s="152"/>
      <c r="AA959" s="151"/>
      <c r="AB959" s="152"/>
      <c r="AC959" s="152"/>
      <c r="AD959" s="164"/>
      <c r="AE959" s="94">
        <f>Table3.110[[#This Row],[Gas 8h, ml]]-Table3.110[[#This Row],[Gas 0h, ml]]</f>
        <v>2.5</v>
      </c>
      <c r="AF959" s="94"/>
      <c r="AG959" s="94"/>
      <c r="AH959" s="94"/>
      <c r="AI959" s="94"/>
      <c r="AJ959" s="94"/>
      <c r="AK959" s="94"/>
      <c r="AL959" s="94"/>
      <c r="AM959" s="94"/>
      <c r="AN959" s="94"/>
      <c r="AO959" s="94"/>
      <c r="AP959" s="94"/>
      <c r="AQ959" s="94"/>
      <c r="AR959" s="94"/>
      <c r="AS959" s="94"/>
      <c r="AT959" s="94"/>
      <c r="AU959" s="94"/>
      <c r="AV959" s="94"/>
    </row>
    <row r="960" spans="2:48" s="89" customFormat="1" x14ac:dyDescent="0.35">
      <c r="B960" s="90">
        <f t="shared" si="14"/>
        <v>950</v>
      </c>
      <c r="C960" s="140">
        <v>46078</v>
      </c>
      <c r="D960" s="6" t="s">
        <v>16</v>
      </c>
      <c r="E960" s="6" t="s">
        <v>356</v>
      </c>
      <c r="F960" s="6" t="s">
        <v>219</v>
      </c>
      <c r="G960" s="6" t="s">
        <v>253</v>
      </c>
      <c r="H960" s="6" t="s">
        <v>254</v>
      </c>
      <c r="I960" s="6" t="s">
        <v>22</v>
      </c>
      <c r="J960" s="129" t="s">
        <v>23</v>
      </c>
      <c r="K960" s="129" t="s">
        <v>215</v>
      </c>
      <c r="L960" s="6" t="s">
        <v>355</v>
      </c>
      <c r="M960" s="93">
        <v>29</v>
      </c>
      <c r="N960" s="93">
        <v>70</v>
      </c>
      <c r="O960" s="6">
        <v>3</v>
      </c>
      <c r="P960" s="6">
        <v>1</v>
      </c>
      <c r="Q960" s="6">
        <v>225</v>
      </c>
      <c r="R960" s="98">
        <v>0.50039999999999996</v>
      </c>
      <c r="S960" s="94">
        <f>((Table3.110[[#This Row],[Sample weight, g]]*'2.1. DM'!Q219)/100)*1000</f>
        <v>450.72265871064434</v>
      </c>
      <c r="T960" s="94">
        <f>'3.2 Digest'!W960</f>
        <v>248.22265871064434</v>
      </c>
      <c r="U960" s="117">
        <v>0.33124999999999999</v>
      </c>
      <c r="V960" s="155">
        <v>41</v>
      </c>
      <c r="W960" s="117">
        <v>0.66666666666666663</v>
      </c>
      <c r="X960" s="96">
        <v>74.5</v>
      </c>
      <c r="Y960" s="96">
        <v>11.9</v>
      </c>
      <c r="Z960" s="155">
        <v>40</v>
      </c>
      <c r="AA960" s="117">
        <v>0.34444444444444444</v>
      </c>
      <c r="AB960" s="155">
        <v>89</v>
      </c>
      <c r="AC960" s="155">
        <v>15.6</v>
      </c>
      <c r="AD960" s="96"/>
      <c r="AE960" s="94">
        <f>Table3.110[[#This Row],[Gas 8h, ml]]-Table3.110[[#This Row],[Gas 0h, ml]]</f>
        <v>33.5</v>
      </c>
      <c r="AF960" s="94">
        <f>Table3.110[[#This Row],[Gas 24h, ml]]-Table3.110[[#This Row],[V8 Push back, ml]]</f>
        <v>49</v>
      </c>
      <c r="AG960" s="94">
        <f>Table3.110[[#This Row],[GP 8h, ml]]-(AVERAGE(AE$934,AE$935,AE$958,AE$959))*$AG$8</f>
        <v>31.508734798790837</v>
      </c>
      <c r="AH960" s="94">
        <f>Table3.110[[#This Row],[GP 8-24h, ml]]-(AVERAGE(AF$934,AF$935,AF$958,AF$959))*$AG$8</f>
        <v>46.344979731721118</v>
      </c>
      <c r="AI960" s="94">
        <f>Table3.110[[#This Row],[Net gas 8-24h, ml]]+Table3.110[[#This Row],[Net gas 8h, ml]]</f>
        <v>77.853714530511951</v>
      </c>
      <c r="AJ960" s="94">
        <f>Table3.110[[#This Row],[Net gas 8h, ml]]*Table3.110[[#This Row],[CH4 8h %]]%</f>
        <v>3.7495394410561098</v>
      </c>
      <c r="AK960" s="94">
        <f>Table3.110[[#This Row],[Net gas 8-24h, ml]]*Table3.110[[#This Row],[CH4 24h, %]]%</f>
        <v>7.2298168381484942</v>
      </c>
      <c r="AL960" s="94">
        <f>Table3.110[[#This Row],[CH4 8-24h, ml]]+Table3.110[[#This Row],[CH4 8h, ml]]</f>
        <v>10.979356279204604</v>
      </c>
      <c r="AM960" s="94">
        <f>(Table3.110[[#This Row],[Net gas 24h, ml]]/Table3.110[[#This Row],[DM Incubated, mg]])*1000</f>
        <v>172.73086459248239</v>
      </c>
      <c r="AN960" s="94">
        <f>'3.2 Digest'!X960</f>
        <v>55.072150004776823</v>
      </c>
      <c r="AO960" s="94">
        <f>Table3.110[[#This Row],[Digested feed, mg]]/Table3.110[[#This Row],[Net gas 24h, ml]]</f>
        <v>3.1883213306843881</v>
      </c>
      <c r="AP960" s="94">
        <f>Table3.110[[#This Row],[CH4 8h, ml]]/Table3.110[[#This Row],[Net gas 8h, ml]]%</f>
        <v>11.9</v>
      </c>
      <c r="AQ960" s="94">
        <f>Table3.110[[#This Row],[CH4 24h, ml]]/Table3.110[[#This Row],[Net gas 24h, ml]]%</f>
        <v>14.102546481454834</v>
      </c>
      <c r="AR960" s="94">
        <f>Table3.110[[#This Row],[CH4 24h, ml]]/Table3.110[[#This Row],[DM Incubated, mg]]*1000</f>
        <v>24.359450466973634</v>
      </c>
      <c r="AS960" s="94">
        <f>Table3.110[[#This Row],[CH4 24h, ml]]/Table3.110[[#This Row],[Digested feed, mg]]*1000</f>
        <v>44.231885744175152</v>
      </c>
      <c r="AT960" s="94">
        <f>Table3.110[[#This Row],[CH4 24h, ml]]/'3.2 Digest'!AA960</f>
        <v>1.1633626654592955</v>
      </c>
      <c r="AU960" s="94">
        <f>((Table3.110[[#This Row],[CH4 24h, ml]]/28.9)*16.04)/Table3.110[[#This Row],[DM Incubated, mg]]*1000</f>
        <v>13.519916452950074</v>
      </c>
      <c r="AV960" s="94">
        <f>((Table3.110[[#This Row],[CH4 24h, ml]]/28.9)*16.04)/Table3.110[[#This Row],[Digested feed, mg]]*1000</f>
        <v>24.549461845556038</v>
      </c>
    </row>
    <row r="961" spans="2:48" s="89" customFormat="1" x14ac:dyDescent="0.35">
      <c r="B961" s="90">
        <f t="shared" si="14"/>
        <v>951</v>
      </c>
      <c r="C961" s="140">
        <v>46078</v>
      </c>
      <c r="D961" s="6" t="s">
        <v>16</v>
      </c>
      <c r="E961" s="6" t="s">
        <v>356</v>
      </c>
      <c r="F961" s="6" t="s">
        <v>219</v>
      </c>
      <c r="G961" s="6" t="s">
        <v>253</v>
      </c>
      <c r="H961" s="6" t="s">
        <v>254</v>
      </c>
      <c r="I961" s="6" t="s">
        <v>22</v>
      </c>
      <c r="J961" s="129" t="s">
        <v>23</v>
      </c>
      <c r="K961" s="129" t="s">
        <v>215</v>
      </c>
      <c r="L961" s="6" t="s">
        <v>355</v>
      </c>
      <c r="M961" s="93">
        <v>29</v>
      </c>
      <c r="N961" s="93">
        <v>70</v>
      </c>
      <c r="O961" s="6">
        <v>3</v>
      </c>
      <c r="P961" s="129">
        <v>2</v>
      </c>
      <c r="Q961" s="6">
        <v>226</v>
      </c>
      <c r="R961" s="98">
        <v>0.50029999999999997</v>
      </c>
      <c r="S961" s="94">
        <f>((Table3.110[[#This Row],[Sample weight, g]]*'2.1. DM'!Q219)/100)*1000</f>
        <v>450.6325862368812</v>
      </c>
      <c r="T961" s="94">
        <f>'3.2 Digest'!W961</f>
        <v>269.3325862368813</v>
      </c>
      <c r="U961" s="153">
        <v>0.33194444444444443</v>
      </c>
      <c r="V961" s="154">
        <v>41.5</v>
      </c>
      <c r="W961" s="153">
        <v>0.66666666666666663</v>
      </c>
      <c r="X961" s="91">
        <v>77.5</v>
      </c>
      <c r="Y961" s="91">
        <v>12.6</v>
      </c>
      <c r="Z961" s="154">
        <v>43</v>
      </c>
      <c r="AA961" s="153">
        <v>0.34513888888888888</v>
      </c>
      <c r="AB961" s="154">
        <v>92</v>
      </c>
      <c r="AC961" s="154">
        <v>15.8</v>
      </c>
      <c r="AD961" s="91"/>
      <c r="AE961" s="94">
        <f>Table3.110[[#This Row],[Gas 8h, ml]]-Table3.110[[#This Row],[Gas 0h, ml]]</f>
        <v>36</v>
      </c>
      <c r="AF961" s="94">
        <f>Table3.110[[#This Row],[Gas 24h, ml]]-Table3.110[[#This Row],[V8 Push back, ml]]</f>
        <v>49</v>
      </c>
      <c r="AG961" s="94">
        <f>Table3.110[[#This Row],[GP 8h, ml]]-(AVERAGE(AE$934,AE$935,AE$958,AE$959))*$AG$8</f>
        <v>34.00873479879084</v>
      </c>
      <c r="AH961" s="94">
        <f>Table3.110[[#This Row],[GP 8-24h, ml]]-(AVERAGE(AF$934,AF$935,AF$958,AF$959))*$AG$8</f>
        <v>46.344979731721118</v>
      </c>
      <c r="AI961" s="94">
        <f>Table3.110[[#This Row],[Net gas 8-24h, ml]]+Table3.110[[#This Row],[Net gas 8h, ml]]</f>
        <v>80.353714530511951</v>
      </c>
      <c r="AJ961" s="94">
        <f>Table3.110[[#This Row],[Net gas 8h, ml]]*Table3.110[[#This Row],[CH4 8h %]]%</f>
        <v>4.2851005846476458</v>
      </c>
      <c r="AK961" s="94">
        <f>Table3.110[[#This Row],[Net gas 8-24h, ml]]*Table3.110[[#This Row],[CH4 24h, %]]%</f>
        <v>7.3225067976119371</v>
      </c>
      <c r="AL961" s="94">
        <f>Table3.110[[#This Row],[CH4 8-24h, ml]]+Table3.110[[#This Row],[CH4 8h, ml]]</f>
        <v>11.607607382259584</v>
      </c>
      <c r="AM961" s="94">
        <f>(Table3.110[[#This Row],[Net gas 24h, ml]]/Table3.110[[#This Row],[DM Incubated, mg]])*1000</f>
        <v>178.31314686211556</v>
      </c>
      <c r="AN961" s="94">
        <f>'3.2 Digest'!X961</f>
        <v>59.76766759945383</v>
      </c>
      <c r="AO961" s="94">
        <f>Table3.110[[#This Row],[Digested feed, mg]]/Table3.110[[#This Row],[Net gas 24h, ml]]</f>
        <v>3.3518374080218805</v>
      </c>
      <c r="AP961" s="94">
        <f>Table3.110[[#This Row],[CH4 8h, ml]]/Table3.110[[#This Row],[Net gas 8h, ml]]%</f>
        <v>12.6</v>
      </c>
      <c r="AQ961" s="94">
        <f>Table3.110[[#This Row],[CH4 24h, ml]]/Table3.110[[#This Row],[Net gas 24h, ml]]%</f>
        <v>14.445638823394949</v>
      </c>
      <c r="AR961" s="94">
        <f>Table3.110[[#This Row],[CH4 24h, ml]]/Table3.110[[#This Row],[DM Incubated, mg]]*1000</f>
        <v>25.758473170331019</v>
      </c>
      <c r="AS961" s="94">
        <f>Table3.110[[#This Row],[CH4 24h, ml]]/Table3.110[[#This Row],[Digested feed, mg]]*1000</f>
        <v>43.097671709321318</v>
      </c>
      <c r="AT961" s="94">
        <f>Table3.110[[#This Row],[CH4 24h, ml]]/'3.2 Digest'!AA961</f>
        <v>0.61407796527347036</v>
      </c>
      <c r="AU961" s="94">
        <f>((Table3.110[[#This Row],[CH4 24h, ml]]/28.9)*16.04)/Table3.110[[#This Row],[DM Incubated, mg]]*1000</f>
        <v>14.296398257858462</v>
      </c>
      <c r="AV961" s="94">
        <f>((Table3.110[[#This Row],[CH4 24h, ml]]/28.9)*16.04)/Table3.110[[#This Row],[Digested feed, mg]]*1000</f>
        <v>23.919953433131969</v>
      </c>
    </row>
    <row r="962" spans="2:48" s="89" customFormat="1" x14ac:dyDescent="0.35">
      <c r="B962" s="90">
        <f t="shared" si="14"/>
        <v>952</v>
      </c>
      <c r="C962" s="140">
        <v>46078</v>
      </c>
      <c r="D962" s="6" t="s">
        <v>16</v>
      </c>
      <c r="E962" s="6" t="s">
        <v>358</v>
      </c>
      <c r="F962" s="6" t="s">
        <v>212</v>
      </c>
      <c r="G962" s="6" t="s">
        <v>359</v>
      </c>
      <c r="H962" s="6" t="s">
        <v>360</v>
      </c>
      <c r="I962" s="6" t="s">
        <v>22</v>
      </c>
      <c r="J962" s="129" t="s">
        <v>23</v>
      </c>
      <c r="K962" s="129" t="s">
        <v>215</v>
      </c>
      <c r="L962" s="6" t="s">
        <v>357</v>
      </c>
      <c r="M962" s="93">
        <v>29</v>
      </c>
      <c r="N962" s="93">
        <v>70</v>
      </c>
      <c r="O962" s="6">
        <v>3</v>
      </c>
      <c r="P962" s="6">
        <v>1</v>
      </c>
      <c r="Q962" s="6">
        <v>227</v>
      </c>
      <c r="R962" s="98">
        <v>0.50029999999999997</v>
      </c>
      <c r="S962" s="94">
        <f>((Table3.110[[#This Row],[Sample weight, g]]*'2.1. DM'!Q221)/100)*1000</f>
        <v>459.65468953104704</v>
      </c>
      <c r="T962" s="94">
        <f>'3.2 Digest'!W962</f>
        <v>201.85468953104714</v>
      </c>
      <c r="U962" s="153">
        <v>0.33194444444444443</v>
      </c>
      <c r="V962" s="154">
        <v>40.5</v>
      </c>
      <c r="W962" s="153">
        <v>0.66666666666666663</v>
      </c>
      <c r="X962" s="91">
        <v>85</v>
      </c>
      <c r="Y962" s="91">
        <v>13.6</v>
      </c>
      <c r="Z962" s="154">
        <v>40</v>
      </c>
      <c r="AA962" s="153">
        <v>0.34513888888888888</v>
      </c>
      <c r="AB962" s="154">
        <v>85</v>
      </c>
      <c r="AC962" s="154">
        <v>16.600000000000001</v>
      </c>
      <c r="AD962" s="91"/>
      <c r="AE962" s="94">
        <f>Table3.110[[#This Row],[Gas 8h, ml]]-Table3.110[[#This Row],[Gas 0h, ml]]</f>
        <v>44.5</v>
      </c>
      <c r="AF962" s="94">
        <f>Table3.110[[#This Row],[Gas 24h, ml]]-Table3.110[[#This Row],[V8 Push back, ml]]</f>
        <v>45</v>
      </c>
      <c r="AG962" s="94">
        <f>Table3.110[[#This Row],[GP 8h, ml]]-(AVERAGE(AE$934,AE$935,AE$958,AE$959))*$AG$8</f>
        <v>42.50873479879084</v>
      </c>
      <c r="AH962" s="94">
        <f>Table3.110[[#This Row],[GP 8-24h, ml]]-(AVERAGE(AF$934,AF$935,AF$958,AF$959))*$AG$8</f>
        <v>42.344979731721118</v>
      </c>
      <c r="AI962" s="94">
        <f>Table3.110[[#This Row],[Net gas 8-24h, ml]]+Table3.110[[#This Row],[Net gas 8h, ml]]</f>
        <v>84.853714530511951</v>
      </c>
      <c r="AJ962" s="94">
        <f>Table3.110[[#This Row],[Net gas 8h, ml]]*Table3.110[[#This Row],[CH4 8h %]]%</f>
        <v>5.7811879326355546</v>
      </c>
      <c r="AK962" s="94">
        <f>Table3.110[[#This Row],[Net gas 8-24h, ml]]*Table3.110[[#This Row],[CH4 24h, %]]%</f>
        <v>7.0292666354657056</v>
      </c>
      <c r="AL962" s="94">
        <f>Table3.110[[#This Row],[CH4 8-24h, ml]]+Table3.110[[#This Row],[CH4 8h, ml]]</f>
        <v>12.81045456810126</v>
      </c>
      <c r="AM962" s="94">
        <f>(Table3.110[[#This Row],[Net gas 24h, ml]]/Table3.110[[#This Row],[DM Incubated, mg]])*1000</f>
        <v>184.6031737804789</v>
      </c>
      <c r="AN962" s="94">
        <f>'3.2 Digest'!X962</f>
        <v>43.91441969992411</v>
      </c>
      <c r="AO962" s="94">
        <f>Table3.110[[#This Row],[Digested feed, mg]]/Table3.110[[#This Row],[Net gas 24h, ml]]</f>
        <v>2.3788550760316287</v>
      </c>
      <c r="AP962" s="94">
        <f>Table3.110[[#This Row],[CH4 8h, ml]]/Table3.110[[#This Row],[Net gas 8h, ml]]%</f>
        <v>13.6</v>
      </c>
      <c r="AQ962" s="94">
        <f>Table3.110[[#This Row],[CH4 24h, ml]]/Table3.110[[#This Row],[Net gas 24h, ml]]%</f>
        <v>15.097105222771171</v>
      </c>
      <c r="AR962" s="94">
        <f>Table3.110[[#This Row],[CH4 24h, ml]]/Table3.110[[#This Row],[DM Incubated, mg]]*1000</f>
        <v>27.869735390214021</v>
      </c>
      <c r="AS962" s="94">
        <f>Table3.110[[#This Row],[CH4 24h, ml]]/Table3.110[[#This Row],[Digested feed, mg]]*1000</f>
        <v>63.463745122111185</v>
      </c>
      <c r="AT962" s="94">
        <f>Table3.110[[#This Row],[CH4 24h, ml]]/'3.2 Digest'!AA962</f>
        <v>-5.0014610968374855</v>
      </c>
      <c r="AU962" s="94">
        <f>((Table3.110[[#This Row],[CH4 24h, ml]]/28.9)*16.04)/Table3.110[[#This Row],[DM Incubated, mg]]*1000</f>
        <v>15.468185316921554</v>
      </c>
      <c r="AV962" s="94">
        <f>((Table3.110[[#This Row],[CH4 24h, ml]]/28.9)*16.04)/Table3.110[[#This Row],[Digested feed, mg]]*1000</f>
        <v>35.223476531441641</v>
      </c>
    </row>
    <row r="963" spans="2:48" s="89" customFormat="1" x14ac:dyDescent="0.35">
      <c r="B963" s="90">
        <f t="shared" si="14"/>
        <v>953</v>
      </c>
      <c r="C963" s="140">
        <v>46078</v>
      </c>
      <c r="D963" s="6" t="s">
        <v>16</v>
      </c>
      <c r="E963" s="6" t="s">
        <v>358</v>
      </c>
      <c r="F963" s="6" t="s">
        <v>212</v>
      </c>
      <c r="G963" s="6" t="s">
        <v>359</v>
      </c>
      <c r="H963" s="6" t="s">
        <v>360</v>
      </c>
      <c r="I963" s="6" t="s">
        <v>22</v>
      </c>
      <c r="J963" s="129" t="s">
        <v>23</v>
      </c>
      <c r="K963" s="129" t="s">
        <v>215</v>
      </c>
      <c r="L963" s="6" t="s">
        <v>357</v>
      </c>
      <c r="M963" s="93">
        <v>29</v>
      </c>
      <c r="N963" s="93">
        <v>70</v>
      </c>
      <c r="O963" s="6">
        <v>3</v>
      </c>
      <c r="P963" s="129">
        <v>2</v>
      </c>
      <c r="Q963" s="6">
        <v>228</v>
      </c>
      <c r="R963" s="98">
        <v>0.50009999999999999</v>
      </c>
      <c r="S963" s="94">
        <f>((Table3.110[[#This Row],[Sample weight, g]]*'2.1. DM'!Q221)/100)*1000</f>
        <v>459.47093790620954</v>
      </c>
      <c r="T963" s="94">
        <f>'3.2 Digest'!W963</f>
        <v>249.67093790620945</v>
      </c>
      <c r="U963" s="117">
        <v>0.33194444444444443</v>
      </c>
      <c r="V963" s="155">
        <v>41</v>
      </c>
      <c r="W963" s="117">
        <v>0.66736111111111107</v>
      </c>
      <c r="X963" s="96">
        <v>85.5</v>
      </c>
      <c r="Y963" s="96">
        <v>13.7</v>
      </c>
      <c r="Z963" s="155">
        <v>40.5</v>
      </c>
      <c r="AA963" s="117">
        <v>0.34583333333333333</v>
      </c>
      <c r="AB963" s="155">
        <v>86</v>
      </c>
      <c r="AC963" s="155">
        <v>16.7</v>
      </c>
      <c r="AD963" s="96"/>
      <c r="AE963" s="94">
        <f>Table3.110[[#This Row],[Gas 8h, ml]]-Table3.110[[#This Row],[Gas 0h, ml]]</f>
        <v>44.5</v>
      </c>
      <c r="AF963" s="94">
        <f>Table3.110[[#This Row],[Gas 24h, ml]]-Table3.110[[#This Row],[V8 Push back, ml]]</f>
        <v>45.5</v>
      </c>
      <c r="AG963" s="94">
        <f>Table3.110[[#This Row],[GP 8h, ml]]-(AVERAGE(AE$934,AE$935,AE$958,AE$959))*$AG$8</f>
        <v>42.50873479879084</v>
      </c>
      <c r="AH963" s="94">
        <f>Table3.110[[#This Row],[GP 8-24h, ml]]-(AVERAGE(AF$934,AF$935,AF$958,AF$959))*$AG$8</f>
        <v>42.844979731721118</v>
      </c>
      <c r="AI963" s="94">
        <f>Table3.110[[#This Row],[Net gas 8-24h, ml]]+Table3.110[[#This Row],[Net gas 8h, ml]]</f>
        <v>85.353714530511951</v>
      </c>
      <c r="AJ963" s="94">
        <f>Table3.110[[#This Row],[Net gas 8h, ml]]*Table3.110[[#This Row],[CH4 8h %]]%</f>
        <v>5.8236966674343442</v>
      </c>
      <c r="AK963" s="94">
        <f>Table3.110[[#This Row],[Net gas 8-24h, ml]]*Table3.110[[#This Row],[CH4 24h, %]]%</f>
        <v>7.1551116151974261</v>
      </c>
      <c r="AL963" s="94">
        <f>Table3.110[[#This Row],[CH4 8-24h, ml]]+Table3.110[[#This Row],[CH4 8h, ml]]</f>
        <v>12.978808282631771</v>
      </c>
      <c r="AM963" s="94">
        <f>(Table3.110[[#This Row],[Net gas 24h, ml]]/Table3.110[[#This Row],[DM Incubated, mg]])*1000</f>
        <v>185.76520839264694</v>
      </c>
      <c r="AN963" s="94">
        <f>'3.2 Digest'!X963</f>
        <v>54.338787790137452</v>
      </c>
      <c r="AO963" s="94">
        <f>Table3.110[[#This Row],[Digested feed, mg]]/Table3.110[[#This Row],[Net gas 24h, ml]]</f>
        <v>2.9251326586021977</v>
      </c>
      <c r="AP963" s="94">
        <f>Table3.110[[#This Row],[CH4 8h, ml]]/Table3.110[[#This Row],[Net gas 8h, ml]]%</f>
        <v>13.699999999999998</v>
      </c>
      <c r="AQ963" s="94">
        <f>Table3.110[[#This Row],[CH4 24h, ml]]/Table3.110[[#This Row],[Net gas 24h, ml]]%</f>
        <v>15.205909144108956</v>
      </c>
      <c r="AR963" s="94">
        <f>Table3.110[[#This Row],[CH4 24h, ml]]/Table3.110[[#This Row],[DM Incubated, mg]]*1000</f>
        <v>28.247288809550557</v>
      </c>
      <c r="AS963" s="94">
        <f>Table3.110[[#This Row],[CH4 24h, ml]]/Table3.110[[#This Row],[Digested feed, mg]]*1000</f>
        <v>51.983656533974923</v>
      </c>
      <c r="AT963" s="94">
        <f>Table3.110[[#This Row],[CH4 24h, ml]]/'3.2 Digest'!AA963</f>
        <v>0.78653432303331194</v>
      </c>
      <c r="AU963" s="94">
        <f>((Table3.110[[#This Row],[CH4 24h, ml]]/28.9)*16.04)/Table3.110[[#This Row],[DM Incubated, mg]]*1000</f>
        <v>15.677733996719407</v>
      </c>
      <c r="AV963" s="94">
        <f>((Table3.110[[#This Row],[CH4 24h, ml]]/28.9)*16.04)/Table3.110[[#This Row],[Digested feed, mg]]*1000</f>
        <v>28.851828747576391</v>
      </c>
    </row>
    <row r="964" spans="2:48" s="89" customFormat="1" x14ac:dyDescent="0.35">
      <c r="B964" s="90">
        <f t="shared" si="14"/>
        <v>954</v>
      </c>
      <c r="C964" s="140">
        <v>46078</v>
      </c>
      <c r="D964" s="6" t="s">
        <v>16</v>
      </c>
      <c r="E964" s="6" t="s">
        <v>362</v>
      </c>
      <c r="F964" s="6" t="s">
        <v>219</v>
      </c>
      <c r="G964" s="6" t="s">
        <v>253</v>
      </c>
      <c r="H964" s="6" t="s">
        <v>254</v>
      </c>
      <c r="I964" s="6" t="s">
        <v>22</v>
      </c>
      <c r="J964" s="129" t="s">
        <v>23</v>
      </c>
      <c r="K964" s="129" t="s">
        <v>215</v>
      </c>
      <c r="L964" s="6" t="s">
        <v>361</v>
      </c>
      <c r="M964" s="93">
        <v>29</v>
      </c>
      <c r="N964" s="93">
        <v>70</v>
      </c>
      <c r="O964" s="6">
        <v>3</v>
      </c>
      <c r="P964" s="6">
        <v>1</v>
      </c>
      <c r="Q964" s="6">
        <v>229</v>
      </c>
      <c r="R964" s="98">
        <v>0.50019999999999998</v>
      </c>
      <c r="S964" s="94">
        <f>((Table3.110[[#This Row],[Sample weight, g]]*'2.1. DM'!Q223)/100)*1000</f>
        <v>459.12912252648465</v>
      </c>
      <c r="T964" s="94">
        <f>'3.2 Digest'!W964</f>
        <v>306.72912252648467</v>
      </c>
      <c r="U964" s="117">
        <v>0.33263888888888887</v>
      </c>
      <c r="V964" s="155">
        <v>40.5</v>
      </c>
      <c r="W964" s="117">
        <v>0.66736111111111107</v>
      </c>
      <c r="X964" s="96">
        <v>83</v>
      </c>
      <c r="Y964" s="96">
        <v>12.5</v>
      </c>
      <c r="Z964" s="155">
        <v>40</v>
      </c>
      <c r="AA964" s="117">
        <v>0.34583333333333333</v>
      </c>
      <c r="AB964" s="155">
        <v>88.5</v>
      </c>
      <c r="AC964" s="155">
        <v>15.7</v>
      </c>
      <c r="AD964" s="96"/>
      <c r="AE964" s="94">
        <f>Table3.110[[#This Row],[Gas 8h, ml]]-Table3.110[[#This Row],[Gas 0h, ml]]</f>
        <v>42.5</v>
      </c>
      <c r="AF964" s="94">
        <f>Table3.110[[#This Row],[Gas 24h, ml]]-Table3.110[[#This Row],[V8 Push back, ml]]</f>
        <v>48.5</v>
      </c>
      <c r="AG964" s="94">
        <f>Table3.110[[#This Row],[GP 8h, ml]]-(AVERAGE(AE$934,AE$935,AE$958,AE$959))*$AG$8</f>
        <v>40.50873479879084</v>
      </c>
      <c r="AH964" s="94">
        <f>Table3.110[[#This Row],[GP 8-24h, ml]]-(AVERAGE(AF$934,AF$935,AF$958,AF$959))*$AG$8</f>
        <v>45.844979731721118</v>
      </c>
      <c r="AI964" s="94">
        <f>Table3.110[[#This Row],[Net gas 8-24h, ml]]+Table3.110[[#This Row],[Net gas 8h, ml]]</f>
        <v>86.353714530511951</v>
      </c>
      <c r="AJ964" s="94">
        <f>Table3.110[[#This Row],[Net gas 8h, ml]]*Table3.110[[#This Row],[CH4 8h %]]%</f>
        <v>5.063591849848855</v>
      </c>
      <c r="AK964" s="94">
        <f>Table3.110[[#This Row],[Net gas 8-24h, ml]]*Table3.110[[#This Row],[CH4 24h, %]]%</f>
        <v>7.1976618178802152</v>
      </c>
      <c r="AL964" s="94">
        <f>Table3.110[[#This Row],[CH4 8-24h, ml]]+Table3.110[[#This Row],[CH4 8h, ml]]</f>
        <v>12.26125366772907</v>
      </c>
      <c r="AM964" s="94">
        <f>(Table3.110[[#This Row],[Net gas 24h, ml]]/Table3.110[[#This Row],[DM Incubated, mg]])*1000</f>
        <v>188.08154458886602</v>
      </c>
      <c r="AN964" s="94">
        <f>'3.2 Digest'!X964</f>
        <v>66.806723310998677</v>
      </c>
      <c r="AO964" s="94">
        <f>Table3.110[[#This Row],[Digested feed, mg]]/Table3.110[[#This Row],[Net gas 24h, ml]]</f>
        <v>3.5520084363957034</v>
      </c>
      <c r="AP964" s="94">
        <f>Table3.110[[#This Row],[CH4 8h, ml]]/Table3.110[[#This Row],[Net gas 8h, ml]]%</f>
        <v>12.5</v>
      </c>
      <c r="AQ964" s="94">
        <f>Table3.110[[#This Row],[CH4 24h, ml]]/Table3.110[[#This Row],[Net gas 24h, ml]]%</f>
        <v>14.198872317642708</v>
      </c>
      <c r="AR964" s="94">
        <f>Table3.110[[#This Row],[CH4 24h, ml]]/Table3.110[[#This Row],[DM Incubated, mg]]*1000</f>
        <v>26.705458369223322</v>
      </c>
      <c r="AS964" s="94">
        <f>Table3.110[[#This Row],[CH4 24h, ml]]/Table3.110[[#This Row],[Digested feed, mg]]*1000</f>
        <v>39.974207752869532</v>
      </c>
      <c r="AT964" s="94">
        <f>Table3.110[[#This Row],[CH4 24h, ml]]/'3.2 Digest'!AA964</f>
        <v>0.41827865456329999</v>
      </c>
      <c r="AU964" s="94">
        <f>((Table3.110[[#This Row],[CH4 24h, ml]]/28.9)*16.04)/Table3.110[[#This Row],[DM Incubated, mg]]*1000</f>
        <v>14.821991427070662</v>
      </c>
      <c r="AV964" s="94">
        <f>((Table3.110[[#This Row],[CH4 24h, ml]]/28.9)*16.04)/Table3.110[[#This Row],[Digested feed, mg]]*1000</f>
        <v>22.186376898132426</v>
      </c>
    </row>
    <row r="965" spans="2:48" s="89" customFormat="1" x14ac:dyDescent="0.35">
      <c r="B965" s="90">
        <f t="shared" si="14"/>
        <v>955</v>
      </c>
      <c r="C965" s="140">
        <v>46078</v>
      </c>
      <c r="D965" s="6" t="s">
        <v>16</v>
      </c>
      <c r="E965" s="6" t="s">
        <v>362</v>
      </c>
      <c r="F965" s="6" t="s">
        <v>219</v>
      </c>
      <c r="G965" s="6" t="s">
        <v>253</v>
      </c>
      <c r="H965" s="6" t="s">
        <v>254</v>
      </c>
      <c r="I965" s="6" t="s">
        <v>22</v>
      </c>
      <c r="J965" s="129" t="s">
        <v>23</v>
      </c>
      <c r="K965" s="129" t="s">
        <v>215</v>
      </c>
      <c r="L965" s="6" t="s">
        <v>361</v>
      </c>
      <c r="M965" s="93">
        <v>29</v>
      </c>
      <c r="N965" s="93">
        <v>70</v>
      </c>
      <c r="O965" s="6">
        <v>3</v>
      </c>
      <c r="P965" s="129">
        <v>2</v>
      </c>
      <c r="Q965" s="6">
        <v>230</v>
      </c>
      <c r="R965" s="98">
        <v>0.50019999999999998</v>
      </c>
      <c r="S965" s="94">
        <f>((Table3.110[[#This Row],[Sample weight, g]]*'2.1. DM'!Q223)/100)*1000</f>
        <v>459.12912252648465</v>
      </c>
      <c r="T965" s="94">
        <f>'3.2 Digest'!W965</f>
        <v>300.72912252648467</v>
      </c>
      <c r="U965" s="153">
        <v>0.33263888888888887</v>
      </c>
      <c r="V965" s="154">
        <v>40.5</v>
      </c>
      <c r="W965" s="153">
        <v>0.66805555555555551</v>
      </c>
      <c r="X965" s="91">
        <v>82.5</v>
      </c>
      <c r="Y965" s="91">
        <v>12.4</v>
      </c>
      <c r="Z965" s="154">
        <v>40</v>
      </c>
      <c r="AA965" s="153">
        <v>0.34652777777777777</v>
      </c>
      <c r="AB965" s="154">
        <v>92.5</v>
      </c>
      <c r="AC965" s="154">
        <v>15.5</v>
      </c>
      <c r="AD965" s="91"/>
      <c r="AE965" s="94">
        <f>Table3.110[[#This Row],[Gas 8h, ml]]-Table3.110[[#This Row],[Gas 0h, ml]]</f>
        <v>42</v>
      </c>
      <c r="AF965" s="94">
        <f>Table3.110[[#This Row],[Gas 24h, ml]]-Table3.110[[#This Row],[V8 Push back, ml]]</f>
        <v>52.5</v>
      </c>
      <c r="AG965" s="94">
        <f>Table3.110[[#This Row],[GP 8h, ml]]-(AVERAGE(AE$934,AE$935,AE$958,AE$959))*$AG$8</f>
        <v>40.00873479879084</v>
      </c>
      <c r="AH965" s="94">
        <f>Table3.110[[#This Row],[GP 8-24h, ml]]-(AVERAGE(AF$934,AF$935,AF$958,AF$959))*$AG$8</f>
        <v>49.844979731721118</v>
      </c>
      <c r="AI965" s="94">
        <f>Table3.110[[#This Row],[Net gas 8-24h, ml]]+Table3.110[[#This Row],[Net gas 8h, ml]]</f>
        <v>89.853714530511951</v>
      </c>
      <c r="AJ965" s="94">
        <f>Table3.110[[#This Row],[Net gas 8h, ml]]*Table3.110[[#This Row],[CH4 8h %]]%</f>
        <v>4.9610831150500641</v>
      </c>
      <c r="AK965" s="94">
        <f>Table3.110[[#This Row],[Net gas 8-24h, ml]]*Table3.110[[#This Row],[CH4 24h, %]]%</f>
        <v>7.7259718584167736</v>
      </c>
      <c r="AL965" s="94">
        <f>Table3.110[[#This Row],[CH4 8-24h, ml]]+Table3.110[[#This Row],[CH4 8h, ml]]</f>
        <v>12.687054973466838</v>
      </c>
      <c r="AM965" s="94">
        <f>(Table3.110[[#This Row],[Net gas 24h, ml]]/Table3.110[[#This Row],[DM Incubated, mg]])*1000</f>
        <v>195.70467243738995</v>
      </c>
      <c r="AN965" s="94">
        <f>'3.2 Digest'!X965</f>
        <v>65.499901394108846</v>
      </c>
      <c r="AO965" s="94">
        <f>Table3.110[[#This Row],[Digested feed, mg]]/Table3.110[[#This Row],[Net gas 24h, ml]]</f>
        <v>3.3468746851235069</v>
      </c>
      <c r="AP965" s="94">
        <f>Table3.110[[#This Row],[CH4 8h, ml]]/Table3.110[[#This Row],[Net gas 8h, ml]]%</f>
        <v>12.4</v>
      </c>
      <c r="AQ965" s="94">
        <f>Table3.110[[#This Row],[CH4 24h, ml]]/Table3.110[[#This Row],[Net gas 24h, ml]]%</f>
        <v>14.119677789345758</v>
      </c>
      <c r="AR965" s="94">
        <f>Table3.110[[#This Row],[CH4 24h, ml]]/Table3.110[[#This Row],[DM Incubated, mg]]*1000</f>
        <v>27.632869166854018</v>
      </c>
      <c r="AS965" s="94">
        <f>Table3.110[[#This Row],[CH4 24h, ml]]/Table3.110[[#This Row],[Digested feed, mg]]*1000</f>
        <v>42.18765002498057</v>
      </c>
      <c r="AT965" s="94">
        <f>Table3.110[[#This Row],[CH4 24h, ml]]/'3.2 Digest'!AA965</f>
        <v>0.47820330078142059</v>
      </c>
      <c r="AU965" s="94">
        <f>((Table3.110[[#This Row],[CH4 24h, ml]]/28.9)*16.04)/Table3.110[[#This Row],[DM Incubated, mg]]*1000</f>
        <v>15.336720464925206</v>
      </c>
      <c r="AV965" s="94">
        <f>((Table3.110[[#This Row],[CH4 24h, ml]]/28.9)*16.04)/Table3.110[[#This Row],[Digested feed, mg]]*1000</f>
        <v>23.414875654003062</v>
      </c>
    </row>
    <row r="966" spans="2:48" s="89" customFormat="1" x14ac:dyDescent="0.35">
      <c r="B966" s="90">
        <f t="shared" si="14"/>
        <v>956</v>
      </c>
      <c r="C966" s="140">
        <v>46078</v>
      </c>
      <c r="D966" s="6" t="s">
        <v>16</v>
      </c>
      <c r="E966" s="6" t="s">
        <v>364</v>
      </c>
      <c r="F966" s="6" t="s">
        <v>219</v>
      </c>
      <c r="G966" s="6" t="s">
        <v>365</v>
      </c>
      <c r="H966" s="6" t="s">
        <v>366</v>
      </c>
      <c r="I966" s="6" t="s">
        <v>22</v>
      </c>
      <c r="J966" s="129" t="s">
        <v>23</v>
      </c>
      <c r="K966" s="129" t="s">
        <v>215</v>
      </c>
      <c r="L966" s="6" t="s">
        <v>363</v>
      </c>
      <c r="M966" s="93">
        <v>29</v>
      </c>
      <c r="N966" s="93">
        <v>70</v>
      </c>
      <c r="O966" s="6">
        <v>3</v>
      </c>
      <c r="P966" s="6">
        <v>1</v>
      </c>
      <c r="Q966" s="6">
        <v>231</v>
      </c>
      <c r="R966" s="98">
        <v>0.50009999999999999</v>
      </c>
      <c r="S966" s="94">
        <f>((Table3.110[[#This Row],[Sample weight, g]]*'2.1. DM'!Q225)/100)*1000</f>
        <v>453.37029499999971</v>
      </c>
      <c r="T966" s="94">
        <f>'3.2 Digest'!W966</f>
        <v>282.87029499999971</v>
      </c>
      <c r="U966" s="153">
        <v>0.33333333333333331</v>
      </c>
      <c r="V966" s="154">
        <v>40.5</v>
      </c>
      <c r="W966" s="153">
        <v>0.66805555555555551</v>
      </c>
      <c r="X966" s="91">
        <v>89.5</v>
      </c>
      <c r="Y966" s="91">
        <v>13.5</v>
      </c>
      <c r="Z966" s="154">
        <v>40</v>
      </c>
      <c r="AA966" s="153">
        <v>0.34652777777777777</v>
      </c>
      <c r="AB966" s="154">
        <v>89</v>
      </c>
      <c r="AC966" s="154">
        <v>17.100000000000001</v>
      </c>
      <c r="AD966" s="91"/>
      <c r="AE966" s="94">
        <f>Table3.110[[#This Row],[Gas 8h, ml]]-Table3.110[[#This Row],[Gas 0h, ml]]</f>
        <v>49</v>
      </c>
      <c r="AF966" s="94">
        <f>Table3.110[[#This Row],[Gas 24h, ml]]-Table3.110[[#This Row],[V8 Push back, ml]]</f>
        <v>49</v>
      </c>
      <c r="AG966" s="94">
        <f>Table3.110[[#This Row],[GP 8h, ml]]-(AVERAGE(AE$934,AE$935,AE$958,AE$959))*$AG$8</f>
        <v>47.00873479879084</v>
      </c>
      <c r="AH966" s="94">
        <f>Table3.110[[#This Row],[GP 8-24h, ml]]-(AVERAGE(AF$934,AF$935,AF$958,AF$959))*$AG$8</f>
        <v>46.344979731721118</v>
      </c>
      <c r="AI966" s="94">
        <f>Table3.110[[#This Row],[Net gas 8-24h, ml]]+Table3.110[[#This Row],[Net gas 8h, ml]]</f>
        <v>93.353714530511951</v>
      </c>
      <c r="AJ966" s="94">
        <f>Table3.110[[#This Row],[Net gas 8h, ml]]*Table3.110[[#This Row],[CH4 8h %]]%</f>
        <v>6.3461791978367641</v>
      </c>
      <c r="AK966" s="94">
        <f>Table3.110[[#This Row],[Net gas 8-24h, ml]]*Table3.110[[#This Row],[CH4 24h, %]]%</f>
        <v>7.9249915341243113</v>
      </c>
      <c r="AL966" s="94">
        <f>Table3.110[[#This Row],[CH4 8-24h, ml]]+Table3.110[[#This Row],[CH4 8h, ml]]</f>
        <v>14.271170731961075</v>
      </c>
      <c r="AM966" s="94">
        <f>(Table3.110[[#This Row],[Net gas 24h, ml]]/Table3.110[[#This Row],[DM Incubated, mg]])*1000</f>
        <v>205.910522943529</v>
      </c>
      <c r="AN966" s="94">
        <f>'3.2 Digest'!X966</f>
        <v>62.392772115782293</v>
      </c>
      <c r="AO966" s="94">
        <f>Table3.110[[#This Row],[Digested feed, mg]]/Table3.110[[#This Row],[Net gas 24h, ml]]</f>
        <v>3.0300914797294509</v>
      </c>
      <c r="AP966" s="94">
        <f>Table3.110[[#This Row],[CH4 8h, ml]]/Table3.110[[#This Row],[Net gas 8h, ml]]%</f>
        <v>13.500000000000002</v>
      </c>
      <c r="AQ966" s="94">
        <f>Table3.110[[#This Row],[CH4 24h, ml]]/Table3.110[[#This Row],[Net gas 24h, ml]]%</f>
        <v>15.287201804162438</v>
      </c>
      <c r="AR966" s="94">
        <f>Table3.110[[#This Row],[CH4 24h, ml]]/Table3.110[[#This Row],[DM Incubated, mg]]*1000</f>
        <v>31.477957178383477</v>
      </c>
      <c r="AS966" s="94">
        <f>Table3.110[[#This Row],[CH4 24h, ml]]/Table3.110[[#This Row],[Digested feed, mg]]*1000</f>
        <v>50.451288043380764</v>
      </c>
      <c r="AT966" s="94">
        <f>Table3.110[[#This Row],[CH4 24h, ml]]/'3.2 Digest'!AA966</f>
        <v>1.3714839169009909</v>
      </c>
      <c r="AU966" s="94">
        <f>((Table3.110[[#This Row],[CH4 24h, ml]]/28.9)*16.04)/Table3.110[[#This Row],[DM Incubated, mg]]*1000</f>
        <v>17.470810835338092</v>
      </c>
      <c r="AV966" s="94">
        <f>((Table3.110[[#This Row],[CH4 24h, ml]]/28.9)*16.04)/Table3.110[[#This Row],[Digested feed, mg]]*1000</f>
        <v>28.001337723731051</v>
      </c>
    </row>
    <row r="967" spans="2:48" s="89" customFormat="1" x14ac:dyDescent="0.35">
      <c r="B967" s="90">
        <f t="shared" si="14"/>
        <v>957</v>
      </c>
      <c r="C967" s="140">
        <v>46078</v>
      </c>
      <c r="D967" s="6" t="s">
        <v>16</v>
      </c>
      <c r="E967" s="6" t="s">
        <v>364</v>
      </c>
      <c r="F967" s="6" t="s">
        <v>219</v>
      </c>
      <c r="G967" s="6" t="s">
        <v>365</v>
      </c>
      <c r="H967" s="6" t="s">
        <v>366</v>
      </c>
      <c r="I967" s="6" t="s">
        <v>22</v>
      </c>
      <c r="J967" s="129" t="s">
        <v>23</v>
      </c>
      <c r="K967" s="129" t="s">
        <v>215</v>
      </c>
      <c r="L967" s="6" t="s">
        <v>363</v>
      </c>
      <c r="M967" s="93">
        <v>29</v>
      </c>
      <c r="N967" s="93">
        <v>70</v>
      </c>
      <c r="O967" s="6">
        <v>3</v>
      </c>
      <c r="P967" s="129">
        <v>2</v>
      </c>
      <c r="Q967" s="6">
        <v>232</v>
      </c>
      <c r="R967" s="98">
        <v>0.50019999999999998</v>
      </c>
      <c r="S967" s="94">
        <f>((Table3.110[[#This Row],[Sample weight, g]]*'2.1. DM'!Q225)/100)*1000</f>
        <v>453.46095092781417</v>
      </c>
      <c r="T967" s="94">
        <f>'3.2 Digest'!W967</f>
        <v>263.6609509278141</v>
      </c>
      <c r="U967" s="117">
        <v>0.33333333333333331</v>
      </c>
      <c r="V967" s="155">
        <v>40.5</v>
      </c>
      <c r="W967" s="117">
        <v>0.66874999999999996</v>
      </c>
      <c r="X967" s="96">
        <v>89</v>
      </c>
      <c r="Y967" s="96">
        <v>13.4</v>
      </c>
      <c r="Z967" s="155">
        <v>40</v>
      </c>
      <c r="AA967" s="117">
        <v>0.34722222222222221</v>
      </c>
      <c r="AB967" s="155">
        <v>89</v>
      </c>
      <c r="AC967" s="155">
        <v>16.8</v>
      </c>
      <c r="AD967" s="96"/>
      <c r="AE967" s="94">
        <f>Table3.110[[#This Row],[Gas 8h, ml]]-Table3.110[[#This Row],[Gas 0h, ml]]</f>
        <v>48.5</v>
      </c>
      <c r="AF967" s="94">
        <f>Table3.110[[#This Row],[Gas 24h, ml]]-Table3.110[[#This Row],[V8 Push back, ml]]</f>
        <v>49</v>
      </c>
      <c r="AG967" s="94">
        <f>Table3.110[[#This Row],[GP 8h, ml]]-(AVERAGE(AE$934,AE$935,AE$958,AE$959))*$AG$8</f>
        <v>46.50873479879084</v>
      </c>
      <c r="AH967" s="94">
        <f>Table3.110[[#This Row],[GP 8-24h, ml]]-(AVERAGE(AF$934,AF$935,AF$958,AF$959))*$AG$8</f>
        <v>46.344979731721118</v>
      </c>
      <c r="AI967" s="94">
        <f>Table3.110[[#This Row],[Net gas 8-24h, ml]]+Table3.110[[#This Row],[Net gas 8h, ml]]</f>
        <v>92.853714530511951</v>
      </c>
      <c r="AJ967" s="94">
        <f>Table3.110[[#This Row],[Net gas 8h, ml]]*Table3.110[[#This Row],[CH4 8h %]]%</f>
        <v>6.2321704630379733</v>
      </c>
      <c r="AK967" s="94">
        <f>Table3.110[[#This Row],[Net gas 8-24h, ml]]*Table3.110[[#This Row],[CH4 24h, %]]%</f>
        <v>7.7859565949291483</v>
      </c>
      <c r="AL967" s="94">
        <f>Table3.110[[#This Row],[CH4 8-24h, ml]]+Table3.110[[#This Row],[CH4 8h, ml]]</f>
        <v>14.018127057967121</v>
      </c>
      <c r="AM967" s="94">
        <f>(Table3.110[[#This Row],[Net gas 24h, ml]]/Table3.110[[#This Row],[DM Incubated, mg]])*1000</f>
        <v>204.7667265296526</v>
      </c>
      <c r="AN967" s="94">
        <f>'3.2 Digest'!X967</f>
        <v>58.144135760387869</v>
      </c>
      <c r="AO967" s="94">
        <f>Table3.110[[#This Row],[Digested feed, mg]]/Table3.110[[#This Row],[Net gas 24h, ml]]</f>
        <v>2.8395304620923323</v>
      </c>
      <c r="AP967" s="94">
        <f>Table3.110[[#This Row],[CH4 8h, ml]]/Table3.110[[#This Row],[Net gas 8h, ml]]%</f>
        <v>13.400000000000002</v>
      </c>
      <c r="AQ967" s="94">
        <f>Table3.110[[#This Row],[CH4 24h, ml]]/Table3.110[[#This Row],[Net gas 24h, ml]]%</f>
        <v>15.09700191192753</v>
      </c>
      <c r="AR967" s="94">
        <f>Table3.110[[#This Row],[CH4 24h, ml]]/Table3.110[[#This Row],[DM Incubated, mg]]*1000</f>
        <v>30.913636619173076</v>
      </c>
      <c r="AS967" s="94">
        <f>Table3.110[[#This Row],[CH4 24h, ml]]/Table3.110[[#This Row],[Digested feed, mg]]*1000</f>
        <v>53.167247590656856</v>
      </c>
      <c r="AT967" s="94">
        <f>Table3.110[[#This Row],[CH4 24h, ml]]/'3.2 Digest'!AA967</f>
        <v>49.391727864852058</v>
      </c>
      <c r="AU967" s="94">
        <f>((Table3.110[[#This Row],[CH4 24h, ml]]/28.9)*16.04)/Table3.110[[#This Row],[DM Incubated, mg]]*1000</f>
        <v>17.157603161644847</v>
      </c>
      <c r="AV967" s="94">
        <f>((Table3.110[[#This Row],[CH4 24h, ml]]/28.9)*16.04)/Table3.110[[#This Row],[Digested feed, mg]]*1000</f>
        <v>29.50874226138879</v>
      </c>
    </row>
    <row r="968" spans="2:48" s="89" customFormat="1" x14ac:dyDescent="0.35">
      <c r="B968" s="90">
        <f t="shared" si="14"/>
        <v>958</v>
      </c>
      <c r="C968" s="140">
        <v>46078</v>
      </c>
      <c r="D968" s="6" t="s">
        <v>16</v>
      </c>
      <c r="E968" s="6" t="s">
        <v>368</v>
      </c>
      <c r="F968" s="6" t="s">
        <v>219</v>
      </c>
      <c r="G968" s="6" t="s">
        <v>365</v>
      </c>
      <c r="H968" s="6" t="s">
        <v>366</v>
      </c>
      <c r="I968" s="6" t="s">
        <v>22</v>
      </c>
      <c r="J968" s="129" t="s">
        <v>23</v>
      </c>
      <c r="K968" s="129" t="s">
        <v>215</v>
      </c>
      <c r="L968" s="6" t="s">
        <v>367</v>
      </c>
      <c r="M968" s="93">
        <v>29</v>
      </c>
      <c r="N968" s="93">
        <v>70</v>
      </c>
      <c r="O968" s="6">
        <v>3</v>
      </c>
      <c r="P968" s="129">
        <v>1</v>
      </c>
      <c r="Q968" s="6">
        <v>233</v>
      </c>
      <c r="R968" s="98">
        <v>0.50019999999999998</v>
      </c>
      <c r="S968" s="94">
        <f>((Table3.110[[#This Row],[Sample weight, g]]*'2.1. DM'!Q227)/100)*1000</f>
        <v>455.53660633936607</v>
      </c>
      <c r="T968" s="94">
        <f>'3.2 Digest'!W968</f>
        <v>258.43660633936599</v>
      </c>
      <c r="U968" s="153">
        <v>0.33333333333333331</v>
      </c>
      <c r="V968" s="154">
        <v>41</v>
      </c>
      <c r="W968" s="153">
        <v>0.66874999999999996</v>
      </c>
      <c r="X968" s="91">
        <v>83.5</v>
      </c>
      <c r="Y968" s="91">
        <v>13.3</v>
      </c>
      <c r="Z968" s="154">
        <v>40.5</v>
      </c>
      <c r="AA968" s="153">
        <v>0.34722222222222221</v>
      </c>
      <c r="AB968" s="154">
        <v>90.5</v>
      </c>
      <c r="AC968" s="154">
        <v>16.5</v>
      </c>
      <c r="AD968" s="91"/>
      <c r="AE968" s="94">
        <f>Table3.110[[#This Row],[Gas 8h, ml]]-Table3.110[[#This Row],[Gas 0h, ml]]</f>
        <v>42.5</v>
      </c>
      <c r="AF968" s="94">
        <f>Table3.110[[#This Row],[Gas 24h, ml]]-Table3.110[[#This Row],[V8 Push back, ml]]</f>
        <v>50</v>
      </c>
      <c r="AG968" s="94">
        <f>Table3.110[[#This Row],[GP 8h, ml]]-(AVERAGE(AE$934,AE$935,AE$958,AE$959))*$AG$8</f>
        <v>40.50873479879084</v>
      </c>
      <c r="AH968" s="94">
        <f>Table3.110[[#This Row],[GP 8-24h, ml]]-(AVERAGE(AF$934,AF$935,AF$958,AF$959))*$AG$8</f>
        <v>47.344979731721118</v>
      </c>
      <c r="AI968" s="94">
        <f>Table3.110[[#This Row],[Net gas 8-24h, ml]]+Table3.110[[#This Row],[Net gas 8h, ml]]</f>
        <v>87.853714530511951</v>
      </c>
      <c r="AJ968" s="94">
        <f>Table3.110[[#This Row],[Net gas 8h, ml]]*Table3.110[[#This Row],[CH4 8h %]]%</f>
        <v>5.3876617282391823</v>
      </c>
      <c r="AK968" s="94">
        <f>Table3.110[[#This Row],[Net gas 8-24h, ml]]*Table3.110[[#This Row],[CH4 24h, %]]%</f>
        <v>7.8119216557339852</v>
      </c>
      <c r="AL968" s="94">
        <f>Table3.110[[#This Row],[CH4 8-24h, ml]]+Table3.110[[#This Row],[CH4 8h, ml]]</f>
        <v>13.199583383973167</v>
      </c>
      <c r="AM968" s="94">
        <f>(Table3.110[[#This Row],[Net gas 24h, ml]]/Table3.110[[#This Row],[DM Incubated, mg]])*1000</f>
        <v>192.85763933768828</v>
      </c>
      <c r="AN968" s="94">
        <f>'3.2 Digest'!X968</f>
        <v>56.73234658705686</v>
      </c>
      <c r="AO968" s="94">
        <f>Table3.110[[#This Row],[Digested feed, mg]]/Table3.110[[#This Row],[Net gas 24h, ml]]</f>
        <v>2.9416696575716204</v>
      </c>
      <c r="AP968" s="94">
        <f>Table3.110[[#This Row],[CH4 8h, ml]]/Table3.110[[#This Row],[Net gas 8h, ml]]%</f>
        <v>13.3</v>
      </c>
      <c r="AQ968" s="94">
        <f>Table3.110[[#This Row],[CH4 24h, ml]]/Table3.110[[#This Row],[Net gas 24h, ml]]%</f>
        <v>15.02450232697776</v>
      </c>
      <c r="AR968" s="94">
        <f>Table3.110[[#This Row],[CH4 24h, ml]]/Table3.110[[#This Row],[DM Incubated, mg]]*1000</f>
        <v>28.975900510045353</v>
      </c>
      <c r="AS968" s="94">
        <f>Table3.110[[#This Row],[CH4 24h, ml]]/Table3.110[[#This Row],[Digested feed, mg]]*1000</f>
        <v>51.074743516172532</v>
      </c>
      <c r="AT968" s="94">
        <f>Table3.110[[#This Row],[CH4 24h, ml]]/'3.2 Digest'!AA968</f>
        <v>1.1352781764198807</v>
      </c>
      <c r="AU968" s="94">
        <f>((Table3.110[[#This Row],[CH4 24h, ml]]/28.9)*16.04)/Table3.110[[#This Row],[DM Incubated, mg]]*1000</f>
        <v>16.082126096232784</v>
      </c>
      <c r="AV968" s="94">
        <f>((Table3.110[[#This Row],[CH4 24h, ml]]/28.9)*16.04)/Table3.110[[#This Row],[Digested feed, mg]]*1000</f>
        <v>28.34736629755735</v>
      </c>
    </row>
    <row r="969" spans="2:48" s="89" customFormat="1" x14ac:dyDescent="0.35">
      <c r="B969" s="90">
        <f t="shared" si="14"/>
        <v>959</v>
      </c>
      <c r="C969" s="140">
        <v>46078</v>
      </c>
      <c r="D969" s="6" t="s">
        <v>16</v>
      </c>
      <c r="E969" s="6" t="s">
        <v>368</v>
      </c>
      <c r="F969" s="6" t="s">
        <v>219</v>
      </c>
      <c r="G969" s="6" t="s">
        <v>365</v>
      </c>
      <c r="H969" s="6" t="s">
        <v>366</v>
      </c>
      <c r="I969" s="6" t="s">
        <v>22</v>
      </c>
      <c r="J969" s="129" t="s">
        <v>23</v>
      </c>
      <c r="K969" s="129" t="s">
        <v>215</v>
      </c>
      <c r="L969" s="6" t="s">
        <v>367</v>
      </c>
      <c r="M969" s="93">
        <v>29</v>
      </c>
      <c r="N969" s="93">
        <v>70</v>
      </c>
      <c r="O969" s="6">
        <v>3</v>
      </c>
      <c r="P969" s="129">
        <v>2</v>
      </c>
      <c r="Q969" s="6">
        <v>234</v>
      </c>
      <c r="R969" s="98">
        <v>0.5</v>
      </c>
      <c r="S969" s="94">
        <f>((Table3.110[[#This Row],[Sample weight, g]]*'2.1. DM'!Q227)/100)*1000</f>
        <v>455.35446455354469</v>
      </c>
      <c r="T969" s="94">
        <f>'3.2 Digest'!W969</f>
        <v>234.05446455354473</v>
      </c>
      <c r="U969" s="117">
        <v>0.33402777777777776</v>
      </c>
      <c r="V969" s="155">
        <v>41</v>
      </c>
      <c r="W969" s="117">
        <v>0.6694444444444444</v>
      </c>
      <c r="X969" s="96">
        <v>82.5</v>
      </c>
      <c r="Y969" s="96">
        <v>13.1</v>
      </c>
      <c r="Z969" s="155">
        <v>40</v>
      </c>
      <c r="AA969" s="117">
        <v>0.34791666666666665</v>
      </c>
      <c r="AB969" s="155">
        <v>89</v>
      </c>
      <c r="AC969" s="155">
        <v>16.399999999999999</v>
      </c>
      <c r="AD969" s="96"/>
      <c r="AE969" s="94">
        <f>Table3.110[[#This Row],[Gas 8h, ml]]-Table3.110[[#This Row],[Gas 0h, ml]]</f>
        <v>41.5</v>
      </c>
      <c r="AF969" s="94">
        <f>Table3.110[[#This Row],[Gas 24h, ml]]-Table3.110[[#This Row],[V8 Push back, ml]]</f>
        <v>49</v>
      </c>
      <c r="AG969" s="94">
        <f>Table3.110[[#This Row],[GP 8h, ml]]-(AVERAGE(AE$934,AE$935,AE$958,AE$959))*$AG$8</f>
        <v>39.50873479879084</v>
      </c>
      <c r="AH969" s="94">
        <f>Table3.110[[#This Row],[GP 8-24h, ml]]-(AVERAGE(AF$934,AF$935,AF$958,AF$959))*$AG$8</f>
        <v>46.344979731721118</v>
      </c>
      <c r="AI969" s="94">
        <f>Table3.110[[#This Row],[Net gas 8-24h, ml]]+Table3.110[[#This Row],[Net gas 8h, ml]]</f>
        <v>85.853714530511951</v>
      </c>
      <c r="AJ969" s="94">
        <f>Table3.110[[#This Row],[Net gas 8h, ml]]*Table3.110[[#This Row],[CH4 8h %]]%</f>
        <v>5.1756442586416007</v>
      </c>
      <c r="AK969" s="94">
        <f>Table3.110[[#This Row],[Net gas 8-24h, ml]]*Table3.110[[#This Row],[CH4 24h, %]]%</f>
        <v>7.6005766760022624</v>
      </c>
      <c r="AL969" s="94">
        <f>Table3.110[[#This Row],[CH4 8-24h, ml]]+Table3.110[[#This Row],[CH4 8h, ml]]</f>
        <v>12.776220934643863</v>
      </c>
      <c r="AM969" s="94">
        <f>(Table3.110[[#This Row],[Net gas 24h, ml]]/Table3.110[[#This Row],[DM Incubated, mg]])*1000</f>
        <v>188.54259969689284</v>
      </c>
      <c r="AN969" s="94">
        <f>'3.2 Digest'!X969</f>
        <v>51.400498462889779</v>
      </c>
      <c r="AO969" s="94">
        <f>Table3.110[[#This Row],[Digested feed, mg]]/Table3.110[[#This Row],[Net gas 24h, ml]]</f>
        <v>2.7262007920503315</v>
      </c>
      <c r="AP969" s="94">
        <f>Table3.110[[#This Row],[CH4 8h, ml]]/Table3.110[[#This Row],[Net gas 8h, ml]]%</f>
        <v>13.100000000000001</v>
      </c>
      <c r="AQ969" s="94">
        <f>Table3.110[[#This Row],[CH4 24h, ml]]/Table3.110[[#This Row],[Net gas 24h, ml]]%</f>
        <v>14.881383996615851</v>
      </c>
      <c r="AR969" s="94">
        <f>Table3.110[[#This Row],[CH4 24h, ml]]/Table3.110[[#This Row],[DM Incubated, mg]]*1000</f>
        <v>28.057748258096893</v>
      </c>
      <c r="AS969" s="94">
        <f>Table3.110[[#This Row],[CH4 24h, ml]]/Table3.110[[#This Row],[Digested feed, mg]]*1000</f>
        <v>54.58652950292705</v>
      </c>
      <c r="AT969" s="94">
        <f>Table3.110[[#This Row],[CH4 24h, ml]]/'3.2 Digest'!AA969</f>
        <v>17.345961775227742</v>
      </c>
      <c r="AU969" s="94">
        <f>((Table3.110[[#This Row],[CH4 24h, ml]]/28.9)*16.04)/Table3.110[[#This Row],[DM Incubated, mg]]*1000</f>
        <v>15.572535711414332</v>
      </c>
      <c r="AV969" s="94">
        <f>((Table3.110[[#This Row],[CH4 24h, ml]]/28.9)*16.04)/Table3.110[[#This Row],[Digested feed, mg]]*1000</f>
        <v>30.296468277749128</v>
      </c>
    </row>
    <row r="970" spans="2:48" s="89" customFormat="1" x14ac:dyDescent="0.35">
      <c r="B970" s="90">
        <f t="shared" si="14"/>
        <v>960</v>
      </c>
      <c r="C970" s="140">
        <v>46078</v>
      </c>
      <c r="D970" s="6" t="s">
        <v>16</v>
      </c>
      <c r="E970" s="6" t="s">
        <v>370</v>
      </c>
      <c r="F970" s="6" t="s">
        <v>219</v>
      </c>
      <c r="G970" s="6" t="s">
        <v>365</v>
      </c>
      <c r="H970" s="6" t="s">
        <v>366</v>
      </c>
      <c r="I970" s="6" t="s">
        <v>22</v>
      </c>
      <c r="J970" s="129" t="s">
        <v>23</v>
      </c>
      <c r="K970" s="129" t="s">
        <v>215</v>
      </c>
      <c r="L970" s="6" t="s">
        <v>369</v>
      </c>
      <c r="M970" s="93">
        <v>29</v>
      </c>
      <c r="N970" s="93">
        <v>70</v>
      </c>
      <c r="O970" s="6">
        <v>3</v>
      </c>
      <c r="P970" s="129">
        <v>1</v>
      </c>
      <c r="Q970" s="6">
        <v>235</v>
      </c>
      <c r="R970" s="98">
        <v>0.50039999999999996</v>
      </c>
      <c r="S970" s="94">
        <f>((Table3.110[[#This Row],[Sample weight, g]]*'2.1. DM'!Q229)/100)*1000</f>
        <v>458.23946068940307</v>
      </c>
      <c r="T970" s="94">
        <f>'3.2 Digest'!W970</f>
        <v>310.13946068940305</v>
      </c>
      <c r="U970" s="153">
        <v>0.33402777777777776</v>
      </c>
      <c r="V970" s="154">
        <v>40.5</v>
      </c>
      <c r="W970" s="153">
        <v>0.67013888888888884</v>
      </c>
      <c r="X970" s="91">
        <v>89</v>
      </c>
      <c r="Y970" s="91">
        <v>13.3</v>
      </c>
      <c r="Z970" s="154">
        <v>39.5</v>
      </c>
      <c r="AA970" s="153">
        <v>0.34861111111111109</v>
      </c>
      <c r="AB970" s="154">
        <v>95.5</v>
      </c>
      <c r="AC970" s="154">
        <v>17</v>
      </c>
      <c r="AD970" s="91"/>
      <c r="AE970" s="94">
        <f>Table3.110[[#This Row],[Gas 8h, ml]]-Table3.110[[#This Row],[Gas 0h, ml]]</f>
        <v>48.5</v>
      </c>
      <c r="AF970" s="94">
        <f>Table3.110[[#This Row],[Gas 24h, ml]]-Table3.110[[#This Row],[V8 Push back, ml]]</f>
        <v>56</v>
      </c>
      <c r="AG970" s="94">
        <f>Table3.110[[#This Row],[GP 8h, ml]]-(AVERAGE(AE$934,AE$935,AE$958,AE$959))*$AG$8</f>
        <v>46.50873479879084</v>
      </c>
      <c r="AH970" s="94">
        <f>Table3.110[[#This Row],[GP 8-24h, ml]]-(AVERAGE(AF$934,AF$935,AF$958,AF$959))*$AG$8</f>
        <v>53.344979731721118</v>
      </c>
      <c r="AI970" s="94">
        <f>Table3.110[[#This Row],[Net gas 8-24h, ml]]+Table3.110[[#This Row],[Net gas 8h, ml]]</f>
        <v>99.853714530511951</v>
      </c>
      <c r="AJ970" s="94">
        <f>Table3.110[[#This Row],[Net gas 8h, ml]]*Table3.110[[#This Row],[CH4 8h %]]%</f>
        <v>6.1856617282391824</v>
      </c>
      <c r="AK970" s="94">
        <f>Table3.110[[#This Row],[Net gas 8-24h, ml]]*Table3.110[[#This Row],[CH4 24h, %]]%</f>
        <v>9.0686465543925898</v>
      </c>
      <c r="AL970" s="94">
        <f>Table3.110[[#This Row],[CH4 8-24h, ml]]+Table3.110[[#This Row],[CH4 8h, ml]]</f>
        <v>15.254308282631772</v>
      </c>
      <c r="AM970" s="94">
        <f>(Table3.110[[#This Row],[Net gas 24h, ml]]/Table3.110[[#This Row],[DM Incubated, mg]])*1000</f>
        <v>217.90728013752025</v>
      </c>
      <c r="AN970" s="94">
        <f>'3.2 Digest'!X970</f>
        <v>67.680653303582929</v>
      </c>
      <c r="AO970" s="94">
        <f>Table3.110[[#This Row],[Digested feed, mg]]/Table3.110[[#This Row],[Net gas 24h, ml]]</f>
        <v>3.1059381430886561</v>
      </c>
      <c r="AP970" s="94">
        <f>Table3.110[[#This Row],[CH4 8h, ml]]/Table3.110[[#This Row],[Net gas 8h, ml]]%</f>
        <v>13.3</v>
      </c>
      <c r="AQ970" s="94">
        <f>Table3.110[[#This Row],[CH4 24h, ml]]/Table3.110[[#This Row],[Net gas 24h, ml]]%</f>
        <v>15.276655810305952</v>
      </c>
      <c r="AR970" s="94">
        <f>Table3.110[[#This Row],[CH4 24h, ml]]/Table3.110[[#This Row],[DM Incubated, mg]]*1000</f>
        <v>33.288945172208152</v>
      </c>
      <c r="AS970" s="94">
        <f>Table3.110[[#This Row],[CH4 24h, ml]]/Table3.110[[#This Row],[Digested feed, mg]]*1000</f>
        <v>49.18531891660372</v>
      </c>
      <c r="AT970" s="94">
        <f>Table3.110[[#This Row],[CH4 24h, ml]]/'3.2 Digest'!AA970</f>
        <v>0.37717304522728912</v>
      </c>
      <c r="AU970" s="94">
        <f>((Table3.110[[#This Row],[CH4 24h, ml]]/28.9)*16.04)/Table3.110[[#This Row],[DM Incubated, mg]]*1000</f>
        <v>18.475940503883006</v>
      </c>
      <c r="AV970" s="94">
        <f>((Table3.110[[#This Row],[CH4 24h, ml]]/28.9)*16.04)/Table3.110[[#This Row],[Digested feed, mg]]*1000</f>
        <v>27.298702955789746</v>
      </c>
    </row>
    <row r="971" spans="2:48" s="89" customFormat="1" x14ac:dyDescent="0.35">
      <c r="B971" s="90">
        <f t="shared" si="14"/>
        <v>961</v>
      </c>
      <c r="C971" s="140">
        <v>46078</v>
      </c>
      <c r="D971" s="6" t="s">
        <v>16</v>
      </c>
      <c r="E971" s="6" t="s">
        <v>370</v>
      </c>
      <c r="F971" s="6" t="s">
        <v>219</v>
      </c>
      <c r="G971" s="6" t="s">
        <v>365</v>
      </c>
      <c r="H971" s="6" t="s">
        <v>366</v>
      </c>
      <c r="I971" s="6" t="s">
        <v>22</v>
      </c>
      <c r="J971" s="129" t="s">
        <v>23</v>
      </c>
      <c r="K971" s="129" t="s">
        <v>215</v>
      </c>
      <c r="L971" s="6" t="s">
        <v>369</v>
      </c>
      <c r="M971" s="93">
        <v>29</v>
      </c>
      <c r="N971" s="93">
        <v>70</v>
      </c>
      <c r="O971" s="6">
        <v>3</v>
      </c>
      <c r="P971" s="129">
        <v>2</v>
      </c>
      <c r="Q971" s="6">
        <v>236</v>
      </c>
      <c r="R971" s="98">
        <v>0.50019999999999998</v>
      </c>
      <c r="S971" s="94">
        <f>((Table3.110[[#This Row],[Sample weight, g]]*'2.1. DM'!Q229)/100)*1000</f>
        <v>458.05631142453916</v>
      </c>
      <c r="T971" s="94">
        <f>'3.2 Digest'!W971</f>
        <v>294.95631142453925</v>
      </c>
      <c r="U971" s="117">
        <v>0.33402777777777776</v>
      </c>
      <c r="V971" s="155">
        <v>40.5</v>
      </c>
      <c r="W971" s="117">
        <v>0.67013888888888884</v>
      </c>
      <c r="X971" s="96">
        <v>88.5</v>
      </c>
      <c r="Y971" s="96">
        <v>13.5</v>
      </c>
      <c r="Z971" s="155">
        <v>40</v>
      </c>
      <c r="AA971" s="117">
        <v>0.34861111111111109</v>
      </c>
      <c r="AB971" s="155">
        <v>95</v>
      </c>
      <c r="AC971" s="155">
        <v>17.2</v>
      </c>
      <c r="AD971" s="96"/>
      <c r="AE971" s="94">
        <f>Table3.110[[#This Row],[Gas 8h, ml]]-Table3.110[[#This Row],[Gas 0h, ml]]</f>
        <v>48</v>
      </c>
      <c r="AF971" s="94">
        <f>Table3.110[[#This Row],[Gas 24h, ml]]-Table3.110[[#This Row],[V8 Push back, ml]]</f>
        <v>55</v>
      </c>
      <c r="AG971" s="94">
        <f>Table3.110[[#This Row],[GP 8h, ml]]-(AVERAGE(AE$934,AE$935,AE$958,AE$959))*$AG$8</f>
        <v>46.00873479879084</v>
      </c>
      <c r="AH971" s="94">
        <f>Table3.110[[#This Row],[GP 8-24h, ml]]-(AVERAGE(AF$934,AF$935,AF$958,AF$959))*$AG$8</f>
        <v>52.344979731721118</v>
      </c>
      <c r="AI971" s="94">
        <f>Table3.110[[#This Row],[Net gas 8-24h, ml]]+Table3.110[[#This Row],[Net gas 8h, ml]]</f>
        <v>98.353714530511951</v>
      </c>
      <c r="AJ971" s="94">
        <f>Table3.110[[#This Row],[Net gas 8h, ml]]*Table3.110[[#This Row],[CH4 8h %]]%</f>
        <v>6.2111791978367634</v>
      </c>
      <c r="AK971" s="94">
        <f>Table3.110[[#This Row],[Net gas 8-24h, ml]]*Table3.110[[#This Row],[CH4 24h, %]]%</f>
        <v>9.0033365138560324</v>
      </c>
      <c r="AL971" s="94">
        <f>Table3.110[[#This Row],[CH4 8-24h, ml]]+Table3.110[[#This Row],[CH4 8h, ml]]</f>
        <v>15.214515711692796</v>
      </c>
      <c r="AM971" s="94">
        <f>(Table3.110[[#This Row],[Net gas 24h, ml]]/Table3.110[[#This Row],[DM Incubated, mg]])*1000</f>
        <v>214.71970165553518</v>
      </c>
      <c r="AN971" s="94">
        <f>'3.2 Digest'!X971</f>
        <v>64.393024191116453</v>
      </c>
      <c r="AO971" s="94">
        <f>Table3.110[[#This Row],[Digested feed, mg]]/Table3.110[[#This Row],[Net gas 24h, ml]]</f>
        <v>2.9989341310849618</v>
      </c>
      <c r="AP971" s="94">
        <f>Table3.110[[#This Row],[CH4 8h, ml]]/Table3.110[[#This Row],[Net gas 8h, ml]]%</f>
        <v>13.5</v>
      </c>
      <c r="AQ971" s="94">
        <f>Table3.110[[#This Row],[CH4 24h, ml]]/Table3.110[[#This Row],[Net gas 24h, ml]]%</f>
        <v>15.469182617371148</v>
      </c>
      <c r="AR971" s="94">
        <f>Table3.110[[#This Row],[CH4 24h, ml]]/Table3.110[[#This Row],[DM Incubated, mg]]*1000</f>
        <v>33.215382764569235</v>
      </c>
      <c r="AS971" s="94">
        <f>Table3.110[[#This Row],[CH4 24h, ml]]/Table3.110[[#This Row],[Digested feed, mg]]*1000</f>
        <v>51.58226870349656</v>
      </c>
      <c r="AT971" s="94">
        <f>Table3.110[[#This Row],[CH4 24h, ml]]/'3.2 Digest'!AA971</f>
        <v>0.44246841169281886</v>
      </c>
      <c r="AU971" s="94">
        <f>((Table3.110[[#This Row],[CH4 24h, ml]]/28.9)*16.04)/Table3.110[[#This Row],[DM Incubated, mg]]*1000</f>
        <v>18.435112094937384</v>
      </c>
      <c r="AV971" s="94">
        <f>((Table3.110[[#This Row],[CH4 24h, ml]]/28.9)*16.04)/Table3.110[[#This Row],[Digested feed, mg]]*1000</f>
        <v>28.629051557234764</v>
      </c>
    </row>
    <row r="972" spans="2:48" s="89" customFormat="1" x14ac:dyDescent="0.35">
      <c r="B972" s="90">
        <f t="shared" ref="B972:B1035" si="15">B971+1</f>
        <v>962</v>
      </c>
      <c r="C972" s="140">
        <v>46078</v>
      </c>
      <c r="D972" s="6" t="s">
        <v>16</v>
      </c>
      <c r="E972" s="6" t="s">
        <v>372</v>
      </c>
      <c r="F972" s="6" t="s">
        <v>219</v>
      </c>
      <c r="G972" s="6" t="s">
        <v>220</v>
      </c>
      <c r="H972" s="6" t="s">
        <v>221</v>
      </c>
      <c r="I972" s="6" t="s">
        <v>22</v>
      </c>
      <c r="J972" s="129" t="s">
        <v>23</v>
      </c>
      <c r="K972" s="129" t="s">
        <v>215</v>
      </c>
      <c r="L972" s="6" t="s">
        <v>371</v>
      </c>
      <c r="M972" s="93">
        <v>29</v>
      </c>
      <c r="N972" s="93">
        <v>70</v>
      </c>
      <c r="O972" s="6">
        <v>3</v>
      </c>
      <c r="P972" s="129">
        <v>1</v>
      </c>
      <c r="Q972" s="6">
        <v>237</v>
      </c>
      <c r="R972" s="98">
        <v>0.50039999999999996</v>
      </c>
      <c r="S972" s="94">
        <f>((Table3.110[[#This Row],[Sample weight, g]]*'2.1. DM'!Q231)/100)*1000</f>
        <v>448.07122955494873</v>
      </c>
      <c r="T972" s="94">
        <f>'3.2 Digest'!W972</f>
        <v>242.6712295549487</v>
      </c>
      <c r="U972" s="117">
        <v>0.3347222222222222</v>
      </c>
      <c r="V972" s="155">
        <v>41</v>
      </c>
      <c r="W972" s="117">
        <v>0.67083333333333328</v>
      </c>
      <c r="X972" s="96">
        <v>80</v>
      </c>
      <c r="Y972" s="96">
        <v>13.5</v>
      </c>
      <c r="Z972" s="155">
        <v>40.5</v>
      </c>
      <c r="AA972" s="117">
        <v>0.34930555555555554</v>
      </c>
      <c r="AB972" s="155">
        <v>91</v>
      </c>
      <c r="AC972" s="155">
        <v>16.399999999999999</v>
      </c>
      <c r="AD972" s="96"/>
      <c r="AE972" s="94">
        <f>Table3.110[[#This Row],[Gas 8h, ml]]-Table3.110[[#This Row],[Gas 0h, ml]]</f>
        <v>39</v>
      </c>
      <c r="AF972" s="94">
        <f>Table3.110[[#This Row],[Gas 24h, ml]]-Table3.110[[#This Row],[V8 Push back, ml]]</f>
        <v>50.5</v>
      </c>
      <c r="AG972" s="94">
        <f>Table3.110[[#This Row],[GP 8h, ml]]-(AVERAGE(AE$934,AE$935,AE$958,AE$959))*$AG$8</f>
        <v>37.00873479879084</v>
      </c>
      <c r="AH972" s="94">
        <f>Table3.110[[#This Row],[GP 8-24h, ml]]-(AVERAGE(AF$934,AF$935,AF$958,AF$959))*$AG$8</f>
        <v>47.844979731721118</v>
      </c>
      <c r="AI972" s="94">
        <f>Table3.110[[#This Row],[Net gas 8-24h, ml]]+Table3.110[[#This Row],[Net gas 8h, ml]]</f>
        <v>84.853714530511951</v>
      </c>
      <c r="AJ972" s="94">
        <f>Table3.110[[#This Row],[Net gas 8h, ml]]*Table3.110[[#This Row],[CH4 8h %]]%</f>
        <v>4.9961791978367636</v>
      </c>
      <c r="AK972" s="94">
        <f>Table3.110[[#This Row],[Net gas 8-24h, ml]]*Table3.110[[#This Row],[CH4 24h, %]]%</f>
        <v>7.8465766760022619</v>
      </c>
      <c r="AL972" s="94">
        <f>Table3.110[[#This Row],[CH4 8-24h, ml]]+Table3.110[[#This Row],[CH4 8h, ml]]</f>
        <v>12.842755873839025</v>
      </c>
      <c r="AM972" s="94">
        <f>(Table3.110[[#This Row],[Net gas 24h, ml]]/Table3.110[[#This Row],[DM Incubated, mg]])*1000</f>
        <v>189.37550311988065</v>
      </c>
      <c r="AN972" s="94">
        <f>'3.2 Digest'!X972</f>
        <v>54.159074171306273</v>
      </c>
      <c r="AO972" s="94">
        <f>Table3.110[[#This Row],[Digested feed, mg]]/Table3.110[[#This Row],[Net gas 24h, ml]]</f>
        <v>2.8598775068083584</v>
      </c>
      <c r="AP972" s="94">
        <f>Table3.110[[#This Row],[CH4 8h, ml]]/Table3.110[[#This Row],[Net gas 8h, ml]]%</f>
        <v>13.500000000000002</v>
      </c>
      <c r="AQ972" s="94">
        <f>Table3.110[[#This Row],[CH4 24h, ml]]/Table3.110[[#This Row],[Net gas 24h, ml]]%</f>
        <v>15.135172272536153</v>
      </c>
      <c r="AR972" s="94">
        <f>Table3.110[[#This Row],[CH4 24h, ml]]/Table3.110[[#This Row],[DM Incubated, mg]]*1000</f>
        <v>28.662308639176011</v>
      </c>
      <c r="AS972" s="94">
        <f>Table3.110[[#This Row],[CH4 24h, ml]]/Table3.110[[#This Row],[Digested feed, mg]]*1000</f>
        <v>52.922449428357169</v>
      </c>
      <c r="AT972" s="94">
        <f>Table3.110[[#This Row],[CH4 24h, ml]]/'3.2 Digest'!AA972</f>
        <v>-5.249284859976858</v>
      </c>
      <c r="AU972" s="94">
        <f>((Table3.110[[#This Row],[CH4 24h, ml]]/28.9)*16.04)/Table3.110[[#This Row],[DM Incubated, mg]]*1000</f>
        <v>15.908077182435406</v>
      </c>
      <c r="AV972" s="94">
        <f>((Table3.110[[#This Row],[CH4 24h, ml]]/28.9)*16.04)/Table3.110[[#This Row],[Digested feed, mg]]*1000</f>
        <v>29.372875046050137</v>
      </c>
    </row>
    <row r="973" spans="2:48" s="89" customFormat="1" x14ac:dyDescent="0.35">
      <c r="B973" s="90">
        <f t="shared" si="15"/>
        <v>963</v>
      </c>
      <c r="C973" s="140">
        <v>46078</v>
      </c>
      <c r="D973" s="6" t="s">
        <v>16</v>
      </c>
      <c r="E973" s="6" t="s">
        <v>372</v>
      </c>
      <c r="F973" s="6" t="s">
        <v>219</v>
      </c>
      <c r="G973" s="6" t="s">
        <v>220</v>
      </c>
      <c r="H973" s="6" t="s">
        <v>221</v>
      </c>
      <c r="I973" s="6" t="s">
        <v>22</v>
      </c>
      <c r="J973" s="129" t="s">
        <v>23</v>
      </c>
      <c r="K973" s="129" t="s">
        <v>215</v>
      </c>
      <c r="L973" s="6" t="s">
        <v>371</v>
      </c>
      <c r="M973" s="93">
        <v>29</v>
      </c>
      <c r="N973" s="93">
        <v>70</v>
      </c>
      <c r="O973" s="6">
        <v>3</v>
      </c>
      <c r="P973" s="129">
        <v>2</v>
      </c>
      <c r="Q973" s="6">
        <v>238</v>
      </c>
      <c r="R973" s="98">
        <v>0.50039999999999996</v>
      </c>
      <c r="S973" s="94">
        <f>((Table3.110[[#This Row],[Sample weight, g]]*'2.1. DM'!Q231)/100)*1000</f>
        <v>448.07122955494873</v>
      </c>
      <c r="T973" s="94">
        <f>'3.2 Digest'!W973</f>
        <v>268.57122955494873</v>
      </c>
      <c r="U973" s="153">
        <v>0.3347222222222222</v>
      </c>
      <c r="V973" s="154">
        <v>41</v>
      </c>
      <c r="W973" s="153">
        <v>0.67083333333333328</v>
      </c>
      <c r="X973" s="91">
        <v>80</v>
      </c>
      <c r="Y973" s="91">
        <v>13.5</v>
      </c>
      <c r="Z973" s="154">
        <v>40</v>
      </c>
      <c r="AA973" s="153">
        <v>0.34930555555555554</v>
      </c>
      <c r="AB973" s="154">
        <v>92</v>
      </c>
      <c r="AC973" s="154">
        <v>16.2</v>
      </c>
      <c r="AD973" s="91"/>
      <c r="AE973" s="94">
        <f>Table3.110[[#This Row],[Gas 8h, ml]]-Table3.110[[#This Row],[Gas 0h, ml]]</f>
        <v>39</v>
      </c>
      <c r="AF973" s="94">
        <f>Table3.110[[#This Row],[Gas 24h, ml]]-Table3.110[[#This Row],[V8 Push back, ml]]</f>
        <v>52</v>
      </c>
      <c r="AG973" s="94">
        <f>Table3.110[[#This Row],[GP 8h, ml]]-(AVERAGE(AE$934,AE$935,AE$958,AE$959))*$AG$8</f>
        <v>37.00873479879084</v>
      </c>
      <c r="AH973" s="94">
        <f>Table3.110[[#This Row],[GP 8-24h, ml]]-(AVERAGE(AF$934,AF$935,AF$958,AF$959))*$AG$8</f>
        <v>49.344979731721118</v>
      </c>
      <c r="AI973" s="94">
        <f>Table3.110[[#This Row],[Net gas 8-24h, ml]]+Table3.110[[#This Row],[Net gas 8h, ml]]</f>
        <v>86.353714530511951</v>
      </c>
      <c r="AJ973" s="94">
        <f>Table3.110[[#This Row],[Net gas 8h, ml]]*Table3.110[[#This Row],[CH4 8h %]]%</f>
        <v>4.9961791978367636</v>
      </c>
      <c r="AK973" s="94">
        <f>Table3.110[[#This Row],[Net gas 8-24h, ml]]*Table3.110[[#This Row],[CH4 24h, %]]%</f>
        <v>7.993886716538821</v>
      </c>
      <c r="AL973" s="94">
        <f>Table3.110[[#This Row],[CH4 8-24h, ml]]+Table3.110[[#This Row],[CH4 8h, ml]]</f>
        <v>12.990065914375585</v>
      </c>
      <c r="AM973" s="94">
        <f>(Table3.110[[#This Row],[Net gas 24h, ml]]/Table3.110[[#This Row],[DM Incubated, mg]])*1000</f>
        <v>192.723185142424</v>
      </c>
      <c r="AN973" s="94">
        <f>'3.2 Digest'!X973</f>
        <v>59.939405130231151</v>
      </c>
      <c r="AO973" s="94">
        <f>Table3.110[[#This Row],[Digested feed, mg]]/Table3.110[[#This Row],[Net gas 24h, ml]]</f>
        <v>3.1101294369919965</v>
      </c>
      <c r="AP973" s="94">
        <f>Table3.110[[#This Row],[CH4 8h, ml]]/Table3.110[[#This Row],[Net gas 8h, ml]]%</f>
        <v>13.500000000000002</v>
      </c>
      <c r="AQ973" s="94">
        <f>Table3.110[[#This Row],[CH4 24h, ml]]/Table3.110[[#This Row],[Net gas 24h, ml]]%</f>
        <v>15.042857142857144</v>
      </c>
      <c r="AR973" s="94">
        <f>Table3.110[[#This Row],[CH4 24h, ml]]/Table3.110[[#This Row],[DM Incubated, mg]]*1000</f>
        <v>28.991073422138928</v>
      </c>
      <c r="AS973" s="94">
        <f>Table3.110[[#This Row],[CH4 24h, ml]]/Table3.110[[#This Row],[Digested feed, mg]]*1000</f>
        <v>48.367302543543154</v>
      </c>
      <c r="AT973" s="94">
        <f>Table3.110[[#This Row],[CH4 24h, ml]]/'3.2 Digest'!AA973</f>
        <v>1.2405196300541939</v>
      </c>
      <c r="AU973" s="94">
        <f>((Table3.110[[#This Row],[CH4 24h, ml]]/28.9)*16.04)/Table3.110[[#This Row],[DM Incubated, mg]]*1000</f>
        <v>16.090547324951846</v>
      </c>
      <c r="AV973" s="94">
        <f>((Table3.110[[#This Row],[CH4 24h, ml]]/28.9)*16.04)/Table3.110[[#This Row],[Digested feed, mg]]*1000</f>
        <v>26.844689716208727</v>
      </c>
    </row>
    <row r="974" spans="2:48" s="89" customFormat="1" x14ac:dyDescent="0.35">
      <c r="B974" s="90">
        <f t="shared" si="15"/>
        <v>964</v>
      </c>
      <c r="C974" s="140">
        <v>46078</v>
      </c>
      <c r="D974" s="6" t="s">
        <v>16</v>
      </c>
      <c r="E974" s="6" t="s">
        <v>374</v>
      </c>
      <c r="F974" s="6" t="s">
        <v>219</v>
      </c>
      <c r="G974" s="6" t="s">
        <v>253</v>
      </c>
      <c r="H974" s="6" t="s">
        <v>254</v>
      </c>
      <c r="I974" s="6" t="s">
        <v>22</v>
      </c>
      <c r="J974" s="129" t="s">
        <v>23</v>
      </c>
      <c r="K974" s="129" t="s">
        <v>215</v>
      </c>
      <c r="L974" s="6" t="s">
        <v>373</v>
      </c>
      <c r="M974" s="93">
        <v>29</v>
      </c>
      <c r="N974" s="93">
        <v>70</v>
      </c>
      <c r="O974" s="6">
        <v>3</v>
      </c>
      <c r="P974" s="129">
        <v>1</v>
      </c>
      <c r="Q974" s="6">
        <v>239</v>
      </c>
      <c r="R974" s="98">
        <v>0.5</v>
      </c>
      <c r="S974" s="94">
        <f>((Table3.110[[#This Row],[Sample weight, g]]*'2.1. DM'!Q233)/100)*1000</f>
        <v>452.41191689683649</v>
      </c>
      <c r="T974" s="94">
        <f>'3.2 Digest'!W974</f>
        <v>284.4119168968366</v>
      </c>
      <c r="U974" s="153">
        <v>0.33541666666666664</v>
      </c>
      <c r="V974" s="154">
        <v>40.5</v>
      </c>
      <c r="W974" s="153">
        <v>0.67152777777777772</v>
      </c>
      <c r="X974" s="91">
        <v>90</v>
      </c>
      <c r="Y974" s="91">
        <v>13.7</v>
      </c>
      <c r="Z974" s="154">
        <v>40</v>
      </c>
      <c r="AA974" s="153">
        <v>0.35</v>
      </c>
      <c r="AB974" s="154">
        <v>91</v>
      </c>
      <c r="AC974" s="154">
        <v>16.3</v>
      </c>
      <c r="AD974" s="91"/>
      <c r="AE974" s="94">
        <f>Table3.110[[#This Row],[Gas 8h, ml]]-Table3.110[[#This Row],[Gas 0h, ml]]</f>
        <v>49.5</v>
      </c>
      <c r="AF974" s="94">
        <f>Table3.110[[#This Row],[Gas 24h, ml]]-Table3.110[[#This Row],[V8 Push back, ml]]</f>
        <v>51</v>
      </c>
      <c r="AG974" s="94">
        <f>Table3.110[[#This Row],[GP 8h, ml]]-(AVERAGE(AE$934,AE$935,AE$958,AE$959))*$AG$8</f>
        <v>47.50873479879084</v>
      </c>
      <c r="AH974" s="94">
        <f>Table3.110[[#This Row],[GP 8-24h, ml]]-(AVERAGE(AF$934,AF$935,AF$958,AF$959))*$AG$8</f>
        <v>48.344979731721118</v>
      </c>
      <c r="AI974" s="94">
        <f>Table3.110[[#This Row],[Net gas 8-24h, ml]]+Table3.110[[#This Row],[Net gas 8h, ml]]</f>
        <v>95.853714530511951</v>
      </c>
      <c r="AJ974" s="94">
        <f>Table3.110[[#This Row],[Net gas 8h, ml]]*Table3.110[[#This Row],[CH4 8h %]]%</f>
        <v>6.5086966674343447</v>
      </c>
      <c r="AK974" s="94">
        <f>Table3.110[[#This Row],[Net gas 8-24h, ml]]*Table3.110[[#This Row],[CH4 24h, %]]%</f>
        <v>7.8802316962705428</v>
      </c>
      <c r="AL974" s="94">
        <f>Table3.110[[#This Row],[CH4 8-24h, ml]]+Table3.110[[#This Row],[CH4 8h, ml]]</f>
        <v>14.388928363704888</v>
      </c>
      <c r="AM974" s="94">
        <f>(Table3.110[[#This Row],[Net gas 24h, ml]]/Table3.110[[#This Row],[DM Incubated, mg]])*1000</f>
        <v>211.87265620231105</v>
      </c>
      <c r="AN974" s="94">
        <f>'3.2 Digest'!X974</f>
        <v>62.865699658767184</v>
      </c>
      <c r="AO974" s="94">
        <f>Table3.110[[#This Row],[Digested feed, mg]]/Table3.110[[#This Row],[Net gas 24h, ml]]</f>
        <v>2.9671454913341226</v>
      </c>
      <c r="AP974" s="94">
        <f>Table3.110[[#This Row],[CH4 8h, ml]]/Table3.110[[#This Row],[Net gas 8h, ml]]%</f>
        <v>13.7</v>
      </c>
      <c r="AQ974" s="94">
        <f>Table3.110[[#This Row],[CH4 24h, ml]]/Table3.110[[#This Row],[Net gas 24h, ml]]%</f>
        <v>15.011341432287047</v>
      </c>
      <c r="AR974" s="94">
        <f>Table3.110[[#This Row],[CH4 24h, ml]]/Table3.110[[#This Row],[DM Incubated, mg]]*1000</f>
        <v>31.804927824184606</v>
      </c>
      <c r="AS974" s="94">
        <f>Table3.110[[#This Row],[CH4 24h, ml]]/Table3.110[[#This Row],[Digested feed, mg]]*1000</f>
        <v>50.59186169377044</v>
      </c>
      <c r="AT974" s="94">
        <f>Table3.110[[#This Row],[CH4 24h, ml]]/'3.2 Digest'!AA974</f>
        <v>0.60845309820222071</v>
      </c>
      <c r="AU974" s="94">
        <f>((Table3.110[[#This Row],[CH4 24h, ml]]/28.9)*16.04)/Table3.110[[#This Row],[DM Incubated, mg]]*1000</f>
        <v>17.652285200689313</v>
      </c>
      <c r="AV974" s="94">
        <f>((Table3.110[[#This Row],[CH4 24h, ml]]/28.9)*16.04)/Table3.110[[#This Row],[Digested feed, mg]]*1000</f>
        <v>28.079358531767401</v>
      </c>
    </row>
    <row r="975" spans="2:48" s="89" customFormat="1" x14ac:dyDescent="0.35">
      <c r="B975" s="90">
        <f t="shared" si="15"/>
        <v>965</v>
      </c>
      <c r="C975" s="140">
        <v>46078</v>
      </c>
      <c r="D975" s="6" t="s">
        <v>16</v>
      </c>
      <c r="E975" s="6" t="s">
        <v>374</v>
      </c>
      <c r="F975" s="6" t="s">
        <v>219</v>
      </c>
      <c r="G975" s="6" t="s">
        <v>253</v>
      </c>
      <c r="H975" s="6" t="s">
        <v>254</v>
      </c>
      <c r="I975" s="6" t="s">
        <v>22</v>
      </c>
      <c r="J975" s="129" t="s">
        <v>23</v>
      </c>
      <c r="K975" s="129" t="s">
        <v>215</v>
      </c>
      <c r="L975" s="6" t="s">
        <v>373</v>
      </c>
      <c r="M975" s="93">
        <v>29</v>
      </c>
      <c r="N975" s="93">
        <v>70</v>
      </c>
      <c r="O975" s="6">
        <v>3</v>
      </c>
      <c r="P975" s="129">
        <v>2</v>
      </c>
      <c r="Q975" s="6">
        <v>240</v>
      </c>
      <c r="R975" s="98">
        <v>0.5</v>
      </c>
      <c r="S975" s="94">
        <f>((Table3.110[[#This Row],[Sample weight, g]]*'2.1. DM'!Q233)/100)*1000</f>
        <v>452.41191689683649</v>
      </c>
      <c r="T975" s="94">
        <f>'3.2 Digest'!W975</f>
        <v>303.41191689683649</v>
      </c>
      <c r="U975" s="117">
        <v>0.33541666666666664</v>
      </c>
      <c r="V975" s="155">
        <v>41</v>
      </c>
      <c r="W975" s="117">
        <v>0.67222222222222228</v>
      </c>
      <c r="X975" s="96">
        <v>90</v>
      </c>
      <c r="Y975" s="96">
        <v>13.6</v>
      </c>
      <c r="Z975" s="155">
        <v>40.5</v>
      </c>
      <c r="AA975" s="117">
        <v>0.35</v>
      </c>
      <c r="AB975" s="155">
        <v>91</v>
      </c>
      <c r="AC975" s="155">
        <v>16.2</v>
      </c>
      <c r="AD975" s="96"/>
      <c r="AE975" s="94">
        <f>Table3.110[[#This Row],[Gas 8h, ml]]-Table3.110[[#This Row],[Gas 0h, ml]]</f>
        <v>49</v>
      </c>
      <c r="AF975" s="94">
        <f>Table3.110[[#This Row],[Gas 24h, ml]]-Table3.110[[#This Row],[V8 Push back, ml]]</f>
        <v>50.5</v>
      </c>
      <c r="AG975" s="94">
        <f>Table3.110[[#This Row],[GP 8h, ml]]-(AVERAGE(AE$934,AE$935,AE$958,AE$959))*$AG$8</f>
        <v>47.00873479879084</v>
      </c>
      <c r="AH975" s="94">
        <f>Table3.110[[#This Row],[GP 8-24h, ml]]-(AVERAGE(AF$934,AF$935,AF$958,AF$959))*$AG$8</f>
        <v>47.844979731721118</v>
      </c>
      <c r="AI975" s="94">
        <f>Table3.110[[#This Row],[Net gas 8-24h, ml]]+Table3.110[[#This Row],[Net gas 8h, ml]]</f>
        <v>94.853714530511951</v>
      </c>
      <c r="AJ975" s="94">
        <f>Table3.110[[#This Row],[Net gas 8h, ml]]*Table3.110[[#This Row],[CH4 8h %]]%</f>
        <v>6.3931879326355547</v>
      </c>
      <c r="AK975" s="94">
        <f>Table3.110[[#This Row],[Net gas 8-24h, ml]]*Table3.110[[#This Row],[CH4 24h, %]]%</f>
        <v>7.7508867165388216</v>
      </c>
      <c r="AL975" s="94">
        <f>Table3.110[[#This Row],[CH4 8-24h, ml]]+Table3.110[[#This Row],[CH4 8h, ml]]</f>
        <v>14.144074649174376</v>
      </c>
      <c r="AM975" s="94">
        <f>(Table3.110[[#This Row],[Net gas 24h, ml]]/Table3.110[[#This Row],[DM Incubated, mg]])*1000</f>
        <v>209.66228118199956</v>
      </c>
      <c r="AN975" s="94">
        <f>'3.2 Digest'!X975</f>
        <v>67.065412197358967</v>
      </c>
      <c r="AO975" s="94">
        <f>Table3.110[[#This Row],[Digested feed, mg]]/Table3.110[[#This Row],[Net gas 24h, ml]]</f>
        <v>3.1987352145206378</v>
      </c>
      <c r="AP975" s="94">
        <f>Table3.110[[#This Row],[CH4 8h, ml]]/Table3.110[[#This Row],[Net gas 8h, ml]]%</f>
        <v>13.600000000000001</v>
      </c>
      <c r="AQ975" s="94">
        <f>Table3.110[[#This Row],[CH4 24h, ml]]/Table3.110[[#This Row],[Net gas 24h, ml]]%</f>
        <v>14.91146099990064</v>
      </c>
      <c r="AR975" s="94">
        <f>Table3.110[[#This Row],[CH4 24h, ml]]/Table3.110[[#This Row],[DM Incubated, mg]]*1000</f>
        <v>31.263709289955887</v>
      </c>
      <c r="AS975" s="94">
        <f>Table3.110[[#This Row],[CH4 24h, ml]]/Table3.110[[#This Row],[Digested feed, mg]]*1000</f>
        <v>46.616740679910485</v>
      </c>
      <c r="AT975" s="94">
        <f>Table3.110[[#This Row],[CH4 24h, ml]]/'3.2 Digest'!AA975</f>
        <v>0.43812245527329485</v>
      </c>
      <c r="AU975" s="94">
        <f>((Table3.110[[#This Row],[CH4 24h, ml]]/28.9)*16.04)/Table3.110[[#This Row],[DM Incubated, mg]]*1000</f>
        <v>17.351899550549913</v>
      </c>
      <c r="AV975" s="94">
        <f>((Table3.110[[#This Row],[CH4 24h, ml]]/28.9)*16.04)/Table3.110[[#This Row],[Digested feed, mg]]*1000</f>
        <v>25.873097595355162</v>
      </c>
    </row>
    <row r="976" spans="2:48" s="89" customFormat="1" x14ac:dyDescent="0.35">
      <c r="B976" s="90">
        <f t="shared" si="15"/>
        <v>966</v>
      </c>
      <c r="C976" s="140">
        <v>46078</v>
      </c>
      <c r="D976" s="6" t="s">
        <v>16</v>
      </c>
      <c r="E976" s="6" t="s">
        <v>376</v>
      </c>
      <c r="F976" s="6" t="s">
        <v>219</v>
      </c>
      <c r="G976" s="6" t="s">
        <v>253</v>
      </c>
      <c r="H976" s="6" t="s">
        <v>254</v>
      </c>
      <c r="I976" s="6" t="s">
        <v>22</v>
      </c>
      <c r="J976" s="129" t="s">
        <v>23</v>
      </c>
      <c r="K976" s="129" t="s">
        <v>215</v>
      </c>
      <c r="L976" s="6" t="s">
        <v>375</v>
      </c>
      <c r="M976" s="93">
        <v>29</v>
      </c>
      <c r="N976" s="93">
        <v>70</v>
      </c>
      <c r="O976" s="6">
        <v>3</v>
      </c>
      <c r="P976" s="129">
        <v>1</v>
      </c>
      <c r="Q976" s="6">
        <v>241</v>
      </c>
      <c r="R976" s="98">
        <v>0.50009999999999999</v>
      </c>
      <c r="S976" s="94">
        <f>((Table3.110[[#This Row],[Sample weight, g]]*'2.1. DM'!Q235)/100)*1000</f>
        <v>447.55261921423607</v>
      </c>
      <c r="T976" s="94">
        <f>'3.2 Digest'!W976</f>
        <v>309.75261921423612</v>
      </c>
      <c r="U976" s="117">
        <v>0.33611111111111114</v>
      </c>
      <c r="V976" s="155">
        <v>40</v>
      </c>
      <c r="W976" s="117">
        <v>0.67222222222222228</v>
      </c>
      <c r="X976" s="96">
        <v>84</v>
      </c>
      <c r="Y976" s="96">
        <v>12.3</v>
      </c>
      <c r="Z976" s="155">
        <v>39.5</v>
      </c>
      <c r="AA976" s="117">
        <v>0.35069444444444442</v>
      </c>
      <c r="AB976" s="155">
        <v>87</v>
      </c>
      <c r="AC976" s="155">
        <v>16</v>
      </c>
      <c r="AD976" s="96"/>
      <c r="AE976" s="94">
        <f>Table3.110[[#This Row],[Gas 8h, ml]]-Table3.110[[#This Row],[Gas 0h, ml]]</f>
        <v>44</v>
      </c>
      <c r="AF976" s="94">
        <f>Table3.110[[#This Row],[Gas 24h, ml]]-Table3.110[[#This Row],[V8 Push back, ml]]</f>
        <v>47.5</v>
      </c>
      <c r="AG976" s="94">
        <f>Table3.110[[#This Row],[GP 8h, ml]]-(AVERAGE(AE$934,AE$935,AE$958,AE$959))*$AG$8</f>
        <v>42.00873479879084</v>
      </c>
      <c r="AH976" s="94">
        <f>Table3.110[[#This Row],[GP 8-24h, ml]]-(AVERAGE(AF$934,AF$935,AF$958,AF$959))*$AG$8</f>
        <v>44.844979731721118</v>
      </c>
      <c r="AI976" s="94">
        <f>Table3.110[[#This Row],[Net gas 8-24h, ml]]+Table3.110[[#This Row],[Net gas 8h, ml]]</f>
        <v>86.853714530511951</v>
      </c>
      <c r="AJ976" s="94">
        <f>Table3.110[[#This Row],[Net gas 8h, ml]]*Table3.110[[#This Row],[CH4 8h %]]%</f>
        <v>5.1670743802512735</v>
      </c>
      <c r="AK976" s="94">
        <f>Table3.110[[#This Row],[Net gas 8-24h, ml]]*Table3.110[[#This Row],[CH4 24h, %]]%</f>
        <v>7.175196757075379</v>
      </c>
      <c r="AL976" s="94">
        <f>Table3.110[[#This Row],[CH4 8-24h, ml]]+Table3.110[[#This Row],[CH4 8h, ml]]</f>
        <v>12.342271137326652</v>
      </c>
      <c r="AM976" s="94">
        <f>(Table3.110[[#This Row],[Net gas 24h, ml]]/Table3.110[[#This Row],[DM Incubated, mg]])*1000</f>
        <v>194.0636939696615</v>
      </c>
      <c r="AN976" s="94">
        <f>'3.2 Digest'!X976</f>
        <v>69.210324309589751</v>
      </c>
      <c r="AO976" s="94">
        <f>Table3.110[[#This Row],[Digested feed, mg]]/Table3.110[[#This Row],[Net gas 24h, ml]]</f>
        <v>3.5663715810959262</v>
      </c>
      <c r="AP976" s="94">
        <f>Table3.110[[#This Row],[CH4 8h, ml]]/Table3.110[[#This Row],[Net gas 8h, ml]]%</f>
        <v>12.3</v>
      </c>
      <c r="AQ976" s="94">
        <f>Table3.110[[#This Row],[CH4 24h, ml]]/Table3.110[[#This Row],[Net gas 24h, ml]]%</f>
        <v>14.210412535655891</v>
      </c>
      <c r="AR976" s="94">
        <f>Table3.110[[#This Row],[CH4 24h, ml]]/Table3.110[[#This Row],[DM Incubated, mg]]*1000</f>
        <v>27.57725149502166</v>
      </c>
      <c r="AS976" s="94">
        <f>Table3.110[[#This Row],[CH4 24h, ml]]/Table3.110[[#This Row],[Digested feed, mg]]*1000</f>
        <v>39.845574731977621</v>
      </c>
      <c r="AT976" s="94">
        <f>Table3.110[[#This Row],[CH4 24h, ml]]/'3.2 Digest'!AA976</f>
        <v>0.44311641765163029</v>
      </c>
      <c r="AU976" s="94">
        <f>((Table3.110[[#This Row],[CH4 24h, ml]]/28.9)*16.04)/Table3.110[[#This Row],[DM Incubated, mg]]*1000</f>
        <v>15.305851694814789</v>
      </c>
      <c r="AV976" s="94">
        <f>((Table3.110[[#This Row],[CH4 24h, ml]]/28.9)*16.04)/Table3.110[[#This Row],[Digested feed, mg]]*1000</f>
        <v>22.114983346052629</v>
      </c>
    </row>
    <row r="977" spans="2:48" s="89" customFormat="1" x14ac:dyDescent="0.35">
      <c r="B977" s="90">
        <f t="shared" si="15"/>
        <v>967</v>
      </c>
      <c r="C977" s="140">
        <v>46078</v>
      </c>
      <c r="D977" s="6" t="s">
        <v>16</v>
      </c>
      <c r="E977" s="6" t="s">
        <v>376</v>
      </c>
      <c r="F977" s="6" t="s">
        <v>219</v>
      </c>
      <c r="G977" s="6" t="s">
        <v>253</v>
      </c>
      <c r="H977" s="6" t="s">
        <v>254</v>
      </c>
      <c r="I977" s="6" t="s">
        <v>22</v>
      </c>
      <c r="J977" s="129" t="s">
        <v>23</v>
      </c>
      <c r="K977" s="129" t="s">
        <v>215</v>
      </c>
      <c r="L977" s="6" t="s">
        <v>375</v>
      </c>
      <c r="M977" s="93">
        <v>29</v>
      </c>
      <c r="N977" s="93">
        <v>70</v>
      </c>
      <c r="O977" s="6">
        <v>3</v>
      </c>
      <c r="P977" s="129">
        <v>2</v>
      </c>
      <c r="Q977" s="6">
        <v>242</v>
      </c>
      <c r="R977" s="98">
        <v>0.50029999999999997</v>
      </c>
      <c r="S977" s="94">
        <f>((Table3.110[[#This Row],[Sample weight, g]]*'2.1. DM'!Q235)/100)*1000</f>
        <v>447.73160446487151</v>
      </c>
      <c r="T977" s="94">
        <f>'3.2 Digest'!W977</f>
        <v>285.33160446487153</v>
      </c>
      <c r="U977" s="153">
        <v>0.33611111111111114</v>
      </c>
      <c r="V977" s="155">
        <v>40.5</v>
      </c>
      <c r="W977" s="153">
        <v>0.67291666666666672</v>
      </c>
      <c r="X977" s="91">
        <v>84.5</v>
      </c>
      <c r="Y977" s="91">
        <v>11.9</v>
      </c>
      <c r="Z977" s="154">
        <v>40.5</v>
      </c>
      <c r="AA977" s="153">
        <v>0.35069444444444442</v>
      </c>
      <c r="AB977" s="154">
        <v>88</v>
      </c>
      <c r="AC977" s="154">
        <v>15.9</v>
      </c>
      <c r="AD977" s="91"/>
      <c r="AE977" s="94">
        <f>Table3.110[[#This Row],[Gas 8h, ml]]-Table3.110[[#This Row],[Gas 0h, ml]]</f>
        <v>44</v>
      </c>
      <c r="AF977" s="94">
        <f>Table3.110[[#This Row],[Gas 24h, ml]]-Table3.110[[#This Row],[V8 Push back, ml]]</f>
        <v>47.5</v>
      </c>
      <c r="AG977" s="94">
        <f>Table3.110[[#This Row],[GP 8h, ml]]-(AVERAGE(AE$934,AE$935,AE$958,AE$959))*$AG$8</f>
        <v>42.00873479879084</v>
      </c>
      <c r="AH977" s="94">
        <f>Table3.110[[#This Row],[GP 8-24h, ml]]-(AVERAGE(AF$934,AF$935,AF$958,AF$959))*$AG$8</f>
        <v>44.844979731721118</v>
      </c>
      <c r="AI977" s="94">
        <f>Table3.110[[#This Row],[Net gas 8-24h, ml]]+Table3.110[[#This Row],[Net gas 8h, ml]]</f>
        <v>86.853714530511951</v>
      </c>
      <c r="AJ977" s="94">
        <f>Table3.110[[#This Row],[Net gas 8h, ml]]*Table3.110[[#This Row],[CH4 8h %]]%</f>
        <v>4.9990394410561105</v>
      </c>
      <c r="AK977" s="94">
        <f>Table3.110[[#This Row],[Net gas 8-24h, ml]]*Table3.110[[#This Row],[CH4 24h, %]]%</f>
        <v>7.130351777343658</v>
      </c>
      <c r="AL977" s="94">
        <f>Table3.110[[#This Row],[CH4 8-24h, ml]]+Table3.110[[#This Row],[CH4 8h, ml]]</f>
        <v>12.129391218399768</v>
      </c>
      <c r="AM977" s="94">
        <f>(Table3.110[[#This Row],[Net gas 24h, ml]]/Table3.110[[#This Row],[DM Incubated, mg]])*1000</f>
        <v>193.98611503943184</v>
      </c>
      <c r="AN977" s="94">
        <f>'3.2 Digest'!X977</f>
        <v>63.728269708791196</v>
      </c>
      <c r="AO977" s="94">
        <f>Table3.110[[#This Row],[Digested feed, mg]]/Table3.110[[#This Row],[Net gas 24h, ml]]</f>
        <v>3.2851974841517428</v>
      </c>
      <c r="AP977" s="94">
        <f>Table3.110[[#This Row],[CH4 8h, ml]]/Table3.110[[#This Row],[Net gas 8h, ml]]%</f>
        <v>11.9</v>
      </c>
      <c r="AQ977" s="94">
        <f>Table3.110[[#This Row],[CH4 24h, ml]]/Table3.110[[#This Row],[Net gas 24h, ml]]%</f>
        <v>13.965310849357719</v>
      </c>
      <c r="AR977" s="94">
        <f>Table3.110[[#This Row],[CH4 24h, ml]]/Table3.110[[#This Row],[DM Incubated, mg]]*1000</f>
        <v>27.09076396984932</v>
      </c>
      <c r="AS977" s="94">
        <f>Table3.110[[#This Row],[CH4 24h, ml]]/Table3.110[[#This Row],[Digested feed, mg]]*1000</f>
        <v>42.509806234566881</v>
      </c>
      <c r="AT977" s="94">
        <f>Table3.110[[#This Row],[CH4 24h, ml]]/'3.2 Digest'!AA977</f>
        <v>0.80820932806312051</v>
      </c>
      <c r="AU977" s="94">
        <f>((Table3.110[[#This Row],[CH4 24h, ml]]/28.9)*16.04)/Table3.110[[#This Row],[DM Incubated, mg]]*1000</f>
        <v>15.035842701604953</v>
      </c>
      <c r="AV977" s="94">
        <f>((Table3.110[[#This Row],[CH4 24h, ml]]/28.9)*16.04)/Table3.110[[#This Row],[Digested feed, mg]]*1000</f>
        <v>23.593677923960303</v>
      </c>
    </row>
    <row r="978" spans="2:48" s="89" customFormat="1" x14ac:dyDescent="0.35">
      <c r="B978" s="90">
        <f t="shared" si="15"/>
        <v>968</v>
      </c>
      <c r="C978" s="140">
        <v>46078</v>
      </c>
      <c r="D978" s="6" t="s">
        <v>16</v>
      </c>
      <c r="E978" s="6" t="s">
        <v>378</v>
      </c>
      <c r="F978" s="6" t="s">
        <v>212</v>
      </c>
      <c r="G978" s="6" t="s">
        <v>379</v>
      </c>
      <c r="H978" s="6" t="s">
        <v>380</v>
      </c>
      <c r="I978" s="6" t="s">
        <v>22</v>
      </c>
      <c r="J978" s="129" t="s">
        <v>23</v>
      </c>
      <c r="K978" s="129" t="s">
        <v>215</v>
      </c>
      <c r="L978" s="6" t="s">
        <v>377</v>
      </c>
      <c r="M978" s="93">
        <v>29</v>
      </c>
      <c r="N978" s="93">
        <v>70</v>
      </c>
      <c r="O978" s="6">
        <v>3</v>
      </c>
      <c r="P978" s="129">
        <v>1</v>
      </c>
      <c r="Q978" s="6">
        <v>243</v>
      </c>
      <c r="R978" s="98">
        <v>0.50049999999999994</v>
      </c>
      <c r="S978" s="94">
        <f>((Table3.110[[#This Row],[Sample weight, g]]*'2.1. DM'!Q237)/100)*1000</f>
        <v>469.43140621326057</v>
      </c>
      <c r="T978" s="94">
        <f>'3.2 Digest'!W978</f>
        <v>82.631406213260561</v>
      </c>
      <c r="U978" s="153">
        <v>0.33680555555555558</v>
      </c>
      <c r="V978" s="155">
        <v>41.5</v>
      </c>
      <c r="W978" s="153">
        <v>0.67361111111111116</v>
      </c>
      <c r="X978" s="91">
        <v>65.5</v>
      </c>
      <c r="Y978" s="91">
        <v>11.7</v>
      </c>
      <c r="Z978" s="154">
        <v>40.5</v>
      </c>
      <c r="AA978" s="153">
        <v>0.35138888888888886</v>
      </c>
      <c r="AB978" s="154">
        <v>52</v>
      </c>
      <c r="AC978" s="154">
        <v>15</v>
      </c>
      <c r="AD978" s="91"/>
      <c r="AE978" s="94">
        <f>Table3.110[[#This Row],[Gas 8h, ml]]-Table3.110[[#This Row],[Gas 0h, ml]]</f>
        <v>24</v>
      </c>
      <c r="AF978" s="94">
        <f>Table3.110[[#This Row],[Gas 24h, ml]]-Table3.110[[#This Row],[V8 Push back, ml]]</f>
        <v>11.5</v>
      </c>
      <c r="AG978" s="94">
        <f>Table3.110[[#This Row],[GP 8h, ml]]-(AVERAGE(AE$934,AE$935,AE$958,AE$959))*$AG$8</f>
        <v>22.008734798790837</v>
      </c>
      <c r="AH978" s="94">
        <f>Table3.110[[#This Row],[GP 8-24h, ml]]-(AVERAGE(AF$934,AF$935,AF$958,AF$959))*$AG$8</f>
        <v>8.8449797317211143</v>
      </c>
      <c r="AI978" s="94">
        <f>Table3.110[[#This Row],[Net gas 8-24h, ml]]+Table3.110[[#This Row],[Net gas 8h, ml]]</f>
        <v>30.853714530511951</v>
      </c>
      <c r="AJ978" s="94">
        <f>Table3.110[[#This Row],[Net gas 8h, ml]]*Table3.110[[#This Row],[CH4 8h %]]%</f>
        <v>2.5750219714585278</v>
      </c>
      <c r="AK978" s="94">
        <f>Table3.110[[#This Row],[Net gas 8-24h, ml]]*Table3.110[[#This Row],[CH4 24h, %]]%</f>
        <v>1.3267469597581671</v>
      </c>
      <c r="AL978" s="94">
        <f>Table3.110[[#This Row],[CH4 8-24h, ml]]+Table3.110[[#This Row],[CH4 8h, ml]]</f>
        <v>3.901768931216695</v>
      </c>
      <c r="AM978" s="94">
        <f>(Table3.110[[#This Row],[Net gas 24h, ml]]/Table3.110[[#This Row],[DM Incubated, mg]])*1000</f>
        <v>65.725714390091838</v>
      </c>
      <c r="AN978" s="94">
        <f>'3.2 Digest'!X978</f>
        <v>17.602445238979492</v>
      </c>
      <c r="AO978" s="94">
        <f>Table3.110[[#This Row],[Digested feed, mg]]/Table3.110[[#This Row],[Net gas 24h, ml]]</f>
        <v>2.6781671986867077</v>
      </c>
      <c r="AP978" s="94">
        <f>Table3.110[[#This Row],[CH4 8h, ml]]/Table3.110[[#This Row],[Net gas 8h, ml]]%</f>
        <v>11.700000000000001</v>
      </c>
      <c r="AQ978" s="94">
        <f>Table3.110[[#This Row],[CH4 24h, ml]]/Table3.110[[#This Row],[Net gas 24h, ml]]%</f>
        <v>12.646026550087335</v>
      </c>
      <c r="AR978" s="94">
        <f>Table3.110[[#This Row],[CH4 24h, ml]]/Table3.110[[#This Row],[DM Incubated, mg]]*1000</f>
        <v>8.3116912920055857</v>
      </c>
      <c r="AS978" s="94">
        <f>Table3.110[[#This Row],[CH4 24h, ml]]/Table3.110[[#This Row],[Digested feed, mg]]*1000</f>
        <v>47.218958384258322</v>
      </c>
      <c r="AT978" s="94">
        <f>Table3.110[[#This Row],[CH4 24h, ml]]/'3.2 Digest'!AA978</f>
        <v>-0.15032694689626619</v>
      </c>
      <c r="AU978" s="94">
        <f>((Table3.110[[#This Row],[CH4 24h, ml]]/28.9)*16.04)/Table3.110[[#This Row],[DM Incubated, mg]]*1000</f>
        <v>4.6131324679505044</v>
      </c>
      <c r="AV978" s="94">
        <f>((Table3.110[[#This Row],[CH4 24h, ml]]/28.9)*16.04)/Table3.110[[#This Row],[Digested feed, mg]]*1000</f>
        <v>26.207338840259634</v>
      </c>
    </row>
    <row r="979" spans="2:48" s="89" customFormat="1" x14ac:dyDescent="0.35">
      <c r="B979" s="90">
        <f t="shared" si="15"/>
        <v>969</v>
      </c>
      <c r="C979" s="140">
        <v>46078</v>
      </c>
      <c r="D979" s="6" t="s">
        <v>16</v>
      </c>
      <c r="E979" s="6" t="s">
        <v>378</v>
      </c>
      <c r="F979" s="6" t="s">
        <v>212</v>
      </c>
      <c r="G979" s="6" t="s">
        <v>379</v>
      </c>
      <c r="H979" s="6" t="s">
        <v>380</v>
      </c>
      <c r="I979" s="6" t="s">
        <v>22</v>
      </c>
      <c r="J979" s="129" t="s">
        <v>23</v>
      </c>
      <c r="K979" s="129" t="s">
        <v>215</v>
      </c>
      <c r="L979" s="6" t="s">
        <v>377</v>
      </c>
      <c r="M979" s="93">
        <v>29</v>
      </c>
      <c r="N979" s="93">
        <v>70</v>
      </c>
      <c r="O979" s="6">
        <v>3</v>
      </c>
      <c r="P979" s="129">
        <v>2</v>
      </c>
      <c r="Q979" s="6">
        <v>244</v>
      </c>
      <c r="R979" s="98">
        <v>0.50049999999999994</v>
      </c>
      <c r="S979" s="94">
        <f>((Table3.110[[#This Row],[Sample weight, g]]*'2.1. DM'!Q237)/100)*1000</f>
        <v>469.43140621326057</v>
      </c>
      <c r="T979" s="94">
        <f>'3.2 Digest'!W979</f>
        <v>57.631406213260505</v>
      </c>
      <c r="U979" s="117">
        <v>0.33680555555555558</v>
      </c>
      <c r="V979" s="155">
        <v>41.5</v>
      </c>
      <c r="W979" s="117">
        <v>0.67361111111111116</v>
      </c>
      <c r="X979" s="96">
        <v>64.5</v>
      </c>
      <c r="Y979" s="96">
        <v>11.8</v>
      </c>
      <c r="Z979" s="155">
        <v>40</v>
      </c>
      <c r="AA979" s="117">
        <v>0.35208333333333336</v>
      </c>
      <c r="AB979" s="155">
        <v>52</v>
      </c>
      <c r="AC979" s="155">
        <v>14.8</v>
      </c>
      <c r="AD979" s="96"/>
      <c r="AE979" s="94">
        <f>Table3.110[[#This Row],[Gas 8h, ml]]-Table3.110[[#This Row],[Gas 0h, ml]]</f>
        <v>23</v>
      </c>
      <c r="AF979" s="94">
        <f>Table3.110[[#This Row],[Gas 24h, ml]]-Table3.110[[#This Row],[V8 Push back, ml]]</f>
        <v>12</v>
      </c>
      <c r="AG979" s="94">
        <f>Table3.110[[#This Row],[GP 8h, ml]]-(AVERAGE(AE$934,AE$935,AE$958,AE$959))*$AG$8</f>
        <v>21.008734798790837</v>
      </c>
      <c r="AH979" s="94">
        <f>Table3.110[[#This Row],[GP 8-24h, ml]]-(AVERAGE(AF$934,AF$935,AF$958,AF$959))*$AG$8</f>
        <v>9.3449797317211143</v>
      </c>
      <c r="AI979" s="94">
        <f>Table3.110[[#This Row],[Net gas 8-24h, ml]]+Table3.110[[#This Row],[Net gas 8h, ml]]</f>
        <v>30.353714530511951</v>
      </c>
      <c r="AJ979" s="94">
        <f>Table3.110[[#This Row],[Net gas 8h, ml]]*Table3.110[[#This Row],[CH4 8h %]]%</f>
        <v>2.4790307062573187</v>
      </c>
      <c r="AK979" s="94">
        <f>Table3.110[[#This Row],[Net gas 8-24h, ml]]*Table3.110[[#This Row],[CH4 24h, %]]%</f>
        <v>1.3830570002947251</v>
      </c>
      <c r="AL979" s="94">
        <f>Table3.110[[#This Row],[CH4 8-24h, ml]]+Table3.110[[#This Row],[CH4 8h, ml]]</f>
        <v>3.8620877065520438</v>
      </c>
      <c r="AM979" s="94">
        <f>(Table3.110[[#This Row],[Net gas 24h, ml]]/Table3.110[[#This Row],[DM Incubated, mg]])*1000</f>
        <v>64.660596050368213</v>
      </c>
      <c r="AN979" s="94">
        <f>'3.2 Digest'!X979</f>
        <v>12.276853540361298</v>
      </c>
      <c r="AO979" s="94">
        <f>Table3.110[[#This Row],[Digested feed, mg]]/Table3.110[[#This Row],[Net gas 24h, ml]]</f>
        <v>1.8986607439866596</v>
      </c>
      <c r="AP979" s="94">
        <f>Table3.110[[#This Row],[CH4 8h, ml]]/Table3.110[[#This Row],[Net gas 8h, ml]]%</f>
        <v>11.799999999999999</v>
      </c>
      <c r="AQ979" s="94">
        <f>Table3.110[[#This Row],[CH4 24h, ml]]/Table3.110[[#This Row],[Net gas 24h, ml]]%</f>
        <v>12.72360818531723</v>
      </c>
      <c r="AR979" s="94">
        <f>Table3.110[[#This Row],[CH4 24h, ml]]/Table3.110[[#This Row],[DM Incubated, mg]]*1000</f>
        <v>8.2271608917395582</v>
      </c>
      <c r="AS979" s="94">
        <f>Table3.110[[#This Row],[CH4 24h, ml]]/Table3.110[[#This Row],[Digested feed, mg]]*1000</f>
        <v>67.013594848973327</v>
      </c>
      <c r="AT979" s="94">
        <f>Table3.110[[#This Row],[CH4 24h, ml]]/'3.2 Digest'!AA979</f>
        <v>-0.1132707618964568</v>
      </c>
      <c r="AU979" s="94">
        <f>((Table3.110[[#This Row],[CH4 24h, ml]]/28.9)*16.04)/Table3.110[[#This Row],[DM Incubated, mg]]*1000</f>
        <v>4.5662166333391871</v>
      </c>
      <c r="AV979" s="94">
        <f>((Table3.110[[#This Row],[CH4 24h, ml]]/28.9)*16.04)/Table3.110[[#This Row],[Digested feed, mg]]*1000</f>
        <v>37.193704545935368</v>
      </c>
    </row>
    <row r="980" spans="2:48" s="89" customFormat="1" x14ac:dyDescent="0.35">
      <c r="B980" s="90">
        <f t="shared" si="15"/>
        <v>970</v>
      </c>
      <c r="C980" s="140">
        <v>46078</v>
      </c>
      <c r="D980" s="8" t="s">
        <v>120</v>
      </c>
      <c r="E980" s="6" t="s">
        <v>122</v>
      </c>
      <c r="F980" s="6" t="s">
        <v>123</v>
      </c>
      <c r="G980" s="6" t="s">
        <v>545</v>
      </c>
      <c r="H980" s="6" t="s">
        <v>125</v>
      </c>
      <c r="I980" s="57" t="s">
        <v>108</v>
      </c>
      <c r="J980" s="130" t="s">
        <v>109</v>
      </c>
      <c r="K980" s="130" t="s">
        <v>110</v>
      </c>
      <c r="L980" s="6" t="s">
        <v>121</v>
      </c>
      <c r="M980" s="93">
        <v>29</v>
      </c>
      <c r="N980" s="93">
        <v>70</v>
      </c>
      <c r="O980" s="6">
        <v>3</v>
      </c>
      <c r="P980" s="129">
        <v>1</v>
      </c>
      <c r="Q980" s="6">
        <v>245</v>
      </c>
      <c r="R980" s="98">
        <v>0.50049999999999994</v>
      </c>
      <c r="S980" s="94">
        <f>((Table3.110[[#This Row],[Sample weight, g]]*'2.1. DM'!Q239)/100)*1000</f>
        <v>468.21774999999991</v>
      </c>
      <c r="T980" s="94">
        <f>'3.2 Digest'!W980</f>
        <v>155.51774999999992</v>
      </c>
      <c r="U980" s="117">
        <v>0.33680555555555558</v>
      </c>
      <c r="V980" s="155">
        <v>40.5</v>
      </c>
      <c r="W980" s="117">
        <v>0.6743055555555556</v>
      </c>
      <c r="X980" s="96">
        <v>64.5</v>
      </c>
      <c r="Y980" s="96">
        <v>14.9</v>
      </c>
      <c r="Z980" s="155">
        <v>39.5</v>
      </c>
      <c r="AA980" s="117">
        <v>0.3527777777777778</v>
      </c>
      <c r="AB980" s="155">
        <v>80.5</v>
      </c>
      <c r="AC980" s="155">
        <v>16.5</v>
      </c>
      <c r="AD980" s="96"/>
      <c r="AE980" s="94">
        <f>Table3.110[[#This Row],[Gas 8h, ml]]-Table3.110[[#This Row],[Gas 0h, ml]]</f>
        <v>24</v>
      </c>
      <c r="AF980" s="94">
        <f>Table3.110[[#This Row],[Gas 24h, ml]]-Table3.110[[#This Row],[V8 Push back, ml]]</f>
        <v>41</v>
      </c>
      <c r="AG980" s="94">
        <f>Table3.110[[#This Row],[GP 8h, ml]]-(AVERAGE(AE$934,AE$935,AE$958,AE$959))*$AG$8</f>
        <v>22.008734798790837</v>
      </c>
      <c r="AH980" s="94">
        <f>Table3.110[[#This Row],[GP 8-24h, ml]]-(AVERAGE(AF$934,AF$935,AF$958,AF$959))*$AG$8</f>
        <v>38.344979731721118</v>
      </c>
      <c r="AI980" s="94">
        <f>Table3.110[[#This Row],[Net gas 8-24h, ml]]+Table3.110[[#This Row],[Net gas 8h, ml]]</f>
        <v>60.353714530511951</v>
      </c>
      <c r="AJ980" s="94">
        <f>Table3.110[[#This Row],[Net gas 8h, ml]]*Table3.110[[#This Row],[CH4 8h %]]%</f>
        <v>3.2793014850198343</v>
      </c>
      <c r="AK980" s="94">
        <f>Table3.110[[#This Row],[Net gas 8-24h, ml]]*Table3.110[[#This Row],[CH4 24h, %]]%</f>
        <v>6.3269216557339849</v>
      </c>
      <c r="AL980" s="94">
        <f>Table3.110[[#This Row],[CH4 8-24h, ml]]+Table3.110[[#This Row],[CH4 8h, ml]]</f>
        <v>9.6062231407538192</v>
      </c>
      <c r="AM980" s="94">
        <f>(Table3.110[[#This Row],[Net gas 24h, ml]]/Table3.110[[#This Row],[DM Incubated, mg]])*1000</f>
        <v>128.90095373469282</v>
      </c>
      <c r="AN980" s="94">
        <f>'3.2 Digest'!X980</f>
        <v>33.214834337228766</v>
      </c>
      <c r="AO980" s="94">
        <f>Table3.110[[#This Row],[Digested feed, mg]]/Table3.110[[#This Row],[Net gas 24h, ml]]</f>
        <v>2.576771806172387</v>
      </c>
      <c r="AP980" s="94">
        <f>Table3.110[[#This Row],[CH4 8h, ml]]/Table3.110[[#This Row],[Net gas 8h, ml]]%</f>
        <v>14.899999999999999</v>
      </c>
      <c r="AQ980" s="94">
        <f>Table3.110[[#This Row],[CH4 24h, ml]]/Table3.110[[#This Row],[Net gas 24h, ml]]%</f>
        <v>15.916540043110972</v>
      </c>
      <c r="AR980" s="94">
        <f>Table3.110[[#This Row],[CH4 24h, ml]]/Table3.110[[#This Row],[DM Incubated, mg]]*1000</f>
        <v>20.516571917134328</v>
      </c>
      <c r="AS980" s="94">
        <f>Table3.110[[#This Row],[CH4 24h, ml]]/Table3.110[[#This Row],[Digested feed, mg]]*1000</f>
        <v>61.769303765993428</v>
      </c>
      <c r="AT980" s="94">
        <f>Table3.110[[#This Row],[CH4 24h, ml]]/'3.2 Digest'!AA980</f>
        <v>0.78480577812278551</v>
      </c>
      <c r="AU980" s="94">
        <f>((Table3.110[[#This Row],[CH4 24h, ml]]/28.9)*16.04)/Table3.110[[#This Row],[DM Incubated, mg]]*1000</f>
        <v>11.387052372001195</v>
      </c>
      <c r="AV980" s="94">
        <f>((Table3.110[[#This Row],[CH4 24h, ml]]/28.9)*16.04)/Table3.110[[#This Row],[Digested feed, mg]]*1000</f>
        <v>34.283032263201882</v>
      </c>
    </row>
    <row r="981" spans="2:48" s="89" customFormat="1" x14ac:dyDescent="0.35">
      <c r="B981" s="90">
        <f t="shared" si="15"/>
        <v>971</v>
      </c>
      <c r="C981" s="140">
        <v>46078</v>
      </c>
      <c r="D981" s="8" t="s">
        <v>120</v>
      </c>
      <c r="E981" s="6" t="s">
        <v>122</v>
      </c>
      <c r="F981" s="6" t="s">
        <v>123</v>
      </c>
      <c r="G981" s="6" t="s">
        <v>545</v>
      </c>
      <c r="H981" s="6" t="s">
        <v>125</v>
      </c>
      <c r="I981" s="57" t="s">
        <v>108</v>
      </c>
      <c r="J981" s="130" t="s">
        <v>109</v>
      </c>
      <c r="K981" s="130" t="s">
        <v>110</v>
      </c>
      <c r="L981" s="6" t="s">
        <v>121</v>
      </c>
      <c r="M981" s="93">
        <v>29</v>
      </c>
      <c r="N981" s="93">
        <v>70</v>
      </c>
      <c r="O981" s="6">
        <v>3</v>
      </c>
      <c r="P981" s="129">
        <v>2</v>
      </c>
      <c r="Q981" s="6">
        <v>246</v>
      </c>
      <c r="R981" s="98">
        <v>0.50039999999999996</v>
      </c>
      <c r="S981" s="94">
        <f>((Table3.110[[#This Row],[Sample weight, g]]*'2.1. DM'!Q239)/100)*1000</f>
        <v>468.12419999999992</v>
      </c>
      <c r="T981" s="94">
        <f>'3.2 Digest'!W981</f>
        <v>118.12419999999992</v>
      </c>
      <c r="U981" s="153">
        <v>0.33888888888888891</v>
      </c>
      <c r="V981" s="155">
        <v>40.5</v>
      </c>
      <c r="W981" s="153">
        <v>0.6743055555555556</v>
      </c>
      <c r="X981" s="91">
        <v>67.5</v>
      </c>
      <c r="Y981" s="91">
        <v>12.6</v>
      </c>
      <c r="Z981" s="154">
        <v>39.5</v>
      </c>
      <c r="AA981" s="153">
        <v>0.3527777777777778</v>
      </c>
      <c r="AB981" s="154">
        <v>80</v>
      </c>
      <c r="AC981" s="154">
        <v>16.7</v>
      </c>
      <c r="AD981" s="91"/>
      <c r="AE981" s="94">
        <f>Table3.110[[#This Row],[Gas 8h, ml]]-Table3.110[[#This Row],[Gas 0h, ml]]</f>
        <v>27</v>
      </c>
      <c r="AF981" s="94">
        <f>Table3.110[[#This Row],[Gas 24h, ml]]-Table3.110[[#This Row],[V8 Push back, ml]]</f>
        <v>40.5</v>
      </c>
      <c r="AG981" s="94">
        <f>Table3.110[[#This Row],[GP 8h, ml]]-(AVERAGE(AE$934,AE$935,AE$958,AE$959))*$AG$8</f>
        <v>25.008734798790837</v>
      </c>
      <c r="AH981" s="94">
        <f>Table3.110[[#This Row],[GP 8-24h, ml]]-(AVERAGE(AF$934,AF$935,AF$958,AF$959))*$AG$8</f>
        <v>37.844979731721118</v>
      </c>
      <c r="AI981" s="94">
        <f>Table3.110[[#This Row],[Net gas 8-24h, ml]]+Table3.110[[#This Row],[Net gas 8h, ml]]</f>
        <v>62.853714530511951</v>
      </c>
      <c r="AJ981" s="94">
        <f>Table3.110[[#This Row],[Net gas 8h, ml]]*Table3.110[[#This Row],[CH4 8h %]]%</f>
        <v>3.1511005846476454</v>
      </c>
      <c r="AK981" s="94">
        <f>Table3.110[[#This Row],[Net gas 8-24h, ml]]*Table3.110[[#This Row],[CH4 24h, %]]%</f>
        <v>6.3201116151974261</v>
      </c>
      <c r="AL981" s="94">
        <f>Table3.110[[#This Row],[CH4 8-24h, ml]]+Table3.110[[#This Row],[CH4 8h, ml]]</f>
        <v>9.4712121998450716</v>
      </c>
      <c r="AM981" s="94">
        <f>(Table3.110[[#This Row],[Net gas 24h, ml]]/Table3.110[[#This Row],[DM Incubated, mg]])*1000</f>
        <v>134.26717638291711</v>
      </c>
      <c r="AN981" s="94">
        <f>'3.2 Digest'!X981</f>
        <v>25.233517087986467</v>
      </c>
      <c r="AO981" s="94">
        <f>Table3.110[[#This Row],[Digested feed, mg]]/Table3.110[[#This Row],[Net gas 24h, ml]]</f>
        <v>1.8793511391066196</v>
      </c>
      <c r="AP981" s="94">
        <f>Table3.110[[#This Row],[CH4 8h, ml]]/Table3.110[[#This Row],[Net gas 8h, ml]]%</f>
        <v>12.6</v>
      </c>
      <c r="AQ981" s="94">
        <f>Table3.110[[#This Row],[CH4 24h, ml]]/Table3.110[[#This Row],[Net gas 24h, ml]]%</f>
        <v>15.068659458857169</v>
      </c>
      <c r="AR981" s="94">
        <f>Table3.110[[#This Row],[CH4 24h, ml]]/Table3.110[[#This Row],[DM Incubated, mg]]*1000</f>
        <v>20.232263574164875</v>
      </c>
      <c r="AS981" s="94">
        <f>Table3.110[[#This Row],[CH4 24h, ml]]/Table3.110[[#This Row],[Digested feed, mg]]*1000</f>
        <v>80.180117197365817</v>
      </c>
      <c r="AT981" s="255">
        <f>Table3.110[[#This Row],[CH4 24h, ml]]/'3.2 Digest'!AA981</f>
        <v>5.4049494745996816</v>
      </c>
      <c r="AU981" s="255">
        <f>((Table3.110[[#This Row],[CH4 24h, ml]]/28.9)*16.04)/Table3.110[[#This Row],[DM Incubated, mg]]*1000</f>
        <v>11.229256322823689</v>
      </c>
      <c r="AV981" s="255">
        <f>((Table3.110[[#This Row],[CH4 24h, ml]]/28.9)*16.04)/Table3.110[[#This Row],[Digested feed, mg]]*1000</f>
        <v>44.501352243797498</v>
      </c>
    </row>
    <row r="982" spans="2:48" x14ac:dyDescent="0.35">
      <c r="B982" s="90">
        <f t="shared" si="15"/>
        <v>972</v>
      </c>
      <c r="C982" s="142">
        <v>46064</v>
      </c>
      <c r="D982" s="92"/>
      <c r="E982" s="145" t="s">
        <v>537</v>
      </c>
      <c r="F982" s="242" t="s">
        <v>538</v>
      </c>
      <c r="G982" s="242"/>
      <c r="H982" s="145" t="s">
        <v>537</v>
      </c>
      <c r="I982" s="242"/>
      <c r="J982" s="243"/>
      <c r="K982" s="243"/>
      <c r="L982" s="145" t="s">
        <v>539</v>
      </c>
      <c r="M982" s="256">
        <v>30</v>
      </c>
      <c r="N982" s="256">
        <v>64</v>
      </c>
      <c r="O982" s="256">
        <v>1</v>
      </c>
      <c r="P982" s="257">
        <v>1</v>
      </c>
      <c r="Q982" s="124">
        <v>106</v>
      </c>
      <c r="R982" s="98"/>
      <c r="S982" s="94"/>
      <c r="T982" s="94"/>
      <c r="U982" s="149">
        <v>0.32569444444444445</v>
      </c>
      <c r="V982" s="150">
        <v>39.5</v>
      </c>
      <c r="W982" s="149">
        <v>0.65833333333333333</v>
      </c>
      <c r="X982" s="161">
        <v>43.5</v>
      </c>
      <c r="Y982" s="161"/>
      <c r="Z982" s="150">
        <v>40.5</v>
      </c>
      <c r="AA982" s="149">
        <v>0.33055555555555555</v>
      </c>
      <c r="AB982" s="150">
        <v>45</v>
      </c>
      <c r="AC982" s="150"/>
      <c r="AD982" s="163"/>
      <c r="AE982" s="94">
        <f>Table3.110[[#This Row],[Gas 8h, ml]]-Table3.110[[#This Row],[Gas 0h, ml]]</f>
        <v>4</v>
      </c>
      <c r="AF982" s="94">
        <f>Table3.110[[#This Row],[Gas 24h, ml]]-Table3.110[[#This Row],[V8 Push back, ml]]</f>
        <v>4.5</v>
      </c>
      <c r="AG982" s="94"/>
      <c r="AH982" s="94"/>
      <c r="AI982" s="94"/>
      <c r="AJ982" s="94"/>
      <c r="AK982" s="94"/>
      <c r="AL982" s="94"/>
      <c r="AM982" s="94"/>
      <c r="AN982" s="94"/>
      <c r="AO982" s="94"/>
      <c r="AP982" s="94"/>
      <c r="AQ982" s="94"/>
      <c r="AR982" s="94"/>
      <c r="AS982" s="94"/>
      <c r="AT982" s="255"/>
      <c r="AU982" s="255"/>
      <c r="AV982" s="255"/>
    </row>
    <row r="983" spans="2:48" x14ac:dyDescent="0.35">
      <c r="B983" s="90">
        <f t="shared" si="15"/>
        <v>973</v>
      </c>
      <c r="C983" s="143">
        <v>46064</v>
      </c>
      <c r="D983" s="92"/>
      <c r="E983" s="145" t="s">
        <v>537</v>
      </c>
      <c r="F983" s="242" t="s">
        <v>538</v>
      </c>
      <c r="G983" s="242"/>
      <c r="H983" s="145" t="s">
        <v>537</v>
      </c>
      <c r="I983" s="242"/>
      <c r="J983" s="243"/>
      <c r="K983" s="243"/>
      <c r="L983" s="145" t="s">
        <v>539</v>
      </c>
      <c r="M983" s="256">
        <v>30</v>
      </c>
      <c r="N983" s="256">
        <v>64</v>
      </c>
      <c r="O983" s="256">
        <v>1</v>
      </c>
      <c r="P983" s="257">
        <v>2</v>
      </c>
      <c r="Q983" s="146">
        <v>107</v>
      </c>
      <c r="R983" s="98"/>
      <c r="S983" s="94"/>
      <c r="T983" s="94"/>
      <c r="U983" s="151">
        <v>0.32569444444444445</v>
      </c>
      <c r="V983" s="152">
        <v>40</v>
      </c>
      <c r="W983" s="151">
        <v>0.65902777777777777</v>
      </c>
      <c r="X983" s="162">
        <v>43.5</v>
      </c>
      <c r="Y983" s="162"/>
      <c r="Z983" s="152">
        <v>40.5</v>
      </c>
      <c r="AA983" s="151">
        <v>0.33124999999999999</v>
      </c>
      <c r="AB983" s="152">
        <v>45</v>
      </c>
      <c r="AC983" s="152"/>
      <c r="AD983" s="164"/>
      <c r="AE983" s="94">
        <f>Table3.110[[#This Row],[Gas 8h, ml]]-Table3.110[[#This Row],[Gas 0h, ml]]</f>
        <v>3.5</v>
      </c>
      <c r="AF983" s="94">
        <f>Table3.110[[#This Row],[Gas 24h, ml]]-Table3.110[[#This Row],[V8 Push back, ml]]</f>
        <v>4.5</v>
      </c>
      <c r="AG983" s="94"/>
      <c r="AH983" s="94"/>
      <c r="AI983" s="94"/>
      <c r="AJ983" s="94"/>
      <c r="AK983" s="94"/>
      <c r="AL983" s="94"/>
      <c r="AM983" s="94"/>
      <c r="AN983" s="94"/>
      <c r="AO983" s="94"/>
      <c r="AP983" s="94"/>
      <c r="AQ983" s="94"/>
      <c r="AR983" s="94"/>
      <c r="AS983" s="94"/>
      <c r="AT983" s="255"/>
      <c r="AU983" s="255"/>
      <c r="AV983" s="255"/>
    </row>
    <row r="984" spans="2:48" x14ac:dyDescent="0.35">
      <c r="B984" s="90">
        <f t="shared" si="15"/>
        <v>974</v>
      </c>
      <c r="C984" s="139">
        <v>46064</v>
      </c>
      <c r="D984" s="6" t="s">
        <v>16</v>
      </c>
      <c r="E984" s="6" t="s">
        <v>385</v>
      </c>
      <c r="F984" s="242" t="s">
        <v>226</v>
      </c>
      <c r="G984" s="242" t="s">
        <v>231</v>
      </c>
      <c r="H984" s="6" t="s">
        <v>232</v>
      </c>
      <c r="I984" s="133" t="s">
        <v>22</v>
      </c>
      <c r="J984" s="135" t="s">
        <v>23</v>
      </c>
      <c r="K984" s="135" t="s">
        <v>215</v>
      </c>
      <c r="L984" s="6" t="s">
        <v>384</v>
      </c>
      <c r="M984" s="256">
        <v>30</v>
      </c>
      <c r="N984" s="256">
        <v>64</v>
      </c>
      <c r="O984" s="256">
        <v>1</v>
      </c>
      <c r="P984" s="257">
        <v>1</v>
      </c>
      <c r="Q984" s="129">
        <v>108</v>
      </c>
      <c r="R984" s="98">
        <v>0.50009999999999999</v>
      </c>
      <c r="S984" s="94">
        <f>((Table3.110[[#This Row],[Sample weight, g]]*'2.1. DM'!Q241)/100)*1000</f>
        <v>463.10726564061611</v>
      </c>
      <c r="T984" s="94">
        <f>'3.2 Digest'!W984</f>
        <v>213.00726564061611</v>
      </c>
      <c r="U984" s="153">
        <v>0.32569444444444445</v>
      </c>
      <c r="V984" s="154">
        <v>41</v>
      </c>
      <c r="W984" s="153">
        <v>0.65972222222222221</v>
      </c>
      <c r="X984" s="95">
        <v>80.5</v>
      </c>
      <c r="Y984" s="95">
        <v>12.2</v>
      </c>
      <c r="Z984" s="154">
        <v>42</v>
      </c>
      <c r="AA984" s="153">
        <v>0.33194444444444443</v>
      </c>
      <c r="AB984" s="154">
        <v>80</v>
      </c>
      <c r="AC984" s="154">
        <v>14.1</v>
      </c>
      <c r="AD984" s="91"/>
      <c r="AE984" s="94">
        <f>Table3.110[[#This Row],[Gas 8h, ml]]-Table3.110[[#This Row],[Gas 0h, ml]]</f>
        <v>39.5</v>
      </c>
      <c r="AF984" s="94">
        <f>Table3.110[[#This Row],[Gas 24h, ml]]-Table3.110[[#This Row],[V8 Push back, ml]]</f>
        <v>38</v>
      </c>
      <c r="AG984" s="94">
        <f>Table3.110[[#This Row],[GP 8h, ml]]-(AVERAGE(AE$982,AE$983,AE$1032,AE$1033,AE$1085,AE$1086))*$AG$8</f>
        <v>36.771229168713369</v>
      </c>
      <c r="AH984" s="94">
        <f>Table3.110[[#This Row],[GP 8-24h, ml]]-(AVERAGE(AF$982,AF$983,AF$1032,AF$1033,AF$1085,AF$1086))*$AG$8</f>
        <v>34.349347131116531</v>
      </c>
      <c r="AI984" s="94">
        <f>Table3.110[[#This Row],[Net gas 8-24h, ml]]+Table3.110[[#This Row],[Net gas 8h, ml]]</f>
        <v>71.120576299829906</v>
      </c>
      <c r="AJ984" s="94">
        <f>Table3.110[[#This Row],[Net gas 8h, ml]]*Table3.110[[#This Row],[CH4 8h %]]%</f>
        <v>4.4860899585830305</v>
      </c>
      <c r="AK984" s="94">
        <f>Table3.110[[#This Row],[Net gas 8-24h, ml]]*Table3.110[[#This Row],[CH4 24h, %]]%</f>
        <v>4.84325794548743</v>
      </c>
      <c r="AL984" s="94">
        <f>Table3.110[[#This Row],[CH4 8-24h, ml]]+Table3.110[[#This Row],[CH4 8h, ml]]</f>
        <v>9.3293479040704597</v>
      </c>
      <c r="AM984" s="94">
        <f>(Table3.110[[#This Row],[Net gas 24h, ml]]/Table3.110[[#This Row],[DM Incubated, mg]])*1000</f>
        <v>153.57257718997096</v>
      </c>
      <c r="AN984" s="94">
        <f>'3.2 Digest'!X984</f>
        <v>45.995232950181261</v>
      </c>
      <c r="AO984" s="94">
        <f>Table3.110[[#This Row],[Digested feed, mg]]/Table3.110[[#This Row],[Net gas 24h, ml]]</f>
        <v>2.9950160238103352</v>
      </c>
      <c r="AP984" s="94">
        <f>Table3.110[[#This Row],[CH4 8h, ml]]/Table3.110[[#This Row],[Net gas 8h, ml]]%</f>
        <v>12.199999999999998</v>
      </c>
      <c r="AQ984" s="94">
        <f>Table3.110[[#This Row],[CH4 24h, ml]]/Table3.110[[#This Row],[Net gas 24h, ml]]%</f>
        <v>13.117649475645168</v>
      </c>
      <c r="AR984" s="94">
        <f>Table3.110[[#This Row],[CH4 24h, ml]]/Table3.110[[#This Row],[DM Incubated, mg]]*1000</f>
        <v>20.145112366494999</v>
      </c>
      <c r="AS984" s="94">
        <f>Table3.110[[#This Row],[CH4 24h, ml]]/Table3.110[[#This Row],[Digested feed, mg]]*1000</f>
        <v>43.798261416166199</v>
      </c>
      <c r="AT984" s="255">
        <f>Table3.110[[#This Row],[CH4 24h, ml]]/'3.2 Digest'!AA984</f>
        <v>3.5542048869893939</v>
      </c>
      <c r="AU984" s="255">
        <f>((Table3.110[[#This Row],[CH4 24h, ml]]/28.9)*16.04)/Table3.110[[#This Row],[DM Incubated, mg]]*1000</f>
        <v>11.180885894760545</v>
      </c>
      <c r="AV984" s="255">
        <f>((Table3.110[[#This Row],[CH4 24h, ml]]/28.9)*16.04)/Table3.110[[#This Row],[Digested feed, mg]]*1000</f>
        <v>24.308792841360059</v>
      </c>
    </row>
    <row r="985" spans="2:48" x14ac:dyDescent="0.35">
      <c r="B985" s="90">
        <f t="shared" si="15"/>
        <v>975</v>
      </c>
      <c r="C985" s="140">
        <v>46064</v>
      </c>
      <c r="D985" s="6" t="s">
        <v>16</v>
      </c>
      <c r="E985" s="6" t="s">
        <v>385</v>
      </c>
      <c r="F985" s="242" t="s">
        <v>226</v>
      </c>
      <c r="G985" s="242" t="s">
        <v>231</v>
      </c>
      <c r="H985" s="6" t="s">
        <v>232</v>
      </c>
      <c r="I985" s="133" t="s">
        <v>22</v>
      </c>
      <c r="J985" s="135" t="s">
        <v>23</v>
      </c>
      <c r="K985" s="135" t="s">
        <v>215</v>
      </c>
      <c r="L985" s="6" t="s">
        <v>384</v>
      </c>
      <c r="M985" s="256">
        <v>30</v>
      </c>
      <c r="N985" s="256">
        <v>64</v>
      </c>
      <c r="O985" s="256">
        <v>1</v>
      </c>
      <c r="P985" s="257">
        <v>2</v>
      </c>
      <c r="Q985" s="6">
        <v>109</v>
      </c>
      <c r="R985" s="98">
        <v>0.50019999999999998</v>
      </c>
      <c r="S985" s="94">
        <f>((Table3.110[[#This Row],[Sample weight, g]]*'2.1. DM'!Q241)/100)*1000</f>
        <v>463.19986857315774</v>
      </c>
      <c r="T985" s="94">
        <f>'3.2 Digest'!W985</f>
        <v>212.6998685731578</v>
      </c>
      <c r="U985" s="117">
        <v>0.3263888888888889</v>
      </c>
      <c r="V985" s="155">
        <v>41</v>
      </c>
      <c r="W985" s="117">
        <v>0.66041666666666665</v>
      </c>
      <c r="X985" s="97">
        <v>80</v>
      </c>
      <c r="Y985" s="97">
        <v>13.4</v>
      </c>
      <c r="Z985" s="155">
        <v>42</v>
      </c>
      <c r="AA985" s="117">
        <v>0.33194444444444443</v>
      </c>
      <c r="AB985" s="155">
        <v>79.5</v>
      </c>
      <c r="AC985" s="155">
        <v>16.3</v>
      </c>
      <c r="AD985" s="96"/>
      <c r="AE985" s="94">
        <f>Table3.110[[#This Row],[Gas 8h, ml]]-Table3.110[[#This Row],[Gas 0h, ml]]</f>
        <v>39</v>
      </c>
      <c r="AF985" s="94">
        <f>Table3.110[[#This Row],[Gas 24h, ml]]-Table3.110[[#This Row],[V8 Push back, ml]]</f>
        <v>37.5</v>
      </c>
      <c r="AG985" s="94">
        <f>Table3.110[[#This Row],[GP 8h, ml]]-(AVERAGE(AE$982,AE$983,AE$1032,AE$1033,AE$1085,AE$1086))*$AG$8</f>
        <v>36.271229168713369</v>
      </c>
      <c r="AH985" s="94">
        <f>Table3.110[[#This Row],[GP 8-24h, ml]]-(AVERAGE(AF$982,AF$983,AF$1032,AF$1033,AF$1085,AF$1086))*$AG$8</f>
        <v>33.849347131116531</v>
      </c>
      <c r="AI985" s="94">
        <f>Table3.110[[#This Row],[Net gas 8-24h, ml]]+Table3.110[[#This Row],[Net gas 8h, ml]]</f>
        <v>70.120576299829906</v>
      </c>
      <c r="AJ985" s="94">
        <f>Table3.110[[#This Row],[Net gas 8h, ml]]*Table3.110[[#This Row],[CH4 8h %]]%</f>
        <v>4.8603447086075917</v>
      </c>
      <c r="AK985" s="94">
        <f>Table3.110[[#This Row],[Net gas 8-24h, ml]]*Table3.110[[#This Row],[CH4 24h, %]]%</f>
        <v>5.5174435823719952</v>
      </c>
      <c r="AL985" s="94">
        <f>Table3.110[[#This Row],[CH4 8-24h, ml]]+Table3.110[[#This Row],[CH4 8h, ml]]</f>
        <v>10.377788290979588</v>
      </c>
      <c r="AM985" s="94">
        <f>(Table3.110[[#This Row],[Net gas 24h, ml]]/Table3.110[[#This Row],[DM Incubated, mg]])*1000</f>
        <v>151.38297969692769</v>
      </c>
      <c r="AN985" s="94">
        <f>'3.2 Digest'!X985</f>
        <v>45.919673774597371</v>
      </c>
      <c r="AO985" s="94">
        <f>Table3.110[[#This Row],[Digested feed, mg]]/Table3.110[[#This Row],[Net gas 24h, ml]]</f>
        <v>3.0333445587165513</v>
      </c>
      <c r="AP985" s="94">
        <f>Table3.110[[#This Row],[CH4 8h, ml]]/Table3.110[[#This Row],[Net gas 8h, ml]]%</f>
        <v>13.4</v>
      </c>
      <c r="AQ985" s="94">
        <f>Table3.110[[#This Row],[CH4 24h, ml]]/Table3.110[[#This Row],[Net gas 24h, ml]]%</f>
        <v>14.799918709459838</v>
      </c>
      <c r="AR985" s="94">
        <f>Table3.110[[#This Row],[CH4 24h, ml]]/Table3.110[[#This Row],[DM Incubated, mg]]*1000</f>
        <v>22.404557935103391</v>
      </c>
      <c r="AS985" s="94">
        <f>Table3.110[[#This Row],[CH4 24h, ml]]/Table3.110[[#This Row],[Digested feed, mg]]*1000</f>
        <v>48.790760241632036</v>
      </c>
      <c r="AT985" s="255">
        <f>Table3.110[[#This Row],[CH4 24h, ml]]/'3.2 Digest'!AA985</f>
        <v>4.1700696266341861</v>
      </c>
      <c r="AU985" s="255">
        <f>((Table3.110[[#This Row],[CH4 24h, ml]]/28.9)*16.04)/Table3.110[[#This Row],[DM Incubated, mg]]*1000</f>
        <v>12.434917276091987</v>
      </c>
      <c r="AV985" s="255">
        <f>((Table3.110[[#This Row],[CH4 24h, ml]]/28.9)*16.04)/Table3.110[[#This Row],[Digested feed, mg]]*1000</f>
        <v>27.079716064905814</v>
      </c>
    </row>
    <row r="986" spans="2:48" x14ac:dyDescent="0.35">
      <c r="B986" s="90">
        <f t="shared" si="15"/>
        <v>976</v>
      </c>
      <c r="C986" s="139">
        <v>46064</v>
      </c>
      <c r="D986" s="6" t="s">
        <v>16</v>
      </c>
      <c r="E986" s="6" t="s">
        <v>385</v>
      </c>
      <c r="F986" s="242" t="s">
        <v>226</v>
      </c>
      <c r="G986" s="242" t="s">
        <v>231</v>
      </c>
      <c r="H986" s="6" t="s">
        <v>232</v>
      </c>
      <c r="I986" s="133" t="s">
        <v>22</v>
      </c>
      <c r="J986" s="135" t="s">
        <v>23</v>
      </c>
      <c r="K986" s="135" t="s">
        <v>215</v>
      </c>
      <c r="L986" s="6" t="s">
        <v>384</v>
      </c>
      <c r="M986" s="256">
        <v>30</v>
      </c>
      <c r="N986" s="256">
        <v>64</v>
      </c>
      <c r="O986" s="256">
        <v>1</v>
      </c>
      <c r="P986" s="257">
        <v>3</v>
      </c>
      <c r="Q986" s="129">
        <v>110</v>
      </c>
      <c r="R986" s="98">
        <v>0.50039999999999996</v>
      </c>
      <c r="S986" s="94">
        <f>((Table3.110[[#This Row],[Sample weight, g]]*'2.1. DM'!Q241)/100)*1000</f>
        <v>463.38507443824091</v>
      </c>
      <c r="T986" s="94">
        <f>'3.2 Digest'!W986</f>
        <v>241.58507443824089</v>
      </c>
      <c r="U986" s="153">
        <v>0.3263888888888889</v>
      </c>
      <c r="V986" s="154">
        <v>41</v>
      </c>
      <c r="W986" s="153">
        <v>0.66041666666666665</v>
      </c>
      <c r="X986" s="95">
        <v>82.5</v>
      </c>
      <c r="Y986" s="95">
        <v>13.3</v>
      </c>
      <c r="Z986" s="154">
        <v>41.5</v>
      </c>
      <c r="AA986" s="153">
        <v>0.33333333333333331</v>
      </c>
      <c r="AB986" s="154">
        <v>79.5</v>
      </c>
      <c r="AC986" s="154">
        <v>16.399999999999999</v>
      </c>
      <c r="AD986" s="91"/>
      <c r="AE986" s="94">
        <f>Table3.110[[#This Row],[Gas 8h, ml]]-Table3.110[[#This Row],[Gas 0h, ml]]</f>
        <v>41.5</v>
      </c>
      <c r="AF986" s="94">
        <f>Table3.110[[#This Row],[Gas 24h, ml]]-Table3.110[[#This Row],[V8 Push back, ml]]</f>
        <v>38</v>
      </c>
      <c r="AG986" s="94">
        <f>Table3.110[[#This Row],[GP 8h, ml]]-(AVERAGE(AE$982,AE$983,AE$1032,AE$1033,AE$1085,AE$1086))*$AG$8</f>
        <v>38.771229168713369</v>
      </c>
      <c r="AH986" s="94">
        <f>Table3.110[[#This Row],[GP 8-24h, ml]]-(AVERAGE(AF$982,AF$983,AF$1032,AF$1033,AF$1085,AF$1086))*$AG$8</f>
        <v>34.349347131116531</v>
      </c>
      <c r="AI986" s="94">
        <f>Table3.110[[#This Row],[Net gas 8-24h, ml]]+Table3.110[[#This Row],[Net gas 8h, ml]]</f>
        <v>73.120576299829906</v>
      </c>
      <c r="AJ986" s="94">
        <f>Table3.110[[#This Row],[Net gas 8h, ml]]*Table3.110[[#This Row],[CH4 8h %]]%</f>
        <v>5.1565734794388787</v>
      </c>
      <c r="AK986" s="94">
        <f>Table3.110[[#This Row],[Net gas 8-24h, ml]]*Table3.110[[#This Row],[CH4 24h, %]]%</f>
        <v>5.63329292950311</v>
      </c>
      <c r="AL986" s="94">
        <f>Table3.110[[#This Row],[CH4 8-24h, ml]]+Table3.110[[#This Row],[CH4 8h, ml]]</f>
        <v>10.78986640894199</v>
      </c>
      <c r="AM986" s="94">
        <f>(Table3.110[[#This Row],[Net gas 24h, ml]]/Table3.110[[#This Row],[DM Incubated, mg]])*1000</f>
        <v>157.79657208094923</v>
      </c>
      <c r="AN986" s="94">
        <f>'3.2 Digest'!X986</f>
        <v>52.134841574496782</v>
      </c>
      <c r="AO986" s="94">
        <f>Table3.110[[#This Row],[Digested feed, mg]]/Table3.110[[#This Row],[Net gas 24h, ml]]</f>
        <v>3.3039273849213751</v>
      </c>
      <c r="AP986" s="94">
        <f>Table3.110[[#This Row],[CH4 8h, ml]]/Table3.110[[#This Row],[Net gas 8h, ml]]%</f>
        <v>13.300000000000002</v>
      </c>
      <c r="AQ986" s="94">
        <f>Table3.110[[#This Row],[CH4 24h, ml]]/Table3.110[[#This Row],[Net gas 24h, ml]]%</f>
        <v>14.756265547878469</v>
      </c>
      <c r="AR986" s="94">
        <f>Table3.110[[#This Row],[CH4 24h, ml]]/Table3.110[[#This Row],[DM Incubated, mg]]*1000</f>
        <v>23.284881201714327</v>
      </c>
      <c r="AS986" s="94">
        <f>Table3.110[[#This Row],[CH4 24h, ml]]/Table3.110[[#This Row],[Digested feed, mg]]*1000</f>
        <v>44.662802261405119</v>
      </c>
      <c r="AT986" s="255">
        <f>Table3.110[[#This Row],[CH4 24h, ml]]/'3.2 Digest'!AA986</f>
        <v>0.78786296753594875</v>
      </c>
      <c r="AU986" s="255">
        <f>((Table3.110[[#This Row],[CH4 24h, ml]]/28.9)*16.04)/Table3.110[[#This Row],[DM Incubated, mg]]*1000</f>
        <v>12.923511919567398</v>
      </c>
      <c r="AV986" s="255">
        <f>((Table3.110[[#This Row],[CH4 24h, ml]]/28.9)*16.04)/Table3.110[[#This Row],[Digested feed, mg]]*1000</f>
        <v>24.788627967921737</v>
      </c>
    </row>
    <row r="987" spans="2:48" x14ac:dyDescent="0.35">
      <c r="B987" s="90">
        <f t="shared" si="15"/>
        <v>977</v>
      </c>
      <c r="C987" s="140">
        <v>46064</v>
      </c>
      <c r="D987" s="6" t="s">
        <v>16</v>
      </c>
      <c r="E987" s="6" t="s">
        <v>389</v>
      </c>
      <c r="F987" s="242" t="s">
        <v>226</v>
      </c>
      <c r="G987" s="242" t="s">
        <v>227</v>
      </c>
      <c r="H987" s="6" t="s">
        <v>228</v>
      </c>
      <c r="I987" s="133" t="s">
        <v>22</v>
      </c>
      <c r="J987" s="135" t="s">
        <v>23</v>
      </c>
      <c r="K987" s="135" t="s">
        <v>215</v>
      </c>
      <c r="L987" s="6" t="s">
        <v>388</v>
      </c>
      <c r="M987" s="256">
        <v>30</v>
      </c>
      <c r="N987" s="256">
        <v>64</v>
      </c>
      <c r="O987" s="256">
        <v>1</v>
      </c>
      <c r="P987" s="257">
        <v>1</v>
      </c>
      <c r="Q987" s="129">
        <v>111</v>
      </c>
      <c r="R987" s="98">
        <v>0.50029999999999997</v>
      </c>
      <c r="S987" s="94">
        <f>((Table3.110[[#This Row],[Sample weight, g]]*'2.1. DM'!Q243)/100)*1000</f>
        <v>463.1925875950356</v>
      </c>
      <c r="T987" s="94">
        <f>'3.2 Digest'!W987</f>
        <v>212.49258759503567</v>
      </c>
      <c r="U987" s="117">
        <v>0.3263888888888889</v>
      </c>
      <c r="V987" s="155">
        <v>41</v>
      </c>
      <c r="W987" s="117">
        <v>0.66180555555555554</v>
      </c>
      <c r="X987" s="97">
        <v>73.5</v>
      </c>
      <c r="Y987" s="97">
        <v>11.4</v>
      </c>
      <c r="Z987" s="155">
        <v>41</v>
      </c>
      <c r="AA987" s="117">
        <v>0.33402777777777776</v>
      </c>
      <c r="AB987" s="155">
        <v>74.5</v>
      </c>
      <c r="AC987" s="155">
        <v>14.7</v>
      </c>
      <c r="AD987" s="96"/>
      <c r="AE987" s="94">
        <f>Table3.110[[#This Row],[Gas 8h, ml]]-Table3.110[[#This Row],[Gas 0h, ml]]</f>
        <v>32.5</v>
      </c>
      <c r="AF987" s="94">
        <f>Table3.110[[#This Row],[Gas 24h, ml]]-Table3.110[[#This Row],[V8 Push back, ml]]</f>
        <v>33.5</v>
      </c>
      <c r="AG987" s="94">
        <f>Table3.110[[#This Row],[GP 8h, ml]]-(AVERAGE(AE$982,AE$983,AE$1032,AE$1033,AE$1085,AE$1086))*$AG$8</f>
        <v>29.771229168713369</v>
      </c>
      <c r="AH987" s="94">
        <f>Table3.110[[#This Row],[GP 8-24h, ml]]-(AVERAGE(AF$982,AF$983,AF$1032,AF$1033,AF$1085,AF$1086))*$AG$8</f>
        <v>29.849347131116534</v>
      </c>
      <c r="AI987" s="94">
        <f>Table3.110[[#This Row],[Net gas 8-24h, ml]]+Table3.110[[#This Row],[Net gas 8h, ml]]</f>
        <v>59.620576299829906</v>
      </c>
      <c r="AJ987" s="94">
        <f>Table3.110[[#This Row],[Net gas 8h, ml]]*Table3.110[[#This Row],[CH4 8h %]]%</f>
        <v>3.3939201252333242</v>
      </c>
      <c r="AK987" s="94">
        <f>Table3.110[[#This Row],[Net gas 8-24h, ml]]*Table3.110[[#This Row],[CH4 24h, %]]%</f>
        <v>4.3878540282741305</v>
      </c>
      <c r="AL987" s="94">
        <f>Table3.110[[#This Row],[CH4 8-24h, ml]]+Table3.110[[#This Row],[CH4 8h, ml]]</f>
        <v>7.7817741535074543</v>
      </c>
      <c r="AM987" s="94">
        <f>(Table3.110[[#This Row],[Net gas 24h, ml]]/Table3.110[[#This Row],[DM Incubated, mg]])*1000</f>
        <v>128.71660276212265</v>
      </c>
      <c r="AN987" s="94">
        <f>'3.2 Digest'!X987</f>
        <v>45.875645095775084</v>
      </c>
      <c r="AO987" s="94">
        <f>Table3.110[[#This Row],[Digested feed, mg]]/Table3.110[[#This Row],[Net gas 24h, ml]]</f>
        <v>3.5640814091835926</v>
      </c>
      <c r="AP987" s="94">
        <f>Table3.110[[#This Row],[CH4 8h, ml]]/Table3.110[[#This Row],[Net gas 8h, ml]]%</f>
        <v>11.4</v>
      </c>
      <c r="AQ987" s="94">
        <f>Table3.110[[#This Row],[CH4 24h, ml]]/Table3.110[[#This Row],[Net gas 24h, ml]]%</f>
        <v>13.052161915331327</v>
      </c>
      <c r="AR987" s="94">
        <f>Table3.110[[#This Row],[CH4 24h, ml]]/Table3.110[[#This Row],[DM Incubated, mg]]*1000</f>
        <v>16.800299404426088</v>
      </c>
      <c r="AS987" s="94">
        <f>Table3.110[[#This Row],[CH4 24h, ml]]/Table3.110[[#This Row],[Digested feed, mg]]*1000</f>
        <v>36.621391087475537</v>
      </c>
      <c r="AT987" s="255">
        <f>Table3.110[[#This Row],[CH4 24h, ml]]/'3.2 Digest'!AA987</f>
        <v>-3.1595595535228664</v>
      </c>
      <c r="AU987" s="255">
        <f>((Table3.110[[#This Row],[CH4 24h, ml]]/28.9)*16.04)/Table3.110[[#This Row],[DM Incubated, mg]]*1000</f>
        <v>9.3244568320759331</v>
      </c>
      <c r="AV987" s="255">
        <f>((Table3.110[[#This Row],[CH4 24h, ml]]/28.9)*16.04)/Table3.110[[#This Row],[Digested feed, mg]]*1000</f>
        <v>20.325505641630023</v>
      </c>
    </row>
    <row r="988" spans="2:48" x14ac:dyDescent="0.35">
      <c r="B988" s="90">
        <f t="shared" si="15"/>
        <v>978</v>
      </c>
      <c r="C988" s="139">
        <v>46064</v>
      </c>
      <c r="D988" s="6" t="s">
        <v>16</v>
      </c>
      <c r="E988" s="6" t="s">
        <v>389</v>
      </c>
      <c r="F988" s="242" t="s">
        <v>226</v>
      </c>
      <c r="G988" s="242" t="s">
        <v>227</v>
      </c>
      <c r="H988" s="6" t="s">
        <v>228</v>
      </c>
      <c r="I988" s="133" t="s">
        <v>22</v>
      </c>
      <c r="J988" s="135" t="s">
        <v>23</v>
      </c>
      <c r="K988" s="135" t="s">
        <v>215</v>
      </c>
      <c r="L988" s="6" t="s">
        <v>388</v>
      </c>
      <c r="M988" s="256">
        <v>30</v>
      </c>
      <c r="N988" s="256">
        <v>64</v>
      </c>
      <c r="O988" s="256">
        <v>1</v>
      </c>
      <c r="P988" s="257">
        <v>2</v>
      </c>
      <c r="Q988" s="6">
        <v>112</v>
      </c>
      <c r="R988" s="98">
        <v>0.50009999999999999</v>
      </c>
      <c r="S988" s="94">
        <f>((Table3.110[[#This Row],[Sample weight, g]]*'2.1. DM'!Q243)/100)*1000</f>
        <v>463.00742165955893</v>
      </c>
      <c r="T988" s="94">
        <f>'3.2 Digest'!W988</f>
        <v>192.90742165955891</v>
      </c>
      <c r="U988" s="153">
        <v>0.32708333333333334</v>
      </c>
      <c r="V988" s="154">
        <v>41.5</v>
      </c>
      <c r="W988" s="153">
        <v>0.66180555555555554</v>
      </c>
      <c r="X988" s="95">
        <v>74</v>
      </c>
      <c r="Y988" s="95">
        <v>11.3</v>
      </c>
      <c r="Z988" s="154">
        <v>41.5</v>
      </c>
      <c r="AA988" s="153">
        <v>0.33402777777777776</v>
      </c>
      <c r="AB988" s="154">
        <v>73.5</v>
      </c>
      <c r="AC988" s="154">
        <v>14.6</v>
      </c>
      <c r="AD988" s="91"/>
      <c r="AE988" s="94">
        <f>Table3.110[[#This Row],[Gas 8h, ml]]-Table3.110[[#This Row],[Gas 0h, ml]]</f>
        <v>32.5</v>
      </c>
      <c r="AF988" s="94">
        <f>Table3.110[[#This Row],[Gas 24h, ml]]-Table3.110[[#This Row],[V8 Push back, ml]]</f>
        <v>32</v>
      </c>
      <c r="AG988" s="94">
        <f>Table3.110[[#This Row],[GP 8h, ml]]-(AVERAGE(AE$982,AE$983,AE$1032,AE$1033,AE$1085,AE$1086))*$AG$8</f>
        <v>29.771229168713369</v>
      </c>
      <c r="AH988" s="94">
        <f>Table3.110[[#This Row],[GP 8-24h, ml]]-(AVERAGE(AF$982,AF$983,AF$1032,AF$1033,AF$1085,AF$1086))*$AG$8</f>
        <v>28.349347131116534</v>
      </c>
      <c r="AI988" s="94">
        <f>Table3.110[[#This Row],[Net gas 8-24h, ml]]+Table3.110[[#This Row],[Net gas 8h, ml]]</f>
        <v>58.120576299829906</v>
      </c>
      <c r="AJ988" s="94">
        <f>Table3.110[[#This Row],[Net gas 8h, ml]]*Table3.110[[#This Row],[CH4 8h %]]%</f>
        <v>3.3641488960646106</v>
      </c>
      <c r="AK988" s="94">
        <f>Table3.110[[#This Row],[Net gas 8-24h, ml]]*Table3.110[[#This Row],[CH4 24h, %]]%</f>
        <v>4.1390046811430139</v>
      </c>
      <c r="AL988" s="94">
        <f>Table3.110[[#This Row],[CH4 8-24h, ml]]+Table3.110[[#This Row],[CH4 8h, ml]]</f>
        <v>7.503153577207625</v>
      </c>
      <c r="AM988" s="94">
        <f>(Table3.110[[#This Row],[Net gas 24h, ml]]/Table3.110[[#This Row],[DM Incubated, mg]])*1000</f>
        <v>125.52839021782447</v>
      </c>
      <c r="AN988" s="94">
        <f>'3.2 Digest'!X988</f>
        <v>41.664002051656155</v>
      </c>
      <c r="AO988" s="94">
        <f>Table3.110[[#This Row],[Digested feed, mg]]/Table3.110[[#This Row],[Net gas 24h, ml]]</f>
        <v>3.3190899667683347</v>
      </c>
      <c r="AP988" s="94">
        <f>Table3.110[[#This Row],[CH4 8h, ml]]/Table3.110[[#This Row],[Net gas 8h, ml]]%</f>
        <v>11.299999999999999</v>
      </c>
      <c r="AQ988" s="94">
        <f>Table3.110[[#This Row],[CH4 24h, ml]]/Table3.110[[#This Row],[Net gas 24h, ml]]%</f>
        <v>12.909633824862096</v>
      </c>
      <c r="AR988" s="94">
        <f>Table3.110[[#This Row],[CH4 24h, ml]]/Table3.110[[#This Row],[DM Incubated, mg]]*1000</f>
        <v>16.205255523365153</v>
      </c>
      <c r="AS988" s="94">
        <f>Table3.110[[#This Row],[CH4 24h, ml]]/Table3.110[[#This Row],[Digested feed, mg]]*1000</f>
        <v>38.895100627331573</v>
      </c>
      <c r="AT988" s="255">
        <f>Table3.110[[#This Row],[CH4 24h, ml]]/'3.2 Digest'!AA988</f>
        <v>-0.71896831439077613</v>
      </c>
      <c r="AU988" s="255">
        <f>((Table3.110[[#This Row],[CH4 24h, ml]]/28.9)*16.04)/Table3.110[[#This Row],[DM Incubated, mg]]*1000</f>
        <v>8.9941971832102769</v>
      </c>
      <c r="AV988" s="255">
        <f>((Table3.110[[#This Row],[CH4 24h, ml]]/28.9)*16.04)/Table3.110[[#This Row],[Digested feed, mg]]*1000</f>
        <v>21.587453773785409</v>
      </c>
    </row>
    <row r="989" spans="2:48" x14ac:dyDescent="0.35">
      <c r="B989" s="90">
        <f t="shared" si="15"/>
        <v>979</v>
      </c>
      <c r="C989" s="140">
        <v>46064</v>
      </c>
      <c r="D989" s="6" t="s">
        <v>16</v>
      </c>
      <c r="E989" s="6" t="s">
        <v>389</v>
      </c>
      <c r="F989" s="242" t="s">
        <v>226</v>
      </c>
      <c r="G989" s="242" t="s">
        <v>227</v>
      </c>
      <c r="H989" s="6" t="s">
        <v>228</v>
      </c>
      <c r="I989" s="133" t="s">
        <v>22</v>
      </c>
      <c r="J989" s="135" t="s">
        <v>23</v>
      </c>
      <c r="K989" s="135" t="s">
        <v>215</v>
      </c>
      <c r="L989" s="6" t="s">
        <v>388</v>
      </c>
      <c r="M989" s="256">
        <v>30</v>
      </c>
      <c r="N989" s="256">
        <v>64</v>
      </c>
      <c r="O989" s="256">
        <v>1</v>
      </c>
      <c r="P989" s="257">
        <v>3</v>
      </c>
      <c r="Q989" s="129">
        <v>113</v>
      </c>
      <c r="R989" s="98">
        <v>0.5</v>
      </c>
      <c r="S989" s="94">
        <f>((Table3.110[[#This Row],[Sample weight, g]]*'2.1. DM'!Q243)/100)*1000</f>
        <v>462.91483869182059</v>
      </c>
      <c r="T989" s="94">
        <f>'3.2 Digest'!W989</f>
        <v>173.7148386918206</v>
      </c>
      <c r="U989" s="117">
        <v>0.32708333333333334</v>
      </c>
      <c r="V989" s="155">
        <v>41.5</v>
      </c>
      <c r="W989" s="117">
        <v>0.66249999999999998</v>
      </c>
      <c r="X989" s="97">
        <v>74.5</v>
      </c>
      <c r="Y989" s="97">
        <v>11.3</v>
      </c>
      <c r="Z989" s="155">
        <v>41.5</v>
      </c>
      <c r="AA989" s="117">
        <v>0.3347222222222222</v>
      </c>
      <c r="AB989" s="155">
        <v>74</v>
      </c>
      <c r="AC989" s="155">
        <v>14.7</v>
      </c>
      <c r="AD989" s="96"/>
      <c r="AE989" s="94">
        <f>Table3.110[[#This Row],[Gas 8h, ml]]-Table3.110[[#This Row],[Gas 0h, ml]]</f>
        <v>33</v>
      </c>
      <c r="AF989" s="94">
        <f>Table3.110[[#This Row],[Gas 24h, ml]]-Table3.110[[#This Row],[V8 Push back, ml]]</f>
        <v>32.5</v>
      </c>
      <c r="AG989" s="94">
        <f>Table3.110[[#This Row],[GP 8h, ml]]-(AVERAGE(AE$982,AE$983,AE$1032,AE$1033,AE$1085,AE$1086))*$AG$8</f>
        <v>30.271229168713369</v>
      </c>
      <c r="AH989" s="94">
        <f>Table3.110[[#This Row],[GP 8-24h, ml]]-(AVERAGE(AF$982,AF$983,AF$1032,AF$1033,AF$1085,AF$1086))*$AG$8</f>
        <v>28.849347131116534</v>
      </c>
      <c r="AI989" s="94">
        <f>Table3.110[[#This Row],[Net gas 8-24h, ml]]+Table3.110[[#This Row],[Net gas 8h, ml]]</f>
        <v>59.120576299829906</v>
      </c>
      <c r="AJ989" s="94">
        <f>Table3.110[[#This Row],[Net gas 8h, ml]]*Table3.110[[#This Row],[CH4 8h %]]%</f>
        <v>3.4206488960646109</v>
      </c>
      <c r="AK989" s="94">
        <f>Table3.110[[#This Row],[Net gas 8-24h, ml]]*Table3.110[[#This Row],[CH4 24h, %]]%</f>
        <v>4.2408540282741303</v>
      </c>
      <c r="AL989" s="94">
        <f>Table3.110[[#This Row],[CH4 8-24h, ml]]+Table3.110[[#This Row],[CH4 8h, ml]]</f>
        <v>7.6615029243387411</v>
      </c>
      <c r="AM989" s="94">
        <f>(Table3.110[[#This Row],[Net gas 24h, ml]]/Table3.110[[#This Row],[DM Incubated, mg]])*1000</f>
        <v>127.71372044780929</v>
      </c>
      <c r="AN989" s="94">
        <f>'3.2 Digest'!X989</f>
        <v>37.526305957858682</v>
      </c>
      <c r="AO989" s="94">
        <f>Table3.110[[#This Row],[Digested feed, mg]]/Table3.110[[#This Row],[Net gas 24h, ml]]</f>
        <v>2.938314366403096</v>
      </c>
      <c r="AP989" s="94">
        <f>Table3.110[[#This Row],[CH4 8h, ml]]/Table3.110[[#This Row],[Net gas 8h, ml]]%</f>
        <v>11.3</v>
      </c>
      <c r="AQ989" s="94">
        <f>Table3.110[[#This Row],[CH4 24h, ml]]/Table3.110[[#This Row],[Net gas 24h, ml]]%</f>
        <v>12.959114074740141</v>
      </c>
      <c r="AR989" s="94">
        <f>Table3.110[[#This Row],[CH4 24h, ml]]/Table3.110[[#This Row],[DM Incubated, mg]]*1000</f>
        <v>16.55056672192633</v>
      </c>
      <c r="AS989" s="94">
        <f>Table3.110[[#This Row],[CH4 24h, ml]]/Table3.110[[#This Row],[Digested feed, mg]]*1000</f>
        <v>44.103906045301379</v>
      </c>
      <c r="AT989" s="255">
        <f>Table3.110[[#This Row],[CH4 24h, ml]]/'3.2 Digest'!AA989</f>
        <v>-0.41936990191008572</v>
      </c>
      <c r="AU989" s="255">
        <f>((Table3.110[[#This Row],[CH4 24h, ml]]/28.9)*16.04)/Table3.110[[#This Row],[DM Incubated, mg]]*1000</f>
        <v>9.1858508726539245</v>
      </c>
      <c r="AV989" s="255">
        <f>((Table3.110[[#This Row],[CH4 24h, ml]]/28.9)*16.04)/Table3.110[[#This Row],[Digested feed, mg]]*1000</f>
        <v>24.478430898499454</v>
      </c>
    </row>
    <row r="990" spans="2:48" x14ac:dyDescent="0.35">
      <c r="B990" s="90">
        <f t="shared" si="15"/>
        <v>980</v>
      </c>
      <c r="C990" s="139">
        <v>46064</v>
      </c>
      <c r="D990" s="6" t="s">
        <v>16</v>
      </c>
      <c r="E990" s="6" t="s">
        <v>391</v>
      </c>
      <c r="F990" s="242" t="s">
        <v>290</v>
      </c>
      <c r="G990" s="242" t="s">
        <v>314</v>
      </c>
      <c r="H990" s="6" t="s">
        <v>315</v>
      </c>
      <c r="I990" s="133" t="s">
        <v>22</v>
      </c>
      <c r="J990" s="135" t="s">
        <v>23</v>
      </c>
      <c r="K990" s="135" t="s">
        <v>215</v>
      </c>
      <c r="L990" s="6" t="s">
        <v>390</v>
      </c>
      <c r="M990" s="256">
        <v>30</v>
      </c>
      <c r="N990" s="256">
        <v>64</v>
      </c>
      <c r="O990" s="256">
        <v>1</v>
      </c>
      <c r="P990" s="257">
        <v>1</v>
      </c>
      <c r="Q990" s="129">
        <v>114</v>
      </c>
      <c r="R990" s="98">
        <v>0.50029999999999997</v>
      </c>
      <c r="S990" s="94">
        <f>((Table3.110[[#This Row],[Sample weight, g]]*'2.1. DM'!Q245)/100)*1000</f>
        <v>474.10929499999986</v>
      </c>
      <c r="T990" s="94">
        <f>'3.2 Digest'!W990</f>
        <v>220.10929499999986</v>
      </c>
      <c r="U990" s="153">
        <v>0.32708333333333334</v>
      </c>
      <c r="V990" s="154">
        <v>41.5</v>
      </c>
      <c r="W990" s="153">
        <v>0.66319444444444442</v>
      </c>
      <c r="X990" s="95">
        <v>72.5</v>
      </c>
      <c r="Y990" s="95">
        <v>13.7</v>
      </c>
      <c r="Z990" s="154">
        <v>41</v>
      </c>
      <c r="AA990" s="153">
        <v>0.3347222222222222</v>
      </c>
      <c r="AB990" s="154">
        <v>85.5</v>
      </c>
      <c r="AC990" s="154">
        <v>16.2</v>
      </c>
      <c r="AD990" s="91"/>
      <c r="AE990" s="94">
        <f>Table3.110[[#This Row],[Gas 8h, ml]]-Table3.110[[#This Row],[Gas 0h, ml]]</f>
        <v>31</v>
      </c>
      <c r="AF990" s="94">
        <f>Table3.110[[#This Row],[Gas 24h, ml]]-Table3.110[[#This Row],[V8 Push back, ml]]</f>
        <v>44.5</v>
      </c>
      <c r="AG990" s="94">
        <f>Table3.110[[#This Row],[GP 8h, ml]]-(AVERAGE(AE$982,AE$983,AE$1032,AE$1033,AE$1085,AE$1086))*$AG$8</f>
        <v>28.271229168713369</v>
      </c>
      <c r="AH990" s="94">
        <f>Table3.110[[#This Row],[GP 8-24h, ml]]-(AVERAGE(AF$982,AF$983,AF$1032,AF$1033,AF$1085,AF$1086))*$AG$8</f>
        <v>40.849347131116531</v>
      </c>
      <c r="AI990" s="94">
        <f>Table3.110[[#This Row],[Net gas 8-24h, ml]]+Table3.110[[#This Row],[Net gas 8h, ml]]</f>
        <v>69.120576299829906</v>
      </c>
      <c r="AJ990" s="94">
        <f>Table3.110[[#This Row],[Net gas 8h, ml]]*Table3.110[[#This Row],[CH4 8h %]]%</f>
        <v>3.8731583961137308</v>
      </c>
      <c r="AK990" s="94">
        <f>Table3.110[[#This Row],[Net gas 8-24h, ml]]*Table3.110[[#This Row],[CH4 24h, %]]%</f>
        <v>6.6175942352408779</v>
      </c>
      <c r="AL990" s="94">
        <f>Table3.110[[#This Row],[CH4 8-24h, ml]]+Table3.110[[#This Row],[CH4 8h, ml]]</f>
        <v>10.490752631354608</v>
      </c>
      <c r="AM990" s="94">
        <f>(Table3.110[[#This Row],[Net gas 24h, ml]]/Table3.110[[#This Row],[DM Incubated, mg]])*1000</f>
        <v>145.79038426114369</v>
      </c>
      <c r="AN990" s="94">
        <f>'3.2 Digest'!X990</f>
        <v>46.425855245044275</v>
      </c>
      <c r="AO990" s="94">
        <f>Table3.110[[#This Row],[Digested feed, mg]]/Table3.110[[#This Row],[Net gas 24h, ml]]</f>
        <v>3.1844250552138629</v>
      </c>
      <c r="AP990" s="94">
        <f>Table3.110[[#This Row],[CH4 8h, ml]]/Table3.110[[#This Row],[Net gas 8h, ml]]%</f>
        <v>13.699999999999998</v>
      </c>
      <c r="AQ990" s="94">
        <f>Table3.110[[#This Row],[CH4 24h, ml]]/Table3.110[[#This Row],[Net gas 24h, ml]]%</f>
        <v>15.177466961282301</v>
      </c>
      <c r="AR990" s="94">
        <f>Table3.110[[#This Row],[CH4 24h, ml]]/Table3.110[[#This Row],[DM Incubated, mg]]*1000</f>
        <v>22.127287403961592</v>
      </c>
      <c r="AS990" s="94">
        <f>Table3.110[[#This Row],[CH4 24h, ml]]/Table3.110[[#This Row],[Digested feed, mg]]*1000</f>
        <v>47.661561186476085</v>
      </c>
      <c r="AT990" s="255">
        <f>Table3.110[[#This Row],[CH4 24h, ml]]/'3.2 Digest'!AA990</f>
        <v>-0.83576073920101035</v>
      </c>
      <c r="AU990" s="255">
        <f>((Table3.110[[#This Row],[CH4 24h, ml]]/28.9)*16.04)/Table3.110[[#This Row],[DM Incubated, mg]]*1000</f>
        <v>12.281027334240276</v>
      </c>
      <c r="AV990" s="255">
        <f>((Table3.110[[#This Row],[CH4 24h, ml]]/28.9)*16.04)/Table3.110[[#This Row],[Digested feed, mg]]*1000</f>
        <v>26.452991052978426</v>
      </c>
    </row>
    <row r="991" spans="2:48" x14ac:dyDescent="0.35">
      <c r="B991" s="90">
        <f t="shared" si="15"/>
        <v>981</v>
      </c>
      <c r="C991" s="140">
        <v>46064</v>
      </c>
      <c r="D991" s="6" t="s">
        <v>16</v>
      </c>
      <c r="E991" s="6" t="s">
        <v>391</v>
      </c>
      <c r="F991" s="242" t="s">
        <v>290</v>
      </c>
      <c r="G991" s="242" t="s">
        <v>314</v>
      </c>
      <c r="H991" s="6" t="s">
        <v>315</v>
      </c>
      <c r="I991" s="133" t="s">
        <v>22</v>
      </c>
      <c r="J991" s="135" t="s">
        <v>23</v>
      </c>
      <c r="K991" s="135" t="s">
        <v>215</v>
      </c>
      <c r="L991" s="6" t="s">
        <v>390</v>
      </c>
      <c r="M991" s="256">
        <v>30</v>
      </c>
      <c r="N991" s="256">
        <v>64</v>
      </c>
      <c r="O991" s="256">
        <v>1</v>
      </c>
      <c r="P991" s="257">
        <v>2</v>
      </c>
      <c r="Q991" s="6">
        <v>115</v>
      </c>
      <c r="R991" s="98">
        <v>0.50019999999999998</v>
      </c>
      <c r="S991" s="94">
        <f>((Table3.110[[#This Row],[Sample weight, g]]*'2.1. DM'!Q245)/100)*1000</f>
        <v>474.01452999999987</v>
      </c>
      <c r="T991" s="94">
        <f>'3.2 Digest'!W991</f>
        <v>210.81452999999988</v>
      </c>
      <c r="U991" s="117">
        <v>0.32708333333333334</v>
      </c>
      <c r="V991" s="155">
        <v>40.5</v>
      </c>
      <c r="W991" s="117">
        <v>0.66319444444444442</v>
      </c>
      <c r="X991" s="97">
        <v>74.5</v>
      </c>
      <c r="Y991" s="97">
        <v>14.3</v>
      </c>
      <c r="Z991" s="155">
        <v>40.5</v>
      </c>
      <c r="AA991" s="117">
        <v>0.33541666666666664</v>
      </c>
      <c r="AB991" s="155">
        <v>87</v>
      </c>
      <c r="AC991" s="155">
        <v>16</v>
      </c>
      <c r="AD991" s="96"/>
      <c r="AE991" s="94">
        <f>Table3.110[[#This Row],[Gas 8h, ml]]-Table3.110[[#This Row],[Gas 0h, ml]]</f>
        <v>34</v>
      </c>
      <c r="AF991" s="94">
        <f>Table3.110[[#This Row],[Gas 24h, ml]]-Table3.110[[#This Row],[V8 Push back, ml]]</f>
        <v>46.5</v>
      </c>
      <c r="AG991" s="94">
        <f>Table3.110[[#This Row],[GP 8h, ml]]-(AVERAGE(AE$982,AE$983,AE$1032,AE$1033,AE$1085,AE$1086))*$AG$8</f>
        <v>31.271229168713369</v>
      </c>
      <c r="AH991" s="94">
        <f>Table3.110[[#This Row],[GP 8-24h, ml]]-(AVERAGE(AF$982,AF$983,AF$1032,AF$1033,AF$1085,AF$1086))*$AG$8</f>
        <v>42.849347131116531</v>
      </c>
      <c r="AI991" s="94">
        <f>Table3.110[[#This Row],[Net gas 8-24h, ml]]+Table3.110[[#This Row],[Net gas 8h, ml]]</f>
        <v>74.120576299829906</v>
      </c>
      <c r="AJ991" s="94">
        <f>Table3.110[[#This Row],[Net gas 8h, ml]]*Table3.110[[#This Row],[CH4 8h %]]%</f>
        <v>4.4717857711260125</v>
      </c>
      <c r="AK991" s="94">
        <f>Table3.110[[#This Row],[Net gas 8-24h, ml]]*Table3.110[[#This Row],[CH4 24h, %]]%</f>
        <v>6.8558955409786453</v>
      </c>
      <c r="AL991" s="94">
        <f>Table3.110[[#This Row],[CH4 8-24h, ml]]+Table3.110[[#This Row],[CH4 8h, ml]]</f>
        <v>11.327681312104659</v>
      </c>
      <c r="AM991" s="94">
        <f>(Table3.110[[#This Row],[Net gas 24h, ml]]/Table3.110[[#This Row],[DM Incubated, mg]])*1000</f>
        <v>156.36773054157209</v>
      </c>
      <c r="AN991" s="94">
        <f>'3.2 Digest'!X991</f>
        <v>44.474275925676778</v>
      </c>
      <c r="AO991" s="94">
        <f>Table3.110[[#This Row],[Digested feed, mg]]/Table3.110[[#This Row],[Net gas 24h, ml]]</f>
        <v>2.8442106163236032</v>
      </c>
      <c r="AP991" s="94">
        <f>Table3.110[[#This Row],[CH4 8h, ml]]/Table3.110[[#This Row],[Net gas 8h, ml]]%</f>
        <v>14.300000000000004</v>
      </c>
      <c r="AQ991" s="94">
        <f>Table3.110[[#This Row],[CH4 24h, ml]]/Table3.110[[#This Row],[Net gas 24h, ml]]%</f>
        <v>15.282775549777604</v>
      </c>
      <c r="AR991" s="94">
        <f>Table3.110[[#This Row],[CH4 24h, ml]]/Table3.110[[#This Row],[DM Incubated, mg]]*1000</f>
        <v>23.897329290949504</v>
      </c>
      <c r="AS991" s="94">
        <f>Table3.110[[#This Row],[CH4 24h, ml]]/Table3.110[[#This Row],[Digested feed, mg]]*1000</f>
        <v>53.732924917958286</v>
      </c>
      <c r="AT991" s="255">
        <f>Table3.110[[#This Row],[CH4 24h, ml]]/'3.2 Digest'!AA991</f>
        <v>-0.68024500485207595</v>
      </c>
      <c r="AU991" s="255">
        <f>((Table3.110[[#This Row],[CH4 24h, ml]]/28.9)*16.04)/Table3.110[[#This Row],[DM Incubated, mg]]*1000</f>
        <v>13.263431205080625</v>
      </c>
      <c r="AV991" s="255">
        <f>((Table3.110[[#This Row],[CH4 24h, ml]]/28.9)*16.04)/Table3.110[[#This Row],[Digested feed, mg]]*1000</f>
        <v>29.822702964846055</v>
      </c>
    </row>
    <row r="992" spans="2:48" x14ac:dyDescent="0.35">
      <c r="B992" s="90">
        <f t="shared" si="15"/>
        <v>982</v>
      </c>
      <c r="C992" s="140">
        <v>46064</v>
      </c>
      <c r="D992" s="6" t="s">
        <v>16</v>
      </c>
      <c r="E992" s="6" t="s">
        <v>391</v>
      </c>
      <c r="F992" s="242" t="s">
        <v>290</v>
      </c>
      <c r="G992" s="242" t="s">
        <v>314</v>
      </c>
      <c r="H992" s="6" t="s">
        <v>315</v>
      </c>
      <c r="I992" s="133" t="s">
        <v>22</v>
      </c>
      <c r="J992" s="135" t="s">
        <v>23</v>
      </c>
      <c r="K992" s="135" t="s">
        <v>215</v>
      </c>
      <c r="L992" s="6" t="s">
        <v>390</v>
      </c>
      <c r="M992" s="256">
        <v>30</v>
      </c>
      <c r="N992" s="256">
        <v>64</v>
      </c>
      <c r="O992" s="256">
        <v>1</v>
      </c>
      <c r="P992" s="257">
        <v>3</v>
      </c>
      <c r="Q992" s="129">
        <v>116</v>
      </c>
      <c r="R992" s="98">
        <v>0.50029999999999997</v>
      </c>
      <c r="S992" s="94">
        <f>((Table3.110[[#This Row],[Sample weight, g]]*'2.1. DM'!Q245)/100)*1000</f>
        <v>474.10929499999986</v>
      </c>
      <c r="T992" s="94">
        <f>'3.2 Digest'!W992</f>
        <v>155.50929499999984</v>
      </c>
      <c r="U992" s="153">
        <v>0.32777777777777778</v>
      </c>
      <c r="V992" s="154">
        <v>41</v>
      </c>
      <c r="W992" s="153">
        <v>0.66388888888888886</v>
      </c>
      <c r="X992" s="95">
        <v>72.5</v>
      </c>
      <c r="Y992" s="95">
        <v>14.2</v>
      </c>
      <c r="Z992" s="154">
        <v>41.5</v>
      </c>
      <c r="AA992" s="153">
        <v>0.33541666666666664</v>
      </c>
      <c r="AB992" s="154">
        <v>86.5</v>
      </c>
      <c r="AC992" s="154">
        <v>16.5</v>
      </c>
      <c r="AD992" s="91"/>
      <c r="AE992" s="94">
        <f>Table3.110[[#This Row],[Gas 8h, ml]]-Table3.110[[#This Row],[Gas 0h, ml]]</f>
        <v>31.5</v>
      </c>
      <c r="AF992" s="94">
        <f>Table3.110[[#This Row],[Gas 24h, ml]]-Table3.110[[#This Row],[V8 Push back, ml]]</f>
        <v>45</v>
      </c>
      <c r="AG992" s="94">
        <f>Table3.110[[#This Row],[GP 8h, ml]]-(AVERAGE(AE$982,AE$983,AE$1032,AE$1033,AE$1085,AE$1086))*$AG$8</f>
        <v>28.771229168713369</v>
      </c>
      <c r="AH992" s="94">
        <f>Table3.110[[#This Row],[GP 8-24h, ml]]-(AVERAGE(AF$982,AF$983,AF$1032,AF$1033,AF$1085,AF$1086))*$AG$8</f>
        <v>41.349347131116531</v>
      </c>
      <c r="AI992" s="94">
        <f>Table3.110[[#This Row],[Net gas 8-24h, ml]]+Table3.110[[#This Row],[Net gas 8h, ml]]</f>
        <v>70.120576299829906</v>
      </c>
      <c r="AJ992" s="94">
        <f>Table3.110[[#This Row],[Net gas 8h, ml]]*Table3.110[[#This Row],[CH4 8h %]]%</f>
        <v>4.0855145419572976</v>
      </c>
      <c r="AK992" s="94">
        <f>Table3.110[[#This Row],[Net gas 8-24h, ml]]*Table3.110[[#This Row],[CH4 24h, %]]%</f>
        <v>6.8226422766342276</v>
      </c>
      <c r="AL992" s="94">
        <f>Table3.110[[#This Row],[CH4 8-24h, ml]]+Table3.110[[#This Row],[CH4 8h, ml]]</f>
        <v>10.908156818591525</v>
      </c>
      <c r="AM992" s="94">
        <f>(Table3.110[[#This Row],[Net gas 24h, ml]]/Table3.110[[#This Row],[DM Incubated, mg]])*1000</f>
        <v>147.8996025585829</v>
      </c>
      <c r="AN992" s="94">
        <f>'3.2 Digest'!X992</f>
        <v>32.800305043587024</v>
      </c>
      <c r="AO992" s="94">
        <f>Table3.110[[#This Row],[Digested feed, mg]]/Table3.110[[#This Row],[Net gas 24h, ml]]</f>
        <v>2.217741256647046</v>
      </c>
      <c r="AP992" s="94">
        <f>Table3.110[[#This Row],[CH4 8h, ml]]/Table3.110[[#This Row],[Net gas 8h, ml]]%</f>
        <v>14.199999999999998</v>
      </c>
      <c r="AQ992" s="94">
        <f>Table3.110[[#This Row],[CH4 24h, ml]]/Table3.110[[#This Row],[Net gas 24h, ml]]%</f>
        <v>15.556285179330429</v>
      </c>
      <c r="AR992" s="94">
        <f>Table3.110[[#This Row],[CH4 24h, ml]]/Table3.110[[#This Row],[DM Incubated, mg]]*1000</f>
        <v>23.007683953109435</v>
      </c>
      <c r="AS992" s="94">
        <f>Table3.110[[#This Row],[CH4 24h, ml]]/Table3.110[[#This Row],[Digested feed, mg]]*1000</f>
        <v>70.144725552202758</v>
      </c>
      <c r="AT992" s="255">
        <f>Table3.110[[#This Row],[CH4 24h, ml]]/'3.2 Digest'!AA992</f>
        <v>-0.2649034676260853</v>
      </c>
      <c r="AU992" s="255">
        <f>((Table3.110[[#This Row],[CH4 24h, ml]]/28.9)*16.04)/Table3.110[[#This Row],[DM Incubated, mg]]*1000</f>
        <v>12.769662650791535</v>
      </c>
      <c r="AV992" s="255">
        <f>((Table3.110[[#This Row],[CH4 24h, ml]]/28.9)*16.04)/Table3.110[[#This Row],[Digested feed, mg]]*1000</f>
        <v>38.931536258039174</v>
      </c>
    </row>
    <row r="993" spans="2:48" x14ac:dyDescent="0.35">
      <c r="B993" s="90">
        <f t="shared" si="15"/>
        <v>983</v>
      </c>
      <c r="C993" s="140">
        <v>46064</v>
      </c>
      <c r="D993" s="6" t="s">
        <v>16</v>
      </c>
      <c r="E993" s="6" t="s">
        <v>393</v>
      </c>
      <c r="F993" s="242" t="s">
        <v>226</v>
      </c>
      <c r="G993" s="242" t="s">
        <v>227</v>
      </c>
      <c r="H993" s="6" t="s">
        <v>228</v>
      </c>
      <c r="I993" s="133" t="s">
        <v>22</v>
      </c>
      <c r="J993" s="135" t="s">
        <v>23</v>
      </c>
      <c r="K993" s="135" t="s">
        <v>215</v>
      </c>
      <c r="L993" s="6" t="s">
        <v>392</v>
      </c>
      <c r="M993" s="256">
        <v>30</v>
      </c>
      <c r="N993" s="256">
        <v>64</v>
      </c>
      <c r="O993" s="256">
        <v>1</v>
      </c>
      <c r="P993" s="257">
        <v>1</v>
      </c>
      <c r="Q993" s="129">
        <v>117</v>
      </c>
      <c r="R993" s="98">
        <v>0.50009999999999999</v>
      </c>
      <c r="S993" s="94">
        <f>((Table3.110[[#This Row],[Sample weight, g]]*'2.1. DM'!Q247)/100)*1000</f>
        <v>467.89998968012804</v>
      </c>
      <c r="T993" s="94">
        <f>'3.2 Digest'!W993</f>
        <v>225.19998968012803</v>
      </c>
      <c r="U993" s="117">
        <v>0.32777777777777778</v>
      </c>
      <c r="V993" s="155">
        <v>41.5</v>
      </c>
      <c r="W993" s="117">
        <v>0.6645833333333333</v>
      </c>
      <c r="X993" s="97">
        <v>77.5</v>
      </c>
      <c r="Y993" s="97">
        <v>12.5</v>
      </c>
      <c r="Z993" s="155">
        <v>41</v>
      </c>
      <c r="AA993" s="117">
        <v>0.33611111111111114</v>
      </c>
      <c r="AB993" s="155">
        <v>74.5</v>
      </c>
      <c r="AC993" s="155">
        <v>15.8</v>
      </c>
      <c r="AD993" s="96"/>
      <c r="AE993" s="94">
        <f>Table3.110[[#This Row],[Gas 8h, ml]]-Table3.110[[#This Row],[Gas 0h, ml]]</f>
        <v>36</v>
      </c>
      <c r="AF993" s="94">
        <f>Table3.110[[#This Row],[Gas 24h, ml]]-Table3.110[[#This Row],[V8 Push back, ml]]</f>
        <v>33.5</v>
      </c>
      <c r="AG993" s="94">
        <f>Table3.110[[#This Row],[GP 8h, ml]]-(AVERAGE(AE$982,AE$983,AE$1032,AE$1033,AE$1085,AE$1086))*$AG$8</f>
        <v>33.271229168713369</v>
      </c>
      <c r="AH993" s="94">
        <f>Table3.110[[#This Row],[GP 8-24h, ml]]-(AVERAGE(AF$982,AF$983,AF$1032,AF$1033,AF$1085,AF$1086))*$AG$8</f>
        <v>29.849347131116534</v>
      </c>
      <c r="AI993" s="94">
        <f>Table3.110[[#This Row],[Net gas 8-24h, ml]]+Table3.110[[#This Row],[Net gas 8h, ml]]</f>
        <v>63.120576299829906</v>
      </c>
      <c r="AJ993" s="94">
        <f>Table3.110[[#This Row],[Net gas 8h, ml]]*Table3.110[[#This Row],[CH4 8h %]]%</f>
        <v>4.1589036460891711</v>
      </c>
      <c r="AK993" s="94">
        <f>Table3.110[[#This Row],[Net gas 8-24h, ml]]*Table3.110[[#This Row],[CH4 24h, %]]%</f>
        <v>4.7161968467164126</v>
      </c>
      <c r="AL993" s="94">
        <f>Table3.110[[#This Row],[CH4 8-24h, ml]]+Table3.110[[#This Row],[CH4 8h, ml]]</f>
        <v>8.8751004928055828</v>
      </c>
      <c r="AM993" s="94">
        <f>(Table3.110[[#This Row],[Net gas 24h, ml]]/Table3.110[[#This Row],[DM Incubated, mg]])*1000</f>
        <v>134.90185443898221</v>
      </c>
      <c r="AN993" s="94">
        <f>'3.2 Digest'!X993</f>
        <v>48.129941151330698</v>
      </c>
      <c r="AO993" s="94">
        <f>Table3.110[[#This Row],[Digested feed, mg]]/Table3.110[[#This Row],[Net gas 24h, ml]]</f>
        <v>3.567774612994699</v>
      </c>
      <c r="AP993" s="94">
        <f>Table3.110[[#This Row],[CH4 8h, ml]]/Table3.110[[#This Row],[Net gas 8h, ml]]%</f>
        <v>12.5</v>
      </c>
      <c r="AQ993" s="94">
        <f>Table3.110[[#This Row],[CH4 24h, ml]]/Table3.110[[#This Row],[Net gas 24h, ml]]%</f>
        <v>14.060550478259017</v>
      </c>
      <c r="AR993" s="94">
        <f>Table3.110[[#This Row],[CH4 24h, ml]]/Table3.110[[#This Row],[DM Incubated, mg]]*1000</f>
        <v>18.967943339500597</v>
      </c>
      <c r="AS993" s="94">
        <f>Table3.110[[#This Row],[CH4 24h, ml]]/Table3.110[[#This Row],[Digested feed, mg]]*1000</f>
        <v>39.4098618983584</v>
      </c>
      <c r="AT993" s="255">
        <f>Table3.110[[#This Row],[CH4 24h, ml]]/'3.2 Digest'!AA993</f>
        <v>-4.3137749044420497</v>
      </c>
      <c r="AU993" s="255">
        <f>((Table3.110[[#This Row],[CH4 24h, ml]]/28.9)*16.04)/Table3.110[[#This Row],[DM Incubated, mg]]*1000</f>
        <v>10.527536718532511</v>
      </c>
      <c r="AV993" s="255">
        <f>((Table3.110[[#This Row],[CH4 24h, ml]]/28.9)*16.04)/Table3.110[[#This Row],[Digested feed, mg]]*1000</f>
        <v>21.873155185109646</v>
      </c>
    </row>
    <row r="994" spans="2:48" x14ac:dyDescent="0.35">
      <c r="B994" s="90">
        <f t="shared" si="15"/>
        <v>984</v>
      </c>
      <c r="C994" s="140">
        <v>46064</v>
      </c>
      <c r="D994" s="6" t="s">
        <v>16</v>
      </c>
      <c r="E994" s="6" t="s">
        <v>393</v>
      </c>
      <c r="F994" s="242" t="s">
        <v>226</v>
      </c>
      <c r="G994" s="242" t="s">
        <v>227</v>
      </c>
      <c r="H994" s="6" t="s">
        <v>228</v>
      </c>
      <c r="I994" s="133" t="s">
        <v>22</v>
      </c>
      <c r="J994" s="135" t="s">
        <v>23</v>
      </c>
      <c r="K994" s="135" t="s">
        <v>215</v>
      </c>
      <c r="L994" s="6" t="s">
        <v>392</v>
      </c>
      <c r="M994" s="256">
        <v>30</v>
      </c>
      <c r="N994" s="256">
        <v>64</v>
      </c>
      <c r="O994" s="256">
        <v>1</v>
      </c>
      <c r="P994" s="257">
        <v>2</v>
      </c>
      <c r="Q994" s="6">
        <v>118</v>
      </c>
      <c r="R994" s="98">
        <v>0.50039999999999996</v>
      </c>
      <c r="S994" s="94">
        <f>((Table3.110[[#This Row],[Sample weight, g]]*'2.1. DM'!Q247)/100)*1000</f>
        <v>468.18067353716464</v>
      </c>
      <c r="T994" s="94">
        <f>'3.2 Digest'!W994</f>
        <v>226.38067353716463</v>
      </c>
      <c r="U994" s="153">
        <v>0.32777777777777778</v>
      </c>
      <c r="V994" s="154">
        <v>41.5</v>
      </c>
      <c r="W994" s="153">
        <v>0.6645833333333333</v>
      </c>
      <c r="X994" s="95">
        <v>77.5</v>
      </c>
      <c r="Y994" s="95">
        <v>12.4</v>
      </c>
      <c r="Z994" s="154">
        <v>41.5</v>
      </c>
      <c r="AA994" s="153">
        <v>0.33680555555555558</v>
      </c>
      <c r="AB994" s="154">
        <v>73.5</v>
      </c>
      <c r="AC994" s="154">
        <v>15.7</v>
      </c>
      <c r="AD994" s="91"/>
      <c r="AE994" s="94">
        <f>Table3.110[[#This Row],[Gas 8h, ml]]-Table3.110[[#This Row],[Gas 0h, ml]]</f>
        <v>36</v>
      </c>
      <c r="AF994" s="94">
        <f>Table3.110[[#This Row],[Gas 24h, ml]]-Table3.110[[#This Row],[V8 Push back, ml]]</f>
        <v>32</v>
      </c>
      <c r="AG994" s="94">
        <f>Table3.110[[#This Row],[GP 8h, ml]]-(AVERAGE(AE$982,AE$983,AE$1032,AE$1033,AE$1085,AE$1086))*$AG$8</f>
        <v>33.271229168713369</v>
      </c>
      <c r="AH994" s="94">
        <f>Table3.110[[#This Row],[GP 8-24h, ml]]-(AVERAGE(AF$982,AF$983,AF$1032,AF$1033,AF$1085,AF$1086))*$AG$8</f>
        <v>28.349347131116534</v>
      </c>
      <c r="AI994" s="94">
        <f>Table3.110[[#This Row],[Net gas 8-24h, ml]]+Table3.110[[#This Row],[Net gas 8h, ml]]</f>
        <v>61.620576299829906</v>
      </c>
      <c r="AJ994" s="94">
        <f>Table3.110[[#This Row],[Net gas 8h, ml]]*Table3.110[[#This Row],[CH4 8h %]]%</f>
        <v>4.1256324169204577</v>
      </c>
      <c r="AK994" s="94">
        <f>Table3.110[[#This Row],[Net gas 8-24h, ml]]*Table3.110[[#This Row],[CH4 24h, %]]%</f>
        <v>4.4508474995852962</v>
      </c>
      <c r="AL994" s="94">
        <f>Table3.110[[#This Row],[CH4 8-24h, ml]]+Table3.110[[#This Row],[CH4 8h, ml]]</f>
        <v>8.5764799165057539</v>
      </c>
      <c r="AM994" s="94">
        <f>(Table3.110[[#This Row],[Net gas 24h, ml]]/Table3.110[[#This Row],[DM Incubated, mg]])*1000</f>
        <v>131.61708669919801</v>
      </c>
      <c r="AN994" s="94">
        <f>'3.2 Digest'!X994</f>
        <v>48.353271788608829</v>
      </c>
      <c r="AO994" s="94">
        <f>Table3.110[[#This Row],[Digested feed, mg]]/Table3.110[[#This Row],[Net gas 24h, ml]]</f>
        <v>3.6737837769587611</v>
      </c>
      <c r="AP994" s="94">
        <f>Table3.110[[#This Row],[CH4 8h, ml]]/Table3.110[[#This Row],[Net gas 8h, ml]]%</f>
        <v>12.4</v>
      </c>
      <c r="AQ994" s="94">
        <f>Table3.110[[#This Row],[CH4 24h, ml]]/Table3.110[[#This Row],[Net gas 24h, ml]]%</f>
        <v>13.918207896620123</v>
      </c>
      <c r="AR994" s="94">
        <f>Table3.110[[#This Row],[CH4 24h, ml]]/Table3.110[[#This Row],[DM Incubated, mg]]*1000</f>
        <v>18.318739754269128</v>
      </c>
      <c r="AS994" s="94">
        <f>Table3.110[[#This Row],[CH4 24h, ml]]/Table3.110[[#This Row],[Digested feed, mg]]*1000</f>
        <v>37.885212471981468</v>
      </c>
      <c r="AT994" s="255">
        <f>Table3.110[[#This Row],[CH4 24h, ml]]/'3.2 Digest'!AA994</f>
        <v>-5.3007658819036898</v>
      </c>
      <c r="AU994" s="255">
        <f>((Table3.110[[#This Row],[CH4 24h, ml]]/28.9)*16.04)/Table3.110[[#This Row],[DM Incubated, mg]]*1000</f>
        <v>10.167217496833107</v>
      </c>
      <c r="AV994" s="255">
        <f>((Table3.110[[#This Row],[CH4 24h, ml]]/28.9)*16.04)/Table3.110[[#This Row],[Digested feed, mg]]*1000</f>
        <v>21.02694837545269</v>
      </c>
    </row>
    <row r="995" spans="2:48" x14ac:dyDescent="0.35">
      <c r="B995" s="90">
        <f t="shared" si="15"/>
        <v>985</v>
      </c>
      <c r="C995" s="140">
        <v>46064</v>
      </c>
      <c r="D995" s="6" t="s">
        <v>16</v>
      </c>
      <c r="E995" s="6" t="s">
        <v>393</v>
      </c>
      <c r="F995" s="242" t="s">
        <v>226</v>
      </c>
      <c r="G995" s="242" t="s">
        <v>227</v>
      </c>
      <c r="H995" s="6" t="s">
        <v>228</v>
      </c>
      <c r="I995" s="133" t="s">
        <v>22</v>
      </c>
      <c r="J995" s="135" t="s">
        <v>23</v>
      </c>
      <c r="K995" s="135" t="s">
        <v>215</v>
      </c>
      <c r="L995" s="6" t="s">
        <v>392</v>
      </c>
      <c r="M995" s="256">
        <v>30</v>
      </c>
      <c r="N995" s="256">
        <v>64</v>
      </c>
      <c r="O995" s="256">
        <v>1</v>
      </c>
      <c r="P995" s="257">
        <v>3</v>
      </c>
      <c r="Q995" s="129">
        <v>119</v>
      </c>
      <c r="R995" s="98">
        <v>0.50009999999999999</v>
      </c>
      <c r="S995" s="94">
        <f>((Table3.110[[#This Row],[Sample weight, g]]*'2.1. DM'!Q247)/100)*1000</f>
        <v>467.89998968012804</v>
      </c>
      <c r="T995" s="94">
        <f>'3.2 Digest'!W995</f>
        <v>200.39998968012799</v>
      </c>
      <c r="U995" s="117">
        <v>0.32777777777777778</v>
      </c>
      <c r="V995" s="155">
        <v>42</v>
      </c>
      <c r="W995" s="117">
        <v>0.66527777777777775</v>
      </c>
      <c r="X995" s="97">
        <v>78</v>
      </c>
      <c r="Y995" s="97">
        <v>12</v>
      </c>
      <c r="Z995" s="155">
        <v>41</v>
      </c>
      <c r="AA995" s="117">
        <v>0.33680555555555558</v>
      </c>
      <c r="AB995" s="155">
        <v>74</v>
      </c>
      <c r="AC995" s="155">
        <v>15.5</v>
      </c>
      <c r="AD995" s="96"/>
      <c r="AE995" s="94">
        <f>Table3.110[[#This Row],[Gas 8h, ml]]-Table3.110[[#This Row],[Gas 0h, ml]]</f>
        <v>36</v>
      </c>
      <c r="AF995" s="94">
        <f>Table3.110[[#This Row],[Gas 24h, ml]]-Table3.110[[#This Row],[V8 Push back, ml]]</f>
        <v>33</v>
      </c>
      <c r="AG995" s="94">
        <f>Table3.110[[#This Row],[GP 8h, ml]]-(AVERAGE(AE$982,AE$983,AE$1032,AE$1033,AE$1085,AE$1086))*$AG$8</f>
        <v>33.271229168713369</v>
      </c>
      <c r="AH995" s="94">
        <f>Table3.110[[#This Row],[GP 8-24h, ml]]-(AVERAGE(AF$982,AF$983,AF$1032,AF$1033,AF$1085,AF$1086))*$AG$8</f>
        <v>29.349347131116534</v>
      </c>
      <c r="AI995" s="94">
        <f>Table3.110[[#This Row],[Net gas 8-24h, ml]]+Table3.110[[#This Row],[Net gas 8h, ml]]</f>
        <v>62.620576299829906</v>
      </c>
      <c r="AJ995" s="94">
        <f>Table3.110[[#This Row],[Net gas 8h, ml]]*Table3.110[[#This Row],[CH4 8h %]]%</f>
        <v>3.9925475002456041</v>
      </c>
      <c r="AK995" s="94">
        <f>Table3.110[[#This Row],[Net gas 8-24h, ml]]*Table3.110[[#This Row],[CH4 24h, %]]%</f>
        <v>4.5491488053230631</v>
      </c>
      <c r="AL995" s="94">
        <f>Table3.110[[#This Row],[CH4 8-24h, ml]]+Table3.110[[#This Row],[CH4 8h, ml]]</f>
        <v>8.5416963055686672</v>
      </c>
      <c r="AM995" s="94">
        <f>(Table3.110[[#This Row],[Net gas 24h, ml]]/Table3.110[[#This Row],[DM Incubated, mg]])*1000</f>
        <v>133.83325001276322</v>
      </c>
      <c r="AN995" s="94">
        <f>'3.2 Digest'!X995</f>
        <v>42.829663197284546</v>
      </c>
      <c r="AO995" s="94">
        <f>Table3.110[[#This Row],[Digested feed, mg]]/Table3.110[[#This Row],[Net gas 24h, ml]]</f>
        <v>3.2002258925341818</v>
      </c>
      <c r="AP995" s="94">
        <f>Table3.110[[#This Row],[CH4 8h, ml]]/Table3.110[[#This Row],[Net gas 8h, ml]]%</f>
        <v>12</v>
      </c>
      <c r="AQ995" s="94">
        <f>Table3.110[[#This Row],[CH4 24h, ml]]/Table3.110[[#This Row],[Net gas 24h, ml]]%</f>
        <v>13.640398747962127</v>
      </c>
      <c r="AR995" s="94">
        <f>Table3.110[[#This Row],[CH4 24h, ml]]/Table3.110[[#This Row],[DM Incubated, mg]]*1000</f>
        <v>18.255388959097978</v>
      </c>
      <c r="AS995" s="94">
        <f>Table3.110[[#This Row],[CH4 24h, ml]]/Table3.110[[#This Row],[Digested feed, mg]]*1000</f>
        <v>42.62323725266976</v>
      </c>
      <c r="AT995" s="255">
        <f>Table3.110[[#This Row],[CH4 24h, ml]]/'3.2 Digest'!AA995</f>
        <v>-0.68410221921960401</v>
      </c>
      <c r="AU995" s="255">
        <f>((Table3.110[[#This Row],[CH4 24h, ml]]/28.9)*16.04)/Table3.110[[#This Row],[DM Incubated, mg]]*1000</f>
        <v>10.132056709478599</v>
      </c>
      <c r="AV995" s="255">
        <f>((Table3.110[[#This Row],[CH4 24h, ml]]/28.9)*16.04)/Table3.110[[#This Row],[Digested feed, mg]]*1000</f>
        <v>23.656634101481764</v>
      </c>
    </row>
    <row r="996" spans="2:48" x14ac:dyDescent="0.35">
      <c r="B996" s="90">
        <f t="shared" si="15"/>
        <v>986</v>
      </c>
      <c r="C996" s="140">
        <v>46064</v>
      </c>
      <c r="D996" s="6" t="s">
        <v>16</v>
      </c>
      <c r="E996" s="6" t="s">
        <v>395</v>
      </c>
      <c r="F996" s="242" t="s">
        <v>240</v>
      </c>
      <c r="G996" s="242" t="s">
        <v>396</v>
      </c>
      <c r="H996" s="6" t="s">
        <v>397</v>
      </c>
      <c r="I996" s="133" t="s">
        <v>22</v>
      </c>
      <c r="J996" s="135" t="s">
        <v>23</v>
      </c>
      <c r="K996" s="135" t="s">
        <v>215</v>
      </c>
      <c r="L996" s="6" t="s">
        <v>394</v>
      </c>
      <c r="M996" s="256">
        <v>30</v>
      </c>
      <c r="N996" s="256">
        <v>64</v>
      </c>
      <c r="O996" s="256">
        <v>1</v>
      </c>
      <c r="P996" s="257">
        <v>1</v>
      </c>
      <c r="Q996" s="129">
        <v>120</v>
      </c>
      <c r="R996" s="98">
        <v>0.50049999999999994</v>
      </c>
      <c r="S996" s="94">
        <f>((Table3.110[[#This Row],[Sample weight, g]]*'2.1. DM'!Q249)/100)*1000</f>
        <v>473.60748049040865</v>
      </c>
      <c r="T996" s="94">
        <f>'3.2 Digest'!W996</f>
        <v>191.10748049040865</v>
      </c>
      <c r="U996" s="153">
        <v>0.32847222222222222</v>
      </c>
      <c r="V996" s="154">
        <v>40.5</v>
      </c>
      <c r="W996" s="153">
        <v>0.66597222222222219</v>
      </c>
      <c r="X996" s="95">
        <v>77.5</v>
      </c>
      <c r="Y996" s="95">
        <v>13.3</v>
      </c>
      <c r="Z996" s="154">
        <v>41</v>
      </c>
      <c r="AA996" s="153">
        <v>0.33750000000000002</v>
      </c>
      <c r="AB996" s="154">
        <v>76.5</v>
      </c>
      <c r="AC996" s="154">
        <v>16.600000000000001</v>
      </c>
      <c r="AD996" s="91"/>
      <c r="AE996" s="94">
        <f>Table3.110[[#This Row],[Gas 8h, ml]]-Table3.110[[#This Row],[Gas 0h, ml]]</f>
        <v>37</v>
      </c>
      <c r="AF996" s="94">
        <f>Table3.110[[#This Row],[Gas 24h, ml]]-Table3.110[[#This Row],[V8 Push back, ml]]</f>
        <v>35.5</v>
      </c>
      <c r="AG996" s="94">
        <f>Table3.110[[#This Row],[GP 8h, ml]]-(AVERAGE(AE$982,AE$983,AE$1032,AE$1033,AE$1085,AE$1086))*$AG$8</f>
        <v>34.271229168713369</v>
      </c>
      <c r="AH996" s="94">
        <f>Table3.110[[#This Row],[GP 8-24h, ml]]-(AVERAGE(AF$982,AF$983,AF$1032,AF$1033,AF$1085,AF$1086))*$AG$8</f>
        <v>31.849347131116534</v>
      </c>
      <c r="AI996" s="94">
        <f>Table3.110[[#This Row],[Net gas 8-24h, ml]]+Table3.110[[#This Row],[Net gas 8h, ml]]</f>
        <v>66.120576299829906</v>
      </c>
      <c r="AJ996" s="94">
        <f>Table3.110[[#This Row],[Net gas 8h, ml]]*Table3.110[[#This Row],[CH4 8h %]]%</f>
        <v>4.5580734794388782</v>
      </c>
      <c r="AK996" s="94">
        <f>Table3.110[[#This Row],[Net gas 8-24h, ml]]*Table3.110[[#This Row],[CH4 24h, %]]%</f>
        <v>5.2869916237653447</v>
      </c>
      <c r="AL996" s="94">
        <f>Table3.110[[#This Row],[CH4 8-24h, ml]]+Table3.110[[#This Row],[CH4 8h, ml]]</f>
        <v>9.8450651032042238</v>
      </c>
      <c r="AM996" s="94">
        <f>(Table3.110[[#This Row],[Net gas 24h, ml]]/Table3.110[[#This Row],[DM Incubated, mg]])*1000</f>
        <v>139.61049819433535</v>
      </c>
      <c r="AN996" s="94">
        <f>'3.2 Digest'!X996</f>
        <v>40.351448902901964</v>
      </c>
      <c r="AO996" s="94">
        <f>Table3.110[[#This Row],[Digested feed, mg]]/Table3.110[[#This Row],[Net gas 24h, ml]]</f>
        <v>2.8902875804320578</v>
      </c>
      <c r="AP996" s="94">
        <f>Table3.110[[#This Row],[CH4 8h, ml]]/Table3.110[[#This Row],[Net gas 8h, ml]]%</f>
        <v>13.3</v>
      </c>
      <c r="AQ996" s="94">
        <f>Table3.110[[#This Row],[CH4 24h, ml]]/Table3.110[[#This Row],[Net gas 24h, ml]]%</f>
        <v>14.889563361578793</v>
      </c>
      <c r="AR996" s="94">
        <f>Table3.110[[#This Row],[CH4 24h, ml]]/Table3.110[[#This Row],[DM Incubated, mg]]*1000</f>
        <v>20.787393588061374</v>
      </c>
      <c r="AS996" s="94">
        <f>Table3.110[[#This Row],[CH4 24h, ml]]/Table3.110[[#This Row],[Digested feed, mg]]*1000</f>
        <v>51.515854209057665</v>
      </c>
      <c r="AT996" s="255">
        <f>Table3.110[[#This Row],[CH4 24h, ml]]/'3.2 Digest'!AA996</f>
        <v>4.9669778354592511</v>
      </c>
      <c r="AU996" s="255">
        <f>((Table3.110[[#This Row],[CH4 24h, ml]]/28.9)*16.04)/Table3.110[[#This Row],[DM Incubated, mg]]*1000</f>
        <v>11.537363084861745</v>
      </c>
      <c r="AV996" s="255">
        <f>((Table3.110[[#This Row],[CH4 24h, ml]]/28.9)*16.04)/Table3.110[[#This Row],[Digested feed, mg]]*1000</f>
        <v>28.59219036378148</v>
      </c>
    </row>
    <row r="997" spans="2:48" x14ac:dyDescent="0.35">
      <c r="B997" s="90">
        <f t="shared" si="15"/>
        <v>987</v>
      </c>
      <c r="C997" s="140">
        <v>46064</v>
      </c>
      <c r="D997" s="6" t="s">
        <v>16</v>
      </c>
      <c r="E997" s="6" t="s">
        <v>395</v>
      </c>
      <c r="F997" s="242" t="s">
        <v>240</v>
      </c>
      <c r="G997" s="242" t="s">
        <v>396</v>
      </c>
      <c r="H997" s="6" t="s">
        <v>397</v>
      </c>
      <c r="I997" s="133" t="s">
        <v>22</v>
      </c>
      <c r="J997" s="135" t="s">
        <v>23</v>
      </c>
      <c r="K997" s="135" t="s">
        <v>215</v>
      </c>
      <c r="L997" s="6" t="s">
        <v>394</v>
      </c>
      <c r="M997" s="256">
        <v>30</v>
      </c>
      <c r="N997" s="256">
        <v>64</v>
      </c>
      <c r="O997" s="256">
        <v>1</v>
      </c>
      <c r="P997" s="257">
        <v>2</v>
      </c>
      <c r="Q997" s="6">
        <v>121</v>
      </c>
      <c r="R997" s="98">
        <v>0.50019999999999998</v>
      </c>
      <c r="S997" s="94">
        <f>((Table3.110[[#This Row],[Sample weight, g]]*'2.1. DM'!Q249)/100)*1000</f>
        <v>473.32359988272208</v>
      </c>
      <c r="T997" s="94"/>
      <c r="U997" s="117">
        <v>0.32847222222222222</v>
      </c>
      <c r="V997" s="155">
        <v>41.5</v>
      </c>
      <c r="W997" s="117">
        <v>0.66597222222222219</v>
      </c>
      <c r="X997" s="97">
        <v>78</v>
      </c>
      <c r="Y997" s="97">
        <v>14</v>
      </c>
      <c r="Z997" s="155">
        <v>41.5</v>
      </c>
      <c r="AA997" s="117">
        <v>0.33750000000000002</v>
      </c>
      <c r="AB997" s="155">
        <v>75.5</v>
      </c>
      <c r="AC997" s="155">
        <v>16.8</v>
      </c>
      <c r="AD997" s="96" t="s">
        <v>589</v>
      </c>
      <c r="AE997" s="94">
        <f>Table3.110[[#This Row],[Gas 8h, ml]]-Table3.110[[#This Row],[Gas 0h, ml]]</f>
        <v>36.5</v>
      </c>
      <c r="AF997" s="94">
        <f>Table3.110[[#This Row],[Gas 24h, ml]]-Table3.110[[#This Row],[V8 Push back, ml]]</f>
        <v>34</v>
      </c>
      <c r="AG997" s="94"/>
      <c r="AH997" s="94"/>
      <c r="AI997" s="94"/>
      <c r="AJ997" s="94"/>
      <c r="AK997" s="94"/>
      <c r="AL997" s="94"/>
      <c r="AM997" s="94"/>
      <c r="AN997" s="94"/>
      <c r="AO997" s="94"/>
      <c r="AP997" s="94"/>
      <c r="AQ997" s="94"/>
      <c r="AR997" s="94"/>
      <c r="AS997" s="94"/>
      <c r="AT997" s="255"/>
      <c r="AU997" s="255"/>
      <c r="AV997" s="255"/>
    </row>
    <row r="998" spans="2:48" x14ac:dyDescent="0.35">
      <c r="B998" s="90">
        <f t="shared" si="15"/>
        <v>988</v>
      </c>
      <c r="C998" s="140">
        <v>46064</v>
      </c>
      <c r="D998" s="6" t="s">
        <v>16</v>
      </c>
      <c r="E998" s="6" t="s">
        <v>395</v>
      </c>
      <c r="F998" s="242" t="s">
        <v>240</v>
      </c>
      <c r="G998" s="242" t="s">
        <v>396</v>
      </c>
      <c r="H998" s="6" t="s">
        <v>397</v>
      </c>
      <c r="I998" s="133" t="s">
        <v>22</v>
      </c>
      <c r="J998" s="135" t="s">
        <v>23</v>
      </c>
      <c r="K998" s="135" t="s">
        <v>215</v>
      </c>
      <c r="L998" s="6" t="s">
        <v>394</v>
      </c>
      <c r="M998" s="256">
        <v>30</v>
      </c>
      <c r="N998" s="256">
        <v>64</v>
      </c>
      <c r="O998" s="256">
        <v>1</v>
      </c>
      <c r="P998" s="257">
        <v>3</v>
      </c>
      <c r="Q998" s="129">
        <v>122</v>
      </c>
      <c r="R998" s="98">
        <v>0.50009999999999999</v>
      </c>
      <c r="S998" s="94">
        <f>((Table3.110[[#This Row],[Sample weight, g]]*'2.1. DM'!Q249)/100)*1000</f>
        <v>473.22897301349332</v>
      </c>
      <c r="T998" s="94">
        <f>'3.2 Digest'!W998</f>
        <v>196.72897301349326</v>
      </c>
      <c r="U998" s="153">
        <v>0.32847222222222222</v>
      </c>
      <c r="V998" s="154">
        <v>40</v>
      </c>
      <c r="W998" s="153">
        <v>0.66666666666666663</v>
      </c>
      <c r="X998" s="95">
        <v>77.5</v>
      </c>
      <c r="Y998" s="95">
        <v>13.6</v>
      </c>
      <c r="Z998" s="154">
        <v>42</v>
      </c>
      <c r="AA998" s="153">
        <v>0.33819444444444446</v>
      </c>
      <c r="AB998" s="154">
        <v>76.5</v>
      </c>
      <c r="AC998" s="154">
        <v>16.5</v>
      </c>
      <c r="AD998" s="91"/>
      <c r="AE998" s="94">
        <f>Table3.110[[#This Row],[Gas 8h, ml]]-Table3.110[[#This Row],[Gas 0h, ml]]</f>
        <v>37.5</v>
      </c>
      <c r="AF998" s="94">
        <f>Table3.110[[#This Row],[Gas 24h, ml]]-Table3.110[[#This Row],[V8 Push back, ml]]</f>
        <v>34.5</v>
      </c>
      <c r="AG998" s="94">
        <f>Table3.110[[#This Row],[GP 8h, ml]]-(AVERAGE(AE$982,AE$983,AE$1032,AE$1033,AE$1085,AE$1086))*$AG$8</f>
        <v>34.771229168713369</v>
      </c>
      <c r="AH998" s="94">
        <f>Table3.110[[#This Row],[GP 8-24h, ml]]-(AVERAGE(AF$982,AF$983,AF$1032,AF$1033,AF$1085,AF$1086))*$AG$8</f>
        <v>30.849347131116534</v>
      </c>
      <c r="AI998" s="94">
        <f>Table3.110[[#This Row],[Net gas 8-24h, ml]]+Table3.110[[#This Row],[Net gas 8h, ml]]</f>
        <v>65.620576299829906</v>
      </c>
      <c r="AJ998" s="94">
        <f>Table3.110[[#This Row],[Net gas 8h, ml]]*Table3.110[[#This Row],[CH4 8h %]]%</f>
        <v>4.7288871669450181</v>
      </c>
      <c r="AK998" s="94">
        <f>Table3.110[[#This Row],[Net gas 8-24h, ml]]*Table3.110[[#This Row],[CH4 24h, %]]%</f>
        <v>5.0901422766342286</v>
      </c>
      <c r="AL998" s="94">
        <f>Table3.110[[#This Row],[CH4 8-24h, ml]]+Table3.110[[#This Row],[CH4 8h, ml]]</f>
        <v>9.8190294435792467</v>
      </c>
      <c r="AM998" s="94">
        <f>(Table3.110[[#This Row],[Net gas 24h, ml]]/Table3.110[[#This Row],[DM Incubated, mg]])*1000</f>
        <v>138.6655932792155</v>
      </c>
      <c r="AN998" s="94">
        <f>'3.2 Digest'!X998</f>
        <v>41.571624780438768</v>
      </c>
      <c r="AO998" s="94">
        <f>Table3.110[[#This Row],[Digested feed, mg]]/Table3.110[[#This Row],[Net gas 24h, ml]]</f>
        <v>2.9979769167922288</v>
      </c>
      <c r="AP998" s="94">
        <f>Table3.110[[#This Row],[CH4 8h, ml]]/Table3.110[[#This Row],[Net gas 8h, ml]]%</f>
        <v>13.6</v>
      </c>
      <c r="AQ998" s="94">
        <f>Table3.110[[#This Row],[CH4 24h, ml]]/Table3.110[[#This Row],[Net gas 24h, ml]]%</f>
        <v>14.96333924090316</v>
      </c>
      <c r="AR998" s="94">
        <f>Table3.110[[#This Row],[CH4 24h, ml]]/Table3.110[[#This Row],[DM Incubated, mg]]*1000</f>
        <v>20.749003132780025</v>
      </c>
      <c r="AS998" s="94">
        <f>Table3.110[[#This Row],[CH4 24h, ml]]/Table3.110[[#This Row],[Digested feed, mg]]*1000</f>
        <v>49.911455812387018</v>
      </c>
      <c r="AT998" s="255">
        <f>Table3.110[[#This Row],[CH4 24h, ml]]/'3.2 Digest'!AA998</f>
        <v>2.4626586869248328</v>
      </c>
      <c r="AU998" s="255">
        <f>((Table3.110[[#This Row],[CH4 24h, ml]]/28.9)*16.04)/Table3.110[[#This Row],[DM Incubated, mg]]*1000</f>
        <v>11.516055717985868</v>
      </c>
      <c r="AV998" s="255">
        <f>((Table3.110[[#This Row],[CH4 24h, ml]]/28.9)*16.04)/Table3.110[[#This Row],[Digested feed, mg]]*1000</f>
        <v>27.701721495871542</v>
      </c>
    </row>
    <row r="999" spans="2:48" x14ac:dyDescent="0.35">
      <c r="B999" s="90">
        <f t="shared" si="15"/>
        <v>989</v>
      </c>
      <c r="C999" s="140">
        <v>46064</v>
      </c>
      <c r="D999" s="6" t="s">
        <v>16</v>
      </c>
      <c r="E999" s="6" t="s">
        <v>399</v>
      </c>
      <c r="F999" s="242" t="s">
        <v>240</v>
      </c>
      <c r="G999" s="242" t="s">
        <v>400</v>
      </c>
      <c r="H999" s="6" t="s">
        <v>401</v>
      </c>
      <c r="I999" s="133" t="s">
        <v>22</v>
      </c>
      <c r="J999" s="135" t="s">
        <v>23</v>
      </c>
      <c r="K999" s="135" t="s">
        <v>215</v>
      </c>
      <c r="L999" s="6" t="s">
        <v>398</v>
      </c>
      <c r="M999" s="256">
        <v>30</v>
      </c>
      <c r="N999" s="256">
        <v>64</v>
      </c>
      <c r="O999" s="256">
        <v>1</v>
      </c>
      <c r="P999" s="257">
        <v>1</v>
      </c>
      <c r="Q999" s="129">
        <v>123</v>
      </c>
      <c r="R999" s="98">
        <v>0.5</v>
      </c>
      <c r="S999" s="94">
        <f>((Table3.110[[#This Row],[Sample weight, g]]*'2.1. DM'!Q251)/100)*1000</f>
        <v>477.28521285139124</v>
      </c>
      <c r="T999" s="94">
        <f>'3.2 Digest'!W999</f>
        <v>90.085212851391248</v>
      </c>
      <c r="U999" s="117">
        <v>0.32916666666666666</v>
      </c>
      <c r="V999" s="155">
        <v>40</v>
      </c>
      <c r="W999" s="117">
        <v>0.66736111111111107</v>
      </c>
      <c r="X999" s="97">
        <v>67</v>
      </c>
      <c r="Y999" s="97">
        <v>13.3</v>
      </c>
      <c r="Z999" s="155">
        <v>40</v>
      </c>
      <c r="AA999" s="117">
        <v>0.33888888888888891</v>
      </c>
      <c r="AB999" s="155">
        <v>52</v>
      </c>
      <c r="AC999" s="155">
        <v>15.6</v>
      </c>
      <c r="AD999" s="96"/>
      <c r="AE999" s="94">
        <f>Table3.110[[#This Row],[Gas 8h, ml]]-Table3.110[[#This Row],[Gas 0h, ml]]</f>
        <v>27</v>
      </c>
      <c r="AF999" s="94">
        <f>Table3.110[[#This Row],[Gas 24h, ml]]-Table3.110[[#This Row],[V8 Push back, ml]]</f>
        <v>12</v>
      </c>
      <c r="AG999" s="94">
        <f>Table3.110[[#This Row],[GP 8h, ml]]-(AVERAGE(AE$982,AE$983,AE$1032,AE$1033,AE$1085,AE$1086))*$AG$8</f>
        <v>24.271229168713369</v>
      </c>
      <c r="AH999" s="94">
        <f>Table3.110[[#This Row],[GP 8-24h, ml]]-(AVERAGE(AF$982,AF$983,AF$1032,AF$1033,AF$1085,AF$1086))*$AG$8</f>
        <v>8.3493471311165344</v>
      </c>
      <c r="AI999" s="94">
        <f>Table3.110[[#This Row],[Net gas 8-24h, ml]]+Table3.110[[#This Row],[Net gas 8h, ml]]</f>
        <v>32.620576299829906</v>
      </c>
      <c r="AJ999" s="94">
        <f>Table3.110[[#This Row],[Net gas 8h, ml]]*Table3.110[[#This Row],[CH4 8h %]]%</f>
        <v>3.2280734794388781</v>
      </c>
      <c r="AK999" s="94">
        <f>Table3.110[[#This Row],[Net gas 8-24h, ml]]*Table3.110[[#This Row],[CH4 24h, %]]%</f>
        <v>1.3024981524541794</v>
      </c>
      <c r="AL999" s="94">
        <f>Table3.110[[#This Row],[CH4 8-24h, ml]]+Table3.110[[#This Row],[CH4 8h, ml]]</f>
        <v>4.5305716318930571</v>
      </c>
      <c r="AM999" s="94">
        <f>(Table3.110[[#This Row],[Net gas 24h, ml]]/Table3.110[[#This Row],[DM Incubated, mg]])*1000</f>
        <v>68.346086200635625</v>
      </c>
      <c r="AN999" s="94">
        <f>'3.2 Digest'!X999</f>
        <v>18.874503216474132</v>
      </c>
      <c r="AO999" s="94">
        <f>Table3.110[[#This Row],[Digested feed, mg]]/Table3.110[[#This Row],[Net gas 24h, ml]]</f>
        <v>2.7616070305864273</v>
      </c>
      <c r="AP999" s="94">
        <f>Table3.110[[#This Row],[CH4 8h, ml]]/Table3.110[[#This Row],[Net gas 8h, ml]]%</f>
        <v>13.3</v>
      </c>
      <c r="AQ999" s="94">
        <f>Table3.110[[#This Row],[CH4 24h, ml]]/Table3.110[[#This Row],[Net gas 24h, ml]]%</f>
        <v>13.88869280006154</v>
      </c>
      <c r="AR999" s="94">
        <f>Table3.110[[#This Row],[CH4 24h, ml]]/Table3.110[[#This Row],[DM Incubated, mg]]*1000</f>
        <v>9.4923779532715322</v>
      </c>
      <c r="AS999" s="94">
        <f>Table3.110[[#This Row],[CH4 24h, ml]]/Table3.110[[#This Row],[Digested feed, mg]]*1000</f>
        <v>50.292067793267009</v>
      </c>
      <c r="AT999" s="255">
        <f>Table3.110[[#This Row],[CH4 24h, ml]]/'3.2 Digest'!AA999</f>
        <v>-0.10261158203762227</v>
      </c>
      <c r="AU999" s="255">
        <f>((Table3.110[[#This Row],[CH4 24h, ml]]/28.9)*16.04)/Table3.110[[#This Row],[DM Incubated, mg]]*1000</f>
        <v>5.2684339920579717</v>
      </c>
      <c r="AV999" s="255">
        <f>((Table3.110[[#This Row],[CH4 24h, ml]]/28.9)*16.04)/Table3.110[[#This Row],[Digested feed, mg]]*1000</f>
        <v>27.912967730242311</v>
      </c>
    </row>
    <row r="1000" spans="2:48" x14ac:dyDescent="0.35">
      <c r="B1000" s="90">
        <f t="shared" si="15"/>
        <v>990</v>
      </c>
      <c r="C1000" s="140">
        <v>46064</v>
      </c>
      <c r="D1000" s="6" t="s">
        <v>16</v>
      </c>
      <c r="E1000" s="6" t="s">
        <v>399</v>
      </c>
      <c r="F1000" s="242" t="s">
        <v>240</v>
      </c>
      <c r="G1000" s="242" t="s">
        <v>400</v>
      </c>
      <c r="H1000" s="6" t="s">
        <v>401</v>
      </c>
      <c r="I1000" s="133" t="s">
        <v>22</v>
      </c>
      <c r="J1000" s="135" t="s">
        <v>23</v>
      </c>
      <c r="K1000" s="135" t="s">
        <v>215</v>
      </c>
      <c r="L1000" s="6" t="s">
        <v>398</v>
      </c>
      <c r="M1000" s="256">
        <v>30</v>
      </c>
      <c r="N1000" s="256">
        <v>64</v>
      </c>
      <c r="O1000" s="256">
        <v>1</v>
      </c>
      <c r="P1000" s="257">
        <v>2</v>
      </c>
      <c r="Q1000" s="6">
        <v>124</v>
      </c>
      <c r="R1000" s="98">
        <v>0.50009999999999999</v>
      </c>
      <c r="S1000" s="94">
        <f>((Table3.110[[#This Row],[Sample weight, g]]*'2.1. DM'!Q251)/100)*1000</f>
        <v>477.38066989396157</v>
      </c>
      <c r="T1000" s="94">
        <f>'3.2 Digest'!W1000</f>
        <v>97.280669893961601</v>
      </c>
      <c r="U1000" s="153">
        <v>0.32916666666666666</v>
      </c>
      <c r="V1000" s="154">
        <v>40</v>
      </c>
      <c r="W1000" s="153">
        <v>0.66736111111111107</v>
      </c>
      <c r="X1000" s="95">
        <v>64.5</v>
      </c>
      <c r="Y1000" s="95">
        <v>13.1</v>
      </c>
      <c r="Z1000" s="154">
        <v>40</v>
      </c>
      <c r="AA1000" s="153">
        <v>0.33888888888888891</v>
      </c>
      <c r="AB1000" s="154">
        <v>52</v>
      </c>
      <c r="AC1000" s="154">
        <v>14.8</v>
      </c>
      <c r="AD1000" s="91"/>
      <c r="AE1000" s="94">
        <f>Table3.110[[#This Row],[Gas 8h, ml]]-Table3.110[[#This Row],[Gas 0h, ml]]</f>
        <v>24.5</v>
      </c>
      <c r="AF1000" s="94">
        <f>Table3.110[[#This Row],[Gas 24h, ml]]-Table3.110[[#This Row],[V8 Push back, ml]]</f>
        <v>12</v>
      </c>
      <c r="AG1000" s="94">
        <f>Table3.110[[#This Row],[GP 8h, ml]]-(AVERAGE(AE$982,AE$983,AE$1032,AE$1033,AE$1085,AE$1086))*$AG$8</f>
        <v>21.771229168713369</v>
      </c>
      <c r="AH1000" s="94">
        <f>Table3.110[[#This Row],[GP 8-24h, ml]]-(AVERAGE(AF$982,AF$983,AF$1032,AF$1033,AF$1085,AF$1086))*$AG$8</f>
        <v>8.3493471311165344</v>
      </c>
      <c r="AI1000" s="94">
        <f>Table3.110[[#This Row],[Net gas 8-24h, ml]]+Table3.110[[#This Row],[Net gas 8h, ml]]</f>
        <v>30.120576299829903</v>
      </c>
      <c r="AJ1000" s="94">
        <f>Table3.110[[#This Row],[Net gas 8h, ml]]*Table3.110[[#This Row],[CH4 8h %]]%</f>
        <v>2.8520310211014515</v>
      </c>
      <c r="AK1000" s="94">
        <f>Table3.110[[#This Row],[Net gas 8-24h, ml]]*Table3.110[[#This Row],[CH4 24h, %]]%</f>
        <v>1.2357033754052473</v>
      </c>
      <c r="AL1000" s="94">
        <f>Table3.110[[#This Row],[CH4 8-24h, ml]]+Table3.110[[#This Row],[CH4 8h, ml]]</f>
        <v>4.0877343965066988</v>
      </c>
      <c r="AM1000" s="94">
        <f>(Table3.110[[#This Row],[Net gas 24h, ml]]/Table3.110[[#This Row],[DM Incubated, mg]])*1000</f>
        <v>63.095508887111933</v>
      </c>
      <c r="AN1000" s="94">
        <f>'3.2 Digest'!X1000</f>
        <v>20.378007747060668</v>
      </c>
      <c r="AO1000" s="94">
        <f>Table3.110[[#This Row],[Digested feed, mg]]/Table3.110[[#This Row],[Net gas 24h, ml]]</f>
        <v>3.2297081213054666</v>
      </c>
      <c r="AP1000" s="94">
        <f>Table3.110[[#This Row],[CH4 8h, ml]]/Table3.110[[#This Row],[Net gas 8h, ml]]%</f>
        <v>13.100000000000001</v>
      </c>
      <c r="AQ1000" s="94">
        <f>Table3.110[[#This Row],[CH4 24h, ml]]/Table3.110[[#This Row],[Net gas 24h, ml]]%</f>
        <v>13.571235675626109</v>
      </c>
      <c r="AR1000" s="94">
        <f>Table3.110[[#This Row],[CH4 24h, ml]]/Table3.110[[#This Row],[DM Incubated, mg]]*1000</f>
        <v>8.5628402118055789</v>
      </c>
      <c r="AS1000" s="94">
        <f>Table3.110[[#This Row],[CH4 24h, ml]]/Table3.110[[#This Row],[Digested feed, mg]]*1000</f>
        <v>42.020006656640348</v>
      </c>
      <c r="AT1000" s="255">
        <f>Table3.110[[#This Row],[CH4 24h, ml]]/'3.2 Digest'!AA1000</f>
        <v>-9.8544638334766968E-2</v>
      </c>
      <c r="AU1000" s="255">
        <f>((Table3.110[[#This Row],[CH4 24h, ml]]/28.9)*16.04)/Table3.110[[#This Row],[DM Incubated, mg]]*1000</f>
        <v>4.7525244635765223</v>
      </c>
      <c r="AV1000" s="255">
        <f>((Table3.110[[#This Row],[CH4 24h, ml]]/28.9)*16.04)/Table3.110[[#This Row],[Digested feed, mg]]*1000</f>
        <v>23.321830684169939</v>
      </c>
    </row>
    <row r="1001" spans="2:48" x14ac:dyDescent="0.35">
      <c r="B1001" s="90">
        <f t="shared" si="15"/>
        <v>991</v>
      </c>
      <c r="C1001" s="140">
        <v>46064</v>
      </c>
      <c r="D1001" s="6" t="s">
        <v>16</v>
      </c>
      <c r="E1001" s="6" t="s">
        <v>399</v>
      </c>
      <c r="F1001" s="242" t="s">
        <v>240</v>
      </c>
      <c r="G1001" s="242" t="s">
        <v>400</v>
      </c>
      <c r="H1001" s="6" t="s">
        <v>401</v>
      </c>
      <c r="I1001" s="133" t="s">
        <v>22</v>
      </c>
      <c r="J1001" s="135" t="s">
        <v>23</v>
      </c>
      <c r="K1001" s="135" t="s">
        <v>215</v>
      </c>
      <c r="L1001" s="6" t="s">
        <v>398</v>
      </c>
      <c r="M1001" s="256">
        <v>30</v>
      </c>
      <c r="N1001" s="256">
        <v>64</v>
      </c>
      <c r="O1001" s="256">
        <v>1</v>
      </c>
      <c r="P1001" s="257">
        <v>3</v>
      </c>
      <c r="Q1001" s="129">
        <v>125</v>
      </c>
      <c r="R1001" s="98">
        <v>0.50049999999999994</v>
      </c>
      <c r="S1001" s="94">
        <f>((Table3.110[[#This Row],[Sample weight, g]]*'2.1. DM'!Q251)/100)*1000</f>
        <v>477.76249806424261</v>
      </c>
      <c r="T1001" s="94">
        <f>'3.2 Digest'!W1001</f>
        <v>44.062498064242732</v>
      </c>
      <c r="U1001" s="117">
        <v>0.32916666666666666</v>
      </c>
      <c r="V1001" s="155">
        <v>41</v>
      </c>
      <c r="W1001" s="117">
        <v>0.66805555555555551</v>
      </c>
      <c r="X1001" s="97">
        <v>68</v>
      </c>
      <c r="Y1001" s="97">
        <v>13.4</v>
      </c>
      <c r="Z1001" s="155">
        <v>41</v>
      </c>
      <c r="AA1001" s="117">
        <v>0.33958333333333335</v>
      </c>
      <c r="AB1001" s="155">
        <v>53.5</v>
      </c>
      <c r="AC1001" s="155">
        <v>14.9</v>
      </c>
      <c r="AD1001" s="96"/>
      <c r="AE1001" s="94">
        <f>Table3.110[[#This Row],[Gas 8h, ml]]-Table3.110[[#This Row],[Gas 0h, ml]]</f>
        <v>27</v>
      </c>
      <c r="AF1001" s="94">
        <f>Table3.110[[#This Row],[Gas 24h, ml]]-Table3.110[[#This Row],[V8 Push back, ml]]</f>
        <v>12.5</v>
      </c>
      <c r="AG1001" s="94"/>
      <c r="AH1001" s="94"/>
      <c r="AI1001" s="94"/>
      <c r="AJ1001" s="94"/>
      <c r="AK1001" s="94"/>
      <c r="AL1001" s="94"/>
      <c r="AM1001" s="94"/>
      <c r="AN1001" s="94"/>
      <c r="AO1001" s="94"/>
      <c r="AP1001" s="94"/>
      <c r="AQ1001" s="94"/>
      <c r="AR1001" s="94"/>
      <c r="AS1001" s="94"/>
      <c r="AT1001" s="255"/>
      <c r="AU1001" s="255"/>
      <c r="AV1001" s="255"/>
    </row>
    <row r="1002" spans="2:48" x14ac:dyDescent="0.35">
      <c r="B1002" s="90">
        <f t="shared" si="15"/>
        <v>992</v>
      </c>
      <c r="C1002" s="140">
        <v>46064</v>
      </c>
      <c r="D1002" s="6" t="s">
        <v>16</v>
      </c>
      <c r="E1002" s="6" t="s">
        <v>403</v>
      </c>
      <c r="F1002" s="242" t="s">
        <v>212</v>
      </c>
      <c r="G1002" s="242" t="s">
        <v>404</v>
      </c>
      <c r="H1002" s="6" t="s">
        <v>405</v>
      </c>
      <c r="I1002" s="133" t="s">
        <v>22</v>
      </c>
      <c r="J1002" s="135" t="s">
        <v>23</v>
      </c>
      <c r="K1002" s="135" t="s">
        <v>215</v>
      </c>
      <c r="L1002" s="6" t="s">
        <v>402</v>
      </c>
      <c r="M1002" s="256">
        <v>30</v>
      </c>
      <c r="N1002" s="256">
        <v>64</v>
      </c>
      <c r="O1002" s="256">
        <v>1</v>
      </c>
      <c r="P1002" s="257">
        <v>1</v>
      </c>
      <c r="Q1002" s="129">
        <v>126</v>
      </c>
      <c r="R1002" s="98">
        <v>0.50039999999999996</v>
      </c>
      <c r="S1002" s="94">
        <f>((Table3.110[[#This Row],[Sample weight, g]]*'2.1. DM'!Q253)/100)*1000</f>
        <v>472.6333533293344</v>
      </c>
      <c r="T1002" s="94">
        <f>'3.2 Digest'!W1002</f>
        <v>56.633353329334454</v>
      </c>
      <c r="U1002" s="156">
        <v>0.32916666666666666</v>
      </c>
      <c r="V1002" s="154">
        <v>40</v>
      </c>
      <c r="W1002" s="153">
        <v>0.66805555555555551</v>
      </c>
      <c r="X1002" s="95">
        <v>71.5</v>
      </c>
      <c r="Y1002" s="95">
        <v>14.2</v>
      </c>
      <c r="Z1002" s="154">
        <v>40</v>
      </c>
      <c r="AA1002" s="153">
        <v>0.34027777777777779</v>
      </c>
      <c r="AB1002" s="154">
        <v>71.5</v>
      </c>
      <c r="AC1002" s="154">
        <v>16.600000000000001</v>
      </c>
      <c r="AD1002" s="91"/>
      <c r="AE1002" s="94">
        <f>Table3.110[[#This Row],[Gas 8h, ml]]-Table3.110[[#This Row],[Gas 0h, ml]]</f>
        <v>31.5</v>
      </c>
      <c r="AF1002" s="94">
        <f>Table3.110[[#This Row],[Gas 24h, ml]]-Table3.110[[#This Row],[V8 Push back, ml]]</f>
        <v>31.5</v>
      </c>
      <c r="AG1002" s="94">
        <f>Table3.110[[#This Row],[GP 8h, ml]]-(AVERAGE(AE$982,AE$983,AE$1032,AE$1033,AE$1085,AE$1086))*$AG$8</f>
        <v>28.771229168713369</v>
      </c>
      <c r="AH1002" s="94">
        <f>Table3.110[[#This Row],[GP 8-24h, ml]]-(AVERAGE(AF$982,AF$983,AF$1032,AF$1033,AF$1085,AF$1086))*$AG$8</f>
        <v>27.849347131116534</v>
      </c>
      <c r="AI1002" s="94">
        <f>Table3.110[[#This Row],[Net gas 8-24h, ml]]+Table3.110[[#This Row],[Net gas 8h, ml]]</f>
        <v>56.620576299829906</v>
      </c>
      <c r="AJ1002" s="94">
        <f>Table3.110[[#This Row],[Net gas 8h, ml]]*Table3.110[[#This Row],[CH4 8h %]]%</f>
        <v>4.0855145419572976</v>
      </c>
      <c r="AK1002" s="94">
        <f>Table3.110[[#This Row],[Net gas 8-24h, ml]]*Table3.110[[#This Row],[CH4 24h, %]]%</f>
        <v>4.622991623765345</v>
      </c>
      <c r="AL1002" s="94">
        <f>Table3.110[[#This Row],[CH4 8-24h, ml]]+Table3.110[[#This Row],[CH4 8h, ml]]</f>
        <v>8.7085061657226426</v>
      </c>
      <c r="AM1002" s="94">
        <f>(Table3.110[[#This Row],[Net gas 24h, ml]]/Table3.110[[#This Row],[DM Incubated, mg]])*1000</f>
        <v>119.79809698359622</v>
      </c>
      <c r="AN1002" s="94">
        <f>'3.2 Digest'!X1002</f>
        <v>11.982513068617887</v>
      </c>
      <c r="AO1002" s="94">
        <f>Table3.110[[#This Row],[Digested feed, mg]]/Table3.110[[#This Row],[Net gas 24h, ml]]</f>
        <v>1.0002256605343769</v>
      </c>
      <c r="AP1002" s="94">
        <f>Table3.110[[#This Row],[CH4 8h, ml]]/Table3.110[[#This Row],[Net gas 8h, ml]]%</f>
        <v>14.199999999999998</v>
      </c>
      <c r="AQ1002" s="94">
        <f>Table3.110[[#This Row],[CH4 24h, ml]]/Table3.110[[#This Row],[Net gas 24h, ml]]%</f>
        <v>15.380461900647951</v>
      </c>
      <c r="AR1002" s="94">
        <f>Table3.110[[#This Row],[CH4 24h, ml]]/Table3.110[[#This Row],[DM Incubated, mg]]*1000</f>
        <v>18.4255006642633</v>
      </c>
      <c r="AS1002" s="94">
        <f>Table3.110[[#This Row],[CH4 24h, ml]]/Table3.110[[#This Row],[Digested feed, mg]]*1000</f>
        <v>153.76991920434077</v>
      </c>
      <c r="AT1002" s="255">
        <f>Table3.110[[#This Row],[CH4 24h, ml]]/'3.2 Digest'!AA1002</f>
        <v>-0.1967256621627296</v>
      </c>
      <c r="AU1002" s="255">
        <f>((Table3.110[[#This Row],[CH4 24h, ml]]/28.9)*16.04)/Table3.110[[#This Row],[DM Incubated, mg]]*1000</f>
        <v>10.22647164895444</v>
      </c>
      <c r="AV1002" s="255">
        <f>((Table3.110[[#This Row],[CH4 24h, ml]]/28.9)*16.04)/Table3.110[[#This Row],[Digested feed, mg]]*1000</f>
        <v>85.34496553763411</v>
      </c>
    </row>
    <row r="1003" spans="2:48" x14ac:dyDescent="0.35">
      <c r="B1003" s="90">
        <f t="shared" si="15"/>
        <v>993</v>
      </c>
      <c r="C1003" s="140">
        <v>46064</v>
      </c>
      <c r="D1003" s="6" t="s">
        <v>16</v>
      </c>
      <c r="E1003" s="6" t="s">
        <v>403</v>
      </c>
      <c r="F1003" s="242" t="s">
        <v>212</v>
      </c>
      <c r="G1003" s="242" t="s">
        <v>404</v>
      </c>
      <c r="H1003" s="6" t="s">
        <v>405</v>
      </c>
      <c r="I1003" s="133" t="s">
        <v>22</v>
      </c>
      <c r="J1003" s="135" t="s">
        <v>23</v>
      </c>
      <c r="K1003" s="135" t="s">
        <v>215</v>
      </c>
      <c r="L1003" s="6" t="s">
        <v>402</v>
      </c>
      <c r="M1003" s="256">
        <v>30</v>
      </c>
      <c r="N1003" s="256">
        <v>64</v>
      </c>
      <c r="O1003" s="256">
        <v>1</v>
      </c>
      <c r="P1003" s="257">
        <v>2</v>
      </c>
      <c r="Q1003" s="6">
        <v>127</v>
      </c>
      <c r="R1003" s="98">
        <v>0.50060000000000004</v>
      </c>
      <c r="S1003" s="94">
        <f>((Table3.110[[#This Row],[Sample weight, g]]*'2.1. DM'!Q253)/100)*1000</f>
        <v>472.8222555488905</v>
      </c>
      <c r="T1003" s="94">
        <f>'3.2 Digest'!W1003</f>
        <v>143.12225554889051</v>
      </c>
      <c r="U1003" s="117">
        <v>0.32916666666666666</v>
      </c>
      <c r="V1003" s="155">
        <v>40.5</v>
      </c>
      <c r="W1003" s="117">
        <v>0.66874999999999996</v>
      </c>
      <c r="X1003" s="97">
        <v>69.5</v>
      </c>
      <c r="Y1003" s="97">
        <v>14.7</v>
      </c>
      <c r="Z1003" s="155">
        <v>40</v>
      </c>
      <c r="AA1003" s="117">
        <v>0.34027777777777779</v>
      </c>
      <c r="AB1003" s="155">
        <v>71.5</v>
      </c>
      <c r="AC1003" s="155">
        <v>16.899999999999999</v>
      </c>
      <c r="AD1003" s="96"/>
      <c r="AE1003" s="94">
        <f>Table3.110[[#This Row],[Gas 8h, ml]]-Table3.110[[#This Row],[Gas 0h, ml]]</f>
        <v>29</v>
      </c>
      <c r="AF1003" s="94">
        <f>Table3.110[[#This Row],[Gas 24h, ml]]-Table3.110[[#This Row],[V8 Push back, ml]]</f>
        <v>31.5</v>
      </c>
      <c r="AG1003" s="94">
        <f>Table3.110[[#This Row],[GP 8h, ml]]-(AVERAGE(AE$982,AE$983,AE$1032,AE$1033,AE$1085,AE$1086))*$AG$8</f>
        <v>26.271229168713369</v>
      </c>
      <c r="AH1003" s="94">
        <f>Table3.110[[#This Row],[GP 8-24h, ml]]-(AVERAGE(AF$982,AF$983,AF$1032,AF$1033,AF$1085,AF$1086))*$AG$8</f>
        <v>27.849347131116534</v>
      </c>
      <c r="AI1003" s="94">
        <f>Table3.110[[#This Row],[Net gas 8-24h, ml]]+Table3.110[[#This Row],[Net gas 8h, ml]]</f>
        <v>54.120576299829906</v>
      </c>
      <c r="AJ1003" s="94">
        <f>Table3.110[[#This Row],[Net gas 8h, ml]]*Table3.110[[#This Row],[CH4 8h %]]%</f>
        <v>3.8618706878008648</v>
      </c>
      <c r="AK1003" s="94">
        <f>Table3.110[[#This Row],[Net gas 8-24h, ml]]*Table3.110[[#This Row],[CH4 24h, %]]%</f>
        <v>4.7065396651586937</v>
      </c>
      <c r="AL1003" s="94">
        <f>Table3.110[[#This Row],[CH4 8-24h, ml]]+Table3.110[[#This Row],[CH4 8h, ml]]</f>
        <v>8.5684103529595586</v>
      </c>
      <c r="AM1003" s="94">
        <f>(Table3.110[[#This Row],[Net gas 24h, ml]]/Table3.110[[#This Row],[DM Incubated, mg]])*1000</f>
        <v>114.46283601223962</v>
      </c>
      <c r="AN1003" s="94">
        <f>'3.2 Digest'!X1003</f>
        <v>30.269779789181573</v>
      </c>
      <c r="AO1003" s="94">
        <f>Table3.110[[#This Row],[Digested feed, mg]]/Table3.110[[#This Row],[Net gas 24h, ml]]</f>
        <v>2.6445072342908573</v>
      </c>
      <c r="AP1003" s="94">
        <f>Table3.110[[#This Row],[CH4 8h, ml]]/Table3.110[[#This Row],[Net gas 8h, ml]]%</f>
        <v>14.7</v>
      </c>
      <c r="AQ1003" s="94">
        <f>Table3.110[[#This Row],[CH4 24h, ml]]/Table3.110[[#This Row],[Net gas 24h, ml]]%</f>
        <v>15.83207522678669</v>
      </c>
      <c r="AR1003" s="94">
        <f>Table3.110[[#This Row],[CH4 24h, ml]]/Table3.110[[#This Row],[DM Incubated, mg]]*1000</f>
        <v>18.12184230417126</v>
      </c>
      <c r="AS1003" s="94">
        <f>Table3.110[[#This Row],[CH4 24h, ml]]/Table3.110[[#This Row],[Digested feed, mg]]*1000</f>
        <v>59.867770530157649</v>
      </c>
      <c r="AT1003" s="255">
        <f>Table3.110[[#This Row],[CH4 24h, ml]]/'3.2 Digest'!AA1003</f>
        <v>-0.59948050033217815</v>
      </c>
      <c r="AU1003" s="255">
        <f>((Table3.110[[#This Row],[CH4 24h, ml]]/28.9)*16.04)/Table3.110[[#This Row],[DM Incubated, mg]]*1000</f>
        <v>10.057936005498513</v>
      </c>
      <c r="AV1003" s="255">
        <f>((Table3.110[[#This Row],[CH4 24h, ml]]/28.9)*16.04)/Table3.110[[#This Row],[Digested feed, mg]]*1000</f>
        <v>33.227648418814134</v>
      </c>
    </row>
    <row r="1004" spans="2:48" x14ac:dyDescent="0.35">
      <c r="B1004" s="90">
        <f t="shared" si="15"/>
        <v>994</v>
      </c>
      <c r="C1004" s="140">
        <v>46064</v>
      </c>
      <c r="D1004" s="6" t="s">
        <v>16</v>
      </c>
      <c r="E1004" s="6" t="s">
        <v>403</v>
      </c>
      <c r="F1004" s="242" t="s">
        <v>212</v>
      </c>
      <c r="G1004" s="242" t="s">
        <v>404</v>
      </c>
      <c r="H1004" s="6" t="s">
        <v>405</v>
      </c>
      <c r="I1004" s="133" t="s">
        <v>22</v>
      </c>
      <c r="J1004" s="135" t="s">
        <v>23</v>
      </c>
      <c r="K1004" s="135" t="s">
        <v>215</v>
      </c>
      <c r="L1004" s="6" t="s">
        <v>402</v>
      </c>
      <c r="M1004" s="256">
        <v>30</v>
      </c>
      <c r="N1004" s="256">
        <v>64</v>
      </c>
      <c r="O1004" s="256">
        <v>1</v>
      </c>
      <c r="P1004" s="257">
        <v>3</v>
      </c>
      <c r="Q1004" s="129">
        <v>128</v>
      </c>
      <c r="R1004" s="98">
        <v>0.50029999999999997</v>
      </c>
      <c r="S1004" s="94">
        <f>((Table3.110[[#This Row],[Sample weight, g]]*'2.1. DM'!Q253)/100)*1000</f>
        <v>472.53890221955629</v>
      </c>
      <c r="T1004" s="94">
        <f>'3.2 Digest'!W1004</f>
        <v>68.438902219556269</v>
      </c>
      <c r="U1004" s="153">
        <v>0.3298611111111111</v>
      </c>
      <c r="V1004" s="154">
        <v>41</v>
      </c>
      <c r="W1004" s="153">
        <v>0.6694444444444444</v>
      </c>
      <c r="X1004" s="95">
        <v>71</v>
      </c>
      <c r="Y1004" s="95">
        <v>14.3</v>
      </c>
      <c r="Z1004" s="154">
        <v>40.5</v>
      </c>
      <c r="AA1004" s="153">
        <v>0.34097222222222223</v>
      </c>
      <c r="AB1004" s="154">
        <v>70.5</v>
      </c>
      <c r="AC1004" s="154">
        <v>16.8</v>
      </c>
      <c r="AD1004" s="91"/>
      <c r="AE1004" s="94">
        <f>Table3.110[[#This Row],[Gas 8h, ml]]-Table3.110[[#This Row],[Gas 0h, ml]]</f>
        <v>30</v>
      </c>
      <c r="AF1004" s="94">
        <f>Table3.110[[#This Row],[Gas 24h, ml]]-Table3.110[[#This Row],[V8 Push back, ml]]</f>
        <v>30</v>
      </c>
      <c r="AG1004" s="94">
        <f>Table3.110[[#This Row],[GP 8h, ml]]-(AVERAGE(AE$982,AE$983,AE$1032,AE$1033,AE$1085,AE$1086))*$AG$8</f>
        <v>27.271229168713369</v>
      </c>
      <c r="AH1004" s="94">
        <f>Table3.110[[#This Row],[GP 8-24h, ml]]-(AVERAGE(AF$982,AF$983,AF$1032,AF$1033,AF$1085,AF$1086))*$AG$8</f>
        <v>26.349347131116534</v>
      </c>
      <c r="AI1004" s="94">
        <f>Table3.110[[#This Row],[Net gas 8-24h, ml]]+Table3.110[[#This Row],[Net gas 8h, ml]]</f>
        <v>53.620576299829906</v>
      </c>
      <c r="AJ1004" s="94">
        <f>Table3.110[[#This Row],[Net gas 8h, ml]]*Table3.110[[#This Row],[CH4 8h %]]%</f>
        <v>3.899785771126012</v>
      </c>
      <c r="AK1004" s="94">
        <f>Table3.110[[#This Row],[Net gas 8-24h, ml]]*Table3.110[[#This Row],[CH4 24h, %]]%</f>
        <v>4.4266903180275783</v>
      </c>
      <c r="AL1004" s="94">
        <f>Table3.110[[#This Row],[CH4 8-24h, ml]]+Table3.110[[#This Row],[CH4 8h, ml]]</f>
        <v>8.3264760891535907</v>
      </c>
      <c r="AM1004" s="94">
        <f>(Table3.110[[#This Row],[Net gas 24h, ml]]/Table3.110[[#This Row],[DM Incubated, mg]])*1000</f>
        <v>113.47335859115387</v>
      </c>
      <c r="AN1004" s="94">
        <f>'3.2 Digest'!X1004</f>
        <v>14.48323130605603</v>
      </c>
      <c r="AO1004" s="94">
        <f>Table3.110[[#This Row],[Digested feed, mg]]/Table3.110[[#This Row],[Net gas 24h, ml]]</f>
        <v>1.276355215521497</v>
      </c>
      <c r="AP1004" s="94">
        <f>Table3.110[[#This Row],[CH4 8h, ml]]/Table3.110[[#This Row],[Net gas 8h, ml]]%</f>
        <v>14.3</v>
      </c>
      <c r="AQ1004" s="94">
        <f>Table3.110[[#This Row],[CH4 24h, ml]]/Table3.110[[#This Row],[Net gas 24h, ml]]%</f>
        <v>15.528509135363404</v>
      </c>
      <c r="AR1004" s="94">
        <f>Table3.110[[#This Row],[CH4 24h, ml]]/Table3.110[[#This Row],[DM Incubated, mg]]*1000</f>
        <v>17.620720855030999</v>
      </c>
      <c r="AS1004" s="94">
        <f>Table3.110[[#This Row],[CH4 24h, ml]]/Table3.110[[#This Row],[Digested feed, mg]]*1000</f>
        <v>121.66291128460442</v>
      </c>
      <c r="AT1004" s="255">
        <f>Table3.110[[#This Row],[CH4 24h, ml]]/'3.2 Digest'!AA1004</f>
        <v>-0.20728923545561403</v>
      </c>
      <c r="AU1004" s="255">
        <f>((Table3.110[[#This Row],[CH4 24h, ml]]/28.9)*16.04)/Table3.110[[#This Row],[DM Incubated, mg]]*1000</f>
        <v>9.7798049313044029</v>
      </c>
      <c r="AV1004" s="255">
        <f>((Table3.110[[#This Row],[CH4 24h, ml]]/28.9)*16.04)/Table3.110[[#This Row],[Digested feed, mg]]*1000</f>
        <v>67.525020657614363</v>
      </c>
    </row>
    <row r="1005" spans="2:48" x14ac:dyDescent="0.35">
      <c r="B1005" s="90">
        <f t="shared" si="15"/>
        <v>995</v>
      </c>
      <c r="C1005" s="140">
        <v>46064</v>
      </c>
      <c r="D1005" s="6" t="s">
        <v>16</v>
      </c>
      <c r="E1005" s="6" t="s">
        <v>407</v>
      </c>
      <c r="F1005" s="242" t="s">
        <v>226</v>
      </c>
      <c r="G1005" s="242" t="s">
        <v>231</v>
      </c>
      <c r="H1005" s="6" t="s">
        <v>232</v>
      </c>
      <c r="I1005" s="133" t="s">
        <v>22</v>
      </c>
      <c r="J1005" s="135" t="s">
        <v>23</v>
      </c>
      <c r="K1005" s="135" t="s">
        <v>215</v>
      </c>
      <c r="L1005" s="6" t="s">
        <v>406</v>
      </c>
      <c r="M1005" s="256">
        <v>30</v>
      </c>
      <c r="N1005" s="256">
        <v>64</v>
      </c>
      <c r="O1005" s="256">
        <v>1</v>
      </c>
      <c r="P1005" s="257">
        <v>1</v>
      </c>
      <c r="Q1005" s="129">
        <v>129</v>
      </c>
      <c r="R1005" s="98">
        <v>0.50029999999999997</v>
      </c>
      <c r="S1005" s="94">
        <f>((Table3.110[[#This Row],[Sample weight, g]]*'2.1. DM'!Q255)/100)*1000</f>
        <v>473.72101172774308</v>
      </c>
      <c r="T1005" s="94">
        <f>'3.2 Digest'!W1005</f>
        <v>158.32101172774304</v>
      </c>
      <c r="U1005" s="117">
        <v>0.3298611111111111</v>
      </c>
      <c r="V1005" s="155">
        <v>41</v>
      </c>
      <c r="W1005" s="117">
        <v>0.67013888888888884</v>
      </c>
      <c r="X1005" s="97">
        <v>78.5</v>
      </c>
      <c r="Y1005" s="97">
        <v>13.6</v>
      </c>
      <c r="Z1005" s="155">
        <v>40.5</v>
      </c>
      <c r="AA1005" s="117">
        <v>0.34097222222222223</v>
      </c>
      <c r="AB1005" s="155">
        <v>77.5</v>
      </c>
      <c r="AC1005" s="155">
        <v>16.5</v>
      </c>
      <c r="AD1005" s="96"/>
      <c r="AE1005" s="94">
        <f>Table3.110[[#This Row],[Gas 8h, ml]]-Table3.110[[#This Row],[Gas 0h, ml]]</f>
        <v>37.5</v>
      </c>
      <c r="AF1005" s="94">
        <f>Table3.110[[#This Row],[Gas 24h, ml]]-Table3.110[[#This Row],[V8 Push back, ml]]</f>
        <v>37</v>
      </c>
      <c r="AG1005" s="94">
        <f>Table3.110[[#This Row],[GP 8h, ml]]-(AVERAGE(AE$982,AE$983,AE$1032,AE$1033,AE$1085,AE$1086))*$AG$8</f>
        <v>34.771229168713369</v>
      </c>
      <c r="AH1005" s="94">
        <f>Table3.110[[#This Row],[GP 8-24h, ml]]-(AVERAGE(AF$982,AF$983,AF$1032,AF$1033,AF$1085,AF$1086))*$AG$8</f>
        <v>33.349347131116531</v>
      </c>
      <c r="AI1005" s="94">
        <f>Table3.110[[#This Row],[Net gas 8-24h, ml]]+Table3.110[[#This Row],[Net gas 8h, ml]]</f>
        <v>68.120576299829906</v>
      </c>
      <c r="AJ1005" s="94">
        <f>Table3.110[[#This Row],[Net gas 8h, ml]]*Table3.110[[#This Row],[CH4 8h %]]%</f>
        <v>4.7288871669450181</v>
      </c>
      <c r="AK1005" s="94">
        <f>Table3.110[[#This Row],[Net gas 8-24h, ml]]*Table3.110[[#This Row],[CH4 24h, %]]%</f>
        <v>5.5026422766342282</v>
      </c>
      <c r="AL1005" s="94">
        <f>Table3.110[[#This Row],[CH4 8-24h, ml]]+Table3.110[[#This Row],[CH4 8h, ml]]</f>
        <v>10.231529443579246</v>
      </c>
      <c r="AM1005" s="94">
        <f>(Table3.110[[#This Row],[Net gas 24h, ml]]/Table3.110[[#This Row],[DM Incubated, mg]])*1000</f>
        <v>143.79893357776615</v>
      </c>
      <c r="AN1005" s="94">
        <f>'3.2 Digest'!X1005</f>
        <v>33.420728194073284</v>
      </c>
      <c r="AO1005" s="94">
        <f>Table3.110[[#This Row],[Digested feed, mg]]/Table3.110[[#This Row],[Net gas 24h, ml]]</f>
        <v>2.3241290712353875</v>
      </c>
      <c r="AP1005" s="94">
        <f>Table3.110[[#This Row],[CH4 8h, ml]]/Table3.110[[#This Row],[Net gas 8h, ml]]%</f>
        <v>13.6</v>
      </c>
      <c r="AQ1005" s="94">
        <f>Table3.110[[#This Row],[CH4 24h, ml]]/Table3.110[[#This Row],[Net gas 24h, ml]]%</f>
        <v>15.019734123424898</v>
      </c>
      <c r="AR1005" s="94">
        <f>Table3.110[[#This Row],[CH4 24h, ml]]/Table3.110[[#This Row],[DM Incubated, mg]]*1000</f>
        <v>21.598217495700847</v>
      </c>
      <c r="AS1005" s="94">
        <f>Table3.110[[#This Row],[CH4 24h, ml]]/Table3.110[[#This Row],[Digested feed, mg]]*1000</f>
        <v>64.625215136787475</v>
      </c>
      <c r="AT1005" s="255">
        <f>Table3.110[[#This Row],[CH4 24h, ml]]/'3.2 Digest'!AA1005</f>
        <v>-0.34230779903443653</v>
      </c>
      <c r="AU1005" s="255">
        <f>((Table3.110[[#This Row],[CH4 24h, ml]]/28.9)*16.04)/Table3.110[[#This Row],[DM Incubated, mg]]*1000</f>
        <v>11.987384381696939</v>
      </c>
      <c r="AV1005" s="255">
        <f>((Table3.110[[#This Row],[CH4 24h, ml]]/28.9)*16.04)/Table3.110[[#This Row],[Digested feed, mg]]*1000</f>
        <v>35.868112484223914</v>
      </c>
    </row>
    <row r="1006" spans="2:48" x14ac:dyDescent="0.35">
      <c r="B1006" s="90">
        <f t="shared" si="15"/>
        <v>996</v>
      </c>
      <c r="C1006" s="140">
        <v>46064</v>
      </c>
      <c r="D1006" s="6" t="s">
        <v>16</v>
      </c>
      <c r="E1006" s="6" t="s">
        <v>407</v>
      </c>
      <c r="F1006" s="242" t="s">
        <v>226</v>
      </c>
      <c r="G1006" s="242" t="s">
        <v>231</v>
      </c>
      <c r="H1006" s="6" t="s">
        <v>232</v>
      </c>
      <c r="I1006" s="133" t="s">
        <v>22</v>
      </c>
      <c r="J1006" s="135" t="s">
        <v>23</v>
      </c>
      <c r="K1006" s="135" t="s">
        <v>215</v>
      </c>
      <c r="L1006" s="6" t="s">
        <v>406</v>
      </c>
      <c r="M1006" s="256">
        <v>30</v>
      </c>
      <c r="N1006" s="256">
        <v>64</v>
      </c>
      <c r="O1006" s="256">
        <v>1</v>
      </c>
      <c r="P1006" s="257">
        <v>2</v>
      </c>
      <c r="Q1006" s="129">
        <v>130</v>
      </c>
      <c r="R1006" s="98">
        <v>0.50009999999999999</v>
      </c>
      <c r="S1006" s="94">
        <f>((Table3.110[[#This Row],[Sample weight, g]]*'2.1. DM'!Q255)/100)*1000</f>
        <v>473.53163694791988</v>
      </c>
      <c r="T1006" s="94">
        <f>'3.2 Digest'!W1006</f>
        <v>153.53163694791982</v>
      </c>
      <c r="U1006" s="153">
        <v>0.3298611111111111</v>
      </c>
      <c r="V1006" s="154">
        <v>41</v>
      </c>
      <c r="W1006" s="153">
        <v>0.67013888888888884</v>
      </c>
      <c r="X1006" s="95">
        <v>79</v>
      </c>
      <c r="Y1006" s="95">
        <v>13.5</v>
      </c>
      <c r="Z1006" s="154">
        <v>41.5</v>
      </c>
      <c r="AA1006" s="153">
        <v>0.34166666666666667</v>
      </c>
      <c r="AB1006" s="154">
        <v>80</v>
      </c>
      <c r="AC1006" s="154">
        <v>16.3</v>
      </c>
      <c r="AD1006" s="91"/>
      <c r="AE1006" s="94">
        <f>Table3.110[[#This Row],[Gas 8h, ml]]-Table3.110[[#This Row],[Gas 0h, ml]]</f>
        <v>38</v>
      </c>
      <c r="AF1006" s="94">
        <f>Table3.110[[#This Row],[Gas 24h, ml]]-Table3.110[[#This Row],[V8 Push back, ml]]</f>
        <v>38.5</v>
      </c>
      <c r="AG1006" s="94">
        <f>Table3.110[[#This Row],[GP 8h, ml]]-(AVERAGE(AE$982,AE$983,AE$1032,AE$1033,AE$1085,AE$1086))*$AG$8</f>
        <v>35.271229168713369</v>
      </c>
      <c r="AH1006" s="94">
        <f>Table3.110[[#This Row],[GP 8-24h, ml]]-(AVERAGE(AF$982,AF$983,AF$1032,AF$1033,AF$1085,AF$1086))*$AG$8</f>
        <v>34.849347131116531</v>
      </c>
      <c r="AI1006" s="94">
        <f>Table3.110[[#This Row],[Net gas 8-24h, ml]]+Table3.110[[#This Row],[Net gas 8h, ml]]</f>
        <v>70.120576299829906</v>
      </c>
      <c r="AJ1006" s="94">
        <f>Table3.110[[#This Row],[Net gas 8h, ml]]*Table3.110[[#This Row],[CH4 8h %]]%</f>
        <v>4.7616159377763054</v>
      </c>
      <c r="AK1006" s="94">
        <f>Table3.110[[#This Row],[Net gas 8-24h, ml]]*Table3.110[[#This Row],[CH4 24h, %]]%</f>
        <v>5.6804435823719945</v>
      </c>
      <c r="AL1006" s="94">
        <f>Table3.110[[#This Row],[CH4 8-24h, ml]]+Table3.110[[#This Row],[CH4 8h, ml]]</f>
        <v>10.4420595201483</v>
      </c>
      <c r="AM1006" s="94">
        <f>(Table3.110[[#This Row],[Net gas 24h, ml]]/Table3.110[[#This Row],[DM Incubated, mg]])*1000</f>
        <v>148.08002428682909</v>
      </c>
      <c r="AN1006" s="94">
        <f>'3.2 Digest'!X1006</f>
        <v>32.422677804060974</v>
      </c>
      <c r="AO1006" s="94">
        <f>Table3.110[[#This Row],[Digested feed, mg]]/Table3.110[[#This Row],[Net gas 24h, ml]]</f>
        <v>2.1895375801167258</v>
      </c>
      <c r="AP1006" s="94">
        <f>Table3.110[[#This Row],[CH4 8h, ml]]/Table3.110[[#This Row],[Net gas 8h, ml]]%</f>
        <v>13.500000000000002</v>
      </c>
      <c r="AQ1006" s="94">
        <f>Table3.110[[#This Row],[CH4 24h, ml]]/Table3.110[[#This Row],[Net gas 24h, ml]]%</f>
        <v>14.891576868248913</v>
      </c>
      <c r="AR1006" s="94">
        <f>Table3.110[[#This Row],[CH4 24h, ml]]/Table3.110[[#This Row],[DM Incubated, mg]]*1000</f>
        <v>22.051450643194812</v>
      </c>
      <c r="AS1006" s="94">
        <f>Table3.110[[#This Row],[CH4 24h, ml]]/Table3.110[[#This Row],[Digested feed, mg]]*1000</f>
        <v>68.012428758838794</v>
      </c>
      <c r="AT1006" s="255">
        <f>Table3.110[[#This Row],[CH4 24h, ml]]/'3.2 Digest'!AA1006</f>
        <v>-0.32798551035970808</v>
      </c>
      <c r="AU1006" s="255">
        <f>((Table3.110[[#This Row],[CH4 24h, ml]]/28.9)*16.04)/Table3.110[[#This Row],[DM Incubated, mg]]*1000</f>
        <v>12.238936619960027</v>
      </c>
      <c r="AV1006" s="255">
        <f>((Table3.110[[#This Row],[CH4 24h, ml]]/28.9)*16.04)/Table3.110[[#This Row],[Digested feed, mg]]*1000</f>
        <v>37.748074646774207</v>
      </c>
    </row>
    <row r="1007" spans="2:48" x14ac:dyDescent="0.35">
      <c r="B1007" s="90">
        <f t="shared" si="15"/>
        <v>997</v>
      </c>
      <c r="C1007" s="140">
        <v>46064</v>
      </c>
      <c r="D1007" s="6" t="s">
        <v>16</v>
      </c>
      <c r="E1007" s="6" t="s">
        <v>407</v>
      </c>
      <c r="F1007" s="242" t="s">
        <v>226</v>
      </c>
      <c r="G1007" s="242" t="s">
        <v>231</v>
      </c>
      <c r="H1007" s="6" t="s">
        <v>232</v>
      </c>
      <c r="I1007" s="133" t="s">
        <v>22</v>
      </c>
      <c r="J1007" s="135" t="s">
        <v>23</v>
      </c>
      <c r="K1007" s="135" t="s">
        <v>215</v>
      </c>
      <c r="L1007" s="6" t="s">
        <v>406</v>
      </c>
      <c r="M1007" s="256">
        <v>30</v>
      </c>
      <c r="N1007" s="256">
        <v>64</v>
      </c>
      <c r="O1007" s="256">
        <v>1</v>
      </c>
      <c r="P1007" s="257">
        <v>3</v>
      </c>
      <c r="Q1007" s="129">
        <v>131</v>
      </c>
      <c r="R1007" s="98">
        <v>0.50009999999999999</v>
      </c>
      <c r="S1007" s="94">
        <f>((Table3.110[[#This Row],[Sample weight, g]]*'2.1. DM'!Q255)/100)*1000</f>
        <v>473.53163694791988</v>
      </c>
      <c r="T1007" s="94">
        <f>'3.2 Digest'!W1007</f>
        <v>195.63163694791984</v>
      </c>
      <c r="U1007" s="117">
        <v>0.3298611111111111</v>
      </c>
      <c r="V1007" s="155">
        <v>41</v>
      </c>
      <c r="W1007" s="117">
        <v>0.67083333333333328</v>
      </c>
      <c r="X1007" s="97">
        <v>79.5</v>
      </c>
      <c r="Y1007" s="97">
        <v>13.4</v>
      </c>
      <c r="Z1007" s="155">
        <v>41.5</v>
      </c>
      <c r="AA1007" s="117">
        <v>0.34236111111111112</v>
      </c>
      <c r="AB1007" s="155">
        <v>81</v>
      </c>
      <c r="AC1007" s="155">
        <v>16.5</v>
      </c>
      <c r="AD1007" s="96"/>
      <c r="AE1007" s="94">
        <f>Table3.110[[#This Row],[Gas 8h, ml]]-Table3.110[[#This Row],[Gas 0h, ml]]</f>
        <v>38.5</v>
      </c>
      <c r="AF1007" s="94">
        <f>Table3.110[[#This Row],[Gas 24h, ml]]-Table3.110[[#This Row],[V8 Push back, ml]]</f>
        <v>39.5</v>
      </c>
      <c r="AG1007" s="94">
        <f>Table3.110[[#This Row],[GP 8h, ml]]-(AVERAGE(AE$982,AE$983,AE$1032,AE$1033,AE$1085,AE$1086))*$AG$8</f>
        <v>35.771229168713369</v>
      </c>
      <c r="AH1007" s="94">
        <f>Table3.110[[#This Row],[GP 8-24h, ml]]-(AVERAGE(AF$982,AF$983,AF$1032,AF$1033,AF$1085,AF$1086))*$AG$8</f>
        <v>35.849347131116531</v>
      </c>
      <c r="AI1007" s="94">
        <f>Table3.110[[#This Row],[Net gas 8-24h, ml]]+Table3.110[[#This Row],[Net gas 8h, ml]]</f>
        <v>71.620576299829906</v>
      </c>
      <c r="AJ1007" s="94">
        <f>Table3.110[[#This Row],[Net gas 8h, ml]]*Table3.110[[#This Row],[CH4 8h %]]%</f>
        <v>4.7933447086075915</v>
      </c>
      <c r="AK1007" s="94">
        <f>Table3.110[[#This Row],[Net gas 8-24h, ml]]*Table3.110[[#This Row],[CH4 24h, %]]%</f>
        <v>5.9151422766342279</v>
      </c>
      <c r="AL1007" s="94">
        <f>Table3.110[[#This Row],[CH4 8-24h, ml]]+Table3.110[[#This Row],[CH4 8h, ml]]</f>
        <v>10.708486985241819</v>
      </c>
      <c r="AM1007" s="94">
        <f>(Table3.110[[#This Row],[Net gas 24h, ml]]/Table3.110[[#This Row],[DM Incubated, mg]])*1000</f>
        <v>151.24771126476372</v>
      </c>
      <c r="AN1007" s="94">
        <f>'3.2 Digest'!X1007</f>
        <v>41.313319255464208</v>
      </c>
      <c r="AO1007" s="94">
        <f>Table3.110[[#This Row],[Digested feed, mg]]/Table3.110[[#This Row],[Net gas 24h, ml]]</f>
        <v>2.731500457758596</v>
      </c>
      <c r="AP1007" s="94">
        <f>Table3.110[[#This Row],[CH4 8h, ml]]/Table3.110[[#This Row],[Net gas 8h, ml]]%</f>
        <v>13.4</v>
      </c>
      <c r="AQ1007" s="94">
        <f>Table3.110[[#This Row],[CH4 24h, ml]]/Table3.110[[#This Row],[Net gas 24h, ml]]%</f>
        <v>14.95169061529494</v>
      </c>
      <c r="AR1007" s="94">
        <f>Table3.110[[#This Row],[CH4 24h, ml]]/Table3.110[[#This Row],[DM Incubated, mg]]*1000</f>
        <v>22.614089851022062</v>
      </c>
      <c r="AS1007" s="94">
        <f>Table3.110[[#This Row],[CH4 24h, ml]]/Table3.110[[#This Row],[Digested feed, mg]]*1000</f>
        <v>54.738012482575009</v>
      </c>
      <c r="AT1007" s="255">
        <f>Table3.110[[#This Row],[CH4 24h, ml]]/'3.2 Digest'!AA1007</f>
        <v>-0.73891614778947579</v>
      </c>
      <c r="AU1007" s="255">
        <f>((Table3.110[[#This Row],[CH4 24h, ml]]/28.9)*16.04)/Table3.110[[#This Row],[DM Incubated, mg]]*1000</f>
        <v>12.551211114546501</v>
      </c>
      <c r="AV1007" s="255">
        <f>((Table3.110[[#This Row],[CH4 24h, ml]]/28.9)*16.04)/Table3.110[[#This Row],[Digested feed, mg]]*1000</f>
        <v>30.380543952266542</v>
      </c>
    </row>
    <row r="1008" spans="2:48" x14ac:dyDescent="0.35">
      <c r="B1008" s="90">
        <f t="shared" si="15"/>
        <v>998</v>
      </c>
      <c r="C1008" s="140">
        <v>46064</v>
      </c>
      <c r="D1008" s="6" t="s">
        <v>16</v>
      </c>
      <c r="E1008" s="6" t="s">
        <v>409</v>
      </c>
      <c r="F1008" s="242" t="s">
        <v>290</v>
      </c>
      <c r="G1008" s="242" t="s">
        <v>314</v>
      </c>
      <c r="H1008" s="6" t="s">
        <v>315</v>
      </c>
      <c r="I1008" s="133" t="s">
        <v>22</v>
      </c>
      <c r="J1008" s="135" t="s">
        <v>23</v>
      </c>
      <c r="K1008" s="135" t="s">
        <v>215</v>
      </c>
      <c r="L1008" s="6" t="s">
        <v>408</v>
      </c>
      <c r="M1008" s="256">
        <v>30</v>
      </c>
      <c r="N1008" s="256">
        <v>64</v>
      </c>
      <c r="O1008" s="256">
        <v>1</v>
      </c>
      <c r="P1008" s="257">
        <v>1</v>
      </c>
      <c r="Q1008" s="6">
        <v>132</v>
      </c>
      <c r="R1008" s="98">
        <v>0.50029999999999997</v>
      </c>
      <c r="S1008" s="94">
        <f>((Table3.110[[#This Row],[Sample weight, g]]*'2.1. DM'!Q257)/100)*1000</f>
        <v>470.36754254061606</v>
      </c>
      <c r="T1008" s="94">
        <f>'3.2 Digest'!W1008</f>
        <v>184.06754254061605</v>
      </c>
      <c r="U1008" s="153">
        <v>0.33055555555555555</v>
      </c>
      <c r="V1008" s="154">
        <v>41</v>
      </c>
      <c r="W1008" s="153">
        <v>0.67083333333333328</v>
      </c>
      <c r="X1008" s="95">
        <v>73</v>
      </c>
      <c r="Y1008" s="95">
        <v>12.9</v>
      </c>
      <c r="Z1008" s="154">
        <v>40.5</v>
      </c>
      <c r="AA1008" s="153">
        <v>0.34236111111111112</v>
      </c>
      <c r="AB1008" s="154">
        <v>85.5</v>
      </c>
      <c r="AC1008" s="154">
        <v>15.4</v>
      </c>
      <c r="AD1008" s="91"/>
      <c r="AE1008" s="94">
        <f>Table3.110[[#This Row],[Gas 8h, ml]]-Table3.110[[#This Row],[Gas 0h, ml]]</f>
        <v>32</v>
      </c>
      <c r="AF1008" s="94">
        <f>Table3.110[[#This Row],[Gas 24h, ml]]-Table3.110[[#This Row],[V8 Push back, ml]]</f>
        <v>45</v>
      </c>
      <c r="AG1008" s="94">
        <f>Table3.110[[#This Row],[GP 8h, ml]]-(AVERAGE(AE$982,AE$983,AE$1032,AE$1033,AE$1085,AE$1086))*$AG$8</f>
        <v>29.271229168713369</v>
      </c>
      <c r="AH1008" s="94">
        <f>Table3.110[[#This Row],[GP 8-24h, ml]]-(AVERAGE(AF$982,AF$983,AF$1032,AF$1033,AF$1085,AF$1086))*$AG$8</f>
        <v>41.349347131116531</v>
      </c>
      <c r="AI1008" s="94">
        <f>Table3.110[[#This Row],[Net gas 8-24h, ml]]+Table3.110[[#This Row],[Net gas 8h, ml]]</f>
        <v>70.620576299829906</v>
      </c>
      <c r="AJ1008" s="94">
        <f>Table3.110[[#This Row],[Net gas 8h, ml]]*Table3.110[[#This Row],[CH4 8h %]]%</f>
        <v>3.7759885627640246</v>
      </c>
      <c r="AK1008" s="94">
        <f>Table3.110[[#This Row],[Net gas 8-24h, ml]]*Table3.110[[#This Row],[CH4 24h, %]]%</f>
        <v>6.3677994581919455</v>
      </c>
      <c r="AL1008" s="94">
        <f>Table3.110[[#This Row],[CH4 8-24h, ml]]+Table3.110[[#This Row],[CH4 8h, ml]]</f>
        <v>10.14378802095597</v>
      </c>
      <c r="AM1008" s="94">
        <f>(Table3.110[[#This Row],[Net gas 24h, ml]]/Table3.110[[#This Row],[DM Incubated, mg]])*1000</f>
        <v>150.1391357030802</v>
      </c>
      <c r="AN1008" s="94">
        <f>'3.2 Digest'!X1008</f>
        <v>39.132704936740375</v>
      </c>
      <c r="AO1008" s="94">
        <f>Table3.110[[#This Row],[Digested feed, mg]]/Table3.110[[#This Row],[Net gas 24h, ml]]</f>
        <v>2.6064293465849184</v>
      </c>
      <c r="AP1008" s="94">
        <f>Table3.110[[#This Row],[CH4 8h, ml]]/Table3.110[[#This Row],[Net gas 8h, ml]]%</f>
        <v>12.9</v>
      </c>
      <c r="AQ1008" s="94">
        <f>Table3.110[[#This Row],[CH4 24h, ml]]/Table3.110[[#This Row],[Net gas 24h, ml]]%</f>
        <v>14.363785390095156</v>
      </c>
      <c r="AR1008" s="94">
        <f>Table3.110[[#This Row],[CH4 24h, ml]]/Table3.110[[#This Row],[DM Incubated, mg]]*1000</f>
        <v>21.565663238934174</v>
      </c>
      <c r="AS1008" s="94">
        <f>Table3.110[[#This Row],[CH4 24h, ml]]/Table3.110[[#This Row],[Digested feed, mg]]*1000</f>
        <v>55.109053345011425</v>
      </c>
      <c r="AT1008" s="255">
        <f>Table3.110[[#This Row],[CH4 24h, ml]]/'3.2 Digest'!AA1008</f>
        <v>-0.29322610543730943</v>
      </c>
      <c r="AU1008" s="255">
        <f>((Table3.110[[#This Row],[CH4 24h, ml]]/28.9)*16.04)/Table3.110[[#This Row],[DM Incubated, mg]]*1000</f>
        <v>11.969316205969003</v>
      </c>
      <c r="AV1008" s="255">
        <f>((Table3.110[[#This Row],[CH4 24h, ml]]/28.9)*16.04)/Table3.110[[#This Row],[Digested feed, mg]]*1000</f>
        <v>30.586478050310841</v>
      </c>
    </row>
    <row r="1009" spans="2:48" x14ac:dyDescent="0.35">
      <c r="B1009" s="90">
        <f t="shared" si="15"/>
        <v>999</v>
      </c>
      <c r="C1009" s="140">
        <v>46064</v>
      </c>
      <c r="D1009" s="6" t="s">
        <v>16</v>
      </c>
      <c r="E1009" s="6" t="s">
        <v>409</v>
      </c>
      <c r="F1009" s="242" t="s">
        <v>290</v>
      </c>
      <c r="G1009" s="242" t="s">
        <v>314</v>
      </c>
      <c r="H1009" s="6" t="s">
        <v>315</v>
      </c>
      <c r="I1009" s="133" t="s">
        <v>22</v>
      </c>
      <c r="J1009" s="135" t="s">
        <v>23</v>
      </c>
      <c r="K1009" s="135" t="s">
        <v>215</v>
      </c>
      <c r="L1009" s="6" t="s">
        <v>408</v>
      </c>
      <c r="M1009" s="256">
        <v>30</v>
      </c>
      <c r="N1009" s="256">
        <v>64</v>
      </c>
      <c r="O1009" s="256">
        <v>1</v>
      </c>
      <c r="P1009" s="257">
        <v>2</v>
      </c>
      <c r="Q1009" s="129">
        <v>133</v>
      </c>
      <c r="R1009" s="98">
        <v>0.50019999999999998</v>
      </c>
      <c r="S1009" s="94">
        <f>((Table3.110[[#This Row],[Sample weight, g]]*'2.1. DM'!Q257)/100)*1000</f>
        <v>470.27352544236692</v>
      </c>
      <c r="T1009" s="94">
        <f>'3.2 Digest'!W1009</f>
        <v>208.67352544236695</v>
      </c>
      <c r="U1009" s="117">
        <v>0.33055555555555555</v>
      </c>
      <c r="V1009" s="155">
        <v>40.5</v>
      </c>
      <c r="W1009" s="117">
        <v>0.67152777777777772</v>
      </c>
      <c r="X1009" s="97">
        <v>70.5</v>
      </c>
      <c r="Y1009" s="97">
        <v>13.5</v>
      </c>
      <c r="Z1009" s="155">
        <v>41.5</v>
      </c>
      <c r="AA1009" s="117">
        <v>0.34305555555555556</v>
      </c>
      <c r="AB1009" s="155">
        <v>86</v>
      </c>
      <c r="AC1009" s="155">
        <v>15.6</v>
      </c>
      <c r="AD1009" s="96" t="s">
        <v>590</v>
      </c>
      <c r="AE1009" s="94">
        <f>Table3.110[[#This Row],[Gas 8h, ml]]-Table3.110[[#This Row],[Gas 0h, ml]]</f>
        <v>30</v>
      </c>
      <c r="AF1009" s="94">
        <f>Table3.110[[#This Row],[Gas 24h, ml]]-Table3.110[[#This Row],[V8 Push back, ml]]</f>
        <v>44.5</v>
      </c>
      <c r="AG1009" s="94">
        <f>Table3.110[[#This Row],[GP 8h, ml]]-(AVERAGE(AE$982,AE$983,AE$1032,AE$1033,AE$1085,AE$1086))*$AG$8</f>
        <v>27.271229168713369</v>
      </c>
      <c r="AH1009" s="94">
        <f>Table3.110[[#This Row],[GP 8-24h, ml]]-(AVERAGE(AF$982,AF$983,AF$1032,AF$1033,AF$1085,AF$1086))*$AG$8</f>
        <v>40.849347131116531</v>
      </c>
      <c r="AI1009" s="94">
        <f>Table3.110[[#This Row],[Net gas 8-24h, ml]]+Table3.110[[#This Row],[Net gas 8h, ml]]</f>
        <v>68.120576299829906</v>
      </c>
      <c r="AJ1009" s="94">
        <f>Table3.110[[#This Row],[Net gas 8h, ml]]*Table3.110[[#This Row],[CH4 8h %]]%</f>
        <v>3.6816159377763049</v>
      </c>
      <c r="AK1009" s="94">
        <f>Table3.110[[#This Row],[Net gas 8-24h, ml]]*Table3.110[[#This Row],[CH4 24h, %]]%</f>
        <v>6.3724981524541784</v>
      </c>
      <c r="AL1009" s="94">
        <f>Table3.110[[#This Row],[CH4 8-24h, ml]]+Table3.110[[#This Row],[CH4 8h, ml]]</f>
        <v>10.054114090230483</v>
      </c>
      <c r="AM1009" s="94">
        <f>(Table3.110[[#This Row],[Net gas 24h, ml]]/Table3.110[[#This Row],[DM Incubated, mg]])*1000</f>
        <v>144.85309636716565</v>
      </c>
      <c r="AN1009" s="94">
        <f>'3.2 Digest'!X1009</f>
        <v>44.372798840010475</v>
      </c>
      <c r="AO1009" s="94">
        <f>Table3.110[[#This Row],[Digested feed, mg]]/Table3.110[[#This Row],[Net gas 24h, ml]]</f>
        <v>3.063296536481122</v>
      </c>
      <c r="AP1009" s="94">
        <f>Table3.110[[#This Row],[CH4 8h, ml]]/Table3.110[[#This Row],[Net gas 8h, ml]]%</f>
        <v>13.500000000000002</v>
      </c>
      <c r="AQ1009" s="94">
        <f>Table3.110[[#This Row],[CH4 24h, ml]]/Table3.110[[#This Row],[Net gas 24h, ml]]%</f>
        <v>14.759291004787913</v>
      </c>
      <c r="AR1009" s="94">
        <f>Table3.110[[#This Row],[CH4 24h, ml]]/Table3.110[[#This Row],[DM Incubated, mg]]*1000</f>
        <v>21.37929002227585</v>
      </c>
      <c r="AS1009" s="94">
        <f>Table3.110[[#This Row],[CH4 24h, ml]]/Table3.110[[#This Row],[Digested feed, mg]]*1000</f>
        <v>48.181071695207955</v>
      </c>
      <c r="AT1009" s="255">
        <f>Table3.110[[#This Row],[CH4 24h, ml]]/'3.2 Digest'!AA1009</f>
        <v>-0.43701183272370953</v>
      </c>
      <c r="AU1009" s="255">
        <f>((Table3.110[[#This Row],[CH4 24h, ml]]/28.9)*16.04)/Table3.110[[#This Row],[DM Incubated, mg]]*1000</f>
        <v>11.865875846273516</v>
      </c>
      <c r="AV1009" s="255">
        <f>((Table3.110[[#This Row],[CH4 24h, ml]]/28.9)*16.04)/Table3.110[[#This Row],[Digested feed, mg]]*1000</f>
        <v>26.741328373395696</v>
      </c>
    </row>
    <row r="1010" spans="2:48" x14ac:dyDescent="0.35">
      <c r="B1010" s="90">
        <f t="shared" si="15"/>
        <v>1000</v>
      </c>
      <c r="C1010" s="140">
        <v>46064</v>
      </c>
      <c r="D1010" s="6" t="s">
        <v>16</v>
      </c>
      <c r="E1010" s="6" t="s">
        <v>409</v>
      </c>
      <c r="F1010" s="242" t="s">
        <v>290</v>
      </c>
      <c r="G1010" s="242" t="s">
        <v>314</v>
      </c>
      <c r="H1010" s="6" t="s">
        <v>315</v>
      </c>
      <c r="I1010" s="133" t="s">
        <v>22</v>
      </c>
      <c r="J1010" s="135" t="s">
        <v>23</v>
      </c>
      <c r="K1010" s="135" t="s">
        <v>215</v>
      </c>
      <c r="L1010" s="6" t="s">
        <v>408</v>
      </c>
      <c r="M1010" s="256">
        <v>30</v>
      </c>
      <c r="N1010" s="256">
        <v>64</v>
      </c>
      <c r="O1010" s="256">
        <v>1</v>
      </c>
      <c r="P1010" s="257">
        <v>3</v>
      </c>
      <c r="Q1010" s="129">
        <v>134</v>
      </c>
      <c r="R1010" s="98">
        <v>0.50060000000000004</v>
      </c>
      <c r="S1010" s="94">
        <f>((Table3.110[[#This Row],[Sample weight, g]]*'2.1. DM'!Q257)/100)*1000</f>
        <v>470.64959383536365</v>
      </c>
      <c r="T1010" s="94">
        <f>'3.2 Digest'!W1010</f>
        <v>154.34959383536375</v>
      </c>
      <c r="U1010" s="153">
        <v>0.33055555555555555</v>
      </c>
      <c r="V1010" s="154">
        <v>41</v>
      </c>
      <c r="W1010" s="153">
        <v>0.67152777777777772</v>
      </c>
      <c r="X1010" s="95">
        <v>72.5</v>
      </c>
      <c r="Y1010" s="95">
        <v>13.3</v>
      </c>
      <c r="Z1010" s="154">
        <v>40.5</v>
      </c>
      <c r="AA1010" s="153">
        <v>0.34305555555555556</v>
      </c>
      <c r="AB1010" s="154">
        <v>85</v>
      </c>
      <c r="AC1010" s="154">
        <v>15.5</v>
      </c>
      <c r="AD1010" s="91"/>
      <c r="AE1010" s="94">
        <f>Table3.110[[#This Row],[Gas 8h, ml]]-Table3.110[[#This Row],[Gas 0h, ml]]</f>
        <v>31.5</v>
      </c>
      <c r="AF1010" s="94">
        <f>Table3.110[[#This Row],[Gas 24h, ml]]-Table3.110[[#This Row],[V8 Push back, ml]]</f>
        <v>44.5</v>
      </c>
      <c r="AG1010" s="94">
        <f>Table3.110[[#This Row],[GP 8h, ml]]-(AVERAGE(AE$982,AE$983,AE$1032,AE$1033,AE$1085,AE$1086))*$AG$8</f>
        <v>28.771229168713369</v>
      </c>
      <c r="AH1010" s="94">
        <f>Table3.110[[#This Row],[GP 8-24h, ml]]-(AVERAGE(AF$982,AF$983,AF$1032,AF$1033,AF$1085,AF$1086))*$AG$8</f>
        <v>40.849347131116531</v>
      </c>
      <c r="AI1010" s="94">
        <f>Table3.110[[#This Row],[Net gas 8-24h, ml]]+Table3.110[[#This Row],[Net gas 8h, ml]]</f>
        <v>69.620576299829906</v>
      </c>
      <c r="AJ1010" s="94">
        <f>Table3.110[[#This Row],[Net gas 8h, ml]]*Table3.110[[#This Row],[CH4 8h %]]%</f>
        <v>3.8265734794388782</v>
      </c>
      <c r="AK1010" s="94">
        <f>Table3.110[[#This Row],[Net gas 8-24h, ml]]*Table3.110[[#This Row],[CH4 24h, %]]%</f>
        <v>6.331648805323062</v>
      </c>
      <c r="AL1010" s="94">
        <f>Table3.110[[#This Row],[CH4 8-24h, ml]]+Table3.110[[#This Row],[CH4 8h, ml]]</f>
        <v>10.158222284761941</v>
      </c>
      <c r="AM1010" s="94">
        <f>(Table3.110[[#This Row],[Net gas 24h, ml]]/Table3.110[[#This Row],[DM Incubated, mg]])*1000</f>
        <v>147.92443722831226</v>
      </c>
      <c r="AN1010" s="94">
        <f>'3.2 Digest'!X1010</f>
        <v>32.795012649975057</v>
      </c>
      <c r="AO1010" s="94">
        <f>Table3.110[[#This Row],[Digested feed, mg]]/Table3.110[[#This Row],[Net gas 24h, ml]]</f>
        <v>2.2170111486960047</v>
      </c>
      <c r="AP1010" s="94">
        <f>Table3.110[[#This Row],[CH4 8h, ml]]/Table3.110[[#This Row],[Net gas 8h, ml]]%</f>
        <v>13.3</v>
      </c>
      <c r="AQ1010" s="94">
        <f>Table3.110[[#This Row],[CH4 24h, ml]]/Table3.110[[#This Row],[Net gas 24h, ml]]%</f>
        <v>14.590833378072395</v>
      </c>
      <c r="AR1010" s="94">
        <f>Table3.110[[#This Row],[CH4 24h, ml]]/Table3.110[[#This Row],[DM Incubated, mg]]*1000</f>
        <v>21.583408161434331</v>
      </c>
      <c r="AS1010" s="94">
        <f>Table3.110[[#This Row],[CH4 24h, ml]]/Table3.110[[#This Row],[Digested feed, mg]]*1000</f>
        <v>65.813080762604145</v>
      </c>
      <c r="AT1010" s="255">
        <f>Table3.110[[#This Row],[CH4 24h, ml]]/'3.2 Digest'!AA1010</f>
        <v>-0.2089822581196201</v>
      </c>
      <c r="AU1010" s="255">
        <f>((Table3.110[[#This Row],[CH4 24h, ml]]/28.9)*16.04)/Table3.110[[#This Row],[DM Incubated, mg]]*1000</f>
        <v>11.979164944962166</v>
      </c>
      <c r="AV1010" s="255">
        <f>((Table3.110[[#This Row],[CH4 24h, ml]]/28.9)*16.04)/Table3.110[[#This Row],[Digested feed, mg]]*1000</f>
        <v>36.527398457860563</v>
      </c>
    </row>
    <row r="1011" spans="2:48" x14ac:dyDescent="0.35">
      <c r="B1011" s="90">
        <f t="shared" si="15"/>
        <v>1001</v>
      </c>
      <c r="C1011" s="140">
        <v>46064</v>
      </c>
      <c r="D1011" s="6" t="s">
        <v>16</v>
      </c>
      <c r="E1011" s="6" t="s">
        <v>411</v>
      </c>
      <c r="F1011" s="242" t="s">
        <v>264</v>
      </c>
      <c r="G1011" s="242" t="s">
        <v>412</v>
      </c>
      <c r="H1011" s="6" t="s">
        <v>413</v>
      </c>
      <c r="I1011" s="133" t="s">
        <v>22</v>
      </c>
      <c r="J1011" s="135" t="s">
        <v>23</v>
      </c>
      <c r="K1011" s="135" t="s">
        <v>215</v>
      </c>
      <c r="L1011" s="6" t="s">
        <v>410</v>
      </c>
      <c r="M1011" s="256">
        <v>30</v>
      </c>
      <c r="N1011" s="256">
        <v>64</v>
      </c>
      <c r="O1011" s="256">
        <v>1</v>
      </c>
      <c r="P1011" s="257">
        <v>1</v>
      </c>
      <c r="Q1011" s="6">
        <v>135</v>
      </c>
      <c r="R1011" s="98">
        <v>0.50019999999999998</v>
      </c>
      <c r="S1011" s="94">
        <f>((Table3.110[[#This Row],[Sample weight, g]]*'2.1. DM'!Q259)/100)*1000</f>
        <v>475.56885336261399</v>
      </c>
      <c r="T1011" s="94">
        <f>'3.2 Digest'!W1011</f>
        <v>182.76885336261404</v>
      </c>
      <c r="U1011" s="117">
        <v>0.33124999999999999</v>
      </c>
      <c r="V1011" s="155">
        <v>41</v>
      </c>
      <c r="W1011" s="117">
        <v>0.67222222222222228</v>
      </c>
      <c r="X1011" s="97">
        <v>89.5</v>
      </c>
      <c r="Y1011" s="97">
        <v>15</v>
      </c>
      <c r="Z1011" s="155">
        <v>40.5</v>
      </c>
      <c r="AA1011" s="117">
        <v>0.34375</v>
      </c>
      <c r="AB1011" s="155">
        <v>81.5</v>
      </c>
      <c r="AC1011" s="155">
        <v>17.8</v>
      </c>
      <c r="AD1011" s="96"/>
      <c r="AE1011" s="94">
        <f>Table3.110[[#This Row],[Gas 8h, ml]]-Table3.110[[#This Row],[Gas 0h, ml]]</f>
        <v>48.5</v>
      </c>
      <c r="AF1011" s="94">
        <f>Table3.110[[#This Row],[Gas 24h, ml]]-Table3.110[[#This Row],[V8 Push back, ml]]</f>
        <v>41</v>
      </c>
      <c r="AG1011" s="94">
        <f>Table3.110[[#This Row],[GP 8h, ml]]-(AVERAGE(AE$982,AE$983,AE$1032,AE$1033,AE$1085,AE$1086))*$AG$8</f>
        <v>45.771229168713369</v>
      </c>
      <c r="AH1011" s="94">
        <f>Table3.110[[#This Row],[GP 8-24h, ml]]-(AVERAGE(AF$982,AF$983,AF$1032,AF$1033,AF$1085,AF$1086))*$AG$8</f>
        <v>37.349347131116531</v>
      </c>
      <c r="AI1011" s="94">
        <f>Table3.110[[#This Row],[Net gas 8-24h, ml]]+Table3.110[[#This Row],[Net gas 8h, ml]]</f>
        <v>83.120576299829906</v>
      </c>
      <c r="AJ1011" s="94">
        <f>Table3.110[[#This Row],[Net gas 8h, ml]]*Table3.110[[#This Row],[CH4 8h %]]%</f>
        <v>6.8656843753070049</v>
      </c>
      <c r="AK1011" s="94">
        <f>Table3.110[[#This Row],[Net gas 8-24h, ml]]*Table3.110[[#This Row],[CH4 24h, %]]%</f>
        <v>6.6481837893387432</v>
      </c>
      <c r="AL1011" s="94">
        <f>Table3.110[[#This Row],[CH4 8-24h, ml]]+Table3.110[[#This Row],[CH4 8h, ml]]</f>
        <v>13.513868164645748</v>
      </c>
      <c r="AM1011" s="94">
        <f>(Table3.110[[#This Row],[Net gas 24h, ml]]/Table3.110[[#This Row],[DM Incubated, mg]])*1000</f>
        <v>174.78137121913602</v>
      </c>
      <c r="AN1011" s="94">
        <f>'3.2 Digest'!X1011</f>
        <v>38.431628158637125</v>
      </c>
      <c r="AO1011" s="94">
        <f>Table3.110[[#This Row],[Digested feed, mg]]/Table3.110[[#This Row],[Net gas 24h, ml]]</f>
        <v>2.1988400646229405</v>
      </c>
      <c r="AP1011" s="94">
        <f>Table3.110[[#This Row],[CH4 8h, ml]]/Table3.110[[#This Row],[Net gas 8h, ml]]%</f>
        <v>15</v>
      </c>
      <c r="AQ1011" s="94">
        <f>Table3.110[[#This Row],[CH4 24h, ml]]/Table3.110[[#This Row],[Net gas 24h, ml]]%</f>
        <v>16.258150227326325</v>
      </c>
      <c r="AR1011" s="94">
        <f>Table3.110[[#This Row],[CH4 24h, ml]]/Table3.110[[#This Row],[DM Incubated, mg]]*1000</f>
        <v>28.416217902188034</v>
      </c>
      <c r="AS1011" s="94">
        <f>Table3.110[[#This Row],[CH4 24h, ml]]/Table3.110[[#This Row],[Digested feed, mg]]*1000</f>
        <v>73.939667049473627</v>
      </c>
      <c r="AT1011" s="255">
        <f>Table3.110[[#This Row],[CH4 24h, ml]]/'3.2 Digest'!AA1011</f>
        <v>-0.72421833426084981</v>
      </c>
      <c r="AU1011" s="255">
        <f>((Table3.110[[#This Row],[CH4 24h, ml]]/28.9)*16.04)/Table3.110[[#This Row],[DM Incubated, mg]]*1000</f>
        <v>15.771492565781871</v>
      </c>
      <c r="AV1011" s="255">
        <f>((Table3.110[[#This Row],[CH4 24h, ml]]/28.9)*16.04)/Table3.110[[#This Row],[Digested feed, mg]]*1000</f>
        <v>41.037794445451787</v>
      </c>
    </row>
    <row r="1012" spans="2:48" x14ac:dyDescent="0.35">
      <c r="B1012" s="90">
        <f t="shared" si="15"/>
        <v>1002</v>
      </c>
      <c r="C1012" s="140">
        <v>46064</v>
      </c>
      <c r="D1012" s="6" t="s">
        <v>16</v>
      </c>
      <c r="E1012" s="6" t="s">
        <v>411</v>
      </c>
      <c r="F1012" s="242" t="s">
        <v>264</v>
      </c>
      <c r="G1012" s="242" t="s">
        <v>412</v>
      </c>
      <c r="H1012" s="6" t="s">
        <v>413</v>
      </c>
      <c r="I1012" s="133" t="s">
        <v>22</v>
      </c>
      <c r="J1012" s="135" t="s">
        <v>23</v>
      </c>
      <c r="K1012" s="135" t="s">
        <v>215</v>
      </c>
      <c r="L1012" s="6" t="s">
        <v>410</v>
      </c>
      <c r="M1012" s="256">
        <v>30</v>
      </c>
      <c r="N1012" s="256">
        <v>64</v>
      </c>
      <c r="O1012" s="256">
        <v>1</v>
      </c>
      <c r="P1012" s="257">
        <v>2</v>
      </c>
      <c r="Q1012" s="129">
        <v>136</v>
      </c>
      <c r="R1012" s="98">
        <v>0.50029999999999997</v>
      </c>
      <c r="S1012" s="94">
        <f>((Table3.110[[#This Row],[Sample weight, g]]*'2.1. DM'!Q259)/100)*1000</f>
        <v>475.66392910299044</v>
      </c>
      <c r="T1012" s="94">
        <f>'3.2 Digest'!W1012</f>
        <v>220.56392910299044</v>
      </c>
      <c r="U1012" s="153">
        <v>0.33124999999999999</v>
      </c>
      <c r="V1012" s="154">
        <v>40.5</v>
      </c>
      <c r="W1012" s="153">
        <v>0.67222222222222228</v>
      </c>
      <c r="X1012" s="95">
        <v>89.5</v>
      </c>
      <c r="Y1012" s="95">
        <v>15.7</v>
      </c>
      <c r="Z1012" s="154">
        <v>40.5</v>
      </c>
      <c r="AA1012" s="153">
        <v>0.34375</v>
      </c>
      <c r="AB1012" s="154">
        <v>74.5</v>
      </c>
      <c r="AC1012" s="154">
        <v>19.3</v>
      </c>
      <c r="AD1012" s="91"/>
      <c r="AE1012" s="94">
        <f>Table3.110[[#This Row],[Gas 8h, ml]]-Table3.110[[#This Row],[Gas 0h, ml]]</f>
        <v>49</v>
      </c>
      <c r="AF1012" s="94">
        <f>Table3.110[[#This Row],[Gas 24h, ml]]-Table3.110[[#This Row],[V8 Push back, ml]]</f>
        <v>34</v>
      </c>
      <c r="AG1012" s="94">
        <f>Table3.110[[#This Row],[GP 8h, ml]]-(AVERAGE(AE$982,AE$983,AE$1032,AE$1033,AE$1085,AE$1086))*$AG$8</f>
        <v>46.271229168713369</v>
      </c>
      <c r="AH1012" s="94">
        <f>Table3.110[[#This Row],[GP 8-24h, ml]]-(AVERAGE(AF$982,AF$983,AF$1032,AF$1033,AF$1085,AF$1086))*$AG$8</f>
        <v>30.349347131116534</v>
      </c>
      <c r="AI1012" s="94">
        <f>Table3.110[[#This Row],[Net gas 8-24h, ml]]+Table3.110[[#This Row],[Net gas 8h, ml]]</f>
        <v>76.620576299829906</v>
      </c>
      <c r="AJ1012" s="94">
        <f>Table3.110[[#This Row],[Net gas 8h, ml]]*Table3.110[[#This Row],[CH4 8h %]]%</f>
        <v>7.264582979487999</v>
      </c>
      <c r="AK1012" s="94">
        <f>Table3.110[[#This Row],[Net gas 8-24h, ml]]*Table3.110[[#This Row],[CH4 24h, %]]%</f>
        <v>5.8574239963054913</v>
      </c>
      <c r="AL1012" s="94">
        <f>Table3.110[[#This Row],[CH4 8-24h, ml]]+Table3.110[[#This Row],[CH4 8h, ml]]</f>
        <v>13.122006975793489</v>
      </c>
      <c r="AM1012" s="94">
        <f>(Table3.110[[#This Row],[Net gas 24h, ml]]/Table3.110[[#This Row],[DM Incubated, mg]])*1000</f>
        <v>161.08132572575221</v>
      </c>
      <c r="AN1012" s="94">
        <f>'3.2 Digest'!X1012</f>
        <v>46.369698353821164</v>
      </c>
      <c r="AO1012" s="94">
        <f>Table3.110[[#This Row],[Digested feed, mg]]/Table3.110[[#This Row],[Net gas 24h, ml]]</f>
        <v>2.8786513982860775</v>
      </c>
      <c r="AP1012" s="94">
        <f>Table3.110[[#This Row],[CH4 8h, ml]]/Table3.110[[#This Row],[Net gas 8h, ml]]%</f>
        <v>15.700000000000001</v>
      </c>
      <c r="AQ1012" s="94">
        <f>Table3.110[[#This Row],[CH4 24h, ml]]/Table3.110[[#This Row],[Net gas 24h, ml]]%</f>
        <v>17.125957033323203</v>
      </c>
      <c r="AR1012" s="94">
        <f>Table3.110[[#This Row],[CH4 24h, ml]]/Table3.110[[#This Row],[DM Incubated, mg]]*1000</f>
        <v>27.586718632499714</v>
      </c>
      <c r="AS1012" s="94">
        <f>Table3.110[[#This Row],[CH4 24h, ml]]/Table3.110[[#This Row],[Digested feed, mg]]*1000</f>
        <v>59.492987040806121</v>
      </c>
      <c r="AT1012" s="255">
        <f>Table3.110[[#This Row],[CH4 24h, ml]]/'3.2 Digest'!AA1012</f>
        <v>-3.9042027548530589</v>
      </c>
      <c r="AU1012" s="255">
        <f>((Table3.110[[#This Row],[CH4 24h, ml]]/28.9)*16.04)/Table3.110[[#This Row],[DM Incubated, mg]]*1000</f>
        <v>15.311106119906414</v>
      </c>
      <c r="AV1012" s="255">
        <f>((Table3.110[[#This Row],[CH4 24h, ml]]/28.9)*16.04)/Table3.110[[#This Row],[Digested feed, mg]]*1000</f>
        <v>33.019637098080622</v>
      </c>
    </row>
    <row r="1013" spans="2:48" x14ac:dyDescent="0.35">
      <c r="B1013" s="90">
        <f t="shared" si="15"/>
        <v>1003</v>
      </c>
      <c r="C1013" s="140">
        <v>46064</v>
      </c>
      <c r="D1013" s="6" t="s">
        <v>16</v>
      </c>
      <c r="E1013" s="6" t="s">
        <v>411</v>
      </c>
      <c r="F1013" s="242" t="s">
        <v>264</v>
      </c>
      <c r="G1013" s="242" t="s">
        <v>412</v>
      </c>
      <c r="H1013" s="6" t="s">
        <v>413</v>
      </c>
      <c r="I1013" s="133" t="s">
        <v>22</v>
      </c>
      <c r="J1013" s="135" t="s">
        <v>23</v>
      </c>
      <c r="K1013" s="135" t="s">
        <v>215</v>
      </c>
      <c r="L1013" s="6" t="s">
        <v>410</v>
      </c>
      <c r="M1013" s="256">
        <v>30</v>
      </c>
      <c r="N1013" s="256">
        <v>64</v>
      </c>
      <c r="O1013" s="256">
        <v>1</v>
      </c>
      <c r="P1013" s="257">
        <v>3</v>
      </c>
      <c r="Q1013" s="129">
        <v>137</v>
      </c>
      <c r="R1013" s="98">
        <v>0.50049999999999994</v>
      </c>
      <c r="S1013" s="94">
        <f>((Table3.110[[#This Row],[Sample weight, g]]*'2.1. DM'!Q259)/100)*1000</f>
        <v>475.8540805837431</v>
      </c>
      <c r="T1013" s="94">
        <f>'3.2 Digest'!W1013</f>
        <v>231.8540805837431</v>
      </c>
      <c r="U1013" s="117">
        <v>0.33124999999999999</v>
      </c>
      <c r="V1013" s="155">
        <v>41</v>
      </c>
      <c r="W1013" s="117">
        <v>0.67291666666666672</v>
      </c>
      <c r="X1013" s="97">
        <v>90</v>
      </c>
      <c r="Y1013" s="97">
        <v>15.5</v>
      </c>
      <c r="Z1013" s="155">
        <v>41</v>
      </c>
      <c r="AA1013" s="117">
        <v>0.34444444444444444</v>
      </c>
      <c r="AB1013" s="155">
        <v>81.5</v>
      </c>
      <c r="AC1013" s="155">
        <v>18.3</v>
      </c>
      <c r="AD1013" s="96"/>
      <c r="AE1013" s="94">
        <f>Table3.110[[#This Row],[Gas 8h, ml]]-Table3.110[[#This Row],[Gas 0h, ml]]</f>
        <v>49</v>
      </c>
      <c r="AF1013" s="94">
        <f>Table3.110[[#This Row],[Gas 24h, ml]]-Table3.110[[#This Row],[V8 Push back, ml]]</f>
        <v>40.5</v>
      </c>
      <c r="AG1013" s="94">
        <f>Table3.110[[#This Row],[GP 8h, ml]]-(AVERAGE(AE$982,AE$983,AE$1032,AE$1033,AE$1085,AE$1086))*$AG$8</f>
        <v>46.271229168713369</v>
      </c>
      <c r="AH1013" s="94">
        <f>Table3.110[[#This Row],[GP 8-24h, ml]]-(AVERAGE(AF$982,AF$983,AF$1032,AF$1033,AF$1085,AF$1086))*$AG$8</f>
        <v>36.849347131116531</v>
      </c>
      <c r="AI1013" s="94">
        <f>Table3.110[[#This Row],[Net gas 8-24h, ml]]+Table3.110[[#This Row],[Net gas 8h, ml]]</f>
        <v>83.120576299829906</v>
      </c>
      <c r="AJ1013" s="94">
        <f>Table3.110[[#This Row],[Net gas 8h, ml]]*Table3.110[[#This Row],[CH4 8h %]]%</f>
        <v>7.1720405211505724</v>
      </c>
      <c r="AK1013" s="94">
        <f>Table3.110[[#This Row],[Net gas 8-24h, ml]]*Table3.110[[#This Row],[CH4 24h, %]]%</f>
        <v>6.7434305249943254</v>
      </c>
      <c r="AL1013" s="94">
        <f>Table3.110[[#This Row],[CH4 8-24h, ml]]+Table3.110[[#This Row],[CH4 8h, ml]]</f>
        <v>13.915471046144898</v>
      </c>
      <c r="AM1013" s="94">
        <f>(Table3.110[[#This Row],[Net gas 24h, ml]]/Table3.110[[#This Row],[DM Incubated, mg]])*1000</f>
        <v>174.67660716046325</v>
      </c>
      <c r="AN1013" s="94">
        <f>'3.2 Digest'!X1013</f>
        <v>48.723776898019118</v>
      </c>
      <c r="AO1013" s="94">
        <f>Table3.110[[#This Row],[Digested feed, mg]]/Table3.110[[#This Row],[Net gas 24h, ml]]</f>
        <v>2.789370465231213</v>
      </c>
      <c r="AP1013" s="94">
        <f>Table3.110[[#This Row],[CH4 8h, ml]]/Table3.110[[#This Row],[Net gas 8h, ml]]%</f>
        <v>15.5</v>
      </c>
      <c r="AQ1013" s="94">
        <f>Table3.110[[#This Row],[CH4 24h, ml]]/Table3.110[[#This Row],[Net gas 24h, ml]]%</f>
        <v>16.741307225721645</v>
      </c>
      <c r="AR1013" s="94">
        <f>Table3.110[[#This Row],[CH4 24h, ml]]/Table3.110[[#This Row],[DM Incubated, mg]]*1000</f>
        <v>29.243147456200045</v>
      </c>
      <c r="AS1013" s="94">
        <f>Table3.110[[#This Row],[CH4 24h, ml]]/Table3.110[[#This Row],[Digested feed, mg]]*1000</f>
        <v>60.018227891912325</v>
      </c>
      <c r="AT1013" s="255">
        <f>Table3.110[[#This Row],[CH4 24h, ml]]/'3.2 Digest'!AA1013</f>
        <v>11.832981744276827</v>
      </c>
      <c r="AU1013" s="255">
        <f>((Table3.110[[#This Row],[CH4 24h, ml]]/28.9)*16.04)/Table3.110[[#This Row],[DM Incubated, mg]]*1000</f>
        <v>16.230452774998223</v>
      </c>
      <c r="AV1013" s="255">
        <f>((Table3.110[[#This Row],[CH4 24h, ml]]/28.9)*16.04)/Table3.110[[#This Row],[Digested feed, mg]]*1000</f>
        <v>33.311154857656526</v>
      </c>
    </row>
    <row r="1014" spans="2:48" x14ac:dyDescent="0.35">
      <c r="B1014" s="90">
        <f t="shared" si="15"/>
        <v>1004</v>
      </c>
      <c r="C1014" s="140">
        <v>46064</v>
      </c>
      <c r="D1014" s="6" t="s">
        <v>16</v>
      </c>
      <c r="E1014" s="6" t="s">
        <v>415</v>
      </c>
      <c r="F1014" s="242" t="s">
        <v>235</v>
      </c>
      <c r="G1014" s="242" t="s">
        <v>274</v>
      </c>
      <c r="H1014" s="6" t="s">
        <v>275</v>
      </c>
      <c r="I1014" s="133" t="s">
        <v>22</v>
      </c>
      <c r="J1014" s="135" t="s">
        <v>23</v>
      </c>
      <c r="K1014" s="135" t="s">
        <v>215</v>
      </c>
      <c r="L1014" s="6" t="s">
        <v>414</v>
      </c>
      <c r="M1014" s="256">
        <v>30</v>
      </c>
      <c r="N1014" s="256">
        <v>64</v>
      </c>
      <c r="O1014" s="256">
        <v>1</v>
      </c>
      <c r="P1014" s="257">
        <v>1</v>
      </c>
      <c r="Q1014" s="6">
        <v>138</v>
      </c>
      <c r="R1014" s="98">
        <v>0.5</v>
      </c>
      <c r="S1014" s="94">
        <f>((Table3.110[[#This Row],[Sample weight, g]]*'2.1. DM'!Q261)/100)*1000</f>
        <v>473.62894434411743</v>
      </c>
      <c r="T1014" s="94">
        <f>'3.2 Digest'!W1014</f>
        <v>192.02894434411735</v>
      </c>
      <c r="U1014" s="153">
        <v>0.33124999999999999</v>
      </c>
      <c r="V1014" s="154">
        <v>40.5</v>
      </c>
      <c r="W1014" s="153">
        <v>0.67361111111111116</v>
      </c>
      <c r="X1014" s="95">
        <v>85.5</v>
      </c>
      <c r="Y1014" s="95">
        <v>12.6</v>
      </c>
      <c r="Z1014" s="154">
        <v>40</v>
      </c>
      <c r="AA1014" s="153">
        <v>0.34513888888888888</v>
      </c>
      <c r="AB1014" s="154">
        <v>78.5</v>
      </c>
      <c r="AC1014" s="154">
        <v>17.5</v>
      </c>
      <c r="AD1014" s="91"/>
      <c r="AE1014" s="94">
        <f>Table3.110[[#This Row],[Gas 8h, ml]]-Table3.110[[#This Row],[Gas 0h, ml]]</f>
        <v>45</v>
      </c>
      <c r="AF1014" s="94">
        <f>Table3.110[[#This Row],[Gas 24h, ml]]-Table3.110[[#This Row],[V8 Push back, ml]]</f>
        <v>38.5</v>
      </c>
      <c r="AG1014" s="94">
        <f>Table3.110[[#This Row],[GP 8h, ml]]-(AVERAGE(AE$982,AE$983,AE$1032,AE$1033,AE$1085,AE$1086))*$AG$8</f>
        <v>42.271229168713369</v>
      </c>
      <c r="AH1014" s="94">
        <f>Table3.110[[#This Row],[GP 8-24h, ml]]-(AVERAGE(AF$982,AF$983,AF$1032,AF$1033,AF$1085,AF$1086))*$AG$8</f>
        <v>34.849347131116531</v>
      </c>
      <c r="AI1014" s="94">
        <f>Table3.110[[#This Row],[Net gas 8-24h, ml]]+Table3.110[[#This Row],[Net gas 8h, ml]]</f>
        <v>77.120576299829906</v>
      </c>
      <c r="AJ1014" s="94">
        <f>Table3.110[[#This Row],[Net gas 8h, ml]]*Table3.110[[#This Row],[CH4 8h %]]%</f>
        <v>5.3261748752578848</v>
      </c>
      <c r="AK1014" s="94">
        <f>Table3.110[[#This Row],[Net gas 8-24h, ml]]*Table3.110[[#This Row],[CH4 24h, %]]%</f>
        <v>6.0986357479453925</v>
      </c>
      <c r="AL1014" s="94">
        <f>Table3.110[[#This Row],[CH4 8-24h, ml]]+Table3.110[[#This Row],[CH4 8h, ml]]</f>
        <v>11.424810623203278</v>
      </c>
      <c r="AM1014" s="94">
        <f>(Table3.110[[#This Row],[Net gas 24h, ml]]/Table3.110[[#This Row],[DM Incubated, mg]])*1000</f>
        <v>162.82910329018569</v>
      </c>
      <c r="AN1014" s="94">
        <f>'3.2 Digest'!X1014</f>
        <v>40.544174218499151</v>
      </c>
      <c r="AO1014" s="94">
        <f>Table3.110[[#This Row],[Digested feed, mg]]/Table3.110[[#This Row],[Net gas 24h, ml]]</f>
        <v>2.4899832646159945</v>
      </c>
      <c r="AP1014" s="94">
        <f>Table3.110[[#This Row],[CH4 8h, ml]]/Table3.110[[#This Row],[Net gas 8h, ml]]%</f>
        <v>12.6</v>
      </c>
      <c r="AQ1014" s="94">
        <f>Table3.110[[#This Row],[CH4 24h, ml]]/Table3.110[[#This Row],[Net gas 24h, ml]]%</f>
        <v>14.814218424387574</v>
      </c>
      <c r="AR1014" s="94">
        <f>Table3.110[[#This Row],[CH4 24h, ml]]/Table3.110[[#This Row],[DM Incubated, mg]]*1000</f>
        <v>24.121859019879761</v>
      </c>
      <c r="AS1014" s="94">
        <f>Table3.110[[#This Row],[CH4 24h, ml]]/Table3.110[[#This Row],[Digested feed, mg]]*1000</f>
        <v>59.495252979831676</v>
      </c>
      <c r="AT1014" s="255">
        <f>Table3.110[[#This Row],[CH4 24h, ml]]/'3.2 Digest'!AA1014</f>
        <v>-0.41608496333265454</v>
      </c>
      <c r="AU1014" s="255">
        <f>((Table3.110[[#This Row],[CH4 24h, ml]]/28.9)*16.04)/Table3.110[[#This Row],[DM Incubated, mg]]*1000</f>
        <v>13.388049089234302</v>
      </c>
      <c r="AV1014" s="255">
        <f>((Table3.110[[#This Row],[CH4 24h, ml]]/28.9)*16.04)/Table3.110[[#This Row],[Digested feed, mg]]*1000</f>
        <v>33.020894733442908</v>
      </c>
    </row>
    <row r="1015" spans="2:48" x14ac:dyDescent="0.35">
      <c r="B1015" s="90">
        <f t="shared" si="15"/>
        <v>1005</v>
      </c>
      <c r="C1015" s="140">
        <v>46064</v>
      </c>
      <c r="D1015" s="6" t="s">
        <v>16</v>
      </c>
      <c r="E1015" s="6" t="s">
        <v>415</v>
      </c>
      <c r="F1015" s="242" t="s">
        <v>235</v>
      </c>
      <c r="G1015" s="242" t="s">
        <v>274</v>
      </c>
      <c r="H1015" s="6" t="s">
        <v>275</v>
      </c>
      <c r="I1015" s="133" t="s">
        <v>22</v>
      </c>
      <c r="J1015" s="135" t="s">
        <v>23</v>
      </c>
      <c r="K1015" s="135" t="s">
        <v>215</v>
      </c>
      <c r="L1015" s="6" t="s">
        <v>414</v>
      </c>
      <c r="M1015" s="256">
        <v>30</v>
      </c>
      <c r="N1015" s="256">
        <v>64</v>
      </c>
      <c r="O1015" s="256">
        <v>1</v>
      </c>
      <c r="P1015" s="257">
        <v>2</v>
      </c>
      <c r="Q1015" s="129">
        <v>139</v>
      </c>
      <c r="R1015" s="98">
        <v>0.50029999999999997</v>
      </c>
      <c r="S1015" s="94">
        <f>((Table3.110[[#This Row],[Sample weight, g]]*'2.1. DM'!Q261)/100)*1000</f>
        <v>473.91312171072389</v>
      </c>
      <c r="T1015" s="94">
        <f>'3.2 Digest'!W1015</f>
        <v>256.51312171072385</v>
      </c>
      <c r="U1015" s="117">
        <v>0.33124999999999999</v>
      </c>
      <c r="V1015" s="155">
        <v>40.5</v>
      </c>
      <c r="W1015" s="117">
        <v>0.67361111111111116</v>
      </c>
      <c r="X1015" s="97">
        <v>84</v>
      </c>
      <c r="Y1015" s="97">
        <v>12.2</v>
      </c>
      <c r="Z1015" s="155">
        <v>40</v>
      </c>
      <c r="AA1015" s="117">
        <v>0.34513888888888888</v>
      </c>
      <c r="AB1015" s="155">
        <v>76</v>
      </c>
      <c r="AC1015" s="155">
        <v>17.5</v>
      </c>
      <c r="AD1015" s="96"/>
      <c r="AE1015" s="94">
        <f>Table3.110[[#This Row],[Gas 8h, ml]]-Table3.110[[#This Row],[Gas 0h, ml]]</f>
        <v>43.5</v>
      </c>
      <c r="AF1015" s="94">
        <f>Table3.110[[#This Row],[Gas 24h, ml]]-Table3.110[[#This Row],[V8 Push back, ml]]</f>
        <v>36</v>
      </c>
      <c r="AG1015" s="94">
        <f>Table3.110[[#This Row],[GP 8h, ml]]-(AVERAGE(AE$982,AE$983,AE$1032,AE$1033,AE$1085,AE$1086))*$AG$8</f>
        <v>40.771229168713369</v>
      </c>
      <c r="AH1015" s="94">
        <f>Table3.110[[#This Row],[GP 8-24h, ml]]-(AVERAGE(AF$982,AF$983,AF$1032,AF$1033,AF$1085,AF$1086))*$AG$8</f>
        <v>32.349347131116531</v>
      </c>
      <c r="AI1015" s="94">
        <f>Table3.110[[#This Row],[Net gas 8-24h, ml]]+Table3.110[[#This Row],[Net gas 8h, ml]]</f>
        <v>73.120576299829906</v>
      </c>
      <c r="AJ1015" s="94">
        <f>Table3.110[[#This Row],[Net gas 8h, ml]]*Table3.110[[#This Row],[CH4 8h %]]%</f>
        <v>4.9740899585830309</v>
      </c>
      <c r="AK1015" s="94">
        <f>Table3.110[[#This Row],[Net gas 8-24h, ml]]*Table3.110[[#This Row],[CH4 24h, %]]%</f>
        <v>5.6611357479453925</v>
      </c>
      <c r="AL1015" s="94">
        <f>Table3.110[[#This Row],[CH4 8-24h, ml]]+Table3.110[[#This Row],[CH4 8h, ml]]</f>
        <v>10.635225706528423</v>
      </c>
      <c r="AM1015" s="94">
        <f>(Table3.110[[#This Row],[Net gas 24h, ml]]/Table3.110[[#This Row],[DM Incubated, mg]])*1000</f>
        <v>154.29109883237763</v>
      </c>
      <c r="AN1015" s="94">
        <f>'3.2 Digest'!X1015</f>
        <v>54.126613077259165</v>
      </c>
      <c r="AO1015" s="94">
        <f>Table3.110[[#This Row],[Digested feed, mg]]/Table3.110[[#This Row],[Net gas 24h, ml]]</f>
        <v>3.5080839715881802</v>
      </c>
      <c r="AP1015" s="94">
        <f>Table3.110[[#This Row],[CH4 8h, ml]]/Table3.110[[#This Row],[Net gas 8h, ml]]%</f>
        <v>12.2</v>
      </c>
      <c r="AQ1015" s="94">
        <f>Table3.110[[#This Row],[CH4 24h, ml]]/Table3.110[[#This Row],[Net gas 24h, ml]]%</f>
        <v>14.544778289108155</v>
      </c>
      <c r="AR1015" s="94">
        <f>Table3.110[[#This Row],[CH4 24h, ml]]/Table3.110[[#This Row],[DM Incubated, mg]]*1000</f>
        <v>22.44129824499807</v>
      </c>
      <c r="AS1015" s="94">
        <f>Table3.110[[#This Row],[CH4 24h, ml]]/Table3.110[[#This Row],[Digested feed, mg]]*1000</f>
        <v>41.460747253787773</v>
      </c>
      <c r="AT1015" s="255">
        <f>Table3.110[[#This Row],[CH4 24h, ml]]/'3.2 Digest'!AA1015</f>
        <v>6.4092754536716949</v>
      </c>
      <c r="AU1015" s="255">
        <f>((Table3.110[[#This Row],[CH4 24h, ml]]/28.9)*16.04)/Table3.110[[#This Row],[DM Incubated, mg]]*1000</f>
        <v>12.455308783729031</v>
      </c>
      <c r="AV1015" s="255">
        <f>((Table3.110[[#This Row],[CH4 24h, ml]]/28.9)*16.04)/Table3.110[[#This Row],[Digested feed, mg]]*1000</f>
        <v>23.011432039818544</v>
      </c>
    </row>
    <row r="1016" spans="2:48" x14ac:dyDescent="0.35">
      <c r="B1016" s="90">
        <f t="shared" si="15"/>
        <v>1006</v>
      </c>
      <c r="C1016" s="140">
        <v>46064</v>
      </c>
      <c r="D1016" s="6" t="s">
        <v>16</v>
      </c>
      <c r="E1016" s="6" t="s">
        <v>415</v>
      </c>
      <c r="F1016" s="242" t="s">
        <v>235</v>
      </c>
      <c r="G1016" s="242" t="s">
        <v>274</v>
      </c>
      <c r="H1016" s="6" t="s">
        <v>275</v>
      </c>
      <c r="I1016" s="133" t="s">
        <v>22</v>
      </c>
      <c r="J1016" s="135" t="s">
        <v>23</v>
      </c>
      <c r="K1016" s="135" t="s">
        <v>215</v>
      </c>
      <c r="L1016" s="6" t="s">
        <v>414</v>
      </c>
      <c r="M1016" s="256">
        <v>30</v>
      </c>
      <c r="N1016" s="256">
        <v>64</v>
      </c>
      <c r="O1016" s="256">
        <v>1</v>
      </c>
      <c r="P1016" s="257">
        <v>3</v>
      </c>
      <c r="Q1016" s="129">
        <v>140</v>
      </c>
      <c r="R1016" s="98">
        <v>0.50049999999999994</v>
      </c>
      <c r="S1016" s="94">
        <f>((Table3.110[[#This Row],[Sample weight, g]]*'2.1. DM'!Q261)/100)*1000</f>
        <v>474.10257328846149</v>
      </c>
      <c r="T1016" s="94">
        <f>'3.2 Digest'!W1016</f>
        <v>243.40257328846147</v>
      </c>
      <c r="U1016" s="153">
        <v>0.33194444444444443</v>
      </c>
      <c r="V1016" s="154">
        <v>41</v>
      </c>
      <c r="W1016" s="153">
        <v>0.6743055555555556</v>
      </c>
      <c r="X1016" s="95">
        <v>84.5</v>
      </c>
      <c r="Y1016" s="95">
        <v>12.5</v>
      </c>
      <c r="Z1016" s="154">
        <v>40</v>
      </c>
      <c r="AA1016" s="153">
        <v>0.34583333333333333</v>
      </c>
      <c r="AB1016" s="154">
        <v>75.5</v>
      </c>
      <c r="AC1016" s="154">
        <v>17.7</v>
      </c>
      <c r="AD1016" s="91"/>
      <c r="AE1016" s="94">
        <f>Table3.110[[#This Row],[Gas 8h, ml]]-Table3.110[[#This Row],[Gas 0h, ml]]</f>
        <v>43.5</v>
      </c>
      <c r="AF1016" s="94">
        <f>Table3.110[[#This Row],[Gas 24h, ml]]-Table3.110[[#This Row],[V8 Push back, ml]]</f>
        <v>35.5</v>
      </c>
      <c r="AG1016" s="94">
        <f>Table3.110[[#This Row],[GP 8h, ml]]-(AVERAGE(AE$982,AE$983,AE$1032,AE$1033,AE$1085,AE$1086))*$AG$8</f>
        <v>40.771229168713369</v>
      </c>
      <c r="AH1016" s="94">
        <f>Table3.110[[#This Row],[GP 8-24h, ml]]-(AVERAGE(AF$982,AF$983,AF$1032,AF$1033,AF$1085,AF$1086))*$AG$8</f>
        <v>31.849347131116534</v>
      </c>
      <c r="AI1016" s="94">
        <f>Table3.110[[#This Row],[Net gas 8-24h, ml]]+Table3.110[[#This Row],[Net gas 8h, ml]]</f>
        <v>72.620576299829906</v>
      </c>
      <c r="AJ1016" s="94">
        <f>Table3.110[[#This Row],[Net gas 8h, ml]]*Table3.110[[#This Row],[CH4 8h %]]%</f>
        <v>5.0964036460891711</v>
      </c>
      <c r="AK1016" s="94">
        <f>Table3.110[[#This Row],[Net gas 8-24h, ml]]*Table3.110[[#This Row],[CH4 24h, %]]%</f>
        <v>5.6373344422076261</v>
      </c>
      <c r="AL1016" s="94">
        <f>Table3.110[[#This Row],[CH4 8-24h, ml]]+Table3.110[[#This Row],[CH4 8h, ml]]</f>
        <v>10.733738088296796</v>
      </c>
      <c r="AM1016" s="94">
        <f>(Table3.110[[#This Row],[Net gas 24h, ml]]/Table3.110[[#This Row],[DM Incubated, mg]])*1000</f>
        <v>153.17481994691656</v>
      </c>
      <c r="AN1016" s="94">
        <f>'3.2 Digest'!X1016</f>
        <v>51.339643993108297</v>
      </c>
      <c r="AO1016" s="94">
        <f>Table3.110[[#This Row],[Digested feed, mg]]/Table3.110[[#This Row],[Net gas 24h, ml]]</f>
        <v>3.3517025847264112</v>
      </c>
      <c r="AP1016" s="94">
        <f>Table3.110[[#This Row],[CH4 8h, ml]]/Table3.110[[#This Row],[Net gas 8h, ml]]%</f>
        <v>12.5</v>
      </c>
      <c r="AQ1016" s="94">
        <f>Table3.110[[#This Row],[CH4 24h, ml]]/Table3.110[[#This Row],[Net gas 24h, ml]]%</f>
        <v>14.780574095116258</v>
      </c>
      <c r="AR1016" s="94">
        <f>Table3.110[[#This Row],[CH4 24h, ml]]/Table3.110[[#This Row],[DM Incubated, mg]]*1000</f>
        <v>22.640117757314925</v>
      </c>
      <c r="AS1016" s="94">
        <f>Table3.110[[#This Row],[CH4 24h, ml]]/Table3.110[[#This Row],[Digested feed, mg]]*1000</f>
        <v>44.098704230115182</v>
      </c>
      <c r="AT1016" s="255">
        <f>Table3.110[[#This Row],[CH4 24h, ml]]/'3.2 Digest'!AA1016</f>
        <v>-2.487431063707414</v>
      </c>
      <c r="AU1016" s="255">
        <f>((Table3.110[[#This Row],[CH4 24h, ml]]/28.9)*16.04)/Table3.110[[#This Row],[DM Incubated, mg]]*1000</f>
        <v>12.565657052848836</v>
      </c>
      <c r="AV1016" s="255">
        <f>((Table3.110[[#This Row],[CH4 24h, ml]]/28.9)*16.04)/Table3.110[[#This Row],[Digested feed, mg]]*1000</f>
        <v>24.475543801074306</v>
      </c>
    </row>
    <row r="1017" spans="2:48" x14ac:dyDescent="0.35">
      <c r="B1017" s="90">
        <f t="shared" si="15"/>
        <v>1007</v>
      </c>
      <c r="C1017" s="140">
        <v>46064</v>
      </c>
      <c r="D1017" s="6" t="s">
        <v>16</v>
      </c>
      <c r="E1017" s="6" t="s">
        <v>417</v>
      </c>
      <c r="F1017" s="242" t="s">
        <v>290</v>
      </c>
      <c r="G1017" s="242" t="s">
        <v>291</v>
      </c>
      <c r="H1017" s="6" t="s">
        <v>292</v>
      </c>
      <c r="I1017" s="133" t="s">
        <v>22</v>
      </c>
      <c r="J1017" s="135" t="s">
        <v>23</v>
      </c>
      <c r="K1017" s="135" t="s">
        <v>215</v>
      </c>
      <c r="L1017" s="6" t="s">
        <v>416</v>
      </c>
      <c r="M1017" s="256">
        <v>30</v>
      </c>
      <c r="N1017" s="256">
        <v>64</v>
      </c>
      <c r="O1017" s="256">
        <v>1</v>
      </c>
      <c r="P1017" s="257">
        <v>1</v>
      </c>
      <c r="Q1017" s="6">
        <v>141</v>
      </c>
      <c r="R1017" s="98">
        <v>0.5</v>
      </c>
      <c r="S1017" s="94">
        <f>((Table3.110[[#This Row],[Sample weight, g]]*'2.1. DM'!Q263)/100)*1000</f>
        <v>467.59120439780082</v>
      </c>
      <c r="T1017" s="94">
        <f>'3.2 Digest'!W1017</f>
        <v>251.59120439780074</v>
      </c>
      <c r="U1017" s="117">
        <v>0.33194444444444443</v>
      </c>
      <c r="V1017" s="155">
        <v>40</v>
      </c>
      <c r="W1017" s="117">
        <v>0.67500000000000004</v>
      </c>
      <c r="X1017" s="97">
        <v>83</v>
      </c>
      <c r="Y1017" s="97">
        <v>14.9</v>
      </c>
      <c r="Z1017" s="155">
        <v>40</v>
      </c>
      <c r="AA1017" s="117">
        <v>0.34583333333333333</v>
      </c>
      <c r="AB1017" s="155">
        <v>82</v>
      </c>
      <c r="AC1017" s="155">
        <v>17.3</v>
      </c>
      <c r="AD1017" s="96"/>
      <c r="AE1017" s="94">
        <f>Table3.110[[#This Row],[Gas 8h, ml]]-Table3.110[[#This Row],[Gas 0h, ml]]</f>
        <v>43</v>
      </c>
      <c r="AF1017" s="94">
        <f>Table3.110[[#This Row],[Gas 24h, ml]]-Table3.110[[#This Row],[V8 Push back, ml]]</f>
        <v>42</v>
      </c>
      <c r="AG1017" s="94">
        <f>Table3.110[[#This Row],[GP 8h, ml]]-(AVERAGE(AE$982,AE$983,AE$1032,AE$1033,AE$1085,AE$1086))*$AG$8</f>
        <v>40.271229168713369</v>
      </c>
      <c r="AH1017" s="94">
        <f>Table3.110[[#This Row],[GP 8-24h, ml]]-(AVERAGE(AF$982,AF$983,AF$1032,AF$1033,AF$1085,AF$1086))*$AG$8</f>
        <v>38.349347131116531</v>
      </c>
      <c r="AI1017" s="94">
        <f>Table3.110[[#This Row],[Net gas 8-24h, ml]]+Table3.110[[#This Row],[Net gas 8h, ml]]</f>
        <v>78.620576299829906</v>
      </c>
      <c r="AJ1017" s="94">
        <f>Table3.110[[#This Row],[Net gas 8h, ml]]*Table3.110[[#This Row],[CH4 8h %]]%</f>
        <v>6.0004131461382917</v>
      </c>
      <c r="AK1017" s="94">
        <f>Table3.110[[#This Row],[Net gas 8-24h, ml]]*Table3.110[[#This Row],[CH4 24h, %]]%</f>
        <v>6.6344370536831603</v>
      </c>
      <c r="AL1017" s="94">
        <f>Table3.110[[#This Row],[CH4 8-24h, ml]]+Table3.110[[#This Row],[CH4 8h, ml]]</f>
        <v>12.634850199821452</v>
      </c>
      <c r="AM1017" s="94">
        <f>(Table3.110[[#This Row],[Net gas 24h, ml]]/Table3.110[[#This Row],[DM Incubated, mg]])*1000</f>
        <v>168.13955343981161</v>
      </c>
      <c r="AN1017" s="94">
        <f>'3.2 Digest'!X1017</f>
        <v>53.805803452145518</v>
      </c>
      <c r="AO1017" s="94">
        <f>Table3.110[[#This Row],[Digested feed, mg]]/Table3.110[[#This Row],[Net gas 24h, ml]]</f>
        <v>3.2000681785684781</v>
      </c>
      <c r="AP1017" s="94">
        <f>Table3.110[[#This Row],[CH4 8h, ml]]/Table3.110[[#This Row],[Net gas 8h, ml]]%</f>
        <v>14.9</v>
      </c>
      <c r="AQ1017" s="94">
        <f>Table3.110[[#This Row],[CH4 24h, ml]]/Table3.110[[#This Row],[Net gas 24h, ml]]%</f>
        <v>16.070665968711282</v>
      </c>
      <c r="AR1017" s="94">
        <f>Table3.110[[#This Row],[CH4 24h, ml]]/Table3.110[[#This Row],[DM Incubated, mg]]*1000</f>
        <v>27.021145994594924</v>
      </c>
      <c r="AS1017" s="94">
        <f>Table3.110[[#This Row],[CH4 24h, ml]]/Table3.110[[#This Row],[Digested feed, mg]]*1000</f>
        <v>50.219761179901958</v>
      </c>
      <c r="AT1017" s="255">
        <f>Table3.110[[#This Row],[CH4 24h, ml]]/'3.2 Digest'!AA1017</f>
        <v>-1.2241571898735641</v>
      </c>
      <c r="AU1017" s="255">
        <f>((Table3.110[[#This Row],[CH4 24h, ml]]/28.9)*16.04)/Table3.110[[#This Row],[DM Incubated, mg]]*1000</f>
        <v>14.997203520875523</v>
      </c>
      <c r="AV1017" s="255">
        <f>((Table3.110[[#This Row],[CH4 24h, ml]]/28.9)*16.04)/Table3.110[[#This Row],[Digested feed, mg]]*1000</f>
        <v>27.872836308845244</v>
      </c>
    </row>
    <row r="1018" spans="2:48" x14ac:dyDescent="0.35">
      <c r="B1018" s="90">
        <f t="shared" si="15"/>
        <v>1008</v>
      </c>
      <c r="C1018" s="140">
        <v>46064</v>
      </c>
      <c r="D1018" s="6" t="s">
        <v>16</v>
      </c>
      <c r="E1018" s="6" t="s">
        <v>417</v>
      </c>
      <c r="F1018" s="242" t="s">
        <v>290</v>
      </c>
      <c r="G1018" s="242" t="s">
        <v>291</v>
      </c>
      <c r="H1018" s="6" t="s">
        <v>292</v>
      </c>
      <c r="I1018" s="133" t="s">
        <v>22</v>
      </c>
      <c r="J1018" s="135" t="s">
        <v>23</v>
      </c>
      <c r="K1018" s="135" t="s">
        <v>215</v>
      </c>
      <c r="L1018" s="6" t="s">
        <v>416</v>
      </c>
      <c r="M1018" s="256">
        <v>30</v>
      </c>
      <c r="N1018" s="256">
        <v>64</v>
      </c>
      <c r="O1018" s="256">
        <v>1</v>
      </c>
      <c r="P1018" s="257">
        <v>2</v>
      </c>
      <c r="Q1018" s="129">
        <v>142</v>
      </c>
      <c r="R1018" s="98">
        <v>0.50009999999999999</v>
      </c>
      <c r="S1018" s="94">
        <f>((Table3.110[[#This Row],[Sample weight, g]]*'2.1. DM'!Q263)/100)*1000</f>
        <v>467.68472263868046</v>
      </c>
      <c r="T1018" s="94">
        <f>'3.2 Digest'!W1018</f>
        <v>190.78472263868042</v>
      </c>
      <c r="U1018" s="153">
        <v>0.33194444444444443</v>
      </c>
      <c r="V1018" s="154">
        <v>40.5</v>
      </c>
      <c r="W1018" s="153">
        <v>0.67500000000000004</v>
      </c>
      <c r="X1018" s="95">
        <v>81.5</v>
      </c>
      <c r="Y1018" s="95">
        <v>14.7</v>
      </c>
      <c r="Z1018" s="154">
        <v>40</v>
      </c>
      <c r="AA1018" s="153">
        <v>0.34652777777777777</v>
      </c>
      <c r="AB1018" s="154">
        <v>79</v>
      </c>
      <c r="AC1018" s="154">
        <v>17.5</v>
      </c>
      <c r="AD1018" s="91"/>
      <c r="AE1018" s="94">
        <f>Table3.110[[#This Row],[Gas 8h, ml]]-Table3.110[[#This Row],[Gas 0h, ml]]</f>
        <v>41</v>
      </c>
      <c r="AF1018" s="94">
        <f>Table3.110[[#This Row],[Gas 24h, ml]]-Table3.110[[#This Row],[V8 Push back, ml]]</f>
        <v>39</v>
      </c>
      <c r="AG1018" s="94">
        <f>Table3.110[[#This Row],[GP 8h, ml]]-(AVERAGE(AE$982,AE$983,AE$1032,AE$1033,AE$1085,AE$1086))*$AG$8</f>
        <v>38.271229168713369</v>
      </c>
      <c r="AH1018" s="94">
        <f>Table3.110[[#This Row],[GP 8-24h, ml]]-(AVERAGE(AF$982,AF$983,AF$1032,AF$1033,AF$1085,AF$1086))*$AG$8</f>
        <v>35.349347131116531</v>
      </c>
      <c r="AI1018" s="94">
        <f>Table3.110[[#This Row],[Net gas 8-24h, ml]]+Table3.110[[#This Row],[Net gas 8h, ml]]</f>
        <v>73.620576299829906</v>
      </c>
      <c r="AJ1018" s="94">
        <f>Table3.110[[#This Row],[Net gas 8h, ml]]*Table3.110[[#This Row],[CH4 8h %]]%</f>
        <v>5.6258706878008651</v>
      </c>
      <c r="AK1018" s="94">
        <f>Table3.110[[#This Row],[Net gas 8-24h, ml]]*Table3.110[[#This Row],[CH4 24h, %]]%</f>
        <v>6.1861357479453929</v>
      </c>
      <c r="AL1018" s="94">
        <f>Table3.110[[#This Row],[CH4 8-24h, ml]]+Table3.110[[#This Row],[CH4 8h, ml]]</f>
        <v>11.812006435746259</v>
      </c>
      <c r="AM1018" s="94">
        <f>(Table3.110[[#This Row],[Net gas 24h, ml]]/Table3.110[[#This Row],[DM Incubated, mg]])*1000</f>
        <v>157.41496939318887</v>
      </c>
      <c r="AN1018" s="94">
        <f>'3.2 Digest'!X1018</f>
        <v>40.793447680367166</v>
      </c>
      <c r="AO1018" s="94">
        <f>Table3.110[[#This Row],[Digested feed, mg]]/Table3.110[[#This Row],[Net gas 24h, ml]]</f>
        <v>2.5914592390812512</v>
      </c>
      <c r="AP1018" s="94">
        <f>Table3.110[[#This Row],[CH4 8h, ml]]/Table3.110[[#This Row],[Net gas 8h, ml]]%</f>
        <v>14.700000000000001</v>
      </c>
      <c r="AQ1018" s="94">
        <f>Table3.110[[#This Row],[CH4 24h, ml]]/Table3.110[[#This Row],[Net gas 24h, ml]]%</f>
        <v>16.044436256027446</v>
      </c>
      <c r="AR1018" s="94">
        <f>Table3.110[[#This Row],[CH4 24h, ml]]/Table3.110[[#This Row],[DM Incubated, mg]]*1000</f>
        <v>25.256344421735303</v>
      </c>
      <c r="AS1018" s="94">
        <f>Table3.110[[#This Row],[CH4 24h, ml]]/Table3.110[[#This Row],[Digested feed, mg]]*1000</f>
        <v>61.912747899193938</v>
      </c>
      <c r="AT1018" s="255">
        <f>Table3.110[[#This Row],[CH4 24h, ml]]/'3.2 Digest'!AA1018</f>
        <v>-0.2853317213176243</v>
      </c>
      <c r="AU1018" s="255">
        <f>((Table3.110[[#This Row],[CH4 24h, ml]]/28.9)*16.04)/Table3.110[[#This Row],[DM Incubated, mg]]*1000</f>
        <v>14.017708115039246</v>
      </c>
      <c r="AV1018" s="255">
        <f>((Table3.110[[#This Row],[CH4 24h, ml]]/28.9)*16.04)/Table3.110[[#This Row],[Digested feed, mg]]*1000</f>
        <v>34.362646238860577</v>
      </c>
    </row>
    <row r="1019" spans="2:48" x14ac:dyDescent="0.35">
      <c r="B1019" s="90">
        <f t="shared" si="15"/>
        <v>1009</v>
      </c>
      <c r="C1019" s="140">
        <v>46064</v>
      </c>
      <c r="D1019" s="6" t="s">
        <v>16</v>
      </c>
      <c r="E1019" s="6" t="s">
        <v>417</v>
      </c>
      <c r="F1019" s="242" t="s">
        <v>290</v>
      </c>
      <c r="G1019" s="242" t="s">
        <v>291</v>
      </c>
      <c r="H1019" s="6" t="s">
        <v>292</v>
      </c>
      <c r="I1019" s="133" t="s">
        <v>22</v>
      </c>
      <c r="J1019" s="135" t="s">
        <v>23</v>
      </c>
      <c r="K1019" s="135" t="s">
        <v>215</v>
      </c>
      <c r="L1019" s="6" t="s">
        <v>416</v>
      </c>
      <c r="M1019" s="256">
        <v>30</v>
      </c>
      <c r="N1019" s="256">
        <v>64</v>
      </c>
      <c r="O1019" s="256">
        <v>1</v>
      </c>
      <c r="P1019" s="257">
        <v>3</v>
      </c>
      <c r="Q1019" s="129">
        <v>143</v>
      </c>
      <c r="R1019" s="98">
        <v>0.50029999999999997</v>
      </c>
      <c r="S1019" s="94">
        <f>((Table3.110[[#This Row],[Sample weight, g]]*'2.1. DM'!Q263)/100)*1000</f>
        <v>467.87175912043949</v>
      </c>
      <c r="T1019" s="94">
        <f>'3.2 Digest'!W1019</f>
        <v>225.07175912043948</v>
      </c>
      <c r="U1019" s="117">
        <v>0.33263888888888887</v>
      </c>
      <c r="V1019" s="155">
        <v>41</v>
      </c>
      <c r="W1019" s="117">
        <v>0.67569444444444449</v>
      </c>
      <c r="X1019" s="97">
        <v>81.5</v>
      </c>
      <c r="Y1019" s="97">
        <v>14.1</v>
      </c>
      <c r="Z1019" s="155">
        <v>40.5</v>
      </c>
      <c r="AA1019" s="117">
        <v>0.34652777777777777</v>
      </c>
      <c r="AB1019" s="155">
        <v>81.5</v>
      </c>
      <c r="AC1019" s="155">
        <v>17.2</v>
      </c>
      <c r="AD1019" s="96"/>
      <c r="AE1019" s="94">
        <f>Table3.110[[#This Row],[Gas 8h, ml]]-Table3.110[[#This Row],[Gas 0h, ml]]</f>
        <v>40.5</v>
      </c>
      <c r="AF1019" s="94">
        <f>Table3.110[[#This Row],[Gas 24h, ml]]-Table3.110[[#This Row],[V8 Push back, ml]]</f>
        <v>41</v>
      </c>
      <c r="AG1019" s="94">
        <f>Table3.110[[#This Row],[GP 8h, ml]]-(AVERAGE(AE$982,AE$983,AE$1032,AE$1033,AE$1085,AE$1086))*$AG$8</f>
        <v>37.771229168713369</v>
      </c>
      <c r="AH1019" s="94">
        <f>Table3.110[[#This Row],[GP 8-24h, ml]]-(AVERAGE(AF$982,AF$983,AF$1032,AF$1033,AF$1085,AF$1086))*$AG$8</f>
        <v>37.349347131116531</v>
      </c>
      <c r="AI1019" s="94">
        <f>Table3.110[[#This Row],[Net gas 8-24h, ml]]+Table3.110[[#This Row],[Net gas 8h, ml]]</f>
        <v>75.120576299829906</v>
      </c>
      <c r="AJ1019" s="94">
        <f>Table3.110[[#This Row],[Net gas 8h, ml]]*Table3.110[[#This Row],[CH4 8h %]]%</f>
        <v>5.3257433127885845</v>
      </c>
      <c r="AK1019" s="94">
        <f>Table3.110[[#This Row],[Net gas 8-24h, ml]]*Table3.110[[#This Row],[CH4 24h, %]]%</f>
        <v>6.4240877065520428</v>
      </c>
      <c r="AL1019" s="94">
        <f>Table3.110[[#This Row],[CH4 8-24h, ml]]+Table3.110[[#This Row],[CH4 8h, ml]]</f>
        <v>11.749831019340627</v>
      </c>
      <c r="AM1019" s="94">
        <f>(Table3.110[[#This Row],[Net gas 24h, ml]]/Table3.110[[#This Row],[DM Incubated, mg]])*1000</f>
        <v>160.55804787416625</v>
      </c>
      <c r="AN1019" s="94">
        <f>'3.2 Digest'!X1019</f>
        <v>48.105438025059669</v>
      </c>
      <c r="AO1019" s="94">
        <f>Table3.110[[#This Row],[Digested feed, mg]]/Table3.110[[#This Row],[Net gas 24h, ml]]</f>
        <v>2.9961399420327544</v>
      </c>
      <c r="AP1019" s="94">
        <f>Table3.110[[#This Row],[CH4 8h, ml]]/Table3.110[[#This Row],[Net gas 8h, ml]]%</f>
        <v>14.1</v>
      </c>
      <c r="AQ1019" s="94">
        <f>Table3.110[[#This Row],[CH4 24h, ml]]/Table3.110[[#This Row],[Net gas 24h, ml]]%</f>
        <v>15.641295099285909</v>
      </c>
      <c r="AR1019" s="94">
        <f>Table3.110[[#This Row],[CH4 24h, ml]]/Table3.110[[#This Row],[DM Incubated, mg]]*1000</f>
        <v>25.113358073651092</v>
      </c>
      <c r="AS1019" s="94">
        <f>Table3.110[[#This Row],[CH4 24h, ml]]/Table3.110[[#This Row],[Digested feed, mg]]*1000</f>
        <v>52.20482154339544</v>
      </c>
      <c r="AT1019" s="255">
        <f>Table3.110[[#This Row],[CH4 24h, ml]]/'3.2 Digest'!AA1019</f>
        <v>-0.49090762689389045</v>
      </c>
      <c r="AU1019" s="255">
        <f>((Table3.110[[#This Row],[CH4 24h, ml]]/28.9)*16.04)/Table3.110[[#This Row],[DM Incubated, mg]]*1000</f>
        <v>13.938348218040257</v>
      </c>
      <c r="AV1019" s="255">
        <f>((Table3.110[[#This Row],[CH4 24h, ml]]/28.9)*16.04)/Table3.110[[#This Row],[Digested feed, mg]]*1000</f>
        <v>28.974579154189023</v>
      </c>
    </row>
    <row r="1020" spans="2:48" x14ac:dyDescent="0.35">
      <c r="B1020" s="90">
        <f t="shared" si="15"/>
        <v>1010</v>
      </c>
      <c r="C1020" s="140">
        <v>46064</v>
      </c>
      <c r="D1020" s="6" t="s">
        <v>16</v>
      </c>
      <c r="E1020" s="6" t="s">
        <v>419</v>
      </c>
      <c r="F1020" s="242" t="s">
        <v>264</v>
      </c>
      <c r="G1020" s="242" t="s">
        <v>329</v>
      </c>
      <c r="H1020" s="6" t="s">
        <v>330</v>
      </c>
      <c r="I1020" s="133" t="s">
        <v>22</v>
      </c>
      <c r="J1020" s="135" t="s">
        <v>23</v>
      </c>
      <c r="K1020" s="135" t="s">
        <v>215</v>
      </c>
      <c r="L1020" s="6" t="s">
        <v>418</v>
      </c>
      <c r="M1020" s="256">
        <v>30</v>
      </c>
      <c r="N1020" s="256">
        <v>64</v>
      </c>
      <c r="O1020" s="256">
        <v>1</v>
      </c>
      <c r="P1020" s="257">
        <v>1</v>
      </c>
      <c r="Q1020" s="6">
        <v>144</v>
      </c>
      <c r="R1020" s="98">
        <v>0.50039999999999996</v>
      </c>
      <c r="S1020" s="94">
        <f>((Table3.110[[#This Row],[Sample weight, g]]*'2.1. DM'!Q265)/100)*1000</f>
        <v>472.03582396675404</v>
      </c>
      <c r="T1020" s="94">
        <f>'3.2 Digest'!W1020</f>
        <v>205.83582396675405</v>
      </c>
      <c r="U1020" s="153">
        <v>0.33263888888888887</v>
      </c>
      <c r="V1020" s="154">
        <v>40</v>
      </c>
      <c r="W1020" s="153">
        <v>0.67638888888888893</v>
      </c>
      <c r="X1020" s="95">
        <v>83</v>
      </c>
      <c r="Y1020" s="95">
        <v>15</v>
      </c>
      <c r="Z1020" s="154">
        <v>40</v>
      </c>
      <c r="AA1020" s="153">
        <v>0.34722222222222221</v>
      </c>
      <c r="AB1020" s="154">
        <v>73.5</v>
      </c>
      <c r="AC1020" s="154">
        <v>18.399999999999999</v>
      </c>
      <c r="AD1020" s="91"/>
      <c r="AE1020" s="94">
        <f>Table3.110[[#This Row],[Gas 8h, ml]]-Table3.110[[#This Row],[Gas 0h, ml]]</f>
        <v>43</v>
      </c>
      <c r="AF1020" s="94">
        <f>Table3.110[[#This Row],[Gas 24h, ml]]-Table3.110[[#This Row],[V8 Push back, ml]]</f>
        <v>33.5</v>
      </c>
      <c r="AG1020" s="94">
        <f>Table3.110[[#This Row],[GP 8h, ml]]-(AVERAGE(AE$982,AE$983,AE$1032,AE$1033,AE$1085,AE$1086))*$AG$8</f>
        <v>40.271229168713369</v>
      </c>
      <c r="AH1020" s="94">
        <f>Table3.110[[#This Row],[GP 8-24h, ml]]-(AVERAGE(AF$982,AF$983,AF$1032,AF$1033,AF$1085,AF$1086))*$AG$8</f>
        <v>29.849347131116534</v>
      </c>
      <c r="AI1020" s="94">
        <f>Table3.110[[#This Row],[Net gas 8-24h, ml]]+Table3.110[[#This Row],[Net gas 8h, ml]]</f>
        <v>70.120576299829906</v>
      </c>
      <c r="AJ1020" s="94">
        <f>Table3.110[[#This Row],[Net gas 8h, ml]]*Table3.110[[#This Row],[CH4 8h %]]%</f>
        <v>6.0406843753070047</v>
      </c>
      <c r="AK1020" s="94">
        <f>Table3.110[[#This Row],[Net gas 8-24h, ml]]*Table3.110[[#This Row],[CH4 24h, %]]%</f>
        <v>5.492279872125442</v>
      </c>
      <c r="AL1020" s="94">
        <f>Table3.110[[#This Row],[CH4 8-24h, ml]]+Table3.110[[#This Row],[CH4 8h, ml]]</f>
        <v>11.532964247432446</v>
      </c>
      <c r="AM1020" s="94">
        <f>(Table3.110[[#This Row],[Net gas 24h, ml]]/Table3.110[[#This Row],[DM Incubated, mg]])*1000</f>
        <v>148.54926838088579</v>
      </c>
      <c r="AN1020" s="94">
        <f>'3.2 Digest'!X1020</f>
        <v>43.605975122187182</v>
      </c>
      <c r="AO1020" s="94">
        <f>Table3.110[[#This Row],[Digested feed, mg]]/Table3.110[[#This Row],[Net gas 24h, ml]]</f>
        <v>2.9354553945280872</v>
      </c>
      <c r="AP1020" s="94">
        <f>Table3.110[[#This Row],[CH4 8h, ml]]/Table3.110[[#This Row],[Net gas 8h, ml]]%</f>
        <v>14.999999999999998</v>
      </c>
      <c r="AQ1020" s="94">
        <f>Table3.110[[#This Row],[CH4 24h, ml]]/Table3.110[[#This Row],[Net gas 24h, ml]]%</f>
        <v>16.447332375191021</v>
      </c>
      <c r="AR1020" s="94">
        <f>Table3.110[[#This Row],[CH4 24h, ml]]/Table3.110[[#This Row],[DM Incubated, mg]]*1000</f>
        <v>24.432391911518827</v>
      </c>
      <c r="AS1020" s="94">
        <f>Table3.110[[#This Row],[CH4 24h, ml]]/Table3.110[[#This Row],[Digested feed, mg]]*1000</f>
        <v>56.029917558448005</v>
      </c>
      <c r="AT1020" s="255">
        <f>Table3.110[[#This Row],[CH4 24h, ml]]/'3.2 Digest'!AA1020</f>
        <v>4.0153065485649719</v>
      </c>
      <c r="AU1020" s="255">
        <f>((Table3.110[[#This Row],[CH4 24h, ml]]/28.9)*16.04)/Table3.110[[#This Row],[DM Incubated, mg]]*1000</f>
        <v>13.560400216635362</v>
      </c>
      <c r="AV1020" s="255">
        <f>((Table3.110[[#This Row],[CH4 24h, ml]]/28.9)*16.04)/Table3.110[[#This Row],[Digested feed, mg]]*1000</f>
        <v>31.097573620674947</v>
      </c>
    </row>
    <row r="1021" spans="2:48" x14ac:dyDescent="0.35">
      <c r="B1021" s="90">
        <f t="shared" si="15"/>
        <v>1011</v>
      </c>
      <c r="C1021" s="140">
        <v>46064</v>
      </c>
      <c r="D1021" s="6" t="s">
        <v>16</v>
      </c>
      <c r="E1021" s="6" t="s">
        <v>419</v>
      </c>
      <c r="F1021" s="242" t="s">
        <v>264</v>
      </c>
      <c r="G1021" s="242" t="s">
        <v>329</v>
      </c>
      <c r="H1021" s="6" t="s">
        <v>330</v>
      </c>
      <c r="I1021" s="133" t="s">
        <v>22</v>
      </c>
      <c r="J1021" s="135" t="s">
        <v>23</v>
      </c>
      <c r="K1021" s="135" t="s">
        <v>215</v>
      </c>
      <c r="L1021" s="6" t="s">
        <v>418</v>
      </c>
      <c r="M1021" s="256">
        <v>30</v>
      </c>
      <c r="N1021" s="256">
        <v>64</v>
      </c>
      <c r="O1021" s="256">
        <v>1</v>
      </c>
      <c r="P1021" s="257">
        <v>2</v>
      </c>
      <c r="Q1021" s="129">
        <v>145</v>
      </c>
      <c r="R1021" s="98">
        <v>0.50019999999999998</v>
      </c>
      <c r="S1021" s="94">
        <f>((Table3.110[[#This Row],[Sample weight, g]]*'2.1. DM'!Q265)/100)*1000</f>
        <v>471.84716056788642</v>
      </c>
      <c r="T1021" s="94">
        <f>'3.2 Digest'!W1021</f>
        <v>184.94716056788639</v>
      </c>
      <c r="U1021" s="117">
        <v>0.33263888888888887</v>
      </c>
      <c r="V1021" s="155">
        <v>40.5</v>
      </c>
      <c r="W1021" s="117">
        <v>0.67708333333333337</v>
      </c>
      <c r="X1021" s="97">
        <v>81.5</v>
      </c>
      <c r="Y1021" s="97">
        <v>15.3</v>
      </c>
      <c r="Z1021" s="155">
        <v>40.5</v>
      </c>
      <c r="AA1021" s="117">
        <v>0.34791666666666665</v>
      </c>
      <c r="AB1021" s="155">
        <v>68.5</v>
      </c>
      <c r="AC1021" s="155">
        <v>18.5</v>
      </c>
      <c r="AD1021" s="96"/>
      <c r="AE1021" s="94">
        <f>Table3.110[[#This Row],[Gas 8h, ml]]-Table3.110[[#This Row],[Gas 0h, ml]]</f>
        <v>41</v>
      </c>
      <c r="AF1021" s="94">
        <f>Table3.110[[#This Row],[Gas 24h, ml]]-Table3.110[[#This Row],[V8 Push back, ml]]</f>
        <v>28</v>
      </c>
      <c r="AG1021" s="94">
        <f>Table3.110[[#This Row],[GP 8h, ml]]-(AVERAGE(AE$982,AE$983,AE$1032,AE$1033,AE$1085,AE$1086))*$AG$8</f>
        <v>38.271229168713369</v>
      </c>
      <c r="AH1021" s="94">
        <f>Table3.110[[#This Row],[GP 8-24h, ml]]-(AVERAGE(AF$982,AF$983,AF$1032,AF$1033,AF$1085,AF$1086))*$AG$8</f>
        <v>24.349347131116534</v>
      </c>
      <c r="AI1021" s="94">
        <f>Table3.110[[#This Row],[Net gas 8-24h, ml]]+Table3.110[[#This Row],[Net gas 8h, ml]]</f>
        <v>62.620576299829906</v>
      </c>
      <c r="AJ1021" s="94">
        <f>Table3.110[[#This Row],[Net gas 8h, ml]]*Table3.110[[#This Row],[CH4 8h %]]%</f>
        <v>5.8554980628131457</v>
      </c>
      <c r="AK1021" s="94">
        <f>Table3.110[[#This Row],[Net gas 8-24h, ml]]*Table3.110[[#This Row],[CH4 24h, %]]%</f>
        <v>4.5046292192565591</v>
      </c>
      <c r="AL1021" s="94">
        <f>Table3.110[[#This Row],[CH4 8-24h, ml]]+Table3.110[[#This Row],[CH4 8h, ml]]</f>
        <v>10.360127282069705</v>
      </c>
      <c r="AM1021" s="94">
        <f>(Table3.110[[#This Row],[Net gas 24h, ml]]/Table3.110[[#This Row],[DM Incubated, mg]])*1000</f>
        <v>132.71368683126886</v>
      </c>
      <c r="AN1021" s="94">
        <f>'3.2 Digest'!X1021</f>
        <v>39.19641274206149</v>
      </c>
      <c r="AO1021" s="94">
        <f>Table3.110[[#This Row],[Digested feed, mg]]/Table3.110[[#This Row],[Net gas 24h, ml]]</f>
        <v>2.9534566989986124</v>
      </c>
      <c r="AP1021" s="94">
        <f>Table3.110[[#This Row],[CH4 8h, ml]]/Table3.110[[#This Row],[Net gas 8h, ml]]%</f>
        <v>15.3</v>
      </c>
      <c r="AQ1021" s="94">
        <f>Table3.110[[#This Row],[CH4 24h, ml]]/Table3.110[[#This Row],[Net gas 24h, ml]]%</f>
        <v>16.5442860705481</v>
      </c>
      <c r="AR1021" s="94">
        <f>Table3.110[[#This Row],[CH4 24h, ml]]/Table3.110[[#This Row],[DM Incubated, mg]]*1000</f>
        <v>21.956532004136442</v>
      </c>
      <c r="AS1021" s="94">
        <f>Table3.110[[#This Row],[CH4 24h, ml]]/Table3.110[[#This Row],[Digested feed, mg]]*1000</f>
        <v>56.016687416333355</v>
      </c>
      <c r="AT1021" s="255">
        <f>Table3.110[[#This Row],[CH4 24h, ml]]/'3.2 Digest'!AA1021</f>
        <v>-2.1938432634861673</v>
      </c>
      <c r="AU1021" s="255">
        <f>((Table3.110[[#This Row],[CH4 24h, ml]]/28.9)*16.04)/Table3.110[[#This Row],[DM Incubated, mg]]*1000</f>
        <v>12.186255133091644</v>
      </c>
      <c r="AV1021" s="255">
        <f>((Table3.110[[#This Row],[CH4 24h, ml]]/28.9)*16.04)/Table3.110[[#This Row],[Digested feed, mg]]*1000</f>
        <v>31.090230662906119</v>
      </c>
    </row>
    <row r="1022" spans="2:48" x14ac:dyDescent="0.35">
      <c r="B1022" s="90">
        <f t="shared" si="15"/>
        <v>1012</v>
      </c>
      <c r="C1022" s="140">
        <v>46064</v>
      </c>
      <c r="D1022" s="6" t="s">
        <v>16</v>
      </c>
      <c r="E1022" s="6" t="s">
        <v>419</v>
      </c>
      <c r="F1022" s="242" t="s">
        <v>264</v>
      </c>
      <c r="G1022" s="242" t="s">
        <v>329</v>
      </c>
      <c r="H1022" s="6" t="s">
        <v>330</v>
      </c>
      <c r="I1022" s="133" t="s">
        <v>22</v>
      </c>
      <c r="J1022" s="135" t="s">
        <v>23</v>
      </c>
      <c r="K1022" s="135" t="s">
        <v>215</v>
      </c>
      <c r="L1022" s="6" t="s">
        <v>418</v>
      </c>
      <c r="M1022" s="256">
        <v>30</v>
      </c>
      <c r="N1022" s="256">
        <v>64</v>
      </c>
      <c r="O1022" s="256">
        <v>1</v>
      </c>
      <c r="P1022" s="257">
        <v>3</v>
      </c>
      <c r="Q1022" s="129">
        <v>146</v>
      </c>
      <c r="R1022" s="98">
        <v>0.50039999999999996</v>
      </c>
      <c r="S1022" s="94">
        <f>((Table3.110[[#This Row],[Sample weight, g]]*'2.1. DM'!Q265)/100)*1000</f>
        <v>472.03582396675404</v>
      </c>
      <c r="T1022" s="94">
        <f>'3.2 Digest'!W1022</f>
        <v>202.135823966754</v>
      </c>
      <c r="U1022" s="153">
        <v>0.33333333333333331</v>
      </c>
      <c r="V1022" s="154">
        <v>41</v>
      </c>
      <c r="W1022" s="153">
        <v>0.67708333333333337</v>
      </c>
      <c r="X1022" s="95">
        <v>81.5</v>
      </c>
      <c r="Y1022" s="95">
        <v>15.4</v>
      </c>
      <c r="Z1022" s="154">
        <v>40.5</v>
      </c>
      <c r="AA1022" s="153">
        <v>0.34791666666666665</v>
      </c>
      <c r="AB1022" s="154">
        <v>71.5</v>
      </c>
      <c r="AC1022" s="154">
        <v>18.399999999999999</v>
      </c>
      <c r="AD1022" s="91"/>
      <c r="AE1022" s="94">
        <f>Table3.110[[#This Row],[Gas 8h, ml]]-Table3.110[[#This Row],[Gas 0h, ml]]</f>
        <v>40.5</v>
      </c>
      <c r="AF1022" s="94">
        <f>Table3.110[[#This Row],[Gas 24h, ml]]-Table3.110[[#This Row],[V8 Push back, ml]]</f>
        <v>31</v>
      </c>
      <c r="AG1022" s="94">
        <f>Table3.110[[#This Row],[GP 8h, ml]]-(AVERAGE(AE$982,AE$983,AE$1032,AE$1033,AE$1085,AE$1086))*$AG$8</f>
        <v>37.771229168713369</v>
      </c>
      <c r="AH1022" s="94">
        <f>Table3.110[[#This Row],[GP 8-24h, ml]]-(AVERAGE(AF$982,AF$983,AF$1032,AF$1033,AF$1085,AF$1086))*$AG$8</f>
        <v>27.349347131116534</v>
      </c>
      <c r="AI1022" s="94">
        <f>Table3.110[[#This Row],[Net gas 8-24h, ml]]+Table3.110[[#This Row],[Net gas 8h, ml]]</f>
        <v>65.120576299829906</v>
      </c>
      <c r="AJ1022" s="94">
        <f>Table3.110[[#This Row],[Net gas 8h, ml]]*Table3.110[[#This Row],[CH4 8h %]]%</f>
        <v>5.816769291981859</v>
      </c>
      <c r="AK1022" s="94">
        <f>Table3.110[[#This Row],[Net gas 8-24h, ml]]*Table3.110[[#This Row],[CH4 24h, %]]%</f>
        <v>5.032279872125442</v>
      </c>
      <c r="AL1022" s="94">
        <f>Table3.110[[#This Row],[CH4 8-24h, ml]]+Table3.110[[#This Row],[CH4 8h, ml]]</f>
        <v>10.849049164107301</v>
      </c>
      <c r="AM1022" s="94">
        <f>(Table3.110[[#This Row],[Net gas 24h, ml]]/Table3.110[[#This Row],[DM Incubated, mg]])*1000</f>
        <v>137.95685198760765</v>
      </c>
      <c r="AN1022" s="94">
        <f>'3.2 Digest'!X1022</f>
        <v>42.822136309084591</v>
      </c>
      <c r="AO1022" s="94">
        <f>Table3.110[[#This Row],[Digested feed, mg]]/Table3.110[[#This Row],[Net gas 24h, ml]]</f>
        <v>3.1040238808095739</v>
      </c>
      <c r="AP1022" s="94">
        <f>Table3.110[[#This Row],[CH4 8h, ml]]/Table3.110[[#This Row],[Net gas 8h, ml]]%</f>
        <v>15.400000000000002</v>
      </c>
      <c r="AQ1022" s="94">
        <f>Table3.110[[#This Row],[CH4 24h, ml]]/Table3.110[[#This Row],[Net gas 24h, ml]]%</f>
        <v>16.65994034536153</v>
      </c>
      <c r="AR1022" s="94">
        <f>Table3.110[[#This Row],[CH4 24h, ml]]/Table3.110[[#This Row],[DM Incubated, mg]]*1000</f>
        <v>22.983529243474134</v>
      </c>
      <c r="AS1022" s="94">
        <f>Table3.110[[#This Row],[CH4 24h, ml]]/Table3.110[[#This Row],[Digested feed, mg]]*1000</f>
        <v>53.672075296715747</v>
      </c>
      <c r="AT1022" s="255">
        <f>Table3.110[[#This Row],[CH4 24h, ml]]/'3.2 Digest'!AA1022</f>
        <v>7.1270295670813919</v>
      </c>
      <c r="AU1022" s="255">
        <f>((Table3.110[[#This Row],[CH4 24h, ml]]/28.9)*16.04)/Table3.110[[#This Row],[DM Incubated, mg]]*1000</f>
        <v>12.756256369042392</v>
      </c>
      <c r="AV1022" s="255">
        <f>((Table3.110[[#This Row],[CH4 24h, ml]]/28.9)*16.04)/Table3.110[[#This Row],[Digested feed, mg]]*1000</f>
        <v>29.788930372294832</v>
      </c>
    </row>
    <row r="1023" spans="2:48" x14ac:dyDescent="0.35">
      <c r="B1023" s="90">
        <f t="shared" si="15"/>
        <v>1013</v>
      </c>
      <c r="C1023" s="140">
        <v>46064</v>
      </c>
      <c r="D1023" s="6" t="s">
        <v>16</v>
      </c>
      <c r="E1023" s="6" t="s">
        <v>421</v>
      </c>
      <c r="F1023" s="242" t="s">
        <v>264</v>
      </c>
      <c r="G1023" s="242" t="s">
        <v>265</v>
      </c>
      <c r="H1023" s="6" t="s">
        <v>266</v>
      </c>
      <c r="I1023" s="133" t="s">
        <v>22</v>
      </c>
      <c r="J1023" s="135" t="s">
        <v>23</v>
      </c>
      <c r="K1023" s="135" t="s">
        <v>215</v>
      </c>
      <c r="L1023" s="6" t="s">
        <v>420</v>
      </c>
      <c r="M1023" s="256">
        <v>30</v>
      </c>
      <c r="N1023" s="256">
        <v>64</v>
      </c>
      <c r="O1023" s="256">
        <v>1</v>
      </c>
      <c r="P1023" s="257">
        <v>1</v>
      </c>
      <c r="Q1023" s="6">
        <v>147</v>
      </c>
      <c r="R1023" s="98">
        <v>0.50039999999999996</v>
      </c>
      <c r="S1023" s="94">
        <f>((Table3.110[[#This Row],[Sample weight, g]]*'2.1. DM'!Q267)/100)*1000</f>
        <v>480.61709316273499</v>
      </c>
      <c r="T1023" s="94">
        <f>'3.2 Digest'!W1023</f>
        <v>209.61709316273499</v>
      </c>
      <c r="U1023" s="117">
        <v>0.33333333333333331</v>
      </c>
      <c r="V1023" s="155">
        <v>40.5</v>
      </c>
      <c r="W1023" s="117">
        <v>0.67777777777777781</v>
      </c>
      <c r="X1023" s="97">
        <v>82.5</v>
      </c>
      <c r="Y1023" s="97">
        <v>12.9</v>
      </c>
      <c r="Z1023" s="155">
        <v>40.5</v>
      </c>
      <c r="AA1023" s="117">
        <v>0.34861111111111109</v>
      </c>
      <c r="AB1023" s="155">
        <v>72.5</v>
      </c>
      <c r="AC1023" s="155">
        <v>18.399999999999999</v>
      </c>
      <c r="AD1023" s="96"/>
      <c r="AE1023" s="94">
        <f>Table3.110[[#This Row],[Gas 8h, ml]]-Table3.110[[#This Row],[Gas 0h, ml]]</f>
        <v>42</v>
      </c>
      <c r="AF1023" s="94">
        <f>Table3.110[[#This Row],[Gas 24h, ml]]-Table3.110[[#This Row],[V8 Push back, ml]]</f>
        <v>32</v>
      </c>
      <c r="AG1023" s="94">
        <f>Table3.110[[#This Row],[GP 8h, ml]]-(AVERAGE(AE$982,AE$983,AE$1032,AE$1033,AE$1085,AE$1086))*$AG$8</f>
        <v>39.271229168713369</v>
      </c>
      <c r="AH1023" s="94">
        <f>Table3.110[[#This Row],[GP 8-24h, ml]]-(AVERAGE(AF$982,AF$983,AF$1032,AF$1033,AF$1085,AF$1086))*$AG$8</f>
        <v>28.349347131116534</v>
      </c>
      <c r="AI1023" s="94">
        <f>Table3.110[[#This Row],[Net gas 8-24h, ml]]+Table3.110[[#This Row],[Net gas 8h, ml]]</f>
        <v>67.620576299829906</v>
      </c>
      <c r="AJ1023" s="94">
        <f>Table3.110[[#This Row],[Net gas 8h, ml]]*Table3.110[[#This Row],[CH4 8h %]]%</f>
        <v>5.0659885627640246</v>
      </c>
      <c r="AK1023" s="94">
        <f>Table3.110[[#This Row],[Net gas 8-24h, ml]]*Table3.110[[#This Row],[CH4 24h, %]]%</f>
        <v>5.2162798721254422</v>
      </c>
      <c r="AL1023" s="94">
        <f>Table3.110[[#This Row],[CH4 8-24h, ml]]+Table3.110[[#This Row],[CH4 8h, ml]]</f>
        <v>10.282268434889467</v>
      </c>
      <c r="AM1023" s="94">
        <f>(Table3.110[[#This Row],[Net gas 24h, ml]]/Table3.110[[#This Row],[DM Incubated, mg]])*1000</f>
        <v>140.69532120642629</v>
      </c>
      <c r="AN1023" s="94">
        <f>'3.2 Digest'!X1023</f>
        <v>43.614156913008394</v>
      </c>
      <c r="AO1023" s="94">
        <f>Table3.110[[#This Row],[Digested feed, mg]]/Table3.110[[#This Row],[Net gas 24h, ml]]</f>
        <v>3.0999010158282587</v>
      </c>
      <c r="AP1023" s="94">
        <f>Table3.110[[#This Row],[CH4 8h, ml]]/Table3.110[[#This Row],[Net gas 8h, ml]]%</f>
        <v>12.9</v>
      </c>
      <c r="AQ1023" s="94">
        <f>Table3.110[[#This Row],[CH4 24h, ml]]/Table3.110[[#This Row],[Net gas 24h, ml]]%</f>
        <v>15.205827867094548</v>
      </c>
      <c r="AR1023" s="94">
        <f>Table3.110[[#This Row],[CH4 24h, ml]]/Table3.110[[#This Row],[DM Incubated, mg]]*1000</f>
        <v>21.393888359704953</v>
      </c>
      <c r="AS1023" s="94">
        <f>Table3.110[[#This Row],[CH4 24h, ml]]/Table3.110[[#This Row],[Digested feed, mg]]*1000</f>
        <v>49.052623904611103</v>
      </c>
      <c r="AT1023" s="255">
        <f>Table3.110[[#This Row],[CH4 24h, ml]]/'3.2 Digest'!AA1023</f>
        <v>1.2394003862651342</v>
      </c>
      <c r="AU1023" s="255">
        <f>((Table3.110[[#This Row],[CH4 24h, ml]]/28.9)*16.04)/Table3.110[[#This Row],[DM Incubated, mg]]*1000</f>
        <v>11.873978176113059</v>
      </c>
      <c r="AV1023" s="255">
        <f>((Table3.110[[#This Row],[CH4 24h, ml]]/28.9)*16.04)/Table3.110[[#This Row],[Digested feed, mg]]*1000</f>
        <v>27.225054928372391</v>
      </c>
    </row>
    <row r="1024" spans="2:48" x14ac:dyDescent="0.35">
      <c r="B1024" s="90">
        <f t="shared" si="15"/>
        <v>1014</v>
      </c>
      <c r="C1024" s="140">
        <v>46064</v>
      </c>
      <c r="D1024" s="6" t="s">
        <v>16</v>
      </c>
      <c r="E1024" s="6" t="s">
        <v>421</v>
      </c>
      <c r="F1024" s="242" t="s">
        <v>264</v>
      </c>
      <c r="G1024" s="242" t="s">
        <v>265</v>
      </c>
      <c r="H1024" s="6" t="s">
        <v>266</v>
      </c>
      <c r="I1024" s="133" t="s">
        <v>22</v>
      </c>
      <c r="J1024" s="135" t="s">
        <v>23</v>
      </c>
      <c r="K1024" s="135" t="s">
        <v>215</v>
      </c>
      <c r="L1024" s="6" t="s">
        <v>420</v>
      </c>
      <c r="M1024" s="256">
        <v>30</v>
      </c>
      <c r="N1024" s="256">
        <v>64</v>
      </c>
      <c r="O1024" s="256">
        <v>1</v>
      </c>
      <c r="P1024" s="257">
        <v>2</v>
      </c>
      <c r="Q1024" s="129">
        <v>148</v>
      </c>
      <c r="R1024" s="98">
        <v>0.50009999999999999</v>
      </c>
      <c r="S1024" s="94">
        <f>((Table3.110[[#This Row],[Sample weight, g]]*'2.1. DM'!Q267)/100)*1000</f>
        <v>480.32895341863269</v>
      </c>
      <c r="T1024" s="94">
        <f>'3.2 Digest'!W1024</f>
        <v>203.62895341863265</v>
      </c>
      <c r="U1024" s="153">
        <v>0.33333333333333331</v>
      </c>
      <c r="V1024" s="154">
        <v>40.5</v>
      </c>
      <c r="W1024" s="153">
        <v>0.67847222222222225</v>
      </c>
      <c r="X1024" s="95">
        <v>82</v>
      </c>
      <c r="Y1024" s="95">
        <v>15</v>
      </c>
      <c r="Z1024" s="154">
        <v>40.5</v>
      </c>
      <c r="AA1024" s="153">
        <v>0.34861111111111109</v>
      </c>
      <c r="AB1024" s="154">
        <v>73.5</v>
      </c>
      <c r="AC1024" s="154">
        <v>18.5</v>
      </c>
      <c r="AD1024" s="91"/>
      <c r="AE1024" s="94">
        <f>Table3.110[[#This Row],[Gas 8h, ml]]-Table3.110[[#This Row],[Gas 0h, ml]]</f>
        <v>41.5</v>
      </c>
      <c r="AF1024" s="94">
        <f>Table3.110[[#This Row],[Gas 24h, ml]]-Table3.110[[#This Row],[V8 Push back, ml]]</f>
        <v>33</v>
      </c>
      <c r="AG1024" s="94">
        <f>Table3.110[[#This Row],[GP 8h, ml]]-(AVERAGE(AE$982,AE$983,AE$1032,AE$1033,AE$1085,AE$1086))*$AG$8</f>
        <v>38.771229168713369</v>
      </c>
      <c r="AH1024" s="94">
        <f>Table3.110[[#This Row],[GP 8-24h, ml]]-(AVERAGE(AF$982,AF$983,AF$1032,AF$1033,AF$1085,AF$1086))*$AG$8</f>
        <v>29.349347131116534</v>
      </c>
      <c r="AI1024" s="94">
        <f>Table3.110[[#This Row],[Net gas 8-24h, ml]]+Table3.110[[#This Row],[Net gas 8h, ml]]</f>
        <v>68.120576299829906</v>
      </c>
      <c r="AJ1024" s="94">
        <f>Table3.110[[#This Row],[Net gas 8h, ml]]*Table3.110[[#This Row],[CH4 8h %]]%</f>
        <v>5.8156843753070051</v>
      </c>
      <c r="AK1024" s="94">
        <f>Table3.110[[#This Row],[Net gas 8-24h, ml]]*Table3.110[[#This Row],[CH4 24h, %]]%</f>
        <v>5.4296292192565589</v>
      </c>
      <c r="AL1024" s="94">
        <f>Table3.110[[#This Row],[CH4 8-24h, ml]]+Table3.110[[#This Row],[CH4 8h, ml]]</f>
        <v>11.245313594563564</v>
      </c>
      <c r="AM1024" s="94">
        <f>(Table3.110[[#This Row],[Net gas 24h, ml]]/Table3.110[[#This Row],[DM Incubated, mg]])*1000</f>
        <v>141.82067480004505</v>
      </c>
      <c r="AN1024" s="94">
        <f>'3.2 Digest'!X1024</f>
        <v>42.39364543181285</v>
      </c>
      <c r="AO1024" s="94">
        <f>Table3.110[[#This Row],[Digested feed, mg]]/Table3.110[[#This Row],[Net gas 24h, ml]]</f>
        <v>2.9892429641576754</v>
      </c>
      <c r="AP1024" s="94">
        <f>Table3.110[[#This Row],[CH4 8h, ml]]/Table3.110[[#This Row],[Net gas 8h, ml]]%</f>
        <v>15</v>
      </c>
      <c r="AQ1024" s="94">
        <f>Table3.110[[#This Row],[CH4 24h, ml]]/Table3.110[[#This Row],[Net gas 24h, ml]]%</f>
        <v>16.507954285453753</v>
      </c>
      <c r="AR1024" s="94">
        <f>Table3.110[[#This Row],[CH4 24h, ml]]/Table3.110[[#This Row],[DM Incubated, mg]]*1000</f>
        <v>23.411692163313472</v>
      </c>
      <c r="AS1024" s="94">
        <f>Table3.110[[#This Row],[CH4 24h, ml]]/Table3.110[[#This Row],[Digested feed, mg]]*1000</f>
        <v>55.224531707162349</v>
      </c>
      <c r="AT1024" s="255">
        <f>Table3.110[[#This Row],[CH4 24h, ml]]/'3.2 Digest'!AA1024</f>
        <v>1.7818114552432283</v>
      </c>
      <c r="AU1024" s="255">
        <f>((Table3.110[[#This Row],[CH4 24h, ml]]/28.9)*16.04)/Table3.110[[#This Row],[DM Incubated, mg]]*1000</f>
        <v>12.993894197216195</v>
      </c>
      <c r="AV1024" s="255">
        <f>((Table3.110[[#This Row],[CH4 24h, ml]]/28.9)*16.04)/Table3.110[[#This Row],[Digested feed, mg]]*1000</f>
        <v>30.650570539200142</v>
      </c>
    </row>
    <row r="1025" spans="2:48" x14ac:dyDescent="0.35">
      <c r="B1025" s="90">
        <f t="shared" si="15"/>
        <v>1015</v>
      </c>
      <c r="C1025" s="140">
        <v>46064</v>
      </c>
      <c r="D1025" s="6" t="s">
        <v>16</v>
      </c>
      <c r="E1025" s="6" t="s">
        <v>421</v>
      </c>
      <c r="F1025" s="242" t="s">
        <v>264</v>
      </c>
      <c r="G1025" s="242" t="s">
        <v>265</v>
      </c>
      <c r="H1025" s="6" t="s">
        <v>266</v>
      </c>
      <c r="I1025" s="133" t="s">
        <v>22</v>
      </c>
      <c r="J1025" s="135" t="s">
        <v>23</v>
      </c>
      <c r="K1025" s="135" t="s">
        <v>215</v>
      </c>
      <c r="L1025" s="6" t="s">
        <v>420</v>
      </c>
      <c r="M1025" s="256">
        <v>30</v>
      </c>
      <c r="N1025" s="256">
        <v>64</v>
      </c>
      <c r="O1025" s="256">
        <v>1</v>
      </c>
      <c r="P1025" s="257">
        <v>3</v>
      </c>
      <c r="Q1025" s="129">
        <v>149</v>
      </c>
      <c r="R1025" s="98">
        <v>0.50029999999999997</v>
      </c>
      <c r="S1025" s="94">
        <f>((Table3.110[[#This Row],[Sample weight, g]]*'2.1. DM'!Q267)/100)*1000</f>
        <v>480.52104658136756</v>
      </c>
      <c r="T1025" s="94">
        <f>'3.2 Digest'!W1025</f>
        <v>189.32104658136757</v>
      </c>
      <c r="U1025" s="117">
        <v>0.33402777777777776</v>
      </c>
      <c r="V1025" s="155">
        <v>40</v>
      </c>
      <c r="W1025" s="117">
        <v>0.67847222222222225</v>
      </c>
      <c r="X1025" s="97">
        <v>82</v>
      </c>
      <c r="Y1025" s="97">
        <v>15.4</v>
      </c>
      <c r="Z1025" s="155">
        <v>40.5</v>
      </c>
      <c r="AA1025" s="117">
        <v>0.34861111111111109</v>
      </c>
      <c r="AB1025" s="155">
        <v>74.5</v>
      </c>
      <c r="AC1025" s="155">
        <v>18.3</v>
      </c>
      <c r="AD1025" s="96"/>
      <c r="AE1025" s="94">
        <f>Table3.110[[#This Row],[Gas 8h, ml]]-Table3.110[[#This Row],[Gas 0h, ml]]</f>
        <v>42</v>
      </c>
      <c r="AF1025" s="94">
        <f>Table3.110[[#This Row],[Gas 24h, ml]]-Table3.110[[#This Row],[V8 Push back, ml]]</f>
        <v>34</v>
      </c>
      <c r="AG1025" s="94">
        <f>Table3.110[[#This Row],[GP 8h, ml]]-(AVERAGE(AE$982,AE$983,AE$1032,AE$1033,AE$1085,AE$1086))*$AG$8</f>
        <v>39.271229168713369</v>
      </c>
      <c r="AH1025" s="94">
        <f>Table3.110[[#This Row],[GP 8-24h, ml]]-(AVERAGE(AF$982,AF$983,AF$1032,AF$1033,AF$1085,AF$1086))*$AG$8</f>
        <v>30.349347131116534</v>
      </c>
      <c r="AI1025" s="94">
        <f>Table3.110[[#This Row],[Net gas 8-24h, ml]]+Table3.110[[#This Row],[Net gas 8h, ml]]</f>
        <v>69.620576299829906</v>
      </c>
      <c r="AJ1025" s="94">
        <f>Table3.110[[#This Row],[Net gas 8h, ml]]*Table3.110[[#This Row],[CH4 8h %]]%</f>
        <v>6.0477692919818589</v>
      </c>
      <c r="AK1025" s="94">
        <f>Table3.110[[#This Row],[Net gas 8-24h, ml]]*Table3.110[[#This Row],[CH4 24h, %]]%</f>
        <v>5.5539305249943256</v>
      </c>
      <c r="AL1025" s="94">
        <f>Table3.110[[#This Row],[CH4 8-24h, ml]]+Table3.110[[#This Row],[CH4 8h, ml]]</f>
        <v>11.601699816976184</v>
      </c>
      <c r="AM1025" s="94">
        <f>(Table3.110[[#This Row],[Net gas 24h, ml]]/Table3.110[[#This Row],[DM Incubated, mg]])*1000</f>
        <v>144.88559199464933</v>
      </c>
      <c r="AN1025" s="94">
        <f>'3.2 Digest'!X1025</f>
        <v>39.399116423365541</v>
      </c>
      <c r="AO1025" s="94">
        <f>Table3.110[[#This Row],[Digested feed, mg]]/Table3.110[[#This Row],[Net gas 24h, ml]]</f>
        <v>2.7193260476045515</v>
      </c>
      <c r="AP1025" s="94">
        <f>Table3.110[[#This Row],[CH4 8h, ml]]/Table3.110[[#This Row],[Net gas 8h, ml]]%</f>
        <v>15.4</v>
      </c>
      <c r="AQ1025" s="94">
        <f>Table3.110[[#This Row],[CH4 24h, ml]]/Table3.110[[#This Row],[Net gas 24h, ml]]%</f>
        <v>16.664182392015807</v>
      </c>
      <c r="AR1025" s="94">
        <f>Table3.110[[#This Row],[CH4 24h, ml]]/Table3.110[[#This Row],[DM Incubated, mg]]*1000</f>
        <v>24.143999309740217</v>
      </c>
      <c r="AS1025" s="94">
        <f>Table3.110[[#This Row],[CH4 24h, ml]]/Table3.110[[#This Row],[Digested feed, mg]]*1000</f>
        <v>61.2805603310984</v>
      </c>
      <c r="AT1025" s="255">
        <f>Table3.110[[#This Row],[CH4 24h, ml]]/'3.2 Digest'!AA1025</f>
        <v>8.0512639421830254</v>
      </c>
      <c r="AU1025" s="255">
        <f>((Table3.110[[#This Row],[CH4 24h, ml]]/28.9)*16.04)/Table3.110[[#This Row],[DM Incubated, mg]]*1000</f>
        <v>13.400337333156855</v>
      </c>
      <c r="AV1025" s="255">
        <f>((Table3.110[[#This Row],[CH4 24h, ml]]/28.9)*16.04)/Table3.110[[#This Row],[Digested feed, mg]]*1000</f>
        <v>34.011771201066374</v>
      </c>
    </row>
    <row r="1026" spans="2:48" x14ac:dyDescent="0.35">
      <c r="B1026" s="90">
        <f t="shared" si="15"/>
        <v>1016</v>
      </c>
      <c r="C1026" s="140">
        <v>46064</v>
      </c>
      <c r="D1026" s="6" t="s">
        <v>16</v>
      </c>
      <c r="E1026" s="6" t="s">
        <v>423</v>
      </c>
      <c r="F1026" s="242" t="s">
        <v>212</v>
      </c>
      <c r="G1026" s="242" t="s">
        <v>424</v>
      </c>
      <c r="H1026" s="6" t="s">
        <v>425</v>
      </c>
      <c r="I1026" s="133" t="s">
        <v>22</v>
      </c>
      <c r="J1026" s="135" t="s">
        <v>23</v>
      </c>
      <c r="K1026" s="135" t="s">
        <v>215</v>
      </c>
      <c r="L1026" s="6" t="s">
        <v>422</v>
      </c>
      <c r="M1026" s="256">
        <v>30</v>
      </c>
      <c r="N1026" s="256">
        <v>64</v>
      </c>
      <c r="O1026" s="256">
        <v>1</v>
      </c>
      <c r="P1026" s="257">
        <v>1</v>
      </c>
      <c r="Q1026" s="6">
        <v>150</v>
      </c>
      <c r="R1026" s="98">
        <v>0.5</v>
      </c>
      <c r="S1026" s="94">
        <f>((Table3.110[[#This Row],[Sample weight, g]]*'2.1. DM'!Q269)/100)*1000</f>
        <v>466.63665767596115</v>
      </c>
      <c r="T1026" s="94">
        <f>'3.2 Digest'!W1026</f>
        <v>175.03665767596118</v>
      </c>
      <c r="U1026" s="153">
        <v>0.33402777777777776</v>
      </c>
      <c r="V1026" s="154">
        <v>40.5</v>
      </c>
      <c r="W1026" s="153">
        <v>0.6791666666666667</v>
      </c>
      <c r="X1026" s="95">
        <v>78.5</v>
      </c>
      <c r="Y1026" s="95">
        <v>12.9</v>
      </c>
      <c r="Z1026" s="154">
        <v>40.5</v>
      </c>
      <c r="AA1026" s="153">
        <v>0.34930555555555554</v>
      </c>
      <c r="AB1026" s="154">
        <v>69</v>
      </c>
      <c r="AC1026" s="154">
        <v>16.600000000000001</v>
      </c>
      <c r="AD1026" s="91"/>
      <c r="AE1026" s="94">
        <f>Table3.110[[#This Row],[Gas 8h, ml]]-Table3.110[[#This Row],[Gas 0h, ml]]</f>
        <v>38</v>
      </c>
      <c r="AF1026" s="94">
        <f>Table3.110[[#This Row],[Gas 24h, ml]]-Table3.110[[#This Row],[V8 Push back, ml]]</f>
        <v>28.5</v>
      </c>
      <c r="AG1026" s="94">
        <f>Table3.110[[#This Row],[GP 8h, ml]]-(AVERAGE(AE$982,AE$983,AE$1032,AE$1033,AE$1085,AE$1086))*$AG$8</f>
        <v>35.271229168713369</v>
      </c>
      <c r="AH1026" s="94">
        <f>Table3.110[[#This Row],[GP 8-24h, ml]]-(AVERAGE(AF$982,AF$983,AF$1032,AF$1033,AF$1085,AF$1086))*$AG$8</f>
        <v>24.849347131116534</v>
      </c>
      <c r="AI1026" s="94">
        <f>Table3.110[[#This Row],[Net gas 8-24h, ml]]+Table3.110[[#This Row],[Net gas 8h, ml]]</f>
        <v>60.120576299829906</v>
      </c>
      <c r="AJ1026" s="94">
        <f>Table3.110[[#This Row],[Net gas 8h, ml]]*Table3.110[[#This Row],[CH4 8h %]]%</f>
        <v>4.5499885627640246</v>
      </c>
      <c r="AK1026" s="94">
        <f>Table3.110[[#This Row],[Net gas 8-24h, ml]]*Table3.110[[#This Row],[CH4 24h, %]]%</f>
        <v>4.1249916237653448</v>
      </c>
      <c r="AL1026" s="94">
        <f>Table3.110[[#This Row],[CH4 8-24h, ml]]+Table3.110[[#This Row],[CH4 8h, ml]]</f>
        <v>8.6749801865293694</v>
      </c>
      <c r="AM1026" s="94">
        <f>(Table3.110[[#This Row],[Net gas 24h, ml]]/Table3.110[[#This Row],[DM Incubated, mg]])*1000</f>
        <v>128.8380912876726</v>
      </c>
      <c r="AN1026" s="94">
        <f>'3.2 Digest'!X1026</f>
        <v>37.510267313269892</v>
      </c>
      <c r="AO1026" s="94">
        <f>Table3.110[[#This Row],[Digested feed, mg]]/Table3.110[[#This Row],[Net gas 24h, ml]]</f>
        <v>2.9114268100662968</v>
      </c>
      <c r="AP1026" s="94">
        <f>Table3.110[[#This Row],[CH4 8h, ml]]/Table3.110[[#This Row],[Net gas 8h, ml]]%</f>
        <v>12.9</v>
      </c>
      <c r="AQ1026" s="94">
        <f>Table3.110[[#This Row],[CH4 24h, ml]]/Table3.110[[#This Row],[Net gas 24h, ml]]%</f>
        <v>14.429303111244316</v>
      </c>
      <c r="AR1026" s="94">
        <f>Table3.110[[#This Row],[CH4 24h, ml]]/Table3.110[[#This Row],[DM Incubated, mg]]*1000</f>
        <v>18.59043871463993</v>
      </c>
      <c r="AS1026" s="94">
        <f>Table3.110[[#This Row],[CH4 24h, ml]]/Table3.110[[#This Row],[Digested feed, mg]]*1000</f>
        <v>49.560933702179327</v>
      </c>
      <c r="AT1026" s="255">
        <f>Table3.110[[#This Row],[CH4 24h, ml]]/'3.2 Digest'!AA1026</f>
        <v>-0.70482371112710818</v>
      </c>
      <c r="AU1026" s="255">
        <f>((Table3.110[[#This Row],[CH4 24h, ml]]/28.9)*16.04)/Table3.110[[#This Row],[DM Incubated, mg]]*1000</f>
        <v>10.318015120512959</v>
      </c>
      <c r="AV1026" s="255">
        <f>((Table3.110[[#This Row],[CH4 24h, ml]]/28.9)*16.04)/Table3.110[[#This Row],[Digested feed, mg]]*1000</f>
        <v>27.507175660309905</v>
      </c>
    </row>
    <row r="1027" spans="2:48" x14ac:dyDescent="0.35">
      <c r="B1027" s="90">
        <f t="shared" si="15"/>
        <v>1017</v>
      </c>
      <c r="C1027" s="140">
        <v>46064</v>
      </c>
      <c r="D1027" s="6" t="s">
        <v>16</v>
      </c>
      <c r="E1027" s="6" t="s">
        <v>423</v>
      </c>
      <c r="F1027" s="242" t="s">
        <v>212</v>
      </c>
      <c r="G1027" s="242" t="s">
        <v>424</v>
      </c>
      <c r="H1027" s="6" t="s">
        <v>425</v>
      </c>
      <c r="I1027" s="133" t="s">
        <v>22</v>
      </c>
      <c r="J1027" s="135" t="s">
        <v>23</v>
      </c>
      <c r="K1027" s="135" t="s">
        <v>215</v>
      </c>
      <c r="L1027" s="6" t="s">
        <v>422</v>
      </c>
      <c r="M1027" s="256">
        <v>30</v>
      </c>
      <c r="N1027" s="256">
        <v>64</v>
      </c>
      <c r="O1027" s="256">
        <v>1</v>
      </c>
      <c r="P1027" s="257">
        <v>2</v>
      </c>
      <c r="Q1027" s="129">
        <v>151</v>
      </c>
      <c r="R1027" s="98">
        <v>0.50009999999999999</v>
      </c>
      <c r="S1027" s="94">
        <f>((Table3.110[[#This Row],[Sample weight, g]]*'2.1. DM'!Q269)/100)*1000</f>
        <v>466.72998500749634</v>
      </c>
      <c r="T1027" s="94">
        <f>'3.2 Digest'!W1027</f>
        <v>187.8299850074963</v>
      </c>
      <c r="U1027" s="117">
        <v>0.33402777777777776</v>
      </c>
      <c r="V1027" s="155">
        <v>41</v>
      </c>
      <c r="W1027" s="117">
        <v>0.67986111111111114</v>
      </c>
      <c r="X1027" s="97">
        <v>78.5</v>
      </c>
      <c r="Y1027" s="97">
        <v>13.1</v>
      </c>
      <c r="Z1027" s="155">
        <v>41</v>
      </c>
      <c r="AA1027" s="117">
        <v>0.35</v>
      </c>
      <c r="AB1027" s="155">
        <v>70</v>
      </c>
      <c r="AC1027" s="155">
        <v>16.100000000000001</v>
      </c>
      <c r="AD1027" s="96"/>
      <c r="AE1027" s="94">
        <f>Table3.110[[#This Row],[Gas 8h, ml]]-Table3.110[[#This Row],[Gas 0h, ml]]</f>
        <v>37.5</v>
      </c>
      <c r="AF1027" s="94">
        <f>Table3.110[[#This Row],[Gas 24h, ml]]-Table3.110[[#This Row],[V8 Push back, ml]]</f>
        <v>29</v>
      </c>
      <c r="AG1027" s="94">
        <f>Table3.110[[#This Row],[GP 8h, ml]]-(AVERAGE(AE$982,AE$983,AE$1032,AE$1033,AE$1085,AE$1086))*$AG$8</f>
        <v>34.771229168713369</v>
      </c>
      <c r="AH1027" s="94">
        <f>Table3.110[[#This Row],[GP 8-24h, ml]]-(AVERAGE(AF$982,AF$983,AF$1032,AF$1033,AF$1085,AF$1086))*$AG$8</f>
        <v>25.349347131116534</v>
      </c>
      <c r="AI1027" s="94">
        <f>Table3.110[[#This Row],[Net gas 8-24h, ml]]+Table3.110[[#This Row],[Net gas 8h, ml]]</f>
        <v>60.120576299829906</v>
      </c>
      <c r="AJ1027" s="94">
        <f>Table3.110[[#This Row],[Net gas 8h, ml]]*Table3.110[[#This Row],[CH4 8h %]]%</f>
        <v>4.5550310211014517</v>
      </c>
      <c r="AK1027" s="94">
        <f>Table3.110[[#This Row],[Net gas 8-24h, ml]]*Table3.110[[#This Row],[CH4 24h, %]]%</f>
        <v>4.0812448881097625</v>
      </c>
      <c r="AL1027" s="94">
        <f>Table3.110[[#This Row],[CH4 8-24h, ml]]+Table3.110[[#This Row],[CH4 8h, ml]]</f>
        <v>8.6362759092112142</v>
      </c>
      <c r="AM1027" s="94">
        <f>(Table3.110[[#This Row],[Net gas 24h, ml]]/Table3.110[[#This Row],[DM Incubated, mg]])*1000</f>
        <v>128.81232882190821</v>
      </c>
      <c r="AN1027" s="94">
        <f>'3.2 Digest'!X1027</f>
        <v>40.243822132936131</v>
      </c>
      <c r="AO1027" s="94">
        <f>Table3.110[[#This Row],[Digested feed, mg]]/Table3.110[[#This Row],[Net gas 24h, ml]]</f>
        <v>3.1242212993894358</v>
      </c>
      <c r="AP1027" s="94">
        <f>Table3.110[[#This Row],[CH4 8h, ml]]/Table3.110[[#This Row],[Net gas 8h, ml]]%</f>
        <v>13.100000000000001</v>
      </c>
      <c r="AQ1027" s="94">
        <f>Table3.110[[#This Row],[CH4 24h, ml]]/Table3.110[[#This Row],[Net gas 24h, ml]]%</f>
        <v>14.364925356238889</v>
      </c>
      <c r="AR1027" s="94">
        <f>Table3.110[[#This Row],[CH4 24h, ml]]/Table3.110[[#This Row],[DM Incubated, mg]]*1000</f>
        <v>18.503794884900106</v>
      </c>
      <c r="AS1027" s="94">
        <f>Table3.110[[#This Row],[CH4 24h, ml]]/Table3.110[[#This Row],[Digested feed, mg]]*1000</f>
        <v>45.979218434514273</v>
      </c>
      <c r="AT1027" s="255">
        <f>Table3.110[[#This Row],[CH4 24h, ml]]/'3.2 Digest'!AA1027</f>
        <v>-1.1678209901484129</v>
      </c>
      <c r="AU1027" s="255">
        <f>((Table3.110[[#This Row],[CH4 24h, ml]]/28.9)*16.04)/Table3.110[[#This Row],[DM Incubated, mg]]*1000</f>
        <v>10.269926295979159</v>
      </c>
      <c r="AV1027" s="255">
        <f>((Table3.110[[#This Row],[CH4 24h, ml]]/28.9)*16.04)/Table3.110[[#This Row],[Digested feed, mg]]*1000</f>
        <v>25.519261719363634</v>
      </c>
    </row>
    <row r="1028" spans="2:48" x14ac:dyDescent="0.35">
      <c r="B1028" s="90">
        <f t="shared" si="15"/>
        <v>1018</v>
      </c>
      <c r="C1028" s="140">
        <v>46064</v>
      </c>
      <c r="D1028" s="6" t="s">
        <v>16</v>
      </c>
      <c r="E1028" s="6" t="s">
        <v>423</v>
      </c>
      <c r="F1028" s="242" t="s">
        <v>212</v>
      </c>
      <c r="G1028" s="242" t="s">
        <v>424</v>
      </c>
      <c r="H1028" s="6" t="s">
        <v>425</v>
      </c>
      <c r="I1028" s="133" t="s">
        <v>22</v>
      </c>
      <c r="J1028" s="135" t="s">
        <v>23</v>
      </c>
      <c r="K1028" s="135" t="s">
        <v>215</v>
      </c>
      <c r="L1028" s="6" t="s">
        <v>422</v>
      </c>
      <c r="M1028" s="256">
        <v>30</v>
      </c>
      <c r="N1028" s="256">
        <v>64</v>
      </c>
      <c r="O1028" s="256">
        <v>1</v>
      </c>
      <c r="P1028" s="257">
        <v>3</v>
      </c>
      <c r="Q1028" s="129">
        <v>152</v>
      </c>
      <c r="R1028" s="98">
        <v>0.50009999999999999</v>
      </c>
      <c r="S1028" s="94">
        <f>((Table3.110[[#This Row],[Sample weight, g]]*'2.1. DM'!Q269)/100)*1000</f>
        <v>466.72998500749634</v>
      </c>
      <c r="T1028" s="94">
        <f>'3.2 Digest'!W1028</f>
        <v>114.92998500749633</v>
      </c>
      <c r="U1028" s="153">
        <v>0.33541666666666664</v>
      </c>
      <c r="V1028" s="154">
        <v>40.5</v>
      </c>
      <c r="W1028" s="153">
        <v>0.68055555555555558</v>
      </c>
      <c r="X1028" s="95">
        <v>76.5</v>
      </c>
      <c r="Y1028" s="95">
        <v>13.6</v>
      </c>
      <c r="Z1028" s="154">
        <v>40.5</v>
      </c>
      <c r="AA1028" s="153">
        <v>0.35</v>
      </c>
      <c r="AB1028" s="154">
        <v>78</v>
      </c>
      <c r="AC1028" s="154">
        <v>16.2</v>
      </c>
      <c r="AD1028" s="91" t="s">
        <v>591</v>
      </c>
      <c r="AE1028" s="94">
        <f>Table3.110[[#This Row],[Gas 8h, ml]]-Table3.110[[#This Row],[Gas 0h, ml]]</f>
        <v>36</v>
      </c>
      <c r="AF1028" s="94">
        <f>Table3.110[[#This Row],[Gas 24h, ml]]-Table3.110[[#This Row],[V8 Push back, ml]]</f>
        <v>37.5</v>
      </c>
      <c r="AG1028" s="94">
        <f>Table3.110[[#This Row],[GP 8h, ml]]-(AVERAGE(AE$982,AE$983,AE$1032,AE$1033,AE$1085,AE$1086))*$AG$8</f>
        <v>33.271229168713369</v>
      </c>
      <c r="AH1028" s="94">
        <f>Table3.110[[#This Row],[GP 8-24h, ml]]-(AVERAGE(AF$982,AF$983,AF$1032,AF$1033,AF$1085,AF$1086))*$AG$8</f>
        <v>33.849347131116531</v>
      </c>
      <c r="AI1028" s="94">
        <f>Table3.110[[#This Row],[Net gas 8-24h, ml]]+Table3.110[[#This Row],[Net gas 8h, ml]]</f>
        <v>67.120576299829906</v>
      </c>
      <c r="AJ1028" s="94">
        <f>Table3.110[[#This Row],[Net gas 8h, ml]]*Table3.110[[#This Row],[CH4 8h %]]%</f>
        <v>4.5248871669450184</v>
      </c>
      <c r="AK1028" s="94">
        <f>Table3.110[[#This Row],[Net gas 8-24h, ml]]*Table3.110[[#This Row],[CH4 24h, %]]%</f>
        <v>5.4835942352408784</v>
      </c>
      <c r="AL1028" s="94">
        <f>Table3.110[[#This Row],[CH4 8-24h, ml]]+Table3.110[[#This Row],[CH4 8h, ml]]</f>
        <v>10.008481402185897</v>
      </c>
      <c r="AM1028" s="94">
        <f>(Table3.110[[#This Row],[Net gas 24h, ml]]/Table3.110[[#This Row],[DM Incubated, mg]])*1000</f>
        <v>143.81029386563165</v>
      </c>
      <c r="AN1028" s="94">
        <f>'3.2 Digest'!X1028</f>
        <v>24.624512823115573</v>
      </c>
      <c r="AO1028" s="94">
        <f>Table3.110[[#This Row],[Digested feed, mg]]/Table3.110[[#This Row],[Net gas 24h, ml]]</f>
        <v>1.7122913917499778</v>
      </c>
      <c r="AP1028" s="94">
        <f>Table3.110[[#This Row],[CH4 8h, ml]]/Table3.110[[#This Row],[Net gas 8h, ml]]%</f>
        <v>13.600000000000001</v>
      </c>
      <c r="AQ1028" s="94">
        <f>Table3.110[[#This Row],[CH4 24h, ml]]/Table3.110[[#This Row],[Net gas 24h, ml]]%</f>
        <v>14.911197063442467</v>
      </c>
      <c r="AR1028" s="94">
        <f>Table3.110[[#This Row],[CH4 24h, ml]]/Table3.110[[#This Row],[DM Incubated, mg]]*1000</f>
        <v>21.443836315820047</v>
      </c>
      <c r="AS1028" s="94">
        <f>Table3.110[[#This Row],[CH4 24h, ml]]/Table3.110[[#This Row],[Digested feed, mg]]*1000</f>
        <v>87.083291636495829</v>
      </c>
      <c r="AT1028" s="255">
        <f>Table3.110[[#This Row],[CH4 24h, ml]]/'3.2 Digest'!AA1028</f>
        <v>-0.282194598744827</v>
      </c>
      <c r="AU1028" s="255">
        <f>((Table3.110[[#This Row],[CH4 24h, ml]]/28.9)*16.04)/Table3.110[[#This Row],[DM Incubated, mg]]*1000</f>
        <v>11.901700155908429</v>
      </c>
      <c r="AV1028" s="255">
        <f>((Table3.110[[#This Row],[CH4 24h, ml]]/28.9)*16.04)/Table3.110[[#This Row],[Digested feed, mg]]*1000</f>
        <v>48.332733489598382</v>
      </c>
    </row>
    <row r="1029" spans="2:48" x14ac:dyDescent="0.35">
      <c r="B1029" s="90">
        <f t="shared" si="15"/>
        <v>1019</v>
      </c>
      <c r="C1029" s="140">
        <v>46064</v>
      </c>
      <c r="D1029" s="6" t="s">
        <v>16</v>
      </c>
      <c r="E1029" s="57" t="s">
        <v>427</v>
      </c>
      <c r="F1029" s="242" t="s">
        <v>226</v>
      </c>
      <c r="G1029" s="242" t="s">
        <v>231</v>
      </c>
      <c r="H1029" s="57" t="s">
        <v>232</v>
      </c>
      <c r="I1029" s="133" t="s">
        <v>22</v>
      </c>
      <c r="J1029" s="135" t="s">
        <v>23</v>
      </c>
      <c r="K1029" s="135" t="s">
        <v>215</v>
      </c>
      <c r="L1029" s="57" t="s">
        <v>426</v>
      </c>
      <c r="M1029" s="256">
        <v>30</v>
      </c>
      <c r="N1029" s="256">
        <v>64</v>
      </c>
      <c r="O1029" s="256">
        <v>1</v>
      </c>
      <c r="P1029" s="257">
        <v>1</v>
      </c>
      <c r="Q1029" s="57">
        <v>153</v>
      </c>
      <c r="R1029" s="98">
        <v>0.50029999999999997</v>
      </c>
      <c r="S1029" s="94">
        <f>((Table3.110[[#This Row],[Sample weight, g]]*'2.1. DM'!Q271)/100)*1000</f>
        <v>472.34438696077291</v>
      </c>
      <c r="T1029" s="94">
        <f>'3.2 Digest'!W1029</f>
        <v>180.34438696077285</v>
      </c>
      <c r="U1029" s="157">
        <v>0.3347222222222222</v>
      </c>
      <c r="V1029" s="158">
        <v>40.5</v>
      </c>
      <c r="W1029" s="157">
        <v>0.68125000000000002</v>
      </c>
      <c r="X1029" s="107">
        <v>85.5</v>
      </c>
      <c r="Y1029" s="107">
        <v>14.6</v>
      </c>
      <c r="Z1029" s="158">
        <v>40.5</v>
      </c>
      <c r="AA1029" s="157">
        <v>0.35069444444444442</v>
      </c>
      <c r="AB1029" s="158">
        <v>82</v>
      </c>
      <c r="AC1029" s="158">
        <v>16.600000000000001</v>
      </c>
      <c r="AD1029" s="104"/>
      <c r="AE1029" s="94">
        <f>Table3.110[[#This Row],[Gas 8h, ml]]-Table3.110[[#This Row],[Gas 0h, ml]]</f>
        <v>45</v>
      </c>
      <c r="AF1029" s="94">
        <f>Table3.110[[#This Row],[Gas 24h, ml]]-Table3.110[[#This Row],[V8 Push back, ml]]</f>
        <v>41.5</v>
      </c>
      <c r="AG1029" s="94">
        <f>Table3.110[[#This Row],[GP 8h, ml]]-(AVERAGE(AE$982,AE$983,AE$1032,AE$1033,AE$1085,AE$1086))*$AG$8</f>
        <v>42.271229168713369</v>
      </c>
      <c r="AH1029" s="94">
        <f>Table3.110[[#This Row],[GP 8-24h, ml]]-(AVERAGE(AF$982,AF$983,AF$1032,AF$1033,AF$1085,AF$1086))*$AG$8</f>
        <v>37.849347131116531</v>
      </c>
      <c r="AI1029" s="94">
        <f>Table3.110[[#This Row],[Net gas 8-24h, ml]]+Table3.110[[#This Row],[Net gas 8h, ml]]</f>
        <v>80.120576299829906</v>
      </c>
      <c r="AJ1029" s="94">
        <f>Table3.110[[#This Row],[Net gas 8h, ml]]*Table3.110[[#This Row],[CH4 8h %]]%</f>
        <v>6.1715994586321514</v>
      </c>
      <c r="AK1029" s="94">
        <f>Table3.110[[#This Row],[Net gas 8-24h, ml]]*Table3.110[[#This Row],[CH4 24h, %]]%</f>
        <v>6.2829916237653443</v>
      </c>
      <c r="AL1029" s="94">
        <f>Table3.110[[#This Row],[CH4 8-24h, ml]]+Table3.110[[#This Row],[CH4 8h, ml]]</f>
        <v>12.454591082397496</v>
      </c>
      <c r="AM1029" s="94">
        <f>(Table3.110[[#This Row],[Net gas 24h, ml]]/Table3.110[[#This Row],[DM Incubated, mg]])*1000</f>
        <v>169.62322092012863</v>
      </c>
      <c r="AN1029" s="94">
        <f>'3.2 Digest'!X1029</f>
        <v>38.18069864684346</v>
      </c>
      <c r="AO1029" s="94">
        <f>Table3.110[[#This Row],[Digested feed, mg]]/Table3.110[[#This Row],[Net gas 24h, ml]]</f>
        <v>2.250912253624862</v>
      </c>
      <c r="AP1029" s="94">
        <f>Table3.110[[#This Row],[CH4 8h, ml]]/Table3.110[[#This Row],[Net gas 8h, ml]]%</f>
        <v>14.599999999999998</v>
      </c>
      <c r="AQ1029" s="94">
        <f>Table3.110[[#This Row],[CH4 24h, ml]]/Table3.110[[#This Row],[Net gas 24h, ml]]%</f>
        <v>15.544809657620918</v>
      </c>
      <c r="AR1029" s="94">
        <f>Table3.110[[#This Row],[CH4 24h, ml]]/Table3.110[[#This Row],[DM Incubated, mg]]*1000</f>
        <v>26.367606827159822</v>
      </c>
      <c r="AS1029" s="94">
        <f>Table3.110[[#This Row],[CH4 24h, ml]]/Table3.110[[#This Row],[Digested feed, mg]]*1000</f>
        <v>69.060042800813775</v>
      </c>
      <c r="AT1029" s="255">
        <f>Table3.110[[#This Row],[CH4 24h, ml]]/'3.2 Digest'!AA1029</f>
        <v>-1.0128748355073114</v>
      </c>
      <c r="AU1029" s="255">
        <f>((Table3.110[[#This Row],[CH4 24h, ml]]/28.9)*16.04)/Table3.110[[#This Row],[DM Incubated, mg]]*1000</f>
        <v>14.634477976043028</v>
      </c>
      <c r="AV1029" s="255">
        <f>((Table3.110[[#This Row],[CH4 24h, ml]]/28.9)*16.04)/Table3.110[[#This Row],[Digested feed, mg]]*1000</f>
        <v>38.329518564880722</v>
      </c>
    </row>
    <row r="1030" spans="2:48" x14ac:dyDescent="0.35">
      <c r="B1030" s="90">
        <f t="shared" si="15"/>
        <v>1020</v>
      </c>
      <c r="C1030" s="140">
        <v>46064</v>
      </c>
      <c r="D1030" s="6" t="s">
        <v>16</v>
      </c>
      <c r="E1030" s="6" t="s">
        <v>427</v>
      </c>
      <c r="F1030" s="242" t="s">
        <v>226</v>
      </c>
      <c r="G1030" s="242" t="s">
        <v>231</v>
      </c>
      <c r="H1030" s="6" t="s">
        <v>232</v>
      </c>
      <c r="I1030" s="133" t="s">
        <v>22</v>
      </c>
      <c r="J1030" s="135" t="s">
        <v>23</v>
      </c>
      <c r="K1030" s="135" t="s">
        <v>215</v>
      </c>
      <c r="L1030" s="6" t="s">
        <v>426</v>
      </c>
      <c r="M1030" s="256">
        <v>30</v>
      </c>
      <c r="N1030" s="256">
        <v>64</v>
      </c>
      <c r="O1030" s="256">
        <v>1</v>
      </c>
      <c r="P1030" s="257">
        <v>2</v>
      </c>
      <c r="Q1030" s="129">
        <v>154</v>
      </c>
      <c r="R1030" s="98">
        <v>0.50029999999999997</v>
      </c>
      <c r="S1030" s="94">
        <f>((Table3.110[[#This Row],[Sample weight, g]]*'2.1. DM'!Q271)/100)*1000</f>
        <v>472.34438696077291</v>
      </c>
      <c r="T1030" s="94">
        <f>'3.2 Digest'!W1030</f>
        <v>88.744386960772943</v>
      </c>
      <c r="U1030" s="117">
        <v>0.3347222222222222</v>
      </c>
      <c r="V1030" s="155">
        <v>41</v>
      </c>
      <c r="W1030" s="117">
        <v>0.68125000000000002</v>
      </c>
      <c r="X1030" s="97">
        <v>86.5</v>
      </c>
      <c r="Y1030" s="97">
        <v>15</v>
      </c>
      <c r="Z1030" s="155">
        <v>40.5</v>
      </c>
      <c r="AA1030" s="117">
        <v>0.35138888888888886</v>
      </c>
      <c r="AB1030" s="155">
        <v>82.5</v>
      </c>
      <c r="AC1030" s="155">
        <v>16.600000000000001</v>
      </c>
      <c r="AD1030" s="96"/>
      <c r="AE1030" s="94">
        <f>Table3.110[[#This Row],[Gas 8h, ml]]-Table3.110[[#This Row],[Gas 0h, ml]]</f>
        <v>45.5</v>
      </c>
      <c r="AF1030" s="94">
        <f>Table3.110[[#This Row],[Gas 24h, ml]]-Table3.110[[#This Row],[V8 Push back, ml]]</f>
        <v>42</v>
      </c>
      <c r="AG1030" s="94">
        <f>Table3.110[[#This Row],[GP 8h, ml]]-(AVERAGE(AE$982,AE$983,AE$1032,AE$1033,AE$1085,AE$1086))*$AG$8</f>
        <v>42.771229168713369</v>
      </c>
      <c r="AH1030" s="94">
        <f>Table3.110[[#This Row],[GP 8-24h, ml]]-(AVERAGE(AF$982,AF$983,AF$1032,AF$1033,AF$1085,AF$1086))*$AG$8</f>
        <v>38.349347131116531</v>
      </c>
      <c r="AI1030" s="94">
        <f>Table3.110[[#This Row],[Net gas 8-24h, ml]]+Table3.110[[#This Row],[Net gas 8h, ml]]</f>
        <v>81.120576299829906</v>
      </c>
      <c r="AJ1030" s="94">
        <f>Table3.110[[#This Row],[Net gas 8h, ml]]*Table3.110[[#This Row],[CH4 8h %]]%</f>
        <v>6.4156843753070047</v>
      </c>
      <c r="AK1030" s="94">
        <f>Table3.110[[#This Row],[Net gas 8-24h, ml]]*Table3.110[[#This Row],[CH4 24h, %]]%</f>
        <v>6.3659916237653444</v>
      </c>
      <c r="AL1030" s="94">
        <f>Table3.110[[#This Row],[CH4 8-24h, ml]]+Table3.110[[#This Row],[CH4 8h, ml]]</f>
        <v>12.781675999072348</v>
      </c>
      <c r="AM1030" s="94">
        <f>(Table3.110[[#This Row],[Net gas 24h, ml]]/Table3.110[[#This Row],[DM Incubated, mg]])*1000</f>
        <v>171.74032028153809</v>
      </c>
      <c r="AN1030" s="94">
        <f>'3.2 Digest'!X1030</f>
        <v>18.78806849633273</v>
      </c>
      <c r="AO1030" s="94">
        <f>Table3.110[[#This Row],[Digested feed, mg]]/Table3.110[[#This Row],[Net gas 24h, ml]]</f>
        <v>1.0939812191763119</v>
      </c>
      <c r="AP1030" s="94">
        <f>Table3.110[[#This Row],[CH4 8h, ml]]/Table3.110[[#This Row],[Net gas 8h, ml]]%</f>
        <v>14.999999999999998</v>
      </c>
      <c r="AQ1030" s="94">
        <f>Table3.110[[#This Row],[CH4 24h, ml]]/Table3.110[[#This Row],[Net gas 24h, ml]]%</f>
        <v>15.756392005685429</v>
      </c>
      <c r="AR1030" s="94">
        <f>Table3.110[[#This Row],[CH4 24h, ml]]/Table3.110[[#This Row],[DM Incubated, mg]]*1000</f>
        <v>27.06007809537882</v>
      </c>
      <c r="AS1030" s="94">
        <f>Table3.110[[#This Row],[CH4 24h, ml]]/Table3.110[[#This Row],[Digested feed, mg]]*1000</f>
        <v>144.02799362084886</v>
      </c>
      <c r="AT1030" s="255">
        <f>Table3.110[[#This Row],[CH4 24h, ml]]/'3.2 Digest'!AA1030</f>
        <v>-0.26895503918377078</v>
      </c>
      <c r="AU1030" s="255">
        <f>((Table3.110[[#This Row],[CH4 24h, ml]]/28.9)*16.04)/Table3.110[[#This Row],[DM Incubated, mg]]*1000</f>
        <v>15.01881151037634</v>
      </c>
      <c r="AV1030" s="255">
        <f>((Table3.110[[#This Row],[CH4 24h, ml]]/28.9)*16.04)/Table3.110[[#This Row],[Digested feed, mg]]*1000</f>
        <v>79.938028293370778</v>
      </c>
    </row>
    <row r="1031" spans="2:48" x14ac:dyDescent="0.35">
      <c r="B1031" s="90">
        <f t="shared" si="15"/>
        <v>1021</v>
      </c>
      <c r="C1031" s="140">
        <v>46064</v>
      </c>
      <c r="D1031" s="6" t="s">
        <v>16</v>
      </c>
      <c r="E1031" s="6" t="s">
        <v>427</v>
      </c>
      <c r="F1031" s="242" t="s">
        <v>226</v>
      </c>
      <c r="G1031" s="242" t="s">
        <v>231</v>
      </c>
      <c r="H1031" s="6" t="s">
        <v>232</v>
      </c>
      <c r="I1031" s="133" t="s">
        <v>22</v>
      </c>
      <c r="J1031" s="135" t="s">
        <v>23</v>
      </c>
      <c r="K1031" s="135" t="s">
        <v>215</v>
      </c>
      <c r="L1031" s="6" t="s">
        <v>426</v>
      </c>
      <c r="M1031" s="256">
        <v>30</v>
      </c>
      <c r="N1031" s="256">
        <v>64</v>
      </c>
      <c r="O1031" s="256">
        <v>1</v>
      </c>
      <c r="P1031" s="257">
        <v>3</v>
      </c>
      <c r="Q1031" s="129">
        <v>155</v>
      </c>
      <c r="R1031" s="98">
        <v>0.5</v>
      </c>
      <c r="S1031" s="94">
        <f>((Table3.110[[#This Row],[Sample weight, g]]*'2.1. DM'!Q271)/100)*1000</f>
        <v>472.0611502706106</v>
      </c>
      <c r="T1031" s="94">
        <f>'3.2 Digest'!W1031</f>
        <v>172.26115027061064</v>
      </c>
      <c r="U1031" s="117">
        <v>0.33541666666666664</v>
      </c>
      <c r="V1031" s="155">
        <v>41</v>
      </c>
      <c r="W1031" s="117">
        <v>0.68125000000000002</v>
      </c>
      <c r="X1031" s="97">
        <v>85.5</v>
      </c>
      <c r="Y1031" s="97">
        <v>14.8</v>
      </c>
      <c r="Z1031" s="155">
        <v>40.5</v>
      </c>
      <c r="AA1031" s="117">
        <v>0.35138888888888886</v>
      </c>
      <c r="AB1031" s="155">
        <v>81.5</v>
      </c>
      <c r="AC1031" s="155">
        <v>16.600000000000001</v>
      </c>
      <c r="AD1031" s="96"/>
      <c r="AE1031" s="94">
        <f>Table3.110[[#This Row],[Gas 8h, ml]]-Table3.110[[#This Row],[Gas 0h, ml]]</f>
        <v>44.5</v>
      </c>
      <c r="AF1031" s="94">
        <f>Table3.110[[#This Row],[Gas 24h, ml]]-Table3.110[[#This Row],[V8 Push back, ml]]</f>
        <v>41</v>
      </c>
      <c r="AG1031" s="94">
        <f>Table3.110[[#This Row],[GP 8h, ml]]-(AVERAGE(AE$982,AE$983,AE$1032,AE$1033,AE$1085,AE$1086))*$AG$8</f>
        <v>41.771229168713369</v>
      </c>
      <c r="AH1031" s="94">
        <f>Table3.110[[#This Row],[GP 8-24h, ml]]-(AVERAGE(AF$982,AF$983,AF$1032,AF$1033,AF$1085,AF$1086))*$AG$8</f>
        <v>37.349347131116531</v>
      </c>
      <c r="AI1031" s="94">
        <f>Table3.110[[#This Row],[Net gas 8-24h, ml]]+Table3.110[[#This Row],[Net gas 8h, ml]]</f>
        <v>79.120576299829906</v>
      </c>
      <c r="AJ1031" s="94">
        <f>Table3.110[[#This Row],[Net gas 8h, ml]]*Table3.110[[#This Row],[CH4 8h %]]%</f>
        <v>6.182141916969579</v>
      </c>
      <c r="AK1031" s="94">
        <f>Table3.110[[#This Row],[Net gas 8-24h, ml]]*Table3.110[[#This Row],[CH4 24h, %]]%</f>
        <v>6.1999916237653441</v>
      </c>
      <c r="AL1031" s="94">
        <f>Table3.110[[#This Row],[CH4 8-24h, ml]]+Table3.110[[#This Row],[CH4 8h, ml]]</f>
        <v>12.382133540734923</v>
      </c>
      <c r="AM1031" s="94">
        <f>(Table3.110[[#This Row],[Net gas 24h, ml]]/Table3.110[[#This Row],[DM Incubated, mg]])*1000</f>
        <v>167.60662523165436</v>
      </c>
      <c r="AN1031" s="94">
        <f>'3.2 Digest'!X1031</f>
        <v>36.491278761631065</v>
      </c>
      <c r="AO1031" s="94">
        <f>Table3.110[[#This Row],[Digested feed, mg]]/Table3.110[[#This Row],[Net gas 24h, ml]]</f>
        <v>2.1771978709788664</v>
      </c>
      <c r="AP1031" s="94">
        <f>Table3.110[[#This Row],[CH4 8h, ml]]/Table3.110[[#This Row],[Net gas 8h, ml]]%</f>
        <v>14.8</v>
      </c>
      <c r="AQ1031" s="94">
        <f>Table3.110[[#This Row],[CH4 24h, ml]]/Table3.110[[#This Row],[Net gas 24h, ml]]%</f>
        <v>15.649700899311501</v>
      </c>
      <c r="AR1031" s="94">
        <f>Table3.110[[#This Row],[CH4 24h, ml]]/Table3.110[[#This Row],[DM Incubated, mg]]*1000</f>
        <v>26.22993553618387</v>
      </c>
      <c r="AS1031" s="94">
        <f>Table3.110[[#This Row],[CH4 24h, ml]]/Table3.110[[#This Row],[Digested feed, mg]]*1000</f>
        <v>71.880011954427488</v>
      </c>
      <c r="AT1031" s="255">
        <f>Table3.110[[#This Row],[CH4 24h, ml]]/'3.2 Digest'!AA1031</f>
        <v>-0.80585822865947176</v>
      </c>
      <c r="AU1031" s="255">
        <f>((Table3.110[[#This Row],[CH4 24h, ml]]/28.9)*16.04)/Table3.110[[#This Row],[DM Incubated, mg]]*1000</f>
        <v>14.558068027695132</v>
      </c>
      <c r="AV1031" s="255">
        <f>((Table3.110[[#This Row],[CH4 24h, ml]]/28.9)*16.04)/Table3.110[[#This Row],[Digested feed, mg]]*1000</f>
        <v>39.894650233530001</v>
      </c>
    </row>
    <row r="1032" spans="2:48" x14ac:dyDescent="0.35">
      <c r="B1032" s="90">
        <f t="shared" si="15"/>
        <v>1022</v>
      </c>
      <c r="C1032" s="141">
        <v>46064</v>
      </c>
      <c r="D1032" s="6"/>
      <c r="E1032" s="124" t="s">
        <v>541</v>
      </c>
      <c r="F1032" s="242" t="s">
        <v>538</v>
      </c>
      <c r="G1032" s="242" t="s">
        <v>542</v>
      </c>
      <c r="H1032" s="124" t="s">
        <v>541</v>
      </c>
      <c r="I1032" s="133"/>
      <c r="J1032" s="135"/>
      <c r="K1032" s="135"/>
      <c r="L1032" s="124" t="s">
        <v>543</v>
      </c>
      <c r="M1032" s="256">
        <v>30</v>
      </c>
      <c r="N1032" s="256">
        <v>64</v>
      </c>
      <c r="O1032" s="256">
        <v>1</v>
      </c>
      <c r="P1032" s="257">
        <v>1</v>
      </c>
      <c r="Q1032" s="146">
        <v>156</v>
      </c>
      <c r="R1032" s="98"/>
      <c r="S1032" s="94"/>
      <c r="T1032" s="94"/>
      <c r="U1032" s="149">
        <v>0.33541666666666664</v>
      </c>
      <c r="V1032" s="150">
        <v>40</v>
      </c>
      <c r="W1032" s="149">
        <v>0.68194444444444446</v>
      </c>
      <c r="X1032" s="161">
        <v>43</v>
      </c>
      <c r="Y1032" s="161"/>
      <c r="Z1032" s="150"/>
      <c r="AA1032" s="149"/>
      <c r="AB1032" s="150"/>
      <c r="AC1032" s="150"/>
      <c r="AD1032" s="163"/>
      <c r="AE1032" s="94">
        <f>Table3.110[[#This Row],[Gas 8h, ml]]-Table3.110[[#This Row],[Gas 0h, ml]]</f>
        <v>3</v>
      </c>
      <c r="AF1032" s="94"/>
      <c r="AG1032" s="94"/>
      <c r="AH1032" s="94"/>
      <c r="AI1032" s="94"/>
      <c r="AJ1032" s="94"/>
      <c r="AK1032" s="94"/>
      <c r="AL1032" s="94"/>
      <c r="AM1032" s="94"/>
      <c r="AN1032" s="94"/>
      <c r="AO1032" s="94"/>
      <c r="AP1032" s="94"/>
      <c r="AQ1032" s="94"/>
      <c r="AR1032" s="94"/>
      <c r="AS1032" s="94"/>
      <c r="AT1032" s="255"/>
      <c r="AU1032" s="255"/>
      <c r="AV1032" s="255"/>
    </row>
    <row r="1033" spans="2:48" x14ac:dyDescent="0.35">
      <c r="B1033" s="90">
        <f t="shared" si="15"/>
        <v>1023</v>
      </c>
      <c r="C1033" s="141">
        <v>46064</v>
      </c>
      <c r="D1033" s="6"/>
      <c r="E1033" s="124" t="s">
        <v>541</v>
      </c>
      <c r="F1033" s="242" t="s">
        <v>538</v>
      </c>
      <c r="G1033" s="242" t="s">
        <v>542</v>
      </c>
      <c r="H1033" s="124" t="s">
        <v>541</v>
      </c>
      <c r="I1033" s="133"/>
      <c r="J1033" s="135"/>
      <c r="K1033" s="135"/>
      <c r="L1033" s="124" t="s">
        <v>543</v>
      </c>
      <c r="M1033" s="256">
        <v>30</v>
      </c>
      <c r="N1033" s="256">
        <v>64</v>
      </c>
      <c r="O1033" s="256">
        <v>1</v>
      </c>
      <c r="P1033" s="257">
        <v>2</v>
      </c>
      <c r="Q1033" s="124">
        <v>157</v>
      </c>
      <c r="R1033" s="98"/>
      <c r="S1033" s="94"/>
      <c r="T1033" s="94"/>
      <c r="U1033" s="151">
        <v>0.33611111111111114</v>
      </c>
      <c r="V1033" s="152">
        <v>40</v>
      </c>
      <c r="W1033" s="151">
        <v>0.68263888888888891</v>
      </c>
      <c r="X1033" s="162">
        <v>43</v>
      </c>
      <c r="Y1033" s="162"/>
      <c r="Z1033" s="152"/>
      <c r="AA1033" s="151"/>
      <c r="AB1033" s="152"/>
      <c r="AC1033" s="152"/>
      <c r="AD1033" s="164"/>
      <c r="AE1033" s="94">
        <f>Table3.110[[#This Row],[Gas 8h, ml]]-Table3.110[[#This Row],[Gas 0h, ml]]</f>
        <v>3</v>
      </c>
      <c r="AF1033" s="94"/>
      <c r="AG1033" s="94"/>
      <c r="AH1033" s="94"/>
      <c r="AI1033" s="94"/>
      <c r="AJ1033" s="94"/>
      <c r="AK1033" s="94"/>
      <c r="AL1033" s="94"/>
      <c r="AM1033" s="94"/>
      <c r="AN1033" s="94"/>
      <c r="AO1033" s="94"/>
      <c r="AP1033" s="94"/>
      <c r="AQ1033" s="94"/>
      <c r="AR1033" s="94"/>
      <c r="AS1033" s="94"/>
      <c r="AT1033" s="255"/>
      <c r="AU1033" s="255"/>
      <c r="AV1033" s="255"/>
    </row>
    <row r="1034" spans="2:48" x14ac:dyDescent="0.35">
      <c r="B1034" s="90">
        <f t="shared" si="15"/>
        <v>1024</v>
      </c>
      <c r="C1034" s="140">
        <v>46064</v>
      </c>
      <c r="D1034" s="6" t="s">
        <v>16</v>
      </c>
      <c r="E1034" s="6" t="s">
        <v>429</v>
      </c>
      <c r="F1034" s="242" t="s">
        <v>212</v>
      </c>
      <c r="G1034" s="242" t="s">
        <v>213</v>
      </c>
      <c r="H1034" s="6" t="s">
        <v>214</v>
      </c>
      <c r="I1034" s="133" t="s">
        <v>22</v>
      </c>
      <c r="J1034" s="135" t="s">
        <v>23</v>
      </c>
      <c r="K1034" s="135" t="s">
        <v>215</v>
      </c>
      <c r="L1034" s="6" t="s">
        <v>428</v>
      </c>
      <c r="M1034" s="256">
        <v>30</v>
      </c>
      <c r="N1034" s="256">
        <v>64</v>
      </c>
      <c r="O1034" s="256">
        <v>1</v>
      </c>
      <c r="P1034" s="257">
        <v>1</v>
      </c>
      <c r="Q1034" s="129">
        <v>158</v>
      </c>
      <c r="R1034" s="98">
        <v>0.50029999999999997</v>
      </c>
      <c r="S1034" s="94">
        <f>((Table3.110[[#This Row],[Sample weight, g]]*'2.1. DM'!Q273)/100)*1000</f>
        <v>466.93842834332855</v>
      </c>
      <c r="T1034" s="94">
        <f>'3.2 Digest'!W1034</f>
        <v>137.33842834332853</v>
      </c>
      <c r="U1034" s="153">
        <v>0.33611111111111114</v>
      </c>
      <c r="V1034" s="154">
        <v>41</v>
      </c>
      <c r="W1034" s="153">
        <v>0.68263888888888891</v>
      </c>
      <c r="X1034" s="95">
        <v>73</v>
      </c>
      <c r="Y1034" s="95">
        <v>15.3</v>
      </c>
      <c r="Z1034" s="154">
        <v>40</v>
      </c>
      <c r="AA1034" s="153">
        <v>0.35208333333333336</v>
      </c>
      <c r="AB1034" s="154">
        <v>68.5</v>
      </c>
      <c r="AC1034" s="154">
        <v>16.2</v>
      </c>
      <c r="AD1034" s="91"/>
      <c r="AE1034" s="94">
        <f>Table3.110[[#This Row],[Gas 8h, ml]]-Table3.110[[#This Row],[Gas 0h, ml]]</f>
        <v>32</v>
      </c>
      <c r="AF1034" s="94">
        <f>Table3.110[[#This Row],[Gas 24h, ml]]-Table3.110[[#This Row],[V8 Push back, ml]]</f>
        <v>28.5</v>
      </c>
      <c r="AG1034" s="94">
        <f>Table3.110[[#This Row],[GP 8h, ml]]-(AVERAGE(AE$982,AE$983,AE$1032,AE$1033,AE$1085,AE$1086))*$AG$8</f>
        <v>29.271229168713369</v>
      </c>
      <c r="AH1034" s="94">
        <f>Table3.110[[#This Row],[GP 8-24h, ml]]-(AVERAGE(AF$982,AF$983,AF$1032,AF$1033,AF$1085,AF$1086))*$AG$8</f>
        <v>24.849347131116534</v>
      </c>
      <c r="AI1034" s="94">
        <f>Table3.110[[#This Row],[Net gas 8-24h, ml]]+Table3.110[[#This Row],[Net gas 8h, ml]]</f>
        <v>54.120576299829906</v>
      </c>
      <c r="AJ1034" s="94">
        <f>Table3.110[[#This Row],[Net gas 8h, ml]]*Table3.110[[#This Row],[CH4 8h %]]%</f>
        <v>4.478498062813145</v>
      </c>
      <c r="AK1034" s="94">
        <f>Table3.110[[#This Row],[Net gas 8-24h, ml]]*Table3.110[[#This Row],[CH4 24h, %]]%</f>
        <v>4.0255942352408791</v>
      </c>
      <c r="AL1034" s="94">
        <f>Table3.110[[#This Row],[CH4 8-24h, ml]]+Table3.110[[#This Row],[CH4 8h, ml]]</f>
        <v>8.5040922980540241</v>
      </c>
      <c r="AM1034" s="94">
        <f>(Table3.110[[#This Row],[Net gas 24h, ml]]/Table3.110[[#This Row],[DM Incubated, mg]])*1000</f>
        <v>115.90516653736701</v>
      </c>
      <c r="AN1034" s="94">
        <f>'3.2 Digest'!X1034</f>
        <v>29.412534931125201</v>
      </c>
      <c r="AO1034" s="94">
        <f>Table3.110[[#This Row],[Digested feed, mg]]/Table3.110[[#This Row],[Net gas 24h, ml]]</f>
        <v>2.5376379509055629</v>
      </c>
      <c r="AP1034" s="94">
        <f>Table3.110[[#This Row],[CH4 8h, ml]]/Table3.110[[#This Row],[Net gas 8h, ml]]%</f>
        <v>15.299999999999999</v>
      </c>
      <c r="AQ1034" s="94">
        <f>Table3.110[[#This Row],[CH4 24h, ml]]/Table3.110[[#This Row],[Net gas 24h, ml]]%</f>
        <v>15.713233079672051</v>
      </c>
      <c r="AR1034" s="94">
        <f>Table3.110[[#This Row],[CH4 24h, ml]]/Table3.110[[#This Row],[DM Incubated, mg]]*1000</f>
        <v>18.212448969398533</v>
      </c>
      <c r="AS1034" s="94">
        <f>Table3.110[[#This Row],[CH4 24h, ml]]/Table3.110[[#This Row],[Digested feed, mg]]*1000</f>
        <v>61.920704937695078</v>
      </c>
      <c r="AT1034" s="255">
        <f>Table3.110[[#This Row],[CH4 24h, ml]]/'3.2 Digest'!AA1034</f>
        <v>-0.34454408537490511</v>
      </c>
      <c r="AU1034" s="255">
        <f>((Table3.110[[#This Row],[CH4 24h, ml]]/28.9)*16.04)/Table3.110[[#This Row],[DM Incubated, mg]]*1000</f>
        <v>10.108224272289011</v>
      </c>
      <c r="AV1034" s="255">
        <f>((Table3.110[[#This Row],[CH4 24h, ml]]/28.9)*16.04)/Table3.110[[#This Row],[Digested feed, mg]]*1000</f>
        <v>34.36706253289374</v>
      </c>
    </row>
    <row r="1035" spans="2:48" x14ac:dyDescent="0.35">
      <c r="B1035" s="90">
        <f t="shared" si="15"/>
        <v>1025</v>
      </c>
      <c r="C1035" s="140">
        <v>46064</v>
      </c>
      <c r="D1035" s="6" t="s">
        <v>16</v>
      </c>
      <c r="E1035" s="6" t="s">
        <v>429</v>
      </c>
      <c r="F1035" s="242" t="s">
        <v>212</v>
      </c>
      <c r="G1035" s="242" t="s">
        <v>213</v>
      </c>
      <c r="H1035" s="6" t="s">
        <v>214</v>
      </c>
      <c r="I1035" s="133" t="s">
        <v>22</v>
      </c>
      <c r="J1035" s="135" t="s">
        <v>23</v>
      </c>
      <c r="K1035" s="135" t="s">
        <v>215</v>
      </c>
      <c r="L1035" s="6" t="s">
        <v>428</v>
      </c>
      <c r="M1035" s="256">
        <v>30</v>
      </c>
      <c r="N1035" s="256">
        <v>64</v>
      </c>
      <c r="O1035" s="256">
        <v>1</v>
      </c>
      <c r="P1035" s="257">
        <v>2</v>
      </c>
      <c r="Q1035" s="129">
        <v>159</v>
      </c>
      <c r="R1035" s="98">
        <v>0.50019999999999998</v>
      </c>
      <c r="S1035" s="94">
        <f>((Table3.110[[#This Row],[Sample weight, g]]*'2.1. DM'!Q273)/100)*1000</f>
        <v>466.84509665667184</v>
      </c>
      <c r="T1035" s="94">
        <f>'3.2 Digest'!W1035</f>
        <v>110.44509665667181</v>
      </c>
      <c r="U1035" s="117">
        <v>0.33611111111111114</v>
      </c>
      <c r="V1035" s="155">
        <v>41</v>
      </c>
      <c r="W1035" s="117">
        <v>0.68333333333333335</v>
      </c>
      <c r="X1035" s="97">
        <v>72</v>
      </c>
      <c r="Y1035" s="97">
        <v>15.4</v>
      </c>
      <c r="Z1035" s="155">
        <v>40.5</v>
      </c>
      <c r="AA1035" s="117">
        <v>0.35208333333333336</v>
      </c>
      <c r="AB1035" s="155">
        <v>62.5</v>
      </c>
      <c r="AC1035" s="155">
        <v>16.600000000000001</v>
      </c>
      <c r="AD1035" s="96"/>
      <c r="AE1035" s="94">
        <f>Table3.110[[#This Row],[Gas 8h, ml]]-Table3.110[[#This Row],[Gas 0h, ml]]</f>
        <v>31</v>
      </c>
      <c r="AF1035" s="94">
        <f>Table3.110[[#This Row],[Gas 24h, ml]]-Table3.110[[#This Row],[V8 Push back, ml]]</f>
        <v>22</v>
      </c>
      <c r="AG1035" s="94">
        <f>Table3.110[[#This Row],[GP 8h, ml]]-(AVERAGE(AE$982,AE$983,AE$1032,AE$1033,AE$1085,AE$1086))*$AG$8</f>
        <v>28.271229168713369</v>
      </c>
      <c r="AH1035" s="94">
        <f>Table3.110[[#This Row],[GP 8-24h, ml]]-(AVERAGE(AF$982,AF$983,AF$1032,AF$1033,AF$1085,AF$1086))*$AG$8</f>
        <v>18.349347131116534</v>
      </c>
      <c r="AI1035" s="94">
        <f>Table3.110[[#This Row],[Net gas 8-24h, ml]]+Table3.110[[#This Row],[Net gas 8h, ml]]</f>
        <v>46.620576299829906</v>
      </c>
      <c r="AJ1035" s="94">
        <f>Table3.110[[#This Row],[Net gas 8h, ml]]*Table3.110[[#This Row],[CH4 8h %]]%</f>
        <v>4.3537692919818589</v>
      </c>
      <c r="AK1035" s="94">
        <f>Table3.110[[#This Row],[Net gas 8-24h, ml]]*Table3.110[[#This Row],[CH4 24h, %]]%</f>
        <v>3.045991623765345</v>
      </c>
      <c r="AL1035" s="94">
        <f>Table3.110[[#This Row],[CH4 8-24h, ml]]+Table3.110[[#This Row],[CH4 8h, ml]]</f>
        <v>7.399760915747204</v>
      </c>
      <c r="AM1035" s="94">
        <f>(Table3.110[[#This Row],[Net gas 24h, ml]]/Table3.110[[#This Row],[DM Incubated, mg]])*1000</f>
        <v>99.863052292301802</v>
      </c>
      <c r="AN1035" s="94">
        <f>'3.2 Digest'!X1035</f>
        <v>23.657760882063105</v>
      </c>
      <c r="AO1035" s="94">
        <f>Table3.110[[#This Row],[Digested feed, mg]]/Table3.110[[#This Row],[Net gas 24h, ml]]</f>
        <v>2.3690204073490779</v>
      </c>
      <c r="AP1035" s="94">
        <f>Table3.110[[#This Row],[CH4 8h, ml]]/Table3.110[[#This Row],[Net gas 8h, ml]]%</f>
        <v>15.4</v>
      </c>
      <c r="AQ1035" s="94">
        <f>Table3.110[[#This Row],[CH4 24h, ml]]/Table3.110[[#This Row],[Net gas 24h, ml]]%</f>
        <v>15.872306828978864</v>
      </c>
      <c r="AR1035" s="94">
        <f>Table3.110[[#This Row],[CH4 24h, ml]]/Table3.110[[#This Row],[DM Incubated, mg]]*1000</f>
        <v>15.850570068617751</v>
      </c>
      <c r="AS1035" s="94">
        <f>Table3.110[[#This Row],[CH4 24h, ml]]/Table3.110[[#This Row],[Digested feed, mg]]*1000</f>
        <v>66.999451670996351</v>
      </c>
      <c r="AT1035" s="255">
        <f>Table3.110[[#This Row],[CH4 24h, ml]]/'3.2 Digest'!AA1035</f>
        <v>-0.2123493760244565</v>
      </c>
      <c r="AU1035" s="255">
        <f>((Table3.110[[#This Row],[CH4 24h, ml]]/28.9)*16.04)/Table3.110[[#This Row],[DM Incubated, mg]]*1000</f>
        <v>8.7973406193989181</v>
      </c>
      <c r="AV1035" s="255">
        <f>((Table3.110[[#This Row],[CH4 24h, ml]]/28.9)*16.04)/Table3.110[[#This Row],[Digested feed, mg]]*1000</f>
        <v>37.185854837466486</v>
      </c>
    </row>
    <row r="1036" spans="2:48" x14ac:dyDescent="0.35">
      <c r="B1036" s="90">
        <f t="shared" ref="B1036:B1099" si="16">B1035+1</f>
        <v>1026</v>
      </c>
      <c r="C1036" s="140">
        <v>46064</v>
      </c>
      <c r="D1036" s="6" t="s">
        <v>16</v>
      </c>
      <c r="E1036" s="6" t="s">
        <v>429</v>
      </c>
      <c r="F1036" s="242" t="s">
        <v>212</v>
      </c>
      <c r="G1036" s="242" t="s">
        <v>213</v>
      </c>
      <c r="H1036" s="6" t="s">
        <v>214</v>
      </c>
      <c r="I1036" s="133" t="s">
        <v>22</v>
      </c>
      <c r="J1036" s="135" t="s">
        <v>23</v>
      </c>
      <c r="K1036" s="135" t="s">
        <v>215</v>
      </c>
      <c r="L1036" s="6" t="s">
        <v>428</v>
      </c>
      <c r="M1036" s="256">
        <v>30</v>
      </c>
      <c r="N1036" s="256">
        <v>64</v>
      </c>
      <c r="O1036" s="256">
        <v>1</v>
      </c>
      <c r="P1036" s="257">
        <v>3</v>
      </c>
      <c r="Q1036" s="129">
        <v>160</v>
      </c>
      <c r="R1036" s="98">
        <v>0.50019999999999998</v>
      </c>
      <c r="S1036" s="94">
        <f>((Table3.110[[#This Row],[Sample weight, g]]*'2.1. DM'!Q273)/100)*1000</f>
        <v>466.84509665667184</v>
      </c>
      <c r="T1036" s="94">
        <f>'3.2 Digest'!W1036</f>
        <v>200.3450966566719</v>
      </c>
      <c r="U1036" s="153">
        <v>0.33680555555555558</v>
      </c>
      <c r="V1036" s="154">
        <v>41</v>
      </c>
      <c r="W1036" s="153">
        <v>0.68402777777777779</v>
      </c>
      <c r="X1036" s="95">
        <v>74.5</v>
      </c>
      <c r="Y1036" s="95">
        <v>14.8</v>
      </c>
      <c r="Z1036" s="154">
        <v>40</v>
      </c>
      <c r="AA1036" s="153">
        <v>0.3527777777777778</v>
      </c>
      <c r="AB1036" s="154">
        <v>63</v>
      </c>
      <c r="AC1036" s="154">
        <v>15.9</v>
      </c>
      <c r="AD1036" s="91"/>
      <c r="AE1036" s="94">
        <f>Table3.110[[#This Row],[Gas 8h, ml]]-Table3.110[[#This Row],[Gas 0h, ml]]</f>
        <v>33.5</v>
      </c>
      <c r="AF1036" s="94">
        <f>Table3.110[[#This Row],[Gas 24h, ml]]-Table3.110[[#This Row],[V8 Push back, ml]]</f>
        <v>23</v>
      </c>
      <c r="AG1036" s="94">
        <f>Table3.110[[#This Row],[GP 8h, ml]]-(AVERAGE(AE$982,AE$983,AE$1032,AE$1033,AE$1085,AE$1086))*$AG$8</f>
        <v>30.771229168713369</v>
      </c>
      <c r="AH1036" s="94">
        <f>Table3.110[[#This Row],[GP 8-24h, ml]]-(AVERAGE(AF$982,AF$983,AF$1032,AF$1033,AF$1085,AF$1086))*$AG$8</f>
        <v>19.349347131116534</v>
      </c>
      <c r="AI1036" s="94">
        <f>Table3.110[[#This Row],[Net gas 8-24h, ml]]+Table3.110[[#This Row],[Net gas 8h, ml]]</f>
        <v>50.120576299829906</v>
      </c>
      <c r="AJ1036" s="94">
        <f>Table3.110[[#This Row],[Net gas 8h, ml]]*Table3.110[[#This Row],[CH4 8h %]]%</f>
        <v>4.5541419169695789</v>
      </c>
      <c r="AK1036" s="94">
        <f>Table3.110[[#This Row],[Net gas 8-24h, ml]]*Table3.110[[#This Row],[CH4 24h, %]]%</f>
        <v>3.0765461938475291</v>
      </c>
      <c r="AL1036" s="94">
        <f>Table3.110[[#This Row],[CH4 8-24h, ml]]+Table3.110[[#This Row],[CH4 8h, ml]]</f>
        <v>7.6306881108171076</v>
      </c>
      <c r="AM1036" s="94">
        <f>(Table3.110[[#This Row],[Net gas 24h, ml]]/Table3.110[[#This Row],[DM Incubated, mg]])*1000</f>
        <v>107.36018576347966</v>
      </c>
      <c r="AN1036" s="94">
        <f>'3.2 Digest'!X1036</f>
        <v>42.914683712317128</v>
      </c>
      <c r="AO1036" s="94">
        <f>Table3.110[[#This Row],[Digested feed, mg]]/Table3.110[[#This Row],[Net gas 24h, ml]]</f>
        <v>3.9972624308661793</v>
      </c>
      <c r="AP1036" s="94">
        <f>Table3.110[[#This Row],[CH4 8h, ml]]/Table3.110[[#This Row],[Net gas 8h, ml]]%</f>
        <v>14.8</v>
      </c>
      <c r="AQ1036" s="94">
        <f>Table3.110[[#This Row],[CH4 24h, ml]]/Table3.110[[#This Row],[Net gas 24h, ml]]%</f>
        <v>15.224661554506115</v>
      </c>
      <c r="AR1036" s="94">
        <f>Table3.110[[#This Row],[CH4 24h, ml]]/Table3.110[[#This Row],[DM Incubated, mg]]*1000</f>
        <v>16.345224926778837</v>
      </c>
      <c r="AS1036" s="94">
        <f>Table3.110[[#This Row],[CH4 24h, ml]]/Table3.110[[#This Row],[Digested feed, mg]]*1000</f>
        <v>38.08772082849471</v>
      </c>
      <c r="AT1036" s="255">
        <f>Table3.110[[#This Row],[CH4 24h, ml]]/'3.2 Digest'!AA1036</f>
        <v>-9.1644358253749338</v>
      </c>
      <c r="AU1036" s="255">
        <f>((Table3.110[[#This Row],[CH4 24h, ml]]/28.9)*16.04)/Table3.110[[#This Row],[DM Incubated, mg]]*1000</f>
        <v>9.0718826237208479</v>
      </c>
      <c r="AV1036" s="255">
        <f>((Table3.110[[#This Row],[CH4 24h, ml]]/28.9)*16.04)/Table3.110[[#This Row],[Digested feed, mg]]*1000</f>
        <v>21.139344016922319</v>
      </c>
    </row>
    <row r="1037" spans="2:48" x14ac:dyDescent="0.35">
      <c r="B1037" s="90">
        <f t="shared" si="16"/>
        <v>1027</v>
      </c>
      <c r="C1037" s="140">
        <v>46064</v>
      </c>
      <c r="D1037" s="6" t="s">
        <v>16</v>
      </c>
      <c r="E1037" s="6" t="s">
        <v>431</v>
      </c>
      <c r="F1037" s="242" t="s">
        <v>212</v>
      </c>
      <c r="G1037" s="242" t="s">
        <v>404</v>
      </c>
      <c r="H1037" s="6" t="s">
        <v>433</v>
      </c>
      <c r="I1037" s="133" t="s">
        <v>22</v>
      </c>
      <c r="J1037" s="135" t="s">
        <v>23</v>
      </c>
      <c r="K1037" s="135" t="s">
        <v>215</v>
      </c>
      <c r="L1037" s="6" t="s">
        <v>430</v>
      </c>
      <c r="M1037" s="256">
        <v>30</v>
      </c>
      <c r="N1037" s="256">
        <v>64</v>
      </c>
      <c r="O1037" s="256">
        <v>1</v>
      </c>
      <c r="P1037" s="257">
        <v>1</v>
      </c>
      <c r="Q1037" s="129">
        <v>161</v>
      </c>
      <c r="R1037" s="98">
        <v>0.50009999999999999</v>
      </c>
      <c r="S1037" s="94">
        <f>((Table3.110[[#This Row],[Sample weight, g]]*'2.1. DM'!Q275)/100)*1000</f>
        <v>477.85779315469205</v>
      </c>
      <c r="T1037" s="94">
        <f>'3.2 Digest'!W1037</f>
        <v>155.95779315469207</v>
      </c>
      <c r="U1037" s="117">
        <v>0.33680555555555558</v>
      </c>
      <c r="V1037" s="155">
        <v>40.5</v>
      </c>
      <c r="W1037" s="117">
        <v>0.68402777777777779</v>
      </c>
      <c r="X1037" s="97">
        <v>73</v>
      </c>
      <c r="Y1037" s="97">
        <v>13.8</v>
      </c>
      <c r="Z1037" s="155">
        <v>40</v>
      </c>
      <c r="AA1037" s="117">
        <v>0.35347222222222224</v>
      </c>
      <c r="AB1037" s="155">
        <v>71.5</v>
      </c>
      <c r="AC1037" s="155">
        <v>16.100000000000001</v>
      </c>
      <c r="AD1037" s="96"/>
      <c r="AE1037" s="94">
        <f>Table3.110[[#This Row],[Gas 8h, ml]]-Table3.110[[#This Row],[Gas 0h, ml]]</f>
        <v>32.5</v>
      </c>
      <c r="AF1037" s="94">
        <f>Table3.110[[#This Row],[Gas 24h, ml]]-Table3.110[[#This Row],[V8 Push back, ml]]</f>
        <v>31.5</v>
      </c>
      <c r="AG1037" s="94">
        <f>Table3.110[[#This Row],[GP 8h, ml]]-(AVERAGE(AE$982,AE$983,AE$1032,AE$1033,AE$1085,AE$1086))*$AG$8</f>
        <v>29.771229168713369</v>
      </c>
      <c r="AH1037" s="94">
        <f>Table3.110[[#This Row],[GP 8-24h, ml]]-(AVERAGE(AF$982,AF$983,AF$1032,AF$1033,AF$1085,AF$1086))*$AG$8</f>
        <v>27.849347131116534</v>
      </c>
      <c r="AI1037" s="94">
        <f>Table3.110[[#This Row],[Net gas 8-24h, ml]]+Table3.110[[#This Row],[Net gas 8h, ml]]</f>
        <v>57.620576299829906</v>
      </c>
      <c r="AJ1037" s="94">
        <f>Table3.110[[#This Row],[Net gas 8h, ml]]*Table3.110[[#This Row],[CH4 8h %]]%</f>
        <v>4.1084296252824455</v>
      </c>
      <c r="AK1037" s="94">
        <f>Table3.110[[#This Row],[Net gas 8-24h, ml]]*Table3.110[[#This Row],[CH4 24h, %]]%</f>
        <v>4.4837448881097623</v>
      </c>
      <c r="AL1037" s="94">
        <f>Table3.110[[#This Row],[CH4 8-24h, ml]]+Table3.110[[#This Row],[CH4 8h, ml]]</f>
        <v>8.5921745133922087</v>
      </c>
      <c r="AM1037" s="94">
        <f>(Table3.110[[#This Row],[Net gas 24h, ml]]/Table3.110[[#This Row],[DM Incubated, mg]])*1000</f>
        <v>120.58101201914893</v>
      </c>
      <c r="AN1037" s="94">
        <f>'3.2 Digest'!X1037</f>
        <v>32.636862972370828</v>
      </c>
      <c r="AO1037" s="94">
        <f>Table3.110[[#This Row],[Digested feed, mg]]/Table3.110[[#This Row],[Net gas 24h, ml]]</f>
        <v>2.7066336918111049</v>
      </c>
      <c r="AP1037" s="94">
        <f>Table3.110[[#This Row],[CH4 8h, ml]]/Table3.110[[#This Row],[Net gas 8h, ml]]%</f>
        <v>13.8</v>
      </c>
      <c r="AQ1037" s="94">
        <f>Table3.110[[#This Row],[CH4 24h, ml]]/Table3.110[[#This Row],[Net gas 24h, ml]]%</f>
        <v>14.911642793509465</v>
      </c>
      <c r="AR1037" s="94">
        <f>Table3.110[[#This Row],[CH4 24h, ml]]/Table3.110[[#This Row],[DM Incubated, mg]]*1000</f>
        <v>17.980609789094206</v>
      </c>
      <c r="AS1037" s="94">
        <f>Table3.110[[#This Row],[CH4 24h, ml]]/Table3.110[[#This Row],[Digested feed, mg]]*1000</f>
        <v>55.09294751862619</v>
      </c>
      <c r="AT1037" s="255">
        <f>Table3.110[[#This Row],[CH4 24h, ml]]/'3.2 Digest'!AA1037</f>
        <v>-0.66080941608508781</v>
      </c>
      <c r="AU1037" s="255">
        <f>((Table3.110[[#This Row],[CH4 24h, ml]]/28.9)*16.04)/Table3.110[[#This Row],[DM Incubated, mg]]*1000</f>
        <v>9.9795495161616259</v>
      </c>
      <c r="AV1037" s="255">
        <f>((Table3.110[[#This Row],[CH4 24h, ml]]/28.9)*16.04)/Table3.110[[#This Row],[Digested feed, mg]]*1000</f>
        <v>30.577539038019516</v>
      </c>
    </row>
    <row r="1038" spans="2:48" x14ac:dyDescent="0.35">
      <c r="B1038" s="90">
        <f t="shared" si="16"/>
        <v>1028</v>
      </c>
      <c r="C1038" s="140">
        <v>46064</v>
      </c>
      <c r="D1038" s="6" t="s">
        <v>16</v>
      </c>
      <c r="E1038" s="6" t="s">
        <v>431</v>
      </c>
      <c r="F1038" s="242" t="s">
        <v>212</v>
      </c>
      <c r="G1038" s="242" t="s">
        <v>404</v>
      </c>
      <c r="H1038" s="6" t="s">
        <v>433</v>
      </c>
      <c r="I1038" s="133" t="s">
        <v>22</v>
      </c>
      <c r="J1038" s="135" t="s">
        <v>23</v>
      </c>
      <c r="K1038" s="135" t="s">
        <v>215</v>
      </c>
      <c r="L1038" s="6" t="s">
        <v>430</v>
      </c>
      <c r="M1038" s="256">
        <v>30</v>
      </c>
      <c r="N1038" s="256">
        <v>64</v>
      </c>
      <c r="O1038" s="256">
        <v>1</v>
      </c>
      <c r="P1038" s="257">
        <v>2</v>
      </c>
      <c r="Q1038" s="129">
        <v>162</v>
      </c>
      <c r="R1038" s="98">
        <v>0.50039999999999996</v>
      </c>
      <c r="S1038" s="94">
        <f>((Table3.110[[#This Row],[Sample weight, g]]*'2.1. DM'!Q275)/100)*1000</f>
        <v>478.14445049911598</v>
      </c>
      <c r="T1038" s="94">
        <f>'3.2 Digest'!W1038</f>
        <v>142.54445049911595</v>
      </c>
      <c r="U1038" s="153">
        <v>0.33680555555555558</v>
      </c>
      <c r="V1038" s="154">
        <v>40.5</v>
      </c>
      <c r="W1038" s="153">
        <v>0.68472222222222223</v>
      </c>
      <c r="X1038" s="95">
        <v>72</v>
      </c>
      <c r="Y1038" s="95">
        <v>14.2</v>
      </c>
      <c r="Z1038" s="154">
        <v>40.5</v>
      </c>
      <c r="AA1038" s="153">
        <v>0.35347222222222224</v>
      </c>
      <c r="AB1038" s="154">
        <v>72</v>
      </c>
      <c r="AC1038" s="154">
        <v>16.100000000000001</v>
      </c>
      <c r="AD1038" s="91"/>
      <c r="AE1038" s="94">
        <f>Table3.110[[#This Row],[Gas 8h, ml]]-Table3.110[[#This Row],[Gas 0h, ml]]</f>
        <v>31.5</v>
      </c>
      <c r="AF1038" s="94">
        <f>Table3.110[[#This Row],[Gas 24h, ml]]-Table3.110[[#This Row],[V8 Push back, ml]]</f>
        <v>31.5</v>
      </c>
      <c r="AG1038" s="94">
        <f>Table3.110[[#This Row],[GP 8h, ml]]-(AVERAGE(AE$982,AE$983,AE$1032,AE$1033,AE$1085,AE$1086))*$AG$8</f>
        <v>28.771229168713369</v>
      </c>
      <c r="AH1038" s="94">
        <f>Table3.110[[#This Row],[GP 8-24h, ml]]-(AVERAGE(AF$982,AF$983,AF$1032,AF$1033,AF$1085,AF$1086))*$AG$8</f>
        <v>27.849347131116534</v>
      </c>
      <c r="AI1038" s="94">
        <f>Table3.110[[#This Row],[Net gas 8-24h, ml]]+Table3.110[[#This Row],[Net gas 8h, ml]]</f>
        <v>56.620576299829906</v>
      </c>
      <c r="AJ1038" s="94">
        <f>Table3.110[[#This Row],[Net gas 8h, ml]]*Table3.110[[#This Row],[CH4 8h %]]%</f>
        <v>4.0855145419572976</v>
      </c>
      <c r="AK1038" s="94">
        <f>Table3.110[[#This Row],[Net gas 8-24h, ml]]*Table3.110[[#This Row],[CH4 24h, %]]%</f>
        <v>4.4837448881097623</v>
      </c>
      <c r="AL1038" s="94">
        <f>Table3.110[[#This Row],[CH4 8-24h, ml]]+Table3.110[[#This Row],[CH4 8h, ml]]</f>
        <v>8.5692594300670599</v>
      </c>
      <c r="AM1038" s="94">
        <f>(Table3.110[[#This Row],[Net gas 24h, ml]]/Table3.110[[#This Row],[DM Incubated, mg]])*1000</f>
        <v>118.41730305711158</v>
      </c>
      <c r="AN1038" s="94">
        <f>'3.2 Digest'!X1038</f>
        <v>29.812005629328013</v>
      </c>
      <c r="AO1038" s="94">
        <f>Table3.110[[#This Row],[Digested feed, mg]]/Table3.110[[#This Row],[Net gas 24h, ml]]</f>
        <v>2.5175379661323611</v>
      </c>
      <c r="AP1038" s="94">
        <f>Table3.110[[#This Row],[CH4 8h, ml]]/Table3.110[[#This Row],[Net gas 8h, ml]]%</f>
        <v>14.199999999999998</v>
      </c>
      <c r="AQ1038" s="94">
        <f>Table3.110[[#This Row],[CH4 24h, ml]]/Table3.110[[#This Row],[Net gas 24h, ml]]%</f>
        <v>15.134532338012962</v>
      </c>
      <c r="AR1038" s="94">
        <f>Table3.110[[#This Row],[CH4 24h, ml]]/Table3.110[[#This Row],[DM Incubated, mg]]*1000</f>
        <v>17.921905024981367</v>
      </c>
      <c r="AS1038" s="94">
        <f>Table3.110[[#This Row],[CH4 24h, ml]]/Table3.110[[#This Row],[Digested feed, mg]]*1000</f>
        <v>60.116401586045647</v>
      </c>
      <c r="AT1038" s="255">
        <f>Table3.110[[#This Row],[CH4 24h, ml]]/'3.2 Digest'!AA1038</f>
        <v>-0.48301373497973243</v>
      </c>
      <c r="AU1038" s="255">
        <f>((Table3.110[[#This Row],[CH4 24h, ml]]/28.9)*16.04)/Table3.110[[#This Row],[DM Incubated, mg]]*1000</f>
        <v>9.9469673564256436</v>
      </c>
      <c r="AV1038" s="255">
        <f>((Table3.110[[#This Row],[CH4 24h, ml]]/28.9)*16.04)/Table3.110[[#This Row],[Digested feed, mg]]*1000</f>
        <v>33.365642956407342</v>
      </c>
    </row>
    <row r="1039" spans="2:48" x14ac:dyDescent="0.35">
      <c r="B1039" s="90">
        <f t="shared" si="16"/>
        <v>1029</v>
      </c>
      <c r="C1039" s="140">
        <v>46064</v>
      </c>
      <c r="D1039" s="6" t="s">
        <v>16</v>
      </c>
      <c r="E1039" s="6" t="s">
        <v>431</v>
      </c>
      <c r="F1039" s="242" t="s">
        <v>212</v>
      </c>
      <c r="G1039" s="242" t="s">
        <v>404</v>
      </c>
      <c r="H1039" s="6" t="s">
        <v>433</v>
      </c>
      <c r="I1039" s="133" t="s">
        <v>22</v>
      </c>
      <c r="J1039" s="135" t="s">
        <v>23</v>
      </c>
      <c r="K1039" s="135" t="s">
        <v>215</v>
      </c>
      <c r="L1039" s="6" t="s">
        <v>430</v>
      </c>
      <c r="M1039" s="256">
        <v>30</v>
      </c>
      <c r="N1039" s="256">
        <v>64</v>
      </c>
      <c r="O1039" s="256">
        <v>1</v>
      </c>
      <c r="P1039" s="257">
        <v>3</v>
      </c>
      <c r="Q1039" s="129">
        <v>163</v>
      </c>
      <c r="R1039" s="98">
        <v>0.50009999999999999</v>
      </c>
      <c r="S1039" s="94">
        <f>((Table3.110[[#This Row],[Sample weight, g]]*'2.1. DM'!Q275)/100)*1000</f>
        <v>477.85779315469205</v>
      </c>
      <c r="T1039" s="94">
        <f>'3.2 Digest'!W1039</f>
        <v>165.25779315469208</v>
      </c>
      <c r="U1039" s="117">
        <v>0.33680555555555558</v>
      </c>
      <c r="V1039" s="155">
        <v>40.5</v>
      </c>
      <c r="W1039" s="117">
        <v>0.68472222222222223</v>
      </c>
      <c r="X1039" s="97">
        <v>72</v>
      </c>
      <c r="Y1039" s="97">
        <v>14.1</v>
      </c>
      <c r="Z1039" s="155">
        <v>40</v>
      </c>
      <c r="AA1039" s="117">
        <v>0.35416666666666669</v>
      </c>
      <c r="AB1039" s="155">
        <v>72</v>
      </c>
      <c r="AC1039" s="155">
        <v>16.3</v>
      </c>
      <c r="AD1039" s="96"/>
      <c r="AE1039" s="94">
        <f>Table3.110[[#This Row],[Gas 8h, ml]]-Table3.110[[#This Row],[Gas 0h, ml]]</f>
        <v>31.5</v>
      </c>
      <c r="AF1039" s="94">
        <f>Table3.110[[#This Row],[Gas 24h, ml]]-Table3.110[[#This Row],[V8 Push back, ml]]</f>
        <v>32</v>
      </c>
      <c r="AG1039" s="94">
        <f>Table3.110[[#This Row],[GP 8h, ml]]-(AVERAGE(AE$982,AE$983,AE$1032,AE$1033,AE$1085,AE$1086))*$AG$8</f>
        <v>28.771229168713369</v>
      </c>
      <c r="AH1039" s="94">
        <f>Table3.110[[#This Row],[GP 8-24h, ml]]-(AVERAGE(AF$982,AF$983,AF$1032,AF$1033,AF$1085,AF$1086))*$AG$8</f>
        <v>28.349347131116534</v>
      </c>
      <c r="AI1039" s="94">
        <f>Table3.110[[#This Row],[Net gas 8-24h, ml]]+Table3.110[[#This Row],[Net gas 8h, ml]]</f>
        <v>57.120576299829906</v>
      </c>
      <c r="AJ1039" s="94">
        <f>Table3.110[[#This Row],[Net gas 8h, ml]]*Table3.110[[#This Row],[CH4 8h %]]%</f>
        <v>4.0567433127885844</v>
      </c>
      <c r="AK1039" s="94">
        <f>Table3.110[[#This Row],[Net gas 8-24h, ml]]*Table3.110[[#This Row],[CH4 24h, %]]%</f>
        <v>4.6209435823719955</v>
      </c>
      <c r="AL1039" s="94">
        <f>Table3.110[[#This Row],[CH4 8-24h, ml]]+Table3.110[[#This Row],[CH4 8h, ml]]</f>
        <v>8.6776868951605799</v>
      </c>
      <c r="AM1039" s="94">
        <f>(Table3.110[[#This Row],[Net gas 24h, ml]]/Table3.110[[#This Row],[DM Incubated, mg]])*1000</f>
        <v>119.53467562542994</v>
      </c>
      <c r="AN1039" s="94">
        <f>'3.2 Digest'!X1039</f>
        <v>34.583048664688171</v>
      </c>
      <c r="AO1039" s="94">
        <f>Table3.110[[#This Row],[Digested feed, mg]]/Table3.110[[#This Row],[Net gas 24h, ml]]</f>
        <v>2.8931394579641907</v>
      </c>
      <c r="AP1039" s="94">
        <f>Table3.110[[#This Row],[CH4 8h, ml]]/Table3.110[[#This Row],[Net gas 8h, ml]]%</f>
        <v>14.099999999999998</v>
      </c>
      <c r="AQ1039" s="94">
        <f>Table3.110[[#This Row],[CH4 24h, ml]]/Table3.110[[#This Row],[Net gas 24h, ml]]%</f>
        <v>15.191875602953992</v>
      </c>
      <c r="AR1039" s="94">
        <f>Table3.110[[#This Row],[CH4 24h, ml]]/Table3.110[[#This Row],[DM Incubated, mg]]*1000</f>
        <v>18.159559223409882</v>
      </c>
      <c r="AS1039" s="94">
        <f>Table3.110[[#This Row],[CH4 24h, ml]]/Table3.110[[#This Row],[Digested feed, mg]]*1000</f>
        <v>52.510001068679998</v>
      </c>
      <c r="AT1039" s="255">
        <f>Table3.110[[#This Row],[CH4 24h, ml]]/'3.2 Digest'!AA1039</f>
        <v>-0.89113885777513457</v>
      </c>
      <c r="AU1039" s="255">
        <f>((Table3.110[[#This Row],[CH4 24h, ml]]/28.9)*16.04)/Table3.110[[#This Row],[DM Incubated, mg]]*1000</f>
        <v>10.078869548217803</v>
      </c>
      <c r="AV1039" s="255">
        <f>((Table3.110[[#This Row],[CH4 24h, ml]]/28.9)*16.04)/Table3.110[[#This Row],[Digested feed, mg]]*1000</f>
        <v>29.143959070644541</v>
      </c>
    </row>
    <row r="1040" spans="2:48" x14ac:dyDescent="0.35">
      <c r="B1040" s="90">
        <f t="shared" si="16"/>
        <v>1030</v>
      </c>
      <c r="C1040" s="140">
        <v>46064</v>
      </c>
      <c r="D1040" s="6" t="s">
        <v>16</v>
      </c>
      <c r="E1040" s="6" t="s">
        <v>435</v>
      </c>
      <c r="F1040" s="242" t="s">
        <v>219</v>
      </c>
      <c r="G1040" s="242" t="s">
        <v>220</v>
      </c>
      <c r="H1040" s="6" t="s">
        <v>221</v>
      </c>
      <c r="I1040" s="133" t="s">
        <v>22</v>
      </c>
      <c r="J1040" s="135" t="s">
        <v>23</v>
      </c>
      <c r="K1040" s="135" t="s">
        <v>215</v>
      </c>
      <c r="L1040" s="6" t="s">
        <v>434</v>
      </c>
      <c r="M1040" s="256">
        <v>30</v>
      </c>
      <c r="N1040" s="256">
        <v>64</v>
      </c>
      <c r="O1040" s="256">
        <v>1</v>
      </c>
      <c r="P1040" s="257">
        <v>1</v>
      </c>
      <c r="Q1040" s="129">
        <v>164</v>
      </c>
      <c r="R1040" s="98">
        <v>0.50019999999999998</v>
      </c>
      <c r="S1040" s="94">
        <f>((Table3.110[[#This Row],[Sample weight, g]]*'2.1. DM'!Q277)/100)*1000</f>
        <v>454.67497205610925</v>
      </c>
      <c r="T1040" s="94">
        <f>'3.2 Digest'!W1040</f>
        <v>13.874972056109414</v>
      </c>
      <c r="U1040" s="153">
        <v>0.33750000000000002</v>
      </c>
      <c r="V1040" s="154">
        <v>41</v>
      </c>
      <c r="W1040" s="153">
        <v>0.68541666666666667</v>
      </c>
      <c r="X1040" s="95">
        <v>83.5</v>
      </c>
      <c r="Y1040" s="95">
        <v>14.3</v>
      </c>
      <c r="Z1040" s="154">
        <v>40.5</v>
      </c>
      <c r="AA1040" s="153">
        <v>0.35486111111111113</v>
      </c>
      <c r="AB1040" s="154">
        <v>88</v>
      </c>
      <c r="AC1040" s="154">
        <v>16.2</v>
      </c>
      <c r="AD1040" s="91"/>
      <c r="AE1040" s="94">
        <f>Table3.110[[#This Row],[Gas 8h, ml]]-Table3.110[[#This Row],[Gas 0h, ml]]</f>
        <v>42.5</v>
      </c>
      <c r="AF1040" s="94">
        <f>Table3.110[[#This Row],[Gas 24h, ml]]-Table3.110[[#This Row],[V8 Push back, ml]]</f>
        <v>47.5</v>
      </c>
      <c r="AG1040" s="94"/>
      <c r="AH1040" s="94"/>
      <c r="AI1040" s="94"/>
      <c r="AJ1040" s="94"/>
      <c r="AK1040" s="94"/>
      <c r="AL1040" s="94"/>
      <c r="AM1040" s="94"/>
      <c r="AN1040" s="94"/>
      <c r="AO1040" s="94"/>
      <c r="AP1040" s="94"/>
      <c r="AQ1040" s="94"/>
      <c r="AR1040" s="94"/>
      <c r="AS1040" s="94"/>
      <c r="AT1040" s="255"/>
      <c r="AU1040" s="255"/>
      <c r="AV1040" s="255"/>
    </row>
    <row r="1041" spans="2:48" x14ac:dyDescent="0.35">
      <c r="B1041" s="90">
        <f t="shared" si="16"/>
        <v>1031</v>
      </c>
      <c r="C1041" s="144">
        <v>46064</v>
      </c>
      <c r="D1041" s="6" t="s">
        <v>16</v>
      </c>
      <c r="E1041" s="57" t="s">
        <v>435</v>
      </c>
      <c r="F1041" s="242" t="s">
        <v>219</v>
      </c>
      <c r="G1041" s="242" t="s">
        <v>220</v>
      </c>
      <c r="H1041" s="57" t="s">
        <v>221</v>
      </c>
      <c r="I1041" s="133" t="s">
        <v>22</v>
      </c>
      <c r="J1041" s="135" t="s">
        <v>23</v>
      </c>
      <c r="K1041" s="135" t="s">
        <v>215</v>
      </c>
      <c r="L1041" s="57" t="s">
        <v>434</v>
      </c>
      <c r="M1041" s="256">
        <v>30</v>
      </c>
      <c r="N1041" s="256">
        <v>64</v>
      </c>
      <c r="O1041" s="256">
        <v>1</v>
      </c>
      <c r="P1041" s="257">
        <v>2</v>
      </c>
      <c r="Q1041" s="130">
        <v>165</v>
      </c>
      <c r="R1041" s="98">
        <v>0.50039999999999996</v>
      </c>
      <c r="S1041" s="94">
        <f>((Table3.110[[#This Row],[Sample weight, g]]*'2.1. DM'!Q277)/100)*1000</f>
        <v>454.85676932602365</v>
      </c>
      <c r="T1041" s="94">
        <f>'3.2 Digest'!W1041</f>
        <v>262.95676932602373</v>
      </c>
      <c r="U1041" s="157">
        <v>0.33750000000000002</v>
      </c>
      <c r="V1041" s="158">
        <v>41</v>
      </c>
      <c r="W1041" s="157">
        <v>0.68541666666666667</v>
      </c>
      <c r="X1041" s="107">
        <v>82.5</v>
      </c>
      <c r="Y1041" s="107">
        <v>14.6</v>
      </c>
      <c r="Z1041" s="158">
        <v>40.5</v>
      </c>
      <c r="AA1041" s="157">
        <v>0.35486111111111113</v>
      </c>
      <c r="AB1041" s="158">
        <v>90.5</v>
      </c>
      <c r="AC1041" s="158">
        <v>17.100000000000001</v>
      </c>
      <c r="AD1041" s="178"/>
      <c r="AE1041" s="94">
        <f>Table3.110[[#This Row],[Gas 8h, ml]]-Table3.110[[#This Row],[Gas 0h, ml]]</f>
        <v>41.5</v>
      </c>
      <c r="AF1041" s="94">
        <f>Table3.110[[#This Row],[Gas 24h, ml]]-Table3.110[[#This Row],[V8 Push back, ml]]</f>
        <v>50</v>
      </c>
      <c r="AG1041" s="94">
        <f>Table3.110[[#This Row],[GP 8h, ml]]-(AVERAGE(AE$982,AE$983,AE$1032,AE$1033,AE$1085,AE$1086))*$AG$8</f>
        <v>38.771229168713369</v>
      </c>
      <c r="AH1041" s="94">
        <f>Table3.110[[#This Row],[GP 8-24h, ml]]-(AVERAGE(AF$982,AF$983,AF$1032,AF$1033,AF$1085,AF$1086))*$AG$8</f>
        <v>46.349347131116531</v>
      </c>
      <c r="AI1041" s="94">
        <f>Table3.110[[#This Row],[Net gas 8-24h, ml]]+Table3.110[[#This Row],[Net gas 8h, ml]]</f>
        <v>85.120576299829906</v>
      </c>
      <c r="AJ1041" s="94">
        <f>Table3.110[[#This Row],[Net gas 8h, ml]]*Table3.110[[#This Row],[CH4 8h %]]%</f>
        <v>5.6605994586321513</v>
      </c>
      <c r="AK1041" s="94">
        <f>Table3.110[[#This Row],[Net gas 8-24h, ml]]*Table3.110[[#This Row],[CH4 24h, %]]%</f>
        <v>7.9257383594209276</v>
      </c>
      <c r="AL1041" s="94">
        <f>Table3.110[[#This Row],[CH4 8-24h, ml]]+Table3.110[[#This Row],[CH4 8h, ml]]</f>
        <v>13.586337818053078</v>
      </c>
      <c r="AM1041" s="94">
        <f>(Table3.110[[#This Row],[Net gas 24h, ml]]/Table3.110[[#This Row],[DM Incubated, mg]])*1000</f>
        <v>187.13709906077884</v>
      </c>
      <c r="AN1041" s="94">
        <f>'3.2 Digest'!X1041</f>
        <v>57.810895002322482</v>
      </c>
      <c r="AO1041" s="94">
        <f>Table3.110[[#This Row],[Digested feed, mg]]/Table3.110[[#This Row],[Net gas 24h, ml]]</f>
        <v>3.0892268445150224</v>
      </c>
      <c r="AP1041" s="94">
        <f>Table3.110[[#This Row],[CH4 8h, ml]]/Table3.110[[#This Row],[Net gas 8h, ml]]%</f>
        <v>14.6</v>
      </c>
      <c r="AQ1041" s="94">
        <f>Table3.110[[#This Row],[CH4 24h, ml]]/Table3.110[[#This Row],[Net gas 24h, ml]]%</f>
        <v>15.961285048395785</v>
      </c>
      <c r="AR1041" s="94">
        <f>Table3.110[[#This Row],[CH4 24h, ml]]/Table3.110[[#This Row],[DM Incubated, mg]]*1000</f>
        <v>29.869485812389701</v>
      </c>
      <c r="AS1041" s="94">
        <f>Table3.110[[#This Row],[CH4 24h, ml]]/Table3.110[[#This Row],[Digested feed, mg]]*1000</f>
        <v>51.667572022868228</v>
      </c>
      <c r="AT1041" s="255">
        <f>Table3.110[[#This Row],[CH4 24h, ml]]/'3.2 Digest'!AA1041</f>
        <v>0.98643046344911867</v>
      </c>
      <c r="AU1041" s="255">
        <f>((Table3.110[[#This Row],[CH4 24h, ml]]/28.9)*16.04)/Table3.110[[#This Row],[DM Incubated, mg]]*1000</f>
        <v>16.578081398987223</v>
      </c>
      <c r="AV1041" s="255">
        <f>((Table3.110[[#This Row],[CH4 24h, ml]]/28.9)*16.04)/Table3.110[[#This Row],[Digested feed, mg]]*1000</f>
        <v>28.676396375322021</v>
      </c>
    </row>
    <row r="1042" spans="2:48" x14ac:dyDescent="0.35">
      <c r="B1042" s="90">
        <f t="shared" si="16"/>
        <v>1032</v>
      </c>
      <c r="C1042" s="140">
        <v>46064</v>
      </c>
      <c r="D1042" s="6" t="s">
        <v>16</v>
      </c>
      <c r="E1042" s="6" t="s">
        <v>435</v>
      </c>
      <c r="F1042" s="242" t="s">
        <v>219</v>
      </c>
      <c r="G1042" s="242" t="s">
        <v>220</v>
      </c>
      <c r="H1042" s="6" t="s">
        <v>221</v>
      </c>
      <c r="I1042" s="133" t="s">
        <v>22</v>
      </c>
      <c r="J1042" s="135" t="s">
        <v>23</v>
      </c>
      <c r="K1042" s="135" t="s">
        <v>215</v>
      </c>
      <c r="L1042" s="6" t="s">
        <v>434</v>
      </c>
      <c r="M1042" s="256">
        <v>30</v>
      </c>
      <c r="N1042" s="256">
        <v>64</v>
      </c>
      <c r="O1042" s="256">
        <v>1</v>
      </c>
      <c r="P1042" s="257">
        <v>3</v>
      </c>
      <c r="Q1042" s="129">
        <v>166</v>
      </c>
      <c r="R1042" s="98">
        <v>0.50019999999999998</v>
      </c>
      <c r="S1042" s="94">
        <f>((Table3.110[[#This Row],[Sample weight, g]]*'2.1. DM'!Q277)/100)*1000</f>
        <v>454.67497205610925</v>
      </c>
      <c r="T1042" s="94">
        <f>'3.2 Digest'!W1042</f>
        <v>194.47497205610927</v>
      </c>
      <c r="U1042" s="153">
        <v>0.33750000000000002</v>
      </c>
      <c r="V1042" s="154">
        <v>41.5</v>
      </c>
      <c r="W1042" s="153">
        <v>0.68611111111111112</v>
      </c>
      <c r="X1042" s="95">
        <v>83</v>
      </c>
      <c r="Y1042" s="95">
        <v>14.3</v>
      </c>
      <c r="Z1042" s="154">
        <v>40</v>
      </c>
      <c r="AA1042" s="153">
        <v>0.35555555555555557</v>
      </c>
      <c r="AB1042" s="154">
        <v>87</v>
      </c>
      <c r="AC1042" s="154">
        <v>17.2</v>
      </c>
      <c r="AD1042" s="91" t="s">
        <v>551</v>
      </c>
      <c r="AE1042" s="94">
        <f>Table3.110[[#This Row],[Gas 8h, ml]]-Table3.110[[#This Row],[Gas 0h, ml]]</f>
        <v>41.5</v>
      </c>
      <c r="AF1042" s="94">
        <f>Table3.110[[#This Row],[Gas 24h, ml]]-Table3.110[[#This Row],[V8 Push back, ml]]</f>
        <v>47</v>
      </c>
      <c r="AG1042" s="94">
        <f>Table3.110[[#This Row],[GP 8h, ml]]-(AVERAGE(AE$982,AE$983,AE$1032,AE$1033,AE$1085,AE$1086))*$AG$8</f>
        <v>38.771229168713369</v>
      </c>
      <c r="AH1042" s="94">
        <f>Table3.110[[#This Row],[GP 8-24h, ml]]-(AVERAGE(AF$982,AF$983,AF$1032,AF$1033,AF$1085,AF$1086))*$AG$8</f>
        <v>43.349347131116531</v>
      </c>
      <c r="AI1042" s="94">
        <f>Table3.110[[#This Row],[Net gas 8-24h, ml]]+Table3.110[[#This Row],[Net gas 8h, ml]]</f>
        <v>82.120576299829906</v>
      </c>
      <c r="AJ1042" s="94">
        <f>Table3.110[[#This Row],[Net gas 8h, ml]]*Table3.110[[#This Row],[CH4 8h %]]%</f>
        <v>5.5442857711260123</v>
      </c>
      <c r="AK1042" s="94">
        <f>Table3.110[[#This Row],[Net gas 8-24h, ml]]*Table3.110[[#This Row],[CH4 24h, %]]%</f>
        <v>7.4560877065520428</v>
      </c>
      <c r="AL1042" s="94">
        <f>Table3.110[[#This Row],[CH4 8-24h, ml]]+Table3.110[[#This Row],[CH4 8h, ml]]</f>
        <v>13.000373477678055</v>
      </c>
      <c r="AM1042" s="94">
        <f>(Table3.110[[#This Row],[Net gas 24h, ml]]/Table3.110[[#This Row],[DM Incubated, mg]])*1000</f>
        <v>180.61380402899283</v>
      </c>
      <c r="AN1042" s="94">
        <f>'3.2 Digest'!X1042</f>
        <v>42.772306374521548</v>
      </c>
      <c r="AO1042" s="94">
        <f>Table3.110[[#This Row],[Digested feed, mg]]/Table3.110[[#This Row],[Net gas 24h, ml]]</f>
        <v>2.3681637516286167</v>
      </c>
      <c r="AP1042" s="94">
        <f>Table3.110[[#This Row],[CH4 8h, ml]]/Table3.110[[#This Row],[Net gas 8h, ml]]%</f>
        <v>14.300000000000002</v>
      </c>
      <c r="AQ1042" s="94">
        <f>Table3.110[[#This Row],[CH4 24h, ml]]/Table3.110[[#This Row],[Net gas 24h, ml]]%</f>
        <v>15.830835660739247</v>
      </c>
      <c r="AR1042" s="94">
        <f>Table3.110[[#This Row],[CH4 24h, ml]]/Table3.110[[#This Row],[DM Incubated, mg]]*1000</f>
        <v>28.592674496439496</v>
      </c>
      <c r="AS1042" s="94">
        <f>Table3.110[[#This Row],[CH4 24h, ml]]/Table3.110[[#This Row],[Digested feed, mg]]*1000</f>
        <v>66.848568431351822</v>
      </c>
      <c r="AT1042" s="255">
        <f>Table3.110[[#This Row],[CH4 24h, ml]]/'3.2 Digest'!AA1042</f>
        <v>-0.76640162303179271</v>
      </c>
      <c r="AU1042" s="255">
        <f>((Table3.110[[#This Row],[CH4 24h, ml]]/28.9)*16.04)/Table3.110[[#This Row],[DM Incubated, mg]]*1000</f>
        <v>15.869429028473682</v>
      </c>
      <c r="AV1042" s="255">
        <f>((Table3.110[[#This Row],[CH4 24h, ml]]/28.9)*16.04)/Table3.110[[#This Row],[Digested feed, mg]]*1000</f>
        <v>37.102112029027104</v>
      </c>
    </row>
    <row r="1043" spans="2:48" x14ac:dyDescent="0.35">
      <c r="B1043" s="90">
        <f t="shared" si="16"/>
        <v>1033</v>
      </c>
      <c r="C1043" s="140">
        <v>46064</v>
      </c>
      <c r="D1043" s="6" t="s">
        <v>16</v>
      </c>
      <c r="E1043" s="6" t="s">
        <v>437</v>
      </c>
      <c r="F1043" s="242" t="s">
        <v>333</v>
      </c>
      <c r="G1043" s="242" t="s">
        <v>438</v>
      </c>
      <c r="H1043" s="6" t="s">
        <v>439</v>
      </c>
      <c r="I1043" s="133" t="s">
        <v>22</v>
      </c>
      <c r="J1043" s="135" t="s">
        <v>23</v>
      </c>
      <c r="K1043" s="135" t="s">
        <v>303</v>
      </c>
      <c r="L1043" s="6" t="s">
        <v>436</v>
      </c>
      <c r="M1043" s="256">
        <v>30</v>
      </c>
      <c r="N1043" s="256">
        <v>64</v>
      </c>
      <c r="O1043" s="256">
        <v>1</v>
      </c>
      <c r="P1043" s="257">
        <v>1</v>
      </c>
      <c r="Q1043" s="129">
        <v>167</v>
      </c>
      <c r="R1043" s="98">
        <v>0.50019999999999998</v>
      </c>
      <c r="S1043" s="94">
        <f>((Table3.110[[#This Row],[Sample weight, g]]*'2.1. DM'!Q279)/100)*1000</f>
        <v>482.52513423959249</v>
      </c>
      <c r="T1043" s="94">
        <f>'3.2 Digest'!W1043</f>
        <v>236.12513423959254</v>
      </c>
      <c r="U1043" s="117">
        <v>0.33819444444444446</v>
      </c>
      <c r="V1043" s="155">
        <v>41</v>
      </c>
      <c r="W1043" s="117">
        <v>0.6875</v>
      </c>
      <c r="X1043" s="97">
        <v>86.5</v>
      </c>
      <c r="Y1043" s="97">
        <v>14.6</v>
      </c>
      <c r="Z1043" s="155">
        <v>40.5</v>
      </c>
      <c r="AA1043" s="117">
        <v>0.35555555555555557</v>
      </c>
      <c r="AB1043" s="155">
        <v>89</v>
      </c>
      <c r="AC1043" s="155">
        <v>15.2</v>
      </c>
      <c r="AD1043" s="96"/>
      <c r="AE1043" s="94">
        <f>Table3.110[[#This Row],[Gas 8h, ml]]-Table3.110[[#This Row],[Gas 0h, ml]]</f>
        <v>45.5</v>
      </c>
      <c r="AF1043" s="94">
        <f>Table3.110[[#This Row],[Gas 24h, ml]]-Table3.110[[#This Row],[V8 Push back, ml]]</f>
        <v>48.5</v>
      </c>
      <c r="AG1043" s="94">
        <f>Table3.110[[#This Row],[GP 8h, ml]]-(AVERAGE(AE$982,AE$983,AE$1032,AE$1033,AE$1085,AE$1086))*$AG$8</f>
        <v>42.771229168713369</v>
      </c>
      <c r="AH1043" s="94">
        <f>Table3.110[[#This Row],[GP 8-24h, ml]]-(AVERAGE(AF$982,AF$983,AF$1032,AF$1033,AF$1085,AF$1086))*$AG$8</f>
        <v>44.849347131116531</v>
      </c>
      <c r="AI1043" s="94">
        <f>Table3.110[[#This Row],[Net gas 8-24h, ml]]+Table3.110[[#This Row],[Net gas 8h, ml]]</f>
        <v>87.620576299829906</v>
      </c>
      <c r="AJ1043" s="94">
        <f>Table3.110[[#This Row],[Net gas 8h, ml]]*Table3.110[[#This Row],[CH4 8h %]]%</f>
        <v>6.2445994586321518</v>
      </c>
      <c r="AK1043" s="94">
        <f>Table3.110[[#This Row],[Net gas 8-24h, ml]]*Table3.110[[#This Row],[CH4 24h, %]]%</f>
        <v>6.8171007639297123</v>
      </c>
      <c r="AL1043" s="94">
        <f>Table3.110[[#This Row],[CH4 8-24h, ml]]+Table3.110[[#This Row],[CH4 8h, ml]]</f>
        <v>13.061700222561864</v>
      </c>
      <c r="AM1043" s="94">
        <f>(Table3.110[[#This Row],[Net gas 24h, ml]]/Table3.110[[#This Row],[DM Incubated, mg]])*1000</f>
        <v>181.58759012193318</v>
      </c>
      <c r="AN1043" s="94">
        <f>'3.2 Digest'!X1043</f>
        <v>48.93530253334891</v>
      </c>
      <c r="AO1043" s="94">
        <f>Table3.110[[#This Row],[Digested feed, mg]]/Table3.110[[#This Row],[Net gas 24h, ml]]</f>
        <v>2.6948594064434488</v>
      </c>
      <c r="AP1043" s="94">
        <f>Table3.110[[#This Row],[CH4 8h, ml]]/Table3.110[[#This Row],[Net gas 8h, ml]]%</f>
        <v>14.6</v>
      </c>
      <c r="AQ1043" s="94">
        <f>Table3.110[[#This Row],[CH4 24h, ml]]/Table3.110[[#This Row],[Net gas 24h, ml]]%</f>
        <v>14.907115171059676</v>
      </c>
      <c r="AR1043" s="94">
        <f>Table3.110[[#This Row],[CH4 24h, ml]]/Table3.110[[#This Row],[DM Incubated, mg]]*1000</f>
        <v>27.069471195828363</v>
      </c>
      <c r="AS1043" s="94">
        <f>Table3.110[[#This Row],[CH4 24h, ml]]/Table3.110[[#This Row],[Digested feed, mg]]*1000</f>
        <v>55.316856736260689</v>
      </c>
      <c r="AT1043" s="255">
        <f>Table3.110[[#This Row],[CH4 24h, ml]]/'3.2 Digest'!AA1043</f>
        <v>-2.657367215797072</v>
      </c>
      <c r="AU1043" s="255">
        <f>((Table3.110[[#This Row],[CH4 24h, ml]]/28.9)*16.04)/Table3.110[[#This Row],[DM Incubated, mg]]*1000</f>
        <v>15.024024843636226</v>
      </c>
      <c r="AV1043" s="255">
        <f>((Table3.110[[#This Row],[CH4 24h, ml]]/28.9)*16.04)/Table3.110[[#This Row],[Digested feed, mg]]*1000</f>
        <v>30.701812527668562</v>
      </c>
    </row>
    <row r="1044" spans="2:48" x14ac:dyDescent="0.35">
      <c r="B1044" s="90">
        <f t="shared" si="16"/>
        <v>1034</v>
      </c>
      <c r="C1044" s="140">
        <v>46064</v>
      </c>
      <c r="D1044" s="6" t="s">
        <v>16</v>
      </c>
      <c r="E1044" s="6" t="s">
        <v>437</v>
      </c>
      <c r="F1044" s="242" t="s">
        <v>333</v>
      </c>
      <c r="G1044" s="242" t="s">
        <v>438</v>
      </c>
      <c r="H1044" s="6" t="s">
        <v>439</v>
      </c>
      <c r="I1044" s="133" t="s">
        <v>22</v>
      </c>
      <c r="J1044" s="135" t="s">
        <v>23</v>
      </c>
      <c r="K1044" s="135" t="s">
        <v>303</v>
      </c>
      <c r="L1044" s="6" t="s">
        <v>436</v>
      </c>
      <c r="M1044" s="256">
        <v>30</v>
      </c>
      <c r="N1044" s="256">
        <v>64</v>
      </c>
      <c r="O1044" s="256">
        <v>1</v>
      </c>
      <c r="P1044" s="257">
        <v>2</v>
      </c>
      <c r="Q1044" s="129">
        <v>168</v>
      </c>
      <c r="R1044" s="98">
        <v>0.50019999999999998</v>
      </c>
      <c r="S1044" s="94">
        <f>((Table3.110[[#This Row],[Sample weight, g]]*'2.1. DM'!Q279)/100)*1000</f>
        <v>482.52513423959249</v>
      </c>
      <c r="T1044" s="94">
        <f>'3.2 Digest'!W1044</f>
        <v>155.8251342395925</v>
      </c>
      <c r="U1044" s="153">
        <v>0.33819444444444446</v>
      </c>
      <c r="V1044" s="155">
        <v>40.5</v>
      </c>
      <c r="W1044" s="153">
        <v>0.6875</v>
      </c>
      <c r="X1044" s="95">
        <v>84</v>
      </c>
      <c r="Y1044" s="95">
        <v>14.9</v>
      </c>
      <c r="Z1044" s="154">
        <v>40</v>
      </c>
      <c r="AA1044" s="153">
        <v>0.35625000000000001</v>
      </c>
      <c r="AB1044" s="154">
        <v>86.5</v>
      </c>
      <c r="AC1044" s="154">
        <v>14.8</v>
      </c>
      <c r="AD1044" s="91"/>
      <c r="AE1044" s="94">
        <f>Table3.110[[#This Row],[Gas 8h, ml]]-Table3.110[[#This Row],[Gas 0h, ml]]</f>
        <v>43.5</v>
      </c>
      <c r="AF1044" s="94">
        <f>Table3.110[[#This Row],[Gas 24h, ml]]-Table3.110[[#This Row],[V8 Push back, ml]]</f>
        <v>46.5</v>
      </c>
      <c r="AG1044" s="94">
        <f>Table3.110[[#This Row],[GP 8h, ml]]-(AVERAGE(AE$982,AE$983,AE$1032,AE$1033,AE$1085,AE$1086))*$AG$8</f>
        <v>40.771229168713369</v>
      </c>
      <c r="AH1044" s="94">
        <f>Table3.110[[#This Row],[GP 8-24h, ml]]-(AVERAGE(AF$982,AF$983,AF$1032,AF$1033,AF$1085,AF$1086))*$AG$8</f>
        <v>42.849347131116531</v>
      </c>
      <c r="AI1044" s="94">
        <f>Table3.110[[#This Row],[Net gas 8-24h, ml]]+Table3.110[[#This Row],[Net gas 8h, ml]]</f>
        <v>83.620576299829906</v>
      </c>
      <c r="AJ1044" s="94">
        <f>Table3.110[[#This Row],[Net gas 8h, ml]]*Table3.110[[#This Row],[CH4 8h %]]%</f>
        <v>6.0749131461382913</v>
      </c>
      <c r="AK1044" s="94">
        <f>Table3.110[[#This Row],[Net gas 8-24h, ml]]*Table3.110[[#This Row],[CH4 24h, %]]%</f>
        <v>6.3417033754052472</v>
      </c>
      <c r="AL1044" s="94">
        <f>Table3.110[[#This Row],[CH4 8-24h, ml]]+Table3.110[[#This Row],[CH4 8h, ml]]</f>
        <v>12.416616521543538</v>
      </c>
      <c r="AM1044" s="94">
        <f>(Table3.110[[#This Row],[Net gas 24h, ml]]/Table3.110[[#This Row],[DM Incubated, mg]])*1000</f>
        <v>173.29786650721709</v>
      </c>
      <c r="AN1044" s="94">
        <f>'3.2 Digest'!X1044</f>
        <v>32.293682376806359</v>
      </c>
      <c r="AO1044" s="94">
        <f>Table3.110[[#This Row],[Digested feed, mg]]/Table3.110[[#This Row],[Net gas 24h, ml]]</f>
        <v>1.8634783582555801</v>
      </c>
      <c r="AP1044" s="94">
        <f>Table3.110[[#This Row],[CH4 8h, ml]]/Table3.110[[#This Row],[Net gas 8h, ml]]%</f>
        <v>14.899999999999999</v>
      </c>
      <c r="AQ1044" s="94">
        <f>Table3.110[[#This Row],[CH4 24h, ml]]/Table3.110[[#This Row],[Net gas 24h, ml]]%</f>
        <v>14.848757412317422</v>
      </c>
      <c r="AR1044" s="94">
        <f>Table3.110[[#This Row],[CH4 24h, ml]]/Table3.110[[#This Row],[DM Incubated, mg]]*1000</f>
        <v>25.73257979837835</v>
      </c>
      <c r="AS1044" s="94">
        <f>Table3.110[[#This Row],[CH4 24h, ml]]/Table3.110[[#This Row],[Digested feed, mg]]*1000</f>
        <v>79.683015080558732</v>
      </c>
      <c r="AT1044" s="255">
        <f>Table3.110[[#This Row],[CH4 24h, ml]]/'3.2 Digest'!AA1044</f>
        <v>-0.31750840386921991</v>
      </c>
      <c r="AU1044" s="255">
        <f>((Table3.110[[#This Row],[CH4 24h, ml]]/28.9)*16.04)/Table3.110[[#This Row],[DM Incubated, mg]]*1000</f>
        <v>14.282026988442516</v>
      </c>
      <c r="AV1044" s="255">
        <f>((Table3.110[[#This Row],[CH4 24h, ml]]/28.9)*16.04)/Table3.110[[#This Row],[Digested feed, mg]]*1000</f>
        <v>44.225451968586924</v>
      </c>
    </row>
    <row r="1045" spans="2:48" x14ac:dyDescent="0.35">
      <c r="B1045" s="90">
        <f t="shared" si="16"/>
        <v>1035</v>
      </c>
      <c r="C1045" s="140">
        <v>46064</v>
      </c>
      <c r="D1045" s="6" t="s">
        <v>16</v>
      </c>
      <c r="E1045" s="6" t="s">
        <v>437</v>
      </c>
      <c r="F1045" s="242" t="s">
        <v>333</v>
      </c>
      <c r="G1045" s="242" t="s">
        <v>438</v>
      </c>
      <c r="H1045" s="6" t="s">
        <v>439</v>
      </c>
      <c r="I1045" s="133" t="s">
        <v>22</v>
      </c>
      <c r="J1045" s="135" t="s">
        <v>23</v>
      </c>
      <c r="K1045" s="135" t="s">
        <v>303</v>
      </c>
      <c r="L1045" s="6" t="s">
        <v>436</v>
      </c>
      <c r="M1045" s="256">
        <v>30</v>
      </c>
      <c r="N1045" s="256">
        <v>64</v>
      </c>
      <c r="O1045" s="256">
        <v>1</v>
      </c>
      <c r="P1045" s="257">
        <v>3</v>
      </c>
      <c r="Q1045" s="129">
        <v>169</v>
      </c>
      <c r="R1045" s="98">
        <v>0.50049999999999994</v>
      </c>
      <c r="S1045" s="94">
        <f>((Table3.110[[#This Row],[Sample weight, g]]*'2.1. DM'!Q279)/100)*1000</f>
        <v>482.81453356040794</v>
      </c>
      <c r="T1045" s="94">
        <f>'3.2 Digest'!W1045</f>
        <v>186.61453356040801</v>
      </c>
      <c r="U1045" s="117">
        <v>0.33819444444444446</v>
      </c>
      <c r="V1045" s="155">
        <v>41</v>
      </c>
      <c r="W1045" s="117">
        <v>0.6875</v>
      </c>
      <c r="X1045" s="97">
        <v>86.5</v>
      </c>
      <c r="Y1045" s="97">
        <v>14.4</v>
      </c>
      <c r="Z1045" s="155">
        <v>40.5</v>
      </c>
      <c r="AA1045" s="117">
        <v>0.35625000000000001</v>
      </c>
      <c r="AB1045" s="155">
        <v>88.5</v>
      </c>
      <c r="AC1045" s="155">
        <v>14.8</v>
      </c>
      <c r="AD1045" s="96"/>
      <c r="AE1045" s="94">
        <f>Table3.110[[#This Row],[Gas 8h, ml]]-Table3.110[[#This Row],[Gas 0h, ml]]</f>
        <v>45.5</v>
      </c>
      <c r="AF1045" s="94">
        <f>Table3.110[[#This Row],[Gas 24h, ml]]-Table3.110[[#This Row],[V8 Push back, ml]]</f>
        <v>48</v>
      </c>
      <c r="AG1045" s="94">
        <f>Table3.110[[#This Row],[GP 8h, ml]]-(AVERAGE(AE$982,AE$983,AE$1032,AE$1033,AE$1085,AE$1086))*$AG$8</f>
        <v>42.771229168713369</v>
      </c>
      <c r="AH1045" s="94">
        <f>Table3.110[[#This Row],[GP 8-24h, ml]]-(AVERAGE(AF$982,AF$983,AF$1032,AF$1033,AF$1085,AF$1086))*$AG$8</f>
        <v>44.349347131116531</v>
      </c>
      <c r="AI1045" s="94">
        <f>Table3.110[[#This Row],[Net gas 8-24h, ml]]+Table3.110[[#This Row],[Net gas 8h, ml]]</f>
        <v>87.120576299829906</v>
      </c>
      <c r="AJ1045" s="94">
        <f>Table3.110[[#This Row],[Net gas 8h, ml]]*Table3.110[[#This Row],[CH4 8h %]]%</f>
        <v>6.1590570002947258</v>
      </c>
      <c r="AK1045" s="94">
        <f>Table3.110[[#This Row],[Net gas 8-24h, ml]]*Table3.110[[#This Row],[CH4 24h, %]]%</f>
        <v>6.5637033754052476</v>
      </c>
      <c r="AL1045" s="94">
        <f>Table3.110[[#This Row],[CH4 8-24h, ml]]+Table3.110[[#This Row],[CH4 8h, ml]]</f>
        <v>12.722760375699973</v>
      </c>
      <c r="AM1045" s="94">
        <f>(Table3.110[[#This Row],[Net gas 24h, ml]]/Table3.110[[#This Row],[DM Incubated, mg]])*1000</f>
        <v>180.44315206789381</v>
      </c>
      <c r="AN1045" s="94">
        <f>'3.2 Digest'!X1045</f>
        <v>38.6513910806</v>
      </c>
      <c r="AO1045" s="94">
        <f>Table3.110[[#This Row],[Digested feed, mg]]/Table3.110[[#This Row],[Net gas 24h, ml]]</f>
        <v>2.1420259310287912</v>
      </c>
      <c r="AP1045" s="94">
        <f>Table3.110[[#This Row],[CH4 8h, ml]]/Table3.110[[#This Row],[Net gas 8h, ml]]%</f>
        <v>14.4</v>
      </c>
      <c r="AQ1045" s="94">
        <f>Table3.110[[#This Row],[CH4 24h, ml]]/Table3.110[[#This Row],[Net gas 24h, ml]]%</f>
        <v>14.60362283637099</v>
      </c>
      <c r="AR1045" s="94">
        <f>Table3.110[[#This Row],[CH4 24h, ml]]/Table3.110[[#This Row],[DM Incubated, mg]]*1000</f>
        <v>26.351237362054572</v>
      </c>
      <c r="AS1045" s="94">
        <f>Table3.110[[#This Row],[CH4 24h, ml]]/Table3.110[[#This Row],[Digested feed, mg]]*1000</f>
        <v>68.176685561210888</v>
      </c>
      <c r="AT1045" s="255">
        <f>Table3.110[[#This Row],[CH4 24h, ml]]/'3.2 Digest'!AA1045</f>
        <v>-0.48850741081787091</v>
      </c>
      <c r="AU1045" s="255">
        <f>((Table3.110[[#This Row],[CH4 24h, ml]]/28.9)*16.04)/Table3.110[[#This Row],[DM Incubated, mg]]*1000</f>
        <v>14.625392639700877</v>
      </c>
      <c r="AV1045" s="255">
        <f>((Table3.110[[#This Row],[CH4 24h, ml]]/28.9)*16.04)/Table3.110[[#This Row],[Digested feed, mg]]*1000</f>
        <v>37.839240013903897</v>
      </c>
    </row>
    <row r="1046" spans="2:48" x14ac:dyDescent="0.35">
      <c r="B1046" s="90">
        <f t="shared" si="16"/>
        <v>1036</v>
      </c>
      <c r="C1046" s="140">
        <v>46064</v>
      </c>
      <c r="D1046" s="6" t="s">
        <v>16</v>
      </c>
      <c r="E1046" s="6" t="s">
        <v>441</v>
      </c>
      <c r="F1046" s="242" t="s">
        <v>442</v>
      </c>
      <c r="G1046" s="242" t="s">
        <v>443</v>
      </c>
      <c r="H1046" s="6" t="s">
        <v>444</v>
      </c>
      <c r="I1046" s="133" t="s">
        <v>22</v>
      </c>
      <c r="J1046" s="135" t="s">
        <v>23</v>
      </c>
      <c r="K1046" s="135" t="s">
        <v>303</v>
      </c>
      <c r="L1046" s="6" t="s">
        <v>440</v>
      </c>
      <c r="M1046" s="256">
        <v>30</v>
      </c>
      <c r="N1046" s="256">
        <v>64</v>
      </c>
      <c r="O1046" s="256">
        <v>1</v>
      </c>
      <c r="P1046" s="257">
        <v>1</v>
      </c>
      <c r="Q1046" s="129">
        <v>170</v>
      </c>
      <c r="R1046" s="98">
        <v>0.50009999999999999</v>
      </c>
      <c r="S1046" s="94">
        <f>((Table3.110[[#This Row],[Sample weight, g]]*'2.1. DM'!Q281)/100)*1000</f>
        <v>481.10187867869877</v>
      </c>
      <c r="T1046" s="94">
        <f>'3.2 Digest'!W1046</f>
        <v>133.20187867869868</v>
      </c>
      <c r="U1046" s="117">
        <v>0.33819444444444446</v>
      </c>
      <c r="V1046" s="155">
        <v>41</v>
      </c>
      <c r="W1046" s="117">
        <v>0.68819444444444444</v>
      </c>
      <c r="X1046" s="97">
        <v>71</v>
      </c>
      <c r="Y1046" s="97">
        <v>13.3</v>
      </c>
      <c r="Z1046" s="155">
        <v>40</v>
      </c>
      <c r="AA1046" s="117">
        <v>0.35694444444444445</v>
      </c>
      <c r="AB1046" s="155">
        <v>70.5</v>
      </c>
      <c r="AC1046" s="155">
        <v>14.5</v>
      </c>
      <c r="AD1046" s="103"/>
      <c r="AE1046" s="94">
        <f>Table3.110[[#This Row],[Gas 8h, ml]]-Table3.110[[#This Row],[Gas 0h, ml]]</f>
        <v>30</v>
      </c>
      <c r="AF1046" s="94">
        <f>Table3.110[[#This Row],[Gas 24h, ml]]-Table3.110[[#This Row],[V8 Push back, ml]]</f>
        <v>30.5</v>
      </c>
      <c r="AG1046" s="94">
        <f>Table3.110[[#This Row],[GP 8h, ml]]-(AVERAGE(AE$982,AE$983,AE$1032,AE$1033,AE$1085,AE$1086))*$AG$8</f>
        <v>27.271229168713369</v>
      </c>
      <c r="AH1046" s="94">
        <f>Table3.110[[#This Row],[GP 8-24h, ml]]-(AVERAGE(AF$982,AF$983,AF$1032,AF$1033,AF$1085,AF$1086))*$AG$8</f>
        <v>26.849347131116534</v>
      </c>
      <c r="AI1046" s="94">
        <f>Table3.110[[#This Row],[Net gas 8-24h, ml]]+Table3.110[[#This Row],[Net gas 8h, ml]]</f>
        <v>54.120576299829906</v>
      </c>
      <c r="AJ1046" s="94">
        <f>Table3.110[[#This Row],[Net gas 8h, ml]]*Table3.110[[#This Row],[CH4 8h %]]%</f>
        <v>3.6270734794388781</v>
      </c>
      <c r="AK1046" s="94">
        <f>Table3.110[[#This Row],[Net gas 8-24h, ml]]*Table3.110[[#This Row],[CH4 24h, %]]%</f>
        <v>3.8931553340118974</v>
      </c>
      <c r="AL1046" s="94">
        <f>Table3.110[[#This Row],[CH4 8-24h, ml]]+Table3.110[[#This Row],[CH4 8h, ml]]</f>
        <v>7.5202288134507755</v>
      </c>
      <c r="AM1046" s="94">
        <f>(Table3.110[[#This Row],[Net gas 24h, ml]]/Table3.110[[#This Row],[DM Incubated, mg]])*1000</f>
        <v>112.49296396111984</v>
      </c>
      <c r="AN1046" s="94">
        <f>'3.2 Digest'!X1046</f>
        <v>27.686834032850825</v>
      </c>
      <c r="AO1046" s="94">
        <f>Table3.110[[#This Row],[Digested feed, mg]]/Table3.110[[#This Row],[Net gas 24h, ml]]</f>
        <v>2.4612058441646214</v>
      </c>
      <c r="AP1046" s="94">
        <f>Table3.110[[#This Row],[CH4 8h, ml]]/Table3.110[[#This Row],[Net gas 8h, ml]]%</f>
        <v>13.3</v>
      </c>
      <c r="AQ1046" s="94">
        <f>Table3.110[[#This Row],[CH4 24h, ml]]/Table3.110[[#This Row],[Net gas 24h, ml]]%</f>
        <v>13.895322865352435</v>
      </c>
      <c r="AR1046" s="94">
        <f>Table3.110[[#This Row],[CH4 24h, ml]]/Table3.110[[#This Row],[DM Incubated, mg]]*1000</f>
        <v>15.631260543202158</v>
      </c>
      <c r="AS1046" s="94">
        <f>Table3.110[[#This Row],[CH4 24h, ml]]/Table3.110[[#This Row],[Digested feed, mg]]*1000</f>
        <v>56.457377989319546</v>
      </c>
      <c r="AT1046" s="255">
        <f>Table3.110[[#This Row],[CH4 24h, ml]]/'3.2 Digest'!AA1046</f>
        <v>-0.46569177868968592</v>
      </c>
      <c r="AU1046" s="255">
        <f>((Table3.110[[#This Row],[CH4 24h, ml]]/28.9)*16.04)/Table3.110[[#This Row],[DM Incubated, mg]]*1000</f>
        <v>8.675620038510818</v>
      </c>
      <c r="AV1046" s="255">
        <f>((Table3.110[[#This Row],[CH4 24h, ml]]/28.9)*16.04)/Table3.110[[#This Row],[Digested feed, mg]]*1000</f>
        <v>31.334821555317838</v>
      </c>
    </row>
    <row r="1047" spans="2:48" x14ac:dyDescent="0.35">
      <c r="B1047" s="90">
        <f t="shared" si="16"/>
        <v>1037</v>
      </c>
      <c r="C1047" s="140">
        <v>46064</v>
      </c>
      <c r="D1047" s="6" t="s">
        <v>16</v>
      </c>
      <c r="E1047" s="6" t="s">
        <v>441</v>
      </c>
      <c r="F1047" s="242" t="s">
        <v>442</v>
      </c>
      <c r="G1047" s="242" t="s">
        <v>443</v>
      </c>
      <c r="H1047" s="6" t="s">
        <v>444</v>
      </c>
      <c r="I1047" s="133" t="s">
        <v>22</v>
      </c>
      <c r="J1047" s="135" t="s">
        <v>23</v>
      </c>
      <c r="K1047" s="135" t="s">
        <v>303</v>
      </c>
      <c r="L1047" s="6" t="s">
        <v>440</v>
      </c>
      <c r="M1047" s="256">
        <v>30</v>
      </c>
      <c r="N1047" s="256">
        <v>64</v>
      </c>
      <c r="O1047" s="256">
        <v>1</v>
      </c>
      <c r="P1047" s="257">
        <v>2</v>
      </c>
      <c r="Q1047" s="129">
        <v>171</v>
      </c>
      <c r="R1047" s="98">
        <v>0.50039999999999996</v>
      </c>
      <c r="S1047" s="94">
        <f>((Table3.110[[#This Row],[Sample weight, g]]*'2.1. DM'!Q281)/100)*1000</f>
        <v>481.39048208522468</v>
      </c>
      <c r="T1047" s="94">
        <f>'3.2 Digest'!W1047</f>
        <v>151.79048208522465</v>
      </c>
      <c r="U1047" s="117">
        <v>0.33888888888888891</v>
      </c>
      <c r="V1047" s="155">
        <v>40.5</v>
      </c>
      <c r="W1047" s="117">
        <v>0.68888888888888888</v>
      </c>
      <c r="X1047" s="97">
        <v>69</v>
      </c>
      <c r="Y1047" s="97">
        <v>13.2</v>
      </c>
      <c r="Z1047" s="155">
        <v>40</v>
      </c>
      <c r="AA1047" s="117">
        <v>0.3576388888888889</v>
      </c>
      <c r="AB1047" s="155">
        <v>72</v>
      </c>
      <c r="AC1047" s="155">
        <v>14.4</v>
      </c>
      <c r="AD1047" s="96"/>
      <c r="AE1047" s="94">
        <f>Table3.110[[#This Row],[Gas 8h, ml]]-Table3.110[[#This Row],[Gas 0h, ml]]</f>
        <v>28.5</v>
      </c>
      <c r="AF1047" s="94">
        <f>Table3.110[[#This Row],[Gas 24h, ml]]-Table3.110[[#This Row],[V8 Push back, ml]]</f>
        <v>32</v>
      </c>
      <c r="AG1047" s="94">
        <f>Table3.110[[#This Row],[GP 8h, ml]]-(AVERAGE(AE$982,AE$983,AE$1032,AE$1033,AE$1085,AE$1086))*$AG$8</f>
        <v>25.771229168713369</v>
      </c>
      <c r="AH1047" s="94">
        <f>Table3.110[[#This Row],[GP 8-24h, ml]]-(AVERAGE(AF$982,AF$983,AF$1032,AF$1033,AF$1085,AF$1086))*$AG$8</f>
        <v>28.349347131116534</v>
      </c>
      <c r="AI1047" s="94">
        <f>Table3.110[[#This Row],[Net gas 8-24h, ml]]+Table3.110[[#This Row],[Net gas 8h, ml]]</f>
        <v>54.120576299829906</v>
      </c>
      <c r="AJ1047" s="94">
        <f>Table3.110[[#This Row],[Net gas 8h, ml]]*Table3.110[[#This Row],[CH4 8h %]]%</f>
        <v>3.401802250270165</v>
      </c>
      <c r="AK1047" s="94">
        <f>Table3.110[[#This Row],[Net gas 8-24h, ml]]*Table3.110[[#This Row],[CH4 24h, %]]%</f>
        <v>4.0823059868807814</v>
      </c>
      <c r="AL1047" s="94">
        <f>Table3.110[[#This Row],[CH4 8-24h, ml]]+Table3.110[[#This Row],[CH4 8h, ml]]</f>
        <v>7.4841082371509469</v>
      </c>
      <c r="AM1047" s="94">
        <f>(Table3.110[[#This Row],[Net gas 24h, ml]]/Table3.110[[#This Row],[DM Incubated, mg]])*1000</f>
        <v>112.42552213620309</v>
      </c>
      <c r="AN1047" s="94">
        <f>'3.2 Digest'!X1047</f>
        <v>31.531674957036621</v>
      </c>
      <c r="AO1047" s="94">
        <f>Table3.110[[#This Row],[Digested feed, mg]]/Table3.110[[#This Row],[Net gas 24h, ml]]</f>
        <v>2.8046723162055778</v>
      </c>
      <c r="AP1047" s="94">
        <f>Table3.110[[#This Row],[CH4 8h, ml]]/Table3.110[[#This Row],[Net gas 8h, ml]]%</f>
        <v>13.200000000000003</v>
      </c>
      <c r="AQ1047" s="94">
        <f>Table3.110[[#This Row],[CH4 24h, ml]]/Table3.110[[#This Row],[Net gas 24h, ml]]%</f>
        <v>13.828581934694714</v>
      </c>
      <c r="AR1047" s="94">
        <f>Table3.110[[#This Row],[CH4 24h, ml]]/Table3.110[[#This Row],[DM Incubated, mg]]*1000</f>
        <v>15.546855444113188</v>
      </c>
      <c r="AS1047" s="94">
        <f>Table3.110[[#This Row],[CH4 24h, ml]]/Table3.110[[#This Row],[Digested feed, mg]]*1000</f>
        <v>49.305517278408153</v>
      </c>
      <c r="AT1047" s="255">
        <f>Table3.110[[#This Row],[CH4 24h, ml]]/'3.2 Digest'!AA1047</f>
        <v>-0.75043887260496711</v>
      </c>
      <c r="AU1047" s="255">
        <f>((Table3.110[[#This Row],[CH4 24h, ml]]/28.9)*16.04)/Table3.110[[#This Row],[DM Incubated, mg]]*1000</f>
        <v>8.6287737482206044</v>
      </c>
      <c r="AV1047" s="255">
        <f>((Table3.110[[#This Row],[CH4 24h, ml]]/28.9)*16.04)/Table3.110[[#This Row],[Digested feed, mg]]*1000</f>
        <v>27.365415126147635</v>
      </c>
    </row>
    <row r="1048" spans="2:48" x14ac:dyDescent="0.35">
      <c r="B1048" s="90">
        <f t="shared" si="16"/>
        <v>1038</v>
      </c>
      <c r="C1048" s="140">
        <v>46064</v>
      </c>
      <c r="D1048" s="6" t="s">
        <v>16</v>
      </c>
      <c r="E1048" s="6" t="s">
        <v>441</v>
      </c>
      <c r="F1048" s="242" t="s">
        <v>442</v>
      </c>
      <c r="G1048" s="242" t="s">
        <v>443</v>
      </c>
      <c r="H1048" s="6" t="s">
        <v>444</v>
      </c>
      <c r="I1048" s="133" t="s">
        <v>22</v>
      </c>
      <c r="J1048" s="135" t="s">
        <v>23</v>
      </c>
      <c r="K1048" s="135" t="s">
        <v>303</v>
      </c>
      <c r="L1048" s="6" t="s">
        <v>440</v>
      </c>
      <c r="M1048" s="256">
        <v>30</v>
      </c>
      <c r="N1048" s="256">
        <v>64</v>
      </c>
      <c r="O1048" s="256">
        <v>1</v>
      </c>
      <c r="P1048" s="257">
        <v>3</v>
      </c>
      <c r="Q1048" s="129">
        <v>172</v>
      </c>
      <c r="R1048" s="98">
        <v>0.5</v>
      </c>
      <c r="S1048" s="94">
        <f>((Table3.110[[#This Row],[Sample weight, g]]*'2.1. DM'!Q281)/100)*1000</f>
        <v>481.00567754319019</v>
      </c>
      <c r="T1048" s="94">
        <f>'3.2 Digest'!W1048</f>
        <v>175.20567754319012</v>
      </c>
      <c r="U1048" s="153">
        <v>0.33888888888888891</v>
      </c>
      <c r="V1048" s="155">
        <v>40.5</v>
      </c>
      <c r="W1048" s="153">
        <v>0.68888888888888888</v>
      </c>
      <c r="X1048" s="95">
        <v>69.5</v>
      </c>
      <c r="Y1048" s="95">
        <v>13.2</v>
      </c>
      <c r="Z1048" s="154">
        <v>40</v>
      </c>
      <c r="AA1048" s="153">
        <v>0.3576388888888889</v>
      </c>
      <c r="AB1048" s="154">
        <v>73.5</v>
      </c>
      <c r="AC1048" s="154">
        <v>14.4</v>
      </c>
      <c r="AD1048" s="91"/>
      <c r="AE1048" s="94">
        <f>Table3.110[[#This Row],[Gas 8h, ml]]-Table3.110[[#This Row],[Gas 0h, ml]]</f>
        <v>29</v>
      </c>
      <c r="AF1048" s="94">
        <f>Table3.110[[#This Row],[Gas 24h, ml]]-Table3.110[[#This Row],[V8 Push back, ml]]</f>
        <v>33.5</v>
      </c>
      <c r="AG1048" s="94">
        <f>Table3.110[[#This Row],[GP 8h, ml]]-(AVERAGE(AE$982,AE$983,AE$1032,AE$1033,AE$1085,AE$1086))*$AG$8</f>
        <v>26.271229168713369</v>
      </c>
      <c r="AH1048" s="94">
        <f>Table3.110[[#This Row],[GP 8-24h, ml]]-(AVERAGE(AF$982,AF$983,AF$1032,AF$1033,AF$1085,AF$1086))*$AG$8</f>
        <v>29.849347131116534</v>
      </c>
      <c r="AI1048" s="94">
        <f>Table3.110[[#This Row],[Net gas 8-24h, ml]]+Table3.110[[#This Row],[Net gas 8h, ml]]</f>
        <v>56.120576299829906</v>
      </c>
      <c r="AJ1048" s="94">
        <f>Table3.110[[#This Row],[Net gas 8h, ml]]*Table3.110[[#This Row],[CH4 8h %]]%</f>
        <v>3.4678022502701649</v>
      </c>
      <c r="AK1048" s="94">
        <f>Table3.110[[#This Row],[Net gas 8-24h, ml]]*Table3.110[[#This Row],[CH4 24h, %]]%</f>
        <v>4.2983059868807816</v>
      </c>
      <c r="AL1048" s="94">
        <f>Table3.110[[#This Row],[CH4 8-24h, ml]]+Table3.110[[#This Row],[CH4 8h, ml]]</f>
        <v>7.7661082371509469</v>
      </c>
      <c r="AM1048" s="94">
        <f>(Table3.110[[#This Row],[Net gas 24h, ml]]/Table3.110[[#This Row],[DM Incubated, mg]])*1000</f>
        <v>116.67341763297743</v>
      </c>
      <c r="AN1048" s="94">
        <f>'3.2 Digest'!X1048</f>
        <v>36.424866841090072</v>
      </c>
      <c r="AO1048" s="94">
        <f>Table3.110[[#This Row],[Digested feed, mg]]/Table3.110[[#This Row],[Net gas 24h, ml]]</f>
        <v>3.1219507905110579</v>
      </c>
      <c r="AP1048" s="94">
        <f>Table3.110[[#This Row],[CH4 8h, ml]]/Table3.110[[#This Row],[Net gas 8h, ml]]%</f>
        <v>13.200000000000001</v>
      </c>
      <c r="AQ1048" s="94">
        <f>Table3.110[[#This Row],[CH4 24h, ml]]/Table3.110[[#This Row],[Net gas 24h, ml]]%</f>
        <v>13.838254610322819</v>
      </c>
      <c r="AR1048" s="94">
        <f>Table3.110[[#This Row],[CH4 24h, ml]]/Table3.110[[#This Row],[DM Incubated, mg]]*1000</f>
        <v>16.145564594616697</v>
      </c>
      <c r="AS1048" s="94">
        <f>Table3.110[[#This Row],[CH4 24h, ml]]/Table3.110[[#This Row],[Digested feed, mg]]*1000</f>
        <v>44.325665389676175</v>
      </c>
      <c r="AT1048" s="255">
        <f>Table3.110[[#This Row],[CH4 24h, ml]]/'3.2 Digest'!AA1048</f>
        <v>-3.6743666307784717</v>
      </c>
      <c r="AU1048" s="255">
        <f>((Table3.110[[#This Row],[CH4 24h, ml]]/28.9)*16.04)/Table3.110[[#This Row],[DM Incubated, mg]]*1000</f>
        <v>8.9610676850398541</v>
      </c>
      <c r="AV1048" s="255">
        <f>((Table3.110[[#This Row],[CH4 24h, ml]]/28.9)*16.04)/Table3.110[[#This Row],[Digested feed, mg]]*1000</f>
        <v>24.601511171294316</v>
      </c>
    </row>
    <row r="1049" spans="2:48" x14ac:dyDescent="0.35">
      <c r="B1049" s="90">
        <f t="shared" si="16"/>
        <v>1039</v>
      </c>
      <c r="C1049" s="140">
        <v>46064</v>
      </c>
      <c r="D1049" s="6" t="s">
        <v>16</v>
      </c>
      <c r="E1049" s="6" t="s">
        <v>446</v>
      </c>
      <c r="F1049" s="242" t="s">
        <v>442</v>
      </c>
      <c r="G1049" s="242" t="s">
        <v>447</v>
      </c>
      <c r="H1049" s="6" t="s">
        <v>448</v>
      </c>
      <c r="I1049" s="133" t="s">
        <v>22</v>
      </c>
      <c r="J1049" s="135" t="s">
        <v>23</v>
      </c>
      <c r="K1049" s="135" t="s">
        <v>303</v>
      </c>
      <c r="L1049" s="6" t="s">
        <v>445</v>
      </c>
      <c r="M1049" s="256">
        <v>30</v>
      </c>
      <c r="N1049" s="256">
        <v>64</v>
      </c>
      <c r="O1049" s="256">
        <v>1</v>
      </c>
      <c r="P1049" s="257">
        <v>1</v>
      </c>
      <c r="Q1049" s="129">
        <v>173</v>
      </c>
      <c r="R1049" s="98">
        <v>0.50019999999999998</v>
      </c>
      <c r="S1049" s="94">
        <f>((Table3.110[[#This Row],[Sample weight, g]]*'2.1. DM'!Q283)/100)*1000</f>
        <v>476.65000976069012</v>
      </c>
      <c r="T1049" s="94">
        <f>'3.2 Digest'!W1049</f>
        <v>155.65000976069018</v>
      </c>
      <c r="U1049" s="117">
        <v>0.33958333333333335</v>
      </c>
      <c r="V1049" s="155">
        <v>41</v>
      </c>
      <c r="W1049" s="117">
        <v>0.68958333333333333</v>
      </c>
      <c r="X1049" s="97">
        <v>76</v>
      </c>
      <c r="Y1049" s="97">
        <v>13.1</v>
      </c>
      <c r="Z1049" s="155">
        <v>40</v>
      </c>
      <c r="AA1049" s="117">
        <v>0.35833333333333334</v>
      </c>
      <c r="AB1049" s="155">
        <v>73</v>
      </c>
      <c r="AC1049" s="155">
        <v>15.4</v>
      </c>
      <c r="AD1049" s="96"/>
      <c r="AE1049" s="94">
        <f>Table3.110[[#This Row],[Gas 8h, ml]]-Table3.110[[#This Row],[Gas 0h, ml]]</f>
        <v>35</v>
      </c>
      <c r="AF1049" s="94">
        <f>Table3.110[[#This Row],[Gas 24h, ml]]-Table3.110[[#This Row],[V8 Push back, ml]]</f>
        <v>33</v>
      </c>
      <c r="AG1049" s="94">
        <f>Table3.110[[#This Row],[GP 8h, ml]]-(AVERAGE(AE$982,AE$983,AE$1032,AE$1033,AE$1085,AE$1086))*$AG$8</f>
        <v>32.271229168713369</v>
      </c>
      <c r="AH1049" s="94">
        <f>Table3.110[[#This Row],[GP 8-24h, ml]]-(AVERAGE(AF$982,AF$983,AF$1032,AF$1033,AF$1085,AF$1086))*$AG$8</f>
        <v>29.349347131116534</v>
      </c>
      <c r="AI1049" s="94">
        <f>Table3.110[[#This Row],[Net gas 8-24h, ml]]+Table3.110[[#This Row],[Net gas 8h, ml]]</f>
        <v>61.620576299829906</v>
      </c>
      <c r="AJ1049" s="94">
        <f>Table3.110[[#This Row],[Net gas 8h, ml]]*Table3.110[[#This Row],[CH4 8h %]]%</f>
        <v>4.2275310211014512</v>
      </c>
      <c r="AK1049" s="94">
        <f>Table3.110[[#This Row],[Net gas 8-24h, ml]]*Table3.110[[#This Row],[CH4 24h, %]]%</f>
        <v>4.5197994581919465</v>
      </c>
      <c r="AL1049" s="94">
        <f>Table3.110[[#This Row],[CH4 8-24h, ml]]+Table3.110[[#This Row],[CH4 8h, ml]]</f>
        <v>8.7473304792933977</v>
      </c>
      <c r="AM1049" s="94">
        <f>(Table3.110[[#This Row],[Net gas 24h, ml]]/Table3.110[[#This Row],[DM Incubated, mg]])*1000</f>
        <v>129.278453871778</v>
      </c>
      <c r="AN1049" s="94">
        <f>'3.2 Digest'!X1049</f>
        <v>32.65498931571129</v>
      </c>
      <c r="AO1049" s="94">
        <f>Table3.110[[#This Row],[Digested feed, mg]]/Table3.110[[#This Row],[Net gas 24h, ml]]</f>
        <v>2.5259421301634246</v>
      </c>
      <c r="AP1049" s="94">
        <f>Table3.110[[#This Row],[CH4 8h, ml]]/Table3.110[[#This Row],[Net gas 8h, ml]]%</f>
        <v>13.1</v>
      </c>
      <c r="AQ1049" s="94">
        <f>Table3.110[[#This Row],[CH4 24h, ml]]/Table3.110[[#This Row],[Net gas 24h, ml]]%</f>
        <v>14.195470092215841</v>
      </c>
      <c r="AR1049" s="94">
        <f>Table3.110[[#This Row],[CH4 24h, ml]]/Table3.110[[#This Row],[DM Incubated, mg]]*1000</f>
        <v>18.351684255047299</v>
      </c>
      <c r="AS1049" s="94">
        <f>Table3.110[[#This Row],[CH4 24h, ml]]/Table3.110[[#This Row],[Digested feed, mg]]*1000</f>
        <v>56.198714620977547</v>
      </c>
      <c r="AT1049" s="255">
        <f>Table3.110[[#This Row],[CH4 24h, ml]]/'3.2 Digest'!AA1049</f>
        <v>-0.36875311598386173</v>
      </c>
      <c r="AU1049" s="255">
        <f>((Table3.110[[#This Row],[CH4 24h, ml]]/28.9)*16.04)/Table3.110[[#This Row],[DM Incubated, mg]]*1000</f>
        <v>10.185502264739055</v>
      </c>
      <c r="AV1049" s="255">
        <f>((Table3.110[[#This Row],[CH4 24h, ml]]/28.9)*16.04)/Table3.110[[#This Row],[Digested feed, mg]]*1000</f>
        <v>31.191258910743251</v>
      </c>
    </row>
    <row r="1050" spans="2:48" x14ac:dyDescent="0.35">
      <c r="B1050" s="90">
        <f t="shared" si="16"/>
        <v>1040</v>
      </c>
      <c r="C1050" s="140">
        <v>46064</v>
      </c>
      <c r="D1050" s="6" t="s">
        <v>16</v>
      </c>
      <c r="E1050" s="6" t="s">
        <v>446</v>
      </c>
      <c r="F1050" s="242" t="s">
        <v>442</v>
      </c>
      <c r="G1050" s="242" t="s">
        <v>447</v>
      </c>
      <c r="H1050" s="6" t="s">
        <v>448</v>
      </c>
      <c r="I1050" s="133" t="s">
        <v>22</v>
      </c>
      <c r="J1050" s="135" t="s">
        <v>23</v>
      </c>
      <c r="K1050" s="135" t="s">
        <v>303</v>
      </c>
      <c r="L1050" s="6" t="s">
        <v>445</v>
      </c>
      <c r="M1050" s="256">
        <v>30</v>
      </c>
      <c r="N1050" s="256">
        <v>64</v>
      </c>
      <c r="O1050" s="256">
        <v>1</v>
      </c>
      <c r="P1050" s="257">
        <v>2</v>
      </c>
      <c r="Q1050" s="129">
        <v>174</v>
      </c>
      <c r="R1050" s="98">
        <v>0.5</v>
      </c>
      <c r="S1050" s="94">
        <f>((Table3.110[[#This Row],[Sample weight, g]]*'2.1. DM'!Q283)/100)*1000</f>
        <v>476.45942599029394</v>
      </c>
      <c r="T1050" s="94">
        <f>'3.2 Digest'!W1050</f>
        <v>133.65942599029381</v>
      </c>
      <c r="U1050" s="153">
        <v>0.33958333333333335</v>
      </c>
      <c r="V1050" s="155">
        <v>40.5</v>
      </c>
      <c r="W1050" s="153">
        <v>0.68958333333333333</v>
      </c>
      <c r="X1050" s="95">
        <v>75</v>
      </c>
      <c r="Y1050" s="95">
        <v>12.9</v>
      </c>
      <c r="Z1050" s="154">
        <v>40</v>
      </c>
      <c r="AA1050" s="153">
        <v>0.35833333333333334</v>
      </c>
      <c r="AB1050" s="154">
        <v>80.5</v>
      </c>
      <c r="AC1050" s="154">
        <v>15.3</v>
      </c>
      <c r="AD1050" s="91"/>
      <c r="AE1050" s="94">
        <f>Table3.110[[#This Row],[Gas 8h, ml]]-Table3.110[[#This Row],[Gas 0h, ml]]</f>
        <v>34.5</v>
      </c>
      <c r="AF1050" s="94">
        <f>Table3.110[[#This Row],[Gas 24h, ml]]-Table3.110[[#This Row],[V8 Push back, ml]]</f>
        <v>40.5</v>
      </c>
      <c r="AG1050" s="94">
        <f>Table3.110[[#This Row],[GP 8h, ml]]-(AVERAGE(AE$982,AE$983,AE$1032,AE$1033,AE$1085,AE$1086))*$AG$8</f>
        <v>31.771229168713369</v>
      </c>
      <c r="AH1050" s="94">
        <f>Table3.110[[#This Row],[GP 8-24h, ml]]-(AVERAGE(AF$982,AF$983,AF$1032,AF$1033,AF$1085,AF$1086))*$AG$8</f>
        <v>36.849347131116531</v>
      </c>
      <c r="AI1050" s="94">
        <f>Table3.110[[#This Row],[Net gas 8-24h, ml]]+Table3.110[[#This Row],[Net gas 8h, ml]]</f>
        <v>68.620576299829906</v>
      </c>
      <c r="AJ1050" s="94">
        <f>Table3.110[[#This Row],[Net gas 8h, ml]]*Table3.110[[#This Row],[CH4 8h %]]%</f>
        <v>4.0984885627640244</v>
      </c>
      <c r="AK1050" s="94">
        <f>Table3.110[[#This Row],[Net gas 8-24h, ml]]*Table3.110[[#This Row],[CH4 24h, %]]%</f>
        <v>5.637950111060829</v>
      </c>
      <c r="AL1050" s="94">
        <f>Table3.110[[#This Row],[CH4 8-24h, ml]]+Table3.110[[#This Row],[CH4 8h, ml]]</f>
        <v>9.7364386738248534</v>
      </c>
      <c r="AM1050" s="94">
        <f>(Table3.110[[#This Row],[Net gas 24h, ml]]/Table3.110[[#This Row],[DM Incubated, mg]])*1000</f>
        <v>144.02186745955527</v>
      </c>
      <c r="AN1050" s="94">
        <f>'3.2 Digest'!X1050</f>
        <v>28.052635481497774</v>
      </c>
      <c r="AO1050" s="94">
        <f>Table3.110[[#This Row],[Digested feed, mg]]/Table3.110[[#This Row],[Net gas 24h, ml]]</f>
        <v>1.9478038978612473</v>
      </c>
      <c r="AP1050" s="94">
        <f>Table3.110[[#This Row],[CH4 8h, ml]]/Table3.110[[#This Row],[Net gas 8h, ml]]%</f>
        <v>12.9</v>
      </c>
      <c r="AQ1050" s="94">
        <f>Table3.110[[#This Row],[CH4 24h, ml]]/Table3.110[[#This Row],[Net gas 24h, ml]]%</f>
        <v>14.188803415585696</v>
      </c>
      <c r="AR1050" s="94">
        <f>Table3.110[[#This Row],[CH4 24h, ml]]/Table3.110[[#This Row],[DM Incubated, mg]]*1000</f>
        <v>20.43497964929168</v>
      </c>
      <c r="AS1050" s="94">
        <f>Table3.110[[#This Row],[CH4 24h, ml]]/Table3.110[[#This Row],[Digested feed, mg]]*1000</f>
        <v>72.845133081238146</v>
      </c>
      <c r="AT1050" s="255">
        <f>Table3.110[[#This Row],[CH4 24h, ml]]/'3.2 Digest'!AA1050</f>
        <v>-0.30259485345001647</v>
      </c>
      <c r="AU1050" s="255">
        <f>((Table3.110[[#This Row],[CH4 24h, ml]]/28.9)*16.04)/Table3.110[[#This Row],[DM Incubated, mg]]*1000</f>
        <v>11.341767251717599</v>
      </c>
      <c r="AV1050" s="255">
        <f>((Table3.110[[#This Row],[CH4 24h, ml]]/28.9)*16.04)/Table3.110[[#This Row],[Digested feed, mg]]*1000</f>
        <v>40.430309156507263</v>
      </c>
    </row>
    <row r="1051" spans="2:48" x14ac:dyDescent="0.35">
      <c r="B1051" s="90">
        <f t="shared" si="16"/>
        <v>1041</v>
      </c>
      <c r="C1051" s="140">
        <v>46064</v>
      </c>
      <c r="D1051" s="6" t="s">
        <v>16</v>
      </c>
      <c r="E1051" s="6" t="s">
        <v>446</v>
      </c>
      <c r="F1051" s="242" t="s">
        <v>442</v>
      </c>
      <c r="G1051" s="242" t="s">
        <v>447</v>
      </c>
      <c r="H1051" s="6" t="s">
        <v>448</v>
      </c>
      <c r="I1051" s="133" t="s">
        <v>22</v>
      </c>
      <c r="J1051" s="135" t="s">
        <v>23</v>
      </c>
      <c r="K1051" s="135" t="s">
        <v>303</v>
      </c>
      <c r="L1051" s="6" t="s">
        <v>445</v>
      </c>
      <c r="M1051" s="256">
        <v>30</v>
      </c>
      <c r="N1051" s="256">
        <v>64</v>
      </c>
      <c r="O1051" s="256">
        <v>1</v>
      </c>
      <c r="P1051" s="257">
        <v>3</v>
      </c>
      <c r="Q1051" s="129">
        <v>175</v>
      </c>
      <c r="R1051" s="98">
        <v>0.50039999999999996</v>
      </c>
      <c r="S1051" s="94">
        <f>((Table3.110[[#This Row],[Sample weight, g]]*'2.1. DM'!Q283)/100)*1000</f>
        <v>476.84059353108614</v>
      </c>
      <c r="T1051" s="94">
        <f>'3.2 Digest'!W1051</f>
        <v>73.440593531086165</v>
      </c>
      <c r="U1051" s="117">
        <v>0.33958333333333335</v>
      </c>
      <c r="V1051" s="155">
        <v>40.5</v>
      </c>
      <c r="W1051" s="117">
        <v>0.69027777777777777</v>
      </c>
      <c r="X1051" s="97">
        <v>75</v>
      </c>
      <c r="Y1051" s="97">
        <v>13.1</v>
      </c>
      <c r="Z1051" s="155">
        <v>40</v>
      </c>
      <c r="AA1051" s="117">
        <v>0.35902777777777778</v>
      </c>
      <c r="AB1051" s="155">
        <v>73</v>
      </c>
      <c r="AC1051" s="155">
        <v>15.5</v>
      </c>
      <c r="AD1051" s="96"/>
      <c r="AE1051" s="94">
        <f>Table3.110[[#This Row],[Gas 8h, ml]]-Table3.110[[#This Row],[Gas 0h, ml]]</f>
        <v>34.5</v>
      </c>
      <c r="AF1051" s="94">
        <f>Table3.110[[#This Row],[Gas 24h, ml]]-Table3.110[[#This Row],[V8 Push back, ml]]</f>
        <v>33</v>
      </c>
      <c r="AG1051" s="94">
        <f>Table3.110[[#This Row],[GP 8h, ml]]-(AVERAGE(AE$982,AE$983,AE$1032,AE$1033,AE$1085,AE$1086))*$AG$8</f>
        <v>31.771229168713369</v>
      </c>
      <c r="AH1051" s="94">
        <f>Table3.110[[#This Row],[GP 8-24h, ml]]-(AVERAGE(AF$982,AF$983,AF$1032,AF$1033,AF$1085,AF$1086))*$AG$8</f>
        <v>29.349347131116534</v>
      </c>
      <c r="AI1051" s="94">
        <f>Table3.110[[#This Row],[Net gas 8-24h, ml]]+Table3.110[[#This Row],[Net gas 8h, ml]]</f>
        <v>61.120576299829906</v>
      </c>
      <c r="AJ1051" s="94">
        <f>Table3.110[[#This Row],[Net gas 8h, ml]]*Table3.110[[#This Row],[CH4 8h %]]%</f>
        <v>4.1620310211014511</v>
      </c>
      <c r="AK1051" s="94">
        <f>Table3.110[[#This Row],[Net gas 8-24h, ml]]*Table3.110[[#This Row],[CH4 24h, %]]%</f>
        <v>4.5491488053230631</v>
      </c>
      <c r="AL1051" s="94">
        <f>Table3.110[[#This Row],[CH4 8-24h, ml]]+Table3.110[[#This Row],[CH4 8h, ml]]</f>
        <v>8.7111798264245142</v>
      </c>
      <c r="AM1051" s="94">
        <f>(Table3.110[[#This Row],[Net gas 24h, ml]]/Table3.110[[#This Row],[DM Incubated, mg]])*1000</f>
        <v>128.17821538057737</v>
      </c>
      <c r="AN1051" s="94">
        <f>'3.2 Digest'!X1051</f>
        <v>15.401497801864142</v>
      </c>
      <c r="AO1051" s="94">
        <f>Table3.110[[#This Row],[Digested feed, mg]]/Table3.110[[#This Row],[Net gas 24h, ml]]</f>
        <v>1.2015690619607353</v>
      </c>
      <c r="AP1051" s="94">
        <f>Table3.110[[#This Row],[CH4 8h, ml]]/Table3.110[[#This Row],[Net gas 8h, ml]]%</f>
        <v>13.1</v>
      </c>
      <c r="AQ1051" s="94">
        <f>Table3.110[[#This Row],[CH4 24h, ml]]/Table3.110[[#This Row],[Net gas 24h, ml]]%</f>
        <v>14.252450408339419</v>
      </c>
      <c r="AR1051" s="94">
        <f>Table3.110[[#This Row],[CH4 24h, ml]]/Table3.110[[#This Row],[DM Incubated, mg]]*1000</f>
        <v>18.268536581411279</v>
      </c>
      <c r="AS1051" s="94">
        <f>Table3.110[[#This Row],[CH4 24h, ml]]/Table3.110[[#This Row],[Digested feed, mg]]*1000</f>
        <v>118.61532440825412</v>
      </c>
      <c r="AT1051" s="255">
        <f>Table3.110[[#This Row],[CH4 24h, ml]]/'3.2 Digest'!AA1051</f>
        <v>-0.15718976495350959</v>
      </c>
      <c r="AU1051" s="255">
        <f>((Table3.110[[#This Row],[CH4 24h, ml]]/28.9)*16.04)/Table3.110[[#This Row],[DM Incubated, mg]]*1000</f>
        <v>10.139353867329996</v>
      </c>
      <c r="AV1051" s="255">
        <f>((Table3.110[[#This Row],[CH4 24h, ml]]/28.9)*16.04)/Table3.110[[#This Row],[Digested feed, mg]]*1000</f>
        <v>65.833557214823387</v>
      </c>
    </row>
    <row r="1052" spans="2:48" x14ac:dyDescent="0.35">
      <c r="B1052" s="90">
        <f t="shared" si="16"/>
        <v>1042</v>
      </c>
      <c r="C1052" s="140">
        <v>46064</v>
      </c>
      <c r="D1052" s="6" t="s">
        <v>16</v>
      </c>
      <c r="E1052" s="6" t="s">
        <v>450</v>
      </c>
      <c r="F1052" s="242" t="s">
        <v>442</v>
      </c>
      <c r="G1052" s="242" t="s">
        <v>451</v>
      </c>
      <c r="H1052" s="6" t="s">
        <v>452</v>
      </c>
      <c r="I1052" s="133" t="s">
        <v>22</v>
      </c>
      <c r="J1052" s="135" t="s">
        <v>23</v>
      </c>
      <c r="K1052" s="135" t="s">
        <v>303</v>
      </c>
      <c r="L1052" s="6" t="s">
        <v>449</v>
      </c>
      <c r="M1052" s="256">
        <v>30</v>
      </c>
      <c r="N1052" s="256">
        <v>64</v>
      </c>
      <c r="O1052" s="256">
        <v>1</v>
      </c>
      <c r="P1052" s="257">
        <v>1</v>
      </c>
      <c r="Q1052" s="129">
        <v>176</v>
      </c>
      <c r="R1052" s="98">
        <v>0.50009999999999999</v>
      </c>
      <c r="S1052" s="94">
        <f>((Table3.110[[#This Row],[Sample weight, g]]*'2.1. DM'!Q285)/100)*1000</f>
        <v>482.27582118440796</v>
      </c>
      <c r="T1052" s="94">
        <f>'3.2 Digest'!W1052</f>
        <v>112.57582118440791</v>
      </c>
      <c r="U1052" s="153">
        <v>0.34027777777777779</v>
      </c>
      <c r="V1052" s="155">
        <v>41</v>
      </c>
      <c r="W1052" s="153">
        <v>0.69097222222222221</v>
      </c>
      <c r="X1052" s="95">
        <v>75</v>
      </c>
      <c r="Y1052" s="95">
        <v>14</v>
      </c>
      <c r="Z1052" s="154">
        <v>40</v>
      </c>
      <c r="AA1052" s="153">
        <v>0.35902777777777778</v>
      </c>
      <c r="AB1052" s="154">
        <v>72.5</v>
      </c>
      <c r="AC1052" s="154">
        <v>16.7</v>
      </c>
      <c r="AD1052" s="91"/>
      <c r="AE1052" s="94">
        <f>Table3.110[[#This Row],[Gas 8h, ml]]-Table3.110[[#This Row],[Gas 0h, ml]]</f>
        <v>34</v>
      </c>
      <c r="AF1052" s="94">
        <f>Table3.110[[#This Row],[Gas 24h, ml]]-Table3.110[[#This Row],[V8 Push back, ml]]</f>
        <v>32.5</v>
      </c>
      <c r="AG1052" s="94">
        <f>Table3.110[[#This Row],[GP 8h, ml]]-(AVERAGE(AE$982,AE$983,AE$1032,AE$1033,AE$1085,AE$1086))*$AG$8</f>
        <v>31.271229168713369</v>
      </c>
      <c r="AH1052" s="94">
        <f>Table3.110[[#This Row],[GP 8-24h, ml]]-(AVERAGE(AF$982,AF$983,AF$1032,AF$1033,AF$1085,AF$1086))*$AG$8</f>
        <v>28.849347131116534</v>
      </c>
      <c r="AI1052" s="94">
        <f>Table3.110[[#This Row],[Net gas 8-24h, ml]]+Table3.110[[#This Row],[Net gas 8h, ml]]</f>
        <v>60.120576299829906</v>
      </c>
      <c r="AJ1052" s="94">
        <f>Table3.110[[#This Row],[Net gas 8h, ml]]*Table3.110[[#This Row],[CH4 8h %]]%</f>
        <v>4.3779720836198717</v>
      </c>
      <c r="AK1052" s="94">
        <f>Table3.110[[#This Row],[Net gas 8-24h, ml]]*Table3.110[[#This Row],[CH4 24h, %]]%</f>
        <v>4.8178409708964605</v>
      </c>
      <c r="AL1052" s="94">
        <f>Table3.110[[#This Row],[CH4 8-24h, ml]]+Table3.110[[#This Row],[CH4 8h, ml]]</f>
        <v>9.1958130545163321</v>
      </c>
      <c r="AM1052" s="94">
        <f>(Table3.110[[#This Row],[Net gas 24h, ml]]/Table3.110[[#This Row],[DM Incubated, mg]])*1000</f>
        <v>124.66015018580329</v>
      </c>
      <c r="AN1052" s="94">
        <f>'3.2 Digest'!X1052</f>
        <v>23.342621844059288</v>
      </c>
      <c r="AO1052" s="94">
        <f>Table3.110[[#This Row],[Digested feed, mg]]/Table3.110[[#This Row],[Net gas 24h, ml]]</f>
        <v>1.8725006996435996</v>
      </c>
      <c r="AP1052" s="94">
        <f>Table3.110[[#This Row],[CH4 8h, ml]]/Table3.110[[#This Row],[Net gas 8h, ml]]%</f>
        <v>14.000000000000002</v>
      </c>
      <c r="AQ1052" s="94">
        <f>Table3.110[[#This Row],[CH4 24h, ml]]/Table3.110[[#This Row],[Net gas 24h, ml]]%</f>
        <v>15.295616942617945</v>
      </c>
      <c r="AR1052" s="94">
        <f>Table3.110[[#This Row],[CH4 24h, ml]]/Table3.110[[#This Row],[DM Incubated, mg]]*1000</f>
        <v>19.067539052512704</v>
      </c>
      <c r="AS1052" s="94">
        <f>Table3.110[[#This Row],[CH4 24h, ml]]/Table3.110[[#This Row],[Digested feed, mg]]*1000</f>
        <v>81.685507223197405</v>
      </c>
      <c r="AT1052" s="255">
        <f>Table3.110[[#This Row],[CH4 24h, ml]]/'3.2 Digest'!AA1052</f>
        <v>-0.31629946517666896</v>
      </c>
      <c r="AU1052" s="255">
        <f>((Table3.110[[#This Row],[CH4 24h, ml]]/28.9)*16.04)/Table3.110[[#This Row],[DM Incubated, mg]]*1000</f>
        <v>10.58281406236345</v>
      </c>
      <c r="AV1052" s="255">
        <f>((Table3.110[[#This Row],[CH4 24h, ml]]/28.9)*16.04)/Table3.110[[#This Row],[Digested feed, mg]]*1000</f>
        <v>45.33686975294416</v>
      </c>
    </row>
    <row r="1053" spans="2:48" x14ac:dyDescent="0.35">
      <c r="B1053" s="90">
        <f t="shared" si="16"/>
        <v>1043</v>
      </c>
      <c r="C1053" s="140">
        <v>46064</v>
      </c>
      <c r="D1053" s="6" t="s">
        <v>16</v>
      </c>
      <c r="E1053" s="6" t="s">
        <v>450</v>
      </c>
      <c r="F1053" s="242" t="s">
        <v>442</v>
      </c>
      <c r="G1053" s="242" t="s">
        <v>451</v>
      </c>
      <c r="H1053" s="6" t="s">
        <v>452</v>
      </c>
      <c r="I1053" s="133" t="s">
        <v>22</v>
      </c>
      <c r="J1053" s="135" t="s">
        <v>23</v>
      </c>
      <c r="K1053" s="135" t="s">
        <v>303</v>
      </c>
      <c r="L1053" s="6" t="s">
        <v>449</v>
      </c>
      <c r="M1053" s="256">
        <v>30</v>
      </c>
      <c r="N1053" s="256">
        <v>64</v>
      </c>
      <c r="O1053" s="256">
        <v>1</v>
      </c>
      <c r="P1053" s="257">
        <v>2</v>
      </c>
      <c r="Q1053" s="129">
        <v>177</v>
      </c>
      <c r="R1053" s="98">
        <v>0.50019999999999998</v>
      </c>
      <c r="S1053" s="94">
        <f>((Table3.110[[#This Row],[Sample weight, g]]*'2.1. DM'!Q285)/100)*1000</f>
        <v>482.3722570614695</v>
      </c>
      <c r="T1053" s="94">
        <f>'3.2 Digest'!W1053</f>
        <v>117.47225706146952</v>
      </c>
      <c r="U1053" s="117">
        <v>0.34027777777777779</v>
      </c>
      <c r="V1053" s="155">
        <v>41</v>
      </c>
      <c r="W1053" s="117">
        <v>0.69097222222222221</v>
      </c>
      <c r="X1053" s="97">
        <v>74.5</v>
      </c>
      <c r="Y1053" s="97">
        <v>13.9</v>
      </c>
      <c r="Z1053" s="155">
        <v>40</v>
      </c>
      <c r="AA1053" s="117">
        <v>0.35972222222222222</v>
      </c>
      <c r="AB1053" s="155">
        <v>69.5</v>
      </c>
      <c r="AC1053" s="155">
        <v>16.5</v>
      </c>
      <c r="AD1053" s="96"/>
      <c r="AE1053" s="94">
        <f>Table3.110[[#This Row],[Gas 8h, ml]]-Table3.110[[#This Row],[Gas 0h, ml]]</f>
        <v>33.5</v>
      </c>
      <c r="AF1053" s="94">
        <f>Table3.110[[#This Row],[Gas 24h, ml]]-Table3.110[[#This Row],[V8 Push back, ml]]</f>
        <v>29.5</v>
      </c>
      <c r="AG1053" s="94">
        <f>Table3.110[[#This Row],[GP 8h, ml]]-(AVERAGE(AE$982,AE$983,AE$1032,AE$1033,AE$1085,AE$1086))*$AG$8</f>
        <v>30.771229168713369</v>
      </c>
      <c r="AH1053" s="94">
        <f>Table3.110[[#This Row],[GP 8-24h, ml]]-(AVERAGE(AF$982,AF$983,AF$1032,AF$1033,AF$1085,AF$1086))*$AG$8</f>
        <v>25.849347131116534</v>
      </c>
      <c r="AI1053" s="94">
        <f>Table3.110[[#This Row],[Net gas 8-24h, ml]]+Table3.110[[#This Row],[Net gas 8h, ml]]</f>
        <v>56.620576299829906</v>
      </c>
      <c r="AJ1053" s="94">
        <f>Table3.110[[#This Row],[Net gas 8h, ml]]*Table3.110[[#This Row],[CH4 8h %]]%</f>
        <v>4.2772008544511584</v>
      </c>
      <c r="AK1053" s="94">
        <f>Table3.110[[#This Row],[Net gas 8-24h, ml]]*Table3.110[[#This Row],[CH4 24h, %]]%</f>
        <v>4.2651422766342284</v>
      </c>
      <c r="AL1053" s="94">
        <f>Table3.110[[#This Row],[CH4 8-24h, ml]]+Table3.110[[#This Row],[CH4 8h, ml]]</f>
        <v>8.5423431310853868</v>
      </c>
      <c r="AM1053" s="94">
        <f>(Table3.110[[#This Row],[Net gas 24h, ml]]/Table3.110[[#This Row],[DM Incubated, mg]])*1000</f>
        <v>117.37942112333101</v>
      </c>
      <c r="AN1053" s="94">
        <f>'3.2 Digest'!X1053</f>
        <v>24.353029292582189</v>
      </c>
      <c r="AO1053" s="94">
        <f>Table3.110[[#This Row],[Digested feed, mg]]/Table3.110[[#This Row],[Net gas 24h, ml]]</f>
        <v>2.0747273295030455</v>
      </c>
      <c r="AP1053" s="94">
        <f>Table3.110[[#This Row],[CH4 8h, ml]]/Table3.110[[#This Row],[Net gas 8h, ml]]%</f>
        <v>13.899999999999999</v>
      </c>
      <c r="AQ1053" s="94">
        <f>Table3.110[[#This Row],[CH4 24h, ml]]/Table3.110[[#This Row],[Net gas 24h, ml]]%</f>
        <v>15.086994321375441</v>
      </c>
      <c r="AR1053" s="94">
        <f>Table3.110[[#This Row],[CH4 24h, ml]]/Table3.110[[#This Row],[DM Incubated, mg]]*1000</f>
        <v>17.709026599340312</v>
      </c>
      <c r="AS1053" s="94">
        <f>Table3.110[[#This Row],[CH4 24h, ml]]/Table3.110[[#This Row],[Digested feed, mg]]*1000</f>
        <v>72.717962051375665</v>
      </c>
      <c r="AT1053" s="255">
        <f>Table3.110[[#This Row],[CH4 24h, ml]]/'3.2 Digest'!AA1053</f>
        <v>-0.31208517837223104</v>
      </c>
      <c r="AU1053" s="255">
        <f>((Table3.110[[#This Row],[CH4 24h, ml]]/28.9)*16.04)/Table3.110[[#This Row],[DM Incubated, mg]]*1000</f>
        <v>9.8288161471771147</v>
      </c>
      <c r="AV1053" s="255">
        <f>((Table3.110[[#This Row],[CH4 24h, ml]]/28.9)*16.04)/Table3.110[[#This Row],[Digested feed, mg]]*1000</f>
        <v>40.359727034742754</v>
      </c>
    </row>
    <row r="1054" spans="2:48" x14ac:dyDescent="0.35">
      <c r="B1054" s="90">
        <f t="shared" si="16"/>
        <v>1044</v>
      </c>
      <c r="C1054" s="140">
        <v>46064</v>
      </c>
      <c r="D1054" s="6" t="s">
        <v>16</v>
      </c>
      <c r="E1054" s="6" t="s">
        <v>450</v>
      </c>
      <c r="F1054" s="242" t="s">
        <v>442</v>
      </c>
      <c r="G1054" s="242" t="s">
        <v>451</v>
      </c>
      <c r="H1054" s="6" t="s">
        <v>452</v>
      </c>
      <c r="I1054" s="133" t="s">
        <v>22</v>
      </c>
      <c r="J1054" s="135" t="s">
        <v>23</v>
      </c>
      <c r="K1054" s="135" t="s">
        <v>303</v>
      </c>
      <c r="L1054" s="6" t="s">
        <v>449</v>
      </c>
      <c r="M1054" s="256">
        <v>30</v>
      </c>
      <c r="N1054" s="256">
        <v>64</v>
      </c>
      <c r="O1054" s="256">
        <v>1</v>
      </c>
      <c r="P1054" s="257">
        <v>3</v>
      </c>
      <c r="Q1054" s="129">
        <v>178</v>
      </c>
      <c r="R1054" s="98">
        <v>0.50039999999999996</v>
      </c>
      <c r="S1054" s="94">
        <f>((Table3.110[[#This Row],[Sample weight, g]]*'2.1. DM'!Q285)/100)*1000</f>
        <v>482.5651288155924</v>
      </c>
      <c r="T1054" s="94">
        <f>'3.2 Digest'!W1054</f>
        <v>181.46512881559238</v>
      </c>
      <c r="U1054" s="153">
        <v>0.34027777777777779</v>
      </c>
      <c r="V1054" s="155">
        <v>41</v>
      </c>
      <c r="W1054" s="153">
        <v>0.69166666666666665</v>
      </c>
      <c r="X1054" s="95">
        <v>76</v>
      </c>
      <c r="Y1054" s="95">
        <v>13.8</v>
      </c>
      <c r="Z1054" s="154">
        <v>40</v>
      </c>
      <c r="AA1054" s="153">
        <v>0.36041666666666666</v>
      </c>
      <c r="AB1054" s="154">
        <v>72.5</v>
      </c>
      <c r="AC1054" s="154">
        <v>16.5</v>
      </c>
      <c r="AD1054" s="91"/>
      <c r="AE1054" s="94">
        <f>Table3.110[[#This Row],[Gas 8h, ml]]-Table3.110[[#This Row],[Gas 0h, ml]]</f>
        <v>35</v>
      </c>
      <c r="AF1054" s="94">
        <f>Table3.110[[#This Row],[Gas 24h, ml]]-Table3.110[[#This Row],[V8 Push back, ml]]</f>
        <v>32.5</v>
      </c>
      <c r="AG1054" s="94">
        <f>Table3.110[[#This Row],[GP 8h, ml]]-(AVERAGE(AE$982,AE$983,AE$1032,AE$1033,AE$1085,AE$1086))*$AG$8</f>
        <v>32.271229168713369</v>
      </c>
      <c r="AH1054" s="94">
        <f>Table3.110[[#This Row],[GP 8-24h, ml]]-(AVERAGE(AF$982,AF$983,AF$1032,AF$1033,AF$1085,AF$1086))*$AG$8</f>
        <v>28.849347131116534</v>
      </c>
      <c r="AI1054" s="94">
        <f>Table3.110[[#This Row],[Net gas 8-24h, ml]]+Table3.110[[#This Row],[Net gas 8h, ml]]</f>
        <v>61.120576299829906</v>
      </c>
      <c r="AJ1054" s="94">
        <f>Table3.110[[#This Row],[Net gas 8h, ml]]*Table3.110[[#This Row],[CH4 8h %]]%</f>
        <v>4.4534296252824452</v>
      </c>
      <c r="AK1054" s="94">
        <f>Table3.110[[#This Row],[Net gas 8-24h, ml]]*Table3.110[[#This Row],[CH4 24h, %]]%</f>
        <v>4.7601422766342285</v>
      </c>
      <c r="AL1054" s="94">
        <f>Table3.110[[#This Row],[CH4 8-24h, ml]]+Table3.110[[#This Row],[CH4 8h, ml]]</f>
        <v>9.2135719019166729</v>
      </c>
      <c r="AM1054" s="94">
        <f>(Table3.110[[#This Row],[Net gas 24h, ml]]/Table3.110[[#This Row],[DM Incubated, mg]])*1000</f>
        <v>126.65767302715017</v>
      </c>
      <c r="AN1054" s="94">
        <f>'3.2 Digest'!X1054</f>
        <v>37.604277221808438</v>
      </c>
      <c r="AO1054" s="94">
        <f>Table3.110[[#This Row],[Digested feed, mg]]/Table3.110[[#This Row],[Net gas 24h, ml]]</f>
        <v>2.9689695320509828</v>
      </c>
      <c r="AP1054" s="94">
        <f>Table3.110[[#This Row],[CH4 8h, ml]]/Table3.110[[#This Row],[Net gas 8h, ml]]%</f>
        <v>13.800000000000002</v>
      </c>
      <c r="AQ1054" s="94">
        <f>Table3.110[[#This Row],[CH4 24h, ml]]/Table3.110[[#This Row],[Net gas 24h, ml]]%</f>
        <v>15.074419221309459</v>
      </c>
      <c r="AR1054" s="94">
        <f>Table3.110[[#This Row],[CH4 24h, ml]]/Table3.110[[#This Row],[DM Incubated, mg]]*1000</f>
        <v>19.092908608068011</v>
      </c>
      <c r="AS1054" s="94">
        <f>Table3.110[[#This Row],[CH4 24h, ml]]/Table3.110[[#This Row],[Digested feed, mg]]*1000</f>
        <v>50.773236500328636</v>
      </c>
      <c r="AT1054" s="255">
        <f>Table3.110[[#This Row],[CH4 24h, ml]]/'3.2 Digest'!AA1054</f>
        <v>-1.8209268618674785</v>
      </c>
      <c r="AU1054" s="255">
        <f>((Table3.110[[#This Row],[CH4 24h, ml]]/28.9)*16.04)/Table3.110[[#This Row],[DM Incubated, mg]]*1000</f>
        <v>10.596894604616294</v>
      </c>
      <c r="AV1054" s="255">
        <f>((Table3.110[[#This Row],[CH4 24h, ml]]/28.9)*16.04)/Table3.110[[#This Row],[Digested feed, mg]]*1000</f>
        <v>28.180024687379632</v>
      </c>
    </row>
    <row r="1055" spans="2:48" x14ac:dyDescent="0.35">
      <c r="B1055" s="90">
        <f t="shared" si="16"/>
        <v>1045</v>
      </c>
      <c r="C1055" s="140">
        <v>46064</v>
      </c>
      <c r="D1055" s="6" t="s">
        <v>16</v>
      </c>
      <c r="E1055" s="6" t="s">
        <v>454</v>
      </c>
      <c r="F1055" s="242" t="s">
        <v>442</v>
      </c>
      <c r="G1055" s="242" t="s">
        <v>455</v>
      </c>
      <c r="H1055" s="6" t="s">
        <v>456</v>
      </c>
      <c r="I1055" s="133" t="s">
        <v>22</v>
      </c>
      <c r="J1055" s="135" t="s">
        <v>23</v>
      </c>
      <c r="K1055" s="135" t="s">
        <v>303</v>
      </c>
      <c r="L1055" s="6" t="s">
        <v>453</v>
      </c>
      <c r="M1055" s="256">
        <v>30</v>
      </c>
      <c r="N1055" s="256">
        <v>64</v>
      </c>
      <c r="O1055" s="256">
        <v>1</v>
      </c>
      <c r="P1055" s="257">
        <v>1</v>
      </c>
      <c r="Q1055" s="129">
        <v>179</v>
      </c>
      <c r="R1055" s="98">
        <v>0.5</v>
      </c>
      <c r="S1055" s="94">
        <f>((Table3.110[[#This Row],[Sample weight, g]]*'2.1. DM'!Q287)/100)*1000</f>
        <v>478.33586433505769</v>
      </c>
      <c r="T1055" s="94">
        <f>'3.2 Digest'!W1055</f>
        <v>151.73586433505767</v>
      </c>
      <c r="U1055" s="117">
        <v>0.34027777777777779</v>
      </c>
      <c r="V1055" s="155">
        <v>41</v>
      </c>
      <c r="W1055" s="117">
        <v>0.69166666666666665</v>
      </c>
      <c r="X1055" s="97">
        <v>72.5</v>
      </c>
      <c r="Y1055" s="97">
        <v>13.6</v>
      </c>
      <c r="Z1055" s="155">
        <v>40</v>
      </c>
      <c r="AA1055" s="117">
        <v>0.36041666666666666</v>
      </c>
      <c r="AB1055" s="155">
        <v>76.599999999999994</v>
      </c>
      <c r="AC1055" s="155">
        <v>16</v>
      </c>
      <c r="AD1055" s="96"/>
      <c r="AE1055" s="94">
        <f>Table3.110[[#This Row],[Gas 8h, ml]]-Table3.110[[#This Row],[Gas 0h, ml]]</f>
        <v>31.5</v>
      </c>
      <c r="AF1055" s="94">
        <f>Table3.110[[#This Row],[Gas 24h, ml]]-Table3.110[[#This Row],[V8 Push back, ml]]</f>
        <v>36.599999999999994</v>
      </c>
      <c r="AG1055" s="94">
        <f>Table3.110[[#This Row],[GP 8h, ml]]-(AVERAGE(AE$982,AE$983,AE$1032,AE$1033,AE$1085,AE$1086))*$AG$8</f>
        <v>28.771229168713369</v>
      </c>
      <c r="AH1055" s="94">
        <f>Table3.110[[#This Row],[GP 8-24h, ml]]-(AVERAGE(AF$982,AF$983,AF$1032,AF$1033,AF$1085,AF$1086))*$AG$8</f>
        <v>32.949347131116525</v>
      </c>
      <c r="AI1055" s="94">
        <f>Table3.110[[#This Row],[Net gas 8-24h, ml]]+Table3.110[[#This Row],[Net gas 8h, ml]]</f>
        <v>61.720576299829894</v>
      </c>
      <c r="AJ1055" s="94">
        <f>Table3.110[[#This Row],[Net gas 8h, ml]]*Table3.110[[#This Row],[CH4 8h %]]%</f>
        <v>3.9128871669450183</v>
      </c>
      <c r="AK1055" s="94">
        <f>Table3.110[[#This Row],[Net gas 8-24h, ml]]*Table3.110[[#This Row],[CH4 24h, %]]%</f>
        <v>5.2718955409786439</v>
      </c>
      <c r="AL1055" s="94">
        <f>Table3.110[[#This Row],[CH4 8-24h, ml]]+Table3.110[[#This Row],[CH4 8h, ml]]</f>
        <v>9.184782707923663</v>
      </c>
      <c r="AM1055" s="94">
        <f>(Table3.110[[#This Row],[Net gas 24h, ml]]/Table3.110[[#This Row],[DM Incubated, mg]])*1000</f>
        <v>129.03188094756106</v>
      </c>
      <c r="AN1055" s="94">
        <f>'3.2 Digest'!X1055</f>
        <v>31.721615636324511</v>
      </c>
      <c r="AO1055" s="94">
        <f>Table3.110[[#This Row],[Digested feed, mg]]/Table3.110[[#This Row],[Net gas 24h, ml]]</f>
        <v>2.4584323969683326</v>
      </c>
      <c r="AP1055" s="94">
        <f>Table3.110[[#This Row],[CH4 8h, ml]]/Table3.110[[#This Row],[Net gas 8h, ml]]%</f>
        <v>13.6</v>
      </c>
      <c r="AQ1055" s="94">
        <f>Table3.110[[#This Row],[CH4 24h, ml]]/Table3.110[[#This Row],[Net gas 24h, ml]]%</f>
        <v>14.881232902468826</v>
      </c>
      <c r="AR1055" s="94">
        <f>Table3.110[[#This Row],[CH4 24h, ml]]/Table3.110[[#This Row],[DM Incubated, mg]]*1000</f>
        <v>19.201534722242865</v>
      </c>
      <c r="AS1055" s="94">
        <f>Table3.110[[#This Row],[CH4 24h, ml]]/Table3.110[[#This Row],[Digested feed, mg]]*1000</f>
        <v>60.531389518051952</v>
      </c>
      <c r="AT1055" s="255">
        <f>Table3.110[[#This Row],[CH4 24h, ml]]/'3.2 Digest'!AA1055</f>
        <v>-0.77983786405060063</v>
      </c>
      <c r="AU1055" s="255">
        <f>((Table3.110[[#This Row],[CH4 24h, ml]]/28.9)*16.04)/Table3.110[[#This Row],[DM Incubated, mg]]*1000</f>
        <v>10.657183977327875</v>
      </c>
      <c r="AV1055" s="255">
        <f>((Table3.110[[#This Row],[CH4 24h, ml]]/28.9)*16.04)/Table3.110[[#This Row],[Digested feed, mg]]*1000</f>
        <v>33.595968438392852</v>
      </c>
    </row>
    <row r="1056" spans="2:48" x14ac:dyDescent="0.35">
      <c r="B1056" s="90">
        <f t="shared" si="16"/>
        <v>1046</v>
      </c>
      <c r="C1056" s="140">
        <v>46064</v>
      </c>
      <c r="D1056" s="6" t="s">
        <v>16</v>
      </c>
      <c r="E1056" s="6" t="s">
        <v>454</v>
      </c>
      <c r="F1056" s="242" t="s">
        <v>442</v>
      </c>
      <c r="G1056" s="242" t="s">
        <v>455</v>
      </c>
      <c r="H1056" s="6" t="s">
        <v>456</v>
      </c>
      <c r="I1056" s="133" t="s">
        <v>22</v>
      </c>
      <c r="J1056" s="135" t="s">
        <v>23</v>
      </c>
      <c r="K1056" s="135" t="s">
        <v>303</v>
      </c>
      <c r="L1056" s="6" t="s">
        <v>453</v>
      </c>
      <c r="M1056" s="256">
        <v>30</v>
      </c>
      <c r="N1056" s="256">
        <v>64</v>
      </c>
      <c r="O1056" s="256">
        <v>1</v>
      </c>
      <c r="P1056" s="257">
        <v>2</v>
      </c>
      <c r="Q1056" s="129">
        <v>180</v>
      </c>
      <c r="R1056" s="98">
        <v>0.50009999999999999</v>
      </c>
      <c r="S1056" s="94">
        <f>((Table3.110[[#This Row],[Sample weight, g]]*'2.1. DM'!Q287)/100)*1000</f>
        <v>478.43153150792472</v>
      </c>
      <c r="T1056" s="94">
        <f>'3.2 Digest'!W1056</f>
        <v>169.33153150792469</v>
      </c>
      <c r="U1056" s="153">
        <v>0.34097222222222223</v>
      </c>
      <c r="V1056" s="155">
        <v>41</v>
      </c>
      <c r="W1056" s="153">
        <v>0.69236111111111109</v>
      </c>
      <c r="X1056" s="95">
        <v>74.5</v>
      </c>
      <c r="Y1056" s="95">
        <v>13.2</v>
      </c>
      <c r="Z1056" s="154">
        <v>40</v>
      </c>
      <c r="AA1056" s="153">
        <v>0.36041666666666666</v>
      </c>
      <c r="AB1056" s="154">
        <v>80</v>
      </c>
      <c r="AC1056" s="154">
        <v>16.2</v>
      </c>
      <c r="AD1056" s="91"/>
      <c r="AE1056" s="94">
        <f>Table3.110[[#This Row],[Gas 8h, ml]]-Table3.110[[#This Row],[Gas 0h, ml]]</f>
        <v>33.5</v>
      </c>
      <c r="AF1056" s="94">
        <f>Table3.110[[#This Row],[Gas 24h, ml]]-Table3.110[[#This Row],[V8 Push back, ml]]</f>
        <v>40</v>
      </c>
      <c r="AG1056" s="94">
        <f>Table3.110[[#This Row],[GP 8h, ml]]-(AVERAGE(AE$982,AE$983,AE$1032,AE$1033,AE$1085,AE$1086))*$AG$8</f>
        <v>30.771229168713369</v>
      </c>
      <c r="AH1056" s="94">
        <f>Table3.110[[#This Row],[GP 8-24h, ml]]-(AVERAGE(AF$982,AF$983,AF$1032,AF$1033,AF$1085,AF$1086))*$AG$8</f>
        <v>36.349347131116531</v>
      </c>
      <c r="AI1056" s="94">
        <f>Table3.110[[#This Row],[Net gas 8-24h, ml]]+Table3.110[[#This Row],[Net gas 8h, ml]]</f>
        <v>67.120576299829906</v>
      </c>
      <c r="AJ1056" s="94">
        <f>Table3.110[[#This Row],[Net gas 8h, ml]]*Table3.110[[#This Row],[CH4 8h %]]%</f>
        <v>4.0618022502701647</v>
      </c>
      <c r="AK1056" s="94">
        <f>Table3.110[[#This Row],[Net gas 8-24h, ml]]*Table3.110[[#This Row],[CH4 24h, %]]%</f>
        <v>5.8885942352408778</v>
      </c>
      <c r="AL1056" s="94">
        <f>Table3.110[[#This Row],[CH4 8-24h, ml]]+Table3.110[[#This Row],[CH4 8h, ml]]</f>
        <v>9.9503964855110425</v>
      </c>
      <c r="AM1056" s="94">
        <f>(Table3.110[[#This Row],[Net gas 24h, ml]]/Table3.110[[#This Row],[DM Incubated, mg]])*1000</f>
        <v>140.2929612274481</v>
      </c>
      <c r="AN1056" s="94">
        <f>'3.2 Digest'!X1056</f>
        <v>35.393054252553988</v>
      </c>
      <c r="AO1056" s="94">
        <f>Table3.110[[#This Row],[Digested feed, mg]]/Table3.110[[#This Row],[Net gas 24h, ml]]</f>
        <v>2.522796150490648</v>
      </c>
      <c r="AP1056" s="94">
        <f>Table3.110[[#This Row],[CH4 8h, ml]]/Table3.110[[#This Row],[Net gas 8h, ml]]%</f>
        <v>13.2</v>
      </c>
      <c r="AQ1056" s="94">
        <f>Table3.110[[#This Row],[CH4 24h, ml]]/Table3.110[[#This Row],[Net gas 24h, ml]]%</f>
        <v>14.824658896047438</v>
      </c>
      <c r="AR1056" s="94">
        <f>Table3.110[[#This Row],[CH4 24h, ml]]/Table3.110[[#This Row],[DM Incubated, mg]]*1000</f>
        <v>20.797952957133269</v>
      </c>
      <c r="AS1056" s="94">
        <f>Table3.110[[#This Row],[CH4 24h, ml]]/Table3.110[[#This Row],[Digested feed, mg]]*1000</f>
        <v>58.762809247050157</v>
      </c>
      <c r="AT1056" s="255">
        <f>Table3.110[[#This Row],[CH4 24h, ml]]/'3.2 Digest'!AA1056</f>
        <v>-1.7253014629312649</v>
      </c>
      <c r="AU1056" s="255">
        <f>((Table3.110[[#This Row],[CH4 24h, ml]]/28.9)*16.04)/Table3.110[[#This Row],[DM Incubated, mg]]*1000</f>
        <v>11.543223717384693</v>
      </c>
      <c r="AV1056" s="255">
        <f>((Table3.110[[#This Row],[CH4 24h, ml]]/28.9)*16.04)/Table3.110[[#This Row],[Digested feed, mg]]*1000</f>
        <v>32.61437578971227</v>
      </c>
    </row>
    <row r="1057" spans="2:48" x14ac:dyDescent="0.35">
      <c r="B1057" s="90">
        <f t="shared" si="16"/>
        <v>1047</v>
      </c>
      <c r="C1057" s="140">
        <v>46064</v>
      </c>
      <c r="D1057" s="6" t="s">
        <v>16</v>
      </c>
      <c r="E1057" s="6" t="s">
        <v>454</v>
      </c>
      <c r="F1057" s="242" t="s">
        <v>442</v>
      </c>
      <c r="G1057" s="242" t="s">
        <v>455</v>
      </c>
      <c r="H1057" s="6" t="s">
        <v>456</v>
      </c>
      <c r="I1057" s="133" t="s">
        <v>22</v>
      </c>
      <c r="J1057" s="135" t="s">
        <v>23</v>
      </c>
      <c r="K1057" s="135" t="s">
        <v>303</v>
      </c>
      <c r="L1057" s="6" t="s">
        <v>453</v>
      </c>
      <c r="M1057" s="256">
        <v>30</v>
      </c>
      <c r="N1057" s="256">
        <v>64</v>
      </c>
      <c r="O1057" s="256">
        <v>1</v>
      </c>
      <c r="P1057" s="257">
        <v>3</v>
      </c>
      <c r="Q1057" s="129">
        <v>181</v>
      </c>
      <c r="R1057" s="98">
        <v>0.50039999999999996</v>
      </c>
      <c r="S1057" s="94">
        <f>((Table3.110[[#This Row],[Sample weight, g]]*'2.1. DM'!Q287)/100)*1000</f>
        <v>478.71853302652573</v>
      </c>
      <c r="T1057" s="94">
        <f>'3.2 Digest'!W1057</f>
        <v>89.318533026525756</v>
      </c>
      <c r="U1057" s="117">
        <v>0.34097222222222223</v>
      </c>
      <c r="V1057" s="155">
        <v>41</v>
      </c>
      <c r="W1057" s="117">
        <v>0.69305555555555554</v>
      </c>
      <c r="X1057" s="97">
        <v>74</v>
      </c>
      <c r="Y1057" s="97">
        <v>13.2</v>
      </c>
      <c r="Z1057" s="155">
        <v>40</v>
      </c>
      <c r="AA1057" s="117">
        <v>0.3611111111111111</v>
      </c>
      <c r="AB1057" s="155">
        <v>76.5</v>
      </c>
      <c r="AC1057" s="155">
        <v>16.399999999999999</v>
      </c>
      <c r="AD1057" s="96"/>
      <c r="AE1057" s="94">
        <f>Table3.110[[#This Row],[Gas 8h, ml]]-Table3.110[[#This Row],[Gas 0h, ml]]</f>
        <v>33</v>
      </c>
      <c r="AF1057" s="94">
        <f>Table3.110[[#This Row],[Gas 24h, ml]]-Table3.110[[#This Row],[V8 Push back, ml]]</f>
        <v>36.5</v>
      </c>
      <c r="AG1057" s="94">
        <f>Table3.110[[#This Row],[GP 8h, ml]]-(AVERAGE(AE$982,AE$983,AE$1032,AE$1033,AE$1085,AE$1086))*$AG$8</f>
        <v>30.271229168713369</v>
      </c>
      <c r="AH1057" s="94">
        <f>Table3.110[[#This Row],[GP 8-24h, ml]]-(AVERAGE(AF$982,AF$983,AF$1032,AF$1033,AF$1085,AF$1086))*$AG$8</f>
        <v>32.849347131116531</v>
      </c>
      <c r="AI1057" s="94">
        <f>Table3.110[[#This Row],[Net gas 8-24h, ml]]+Table3.110[[#This Row],[Net gas 8h, ml]]</f>
        <v>63.120576299829899</v>
      </c>
      <c r="AJ1057" s="94">
        <f>Table3.110[[#This Row],[Net gas 8h, ml]]*Table3.110[[#This Row],[CH4 8h %]]%</f>
        <v>3.9958022502701649</v>
      </c>
      <c r="AK1057" s="94">
        <f>Table3.110[[#This Row],[Net gas 8-24h, ml]]*Table3.110[[#This Row],[CH4 24h, %]]%</f>
        <v>5.3872929295031105</v>
      </c>
      <c r="AL1057" s="94">
        <f>Table3.110[[#This Row],[CH4 8-24h, ml]]+Table3.110[[#This Row],[CH4 8h, ml]]</f>
        <v>9.3830951797732745</v>
      </c>
      <c r="AM1057" s="94">
        <f>(Table3.110[[#This Row],[Net gas 24h, ml]]/Table3.110[[#This Row],[DM Incubated, mg]])*1000</f>
        <v>131.85321215949747</v>
      </c>
      <c r="AN1057" s="94">
        <f>'3.2 Digest'!X1057</f>
        <v>18.657838973110451</v>
      </c>
      <c r="AO1057" s="94">
        <f>Table3.110[[#This Row],[Digested feed, mg]]/Table3.110[[#This Row],[Net gas 24h, ml]]</f>
        <v>1.4150462220473494</v>
      </c>
      <c r="AP1057" s="94">
        <f>Table3.110[[#This Row],[CH4 8h, ml]]/Table3.110[[#This Row],[Net gas 8h, ml]]%</f>
        <v>13.2</v>
      </c>
      <c r="AQ1057" s="94">
        <f>Table3.110[[#This Row],[CH4 24h, ml]]/Table3.110[[#This Row],[Net gas 24h, ml]]%</f>
        <v>14.865350935965013</v>
      </c>
      <c r="AR1057" s="94">
        <f>Table3.110[[#This Row],[CH4 24h, ml]]/Table3.110[[#This Row],[DM Incubated, mg]]*1000</f>
        <v>19.600442707851794</v>
      </c>
      <c r="AS1057" s="94">
        <f>Table3.110[[#This Row],[CH4 24h, ml]]/Table3.110[[#This Row],[Digested feed, mg]]*1000</f>
        <v>105.05205204150285</v>
      </c>
      <c r="AT1057" s="255">
        <f>Table3.110[[#This Row],[CH4 24h, ml]]/'3.2 Digest'!AA1057</f>
        <v>-0.28292690458039954</v>
      </c>
      <c r="AU1057" s="255">
        <f>((Table3.110[[#This Row],[CH4 24h, ml]]/28.9)*16.04)/Table3.110[[#This Row],[DM Incubated, mg]]*1000</f>
        <v>10.878584810863071</v>
      </c>
      <c r="AV1057" s="255">
        <f>((Table3.110[[#This Row],[CH4 24h, ml]]/28.9)*16.04)/Table3.110[[#This Row],[Digested feed, mg]]*1000</f>
        <v>58.305706392584966</v>
      </c>
    </row>
    <row r="1058" spans="2:48" x14ac:dyDescent="0.35">
      <c r="B1058" s="90">
        <f t="shared" si="16"/>
        <v>1048</v>
      </c>
      <c r="C1058" s="140">
        <v>46064</v>
      </c>
      <c r="D1058" s="6" t="s">
        <v>16</v>
      </c>
      <c r="E1058" s="6" t="s">
        <v>458</v>
      </c>
      <c r="F1058" s="242" t="s">
        <v>333</v>
      </c>
      <c r="G1058" s="242" t="s">
        <v>438</v>
      </c>
      <c r="H1058" s="6" t="s">
        <v>439</v>
      </c>
      <c r="I1058" s="133" t="s">
        <v>22</v>
      </c>
      <c r="J1058" s="135" t="s">
        <v>23</v>
      </c>
      <c r="K1058" s="135" t="s">
        <v>303</v>
      </c>
      <c r="L1058" s="6" t="s">
        <v>457</v>
      </c>
      <c r="M1058" s="256">
        <v>30</v>
      </c>
      <c r="N1058" s="256">
        <v>64</v>
      </c>
      <c r="O1058" s="256">
        <v>1</v>
      </c>
      <c r="P1058" s="257">
        <v>1</v>
      </c>
      <c r="Q1058" s="129">
        <v>182</v>
      </c>
      <c r="R1058" s="98">
        <v>0.50049999999999994</v>
      </c>
      <c r="S1058" s="94">
        <f>((Table3.110[[#This Row],[Sample weight, g]]*'2.1. DM'!Q289)/100)*1000</f>
        <v>477.8819627349061</v>
      </c>
      <c r="T1058" s="94">
        <f>'3.2 Digest'!W1058</f>
        <v>173.58196273490609</v>
      </c>
      <c r="U1058" s="153">
        <v>0.34097222222222223</v>
      </c>
      <c r="V1058" s="155">
        <v>41</v>
      </c>
      <c r="W1058" s="153">
        <v>0.69305555555555554</v>
      </c>
      <c r="X1058" s="95">
        <v>77.5</v>
      </c>
      <c r="Y1058" s="95">
        <v>13.9</v>
      </c>
      <c r="Z1058" s="154">
        <v>40.5</v>
      </c>
      <c r="AA1058" s="153">
        <v>0.3611111111111111</v>
      </c>
      <c r="AB1058" s="154">
        <v>81</v>
      </c>
      <c r="AC1058" s="154">
        <v>13.8</v>
      </c>
      <c r="AD1058" s="91"/>
      <c r="AE1058" s="94">
        <f>Table3.110[[#This Row],[Gas 8h, ml]]-Table3.110[[#This Row],[Gas 0h, ml]]</f>
        <v>36.5</v>
      </c>
      <c r="AF1058" s="94">
        <f>Table3.110[[#This Row],[Gas 24h, ml]]-Table3.110[[#This Row],[V8 Push back, ml]]</f>
        <v>40.5</v>
      </c>
      <c r="AG1058" s="94">
        <f>Table3.110[[#This Row],[GP 8h, ml]]-(AVERAGE(AE$982,AE$983,AE$1032,AE$1033,AE$1085,AE$1086))*$AG$8</f>
        <v>33.771229168713369</v>
      </c>
      <c r="AH1058" s="94">
        <f>Table3.110[[#This Row],[GP 8-24h, ml]]-(AVERAGE(AF$982,AF$983,AF$1032,AF$1033,AF$1085,AF$1086))*$AG$8</f>
        <v>36.849347131116531</v>
      </c>
      <c r="AI1058" s="94">
        <f>Table3.110[[#This Row],[Net gas 8-24h, ml]]+Table3.110[[#This Row],[Net gas 8h, ml]]</f>
        <v>70.620576299829906</v>
      </c>
      <c r="AJ1058" s="94">
        <f>Table3.110[[#This Row],[Net gas 8h, ml]]*Table3.110[[#This Row],[CH4 8h %]]%</f>
        <v>4.6942008544511591</v>
      </c>
      <c r="AK1058" s="94">
        <f>Table3.110[[#This Row],[Net gas 8-24h, ml]]*Table3.110[[#This Row],[CH4 24h, %]]%</f>
        <v>5.0852099040940812</v>
      </c>
      <c r="AL1058" s="94">
        <f>Table3.110[[#This Row],[CH4 8-24h, ml]]+Table3.110[[#This Row],[CH4 8h, ml]]</f>
        <v>9.7794107585452394</v>
      </c>
      <c r="AM1058" s="94">
        <f>(Table3.110[[#This Row],[Net gas 24h, ml]]/Table3.110[[#This Row],[DM Incubated, mg]])*1000</f>
        <v>147.77828377465889</v>
      </c>
      <c r="AN1058" s="94">
        <f>'3.2 Digest'!X1058</f>
        <v>36.323187789198194</v>
      </c>
      <c r="AO1058" s="94">
        <f>Table3.110[[#This Row],[Digested feed, mg]]/Table3.110[[#This Row],[Net gas 24h, ml]]</f>
        <v>2.4579516598383262</v>
      </c>
      <c r="AP1058" s="94">
        <f>Table3.110[[#This Row],[CH4 8h, ml]]/Table3.110[[#This Row],[Net gas 8h, ml]]%</f>
        <v>13.900000000000002</v>
      </c>
      <c r="AQ1058" s="94">
        <f>Table3.110[[#This Row],[CH4 24h, ml]]/Table3.110[[#This Row],[Net gas 24h, ml]]%</f>
        <v>13.847820664936705</v>
      </c>
      <c r="AR1058" s="94">
        <f>Table3.110[[#This Row],[CH4 24h, ml]]/Table3.110[[#This Row],[DM Incubated, mg]]*1000</f>
        <v>20.464071718836017</v>
      </c>
      <c r="AS1058" s="94">
        <f>Table3.110[[#This Row],[CH4 24h, ml]]/Table3.110[[#This Row],[Digested feed, mg]]*1000</f>
        <v>56.338864963062605</v>
      </c>
      <c r="AT1058" s="255">
        <f>Table3.110[[#This Row],[CH4 24h, ml]]/'3.2 Digest'!AA1058</f>
        <v>-0.25457571845582566</v>
      </c>
      <c r="AU1058" s="255">
        <f>((Table3.110[[#This Row],[CH4 24h, ml]]/28.9)*16.04)/Table3.110[[#This Row],[DM Incubated, mg]]*1000</f>
        <v>11.357913853637706</v>
      </c>
      <c r="AV1058" s="255">
        <f>((Table3.110[[#This Row],[CH4 24h, ml]]/28.9)*16.04)/Table3.110[[#This Row],[Digested feed, mg]]*1000</f>
        <v>31.26904477534686</v>
      </c>
    </row>
    <row r="1059" spans="2:48" x14ac:dyDescent="0.35">
      <c r="B1059" s="90">
        <f t="shared" si="16"/>
        <v>1049</v>
      </c>
      <c r="C1059" s="140">
        <v>46064</v>
      </c>
      <c r="D1059" s="6" t="s">
        <v>16</v>
      </c>
      <c r="E1059" s="6" t="s">
        <v>458</v>
      </c>
      <c r="F1059" s="242" t="s">
        <v>333</v>
      </c>
      <c r="G1059" s="242" t="s">
        <v>438</v>
      </c>
      <c r="H1059" s="6" t="s">
        <v>439</v>
      </c>
      <c r="I1059" s="133" t="s">
        <v>22</v>
      </c>
      <c r="J1059" s="135" t="s">
        <v>23</v>
      </c>
      <c r="K1059" s="135" t="s">
        <v>303</v>
      </c>
      <c r="L1059" s="6" t="s">
        <v>457</v>
      </c>
      <c r="M1059" s="256">
        <v>30</v>
      </c>
      <c r="N1059" s="256">
        <v>64</v>
      </c>
      <c r="O1059" s="256">
        <v>1</v>
      </c>
      <c r="P1059" s="257">
        <v>2</v>
      </c>
      <c r="Q1059" s="129">
        <v>183</v>
      </c>
      <c r="R1059" s="98">
        <v>0.5</v>
      </c>
      <c r="S1059" s="94">
        <f>((Table3.110[[#This Row],[Sample weight, g]]*'2.1. DM'!Q289)/100)*1000</f>
        <v>477.40455817672938</v>
      </c>
      <c r="T1059" s="94">
        <f>'3.2 Digest'!W1059</f>
        <v>254.90455817672947</v>
      </c>
      <c r="U1059" s="117">
        <v>0.34166666666666667</v>
      </c>
      <c r="V1059" s="155">
        <v>41</v>
      </c>
      <c r="W1059" s="117">
        <v>0.69374999999999998</v>
      </c>
      <c r="X1059" s="97">
        <v>79</v>
      </c>
      <c r="Y1059" s="97">
        <v>13.9</v>
      </c>
      <c r="Z1059" s="155">
        <v>40.5</v>
      </c>
      <c r="AA1059" s="117">
        <v>0.36180555555555555</v>
      </c>
      <c r="AB1059" s="155">
        <v>79.5</v>
      </c>
      <c r="AC1059" s="155">
        <v>13.5</v>
      </c>
      <c r="AD1059" s="96"/>
      <c r="AE1059" s="94">
        <f>Table3.110[[#This Row],[Gas 8h, ml]]-Table3.110[[#This Row],[Gas 0h, ml]]</f>
        <v>38</v>
      </c>
      <c r="AF1059" s="94">
        <f>Table3.110[[#This Row],[Gas 24h, ml]]-Table3.110[[#This Row],[V8 Push back, ml]]</f>
        <v>39</v>
      </c>
      <c r="AG1059" s="94">
        <f>Table3.110[[#This Row],[GP 8h, ml]]-(AVERAGE(AE$982,AE$983,AE$1032,AE$1033,AE$1085,AE$1086))*$AG$8</f>
        <v>35.271229168713369</v>
      </c>
      <c r="AH1059" s="94">
        <f>Table3.110[[#This Row],[GP 8-24h, ml]]-(AVERAGE(AF$982,AF$983,AF$1032,AF$1033,AF$1085,AF$1086))*$AG$8</f>
        <v>35.349347131116531</v>
      </c>
      <c r="AI1059" s="94">
        <f>Table3.110[[#This Row],[Net gas 8-24h, ml]]+Table3.110[[#This Row],[Net gas 8h, ml]]</f>
        <v>70.620576299829906</v>
      </c>
      <c r="AJ1059" s="94">
        <f>Table3.110[[#This Row],[Net gas 8h, ml]]*Table3.110[[#This Row],[CH4 8h %]]%</f>
        <v>4.902700854451159</v>
      </c>
      <c r="AK1059" s="94">
        <f>Table3.110[[#This Row],[Net gas 8-24h, ml]]*Table3.110[[#This Row],[CH4 24h, %]]%</f>
        <v>4.7721618627007318</v>
      </c>
      <c r="AL1059" s="94">
        <f>Table3.110[[#This Row],[CH4 8-24h, ml]]+Table3.110[[#This Row],[CH4 8h, ml]]</f>
        <v>9.6748627171518908</v>
      </c>
      <c r="AM1059" s="94">
        <f>(Table3.110[[#This Row],[Net gas 24h, ml]]/Table3.110[[#This Row],[DM Incubated, mg]])*1000</f>
        <v>147.92606205843353</v>
      </c>
      <c r="AN1059" s="94">
        <f>'3.2 Digest'!X1059</f>
        <v>53.393825804731186</v>
      </c>
      <c r="AO1059" s="94">
        <f>Table3.110[[#This Row],[Digested feed, mg]]/Table3.110[[#This Row],[Net gas 24h, ml]]</f>
        <v>3.6094941663247715</v>
      </c>
      <c r="AP1059" s="94">
        <f>Table3.110[[#This Row],[CH4 8h, ml]]/Table3.110[[#This Row],[Net gas 8h, ml]]%</f>
        <v>13.900000000000002</v>
      </c>
      <c r="AQ1059" s="94">
        <f>Table3.110[[#This Row],[CH4 24h, ml]]/Table3.110[[#This Row],[Net gas 24h, ml]]%</f>
        <v>13.69977876713418</v>
      </c>
      <c r="AR1059" s="94">
        <f>Table3.110[[#This Row],[CH4 24h, ml]]/Table3.110[[#This Row],[DM Incubated, mg]]*1000</f>
        <v>20.265543240939007</v>
      </c>
      <c r="AS1059" s="94">
        <f>Table3.110[[#This Row],[CH4 24h, ml]]/Table3.110[[#This Row],[Digested feed, mg]]*1000</f>
        <v>37.954843908456716</v>
      </c>
      <c r="AT1059" s="255">
        <f>Table3.110[[#This Row],[CH4 24h, ml]]/'3.2 Digest'!AA1059</f>
        <v>-7.3965090010654064</v>
      </c>
      <c r="AU1059" s="255">
        <f>((Table3.110[[#This Row],[CH4 24h, ml]]/28.9)*16.04)/Table3.110[[#This Row],[DM Incubated, mg]]*1000</f>
        <v>11.247727113656111</v>
      </c>
      <c r="AV1059" s="255">
        <f>((Table3.110[[#This Row],[CH4 24h, ml]]/28.9)*16.04)/Table3.110[[#This Row],[Digested feed, mg]]*1000</f>
        <v>21.065595027392582</v>
      </c>
    </row>
    <row r="1060" spans="2:48" x14ac:dyDescent="0.35">
      <c r="B1060" s="90">
        <f t="shared" si="16"/>
        <v>1050</v>
      </c>
      <c r="C1060" s="140">
        <v>46064</v>
      </c>
      <c r="D1060" s="6" t="s">
        <v>16</v>
      </c>
      <c r="E1060" s="6" t="s">
        <v>458</v>
      </c>
      <c r="F1060" s="242" t="s">
        <v>333</v>
      </c>
      <c r="G1060" s="242" t="s">
        <v>438</v>
      </c>
      <c r="H1060" s="6" t="s">
        <v>439</v>
      </c>
      <c r="I1060" s="133" t="s">
        <v>22</v>
      </c>
      <c r="J1060" s="135" t="s">
        <v>23</v>
      </c>
      <c r="K1060" s="135" t="s">
        <v>303</v>
      </c>
      <c r="L1060" s="6" t="s">
        <v>457</v>
      </c>
      <c r="M1060" s="256">
        <v>30</v>
      </c>
      <c r="N1060" s="256">
        <v>64</v>
      </c>
      <c r="O1060" s="256">
        <v>1</v>
      </c>
      <c r="P1060" s="257">
        <v>3</v>
      </c>
      <c r="Q1060" s="129">
        <v>184</v>
      </c>
      <c r="R1060" s="98">
        <v>0.50009999999999999</v>
      </c>
      <c r="S1060" s="94">
        <f>((Table3.110[[#This Row],[Sample weight, g]]*'2.1. DM'!Q289)/100)*1000</f>
        <v>477.5000390883647</v>
      </c>
      <c r="T1060" s="94">
        <f>'3.2 Digest'!W1060</f>
        <v>261.10003908836467</v>
      </c>
      <c r="U1060" s="153">
        <v>0.34166666666666667</v>
      </c>
      <c r="V1060" s="155">
        <v>41.5</v>
      </c>
      <c r="W1060" s="153">
        <v>0.69374999999999998</v>
      </c>
      <c r="X1060" s="95">
        <v>80.5</v>
      </c>
      <c r="Y1060" s="95">
        <v>13.5</v>
      </c>
      <c r="Z1060" s="154">
        <v>40.5</v>
      </c>
      <c r="AA1060" s="153">
        <v>0.36249999999999999</v>
      </c>
      <c r="AB1060" s="154">
        <v>83</v>
      </c>
      <c r="AC1060" s="154">
        <v>13.3</v>
      </c>
      <c r="AD1060" s="91"/>
      <c r="AE1060" s="94">
        <f>Table3.110[[#This Row],[Gas 8h, ml]]-Table3.110[[#This Row],[Gas 0h, ml]]</f>
        <v>39</v>
      </c>
      <c r="AF1060" s="94">
        <f>Table3.110[[#This Row],[Gas 24h, ml]]-Table3.110[[#This Row],[V8 Push back, ml]]</f>
        <v>42.5</v>
      </c>
      <c r="AG1060" s="94">
        <f>Table3.110[[#This Row],[GP 8h, ml]]-(AVERAGE(AE$982,AE$983,AE$1032,AE$1033,AE$1085,AE$1086))*$AG$8</f>
        <v>36.271229168713369</v>
      </c>
      <c r="AH1060" s="94">
        <f>Table3.110[[#This Row],[GP 8-24h, ml]]-(AVERAGE(AF$982,AF$983,AF$1032,AF$1033,AF$1085,AF$1086))*$AG$8</f>
        <v>38.849347131116531</v>
      </c>
      <c r="AI1060" s="94">
        <f>Table3.110[[#This Row],[Net gas 8-24h, ml]]+Table3.110[[#This Row],[Net gas 8h, ml]]</f>
        <v>75.120576299829906</v>
      </c>
      <c r="AJ1060" s="94">
        <f>Table3.110[[#This Row],[Net gas 8h, ml]]*Table3.110[[#This Row],[CH4 8h %]]%</f>
        <v>4.8966159377763052</v>
      </c>
      <c r="AK1060" s="94">
        <f>Table3.110[[#This Row],[Net gas 8-24h, ml]]*Table3.110[[#This Row],[CH4 24h, %]]%</f>
        <v>5.1669631684384987</v>
      </c>
      <c r="AL1060" s="94">
        <f>Table3.110[[#This Row],[CH4 8-24h, ml]]+Table3.110[[#This Row],[CH4 8h, ml]]</f>
        <v>10.063579106214803</v>
      </c>
      <c r="AM1060" s="94">
        <f>(Table3.110[[#This Row],[Net gas 24h, ml]]/Table3.110[[#This Row],[DM Incubated, mg]])*1000</f>
        <v>157.32056576005499</v>
      </c>
      <c r="AN1060" s="94">
        <f>'3.2 Digest'!X1060</f>
        <v>54.680631982115145</v>
      </c>
      <c r="AO1060" s="94">
        <f>Table3.110[[#This Row],[Digested feed, mg]]/Table3.110[[#This Row],[Net gas 24h, ml]]</f>
        <v>3.4757459533621264</v>
      </c>
      <c r="AP1060" s="94">
        <f>Table3.110[[#This Row],[CH4 8h, ml]]/Table3.110[[#This Row],[Net gas 8h, ml]]%</f>
        <v>13.5</v>
      </c>
      <c r="AQ1060" s="94">
        <f>Table3.110[[#This Row],[CH4 24h, ml]]/Table3.110[[#This Row],[Net gas 24h, ml]]%</f>
        <v>13.396568026911675</v>
      </c>
      <c r="AR1060" s="94">
        <f>Table3.110[[#This Row],[CH4 24h, ml]]/Table3.110[[#This Row],[DM Incubated, mg]]*1000</f>
        <v>21.075556612368082</v>
      </c>
      <c r="AS1060" s="94">
        <f>Table3.110[[#This Row],[CH4 24h, ml]]/Table3.110[[#This Row],[Digested feed, mg]]*1000</f>
        <v>38.543001147575325</v>
      </c>
      <c r="AT1060" s="255">
        <f>Table3.110[[#This Row],[CH4 24h, ml]]/'3.2 Digest'!AA1060</f>
        <v>6.7581398843234615</v>
      </c>
      <c r="AU1060" s="255">
        <f>((Table3.110[[#This Row],[CH4 24h, ml]]/28.9)*16.04)/Table3.110[[#This Row],[DM Incubated, mg]]*1000</f>
        <v>11.697298548871419</v>
      </c>
      <c r="AV1060" s="255">
        <f>((Table3.110[[#This Row],[CH4 24h, ml]]/28.9)*16.04)/Table3.110[[#This Row],[Digested feed, mg]]*1000</f>
        <v>21.392032470834195</v>
      </c>
    </row>
    <row r="1061" spans="2:48" x14ac:dyDescent="0.35">
      <c r="B1061" s="90">
        <f t="shared" si="16"/>
        <v>1051</v>
      </c>
      <c r="C1061" s="140">
        <v>46064</v>
      </c>
      <c r="D1061" s="6" t="s">
        <v>16</v>
      </c>
      <c r="E1061" s="6" t="s">
        <v>460</v>
      </c>
      <c r="F1061" s="242" t="s">
        <v>333</v>
      </c>
      <c r="G1061" s="242" t="s">
        <v>461</v>
      </c>
      <c r="H1061" s="6" t="s">
        <v>462</v>
      </c>
      <c r="I1061" s="133" t="s">
        <v>22</v>
      </c>
      <c r="J1061" s="135" t="s">
        <v>23</v>
      </c>
      <c r="K1061" s="135" t="s">
        <v>303</v>
      </c>
      <c r="L1061" s="6" t="s">
        <v>459</v>
      </c>
      <c r="M1061" s="256">
        <v>30</v>
      </c>
      <c r="N1061" s="256">
        <v>64</v>
      </c>
      <c r="O1061" s="256">
        <v>1</v>
      </c>
      <c r="P1061" s="257">
        <v>1</v>
      </c>
      <c r="Q1061" s="129">
        <v>185</v>
      </c>
      <c r="R1061" s="98">
        <v>0.5</v>
      </c>
      <c r="S1061" s="94">
        <f>((Table3.110[[#This Row],[Sample weight, g]]*'2.1. DM'!Q291)/100)*1000</f>
        <v>482.20799636167493</v>
      </c>
      <c r="T1061" s="94">
        <f>'3.2 Digest'!W1061</f>
        <v>247.80799636167498</v>
      </c>
      <c r="U1061" s="117">
        <v>0.34166666666666667</v>
      </c>
      <c r="V1061" s="155">
        <v>40.5</v>
      </c>
      <c r="W1061" s="117">
        <v>0.69444444444444442</v>
      </c>
      <c r="X1061" s="97">
        <v>79.5</v>
      </c>
      <c r="Y1061" s="97">
        <v>15</v>
      </c>
      <c r="Z1061" s="155">
        <v>40.5</v>
      </c>
      <c r="AA1061" s="117">
        <v>0.36319444444444443</v>
      </c>
      <c r="AB1061" s="155">
        <v>85.5</v>
      </c>
      <c r="AC1061" s="155">
        <v>15.3</v>
      </c>
      <c r="AD1061" s="96"/>
      <c r="AE1061" s="94">
        <f>Table3.110[[#This Row],[Gas 8h, ml]]-Table3.110[[#This Row],[Gas 0h, ml]]</f>
        <v>39</v>
      </c>
      <c r="AF1061" s="94">
        <f>Table3.110[[#This Row],[Gas 24h, ml]]-Table3.110[[#This Row],[V8 Push back, ml]]</f>
        <v>45</v>
      </c>
      <c r="AG1061" s="94">
        <f>Table3.110[[#This Row],[GP 8h, ml]]-(AVERAGE(AE$982,AE$983,AE$1032,AE$1033,AE$1085,AE$1086))*$AG$8</f>
        <v>36.271229168713369</v>
      </c>
      <c r="AH1061" s="94">
        <f>Table3.110[[#This Row],[GP 8-24h, ml]]-(AVERAGE(AF$982,AF$983,AF$1032,AF$1033,AF$1085,AF$1086))*$AG$8</f>
        <v>41.349347131116531</v>
      </c>
      <c r="AI1061" s="94">
        <f>Table3.110[[#This Row],[Net gas 8-24h, ml]]+Table3.110[[#This Row],[Net gas 8h, ml]]</f>
        <v>77.620576299829906</v>
      </c>
      <c r="AJ1061" s="94">
        <f>Table3.110[[#This Row],[Net gas 8h, ml]]*Table3.110[[#This Row],[CH4 8h %]]%</f>
        <v>5.4406843753070051</v>
      </c>
      <c r="AK1061" s="94">
        <f>Table3.110[[#This Row],[Net gas 8-24h, ml]]*Table3.110[[#This Row],[CH4 24h, %]]%</f>
        <v>6.3264501110608293</v>
      </c>
      <c r="AL1061" s="94">
        <f>Table3.110[[#This Row],[CH4 8-24h, ml]]+Table3.110[[#This Row],[CH4 8h, ml]]</f>
        <v>11.767134486367834</v>
      </c>
      <c r="AM1061" s="94">
        <f>(Table3.110[[#This Row],[Net gas 24h, ml]]/Table3.110[[#This Row],[DM Incubated, mg]])*1000</f>
        <v>160.96907742195842</v>
      </c>
      <c r="AN1061" s="94">
        <f>'3.2 Digest'!X1061</f>
        <v>51.390271051376189</v>
      </c>
      <c r="AO1061" s="94">
        <f>Table3.110[[#This Row],[Digested feed, mg]]/Table3.110[[#This Row],[Net gas 24h, ml]]</f>
        <v>3.1925554817378754</v>
      </c>
      <c r="AP1061" s="94">
        <f>Table3.110[[#This Row],[CH4 8h, ml]]/Table3.110[[#This Row],[Net gas 8h, ml]]%</f>
        <v>14.999999999999998</v>
      </c>
      <c r="AQ1061" s="94">
        <f>Table3.110[[#This Row],[CH4 24h, ml]]/Table3.110[[#This Row],[Net gas 24h, ml]]%</f>
        <v>15.159813347577039</v>
      </c>
      <c r="AR1061" s="94">
        <f>Table3.110[[#This Row],[CH4 24h, ml]]/Table3.110[[#This Row],[DM Incubated, mg]]*1000</f>
        <v>24.402611684485674</v>
      </c>
      <c r="AS1061" s="94">
        <f>Table3.110[[#This Row],[CH4 24h, ml]]/Table3.110[[#This Row],[Digested feed, mg]]*1000</f>
        <v>47.484886118015893</v>
      </c>
      <c r="AT1061" s="255">
        <f>Table3.110[[#This Row],[CH4 24h, ml]]/'3.2 Digest'!AA1061</f>
        <v>3.3063009340468579</v>
      </c>
      <c r="AU1061" s="255">
        <f>((Table3.110[[#This Row],[CH4 24h, ml]]/28.9)*16.04)/Table3.110[[#This Row],[DM Incubated, mg]]*1000</f>
        <v>13.543871675403119</v>
      </c>
      <c r="AV1061" s="255">
        <f>((Table3.110[[#This Row],[CH4 24h, ml]]/28.9)*16.04)/Table3.110[[#This Row],[Digested feed, mg]]*1000</f>
        <v>26.354933333320929</v>
      </c>
    </row>
    <row r="1062" spans="2:48" x14ac:dyDescent="0.35">
      <c r="B1062" s="90">
        <f t="shared" si="16"/>
        <v>1052</v>
      </c>
      <c r="C1062" s="140">
        <v>46064</v>
      </c>
      <c r="D1062" s="6" t="s">
        <v>16</v>
      </c>
      <c r="E1062" s="6" t="s">
        <v>460</v>
      </c>
      <c r="F1062" s="242" t="s">
        <v>333</v>
      </c>
      <c r="G1062" s="242" t="s">
        <v>461</v>
      </c>
      <c r="H1062" s="6" t="s">
        <v>462</v>
      </c>
      <c r="I1062" s="133" t="s">
        <v>22</v>
      </c>
      <c r="J1062" s="135" t="s">
        <v>23</v>
      </c>
      <c r="K1062" s="135" t="s">
        <v>303</v>
      </c>
      <c r="L1062" s="6" t="s">
        <v>459</v>
      </c>
      <c r="M1062" s="256">
        <v>30</v>
      </c>
      <c r="N1062" s="256">
        <v>64</v>
      </c>
      <c r="O1062" s="256">
        <v>1</v>
      </c>
      <c r="P1062" s="257">
        <v>2</v>
      </c>
      <c r="Q1062" s="129">
        <v>186</v>
      </c>
      <c r="R1062" s="98">
        <v>0.50039999999999996</v>
      </c>
      <c r="S1062" s="94">
        <f>((Table3.110[[#This Row],[Sample weight, g]]*'2.1. DM'!Q291)/100)*1000</f>
        <v>482.59376275876423</v>
      </c>
      <c r="T1062" s="94">
        <f>'3.2 Digest'!W1062</f>
        <v>238.29376275876416</v>
      </c>
      <c r="U1062" s="153">
        <v>0.34166666666666667</v>
      </c>
      <c r="V1062" s="155">
        <v>41</v>
      </c>
      <c r="W1062" s="153">
        <v>0.69513888888888886</v>
      </c>
      <c r="X1062" s="95">
        <v>80.5</v>
      </c>
      <c r="Y1062" s="95">
        <v>14.7</v>
      </c>
      <c r="Z1062" s="154">
        <v>40.5</v>
      </c>
      <c r="AA1062" s="153">
        <v>0.36319444444444443</v>
      </c>
      <c r="AB1062" s="154">
        <v>84</v>
      </c>
      <c r="AC1062" s="154">
        <v>15.6</v>
      </c>
      <c r="AD1062" s="91"/>
      <c r="AE1062" s="94">
        <f>Table3.110[[#This Row],[Gas 8h, ml]]-Table3.110[[#This Row],[Gas 0h, ml]]</f>
        <v>39.5</v>
      </c>
      <c r="AF1062" s="94">
        <f>Table3.110[[#This Row],[Gas 24h, ml]]-Table3.110[[#This Row],[V8 Push back, ml]]</f>
        <v>43.5</v>
      </c>
      <c r="AG1062" s="94">
        <f>Table3.110[[#This Row],[GP 8h, ml]]-(AVERAGE(AE$982,AE$983,AE$1032,AE$1033,AE$1085,AE$1086))*$AG$8</f>
        <v>36.771229168713369</v>
      </c>
      <c r="AH1062" s="94">
        <f>Table3.110[[#This Row],[GP 8-24h, ml]]-(AVERAGE(AF$982,AF$983,AF$1032,AF$1033,AF$1085,AF$1086))*$AG$8</f>
        <v>39.849347131116531</v>
      </c>
      <c r="AI1062" s="94">
        <f>Table3.110[[#This Row],[Net gas 8-24h, ml]]+Table3.110[[#This Row],[Net gas 8h, ml]]</f>
        <v>76.620576299829906</v>
      </c>
      <c r="AJ1062" s="94">
        <f>Table3.110[[#This Row],[Net gas 8h, ml]]*Table3.110[[#This Row],[CH4 8h %]]%</f>
        <v>5.4053706878008647</v>
      </c>
      <c r="AK1062" s="94">
        <f>Table3.110[[#This Row],[Net gas 8-24h, ml]]*Table3.110[[#This Row],[CH4 24h, %]]%</f>
        <v>6.2164981524541787</v>
      </c>
      <c r="AL1062" s="94">
        <f>Table3.110[[#This Row],[CH4 8-24h, ml]]+Table3.110[[#This Row],[CH4 8h, ml]]</f>
        <v>11.621868840255043</v>
      </c>
      <c r="AM1062" s="94">
        <f>(Table3.110[[#This Row],[Net gas 24h, ml]]/Table3.110[[#This Row],[DM Incubated, mg]])*1000</f>
        <v>158.76826890970511</v>
      </c>
      <c r="AN1062" s="94">
        <f>'3.2 Digest'!X1062</f>
        <v>49.377712922883518</v>
      </c>
      <c r="AO1062" s="94">
        <f>Table3.110[[#This Row],[Digested feed, mg]]/Table3.110[[#This Row],[Net gas 24h, ml]]</f>
        <v>3.1100492095788788</v>
      </c>
      <c r="AP1062" s="94">
        <f>Table3.110[[#This Row],[CH4 8h, ml]]/Table3.110[[#This Row],[Net gas 8h, ml]]%</f>
        <v>14.699999999999998</v>
      </c>
      <c r="AQ1062" s="94">
        <f>Table3.110[[#This Row],[CH4 24h, ml]]/Table3.110[[#This Row],[Net gas 24h, ml]]%</f>
        <v>15.168078082285117</v>
      </c>
      <c r="AR1062" s="94">
        <f>Table3.110[[#This Row],[CH4 24h, ml]]/Table3.110[[#This Row],[DM Incubated, mg]]*1000</f>
        <v>24.082094998116474</v>
      </c>
      <c r="AS1062" s="94">
        <f>Table3.110[[#This Row],[CH4 24h, ml]]/Table3.110[[#This Row],[Digested feed, mg]]*1000</f>
        <v>48.771183541301497</v>
      </c>
      <c r="AT1062" s="255">
        <f>Table3.110[[#This Row],[CH4 24h, ml]]/'3.2 Digest'!AA1062</f>
        <v>-26.785703847649966</v>
      </c>
      <c r="AU1062" s="255">
        <f>((Table3.110[[#This Row],[CH4 24h, ml]]/28.9)*16.04)/Table3.110[[#This Row],[DM Incubated, mg]]*1000</f>
        <v>13.365979369196824</v>
      </c>
      <c r="AV1062" s="255">
        <f>((Table3.110[[#This Row],[CH4 24h, ml]]/28.9)*16.04)/Table3.110[[#This Row],[Digested feed, mg]]*1000</f>
        <v>27.068850657525125</v>
      </c>
    </row>
    <row r="1063" spans="2:48" x14ac:dyDescent="0.35">
      <c r="B1063" s="90">
        <f t="shared" si="16"/>
        <v>1053</v>
      </c>
      <c r="C1063" s="140">
        <v>46064</v>
      </c>
      <c r="D1063" s="6" t="s">
        <v>16</v>
      </c>
      <c r="E1063" s="6" t="s">
        <v>460</v>
      </c>
      <c r="F1063" s="242" t="s">
        <v>333</v>
      </c>
      <c r="G1063" s="242" t="s">
        <v>461</v>
      </c>
      <c r="H1063" s="6" t="s">
        <v>462</v>
      </c>
      <c r="I1063" s="133" t="s">
        <v>22</v>
      </c>
      <c r="J1063" s="135" t="s">
        <v>23</v>
      </c>
      <c r="K1063" s="135" t="s">
        <v>303</v>
      </c>
      <c r="L1063" s="6" t="s">
        <v>459</v>
      </c>
      <c r="M1063" s="256">
        <v>30</v>
      </c>
      <c r="N1063" s="256">
        <v>64</v>
      </c>
      <c r="O1063" s="256">
        <v>1</v>
      </c>
      <c r="P1063" s="257">
        <v>3</v>
      </c>
      <c r="Q1063" s="129">
        <v>187</v>
      </c>
      <c r="R1063" s="98">
        <v>0.50039999999999996</v>
      </c>
      <c r="S1063" s="94">
        <f>((Table3.110[[#This Row],[Sample weight, g]]*'2.1. DM'!Q291)/100)*1000</f>
        <v>482.59376275876423</v>
      </c>
      <c r="T1063" s="94">
        <f>'3.2 Digest'!W1063</f>
        <v>238.39376275876415</v>
      </c>
      <c r="U1063" s="117">
        <v>0.34236111111111112</v>
      </c>
      <c r="V1063" s="155">
        <v>40</v>
      </c>
      <c r="W1063" s="117">
        <v>0.69513888888888886</v>
      </c>
      <c r="X1063" s="97">
        <v>78</v>
      </c>
      <c r="Y1063" s="97">
        <v>15.3</v>
      </c>
      <c r="Z1063" s="155">
        <v>40</v>
      </c>
      <c r="AA1063" s="117">
        <v>0.36388888888888887</v>
      </c>
      <c r="AB1063" s="155">
        <v>86.5</v>
      </c>
      <c r="AC1063" s="155">
        <v>15.5</v>
      </c>
      <c r="AD1063" s="96"/>
      <c r="AE1063" s="94">
        <f>Table3.110[[#This Row],[Gas 8h, ml]]-Table3.110[[#This Row],[Gas 0h, ml]]</f>
        <v>38</v>
      </c>
      <c r="AF1063" s="94">
        <f>Table3.110[[#This Row],[Gas 24h, ml]]-Table3.110[[#This Row],[V8 Push back, ml]]</f>
        <v>46.5</v>
      </c>
      <c r="AG1063" s="94">
        <f>Table3.110[[#This Row],[GP 8h, ml]]-(AVERAGE(AE$982,AE$983,AE$1032,AE$1033,AE$1085,AE$1086))*$AG$8</f>
        <v>35.271229168713369</v>
      </c>
      <c r="AH1063" s="94">
        <f>Table3.110[[#This Row],[GP 8-24h, ml]]-(AVERAGE(AF$982,AF$983,AF$1032,AF$1033,AF$1085,AF$1086))*$AG$8</f>
        <v>42.849347131116531</v>
      </c>
      <c r="AI1063" s="94">
        <f>Table3.110[[#This Row],[Net gas 8-24h, ml]]+Table3.110[[#This Row],[Net gas 8h, ml]]</f>
        <v>78.120576299829906</v>
      </c>
      <c r="AJ1063" s="94">
        <f>Table3.110[[#This Row],[Net gas 8h, ml]]*Table3.110[[#This Row],[CH4 8h %]]%</f>
        <v>5.3964980628131451</v>
      </c>
      <c r="AK1063" s="94">
        <f>Table3.110[[#This Row],[Net gas 8-24h, ml]]*Table3.110[[#This Row],[CH4 24h, %]]%</f>
        <v>6.6416488053230625</v>
      </c>
      <c r="AL1063" s="94">
        <f>Table3.110[[#This Row],[CH4 8-24h, ml]]+Table3.110[[#This Row],[CH4 8h, ml]]</f>
        <v>12.038146868136208</v>
      </c>
      <c r="AM1063" s="94">
        <f>(Table3.110[[#This Row],[Net gas 24h, ml]]/Table3.110[[#This Row],[DM Incubated, mg]])*1000</f>
        <v>161.87647319196768</v>
      </c>
      <c r="AN1063" s="94">
        <f>'3.2 Digest'!X1063</f>
        <v>49.398434284765273</v>
      </c>
      <c r="AO1063" s="94">
        <f>Table3.110[[#This Row],[Digested feed, mg]]/Table3.110[[#This Row],[Net gas 24h, ml]]</f>
        <v>3.0516129558978076</v>
      </c>
      <c r="AP1063" s="94">
        <f>Table3.110[[#This Row],[CH4 8h, ml]]/Table3.110[[#This Row],[Net gas 8h, ml]]%</f>
        <v>15.299999999999999</v>
      </c>
      <c r="AQ1063" s="94">
        <f>Table3.110[[#This Row],[CH4 24h, ml]]/Table3.110[[#This Row],[Net gas 24h, ml]]%</f>
        <v>15.40970054026908</v>
      </c>
      <c r="AR1063" s="94">
        <f>Table3.110[[#This Row],[CH4 24h, ml]]/Table3.110[[#This Row],[DM Incubated, mg]]*1000</f>
        <v>24.944679764031175</v>
      </c>
      <c r="AS1063" s="94">
        <f>Table3.110[[#This Row],[CH4 24h, ml]]/Table3.110[[#This Row],[Digested feed, mg]]*1000</f>
        <v>50.496903647256367</v>
      </c>
      <c r="AT1063" s="255">
        <f>Table3.110[[#This Row],[CH4 24h, ml]]/'3.2 Digest'!AA1063</f>
        <v>-30.649167667192209</v>
      </c>
      <c r="AU1063" s="255">
        <f>((Table3.110[[#This Row],[CH4 24h, ml]]/28.9)*16.04)/Table3.110[[#This Row],[DM Incubated, mg]]*1000</f>
        <v>13.844728837891351</v>
      </c>
      <c r="AV1063" s="255">
        <f>((Table3.110[[#This Row],[CH4 24h, ml]]/28.9)*16.04)/Table3.110[[#This Row],[Digested feed, mg]]*1000</f>
        <v>28.026655173079316</v>
      </c>
    </row>
    <row r="1064" spans="2:48" x14ac:dyDescent="0.35">
      <c r="B1064" s="90">
        <f t="shared" si="16"/>
        <v>1054</v>
      </c>
      <c r="C1064" s="140">
        <v>46064</v>
      </c>
      <c r="D1064" s="6" t="s">
        <v>16</v>
      </c>
      <c r="E1064" s="6" t="s">
        <v>464</v>
      </c>
      <c r="F1064" s="242" t="s">
        <v>333</v>
      </c>
      <c r="G1064" s="242" t="s">
        <v>438</v>
      </c>
      <c r="H1064" s="6" t="s">
        <v>439</v>
      </c>
      <c r="I1064" s="133" t="s">
        <v>22</v>
      </c>
      <c r="J1064" s="135" t="s">
        <v>23</v>
      </c>
      <c r="K1064" s="135" t="s">
        <v>303</v>
      </c>
      <c r="L1064" s="6" t="s">
        <v>463</v>
      </c>
      <c r="M1064" s="256">
        <v>30</v>
      </c>
      <c r="N1064" s="256">
        <v>64</v>
      </c>
      <c r="O1064" s="256">
        <v>1</v>
      </c>
      <c r="P1064" s="257">
        <v>1</v>
      </c>
      <c r="Q1064" s="129">
        <v>188</v>
      </c>
      <c r="R1064" s="98">
        <v>0.50009999999999999</v>
      </c>
      <c r="S1064" s="94">
        <f>((Table3.110[[#This Row],[Sample weight, g]]*'2.1. DM'!Q293)/100)*1000</f>
        <v>479.28021509836844</v>
      </c>
      <c r="T1064" s="94">
        <f>'3.2 Digest'!W1064</f>
        <v>118.5802150983684</v>
      </c>
      <c r="U1064" s="153">
        <v>0.34236111111111112</v>
      </c>
      <c r="V1064" s="155">
        <v>41</v>
      </c>
      <c r="W1064" s="153">
        <v>0.6958333333333333</v>
      </c>
      <c r="X1064" s="95">
        <v>78.5</v>
      </c>
      <c r="Y1064" s="95">
        <v>14.9</v>
      </c>
      <c r="Z1064" s="154">
        <v>40</v>
      </c>
      <c r="AA1064" s="153">
        <v>0.36388888888888887</v>
      </c>
      <c r="AB1064" s="154">
        <v>76</v>
      </c>
      <c r="AC1064" s="154">
        <v>15.3</v>
      </c>
      <c r="AD1064" s="91"/>
      <c r="AE1064" s="94">
        <f>Table3.110[[#This Row],[Gas 8h, ml]]-Table3.110[[#This Row],[Gas 0h, ml]]</f>
        <v>37.5</v>
      </c>
      <c r="AF1064" s="94">
        <f>Table3.110[[#This Row],[Gas 24h, ml]]-Table3.110[[#This Row],[V8 Push back, ml]]</f>
        <v>36</v>
      </c>
      <c r="AG1064" s="94">
        <f>Table3.110[[#This Row],[GP 8h, ml]]-(AVERAGE(AE$982,AE$983,AE$1032,AE$1033,AE$1085,AE$1086))*$AG$8</f>
        <v>34.771229168713369</v>
      </c>
      <c r="AH1064" s="94">
        <f>Table3.110[[#This Row],[GP 8-24h, ml]]-(AVERAGE(AF$982,AF$983,AF$1032,AF$1033,AF$1085,AF$1086))*$AG$8</f>
        <v>32.349347131116531</v>
      </c>
      <c r="AI1064" s="94">
        <f>Table3.110[[#This Row],[Net gas 8-24h, ml]]+Table3.110[[#This Row],[Net gas 8h, ml]]</f>
        <v>67.120576299829906</v>
      </c>
      <c r="AJ1064" s="94">
        <f>Table3.110[[#This Row],[Net gas 8h, ml]]*Table3.110[[#This Row],[CH4 8h %]]%</f>
        <v>5.180913146138292</v>
      </c>
      <c r="AK1064" s="94">
        <f>Table3.110[[#This Row],[Net gas 8-24h, ml]]*Table3.110[[#This Row],[CH4 24h, %]]%</f>
        <v>4.9494501110608295</v>
      </c>
      <c r="AL1064" s="94">
        <f>Table3.110[[#This Row],[CH4 8-24h, ml]]+Table3.110[[#This Row],[CH4 8h, ml]]</f>
        <v>10.130363257199122</v>
      </c>
      <c r="AM1064" s="94">
        <f>(Table3.110[[#This Row],[Net gas 24h, ml]]/Table3.110[[#This Row],[DM Incubated, mg]])*1000</f>
        <v>140.04453800800843</v>
      </c>
      <c r="AN1064" s="94">
        <f>'3.2 Digest'!X1064</f>
        <v>24.741312360250621</v>
      </c>
      <c r="AO1064" s="94">
        <f>Table3.110[[#This Row],[Digested feed, mg]]/Table3.110[[#This Row],[Net gas 24h, ml]]</f>
        <v>1.7666745674033926</v>
      </c>
      <c r="AP1064" s="94">
        <f>Table3.110[[#This Row],[CH4 8h, ml]]/Table3.110[[#This Row],[Net gas 8h, ml]]%</f>
        <v>14.9</v>
      </c>
      <c r="AQ1064" s="94">
        <f>Table3.110[[#This Row],[CH4 24h, ml]]/Table3.110[[#This Row],[Net gas 24h, ml]]%</f>
        <v>15.092783488548196</v>
      </c>
      <c r="AR1064" s="94">
        <f>Table3.110[[#This Row],[CH4 24h, ml]]/Table3.110[[#This Row],[DM Incubated, mg]]*1000</f>
        <v>21.136618909086295</v>
      </c>
      <c r="AS1064" s="94">
        <f>Table3.110[[#This Row],[CH4 24h, ml]]/Table3.110[[#This Row],[Digested feed, mg]]*1000</f>
        <v>85.430467880290678</v>
      </c>
      <c r="AT1064" s="255">
        <f>Table3.110[[#This Row],[CH4 24h, ml]]/'3.2 Digest'!AA1064</f>
        <v>-0.52197277677783493</v>
      </c>
      <c r="AU1064" s="255">
        <f>((Table3.110[[#This Row],[CH4 24h, ml]]/28.9)*16.04)/Table3.110[[#This Row],[DM Incubated, mg]]*1000</f>
        <v>11.73118917999115</v>
      </c>
      <c r="AV1064" s="255">
        <f>((Table3.110[[#This Row],[CH4 24h, ml]]/28.9)*16.04)/Table3.110[[#This Row],[Digested feed, mg]]*1000</f>
        <v>47.415387709337807</v>
      </c>
    </row>
    <row r="1065" spans="2:48" x14ac:dyDescent="0.35">
      <c r="B1065" s="90">
        <f t="shared" si="16"/>
        <v>1055</v>
      </c>
      <c r="C1065" s="140">
        <v>46064</v>
      </c>
      <c r="D1065" s="6" t="s">
        <v>16</v>
      </c>
      <c r="E1065" s="6" t="s">
        <v>464</v>
      </c>
      <c r="F1065" s="242" t="s">
        <v>333</v>
      </c>
      <c r="G1065" s="242" t="s">
        <v>438</v>
      </c>
      <c r="H1065" s="6" t="s">
        <v>439</v>
      </c>
      <c r="I1065" s="133" t="s">
        <v>22</v>
      </c>
      <c r="J1065" s="135" t="s">
        <v>23</v>
      </c>
      <c r="K1065" s="135" t="s">
        <v>303</v>
      </c>
      <c r="L1065" s="6" t="s">
        <v>463</v>
      </c>
      <c r="M1065" s="256">
        <v>30</v>
      </c>
      <c r="N1065" s="256">
        <v>64</v>
      </c>
      <c r="O1065" s="256">
        <v>1</v>
      </c>
      <c r="P1065" s="257">
        <v>2</v>
      </c>
      <c r="Q1065" s="129">
        <v>189</v>
      </c>
      <c r="R1065" s="98">
        <v>0.50039999999999996</v>
      </c>
      <c r="S1065" s="94">
        <f>((Table3.110[[#This Row],[Sample weight, g]]*'2.1. DM'!Q293)/100)*1000</f>
        <v>479.56772572530207</v>
      </c>
      <c r="T1065" s="94">
        <f>'3.2 Digest'!W1065</f>
        <v>190.36772572530208</v>
      </c>
      <c r="U1065" s="117">
        <v>0.34236111111111112</v>
      </c>
      <c r="V1065" s="155">
        <v>40.5</v>
      </c>
      <c r="W1065" s="117">
        <v>0.6958333333333333</v>
      </c>
      <c r="X1065" s="97">
        <v>79</v>
      </c>
      <c r="Y1065" s="97">
        <v>14.2</v>
      </c>
      <c r="Z1065" s="155">
        <v>40</v>
      </c>
      <c r="AA1065" s="117">
        <v>0.36458333333333331</v>
      </c>
      <c r="AB1065" s="155">
        <v>79.5</v>
      </c>
      <c r="AC1065" s="155">
        <v>15.3</v>
      </c>
      <c r="AD1065" s="96"/>
      <c r="AE1065" s="94">
        <f>Table3.110[[#This Row],[Gas 8h, ml]]-Table3.110[[#This Row],[Gas 0h, ml]]</f>
        <v>38.5</v>
      </c>
      <c r="AF1065" s="94">
        <f>Table3.110[[#This Row],[Gas 24h, ml]]-Table3.110[[#This Row],[V8 Push back, ml]]</f>
        <v>39.5</v>
      </c>
      <c r="AG1065" s="94">
        <f>Table3.110[[#This Row],[GP 8h, ml]]-(AVERAGE(AE$982,AE$983,AE$1032,AE$1033,AE$1085,AE$1086))*$AG$8</f>
        <v>35.771229168713369</v>
      </c>
      <c r="AH1065" s="94">
        <f>Table3.110[[#This Row],[GP 8-24h, ml]]-(AVERAGE(AF$982,AF$983,AF$1032,AF$1033,AF$1085,AF$1086))*$AG$8</f>
        <v>35.849347131116531</v>
      </c>
      <c r="AI1065" s="94">
        <f>Table3.110[[#This Row],[Net gas 8-24h, ml]]+Table3.110[[#This Row],[Net gas 8h, ml]]</f>
        <v>71.620576299829906</v>
      </c>
      <c r="AJ1065" s="94">
        <f>Table3.110[[#This Row],[Net gas 8h, ml]]*Table3.110[[#This Row],[CH4 8h %]]%</f>
        <v>5.0795145419572982</v>
      </c>
      <c r="AK1065" s="94">
        <f>Table3.110[[#This Row],[Net gas 8-24h, ml]]*Table3.110[[#This Row],[CH4 24h, %]]%</f>
        <v>5.4849501110608294</v>
      </c>
      <c r="AL1065" s="94">
        <f>Table3.110[[#This Row],[CH4 8-24h, ml]]+Table3.110[[#This Row],[CH4 8h, ml]]</f>
        <v>10.564464653018128</v>
      </c>
      <c r="AM1065" s="94">
        <f>(Table3.110[[#This Row],[Net gas 24h, ml]]/Table3.110[[#This Row],[DM Incubated, mg]])*1000</f>
        <v>149.34402892002456</v>
      </c>
      <c r="AN1065" s="94">
        <f>'3.2 Digest'!X1065</f>
        <v>39.695691664277113</v>
      </c>
      <c r="AO1065" s="94">
        <f>Table3.110[[#This Row],[Digested feed, mg]]/Table3.110[[#This Row],[Net gas 24h, ml]]</f>
        <v>2.6580032661054447</v>
      </c>
      <c r="AP1065" s="94">
        <f>Table3.110[[#This Row],[CH4 8h, ml]]/Table3.110[[#This Row],[Net gas 8h, ml]]%</f>
        <v>14.2</v>
      </c>
      <c r="AQ1065" s="94">
        <f>Table3.110[[#This Row],[CH4 24h, ml]]/Table3.110[[#This Row],[Net gas 24h, ml]]%</f>
        <v>14.750599895749815</v>
      </c>
      <c r="AR1065" s="94">
        <f>Table3.110[[#This Row],[CH4 24h, ml]]/Table3.110[[#This Row],[DM Incubated, mg]]*1000</f>
        <v>22.029140174185713</v>
      </c>
      <c r="AS1065" s="94">
        <f>Table3.110[[#This Row],[CH4 24h, ml]]/Table3.110[[#This Row],[Digested feed, mg]]*1000</f>
        <v>55.495040521009848</v>
      </c>
      <c r="AT1065" s="255">
        <f>Table3.110[[#This Row],[CH4 24h, ml]]/'3.2 Digest'!AA1065</f>
        <v>2.4458982167331995</v>
      </c>
      <c r="AU1065" s="255">
        <f>((Table3.110[[#This Row],[CH4 24h, ml]]/28.9)*16.04)/Table3.110[[#This Row],[DM Incubated, mg]]*1000</f>
        <v>12.226553923665705</v>
      </c>
      <c r="AV1065" s="255">
        <f>((Table3.110[[#This Row],[CH4 24h, ml]]/28.9)*16.04)/Table3.110[[#This Row],[Digested feed, mg]]*1000</f>
        <v>30.800707610968786</v>
      </c>
    </row>
    <row r="1066" spans="2:48" x14ac:dyDescent="0.35">
      <c r="B1066" s="90">
        <f t="shared" si="16"/>
        <v>1056</v>
      </c>
      <c r="C1066" s="140">
        <v>46064</v>
      </c>
      <c r="D1066" s="6" t="s">
        <v>16</v>
      </c>
      <c r="E1066" s="6" t="s">
        <v>464</v>
      </c>
      <c r="F1066" s="242" t="s">
        <v>333</v>
      </c>
      <c r="G1066" s="242" t="s">
        <v>438</v>
      </c>
      <c r="H1066" s="6" t="s">
        <v>439</v>
      </c>
      <c r="I1066" s="133" t="s">
        <v>22</v>
      </c>
      <c r="J1066" s="135" t="s">
        <v>23</v>
      </c>
      <c r="K1066" s="135" t="s">
        <v>303</v>
      </c>
      <c r="L1066" s="6" t="s">
        <v>463</v>
      </c>
      <c r="M1066" s="256">
        <v>30</v>
      </c>
      <c r="N1066" s="256">
        <v>64</v>
      </c>
      <c r="O1066" s="256">
        <v>1</v>
      </c>
      <c r="P1066" s="257">
        <v>3</v>
      </c>
      <c r="Q1066" s="129">
        <v>190</v>
      </c>
      <c r="R1066" s="98">
        <v>0.50019999999999998</v>
      </c>
      <c r="S1066" s="94">
        <f>((Table3.110[[#This Row],[Sample weight, g]]*'2.1. DM'!Q293)/100)*1000</f>
        <v>479.37605197401308</v>
      </c>
      <c r="T1066" s="94">
        <f>'3.2 Digest'!W1066</f>
        <v>183.87605197401308</v>
      </c>
      <c r="U1066" s="153">
        <v>0.34305555555555556</v>
      </c>
      <c r="V1066" s="155">
        <v>40.5</v>
      </c>
      <c r="W1066" s="153">
        <v>0.69652777777777775</v>
      </c>
      <c r="X1066" s="95">
        <v>79</v>
      </c>
      <c r="Y1066" s="95">
        <v>14.2</v>
      </c>
      <c r="Z1066" s="154">
        <v>40</v>
      </c>
      <c r="AA1066" s="153">
        <v>0.36458333333333331</v>
      </c>
      <c r="AB1066" s="154">
        <v>75.5</v>
      </c>
      <c r="AC1066" s="154">
        <v>15.3</v>
      </c>
      <c r="AD1066" s="91"/>
      <c r="AE1066" s="94">
        <f>Table3.110[[#This Row],[Gas 8h, ml]]-Table3.110[[#This Row],[Gas 0h, ml]]</f>
        <v>38.5</v>
      </c>
      <c r="AF1066" s="94">
        <f>Table3.110[[#This Row],[Gas 24h, ml]]-Table3.110[[#This Row],[V8 Push back, ml]]</f>
        <v>35.5</v>
      </c>
      <c r="AG1066" s="94">
        <f>Table3.110[[#This Row],[GP 8h, ml]]-(AVERAGE(AE$982,AE$983,AE$1032,AE$1033,AE$1085,AE$1086))*$AG$8</f>
        <v>35.771229168713369</v>
      </c>
      <c r="AH1066" s="94">
        <f>Table3.110[[#This Row],[GP 8-24h, ml]]-(AVERAGE(AF$982,AF$983,AF$1032,AF$1033,AF$1085,AF$1086))*$AG$8</f>
        <v>31.849347131116534</v>
      </c>
      <c r="AI1066" s="94">
        <f>Table3.110[[#This Row],[Net gas 8-24h, ml]]+Table3.110[[#This Row],[Net gas 8h, ml]]</f>
        <v>67.620576299829906</v>
      </c>
      <c r="AJ1066" s="94">
        <f>Table3.110[[#This Row],[Net gas 8h, ml]]*Table3.110[[#This Row],[CH4 8h %]]%</f>
        <v>5.0795145419572982</v>
      </c>
      <c r="AK1066" s="94">
        <f>Table3.110[[#This Row],[Net gas 8-24h, ml]]*Table3.110[[#This Row],[CH4 24h, %]]%</f>
        <v>4.8729501110608293</v>
      </c>
      <c r="AL1066" s="94">
        <f>Table3.110[[#This Row],[CH4 8-24h, ml]]+Table3.110[[#This Row],[CH4 8h, ml]]</f>
        <v>9.9524646530181275</v>
      </c>
      <c r="AM1066" s="94">
        <f>(Table3.110[[#This Row],[Net gas 24h, ml]]/Table3.110[[#This Row],[DM Incubated, mg]])*1000</f>
        <v>141.05956278244707</v>
      </c>
      <c r="AN1066" s="94">
        <f>'3.2 Digest'!X1066</f>
        <v>38.357371257248573</v>
      </c>
      <c r="AO1066" s="94">
        <f>Table3.110[[#This Row],[Digested feed, mg]]/Table3.110[[#This Row],[Net gas 24h, ml]]</f>
        <v>2.7192322520101859</v>
      </c>
      <c r="AP1066" s="94">
        <f>Table3.110[[#This Row],[CH4 8h, ml]]/Table3.110[[#This Row],[Net gas 8h, ml]]%</f>
        <v>14.2</v>
      </c>
      <c r="AQ1066" s="94">
        <f>Table3.110[[#This Row],[CH4 24h, ml]]/Table3.110[[#This Row],[Net gas 24h, ml]]%</f>
        <v>14.718100905985864</v>
      </c>
      <c r="AR1066" s="94">
        <f>Table3.110[[#This Row],[CH4 24h, ml]]/Table3.110[[#This Row],[DM Incubated, mg]]*1000</f>
        <v>20.761288787863041</v>
      </c>
      <c r="AS1066" s="94">
        <f>Table3.110[[#This Row],[CH4 24h, ml]]/Table3.110[[#This Row],[Digested feed, mg]]*1000</f>
        <v>54.125942699839428</v>
      </c>
      <c r="AT1066" s="255">
        <f>Table3.110[[#This Row],[CH4 24h, ml]]/'3.2 Digest'!AA1066</f>
        <v>4.5324267088916157</v>
      </c>
      <c r="AU1066" s="255">
        <f>((Table3.110[[#This Row],[CH4 24h, ml]]/28.9)*16.04)/Table3.110[[#This Row],[DM Incubated, mg]]*1000</f>
        <v>11.522874469111526</v>
      </c>
      <c r="AV1066" s="255">
        <f>((Table3.110[[#This Row],[CH4 24h, ml]]/28.9)*16.04)/Table3.110[[#This Row],[Digested feed, mg]]*1000</f>
        <v>30.040834633405684</v>
      </c>
    </row>
    <row r="1067" spans="2:48" x14ac:dyDescent="0.35">
      <c r="B1067" s="90">
        <f t="shared" si="16"/>
        <v>1057</v>
      </c>
      <c r="C1067" s="140">
        <v>46064</v>
      </c>
      <c r="D1067" s="6" t="s">
        <v>16</v>
      </c>
      <c r="E1067" s="6" t="s">
        <v>466</v>
      </c>
      <c r="F1067" s="242" t="s">
        <v>346</v>
      </c>
      <c r="G1067" s="242" t="s">
        <v>347</v>
      </c>
      <c r="H1067" s="6" t="s">
        <v>348</v>
      </c>
      <c r="I1067" s="133" t="s">
        <v>22</v>
      </c>
      <c r="J1067" s="135" t="s">
        <v>23</v>
      </c>
      <c r="K1067" s="135" t="s">
        <v>303</v>
      </c>
      <c r="L1067" s="6" t="s">
        <v>465</v>
      </c>
      <c r="M1067" s="256">
        <v>30</v>
      </c>
      <c r="N1067" s="256">
        <v>64</v>
      </c>
      <c r="O1067" s="256">
        <v>1</v>
      </c>
      <c r="P1067" s="257">
        <v>1</v>
      </c>
      <c r="Q1067" s="129">
        <v>191</v>
      </c>
      <c r="R1067" s="98">
        <v>0.50039999999999996</v>
      </c>
      <c r="S1067" s="94">
        <f>((Table3.110[[#This Row],[Sample weight, g]]*'2.1. DM'!Q295)/100)*1000</f>
        <v>481.91841250543075</v>
      </c>
      <c r="T1067" s="94">
        <f>'3.2 Digest'!W1067</f>
        <v>95.11841250543074</v>
      </c>
      <c r="U1067" s="117">
        <v>0.34305555555555556</v>
      </c>
      <c r="V1067" s="155">
        <v>40.5</v>
      </c>
      <c r="W1067" s="117">
        <v>0.69652777777777775</v>
      </c>
      <c r="X1067" s="97">
        <v>71.5</v>
      </c>
      <c r="Y1067" s="97">
        <v>15.1</v>
      </c>
      <c r="Z1067" s="155">
        <v>40</v>
      </c>
      <c r="AA1067" s="117">
        <v>0.36527777777777776</v>
      </c>
      <c r="AB1067" s="155">
        <v>73</v>
      </c>
      <c r="AC1067" s="155">
        <v>15.9</v>
      </c>
      <c r="AD1067" s="96"/>
      <c r="AE1067" s="94">
        <f>Table3.110[[#This Row],[Gas 8h, ml]]-Table3.110[[#This Row],[Gas 0h, ml]]</f>
        <v>31</v>
      </c>
      <c r="AF1067" s="94">
        <f>Table3.110[[#This Row],[Gas 24h, ml]]-Table3.110[[#This Row],[V8 Push back, ml]]</f>
        <v>33</v>
      </c>
      <c r="AG1067" s="94">
        <f>Table3.110[[#This Row],[GP 8h, ml]]-(AVERAGE(AE$982,AE$983,AE$1032,AE$1033,AE$1085,AE$1086))*$AG$8</f>
        <v>28.271229168713369</v>
      </c>
      <c r="AH1067" s="94">
        <f>Table3.110[[#This Row],[GP 8-24h, ml]]-(AVERAGE(AF$982,AF$983,AF$1032,AF$1033,AF$1085,AF$1086))*$AG$8</f>
        <v>29.349347131116534</v>
      </c>
      <c r="AI1067" s="94">
        <f>Table3.110[[#This Row],[Net gas 8-24h, ml]]+Table3.110[[#This Row],[Net gas 8h, ml]]</f>
        <v>57.620576299829906</v>
      </c>
      <c r="AJ1067" s="94">
        <f>Table3.110[[#This Row],[Net gas 8h, ml]]*Table3.110[[#This Row],[CH4 8h %]]%</f>
        <v>4.2689556044757184</v>
      </c>
      <c r="AK1067" s="94">
        <f>Table3.110[[#This Row],[Net gas 8-24h, ml]]*Table3.110[[#This Row],[CH4 24h, %]]%</f>
        <v>4.6665461938475294</v>
      </c>
      <c r="AL1067" s="94">
        <f>Table3.110[[#This Row],[CH4 8-24h, ml]]+Table3.110[[#This Row],[CH4 8h, ml]]</f>
        <v>8.9355017983232479</v>
      </c>
      <c r="AM1067" s="94">
        <f>(Table3.110[[#This Row],[Net gas 24h, ml]]/Table3.110[[#This Row],[DM Incubated, mg]])*1000</f>
        <v>119.56500271543491</v>
      </c>
      <c r="AN1067" s="94">
        <f>'3.2 Digest'!X1067</f>
        <v>19.737451410275561</v>
      </c>
      <c r="AO1067" s="94">
        <f>Table3.110[[#This Row],[Digested feed, mg]]/Table3.110[[#This Row],[Net gas 24h, ml]]</f>
        <v>1.6507716273172979</v>
      </c>
      <c r="AP1067" s="94">
        <f>Table3.110[[#This Row],[CH4 8h, ml]]/Table3.110[[#This Row],[Net gas 8h, ml]]%</f>
        <v>15.1</v>
      </c>
      <c r="AQ1067" s="94">
        <f>Table3.110[[#This Row],[CH4 24h, ml]]/Table3.110[[#This Row],[Net gas 24h, ml]]%</f>
        <v>15.507484256712694</v>
      </c>
      <c r="AR1067" s="94">
        <f>Table3.110[[#This Row],[CH4 24h, ml]]/Table3.110[[#This Row],[DM Incubated, mg]]*1000</f>
        <v>18.54152397263417</v>
      </c>
      <c r="AS1067" s="94">
        <f>Table3.110[[#This Row],[CH4 24h, ml]]/Table3.110[[#This Row],[Digested feed, mg]]*1000</f>
        <v>93.940821371604372</v>
      </c>
      <c r="AT1067" s="255">
        <f>Table3.110[[#This Row],[CH4 24h, ml]]/'3.2 Digest'!AA1067</f>
        <v>-0.32260409932076806</v>
      </c>
      <c r="AU1067" s="255">
        <f>((Table3.110[[#This Row],[CH4 24h, ml]]/28.9)*16.04)/Table3.110[[#This Row],[DM Incubated, mg]]*1000</f>
        <v>10.290866592423948</v>
      </c>
      <c r="AV1067" s="255">
        <f>((Table3.110[[#This Row],[CH4 24h, ml]]/28.9)*16.04)/Table3.110[[#This Row],[Digested feed, mg]]*1000</f>
        <v>52.138781134966578</v>
      </c>
    </row>
    <row r="1068" spans="2:48" x14ac:dyDescent="0.35">
      <c r="B1068" s="90">
        <f t="shared" si="16"/>
        <v>1058</v>
      </c>
      <c r="C1068" s="140">
        <v>46064</v>
      </c>
      <c r="D1068" s="6" t="s">
        <v>16</v>
      </c>
      <c r="E1068" s="6" t="s">
        <v>466</v>
      </c>
      <c r="F1068" s="242" t="s">
        <v>346</v>
      </c>
      <c r="G1068" s="242" t="s">
        <v>347</v>
      </c>
      <c r="H1068" s="6" t="s">
        <v>348</v>
      </c>
      <c r="I1068" s="133" t="s">
        <v>22</v>
      </c>
      <c r="J1068" s="135" t="s">
        <v>23</v>
      </c>
      <c r="K1068" s="135" t="s">
        <v>303</v>
      </c>
      <c r="L1068" s="6" t="s">
        <v>465</v>
      </c>
      <c r="M1068" s="256">
        <v>30</v>
      </c>
      <c r="N1068" s="256">
        <v>64</v>
      </c>
      <c r="O1068" s="256">
        <v>1</v>
      </c>
      <c r="P1068" s="257">
        <v>2</v>
      </c>
      <c r="Q1068" s="129">
        <v>192</v>
      </c>
      <c r="R1068" s="98">
        <v>0.5</v>
      </c>
      <c r="S1068" s="94">
        <f>((Table3.110[[#This Row],[Sample weight, g]]*'2.1. DM'!Q295)/100)*1000</f>
        <v>481.53318595666548</v>
      </c>
      <c r="T1068" s="94">
        <f>'3.2 Digest'!W1068</f>
        <v>142.6331859566655</v>
      </c>
      <c r="U1068" s="153">
        <v>0.34305555555555556</v>
      </c>
      <c r="V1068" s="155">
        <v>40.5</v>
      </c>
      <c r="W1068" s="153">
        <v>0.69722222222222219</v>
      </c>
      <c r="X1068" s="95">
        <v>73.5</v>
      </c>
      <c r="Y1068" s="95">
        <v>14.9</v>
      </c>
      <c r="Z1068" s="154">
        <v>40</v>
      </c>
      <c r="AA1068" s="153">
        <v>0.36527777777777776</v>
      </c>
      <c r="AB1068" s="154">
        <v>75.5</v>
      </c>
      <c r="AC1068" s="154">
        <v>16.100000000000001</v>
      </c>
      <c r="AD1068" s="91"/>
      <c r="AE1068" s="94">
        <f>Table3.110[[#This Row],[Gas 8h, ml]]-Table3.110[[#This Row],[Gas 0h, ml]]</f>
        <v>33</v>
      </c>
      <c r="AF1068" s="94">
        <f>Table3.110[[#This Row],[Gas 24h, ml]]-Table3.110[[#This Row],[V8 Push back, ml]]</f>
        <v>35.5</v>
      </c>
      <c r="AG1068" s="94">
        <f>Table3.110[[#This Row],[GP 8h, ml]]-(AVERAGE(AE$982,AE$983,AE$1032,AE$1033,AE$1085,AE$1086))*$AG$8</f>
        <v>30.271229168713369</v>
      </c>
      <c r="AH1068" s="94">
        <f>Table3.110[[#This Row],[GP 8-24h, ml]]-(AVERAGE(AF$982,AF$983,AF$1032,AF$1033,AF$1085,AF$1086))*$AG$8</f>
        <v>31.849347131116534</v>
      </c>
      <c r="AI1068" s="94">
        <f>Table3.110[[#This Row],[Net gas 8-24h, ml]]+Table3.110[[#This Row],[Net gas 8h, ml]]</f>
        <v>62.120576299829906</v>
      </c>
      <c r="AJ1068" s="94">
        <f>Table3.110[[#This Row],[Net gas 8h, ml]]*Table3.110[[#This Row],[CH4 8h %]]%</f>
        <v>4.5104131461382915</v>
      </c>
      <c r="AK1068" s="94">
        <f>Table3.110[[#This Row],[Net gas 8-24h, ml]]*Table3.110[[#This Row],[CH4 24h, %]]%</f>
        <v>5.1277448881097625</v>
      </c>
      <c r="AL1068" s="94">
        <f>Table3.110[[#This Row],[CH4 8-24h, ml]]+Table3.110[[#This Row],[CH4 8h, ml]]</f>
        <v>9.638158034248054</v>
      </c>
      <c r="AM1068" s="94">
        <f>(Table3.110[[#This Row],[Net gas 24h, ml]]/Table3.110[[#This Row],[DM Incubated, mg]])*1000</f>
        <v>129.005805023416</v>
      </c>
      <c r="AN1068" s="94">
        <f>'3.2 Digest'!X1068</f>
        <v>29.620634696920238</v>
      </c>
      <c r="AO1068" s="94">
        <f>Table3.110[[#This Row],[Digested feed, mg]]/Table3.110[[#This Row],[Net gas 24h, ml]]</f>
        <v>2.2960699087567229</v>
      </c>
      <c r="AP1068" s="94">
        <f>Table3.110[[#This Row],[CH4 8h, ml]]/Table3.110[[#This Row],[Net gas 8h, ml]]%</f>
        <v>14.899999999999997</v>
      </c>
      <c r="AQ1068" s="94">
        <f>Table3.110[[#This Row],[CH4 24h, ml]]/Table3.110[[#This Row],[Net gas 24h, ml]]%</f>
        <v>15.515242466085176</v>
      </c>
      <c r="AR1068" s="94">
        <f>Table3.110[[#This Row],[CH4 24h, ml]]/Table3.110[[#This Row],[DM Incubated, mg]]*1000</f>
        <v>20.015563444708082</v>
      </c>
      <c r="AS1068" s="94">
        <f>Table3.110[[#This Row],[CH4 24h, ml]]/Table3.110[[#This Row],[Digested feed, mg]]*1000</f>
        <v>67.5730403804925</v>
      </c>
      <c r="AT1068" s="255">
        <f>Table3.110[[#This Row],[CH4 24h, ml]]/'3.2 Digest'!AA1068</f>
        <v>-0.80493346113158493</v>
      </c>
      <c r="AU1068" s="255">
        <f>((Table3.110[[#This Row],[CH4 24h, ml]]/28.9)*16.04)/Table3.110[[#This Row],[DM Incubated, mg]]*1000</f>
        <v>11.108984001837982</v>
      </c>
      <c r="AV1068" s="255">
        <f>((Table3.110[[#This Row],[CH4 24h, ml]]/28.9)*16.04)/Table3.110[[#This Row],[Digested feed, mg]]*1000</f>
        <v>37.504206494916943</v>
      </c>
    </row>
    <row r="1069" spans="2:48" x14ac:dyDescent="0.35">
      <c r="B1069" s="90">
        <f t="shared" si="16"/>
        <v>1059</v>
      </c>
      <c r="C1069" s="140">
        <v>46064</v>
      </c>
      <c r="D1069" s="6" t="s">
        <v>16</v>
      </c>
      <c r="E1069" s="6" t="s">
        <v>466</v>
      </c>
      <c r="F1069" s="242" t="s">
        <v>346</v>
      </c>
      <c r="G1069" s="242" t="s">
        <v>347</v>
      </c>
      <c r="H1069" s="6" t="s">
        <v>348</v>
      </c>
      <c r="I1069" s="133" t="s">
        <v>22</v>
      </c>
      <c r="J1069" s="135" t="s">
        <v>23</v>
      </c>
      <c r="K1069" s="135" t="s">
        <v>303</v>
      </c>
      <c r="L1069" s="6" t="s">
        <v>465</v>
      </c>
      <c r="M1069" s="256">
        <v>30</v>
      </c>
      <c r="N1069" s="256">
        <v>64</v>
      </c>
      <c r="O1069" s="256">
        <v>1</v>
      </c>
      <c r="P1069" s="257">
        <v>3</v>
      </c>
      <c r="Q1069" s="129">
        <v>193</v>
      </c>
      <c r="R1069" s="98">
        <v>0.50049999999999994</v>
      </c>
      <c r="S1069" s="94">
        <f>((Table3.110[[#This Row],[Sample weight, g]]*'2.1. DM'!Q295)/100)*1000</f>
        <v>482.01471914262208</v>
      </c>
      <c r="T1069" s="94">
        <f>'3.2 Digest'!W1069</f>
        <v>122.71471914262202</v>
      </c>
      <c r="U1069" s="117">
        <v>0.34375</v>
      </c>
      <c r="V1069" s="155">
        <v>41</v>
      </c>
      <c r="W1069" s="117">
        <v>0.69791666666666663</v>
      </c>
      <c r="X1069" s="97">
        <v>72</v>
      </c>
      <c r="Y1069" s="97">
        <v>14.7</v>
      </c>
      <c r="Z1069" s="155">
        <v>40</v>
      </c>
      <c r="AA1069" s="117">
        <v>0.3659722222222222</v>
      </c>
      <c r="AB1069" s="155">
        <v>72</v>
      </c>
      <c r="AC1069" s="155">
        <v>16.2</v>
      </c>
      <c r="AD1069" s="96"/>
      <c r="AE1069" s="94">
        <f>Table3.110[[#This Row],[Gas 8h, ml]]-Table3.110[[#This Row],[Gas 0h, ml]]</f>
        <v>31</v>
      </c>
      <c r="AF1069" s="94">
        <f>Table3.110[[#This Row],[Gas 24h, ml]]-Table3.110[[#This Row],[V8 Push back, ml]]</f>
        <v>32</v>
      </c>
      <c r="AG1069" s="94">
        <f>Table3.110[[#This Row],[GP 8h, ml]]-(AVERAGE(AE$982,AE$983,AE$1032,AE$1033,AE$1085,AE$1086))*$AG$8</f>
        <v>28.271229168713369</v>
      </c>
      <c r="AH1069" s="94">
        <f>Table3.110[[#This Row],[GP 8-24h, ml]]-(AVERAGE(AF$982,AF$983,AF$1032,AF$1033,AF$1085,AF$1086))*$AG$8</f>
        <v>28.349347131116534</v>
      </c>
      <c r="AI1069" s="94">
        <f>Table3.110[[#This Row],[Net gas 8-24h, ml]]+Table3.110[[#This Row],[Net gas 8h, ml]]</f>
        <v>56.620576299829906</v>
      </c>
      <c r="AJ1069" s="94">
        <f>Table3.110[[#This Row],[Net gas 8h, ml]]*Table3.110[[#This Row],[CH4 8h %]]%</f>
        <v>4.1558706878008653</v>
      </c>
      <c r="AK1069" s="94">
        <f>Table3.110[[#This Row],[Net gas 8-24h, ml]]*Table3.110[[#This Row],[CH4 24h, %]]%</f>
        <v>4.5925942352408784</v>
      </c>
      <c r="AL1069" s="94">
        <f>Table3.110[[#This Row],[CH4 8-24h, ml]]+Table3.110[[#This Row],[CH4 8h, ml]]</f>
        <v>8.7484649230417446</v>
      </c>
      <c r="AM1069" s="94">
        <f>(Table3.110[[#This Row],[Net gas 24h, ml]]/Table3.110[[#This Row],[DM Incubated, mg]])*1000</f>
        <v>117.46648816148826</v>
      </c>
      <c r="AN1069" s="94">
        <f>'3.2 Digest'!X1069</f>
        <v>25.458707850436468</v>
      </c>
      <c r="AO1069" s="94">
        <f>Table3.110[[#This Row],[Digested feed, mg]]/Table3.110[[#This Row],[Net gas 24h, ml]]</f>
        <v>2.167316674644844</v>
      </c>
      <c r="AP1069" s="94">
        <f>Table3.110[[#This Row],[CH4 8h, ml]]/Table3.110[[#This Row],[Net gas 8h, ml]]%</f>
        <v>14.700000000000001</v>
      </c>
      <c r="AQ1069" s="94">
        <f>Table3.110[[#This Row],[CH4 24h, ml]]/Table3.110[[#This Row],[Net gas 24h, ml]]%</f>
        <v>15.45103475583668</v>
      </c>
      <c r="AR1069" s="94">
        <f>Table3.110[[#This Row],[CH4 24h, ml]]/Table3.110[[#This Row],[DM Incubated, mg]]*1000</f>
        <v>18.149787912292329</v>
      </c>
      <c r="AS1069" s="94">
        <f>Table3.110[[#This Row],[CH4 24h, ml]]/Table3.110[[#This Row],[Digested feed, mg]]*1000</f>
        <v>71.29108051719588</v>
      </c>
      <c r="AT1069" s="255">
        <f>Table3.110[[#This Row],[CH4 24h, ml]]/'3.2 Digest'!AA1069</f>
        <v>-0.47046141273928854</v>
      </c>
      <c r="AU1069" s="255">
        <f>((Table3.110[[#This Row],[CH4 24h, ml]]/28.9)*16.04)/Table3.110[[#This Row],[DM Incubated, mg]]*1000</f>
        <v>10.073446301493735</v>
      </c>
      <c r="AV1069" s="255">
        <f>((Table3.110[[#This Row],[CH4 24h, ml]]/28.9)*16.04)/Table3.110[[#This Row],[Digested feed, mg]]*1000</f>
        <v>39.567783096741245</v>
      </c>
    </row>
    <row r="1070" spans="2:48" x14ac:dyDescent="0.35">
      <c r="B1070" s="90">
        <f t="shared" si="16"/>
        <v>1060</v>
      </c>
      <c r="C1070" s="140">
        <v>46064</v>
      </c>
      <c r="D1070" s="6" t="s">
        <v>16</v>
      </c>
      <c r="E1070" s="6" t="s">
        <v>468</v>
      </c>
      <c r="F1070" s="242" t="s">
        <v>212</v>
      </c>
      <c r="G1070" s="242" t="s">
        <v>469</v>
      </c>
      <c r="H1070" s="6" t="s">
        <v>470</v>
      </c>
      <c r="I1070" s="133" t="s">
        <v>22</v>
      </c>
      <c r="J1070" s="135" t="s">
        <v>23</v>
      </c>
      <c r="K1070" s="135" t="s">
        <v>303</v>
      </c>
      <c r="L1070" s="6" t="s">
        <v>467</v>
      </c>
      <c r="M1070" s="256">
        <v>30</v>
      </c>
      <c r="N1070" s="256">
        <v>64</v>
      </c>
      <c r="O1070" s="256">
        <v>1</v>
      </c>
      <c r="P1070" s="257">
        <v>1</v>
      </c>
      <c r="Q1070" s="129">
        <v>194</v>
      </c>
      <c r="R1070" s="98">
        <v>0.50029999999999997</v>
      </c>
      <c r="S1070" s="94">
        <f>((Table3.110[[#This Row],[Sample weight, g]]*'2.1. DM'!Q297)/100)*1000</f>
        <v>475.26503600959654</v>
      </c>
      <c r="T1070" s="94">
        <f>'3.2 Digest'!W1070</f>
        <v>179.76503600959654</v>
      </c>
      <c r="U1070" s="153">
        <v>0.34375</v>
      </c>
      <c r="V1070" s="155">
        <v>40.5</v>
      </c>
      <c r="W1070" s="153">
        <v>0.69861111111111107</v>
      </c>
      <c r="X1070" s="95">
        <v>80.5</v>
      </c>
      <c r="Y1070" s="95">
        <v>16.5</v>
      </c>
      <c r="Z1070" s="154">
        <v>40</v>
      </c>
      <c r="AA1070" s="153">
        <v>0.3659722222222222</v>
      </c>
      <c r="AB1070" s="154">
        <v>77</v>
      </c>
      <c r="AC1070" s="154">
        <v>16.2</v>
      </c>
      <c r="AD1070" s="91"/>
      <c r="AE1070" s="94">
        <f>Table3.110[[#This Row],[Gas 8h, ml]]-Table3.110[[#This Row],[Gas 0h, ml]]</f>
        <v>40</v>
      </c>
      <c r="AF1070" s="94">
        <f>Table3.110[[#This Row],[Gas 24h, ml]]-Table3.110[[#This Row],[V8 Push back, ml]]</f>
        <v>37</v>
      </c>
      <c r="AG1070" s="94">
        <f>Table3.110[[#This Row],[GP 8h, ml]]-(AVERAGE(AE$982,AE$983,AE$1032,AE$1033,AE$1085,AE$1086))*$AG$8</f>
        <v>37.271229168713369</v>
      </c>
      <c r="AH1070" s="94">
        <f>Table3.110[[#This Row],[GP 8-24h, ml]]-(AVERAGE(AF$982,AF$983,AF$1032,AF$1033,AF$1085,AF$1086))*$AG$8</f>
        <v>33.349347131116531</v>
      </c>
      <c r="AI1070" s="94">
        <f>Table3.110[[#This Row],[Net gas 8-24h, ml]]+Table3.110[[#This Row],[Net gas 8h, ml]]</f>
        <v>70.620576299829906</v>
      </c>
      <c r="AJ1070" s="94">
        <f>Table3.110[[#This Row],[Net gas 8h, ml]]*Table3.110[[#This Row],[CH4 8h %]]%</f>
        <v>6.1497528128377059</v>
      </c>
      <c r="AK1070" s="94">
        <f>Table3.110[[#This Row],[Net gas 8-24h, ml]]*Table3.110[[#This Row],[CH4 24h, %]]%</f>
        <v>5.402594235240878</v>
      </c>
      <c r="AL1070" s="94">
        <f>Table3.110[[#This Row],[CH4 8-24h, ml]]+Table3.110[[#This Row],[CH4 8h, ml]]</f>
        <v>11.552347048078584</v>
      </c>
      <c r="AM1070" s="94">
        <f>(Table3.110[[#This Row],[Net gas 24h, ml]]/Table3.110[[#This Row],[DM Incubated, mg]])*1000</f>
        <v>148.59198752084077</v>
      </c>
      <c r="AN1070" s="94">
        <f>'3.2 Digest'!X1070</f>
        <v>37.824165968305465</v>
      </c>
      <c r="AO1070" s="94">
        <f>Table3.110[[#This Row],[Digested feed, mg]]/Table3.110[[#This Row],[Net gas 24h, ml]]</f>
        <v>2.545505084047714</v>
      </c>
      <c r="AP1070" s="94">
        <f>Table3.110[[#This Row],[CH4 8h, ml]]/Table3.110[[#This Row],[Net gas 8h, ml]]%</f>
        <v>16.5</v>
      </c>
      <c r="AQ1070" s="94">
        <f>Table3.110[[#This Row],[CH4 24h, ml]]/Table3.110[[#This Row],[Net gas 24h, ml]]%</f>
        <v>16.358330182737987</v>
      </c>
      <c r="AR1070" s="94">
        <f>Table3.110[[#This Row],[CH4 24h, ml]]/Table3.110[[#This Row],[DM Incubated, mg]]*1000</f>
        <v>24.307167943751956</v>
      </c>
      <c r="AS1070" s="94">
        <f>Table3.110[[#This Row],[CH4 24h, ml]]/Table3.110[[#This Row],[Digested feed, mg]]*1000</f>
        <v>64.263592656927329</v>
      </c>
      <c r="AT1070" s="255">
        <f>Table3.110[[#This Row],[CH4 24h, ml]]/'3.2 Digest'!AA1070</f>
        <v>-0.84750456464933444</v>
      </c>
      <c r="AU1070" s="255">
        <f>((Table3.110[[#This Row],[CH4 24h, ml]]/28.9)*16.04)/Table3.110[[#This Row],[DM Incubated, mg]]*1000</f>
        <v>13.490898748020118</v>
      </c>
      <c r="AV1070" s="255">
        <f>((Table3.110[[#This Row],[CH4 24h, ml]]/28.9)*16.04)/Table3.110[[#This Row],[Digested feed, mg]]*1000</f>
        <v>35.667405751457245</v>
      </c>
    </row>
    <row r="1071" spans="2:48" x14ac:dyDescent="0.35">
      <c r="B1071" s="90">
        <f t="shared" si="16"/>
        <v>1061</v>
      </c>
      <c r="C1071" s="140">
        <v>46064</v>
      </c>
      <c r="D1071" s="6" t="s">
        <v>16</v>
      </c>
      <c r="E1071" s="6" t="s">
        <v>468</v>
      </c>
      <c r="F1071" s="242" t="s">
        <v>212</v>
      </c>
      <c r="G1071" s="242" t="s">
        <v>469</v>
      </c>
      <c r="H1071" s="6" t="s">
        <v>470</v>
      </c>
      <c r="I1071" s="133" t="s">
        <v>22</v>
      </c>
      <c r="J1071" s="135" t="s">
        <v>23</v>
      </c>
      <c r="K1071" s="135" t="s">
        <v>303</v>
      </c>
      <c r="L1071" s="6" t="s">
        <v>467</v>
      </c>
      <c r="M1071" s="256">
        <v>30</v>
      </c>
      <c r="N1071" s="256">
        <v>64</v>
      </c>
      <c r="O1071" s="256">
        <v>1</v>
      </c>
      <c r="P1071" s="257">
        <v>2</v>
      </c>
      <c r="Q1071" s="129">
        <v>195</v>
      </c>
      <c r="R1071" s="98">
        <v>0.50039999999999996</v>
      </c>
      <c r="S1071" s="94">
        <f>((Table3.110[[#This Row],[Sample weight, g]]*'2.1. DM'!Q297)/100)*1000</f>
        <v>475.36003201919266</v>
      </c>
      <c r="T1071" s="94">
        <f>'3.2 Digest'!W1071</f>
        <v>218.26003201919264</v>
      </c>
      <c r="U1071" s="117">
        <v>0.34375</v>
      </c>
      <c r="V1071" s="155">
        <v>41</v>
      </c>
      <c r="W1071" s="117">
        <v>0.69930555555555551</v>
      </c>
      <c r="X1071" s="97">
        <v>82.5</v>
      </c>
      <c r="Y1071" s="97">
        <v>16.2</v>
      </c>
      <c r="Z1071" s="155">
        <v>40.5</v>
      </c>
      <c r="AA1071" s="117">
        <v>0.36666666666666664</v>
      </c>
      <c r="AB1071" s="155">
        <v>76</v>
      </c>
      <c r="AC1071" s="155">
        <v>17.600000000000001</v>
      </c>
      <c r="AD1071" s="96"/>
      <c r="AE1071" s="94">
        <f>Table3.110[[#This Row],[Gas 8h, ml]]-Table3.110[[#This Row],[Gas 0h, ml]]</f>
        <v>41.5</v>
      </c>
      <c r="AF1071" s="94">
        <f>Table3.110[[#This Row],[Gas 24h, ml]]-Table3.110[[#This Row],[V8 Push back, ml]]</f>
        <v>35.5</v>
      </c>
      <c r="AG1071" s="94">
        <f>Table3.110[[#This Row],[GP 8h, ml]]-(AVERAGE(AE$982,AE$983,AE$1032,AE$1033,AE$1085,AE$1086))*$AG$8</f>
        <v>38.771229168713369</v>
      </c>
      <c r="AH1071" s="94">
        <f>Table3.110[[#This Row],[GP 8-24h, ml]]-(AVERAGE(AF$982,AF$983,AF$1032,AF$1033,AF$1085,AF$1086))*$AG$8</f>
        <v>31.849347131116534</v>
      </c>
      <c r="AI1071" s="94">
        <f>Table3.110[[#This Row],[Net gas 8-24h, ml]]+Table3.110[[#This Row],[Net gas 8h, ml]]</f>
        <v>70.620576299829906</v>
      </c>
      <c r="AJ1071" s="94">
        <f>Table3.110[[#This Row],[Net gas 8h, ml]]*Table3.110[[#This Row],[CH4 8h %]]%</f>
        <v>6.2809391253315656</v>
      </c>
      <c r="AK1071" s="94">
        <f>Table3.110[[#This Row],[Net gas 8-24h, ml]]*Table3.110[[#This Row],[CH4 24h, %]]%</f>
        <v>5.6054850950765109</v>
      </c>
      <c r="AL1071" s="94">
        <f>Table3.110[[#This Row],[CH4 8-24h, ml]]+Table3.110[[#This Row],[CH4 8h, ml]]</f>
        <v>11.886424220408077</v>
      </c>
      <c r="AM1071" s="94">
        <f>(Table3.110[[#This Row],[Net gas 24h, ml]]/Table3.110[[#This Row],[DM Incubated, mg]])*1000</f>
        <v>148.56229287905003</v>
      </c>
      <c r="AN1071" s="94">
        <f>'3.2 Digest'!X1071</f>
        <v>45.914678836604502</v>
      </c>
      <c r="AO1071" s="94">
        <f>Table3.110[[#This Row],[Digested feed, mg]]/Table3.110[[#This Row],[Net gas 24h, ml]]</f>
        <v>3.0906011173363694</v>
      </c>
      <c r="AP1071" s="94">
        <f>Table3.110[[#This Row],[CH4 8h, ml]]/Table3.110[[#This Row],[Net gas 8h, ml]]%</f>
        <v>16.2</v>
      </c>
      <c r="AQ1071" s="94">
        <f>Table3.110[[#This Row],[CH4 24h, ml]]/Table3.110[[#This Row],[Net gas 24h, ml]]%</f>
        <v>16.831389438033668</v>
      </c>
      <c r="AR1071" s="94">
        <f>Table3.110[[#This Row],[CH4 24h, ml]]/Table3.110[[#This Row],[DM Incubated, mg]]*1000</f>
        <v>25.005098072545071</v>
      </c>
      <c r="AS1071" s="94">
        <f>Table3.110[[#This Row],[CH4 24h, ml]]/Table3.110[[#This Row],[Digested feed, mg]]*1000</f>
        <v>54.459921546070554</v>
      </c>
      <c r="AT1071" s="255">
        <f>Table3.110[[#This Row],[CH4 24h, ml]]/'3.2 Digest'!AA1071</f>
        <v>10.291219195313543</v>
      </c>
      <c r="AU1071" s="255">
        <f>((Table3.110[[#This Row],[CH4 24h, ml]]/28.9)*16.04)/Table3.110[[#This Row],[DM Incubated, mg]]*1000</f>
        <v>13.878262044416019</v>
      </c>
      <c r="AV1071" s="255">
        <f>((Table3.110[[#This Row],[CH4 24h, ml]]/28.9)*16.04)/Table3.110[[#This Row],[Digested feed, mg]]*1000</f>
        <v>30.226198671244696</v>
      </c>
    </row>
    <row r="1072" spans="2:48" x14ac:dyDescent="0.35">
      <c r="B1072" s="90">
        <f t="shared" si="16"/>
        <v>1062</v>
      </c>
      <c r="C1072" s="140">
        <v>46064</v>
      </c>
      <c r="D1072" s="6" t="s">
        <v>16</v>
      </c>
      <c r="E1072" s="6" t="s">
        <v>468</v>
      </c>
      <c r="F1072" s="242" t="s">
        <v>212</v>
      </c>
      <c r="G1072" s="242" t="s">
        <v>469</v>
      </c>
      <c r="H1072" s="6" t="s">
        <v>470</v>
      </c>
      <c r="I1072" s="133" t="s">
        <v>22</v>
      </c>
      <c r="J1072" s="135" t="s">
        <v>23</v>
      </c>
      <c r="K1072" s="135" t="s">
        <v>303</v>
      </c>
      <c r="L1072" s="6" t="s">
        <v>467</v>
      </c>
      <c r="M1072" s="256">
        <v>30</v>
      </c>
      <c r="N1072" s="256">
        <v>64</v>
      </c>
      <c r="O1072" s="256">
        <v>1</v>
      </c>
      <c r="P1072" s="257">
        <v>3</v>
      </c>
      <c r="Q1072" s="129">
        <v>196</v>
      </c>
      <c r="R1072" s="98">
        <v>0.5</v>
      </c>
      <c r="S1072" s="94">
        <f>((Table3.110[[#This Row],[Sample weight, g]]*'2.1. DM'!Q297)/100)*1000</f>
        <v>474.98004798080808</v>
      </c>
      <c r="T1072" s="94">
        <f>'3.2 Digest'!W1072</f>
        <v>223.28004798080804</v>
      </c>
      <c r="U1072" s="153">
        <v>0.34375</v>
      </c>
      <c r="V1072" s="154">
        <v>41</v>
      </c>
      <c r="W1072" s="153">
        <v>0.69930555555555551</v>
      </c>
      <c r="X1072" s="95">
        <v>82.5</v>
      </c>
      <c r="Y1072" s="95">
        <v>16.5</v>
      </c>
      <c r="Z1072" s="154">
        <v>40.5</v>
      </c>
      <c r="AA1072" s="153">
        <v>0.36736111111111114</v>
      </c>
      <c r="AB1072" s="154">
        <v>78.5</v>
      </c>
      <c r="AC1072" s="154">
        <v>17.600000000000001</v>
      </c>
      <c r="AD1072" s="91"/>
      <c r="AE1072" s="94">
        <f>Table3.110[[#This Row],[Gas 8h, ml]]-Table3.110[[#This Row],[Gas 0h, ml]]</f>
        <v>41.5</v>
      </c>
      <c r="AF1072" s="94">
        <f>Table3.110[[#This Row],[Gas 24h, ml]]-Table3.110[[#This Row],[V8 Push back, ml]]</f>
        <v>38</v>
      </c>
      <c r="AG1072" s="94">
        <f>Table3.110[[#This Row],[GP 8h, ml]]-(AVERAGE(AE$982,AE$983,AE$1032,AE$1033,AE$1085,AE$1086))*$AG$8</f>
        <v>38.771229168713369</v>
      </c>
      <c r="AH1072" s="94">
        <f>Table3.110[[#This Row],[GP 8-24h, ml]]-(AVERAGE(AF$982,AF$983,AF$1032,AF$1033,AF$1085,AF$1086))*$AG$8</f>
        <v>34.349347131116531</v>
      </c>
      <c r="AI1072" s="94">
        <f>Table3.110[[#This Row],[Net gas 8-24h, ml]]+Table3.110[[#This Row],[Net gas 8h, ml]]</f>
        <v>73.120576299829906</v>
      </c>
      <c r="AJ1072" s="94">
        <f>Table3.110[[#This Row],[Net gas 8h, ml]]*Table3.110[[#This Row],[CH4 8h %]]%</f>
        <v>6.3972528128377064</v>
      </c>
      <c r="AK1072" s="94">
        <f>Table3.110[[#This Row],[Net gas 8-24h, ml]]*Table3.110[[#This Row],[CH4 24h, %]]%</f>
        <v>6.0454850950765104</v>
      </c>
      <c r="AL1072" s="94">
        <f>Table3.110[[#This Row],[CH4 8-24h, ml]]+Table3.110[[#This Row],[CH4 8h, ml]]</f>
        <v>12.442737907914218</v>
      </c>
      <c r="AM1072" s="94">
        <f>(Table3.110[[#This Row],[Net gas 24h, ml]]/Table3.110[[#This Row],[DM Incubated, mg]])*1000</f>
        <v>153.9445216923815</v>
      </c>
      <c r="AN1072" s="94">
        <f>'3.2 Digest'!X1072</f>
        <v>47.008300439143888</v>
      </c>
      <c r="AO1072" s="94">
        <f>Table3.110[[#This Row],[Digested feed, mg]]/Table3.110[[#This Row],[Net gas 24h, ml]]</f>
        <v>3.0535870924382666</v>
      </c>
      <c r="AP1072" s="94">
        <f>Table3.110[[#This Row],[CH4 8h, ml]]/Table3.110[[#This Row],[Net gas 8h, ml]]%</f>
        <v>16.500000000000004</v>
      </c>
      <c r="AQ1072" s="94">
        <f>Table3.110[[#This Row],[CH4 24h, ml]]/Table3.110[[#This Row],[Net gas 24h, ml]]%</f>
        <v>17.016739387956878</v>
      </c>
      <c r="AR1072" s="94">
        <f>Table3.110[[#This Row],[CH4 24h, ml]]/Table3.110[[#This Row],[DM Incubated, mg]]*1000</f>
        <v>26.196338058429298</v>
      </c>
      <c r="AS1072" s="94">
        <f>Table3.110[[#This Row],[CH4 24h, ml]]/Table3.110[[#This Row],[Digested feed, mg]]*1000</f>
        <v>55.727047805828711</v>
      </c>
      <c r="AT1072" s="255">
        <f>Table3.110[[#This Row],[CH4 24h, ml]]/'3.2 Digest'!AA1072</f>
        <v>3.9454634970814171</v>
      </c>
      <c r="AU1072" s="255">
        <f>((Table3.110[[#This Row],[CH4 24h, ml]]/28.9)*16.04)/Table3.110[[#This Row],[DM Incubated, mg]]*1000</f>
        <v>14.539420846270103</v>
      </c>
      <c r="AV1072" s="255">
        <f>((Table3.110[[#This Row],[CH4 24h, ml]]/28.9)*16.04)/Table3.110[[#This Row],[Digested feed, mg]]*1000</f>
        <v>30.929475668010124</v>
      </c>
    </row>
    <row r="1073" spans="2:48" x14ac:dyDescent="0.35">
      <c r="B1073" s="90">
        <f t="shared" si="16"/>
        <v>1063</v>
      </c>
      <c r="C1073" s="140">
        <v>46064</v>
      </c>
      <c r="D1073" s="6" t="s">
        <v>16</v>
      </c>
      <c r="E1073" s="6" t="s">
        <v>472</v>
      </c>
      <c r="F1073" s="242" t="s">
        <v>346</v>
      </c>
      <c r="G1073" s="242" t="s">
        <v>347</v>
      </c>
      <c r="H1073" s="6" t="s">
        <v>348</v>
      </c>
      <c r="I1073" s="133" t="s">
        <v>22</v>
      </c>
      <c r="J1073" s="135" t="s">
        <v>23</v>
      </c>
      <c r="K1073" s="135" t="s">
        <v>303</v>
      </c>
      <c r="L1073" s="6" t="s">
        <v>471</v>
      </c>
      <c r="M1073" s="256">
        <v>30</v>
      </c>
      <c r="N1073" s="256">
        <v>64</v>
      </c>
      <c r="O1073" s="256">
        <v>1</v>
      </c>
      <c r="P1073" s="257">
        <v>1</v>
      </c>
      <c r="Q1073" s="129">
        <v>197</v>
      </c>
      <c r="R1073" s="98">
        <v>0.5</v>
      </c>
      <c r="S1073" s="94">
        <f>((Table3.110[[#This Row],[Sample weight, g]]*'2.1. DM'!Q299)/100)*1000</f>
        <v>478.00774927473253</v>
      </c>
      <c r="T1073" s="94">
        <f>'3.2 Digest'!W1073</f>
        <v>31.107749274732555</v>
      </c>
      <c r="U1073" s="117">
        <v>0.34444444444444444</v>
      </c>
      <c r="V1073" s="155">
        <v>40</v>
      </c>
      <c r="W1073" s="117">
        <v>0.7</v>
      </c>
      <c r="X1073" s="97">
        <v>68.5</v>
      </c>
      <c r="Y1073" s="97">
        <v>15.2</v>
      </c>
      <c r="Z1073" s="155">
        <v>40</v>
      </c>
      <c r="AA1073" s="117">
        <v>0.36736111111111114</v>
      </c>
      <c r="AB1073" s="155">
        <v>70.5</v>
      </c>
      <c r="AC1073" s="155">
        <v>16.3</v>
      </c>
      <c r="AD1073" s="96"/>
      <c r="AE1073" s="94">
        <f>Table3.110[[#This Row],[Gas 8h, ml]]-Table3.110[[#This Row],[Gas 0h, ml]]</f>
        <v>28.5</v>
      </c>
      <c r="AF1073" s="94">
        <f>Table3.110[[#This Row],[Gas 24h, ml]]-Table3.110[[#This Row],[V8 Push back, ml]]</f>
        <v>30.5</v>
      </c>
      <c r="AG1073" s="94"/>
      <c r="AH1073" s="94"/>
      <c r="AI1073" s="94"/>
      <c r="AJ1073" s="94"/>
      <c r="AK1073" s="94"/>
      <c r="AL1073" s="94"/>
      <c r="AM1073" s="94"/>
      <c r="AN1073" s="94"/>
      <c r="AO1073" s="94"/>
      <c r="AP1073" s="94"/>
      <c r="AQ1073" s="94"/>
      <c r="AR1073" s="94"/>
      <c r="AS1073" s="94"/>
      <c r="AT1073" s="255"/>
      <c r="AU1073" s="255"/>
      <c r="AV1073" s="255"/>
    </row>
    <row r="1074" spans="2:48" x14ac:dyDescent="0.35">
      <c r="B1074" s="90">
        <f t="shared" si="16"/>
        <v>1064</v>
      </c>
      <c r="C1074" s="140">
        <v>46064</v>
      </c>
      <c r="D1074" s="6" t="s">
        <v>16</v>
      </c>
      <c r="E1074" s="6" t="s">
        <v>472</v>
      </c>
      <c r="F1074" s="242" t="s">
        <v>346</v>
      </c>
      <c r="G1074" s="242" t="s">
        <v>347</v>
      </c>
      <c r="H1074" s="6" t="s">
        <v>348</v>
      </c>
      <c r="I1074" s="133" t="s">
        <v>22</v>
      </c>
      <c r="J1074" s="135" t="s">
        <v>23</v>
      </c>
      <c r="K1074" s="135" t="s">
        <v>303</v>
      </c>
      <c r="L1074" s="6" t="s">
        <v>471</v>
      </c>
      <c r="M1074" s="256">
        <v>30</v>
      </c>
      <c r="N1074" s="256">
        <v>64</v>
      </c>
      <c r="O1074" s="256">
        <v>1</v>
      </c>
      <c r="P1074" s="257">
        <v>2</v>
      </c>
      <c r="Q1074" s="129">
        <v>198</v>
      </c>
      <c r="R1074" s="98">
        <v>0.50009999999999999</v>
      </c>
      <c r="S1074" s="94">
        <f>((Table3.110[[#This Row],[Sample weight, g]]*'2.1. DM'!Q299)/100)*1000</f>
        <v>478.10335082458749</v>
      </c>
      <c r="T1074" s="94"/>
      <c r="U1074" s="153">
        <v>0.34444444444444444</v>
      </c>
      <c r="V1074" s="154">
        <v>40</v>
      </c>
      <c r="W1074" s="153">
        <v>0.7006944444444444</v>
      </c>
      <c r="X1074" s="95">
        <v>71.5</v>
      </c>
      <c r="Y1074" s="95">
        <v>14.4</v>
      </c>
      <c r="Z1074" s="154">
        <v>40</v>
      </c>
      <c r="AA1074" s="153">
        <v>0.36736111111111114</v>
      </c>
      <c r="AB1074" s="154">
        <v>70</v>
      </c>
      <c r="AC1074" s="154">
        <v>15.8</v>
      </c>
      <c r="AD1074" s="91" t="s">
        <v>589</v>
      </c>
      <c r="AE1074" s="94">
        <f>Table3.110[[#This Row],[Gas 8h, ml]]-Table3.110[[#This Row],[Gas 0h, ml]]</f>
        <v>31.5</v>
      </c>
      <c r="AF1074" s="94">
        <f>Table3.110[[#This Row],[Gas 24h, ml]]-Table3.110[[#This Row],[V8 Push back, ml]]</f>
        <v>30</v>
      </c>
      <c r="AG1074" s="94"/>
      <c r="AH1074" s="94"/>
      <c r="AI1074" s="94"/>
      <c r="AJ1074" s="94"/>
      <c r="AK1074" s="94"/>
      <c r="AL1074" s="94"/>
      <c r="AM1074" s="94"/>
      <c r="AN1074" s="94"/>
      <c r="AO1074" s="94"/>
      <c r="AP1074" s="94"/>
      <c r="AQ1074" s="94"/>
      <c r="AR1074" s="94"/>
      <c r="AS1074" s="94"/>
      <c r="AT1074" s="255"/>
      <c r="AU1074" s="255"/>
      <c r="AV1074" s="255"/>
    </row>
    <row r="1075" spans="2:48" x14ac:dyDescent="0.35">
      <c r="B1075" s="90">
        <f t="shared" si="16"/>
        <v>1065</v>
      </c>
      <c r="C1075" s="140">
        <v>46064</v>
      </c>
      <c r="D1075" s="6" t="s">
        <v>16</v>
      </c>
      <c r="E1075" s="6" t="s">
        <v>472</v>
      </c>
      <c r="F1075" s="242" t="s">
        <v>346</v>
      </c>
      <c r="G1075" s="242" t="s">
        <v>347</v>
      </c>
      <c r="H1075" s="6" t="s">
        <v>348</v>
      </c>
      <c r="I1075" s="133" t="s">
        <v>22</v>
      </c>
      <c r="J1075" s="135" t="s">
        <v>23</v>
      </c>
      <c r="K1075" s="135" t="s">
        <v>303</v>
      </c>
      <c r="L1075" s="6" t="s">
        <v>471</v>
      </c>
      <c r="M1075" s="256">
        <v>30</v>
      </c>
      <c r="N1075" s="256">
        <v>64</v>
      </c>
      <c r="O1075" s="256">
        <v>1</v>
      </c>
      <c r="P1075" s="257">
        <v>3</v>
      </c>
      <c r="Q1075" s="129">
        <v>199</v>
      </c>
      <c r="R1075" s="98">
        <v>0.50009999999999999</v>
      </c>
      <c r="S1075" s="94">
        <f>((Table3.110[[#This Row],[Sample weight, g]]*'2.1. DM'!Q299)/100)*1000</f>
        <v>478.10335082458749</v>
      </c>
      <c r="T1075" s="94">
        <f>'3.2 Digest'!W1075</f>
        <v>167.10335082458744</v>
      </c>
      <c r="U1075" s="117">
        <v>0.34444444444444444</v>
      </c>
      <c r="V1075" s="155">
        <v>40.5</v>
      </c>
      <c r="W1075" s="117">
        <v>0.7006944444444444</v>
      </c>
      <c r="X1075" s="97">
        <v>69</v>
      </c>
      <c r="Y1075" s="97">
        <v>14.6</v>
      </c>
      <c r="Z1075" s="155">
        <v>40</v>
      </c>
      <c r="AA1075" s="117">
        <v>0.36875000000000002</v>
      </c>
      <c r="AB1075" s="155">
        <v>69.5</v>
      </c>
      <c r="AC1075" s="155">
        <v>16</v>
      </c>
      <c r="AD1075" s="96"/>
      <c r="AE1075" s="94">
        <f>Table3.110[[#This Row],[Gas 8h, ml]]-Table3.110[[#This Row],[Gas 0h, ml]]</f>
        <v>28.5</v>
      </c>
      <c r="AF1075" s="94">
        <f>Table3.110[[#This Row],[Gas 24h, ml]]-Table3.110[[#This Row],[V8 Push back, ml]]</f>
        <v>29.5</v>
      </c>
      <c r="AG1075" s="94">
        <f>Table3.110[[#This Row],[GP 8h, ml]]-(AVERAGE(AE$982,AE$983,AE$1032,AE$1033,AE$1085,AE$1086))*$AG$8</f>
        <v>25.771229168713369</v>
      </c>
      <c r="AH1075" s="94">
        <f>Table3.110[[#This Row],[GP 8-24h, ml]]-(AVERAGE(AF$982,AF$983,AF$1032,AF$1033,AF$1085,AF$1086))*$AG$8</f>
        <v>25.849347131116534</v>
      </c>
      <c r="AI1075" s="94">
        <f>Table3.110[[#This Row],[Net gas 8-24h, ml]]+Table3.110[[#This Row],[Net gas 8h, ml]]</f>
        <v>51.620576299829906</v>
      </c>
      <c r="AJ1075" s="94">
        <f>Table3.110[[#This Row],[Net gas 8h, ml]]*Table3.110[[#This Row],[CH4 8h %]]%</f>
        <v>3.7625994586321516</v>
      </c>
      <c r="AK1075" s="94">
        <f>Table3.110[[#This Row],[Net gas 8-24h, ml]]*Table3.110[[#This Row],[CH4 24h, %]]%</f>
        <v>4.1358955409786455</v>
      </c>
      <c r="AL1075" s="94">
        <f>Table3.110[[#This Row],[CH4 8-24h, ml]]+Table3.110[[#This Row],[CH4 8h, ml]]</f>
        <v>7.8984949996107972</v>
      </c>
      <c r="AM1075" s="94">
        <f>(Table3.110[[#This Row],[Net gas 24h, ml]]/Table3.110[[#This Row],[DM Incubated, mg]])*1000</f>
        <v>107.96949281112465</v>
      </c>
      <c r="AN1075" s="94">
        <f>'3.2 Digest'!X1075</f>
        <v>34.951303005173123</v>
      </c>
      <c r="AO1075" s="94">
        <f>Table3.110[[#This Row],[Digested feed, mg]]/Table3.110[[#This Row],[Net gas 24h, ml]]</f>
        <v>3.2371461692716137</v>
      </c>
      <c r="AP1075" s="94">
        <f>Table3.110[[#This Row],[CH4 8h, ml]]/Table3.110[[#This Row],[Net gas 8h, ml]]%</f>
        <v>14.6</v>
      </c>
      <c r="AQ1075" s="94">
        <f>Table3.110[[#This Row],[CH4 24h, ml]]/Table3.110[[#This Row],[Net gas 24h, ml]]%</f>
        <v>15.301059317380817</v>
      </c>
      <c r="AR1075" s="94">
        <f>Table3.110[[#This Row],[CH4 24h, ml]]/Table3.110[[#This Row],[DM Incubated, mg]]*1000</f>
        <v>16.520476139705398</v>
      </c>
      <c r="AS1075" s="94">
        <f>Table3.110[[#This Row],[CH4 24h, ml]]/Table3.110[[#This Row],[Digested feed, mg]]*1000</f>
        <v>47.267125169153815</v>
      </c>
      <c r="AT1075" s="255">
        <f>Table3.110[[#This Row],[CH4 24h, ml]]/'3.2 Digest'!AA1075</f>
        <v>-11.186323481407626</v>
      </c>
      <c r="AU1075" s="255">
        <f>((Table3.110[[#This Row],[CH4 24h, ml]]/28.9)*16.04)/Table3.110[[#This Row],[DM Incubated, mg]]*1000</f>
        <v>9.1691500789229963</v>
      </c>
      <c r="AV1075" s="255">
        <f>((Table3.110[[#This Row],[CH4 24h, ml]]/28.9)*16.04)/Table3.110[[#This Row],[Digested feed, mg]]*1000</f>
        <v>26.234072239212015</v>
      </c>
    </row>
    <row r="1076" spans="2:48" x14ac:dyDescent="0.35">
      <c r="B1076" s="90">
        <f t="shared" si="16"/>
        <v>1066</v>
      </c>
      <c r="C1076" s="140">
        <v>46064</v>
      </c>
      <c r="D1076" s="6" t="s">
        <v>473</v>
      </c>
      <c r="E1076" s="6" t="s">
        <v>475</v>
      </c>
      <c r="F1076" s="242" t="s">
        <v>592</v>
      </c>
      <c r="G1076" s="242" t="s">
        <v>106</v>
      </c>
      <c r="H1076" s="6" t="s">
        <v>476</v>
      </c>
      <c r="I1076" s="133" t="s">
        <v>108</v>
      </c>
      <c r="J1076" s="132" t="s">
        <v>109</v>
      </c>
      <c r="K1076" s="133" t="s">
        <v>110</v>
      </c>
      <c r="L1076" s="6" t="s">
        <v>474</v>
      </c>
      <c r="M1076" s="256">
        <v>30</v>
      </c>
      <c r="N1076" s="256">
        <v>64</v>
      </c>
      <c r="O1076" s="256">
        <v>1</v>
      </c>
      <c r="P1076" s="257">
        <v>1</v>
      </c>
      <c r="Q1076" s="129">
        <v>200</v>
      </c>
      <c r="R1076" s="98">
        <v>0.50049999999999994</v>
      </c>
      <c r="S1076" s="94">
        <f>((Table3.110[[#This Row],[Sample weight, g]]*'2.1. DM'!Q301)/100)*1000</f>
        <v>465.91544999999996</v>
      </c>
      <c r="T1076" s="94">
        <f>'3.2 Digest'!W1076</f>
        <v>217.41545000000002</v>
      </c>
      <c r="U1076" s="153">
        <v>0.34652777777777777</v>
      </c>
      <c r="V1076" s="154">
        <v>40</v>
      </c>
      <c r="W1076" s="153">
        <v>0.70138888888888884</v>
      </c>
      <c r="X1076" s="95">
        <v>79.5</v>
      </c>
      <c r="Y1076" s="95">
        <v>13.7</v>
      </c>
      <c r="Z1076" s="154">
        <v>40</v>
      </c>
      <c r="AA1076" s="153">
        <v>0.36875000000000002</v>
      </c>
      <c r="AB1076" s="154">
        <v>80.5</v>
      </c>
      <c r="AC1076" s="154">
        <v>15.4</v>
      </c>
      <c r="AD1076" s="91" t="s">
        <v>593</v>
      </c>
      <c r="AE1076" s="94">
        <f>Table3.110[[#This Row],[Gas 8h, ml]]-Table3.110[[#This Row],[Gas 0h, ml]]</f>
        <v>39.5</v>
      </c>
      <c r="AF1076" s="94">
        <f>Table3.110[[#This Row],[Gas 24h, ml]]-Table3.110[[#This Row],[V8 Push back, ml]]</f>
        <v>40.5</v>
      </c>
      <c r="AG1076" s="94">
        <f>Table3.110[[#This Row],[GP 8h, ml]]-(AVERAGE(AE$982,AE$983,AE$1032,AE$1033,AE$1085,AE$1086))*$AG$8</f>
        <v>36.771229168713369</v>
      </c>
      <c r="AH1076" s="94">
        <f>Table3.110[[#This Row],[GP 8-24h, ml]]-(AVERAGE(AF$982,AF$983,AF$1032,AF$1033,AF$1085,AF$1086))*$AG$8</f>
        <v>36.849347131116531</v>
      </c>
      <c r="AI1076" s="94">
        <f>Table3.110[[#This Row],[Net gas 8-24h, ml]]+Table3.110[[#This Row],[Net gas 8h, ml]]</f>
        <v>73.620576299829906</v>
      </c>
      <c r="AJ1076" s="94">
        <f>Table3.110[[#This Row],[Net gas 8h, ml]]*Table3.110[[#This Row],[CH4 8h %]]%</f>
        <v>5.0376583961137307</v>
      </c>
      <c r="AK1076" s="94">
        <f>Table3.110[[#This Row],[Net gas 8-24h, ml]]*Table3.110[[#This Row],[CH4 24h, %]]%</f>
        <v>5.6747994581919459</v>
      </c>
      <c r="AL1076" s="94">
        <f>Table3.110[[#This Row],[CH4 8-24h, ml]]+Table3.110[[#This Row],[CH4 8h, ml]]</f>
        <v>10.712457854305676</v>
      </c>
      <c r="AM1076" s="94">
        <f>(Table3.110[[#This Row],[Net gas 24h, ml]]/Table3.110[[#This Row],[DM Incubated, mg]])*1000</f>
        <v>158.01273879161963</v>
      </c>
      <c r="AN1076" s="94">
        <f>'3.2 Digest'!X1076</f>
        <v>46.66414260355608</v>
      </c>
      <c r="AO1076" s="94">
        <f>Table3.110[[#This Row],[Digested feed, mg]]/Table3.110[[#This Row],[Net gas 24h, ml]]</f>
        <v>2.9531886454480571</v>
      </c>
      <c r="AP1076" s="94">
        <f>Table3.110[[#This Row],[CH4 8h, ml]]/Table3.110[[#This Row],[Net gas 8h, ml]]%</f>
        <v>13.699999999999998</v>
      </c>
      <c r="AQ1076" s="94">
        <f>Table3.110[[#This Row],[CH4 24h, ml]]/Table3.110[[#This Row],[Net gas 24h, ml]]%</f>
        <v>14.550901925404277</v>
      </c>
      <c r="AR1076" s="94">
        <f>Table3.110[[#This Row],[CH4 24h, ml]]/Table3.110[[#This Row],[DM Incubated, mg]]*1000</f>
        <v>22.992278651213812</v>
      </c>
      <c r="AS1076" s="94">
        <f>Table3.110[[#This Row],[CH4 24h, ml]]/Table3.110[[#This Row],[Digested feed, mg]]*1000</f>
        <v>49.271833507258449</v>
      </c>
      <c r="AT1076" s="255">
        <f>Table3.110[[#This Row],[CH4 24h, ml]]/'3.2 Digest'!AA1076</f>
        <v>0.99651661066635855</v>
      </c>
      <c r="AU1076" s="255">
        <f>((Table3.110[[#This Row],[CH4 24h, ml]]/28.9)*16.04)/Table3.110[[#This Row],[DM Incubated, mg]]*1000</f>
        <v>12.761112441711749</v>
      </c>
      <c r="AV1076" s="255">
        <f>((Table3.110[[#This Row],[CH4 24h, ml]]/28.9)*16.04)/Table3.110[[#This Row],[Digested feed, mg]]*1000</f>
        <v>27.346720050395344</v>
      </c>
    </row>
    <row r="1077" spans="2:48" x14ac:dyDescent="0.35">
      <c r="B1077" s="90">
        <f t="shared" si="16"/>
        <v>1067</v>
      </c>
      <c r="C1077" s="140">
        <v>46064</v>
      </c>
      <c r="D1077" s="6" t="s">
        <v>473</v>
      </c>
      <c r="E1077" s="6" t="s">
        <v>475</v>
      </c>
      <c r="F1077" s="242" t="s">
        <v>592</v>
      </c>
      <c r="G1077" s="242" t="s">
        <v>106</v>
      </c>
      <c r="H1077" s="6" t="s">
        <v>476</v>
      </c>
      <c r="I1077" s="133" t="s">
        <v>108</v>
      </c>
      <c r="J1077" s="132" t="s">
        <v>109</v>
      </c>
      <c r="K1077" s="133" t="s">
        <v>110</v>
      </c>
      <c r="L1077" s="6" t="s">
        <v>474</v>
      </c>
      <c r="M1077" s="256">
        <v>30</v>
      </c>
      <c r="N1077" s="256">
        <v>64</v>
      </c>
      <c r="O1077" s="256">
        <v>1</v>
      </c>
      <c r="P1077" s="257">
        <v>2</v>
      </c>
      <c r="Q1077" s="129">
        <v>201</v>
      </c>
      <c r="R1077" s="98">
        <v>0.50039999999999996</v>
      </c>
      <c r="S1077" s="94">
        <f>((Table3.110[[#This Row],[Sample weight, g]]*'2.1. DM'!Q301)/100)*1000</f>
        <v>465.82235999999995</v>
      </c>
      <c r="T1077" s="94">
        <f>'3.2 Digest'!W1077</f>
        <v>246.12235999999993</v>
      </c>
      <c r="U1077" s="117">
        <v>0.34513888888888888</v>
      </c>
      <c r="V1077" s="155">
        <v>40.5</v>
      </c>
      <c r="W1077" s="117">
        <v>0.70208333333333328</v>
      </c>
      <c r="X1077" s="97">
        <v>82.5</v>
      </c>
      <c r="Y1077" s="97">
        <v>13.5</v>
      </c>
      <c r="Z1077" s="155">
        <v>40</v>
      </c>
      <c r="AA1077" s="117">
        <v>0.36944444444444446</v>
      </c>
      <c r="AB1077" s="155">
        <v>92</v>
      </c>
      <c r="AC1077" s="155">
        <v>15.5</v>
      </c>
      <c r="AD1077" s="96"/>
      <c r="AE1077" s="94">
        <f>Table3.110[[#This Row],[Gas 8h, ml]]-Table3.110[[#This Row],[Gas 0h, ml]]</f>
        <v>42</v>
      </c>
      <c r="AF1077" s="94">
        <f>Table3.110[[#This Row],[Gas 24h, ml]]-Table3.110[[#This Row],[V8 Push back, ml]]</f>
        <v>52</v>
      </c>
      <c r="AG1077" s="94">
        <f>Table3.110[[#This Row],[GP 8h, ml]]-(AVERAGE(AE$982,AE$983,AE$1032,AE$1033,AE$1085,AE$1086))*$AG$8</f>
        <v>39.271229168713369</v>
      </c>
      <c r="AH1077" s="94">
        <f>Table3.110[[#This Row],[GP 8-24h, ml]]-(AVERAGE(AF$982,AF$983,AF$1032,AF$1033,AF$1085,AF$1086))*$AG$8</f>
        <v>48.349347131116531</v>
      </c>
      <c r="AI1077" s="94">
        <f>Table3.110[[#This Row],[Net gas 8-24h, ml]]+Table3.110[[#This Row],[Net gas 8h, ml]]</f>
        <v>87.620576299829906</v>
      </c>
      <c r="AJ1077" s="94">
        <f>Table3.110[[#This Row],[Net gas 8h, ml]]*Table3.110[[#This Row],[CH4 8h %]]%</f>
        <v>5.3016159377763055</v>
      </c>
      <c r="AK1077" s="94">
        <f>Table3.110[[#This Row],[Net gas 8-24h, ml]]*Table3.110[[#This Row],[CH4 24h, %]]%</f>
        <v>7.4941488053230625</v>
      </c>
      <c r="AL1077" s="94">
        <f>Table3.110[[#This Row],[CH4 8-24h, ml]]+Table3.110[[#This Row],[CH4 8h, ml]]</f>
        <v>12.795764743099369</v>
      </c>
      <c r="AM1077" s="94">
        <f>(Table3.110[[#This Row],[Net gas 24h, ml]]/Table3.110[[#This Row],[DM Incubated, mg]])*1000</f>
        <v>188.09869131191968</v>
      </c>
      <c r="AN1077" s="94">
        <f>'3.2 Digest'!X1077</f>
        <v>52.836098292920063</v>
      </c>
      <c r="AO1077" s="94">
        <f>Table3.110[[#This Row],[Digested feed, mg]]/Table3.110[[#This Row],[Net gas 24h, ml]]</f>
        <v>2.8089561880738021</v>
      </c>
      <c r="AP1077" s="94">
        <f>Table3.110[[#This Row],[CH4 8h, ml]]/Table3.110[[#This Row],[Net gas 8h, ml]]%</f>
        <v>13.500000000000002</v>
      </c>
      <c r="AQ1077" s="94">
        <f>Table3.110[[#This Row],[CH4 24h, ml]]/Table3.110[[#This Row],[Net gas 24h, ml]]%</f>
        <v>14.603607147382125</v>
      </c>
      <c r="AR1077" s="94">
        <f>Table3.110[[#This Row],[CH4 24h, ml]]/Table3.110[[#This Row],[DM Incubated, mg]]*1000</f>
        <v>27.469193928559744</v>
      </c>
      <c r="AS1077" s="94">
        <f>Table3.110[[#This Row],[CH4 24h, ml]]/Table3.110[[#This Row],[Digested feed, mg]]*1000</f>
        <v>51.989444368644008</v>
      </c>
      <c r="AT1077" s="255">
        <f>Table3.110[[#This Row],[CH4 24h, ml]]/'3.2 Digest'!AA1077</f>
        <v>0.6070728278433819</v>
      </c>
      <c r="AU1077" s="255">
        <f>((Table3.110[[#This Row],[CH4 24h, ml]]/28.9)*16.04)/Table3.110[[#This Row],[DM Incubated, mg]]*1000</f>
        <v>15.245877875920355</v>
      </c>
      <c r="AV1077" s="255">
        <f>((Table3.110[[#This Row],[CH4 24h, ml]]/28.9)*16.04)/Table3.110[[#This Row],[Digested feed, mg]]*1000</f>
        <v>28.855041095953283</v>
      </c>
    </row>
    <row r="1078" spans="2:48" x14ac:dyDescent="0.35">
      <c r="B1078" s="90">
        <f t="shared" si="16"/>
        <v>1068</v>
      </c>
      <c r="C1078" s="140">
        <v>46064</v>
      </c>
      <c r="D1078" s="6" t="s">
        <v>473</v>
      </c>
      <c r="E1078" s="6" t="s">
        <v>475</v>
      </c>
      <c r="F1078" s="242" t="s">
        <v>592</v>
      </c>
      <c r="G1078" s="242" t="s">
        <v>106</v>
      </c>
      <c r="H1078" s="6" t="s">
        <v>476</v>
      </c>
      <c r="I1078" s="133" t="s">
        <v>108</v>
      </c>
      <c r="J1078" s="132" t="s">
        <v>109</v>
      </c>
      <c r="K1078" s="133" t="s">
        <v>110</v>
      </c>
      <c r="L1078" s="6" t="s">
        <v>474</v>
      </c>
      <c r="M1078" s="256">
        <v>30</v>
      </c>
      <c r="N1078" s="256">
        <v>64</v>
      </c>
      <c r="O1078" s="256">
        <v>1</v>
      </c>
      <c r="P1078" s="257">
        <v>3</v>
      </c>
      <c r="Q1078" s="129">
        <v>202</v>
      </c>
      <c r="R1078" s="98">
        <v>0.50049999999999994</v>
      </c>
      <c r="S1078" s="94">
        <f>((Table3.110[[#This Row],[Sample weight, g]]*'2.1. DM'!Q301)/100)*1000</f>
        <v>465.91544999999996</v>
      </c>
      <c r="T1078" s="94">
        <f>'3.2 Digest'!W1078</f>
        <v>251.51545000000004</v>
      </c>
      <c r="U1078" s="153">
        <v>0.34583333333333333</v>
      </c>
      <c r="V1078" s="154">
        <v>40.5</v>
      </c>
      <c r="W1078" s="153">
        <v>0.70208333333333328</v>
      </c>
      <c r="X1078" s="95">
        <v>83</v>
      </c>
      <c r="Y1078" s="95">
        <v>13.6</v>
      </c>
      <c r="Z1078" s="154">
        <v>40</v>
      </c>
      <c r="AA1078" s="153">
        <v>0.37013888888888891</v>
      </c>
      <c r="AB1078" s="154">
        <v>93.5</v>
      </c>
      <c r="AC1078" s="154">
        <v>15.5</v>
      </c>
      <c r="AD1078" s="91"/>
      <c r="AE1078" s="94">
        <f>Table3.110[[#This Row],[Gas 8h, ml]]-Table3.110[[#This Row],[Gas 0h, ml]]</f>
        <v>42.5</v>
      </c>
      <c r="AF1078" s="94">
        <f>Table3.110[[#This Row],[Gas 24h, ml]]-Table3.110[[#This Row],[V8 Push back, ml]]</f>
        <v>53.5</v>
      </c>
      <c r="AG1078" s="94">
        <f>Table3.110[[#This Row],[GP 8h, ml]]-(AVERAGE(AE$982,AE$983,AE$1032,AE$1033,AE$1085,AE$1086))*$AG$8</f>
        <v>39.771229168713369</v>
      </c>
      <c r="AH1078" s="94">
        <f>Table3.110[[#This Row],[GP 8-24h, ml]]-(AVERAGE(AF$982,AF$983,AF$1032,AF$1033,AF$1085,AF$1086))*$AG$8</f>
        <v>49.849347131116531</v>
      </c>
      <c r="AI1078" s="94">
        <f>Table3.110[[#This Row],[Net gas 8-24h, ml]]+Table3.110[[#This Row],[Net gas 8h, ml]]</f>
        <v>89.620576299829906</v>
      </c>
      <c r="AJ1078" s="94">
        <f>Table3.110[[#This Row],[Net gas 8h, ml]]*Table3.110[[#This Row],[CH4 8h %]]%</f>
        <v>5.4088871669450187</v>
      </c>
      <c r="AK1078" s="94">
        <f>Table3.110[[#This Row],[Net gas 8-24h, ml]]*Table3.110[[#This Row],[CH4 24h, %]]%</f>
        <v>7.7266488053230624</v>
      </c>
      <c r="AL1078" s="94">
        <f>Table3.110[[#This Row],[CH4 8-24h, ml]]+Table3.110[[#This Row],[CH4 8h, ml]]</f>
        <v>13.13553597226808</v>
      </c>
      <c r="AM1078" s="94">
        <f>(Table3.110[[#This Row],[Net gas 24h, ml]]/Table3.110[[#This Row],[DM Incubated, mg]])*1000</f>
        <v>192.35373349355535</v>
      </c>
      <c r="AN1078" s="94">
        <f>'3.2 Digest'!X1078</f>
        <v>53.983067099406135</v>
      </c>
      <c r="AO1078" s="94">
        <f>Table3.110[[#This Row],[Digested feed, mg]]/Table3.110[[#This Row],[Net gas 24h, ml]]</f>
        <v>2.806447585859559</v>
      </c>
      <c r="AP1078" s="94">
        <f>Table3.110[[#This Row],[CH4 8h, ml]]/Table3.110[[#This Row],[Net gas 8h, ml]]%</f>
        <v>13.600000000000001</v>
      </c>
      <c r="AQ1078" s="94">
        <f>Table3.110[[#This Row],[CH4 24h, ml]]/Table3.110[[#This Row],[Net gas 24h, ml]]%</f>
        <v>14.656830512138775</v>
      </c>
      <c r="AR1078" s="94">
        <f>Table3.110[[#This Row],[CH4 24h, ml]]/Table3.110[[#This Row],[DM Incubated, mg]]*1000</f>
        <v>28.192960701921521</v>
      </c>
      <c r="AS1078" s="94">
        <f>Table3.110[[#This Row],[CH4 24h, ml]]/Table3.110[[#This Row],[Digested feed, mg]]*1000</f>
        <v>52.225562971451964</v>
      </c>
      <c r="AT1078" s="255">
        <f>Table3.110[[#This Row],[CH4 24h, ml]]/'3.2 Digest'!AA1078</f>
        <v>0.57118227250499287</v>
      </c>
      <c r="AU1078" s="255">
        <f>((Table3.110[[#This Row],[CH4 24h, ml]]/28.9)*16.04)/Table3.110[[#This Row],[DM Incubated, mg]]*1000</f>
        <v>15.647580957052636</v>
      </c>
      <c r="AV1078" s="255">
        <f>((Table3.110[[#This Row],[CH4 24h, ml]]/28.9)*16.04)/Table3.110[[#This Row],[Digested feed, mg]]*1000</f>
        <v>28.986091005608635</v>
      </c>
    </row>
    <row r="1079" spans="2:48" x14ac:dyDescent="0.35">
      <c r="B1079" s="90">
        <f t="shared" si="16"/>
        <v>1069</v>
      </c>
      <c r="C1079" s="140">
        <v>46064</v>
      </c>
      <c r="D1079" s="6" t="s">
        <v>473</v>
      </c>
      <c r="E1079" s="6" t="s">
        <v>479</v>
      </c>
      <c r="F1079" s="242" t="s">
        <v>105</v>
      </c>
      <c r="G1079" s="242" t="s">
        <v>188</v>
      </c>
      <c r="H1079" s="6" t="s">
        <v>189</v>
      </c>
      <c r="I1079" s="133" t="s">
        <v>108</v>
      </c>
      <c r="J1079" s="132" t="s">
        <v>109</v>
      </c>
      <c r="K1079" s="133" t="s">
        <v>110</v>
      </c>
      <c r="L1079" s="6" t="s">
        <v>478</v>
      </c>
      <c r="M1079" s="256">
        <v>30</v>
      </c>
      <c r="N1079" s="256">
        <v>64</v>
      </c>
      <c r="O1079" s="256">
        <v>1</v>
      </c>
      <c r="P1079" s="257">
        <v>1</v>
      </c>
      <c r="Q1079" s="129">
        <v>203</v>
      </c>
      <c r="R1079" s="98">
        <v>0.50029999999999997</v>
      </c>
      <c r="S1079" s="94">
        <f>((Table3.110[[#This Row],[Sample weight, g]]*'2.1. DM'!Q303)/100)*1000</f>
        <v>491.34463000000005</v>
      </c>
      <c r="T1079" s="94">
        <f>'3.2 Digest'!W1079</f>
        <v>211.84463000000011</v>
      </c>
      <c r="U1079" s="117">
        <v>0.34583333333333333</v>
      </c>
      <c r="V1079" s="155">
        <v>40.5</v>
      </c>
      <c r="W1079" s="117">
        <v>0.70277777777777772</v>
      </c>
      <c r="X1079" s="97">
        <v>75.5</v>
      </c>
      <c r="Y1079" s="97">
        <v>13.7</v>
      </c>
      <c r="Z1079" s="155">
        <v>40</v>
      </c>
      <c r="AA1079" s="117">
        <v>0.37083333333333335</v>
      </c>
      <c r="AB1079" s="155">
        <v>96.5</v>
      </c>
      <c r="AC1079" s="155">
        <v>15.5</v>
      </c>
      <c r="AD1079" s="96"/>
      <c r="AE1079" s="94">
        <f>Table3.110[[#This Row],[Gas 8h, ml]]-Table3.110[[#This Row],[Gas 0h, ml]]</f>
        <v>35</v>
      </c>
      <c r="AF1079" s="94">
        <f>Table3.110[[#This Row],[Gas 24h, ml]]-Table3.110[[#This Row],[V8 Push back, ml]]</f>
        <v>56.5</v>
      </c>
      <c r="AG1079" s="94">
        <f>Table3.110[[#This Row],[GP 8h, ml]]-(AVERAGE(AE$982,AE$983,AE$1032,AE$1033,AE$1085,AE$1086))*$AG$8</f>
        <v>32.271229168713369</v>
      </c>
      <c r="AH1079" s="94">
        <f>Table3.110[[#This Row],[GP 8-24h, ml]]-(AVERAGE(AF$982,AF$983,AF$1032,AF$1033,AF$1085,AF$1086))*$AG$8</f>
        <v>52.849347131116531</v>
      </c>
      <c r="AI1079" s="94">
        <f>Table3.110[[#This Row],[Net gas 8-24h, ml]]+Table3.110[[#This Row],[Net gas 8h, ml]]</f>
        <v>85.120576299829906</v>
      </c>
      <c r="AJ1079" s="94">
        <f>Table3.110[[#This Row],[Net gas 8h, ml]]*Table3.110[[#This Row],[CH4 8h %]]%</f>
        <v>4.4211583961137313</v>
      </c>
      <c r="AK1079" s="94">
        <f>Table3.110[[#This Row],[Net gas 8-24h, ml]]*Table3.110[[#This Row],[CH4 24h, %]]%</f>
        <v>8.1916488053230623</v>
      </c>
      <c r="AL1079" s="94">
        <f>Table3.110[[#This Row],[CH4 8-24h, ml]]+Table3.110[[#This Row],[CH4 8h, ml]]</f>
        <v>12.612807201436794</v>
      </c>
      <c r="AM1079" s="94">
        <f>(Table3.110[[#This Row],[Net gas 24h, ml]]/Table3.110[[#This Row],[DM Incubated, mg]])*1000</f>
        <v>173.24006634575389</v>
      </c>
      <c r="AN1079" s="94">
        <f>'3.2 Digest'!X1079</f>
        <v>43.115283462037652</v>
      </c>
      <c r="AO1079" s="94">
        <f>Table3.110[[#This Row],[Digested feed, mg]]/Table3.110[[#This Row],[Net gas 24h, ml]]</f>
        <v>2.4887593483130992</v>
      </c>
      <c r="AP1079" s="94">
        <f>Table3.110[[#This Row],[CH4 8h, ml]]/Table3.110[[#This Row],[Net gas 8h, ml]]%</f>
        <v>13.7</v>
      </c>
      <c r="AQ1079" s="94">
        <f>Table3.110[[#This Row],[CH4 24h, ml]]/Table3.110[[#This Row],[Net gas 24h, ml]]%</f>
        <v>14.81757731175276</v>
      </c>
      <c r="AR1079" s="94">
        <f>Table3.110[[#This Row],[CH4 24h, ml]]/Table3.110[[#This Row],[DM Incubated, mg]]*1000</f>
        <v>25.669980765713859</v>
      </c>
      <c r="AS1079" s="94">
        <f>Table3.110[[#This Row],[CH4 24h, ml]]/Table3.110[[#This Row],[Digested feed, mg]]*1000</f>
        <v>59.538007649458883</v>
      </c>
      <c r="AT1079" s="255">
        <f>Table3.110[[#This Row],[CH4 24h, ml]]/'3.2 Digest'!AA1079</f>
        <v>0.55652025102894309</v>
      </c>
      <c r="AU1079" s="255">
        <f>((Table3.110[[#This Row],[CH4 24h, ml]]/28.9)*16.04)/Table3.110[[#This Row],[DM Incubated, mg]]*1000</f>
        <v>14.247283442285477</v>
      </c>
      <c r="AV1079" s="255">
        <f>((Table3.110[[#This Row],[CH4 24h, ml]]/28.9)*16.04)/Table3.110[[#This Row],[Digested feed, mg]]*1000</f>
        <v>33.044624314786176</v>
      </c>
    </row>
    <row r="1080" spans="2:48" x14ac:dyDescent="0.35">
      <c r="B1080" s="90">
        <f t="shared" si="16"/>
        <v>1070</v>
      </c>
      <c r="C1080" s="140">
        <v>46064</v>
      </c>
      <c r="D1080" s="6" t="s">
        <v>473</v>
      </c>
      <c r="E1080" s="6" t="s">
        <v>479</v>
      </c>
      <c r="F1080" s="242" t="s">
        <v>105</v>
      </c>
      <c r="G1080" s="242" t="s">
        <v>188</v>
      </c>
      <c r="H1080" s="6" t="s">
        <v>189</v>
      </c>
      <c r="I1080" s="133" t="s">
        <v>108</v>
      </c>
      <c r="J1080" s="132" t="s">
        <v>109</v>
      </c>
      <c r="K1080" s="133" t="s">
        <v>110</v>
      </c>
      <c r="L1080" s="6" t="s">
        <v>478</v>
      </c>
      <c r="M1080" s="256">
        <v>30</v>
      </c>
      <c r="N1080" s="256">
        <v>64</v>
      </c>
      <c r="O1080" s="256">
        <v>1</v>
      </c>
      <c r="P1080" s="257">
        <v>2</v>
      </c>
      <c r="Q1080" s="129">
        <v>204</v>
      </c>
      <c r="R1080" s="98">
        <v>0.5</v>
      </c>
      <c r="S1080" s="94">
        <f>((Table3.110[[#This Row],[Sample weight, g]]*'2.1. DM'!Q303)/100)*1000</f>
        <v>491.05000000000007</v>
      </c>
      <c r="T1080" s="94">
        <f>'3.2 Digest'!W1080</f>
        <v>174.95000000000016</v>
      </c>
      <c r="U1080" s="153">
        <v>0.34652777777777777</v>
      </c>
      <c r="V1080" s="154">
        <v>40.5</v>
      </c>
      <c r="W1080" s="153">
        <v>0.70347222222222228</v>
      </c>
      <c r="X1080" s="95">
        <v>75.5</v>
      </c>
      <c r="Y1080" s="95">
        <v>14</v>
      </c>
      <c r="Z1080" s="154">
        <v>40</v>
      </c>
      <c r="AA1080" s="153">
        <v>0.37083333333333335</v>
      </c>
      <c r="AB1080" s="154">
        <v>97.5</v>
      </c>
      <c r="AC1080" s="154">
        <v>15.4</v>
      </c>
      <c r="AD1080" s="91"/>
      <c r="AE1080" s="94">
        <f>Table3.110[[#This Row],[Gas 8h, ml]]-Table3.110[[#This Row],[Gas 0h, ml]]</f>
        <v>35</v>
      </c>
      <c r="AF1080" s="94">
        <f>Table3.110[[#This Row],[Gas 24h, ml]]-Table3.110[[#This Row],[V8 Push back, ml]]</f>
        <v>57.5</v>
      </c>
      <c r="AG1080" s="94">
        <f>Table3.110[[#This Row],[GP 8h, ml]]-(AVERAGE(AE$982,AE$983,AE$1032,AE$1033,AE$1085,AE$1086))*$AG$8</f>
        <v>32.271229168713369</v>
      </c>
      <c r="AH1080" s="94">
        <f>Table3.110[[#This Row],[GP 8-24h, ml]]-(AVERAGE(AF$982,AF$983,AF$1032,AF$1033,AF$1085,AF$1086))*$AG$8</f>
        <v>53.849347131116531</v>
      </c>
      <c r="AI1080" s="94">
        <f>Table3.110[[#This Row],[Net gas 8-24h, ml]]+Table3.110[[#This Row],[Net gas 8h, ml]]</f>
        <v>86.120576299829906</v>
      </c>
      <c r="AJ1080" s="94">
        <f>Table3.110[[#This Row],[Net gas 8h, ml]]*Table3.110[[#This Row],[CH4 8h %]]%</f>
        <v>4.5179720836198722</v>
      </c>
      <c r="AK1080" s="94">
        <f>Table3.110[[#This Row],[Net gas 8-24h, ml]]*Table3.110[[#This Row],[CH4 24h, %]]%</f>
        <v>8.2927994581919453</v>
      </c>
      <c r="AL1080" s="94">
        <f>Table3.110[[#This Row],[CH4 8-24h, ml]]+Table3.110[[#This Row],[CH4 8h, ml]]</f>
        <v>12.810771541811818</v>
      </c>
      <c r="AM1080" s="94">
        <f>(Table3.110[[#This Row],[Net gas 24h, ml]]/Table3.110[[#This Row],[DM Incubated, mg]])*1000</f>
        <v>175.3804628853068</v>
      </c>
      <c r="AN1080" s="94">
        <f>'3.2 Digest'!X1080</f>
        <v>35.627736483046561</v>
      </c>
      <c r="AO1080" s="94">
        <f>Table3.110[[#This Row],[Digested feed, mg]]/Table3.110[[#This Row],[Net gas 24h, ml]]</f>
        <v>2.0314541253289975</v>
      </c>
      <c r="AP1080" s="94">
        <f>Table3.110[[#This Row],[CH4 8h, ml]]/Table3.110[[#This Row],[Net gas 8h, ml]]%</f>
        <v>14.000000000000004</v>
      </c>
      <c r="AQ1080" s="94">
        <f>Table3.110[[#This Row],[CH4 24h, ml]]/Table3.110[[#This Row],[Net gas 24h, ml]]%</f>
        <v>14.875389938417213</v>
      </c>
      <c r="AR1080" s="94">
        <f>Table3.110[[#This Row],[CH4 24h, ml]]/Table3.110[[#This Row],[DM Incubated, mg]]*1000</f>
        <v>26.08852772999046</v>
      </c>
      <c r="AS1080" s="94">
        <f>Table3.110[[#This Row],[CH4 24h, ml]]/Table3.110[[#This Row],[Digested feed, mg]]*1000</f>
        <v>73.22533033330555</v>
      </c>
      <c r="AT1080" s="255">
        <f>Table3.110[[#This Row],[CH4 24h, ml]]/'3.2 Digest'!AA1080</f>
        <v>1.0261606684430764</v>
      </c>
      <c r="AU1080" s="255">
        <f>((Table3.110[[#This Row],[CH4 24h, ml]]/28.9)*16.04)/Table3.110[[#This Row],[DM Incubated, mg]]*1000</f>
        <v>14.479584248755952</v>
      </c>
      <c r="AV1080" s="255">
        <f>((Table3.110[[#This Row],[CH4 24h, ml]]/28.9)*16.04)/Table3.110[[#This Row],[Digested feed, mg]]*1000</f>
        <v>40.641325209211807</v>
      </c>
    </row>
    <row r="1081" spans="2:48" x14ac:dyDescent="0.35">
      <c r="B1081" s="90">
        <f t="shared" si="16"/>
        <v>1071</v>
      </c>
      <c r="C1081" s="140">
        <v>46064</v>
      </c>
      <c r="D1081" s="6" t="s">
        <v>473</v>
      </c>
      <c r="E1081" s="6" t="s">
        <v>479</v>
      </c>
      <c r="F1081" s="242" t="s">
        <v>105</v>
      </c>
      <c r="G1081" s="242" t="s">
        <v>188</v>
      </c>
      <c r="H1081" s="6" t="s">
        <v>189</v>
      </c>
      <c r="I1081" s="133" t="s">
        <v>108</v>
      </c>
      <c r="J1081" s="132" t="s">
        <v>109</v>
      </c>
      <c r="K1081" s="133" t="s">
        <v>110</v>
      </c>
      <c r="L1081" s="6" t="s">
        <v>478</v>
      </c>
      <c r="M1081" s="256">
        <v>30</v>
      </c>
      <c r="N1081" s="256">
        <v>64</v>
      </c>
      <c r="O1081" s="256">
        <v>1</v>
      </c>
      <c r="P1081" s="257">
        <v>3</v>
      </c>
      <c r="Q1081" s="129">
        <v>205</v>
      </c>
      <c r="R1081" s="98">
        <v>0.50019999999999998</v>
      </c>
      <c r="S1081" s="94">
        <f>((Table3.110[[#This Row],[Sample weight, g]]*'2.1. DM'!Q303)/100)*1000</f>
        <v>491.24642</v>
      </c>
      <c r="T1081" s="94">
        <f>'3.2 Digest'!W1081</f>
        <v>218.24642</v>
      </c>
      <c r="U1081" s="117">
        <v>0.34652777777777777</v>
      </c>
      <c r="V1081" s="155">
        <v>40</v>
      </c>
      <c r="W1081" s="117">
        <v>0.70347222222222228</v>
      </c>
      <c r="X1081" s="97">
        <v>75.5</v>
      </c>
      <c r="Y1081" s="97">
        <v>14.1</v>
      </c>
      <c r="Z1081" s="155">
        <v>40</v>
      </c>
      <c r="AA1081" s="117">
        <v>0.37152777777777779</v>
      </c>
      <c r="AB1081" s="155">
        <v>97</v>
      </c>
      <c r="AC1081" s="155">
        <v>15.5</v>
      </c>
      <c r="AD1081" s="96"/>
      <c r="AE1081" s="94">
        <f>Table3.110[[#This Row],[Gas 8h, ml]]-Table3.110[[#This Row],[Gas 0h, ml]]</f>
        <v>35.5</v>
      </c>
      <c r="AF1081" s="94">
        <f>Table3.110[[#This Row],[Gas 24h, ml]]-Table3.110[[#This Row],[V8 Push back, ml]]</f>
        <v>57</v>
      </c>
      <c r="AG1081" s="94">
        <f>Table3.110[[#This Row],[GP 8h, ml]]-(AVERAGE(AE$982,AE$983,AE$1032,AE$1033,AE$1085,AE$1086))*$AG$8</f>
        <v>32.771229168713369</v>
      </c>
      <c r="AH1081" s="94">
        <f>Table3.110[[#This Row],[GP 8-24h, ml]]-(AVERAGE(AF$982,AF$983,AF$1032,AF$1033,AF$1085,AF$1086))*$AG$8</f>
        <v>53.349347131116531</v>
      </c>
      <c r="AI1081" s="94">
        <f>Table3.110[[#This Row],[Net gas 8-24h, ml]]+Table3.110[[#This Row],[Net gas 8h, ml]]</f>
        <v>86.120576299829906</v>
      </c>
      <c r="AJ1081" s="94">
        <f>Table3.110[[#This Row],[Net gas 8h, ml]]*Table3.110[[#This Row],[CH4 8h %]]%</f>
        <v>4.6207433127885844</v>
      </c>
      <c r="AK1081" s="94">
        <f>Table3.110[[#This Row],[Net gas 8-24h, ml]]*Table3.110[[#This Row],[CH4 24h, %]]%</f>
        <v>8.2691488053230628</v>
      </c>
      <c r="AL1081" s="94">
        <f>Table3.110[[#This Row],[CH4 8-24h, ml]]+Table3.110[[#This Row],[CH4 8h, ml]]</f>
        <v>12.889892118111646</v>
      </c>
      <c r="AM1081" s="94">
        <f>(Table3.110[[#This Row],[Net gas 24h, ml]]/Table3.110[[#This Row],[DM Incubated, mg]])*1000</f>
        <v>175.3103387498069</v>
      </c>
      <c r="AN1081" s="94">
        <f>'3.2 Digest'!X1081</f>
        <v>44.427075926578766</v>
      </c>
      <c r="AO1081" s="94">
        <f>Table3.110[[#This Row],[Digested feed, mg]]/Table3.110[[#This Row],[Net gas 24h, ml]]</f>
        <v>2.534196000270275</v>
      </c>
      <c r="AP1081" s="94">
        <f>Table3.110[[#This Row],[CH4 8h, ml]]/Table3.110[[#This Row],[Net gas 8h, ml]]%</f>
        <v>14.1</v>
      </c>
      <c r="AQ1081" s="94">
        <f>Table3.110[[#This Row],[CH4 24h, ml]]/Table3.110[[#This Row],[Net gas 24h, ml]]%</f>
        <v>14.967261799590517</v>
      </c>
      <c r="AR1081" s="94">
        <f>Table3.110[[#This Row],[CH4 24h, ml]]/Table3.110[[#This Row],[DM Incubated, mg]]*1000</f>
        <v>26.239157362432579</v>
      </c>
      <c r="AS1081" s="94">
        <f>Table3.110[[#This Row],[CH4 24h, ml]]/Table3.110[[#This Row],[Digested feed, mg]]*1000</f>
        <v>59.061184683403496</v>
      </c>
      <c r="AT1081" s="255">
        <f>Table3.110[[#This Row],[CH4 24h, ml]]/'3.2 Digest'!AA1081</f>
        <v>0.52725615141370863</v>
      </c>
      <c r="AU1081" s="255">
        <f>((Table3.110[[#This Row],[CH4 24h, ml]]/28.9)*16.04)/Table3.110[[#This Row],[DM Incubated, mg]]*1000</f>
        <v>14.563186300810329</v>
      </c>
      <c r="AV1081" s="255">
        <f>((Table3.110[[#This Row],[CH4 24h, ml]]/28.9)*16.04)/Table3.110[[#This Row],[Digested feed, mg]]*1000</f>
        <v>32.779979319093151</v>
      </c>
    </row>
    <row r="1082" spans="2:48" x14ac:dyDescent="0.35">
      <c r="B1082" s="90">
        <f t="shared" si="16"/>
        <v>1072</v>
      </c>
      <c r="C1082" s="140">
        <v>46064</v>
      </c>
      <c r="D1082" s="8" t="s">
        <v>120</v>
      </c>
      <c r="E1082" s="6" t="s">
        <v>122</v>
      </c>
      <c r="F1082" s="242" t="s">
        <v>123</v>
      </c>
      <c r="G1082" s="242" t="s">
        <v>545</v>
      </c>
      <c r="H1082" s="6" t="s">
        <v>125</v>
      </c>
      <c r="I1082" s="133" t="s">
        <v>108</v>
      </c>
      <c r="J1082" s="132" t="s">
        <v>109</v>
      </c>
      <c r="K1082" s="133" t="s">
        <v>110</v>
      </c>
      <c r="L1082" s="6" t="s">
        <v>121</v>
      </c>
      <c r="M1082" s="256">
        <v>30</v>
      </c>
      <c r="N1082" s="256">
        <v>64</v>
      </c>
      <c r="O1082" s="256">
        <v>1</v>
      </c>
      <c r="P1082" s="257">
        <v>1</v>
      </c>
      <c r="Q1082" s="129">
        <v>206</v>
      </c>
      <c r="R1082" s="98">
        <v>0.5</v>
      </c>
      <c r="S1082" s="94">
        <f>((Table3.110[[#This Row],[Sample weight, g]]*'2.1. DM'!Q305)/100)*1000</f>
        <v>468.49999999999994</v>
      </c>
      <c r="T1082" s="94">
        <f>'3.2 Digest'!W1082</f>
        <v>144.20000000000005</v>
      </c>
      <c r="U1082" s="153">
        <v>0.34791666666666665</v>
      </c>
      <c r="V1082" s="154">
        <v>40.5</v>
      </c>
      <c r="W1082" s="153">
        <v>0.70416666666666672</v>
      </c>
      <c r="X1082" s="95">
        <v>68</v>
      </c>
      <c r="Y1082" s="95">
        <v>15.3</v>
      </c>
      <c r="Z1082" s="154">
        <v>40</v>
      </c>
      <c r="AA1082" s="153">
        <v>0.37152777777777779</v>
      </c>
      <c r="AB1082" s="154">
        <v>80</v>
      </c>
      <c r="AC1082" s="154">
        <v>16.5</v>
      </c>
      <c r="AD1082" s="91" t="s">
        <v>594</v>
      </c>
      <c r="AE1082" s="94">
        <f>Table3.110[[#This Row],[Gas 8h, ml]]-Table3.110[[#This Row],[Gas 0h, ml]]</f>
        <v>27.5</v>
      </c>
      <c r="AF1082" s="94">
        <f>Table3.110[[#This Row],[Gas 24h, ml]]-Table3.110[[#This Row],[V8 Push back, ml]]</f>
        <v>40</v>
      </c>
      <c r="AG1082" s="94">
        <f>Table3.110[[#This Row],[GP 8h, ml]]-(AVERAGE(AE$982,AE$983,AE$1032,AE$1033,AE$1085,AE$1086))*$AG$8</f>
        <v>24.771229168713369</v>
      </c>
      <c r="AH1082" s="94">
        <f>Table3.110[[#This Row],[GP 8-24h, ml]]-(AVERAGE(AF$982,AF$983,AF$1032,AF$1033,AF$1085,AF$1086))*$AG$8</f>
        <v>36.349347131116531</v>
      </c>
      <c r="AI1082" s="94">
        <f>Table3.110[[#This Row],[Net gas 8-24h, ml]]+Table3.110[[#This Row],[Net gas 8h, ml]]</f>
        <v>61.120576299829899</v>
      </c>
      <c r="AJ1082" s="94">
        <f>Table3.110[[#This Row],[Net gas 8h, ml]]*Table3.110[[#This Row],[CH4 8h %]]%</f>
        <v>3.7899980628131451</v>
      </c>
      <c r="AK1082" s="94">
        <f>Table3.110[[#This Row],[Net gas 8-24h, ml]]*Table3.110[[#This Row],[CH4 24h, %]]%</f>
        <v>5.9976422766342274</v>
      </c>
      <c r="AL1082" s="94">
        <f>Table3.110[[#This Row],[CH4 8-24h, ml]]+Table3.110[[#This Row],[CH4 8h, ml]]</f>
        <v>9.787640339447373</v>
      </c>
      <c r="AM1082" s="94">
        <f>(Table3.110[[#This Row],[Net gas 24h, ml]]/Table3.110[[#This Row],[DM Incubated, mg]])*1000</f>
        <v>130.46014151511187</v>
      </c>
      <c r="AN1082" s="94">
        <f>'3.2 Digest'!X1082</f>
        <v>30.779082177161165</v>
      </c>
      <c r="AO1082" s="94">
        <f>Table3.110[[#This Row],[Digested feed, mg]]/Table3.110[[#This Row],[Net gas 24h, ml]]</f>
        <v>2.3592709481766021</v>
      </c>
      <c r="AP1082" s="94">
        <f>Table3.110[[#This Row],[CH4 8h, ml]]/Table3.110[[#This Row],[Net gas 8h, ml]]%</f>
        <v>15.299999999999999</v>
      </c>
      <c r="AQ1082" s="94">
        <f>Table3.110[[#This Row],[CH4 24h, ml]]/Table3.110[[#This Row],[Net gas 24h, ml]]%</f>
        <v>16.013658463286795</v>
      </c>
      <c r="AR1082" s="94">
        <f>Table3.110[[#This Row],[CH4 24h, ml]]/Table3.110[[#This Row],[DM Incubated, mg]]*1000</f>
        <v>20.891441492950637</v>
      </c>
      <c r="AS1082" s="94">
        <f>Table3.110[[#This Row],[CH4 24h, ml]]/Table3.110[[#This Row],[Digested feed, mg]]*1000</f>
        <v>67.875453116833356</v>
      </c>
      <c r="AT1082" s="255">
        <f>Table3.110[[#This Row],[CH4 24h, ml]]/'3.2 Digest'!AA1082</f>
        <v>1.0827598953605233</v>
      </c>
      <c r="AU1082" s="255">
        <f>((Table3.110[[#This Row],[CH4 24h, ml]]/28.9)*16.04)/Table3.110[[#This Row],[DM Incubated, mg]]*1000</f>
        <v>11.595111472212048</v>
      </c>
      <c r="AV1082" s="255">
        <f>((Table3.110[[#This Row],[CH4 24h, ml]]/28.9)*16.04)/Table3.110[[#This Row],[Digested feed, mg]]*1000</f>
        <v>37.672050795640381</v>
      </c>
    </row>
    <row r="1083" spans="2:48" x14ac:dyDescent="0.35">
      <c r="B1083" s="90">
        <f t="shared" si="16"/>
        <v>1073</v>
      </c>
      <c r="C1083" s="140">
        <v>46064</v>
      </c>
      <c r="D1083" s="8" t="s">
        <v>120</v>
      </c>
      <c r="E1083" s="6" t="s">
        <v>122</v>
      </c>
      <c r="F1083" s="242" t="s">
        <v>123</v>
      </c>
      <c r="G1083" s="242" t="s">
        <v>545</v>
      </c>
      <c r="H1083" s="6" t="s">
        <v>125</v>
      </c>
      <c r="I1083" s="133" t="s">
        <v>108</v>
      </c>
      <c r="J1083" s="132" t="s">
        <v>109</v>
      </c>
      <c r="K1083" s="133" t="s">
        <v>110</v>
      </c>
      <c r="L1083" s="6" t="s">
        <v>121</v>
      </c>
      <c r="M1083" s="256">
        <v>30</v>
      </c>
      <c r="N1083" s="256">
        <v>64</v>
      </c>
      <c r="O1083" s="256">
        <v>1</v>
      </c>
      <c r="P1083" s="257">
        <v>2</v>
      </c>
      <c r="Q1083" s="129">
        <v>207</v>
      </c>
      <c r="R1083" s="98">
        <v>0.5</v>
      </c>
      <c r="S1083" s="94">
        <f>((Table3.110[[#This Row],[Sample weight, g]]*'2.1. DM'!Q305)/100)*1000</f>
        <v>468.49999999999994</v>
      </c>
      <c r="T1083" s="94">
        <f>'3.2 Digest'!W1083</f>
        <v>174.59999999999991</v>
      </c>
      <c r="U1083" s="117">
        <v>0.34791666666666665</v>
      </c>
      <c r="V1083" s="155">
        <v>40.5</v>
      </c>
      <c r="W1083" s="117">
        <v>0.70416666666666672</v>
      </c>
      <c r="X1083" s="97">
        <v>72.5</v>
      </c>
      <c r="Y1083" s="97">
        <v>15.7</v>
      </c>
      <c r="Z1083" s="155">
        <v>40</v>
      </c>
      <c r="AA1083" s="117">
        <v>0.37222222222222223</v>
      </c>
      <c r="AB1083" s="155">
        <v>83.5</v>
      </c>
      <c r="AC1083" s="155">
        <v>16.3</v>
      </c>
      <c r="AD1083" s="96"/>
      <c r="AE1083" s="94">
        <f>Table3.110[[#This Row],[Gas 8h, ml]]-Table3.110[[#This Row],[Gas 0h, ml]]</f>
        <v>32</v>
      </c>
      <c r="AF1083" s="94">
        <f>Table3.110[[#This Row],[Gas 24h, ml]]-Table3.110[[#This Row],[V8 Push back, ml]]</f>
        <v>43.5</v>
      </c>
      <c r="AG1083" s="94">
        <f>Table3.110[[#This Row],[GP 8h, ml]]-(AVERAGE(AE$982,AE$983,AE$1032,AE$1033,AE$1085,AE$1086))*$AG$8</f>
        <v>29.271229168713369</v>
      </c>
      <c r="AH1083" s="94">
        <f>Table3.110[[#This Row],[GP 8-24h, ml]]-(AVERAGE(AF$982,AF$983,AF$1032,AF$1033,AF$1085,AF$1086))*$AG$8</f>
        <v>39.849347131116531</v>
      </c>
      <c r="AI1083" s="94">
        <f>Table3.110[[#This Row],[Net gas 8-24h, ml]]+Table3.110[[#This Row],[Net gas 8h, ml]]</f>
        <v>69.120576299829906</v>
      </c>
      <c r="AJ1083" s="94">
        <f>Table3.110[[#This Row],[Net gas 8h, ml]]*Table3.110[[#This Row],[CH4 8h %]]%</f>
        <v>4.5955829794879985</v>
      </c>
      <c r="AK1083" s="94">
        <f>Table3.110[[#This Row],[Net gas 8-24h, ml]]*Table3.110[[#This Row],[CH4 24h, %]]%</f>
        <v>6.4954435823719949</v>
      </c>
      <c r="AL1083" s="94">
        <f>Table3.110[[#This Row],[CH4 8-24h, ml]]+Table3.110[[#This Row],[CH4 8h, ml]]</f>
        <v>11.091026561859994</v>
      </c>
      <c r="AM1083" s="94">
        <f>(Table3.110[[#This Row],[Net gas 24h, ml]]/Table3.110[[#This Row],[DM Incubated, mg]])*1000</f>
        <v>147.53591526110972</v>
      </c>
      <c r="AN1083" s="94">
        <f>'3.2 Digest'!X1083</f>
        <v>37.267876200640323</v>
      </c>
      <c r="AO1083" s="94">
        <f>Table3.110[[#This Row],[Digested feed, mg]]/Table3.110[[#This Row],[Net gas 24h, ml]]</f>
        <v>2.5260206055375374</v>
      </c>
      <c r="AP1083" s="94">
        <f>Table3.110[[#This Row],[CH4 8h, ml]]/Table3.110[[#This Row],[Net gas 8h, ml]]%</f>
        <v>15.699999999999998</v>
      </c>
      <c r="AQ1083" s="94">
        <f>Table3.110[[#This Row],[CH4 24h, ml]]/Table3.110[[#This Row],[Net gas 24h, ml]]%</f>
        <v>16.045911587527211</v>
      </c>
      <c r="AR1083" s="94">
        <f>Table3.110[[#This Row],[CH4 24h, ml]]/Table3.110[[#This Row],[DM Incubated, mg]]*1000</f>
        <v>23.673482522646733</v>
      </c>
      <c r="AS1083" s="94">
        <f>Table3.110[[#This Row],[CH4 24h, ml]]/Table3.110[[#This Row],[Digested feed, mg]]*1000</f>
        <v>63.522488899541806</v>
      </c>
      <c r="AT1083" s="255">
        <f>Table3.110[[#This Row],[CH4 24h, ml]]/'3.2 Digest'!AA1083</f>
        <v>0.6313846034249756</v>
      </c>
      <c r="AU1083" s="255">
        <f>((Table3.110[[#This Row],[CH4 24h, ml]]/28.9)*16.04)/Table3.110[[#This Row],[DM Incubated, mg]]*1000</f>
        <v>13.139192375891129</v>
      </c>
      <c r="AV1083" s="255">
        <f>((Table3.110[[#This Row],[CH4 24h, ml]]/28.9)*16.04)/Table3.110[[#This Row],[Digested feed, mg]]*1000</f>
        <v>35.256080344243969</v>
      </c>
    </row>
    <row r="1084" spans="2:48" x14ac:dyDescent="0.35">
      <c r="B1084" s="90">
        <f t="shared" si="16"/>
        <v>1074</v>
      </c>
      <c r="C1084" s="140">
        <v>46064</v>
      </c>
      <c r="D1084" s="8" t="s">
        <v>120</v>
      </c>
      <c r="E1084" s="6" t="s">
        <v>122</v>
      </c>
      <c r="F1084" s="242" t="s">
        <v>123</v>
      </c>
      <c r="G1084" s="242" t="s">
        <v>545</v>
      </c>
      <c r="H1084" s="6" t="s">
        <v>125</v>
      </c>
      <c r="I1084" s="133" t="s">
        <v>108</v>
      </c>
      <c r="J1084" s="132" t="s">
        <v>109</v>
      </c>
      <c r="K1084" s="133" t="s">
        <v>110</v>
      </c>
      <c r="L1084" s="6" t="s">
        <v>121</v>
      </c>
      <c r="M1084" s="256">
        <v>30</v>
      </c>
      <c r="N1084" s="256">
        <v>64</v>
      </c>
      <c r="O1084" s="256">
        <v>1</v>
      </c>
      <c r="P1084" s="257">
        <v>3</v>
      </c>
      <c r="Q1084" s="129">
        <v>208</v>
      </c>
      <c r="R1084" s="98">
        <v>0.50029999999999997</v>
      </c>
      <c r="S1084" s="94">
        <f>((Table3.110[[#This Row],[Sample weight, g]]*'2.1. DM'!Q305)/100)*1000</f>
        <v>468.78109999999992</v>
      </c>
      <c r="T1084" s="94">
        <f>'3.2 Digest'!W1084</f>
        <v>101.38109999999989</v>
      </c>
      <c r="U1084" s="153">
        <v>0.34722222222222221</v>
      </c>
      <c r="V1084" s="154">
        <v>40.5</v>
      </c>
      <c r="W1084" s="153">
        <v>0.70486111111111116</v>
      </c>
      <c r="X1084" s="95">
        <v>68</v>
      </c>
      <c r="Y1084" s="95">
        <v>15.7</v>
      </c>
      <c r="Z1084" s="154">
        <v>40</v>
      </c>
      <c r="AA1084" s="153">
        <v>0.37222222222222223</v>
      </c>
      <c r="AB1084" s="154">
        <v>84.5</v>
      </c>
      <c r="AC1084" s="154">
        <v>16.2</v>
      </c>
      <c r="AD1084" s="91"/>
      <c r="AE1084" s="94">
        <f>Table3.110[[#This Row],[Gas 8h, ml]]-Table3.110[[#This Row],[Gas 0h, ml]]</f>
        <v>27.5</v>
      </c>
      <c r="AF1084" s="94">
        <f>Table3.110[[#This Row],[Gas 24h, ml]]-Table3.110[[#This Row],[V8 Push back, ml]]</f>
        <v>44.5</v>
      </c>
      <c r="AG1084" s="94">
        <f>Table3.110[[#This Row],[GP 8h, ml]]-(AVERAGE(AE$982,AE$983,AE$1032,AE$1033,AE$1085,AE$1086))*$AG$8</f>
        <v>24.771229168713369</v>
      </c>
      <c r="AH1084" s="94">
        <f>Table3.110[[#This Row],[GP 8-24h, ml]]-(AVERAGE(AF$982,AF$983,AF$1032,AF$1033,AF$1085,AF$1086))*$AG$8</f>
        <v>40.849347131116531</v>
      </c>
      <c r="AI1084" s="94">
        <f>Table3.110[[#This Row],[Net gas 8-24h, ml]]+Table3.110[[#This Row],[Net gas 8h, ml]]</f>
        <v>65.620576299829906</v>
      </c>
      <c r="AJ1084" s="94">
        <f>Table3.110[[#This Row],[Net gas 8h, ml]]*Table3.110[[#This Row],[CH4 8h %]]%</f>
        <v>3.8890829794879989</v>
      </c>
      <c r="AK1084" s="94">
        <f>Table3.110[[#This Row],[Net gas 8-24h, ml]]*Table3.110[[#This Row],[CH4 24h, %]]%</f>
        <v>6.6175942352408779</v>
      </c>
      <c r="AL1084" s="94">
        <f>Table3.110[[#This Row],[CH4 8-24h, ml]]+Table3.110[[#This Row],[CH4 8h, ml]]</f>
        <v>10.506677214728876</v>
      </c>
      <c r="AM1084" s="94">
        <f>(Table3.110[[#This Row],[Net gas 24h, ml]]/Table3.110[[#This Row],[DM Incubated, mg]])*1000</f>
        <v>139.98127548194654</v>
      </c>
      <c r="AN1084" s="94">
        <f>'3.2 Digest'!X1084</f>
        <v>21.626533151613813</v>
      </c>
      <c r="AO1084" s="94">
        <f>Table3.110[[#This Row],[Digested feed, mg]]/Table3.110[[#This Row],[Net gas 24h, ml]]</f>
        <v>1.5449590009203056</v>
      </c>
      <c r="AP1084" s="94">
        <f>Table3.110[[#This Row],[CH4 8h, ml]]/Table3.110[[#This Row],[Net gas 8h, ml]]%</f>
        <v>15.7</v>
      </c>
      <c r="AQ1084" s="94">
        <f>Table3.110[[#This Row],[CH4 24h, ml]]/Table3.110[[#This Row],[Net gas 24h, ml]]%</f>
        <v>16.01125410225346</v>
      </c>
      <c r="AR1084" s="94">
        <f>Table3.110[[#This Row],[CH4 24h, ml]]/Table3.110[[#This Row],[DM Incubated, mg]]*1000</f>
        <v>22.412757712989873</v>
      </c>
      <c r="AS1084" s="94">
        <f>Table3.110[[#This Row],[CH4 24h, ml]]/Table3.110[[#This Row],[Digested feed, mg]]*1000</f>
        <v>103.63546277095915</v>
      </c>
      <c r="AT1084" s="255">
        <f>Table3.110[[#This Row],[CH4 24h, ml]]/'3.2 Digest'!AA1084</f>
        <v>-3.5169113488874171</v>
      </c>
      <c r="AU1084" s="255">
        <f>((Table3.110[[#This Row],[CH4 24h, ml]]/28.9)*16.04)/Table3.110[[#This Row],[DM Incubated, mg]]*1000</f>
        <v>12.439468294683653</v>
      </c>
      <c r="AV1084" s="255">
        <f>((Table3.110[[#This Row],[CH4 24h, ml]]/28.9)*16.04)/Table3.110[[#This Row],[Digested feed, mg]]*1000</f>
        <v>57.519474838968335</v>
      </c>
    </row>
    <row r="1085" spans="2:48" x14ac:dyDescent="0.35">
      <c r="B1085" s="90">
        <f t="shared" si="16"/>
        <v>1075</v>
      </c>
      <c r="C1085" s="143">
        <v>46064</v>
      </c>
      <c r="D1085" s="8"/>
      <c r="E1085" s="124" t="s">
        <v>537</v>
      </c>
      <c r="F1085" s="242" t="s">
        <v>538</v>
      </c>
      <c r="G1085" s="242">
        <v>24</v>
      </c>
      <c r="H1085" s="124" t="s">
        <v>537</v>
      </c>
      <c r="I1085" s="242"/>
      <c r="J1085" s="243"/>
      <c r="K1085" s="243"/>
      <c r="L1085" s="124" t="s">
        <v>539</v>
      </c>
      <c r="M1085" s="256">
        <v>30</v>
      </c>
      <c r="N1085" s="256">
        <v>64</v>
      </c>
      <c r="O1085" s="256">
        <v>1</v>
      </c>
      <c r="P1085" s="257">
        <v>1</v>
      </c>
      <c r="Q1085" s="146">
        <v>209</v>
      </c>
      <c r="R1085" s="98"/>
      <c r="S1085" s="94"/>
      <c r="T1085" s="94"/>
      <c r="U1085" s="159">
        <v>0.34791666666666665</v>
      </c>
      <c r="V1085" s="160">
        <v>39.5</v>
      </c>
      <c r="W1085" s="159">
        <v>0.7055555555555556</v>
      </c>
      <c r="X1085" s="147">
        <v>42</v>
      </c>
      <c r="Y1085" s="147"/>
      <c r="Z1085" s="160">
        <v>40</v>
      </c>
      <c r="AA1085" s="159">
        <v>0.37361111111111112</v>
      </c>
      <c r="AB1085" s="160">
        <v>43.5</v>
      </c>
      <c r="AC1085" s="160"/>
      <c r="AD1085" s="147"/>
      <c r="AE1085" s="94">
        <f>Table3.110[[#This Row],[Gas 8h, ml]]-Table3.110[[#This Row],[Gas 0h, ml]]</f>
        <v>2.5</v>
      </c>
      <c r="AF1085" s="94">
        <f>Table3.110[[#This Row],[Gas 24h, ml]]-Table3.110[[#This Row],[V8 Push back, ml]]</f>
        <v>3.5</v>
      </c>
      <c r="AG1085" s="94"/>
      <c r="AH1085" s="94"/>
      <c r="AI1085" s="94"/>
      <c r="AJ1085" s="94"/>
      <c r="AK1085" s="94"/>
      <c r="AL1085" s="94"/>
      <c r="AM1085" s="94"/>
      <c r="AN1085" s="94"/>
      <c r="AO1085" s="94"/>
      <c r="AP1085" s="94"/>
      <c r="AQ1085" s="94"/>
      <c r="AR1085" s="94"/>
      <c r="AS1085" s="94"/>
      <c r="AT1085" s="255"/>
      <c r="AU1085" s="255"/>
      <c r="AV1085" s="255"/>
    </row>
    <row r="1086" spans="2:48" x14ac:dyDescent="0.35">
      <c r="B1086" s="90">
        <f t="shared" si="16"/>
        <v>1076</v>
      </c>
      <c r="C1086" s="143">
        <v>46064</v>
      </c>
      <c r="D1086" s="92"/>
      <c r="E1086" s="124" t="s">
        <v>537</v>
      </c>
      <c r="F1086" s="242" t="s">
        <v>538</v>
      </c>
      <c r="G1086" s="242">
        <v>24</v>
      </c>
      <c r="H1086" s="124" t="s">
        <v>537</v>
      </c>
      <c r="I1086" s="242"/>
      <c r="J1086" s="243"/>
      <c r="K1086" s="243"/>
      <c r="L1086" s="124" t="s">
        <v>539</v>
      </c>
      <c r="M1086" s="256">
        <v>30</v>
      </c>
      <c r="N1086" s="256">
        <v>64</v>
      </c>
      <c r="O1086" s="256">
        <v>1</v>
      </c>
      <c r="P1086" s="257">
        <v>2</v>
      </c>
      <c r="Q1086" s="146">
        <v>210</v>
      </c>
      <c r="R1086" s="98"/>
      <c r="S1086" s="94"/>
      <c r="T1086" s="94"/>
      <c r="U1086" s="159">
        <v>0.34791666666666665</v>
      </c>
      <c r="V1086" s="160">
        <v>39.5</v>
      </c>
      <c r="W1086" s="159">
        <v>0.7055555555555556</v>
      </c>
      <c r="X1086" s="147">
        <v>42</v>
      </c>
      <c r="Y1086" s="147"/>
      <c r="Z1086" s="160">
        <v>40</v>
      </c>
      <c r="AA1086" s="159">
        <v>0.375</v>
      </c>
      <c r="AB1086" s="160">
        <v>44</v>
      </c>
      <c r="AC1086" s="160"/>
      <c r="AD1086" s="147"/>
      <c r="AE1086" s="94">
        <f>Table3.110[[#This Row],[Gas 8h, ml]]-Table3.110[[#This Row],[Gas 0h, ml]]</f>
        <v>2.5</v>
      </c>
      <c r="AF1086" s="94">
        <f>Table3.110[[#This Row],[Gas 24h, ml]]-Table3.110[[#This Row],[V8 Push back, ml]]</f>
        <v>4</v>
      </c>
      <c r="AG1086" s="94"/>
      <c r="AH1086" s="94"/>
      <c r="AI1086" s="94"/>
      <c r="AJ1086" s="94"/>
      <c r="AK1086" s="94"/>
      <c r="AL1086" s="94"/>
      <c r="AM1086" s="94"/>
      <c r="AN1086" s="94"/>
      <c r="AO1086" s="94"/>
      <c r="AP1086" s="94"/>
      <c r="AQ1086" s="94"/>
      <c r="AR1086" s="94"/>
      <c r="AS1086" s="94"/>
      <c r="AT1086" s="255"/>
      <c r="AU1086" s="255"/>
      <c r="AV1086" s="255"/>
    </row>
    <row r="1087" spans="2:48" x14ac:dyDescent="0.35">
      <c r="B1087" s="90">
        <f t="shared" si="16"/>
        <v>1077</v>
      </c>
      <c r="C1087" s="143">
        <v>46083</v>
      </c>
      <c r="D1087" s="92"/>
      <c r="E1087" s="124" t="s">
        <v>537</v>
      </c>
      <c r="F1087" s="242" t="s">
        <v>538</v>
      </c>
      <c r="G1087" s="242">
        <v>24</v>
      </c>
      <c r="H1087" s="124" t="s">
        <v>537</v>
      </c>
      <c r="I1087" s="242"/>
      <c r="J1087" s="243"/>
      <c r="K1087" s="243"/>
      <c r="L1087" s="124" t="s">
        <v>539</v>
      </c>
      <c r="M1087" s="256">
        <v>30</v>
      </c>
      <c r="N1087" s="256">
        <v>65</v>
      </c>
      <c r="O1087" s="256">
        <v>2</v>
      </c>
      <c r="P1087" s="257">
        <v>1</v>
      </c>
      <c r="Q1087" s="146">
        <v>1</v>
      </c>
      <c r="R1087" s="98"/>
      <c r="S1087" s="94"/>
      <c r="T1087" s="94"/>
      <c r="U1087" s="149">
        <v>0.3263888888888889</v>
      </c>
      <c r="V1087" s="150">
        <v>39.5</v>
      </c>
      <c r="W1087" s="149">
        <v>0.65972222222222221</v>
      </c>
      <c r="X1087" s="163">
        <v>41.5</v>
      </c>
      <c r="Y1087" s="163"/>
      <c r="Z1087" s="150">
        <v>40</v>
      </c>
      <c r="AA1087" s="149">
        <v>0.35902777777777778</v>
      </c>
      <c r="AB1087" s="150">
        <v>43</v>
      </c>
      <c r="AC1087" s="150"/>
      <c r="AD1087" s="163"/>
      <c r="AE1087" s="94">
        <f>Table3.110[[#This Row],[Gas 8h, ml]]-Table3.110[[#This Row],[Gas 0h, ml]]</f>
        <v>2</v>
      </c>
      <c r="AF1087" s="94">
        <f>Table3.110[[#This Row],[Gas 24h, ml]]-Table3.110[[#This Row],[V8 Push back, ml]]</f>
        <v>3</v>
      </c>
      <c r="AG1087" s="94"/>
      <c r="AH1087" s="94"/>
      <c r="AI1087" s="94"/>
      <c r="AJ1087" s="94"/>
      <c r="AK1087" s="94"/>
      <c r="AL1087" s="94"/>
      <c r="AM1087" s="94"/>
      <c r="AN1087" s="94"/>
      <c r="AO1087" s="94"/>
      <c r="AP1087" s="94"/>
      <c r="AQ1087" s="94"/>
      <c r="AR1087" s="94"/>
      <c r="AS1087" s="94"/>
      <c r="AT1087" s="255"/>
      <c r="AU1087" s="255"/>
      <c r="AV1087" s="255"/>
    </row>
    <row r="1088" spans="2:48" x14ac:dyDescent="0.35">
      <c r="B1088" s="90">
        <f t="shared" si="16"/>
        <v>1078</v>
      </c>
      <c r="C1088" s="143">
        <v>46083</v>
      </c>
      <c r="D1088" s="92"/>
      <c r="E1088" s="124" t="s">
        <v>537</v>
      </c>
      <c r="F1088" s="242" t="s">
        <v>538</v>
      </c>
      <c r="G1088" s="242">
        <v>24</v>
      </c>
      <c r="H1088" s="124" t="s">
        <v>537</v>
      </c>
      <c r="I1088" s="242"/>
      <c r="J1088" s="243"/>
      <c r="K1088" s="243"/>
      <c r="L1088" s="124" t="s">
        <v>539</v>
      </c>
      <c r="M1088" s="256">
        <v>30</v>
      </c>
      <c r="N1088" s="256">
        <v>65</v>
      </c>
      <c r="O1088" s="256">
        <v>2</v>
      </c>
      <c r="P1088" s="257">
        <v>2</v>
      </c>
      <c r="Q1088" s="124">
        <v>2</v>
      </c>
      <c r="R1088" s="98"/>
      <c r="S1088" s="94"/>
      <c r="T1088" s="94"/>
      <c r="U1088" s="151">
        <v>0.32708333333333334</v>
      </c>
      <c r="V1088" s="152">
        <v>40</v>
      </c>
      <c r="W1088" s="151">
        <v>0.66041666666666665</v>
      </c>
      <c r="X1088" s="164">
        <v>42.5</v>
      </c>
      <c r="Y1088" s="164"/>
      <c r="Z1088" s="152">
        <v>40</v>
      </c>
      <c r="AA1088" s="151">
        <v>0.35972222222222222</v>
      </c>
      <c r="AB1088" s="152">
        <v>43.5</v>
      </c>
      <c r="AC1088" s="152"/>
      <c r="AD1088" s="164"/>
      <c r="AE1088" s="94">
        <f>Table3.110[[#This Row],[Gas 8h, ml]]-Table3.110[[#This Row],[Gas 0h, ml]]</f>
        <v>2.5</v>
      </c>
      <c r="AF1088" s="94">
        <f>Table3.110[[#This Row],[Gas 24h, ml]]-Table3.110[[#This Row],[V8 Push back, ml]]</f>
        <v>3.5</v>
      </c>
      <c r="AG1088" s="94"/>
      <c r="AH1088" s="94"/>
      <c r="AI1088" s="94"/>
      <c r="AJ1088" s="94"/>
      <c r="AK1088" s="94"/>
      <c r="AL1088" s="94"/>
      <c r="AM1088" s="94"/>
      <c r="AN1088" s="94"/>
      <c r="AO1088" s="94"/>
      <c r="AP1088" s="94"/>
      <c r="AQ1088" s="94"/>
      <c r="AR1088" s="94"/>
      <c r="AS1088" s="94"/>
      <c r="AT1088" s="255"/>
      <c r="AU1088" s="255"/>
      <c r="AV1088" s="255"/>
    </row>
    <row r="1089" spans="2:48" x14ac:dyDescent="0.35">
      <c r="B1089" s="90">
        <f t="shared" si="16"/>
        <v>1079</v>
      </c>
      <c r="C1089" s="140">
        <v>46083</v>
      </c>
      <c r="D1089" s="6" t="s">
        <v>16</v>
      </c>
      <c r="E1089" s="6" t="s">
        <v>385</v>
      </c>
      <c r="F1089" s="242" t="s">
        <v>226</v>
      </c>
      <c r="G1089" s="242" t="s">
        <v>231</v>
      </c>
      <c r="H1089" s="6" t="s">
        <v>232</v>
      </c>
      <c r="I1089" s="133" t="s">
        <v>22</v>
      </c>
      <c r="J1089" s="135" t="s">
        <v>23</v>
      </c>
      <c r="K1089" s="135" t="s">
        <v>215</v>
      </c>
      <c r="L1089" s="6" t="s">
        <v>384</v>
      </c>
      <c r="M1089" s="256">
        <v>30</v>
      </c>
      <c r="N1089" s="256">
        <v>65</v>
      </c>
      <c r="O1089" s="256">
        <v>2</v>
      </c>
      <c r="P1089" s="257">
        <v>1</v>
      </c>
      <c r="Q1089" s="129">
        <v>3</v>
      </c>
      <c r="R1089" s="98">
        <v>0.50019999999999998</v>
      </c>
      <c r="S1089" s="94">
        <f>((Table3.110[[#This Row],[Sample weight, g]]*'2.1. DM'!Q241)/100)*1000</f>
        <v>463.19986857315774</v>
      </c>
      <c r="T1089" s="94">
        <f>'3.2 Digest'!W1089</f>
        <v>205.99986857315776</v>
      </c>
      <c r="U1089" s="153">
        <v>0.32777777777777778</v>
      </c>
      <c r="V1089" s="154">
        <v>41</v>
      </c>
      <c r="W1089" s="153">
        <v>0.66111111111111109</v>
      </c>
      <c r="X1089" s="91">
        <v>79</v>
      </c>
      <c r="Y1089" s="91">
        <v>12.8</v>
      </c>
      <c r="Z1089" s="154">
        <v>40.5</v>
      </c>
      <c r="AA1089" s="153">
        <v>0.3611111111111111</v>
      </c>
      <c r="AB1089" s="154">
        <v>85.5</v>
      </c>
      <c r="AC1089" s="154">
        <v>16.3</v>
      </c>
      <c r="AD1089" s="91"/>
      <c r="AE1089" s="94">
        <f>Table3.110[[#This Row],[Gas 8h, ml]]-Table3.110[[#This Row],[Gas 0h, ml]]</f>
        <v>38</v>
      </c>
      <c r="AF1089" s="94">
        <f>Table3.110[[#This Row],[Gas 24h, ml]]-Table3.110[[#This Row],[V8 Push back, ml]]</f>
        <v>45</v>
      </c>
      <c r="AG1089" s="94">
        <f>Table3.110[[#This Row],[GP 8h, ml]]-(AVERAGE(AE$1087,AE$1088,AE$1121,AE$1122,AE$1157,AE$1158))*$AG$8</f>
        <v>35.861233672775342</v>
      </c>
      <c r="AH1089" s="94">
        <f>Table3.110[[#This Row],[GP 8-24h, ml]]-(AVERAGE(AF$1087,AF$1088,AF$1121,AF$1122,AF$1157,AF$1158))*$AG$8</f>
        <v>42.123728042697877</v>
      </c>
      <c r="AI1089" s="94">
        <f>Table3.110[[#This Row],[Net gas 8-24h, ml]]+Table3.110[[#This Row],[Net gas 8h, ml]]</f>
        <v>77.984961715473219</v>
      </c>
      <c r="AJ1089" s="94">
        <f>Table3.110[[#This Row],[Net gas 8h, ml]]*Table3.110[[#This Row],[CH4 8h %]]%</f>
        <v>4.5902379101152437</v>
      </c>
      <c r="AK1089" s="94">
        <f>Table3.110[[#This Row],[Net gas 8-24h, ml]]*Table3.110[[#This Row],[CH4 24h, %]]%</f>
        <v>6.8661676709597543</v>
      </c>
      <c r="AL1089" s="94">
        <f>Table3.110[[#This Row],[CH4 8-24h, ml]]+Table3.110[[#This Row],[CH4 8h, ml]]</f>
        <v>11.456405581074998</v>
      </c>
      <c r="AM1089" s="94">
        <f>(Table3.110[[#This Row],[Net gas 24h, ml]]/Table3.110[[#This Row],[DM Incubated, mg]])*1000</f>
        <v>168.36136408176955</v>
      </c>
      <c r="AN1089" s="94">
        <f>'3.2 Digest'!X1089</f>
        <v>44.473213951402954</v>
      </c>
      <c r="AO1089" s="94">
        <f>Table3.110[[#This Row],[Digested feed, mg]]/Table3.110[[#This Row],[Net gas 24h, ml]]</f>
        <v>2.6415332397641573</v>
      </c>
      <c r="AP1089" s="94">
        <f>Table3.110[[#This Row],[CH4 8h, ml]]/Table3.110[[#This Row],[Net gas 8h, ml]]%</f>
        <v>12.8</v>
      </c>
      <c r="AQ1089" s="94">
        <f>Table3.110[[#This Row],[CH4 24h, ml]]/Table3.110[[#This Row],[Net gas 24h, ml]]%</f>
        <v>14.690531775694774</v>
      </c>
      <c r="AR1089" s="94">
        <f>Table3.110[[#This Row],[CH4 24h, ml]]/Table3.110[[#This Row],[DM Incubated, mg]]*1000</f>
        <v>24.733179688425526</v>
      </c>
      <c r="AS1089" s="94">
        <f>Table3.110[[#This Row],[CH4 24h, ml]]/Table3.110[[#This Row],[Digested feed, mg]]*1000</f>
        <v>55.613654806805997</v>
      </c>
      <c r="AT1089" s="255">
        <f>Table3.110[[#This Row],[CH4 24h, ml]]/'3.2 Digest'!AA1089</f>
        <v>-95.908295078391603</v>
      </c>
      <c r="AU1089" s="255">
        <f>((Table3.110[[#This Row],[CH4 24h, ml]]/28.9)*16.04)/Table3.110[[#This Row],[DM Incubated, mg]]*1000</f>
        <v>13.727342636759355</v>
      </c>
      <c r="AV1089" s="255">
        <f>((Table3.110[[#This Row],[CH4 24h, ml]]/28.9)*16.04)/Table3.110[[#This Row],[Digested feed, mg]]*1000</f>
        <v>30.866540591735919</v>
      </c>
    </row>
    <row r="1090" spans="2:48" x14ac:dyDescent="0.35">
      <c r="B1090" s="90">
        <f t="shared" si="16"/>
        <v>1080</v>
      </c>
      <c r="C1090" s="140">
        <v>46083</v>
      </c>
      <c r="D1090" s="6" t="s">
        <v>16</v>
      </c>
      <c r="E1090" s="6" t="s">
        <v>385</v>
      </c>
      <c r="F1090" s="242" t="s">
        <v>226</v>
      </c>
      <c r="G1090" s="242" t="s">
        <v>231</v>
      </c>
      <c r="H1090" s="6" t="s">
        <v>232</v>
      </c>
      <c r="I1090" s="133" t="s">
        <v>22</v>
      </c>
      <c r="J1090" s="135" t="s">
        <v>23</v>
      </c>
      <c r="K1090" s="135" t="s">
        <v>215</v>
      </c>
      <c r="L1090" s="6" t="s">
        <v>384</v>
      </c>
      <c r="M1090" s="256">
        <v>30</v>
      </c>
      <c r="N1090" s="256">
        <v>65</v>
      </c>
      <c r="O1090" s="256">
        <v>2</v>
      </c>
      <c r="P1090" s="257">
        <v>2</v>
      </c>
      <c r="Q1090" s="129">
        <v>4</v>
      </c>
      <c r="R1090" s="98">
        <v>0.50009999999999999</v>
      </c>
      <c r="S1090" s="94">
        <f>((Table3.110[[#This Row],[Sample weight, g]]*'2.1. DM'!Q241)/100)*1000</f>
        <v>463.10726564061611</v>
      </c>
      <c r="T1090" s="94">
        <f>'3.2 Digest'!W1090</f>
        <v>246.20726564061613</v>
      </c>
      <c r="U1090" s="117">
        <v>0.32777777777777778</v>
      </c>
      <c r="V1090" s="155">
        <v>41</v>
      </c>
      <c r="W1090" s="117">
        <v>0.66249999999999998</v>
      </c>
      <c r="X1090" s="96">
        <v>79</v>
      </c>
      <c r="Y1090" s="96">
        <v>13.3</v>
      </c>
      <c r="Z1090" s="155">
        <v>41</v>
      </c>
      <c r="AA1090" s="117">
        <v>0.36180555555555555</v>
      </c>
      <c r="AB1090" s="155">
        <v>87.5</v>
      </c>
      <c r="AC1090" s="155">
        <v>16.5</v>
      </c>
      <c r="AD1090" s="96"/>
      <c r="AE1090" s="94">
        <f>Table3.110[[#This Row],[Gas 8h, ml]]-Table3.110[[#This Row],[Gas 0h, ml]]</f>
        <v>38</v>
      </c>
      <c r="AF1090" s="94">
        <f>Table3.110[[#This Row],[Gas 24h, ml]]-Table3.110[[#This Row],[V8 Push back, ml]]</f>
        <v>46.5</v>
      </c>
      <c r="AG1090" s="94">
        <f>Table3.110[[#This Row],[GP 8h, ml]]-(AVERAGE(AE$1087,AE$1088,AE$1121,AE$1122,AE$1157,AE$1158))*$AG$8</f>
        <v>35.861233672775342</v>
      </c>
      <c r="AH1090" s="94">
        <f>Table3.110[[#This Row],[GP 8-24h, ml]]-(AVERAGE(AF$1087,AF$1088,AF$1121,AF$1122,AF$1157,AF$1158))*$AG$8</f>
        <v>43.623728042697877</v>
      </c>
      <c r="AI1090" s="94">
        <f>Table3.110[[#This Row],[Net gas 8-24h, ml]]+Table3.110[[#This Row],[Net gas 8h, ml]]</f>
        <v>79.484961715473219</v>
      </c>
      <c r="AJ1090" s="94">
        <f>Table3.110[[#This Row],[Net gas 8h, ml]]*Table3.110[[#This Row],[CH4 8h %]]%</f>
        <v>4.7695440784791208</v>
      </c>
      <c r="AK1090" s="94">
        <f>Table3.110[[#This Row],[Net gas 8-24h, ml]]*Table3.110[[#This Row],[CH4 24h, %]]%</f>
        <v>7.1979151270451505</v>
      </c>
      <c r="AL1090" s="94">
        <f>Table3.110[[#This Row],[CH4 8-24h, ml]]+Table3.110[[#This Row],[CH4 8h, ml]]</f>
        <v>11.967459205524271</v>
      </c>
      <c r="AM1090" s="94">
        <f>(Table3.110[[#This Row],[Net gas 24h, ml]]/Table3.110[[#This Row],[DM Incubated, mg]])*1000</f>
        <v>171.63402004829638</v>
      </c>
      <c r="AN1090" s="94">
        <f>'3.2 Digest'!X1090</f>
        <v>53.164198428205978</v>
      </c>
      <c r="AO1090" s="94">
        <f>Table3.110[[#This Row],[Digested feed, mg]]/Table3.110[[#This Row],[Net gas 24h, ml]]</f>
        <v>3.0975326694116947</v>
      </c>
      <c r="AP1090" s="94">
        <f>Table3.110[[#This Row],[CH4 8h, ml]]/Table3.110[[#This Row],[Net gas 8h, ml]]%</f>
        <v>13.300000000000002</v>
      </c>
      <c r="AQ1090" s="94">
        <f>Table3.110[[#This Row],[CH4 24h, ml]]/Table3.110[[#This Row],[Net gas 24h, ml]]%</f>
        <v>15.05625585926977</v>
      </c>
      <c r="AR1090" s="94">
        <f>Table3.110[[#This Row],[CH4 24h, ml]]/Table3.110[[#This Row],[DM Incubated, mg]]*1000</f>
        <v>25.841657200021878</v>
      </c>
      <c r="AS1090" s="94">
        <f>Table3.110[[#This Row],[CH4 24h, ml]]/Table3.110[[#This Row],[Digested feed, mg]]*1000</f>
        <v>48.607254438189223</v>
      </c>
      <c r="AT1090" s="255">
        <f>Table3.110[[#This Row],[CH4 24h, ml]]/'3.2 Digest'!AA1090</f>
        <v>0.76955598958337823</v>
      </c>
      <c r="AU1090" s="255">
        <f>((Table3.110[[#This Row],[CH4 24h, ml]]/28.9)*16.04)/Table3.110[[#This Row],[DM Incubated, mg]]*1000</f>
        <v>14.342566833506952</v>
      </c>
      <c r="AV1090" s="255">
        <f>((Table3.110[[#This Row],[CH4 24h, ml]]/28.9)*16.04)/Table3.110[[#This Row],[Digested feed, mg]]*1000</f>
        <v>26.977867169154155</v>
      </c>
    </row>
    <row r="1091" spans="2:48" x14ac:dyDescent="0.35">
      <c r="B1091" s="90">
        <f t="shared" si="16"/>
        <v>1081</v>
      </c>
      <c r="C1091" s="140">
        <v>46083</v>
      </c>
      <c r="D1091" s="6" t="s">
        <v>16</v>
      </c>
      <c r="E1091" s="6" t="s">
        <v>389</v>
      </c>
      <c r="F1091" s="242" t="s">
        <v>226</v>
      </c>
      <c r="G1091" s="242" t="s">
        <v>227</v>
      </c>
      <c r="H1091" s="6" t="s">
        <v>228</v>
      </c>
      <c r="I1091" s="133" t="s">
        <v>22</v>
      </c>
      <c r="J1091" s="135" t="s">
        <v>23</v>
      </c>
      <c r="K1091" s="135" t="s">
        <v>215</v>
      </c>
      <c r="L1091" s="6" t="s">
        <v>388</v>
      </c>
      <c r="M1091" s="256">
        <v>30</v>
      </c>
      <c r="N1091" s="256">
        <v>65</v>
      </c>
      <c r="O1091" s="256">
        <v>2</v>
      </c>
      <c r="P1091" s="257">
        <v>1</v>
      </c>
      <c r="Q1091" s="129">
        <v>5</v>
      </c>
      <c r="R1091" s="98">
        <v>0.50029999999999997</v>
      </c>
      <c r="S1091" s="94">
        <f>((Table3.110[[#This Row],[Sample weight, g]]*'2.1. DM'!Q243)/100)*1000</f>
        <v>463.1925875950356</v>
      </c>
      <c r="T1091" s="94">
        <f>'3.2 Digest'!W1091</f>
        <v>206.9925875950355</v>
      </c>
      <c r="U1091" s="117">
        <v>0.32777777777777778</v>
      </c>
      <c r="V1091" s="155">
        <v>41</v>
      </c>
      <c r="W1091" s="117">
        <v>0.66249999999999998</v>
      </c>
      <c r="X1091" s="96">
        <v>73.5</v>
      </c>
      <c r="Y1091" s="96">
        <v>10.9</v>
      </c>
      <c r="Z1091" s="155">
        <v>41</v>
      </c>
      <c r="AA1091" s="117">
        <v>0.36249999999999999</v>
      </c>
      <c r="AB1091" s="155">
        <v>74.5</v>
      </c>
      <c r="AC1091" s="155">
        <v>15.1</v>
      </c>
      <c r="AD1091" s="96"/>
      <c r="AE1091" s="94">
        <f>Table3.110[[#This Row],[Gas 8h, ml]]-Table3.110[[#This Row],[Gas 0h, ml]]</f>
        <v>32.5</v>
      </c>
      <c r="AF1091" s="94">
        <f>Table3.110[[#This Row],[Gas 24h, ml]]-Table3.110[[#This Row],[V8 Push back, ml]]</f>
        <v>33.5</v>
      </c>
      <c r="AG1091" s="94">
        <f>Table3.110[[#This Row],[GP 8h, ml]]-(AVERAGE(AE$1087,AE$1088,AE$1121,AE$1122,AE$1157,AE$1158))*$AG$8</f>
        <v>30.361233672775342</v>
      </c>
      <c r="AH1091" s="94">
        <f>Table3.110[[#This Row],[GP 8-24h, ml]]-(AVERAGE(AF$1087,AF$1088,AF$1121,AF$1122,AF$1157,AF$1158))*$AG$8</f>
        <v>30.623728042697874</v>
      </c>
      <c r="AI1091" s="94">
        <f>Table3.110[[#This Row],[Net gas 8-24h, ml]]+Table3.110[[#This Row],[Net gas 8h, ml]]</f>
        <v>60.984961715473219</v>
      </c>
      <c r="AJ1091" s="94">
        <f>Table3.110[[#This Row],[Net gas 8h, ml]]*Table3.110[[#This Row],[CH4 8h %]]%</f>
        <v>3.3093744703325121</v>
      </c>
      <c r="AK1091" s="94">
        <f>Table3.110[[#This Row],[Net gas 8-24h, ml]]*Table3.110[[#This Row],[CH4 24h, %]]%</f>
        <v>4.6241829344473784</v>
      </c>
      <c r="AL1091" s="94">
        <f>Table3.110[[#This Row],[CH4 8-24h, ml]]+Table3.110[[#This Row],[CH4 8h, ml]]</f>
        <v>7.93355740477989</v>
      </c>
      <c r="AM1091" s="94">
        <f>(Table3.110[[#This Row],[Net gas 24h, ml]]/Table3.110[[#This Row],[DM Incubated, mg]])*1000</f>
        <v>131.66221426840215</v>
      </c>
      <c r="AN1091" s="94">
        <f>'3.2 Digest'!X1091</f>
        <v>44.688234038841514</v>
      </c>
      <c r="AO1091" s="94">
        <f>Table3.110[[#This Row],[Digested feed, mg]]/Table3.110[[#This Row],[Net gas 24h, ml]]</f>
        <v>3.3941578673241497</v>
      </c>
      <c r="AP1091" s="94">
        <f>Table3.110[[#This Row],[CH4 8h, ml]]/Table3.110[[#This Row],[Net gas 8h, ml]]%</f>
        <v>10.9</v>
      </c>
      <c r="AQ1091" s="94">
        <f>Table3.110[[#This Row],[CH4 24h, ml]]/Table3.110[[#This Row],[Net gas 24h, ml]]%</f>
        <v>13.009038919781716</v>
      </c>
      <c r="AR1091" s="94">
        <f>Table3.110[[#This Row],[CH4 24h, ml]]/Table3.110[[#This Row],[DM Incubated, mg]]*1000</f>
        <v>17.127988696822833</v>
      </c>
      <c r="AS1091" s="94">
        <f>Table3.110[[#This Row],[CH4 24h, ml]]/Table3.110[[#This Row],[Digested feed, mg]]*1000</f>
        <v>38.327736741478212</v>
      </c>
      <c r="AT1091" s="255">
        <f>Table3.110[[#This Row],[CH4 24h, ml]]/'3.2 Digest'!AA1091</f>
        <v>-1.6841137443622292</v>
      </c>
      <c r="AU1091" s="255">
        <f>((Table3.110[[#This Row],[CH4 24h, ml]]/28.9)*16.04)/Table3.110[[#This Row],[DM Incubated, mg]]*1000</f>
        <v>9.5063300587210477</v>
      </c>
      <c r="AV1091" s="255">
        <f>((Table3.110[[#This Row],[CH4 24h, ml]]/28.9)*16.04)/Table3.110[[#This Row],[Digested feed, mg]]*1000</f>
        <v>21.272557001152613</v>
      </c>
    </row>
    <row r="1092" spans="2:48" x14ac:dyDescent="0.35">
      <c r="B1092" s="90">
        <f t="shared" si="16"/>
        <v>1082</v>
      </c>
      <c r="C1092" s="140">
        <v>46083</v>
      </c>
      <c r="D1092" s="6" t="s">
        <v>16</v>
      </c>
      <c r="E1092" s="6" t="s">
        <v>389</v>
      </c>
      <c r="F1092" s="242" t="s">
        <v>226</v>
      </c>
      <c r="G1092" s="242" t="s">
        <v>227</v>
      </c>
      <c r="H1092" s="6" t="s">
        <v>228</v>
      </c>
      <c r="I1092" s="133" t="s">
        <v>22</v>
      </c>
      <c r="J1092" s="135" t="s">
        <v>23</v>
      </c>
      <c r="K1092" s="135" t="s">
        <v>215</v>
      </c>
      <c r="L1092" s="6" t="s">
        <v>388</v>
      </c>
      <c r="M1092" s="256">
        <v>30</v>
      </c>
      <c r="N1092" s="256">
        <v>65</v>
      </c>
      <c r="O1092" s="256">
        <v>2</v>
      </c>
      <c r="P1092" s="257">
        <v>2</v>
      </c>
      <c r="Q1092" s="129">
        <v>6</v>
      </c>
      <c r="R1092" s="98">
        <v>0.50009999999999999</v>
      </c>
      <c r="S1092" s="94">
        <f>((Table3.110[[#This Row],[Sample weight, g]]*'2.1. DM'!Q243)/100)*1000</f>
        <v>463.00742165955893</v>
      </c>
      <c r="T1092" s="94">
        <f>'3.2 Digest'!W1092</f>
        <v>201.20742165955903</v>
      </c>
      <c r="U1092" s="117">
        <v>0.32847222222222222</v>
      </c>
      <c r="V1092" s="154">
        <v>41.5</v>
      </c>
      <c r="W1092" s="153">
        <v>0.66319444444444442</v>
      </c>
      <c r="X1092" s="91">
        <v>73.5</v>
      </c>
      <c r="Y1092" s="91">
        <v>10.9</v>
      </c>
      <c r="Z1092" s="154">
        <v>41.5</v>
      </c>
      <c r="AA1092" s="153">
        <v>0.36319444444444443</v>
      </c>
      <c r="AB1092" s="154">
        <v>75.5</v>
      </c>
      <c r="AC1092" s="154">
        <v>14.7</v>
      </c>
      <c r="AD1092" s="91"/>
      <c r="AE1092" s="94">
        <f>Table3.110[[#This Row],[Gas 8h, ml]]-Table3.110[[#This Row],[Gas 0h, ml]]</f>
        <v>32</v>
      </c>
      <c r="AF1092" s="94">
        <f>Table3.110[[#This Row],[Gas 24h, ml]]-Table3.110[[#This Row],[V8 Push back, ml]]</f>
        <v>34</v>
      </c>
      <c r="AG1092" s="94">
        <f>Table3.110[[#This Row],[GP 8h, ml]]-(AVERAGE(AE$1087,AE$1088,AE$1121,AE$1122,AE$1157,AE$1158))*$AG$8</f>
        <v>29.861233672775342</v>
      </c>
      <c r="AH1092" s="94">
        <f>Table3.110[[#This Row],[GP 8-24h, ml]]-(AVERAGE(AF$1087,AF$1088,AF$1121,AF$1122,AF$1157,AF$1158))*$AG$8</f>
        <v>31.123728042697874</v>
      </c>
      <c r="AI1092" s="94">
        <f>Table3.110[[#This Row],[Net gas 8-24h, ml]]+Table3.110[[#This Row],[Net gas 8h, ml]]</f>
        <v>60.984961715473219</v>
      </c>
      <c r="AJ1092" s="94">
        <f>Table3.110[[#This Row],[Net gas 8h, ml]]*Table3.110[[#This Row],[CH4 8h %]]%</f>
        <v>3.2548744703325121</v>
      </c>
      <c r="AK1092" s="94">
        <f>Table3.110[[#This Row],[Net gas 8-24h, ml]]*Table3.110[[#This Row],[CH4 24h, %]]%</f>
        <v>4.5751880222765875</v>
      </c>
      <c r="AL1092" s="94">
        <f>Table3.110[[#This Row],[CH4 8-24h, ml]]+Table3.110[[#This Row],[CH4 8h, ml]]</f>
        <v>7.8300624926091</v>
      </c>
      <c r="AM1092" s="94">
        <f>(Table3.110[[#This Row],[Net gas 24h, ml]]/Table3.110[[#This Row],[DM Incubated, mg]])*1000</f>
        <v>131.71486862323854</v>
      </c>
      <c r="AN1092" s="94">
        <f>'3.2 Digest'!X1092</f>
        <v>43.456629904196923</v>
      </c>
      <c r="AO1092" s="94">
        <f>Table3.110[[#This Row],[Digested feed, mg]]/Table3.110[[#This Row],[Net gas 24h, ml]]</f>
        <v>3.2992956951960881</v>
      </c>
      <c r="AP1092" s="94">
        <f>Table3.110[[#This Row],[CH4 8h, ml]]/Table3.110[[#This Row],[Net gas 8h, ml]]%</f>
        <v>10.9</v>
      </c>
      <c r="AQ1092" s="94">
        <f>Table3.110[[#This Row],[CH4 24h, ml]]/Table3.110[[#This Row],[Net gas 24h, ml]]%</f>
        <v>12.839333291935874</v>
      </c>
      <c r="AR1092" s="94">
        <f>Table3.110[[#This Row],[CH4 24h, ml]]/Table3.110[[#This Row],[DM Incubated, mg]]*1000</f>
        <v>16.911310977573066</v>
      </c>
      <c r="AS1092" s="94">
        <f>Table3.110[[#This Row],[CH4 24h, ml]]/Table3.110[[#This Row],[Digested feed, mg]]*1000</f>
        <v>38.915376122941865</v>
      </c>
      <c r="AT1092" s="255">
        <f>Table3.110[[#This Row],[CH4 24h, ml]]/'3.2 Digest'!AA1092</f>
        <v>-1.1118500435702248</v>
      </c>
      <c r="AU1092" s="255">
        <f>((Table3.110[[#This Row],[CH4 24h, ml]]/28.9)*16.04)/Table3.110[[#This Row],[DM Incubated, mg]]*1000</f>
        <v>9.3860701757879568</v>
      </c>
      <c r="AV1092" s="255">
        <f>((Table3.110[[#This Row],[CH4 24h, ml]]/28.9)*16.04)/Table3.110[[#This Row],[Digested feed, mg]]*1000</f>
        <v>21.598707024636251</v>
      </c>
    </row>
    <row r="1093" spans="2:48" x14ac:dyDescent="0.35">
      <c r="B1093" s="90">
        <f t="shared" si="16"/>
        <v>1083</v>
      </c>
      <c r="C1093" s="140">
        <v>46083</v>
      </c>
      <c r="D1093" s="6" t="s">
        <v>16</v>
      </c>
      <c r="E1093" s="6" t="s">
        <v>391</v>
      </c>
      <c r="F1093" s="242" t="s">
        <v>290</v>
      </c>
      <c r="G1093" s="242" t="s">
        <v>314</v>
      </c>
      <c r="H1093" s="6" t="s">
        <v>315</v>
      </c>
      <c r="I1093" s="133" t="s">
        <v>22</v>
      </c>
      <c r="J1093" s="135" t="s">
        <v>23</v>
      </c>
      <c r="K1093" s="135" t="s">
        <v>215</v>
      </c>
      <c r="L1093" s="6" t="s">
        <v>390</v>
      </c>
      <c r="M1093" s="256">
        <v>30</v>
      </c>
      <c r="N1093" s="256">
        <v>65</v>
      </c>
      <c r="O1093" s="256">
        <v>2</v>
      </c>
      <c r="P1093" s="257">
        <v>1</v>
      </c>
      <c r="Q1093" s="129">
        <v>7</v>
      </c>
      <c r="R1093" s="98">
        <v>0.50029999999999997</v>
      </c>
      <c r="S1093" s="94">
        <f>((Table3.110[[#This Row],[Sample weight, g]]*'2.1. DM'!Q245)/100)*1000</f>
        <v>474.10929499999986</v>
      </c>
      <c r="T1093" s="94">
        <f>'3.2 Digest'!W1093</f>
        <v>237.30929499999985</v>
      </c>
      <c r="U1093" s="153">
        <v>0.32847222222222222</v>
      </c>
      <c r="V1093" s="154">
        <v>41</v>
      </c>
      <c r="W1093" s="153">
        <v>0.66388888888888886</v>
      </c>
      <c r="X1093" s="91">
        <v>68</v>
      </c>
      <c r="Y1093" s="91">
        <v>13.1</v>
      </c>
      <c r="Z1093" s="154">
        <v>41</v>
      </c>
      <c r="AA1093" s="153">
        <v>0.36319444444444443</v>
      </c>
      <c r="AB1093" s="154">
        <v>84</v>
      </c>
      <c r="AC1093" s="154">
        <v>15.8</v>
      </c>
      <c r="AD1093" s="91"/>
      <c r="AE1093" s="94">
        <f>Table3.110[[#This Row],[Gas 8h, ml]]-Table3.110[[#This Row],[Gas 0h, ml]]</f>
        <v>27</v>
      </c>
      <c r="AF1093" s="94">
        <f>Table3.110[[#This Row],[Gas 24h, ml]]-Table3.110[[#This Row],[V8 Push back, ml]]</f>
        <v>43</v>
      </c>
      <c r="AG1093" s="94">
        <f>Table3.110[[#This Row],[GP 8h, ml]]-(AVERAGE(AE$1087,AE$1088,AE$1121,AE$1122,AE$1157,AE$1158))*$AG$8</f>
        <v>24.861233672775342</v>
      </c>
      <c r="AH1093" s="94">
        <f>Table3.110[[#This Row],[GP 8-24h, ml]]-(AVERAGE(AF$1087,AF$1088,AF$1121,AF$1122,AF$1157,AF$1158))*$AG$8</f>
        <v>40.123728042697877</v>
      </c>
      <c r="AI1093" s="94">
        <f>Table3.110[[#This Row],[Net gas 8-24h, ml]]+Table3.110[[#This Row],[Net gas 8h, ml]]</f>
        <v>64.984961715473219</v>
      </c>
      <c r="AJ1093" s="94">
        <f>Table3.110[[#This Row],[Net gas 8h, ml]]*Table3.110[[#This Row],[CH4 8h %]]%</f>
        <v>3.2568216111335699</v>
      </c>
      <c r="AK1093" s="94">
        <f>Table3.110[[#This Row],[Net gas 8-24h, ml]]*Table3.110[[#This Row],[CH4 24h, %]]%</f>
        <v>6.339549030746265</v>
      </c>
      <c r="AL1093" s="94">
        <f>Table3.110[[#This Row],[CH4 8-24h, ml]]+Table3.110[[#This Row],[CH4 8h, ml]]</f>
        <v>9.5963706418798349</v>
      </c>
      <c r="AM1093" s="94">
        <f>(Table3.110[[#This Row],[Net gas 24h, ml]]/Table3.110[[#This Row],[DM Incubated, mg]])*1000</f>
        <v>137.06747030866214</v>
      </c>
      <c r="AN1093" s="94">
        <f>'3.2 Digest'!X1093</f>
        <v>50.053710716639699</v>
      </c>
      <c r="AO1093" s="94">
        <f>Table3.110[[#This Row],[Digested feed, mg]]/Table3.110[[#This Row],[Net gas 24h, ml]]</f>
        <v>3.6517570948032954</v>
      </c>
      <c r="AP1093" s="94">
        <f>Table3.110[[#This Row],[CH4 8h, ml]]/Table3.110[[#This Row],[Net gas 8h, ml]]%</f>
        <v>13.100000000000001</v>
      </c>
      <c r="AQ1093" s="94">
        <f>Table3.110[[#This Row],[CH4 24h, ml]]/Table3.110[[#This Row],[Net gas 24h, ml]]%</f>
        <v>14.767063622959547</v>
      </c>
      <c r="AR1093" s="94">
        <f>Table3.110[[#This Row],[CH4 24h, ml]]/Table3.110[[#This Row],[DM Incubated, mg]]*1000</f>
        <v>20.240840546861328</v>
      </c>
      <c r="AS1093" s="94">
        <f>Table3.110[[#This Row],[CH4 24h, ml]]/Table3.110[[#This Row],[Digested feed, mg]]*1000</f>
        <v>40.438241754836618</v>
      </c>
      <c r="AT1093" s="255">
        <f>Table3.110[[#This Row],[CH4 24h, ml]]/'3.2 Digest'!AA1093</f>
        <v>-1.9462550161433088</v>
      </c>
      <c r="AU1093" s="255">
        <f>((Table3.110[[#This Row],[CH4 24h, ml]]/28.9)*16.04)/Table3.110[[#This Row],[DM Incubated, mg]]*1000</f>
        <v>11.23401669106075</v>
      </c>
      <c r="AV1093" s="255">
        <f>((Table3.110[[#This Row],[CH4 24h, ml]]/28.9)*16.04)/Table3.110[[#This Row],[Digested feed, mg]]*1000</f>
        <v>22.443923797494097</v>
      </c>
    </row>
    <row r="1094" spans="2:48" x14ac:dyDescent="0.35">
      <c r="B1094" s="90">
        <f t="shared" si="16"/>
        <v>1084</v>
      </c>
      <c r="C1094" s="140">
        <v>46083</v>
      </c>
      <c r="D1094" s="6" t="s">
        <v>16</v>
      </c>
      <c r="E1094" s="6" t="s">
        <v>391</v>
      </c>
      <c r="F1094" s="242" t="s">
        <v>290</v>
      </c>
      <c r="G1094" s="242" t="s">
        <v>314</v>
      </c>
      <c r="H1094" s="6" t="s">
        <v>315</v>
      </c>
      <c r="I1094" s="133" t="s">
        <v>22</v>
      </c>
      <c r="J1094" s="135" t="s">
        <v>23</v>
      </c>
      <c r="K1094" s="135" t="s">
        <v>215</v>
      </c>
      <c r="L1094" s="6" t="s">
        <v>390</v>
      </c>
      <c r="M1094" s="256">
        <v>30</v>
      </c>
      <c r="N1094" s="256">
        <v>65</v>
      </c>
      <c r="O1094" s="256">
        <v>2</v>
      </c>
      <c r="P1094" s="257">
        <v>2</v>
      </c>
      <c r="Q1094" s="129">
        <v>8</v>
      </c>
      <c r="R1094" s="98">
        <v>0.50009999999999999</v>
      </c>
      <c r="S1094" s="94">
        <f>((Table3.110[[#This Row],[Sample weight, g]]*'2.1. DM'!Q245)/100)*1000</f>
        <v>473.91976499999993</v>
      </c>
      <c r="T1094" s="94">
        <f>'3.2 Digest'!W1094</f>
        <v>239.3197649999999</v>
      </c>
      <c r="U1094" s="117">
        <v>0.32847222222222222</v>
      </c>
      <c r="V1094" s="155">
        <v>41</v>
      </c>
      <c r="W1094" s="117">
        <v>0.66388888888888886</v>
      </c>
      <c r="X1094" s="96">
        <v>68</v>
      </c>
      <c r="Y1094" s="96">
        <v>13.8</v>
      </c>
      <c r="Z1094" s="155">
        <v>40.5</v>
      </c>
      <c r="AA1094" s="117">
        <v>0.36388888888888887</v>
      </c>
      <c r="AB1094" s="155">
        <v>86.5</v>
      </c>
      <c r="AC1094" s="155">
        <v>16.600000000000001</v>
      </c>
      <c r="AD1094" s="96"/>
      <c r="AE1094" s="94">
        <f>Table3.110[[#This Row],[Gas 8h, ml]]-Table3.110[[#This Row],[Gas 0h, ml]]</f>
        <v>27</v>
      </c>
      <c r="AF1094" s="94">
        <f>Table3.110[[#This Row],[Gas 24h, ml]]-Table3.110[[#This Row],[V8 Push back, ml]]</f>
        <v>46</v>
      </c>
      <c r="AG1094" s="94">
        <f>Table3.110[[#This Row],[GP 8h, ml]]-(AVERAGE(AE$1087,AE$1088,AE$1121,AE$1122,AE$1157,AE$1158))*$AG$8</f>
        <v>24.861233672775342</v>
      </c>
      <c r="AH1094" s="94">
        <f>Table3.110[[#This Row],[GP 8-24h, ml]]-(AVERAGE(AF$1087,AF$1088,AF$1121,AF$1122,AF$1157,AF$1158))*$AG$8</f>
        <v>43.123728042697877</v>
      </c>
      <c r="AI1094" s="94">
        <f>Table3.110[[#This Row],[Net gas 8-24h, ml]]+Table3.110[[#This Row],[Net gas 8h, ml]]</f>
        <v>67.984961715473219</v>
      </c>
      <c r="AJ1094" s="94">
        <f>Table3.110[[#This Row],[Net gas 8h, ml]]*Table3.110[[#This Row],[CH4 8h %]]%</f>
        <v>3.4308502468429976</v>
      </c>
      <c r="AK1094" s="94">
        <f>Table3.110[[#This Row],[Net gas 8-24h, ml]]*Table3.110[[#This Row],[CH4 24h, %]]%</f>
        <v>7.1585388550878477</v>
      </c>
      <c r="AL1094" s="94">
        <f>Table3.110[[#This Row],[CH4 8-24h, ml]]+Table3.110[[#This Row],[CH4 8h, ml]]</f>
        <v>10.589389101930845</v>
      </c>
      <c r="AM1094" s="94">
        <f>(Table3.110[[#This Row],[Net gas 24h, ml]]/Table3.110[[#This Row],[DM Incubated, mg]])*1000</f>
        <v>143.45247178174398</v>
      </c>
      <c r="AN1094" s="94">
        <f>'3.2 Digest'!X1094</f>
        <v>50.497949795362494</v>
      </c>
      <c r="AO1094" s="94">
        <f>Table3.110[[#This Row],[Digested feed, mg]]/Table3.110[[#This Row],[Net gas 24h, ml]]</f>
        <v>3.5201868025106395</v>
      </c>
      <c r="AP1094" s="94">
        <f>Table3.110[[#This Row],[CH4 8h, ml]]/Table3.110[[#This Row],[Net gas 8h, ml]]%</f>
        <v>13.800000000000002</v>
      </c>
      <c r="AQ1094" s="94">
        <f>Table3.110[[#This Row],[CH4 24h, ml]]/Table3.110[[#This Row],[Net gas 24h, ml]]%</f>
        <v>15.576075700754165</v>
      </c>
      <c r="AR1094" s="94">
        <f>Table3.110[[#This Row],[CH4 24h, ml]]/Table3.110[[#This Row],[DM Incubated, mg]]*1000</f>
        <v>22.344265599327443</v>
      </c>
      <c r="AS1094" s="94">
        <f>Table3.110[[#This Row],[CH4 24h, ml]]/Table3.110[[#This Row],[Digested feed, mg]]*1000</f>
        <v>44.247866873556589</v>
      </c>
      <c r="AT1094" s="255">
        <f>Table3.110[[#This Row],[CH4 24h, ml]]/'3.2 Digest'!AA1094</f>
        <v>-2.6490715912479326</v>
      </c>
      <c r="AU1094" s="255">
        <f>((Table3.110[[#This Row],[CH4 24h, ml]]/28.9)*16.04)/Table3.110[[#This Row],[DM Incubated, mg]]*1000</f>
        <v>12.401453986616339</v>
      </c>
      <c r="AV1094" s="255">
        <f>((Table3.110[[#This Row],[CH4 24h, ml]]/28.9)*16.04)/Table3.110[[#This Row],[Digested feed, mg]]*1000</f>
        <v>24.558331648852867</v>
      </c>
    </row>
    <row r="1095" spans="2:48" x14ac:dyDescent="0.35">
      <c r="B1095" s="90">
        <f t="shared" si="16"/>
        <v>1085</v>
      </c>
      <c r="C1095" s="140">
        <v>46083</v>
      </c>
      <c r="D1095" s="6" t="s">
        <v>16</v>
      </c>
      <c r="E1095" s="6" t="s">
        <v>393</v>
      </c>
      <c r="F1095" s="242" t="s">
        <v>226</v>
      </c>
      <c r="G1095" s="242" t="s">
        <v>227</v>
      </c>
      <c r="H1095" s="6" t="s">
        <v>228</v>
      </c>
      <c r="I1095" s="133" t="s">
        <v>22</v>
      </c>
      <c r="J1095" s="135" t="s">
        <v>23</v>
      </c>
      <c r="K1095" s="135" t="s">
        <v>215</v>
      </c>
      <c r="L1095" s="6" t="s">
        <v>392</v>
      </c>
      <c r="M1095" s="256">
        <v>30</v>
      </c>
      <c r="N1095" s="256">
        <v>65</v>
      </c>
      <c r="O1095" s="256">
        <v>2</v>
      </c>
      <c r="P1095" s="257">
        <v>1</v>
      </c>
      <c r="Q1095" s="129">
        <v>9</v>
      </c>
      <c r="R1095" s="98">
        <v>0.50029999999999997</v>
      </c>
      <c r="S1095" s="94">
        <f>((Table3.110[[#This Row],[Sample weight, g]]*'2.1. DM'!Q247)/100)*1000</f>
        <v>468.08711225148579</v>
      </c>
      <c r="T1095" s="94">
        <f>'3.2 Digest'!W1095</f>
        <v>170.78711225148589</v>
      </c>
      <c r="U1095" s="117">
        <v>0.32847222222222222</v>
      </c>
      <c r="V1095" s="155">
        <v>41.5</v>
      </c>
      <c r="W1095" s="117">
        <v>0.6645833333333333</v>
      </c>
      <c r="X1095" s="96">
        <v>76</v>
      </c>
      <c r="Y1095" s="96">
        <v>11.5</v>
      </c>
      <c r="Z1095" s="155">
        <v>41.5</v>
      </c>
      <c r="AA1095" s="117">
        <v>0.36458333333333331</v>
      </c>
      <c r="AB1095" s="155">
        <v>77</v>
      </c>
      <c r="AC1095" s="155">
        <v>15.2</v>
      </c>
      <c r="AD1095" s="96"/>
      <c r="AE1095" s="94">
        <f>Table3.110[[#This Row],[Gas 8h, ml]]-Table3.110[[#This Row],[Gas 0h, ml]]</f>
        <v>34.5</v>
      </c>
      <c r="AF1095" s="94">
        <f>Table3.110[[#This Row],[Gas 24h, ml]]-Table3.110[[#This Row],[V8 Push back, ml]]</f>
        <v>35.5</v>
      </c>
      <c r="AG1095" s="94">
        <f>Table3.110[[#This Row],[GP 8h, ml]]-(AVERAGE(AE$1087,AE$1088,AE$1121,AE$1122,AE$1157,AE$1158))*$AG$8</f>
        <v>32.361233672775342</v>
      </c>
      <c r="AH1095" s="94">
        <f>Table3.110[[#This Row],[GP 8-24h, ml]]-(AVERAGE(AF$1087,AF$1088,AF$1121,AF$1122,AF$1157,AF$1158))*$AG$8</f>
        <v>32.623728042697877</v>
      </c>
      <c r="AI1095" s="94">
        <f>Table3.110[[#This Row],[Net gas 8-24h, ml]]+Table3.110[[#This Row],[Net gas 8h, ml]]</f>
        <v>64.984961715473219</v>
      </c>
      <c r="AJ1095" s="94">
        <f>Table3.110[[#This Row],[Net gas 8h, ml]]*Table3.110[[#This Row],[CH4 8h %]]%</f>
        <v>3.7215418723691642</v>
      </c>
      <c r="AK1095" s="94">
        <f>Table3.110[[#This Row],[Net gas 8-24h, ml]]*Table3.110[[#This Row],[CH4 24h, %]]%</f>
        <v>4.9588066624900771</v>
      </c>
      <c r="AL1095" s="94">
        <f>Table3.110[[#This Row],[CH4 8-24h, ml]]+Table3.110[[#This Row],[CH4 8h, ml]]</f>
        <v>8.6803485348592417</v>
      </c>
      <c r="AM1095" s="94">
        <f>(Table3.110[[#This Row],[Net gas 24h, ml]]/Table3.110[[#This Row],[DM Incubated, mg]])*1000</f>
        <v>138.83091419222671</v>
      </c>
      <c r="AN1095" s="94">
        <f>'3.2 Digest'!X1095</f>
        <v>36.486181264424204</v>
      </c>
      <c r="AO1095" s="94">
        <f>Table3.110[[#This Row],[Digested feed, mg]]/Table3.110[[#This Row],[Net gas 24h, ml]]</f>
        <v>2.6281020676637667</v>
      </c>
      <c r="AP1095" s="94">
        <f>Table3.110[[#This Row],[CH4 8h, ml]]/Table3.110[[#This Row],[Net gas 8h, ml]]%</f>
        <v>11.5</v>
      </c>
      <c r="AQ1095" s="94">
        <f>Table3.110[[#This Row],[CH4 24h, ml]]/Table3.110[[#This Row],[Net gas 24h, ml]]%</f>
        <v>13.357472722481285</v>
      </c>
      <c r="AR1095" s="94">
        <f>Table3.110[[#This Row],[CH4 24h, ml]]/Table3.110[[#This Row],[DM Incubated, mg]]*1000</f>
        <v>18.544301493598084</v>
      </c>
      <c r="AS1095" s="94">
        <f>Table3.110[[#This Row],[CH4 24h, ml]]/Table3.110[[#This Row],[Digested feed, mg]]*1000</f>
        <v>50.825547785346551</v>
      </c>
      <c r="AT1095" s="255">
        <f>Table3.110[[#This Row],[CH4 24h, ml]]/'3.2 Digest'!AA1095</f>
        <v>-0.34767054019721561</v>
      </c>
      <c r="AU1095" s="255">
        <f>((Table3.110[[#This Row],[CH4 24h, ml]]/28.9)*16.04)/Table3.110[[#This Row],[DM Incubated, mg]]*1000</f>
        <v>10.292408164612915</v>
      </c>
      <c r="AV1095" s="255">
        <f>((Table3.110[[#This Row],[CH4 24h, ml]]/28.9)*16.04)/Table3.110[[#This Row],[Digested feed, mg]]*1000</f>
        <v>28.209058355604107</v>
      </c>
    </row>
    <row r="1096" spans="2:48" x14ac:dyDescent="0.35">
      <c r="B1096" s="90">
        <f t="shared" si="16"/>
        <v>1086</v>
      </c>
      <c r="C1096" s="140">
        <v>46083</v>
      </c>
      <c r="D1096" s="6" t="s">
        <v>16</v>
      </c>
      <c r="E1096" s="6" t="s">
        <v>393</v>
      </c>
      <c r="F1096" s="242" t="s">
        <v>226</v>
      </c>
      <c r="G1096" s="242" t="s">
        <v>227</v>
      </c>
      <c r="H1096" s="6" t="s">
        <v>228</v>
      </c>
      <c r="I1096" s="133" t="s">
        <v>22</v>
      </c>
      <c r="J1096" s="135" t="s">
        <v>23</v>
      </c>
      <c r="K1096" s="135" t="s">
        <v>215</v>
      </c>
      <c r="L1096" s="6" t="s">
        <v>392</v>
      </c>
      <c r="M1096" s="256">
        <v>30</v>
      </c>
      <c r="N1096" s="256">
        <v>65</v>
      </c>
      <c r="O1096" s="256">
        <v>2</v>
      </c>
      <c r="P1096" s="257">
        <v>2</v>
      </c>
      <c r="Q1096" s="129">
        <v>10</v>
      </c>
      <c r="R1096" s="98">
        <v>0.5</v>
      </c>
      <c r="S1096" s="94">
        <f>((Table3.110[[#This Row],[Sample weight, g]]*'2.1. DM'!Q247)/100)*1000</f>
        <v>467.80642839444914</v>
      </c>
      <c r="T1096" s="94">
        <f>'3.2 Digest'!W1096</f>
        <v>219.60642839444915</v>
      </c>
      <c r="U1096" s="153">
        <v>0.32916666666666666</v>
      </c>
      <c r="V1096" s="154">
        <v>41.5</v>
      </c>
      <c r="W1096" s="153">
        <v>0.66527777777777775</v>
      </c>
      <c r="X1096" s="91">
        <v>75.5</v>
      </c>
      <c r="Y1096" s="91">
        <v>11.6</v>
      </c>
      <c r="Z1096" s="154">
        <v>41.5</v>
      </c>
      <c r="AA1096" s="153">
        <v>0.36458333333333331</v>
      </c>
      <c r="AB1096" s="154">
        <v>77</v>
      </c>
      <c r="AC1096" s="154">
        <v>15.6</v>
      </c>
      <c r="AD1096" s="91" t="s">
        <v>551</v>
      </c>
      <c r="AE1096" s="94">
        <f>Table3.110[[#This Row],[Gas 8h, ml]]-Table3.110[[#This Row],[Gas 0h, ml]]</f>
        <v>34</v>
      </c>
      <c r="AF1096" s="94">
        <f>Table3.110[[#This Row],[Gas 24h, ml]]-Table3.110[[#This Row],[V8 Push back, ml]]</f>
        <v>35.5</v>
      </c>
      <c r="AG1096" s="94">
        <f>Table3.110[[#This Row],[GP 8h, ml]]-(AVERAGE(AE$1087,AE$1088,AE$1121,AE$1122,AE$1157,AE$1158))*$AG$8</f>
        <v>31.861233672775342</v>
      </c>
      <c r="AH1096" s="94">
        <f>Table3.110[[#This Row],[GP 8-24h, ml]]-(AVERAGE(AF$1087,AF$1088,AF$1121,AF$1122,AF$1157,AF$1158))*$AG$8</f>
        <v>32.623728042697877</v>
      </c>
      <c r="AI1096" s="94">
        <f>Table3.110[[#This Row],[Net gas 8-24h, ml]]+Table3.110[[#This Row],[Net gas 8h, ml]]</f>
        <v>64.484961715473219</v>
      </c>
      <c r="AJ1096" s="94">
        <f>Table3.110[[#This Row],[Net gas 8h, ml]]*Table3.110[[#This Row],[CH4 8h %]]%</f>
        <v>3.6959031060419392</v>
      </c>
      <c r="AK1096" s="94">
        <f>Table3.110[[#This Row],[Net gas 8-24h, ml]]*Table3.110[[#This Row],[CH4 24h, %]]%</f>
        <v>5.089301574660869</v>
      </c>
      <c r="AL1096" s="94">
        <f>Table3.110[[#This Row],[CH4 8-24h, ml]]+Table3.110[[#This Row],[CH4 8h, ml]]</f>
        <v>8.7852046807028081</v>
      </c>
      <c r="AM1096" s="94">
        <f>(Table3.110[[#This Row],[Net gas 24h, ml]]/Table3.110[[#This Row],[DM Incubated, mg]])*1000</f>
        <v>137.84539459363782</v>
      </c>
      <c r="AN1096" s="94">
        <f>'3.2 Digest'!X1096</f>
        <v>46.94386717774632</v>
      </c>
      <c r="AO1096" s="94">
        <f>Table3.110[[#This Row],[Digested feed, mg]]/Table3.110[[#This Row],[Net gas 24h, ml]]</f>
        <v>3.4055448363824401</v>
      </c>
      <c r="AP1096" s="94">
        <f>Table3.110[[#This Row],[CH4 8h, ml]]/Table3.110[[#This Row],[Net gas 8h, ml]]%</f>
        <v>11.6</v>
      </c>
      <c r="AQ1096" s="94">
        <f>Table3.110[[#This Row],[CH4 24h, ml]]/Table3.110[[#This Row],[Net gas 24h, ml]]%</f>
        <v>13.623648750022893</v>
      </c>
      <c r="AR1096" s="94">
        <f>Table3.110[[#This Row],[CH4 24h, ml]]/Table3.110[[#This Row],[DM Incubated, mg]]*1000</f>
        <v>18.779572377520264</v>
      </c>
      <c r="AS1096" s="94">
        <f>Table3.110[[#This Row],[CH4 24h, ml]]/Table3.110[[#This Row],[Digested feed, mg]]*1000</f>
        <v>40.004314741293186</v>
      </c>
      <c r="AT1096" s="255">
        <f>Table3.110[[#This Row],[CH4 24h, ml]]/'3.2 Digest'!AA1096</f>
        <v>-2.000704190685016</v>
      </c>
      <c r="AU1096" s="255">
        <f>((Table3.110[[#This Row],[CH4 24h, ml]]/28.9)*16.04)/Table3.110[[#This Row],[DM Incubated, mg]]*1000</f>
        <v>10.422987575620244</v>
      </c>
      <c r="AV1096" s="255">
        <f>((Table3.110[[#This Row],[CH4 24h, ml]]/28.9)*16.04)/Table3.110[[#This Row],[Digested feed, mg]]*1000</f>
        <v>22.203086797589712</v>
      </c>
    </row>
    <row r="1097" spans="2:48" x14ac:dyDescent="0.35">
      <c r="B1097" s="90">
        <f t="shared" si="16"/>
        <v>1087</v>
      </c>
      <c r="C1097" s="140">
        <v>46083</v>
      </c>
      <c r="D1097" s="6" t="s">
        <v>16</v>
      </c>
      <c r="E1097" s="6" t="s">
        <v>395</v>
      </c>
      <c r="F1097" s="242" t="s">
        <v>240</v>
      </c>
      <c r="G1097" s="242" t="s">
        <v>396</v>
      </c>
      <c r="H1097" s="6" t="s">
        <v>397</v>
      </c>
      <c r="I1097" s="133" t="s">
        <v>22</v>
      </c>
      <c r="J1097" s="135" t="s">
        <v>23</v>
      </c>
      <c r="K1097" s="135" t="s">
        <v>215</v>
      </c>
      <c r="L1097" s="6" t="s">
        <v>394</v>
      </c>
      <c r="M1097" s="256">
        <v>30</v>
      </c>
      <c r="N1097" s="256">
        <v>65</v>
      </c>
      <c r="O1097" s="256">
        <v>2</v>
      </c>
      <c r="P1097" s="257">
        <v>1</v>
      </c>
      <c r="Q1097" s="129">
        <v>11</v>
      </c>
      <c r="R1097" s="98">
        <v>0.50029999999999997</v>
      </c>
      <c r="S1097" s="94">
        <f>((Table3.110[[#This Row],[Sample weight, g]]*'2.1. DM'!Q249)/100)*1000</f>
        <v>473.41822675195095</v>
      </c>
      <c r="T1097" s="94">
        <f>'3.2 Digest'!W1097</f>
        <v>201.41822675195095</v>
      </c>
      <c r="U1097" s="153">
        <v>0.33055555555555555</v>
      </c>
      <c r="V1097" s="154">
        <v>40.5</v>
      </c>
      <c r="W1097" s="153">
        <v>0.66527777777777775</v>
      </c>
      <c r="X1097" s="91">
        <v>76.5</v>
      </c>
      <c r="Y1097" s="91">
        <v>13.7</v>
      </c>
      <c r="Z1097" s="154">
        <v>41</v>
      </c>
      <c r="AA1097" s="153">
        <v>0.36527777777777776</v>
      </c>
      <c r="AB1097" s="154">
        <v>79.5</v>
      </c>
      <c r="AC1097" s="154">
        <v>17.7</v>
      </c>
      <c r="AD1097" s="91" t="s">
        <v>595</v>
      </c>
      <c r="AE1097" s="94">
        <f>Table3.110[[#This Row],[Gas 8h, ml]]-Table3.110[[#This Row],[Gas 0h, ml]]</f>
        <v>36</v>
      </c>
      <c r="AF1097" s="94">
        <f>Table3.110[[#This Row],[Gas 24h, ml]]-Table3.110[[#This Row],[V8 Push back, ml]]</f>
        <v>38.5</v>
      </c>
      <c r="AG1097" s="94">
        <f>Table3.110[[#This Row],[GP 8h, ml]]-(AVERAGE(AE$1087,AE$1088,AE$1121,AE$1122,AE$1157,AE$1158))*$AG$8</f>
        <v>33.861233672775342</v>
      </c>
      <c r="AH1097" s="94">
        <f>Table3.110[[#This Row],[GP 8-24h, ml]]-(AVERAGE(AF$1087,AF$1088,AF$1121,AF$1122,AF$1157,AF$1158))*$AG$8</f>
        <v>35.623728042697877</v>
      </c>
      <c r="AI1097" s="94">
        <f>Table3.110[[#This Row],[Net gas 8-24h, ml]]+Table3.110[[#This Row],[Net gas 8h, ml]]</f>
        <v>69.484961715473219</v>
      </c>
      <c r="AJ1097" s="94">
        <f>Table3.110[[#This Row],[Net gas 8h, ml]]*Table3.110[[#This Row],[CH4 8h %]]%</f>
        <v>4.6389890131702209</v>
      </c>
      <c r="AK1097" s="94">
        <f>Table3.110[[#This Row],[Net gas 8-24h, ml]]*Table3.110[[#This Row],[CH4 24h, %]]%</f>
        <v>6.3053998635575237</v>
      </c>
      <c r="AL1097" s="94">
        <f>Table3.110[[#This Row],[CH4 8-24h, ml]]+Table3.110[[#This Row],[CH4 8h, ml]]</f>
        <v>10.944388876727745</v>
      </c>
      <c r="AM1097" s="94">
        <f>(Table3.110[[#This Row],[Net gas 24h, ml]]/Table3.110[[#This Row],[DM Incubated, mg]])*1000</f>
        <v>146.77289083734433</v>
      </c>
      <c r="AN1097" s="94">
        <f>'3.2 Digest'!X1097</f>
        <v>42.545515861070704</v>
      </c>
      <c r="AO1097" s="94">
        <f>Table3.110[[#This Row],[Digested feed, mg]]/Table3.110[[#This Row],[Net gas 24h, ml]]</f>
        <v>2.8987312042671567</v>
      </c>
      <c r="AP1097" s="94">
        <f>Table3.110[[#This Row],[CH4 8h, ml]]/Table3.110[[#This Row],[Net gas 8h, ml]]%</f>
        <v>13.699999999999998</v>
      </c>
      <c r="AQ1097" s="94">
        <f>Table3.110[[#This Row],[CH4 24h, ml]]/Table3.110[[#This Row],[Net gas 24h, ml]]%</f>
        <v>15.750730239361419</v>
      </c>
      <c r="AR1097" s="94">
        <f>Table3.110[[#This Row],[CH4 24h, ml]]/Table3.110[[#This Row],[DM Incubated, mg]]*1000</f>
        <v>23.117802100302516</v>
      </c>
      <c r="AS1097" s="94">
        <f>Table3.110[[#This Row],[CH4 24h, ml]]/Table3.110[[#This Row],[Digested feed, mg]]*1000</f>
        <v>54.336636029498436</v>
      </c>
      <c r="AT1097" s="255">
        <f>Table3.110[[#This Row],[CH4 24h, ml]]/'3.2 Digest'!AA1097</f>
        <v>1.958720488643771</v>
      </c>
      <c r="AU1097" s="255">
        <f>((Table3.110[[#This Row],[CH4 24h, ml]]/28.9)*16.04)/Table3.110[[#This Row],[DM Incubated, mg]]*1000</f>
        <v>12.830780127641951</v>
      </c>
      <c r="AV1097" s="255">
        <f>((Table3.110[[#This Row],[CH4 24h, ml]]/28.9)*16.04)/Table3.110[[#This Row],[Digested feed, mg]]*1000</f>
        <v>30.157773076579758</v>
      </c>
    </row>
    <row r="1098" spans="2:48" x14ac:dyDescent="0.35">
      <c r="B1098" s="90">
        <f t="shared" si="16"/>
        <v>1088</v>
      </c>
      <c r="C1098" s="140">
        <v>46083</v>
      </c>
      <c r="D1098" s="6" t="s">
        <v>16</v>
      </c>
      <c r="E1098" s="6" t="s">
        <v>395</v>
      </c>
      <c r="F1098" s="242" t="s">
        <v>240</v>
      </c>
      <c r="G1098" s="242" t="s">
        <v>396</v>
      </c>
      <c r="H1098" s="6" t="s">
        <v>397</v>
      </c>
      <c r="I1098" s="133" t="s">
        <v>22</v>
      </c>
      <c r="J1098" s="135" t="s">
        <v>23</v>
      </c>
      <c r="K1098" s="135" t="s">
        <v>215</v>
      </c>
      <c r="L1098" s="6" t="s">
        <v>394</v>
      </c>
      <c r="M1098" s="256">
        <v>30</v>
      </c>
      <c r="N1098" s="256">
        <v>65</v>
      </c>
      <c r="O1098" s="256">
        <v>2</v>
      </c>
      <c r="P1098" s="257">
        <v>2</v>
      </c>
      <c r="Q1098" s="129">
        <v>12</v>
      </c>
      <c r="R1098" s="98">
        <v>0.50019999999999998</v>
      </c>
      <c r="S1098" s="94">
        <f>((Table3.110[[#This Row],[Sample weight, g]]*'2.1. DM'!Q249)/100)*1000</f>
        <v>473.32359988272208</v>
      </c>
      <c r="T1098" s="94">
        <f>'3.2 Digest'!W1098</f>
        <v>206.12359988272209</v>
      </c>
      <c r="U1098" s="117">
        <v>0.32916666666666666</v>
      </c>
      <c r="V1098" s="155">
        <v>41.5</v>
      </c>
      <c r="W1098" s="117">
        <v>0.66597222222222219</v>
      </c>
      <c r="X1098" s="96">
        <v>76</v>
      </c>
      <c r="Y1098" s="96">
        <v>12.7</v>
      </c>
      <c r="Z1098" s="155">
        <v>41</v>
      </c>
      <c r="AA1098" s="117">
        <v>0.36527777777777776</v>
      </c>
      <c r="AB1098" s="155">
        <v>77.5</v>
      </c>
      <c r="AC1098" s="155">
        <v>17</v>
      </c>
      <c r="AD1098" s="96"/>
      <c r="AE1098" s="94">
        <f>Table3.110[[#This Row],[Gas 8h, ml]]-Table3.110[[#This Row],[Gas 0h, ml]]</f>
        <v>34.5</v>
      </c>
      <c r="AF1098" s="94">
        <f>Table3.110[[#This Row],[Gas 24h, ml]]-Table3.110[[#This Row],[V8 Push back, ml]]</f>
        <v>36.5</v>
      </c>
      <c r="AG1098" s="94">
        <f>Table3.110[[#This Row],[GP 8h, ml]]-(AVERAGE(AE$1087,AE$1088,AE$1121,AE$1122,AE$1157,AE$1158))*$AG$8</f>
        <v>32.361233672775342</v>
      </c>
      <c r="AH1098" s="94">
        <f>Table3.110[[#This Row],[GP 8-24h, ml]]-(AVERAGE(AF$1087,AF$1088,AF$1121,AF$1122,AF$1157,AF$1158))*$AG$8</f>
        <v>33.623728042697877</v>
      </c>
      <c r="AI1098" s="94">
        <f>Table3.110[[#This Row],[Net gas 8-24h, ml]]+Table3.110[[#This Row],[Net gas 8h, ml]]</f>
        <v>65.984961715473219</v>
      </c>
      <c r="AJ1098" s="94">
        <f>Table3.110[[#This Row],[Net gas 8h, ml]]*Table3.110[[#This Row],[CH4 8h %]]%</f>
        <v>4.1098766764424681</v>
      </c>
      <c r="AK1098" s="94">
        <f>Table3.110[[#This Row],[Net gas 8-24h, ml]]*Table3.110[[#This Row],[CH4 24h, %]]%</f>
        <v>5.7160337672586392</v>
      </c>
      <c r="AL1098" s="94">
        <f>Table3.110[[#This Row],[CH4 8-24h, ml]]+Table3.110[[#This Row],[CH4 8h, ml]]</f>
        <v>9.8259104437011082</v>
      </c>
      <c r="AM1098" s="94">
        <f>(Table3.110[[#This Row],[Net gas 24h, ml]]/Table3.110[[#This Row],[DM Incubated, mg]])*1000</f>
        <v>139.40771542306925</v>
      </c>
      <c r="AN1098" s="94">
        <f>'3.2 Digest'!X1098</f>
        <v>43.548134919491538</v>
      </c>
      <c r="AO1098" s="94">
        <f>Table3.110[[#This Row],[Digested feed, mg]]/Table3.110[[#This Row],[Net gas 24h, ml]]</f>
        <v>3.1237966124997674</v>
      </c>
      <c r="AP1098" s="94">
        <f>Table3.110[[#This Row],[CH4 8h, ml]]/Table3.110[[#This Row],[Net gas 8h, ml]]%</f>
        <v>12.7</v>
      </c>
      <c r="AQ1098" s="94">
        <f>Table3.110[[#This Row],[CH4 24h, ml]]/Table3.110[[#This Row],[Net gas 24h, ml]]%</f>
        <v>14.891136083506993</v>
      </c>
      <c r="AR1098" s="94">
        <f>Table3.110[[#This Row],[CH4 24h, ml]]/Table3.110[[#This Row],[DM Incubated, mg]]*1000</f>
        <v>20.759392614557413</v>
      </c>
      <c r="AS1098" s="94">
        <f>Table3.110[[#This Row],[CH4 24h, ml]]/Table3.110[[#This Row],[Digested feed, mg]]*1000</f>
        <v>47.669992418586446</v>
      </c>
      <c r="AT1098" s="255">
        <f>Table3.110[[#This Row],[CH4 24h, ml]]/'3.2 Digest'!AA1098</f>
        <v>1.3580928135273995</v>
      </c>
      <c r="AU1098" s="255">
        <f>((Table3.110[[#This Row],[CH4 24h, ml]]/28.9)*16.04)/Table3.110[[#This Row],[DM Incubated, mg]]*1000</f>
        <v>11.52182206012114</v>
      </c>
      <c r="AV1098" s="255">
        <f>((Table3.110[[#This Row],[CH4 24h, ml]]/28.9)*16.04)/Table3.110[[#This Row],[Digested feed, mg]]*1000</f>
        <v>26.457670532668747</v>
      </c>
    </row>
    <row r="1099" spans="2:48" x14ac:dyDescent="0.35">
      <c r="B1099" s="90">
        <f t="shared" si="16"/>
        <v>1089</v>
      </c>
      <c r="C1099" s="140">
        <v>46083</v>
      </c>
      <c r="D1099" s="6" t="s">
        <v>16</v>
      </c>
      <c r="E1099" s="6" t="s">
        <v>399</v>
      </c>
      <c r="F1099" s="242" t="s">
        <v>240</v>
      </c>
      <c r="G1099" s="242" t="s">
        <v>400</v>
      </c>
      <c r="H1099" s="6" t="s">
        <v>401</v>
      </c>
      <c r="I1099" s="133" t="s">
        <v>22</v>
      </c>
      <c r="J1099" s="135" t="s">
        <v>23</v>
      </c>
      <c r="K1099" s="135" t="s">
        <v>215</v>
      </c>
      <c r="L1099" s="6" t="s">
        <v>398</v>
      </c>
      <c r="M1099" s="256">
        <v>30</v>
      </c>
      <c r="N1099" s="256">
        <v>65</v>
      </c>
      <c r="O1099" s="256">
        <v>2</v>
      </c>
      <c r="P1099" s="257">
        <v>1</v>
      </c>
      <c r="Q1099" s="129">
        <v>13</v>
      </c>
      <c r="R1099" s="98">
        <v>0.50009999999999999</v>
      </c>
      <c r="S1099" s="94">
        <f>((Table3.110[[#This Row],[Sample weight, g]]*'2.1. DM'!Q251)/100)*1000</f>
        <v>477.38066989396157</v>
      </c>
      <c r="T1099" s="94">
        <f>'3.2 Digest'!W1099</f>
        <v>125.48066989396159</v>
      </c>
      <c r="U1099" s="117">
        <v>0.32916666666666666</v>
      </c>
      <c r="V1099" s="155">
        <v>41.5</v>
      </c>
      <c r="W1099" s="117">
        <v>0.66666666666666663</v>
      </c>
      <c r="X1099" s="96">
        <v>66</v>
      </c>
      <c r="Y1099" s="96">
        <v>11.7</v>
      </c>
      <c r="Z1099" s="155">
        <v>40</v>
      </c>
      <c r="AA1099" s="117">
        <v>0.3659722222222222</v>
      </c>
      <c r="AB1099" s="155">
        <v>57</v>
      </c>
      <c r="AC1099" s="155">
        <v>14.6</v>
      </c>
      <c r="AD1099" s="96"/>
      <c r="AE1099" s="94">
        <f>Table3.110[[#This Row],[Gas 8h, ml]]-Table3.110[[#This Row],[Gas 0h, ml]]</f>
        <v>24.5</v>
      </c>
      <c r="AF1099" s="94">
        <f>Table3.110[[#This Row],[Gas 24h, ml]]-Table3.110[[#This Row],[V8 Push back, ml]]</f>
        <v>17</v>
      </c>
      <c r="AG1099" s="94">
        <f>Table3.110[[#This Row],[GP 8h, ml]]-(AVERAGE(AE$1087,AE$1088,AE$1121,AE$1122,AE$1157,AE$1158))*$AG$8</f>
        <v>22.361233672775342</v>
      </c>
      <c r="AH1099" s="94">
        <f>Table3.110[[#This Row],[GP 8-24h, ml]]-(AVERAGE(AF$1087,AF$1088,AF$1121,AF$1122,AF$1157,AF$1158))*$AG$8</f>
        <v>14.123728042697875</v>
      </c>
      <c r="AI1099" s="94">
        <f>Table3.110[[#This Row],[Net gas 8-24h, ml]]+Table3.110[[#This Row],[Net gas 8h, ml]]</f>
        <v>36.484961715473219</v>
      </c>
      <c r="AJ1099" s="94">
        <f>Table3.110[[#This Row],[Net gas 8h, ml]]*Table3.110[[#This Row],[CH4 8h %]]%</f>
        <v>2.6162643397147147</v>
      </c>
      <c r="AK1099" s="94">
        <f>Table3.110[[#This Row],[Net gas 8-24h, ml]]*Table3.110[[#This Row],[CH4 24h, %]]%</f>
        <v>2.0620642942338896</v>
      </c>
      <c r="AL1099" s="94">
        <f>Table3.110[[#This Row],[CH4 8-24h, ml]]+Table3.110[[#This Row],[CH4 8h, ml]]</f>
        <v>4.6783286339486043</v>
      </c>
      <c r="AM1099" s="94">
        <f>(Table3.110[[#This Row],[Net gas 24h, ml]]/Table3.110[[#This Row],[DM Incubated, mg]])*1000</f>
        <v>76.427396449834177</v>
      </c>
      <c r="AN1099" s="94">
        <f>'3.2 Digest'!X1099</f>
        <v>26.285243162827278</v>
      </c>
      <c r="AO1099" s="94">
        <f>Table3.110[[#This Row],[Digested feed, mg]]/Table3.110[[#This Row],[Net gas 24h, ml]]</f>
        <v>3.4392435675969319</v>
      </c>
      <c r="AP1099" s="94">
        <f>Table3.110[[#This Row],[CH4 8h, ml]]/Table3.110[[#This Row],[Net gas 8h, ml]]%</f>
        <v>11.7</v>
      </c>
      <c r="AQ1099" s="94">
        <f>Table3.110[[#This Row],[CH4 24h, ml]]/Table3.110[[#This Row],[Net gas 24h, ml]]%</f>
        <v>12.822621743260681</v>
      </c>
      <c r="AR1099" s="94">
        <f>Table3.110[[#This Row],[CH4 24h, ml]]/Table3.110[[#This Row],[DM Incubated, mg]]*1000</f>
        <v>9.79999595498448</v>
      </c>
      <c r="AS1099" s="94">
        <f>Table3.110[[#This Row],[CH4 24h, ml]]/Table3.110[[#This Row],[Digested feed, mg]]*1000</f>
        <v>37.283261540618668</v>
      </c>
      <c r="AT1099" s="255">
        <f>Table3.110[[#This Row],[CH4 24h, ml]]/'3.2 Digest'!AA1099</f>
        <v>-0.1509896979723733</v>
      </c>
      <c r="AU1099" s="255">
        <f>((Table3.110[[#This Row],[CH4 24h, ml]]/28.9)*16.04)/Table3.110[[#This Row],[DM Incubated, mg]]*1000</f>
        <v>5.4391673051194136</v>
      </c>
      <c r="AV1099" s="255">
        <f>((Table3.110[[#This Row],[CH4 24h, ml]]/28.9)*16.04)/Table3.110[[#This Row],[Digested feed, mg]]*1000</f>
        <v>20.69285519417036</v>
      </c>
    </row>
    <row r="1100" spans="2:48" x14ac:dyDescent="0.35">
      <c r="B1100" s="90">
        <f t="shared" ref="B1100:B1163" si="17">B1099+1</f>
        <v>1090</v>
      </c>
      <c r="C1100" s="140">
        <v>46083</v>
      </c>
      <c r="D1100" s="6" t="s">
        <v>16</v>
      </c>
      <c r="E1100" s="6" t="s">
        <v>399</v>
      </c>
      <c r="F1100" s="242" t="s">
        <v>240</v>
      </c>
      <c r="G1100" s="242" t="s">
        <v>400</v>
      </c>
      <c r="H1100" s="6" t="s">
        <v>401</v>
      </c>
      <c r="I1100" s="133" t="s">
        <v>22</v>
      </c>
      <c r="J1100" s="135" t="s">
        <v>23</v>
      </c>
      <c r="K1100" s="135" t="s">
        <v>215</v>
      </c>
      <c r="L1100" s="6" t="s">
        <v>398</v>
      </c>
      <c r="M1100" s="256">
        <v>30</v>
      </c>
      <c r="N1100" s="256">
        <v>65</v>
      </c>
      <c r="O1100" s="256">
        <v>2</v>
      </c>
      <c r="P1100" s="257">
        <v>2</v>
      </c>
      <c r="Q1100" s="129">
        <v>14</v>
      </c>
      <c r="R1100" s="98">
        <v>0.50019999999999998</v>
      </c>
      <c r="S1100" s="94">
        <f>((Table3.110[[#This Row],[Sample weight, g]]*'2.1. DM'!Q251)/100)*1000</f>
        <v>477.47612693653173</v>
      </c>
      <c r="T1100" s="94">
        <f>'3.2 Digest'!W1100</f>
        <v>110.77612693653168</v>
      </c>
      <c r="U1100" s="156">
        <v>0.3298611111111111</v>
      </c>
      <c r="V1100" s="154">
        <v>40.5</v>
      </c>
      <c r="W1100" s="153">
        <v>0.66736111111111107</v>
      </c>
      <c r="X1100" s="91">
        <v>66.5</v>
      </c>
      <c r="Y1100" s="91">
        <v>11.7</v>
      </c>
      <c r="Z1100" s="154">
        <v>40</v>
      </c>
      <c r="AA1100" s="153">
        <v>0.36666666666666664</v>
      </c>
      <c r="AB1100" s="154">
        <v>53.5</v>
      </c>
      <c r="AC1100" s="154">
        <v>13.3</v>
      </c>
      <c r="AD1100" s="91"/>
      <c r="AE1100" s="94">
        <f>Table3.110[[#This Row],[Gas 8h, ml]]-Table3.110[[#This Row],[Gas 0h, ml]]</f>
        <v>26</v>
      </c>
      <c r="AF1100" s="94">
        <f>Table3.110[[#This Row],[Gas 24h, ml]]-Table3.110[[#This Row],[V8 Push back, ml]]</f>
        <v>13.5</v>
      </c>
      <c r="AG1100" s="94">
        <f>Table3.110[[#This Row],[GP 8h, ml]]-(AVERAGE(AE$1087,AE$1088,AE$1121,AE$1122,AE$1157,AE$1158))*$AG$8</f>
        <v>23.861233672775342</v>
      </c>
      <c r="AH1100" s="94">
        <f>Table3.110[[#This Row],[GP 8-24h, ml]]-(AVERAGE(AF$1087,AF$1088,AF$1121,AF$1122,AF$1157,AF$1158))*$AG$8</f>
        <v>10.623728042697875</v>
      </c>
      <c r="AI1100" s="94">
        <f>Table3.110[[#This Row],[Net gas 8-24h, ml]]+Table3.110[[#This Row],[Net gas 8h, ml]]</f>
        <v>34.484961715473219</v>
      </c>
      <c r="AJ1100" s="94">
        <f>Table3.110[[#This Row],[Net gas 8h, ml]]*Table3.110[[#This Row],[CH4 8h %]]%</f>
        <v>2.7917643397147147</v>
      </c>
      <c r="AK1100" s="94">
        <f>Table3.110[[#This Row],[Net gas 8-24h, ml]]*Table3.110[[#This Row],[CH4 24h, %]]%</f>
        <v>1.4129558296788174</v>
      </c>
      <c r="AL1100" s="94">
        <f>Table3.110[[#This Row],[CH4 8-24h, ml]]+Table3.110[[#This Row],[CH4 8h, ml]]</f>
        <v>4.2047201693935321</v>
      </c>
      <c r="AM1100" s="94">
        <f>(Table3.110[[#This Row],[Net gas 24h, ml]]/Table3.110[[#This Row],[DM Incubated, mg]])*1000</f>
        <v>72.223425989331432</v>
      </c>
      <c r="AN1100" s="94">
        <f>'3.2 Digest'!X1100</f>
        <v>23.200348810581801</v>
      </c>
      <c r="AO1100" s="94">
        <f>Table3.110[[#This Row],[Digested feed, mg]]/Table3.110[[#This Row],[Net gas 24h, ml]]</f>
        <v>3.2123024479631952</v>
      </c>
      <c r="AP1100" s="94">
        <f>Table3.110[[#This Row],[CH4 8h, ml]]/Table3.110[[#This Row],[Net gas 8h, ml]]%</f>
        <v>11.7</v>
      </c>
      <c r="AQ1100" s="94">
        <f>Table3.110[[#This Row],[CH4 24h, ml]]/Table3.110[[#This Row],[Net gas 24h, ml]]%</f>
        <v>12.192909489317765</v>
      </c>
      <c r="AR1100" s="94">
        <f>Table3.110[[#This Row],[CH4 24h, ml]]/Table3.110[[#This Row],[DM Incubated, mg]]*1000</f>
        <v>8.8061369609635847</v>
      </c>
      <c r="AS1100" s="94">
        <f>Table3.110[[#This Row],[CH4 24h, ml]]/Table3.110[[#This Row],[Digested feed, mg]]*1000</f>
        <v>37.956916220790006</v>
      </c>
      <c r="AT1100" s="255">
        <f>Table3.110[[#This Row],[CH4 24h, ml]]/'3.2 Digest'!AA1100</f>
        <v>-0.11530522164430955</v>
      </c>
      <c r="AU1100" s="255">
        <f>((Table3.110[[#This Row],[CH4 24h, ml]]/28.9)*16.04)/Table3.110[[#This Row],[DM Incubated, mg]]*1000</f>
        <v>4.8875583686455331</v>
      </c>
      <c r="AV1100" s="255">
        <f>((Table3.110[[#This Row],[CH4 24h, ml]]/28.9)*16.04)/Table3.110[[#This Row],[Digested feed, mg]]*1000</f>
        <v>21.066745196590716</v>
      </c>
    </row>
    <row r="1101" spans="2:48" x14ac:dyDescent="0.35">
      <c r="B1101" s="90">
        <f t="shared" si="17"/>
        <v>1091</v>
      </c>
      <c r="C1101" s="140">
        <v>46083</v>
      </c>
      <c r="D1101" s="6" t="s">
        <v>16</v>
      </c>
      <c r="E1101" s="6" t="s">
        <v>403</v>
      </c>
      <c r="F1101" s="242" t="s">
        <v>212</v>
      </c>
      <c r="G1101" s="242" t="s">
        <v>404</v>
      </c>
      <c r="H1101" s="6" t="s">
        <v>405</v>
      </c>
      <c r="I1101" s="133" t="s">
        <v>22</v>
      </c>
      <c r="J1101" s="135" t="s">
        <v>23</v>
      </c>
      <c r="K1101" s="135" t="s">
        <v>215</v>
      </c>
      <c r="L1101" s="6" t="s">
        <v>402</v>
      </c>
      <c r="M1101" s="256">
        <v>30</v>
      </c>
      <c r="N1101" s="256">
        <v>65</v>
      </c>
      <c r="O1101" s="256">
        <v>2</v>
      </c>
      <c r="P1101" s="257">
        <v>1</v>
      </c>
      <c r="Q1101" s="129">
        <v>15</v>
      </c>
      <c r="R1101" s="98">
        <v>0.5</v>
      </c>
      <c r="S1101" s="94">
        <f>((Table3.110[[#This Row],[Sample weight, g]]*'2.1. DM'!Q253)/100)*1000</f>
        <v>472.2555488902222</v>
      </c>
      <c r="T1101" s="94">
        <f>'3.2 Digest'!W1101</f>
        <v>103.85554889022217</v>
      </c>
      <c r="U1101" s="153">
        <v>0.33055555555555555</v>
      </c>
      <c r="V1101" s="154">
        <v>40.5</v>
      </c>
      <c r="W1101" s="153">
        <v>0.66736111111111107</v>
      </c>
      <c r="X1101" s="91">
        <v>68.5</v>
      </c>
      <c r="Y1101" s="91">
        <v>13.8</v>
      </c>
      <c r="Z1101" s="154">
        <v>40</v>
      </c>
      <c r="AA1101" s="153">
        <v>0.36666666666666664</v>
      </c>
      <c r="AB1101" s="154">
        <v>75</v>
      </c>
      <c r="AC1101" s="154">
        <v>16.7</v>
      </c>
      <c r="AD1101" s="91"/>
      <c r="AE1101" s="94">
        <f>Table3.110[[#This Row],[Gas 8h, ml]]-Table3.110[[#This Row],[Gas 0h, ml]]</f>
        <v>28</v>
      </c>
      <c r="AF1101" s="94">
        <f>Table3.110[[#This Row],[Gas 24h, ml]]-Table3.110[[#This Row],[V8 Push back, ml]]</f>
        <v>35</v>
      </c>
      <c r="AG1101" s="94">
        <f>Table3.110[[#This Row],[GP 8h, ml]]-(AVERAGE(AE$1087,AE$1088,AE$1121,AE$1122,AE$1157,AE$1158))*$AG$8</f>
        <v>25.861233672775342</v>
      </c>
      <c r="AH1101" s="94">
        <f>Table3.110[[#This Row],[GP 8-24h, ml]]-(AVERAGE(AF$1087,AF$1088,AF$1121,AF$1122,AF$1157,AF$1158))*$AG$8</f>
        <v>32.123728042697877</v>
      </c>
      <c r="AI1101" s="94">
        <f>Table3.110[[#This Row],[Net gas 8-24h, ml]]+Table3.110[[#This Row],[Net gas 8h, ml]]</f>
        <v>57.984961715473219</v>
      </c>
      <c r="AJ1101" s="94">
        <f>Table3.110[[#This Row],[Net gas 8h, ml]]*Table3.110[[#This Row],[CH4 8h %]]%</f>
        <v>3.5688502468429975</v>
      </c>
      <c r="AK1101" s="94">
        <f>Table3.110[[#This Row],[Net gas 8-24h, ml]]*Table3.110[[#This Row],[CH4 24h, %]]%</f>
        <v>5.3646625831305448</v>
      </c>
      <c r="AL1101" s="94">
        <f>Table3.110[[#This Row],[CH4 8-24h, ml]]+Table3.110[[#This Row],[CH4 8h, ml]]</f>
        <v>8.9335128299735427</v>
      </c>
      <c r="AM1101" s="94">
        <f>(Table3.110[[#This Row],[Net gas 24h, ml]]/Table3.110[[#This Row],[DM Incubated, mg]])*1000</f>
        <v>122.78301832923951</v>
      </c>
      <c r="AN1101" s="94">
        <f>'3.2 Digest'!X1101</f>
        <v>21.991387742140393</v>
      </c>
      <c r="AO1101" s="94">
        <f>Table3.110[[#This Row],[Digested feed, mg]]/Table3.110[[#This Row],[Net gas 24h, ml]]</f>
        <v>1.7910773037987269</v>
      </c>
      <c r="AP1101" s="94">
        <f>Table3.110[[#This Row],[CH4 8h, ml]]/Table3.110[[#This Row],[Net gas 8h, ml]]%</f>
        <v>13.8</v>
      </c>
      <c r="AQ1101" s="94">
        <f>Table3.110[[#This Row],[CH4 24h, ml]]/Table3.110[[#This Row],[Net gas 24h, ml]]%</f>
        <v>15.406602963384636</v>
      </c>
      <c r="AR1101" s="94">
        <f>Table3.110[[#This Row],[CH4 24h, ml]]/Table3.110[[#This Row],[DM Incubated, mg]]*1000</f>
        <v>18.916692140445711</v>
      </c>
      <c r="AS1101" s="94">
        <f>Table3.110[[#This Row],[CH4 24h, ml]]/Table3.110[[#This Row],[Digested feed, mg]]*1000</f>
        <v>86.018637669677929</v>
      </c>
      <c r="AT1101" s="255">
        <f>Table3.110[[#This Row],[CH4 24h, ml]]/'3.2 Digest'!AA1101</f>
        <v>-0.32063470603719668</v>
      </c>
      <c r="AU1101" s="255">
        <f>((Table3.110[[#This Row],[CH4 24h, ml]]/28.9)*16.04)/Table3.110[[#This Row],[DM Incubated, mg]]*1000</f>
        <v>10.499091416358105</v>
      </c>
      <c r="AV1101" s="255">
        <f>((Table3.110[[#This Row],[CH4 24h, ml]]/28.9)*16.04)/Table3.110[[#This Row],[Digested feed, mg]]*1000</f>
        <v>47.741832118395635</v>
      </c>
    </row>
    <row r="1102" spans="2:48" x14ac:dyDescent="0.35">
      <c r="B1102" s="90">
        <f t="shared" si="17"/>
        <v>1092</v>
      </c>
      <c r="C1102" s="140">
        <v>46083</v>
      </c>
      <c r="D1102" s="6" t="s">
        <v>16</v>
      </c>
      <c r="E1102" s="6" t="s">
        <v>403</v>
      </c>
      <c r="F1102" s="242" t="s">
        <v>212</v>
      </c>
      <c r="G1102" s="242" t="s">
        <v>404</v>
      </c>
      <c r="H1102" s="6" t="s">
        <v>405</v>
      </c>
      <c r="I1102" s="133" t="s">
        <v>22</v>
      </c>
      <c r="J1102" s="135" t="s">
        <v>23</v>
      </c>
      <c r="K1102" s="135" t="s">
        <v>215</v>
      </c>
      <c r="L1102" s="6" t="s">
        <v>402</v>
      </c>
      <c r="M1102" s="256">
        <v>30</v>
      </c>
      <c r="N1102" s="256">
        <v>65</v>
      </c>
      <c r="O1102" s="256">
        <v>2</v>
      </c>
      <c r="P1102" s="257">
        <v>2</v>
      </c>
      <c r="Q1102" s="129">
        <v>16</v>
      </c>
      <c r="R1102" s="98">
        <v>0.50029999999999997</v>
      </c>
      <c r="S1102" s="94">
        <f>((Table3.110[[#This Row],[Sample weight, g]]*'2.1. DM'!Q253)/100)*1000</f>
        <v>472.53890221955629</v>
      </c>
      <c r="T1102" s="94">
        <f>'3.2 Digest'!W1102</f>
        <v>140.93890221955638</v>
      </c>
      <c r="U1102" s="117">
        <v>0.33055555555555555</v>
      </c>
      <c r="V1102" s="155">
        <v>40.5</v>
      </c>
      <c r="W1102" s="117">
        <v>0.66805555555555551</v>
      </c>
      <c r="X1102" s="96">
        <v>68.5</v>
      </c>
      <c r="Y1102" s="96">
        <v>14</v>
      </c>
      <c r="Z1102" s="155">
        <v>40</v>
      </c>
      <c r="AA1102" s="117">
        <v>0.36736111111111114</v>
      </c>
      <c r="AB1102" s="155">
        <v>73.5</v>
      </c>
      <c r="AC1102" s="155">
        <v>16.5</v>
      </c>
      <c r="AD1102" s="96"/>
      <c r="AE1102" s="94">
        <f>Table3.110[[#This Row],[Gas 8h, ml]]-Table3.110[[#This Row],[Gas 0h, ml]]</f>
        <v>28</v>
      </c>
      <c r="AF1102" s="94">
        <f>Table3.110[[#This Row],[Gas 24h, ml]]-Table3.110[[#This Row],[V8 Push back, ml]]</f>
        <v>33.5</v>
      </c>
      <c r="AG1102" s="94">
        <f>Table3.110[[#This Row],[GP 8h, ml]]-(AVERAGE(AE$1087,AE$1088,AE$1121,AE$1122,AE$1157,AE$1158))*$AG$8</f>
        <v>25.861233672775342</v>
      </c>
      <c r="AH1102" s="94">
        <f>Table3.110[[#This Row],[GP 8-24h, ml]]-(AVERAGE(AF$1087,AF$1088,AF$1121,AF$1122,AF$1157,AF$1158))*$AG$8</f>
        <v>30.623728042697874</v>
      </c>
      <c r="AI1102" s="94">
        <f>Table3.110[[#This Row],[Net gas 8-24h, ml]]+Table3.110[[#This Row],[Net gas 8h, ml]]</f>
        <v>56.484961715473219</v>
      </c>
      <c r="AJ1102" s="94">
        <f>Table3.110[[#This Row],[Net gas 8h, ml]]*Table3.110[[#This Row],[CH4 8h %]]%</f>
        <v>3.620572714188548</v>
      </c>
      <c r="AK1102" s="94">
        <f>Table3.110[[#This Row],[Net gas 8-24h, ml]]*Table3.110[[#This Row],[CH4 24h, %]]%</f>
        <v>5.0529151270451491</v>
      </c>
      <c r="AL1102" s="94">
        <f>Table3.110[[#This Row],[CH4 8-24h, ml]]+Table3.110[[#This Row],[CH4 8h, ml]]</f>
        <v>8.6734878412336975</v>
      </c>
      <c r="AM1102" s="94">
        <f>(Table3.110[[#This Row],[Net gas 24h, ml]]/Table3.110[[#This Row],[DM Incubated, mg]])*1000</f>
        <v>119.53505087127947</v>
      </c>
      <c r="AN1102" s="94">
        <f>'3.2 Digest'!X1102</f>
        <v>29.825883447384776</v>
      </c>
      <c r="AO1102" s="94">
        <f>Table3.110[[#This Row],[Digested feed, mg]]/Table3.110[[#This Row],[Net gas 24h, ml]]</f>
        <v>2.4951579666371315</v>
      </c>
      <c r="AP1102" s="94">
        <f>Table3.110[[#This Row],[CH4 8h, ml]]/Table3.110[[#This Row],[Net gas 8h, ml]]%</f>
        <v>14</v>
      </c>
      <c r="AQ1102" s="94">
        <f>Table3.110[[#This Row],[CH4 24h, ml]]/Table3.110[[#This Row],[Net gas 24h, ml]]%</f>
        <v>15.355392971537988</v>
      </c>
      <c r="AR1102" s="94">
        <f>Table3.110[[#This Row],[CH4 24h, ml]]/Table3.110[[#This Row],[DM Incubated, mg]]*1000</f>
        <v>18.355076800012807</v>
      </c>
      <c r="AS1102" s="94">
        <f>Table3.110[[#This Row],[CH4 24h, ml]]/Table3.110[[#This Row],[Digested feed, mg]]*1000</f>
        <v>61.540764860804934</v>
      </c>
      <c r="AT1102" s="255">
        <f>Table3.110[[#This Row],[CH4 24h, ml]]/'3.2 Digest'!AA1102</f>
        <v>-0.57743801775069159</v>
      </c>
      <c r="AU1102" s="255">
        <f>((Table3.110[[#This Row],[CH4 24h, ml]]/28.9)*16.04)/Table3.110[[#This Row],[DM Incubated, mg]]*1000</f>
        <v>10.187385185889461</v>
      </c>
      <c r="AV1102" s="255">
        <f>((Table3.110[[#This Row],[CH4 24h, ml]]/28.9)*16.04)/Table3.110[[#This Row],[Digested feed, mg]]*1000</f>
        <v>34.156189216861975</v>
      </c>
    </row>
    <row r="1103" spans="2:48" x14ac:dyDescent="0.35">
      <c r="B1103" s="90">
        <f t="shared" si="17"/>
        <v>1093</v>
      </c>
      <c r="C1103" s="140">
        <v>46083</v>
      </c>
      <c r="D1103" s="6" t="s">
        <v>16</v>
      </c>
      <c r="E1103" s="6" t="s">
        <v>407</v>
      </c>
      <c r="F1103" s="242" t="s">
        <v>226</v>
      </c>
      <c r="G1103" s="242" t="s">
        <v>231</v>
      </c>
      <c r="H1103" s="6" t="s">
        <v>232</v>
      </c>
      <c r="I1103" s="133" t="s">
        <v>22</v>
      </c>
      <c r="J1103" s="135" t="s">
        <v>23</v>
      </c>
      <c r="K1103" s="135" t="s">
        <v>215</v>
      </c>
      <c r="L1103" s="6" t="s">
        <v>406</v>
      </c>
      <c r="M1103" s="256">
        <v>30</v>
      </c>
      <c r="N1103" s="256">
        <v>65</v>
      </c>
      <c r="O1103" s="256">
        <v>2</v>
      </c>
      <c r="P1103" s="257">
        <v>1</v>
      </c>
      <c r="Q1103" s="129">
        <v>17</v>
      </c>
      <c r="R1103" s="98">
        <v>0.50009999999999999</v>
      </c>
      <c r="S1103" s="94">
        <f>((Table3.110[[#This Row],[Sample weight, g]]*'2.1. DM'!Q255)/100)*1000</f>
        <v>473.53163694791988</v>
      </c>
      <c r="T1103" s="94">
        <f>'3.2 Digest'!W1103</f>
        <v>244.93163694791986</v>
      </c>
      <c r="U1103" s="117">
        <v>0.33124999999999999</v>
      </c>
      <c r="V1103" s="155">
        <v>40.5</v>
      </c>
      <c r="W1103" s="117">
        <v>0.66805555555555551</v>
      </c>
      <c r="X1103" s="96">
        <v>77</v>
      </c>
      <c r="Y1103" s="96">
        <v>13</v>
      </c>
      <c r="Z1103" s="155">
        <v>40.5</v>
      </c>
      <c r="AA1103" s="117">
        <v>0.36736111111111114</v>
      </c>
      <c r="AB1103" s="155">
        <v>81.5</v>
      </c>
      <c r="AC1103" s="155">
        <v>16.399999999999999</v>
      </c>
      <c r="AD1103" s="96"/>
      <c r="AE1103" s="94">
        <f>Table3.110[[#This Row],[Gas 8h, ml]]-Table3.110[[#This Row],[Gas 0h, ml]]</f>
        <v>36.5</v>
      </c>
      <c r="AF1103" s="94">
        <f>Table3.110[[#This Row],[Gas 24h, ml]]-Table3.110[[#This Row],[V8 Push back, ml]]</f>
        <v>41</v>
      </c>
      <c r="AG1103" s="94">
        <f>Table3.110[[#This Row],[GP 8h, ml]]-(AVERAGE(AE$1087,AE$1088,AE$1121,AE$1122,AE$1157,AE$1158))*$AG$8</f>
        <v>34.361233672775342</v>
      </c>
      <c r="AH1103" s="94">
        <f>Table3.110[[#This Row],[GP 8-24h, ml]]-(AVERAGE(AF$1087,AF$1088,AF$1121,AF$1122,AF$1157,AF$1158))*$AG$8</f>
        <v>38.123728042697877</v>
      </c>
      <c r="AI1103" s="94">
        <f>Table3.110[[#This Row],[Net gas 8-24h, ml]]+Table3.110[[#This Row],[Net gas 8h, ml]]</f>
        <v>72.484961715473219</v>
      </c>
      <c r="AJ1103" s="94">
        <f>Table3.110[[#This Row],[Net gas 8h, ml]]*Table3.110[[#This Row],[CH4 8h %]]%</f>
        <v>4.4669603774607944</v>
      </c>
      <c r="AK1103" s="94">
        <f>Table3.110[[#This Row],[Net gas 8-24h, ml]]*Table3.110[[#This Row],[CH4 24h, %]]%</f>
        <v>6.2522913990024511</v>
      </c>
      <c r="AL1103" s="94">
        <f>Table3.110[[#This Row],[CH4 8-24h, ml]]+Table3.110[[#This Row],[CH4 8h, ml]]</f>
        <v>10.719251776463246</v>
      </c>
      <c r="AM1103" s="94">
        <f>(Table3.110[[#This Row],[Net gas 24h, ml]]/Table3.110[[#This Row],[DM Incubated, mg]])*1000</f>
        <v>153.07311288146369</v>
      </c>
      <c r="AN1103" s="94">
        <f>'3.2 Digest'!X1103</f>
        <v>51.72445045627606</v>
      </c>
      <c r="AO1103" s="94">
        <f>Table3.110[[#This Row],[Digested feed, mg]]/Table3.110[[#This Row],[Net gas 24h, ml]]</f>
        <v>3.3790683081182449</v>
      </c>
      <c r="AP1103" s="94">
        <f>Table3.110[[#This Row],[CH4 8h, ml]]/Table3.110[[#This Row],[Net gas 8h, ml]]%</f>
        <v>13</v>
      </c>
      <c r="AQ1103" s="94">
        <f>Table3.110[[#This Row],[CH4 24h, ml]]/Table3.110[[#This Row],[Net gas 24h, ml]]%</f>
        <v>14.788242309542435</v>
      </c>
      <c r="AR1103" s="94">
        <f>Table3.110[[#This Row],[CH4 24h, ml]]/Table3.110[[#This Row],[DM Incubated, mg]]*1000</f>
        <v>22.636822843670263</v>
      </c>
      <c r="AS1103" s="94">
        <f>Table3.110[[#This Row],[CH4 24h, ml]]/Table3.110[[#This Row],[Digested feed, mg]]*1000</f>
        <v>43.764259734002813</v>
      </c>
      <c r="AT1103" s="255">
        <f>Table3.110[[#This Row],[CH4 24h, ml]]/'3.2 Digest'!AA1103</f>
        <v>1.8421198948713058</v>
      </c>
      <c r="AU1103" s="255">
        <f>((Table3.110[[#This Row],[CH4 24h, ml]]/28.9)*16.04)/Table3.110[[#This Row],[DM Incubated, mg]]*1000</f>
        <v>12.563828318770621</v>
      </c>
      <c r="AV1103" s="255">
        <f>((Table3.110[[#This Row],[CH4 24h, ml]]/28.9)*16.04)/Table3.110[[#This Row],[Digested feed, mg]]*1000</f>
        <v>24.28992131949499</v>
      </c>
    </row>
    <row r="1104" spans="2:48" x14ac:dyDescent="0.35">
      <c r="B1104" s="90">
        <f t="shared" si="17"/>
        <v>1094</v>
      </c>
      <c r="C1104" s="140">
        <v>46083</v>
      </c>
      <c r="D1104" s="6" t="s">
        <v>16</v>
      </c>
      <c r="E1104" s="6" t="s">
        <v>407</v>
      </c>
      <c r="F1104" s="242" t="s">
        <v>226</v>
      </c>
      <c r="G1104" s="242" t="s">
        <v>231</v>
      </c>
      <c r="H1104" s="6" t="s">
        <v>232</v>
      </c>
      <c r="I1104" s="133" t="s">
        <v>22</v>
      </c>
      <c r="J1104" s="135" t="s">
        <v>23</v>
      </c>
      <c r="K1104" s="135" t="s">
        <v>215</v>
      </c>
      <c r="L1104" s="6" t="s">
        <v>406</v>
      </c>
      <c r="M1104" s="256">
        <v>30</v>
      </c>
      <c r="N1104" s="256">
        <v>65</v>
      </c>
      <c r="O1104" s="256">
        <v>2</v>
      </c>
      <c r="P1104" s="257">
        <v>2</v>
      </c>
      <c r="Q1104" s="6">
        <v>18</v>
      </c>
      <c r="R1104" s="98">
        <v>0.5</v>
      </c>
      <c r="S1104" s="94">
        <f>((Table3.110[[#This Row],[Sample weight, g]]*'2.1. DM'!Q255)/100)*1000</f>
        <v>473.43694955800828</v>
      </c>
      <c r="T1104" s="94">
        <f>'3.2 Digest'!W1104</f>
        <v>206.33694955800826</v>
      </c>
      <c r="U1104" s="153">
        <v>0.33124999999999999</v>
      </c>
      <c r="V1104" s="154">
        <v>40.5</v>
      </c>
      <c r="W1104" s="153">
        <v>0.66874999999999996</v>
      </c>
      <c r="X1104" s="91">
        <v>78</v>
      </c>
      <c r="Y1104" s="91">
        <v>13.1</v>
      </c>
      <c r="Z1104" s="154">
        <v>41.5</v>
      </c>
      <c r="AA1104" s="153">
        <v>0.36805555555555558</v>
      </c>
      <c r="AB1104" s="154">
        <v>81.5</v>
      </c>
      <c r="AC1104" s="154">
        <v>16.3</v>
      </c>
      <c r="AD1104" s="91" t="s">
        <v>596</v>
      </c>
      <c r="AE1104" s="94">
        <f>Table3.110[[#This Row],[Gas 8h, ml]]-Table3.110[[#This Row],[Gas 0h, ml]]</f>
        <v>37.5</v>
      </c>
      <c r="AF1104" s="94">
        <f>Table3.110[[#This Row],[Gas 24h, ml]]-Table3.110[[#This Row],[V8 Push back, ml]]</f>
        <v>40</v>
      </c>
      <c r="AG1104" s="94">
        <f>Table3.110[[#This Row],[GP 8h, ml]]-(AVERAGE(AE$1087,AE$1088,AE$1121,AE$1122,AE$1157,AE$1158))*$AG$8</f>
        <v>35.361233672775342</v>
      </c>
      <c r="AH1104" s="94">
        <f>Table3.110[[#This Row],[GP 8-24h, ml]]-(AVERAGE(AF$1087,AF$1088,AF$1121,AF$1122,AF$1157,AF$1158))*$AG$8</f>
        <v>37.123728042697877</v>
      </c>
      <c r="AI1104" s="94">
        <f>Table3.110[[#This Row],[Net gas 8-24h, ml]]+Table3.110[[#This Row],[Net gas 8h, ml]]</f>
        <v>72.484961715473219</v>
      </c>
      <c r="AJ1104" s="94">
        <f>Table3.110[[#This Row],[Net gas 8h, ml]]*Table3.110[[#This Row],[CH4 8h %]]%</f>
        <v>4.6323216111335697</v>
      </c>
      <c r="AK1104" s="94">
        <f>Table3.110[[#This Row],[Net gas 8-24h, ml]]*Table3.110[[#This Row],[CH4 24h, %]]%</f>
        <v>6.0511676709597539</v>
      </c>
      <c r="AL1104" s="94">
        <f>Table3.110[[#This Row],[CH4 8-24h, ml]]+Table3.110[[#This Row],[CH4 8h, ml]]</f>
        <v>10.683489282093323</v>
      </c>
      <c r="AM1104" s="94">
        <f>(Table3.110[[#This Row],[Net gas 24h, ml]]/Table3.110[[#This Row],[DM Incubated, mg]])*1000</f>
        <v>153.10372750403997</v>
      </c>
      <c r="AN1104" s="94">
        <f>'3.2 Digest'!X1104</f>
        <v>43.582772690353067</v>
      </c>
      <c r="AO1104" s="94">
        <f>Table3.110[[#This Row],[Digested feed, mg]]/Table3.110[[#This Row],[Net gas 24h, ml]]</f>
        <v>2.8466173489605628</v>
      </c>
      <c r="AP1104" s="94">
        <f>Table3.110[[#This Row],[CH4 8h, ml]]/Table3.110[[#This Row],[Net gas 8h, ml]]%</f>
        <v>13.1</v>
      </c>
      <c r="AQ1104" s="94">
        <f>Table3.110[[#This Row],[CH4 24h, ml]]/Table3.110[[#This Row],[Net gas 24h, ml]]%</f>
        <v>14.738904497224478</v>
      </c>
      <c r="AR1104" s="94">
        <f>Table3.110[[#This Row],[CH4 24h, ml]]/Table3.110[[#This Row],[DM Incubated, mg]]*1000</f>
        <v>22.565812178511255</v>
      </c>
      <c r="AS1104" s="94">
        <f>Table3.110[[#This Row],[CH4 24h, ml]]/Table3.110[[#This Row],[Digested feed, mg]]*1000</f>
        <v>51.776908134865266</v>
      </c>
      <c r="AT1104" s="255">
        <f>Table3.110[[#This Row],[CH4 24h, ml]]/'3.2 Digest'!AA1104</f>
        <v>-1.0614847463522472</v>
      </c>
      <c r="AU1104" s="255">
        <f>((Table3.110[[#This Row],[CH4 24h, ml]]/28.9)*16.04)/Table3.110[[#This Row],[DM Incubated, mg]]*1000</f>
        <v>12.524416171049152</v>
      </c>
      <c r="AV1104" s="255">
        <f>((Table3.110[[#This Row],[CH4 24h, ml]]/28.9)*16.04)/Table3.110[[#This Row],[Digested feed, mg]]*1000</f>
        <v>28.737079809108607</v>
      </c>
    </row>
    <row r="1105" spans="2:48" x14ac:dyDescent="0.35">
      <c r="B1105" s="90">
        <f t="shared" si="17"/>
        <v>1095</v>
      </c>
      <c r="C1105" s="140">
        <v>46083</v>
      </c>
      <c r="D1105" s="6" t="s">
        <v>16</v>
      </c>
      <c r="E1105" s="6" t="s">
        <v>409</v>
      </c>
      <c r="F1105" s="242" t="s">
        <v>290</v>
      </c>
      <c r="G1105" s="242" t="s">
        <v>314</v>
      </c>
      <c r="H1105" s="6" t="s">
        <v>315</v>
      </c>
      <c r="I1105" s="133" t="s">
        <v>22</v>
      </c>
      <c r="J1105" s="135" t="s">
        <v>23</v>
      </c>
      <c r="K1105" s="135" t="s">
        <v>215</v>
      </c>
      <c r="L1105" s="6" t="s">
        <v>408</v>
      </c>
      <c r="M1105" s="256">
        <v>30</v>
      </c>
      <c r="N1105" s="256">
        <v>65</v>
      </c>
      <c r="O1105" s="256">
        <v>2</v>
      </c>
      <c r="P1105" s="257">
        <v>1</v>
      </c>
      <c r="Q1105" s="129">
        <v>19</v>
      </c>
      <c r="R1105" s="98">
        <v>0.50009999999999999</v>
      </c>
      <c r="S1105" s="94">
        <f>((Table3.110[[#This Row],[Sample weight, g]]*'2.1. DM'!Q257)/100)*1000</f>
        <v>470.17950834411772</v>
      </c>
      <c r="T1105" s="94">
        <f>'3.2 Digest'!W1105</f>
        <v>217.77950834411777</v>
      </c>
      <c r="U1105" s="153">
        <v>0.33124999999999999</v>
      </c>
      <c r="V1105" s="154">
        <v>41</v>
      </c>
      <c r="W1105" s="153">
        <v>0.6694444444444444</v>
      </c>
      <c r="X1105" s="91">
        <v>67</v>
      </c>
      <c r="Y1105" s="91">
        <v>12.3</v>
      </c>
      <c r="Z1105" s="154">
        <v>41.5</v>
      </c>
      <c r="AA1105" s="153">
        <v>0.36805555555555558</v>
      </c>
      <c r="AB1105" s="154">
        <v>91.5</v>
      </c>
      <c r="AC1105" s="154">
        <v>15.5</v>
      </c>
      <c r="AD1105" s="91"/>
      <c r="AE1105" s="94">
        <f>Table3.110[[#This Row],[Gas 8h, ml]]-Table3.110[[#This Row],[Gas 0h, ml]]</f>
        <v>26</v>
      </c>
      <c r="AF1105" s="94">
        <f>Table3.110[[#This Row],[Gas 24h, ml]]-Table3.110[[#This Row],[V8 Push back, ml]]</f>
        <v>50</v>
      </c>
      <c r="AG1105" s="94">
        <f>Table3.110[[#This Row],[GP 8h, ml]]-(AVERAGE(AE$1087,AE$1088,AE$1121,AE$1122,AE$1157,AE$1158))*$AG$8</f>
        <v>23.861233672775342</v>
      </c>
      <c r="AH1105" s="94">
        <f>Table3.110[[#This Row],[GP 8-24h, ml]]-(AVERAGE(AF$1087,AF$1088,AF$1121,AF$1122,AF$1157,AF$1158))*$AG$8</f>
        <v>47.123728042697877</v>
      </c>
      <c r="AI1105" s="94">
        <f>Table3.110[[#This Row],[Net gas 8-24h, ml]]+Table3.110[[#This Row],[Net gas 8h, ml]]</f>
        <v>70.984961715473219</v>
      </c>
      <c r="AJ1105" s="94">
        <f>Table3.110[[#This Row],[Net gas 8h, ml]]*Table3.110[[#This Row],[CH4 8h %]]%</f>
        <v>2.9349317417513672</v>
      </c>
      <c r="AK1105" s="94">
        <f>Table3.110[[#This Row],[Net gas 8-24h, ml]]*Table3.110[[#This Row],[CH4 24h, %]]%</f>
        <v>7.3041778466181713</v>
      </c>
      <c r="AL1105" s="94">
        <f>Table3.110[[#This Row],[CH4 8-24h, ml]]+Table3.110[[#This Row],[CH4 8h, ml]]</f>
        <v>10.239109588369539</v>
      </c>
      <c r="AM1105" s="94">
        <f>(Table3.110[[#This Row],[Net gas 24h, ml]]/Table3.110[[#This Row],[DM Incubated, mg]])*1000</f>
        <v>150.97417147222913</v>
      </c>
      <c r="AN1105" s="94">
        <f>'3.2 Digest'!X1105</f>
        <v>46.31837510551992</v>
      </c>
      <c r="AO1105" s="94">
        <f>Table3.110[[#This Row],[Digested feed, mg]]/Table3.110[[#This Row],[Net gas 24h, ml]]</f>
        <v>3.0679668352437308</v>
      </c>
      <c r="AP1105" s="94">
        <f>Table3.110[[#This Row],[CH4 8h, ml]]/Table3.110[[#This Row],[Net gas 8h, ml]]%</f>
        <v>12.3</v>
      </c>
      <c r="AQ1105" s="94">
        <f>Table3.110[[#This Row],[CH4 24h, ml]]/Table3.110[[#This Row],[Net gas 24h, ml]]%</f>
        <v>14.424336283240722</v>
      </c>
      <c r="AR1105" s="94">
        <f>Table3.110[[#This Row],[CH4 24h, ml]]/Table3.110[[#This Row],[DM Incubated, mg]]*1000</f>
        <v>21.77702219399081</v>
      </c>
      <c r="AS1105" s="94">
        <f>Table3.110[[#This Row],[CH4 24h, ml]]/Table3.110[[#This Row],[Digested feed, mg]]*1000</f>
        <v>47.01594592724728</v>
      </c>
      <c r="AT1105" s="255">
        <f>Table3.110[[#This Row],[CH4 24h, ml]]/'3.2 Digest'!AA1105</f>
        <v>-0.54741957167278243</v>
      </c>
      <c r="AU1105" s="255">
        <f>((Table3.110[[#This Row],[CH4 24h, ml]]/28.9)*16.04)/Table3.110[[#This Row],[DM Incubated, mg]]*1000</f>
        <v>12.08662408275476</v>
      </c>
      <c r="AV1105" s="255">
        <f>((Table3.110[[#This Row],[CH4 24h, ml]]/28.9)*16.04)/Table3.110[[#This Row],[Digested feed, mg]]*1000</f>
        <v>26.09466341429226</v>
      </c>
    </row>
    <row r="1106" spans="2:48" x14ac:dyDescent="0.35">
      <c r="B1106" s="90">
        <f t="shared" si="17"/>
        <v>1096</v>
      </c>
      <c r="C1106" s="140">
        <v>46083</v>
      </c>
      <c r="D1106" s="6" t="s">
        <v>16</v>
      </c>
      <c r="E1106" s="6" t="s">
        <v>409</v>
      </c>
      <c r="F1106" s="242" t="s">
        <v>290</v>
      </c>
      <c r="G1106" s="242" t="s">
        <v>314</v>
      </c>
      <c r="H1106" s="6" t="s">
        <v>315</v>
      </c>
      <c r="I1106" s="133" t="s">
        <v>22</v>
      </c>
      <c r="J1106" s="135" t="s">
        <v>23</v>
      </c>
      <c r="K1106" s="135" t="s">
        <v>215</v>
      </c>
      <c r="L1106" s="6" t="s">
        <v>408</v>
      </c>
      <c r="M1106" s="256">
        <v>30</v>
      </c>
      <c r="N1106" s="256">
        <v>65</v>
      </c>
      <c r="O1106" s="256">
        <v>2</v>
      </c>
      <c r="P1106" s="257">
        <v>2</v>
      </c>
      <c r="Q1106" s="6">
        <v>20</v>
      </c>
      <c r="R1106" s="98">
        <v>0.5</v>
      </c>
      <c r="S1106" s="94">
        <f>((Table3.110[[#This Row],[Sample weight, g]]*'2.1. DM'!Q257)/100)*1000</f>
        <v>470.08549124586858</v>
      </c>
      <c r="T1106" s="94">
        <f>'3.2 Digest'!W1106</f>
        <v>241.38549124586856</v>
      </c>
      <c r="U1106" s="117">
        <v>0.33124999999999999</v>
      </c>
      <c r="V1106" s="155">
        <v>41</v>
      </c>
      <c r="W1106" s="117">
        <v>0.67013888888888884</v>
      </c>
      <c r="X1106" s="96">
        <v>69</v>
      </c>
      <c r="Y1106" s="96">
        <v>11.7</v>
      </c>
      <c r="Z1106" s="155">
        <v>41</v>
      </c>
      <c r="AA1106" s="117">
        <v>0.36875000000000002</v>
      </c>
      <c r="AB1106" s="155">
        <v>91</v>
      </c>
      <c r="AC1106" s="155">
        <v>15.1</v>
      </c>
      <c r="AD1106" s="96"/>
      <c r="AE1106" s="94">
        <f>Table3.110[[#This Row],[Gas 8h, ml]]-Table3.110[[#This Row],[Gas 0h, ml]]</f>
        <v>28</v>
      </c>
      <c r="AF1106" s="94">
        <f>Table3.110[[#This Row],[Gas 24h, ml]]-Table3.110[[#This Row],[V8 Push back, ml]]</f>
        <v>50</v>
      </c>
      <c r="AG1106" s="94">
        <f>Table3.110[[#This Row],[GP 8h, ml]]-(AVERAGE(AE$1087,AE$1088,AE$1121,AE$1122,AE$1157,AE$1158))*$AG$8</f>
        <v>25.861233672775342</v>
      </c>
      <c r="AH1106" s="94">
        <f>Table3.110[[#This Row],[GP 8-24h, ml]]-(AVERAGE(AF$1087,AF$1088,AF$1121,AF$1122,AF$1157,AF$1158))*$AG$8</f>
        <v>47.123728042697877</v>
      </c>
      <c r="AI1106" s="94">
        <f>Table3.110[[#This Row],[Net gas 8-24h, ml]]+Table3.110[[#This Row],[Net gas 8h, ml]]</f>
        <v>72.984961715473219</v>
      </c>
      <c r="AJ1106" s="94">
        <f>Table3.110[[#This Row],[Net gas 8h, ml]]*Table3.110[[#This Row],[CH4 8h %]]%</f>
        <v>3.0257643397147147</v>
      </c>
      <c r="AK1106" s="94">
        <f>Table3.110[[#This Row],[Net gas 8-24h, ml]]*Table3.110[[#This Row],[CH4 24h, %]]%</f>
        <v>7.1156829344473795</v>
      </c>
      <c r="AL1106" s="94">
        <f>Table3.110[[#This Row],[CH4 8-24h, ml]]+Table3.110[[#This Row],[CH4 8h, ml]]</f>
        <v>10.141447274162093</v>
      </c>
      <c r="AM1106" s="94">
        <f>(Table3.110[[#This Row],[Net gas 24h, ml]]/Table3.110[[#This Row],[DM Incubated, mg]])*1000</f>
        <v>155.25891156955518</v>
      </c>
      <c r="AN1106" s="94">
        <f>'3.2 Digest'!X1106</f>
        <v>51.34927491723348</v>
      </c>
      <c r="AO1106" s="94">
        <f>Table3.110[[#This Row],[Digested feed, mg]]/Table3.110[[#This Row],[Net gas 24h, ml]]</f>
        <v>3.3073318882716287</v>
      </c>
      <c r="AP1106" s="94">
        <f>Table3.110[[#This Row],[CH4 8h, ml]]/Table3.110[[#This Row],[Net gas 8h, ml]]%</f>
        <v>11.7</v>
      </c>
      <c r="AQ1106" s="94">
        <f>Table3.110[[#This Row],[CH4 24h, ml]]/Table3.110[[#This Row],[Net gas 24h, ml]]%</f>
        <v>13.895256003144619</v>
      </c>
      <c r="AR1106" s="94">
        <f>Table3.110[[#This Row],[CH4 24h, ml]]/Table3.110[[#This Row],[DM Incubated, mg]]*1000</f>
        <v>21.573623230285609</v>
      </c>
      <c r="AS1106" s="94">
        <f>Table3.110[[#This Row],[CH4 24h, ml]]/Table3.110[[#This Row],[Digested feed, mg]]*1000</f>
        <v>42.013491456420205</v>
      </c>
      <c r="AT1106" s="255">
        <f>Table3.110[[#This Row],[CH4 24h, ml]]/'3.2 Digest'!AA1106</f>
        <v>-1.3379812515170371</v>
      </c>
      <c r="AU1106" s="255">
        <f>((Table3.110[[#This Row],[CH4 24h, ml]]/28.9)*16.04)/Table3.110[[#This Row],[DM Incubated, mg]]*1000</f>
        <v>11.973734138885163</v>
      </c>
      <c r="AV1106" s="255">
        <f>((Table3.110[[#This Row],[CH4 24h, ml]]/28.9)*16.04)/Table3.110[[#This Row],[Digested feed, mg]]*1000</f>
        <v>23.318214635328033</v>
      </c>
    </row>
    <row r="1107" spans="2:48" x14ac:dyDescent="0.35">
      <c r="B1107" s="90">
        <f t="shared" si="17"/>
        <v>1097</v>
      </c>
      <c r="C1107" s="140">
        <v>46083</v>
      </c>
      <c r="D1107" s="6" t="s">
        <v>16</v>
      </c>
      <c r="E1107" s="6" t="s">
        <v>411</v>
      </c>
      <c r="F1107" s="242" t="s">
        <v>264</v>
      </c>
      <c r="G1107" s="242" t="s">
        <v>412</v>
      </c>
      <c r="H1107" s="6" t="s">
        <v>413</v>
      </c>
      <c r="I1107" s="133" t="s">
        <v>22</v>
      </c>
      <c r="J1107" s="135" t="s">
        <v>23</v>
      </c>
      <c r="K1107" s="135" t="s">
        <v>215</v>
      </c>
      <c r="L1107" s="6" t="s">
        <v>410</v>
      </c>
      <c r="M1107" s="256">
        <v>30</v>
      </c>
      <c r="N1107" s="256">
        <v>65</v>
      </c>
      <c r="O1107" s="256">
        <v>2</v>
      </c>
      <c r="P1107" s="257">
        <v>1</v>
      </c>
      <c r="Q1107" s="129">
        <v>21</v>
      </c>
      <c r="R1107" s="98">
        <v>0.5</v>
      </c>
      <c r="S1107" s="94">
        <f>((Table3.110[[#This Row],[Sample weight, g]]*'2.1. DM'!Q259)/100)*1000</f>
        <v>475.37870188186133</v>
      </c>
      <c r="T1107" s="94">
        <f>'3.2 Digest'!W1107</f>
        <v>244.87870188186142</v>
      </c>
      <c r="U1107" s="117">
        <v>0.33194444444444443</v>
      </c>
      <c r="V1107" s="155">
        <v>41</v>
      </c>
      <c r="W1107" s="117">
        <v>0.67013888888888884</v>
      </c>
      <c r="X1107" s="96">
        <v>87.5</v>
      </c>
      <c r="Y1107" s="96">
        <v>14.3</v>
      </c>
      <c r="Z1107" s="155">
        <v>40.5</v>
      </c>
      <c r="AA1107" s="117">
        <v>0.36875000000000002</v>
      </c>
      <c r="AB1107" s="155">
        <v>85</v>
      </c>
      <c r="AC1107" s="155">
        <v>18.600000000000001</v>
      </c>
      <c r="AD1107" s="96"/>
      <c r="AE1107" s="94">
        <f>Table3.110[[#This Row],[Gas 8h, ml]]-Table3.110[[#This Row],[Gas 0h, ml]]</f>
        <v>46.5</v>
      </c>
      <c r="AF1107" s="94">
        <f>Table3.110[[#This Row],[Gas 24h, ml]]-Table3.110[[#This Row],[V8 Push back, ml]]</f>
        <v>44.5</v>
      </c>
      <c r="AG1107" s="94">
        <f>Table3.110[[#This Row],[GP 8h, ml]]-(AVERAGE(AE$1087,AE$1088,AE$1121,AE$1122,AE$1157,AE$1158))*$AG$8</f>
        <v>44.361233672775342</v>
      </c>
      <c r="AH1107" s="94">
        <f>Table3.110[[#This Row],[GP 8-24h, ml]]-(AVERAGE(AF$1087,AF$1088,AF$1121,AF$1122,AF$1157,AF$1158))*$AG$8</f>
        <v>41.623728042697877</v>
      </c>
      <c r="AI1107" s="94">
        <f>Table3.110[[#This Row],[Net gas 8-24h, ml]]+Table3.110[[#This Row],[Net gas 8h, ml]]</f>
        <v>85.984961715473219</v>
      </c>
      <c r="AJ1107" s="94">
        <f>Table3.110[[#This Row],[Net gas 8h, ml]]*Table3.110[[#This Row],[CH4 8h %]]%</f>
        <v>6.3436564152068744</v>
      </c>
      <c r="AK1107" s="94">
        <f>Table3.110[[#This Row],[Net gas 8-24h, ml]]*Table3.110[[#This Row],[CH4 24h, %]]%</f>
        <v>7.7420134159418064</v>
      </c>
      <c r="AL1107" s="94">
        <f>Table3.110[[#This Row],[CH4 8-24h, ml]]+Table3.110[[#This Row],[CH4 8h, ml]]</f>
        <v>14.085669831148682</v>
      </c>
      <c r="AM1107" s="94">
        <f>(Table3.110[[#This Row],[Net gas 24h, ml]]/Table3.110[[#This Row],[DM Incubated, mg]])*1000</f>
        <v>180.87676493517321</v>
      </c>
      <c r="AN1107" s="94">
        <f>'3.2 Digest'!X1107</f>
        <v>51.512341826100027</v>
      </c>
      <c r="AO1107" s="94">
        <f>Table3.110[[#This Row],[Digested feed, mg]]/Table3.110[[#This Row],[Net gas 24h, ml]]</f>
        <v>2.8479247649393891</v>
      </c>
      <c r="AP1107" s="94">
        <f>Table3.110[[#This Row],[CH4 8h, ml]]/Table3.110[[#This Row],[Net gas 8h, ml]]%</f>
        <v>14.3</v>
      </c>
      <c r="AQ1107" s="94">
        <f>Table3.110[[#This Row],[CH4 24h, ml]]/Table3.110[[#This Row],[Net gas 24h, ml]]%</f>
        <v>16.381550389890943</v>
      </c>
      <c r="AR1107" s="94">
        <f>Table3.110[[#This Row],[CH4 24h, ml]]/Table3.110[[#This Row],[DM Incubated, mg]]*1000</f>
        <v>29.630418391459994</v>
      </c>
      <c r="AS1107" s="94">
        <f>Table3.110[[#This Row],[CH4 24h, ml]]/Table3.110[[#This Row],[Digested feed, mg]]*1000</f>
        <v>57.521008249807416</v>
      </c>
      <c r="AT1107" s="255">
        <f>Table3.110[[#This Row],[CH4 24h, ml]]/'3.2 Digest'!AA1107</f>
        <v>2.1503671331345897</v>
      </c>
      <c r="AU1107" s="255">
        <f>((Table3.110[[#This Row],[CH4 24h, ml]]/28.9)*16.04)/Table3.110[[#This Row],[DM Incubated, mg]]*1000</f>
        <v>16.445394844256686</v>
      </c>
      <c r="AV1107" s="255">
        <f>((Table3.110[[#This Row],[CH4 24h, ml]]/28.9)*16.04)/Table3.110[[#This Row],[Digested feed, mg]]*1000</f>
        <v>31.925154751796228</v>
      </c>
    </row>
    <row r="1108" spans="2:48" x14ac:dyDescent="0.35">
      <c r="B1108" s="90">
        <f t="shared" si="17"/>
        <v>1098</v>
      </c>
      <c r="C1108" s="140">
        <v>46083</v>
      </c>
      <c r="D1108" s="6" t="s">
        <v>16</v>
      </c>
      <c r="E1108" s="6" t="s">
        <v>411</v>
      </c>
      <c r="F1108" s="242" t="s">
        <v>264</v>
      </c>
      <c r="G1108" s="242" t="s">
        <v>412</v>
      </c>
      <c r="H1108" s="6" t="s">
        <v>413</v>
      </c>
      <c r="I1108" s="133" t="s">
        <v>22</v>
      </c>
      <c r="J1108" s="135" t="s">
        <v>23</v>
      </c>
      <c r="K1108" s="135" t="s">
        <v>215</v>
      </c>
      <c r="L1108" s="6" t="s">
        <v>410</v>
      </c>
      <c r="M1108" s="256">
        <v>30</v>
      </c>
      <c r="N1108" s="256">
        <v>65</v>
      </c>
      <c r="O1108" s="256">
        <v>2</v>
      </c>
      <c r="P1108" s="257">
        <v>2</v>
      </c>
      <c r="Q1108" s="6">
        <v>22</v>
      </c>
      <c r="R1108" s="98">
        <v>0.50019999999999998</v>
      </c>
      <c r="S1108" s="94">
        <f>((Table3.110[[#This Row],[Sample weight, g]]*'2.1. DM'!Q259)/100)*1000</f>
        <v>475.56885336261399</v>
      </c>
      <c r="T1108" s="94">
        <f>'3.2 Digest'!W1108</f>
        <v>240.06885336261394</v>
      </c>
      <c r="U1108" s="153">
        <v>0.33194444444444443</v>
      </c>
      <c r="V1108" s="154">
        <v>40.5</v>
      </c>
      <c r="W1108" s="153">
        <v>0.67083333333333328</v>
      </c>
      <c r="X1108" s="91">
        <v>87.5</v>
      </c>
      <c r="Y1108" s="91">
        <v>14.1</v>
      </c>
      <c r="Z1108" s="154">
        <v>41.5</v>
      </c>
      <c r="AA1108" s="153">
        <v>0.36944444444444446</v>
      </c>
      <c r="AB1108" s="154">
        <v>86</v>
      </c>
      <c r="AC1108" s="154">
        <v>18.5</v>
      </c>
      <c r="AD1108" s="91"/>
      <c r="AE1108" s="94">
        <f>Table3.110[[#This Row],[Gas 8h, ml]]-Table3.110[[#This Row],[Gas 0h, ml]]</f>
        <v>47</v>
      </c>
      <c r="AF1108" s="94">
        <f>Table3.110[[#This Row],[Gas 24h, ml]]-Table3.110[[#This Row],[V8 Push back, ml]]</f>
        <v>44.5</v>
      </c>
      <c r="AG1108" s="94">
        <f>Table3.110[[#This Row],[GP 8h, ml]]-(AVERAGE(AE$1087,AE$1088,AE$1121,AE$1122,AE$1157,AE$1158))*$AG$8</f>
        <v>44.861233672775342</v>
      </c>
      <c r="AH1108" s="94">
        <f>Table3.110[[#This Row],[GP 8-24h, ml]]-(AVERAGE(AF$1087,AF$1088,AF$1121,AF$1122,AF$1157,AF$1158))*$AG$8</f>
        <v>41.623728042697877</v>
      </c>
      <c r="AI1108" s="94">
        <f>Table3.110[[#This Row],[Net gas 8-24h, ml]]+Table3.110[[#This Row],[Net gas 8h, ml]]</f>
        <v>86.484961715473219</v>
      </c>
      <c r="AJ1108" s="94">
        <f>Table3.110[[#This Row],[Net gas 8h, ml]]*Table3.110[[#This Row],[CH4 8h %]]%</f>
        <v>6.3254339478613222</v>
      </c>
      <c r="AK1108" s="94">
        <f>Table3.110[[#This Row],[Net gas 8-24h, ml]]*Table3.110[[#This Row],[CH4 24h, %]]%</f>
        <v>7.7003896878991069</v>
      </c>
      <c r="AL1108" s="94">
        <f>Table3.110[[#This Row],[CH4 8-24h, ml]]+Table3.110[[#This Row],[CH4 8h, ml]]</f>
        <v>14.025823635760428</v>
      </c>
      <c r="AM1108" s="94">
        <f>(Table3.110[[#This Row],[Net gas 24h, ml]]/Table3.110[[#This Row],[DM Incubated, mg]])*1000</f>
        <v>181.85581562787871</v>
      </c>
      <c r="AN1108" s="94">
        <f>'3.2 Digest'!X1108</f>
        <v>50.48035666447759</v>
      </c>
      <c r="AO1108" s="94">
        <f>Table3.110[[#This Row],[Digested feed, mg]]/Table3.110[[#This Row],[Net gas 24h, ml]]</f>
        <v>2.7758450556111267</v>
      </c>
      <c r="AP1108" s="94">
        <f>Table3.110[[#This Row],[CH4 8h, ml]]/Table3.110[[#This Row],[Net gas 8h, ml]]%</f>
        <v>14.099999999999998</v>
      </c>
      <c r="AQ1108" s="94">
        <f>Table3.110[[#This Row],[CH4 24h, ml]]/Table3.110[[#This Row],[Net gas 24h, ml]]%</f>
        <v>16.217644498593838</v>
      </c>
      <c r="AR1108" s="94">
        <f>Table3.110[[#This Row],[CH4 24h, ml]]/Table3.110[[#This Row],[DM Incubated, mg]]*1000</f>
        <v>29.492729678547622</v>
      </c>
      <c r="AS1108" s="94">
        <f>Table3.110[[#This Row],[CH4 24h, ml]]/Table3.110[[#This Row],[Digested feed, mg]]*1000</f>
        <v>58.424170563163436</v>
      </c>
      <c r="AT1108" s="255">
        <f>Table3.110[[#This Row],[CH4 24h, ml]]/'3.2 Digest'!AA1108</f>
        <v>3.0748783015867791</v>
      </c>
      <c r="AU1108" s="255">
        <f>((Table3.110[[#This Row],[CH4 24h, ml]]/28.9)*16.04)/Table3.110[[#This Row],[DM Incubated, mg]]*1000</f>
        <v>16.36897522643266</v>
      </c>
      <c r="AV1108" s="255">
        <f>((Table3.110[[#This Row],[CH4 24h, ml]]/28.9)*16.04)/Table3.110[[#This Row],[Digested feed, mg]]*1000</f>
        <v>32.426425461354377</v>
      </c>
    </row>
    <row r="1109" spans="2:48" x14ac:dyDescent="0.35">
      <c r="B1109" s="90">
        <f t="shared" si="17"/>
        <v>1099</v>
      </c>
      <c r="C1109" s="140">
        <v>46083</v>
      </c>
      <c r="D1109" s="6" t="s">
        <v>16</v>
      </c>
      <c r="E1109" s="6" t="s">
        <v>415</v>
      </c>
      <c r="F1109" s="242" t="s">
        <v>235</v>
      </c>
      <c r="G1109" s="242" t="s">
        <v>274</v>
      </c>
      <c r="H1109" s="6" t="s">
        <v>275</v>
      </c>
      <c r="I1109" s="133" t="s">
        <v>22</v>
      </c>
      <c r="J1109" s="135" t="s">
        <v>23</v>
      </c>
      <c r="K1109" s="135" t="s">
        <v>215</v>
      </c>
      <c r="L1109" s="6" t="s">
        <v>414</v>
      </c>
      <c r="M1109" s="256">
        <v>30</v>
      </c>
      <c r="N1109" s="256">
        <v>65</v>
      </c>
      <c r="O1109" s="256">
        <v>2</v>
      </c>
      <c r="P1109" s="257">
        <v>1</v>
      </c>
      <c r="Q1109" s="129">
        <v>23</v>
      </c>
      <c r="R1109" s="98">
        <v>0.5</v>
      </c>
      <c r="S1109" s="94">
        <f>((Table3.110[[#This Row],[Sample weight, g]]*'2.1. DM'!Q261)/100)*1000</f>
        <v>473.62894434411743</v>
      </c>
      <c r="T1109" s="94">
        <f>'3.2 Digest'!W1109</f>
        <v>204.82894434411742</v>
      </c>
      <c r="U1109" s="153">
        <v>0.33263888888888887</v>
      </c>
      <c r="V1109" s="154">
        <v>40</v>
      </c>
      <c r="W1109" s="153">
        <v>0.67152777777777772</v>
      </c>
      <c r="X1109" s="91">
        <v>81.5</v>
      </c>
      <c r="Y1109" s="91">
        <v>11.9</v>
      </c>
      <c r="Z1109" s="154">
        <v>40</v>
      </c>
      <c r="AA1109" s="153">
        <v>0.37013888888888891</v>
      </c>
      <c r="AB1109" s="154">
        <v>81.5</v>
      </c>
      <c r="AC1109" s="154">
        <v>17.2</v>
      </c>
      <c r="AD1109" s="91" t="s">
        <v>597</v>
      </c>
      <c r="AE1109" s="94">
        <f>Table3.110[[#This Row],[Gas 8h, ml]]-Table3.110[[#This Row],[Gas 0h, ml]]</f>
        <v>41.5</v>
      </c>
      <c r="AF1109" s="94">
        <f>Table3.110[[#This Row],[Gas 24h, ml]]-Table3.110[[#This Row],[V8 Push back, ml]]</f>
        <v>41.5</v>
      </c>
      <c r="AG1109" s="94">
        <f>Table3.110[[#This Row],[GP 8h, ml]]-(AVERAGE(AE$1087,AE$1088,AE$1121,AE$1122,AE$1157,AE$1158))*$AG$8</f>
        <v>39.361233672775342</v>
      </c>
      <c r="AH1109" s="94">
        <f>Table3.110[[#This Row],[GP 8-24h, ml]]-(AVERAGE(AF$1087,AF$1088,AF$1121,AF$1122,AF$1157,AF$1158))*$AG$8</f>
        <v>38.623728042697877</v>
      </c>
      <c r="AI1109" s="94">
        <f>Table3.110[[#This Row],[Net gas 8-24h, ml]]+Table3.110[[#This Row],[Net gas 8h, ml]]</f>
        <v>77.984961715473219</v>
      </c>
      <c r="AJ1109" s="94">
        <f>Table3.110[[#This Row],[Net gas 8h, ml]]*Table3.110[[#This Row],[CH4 8h %]]%</f>
        <v>4.6839868070602657</v>
      </c>
      <c r="AK1109" s="94">
        <f>Table3.110[[#This Row],[Net gas 8-24h, ml]]*Table3.110[[#This Row],[CH4 24h, %]]%</f>
        <v>6.6432812233440339</v>
      </c>
      <c r="AL1109" s="94">
        <f>Table3.110[[#This Row],[CH4 8-24h, ml]]+Table3.110[[#This Row],[CH4 8h, ml]]</f>
        <v>11.3272680304043</v>
      </c>
      <c r="AM1109" s="94">
        <f>(Table3.110[[#This Row],[Net gas 24h, ml]]/Table3.110[[#This Row],[DM Incubated, mg]])*1000</f>
        <v>164.65412987685326</v>
      </c>
      <c r="AN1109" s="94">
        <f>'3.2 Digest'!X1109</f>
        <v>43.246711754021931</v>
      </c>
      <c r="AO1109" s="94">
        <f>Table3.110[[#This Row],[Digested feed, mg]]/Table3.110[[#This Row],[Net gas 24h, ml]]</f>
        <v>2.6265184958534991</v>
      </c>
      <c r="AP1109" s="94">
        <f>Table3.110[[#This Row],[CH4 8h, ml]]/Table3.110[[#This Row],[Net gas 8h, ml]]%</f>
        <v>11.9</v>
      </c>
      <c r="AQ1109" s="94">
        <f>Table3.110[[#This Row],[CH4 24h, ml]]/Table3.110[[#This Row],[Net gas 24h, ml]]%</f>
        <v>14.524938887232695</v>
      </c>
      <c r="AR1109" s="94">
        <f>Table3.110[[#This Row],[CH4 24h, ml]]/Table3.110[[#This Row],[DM Incubated, mg]]*1000</f>
        <v>23.915911739917689</v>
      </c>
      <c r="AS1109" s="94">
        <f>Table3.110[[#This Row],[CH4 24h, ml]]/Table3.110[[#This Row],[Digested feed, mg]]*1000</f>
        <v>55.301110234568334</v>
      </c>
      <c r="AT1109" s="255">
        <f>Table3.110[[#This Row],[CH4 24h, ml]]/'3.2 Digest'!AA1109</f>
        <v>-0.52285315287520162</v>
      </c>
      <c r="AU1109" s="255">
        <f>((Table3.110[[#This Row],[CH4 24h, ml]]/28.9)*16.04)/Table3.110[[#This Row],[DM Incubated, mg]]*1000</f>
        <v>13.273744785753625</v>
      </c>
      <c r="AV1109" s="255">
        <f>((Table3.110[[#This Row],[CH4 24h, ml]]/28.9)*16.04)/Table3.110[[#This Row],[Digested feed, mg]]*1000</f>
        <v>30.69307294679848</v>
      </c>
    </row>
    <row r="1110" spans="2:48" x14ac:dyDescent="0.35">
      <c r="B1110" s="90">
        <f t="shared" si="17"/>
        <v>1100</v>
      </c>
      <c r="C1110" s="140">
        <v>46083</v>
      </c>
      <c r="D1110" s="6" t="s">
        <v>16</v>
      </c>
      <c r="E1110" s="6" t="s">
        <v>415</v>
      </c>
      <c r="F1110" s="242" t="s">
        <v>235</v>
      </c>
      <c r="G1110" s="242" t="s">
        <v>274</v>
      </c>
      <c r="H1110" s="6" t="s">
        <v>275</v>
      </c>
      <c r="I1110" s="133" t="s">
        <v>22</v>
      </c>
      <c r="J1110" s="135" t="s">
        <v>23</v>
      </c>
      <c r="K1110" s="135" t="s">
        <v>215</v>
      </c>
      <c r="L1110" s="6" t="s">
        <v>414</v>
      </c>
      <c r="M1110" s="256">
        <v>30</v>
      </c>
      <c r="N1110" s="256">
        <v>65</v>
      </c>
      <c r="O1110" s="256">
        <v>2</v>
      </c>
      <c r="P1110" s="257">
        <v>2</v>
      </c>
      <c r="Q1110" s="6">
        <v>24</v>
      </c>
      <c r="R1110" s="98">
        <v>0.5</v>
      </c>
      <c r="S1110" s="94">
        <f>((Table3.110[[#This Row],[Sample weight, g]]*'2.1. DM'!Q261)/100)*1000</f>
        <v>473.62894434411743</v>
      </c>
      <c r="T1110" s="94">
        <f>'3.2 Digest'!W1110</f>
        <v>215.92894434411738</v>
      </c>
      <c r="U1110" s="117">
        <v>0.33263888888888887</v>
      </c>
      <c r="V1110" s="155">
        <v>41.5</v>
      </c>
      <c r="W1110" s="117">
        <v>0.67222222222222228</v>
      </c>
      <c r="X1110" s="96">
        <v>83</v>
      </c>
      <c r="Y1110" s="96">
        <v>11.3</v>
      </c>
      <c r="Z1110" s="155">
        <v>40.5</v>
      </c>
      <c r="AA1110" s="117">
        <v>0.37083333333333335</v>
      </c>
      <c r="AB1110" s="155">
        <v>81.5</v>
      </c>
      <c r="AC1110" s="155">
        <v>17.100000000000001</v>
      </c>
      <c r="AD1110" s="96"/>
      <c r="AE1110" s="94">
        <f>Table3.110[[#This Row],[Gas 8h, ml]]-Table3.110[[#This Row],[Gas 0h, ml]]</f>
        <v>41.5</v>
      </c>
      <c r="AF1110" s="94">
        <f>Table3.110[[#This Row],[Gas 24h, ml]]-Table3.110[[#This Row],[V8 Push back, ml]]</f>
        <v>41</v>
      </c>
      <c r="AG1110" s="94">
        <f>Table3.110[[#This Row],[GP 8h, ml]]-(AVERAGE(AE$1087,AE$1088,AE$1121,AE$1122,AE$1157,AE$1158))*$AG$8</f>
        <v>39.361233672775342</v>
      </c>
      <c r="AH1110" s="94">
        <f>Table3.110[[#This Row],[GP 8-24h, ml]]-(AVERAGE(AF$1087,AF$1088,AF$1121,AF$1122,AF$1157,AF$1158))*$AG$8</f>
        <v>38.123728042697877</v>
      </c>
      <c r="AI1110" s="94">
        <f>Table3.110[[#This Row],[Net gas 8-24h, ml]]+Table3.110[[#This Row],[Net gas 8h, ml]]</f>
        <v>77.484961715473219</v>
      </c>
      <c r="AJ1110" s="94">
        <f>Table3.110[[#This Row],[Net gas 8h, ml]]*Table3.110[[#This Row],[CH4 8h %]]%</f>
        <v>4.4478194050236137</v>
      </c>
      <c r="AK1110" s="94">
        <f>Table3.110[[#This Row],[Net gas 8-24h, ml]]*Table3.110[[#This Row],[CH4 24h, %]]%</f>
        <v>6.5191574953013376</v>
      </c>
      <c r="AL1110" s="94">
        <f>Table3.110[[#This Row],[CH4 8-24h, ml]]+Table3.110[[#This Row],[CH4 8h, ml]]</f>
        <v>10.966976900324951</v>
      </c>
      <c r="AM1110" s="94">
        <f>(Table3.110[[#This Row],[Net gas 24h, ml]]/Table3.110[[#This Row],[DM Incubated, mg]])*1000</f>
        <v>163.5984511520397</v>
      </c>
      <c r="AN1110" s="94">
        <f>'3.2 Digest'!X1110</f>
        <v>45.590318523108067</v>
      </c>
      <c r="AO1110" s="94">
        <f>Table3.110[[#This Row],[Digested feed, mg]]/Table3.110[[#This Row],[Net gas 24h, ml]]</f>
        <v>2.7867206689346258</v>
      </c>
      <c r="AP1110" s="94">
        <f>Table3.110[[#This Row],[CH4 8h, ml]]/Table3.110[[#This Row],[Net gas 8h, ml]]%</f>
        <v>11.3</v>
      </c>
      <c r="AQ1110" s="94">
        <f>Table3.110[[#This Row],[CH4 24h, ml]]/Table3.110[[#This Row],[Net gas 24h, ml]]%</f>
        <v>14.153684350514327</v>
      </c>
      <c r="AR1110" s="94">
        <f>Table3.110[[#This Row],[CH4 24h, ml]]/Table3.110[[#This Row],[DM Incubated, mg]]*1000</f>
        <v>23.155208378390068</v>
      </c>
      <c r="AS1110" s="94">
        <f>Table3.110[[#This Row],[CH4 24h, ml]]/Table3.110[[#This Row],[Digested feed, mg]]*1000</f>
        <v>50.789749070635551</v>
      </c>
      <c r="AT1110" s="255">
        <f>Table3.110[[#This Row],[CH4 24h, ml]]/'3.2 Digest'!AA1110</f>
        <v>-0.65906308198285768</v>
      </c>
      <c r="AU1110" s="255">
        <f>((Table3.110[[#This Row],[CH4 24h, ml]]/28.9)*16.04)/Table3.110[[#This Row],[DM Incubated, mg]]*1000</f>
        <v>12.851541259147984</v>
      </c>
      <c r="AV1110" s="255">
        <f>((Table3.110[[#This Row],[CH4 24h, ml]]/28.9)*16.04)/Table3.110[[#This Row],[Digested feed, mg]]*1000</f>
        <v>28.189189449584575</v>
      </c>
    </row>
    <row r="1111" spans="2:48" x14ac:dyDescent="0.35">
      <c r="B1111" s="90">
        <f t="shared" si="17"/>
        <v>1101</v>
      </c>
      <c r="C1111" s="140">
        <v>46083</v>
      </c>
      <c r="D1111" s="6" t="s">
        <v>16</v>
      </c>
      <c r="E1111" s="6" t="s">
        <v>417</v>
      </c>
      <c r="F1111" s="242" t="s">
        <v>290</v>
      </c>
      <c r="G1111" s="242" t="s">
        <v>291</v>
      </c>
      <c r="H1111" s="6" t="s">
        <v>292</v>
      </c>
      <c r="I1111" s="133" t="s">
        <v>22</v>
      </c>
      <c r="J1111" s="135" t="s">
        <v>23</v>
      </c>
      <c r="K1111" s="135" t="s">
        <v>215</v>
      </c>
      <c r="L1111" s="6" t="s">
        <v>416</v>
      </c>
      <c r="M1111" s="256">
        <v>30</v>
      </c>
      <c r="N1111" s="256">
        <v>65</v>
      </c>
      <c r="O1111" s="256">
        <v>2</v>
      </c>
      <c r="P1111" s="257">
        <v>1</v>
      </c>
      <c r="Q1111" s="129">
        <v>25</v>
      </c>
      <c r="R1111" s="98">
        <v>0.50009999999999999</v>
      </c>
      <c r="S1111" s="94">
        <f>((Table3.110[[#This Row],[Sample weight, g]]*'2.1. DM'!Q263)/100)*1000</f>
        <v>467.68472263868046</v>
      </c>
      <c r="T1111" s="94">
        <f>'3.2 Digest'!W1111</f>
        <v>246.28472263868042</v>
      </c>
      <c r="U1111" s="117">
        <v>0.33263888888888887</v>
      </c>
      <c r="V1111" s="155">
        <v>40.5</v>
      </c>
      <c r="W1111" s="117">
        <v>0.67222222222222228</v>
      </c>
      <c r="X1111" s="96">
        <v>81.5</v>
      </c>
      <c r="Y1111" s="96">
        <v>13</v>
      </c>
      <c r="Z1111" s="155">
        <v>40</v>
      </c>
      <c r="AA1111" s="117">
        <v>0.37083333333333335</v>
      </c>
      <c r="AB1111" s="155">
        <v>94.5</v>
      </c>
      <c r="AC1111" s="155">
        <v>16.8</v>
      </c>
      <c r="AD1111" s="96"/>
      <c r="AE1111" s="94">
        <f>Table3.110[[#This Row],[Gas 8h, ml]]-Table3.110[[#This Row],[Gas 0h, ml]]</f>
        <v>41</v>
      </c>
      <c r="AF1111" s="94">
        <f>Table3.110[[#This Row],[Gas 24h, ml]]-Table3.110[[#This Row],[V8 Push back, ml]]</f>
        <v>54.5</v>
      </c>
      <c r="AG1111" s="94">
        <f>Table3.110[[#This Row],[GP 8h, ml]]-(AVERAGE(AE$1087,AE$1088,AE$1121,AE$1122,AE$1157,AE$1158))*$AG$8</f>
        <v>38.861233672775342</v>
      </c>
      <c r="AH1111" s="94">
        <f>Table3.110[[#This Row],[GP 8-24h, ml]]-(AVERAGE(AF$1087,AF$1088,AF$1121,AF$1122,AF$1157,AF$1158))*$AG$8</f>
        <v>51.623728042697877</v>
      </c>
      <c r="AI1111" s="94">
        <f>Table3.110[[#This Row],[Net gas 8-24h, ml]]+Table3.110[[#This Row],[Net gas 8h, ml]]</f>
        <v>90.484961715473219</v>
      </c>
      <c r="AJ1111" s="94">
        <f>Table3.110[[#This Row],[Net gas 8h, ml]]*Table3.110[[#This Row],[CH4 8h %]]%</f>
        <v>5.0519603774607944</v>
      </c>
      <c r="AK1111" s="94">
        <f>Table3.110[[#This Row],[Net gas 8-24h, ml]]*Table3.110[[#This Row],[CH4 24h, %]]%</f>
        <v>8.6727863111732439</v>
      </c>
      <c r="AL1111" s="94">
        <f>Table3.110[[#This Row],[CH4 8-24h, ml]]+Table3.110[[#This Row],[CH4 8h, ml]]</f>
        <v>13.724746688634038</v>
      </c>
      <c r="AM1111" s="94">
        <f>(Table3.110[[#This Row],[Net gas 24h, ml]]/Table3.110[[#This Row],[DM Incubated, mg]])*1000</f>
        <v>193.47427302084282</v>
      </c>
      <c r="AN1111" s="94">
        <f>'3.2 Digest'!X1111</f>
        <v>52.660416455158142</v>
      </c>
      <c r="AO1111" s="94">
        <f>Table3.110[[#This Row],[Digested feed, mg]]/Table3.110[[#This Row],[Net gas 24h, ml]]</f>
        <v>2.7218304342451298</v>
      </c>
      <c r="AP1111" s="94">
        <f>Table3.110[[#This Row],[CH4 8h, ml]]/Table3.110[[#This Row],[Net gas 8h, ml]]%</f>
        <v>13</v>
      </c>
      <c r="AQ1111" s="94">
        <f>Table3.110[[#This Row],[CH4 24h, ml]]/Table3.110[[#This Row],[Net gas 24h, ml]]%</f>
        <v>15.167986401752616</v>
      </c>
      <c r="AR1111" s="94">
        <f>Table3.110[[#This Row],[CH4 24h, ml]]/Table3.110[[#This Row],[DM Incubated, mg]]*1000</f>
        <v>29.346151422691172</v>
      </c>
      <c r="AS1111" s="94">
        <f>Table3.110[[#This Row],[CH4 24h, ml]]/Table3.110[[#This Row],[Digested feed, mg]]*1000</f>
        <v>55.727154090549703</v>
      </c>
      <c r="AT1111" s="255">
        <f>Table3.110[[#This Row],[CH4 24h, ml]]/'3.2 Digest'!AA1111</f>
        <v>-1.0511662705688645</v>
      </c>
      <c r="AU1111" s="255">
        <f>((Table3.110[[#This Row],[CH4 24h, ml]]/28.9)*16.04)/Table3.110[[#This Row],[DM Incubated, mg]]*1000</f>
        <v>16.287621758476348</v>
      </c>
      <c r="AV1111" s="255">
        <f>((Table3.110[[#This Row],[CH4 24h, ml]]/28.9)*16.04)/Table3.110[[#This Row],[Digested feed, mg]]*1000</f>
        <v>30.929534657869109</v>
      </c>
    </row>
    <row r="1112" spans="2:48" x14ac:dyDescent="0.35">
      <c r="B1112" s="90">
        <f t="shared" si="17"/>
        <v>1102</v>
      </c>
      <c r="C1112" s="140">
        <v>46083</v>
      </c>
      <c r="D1112" s="6" t="s">
        <v>16</v>
      </c>
      <c r="E1112" s="6" t="s">
        <v>417</v>
      </c>
      <c r="F1112" s="242" t="s">
        <v>290</v>
      </c>
      <c r="G1112" s="242" t="s">
        <v>291</v>
      </c>
      <c r="H1112" s="6" t="s">
        <v>292</v>
      </c>
      <c r="I1112" s="133" t="s">
        <v>22</v>
      </c>
      <c r="J1112" s="135" t="s">
        <v>23</v>
      </c>
      <c r="K1112" s="135" t="s">
        <v>215</v>
      </c>
      <c r="L1112" s="6" t="s">
        <v>416</v>
      </c>
      <c r="M1112" s="256">
        <v>30</v>
      </c>
      <c r="N1112" s="256">
        <v>65</v>
      </c>
      <c r="O1112" s="256">
        <v>2</v>
      </c>
      <c r="P1112" s="257">
        <v>2</v>
      </c>
      <c r="Q1112" s="6">
        <v>26</v>
      </c>
      <c r="R1112" s="98">
        <v>0.50019999999999998</v>
      </c>
      <c r="S1112" s="94">
        <f>((Table3.110[[#This Row],[Sample weight, g]]*'2.1. DM'!Q263)/100)*1000</f>
        <v>467.77824087955992</v>
      </c>
      <c r="T1112" s="94">
        <f>'3.2 Digest'!W1112</f>
        <v>243.67824087955995</v>
      </c>
      <c r="U1112" s="153">
        <v>0.33263888888888887</v>
      </c>
      <c r="V1112" s="154">
        <v>41</v>
      </c>
      <c r="W1112" s="153">
        <v>0.67291666666666672</v>
      </c>
      <c r="X1112" s="91">
        <v>83.5</v>
      </c>
      <c r="Y1112" s="91">
        <v>12.8</v>
      </c>
      <c r="Z1112" s="154">
        <v>40</v>
      </c>
      <c r="AA1112" s="153">
        <v>0.37152777777777779</v>
      </c>
      <c r="AB1112" s="154">
        <v>90.5</v>
      </c>
      <c r="AC1112" s="154">
        <v>17.100000000000001</v>
      </c>
      <c r="AD1112" s="91"/>
      <c r="AE1112" s="94">
        <f>Table3.110[[#This Row],[Gas 8h, ml]]-Table3.110[[#This Row],[Gas 0h, ml]]</f>
        <v>42.5</v>
      </c>
      <c r="AF1112" s="94">
        <f>Table3.110[[#This Row],[Gas 24h, ml]]-Table3.110[[#This Row],[V8 Push back, ml]]</f>
        <v>50.5</v>
      </c>
      <c r="AG1112" s="94">
        <f>Table3.110[[#This Row],[GP 8h, ml]]-(AVERAGE(AE$1087,AE$1088,AE$1121,AE$1122,AE$1157,AE$1158))*$AG$8</f>
        <v>40.361233672775342</v>
      </c>
      <c r="AH1112" s="94">
        <f>Table3.110[[#This Row],[GP 8-24h, ml]]-(AVERAGE(AF$1087,AF$1088,AF$1121,AF$1122,AF$1157,AF$1158))*$AG$8</f>
        <v>47.623728042697877</v>
      </c>
      <c r="AI1112" s="94">
        <f>Table3.110[[#This Row],[Net gas 8-24h, ml]]+Table3.110[[#This Row],[Net gas 8h, ml]]</f>
        <v>87.984961715473219</v>
      </c>
      <c r="AJ1112" s="94">
        <f>Table3.110[[#This Row],[Net gas 8h, ml]]*Table3.110[[#This Row],[CH4 8h %]]%</f>
        <v>5.1662379101152442</v>
      </c>
      <c r="AK1112" s="94">
        <f>Table3.110[[#This Row],[Net gas 8-24h, ml]]*Table3.110[[#This Row],[CH4 24h, %]]%</f>
        <v>8.143657495301337</v>
      </c>
      <c r="AL1112" s="94">
        <f>Table3.110[[#This Row],[CH4 8-24h, ml]]+Table3.110[[#This Row],[CH4 8h, ml]]</f>
        <v>13.309895405416581</v>
      </c>
      <c r="AM1112" s="94">
        <f>(Table3.110[[#This Row],[Net gas 24h, ml]]/Table3.110[[#This Row],[DM Incubated, mg]])*1000</f>
        <v>188.09118087672431</v>
      </c>
      <c r="AN1112" s="94">
        <f>'3.2 Digest'!X1112</f>
        <v>52.092684007997804</v>
      </c>
      <c r="AO1112" s="94">
        <f>Table3.110[[#This Row],[Digested feed, mg]]/Table3.110[[#This Row],[Net gas 24h, ml]]</f>
        <v>2.7695442053787493</v>
      </c>
      <c r="AP1112" s="94">
        <f>Table3.110[[#This Row],[CH4 8h, ml]]/Table3.110[[#This Row],[Net gas 8h, ml]]%</f>
        <v>12.8</v>
      </c>
      <c r="AQ1112" s="94">
        <f>Table3.110[[#This Row],[CH4 24h, ml]]/Table3.110[[#This Row],[Net gas 24h, ml]]%</f>
        <v>15.12746626913162</v>
      </c>
      <c r="AR1112" s="94">
        <f>Table3.110[[#This Row],[CH4 24h, ml]]/Table3.110[[#This Row],[DM Incubated, mg]]*1000</f>
        <v>28.453429942337813</v>
      </c>
      <c r="AS1112" s="94">
        <f>Table3.110[[#This Row],[CH4 24h, ml]]/Table3.110[[#This Row],[Digested feed, mg]]*1000</f>
        <v>54.620779259462523</v>
      </c>
      <c r="AT1112" s="255">
        <f>Table3.110[[#This Row],[CH4 24h, ml]]/'3.2 Digest'!AA1112</f>
        <v>-0.92349363758340852</v>
      </c>
      <c r="AU1112" s="255">
        <f>((Table3.110[[#This Row],[CH4 24h, ml]]/28.9)*16.04)/Table3.110[[#This Row],[DM Incubated, mg]]*1000</f>
        <v>15.79214589187192</v>
      </c>
      <c r="AV1112" s="255">
        <f>((Table3.110[[#This Row],[CH4 24h, ml]]/28.9)*16.04)/Table3.110[[#This Row],[Digested feed, mg]]*1000</f>
        <v>30.315477485182658</v>
      </c>
    </row>
    <row r="1113" spans="2:48" x14ac:dyDescent="0.35">
      <c r="B1113" s="90">
        <f t="shared" si="17"/>
        <v>1103</v>
      </c>
      <c r="C1113" s="140">
        <v>46083</v>
      </c>
      <c r="D1113" s="6" t="s">
        <v>16</v>
      </c>
      <c r="E1113" s="6" t="s">
        <v>419</v>
      </c>
      <c r="F1113" s="242" t="s">
        <v>264</v>
      </c>
      <c r="G1113" s="242" t="s">
        <v>329</v>
      </c>
      <c r="H1113" s="6" t="s">
        <v>330</v>
      </c>
      <c r="I1113" s="133" t="s">
        <v>22</v>
      </c>
      <c r="J1113" s="135" t="s">
        <v>23</v>
      </c>
      <c r="K1113" s="135" t="s">
        <v>215</v>
      </c>
      <c r="L1113" s="6" t="s">
        <v>418</v>
      </c>
      <c r="M1113" s="256">
        <v>30</v>
      </c>
      <c r="N1113" s="256">
        <v>65</v>
      </c>
      <c r="O1113" s="256">
        <v>2</v>
      </c>
      <c r="P1113" s="257">
        <v>1</v>
      </c>
      <c r="Q1113" s="129">
        <v>27</v>
      </c>
      <c r="R1113" s="98">
        <v>0.50019999999999998</v>
      </c>
      <c r="S1113" s="94">
        <f>((Table3.110[[#This Row],[Sample weight, g]]*'2.1. DM'!Q265)/100)*1000</f>
        <v>471.84716056788642</v>
      </c>
      <c r="T1113" s="94">
        <f>'3.2 Digest'!W1113</f>
        <v>200.44716056788633</v>
      </c>
      <c r="U1113" s="153">
        <v>0.33402777777777776</v>
      </c>
      <c r="V1113" s="154">
        <v>41</v>
      </c>
      <c r="W1113" s="153">
        <v>0.67361111111111116</v>
      </c>
      <c r="X1113" s="91">
        <v>84</v>
      </c>
      <c r="Y1113" s="91">
        <v>14.9</v>
      </c>
      <c r="Z1113" s="154">
        <v>41.5</v>
      </c>
      <c r="AA1113" s="153">
        <v>0.37222222222222223</v>
      </c>
      <c r="AB1113" s="154">
        <v>88</v>
      </c>
      <c r="AC1113" s="154">
        <v>19.5</v>
      </c>
      <c r="AD1113" s="91" t="s">
        <v>598</v>
      </c>
      <c r="AE1113" s="94">
        <f>Table3.110[[#This Row],[Gas 8h, ml]]-Table3.110[[#This Row],[Gas 0h, ml]]</f>
        <v>43</v>
      </c>
      <c r="AF1113" s="94">
        <f>Table3.110[[#This Row],[Gas 24h, ml]]-Table3.110[[#This Row],[V8 Push back, ml]]</f>
        <v>46.5</v>
      </c>
      <c r="AG1113" s="94">
        <f>Table3.110[[#This Row],[GP 8h, ml]]-(AVERAGE(AE$1087,AE$1088,AE$1121,AE$1122,AE$1157,AE$1158))*$AG$8</f>
        <v>40.861233672775342</v>
      </c>
      <c r="AH1113" s="94">
        <f>Table3.110[[#This Row],[GP 8-24h, ml]]-(AVERAGE(AF$1087,AF$1088,AF$1121,AF$1122,AF$1157,AF$1158))*$AG$8</f>
        <v>43.623728042697877</v>
      </c>
      <c r="AI1113" s="94">
        <f>Table3.110[[#This Row],[Net gas 8-24h, ml]]+Table3.110[[#This Row],[Net gas 8h, ml]]</f>
        <v>84.484961715473219</v>
      </c>
      <c r="AJ1113" s="94">
        <f>Table3.110[[#This Row],[Net gas 8h, ml]]*Table3.110[[#This Row],[CH4 8h %]]%</f>
        <v>6.0883238172435252</v>
      </c>
      <c r="AK1113" s="94">
        <f>Table3.110[[#This Row],[Net gas 8-24h, ml]]*Table3.110[[#This Row],[CH4 24h, %]]%</f>
        <v>8.5066269683260867</v>
      </c>
      <c r="AL1113" s="94">
        <f>Table3.110[[#This Row],[CH4 8-24h, ml]]+Table3.110[[#This Row],[CH4 8h, ml]]</f>
        <v>14.594950785569612</v>
      </c>
      <c r="AM1113" s="94">
        <f>(Table3.110[[#This Row],[Net gas 24h, ml]]/Table3.110[[#This Row],[DM Incubated, mg]])*1000</f>
        <v>179.05154205822129</v>
      </c>
      <c r="AN1113" s="94">
        <f>'3.2 Digest'!X1113</f>
        <v>42.481374758436687</v>
      </c>
      <c r="AO1113" s="94">
        <f>Table3.110[[#This Row],[Digested feed, mg]]/Table3.110[[#This Row],[Net gas 24h, ml]]</f>
        <v>2.3725779890029224</v>
      </c>
      <c r="AP1113" s="94">
        <f>Table3.110[[#This Row],[CH4 8h, ml]]/Table3.110[[#This Row],[Net gas 8h, ml]]%</f>
        <v>14.899999999999999</v>
      </c>
      <c r="AQ1113" s="94">
        <f>Table3.110[[#This Row],[CH4 24h, ml]]/Table3.110[[#This Row],[Net gas 24h, ml]]%</f>
        <v>17.275205538616682</v>
      </c>
      <c r="AR1113" s="94">
        <f>Table3.110[[#This Row],[CH4 24h, ml]]/Table3.110[[#This Row],[DM Incubated, mg]]*1000</f>
        <v>30.931521910620422</v>
      </c>
      <c r="AS1113" s="94">
        <f>Table3.110[[#This Row],[CH4 24h, ml]]/Table3.110[[#This Row],[Digested feed, mg]]*1000</f>
        <v>72.811960739282583</v>
      </c>
      <c r="AT1113" s="255">
        <f>Table3.110[[#This Row],[CH4 24h, ml]]/'3.2 Digest'!AA1113</f>
        <v>15.603825542885305</v>
      </c>
      <c r="AU1113" s="255">
        <f>((Table3.110[[#This Row],[CH4 24h, ml]]/28.9)*16.04)/Table3.110[[#This Row],[DM Incubated, mg]]*1000</f>
        <v>17.167529807832235</v>
      </c>
      <c r="AV1113" s="255">
        <f>((Table3.110[[#This Row],[CH4 24h, ml]]/28.9)*16.04)/Table3.110[[#This Row],[Digested feed, mg]]*1000</f>
        <v>40.411897932805971</v>
      </c>
    </row>
    <row r="1114" spans="2:48" x14ac:dyDescent="0.35">
      <c r="B1114" s="90">
        <f t="shared" si="17"/>
        <v>1104</v>
      </c>
      <c r="C1114" s="140">
        <v>46083</v>
      </c>
      <c r="D1114" s="6" t="s">
        <v>16</v>
      </c>
      <c r="E1114" s="6" t="s">
        <v>419</v>
      </c>
      <c r="F1114" s="242" t="s">
        <v>264</v>
      </c>
      <c r="G1114" s="242" t="s">
        <v>329</v>
      </c>
      <c r="H1114" s="6" t="s">
        <v>330</v>
      </c>
      <c r="I1114" s="133" t="s">
        <v>22</v>
      </c>
      <c r="J1114" s="135" t="s">
        <v>23</v>
      </c>
      <c r="K1114" s="135" t="s">
        <v>215</v>
      </c>
      <c r="L1114" s="6" t="s">
        <v>418</v>
      </c>
      <c r="M1114" s="256">
        <v>30</v>
      </c>
      <c r="N1114" s="256">
        <v>65</v>
      </c>
      <c r="O1114" s="256">
        <v>2</v>
      </c>
      <c r="P1114" s="257">
        <v>2</v>
      </c>
      <c r="Q1114" s="6">
        <v>28</v>
      </c>
      <c r="R1114" s="98">
        <v>0.50019999999999998</v>
      </c>
      <c r="S1114" s="94">
        <f>((Table3.110[[#This Row],[Sample weight, g]]*'2.1. DM'!Q265)/100)*1000</f>
        <v>471.84716056788642</v>
      </c>
      <c r="T1114" s="94">
        <f>'3.2 Digest'!W1114</f>
        <v>215.84716056788642</v>
      </c>
      <c r="U1114" s="117">
        <v>0.33333333333333331</v>
      </c>
      <c r="V1114" s="155">
        <v>41</v>
      </c>
      <c r="W1114" s="117">
        <v>0.6743055555555556</v>
      </c>
      <c r="X1114" s="96">
        <v>83</v>
      </c>
      <c r="Y1114" s="96">
        <v>14</v>
      </c>
      <c r="Z1114" s="155">
        <v>40.5</v>
      </c>
      <c r="AA1114" s="117">
        <v>0.37222222222222223</v>
      </c>
      <c r="AB1114" s="155">
        <v>80</v>
      </c>
      <c r="AC1114" s="155">
        <v>19.100000000000001</v>
      </c>
      <c r="AD1114" s="96"/>
      <c r="AE1114" s="94">
        <f>Table3.110[[#This Row],[Gas 8h, ml]]-Table3.110[[#This Row],[Gas 0h, ml]]</f>
        <v>42</v>
      </c>
      <c r="AF1114" s="94">
        <f>Table3.110[[#This Row],[Gas 24h, ml]]-Table3.110[[#This Row],[V8 Push back, ml]]</f>
        <v>39.5</v>
      </c>
      <c r="AG1114" s="94">
        <f>Table3.110[[#This Row],[GP 8h, ml]]-(AVERAGE(AE$1087,AE$1088,AE$1121,AE$1122,AE$1157,AE$1158))*$AG$8</f>
        <v>39.861233672775342</v>
      </c>
      <c r="AH1114" s="94">
        <f>Table3.110[[#This Row],[GP 8-24h, ml]]-(AVERAGE(AF$1087,AF$1088,AF$1121,AF$1122,AF$1157,AF$1158))*$AG$8</f>
        <v>36.623728042697877</v>
      </c>
      <c r="AI1114" s="94">
        <f>Table3.110[[#This Row],[Net gas 8-24h, ml]]+Table3.110[[#This Row],[Net gas 8h, ml]]</f>
        <v>76.484961715473219</v>
      </c>
      <c r="AJ1114" s="94">
        <f>Table3.110[[#This Row],[Net gas 8h, ml]]*Table3.110[[#This Row],[CH4 8h %]]%</f>
        <v>5.5805727141885484</v>
      </c>
      <c r="AK1114" s="94">
        <f>Table3.110[[#This Row],[Net gas 8-24h, ml]]*Table3.110[[#This Row],[CH4 24h, %]]%</f>
        <v>6.9951320561552945</v>
      </c>
      <c r="AL1114" s="94">
        <f>Table3.110[[#This Row],[CH4 8-24h, ml]]+Table3.110[[#This Row],[CH4 8h, ml]]</f>
        <v>12.575704770343844</v>
      </c>
      <c r="AM1114" s="94">
        <f>(Table3.110[[#This Row],[Net gas 24h, ml]]/Table3.110[[#This Row],[DM Incubated, mg]])*1000</f>
        <v>162.09689939305898</v>
      </c>
      <c r="AN1114" s="94">
        <f>'3.2 Digest'!X1114</f>
        <v>45.745143471480461</v>
      </c>
      <c r="AO1114" s="94">
        <f>Table3.110[[#This Row],[Digested feed, mg]]/Table3.110[[#This Row],[Net gas 24h, ml]]</f>
        <v>2.8220862732578142</v>
      </c>
      <c r="AP1114" s="94">
        <f>Table3.110[[#This Row],[CH4 8h, ml]]/Table3.110[[#This Row],[Net gas 8h, ml]]%</f>
        <v>14.000000000000002</v>
      </c>
      <c r="AQ1114" s="94">
        <f>Table3.110[[#This Row],[CH4 24h, ml]]/Table3.110[[#This Row],[Net gas 24h, ml]]%</f>
        <v>16.442061927318356</v>
      </c>
      <c r="AR1114" s="94">
        <f>Table3.110[[#This Row],[CH4 24h, ml]]/Table3.110[[#This Row],[DM Incubated, mg]]*1000</f>
        <v>26.652072580469689</v>
      </c>
      <c r="AS1114" s="94">
        <f>Table3.110[[#This Row],[CH4 24h, ml]]/Table3.110[[#This Row],[Digested feed, mg]]*1000</f>
        <v>58.262081082084187</v>
      </c>
      <c r="AT1114" s="255">
        <f>Table3.110[[#This Row],[CH4 24h, ml]]/'3.2 Digest'!AA1114</f>
        <v>1.9180363557836282</v>
      </c>
      <c r="AU1114" s="255">
        <f>((Table3.110[[#This Row],[CH4 24h, ml]]/28.9)*16.04)/Table3.110[[#This Row],[DM Incubated, mg]]*1000</f>
        <v>14.79236139068283</v>
      </c>
      <c r="AV1114" s="255">
        <f>((Table3.110[[#This Row],[CH4 24h, ml]]/28.9)*16.04)/Table3.110[[#This Row],[Digested feed, mg]]*1000</f>
        <v>32.336462995039113</v>
      </c>
    </row>
    <row r="1115" spans="2:48" x14ac:dyDescent="0.35">
      <c r="B1115" s="90">
        <f t="shared" si="17"/>
        <v>1105</v>
      </c>
      <c r="C1115" s="140">
        <v>46083</v>
      </c>
      <c r="D1115" s="6" t="s">
        <v>16</v>
      </c>
      <c r="E1115" s="6" t="s">
        <v>421</v>
      </c>
      <c r="F1115" s="242" t="s">
        <v>264</v>
      </c>
      <c r="G1115" s="242" t="s">
        <v>265</v>
      </c>
      <c r="H1115" s="6" t="s">
        <v>266</v>
      </c>
      <c r="I1115" s="133" t="s">
        <v>22</v>
      </c>
      <c r="J1115" s="135" t="s">
        <v>23</v>
      </c>
      <c r="K1115" s="135" t="s">
        <v>215</v>
      </c>
      <c r="L1115" s="6" t="s">
        <v>420</v>
      </c>
      <c r="M1115" s="256">
        <v>30</v>
      </c>
      <c r="N1115" s="256">
        <v>65</v>
      </c>
      <c r="O1115" s="256">
        <v>2</v>
      </c>
      <c r="P1115" s="257">
        <v>1</v>
      </c>
      <c r="Q1115" s="129">
        <v>29</v>
      </c>
      <c r="R1115" s="98">
        <v>0.50019999999999998</v>
      </c>
      <c r="S1115" s="94">
        <f>((Table3.110[[#This Row],[Sample weight, g]]*'2.1. DM'!Q267)/100)*1000</f>
        <v>480.42500000000013</v>
      </c>
      <c r="T1115" s="94">
        <f>'3.2 Digest'!W1115</f>
        <v>193.42500000000007</v>
      </c>
      <c r="U1115" s="117">
        <v>0.33333333333333331</v>
      </c>
      <c r="V1115" s="155">
        <v>41</v>
      </c>
      <c r="W1115" s="117">
        <v>0.67500000000000004</v>
      </c>
      <c r="X1115" s="96">
        <v>82</v>
      </c>
      <c r="Y1115" s="96">
        <v>14.1</v>
      </c>
      <c r="Z1115" s="155">
        <v>40.5</v>
      </c>
      <c r="AA1115" s="117">
        <v>0.37291666666666667</v>
      </c>
      <c r="AB1115" s="155">
        <v>82</v>
      </c>
      <c r="AC1115" s="155">
        <v>18.600000000000001</v>
      </c>
      <c r="AD1115" s="96"/>
      <c r="AE1115" s="94">
        <f>Table3.110[[#This Row],[Gas 8h, ml]]-Table3.110[[#This Row],[Gas 0h, ml]]</f>
        <v>41</v>
      </c>
      <c r="AF1115" s="94">
        <f>Table3.110[[#This Row],[Gas 24h, ml]]-Table3.110[[#This Row],[V8 Push back, ml]]</f>
        <v>41.5</v>
      </c>
      <c r="AG1115" s="94">
        <f>Table3.110[[#This Row],[GP 8h, ml]]-(AVERAGE(AE$1087,AE$1088,AE$1121,AE$1122,AE$1157,AE$1158))*$AG$8</f>
        <v>38.861233672775342</v>
      </c>
      <c r="AH1115" s="94">
        <f>Table3.110[[#This Row],[GP 8-24h, ml]]-(AVERAGE(AF$1087,AF$1088,AF$1121,AF$1122,AF$1157,AF$1158))*$AG$8</f>
        <v>38.623728042697877</v>
      </c>
      <c r="AI1115" s="94">
        <f>Table3.110[[#This Row],[Net gas 8-24h, ml]]+Table3.110[[#This Row],[Net gas 8h, ml]]</f>
        <v>77.484961715473219</v>
      </c>
      <c r="AJ1115" s="94">
        <f>Table3.110[[#This Row],[Net gas 8h, ml]]*Table3.110[[#This Row],[CH4 8h %]]%</f>
        <v>5.479433947861323</v>
      </c>
      <c r="AK1115" s="94">
        <f>Table3.110[[#This Row],[Net gas 8-24h, ml]]*Table3.110[[#This Row],[CH4 24h, %]]%</f>
        <v>7.1840134159418065</v>
      </c>
      <c r="AL1115" s="94">
        <f>Table3.110[[#This Row],[CH4 8-24h, ml]]+Table3.110[[#This Row],[CH4 8h, ml]]</f>
        <v>12.66344736380313</v>
      </c>
      <c r="AM1115" s="94">
        <f>(Table3.110[[#This Row],[Net gas 24h, ml]]/Table3.110[[#This Row],[DM Incubated, mg]])*1000</f>
        <v>161.28419985528063</v>
      </c>
      <c r="AN1115" s="94">
        <f>'3.2 Digest'!X1115</f>
        <v>40.26122703855961</v>
      </c>
      <c r="AO1115" s="94">
        <f>Table3.110[[#This Row],[Digested feed, mg]]/Table3.110[[#This Row],[Net gas 24h, ml]]</f>
        <v>2.4962908378307223</v>
      </c>
      <c r="AP1115" s="94">
        <f>Table3.110[[#This Row],[CH4 8h, ml]]/Table3.110[[#This Row],[Net gas 8h, ml]]%</f>
        <v>14.1</v>
      </c>
      <c r="AQ1115" s="94">
        <f>Table3.110[[#This Row],[CH4 24h, ml]]/Table3.110[[#This Row],[Net gas 24h, ml]]%</f>
        <v>16.343103337010909</v>
      </c>
      <c r="AR1115" s="94">
        <f>Table3.110[[#This Row],[CH4 24h, ml]]/Table3.110[[#This Row],[DM Incubated, mg]]*1000</f>
        <v>26.358843448619716</v>
      </c>
      <c r="AS1115" s="94">
        <f>Table3.110[[#This Row],[CH4 24h, ml]]/Table3.110[[#This Row],[Digested feed, mg]]*1000</f>
        <v>65.469548216637591</v>
      </c>
      <c r="AT1115" s="255">
        <f>Table3.110[[#This Row],[CH4 24h, ml]]/'3.2 Digest'!AA1115</f>
        <v>4.4541246181573868</v>
      </c>
      <c r="AU1115" s="255">
        <f>((Table3.110[[#This Row],[CH4 24h, ml]]/28.9)*16.04)/Table3.110[[#This Row],[DM Incubated, mg]]*1000</f>
        <v>14.629614149337723</v>
      </c>
      <c r="AV1115" s="255">
        <f>((Table3.110[[#This Row],[CH4 24h, ml]]/28.9)*16.04)/Table3.110[[#This Row],[Digested feed, mg]]*1000</f>
        <v>36.33673195137947</v>
      </c>
    </row>
    <row r="1116" spans="2:48" x14ac:dyDescent="0.35">
      <c r="B1116" s="90">
        <f t="shared" si="17"/>
        <v>1106</v>
      </c>
      <c r="C1116" s="140">
        <v>46083</v>
      </c>
      <c r="D1116" s="6" t="s">
        <v>16</v>
      </c>
      <c r="E1116" s="6" t="s">
        <v>421</v>
      </c>
      <c r="F1116" s="242" t="s">
        <v>264</v>
      </c>
      <c r="G1116" s="242" t="s">
        <v>265</v>
      </c>
      <c r="H1116" s="6" t="s">
        <v>266</v>
      </c>
      <c r="I1116" s="133" t="s">
        <v>22</v>
      </c>
      <c r="J1116" s="135" t="s">
        <v>23</v>
      </c>
      <c r="K1116" s="135" t="s">
        <v>215</v>
      </c>
      <c r="L1116" s="6" t="s">
        <v>420</v>
      </c>
      <c r="M1116" s="256">
        <v>30</v>
      </c>
      <c r="N1116" s="256">
        <v>65</v>
      </c>
      <c r="O1116" s="256">
        <v>2</v>
      </c>
      <c r="P1116" s="257">
        <v>2</v>
      </c>
      <c r="Q1116" s="6">
        <v>30</v>
      </c>
      <c r="R1116" s="98">
        <v>0.50009999999999999</v>
      </c>
      <c r="S1116" s="94">
        <f>((Table3.110[[#This Row],[Sample weight, g]]*'2.1. DM'!Q267)/100)*1000</f>
        <v>480.32895341863269</v>
      </c>
      <c r="T1116" s="94">
        <f>'3.2 Digest'!W1116</f>
        <v>195.22895341863267</v>
      </c>
      <c r="U1116" s="153">
        <v>0.33402777777777776</v>
      </c>
      <c r="V1116" s="154">
        <v>40.5</v>
      </c>
      <c r="W1116" s="153">
        <v>0.67569444444444449</v>
      </c>
      <c r="X1116" s="91">
        <v>81</v>
      </c>
      <c r="Y1116" s="91">
        <v>14.1</v>
      </c>
      <c r="Z1116" s="154">
        <v>40</v>
      </c>
      <c r="AA1116" s="153">
        <v>0.37291666666666667</v>
      </c>
      <c r="AB1116" s="154">
        <v>82</v>
      </c>
      <c r="AC1116" s="154">
        <v>18.600000000000001</v>
      </c>
      <c r="AD1116" s="91" t="s">
        <v>551</v>
      </c>
      <c r="AE1116" s="94">
        <f>Table3.110[[#This Row],[Gas 8h, ml]]-Table3.110[[#This Row],[Gas 0h, ml]]</f>
        <v>40.5</v>
      </c>
      <c r="AF1116" s="94">
        <f>Table3.110[[#This Row],[Gas 24h, ml]]-Table3.110[[#This Row],[V8 Push back, ml]]</f>
        <v>42</v>
      </c>
      <c r="AG1116" s="94">
        <f>Table3.110[[#This Row],[GP 8h, ml]]-(AVERAGE(AE$1087,AE$1088,AE$1121,AE$1122,AE$1157,AE$1158))*$AG$8</f>
        <v>38.361233672775342</v>
      </c>
      <c r="AH1116" s="94">
        <f>Table3.110[[#This Row],[GP 8-24h, ml]]-(AVERAGE(AF$1087,AF$1088,AF$1121,AF$1122,AF$1157,AF$1158))*$AG$8</f>
        <v>39.123728042697877</v>
      </c>
      <c r="AI1116" s="94">
        <f>Table3.110[[#This Row],[Net gas 8-24h, ml]]+Table3.110[[#This Row],[Net gas 8h, ml]]</f>
        <v>77.484961715473219</v>
      </c>
      <c r="AJ1116" s="94">
        <f>Table3.110[[#This Row],[Net gas 8h, ml]]*Table3.110[[#This Row],[CH4 8h %]]%</f>
        <v>5.408933947861323</v>
      </c>
      <c r="AK1116" s="94">
        <f>Table3.110[[#This Row],[Net gas 8-24h, ml]]*Table3.110[[#This Row],[CH4 24h, %]]%</f>
        <v>7.2770134159418065</v>
      </c>
      <c r="AL1116" s="94">
        <f>Table3.110[[#This Row],[CH4 8-24h, ml]]+Table3.110[[#This Row],[CH4 8h, ml]]</f>
        <v>12.68594736380313</v>
      </c>
      <c r="AM1116" s="94">
        <f>(Table3.110[[#This Row],[Net gas 24h, ml]]/Table3.110[[#This Row],[DM Incubated, mg]])*1000</f>
        <v>161.31645024517371</v>
      </c>
      <c r="AN1116" s="94">
        <f>'3.2 Digest'!X1116</f>
        <v>40.644843919804281</v>
      </c>
      <c r="AO1116" s="94">
        <f>Table3.110[[#This Row],[Digested feed, mg]]/Table3.110[[#This Row],[Net gas 24h, ml]]</f>
        <v>2.519572173701504</v>
      </c>
      <c r="AP1116" s="94">
        <f>Table3.110[[#This Row],[CH4 8h, ml]]/Table3.110[[#This Row],[Net gas 8h, ml]]%</f>
        <v>14.1</v>
      </c>
      <c r="AQ1116" s="94">
        <f>Table3.110[[#This Row],[CH4 24h, ml]]/Table3.110[[#This Row],[Net gas 24h, ml]]%</f>
        <v>16.372141229657256</v>
      </c>
      <c r="AR1116" s="94">
        <f>Table3.110[[#This Row],[CH4 24h, ml]]/Table3.110[[#This Row],[DM Incubated, mg]]*1000</f>
        <v>26.410957060809615</v>
      </c>
      <c r="AS1116" s="94">
        <f>Table3.110[[#This Row],[CH4 24h, ml]]/Table3.110[[#This Row],[Digested feed, mg]]*1000</f>
        <v>64.979846183985032</v>
      </c>
      <c r="AT1116" s="255">
        <f>Table3.110[[#This Row],[CH4 24h, ml]]/'3.2 Digest'!AA1116</f>
        <v>3.6590734471484958</v>
      </c>
      <c r="AU1116" s="255">
        <f>((Table3.110[[#This Row],[CH4 24h, ml]]/28.9)*16.04)/Table3.110[[#This Row],[DM Incubated, mg]]*1000</f>
        <v>14.658538105722707</v>
      </c>
      <c r="AV1116" s="255">
        <f>((Table3.110[[#This Row],[CH4 24h, ml]]/28.9)*16.04)/Table3.110[[#This Row],[Digested feed, mg]]*1000</f>
        <v>36.0649388509038</v>
      </c>
    </row>
    <row r="1117" spans="2:48" x14ac:dyDescent="0.35">
      <c r="B1117" s="90">
        <f t="shared" si="17"/>
        <v>1107</v>
      </c>
      <c r="C1117" s="140">
        <v>46083</v>
      </c>
      <c r="D1117" s="6" t="s">
        <v>16</v>
      </c>
      <c r="E1117" s="6" t="s">
        <v>423</v>
      </c>
      <c r="F1117" s="242" t="s">
        <v>212</v>
      </c>
      <c r="G1117" s="242" t="s">
        <v>424</v>
      </c>
      <c r="H1117" s="6" t="s">
        <v>425</v>
      </c>
      <c r="I1117" s="133" t="s">
        <v>22</v>
      </c>
      <c r="J1117" s="135" t="s">
        <v>23</v>
      </c>
      <c r="K1117" s="135" t="s">
        <v>215</v>
      </c>
      <c r="L1117" s="6" t="s">
        <v>422</v>
      </c>
      <c r="M1117" s="256">
        <v>30</v>
      </c>
      <c r="N1117" s="256">
        <v>65</v>
      </c>
      <c r="O1117" s="256">
        <v>2</v>
      </c>
      <c r="P1117" s="257">
        <v>1</v>
      </c>
      <c r="Q1117" s="129">
        <v>31</v>
      </c>
      <c r="R1117" s="98">
        <v>0.50019999999999998</v>
      </c>
      <c r="S1117" s="94">
        <f>((Table3.110[[#This Row],[Sample weight, g]]*'2.1. DM'!Q269)/100)*1000</f>
        <v>466.82331233903153</v>
      </c>
      <c r="T1117" s="94">
        <f>'3.2 Digest'!W1117</f>
        <v>189.02331233903146</v>
      </c>
      <c r="U1117" s="153">
        <v>0.3347222222222222</v>
      </c>
      <c r="V1117" s="154">
        <v>40.5</v>
      </c>
      <c r="W1117" s="153">
        <v>0.67638888888888893</v>
      </c>
      <c r="X1117" s="91">
        <v>78</v>
      </c>
      <c r="Y1117" s="91">
        <v>12.4</v>
      </c>
      <c r="Z1117" s="154">
        <v>41</v>
      </c>
      <c r="AA1117" s="153">
        <v>0.37361111111111112</v>
      </c>
      <c r="AB1117" s="154">
        <v>76.5</v>
      </c>
      <c r="AC1117" s="154">
        <v>15.9</v>
      </c>
      <c r="AD1117" s="91"/>
      <c r="AE1117" s="94">
        <f>Table3.110[[#This Row],[Gas 8h, ml]]-Table3.110[[#This Row],[Gas 0h, ml]]</f>
        <v>37.5</v>
      </c>
      <c r="AF1117" s="94">
        <f>Table3.110[[#This Row],[Gas 24h, ml]]-Table3.110[[#This Row],[V8 Push back, ml]]</f>
        <v>35.5</v>
      </c>
      <c r="AG1117" s="94">
        <f>Table3.110[[#This Row],[GP 8h, ml]]-(AVERAGE(AE$1087,AE$1088,AE$1121,AE$1122,AE$1157,AE$1158))*$AG$8</f>
        <v>35.361233672775342</v>
      </c>
      <c r="AH1117" s="94">
        <f>Table3.110[[#This Row],[GP 8-24h, ml]]-(AVERAGE(AF$1087,AF$1088,AF$1121,AF$1122,AF$1157,AF$1158))*$AG$8</f>
        <v>32.623728042697877</v>
      </c>
      <c r="AI1117" s="94">
        <f>Table3.110[[#This Row],[Net gas 8-24h, ml]]+Table3.110[[#This Row],[Net gas 8h, ml]]</f>
        <v>67.984961715473219</v>
      </c>
      <c r="AJ1117" s="94">
        <f>Table3.110[[#This Row],[Net gas 8h, ml]]*Table3.110[[#This Row],[CH4 8h %]]%</f>
        <v>4.3847929754241424</v>
      </c>
      <c r="AK1117" s="94">
        <f>Table3.110[[#This Row],[Net gas 8-24h, ml]]*Table3.110[[#This Row],[CH4 24h, %]]%</f>
        <v>5.1871727587889627</v>
      </c>
      <c r="AL1117" s="94">
        <f>Table3.110[[#This Row],[CH4 8-24h, ml]]+Table3.110[[#This Row],[CH4 8h, ml]]</f>
        <v>9.571965734213105</v>
      </c>
      <c r="AM1117" s="94">
        <f>(Table3.110[[#This Row],[Net gas 24h, ml]]/Table3.110[[#This Row],[DM Incubated, mg]])*1000</f>
        <v>145.63317623285056</v>
      </c>
      <c r="AN1117" s="94">
        <f>'3.2 Digest'!X1117</f>
        <v>40.491403780142157</v>
      </c>
      <c r="AO1117" s="94">
        <f>Table3.110[[#This Row],[Digested feed, mg]]/Table3.110[[#This Row],[Net gas 24h, ml]]</f>
        <v>2.7803694753866455</v>
      </c>
      <c r="AP1117" s="94">
        <f>Table3.110[[#This Row],[CH4 8h, ml]]/Table3.110[[#This Row],[Net gas 8h, ml]]%</f>
        <v>12.399999999999999</v>
      </c>
      <c r="AQ1117" s="94">
        <f>Table3.110[[#This Row],[CH4 24h, ml]]/Table3.110[[#This Row],[Net gas 24h, ml]]%</f>
        <v>14.079533903796476</v>
      </c>
      <c r="AR1117" s="94">
        <f>Table3.110[[#This Row],[CH4 24h, ml]]/Table3.110[[#This Row],[DM Incubated, mg]]*1000</f>
        <v>20.504472422879861</v>
      </c>
      <c r="AS1117" s="94">
        <f>Table3.110[[#This Row],[CH4 24h, ml]]/Table3.110[[#This Row],[Digested feed, mg]]*1000</f>
        <v>50.639075232397076</v>
      </c>
      <c r="AT1117" s="255">
        <f>Table3.110[[#This Row],[CH4 24h, ml]]/'3.2 Digest'!AA1117</f>
        <v>-1.3772125695251762</v>
      </c>
      <c r="AU1117" s="255">
        <f>((Table3.110[[#This Row],[CH4 24h, ml]]/28.9)*16.04)/Table3.110[[#This Row],[DM Incubated, mg]]*1000</f>
        <v>11.380336943356161</v>
      </c>
      <c r="AV1117" s="255">
        <f>((Table3.110[[#This Row],[CH4 24h, ml]]/28.9)*16.04)/Table3.110[[#This Row],[Digested feed, mg]]*1000</f>
        <v>28.105562862548414</v>
      </c>
    </row>
    <row r="1118" spans="2:48" x14ac:dyDescent="0.35">
      <c r="B1118" s="90">
        <f t="shared" si="17"/>
        <v>1108</v>
      </c>
      <c r="C1118" s="140">
        <v>46083</v>
      </c>
      <c r="D1118" s="6" t="s">
        <v>16</v>
      </c>
      <c r="E1118" s="6" t="s">
        <v>423</v>
      </c>
      <c r="F1118" s="242" t="s">
        <v>212</v>
      </c>
      <c r="G1118" s="242" t="s">
        <v>424</v>
      </c>
      <c r="H1118" s="6" t="s">
        <v>425</v>
      </c>
      <c r="I1118" s="133" t="s">
        <v>22</v>
      </c>
      <c r="J1118" s="135" t="s">
        <v>23</v>
      </c>
      <c r="K1118" s="135" t="s">
        <v>215</v>
      </c>
      <c r="L1118" s="6" t="s">
        <v>422</v>
      </c>
      <c r="M1118" s="256">
        <v>30</v>
      </c>
      <c r="N1118" s="256">
        <v>65</v>
      </c>
      <c r="O1118" s="256">
        <v>2</v>
      </c>
      <c r="P1118" s="257">
        <v>2</v>
      </c>
      <c r="Q1118" s="6">
        <v>32</v>
      </c>
      <c r="R1118" s="98">
        <v>0.50019999999999998</v>
      </c>
      <c r="S1118" s="94">
        <f>((Table3.110[[#This Row],[Sample weight, g]]*'2.1. DM'!Q269)/100)*1000</f>
        <v>466.82331233903153</v>
      </c>
      <c r="T1118" s="94">
        <f>'3.2 Digest'!W1118</f>
        <v>178.02331233903146</v>
      </c>
      <c r="U1118" s="117">
        <v>0.3347222222222222</v>
      </c>
      <c r="V1118" s="155">
        <v>41</v>
      </c>
      <c r="W1118" s="117">
        <v>0.67638888888888893</v>
      </c>
      <c r="X1118" s="96">
        <v>77</v>
      </c>
      <c r="Y1118" s="96">
        <v>12.5</v>
      </c>
      <c r="Z1118" s="155">
        <v>40.5</v>
      </c>
      <c r="AA1118" s="117">
        <v>0.37430555555555556</v>
      </c>
      <c r="AB1118" s="155">
        <v>74</v>
      </c>
      <c r="AC1118" s="155">
        <v>15.8</v>
      </c>
      <c r="AD1118" s="96"/>
      <c r="AE1118" s="94">
        <f>Table3.110[[#This Row],[Gas 8h, ml]]-Table3.110[[#This Row],[Gas 0h, ml]]</f>
        <v>36</v>
      </c>
      <c r="AF1118" s="94">
        <f>Table3.110[[#This Row],[Gas 24h, ml]]-Table3.110[[#This Row],[V8 Push back, ml]]</f>
        <v>33.5</v>
      </c>
      <c r="AG1118" s="94">
        <f>Table3.110[[#This Row],[GP 8h, ml]]-(AVERAGE(AE$1087,AE$1088,AE$1121,AE$1122,AE$1157,AE$1158))*$AG$8</f>
        <v>33.861233672775342</v>
      </c>
      <c r="AH1118" s="94">
        <f>Table3.110[[#This Row],[GP 8-24h, ml]]-(AVERAGE(AF$1087,AF$1088,AF$1121,AF$1122,AF$1157,AF$1158))*$AG$8</f>
        <v>30.623728042697874</v>
      </c>
      <c r="AI1118" s="94">
        <f>Table3.110[[#This Row],[Net gas 8-24h, ml]]+Table3.110[[#This Row],[Net gas 8h, ml]]</f>
        <v>64.484961715473219</v>
      </c>
      <c r="AJ1118" s="94">
        <f>Table3.110[[#This Row],[Net gas 8h, ml]]*Table3.110[[#This Row],[CH4 8h %]]%</f>
        <v>4.2326542090969177</v>
      </c>
      <c r="AK1118" s="94">
        <f>Table3.110[[#This Row],[Net gas 8-24h, ml]]*Table3.110[[#This Row],[CH4 24h, %]]%</f>
        <v>4.8385490307462637</v>
      </c>
      <c r="AL1118" s="94">
        <f>Table3.110[[#This Row],[CH4 8-24h, ml]]+Table3.110[[#This Row],[CH4 8h, ml]]</f>
        <v>9.0712032398431823</v>
      </c>
      <c r="AM1118" s="94">
        <f>(Table3.110[[#This Row],[Net gas 24h, ml]]/Table3.110[[#This Row],[DM Incubated, mg]])*1000</f>
        <v>138.13569290781447</v>
      </c>
      <c r="AN1118" s="94">
        <f>'3.2 Digest'!X1118</f>
        <v>38.135051877987962</v>
      </c>
      <c r="AO1118" s="94">
        <f>Table3.110[[#This Row],[Digested feed, mg]]/Table3.110[[#This Row],[Net gas 24h, ml]]</f>
        <v>2.7606950148241247</v>
      </c>
      <c r="AP1118" s="94">
        <f>Table3.110[[#This Row],[CH4 8h, ml]]/Table3.110[[#This Row],[Net gas 8h, ml]]%</f>
        <v>12.5</v>
      </c>
      <c r="AQ1118" s="94">
        <f>Table3.110[[#This Row],[CH4 24h, ml]]/Table3.110[[#This Row],[Net gas 24h, ml]]%</f>
        <v>14.067160774426791</v>
      </c>
      <c r="AR1118" s="94">
        <f>Table3.110[[#This Row],[CH4 24h, ml]]/Table3.110[[#This Row],[DM Incubated, mg]]*1000</f>
        <v>19.431770008210727</v>
      </c>
      <c r="AS1118" s="94">
        <f>Table3.110[[#This Row],[CH4 24h, ml]]/Table3.110[[#This Row],[Digested feed, mg]]*1000</f>
        <v>50.955142451050378</v>
      </c>
      <c r="AT1118" s="255">
        <f>Table3.110[[#This Row],[CH4 24h, ml]]/'3.2 Digest'!AA1118</f>
        <v>-0.81100513442058786</v>
      </c>
      <c r="AU1118" s="255">
        <f>((Table3.110[[#This Row],[CH4 24h, ml]]/28.9)*16.04)/Table3.110[[#This Row],[DM Incubated, mg]]*1000</f>
        <v>10.784968544349484</v>
      </c>
      <c r="AV1118" s="255">
        <f>((Table3.110[[#This Row],[CH4 24h, ml]]/28.9)*16.04)/Table3.110[[#This Row],[Digested feed, mg]]*1000</f>
        <v>28.280985637191975</v>
      </c>
    </row>
    <row r="1119" spans="2:48" x14ac:dyDescent="0.35">
      <c r="B1119" s="90">
        <f t="shared" si="17"/>
        <v>1109</v>
      </c>
      <c r="C1119" s="140">
        <v>46083</v>
      </c>
      <c r="D1119" s="6" t="s">
        <v>16</v>
      </c>
      <c r="E1119" s="6" t="s">
        <v>427</v>
      </c>
      <c r="F1119" s="242" t="s">
        <v>226</v>
      </c>
      <c r="G1119" s="242" t="s">
        <v>231</v>
      </c>
      <c r="H1119" s="6" t="s">
        <v>232</v>
      </c>
      <c r="I1119" s="133" t="s">
        <v>22</v>
      </c>
      <c r="J1119" s="135" t="s">
        <v>23</v>
      </c>
      <c r="K1119" s="135" t="s">
        <v>215</v>
      </c>
      <c r="L1119" s="6" t="s">
        <v>426</v>
      </c>
      <c r="M1119" s="256">
        <v>30</v>
      </c>
      <c r="N1119" s="256">
        <v>65</v>
      </c>
      <c r="O1119" s="256">
        <v>2</v>
      </c>
      <c r="P1119" s="257">
        <v>1</v>
      </c>
      <c r="Q1119" s="129">
        <v>33</v>
      </c>
      <c r="R1119" s="98">
        <v>0.50019999999999998</v>
      </c>
      <c r="S1119" s="94">
        <f>((Table3.110[[#This Row],[Sample weight, g]]*'2.1. DM'!Q271)/100)*1000</f>
        <v>472.2499747307188</v>
      </c>
      <c r="T1119" s="94">
        <f>'3.2 Digest'!W1119</f>
        <v>198.64997473071884</v>
      </c>
      <c r="U1119" s="117">
        <v>0.3347222222222222</v>
      </c>
      <c r="V1119" s="155">
        <v>41</v>
      </c>
      <c r="W1119" s="117">
        <v>0.67708333333333337</v>
      </c>
      <c r="X1119" s="96">
        <v>86.5</v>
      </c>
      <c r="Y1119" s="96">
        <v>13.9</v>
      </c>
      <c r="Z1119" s="155">
        <v>41</v>
      </c>
      <c r="AA1119" s="117">
        <v>0.37430555555555556</v>
      </c>
      <c r="AB1119" s="155">
        <v>87.5</v>
      </c>
      <c r="AC1119" s="155">
        <v>16.8</v>
      </c>
      <c r="AD1119" s="96"/>
      <c r="AE1119" s="94">
        <f>Table3.110[[#This Row],[Gas 8h, ml]]-Table3.110[[#This Row],[Gas 0h, ml]]</f>
        <v>45.5</v>
      </c>
      <c r="AF1119" s="94">
        <f>Table3.110[[#This Row],[Gas 24h, ml]]-Table3.110[[#This Row],[V8 Push back, ml]]</f>
        <v>46.5</v>
      </c>
      <c r="AG1119" s="94">
        <f>Table3.110[[#This Row],[GP 8h, ml]]-(AVERAGE(AE$1087,AE$1088,AE$1121,AE$1122,AE$1157,AE$1158))*$AG$8</f>
        <v>43.361233672775342</v>
      </c>
      <c r="AH1119" s="94">
        <f>Table3.110[[#This Row],[GP 8-24h, ml]]-(AVERAGE(AF$1087,AF$1088,AF$1121,AF$1122,AF$1157,AF$1158))*$AG$8</f>
        <v>43.623728042697877</v>
      </c>
      <c r="AI1119" s="94">
        <f>Table3.110[[#This Row],[Net gas 8-24h, ml]]+Table3.110[[#This Row],[Net gas 8h, ml]]</f>
        <v>86.984961715473219</v>
      </c>
      <c r="AJ1119" s="94">
        <f>Table3.110[[#This Row],[Net gas 8h, ml]]*Table3.110[[#This Row],[CH4 8h %]]%</f>
        <v>6.0272114805157733</v>
      </c>
      <c r="AK1119" s="94">
        <f>Table3.110[[#This Row],[Net gas 8-24h, ml]]*Table3.110[[#This Row],[CH4 24h, %]]%</f>
        <v>7.3287863111732436</v>
      </c>
      <c r="AL1119" s="94">
        <f>Table3.110[[#This Row],[CH4 8-24h, ml]]+Table3.110[[#This Row],[CH4 8h, ml]]</f>
        <v>13.355997791689017</v>
      </c>
      <c r="AM1119" s="94">
        <f>(Table3.110[[#This Row],[Net gas 24h, ml]]/Table3.110[[#This Row],[DM Incubated, mg]])*1000</f>
        <v>184.19262333486165</v>
      </c>
      <c r="AN1119" s="94">
        <f>'3.2 Digest'!X1119</f>
        <v>42.064581336185533</v>
      </c>
      <c r="AO1119" s="94">
        <f>Table3.110[[#This Row],[Digested feed, mg]]/Table3.110[[#This Row],[Net gas 24h, ml]]</f>
        <v>2.2837277940122633</v>
      </c>
      <c r="AP1119" s="94">
        <f>Table3.110[[#This Row],[CH4 8h, ml]]/Table3.110[[#This Row],[Net gas 8h, ml]]%</f>
        <v>13.900000000000002</v>
      </c>
      <c r="AQ1119" s="94">
        <f>Table3.110[[#This Row],[CH4 24h, ml]]/Table3.110[[#This Row],[Net gas 24h, ml]]%</f>
        <v>15.354375662515467</v>
      </c>
      <c r="AR1119" s="94">
        <f>Table3.110[[#This Row],[CH4 24h, ml]]/Table3.110[[#This Row],[DM Incubated, mg]]*1000</f>
        <v>28.281627329476784</v>
      </c>
      <c r="AS1119" s="94">
        <f>Table3.110[[#This Row],[CH4 24h, ml]]/Table3.110[[#This Row],[Digested feed, mg]]*1000</f>
        <v>67.233825777193374</v>
      </c>
      <c r="AT1119" s="255">
        <f>Table3.110[[#This Row],[CH4 24h, ml]]/'3.2 Digest'!AA1119</f>
        <v>-2.5483145953730082</v>
      </c>
      <c r="AU1119" s="255">
        <f>((Table3.110[[#This Row],[CH4 24h, ml]]/28.9)*16.04)/Table3.110[[#This Row],[DM Incubated, mg]]*1000</f>
        <v>15.696792469370505</v>
      </c>
      <c r="AV1119" s="255">
        <f>((Table3.110[[#This Row],[CH4 24h, ml]]/28.9)*16.04)/Table3.110[[#This Row],[Digested feed, mg]]*1000</f>
        <v>37.31593652132117</v>
      </c>
    </row>
    <row r="1120" spans="2:48" x14ac:dyDescent="0.35">
      <c r="B1120" s="90">
        <f t="shared" si="17"/>
        <v>1110</v>
      </c>
      <c r="C1120" s="140">
        <v>46083</v>
      </c>
      <c r="D1120" s="6" t="s">
        <v>16</v>
      </c>
      <c r="E1120" s="6" t="s">
        <v>427</v>
      </c>
      <c r="F1120" s="242" t="s">
        <v>226</v>
      </c>
      <c r="G1120" s="242" t="s">
        <v>231</v>
      </c>
      <c r="H1120" s="6" t="s">
        <v>232</v>
      </c>
      <c r="I1120" s="133" t="s">
        <v>22</v>
      </c>
      <c r="J1120" s="135" t="s">
        <v>23</v>
      </c>
      <c r="K1120" s="135" t="s">
        <v>215</v>
      </c>
      <c r="L1120" s="6" t="s">
        <v>426</v>
      </c>
      <c r="M1120" s="256">
        <v>30</v>
      </c>
      <c r="N1120" s="256">
        <v>65</v>
      </c>
      <c r="O1120" s="256">
        <v>2</v>
      </c>
      <c r="P1120" s="257">
        <v>2</v>
      </c>
      <c r="Q1120" s="129">
        <v>34</v>
      </c>
      <c r="R1120" s="98">
        <v>0.50019999999999998</v>
      </c>
      <c r="S1120" s="94">
        <f>((Table3.110[[#This Row],[Sample weight, g]]*'2.1. DM'!Q271)/100)*1000</f>
        <v>472.2499747307188</v>
      </c>
      <c r="T1120" s="94">
        <f>'3.2 Digest'!W1120</f>
        <v>226.84997473071886</v>
      </c>
      <c r="U1120" s="153">
        <v>0.33541666666666664</v>
      </c>
      <c r="V1120" s="154">
        <v>41</v>
      </c>
      <c r="W1120" s="153">
        <v>0.67777777777777781</v>
      </c>
      <c r="X1120" s="91">
        <v>86.5</v>
      </c>
      <c r="Y1120" s="91">
        <v>14.1</v>
      </c>
      <c r="Z1120" s="154">
        <v>41</v>
      </c>
      <c r="AA1120" s="153">
        <v>0.375</v>
      </c>
      <c r="AB1120" s="154">
        <v>90.5</v>
      </c>
      <c r="AC1120" s="154">
        <v>16.600000000000001</v>
      </c>
      <c r="AD1120" s="91"/>
      <c r="AE1120" s="94">
        <f>Table3.110[[#This Row],[Gas 8h, ml]]-Table3.110[[#This Row],[Gas 0h, ml]]</f>
        <v>45.5</v>
      </c>
      <c r="AF1120" s="94">
        <f>Table3.110[[#This Row],[Gas 24h, ml]]-Table3.110[[#This Row],[V8 Push back, ml]]</f>
        <v>49.5</v>
      </c>
      <c r="AG1120" s="94">
        <f>Table3.110[[#This Row],[GP 8h, ml]]-(AVERAGE(AE$1087,AE$1088,AE$1121,AE$1122,AE$1157,AE$1158))*$AG$8</f>
        <v>43.361233672775342</v>
      </c>
      <c r="AH1120" s="94">
        <f>Table3.110[[#This Row],[GP 8-24h, ml]]-(AVERAGE(AF$1087,AF$1088,AF$1121,AF$1122,AF$1157,AF$1158))*$AG$8</f>
        <v>46.623728042697877</v>
      </c>
      <c r="AI1120" s="94">
        <f>Table3.110[[#This Row],[Net gas 8-24h, ml]]+Table3.110[[#This Row],[Net gas 8h, ml]]</f>
        <v>89.984961715473219</v>
      </c>
      <c r="AJ1120" s="94">
        <f>Table3.110[[#This Row],[Net gas 8h, ml]]*Table3.110[[#This Row],[CH4 8h %]]%</f>
        <v>6.1139339478613222</v>
      </c>
      <c r="AK1120" s="94">
        <f>Table3.110[[#This Row],[Net gas 8-24h, ml]]*Table3.110[[#This Row],[CH4 24h, %]]%</f>
        <v>7.7395388550878481</v>
      </c>
      <c r="AL1120" s="94">
        <f>Table3.110[[#This Row],[CH4 8-24h, ml]]+Table3.110[[#This Row],[CH4 8h, ml]]</f>
        <v>13.85347280294917</v>
      </c>
      <c r="AM1120" s="94">
        <f>(Table3.110[[#This Row],[Net gas 24h, ml]]/Table3.110[[#This Row],[DM Incubated, mg]])*1000</f>
        <v>190.54519117080619</v>
      </c>
      <c r="AN1120" s="94">
        <f>'3.2 Digest'!X1120</f>
        <v>48.035995101973434</v>
      </c>
      <c r="AO1120" s="94">
        <f>Table3.110[[#This Row],[Digested feed, mg]]/Table3.110[[#This Row],[Net gas 24h, ml]]</f>
        <v>2.5209765099195596</v>
      </c>
      <c r="AP1120" s="94">
        <f>Table3.110[[#This Row],[CH4 8h, ml]]/Table3.110[[#This Row],[Net gas 8h, ml]]%</f>
        <v>14.099999999999998</v>
      </c>
      <c r="AQ1120" s="94">
        <f>Table3.110[[#This Row],[CH4 24h, ml]]/Table3.110[[#This Row],[Net gas 24h, ml]]%</f>
        <v>15.395319994415265</v>
      </c>
      <c r="AR1120" s="94">
        <f>Table3.110[[#This Row],[CH4 24h, ml]]/Table3.110[[#This Row],[DM Incubated, mg]]*1000</f>
        <v>29.335041914715919</v>
      </c>
      <c r="AS1120" s="94">
        <f>Table3.110[[#This Row],[CH4 24h, ml]]/Table3.110[[#This Row],[Digested feed, mg]]*1000</f>
        <v>61.06887523083865</v>
      </c>
      <c r="AT1120" s="255">
        <f>Table3.110[[#This Row],[CH4 24h, ml]]/'3.2 Digest'!AA1120</f>
        <v>2.4711384916889303</v>
      </c>
      <c r="AU1120" s="255">
        <f>((Table3.110[[#This Row],[CH4 24h, ml]]/28.9)*16.04)/Table3.110[[#This Row],[DM Incubated, mg]]*1000</f>
        <v>16.281455789344061</v>
      </c>
      <c r="AV1120" s="255">
        <f>((Table3.110[[#This Row],[CH4 24h, ml]]/28.9)*16.04)/Table3.110[[#This Row],[Digested feed, mg]]*1000</f>
        <v>33.894282308050244</v>
      </c>
    </row>
    <row r="1121" spans="2:48" x14ac:dyDescent="0.35">
      <c r="B1121" s="90">
        <f t="shared" si="17"/>
        <v>1111</v>
      </c>
      <c r="C1121" s="143">
        <v>46083</v>
      </c>
      <c r="D1121" s="6"/>
      <c r="E1121" s="124" t="s">
        <v>541</v>
      </c>
      <c r="F1121" s="242" t="s">
        <v>538</v>
      </c>
      <c r="G1121" s="242" t="s">
        <v>542</v>
      </c>
      <c r="H1121" s="124" t="s">
        <v>541</v>
      </c>
      <c r="I1121" s="133"/>
      <c r="J1121" s="135"/>
      <c r="K1121" s="135"/>
      <c r="L1121" s="124" t="s">
        <v>543</v>
      </c>
      <c r="M1121" s="256">
        <v>30</v>
      </c>
      <c r="N1121" s="256">
        <v>65</v>
      </c>
      <c r="O1121" s="256">
        <v>2</v>
      </c>
      <c r="P1121" s="257">
        <v>1</v>
      </c>
      <c r="Q1121" s="146">
        <v>35</v>
      </c>
      <c r="R1121" s="98"/>
      <c r="S1121" s="94"/>
      <c r="T1121" s="94"/>
      <c r="U1121" s="149">
        <v>0.33541666666666664</v>
      </c>
      <c r="V1121" s="150">
        <v>39.5</v>
      </c>
      <c r="W1121" s="149">
        <v>0.67777777777777781</v>
      </c>
      <c r="X1121" s="163">
        <v>42</v>
      </c>
      <c r="Y1121" s="163"/>
      <c r="Z1121" s="150"/>
      <c r="AA1121" s="149"/>
      <c r="AB1121" s="150"/>
      <c r="AC1121" s="150"/>
      <c r="AD1121" s="163"/>
      <c r="AE1121" s="94">
        <f>Table3.110[[#This Row],[Gas 8h, ml]]-Table3.110[[#This Row],[Gas 0h, ml]]</f>
        <v>2.5</v>
      </c>
      <c r="AF1121" s="94"/>
      <c r="AG1121" s="94"/>
      <c r="AH1121" s="94"/>
      <c r="AI1121" s="94"/>
      <c r="AJ1121" s="94"/>
      <c r="AK1121" s="94"/>
      <c r="AL1121" s="94"/>
      <c r="AM1121" s="94"/>
      <c r="AN1121" s="94"/>
      <c r="AO1121" s="94"/>
      <c r="AP1121" s="94"/>
      <c r="AQ1121" s="94"/>
      <c r="AR1121" s="94"/>
      <c r="AS1121" s="94"/>
      <c r="AT1121" s="255"/>
      <c r="AU1121" s="255"/>
      <c r="AV1121" s="255"/>
    </row>
    <row r="1122" spans="2:48" x14ac:dyDescent="0.35">
      <c r="B1122" s="90">
        <f t="shared" si="17"/>
        <v>1112</v>
      </c>
      <c r="C1122" s="143">
        <v>46083</v>
      </c>
      <c r="D1122" s="6"/>
      <c r="E1122" s="124" t="s">
        <v>541</v>
      </c>
      <c r="F1122" s="242" t="s">
        <v>538</v>
      </c>
      <c r="G1122" s="242" t="s">
        <v>542</v>
      </c>
      <c r="H1122" s="124" t="s">
        <v>541</v>
      </c>
      <c r="I1122" s="133"/>
      <c r="J1122" s="135"/>
      <c r="K1122" s="135"/>
      <c r="L1122" s="124" t="s">
        <v>543</v>
      </c>
      <c r="M1122" s="256">
        <v>30</v>
      </c>
      <c r="N1122" s="256">
        <v>65</v>
      </c>
      <c r="O1122" s="256">
        <v>2</v>
      </c>
      <c r="P1122" s="257">
        <v>2</v>
      </c>
      <c r="Q1122" s="146">
        <v>36</v>
      </c>
      <c r="R1122" s="98"/>
      <c r="S1122" s="94"/>
      <c r="T1122" s="94"/>
      <c r="U1122" s="151">
        <v>0.33541666666666664</v>
      </c>
      <c r="V1122" s="152">
        <v>40.5</v>
      </c>
      <c r="W1122" s="151">
        <v>0.67847222222222225</v>
      </c>
      <c r="X1122" s="164">
        <v>42.5</v>
      </c>
      <c r="Y1122" s="164"/>
      <c r="Z1122" s="152"/>
      <c r="AA1122" s="151"/>
      <c r="AB1122" s="152"/>
      <c r="AC1122" s="152"/>
      <c r="AD1122" s="164"/>
      <c r="AE1122" s="94">
        <f>Table3.110[[#This Row],[Gas 8h, ml]]-Table3.110[[#This Row],[Gas 0h, ml]]</f>
        <v>2</v>
      </c>
      <c r="AF1122" s="94"/>
      <c r="AG1122" s="94"/>
      <c r="AH1122" s="94"/>
      <c r="AI1122" s="94"/>
      <c r="AJ1122" s="94"/>
      <c r="AK1122" s="94"/>
      <c r="AL1122" s="94"/>
      <c r="AM1122" s="94"/>
      <c r="AN1122" s="94"/>
      <c r="AO1122" s="94"/>
      <c r="AP1122" s="94"/>
      <c r="AQ1122" s="94"/>
      <c r="AR1122" s="94"/>
      <c r="AS1122" s="94"/>
      <c r="AT1122" s="255"/>
      <c r="AU1122" s="255"/>
      <c r="AV1122" s="255"/>
    </row>
    <row r="1123" spans="2:48" x14ac:dyDescent="0.35">
      <c r="B1123" s="90">
        <f t="shared" si="17"/>
        <v>1113</v>
      </c>
      <c r="C1123" s="140">
        <v>46083</v>
      </c>
      <c r="D1123" s="6" t="s">
        <v>16</v>
      </c>
      <c r="E1123" s="6" t="s">
        <v>429</v>
      </c>
      <c r="F1123" s="242" t="s">
        <v>212</v>
      </c>
      <c r="G1123" s="242" t="s">
        <v>213</v>
      </c>
      <c r="H1123" s="6" t="s">
        <v>214</v>
      </c>
      <c r="I1123" s="133" t="s">
        <v>22</v>
      </c>
      <c r="J1123" s="135" t="s">
        <v>23</v>
      </c>
      <c r="K1123" s="135" t="s">
        <v>215</v>
      </c>
      <c r="L1123" s="6" t="s">
        <v>428</v>
      </c>
      <c r="M1123" s="256">
        <v>30</v>
      </c>
      <c r="N1123" s="256">
        <v>65</v>
      </c>
      <c r="O1123" s="256">
        <v>2</v>
      </c>
      <c r="P1123" s="257">
        <v>1</v>
      </c>
      <c r="Q1123" s="129">
        <v>37</v>
      </c>
      <c r="R1123" s="98">
        <v>0.50009999999999999</v>
      </c>
      <c r="S1123" s="94">
        <f>((Table3.110[[#This Row],[Sample weight, g]]*'2.1. DM'!Q273)/100)*1000</f>
        <v>466.75176497001524</v>
      </c>
      <c r="T1123" s="94">
        <f>'3.2 Digest'!W1123</f>
        <v>181.35176497001515</v>
      </c>
      <c r="U1123" s="153">
        <v>0.33541666666666664</v>
      </c>
      <c r="V1123" s="154">
        <v>41</v>
      </c>
      <c r="W1123" s="153">
        <v>0.67847222222222225</v>
      </c>
      <c r="X1123" s="91">
        <v>72</v>
      </c>
      <c r="Y1123" s="91">
        <v>13.9</v>
      </c>
      <c r="Z1123" s="154">
        <v>41</v>
      </c>
      <c r="AA1123" s="153">
        <v>0.37569444444444444</v>
      </c>
      <c r="AB1123" s="154">
        <v>78.5</v>
      </c>
      <c r="AC1123" s="154">
        <v>16</v>
      </c>
      <c r="AD1123" s="91"/>
      <c r="AE1123" s="94">
        <f>Table3.110[[#This Row],[Gas 8h, ml]]-Table3.110[[#This Row],[Gas 0h, ml]]</f>
        <v>31</v>
      </c>
      <c r="AF1123" s="94">
        <f>Table3.110[[#This Row],[Gas 24h, ml]]-Table3.110[[#This Row],[V8 Push back, ml]]</f>
        <v>37.5</v>
      </c>
      <c r="AG1123" s="94">
        <f>Table3.110[[#This Row],[GP 8h, ml]]-(AVERAGE(AE$1087,AE$1088,AE$1121,AE$1122,AE$1157,AE$1158))*$AG$8</f>
        <v>28.861233672775342</v>
      </c>
      <c r="AH1123" s="94">
        <f>Table3.110[[#This Row],[GP 8-24h, ml]]-(AVERAGE(AF$1087,AF$1088,AF$1121,AF$1122,AF$1157,AF$1158))*$AG$8</f>
        <v>34.623728042697877</v>
      </c>
      <c r="AI1123" s="94">
        <f>Table3.110[[#This Row],[Net gas 8-24h, ml]]+Table3.110[[#This Row],[Net gas 8h, ml]]</f>
        <v>63.484961715473219</v>
      </c>
      <c r="AJ1123" s="94">
        <f>Table3.110[[#This Row],[Net gas 8h, ml]]*Table3.110[[#This Row],[CH4 8h %]]%</f>
        <v>4.011711480515773</v>
      </c>
      <c r="AK1123" s="94">
        <f>Table3.110[[#This Row],[Net gas 8-24h, ml]]*Table3.110[[#This Row],[CH4 24h, %]]%</f>
        <v>5.5397964868316603</v>
      </c>
      <c r="AL1123" s="94">
        <f>Table3.110[[#This Row],[CH4 8-24h, ml]]+Table3.110[[#This Row],[CH4 8h, ml]]</f>
        <v>9.5515079673474332</v>
      </c>
      <c r="AM1123" s="94">
        <f>(Table3.110[[#This Row],[Net gas 24h, ml]]/Table3.110[[#This Row],[DM Incubated, mg]])*1000</f>
        <v>136.01440097297024</v>
      </c>
      <c r="AN1123" s="94">
        <f>'3.2 Digest'!X1123</f>
        <v>38.854007329070392</v>
      </c>
      <c r="AO1123" s="94">
        <f>Table3.110[[#This Row],[Digested feed, mg]]/Table3.110[[#This Row],[Net gas 24h, ml]]</f>
        <v>2.856609818602351</v>
      </c>
      <c r="AP1123" s="94">
        <f>Table3.110[[#This Row],[CH4 8h, ml]]/Table3.110[[#This Row],[Net gas 8h, ml]]%</f>
        <v>13.9</v>
      </c>
      <c r="AQ1123" s="94">
        <f>Table3.110[[#This Row],[CH4 24h, ml]]/Table3.110[[#This Row],[Net gas 24h, ml]]%</f>
        <v>15.045307911116593</v>
      </c>
      <c r="AR1123" s="94">
        <f>Table3.110[[#This Row],[CH4 24h, ml]]/Table3.110[[#This Row],[DM Incubated, mg]]*1000</f>
        <v>20.463785429844137</v>
      </c>
      <c r="AS1123" s="94">
        <f>Table3.110[[#This Row],[CH4 24h, ml]]/Table3.110[[#This Row],[Digested feed, mg]]*1000</f>
        <v>52.668403690069887</v>
      </c>
      <c r="AT1123" s="255">
        <f>Table3.110[[#This Row],[CH4 24h, ml]]/'3.2 Digest'!AA1123</f>
        <v>-1.1931604712013659</v>
      </c>
      <c r="AU1123" s="255">
        <f>((Table3.110[[#This Row],[CH4 24h, ml]]/28.9)*16.04)/Table3.110[[#This Row],[DM Incubated, mg]]*1000</f>
        <v>11.357754958294118</v>
      </c>
      <c r="AV1123" s="255">
        <f>((Table3.110[[#This Row],[CH4 24h, ml]]/28.9)*16.04)/Table3.110[[#This Row],[Digested feed, mg]]*1000</f>
        <v>29.231875266045712</v>
      </c>
    </row>
    <row r="1124" spans="2:48" x14ac:dyDescent="0.35">
      <c r="B1124" s="90">
        <f t="shared" si="17"/>
        <v>1114</v>
      </c>
      <c r="C1124" s="140">
        <v>46083</v>
      </c>
      <c r="D1124" s="6" t="s">
        <v>16</v>
      </c>
      <c r="E1124" s="6" t="s">
        <v>429</v>
      </c>
      <c r="F1124" s="242" t="s">
        <v>212</v>
      </c>
      <c r="G1124" s="242" t="s">
        <v>213</v>
      </c>
      <c r="H1124" s="6" t="s">
        <v>214</v>
      </c>
      <c r="I1124" s="133" t="s">
        <v>22</v>
      </c>
      <c r="J1124" s="135" t="s">
        <v>23</v>
      </c>
      <c r="K1124" s="135" t="s">
        <v>215</v>
      </c>
      <c r="L1124" s="6" t="s">
        <v>428</v>
      </c>
      <c r="M1124" s="256">
        <v>30</v>
      </c>
      <c r="N1124" s="256">
        <v>65</v>
      </c>
      <c r="O1124" s="256">
        <v>2</v>
      </c>
      <c r="P1124" s="257">
        <v>2</v>
      </c>
      <c r="Q1124" s="129">
        <v>38</v>
      </c>
      <c r="R1124" s="98">
        <v>0.50009999999999999</v>
      </c>
      <c r="S1124" s="94">
        <f>((Table3.110[[#This Row],[Sample weight, g]]*'2.1. DM'!Q273)/100)*1000</f>
        <v>466.75176497001524</v>
      </c>
      <c r="T1124" s="94">
        <f>'3.2 Digest'!W1124</f>
        <v>136.35176497001521</v>
      </c>
      <c r="U1124" s="117">
        <v>0.33611111111111114</v>
      </c>
      <c r="V1124" s="155">
        <v>41</v>
      </c>
      <c r="W1124" s="117">
        <v>0.6791666666666667</v>
      </c>
      <c r="X1124" s="96">
        <v>72.5</v>
      </c>
      <c r="Y1124" s="96">
        <v>14.1</v>
      </c>
      <c r="Z1124" s="155">
        <v>41</v>
      </c>
      <c r="AA1124" s="117">
        <v>0.37569444444444444</v>
      </c>
      <c r="AB1124" s="155">
        <v>77.5</v>
      </c>
      <c r="AC1124" s="155">
        <v>15.8</v>
      </c>
      <c r="AD1124" s="96" t="s">
        <v>599</v>
      </c>
      <c r="AE1124" s="94">
        <f>Table3.110[[#This Row],[Gas 8h, ml]]-Table3.110[[#This Row],[Gas 0h, ml]]</f>
        <v>31.5</v>
      </c>
      <c r="AF1124" s="94">
        <f>Table3.110[[#This Row],[Gas 24h, ml]]-Table3.110[[#This Row],[V8 Push back, ml]]</f>
        <v>36.5</v>
      </c>
      <c r="AG1124" s="94">
        <f>Table3.110[[#This Row],[GP 8h, ml]]-(AVERAGE(AE$1087,AE$1088,AE$1121,AE$1122,AE$1157,AE$1158))*$AG$8</f>
        <v>29.361233672775342</v>
      </c>
      <c r="AH1124" s="94">
        <f>Table3.110[[#This Row],[GP 8-24h, ml]]-(AVERAGE(AF$1087,AF$1088,AF$1121,AF$1122,AF$1157,AF$1158))*$AG$8</f>
        <v>33.623728042697877</v>
      </c>
      <c r="AI1124" s="94">
        <f>Table3.110[[#This Row],[Net gas 8-24h, ml]]+Table3.110[[#This Row],[Net gas 8h, ml]]</f>
        <v>62.984961715473219</v>
      </c>
      <c r="AJ1124" s="94">
        <f>Table3.110[[#This Row],[Net gas 8h, ml]]*Table3.110[[#This Row],[CH4 8h %]]%</f>
        <v>4.1399339478613228</v>
      </c>
      <c r="AK1124" s="94">
        <f>Table3.110[[#This Row],[Net gas 8-24h, ml]]*Table3.110[[#This Row],[CH4 24h, %]]%</f>
        <v>5.3125490307462648</v>
      </c>
      <c r="AL1124" s="94">
        <f>Table3.110[[#This Row],[CH4 8-24h, ml]]+Table3.110[[#This Row],[CH4 8h, ml]]</f>
        <v>9.4524829786075877</v>
      </c>
      <c r="AM1124" s="94">
        <f>(Table3.110[[#This Row],[Net gas 24h, ml]]/Table3.110[[#This Row],[DM Incubated, mg]])*1000</f>
        <v>134.94316774467785</v>
      </c>
      <c r="AN1124" s="94">
        <f>'3.2 Digest'!X1124</f>
        <v>29.212908274438902</v>
      </c>
      <c r="AO1124" s="94">
        <f>Table3.110[[#This Row],[Digested feed, mg]]/Table3.110[[#This Row],[Net gas 24h, ml]]</f>
        <v>2.1648304810593908</v>
      </c>
      <c r="AP1124" s="94">
        <f>Table3.110[[#This Row],[CH4 8h, ml]]/Table3.110[[#This Row],[Net gas 8h, ml]]%</f>
        <v>14.099999999999998</v>
      </c>
      <c r="AQ1124" s="94">
        <f>Table3.110[[#This Row],[CH4 24h, ml]]/Table3.110[[#This Row],[Net gas 24h, ml]]%</f>
        <v>15.007523575719569</v>
      </c>
      <c r="AR1124" s="94">
        <f>Table3.110[[#This Row],[CH4 24h, ml]]/Table3.110[[#This Row],[DM Incubated, mg]]*1000</f>
        <v>20.251627713105332</v>
      </c>
      <c r="AS1124" s="94">
        <f>Table3.110[[#This Row],[CH4 24h, ml]]/Table3.110[[#This Row],[Digested feed, mg]]*1000</f>
        <v>69.324243662605028</v>
      </c>
      <c r="AT1124" s="255">
        <f>Table3.110[[#This Row],[CH4 24h, ml]]/'3.2 Digest'!AA1124</f>
        <v>-0.37757417867421944</v>
      </c>
      <c r="AU1124" s="255">
        <f>((Table3.110[[#This Row],[CH4 24h, ml]]/28.9)*16.04)/Table3.110[[#This Row],[DM Incubated, mg]]*1000</f>
        <v>11.240003754955346</v>
      </c>
      <c r="AV1124" s="255">
        <f>((Table3.110[[#This Row],[CH4 24h, ml]]/28.9)*16.04)/Table3.110[[#This Row],[Digested feed, mg]]*1000</f>
        <v>38.476154614124034</v>
      </c>
    </row>
    <row r="1125" spans="2:48" x14ac:dyDescent="0.35">
      <c r="B1125" s="90">
        <f t="shared" si="17"/>
        <v>1115</v>
      </c>
      <c r="C1125" s="140">
        <v>46083</v>
      </c>
      <c r="D1125" s="6" t="s">
        <v>16</v>
      </c>
      <c r="E1125" s="6" t="s">
        <v>431</v>
      </c>
      <c r="F1125" s="242" t="s">
        <v>212</v>
      </c>
      <c r="G1125" s="242" t="s">
        <v>404</v>
      </c>
      <c r="H1125" s="6" t="s">
        <v>433</v>
      </c>
      <c r="I1125" s="133" t="s">
        <v>22</v>
      </c>
      <c r="J1125" s="135" t="s">
        <v>23</v>
      </c>
      <c r="K1125" s="135" t="s">
        <v>215</v>
      </c>
      <c r="L1125" s="6" t="s">
        <v>430</v>
      </c>
      <c r="M1125" s="256">
        <v>30</v>
      </c>
      <c r="N1125" s="256">
        <v>65</v>
      </c>
      <c r="O1125" s="256">
        <v>2</v>
      </c>
      <c r="P1125" s="257">
        <v>1</v>
      </c>
      <c r="Q1125" s="129">
        <v>39</v>
      </c>
      <c r="R1125" s="98">
        <v>0.50009999999999999</v>
      </c>
      <c r="S1125" s="94">
        <f>((Table3.110[[#This Row],[Sample weight, g]]*'2.1. DM'!Q275)/100)*1000</f>
        <v>477.85779315469205</v>
      </c>
      <c r="T1125" s="94">
        <f>'3.2 Digest'!W1125</f>
        <v>147.75779315469197</v>
      </c>
      <c r="U1125" s="117">
        <v>0.33611111111111114</v>
      </c>
      <c r="V1125" s="155">
        <v>40.5</v>
      </c>
      <c r="W1125" s="117">
        <v>0.6791666666666667</v>
      </c>
      <c r="X1125" s="96">
        <v>73</v>
      </c>
      <c r="Y1125" s="96">
        <v>12.3</v>
      </c>
      <c r="Z1125" s="155">
        <v>40.5</v>
      </c>
      <c r="AA1125" s="117">
        <v>0.37638888888888888</v>
      </c>
      <c r="AB1125" s="155">
        <v>74</v>
      </c>
      <c r="AC1125" s="155">
        <v>15.8</v>
      </c>
      <c r="AD1125" s="96"/>
      <c r="AE1125" s="94">
        <f>Table3.110[[#This Row],[Gas 8h, ml]]-Table3.110[[#This Row],[Gas 0h, ml]]</f>
        <v>32.5</v>
      </c>
      <c r="AF1125" s="94">
        <f>Table3.110[[#This Row],[Gas 24h, ml]]-Table3.110[[#This Row],[V8 Push back, ml]]</f>
        <v>33.5</v>
      </c>
      <c r="AG1125" s="94">
        <f>Table3.110[[#This Row],[GP 8h, ml]]-(AVERAGE(AE$1087,AE$1088,AE$1121,AE$1122,AE$1157,AE$1158))*$AG$8</f>
        <v>30.361233672775342</v>
      </c>
      <c r="AH1125" s="94">
        <f>Table3.110[[#This Row],[GP 8-24h, ml]]-(AVERAGE(AF$1087,AF$1088,AF$1121,AF$1122,AF$1157,AF$1158))*$AG$8</f>
        <v>30.623728042697874</v>
      </c>
      <c r="AI1125" s="94">
        <f>Table3.110[[#This Row],[Net gas 8-24h, ml]]+Table3.110[[#This Row],[Net gas 8h, ml]]</f>
        <v>60.984961715473219</v>
      </c>
      <c r="AJ1125" s="94">
        <f>Table3.110[[#This Row],[Net gas 8h, ml]]*Table3.110[[#This Row],[CH4 8h %]]%</f>
        <v>3.7344317417513673</v>
      </c>
      <c r="AK1125" s="94">
        <f>Table3.110[[#This Row],[Net gas 8-24h, ml]]*Table3.110[[#This Row],[CH4 24h, %]]%</f>
        <v>4.8385490307462637</v>
      </c>
      <c r="AL1125" s="94">
        <f>Table3.110[[#This Row],[CH4 8-24h, ml]]+Table3.110[[#This Row],[CH4 8h, ml]]</f>
        <v>8.5729807724976315</v>
      </c>
      <c r="AM1125" s="94">
        <f>(Table3.110[[#This Row],[Net gas 24h, ml]]/Table3.110[[#This Row],[DM Incubated, mg]])*1000</f>
        <v>127.62156982491898</v>
      </c>
      <c r="AN1125" s="94">
        <f>'3.2 Digest'!X1125</f>
        <v>30.920871286671648</v>
      </c>
      <c r="AO1125" s="94">
        <f>Table3.110[[#This Row],[Digested feed, mg]]/Table3.110[[#This Row],[Net gas 24h, ml]]</f>
        <v>2.4228562091103614</v>
      </c>
      <c r="AP1125" s="94">
        <f>Table3.110[[#This Row],[CH4 8h, ml]]/Table3.110[[#This Row],[Net gas 8h, ml]]%</f>
        <v>12.300000000000002</v>
      </c>
      <c r="AQ1125" s="94">
        <f>Table3.110[[#This Row],[CH4 24h, ml]]/Table3.110[[#This Row],[Net gas 24h, ml]]%</f>
        <v>14.057532433151431</v>
      </c>
      <c r="AR1125" s="94">
        <f>Table3.110[[#This Row],[CH4 24h, ml]]/Table3.110[[#This Row],[DM Incubated, mg]]*1000</f>
        <v>17.940443569834986</v>
      </c>
      <c r="AS1125" s="94">
        <f>Table3.110[[#This Row],[CH4 24h, ml]]/Table3.110[[#This Row],[Digested feed, mg]]*1000</f>
        <v>58.020498204939528</v>
      </c>
      <c r="AT1125" s="255">
        <f>Table3.110[[#This Row],[CH4 24h, ml]]/'3.2 Digest'!AA1125</f>
        <v>-0.53982294132813902</v>
      </c>
      <c r="AU1125" s="255">
        <f>((Table3.110[[#This Row],[CH4 24h, ml]]/28.9)*16.04)/Table3.110[[#This Row],[DM Incubated, mg]]*1000</f>
        <v>9.9572565695554722</v>
      </c>
      <c r="AV1125" s="255">
        <f>((Table3.110[[#This Row],[CH4 24h, ml]]/28.9)*16.04)/Table3.110[[#This Row],[Digested feed, mg]]*1000</f>
        <v>32.20238031858927</v>
      </c>
    </row>
    <row r="1126" spans="2:48" x14ac:dyDescent="0.35">
      <c r="B1126" s="90">
        <f t="shared" si="17"/>
        <v>1116</v>
      </c>
      <c r="C1126" s="140">
        <v>46083</v>
      </c>
      <c r="D1126" s="6" t="s">
        <v>16</v>
      </c>
      <c r="E1126" s="6" t="s">
        <v>431</v>
      </c>
      <c r="F1126" s="242" t="s">
        <v>212</v>
      </c>
      <c r="G1126" s="242" t="s">
        <v>404</v>
      </c>
      <c r="H1126" s="6" t="s">
        <v>433</v>
      </c>
      <c r="I1126" s="133" t="s">
        <v>22</v>
      </c>
      <c r="J1126" s="135" t="s">
        <v>23</v>
      </c>
      <c r="K1126" s="135" t="s">
        <v>215</v>
      </c>
      <c r="L1126" s="6" t="s">
        <v>430</v>
      </c>
      <c r="M1126" s="256">
        <v>30</v>
      </c>
      <c r="N1126" s="256">
        <v>65</v>
      </c>
      <c r="O1126" s="256">
        <v>2</v>
      </c>
      <c r="P1126" s="257">
        <v>2</v>
      </c>
      <c r="Q1126" s="129">
        <v>40</v>
      </c>
      <c r="R1126" s="98">
        <v>0.50019999999999998</v>
      </c>
      <c r="S1126" s="94">
        <f>((Table3.110[[#This Row],[Sample weight, g]]*'2.1. DM'!Q275)/100)*1000</f>
        <v>477.95334560283339</v>
      </c>
      <c r="T1126" s="94">
        <f>'3.2 Digest'!W1126</f>
        <v>183.95334560283334</v>
      </c>
      <c r="U1126" s="153">
        <v>0.33680555555555558</v>
      </c>
      <c r="V1126" s="154">
        <v>40.5</v>
      </c>
      <c r="W1126" s="153">
        <v>0.67986111111111114</v>
      </c>
      <c r="X1126" s="91">
        <v>72.5</v>
      </c>
      <c r="Y1126" s="91">
        <v>13.3</v>
      </c>
      <c r="Z1126" s="154">
        <v>40</v>
      </c>
      <c r="AA1126" s="153">
        <v>0.37708333333333333</v>
      </c>
      <c r="AB1126" s="154">
        <v>74.5</v>
      </c>
      <c r="AC1126" s="154">
        <v>16</v>
      </c>
      <c r="AD1126" s="91"/>
      <c r="AE1126" s="94">
        <f>Table3.110[[#This Row],[Gas 8h, ml]]-Table3.110[[#This Row],[Gas 0h, ml]]</f>
        <v>32</v>
      </c>
      <c r="AF1126" s="94">
        <f>Table3.110[[#This Row],[Gas 24h, ml]]-Table3.110[[#This Row],[V8 Push back, ml]]</f>
        <v>34.5</v>
      </c>
      <c r="AG1126" s="94">
        <f>Table3.110[[#This Row],[GP 8h, ml]]-(AVERAGE(AE$1087,AE$1088,AE$1121,AE$1122,AE$1157,AE$1158))*$AG$8</f>
        <v>29.861233672775342</v>
      </c>
      <c r="AH1126" s="94">
        <f>Table3.110[[#This Row],[GP 8-24h, ml]]-(AVERAGE(AF$1087,AF$1088,AF$1121,AF$1122,AF$1157,AF$1158))*$AG$8</f>
        <v>31.623728042697874</v>
      </c>
      <c r="AI1126" s="94">
        <f>Table3.110[[#This Row],[Net gas 8-24h, ml]]+Table3.110[[#This Row],[Net gas 8h, ml]]</f>
        <v>61.484961715473219</v>
      </c>
      <c r="AJ1126" s="94">
        <f>Table3.110[[#This Row],[Net gas 8h, ml]]*Table3.110[[#This Row],[CH4 8h %]]%</f>
        <v>3.9715440784791207</v>
      </c>
      <c r="AK1126" s="94">
        <f>Table3.110[[#This Row],[Net gas 8-24h, ml]]*Table3.110[[#This Row],[CH4 24h, %]]%</f>
        <v>5.0597964868316598</v>
      </c>
      <c r="AL1126" s="94">
        <f>Table3.110[[#This Row],[CH4 8-24h, ml]]+Table3.110[[#This Row],[CH4 8h, ml]]</f>
        <v>9.0313405653107814</v>
      </c>
      <c r="AM1126" s="94">
        <f>(Table3.110[[#This Row],[Net gas 24h, ml]]/Table3.110[[#This Row],[DM Incubated, mg]])*1000</f>
        <v>128.642182926711</v>
      </c>
      <c r="AN1126" s="94">
        <f>'3.2 Digest'!X1126</f>
        <v>38.487720045314575</v>
      </c>
      <c r="AO1126" s="94">
        <f>Table3.110[[#This Row],[Digested feed, mg]]/Table3.110[[#This Row],[Net gas 24h, ml]]</f>
        <v>2.9918428908534214</v>
      </c>
      <c r="AP1126" s="94">
        <f>Table3.110[[#This Row],[CH4 8h, ml]]/Table3.110[[#This Row],[Net gas 8h, ml]]%</f>
        <v>13.300000000000002</v>
      </c>
      <c r="AQ1126" s="94">
        <f>Table3.110[[#This Row],[CH4 24h, ml]]/Table3.110[[#This Row],[Net gas 24h, ml]]%</f>
        <v>14.688698363518647</v>
      </c>
      <c r="AR1126" s="94">
        <f>Table3.110[[#This Row],[CH4 24h, ml]]/Table3.110[[#This Row],[DM Incubated, mg]]*1000</f>
        <v>18.895862218350466</v>
      </c>
      <c r="AS1126" s="94">
        <f>Table3.110[[#This Row],[CH4 24h, ml]]/Table3.110[[#This Row],[Digested feed, mg]]*1000</f>
        <v>49.095821202458609</v>
      </c>
      <c r="AT1126" s="255">
        <f>Table3.110[[#This Row],[CH4 24h, ml]]/'3.2 Digest'!AA1126</f>
        <v>-2.8332598655704091</v>
      </c>
      <c r="AU1126" s="255">
        <f>((Table3.110[[#This Row],[CH4 24h, ml]]/28.9)*16.04)/Table3.110[[#This Row],[DM Incubated, mg]]*1000</f>
        <v>10.487530449215969</v>
      </c>
      <c r="AV1126" s="255">
        <f>((Table3.110[[#This Row],[CH4 24h, ml]]/28.9)*16.04)/Table3.110[[#This Row],[Digested feed, mg]]*1000</f>
        <v>27.249030176035852</v>
      </c>
    </row>
    <row r="1127" spans="2:48" x14ac:dyDescent="0.35">
      <c r="B1127" s="90">
        <f t="shared" si="17"/>
        <v>1117</v>
      </c>
      <c r="C1127" s="140">
        <v>46083</v>
      </c>
      <c r="D1127" s="6" t="s">
        <v>16</v>
      </c>
      <c r="E1127" s="6" t="s">
        <v>435</v>
      </c>
      <c r="F1127" s="242" t="s">
        <v>219</v>
      </c>
      <c r="G1127" s="242" t="s">
        <v>220</v>
      </c>
      <c r="H1127" s="6" t="s">
        <v>221</v>
      </c>
      <c r="I1127" s="133" t="s">
        <v>22</v>
      </c>
      <c r="J1127" s="135" t="s">
        <v>23</v>
      </c>
      <c r="K1127" s="135" t="s">
        <v>215</v>
      </c>
      <c r="L1127" s="6" t="s">
        <v>434</v>
      </c>
      <c r="M1127" s="256">
        <v>30</v>
      </c>
      <c r="N1127" s="256">
        <v>65</v>
      </c>
      <c r="O1127" s="256">
        <v>2</v>
      </c>
      <c r="P1127" s="257">
        <v>1</v>
      </c>
      <c r="Q1127" s="129">
        <v>41</v>
      </c>
      <c r="R1127" s="98">
        <v>0.5</v>
      </c>
      <c r="S1127" s="94">
        <f>((Table3.110[[#This Row],[Sample weight, g]]*'2.1. DM'!Q277)/100)*1000</f>
        <v>454.4931747861948</v>
      </c>
      <c r="T1127" s="94">
        <f>'3.2 Digest'!W1127</f>
        <v>287.69317478619485</v>
      </c>
      <c r="U1127" s="153">
        <v>0.33680555555555558</v>
      </c>
      <c r="V1127" s="154">
        <v>40.5</v>
      </c>
      <c r="W1127" s="153">
        <v>0.68055555555555558</v>
      </c>
      <c r="X1127" s="91">
        <v>82.5</v>
      </c>
      <c r="Y1127" s="91">
        <v>13.8</v>
      </c>
      <c r="Z1127" s="154">
        <v>40</v>
      </c>
      <c r="AA1127" s="153">
        <v>0.37777777777777777</v>
      </c>
      <c r="AB1127" s="154">
        <v>89</v>
      </c>
      <c r="AC1127" s="154">
        <v>18.2</v>
      </c>
      <c r="AD1127" s="91"/>
      <c r="AE1127" s="94">
        <f>Table3.110[[#This Row],[Gas 8h, ml]]-Table3.110[[#This Row],[Gas 0h, ml]]</f>
        <v>42</v>
      </c>
      <c r="AF1127" s="94">
        <f>Table3.110[[#This Row],[Gas 24h, ml]]-Table3.110[[#This Row],[V8 Push back, ml]]</f>
        <v>49</v>
      </c>
      <c r="AG1127" s="94">
        <f>Table3.110[[#This Row],[GP 8h, ml]]-(AVERAGE(AE$1087,AE$1088,AE$1121,AE$1122,AE$1157,AE$1158))*$AG$8</f>
        <v>39.861233672775342</v>
      </c>
      <c r="AH1127" s="94">
        <f>Table3.110[[#This Row],[GP 8-24h, ml]]-(AVERAGE(AF$1087,AF$1088,AF$1121,AF$1122,AF$1157,AF$1158))*$AG$8</f>
        <v>46.123728042697877</v>
      </c>
      <c r="AI1127" s="94">
        <f>Table3.110[[#This Row],[Net gas 8-24h, ml]]+Table3.110[[#This Row],[Net gas 8h, ml]]</f>
        <v>85.984961715473219</v>
      </c>
      <c r="AJ1127" s="94">
        <f>Table3.110[[#This Row],[Net gas 8h, ml]]*Table3.110[[#This Row],[CH4 8h %]]%</f>
        <v>5.5008502468429974</v>
      </c>
      <c r="AK1127" s="94">
        <f>Table3.110[[#This Row],[Net gas 8-24h, ml]]*Table3.110[[#This Row],[CH4 24h, %]]%</f>
        <v>8.3945185037710139</v>
      </c>
      <c r="AL1127" s="94">
        <f>Table3.110[[#This Row],[CH4 8-24h, ml]]+Table3.110[[#This Row],[CH4 8h, ml]]</f>
        <v>13.895368750614011</v>
      </c>
      <c r="AM1127" s="94">
        <f>(Table3.110[[#This Row],[Net gas 24h, ml]]/Table3.110[[#This Row],[DM Incubated, mg]])*1000</f>
        <v>189.18867539853099</v>
      </c>
      <c r="AN1127" s="94">
        <f>'3.2 Digest'!X1127</f>
        <v>63.299778906808243</v>
      </c>
      <c r="AO1127" s="94">
        <f>Table3.110[[#This Row],[Digested feed, mg]]/Table3.110[[#This Row],[Net gas 24h, ml]]</f>
        <v>3.3458545430092772</v>
      </c>
      <c r="AP1127" s="94">
        <f>Table3.110[[#This Row],[CH4 8h, ml]]/Table3.110[[#This Row],[Net gas 8h, ml]]%</f>
        <v>13.8</v>
      </c>
      <c r="AQ1127" s="94">
        <f>Table3.110[[#This Row],[CH4 24h, ml]]/Table3.110[[#This Row],[Net gas 24h, ml]]%</f>
        <v>16.160231363007636</v>
      </c>
      <c r="AR1127" s="94">
        <f>Table3.110[[#This Row],[CH4 24h, ml]]/Table3.110[[#This Row],[DM Incubated, mg]]*1000</f>
        <v>30.573327657012115</v>
      </c>
      <c r="AS1127" s="94">
        <f>Table3.110[[#This Row],[CH4 24h, ml]]/Table3.110[[#This Row],[Digested feed, mg]]*1000</f>
        <v>48.299264523534987</v>
      </c>
      <c r="AT1127" s="255">
        <f>Table3.110[[#This Row],[CH4 24h, ml]]/'3.2 Digest'!AA1127</f>
        <v>0.55600373116523583</v>
      </c>
      <c r="AU1127" s="255">
        <f>((Table3.110[[#This Row],[CH4 24h, ml]]/28.9)*16.04)/Table3.110[[#This Row],[DM Incubated, mg]]*1000</f>
        <v>16.968725799947208</v>
      </c>
      <c r="AV1127" s="255">
        <f>((Table3.110[[#This Row],[CH4 24h, ml]]/28.9)*16.04)/Table3.110[[#This Row],[Digested feed, mg]]*1000</f>
        <v>26.806927437975823</v>
      </c>
    </row>
    <row r="1128" spans="2:48" x14ac:dyDescent="0.35">
      <c r="B1128" s="90">
        <f t="shared" si="17"/>
        <v>1118</v>
      </c>
      <c r="C1128" s="140">
        <v>46083</v>
      </c>
      <c r="D1128" s="6" t="s">
        <v>16</v>
      </c>
      <c r="E1128" s="6" t="s">
        <v>435</v>
      </c>
      <c r="F1128" s="242" t="s">
        <v>219</v>
      </c>
      <c r="G1128" s="242" t="s">
        <v>220</v>
      </c>
      <c r="H1128" s="6" t="s">
        <v>221</v>
      </c>
      <c r="I1128" s="133" t="s">
        <v>22</v>
      </c>
      <c r="J1128" s="135" t="s">
        <v>23</v>
      </c>
      <c r="K1128" s="135" t="s">
        <v>215</v>
      </c>
      <c r="L1128" s="6" t="s">
        <v>434</v>
      </c>
      <c r="M1128" s="256">
        <v>30</v>
      </c>
      <c r="N1128" s="256">
        <v>65</v>
      </c>
      <c r="O1128" s="256">
        <v>2</v>
      </c>
      <c r="P1128" s="257">
        <v>2</v>
      </c>
      <c r="Q1128" s="129">
        <v>42</v>
      </c>
      <c r="R1128" s="98">
        <v>0.50019999999999998</v>
      </c>
      <c r="S1128" s="94">
        <f>((Table3.110[[#This Row],[Sample weight, g]]*'2.1. DM'!Q277)/100)*1000</f>
        <v>454.67497205610925</v>
      </c>
      <c r="T1128" s="94">
        <f>'3.2 Digest'!W1128</f>
        <v>275.27497205610928</v>
      </c>
      <c r="U1128" s="117">
        <v>0.33680555555555558</v>
      </c>
      <c r="V1128" s="155">
        <v>41</v>
      </c>
      <c r="W1128" s="117">
        <v>0.68055555555555558</v>
      </c>
      <c r="X1128" s="96">
        <v>83</v>
      </c>
      <c r="Y1128" s="96">
        <v>13.6</v>
      </c>
      <c r="Z1128" s="155">
        <v>40</v>
      </c>
      <c r="AA1128" s="117">
        <v>0.37777777777777777</v>
      </c>
      <c r="AB1128" s="155">
        <v>92</v>
      </c>
      <c r="AC1128" s="155">
        <v>15.5</v>
      </c>
      <c r="AD1128" s="96"/>
      <c r="AE1128" s="94">
        <f>Table3.110[[#This Row],[Gas 8h, ml]]-Table3.110[[#This Row],[Gas 0h, ml]]</f>
        <v>42</v>
      </c>
      <c r="AF1128" s="94">
        <f>Table3.110[[#This Row],[Gas 24h, ml]]-Table3.110[[#This Row],[V8 Push back, ml]]</f>
        <v>52</v>
      </c>
      <c r="AG1128" s="94">
        <f>Table3.110[[#This Row],[GP 8h, ml]]-(AVERAGE(AE$1087,AE$1088,AE$1121,AE$1122,AE$1157,AE$1158))*$AG$8</f>
        <v>39.861233672775342</v>
      </c>
      <c r="AH1128" s="94">
        <f>Table3.110[[#This Row],[GP 8-24h, ml]]-(AVERAGE(AF$1087,AF$1088,AF$1121,AF$1122,AF$1157,AF$1158))*$AG$8</f>
        <v>49.123728042697877</v>
      </c>
      <c r="AI1128" s="94">
        <f>Table3.110[[#This Row],[Net gas 8-24h, ml]]+Table3.110[[#This Row],[Net gas 8h, ml]]</f>
        <v>88.984961715473219</v>
      </c>
      <c r="AJ1128" s="94">
        <f>Table3.110[[#This Row],[Net gas 8h, ml]]*Table3.110[[#This Row],[CH4 8h %]]%</f>
        <v>5.4211277794974473</v>
      </c>
      <c r="AK1128" s="94">
        <f>Table3.110[[#This Row],[Net gas 8-24h, ml]]*Table3.110[[#This Row],[CH4 24h, %]]%</f>
        <v>7.6141778466181709</v>
      </c>
      <c r="AL1128" s="94">
        <f>Table3.110[[#This Row],[CH4 8-24h, ml]]+Table3.110[[#This Row],[CH4 8h, ml]]</f>
        <v>13.035305626115619</v>
      </c>
      <c r="AM1128" s="94">
        <f>(Table3.110[[#This Row],[Net gas 24h, ml]]/Table3.110[[#This Row],[DM Incubated, mg]])*1000</f>
        <v>195.71115012790284</v>
      </c>
      <c r="AN1128" s="94">
        <f>'3.2 Digest'!X1128</f>
        <v>60.543242750150519</v>
      </c>
      <c r="AO1128" s="94">
        <f>Table3.110[[#This Row],[Digested feed, mg]]/Table3.110[[#This Row],[Net gas 24h, ml]]</f>
        <v>3.0934999212146974</v>
      </c>
      <c r="AP1128" s="94">
        <f>Table3.110[[#This Row],[CH4 8h, ml]]/Table3.110[[#This Row],[Net gas 8h, ml]]%</f>
        <v>13.600000000000001</v>
      </c>
      <c r="AQ1128" s="94">
        <f>Table3.110[[#This Row],[CH4 24h, ml]]/Table3.110[[#This Row],[Net gas 24h, ml]]%</f>
        <v>14.648886030648216</v>
      </c>
      <c r="AR1128" s="94">
        <f>Table3.110[[#This Row],[CH4 24h, ml]]/Table3.110[[#This Row],[DM Incubated, mg]]*1000</f>
        <v>28.669503331507315</v>
      </c>
      <c r="AS1128" s="94">
        <f>Table3.110[[#This Row],[CH4 24h, ml]]/Table3.110[[#This Row],[Digested feed, mg]]*1000</f>
        <v>47.353762417088298</v>
      </c>
      <c r="AT1128" s="255">
        <f>Table3.110[[#This Row],[CH4 24h, ml]]/'3.2 Digest'!AA1128</f>
        <v>0.67339297563799461</v>
      </c>
      <c r="AU1128" s="255">
        <f>((Table3.110[[#This Row],[CH4 24h, ml]]/28.9)*16.04)/Table3.110[[#This Row],[DM Incubated, mg]]*1000</f>
        <v>15.912070361154926</v>
      </c>
      <c r="AV1128" s="255">
        <f>((Table3.110[[#This Row],[CH4 24h, ml]]/28.9)*16.04)/Table3.110[[#This Row],[Digested feed, mg]]*1000</f>
        <v>26.28215741072998</v>
      </c>
    </row>
    <row r="1129" spans="2:48" x14ac:dyDescent="0.35">
      <c r="B1129" s="90">
        <f t="shared" si="17"/>
        <v>1119</v>
      </c>
      <c r="C1129" s="140">
        <v>46083</v>
      </c>
      <c r="D1129" s="6" t="s">
        <v>16</v>
      </c>
      <c r="E1129" s="6" t="s">
        <v>437</v>
      </c>
      <c r="F1129" s="242" t="s">
        <v>333</v>
      </c>
      <c r="G1129" s="242" t="s">
        <v>438</v>
      </c>
      <c r="H1129" s="6" t="s">
        <v>439</v>
      </c>
      <c r="I1129" s="133" t="s">
        <v>22</v>
      </c>
      <c r="J1129" s="135" t="s">
        <v>23</v>
      </c>
      <c r="K1129" s="135" t="s">
        <v>215</v>
      </c>
      <c r="L1129" s="6" t="s">
        <v>436</v>
      </c>
      <c r="M1129" s="256">
        <v>30</v>
      </c>
      <c r="N1129" s="256">
        <v>65</v>
      </c>
      <c r="O1129" s="256">
        <v>2</v>
      </c>
      <c r="P1129" s="257">
        <v>1</v>
      </c>
      <c r="Q1129" s="129">
        <v>43</v>
      </c>
      <c r="R1129" s="98">
        <v>0.5</v>
      </c>
      <c r="S1129" s="94">
        <f>((Table3.110[[#This Row],[Sample weight, g]]*'2.1. DM'!Q279)/100)*1000</f>
        <v>482.3322013590489</v>
      </c>
      <c r="T1129" s="94">
        <f>'3.2 Digest'!W1129</f>
        <v>276.63220135904891</v>
      </c>
      <c r="U1129" s="117">
        <v>0.33680555555555558</v>
      </c>
      <c r="V1129" s="155">
        <v>41</v>
      </c>
      <c r="W1129" s="117">
        <v>0.68125000000000002</v>
      </c>
      <c r="X1129" s="96">
        <v>83</v>
      </c>
      <c r="Y1129" s="96">
        <v>13.8</v>
      </c>
      <c r="Z1129" s="155">
        <v>40.5</v>
      </c>
      <c r="AA1129" s="117">
        <v>0.37847222222222221</v>
      </c>
      <c r="AB1129" s="155">
        <v>95.5</v>
      </c>
      <c r="AC1129" s="155">
        <v>14.9</v>
      </c>
      <c r="AD1129" s="96" t="s">
        <v>600</v>
      </c>
      <c r="AE1129" s="94">
        <f>Table3.110[[#This Row],[Gas 8h, ml]]-Table3.110[[#This Row],[Gas 0h, ml]]</f>
        <v>42</v>
      </c>
      <c r="AF1129" s="94">
        <f>Table3.110[[#This Row],[Gas 24h, ml]]-Table3.110[[#This Row],[V8 Push back, ml]]</f>
        <v>55</v>
      </c>
      <c r="AG1129" s="94">
        <f>Table3.110[[#This Row],[GP 8h, ml]]-(AVERAGE(AE$1087,AE$1088,AE$1121,AE$1122,AE$1157,AE$1158))*$AG$8</f>
        <v>39.861233672775342</v>
      </c>
      <c r="AH1129" s="94">
        <f>Table3.110[[#This Row],[GP 8-24h, ml]]-(AVERAGE(AF$1087,AF$1088,AF$1121,AF$1122,AF$1157,AF$1158))*$AG$8</f>
        <v>52.123728042697877</v>
      </c>
      <c r="AI1129" s="94">
        <f>Table3.110[[#This Row],[Net gas 8-24h, ml]]+Table3.110[[#This Row],[Net gas 8h, ml]]</f>
        <v>91.984961715473219</v>
      </c>
      <c r="AJ1129" s="94">
        <f>Table3.110[[#This Row],[Net gas 8h, ml]]*Table3.110[[#This Row],[CH4 8h %]]%</f>
        <v>5.5008502468429974</v>
      </c>
      <c r="AK1129" s="94">
        <f>Table3.110[[#This Row],[Net gas 8-24h, ml]]*Table3.110[[#This Row],[CH4 24h, %]]%</f>
        <v>7.7664354783619833</v>
      </c>
      <c r="AL1129" s="94">
        <f>Table3.110[[#This Row],[CH4 8-24h, ml]]+Table3.110[[#This Row],[CH4 8h, ml]]</f>
        <v>13.267285725204982</v>
      </c>
      <c r="AM1129" s="94">
        <f>(Table3.110[[#This Row],[Net gas 24h, ml]]/Table3.110[[#This Row],[DM Incubated, mg]])*1000</f>
        <v>190.70873032381152</v>
      </c>
      <c r="AN1129" s="94">
        <f>'3.2 Digest'!X1129</f>
        <v>57.353044349847046</v>
      </c>
      <c r="AO1129" s="94">
        <f>Table3.110[[#This Row],[Digested feed, mg]]/Table3.110[[#This Row],[Net gas 24h, ml]]</f>
        <v>3.0073633363540915</v>
      </c>
      <c r="AP1129" s="94">
        <f>Table3.110[[#This Row],[CH4 8h, ml]]/Table3.110[[#This Row],[Net gas 8h, ml]]%</f>
        <v>13.8</v>
      </c>
      <c r="AQ1129" s="94">
        <f>Table3.110[[#This Row],[CH4 24h, ml]]/Table3.110[[#This Row],[Net gas 24h, ml]]%</f>
        <v>14.423320375175226</v>
      </c>
      <c r="AR1129" s="94">
        <f>Table3.110[[#This Row],[CH4 24h, ml]]/Table3.110[[#This Row],[DM Incubated, mg]]*1000</f>
        <v>27.506531158032285</v>
      </c>
      <c r="AS1129" s="94">
        <f>Table3.110[[#This Row],[CH4 24h, ml]]/Table3.110[[#This Row],[Digested feed, mg]]*1000</f>
        <v>47.960019332619162</v>
      </c>
      <c r="AT1129" s="255">
        <f>Table3.110[[#This Row],[CH4 24h, ml]]/'3.2 Digest'!AA1129</f>
        <v>1.0717191150487346</v>
      </c>
      <c r="AU1129" s="255">
        <f>((Table3.110[[#This Row],[CH4 24h, ml]]/28.9)*16.04)/Table3.110[[#This Row],[DM Incubated, mg]]*1000</f>
        <v>15.266600684250447</v>
      </c>
      <c r="AV1129" s="255">
        <f>((Table3.110[[#This Row],[CH4 24h, ml]]/28.9)*16.04)/Table3.110[[#This Row],[Digested feed, mg]]*1000</f>
        <v>26.618640487723574</v>
      </c>
    </row>
    <row r="1130" spans="2:48" x14ac:dyDescent="0.35">
      <c r="B1130" s="90">
        <f t="shared" si="17"/>
        <v>1120</v>
      </c>
      <c r="C1130" s="140">
        <v>46083</v>
      </c>
      <c r="D1130" s="6" t="s">
        <v>16</v>
      </c>
      <c r="E1130" s="6" t="s">
        <v>437</v>
      </c>
      <c r="F1130" s="242" t="s">
        <v>333</v>
      </c>
      <c r="G1130" s="242" t="s">
        <v>438</v>
      </c>
      <c r="H1130" s="6" t="s">
        <v>439</v>
      </c>
      <c r="I1130" s="133" t="s">
        <v>22</v>
      </c>
      <c r="J1130" s="135" t="s">
        <v>23</v>
      </c>
      <c r="K1130" s="135" t="s">
        <v>215</v>
      </c>
      <c r="L1130" s="6" t="s">
        <v>436</v>
      </c>
      <c r="M1130" s="256">
        <v>30</v>
      </c>
      <c r="N1130" s="256">
        <v>65</v>
      </c>
      <c r="O1130" s="256">
        <v>2</v>
      </c>
      <c r="P1130" s="257">
        <v>2</v>
      </c>
      <c r="Q1130" s="129">
        <v>44</v>
      </c>
      <c r="R1130" s="98">
        <v>0.5</v>
      </c>
      <c r="S1130" s="94">
        <f>((Table3.110[[#This Row],[Sample weight, g]]*'2.1. DM'!Q279)/100)*1000</f>
        <v>482.3322013590489</v>
      </c>
      <c r="T1130" s="94">
        <f>'3.2 Digest'!W1130</f>
        <v>296.8322013590489</v>
      </c>
      <c r="U1130" s="153">
        <v>0.33750000000000002</v>
      </c>
      <c r="V1130" s="155">
        <v>40.5</v>
      </c>
      <c r="W1130" s="153">
        <v>0.68194444444444446</v>
      </c>
      <c r="X1130" s="91">
        <v>81.5</v>
      </c>
      <c r="Y1130" s="91">
        <v>14.1</v>
      </c>
      <c r="Z1130" s="154">
        <v>40</v>
      </c>
      <c r="AA1130" s="153">
        <v>0.37847222222222221</v>
      </c>
      <c r="AB1130" s="154">
        <v>92.5</v>
      </c>
      <c r="AC1130" s="154">
        <v>14.8</v>
      </c>
      <c r="AD1130" s="91" t="s">
        <v>599</v>
      </c>
      <c r="AE1130" s="94">
        <f>Table3.110[[#This Row],[Gas 8h, ml]]-Table3.110[[#This Row],[Gas 0h, ml]]</f>
        <v>41</v>
      </c>
      <c r="AF1130" s="94">
        <f>Table3.110[[#This Row],[Gas 24h, ml]]-Table3.110[[#This Row],[V8 Push back, ml]]</f>
        <v>52.5</v>
      </c>
      <c r="AG1130" s="94">
        <f>Table3.110[[#This Row],[GP 8h, ml]]-(AVERAGE(AE$1087,AE$1088,AE$1121,AE$1122,AE$1157,AE$1158))*$AG$8</f>
        <v>38.861233672775342</v>
      </c>
      <c r="AH1130" s="94">
        <f>Table3.110[[#This Row],[GP 8-24h, ml]]-(AVERAGE(AF$1087,AF$1088,AF$1121,AF$1122,AF$1157,AF$1158))*$AG$8</f>
        <v>49.623728042697877</v>
      </c>
      <c r="AI1130" s="94">
        <f>Table3.110[[#This Row],[Net gas 8-24h, ml]]+Table3.110[[#This Row],[Net gas 8h, ml]]</f>
        <v>88.484961715473219</v>
      </c>
      <c r="AJ1130" s="94">
        <f>Table3.110[[#This Row],[Net gas 8h, ml]]*Table3.110[[#This Row],[CH4 8h %]]%</f>
        <v>5.479433947861323</v>
      </c>
      <c r="AK1130" s="94">
        <f>Table3.110[[#This Row],[Net gas 8-24h, ml]]*Table3.110[[#This Row],[CH4 24h, %]]%</f>
        <v>7.344311750319287</v>
      </c>
      <c r="AL1130" s="94">
        <f>Table3.110[[#This Row],[CH4 8-24h, ml]]+Table3.110[[#This Row],[CH4 8h, ml]]</f>
        <v>12.823745698180609</v>
      </c>
      <c r="AM1130" s="94">
        <f>(Table3.110[[#This Row],[Net gas 24h, ml]]/Table3.110[[#This Row],[DM Incubated, mg]])*1000</f>
        <v>183.45232075766981</v>
      </c>
      <c r="AN1130" s="94">
        <f>'3.2 Digest'!X1130</f>
        <v>61.541029299448844</v>
      </c>
      <c r="AO1130" s="94">
        <f>Table3.110[[#This Row],[Digested feed, mg]]/Table3.110[[#This Row],[Net gas 24h, ml]]</f>
        <v>3.3546062020518717</v>
      </c>
      <c r="AP1130" s="94">
        <f>Table3.110[[#This Row],[CH4 8h, ml]]/Table3.110[[#This Row],[Net gas 8h, ml]]%</f>
        <v>14.1</v>
      </c>
      <c r="AQ1130" s="94">
        <f>Table3.110[[#This Row],[CH4 24h, ml]]/Table3.110[[#This Row],[Net gas 24h, ml]]%</f>
        <v>14.492570770856922</v>
      </c>
      <c r="AR1130" s="94">
        <f>Table3.110[[#This Row],[CH4 24h, ml]]/Table3.110[[#This Row],[DM Incubated, mg]]*1000</f>
        <v>26.586957416584742</v>
      </c>
      <c r="AS1130" s="94">
        <f>Table3.110[[#This Row],[CH4 24h, ml]]/Table3.110[[#This Row],[Digested feed, mg]]*1000</f>
        <v>43.202003150153431</v>
      </c>
      <c r="AT1130" s="255">
        <f>Table3.110[[#This Row],[CH4 24h, ml]]/'3.2 Digest'!AA1130</f>
        <v>0.61112330400515891</v>
      </c>
      <c r="AU1130" s="255">
        <f>((Table3.110[[#This Row],[CH4 24h, ml]]/28.9)*16.04)/Table3.110[[#This Row],[DM Incubated, mg]]*1000</f>
        <v>14.756221348166756</v>
      </c>
      <c r="AV1130" s="255">
        <f>((Table3.110[[#This Row],[CH4 24h, ml]]/28.9)*16.04)/Table3.110[[#This Row],[Digested feed, mg]]*1000</f>
        <v>23.977859187836025</v>
      </c>
    </row>
    <row r="1131" spans="2:48" x14ac:dyDescent="0.35">
      <c r="B1131" s="90">
        <f t="shared" si="17"/>
        <v>1121</v>
      </c>
      <c r="C1131" s="140">
        <v>46083</v>
      </c>
      <c r="D1131" s="6" t="s">
        <v>16</v>
      </c>
      <c r="E1131" s="6" t="s">
        <v>441</v>
      </c>
      <c r="F1131" s="242" t="s">
        <v>442</v>
      </c>
      <c r="G1131" s="242" t="s">
        <v>443</v>
      </c>
      <c r="H1131" s="6" t="s">
        <v>444</v>
      </c>
      <c r="I1131" s="133" t="s">
        <v>22</v>
      </c>
      <c r="J1131" s="135" t="s">
        <v>23</v>
      </c>
      <c r="K1131" s="135" t="s">
        <v>215</v>
      </c>
      <c r="L1131" s="6" t="s">
        <v>440</v>
      </c>
      <c r="M1131" s="256">
        <v>30</v>
      </c>
      <c r="N1131" s="256">
        <v>65</v>
      </c>
      <c r="O1131" s="256">
        <v>2</v>
      </c>
      <c r="P1131" s="257">
        <v>1</v>
      </c>
      <c r="Q1131" s="129">
        <v>45</v>
      </c>
      <c r="R1131" s="98">
        <v>0.5</v>
      </c>
      <c r="S1131" s="94">
        <f>((Table3.110[[#This Row],[Sample weight, g]]*'2.1. DM'!Q281)/100)*1000</f>
        <v>481.00567754319019</v>
      </c>
      <c r="T1131" s="94">
        <f>'3.2 Digest'!W1131</f>
        <v>194.70567754319018</v>
      </c>
      <c r="U1131" s="153">
        <v>0.33750000000000002</v>
      </c>
      <c r="V1131" s="155">
        <v>41</v>
      </c>
      <c r="W1131" s="153">
        <v>0.68194444444444446</v>
      </c>
      <c r="X1131" s="91">
        <v>70</v>
      </c>
      <c r="Y1131" s="91">
        <v>12.7</v>
      </c>
      <c r="Z1131" s="154">
        <v>40</v>
      </c>
      <c r="AA1131" s="153">
        <v>0.37916666666666665</v>
      </c>
      <c r="AB1131" s="154">
        <v>73.5</v>
      </c>
      <c r="AC1131" s="154">
        <v>14.6</v>
      </c>
      <c r="AD1131" s="91"/>
      <c r="AE1131" s="94">
        <f>Table3.110[[#This Row],[Gas 8h, ml]]-Table3.110[[#This Row],[Gas 0h, ml]]</f>
        <v>29</v>
      </c>
      <c r="AF1131" s="94">
        <f>Table3.110[[#This Row],[Gas 24h, ml]]-Table3.110[[#This Row],[V8 Push back, ml]]</f>
        <v>33.5</v>
      </c>
      <c r="AG1131" s="94">
        <f>Table3.110[[#This Row],[GP 8h, ml]]-(AVERAGE(AE$1087,AE$1088,AE$1121,AE$1122,AE$1157,AE$1158))*$AG$8</f>
        <v>26.861233672775342</v>
      </c>
      <c r="AH1131" s="94">
        <f>Table3.110[[#This Row],[GP 8-24h, ml]]-(AVERAGE(AF$1087,AF$1088,AF$1121,AF$1122,AF$1157,AF$1158))*$AG$8</f>
        <v>30.623728042697874</v>
      </c>
      <c r="AI1131" s="94">
        <f>Table3.110[[#This Row],[Net gas 8-24h, ml]]+Table3.110[[#This Row],[Net gas 8h, ml]]</f>
        <v>57.484961715473219</v>
      </c>
      <c r="AJ1131" s="94">
        <f>Table3.110[[#This Row],[Net gas 8h, ml]]*Table3.110[[#This Row],[CH4 8h %]]%</f>
        <v>3.4113766764424684</v>
      </c>
      <c r="AK1131" s="94">
        <f>Table3.110[[#This Row],[Net gas 8-24h, ml]]*Table3.110[[#This Row],[CH4 24h, %]]%</f>
        <v>4.471064294233889</v>
      </c>
      <c r="AL1131" s="94">
        <f>Table3.110[[#This Row],[CH4 8-24h, ml]]+Table3.110[[#This Row],[CH4 8h, ml]]</f>
        <v>7.8824409706763578</v>
      </c>
      <c r="AM1131" s="94">
        <f>(Table3.110[[#This Row],[Net gas 24h, ml]]/Table3.110[[#This Row],[DM Incubated, mg]])*1000</f>
        <v>119.50994426736587</v>
      </c>
      <c r="AN1131" s="94">
        <f>'3.2 Digest'!X1131</f>
        <v>40.478873043178851</v>
      </c>
      <c r="AO1131" s="94">
        <f>Table3.110[[#This Row],[Digested feed, mg]]/Table3.110[[#This Row],[Net gas 24h, ml]]</f>
        <v>3.3870715354548331</v>
      </c>
      <c r="AP1131" s="94">
        <f>Table3.110[[#This Row],[CH4 8h, ml]]/Table3.110[[#This Row],[Net gas 8h, ml]]%</f>
        <v>12.7</v>
      </c>
      <c r="AQ1131" s="94">
        <f>Table3.110[[#This Row],[CH4 24h, ml]]/Table3.110[[#This Row],[Net gas 24h, ml]]%</f>
        <v>13.712179212523756</v>
      </c>
      <c r="AR1131" s="94">
        <f>Table3.110[[#This Row],[CH4 24h, ml]]/Table3.110[[#This Row],[DM Incubated, mg]]*1000</f>
        <v>16.387417734728466</v>
      </c>
      <c r="AS1131" s="94">
        <f>Table3.110[[#This Row],[CH4 24h, ml]]/Table3.110[[#This Row],[Digested feed, mg]]*1000</f>
        <v>40.483878385764335</v>
      </c>
      <c r="AT1131" s="255">
        <f>Table3.110[[#This Row],[CH4 24h, ml]]/'3.2 Digest'!AA1131</f>
        <v>1.7923178467133305</v>
      </c>
      <c r="AU1131" s="255">
        <f>((Table3.110[[#This Row],[CH4 24h, ml]]/28.9)*16.04)/Table3.110[[#This Row],[DM Incubated, mg]]*1000</f>
        <v>9.0953003621122708</v>
      </c>
      <c r="AV1131" s="255">
        <f>((Table3.110[[#This Row],[CH4 24h, ml]]/28.9)*16.04)/Table3.110[[#This Row],[Digested feed, mg]]*1000</f>
        <v>22.469252917220068</v>
      </c>
    </row>
    <row r="1132" spans="2:48" x14ac:dyDescent="0.35">
      <c r="B1132" s="90">
        <f t="shared" si="17"/>
        <v>1122</v>
      </c>
      <c r="C1132" s="140">
        <v>46083</v>
      </c>
      <c r="D1132" s="6" t="s">
        <v>16</v>
      </c>
      <c r="E1132" s="6" t="s">
        <v>441</v>
      </c>
      <c r="F1132" s="242" t="s">
        <v>442</v>
      </c>
      <c r="G1132" s="242" t="s">
        <v>443</v>
      </c>
      <c r="H1132" s="6" t="s">
        <v>444</v>
      </c>
      <c r="I1132" s="133" t="s">
        <v>22</v>
      </c>
      <c r="J1132" s="135" t="s">
        <v>23</v>
      </c>
      <c r="K1132" s="135" t="s">
        <v>215</v>
      </c>
      <c r="L1132" s="6" t="s">
        <v>440</v>
      </c>
      <c r="M1132" s="256">
        <v>30</v>
      </c>
      <c r="N1132" s="256">
        <v>65</v>
      </c>
      <c r="O1132" s="256">
        <v>2</v>
      </c>
      <c r="P1132" s="257">
        <v>2</v>
      </c>
      <c r="Q1132" s="129">
        <v>46</v>
      </c>
      <c r="R1132" s="98">
        <v>0.5</v>
      </c>
      <c r="S1132" s="94">
        <f>((Table3.110[[#This Row],[Sample weight, g]]*'2.1. DM'!Q281)/100)*1000</f>
        <v>481.00567754319019</v>
      </c>
      <c r="T1132" s="94">
        <f>'3.2 Digest'!W1132</f>
        <v>147.60567754319015</v>
      </c>
      <c r="U1132" s="117">
        <v>0.33819444444444446</v>
      </c>
      <c r="V1132" s="155">
        <v>41</v>
      </c>
      <c r="W1132" s="117">
        <v>0.68263888888888891</v>
      </c>
      <c r="X1132" s="96">
        <v>69.5</v>
      </c>
      <c r="Y1132" s="96">
        <v>12.3</v>
      </c>
      <c r="Z1132" s="155">
        <v>40</v>
      </c>
      <c r="AA1132" s="117">
        <v>0.37986111111111109</v>
      </c>
      <c r="AB1132" s="155">
        <v>73</v>
      </c>
      <c r="AC1132" s="155">
        <v>14.6</v>
      </c>
      <c r="AD1132" s="96"/>
      <c r="AE1132" s="94">
        <f>Table3.110[[#This Row],[Gas 8h, ml]]-Table3.110[[#This Row],[Gas 0h, ml]]</f>
        <v>28.5</v>
      </c>
      <c r="AF1132" s="94">
        <f>Table3.110[[#This Row],[Gas 24h, ml]]-Table3.110[[#This Row],[V8 Push back, ml]]</f>
        <v>33</v>
      </c>
      <c r="AG1132" s="94">
        <f>Table3.110[[#This Row],[GP 8h, ml]]-(AVERAGE(AE$1087,AE$1088,AE$1121,AE$1122,AE$1157,AE$1158))*$AG$8</f>
        <v>26.361233672775342</v>
      </c>
      <c r="AH1132" s="94">
        <f>Table3.110[[#This Row],[GP 8-24h, ml]]-(AVERAGE(AF$1087,AF$1088,AF$1121,AF$1122,AF$1157,AF$1158))*$AG$8</f>
        <v>30.123728042697874</v>
      </c>
      <c r="AI1132" s="94">
        <f>Table3.110[[#This Row],[Net gas 8-24h, ml]]+Table3.110[[#This Row],[Net gas 8h, ml]]</f>
        <v>56.484961715473219</v>
      </c>
      <c r="AJ1132" s="94">
        <f>Table3.110[[#This Row],[Net gas 8h, ml]]*Table3.110[[#This Row],[CH4 8h %]]%</f>
        <v>3.2424317417513673</v>
      </c>
      <c r="AK1132" s="94">
        <f>Table3.110[[#This Row],[Net gas 8-24h, ml]]*Table3.110[[#This Row],[CH4 24h, %]]%</f>
        <v>4.3980642942338894</v>
      </c>
      <c r="AL1132" s="94">
        <f>Table3.110[[#This Row],[CH4 8-24h, ml]]+Table3.110[[#This Row],[CH4 8h, ml]]</f>
        <v>7.6404960359852563</v>
      </c>
      <c r="AM1132" s="94">
        <f>(Table3.110[[#This Row],[Net gas 24h, ml]]/Table3.110[[#This Row],[DM Incubated, mg]])*1000</f>
        <v>117.43096672783317</v>
      </c>
      <c r="AN1132" s="94">
        <f>'3.2 Digest'!X1132</f>
        <v>30.686888831979829</v>
      </c>
      <c r="AO1132" s="94">
        <f>Table3.110[[#This Row],[Digested feed, mg]]/Table3.110[[#This Row],[Net gas 24h, ml]]</f>
        <v>2.6131854047580201</v>
      </c>
      <c r="AP1132" s="94">
        <f>Table3.110[[#This Row],[CH4 8h, ml]]/Table3.110[[#This Row],[Net gas 8h, ml]]%</f>
        <v>12.3</v>
      </c>
      <c r="AQ1132" s="94">
        <f>Table3.110[[#This Row],[CH4 24h, ml]]/Table3.110[[#This Row],[Net gas 24h, ml]]%</f>
        <v>13.526602132567714</v>
      </c>
      <c r="AR1132" s="94">
        <f>Table3.110[[#This Row],[CH4 24h, ml]]/Table3.110[[#This Row],[DM Incubated, mg]]*1000</f>
        <v>15.884419649701963</v>
      </c>
      <c r="AS1132" s="94">
        <f>Table3.110[[#This Row],[CH4 24h, ml]]/Table3.110[[#This Row],[Digested feed, mg]]*1000</f>
        <v>51.76288719483442</v>
      </c>
      <c r="AT1132" s="255">
        <f>Table3.110[[#This Row],[CH4 24h, ml]]/'3.2 Digest'!AA1132</f>
        <v>-0.67436807899726492</v>
      </c>
      <c r="AU1132" s="255">
        <f>((Table3.110[[#This Row],[CH4 24h, ml]]/28.9)*16.04)/Table3.110[[#This Row],[DM Incubated, mg]]*1000</f>
        <v>8.8161277225335475</v>
      </c>
      <c r="AV1132" s="255">
        <f>((Table3.110[[#This Row],[CH4 24h, ml]]/28.9)*16.04)/Table3.110[[#This Row],[Digested feed, mg]]*1000</f>
        <v>28.729297944814679</v>
      </c>
    </row>
    <row r="1133" spans="2:48" x14ac:dyDescent="0.35">
      <c r="B1133" s="90">
        <f t="shared" si="17"/>
        <v>1123</v>
      </c>
      <c r="C1133" s="140">
        <v>46083</v>
      </c>
      <c r="D1133" s="6" t="s">
        <v>16</v>
      </c>
      <c r="E1133" s="6" t="s">
        <v>446</v>
      </c>
      <c r="F1133" s="242" t="s">
        <v>442</v>
      </c>
      <c r="G1133" s="242" t="s">
        <v>447</v>
      </c>
      <c r="H1133" s="6" t="s">
        <v>448</v>
      </c>
      <c r="I1133" s="133" t="s">
        <v>22</v>
      </c>
      <c r="J1133" s="135" t="s">
        <v>23</v>
      </c>
      <c r="K1133" s="135" t="s">
        <v>215</v>
      </c>
      <c r="L1133" s="6" t="s">
        <v>445</v>
      </c>
      <c r="M1133" s="256">
        <v>30</v>
      </c>
      <c r="N1133" s="256">
        <v>65</v>
      </c>
      <c r="O1133" s="256">
        <v>2</v>
      </c>
      <c r="P1133" s="257">
        <v>1</v>
      </c>
      <c r="Q1133" s="129">
        <v>47</v>
      </c>
      <c r="R1133" s="98">
        <v>0.5</v>
      </c>
      <c r="S1133" s="94">
        <f>((Table3.110[[#This Row],[Sample weight, g]]*'2.1. DM'!Q283)/100)*1000</f>
        <v>476.45942599029394</v>
      </c>
      <c r="T1133" s="94">
        <f>'3.2 Digest'!W1133</f>
        <v>220.85942599029389</v>
      </c>
      <c r="U1133" s="117">
        <v>0.33819444444444446</v>
      </c>
      <c r="V1133" s="155">
        <v>41.5</v>
      </c>
      <c r="W1133" s="117">
        <v>0.68263888888888891</v>
      </c>
      <c r="X1133" s="96">
        <v>75.5</v>
      </c>
      <c r="Y1133" s="96">
        <v>12.1</v>
      </c>
      <c r="Z1133" s="155">
        <v>40</v>
      </c>
      <c r="AA1133" s="117">
        <v>0.37986111111111109</v>
      </c>
      <c r="AB1133" s="155">
        <v>78.5</v>
      </c>
      <c r="AC1133" s="155">
        <v>15.6</v>
      </c>
      <c r="AD1133" s="96"/>
      <c r="AE1133" s="94">
        <f>Table3.110[[#This Row],[Gas 8h, ml]]-Table3.110[[#This Row],[Gas 0h, ml]]</f>
        <v>34</v>
      </c>
      <c r="AF1133" s="94">
        <f>Table3.110[[#This Row],[Gas 24h, ml]]-Table3.110[[#This Row],[V8 Push back, ml]]</f>
        <v>38.5</v>
      </c>
      <c r="AG1133" s="94">
        <f>Table3.110[[#This Row],[GP 8h, ml]]-(AVERAGE(AE$1087,AE$1088,AE$1121,AE$1122,AE$1157,AE$1158))*$AG$8</f>
        <v>31.861233672775342</v>
      </c>
      <c r="AH1133" s="94">
        <f>Table3.110[[#This Row],[GP 8-24h, ml]]-(AVERAGE(AF$1087,AF$1088,AF$1121,AF$1122,AF$1157,AF$1158))*$AG$8</f>
        <v>35.623728042697877</v>
      </c>
      <c r="AI1133" s="94">
        <f>Table3.110[[#This Row],[Net gas 8-24h, ml]]+Table3.110[[#This Row],[Net gas 8h, ml]]</f>
        <v>67.484961715473219</v>
      </c>
      <c r="AJ1133" s="94">
        <f>Table3.110[[#This Row],[Net gas 8h, ml]]*Table3.110[[#This Row],[CH4 8h %]]%</f>
        <v>3.8552092744058162</v>
      </c>
      <c r="AK1133" s="94">
        <f>Table3.110[[#This Row],[Net gas 8-24h, ml]]*Table3.110[[#This Row],[CH4 24h, %]]%</f>
        <v>5.5573015746608689</v>
      </c>
      <c r="AL1133" s="94">
        <f>Table3.110[[#This Row],[CH4 8-24h, ml]]+Table3.110[[#This Row],[CH4 8h, ml]]</f>
        <v>9.4125108490666847</v>
      </c>
      <c r="AM1133" s="94">
        <f>(Table3.110[[#This Row],[Net gas 24h, ml]]/Table3.110[[#This Row],[DM Incubated, mg]])*1000</f>
        <v>141.63842298892408</v>
      </c>
      <c r="AN1133" s="94">
        <f>'3.2 Digest'!X1133</f>
        <v>46.354298801256803</v>
      </c>
      <c r="AO1133" s="94">
        <f>Table3.110[[#This Row],[Digested feed, mg]]/Table3.110[[#This Row],[Net gas 24h, ml]]</f>
        <v>3.2727206236179041</v>
      </c>
      <c r="AP1133" s="94">
        <f>Table3.110[[#This Row],[CH4 8h, ml]]/Table3.110[[#This Row],[Net gas 8h, ml]]%</f>
        <v>12.1</v>
      </c>
      <c r="AQ1133" s="94">
        <f>Table3.110[[#This Row],[CH4 24h, ml]]/Table3.110[[#This Row],[Net gas 24h, ml]]%</f>
        <v>13.94756788742246</v>
      </c>
      <c r="AR1133" s="94">
        <f>Table3.110[[#This Row],[CH4 24h, ml]]/Table3.110[[#This Row],[DM Incubated, mg]]*1000</f>
        <v>19.755115201054767</v>
      </c>
      <c r="AS1133" s="94">
        <f>Table3.110[[#This Row],[CH4 24h, ml]]/Table3.110[[#This Row],[Digested feed, mg]]*1000</f>
        <v>42.617655130011684</v>
      </c>
      <c r="AT1133" s="255">
        <f>Table3.110[[#This Row],[CH4 24h, ml]]/'3.2 Digest'!AA1133</f>
        <v>6.5093211545151046</v>
      </c>
      <c r="AU1133" s="255">
        <f>((Table3.110[[#This Row],[CH4 24h, ml]]/28.9)*16.04)/Table3.110[[#This Row],[DM Incubated, mg]]*1000</f>
        <v>10.964430720585414</v>
      </c>
      <c r="AV1133" s="255">
        <f>((Table3.110[[#This Row],[CH4 24h, ml]]/28.9)*16.04)/Table3.110[[#This Row],[Digested feed, mg]]*1000</f>
        <v>23.653535926830013</v>
      </c>
    </row>
    <row r="1134" spans="2:48" x14ac:dyDescent="0.35">
      <c r="B1134" s="90">
        <f t="shared" si="17"/>
        <v>1124</v>
      </c>
      <c r="C1134" s="140">
        <v>46083</v>
      </c>
      <c r="D1134" s="6" t="s">
        <v>16</v>
      </c>
      <c r="E1134" s="6" t="s">
        <v>446</v>
      </c>
      <c r="F1134" s="242" t="s">
        <v>442</v>
      </c>
      <c r="G1134" s="242" t="s">
        <v>447</v>
      </c>
      <c r="H1134" s="6" t="s">
        <v>448</v>
      </c>
      <c r="I1134" s="133" t="s">
        <v>22</v>
      </c>
      <c r="J1134" s="135" t="s">
        <v>23</v>
      </c>
      <c r="K1134" s="135" t="s">
        <v>215</v>
      </c>
      <c r="L1134" s="6" t="s">
        <v>445</v>
      </c>
      <c r="M1134" s="256">
        <v>30</v>
      </c>
      <c r="N1134" s="256">
        <v>65</v>
      </c>
      <c r="O1134" s="256">
        <v>2</v>
      </c>
      <c r="P1134" s="257">
        <v>2</v>
      </c>
      <c r="Q1134" s="129">
        <v>48</v>
      </c>
      <c r="R1134" s="98">
        <v>0.5</v>
      </c>
      <c r="S1134" s="94">
        <f>((Table3.110[[#This Row],[Sample weight, g]]*'2.1. DM'!Q283)/100)*1000</f>
        <v>476.45942599029394</v>
      </c>
      <c r="T1134" s="94">
        <f>'3.2 Digest'!W1134</f>
        <v>169.85942599029397</v>
      </c>
      <c r="U1134" s="153">
        <v>0.33819444444444446</v>
      </c>
      <c r="V1134" s="155">
        <v>41</v>
      </c>
      <c r="W1134" s="153">
        <v>0.68333333333333335</v>
      </c>
      <c r="X1134" s="91">
        <v>74.5</v>
      </c>
      <c r="Y1134" s="91">
        <v>12.3</v>
      </c>
      <c r="Z1134" s="154">
        <v>40.5</v>
      </c>
      <c r="AA1134" s="153">
        <v>0.38055555555555554</v>
      </c>
      <c r="AB1134" s="154">
        <v>79</v>
      </c>
      <c r="AC1134" s="154">
        <v>16</v>
      </c>
      <c r="AD1134" s="91"/>
      <c r="AE1134" s="94">
        <f>Table3.110[[#This Row],[Gas 8h, ml]]-Table3.110[[#This Row],[Gas 0h, ml]]</f>
        <v>33.5</v>
      </c>
      <c r="AF1134" s="94">
        <f>Table3.110[[#This Row],[Gas 24h, ml]]-Table3.110[[#This Row],[V8 Push back, ml]]</f>
        <v>38.5</v>
      </c>
      <c r="AG1134" s="94">
        <f>Table3.110[[#This Row],[GP 8h, ml]]-(AVERAGE(AE$1087,AE$1088,AE$1121,AE$1122,AE$1157,AE$1158))*$AG$8</f>
        <v>31.361233672775342</v>
      </c>
      <c r="AH1134" s="94">
        <f>Table3.110[[#This Row],[GP 8-24h, ml]]-(AVERAGE(AF$1087,AF$1088,AF$1121,AF$1122,AF$1157,AF$1158))*$AG$8</f>
        <v>35.623728042697877</v>
      </c>
      <c r="AI1134" s="94">
        <f>Table3.110[[#This Row],[Net gas 8-24h, ml]]+Table3.110[[#This Row],[Net gas 8h, ml]]</f>
        <v>66.984961715473219</v>
      </c>
      <c r="AJ1134" s="94">
        <f>Table3.110[[#This Row],[Net gas 8h, ml]]*Table3.110[[#This Row],[CH4 8h %]]%</f>
        <v>3.8574317417513675</v>
      </c>
      <c r="AK1134" s="94">
        <f>Table3.110[[#This Row],[Net gas 8-24h, ml]]*Table3.110[[#This Row],[CH4 24h, %]]%</f>
        <v>5.6997964868316604</v>
      </c>
      <c r="AL1134" s="94">
        <f>Table3.110[[#This Row],[CH4 8-24h, ml]]+Table3.110[[#This Row],[CH4 8h, ml]]</f>
        <v>9.5572282285830283</v>
      </c>
      <c r="AM1134" s="94">
        <f>(Table3.110[[#This Row],[Net gas 24h, ml]]/Table3.110[[#This Row],[DM Incubated, mg]])*1000</f>
        <v>140.58901568847918</v>
      </c>
      <c r="AN1134" s="94">
        <f>'3.2 Digest'!X1134</f>
        <v>35.650344336718867</v>
      </c>
      <c r="AO1134" s="94">
        <f>Table3.110[[#This Row],[Digested feed, mg]]/Table3.110[[#This Row],[Net gas 24h, ml]]</f>
        <v>2.5357844752049359</v>
      </c>
      <c r="AP1134" s="94">
        <f>Table3.110[[#This Row],[CH4 8h, ml]]/Table3.110[[#This Row],[Net gas 8h, ml]]%</f>
        <v>12.300000000000002</v>
      </c>
      <c r="AQ1134" s="94">
        <f>Table3.110[[#This Row],[CH4 24h, ml]]/Table3.110[[#This Row],[Net gas 24h, ml]]%</f>
        <v>14.26772216304089</v>
      </c>
      <c r="AR1134" s="94">
        <f>Table3.110[[#This Row],[CH4 24h, ml]]/Table3.110[[#This Row],[DM Incubated, mg]]*1000</f>
        <v>20.058850150186178</v>
      </c>
      <c r="AS1134" s="94">
        <f>Table3.110[[#This Row],[CH4 24h, ml]]/Table3.110[[#This Row],[Digested feed, mg]]*1000</f>
        <v>56.265515869158435</v>
      </c>
      <c r="AT1134" s="255">
        <f>Table3.110[[#This Row],[CH4 24h, ml]]/'3.2 Digest'!AA1134</f>
        <v>-0.52458848741150144</v>
      </c>
      <c r="AU1134" s="255">
        <f>((Table3.110[[#This Row],[CH4 24h, ml]]/28.9)*16.04)/Table3.110[[#This Row],[DM Incubated, mg]]*1000</f>
        <v>11.133008872283265</v>
      </c>
      <c r="AV1134" s="255">
        <f>((Table3.110[[#This Row],[CH4 24h, ml]]/28.9)*16.04)/Table3.110[[#This Row],[Digested feed, mg]]*1000</f>
        <v>31.228334759214579</v>
      </c>
    </row>
    <row r="1135" spans="2:48" x14ac:dyDescent="0.35">
      <c r="B1135" s="90">
        <f t="shared" si="17"/>
        <v>1125</v>
      </c>
      <c r="C1135" s="140">
        <v>46083</v>
      </c>
      <c r="D1135" s="6" t="s">
        <v>16</v>
      </c>
      <c r="E1135" s="6" t="s">
        <v>450</v>
      </c>
      <c r="F1135" s="242" t="s">
        <v>442</v>
      </c>
      <c r="G1135" s="242" t="s">
        <v>451</v>
      </c>
      <c r="H1135" s="6" t="s">
        <v>452</v>
      </c>
      <c r="I1135" s="133" t="s">
        <v>22</v>
      </c>
      <c r="J1135" s="135" t="s">
        <v>23</v>
      </c>
      <c r="K1135" s="135" t="s">
        <v>215</v>
      </c>
      <c r="L1135" s="6" t="s">
        <v>449</v>
      </c>
      <c r="M1135" s="256">
        <v>30</v>
      </c>
      <c r="N1135" s="256">
        <v>65</v>
      </c>
      <c r="O1135" s="256">
        <v>2</v>
      </c>
      <c r="P1135" s="257">
        <v>1</v>
      </c>
      <c r="Q1135" s="129">
        <v>49</v>
      </c>
      <c r="R1135" s="98">
        <v>0.50019999999999998</v>
      </c>
      <c r="S1135" s="94">
        <f>((Table3.110[[#This Row],[Sample weight, g]]*'2.1. DM'!Q285)/100)*1000</f>
        <v>482.3722570614695</v>
      </c>
      <c r="T1135" s="94">
        <f>'3.2 Digest'!W1135</f>
        <v>203.77225706146942</v>
      </c>
      <c r="U1135" s="153">
        <v>0.33819444444444446</v>
      </c>
      <c r="V1135" s="155">
        <v>41</v>
      </c>
      <c r="W1135" s="153">
        <v>0.68402777777777779</v>
      </c>
      <c r="X1135" s="91">
        <v>73</v>
      </c>
      <c r="Y1135" s="91">
        <v>13.4</v>
      </c>
      <c r="Z1135" s="154">
        <v>40</v>
      </c>
      <c r="AA1135" s="153">
        <v>0.38124999999999998</v>
      </c>
      <c r="AB1135" s="154">
        <v>76</v>
      </c>
      <c r="AC1135" s="154">
        <v>17</v>
      </c>
      <c r="AD1135" s="91"/>
      <c r="AE1135" s="94">
        <f>Table3.110[[#This Row],[Gas 8h, ml]]-Table3.110[[#This Row],[Gas 0h, ml]]</f>
        <v>32</v>
      </c>
      <c r="AF1135" s="94">
        <f>Table3.110[[#This Row],[Gas 24h, ml]]-Table3.110[[#This Row],[V8 Push back, ml]]</f>
        <v>36</v>
      </c>
      <c r="AG1135" s="94">
        <f>Table3.110[[#This Row],[GP 8h, ml]]-(AVERAGE(AE$1087,AE$1088,AE$1121,AE$1122,AE$1157,AE$1158))*$AG$8</f>
        <v>29.861233672775342</v>
      </c>
      <c r="AH1135" s="94">
        <f>Table3.110[[#This Row],[GP 8-24h, ml]]-(AVERAGE(AF$1087,AF$1088,AF$1121,AF$1122,AF$1157,AF$1158))*$AG$8</f>
        <v>33.123728042697877</v>
      </c>
      <c r="AI1135" s="94">
        <f>Table3.110[[#This Row],[Net gas 8-24h, ml]]+Table3.110[[#This Row],[Net gas 8h, ml]]</f>
        <v>62.984961715473219</v>
      </c>
      <c r="AJ1135" s="94">
        <f>Table3.110[[#This Row],[Net gas 8h, ml]]*Table3.110[[#This Row],[CH4 8h %]]%</f>
        <v>4.0014053121518964</v>
      </c>
      <c r="AK1135" s="94">
        <f>Table3.110[[#This Row],[Net gas 8-24h, ml]]*Table3.110[[#This Row],[CH4 24h, %]]%</f>
        <v>5.6310337672586392</v>
      </c>
      <c r="AL1135" s="94">
        <f>Table3.110[[#This Row],[CH4 8-24h, ml]]+Table3.110[[#This Row],[CH4 8h, ml]]</f>
        <v>9.6324390794105348</v>
      </c>
      <c r="AM1135" s="94">
        <f>(Table3.110[[#This Row],[Net gas 24h, ml]]/Table3.110[[#This Row],[DM Incubated, mg]])*1000</f>
        <v>130.57335033977077</v>
      </c>
      <c r="AN1135" s="94">
        <f>'3.2 Digest'!X1135</f>
        <v>42.243776269973665</v>
      </c>
      <c r="AO1135" s="94">
        <f>Table3.110[[#This Row],[Digested feed, mg]]/Table3.110[[#This Row],[Net gas 24h, ml]]</f>
        <v>3.2352525350731405</v>
      </c>
      <c r="AP1135" s="94">
        <f>Table3.110[[#This Row],[CH4 8h, ml]]/Table3.110[[#This Row],[Net gas 8h, ml]]%</f>
        <v>13.400000000000004</v>
      </c>
      <c r="AQ1135" s="94">
        <f>Table3.110[[#This Row],[CH4 24h, ml]]/Table3.110[[#This Row],[Net gas 24h, ml]]%</f>
        <v>15.293236380652079</v>
      </c>
      <c r="AR1135" s="94">
        <f>Table3.110[[#This Row],[CH4 24h, ml]]/Table3.110[[#This Row],[DM Incubated, mg]]*1000</f>
        <v>19.968891117598119</v>
      </c>
      <c r="AS1135" s="94">
        <f>Table3.110[[#This Row],[CH4 24h, ml]]/Table3.110[[#This Row],[Digested feed, mg]]*1000</f>
        <v>47.270610917877981</v>
      </c>
      <c r="AT1135" s="255">
        <f>Table3.110[[#This Row],[CH4 24h, ml]]/'3.2 Digest'!AA1135</f>
        <v>3.5001499566409202</v>
      </c>
      <c r="AU1135" s="255">
        <f>((Table3.110[[#This Row],[CH4 24h, ml]]/28.9)*16.04)/Table3.110[[#This Row],[DM Incubated, mg]]*1000</f>
        <v>11.083080052812242</v>
      </c>
      <c r="AV1135" s="255">
        <f>((Table3.110[[#This Row],[CH4 24h, ml]]/28.9)*16.04)/Table3.110[[#This Row],[Digested feed, mg]]*1000</f>
        <v>26.236006890060995</v>
      </c>
    </row>
    <row r="1136" spans="2:48" x14ac:dyDescent="0.35">
      <c r="B1136" s="90">
        <f t="shared" si="17"/>
        <v>1126</v>
      </c>
      <c r="C1136" s="140">
        <v>46083</v>
      </c>
      <c r="D1136" s="6" t="s">
        <v>16</v>
      </c>
      <c r="E1136" s="6" t="s">
        <v>450</v>
      </c>
      <c r="F1136" s="242" t="s">
        <v>442</v>
      </c>
      <c r="G1136" s="242" t="s">
        <v>451</v>
      </c>
      <c r="H1136" s="6" t="s">
        <v>452</v>
      </c>
      <c r="I1136" s="133" t="s">
        <v>22</v>
      </c>
      <c r="J1136" s="135" t="s">
        <v>23</v>
      </c>
      <c r="K1136" s="135" t="s">
        <v>215</v>
      </c>
      <c r="L1136" s="6" t="s">
        <v>449</v>
      </c>
      <c r="M1136" s="256">
        <v>30</v>
      </c>
      <c r="N1136" s="256">
        <v>65</v>
      </c>
      <c r="O1136" s="256">
        <v>2</v>
      </c>
      <c r="P1136" s="257">
        <v>2</v>
      </c>
      <c r="Q1136" s="129">
        <v>50</v>
      </c>
      <c r="R1136" s="98">
        <v>0.50019999999999998</v>
      </c>
      <c r="S1136" s="94">
        <f>((Table3.110[[#This Row],[Sample weight, g]]*'2.1. DM'!Q285)/100)*1000</f>
        <v>482.3722570614695</v>
      </c>
      <c r="T1136" s="94">
        <f>'3.2 Digest'!W1136</f>
        <v>198.07225706146949</v>
      </c>
      <c r="U1136" s="117">
        <v>0.33888888888888891</v>
      </c>
      <c r="V1136" s="155">
        <v>41</v>
      </c>
      <c r="W1136" s="117">
        <v>0.68402777777777779</v>
      </c>
      <c r="X1136" s="96">
        <v>75</v>
      </c>
      <c r="Y1136" s="96">
        <v>13</v>
      </c>
      <c r="Z1136" s="155">
        <v>40</v>
      </c>
      <c r="AA1136" s="117">
        <v>0.38194444444444442</v>
      </c>
      <c r="AB1136" s="155">
        <v>76</v>
      </c>
      <c r="AC1136" s="155">
        <v>16.600000000000001</v>
      </c>
      <c r="AD1136" s="96"/>
      <c r="AE1136" s="94">
        <f>Table3.110[[#This Row],[Gas 8h, ml]]-Table3.110[[#This Row],[Gas 0h, ml]]</f>
        <v>34</v>
      </c>
      <c r="AF1136" s="94">
        <f>Table3.110[[#This Row],[Gas 24h, ml]]-Table3.110[[#This Row],[V8 Push back, ml]]</f>
        <v>36</v>
      </c>
      <c r="AG1136" s="94">
        <f>Table3.110[[#This Row],[GP 8h, ml]]-(AVERAGE(AE$1087,AE$1088,AE$1121,AE$1122,AE$1157,AE$1158))*$AG$8</f>
        <v>31.861233672775342</v>
      </c>
      <c r="AH1136" s="94">
        <f>Table3.110[[#This Row],[GP 8-24h, ml]]-(AVERAGE(AF$1087,AF$1088,AF$1121,AF$1122,AF$1157,AF$1158))*$AG$8</f>
        <v>33.123728042697877</v>
      </c>
      <c r="AI1136" s="94">
        <f>Table3.110[[#This Row],[Net gas 8-24h, ml]]+Table3.110[[#This Row],[Net gas 8h, ml]]</f>
        <v>64.984961715473219</v>
      </c>
      <c r="AJ1136" s="94">
        <f>Table3.110[[#This Row],[Net gas 8h, ml]]*Table3.110[[#This Row],[CH4 8h %]]%</f>
        <v>4.1419603774607943</v>
      </c>
      <c r="AK1136" s="94">
        <f>Table3.110[[#This Row],[Net gas 8-24h, ml]]*Table3.110[[#This Row],[CH4 24h, %]]%</f>
        <v>5.4985388550878476</v>
      </c>
      <c r="AL1136" s="94">
        <f>Table3.110[[#This Row],[CH4 8-24h, ml]]+Table3.110[[#This Row],[CH4 8h, ml]]</f>
        <v>9.6404992325486418</v>
      </c>
      <c r="AM1136" s="94">
        <f>(Table3.110[[#This Row],[Net gas 24h, ml]]/Table3.110[[#This Row],[DM Incubated, mg]])*1000</f>
        <v>134.71952576906196</v>
      </c>
      <c r="AN1136" s="94">
        <f>'3.2 Digest'!X1136</f>
        <v>41.062116272625687</v>
      </c>
      <c r="AO1136" s="94">
        <f>Table3.110[[#This Row],[Digested feed, mg]]/Table3.110[[#This Row],[Net gas 24h, ml]]</f>
        <v>3.0479706663319859</v>
      </c>
      <c r="AP1136" s="94">
        <f>Table3.110[[#This Row],[CH4 8h, ml]]/Table3.110[[#This Row],[Net gas 8h, ml]]%</f>
        <v>13</v>
      </c>
      <c r="AQ1136" s="94">
        <f>Table3.110[[#This Row],[CH4 24h, ml]]/Table3.110[[#This Row],[Net gas 24h, ml]]%</f>
        <v>14.834969473026856</v>
      </c>
      <c r="AR1136" s="94">
        <f>Table3.110[[#This Row],[CH4 24h, ml]]/Table3.110[[#This Row],[DM Incubated, mg]]*1000</f>
        <v>19.985600522046891</v>
      </c>
      <c r="AS1136" s="94">
        <f>Table3.110[[#This Row],[CH4 24h, ml]]/Table3.110[[#This Row],[Digested feed, mg]]*1000</f>
        <v>48.67162809962236</v>
      </c>
      <c r="AT1136" s="255">
        <f>Table3.110[[#This Row],[CH4 24h, ml]]/'3.2 Digest'!AA1136</f>
        <v>12.645465641522513</v>
      </c>
      <c r="AU1136" s="255">
        <f>((Table3.110[[#This Row],[CH4 24h, ml]]/28.9)*16.04)/Table3.110[[#This Row],[DM Incubated, mg]]*1000</f>
        <v>11.092354061371354</v>
      </c>
      <c r="AV1136" s="255">
        <f>((Table3.110[[#This Row],[CH4 24h, ml]]/28.9)*16.04)/Table3.110[[#This Row],[Digested feed, mg]]*1000</f>
        <v>27.013595664980716</v>
      </c>
    </row>
    <row r="1137" spans="2:48" x14ac:dyDescent="0.35">
      <c r="B1137" s="90">
        <f t="shared" si="17"/>
        <v>1127</v>
      </c>
      <c r="C1137" s="140">
        <v>46083</v>
      </c>
      <c r="D1137" s="6" t="s">
        <v>16</v>
      </c>
      <c r="E1137" s="6" t="s">
        <v>454</v>
      </c>
      <c r="F1137" s="242" t="s">
        <v>442</v>
      </c>
      <c r="G1137" s="242" t="s">
        <v>455</v>
      </c>
      <c r="H1137" s="6" t="s">
        <v>456</v>
      </c>
      <c r="I1137" s="133" t="s">
        <v>22</v>
      </c>
      <c r="J1137" s="135" t="s">
        <v>23</v>
      </c>
      <c r="K1137" s="135" t="s">
        <v>215</v>
      </c>
      <c r="L1137" s="6" t="s">
        <v>453</v>
      </c>
      <c r="M1137" s="256">
        <v>30</v>
      </c>
      <c r="N1137" s="256">
        <v>65</v>
      </c>
      <c r="O1137" s="256">
        <v>2</v>
      </c>
      <c r="P1137" s="257">
        <v>1</v>
      </c>
      <c r="Q1137" s="129">
        <v>51</v>
      </c>
      <c r="R1137" s="98">
        <v>0.5</v>
      </c>
      <c r="S1137" s="94">
        <f>((Table3.110[[#This Row],[Sample weight, g]]*'2.1. DM'!Q287)/100)*1000</f>
        <v>478.33586433505769</v>
      </c>
      <c r="T1137" s="94">
        <f>'3.2 Digest'!W1137</f>
        <v>173.03586433505768</v>
      </c>
      <c r="U1137" s="117">
        <v>0.33888888888888891</v>
      </c>
      <c r="V1137" s="155">
        <v>40.5</v>
      </c>
      <c r="W1137" s="117">
        <v>0.68472222222222223</v>
      </c>
      <c r="X1137" s="96">
        <v>72</v>
      </c>
      <c r="Y1137" s="96">
        <v>12.3</v>
      </c>
      <c r="Z1137" s="155">
        <v>40</v>
      </c>
      <c r="AA1137" s="117">
        <v>0.38194444444444442</v>
      </c>
      <c r="AB1137" s="155">
        <v>80.5</v>
      </c>
      <c r="AC1137" s="155">
        <v>16.8</v>
      </c>
      <c r="AD1137" s="96" t="s">
        <v>599</v>
      </c>
      <c r="AE1137" s="94">
        <f>Table3.110[[#This Row],[Gas 8h, ml]]-Table3.110[[#This Row],[Gas 0h, ml]]</f>
        <v>31.5</v>
      </c>
      <c r="AF1137" s="94">
        <f>Table3.110[[#This Row],[Gas 24h, ml]]-Table3.110[[#This Row],[V8 Push back, ml]]</f>
        <v>40.5</v>
      </c>
      <c r="AG1137" s="94">
        <f>Table3.110[[#This Row],[GP 8h, ml]]-(AVERAGE(AE$1087,AE$1088,AE$1121,AE$1122,AE$1157,AE$1158))*$AG$8</f>
        <v>29.361233672775342</v>
      </c>
      <c r="AH1137" s="94">
        <f>Table3.110[[#This Row],[GP 8-24h, ml]]-(AVERAGE(AF$1087,AF$1088,AF$1121,AF$1122,AF$1157,AF$1158))*$AG$8</f>
        <v>37.623728042697877</v>
      </c>
      <c r="AI1137" s="94">
        <f>Table3.110[[#This Row],[Net gas 8-24h, ml]]+Table3.110[[#This Row],[Net gas 8h, ml]]</f>
        <v>66.984961715473219</v>
      </c>
      <c r="AJ1137" s="94">
        <f>Table3.110[[#This Row],[Net gas 8h, ml]]*Table3.110[[#This Row],[CH4 8h %]]%</f>
        <v>3.6114317417513675</v>
      </c>
      <c r="AK1137" s="94">
        <f>Table3.110[[#This Row],[Net gas 8-24h, ml]]*Table3.110[[#This Row],[CH4 24h, %]]%</f>
        <v>6.3207863111732436</v>
      </c>
      <c r="AL1137" s="94">
        <f>Table3.110[[#This Row],[CH4 8-24h, ml]]+Table3.110[[#This Row],[CH4 8h, ml]]</f>
        <v>9.9322180529246111</v>
      </c>
      <c r="AM1137" s="94">
        <f>(Table3.110[[#This Row],[Net gas 24h, ml]]/Table3.110[[#This Row],[DM Incubated, mg]])*1000</f>
        <v>140.03750650934376</v>
      </c>
      <c r="AN1137" s="94">
        <f>'3.2 Digest'!X1137</f>
        <v>36.174553746999003</v>
      </c>
      <c r="AO1137" s="94">
        <f>Table3.110[[#This Row],[Digested feed, mg]]/Table3.110[[#This Row],[Net gas 24h, ml]]</f>
        <v>2.5832046462913358</v>
      </c>
      <c r="AP1137" s="94">
        <f>Table3.110[[#This Row],[CH4 8h, ml]]/Table3.110[[#This Row],[Net gas 8h, ml]]%</f>
        <v>12.3</v>
      </c>
      <c r="AQ1137" s="94">
        <f>Table3.110[[#This Row],[CH4 24h, ml]]/Table3.110[[#This Row],[Net gas 24h, ml]]%</f>
        <v>14.827534118945856</v>
      </c>
      <c r="AR1137" s="94">
        <f>Table3.110[[#This Row],[CH4 24h, ml]]/Table3.110[[#This Row],[DM Incubated, mg]]*1000</f>
        <v>20.76410905699397</v>
      </c>
      <c r="AS1137" s="94">
        <f>Table3.110[[#This Row],[CH4 24h, ml]]/Table3.110[[#This Row],[Digested feed, mg]]*1000</f>
        <v>57.399765598259897</v>
      </c>
      <c r="AT1137" s="255">
        <f>Table3.110[[#This Row],[CH4 24h, ml]]/'3.2 Digest'!AA1137</f>
        <v>-2.2130840214671346</v>
      </c>
      <c r="AU1137" s="255">
        <f>((Table3.110[[#This Row],[CH4 24h, ml]]/28.9)*16.04)/Table3.110[[#This Row],[DM Incubated, mg]]*1000</f>
        <v>11.52443976727278</v>
      </c>
      <c r="AV1137" s="255">
        <f>((Table3.110[[#This Row],[CH4 24h, ml]]/28.9)*16.04)/Table3.110[[#This Row],[Digested feed, mg]]*1000</f>
        <v>31.857862982563628</v>
      </c>
    </row>
    <row r="1138" spans="2:48" x14ac:dyDescent="0.35">
      <c r="B1138" s="90">
        <f t="shared" si="17"/>
        <v>1128</v>
      </c>
      <c r="C1138" s="140">
        <v>46083</v>
      </c>
      <c r="D1138" s="6" t="s">
        <v>16</v>
      </c>
      <c r="E1138" s="6" t="s">
        <v>454</v>
      </c>
      <c r="F1138" s="242" t="s">
        <v>442</v>
      </c>
      <c r="G1138" s="242" t="s">
        <v>455</v>
      </c>
      <c r="H1138" s="6" t="s">
        <v>456</v>
      </c>
      <c r="I1138" s="133" t="s">
        <v>22</v>
      </c>
      <c r="J1138" s="135" t="s">
        <v>23</v>
      </c>
      <c r="K1138" s="135" t="s">
        <v>215</v>
      </c>
      <c r="L1138" s="6" t="s">
        <v>453</v>
      </c>
      <c r="M1138" s="256">
        <v>30</v>
      </c>
      <c r="N1138" s="256">
        <v>65</v>
      </c>
      <c r="O1138" s="256">
        <v>2</v>
      </c>
      <c r="P1138" s="257">
        <v>2</v>
      </c>
      <c r="Q1138" s="129">
        <v>52</v>
      </c>
      <c r="R1138" s="98">
        <v>0.5</v>
      </c>
      <c r="S1138" s="94">
        <f>((Table3.110[[#This Row],[Sample weight, g]]*'2.1. DM'!Q287)/100)*1000</f>
        <v>478.33586433505769</v>
      </c>
      <c r="T1138" s="94">
        <f>'3.2 Digest'!W1138</f>
        <v>165.73586433505773</v>
      </c>
      <c r="U1138" s="153">
        <v>0.33888888888888891</v>
      </c>
      <c r="V1138" s="155">
        <v>41.5</v>
      </c>
      <c r="W1138" s="153">
        <v>0.68541666666666667</v>
      </c>
      <c r="X1138" s="91">
        <v>73.5</v>
      </c>
      <c r="Y1138" s="91">
        <v>12.2</v>
      </c>
      <c r="Z1138" s="154">
        <v>40</v>
      </c>
      <c r="AA1138" s="153">
        <v>0.38263888888888886</v>
      </c>
      <c r="AB1138" s="154">
        <v>83</v>
      </c>
      <c r="AC1138" s="154">
        <v>16.7</v>
      </c>
      <c r="AD1138" s="91"/>
      <c r="AE1138" s="94">
        <f>Table3.110[[#This Row],[Gas 8h, ml]]-Table3.110[[#This Row],[Gas 0h, ml]]</f>
        <v>32</v>
      </c>
      <c r="AF1138" s="94">
        <f>Table3.110[[#This Row],[Gas 24h, ml]]-Table3.110[[#This Row],[V8 Push back, ml]]</f>
        <v>43</v>
      </c>
      <c r="AG1138" s="94">
        <f>Table3.110[[#This Row],[GP 8h, ml]]-(AVERAGE(AE$1087,AE$1088,AE$1121,AE$1122,AE$1157,AE$1158))*$AG$8</f>
        <v>29.861233672775342</v>
      </c>
      <c r="AH1138" s="94">
        <f>Table3.110[[#This Row],[GP 8-24h, ml]]-(AVERAGE(AF$1087,AF$1088,AF$1121,AF$1122,AF$1157,AF$1158))*$AG$8</f>
        <v>40.123728042697877</v>
      </c>
      <c r="AI1138" s="94">
        <f>Table3.110[[#This Row],[Net gas 8-24h, ml]]+Table3.110[[#This Row],[Net gas 8h, ml]]</f>
        <v>69.984961715473219</v>
      </c>
      <c r="AJ1138" s="94">
        <f>Table3.110[[#This Row],[Net gas 8h, ml]]*Table3.110[[#This Row],[CH4 8h %]]%</f>
        <v>3.6430705080785915</v>
      </c>
      <c r="AK1138" s="94">
        <f>Table3.110[[#This Row],[Net gas 8-24h, ml]]*Table3.110[[#This Row],[CH4 24h, %]]%</f>
        <v>6.7006625831305451</v>
      </c>
      <c r="AL1138" s="94">
        <f>Table3.110[[#This Row],[CH4 8-24h, ml]]+Table3.110[[#This Row],[CH4 8h, ml]]</f>
        <v>10.343733091209137</v>
      </c>
      <c r="AM1138" s="94">
        <f>(Table3.110[[#This Row],[Net gas 24h, ml]]/Table3.110[[#This Row],[DM Incubated, mg]])*1000</f>
        <v>146.30925032719517</v>
      </c>
      <c r="AN1138" s="94">
        <f>'3.2 Digest'!X1138</f>
        <v>34.64842941798851</v>
      </c>
      <c r="AO1138" s="94">
        <f>Table3.110[[#This Row],[Digested feed, mg]]/Table3.110[[#This Row],[Net gas 24h, ml]]</f>
        <v>2.368163963693569</v>
      </c>
      <c r="AP1138" s="94">
        <f>Table3.110[[#This Row],[CH4 8h, ml]]/Table3.110[[#This Row],[Net gas 8h, ml]]%</f>
        <v>12.200000000000001</v>
      </c>
      <c r="AQ1138" s="94">
        <f>Table3.110[[#This Row],[CH4 24h, ml]]/Table3.110[[#This Row],[Net gas 24h, ml]]%</f>
        <v>14.779936771648194</v>
      </c>
      <c r="AR1138" s="94">
        <f>Table3.110[[#This Row],[CH4 24h, ml]]/Table3.110[[#This Row],[DM Incubated, mg]]*1000</f>
        <v>21.624414689431923</v>
      </c>
      <c r="AS1138" s="94">
        <f>Table3.110[[#This Row],[CH4 24h, ml]]/Table3.110[[#This Row],[Digested feed, mg]]*1000</f>
        <v>62.410952105682242</v>
      </c>
      <c r="AT1138" s="255">
        <f>Table3.110[[#This Row],[CH4 24h, ml]]/'3.2 Digest'!AA1138</f>
        <v>-1.4805621497392716</v>
      </c>
      <c r="AU1138" s="255">
        <f>((Table3.110[[#This Row],[CH4 24h, ml]]/28.9)*16.04)/Table3.110[[#This Row],[DM Incubated, mg]]*1000</f>
        <v>12.001924277456332</v>
      </c>
      <c r="AV1138" s="255">
        <f>((Table3.110[[#This Row],[CH4 24h, ml]]/28.9)*16.04)/Table3.110[[#This Row],[Digested feed, mg]]*1000</f>
        <v>34.639158192911523</v>
      </c>
    </row>
    <row r="1139" spans="2:48" x14ac:dyDescent="0.35">
      <c r="B1139" s="90">
        <f t="shared" si="17"/>
        <v>1129</v>
      </c>
      <c r="C1139" s="140">
        <v>46083</v>
      </c>
      <c r="D1139" s="6" t="s">
        <v>16</v>
      </c>
      <c r="E1139" s="6" t="s">
        <v>458</v>
      </c>
      <c r="F1139" s="242" t="s">
        <v>333</v>
      </c>
      <c r="G1139" s="242" t="s">
        <v>438</v>
      </c>
      <c r="H1139" s="6" t="s">
        <v>439</v>
      </c>
      <c r="I1139" s="133" t="s">
        <v>22</v>
      </c>
      <c r="J1139" s="135" t="s">
        <v>23</v>
      </c>
      <c r="K1139" s="135" t="s">
        <v>303</v>
      </c>
      <c r="L1139" s="6" t="s">
        <v>457</v>
      </c>
      <c r="M1139" s="256">
        <v>30</v>
      </c>
      <c r="N1139" s="256">
        <v>65</v>
      </c>
      <c r="O1139" s="256">
        <v>2</v>
      </c>
      <c r="P1139" s="257">
        <v>1</v>
      </c>
      <c r="Q1139" s="129">
        <v>53</v>
      </c>
      <c r="R1139" s="98">
        <v>0.5</v>
      </c>
      <c r="S1139" s="94">
        <f>((Table3.110[[#This Row],[Sample weight, g]]*'2.1. DM'!Q289)/100)*1000</f>
        <v>477.40455817672938</v>
      </c>
      <c r="T1139" s="94">
        <f>'3.2 Digest'!W1139</f>
        <v>273.60455817672937</v>
      </c>
      <c r="U1139" s="153">
        <v>0.33958333333333335</v>
      </c>
      <c r="V1139" s="155">
        <v>41.5</v>
      </c>
      <c r="W1139" s="153">
        <v>0.68611111111111112</v>
      </c>
      <c r="X1139" s="91">
        <v>73.5</v>
      </c>
      <c r="Y1139" s="91">
        <v>12.8</v>
      </c>
      <c r="Z1139" s="154">
        <v>40</v>
      </c>
      <c r="AA1139" s="153">
        <v>0.38263888888888886</v>
      </c>
      <c r="AB1139" s="154">
        <v>84.5</v>
      </c>
      <c r="AC1139" s="154">
        <v>14</v>
      </c>
      <c r="AD1139" s="91"/>
      <c r="AE1139" s="94">
        <f>Table3.110[[#This Row],[Gas 8h, ml]]-Table3.110[[#This Row],[Gas 0h, ml]]</f>
        <v>32</v>
      </c>
      <c r="AF1139" s="94">
        <f>Table3.110[[#This Row],[Gas 24h, ml]]-Table3.110[[#This Row],[V8 Push back, ml]]</f>
        <v>44.5</v>
      </c>
      <c r="AG1139" s="94">
        <f>Table3.110[[#This Row],[GP 8h, ml]]-(AVERAGE(AE$1087,AE$1088,AE$1121,AE$1122,AE$1157,AE$1158))*$AG$8</f>
        <v>29.861233672775342</v>
      </c>
      <c r="AH1139" s="94">
        <f>Table3.110[[#This Row],[GP 8-24h, ml]]-(AVERAGE(AF$1087,AF$1088,AF$1121,AF$1122,AF$1157,AF$1158))*$AG$8</f>
        <v>41.623728042697877</v>
      </c>
      <c r="AI1139" s="94">
        <f>Table3.110[[#This Row],[Net gas 8-24h, ml]]+Table3.110[[#This Row],[Net gas 8h, ml]]</f>
        <v>71.484961715473219</v>
      </c>
      <c r="AJ1139" s="94">
        <f>Table3.110[[#This Row],[Net gas 8h, ml]]*Table3.110[[#This Row],[CH4 8h %]]%</f>
        <v>3.8222379101152439</v>
      </c>
      <c r="AK1139" s="94">
        <f>Table3.110[[#This Row],[Net gas 8-24h, ml]]*Table3.110[[#This Row],[CH4 24h, %]]%</f>
        <v>5.8273219259777029</v>
      </c>
      <c r="AL1139" s="94">
        <f>Table3.110[[#This Row],[CH4 8-24h, ml]]+Table3.110[[#This Row],[CH4 8h, ml]]</f>
        <v>9.6495598360929478</v>
      </c>
      <c r="AM1139" s="94">
        <f>(Table3.110[[#This Row],[Net gas 24h, ml]]/Table3.110[[#This Row],[DM Incubated, mg]])*1000</f>
        <v>149.73665519341429</v>
      </c>
      <c r="AN1139" s="94">
        <f>'3.2 Digest'!X1139</f>
        <v>57.310839096648145</v>
      </c>
      <c r="AO1139" s="94">
        <f>Table3.110[[#This Row],[Digested feed, mg]]/Table3.110[[#This Row],[Net gas 24h, ml]]</f>
        <v>3.8274421865921839</v>
      </c>
      <c r="AP1139" s="94">
        <f>Table3.110[[#This Row],[CH4 8h, ml]]/Table3.110[[#This Row],[Net gas 8h, ml]]%</f>
        <v>12.800000000000002</v>
      </c>
      <c r="AQ1139" s="94">
        <f>Table3.110[[#This Row],[CH4 24h, ml]]/Table3.110[[#This Row],[Net gas 24h, ml]]%</f>
        <v>13.498727011284473</v>
      </c>
      <c r="AR1139" s="94">
        <f>Table3.110[[#This Row],[CH4 24h, ml]]/Table3.110[[#This Row],[DM Incubated, mg]]*1000</f>
        <v>20.21254232038731</v>
      </c>
      <c r="AS1139" s="94">
        <f>Table3.110[[#This Row],[CH4 24h, ml]]/Table3.110[[#This Row],[Digested feed, mg]]*1000</f>
        <v>35.268271480550439</v>
      </c>
      <c r="AT1139" s="255">
        <f>Table3.110[[#This Row],[CH4 24h, ml]]/'3.2 Digest'!AA1139</f>
        <v>1.3390269896446991</v>
      </c>
      <c r="AU1139" s="255">
        <f>((Table3.110[[#This Row],[CH4 24h, ml]]/28.9)*16.04)/Table3.110[[#This Row],[DM Incubated, mg]]*1000</f>
        <v>11.218310685778976</v>
      </c>
      <c r="AV1139" s="255">
        <f>((Table3.110[[#This Row],[CH4 24h, ml]]/28.9)*16.04)/Table3.110[[#This Row],[Digested feed, mg]]*1000</f>
        <v>19.574500849412768</v>
      </c>
    </row>
    <row r="1140" spans="2:48" x14ac:dyDescent="0.35">
      <c r="B1140" s="90">
        <f t="shared" si="17"/>
        <v>1130</v>
      </c>
      <c r="C1140" s="140">
        <v>46083</v>
      </c>
      <c r="D1140" s="6" t="s">
        <v>16</v>
      </c>
      <c r="E1140" s="6" t="s">
        <v>458</v>
      </c>
      <c r="F1140" s="242" t="s">
        <v>333</v>
      </c>
      <c r="G1140" s="242" t="s">
        <v>438</v>
      </c>
      <c r="H1140" s="6" t="s">
        <v>439</v>
      </c>
      <c r="I1140" s="133" t="s">
        <v>22</v>
      </c>
      <c r="J1140" s="135" t="s">
        <v>23</v>
      </c>
      <c r="K1140" s="135" t="s">
        <v>303</v>
      </c>
      <c r="L1140" s="6" t="s">
        <v>457</v>
      </c>
      <c r="M1140" s="256">
        <v>30</v>
      </c>
      <c r="N1140" s="256">
        <v>65</v>
      </c>
      <c r="O1140" s="256">
        <v>2</v>
      </c>
      <c r="P1140" s="257">
        <v>2</v>
      </c>
      <c r="Q1140" s="129">
        <v>54</v>
      </c>
      <c r="R1140" s="98">
        <v>0.5</v>
      </c>
      <c r="S1140" s="94">
        <f>((Table3.110[[#This Row],[Sample weight, g]]*'2.1. DM'!Q289)/100)*1000</f>
        <v>477.40455817672938</v>
      </c>
      <c r="T1140" s="94">
        <f>'3.2 Digest'!W1140</f>
        <v>290.70455817672939</v>
      </c>
      <c r="U1140" s="117">
        <v>0.33958333333333335</v>
      </c>
      <c r="V1140" s="155">
        <v>41</v>
      </c>
      <c r="W1140" s="117">
        <v>0.68680555555555556</v>
      </c>
      <c r="X1140" s="96">
        <v>77.5</v>
      </c>
      <c r="Y1140" s="96">
        <v>13.2</v>
      </c>
      <c r="Z1140" s="155">
        <v>41.5</v>
      </c>
      <c r="AA1140" s="117">
        <v>0.38333333333333336</v>
      </c>
      <c r="AB1140" s="155">
        <v>86</v>
      </c>
      <c r="AC1140" s="155">
        <v>13.8</v>
      </c>
      <c r="AD1140" s="96"/>
      <c r="AE1140" s="94">
        <f>Table3.110[[#This Row],[Gas 8h, ml]]-Table3.110[[#This Row],[Gas 0h, ml]]</f>
        <v>36.5</v>
      </c>
      <c r="AF1140" s="94">
        <f>Table3.110[[#This Row],[Gas 24h, ml]]-Table3.110[[#This Row],[V8 Push back, ml]]</f>
        <v>44.5</v>
      </c>
      <c r="AG1140" s="94">
        <f>Table3.110[[#This Row],[GP 8h, ml]]-(AVERAGE(AE$1087,AE$1088,AE$1121,AE$1122,AE$1157,AE$1158))*$AG$8</f>
        <v>34.361233672775342</v>
      </c>
      <c r="AH1140" s="94">
        <f>Table3.110[[#This Row],[GP 8-24h, ml]]-(AVERAGE(AF$1087,AF$1088,AF$1121,AF$1122,AF$1157,AF$1158))*$AG$8</f>
        <v>41.623728042697877</v>
      </c>
      <c r="AI1140" s="94">
        <f>Table3.110[[#This Row],[Net gas 8-24h, ml]]+Table3.110[[#This Row],[Net gas 8h, ml]]</f>
        <v>75.984961715473219</v>
      </c>
      <c r="AJ1140" s="94">
        <f>Table3.110[[#This Row],[Net gas 8h, ml]]*Table3.110[[#This Row],[CH4 8h %]]%</f>
        <v>4.5356828448063453</v>
      </c>
      <c r="AK1140" s="94">
        <f>Table3.110[[#This Row],[Net gas 8-24h, ml]]*Table3.110[[#This Row],[CH4 24h, %]]%</f>
        <v>5.7440744698923076</v>
      </c>
      <c r="AL1140" s="94">
        <f>Table3.110[[#This Row],[CH4 8-24h, ml]]+Table3.110[[#This Row],[CH4 8h, ml]]</f>
        <v>10.279757314698653</v>
      </c>
      <c r="AM1140" s="94">
        <f>(Table3.110[[#This Row],[Net gas 24h, ml]]/Table3.110[[#This Row],[DM Incubated, mg]])*1000</f>
        <v>159.16262300818775</v>
      </c>
      <c r="AN1140" s="94">
        <f>'3.2 Digest'!X1140</f>
        <v>60.892706866262067</v>
      </c>
      <c r="AO1140" s="94">
        <f>Table3.110[[#This Row],[Digested feed, mg]]/Table3.110[[#This Row],[Net gas 24h, ml]]</f>
        <v>3.8258169987013586</v>
      </c>
      <c r="AP1140" s="94">
        <f>Table3.110[[#This Row],[CH4 8h, ml]]/Table3.110[[#This Row],[Net gas 8h, ml]]%</f>
        <v>13.2</v>
      </c>
      <c r="AQ1140" s="94">
        <f>Table3.110[[#This Row],[CH4 24h, ml]]/Table3.110[[#This Row],[Net gas 24h, ml]]%</f>
        <v>13.528673414604526</v>
      </c>
      <c r="AR1140" s="94">
        <f>Table3.110[[#This Row],[CH4 24h, ml]]/Table3.110[[#This Row],[DM Incubated, mg]]*1000</f>
        <v>21.532591464895923</v>
      </c>
      <c r="AS1140" s="94">
        <f>Table3.110[[#This Row],[CH4 24h, ml]]/Table3.110[[#This Row],[Digested feed, mg]]*1000</f>
        <v>35.36152779706066</v>
      </c>
      <c r="AT1140" s="255">
        <f>Table3.110[[#This Row],[CH4 24h, ml]]/'3.2 Digest'!AA1140</f>
        <v>0.68566833543550465</v>
      </c>
      <c r="AU1140" s="255">
        <f>((Table3.110[[#This Row],[CH4 24h, ml]]/28.9)*16.04)/Table3.110[[#This Row],[DM Incubated, mg]]*1000</f>
        <v>11.950960799201752</v>
      </c>
      <c r="AV1140" s="255">
        <f>((Table3.110[[#This Row],[CH4 24h, ml]]/28.9)*16.04)/Table3.110[[#This Row],[Digested feed, mg]]*1000</f>
        <v>19.626259718507022</v>
      </c>
    </row>
    <row r="1141" spans="2:48" x14ac:dyDescent="0.35">
      <c r="B1141" s="90">
        <f t="shared" si="17"/>
        <v>1131</v>
      </c>
      <c r="C1141" s="140">
        <v>46083</v>
      </c>
      <c r="D1141" s="6" t="s">
        <v>16</v>
      </c>
      <c r="E1141" s="6" t="s">
        <v>460</v>
      </c>
      <c r="F1141" s="242" t="s">
        <v>333</v>
      </c>
      <c r="G1141" s="242" t="s">
        <v>461</v>
      </c>
      <c r="H1141" s="6" t="s">
        <v>462</v>
      </c>
      <c r="I1141" s="133" t="s">
        <v>22</v>
      </c>
      <c r="J1141" s="135" t="s">
        <v>23</v>
      </c>
      <c r="K1141" s="135" t="s">
        <v>303</v>
      </c>
      <c r="L1141" s="6" t="s">
        <v>459</v>
      </c>
      <c r="M1141" s="256">
        <v>30</v>
      </c>
      <c r="N1141" s="256">
        <v>65</v>
      </c>
      <c r="O1141" s="256">
        <v>2</v>
      </c>
      <c r="P1141" s="257">
        <v>1</v>
      </c>
      <c r="Q1141" s="129">
        <v>55</v>
      </c>
      <c r="R1141" s="98">
        <v>0.50019999999999998</v>
      </c>
      <c r="S1141" s="94">
        <f>((Table3.110[[#This Row],[Sample weight, g]]*'2.1. DM'!Q291)/100)*1000</f>
        <v>482.40087956021961</v>
      </c>
      <c r="T1141" s="94">
        <f>'3.2 Digest'!W1141</f>
        <v>212.80087956021953</v>
      </c>
      <c r="U1141" s="117">
        <v>0.34027777777777779</v>
      </c>
      <c r="V1141" s="155">
        <v>41</v>
      </c>
      <c r="W1141" s="117">
        <v>0.68680555555555556</v>
      </c>
      <c r="X1141" s="96">
        <v>78</v>
      </c>
      <c r="Y1141" s="96">
        <v>13.8</v>
      </c>
      <c r="Z1141" s="155">
        <v>40.5</v>
      </c>
      <c r="AA1141" s="117">
        <v>0.38333333333333336</v>
      </c>
      <c r="AB1141" s="155">
        <v>80</v>
      </c>
      <c r="AC1141" s="155">
        <v>16.399999999999999</v>
      </c>
      <c r="AD1141" s="96"/>
      <c r="AE1141" s="94">
        <f>Table3.110[[#This Row],[Gas 8h, ml]]-Table3.110[[#This Row],[Gas 0h, ml]]</f>
        <v>37</v>
      </c>
      <c r="AF1141" s="94">
        <f>Table3.110[[#This Row],[Gas 24h, ml]]-Table3.110[[#This Row],[V8 Push back, ml]]</f>
        <v>39.5</v>
      </c>
      <c r="AG1141" s="94">
        <f>Table3.110[[#This Row],[GP 8h, ml]]-(AVERAGE(AE$1087,AE$1088,AE$1121,AE$1122,AE$1157,AE$1158))*$AG$8</f>
        <v>34.861233672775342</v>
      </c>
      <c r="AH1141" s="94">
        <f>Table3.110[[#This Row],[GP 8-24h, ml]]-(AVERAGE(AF$1087,AF$1088,AF$1121,AF$1122,AF$1157,AF$1158))*$AG$8</f>
        <v>36.623728042697877</v>
      </c>
      <c r="AI1141" s="94">
        <f>Table3.110[[#This Row],[Net gas 8-24h, ml]]+Table3.110[[#This Row],[Net gas 8h, ml]]</f>
        <v>71.484961715473219</v>
      </c>
      <c r="AJ1141" s="94">
        <f>Table3.110[[#This Row],[Net gas 8h, ml]]*Table3.110[[#This Row],[CH4 8h %]]%</f>
        <v>4.8108502468429979</v>
      </c>
      <c r="AK1141" s="94">
        <f>Table3.110[[#This Row],[Net gas 8-24h, ml]]*Table3.110[[#This Row],[CH4 24h, %]]%</f>
        <v>6.0062913990024507</v>
      </c>
      <c r="AL1141" s="94">
        <f>Table3.110[[#This Row],[CH4 8-24h, ml]]+Table3.110[[#This Row],[CH4 8h, ml]]</f>
        <v>10.817141645845449</v>
      </c>
      <c r="AM1141" s="94">
        <f>(Table3.110[[#This Row],[Net gas 24h, ml]]/Table3.110[[#This Row],[DM Incubated, mg]])*1000</f>
        <v>148.18580302059652</v>
      </c>
      <c r="AN1141" s="94">
        <f>'3.2 Digest'!X1141</f>
        <v>44.112871384940114</v>
      </c>
      <c r="AO1141" s="94">
        <f>Table3.110[[#This Row],[Digested feed, mg]]/Table3.110[[#This Row],[Net gas 24h, ml]]</f>
        <v>2.976862188262988</v>
      </c>
      <c r="AP1141" s="94">
        <f>Table3.110[[#This Row],[CH4 8h, ml]]/Table3.110[[#This Row],[Net gas 8h, ml]]%</f>
        <v>13.8</v>
      </c>
      <c r="AQ1141" s="94">
        <f>Table3.110[[#This Row],[CH4 24h, ml]]/Table3.110[[#This Row],[Net gas 24h, ml]]%</f>
        <v>15.13205209355807</v>
      </c>
      <c r="AR1141" s="94">
        <f>Table3.110[[#This Row],[CH4 24h, ml]]/Table3.110[[#This Row],[DM Incubated, mg]]*1000</f>
        <v>22.423552908334013</v>
      </c>
      <c r="AS1141" s="94">
        <f>Table3.110[[#This Row],[CH4 24h, ml]]/Table3.110[[#This Row],[Digested feed, mg]]*1000</f>
        <v>50.832222442879313</v>
      </c>
      <c r="AT1141" s="255">
        <f>Table3.110[[#This Row],[CH4 24h, ml]]/'3.2 Digest'!AA1141</f>
        <v>-0.99429088809285537</v>
      </c>
      <c r="AU1141" s="255">
        <f>((Table3.110[[#This Row],[CH4 24h, ml]]/28.9)*16.04)/Table3.110[[#This Row],[DM Incubated, mg]]*1000</f>
        <v>12.445459814867739</v>
      </c>
      <c r="AV1141" s="255">
        <f>((Table3.110[[#This Row],[CH4 24h, ml]]/28.9)*16.04)/Table3.110[[#This Row],[Digested feed, mg]]*1000</f>
        <v>28.212762906013296</v>
      </c>
    </row>
    <row r="1142" spans="2:48" x14ac:dyDescent="0.35">
      <c r="B1142" s="90">
        <f t="shared" si="17"/>
        <v>1132</v>
      </c>
      <c r="C1142" s="140">
        <v>46083</v>
      </c>
      <c r="D1142" s="6" t="s">
        <v>16</v>
      </c>
      <c r="E1142" s="6" t="s">
        <v>460</v>
      </c>
      <c r="F1142" s="242" t="s">
        <v>333</v>
      </c>
      <c r="G1142" s="242" t="s">
        <v>461</v>
      </c>
      <c r="H1142" s="6" t="s">
        <v>462</v>
      </c>
      <c r="I1142" s="133" t="s">
        <v>22</v>
      </c>
      <c r="J1142" s="135" t="s">
        <v>23</v>
      </c>
      <c r="K1142" s="135" t="s">
        <v>303</v>
      </c>
      <c r="L1142" s="6" t="s">
        <v>459</v>
      </c>
      <c r="M1142" s="256">
        <v>30</v>
      </c>
      <c r="N1142" s="256">
        <v>65</v>
      </c>
      <c r="O1142" s="256">
        <v>2</v>
      </c>
      <c r="P1142" s="257">
        <v>2</v>
      </c>
      <c r="Q1142" s="129">
        <v>56</v>
      </c>
      <c r="R1142" s="98">
        <v>0.50019999999999998</v>
      </c>
      <c r="S1142" s="94">
        <f>((Table3.110[[#This Row],[Sample weight, g]]*'2.1. DM'!Q291)/100)*1000</f>
        <v>482.40087956021961</v>
      </c>
      <c r="T1142" s="94">
        <f>'3.2 Digest'!W1142</f>
        <v>222.80087956021964</v>
      </c>
      <c r="U1142" s="153">
        <v>0.34027777777777779</v>
      </c>
      <c r="V1142" s="155">
        <v>40.5</v>
      </c>
      <c r="W1142" s="153">
        <v>0.6875</v>
      </c>
      <c r="X1142" s="91">
        <v>78</v>
      </c>
      <c r="Y1142" s="91">
        <v>14.3</v>
      </c>
      <c r="Z1142" s="154">
        <v>40</v>
      </c>
      <c r="AA1142" s="153">
        <v>0.3840277777777778</v>
      </c>
      <c r="AB1142" s="154">
        <v>81.5</v>
      </c>
      <c r="AC1142" s="154">
        <v>16.2</v>
      </c>
      <c r="AD1142" s="91"/>
      <c r="AE1142" s="94">
        <f>Table3.110[[#This Row],[Gas 8h, ml]]-Table3.110[[#This Row],[Gas 0h, ml]]</f>
        <v>37.5</v>
      </c>
      <c r="AF1142" s="94">
        <f>Table3.110[[#This Row],[Gas 24h, ml]]-Table3.110[[#This Row],[V8 Push back, ml]]</f>
        <v>41.5</v>
      </c>
      <c r="AG1142" s="94">
        <f>Table3.110[[#This Row],[GP 8h, ml]]-(AVERAGE(AE$1087,AE$1088,AE$1121,AE$1122,AE$1157,AE$1158))*$AG$8</f>
        <v>35.361233672775342</v>
      </c>
      <c r="AH1142" s="94">
        <f>Table3.110[[#This Row],[GP 8-24h, ml]]-(AVERAGE(AF$1087,AF$1088,AF$1121,AF$1122,AF$1157,AF$1158))*$AG$8</f>
        <v>38.623728042697877</v>
      </c>
      <c r="AI1142" s="94">
        <f>Table3.110[[#This Row],[Net gas 8-24h, ml]]+Table3.110[[#This Row],[Net gas 8h, ml]]</f>
        <v>73.984961715473219</v>
      </c>
      <c r="AJ1142" s="94">
        <f>Table3.110[[#This Row],[Net gas 8h, ml]]*Table3.110[[#This Row],[CH4 8h %]]%</f>
        <v>5.0566564152068745</v>
      </c>
      <c r="AK1142" s="94">
        <f>Table3.110[[#This Row],[Net gas 8-24h, ml]]*Table3.110[[#This Row],[CH4 24h, %]]%</f>
        <v>6.2570439429170559</v>
      </c>
      <c r="AL1142" s="94">
        <f>Table3.110[[#This Row],[CH4 8-24h, ml]]+Table3.110[[#This Row],[CH4 8h, ml]]</f>
        <v>11.313700358123931</v>
      </c>
      <c r="AM1142" s="94">
        <f>(Table3.110[[#This Row],[Net gas 24h, ml]]/Table3.110[[#This Row],[DM Incubated, mg]])*1000</f>
        <v>153.36821479869928</v>
      </c>
      <c r="AN1142" s="94">
        <f>'3.2 Digest'!X1142</f>
        <v>46.185836096181227</v>
      </c>
      <c r="AO1142" s="94">
        <f>Table3.110[[#This Row],[Digested feed, mg]]/Table3.110[[#This Row],[Net gas 24h, ml]]</f>
        <v>3.0114346806997543</v>
      </c>
      <c r="AP1142" s="94">
        <f>Table3.110[[#This Row],[CH4 8h, ml]]/Table3.110[[#This Row],[Net gas 8h, ml]]%</f>
        <v>14.3</v>
      </c>
      <c r="AQ1142" s="94">
        <f>Table3.110[[#This Row],[CH4 24h, ml]]/Table3.110[[#This Row],[Net gas 24h, ml]]%</f>
        <v>15.291891886939753</v>
      </c>
      <c r="AR1142" s="94">
        <f>Table3.110[[#This Row],[CH4 24h, ml]]/Table3.110[[#This Row],[DM Incubated, mg]]*1000</f>
        <v>23.452901595946628</v>
      </c>
      <c r="AS1142" s="94">
        <f>Table3.110[[#This Row],[CH4 24h, ml]]/Table3.110[[#This Row],[Digested feed, mg]]*1000</f>
        <v>50.779424122811925</v>
      </c>
      <c r="AT1142" s="255">
        <f>Table3.110[[#This Row],[CH4 24h, ml]]/'3.2 Digest'!AA1142</f>
        <v>-1.6720115153429993</v>
      </c>
      <c r="AU1142" s="255">
        <f>((Table3.110[[#This Row],[CH4 24h, ml]]/28.9)*16.04)/Table3.110[[#This Row],[DM Incubated, mg]]*1000</f>
        <v>13.016766145293559</v>
      </c>
      <c r="AV1142" s="255">
        <f>((Table3.110[[#This Row],[CH4 24h, ml]]/28.9)*16.04)/Table3.110[[#This Row],[Digested feed, mg]]*1000</f>
        <v>28.183458924910145</v>
      </c>
    </row>
    <row r="1143" spans="2:48" x14ac:dyDescent="0.35">
      <c r="B1143" s="90">
        <f t="shared" si="17"/>
        <v>1133</v>
      </c>
      <c r="C1143" s="140">
        <v>46083</v>
      </c>
      <c r="D1143" s="6" t="s">
        <v>16</v>
      </c>
      <c r="E1143" s="6" t="s">
        <v>464</v>
      </c>
      <c r="F1143" s="242" t="s">
        <v>333</v>
      </c>
      <c r="G1143" s="242" t="s">
        <v>438</v>
      </c>
      <c r="H1143" s="6" t="s">
        <v>439</v>
      </c>
      <c r="I1143" s="133" t="s">
        <v>22</v>
      </c>
      <c r="J1143" s="135" t="s">
        <v>23</v>
      </c>
      <c r="K1143" s="135" t="s">
        <v>303</v>
      </c>
      <c r="L1143" s="6" t="s">
        <v>463</v>
      </c>
      <c r="M1143" s="256">
        <v>30</v>
      </c>
      <c r="N1143" s="256">
        <v>65</v>
      </c>
      <c r="O1143" s="256">
        <v>2</v>
      </c>
      <c r="P1143" s="257">
        <v>1</v>
      </c>
      <c r="Q1143" s="129">
        <v>57</v>
      </c>
      <c r="R1143" s="98">
        <v>0.50019999999999998</v>
      </c>
      <c r="S1143" s="94">
        <f>((Table3.110[[#This Row],[Sample weight, g]]*'2.1. DM'!Q293)/100)*1000</f>
        <v>479.37605197401308</v>
      </c>
      <c r="T1143" s="94">
        <f>'3.2 Digest'!W1143</f>
        <v>198.17605197401309</v>
      </c>
      <c r="U1143" s="153">
        <v>0.34027777777777779</v>
      </c>
      <c r="V1143" s="155">
        <v>41</v>
      </c>
      <c r="W1143" s="153">
        <v>0.6875</v>
      </c>
      <c r="X1143" s="91">
        <v>78</v>
      </c>
      <c r="Y1143" s="91">
        <v>13.2</v>
      </c>
      <c r="Z1143" s="154">
        <v>40</v>
      </c>
      <c r="AA1143" s="153">
        <v>0.38472222222222224</v>
      </c>
      <c r="AB1143" s="154">
        <v>76</v>
      </c>
      <c r="AC1143" s="154">
        <v>16</v>
      </c>
      <c r="AD1143" s="91"/>
      <c r="AE1143" s="94">
        <f>Table3.110[[#This Row],[Gas 8h, ml]]-Table3.110[[#This Row],[Gas 0h, ml]]</f>
        <v>37</v>
      </c>
      <c r="AF1143" s="94">
        <f>Table3.110[[#This Row],[Gas 24h, ml]]-Table3.110[[#This Row],[V8 Push back, ml]]</f>
        <v>36</v>
      </c>
      <c r="AG1143" s="94">
        <f>Table3.110[[#This Row],[GP 8h, ml]]-(AVERAGE(AE$1087,AE$1088,AE$1121,AE$1122,AE$1157,AE$1158))*$AG$8</f>
        <v>34.861233672775342</v>
      </c>
      <c r="AH1143" s="94">
        <f>Table3.110[[#This Row],[GP 8-24h, ml]]-(AVERAGE(AF$1087,AF$1088,AF$1121,AF$1122,AF$1157,AF$1158))*$AG$8</f>
        <v>33.123728042697877</v>
      </c>
      <c r="AI1143" s="94">
        <f>Table3.110[[#This Row],[Net gas 8-24h, ml]]+Table3.110[[#This Row],[Net gas 8h, ml]]</f>
        <v>67.984961715473219</v>
      </c>
      <c r="AJ1143" s="94">
        <f>Table3.110[[#This Row],[Net gas 8h, ml]]*Table3.110[[#This Row],[CH4 8h %]]%</f>
        <v>4.6016828448063452</v>
      </c>
      <c r="AK1143" s="94">
        <f>Table3.110[[#This Row],[Net gas 8-24h, ml]]*Table3.110[[#This Row],[CH4 24h, %]]%</f>
        <v>5.29979648683166</v>
      </c>
      <c r="AL1143" s="94">
        <f>Table3.110[[#This Row],[CH4 8-24h, ml]]+Table3.110[[#This Row],[CH4 8h, ml]]</f>
        <v>9.9014793316380043</v>
      </c>
      <c r="AM1143" s="94">
        <f>(Table3.110[[#This Row],[Net gas 24h, ml]]/Table3.110[[#This Row],[DM Incubated, mg]])*1000</f>
        <v>141.8196871444022</v>
      </c>
      <c r="AN1143" s="94">
        <f>'3.2 Digest'!X1143</f>
        <v>41.340415558505242</v>
      </c>
      <c r="AO1143" s="94">
        <f>Table3.110[[#This Row],[Digested feed, mg]]/Table3.110[[#This Row],[Net gas 24h, ml]]</f>
        <v>2.9149983610111923</v>
      </c>
      <c r="AP1143" s="94">
        <f>Table3.110[[#This Row],[CH4 8h, ml]]/Table3.110[[#This Row],[Net gas 8h, ml]]%</f>
        <v>13.2</v>
      </c>
      <c r="AQ1143" s="94">
        <f>Table3.110[[#This Row],[CH4 24h, ml]]/Table3.110[[#This Row],[Net gas 24h, ml]]%</f>
        <v>14.564219912452273</v>
      </c>
      <c r="AR1143" s="94">
        <f>Table3.110[[#This Row],[CH4 24h, ml]]/Table3.110[[#This Row],[DM Incubated, mg]]*1000</f>
        <v>20.654931114862539</v>
      </c>
      <c r="AS1143" s="94">
        <f>Table3.110[[#This Row],[CH4 24h, ml]]/Table3.110[[#This Row],[Digested feed, mg]]*1000</f>
        <v>49.963046659827441</v>
      </c>
      <c r="AT1143" s="255">
        <f>Table3.110[[#This Row],[CH4 24h, ml]]/'3.2 Digest'!AA1143</f>
        <v>1.429026334225012</v>
      </c>
      <c r="AU1143" s="255">
        <f>((Table3.110[[#This Row],[CH4 24h, ml]]/28.9)*16.04)/Table3.110[[#This Row],[DM Incubated, mg]]*1000</f>
        <v>11.463844120498102</v>
      </c>
      <c r="AV1143" s="255">
        <f>((Table3.110[[#This Row],[CH4 24h, ml]]/28.9)*16.04)/Table3.110[[#This Row],[Digested feed, mg]]*1000</f>
        <v>27.7303553087762</v>
      </c>
    </row>
    <row r="1144" spans="2:48" x14ac:dyDescent="0.35">
      <c r="B1144" s="90">
        <f t="shared" si="17"/>
        <v>1134</v>
      </c>
      <c r="C1144" s="140">
        <v>46083</v>
      </c>
      <c r="D1144" s="6" t="s">
        <v>16</v>
      </c>
      <c r="E1144" s="6" t="s">
        <v>464</v>
      </c>
      <c r="F1144" s="242" t="s">
        <v>333</v>
      </c>
      <c r="G1144" s="242" t="s">
        <v>438</v>
      </c>
      <c r="H1144" s="6" t="s">
        <v>439</v>
      </c>
      <c r="I1144" s="133" t="s">
        <v>22</v>
      </c>
      <c r="J1144" s="135" t="s">
        <v>23</v>
      </c>
      <c r="K1144" s="135" t="s">
        <v>303</v>
      </c>
      <c r="L1144" s="6" t="s">
        <v>463</v>
      </c>
      <c r="M1144" s="256">
        <v>30</v>
      </c>
      <c r="N1144" s="256">
        <v>65</v>
      </c>
      <c r="O1144" s="256">
        <v>2</v>
      </c>
      <c r="P1144" s="257">
        <v>2</v>
      </c>
      <c r="Q1144" s="129">
        <v>58</v>
      </c>
      <c r="R1144" s="98">
        <v>0.50009999999999999</v>
      </c>
      <c r="S1144" s="94">
        <f>((Table3.110[[#This Row],[Sample weight, g]]*'2.1. DM'!Q293)/100)*1000</f>
        <v>479.28021509836844</v>
      </c>
      <c r="T1144" s="94">
        <f>'3.2 Digest'!W1144</f>
        <v>205.48021509836838</v>
      </c>
      <c r="U1144" s="117">
        <v>0.34097222222222223</v>
      </c>
      <c r="V1144" s="155">
        <v>41</v>
      </c>
      <c r="W1144" s="117">
        <v>0.68819444444444444</v>
      </c>
      <c r="X1144" s="96">
        <v>78.5</v>
      </c>
      <c r="Y1144" s="96">
        <v>13.4</v>
      </c>
      <c r="Z1144" s="155">
        <v>40</v>
      </c>
      <c r="AA1144" s="117">
        <v>0.38541666666666669</v>
      </c>
      <c r="AB1144" s="155">
        <v>77.5</v>
      </c>
      <c r="AC1144" s="155">
        <v>15.8</v>
      </c>
      <c r="AD1144" s="96"/>
      <c r="AE1144" s="94">
        <f>Table3.110[[#This Row],[Gas 8h, ml]]-Table3.110[[#This Row],[Gas 0h, ml]]</f>
        <v>37.5</v>
      </c>
      <c r="AF1144" s="94">
        <f>Table3.110[[#This Row],[Gas 24h, ml]]-Table3.110[[#This Row],[V8 Push back, ml]]</f>
        <v>37.5</v>
      </c>
      <c r="AG1144" s="94">
        <f>Table3.110[[#This Row],[GP 8h, ml]]-(AVERAGE(AE$1087,AE$1088,AE$1121,AE$1122,AE$1157,AE$1158))*$AG$8</f>
        <v>35.361233672775342</v>
      </c>
      <c r="AH1144" s="94">
        <f>Table3.110[[#This Row],[GP 8-24h, ml]]-(AVERAGE(AF$1087,AF$1088,AF$1121,AF$1122,AF$1157,AF$1158))*$AG$8</f>
        <v>34.623728042697877</v>
      </c>
      <c r="AI1144" s="94">
        <f>Table3.110[[#This Row],[Net gas 8-24h, ml]]+Table3.110[[#This Row],[Net gas 8h, ml]]</f>
        <v>69.984961715473219</v>
      </c>
      <c r="AJ1144" s="94">
        <f>Table3.110[[#This Row],[Net gas 8h, ml]]*Table3.110[[#This Row],[CH4 8h %]]%</f>
        <v>4.7384053121518956</v>
      </c>
      <c r="AK1144" s="94">
        <f>Table3.110[[#This Row],[Net gas 8-24h, ml]]*Table3.110[[#This Row],[CH4 24h, %]]%</f>
        <v>5.4705490307462643</v>
      </c>
      <c r="AL1144" s="94">
        <f>Table3.110[[#This Row],[CH4 8-24h, ml]]+Table3.110[[#This Row],[CH4 8h, ml]]</f>
        <v>10.20895434289816</v>
      </c>
      <c r="AM1144" s="94">
        <f>(Table3.110[[#This Row],[Net gas 24h, ml]]/Table3.110[[#This Row],[DM Incubated, mg]])*1000</f>
        <v>146.02096959314159</v>
      </c>
      <c r="AN1144" s="94">
        <f>'3.2 Digest'!X1144</f>
        <v>42.872667935227661</v>
      </c>
      <c r="AO1144" s="94">
        <f>Table3.110[[#This Row],[Digested feed, mg]]/Table3.110[[#This Row],[Net gas 24h, ml]]</f>
        <v>2.9360624062888934</v>
      </c>
      <c r="AP1144" s="94">
        <f>Table3.110[[#This Row],[CH4 8h, ml]]/Table3.110[[#This Row],[Net gas 8h, ml]]%</f>
        <v>13.399999999999999</v>
      </c>
      <c r="AQ1144" s="94">
        <f>Table3.110[[#This Row],[CH4 24h, ml]]/Table3.110[[#This Row],[Net gas 24h, ml]]%</f>
        <v>14.587354329638831</v>
      </c>
      <c r="AR1144" s="94">
        <f>Table3.110[[#This Row],[CH4 24h, ml]]/Table3.110[[#This Row],[DM Incubated, mg]]*1000</f>
        <v>21.300596230125738</v>
      </c>
      <c r="AS1144" s="94">
        <f>Table3.110[[#This Row],[CH4 24h, ml]]/Table3.110[[#This Row],[Digested feed, mg]]*1000</f>
        <v>49.683393303880301</v>
      </c>
      <c r="AT1144" s="255">
        <f>Table3.110[[#This Row],[CH4 24h, ml]]/'3.2 Digest'!AA1144</f>
        <v>1.0907061077434583</v>
      </c>
      <c r="AU1144" s="255">
        <f>((Table3.110[[#This Row],[CH4 24h, ml]]/28.9)*16.04)/Table3.110[[#This Row],[DM Incubated, mg]]*1000</f>
        <v>11.822199430145913</v>
      </c>
      <c r="AV1144" s="255">
        <f>((Table3.110[[#This Row],[CH4 24h, ml]]/28.9)*16.04)/Table3.110[[#This Row],[Digested feed, mg]]*1000</f>
        <v>27.575142857932185</v>
      </c>
    </row>
    <row r="1145" spans="2:48" x14ac:dyDescent="0.35">
      <c r="B1145" s="90">
        <f t="shared" si="17"/>
        <v>1135</v>
      </c>
      <c r="C1145" s="140">
        <v>46083</v>
      </c>
      <c r="D1145" s="6" t="s">
        <v>16</v>
      </c>
      <c r="E1145" s="6" t="s">
        <v>466</v>
      </c>
      <c r="F1145" s="242" t="s">
        <v>346</v>
      </c>
      <c r="G1145" s="242" t="s">
        <v>347</v>
      </c>
      <c r="H1145" s="6" t="s">
        <v>348</v>
      </c>
      <c r="I1145" s="133" t="s">
        <v>22</v>
      </c>
      <c r="J1145" s="135" t="s">
        <v>23</v>
      </c>
      <c r="K1145" s="135" t="s">
        <v>303</v>
      </c>
      <c r="L1145" s="6" t="s">
        <v>465</v>
      </c>
      <c r="M1145" s="256">
        <v>30</v>
      </c>
      <c r="N1145" s="256">
        <v>65</v>
      </c>
      <c r="O1145" s="256">
        <v>2</v>
      </c>
      <c r="P1145" s="257">
        <v>1</v>
      </c>
      <c r="Q1145" s="129">
        <v>59</v>
      </c>
      <c r="R1145" s="98">
        <v>0.5</v>
      </c>
      <c r="S1145" s="94">
        <f>((Table3.110[[#This Row],[Sample weight, g]]*'2.1. DM'!Q295)/100)*1000</f>
        <v>481.53318595666548</v>
      </c>
      <c r="T1145" s="94"/>
      <c r="U1145" s="117">
        <v>0.34097222222222223</v>
      </c>
      <c r="V1145" s="155">
        <v>41</v>
      </c>
      <c r="W1145" s="117">
        <v>0.68958333333333333</v>
      </c>
      <c r="X1145" s="96">
        <v>73</v>
      </c>
      <c r="Y1145" s="96">
        <v>13.9</v>
      </c>
      <c r="Z1145" s="155">
        <v>40</v>
      </c>
      <c r="AA1145" s="117">
        <v>0.38611111111111113</v>
      </c>
      <c r="AB1145" s="155">
        <v>75.5</v>
      </c>
      <c r="AC1145" s="155">
        <v>16.399999999999999</v>
      </c>
      <c r="AD1145" s="96"/>
      <c r="AE1145" s="94">
        <f>Table3.110[[#This Row],[Gas 8h, ml]]-Table3.110[[#This Row],[Gas 0h, ml]]</f>
        <v>32</v>
      </c>
      <c r="AF1145" s="94">
        <f>Table3.110[[#This Row],[Gas 24h, ml]]-Table3.110[[#This Row],[V8 Push back, ml]]</f>
        <v>35.5</v>
      </c>
      <c r="AG1145" s="94"/>
      <c r="AH1145" s="94"/>
      <c r="AI1145" s="94"/>
      <c r="AJ1145" s="94"/>
      <c r="AK1145" s="94"/>
      <c r="AL1145" s="94"/>
      <c r="AM1145" s="94"/>
      <c r="AN1145" s="94"/>
      <c r="AO1145" s="94"/>
      <c r="AP1145" s="94"/>
      <c r="AQ1145" s="94"/>
      <c r="AR1145" s="94"/>
      <c r="AS1145" s="94"/>
      <c r="AT1145" s="255"/>
      <c r="AU1145" s="255"/>
      <c r="AV1145" s="255"/>
    </row>
    <row r="1146" spans="2:48" x14ac:dyDescent="0.35">
      <c r="B1146" s="90">
        <f t="shared" si="17"/>
        <v>1136</v>
      </c>
      <c r="C1146" s="140">
        <v>46083</v>
      </c>
      <c r="D1146" s="6" t="s">
        <v>16</v>
      </c>
      <c r="E1146" s="6" t="s">
        <v>466</v>
      </c>
      <c r="F1146" s="242" t="s">
        <v>346</v>
      </c>
      <c r="G1146" s="242" t="s">
        <v>347</v>
      </c>
      <c r="H1146" s="6" t="s">
        <v>348</v>
      </c>
      <c r="I1146" s="133" t="s">
        <v>22</v>
      </c>
      <c r="J1146" s="135" t="s">
        <v>23</v>
      </c>
      <c r="K1146" s="135" t="s">
        <v>303</v>
      </c>
      <c r="L1146" s="6" t="s">
        <v>465</v>
      </c>
      <c r="M1146" s="256">
        <v>30</v>
      </c>
      <c r="N1146" s="256">
        <v>65</v>
      </c>
      <c r="O1146" s="256">
        <v>2</v>
      </c>
      <c r="P1146" s="257">
        <v>2</v>
      </c>
      <c r="Q1146" s="129">
        <v>60</v>
      </c>
      <c r="R1146" s="98">
        <v>0.5</v>
      </c>
      <c r="S1146" s="94">
        <f>((Table3.110[[#This Row],[Sample weight, g]]*'2.1. DM'!Q295)/100)*1000</f>
        <v>481.53318595666548</v>
      </c>
      <c r="T1146" s="94">
        <f>'3.2 Digest'!W1146</f>
        <v>209.1331859566655</v>
      </c>
      <c r="U1146" s="153">
        <v>0.34097222222222223</v>
      </c>
      <c r="V1146" s="155">
        <v>40.5</v>
      </c>
      <c r="W1146" s="153">
        <v>0.69027777777777777</v>
      </c>
      <c r="X1146" s="91">
        <v>72.5</v>
      </c>
      <c r="Y1146" s="91">
        <v>14.1</v>
      </c>
      <c r="Z1146" s="154">
        <v>40</v>
      </c>
      <c r="AA1146" s="153">
        <v>0.38611111111111113</v>
      </c>
      <c r="AB1146" s="154">
        <v>75.5</v>
      </c>
      <c r="AC1146" s="154">
        <v>16.100000000000001</v>
      </c>
      <c r="AD1146" s="91"/>
      <c r="AE1146" s="94">
        <f>Table3.110[[#This Row],[Gas 8h, ml]]-Table3.110[[#This Row],[Gas 0h, ml]]</f>
        <v>32</v>
      </c>
      <c r="AF1146" s="94">
        <f>Table3.110[[#This Row],[Gas 24h, ml]]-Table3.110[[#This Row],[V8 Push back, ml]]</f>
        <v>35.5</v>
      </c>
      <c r="AG1146" s="94">
        <f>Table3.110[[#This Row],[GP 8h, ml]]-(AVERAGE(AE$1087,AE$1088,AE$1121,AE$1122,AE$1157,AE$1158))*$AG$8</f>
        <v>29.861233672775342</v>
      </c>
      <c r="AH1146" s="94">
        <f>Table3.110[[#This Row],[GP 8-24h, ml]]-(AVERAGE(AF$1087,AF$1088,AF$1121,AF$1122,AF$1157,AF$1158))*$AG$8</f>
        <v>32.623728042697877</v>
      </c>
      <c r="AI1146" s="94">
        <f>Table3.110[[#This Row],[Net gas 8-24h, ml]]+Table3.110[[#This Row],[Net gas 8h, ml]]</f>
        <v>62.484961715473219</v>
      </c>
      <c r="AJ1146" s="94">
        <f>Table3.110[[#This Row],[Net gas 8h, ml]]*Table3.110[[#This Row],[CH4 8h %]]%</f>
        <v>4.2104339478613229</v>
      </c>
      <c r="AK1146" s="94">
        <f>Table3.110[[#This Row],[Net gas 8-24h, ml]]*Table3.110[[#This Row],[CH4 24h, %]]%</f>
        <v>5.2524202148743582</v>
      </c>
      <c r="AL1146" s="94">
        <f>Table3.110[[#This Row],[CH4 8-24h, ml]]+Table3.110[[#This Row],[CH4 8h, ml]]</f>
        <v>9.462854162735681</v>
      </c>
      <c r="AM1146" s="94">
        <f>(Table3.110[[#This Row],[Net gas 24h, ml]]/Table3.110[[#This Row],[DM Incubated, mg]])*1000</f>
        <v>129.76252424084518</v>
      </c>
      <c r="AN1146" s="94">
        <f>'3.2 Digest'!X1146</f>
        <v>43.430690148837634</v>
      </c>
      <c r="AO1146" s="94">
        <f>Table3.110[[#This Row],[Digested feed, mg]]/Table3.110[[#This Row],[Net gas 24h, ml]]</f>
        <v>3.3469362901902464</v>
      </c>
      <c r="AP1146" s="94">
        <f>Table3.110[[#This Row],[CH4 8h, ml]]/Table3.110[[#This Row],[Net gas 8h, ml]]%</f>
        <v>14.1</v>
      </c>
      <c r="AQ1146" s="94">
        <f>Table3.110[[#This Row],[CH4 24h, ml]]/Table3.110[[#This Row],[Net gas 24h, ml]]%</f>
        <v>15.144210547531445</v>
      </c>
      <c r="AR1146" s="94">
        <f>Table3.110[[#This Row],[CH4 24h, ml]]/Table3.110[[#This Row],[DM Incubated, mg]]*1000</f>
        <v>19.651509882825128</v>
      </c>
      <c r="AS1146" s="94">
        <f>Table3.110[[#This Row],[CH4 24h, ml]]/Table3.110[[#This Row],[Digested feed, mg]]*1000</f>
        <v>45.247979747683274</v>
      </c>
      <c r="AT1146" s="255">
        <f>Table3.110[[#This Row],[CH4 24h, ml]]/'3.2 Digest'!AA1146</f>
        <v>0.94647493604796273</v>
      </c>
      <c r="AU1146" s="255">
        <f>((Table3.110[[#This Row],[CH4 24h, ml]]/28.9)*16.04)/Table3.110[[#This Row],[DM Incubated, mg]]*1000</f>
        <v>10.90692797648841</v>
      </c>
      <c r="AV1146" s="255">
        <f>((Table3.110[[#This Row],[CH4 24h, ml]]/28.9)*16.04)/Table3.110[[#This Row],[Digested feed, mg]]*1000</f>
        <v>25.113411596984076</v>
      </c>
    </row>
    <row r="1147" spans="2:48" x14ac:dyDescent="0.35">
      <c r="B1147" s="90">
        <f t="shared" si="17"/>
        <v>1137</v>
      </c>
      <c r="C1147" s="140">
        <v>46083</v>
      </c>
      <c r="D1147" s="6" t="s">
        <v>16</v>
      </c>
      <c r="E1147" s="6" t="s">
        <v>468</v>
      </c>
      <c r="F1147" s="242" t="s">
        <v>212</v>
      </c>
      <c r="G1147" s="242" t="s">
        <v>469</v>
      </c>
      <c r="H1147" s="6" t="s">
        <v>470</v>
      </c>
      <c r="I1147" s="133" t="s">
        <v>22</v>
      </c>
      <c r="J1147" s="135" t="s">
        <v>23</v>
      </c>
      <c r="K1147" s="135" t="s">
        <v>303</v>
      </c>
      <c r="L1147" s="6" t="s">
        <v>467</v>
      </c>
      <c r="M1147" s="256">
        <v>30</v>
      </c>
      <c r="N1147" s="256">
        <v>65</v>
      </c>
      <c r="O1147" s="256">
        <v>2</v>
      </c>
      <c r="P1147" s="257">
        <v>1</v>
      </c>
      <c r="Q1147" s="129">
        <v>61</v>
      </c>
      <c r="R1147" s="98">
        <v>0.50009999999999999</v>
      </c>
      <c r="S1147" s="94">
        <f>((Table3.110[[#This Row],[Sample weight, g]]*'2.1. DM'!Q297)/100)*1000</f>
        <v>475.07504399040425</v>
      </c>
      <c r="T1147" s="94">
        <f>'3.2 Digest'!W1147</f>
        <v>241.17504399040425</v>
      </c>
      <c r="U1147" s="153">
        <v>0.34166666666666667</v>
      </c>
      <c r="V1147" s="154">
        <v>41.5</v>
      </c>
      <c r="W1147" s="153">
        <v>0.69027777777777777</v>
      </c>
      <c r="X1147" s="91">
        <v>80.5</v>
      </c>
      <c r="Y1147" s="91">
        <v>15.6</v>
      </c>
      <c r="Z1147" s="154">
        <v>40</v>
      </c>
      <c r="AA1147" s="153">
        <v>0.38680555555555557</v>
      </c>
      <c r="AB1147" s="154">
        <v>79</v>
      </c>
      <c r="AC1147" s="154">
        <v>18.100000000000001</v>
      </c>
      <c r="AD1147" s="91"/>
      <c r="AE1147" s="94">
        <f>Table3.110[[#This Row],[Gas 8h, ml]]-Table3.110[[#This Row],[Gas 0h, ml]]</f>
        <v>39</v>
      </c>
      <c r="AF1147" s="94">
        <f>Table3.110[[#This Row],[Gas 24h, ml]]-Table3.110[[#This Row],[V8 Push back, ml]]</f>
        <v>39</v>
      </c>
      <c r="AG1147" s="94">
        <f>Table3.110[[#This Row],[GP 8h, ml]]-(AVERAGE(AE$1087,AE$1088,AE$1121,AE$1122,AE$1157,AE$1158))*$AG$8</f>
        <v>36.861233672775342</v>
      </c>
      <c r="AH1147" s="94">
        <f>Table3.110[[#This Row],[GP 8-24h, ml]]-(AVERAGE(AF$1087,AF$1088,AF$1121,AF$1122,AF$1157,AF$1158))*$AG$8</f>
        <v>36.123728042697877</v>
      </c>
      <c r="AI1147" s="94">
        <f>Table3.110[[#This Row],[Net gas 8-24h, ml]]+Table3.110[[#This Row],[Net gas 8h, ml]]</f>
        <v>72.984961715473219</v>
      </c>
      <c r="AJ1147" s="94">
        <f>Table3.110[[#This Row],[Net gas 8h, ml]]*Table3.110[[#This Row],[CH4 8h %]]%</f>
        <v>5.7503524529529537</v>
      </c>
      <c r="AK1147" s="94">
        <f>Table3.110[[#This Row],[Net gas 8-24h, ml]]*Table3.110[[#This Row],[CH4 24h, %]]%</f>
        <v>6.5383947757283165</v>
      </c>
      <c r="AL1147" s="94">
        <f>Table3.110[[#This Row],[CH4 8-24h, ml]]+Table3.110[[#This Row],[CH4 8h, ml]]</f>
        <v>12.28874722868127</v>
      </c>
      <c r="AM1147" s="94">
        <f>(Table3.110[[#This Row],[Net gas 24h, ml]]/Table3.110[[#This Row],[DM Incubated, mg]])*1000</f>
        <v>153.62827965542934</v>
      </c>
      <c r="AN1147" s="94">
        <f>'3.2 Digest'!X1147</f>
        <v>50.765673137584464</v>
      </c>
      <c r="AO1147" s="94">
        <f>Table3.110[[#This Row],[Digested feed, mg]]/Table3.110[[#This Row],[Net gas 24h, ml]]</f>
        <v>3.3044484551572189</v>
      </c>
      <c r="AP1147" s="94">
        <f>Table3.110[[#This Row],[CH4 8h, ml]]/Table3.110[[#This Row],[Net gas 8h, ml]]%</f>
        <v>15.600000000000001</v>
      </c>
      <c r="AQ1147" s="94">
        <f>Table3.110[[#This Row],[CH4 24h, ml]]/Table3.110[[#This Row],[Net gas 24h, ml]]%</f>
        <v>16.837368876876436</v>
      </c>
      <c r="AR1147" s="94">
        <f>Table3.110[[#This Row],[CH4 24h, ml]]/Table3.110[[#This Row],[DM Incubated, mg]]*1000</f>
        <v>25.866960144783953</v>
      </c>
      <c r="AS1147" s="94">
        <f>Table3.110[[#This Row],[CH4 24h, ml]]/Table3.110[[#This Row],[Digested feed, mg]]*1000</f>
        <v>50.95364356674569</v>
      </c>
      <c r="AT1147" s="255">
        <f>Table3.110[[#This Row],[CH4 24h, ml]]/'3.2 Digest'!AA1147</f>
        <v>1.2263529155013557</v>
      </c>
      <c r="AU1147" s="255">
        <f>((Table3.110[[#This Row],[CH4 24h, ml]]/28.9)*16.04)/Table3.110[[#This Row],[DM Incubated, mg]]*1000</f>
        <v>14.356610405617115</v>
      </c>
      <c r="AV1147" s="255">
        <f>((Table3.110[[#This Row],[CH4 24h, ml]]/28.9)*16.04)/Table3.110[[#This Row],[Digested feed, mg]]*1000</f>
        <v>28.280153730470619</v>
      </c>
    </row>
    <row r="1148" spans="2:48" x14ac:dyDescent="0.35">
      <c r="B1148" s="90">
        <f t="shared" si="17"/>
        <v>1138</v>
      </c>
      <c r="C1148" s="140">
        <v>46083</v>
      </c>
      <c r="D1148" s="6" t="s">
        <v>16</v>
      </c>
      <c r="E1148" s="6" t="s">
        <v>468</v>
      </c>
      <c r="F1148" s="242" t="s">
        <v>212</v>
      </c>
      <c r="G1148" s="242" t="s">
        <v>469</v>
      </c>
      <c r="H1148" s="6" t="s">
        <v>470</v>
      </c>
      <c r="I1148" s="133" t="s">
        <v>22</v>
      </c>
      <c r="J1148" s="135" t="s">
        <v>23</v>
      </c>
      <c r="K1148" s="135" t="s">
        <v>303</v>
      </c>
      <c r="L1148" s="6" t="s">
        <v>467</v>
      </c>
      <c r="M1148" s="256">
        <v>30</v>
      </c>
      <c r="N1148" s="256">
        <v>65</v>
      </c>
      <c r="O1148" s="256">
        <v>2</v>
      </c>
      <c r="P1148" s="257">
        <v>2</v>
      </c>
      <c r="Q1148" s="129">
        <v>62</v>
      </c>
      <c r="R1148" s="98">
        <v>0.50029999999999997</v>
      </c>
      <c r="S1148" s="94">
        <f>((Table3.110[[#This Row],[Sample weight, g]]*'2.1. DM'!Q297)/100)*1000</f>
        <v>475.26503600959654</v>
      </c>
      <c r="T1148" s="94">
        <f>'3.2 Digest'!W1148</f>
        <v>245.56503600959653</v>
      </c>
      <c r="U1148" s="117">
        <v>0.34166666666666667</v>
      </c>
      <c r="V1148" s="155">
        <v>41.5</v>
      </c>
      <c r="W1148" s="117">
        <v>0.69097222222222221</v>
      </c>
      <c r="X1148" s="96">
        <v>82</v>
      </c>
      <c r="Y1148" s="96">
        <v>15.8</v>
      </c>
      <c r="Z1148" s="155">
        <v>40</v>
      </c>
      <c r="AA1148" s="117">
        <v>0.38680555555555557</v>
      </c>
      <c r="AB1148" s="155">
        <v>80.5</v>
      </c>
      <c r="AC1148" s="155">
        <v>18</v>
      </c>
      <c r="AD1148" s="96"/>
      <c r="AE1148" s="94">
        <f>Table3.110[[#This Row],[Gas 8h, ml]]-Table3.110[[#This Row],[Gas 0h, ml]]</f>
        <v>40.5</v>
      </c>
      <c r="AF1148" s="94">
        <f>Table3.110[[#This Row],[Gas 24h, ml]]-Table3.110[[#This Row],[V8 Push back, ml]]</f>
        <v>40.5</v>
      </c>
      <c r="AG1148" s="94">
        <f>Table3.110[[#This Row],[GP 8h, ml]]-(AVERAGE(AE$1087,AE$1088,AE$1121,AE$1122,AE$1157,AE$1158))*$AG$8</f>
        <v>38.361233672775342</v>
      </c>
      <c r="AH1148" s="94">
        <f>Table3.110[[#This Row],[GP 8-24h, ml]]-(AVERAGE(AF$1087,AF$1088,AF$1121,AF$1122,AF$1157,AF$1158))*$AG$8</f>
        <v>37.623728042697877</v>
      </c>
      <c r="AI1148" s="94">
        <f>Table3.110[[#This Row],[Net gas 8-24h, ml]]+Table3.110[[#This Row],[Net gas 8h, ml]]</f>
        <v>75.984961715473219</v>
      </c>
      <c r="AJ1148" s="94">
        <f>Table3.110[[#This Row],[Net gas 8h, ml]]*Table3.110[[#This Row],[CH4 8h %]]%</f>
        <v>6.0610749202985037</v>
      </c>
      <c r="AK1148" s="94">
        <f>Table3.110[[#This Row],[Net gas 8-24h, ml]]*Table3.110[[#This Row],[CH4 24h, %]]%</f>
        <v>6.7722710476856181</v>
      </c>
      <c r="AL1148" s="94">
        <f>Table3.110[[#This Row],[CH4 8-24h, ml]]+Table3.110[[#This Row],[CH4 8h, ml]]</f>
        <v>12.833345967984123</v>
      </c>
      <c r="AM1148" s="94">
        <f>(Table3.110[[#This Row],[Net gas 24h, ml]]/Table3.110[[#This Row],[DM Incubated, mg]])*1000</f>
        <v>159.87913260663032</v>
      </c>
      <c r="AN1148" s="94">
        <f>'3.2 Digest'!X1148</f>
        <v>51.669072497190406</v>
      </c>
      <c r="AO1148" s="94">
        <f>Table3.110[[#This Row],[Digested feed, mg]]/Table3.110[[#This Row],[Net gas 24h, ml]]</f>
        <v>3.2317583698879568</v>
      </c>
      <c r="AP1148" s="94">
        <f>Table3.110[[#This Row],[CH4 8h, ml]]/Table3.110[[#This Row],[Net gas 8h, ml]]%</f>
        <v>15.799999999999999</v>
      </c>
      <c r="AQ1148" s="94">
        <f>Table3.110[[#This Row],[CH4 24h, ml]]/Table3.110[[#This Row],[Net gas 24h, ml]]%</f>
        <v>16.889323463817448</v>
      </c>
      <c r="AR1148" s="94">
        <f>Table3.110[[#This Row],[CH4 24h, ml]]/Table3.110[[#This Row],[DM Incubated, mg]]*1000</f>
        <v>27.002503857079425</v>
      </c>
      <c r="AS1148" s="94">
        <f>Table3.110[[#This Row],[CH4 24h, ml]]/Table3.110[[#This Row],[Digested feed, mg]]*1000</f>
        <v>52.260477210129395</v>
      </c>
      <c r="AT1148" s="255">
        <f>Table3.110[[#This Row],[CH4 24h, ml]]/'3.2 Digest'!AA1148</f>
        <v>1.0995367232059732</v>
      </c>
      <c r="AU1148" s="255">
        <f>((Table3.110[[#This Row],[CH4 24h, ml]]/28.9)*16.04)/Table3.110[[#This Row],[DM Incubated, mg]]*1000</f>
        <v>14.986856812026089</v>
      </c>
      <c r="AV1148" s="255">
        <f>((Table3.110[[#This Row],[CH4 24h, ml]]/28.9)*16.04)/Table3.110[[#This Row],[Digested feed, mg]]*1000</f>
        <v>29.005469012127175</v>
      </c>
    </row>
    <row r="1149" spans="2:48" x14ac:dyDescent="0.35">
      <c r="B1149" s="90">
        <f t="shared" si="17"/>
        <v>1139</v>
      </c>
      <c r="C1149" s="140">
        <v>46083</v>
      </c>
      <c r="D1149" s="6" t="s">
        <v>16</v>
      </c>
      <c r="E1149" s="6" t="s">
        <v>472</v>
      </c>
      <c r="F1149" s="242" t="s">
        <v>346</v>
      </c>
      <c r="G1149" s="242" t="s">
        <v>347</v>
      </c>
      <c r="H1149" s="6" t="s">
        <v>348</v>
      </c>
      <c r="I1149" s="133" t="s">
        <v>22</v>
      </c>
      <c r="J1149" s="135" t="s">
        <v>23</v>
      </c>
      <c r="K1149" s="135" t="s">
        <v>303</v>
      </c>
      <c r="L1149" s="6" t="s">
        <v>471</v>
      </c>
      <c r="M1149" s="256">
        <v>30</v>
      </c>
      <c r="N1149" s="256">
        <v>65</v>
      </c>
      <c r="O1149" s="256">
        <v>2</v>
      </c>
      <c r="P1149" s="257">
        <v>1</v>
      </c>
      <c r="Q1149" s="129">
        <v>63</v>
      </c>
      <c r="R1149" s="98">
        <v>0.50029999999999997</v>
      </c>
      <c r="S1149" s="94">
        <f>((Table3.110[[#This Row],[Sample weight, g]]*'2.1. DM'!Q299)/100)*1000</f>
        <v>478.29455392429736</v>
      </c>
      <c r="T1149" s="94">
        <f>'3.2 Digest'!W1149</f>
        <v>325.29455392429736</v>
      </c>
      <c r="U1149" s="117">
        <v>0.34166666666666667</v>
      </c>
      <c r="V1149" s="155">
        <v>40</v>
      </c>
      <c r="W1149" s="117">
        <v>0.69097222222222221</v>
      </c>
      <c r="X1149" s="96">
        <v>70.5</v>
      </c>
      <c r="Y1149" s="96">
        <v>14.2</v>
      </c>
      <c r="Z1149" s="155">
        <v>40</v>
      </c>
      <c r="AA1149" s="117">
        <v>0.38750000000000001</v>
      </c>
      <c r="AB1149" s="155">
        <v>71</v>
      </c>
      <c r="AC1149" s="155">
        <v>16.100000000000001</v>
      </c>
      <c r="AD1149" s="96"/>
      <c r="AE1149" s="94">
        <f>Table3.110[[#This Row],[Gas 8h, ml]]-Table3.110[[#This Row],[Gas 0h, ml]]</f>
        <v>30.5</v>
      </c>
      <c r="AF1149" s="94">
        <f>Table3.110[[#This Row],[Gas 24h, ml]]-Table3.110[[#This Row],[V8 Push back, ml]]</f>
        <v>31</v>
      </c>
      <c r="AG1149" s="94">
        <f>Table3.110[[#This Row],[GP 8h, ml]]-(AVERAGE(AE$1087,AE$1088,AE$1121,AE$1122,AE$1157,AE$1158))*$AG$8</f>
        <v>28.361233672775342</v>
      </c>
      <c r="AH1149" s="94">
        <f>Table3.110[[#This Row],[GP 8-24h, ml]]-(AVERAGE(AF$1087,AF$1088,AF$1121,AF$1122,AF$1157,AF$1158))*$AG$8</f>
        <v>28.123728042697874</v>
      </c>
      <c r="AI1149" s="94">
        <f>Table3.110[[#This Row],[Net gas 8-24h, ml]]+Table3.110[[#This Row],[Net gas 8h, ml]]</f>
        <v>56.484961715473219</v>
      </c>
      <c r="AJ1149" s="94">
        <f>Table3.110[[#This Row],[Net gas 8h, ml]]*Table3.110[[#This Row],[CH4 8h %]]%</f>
        <v>4.0272951815340985</v>
      </c>
      <c r="AK1149" s="94">
        <f>Table3.110[[#This Row],[Net gas 8-24h, ml]]*Table3.110[[#This Row],[CH4 24h, %]]%</f>
        <v>4.5279202148743574</v>
      </c>
      <c r="AL1149" s="94">
        <f>Table3.110[[#This Row],[CH4 8-24h, ml]]+Table3.110[[#This Row],[CH4 8h, ml]]</f>
        <v>8.5552153964084567</v>
      </c>
      <c r="AM1149" s="94">
        <f>(Table3.110[[#This Row],[Net gas 24h, ml]]/Table3.110[[#This Row],[DM Incubated, mg]])*1000</f>
        <v>118.09660229669569</v>
      </c>
      <c r="AN1149" s="94">
        <f>'3.2 Digest'!X1149</f>
        <v>68.011343899973355</v>
      </c>
      <c r="AO1149" s="94">
        <f>Table3.110[[#This Row],[Digested feed, mg]]/Table3.110[[#This Row],[Net gas 24h, ml]]</f>
        <v>5.758958562508643</v>
      </c>
      <c r="AP1149" s="94">
        <f>Table3.110[[#This Row],[CH4 8h, ml]]/Table3.110[[#This Row],[Net gas 8h, ml]]%</f>
        <v>14.2</v>
      </c>
      <c r="AQ1149" s="94">
        <f>Table3.110[[#This Row],[CH4 24h, ml]]/Table3.110[[#This Row],[Net gas 24h, ml]]%</f>
        <v>15.146005479304208</v>
      </c>
      <c r="AR1149" s="94">
        <f>Table3.110[[#This Row],[CH4 24h, ml]]/Table3.110[[#This Row],[DM Incubated, mg]]*1000</f>
        <v>17.886917854729624</v>
      </c>
      <c r="AS1149" s="94">
        <f>Table3.110[[#This Row],[CH4 24h, ml]]/Table3.110[[#This Row],[Digested feed, mg]]*1000</f>
        <v>26.299903558789456</v>
      </c>
      <c r="AT1149" s="255">
        <f>Table3.110[[#This Row],[CH4 24h, ml]]/'3.2 Digest'!AA1149</f>
        <v>0.16948975706253072</v>
      </c>
      <c r="AU1149" s="255">
        <f>((Table3.110[[#This Row],[CH4 24h, ml]]/28.9)*16.04)/Table3.110[[#This Row],[DM Incubated, mg]]*1000</f>
        <v>9.9275488716215641</v>
      </c>
      <c r="AV1149" s="255">
        <f>((Table3.110[[#This Row],[CH4 24h, ml]]/28.9)*16.04)/Table3.110[[#This Row],[Digested feed, mg]]*1000</f>
        <v>14.596901490760652</v>
      </c>
    </row>
    <row r="1150" spans="2:48" x14ac:dyDescent="0.35">
      <c r="B1150" s="90">
        <f t="shared" si="17"/>
        <v>1140</v>
      </c>
      <c r="C1150" s="140">
        <v>46083</v>
      </c>
      <c r="D1150" s="6" t="s">
        <v>16</v>
      </c>
      <c r="E1150" s="6" t="s">
        <v>472</v>
      </c>
      <c r="F1150" s="242" t="s">
        <v>346</v>
      </c>
      <c r="G1150" s="242" t="s">
        <v>347</v>
      </c>
      <c r="H1150" s="6" t="s">
        <v>348</v>
      </c>
      <c r="I1150" s="133" t="s">
        <v>22</v>
      </c>
      <c r="J1150" s="135" t="s">
        <v>23</v>
      </c>
      <c r="K1150" s="135" t="s">
        <v>303</v>
      </c>
      <c r="L1150" s="6" t="s">
        <v>471</v>
      </c>
      <c r="M1150" s="256">
        <v>30</v>
      </c>
      <c r="N1150" s="256">
        <v>65</v>
      </c>
      <c r="O1150" s="256">
        <v>2</v>
      </c>
      <c r="P1150" s="257">
        <v>2</v>
      </c>
      <c r="Q1150" s="129">
        <v>64</v>
      </c>
      <c r="R1150" s="98">
        <v>0.50039999999999996</v>
      </c>
      <c r="S1150" s="94">
        <f>((Table3.110[[#This Row],[Sample weight, g]]*'2.1. DM'!Q299)/100)*1000</f>
        <v>478.39015547415232</v>
      </c>
      <c r="T1150" s="94">
        <f>'3.2 Digest'!W1150</f>
        <v>168.89015547415232</v>
      </c>
      <c r="U1150" s="153">
        <v>0.34236111111111112</v>
      </c>
      <c r="V1150" s="154">
        <v>40.5</v>
      </c>
      <c r="W1150" s="153">
        <v>0.69166666666666665</v>
      </c>
      <c r="X1150" s="91">
        <v>70.5</v>
      </c>
      <c r="Y1150" s="91">
        <v>13.9</v>
      </c>
      <c r="Z1150" s="154">
        <v>40</v>
      </c>
      <c r="AA1150" s="153">
        <v>0.38750000000000001</v>
      </c>
      <c r="AB1150" s="154">
        <v>73</v>
      </c>
      <c r="AC1150" s="154">
        <v>15.9</v>
      </c>
      <c r="AD1150" s="91"/>
      <c r="AE1150" s="94">
        <f>Table3.110[[#This Row],[Gas 8h, ml]]-Table3.110[[#This Row],[Gas 0h, ml]]</f>
        <v>30</v>
      </c>
      <c r="AF1150" s="94">
        <f>Table3.110[[#This Row],[Gas 24h, ml]]-Table3.110[[#This Row],[V8 Push back, ml]]</f>
        <v>33</v>
      </c>
      <c r="AG1150" s="94">
        <f>Table3.110[[#This Row],[GP 8h, ml]]-(AVERAGE(AE$1087,AE$1088,AE$1121,AE$1122,AE$1157,AE$1158))*$AG$8</f>
        <v>27.861233672775342</v>
      </c>
      <c r="AH1150" s="94">
        <f>Table3.110[[#This Row],[GP 8-24h, ml]]-(AVERAGE(AF$1087,AF$1088,AF$1121,AF$1122,AF$1157,AF$1158))*$AG$8</f>
        <v>30.123728042697874</v>
      </c>
      <c r="AI1150" s="94">
        <f>Table3.110[[#This Row],[Net gas 8-24h, ml]]+Table3.110[[#This Row],[Net gas 8h, ml]]</f>
        <v>57.984961715473219</v>
      </c>
      <c r="AJ1150" s="94">
        <f>Table3.110[[#This Row],[Net gas 8h, ml]]*Table3.110[[#This Row],[CH4 8h %]]%</f>
        <v>3.8727114805157727</v>
      </c>
      <c r="AK1150" s="94">
        <f>Table3.110[[#This Row],[Net gas 8-24h, ml]]*Table3.110[[#This Row],[CH4 24h, %]]%</f>
        <v>4.7896727587889618</v>
      </c>
      <c r="AL1150" s="94">
        <f>Table3.110[[#This Row],[CH4 8-24h, ml]]+Table3.110[[#This Row],[CH4 8h, ml]]</f>
        <v>8.6623842393047354</v>
      </c>
      <c r="AM1150" s="94">
        <f>(Table3.110[[#This Row],[Net gas 24h, ml]]/Table3.110[[#This Row],[DM Incubated, mg]])*1000</f>
        <v>121.20851788432377</v>
      </c>
      <c r="AN1150" s="94">
        <f>'3.2 Digest'!X1150</f>
        <v>35.303852627727736</v>
      </c>
      <c r="AO1150" s="94">
        <f>Table3.110[[#This Row],[Digested feed, mg]]/Table3.110[[#This Row],[Net gas 24h, ml]]</f>
        <v>2.9126544275890103</v>
      </c>
      <c r="AP1150" s="94">
        <f>Table3.110[[#This Row],[CH4 8h, ml]]/Table3.110[[#This Row],[Net gas 8h, ml]]%</f>
        <v>13.9</v>
      </c>
      <c r="AQ1150" s="94">
        <f>Table3.110[[#This Row],[CH4 24h, ml]]/Table3.110[[#This Row],[Net gas 24h, ml]]%</f>
        <v>14.939018640402393</v>
      </c>
      <c r="AR1150" s="94">
        <f>Table3.110[[#This Row],[CH4 24h, ml]]/Table3.110[[#This Row],[DM Incubated, mg]]*1000</f>
        <v>18.107363080494594</v>
      </c>
      <c r="AS1150" s="94">
        <f>Table3.110[[#This Row],[CH4 24h, ml]]/Table3.110[[#This Row],[Digested feed, mg]]*1000</f>
        <v>51.290048345242148</v>
      </c>
      <c r="AT1150" s="255">
        <f>Table3.110[[#This Row],[CH4 24h, ml]]/'3.2 Digest'!AA1150</f>
        <v>-54.045267443449774</v>
      </c>
      <c r="AU1150" s="255">
        <f>((Table3.110[[#This Row],[CH4 24h, ml]]/28.9)*16.04)/Table3.110[[#This Row],[DM Incubated, mg]]*1000</f>
        <v>10.049899785852364</v>
      </c>
      <c r="AV1150" s="255">
        <f>((Table3.110[[#This Row],[CH4 24h, ml]]/28.9)*16.04)/Table3.110[[#This Row],[Digested feed, mg]]*1000</f>
        <v>28.466864202688033</v>
      </c>
    </row>
    <row r="1151" spans="2:48" x14ac:dyDescent="0.35">
      <c r="B1151" s="90">
        <f t="shared" si="17"/>
        <v>1141</v>
      </c>
      <c r="C1151" s="140">
        <v>46083</v>
      </c>
      <c r="D1151" s="6" t="s">
        <v>473</v>
      </c>
      <c r="E1151" s="6" t="s">
        <v>475</v>
      </c>
      <c r="F1151" s="242" t="s">
        <v>592</v>
      </c>
      <c r="G1151" s="242" t="s">
        <v>106</v>
      </c>
      <c r="H1151" s="6" t="s">
        <v>476</v>
      </c>
      <c r="I1151" s="133" t="s">
        <v>108</v>
      </c>
      <c r="J1151" s="132" t="s">
        <v>109</v>
      </c>
      <c r="K1151" s="133" t="s">
        <v>110</v>
      </c>
      <c r="L1151" s="6" t="s">
        <v>474</v>
      </c>
      <c r="M1151" s="256">
        <v>30</v>
      </c>
      <c r="N1151" s="256">
        <v>65</v>
      </c>
      <c r="O1151" s="256">
        <v>2</v>
      </c>
      <c r="P1151" s="257">
        <v>1</v>
      </c>
      <c r="Q1151" s="129">
        <v>65</v>
      </c>
      <c r="R1151" s="98">
        <v>0.5</v>
      </c>
      <c r="S1151" s="94">
        <f>((Table3.110[[#This Row],[Sample weight, g]]*'2.1. DM'!Q301)/100)*1000</f>
        <v>465.45000000000005</v>
      </c>
      <c r="T1151" s="94">
        <f>'3.2 Digest'!W1151</f>
        <v>252.54999999999995</v>
      </c>
      <c r="U1151" s="153">
        <v>0.34236111111111112</v>
      </c>
      <c r="V1151" s="154">
        <v>40.5</v>
      </c>
      <c r="W1151" s="153">
        <v>0.69166666666666665</v>
      </c>
      <c r="X1151" s="91">
        <v>81</v>
      </c>
      <c r="Y1151" s="91">
        <v>13.2</v>
      </c>
      <c r="Z1151" s="154">
        <v>40.5</v>
      </c>
      <c r="AA1151" s="153">
        <v>0.38819444444444445</v>
      </c>
      <c r="AB1151" s="154">
        <v>95.5</v>
      </c>
      <c r="AC1151" s="154">
        <v>15.4</v>
      </c>
      <c r="AD1151" s="91"/>
      <c r="AE1151" s="94">
        <f>Table3.110[[#This Row],[Gas 8h, ml]]-Table3.110[[#This Row],[Gas 0h, ml]]</f>
        <v>40.5</v>
      </c>
      <c r="AF1151" s="94">
        <f>Table3.110[[#This Row],[Gas 24h, ml]]-Table3.110[[#This Row],[V8 Push back, ml]]</f>
        <v>55</v>
      </c>
      <c r="AG1151" s="94">
        <f>Table3.110[[#This Row],[GP 8h, ml]]-(AVERAGE(AE$1087,AE$1088,AE$1121,AE$1122,AE$1157,AE$1158))*$AG$8</f>
        <v>38.361233672775342</v>
      </c>
      <c r="AH1151" s="94">
        <f>Table3.110[[#This Row],[GP 8-24h, ml]]-(AVERAGE(AF$1087,AF$1088,AF$1121,AF$1122,AF$1157,AF$1158))*$AG$8</f>
        <v>52.123728042697877</v>
      </c>
      <c r="AI1151" s="94">
        <f>Table3.110[[#This Row],[Net gas 8-24h, ml]]+Table3.110[[#This Row],[Net gas 8h, ml]]</f>
        <v>90.484961715473219</v>
      </c>
      <c r="AJ1151" s="94">
        <f>Table3.110[[#This Row],[Net gas 8h, ml]]*Table3.110[[#This Row],[CH4 8h %]]%</f>
        <v>5.0636828448063449</v>
      </c>
      <c r="AK1151" s="94">
        <f>Table3.110[[#This Row],[Net gas 8-24h, ml]]*Table3.110[[#This Row],[CH4 24h, %]]%</f>
        <v>8.0270541185754727</v>
      </c>
      <c r="AL1151" s="94">
        <f>Table3.110[[#This Row],[CH4 8-24h, ml]]+Table3.110[[#This Row],[CH4 8h, ml]]</f>
        <v>13.090736963381818</v>
      </c>
      <c r="AM1151" s="94">
        <f>(Table3.110[[#This Row],[Net gas 24h, ml]]/Table3.110[[#This Row],[DM Incubated, mg]])*1000</f>
        <v>194.40318340417488</v>
      </c>
      <c r="AN1151" s="94">
        <f>'3.2 Digest'!X1151</f>
        <v>54.259318938661494</v>
      </c>
      <c r="AO1151" s="94">
        <f>Table3.110[[#This Row],[Digested feed, mg]]/Table3.110[[#This Row],[Net gas 24h, ml]]</f>
        <v>2.7910715240631316</v>
      </c>
      <c r="AP1151" s="94">
        <f>Table3.110[[#This Row],[CH4 8h, ml]]/Table3.110[[#This Row],[Net gas 8h, ml]]%</f>
        <v>13.2</v>
      </c>
      <c r="AQ1151" s="94">
        <f>Table3.110[[#This Row],[CH4 24h, ml]]/Table3.110[[#This Row],[Net gas 24h, ml]]%</f>
        <v>14.467306738267935</v>
      </c>
      <c r="AR1151" s="94">
        <f>Table3.110[[#This Row],[CH4 24h, ml]]/Table3.110[[#This Row],[DM Incubated, mg]]*1000</f>
        <v>28.12490485203957</v>
      </c>
      <c r="AS1151" s="94">
        <f>Table3.110[[#This Row],[CH4 24h, ml]]/Table3.110[[#This Row],[Digested feed, mg]]*1000</f>
        <v>51.834238619607284</v>
      </c>
      <c r="AT1151" s="255">
        <f>Table3.110[[#This Row],[CH4 24h, ml]]/'3.2 Digest'!AA1151</f>
        <v>0.55801743604984855</v>
      </c>
      <c r="AU1151" s="255">
        <f>((Table3.110[[#This Row],[CH4 24h, ml]]/28.9)*16.04)/Table3.110[[#This Row],[DM Incubated, mg]]*1000</f>
        <v>15.609808782931305</v>
      </c>
      <c r="AV1151" s="255">
        <f>((Table3.110[[#This Row],[CH4 24h, ml]]/28.9)*16.04)/Table3.110[[#This Row],[Digested feed, mg]]*1000</f>
        <v>28.768899220017335</v>
      </c>
    </row>
    <row r="1152" spans="2:48" x14ac:dyDescent="0.35">
      <c r="B1152" s="90">
        <f t="shared" si="17"/>
        <v>1142</v>
      </c>
      <c r="C1152" s="140">
        <v>46083</v>
      </c>
      <c r="D1152" s="6" t="s">
        <v>473</v>
      </c>
      <c r="E1152" s="6" t="s">
        <v>475</v>
      </c>
      <c r="F1152" s="242" t="s">
        <v>592</v>
      </c>
      <c r="G1152" s="242" t="s">
        <v>106</v>
      </c>
      <c r="H1152" s="6" t="s">
        <v>476</v>
      </c>
      <c r="I1152" s="133" t="s">
        <v>108</v>
      </c>
      <c r="J1152" s="132" t="s">
        <v>109</v>
      </c>
      <c r="K1152" s="133" t="s">
        <v>110</v>
      </c>
      <c r="L1152" s="6" t="s">
        <v>474</v>
      </c>
      <c r="M1152" s="256">
        <v>30</v>
      </c>
      <c r="N1152" s="256">
        <v>65</v>
      </c>
      <c r="O1152" s="256">
        <v>2</v>
      </c>
      <c r="P1152" s="257">
        <v>2</v>
      </c>
      <c r="Q1152" s="129">
        <v>66</v>
      </c>
      <c r="R1152" s="98">
        <v>0.50009999999999999</v>
      </c>
      <c r="S1152" s="94">
        <f>((Table3.110[[#This Row],[Sample weight, g]]*'2.1. DM'!Q301)/100)*1000</f>
        <v>465.54309000000006</v>
      </c>
      <c r="T1152" s="94">
        <f>'3.2 Digest'!W1152</f>
        <v>236.14309000000011</v>
      </c>
      <c r="U1152" s="117">
        <v>0.34236111111111112</v>
      </c>
      <c r="V1152" s="155">
        <v>41</v>
      </c>
      <c r="W1152" s="117">
        <v>0.69236111111111109</v>
      </c>
      <c r="X1152" s="96">
        <v>83.5</v>
      </c>
      <c r="Y1152" s="96">
        <v>13</v>
      </c>
      <c r="Z1152" s="155">
        <v>41</v>
      </c>
      <c r="AA1152" s="117">
        <v>0.3888888888888889</v>
      </c>
      <c r="AB1152" s="155">
        <v>97</v>
      </c>
      <c r="AC1152" s="155">
        <v>15.2</v>
      </c>
      <c r="AD1152" s="96"/>
      <c r="AE1152" s="94">
        <f>Table3.110[[#This Row],[Gas 8h, ml]]-Table3.110[[#This Row],[Gas 0h, ml]]</f>
        <v>42.5</v>
      </c>
      <c r="AF1152" s="94">
        <f>Table3.110[[#This Row],[Gas 24h, ml]]-Table3.110[[#This Row],[V8 Push back, ml]]</f>
        <v>56</v>
      </c>
      <c r="AG1152" s="94">
        <f>Table3.110[[#This Row],[GP 8h, ml]]-(AVERAGE(AE$1087,AE$1088,AE$1121,AE$1122,AE$1157,AE$1158))*$AG$8</f>
        <v>40.361233672775342</v>
      </c>
      <c r="AH1152" s="94">
        <f>Table3.110[[#This Row],[GP 8-24h, ml]]-(AVERAGE(AF$1087,AF$1088,AF$1121,AF$1122,AF$1157,AF$1158))*$AG$8</f>
        <v>53.123728042697877</v>
      </c>
      <c r="AI1152" s="94">
        <f>Table3.110[[#This Row],[Net gas 8-24h, ml]]+Table3.110[[#This Row],[Net gas 8h, ml]]</f>
        <v>93.484961715473219</v>
      </c>
      <c r="AJ1152" s="94">
        <f>Table3.110[[#This Row],[Net gas 8h, ml]]*Table3.110[[#This Row],[CH4 8h %]]%</f>
        <v>5.2469603774607947</v>
      </c>
      <c r="AK1152" s="94">
        <f>Table3.110[[#This Row],[Net gas 8-24h, ml]]*Table3.110[[#This Row],[CH4 24h, %]]%</f>
        <v>8.0748066624900776</v>
      </c>
      <c r="AL1152" s="94">
        <f>Table3.110[[#This Row],[CH4 8-24h, ml]]+Table3.110[[#This Row],[CH4 8h, ml]]</f>
        <v>13.321767039950872</v>
      </c>
      <c r="AM1152" s="94">
        <f>(Table3.110[[#This Row],[Net gas 24h, ml]]/Table3.110[[#This Row],[DM Incubated, mg]])*1000</f>
        <v>200.8083971678609</v>
      </c>
      <c r="AN1152" s="94">
        <f>'3.2 Digest'!X1152</f>
        <v>50.72421760142548</v>
      </c>
      <c r="AO1152" s="94">
        <f>Table3.110[[#This Row],[Digested feed, mg]]/Table3.110[[#This Row],[Net gas 24h, ml]]</f>
        <v>2.5260008205246423</v>
      </c>
      <c r="AP1152" s="94">
        <f>Table3.110[[#This Row],[CH4 8h, ml]]/Table3.110[[#This Row],[Net gas 8h, ml]]%</f>
        <v>13</v>
      </c>
      <c r="AQ1152" s="94">
        <f>Table3.110[[#This Row],[CH4 24h, ml]]/Table3.110[[#This Row],[Net gas 24h, ml]]%</f>
        <v>14.250171145704083</v>
      </c>
      <c r="AR1152" s="94">
        <f>Table3.110[[#This Row],[CH4 24h, ml]]/Table3.110[[#This Row],[DM Incubated, mg]]*1000</f>
        <v>28.615540271365365</v>
      </c>
      <c r="AS1152" s="94">
        <f>Table3.110[[#This Row],[CH4 24h, ml]]/Table3.110[[#This Row],[Digested feed, mg]]*1000</f>
        <v>56.413960874107588</v>
      </c>
      <c r="AT1152" s="255">
        <f>Table3.110[[#This Row],[CH4 24h, ml]]/'3.2 Digest'!AA1152</f>
        <v>0.75934020884803166</v>
      </c>
      <c r="AU1152" s="255">
        <f>((Table3.110[[#This Row],[CH4 24h, ml]]/28.9)*16.04)/Table3.110[[#This Row],[DM Incubated, mg]]*1000</f>
        <v>15.882119929159185</v>
      </c>
      <c r="AV1152" s="255">
        <f>((Table3.110[[#This Row],[CH4 24h, ml]]/28.9)*16.04)/Table3.110[[#This Row],[Digested feed, mg]]*1000</f>
        <v>31.310724305214034</v>
      </c>
    </row>
    <row r="1153" spans="2:48" x14ac:dyDescent="0.35">
      <c r="B1153" s="90">
        <f t="shared" si="17"/>
        <v>1143</v>
      </c>
      <c r="C1153" s="140">
        <v>46083</v>
      </c>
      <c r="D1153" s="6" t="s">
        <v>473</v>
      </c>
      <c r="E1153" s="6" t="s">
        <v>479</v>
      </c>
      <c r="F1153" s="242" t="s">
        <v>105</v>
      </c>
      <c r="G1153" s="242" t="s">
        <v>188</v>
      </c>
      <c r="H1153" s="6" t="s">
        <v>189</v>
      </c>
      <c r="I1153" s="133" t="s">
        <v>108</v>
      </c>
      <c r="J1153" s="132" t="s">
        <v>109</v>
      </c>
      <c r="K1153" s="133" t="s">
        <v>110</v>
      </c>
      <c r="L1153" s="6" t="s">
        <v>478</v>
      </c>
      <c r="M1153" s="256">
        <v>30</v>
      </c>
      <c r="N1153" s="256">
        <v>65</v>
      </c>
      <c r="O1153" s="256">
        <v>2</v>
      </c>
      <c r="P1153" s="257">
        <v>1</v>
      </c>
      <c r="Q1153" s="129">
        <v>67</v>
      </c>
      <c r="R1153" s="98">
        <v>0.50029999999999997</v>
      </c>
      <c r="S1153" s="94">
        <f>((Table3.110[[#This Row],[Sample weight, g]]*'2.1. DM'!Q303)/100)*1000</f>
        <v>491.34463000000005</v>
      </c>
      <c r="T1153" s="94">
        <f>'3.2 Digest'!W1153</f>
        <v>212.24463000000003</v>
      </c>
      <c r="U1153" s="117">
        <v>0.34236111111111112</v>
      </c>
      <c r="V1153" s="155">
        <v>40.5</v>
      </c>
      <c r="W1153" s="117">
        <v>0.69305555555555554</v>
      </c>
      <c r="X1153" s="96">
        <v>76.5</v>
      </c>
      <c r="Y1153" s="96">
        <v>13.4</v>
      </c>
      <c r="Z1153" s="155">
        <v>40</v>
      </c>
      <c r="AA1153" s="117">
        <v>0.3888888888888889</v>
      </c>
      <c r="AB1153" s="155">
        <v>99.5</v>
      </c>
      <c r="AC1153" s="155">
        <v>15.5</v>
      </c>
      <c r="AD1153" s="96" t="s">
        <v>551</v>
      </c>
      <c r="AE1153" s="94">
        <f>Table3.110[[#This Row],[Gas 8h, ml]]-Table3.110[[#This Row],[Gas 0h, ml]]</f>
        <v>36</v>
      </c>
      <c r="AF1153" s="94">
        <f>Table3.110[[#This Row],[Gas 24h, ml]]-Table3.110[[#This Row],[V8 Push back, ml]]</f>
        <v>59.5</v>
      </c>
      <c r="AG1153" s="94">
        <f>Table3.110[[#This Row],[GP 8h, ml]]-(AVERAGE(AE$1087,AE$1088,AE$1121,AE$1122,AE$1157,AE$1158))*$AG$8</f>
        <v>33.861233672775342</v>
      </c>
      <c r="AH1153" s="94">
        <f>Table3.110[[#This Row],[GP 8-24h, ml]]-(AVERAGE(AF$1087,AF$1088,AF$1121,AF$1122,AF$1157,AF$1158))*$AG$8</f>
        <v>56.623728042697877</v>
      </c>
      <c r="AI1153" s="94">
        <f>Table3.110[[#This Row],[Net gas 8-24h, ml]]+Table3.110[[#This Row],[Net gas 8h, ml]]</f>
        <v>90.484961715473219</v>
      </c>
      <c r="AJ1153" s="94">
        <f>Table3.110[[#This Row],[Net gas 8h, ml]]*Table3.110[[#This Row],[CH4 8h %]]%</f>
        <v>4.537405312151896</v>
      </c>
      <c r="AK1153" s="94">
        <f>Table3.110[[#This Row],[Net gas 8-24h, ml]]*Table3.110[[#This Row],[CH4 24h, %]]%</f>
        <v>8.7766778466181705</v>
      </c>
      <c r="AL1153" s="94">
        <f>Table3.110[[#This Row],[CH4 8-24h, ml]]+Table3.110[[#This Row],[CH4 8h, ml]]</f>
        <v>13.314083158770067</v>
      </c>
      <c r="AM1153" s="94">
        <f>(Table3.110[[#This Row],[Net gas 24h, ml]]/Table3.110[[#This Row],[DM Incubated, mg]])*1000</f>
        <v>184.15783177578069</v>
      </c>
      <c r="AN1153" s="94">
        <f>'3.2 Digest'!X1153</f>
        <v>43.196692716474786</v>
      </c>
      <c r="AO1153" s="94">
        <f>Table3.110[[#This Row],[Digested feed, mg]]/Table3.110[[#This Row],[Net gas 24h, ml]]</f>
        <v>2.3456343018345502</v>
      </c>
      <c r="AP1153" s="94">
        <f>Table3.110[[#This Row],[CH4 8h, ml]]/Table3.110[[#This Row],[Net gas 8h, ml]]%</f>
        <v>13.4</v>
      </c>
      <c r="AQ1153" s="94">
        <f>Table3.110[[#This Row],[CH4 24h, ml]]/Table3.110[[#This Row],[Net gas 24h, ml]]%</f>
        <v>14.714139130252089</v>
      </c>
      <c r="AR1153" s="94">
        <f>Table3.110[[#This Row],[CH4 24h, ml]]/Table3.110[[#This Row],[DM Incubated, mg]]*1000</f>
        <v>27.097239586743964</v>
      </c>
      <c r="AS1153" s="94">
        <f>Table3.110[[#This Row],[CH4 24h, ml]]/Table3.110[[#This Row],[Digested feed, mg]]*1000</f>
        <v>62.729894079157923</v>
      </c>
      <c r="AT1153" s="255">
        <f>Table3.110[[#This Row],[CH4 24h, ml]]/'3.2 Digest'!AA1153</f>
        <v>0.58460801742154844</v>
      </c>
      <c r="AU1153" s="255">
        <f>((Table3.110[[#This Row],[CH4 24h, ml]]/28.9)*16.04)/Table3.110[[#This Row],[DM Incubated, mg]]*1000</f>
        <v>15.039436781016374</v>
      </c>
      <c r="AV1153" s="255">
        <f>((Table3.110[[#This Row],[CH4 24h, ml]]/28.9)*16.04)/Table3.110[[#This Row],[Digested feed, mg]]*1000</f>
        <v>34.816176506217758</v>
      </c>
    </row>
    <row r="1154" spans="2:48" x14ac:dyDescent="0.35">
      <c r="B1154" s="90">
        <f t="shared" si="17"/>
        <v>1144</v>
      </c>
      <c r="C1154" s="140">
        <v>46083</v>
      </c>
      <c r="D1154" s="6" t="s">
        <v>473</v>
      </c>
      <c r="E1154" s="6" t="s">
        <v>479</v>
      </c>
      <c r="F1154" s="242" t="s">
        <v>105</v>
      </c>
      <c r="G1154" s="242" t="s">
        <v>188</v>
      </c>
      <c r="H1154" s="6" t="s">
        <v>189</v>
      </c>
      <c r="I1154" s="133" t="s">
        <v>108</v>
      </c>
      <c r="J1154" s="132" t="s">
        <v>109</v>
      </c>
      <c r="K1154" s="133" t="s">
        <v>110</v>
      </c>
      <c r="L1154" s="6" t="s">
        <v>478</v>
      </c>
      <c r="M1154" s="256">
        <v>30</v>
      </c>
      <c r="N1154" s="256">
        <v>65</v>
      </c>
      <c r="O1154" s="256">
        <v>2</v>
      </c>
      <c r="P1154" s="257">
        <v>2</v>
      </c>
      <c r="Q1154" s="129">
        <v>68</v>
      </c>
      <c r="R1154" s="98">
        <v>0.50009999999999999</v>
      </c>
      <c r="S1154" s="94">
        <f>((Table3.110[[#This Row],[Sample weight, g]]*'2.1. DM'!Q303)/100)*1000</f>
        <v>491.14821000000006</v>
      </c>
      <c r="T1154" s="94">
        <f>'3.2 Digest'!W1154</f>
        <v>225.04821000000004</v>
      </c>
      <c r="U1154" s="153">
        <v>0.34305555555555556</v>
      </c>
      <c r="V1154" s="154">
        <v>40.5</v>
      </c>
      <c r="W1154" s="153">
        <v>0.69374999999999998</v>
      </c>
      <c r="X1154" s="91">
        <v>75.5</v>
      </c>
      <c r="Y1154" s="91">
        <v>13</v>
      </c>
      <c r="Z1154" s="154">
        <v>40</v>
      </c>
      <c r="AA1154" s="153">
        <v>0.38958333333333334</v>
      </c>
      <c r="AB1154" s="154">
        <v>97</v>
      </c>
      <c r="AC1154" s="154">
        <v>15.1</v>
      </c>
      <c r="AD1154" s="91"/>
      <c r="AE1154" s="94">
        <f>Table3.110[[#This Row],[Gas 8h, ml]]-Table3.110[[#This Row],[Gas 0h, ml]]</f>
        <v>35</v>
      </c>
      <c r="AF1154" s="94">
        <f>Table3.110[[#This Row],[Gas 24h, ml]]-Table3.110[[#This Row],[V8 Push back, ml]]</f>
        <v>57</v>
      </c>
      <c r="AG1154" s="94">
        <f>Table3.110[[#This Row],[GP 8h, ml]]-(AVERAGE(AE$1087,AE$1088,AE$1121,AE$1122,AE$1157,AE$1158))*$AG$8</f>
        <v>32.861233672775342</v>
      </c>
      <c r="AH1154" s="94">
        <f>Table3.110[[#This Row],[GP 8-24h, ml]]-(AVERAGE(AF$1087,AF$1088,AF$1121,AF$1122,AF$1157,AF$1158))*$AG$8</f>
        <v>54.123728042697877</v>
      </c>
      <c r="AI1154" s="94">
        <f>Table3.110[[#This Row],[Net gas 8-24h, ml]]+Table3.110[[#This Row],[Net gas 8h, ml]]</f>
        <v>86.984961715473219</v>
      </c>
      <c r="AJ1154" s="94">
        <f>Table3.110[[#This Row],[Net gas 8h, ml]]*Table3.110[[#This Row],[CH4 8h %]]%</f>
        <v>4.2719603774607942</v>
      </c>
      <c r="AK1154" s="94">
        <f>Table3.110[[#This Row],[Net gas 8-24h, ml]]*Table3.110[[#This Row],[CH4 24h, %]]%</f>
        <v>8.1726829344473799</v>
      </c>
      <c r="AL1154" s="94">
        <f>Table3.110[[#This Row],[CH4 8-24h, ml]]+Table3.110[[#This Row],[CH4 8h, ml]]</f>
        <v>12.444643311908173</v>
      </c>
      <c r="AM1154" s="94">
        <f>(Table3.110[[#This Row],[Net gas 24h, ml]]/Table3.110[[#This Row],[DM Incubated, mg]])*1000</f>
        <v>177.10532166140484</v>
      </c>
      <c r="AN1154" s="94">
        <f>'3.2 Digest'!X1154</f>
        <v>45.820834814810787</v>
      </c>
      <c r="AO1154" s="94">
        <f>Table3.110[[#This Row],[Digested feed, mg]]/Table3.110[[#This Row],[Net gas 24h, ml]]</f>
        <v>2.5872082433757928</v>
      </c>
      <c r="AP1154" s="94">
        <f>Table3.110[[#This Row],[CH4 8h, ml]]/Table3.110[[#This Row],[Net gas 8h, ml]]%</f>
        <v>13</v>
      </c>
      <c r="AQ1154" s="94">
        <f>Table3.110[[#This Row],[CH4 24h, ml]]/Table3.110[[#This Row],[Net gas 24h, ml]]%</f>
        <v>14.306660676145901</v>
      </c>
      <c r="AR1154" s="94">
        <f>Table3.110[[#This Row],[CH4 24h, ml]]/Table3.110[[#This Row],[DM Incubated, mg]]*1000</f>
        <v>25.337857409493914</v>
      </c>
      <c r="AS1154" s="94">
        <f>Table3.110[[#This Row],[CH4 24h, ml]]/Table3.110[[#This Row],[Digested feed, mg]]*1000</f>
        <v>55.297677381695998</v>
      </c>
      <c r="AT1154" s="255">
        <f>Table3.110[[#This Row],[CH4 24h, ml]]/'3.2 Digest'!AA1154</f>
        <v>0.47242647739115967</v>
      </c>
      <c r="AU1154" s="255">
        <f>((Table3.110[[#This Row],[CH4 24h, ml]]/28.9)*16.04)/Table3.110[[#This Row],[DM Incubated, mg]]*1000</f>
        <v>14.062949233504579</v>
      </c>
      <c r="AV1154" s="255">
        <f>((Table3.110[[#This Row],[CH4 24h, ml]]/28.9)*16.04)/Table3.110[[#This Row],[Digested feed, mg]]*1000</f>
        <v>30.691167654062415</v>
      </c>
    </row>
    <row r="1155" spans="2:48" x14ac:dyDescent="0.35">
      <c r="B1155" s="90">
        <f t="shared" si="17"/>
        <v>1145</v>
      </c>
      <c r="C1155" s="140">
        <v>46083</v>
      </c>
      <c r="D1155" s="8" t="s">
        <v>120</v>
      </c>
      <c r="E1155" s="6" t="s">
        <v>122</v>
      </c>
      <c r="F1155" s="242" t="s">
        <v>123</v>
      </c>
      <c r="G1155" s="242" t="s">
        <v>545</v>
      </c>
      <c r="H1155" s="6" t="s">
        <v>125</v>
      </c>
      <c r="I1155" s="133" t="s">
        <v>108</v>
      </c>
      <c r="J1155" s="132" t="s">
        <v>109</v>
      </c>
      <c r="K1155" s="133" t="s">
        <v>110</v>
      </c>
      <c r="L1155" s="6" t="s">
        <v>121</v>
      </c>
      <c r="M1155" s="256">
        <v>30</v>
      </c>
      <c r="N1155" s="256">
        <v>65</v>
      </c>
      <c r="O1155" s="256">
        <v>2</v>
      </c>
      <c r="P1155" s="257">
        <v>1</v>
      </c>
      <c r="Q1155" s="129">
        <v>69</v>
      </c>
      <c r="R1155" s="98">
        <v>0.50029999999999997</v>
      </c>
      <c r="S1155" s="94">
        <f>((Table3.110[[#This Row],[Sample weight, g]]*'2.1. DM'!Q305)/100)*1000</f>
        <v>468.78109999999992</v>
      </c>
      <c r="T1155" s="94">
        <f>'3.2 Digest'!W1155</f>
        <v>196.6810999999999</v>
      </c>
      <c r="U1155" s="153">
        <v>0.34305555555555556</v>
      </c>
      <c r="V1155" s="154">
        <v>41</v>
      </c>
      <c r="W1155" s="153">
        <v>0.69374999999999998</v>
      </c>
      <c r="X1155" s="91">
        <v>69</v>
      </c>
      <c r="Y1155" s="91">
        <v>14.7</v>
      </c>
      <c r="Z1155" s="154">
        <v>40.5</v>
      </c>
      <c r="AA1155" s="153">
        <v>0.38958333333333334</v>
      </c>
      <c r="AB1155" s="154">
        <v>85</v>
      </c>
      <c r="AC1155" s="154">
        <v>16.600000000000001</v>
      </c>
      <c r="AD1155" s="91"/>
      <c r="AE1155" s="94">
        <f>Table3.110[[#This Row],[Gas 8h, ml]]-Table3.110[[#This Row],[Gas 0h, ml]]</f>
        <v>28</v>
      </c>
      <c r="AF1155" s="94">
        <f>Table3.110[[#This Row],[Gas 24h, ml]]-Table3.110[[#This Row],[V8 Push back, ml]]</f>
        <v>44.5</v>
      </c>
      <c r="AG1155" s="94">
        <f>Table3.110[[#This Row],[GP 8h, ml]]-(AVERAGE(AE$1087,AE$1088,AE$1121,AE$1122,AE$1157,AE$1158))*$AG$8</f>
        <v>25.861233672775342</v>
      </c>
      <c r="AH1155" s="94">
        <f>Table3.110[[#This Row],[GP 8-24h, ml]]-(AVERAGE(AF$1087,AF$1088,AF$1121,AF$1122,AF$1157,AF$1158))*$AG$8</f>
        <v>41.623728042697877</v>
      </c>
      <c r="AI1155" s="94">
        <f>Table3.110[[#This Row],[Net gas 8-24h, ml]]+Table3.110[[#This Row],[Net gas 8h, ml]]</f>
        <v>67.484961715473219</v>
      </c>
      <c r="AJ1155" s="94">
        <f>Table3.110[[#This Row],[Net gas 8h, ml]]*Table3.110[[#This Row],[CH4 8h %]]%</f>
        <v>3.8016013498979748</v>
      </c>
      <c r="AK1155" s="94">
        <f>Table3.110[[#This Row],[Net gas 8-24h, ml]]*Table3.110[[#This Row],[CH4 24h, %]]%</f>
        <v>6.909538855087848</v>
      </c>
      <c r="AL1155" s="94">
        <f>Table3.110[[#This Row],[CH4 8-24h, ml]]+Table3.110[[#This Row],[CH4 8h, ml]]</f>
        <v>10.711140204985822</v>
      </c>
      <c r="AM1155" s="94">
        <f>(Table3.110[[#This Row],[Net gas 24h, ml]]/Table3.110[[#This Row],[DM Incubated, mg]])*1000</f>
        <v>143.95836716854248</v>
      </c>
      <c r="AN1155" s="94">
        <f>'3.2 Digest'!X1155</f>
        <v>41.955851035803263</v>
      </c>
      <c r="AO1155" s="94">
        <f>Table3.110[[#This Row],[Digested feed, mg]]/Table3.110[[#This Row],[Net gas 24h, ml]]</f>
        <v>2.9144433811674531</v>
      </c>
      <c r="AP1155" s="94">
        <f>Table3.110[[#This Row],[CH4 8h, ml]]/Table3.110[[#This Row],[Net gas 8h, ml]]%</f>
        <v>14.7</v>
      </c>
      <c r="AQ1155" s="94">
        <f>Table3.110[[#This Row],[CH4 24h, ml]]/Table3.110[[#This Row],[Net gas 24h, ml]]%</f>
        <v>15.87189194852863</v>
      </c>
      <c r="AR1155" s="94">
        <f>Table3.110[[#This Row],[CH4 24h, ml]]/Table3.110[[#This Row],[DM Incubated, mg]]*1000</f>
        <v>22.848916487857178</v>
      </c>
      <c r="AS1155" s="94">
        <f>Table3.110[[#This Row],[CH4 24h, ml]]/Table3.110[[#This Row],[Digested feed, mg]]*1000</f>
        <v>54.459428002923659</v>
      </c>
      <c r="AT1155" s="255">
        <f>Table3.110[[#This Row],[CH4 24h, ml]]/'3.2 Digest'!AA1155</f>
        <v>0.45144245374151004</v>
      </c>
      <c r="AU1155" s="255">
        <f>((Table3.110[[#This Row],[CH4 24h, ml]]/28.9)*16.04)/Table3.110[[#This Row],[DM Incubated, mg]]*1000</f>
        <v>12.681543960734572</v>
      </c>
      <c r="AV1155" s="255">
        <f>((Table3.110[[#This Row],[CH4 24h, ml]]/28.9)*16.04)/Table3.110[[#This Row],[Digested feed, mg]]*1000</f>
        <v>30.225924746259359</v>
      </c>
    </row>
    <row r="1156" spans="2:48" x14ac:dyDescent="0.35">
      <c r="B1156" s="90">
        <f t="shared" si="17"/>
        <v>1146</v>
      </c>
      <c r="C1156" s="140">
        <v>46083</v>
      </c>
      <c r="D1156" s="8" t="s">
        <v>120</v>
      </c>
      <c r="E1156" s="6" t="s">
        <v>122</v>
      </c>
      <c r="F1156" s="242" t="s">
        <v>123</v>
      </c>
      <c r="G1156" s="242" t="s">
        <v>545</v>
      </c>
      <c r="H1156" s="6" t="s">
        <v>125</v>
      </c>
      <c r="I1156" s="133" t="s">
        <v>108</v>
      </c>
      <c r="J1156" s="132" t="s">
        <v>109</v>
      </c>
      <c r="K1156" s="133" t="s">
        <v>110</v>
      </c>
      <c r="L1156" s="6" t="s">
        <v>121</v>
      </c>
      <c r="M1156" s="256">
        <v>30</v>
      </c>
      <c r="N1156" s="256">
        <v>65</v>
      </c>
      <c r="O1156" s="256">
        <v>2</v>
      </c>
      <c r="P1156" s="257">
        <v>2</v>
      </c>
      <c r="Q1156" s="129">
        <v>70</v>
      </c>
      <c r="R1156" s="98">
        <v>0.50029999999999997</v>
      </c>
      <c r="S1156" s="94">
        <f>((Table3.110[[#This Row],[Sample weight, g]]*'2.1. DM'!Q305)/100)*1000</f>
        <v>468.78109999999992</v>
      </c>
      <c r="T1156" s="94">
        <f>'3.2 Digest'!W1156</f>
        <v>152.18109999999996</v>
      </c>
      <c r="U1156" s="115">
        <v>0.34305555555555556</v>
      </c>
      <c r="V1156" s="94">
        <v>41</v>
      </c>
      <c r="W1156" s="115">
        <v>0.69444444444444442</v>
      </c>
      <c r="X1156" s="93">
        <v>68.5</v>
      </c>
      <c r="Y1156" s="93">
        <v>14.8</v>
      </c>
      <c r="Z1156" s="94">
        <v>40</v>
      </c>
      <c r="AA1156" s="115">
        <v>0.39027777777777778</v>
      </c>
      <c r="AB1156" s="94">
        <v>85</v>
      </c>
      <c r="AC1156" s="94">
        <v>16.600000000000001</v>
      </c>
      <c r="AD1156" s="93"/>
      <c r="AE1156" s="94">
        <f>Table3.110[[#This Row],[Gas 8h, ml]]-Table3.110[[#This Row],[Gas 0h, ml]]</f>
        <v>27.5</v>
      </c>
      <c r="AF1156" s="94">
        <f>Table3.110[[#This Row],[Gas 24h, ml]]-Table3.110[[#This Row],[V8 Push back, ml]]</f>
        <v>45</v>
      </c>
      <c r="AG1156" s="94">
        <f>Table3.110[[#This Row],[GP 8h, ml]]-(AVERAGE(AE$1087,AE$1088,AE$1121,AE$1122,AE$1157,AE$1158))*$AG$8</f>
        <v>25.361233672775342</v>
      </c>
      <c r="AH1156" s="94">
        <f>Table3.110[[#This Row],[GP 8-24h, ml]]-(AVERAGE(AF$1087,AF$1088,AF$1121,AF$1122,AF$1157,AF$1158))*$AG$8</f>
        <v>42.123728042697877</v>
      </c>
      <c r="AI1156" s="94">
        <f>Table3.110[[#This Row],[Net gas 8-24h, ml]]+Table3.110[[#This Row],[Net gas 8h, ml]]</f>
        <v>67.484961715473219</v>
      </c>
      <c r="AJ1156" s="94">
        <f>Table3.110[[#This Row],[Net gas 8h, ml]]*Table3.110[[#This Row],[CH4 8h %]]%</f>
        <v>3.7534625835707511</v>
      </c>
      <c r="AK1156" s="94">
        <f>Table3.110[[#This Row],[Net gas 8-24h, ml]]*Table3.110[[#This Row],[CH4 24h, %]]%</f>
        <v>6.9925388550878482</v>
      </c>
      <c r="AL1156" s="94">
        <f>Table3.110[[#This Row],[CH4 8-24h, ml]]+Table3.110[[#This Row],[CH4 8h, ml]]</f>
        <v>10.746001438658599</v>
      </c>
      <c r="AM1156" s="94">
        <f>(Table3.110[[#This Row],[Net gas 24h, ml]]/Table3.110[[#This Row],[DM Incubated, mg]])*1000</f>
        <v>143.95836716854248</v>
      </c>
      <c r="AN1156" s="94">
        <f>'3.2 Digest'!X1156</f>
        <v>32.463147511706417</v>
      </c>
      <c r="AO1156" s="94">
        <f>Table3.110[[#This Row],[Digested feed, mg]]/Table3.110[[#This Row],[Net gas 24h, ml]]</f>
        <v>2.255037213203416</v>
      </c>
      <c r="AP1156" s="94">
        <f>Table3.110[[#This Row],[CH4 8h, ml]]/Table3.110[[#This Row],[Net gas 8h, ml]]%</f>
        <v>14.800000000000002</v>
      </c>
      <c r="AQ1156" s="94">
        <f>Table3.110[[#This Row],[CH4 24h, ml]]/Table3.110[[#This Row],[Net gas 24h, ml]]%</f>
        <v>15.923549729442481</v>
      </c>
      <c r="AR1156" s="94">
        <f>Table3.110[[#This Row],[CH4 24h, ml]]/Table3.110[[#This Row],[DM Incubated, mg]]*1000</f>
        <v>22.923282185776262</v>
      </c>
      <c r="AS1156" s="94">
        <f>Table3.110[[#This Row],[CH4 24h, ml]]/Table3.110[[#This Row],[Digested feed, mg]]*1000</f>
        <v>70.613245919884932</v>
      </c>
      <c r="AT1156" s="255">
        <f>Table3.110[[#This Row],[CH4 24h, ml]]/'3.2 Digest'!AA1156</f>
        <v>0.95498846465504617</v>
      </c>
      <c r="AU1156" s="255">
        <f>((Table3.110[[#This Row],[CH4 24h, ml]]/28.9)*16.04)/Table3.110[[#This Row],[DM Incubated, mg]]*1000</f>
        <v>12.722818209683435</v>
      </c>
      <c r="AV1156" s="255">
        <f>((Table3.110[[#This Row],[CH4 24h, ml]]/28.9)*16.04)/Table3.110[[#This Row],[Digested feed, mg]]*1000</f>
        <v>39.1915731679915</v>
      </c>
    </row>
    <row r="1157" spans="2:48" x14ac:dyDescent="0.35">
      <c r="B1157" s="90">
        <f t="shared" si="17"/>
        <v>1147</v>
      </c>
      <c r="C1157" s="143">
        <v>46083</v>
      </c>
      <c r="D1157" s="8"/>
      <c r="E1157" s="124" t="s">
        <v>537</v>
      </c>
      <c r="F1157" s="242" t="s">
        <v>538</v>
      </c>
      <c r="G1157" s="242">
        <v>24</v>
      </c>
      <c r="H1157" s="124" t="s">
        <v>537</v>
      </c>
      <c r="I1157" s="242"/>
      <c r="J1157" s="243"/>
      <c r="K1157" s="243"/>
      <c r="L1157" s="124" t="s">
        <v>539</v>
      </c>
      <c r="M1157" s="256">
        <v>30</v>
      </c>
      <c r="N1157" s="256">
        <v>65</v>
      </c>
      <c r="O1157" s="256">
        <v>2</v>
      </c>
      <c r="P1157" s="257">
        <v>1</v>
      </c>
      <c r="Q1157" s="146">
        <v>71</v>
      </c>
      <c r="R1157" s="98"/>
      <c r="S1157" s="94"/>
      <c r="T1157" s="94"/>
      <c r="U1157" s="149">
        <v>0.34375</v>
      </c>
      <c r="V1157" s="150">
        <v>40</v>
      </c>
      <c r="W1157" s="149">
        <v>0.69444444444444442</v>
      </c>
      <c r="X1157" s="163">
        <v>42.5</v>
      </c>
      <c r="Y1157" s="163"/>
      <c r="Z1157" s="150">
        <v>40</v>
      </c>
      <c r="AA1157" s="149">
        <v>0.39097222222222222</v>
      </c>
      <c r="AB1157" s="150">
        <v>43</v>
      </c>
      <c r="AC1157" s="150"/>
      <c r="AD1157" s="163"/>
      <c r="AE1157" s="94">
        <f>Table3.110[[#This Row],[Gas 8h, ml]]-Table3.110[[#This Row],[Gas 0h, ml]]</f>
        <v>2.5</v>
      </c>
      <c r="AF1157" s="94">
        <f>Table3.110[[#This Row],[Gas 24h, ml]]-Table3.110[[#This Row],[V8 Push back, ml]]</f>
        <v>3</v>
      </c>
      <c r="AG1157" s="94"/>
      <c r="AH1157" s="94"/>
      <c r="AI1157" s="94"/>
      <c r="AJ1157" s="94"/>
      <c r="AK1157" s="94"/>
      <c r="AL1157" s="94"/>
      <c r="AM1157" s="94"/>
      <c r="AN1157" s="94"/>
      <c r="AO1157" s="94"/>
      <c r="AP1157" s="94"/>
      <c r="AQ1157" s="94"/>
      <c r="AR1157" s="94"/>
      <c r="AS1157" s="94"/>
      <c r="AT1157" s="255"/>
      <c r="AU1157" s="255"/>
      <c r="AV1157" s="255"/>
    </row>
    <row r="1158" spans="2:48" x14ac:dyDescent="0.35">
      <c r="B1158" s="90">
        <f t="shared" si="17"/>
        <v>1148</v>
      </c>
      <c r="C1158" s="143">
        <v>46083</v>
      </c>
      <c r="D1158" s="92"/>
      <c r="E1158" s="124" t="s">
        <v>537</v>
      </c>
      <c r="F1158" s="242" t="s">
        <v>538</v>
      </c>
      <c r="G1158" s="242">
        <v>24</v>
      </c>
      <c r="H1158" s="124" t="s">
        <v>537</v>
      </c>
      <c r="I1158" s="242"/>
      <c r="J1158" s="243"/>
      <c r="K1158" s="243"/>
      <c r="L1158" s="124" t="s">
        <v>539</v>
      </c>
      <c r="M1158" s="256">
        <v>30</v>
      </c>
      <c r="N1158" s="256">
        <v>65</v>
      </c>
      <c r="O1158" s="256">
        <v>2</v>
      </c>
      <c r="P1158" s="257">
        <v>2</v>
      </c>
      <c r="Q1158" s="146">
        <v>72</v>
      </c>
      <c r="R1158" s="98"/>
      <c r="S1158" s="94"/>
      <c r="T1158" s="94"/>
      <c r="U1158" s="151">
        <v>0.34375</v>
      </c>
      <c r="V1158" s="152">
        <v>40</v>
      </c>
      <c r="W1158" s="151">
        <v>0.69513888888888886</v>
      </c>
      <c r="X1158" s="164">
        <v>43</v>
      </c>
      <c r="Y1158" s="164"/>
      <c r="Z1158" s="152">
        <v>40</v>
      </c>
      <c r="AA1158" s="151">
        <v>0.39166666666666666</v>
      </c>
      <c r="AB1158" s="152">
        <v>43.5</v>
      </c>
      <c r="AC1158" s="152"/>
      <c r="AD1158" s="164"/>
      <c r="AE1158" s="94">
        <f>Table3.110[[#This Row],[Gas 8h, ml]]-Table3.110[[#This Row],[Gas 0h, ml]]</f>
        <v>3</v>
      </c>
      <c r="AF1158" s="94">
        <f>Table3.110[[#This Row],[Gas 24h, ml]]-Table3.110[[#This Row],[V8 Push back, ml]]</f>
        <v>3.5</v>
      </c>
      <c r="AG1158" s="94"/>
      <c r="AH1158" s="94"/>
      <c r="AI1158" s="94"/>
      <c r="AJ1158" s="94"/>
      <c r="AK1158" s="94"/>
      <c r="AL1158" s="94"/>
      <c r="AM1158" s="94"/>
      <c r="AN1158" s="94"/>
      <c r="AO1158" s="94"/>
      <c r="AP1158" s="94"/>
      <c r="AQ1158" s="94"/>
      <c r="AR1158" s="94"/>
      <c r="AS1158" s="94"/>
      <c r="AT1158" s="255"/>
      <c r="AU1158" s="255"/>
      <c r="AV1158" s="255"/>
    </row>
    <row r="1159" spans="2:48" x14ac:dyDescent="0.35">
      <c r="B1159" s="90">
        <f t="shared" si="17"/>
        <v>1149</v>
      </c>
      <c r="C1159" s="143">
        <v>46085</v>
      </c>
      <c r="D1159" s="92"/>
      <c r="E1159" s="124" t="s">
        <v>537</v>
      </c>
      <c r="F1159" s="242" t="s">
        <v>538</v>
      </c>
      <c r="G1159" s="242">
        <v>24</v>
      </c>
      <c r="H1159" s="124" t="s">
        <v>537</v>
      </c>
      <c r="I1159" s="242"/>
      <c r="J1159" s="243"/>
      <c r="K1159" s="243"/>
      <c r="L1159" s="124" t="s">
        <v>539</v>
      </c>
      <c r="M1159" s="256">
        <v>30</v>
      </c>
      <c r="N1159" s="256">
        <v>71</v>
      </c>
      <c r="O1159" s="256">
        <v>3</v>
      </c>
      <c r="P1159" s="257">
        <v>1</v>
      </c>
      <c r="Q1159" s="124">
        <v>73</v>
      </c>
      <c r="R1159" s="98"/>
      <c r="S1159" s="94"/>
      <c r="T1159" s="94"/>
      <c r="U1159" s="149">
        <v>0.3298611111111111</v>
      </c>
      <c r="V1159" s="150">
        <v>40</v>
      </c>
      <c r="W1159" s="149">
        <v>0.66319444444444442</v>
      </c>
      <c r="X1159" s="163">
        <v>43</v>
      </c>
      <c r="Y1159" s="163"/>
      <c r="Z1159" s="150">
        <v>39.5</v>
      </c>
      <c r="AA1159" s="149">
        <v>0.33333333333333331</v>
      </c>
      <c r="AB1159" s="150">
        <v>44.5</v>
      </c>
      <c r="AC1159" s="150" t="s">
        <v>601</v>
      </c>
      <c r="AD1159" s="163"/>
      <c r="AE1159" s="94">
        <f>Table3.110[[#This Row],[Gas 8h, ml]]-Table3.110[[#This Row],[Gas 0h, ml]]</f>
        <v>3</v>
      </c>
      <c r="AF1159" s="94">
        <f>Table3.110[[#This Row],[Gas 24h, ml]]-Table3.110[[#This Row],[V8 Push back, ml]]</f>
        <v>5</v>
      </c>
      <c r="AG1159" s="94"/>
      <c r="AH1159" s="94"/>
      <c r="AI1159" s="94"/>
      <c r="AJ1159" s="94"/>
      <c r="AK1159" s="94"/>
      <c r="AL1159" s="94"/>
      <c r="AM1159" s="94"/>
      <c r="AN1159" s="94"/>
      <c r="AO1159" s="94"/>
      <c r="AP1159" s="94"/>
      <c r="AQ1159" s="94"/>
      <c r="AR1159" s="94"/>
      <c r="AS1159" s="94"/>
      <c r="AT1159" s="255"/>
      <c r="AU1159" s="255"/>
      <c r="AV1159" s="255"/>
    </row>
    <row r="1160" spans="2:48" x14ac:dyDescent="0.35">
      <c r="B1160" s="90">
        <f t="shared" si="17"/>
        <v>1150</v>
      </c>
      <c r="C1160" s="143">
        <v>46085</v>
      </c>
      <c r="D1160" s="6"/>
      <c r="E1160" s="124" t="s">
        <v>537</v>
      </c>
      <c r="F1160" s="242" t="s">
        <v>538</v>
      </c>
      <c r="G1160" s="242">
        <v>24</v>
      </c>
      <c r="H1160" s="124" t="s">
        <v>537</v>
      </c>
      <c r="I1160" s="242"/>
      <c r="J1160" s="243"/>
      <c r="K1160" s="243"/>
      <c r="L1160" s="124" t="s">
        <v>539</v>
      </c>
      <c r="M1160" s="256">
        <v>30</v>
      </c>
      <c r="N1160" s="256">
        <v>71</v>
      </c>
      <c r="O1160" s="256">
        <v>3</v>
      </c>
      <c r="P1160" s="257">
        <v>2</v>
      </c>
      <c r="Q1160" s="146">
        <v>74</v>
      </c>
      <c r="R1160" s="98"/>
      <c r="S1160" s="94"/>
      <c r="T1160" s="94"/>
      <c r="U1160" s="151">
        <v>0.33055555555555555</v>
      </c>
      <c r="V1160" s="152">
        <v>40</v>
      </c>
      <c r="W1160" s="151">
        <v>0.66319444444444442</v>
      </c>
      <c r="X1160" s="164">
        <v>43.5</v>
      </c>
      <c r="Y1160" s="164"/>
      <c r="Z1160" s="152">
        <v>40</v>
      </c>
      <c r="AA1160" s="151">
        <v>0.33402777777777776</v>
      </c>
      <c r="AB1160" s="152">
        <v>44.5</v>
      </c>
      <c r="AC1160" s="152"/>
      <c r="AD1160" s="164"/>
      <c r="AE1160" s="94">
        <f>Table3.110[[#This Row],[Gas 8h, ml]]-Table3.110[[#This Row],[Gas 0h, ml]]</f>
        <v>3.5</v>
      </c>
      <c r="AF1160" s="94">
        <f>Table3.110[[#This Row],[Gas 24h, ml]]-Table3.110[[#This Row],[V8 Push back, ml]]</f>
        <v>4.5</v>
      </c>
      <c r="AG1160" s="94"/>
      <c r="AH1160" s="94"/>
      <c r="AI1160" s="94"/>
      <c r="AJ1160" s="94"/>
      <c r="AK1160" s="94"/>
      <c r="AL1160" s="94"/>
      <c r="AM1160" s="94"/>
      <c r="AN1160" s="94"/>
      <c r="AO1160" s="94"/>
      <c r="AP1160" s="94"/>
      <c r="AQ1160" s="94"/>
      <c r="AR1160" s="94"/>
      <c r="AS1160" s="94"/>
      <c r="AT1160" s="255"/>
      <c r="AU1160" s="255"/>
      <c r="AV1160" s="255"/>
    </row>
    <row r="1161" spans="2:48" x14ac:dyDescent="0.35">
      <c r="B1161" s="90">
        <f t="shared" si="17"/>
        <v>1151</v>
      </c>
      <c r="C1161" s="140">
        <v>46085</v>
      </c>
      <c r="D1161" s="6" t="s">
        <v>16</v>
      </c>
      <c r="E1161" s="6" t="s">
        <v>385</v>
      </c>
      <c r="F1161" s="242" t="s">
        <v>226</v>
      </c>
      <c r="G1161" s="242" t="s">
        <v>231</v>
      </c>
      <c r="H1161" s="6" t="s">
        <v>232</v>
      </c>
      <c r="I1161" s="133" t="s">
        <v>22</v>
      </c>
      <c r="J1161" s="135" t="s">
        <v>23</v>
      </c>
      <c r="K1161" s="135" t="s">
        <v>215</v>
      </c>
      <c r="L1161" s="6" t="s">
        <v>384</v>
      </c>
      <c r="M1161" s="256">
        <v>30</v>
      </c>
      <c r="N1161" s="256">
        <v>71</v>
      </c>
      <c r="O1161" s="256">
        <v>3</v>
      </c>
      <c r="P1161" s="257">
        <v>1</v>
      </c>
      <c r="Q1161" s="129">
        <v>75</v>
      </c>
      <c r="R1161" s="98">
        <v>0.5</v>
      </c>
      <c r="S1161" s="94">
        <f>((Table3.110[[#This Row],[Sample weight, g]]*'2.1. DM'!Q241)/100)*1000</f>
        <v>463.01466270807452</v>
      </c>
      <c r="T1161" s="94">
        <f>'3.2 Digest'!W1161</f>
        <v>198.11466270807449</v>
      </c>
      <c r="U1161" s="153">
        <v>0.33055555555555555</v>
      </c>
      <c r="V1161" s="154">
        <v>41</v>
      </c>
      <c r="W1161" s="153">
        <v>0.66319444444444442</v>
      </c>
      <c r="X1161" s="91">
        <v>84.5</v>
      </c>
      <c r="Y1161" s="91">
        <v>13</v>
      </c>
      <c r="Z1161" s="154">
        <v>40</v>
      </c>
      <c r="AA1161" s="153">
        <v>0.3347222222222222</v>
      </c>
      <c r="AB1161" s="154">
        <v>83</v>
      </c>
      <c r="AC1161" s="154">
        <v>15.5</v>
      </c>
      <c r="AD1161" s="91"/>
      <c r="AE1161" s="94">
        <f>Table3.110[[#This Row],[Gas 8h, ml]]-Table3.110[[#This Row],[Gas 0h, ml]]</f>
        <v>43.5</v>
      </c>
      <c r="AF1161" s="94">
        <f>Table3.110[[#This Row],[Gas 24h, ml]]-Table3.110[[#This Row],[V8 Push back, ml]]</f>
        <v>43</v>
      </c>
      <c r="AG1161" s="94">
        <f>Table3.110[[#This Row],[GP 8h, ml]]-(AVERAGE(AE$1159,AE$1160,AE$1193,AE$1194,AE$1229,AE$1230))*$AG$8</f>
        <v>40.033723538635904</v>
      </c>
      <c r="AH1161" s="94">
        <f>Table3.110[[#This Row],[GP 8-24h, ml]]-(AVERAGE(AF$1159,AF$1160,AF$1193,AF$1194,AF$1229,AF$1230))*$AG$8</f>
        <v>38.685592064046816</v>
      </c>
      <c r="AI1161" s="94">
        <f>Table3.110[[#This Row],[Net gas 8-24h, ml]]+Table3.110[[#This Row],[Net gas 8h, ml]]</f>
        <v>78.719315602682713</v>
      </c>
      <c r="AJ1161" s="94">
        <f>Table3.110[[#This Row],[Net gas 8h, ml]]*Table3.110[[#This Row],[CH4 8h %]]%</f>
        <v>5.2043840600226678</v>
      </c>
      <c r="AK1161" s="94">
        <f>Table3.110[[#This Row],[Net gas 8-24h, ml]]*Table3.110[[#This Row],[CH4 24h, %]]%</f>
        <v>5.9962667699272565</v>
      </c>
      <c r="AL1161" s="94">
        <f>Table3.110[[#This Row],[CH4 8-24h, ml]]+Table3.110[[#This Row],[CH4 8h, ml]]</f>
        <v>11.200650829949925</v>
      </c>
      <c r="AM1161" s="94">
        <f>(Table3.110[[#This Row],[Net gas 24h, ml]]/Table3.110[[#This Row],[DM Incubated, mg]])*1000</f>
        <v>170.01473590980927</v>
      </c>
      <c r="AN1161" s="94">
        <f>'3.2 Digest'!X1161</f>
        <v>42.787988948199576</v>
      </c>
      <c r="AO1161" s="94">
        <f>Table3.110[[#This Row],[Digested feed, mg]]/Table3.110[[#This Row],[Net gas 24h, ml]]</f>
        <v>2.5167223722829579</v>
      </c>
      <c r="AP1161" s="94">
        <f>Table3.110[[#This Row],[CH4 8h, ml]]/Table3.110[[#This Row],[Net gas 8h, ml]]%</f>
        <v>13.000000000000002</v>
      </c>
      <c r="AQ1161" s="94">
        <f>Table3.110[[#This Row],[CH4 24h, ml]]/Table3.110[[#This Row],[Net gas 24h, ml]]%</f>
        <v>14.22859274651546</v>
      </c>
      <c r="AR1161" s="94">
        <f>Table3.110[[#This Row],[CH4 24h, ml]]/Table3.110[[#This Row],[DM Incubated, mg]]*1000</f>
        <v>24.190704381670539</v>
      </c>
      <c r="AS1161" s="94">
        <f>Table3.110[[#This Row],[CH4 24h, ml]]/Table3.110[[#This Row],[Digested feed, mg]]*1000</f>
        <v>56.536203211037865</v>
      </c>
      <c r="AT1161" s="255">
        <f>Table3.110[[#This Row],[CH4 24h, ml]]/'3.2 Digest'!AA1161</f>
        <v>-3.5466942646196649</v>
      </c>
      <c r="AU1161" s="255">
        <f>((Table3.110[[#This Row],[CH4 24h, ml]]/28.9)*16.04)/Table3.110[[#This Row],[DM Incubated, mg]]*1000</f>
        <v>13.426259456124411</v>
      </c>
      <c r="AV1161" s="255">
        <f>((Table3.110[[#This Row],[CH4 24h, ml]]/28.9)*16.04)/Table3.110[[#This Row],[Digested feed, mg]]*1000</f>
        <v>31.378570917129665</v>
      </c>
    </row>
    <row r="1162" spans="2:48" x14ac:dyDescent="0.35">
      <c r="B1162" s="90">
        <f t="shared" si="17"/>
        <v>1152</v>
      </c>
      <c r="C1162" s="140">
        <v>46085</v>
      </c>
      <c r="D1162" s="6" t="s">
        <v>16</v>
      </c>
      <c r="E1162" s="6" t="s">
        <v>385</v>
      </c>
      <c r="F1162" s="242" t="s">
        <v>226</v>
      </c>
      <c r="G1162" s="242" t="s">
        <v>231</v>
      </c>
      <c r="H1162" s="6" t="s">
        <v>232</v>
      </c>
      <c r="I1162" s="133" t="s">
        <v>22</v>
      </c>
      <c r="J1162" s="135" t="s">
        <v>23</v>
      </c>
      <c r="K1162" s="135" t="s">
        <v>215</v>
      </c>
      <c r="L1162" s="6" t="s">
        <v>384</v>
      </c>
      <c r="M1162" s="256">
        <v>30</v>
      </c>
      <c r="N1162" s="256">
        <v>71</v>
      </c>
      <c r="O1162" s="256">
        <v>3</v>
      </c>
      <c r="P1162" s="257">
        <v>2</v>
      </c>
      <c r="Q1162" s="6">
        <v>76</v>
      </c>
      <c r="R1162" s="98">
        <v>0.5</v>
      </c>
      <c r="S1162" s="94">
        <f>((Table3.110[[#This Row],[Sample weight, g]]*'2.1. DM'!Q241)/100)*1000</f>
        <v>463.01466270807452</v>
      </c>
      <c r="T1162" s="94">
        <f>'3.2 Digest'!W1162</f>
        <v>130.4146627080745</v>
      </c>
      <c r="U1162" s="117">
        <v>0.33055555555555555</v>
      </c>
      <c r="V1162" s="155">
        <v>41.5</v>
      </c>
      <c r="W1162" s="117">
        <v>0.66388888888888886</v>
      </c>
      <c r="X1162" s="96">
        <v>85</v>
      </c>
      <c r="Y1162" s="96">
        <v>13.6</v>
      </c>
      <c r="Z1162" s="155">
        <v>40.5</v>
      </c>
      <c r="AA1162" s="117">
        <v>0.3347222222222222</v>
      </c>
      <c r="AB1162" s="155">
        <v>83</v>
      </c>
      <c r="AC1162" s="155">
        <v>17</v>
      </c>
      <c r="AD1162" s="96"/>
      <c r="AE1162" s="94">
        <f>Table3.110[[#This Row],[Gas 8h, ml]]-Table3.110[[#This Row],[Gas 0h, ml]]</f>
        <v>43.5</v>
      </c>
      <c r="AF1162" s="94">
        <f>Table3.110[[#This Row],[Gas 24h, ml]]-Table3.110[[#This Row],[V8 Push back, ml]]</f>
        <v>42.5</v>
      </c>
      <c r="AG1162" s="94">
        <f>Table3.110[[#This Row],[GP 8h, ml]]-(AVERAGE(AE$1159,AE$1160,AE$1193,AE$1194,AE$1229,AE$1230))*$AG$8</f>
        <v>40.033723538635904</v>
      </c>
      <c r="AH1162" s="94">
        <f>Table3.110[[#This Row],[GP 8-24h, ml]]-(AVERAGE(AF$1159,AF$1160,AF$1193,AF$1194,AF$1229,AF$1230))*$AG$8</f>
        <v>38.185592064046816</v>
      </c>
      <c r="AI1162" s="94">
        <f>Table3.110[[#This Row],[Net gas 8-24h, ml]]+Table3.110[[#This Row],[Net gas 8h, ml]]</f>
        <v>78.219315602682713</v>
      </c>
      <c r="AJ1162" s="94">
        <f>Table3.110[[#This Row],[Net gas 8h, ml]]*Table3.110[[#This Row],[CH4 8h %]]%</f>
        <v>5.4445864012544831</v>
      </c>
      <c r="AK1162" s="94">
        <f>Table3.110[[#This Row],[Net gas 8-24h, ml]]*Table3.110[[#This Row],[CH4 24h, %]]%</f>
        <v>6.4915506508879588</v>
      </c>
      <c r="AL1162" s="94">
        <f>Table3.110[[#This Row],[CH4 8-24h, ml]]+Table3.110[[#This Row],[CH4 8h, ml]]</f>
        <v>11.936137052142442</v>
      </c>
      <c r="AM1162" s="94">
        <f>(Table3.110[[#This Row],[Net gas 24h, ml]]/Table3.110[[#This Row],[DM Incubated, mg]])*1000</f>
        <v>168.93485650150802</v>
      </c>
      <c r="AN1162" s="94">
        <f>'3.2 Digest'!X1162</f>
        <v>28.16642175980061</v>
      </c>
      <c r="AO1162" s="94">
        <f>Table3.110[[#This Row],[Digested feed, mg]]/Table3.110[[#This Row],[Net gas 24h, ml]]</f>
        <v>1.6672948580951483</v>
      </c>
      <c r="AP1162" s="94">
        <f>Table3.110[[#This Row],[CH4 8h, ml]]/Table3.110[[#This Row],[Net gas 8h, ml]]%</f>
        <v>13.600000000000001</v>
      </c>
      <c r="AQ1162" s="94">
        <f>Table3.110[[#This Row],[CH4 24h, ml]]/Table3.110[[#This Row],[Net gas 24h, ml]]%</f>
        <v>15.259833150129307</v>
      </c>
      <c r="AR1162" s="94">
        <f>Table3.110[[#This Row],[CH4 24h, ml]]/Table3.110[[#This Row],[DM Incubated, mg]]*1000</f>
        <v>25.779177234540498</v>
      </c>
      <c r="AS1162" s="94">
        <f>Table3.110[[#This Row],[CH4 24h, ml]]/Table3.110[[#This Row],[Digested feed, mg]]*1000</f>
        <v>91.524501956200879</v>
      </c>
      <c r="AT1162" s="255">
        <f>Table3.110[[#This Row],[CH4 24h, ml]]/'3.2 Digest'!AA1162</f>
        <v>-0.40431376661337143</v>
      </c>
      <c r="AU1162" s="255">
        <f>((Table3.110[[#This Row],[CH4 24h, ml]]/28.9)*16.04)/Table3.110[[#This Row],[DM Incubated, mg]]*1000</f>
        <v>14.307889371696527</v>
      </c>
      <c r="AV1162" s="255">
        <f>((Table3.110[[#This Row],[CH4 24h, ml]]/28.9)*16.04)/Table3.110[[#This Row],[Digested feed, mg]]*1000</f>
        <v>50.797682054583468</v>
      </c>
    </row>
    <row r="1163" spans="2:48" x14ac:dyDescent="0.35">
      <c r="B1163" s="90">
        <f t="shared" si="17"/>
        <v>1153</v>
      </c>
      <c r="C1163" s="140">
        <v>46085</v>
      </c>
      <c r="D1163" s="6" t="s">
        <v>16</v>
      </c>
      <c r="E1163" s="6" t="s">
        <v>389</v>
      </c>
      <c r="F1163" s="242" t="s">
        <v>226</v>
      </c>
      <c r="G1163" s="242" t="s">
        <v>227</v>
      </c>
      <c r="H1163" s="6" t="s">
        <v>228</v>
      </c>
      <c r="I1163" s="133" t="s">
        <v>22</v>
      </c>
      <c r="J1163" s="135" t="s">
        <v>23</v>
      </c>
      <c r="K1163" s="135" t="s">
        <v>215</v>
      </c>
      <c r="L1163" s="6" t="s">
        <v>388</v>
      </c>
      <c r="M1163" s="256">
        <v>30</v>
      </c>
      <c r="N1163" s="256">
        <v>71</v>
      </c>
      <c r="O1163" s="256">
        <v>3</v>
      </c>
      <c r="P1163" s="257">
        <v>1</v>
      </c>
      <c r="Q1163" s="129">
        <v>77</v>
      </c>
      <c r="R1163" s="98">
        <v>0.50049999999999994</v>
      </c>
      <c r="S1163" s="94">
        <f>((Table3.110[[#This Row],[Sample weight, g]]*'2.1. DM'!Q243)/100)*1000</f>
        <v>463.37775353051234</v>
      </c>
      <c r="T1163" s="94">
        <f>'3.2 Digest'!W1163</f>
        <v>147.47775353051236</v>
      </c>
      <c r="U1163" s="117">
        <v>0.33194444444444443</v>
      </c>
      <c r="V1163" s="155">
        <v>46</v>
      </c>
      <c r="W1163" s="117">
        <v>0.6645833333333333</v>
      </c>
      <c r="X1163" s="96">
        <v>83</v>
      </c>
      <c r="Y1163" s="96">
        <v>11.5</v>
      </c>
      <c r="Z1163" s="155">
        <v>45.5</v>
      </c>
      <c r="AA1163" s="117">
        <v>0.33541666666666664</v>
      </c>
      <c r="AB1163" s="155">
        <v>80</v>
      </c>
      <c r="AC1163" s="155">
        <v>16.100000000000001</v>
      </c>
      <c r="AD1163" s="96" t="s">
        <v>602</v>
      </c>
      <c r="AE1163" s="94">
        <f>Table3.110[[#This Row],[Gas 8h, ml]]-Table3.110[[#This Row],[Gas 0h, ml]]</f>
        <v>37</v>
      </c>
      <c r="AF1163" s="94">
        <f>Table3.110[[#This Row],[Gas 24h, ml]]-Table3.110[[#This Row],[V8 Push back, ml]]</f>
        <v>34.5</v>
      </c>
      <c r="AG1163" s="94">
        <f>Table3.110[[#This Row],[GP 8h, ml]]-(AVERAGE(AE$1159,AE$1160,AE$1193,AE$1194,AE$1229,AE$1230))*$AG$8</f>
        <v>33.533723538635904</v>
      </c>
      <c r="AH1163" s="94">
        <f>Table3.110[[#This Row],[GP 8-24h, ml]]-(AVERAGE(AF$1159,AF$1160,AF$1193,AF$1194,AF$1229,AF$1230))*$AG$8</f>
        <v>30.185592064046812</v>
      </c>
      <c r="AI1163" s="94">
        <f>Table3.110[[#This Row],[Net gas 8-24h, ml]]+Table3.110[[#This Row],[Net gas 8h, ml]]</f>
        <v>63.719315602682713</v>
      </c>
      <c r="AJ1163" s="94">
        <f>Table3.110[[#This Row],[Net gas 8h, ml]]*Table3.110[[#This Row],[CH4 8h %]]%</f>
        <v>3.8563782069431292</v>
      </c>
      <c r="AK1163" s="94">
        <f>Table3.110[[#This Row],[Net gas 8-24h, ml]]*Table3.110[[#This Row],[CH4 24h, %]]%</f>
        <v>4.859880322311537</v>
      </c>
      <c r="AL1163" s="94">
        <f>Table3.110[[#This Row],[CH4 8-24h, ml]]+Table3.110[[#This Row],[CH4 8h, ml]]</f>
        <v>8.7162585292546666</v>
      </c>
      <c r="AM1163" s="94">
        <f>(Table3.110[[#This Row],[Net gas 24h, ml]]/Table3.110[[#This Row],[DM Incubated, mg]])*1000</f>
        <v>137.51051947833088</v>
      </c>
      <c r="AN1163" s="94">
        <f>'3.2 Digest'!X1163</f>
        <v>31.826679724451058</v>
      </c>
      <c r="AO1163" s="94">
        <f>Table3.110[[#This Row],[Digested feed, mg]]/Table3.110[[#This Row],[Net gas 24h, ml]]</f>
        <v>2.3144905455372351</v>
      </c>
      <c r="AP1163" s="94">
        <f>Table3.110[[#This Row],[CH4 8h, ml]]/Table3.110[[#This Row],[Net gas 8h, ml]]%</f>
        <v>11.5</v>
      </c>
      <c r="AQ1163" s="94">
        <f>Table3.110[[#This Row],[CH4 24h, ml]]/Table3.110[[#This Row],[Net gas 24h, ml]]%</f>
        <v>13.679146498691669</v>
      </c>
      <c r="AR1163" s="94">
        <f>Table3.110[[#This Row],[CH4 24h, ml]]/Table3.110[[#This Row],[DM Incubated, mg]]*1000</f>
        <v>18.81026541055282</v>
      </c>
      <c r="AS1163" s="94">
        <f>Table3.110[[#This Row],[CH4 24h, ml]]/Table3.110[[#This Row],[Digested feed, mg]]*1000</f>
        <v>59.102192165215747</v>
      </c>
      <c r="AT1163" s="255">
        <f>Table3.110[[#This Row],[CH4 24h, ml]]/'3.2 Digest'!AA1163</f>
        <v>-0.29994981779921359</v>
      </c>
      <c r="AU1163" s="255">
        <f>((Table3.110[[#This Row],[CH4 24h, ml]]/28.9)*16.04)/Table3.110[[#This Row],[DM Incubated, mg]]*1000</f>
        <v>10.440022739974646</v>
      </c>
      <c r="AV1163" s="255">
        <f>((Table3.110[[#This Row],[CH4 24h, ml]]/28.9)*16.04)/Table3.110[[#This Row],[Digested feed, mg]]*1000</f>
        <v>32.80273918097096</v>
      </c>
    </row>
    <row r="1164" spans="2:48" x14ac:dyDescent="0.35">
      <c r="B1164" s="90">
        <f t="shared" ref="B1164:B1227" si="18">B1163+1</f>
        <v>1154</v>
      </c>
      <c r="C1164" s="140">
        <v>46085</v>
      </c>
      <c r="D1164" s="6" t="s">
        <v>16</v>
      </c>
      <c r="E1164" s="6" t="s">
        <v>389</v>
      </c>
      <c r="F1164" s="242" t="s">
        <v>226</v>
      </c>
      <c r="G1164" s="242" t="s">
        <v>227</v>
      </c>
      <c r="H1164" s="6" t="s">
        <v>228</v>
      </c>
      <c r="I1164" s="133" t="s">
        <v>22</v>
      </c>
      <c r="J1164" s="135" t="s">
        <v>23</v>
      </c>
      <c r="K1164" s="135" t="s">
        <v>215</v>
      </c>
      <c r="L1164" s="6" t="s">
        <v>388</v>
      </c>
      <c r="M1164" s="256">
        <v>30</v>
      </c>
      <c r="N1164" s="256">
        <v>71</v>
      </c>
      <c r="O1164" s="256">
        <v>3</v>
      </c>
      <c r="P1164" s="257">
        <v>2</v>
      </c>
      <c r="Q1164" s="6">
        <v>78</v>
      </c>
      <c r="R1164" s="98">
        <v>0.50039999999999996</v>
      </c>
      <c r="S1164" s="94">
        <f>((Table3.110[[#This Row],[Sample weight, g]]*'2.1. DM'!Q243)/100)*1000</f>
        <v>463.28517056277394</v>
      </c>
      <c r="T1164" s="94">
        <f>'3.2 Digest'!W1164</f>
        <v>117.0851705627739</v>
      </c>
      <c r="U1164" s="153">
        <v>0.33194444444444443</v>
      </c>
      <c r="V1164" s="154">
        <v>41.5</v>
      </c>
      <c r="W1164" s="153">
        <v>0.6645833333333333</v>
      </c>
      <c r="X1164" s="91">
        <v>83</v>
      </c>
      <c r="Y1164" s="91">
        <v>11.4</v>
      </c>
      <c r="Z1164" s="154">
        <v>40.5</v>
      </c>
      <c r="AA1164" s="153">
        <v>0.33611111111111114</v>
      </c>
      <c r="AB1164" s="154">
        <v>80.5</v>
      </c>
      <c r="AC1164" s="154">
        <v>15.7</v>
      </c>
      <c r="AD1164" s="91"/>
      <c r="AE1164" s="94">
        <f>Table3.110[[#This Row],[Gas 8h, ml]]-Table3.110[[#This Row],[Gas 0h, ml]]</f>
        <v>41.5</v>
      </c>
      <c r="AF1164" s="94">
        <f>Table3.110[[#This Row],[Gas 24h, ml]]-Table3.110[[#This Row],[V8 Push back, ml]]</f>
        <v>40</v>
      </c>
      <c r="AG1164" s="94">
        <f>Table3.110[[#This Row],[GP 8h, ml]]-(AVERAGE(AE$1159,AE$1160,AE$1193,AE$1194,AE$1229,AE$1230))*$AG$8</f>
        <v>38.033723538635904</v>
      </c>
      <c r="AH1164" s="94">
        <f>Table3.110[[#This Row],[GP 8-24h, ml]]-(AVERAGE(AF$1159,AF$1160,AF$1193,AF$1194,AF$1229,AF$1230))*$AG$8</f>
        <v>35.685592064046816</v>
      </c>
      <c r="AI1164" s="94">
        <f>Table3.110[[#This Row],[Net gas 8-24h, ml]]+Table3.110[[#This Row],[Net gas 8h, ml]]</f>
        <v>73.719315602682713</v>
      </c>
      <c r="AJ1164" s="94">
        <f>Table3.110[[#This Row],[Net gas 8h, ml]]*Table3.110[[#This Row],[CH4 8h %]]%</f>
        <v>4.3358444834044931</v>
      </c>
      <c r="AK1164" s="94">
        <f>Table3.110[[#This Row],[Net gas 8-24h, ml]]*Table3.110[[#This Row],[CH4 24h, %]]%</f>
        <v>5.6026379540553499</v>
      </c>
      <c r="AL1164" s="94">
        <f>Table3.110[[#This Row],[CH4 8-24h, ml]]+Table3.110[[#This Row],[CH4 8h, ml]]</f>
        <v>9.9384824374598431</v>
      </c>
      <c r="AM1164" s="94">
        <f>(Table3.110[[#This Row],[Net gas 24h, ml]]/Table3.110[[#This Row],[DM Incubated, mg]])*1000</f>
        <v>159.12297713551342</v>
      </c>
      <c r="AN1164" s="94">
        <f>'3.2 Digest'!X1164</f>
        <v>25.272807765580996</v>
      </c>
      <c r="AO1164" s="94">
        <f>Table3.110[[#This Row],[Digested feed, mg]]/Table3.110[[#This Row],[Net gas 24h, ml]]</f>
        <v>1.5882563423922109</v>
      </c>
      <c r="AP1164" s="94">
        <f>Table3.110[[#This Row],[CH4 8h, ml]]/Table3.110[[#This Row],[Net gas 8h, ml]]%</f>
        <v>11.4</v>
      </c>
      <c r="AQ1164" s="94">
        <f>Table3.110[[#This Row],[CH4 24h, ml]]/Table3.110[[#This Row],[Net gas 24h, ml]]%</f>
        <v>13.481517504888735</v>
      </c>
      <c r="AR1164" s="94">
        <f>Table3.110[[#This Row],[CH4 24h, ml]]/Table3.110[[#This Row],[DM Incubated, mg]]*1000</f>
        <v>21.452192016824341</v>
      </c>
      <c r="AS1164" s="94">
        <f>Table3.110[[#This Row],[CH4 24h, ml]]/Table3.110[[#This Row],[Digested feed, mg]]*1000</f>
        <v>84.882503819144532</v>
      </c>
      <c r="AT1164" s="255">
        <f>Table3.110[[#This Row],[CH4 24h, ml]]/'3.2 Digest'!AA1164</f>
        <v>-0.2396766838993622</v>
      </c>
      <c r="AU1164" s="255">
        <f>((Table3.110[[#This Row],[CH4 24h, ml]]/28.9)*16.04)/Table3.110[[#This Row],[DM Incubated, mg]]*1000</f>
        <v>11.906337714528114</v>
      </c>
      <c r="AV1164" s="255">
        <f>((Table3.110[[#This Row],[CH4 24h, ml]]/28.9)*16.04)/Table3.110[[#This Row],[Digested feed, mg]]*1000</f>
        <v>47.111258175054608</v>
      </c>
    </row>
    <row r="1165" spans="2:48" x14ac:dyDescent="0.35">
      <c r="B1165" s="90">
        <f t="shared" si="18"/>
        <v>1155</v>
      </c>
      <c r="C1165" s="140">
        <v>46085</v>
      </c>
      <c r="D1165" s="6" t="s">
        <v>16</v>
      </c>
      <c r="E1165" s="6" t="s">
        <v>391</v>
      </c>
      <c r="F1165" s="242" t="s">
        <v>290</v>
      </c>
      <c r="G1165" s="242" t="s">
        <v>314</v>
      </c>
      <c r="H1165" s="6" t="s">
        <v>315</v>
      </c>
      <c r="I1165" s="133" t="s">
        <v>22</v>
      </c>
      <c r="J1165" s="135" t="s">
        <v>23</v>
      </c>
      <c r="K1165" s="135" t="s">
        <v>215</v>
      </c>
      <c r="L1165" s="6" t="s">
        <v>390</v>
      </c>
      <c r="M1165" s="256">
        <v>30</v>
      </c>
      <c r="N1165" s="256">
        <v>71</v>
      </c>
      <c r="O1165" s="256">
        <v>3</v>
      </c>
      <c r="P1165" s="257">
        <v>1</v>
      </c>
      <c r="Q1165" s="129">
        <v>79</v>
      </c>
      <c r="R1165" s="98">
        <v>0.50019999999999998</v>
      </c>
      <c r="S1165" s="94">
        <f>((Table3.110[[#This Row],[Sample weight, g]]*'2.1. DM'!Q245)/100)*1000</f>
        <v>474.01452999999987</v>
      </c>
      <c r="T1165" s="94">
        <f>'3.2 Digest'!W1165</f>
        <v>182.91452999999984</v>
      </c>
      <c r="U1165" s="153">
        <v>0.33263888888888887</v>
      </c>
      <c r="V1165" s="154">
        <v>41</v>
      </c>
      <c r="W1165" s="153">
        <v>0.66527777777777775</v>
      </c>
      <c r="X1165" s="91">
        <v>76.5</v>
      </c>
      <c r="Y1165" s="91">
        <v>14</v>
      </c>
      <c r="Z1165" s="154">
        <v>40</v>
      </c>
      <c r="AA1165" s="153">
        <v>0.33611111111111114</v>
      </c>
      <c r="AB1165" s="154">
        <v>89.5</v>
      </c>
      <c r="AC1165" s="154">
        <v>16.600000000000001</v>
      </c>
      <c r="AD1165" s="91"/>
      <c r="AE1165" s="94">
        <f>Table3.110[[#This Row],[Gas 8h, ml]]-Table3.110[[#This Row],[Gas 0h, ml]]</f>
        <v>35.5</v>
      </c>
      <c r="AF1165" s="94">
        <f>Table3.110[[#This Row],[Gas 24h, ml]]-Table3.110[[#This Row],[V8 Push back, ml]]</f>
        <v>49.5</v>
      </c>
      <c r="AG1165" s="94">
        <f>Table3.110[[#This Row],[GP 8h, ml]]-(AVERAGE(AE$1159,AE$1160,AE$1193,AE$1194,AE$1229,AE$1230))*$AG$8</f>
        <v>32.033723538635904</v>
      </c>
      <c r="AH1165" s="94">
        <f>Table3.110[[#This Row],[GP 8-24h, ml]]-(AVERAGE(AF$1159,AF$1160,AF$1193,AF$1194,AF$1229,AF$1230))*$AG$8</f>
        <v>45.185592064046816</v>
      </c>
      <c r="AI1165" s="94">
        <f>Table3.110[[#This Row],[Net gas 8-24h, ml]]+Table3.110[[#This Row],[Net gas 8h, ml]]</f>
        <v>77.219315602682713</v>
      </c>
      <c r="AJ1165" s="94">
        <f>Table3.110[[#This Row],[Net gas 8h, ml]]*Table3.110[[#This Row],[CH4 8h %]]%</f>
        <v>4.4847212954090274</v>
      </c>
      <c r="AK1165" s="94">
        <f>Table3.110[[#This Row],[Net gas 8-24h, ml]]*Table3.110[[#This Row],[CH4 24h, %]]%</f>
        <v>7.5008082826317715</v>
      </c>
      <c r="AL1165" s="94">
        <f>Table3.110[[#This Row],[CH4 8-24h, ml]]+Table3.110[[#This Row],[CH4 8h, ml]]</f>
        <v>11.985529578040799</v>
      </c>
      <c r="AM1165" s="94">
        <f>(Table3.110[[#This Row],[Net gas 24h, ml]]/Table3.110[[#This Row],[DM Incubated, mg]])*1000</f>
        <v>162.90495483900617</v>
      </c>
      <c r="AN1165" s="94">
        <f>'3.2 Digest'!X1165</f>
        <v>38.58838040260072</v>
      </c>
      <c r="AO1165" s="94">
        <f>Table3.110[[#This Row],[Digested feed, mg]]/Table3.110[[#This Row],[Net gas 24h, ml]]</f>
        <v>2.3687665265145799</v>
      </c>
      <c r="AP1165" s="94">
        <f>Table3.110[[#This Row],[CH4 8h, ml]]/Table3.110[[#This Row],[Net gas 8h, ml]]%</f>
        <v>14.000000000000002</v>
      </c>
      <c r="AQ1165" s="94">
        <f>Table3.110[[#This Row],[CH4 24h, ml]]/Table3.110[[#This Row],[Net gas 24h, ml]]%</f>
        <v>15.521413890418376</v>
      </c>
      <c r="AR1165" s="94">
        <f>Table3.110[[#This Row],[CH4 24h, ml]]/Table3.110[[#This Row],[DM Incubated, mg]]*1000</f>
        <v>25.285152288561285</v>
      </c>
      <c r="AS1165" s="94">
        <f>Table3.110[[#This Row],[CH4 24h, ml]]/Table3.110[[#This Row],[Digested feed, mg]]*1000</f>
        <v>65.525300685740007</v>
      </c>
      <c r="AT1165" s="255">
        <f>Table3.110[[#This Row],[CH4 24h, ml]]/'3.2 Digest'!AA1165</f>
        <v>-0.41303975920481789</v>
      </c>
      <c r="AU1165" s="255">
        <f>((Table3.110[[#This Row],[CH4 24h, ml]]/28.9)*16.04)/Table3.110[[#This Row],[DM Incubated, mg]]*1000</f>
        <v>14.033696979533669</v>
      </c>
      <c r="AV1165" s="255">
        <f>((Table3.110[[#This Row],[CH4 24h, ml]]/28.9)*16.04)/Table3.110[[#This Row],[Digested feed, mg]]*1000</f>
        <v>36.367675536306912</v>
      </c>
    </row>
    <row r="1166" spans="2:48" x14ac:dyDescent="0.35">
      <c r="B1166" s="90">
        <f t="shared" si="18"/>
        <v>1156</v>
      </c>
      <c r="C1166" s="140">
        <v>46085</v>
      </c>
      <c r="D1166" s="6" t="s">
        <v>16</v>
      </c>
      <c r="E1166" s="6" t="s">
        <v>391</v>
      </c>
      <c r="F1166" s="242" t="s">
        <v>290</v>
      </c>
      <c r="G1166" s="242" t="s">
        <v>314</v>
      </c>
      <c r="H1166" s="6" t="s">
        <v>315</v>
      </c>
      <c r="I1166" s="133" t="s">
        <v>22</v>
      </c>
      <c r="J1166" s="135" t="s">
        <v>23</v>
      </c>
      <c r="K1166" s="135" t="s">
        <v>215</v>
      </c>
      <c r="L1166" s="6" t="s">
        <v>390</v>
      </c>
      <c r="M1166" s="256">
        <v>30</v>
      </c>
      <c r="N1166" s="256">
        <v>71</v>
      </c>
      <c r="O1166" s="256">
        <v>3</v>
      </c>
      <c r="P1166" s="257">
        <v>2</v>
      </c>
      <c r="Q1166" s="6">
        <v>80</v>
      </c>
      <c r="R1166" s="98">
        <v>0.50029999999999997</v>
      </c>
      <c r="S1166" s="94">
        <f>((Table3.110[[#This Row],[Sample weight, g]]*'2.1. DM'!Q245)/100)*1000</f>
        <v>474.10929499999986</v>
      </c>
      <c r="T1166" s="94">
        <f>'3.2 Digest'!W1166</f>
        <v>253.60929499999983</v>
      </c>
      <c r="U1166" s="117">
        <v>0.33333333333333331</v>
      </c>
      <c r="V1166" s="155">
        <v>40</v>
      </c>
      <c r="W1166" s="117">
        <v>0.66527777777777775</v>
      </c>
      <c r="X1166" s="96">
        <v>77</v>
      </c>
      <c r="Y1166" s="96">
        <v>14.4</v>
      </c>
      <c r="Z1166" s="155">
        <v>40</v>
      </c>
      <c r="AA1166" s="117">
        <v>0.33680555555555558</v>
      </c>
      <c r="AB1166" s="155">
        <v>88.5</v>
      </c>
      <c r="AC1166" s="155">
        <v>16.8</v>
      </c>
      <c r="AD1166" s="96"/>
      <c r="AE1166" s="94">
        <f>Table3.110[[#This Row],[Gas 8h, ml]]-Table3.110[[#This Row],[Gas 0h, ml]]</f>
        <v>37</v>
      </c>
      <c r="AF1166" s="94">
        <f>Table3.110[[#This Row],[Gas 24h, ml]]-Table3.110[[#This Row],[V8 Push back, ml]]</f>
        <v>48.5</v>
      </c>
      <c r="AG1166" s="94">
        <f>Table3.110[[#This Row],[GP 8h, ml]]-(AVERAGE(AE$1159,AE$1160,AE$1193,AE$1194,AE$1229,AE$1230))*$AG$8</f>
        <v>33.533723538635904</v>
      </c>
      <c r="AH1166" s="94">
        <f>Table3.110[[#This Row],[GP 8-24h, ml]]-(AVERAGE(AF$1159,AF$1160,AF$1193,AF$1194,AF$1229,AF$1230))*$AG$8</f>
        <v>44.185592064046816</v>
      </c>
      <c r="AI1166" s="94">
        <f>Table3.110[[#This Row],[Net gas 8-24h, ml]]+Table3.110[[#This Row],[Net gas 8h, ml]]</f>
        <v>77.719315602682713</v>
      </c>
      <c r="AJ1166" s="94">
        <f>Table3.110[[#This Row],[Net gas 8h, ml]]*Table3.110[[#This Row],[CH4 8h %]]%</f>
        <v>4.8288561895635711</v>
      </c>
      <c r="AK1166" s="94">
        <f>Table3.110[[#This Row],[Net gas 8-24h, ml]]*Table3.110[[#This Row],[CH4 24h, %]]%</f>
        <v>7.4231794667598656</v>
      </c>
      <c r="AL1166" s="94">
        <f>Table3.110[[#This Row],[CH4 8-24h, ml]]+Table3.110[[#This Row],[CH4 8h, ml]]</f>
        <v>12.252035656323436</v>
      </c>
      <c r="AM1166" s="94">
        <f>(Table3.110[[#This Row],[Net gas 24h, ml]]/Table3.110[[#This Row],[DM Incubated, mg]])*1000</f>
        <v>163.92700253363043</v>
      </c>
      <c r="AN1166" s="94">
        <f>'3.2 Digest'!X1166</f>
        <v>53.491736541465599</v>
      </c>
      <c r="AO1166" s="94">
        <f>Table3.110[[#This Row],[Digested feed, mg]]/Table3.110[[#This Row],[Net gas 24h, ml]]</f>
        <v>3.2631436990066054</v>
      </c>
      <c r="AP1166" s="94">
        <f>Table3.110[[#This Row],[CH4 8h, ml]]/Table3.110[[#This Row],[Net gas 8h, ml]]%</f>
        <v>14.400000000000002</v>
      </c>
      <c r="AQ1166" s="94">
        <f>Table3.110[[#This Row],[CH4 24h, ml]]/Table3.110[[#This Row],[Net gas 24h, ml]]%</f>
        <v>15.764466736889947</v>
      </c>
      <c r="AR1166" s="94">
        <f>Table3.110[[#This Row],[CH4 24h, ml]]/Table3.110[[#This Row],[DM Incubated, mg]]*1000</f>
        <v>25.842217787194912</v>
      </c>
      <c r="AS1166" s="94">
        <f>Table3.110[[#This Row],[CH4 24h, ml]]/Table3.110[[#This Row],[Digested feed, mg]]*1000</f>
        <v>48.31067274692532</v>
      </c>
      <c r="AT1166" s="255">
        <f>Table3.110[[#This Row],[CH4 24h, ml]]/'3.2 Digest'!AA1166</f>
        <v>5.3451877881853198</v>
      </c>
      <c r="AU1166" s="255">
        <f>((Table3.110[[#This Row],[CH4 24h, ml]]/28.9)*16.04)/Table3.110[[#This Row],[DM Incubated, mg]]*1000</f>
        <v>14.342877969086727</v>
      </c>
      <c r="AV1166" s="255">
        <f>((Table3.110[[#This Row],[CH4 24h, ml]]/28.9)*16.04)/Table3.110[[#This Row],[Digested feed, mg]]*1000</f>
        <v>26.813259199331565</v>
      </c>
    </row>
    <row r="1167" spans="2:48" x14ac:dyDescent="0.35">
      <c r="B1167" s="90">
        <f t="shared" si="18"/>
        <v>1157</v>
      </c>
      <c r="C1167" s="140">
        <v>46085</v>
      </c>
      <c r="D1167" s="6" t="s">
        <v>16</v>
      </c>
      <c r="E1167" s="6" t="s">
        <v>393</v>
      </c>
      <c r="F1167" s="242" t="s">
        <v>226</v>
      </c>
      <c r="G1167" s="242" t="s">
        <v>227</v>
      </c>
      <c r="H1167" s="6" t="s">
        <v>228</v>
      </c>
      <c r="I1167" s="133" t="s">
        <v>22</v>
      </c>
      <c r="J1167" s="135" t="s">
        <v>23</v>
      </c>
      <c r="K1167" s="135" t="s">
        <v>215</v>
      </c>
      <c r="L1167" s="6" t="s">
        <v>392</v>
      </c>
      <c r="M1167" s="256">
        <v>30</v>
      </c>
      <c r="N1167" s="256">
        <v>71</v>
      </c>
      <c r="O1167" s="256">
        <v>3</v>
      </c>
      <c r="P1167" s="257">
        <v>1</v>
      </c>
      <c r="Q1167" s="129">
        <v>81</v>
      </c>
      <c r="R1167" s="98">
        <v>0.5</v>
      </c>
      <c r="S1167" s="94">
        <f>((Table3.110[[#This Row],[Sample weight, g]]*'2.1. DM'!Q247)/100)*1000</f>
        <v>467.80642839444914</v>
      </c>
      <c r="T1167" s="94">
        <f>'3.2 Digest'!W1167</f>
        <v>209.40642839444916</v>
      </c>
      <c r="U1167" s="117">
        <v>0.33333333333333331</v>
      </c>
      <c r="V1167" s="155">
        <v>42</v>
      </c>
      <c r="W1167" s="117">
        <v>0.66597222222222219</v>
      </c>
      <c r="X1167" s="96">
        <v>82</v>
      </c>
      <c r="Y1167" s="96">
        <v>12.3</v>
      </c>
      <c r="Z1167" s="155">
        <v>40.5</v>
      </c>
      <c r="AA1167" s="117">
        <v>0.33680555555555558</v>
      </c>
      <c r="AB1167" s="155">
        <v>75</v>
      </c>
      <c r="AC1167" s="155">
        <v>16.2</v>
      </c>
      <c r="AD1167" s="96" t="s">
        <v>603</v>
      </c>
      <c r="AE1167" s="94">
        <f>Table3.110[[#This Row],[Gas 8h, ml]]-Table3.110[[#This Row],[Gas 0h, ml]]</f>
        <v>40</v>
      </c>
      <c r="AF1167" s="94">
        <f>Table3.110[[#This Row],[Gas 24h, ml]]-Table3.110[[#This Row],[V8 Push back, ml]]</f>
        <v>34.5</v>
      </c>
      <c r="AG1167" s="94">
        <f>Table3.110[[#This Row],[GP 8h, ml]]-(AVERAGE(AE$1159,AE$1160,AE$1193,AE$1194,AE$1229,AE$1230))*$AG$8</f>
        <v>36.533723538635904</v>
      </c>
      <c r="AH1167" s="94">
        <f>Table3.110[[#This Row],[GP 8-24h, ml]]-(AVERAGE(AF$1159,AF$1160,AF$1193,AF$1194,AF$1229,AF$1230))*$AG$8</f>
        <v>30.185592064046812</v>
      </c>
      <c r="AI1167" s="94">
        <f>Table3.110[[#This Row],[Net gas 8-24h, ml]]+Table3.110[[#This Row],[Net gas 8h, ml]]</f>
        <v>66.719315602682713</v>
      </c>
      <c r="AJ1167" s="94">
        <f>Table3.110[[#This Row],[Net gas 8h, ml]]*Table3.110[[#This Row],[CH4 8h %]]%</f>
        <v>4.4936479952522168</v>
      </c>
      <c r="AK1167" s="94">
        <f>Table3.110[[#This Row],[Net gas 8-24h, ml]]*Table3.110[[#This Row],[CH4 24h, %]]%</f>
        <v>4.890065914375584</v>
      </c>
      <c r="AL1167" s="94">
        <f>Table3.110[[#This Row],[CH4 8-24h, ml]]+Table3.110[[#This Row],[CH4 8h, ml]]</f>
        <v>9.3837139096278008</v>
      </c>
      <c r="AM1167" s="94">
        <f>(Table3.110[[#This Row],[Net gas 24h, ml]]/Table3.110[[#This Row],[DM Incubated, mg]])*1000</f>
        <v>142.62163055704258</v>
      </c>
      <c r="AN1167" s="94">
        <f>'3.2 Digest'!X1167</f>
        <v>44.763478157653708</v>
      </c>
      <c r="AO1167" s="94">
        <f>Table3.110[[#This Row],[Digested feed, mg]]/Table3.110[[#This Row],[Net gas 24h, ml]]</f>
        <v>3.1386177526381753</v>
      </c>
      <c r="AP1167" s="94">
        <f>Table3.110[[#This Row],[CH4 8h, ml]]/Table3.110[[#This Row],[Net gas 8h, ml]]%</f>
        <v>12.300000000000002</v>
      </c>
      <c r="AQ1167" s="94">
        <f>Table3.110[[#This Row],[CH4 24h, ml]]/Table3.110[[#This Row],[Net gas 24h, ml]]%</f>
        <v>14.064463678716889</v>
      </c>
      <c r="AR1167" s="94">
        <f>Table3.110[[#This Row],[CH4 24h, ml]]/Table3.110[[#This Row],[DM Incubated, mg]]*1000</f>
        <v>20.058967427689041</v>
      </c>
      <c r="AS1167" s="94">
        <f>Table3.110[[#This Row],[CH4 24h, ml]]/Table3.110[[#This Row],[Digested feed, mg]]*1000</f>
        <v>44.811011684665836</v>
      </c>
      <c r="AT1167" s="255">
        <f>Table3.110[[#This Row],[CH4 24h, ml]]/'3.2 Digest'!AA1167</f>
        <v>-1.0809360861443742</v>
      </c>
      <c r="AU1167" s="255">
        <f>((Table3.110[[#This Row],[CH4 24h, ml]]/28.9)*16.04)/Table3.110[[#This Row],[DM Incubated, mg]]*1000</f>
        <v>11.133073963326373</v>
      </c>
      <c r="AV1167" s="255">
        <f>((Table3.110[[#This Row],[CH4 24h, ml]]/28.9)*16.04)/Table3.110[[#This Row],[Digested feed, mg]]*1000</f>
        <v>24.870886762008301</v>
      </c>
    </row>
    <row r="1168" spans="2:48" x14ac:dyDescent="0.35">
      <c r="B1168" s="90">
        <f t="shared" si="18"/>
        <v>1158</v>
      </c>
      <c r="C1168" s="140">
        <v>46085</v>
      </c>
      <c r="D1168" s="6" t="s">
        <v>16</v>
      </c>
      <c r="E1168" s="6" t="s">
        <v>393</v>
      </c>
      <c r="F1168" s="242" t="s">
        <v>226</v>
      </c>
      <c r="G1168" s="242" t="s">
        <v>227</v>
      </c>
      <c r="H1168" s="6" t="s">
        <v>228</v>
      </c>
      <c r="I1168" s="133" t="s">
        <v>22</v>
      </c>
      <c r="J1168" s="135" t="s">
        <v>23</v>
      </c>
      <c r="K1168" s="135" t="s">
        <v>215</v>
      </c>
      <c r="L1168" s="6" t="s">
        <v>392</v>
      </c>
      <c r="M1168" s="256">
        <v>30</v>
      </c>
      <c r="N1168" s="256">
        <v>71</v>
      </c>
      <c r="O1168" s="256">
        <v>3</v>
      </c>
      <c r="P1168" s="257">
        <v>2</v>
      </c>
      <c r="Q1168" s="6">
        <v>82</v>
      </c>
      <c r="R1168" s="98">
        <v>0.50060000000000004</v>
      </c>
      <c r="S1168" s="94">
        <f>((Table3.110[[#This Row],[Sample weight, g]]*'2.1. DM'!Q247)/100)*1000</f>
        <v>468.36779610852255</v>
      </c>
      <c r="T1168" s="94">
        <f>'3.2 Digest'!W1168</f>
        <v>137.96779610852252</v>
      </c>
      <c r="U1168" s="153">
        <v>0.33333333333333331</v>
      </c>
      <c r="V1168" s="154">
        <v>41</v>
      </c>
      <c r="W1168" s="153">
        <v>0.66597222222222219</v>
      </c>
      <c r="X1168" s="91">
        <v>81</v>
      </c>
      <c r="Y1168" s="91">
        <v>12.5</v>
      </c>
      <c r="Z1168" s="154">
        <v>40.5</v>
      </c>
      <c r="AA1168" s="153">
        <v>0.33750000000000002</v>
      </c>
      <c r="AB1168" s="154">
        <v>74.5</v>
      </c>
      <c r="AC1168" s="154">
        <v>16.5</v>
      </c>
      <c r="AD1168" s="91"/>
      <c r="AE1168" s="94">
        <f>Table3.110[[#This Row],[Gas 8h, ml]]-Table3.110[[#This Row],[Gas 0h, ml]]</f>
        <v>40</v>
      </c>
      <c r="AF1168" s="94">
        <f>Table3.110[[#This Row],[Gas 24h, ml]]-Table3.110[[#This Row],[V8 Push back, ml]]</f>
        <v>34</v>
      </c>
      <c r="AG1168" s="94">
        <f>Table3.110[[#This Row],[GP 8h, ml]]-(AVERAGE(AE$1159,AE$1160,AE$1193,AE$1194,AE$1229,AE$1230))*$AG$8</f>
        <v>36.533723538635904</v>
      </c>
      <c r="AH1168" s="94">
        <f>Table3.110[[#This Row],[GP 8-24h, ml]]-(AVERAGE(AF$1159,AF$1160,AF$1193,AF$1194,AF$1229,AF$1230))*$AG$8</f>
        <v>29.685592064046812</v>
      </c>
      <c r="AI1168" s="94">
        <f>Table3.110[[#This Row],[Net gas 8-24h, ml]]+Table3.110[[#This Row],[Net gas 8h, ml]]</f>
        <v>66.219315602682713</v>
      </c>
      <c r="AJ1168" s="94">
        <f>Table3.110[[#This Row],[Net gas 8h, ml]]*Table3.110[[#This Row],[CH4 8h %]]%</f>
        <v>4.566715442329488</v>
      </c>
      <c r="AK1168" s="94">
        <f>Table3.110[[#This Row],[Net gas 8-24h, ml]]*Table3.110[[#This Row],[CH4 24h, %]]%</f>
        <v>4.8981226905677246</v>
      </c>
      <c r="AL1168" s="94">
        <f>Table3.110[[#This Row],[CH4 8-24h, ml]]+Table3.110[[#This Row],[CH4 8h, ml]]</f>
        <v>9.4648381328972135</v>
      </c>
      <c r="AM1168" s="94">
        <f>(Table3.110[[#This Row],[Net gas 24h, ml]]/Table3.110[[#This Row],[DM Incubated, mg]])*1000</f>
        <v>141.38315262678617</v>
      </c>
      <c r="AN1168" s="94">
        <f>'3.2 Digest'!X1168</f>
        <v>29.457148261439155</v>
      </c>
      <c r="AO1168" s="94">
        <f>Table3.110[[#This Row],[Digested feed, mg]]/Table3.110[[#This Row],[Net gas 24h, ml]]</f>
        <v>2.0834977657626697</v>
      </c>
      <c r="AP1168" s="94">
        <f>Table3.110[[#This Row],[CH4 8h, ml]]/Table3.110[[#This Row],[Net gas 8h, ml]]%</f>
        <v>12.5</v>
      </c>
      <c r="AQ1168" s="94">
        <f>Table3.110[[#This Row],[CH4 24h, ml]]/Table3.110[[#This Row],[Net gas 24h, ml]]%</f>
        <v>14.293168159100951</v>
      </c>
      <c r="AR1168" s="94">
        <f>Table3.110[[#This Row],[CH4 24h, ml]]/Table3.110[[#This Row],[DM Incubated, mg]]*1000</f>
        <v>20.208131753584901</v>
      </c>
      <c r="AS1168" s="94">
        <f>Table3.110[[#This Row],[CH4 24h, ml]]/Table3.110[[#This Row],[Digested feed, mg]]*1000</f>
        <v>68.601792591166529</v>
      </c>
      <c r="AT1168" s="255">
        <f>Table3.110[[#This Row],[CH4 24h, ml]]/'3.2 Digest'!AA1168</f>
        <v>-0.24395671724299062</v>
      </c>
      <c r="AU1168" s="255">
        <f>((Table3.110[[#This Row],[CH4 24h, ml]]/28.9)*16.04)/Table3.110[[#This Row],[DM Incubated, mg]]*1000</f>
        <v>11.215862744896256</v>
      </c>
      <c r="AV1168" s="255">
        <f>((Table3.110[[#This Row],[CH4 24h, ml]]/28.9)*16.04)/Table3.110[[#This Row],[Digested feed, mg]]*1000</f>
        <v>38.075181770322175</v>
      </c>
    </row>
    <row r="1169" spans="2:48" x14ac:dyDescent="0.35">
      <c r="B1169" s="90">
        <f t="shared" si="18"/>
        <v>1159</v>
      </c>
      <c r="C1169" s="140">
        <v>46085</v>
      </c>
      <c r="D1169" s="6" t="s">
        <v>16</v>
      </c>
      <c r="E1169" s="6" t="s">
        <v>395</v>
      </c>
      <c r="F1169" s="242" t="s">
        <v>240</v>
      </c>
      <c r="G1169" s="242" t="s">
        <v>396</v>
      </c>
      <c r="H1169" s="6" t="s">
        <v>397</v>
      </c>
      <c r="I1169" s="133" t="s">
        <v>22</v>
      </c>
      <c r="J1169" s="135" t="s">
        <v>23</v>
      </c>
      <c r="K1169" s="135" t="s">
        <v>215</v>
      </c>
      <c r="L1169" s="6" t="s">
        <v>394</v>
      </c>
      <c r="M1169" s="256">
        <v>30</v>
      </c>
      <c r="N1169" s="256">
        <v>71</v>
      </c>
      <c r="O1169" s="256">
        <v>3</v>
      </c>
      <c r="P1169" s="257">
        <v>1</v>
      </c>
      <c r="Q1169" s="129">
        <v>83</v>
      </c>
      <c r="R1169" s="98">
        <v>0.50039999999999996</v>
      </c>
      <c r="S1169" s="94">
        <f>((Table3.110[[#This Row],[Sample weight, g]]*'2.1. DM'!Q249)/100)*1000</f>
        <v>473.51285362117977</v>
      </c>
      <c r="T1169" s="94">
        <f>'3.2 Digest'!W1169</f>
        <v>122.21285362117982</v>
      </c>
      <c r="U1169" s="153">
        <v>0.33333333333333331</v>
      </c>
      <c r="V1169" s="154">
        <v>41.5</v>
      </c>
      <c r="W1169" s="153">
        <v>0.66736111111111107</v>
      </c>
      <c r="X1169" s="91">
        <v>85</v>
      </c>
      <c r="Y1169" s="91">
        <v>13</v>
      </c>
      <c r="Z1169" s="154">
        <v>40.5</v>
      </c>
      <c r="AA1169" s="153">
        <v>0.33819444444444446</v>
      </c>
      <c r="AB1169" s="154">
        <v>79.5</v>
      </c>
      <c r="AC1169" s="154">
        <v>17.100000000000001</v>
      </c>
      <c r="AD1169" s="91"/>
      <c r="AE1169" s="94">
        <f>Table3.110[[#This Row],[Gas 8h, ml]]-Table3.110[[#This Row],[Gas 0h, ml]]</f>
        <v>43.5</v>
      </c>
      <c r="AF1169" s="94">
        <f>Table3.110[[#This Row],[Gas 24h, ml]]-Table3.110[[#This Row],[V8 Push back, ml]]</f>
        <v>39</v>
      </c>
      <c r="AG1169" s="94">
        <f>Table3.110[[#This Row],[GP 8h, ml]]-(AVERAGE(AE$1159,AE$1160,AE$1193,AE$1194,AE$1229,AE$1230))*$AG$8</f>
        <v>40.033723538635904</v>
      </c>
      <c r="AH1169" s="94">
        <f>Table3.110[[#This Row],[GP 8-24h, ml]]-(AVERAGE(AF$1159,AF$1160,AF$1193,AF$1194,AF$1229,AF$1230))*$AG$8</f>
        <v>34.685592064046816</v>
      </c>
      <c r="AI1169" s="94">
        <f>Table3.110[[#This Row],[Net gas 8-24h, ml]]+Table3.110[[#This Row],[Net gas 8h, ml]]</f>
        <v>74.719315602682713</v>
      </c>
      <c r="AJ1169" s="94">
        <f>Table3.110[[#This Row],[Net gas 8h, ml]]*Table3.110[[#This Row],[CH4 8h %]]%</f>
        <v>5.2043840600226678</v>
      </c>
      <c r="AK1169" s="94">
        <f>Table3.110[[#This Row],[Net gas 8-24h, ml]]*Table3.110[[#This Row],[CH4 24h, %]]%</f>
        <v>5.9312362429520062</v>
      </c>
      <c r="AL1169" s="94">
        <f>Table3.110[[#This Row],[CH4 8-24h, ml]]+Table3.110[[#This Row],[CH4 8h, ml]]</f>
        <v>11.135620302974674</v>
      </c>
      <c r="AM1169" s="94">
        <f>(Table3.110[[#This Row],[Net gas 24h, ml]]/Table3.110[[#This Row],[DM Incubated, mg]])*1000</f>
        <v>157.79786130675924</v>
      </c>
      <c r="AN1169" s="94">
        <f>'3.2 Digest'!X1169</f>
        <v>25.809828114814525</v>
      </c>
      <c r="AO1169" s="94">
        <f>Table3.110[[#This Row],[Digested feed, mg]]/Table3.110[[#This Row],[Net gas 24h, ml]]</f>
        <v>1.6356259775054993</v>
      </c>
      <c r="AP1169" s="94">
        <f>Table3.110[[#This Row],[CH4 8h, ml]]/Table3.110[[#This Row],[Net gas 8h, ml]]%</f>
        <v>13.000000000000002</v>
      </c>
      <c r="AQ1169" s="94">
        <f>Table3.110[[#This Row],[CH4 24h, ml]]/Table3.110[[#This Row],[Net gas 24h, ml]]%</f>
        <v>14.903268603513363</v>
      </c>
      <c r="AR1169" s="94">
        <f>Table3.110[[#This Row],[CH4 24h, ml]]/Table3.110[[#This Row],[DM Incubated, mg]]*1000</f>
        <v>23.51703912114581</v>
      </c>
      <c r="AS1169" s="94">
        <f>Table3.110[[#This Row],[CH4 24h, ml]]/Table3.110[[#This Row],[Digested feed, mg]]*1000</f>
        <v>91.116604948048135</v>
      </c>
      <c r="AT1169" s="255">
        <f>Table3.110[[#This Row],[CH4 24h, ml]]/'3.2 Digest'!AA1169</f>
        <v>-0.5081621962827727</v>
      </c>
      <c r="AU1169" s="255">
        <f>((Table3.110[[#This Row],[CH4 24h, ml]]/28.9)*16.04)/Table3.110[[#This Row],[DM Incubated, mg]]*1000</f>
        <v>13.052363581424872</v>
      </c>
      <c r="AV1169" s="255">
        <f>((Table3.110[[#This Row],[CH4 24h, ml]]/28.9)*16.04)/Table3.110[[#This Row],[Digested feed, mg]]*1000</f>
        <v>50.57129215801703</v>
      </c>
    </row>
    <row r="1170" spans="2:48" x14ac:dyDescent="0.35">
      <c r="B1170" s="90">
        <f t="shared" si="18"/>
        <v>1160</v>
      </c>
      <c r="C1170" s="140">
        <v>46085</v>
      </c>
      <c r="D1170" s="6" t="s">
        <v>16</v>
      </c>
      <c r="E1170" s="6" t="s">
        <v>395</v>
      </c>
      <c r="F1170" s="242" t="s">
        <v>240</v>
      </c>
      <c r="G1170" s="242" t="s">
        <v>396</v>
      </c>
      <c r="H1170" s="6" t="s">
        <v>397</v>
      </c>
      <c r="I1170" s="133" t="s">
        <v>22</v>
      </c>
      <c r="J1170" s="135" t="s">
        <v>23</v>
      </c>
      <c r="K1170" s="135" t="s">
        <v>215</v>
      </c>
      <c r="L1170" s="6" t="s">
        <v>394</v>
      </c>
      <c r="M1170" s="256">
        <v>30</v>
      </c>
      <c r="N1170" s="256">
        <v>71</v>
      </c>
      <c r="O1170" s="256">
        <v>3</v>
      </c>
      <c r="P1170" s="257">
        <v>2</v>
      </c>
      <c r="Q1170" s="6">
        <v>84</v>
      </c>
      <c r="R1170" s="98">
        <v>0.50009999999999999</v>
      </c>
      <c r="S1170" s="94">
        <f>((Table3.110[[#This Row],[Sample weight, g]]*'2.1. DM'!Q249)/100)*1000</f>
        <v>473.22897301349332</v>
      </c>
      <c r="T1170" s="94">
        <f>'3.2 Digest'!W1170</f>
        <v>99.828973013493226</v>
      </c>
      <c r="U1170" s="117">
        <v>0.33402777777777776</v>
      </c>
      <c r="V1170" s="155">
        <v>42</v>
      </c>
      <c r="W1170" s="117">
        <v>0.66736111111111107</v>
      </c>
      <c r="X1170" s="96">
        <v>83.5</v>
      </c>
      <c r="Y1170" s="96">
        <v>13.1</v>
      </c>
      <c r="Z1170" s="155">
        <v>40.5</v>
      </c>
      <c r="AA1170" s="117">
        <v>0.33819444444444446</v>
      </c>
      <c r="AB1170" s="155">
        <v>80.5</v>
      </c>
      <c r="AC1170" s="155">
        <v>17</v>
      </c>
      <c r="AD1170" s="96"/>
      <c r="AE1170" s="94">
        <f>Table3.110[[#This Row],[Gas 8h, ml]]-Table3.110[[#This Row],[Gas 0h, ml]]</f>
        <v>41.5</v>
      </c>
      <c r="AF1170" s="94">
        <f>Table3.110[[#This Row],[Gas 24h, ml]]-Table3.110[[#This Row],[V8 Push back, ml]]</f>
        <v>40</v>
      </c>
      <c r="AG1170" s="94">
        <f>Table3.110[[#This Row],[GP 8h, ml]]-(AVERAGE(AE$1159,AE$1160,AE$1193,AE$1194,AE$1229,AE$1230))*$AG$8</f>
        <v>38.033723538635904</v>
      </c>
      <c r="AH1170" s="94">
        <f>Table3.110[[#This Row],[GP 8-24h, ml]]-(AVERAGE(AF$1159,AF$1160,AF$1193,AF$1194,AF$1229,AF$1230))*$AG$8</f>
        <v>35.685592064046816</v>
      </c>
      <c r="AI1170" s="94">
        <f>Table3.110[[#This Row],[Net gas 8-24h, ml]]+Table3.110[[#This Row],[Net gas 8h, ml]]</f>
        <v>73.719315602682713</v>
      </c>
      <c r="AJ1170" s="94">
        <f>Table3.110[[#This Row],[Net gas 8h, ml]]*Table3.110[[#This Row],[CH4 8h %]]%</f>
        <v>4.9824177835613037</v>
      </c>
      <c r="AK1170" s="94">
        <f>Table3.110[[#This Row],[Net gas 8-24h, ml]]*Table3.110[[#This Row],[CH4 24h, %]]%</f>
        <v>6.066550650887959</v>
      </c>
      <c r="AL1170" s="94">
        <f>Table3.110[[#This Row],[CH4 8-24h, ml]]+Table3.110[[#This Row],[CH4 8h, ml]]</f>
        <v>11.048968434449263</v>
      </c>
      <c r="AM1170" s="94">
        <f>(Table3.110[[#This Row],[Net gas 24h, ml]]/Table3.110[[#This Row],[DM Incubated, mg]])*1000</f>
        <v>155.77937913066185</v>
      </c>
      <c r="AN1170" s="94">
        <f>'3.2 Digest'!X1170</f>
        <v>21.095279179080773</v>
      </c>
      <c r="AO1170" s="94">
        <f>Table3.110[[#This Row],[Digested feed, mg]]/Table3.110[[#This Row],[Net gas 24h, ml]]</f>
        <v>1.3541766116160248</v>
      </c>
      <c r="AP1170" s="94">
        <f>Table3.110[[#This Row],[CH4 8h, ml]]/Table3.110[[#This Row],[Net gas 8h, ml]]%</f>
        <v>13.1</v>
      </c>
      <c r="AQ1170" s="94">
        <f>Table3.110[[#This Row],[CH4 24h, ml]]/Table3.110[[#This Row],[Net gas 24h, ml]]%</f>
        <v>14.98788796955025</v>
      </c>
      <c r="AR1170" s="94">
        <f>Table3.110[[#This Row],[CH4 24h, ml]]/Table3.110[[#This Row],[DM Incubated, mg]]*1000</f>
        <v>23.348038823764536</v>
      </c>
      <c r="AS1170" s="94">
        <f>Table3.110[[#This Row],[CH4 24h, ml]]/Table3.110[[#This Row],[Digested feed, mg]]*1000</f>
        <v>110.67897526057736</v>
      </c>
      <c r="AT1170" s="255">
        <f>Table3.110[[#This Row],[CH4 24h, ml]]/'3.2 Digest'!AA1170</f>
        <v>-0.37251166874893327</v>
      </c>
      <c r="AU1170" s="255">
        <f>((Table3.110[[#This Row],[CH4 24h, ml]]/28.9)*16.04)/Table3.110[[#This Row],[DM Incubated, mg]]*1000</f>
        <v>12.958565492497687</v>
      </c>
      <c r="AV1170" s="255">
        <f>((Table3.110[[#This Row],[CH4 24h, ml]]/28.9)*16.04)/Table3.110[[#This Row],[Digested feed, mg]]*1000</f>
        <v>61.42874613078412</v>
      </c>
    </row>
    <row r="1171" spans="2:48" x14ac:dyDescent="0.35">
      <c r="B1171" s="90">
        <f t="shared" si="18"/>
        <v>1161</v>
      </c>
      <c r="C1171" s="140">
        <v>46085</v>
      </c>
      <c r="D1171" s="6" t="s">
        <v>16</v>
      </c>
      <c r="E1171" s="6" t="s">
        <v>399</v>
      </c>
      <c r="F1171" s="242" t="s">
        <v>240</v>
      </c>
      <c r="G1171" s="242" t="s">
        <v>400</v>
      </c>
      <c r="H1171" s="6" t="s">
        <v>401</v>
      </c>
      <c r="I1171" s="133" t="s">
        <v>22</v>
      </c>
      <c r="J1171" s="135" t="s">
        <v>23</v>
      </c>
      <c r="K1171" s="135" t="s">
        <v>215</v>
      </c>
      <c r="L1171" s="6" t="s">
        <v>398</v>
      </c>
      <c r="M1171" s="256">
        <v>30</v>
      </c>
      <c r="N1171" s="256">
        <v>71</v>
      </c>
      <c r="O1171" s="256">
        <v>3</v>
      </c>
      <c r="P1171" s="257">
        <v>1</v>
      </c>
      <c r="Q1171" s="129">
        <v>85</v>
      </c>
      <c r="R1171" s="98">
        <v>0.50029999999999997</v>
      </c>
      <c r="S1171" s="94">
        <f>((Table3.110[[#This Row],[Sample weight, g]]*'2.1. DM'!Q251)/100)*1000</f>
        <v>477.57158397910206</v>
      </c>
      <c r="T1171" s="94">
        <f>'3.2 Digest'!W1171</f>
        <v>74.37158397910207</v>
      </c>
      <c r="U1171" s="117">
        <v>0.33402777777777776</v>
      </c>
      <c r="V1171" s="155">
        <v>40.5</v>
      </c>
      <c r="W1171" s="117">
        <v>0.66805555555555551</v>
      </c>
      <c r="X1171" s="96">
        <v>68</v>
      </c>
      <c r="Y1171" s="96">
        <v>13.1</v>
      </c>
      <c r="Z1171" s="155">
        <v>40</v>
      </c>
      <c r="AA1171" s="117">
        <v>0.33888888888888891</v>
      </c>
      <c r="AB1171" s="155">
        <v>54.5</v>
      </c>
      <c r="AC1171" s="155">
        <v>15.2</v>
      </c>
      <c r="AD1171" s="96"/>
      <c r="AE1171" s="94">
        <f>Table3.110[[#This Row],[Gas 8h, ml]]-Table3.110[[#This Row],[Gas 0h, ml]]</f>
        <v>27.5</v>
      </c>
      <c r="AF1171" s="94">
        <f>Table3.110[[#This Row],[Gas 24h, ml]]-Table3.110[[#This Row],[V8 Push back, ml]]</f>
        <v>14.5</v>
      </c>
      <c r="AG1171" s="94">
        <f>Table3.110[[#This Row],[GP 8h, ml]]-(AVERAGE(AE$1159,AE$1160,AE$1193,AE$1194,AE$1229,AE$1230))*$AG$8</f>
        <v>24.0337235386359</v>
      </c>
      <c r="AH1171" s="94">
        <f>Table3.110[[#This Row],[GP 8-24h, ml]]-(AVERAGE(AF$1159,AF$1160,AF$1193,AF$1194,AF$1229,AF$1230))*$AG$8</f>
        <v>10.185592064046812</v>
      </c>
      <c r="AI1171" s="94">
        <f>Table3.110[[#This Row],[Net gas 8-24h, ml]]+Table3.110[[#This Row],[Net gas 8h, ml]]</f>
        <v>34.219315602682713</v>
      </c>
      <c r="AJ1171" s="94">
        <f>Table3.110[[#This Row],[Net gas 8h, ml]]*Table3.110[[#This Row],[CH4 8h %]]%</f>
        <v>3.1484177835613032</v>
      </c>
      <c r="AK1171" s="94">
        <f>Table3.110[[#This Row],[Net gas 8-24h, ml]]*Table3.110[[#This Row],[CH4 24h, %]]%</f>
        <v>1.5482099937351155</v>
      </c>
      <c r="AL1171" s="94">
        <f>Table3.110[[#This Row],[CH4 8-24h, ml]]+Table3.110[[#This Row],[CH4 8h, ml]]</f>
        <v>4.6966277772964187</v>
      </c>
      <c r="AM1171" s="94">
        <f>(Table3.110[[#This Row],[Net gas 24h, ml]]/Table3.110[[#This Row],[DM Incubated, mg]])*1000</f>
        <v>71.652746416713313</v>
      </c>
      <c r="AN1171" s="94">
        <f>'3.2 Digest'!X1171</f>
        <v>15.572866241211806</v>
      </c>
      <c r="AO1171" s="94">
        <f>Table3.110[[#This Row],[Digested feed, mg]]/Table3.110[[#This Row],[Net gas 24h, ml]]</f>
        <v>2.1733802289509119</v>
      </c>
      <c r="AP1171" s="94">
        <f>Table3.110[[#This Row],[CH4 8h, ml]]/Table3.110[[#This Row],[Net gas 8h, ml]]%</f>
        <v>13.100000000000001</v>
      </c>
      <c r="AQ1171" s="94">
        <f>Table3.110[[#This Row],[CH4 24h, ml]]/Table3.110[[#This Row],[Net gas 24h, ml]]%</f>
        <v>13.725078057751142</v>
      </c>
      <c r="AR1171" s="94">
        <f>Table3.110[[#This Row],[CH4 24h, ml]]/Table3.110[[#This Row],[DM Incubated, mg]]*1000</f>
        <v>9.8343953762163903</v>
      </c>
      <c r="AS1171" s="94">
        <f>Table3.110[[#This Row],[CH4 24h, ml]]/Table3.110[[#This Row],[Digested feed, mg]]*1000</f>
        <v>63.150837000004472</v>
      </c>
      <c r="AT1171" s="255">
        <f>Table3.110[[#This Row],[CH4 24h, ml]]/'3.2 Digest'!AA1171</f>
        <v>-9.3896231096642427E-2</v>
      </c>
      <c r="AU1171" s="255">
        <f>((Table3.110[[#This Row],[CH4 24h, ml]]/28.9)*16.04)/Table3.110[[#This Row],[DM Incubated, mg]]*1000</f>
        <v>5.4582595790488204</v>
      </c>
      <c r="AV1171" s="255">
        <f>((Table3.110[[#This Row],[CH4 24h, ml]]/28.9)*16.04)/Table3.110[[#This Row],[Digested feed, mg]]*1000</f>
        <v>35.049807110037086</v>
      </c>
    </row>
    <row r="1172" spans="2:48" x14ac:dyDescent="0.35">
      <c r="B1172" s="90">
        <f t="shared" si="18"/>
        <v>1162</v>
      </c>
      <c r="C1172" s="140">
        <v>46085</v>
      </c>
      <c r="D1172" s="6" t="s">
        <v>16</v>
      </c>
      <c r="E1172" s="6" t="s">
        <v>399</v>
      </c>
      <c r="F1172" s="242" t="s">
        <v>240</v>
      </c>
      <c r="G1172" s="242" t="s">
        <v>400</v>
      </c>
      <c r="H1172" s="6" t="s">
        <v>401</v>
      </c>
      <c r="I1172" s="133" t="s">
        <v>22</v>
      </c>
      <c r="J1172" s="135" t="s">
        <v>23</v>
      </c>
      <c r="K1172" s="135" t="s">
        <v>215</v>
      </c>
      <c r="L1172" s="6" t="s">
        <v>398</v>
      </c>
      <c r="M1172" s="256">
        <v>30</v>
      </c>
      <c r="N1172" s="256">
        <v>71</v>
      </c>
      <c r="O1172" s="256">
        <v>3</v>
      </c>
      <c r="P1172" s="257">
        <v>2</v>
      </c>
      <c r="Q1172" s="6">
        <v>86</v>
      </c>
      <c r="R1172" s="98">
        <v>0.50009999999999999</v>
      </c>
      <c r="S1172" s="94">
        <f>((Table3.110[[#This Row],[Sample weight, g]]*'2.1. DM'!Q251)/100)*1000</f>
        <v>477.38066989396157</v>
      </c>
      <c r="T1172" s="94">
        <f>'3.2 Digest'!W1172</f>
        <v>58.280669893961544</v>
      </c>
      <c r="U1172" s="153">
        <v>0.33402777777777776</v>
      </c>
      <c r="V1172" s="154">
        <v>40.5</v>
      </c>
      <c r="W1172" s="153">
        <v>0.66805555555555551</v>
      </c>
      <c r="X1172" s="91">
        <v>69</v>
      </c>
      <c r="Y1172" s="91">
        <v>12.7</v>
      </c>
      <c r="Z1172" s="154">
        <v>40</v>
      </c>
      <c r="AA1172" s="153">
        <v>0.33958333333333335</v>
      </c>
      <c r="AB1172" s="154">
        <v>54.5</v>
      </c>
      <c r="AC1172" s="154">
        <v>14.1</v>
      </c>
      <c r="AD1172" s="91"/>
      <c r="AE1172" s="94">
        <f>Table3.110[[#This Row],[Gas 8h, ml]]-Table3.110[[#This Row],[Gas 0h, ml]]</f>
        <v>28.5</v>
      </c>
      <c r="AF1172" s="94">
        <f>Table3.110[[#This Row],[Gas 24h, ml]]-Table3.110[[#This Row],[V8 Push back, ml]]</f>
        <v>14.5</v>
      </c>
      <c r="AG1172" s="94">
        <f>Table3.110[[#This Row],[GP 8h, ml]]-(AVERAGE(AE$1159,AE$1160,AE$1193,AE$1194,AE$1229,AE$1230))*$AG$8</f>
        <v>25.0337235386359</v>
      </c>
      <c r="AH1172" s="94">
        <f>Table3.110[[#This Row],[GP 8-24h, ml]]-(AVERAGE(AF$1159,AF$1160,AF$1193,AF$1194,AF$1229,AF$1230))*$AG$8</f>
        <v>10.185592064046812</v>
      </c>
      <c r="AI1172" s="94">
        <f>Table3.110[[#This Row],[Net gas 8-24h, ml]]+Table3.110[[#This Row],[Net gas 8h, ml]]</f>
        <v>35.219315602682713</v>
      </c>
      <c r="AJ1172" s="94">
        <f>Table3.110[[#This Row],[Net gas 8h, ml]]*Table3.110[[#This Row],[CH4 8h %]]%</f>
        <v>3.1792828894067595</v>
      </c>
      <c r="AK1172" s="94">
        <f>Table3.110[[#This Row],[Net gas 8-24h, ml]]*Table3.110[[#This Row],[CH4 24h, %]]%</f>
        <v>1.4361684810306004</v>
      </c>
      <c r="AL1172" s="94">
        <f>Table3.110[[#This Row],[CH4 8-24h, ml]]+Table3.110[[#This Row],[CH4 8h, ml]]</f>
        <v>4.6154513704373601</v>
      </c>
      <c r="AM1172" s="94">
        <f>(Table3.110[[#This Row],[Net gas 24h, ml]]/Table3.110[[#This Row],[DM Incubated, mg]])*1000</f>
        <v>73.776166116038638</v>
      </c>
      <c r="AN1172" s="94">
        <f>'3.2 Digest'!X1172</f>
        <v>12.208426852915341</v>
      </c>
      <c r="AO1172" s="94">
        <f>Table3.110[[#This Row],[Digested feed, mg]]/Table3.110[[#This Row],[Net gas 24h, ml]]</f>
        <v>1.6547928003894037</v>
      </c>
      <c r="AP1172" s="94">
        <f>Table3.110[[#This Row],[CH4 8h, ml]]/Table3.110[[#This Row],[Net gas 8h, ml]]%</f>
        <v>12.700000000000001</v>
      </c>
      <c r="AQ1172" s="94">
        <f>Table3.110[[#This Row],[CH4 24h, ml]]/Table3.110[[#This Row],[Net gas 24h, ml]]%</f>
        <v>13.104886598323887</v>
      </c>
      <c r="AR1172" s="94">
        <f>Table3.110[[#This Row],[CH4 24h, ml]]/Table3.110[[#This Row],[DM Incubated, mg]]*1000</f>
        <v>9.6682829060979145</v>
      </c>
      <c r="AS1172" s="94">
        <f>Table3.110[[#This Row],[CH4 24h, ml]]/Table3.110[[#This Row],[Digested feed, mg]]*1000</f>
        <v>79.193519546616713</v>
      </c>
      <c r="AT1172" s="255">
        <f>Table3.110[[#This Row],[CH4 24h, ml]]/'3.2 Digest'!AA1172</f>
        <v>-8.2422239358438218E-2</v>
      </c>
      <c r="AU1172" s="255">
        <f>((Table3.110[[#This Row],[CH4 24h, ml]]/28.9)*16.04)/Table3.110[[#This Row],[DM Incubated, mg]]*1000</f>
        <v>5.3660642842148976</v>
      </c>
      <c r="AV1172" s="255">
        <f>((Table3.110[[#This Row],[CH4 24h, ml]]/28.9)*16.04)/Table3.110[[#This Row],[Digested feed, mg]]*1000</f>
        <v>43.953773478468236</v>
      </c>
    </row>
    <row r="1173" spans="2:48" x14ac:dyDescent="0.35">
      <c r="B1173" s="90">
        <f t="shared" si="18"/>
        <v>1163</v>
      </c>
      <c r="C1173" s="140">
        <v>46085</v>
      </c>
      <c r="D1173" s="6" t="s">
        <v>16</v>
      </c>
      <c r="E1173" s="6" t="s">
        <v>403</v>
      </c>
      <c r="F1173" s="242" t="s">
        <v>212</v>
      </c>
      <c r="G1173" s="242" t="s">
        <v>404</v>
      </c>
      <c r="H1173" s="6" t="s">
        <v>405</v>
      </c>
      <c r="I1173" s="133" t="s">
        <v>22</v>
      </c>
      <c r="J1173" s="135" t="s">
        <v>23</v>
      </c>
      <c r="K1173" s="135" t="s">
        <v>215</v>
      </c>
      <c r="L1173" s="6" t="s">
        <v>402</v>
      </c>
      <c r="M1173" s="256">
        <v>30</v>
      </c>
      <c r="N1173" s="256">
        <v>71</v>
      </c>
      <c r="O1173" s="256">
        <v>3</v>
      </c>
      <c r="P1173" s="257">
        <v>1</v>
      </c>
      <c r="Q1173" s="129">
        <v>87</v>
      </c>
      <c r="R1173" s="98">
        <v>0.50009999999999999</v>
      </c>
      <c r="S1173" s="94">
        <f>((Table3.110[[#This Row],[Sample weight, g]]*'2.1. DM'!Q253)/100)*1000</f>
        <v>472.35000000000019</v>
      </c>
      <c r="T1173" s="94">
        <f>'3.2 Digest'!W1173</f>
        <v>93.150000000000205</v>
      </c>
      <c r="U1173" s="156">
        <v>0.3347222222222222</v>
      </c>
      <c r="V1173" s="154">
        <v>41</v>
      </c>
      <c r="W1173" s="153">
        <v>0.66874999999999996</v>
      </c>
      <c r="X1173" s="91">
        <v>74</v>
      </c>
      <c r="Y1173" s="91">
        <v>13.5</v>
      </c>
      <c r="Z1173" s="154">
        <v>40</v>
      </c>
      <c r="AA1173" s="153">
        <v>0.33958333333333335</v>
      </c>
      <c r="AB1173" s="154">
        <v>75</v>
      </c>
      <c r="AC1173" s="154">
        <v>16.5</v>
      </c>
      <c r="AD1173" s="91"/>
      <c r="AE1173" s="94">
        <f>Table3.110[[#This Row],[Gas 8h, ml]]-Table3.110[[#This Row],[Gas 0h, ml]]</f>
        <v>33</v>
      </c>
      <c r="AF1173" s="94">
        <f>Table3.110[[#This Row],[Gas 24h, ml]]-Table3.110[[#This Row],[V8 Push back, ml]]</f>
        <v>35</v>
      </c>
      <c r="AG1173" s="94">
        <f>Table3.110[[#This Row],[GP 8h, ml]]-(AVERAGE(AE$1159,AE$1160,AE$1193,AE$1194,AE$1229,AE$1230))*$AG$8</f>
        <v>29.5337235386359</v>
      </c>
      <c r="AH1173" s="94">
        <f>Table3.110[[#This Row],[GP 8-24h, ml]]-(AVERAGE(AF$1159,AF$1160,AF$1193,AF$1194,AF$1229,AF$1230))*$AG$8</f>
        <v>30.685592064046812</v>
      </c>
      <c r="AI1173" s="94">
        <f>Table3.110[[#This Row],[Net gas 8-24h, ml]]+Table3.110[[#This Row],[Net gas 8h, ml]]</f>
        <v>60.219315602682713</v>
      </c>
      <c r="AJ1173" s="94">
        <f>Table3.110[[#This Row],[Net gas 8h, ml]]*Table3.110[[#This Row],[CH4 8h %]]%</f>
        <v>3.9870526777158468</v>
      </c>
      <c r="AK1173" s="94">
        <f>Table3.110[[#This Row],[Net gas 8-24h, ml]]*Table3.110[[#This Row],[CH4 24h, %]]%</f>
        <v>5.0631226905677238</v>
      </c>
      <c r="AL1173" s="94">
        <f>Table3.110[[#This Row],[CH4 8-24h, ml]]+Table3.110[[#This Row],[CH4 8h, ml]]</f>
        <v>9.0501753682835702</v>
      </c>
      <c r="AM1173" s="94">
        <f>(Table3.110[[#This Row],[Net gas 24h, ml]]/Table3.110[[#This Row],[DM Incubated, mg]])*1000</f>
        <v>127.48875961190365</v>
      </c>
      <c r="AN1173" s="94">
        <f>'3.2 Digest'!X1173</f>
        <v>19.720546205144526</v>
      </c>
      <c r="AO1173" s="94">
        <f>Table3.110[[#This Row],[Digested feed, mg]]/Table3.110[[#This Row],[Net gas 24h, ml]]</f>
        <v>1.5468458760738633</v>
      </c>
      <c r="AP1173" s="94">
        <f>Table3.110[[#This Row],[CH4 8h, ml]]/Table3.110[[#This Row],[Net gas 8h, ml]]%</f>
        <v>13.5</v>
      </c>
      <c r="AQ1173" s="94">
        <f>Table3.110[[#This Row],[CH4 24h, ml]]/Table3.110[[#This Row],[Net gas 24h, ml]]%</f>
        <v>15.028691837009841</v>
      </c>
      <c r="AR1173" s="94">
        <f>Table3.110[[#This Row],[CH4 24h, ml]]/Table3.110[[#This Row],[DM Incubated, mg]]*1000</f>
        <v>19.159892808899261</v>
      </c>
      <c r="AS1173" s="94">
        <f>Table3.110[[#This Row],[CH4 24h, ml]]/Table3.110[[#This Row],[Digested feed, mg]]*1000</f>
        <v>97.157008784579176</v>
      </c>
      <c r="AT1173" s="255">
        <f>Table3.110[[#This Row],[CH4 24h, ml]]/'3.2 Digest'!AA1173</f>
        <v>-0.2865426392277487</v>
      </c>
      <c r="AU1173" s="255">
        <f>((Table3.110[[#This Row],[CH4 24h, ml]]/28.9)*16.04)/Table3.110[[#This Row],[DM Incubated, mg]]*1000</f>
        <v>10.634071994973844</v>
      </c>
      <c r="AV1173" s="255">
        <f>((Table3.110[[#This Row],[CH4 24h, ml]]/28.9)*16.04)/Table3.110[[#This Row],[Digested feed, mg]]*1000</f>
        <v>53.92382079254844</v>
      </c>
    </row>
    <row r="1174" spans="2:48" x14ac:dyDescent="0.35">
      <c r="B1174" s="90">
        <f t="shared" si="18"/>
        <v>1164</v>
      </c>
      <c r="C1174" s="140">
        <v>46085</v>
      </c>
      <c r="D1174" s="6" t="s">
        <v>16</v>
      </c>
      <c r="E1174" s="6" t="s">
        <v>403</v>
      </c>
      <c r="F1174" s="242" t="s">
        <v>212</v>
      </c>
      <c r="G1174" s="242" t="s">
        <v>404</v>
      </c>
      <c r="H1174" s="6" t="s">
        <v>405</v>
      </c>
      <c r="I1174" s="133" t="s">
        <v>22</v>
      </c>
      <c r="J1174" s="135" t="s">
        <v>23</v>
      </c>
      <c r="K1174" s="135" t="s">
        <v>215</v>
      </c>
      <c r="L1174" s="6" t="s">
        <v>402</v>
      </c>
      <c r="M1174" s="256">
        <v>30</v>
      </c>
      <c r="N1174" s="256">
        <v>71</v>
      </c>
      <c r="O1174" s="256">
        <v>3</v>
      </c>
      <c r="P1174" s="257">
        <v>2</v>
      </c>
      <c r="Q1174" s="6">
        <v>88</v>
      </c>
      <c r="R1174" s="98">
        <v>0.50029999999999997</v>
      </c>
      <c r="S1174" s="94">
        <f>((Table3.110[[#This Row],[Sample weight, g]]*'2.1. DM'!Q253)/100)*1000</f>
        <v>472.53890221955629</v>
      </c>
      <c r="T1174" s="94">
        <f>'3.2 Digest'!W1174</f>
        <v>101.83890221955625</v>
      </c>
      <c r="U1174" s="117">
        <v>0.3347222222222222</v>
      </c>
      <c r="V1174" s="155">
        <v>41.5</v>
      </c>
      <c r="W1174" s="117">
        <v>0.66874999999999996</v>
      </c>
      <c r="X1174" s="96">
        <v>74.5</v>
      </c>
      <c r="Y1174" s="96">
        <v>13.8</v>
      </c>
      <c r="Z1174" s="155">
        <v>40.5</v>
      </c>
      <c r="AA1174" s="117">
        <v>0.34027777777777779</v>
      </c>
      <c r="AB1174" s="155">
        <v>76.5</v>
      </c>
      <c r="AC1174" s="155">
        <v>16.8</v>
      </c>
      <c r="AD1174" s="96"/>
      <c r="AE1174" s="94">
        <f>Table3.110[[#This Row],[Gas 8h, ml]]-Table3.110[[#This Row],[Gas 0h, ml]]</f>
        <v>33</v>
      </c>
      <c r="AF1174" s="94">
        <f>Table3.110[[#This Row],[Gas 24h, ml]]-Table3.110[[#This Row],[V8 Push back, ml]]</f>
        <v>36</v>
      </c>
      <c r="AG1174" s="94">
        <f>Table3.110[[#This Row],[GP 8h, ml]]-(AVERAGE(AE$1159,AE$1160,AE$1193,AE$1194,AE$1229,AE$1230))*$AG$8</f>
        <v>29.5337235386359</v>
      </c>
      <c r="AH1174" s="94">
        <f>Table3.110[[#This Row],[GP 8-24h, ml]]-(AVERAGE(AF$1159,AF$1160,AF$1193,AF$1194,AF$1229,AF$1230))*$AG$8</f>
        <v>31.685592064046812</v>
      </c>
      <c r="AI1174" s="94">
        <f>Table3.110[[#This Row],[Net gas 8-24h, ml]]+Table3.110[[#This Row],[Net gas 8h, ml]]</f>
        <v>61.219315602682713</v>
      </c>
      <c r="AJ1174" s="94">
        <f>Table3.110[[#This Row],[Net gas 8h, ml]]*Table3.110[[#This Row],[CH4 8h %]]%</f>
        <v>4.075653848331755</v>
      </c>
      <c r="AK1174" s="94">
        <f>Table3.110[[#This Row],[Net gas 8-24h, ml]]*Table3.110[[#This Row],[CH4 24h, %]]%</f>
        <v>5.3231794667598651</v>
      </c>
      <c r="AL1174" s="94">
        <f>Table3.110[[#This Row],[CH4 8-24h, ml]]+Table3.110[[#This Row],[CH4 8h, ml]]</f>
        <v>9.3988333150916201</v>
      </c>
      <c r="AM1174" s="94">
        <f>(Table3.110[[#This Row],[Net gas 24h, ml]]/Table3.110[[#This Row],[DM Incubated, mg]])*1000</f>
        <v>129.55402256857639</v>
      </c>
      <c r="AN1174" s="94">
        <f>'3.2 Digest'!X1174</f>
        <v>21.55143243047505</v>
      </c>
      <c r="AO1174" s="94">
        <f>Table3.110[[#This Row],[Digested feed, mg]]/Table3.110[[#This Row],[Net gas 24h, ml]]</f>
        <v>1.6635093224579194</v>
      </c>
      <c r="AP1174" s="94">
        <f>Table3.110[[#This Row],[CH4 8h, ml]]/Table3.110[[#This Row],[Net gas 8h, ml]]%</f>
        <v>13.8</v>
      </c>
      <c r="AQ1174" s="94">
        <f>Table3.110[[#This Row],[CH4 24h, ml]]/Table3.110[[#This Row],[Net gas 24h, ml]]%</f>
        <v>15.352725234778271</v>
      </c>
      <c r="AR1174" s="94">
        <f>Table3.110[[#This Row],[CH4 24h, ml]]/Table3.110[[#This Row],[DM Incubated, mg]]*1000</f>
        <v>19.890073115556167</v>
      </c>
      <c r="AS1174" s="94">
        <f>Table3.110[[#This Row],[CH4 24h, ml]]/Table3.110[[#This Row],[Digested feed, mg]]*1000</f>
        <v>92.291188438270012</v>
      </c>
      <c r="AT1174" s="255">
        <f>Table3.110[[#This Row],[CH4 24h, ml]]/'3.2 Digest'!AA1174</f>
        <v>-0.32882502116220358</v>
      </c>
      <c r="AU1174" s="255">
        <f>((Table3.110[[#This Row],[CH4 24h, ml]]/28.9)*16.04)/Table3.110[[#This Row],[DM Incubated, mg]]*1000</f>
        <v>11.039334698045707</v>
      </c>
      <c r="AV1174" s="255">
        <f>((Table3.110[[#This Row],[CH4 24h, ml]]/28.9)*16.04)/Table3.110[[#This Row],[Digested feed, mg]]*1000</f>
        <v>51.22320631660385</v>
      </c>
    </row>
    <row r="1175" spans="2:48" x14ac:dyDescent="0.35">
      <c r="B1175" s="90">
        <f t="shared" si="18"/>
        <v>1165</v>
      </c>
      <c r="C1175" s="140">
        <v>46085</v>
      </c>
      <c r="D1175" s="6" t="s">
        <v>16</v>
      </c>
      <c r="E1175" s="6" t="s">
        <v>407</v>
      </c>
      <c r="F1175" s="242" t="s">
        <v>226</v>
      </c>
      <c r="G1175" s="242" t="s">
        <v>231</v>
      </c>
      <c r="H1175" s="6" t="s">
        <v>232</v>
      </c>
      <c r="I1175" s="133" t="s">
        <v>22</v>
      </c>
      <c r="J1175" s="135" t="s">
        <v>23</v>
      </c>
      <c r="K1175" s="135" t="s">
        <v>215</v>
      </c>
      <c r="L1175" s="6" t="s">
        <v>406</v>
      </c>
      <c r="M1175" s="256">
        <v>30</v>
      </c>
      <c r="N1175" s="256">
        <v>71</v>
      </c>
      <c r="O1175" s="256">
        <v>3</v>
      </c>
      <c r="P1175" s="257">
        <v>1</v>
      </c>
      <c r="Q1175" s="129">
        <v>89</v>
      </c>
      <c r="R1175" s="98">
        <v>0.50019999999999998</v>
      </c>
      <c r="S1175" s="94">
        <f>((Table3.110[[#This Row],[Sample weight, g]]*'2.1. DM'!Q255)/100)*1000</f>
        <v>473.62632433783148</v>
      </c>
      <c r="T1175" s="94">
        <f>'3.2 Digest'!W1175</f>
        <v>149.32632433783147</v>
      </c>
      <c r="U1175" s="117">
        <v>0.3347222222222222</v>
      </c>
      <c r="V1175" s="155">
        <v>40</v>
      </c>
      <c r="W1175" s="117">
        <v>0.66874999999999996</v>
      </c>
      <c r="X1175" s="96">
        <v>82</v>
      </c>
      <c r="Y1175" s="96">
        <v>13.3</v>
      </c>
      <c r="Z1175" s="155">
        <v>40.5</v>
      </c>
      <c r="AA1175" s="117">
        <v>0.34027777777777779</v>
      </c>
      <c r="AB1175" s="155">
        <v>83</v>
      </c>
      <c r="AC1175" s="155">
        <v>16.5</v>
      </c>
      <c r="AD1175" s="96"/>
      <c r="AE1175" s="94">
        <f>Table3.110[[#This Row],[Gas 8h, ml]]-Table3.110[[#This Row],[Gas 0h, ml]]</f>
        <v>42</v>
      </c>
      <c r="AF1175" s="94">
        <f>Table3.110[[#This Row],[Gas 24h, ml]]-Table3.110[[#This Row],[V8 Push back, ml]]</f>
        <v>42.5</v>
      </c>
      <c r="AG1175" s="94">
        <f>Table3.110[[#This Row],[GP 8h, ml]]-(AVERAGE(AE$1159,AE$1160,AE$1193,AE$1194,AE$1229,AE$1230))*$AG$8</f>
        <v>38.533723538635904</v>
      </c>
      <c r="AH1175" s="94">
        <f>Table3.110[[#This Row],[GP 8-24h, ml]]-(AVERAGE(AF$1159,AF$1160,AF$1193,AF$1194,AF$1229,AF$1230))*$AG$8</f>
        <v>38.185592064046816</v>
      </c>
      <c r="AI1175" s="94">
        <f>Table3.110[[#This Row],[Net gas 8-24h, ml]]+Table3.110[[#This Row],[Net gas 8h, ml]]</f>
        <v>76.719315602682713</v>
      </c>
      <c r="AJ1175" s="94">
        <f>Table3.110[[#This Row],[Net gas 8h, ml]]*Table3.110[[#This Row],[CH4 8h %]]%</f>
        <v>5.1249852306385755</v>
      </c>
      <c r="AK1175" s="94">
        <f>Table3.110[[#This Row],[Net gas 8-24h, ml]]*Table3.110[[#This Row],[CH4 24h, %]]%</f>
        <v>6.3006226905677245</v>
      </c>
      <c r="AL1175" s="94">
        <f>Table3.110[[#This Row],[CH4 8-24h, ml]]+Table3.110[[#This Row],[CH4 8h, ml]]</f>
        <v>11.4256079212063</v>
      </c>
      <c r="AM1175" s="94">
        <f>(Table3.110[[#This Row],[Net gas 24h, ml]]/Table3.110[[#This Row],[DM Incubated, mg]])*1000</f>
        <v>161.98279457955093</v>
      </c>
      <c r="AN1175" s="94">
        <f>'3.2 Digest'!X1175</f>
        <v>31.528299138904902</v>
      </c>
      <c r="AO1175" s="94">
        <f>Table3.110[[#This Row],[Digested feed, mg]]/Table3.110[[#This Row],[Net gas 24h, ml]]</f>
        <v>1.9463980246013801</v>
      </c>
      <c r="AP1175" s="94">
        <f>Table3.110[[#This Row],[CH4 8h, ml]]/Table3.110[[#This Row],[Net gas 8h, ml]]%</f>
        <v>13.3</v>
      </c>
      <c r="AQ1175" s="94">
        <f>Table3.110[[#This Row],[CH4 24h, ml]]/Table3.110[[#This Row],[Net gas 24h, ml]]%</f>
        <v>14.892739633363949</v>
      </c>
      <c r="AR1175" s="94">
        <f>Table3.110[[#This Row],[CH4 24h, ml]]/Table3.110[[#This Row],[DM Incubated, mg]]*1000</f>
        <v>24.123675847579289</v>
      </c>
      <c r="AS1175" s="94">
        <f>Table3.110[[#This Row],[CH4 24h, ml]]/Table3.110[[#This Row],[Digested feed, mg]]*1000</f>
        <v>76.514358549115173</v>
      </c>
      <c r="AT1175" s="255">
        <f>Table3.110[[#This Row],[CH4 24h, ml]]/'3.2 Digest'!AA1175</f>
        <v>-0.34023212911627282</v>
      </c>
      <c r="AU1175" s="255">
        <f>((Table3.110[[#This Row],[CH4 24h, ml]]/28.9)*16.04)/Table3.110[[#This Row],[DM Incubated, mg]]*1000</f>
        <v>13.389057460040547</v>
      </c>
      <c r="AV1175" s="255">
        <f>((Table3.110[[#This Row],[CH4 24h, ml]]/28.9)*16.04)/Table3.110[[#This Row],[Digested feed, mg]]*1000</f>
        <v>42.466792772588491</v>
      </c>
    </row>
    <row r="1176" spans="2:48" x14ac:dyDescent="0.35">
      <c r="B1176" s="90">
        <f t="shared" si="18"/>
        <v>1166</v>
      </c>
      <c r="C1176" s="140">
        <v>46085</v>
      </c>
      <c r="D1176" s="6" t="s">
        <v>16</v>
      </c>
      <c r="E1176" s="6" t="s">
        <v>407</v>
      </c>
      <c r="F1176" s="242" t="s">
        <v>226</v>
      </c>
      <c r="G1176" s="242" t="s">
        <v>231</v>
      </c>
      <c r="H1176" s="6" t="s">
        <v>232</v>
      </c>
      <c r="I1176" s="133" t="s">
        <v>22</v>
      </c>
      <c r="J1176" s="135" t="s">
        <v>23</v>
      </c>
      <c r="K1176" s="135" t="s">
        <v>215</v>
      </c>
      <c r="L1176" s="6" t="s">
        <v>406</v>
      </c>
      <c r="M1176" s="256">
        <v>30</v>
      </c>
      <c r="N1176" s="256">
        <v>71</v>
      </c>
      <c r="O1176" s="256">
        <v>3</v>
      </c>
      <c r="P1176" s="257">
        <v>2</v>
      </c>
      <c r="Q1176" s="129">
        <v>90</v>
      </c>
      <c r="R1176" s="98">
        <v>0.50019999999999998</v>
      </c>
      <c r="S1176" s="94">
        <f>((Table3.110[[#This Row],[Sample weight, g]]*'2.1. DM'!Q255)/100)*1000</f>
        <v>473.62632433783148</v>
      </c>
      <c r="T1176" s="94">
        <f>'3.2 Digest'!W1176</f>
        <v>171.92632433783149</v>
      </c>
      <c r="U1176" s="153">
        <v>0.33541666666666664</v>
      </c>
      <c r="V1176" s="154">
        <v>40</v>
      </c>
      <c r="W1176" s="153">
        <v>0.6694444444444444</v>
      </c>
      <c r="X1176" s="91">
        <v>82</v>
      </c>
      <c r="Y1176" s="91">
        <v>13.5</v>
      </c>
      <c r="Z1176" s="154">
        <v>40.5</v>
      </c>
      <c r="AA1176" s="153">
        <v>0.34097222222222223</v>
      </c>
      <c r="AB1176" s="154">
        <v>81.5</v>
      </c>
      <c r="AC1176" s="154">
        <v>16.7</v>
      </c>
      <c r="AD1176" s="91"/>
      <c r="AE1176" s="94">
        <f>Table3.110[[#This Row],[Gas 8h, ml]]-Table3.110[[#This Row],[Gas 0h, ml]]</f>
        <v>42</v>
      </c>
      <c r="AF1176" s="94">
        <f>Table3.110[[#This Row],[Gas 24h, ml]]-Table3.110[[#This Row],[V8 Push back, ml]]</f>
        <v>41</v>
      </c>
      <c r="AG1176" s="94">
        <f>Table3.110[[#This Row],[GP 8h, ml]]-(AVERAGE(AE$1159,AE$1160,AE$1193,AE$1194,AE$1229,AE$1230))*$AG$8</f>
        <v>38.533723538635904</v>
      </c>
      <c r="AH1176" s="94">
        <f>Table3.110[[#This Row],[GP 8-24h, ml]]-(AVERAGE(AF$1159,AF$1160,AF$1193,AF$1194,AF$1229,AF$1230))*$AG$8</f>
        <v>36.685592064046816</v>
      </c>
      <c r="AI1176" s="94">
        <f>Table3.110[[#This Row],[Net gas 8-24h, ml]]+Table3.110[[#This Row],[Net gas 8h, ml]]</f>
        <v>75.219315602682713</v>
      </c>
      <c r="AJ1176" s="94">
        <f>Table3.110[[#This Row],[Net gas 8h, ml]]*Table3.110[[#This Row],[CH4 8h %]]%</f>
        <v>5.2020526777158471</v>
      </c>
      <c r="AK1176" s="94">
        <f>Table3.110[[#This Row],[Net gas 8-24h, ml]]*Table3.110[[#This Row],[CH4 24h, %]]%</f>
        <v>6.126493874695818</v>
      </c>
      <c r="AL1176" s="94">
        <f>Table3.110[[#This Row],[CH4 8-24h, ml]]+Table3.110[[#This Row],[CH4 8h, ml]]</f>
        <v>11.328546552411666</v>
      </c>
      <c r="AM1176" s="94">
        <f>(Table3.110[[#This Row],[Net gas 24h, ml]]/Table3.110[[#This Row],[DM Incubated, mg]])*1000</f>
        <v>158.81574088569823</v>
      </c>
      <c r="AN1176" s="94">
        <f>'3.2 Digest'!X1176</f>
        <v>36.299993370976289</v>
      </c>
      <c r="AO1176" s="94">
        <f>Table3.110[[#This Row],[Digested feed, mg]]/Table3.110[[#This Row],[Net gas 24h, ml]]</f>
        <v>2.2856672247055076</v>
      </c>
      <c r="AP1176" s="94">
        <f>Table3.110[[#This Row],[CH4 8h, ml]]/Table3.110[[#This Row],[Net gas 8h, ml]]%</f>
        <v>13.5</v>
      </c>
      <c r="AQ1176" s="94">
        <f>Table3.110[[#This Row],[CH4 24h, ml]]/Table3.110[[#This Row],[Net gas 24h, ml]]%</f>
        <v>15.060688151232835</v>
      </c>
      <c r="AR1176" s="94">
        <f>Table3.110[[#This Row],[CH4 24h, ml]]/Table3.110[[#This Row],[DM Incubated, mg]]*1000</f>
        <v>23.918743469864992</v>
      </c>
      <c r="AS1176" s="94">
        <f>Table3.110[[#This Row],[CH4 24h, ml]]/Table3.110[[#This Row],[Digested feed, mg]]*1000</f>
        <v>65.891867321907711</v>
      </c>
      <c r="AT1176" s="255">
        <f>Table3.110[[#This Row],[CH4 24h, ml]]/'3.2 Digest'!AA1176</f>
        <v>-0.46672008645991131</v>
      </c>
      <c r="AU1176" s="255">
        <f>((Table3.110[[#This Row],[CH4 24h, ml]]/28.9)*16.04)/Table3.110[[#This Row],[DM Incubated, mg]]*1000</f>
        <v>13.275316444866245</v>
      </c>
      <c r="AV1176" s="255">
        <f>((Table3.110[[#This Row],[CH4 24h, ml]]/28.9)*16.04)/Table3.110[[#This Row],[Digested feed, mg]]*1000</f>
        <v>36.571126361363319</v>
      </c>
    </row>
    <row r="1177" spans="2:48" x14ac:dyDescent="0.35">
      <c r="B1177" s="90">
        <f t="shared" si="18"/>
        <v>1167</v>
      </c>
      <c r="C1177" s="140">
        <v>46085</v>
      </c>
      <c r="D1177" s="6" t="s">
        <v>16</v>
      </c>
      <c r="E1177" s="6" t="s">
        <v>409</v>
      </c>
      <c r="F1177" s="242" t="s">
        <v>290</v>
      </c>
      <c r="G1177" s="242" t="s">
        <v>314</v>
      </c>
      <c r="H1177" s="6" t="s">
        <v>315</v>
      </c>
      <c r="I1177" s="133" t="s">
        <v>22</v>
      </c>
      <c r="J1177" s="135" t="s">
        <v>23</v>
      </c>
      <c r="K1177" s="135" t="s">
        <v>215</v>
      </c>
      <c r="L1177" s="6" t="s">
        <v>408</v>
      </c>
      <c r="M1177" s="256">
        <v>30</v>
      </c>
      <c r="N1177" s="256">
        <v>71</v>
      </c>
      <c r="O1177" s="256">
        <v>3</v>
      </c>
      <c r="P1177" s="257">
        <v>1</v>
      </c>
      <c r="Q1177" s="6">
        <v>91</v>
      </c>
      <c r="R1177" s="98">
        <v>0.50019999999999998</v>
      </c>
      <c r="S1177" s="94">
        <f>((Table3.110[[#This Row],[Sample weight, g]]*'2.1. DM'!Q257)/100)*1000</f>
        <v>470.27352544236692</v>
      </c>
      <c r="T1177" s="94">
        <f>'3.2 Digest'!W1177</f>
        <v>185.37352544236688</v>
      </c>
      <c r="U1177" s="153">
        <v>0.33541666666666664</v>
      </c>
      <c r="V1177" s="154">
        <v>41</v>
      </c>
      <c r="W1177" s="153">
        <v>0.6694444444444444</v>
      </c>
      <c r="X1177" s="91">
        <v>73.5</v>
      </c>
      <c r="Y1177" s="91">
        <v>13.2</v>
      </c>
      <c r="Z1177" s="154">
        <v>40.5</v>
      </c>
      <c r="AA1177" s="153">
        <v>0.34166666666666667</v>
      </c>
      <c r="AB1177" s="154">
        <v>87</v>
      </c>
      <c r="AC1177" s="154">
        <v>15.6</v>
      </c>
      <c r="AD1177" s="91"/>
      <c r="AE1177" s="94">
        <f>Table3.110[[#This Row],[Gas 8h, ml]]-Table3.110[[#This Row],[Gas 0h, ml]]</f>
        <v>32.5</v>
      </c>
      <c r="AF1177" s="94">
        <f>Table3.110[[#This Row],[Gas 24h, ml]]-Table3.110[[#This Row],[V8 Push back, ml]]</f>
        <v>46.5</v>
      </c>
      <c r="AG1177" s="94">
        <f>Table3.110[[#This Row],[GP 8h, ml]]-(AVERAGE(AE$1159,AE$1160,AE$1193,AE$1194,AE$1229,AE$1230))*$AG$8</f>
        <v>29.0337235386359</v>
      </c>
      <c r="AH1177" s="94">
        <f>Table3.110[[#This Row],[GP 8-24h, ml]]-(AVERAGE(AF$1159,AF$1160,AF$1193,AF$1194,AF$1229,AF$1230))*$AG$8</f>
        <v>42.185592064046816</v>
      </c>
      <c r="AI1177" s="94">
        <f>Table3.110[[#This Row],[Net gas 8-24h, ml]]+Table3.110[[#This Row],[Net gas 8h, ml]]</f>
        <v>71.219315602682713</v>
      </c>
      <c r="AJ1177" s="94">
        <f>Table3.110[[#This Row],[Net gas 8h, ml]]*Table3.110[[#This Row],[CH4 8h %]]%</f>
        <v>3.8324515070999392</v>
      </c>
      <c r="AK1177" s="94">
        <f>Table3.110[[#This Row],[Net gas 8-24h, ml]]*Table3.110[[#This Row],[CH4 24h, %]]%</f>
        <v>6.5809523619913035</v>
      </c>
      <c r="AL1177" s="94">
        <f>Table3.110[[#This Row],[CH4 8-24h, ml]]+Table3.110[[#This Row],[CH4 8h, ml]]</f>
        <v>10.413403869091242</v>
      </c>
      <c r="AM1177" s="94">
        <f>(Table3.110[[#This Row],[Net gas 24h, ml]]/Table3.110[[#This Row],[DM Incubated, mg]])*1000</f>
        <v>151.44232398727874</v>
      </c>
      <c r="AN1177" s="94">
        <f>'3.2 Digest'!X1177</f>
        <v>39.418235433941057</v>
      </c>
      <c r="AO1177" s="94">
        <f>Table3.110[[#This Row],[Digested feed, mg]]/Table3.110[[#This Row],[Net gas 24h, ml]]</f>
        <v>2.6028546311302123</v>
      </c>
      <c r="AP1177" s="94">
        <f>Table3.110[[#This Row],[CH4 8h, ml]]/Table3.110[[#This Row],[Net gas 8h, ml]]%</f>
        <v>13.2</v>
      </c>
      <c r="AQ1177" s="94">
        <f>Table3.110[[#This Row],[CH4 24h, ml]]/Table3.110[[#This Row],[Net gas 24h, ml]]%</f>
        <v>14.621600588224393</v>
      </c>
      <c r="AR1177" s="94">
        <f>Table3.110[[#This Row],[CH4 24h, ml]]/Table3.110[[#This Row],[DM Incubated, mg]]*1000</f>
        <v>22.143291734944643</v>
      </c>
      <c r="AS1177" s="94">
        <f>Table3.110[[#This Row],[CH4 24h, ml]]/Table3.110[[#This Row],[Digested feed, mg]]*1000</f>
        <v>56.175248564978048</v>
      </c>
      <c r="AT1177" s="255">
        <f>Table3.110[[#This Row],[CH4 24h, ml]]/'3.2 Digest'!AA1177</f>
        <v>-0.30661604841301332</v>
      </c>
      <c r="AU1177" s="255">
        <f>((Table3.110[[#This Row],[CH4 24h, ml]]/28.9)*16.04)/Table3.110[[#This Row],[DM Incubated, mg]]*1000</f>
        <v>12.289910014827406</v>
      </c>
      <c r="AV1177" s="255">
        <f>((Table3.110[[#This Row],[CH4 24h, ml]]/28.9)*16.04)/Table3.110[[#This Row],[Digested feed, mg]]*1000</f>
        <v>31.178234843676396</v>
      </c>
    </row>
    <row r="1178" spans="2:48" x14ac:dyDescent="0.35">
      <c r="B1178" s="90">
        <f t="shared" si="18"/>
        <v>1168</v>
      </c>
      <c r="C1178" s="140">
        <v>46085</v>
      </c>
      <c r="D1178" s="6" t="s">
        <v>16</v>
      </c>
      <c r="E1178" s="6" t="s">
        <v>409</v>
      </c>
      <c r="F1178" s="242" t="s">
        <v>290</v>
      </c>
      <c r="G1178" s="242" t="s">
        <v>314</v>
      </c>
      <c r="H1178" s="6" t="s">
        <v>315</v>
      </c>
      <c r="I1178" s="133" t="s">
        <v>22</v>
      </c>
      <c r="J1178" s="135" t="s">
        <v>23</v>
      </c>
      <c r="K1178" s="135" t="s">
        <v>215</v>
      </c>
      <c r="L1178" s="6" t="s">
        <v>408</v>
      </c>
      <c r="M1178" s="256">
        <v>30</v>
      </c>
      <c r="N1178" s="256">
        <v>71</v>
      </c>
      <c r="O1178" s="256">
        <v>3</v>
      </c>
      <c r="P1178" s="257">
        <v>2</v>
      </c>
      <c r="Q1178" s="129">
        <v>92</v>
      </c>
      <c r="R1178" s="98">
        <v>0.5</v>
      </c>
      <c r="S1178" s="94">
        <f>((Table3.110[[#This Row],[Sample weight, g]]*'2.1. DM'!Q257)/100)*1000</f>
        <v>470.08549124586858</v>
      </c>
      <c r="T1178" s="94">
        <f>'3.2 Digest'!W1178</f>
        <v>176.58549124586858</v>
      </c>
      <c r="U1178" s="117">
        <v>0.33541666666666664</v>
      </c>
      <c r="V1178" s="155">
        <v>41</v>
      </c>
      <c r="W1178" s="117">
        <v>0.67013888888888884</v>
      </c>
      <c r="X1178" s="96">
        <v>72</v>
      </c>
      <c r="Y1178" s="96">
        <v>12.8</v>
      </c>
      <c r="Z1178" s="155">
        <v>40.5</v>
      </c>
      <c r="AA1178" s="117">
        <v>0.34166666666666667</v>
      </c>
      <c r="AB1178" s="155">
        <v>87</v>
      </c>
      <c r="AC1178" s="155">
        <v>15.5</v>
      </c>
      <c r="AD1178" s="96"/>
      <c r="AE1178" s="94">
        <f>Table3.110[[#This Row],[Gas 8h, ml]]-Table3.110[[#This Row],[Gas 0h, ml]]</f>
        <v>31</v>
      </c>
      <c r="AF1178" s="94">
        <f>Table3.110[[#This Row],[Gas 24h, ml]]-Table3.110[[#This Row],[V8 Push back, ml]]</f>
        <v>46.5</v>
      </c>
      <c r="AG1178" s="94">
        <f>Table3.110[[#This Row],[GP 8h, ml]]-(AVERAGE(AE$1159,AE$1160,AE$1193,AE$1194,AE$1229,AE$1230))*$AG$8</f>
        <v>27.5337235386359</v>
      </c>
      <c r="AH1178" s="94">
        <f>Table3.110[[#This Row],[GP 8-24h, ml]]-(AVERAGE(AF$1159,AF$1160,AF$1193,AF$1194,AF$1229,AF$1230))*$AG$8</f>
        <v>42.185592064046816</v>
      </c>
      <c r="AI1178" s="94">
        <f>Table3.110[[#This Row],[Net gas 8-24h, ml]]+Table3.110[[#This Row],[Net gas 8h, ml]]</f>
        <v>69.719315602682713</v>
      </c>
      <c r="AJ1178" s="94">
        <f>Table3.110[[#This Row],[Net gas 8h, ml]]*Table3.110[[#This Row],[CH4 8h %]]%</f>
        <v>3.5243166129453956</v>
      </c>
      <c r="AK1178" s="94">
        <f>Table3.110[[#This Row],[Net gas 8-24h, ml]]*Table3.110[[#This Row],[CH4 24h, %]]%</f>
        <v>6.538766769927256</v>
      </c>
      <c r="AL1178" s="94">
        <f>Table3.110[[#This Row],[CH4 8-24h, ml]]+Table3.110[[#This Row],[CH4 8h, ml]]</f>
        <v>10.063083382872652</v>
      </c>
      <c r="AM1178" s="94">
        <f>(Table3.110[[#This Row],[Net gas 24h, ml]]/Table3.110[[#This Row],[DM Incubated, mg]])*1000</f>
        <v>148.31199196959997</v>
      </c>
      <c r="AN1178" s="94">
        <f>'3.2 Digest'!X1178</f>
        <v>37.564548265011041</v>
      </c>
      <c r="AO1178" s="94">
        <f>Table3.110[[#This Row],[Digested feed, mg]]/Table3.110[[#This Row],[Net gas 24h, ml]]</f>
        <v>2.5328058618962372</v>
      </c>
      <c r="AP1178" s="94">
        <f>Table3.110[[#This Row],[CH4 8h, ml]]/Table3.110[[#This Row],[Net gas 8h, ml]]%</f>
        <v>12.8</v>
      </c>
      <c r="AQ1178" s="94">
        <f>Table3.110[[#This Row],[CH4 24h, ml]]/Table3.110[[#This Row],[Net gas 24h, ml]]%</f>
        <v>14.433709361434749</v>
      </c>
      <c r="AR1178" s="94">
        <f>Table3.110[[#This Row],[CH4 24h, ml]]/Table3.110[[#This Row],[DM Incubated, mg]]*1000</f>
        <v>21.406921869046499</v>
      </c>
      <c r="AS1178" s="94">
        <f>Table3.110[[#This Row],[CH4 24h, ml]]/Table3.110[[#This Row],[Digested feed, mg]]*1000</f>
        <v>56.987033939619259</v>
      </c>
      <c r="AT1178" s="255">
        <f>Table3.110[[#This Row],[CH4 24h, ml]]/'3.2 Digest'!AA1178</f>
        <v>-0.26439111882749206</v>
      </c>
      <c r="AU1178" s="255">
        <f>((Table3.110[[#This Row],[CH4 24h, ml]]/28.9)*16.04)/Table3.110[[#This Row],[DM Incubated, mg]]*1000</f>
        <v>11.88121199929086</v>
      </c>
      <c r="AV1178" s="255">
        <f>((Table3.110[[#This Row],[CH4 24h, ml]]/28.9)*16.04)/Table3.110[[#This Row],[Digested feed, mg]]*1000</f>
        <v>31.628789771331935</v>
      </c>
    </row>
    <row r="1179" spans="2:48" x14ac:dyDescent="0.35">
      <c r="B1179" s="90">
        <f t="shared" si="18"/>
        <v>1169</v>
      </c>
      <c r="C1179" s="140">
        <v>46085</v>
      </c>
      <c r="D1179" s="6" t="s">
        <v>16</v>
      </c>
      <c r="E1179" s="6" t="s">
        <v>411</v>
      </c>
      <c r="F1179" s="242" t="s">
        <v>264</v>
      </c>
      <c r="G1179" s="242" t="s">
        <v>412</v>
      </c>
      <c r="H1179" s="6" t="s">
        <v>413</v>
      </c>
      <c r="I1179" s="133" t="s">
        <v>22</v>
      </c>
      <c r="J1179" s="135" t="s">
        <v>23</v>
      </c>
      <c r="K1179" s="135" t="s">
        <v>215</v>
      </c>
      <c r="L1179" s="6" t="s">
        <v>410</v>
      </c>
      <c r="M1179" s="256">
        <v>30</v>
      </c>
      <c r="N1179" s="256">
        <v>71</v>
      </c>
      <c r="O1179" s="256">
        <v>3</v>
      </c>
      <c r="P1179" s="257">
        <v>1</v>
      </c>
      <c r="Q1179" s="6">
        <v>93</v>
      </c>
      <c r="R1179" s="98">
        <v>0.50029999999999997</v>
      </c>
      <c r="S1179" s="94">
        <f>((Table3.110[[#This Row],[Sample weight, g]]*'2.1. DM'!Q259)/100)*1000</f>
        <v>475.66392910299044</v>
      </c>
      <c r="T1179" s="94">
        <f>'3.2 Digest'!W1179</f>
        <v>219.26392910299035</v>
      </c>
      <c r="U1179" s="117">
        <v>0.33611111111111114</v>
      </c>
      <c r="V1179" s="155">
        <v>41</v>
      </c>
      <c r="W1179" s="117">
        <v>0.67083333333333328</v>
      </c>
      <c r="X1179" s="96">
        <v>92</v>
      </c>
      <c r="Y1179" s="96">
        <v>15.4</v>
      </c>
      <c r="Z1179" s="155">
        <v>40.5</v>
      </c>
      <c r="AA1179" s="117">
        <v>0.34166666666666667</v>
      </c>
      <c r="AB1179" s="155">
        <v>84.5</v>
      </c>
      <c r="AC1179" s="155">
        <v>18.399999999999999</v>
      </c>
      <c r="AD1179" s="96"/>
      <c r="AE1179" s="94">
        <f>Table3.110[[#This Row],[Gas 8h, ml]]-Table3.110[[#This Row],[Gas 0h, ml]]</f>
        <v>51</v>
      </c>
      <c r="AF1179" s="94">
        <f>Table3.110[[#This Row],[Gas 24h, ml]]-Table3.110[[#This Row],[V8 Push back, ml]]</f>
        <v>44</v>
      </c>
      <c r="AG1179" s="94">
        <f>Table3.110[[#This Row],[GP 8h, ml]]-(AVERAGE(AE$1159,AE$1160,AE$1193,AE$1194,AE$1229,AE$1230))*$AG$8</f>
        <v>47.533723538635904</v>
      </c>
      <c r="AH1179" s="94">
        <f>Table3.110[[#This Row],[GP 8-24h, ml]]-(AVERAGE(AF$1159,AF$1160,AF$1193,AF$1194,AF$1229,AF$1230))*$AG$8</f>
        <v>39.685592064046816</v>
      </c>
      <c r="AI1179" s="94">
        <f>Table3.110[[#This Row],[Net gas 8-24h, ml]]+Table3.110[[#This Row],[Net gas 8h, ml]]</f>
        <v>87.219315602682713</v>
      </c>
      <c r="AJ1179" s="94">
        <f>Table3.110[[#This Row],[Net gas 8h, ml]]*Table3.110[[#This Row],[CH4 8h %]]%</f>
        <v>7.3201934249499292</v>
      </c>
      <c r="AK1179" s="94">
        <f>Table3.110[[#This Row],[Net gas 8-24h, ml]]*Table3.110[[#This Row],[CH4 24h, %]]%</f>
        <v>7.3021489397846135</v>
      </c>
      <c r="AL1179" s="94">
        <f>Table3.110[[#This Row],[CH4 8-24h, ml]]+Table3.110[[#This Row],[CH4 8h, ml]]</f>
        <v>14.622342364734543</v>
      </c>
      <c r="AM1179" s="94">
        <f>(Table3.110[[#This Row],[Net gas 24h, ml]]/Table3.110[[#This Row],[DM Incubated, mg]])*1000</f>
        <v>183.36331654822212</v>
      </c>
      <c r="AN1179" s="94">
        <f>'3.2 Digest'!X1179</f>
        <v>46.096396150214588</v>
      </c>
      <c r="AO1179" s="94">
        <f>Table3.110[[#This Row],[Digested feed, mg]]/Table3.110[[#This Row],[Net gas 24h, ml]]</f>
        <v>2.5139377394546556</v>
      </c>
      <c r="AP1179" s="94">
        <f>Table3.110[[#This Row],[CH4 8h, ml]]/Table3.110[[#This Row],[Net gas 8h, ml]]%</f>
        <v>15.4</v>
      </c>
      <c r="AQ1179" s="94">
        <f>Table3.110[[#This Row],[CH4 24h, ml]]/Table3.110[[#This Row],[Net gas 24h, ml]]%</f>
        <v>16.765027636016885</v>
      </c>
      <c r="AR1179" s="94">
        <f>Table3.110[[#This Row],[CH4 24h, ml]]/Table3.110[[#This Row],[DM Incubated, mg]]*1000</f>
        <v>30.740910693626557</v>
      </c>
      <c r="AS1179" s="94">
        <f>Table3.110[[#This Row],[CH4 24h, ml]]/Table3.110[[#This Row],[Digested feed, mg]]*1000</f>
        <v>66.688316790429724</v>
      </c>
      <c r="AT1179" s="255">
        <f>Table3.110[[#This Row],[CH4 24h, ml]]/'3.2 Digest'!AA1179</f>
        <v>-3.7611545114270566</v>
      </c>
      <c r="AU1179" s="255">
        <f>((Table3.110[[#This Row],[CH4 24h, ml]]/28.9)*16.04)/Table3.110[[#This Row],[DM Incubated, mg]]*1000</f>
        <v>17.06173728462872</v>
      </c>
      <c r="AV1179" s="255">
        <f>((Table3.110[[#This Row],[CH4 24h, ml]]/28.9)*16.04)/Table3.110[[#This Row],[Digested feed, mg]]*1000</f>
        <v>37.013169595795596</v>
      </c>
    </row>
    <row r="1180" spans="2:48" x14ac:dyDescent="0.35">
      <c r="B1180" s="90">
        <f t="shared" si="18"/>
        <v>1170</v>
      </c>
      <c r="C1180" s="140">
        <v>46085</v>
      </c>
      <c r="D1180" s="6" t="s">
        <v>16</v>
      </c>
      <c r="E1180" s="6" t="s">
        <v>411</v>
      </c>
      <c r="F1180" s="242" t="s">
        <v>264</v>
      </c>
      <c r="G1180" s="242" t="s">
        <v>412</v>
      </c>
      <c r="H1180" s="6" t="s">
        <v>413</v>
      </c>
      <c r="I1180" s="133" t="s">
        <v>22</v>
      </c>
      <c r="J1180" s="135" t="s">
        <v>23</v>
      </c>
      <c r="K1180" s="135" t="s">
        <v>215</v>
      </c>
      <c r="L1180" s="6" t="s">
        <v>410</v>
      </c>
      <c r="M1180" s="256">
        <v>30</v>
      </c>
      <c r="N1180" s="256">
        <v>71</v>
      </c>
      <c r="O1180" s="256">
        <v>3</v>
      </c>
      <c r="P1180" s="257">
        <v>2</v>
      </c>
      <c r="Q1180" s="129">
        <v>94</v>
      </c>
      <c r="R1180" s="98">
        <v>0.50019999999999998</v>
      </c>
      <c r="S1180" s="94">
        <f>((Table3.110[[#This Row],[Sample weight, g]]*'2.1. DM'!Q259)/100)*1000</f>
        <v>475.56885336261399</v>
      </c>
      <c r="T1180" s="94">
        <f>'3.2 Digest'!W1180</f>
        <v>172.76885336261404</v>
      </c>
      <c r="U1180" s="153">
        <v>0.33611111111111114</v>
      </c>
      <c r="V1180" s="154">
        <v>41</v>
      </c>
      <c r="W1180" s="153">
        <v>0.67083333333333328</v>
      </c>
      <c r="X1180" s="91">
        <v>94</v>
      </c>
      <c r="Y1180" s="91">
        <v>15.4</v>
      </c>
      <c r="Z1180" s="154">
        <v>40</v>
      </c>
      <c r="AA1180" s="153">
        <v>0.34305555555555556</v>
      </c>
      <c r="AB1180" s="154">
        <v>86</v>
      </c>
      <c r="AC1180" s="154">
        <v>18.399999999999999</v>
      </c>
      <c r="AD1180" s="91"/>
      <c r="AE1180" s="94">
        <f>Table3.110[[#This Row],[Gas 8h, ml]]-Table3.110[[#This Row],[Gas 0h, ml]]</f>
        <v>53</v>
      </c>
      <c r="AF1180" s="94">
        <f>Table3.110[[#This Row],[Gas 24h, ml]]-Table3.110[[#This Row],[V8 Push back, ml]]</f>
        <v>46</v>
      </c>
      <c r="AG1180" s="94">
        <f>Table3.110[[#This Row],[GP 8h, ml]]-(AVERAGE(AE$1159,AE$1160,AE$1193,AE$1194,AE$1229,AE$1230))*$AG$8</f>
        <v>49.533723538635904</v>
      </c>
      <c r="AH1180" s="94">
        <f>Table3.110[[#This Row],[GP 8-24h, ml]]-(AVERAGE(AF$1159,AF$1160,AF$1193,AF$1194,AF$1229,AF$1230))*$AG$8</f>
        <v>41.685592064046816</v>
      </c>
      <c r="AI1180" s="94">
        <f>Table3.110[[#This Row],[Net gas 8-24h, ml]]+Table3.110[[#This Row],[Net gas 8h, ml]]</f>
        <v>91.219315602682713</v>
      </c>
      <c r="AJ1180" s="94">
        <f>Table3.110[[#This Row],[Net gas 8h, ml]]*Table3.110[[#This Row],[CH4 8h %]]%</f>
        <v>7.628193424949929</v>
      </c>
      <c r="AK1180" s="94">
        <f>Table3.110[[#This Row],[Net gas 8-24h, ml]]*Table3.110[[#This Row],[CH4 24h, %]]%</f>
        <v>7.6701489397846139</v>
      </c>
      <c r="AL1180" s="94">
        <f>Table3.110[[#This Row],[CH4 8-24h, ml]]+Table3.110[[#This Row],[CH4 8h, ml]]</f>
        <v>15.298342364734543</v>
      </c>
      <c r="AM1180" s="94">
        <f>(Table3.110[[#This Row],[Net gas 24h, ml]]/Table3.110[[#This Row],[DM Incubated, mg]])*1000</f>
        <v>191.81095430808077</v>
      </c>
      <c r="AN1180" s="94">
        <f>'3.2 Digest'!X1180</f>
        <v>36.328883218699865</v>
      </c>
      <c r="AO1180" s="94">
        <f>Table3.110[[#This Row],[Digested feed, mg]]/Table3.110[[#This Row],[Net gas 24h, ml]]</f>
        <v>1.8939941855640605</v>
      </c>
      <c r="AP1180" s="94">
        <f>Table3.110[[#This Row],[CH4 8h, ml]]/Table3.110[[#This Row],[Net gas 8h, ml]]%</f>
        <v>15.4</v>
      </c>
      <c r="AQ1180" s="94">
        <f>Table3.110[[#This Row],[CH4 24h, ml]]/Table3.110[[#This Row],[Net gas 24h, ml]]%</f>
        <v>16.770946223021898</v>
      </c>
      <c r="AR1180" s="94">
        <f>Table3.110[[#This Row],[CH4 24h, ml]]/Table3.110[[#This Row],[DM Incubated, mg]]*1000</f>
        <v>32.168511996873328</v>
      </c>
      <c r="AS1180" s="94">
        <f>Table3.110[[#This Row],[CH4 24h, ml]]/Table3.110[[#This Row],[Digested feed, mg]]*1000</f>
        <v>88.548034364885112</v>
      </c>
      <c r="AT1180" s="255">
        <f>Table3.110[[#This Row],[CH4 24h, ml]]/'3.2 Digest'!AA1180</f>
        <v>-0.67356399124276467</v>
      </c>
      <c r="AU1180" s="255">
        <f>((Table3.110[[#This Row],[CH4 24h, ml]]/28.9)*16.04)/Table3.110[[#This Row],[DM Incubated, mg]]*1000</f>
        <v>17.854080706915163</v>
      </c>
      <c r="AV1180" s="255">
        <f>((Table3.110[[#This Row],[CH4 24h, ml]]/28.9)*16.04)/Table3.110[[#This Row],[Digested feed, mg]]*1000</f>
        <v>49.145691045424122</v>
      </c>
    </row>
    <row r="1181" spans="2:48" x14ac:dyDescent="0.35">
      <c r="B1181" s="90">
        <f t="shared" si="18"/>
        <v>1171</v>
      </c>
      <c r="C1181" s="140">
        <v>46085</v>
      </c>
      <c r="D1181" s="6" t="s">
        <v>16</v>
      </c>
      <c r="E1181" s="6" t="s">
        <v>415</v>
      </c>
      <c r="F1181" s="242" t="s">
        <v>235</v>
      </c>
      <c r="G1181" s="242" t="s">
        <v>274</v>
      </c>
      <c r="H1181" s="6" t="s">
        <v>275</v>
      </c>
      <c r="I1181" s="133" t="s">
        <v>22</v>
      </c>
      <c r="J1181" s="135" t="s">
        <v>23</v>
      </c>
      <c r="K1181" s="135" t="s">
        <v>215</v>
      </c>
      <c r="L1181" s="6" t="s">
        <v>414</v>
      </c>
      <c r="M1181" s="256">
        <v>30</v>
      </c>
      <c r="N1181" s="256">
        <v>71</v>
      </c>
      <c r="O1181" s="256">
        <v>3</v>
      </c>
      <c r="P1181" s="257">
        <v>1</v>
      </c>
      <c r="Q1181" s="6">
        <v>95</v>
      </c>
      <c r="R1181" s="98">
        <v>0.50009999999999999</v>
      </c>
      <c r="S1181" s="94">
        <f>((Table3.110[[#This Row],[Sample weight, g]]*'2.1. DM'!Q261)/100)*1000</f>
        <v>473.72367013298623</v>
      </c>
      <c r="T1181" s="94">
        <f>'3.2 Digest'!W1181</f>
        <v>172.72367013298629</v>
      </c>
      <c r="U1181" s="153">
        <v>0.33611111111111114</v>
      </c>
      <c r="V1181" s="154">
        <v>41</v>
      </c>
      <c r="W1181" s="153">
        <v>0.67152777777777772</v>
      </c>
      <c r="X1181" s="91">
        <v>88</v>
      </c>
      <c r="Y1181" s="91">
        <v>12.6</v>
      </c>
      <c r="Z1181" s="154">
        <v>40</v>
      </c>
      <c r="AA1181" s="153">
        <v>0.34305555555555556</v>
      </c>
      <c r="AB1181" s="154">
        <v>81.5</v>
      </c>
      <c r="AC1181" s="154">
        <v>17.5</v>
      </c>
      <c r="AD1181" s="91"/>
      <c r="AE1181" s="94">
        <f>Table3.110[[#This Row],[Gas 8h, ml]]-Table3.110[[#This Row],[Gas 0h, ml]]</f>
        <v>47</v>
      </c>
      <c r="AF1181" s="94">
        <f>Table3.110[[#This Row],[Gas 24h, ml]]-Table3.110[[#This Row],[V8 Push back, ml]]</f>
        <v>41.5</v>
      </c>
      <c r="AG1181" s="94">
        <f>Table3.110[[#This Row],[GP 8h, ml]]-(AVERAGE(AE$1159,AE$1160,AE$1193,AE$1194,AE$1229,AE$1230))*$AG$8</f>
        <v>43.533723538635904</v>
      </c>
      <c r="AH1181" s="94">
        <f>Table3.110[[#This Row],[GP 8-24h, ml]]-(AVERAGE(AF$1159,AF$1160,AF$1193,AF$1194,AF$1229,AF$1230))*$AG$8</f>
        <v>37.185592064046816</v>
      </c>
      <c r="AI1181" s="94">
        <f>Table3.110[[#This Row],[Net gas 8-24h, ml]]+Table3.110[[#This Row],[Net gas 8h, ml]]</f>
        <v>80.719315602682713</v>
      </c>
      <c r="AJ1181" s="94">
        <f>Table3.110[[#This Row],[Net gas 8h, ml]]*Table3.110[[#This Row],[CH4 8h %]]%</f>
        <v>5.4852491658681242</v>
      </c>
      <c r="AK1181" s="94">
        <f>Table3.110[[#This Row],[Net gas 8-24h, ml]]*Table3.110[[#This Row],[CH4 24h, %]]%</f>
        <v>6.5074786112081924</v>
      </c>
      <c r="AL1181" s="94">
        <f>Table3.110[[#This Row],[CH4 8-24h, ml]]+Table3.110[[#This Row],[CH4 8h, ml]]</f>
        <v>11.992727777076317</v>
      </c>
      <c r="AM1181" s="94">
        <f>(Table3.110[[#This Row],[Net gas 24h, ml]]/Table3.110[[#This Row],[DM Incubated, mg]])*1000</f>
        <v>170.39324967659471</v>
      </c>
      <c r="AN1181" s="94">
        <f>'3.2 Digest'!X1181</f>
        <v>36.46084859650319</v>
      </c>
      <c r="AO1181" s="94">
        <f>Table3.110[[#This Row],[Digested feed, mg]]/Table3.110[[#This Row],[Net gas 24h, ml]]</f>
        <v>2.1398059292668954</v>
      </c>
      <c r="AP1181" s="94">
        <f>Table3.110[[#This Row],[CH4 8h, ml]]/Table3.110[[#This Row],[Net gas 8h, ml]]%</f>
        <v>12.6</v>
      </c>
      <c r="AQ1181" s="94">
        <f>Table3.110[[#This Row],[CH4 24h, ml]]/Table3.110[[#This Row],[Net gas 24h, ml]]%</f>
        <v>14.857320936796615</v>
      </c>
      <c r="AR1181" s="94">
        <f>Table3.110[[#This Row],[CH4 24h, ml]]/Table3.110[[#This Row],[DM Incubated, mg]]*1000</f>
        <v>25.315871959088835</v>
      </c>
      <c r="AS1181" s="94">
        <f>Table3.110[[#This Row],[CH4 24h, ml]]/Table3.110[[#This Row],[Digested feed, mg]]*1000</f>
        <v>69.433030040657869</v>
      </c>
      <c r="AT1181" s="255">
        <f>Table3.110[[#This Row],[CH4 24h, ml]]/'3.2 Digest'!AA1181</f>
        <v>-0.33118587856395043</v>
      </c>
      <c r="AU1181" s="255">
        <f>((Table3.110[[#This Row],[CH4 24h, ml]]/28.9)*16.04)/Table3.110[[#This Row],[DM Incubated, mg]]*1000</f>
        <v>14.050746928158651</v>
      </c>
      <c r="AV1181" s="255">
        <f>((Table3.110[[#This Row],[CH4 24h, ml]]/28.9)*16.04)/Table3.110[[#This Row],[Digested feed, mg]]*1000</f>
        <v>38.536532936060631</v>
      </c>
    </row>
    <row r="1182" spans="2:48" x14ac:dyDescent="0.35">
      <c r="B1182" s="90">
        <f t="shared" si="18"/>
        <v>1172</v>
      </c>
      <c r="C1182" s="140">
        <v>46085</v>
      </c>
      <c r="D1182" s="6" t="s">
        <v>16</v>
      </c>
      <c r="E1182" s="6" t="s">
        <v>415</v>
      </c>
      <c r="F1182" s="242" t="s">
        <v>235</v>
      </c>
      <c r="G1182" s="242" t="s">
        <v>274</v>
      </c>
      <c r="H1182" s="6" t="s">
        <v>275</v>
      </c>
      <c r="I1182" s="133" t="s">
        <v>22</v>
      </c>
      <c r="J1182" s="135" t="s">
        <v>23</v>
      </c>
      <c r="K1182" s="135" t="s">
        <v>215</v>
      </c>
      <c r="L1182" s="6" t="s">
        <v>414</v>
      </c>
      <c r="M1182" s="256">
        <v>30</v>
      </c>
      <c r="N1182" s="256">
        <v>71</v>
      </c>
      <c r="O1182" s="256">
        <v>3</v>
      </c>
      <c r="P1182" s="257">
        <v>2</v>
      </c>
      <c r="Q1182" s="129">
        <v>96</v>
      </c>
      <c r="R1182" s="98">
        <v>0.50039999999999996</v>
      </c>
      <c r="S1182" s="94">
        <f>((Table3.110[[#This Row],[Sample weight, g]]*'2.1. DM'!Q261)/100)*1000</f>
        <v>474.00784749959274</v>
      </c>
      <c r="T1182" s="94">
        <f>'3.2 Digest'!W1182</f>
        <v>186.20784749959267</v>
      </c>
      <c r="U1182" s="117">
        <v>0.33680555555555558</v>
      </c>
      <c r="V1182" s="155">
        <v>40</v>
      </c>
      <c r="W1182" s="117">
        <v>0.67222222222222228</v>
      </c>
      <c r="X1182" s="96">
        <v>86.5</v>
      </c>
      <c r="Y1182" s="96">
        <v>12.4</v>
      </c>
      <c r="Z1182" s="155">
        <v>40</v>
      </c>
      <c r="AA1182" s="117">
        <v>0.34305555555555556</v>
      </c>
      <c r="AB1182" s="155">
        <v>81</v>
      </c>
      <c r="AC1182" s="155">
        <v>17.399999999999999</v>
      </c>
      <c r="AD1182" s="96"/>
      <c r="AE1182" s="94">
        <f>Table3.110[[#This Row],[Gas 8h, ml]]-Table3.110[[#This Row],[Gas 0h, ml]]</f>
        <v>46.5</v>
      </c>
      <c r="AF1182" s="94">
        <f>Table3.110[[#This Row],[Gas 24h, ml]]-Table3.110[[#This Row],[V8 Push back, ml]]</f>
        <v>41</v>
      </c>
      <c r="AG1182" s="94">
        <f>Table3.110[[#This Row],[GP 8h, ml]]-(AVERAGE(AE$1159,AE$1160,AE$1193,AE$1194,AE$1229,AE$1230))*$AG$8</f>
        <v>43.033723538635904</v>
      </c>
      <c r="AH1182" s="94">
        <f>Table3.110[[#This Row],[GP 8-24h, ml]]-(AVERAGE(AF$1159,AF$1160,AF$1193,AF$1194,AF$1229,AF$1230))*$AG$8</f>
        <v>36.685592064046816</v>
      </c>
      <c r="AI1182" s="94">
        <f>Table3.110[[#This Row],[Net gas 8-24h, ml]]+Table3.110[[#This Row],[Net gas 8h, ml]]</f>
        <v>79.719315602682713</v>
      </c>
      <c r="AJ1182" s="94">
        <f>Table3.110[[#This Row],[Net gas 8h, ml]]*Table3.110[[#This Row],[CH4 8h %]]%</f>
        <v>5.3361817187908525</v>
      </c>
      <c r="AK1182" s="94">
        <f>Table3.110[[#This Row],[Net gas 8-24h, ml]]*Table3.110[[#This Row],[CH4 24h, %]]%</f>
        <v>6.383293019144145</v>
      </c>
      <c r="AL1182" s="94">
        <f>Table3.110[[#This Row],[CH4 8-24h, ml]]+Table3.110[[#This Row],[CH4 8h, ml]]</f>
        <v>11.719474737934998</v>
      </c>
      <c r="AM1182" s="94">
        <f>(Table3.110[[#This Row],[Net gas 24h, ml]]/Table3.110[[#This Row],[DM Incubated, mg]])*1000</f>
        <v>168.1814257363138</v>
      </c>
      <c r="AN1182" s="94">
        <f>'3.2 Digest'!X1182</f>
        <v>39.283705635222141</v>
      </c>
      <c r="AO1182" s="94">
        <f>Table3.110[[#This Row],[Digested feed, mg]]/Table3.110[[#This Row],[Net gas 24h, ml]]</f>
        <v>2.3357933531146173</v>
      </c>
      <c r="AP1182" s="94">
        <f>Table3.110[[#This Row],[CH4 8h, ml]]/Table3.110[[#This Row],[Net gas 8h, ml]]%</f>
        <v>12.4</v>
      </c>
      <c r="AQ1182" s="94">
        <f>Table3.110[[#This Row],[CH4 24h, ml]]/Table3.110[[#This Row],[Net gas 24h, ml]]%</f>
        <v>14.700922416775759</v>
      </c>
      <c r="AR1182" s="94">
        <f>Table3.110[[#This Row],[CH4 24h, ml]]/Table3.110[[#This Row],[DM Incubated, mg]]*1000</f>
        <v>24.724220916922832</v>
      </c>
      <c r="AS1182" s="94">
        <f>Table3.110[[#This Row],[CH4 24h, ml]]/Table3.110[[#This Row],[Digested feed, mg]]*1000</f>
        <v>62.937598470228991</v>
      </c>
      <c r="AT1182" s="255">
        <f>Table3.110[[#This Row],[CH4 24h, ml]]/'3.2 Digest'!AA1182</f>
        <v>-0.38857678685003116</v>
      </c>
      <c r="AU1182" s="255">
        <f>((Table3.110[[#This Row],[CH4 24h, ml]]/28.9)*16.04)/Table3.110[[#This Row],[DM Incubated, mg]]*1000</f>
        <v>13.722370363579317</v>
      </c>
      <c r="AV1182" s="255">
        <f>((Table3.110[[#This Row],[CH4 24h, ml]]/28.9)*16.04)/Table3.110[[#This Row],[Digested feed, mg]]*1000</f>
        <v>34.931456036763777</v>
      </c>
    </row>
    <row r="1183" spans="2:48" x14ac:dyDescent="0.35">
      <c r="B1183" s="90">
        <f t="shared" si="18"/>
        <v>1173</v>
      </c>
      <c r="C1183" s="140">
        <v>46085</v>
      </c>
      <c r="D1183" s="6" t="s">
        <v>16</v>
      </c>
      <c r="E1183" s="6" t="s">
        <v>417</v>
      </c>
      <c r="F1183" s="242" t="s">
        <v>290</v>
      </c>
      <c r="G1183" s="242" t="s">
        <v>291</v>
      </c>
      <c r="H1183" s="6" t="s">
        <v>292</v>
      </c>
      <c r="I1183" s="133" t="s">
        <v>22</v>
      </c>
      <c r="J1183" s="135" t="s">
        <v>23</v>
      </c>
      <c r="K1183" s="135" t="s">
        <v>215</v>
      </c>
      <c r="L1183" s="6" t="s">
        <v>416</v>
      </c>
      <c r="M1183" s="256">
        <v>30</v>
      </c>
      <c r="N1183" s="256">
        <v>71</v>
      </c>
      <c r="O1183" s="256">
        <v>3</v>
      </c>
      <c r="P1183" s="257">
        <v>1</v>
      </c>
      <c r="Q1183" s="6">
        <v>97</v>
      </c>
      <c r="R1183" s="98">
        <v>0.5</v>
      </c>
      <c r="S1183" s="94">
        <f>((Table3.110[[#This Row],[Sample weight, g]]*'2.1. DM'!Q263)/100)*1000</f>
        <v>467.59120439780082</v>
      </c>
      <c r="T1183" s="94">
        <f>'3.2 Digest'!W1183</f>
        <v>193.6912043978009</v>
      </c>
      <c r="U1183" s="117">
        <v>0.33680555555555558</v>
      </c>
      <c r="V1183" s="155">
        <v>40.5</v>
      </c>
      <c r="W1183" s="117">
        <v>0.67222222222222228</v>
      </c>
      <c r="X1183" s="96">
        <v>89</v>
      </c>
      <c r="Y1183" s="96">
        <v>14</v>
      </c>
      <c r="Z1183" s="155">
        <v>40.5</v>
      </c>
      <c r="AA1183" s="117">
        <v>0.34375</v>
      </c>
      <c r="AB1183" s="155">
        <v>87.5</v>
      </c>
      <c r="AC1183" s="155">
        <v>16.899999999999999</v>
      </c>
      <c r="AD1183" s="96"/>
      <c r="AE1183" s="94">
        <f>Table3.110[[#This Row],[Gas 8h, ml]]-Table3.110[[#This Row],[Gas 0h, ml]]</f>
        <v>48.5</v>
      </c>
      <c r="AF1183" s="94">
        <f>Table3.110[[#This Row],[Gas 24h, ml]]-Table3.110[[#This Row],[V8 Push back, ml]]</f>
        <v>47</v>
      </c>
      <c r="AG1183" s="94">
        <f>Table3.110[[#This Row],[GP 8h, ml]]-(AVERAGE(AE$1159,AE$1160,AE$1193,AE$1194,AE$1229,AE$1230))*$AG$8</f>
        <v>45.033723538635904</v>
      </c>
      <c r="AH1183" s="94">
        <f>Table3.110[[#This Row],[GP 8-24h, ml]]-(AVERAGE(AF$1159,AF$1160,AF$1193,AF$1194,AF$1229,AF$1230))*$AG$8</f>
        <v>42.685592064046816</v>
      </c>
      <c r="AI1183" s="94">
        <f>Table3.110[[#This Row],[Net gas 8-24h, ml]]+Table3.110[[#This Row],[Net gas 8h, ml]]</f>
        <v>87.719315602682713</v>
      </c>
      <c r="AJ1183" s="94">
        <f>Table3.110[[#This Row],[Net gas 8h, ml]]*Table3.110[[#This Row],[CH4 8h %]]%</f>
        <v>6.3047212954090268</v>
      </c>
      <c r="AK1183" s="94">
        <f>Table3.110[[#This Row],[Net gas 8-24h, ml]]*Table3.110[[#This Row],[CH4 24h, %]]%</f>
        <v>7.2138650588239113</v>
      </c>
      <c r="AL1183" s="94">
        <f>Table3.110[[#This Row],[CH4 8-24h, ml]]+Table3.110[[#This Row],[CH4 8h, ml]]</f>
        <v>13.518586354232937</v>
      </c>
      <c r="AM1183" s="94">
        <f>(Table3.110[[#This Row],[Net gas 24h, ml]]/Table3.110[[#This Row],[DM Incubated, mg]])*1000</f>
        <v>187.59830120340749</v>
      </c>
      <c r="AN1183" s="94">
        <f>'3.2 Digest'!X1183</f>
        <v>41.423192433067904</v>
      </c>
      <c r="AO1183" s="94">
        <f>Table3.110[[#This Row],[Digested feed, mg]]/Table3.110[[#This Row],[Net gas 24h, ml]]</f>
        <v>2.2080792932209934</v>
      </c>
      <c r="AP1183" s="94">
        <f>Table3.110[[#This Row],[CH4 8h, ml]]/Table3.110[[#This Row],[Net gas 8h, ml]]%</f>
        <v>14</v>
      </c>
      <c r="AQ1183" s="94">
        <f>Table3.110[[#This Row],[CH4 24h, ml]]/Table3.110[[#This Row],[Net gas 24h, ml]]%</f>
        <v>15.411185394405312</v>
      </c>
      <c r="AR1183" s="94">
        <f>Table3.110[[#This Row],[CH4 24h, ml]]/Table3.110[[#This Row],[DM Incubated, mg]]*1000</f>
        <v>28.911121995212014</v>
      </c>
      <c r="AS1183" s="94">
        <f>Table3.110[[#This Row],[CH4 24h, ml]]/Table3.110[[#This Row],[Digested feed, mg]]*1000</f>
        <v>69.794528854643346</v>
      </c>
      <c r="AT1183" s="255">
        <f>Table3.110[[#This Row],[CH4 24h, ml]]/'3.2 Digest'!AA1183</f>
        <v>-0.33886695650700005</v>
      </c>
      <c r="AU1183" s="255">
        <f>((Table3.110[[#This Row],[CH4 24h, ml]]/28.9)*16.04)/Table3.110[[#This Row],[DM Incubated, mg]]*1000</f>
        <v>16.046172899764734</v>
      </c>
      <c r="AV1183" s="255">
        <f>((Table3.110[[#This Row],[CH4 24h, ml]]/28.9)*16.04)/Table3.110[[#This Row],[Digested feed, mg]]*1000</f>
        <v>38.737171032127307</v>
      </c>
    </row>
    <row r="1184" spans="2:48" x14ac:dyDescent="0.35">
      <c r="B1184" s="90">
        <f t="shared" si="18"/>
        <v>1174</v>
      </c>
      <c r="C1184" s="140">
        <v>46085</v>
      </c>
      <c r="D1184" s="6" t="s">
        <v>16</v>
      </c>
      <c r="E1184" s="6" t="s">
        <v>417</v>
      </c>
      <c r="F1184" s="242" t="s">
        <v>290</v>
      </c>
      <c r="G1184" s="242" t="s">
        <v>291</v>
      </c>
      <c r="H1184" s="6" t="s">
        <v>292</v>
      </c>
      <c r="I1184" s="133" t="s">
        <v>22</v>
      </c>
      <c r="J1184" s="135" t="s">
        <v>23</v>
      </c>
      <c r="K1184" s="135" t="s">
        <v>215</v>
      </c>
      <c r="L1184" s="6" t="s">
        <v>416</v>
      </c>
      <c r="M1184" s="256">
        <v>30</v>
      </c>
      <c r="N1184" s="256">
        <v>71</v>
      </c>
      <c r="O1184" s="256">
        <v>3</v>
      </c>
      <c r="P1184" s="257">
        <v>2</v>
      </c>
      <c r="Q1184" s="129">
        <v>98</v>
      </c>
      <c r="R1184" s="98">
        <v>0.50039999999999996</v>
      </c>
      <c r="S1184" s="94">
        <f>((Table3.110[[#This Row],[Sample weight, g]]*'2.1. DM'!Q263)/100)*1000</f>
        <v>467.96527736131907</v>
      </c>
      <c r="T1184" s="94">
        <f>'3.2 Digest'!W1184</f>
        <v>197.66527736131906</v>
      </c>
      <c r="U1184" s="153">
        <v>0.33680555555555558</v>
      </c>
      <c r="V1184" s="154">
        <v>41</v>
      </c>
      <c r="W1184" s="153">
        <v>0.67291666666666672</v>
      </c>
      <c r="X1184" s="91">
        <v>89.5</v>
      </c>
      <c r="Y1184" s="91">
        <v>13.9</v>
      </c>
      <c r="Z1184" s="154">
        <v>40</v>
      </c>
      <c r="AA1184" s="153">
        <v>0.34444444444444444</v>
      </c>
      <c r="AB1184" s="154">
        <v>92.5</v>
      </c>
      <c r="AC1184" s="154">
        <v>16.8</v>
      </c>
      <c r="AD1184" s="91" t="s">
        <v>604</v>
      </c>
      <c r="AE1184" s="94">
        <f>Table3.110[[#This Row],[Gas 8h, ml]]-Table3.110[[#This Row],[Gas 0h, ml]]</f>
        <v>48.5</v>
      </c>
      <c r="AF1184" s="94">
        <f>Table3.110[[#This Row],[Gas 24h, ml]]-Table3.110[[#This Row],[V8 Push back, ml]]</f>
        <v>52.5</v>
      </c>
      <c r="AG1184" s="94">
        <f>Table3.110[[#This Row],[GP 8h, ml]]-(AVERAGE(AE$1159,AE$1160,AE$1193,AE$1194,AE$1229,AE$1230))*$AG$8</f>
        <v>45.033723538635904</v>
      </c>
      <c r="AH1184" s="94">
        <f>Table3.110[[#This Row],[GP 8-24h, ml]]-(AVERAGE(AF$1159,AF$1160,AF$1193,AF$1194,AF$1229,AF$1230))*$AG$8</f>
        <v>48.185592064046816</v>
      </c>
      <c r="AI1184" s="94">
        <f>Table3.110[[#This Row],[Net gas 8-24h, ml]]+Table3.110[[#This Row],[Net gas 8h, ml]]</f>
        <v>93.219315602682713</v>
      </c>
      <c r="AJ1184" s="94">
        <f>Table3.110[[#This Row],[Net gas 8h, ml]]*Table3.110[[#This Row],[CH4 8h %]]%</f>
        <v>6.2596875718703915</v>
      </c>
      <c r="AK1184" s="94">
        <f>Table3.110[[#This Row],[Net gas 8-24h, ml]]*Table3.110[[#This Row],[CH4 24h, %]]%</f>
        <v>8.0951794667598662</v>
      </c>
      <c r="AL1184" s="94">
        <f>Table3.110[[#This Row],[CH4 8-24h, ml]]+Table3.110[[#This Row],[CH4 8h, ml]]</f>
        <v>14.354867038630257</v>
      </c>
      <c r="AM1184" s="94">
        <f>(Table3.110[[#This Row],[Net gas 24h, ml]]/Table3.110[[#This Row],[DM Incubated, mg]])*1000</f>
        <v>199.20135128040164</v>
      </c>
      <c r="AN1184" s="94">
        <f>'3.2 Digest'!X1184</f>
        <v>42.2393042654531</v>
      </c>
      <c r="AO1184" s="94">
        <f>Table3.110[[#This Row],[Digested feed, mg]]/Table3.110[[#This Row],[Net gas 24h, ml]]</f>
        <v>2.1204326172464469</v>
      </c>
      <c r="AP1184" s="94">
        <f>Table3.110[[#This Row],[CH4 8h, ml]]/Table3.110[[#This Row],[Net gas 8h, ml]]%</f>
        <v>13.900000000000002</v>
      </c>
      <c r="AQ1184" s="94">
        <f>Table3.110[[#This Row],[CH4 24h, ml]]/Table3.110[[#This Row],[Net gas 24h, ml]]%</f>
        <v>15.399026420461238</v>
      </c>
      <c r="AR1184" s="94">
        <f>Table3.110[[#This Row],[CH4 24h, ml]]/Table3.110[[#This Row],[DM Incubated, mg]]*1000</f>
        <v>30.675068713584853</v>
      </c>
      <c r="AS1184" s="94">
        <f>Table3.110[[#This Row],[CH4 24h, ml]]/Table3.110[[#This Row],[Digested feed, mg]]*1000</f>
        <v>72.622097468289837</v>
      </c>
      <c r="AT1184" s="255">
        <f>Table3.110[[#This Row],[CH4 24h, ml]]/'3.2 Digest'!AA1184</f>
        <v>-0.3783127013176138</v>
      </c>
      <c r="AU1184" s="255">
        <f>((Table3.110[[#This Row],[CH4 24h, ml]]/28.9)*16.04)/Table3.110[[#This Row],[DM Incubated, mg]]*1000</f>
        <v>17.025193846570971</v>
      </c>
      <c r="AV1184" s="255">
        <f>((Table3.110[[#This Row],[CH4 24h, ml]]/28.9)*16.04)/Table3.110[[#This Row],[Digested feed, mg]]*1000</f>
        <v>40.306520532573316</v>
      </c>
    </row>
    <row r="1185" spans="2:48" x14ac:dyDescent="0.35">
      <c r="B1185" s="90">
        <f t="shared" si="18"/>
        <v>1175</v>
      </c>
      <c r="C1185" s="140">
        <v>46085</v>
      </c>
      <c r="D1185" s="6" t="s">
        <v>16</v>
      </c>
      <c r="E1185" s="6" t="s">
        <v>419</v>
      </c>
      <c r="F1185" s="242" t="s">
        <v>264</v>
      </c>
      <c r="G1185" s="242" t="s">
        <v>329</v>
      </c>
      <c r="H1185" s="6" t="s">
        <v>330</v>
      </c>
      <c r="I1185" s="133" t="s">
        <v>22</v>
      </c>
      <c r="J1185" s="135" t="s">
        <v>23</v>
      </c>
      <c r="K1185" s="135" t="s">
        <v>215</v>
      </c>
      <c r="L1185" s="6" t="s">
        <v>418</v>
      </c>
      <c r="M1185" s="256">
        <v>30</v>
      </c>
      <c r="N1185" s="256">
        <v>71</v>
      </c>
      <c r="O1185" s="256">
        <v>3</v>
      </c>
      <c r="P1185" s="257">
        <v>1</v>
      </c>
      <c r="Q1185" s="6">
        <v>99</v>
      </c>
      <c r="R1185" s="98">
        <v>0.5</v>
      </c>
      <c r="S1185" s="94">
        <f>((Table3.110[[#This Row],[Sample weight, g]]*'2.1. DM'!Q265)/100)*1000</f>
        <v>471.6584971690188</v>
      </c>
      <c r="T1185" s="94">
        <f>'3.2 Digest'!W1185</f>
        <v>149.3584971690189</v>
      </c>
      <c r="U1185" s="153">
        <v>0.33750000000000002</v>
      </c>
      <c r="V1185" s="154">
        <v>41</v>
      </c>
      <c r="W1185" s="153">
        <v>0.67291666666666672</v>
      </c>
      <c r="X1185" s="91">
        <v>88.5</v>
      </c>
      <c r="Y1185" s="91">
        <v>14.9</v>
      </c>
      <c r="Z1185" s="154">
        <v>40.5</v>
      </c>
      <c r="AA1185" s="153">
        <v>0.34444444444444444</v>
      </c>
      <c r="AB1185" s="154">
        <v>78.5</v>
      </c>
      <c r="AC1185" s="154">
        <v>18.7</v>
      </c>
      <c r="AD1185" s="91"/>
      <c r="AE1185" s="94">
        <f>Table3.110[[#This Row],[Gas 8h, ml]]-Table3.110[[#This Row],[Gas 0h, ml]]</f>
        <v>47.5</v>
      </c>
      <c r="AF1185" s="94">
        <f>Table3.110[[#This Row],[Gas 24h, ml]]-Table3.110[[#This Row],[V8 Push back, ml]]</f>
        <v>38</v>
      </c>
      <c r="AG1185" s="94">
        <f>Table3.110[[#This Row],[GP 8h, ml]]-(AVERAGE(AE$1159,AE$1160,AE$1193,AE$1194,AE$1229,AE$1230))*$AG$8</f>
        <v>44.033723538635904</v>
      </c>
      <c r="AH1185" s="94">
        <f>Table3.110[[#This Row],[GP 8-24h, ml]]-(AVERAGE(AF$1159,AF$1160,AF$1193,AF$1194,AF$1229,AF$1230))*$AG$8</f>
        <v>33.685592064046816</v>
      </c>
      <c r="AI1185" s="94">
        <f>Table3.110[[#This Row],[Net gas 8-24h, ml]]+Table3.110[[#This Row],[Net gas 8h, ml]]</f>
        <v>77.719315602682713</v>
      </c>
      <c r="AJ1185" s="94">
        <f>Table3.110[[#This Row],[Net gas 8h, ml]]*Table3.110[[#This Row],[CH4 8h %]]%</f>
        <v>6.5610248072567492</v>
      </c>
      <c r="AK1185" s="94">
        <f>Table3.110[[#This Row],[Net gas 8-24h, ml]]*Table3.110[[#This Row],[CH4 24h, %]]%</f>
        <v>6.2992057159767549</v>
      </c>
      <c r="AL1185" s="94">
        <f>Table3.110[[#This Row],[CH4 8-24h, ml]]+Table3.110[[#This Row],[CH4 8h, ml]]</f>
        <v>12.860230523233504</v>
      </c>
      <c r="AM1185" s="94">
        <f>(Table3.110[[#This Row],[Net gas 24h, ml]]/Table3.110[[#This Row],[DM Incubated, mg]])*1000</f>
        <v>164.77878818926905</v>
      </c>
      <c r="AN1185" s="94">
        <f>'3.2 Digest'!X1185</f>
        <v>31.666660956072267</v>
      </c>
      <c r="AO1185" s="94">
        <f>Table3.110[[#This Row],[Digested feed, mg]]/Table3.110[[#This Row],[Net gas 24h, ml]]</f>
        <v>1.9217680445433998</v>
      </c>
      <c r="AP1185" s="94">
        <f>Table3.110[[#This Row],[CH4 8h, ml]]/Table3.110[[#This Row],[Net gas 8h, ml]]%</f>
        <v>14.899999999999999</v>
      </c>
      <c r="AQ1185" s="94">
        <f>Table3.110[[#This Row],[CH4 24h, ml]]/Table3.110[[#This Row],[Net gas 24h, ml]]%</f>
        <v>16.54701977688233</v>
      </c>
      <c r="AR1185" s="94">
        <f>Table3.110[[#This Row],[CH4 24h, ml]]/Table3.110[[#This Row],[DM Incubated, mg]]*1000</f>
        <v>27.265978669785401</v>
      </c>
      <c r="AS1185" s="94">
        <f>Table3.110[[#This Row],[CH4 24h, ml]]/Table3.110[[#This Row],[Digested feed, mg]]*1000</f>
        <v>86.103106063530163</v>
      </c>
      <c r="AT1185" s="255">
        <f>Table3.110[[#This Row],[CH4 24h, ml]]/'3.2 Digest'!AA1185</f>
        <v>-0.72694048598667738</v>
      </c>
      <c r="AU1185" s="255">
        <f>((Table3.110[[#This Row],[CH4 24h, ml]]/28.9)*16.04)/Table3.110[[#This Row],[DM Incubated, mg]]*1000</f>
        <v>15.133089891465668</v>
      </c>
      <c r="AV1185" s="255">
        <f>((Table3.110[[#This Row],[CH4 24h, ml]]/28.9)*16.04)/Table3.110[[#This Row],[Digested feed, mg]]*1000</f>
        <v>47.788713538374523</v>
      </c>
    </row>
    <row r="1186" spans="2:48" x14ac:dyDescent="0.35">
      <c r="B1186" s="90">
        <f t="shared" si="18"/>
        <v>1176</v>
      </c>
      <c r="C1186" s="140">
        <v>46085</v>
      </c>
      <c r="D1186" s="6" t="s">
        <v>16</v>
      </c>
      <c r="E1186" s="6" t="s">
        <v>419</v>
      </c>
      <c r="F1186" s="242" t="s">
        <v>264</v>
      </c>
      <c r="G1186" s="242" t="s">
        <v>329</v>
      </c>
      <c r="H1186" s="6" t="s">
        <v>330</v>
      </c>
      <c r="I1186" s="133" t="s">
        <v>22</v>
      </c>
      <c r="J1186" s="135" t="s">
        <v>23</v>
      </c>
      <c r="K1186" s="135" t="s">
        <v>215</v>
      </c>
      <c r="L1186" s="6" t="s">
        <v>418</v>
      </c>
      <c r="M1186" s="256">
        <v>30</v>
      </c>
      <c r="N1186" s="256">
        <v>71</v>
      </c>
      <c r="O1186" s="256">
        <v>3</v>
      </c>
      <c r="P1186" s="257">
        <v>2</v>
      </c>
      <c r="Q1186" s="129">
        <v>100</v>
      </c>
      <c r="R1186" s="98">
        <v>0.50019999999999998</v>
      </c>
      <c r="S1186" s="94">
        <f>((Table3.110[[#This Row],[Sample weight, g]]*'2.1. DM'!Q265)/100)*1000</f>
        <v>471.84716056788642</v>
      </c>
      <c r="T1186" s="94">
        <f>'3.2 Digest'!W1186</f>
        <v>138.34716056788642</v>
      </c>
      <c r="U1186" s="117">
        <v>0.33750000000000002</v>
      </c>
      <c r="V1186" s="155">
        <v>40.5</v>
      </c>
      <c r="W1186" s="117">
        <v>0.67361111111111116</v>
      </c>
      <c r="X1186" s="96">
        <v>87</v>
      </c>
      <c r="Y1186" s="96">
        <v>15.4</v>
      </c>
      <c r="Z1186" s="155">
        <v>40.5</v>
      </c>
      <c r="AA1186" s="117">
        <v>0.34513888888888888</v>
      </c>
      <c r="AB1186" s="155">
        <v>78.5</v>
      </c>
      <c r="AC1186" s="155">
        <v>19</v>
      </c>
      <c r="AD1186" s="96"/>
      <c r="AE1186" s="94">
        <f>Table3.110[[#This Row],[Gas 8h, ml]]-Table3.110[[#This Row],[Gas 0h, ml]]</f>
        <v>46.5</v>
      </c>
      <c r="AF1186" s="94">
        <f>Table3.110[[#This Row],[Gas 24h, ml]]-Table3.110[[#This Row],[V8 Push back, ml]]</f>
        <v>38</v>
      </c>
      <c r="AG1186" s="94">
        <f>Table3.110[[#This Row],[GP 8h, ml]]-(AVERAGE(AE$1159,AE$1160,AE$1193,AE$1194,AE$1229,AE$1230))*$AG$8</f>
        <v>43.033723538635904</v>
      </c>
      <c r="AH1186" s="94">
        <f>Table3.110[[#This Row],[GP 8-24h, ml]]-(AVERAGE(AF$1159,AF$1160,AF$1193,AF$1194,AF$1229,AF$1230))*$AG$8</f>
        <v>33.685592064046816</v>
      </c>
      <c r="AI1186" s="94">
        <f>Table3.110[[#This Row],[Net gas 8-24h, ml]]+Table3.110[[#This Row],[Net gas 8h, ml]]</f>
        <v>76.719315602682713</v>
      </c>
      <c r="AJ1186" s="94">
        <f>Table3.110[[#This Row],[Net gas 8h, ml]]*Table3.110[[#This Row],[CH4 8h %]]%</f>
        <v>6.6271934249499296</v>
      </c>
      <c r="AK1186" s="94">
        <f>Table3.110[[#This Row],[Net gas 8-24h, ml]]*Table3.110[[#This Row],[CH4 24h, %]]%</f>
        <v>6.4002624921688946</v>
      </c>
      <c r="AL1186" s="94">
        <f>Table3.110[[#This Row],[CH4 8-24h, ml]]+Table3.110[[#This Row],[CH4 8h, ml]]</f>
        <v>13.027455917118825</v>
      </c>
      <c r="AM1186" s="94">
        <f>(Table3.110[[#This Row],[Net gas 24h, ml]]/Table3.110[[#This Row],[DM Incubated, mg]])*1000</f>
        <v>162.59357269491252</v>
      </c>
      <c r="AN1186" s="94">
        <f>'3.2 Digest'!X1186</f>
        <v>29.320333389604432</v>
      </c>
      <c r="AO1186" s="94">
        <f>Table3.110[[#This Row],[Digested feed, mg]]/Table3.110[[#This Row],[Net gas 24h, ml]]</f>
        <v>1.8032898166657878</v>
      </c>
      <c r="AP1186" s="94">
        <f>Table3.110[[#This Row],[CH4 8h, ml]]/Table3.110[[#This Row],[Net gas 8h, ml]]%</f>
        <v>15.4</v>
      </c>
      <c r="AQ1186" s="94">
        <f>Table3.110[[#This Row],[CH4 24h, ml]]/Table3.110[[#This Row],[Net gas 24h, ml]]%</f>
        <v>16.98067274815898</v>
      </c>
      <c r="AR1186" s="94">
        <f>Table3.110[[#This Row],[CH4 24h, ml]]/Table3.110[[#This Row],[DM Incubated, mg]]*1000</f>
        <v>27.60948248886308</v>
      </c>
      <c r="AS1186" s="94">
        <f>Table3.110[[#This Row],[CH4 24h, ml]]/Table3.110[[#This Row],[Digested feed, mg]]*1000</f>
        <v>94.16496777847712</v>
      </c>
      <c r="AT1186" s="255">
        <f>Table3.110[[#This Row],[CH4 24h, ml]]/'3.2 Digest'!AA1186</f>
        <v>-0.59945981408712468</v>
      </c>
      <c r="AU1186" s="255">
        <f>((Table3.110[[#This Row],[CH4 24h, ml]]/28.9)*16.04)/Table3.110[[#This Row],[DM Incubated, mg]]*1000</f>
        <v>15.323740454026428</v>
      </c>
      <c r="AV1186" s="255">
        <f>((Table3.110[[#This Row],[CH4 24h, ml]]/28.9)*16.04)/Table3.110[[#This Row],[Digested feed, mg]]*1000</f>
        <v>52.263186268746473</v>
      </c>
    </row>
    <row r="1187" spans="2:48" x14ac:dyDescent="0.35">
      <c r="B1187" s="90">
        <f t="shared" si="18"/>
        <v>1177</v>
      </c>
      <c r="C1187" s="140">
        <v>46085</v>
      </c>
      <c r="D1187" s="6" t="s">
        <v>16</v>
      </c>
      <c r="E1187" s="6" t="s">
        <v>421</v>
      </c>
      <c r="F1187" s="242" t="s">
        <v>264</v>
      </c>
      <c r="G1187" s="242" t="s">
        <v>265</v>
      </c>
      <c r="H1187" s="6" t="s">
        <v>266</v>
      </c>
      <c r="I1187" s="133" t="s">
        <v>22</v>
      </c>
      <c r="J1187" s="135" t="s">
        <v>23</v>
      </c>
      <c r="K1187" s="135" t="s">
        <v>215</v>
      </c>
      <c r="L1187" s="6" t="s">
        <v>420</v>
      </c>
      <c r="M1187" s="256">
        <v>30</v>
      </c>
      <c r="N1187" s="256">
        <v>71</v>
      </c>
      <c r="O1187" s="256">
        <v>3</v>
      </c>
      <c r="P1187" s="257">
        <v>1</v>
      </c>
      <c r="Q1187" s="6">
        <v>101</v>
      </c>
      <c r="R1187" s="98">
        <v>0.50039999999999996</v>
      </c>
      <c r="S1187" s="94">
        <f>((Table3.110[[#This Row],[Sample weight, g]]*'2.1. DM'!Q267)/100)*1000</f>
        <v>480.61709316273499</v>
      </c>
      <c r="T1187" s="94">
        <f>'3.2 Digest'!W1187</f>
        <v>128.61709316273499</v>
      </c>
      <c r="U1187" s="117">
        <v>0.33750000000000002</v>
      </c>
      <c r="V1187" s="155">
        <v>41</v>
      </c>
      <c r="W1187" s="117">
        <v>0.67361111111111116</v>
      </c>
      <c r="X1187" s="96">
        <v>85</v>
      </c>
      <c r="Y1187" s="96">
        <v>14.8</v>
      </c>
      <c r="Z1187" s="155">
        <v>40.5</v>
      </c>
      <c r="AA1187" s="117">
        <v>0.34583333333333333</v>
      </c>
      <c r="AB1187" s="155">
        <v>80</v>
      </c>
      <c r="AC1187" s="155">
        <v>18.399999999999999</v>
      </c>
      <c r="AD1187" s="96"/>
      <c r="AE1187" s="94">
        <f>Table3.110[[#This Row],[Gas 8h, ml]]-Table3.110[[#This Row],[Gas 0h, ml]]</f>
        <v>44</v>
      </c>
      <c r="AF1187" s="94">
        <f>Table3.110[[#This Row],[Gas 24h, ml]]-Table3.110[[#This Row],[V8 Push back, ml]]</f>
        <v>39.5</v>
      </c>
      <c r="AG1187" s="94">
        <f>Table3.110[[#This Row],[GP 8h, ml]]-(AVERAGE(AE$1159,AE$1160,AE$1193,AE$1194,AE$1229,AE$1230))*$AG$8</f>
        <v>40.533723538635904</v>
      </c>
      <c r="AH1187" s="94">
        <f>Table3.110[[#This Row],[GP 8-24h, ml]]-(AVERAGE(AF$1159,AF$1160,AF$1193,AF$1194,AF$1229,AF$1230))*$AG$8</f>
        <v>35.185592064046816</v>
      </c>
      <c r="AI1187" s="94">
        <f>Table3.110[[#This Row],[Net gas 8-24h, ml]]+Table3.110[[#This Row],[Net gas 8h, ml]]</f>
        <v>75.719315602682713</v>
      </c>
      <c r="AJ1187" s="94">
        <f>Table3.110[[#This Row],[Net gas 8h, ml]]*Table3.110[[#This Row],[CH4 8h %]]%</f>
        <v>5.9989910837181144</v>
      </c>
      <c r="AK1187" s="94">
        <f>Table3.110[[#This Row],[Net gas 8-24h, ml]]*Table3.110[[#This Row],[CH4 24h, %]]%</f>
        <v>6.4741489397846141</v>
      </c>
      <c r="AL1187" s="94">
        <f>Table3.110[[#This Row],[CH4 8-24h, ml]]+Table3.110[[#This Row],[CH4 8h, ml]]</f>
        <v>12.473140023502729</v>
      </c>
      <c r="AM1187" s="94">
        <f>(Table3.110[[#This Row],[Net gas 24h, ml]]/Table3.110[[#This Row],[DM Incubated, mg]])*1000</f>
        <v>157.546031299899</v>
      </c>
      <c r="AN1187" s="94">
        <f>'3.2 Digest'!X1187</f>
        <v>26.760823739405744</v>
      </c>
      <c r="AO1187" s="94">
        <f>Table3.110[[#This Row],[Digested feed, mg]]/Table3.110[[#This Row],[Net gas 24h, ml]]</f>
        <v>1.698603482334937</v>
      </c>
      <c r="AP1187" s="94">
        <f>Table3.110[[#This Row],[CH4 8h, ml]]/Table3.110[[#This Row],[Net gas 8h, ml]]%</f>
        <v>14.800000000000002</v>
      </c>
      <c r="AQ1187" s="94">
        <f>Table3.110[[#This Row],[CH4 24h, ml]]/Table3.110[[#This Row],[Net gas 24h, ml]]%</f>
        <v>16.472864188250547</v>
      </c>
      <c r="AR1187" s="94">
        <f>Table3.110[[#This Row],[CH4 24h, ml]]/Table3.110[[#This Row],[DM Incubated, mg]]*1000</f>
        <v>25.952343770011058</v>
      </c>
      <c r="AS1187" s="94">
        <f>Table3.110[[#This Row],[CH4 24h, ml]]/Table3.110[[#This Row],[Digested feed, mg]]*1000</f>
        <v>96.978867402335666</v>
      </c>
      <c r="AT1187" s="255">
        <f>Table3.110[[#This Row],[CH4 24h, ml]]/'3.2 Digest'!AA1187</f>
        <v>-0.65258375190747409</v>
      </c>
      <c r="AU1187" s="255">
        <f>((Table3.110[[#This Row],[CH4 24h, ml]]/28.9)*16.04)/Table3.110[[#This Row],[DM Incubated, mg]]*1000</f>
        <v>14.403999794843507</v>
      </c>
      <c r="AV1187" s="255">
        <f>((Table3.110[[#This Row],[CH4 24h, ml]]/28.9)*16.04)/Table3.110[[#This Row],[Digested feed, mg]]*1000</f>
        <v>53.824949243372458</v>
      </c>
    </row>
    <row r="1188" spans="2:48" x14ac:dyDescent="0.35">
      <c r="B1188" s="90">
        <f t="shared" si="18"/>
        <v>1178</v>
      </c>
      <c r="C1188" s="140">
        <v>46085</v>
      </c>
      <c r="D1188" s="6" t="s">
        <v>16</v>
      </c>
      <c r="E1188" s="6" t="s">
        <v>421</v>
      </c>
      <c r="F1188" s="242" t="s">
        <v>264</v>
      </c>
      <c r="G1188" s="242" t="s">
        <v>265</v>
      </c>
      <c r="H1188" s="6" t="s">
        <v>266</v>
      </c>
      <c r="I1188" s="133" t="s">
        <v>22</v>
      </c>
      <c r="J1188" s="135" t="s">
        <v>23</v>
      </c>
      <c r="K1188" s="135" t="s">
        <v>215</v>
      </c>
      <c r="L1188" s="6" t="s">
        <v>420</v>
      </c>
      <c r="M1188" s="256">
        <v>30</v>
      </c>
      <c r="N1188" s="256">
        <v>71</v>
      </c>
      <c r="O1188" s="256">
        <v>3</v>
      </c>
      <c r="P1188" s="257">
        <v>2</v>
      </c>
      <c r="Q1188" s="129">
        <v>102</v>
      </c>
      <c r="R1188" s="98">
        <v>0.50039999999999996</v>
      </c>
      <c r="S1188" s="94">
        <f>((Table3.110[[#This Row],[Sample weight, g]]*'2.1. DM'!Q267)/100)*1000</f>
        <v>480.61709316273499</v>
      </c>
      <c r="T1188" s="94">
        <f>'3.2 Digest'!W1188</f>
        <v>112.51709316273491</v>
      </c>
      <c r="U1188" s="153">
        <v>0.33750000000000002</v>
      </c>
      <c r="V1188" s="154">
        <v>40</v>
      </c>
      <c r="W1188" s="153">
        <v>0.6743055555555556</v>
      </c>
      <c r="X1188" s="91">
        <v>85.5</v>
      </c>
      <c r="Y1188" s="91">
        <v>14.7</v>
      </c>
      <c r="Z1188" s="154">
        <v>40</v>
      </c>
      <c r="AA1188" s="153">
        <v>0.34652777777777777</v>
      </c>
      <c r="AB1188" s="154">
        <v>78</v>
      </c>
      <c r="AC1188" s="154">
        <v>18</v>
      </c>
      <c r="AD1188" s="91"/>
      <c r="AE1188" s="94">
        <f>Table3.110[[#This Row],[Gas 8h, ml]]-Table3.110[[#This Row],[Gas 0h, ml]]</f>
        <v>45.5</v>
      </c>
      <c r="AF1188" s="94">
        <f>Table3.110[[#This Row],[Gas 24h, ml]]-Table3.110[[#This Row],[V8 Push back, ml]]</f>
        <v>38</v>
      </c>
      <c r="AG1188" s="94">
        <f>Table3.110[[#This Row],[GP 8h, ml]]-(AVERAGE(AE$1159,AE$1160,AE$1193,AE$1194,AE$1229,AE$1230))*$AG$8</f>
        <v>42.033723538635904</v>
      </c>
      <c r="AH1188" s="94">
        <f>Table3.110[[#This Row],[GP 8-24h, ml]]-(AVERAGE(AF$1159,AF$1160,AF$1193,AF$1194,AF$1229,AF$1230))*$AG$8</f>
        <v>33.685592064046816</v>
      </c>
      <c r="AI1188" s="94">
        <f>Table3.110[[#This Row],[Net gas 8-24h, ml]]+Table3.110[[#This Row],[Net gas 8h, ml]]</f>
        <v>75.719315602682713</v>
      </c>
      <c r="AJ1188" s="94">
        <f>Table3.110[[#This Row],[Net gas 8h, ml]]*Table3.110[[#This Row],[CH4 8h %]]%</f>
        <v>6.1789573601794778</v>
      </c>
      <c r="AK1188" s="94">
        <f>Table3.110[[#This Row],[Net gas 8-24h, ml]]*Table3.110[[#This Row],[CH4 24h, %]]%</f>
        <v>6.0634065715284269</v>
      </c>
      <c r="AL1188" s="94">
        <f>Table3.110[[#This Row],[CH4 8-24h, ml]]+Table3.110[[#This Row],[CH4 8h, ml]]</f>
        <v>12.242363931707905</v>
      </c>
      <c r="AM1188" s="94">
        <f>(Table3.110[[#This Row],[Net gas 24h, ml]]/Table3.110[[#This Row],[DM Incubated, mg]])*1000</f>
        <v>157.546031299899</v>
      </c>
      <c r="AN1188" s="94">
        <f>'3.2 Digest'!X1188</f>
        <v>23.410963688850135</v>
      </c>
      <c r="AO1188" s="94">
        <f>Table3.110[[#This Row],[Digested feed, mg]]/Table3.110[[#This Row],[Net gas 24h, ml]]</f>
        <v>1.4859760982671701</v>
      </c>
      <c r="AP1188" s="94">
        <f>Table3.110[[#This Row],[CH4 8h, ml]]/Table3.110[[#This Row],[Net gas 8h, ml]]%</f>
        <v>14.7</v>
      </c>
      <c r="AQ1188" s="94">
        <f>Table3.110[[#This Row],[CH4 24h, ml]]/Table3.110[[#This Row],[Net gas 24h, ml]]%</f>
        <v>16.168085823631191</v>
      </c>
      <c r="AR1188" s="94">
        <f>Table3.110[[#This Row],[CH4 24h, ml]]/Table3.110[[#This Row],[DM Incubated, mg]]*1000</f>
        <v>25.472177552292525</v>
      </c>
      <c r="AS1188" s="94">
        <f>Table3.110[[#This Row],[CH4 24h, ml]]/Table3.110[[#This Row],[Digested feed, mg]]*1000</f>
        <v>108.80448105783907</v>
      </c>
      <c r="AT1188" s="255">
        <f>Table3.110[[#This Row],[CH4 24h, ml]]/'3.2 Digest'!AA1188</f>
        <v>-0.49843597213918373</v>
      </c>
      <c r="AU1188" s="255">
        <f>((Table3.110[[#This Row],[CH4 24h, ml]]/28.9)*16.04)/Table3.110[[#This Row],[DM Incubated, mg]]*1000</f>
        <v>14.137499236635716</v>
      </c>
      <c r="AV1188" s="255">
        <f>((Table3.110[[#This Row],[CH4 24h, ml]]/28.9)*16.04)/Table3.110[[#This Row],[Digested feed, mg]]*1000</f>
        <v>60.388369417568818</v>
      </c>
    </row>
    <row r="1189" spans="2:48" x14ac:dyDescent="0.35">
      <c r="B1189" s="90">
        <f t="shared" si="18"/>
        <v>1179</v>
      </c>
      <c r="C1189" s="140">
        <v>46085</v>
      </c>
      <c r="D1189" s="6" t="s">
        <v>16</v>
      </c>
      <c r="E1189" s="6" t="s">
        <v>423</v>
      </c>
      <c r="F1189" s="242" t="s">
        <v>212</v>
      </c>
      <c r="G1189" s="242" t="s">
        <v>424</v>
      </c>
      <c r="H1189" s="6" t="s">
        <v>425</v>
      </c>
      <c r="I1189" s="133" t="s">
        <v>22</v>
      </c>
      <c r="J1189" s="135" t="s">
        <v>23</v>
      </c>
      <c r="K1189" s="135" t="s">
        <v>215</v>
      </c>
      <c r="L1189" s="6" t="s">
        <v>422</v>
      </c>
      <c r="M1189" s="256">
        <v>30</v>
      </c>
      <c r="N1189" s="256">
        <v>71</v>
      </c>
      <c r="O1189" s="256">
        <v>3</v>
      </c>
      <c r="P1189" s="257">
        <v>1</v>
      </c>
      <c r="Q1189" s="6">
        <v>103</v>
      </c>
      <c r="R1189" s="98">
        <v>0.50029999999999997</v>
      </c>
      <c r="S1189" s="94">
        <f>((Table3.110[[#This Row],[Sample weight, g]]*'2.1. DM'!Q269)/100)*1000</f>
        <v>466.91663967056667</v>
      </c>
      <c r="T1189" s="94">
        <f>'3.2 Digest'!W1189</f>
        <v>122.51663967056675</v>
      </c>
      <c r="U1189" s="153">
        <v>0.33819444444444446</v>
      </c>
      <c r="V1189" s="154">
        <v>41</v>
      </c>
      <c r="W1189" s="153">
        <v>0.6743055555555556</v>
      </c>
      <c r="X1189" s="91">
        <v>80.5</v>
      </c>
      <c r="Y1189" s="91">
        <v>13.1</v>
      </c>
      <c r="Z1189" s="154">
        <v>40</v>
      </c>
      <c r="AA1189" s="153">
        <v>0.34652777777777777</v>
      </c>
      <c r="AB1189" s="154">
        <v>74</v>
      </c>
      <c r="AC1189" s="154">
        <v>16</v>
      </c>
      <c r="AD1189" s="91"/>
      <c r="AE1189" s="94">
        <f>Table3.110[[#This Row],[Gas 8h, ml]]-Table3.110[[#This Row],[Gas 0h, ml]]</f>
        <v>39.5</v>
      </c>
      <c r="AF1189" s="94">
        <f>Table3.110[[#This Row],[Gas 24h, ml]]-Table3.110[[#This Row],[V8 Push back, ml]]</f>
        <v>34</v>
      </c>
      <c r="AG1189" s="94">
        <f>Table3.110[[#This Row],[GP 8h, ml]]-(AVERAGE(AE$1159,AE$1160,AE$1193,AE$1194,AE$1229,AE$1230))*$AG$8</f>
        <v>36.033723538635904</v>
      </c>
      <c r="AH1189" s="94">
        <f>Table3.110[[#This Row],[GP 8-24h, ml]]-(AVERAGE(AF$1159,AF$1160,AF$1193,AF$1194,AF$1229,AF$1230))*$AG$8</f>
        <v>29.685592064046812</v>
      </c>
      <c r="AI1189" s="94">
        <f>Table3.110[[#This Row],[Net gas 8-24h, ml]]+Table3.110[[#This Row],[Net gas 8h, ml]]</f>
        <v>65.719315602682713</v>
      </c>
      <c r="AJ1189" s="94">
        <f>Table3.110[[#This Row],[Net gas 8h, ml]]*Table3.110[[#This Row],[CH4 8h %]]%</f>
        <v>4.7204177835613033</v>
      </c>
      <c r="AK1189" s="94">
        <f>Table3.110[[#This Row],[Net gas 8-24h, ml]]*Table3.110[[#This Row],[CH4 24h, %]]%</f>
        <v>4.7496947302474899</v>
      </c>
      <c r="AL1189" s="94">
        <f>Table3.110[[#This Row],[CH4 8-24h, ml]]+Table3.110[[#This Row],[CH4 8h, ml]]</f>
        <v>9.4701125138087932</v>
      </c>
      <c r="AM1189" s="94">
        <f>(Table3.110[[#This Row],[Net gas 24h, ml]]/Table3.110[[#This Row],[DM Incubated, mg]])*1000</f>
        <v>140.7517103032589</v>
      </c>
      <c r="AN1189" s="94">
        <f>'3.2 Digest'!X1189</f>
        <v>26.239510281108945</v>
      </c>
      <c r="AO1189" s="94">
        <f>Table3.110[[#This Row],[Digested feed, mg]]/Table3.110[[#This Row],[Net gas 24h, ml]]</f>
        <v>1.8642409548398511</v>
      </c>
      <c r="AP1189" s="94">
        <f>Table3.110[[#This Row],[CH4 8h, ml]]/Table3.110[[#This Row],[Net gas 8h, ml]]%</f>
        <v>13.1</v>
      </c>
      <c r="AQ1189" s="94">
        <f>Table3.110[[#This Row],[CH4 24h, ml]]/Table3.110[[#This Row],[Net gas 24h, ml]]%</f>
        <v>14.409937819593203</v>
      </c>
      <c r="AR1189" s="94">
        <f>Table3.110[[#This Row],[CH4 24h, ml]]/Table3.110[[#This Row],[DM Incubated, mg]]*1000</f>
        <v>20.282233934713563</v>
      </c>
      <c r="AS1189" s="94">
        <f>Table3.110[[#This Row],[CH4 24h, ml]]/Table3.110[[#This Row],[Digested feed, mg]]*1000</f>
        <v>77.296541427130592</v>
      </c>
      <c r="AT1189" s="255">
        <f>Table3.110[[#This Row],[CH4 24h, ml]]/'3.2 Digest'!AA1189</f>
        <v>-0.29081465204594431</v>
      </c>
      <c r="AU1189" s="255">
        <f>((Table3.110[[#This Row],[CH4 24h, ml]]/28.9)*16.04)/Table3.110[[#This Row],[DM Incubated, mg]]*1000</f>
        <v>11.256990737467319</v>
      </c>
      <c r="AV1189" s="255">
        <f>((Table3.110[[#This Row],[CH4 24h, ml]]/28.9)*16.04)/Table3.110[[#This Row],[Digested feed, mg]]*1000</f>
        <v>42.900917802462786</v>
      </c>
    </row>
    <row r="1190" spans="2:48" x14ac:dyDescent="0.35">
      <c r="B1190" s="90">
        <f t="shared" si="18"/>
        <v>1180</v>
      </c>
      <c r="C1190" s="140">
        <v>46085</v>
      </c>
      <c r="D1190" s="6" t="s">
        <v>16</v>
      </c>
      <c r="E1190" s="6" t="s">
        <v>423</v>
      </c>
      <c r="F1190" s="242" t="s">
        <v>212</v>
      </c>
      <c r="G1190" s="242" t="s">
        <v>424</v>
      </c>
      <c r="H1190" s="6" t="s">
        <v>425</v>
      </c>
      <c r="I1190" s="133" t="s">
        <v>22</v>
      </c>
      <c r="J1190" s="135" t="s">
        <v>23</v>
      </c>
      <c r="K1190" s="135" t="s">
        <v>215</v>
      </c>
      <c r="L1190" s="6" t="s">
        <v>422</v>
      </c>
      <c r="M1190" s="256">
        <v>30</v>
      </c>
      <c r="N1190" s="256">
        <v>71</v>
      </c>
      <c r="O1190" s="256">
        <v>3</v>
      </c>
      <c r="P1190" s="257">
        <v>2</v>
      </c>
      <c r="Q1190" s="129">
        <v>104</v>
      </c>
      <c r="R1190" s="98">
        <v>0.50029999999999997</v>
      </c>
      <c r="S1190" s="94">
        <f>((Table3.110[[#This Row],[Sample weight, g]]*'2.1. DM'!Q269)/100)*1000</f>
        <v>466.91663967056667</v>
      </c>
      <c r="T1190" s="94">
        <f>'3.2 Digest'!W1190</f>
        <v>106.61663967056671</v>
      </c>
      <c r="U1190" s="117">
        <v>0.33819444444444446</v>
      </c>
      <c r="V1190" s="155">
        <v>41</v>
      </c>
      <c r="W1190" s="117">
        <v>0.67500000000000004</v>
      </c>
      <c r="X1190" s="96">
        <v>79</v>
      </c>
      <c r="Y1190" s="96">
        <v>13</v>
      </c>
      <c r="Z1190" s="155">
        <v>40</v>
      </c>
      <c r="AA1190" s="117">
        <v>0.34722222222222221</v>
      </c>
      <c r="AB1190" s="155">
        <v>75</v>
      </c>
      <c r="AC1190" s="155">
        <v>15.8</v>
      </c>
      <c r="AD1190" s="96"/>
      <c r="AE1190" s="94">
        <f>Table3.110[[#This Row],[Gas 8h, ml]]-Table3.110[[#This Row],[Gas 0h, ml]]</f>
        <v>38</v>
      </c>
      <c r="AF1190" s="94">
        <f>Table3.110[[#This Row],[Gas 24h, ml]]-Table3.110[[#This Row],[V8 Push back, ml]]</f>
        <v>35</v>
      </c>
      <c r="AG1190" s="94">
        <f>Table3.110[[#This Row],[GP 8h, ml]]-(AVERAGE(AE$1159,AE$1160,AE$1193,AE$1194,AE$1229,AE$1230))*$AG$8</f>
        <v>34.533723538635904</v>
      </c>
      <c r="AH1190" s="94">
        <f>Table3.110[[#This Row],[GP 8-24h, ml]]-(AVERAGE(AF$1159,AF$1160,AF$1193,AF$1194,AF$1229,AF$1230))*$AG$8</f>
        <v>30.685592064046812</v>
      </c>
      <c r="AI1190" s="94">
        <f>Table3.110[[#This Row],[Net gas 8-24h, ml]]+Table3.110[[#This Row],[Net gas 8h, ml]]</f>
        <v>65.219315602682713</v>
      </c>
      <c r="AJ1190" s="94">
        <f>Table3.110[[#This Row],[Net gas 8h, ml]]*Table3.110[[#This Row],[CH4 8h %]]%</f>
        <v>4.489384060022668</v>
      </c>
      <c r="AK1190" s="94">
        <f>Table3.110[[#This Row],[Net gas 8-24h, ml]]*Table3.110[[#This Row],[CH4 24h, %]]%</f>
        <v>4.8483235461193965</v>
      </c>
      <c r="AL1190" s="94">
        <f>Table3.110[[#This Row],[CH4 8-24h, ml]]+Table3.110[[#This Row],[CH4 8h, ml]]</f>
        <v>9.3377076061420645</v>
      </c>
      <c r="AM1190" s="94">
        <f>(Table3.110[[#This Row],[Net gas 24h, ml]]/Table3.110[[#This Row],[DM Incubated, mg]])*1000</f>
        <v>139.68085534218321</v>
      </c>
      <c r="AN1190" s="94">
        <f>'3.2 Digest'!X1190</f>
        <v>22.834191504888356</v>
      </c>
      <c r="AO1190" s="94">
        <f>Table3.110[[#This Row],[Digested feed, mg]]/Table3.110[[#This Row],[Net gas 24h, ml]]</f>
        <v>1.6347402404538751</v>
      </c>
      <c r="AP1190" s="94">
        <f>Table3.110[[#This Row],[CH4 8h, ml]]/Table3.110[[#This Row],[Net gas 8h, ml]]%</f>
        <v>13.000000000000002</v>
      </c>
      <c r="AQ1190" s="94">
        <f>Table3.110[[#This Row],[CH4 24h, ml]]/Table3.110[[#This Row],[Net gas 24h, ml]]%</f>
        <v>14.317395881654988</v>
      </c>
      <c r="AR1190" s="94">
        <f>Table3.110[[#This Row],[CH4 24h, ml]]/Table3.110[[#This Row],[DM Incubated, mg]]*1000</f>
        <v>19.998661030222205</v>
      </c>
      <c r="AS1190" s="94">
        <f>Table3.110[[#This Row],[CH4 24h, ml]]/Table3.110[[#This Row],[Digested feed, mg]]*1000</f>
        <v>87.582085075974248</v>
      </c>
      <c r="AT1190" s="255">
        <f>Table3.110[[#This Row],[CH4 24h, ml]]/'3.2 Digest'!AA1190</f>
        <v>-0.24138297101600947</v>
      </c>
      <c r="AU1190" s="255">
        <f>((Table3.110[[#This Row],[CH4 24h, ml]]/28.9)*16.04)/Table3.110[[#This Row],[DM Incubated, mg]]*1000</f>
        <v>11.099602869369003</v>
      </c>
      <c r="AV1190" s="255">
        <f>((Table3.110[[#This Row],[CH4 24h, ml]]/28.9)*16.04)/Table3.110[[#This Row],[Digested feed, mg]]*1000</f>
        <v>48.609572478153183</v>
      </c>
    </row>
    <row r="1191" spans="2:48" x14ac:dyDescent="0.35">
      <c r="B1191" s="90">
        <f t="shared" si="18"/>
        <v>1181</v>
      </c>
      <c r="C1191" s="140">
        <v>46085</v>
      </c>
      <c r="D1191" s="6" t="s">
        <v>16</v>
      </c>
      <c r="E1191" s="6" t="s">
        <v>427</v>
      </c>
      <c r="F1191" s="242" t="s">
        <v>226</v>
      </c>
      <c r="G1191" s="242" t="s">
        <v>231</v>
      </c>
      <c r="H1191" s="6" t="s">
        <v>232</v>
      </c>
      <c r="I1191" s="133" t="s">
        <v>22</v>
      </c>
      <c r="J1191" s="135" t="s">
        <v>23</v>
      </c>
      <c r="K1191" s="135" t="s">
        <v>215</v>
      </c>
      <c r="L1191" s="6" t="s">
        <v>426</v>
      </c>
      <c r="M1191" s="256">
        <v>30</v>
      </c>
      <c r="N1191" s="256">
        <v>71</v>
      </c>
      <c r="O1191" s="256">
        <v>3</v>
      </c>
      <c r="P1191" s="257">
        <v>1</v>
      </c>
      <c r="Q1191" s="129">
        <v>105</v>
      </c>
      <c r="R1191" s="98">
        <v>0.50039999999999996</v>
      </c>
      <c r="S1191" s="94">
        <f>((Table3.110[[#This Row],[Sample weight, g]]*'2.1. DM'!Q271)/100)*1000</f>
        <v>472.43879919082701</v>
      </c>
      <c r="T1191" s="94">
        <f>'3.2 Digest'!W1191</f>
        <v>166.53879919082698</v>
      </c>
      <c r="U1191" s="153">
        <v>0.33819444444444446</v>
      </c>
      <c r="V1191" s="154">
        <v>40.5</v>
      </c>
      <c r="W1191" s="153">
        <v>0.67569444444444449</v>
      </c>
      <c r="X1191" s="91">
        <v>92</v>
      </c>
      <c r="Y1191" s="91">
        <v>14.5</v>
      </c>
      <c r="Z1191" s="154">
        <v>40</v>
      </c>
      <c r="AA1191" s="153">
        <v>0.34722222222222221</v>
      </c>
      <c r="AB1191" s="154">
        <v>86</v>
      </c>
      <c r="AC1191" s="154">
        <v>16.8</v>
      </c>
      <c r="AD1191" s="91"/>
      <c r="AE1191" s="94">
        <f>Table3.110[[#This Row],[Gas 8h, ml]]-Table3.110[[#This Row],[Gas 0h, ml]]</f>
        <v>51.5</v>
      </c>
      <c r="AF1191" s="94">
        <f>Table3.110[[#This Row],[Gas 24h, ml]]-Table3.110[[#This Row],[V8 Push back, ml]]</f>
        <v>46</v>
      </c>
      <c r="AG1191" s="94">
        <f>Table3.110[[#This Row],[GP 8h, ml]]-(AVERAGE(AE$1159,AE$1160,AE$1193,AE$1194,AE$1229,AE$1230))*$AG$8</f>
        <v>48.033723538635904</v>
      </c>
      <c r="AH1191" s="94">
        <f>Table3.110[[#This Row],[GP 8-24h, ml]]-(AVERAGE(AF$1159,AF$1160,AF$1193,AF$1194,AF$1229,AF$1230))*$AG$8</f>
        <v>41.685592064046816</v>
      </c>
      <c r="AI1191" s="94">
        <f>Table3.110[[#This Row],[Net gas 8-24h, ml]]+Table3.110[[#This Row],[Net gas 8h, ml]]</f>
        <v>89.719315602682713</v>
      </c>
      <c r="AJ1191" s="94">
        <f>Table3.110[[#This Row],[Net gas 8h, ml]]*Table3.110[[#This Row],[CH4 8h %]]%</f>
        <v>6.9648899131022057</v>
      </c>
      <c r="AK1191" s="94">
        <f>Table3.110[[#This Row],[Net gas 8-24h, ml]]*Table3.110[[#This Row],[CH4 24h, %]]%</f>
        <v>7.0031794667598657</v>
      </c>
      <c r="AL1191" s="94">
        <f>Table3.110[[#This Row],[CH4 8-24h, ml]]+Table3.110[[#This Row],[CH4 8h, ml]]</f>
        <v>13.968069379862072</v>
      </c>
      <c r="AM1191" s="94">
        <f>(Table3.110[[#This Row],[Net gas 24h, ml]]/Table3.110[[#This Row],[DM Incubated, mg]])*1000</f>
        <v>189.90674719424004</v>
      </c>
      <c r="AN1191" s="94">
        <f>'3.2 Digest'!X1191</f>
        <v>35.250872594729202</v>
      </c>
      <c r="AO1191" s="94">
        <f>Table3.110[[#This Row],[Digested feed, mg]]/Table3.110[[#This Row],[Net gas 24h, ml]]</f>
        <v>1.8562201246422267</v>
      </c>
      <c r="AP1191" s="94">
        <f>Table3.110[[#This Row],[CH4 8h, ml]]/Table3.110[[#This Row],[Net gas 8h, ml]]%</f>
        <v>14.5</v>
      </c>
      <c r="AQ1191" s="94">
        <f>Table3.110[[#This Row],[CH4 24h, ml]]/Table3.110[[#This Row],[Net gas 24h, ml]]%</f>
        <v>15.568631220638078</v>
      </c>
      <c r="AR1191" s="94">
        <f>Table3.110[[#This Row],[CH4 24h, ml]]/Table3.110[[#This Row],[DM Incubated, mg]]*1000</f>
        <v>29.565881133780682</v>
      </c>
      <c r="AS1191" s="94">
        <f>Table3.110[[#This Row],[CH4 24h, ml]]/Table3.110[[#This Row],[Digested feed, mg]]*1000</f>
        <v>83.872763870819597</v>
      </c>
      <c r="AT1191" s="255">
        <f>Table3.110[[#This Row],[CH4 24h, ml]]/'3.2 Digest'!AA1191</f>
        <v>-0.79281238127619968</v>
      </c>
      <c r="AU1191" s="255">
        <f>((Table3.110[[#This Row],[CH4 24h, ml]]/28.9)*16.04)/Table3.110[[#This Row],[DM Incubated, mg]]*1000</f>
        <v>16.409575549683122</v>
      </c>
      <c r="AV1191" s="255">
        <f>((Table3.110[[#This Row],[CH4 24h, ml]]/28.9)*16.04)/Table3.110[[#This Row],[Digested feed, mg]]*1000</f>
        <v>46.550835034184992</v>
      </c>
    </row>
    <row r="1192" spans="2:48" x14ac:dyDescent="0.35">
      <c r="B1192" s="90">
        <f t="shared" si="18"/>
        <v>1182</v>
      </c>
      <c r="C1192" s="140">
        <v>46085</v>
      </c>
      <c r="D1192" s="6" t="s">
        <v>16</v>
      </c>
      <c r="E1192" s="6" t="s">
        <v>427</v>
      </c>
      <c r="F1192" s="242" t="s">
        <v>226</v>
      </c>
      <c r="G1192" s="242" t="s">
        <v>231</v>
      </c>
      <c r="H1192" s="6" t="s">
        <v>232</v>
      </c>
      <c r="I1192" s="133" t="s">
        <v>22</v>
      </c>
      <c r="J1192" s="135" t="s">
        <v>23</v>
      </c>
      <c r="K1192" s="135" t="s">
        <v>215</v>
      </c>
      <c r="L1192" s="6" t="s">
        <v>426</v>
      </c>
      <c r="M1192" s="256">
        <v>30</v>
      </c>
      <c r="N1192" s="256">
        <v>71</v>
      </c>
      <c r="O1192" s="256">
        <v>3</v>
      </c>
      <c r="P1192" s="257">
        <v>2</v>
      </c>
      <c r="Q1192" s="129">
        <v>106</v>
      </c>
      <c r="R1192" s="98">
        <v>0.5</v>
      </c>
      <c r="S1192" s="94">
        <f>((Table3.110[[#This Row],[Sample weight, g]]*'2.1. DM'!Q271)/100)*1000</f>
        <v>472.0611502706106</v>
      </c>
      <c r="T1192" s="94">
        <f>'3.2 Digest'!W1192</f>
        <v>144.46115027061057</v>
      </c>
      <c r="U1192" s="117">
        <v>0.33888888888888891</v>
      </c>
      <c r="V1192" s="155">
        <v>41</v>
      </c>
      <c r="W1192" s="117">
        <v>0.67569444444444449</v>
      </c>
      <c r="X1192" s="96">
        <v>91</v>
      </c>
      <c r="Y1192" s="96">
        <v>14.9</v>
      </c>
      <c r="Z1192" s="155">
        <v>40.5</v>
      </c>
      <c r="AA1192" s="117">
        <v>0.34791666666666665</v>
      </c>
      <c r="AB1192" s="155">
        <v>85.5</v>
      </c>
      <c r="AC1192" s="155">
        <v>16.899999999999999</v>
      </c>
      <c r="AD1192" s="96"/>
      <c r="AE1192" s="94">
        <f>Table3.110[[#This Row],[Gas 8h, ml]]-Table3.110[[#This Row],[Gas 0h, ml]]</f>
        <v>50</v>
      </c>
      <c r="AF1192" s="94">
        <f>Table3.110[[#This Row],[Gas 24h, ml]]-Table3.110[[#This Row],[V8 Push back, ml]]</f>
        <v>45</v>
      </c>
      <c r="AG1192" s="94">
        <f>Table3.110[[#This Row],[GP 8h, ml]]-(AVERAGE(AE$1159,AE$1160,AE$1193,AE$1194,AE$1229,AE$1230))*$AG$8</f>
        <v>46.533723538635904</v>
      </c>
      <c r="AH1192" s="94">
        <f>Table3.110[[#This Row],[GP 8-24h, ml]]-(AVERAGE(AF$1159,AF$1160,AF$1193,AF$1194,AF$1229,AF$1230))*$AG$8</f>
        <v>40.685592064046816</v>
      </c>
      <c r="AI1192" s="94">
        <f>Table3.110[[#This Row],[Net gas 8-24h, ml]]+Table3.110[[#This Row],[Net gas 8h, ml]]</f>
        <v>87.219315602682713</v>
      </c>
      <c r="AJ1192" s="94">
        <f>Table3.110[[#This Row],[Net gas 8h, ml]]*Table3.110[[#This Row],[CH4 8h %]]%</f>
        <v>6.9335248072567497</v>
      </c>
      <c r="AK1192" s="94">
        <f>Table3.110[[#This Row],[Net gas 8-24h, ml]]*Table3.110[[#This Row],[CH4 24h, %]]%</f>
        <v>6.8758650588239112</v>
      </c>
      <c r="AL1192" s="94">
        <f>Table3.110[[#This Row],[CH4 8-24h, ml]]+Table3.110[[#This Row],[CH4 8h, ml]]</f>
        <v>13.809389866080661</v>
      </c>
      <c r="AM1192" s="94">
        <f>(Table3.110[[#This Row],[Net gas 24h, ml]]/Table3.110[[#This Row],[DM Incubated, mg]])*1000</f>
        <v>184.76274853942959</v>
      </c>
      <c r="AN1192" s="94">
        <f>'3.2 Digest'!X1192</f>
        <v>30.602211215177892</v>
      </c>
      <c r="AO1192" s="94">
        <f>Table3.110[[#This Row],[Digested feed, mg]]/Table3.110[[#This Row],[Net gas 24h, ml]]</f>
        <v>1.6562976821405739</v>
      </c>
      <c r="AP1192" s="94">
        <f>Table3.110[[#This Row],[CH4 8h, ml]]/Table3.110[[#This Row],[Net gas 8h, ml]]%</f>
        <v>14.9</v>
      </c>
      <c r="AQ1192" s="94">
        <f>Table3.110[[#This Row],[CH4 24h, ml]]/Table3.110[[#This Row],[Net gas 24h, ml]]%</f>
        <v>15.832949124466539</v>
      </c>
      <c r="AR1192" s="94">
        <f>Table3.110[[#This Row],[CH4 24h, ml]]/Table3.110[[#This Row],[DM Incubated, mg]]*1000</f>
        <v>29.25339197721393</v>
      </c>
      <c r="AS1192" s="94">
        <f>Table3.110[[#This Row],[CH4 24h, ml]]/Table3.110[[#This Row],[Digested feed, mg]]*1000</f>
        <v>95.592412494378891</v>
      </c>
      <c r="AT1192" s="255">
        <f>Table3.110[[#This Row],[CH4 24h, ml]]/'3.2 Digest'!AA1192</f>
        <v>-0.52985085111918262</v>
      </c>
      <c r="AU1192" s="255">
        <f>((Table3.110[[#This Row],[CH4 24h, ml]]/28.9)*16.04)/Table3.110[[#This Row],[DM Incubated, mg]]*1000</f>
        <v>16.236138661401782</v>
      </c>
      <c r="AV1192" s="255">
        <f>((Table3.110[[#This Row],[CH4 24h, ml]]/28.9)*16.04)/Table3.110[[#This Row],[Digested feed, mg]]*1000</f>
        <v>53.055442782347313</v>
      </c>
    </row>
    <row r="1193" spans="2:48" x14ac:dyDescent="0.35">
      <c r="B1193" s="90">
        <f t="shared" si="18"/>
        <v>1183</v>
      </c>
      <c r="C1193" s="143">
        <v>46085</v>
      </c>
      <c r="D1193" s="6"/>
      <c r="E1193" s="124" t="s">
        <v>541</v>
      </c>
      <c r="F1193" s="242" t="s">
        <v>538</v>
      </c>
      <c r="G1193" s="242" t="s">
        <v>542</v>
      </c>
      <c r="H1193" s="124" t="s">
        <v>541</v>
      </c>
      <c r="I1193" s="133"/>
      <c r="J1193" s="135"/>
      <c r="K1193" s="135"/>
      <c r="L1193" s="124" t="s">
        <v>543</v>
      </c>
      <c r="M1193" s="256">
        <v>30</v>
      </c>
      <c r="N1193" s="256">
        <v>71</v>
      </c>
      <c r="O1193" s="256">
        <v>3</v>
      </c>
      <c r="P1193" s="257">
        <v>1</v>
      </c>
      <c r="Q1193" s="146">
        <v>107</v>
      </c>
      <c r="R1193" s="98"/>
      <c r="S1193" s="94"/>
      <c r="T1193" s="94"/>
      <c r="U1193" s="149">
        <v>0.33888888888888891</v>
      </c>
      <c r="V1193" s="150">
        <v>40</v>
      </c>
      <c r="W1193" s="149">
        <v>0.67638888888888893</v>
      </c>
      <c r="X1193" s="163">
        <v>43.5</v>
      </c>
      <c r="Y1193" s="163"/>
      <c r="Z1193" s="150"/>
      <c r="AA1193" s="149"/>
      <c r="AB1193" s="150"/>
      <c r="AC1193" s="150"/>
      <c r="AD1193" s="163"/>
      <c r="AE1193" s="94">
        <f>Table3.110[[#This Row],[Gas 8h, ml]]-Table3.110[[#This Row],[Gas 0h, ml]]</f>
        <v>3.5</v>
      </c>
      <c r="AF1193" s="94"/>
      <c r="AG1193" s="94"/>
      <c r="AH1193" s="94"/>
      <c r="AI1193" s="94"/>
      <c r="AJ1193" s="94"/>
      <c r="AK1193" s="94"/>
      <c r="AL1193" s="94"/>
      <c r="AM1193" s="94"/>
      <c r="AN1193" s="94"/>
      <c r="AO1193" s="94"/>
      <c r="AP1193" s="94"/>
      <c r="AQ1193" s="94"/>
      <c r="AR1193" s="94"/>
      <c r="AS1193" s="94"/>
      <c r="AT1193" s="255"/>
      <c r="AU1193" s="255"/>
      <c r="AV1193" s="255"/>
    </row>
    <row r="1194" spans="2:48" x14ac:dyDescent="0.35">
      <c r="B1194" s="90">
        <f t="shared" si="18"/>
        <v>1184</v>
      </c>
      <c r="C1194" s="143">
        <v>46085</v>
      </c>
      <c r="D1194" s="6"/>
      <c r="E1194" s="124" t="s">
        <v>541</v>
      </c>
      <c r="F1194" s="242" t="s">
        <v>538</v>
      </c>
      <c r="G1194" s="242" t="s">
        <v>542</v>
      </c>
      <c r="H1194" s="124" t="s">
        <v>541</v>
      </c>
      <c r="I1194" s="133"/>
      <c r="J1194" s="135"/>
      <c r="K1194" s="135"/>
      <c r="L1194" s="124" t="s">
        <v>543</v>
      </c>
      <c r="M1194" s="256">
        <v>30</v>
      </c>
      <c r="N1194" s="256">
        <v>71</v>
      </c>
      <c r="O1194" s="256">
        <v>3</v>
      </c>
      <c r="P1194" s="257">
        <v>2</v>
      </c>
      <c r="Q1194" s="124">
        <v>108</v>
      </c>
      <c r="R1194" s="98"/>
      <c r="S1194" s="94"/>
      <c r="T1194" s="94"/>
      <c r="U1194" s="151">
        <v>0.33888888888888891</v>
      </c>
      <c r="V1194" s="152">
        <v>39.5</v>
      </c>
      <c r="W1194" s="151">
        <v>0.67777777777777781</v>
      </c>
      <c r="X1194" s="164">
        <v>44</v>
      </c>
      <c r="Y1194" s="164"/>
      <c r="Z1194" s="152"/>
      <c r="AA1194" s="151"/>
      <c r="AB1194" s="152"/>
      <c r="AC1194" s="152"/>
      <c r="AD1194" s="164"/>
      <c r="AE1194" s="94">
        <f>Table3.110[[#This Row],[Gas 8h, ml]]-Table3.110[[#This Row],[Gas 0h, ml]]</f>
        <v>4.5</v>
      </c>
      <c r="AF1194" s="94"/>
      <c r="AG1194" s="94"/>
      <c r="AH1194" s="94"/>
      <c r="AI1194" s="94"/>
      <c r="AJ1194" s="94"/>
      <c r="AK1194" s="94"/>
      <c r="AL1194" s="94"/>
      <c r="AM1194" s="94"/>
      <c r="AN1194" s="94"/>
      <c r="AO1194" s="94"/>
      <c r="AP1194" s="94"/>
      <c r="AQ1194" s="94"/>
      <c r="AR1194" s="94"/>
      <c r="AS1194" s="94"/>
      <c r="AT1194" s="255"/>
      <c r="AU1194" s="255"/>
      <c r="AV1194" s="255"/>
    </row>
    <row r="1195" spans="2:48" x14ac:dyDescent="0.35">
      <c r="B1195" s="90">
        <f t="shared" si="18"/>
        <v>1185</v>
      </c>
      <c r="C1195" s="140">
        <v>46085</v>
      </c>
      <c r="D1195" s="6" t="s">
        <v>16</v>
      </c>
      <c r="E1195" s="6" t="s">
        <v>429</v>
      </c>
      <c r="F1195" s="242" t="s">
        <v>212</v>
      </c>
      <c r="G1195" s="242" t="s">
        <v>213</v>
      </c>
      <c r="H1195" s="6" t="s">
        <v>214</v>
      </c>
      <c r="I1195" s="133" t="s">
        <v>22</v>
      </c>
      <c r="J1195" s="135" t="s">
        <v>23</v>
      </c>
      <c r="K1195" s="135" t="s">
        <v>215</v>
      </c>
      <c r="L1195" s="6" t="s">
        <v>428</v>
      </c>
      <c r="M1195" s="256">
        <v>30</v>
      </c>
      <c r="N1195" s="256">
        <v>71</v>
      </c>
      <c r="O1195" s="256">
        <v>3</v>
      </c>
      <c r="P1195" s="257">
        <v>1</v>
      </c>
      <c r="Q1195" s="129">
        <v>109</v>
      </c>
      <c r="R1195" s="98">
        <v>0.50019999999999998</v>
      </c>
      <c r="S1195" s="94">
        <f>((Table3.110[[#This Row],[Sample weight, g]]*'2.1. DM'!Q273)/100)*1000</f>
        <v>466.84509665667184</v>
      </c>
      <c r="T1195" s="94">
        <f>'3.2 Digest'!W1195</f>
        <v>173.04509665667177</v>
      </c>
      <c r="U1195" s="153">
        <v>0.33958333333333335</v>
      </c>
      <c r="V1195" s="154">
        <v>41.5</v>
      </c>
      <c r="W1195" s="153">
        <v>0.67777777777777781</v>
      </c>
      <c r="X1195" s="91">
        <v>78</v>
      </c>
      <c r="Y1195" s="91">
        <v>15.1</v>
      </c>
      <c r="Z1195" s="154">
        <v>40.5</v>
      </c>
      <c r="AA1195" s="153">
        <v>0.34861111111111109</v>
      </c>
      <c r="AB1195" s="154">
        <v>76</v>
      </c>
      <c r="AC1195" s="154">
        <v>16.2</v>
      </c>
      <c r="AD1195" s="91"/>
      <c r="AE1195" s="94">
        <f>Table3.110[[#This Row],[Gas 8h, ml]]-Table3.110[[#This Row],[Gas 0h, ml]]</f>
        <v>36.5</v>
      </c>
      <c r="AF1195" s="94">
        <f>Table3.110[[#This Row],[Gas 24h, ml]]-Table3.110[[#This Row],[V8 Push back, ml]]</f>
        <v>35.5</v>
      </c>
      <c r="AG1195" s="94">
        <f>Table3.110[[#This Row],[GP 8h, ml]]-(AVERAGE(AE$1159,AE$1160,AE$1193,AE$1194,AE$1229,AE$1230))*$AG$8</f>
        <v>33.033723538635904</v>
      </c>
      <c r="AH1195" s="94">
        <f>Table3.110[[#This Row],[GP 8-24h, ml]]-(AVERAGE(AF$1159,AF$1160,AF$1193,AF$1194,AF$1229,AF$1230))*$AG$8</f>
        <v>31.185592064046812</v>
      </c>
      <c r="AI1195" s="94">
        <f>Table3.110[[#This Row],[Net gas 8-24h, ml]]+Table3.110[[#This Row],[Net gas 8h, ml]]</f>
        <v>64.219315602682713</v>
      </c>
      <c r="AJ1195" s="94">
        <f>Table3.110[[#This Row],[Net gas 8h, ml]]*Table3.110[[#This Row],[CH4 8h %]]%</f>
        <v>4.9880922543340214</v>
      </c>
      <c r="AK1195" s="94">
        <f>Table3.110[[#This Row],[Net gas 8-24h, ml]]*Table3.110[[#This Row],[CH4 24h, %]]%</f>
        <v>5.0520659143755839</v>
      </c>
      <c r="AL1195" s="94">
        <f>Table3.110[[#This Row],[CH4 8-24h, ml]]+Table3.110[[#This Row],[CH4 8h, ml]]</f>
        <v>10.040158168709606</v>
      </c>
      <c r="AM1195" s="94">
        <f>(Table3.110[[#This Row],[Net gas 24h, ml]]/Table3.110[[#This Row],[DM Incubated, mg]])*1000</f>
        <v>137.56022300028783</v>
      </c>
      <c r="AN1195" s="94">
        <f>'3.2 Digest'!X1195</f>
        <v>37.066919604798365</v>
      </c>
      <c r="AO1195" s="94">
        <f>Table3.110[[#This Row],[Digested feed, mg]]/Table3.110[[#This Row],[Net gas 24h, ml]]</f>
        <v>2.6945957774959992</v>
      </c>
      <c r="AP1195" s="94">
        <f>Table3.110[[#This Row],[CH4 8h, ml]]/Table3.110[[#This Row],[Net gas 8h, ml]]%</f>
        <v>15.099999999999998</v>
      </c>
      <c r="AQ1195" s="94">
        <f>Table3.110[[#This Row],[CH4 24h, ml]]/Table3.110[[#This Row],[Net gas 24h, ml]]%</f>
        <v>15.634171860109618</v>
      </c>
      <c r="AR1195" s="94">
        <f>Table3.110[[#This Row],[CH4 24h, ml]]/Table3.110[[#This Row],[DM Incubated, mg]]*1000</f>
        <v>21.506401675015042</v>
      </c>
      <c r="AS1195" s="94">
        <f>Table3.110[[#This Row],[CH4 24h, ml]]/Table3.110[[#This Row],[Digested feed, mg]]*1000</f>
        <v>58.020471904093711</v>
      </c>
      <c r="AT1195" s="255">
        <f>Table3.110[[#This Row],[CH4 24h, ml]]/'3.2 Digest'!AA1195</f>
        <v>-0.89950754523699572</v>
      </c>
      <c r="AU1195" s="255">
        <f>((Table3.110[[#This Row],[CH4 24h, ml]]/28.9)*16.04)/Table3.110[[#This Row],[DM Incubated, mg]]*1000</f>
        <v>11.936425012707309</v>
      </c>
      <c r="AV1195" s="255">
        <f>((Table3.110[[#This Row],[CH4 24h, ml]]/28.9)*16.04)/Table3.110[[#This Row],[Digested feed, mg]]*1000</f>
        <v>32.202365721164817</v>
      </c>
    </row>
    <row r="1196" spans="2:48" x14ac:dyDescent="0.35">
      <c r="B1196" s="90">
        <f t="shared" si="18"/>
        <v>1186</v>
      </c>
      <c r="C1196" s="140">
        <v>46085</v>
      </c>
      <c r="D1196" s="6" t="s">
        <v>16</v>
      </c>
      <c r="E1196" s="6" t="s">
        <v>429</v>
      </c>
      <c r="F1196" s="242" t="s">
        <v>212</v>
      </c>
      <c r="G1196" s="242" t="s">
        <v>213</v>
      </c>
      <c r="H1196" s="6" t="s">
        <v>214</v>
      </c>
      <c r="I1196" s="133" t="s">
        <v>22</v>
      </c>
      <c r="J1196" s="135" t="s">
        <v>23</v>
      </c>
      <c r="K1196" s="135" t="s">
        <v>215</v>
      </c>
      <c r="L1196" s="6" t="s">
        <v>428</v>
      </c>
      <c r="M1196" s="256">
        <v>30</v>
      </c>
      <c r="N1196" s="256">
        <v>71</v>
      </c>
      <c r="O1196" s="256">
        <v>3</v>
      </c>
      <c r="P1196" s="257">
        <v>2</v>
      </c>
      <c r="Q1196" s="129">
        <v>110</v>
      </c>
      <c r="R1196" s="98">
        <v>0.5</v>
      </c>
      <c r="S1196" s="94">
        <f>((Table3.110[[#This Row],[Sample weight, g]]*'2.1. DM'!Q273)/100)*1000</f>
        <v>466.65843328335853</v>
      </c>
      <c r="T1196" s="94">
        <f>'3.2 Digest'!W1196</f>
        <v>164.95843328335854</v>
      </c>
      <c r="U1196" s="117">
        <v>0.33958333333333335</v>
      </c>
      <c r="V1196" s="155">
        <v>40</v>
      </c>
      <c r="W1196" s="117">
        <v>0.67777777777777781</v>
      </c>
      <c r="X1196" s="96">
        <v>77.5</v>
      </c>
      <c r="Y1196" s="96">
        <v>14.9</v>
      </c>
      <c r="Z1196" s="155">
        <v>40</v>
      </c>
      <c r="AA1196" s="117">
        <v>0.34861111111111109</v>
      </c>
      <c r="AB1196" s="155">
        <v>75.5</v>
      </c>
      <c r="AC1196" s="155">
        <v>16.100000000000001</v>
      </c>
      <c r="AD1196" s="96"/>
      <c r="AE1196" s="94">
        <f>Table3.110[[#This Row],[Gas 8h, ml]]-Table3.110[[#This Row],[Gas 0h, ml]]</f>
        <v>37.5</v>
      </c>
      <c r="AF1196" s="94">
        <f>Table3.110[[#This Row],[Gas 24h, ml]]-Table3.110[[#This Row],[V8 Push back, ml]]</f>
        <v>35.5</v>
      </c>
      <c r="AG1196" s="94">
        <f>Table3.110[[#This Row],[GP 8h, ml]]-(AVERAGE(AE$1159,AE$1160,AE$1193,AE$1194,AE$1229,AE$1230))*$AG$8</f>
        <v>34.033723538635904</v>
      </c>
      <c r="AH1196" s="94">
        <f>Table3.110[[#This Row],[GP 8-24h, ml]]-(AVERAGE(AF$1159,AF$1160,AF$1193,AF$1194,AF$1229,AF$1230))*$AG$8</f>
        <v>31.185592064046812</v>
      </c>
      <c r="AI1196" s="94">
        <f>Table3.110[[#This Row],[Net gas 8-24h, ml]]+Table3.110[[#This Row],[Net gas 8h, ml]]</f>
        <v>65.219315602682713</v>
      </c>
      <c r="AJ1196" s="94">
        <f>Table3.110[[#This Row],[Net gas 8h, ml]]*Table3.110[[#This Row],[CH4 8h %]]%</f>
        <v>5.0710248072567499</v>
      </c>
      <c r="AK1196" s="94">
        <f>Table3.110[[#This Row],[Net gas 8-24h, ml]]*Table3.110[[#This Row],[CH4 24h, %]]%</f>
        <v>5.0208803223115366</v>
      </c>
      <c r="AL1196" s="94">
        <f>Table3.110[[#This Row],[CH4 8-24h, ml]]+Table3.110[[#This Row],[CH4 8h, ml]]</f>
        <v>10.091905129568286</v>
      </c>
      <c r="AM1196" s="94">
        <f>(Table3.110[[#This Row],[Net gas 24h, ml]]/Table3.110[[#This Row],[DM Incubated, mg]])*1000</f>
        <v>139.75814203936403</v>
      </c>
      <c r="AN1196" s="94">
        <f>'3.2 Digest'!X1196</f>
        <v>35.348859362238187</v>
      </c>
      <c r="AO1196" s="94">
        <f>Table3.110[[#This Row],[Digested feed, mg]]/Table3.110[[#This Row],[Net gas 24h, ml]]</f>
        <v>2.5292880147391976</v>
      </c>
      <c r="AP1196" s="94">
        <f>Table3.110[[#This Row],[CH4 8h, ml]]/Table3.110[[#This Row],[Net gas 8h, ml]]%</f>
        <v>14.900000000000002</v>
      </c>
      <c r="AQ1196" s="94">
        <f>Table3.110[[#This Row],[CH4 24h, ml]]/Table3.110[[#This Row],[Net gas 24h, ml]]%</f>
        <v>15.473797963548652</v>
      </c>
      <c r="AR1196" s="94">
        <f>Table3.110[[#This Row],[CH4 24h, ml]]/Table3.110[[#This Row],[DM Incubated, mg]]*1000</f>
        <v>21.625892536780544</v>
      </c>
      <c r="AS1196" s="94">
        <f>Table3.110[[#This Row],[CH4 24h, ml]]/Table3.110[[#This Row],[Digested feed, mg]]*1000</f>
        <v>61.178473441444744</v>
      </c>
      <c r="AT1196" s="255">
        <f>Table3.110[[#This Row],[CH4 24h, ml]]/'3.2 Digest'!AA1196</f>
        <v>-0.71087104493426556</v>
      </c>
      <c r="AU1196" s="255">
        <f>((Table3.110[[#This Row],[CH4 24h, ml]]/28.9)*16.04)/Table3.110[[#This Row],[DM Incubated, mg]]*1000</f>
        <v>12.002744508303113</v>
      </c>
      <c r="AV1196" s="255">
        <f>((Table3.110[[#This Row],[CH4 24h, ml]]/28.9)*16.04)/Table3.110[[#This Row],[Digested feed, mg]]*1000</f>
        <v>33.955111211099442</v>
      </c>
    </row>
    <row r="1197" spans="2:48" x14ac:dyDescent="0.35">
      <c r="B1197" s="90">
        <f t="shared" si="18"/>
        <v>1187</v>
      </c>
      <c r="C1197" s="140">
        <v>46085</v>
      </c>
      <c r="D1197" s="6" t="s">
        <v>16</v>
      </c>
      <c r="E1197" s="6" t="s">
        <v>431</v>
      </c>
      <c r="F1197" s="242" t="s">
        <v>212</v>
      </c>
      <c r="G1197" s="242" t="s">
        <v>404</v>
      </c>
      <c r="H1197" s="6" t="s">
        <v>433</v>
      </c>
      <c r="I1197" s="133" t="s">
        <v>22</v>
      </c>
      <c r="J1197" s="135" t="s">
        <v>23</v>
      </c>
      <c r="K1197" s="135" t="s">
        <v>215</v>
      </c>
      <c r="L1197" s="6" t="s">
        <v>430</v>
      </c>
      <c r="M1197" s="256">
        <v>30</v>
      </c>
      <c r="N1197" s="256">
        <v>71</v>
      </c>
      <c r="O1197" s="256">
        <v>3</v>
      </c>
      <c r="P1197" s="257">
        <v>1</v>
      </c>
      <c r="Q1197" s="129">
        <v>111</v>
      </c>
      <c r="R1197" s="98">
        <v>0.50029999999999997</v>
      </c>
      <c r="S1197" s="94">
        <f>((Table3.110[[#This Row],[Sample weight, g]]*'2.1. DM'!Q275)/100)*1000</f>
        <v>478.04889805097469</v>
      </c>
      <c r="T1197" s="94">
        <f>'3.2 Digest'!W1197</f>
        <v>117.84889805097458</v>
      </c>
      <c r="U1197" s="117">
        <v>0.33958333333333335</v>
      </c>
      <c r="V1197" s="155">
        <v>40.5</v>
      </c>
      <c r="W1197" s="117">
        <v>0.67847222222222225</v>
      </c>
      <c r="X1197" s="96">
        <v>75.5</v>
      </c>
      <c r="Y1197" s="96">
        <v>13.9</v>
      </c>
      <c r="Z1197" s="155">
        <v>40</v>
      </c>
      <c r="AA1197" s="117">
        <v>0.34930555555555554</v>
      </c>
      <c r="AB1197" s="155">
        <v>75.5</v>
      </c>
      <c r="AC1197" s="155">
        <v>15.8</v>
      </c>
      <c r="AD1197" s="96"/>
      <c r="AE1197" s="94">
        <f>Table3.110[[#This Row],[Gas 8h, ml]]-Table3.110[[#This Row],[Gas 0h, ml]]</f>
        <v>35</v>
      </c>
      <c r="AF1197" s="94">
        <f>Table3.110[[#This Row],[Gas 24h, ml]]-Table3.110[[#This Row],[V8 Push back, ml]]</f>
        <v>35.5</v>
      </c>
      <c r="AG1197" s="94">
        <f>Table3.110[[#This Row],[GP 8h, ml]]-(AVERAGE(AE$1159,AE$1160,AE$1193,AE$1194,AE$1229,AE$1230))*$AG$8</f>
        <v>31.5337235386359</v>
      </c>
      <c r="AH1197" s="94">
        <f>Table3.110[[#This Row],[GP 8-24h, ml]]-(AVERAGE(AF$1159,AF$1160,AF$1193,AF$1194,AF$1229,AF$1230))*$AG$8</f>
        <v>31.185592064046812</v>
      </c>
      <c r="AI1197" s="94">
        <f>Table3.110[[#This Row],[Net gas 8-24h, ml]]+Table3.110[[#This Row],[Net gas 8h, ml]]</f>
        <v>62.719315602682713</v>
      </c>
      <c r="AJ1197" s="94">
        <f>Table3.110[[#This Row],[Net gas 8h, ml]]*Table3.110[[#This Row],[CH4 8h %]]%</f>
        <v>4.3831875718703905</v>
      </c>
      <c r="AK1197" s="94">
        <f>Table3.110[[#This Row],[Net gas 8-24h, ml]]*Table3.110[[#This Row],[CH4 24h, %]]%</f>
        <v>4.9273235461193963</v>
      </c>
      <c r="AL1197" s="94">
        <f>Table3.110[[#This Row],[CH4 8-24h, ml]]+Table3.110[[#This Row],[CH4 8h, ml]]</f>
        <v>9.3105111179897868</v>
      </c>
      <c r="AM1197" s="94">
        <f>(Table3.110[[#This Row],[Net gas 24h, ml]]/Table3.110[[#This Row],[DM Incubated, mg]])*1000</f>
        <v>131.19853608781858</v>
      </c>
      <c r="AN1197" s="94">
        <f>'3.2 Digest'!X1197</f>
        <v>24.652059346114896</v>
      </c>
      <c r="AO1197" s="94">
        <f>Table3.110[[#This Row],[Digested feed, mg]]/Table3.110[[#This Row],[Net gas 24h, ml]]</f>
        <v>1.878988903474798</v>
      </c>
      <c r="AP1197" s="94">
        <f>Table3.110[[#This Row],[CH4 8h, ml]]/Table3.110[[#This Row],[Net gas 8h, ml]]%</f>
        <v>13.900000000000002</v>
      </c>
      <c r="AQ1197" s="94">
        <f>Table3.110[[#This Row],[CH4 24h, ml]]/Table3.110[[#This Row],[Net gas 24h, ml]]%</f>
        <v>14.84472690513789</v>
      </c>
      <c r="AR1197" s="94">
        <f>Table3.110[[#This Row],[CH4 24h, ml]]/Table3.110[[#This Row],[DM Incubated, mg]]*1000</f>
        <v>19.476064385775452</v>
      </c>
      <c r="AS1197" s="94">
        <f>Table3.110[[#This Row],[CH4 24h, ml]]/Table3.110[[#This Row],[Digested feed, mg]]*1000</f>
        <v>79.003802937237481</v>
      </c>
      <c r="AT1197" s="255">
        <f>Table3.110[[#This Row],[CH4 24h, ml]]/'3.2 Digest'!AA1197</f>
        <v>-0.35270951998128391</v>
      </c>
      <c r="AU1197" s="255">
        <f>((Table3.110[[#This Row],[CH4 24h, ml]]/28.9)*16.04)/Table3.110[[#This Row],[DM Incubated, mg]]*1000</f>
        <v>10.809552690236615</v>
      </c>
      <c r="AV1197" s="255">
        <f>((Table3.110[[#This Row],[CH4 24h, ml]]/28.9)*16.04)/Table3.110[[#This Row],[Digested feed, mg]]*1000</f>
        <v>43.84847747796848</v>
      </c>
    </row>
    <row r="1198" spans="2:48" x14ac:dyDescent="0.35">
      <c r="B1198" s="90">
        <f t="shared" si="18"/>
        <v>1188</v>
      </c>
      <c r="C1198" s="140">
        <v>46085</v>
      </c>
      <c r="D1198" s="6" t="s">
        <v>16</v>
      </c>
      <c r="E1198" s="6" t="s">
        <v>431</v>
      </c>
      <c r="F1198" s="242" t="s">
        <v>212</v>
      </c>
      <c r="G1198" s="242" t="s">
        <v>404</v>
      </c>
      <c r="H1198" s="6" t="s">
        <v>433</v>
      </c>
      <c r="I1198" s="133" t="s">
        <v>22</v>
      </c>
      <c r="J1198" s="135" t="s">
        <v>23</v>
      </c>
      <c r="K1198" s="135" t="s">
        <v>215</v>
      </c>
      <c r="L1198" s="6" t="s">
        <v>430</v>
      </c>
      <c r="M1198" s="256">
        <v>30</v>
      </c>
      <c r="N1198" s="256">
        <v>71</v>
      </c>
      <c r="O1198" s="256">
        <v>3</v>
      </c>
      <c r="P1198" s="257">
        <v>2</v>
      </c>
      <c r="Q1198" s="129">
        <v>112</v>
      </c>
      <c r="R1198" s="98">
        <v>0.50039999999999996</v>
      </c>
      <c r="S1198" s="94">
        <f>((Table3.110[[#This Row],[Sample weight, g]]*'2.1. DM'!Q275)/100)*1000</f>
        <v>478.14445049911598</v>
      </c>
      <c r="T1198" s="94">
        <f>'3.2 Digest'!W1198</f>
        <v>132.84445049911591</v>
      </c>
      <c r="U1198" s="153">
        <v>0.34097222222222223</v>
      </c>
      <c r="V1198" s="154">
        <v>40.5</v>
      </c>
      <c r="W1198" s="153">
        <v>0.6791666666666667</v>
      </c>
      <c r="X1198" s="91">
        <v>74</v>
      </c>
      <c r="Y1198" s="91">
        <v>14.2</v>
      </c>
      <c r="Z1198" s="154">
        <v>40</v>
      </c>
      <c r="AA1198" s="153">
        <v>0.34930555555555554</v>
      </c>
      <c r="AB1198" s="154">
        <v>76</v>
      </c>
      <c r="AC1198" s="154">
        <v>15.9</v>
      </c>
      <c r="AD1198" s="91" t="s">
        <v>595</v>
      </c>
      <c r="AE1198" s="94">
        <f>Table3.110[[#This Row],[Gas 8h, ml]]-Table3.110[[#This Row],[Gas 0h, ml]]</f>
        <v>33.5</v>
      </c>
      <c r="AF1198" s="94">
        <f>Table3.110[[#This Row],[Gas 24h, ml]]-Table3.110[[#This Row],[V8 Push back, ml]]</f>
        <v>36</v>
      </c>
      <c r="AG1198" s="94">
        <f>Table3.110[[#This Row],[GP 8h, ml]]-(AVERAGE(AE$1159,AE$1160,AE$1193,AE$1194,AE$1229,AE$1230))*$AG$8</f>
        <v>30.0337235386359</v>
      </c>
      <c r="AH1198" s="94">
        <f>Table3.110[[#This Row],[GP 8-24h, ml]]-(AVERAGE(AF$1159,AF$1160,AF$1193,AF$1194,AF$1229,AF$1230))*$AG$8</f>
        <v>31.685592064046812</v>
      </c>
      <c r="AI1198" s="94">
        <f>Table3.110[[#This Row],[Net gas 8-24h, ml]]+Table3.110[[#This Row],[Net gas 8h, ml]]</f>
        <v>61.719315602682713</v>
      </c>
      <c r="AJ1198" s="94">
        <f>Table3.110[[#This Row],[Net gas 8h, ml]]*Table3.110[[#This Row],[CH4 8h %]]%</f>
        <v>4.2647887424862976</v>
      </c>
      <c r="AK1198" s="94">
        <f>Table3.110[[#This Row],[Net gas 8-24h, ml]]*Table3.110[[#This Row],[CH4 24h, %]]%</f>
        <v>5.0380091381834431</v>
      </c>
      <c r="AL1198" s="94">
        <f>Table3.110[[#This Row],[CH4 8-24h, ml]]+Table3.110[[#This Row],[CH4 8h, ml]]</f>
        <v>9.3027978806697398</v>
      </c>
      <c r="AM1198" s="94">
        <f>(Table3.110[[#This Row],[Net gas 24h, ml]]/Table3.110[[#This Row],[DM Incubated, mg]])*1000</f>
        <v>129.08089916814129</v>
      </c>
      <c r="AN1198" s="94">
        <f>'3.2 Digest'!X1198</f>
        <v>27.783329987505841</v>
      </c>
      <c r="AO1198" s="94">
        <f>Table3.110[[#This Row],[Digested feed, mg]]/Table3.110[[#This Row],[Net gas 24h, ml]]</f>
        <v>2.152396688166478</v>
      </c>
      <c r="AP1198" s="94">
        <f>Table3.110[[#This Row],[CH4 8h, ml]]/Table3.110[[#This Row],[Net gas 8h, ml]]%</f>
        <v>14.200000000000001</v>
      </c>
      <c r="AQ1198" s="94">
        <f>Table3.110[[#This Row],[CH4 24h, ml]]/Table3.110[[#This Row],[Net gas 24h, ml]]%</f>
        <v>15.072749575767139</v>
      </c>
      <c r="AR1198" s="94">
        <f>Table3.110[[#This Row],[CH4 24h, ml]]/Table3.110[[#This Row],[DM Incubated, mg]]*1000</f>
        <v>19.456040681762424</v>
      </c>
      <c r="AS1198" s="94">
        <f>Table3.110[[#This Row],[CH4 24h, ml]]/Table3.110[[#This Row],[Digested feed, mg]]*1000</f>
        <v>70.027749339304549</v>
      </c>
      <c r="AT1198" s="255">
        <f>Table3.110[[#This Row],[CH4 24h, ml]]/'3.2 Digest'!AA1198</f>
        <v>-0.43996588083668231</v>
      </c>
      <c r="AU1198" s="255">
        <f>((Table3.110[[#This Row],[CH4 24h, ml]]/28.9)*16.04)/Table3.110[[#This Row],[DM Incubated, mg]]*1000</f>
        <v>10.798439188078524</v>
      </c>
      <c r="AV1198" s="255">
        <f>((Table3.110[[#This Row],[CH4 24h, ml]]/28.9)*16.04)/Table3.110[[#This Row],[Digested feed, mg]]*1000</f>
        <v>38.866612436070767</v>
      </c>
    </row>
    <row r="1199" spans="2:48" x14ac:dyDescent="0.35">
      <c r="B1199" s="90">
        <f t="shared" si="18"/>
        <v>1189</v>
      </c>
      <c r="C1199" s="140">
        <v>46085</v>
      </c>
      <c r="D1199" s="6" t="s">
        <v>16</v>
      </c>
      <c r="E1199" s="6" t="s">
        <v>435</v>
      </c>
      <c r="F1199" s="242" t="s">
        <v>219</v>
      </c>
      <c r="G1199" s="242" t="s">
        <v>220</v>
      </c>
      <c r="H1199" s="6" t="s">
        <v>221</v>
      </c>
      <c r="I1199" s="133" t="s">
        <v>22</v>
      </c>
      <c r="J1199" s="135" t="s">
        <v>23</v>
      </c>
      <c r="K1199" s="135" t="s">
        <v>215</v>
      </c>
      <c r="L1199" s="6" t="s">
        <v>434</v>
      </c>
      <c r="M1199" s="256">
        <v>30</v>
      </c>
      <c r="N1199" s="256">
        <v>71</v>
      </c>
      <c r="O1199" s="256">
        <v>3</v>
      </c>
      <c r="P1199" s="257">
        <v>1</v>
      </c>
      <c r="Q1199" s="129">
        <v>113</v>
      </c>
      <c r="R1199" s="98">
        <v>0.50009999999999999</v>
      </c>
      <c r="S1199" s="94">
        <f>((Table3.110[[#This Row],[Sample weight, g]]*'2.1. DM'!Q277)/100)*1000</f>
        <v>454.58407342115203</v>
      </c>
      <c r="T1199" s="94">
        <f>'3.2 Digest'!W1199</f>
        <v>178.38407342115204</v>
      </c>
      <c r="U1199" s="153">
        <v>0.33958333333333335</v>
      </c>
      <c r="V1199" s="154">
        <v>41</v>
      </c>
      <c r="W1199" s="153">
        <v>0.6791666666666667</v>
      </c>
      <c r="X1199" s="91">
        <v>85</v>
      </c>
      <c r="Y1199" s="91">
        <v>14.3</v>
      </c>
      <c r="Z1199" s="154">
        <v>40</v>
      </c>
      <c r="AA1199" s="153">
        <v>0.35</v>
      </c>
      <c r="AB1199" s="154">
        <v>92</v>
      </c>
      <c r="AC1199" s="154">
        <v>17.2</v>
      </c>
      <c r="AD1199" s="91"/>
      <c r="AE1199" s="94">
        <f>Table3.110[[#This Row],[Gas 8h, ml]]-Table3.110[[#This Row],[Gas 0h, ml]]</f>
        <v>44</v>
      </c>
      <c r="AF1199" s="94">
        <f>Table3.110[[#This Row],[Gas 24h, ml]]-Table3.110[[#This Row],[V8 Push back, ml]]</f>
        <v>52</v>
      </c>
      <c r="AG1199" s="94">
        <f>Table3.110[[#This Row],[GP 8h, ml]]-(AVERAGE(AE$1159,AE$1160,AE$1193,AE$1194,AE$1229,AE$1230))*$AG$8</f>
        <v>40.533723538635904</v>
      </c>
      <c r="AH1199" s="94">
        <f>Table3.110[[#This Row],[GP 8-24h, ml]]-(AVERAGE(AF$1159,AF$1160,AF$1193,AF$1194,AF$1229,AF$1230))*$AG$8</f>
        <v>47.685592064046816</v>
      </c>
      <c r="AI1199" s="94">
        <f>Table3.110[[#This Row],[Net gas 8-24h, ml]]+Table3.110[[#This Row],[Net gas 8h, ml]]</f>
        <v>88.219315602682713</v>
      </c>
      <c r="AJ1199" s="94">
        <f>Table3.110[[#This Row],[Net gas 8h, ml]]*Table3.110[[#This Row],[CH4 8h %]]%</f>
        <v>5.7963224660249351</v>
      </c>
      <c r="AK1199" s="94">
        <f>Table3.110[[#This Row],[Net gas 8-24h, ml]]*Table3.110[[#This Row],[CH4 24h, %]]%</f>
        <v>8.2019218350160514</v>
      </c>
      <c r="AL1199" s="94">
        <f>Table3.110[[#This Row],[CH4 8-24h, ml]]+Table3.110[[#This Row],[CH4 8h, ml]]</f>
        <v>13.998244301040987</v>
      </c>
      <c r="AM1199" s="94">
        <f>(Table3.110[[#This Row],[Net gas 24h, ml]]/Table3.110[[#This Row],[DM Incubated, mg]])*1000</f>
        <v>194.0660061817683</v>
      </c>
      <c r="AN1199" s="94">
        <f>'3.2 Digest'!X1199</f>
        <v>39.241162163613041</v>
      </c>
      <c r="AO1199" s="94">
        <f>Table3.110[[#This Row],[Digested feed, mg]]/Table3.110[[#This Row],[Net gas 24h, ml]]</f>
        <v>2.0220523385666285</v>
      </c>
      <c r="AP1199" s="94">
        <f>Table3.110[[#This Row],[CH4 8h, ml]]/Table3.110[[#This Row],[Net gas 8h, ml]]%</f>
        <v>14.300000000000002</v>
      </c>
      <c r="AQ1199" s="94">
        <f>Table3.110[[#This Row],[CH4 24h, ml]]/Table3.110[[#This Row],[Net gas 24h, ml]]%</f>
        <v>15.867550326603652</v>
      </c>
      <c r="AR1199" s="94">
        <f>Table3.110[[#This Row],[CH4 24h, ml]]/Table3.110[[#This Row],[DM Incubated, mg]]*1000</f>
        <v>30.793521197721844</v>
      </c>
      <c r="AS1199" s="94">
        <f>Table3.110[[#This Row],[CH4 24h, ml]]/Table3.110[[#This Row],[Digested feed, mg]]*1000</f>
        <v>78.472500557783164</v>
      </c>
      <c r="AT1199" s="255">
        <f>Table3.110[[#This Row],[CH4 24h, ml]]/'3.2 Digest'!AA1199</f>
        <v>-0.57892111793821832</v>
      </c>
      <c r="AU1199" s="255">
        <f>((Table3.110[[#This Row],[CH4 24h, ml]]/28.9)*16.04)/Table3.110[[#This Row],[DM Incubated, mg]]*1000</f>
        <v>17.090937024617933</v>
      </c>
      <c r="AV1199" s="255">
        <f>((Table3.110[[#This Row],[CH4 24h, ml]]/28.9)*16.04)/Table3.110[[#This Row],[Digested feed, mg]]*1000</f>
        <v>43.553595465288652</v>
      </c>
    </row>
    <row r="1200" spans="2:48" x14ac:dyDescent="0.35">
      <c r="B1200" s="90">
        <f t="shared" si="18"/>
        <v>1190</v>
      </c>
      <c r="C1200" s="140">
        <v>46085</v>
      </c>
      <c r="D1200" s="6" t="s">
        <v>16</v>
      </c>
      <c r="E1200" s="6" t="s">
        <v>435</v>
      </c>
      <c r="F1200" s="242" t="s">
        <v>219</v>
      </c>
      <c r="G1200" s="242" t="s">
        <v>220</v>
      </c>
      <c r="H1200" s="6" t="s">
        <v>221</v>
      </c>
      <c r="I1200" s="133" t="s">
        <v>22</v>
      </c>
      <c r="J1200" s="135" t="s">
        <v>23</v>
      </c>
      <c r="K1200" s="135" t="s">
        <v>215</v>
      </c>
      <c r="L1200" s="6" t="s">
        <v>434</v>
      </c>
      <c r="M1200" s="256">
        <v>30</v>
      </c>
      <c r="N1200" s="256">
        <v>71</v>
      </c>
      <c r="O1200" s="256">
        <v>3</v>
      </c>
      <c r="P1200" s="257">
        <v>2</v>
      </c>
      <c r="Q1200" s="129">
        <v>114</v>
      </c>
      <c r="R1200" s="98">
        <v>0.50019999999999998</v>
      </c>
      <c r="S1200" s="94">
        <f>((Table3.110[[#This Row],[Sample weight, g]]*'2.1. DM'!Q277)/100)*1000</f>
        <v>454.67497205610925</v>
      </c>
      <c r="T1200" s="94">
        <f>'3.2 Digest'!W1200</f>
        <v>221.07497205610923</v>
      </c>
      <c r="U1200" s="117">
        <v>0.34027777777777779</v>
      </c>
      <c r="V1200" s="155">
        <v>42</v>
      </c>
      <c r="W1200" s="117">
        <v>0.67986111111111114</v>
      </c>
      <c r="X1200" s="96">
        <v>88</v>
      </c>
      <c r="Y1200" s="96">
        <v>13.7</v>
      </c>
      <c r="Z1200" s="155">
        <v>40.5</v>
      </c>
      <c r="AA1200" s="117">
        <v>0.35</v>
      </c>
      <c r="AB1200" s="155">
        <v>90.5</v>
      </c>
      <c r="AC1200" s="155">
        <v>17.3</v>
      </c>
      <c r="AD1200" s="96"/>
      <c r="AE1200" s="94">
        <f>Table3.110[[#This Row],[Gas 8h, ml]]-Table3.110[[#This Row],[Gas 0h, ml]]</f>
        <v>46</v>
      </c>
      <c r="AF1200" s="94">
        <f>Table3.110[[#This Row],[Gas 24h, ml]]-Table3.110[[#This Row],[V8 Push back, ml]]</f>
        <v>50</v>
      </c>
      <c r="AG1200" s="94">
        <f>Table3.110[[#This Row],[GP 8h, ml]]-(AVERAGE(AE$1159,AE$1160,AE$1193,AE$1194,AE$1229,AE$1230))*$AG$8</f>
        <v>42.533723538635904</v>
      </c>
      <c r="AH1200" s="94">
        <f>Table3.110[[#This Row],[GP 8-24h, ml]]-(AVERAGE(AF$1159,AF$1160,AF$1193,AF$1194,AF$1229,AF$1230))*$AG$8</f>
        <v>45.685592064046816</v>
      </c>
      <c r="AI1200" s="94">
        <f>Table3.110[[#This Row],[Net gas 8-24h, ml]]+Table3.110[[#This Row],[Net gas 8h, ml]]</f>
        <v>88.219315602682713</v>
      </c>
      <c r="AJ1200" s="94">
        <f>Table3.110[[#This Row],[Net gas 8h, ml]]*Table3.110[[#This Row],[CH4 8h %]]%</f>
        <v>5.8271201247931179</v>
      </c>
      <c r="AK1200" s="94">
        <f>Table3.110[[#This Row],[Net gas 8-24h, ml]]*Table3.110[[#This Row],[CH4 24h, %]]%</f>
        <v>7.9036074270801002</v>
      </c>
      <c r="AL1200" s="94">
        <f>Table3.110[[#This Row],[CH4 8-24h, ml]]+Table3.110[[#This Row],[CH4 8h, ml]]</f>
        <v>13.730727551873219</v>
      </c>
      <c r="AM1200" s="94">
        <f>(Table3.110[[#This Row],[Net gas 24h, ml]]/Table3.110[[#This Row],[DM Incubated, mg]])*1000</f>
        <v>194.02720849960482</v>
      </c>
      <c r="AN1200" s="94">
        <f>'3.2 Digest'!X1200</f>
        <v>48.622639389270681</v>
      </c>
      <c r="AO1200" s="94">
        <f>Table3.110[[#This Row],[Digested feed, mg]]/Table3.110[[#This Row],[Net gas 24h, ml]]</f>
        <v>2.5059701556944116</v>
      </c>
      <c r="AP1200" s="94">
        <f>Table3.110[[#This Row],[CH4 8h, ml]]/Table3.110[[#This Row],[Net gas 8h, ml]]%</f>
        <v>13.699999999999998</v>
      </c>
      <c r="AQ1200" s="94">
        <f>Table3.110[[#This Row],[CH4 24h, ml]]/Table3.110[[#This Row],[Net gas 24h, ml]]%</f>
        <v>15.564309763762974</v>
      </c>
      <c r="AR1200" s="94">
        <f>Table3.110[[#This Row],[CH4 24h, ml]]/Table3.110[[#This Row],[DM Incubated, mg]]*1000</f>
        <v>30.198995756860739</v>
      </c>
      <c r="AS1200" s="94">
        <f>Table3.110[[#This Row],[CH4 24h, ml]]/Table3.110[[#This Row],[Digested feed, mg]]*1000</f>
        <v>62.108919088264479</v>
      </c>
      <c r="AT1200" s="255">
        <f>Table3.110[[#This Row],[CH4 24h, ml]]/'3.2 Digest'!AA1200</f>
        <v>-2.7429257731512773</v>
      </c>
      <c r="AU1200" s="255">
        <f>((Table3.110[[#This Row],[CH4 24h, ml]]/28.9)*16.04)/Table3.110[[#This Row],[DM Incubated, mg]]*1000</f>
        <v>16.760965119032743</v>
      </c>
      <c r="AV1200" s="255">
        <f>((Table3.110[[#This Row],[CH4 24h, ml]]/28.9)*16.04)/Table3.110[[#This Row],[Digested feed, mg]]*1000</f>
        <v>34.471524642759938</v>
      </c>
    </row>
    <row r="1201" spans="2:48" x14ac:dyDescent="0.35">
      <c r="B1201" s="90">
        <f t="shared" si="18"/>
        <v>1191</v>
      </c>
      <c r="C1201" s="140">
        <v>46085</v>
      </c>
      <c r="D1201" s="6" t="s">
        <v>16</v>
      </c>
      <c r="E1201" s="6" t="s">
        <v>437</v>
      </c>
      <c r="F1201" s="242" t="s">
        <v>333</v>
      </c>
      <c r="G1201" s="242" t="s">
        <v>438</v>
      </c>
      <c r="H1201" s="6" t="s">
        <v>439</v>
      </c>
      <c r="I1201" s="133" t="s">
        <v>22</v>
      </c>
      <c r="J1201" s="135" t="s">
        <v>23</v>
      </c>
      <c r="K1201" s="135" t="s">
        <v>215</v>
      </c>
      <c r="L1201" s="6" t="s">
        <v>436</v>
      </c>
      <c r="M1201" s="256">
        <v>30</v>
      </c>
      <c r="N1201" s="256">
        <v>71</v>
      </c>
      <c r="O1201" s="256">
        <v>3</v>
      </c>
      <c r="P1201" s="257">
        <v>1</v>
      </c>
      <c r="Q1201" s="129">
        <v>115</v>
      </c>
      <c r="R1201" s="98">
        <v>0.50049999999999994</v>
      </c>
      <c r="S1201" s="94">
        <f>((Table3.110[[#This Row],[Sample weight, g]]*'2.1. DM'!Q279)/100)*1000</f>
        <v>482.81453356040794</v>
      </c>
      <c r="T1201" s="94">
        <f>'3.2 Digest'!W1201</f>
        <v>174.21453356040797</v>
      </c>
      <c r="U1201" s="117">
        <v>0.34097222222222223</v>
      </c>
      <c r="V1201" s="155">
        <v>41</v>
      </c>
      <c r="W1201" s="117">
        <v>0.67986111111111114</v>
      </c>
      <c r="X1201" s="96">
        <v>87</v>
      </c>
      <c r="Y1201" s="96">
        <v>14.2</v>
      </c>
      <c r="Z1201" s="155">
        <v>40</v>
      </c>
      <c r="AA1201" s="117">
        <v>0.35069444444444442</v>
      </c>
      <c r="AB1201" s="155">
        <v>89.5</v>
      </c>
      <c r="AC1201" s="155">
        <v>14.9</v>
      </c>
      <c r="AD1201" s="96"/>
      <c r="AE1201" s="94">
        <f>Table3.110[[#This Row],[Gas 8h, ml]]-Table3.110[[#This Row],[Gas 0h, ml]]</f>
        <v>46</v>
      </c>
      <c r="AF1201" s="94">
        <f>Table3.110[[#This Row],[Gas 24h, ml]]-Table3.110[[#This Row],[V8 Push back, ml]]</f>
        <v>49.5</v>
      </c>
      <c r="AG1201" s="94">
        <f>Table3.110[[#This Row],[GP 8h, ml]]-(AVERAGE(AE$1159,AE$1160,AE$1193,AE$1194,AE$1229,AE$1230))*$AG$8</f>
        <v>42.533723538635904</v>
      </c>
      <c r="AH1201" s="94">
        <f>Table3.110[[#This Row],[GP 8-24h, ml]]-(AVERAGE(AF$1159,AF$1160,AF$1193,AF$1194,AF$1229,AF$1230))*$AG$8</f>
        <v>45.185592064046816</v>
      </c>
      <c r="AI1201" s="94">
        <f>Table3.110[[#This Row],[Net gas 8-24h, ml]]+Table3.110[[#This Row],[Net gas 8h, ml]]</f>
        <v>87.719315602682713</v>
      </c>
      <c r="AJ1201" s="94">
        <f>Table3.110[[#This Row],[Net gas 8h, ml]]*Table3.110[[#This Row],[CH4 8h %]]%</f>
        <v>6.0397887424862979</v>
      </c>
      <c r="AK1201" s="94">
        <f>Table3.110[[#This Row],[Net gas 8-24h, ml]]*Table3.110[[#This Row],[CH4 24h, %]]%</f>
        <v>6.7326532175429756</v>
      </c>
      <c r="AL1201" s="94">
        <f>Table3.110[[#This Row],[CH4 8-24h, ml]]+Table3.110[[#This Row],[CH4 8h, ml]]</f>
        <v>12.772441960029273</v>
      </c>
      <c r="AM1201" s="94">
        <f>(Table3.110[[#This Row],[Net gas 24h, ml]]/Table3.110[[#This Row],[DM Incubated, mg]])*1000</f>
        <v>181.68325413863624</v>
      </c>
      <c r="AN1201" s="94">
        <f>'3.2 Digest'!X1201</f>
        <v>36.083117108282096</v>
      </c>
      <c r="AO1201" s="94">
        <f>Table3.110[[#This Row],[Digested feed, mg]]/Table3.110[[#This Row],[Net gas 24h, ml]]</f>
        <v>1.9860452896087117</v>
      </c>
      <c r="AP1201" s="94">
        <f>Table3.110[[#This Row],[CH4 8h, ml]]/Table3.110[[#This Row],[Net gas 8h, ml]]%</f>
        <v>14.2</v>
      </c>
      <c r="AQ1201" s="94">
        <f>Table3.110[[#This Row],[CH4 24h, ml]]/Table3.110[[#This Row],[Net gas 24h, ml]]%</f>
        <v>14.560580953322729</v>
      </c>
      <c r="AR1201" s="94">
        <f>Table3.110[[#This Row],[CH4 24h, ml]]/Table3.110[[#This Row],[DM Incubated, mg]]*1000</f>
        <v>26.4541372974872</v>
      </c>
      <c r="AS1201" s="94">
        <f>Table3.110[[#This Row],[CH4 24h, ml]]/Table3.110[[#This Row],[Digested feed, mg]]*1000</f>
        <v>73.314445695200831</v>
      </c>
      <c r="AT1201" s="255">
        <f>Table3.110[[#This Row],[CH4 24h, ml]]/'3.2 Digest'!AA1201</f>
        <v>-0.40779407756228125</v>
      </c>
      <c r="AU1201" s="255">
        <f>((Table3.110[[#This Row],[CH4 24h, ml]]/28.9)*16.04)/Table3.110[[#This Row],[DM Incubated, mg]]*1000</f>
        <v>14.682503884141683</v>
      </c>
      <c r="AV1201" s="255">
        <f>((Table3.110[[#This Row],[CH4 24h, ml]]/28.9)*16.04)/Table3.110[[#This Row],[Digested feed, mg]]*1000</f>
        <v>40.690785776851946</v>
      </c>
    </row>
    <row r="1202" spans="2:48" x14ac:dyDescent="0.35">
      <c r="B1202" s="90">
        <f t="shared" si="18"/>
        <v>1192</v>
      </c>
      <c r="C1202" s="140">
        <v>46085</v>
      </c>
      <c r="D1202" s="6" t="s">
        <v>16</v>
      </c>
      <c r="E1202" s="6" t="s">
        <v>437</v>
      </c>
      <c r="F1202" s="242" t="s">
        <v>333</v>
      </c>
      <c r="G1202" s="242" t="s">
        <v>438</v>
      </c>
      <c r="H1202" s="6" t="s">
        <v>439</v>
      </c>
      <c r="I1202" s="133" t="s">
        <v>22</v>
      </c>
      <c r="J1202" s="135" t="s">
        <v>23</v>
      </c>
      <c r="K1202" s="135" t="s">
        <v>215</v>
      </c>
      <c r="L1202" s="6" t="s">
        <v>436</v>
      </c>
      <c r="M1202" s="256">
        <v>30</v>
      </c>
      <c r="N1202" s="256">
        <v>71</v>
      </c>
      <c r="O1202" s="256">
        <v>3</v>
      </c>
      <c r="P1202" s="257">
        <v>2</v>
      </c>
      <c r="Q1202" s="129">
        <v>116</v>
      </c>
      <c r="R1202" s="98">
        <v>0.50009999999999999</v>
      </c>
      <c r="S1202" s="94">
        <f>((Table3.110[[#This Row],[Sample weight, g]]*'2.1. DM'!Q279)/100)*1000</f>
        <v>482.42866779932069</v>
      </c>
      <c r="T1202" s="94">
        <f>'3.2 Digest'!W1202</f>
        <v>230.42866779932069</v>
      </c>
      <c r="U1202" s="153">
        <v>0.34236111111111112</v>
      </c>
      <c r="V1202" s="155">
        <v>41</v>
      </c>
      <c r="W1202" s="153">
        <v>0.68055555555555558</v>
      </c>
      <c r="X1202" s="91">
        <v>87.5</v>
      </c>
      <c r="Y1202" s="91">
        <v>14.6</v>
      </c>
      <c r="Z1202" s="154">
        <v>40.5</v>
      </c>
      <c r="AA1202" s="153">
        <v>0.35138888888888886</v>
      </c>
      <c r="AB1202" s="154">
        <v>92.5</v>
      </c>
      <c r="AC1202" s="154">
        <v>14.6</v>
      </c>
      <c r="AD1202" s="91"/>
      <c r="AE1202" s="94">
        <f>Table3.110[[#This Row],[Gas 8h, ml]]-Table3.110[[#This Row],[Gas 0h, ml]]</f>
        <v>46.5</v>
      </c>
      <c r="AF1202" s="94">
        <f>Table3.110[[#This Row],[Gas 24h, ml]]-Table3.110[[#This Row],[V8 Push back, ml]]</f>
        <v>52</v>
      </c>
      <c r="AG1202" s="94">
        <f>Table3.110[[#This Row],[GP 8h, ml]]-(AVERAGE(AE$1159,AE$1160,AE$1193,AE$1194,AE$1229,AE$1230))*$AG$8</f>
        <v>43.033723538635904</v>
      </c>
      <c r="AH1202" s="94">
        <f>Table3.110[[#This Row],[GP 8-24h, ml]]-(AVERAGE(AF$1159,AF$1160,AF$1193,AF$1194,AF$1229,AF$1230))*$AG$8</f>
        <v>47.685592064046816</v>
      </c>
      <c r="AI1202" s="94">
        <f>Table3.110[[#This Row],[Net gas 8-24h, ml]]+Table3.110[[#This Row],[Net gas 8h, ml]]</f>
        <v>90.719315602682713</v>
      </c>
      <c r="AJ1202" s="94">
        <f>Table3.110[[#This Row],[Net gas 8h, ml]]*Table3.110[[#This Row],[CH4 8h %]]%</f>
        <v>6.2829236366408416</v>
      </c>
      <c r="AK1202" s="94">
        <f>Table3.110[[#This Row],[Net gas 8-24h, ml]]*Table3.110[[#This Row],[CH4 24h, %]]%</f>
        <v>6.9620964413508348</v>
      </c>
      <c r="AL1202" s="94">
        <f>Table3.110[[#This Row],[CH4 8-24h, ml]]+Table3.110[[#This Row],[CH4 8h, ml]]</f>
        <v>13.245020077991676</v>
      </c>
      <c r="AM1202" s="94">
        <f>(Table3.110[[#This Row],[Net gas 24h, ml]]/Table3.110[[#This Row],[DM Incubated, mg]])*1000</f>
        <v>188.04710759937649</v>
      </c>
      <c r="AN1202" s="94">
        <f>'3.2 Digest'!X1202</f>
        <v>47.764298264126744</v>
      </c>
      <c r="AO1202" s="94">
        <f>Table3.110[[#This Row],[Digested feed, mg]]/Table3.110[[#This Row],[Net gas 24h, ml]]</f>
        <v>2.5400177048128718</v>
      </c>
      <c r="AP1202" s="94">
        <f>Table3.110[[#This Row],[CH4 8h, ml]]/Table3.110[[#This Row],[Net gas 8h, ml]]%</f>
        <v>14.6</v>
      </c>
      <c r="AQ1202" s="94">
        <f>Table3.110[[#This Row],[CH4 24h, ml]]/Table3.110[[#This Row],[Net gas 24h, ml]]%</f>
        <v>14.6</v>
      </c>
      <c r="AR1202" s="94">
        <f>Table3.110[[#This Row],[CH4 24h, ml]]/Table3.110[[#This Row],[DM Incubated, mg]]*1000</f>
        <v>27.454877709508963</v>
      </c>
      <c r="AS1202" s="94">
        <f>Table3.110[[#This Row],[CH4 24h, ml]]/Table3.110[[#This Row],[Digested feed, mg]]*1000</f>
        <v>57.479914302706057</v>
      </c>
      <c r="AT1202" s="255">
        <f>Table3.110[[#This Row],[CH4 24h, ml]]/'3.2 Digest'!AA1202</f>
        <v>-1.8091392116293827</v>
      </c>
      <c r="AU1202" s="255">
        <f>((Table3.110[[#This Row],[CH4 24h, ml]]/28.9)*16.04)/Table3.110[[#This Row],[DM Incubated, mg]]*1000</f>
        <v>15.237932126661724</v>
      </c>
      <c r="AV1202" s="255">
        <f>((Table3.110[[#This Row],[CH4 24h, ml]]/28.9)*16.04)/Table3.110[[#This Row],[Digested feed, mg]]*1000</f>
        <v>31.902346900187027</v>
      </c>
    </row>
    <row r="1203" spans="2:48" x14ac:dyDescent="0.35">
      <c r="B1203" s="90">
        <f t="shared" si="18"/>
        <v>1193</v>
      </c>
      <c r="C1203" s="140">
        <v>46085</v>
      </c>
      <c r="D1203" s="6" t="s">
        <v>16</v>
      </c>
      <c r="E1203" s="6" t="s">
        <v>441</v>
      </c>
      <c r="F1203" s="242" t="s">
        <v>442</v>
      </c>
      <c r="G1203" s="242" t="s">
        <v>443</v>
      </c>
      <c r="H1203" s="6" t="s">
        <v>444</v>
      </c>
      <c r="I1203" s="133" t="s">
        <v>22</v>
      </c>
      <c r="J1203" s="135" t="s">
        <v>23</v>
      </c>
      <c r="K1203" s="135" t="s">
        <v>215</v>
      </c>
      <c r="L1203" s="6" t="s">
        <v>440</v>
      </c>
      <c r="M1203" s="256">
        <v>30</v>
      </c>
      <c r="N1203" s="256">
        <v>71</v>
      </c>
      <c r="O1203" s="256">
        <v>3</v>
      </c>
      <c r="P1203" s="257">
        <v>1</v>
      </c>
      <c r="Q1203" s="129">
        <v>117</v>
      </c>
      <c r="R1203" s="98">
        <v>0.50019999999999998</v>
      </c>
      <c r="S1203" s="94">
        <f>((Table3.110[[#This Row],[Sample weight, g]]*'2.1. DM'!Q281)/100)*1000</f>
        <v>481.1980798142074</v>
      </c>
      <c r="T1203" s="94">
        <f>'3.2 Digest'!W1203</f>
        <v>68.098079814207381</v>
      </c>
      <c r="U1203" s="153">
        <v>0.34236111111111112</v>
      </c>
      <c r="V1203" s="155">
        <v>40</v>
      </c>
      <c r="W1203" s="153">
        <v>0.68055555555555558</v>
      </c>
      <c r="X1203" s="91">
        <v>72.5</v>
      </c>
      <c r="Y1203" s="91">
        <v>13</v>
      </c>
      <c r="Z1203" s="154">
        <v>40</v>
      </c>
      <c r="AA1203" s="153">
        <v>0.35138888888888886</v>
      </c>
      <c r="AB1203" s="154">
        <v>70</v>
      </c>
      <c r="AC1203" s="154">
        <v>14.7</v>
      </c>
      <c r="AD1203" s="91"/>
      <c r="AE1203" s="94">
        <f>Table3.110[[#This Row],[Gas 8h, ml]]-Table3.110[[#This Row],[Gas 0h, ml]]</f>
        <v>32.5</v>
      </c>
      <c r="AF1203" s="94">
        <f>Table3.110[[#This Row],[Gas 24h, ml]]-Table3.110[[#This Row],[V8 Push back, ml]]</f>
        <v>30</v>
      </c>
      <c r="AG1203" s="94">
        <f>Table3.110[[#This Row],[GP 8h, ml]]-(AVERAGE(AE$1159,AE$1160,AE$1193,AE$1194,AE$1229,AE$1230))*$AG$8</f>
        <v>29.0337235386359</v>
      </c>
      <c r="AH1203" s="94">
        <f>Table3.110[[#This Row],[GP 8-24h, ml]]-(AVERAGE(AF$1159,AF$1160,AF$1193,AF$1194,AF$1229,AF$1230))*$AG$8</f>
        <v>25.685592064046812</v>
      </c>
      <c r="AI1203" s="94">
        <f>Table3.110[[#This Row],[Net gas 8-24h, ml]]+Table3.110[[#This Row],[Net gas 8h, ml]]</f>
        <v>54.719315602682713</v>
      </c>
      <c r="AJ1203" s="94">
        <f>Table3.110[[#This Row],[Net gas 8h, ml]]*Table3.110[[#This Row],[CH4 8h %]]%</f>
        <v>3.7743840600226672</v>
      </c>
      <c r="AK1203" s="94">
        <f>Table3.110[[#This Row],[Net gas 8-24h, ml]]*Table3.110[[#This Row],[CH4 24h, %]]%</f>
        <v>3.7757820334148811</v>
      </c>
      <c r="AL1203" s="94">
        <f>Table3.110[[#This Row],[CH4 8-24h, ml]]+Table3.110[[#This Row],[CH4 8h, ml]]</f>
        <v>7.5501660934375483</v>
      </c>
      <c r="AM1203" s="94">
        <f>(Table3.110[[#This Row],[Net gas 24h, ml]]/Table3.110[[#This Row],[DM Incubated, mg]])*1000</f>
        <v>113.71474221969063</v>
      </c>
      <c r="AN1203" s="94">
        <f>'3.2 Digest'!X1203</f>
        <v>14.151777131051798</v>
      </c>
      <c r="AO1203" s="94">
        <f>Table3.110[[#This Row],[Digested feed, mg]]/Table3.110[[#This Row],[Net gas 24h, ml]]</f>
        <v>1.2444980180064378</v>
      </c>
      <c r="AP1203" s="94">
        <f>Table3.110[[#This Row],[CH4 8h, ml]]/Table3.110[[#This Row],[Net gas 8h, ml]]%</f>
        <v>13</v>
      </c>
      <c r="AQ1203" s="94">
        <f>Table3.110[[#This Row],[CH4 24h, ml]]/Table3.110[[#This Row],[Net gas 24h, ml]]%</f>
        <v>13.79799072828204</v>
      </c>
      <c r="AR1203" s="94">
        <f>Table3.110[[#This Row],[CH4 24h, ml]]/Table3.110[[#This Row],[DM Incubated, mg]]*1000</f>
        <v>15.690349588162736</v>
      </c>
      <c r="AS1203" s="94">
        <f>Table3.110[[#This Row],[CH4 24h, ml]]/Table3.110[[#This Row],[Digested feed, mg]]*1000</f>
        <v>110.87193815209969</v>
      </c>
      <c r="AT1203" s="255">
        <f>Table3.110[[#This Row],[CH4 24h, ml]]/'3.2 Digest'!AA1203</f>
        <v>-0.19927407137331857</v>
      </c>
      <c r="AU1203" s="255">
        <f>((Table3.110[[#This Row],[CH4 24h, ml]]/28.9)*16.04)/Table3.110[[#This Row],[DM Incubated, mg]]*1000</f>
        <v>8.708415480765753</v>
      </c>
      <c r="AV1203" s="255">
        <f>((Table3.110[[#This Row],[CH4 24h, ml]]/28.9)*16.04)/Table3.110[[#This Row],[Digested feed, mg]]*1000</f>
        <v>61.535843874037326</v>
      </c>
    </row>
    <row r="1204" spans="2:48" x14ac:dyDescent="0.35">
      <c r="B1204" s="90">
        <f t="shared" si="18"/>
        <v>1194</v>
      </c>
      <c r="C1204" s="140">
        <v>46085</v>
      </c>
      <c r="D1204" s="6" t="s">
        <v>16</v>
      </c>
      <c r="E1204" s="6" t="s">
        <v>441</v>
      </c>
      <c r="F1204" s="242" t="s">
        <v>442</v>
      </c>
      <c r="G1204" s="242" t="s">
        <v>443</v>
      </c>
      <c r="H1204" s="6" t="s">
        <v>444</v>
      </c>
      <c r="I1204" s="133" t="s">
        <v>22</v>
      </c>
      <c r="J1204" s="135" t="s">
        <v>23</v>
      </c>
      <c r="K1204" s="135" t="s">
        <v>215</v>
      </c>
      <c r="L1204" s="6" t="s">
        <v>440</v>
      </c>
      <c r="M1204" s="256">
        <v>30</v>
      </c>
      <c r="N1204" s="256">
        <v>71</v>
      </c>
      <c r="O1204" s="256">
        <v>3</v>
      </c>
      <c r="P1204" s="257">
        <v>2</v>
      </c>
      <c r="Q1204" s="129">
        <v>118</v>
      </c>
      <c r="R1204" s="98">
        <v>0.50019999999999998</v>
      </c>
      <c r="S1204" s="94">
        <f>((Table3.110[[#This Row],[Sample weight, g]]*'2.1. DM'!Q281)/100)*1000</f>
        <v>481.1980798142074</v>
      </c>
      <c r="T1204" s="94">
        <f>'3.2 Digest'!W1204</f>
        <v>104.29807981420737</v>
      </c>
      <c r="U1204" s="117">
        <v>0.34236111111111112</v>
      </c>
      <c r="V1204" s="155">
        <v>40</v>
      </c>
      <c r="W1204" s="117">
        <v>0.68125000000000002</v>
      </c>
      <c r="X1204" s="96">
        <v>71</v>
      </c>
      <c r="Y1204" s="96">
        <v>13</v>
      </c>
      <c r="Z1204" s="155">
        <v>40</v>
      </c>
      <c r="AA1204" s="117">
        <v>0.35208333333333336</v>
      </c>
      <c r="AB1204" s="155">
        <v>75.5</v>
      </c>
      <c r="AC1204" s="155">
        <v>14.4</v>
      </c>
      <c r="AD1204" s="96"/>
      <c r="AE1204" s="94">
        <f>Table3.110[[#This Row],[Gas 8h, ml]]-Table3.110[[#This Row],[Gas 0h, ml]]</f>
        <v>31</v>
      </c>
      <c r="AF1204" s="94">
        <f>Table3.110[[#This Row],[Gas 24h, ml]]-Table3.110[[#This Row],[V8 Push back, ml]]</f>
        <v>35.5</v>
      </c>
      <c r="AG1204" s="94">
        <f>Table3.110[[#This Row],[GP 8h, ml]]-(AVERAGE(AE$1159,AE$1160,AE$1193,AE$1194,AE$1229,AE$1230))*$AG$8</f>
        <v>27.5337235386359</v>
      </c>
      <c r="AH1204" s="94">
        <f>Table3.110[[#This Row],[GP 8-24h, ml]]-(AVERAGE(AF$1159,AF$1160,AF$1193,AF$1194,AF$1229,AF$1230))*$AG$8</f>
        <v>31.185592064046812</v>
      </c>
      <c r="AI1204" s="94">
        <f>Table3.110[[#This Row],[Net gas 8-24h, ml]]+Table3.110[[#This Row],[Net gas 8h, ml]]</f>
        <v>58.719315602682713</v>
      </c>
      <c r="AJ1204" s="94">
        <f>Table3.110[[#This Row],[Net gas 8h, ml]]*Table3.110[[#This Row],[CH4 8h %]]%</f>
        <v>3.5793840600226674</v>
      </c>
      <c r="AK1204" s="94">
        <f>Table3.110[[#This Row],[Net gas 8-24h, ml]]*Table3.110[[#This Row],[CH4 24h, %]]%</f>
        <v>4.4907252572227412</v>
      </c>
      <c r="AL1204" s="94">
        <f>Table3.110[[#This Row],[CH4 8-24h, ml]]+Table3.110[[#This Row],[CH4 8h, ml]]</f>
        <v>8.070109317245409</v>
      </c>
      <c r="AM1204" s="94">
        <f>(Table3.110[[#This Row],[Net gas 24h, ml]]/Table3.110[[#This Row],[DM Incubated, mg]])*1000</f>
        <v>122.02732734377179</v>
      </c>
      <c r="AN1204" s="94">
        <f>'3.2 Digest'!X1204</f>
        <v>21.674666668345246</v>
      </c>
      <c r="AO1204" s="94">
        <f>Table3.110[[#This Row],[Digested feed, mg]]/Table3.110[[#This Row],[Net gas 24h, ml]]</f>
        <v>1.77621415957788</v>
      </c>
      <c r="AP1204" s="94">
        <f>Table3.110[[#This Row],[CH4 8h, ml]]/Table3.110[[#This Row],[Net gas 8h, ml]]%</f>
        <v>13</v>
      </c>
      <c r="AQ1204" s="94">
        <f>Table3.110[[#This Row],[CH4 24h, ml]]/Table3.110[[#This Row],[Net gas 24h, ml]]%</f>
        <v>13.743534362441904</v>
      </c>
      <c r="AR1204" s="94">
        <f>Table3.110[[#This Row],[CH4 24h, ml]]/Table3.110[[#This Row],[DM Incubated, mg]]*1000</f>
        <v>16.770867665060742</v>
      </c>
      <c r="AS1204" s="94">
        <f>Table3.110[[#This Row],[CH4 24h, ml]]/Table3.110[[#This Row],[Digested feed, mg]]*1000</f>
        <v>77.375435210515803</v>
      </c>
      <c r="AT1204" s="255">
        <f>Table3.110[[#This Row],[CH4 24h, ml]]/'3.2 Digest'!AA1204</f>
        <v>-0.31273214933313981</v>
      </c>
      <c r="AU1204" s="255">
        <f>((Table3.110[[#This Row],[CH4 24h, ml]]/28.9)*16.04)/Table3.110[[#This Row],[DM Incubated, mg]]*1000</f>
        <v>9.3081217075285227</v>
      </c>
      <c r="AV1204" s="255">
        <f>((Table3.110[[#This Row],[CH4 24h, ml]]/28.9)*16.04)/Table3.110[[#This Row],[Digested feed, mg]]*1000</f>
        <v>42.944705217185934</v>
      </c>
    </row>
    <row r="1205" spans="2:48" x14ac:dyDescent="0.35">
      <c r="B1205" s="90">
        <f t="shared" si="18"/>
        <v>1195</v>
      </c>
      <c r="C1205" s="140">
        <v>46085</v>
      </c>
      <c r="D1205" s="6" t="s">
        <v>16</v>
      </c>
      <c r="E1205" s="6" t="s">
        <v>446</v>
      </c>
      <c r="F1205" s="242" t="s">
        <v>442</v>
      </c>
      <c r="G1205" s="242" t="s">
        <v>447</v>
      </c>
      <c r="H1205" s="6" t="s">
        <v>448</v>
      </c>
      <c r="I1205" s="133" t="s">
        <v>22</v>
      </c>
      <c r="J1205" s="135" t="s">
        <v>23</v>
      </c>
      <c r="K1205" s="135" t="s">
        <v>215</v>
      </c>
      <c r="L1205" s="6" t="s">
        <v>445</v>
      </c>
      <c r="M1205" s="256">
        <v>30</v>
      </c>
      <c r="N1205" s="256">
        <v>71</v>
      </c>
      <c r="O1205" s="256">
        <v>3</v>
      </c>
      <c r="P1205" s="257">
        <v>1</v>
      </c>
      <c r="Q1205" s="129">
        <v>119</v>
      </c>
      <c r="R1205" s="98">
        <v>0.50049999999999994</v>
      </c>
      <c r="S1205" s="94">
        <f>((Table3.110[[#This Row],[Sample weight, g]]*'2.1. DM'!Q283)/100)*1000</f>
        <v>476.93588541628424</v>
      </c>
      <c r="T1205" s="94">
        <f>'3.2 Digest'!W1205</f>
        <v>76.535885416284259</v>
      </c>
      <c r="U1205" s="117">
        <v>0.34236111111111112</v>
      </c>
      <c r="V1205" s="155">
        <v>40.5</v>
      </c>
      <c r="W1205" s="117">
        <v>0.68125000000000002</v>
      </c>
      <c r="X1205" s="96">
        <v>79.5</v>
      </c>
      <c r="Y1205" s="96">
        <v>13.5</v>
      </c>
      <c r="Z1205" s="155">
        <v>40</v>
      </c>
      <c r="AA1205" s="117">
        <v>0.35208333333333336</v>
      </c>
      <c r="AB1205" s="155">
        <v>79.5</v>
      </c>
      <c r="AC1205" s="155">
        <v>15.4</v>
      </c>
      <c r="AD1205" s="96"/>
      <c r="AE1205" s="94">
        <f>Table3.110[[#This Row],[Gas 8h, ml]]-Table3.110[[#This Row],[Gas 0h, ml]]</f>
        <v>39</v>
      </c>
      <c r="AF1205" s="94">
        <f>Table3.110[[#This Row],[Gas 24h, ml]]-Table3.110[[#This Row],[V8 Push back, ml]]</f>
        <v>39.5</v>
      </c>
      <c r="AG1205" s="94">
        <f>Table3.110[[#This Row],[GP 8h, ml]]-(AVERAGE(AE$1159,AE$1160,AE$1193,AE$1194,AE$1229,AE$1230))*$AG$8</f>
        <v>35.533723538635904</v>
      </c>
      <c r="AH1205" s="94">
        <f>Table3.110[[#This Row],[GP 8-24h, ml]]-(AVERAGE(AF$1159,AF$1160,AF$1193,AF$1194,AF$1229,AF$1230))*$AG$8</f>
        <v>35.185592064046816</v>
      </c>
      <c r="AI1205" s="94">
        <f>Table3.110[[#This Row],[Net gas 8-24h, ml]]+Table3.110[[#This Row],[Net gas 8h, ml]]</f>
        <v>70.719315602682713</v>
      </c>
      <c r="AJ1205" s="94">
        <f>Table3.110[[#This Row],[Net gas 8h, ml]]*Table3.110[[#This Row],[CH4 8h %]]%</f>
        <v>4.7970526777158478</v>
      </c>
      <c r="AK1205" s="94">
        <f>Table3.110[[#This Row],[Net gas 8-24h, ml]]*Table3.110[[#This Row],[CH4 24h, %]]%</f>
        <v>5.4185811778632091</v>
      </c>
      <c r="AL1205" s="94">
        <f>Table3.110[[#This Row],[CH4 8-24h, ml]]+Table3.110[[#This Row],[CH4 8h, ml]]</f>
        <v>10.215633855579057</v>
      </c>
      <c r="AM1205" s="94">
        <f>(Table3.110[[#This Row],[Net gas 24h, ml]]/Table3.110[[#This Row],[DM Incubated, mg]])*1000</f>
        <v>148.27845369814588</v>
      </c>
      <c r="AN1205" s="94">
        <f>'3.2 Digest'!X1205</f>
        <v>16.04741596440817</v>
      </c>
      <c r="AO1205" s="94">
        <f>Table3.110[[#This Row],[Digested feed, mg]]/Table3.110[[#This Row],[Net gas 24h, ml]]</f>
        <v>1.0822486722903311</v>
      </c>
      <c r="AP1205" s="94">
        <f>Table3.110[[#This Row],[CH4 8h, ml]]/Table3.110[[#This Row],[Net gas 8h, ml]]%</f>
        <v>13.500000000000002</v>
      </c>
      <c r="AQ1205" s="94">
        <f>Table3.110[[#This Row],[CH4 24h, ml]]/Table3.110[[#This Row],[Net gas 24h, ml]]%</f>
        <v>14.445323414854331</v>
      </c>
      <c r="AR1205" s="94">
        <f>Table3.110[[#This Row],[CH4 24h, ml]]/Table3.110[[#This Row],[DM Incubated, mg]]*1000</f>
        <v>21.419302191242203</v>
      </c>
      <c r="AS1205" s="94">
        <f>Table3.110[[#This Row],[CH4 24h, ml]]/Table3.110[[#This Row],[Digested feed, mg]]*1000</f>
        <v>133.47508557607296</v>
      </c>
      <c r="AT1205" s="255">
        <f>Table3.110[[#This Row],[CH4 24h, ml]]/'3.2 Digest'!AA1205</f>
        <v>-0.18837049036332743</v>
      </c>
      <c r="AU1205" s="255">
        <f>((Table3.110[[#This Row],[CH4 24h, ml]]/28.9)*16.04)/Table3.110[[#This Row],[DM Incubated, mg]]*1000</f>
        <v>11.888083292301898</v>
      </c>
      <c r="AV1205" s="255">
        <f>((Table3.110[[#This Row],[CH4 24h, ml]]/28.9)*16.04)/Table3.110[[#This Row],[Digested feed, mg]]*1000</f>
        <v>74.08098175225642</v>
      </c>
    </row>
    <row r="1206" spans="2:48" x14ac:dyDescent="0.35">
      <c r="B1206" s="90">
        <f t="shared" si="18"/>
        <v>1196</v>
      </c>
      <c r="C1206" s="140">
        <v>46085</v>
      </c>
      <c r="D1206" s="6" t="s">
        <v>16</v>
      </c>
      <c r="E1206" s="6" t="s">
        <v>446</v>
      </c>
      <c r="F1206" s="242" t="s">
        <v>442</v>
      </c>
      <c r="G1206" s="242" t="s">
        <v>447</v>
      </c>
      <c r="H1206" s="6" t="s">
        <v>448</v>
      </c>
      <c r="I1206" s="133" t="s">
        <v>22</v>
      </c>
      <c r="J1206" s="135" t="s">
        <v>23</v>
      </c>
      <c r="K1206" s="135" t="s">
        <v>215</v>
      </c>
      <c r="L1206" s="6" t="s">
        <v>445</v>
      </c>
      <c r="M1206" s="256">
        <v>30</v>
      </c>
      <c r="N1206" s="256">
        <v>71</v>
      </c>
      <c r="O1206" s="256">
        <v>3</v>
      </c>
      <c r="P1206" s="257">
        <v>2</v>
      </c>
      <c r="Q1206" s="129">
        <v>120</v>
      </c>
      <c r="R1206" s="98">
        <v>0.50009999999999999</v>
      </c>
      <c r="S1206" s="94">
        <f>((Table3.110[[#This Row],[Sample weight, g]]*'2.1. DM'!Q283)/100)*1000</f>
        <v>476.55471787549203</v>
      </c>
      <c r="T1206" s="94">
        <f>'3.2 Digest'!W1206</f>
        <v>160.05471787549203</v>
      </c>
      <c r="U1206" s="153">
        <v>0.34236111111111112</v>
      </c>
      <c r="V1206" s="155">
        <v>40.5</v>
      </c>
      <c r="W1206" s="153">
        <v>0.68194444444444446</v>
      </c>
      <c r="X1206" s="91">
        <v>80</v>
      </c>
      <c r="Y1206" s="91">
        <v>13.3</v>
      </c>
      <c r="Z1206" s="154">
        <v>40</v>
      </c>
      <c r="AA1206" s="153">
        <v>0.3527777777777778</v>
      </c>
      <c r="AB1206" s="154">
        <v>80.5</v>
      </c>
      <c r="AC1206" s="154">
        <v>15.7</v>
      </c>
      <c r="AD1206" s="91"/>
      <c r="AE1206" s="94">
        <f>Table3.110[[#This Row],[Gas 8h, ml]]-Table3.110[[#This Row],[Gas 0h, ml]]</f>
        <v>39.5</v>
      </c>
      <c r="AF1206" s="94">
        <f>Table3.110[[#This Row],[Gas 24h, ml]]-Table3.110[[#This Row],[V8 Push back, ml]]</f>
        <v>40.5</v>
      </c>
      <c r="AG1206" s="94">
        <f>Table3.110[[#This Row],[GP 8h, ml]]-(AVERAGE(AE$1159,AE$1160,AE$1193,AE$1194,AE$1229,AE$1230))*$AG$8</f>
        <v>36.033723538635904</v>
      </c>
      <c r="AH1206" s="94">
        <f>Table3.110[[#This Row],[GP 8-24h, ml]]-(AVERAGE(AF$1159,AF$1160,AF$1193,AF$1194,AF$1229,AF$1230))*$AG$8</f>
        <v>36.185592064046816</v>
      </c>
      <c r="AI1206" s="94">
        <f>Table3.110[[#This Row],[Net gas 8-24h, ml]]+Table3.110[[#This Row],[Net gas 8h, ml]]</f>
        <v>72.219315602682713</v>
      </c>
      <c r="AJ1206" s="94">
        <f>Table3.110[[#This Row],[Net gas 8h, ml]]*Table3.110[[#This Row],[CH4 8h %]]%</f>
        <v>4.7924852306385759</v>
      </c>
      <c r="AK1206" s="94">
        <f>Table3.110[[#This Row],[Net gas 8-24h, ml]]*Table3.110[[#This Row],[CH4 24h, %]]%</f>
        <v>5.6811379540553499</v>
      </c>
      <c r="AL1206" s="94">
        <f>Table3.110[[#This Row],[CH4 8-24h, ml]]+Table3.110[[#This Row],[CH4 8h, ml]]</f>
        <v>10.473623184693926</v>
      </c>
      <c r="AM1206" s="94">
        <f>(Table3.110[[#This Row],[Net gas 24h, ml]]/Table3.110[[#This Row],[DM Incubated, mg]])*1000</f>
        <v>151.54464512415387</v>
      </c>
      <c r="AN1206" s="94">
        <f>'3.2 Digest'!X1206</f>
        <v>33.585800721693623</v>
      </c>
      <c r="AO1206" s="94">
        <f>Table3.110[[#This Row],[Digested feed, mg]]/Table3.110[[#This Row],[Net gas 24h, ml]]</f>
        <v>2.2162314408521828</v>
      </c>
      <c r="AP1206" s="94">
        <f>Table3.110[[#This Row],[CH4 8h, ml]]/Table3.110[[#This Row],[Net gas 8h, ml]]%</f>
        <v>13.300000000000002</v>
      </c>
      <c r="AQ1206" s="94">
        <f>Table3.110[[#This Row],[CH4 24h, ml]]/Table3.110[[#This Row],[Net gas 24h, ml]]%</f>
        <v>14.502523455518409</v>
      </c>
      <c r="AR1206" s="94">
        <f>Table3.110[[#This Row],[CH4 24h, ml]]/Table3.110[[#This Row],[DM Incubated, mg]]*1000</f>
        <v>21.97779770471255</v>
      </c>
      <c r="AS1206" s="94">
        <f>Table3.110[[#This Row],[CH4 24h, ml]]/Table3.110[[#This Row],[Digested feed, mg]]*1000</f>
        <v>65.437766057239557</v>
      </c>
      <c r="AT1206" s="255">
        <f>Table3.110[[#This Row],[CH4 24h, ml]]/'3.2 Digest'!AA1206</f>
        <v>-0.47582820045372465</v>
      </c>
      <c r="AU1206" s="255">
        <f>((Table3.110[[#This Row],[CH4 24h, ml]]/28.9)*16.04)/Table3.110[[#This Row],[DM Incubated, mg]]*1000</f>
        <v>12.198057964830081</v>
      </c>
      <c r="AV1206" s="255">
        <f>((Table3.110[[#This Row],[CH4 24h, ml]]/28.9)*16.04)/Table3.110[[#This Row],[Digested feed, mg]]*1000</f>
        <v>36.319092303049224</v>
      </c>
    </row>
    <row r="1207" spans="2:48" x14ac:dyDescent="0.35">
      <c r="B1207" s="90">
        <f t="shared" si="18"/>
        <v>1197</v>
      </c>
      <c r="C1207" s="140">
        <v>46085</v>
      </c>
      <c r="D1207" s="6" t="s">
        <v>16</v>
      </c>
      <c r="E1207" s="6" t="s">
        <v>450</v>
      </c>
      <c r="F1207" s="242" t="s">
        <v>442</v>
      </c>
      <c r="G1207" s="242" t="s">
        <v>451</v>
      </c>
      <c r="H1207" s="6" t="s">
        <v>452</v>
      </c>
      <c r="I1207" s="133" t="s">
        <v>22</v>
      </c>
      <c r="J1207" s="135" t="s">
        <v>23</v>
      </c>
      <c r="K1207" s="135" t="s">
        <v>215</v>
      </c>
      <c r="L1207" s="6" t="s">
        <v>449</v>
      </c>
      <c r="M1207" s="256">
        <v>30</v>
      </c>
      <c r="N1207" s="256">
        <v>71</v>
      </c>
      <c r="O1207" s="256">
        <v>3</v>
      </c>
      <c r="P1207" s="257">
        <v>1</v>
      </c>
      <c r="Q1207" s="129">
        <v>121</v>
      </c>
      <c r="R1207" s="98">
        <v>0.5</v>
      </c>
      <c r="S1207" s="94">
        <f>((Table3.110[[#This Row],[Sample weight, g]]*'2.1. DM'!Q285)/100)*1000</f>
        <v>482.17938530734654</v>
      </c>
      <c r="T1207" s="94">
        <f>'3.2 Digest'!W1207</f>
        <v>88.679385307346593</v>
      </c>
      <c r="U1207" s="153">
        <v>0.34305555555555556</v>
      </c>
      <c r="V1207" s="155">
        <v>41</v>
      </c>
      <c r="W1207" s="153">
        <v>0.68194444444444446</v>
      </c>
      <c r="X1207" s="91">
        <v>77</v>
      </c>
      <c r="Y1207" s="91">
        <v>14.1</v>
      </c>
      <c r="Z1207" s="154">
        <v>40.5</v>
      </c>
      <c r="AA1207" s="153">
        <v>0.3527777777777778</v>
      </c>
      <c r="AB1207" s="154">
        <v>75.5</v>
      </c>
      <c r="AC1207" s="154">
        <v>16.399999999999999</v>
      </c>
      <c r="AD1207" s="91"/>
      <c r="AE1207" s="94">
        <f>Table3.110[[#This Row],[Gas 8h, ml]]-Table3.110[[#This Row],[Gas 0h, ml]]</f>
        <v>36</v>
      </c>
      <c r="AF1207" s="94">
        <f>Table3.110[[#This Row],[Gas 24h, ml]]-Table3.110[[#This Row],[V8 Push back, ml]]</f>
        <v>35</v>
      </c>
      <c r="AG1207" s="94">
        <f>Table3.110[[#This Row],[GP 8h, ml]]-(AVERAGE(AE$1159,AE$1160,AE$1193,AE$1194,AE$1229,AE$1230))*$AG$8</f>
        <v>32.533723538635904</v>
      </c>
      <c r="AH1207" s="94">
        <f>Table3.110[[#This Row],[GP 8-24h, ml]]-(AVERAGE(AF$1159,AF$1160,AF$1193,AF$1194,AF$1229,AF$1230))*$AG$8</f>
        <v>30.685592064046812</v>
      </c>
      <c r="AI1207" s="94">
        <f>Table3.110[[#This Row],[Net gas 8-24h, ml]]+Table3.110[[#This Row],[Net gas 8h, ml]]</f>
        <v>63.219315602682713</v>
      </c>
      <c r="AJ1207" s="94">
        <f>Table3.110[[#This Row],[Net gas 8h, ml]]*Table3.110[[#This Row],[CH4 8h %]]%</f>
        <v>4.587255018947662</v>
      </c>
      <c r="AK1207" s="94">
        <f>Table3.110[[#This Row],[Net gas 8-24h, ml]]*Table3.110[[#This Row],[CH4 24h, %]]%</f>
        <v>5.0324370985036762</v>
      </c>
      <c r="AL1207" s="94">
        <f>Table3.110[[#This Row],[CH4 8-24h, ml]]+Table3.110[[#This Row],[CH4 8h, ml]]</f>
        <v>9.6196921174513381</v>
      </c>
      <c r="AM1207" s="94">
        <f>(Table3.110[[#This Row],[Net gas 24h, ml]]/Table3.110[[#This Row],[DM Incubated, mg]])*1000</f>
        <v>131.11161017882588</v>
      </c>
      <c r="AN1207" s="94">
        <f>'3.2 Digest'!X1207</f>
        <v>18.391368028067266</v>
      </c>
      <c r="AO1207" s="94">
        <f>Table3.110[[#This Row],[Digested feed, mg]]/Table3.110[[#This Row],[Net gas 24h, ml]]</f>
        <v>1.402726120362864</v>
      </c>
      <c r="AP1207" s="94">
        <f>Table3.110[[#This Row],[CH4 8h, ml]]/Table3.110[[#This Row],[Net gas 8h, ml]]%</f>
        <v>14.099999999999998</v>
      </c>
      <c r="AQ1207" s="94">
        <f>Table3.110[[#This Row],[CH4 24h, ml]]/Table3.110[[#This Row],[Net gas 24h, ml]]%</f>
        <v>15.216381300153028</v>
      </c>
      <c r="AR1207" s="94">
        <f>Table3.110[[#This Row],[CH4 24h, ml]]/Table3.110[[#This Row],[DM Incubated, mg]]*1000</f>
        <v>19.9504425335804</v>
      </c>
      <c r="AS1207" s="94">
        <f>Table3.110[[#This Row],[CH4 24h, ml]]/Table3.110[[#This Row],[Digested feed, mg]]*1000</f>
        <v>108.47720791152575</v>
      </c>
      <c r="AT1207" s="255">
        <f>Table3.110[[#This Row],[CH4 24h, ml]]/'3.2 Digest'!AA1207</f>
        <v>-0.25714310672021601</v>
      </c>
      <c r="AU1207" s="255">
        <f>((Table3.110[[#This Row],[CH4 24h, ml]]/28.9)*16.04)/Table3.110[[#This Row],[DM Incubated, mg]]*1000</f>
        <v>11.072840769502756</v>
      </c>
      <c r="AV1207" s="255">
        <f>((Table3.110[[#This Row],[CH4 24h, ml]]/28.9)*16.04)/Table3.110[[#This Row],[Digested feed, mg]]*1000</f>
        <v>60.206727159199758</v>
      </c>
    </row>
    <row r="1208" spans="2:48" x14ac:dyDescent="0.35">
      <c r="B1208" s="90">
        <f t="shared" si="18"/>
        <v>1198</v>
      </c>
      <c r="C1208" s="140">
        <v>46085</v>
      </c>
      <c r="D1208" s="6" t="s">
        <v>16</v>
      </c>
      <c r="E1208" s="6" t="s">
        <v>450</v>
      </c>
      <c r="F1208" s="242" t="s">
        <v>442</v>
      </c>
      <c r="G1208" s="242" t="s">
        <v>451</v>
      </c>
      <c r="H1208" s="6" t="s">
        <v>452</v>
      </c>
      <c r="I1208" s="133" t="s">
        <v>22</v>
      </c>
      <c r="J1208" s="135" t="s">
        <v>23</v>
      </c>
      <c r="K1208" s="135" t="s">
        <v>215</v>
      </c>
      <c r="L1208" s="6" t="s">
        <v>449</v>
      </c>
      <c r="M1208" s="256">
        <v>30</v>
      </c>
      <c r="N1208" s="256">
        <v>71</v>
      </c>
      <c r="O1208" s="256">
        <v>3</v>
      </c>
      <c r="P1208" s="257">
        <v>2</v>
      </c>
      <c r="Q1208" s="129">
        <v>122</v>
      </c>
      <c r="R1208" s="98">
        <v>0.50019999999999998</v>
      </c>
      <c r="S1208" s="94">
        <f>((Table3.110[[#This Row],[Sample weight, g]]*'2.1. DM'!Q285)/100)*1000</f>
        <v>482.3722570614695</v>
      </c>
      <c r="T1208" s="94">
        <f>'3.2 Digest'!W1208</f>
        <v>122.97225706146946</v>
      </c>
      <c r="U1208" s="117">
        <v>0.34305555555555556</v>
      </c>
      <c r="V1208" s="155">
        <v>41</v>
      </c>
      <c r="W1208" s="117">
        <v>0.68263888888888891</v>
      </c>
      <c r="X1208" s="96">
        <v>78</v>
      </c>
      <c r="Y1208" s="96">
        <v>13.9</v>
      </c>
      <c r="Z1208" s="155">
        <v>40</v>
      </c>
      <c r="AA1208" s="117">
        <v>0.35347222222222224</v>
      </c>
      <c r="AB1208" s="155">
        <v>76</v>
      </c>
      <c r="AC1208" s="155">
        <v>16.399999999999999</v>
      </c>
      <c r="AD1208" s="96"/>
      <c r="AE1208" s="94">
        <f>Table3.110[[#This Row],[Gas 8h, ml]]-Table3.110[[#This Row],[Gas 0h, ml]]</f>
        <v>37</v>
      </c>
      <c r="AF1208" s="94">
        <f>Table3.110[[#This Row],[Gas 24h, ml]]-Table3.110[[#This Row],[V8 Push back, ml]]</f>
        <v>36</v>
      </c>
      <c r="AG1208" s="94">
        <f>Table3.110[[#This Row],[GP 8h, ml]]-(AVERAGE(AE$1159,AE$1160,AE$1193,AE$1194,AE$1229,AE$1230))*$AG$8</f>
        <v>33.533723538635904</v>
      </c>
      <c r="AH1208" s="94">
        <f>Table3.110[[#This Row],[GP 8-24h, ml]]-(AVERAGE(AF$1159,AF$1160,AF$1193,AF$1194,AF$1229,AF$1230))*$AG$8</f>
        <v>31.685592064046812</v>
      </c>
      <c r="AI1208" s="94">
        <f>Table3.110[[#This Row],[Net gas 8-24h, ml]]+Table3.110[[#This Row],[Net gas 8h, ml]]</f>
        <v>65.219315602682713</v>
      </c>
      <c r="AJ1208" s="94">
        <f>Table3.110[[#This Row],[Net gas 8h, ml]]*Table3.110[[#This Row],[CH4 8h %]]%</f>
        <v>4.661187571870391</v>
      </c>
      <c r="AK1208" s="94">
        <f>Table3.110[[#This Row],[Net gas 8-24h, ml]]*Table3.110[[#This Row],[CH4 24h, %]]%</f>
        <v>5.1964370985036767</v>
      </c>
      <c r="AL1208" s="94">
        <f>Table3.110[[#This Row],[CH4 8-24h, ml]]+Table3.110[[#This Row],[CH4 8h, ml]]</f>
        <v>9.8576246703740686</v>
      </c>
      <c r="AM1208" s="94">
        <f>(Table3.110[[#This Row],[Net gas 24h, ml]]/Table3.110[[#This Row],[DM Incubated, mg]])*1000</f>
        <v>135.20536193351541</v>
      </c>
      <c r="AN1208" s="94">
        <f>'3.2 Digest'!X1208</f>
        <v>25.493227535637253</v>
      </c>
      <c r="AO1208" s="94">
        <f>Table3.110[[#This Row],[Digested feed, mg]]/Table3.110[[#This Row],[Net gas 24h, ml]]</f>
        <v>1.8855189743268506</v>
      </c>
      <c r="AP1208" s="94">
        <f>Table3.110[[#This Row],[CH4 8h, ml]]/Table3.110[[#This Row],[Net gas 8h, ml]]%</f>
        <v>13.9</v>
      </c>
      <c r="AQ1208" s="94">
        <f>Table3.110[[#This Row],[CH4 24h, ml]]/Table3.110[[#This Row],[Net gas 24h, ml]]%</f>
        <v>15.114578525213146</v>
      </c>
      <c r="AR1208" s="94">
        <f>Table3.110[[#This Row],[CH4 24h, ml]]/Table3.110[[#This Row],[DM Incubated, mg]]*1000</f>
        <v>20.435720599739827</v>
      </c>
      <c r="AS1208" s="94">
        <f>Table3.110[[#This Row],[CH4 24h, ml]]/Table3.110[[#This Row],[Digested feed, mg]]*1000</f>
        <v>80.161370588218048</v>
      </c>
      <c r="AT1208" s="255">
        <f>Table3.110[[#This Row],[CH4 24h, ml]]/'3.2 Digest'!AA1208</f>
        <v>-0.38730248616857732</v>
      </c>
      <c r="AU1208" s="255">
        <f>((Table3.110[[#This Row],[CH4 24h, ml]]/28.9)*16.04)/Table3.110[[#This Row],[DM Incubated, mg]]*1000</f>
        <v>11.342178492035531</v>
      </c>
      <c r="AV1208" s="255">
        <f>((Table3.110[[#This Row],[CH4 24h, ml]]/28.9)*16.04)/Table3.110[[#This Row],[Digested feed, mg]]*1000</f>
        <v>44.490947551384693</v>
      </c>
    </row>
    <row r="1209" spans="2:48" x14ac:dyDescent="0.35">
      <c r="B1209" s="90">
        <f t="shared" si="18"/>
        <v>1199</v>
      </c>
      <c r="C1209" s="140">
        <v>46085</v>
      </c>
      <c r="D1209" s="6" t="s">
        <v>16</v>
      </c>
      <c r="E1209" s="6" t="s">
        <v>454</v>
      </c>
      <c r="F1209" s="242" t="s">
        <v>442</v>
      </c>
      <c r="G1209" s="242" t="s">
        <v>455</v>
      </c>
      <c r="H1209" s="6" t="s">
        <v>456</v>
      </c>
      <c r="I1209" s="133" t="s">
        <v>22</v>
      </c>
      <c r="J1209" s="135" t="s">
        <v>23</v>
      </c>
      <c r="K1209" s="135" t="s">
        <v>215</v>
      </c>
      <c r="L1209" s="6" t="s">
        <v>453</v>
      </c>
      <c r="M1209" s="256">
        <v>30</v>
      </c>
      <c r="N1209" s="256">
        <v>71</v>
      </c>
      <c r="O1209" s="256">
        <v>3</v>
      </c>
      <c r="P1209" s="257">
        <v>1</v>
      </c>
      <c r="Q1209" s="129">
        <v>123</v>
      </c>
      <c r="R1209" s="98">
        <v>0.50049999999999994</v>
      </c>
      <c r="S1209" s="94">
        <f>((Table3.110[[#This Row],[Sample weight, g]]*'2.1. DM'!Q287)/100)*1000</f>
        <v>478.8142001993927</v>
      </c>
      <c r="T1209" s="94">
        <f>'3.2 Digest'!W1209</f>
        <v>112.8142001993927</v>
      </c>
      <c r="U1209" s="117">
        <v>0.34305555555555556</v>
      </c>
      <c r="V1209" s="155">
        <v>40.5</v>
      </c>
      <c r="W1209" s="117">
        <v>0.68333333333333335</v>
      </c>
      <c r="X1209" s="96">
        <v>76</v>
      </c>
      <c r="Y1209" s="96">
        <v>13.2</v>
      </c>
      <c r="Z1209" s="155">
        <v>40</v>
      </c>
      <c r="AA1209" s="117">
        <v>0.35416666666666669</v>
      </c>
      <c r="AB1209" s="155">
        <v>77.5</v>
      </c>
      <c r="AC1209" s="155">
        <v>16.5</v>
      </c>
      <c r="AD1209" s="96"/>
      <c r="AE1209" s="94">
        <f>Table3.110[[#This Row],[Gas 8h, ml]]-Table3.110[[#This Row],[Gas 0h, ml]]</f>
        <v>35.5</v>
      </c>
      <c r="AF1209" s="94">
        <f>Table3.110[[#This Row],[Gas 24h, ml]]-Table3.110[[#This Row],[V8 Push back, ml]]</f>
        <v>37.5</v>
      </c>
      <c r="AG1209" s="94">
        <f>Table3.110[[#This Row],[GP 8h, ml]]-(AVERAGE(AE$1159,AE$1160,AE$1193,AE$1194,AE$1229,AE$1230))*$AG$8</f>
        <v>32.033723538635904</v>
      </c>
      <c r="AH1209" s="94">
        <f>Table3.110[[#This Row],[GP 8-24h, ml]]-(AVERAGE(AF$1159,AF$1160,AF$1193,AF$1194,AF$1229,AF$1230))*$AG$8</f>
        <v>33.185592064046816</v>
      </c>
      <c r="AI1209" s="94">
        <f>Table3.110[[#This Row],[Net gas 8-24h, ml]]+Table3.110[[#This Row],[Net gas 8h, ml]]</f>
        <v>65.219315602682713</v>
      </c>
      <c r="AJ1209" s="94">
        <f>Table3.110[[#This Row],[Net gas 8h, ml]]*Table3.110[[#This Row],[CH4 8h %]]%</f>
        <v>4.2284515070999396</v>
      </c>
      <c r="AK1209" s="94">
        <f>Table3.110[[#This Row],[Net gas 8-24h, ml]]*Table3.110[[#This Row],[CH4 24h, %]]%</f>
        <v>5.4756226905677252</v>
      </c>
      <c r="AL1209" s="94">
        <f>Table3.110[[#This Row],[CH4 8-24h, ml]]+Table3.110[[#This Row],[CH4 8h, ml]]</f>
        <v>9.7040741976676657</v>
      </c>
      <c r="AM1209" s="94">
        <f>(Table3.110[[#This Row],[Net gas 24h, ml]]/Table3.110[[#This Row],[DM Incubated, mg]])*1000</f>
        <v>136.21006974213259</v>
      </c>
      <c r="AN1209" s="94">
        <f>'3.2 Digest'!X1209</f>
        <v>23.56116425795506</v>
      </c>
      <c r="AO1209" s="94">
        <f>Table3.110[[#This Row],[Digested feed, mg]]/Table3.110[[#This Row],[Net gas 24h, ml]]</f>
        <v>1.729766698053977</v>
      </c>
      <c r="AP1209" s="94">
        <f>Table3.110[[#This Row],[CH4 8h, ml]]/Table3.110[[#This Row],[Net gas 8h, ml]]%</f>
        <v>13.2</v>
      </c>
      <c r="AQ1209" s="94">
        <f>Table3.110[[#This Row],[CH4 24h, ml]]/Table3.110[[#This Row],[Net gas 24h, ml]]%</f>
        <v>14.87914141384903</v>
      </c>
      <c r="AR1209" s="94">
        <f>Table3.110[[#This Row],[CH4 24h, ml]]/Table3.110[[#This Row],[DM Incubated, mg]]*1000</f>
        <v>20.266888896834296</v>
      </c>
      <c r="AS1209" s="94">
        <f>Table3.110[[#This Row],[CH4 24h, ml]]/Table3.110[[#This Row],[Digested feed, mg]]*1000</f>
        <v>86.01819789101252</v>
      </c>
      <c r="AT1209" s="255">
        <f>Table3.110[[#This Row],[CH4 24h, ml]]/'3.2 Digest'!AA1209</f>
        <v>-0.3860443859850039</v>
      </c>
      <c r="AU1209" s="255">
        <f>((Table3.110[[#This Row],[CH4 24h, ml]]/28.9)*16.04)/Table3.110[[#This Row],[DM Incubated, mg]]*1000</f>
        <v>11.248473975959245</v>
      </c>
      <c r="AV1209" s="255">
        <f>((Table3.110[[#This Row],[CH4 24h, ml]]/28.9)*16.04)/Table3.110[[#This Row],[Digested feed, mg]]*1000</f>
        <v>47.741588033627714</v>
      </c>
    </row>
    <row r="1210" spans="2:48" x14ac:dyDescent="0.35">
      <c r="B1210" s="90">
        <f t="shared" si="18"/>
        <v>1200</v>
      </c>
      <c r="C1210" s="140">
        <v>46085</v>
      </c>
      <c r="D1210" s="6" t="s">
        <v>16</v>
      </c>
      <c r="E1210" s="6" t="s">
        <v>454</v>
      </c>
      <c r="F1210" s="242" t="s">
        <v>442</v>
      </c>
      <c r="G1210" s="242" t="s">
        <v>455</v>
      </c>
      <c r="H1210" s="6" t="s">
        <v>456</v>
      </c>
      <c r="I1210" s="133" t="s">
        <v>22</v>
      </c>
      <c r="J1210" s="135" t="s">
        <v>23</v>
      </c>
      <c r="K1210" s="135" t="s">
        <v>215</v>
      </c>
      <c r="L1210" s="6" t="s">
        <v>453</v>
      </c>
      <c r="M1210" s="256">
        <v>30</v>
      </c>
      <c r="N1210" s="256">
        <v>71</v>
      </c>
      <c r="O1210" s="256">
        <v>3</v>
      </c>
      <c r="P1210" s="257">
        <v>2</v>
      </c>
      <c r="Q1210" s="129">
        <v>124</v>
      </c>
      <c r="R1210" s="98">
        <v>0.50019999999999998</v>
      </c>
      <c r="S1210" s="94">
        <f>((Table3.110[[#This Row],[Sample weight, g]]*'2.1. DM'!Q287)/100)*1000</f>
        <v>478.52719868079168</v>
      </c>
      <c r="T1210" s="94">
        <f>'3.2 Digest'!W1210</f>
        <v>143.52719868079174</v>
      </c>
      <c r="U1210" s="153">
        <v>0.34375</v>
      </c>
      <c r="V1210" s="155">
        <v>41</v>
      </c>
      <c r="W1210" s="153">
        <v>0.68333333333333335</v>
      </c>
      <c r="X1210" s="91">
        <v>76.5</v>
      </c>
      <c r="Y1210" s="91">
        <v>13.3</v>
      </c>
      <c r="Z1210" s="154">
        <v>40</v>
      </c>
      <c r="AA1210" s="153">
        <v>0.35416666666666669</v>
      </c>
      <c r="AB1210" s="154">
        <v>77</v>
      </c>
      <c r="AC1210" s="154">
        <v>16.399999999999999</v>
      </c>
      <c r="AD1210" s="91"/>
      <c r="AE1210" s="94">
        <f>Table3.110[[#This Row],[Gas 8h, ml]]-Table3.110[[#This Row],[Gas 0h, ml]]</f>
        <v>35.5</v>
      </c>
      <c r="AF1210" s="94">
        <f>Table3.110[[#This Row],[Gas 24h, ml]]-Table3.110[[#This Row],[V8 Push back, ml]]</f>
        <v>37</v>
      </c>
      <c r="AG1210" s="94">
        <f>Table3.110[[#This Row],[GP 8h, ml]]-(AVERAGE(AE$1159,AE$1160,AE$1193,AE$1194,AE$1229,AE$1230))*$AG$8</f>
        <v>32.033723538635904</v>
      </c>
      <c r="AH1210" s="94">
        <f>Table3.110[[#This Row],[GP 8-24h, ml]]-(AVERAGE(AF$1159,AF$1160,AF$1193,AF$1194,AF$1229,AF$1230))*$AG$8</f>
        <v>32.685592064046816</v>
      </c>
      <c r="AI1210" s="94">
        <f>Table3.110[[#This Row],[Net gas 8-24h, ml]]+Table3.110[[#This Row],[Net gas 8h, ml]]</f>
        <v>64.719315602682713</v>
      </c>
      <c r="AJ1210" s="94">
        <f>Table3.110[[#This Row],[Net gas 8h, ml]]*Table3.110[[#This Row],[CH4 8h %]]%</f>
        <v>4.2604852306385759</v>
      </c>
      <c r="AK1210" s="94">
        <f>Table3.110[[#This Row],[Net gas 8-24h, ml]]*Table3.110[[#This Row],[CH4 24h, %]]%</f>
        <v>5.3604370985036773</v>
      </c>
      <c r="AL1210" s="94">
        <f>Table3.110[[#This Row],[CH4 8-24h, ml]]+Table3.110[[#This Row],[CH4 8h, ml]]</f>
        <v>9.6209223291422532</v>
      </c>
      <c r="AM1210" s="94">
        <f>(Table3.110[[#This Row],[Net gas 24h, ml]]/Table3.110[[#This Row],[DM Incubated, mg]])*1000</f>
        <v>135.2468904193984</v>
      </c>
      <c r="AN1210" s="94">
        <f>'3.2 Digest'!X1210</f>
        <v>29.993529955344002</v>
      </c>
      <c r="AO1210" s="94">
        <f>Table3.110[[#This Row],[Digested feed, mg]]/Table3.110[[#This Row],[Net gas 24h, ml]]</f>
        <v>2.2176872135347847</v>
      </c>
      <c r="AP1210" s="94">
        <f>Table3.110[[#This Row],[CH4 8h, ml]]/Table3.110[[#This Row],[Net gas 8h, ml]]%</f>
        <v>13.3</v>
      </c>
      <c r="AQ1210" s="94">
        <f>Table3.110[[#This Row],[CH4 24h, ml]]/Table3.110[[#This Row],[Net gas 24h, ml]]%</f>
        <v>14.865611973102279</v>
      </c>
      <c r="AR1210" s="94">
        <f>Table3.110[[#This Row],[CH4 24h, ml]]/Table3.110[[#This Row],[DM Incubated, mg]]*1000</f>
        <v>20.105277935434607</v>
      </c>
      <c r="AS1210" s="94">
        <f>Table3.110[[#This Row],[CH4 24h, ml]]/Table3.110[[#This Row],[Digested feed, mg]]*1000</f>
        <v>67.032049796634269</v>
      </c>
      <c r="AT1210" s="255">
        <f>Table3.110[[#This Row],[CH4 24h, ml]]/'3.2 Digest'!AA1210</f>
        <v>-0.65865865198877516</v>
      </c>
      <c r="AU1210" s="255">
        <f>((Table3.110[[#This Row],[CH4 24h, ml]]/28.9)*16.04)/Table3.110[[#This Row],[DM Incubated, mg]]*1000</f>
        <v>11.15877709634502</v>
      </c>
      <c r="AV1210" s="255">
        <f>((Table3.110[[#This Row],[CH4 24h, ml]]/28.9)*16.04)/Table3.110[[#This Row],[Digested feed, mg]]*1000</f>
        <v>37.203947361176944</v>
      </c>
    </row>
    <row r="1211" spans="2:48" x14ac:dyDescent="0.35">
      <c r="B1211" s="90">
        <f t="shared" si="18"/>
        <v>1201</v>
      </c>
      <c r="C1211" s="140">
        <v>46085</v>
      </c>
      <c r="D1211" s="6" t="s">
        <v>16</v>
      </c>
      <c r="E1211" s="6" t="s">
        <v>458</v>
      </c>
      <c r="F1211" s="242" t="s">
        <v>333</v>
      </c>
      <c r="G1211" s="242" t="s">
        <v>438</v>
      </c>
      <c r="H1211" s="6" t="s">
        <v>439</v>
      </c>
      <c r="I1211" s="133" t="s">
        <v>22</v>
      </c>
      <c r="J1211" s="135" t="s">
        <v>23</v>
      </c>
      <c r="K1211" s="135" t="s">
        <v>303</v>
      </c>
      <c r="L1211" s="6" t="s">
        <v>457</v>
      </c>
      <c r="M1211" s="256">
        <v>30</v>
      </c>
      <c r="N1211" s="256">
        <v>71</v>
      </c>
      <c r="O1211" s="256">
        <v>3</v>
      </c>
      <c r="P1211" s="257">
        <v>1</v>
      </c>
      <c r="Q1211" s="129">
        <v>125</v>
      </c>
      <c r="R1211" s="98">
        <v>0.50029999999999997</v>
      </c>
      <c r="S1211" s="94">
        <f>((Table3.110[[#This Row],[Sample weight, g]]*'2.1. DM'!Q289)/100)*1000</f>
        <v>477.69100091163534</v>
      </c>
      <c r="T1211" s="94">
        <f>'3.2 Digest'!W1211</f>
        <v>232.99100091163541</v>
      </c>
      <c r="U1211" s="153">
        <v>0.34375</v>
      </c>
      <c r="V1211" s="155">
        <v>41</v>
      </c>
      <c r="W1211" s="153">
        <v>0.68402777777777779</v>
      </c>
      <c r="X1211" s="91">
        <v>83</v>
      </c>
      <c r="Y1211" s="91">
        <v>14.4</v>
      </c>
      <c r="Z1211" s="154">
        <v>40.5</v>
      </c>
      <c r="AA1211" s="153">
        <v>0.35486111111111113</v>
      </c>
      <c r="AB1211" s="154">
        <v>83</v>
      </c>
      <c r="AC1211" s="154">
        <v>14.4</v>
      </c>
      <c r="AD1211" s="91"/>
      <c r="AE1211" s="94">
        <f>Table3.110[[#This Row],[Gas 8h, ml]]-Table3.110[[#This Row],[Gas 0h, ml]]</f>
        <v>42</v>
      </c>
      <c r="AF1211" s="94">
        <f>Table3.110[[#This Row],[Gas 24h, ml]]-Table3.110[[#This Row],[V8 Push back, ml]]</f>
        <v>42.5</v>
      </c>
      <c r="AG1211" s="94">
        <f>Table3.110[[#This Row],[GP 8h, ml]]-(AVERAGE(AE$1159,AE$1160,AE$1193,AE$1194,AE$1229,AE$1230))*$AG$8</f>
        <v>38.533723538635904</v>
      </c>
      <c r="AH1211" s="94">
        <f>Table3.110[[#This Row],[GP 8-24h, ml]]-(AVERAGE(AF$1159,AF$1160,AF$1193,AF$1194,AF$1229,AF$1230))*$AG$8</f>
        <v>38.185592064046816</v>
      </c>
      <c r="AI1211" s="94">
        <f>Table3.110[[#This Row],[Net gas 8-24h, ml]]+Table3.110[[#This Row],[Net gas 8h, ml]]</f>
        <v>76.719315602682713</v>
      </c>
      <c r="AJ1211" s="94">
        <f>Table3.110[[#This Row],[Net gas 8h, ml]]*Table3.110[[#This Row],[CH4 8h %]]%</f>
        <v>5.5488561895635709</v>
      </c>
      <c r="AK1211" s="94">
        <f>Table3.110[[#This Row],[Net gas 8-24h, ml]]*Table3.110[[#This Row],[CH4 24h, %]]%</f>
        <v>5.4987252572227421</v>
      </c>
      <c r="AL1211" s="94">
        <f>Table3.110[[#This Row],[CH4 8-24h, ml]]+Table3.110[[#This Row],[CH4 8h, ml]]</f>
        <v>11.047581446786314</v>
      </c>
      <c r="AM1211" s="94">
        <f>(Table3.110[[#This Row],[Net gas 24h, ml]]/Table3.110[[#This Row],[DM Incubated, mg]])*1000</f>
        <v>160.60448167595786</v>
      </c>
      <c r="AN1211" s="94">
        <f>'3.2 Digest'!X1211</f>
        <v>48.774417032556734</v>
      </c>
      <c r="AO1211" s="94">
        <f>Table3.110[[#This Row],[Digested feed, mg]]/Table3.110[[#This Row],[Net gas 24h, ml]]</f>
        <v>3.0369275205511377</v>
      </c>
      <c r="AP1211" s="94">
        <f>Table3.110[[#This Row],[CH4 8h, ml]]/Table3.110[[#This Row],[Net gas 8h, ml]]%</f>
        <v>14.4</v>
      </c>
      <c r="AQ1211" s="94">
        <f>Table3.110[[#This Row],[CH4 24h, ml]]/Table3.110[[#This Row],[Net gas 24h, ml]]%</f>
        <v>14.400000000000004</v>
      </c>
      <c r="AR1211" s="94">
        <f>Table3.110[[#This Row],[CH4 24h, ml]]/Table3.110[[#This Row],[DM Incubated, mg]]*1000</f>
        <v>23.127045361337942</v>
      </c>
      <c r="AS1211" s="94">
        <f>Table3.110[[#This Row],[CH4 24h, ml]]/Table3.110[[#This Row],[Digested feed, mg]]*1000</f>
        <v>47.416343994231084</v>
      </c>
      <c r="AT1211" s="255">
        <f>Table3.110[[#This Row],[CH4 24h, ml]]/'3.2 Digest'!AA1211</f>
        <v>-0.97341877508506514</v>
      </c>
      <c r="AU1211" s="255">
        <f>((Table3.110[[#This Row],[CH4 24h, ml]]/28.9)*16.04)/Table3.110[[#This Row],[DM Incubated, mg]]*1000</f>
        <v>12.835910297434621</v>
      </c>
      <c r="AV1211" s="255">
        <f>((Table3.110[[#This Row],[CH4 24h, ml]]/28.9)*16.04)/Table3.110[[#This Row],[Digested feed, mg]]*1000</f>
        <v>26.316891268770473</v>
      </c>
    </row>
    <row r="1212" spans="2:48" x14ac:dyDescent="0.35">
      <c r="B1212" s="90">
        <f t="shared" si="18"/>
        <v>1202</v>
      </c>
      <c r="C1212" s="140">
        <v>46085</v>
      </c>
      <c r="D1212" s="6" t="s">
        <v>16</v>
      </c>
      <c r="E1212" s="6" t="s">
        <v>458</v>
      </c>
      <c r="F1212" s="242" t="s">
        <v>333</v>
      </c>
      <c r="G1212" s="242" t="s">
        <v>438</v>
      </c>
      <c r="H1212" s="6" t="s">
        <v>439</v>
      </c>
      <c r="I1212" s="133" t="s">
        <v>22</v>
      </c>
      <c r="J1212" s="135" t="s">
        <v>23</v>
      </c>
      <c r="K1212" s="135" t="s">
        <v>303</v>
      </c>
      <c r="L1212" s="6" t="s">
        <v>457</v>
      </c>
      <c r="M1212" s="256">
        <v>30</v>
      </c>
      <c r="N1212" s="256">
        <v>71</v>
      </c>
      <c r="O1212" s="256">
        <v>3</v>
      </c>
      <c r="P1212" s="257">
        <v>2</v>
      </c>
      <c r="Q1212" s="129">
        <v>126</v>
      </c>
      <c r="R1212" s="98">
        <v>0.5</v>
      </c>
      <c r="S1212" s="94">
        <f>((Table3.110[[#This Row],[Sample weight, g]]*'2.1. DM'!Q289)/100)*1000</f>
        <v>477.40455817672938</v>
      </c>
      <c r="T1212" s="94">
        <f>'3.2 Digest'!W1212</f>
        <v>251.00455817672935</v>
      </c>
      <c r="U1212" s="117">
        <v>0.34444444444444444</v>
      </c>
      <c r="V1212" s="155">
        <v>41</v>
      </c>
      <c r="W1212" s="117">
        <v>0.68472222222222223</v>
      </c>
      <c r="X1212" s="96">
        <v>83</v>
      </c>
      <c r="Y1212" s="96">
        <v>14</v>
      </c>
      <c r="Z1212" s="155">
        <v>40</v>
      </c>
      <c r="AA1212" s="117">
        <v>0.35486111111111113</v>
      </c>
      <c r="AB1212" s="155">
        <v>82.5</v>
      </c>
      <c r="AC1212" s="155">
        <v>13.9</v>
      </c>
      <c r="AD1212" s="96"/>
      <c r="AE1212" s="94">
        <f>Table3.110[[#This Row],[Gas 8h, ml]]-Table3.110[[#This Row],[Gas 0h, ml]]</f>
        <v>42</v>
      </c>
      <c r="AF1212" s="94">
        <f>Table3.110[[#This Row],[Gas 24h, ml]]-Table3.110[[#This Row],[V8 Push back, ml]]</f>
        <v>42.5</v>
      </c>
      <c r="AG1212" s="94">
        <f>Table3.110[[#This Row],[GP 8h, ml]]-(AVERAGE(AE$1159,AE$1160,AE$1193,AE$1194,AE$1229,AE$1230))*$AG$8</f>
        <v>38.533723538635904</v>
      </c>
      <c r="AH1212" s="94">
        <f>Table3.110[[#This Row],[GP 8-24h, ml]]-(AVERAGE(AF$1159,AF$1160,AF$1193,AF$1194,AF$1229,AF$1230))*$AG$8</f>
        <v>38.185592064046816</v>
      </c>
      <c r="AI1212" s="94">
        <f>Table3.110[[#This Row],[Net gas 8-24h, ml]]+Table3.110[[#This Row],[Net gas 8h, ml]]</f>
        <v>76.719315602682713</v>
      </c>
      <c r="AJ1212" s="94">
        <f>Table3.110[[#This Row],[Net gas 8h, ml]]*Table3.110[[#This Row],[CH4 8h %]]%</f>
        <v>5.3947212954090267</v>
      </c>
      <c r="AK1212" s="94">
        <f>Table3.110[[#This Row],[Net gas 8-24h, ml]]*Table3.110[[#This Row],[CH4 24h, %]]%</f>
        <v>5.3077972969025078</v>
      </c>
      <c r="AL1212" s="94">
        <f>Table3.110[[#This Row],[CH4 8-24h, ml]]+Table3.110[[#This Row],[CH4 8h, ml]]</f>
        <v>10.702518592311534</v>
      </c>
      <c r="AM1212" s="94">
        <f>(Table3.110[[#This Row],[Net gas 24h, ml]]/Table3.110[[#This Row],[DM Incubated, mg]])*1000</f>
        <v>160.70084436496342</v>
      </c>
      <c r="AN1212" s="94">
        <f>'3.2 Digest'!X1212</f>
        <v>52.576908594117469</v>
      </c>
      <c r="AO1212" s="94">
        <f>Table3.110[[#This Row],[Digested feed, mg]]/Table3.110[[#This Row],[Net gas 24h, ml]]</f>
        <v>3.271725721285661</v>
      </c>
      <c r="AP1212" s="94">
        <f>Table3.110[[#This Row],[CH4 8h, ml]]/Table3.110[[#This Row],[Net gas 8h, ml]]%</f>
        <v>14</v>
      </c>
      <c r="AQ1212" s="94">
        <f>Table3.110[[#This Row],[CH4 24h, ml]]/Table3.110[[#This Row],[Net gas 24h, ml]]%</f>
        <v>13.950226886457378</v>
      </c>
      <c r="AR1212" s="94">
        <f>Table3.110[[#This Row],[CH4 24h, ml]]/Table3.110[[#This Row],[DM Incubated, mg]]*1000</f>
        <v>22.418132397365156</v>
      </c>
      <c r="AS1212" s="94">
        <f>Table3.110[[#This Row],[CH4 24h, ml]]/Table3.110[[#This Row],[Digested feed, mg]]*1000</f>
        <v>42.638741981633729</v>
      </c>
      <c r="AT1212" s="255">
        <f>Table3.110[[#This Row],[CH4 24h, ml]]/'3.2 Digest'!AA1212</f>
        <v>-3.4705987218042647</v>
      </c>
      <c r="AU1212" s="255">
        <f>((Table3.110[[#This Row],[CH4 24h, ml]]/28.9)*16.04)/Table3.110[[#This Row],[DM Incubated, mg]]*1000</f>
        <v>12.442451337499552</v>
      </c>
      <c r="AV1212" s="255">
        <f>((Table3.110[[#This Row],[CH4 24h, ml]]/28.9)*16.04)/Table3.110[[#This Row],[Digested feed, mg]]*1000</f>
        <v>23.665239494304668</v>
      </c>
    </row>
    <row r="1213" spans="2:48" x14ac:dyDescent="0.35">
      <c r="B1213" s="90">
        <f t="shared" si="18"/>
        <v>1203</v>
      </c>
      <c r="C1213" s="140">
        <v>46085</v>
      </c>
      <c r="D1213" s="6" t="s">
        <v>16</v>
      </c>
      <c r="E1213" s="6" t="s">
        <v>460</v>
      </c>
      <c r="F1213" s="242" t="s">
        <v>333</v>
      </c>
      <c r="G1213" s="242" t="s">
        <v>461</v>
      </c>
      <c r="H1213" s="6" t="s">
        <v>462</v>
      </c>
      <c r="I1213" s="133" t="s">
        <v>22</v>
      </c>
      <c r="J1213" s="135" t="s">
        <v>23</v>
      </c>
      <c r="K1213" s="135" t="s">
        <v>303</v>
      </c>
      <c r="L1213" s="6" t="s">
        <v>459</v>
      </c>
      <c r="M1213" s="256">
        <v>30</v>
      </c>
      <c r="N1213" s="256">
        <v>71</v>
      </c>
      <c r="O1213" s="256">
        <v>3</v>
      </c>
      <c r="P1213" s="257">
        <v>1</v>
      </c>
      <c r="Q1213" s="129">
        <v>127</v>
      </c>
      <c r="R1213" s="98">
        <v>0.50029999999999997</v>
      </c>
      <c r="S1213" s="94">
        <f>((Table3.110[[#This Row],[Sample weight, g]]*'2.1. DM'!Q291)/100)*1000</f>
        <v>482.49732115949183</v>
      </c>
      <c r="T1213" s="94">
        <f>'3.2 Digest'!W1213</f>
        <v>146.59732115949174</v>
      </c>
      <c r="U1213" s="117">
        <v>0.34444444444444444</v>
      </c>
      <c r="V1213" s="155">
        <v>41</v>
      </c>
      <c r="W1213" s="117">
        <v>0.68541666666666667</v>
      </c>
      <c r="X1213" s="96">
        <v>83</v>
      </c>
      <c r="Y1213" s="96">
        <v>14.8</v>
      </c>
      <c r="Z1213" s="155">
        <v>40</v>
      </c>
      <c r="AA1213" s="117">
        <v>0.35555555555555557</v>
      </c>
      <c r="AB1213" s="155">
        <v>83.5</v>
      </c>
      <c r="AC1213" s="155">
        <v>15.6</v>
      </c>
      <c r="AD1213" s="96"/>
      <c r="AE1213" s="94">
        <f>Table3.110[[#This Row],[Gas 8h, ml]]-Table3.110[[#This Row],[Gas 0h, ml]]</f>
        <v>42</v>
      </c>
      <c r="AF1213" s="94">
        <f>Table3.110[[#This Row],[Gas 24h, ml]]-Table3.110[[#This Row],[V8 Push back, ml]]</f>
        <v>43.5</v>
      </c>
      <c r="AG1213" s="94">
        <f>Table3.110[[#This Row],[GP 8h, ml]]-(AVERAGE(AE$1159,AE$1160,AE$1193,AE$1194,AE$1229,AE$1230))*$AG$8</f>
        <v>38.533723538635904</v>
      </c>
      <c r="AH1213" s="94">
        <f>Table3.110[[#This Row],[GP 8-24h, ml]]-(AVERAGE(AF$1159,AF$1160,AF$1193,AF$1194,AF$1229,AF$1230))*$AG$8</f>
        <v>39.185592064046816</v>
      </c>
      <c r="AI1213" s="94">
        <f>Table3.110[[#This Row],[Net gas 8-24h, ml]]+Table3.110[[#This Row],[Net gas 8h, ml]]</f>
        <v>77.719315602682713</v>
      </c>
      <c r="AJ1213" s="94">
        <f>Table3.110[[#This Row],[Net gas 8h, ml]]*Table3.110[[#This Row],[CH4 8h %]]%</f>
        <v>5.702991083718115</v>
      </c>
      <c r="AK1213" s="94">
        <f>Table3.110[[#This Row],[Net gas 8-24h, ml]]*Table3.110[[#This Row],[CH4 24h, %]]%</f>
        <v>6.1129523619913035</v>
      </c>
      <c r="AL1213" s="94">
        <f>Table3.110[[#This Row],[CH4 8-24h, ml]]+Table3.110[[#This Row],[CH4 8h, ml]]</f>
        <v>11.815943445709419</v>
      </c>
      <c r="AM1213" s="94">
        <f>(Table3.110[[#This Row],[Net gas 24h, ml]]/Table3.110[[#This Row],[DM Incubated, mg]])*1000</f>
        <v>161.07719606798025</v>
      </c>
      <c r="AN1213" s="94">
        <f>'3.2 Digest'!X1213</f>
        <v>30.383033175646023</v>
      </c>
      <c r="AO1213" s="94">
        <f>Table3.110[[#This Row],[Digested feed, mg]]/Table3.110[[#This Row],[Net gas 24h, ml]]</f>
        <v>1.8862405056283267</v>
      </c>
      <c r="AP1213" s="94">
        <f>Table3.110[[#This Row],[CH4 8h, ml]]/Table3.110[[#This Row],[Net gas 8h, ml]]%</f>
        <v>14.800000000000002</v>
      </c>
      <c r="AQ1213" s="94">
        <f>Table3.110[[#This Row],[CH4 24h, ml]]/Table3.110[[#This Row],[Net gas 24h, ml]]%</f>
        <v>15.203354988501154</v>
      </c>
      <c r="AR1213" s="94">
        <f>Table3.110[[#This Row],[CH4 24h, ml]]/Table3.110[[#This Row],[DM Incubated, mg]]*1000</f>
        <v>24.489137923739065</v>
      </c>
      <c r="AS1213" s="94">
        <f>Table3.110[[#This Row],[CH4 24h, ml]]/Table3.110[[#This Row],[Digested feed, mg]]*1000</f>
        <v>80.601359917444654</v>
      </c>
      <c r="AT1213" s="255">
        <f>Table3.110[[#This Row],[CH4 24h, ml]]/'3.2 Digest'!AA1213</f>
        <v>-0.30997474258997709</v>
      </c>
      <c r="AU1213" s="255">
        <f>((Table3.110[[#This Row],[CH4 24h, ml]]/28.9)*16.04)/Table3.110[[#This Row],[DM Incubated, mg]]*1000</f>
        <v>13.591895235182513</v>
      </c>
      <c r="AV1213" s="255">
        <f>((Table3.110[[#This Row],[CH4 24h, ml]]/28.9)*16.04)/Table3.110[[#This Row],[Digested feed, mg]]*1000</f>
        <v>44.735149241377584</v>
      </c>
    </row>
    <row r="1214" spans="2:48" x14ac:dyDescent="0.35">
      <c r="B1214" s="90">
        <f t="shared" si="18"/>
        <v>1204</v>
      </c>
      <c r="C1214" s="140">
        <v>46085</v>
      </c>
      <c r="D1214" s="6" t="s">
        <v>16</v>
      </c>
      <c r="E1214" s="6" t="s">
        <v>460</v>
      </c>
      <c r="F1214" s="242" t="s">
        <v>333</v>
      </c>
      <c r="G1214" s="242" t="s">
        <v>461</v>
      </c>
      <c r="H1214" s="6" t="s">
        <v>462</v>
      </c>
      <c r="I1214" s="133" t="s">
        <v>22</v>
      </c>
      <c r="J1214" s="135" t="s">
        <v>23</v>
      </c>
      <c r="K1214" s="135" t="s">
        <v>303</v>
      </c>
      <c r="L1214" s="6" t="s">
        <v>459</v>
      </c>
      <c r="M1214" s="256">
        <v>30</v>
      </c>
      <c r="N1214" s="256">
        <v>71</v>
      </c>
      <c r="O1214" s="256">
        <v>3</v>
      </c>
      <c r="P1214" s="257">
        <v>2</v>
      </c>
      <c r="Q1214" s="129">
        <v>128</v>
      </c>
      <c r="R1214" s="98">
        <v>0.50019999999999998</v>
      </c>
      <c r="S1214" s="94">
        <f>((Table3.110[[#This Row],[Sample weight, g]]*'2.1. DM'!Q291)/100)*1000</f>
        <v>482.40087956021961</v>
      </c>
      <c r="T1214" s="94">
        <f>'3.2 Digest'!W1214</f>
        <v>180.20087956021956</v>
      </c>
      <c r="U1214" s="153">
        <v>0.34444444444444444</v>
      </c>
      <c r="V1214" s="155">
        <v>41.5</v>
      </c>
      <c r="W1214" s="153">
        <v>0.68541666666666667</v>
      </c>
      <c r="X1214" s="91">
        <v>83</v>
      </c>
      <c r="Y1214" s="91">
        <v>14.7</v>
      </c>
      <c r="Z1214" s="154">
        <v>40</v>
      </c>
      <c r="AA1214" s="153">
        <v>0.35555555555555557</v>
      </c>
      <c r="AB1214" s="154">
        <v>83.5</v>
      </c>
      <c r="AC1214" s="154">
        <v>15.5</v>
      </c>
      <c r="AD1214" s="91"/>
      <c r="AE1214" s="94">
        <f>Table3.110[[#This Row],[Gas 8h, ml]]-Table3.110[[#This Row],[Gas 0h, ml]]</f>
        <v>41.5</v>
      </c>
      <c r="AF1214" s="94">
        <f>Table3.110[[#This Row],[Gas 24h, ml]]-Table3.110[[#This Row],[V8 Push back, ml]]</f>
        <v>43.5</v>
      </c>
      <c r="AG1214" s="94">
        <f>Table3.110[[#This Row],[GP 8h, ml]]-(AVERAGE(AE$1159,AE$1160,AE$1193,AE$1194,AE$1229,AE$1230))*$AG$8</f>
        <v>38.033723538635904</v>
      </c>
      <c r="AH1214" s="94">
        <f>Table3.110[[#This Row],[GP 8-24h, ml]]-(AVERAGE(AF$1159,AF$1160,AF$1193,AF$1194,AF$1229,AF$1230))*$AG$8</f>
        <v>39.185592064046816</v>
      </c>
      <c r="AI1214" s="94">
        <f>Table3.110[[#This Row],[Net gas 8-24h, ml]]+Table3.110[[#This Row],[Net gas 8h, ml]]</f>
        <v>77.219315602682713</v>
      </c>
      <c r="AJ1214" s="94">
        <f>Table3.110[[#This Row],[Net gas 8h, ml]]*Table3.110[[#This Row],[CH4 8h %]]%</f>
        <v>5.5909573601794778</v>
      </c>
      <c r="AK1214" s="94">
        <f>Table3.110[[#This Row],[Net gas 8-24h, ml]]*Table3.110[[#This Row],[CH4 24h, %]]%</f>
        <v>6.0737667699272562</v>
      </c>
      <c r="AL1214" s="94">
        <f>Table3.110[[#This Row],[CH4 8-24h, ml]]+Table3.110[[#This Row],[CH4 8h, ml]]</f>
        <v>11.664724130106734</v>
      </c>
      <c r="AM1214" s="94">
        <f>(Table3.110[[#This Row],[Net gas 24h, ml]]/Table3.110[[#This Row],[DM Incubated, mg]])*1000</f>
        <v>160.07291627055</v>
      </c>
      <c r="AN1214" s="94">
        <f>'3.2 Digest'!X1214</f>
        <v>37.35500642629416</v>
      </c>
      <c r="AO1214" s="94">
        <f>Table3.110[[#This Row],[Digested feed, mg]]/Table3.110[[#This Row],[Net gas 24h, ml]]</f>
        <v>2.3336244067146215</v>
      </c>
      <c r="AP1214" s="94">
        <f>Table3.110[[#This Row],[CH4 8h, ml]]/Table3.110[[#This Row],[Net gas 8h, ml]]%</f>
        <v>14.7</v>
      </c>
      <c r="AQ1214" s="94">
        <f>Table3.110[[#This Row],[CH4 24h, ml]]/Table3.110[[#This Row],[Net gas 24h, ml]]%</f>
        <v>15.105966737811238</v>
      </c>
      <c r="AR1214" s="94">
        <f>Table3.110[[#This Row],[CH4 24h, ml]]/Table3.110[[#This Row],[DM Incubated, mg]]*1000</f>
        <v>24.180561488073717</v>
      </c>
      <c r="AS1214" s="94">
        <f>Table3.110[[#This Row],[CH4 24h, ml]]/Table3.110[[#This Row],[Digested feed, mg]]*1000</f>
        <v>64.731782433995349</v>
      </c>
      <c r="AT1214" s="255">
        <f>Table3.110[[#This Row],[CH4 24h, ml]]/'3.2 Digest'!AA1214</f>
        <v>-0.48029151756791455</v>
      </c>
      <c r="AU1214" s="255">
        <f>((Table3.110[[#This Row],[CH4 24h, ml]]/28.9)*16.04)/Table3.110[[#This Row],[DM Incubated, mg]]*1000</f>
        <v>13.420629974695586</v>
      </c>
      <c r="AV1214" s="255">
        <f>((Table3.110[[#This Row],[CH4 24h, ml]]/28.9)*16.04)/Table3.110[[#This Row],[Digested feed, mg]]*1000</f>
        <v>35.92725917789916</v>
      </c>
    </row>
    <row r="1215" spans="2:48" x14ac:dyDescent="0.35">
      <c r="B1215" s="90">
        <f t="shared" si="18"/>
        <v>1205</v>
      </c>
      <c r="C1215" s="140">
        <v>46085</v>
      </c>
      <c r="D1215" s="6" t="s">
        <v>16</v>
      </c>
      <c r="E1215" s="6" t="s">
        <v>464</v>
      </c>
      <c r="F1215" s="242" t="s">
        <v>333</v>
      </c>
      <c r="G1215" s="242" t="s">
        <v>438</v>
      </c>
      <c r="H1215" s="6" t="s">
        <v>439</v>
      </c>
      <c r="I1215" s="133" t="s">
        <v>22</v>
      </c>
      <c r="J1215" s="135" t="s">
        <v>23</v>
      </c>
      <c r="K1215" s="135" t="s">
        <v>303</v>
      </c>
      <c r="L1215" s="6" t="s">
        <v>463</v>
      </c>
      <c r="M1215" s="256">
        <v>30</v>
      </c>
      <c r="N1215" s="256">
        <v>71</v>
      </c>
      <c r="O1215" s="256">
        <v>3</v>
      </c>
      <c r="P1215" s="257">
        <v>1</v>
      </c>
      <c r="Q1215" s="129">
        <v>129</v>
      </c>
      <c r="R1215" s="98">
        <v>0.50049999999999994</v>
      </c>
      <c r="S1215" s="94">
        <f>((Table3.110[[#This Row],[Sample weight, g]]*'2.1. DM'!Q293)/100)*1000</f>
        <v>479.66356260094659</v>
      </c>
      <c r="T1215" s="94">
        <f>'3.2 Digest'!W1215</f>
        <v>171.16356260094659</v>
      </c>
      <c r="U1215" s="153">
        <v>0.34513888888888888</v>
      </c>
      <c r="V1215" s="155">
        <v>41</v>
      </c>
      <c r="W1215" s="153">
        <v>0.68611111111111112</v>
      </c>
      <c r="X1215" s="91">
        <v>83</v>
      </c>
      <c r="Y1215" s="91">
        <v>14</v>
      </c>
      <c r="Z1215" s="154">
        <v>40</v>
      </c>
      <c r="AA1215" s="153">
        <v>0.35625000000000001</v>
      </c>
      <c r="AB1215" s="154">
        <v>75</v>
      </c>
      <c r="AC1215" s="154">
        <v>15.9</v>
      </c>
      <c r="AD1215" s="91"/>
      <c r="AE1215" s="94">
        <f>Table3.110[[#This Row],[Gas 8h, ml]]-Table3.110[[#This Row],[Gas 0h, ml]]</f>
        <v>42</v>
      </c>
      <c r="AF1215" s="94">
        <f>Table3.110[[#This Row],[Gas 24h, ml]]-Table3.110[[#This Row],[V8 Push back, ml]]</f>
        <v>35</v>
      </c>
      <c r="AG1215" s="94">
        <f>Table3.110[[#This Row],[GP 8h, ml]]-(AVERAGE(AE$1159,AE$1160,AE$1193,AE$1194,AE$1229,AE$1230))*$AG$8</f>
        <v>38.533723538635904</v>
      </c>
      <c r="AH1215" s="94">
        <f>Table3.110[[#This Row],[GP 8-24h, ml]]-(AVERAGE(AF$1159,AF$1160,AF$1193,AF$1194,AF$1229,AF$1230))*$AG$8</f>
        <v>30.685592064046812</v>
      </c>
      <c r="AI1215" s="94">
        <f>Table3.110[[#This Row],[Net gas 8-24h, ml]]+Table3.110[[#This Row],[Net gas 8h, ml]]</f>
        <v>69.219315602682713</v>
      </c>
      <c r="AJ1215" s="94">
        <f>Table3.110[[#This Row],[Net gas 8h, ml]]*Table3.110[[#This Row],[CH4 8h %]]%</f>
        <v>5.3947212954090267</v>
      </c>
      <c r="AK1215" s="94">
        <f>Table3.110[[#This Row],[Net gas 8-24h, ml]]*Table3.110[[#This Row],[CH4 24h, %]]%</f>
        <v>4.8790091381834433</v>
      </c>
      <c r="AL1215" s="94">
        <f>Table3.110[[#This Row],[CH4 8-24h, ml]]+Table3.110[[#This Row],[CH4 8h, ml]]</f>
        <v>10.273730433592469</v>
      </c>
      <c r="AM1215" s="94">
        <f>(Table3.110[[#This Row],[Net gas 24h, ml]]/Table3.110[[#This Row],[DM Incubated, mg]])*1000</f>
        <v>144.30805464427019</v>
      </c>
      <c r="AN1215" s="94">
        <f>'3.2 Digest'!X1215</f>
        <v>35.68408691976154</v>
      </c>
      <c r="AO1215" s="94">
        <f>Table3.110[[#This Row],[Digested feed, mg]]/Table3.110[[#This Row],[Net gas 24h, ml]]</f>
        <v>2.4727716694487638</v>
      </c>
      <c r="AP1215" s="94">
        <f>Table3.110[[#This Row],[CH4 8h, ml]]/Table3.110[[#This Row],[Net gas 8h, ml]]%</f>
        <v>14</v>
      </c>
      <c r="AQ1215" s="94">
        <f>Table3.110[[#This Row],[CH4 24h, ml]]/Table3.110[[#This Row],[Net gas 24h, ml]]%</f>
        <v>14.842288375925945</v>
      </c>
      <c r="AR1215" s="94">
        <f>Table3.110[[#This Row],[CH4 24h, ml]]/Table3.110[[#This Row],[DM Incubated, mg]]*1000</f>
        <v>21.418617619991373</v>
      </c>
      <c r="AS1215" s="94">
        <f>Table3.110[[#This Row],[CH4 24h, ml]]/Table3.110[[#This Row],[Digested feed, mg]]*1000</f>
        <v>60.022882659581029</v>
      </c>
      <c r="AT1215" s="255">
        <f>Table3.110[[#This Row],[CH4 24h, ml]]/'3.2 Digest'!AA1215</f>
        <v>-5.0221527697845705</v>
      </c>
      <c r="AU1215" s="255">
        <f>((Table3.110[[#This Row],[CH4 24h, ml]]/28.9)*16.04)/Table3.110[[#This Row],[DM Incubated, mg]]*1000</f>
        <v>11.887703343413898</v>
      </c>
      <c r="AV1215" s="255">
        <f>((Table3.110[[#This Row],[CH4 24h, ml]]/28.9)*16.04)/Table3.110[[#This Row],[Digested feed, mg]]*1000</f>
        <v>33.313738334244974</v>
      </c>
    </row>
    <row r="1216" spans="2:48" x14ac:dyDescent="0.35">
      <c r="B1216" s="90">
        <f t="shared" si="18"/>
        <v>1206</v>
      </c>
      <c r="C1216" s="140">
        <v>46085</v>
      </c>
      <c r="D1216" s="6" t="s">
        <v>16</v>
      </c>
      <c r="E1216" s="6" t="s">
        <v>464</v>
      </c>
      <c r="F1216" s="242" t="s">
        <v>333</v>
      </c>
      <c r="G1216" s="242" t="s">
        <v>438</v>
      </c>
      <c r="H1216" s="6" t="s">
        <v>439</v>
      </c>
      <c r="I1216" s="133" t="s">
        <v>22</v>
      </c>
      <c r="J1216" s="135" t="s">
        <v>23</v>
      </c>
      <c r="K1216" s="135" t="s">
        <v>303</v>
      </c>
      <c r="L1216" s="6" t="s">
        <v>463</v>
      </c>
      <c r="M1216" s="256">
        <v>30</v>
      </c>
      <c r="N1216" s="256">
        <v>71</v>
      </c>
      <c r="O1216" s="256">
        <v>3</v>
      </c>
      <c r="P1216" s="257">
        <v>2</v>
      </c>
      <c r="Q1216" s="129">
        <v>130</v>
      </c>
      <c r="R1216" s="98">
        <v>0.50009999999999999</v>
      </c>
      <c r="S1216" s="94">
        <f>((Table3.110[[#This Row],[Sample weight, g]]*'2.1. DM'!Q293)/100)*1000</f>
        <v>479.28021509836844</v>
      </c>
      <c r="T1216" s="94">
        <f>'3.2 Digest'!W1216</f>
        <v>142.88021509836841</v>
      </c>
      <c r="U1216" s="117">
        <v>0.34513888888888888</v>
      </c>
      <c r="V1216" s="155">
        <v>41</v>
      </c>
      <c r="W1216" s="117">
        <v>0.68680555555555556</v>
      </c>
      <c r="X1216" s="96">
        <v>82</v>
      </c>
      <c r="Y1216" s="96">
        <v>14.5</v>
      </c>
      <c r="Z1216" s="155">
        <v>40</v>
      </c>
      <c r="AA1216" s="117">
        <v>0.35625000000000001</v>
      </c>
      <c r="AB1216" s="155">
        <v>75.5</v>
      </c>
      <c r="AC1216" s="155">
        <v>15.9</v>
      </c>
      <c r="AD1216" s="96"/>
      <c r="AE1216" s="94">
        <f>Table3.110[[#This Row],[Gas 8h, ml]]-Table3.110[[#This Row],[Gas 0h, ml]]</f>
        <v>41</v>
      </c>
      <c r="AF1216" s="94">
        <f>Table3.110[[#This Row],[Gas 24h, ml]]-Table3.110[[#This Row],[V8 Push back, ml]]</f>
        <v>35.5</v>
      </c>
      <c r="AG1216" s="94">
        <f>Table3.110[[#This Row],[GP 8h, ml]]-(AVERAGE(AE$1159,AE$1160,AE$1193,AE$1194,AE$1229,AE$1230))*$AG$8</f>
        <v>37.533723538635904</v>
      </c>
      <c r="AH1216" s="94">
        <f>Table3.110[[#This Row],[GP 8-24h, ml]]-(AVERAGE(AF$1159,AF$1160,AF$1193,AF$1194,AF$1229,AF$1230))*$AG$8</f>
        <v>31.185592064046812</v>
      </c>
      <c r="AI1216" s="94">
        <f>Table3.110[[#This Row],[Net gas 8-24h, ml]]+Table3.110[[#This Row],[Net gas 8h, ml]]</f>
        <v>68.719315602682713</v>
      </c>
      <c r="AJ1216" s="94">
        <f>Table3.110[[#This Row],[Net gas 8h, ml]]*Table3.110[[#This Row],[CH4 8h %]]%</f>
        <v>5.4423899131022058</v>
      </c>
      <c r="AK1216" s="94">
        <f>Table3.110[[#This Row],[Net gas 8-24h, ml]]*Table3.110[[#This Row],[CH4 24h, %]]%</f>
        <v>4.9585091381834436</v>
      </c>
      <c r="AL1216" s="94">
        <f>Table3.110[[#This Row],[CH4 8-24h, ml]]+Table3.110[[#This Row],[CH4 8h, ml]]</f>
        <v>10.400899051285649</v>
      </c>
      <c r="AM1216" s="94">
        <f>(Table3.110[[#This Row],[Net gas 24h, ml]]/Table3.110[[#This Row],[DM Incubated, mg]])*1000</f>
        <v>143.38024695757287</v>
      </c>
      <c r="AN1216" s="94">
        <f>'3.2 Digest'!X1216</f>
        <v>29.811415242551455</v>
      </c>
      <c r="AO1216" s="94">
        <f>Table3.110[[#This Row],[Digested feed, mg]]/Table3.110[[#This Row],[Net gas 24h, ml]]</f>
        <v>2.0791856531934165</v>
      </c>
      <c r="AP1216" s="94">
        <f>Table3.110[[#This Row],[CH4 8h, ml]]/Table3.110[[#This Row],[Net gas 8h, ml]]%</f>
        <v>14.499999999999998</v>
      </c>
      <c r="AQ1216" s="94">
        <f>Table3.110[[#This Row],[CH4 24h, ml]]/Table3.110[[#This Row],[Net gas 24h, ml]]%</f>
        <v>15.135335618621339</v>
      </c>
      <c r="AR1216" s="94">
        <f>Table3.110[[#This Row],[CH4 24h, ml]]/Table3.110[[#This Row],[DM Incubated, mg]]*1000</f>
        <v>21.701081587836764</v>
      </c>
      <c r="AS1216" s="94">
        <f>Table3.110[[#This Row],[CH4 24h, ml]]/Table3.110[[#This Row],[Digested feed, mg]]*1000</f>
        <v>72.794536627236781</v>
      </c>
      <c r="AT1216" s="255">
        <f>Table3.110[[#This Row],[CH4 24h, ml]]/'3.2 Digest'!AA1216</f>
        <v>-0.91529403922094132</v>
      </c>
      <c r="AU1216" s="255">
        <f>((Table3.110[[#This Row],[CH4 24h, ml]]/28.9)*16.04)/Table3.110[[#This Row],[DM Incubated, mg]]*1000</f>
        <v>12.04447573248795</v>
      </c>
      <c r="AV1216" s="255">
        <f>((Table3.110[[#This Row],[CH4 24h, ml]]/28.9)*16.04)/Table3.110[[#This Row],[Digested feed, mg]]*1000</f>
        <v>40.402227249165328</v>
      </c>
    </row>
    <row r="1217" spans="2:48" x14ac:dyDescent="0.35">
      <c r="B1217" s="90">
        <f t="shared" si="18"/>
        <v>1207</v>
      </c>
      <c r="C1217" s="140">
        <v>46085</v>
      </c>
      <c r="D1217" s="6" t="s">
        <v>16</v>
      </c>
      <c r="E1217" s="6" t="s">
        <v>466</v>
      </c>
      <c r="F1217" s="242" t="s">
        <v>346</v>
      </c>
      <c r="G1217" s="242" t="s">
        <v>347</v>
      </c>
      <c r="H1217" s="6" t="s">
        <v>348</v>
      </c>
      <c r="I1217" s="133" t="s">
        <v>22</v>
      </c>
      <c r="J1217" s="135" t="s">
        <v>23</v>
      </c>
      <c r="K1217" s="135" t="s">
        <v>303</v>
      </c>
      <c r="L1217" s="6" t="s">
        <v>465</v>
      </c>
      <c r="M1217" s="256">
        <v>30</v>
      </c>
      <c r="N1217" s="256">
        <v>71</v>
      </c>
      <c r="O1217" s="256">
        <v>3</v>
      </c>
      <c r="P1217" s="257">
        <v>1</v>
      </c>
      <c r="Q1217" s="129">
        <v>131</v>
      </c>
      <c r="R1217" s="98">
        <v>0.50049999999999994</v>
      </c>
      <c r="S1217" s="94">
        <f>((Table3.110[[#This Row],[Sample weight, g]]*'2.1. DM'!Q295)/100)*1000</f>
        <v>482.01471914262208</v>
      </c>
      <c r="T1217" s="94">
        <f>'3.2 Digest'!W1217</f>
        <v>143.61471914262205</v>
      </c>
      <c r="U1217" s="117">
        <v>0.34513888888888888</v>
      </c>
      <c r="V1217" s="155">
        <v>40.5</v>
      </c>
      <c r="W1217" s="117">
        <v>0.68680555555555556</v>
      </c>
      <c r="X1217" s="96">
        <v>73.5</v>
      </c>
      <c r="Y1217" s="96">
        <v>14.3</v>
      </c>
      <c r="Z1217" s="155">
        <v>40</v>
      </c>
      <c r="AA1217" s="117">
        <v>0.3576388888888889</v>
      </c>
      <c r="AB1217" s="155">
        <v>72</v>
      </c>
      <c r="AC1217" s="155">
        <v>16</v>
      </c>
      <c r="AD1217" s="96" t="s">
        <v>605</v>
      </c>
      <c r="AE1217" s="94">
        <f>Table3.110[[#This Row],[Gas 8h, ml]]-Table3.110[[#This Row],[Gas 0h, ml]]</f>
        <v>33</v>
      </c>
      <c r="AF1217" s="94">
        <f>Table3.110[[#This Row],[Gas 24h, ml]]-Table3.110[[#This Row],[V8 Push back, ml]]</f>
        <v>32</v>
      </c>
      <c r="AG1217" s="94">
        <f>Table3.110[[#This Row],[GP 8h, ml]]-(AVERAGE(AE$1159,AE$1160,AE$1193,AE$1194,AE$1229,AE$1230))*$AG$8</f>
        <v>29.5337235386359</v>
      </c>
      <c r="AH1217" s="94">
        <f>Table3.110[[#This Row],[GP 8-24h, ml]]-(AVERAGE(AF$1159,AF$1160,AF$1193,AF$1194,AF$1229,AF$1230))*$AG$8</f>
        <v>27.685592064046812</v>
      </c>
      <c r="AI1217" s="94">
        <f>Table3.110[[#This Row],[Net gas 8-24h, ml]]+Table3.110[[#This Row],[Net gas 8h, ml]]</f>
        <v>57.219315602682713</v>
      </c>
      <c r="AJ1217" s="94">
        <f>Table3.110[[#This Row],[Net gas 8h, ml]]*Table3.110[[#This Row],[CH4 8h %]]%</f>
        <v>4.2233224660249347</v>
      </c>
      <c r="AK1217" s="94">
        <f>Table3.110[[#This Row],[Net gas 8-24h, ml]]*Table3.110[[#This Row],[CH4 24h, %]]%</f>
        <v>4.4296947302474896</v>
      </c>
      <c r="AL1217" s="94">
        <f>Table3.110[[#This Row],[CH4 8-24h, ml]]+Table3.110[[#This Row],[CH4 8h, ml]]</f>
        <v>8.6530171962724243</v>
      </c>
      <c r="AM1217" s="94">
        <f>(Table3.110[[#This Row],[Net gas 24h, ml]]/Table3.110[[#This Row],[DM Incubated, mg]])*1000</f>
        <v>118.70864795262038</v>
      </c>
      <c r="AN1217" s="94">
        <f>'3.2 Digest'!X1217</f>
        <v>29.794675025292801</v>
      </c>
      <c r="AO1217" s="94">
        <f>Table3.110[[#This Row],[Digested feed, mg]]/Table3.110[[#This Row],[Net gas 24h, ml]]</f>
        <v>2.5098992819111716</v>
      </c>
      <c r="AP1217" s="94">
        <f>Table3.110[[#This Row],[CH4 8h, ml]]/Table3.110[[#This Row],[Net gas 8h, ml]]%</f>
        <v>14.300000000000002</v>
      </c>
      <c r="AQ1217" s="94">
        <f>Table3.110[[#This Row],[CH4 24h, ml]]/Table3.110[[#This Row],[Net gas 24h, ml]]%</f>
        <v>15.122545778696329</v>
      </c>
      <c r="AR1217" s="94">
        <f>Table3.110[[#This Row],[CH4 24h, ml]]/Table3.110[[#This Row],[DM Incubated, mg]]*1000</f>
        <v>17.95176962990648</v>
      </c>
      <c r="AS1217" s="94">
        <f>Table3.110[[#This Row],[CH4 24h, ml]]/Table3.110[[#This Row],[Digested feed, mg]]*1000</f>
        <v>60.251604069073288</v>
      </c>
      <c r="AT1217" s="255">
        <f>Table3.110[[#This Row],[CH4 24h, ml]]/'3.2 Digest'!AA1217</f>
        <v>-0.73976646021021075</v>
      </c>
      <c r="AU1217" s="255">
        <f>((Table3.110[[#This Row],[CH4 24h, ml]]/28.9)*16.04)/Table3.110[[#This Row],[DM Incubated, mg]]*1000</f>
        <v>9.9635427288477505</v>
      </c>
      <c r="AV1217" s="255">
        <f>((Table3.110[[#This Row],[CH4 24h, ml]]/28.9)*16.04)/Table3.110[[#This Row],[Digested feed, mg]]*1000</f>
        <v>33.440682673630988</v>
      </c>
    </row>
    <row r="1218" spans="2:48" x14ac:dyDescent="0.35">
      <c r="B1218" s="90">
        <f t="shared" si="18"/>
        <v>1208</v>
      </c>
      <c r="C1218" s="140">
        <v>46085</v>
      </c>
      <c r="D1218" s="6" t="s">
        <v>16</v>
      </c>
      <c r="E1218" s="6" t="s">
        <v>466</v>
      </c>
      <c r="F1218" s="242" t="s">
        <v>346</v>
      </c>
      <c r="G1218" s="242" t="s">
        <v>347</v>
      </c>
      <c r="H1218" s="6" t="s">
        <v>348</v>
      </c>
      <c r="I1218" s="133" t="s">
        <v>22</v>
      </c>
      <c r="J1218" s="135" t="s">
        <v>23</v>
      </c>
      <c r="K1218" s="135" t="s">
        <v>303</v>
      </c>
      <c r="L1218" s="6" t="s">
        <v>465</v>
      </c>
      <c r="M1218" s="256">
        <v>30</v>
      </c>
      <c r="N1218" s="256">
        <v>71</v>
      </c>
      <c r="O1218" s="256">
        <v>3</v>
      </c>
      <c r="P1218" s="257">
        <v>2</v>
      </c>
      <c r="Q1218" s="129">
        <v>132</v>
      </c>
      <c r="R1218" s="98">
        <v>0.50019999999999998</v>
      </c>
      <c r="S1218" s="94">
        <f>((Table3.110[[#This Row],[Sample weight, g]]*'2.1. DM'!Q295)/100)*1000</f>
        <v>481.72579923104814</v>
      </c>
      <c r="T1218" s="94">
        <f>'3.2 Digest'!W1218</f>
        <v>127.72579923104803</v>
      </c>
      <c r="U1218" s="153">
        <v>0.34583333333333333</v>
      </c>
      <c r="V1218" s="155">
        <v>40.5</v>
      </c>
      <c r="W1218" s="153">
        <v>0.6875</v>
      </c>
      <c r="X1218" s="91">
        <v>76</v>
      </c>
      <c r="Y1218" s="91">
        <v>14</v>
      </c>
      <c r="Z1218" s="154">
        <v>40</v>
      </c>
      <c r="AA1218" s="153">
        <v>0.3576388888888889</v>
      </c>
      <c r="AB1218" s="154">
        <v>75</v>
      </c>
      <c r="AC1218" s="154">
        <v>15.4</v>
      </c>
      <c r="AD1218" s="91"/>
      <c r="AE1218" s="94">
        <f>Table3.110[[#This Row],[Gas 8h, ml]]-Table3.110[[#This Row],[Gas 0h, ml]]</f>
        <v>35.5</v>
      </c>
      <c r="AF1218" s="94">
        <f>Table3.110[[#This Row],[Gas 24h, ml]]-Table3.110[[#This Row],[V8 Push back, ml]]</f>
        <v>35</v>
      </c>
      <c r="AG1218" s="94">
        <f>Table3.110[[#This Row],[GP 8h, ml]]-(AVERAGE(AE$1159,AE$1160,AE$1193,AE$1194,AE$1229,AE$1230))*$AG$8</f>
        <v>32.033723538635904</v>
      </c>
      <c r="AH1218" s="94">
        <f>Table3.110[[#This Row],[GP 8-24h, ml]]-(AVERAGE(AF$1159,AF$1160,AF$1193,AF$1194,AF$1229,AF$1230))*$AG$8</f>
        <v>30.685592064046812</v>
      </c>
      <c r="AI1218" s="94">
        <f>Table3.110[[#This Row],[Net gas 8-24h, ml]]+Table3.110[[#This Row],[Net gas 8h, ml]]</f>
        <v>62.719315602682713</v>
      </c>
      <c r="AJ1218" s="94">
        <f>Table3.110[[#This Row],[Net gas 8h, ml]]*Table3.110[[#This Row],[CH4 8h %]]%</f>
        <v>4.4847212954090274</v>
      </c>
      <c r="AK1218" s="94">
        <f>Table3.110[[#This Row],[Net gas 8-24h, ml]]*Table3.110[[#This Row],[CH4 24h, %]]%</f>
        <v>4.7255811778632086</v>
      </c>
      <c r="AL1218" s="94">
        <f>Table3.110[[#This Row],[CH4 8-24h, ml]]+Table3.110[[#This Row],[CH4 8h, ml]]</f>
        <v>9.2103024732722361</v>
      </c>
      <c r="AM1218" s="94">
        <f>(Table3.110[[#This Row],[Net gas 24h, ml]]/Table3.110[[#This Row],[DM Incubated, mg]])*1000</f>
        <v>130.19712812309001</v>
      </c>
      <c r="AN1218" s="94">
        <f>'3.2 Digest'!X1218</f>
        <v>26.514211909540563</v>
      </c>
      <c r="AO1218" s="94">
        <f>Table3.110[[#This Row],[Digested feed, mg]]/Table3.110[[#This Row],[Net gas 24h, ml]]</f>
        <v>2.0364667248630623</v>
      </c>
      <c r="AP1218" s="94">
        <f>Table3.110[[#This Row],[CH4 8h, ml]]/Table3.110[[#This Row],[Net gas 8h, ml]]%</f>
        <v>14.000000000000002</v>
      </c>
      <c r="AQ1218" s="94">
        <f>Table3.110[[#This Row],[CH4 24h, ml]]/Table3.110[[#This Row],[Net gas 24h, ml]]%</f>
        <v>14.684953725608384</v>
      </c>
      <c r="AR1218" s="94">
        <f>Table3.110[[#This Row],[CH4 24h, ml]]/Table3.110[[#This Row],[DM Incubated, mg]]*1000</f>
        <v>19.119388016946829</v>
      </c>
      <c r="AS1218" s="94">
        <f>Table3.110[[#This Row],[CH4 24h, ml]]/Table3.110[[#This Row],[Digested feed, mg]]*1000</f>
        <v>72.109961563923136</v>
      </c>
      <c r="AT1218" s="255">
        <f>Table3.110[[#This Row],[CH4 24h, ml]]/'3.2 Digest'!AA1218</f>
        <v>-0.54446677880087979</v>
      </c>
      <c r="AU1218" s="255">
        <f>((Table3.110[[#This Row],[CH4 24h, ml]]/28.9)*16.04)/Table3.110[[#This Row],[DM Incubated, mg]]*1000</f>
        <v>10.6115911346653</v>
      </c>
      <c r="AV1218" s="255">
        <f>((Table3.110[[#This Row],[CH4 24h, ml]]/28.9)*16.04)/Table3.110[[#This Row],[Digested feed, mg]]*1000</f>
        <v>40.022276245167028</v>
      </c>
    </row>
    <row r="1219" spans="2:48" x14ac:dyDescent="0.35">
      <c r="B1219" s="90">
        <f t="shared" si="18"/>
        <v>1209</v>
      </c>
      <c r="C1219" s="140">
        <v>46085</v>
      </c>
      <c r="D1219" s="6" t="s">
        <v>16</v>
      </c>
      <c r="E1219" s="6" t="s">
        <v>468</v>
      </c>
      <c r="F1219" s="242" t="s">
        <v>212</v>
      </c>
      <c r="G1219" s="242" t="s">
        <v>469</v>
      </c>
      <c r="H1219" s="6" t="s">
        <v>470</v>
      </c>
      <c r="I1219" s="133" t="s">
        <v>22</v>
      </c>
      <c r="J1219" s="135" t="s">
        <v>23</v>
      </c>
      <c r="K1219" s="135" t="s">
        <v>303</v>
      </c>
      <c r="L1219" s="6" t="s">
        <v>467</v>
      </c>
      <c r="M1219" s="256">
        <v>30</v>
      </c>
      <c r="N1219" s="256">
        <v>71</v>
      </c>
      <c r="O1219" s="256">
        <v>3</v>
      </c>
      <c r="P1219" s="257">
        <v>1</v>
      </c>
      <c r="Q1219" s="129">
        <v>133</v>
      </c>
      <c r="R1219" s="98">
        <v>0.50060000000000004</v>
      </c>
      <c r="S1219" s="94">
        <f>((Table3.110[[#This Row],[Sample weight, g]]*'2.1. DM'!Q297)/100)*1000</f>
        <v>475.55002403838506</v>
      </c>
      <c r="T1219" s="94">
        <f>'3.2 Digest'!W1219</f>
        <v>208.85002403838502</v>
      </c>
      <c r="U1219" s="153">
        <v>0.34583333333333333</v>
      </c>
      <c r="V1219" s="155">
        <v>41</v>
      </c>
      <c r="W1219" s="153">
        <v>0.68819444444444444</v>
      </c>
      <c r="X1219" s="91">
        <v>86</v>
      </c>
      <c r="Y1219" s="91">
        <v>16.7</v>
      </c>
      <c r="Z1219" s="154">
        <v>40</v>
      </c>
      <c r="AA1219" s="153">
        <v>0.35833333333333334</v>
      </c>
      <c r="AB1219" s="154">
        <v>81</v>
      </c>
      <c r="AC1219" s="154">
        <v>17.100000000000001</v>
      </c>
      <c r="AD1219" s="91"/>
      <c r="AE1219" s="94">
        <f>Table3.110[[#This Row],[Gas 8h, ml]]-Table3.110[[#This Row],[Gas 0h, ml]]</f>
        <v>45</v>
      </c>
      <c r="AF1219" s="94">
        <f>Table3.110[[#This Row],[Gas 24h, ml]]-Table3.110[[#This Row],[V8 Push back, ml]]</f>
        <v>41</v>
      </c>
      <c r="AG1219" s="94">
        <f>Table3.110[[#This Row],[GP 8h, ml]]-(AVERAGE(AE$1159,AE$1160,AE$1193,AE$1194,AE$1229,AE$1230))*$AG$8</f>
        <v>41.533723538635904</v>
      </c>
      <c r="AH1219" s="94">
        <f>Table3.110[[#This Row],[GP 8-24h, ml]]-(AVERAGE(AF$1159,AF$1160,AF$1193,AF$1194,AF$1229,AF$1230))*$AG$8</f>
        <v>36.685592064046816</v>
      </c>
      <c r="AI1219" s="94">
        <f>Table3.110[[#This Row],[Net gas 8-24h, ml]]+Table3.110[[#This Row],[Net gas 8h, ml]]</f>
        <v>78.219315602682713</v>
      </c>
      <c r="AJ1219" s="94">
        <f>Table3.110[[#This Row],[Net gas 8h, ml]]*Table3.110[[#This Row],[CH4 8h %]]%</f>
        <v>6.9361318309521955</v>
      </c>
      <c r="AK1219" s="94">
        <f>Table3.110[[#This Row],[Net gas 8-24h, ml]]*Table3.110[[#This Row],[CH4 24h, %]]%</f>
        <v>6.2732362429520059</v>
      </c>
      <c r="AL1219" s="94">
        <f>Table3.110[[#This Row],[CH4 8-24h, ml]]+Table3.110[[#This Row],[CH4 8h, ml]]</f>
        <v>13.209368073904201</v>
      </c>
      <c r="AM1219" s="94">
        <f>(Table3.110[[#This Row],[Net gas 24h, ml]]/Table3.110[[#This Row],[DM Incubated, mg]])*1000</f>
        <v>164.48178245990178</v>
      </c>
      <c r="AN1219" s="94">
        <f>'3.2 Digest'!X1219</f>
        <v>43.917571965368509</v>
      </c>
      <c r="AO1219" s="94">
        <f>Table3.110[[#This Row],[Digested feed, mg]]/Table3.110[[#This Row],[Net gas 24h, ml]]</f>
        <v>2.6700569089512975</v>
      </c>
      <c r="AP1219" s="94">
        <f>Table3.110[[#This Row],[CH4 8h, ml]]/Table3.110[[#This Row],[Net gas 8h, ml]]%</f>
        <v>16.7</v>
      </c>
      <c r="AQ1219" s="94">
        <f>Table3.110[[#This Row],[CH4 24h, ml]]/Table3.110[[#This Row],[Net gas 24h, ml]]%</f>
        <v>16.887603748671964</v>
      </c>
      <c r="AR1219" s="94">
        <f>Table3.110[[#This Row],[CH4 24h, ml]]/Table3.110[[#This Row],[DM Incubated, mg]]*1000</f>
        <v>27.777031660580839</v>
      </c>
      <c r="AS1219" s="94">
        <f>Table3.110[[#This Row],[CH4 24h, ml]]/Table3.110[[#This Row],[Digested feed, mg]]*1000</f>
        <v>63.248104158591914</v>
      </c>
      <c r="AT1219" s="255">
        <f>Table3.110[[#This Row],[CH4 24h, ml]]/'3.2 Digest'!AA1219</f>
        <v>-5.2946401189341215</v>
      </c>
      <c r="AU1219" s="255">
        <f>((Table3.110[[#This Row],[CH4 24h, ml]]/28.9)*16.04)/Table3.110[[#This Row],[DM Incubated, mg]]*1000</f>
        <v>15.416733143104382</v>
      </c>
      <c r="AV1219" s="255">
        <f>((Table3.110[[#This Row],[CH4 24h, ml]]/28.9)*16.04)/Table3.110[[#This Row],[Digested feed, mg]]*1000</f>
        <v>35.103792065875922</v>
      </c>
    </row>
    <row r="1220" spans="2:48" x14ac:dyDescent="0.35">
      <c r="B1220" s="90">
        <f t="shared" si="18"/>
        <v>1210</v>
      </c>
      <c r="C1220" s="140">
        <v>46085</v>
      </c>
      <c r="D1220" s="6" t="s">
        <v>16</v>
      </c>
      <c r="E1220" s="6" t="s">
        <v>468</v>
      </c>
      <c r="F1220" s="242" t="s">
        <v>212</v>
      </c>
      <c r="G1220" s="242" t="s">
        <v>469</v>
      </c>
      <c r="H1220" s="6" t="s">
        <v>470</v>
      </c>
      <c r="I1220" s="133" t="s">
        <v>22</v>
      </c>
      <c r="J1220" s="135" t="s">
        <v>23</v>
      </c>
      <c r="K1220" s="135" t="s">
        <v>303</v>
      </c>
      <c r="L1220" s="6" t="s">
        <v>467</v>
      </c>
      <c r="M1220" s="256">
        <v>30</v>
      </c>
      <c r="N1220" s="256">
        <v>71</v>
      </c>
      <c r="O1220" s="256">
        <v>3</v>
      </c>
      <c r="P1220" s="257">
        <v>2</v>
      </c>
      <c r="Q1220" s="129">
        <v>134</v>
      </c>
      <c r="R1220" s="98">
        <v>0.50029999999999997</v>
      </c>
      <c r="S1220" s="94">
        <f>((Table3.110[[#This Row],[Sample weight, g]]*'2.1. DM'!Q297)/100)*1000</f>
        <v>475.26503600959654</v>
      </c>
      <c r="T1220" s="94">
        <f>'3.2 Digest'!W1220</f>
        <v>237.7650360095966</v>
      </c>
      <c r="U1220" s="117">
        <v>0.34583333333333333</v>
      </c>
      <c r="V1220" s="155">
        <v>41</v>
      </c>
      <c r="W1220" s="117">
        <v>0.68888888888888888</v>
      </c>
      <c r="X1220" s="96">
        <v>89</v>
      </c>
      <c r="Y1220" s="96">
        <v>16.399999999999999</v>
      </c>
      <c r="Z1220" s="155">
        <v>40</v>
      </c>
      <c r="AA1220" s="117">
        <v>0.35833333333333334</v>
      </c>
      <c r="AB1220" s="155">
        <v>81</v>
      </c>
      <c r="AC1220" s="155">
        <v>17.600000000000001</v>
      </c>
      <c r="AD1220" s="96"/>
      <c r="AE1220" s="94">
        <f>Table3.110[[#This Row],[Gas 8h, ml]]-Table3.110[[#This Row],[Gas 0h, ml]]</f>
        <v>48</v>
      </c>
      <c r="AF1220" s="94">
        <f>Table3.110[[#This Row],[Gas 24h, ml]]-Table3.110[[#This Row],[V8 Push back, ml]]</f>
        <v>41</v>
      </c>
      <c r="AG1220" s="94">
        <f>Table3.110[[#This Row],[GP 8h, ml]]-(AVERAGE(AE$1159,AE$1160,AE$1193,AE$1194,AE$1229,AE$1230))*$AG$8</f>
        <v>44.533723538635904</v>
      </c>
      <c r="AH1220" s="94">
        <f>Table3.110[[#This Row],[GP 8-24h, ml]]-(AVERAGE(AF$1159,AF$1160,AF$1193,AF$1194,AF$1229,AF$1230))*$AG$8</f>
        <v>36.685592064046816</v>
      </c>
      <c r="AI1220" s="94">
        <f>Table3.110[[#This Row],[Net gas 8-24h, ml]]+Table3.110[[#This Row],[Net gas 8h, ml]]</f>
        <v>81.219315602682713</v>
      </c>
      <c r="AJ1220" s="94">
        <f>Table3.110[[#This Row],[Net gas 8h, ml]]*Table3.110[[#This Row],[CH4 8h %]]%</f>
        <v>7.3035306603362873</v>
      </c>
      <c r="AK1220" s="94">
        <f>Table3.110[[#This Row],[Net gas 8-24h, ml]]*Table3.110[[#This Row],[CH4 24h, %]]%</f>
        <v>6.4566642032722399</v>
      </c>
      <c r="AL1220" s="94">
        <f>Table3.110[[#This Row],[CH4 8-24h, ml]]+Table3.110[[#This Row],[CH4 8h, ml]]</f>
        <v>13.760194863608527</v>
      </c>
      <c r="AM1220" s="94">
        <f>(Table3.110[[#This Row],[Net gas 24h, ml]]/Table3.110[[#This Row],[DM Incubated, mg]])*1000</f>
        <v>170.89267976582803</v>
      </c>
      <c r="AN1220" s="94">
        <f>'3.2 Digest'!X1220</f>
        <v>50.027882969450268</v>
      </c>
      <c r="AO1220" s="94">
        <f>Table3.110[[#This Row],[Digested feed, mg]]/Table3.110[[#This Row],[Net gas 24h, ml]]</f>
        <v>2.9274444661996526</v>
      </c>
      <c r="AP1220" s="94">
        <f>Table3.110[[#This Row],[CH4 8h, ml]]/Table3.110[[#This Row],[Net gas 8h, ml]]%</f>
        <v>16.399999999999999</v>
      </c>
      <c r="AQ1220" s="94">
        <f>Table3.110[[#This Row],[CH4 24h, ml]]/Table3.110[[#This Row],[Net gas 24h, ml]]%</f>
        <v>16.942022672195506</v>
      </c>
      <c r="AR1220" s="94">
        <f>Table3.110[[#This Row],[CH4 24h, ml]]/Table3.110[[#This Row],[DM Incubated, mg]]*1000</f>
        <v>28.952676551049048</v>
      </c>
      <c r="AS1220" s="94">
        <f>Table3.110[[#This Row],[CH4 24h, ml]]/Table3.110[[#This Row],[Digested feed, mg]]*1000</f>
        <v>57.873079635868507</v>
      </c>
      <c r="AT1220" s="255">
        <f>Table3.110[[#This Row],[CH4 24h, ml]]/'3.2 Digest'!AA1220</f>
        <v>1.5867023968601925</v>
      </c>
      <c r="AU1220" s="255">
        <f>((Table3.110[[#This Row],[CH4 24h, ml]]/28.9)*16.04)/Table3.110[[#This Row],[DM Incubated, mg]]*1000</f>
        <v>16.069236397191236</v>
      </c>
      <c r="AV1220" s="255">
        <f>((Table3.110[[#This Row],[CH4 24h, ml]]/28.9)*16.04)/Table3.110[[#This Row],[Digested feed, mg]]*1000</f>
        <v>32.120560462260585</v>
      </c>
    </row>
    <row r="1221" spans="2:48" x14ac:dyDescent="0.35">
      <c r="B1221" s="90">
        <f t="shared" si="18"/>
        <v>1211</v>
      </c>
      <c r="C1221" s="140">
        <v>46085</v>
      </c>
      <c r="D1221" s="6" t="s">
        <v>16</v>
      </c>
      <c r="E1221" s="6" t="s">
        <v>472</v>
      </c>
      <c r="F1221" s="242" t="s">
        <v>346</v>
      </c>
      <c r="G1221" s="242" t="s">
        <v>347</v>
      </c>
      <c r="H1221" s="6" t="s">
        <v>348</v>
      </c>
      <c r="I1221" s="133" t="s">
        <v>22</v>
      </c>
      <c r="J1221" s="135" t="s">
        <v>23</v>
      </c>
      <c r="K1221" s="135" t="s">
        <v>303</v>
      </c>
      <c r="L1221" s="6" t="s">
        <v>471</v>
      </c>
      <c r="M1221" s="256">
        <v>30</v>
      </c>
      <c r="N1221" s="256">
        <v>71</v>
      </c>
      <c r="O1221" s="256">
        <v>3</v>
      </c>
      <c r="P1221" s="257">
        <v>1</v>
      </c>
      <c r="Q1221" s="129">
        <v>135</v>
      </c>
      <c r="R1221" s="98">
        <v>0.50029999999999997</v>
      </c>
      <c r="S1221" s="94">
        <f>((Table3.110[[#This Row],[Sample weight, g]]*'2.1. DM'!Q299)/100)*1000</f>
        <v>478.29455392429736</v>
      </c>
      <c r="T1221" s="94">
        <f>'3.2 Digest'!W1221</f>
        <v>172.19455392429734</v>
      </c>
      <c r="U1221" s="117">
        <v>0.34583333333333333</v>
      </c>
      <c r="V1221" s="155">
        <v>40.5</v>
      </c>
      <c r="W1221" s="117">
        <v>0.68958333333333333</v>
      </c>
      <c r="X1221" s="96">
        <v>73.5</v>
      </c>
      <c r="Y1221" s="96">
        <v>14.5</v>
      </c>
      <c r="Z1221" s="155">
        <v>40</v>
      </c>
      <c r="AA1221" s="117">
        <v>0.35833333333333334</v>
      </c>
      <c r="AB1221" s="155">
        <v>74</v>
      </c>
      <c r="AC1221" s="155">
        <v>16.100000000000001</v>
      </c>
      <c r="AD1221" s="96" t="s">
        <v>606</v>
      </c>
      <c r="AE1221" s="94">
        <f>Table3.110[[#This Row],[Gas 8h, ml]]-Table3.110[[#This Row],[Gas 0h, ml]]</f>
        <v>33</v>
      </c>
      <c r="AF1221" s="94">
        <f>Table3.110[[#This Row],[Gas 24h, ml]]-Table3.110[[#This Row],[V8 Push back, ml]]</f>
        <v>34</v>
      </c>
      <c r="AG1221" s="94">
        <f>Table3.110[[#This Row],[GP 8h, ml]]-(AVERAGE(AE$1159,AE$1160,AE$1193,AE$1194,AE$1229,AE$1230))*$AG$8</f>
        <v>29.5337235386359</v>
      </c>
      <c r="AH1221" s="94">
        <f>Table3.110[[#This Row],[GP 8-24h, ml]]-(AVERAGE(AF$1159,AF$1160,AF$1193,AF$1194,AF$1229,AF$1230))*$AG$8</f>
        <v>29.685592064046812</v>
      </c>
      <c r="AI1221" s="94">
        <f>Table3.110[[#This Row],[Net gas 8-24h, ml]]+Table3.110[[#This Row],[Net gas 8h, ml]]</f>
        <v>59.219315602682713</v>
      </c>
      <c r="AJ1221" s="94">
        <f>Table3.110[[#This Row],[Net gas 8h, ml]]*Table3.110[[#This Row],[CH4 8h %]]%</f>
        <v>4.2823899131022056</v>
      </c>
      <c r="AK1221" s="94">
        <f>Table3.110[[#This Row],[Net gas 8-24h, ml]]*Table3.110[[#This Row],[CH4 24h, %]]%</f>
        <v>4.7793803223115372</v>
      </c>
      <c r="AL1221" s="94">
        <f>Table3.110[[#This Row],[CH4 8-24h, ml]]+Table3.110[[#This Row],[CH4 8h, ml]]</f>
        <v>9.0617702354137428</v>
      </c>
      <c r="AM1221" s="94">
        <f>(Table3.110[[#This Row],[Net gas 24h, ml]]/Table3.110[[#This Row],[DM Incubated, mg]])*1000</f>
        <v>123.8134850518405</v>
      </c>
      <c r="AN1221" s="94">
        <f>'3.2 Digest'!X1221</f>
        <v>36.001780181580671</v>
      </c>
      <c r="AO1221" s="94">
        <f>Table3.110[[#This Row],[Digested feed, mg]]/Table3.110[[#This Row],[Net gas 24h, ml]]</f>
        <v>2.9077430593692424</v>
      </c>
      <c r="AP1221" s="94">
        <f>Table3.110[[#This Row],[CH4 8h, ml]]/Table3.110[[#This Row],[Net gas 8h, ml]]%</f>
        <v>14.499999999999998</v>
      </c>
      <c r="AQ1221" s="94">
        <f>Table3.110[[#This Row],[CH4 24h, ml]]/Table3.110[[#This Row],[Net gas 24h, ml]]%</f>
        <v>15.302051607977775</v>
      </c>
      <c r="AR1221" s="94">
        <f>Table3.110[[#This Row],[CH4 24h, ml]]/Table3.110[[#This Row],[DM Incubated, mg]]*1000</f>
        <v>18.946003380268479</v>
      </c>
      <c r="AS1221" s="94">
        <f>Table3.110[[#This Row],[CH4 24h, ml]]/Table3.110[[#This Row],[Digested feed, mg]]*1000</f>
        <v>52.62518487894576</v>
      </c>
      <c r="AT1221" s="255">
        <f>Table3.110[[#This Row],[CH4 24h, ml]]/'3.2 Digest'!AA1221</f>
        <v>9.8473257111188985</v>
      </c>
      <c r="AU1221" s="255">
        <f>((Table3.110[[#This Row],[CH4 24h, ml]]/28.9)*16.04)/Table3.110[[#This Row],[DM Incubated, mg]]*1000</f>
        <v>10.515359661574616</v>
      </c>
      <c r="AV1221" s="255">
        <f>((Table3.110[[#This Row],[CH4 24h, ml]]/28.9)*16.04)/Table3.110[[#This Row],[Digested feed, mg]]*1000</f>
        <v>29.207888078141522</v>
      </c>
    </row>
    <row r="1222" spans="2:48" x14ac:dyDescent="0.35">
      <c r="B1222" s="90">
        <f t="shared" si="18"/>
        <v>1212</v>
      </c>
      <c r="C1222" s="140">
        <v>46085</v>
      </c>
      <c r="D1222" s="6" t="s">
        <v>16</v>
      </c>
      <c r="E1222" s="6" t="s">
        <v>472</v>
      </c>
      <c r="F1222" s="242" t="s">
        <v>346</v>
      </c>
      <c r="G1222" s="242" t="s">
        <v>347</v>
      </c>
      <c r="H1222" s="6" t="s">
        <v>348</v>
      </c>
      <c r="I1222" s="133" t="s">
        <v>22</v>
      </c>
      <c r="J1222" s="135" t="s">
        <v>23</v>
      </c>
      <c r="K1222" s="135" t="s">
        <v>303</v>
      </c>
      <c r="L1222" s="6" t="s">
        <v>471</v>
      </c>
      <c r="M1222" s="256">
        <v>30</v>
      </c>
      <c r="N1222" s="256">
        <v>71</v>
      </c>
      <c r="O1222" s="256">
        <v>3</v>
      </c>
      <c r="P1222" s="257">
        <v>2</v>
      </c>
      <c r="Q1222" s="129">
        <v>136</v>
      </c>
      <c r="R1222" s="98">
        <v>0.50019999999999998</v>
      </c>
      <c r="S1222" s="94">
        <f>((Table3.110[[#This Row],[Sample weight, g]]*'2.1. DM'!Q299)/100)*1000</f>
        <v>478.19895237444246</v>
      </c>
      <c r="T1222" s="94">
        <f>'3.2 Digest'!W1222</f>
        <v>86.798952374442479</v>
      </c>
      <c r="U1222" s="153">
        <v>0.34652777777777777</v>
      </c>
      <c r="V1222" s="154">
        <v>40.5</v>
      </c>
      <c r="W1222" s="153">
        <v>0.69027777777777777</v>
      </c>
      <c r="X1222" s="91">
        <v>71.5</v>
      </c>
      <c r="Y1222" s="91">
        <v>14.7</v>
      </c>
      <c r="Z1222" s="154">
        <v>40</v>
      </c>
      <c r="AA1222" s="153">
        <v>0.35902777777777778</v>
      </c>
      <c r="AB1222" s="154">
        <v>71.5</v>
      </c>
      <c r="AC1222" s="154">
        <v>16.399999999999999</v>
      </c>
      <c r="AD1222" s="91"/>
      <c r="AE1222" s="94">
        <f>Table3.110[[#This Row],[Gas 8h, ml]]-Table3.110[[#This Row],[Gas 0h, ml]]</f>
        <v>31</v>
      </c>
      <c r="AF1222" s="94">
        <f>Table3.110[[#This Row],[Gas 24h, ml]]-Table3.110[[#This Row],[V8 Push back, ml]]</f>
        <v>31.5</v>
      </c>
      <c r="AG1222" s="94">
        <f>Table3.110[[#This Row],[GP 8h, ml]]-(AVERAGE(AE$1159,AE$1160,AE$1193,AE$1194,AE$1229,AE$1230))*$AG$8</f>
        <v>27.5337235386359</v>
      </c>
      <c r="AH1222" s="94">
        <f>Table3.110[[#This Row],[GP 8-24h, ml]]-(AVERAGE(AF$1159,AF$1160,AF$1193,AF$1194,AF$1229,AF$1230))*$AG$8</f>
        <v>27.185592064046812</v>
      </c>
      <c r="AI1222" s="94">
        <f>Table3.110[[#This Row],[Net gas 8-24h, ml]]+Table3.110[[#This Row],[Net gas 8h, ml]]</f>
        <v>54.719315602682713</v>
      </c>
      <c r="AJ1222" s="94">
        <f>Table3.110[[#This Row],[Net gas 8h, ml]]*Table3.110[[#This Row],[CH4 8h %]]%</f>
        <v>4.047457360179477</v>
      </c>
      <c r="AK1222" s="94">
        <f>Table3.110[[#This Row],[Net gas 8-24h, ml]]*Table3.110[[#This Row],[CH4 24h, %]]%</f>
        <v>4.4584370985036763</v>
      </c>
      <c r="AL1222" s="94">
        <f>Table3.110[[#This Row],[CH4 8-24h, ml]]+Table3.110[[#This Row],[CH4 8h, ml]]</f>
        <v>8.5058944586831533</v>
      </c>
      <c r="AM1222" s="94">
        <f>(Table3.110[[#This Row],[Net gas 24h, ml]]/Table3.110[[#This Row],[DM Incubated, mg]])*1000</f>
        <v>114.42792864973914</v>
      </c>
      <c r="AN1222" s="94">
        <f>'3.2 Digest'!X1222</f>
        <v>18.151221775675619</v>
      </c>
      <c r="AO1222" s="94">
        <f>Table3.110[[#This Row],[Digested feed, mg]]/Table3.110[[#This Row],[Net gas 24h, ml]]</f>
        <v>1.5862580044803596</v>
      </c>
      <c r="AP1222" s="94">
        <f>Table3.110[[#This Row],[CH4 8h, ml]]/Table3.110[[#This Row],[Net gas 8h, ml]]%</f>
        <v>14.699999999999998</v>
      </c>
      <c r="AQ1222" s="94">
        <f>Table3.110[[#This Row],[CH4 24h, ml]]/Table3.110[[#This Row],[Net gas 24h, ml]]%</f>
        <v>15.54459218833164</v>
      </c>
      <c r="AR1222" s="94">
        <f>Table3.110[[#This Row],[CH4 24h, ml]]/Table3.110[[#This Row],[DM Incubated, mg]]*1000</f>
        <v>17.787354858157055</v>
      </c>
      <c r="AS1222" s="94">
        <f>Table3.110[[#This Row],[CH4 24h, ml]]/Table3.110[[#This Row],[Digested feed, mg]]*1000</f>
        <v>97.995358538309631</v>
      </c>
      <c r="AT1222" s="255">
        <f>Table3.110[[#This Row],[CH4 24h, ml]]/'3.2 Digest'!AA1222</f>
        <v>-0.31838948712149756</v>
      </c>
      <c r="AU1222" s="255">
        <f>((Table3.110[[#This Row],[CH4 24h, ml]]/28.9)*16.04)/Table3.110[[#This Row],[DM Incubated, mg]]*1000</f>
        <v>9.8722896859805935</v>
      </c>
      <c r="AV1222" s="255">
        <f>((Table3.110[[#This Row],[CH4 24h, ml]]/28.9)*16.04)/Table3.110[[#This Row],[Digested feed, mg]]*1000</f>
        <v>54.389119410189849</v>
      </c>
    </row>
    <row r="1223" spans="2:48" x14ac:dyDescent="0.35">
      <c r="B1223" s="90">
        <f t="shared" si="18"/>
        <v>1213</v>
      </c>
      <c r="C1223" s="140">
        <v>46085</v>
      </c>
      <c r="D1223" s="6" t="s">
        <v>473</v>
      </c>
      <c r="E1223" s="6" t="s">
        <v>475</v>
      </c>
      <c r="F1223" s="242" t="s">
        <v>592</v>
      </c>
      <c r="G1223" s="242" t="s">
        <v>106</v>
      </c>
      <c r="H1223" s="6" t="s">
        <v>476</v>
      </c>
      <c r="I1223" s="133" t="s">
        <v>108</v>
      </c>
      <c r="J1223" s="132" t="s">
        <v>109</v>
      </c>
      <c r="K1223" s="133" t="s">
        <v>110</v>
      </c>
      <c r="L1223" s="6" t="s">
        <v>474</v>
      </c>
      <c r="M1223" s="256">
        <v>30</v>
      </c>
      <c r="N1223" s="256">
        <v>71</v>
      </c>
      <c r="O1223" s="256">
        <v>3</v>
      </c>
      <c r="P1223" s="257">
        <v>1</v>
      </c>
      <c r="Q1223" s="129">
        <v>137</v>
      </c>
      <c r="R1223" s="98">
        <v>0.50019999999999998</v>
      </c>
      <c r="S1223" s="94">
        <f>((Table3.110[[#This Row],[Sample weight, g]]*'2.1. DM'!Q301)/100)*1000</f>
        <v>465.63617999999997</v>
      </c>
      <c r="T1223" s="94">
        <f>'3.2 Digest'!W1223</f>
        <v>251.63618</v>
      </c>
      <c r="U1223" s="153">
        <v>0.34652777777777777</v>
      </c>
      <c r="V1223" s="154">
        <v>41</v>
      </c>
      <c r="W1223" s="153">
        <v>0.69097222222222221</v>
      </c>
      <c r="X1223" s="91">
        <v>87</v>
      </c>
      <c r="Y1223" s="91">
        <v>13.8</v>
      </c>
      <c r="Z1223" s="154">
        <v>40.5</v>
      </c>
      <c r="AA1223" s="153">
        <v>0.35902777777777778</v>
      </c>
      <c r="AB1223" s="154">
        <v>98</v>
      </c>
      <c r="AC1223" s="154">
        <v>15.8</v>
      </c>
      <c r="AD1223" s="91"/>
      <c r="AE1223" s="94">
        <f>Table3.110[[#This Row],[Gas 8h, ml]]-Table3.110[[#This Row],[Gas 0h, ml]]</f>
        <v>46</v>
      </c>
      <c r="AF1223" s="94">
        <f>Table3.110[[#This Row],[Gas 24h, ml]]-Table3.110[[#This Row],[V8 Push back, ml]]</f>
        <v>57.5</v>
      </c>
      <c r="AG1223" s="94">
        <f>Table3.110[[#This Row],[GP 8h, ml]]-(AVERAGE(AE$1159,AE$1160,AE$1193,AE$1194,AE$1229,AE$1230))*$AG$8</f>
        <v>42.533723538635904</v>
      </c>
      <c r="AH1223" s="94">
        <f>Table3.110[[#This Row],[GP 8-24h, ml]]-(AVERAGE(AF$1159,AF$1160,AF$1193,AF$1194,AF$1229,AF$1230))*$AG$8</f>
        <v>53.185592064046816</v>
      </c>
      <c r="AI1223" s="94">
        <f>Table3.110[[#This Row],[Net gas 8-24h, ml]]+Table3.110[[#This Row],[Net gas 8h, ml]]</f>
        <v>95.719315602682713</v>
      </c>
      <c r="AJ1223" s="94">
        <f>Table3.110[[#This Row],[Net gas 8h, ml]]*Table3.110[[#This Row],[CH4 8h %]]%</f>
        <v>5.8696538483317555</v>
      </c>
      <c r="AK1223" s="94">
        <f>Table3.110[[#This Row],[Net gas 8-24h, ml]]*Table3.110[[#This Row],[CH4 24h, %]]%</f>
        <v>8.4033235461193971</v>
      </c>
      <c r="AL1223" s="94">
        <f>Table3.110[[#This Row],[CH4 8-24h, ml]]+Table3.110[[#This Row],[CH4 8h, ml]]</f>
        <v>14.272977394451154</v>
      </c>
      <c r="AM1223" s="94">
        <f>(Table3.110[[#This Row],[Net gas 24h, ml]]/Table3.110[[#This Row],[DM Incubated, mg]])*1000</f>
        <v>205.56674870643153</v>
      </c>
      <c r="AN1223" s="94">
        <f>'3.2 Digest'!X1223</f>
        <v>54.041371956964348</v>
      </c>
      <c r="AO1223" s="94">
        <f>Table3.110[[#This Row],[Digested feed, mg]]/Table3.110[[#This Row],[Net gas 24h, ml]]</f>
        <v>2.6288965650831235</v>
      </c>
      <c r="AP1223" s="94">
        <f>Table3.110[[#This Row],[CH4 8h, ml]]/Table3.110[[#This Row],[Net gas 8h, ml]]%</f>
        <v>13.800000000000002</v>
      </c>
      <c r="AQ1223" s="94">
        <f>Table3.110[[#This Row],[CH4 24h, ml]]/Table3.110[[#This Row],[Net gas 24h, ml]]%</f>
        <v>14.911282330617842</v>
      </c>
      <c r="AR1223" s="94">
        <f>Table3.110[[#This Row],[CH4 24h, ml]]/Table3.110[[#This Row],[DM Incubated, mg]]*1000</f>
        <v>30.652638277487707</v>
      </c>
      <c r="AS1223" s="94">
        <f>Table3.110[[#This Row],[CH4 24h, ml]]/Table3.110[[#This Row],[Digested feed, mg]]*1000</f>
        <v>56.720688553017908</v>
      </c>
      <c r="AT1223" s="255">
        <f>Table3.110[[#This Row],[CH4 24h, ml]]/'3.2 Digest'!AA1223</f>
        <v>0.61802053574970139</v>
      </c>
      <c r="AU1223" s="255">
        <f>((Table3.110[[#This Row],[CH4 24h, ml]]/28.9)*16.04)/Table3.110[[#This Row],[DM Incubated, mg]]*1000</f>
        <v>17.012744566467223</v>
      </c>
      <c r="AV1223" s="255">
        <f>((Table3.110[[#This Row],[CH4 24h, ml]]/28.9)*16.04)/Table3.110[[#This Row],[Digested feed, mg]]*1000</f>
        <v>31.48096347371651</v>
      </c>
    </row>
    <row r="1224" spans="2:48" x14ac:dyDescent="0.35">
      <c r="B1224" s="90">
        <f t="shared" si="18"/>
        <v>1214</v>
      </c>
      <c r="C1224" s="140">
        <v>46085</v>
      </c>
      <c r="D1224" s="6" t="s">
        <v>473</v>
      </c>
      <c r="E1224" s="6" t="s">
        <v>475</v>
      </c>
      <c r="F1224" s="242" t="s">
        <v>592</v>
      </c>
      <c r="G1224" s="242" t="s">
        <v>106</v>
      </c>
      <c r="H1224" s="6" t="s">
        <v>476</v>
      </c>
      <c r="I1224" s="133" t="s">
        <v>108</v>
      </c>
      <c r="J1224" s="132" t="s">
        <v>109</v>
      </c>
      <c r="K1224" s="133" t="s">
        <v>110</v>
      </c>
      <c r="L1224" s="6" t="s">
        <v>474</v>
      </c>
      <c r="M1224" s="256">
        <v>30</v>
      </c>
      <c r="N1224" s="256">
        <v>71</v>
      </c>
      <c r="O1224" s="256">
        <v>3</v>
      </c>
      <c r="P1224" s="257">
        <v>2</v>
      </c>
      <c r="Q1224" s="129">
        <v>138</v>
      </c>
      <c r="R1224" s="98">
        <v>0.50039999999999996</v>
      </c>
      <c r="S1224" s="94">
        <f>((Table3.110[[#This Row],[Sample weight, g]]*'2.1. DM'!Q301)/100)*1000</f>
        <v>465.82235999999995</v>
      </c>
      <c r="T1224" s="94">
        <f>'3.2 Digest'!W1224</f>
        <v>324.02236000000005</v>
      </c>
      <c r="U1224" s="117">
        <v>0.34652777777777777</v>
      </c>
      <c r="V1224" s="155">
        <v>40.5</v>
      </c>
      <c r="W1224" s="117">
        <v>0.69097222222222221</v>
      </c>
      <c r="X1224" s="96">
        <v>82</v>
      </c>
      <c r="Y1224" s="96">
        <v>13.4</v>
      </c>
      <c r="Z1224" s="155">
        <v>40</v>
      </c>
      <c r="AA1224" s="117">
        <v>0.36041666666666666</v>
      </c>
      <c r="AB1224" s="155">
        <v>99</v>
      </c>
      <c r="AC1224" s="155">
        <v>15.6</v>
      </c>
      <c r="AD1224" s="96"/>
      <c r="AE1224" s="94">
        <f>Table3.110[[#This Row],[Gas 8h, ml]]-Table3.110[[#This Row],[Gas 0h, ml]]</f>
        <v>41.5</v>
      </c>
      <c r="AF1224" s="94">
        <f>Table3.110[[#This Row],[Gas 24h, ml]]-Table3.110[[#This Row],[V8 Push back, ml]]</f>
        <v>59</v>
      </c>
      <c r="AG1224" s="94">
        <f>Table3.110[[#This Row],[GP 8h, ml]]-(AVERAGE(AE$1159,AE$1160,AE$1193,AE$1194,AE$1229,AE$1230))*$AG$8</f>
        <v>38.033723538635904</v>
      </c>
      <c r="AH1224" s="94">
        <f>Table3.110[[#This Row],[GP 8-24h, ml]]-(AVERAGE(AF$1159,AF$1160,AF$1193,AF$1194,AF$1229,AF$1230))*$AG$8</f>
        <v>54.685592064046816</v>
      </c>
      <c r="AI1224" s="94">
        <f>Table3.110[[#This Row],[Net gas 8-24h, ml]]+Table3.110[[#This Row],[Net gas 8h, ml]]</f>
        <v>92.719315602682713</v>
      </c>
      <c r="AJ1224" s="94">
        <f>Table3.110[[#This Row],[Net gas 8h, ml]]*Table3.110[[#This Row],[CH4 8h %]]%</f>
        <v>5.0965189541772116</v>
      </c>
      <c r="AK1224" s="94">
        <f>Table3.110[[#This Row],[Net gas 8-24h, ml]]*Table3.110[[#This Row],[CH4 24h, %]]%</f>
        <v>8.5309523619913037</v>
      </c>
      <c r="AL1224" s="94">
        <f>Table3.110[[#This Row],[CH4 8-24h, ml]]+Table3.110[[#This Row],[CH4 8h, ml]]</f>
        <v>13.627471316168515</v>
      </c>
      <c r="AM1224" s="94">
        <f>(Table3.110[[#This Row],[Net gas 24h, ml]]/Table3.110[[#This Row],[DM Incubated, mg]])*1000</f>
        <v>199.04436447121756</v>
      </c>
      <c r="AN1224" s="94">
        <f>'3.2 Digest'!X1224</f>
        <v>69.559211369759083</v>
      </c>
      <c r="AO1224" s="94">
        <f>Table3.110[[#This Row],[Digested feed, mg]]/Table3.110[[#This Row],[Net gas 24h, ml]]</f>
        <v>3.4946586684104566</v>
      </c>
      <c r="AP1224" s="94">
        <f>Table3.110[[#This Row],[CH4 8h, ml]]/Table3.110[[#This Row],[Net gas 8h, ml]]%</f>
        <v>13.4</v>
      </c>
      <c r="AQ1224" s="94">
        <f>Table3.110[[#This Row],[CH4 24h, ml]]/Table3.110[[#This Row],[Net gas 24h, ml]]%</f>
        <v>14.697553824237051</v>
      </c>
      <c r="AR1224" s="94">
        <f>Table3.110[[#This Row],[CH4 24h, ml]]/Table3.110[[#This Row],[DM Incubated, mg]]*1000</f>
        <v>29.254652602267775</v>
      </c>
      <c r="AS1224" s="94">
        <f>Table3.110[[#This Row],[CH4 24h, ml]]/Table3.110[[#This Row],[Digested feed, mg]]*1000</f>
        <v>42.057194189217412</v>
      </c>
      <c r="AT1224" s="255">
        <f>Table3.110[[#This Row],[CH4 24h, ml]]/'3.2 Digest'!AA1224</f>
        <v>0.27776247989201025</v>
      </c>
      <c r="AU1224" s="255">
        <f>((Table3.110[[#This Row],[CH4 24h, ml]]/28.9)*16.04)/Table3.110[[#This Row],[DM Incubated, mg]]*1000</f>
        <v>16.236838330116786</v>
      </c>
      <c r="AV1224" s="255">
        <f>((Table3.110[[#This Row],[CH4 24h, ml]]/28.9)*16.04)/Table3.110[[#This Row],[Digested feed, mg]]*1000</f>
        <v>23.342470408133124</v>
      </c>
    </row>
    <row r="1225" spans="2:48" x14ac:dyDescent="0.35">
      <c r="B1225" s="90">
        <f t="shared" si="18"/>
        <v>1215</v>
      </c>
      <c r="C1225" s="140">
        <v>46085</v>
      </c>
      <c r="D1225" s="6" t="s">
        <v>473</v>
      </c>
      <c r="E1225" s="6" t="s">
        <v>479</v>
      </c>
      <c r="F1225" s="242" t="s">
        <v>105</v>
      </c>
      <c r="G1225" s="242" t="s">
        <v>188</v>
      </c>
      <c r="H1225" s="6" t="s">
        <v>189</v>
      </c>
      <c r="I1225" s="133" t="s">
        <v>108</v>
      </c>
      <c r="J1225" s="132" t="s">
        <v>109</v>
      </c>
      <c r="K1225" s="133" t="s">
        <v>110</v>
      </c>
      <c r="L1225" s="6" t="s">
        <v>478</v>
      </c>
      <c r="M1225" s="256">
        <v>30</v>
      </c>
      <c r="N1225" s="256">
        <v>71</v>
      </c>
      <c r="O1225" s="256">
        <v>3</v>
      </c>
      <c r="P1225" s="257">
        <v>1</v>
      </c>
      <c r="Q1225" s="129">
        <v>139</v>
      </c>
      <c r="R1225" s="98">
        <v>0.50049999999999994</v>
      </c>
      <c r="S1225" s="94">
        <f>((Table3.110[[#This Row],[Sample weight, g]]*'2.1. DM'!Q303)/100)*1000</f>
        <v>491.54105000000004</v>
      </c>
      <c r="T1225" s="94">
        <f>'3.2 Digest'!W1225</f>
        <v>252.24105000000009</v>
      </c>
      <c r="U1225" s="117">
        <v>0.34722222222222221</v>
      </c>
      <c r="V1225" s="155">
        <v>40.5</v>
      </c>
      <c r="W1225" s="117">
        <v>0.69166666666666665</v>
      </c>
      <c r="X1225" s="96">
        <v>79.5</v>
      </c>
      <c r="Y1225" s="96">
        <v>14.1</v>
      </c>
      <c r="Z1225" s="155">
        <v>40.5</v>
      </c>
      <c r="AA1225" s="117">
        <v>0.35972222222222222</v>
      </c>
      <c r="AB1225" s="155">
        <v>99.5</v>
      </c>
      <c r="AC1225" s="155">
        <v>15.9</v>
      </c>
      <c r="AD1225" s="96"/>
      <c r="AE1225" s="94">
        <f>Table3.110[[#This Row],[Gas 8h, ml]]-Table3.110[[#This Row],[Gas 0h, ml]]</f>
        <v>39</v>
      </c>
      <c r="AF1225" s="94">
        <f>Table3.110[[#This Row],[Gas 24h, ml]]-Table3.110[[#This Row],[V8 Push back, ml]]</f>
        <v>59</v>
      </c>
      <c r="AG1225" s="94">
        <f>Table3.110[[#This Row],[GP 8h, ml]]-(AVERAGE(AE$1159,AE$1160,AE$1193,AE$1194,AE$1229,AE$1230))*$AG$8</f>
        <v>35.533723538635904</v>
      </c>
      <c r="AH1225" s="94">
        <f>Table3.110[[#This Row],[GP 8-24h, ml]]-(AVERAGE(AF$1159,AF$1160,AF$1193,AF$1194,AF$1229,AF$1230))*$AG$8</f>
        <v>54.685592064046816</v>
      </c>
      <c r="AI1225" s="94">
        <f>Table3.110[[#This Row],[Net gas 8-24h, ml]]+Table3.110[[#This Row],[Net gas 8h, ml]]</f>
        <v>90.219315602682713</v>
      </c>
      <c r="AJ1225" s="94">
        <f>Table3.110[[#This Row],[Net gas 8h, ml]]*Table3.110[[#This Row],[CH4 8h %]]%</f>
        <v>5.010255018947662</v>
      </c>
      <c r="AK1225" s="94">
        <f>Table3.110[[#This Row],[Net gas 8-24h, ml]]*Table3.110[[#This Row],[CH4 24h, %]]%</f>
        <v>8.695009138183444</v>
      </c>
      <c r="AL1225" s="94">
        <f>Table3.110[[#This Row],[CH4 8-24h, ml]]+Table3.110[[#This Row],[CH4 8h, ml]]</f>
        <v>13.705264157131106</v>
      </c>
      <c r="AM1225" s="94">
        <f>(Table3.110[[#This Row],[Net gas 24h, ml]]/Table3.110[[#This Row],[DM Incubated, mg]])*1000</f>
        <v>183.54380697742886</v>
      </c>
      <c r="AN1225" s="94">
        <f>'3.2 Digest'!X1225</f>
        <v>51.316375305785769</v>
      </c>
      <c r="AO1225" s="94">
        <f>Table3.110[[#This Row],[Digested feed, mg]]/Table3.110[[#This Row],[Net gas 24h, ml]]</f>
        <v>2.7958652569572315</v>
      </c>
      <c r="AP1225" s="94">
        <f>Table3.110[[#This Row],[CH4 8h, ml]]/Table3.110[[#This Row],[Net gas 8h, ml]]%</f>
        <v>14.1</v>
      </c>
      <c r="AQ1225" s="94">
        <f>Table3.110[[#This Row],[CH4 24h, ml]]/Table3.110[[#This Row],[Net gas 24h, ml]]%</f>
        <v>15.191053119365021</v>
      </c>
      <c r="AR1225" s="94">
        <f>Table3.110[[#This Row],[CH4 24h, ml]]/Table3.110[[#This Row],[DM Incubated, mg]]*1000</f>
        <v>27.882237215246018</v>
      </c>
      <c r="AS1225" s="94">
        <f>Table3.110[[#This Row],[CH4 24h, ml]]/Table3.110[[#This Row],[Digested feed, mg]]*1000</f>
        <v>54.333995823166376</v>
      </c>
      <c r="AT1225" s="255">
        <f>Table3.110[[#This Row],[CH4 24h, ml]]/'3.2 Digest'!AA1225</f>
        <v>0.40532165699870587</v>
      </c>
      <c r="AU1225" s="255">
        <f>((Table3.110[[#This Row],[CH4 24h, ml]]/28.9)*16.04)/Table3.110[[#This Row],[DM Incubated, mg]]*1000</f>
        <v>15.475124046108865</v>
      </c>
      <c r="AV1225" s="255">
        <f>((Table3.110[[#This Row],[CH4 24h, ml]]/28.9)*16.04)/Table3.110[[#This Row],[Digested feed, mg]]*1000</f>
        <v>30.156307716387154</v>
      </c>
    </row>
    <row r="1226" spans="2:48" x14ac:dyDescent="0.35">
      <c r="B1226" s="90">
        <f t="shared" si="18"/>
        <v>1216</v>
      </c>
      <c r="C1226" s="140">
        <v>46085</v>
      </c>
      <c r="D1226" s="6" t="s">
        <v>473</v>
      </c>
      <c r="E1226" s="6" t="s">
        <v>479</v>
      </c>
      <c r="F1226" s="242" t="s">
        <v>105</v>
      </c>
      <c r="G1226" s="242" t="s">
        <v>188</v>
      </c>
      <c r="H1226" s="6" t="s">
        <v>189</v>
      </c>
      <c r="I1226" s="133" t="s">
        <v>108</v>
      </c>
      <c r="J1226" s="132" t="s">
        <v>109</v>
      </c>
      <c r="K1226" s="133" t="s">
        <v>110</v>
      </c>
      <c r="L1226" s="6" t="s">
        <v>478</v>
      </c>
      <c r="M1226" s="256">
        <v>30</v>
      </c>
      <c r="N1226" s="256">
        <v>71</v>
      </c>
      <c r="O1226" s="256">
        <v>3</v>
      </c>
      <c r="P1226" s="257">
        <v>2</v>
      </c>
      <c r="Q1226" s="129">
        <v>140</v>
      </c>
      <c r="R1226" s="98">
        <v>0.50060000000000004</v>
      </c>
      <c r="S1226" s="94">
        <f>((Table3.110[[#This Row],[Sample weight, g]]*'2.1. DM'!Q303)/100)*1000</f>
        <v>491.63926000000015</v>
      </c>
      <c r="T1226" s="94">
        <f>'3.2 Digest'!W1226</f>
        <v>190.93926000000005</v>
      </c>
      <c r="U1226" s="153">
        <v>0.34791666666666665</v>
      </c>
      <c r="V1226" s="154">
        <v>40</v>
      </c>
      <c r="W1226" s="153">
        <v>0.69236111111111109</v>
      </c>
      <c r="X1226" s="91">
        <v>78.5</v>
      </c>
      <c r="Y1226" s="91">
        <v>13.4</v>
      </c>
      <c r="Z1226" s="154">
        <v>40</v>
      </c>
      <c r="AA1226" s="153">
        <v>0.36041666666666666</v>
      </c>
      <c r="AB1226" s="154">
        <v>97.5</v>
      </c>
      <c r="AC1226" s="154">
        <v>15.7</v>
      </c>
      <c r="AD1226" s="91"/>
      <c r="AE1226" s="94">
        <f>Table3.110[[#This Row],[Gas 8h, ml]]-Table3.110[[#This Row],[Gas 0h, ml]]</f>
        <v>38.5</v>
      </c>
      <c r="AF1226" s="94">
        <f>Table3.110[[#This Row],[Gas 24h, ml]]-Table3.110[[#This Row],[V8 Push back, ml]]</f>
        <v>57.5</v>
      </c>
      <c r="AG1226" s="94">
        <f>Table3.110[[#This Row],[GP 8h, ml]]-(AVERAGE(AE$1159,AE$1160,AE$1193,AE$1194,AE$1229,AE$1230))*$AG$8</f>
        <v>35.033723538635904</v>
      </c>
      <c r="AH1226" s="94">
        <f>Table3.110[[#This Row],[GP 8-24h, ml]]-(AVERAGE(AF$1159,AF$1160,AF$1193,AF$1194,AF$1229,AF$1230))*$AG$8</f>
        <v>53.185592064046816</v>
      </c>
      <c r="AI1226" s="94">
        <f>Table3.110[[#This Row],[Net gas 8-24h, ml]]+Table3.110[[#This Row],[Net gas 8h, ml]]</f>
        <v>88.219315602682713</v>
      </c>
      <c r="AJ1226" s="94">
        <f>Table3.110[[#This Row],[Net gas 8h, ml]]*Table3.110[[#This Row],[CH4 8h %]]%</f>
        <v>4.6945189541772114</v>
      </c>
      <c r="AK1226" s="94">
        <f>Table3.110[[#This Row],[Net gas 8-24h, ml]]*Table3.110[[#This Row],[CH4 24h, %]]%</f>
        <v>8.3501379540553504</v>
      </c>
      <c r="AL1226" s="94">
        <f>Table3.110[[#This Row],[CH4 8-24h, ml]]+Table3.110[[#This Row],[CH4 8h, ml]]</f>
        <v>13.044656908232561</v>
      </c>
      <c r="AM1226" s="94">
        <f>(Table3.110[[#This Row],[Net gas 24h, ml]]/Table3.110[[#This Row],[DM Incubated, mg]])*1000</f>
        <v>179.43911884230459</v>
      </c>
      <c r="AN1226" s="94">
        <f>'3.2 Digest'!X1226</f>
        <v>38.837268610322127</v>
      </c>
      <c r="AO1226" s="94">
        <f>Table3.110[[#This Row],[Digested feed, mg]]/Table3.110[[#This Row],[Net gas 24h, ml]]</f>
        <v>2.1643702254497388</v>
      </c>
      <c r="AP1226" s="94">
        <f>Table3.110[[#This Row],[CH4 8h, ml]]/Table3.110[[#This Row],[Net gas 8h, ml]]%</f>
        <v>13.400000000000002</v>
      </c>
      <c r="AQ1226" s="94">
        <f>Table3.110[[#This Row],[CH4 24h, ml]]/Table3.110[[#This Row],[Net gas 24h, ml]]%</f>
        <v>14.786622202990518</v>
      </c>
      <c r="AR1226" s="94">
        <f>Table3.110[[#This Row],[CH4 24h, ml]]/Table3.110[[#This Row],[DM Incubated, mg]]*1000</f>
        <v>26.532984587586753</v>
      </c>
      <c r="AS1226" s="94">
        <f>Table3.110[[#This Row],[CH4 24h, ml]]/Table3.110[[#This Row],[Digested feed, mg]]*1000</f>
        <v>68.318358980927016</v>
      </c>
      <c r="AT1226" s="255">
        <f>Table3.110[[#This Row],[CH4 24h, ml]]/'3.2 Digest'!AA1226</f>
        <v>0.77427287049429439</v>
      </c>
      <c r="AU1226" s="255">
        <f>((Table3.110[[#This Row],[CH4 24h, ml]]/28.9)*16.04)/Table3.110[[#This Row],[DM Incubated, mg]]*1000</f>
        <v>14.726265494286904</v>
      </c>
      <c r="AV1226" s="255">
        <f>((Table3.110[[#This Row],[CH4 24h, ml]]/28.9)*16.04)/Table3.110[[#This Row],[Digested feed, mg]]*1000</f>
        <v>37.917871212943574</v>
      </c>
    </row>
    <row r="1227" spans="2:48" x14ac:dyDescent="0.35">
      <c r="B1227" s="90">
        <f t="shared" si="18"/>
        <v>1217</v>
      </c>
      <c r="C1227" s="140">
        <v>46085</v>
      </c>
      <c r="D1227" s="8" t="s">
        <v>120</v>
      </c>
      <c r="E1227" s="6" t="s">
        <v>122</v>
      </c>
      <c r="F1227" s="242" t="s">
        <v>123</v>
      </c>
      <c r="G1227" s="242" t="s">
        <v>545</v>
      </c>
      <c r="H1227" s="6" t="s">
        <v>125</v>
      </c>
      <c r="I1227" s="133" t="s">
        <v>108</v>
      </c>
      <c r="J1227" s="132" t="s">
        <v>109</v>
      </c>
      <c r="K1227" s="133" t="s">
        <v>110</v>
      </c>
      <c r="L1227" s="6" t="s">
        <v>121</v>
      </c>
      <c r="M1227" s="256">
        <v>30</v>
      </c>
      <c r="N1227" s="256">
        <v>71</v>
      </c>
      <c r="O1227" s="256">
        <v>3</v>
      </c>
      <c r="P1227" s="257">
        <v>1</v>
      </c>
      <c r="Q1227" s="129">
        <v>141</v>
      </c>
      <c r="R1227" s="98">
        <v>0.50029999999999997</v>
      </c>
      <c r="S1227" s="94">
        <f>((Table3.110[[#This Row],[Sample weight, g]]*'2.1. DM'!Q305)/100)*1000</f>
        <v>468.78109999999992</v>
      </c>
      <c r="T1227" s="94">
        <f>'3.2 Digest'!W1227</f>
        <v>167.8811</v>
      </c>
      <c r="U1227" s="153">
        <v>0.34791666666666665</v>
      </c>
      <c r="V1227" s="154">
        <v>41</v>
      </c>
      <c r="W1227" s="153">
        <v>0.69305555555555554</v>
      </c>
      <c r="X1227" s="91">
        <v>72.5</v>
      </c>
      <c r="Y1227" s="91">
        <v>15.8</v>
      </c>
      <c r="Z1227" s="154">
        <v>40</v>
      </c>
      <c r="AA1227" s="153">
        <v>0.36041666666666666</v>
      </c>
      <c r="AB1227" s="154">
        <v>85.5</v>
      </c>
      <c r="AC1227" s="154">
        <v>16.2</v>
      </c>
      <c r="AD1227" s="91"/>
      <c r="AE1227" s="94">
        <f>Table3.110[[#This Row],[Gas 8h, ml]]-Table3.110[[#This Row],[Gas 0h, ml]]</f>
        <v>31.5</v>
      </c>
      <c r="AF1227" s="94">
        <f>Table3.110[[#This Row],[Gas 24h, ml]]-Table3.110[[#This Row],[V8 Push back, ml]]</f>
        <v>45.5</v>
      </c>
      <c r="AG1227" s="94">
        <f>Table3.110[[#This Row],[GP 8h, ml]]-(AVERAGE(AE$1159,AE$1160,AE$1193,AE$1194,AE$1229,AE$1230))*$AG$8</f>
        <v>28.0337235386359</v>
      </c>
      <c r="AH1227" s="94">
        <f>Table3.110[[#This Row],[GP 8-24h, ml]]-(AVERAGE(AF$1159,AF$1160,AF$1193,AF$1194,AF$1229,AF$1230))*$AG$8</f>
        <v>41.185592064046816</v>
      </c>
      <c r="AI1227" s="94">
        <f>Table3.110[[#This Row],[Net gas 8-24h, ml]]+Table3.110[[#This Row],[Net gas 8h, ml]]</f>
        <v>69.219315602682713</v>
      </c>
      <c r="AJ1227" s="94">
        <f>Table3.110[[#This Row],[Net gas 8h, ml]]*Table3.110[[#This Row],[CH4 8h %]]%</f>
        <v>4.4293283191044726</v>
      </c>
      <c r="AK1227" s="94">
        <f>Table3.110[[#This Row],[Net gas 8-24h, ml]]*Table3.110[[#This Row],[CH4 24h, %]]%</f>
        <v>6.6720659143755841</v>
      </c>
      <c r="AL1227" s="94">
        <f>Table3.110[[#This Row],[CH4 8-24h, ml]]+Table3.110[[#This Row],[CH4 8h, ml]]</f>
        <v>11.101394233480057</v>
      </c>
      <c r="AM1227" s="94">
        <f>(Table3.110[[#This Row],[Net gas 24h, ml]]/Table3.110[[#This Row],[DM Incubated, mg]])*1000</f>
        <v>147.65807666453003</v>
      </c>
      <c r="AN1227" s="94">
        <f>'3.2 Digest'!X1227</f>
        <v>35.812258642679929</v>
      </c>
      <c r="AO1227" s="94">
        <f>Table3.110[[#This Row],[Digested feed, mg]]/Table3.110[[#This Row],[Net gas 24h, ml]]</f>
        <v>2.4253504753446808</v>
      </c>
      <c r="AP1227" s="94">
        <f>Table3.110[[#This Row],[CH4 8h, ml]]/Table3.110[[#This Row],[Net gas 8h, ml]]%</f>
        <v>15.8</v>
      </c>
      <c r="AQ1227" s="94">
        <f>Table3.110[[#This Row],[CH4 24h, ml]]/Table3.110[[#This Row],[Net gas 24h, ml]]%</f>
        <v>16.038000573715301</v>
      </c>
      <c r="AR1227" s="94">
        <f>Table3.110[[#This Row],[CH4 24h, ml]]/Table3.110[[#This Row],[DM Incubated, mg]]*1000</f>
        <v>23.681403182594305</v>
      </c>
      <c r="AS1227" s="94">
        <f>Table3.110[[#This Row],[CH4 24h, ml]]/Table3.110[[#This Row],[Digested feed, mg]]*1000</f>
        <v>66.126527843098813</v>
      </c>
      <c r="AT1227" s="255">
        <f>Table3.110[[#This Row],[CH4 24h, ml]]/'3.2 Digest'!AA1227</f>
        <v>0.70919892398992779</v>
      </c>
      <c r="AU1227" s="255">
        <f>((Table3.110[[#This Row],[CH4 24h, ml]]/28.9)*16.04)/Table3.110[[#This Row],[DM Incubated, mg]]*1000</f>
        <v>13.143588479197671</v>
      </c>
      <c r="AV1227" s="255">
        <f>((Table3.110[[#This Row],[CH4 24h, ml]]/28.9)*16.04)/Table3.110[[#This Row],[Digested feed, mg]]*1000</f>
        <v>36.701367010494984</v>
      </c>
    </row>
    <row r="1228" spans="2:48" x14ac:dyDescent="0.35">
      <c r="B1228" s="90">
        <f t="shared" ref="B1228:B1230" si="19">B1227+1</f>
        <v>1218</v>
      </c>
      <c r="C1228" s="140">
        <v>46085</v>
      </c>
      <c r="D1228" s="8" t="s">
        <v>120</v>
      </c>
      <c r="E1228" s="6" t="s">
        <v>122</v>
      </c>
      <c r="F1228" s="242" t="s">
        <v>123</v>
      </c>
      <c r="G1228" s="242" t="s">
        <v>545</v>
      </c>
      <c r="H1228" s="6" t="s">
        <v>125</v>
      </c>
      <c r="I1228" s="133" t="s">
        <v>108</v>
      </c>
      <c r="J1228" s="132" t="s">
        <v>109</v>
      </c>
      <c r="K1228" s="133" t="s">
        <v>110</v>
      </c>
      <c r="L1228" s="6" t="s">
        <v>121</v>
      </c>
      <c r="M1228" s="256">
        <v>30</v>
      </c>
      <c r="N1228" s="256">
        <v>71</v>
      </c>
      <c r="O1228" s="256">
        <v>3</v>
      </c>
      <c r="P1228" s="257">
        <v>2</v>
      </c>
      <c r="Q1228" s="129">
        <v>142</v>
      </c>
      <c r="R1228" s="98">
        <v>0.50009999999999999</v>
      </c>
      <c r="S1228" s="94">
        <f>((Table3.110[[#This Row],[Sample weight, g]]*'2.1. DM'!Q305)/100)*1000</f>
        <v>468.5936999999999</v>
      </c>
      <c r="T1228" s="94">
        <f>'3.2 Digest'!W1228</f>
        <v>155.0936999999999</v>
      </c>
      <c r="U1228" s="117">
        <v>0.34791666666666665</v>
      </c>
      <c r="V1228" s="155">
        <v>41</v>
      </c>
      <c r="W1228" s="117">
        <v>0.69305555555555554</v>
      </c>
      <c r="X1228" s="96">
        <v>71</v>
      </c>
      <c r="Y1228" s="96">
        <v>16.100000000000001</v>
      </c>
      <c r="Z1228" s="155">
        <v>40</v>
      </c>
      <c r="AA1228" s="117">
        <v>0.3611111111111111</v>
      </c>
      <c r="AB1228" s="155">
        <v>86.5</v>
      </c>
      <c r="AC1228" s="155">
        <v>16.600000000000001</v>
      </c>
      <c r="AD1228" s="96"/>
      <c r="AE1228" s="94">
        <f>Table3.110[[#This Row],[Gas 8h, ml]]-Table3.110[[#This Row],[Gas 0h, ml]]</f>
        <v>30</v>
      </c>
      <c r="AF1228" s="94">
        <f>Table3.110[[#This Row],[Gas 24h, ml]]-Table3.110[[#This Row],[V8 Push back, ml]]</f>
        <v>46.5</v>
      </c>
      <c r="AG1228" s="94">
        <f>Table3.110[[#This Row],[GP 8h, ml]]-(AVERAGE(AE$1159,AE$1160,AE$1193,AE$1194,AE$1229,AE$1230))*$AG$8</f>
        <v>26.5337235386359</v>
      </c>
      <c r="AH1228" s="94">
        <f>Table3.110[[#This Row],[GP 8-24h, ml]]-(AVERAGE(AF$1159,AF$1160,AF$1193,AF$1194,AF$1229,AF$1230))*$AG$8</f>
        <v>42.185592064046816</v>
      </c>
      <c r="AI1228" s="94">
        <f>Table3.110[[#This Row],[Net gas 8-24h, ml]]+Table3.110[[#This Row],[Net gas 8h, ml]]</f>
        <v>68.719315602682713</v>
      </c>
      <c r="AJ1228" s="94">
        <f>Table3.110[[#This Row],[Net gas 8h, ml]]*Table3.110[[#This Row],[CH4 8h %]]%</f>
        <v>4.2719294897203799</v>
      </c>
      <c r="AK1228" s="94">
        <f>Table3.110[[#This Row],[Net gas 8-24h, ml]]*Table3.110[[#This Row],[CH4 24h, %]]%</f>
        <v>7.0028082826317721</v>
      </c>
      <c r="AL1228" s="94">
        <f>Table3.110[[#This Row],[CH4 8-24h, ml]]+Table3.110[[#This Row],[CH4 8h, ml]]</f>
        <v>11.274737772352152</v>
      </c>
      <c r="AM1228" s="94">
        <f>(Table3.110[[#This Row],[Net gas 24h, ml]]/Table3.110[[#This Row],[DM Incubated, mg]])*1000</f>
        <v>146.65010563027784</v>
      </c>
      <c r="AN1228" s="94">
        <f>'3.2 Digest'!X1228</f>
        <v>33.097692094451958</v>
      </c>
      <c r="AO1228" s="94">
        <f>Table3.110[[#This Row],[Digested feed, mg]]/Table3.110[[#This Row],[Net gas 24h, ml]]</f>
        <v>2.2569156668659436</v>
      </c>
      <c r="AP1228" s="94">
        <f>Table3.110[[#This Row],[CH4 8h, ml]]/Table3.110[[#This Row],[Net gas 8h, ml]]%</f>
        <v>16.100000000000001</v>
      </c>
      <c r="AQ1228" s="94">
        <f>Table3.110[[#This Row],[CH4 24h, ml]]/Table3.110[[#This Row],[Net gas 24h, ml]]%</f>
        <v>16.406941299502698</v>
      </c>
      <c r="AR1228" s="94">
        <f>Table3.110[[#This Row],[CH4 24h, ml]]/Table3.110[[#This Row],[DM Incubated, mg]]*1000</f>
        <v>24.060796746418387</v>
      </c>
      <c r="AS1228" s="94">
        <f>Table3.110[[#This Row],[CH4 24h, ml]]/Table3.110[[#This Row],[Digested feed, mg]]*1000</f>
        <v>72.696297608169502</v>
      </c>
      <c r="AT1228" s="255">
        <f>Table3.110[[#This Row],[CH4 24h, ml]]/'3.2 Digest'!AA1228</f>
        <v>0.9328509104947621</v>
      </c>
      <c r="AU1228" s="255">
        <f>((Table3.110[[#This Row],[CH4 24h, ml]]/28.9)*16.04)/Table3.110[[#This Row],[DM Incubated, mg]]*1000</f>
        <v>13.354158471022524</v>
      </c>
      <c r="AV1228" s="255">
        <f>((Table3.110[[#This Row],[CH4 24h, ml]]/28.9)*16.04)/Table3.110[[#This Row],[Digested feed, mg]]*1000</f>
        <v>40.347702893945986</v>
      </c>
    </row>
    <row r="1229" spans="2:48" x14ac:dyDescent="0.35">
      <c r="B1229" s="90">
        <f t="shared" si="19"/>
        <v>1219</v>
      </c>
      <c r="C1229" s="143">
        <v>46085</v>
      </c>
      <c r="D1229" s="92"/>
      <c r="E1229" s="124" t="s">
        <v>553</v>
      </c>
      <c r="F1229" s="242" t="s">
        <v>554</v>
      </c>
      <c r="G1229" s="242">
        <v>24</v>
      </c>
      <c r="H1229" s="124" t="s">
        <v>553</v>
      </c>
      <c r="I1229" s="242"/>
      <c r="J1229" s="243"/>
      <c r="K1229" s="243"/>
      <c r="L1229" s="124" t="s">
        <v>607</v>
      </c>
      <c r="M1229" s="256">
        <v>30</v>
      </c>
      <c r="N1229" s="256">
        <v>71</v>
      </c>
      <c r="O1229" s="256">
        <v>3</v>
      </c>
      <c r="P1229" s="257">
        <v>1</v>
      </c>
      <c r="Q1229" s="146">
        <v>143</v>
      </c>
      <c r="R1229" s="98"/>
      <c r="S1229" s="94"/>
      <c r="T1229" s="94"/>
      <c r="U1229" s="151">
        <v>0.34791666666666665</v>
      </c>
      <c r="V1229" s="152">
        <v>40</v>
      </c>
      <c r="W1229" s="151">
        <v>0.69444444444444442</v>
      </c>
      <c r="X1229" s="164">
        <v>44</v>
      </c>
      <c r="Y1229" s="164"/>
      <c r="Z1229" s="152">
        <v>40</v>
      </c>
      <c r="AA1229" s="151">
        <v>0.36180555555555555</v>
      </c>
      <c r="AB1229" s="152">
        <v>45</v>
      </c>
      <c r="AC1229" s="152"/>
      <c r="AD1229" s="164"/>
      <c r="AE1229" s="94">
        <f>Table3.110[[#This Row],[Gas 8h, ml]]-Table3.110[[#This Row],[Gas 0h, ml]]</f>
        <v>4</v>
      </c>
      <c r="AF1229" s="94">
        <f>Table3.110[[#This Row],[Gas 24h, ml]]-Table3.110[[#This Row],[V8 Push back, ml]]</f>
        <v>5</v>
      </c>
      <c r="AG1229" s="94"/>
      <c r="AH1229" s="94"/>
      <c r="AI1229" s="94"/>
      <c r="AJ1229" s="94"/>
      <c r="AK1229" s="94"/>
      <c r="AL1229" s="94"/>
      <c r="AM1229" s="94"/>
      <c r="AN1229" s="94"/>
      <c r="AO1229" s="94"/>
      <c r="AP1229" s="94"/>
      <c r="AQ1229" s="94"/>
      <c r="AR1229" s="94"/>
      <c r="AS1229" s="94"/>
    </row>
    <row r="1230" spans="2:48" x14ac:dyDescent="0.35">
      <c r="B1230" s="90">
        <f t="shared" si="19"/>
        <v>1220</v>
      </c>
      <c r="C1230" s="143">
        <v>46085</v>
      </c>
      <c r="D1230" s="92"/>
      <c r="E1230" s="124" t="s">
        <v>553</v>
      </c>
      <c r="F1230" s="242" t="s">
        <v>554</v>
      </c>
      <c r="G1230" s="242">
        <v>24</v>
      </c>
      <c r="H1230" s="124" t="s">
        <v>553</v>
      </c>
      <c r="I1230" s="242"/>
      <c r="J1230" s="243"/>
      <c r="K1230" s="243"/>
      <c r="L1230" s="124" t="s">
        <v>607</v>
      </c>
      <c r="M1230" s="256">
        <v>30</v>
      </c>
      <c r="N1230" s="287">
        <v>71</v>
      </c>
      <c r="O1230" s="287">
        <v>3</v>
      </c>
      <c r="P1230" s="297">
        <v>2</v>
      </c>
      <c r="Q1230" s="146">
        <v>144</v>
      </c>
      <c r="R1230" s="98"/>
      <c r="S1230" s="94"/>
      <c r="T1230" s="94"/>
      <c r="U1230" s="151">
        <v>0.34791666666666665</v>
      </c>
      <c r="V1230" s="152">
        <v>39</v>
      </c>
      <c r="W1230" s="151">
        <v>0.69444444444444442</v>
      </c>
      <c r="X1230" s="164">
        <v>44</v>
      </c>
      <c r="Y1230" s="164"/>
      <c r="Z1230" s="152">
        <v>39.5</v>
      </c>
      <c r="AA1230" s="151">
        <v>0.36249999999999999</v>
      </c>
      <c r="AB1230" s="152">
        <v>44.5</v>
      </c>
      <c r="AC1230" s="152"/>
      <c r="AD1230" s="164"/>
      <c r="AE1230" s="94">
        <f>Table3.110[[#This Row],[Gas 8h, ml]]-Table3.110[[#This Row],[Gas 0h, ml]]</f>
        <v>5</v>
      </c>
      <c r="AF1230" s="94">
        <f>Table3.110[[#This Row],[Gas 24h, ml]]-Table3.110[[#This Row],[V8 Push back, ml]]</f>
        <v>5</v>
      </c>
      <c r="AG1230" s="94"/>
      <c r="AH1230" s="94"/>
      <c r="AI1230" s="94"/>
      <c r="AJ1230" s="94"/>
      <c r="AK1230" s="94"/>
      <c r="AL1230" s="94"/>
      <c r="AM1230" s="94"/>
      <c r="AN1230" s="94"/>
      <c r="AO1230" s="94"/>
      <c r="AP1230" s="94"/>
      <c r="AQ1230" s="94"/>
      <c r="AR1230" s="94"/>
      <c r="AS1230" s="94"/>
    </row>
    <row r="1235" spans="40:40" x14ac:dyDescent="0.35">
      <c r="AN1235" s="15">
        <f>_xlfn.STDEV.S(AN996,AN998,AN1097,AN1098,AN1169,AN1170)</f>
        <v>9.7528743821674997</v>
      </c>
    </row>
    <row r="1236" spans="40:40" x14ac:dyDescent="0.35">
      <c r="AN1236" s="74">
        <f>AVERAGE(AN996,AN998,AN1097,AN1098,AN1169)</f>
        <v>38.765310515743501</v>
      </c>
    </row>
    <row r="1238" spans="40:40" x14ac:dyDescent="0.35">
      <c r="AN1238" s="74">
        <f>AVERAGE(AN996,AN998,AN1097,AN1098)</f>
        <v>42.00418111597574</v>
      </c>
    </row>
    <row r="1239" spans="40:40" x14ac:dyDescent="0.35">
      <c r="AN1239" s="74">
        <f>AN1238-AN1236</f>
        <v>3.2388706002322394</v>
      </c>
    </row>
  </sheetData>
  <autoFilter ref="AT10:AV10" xr:uid="{63ACB88E-4882-4A99-A2AC-969F7B233B3A}"/>
  <mergeCells count="1">
    <mergeCell ref="G3:AS5"/>
  </mergeCells>
  <phoneticPr fontId="7" type="noConversion"/>
  <conditionalFormatting sqref="AS1:AS2 AS6:AS8">
    <cfRule type="cellIs" dxfId="6" priority="1" operator="greaterThan">
      <formula>6</formula>
    </cfRule>
  </conditionalFormatting>
  <pageMargins left="0.7" right="0.7" top="0.75" bottom="0.75" header="0.3" footer="0.3"/>
  <pageSetup orientation="portrait" verticalDpi="0" r:id="rId1"/>
  <drawing r:id="rId2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93BC8-BC60-439E-9E7B-766639E4C544}">
  <dimension ref="A1:BB1238"/>
  <sheetViews>
    <sheetView zoomScale="85" zoomScaleNormal="85" workbookViewId="0">
      <selection sqref="A1:XFD1048576"/>
    </sheetView>
  </sheetViews>
  <sheetFormatPr defaultColWidth="8.6328125" defaultRowHeight="14.5" x14ac:dyDescent="0.35"/>
  <cols>
    <col min="1" max="1" width="2.54296875" style="5" customWidth="1"/>
    <col min="2" max="2" width="11.453125" style="307" bestFit="1" customWidth="1"/>
    <col min="3" max="6" width="11.36328125" style="307" customWidth="1"/>
    <col min="7" max="7" width="13.90625" style="307" bestFit="1" customWidth="1"/>
    <col min="8" max="8" width="20.36328125" style="308" customWidth="1"/>
    <col min="9" max="11" width="11.36328125" style="308" customWidth="1"/>
    <col min="12" max="12" width="9.08984375" style="307" customWidth="1"/>
    <col min="13" max="14" width="6.453125" style="307" customWidth="1"/>
    <col min="15" max="15" width="8.90625" style="307" customWidth="1"/>
    <col min="16" max="16" width="12.54296875" style="307" bestFit="1" customWidth="1"/>
    <col min="17" max="17" width="16.54296875" style="307" hidden="1" customWidth="1"/>
    <col min="18" max="18" width="18.36328125" style="307" hidden="1" customWidth="1"/>
    <col min="19" max="19" width="19.36328125" style="307" hidden="1" customWidth="1"/>
    <col min="20" max="20" width="19.08984375" style="307" hidden="1" customWidth="1"/>
    <col min="21" max="21" width="13.90625" style="309" hidden="1" customWidth="1"/>
    <col min="22" max="22" width="16" style="307" hidden="1" customWidth="1"/>
    <col min="23" max="23" width="13.90625" style="309" hidden="1" customWidth="1"/>
    <col min="24" max="24" width="16" style="65" hidden="1" customWidth="1"/>
    <col min="25" max="25" width="15.08984375" style="65" hidden="1" customWidth="1"/>
    <col min="26" max="26" width="18.90625" style="65" hidden="1" customWidth="1"/>
    <col min="27" max="27" width="14.90625" style="309" hidden="1" customWidth="1"/>
    <col min="28" max="28" width="17" style="65" hidden="1" customWidth="1"/>
    <col min="29" max="29" width="22.6328125" style="65" hidden="1" customWidth="1"/>
    <col min="30" max="30" width="10.453125" style="65" hidden="1" customWidth="1"/>
    <col min="31" max="31" width="14.08984375" style="307" hidden="1" customWidth="1"/>
    <col min="32" max="32" width="11.90625" style="307" hidden="1" customWidth="1"/>
    <col min="33" max="33" width="15.54296875" style="307" bestFit="1" customWidth="1"/>
    <col min="34" max="34" width="14.54296875" style="307" bestFit="1" customWidth="1"/>
    <col min="35" max="35" width="12.54296875" style="307" bestFit="1" customWidth="1"/>
    <col min="36" max="37" width="15.54296875" style="307" bestFit="1" customWidth="1"/>
    <col min="38" max="38" width="13.90625" style="307" bestFit="1" customWidth="1"/>
    <col min="39" max="39" width="15.54296875" style="65" bestFit="1" customWidth="1"/>
    <col min="40" max="40" width="15.54296875" style="307" bestFit="1" customWidth="1"/>
    <col min="41" max="46" width="10.90625" style="307" customWidth="1"/>
    <col min="47" max="49" width="10.90625" style="65" customWidth="1"/>
    <col min="50" max="16384" width="8.6328125" style="65"/>
  </cols>
  <sheetData>
    <row r="1" spans="1:54" s="5" customFormat="1" x14ac:dyDescent="0.35">
      <c r="B1" s="15"/>
      <c r="C1" s="15"/>
      <c r="D1" s="15"/>
      <c r="E1" s="15"/>
      <c r="F1" s="15"/>
      <c r="G1" s="15"/>
      <c r="H1" s="181"/>
      <c r="I1" s="181"/>
      <c r="J1" s="181"/>
      <c r="K1" s="181"/>
      <c r="L1" s="15"/>
      <c r="M1" s="15"/>
      <c r="N1" s="15"/>
      <c r="O1" s="15"/>
      <c r="P1" s="15"/>
      <c r="Q1" s="15"/>
      <c r="R1" s="15"/>
      <c r="S1" s="15"/>
      <c r="T1" s="15"/>
      <c r="U1" s="28"/>
      <c r="V1" s="15"/>
      <c r="W1" s="28"/>
      <c r="AA1" s="28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</row>
    <row r="2" spans="1:54" s="5" customFormat="1" ht="18.5" x14ac:dyDescent="0.45">
      <c r="B2" s="29"/>
      <c r="C2" s="29"/>
      <c r="D2" s="29"/>
      <c r="E2" s="29"/>
      <c r="F2" s="29"/>
      <c r="G2" s="29"/>
      <c r="H2" s="182"/>
      <c r="I2" s="182"/>
      <c r="J2" s="182"/>
      <c r="K2" s="182"/>
      <c r="L2" s="29"/>
      <c r="M2" s="29"/>
      <c r="N2" s="29"/>
      <c r="O2" s="29"/>
      <c r="P2" s="29"/>
      <c r="Q2" s="15"/>
      <c r="R2" s="15"/>
      <c r="S2" s="15"/>
      <c r="T2" s="15"/>
      <c r="U2" s="28"/>
      <c r="V2" s="15"/>
      <c r="W2" s="28"/>
      <c r="AA2" s="28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</row>
    <row r="3" spans="1:54" s="5" customFormat="1" ht="18.649999999999999" customHeight="1" x14ac:dyDescent="0.45">
      <c r="B3" s="29"/>
      <c r="C3" s="29"/>
      <c r="D3" s="29"/>
      <c r="E3" s="15"/>
      <c r="F3" s="52"/>
      <c r="G3" s="338" t="s">
        <v>500</v>
      </c>
      <c r="H3" s="338"/>
      <c r="I3" s="338"/>
      <c r="J3" s="338"/>
      <c r="K3" s="338"/>
      <c r="L3" s="338"/>
      <c r="M3" s="338"/>
      <c r="N3" s="338"/>
      <c r="O3" s="338"/>
      <c r="P3" s="338"/>
      <c r="Q3" s="338"/>
      <c r="R3" s="338"/>
      <c r="S3" s="338"/>
      <c r="T3" s="338"/>
      <c r="U3" s="338"/>
      <c r="V3" s="338"/>
      <c r="W3" s="338"/>
      <c r="X3" s="338"/>
      <c r="Y3" s="338"/>
      <c r="Z3" s="338"/>
      <c r="AA3" s="338"/>
      <c r="AB3" s="338"/>
      <c r="AC3" s="338"/>
      <c r="AD3" s="338"/>
      <c r="AE3" s="338"/>
      <c r="AF3" s="338"/>
      <c r="AG3" s="338"/>
      <c r="AH3" s="338"/>
      <c r="AI3" s="338"/>
      <c r="AJ3" s="338"/>
      <c r="AK3" s="338"/>
      <c r="AL3" s="338"/>
      <c r="AM3" s="338"/>
      <c r="AN3" s="338"/>
      <c r="AO3" s="338"/>
      <c r="AP3" s="338"/>
      <c r="AQ3" s="338"/>
      <c r="AR3" s="338"/>
      <c r="AS3" s="338"/>
      <c r="AT3" s="338"/>
      <c r="AU3" s="338"/>
      <c r="AV3" s="338"/>
      <c r="AW3" s="338"/>
    </row>
    <row r="4" spans="1:54" s="5" customFormat="1" ht="18.649999999999999" customHeight="1" x14ac:dyDescent="0.45">
      <c r="B4" s="29"/>
      <c r="C4" s="29"/>
      <c r="D4" s="29"/>
      <c r="E4" s="52"/>
      <c r="F4" s="52"/>
      <c r="G4" s="338"/>
      <c r="H4" s="338"/>
      <c r="I4" s="338"/>
      <c r="J4" s="338"/>
      <c r="K4" s="338"/>
      <c r="L4" s="338"/>
      <c r="M4" s="338"/>
      <c r="N4" s="338"/>
      <c r="O4" s="338"/>
      <c r="P4" s="338"/>
      <c r="Q4" s="338"/>
      <c r="R4" s="338"/>
      <c r="S4" s="338"/>
      <c r="T4" s="338"/>
      <c r="U4" s="338"/>
      <c r="V4" s="338"/>
      <c r="W4" s="338"/>
      <c r="X4" s="338"/>
      <c r="Y4" s="338"/>
      <c r="Z4" s="338"/>
      <c r="AA4" s="338"/>
      <c r="AB4" s="338"/>
      <c r="AC4" s="338"/>
      <c r="AD4" s="338"/>
      <c r="AE4" s="338"/>
      <c r="AF4" s="338"/>
      <c r="AG4" s="338"/>
      <c r="AH4" s="338"/>
      <c r="AI4" s="338"/>
      <c r="AJ4" s="338"/>
      <c r="AK4" s="338"/>
      <c r="AL4" s="338"/>
      <c r="AM4" s="338"/>
      <c r="AN4" s="338"/>
      <c r="AO4" s="338"/>
      <c r="AP4" s="338"/>
      <c r="AQ4" s="338"/>
      <c r="AR4" s="338"/>
      <c r="AS4" s="338"/>
      <c r="AT4" s="338"/>
      <c r="AU4" s="338"/>
      <c r="AV4" s="338"/>
      <c r="AW4" s="338"/>
    </row>
    <row r="5" spans="1:54" s="5" customFormat="1" ht="18.649999999999999" customHeight="1" x14ac:dyDescent="0.45">
      <c r="B5" s="29"/>
      <c r="C5" s="29"/>
      <c r="D5" s="29"/>
      <c r="E5" s="52"/>
      <c r="F5" s="52"/>
      <c r="G5" s="338"/>
      <c r="H5" s="338"/>
      <c r="I5" s="338"/>
      <c r="J5" s="338"/>
      <c r="K5" s="338"/>
      <c r="L5" s="338"/>
      <c r="M5" s="338"/>
      <c r="N5" s="338"/>
      <c r="O5" s="338"/>
      <c r="P5" s="338"/>
      <c r="Q5" s="338"/>
      <c r="R5" s="338"/>
      <c r="S5" s="338"/>
      <c r="T5" s="338"/>
      <c r="U5" s="338"/>
      <c r="V5" s="338"/>
      <c r="W5" s="338"/>
      <c r="X5" s="338"/>
      <c r="Y5" s="338"/>
      <c r="Z5" s="338"/>
      <c r="AA5" s="338"/>
      <c r="AB5" s="338"/>
      <c r="AC5" s="338"/>
      <c r="AD5" s="338"/>
      <c r="AE5" s="338"/>
      <c r="AF5" s="338"/>
      <c r="AG5" s="338"/>
      <c r="AH5" s="338"/>
      <c r="AI5" s="338"/>
      <c r="AJ5" s="338"/>
      <c r="AK5" s="338"/>
      <c r="AL5" s="338"/>
      <c r="AM5" s="338"/>
      <c r="AN5" s="338"/>
      <c r="AO5" s="338"/>
      <c r="AP5" s="338"/>
      <c r="AQ5" s="338"/>
      <c r="AR5" s="338"/>
      <c r="AS5" s="338"/>
      <c r="AT5" s="338"/>
      <c r="AU5" s="338"/>
      <c r="AV5" s="338"/>
      <c r="AW5" s="338"/>
    </row>
    <row r="6" spans="1:54" s="5" customFormat="1" ht="18.5" x14ac:dyDescent="0.45">
      <c r="B6" s="29"/>
      <c r="C6" s="29"/>
      <c r="D6" s="29"/>
      <c r="E6" s="29"/>
      <c r="F6" s="29"/>
      <c r="G6" s="29"/>
      <c r="H6" s="182"/>
      <c r="I6" s="182"/>
      <c r="J6" s="182"/>
      <c r="K6" s="182"/>
      <c r="L6" s="29"/>
      <c r="M6" s="29"/>
      <c r="N6" s="29"/>
      <c r="O6" s="29"/>
      <c r="P6" s="29"/>
      <c r="Q6" s="15"/>
      <c r="R6" s="15"/>
      <c r="S6" s="15"/>
      <c r="T6" s="15"/>
      <c r="U6" s="28"/>
      <c r="V6" s="15"/>
      <c r="W6" s="28"/>
      <c r="AA6" s="28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</row>
    <row r="7" spans="1:54" s="5" customFormat="1" ht="18.5" x14ac:dyDescent="0.45">
      <c r="B7" s="29"/>
      <c r="C7" s="29"/>
      <c r="D7" s="29"/>
      <c r="E7" s="29"/>
      <c r="F7" s="29"/>
      <c r="G7" s="29"/>
      <c r="H7" s="182"/>
      <c r="I7" s="182"/>
      <c r="J7" s="182"/>
      <c r="K7" s="182"/>
      <c r="L7" s="29"/>
      <c r="M7" s="29"/>
      <c r="N7" s="29"/>
      <c r="O7" s="29"/>
      <c r="P7" s="29"/>
      <c r="Q7" s="15"/>
      <c r="R7" s="15"/>
      <c r="S7" s="15"/>
      <c r="T7" s="15"/>
      <c r="U7" s="28"/>
      <c r="V7" s="15"/>
      <c r="W7" s="28"/>
      <c r="AA7" s="28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</row>
    <row r="8" spans="1:54" s="5" customFormat="1" x14ac:dyDescent="0.35">
      <c r="B8" s="15"/>
      <c r="C8" s="15"/>
      <c r="D8" s="15"/>
      <c r="E8" s="15"/>
      <c r="F8" s="15"/>
      <c r="G8" s="15"/>
      <c r="H8" s="181"/>
      <c r="I8" s="181"/>
      <c r="J8" s="181"/>
      <c r="K8" s="181"/>
      <c r="L8" s="15"/>
      <c r="M8" s="15"/>
      <c r="N8" s="15"/>
      <c r="O8" s="15"/>
      <c r="P8" s="15"/>
      <c r="Q8" s="15"/>
      <c r="R8" s="15"/>
      <c r="S8" s="15"/>
      <c r="T8" s="15"/>
      <c r="U8" s="28"/>
      <c r="V8" s="15"/>
      <c r="W8" s="28"/>
      <c r="AA8" s="28"/>
      <c r="AE8" s="15"/>
      <c r="AF8" s="15"/>
      <c r="AG8" s="211">
        <f>EXP(-1.2*9.81*(1018/(9.81*10000)))</f>
        <v>0.88500675609296153</v>
      </c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</row>
    <row r="9" spans="1:54" s="5" customFormat="1" x14ac:dyDescent="0.35">
      <c r="B9" s="15"/>
      <c r="C9" s="15"/>
      <c r="D9" s="15"/>
      <c r="E9" s="15"/>
      <c r="F9" s="15"/>
      <c r="G9" s="15"/>
      <c r="H9" s="181"/>
      <c r="I9" s="181"/>
      <c r="J9" s="181"/>
      <c r="K9" s="181"/>
      <c r="L9" s="15"/>
      <c r="M9" s="15"/>
      <c r="N9" s="15"/>
      <c r="O9" s="15"/>
      <c r="P9" s="15"/>
      <c r="Q9" s="15"/>
      <c r="R9" s="15"/>
      <c r="S9" s="15"/>
      <c r="T9" s="15"/>
      <c r="U9" s="222"/>
      <c r="V9" s="15"/>
      <c r="W9" s="222"/>
      <c r="X9" s="15"/>
      <c r="Y9" s="15"/>
      <c r="Z9" s="15"/>
      <c r="AA9" s="222"/>
      <c r="AB9" s="15"/>
      <c r="AC9" s="15"/>
      <c r="AE9" s="15"/>
      <c r="AF9" s="15"/>
      <c r="AG9" s="34"/>
      <c r="AH9" s="34"/>
      <c r="AI9" s="34"/>
      <c r="AJ9" s="223"/>
      <c r="AK9" s="34"/>
      <c r="AL9" s="34"/>
      <c r="AM9" s="223"/>
      <c r="AN9" s="223"/>
      <c r="AO9" s="71"/>
      <c r="AP9" s="224"/>
      <c r="AQ9" s="224"/>
      <c r="AR9" s="225"/>
      <c r="AS9" s="225"/>
      <c r="AT9" s="15"/>
    </row>
    <row r="10" spans="1:54" s="86" customFormat="1" ht="58.5" thickBot="1" x14ac:dyDescent="0.4">
      <c r="A10" s="79"/>
      <c r="B10" s="80" t="s">
        <v>482</v>
      </c>
      <c r="C10" s="81" t="s">
        <v>483</v>
      </c>
      <c r="D10" s="212" t="s">
        <v>3</v>
      </c>
      <c r="E10" s="81" t="s">
        <v>501</v>
      </c>
      <c r="F10" s="213" t="s">
        <v>7</v>
      </c>
      <c r="G10" s="213" t="s">
        <v>8</v>
      </c>
      <c r="H10" s="214" t="s">
        <v>9</v>
      </c>
      <c r="I10" s="215" t="s">
        <v>10</v>
      </c>
      <c r="J10" s="215" t="s">
        <v>11</v>
      </c>
      <c r="K10" s="215" t="s">
        <v>12</v>
      </c>
      <c r="L10" s="81" t="s">
        <v>502</v>
      </c>
      <c r="M10" s="81" t="s">
        <v>4</v>
      </c>
      <c r="N10" s="81" t="s">
        <v>503</v>
      </c>
      <c r="O10" s="82" t="s">
        <v>504</v>
      </c>
      <c r="P10" s="81" t="s">
        <v>490</v>
      </c>
      <c r="Q10" s="81" t="s">
        <v>505</v>
      </c>
      <c r="R10" s="83" t="s">
        <v>506</v>
      </c>
      <c r="S10" s="84" t="s">
        <v>507</v>
      </c>
      <c r="T10" s="83" t="s">
        <v>508</v>
      </c>
      <c r="U10" s="81" t="s">
        <v>509</v>
      </c>
      <c r="V10" s="81" t="s">
        <v>510</v>
      </c>
      <c r="W10" s="81" t="s">
        <v>511</v>
      </c>
      <c r="X10" s="81" t="s">
        <v>512</v>
      </c>
      <c r="Y10" s="81" t="s">
        <v>513</v>
      </c>
      <c r="Z10" s="82" t="s">
        <v>514</v>
      </c>
      <c r="AA10" s="81" t="s">
        <v>515</v>
      </c>
      <c r="AB10" s="81" t="s">
        <v>516</v>
      </c>
      <c r="AC10" s="81" t="s">
        <v>517</v>
      </c>
      <c r="AD10" s="85" t="s">
        <v>518</v>
      </c>
      <c r="AE10" s="81" t="s">
        <v>519</v>
      </c>
      <c r="AF10" s="81" t="s">
        <v>520</v>
      </c>
      <c r="AG10" s="216" t="s">
        <v>521</v>
      </c>
      <c r="AH10" s="81" t="s">
        <v>522</v>
      </c>
      <c r="AI10" s="217" t="s">
        <v>523</v>
      </c>
      <c r="AJ10" s="82" t="s">
        <v>524</v>
      </c>
      <c r="AK10" s="81" t="s">
        <v>525</v>
      </c>
      <c r="AL10" s="81" t="s">
        <v>526</v>
      </c>
      <c r="AM10" s="235" t="s">
        <v>527</v>
      </c>
      <c r="AN10" s="235" t="s">
        <v>528</v>
      </c>
      <c r="AO10" s="236" t="s">
        <v>529</v>
      </c>
      <c r="AP10" s="237" t="s">
        <v>530</v>
      </c>
      <c r="AQ10" s="237" t="s">
        <v>531</v>
      </c>
      <c r="AR10" s="238" t="s">
        <v>532</v>
      </c>
      <c r="AS10" s="238" t="s">
        <v>533</v>
      </c>
      <c r="AT10" s="238" t="s">
        <v>534</v>
      </c>
      <c r="AU10" s="239" t="s">
        <v>535</v>
      </c>
      <c r="AV10" s="239" t="s">
        <v>536</v>
      </c>
      <c r="AW10" s="240" t="s">
        <v>518</v>
      </c>
      <c r="AX10" s="87"/>
      <c r="AY10" s="87"/>
      <c r="AZ10" s="87"/>
      <c r="BA10" s="88"/>
      <c r="BB10" s="88"/>
    </row>
    <row r="11" spans="1:54" s="304" customFormat="1" x14ac:dyDescent="0.35">
      <c r="A11" s="89"/>
      <c r="B11" s="90">
        <v>1</v>
      </c>
      <c r="C11" s="139">
        <v>46041</v>
      </c>
      <c r="D11" s="118"/>
      <c r="E11" s="320" t="s">
        <v>537</v>
      </c>
      <c r="F11" s="321" t="s">
        <v>538</v>
      </c>
      <c r="G11" s="208"/>
      <c r="H11" s="321" t="s">
        <v>537</v>
      </c>
      <c r="I11" s="189"/>
      <c r="J11" s="190"/>
      <c r="K11" s="320"/>
      <c r="L11" s="320" t="s">
        <v>537</v>
      </c>
      <c r="M11" s="119">
        <v>27</v>
      </c>
      <c r="N11" s="93">
        <v>58</v>
      </c>
      <c r="O11" s="6">
        <v>1</v>
      </c>
      <c r="P11" s="6">
        <v>1</v>
      </c>
      <c r="Q11" s="6">
        <v>181</v>
      </c>
      <c r="R11" s="93"/>
      <c r="S11" s="93"/>
      <c r="T11" s="94"/>
      <c r="U11" s="153">
        <v>0.36736111111111114</v>
      </c>
      <c r="V11" s="154">
        <v>40</v>
      </c>
      <c r="W11" s="153">
        <v>0.7</v>
      </c>
      <c r="X11" s="95">
        <v>42.5</v>
      </c>
      <c r="Y11" s="95"/>
      <c r="Z11" s="154">
        <v>40</v>
      </c>
      <c r="AA11" s="153">
        <v>0.36666666666666664</v>
      </c>
      <c r="AB11" s="154">
        <v>43.5</v>
      </c>
      <c r="AC11" s="154"/>
      <c r="AD11" s="91"/>
      <c r="AE11" s="94">
        <f>Table3.110[[#This Row],[Gas 8h, ml]]-Table3.110[[#This Row],[Gas 0h, ml]]</f>
        <v>2.5</v>
      </c>
      <c r="AF11" s="94">
        <f>Table3.110[[#This Row],[Gas 24h, ml]]-Table3.110[[#This Row],[V8 Push back, ml]]</f>
        <v>3.5</v>
      </c>
      <c r="AG11" s="94"/>
      <c r="AH11" s="94"/>
      <c r="AI11" s="94"/>
      <c r="AJ11" s="94"/>
      <c r="AK11" s="94"/>
      <c r="AL11" s="94"/>
      <c r="AM11" s="94"/>
      <c r="AN11" s="94"/>
      <c r="AO11" s="94"/>
      <c r="AP11" s="94"/>
      <c r="AQ11" s="94"/>
      <c r="AR11" s="94"/>
      <c r="AS11" s="94"/>
      <c r="AT11" s="288"/>
      <c r="AU11" s="288"/>
      <c r="AV11" s="288"/>
      <c r="AW11" s="303"/>
    </row>
    <row r="12" spans="1:54" s="304" customFormat="1" x14ac:dyDescent="0.35">
      <c r="A12" s="89"/>
      <c r="B12" s="90">
        <f t="shared" ref="B12:B75" si="0">B11+1</f>
        <v>2</v>
      </c>
      <c r="C12" s="140">
        <v>46041</v>
      </c>
      <c r="D12" s="92"/>
      <c r="E12" s="320" t="s">
        <v>537</v>
      </c>
      <c r="F12" s="321" t="s">
        <v>538</v>
      </c>
      <c r="G12" s="208"/>
      <c r="H12" s="321" t="s">
        <v>537</v>
      </c>
      <c r="I12" s="187"/>
      <c r="J12" s="188"/>
      <c r="K12" s="320"/>
      <c r="L12" s="320" t="s">
        <v>537</v>
      </c>
      <c r="M12" s="119">
        <v>27</v>
      </c>
      <c r="N12" s="93">
        <v>58</v>
      </c>
      <c r="O12" s="6">
        <v>1</v>
      </c>
      <c r="P12" s="129">
        <v>2</v>
      </c>
      <c r="Q12" s="6">
        <v>182</v>
      </c>
      <c r="R12" s="93"/>
      <c r="S12" s="94"/>
      <c r="T12" s="94"/>
      <c r="U12" s="117">
        <v>0.36805555555555558</v>
      </c>
      <c r="V12" s="155">
        <v>39.5</v>
      </c>
      <c r="W12" s="117">
        <v>0.7</v>
      </c>
      <c r="X12" s="97">
        <v>42</v>
      </c>
      <c r="Y12" s="97"/>
      <c r="Z12" s="155">
        <v>39</v>
      </c>
      <c r="AA12" s="117">
        <v>0.36736111111111114</v>
      </c>
      <c r="AB12" s="155">
        <v>43.5</v>
      </c>
      <c r="AC12" s="155"/>
      <c r="AD12" s="96"/>
      <c r="AE12" s="94">
        <f>Table3.110[[#This Row],[Gas 8h, ml]]-Table3.110[[#This Row],[Gas 0h, ml]]</f>
        <v>2.5</v>
      </c>
      <c r="AF12" s="94">
        <f>Table3.110[[#This Row],[Gas 24h, ml]]-Table3.110[[#This Row],[V8 Push back, ml]]</f>
        <v>4.5</v>
      </c>
      <c r="AG12" s="94"/>
      <c r="AH12" s="94"/>
      <c r="AI12" s="94"/>
      <c r="AJ12" s="94"/>
      <c r="AK12" s="94"/>
      <c r="AL12" s="94"/>
      <c r="AM12" s="94"/>
      <c r="AN12" s="94"/>
      <c r="AO12" s="94"/>
      <c r="AP12" s="94"/>
      <c r="AQ12" s="94"/>
      <c r="AR12" s="94" t="s">
        <v>540</v>
      </c>
      <c r="AS12" s="94"/>
      <c r="AT12" s="288"/>
      <c r="AU12" s="288"/>
      <c r="AV12" s="288"/>
      <c r="AW12" s="303"/>
    </row>
    <row r="13" spans="1:54" s="304" customFormat="1" x14ac:dyDescent="0.35">
      <c r="A13" s="89"/>
      <c r="B13" s="90">
        <f t="shared" si="0"/>
        <v>3</v>
      </c>
      <c r="C13" s="139">
        <v>46041</v>
      </c>
      <c r="D13" s="6" t="s">
        <v>16</v>
      </c>
      <c r="E13" s="6" t="s">
        <v>18</v>
      </c>
      <c r="F13" s="133" t="s">
        <v>19</v>
      </c>
      <c r="G13" s="133" t="s">
        <v>20</v>
      </c>
      <c r="H13" s="133" t="s">
        <v>21</v>
      </c>
      <c r="I13" s="6" t="s">
        <v>22</v>
      </c>
      <c r="J13" s="129" t="s">
        <v>23</v>
      </c>
      <c r="K13" s="129" t="s">
        <v>24</v>
      </c>
      <c r="L13" s="6" t="s">
        <v>17</v>
      </c>
      <c r="M13" s="119">
        <v>27</v>
      </c>
      <c r="N13" s="93">
        <v>58</v>
      </c>
      <c r="O13" s="6">
        <v>1</v>
      </c>
      <c r="P13" s="129">
        <v>1</v>
      </c>
      <c r="Q13" s="6">
        <v>183</v>
      </c>
      <c r="R13" s="98">
        <v>0.50070000000000003</v>
      </c>
      <c r="S13" s="94">
        <f>((Table3.110[[#This Row],[Sample weight, g]]*'2.1. DM'!Q11)/100)*1000</f>
        <v>475.32593577261707</v>
      </c>
      <c r="T13" s="94">
        <f>'3.2 Digest'!W13</f>
        <v>146.52593577261712</v>
      </c>
      <c r="U13" s="153">
        <v>0.36805555555555558</v>
      </c>
      <c r="V13" s="154">
        <v>40.5</v>
      </c>
      <c r="W13" s="153">
        <v>0.7</v>
      </c>
      <c r="X13" s="95">
        <v>71</v>
      </c>
      <c r="Y13" s="95">
        <v>12.3</v>
      </c>
      <c r="Z13" s="154">
        <v>40</v>
      </c>
      <c r="AA13" s="153">
        <v>0.36805555555555558</v>
      </c>
      <c r="AB13" s="154">
        <v>64.5</v>
      </c>
      <c r="AC13" s="154">
        <v>16.899999999999999</v>
      </c>
      <c r="AD13" s="91"/>
      <c r="AE13" s="94">
        <f>Table3.110[[#This Row],[Gas 8h, ml]]-Table3.110[[#This Row],[Gas 0h, ml]]</f>
        <v>30.5</v>
      </c>
      <c r="AF13" s="94">
        <f>Table3.110[[#This Row],[Gas 24h, ml]]-Table3.110[[#This Row],[V8 Push back, ml]]</f>
        <v>24.5</v>
      </c>
      <c r="AG13" s="94">
        <f>Table3.110[[#This Row],[GP 8h, ml]]-(AVERAGE(AE$11,AE$12,AE$62,AE$61,AE$114,AE$115))*$AG$8</f>
        <v>27.844979731721114</v>
      </c>
      <c r="AH13" s="94">
        <f>Table3.110[[#This Row],[GP 8-24h, ml]]-(AVERAGE(AF$11,AF$12,AF$62,AF$61,AF$114,AF$115))*$AG$8</f>
        <v>20.81247184961266</v>
      </c>
      <c r="AI13" s="94">
        <f>Table3.110[[#This Row],[Net gas 8-24h, ml]]+Table3.110[[#This Row],[Net gas 8h, ml]]</f>
        <v>48.657451581333774</v>
      </c>
      <c r="AJ13" s="94">
        <f>Table3.110[[#This Row],[Net gas 8h, ml]]*Table3.110[[#This Row],[CH4 8h %]]%</f>
        <v>3.4249325070016976</v>
      </c>
      <c r="AK13" s="94">
        <f>Table3.110[[#This Row],[Net gas 8-24h, ml]]*Table3.110[[#This Row],[CH4 24h, %]]%</f>
        <v>3.5173077425845389</v>
      </c>
      <c r="AL13" s="94">
        <f>Table3.110[[#This Row],[CH4 8-24h, ml]]+Table3.110[[#This Row],[CH4 8h, ml]]</f>
        <v>6.9422402495862361</v>
      </c>
      <c r="AM13" s="94">
        <f>(Table3.110[[#This Row],[Net gas 24h, ml]]/Table3.110[[#This Row],[DM Incubated, mg]])*1000</f>
        <v>102.36649826869571</v>
      </c>
      <c r="AN13" s="94">
        <f>'3.2 Digest'!X13</f>
        <v>30.826412940090677</v>
      </c>
      <c r="AO13" s="94">
        <f>Table3.110[[#This Row],[Digested feed, mg]]/Table3.110[[#This Row],[Net gas 24h, ml]]</f>
        <v>3.0113771069101398</v>
      </c>
      <c r="AP13" s="94">
        <f>Table3.110[[#This Row],[CH4 8h, ml]]/Table3.110[[#This Row],[Net gas 8h, ml]]%</f>
        <v>12.300000000000002</v>
      </c>
      <c r="AQ13" s="94">
        <f>Table3.110[[#This Row],[CH4 24h, ml]]/Table3.110[[#This Row],[Net gas 24h, ml]]%</f>
        <v>14.267578806468885</v>
      </c>
      <c r="AR13" s="94">
        <f>Table3.110[[#This Row],[CH4 24h, ml]]/Table3.110[[#This Row],[DM Incubated, mg]]*1000</f>
        <v>14.605220811908767</v>
      </c>
      <c r="AS13" s="94">
        <f>Table3.110[[#This Row],[CH4 24h, ml]]/Table3.110[[#This Row],[Digested feed, mg]]*1000</f>
        <v>47.3789176843026</v>
      </c>
      <c r="AT13" s="94">
        <f>Table3.110[[#This Row],[CH4 24h, ml]]/'3.2 Digest'!AA13</f>
        <v>-0.47819666340285472</v>
      </c>
      <c r="AU13" s="94">
        <f>((Table3.110[[#This Row],[CH4 24h, ml]]/28.9)*16.04)/Table3.110[[#This Row],[DM Incubated, mg]]*1000</f>
        <v>8.1061502360905404</v>
      </c>
      <c r="AV13" s="94">
        <f>((Table3.110[[#This Row],[CH4 24h, ml]]/28.9)*16.04)/Table3.110[[#This Row],[Digested feed, mg]]*1000</f>
        <v>26.296119019246149</v>
      </c>
      <c r="AW13" s="303"/>
      <c r="AX13" s="306"/>
    </row>
    <row r="14" spans="1:54" s="304" customFormat="1" x14ac:dyDescent="0.35">
      <c r="A14" s="89"/>
      <c r="B14" s="90">
        <f t="shared" si="0"/>
        <v>4</v>
      </c>
      <c r="C14" s="140">
        <v>46041</v>
      </c>
      <c r="D14" s="6" t="s">
        <v>16</v>
      </c>
      <c r="E14" s="6" t="s">
        <v>18</v>
      </c>
      <c r="F14" s="133" t="s">
        <v>19</v>
      </c>
      <c r="G14" s="133" t="s">
        <v>20</v>
      </c>
      <c r="H14" s="133" t="s">
        <v>21</v>
      </c>
      <c r="I14" s="6" t="s">
        <v>22</v>
      </c>
      <c r="J14" s="129" t="s">
        <v>23</v>
      </c>
      <c r="K14" s="129" t="s">
        <v>24</v>
      </c>
      <c r="L14" s="6" t="s">
        <v>17</v>
      </c>
      <c r="M14" s="119">
        <v>27</v>
      </c>
      <c r="N14" s="93">
        <v>58</v>
      </c>
      <c r="O14" s="6">
        <v>1</v>
      </c>
      <c r="P14" s="6">
        <v>2</v>
      </c>
      <c r="Q14" s="6">
        <v>184</v>
      </c>
      <c r="R14" s="98">
        <v>0.50029999999999997</v>
      </c>
      <c r="S14" s="94">
        <f>((Table3.110[[#This Row],[Sample weight, g]]*'2.1. DM'!Q11)/100)*1000</f>
        <v>474.94620664477787</v>
      </c>
      <c r="T14" s="94">
        <f>'3.2 Digest'!W14</f>
        <v>0</v>
      </c>
      <c r="U14" s="117">
        <v>0.36875000000000002</v>
      </c>
      <c r="V14" s="155">
        <v>41</v>
      </c>
      <c r="W14" s="117">
        <v>0.7006944444444444</v>
      </c>
      <c r="X14" s="97">
        <v>71</v>
      </c>
      <c r="Y14" s="97">
        <v>13.8</v>
      </c>
      <c r="Z14" s="155">
        <v>41</v>
      </c>
      <c r="AA14" s="117">
        <v>0.36875000000000002</v>
      </c>
      <c r="AB14" s="155">
        <v>64.5</v>
      </c>
      <c r="AC14" s="155">
        <v>17.7</v>
      </c>
      <c r="AD14" s="96"/>
      <c r="AE14" s="94">
        <f>Table3.110[[#This Row],[Gas 8h, ml]]-Table3.110[[#This Row],[Gas 0h, ml]]</f>
        <v>30</v>
      </c>
      <c r="AF14" s="94">
        <f>Table3.110[[#This Row],[Gas 24h, ml]]-Table3.110[[#This Row],[V8 Push back, ml]]</f>
        <v>23.5</v>
      </c>
      <c r="AG14" s="94"/>
      <c r="AH14" s="94"/>
      <c r="AI14" s="94"/>
      <c r="AJ14" s="94"/>
      <c r="AK14" s="94"/>
      <c r="AL14" s="94"/>
      <c r="AM14" s="94"/>
      <c r="AN14" s="94"/>
      <c r="AO14" s="94"/>
      <c r="AP14" s="94"/>
      <c r="AQ14" s="94"/>
      <c r="AR14" s="94"/>
      <c r="AS14" s="94"/>
      <c r="AT14" s="94"/>
      <c r="AU14" s="94"/>
      <c r="AV14" s="94"/>
      <c r="AW14" s="303" t="s">
        <v>608</v>
      </c>
      <c r="AX14" s="306"/>
    </row>
    <row r="15" spans="1:54" s="304" customFormat="1" x14ac:dyDescent="0.35">
      <c r="A15" s="89"/>
      <c r="B15" s="90">
        <f t="shared" si="0"/>
        <v>5</v>
      </c>
      <c r="C15" s="139">
        <v>46041</v>
      </c>
      <c r="D15" s="6" t="s">
        <v>16</v>
      </c>
      <c r="E15" s="6" t="s">
        <v>18</v>
      </c>
      <c r="F15" s="133" t="s">
        <v>19</v>
      </c>
      <c r="G15" s="133" t="s">
        <v>20</v>
      </c>
      <c r="H15" s="133" t="s">
        <v>21</v>
      </c>
      <c r="I15" s="6" t="s">
        <v>22</v>
      </c>
      <c r="J15" s="129" t="s">
        <v>23</v>
      </c>
      <c r="K15" s="129" t="s">
        <v>24</v>
      </c>
      <c r="L15" s="6" t="s">
        <v>17</v>
      </c>
      <c r="M15" s="119">
        <v>27</v>
      </c>
      <c r="N15" s="93">
        <v>58</v>
      </c>
      <c r="O15" s="6">
        <v>1</v>
      </c>
      <c r="P15" s="129">
        <v>3</v>
      </c>
      <c r="Q15" s="6">
        <v>185</v>
      </c>
      <c r="R15" s="98">
        <v>0.50049999999999994</v>
      </c>
      <c r="S15" s="94">
        <f>((Table3.110[[#This Row],[Sample weight, g]]*'2.1. DM'!Q11)/100)*1000</f>
        <v>475.13607120869744</v>
      </c>
      <c r="T15" s="94">
        <f>'3.2 Digest'!W15</f>
        <v>116.03607120869748</v>
      </c>
      <c r="U15" s="153">
        <v>0.36875000000000002</v>
      </c>
      <c r="V15" s="154">
        <v>41.5</v>
      </c>
      <c r="W15" s="153">
        <v>0.7006944444444444</v>
      </c>
      <c r="X15" s="95">
        <v>73</v>
      </c>
      <c r="Y15" s="95">
        <v>13.7</v>
      </c>
      <c r="Z15" s="154">
        <v>40.5</v>
      </c>
      <c r="AA15" s="153">
        <v>0.36944444444444446</v>
      </c>
      <c r="AB15" s="154">
        <v>64.5</v>
      </c>
      <c r="AC15" s="154">
        <v>17.8</v>
      </c>
      <c r="AD15" s="91"/>
      <c r="AE15" s="94">
        <f>Table3.110[[#This Row],[Gas 8h, ml]]-Table3.110[[#This Row],[Gas 0h, ml]]</f>
        <v>31.5</v>
      </c>
      <c r="AF15" s="94">
        <f>Table3.110[[#This Row],[Gas 24h, ml]]-Table3.110[[#This Row],[V8 Push back, ml]]</f>
        <v>24</v>
      </c>
      <c r="AG15" s="94">
        <f>Table3.110[[#This Row],[GP 8h, ml]]-(AVERAGE(AE$11,AE$12,AE$62,AE$61,AE$114,AE$115))*$AG$8</f>
        <v>28.844979731721114</v>
      </c>
      <c r="AH15" s="94">
        <f>Table3.110[[#This Row],[GP 8-24h, ml]]-(AVERAGE(AF$11,AF$12,AF$62,AF$61,AF$114,AF$115))*$AG$8</f>
        <v>20.31247184961266</v>
      </c>
      <c r="AI15" s="94">
        <f>Table3.110[[#This Row],[Net gas 8-24h, ml]]+Table3.110[[#This Row],[Net gas 8h, ml]]</f>
        <v>49.157451581333774</v>
      </c>
      <c r="AJ15" s="94">
        <f>Table3.110[[#This Row],[Net gas 8h, ml]]*Table3.110[[#This Row],[CH4 8h %]]%</f>
        <v>3.9517622232457921</v>
      </c>
      <c r="AK15" s="94">
        <f>Table3.110[[#This Row],[Net gas 8-24h, ml]]*Table3.110[[#This Row],[CH4 24h, %]]%</f>
        <v>3.6156199892310537</v>
      </c>
      <c r="AL15" s="94">
        <f>Table3.110[[#This Row],[CH4 8-24h, ml]]+Table3.110[[#This Row],[CH4 8h, ml]]</f>
        <v>7.5673822124768453</v>
      </c>
      <c r="AM15" s="94">
        <f>(Table3.110[[#This Row],[Net gas 24h, ml]]/Table3.110[[#This Row],[DM Incubated, mg]])*1000</f>
        <v>103.45973408476915</v>
      </c>
      <c r="AN15" s="94">
        <f>'3.2 Digest'!X15</f>
        <v>24.421650604954831</v>
      </c>
      <c r="AO15" s="94">
        <f>Table3.110[[#This Row],[Digested feed, mg]]/Table3.110[[#This Row],[Net gas 24h, ml]]</f>
        <v>2.3604981030538017</v>
      </c>
      <c r="AP15" s="94">
        <f>Table3.110[[#This Row],[CH4 8h, ml]]/Table3.110[[#This Row],[Net gas 8h, ml]]%</f>
        <v>13.699999999999998</v>
      </c>
      <c r="AQ15" s="94">
        <f>Table3.110[[#This Row],[CH4 24h, ml]]/Table3.110[[#This Row],[Net gas 24h, ml]]%</f>
        <v>15.394171115555462</v>
      </c>
      <c r="AR15" s="94">
        <f>Table3.110[[#This Row],[CH4 24h, ml]]/Table3.110[[#This Row],[DM Incubated, mg]]*1000</f>
        <v>15.926768500708022</v>
      </c>
      <c r="AS15" s="94">
        <f>Table3.110[[#This Row],[CH4 24h, ml]]/Table3.110[[#This Row],[Digested feed, mg]]*1000</f>
        <v>65.215774143770147</v>
      </c>
      <c r="AT15" s="94">
        <f>Table3.110[[#This Row],[CH4 24h, ml]]/'3.2 Digest'!AA15</f>
        <v>-0.3012410390466268</v>
      </c>
      <c r="AU15" s="94">
        <f>((Table3.110[[#This Row],[CH4 24h, ml]]/28.9)*16.04)/Table3.110[[#This Row],[DM Incubated, mg]]*1000</f>
        <v>8.8396320675209914</v>
      </c>
      <c r="AV15" s="94">
        <f>((Table3.110[[#This Row],[CH4 24h, ml]]/28.9)*16.04)/Table3.110[[#This Row],[Digested feed, mg]]*1000</f>
        <v>36.195882950383158</v>
      </c>
      <c r="AW15" s="303"/>
      <c r="AX15" s="306"/>
    </row>
    <row r="16" spans="1:54" s="304" customFormat="1" x14ac:dyDescent="0.35">
      <c r="A16" s="89"/>
      <c r="B16" s="90">
        <f t="shared" si="0"/>
        <v>6</v>
      </c>
      <c r="C16" s="140">
        <v>46041</v>
      </c>
      <c r="D16" s="6" t="s">
        <v>16</v>
      </c>
      <c r="E16" s="6" t="s">
        <v>28</v>
      </c>
      <c r="F16" s="133" t="s">
        <v>19</v>
      </c>
      <c r="G16" s="133" t="s">
        <v>29</v>
      </c>
      <c r="H16" s="133" t="s">
        <v>30</v>
      </c>
      <c r="I16" s="6" t="s">
        <v>22</v>
      </c>
      <c r="J16" s="129" t="s">
        <v>23</v>
      </c>
      <c r="K16" s="129" t="s">
        <v>24</v>
      </c>
      <c r="L16" s="6" t="s">
        <v>27</v>
      </c>
      <c r="M16" s="119">
        <v>27</v>
      </c>
      <c r="N16" s="93">
        <v>58</v>
      </c>
      <c r="O16" s="6">
        <v>1</v>
      </c>
      <c r="P16" s="129">
        <v>1</v>
      </c>
      <c r="Q16" s="6">
        <v>186</v>
      </c>
      <c r="R16" s="98">
        <v>0.5</v>
      </c>
      <c r="S16" s="94">
        <f>((Table3.110[[#This Row],[Sample weight, g]]*'2.1. DM'!Q13)/100)*1000</f>
        <v>475.22870438411098</v>
      </c>
      <c r="T16" s="94">
        <f>'3.2 Digest'!W16</f>
        <v>92.228704384110983</v>
      </c>
      <c r="U16" s="117">
        <v>0.36875000000000002</v>
      </c>
      <c r="V16" s="155">
        <v>41</v>
      </c>
      <c r="W16" s="117">
        <v>0.70208333333333328</v>
      </c>
      <c r="X16" s="97">
        <v>69.5</v>
      </c>
      <c r="Y16" s="97">
        <v>12.4</v>
      </c>
      <c r="Z16" s="155">
        <v>40.5</v>
      </c>
      <c r="AA16" s="117">
        <v>0.37013888888888891</v>
      </c>
      <c r="AB16" s="155">
        <v>57.5</v>
      </c>
      <c r="AC16" s="155">
        <v>16.600000000000001</v>
      </c>
      <c r="AD16" s="96"/>
      <c r="AE16" s="94">
        <f>Table3.110[[#This Row],[Gas 8h, ml]]-Table3.110[[#This Row],[Gas 0h, ml]]</f>
        <v>28.5</v>
      </c>
      <c r="AF16" s="94">
        <f>Table3.110[[#This Row],[Gas 24h, ml]]-Table3.110[[#This Row],[V8 Push back, ml]]</f>
        <v>17</v>
      </c>
      <c r="AG16" s="94">
        <f>Table3.110[[#This Row],[GP 8h, ml]]-(AVERAGE(AE$11,AE$12,AE$62,AE$61,AE$114,AE$115))*$AG$8</f>
        <v>25.844979731721114</v>
      </c>
      <c r="AH16" s="94">
        <f>Table3.110[[#This Row],[GP 8-24h, ml]]-(AVERAGE(AF$11,AF$12,AF$62,AF$61,AF$114,AF$115))*$AG$8</f>
        <v>13.31247184961266</v>
      </c>
      <c r="AI16" s="94">
        <f>Table3.110[[#This Row],[Net gas 8-24h, ml]]+Table3.110[[#This Row],[Net gas 8h, ml]]</f>
        <v>39.157451581333774</v>
      </c>
      <c r="AJ16" s="94">
        <f>Table3.110[[#This Row],[Net gas 8h, ml]]*Table3.110[[#This Row],[CH4 8h %]]%</f>
        <v>3.204777486733418</v>
      </c>
      <c r="AK16" s="94">
        <f>Table3.110[[#This Row],[Net gas 8-24h, ml]]*Table3.110[[#This Row],[CH4 24h, %]]%</f>
        <v>2.2098703270357016</v>
      </c>
      <c r="AL16" s="94">
        <f>Table3.110[[#This Row],[CH4 8-24h, ml]]+Table3.110[[#This Row],[CH4 8h, ml]]</f>
        <v>5.4146478137691201</v>
      </c>
      <c r="AM16" s="94">
        <f>(Table3.110[[#This Row],[Net gas 24h, ml]]/Table3.110[[#This Row],[DM Incubated, mg]])*1000</f>
        <v>82.39706739112323</v>
      </c>
      <c r="AN16" s="94">
        <f>'3.2 Digest'!X16</f>
        <v>19.407225096732731</v>
      </c>
      <c r="AO16" s="94">
        <f>Table3.110[[#This Row],[Digested feed, mg]]/Table3.110[[#This Row],[Net gas 24h, ml]]</f>
        <v>2.3553295901430955</v>
      </c>
      <c r="AP16" s="94">
        <f>Table3.110[[#This Row],[CH4 8h, ml]]/Table3.110[[#This Row],[Net gas 8h, ml]]%</f>
        <v>12.4</v>
      </c>
      <c r="AQ16" s="94">
        <f>Table3.110[[#This Row],[CH4 24h, ml]]/Table3.110[[#This Row],[Net gas 24h, ml]]%</f>
        <v>13.827886124106872</v>
      </c>
      <c r="AR16" s="94">
        <f>Table3.110[[#This Row],[CH4 24h, ml]]/Table3.110[[#This Row],[DM Incubated, mg]]*1000</f>
        <v>11.393772648448119</v>
      </c>
      <c r="AS16" s="94">
        <f>Table3.110[[#This Row],[CH4 24h, ml]]/Table3.110[[#This Row],[Digested feed, mg]]*1000</f>
        <v>58.708922020831807</v>
      </c>
      <c r="AT16" s="94">
        <f>Table3.110[[#This Row],[CH4 24h, ml]]/'3.2 Digest'!AA16</f>
        <v>-0.12987802927253467</v>
      </c>
      <c r="AU16" s="94">
        <f>((Table3.110[[#This Row],[CH4 24h, ml]]/28.9)*16.04)/Table3.110[[#This Row],[DM Incubated, mg]]*1000</f>
        <v>6.323740943982969</v>
      </c>
      <c r="AV16" s="94">
        <f>((Table3.110[[#This Row],[CH4 24h, ml]]/28.9)*16.04)/Table3.110[[#This Row],[Digested feed, mg]]*1000</f>
        <v>32.584467446856131</v>
      </c>
      <c r="AW16" s="303"/>
      <c r="AX16" s="306"/>
    </row>
    <row r="17" spans="1:50" s="304" customFormat="1" x14ac:dyDescent="0.35">
      <c r="A17" s="89"/>
      <c r="B17" s="90">
        <f t="shared" si="0"/>
        <v>7</v>
      </c>
      <c r="C17" s="139">
        <v>46041</v>
      </c>
      <c r="D17" s="6" t="s">
        <v>16</v>
      </c>
      <c r="E17" s="6" t="s">
        <v>28</v>
      </c>
      <c r="F17" s="133" t="s">
        <v>19</v>
      </c>
      <c r="G17" s="133" t="s">
        <v>29</v>
      </c>
      <c r="H17" s="133" t="s">
        <v>30</v>
      </c>
      <c r="I17" s="6" t="s">
        <v>22</v>
      </c>
      <c r="J17" s="129" t="s">
        <v>23</v>
      </c>
      <c r="K17" s="129" t="s">
        <v>24</v>
      </c>
      <c r="L17" s="6" t="s">
        <v>27</v>
      </c>
      <c r="M17" s="119">
        <v>27</v>
      </c>
      <c r="N17" s="93">
        <v>58</v>
      </c>
      <c r="O17" s="6">
        <v>1</v>
      </c>
      <c r="P17" s="6">
        <v>2</v>
      </c>
      <c r="Q17" s="6">
        <v>187</v>
      </c>
      <c r="R17" s="98">
        <v>0.50049999999999994</v>
      </c>
      <c r="S17" s="94">
        <f>((Table3.110[[#This Row],[Sample weight, g]]*'2.1. DM'!Q13)/100)*1000</f>
        <v>475.70393308849503</v>
      </c>
      <c r="T17" s="94">
        <f>'3.2 Digest'!W17</f>
        <v>115.20393308849498</v>
      </c>
      <c r="U17" s="153">
        <v>0.36944444444444446</v>
      </c>
      <c r="V17" s="154">
        <v>41</v>
      </c>
      <c r="W17" s="153">
        <v>0.70208333333333328</v>
      </c>
      <c r="X17" s="95">
        <v>66.5</v>
      </c>
      <c r="Y17" s="95">
        <v>13.5</v>
      </c>
      <c r="Z17" s="154">
        <v>40</v>
      </c>
      <c r="AA17" s="153">
        <v>0.37083333333333335</v>
      </c>
      <c r="AB17" s="154">
        <v>57</v>
      </c>
      <c r="AC17" s="154">
        <v>16.600000000000001</v>
      </c>
      <c r="AD17" s="91"/>
      <c r="AE17" s="94">
        <f>Table3.110[[#This Row],[Gas 8h, ml]]-Table3.110[[#This Row],[Gas 0h, ml]]</f>
        <v>25.5</v>
      </c>
      <c r="AF17" s="94">
        <f>Table3.110[[#This Row],[Gas 24h, ml]]-Table3.110[[#This Row],[V8 Push back, ml]]</f>
        <v>17</v>
      </c>
      <c r="AG17" s="94">
        <f>Table3.110[[#This Row],[GP 8h, ml]]-(AVERAGE(AE$11,AE$12,AE$62,AE$61,AE$114,AE$115))*$AG$8</f>
        <v>22.844979731721114</v>
      </c>
      <c r="AH17" s="94">
        <f>Table3.110[[#This Row],[GP 8-24h, ml]]-(AVERAGE(AF$11,AF$12,AF$62,AF$61,AF$114,AF$115))*$AG$8</f>
        <v>13.31247184961266</v>
      </c>
      <c r="AI17" s="94">
        <f>Table3.110[[#This Row],[Net gas 8-24h, ml]]+Table3.110[[#This Row],[Net gas 8h, ml]]</f>
        <v>36.157451581333774</v>
      </c>
      <c r="AJ17" s="94">
        <f>Table3.110[[#This Row],[Net gas 8h, ml]]*Table3.110[[#This Row],[CH4 8h %]]%</f>
        <v>3.0840722637823506</v>
      </c>
      <c r="AK17" s="94">
        <f>Table3.110[[#This Row],[Net gas 8-24h, ml]]*Table3.110[[#This Row],[CH4 24h, %]]%</f>
        <v>2.2098703270357016</v>
      </c>
      <c r="AL17" s="94">
        <f>Table3.110[[#This Row],[CH4 8-24h, ml]]+Table3.110[[#This Row],[CH4 8h, ml]]</f>
        <v>5.2939425908180517</v>
      </c>
      <c r="AM17" s="94">
        <f>(Table3.110[[#This Row],[Net gas 24h, ml]]/Table3.110[[#This Row],[DM Incubated, mg]])*1000</f>
        <v>76.008309089610606</v>
      </c>
      <c r="AN17" s="94">
        <f>'3.2 Digest'!X17</f>
        <v>24.217570021028948</v>
      </c>
      <c r="AO17" s="94">
        <f>Table3.110[[#This Row],[Digested feed, mg]]/Table3.110[[#This Row],[Net gas 24h, ml]]</f>
        <v>3.1861740263788065</v>
      </c>
      <c r="AP17" s="94">
        <f>Table3.110[[#This Row],[CH4 8h, ml]]/Table3.110[[#This Row],[Net gas 8h, ml]]%</f>
        <v>13.5</v>
      </c>
      <c r="AQ17" s="94">
        <f>Table3.110[[#This Row],[CH4 24h, ml]]/Table3.110[[#This Row],[Net gas 24h, ml]]%</f>
        <v>14.641359828442781</v>
      </c>
      <c r="AR17" s="94">
        <f>Table3.110[[#This Row],[CH4 24h, ml]]/Table3.110[[#This Row],[DM Incubated, mg]]*1000</f>
        <v>11.128650033324869</v>
      </c>
      <c r="AS17" s="94">
        <f>Table3.110[[#This Row],[CH4 24h, ml]]/Table3.110[[#This Row],[Digested feed, mg]]*1000</f>
        <v>45.952793875114146</v>
      </c>
      <c r="AT17" s="94">
        <f>Table3.110[[#This Row],[CH4 24h, ml]]/'3.2 Digest'!AA17</f>
        <v>-0.15929690468759705</v>
      </c>
      <c r="AU17" s="94">
        <f>((Table3.110[[#This Row],[CH4 24h, ml]]/28.9)*16.04)/Table3.110[[#This Row],[DM Incubated, mg]]*1000</f>
        <v>6.1765933056931113</v>
      </c>
      <c r="AV17" s="94">
        <f>((Table3.110[[#This Row],[CH4 24h, ml]]/28.9)*16.04)/Table3.110[[#This Row],[Digested feed, mg]]*1000</f>
        <v>25.504595631724253</v>
      </c>
      <c r="AW17" s="303"/>
      <c r="AX17" s="306"/>
    </row>
    <row r="18" spans="1:50" s="304" customFormat="1" x14ac:dyDescent="0.35">
      <c r="A18" s="89"/>
      <c r="B18" s="90">
        <f t="shared" si="0"/>
        <v>8</v>
      </c>
      <c r="C18" s="140">
        <v>46041</v>
      </c>
      <c r="D18" s="6" t="s">
        <v>16</v>
      </c>
      <c r="E18" s="6" t="s">
        <v>28</v>
      </c>
      <c r="F18" s="133" t="s">
        <v>19</v>
      </c>
      <c r="G18" s="133" t="s">
        <v>29</v>
      </c>
      <c r="H18" s="133" t="s">
        <v>30</v>
      </c>
      <c r="I18" s="6" t="s">
        <v>22</v>
      </c>
      <c r="J18" s="129" t="s">
        <v>23</v>
      </c>
      <c r="K18" s="129" t="s">
        <v>24</v>
      </c>
      <c r="L18" s="6" t="s">
        <v>27</v>
      </c>
      <c r="M18" s="119">
        <v>27</v>
      </c>
      <c r="N18" s="93">
        <v>58</v>
      </c>
      <c r="O18" s="6">
        <v>1</v>
      </c>
      <c r="P18" s="129">
        <v>3</v>
      </c>
      <c r="Q18" s="6">
        <v>188</v>
      </c>
      <c r="R18" s="98">
        <v>0.50039999999999996</v>
      </c>
      <c r="S18" s="94">
        <f>((Table3.110[[#This Row],[Sample weight, g]]*'2.1. DM'!Q13)/100)*1000</f>
        <v>475.60888734761824</v>
      </c>
      <c r="T18" s="94">
        <f>'3.2 Digest'!W18</f>
        <v>126.90888734761825</v>
      </c>
      <c r="U18" s="117">
        <v>0.36944444444444446</v>
      </c>
      <c r="V18" s="155">
        <v>41</v>
      </c>
      <c r="W18" s="117">
        <v>0.70277777777777772</v>
      </c>
      <c r="X18" s="97">
        <v>67.5</v>
      </c>
      <c r="Y18" s="97">
        <v>12.9</v>
      </c>
      <c r="Z18" s="155">
        <v>40</v>
      </c>
      <c r="AA18" s="117">
        <v>0.37083333333333335</v>
      </c>
      <c r="AB18" s="155">
        <v>58</v>
      </c>
      <c r="AC18" s="155">
        <v>16.7</v>
      </c>
      <c r="AD18" s="96"/>
      <c r="AE18" s="94">
        <f>Table3.110[[#This Row],[Gas 8h, ml]]-Table3.110[[#This Row],[Gas 0h, ml]]</f>
        <v>26.5</v>
      </c>
      <c r="AF18" s="94">
        <f>Table3.110[[#This Row],[Gas 24h, ml]]-Table3.110[[#This Row],[V8 Push back, ml]]</f>
        <v>18</v>
      </c>
      <c r="AG18" s="94">
        <f>Table3.110[[#This Row],[GP 8h, ml]]-(AVERAGE(AE$11,AE$12,AE$62,AE$61,AE$114,AE$115))*$AG$8</f>
        <v>23.844979731721114</v>
      </c>
      <c r="AH18" s="94">
        <f>Table3.110[[#This Row],[GP 8-24h, ml]]-(AVERAGE(AF$11,AF$12,AF$62,AF$61,AF$114,AF$115))*$AG$8</f>
        <v>14.31247184961266</v>
      </c>
      <c r="AI18" s="94">
        <f>Table3.110[[#This Row],[Net gas 8-24h, ml]]+Table3.110[[#This Row],[Net gas 8h, ml]]</f>
        <v>38.157451581333774</v>
      </c>
      <c r="AJ18" s="94">
        <f>Table3.110[[#This Row],[Net gas 8h, ml]]*Table3.110[[#This Row],[CH4 8h %]]%</f>
        <v>3.076002385392024</v>
      </c>
      <c r="AK18" s="94">
        <f>Table3.110[[#This Row],[Net gas 8-24h, ml]]*Table3.110[[#This Row],[CH4 24h, %]]%</f>
        <v>2.3901827988853137</v>
      </c>
      <c r="AL18" s="94">
        <f>Table3.110[[#This Row],[CH4 8-24h, ml]]+Table3.110[[#This Row],[CH4 8h, ml]]</f>
        <v>5.4661851842773377</v>
      </c>
      <c r="AM18" s="94">
        <f>(Table3.110[[#This Row],[Net gas 24h, ml]]/Table3.110[[#This Row],[DM Incubated, mg]])*1000</f>
        <v>80.228634486060045</v>
      </c>
      <c r="AN18" s="94">
        <f>'3.2 Digest'!X18</f>
        <v>26.683455823410991</v>
      </c>
      <c r="AO18" s="94">
        <f>Table3.110[[#This Row],[Digested feed, mg]]/Table3.110[[#This Row],[Net gas 24h, ml]]</f>
        <v>3.3259267086301105</v>
      </c>
      <c r="AP18" s="94">
        <f>Table3.110[[#This Row],[CH4 8h, ml]]/Table3.110[[#This Row],[Net gas 8h, ml]]%</f>
        <v>12.900000000000002</v>
      </c>
      <c r="AQ18" s="94">
        <f>Table3.110[[#This Row],[CH4 24h, ml]]/Table3.110[[#This Row],[Net gas 24h, ml]]%</f>
        <v>14.32534133634684</v>
      </c>
      <c r="AR18" s="94">
        <f>Table3.110[[#This Row],[CH4 24h, ml]]/Table3.110[[#This Row],[DM Incubated, mg]]*1000</f>
        <v>11.493025739618176</v>
      </c>
      <c r="AS18" s="94">
        <f>Table3.110[[#This Row],[CH4 24h, ml]]/Table3.110[[#This Row],[Digested feed, mg]]*1000</f>
        <v>43.071728848310038</v>
      </c>
      <c r="AT18" s="94">
        <f>Table3.110[[#This Row],[CH4 24h, ml]]/'3.2 Digest'!AA18</f>
        <v>-0.18915508405322065</v>
      </c>
      <c r="AU18" s="94">
        <f>((Table3.110[[#This Row],[CH4 24h, ml]]/28.9)*16.04)/Table3.110[[#This Row],[DM Incubated, mg]]*1000</f>
        <v>6.3788281267638602</v>
      </c>
      <c r="AV18" s="94">
        <f>((Table3.110[[#This Row],[CH4 24h, ml]]/28.9)*16.04)/Table3.110[[#This Row],[Digested feed, mg]]*1000</f>
        <v>23.905554696432286</v>
      </c>
      <c r="AW18" s="303"/>
      <c r="AX18" s="306"/>
    </row>
    <row r="19" spans="1:50" s="304" customFormat="1" x14ac:dyDescent="0.35">
      <c r="A19" s="89"/>
      <c r="B19" s="90">
        <f t="shared" si="0"/>
        <v>9</v>
      </c>
      <c r="C19" s="139">
        <v>46041</v>
      </c>
      <c r="D19" s="6" t="s">
        <v>16</v>
      </c>
      <c r="E19" s="6" t="s">
        <v>32</v>
      </c>
      <c r="F19" s="133" t="s">
        <v>19</v>
      </c>
      <c r="G19" s="133" t="s">
        <v>20</v>
      </c>
      <c r="H19" s="133" t="s">
        <v>21</v>
      </c>
      <c r="I19" s="6" t="s">
        <v>22</v>
      </c>
      <c r="J19" s="129" t="s">
        <v>23</v>
      </c>
      <c r="K19" s="129" t="s">
        <v>24</v>
      </c>
      <c r="L19" s="6" t="s">
        <v>31</v>
      </c>
      <c r="M19" s="119">
        <v>27</v>
      </c>
      <c r="N19" s="93">
        <v>58</v>
      </c>
      <c r="O19" s="6">
        <v>1</v>
      </c>
      <c r="P19" s="129">
        <v>1</v>
      </c>
      <c r="Q19" s="6">
        <v>189</v>
      </c>
      <c r="R19" s="98">
        <v>0.50070000000000003</v>
      </c>
      <c r="S19" s="94">
        <f>((Table3.110[[#This Row],[Sample weight, g]]*'2.1. DM'!Q15)/100)*1000</f>
        <v>472.44541476262469</v>
      </c>
      <c r="T19" s="94">
        <f>'3.2 Digest'!W19</f>
        <v>129.84541476262467</v>
      </c>
      <c r="U19" s="153">
        <v>0.37013888888888891</v>
      </c>
      <c r="V19" s="154">
        <v>41.5</v>
      </c>
      <c r="W19" s="153">
        <v>0.70347222222222228</v>
      </c>
      <c r="X19" s="95">
        <v>73</v>
      </c>
      <c r="Y19" s="95">
        <v>13.2</v>
      </c>
      <c r="Z19" s="154">
        <v>40</v>
      </c>
      <c r="AA19" s="153">
        <v>0.37083333333333335</v>
      </c>
      <c r="AB19" s="154">
        <v>71</v>
      </c>
      <c r="AC19" s="154">
        <v>17.3</v>
      </c>
      <c r="AD19" s="91"/>
      <c r="AE19" s="94">
        <f>Table3.110[[#This Row],[Gas 8h, ml]]-Table3.110[[#This Row],[Gas 0h, ml]]</f>
        <v>31.5</v>
      </c>
      <c r="AF19" s="94">
        <f>Table3.110[[#This Row],[Gas 24h, ml]]-Table3.110[[#This Row],[V8 Push back, ml]]</f>
        <v>31</v>
      </c>
      <c r="AG19" s="94">
        <f>Table3.110[[#This Row],[GP 8h, ml]]-(AVERAGE(AE$11,AE$12,AE$62,AE$61,AE$114,AE$115))*$AG$8</f>
        <v>28.844979731721114</v>
      </c>
      <c r="AH19" s="94">
        <f>Table3.110[[#This Row],[GP 8-24h, ml]]-(AVERAGE(AF$11,AF$12,AF$62,AF$61,AF$114,AF$115))*$AG$8</f>
        <v>27.31247184961266</v>
      </c>
      <c r="AI19" s="94">
        <f>Table3.110[[#This Row],[Net gas 8-24h, ml]]+Table3.110[[#This Row],[Net gas 8h, ml]]</f>
        <v>56.157451581333774</v>
      </c>
      <c r="AJ19" s="94">
        <f>Table3.110[[#This Row],[Net gas 8h, ml]]*Table3.110[[#This Row],[CH4 8h %]]%</f>
        <v>3.8075373245871873</v>
      </c>
      <c r="AK19" s="94">
        <f>Table3.110[[#This Row],[Net gas 8-24h, ml]]*Table3.110[[#This Row],[CH4 24h, %]]%</f>
        <v>4.7250576299829907</v>
      </c>
      <c r="AL19" s="94">
        <f>Table3.110[[#This Row],[CH4 8-24h, ml]]+Table3.110[[#This Row],[CH4 8h, ml]]</f>
        <v>8.5325949545701789</v>
      </c>
      <c r="AM19" s="94">
        <f>(Table3.110[[#This Row],[Net gas 24h, ml]]/Table3.110[[#This Row],[DM Incubated, mg]])*1000</f>
        <v>118.86548123141274</v>
      </c>
      <c r="AN19" s="94">
        <f>'3.2 Digest'!X19</f>
        <v>27.483686094797672</v>
      </c>
      <c r="AO19" s="94">
        <f>Table3.110[[#This Row],[Digested feed, mg]]/Table3.110[[#This Row],[Net gas 24h, ml]]</f>
        <v>2.3121671497960943</v>
      </c>
      <c r="AP19" s="94">
        <f>Table3.110[[#This Row],[CH4 8h, ml]]/Table3.110[[#This Row],[Net gas 8h, ml]]%</f>
        <v>13.200000000000001</v>
      </c>
      <c r="AQ19" s="94">
        <f>Table3.110[[#This Row],[CH4 24h, ml]]/Table3.110[[#This Row],[Net gas 24h, ml]]%</f>
        <v>15.194056557591969</v>
      </c>
      <c r="AR19" s="94">
        <f>Table3.110[[#This Row],[CH4 24h, ml]]/Table3.110[[#This Row],[DM Incubated, mg]]*1000</f>
        <v>18.060488445754718</v>
      </c>
      <c r="AS19" s="94">
        <f>Table3.110[[#This Row],[CH4 24h, ml]]/Table3.110[[#This Row],[Digested feed, mg]]*1000</f>
        <v>65.713486842557657</v>
      </c>
      <c r="AT19" s="94">
        <f>Table3.110[[#This Row],[CH4 24h, ml]]/'3.2 Digest'!AA19</f>
        <v>-0.40682815393227512</v>
      </c>
      <c r="AU19" s="94">
        <f>((Table3.110[[#This Row],[CH4 24h, ml]]/28.9)*16.04)/Table3.110[[#This Row],[DM Incubated, mg]]*1000</f>
        <v>10.023883552591894</v>
      </c>
      <c r="AV19" s="94">
        <f>((Table3.110[[#This Row],[CH4 24h, ml]]/28.9)*16.04)/Table3.110[[#This Row],[Digested feed, mg]]*1000</f>
        <v>36.472122109156572</v>
      </c>
      <c r="AW19" s="303"/>
      <c r="AX19" s="306"/>
    </row>
    <row r="20" spans="1:50" s="304" customFormat="1" x14ac:dyDescent="0.35">
      <c r="A20" s="89"/>
      <c r="B20" s="90">
        <f t="shared" si="0"/>
        <v>10</v>
      </c>
      <c r="C20" s="140">
        <v>46041</v>
      </c>
      <c r="D20" s="6" t="s">
        <v>16</v>
      </c>
      <c r="E20" s="6" t="s">
        <v>32</v>
      </c>
      <c r="F20" s="133" t="s">
        <v>19</v>
      </c>
      <c r="G20" s="133" t="s">
        <v>20</v>
      </c>
      <c r="H20" s="133" t="s">
        <v>21</v>
      </c>
      <c r="I20" s="6" t="s">
        <v>22</v>
      </c>
      <c r="J20" s="129" t="s">
        <v>23</v>
      </c>
      <c r="K20" s="129" t="s">
        <v>24</v>
      </c>
      <c r="L20" s="6" t="s">
        <v>31</v>
      </c>
      <c r="M20" s="119">
        <v>27</v>
      </c>
      <c r="N20" s="93">
        <v>58</v>
      </c>
      <c r="O20" s="6">
        <v>1</v>
      </c>
      <c r="P20" s="6">
        <v>2</v>
      </c>
      <c r="Q20" s="6">
        <v>190</v>
      </c>
      <c r="R20" s="98">
        <v>0.50049999999999994</v>
      </c>
      <c r="S20" s="94">
        <f>((Table3.110[[#This Row],[Sample weight, g]]*'2.1. DM'!Q15)/100)*1000</f>
        <v>472.25670079627241</v>
      </c>
      <c r="T20" s="94">
        <f>'3.2 Digest'!W20</f>
        <v>0</v>
      </c>
      <c r="U20" s="117">
        <v>0.37013888888888891</v>
      </c>
      <c r="V20" s="155">
        <v>41.5</v>
      </c>
      <c r="W20" s="117">
        <v>0.70347222222222228</v>
      </c>
      <c r="X20" s="97">
        <v>68</v>
      </c>
      <c r="Y20" s="97">
        <v>15.3</v>
      </c>
      <c r="Z20" s="155">
        <v>41</v>
      </c>
      <c r="AA20" s="117">
        <v>0.78888888888888886</v>
      </c>
      <c r="AB20" s="155">
        <v>71.5</v>
      </c>
      <c r="AC20" s="155">
        <v>17.5</v>
      </c>
      <c r="AD20" s="96"/>
      <c r="AE20" s="94">
        <f>Table3.110[[#This Row],[Gas 8h, ml]]-Table3.110[[#This Row],[Gas 0h, ml]]</f>
        <v>26.5</v>
      </c>
      <c r="AF20" s="94">
        <f>Table3.110[[#This Row],[Gas 24h, ml]]-Table3.110[[#This Row],[V8 Push back, ml]]</f>
        <v>30.5</v>
      </c>
      <c r="AG20" s="94"/>
      <c r="AH20" s="94"/>
      <c r="AI20" s="94"/>
      <c r="AJ20" s="94"/>
      <c r="AK20" s="94"/>
      <c r="AL20" s="94"/>
      <c r="AM20" s="94"/>
      <c r="AN20" s="94"/>
      <c r="AO20" s="94"/>
      <c r="AP20" s="94"/>
      <c r="AQ20" s="94"/>
      <c r="AR20" s="94"/>
      <c r="AS20" s="94"/>
      <c r="AT20" s="94"/>
      <c r="AU20" s="94"/>
      <c r="AV20" s="94"/>
      <c r="AW20" s="303" t="s">
        <v>608</v>
      </c>
      <c r="AX20" s="306"/>
    </row>
    <row r="21" spans="1:50" s="304" customFormat="1" x14ac:dyDescent="0.35">
      <c r="A21" s="89"/>
      <c r="B21" s="90">
        <f t="shared" si="0"/>
        <v>11</v>
      </c>
      <c r="C21" s="140">
        <v>46041</v>
      </c>
      <c r="D21" s="6" t="s">
        <v>16</v>
      </c>
      <c r="E21" s="6" t="s">
        <v>32</v>
      </c>
      <c r="F21" s="133" t="s">
        <v>19</v>
      </c>
      <c r="G21" s="133" t="s">
        <v>20</v>
      </c>
      <c r="H21" s="133" t="s">
        <v>21</v>
      </c>
      <c r="I21" s="6" t="s">
        <v>22</v>
      </c>
      <c r="J21" s="129" t="s">
        <v>23</v>
      </c>
      <c r="K21" s="129" t="s">
        <v>24</v>
      </c>
      <c r="L21" s="6" t="s">
        <v>31</v>
      </c>
      <c r="M21" s="119">
        <v>27</v>
      </c>
      <c r="N21" s="93">
        <v>58</v>
      </c>
      <c r="O21" s="6">
        <v>1</v>
      </c>
      <c r="P21" s="129">
        <v>3</v>
      </c>
      <c r="Q21" s="6">
        <v>191</v>
      </c>
      <c r="R21" s="98">
        <v>0.50039999999999996</v>
      </c>
      <c r="S21" s="94">
        <f>((Table3.110[[#This Row],[Sample weight, g]]*'2.1. DM'!Q15)/100)*1000</f>
        <v>472.16234381309636</v>
      </c>
      <c r="T21" s="94">
        <f>'3.2 Digest'!W21</f>
        <v>142.96234381309642</v>
      </c>
      <c r="U21" s="153">
        <v>0.36875000000000002</v>
      </c>
      <c r="V21" s="154">
        <v>42.5</v>
      </c>
      <c r="W21" s="153">
        <v>0.70416666666666672</v>
      </c>
      <c r="X21" s="95">
        <v>71.5</v>
      </c>
      <c r="Y21" s="95">
        <v>13.3</v>
      </c>
      <c r="Z21" s="154">
        <v>40.5</v>
      </c>
      <c r="AA21" s="153">
        <v>0.37222222222222223</v>
      </c>
      <c r="AB21" s="154">
        <v>70.5</v>
      </c>
      <c r="AC21" s="154">
        <v>17.5</v>
      </c>
      <c r="AD21" s="91"/>
      <c r="AE21" s="94">
        <f>Table3.110[[#This Row],[Gas 8h, ml]]-Table3.110[[#This Row],[Gas 0h, ml]]</f>
        <v>29</v>
      </c>
      <c r="AF21" s="94">
        <f>Table3.110[[#This Row],[Gas 24h, ml]]-Table3.110[[#This Row],[V8 Push back, ml]]</f>
        <v>30</v>
      </c>
      <c r="AG21" s="94">
        <f>Table3.110[[#This Row],[GP 8h, ml]]-(AVERAGE(AE$11,AE$12,AE$62,AE$61,AE$114,AE$115))*$AG$8</f>
        <v>26.344979731721114</v>
      </c>
      <c r="AH21" s="94">
        <f>Table3.110[[#This Row],[GP 8-24h, ml]]-(AVERAGE(AF$11,AF$12,AF$62,AF$61,AF$114,AF$115))*$AG$8</f>
        <v>26.31247184961266</v>
      </c>
      <c r="AI21" s="94">
        <f>Table3.110[[#This Row],[Net gas 8-24h, ml]]+Table3.110[[#This Row],[Net gas 8h, ml]]</f>
        <v>52.657451581333774</v>
      </c>
      <c r="AJ21" s="94">
        <f>Table3.110[[#This Row],[Net gas 8h, ml]]*Table3.110[[#This Row],[CH4 8h %]]%</f>
        <v>3.5038823043189082</v>
      </c>
      <c r="AK21" s="94">
        <f>Table3.110[[#This Row],[Net gas 8-24h, ml]]*Table3.110[[#This Row],[CH4 24h, %]]%</f>
        <v>4.604682573682215</v>
      </c>
      <c r="AL21" s="94">
        <f>Table3.110[[#This Row],[CH4 8-24h, ml]]+Table3.110[[#This Row],[CH4 8h, ml]]</f>
        <v>8.1085648780011237</v>
      </c>
      <c r="AM21" s="94">
        <f>(Table3.110[[#This Row],[Net gas 24h, ml]]/Table3.110[[#This Row],[DM Incubated, mg]])*1000</f>
        <v>111.52403886358634</v>
      </c>
      <c r="AN21" s="94">
        <f>'3.2 Digest'!X21</f>
        <v>30.278218008356788</v>
      </c>
      <c r="AO21" s="94">
        <f>Table3.110[[#This Row],[Digested feed, mg]]/Table3.110[[#This Row],[Net gas 24h, ml]]</f>
        <v>2.7149499172454119</v>
      </c>
      <c r="AP21" s="94">
        <f>Table3.110[[#This Row],[CH4 8h, ml]]/Table3.110[[#This Row],[Net gas 8h, ml]]%</f>
        <v>13.3</v>
      </c>
      <c r="AQ21" s="94">
        <f>Table3.110[[#This Row],[CH4 24h, ml]]/Table3.110[[#This Row],[Net gas 24h, ml]]%</f>
        <v>15.398703572801615</v>
      </c>
      <c r="AR21" s="94">
        <f>Table3.110[[#This Row],[CH4 24h, ml]]/Table3.110[[#This Row],[DM Incubated, mg]]*1000</f>
        <v>17.173256157019729</v>
      </c>
      <c r="AS21" s="94">
        <f>Table3.110[[#This Row],[CH4 24h, ml]]/Table3.110[[#This Row],[Digested feed, mg]]*1000</f>
        <v>56.718186493934063</v>
      </c>
      <c r="AT21" s="94">
        <f>Table3.110[[#This Row],[CH4 24h, ml]]/'3.2 Digest'!AA21</f>
        <v>-0.49710551606995595</v>
      </c>
      <c r="AU21" s="94">
        <f>((Table3.110[[#This Row],[CH4 24h, ml]]/28.9)*16.04)/Table3.110[[#This Row],[DM Incubated, mg]]*1000</f>
        <v>9.5314542823043755</v>
      </c>
      <c r="AV21" s="94">
        <f>((Table3.110[[#This Row],[CH4 24h, ml]]/28.9)*16.04)/Table3.110[[#This Row],[Digested feed, mg]]*1000</f>
        <v>31.479574787636764</v>
      </c>
      <c r="AW21" s="303"/>
      <c r="AX21" s="306"/>
    </row>
    <row r="22" spans="1:50" s="304" customFormat="1" x14ac:dyDescent="0.35">
      <c r="A22" s="89"/>
      <c r="B22" s="90">
        <f t="shared" si="0"/>
        <v>12</v>
      </c>
      <c r="C22" s="140">
        <v>46041</v>
      </c>
      <c r="D22" s="6" t="s">
        <v>16</v>
      </c>
      <c r="E22" s="6" t="s">
        <v>34</v>
      </c>
      <c r="F22" s="133" t="s">
        <v>19</v>
      </c>
      <c r="G22" s="133" t="s">
        <v>29</v>
      </c>
      <c r="H22" s="133" t="s">
        <v>30</v>
      </c>
      <c r="I22" s="6" t="s">
        <v>22</v>
      </c>
      <c r="J22" s="129" t="s">
        <v>23</v>
      </c>
      <c r="K22" s="129" t="s">
        <v>24</v>
      </c>
      <c r="L22" s="6" t="s">
        <v>33</v>
      </c>
      <c r="M22" s="119">
        <v>27</v>
      </c>
      <c r="N22" s="93">
        <v>58</v>
      </c>
      <c r="O22" s="6">
        <v>1</v>
      </c>
      <c r="P22" s="129">
        <v>1</v>
      </c>
      <c r="Q22" s="6">
        <v>192</v>
      </c>
      <c r="R22" s="98">
        <v>0.50009999999999999</v>
      </c>
      <c r="S22" s="94">
        <f>((Table3.110[[#This Row],[Sample weight, g]]*'2.1. DM'!Q17)/100)*1000</f>
        <v>470.75734411932388</v>
      </c>
      <c r="T22" s="94">
        <f>'3.2 Digest'!W22</f>
        <v>0</v>
      </c>
      <c r="U22" s="117">
        <v>0.37083333333333335</v>
      </c>
      <c r="V22" s="155">
        <v>42</v>
      </c>
      <c r="W22" s="117">
        <v>0.7055555555555556</v>
      </c>
      <c r="X22" s="97">
        <v>67.5</v>
      </c>
      <c r="Y22" s="97">
        <v>13.3</v>
      </c>
      <c r="Z22" s="155">
        <v>41</v>
      </c>
      <c r="AA22" s="117">
        <v>0.37291666666666667</v>
      </c>
      <c r="AB22" s="155">
        <v>57.5</v>
      </c>
      <c r="AC22" s="155">
        <v>16.600000000000001</v>
      </c>
      <c r="AD22" s="96"/>
      <c r="AE22" s="94">
        <f>Table3.110[[#This Row],[Gas 8h, ml]]-Table3.110[[#This Row],[Gas 0h, ml]]</f>
        <v>25.5</v>
      </c>
      <c r="AF22" s="94">
        <f>Table3.110[[#This Row],[Gas 24h, ml]]-Table3.110[[#This Row],[V8 Push back, ml]]</f>
        <v>16.5</v>
      </c>
      <c r="AG22" s="94"/>
      <c r="AH22" s="94"/>
      <c r="AI22" s="94"/>
      <c r="AJ22" s="94"/>
      <c r="AK22" s="94"/>
      <c r="AL22" s="94"/>
      <c r="AM22" s="94"/>
      <c r="AN22" s="94"/>
      <c r="AO22" s="94"/>
      <c r="AP22" s="94"/>
      <c r="AQ22" s="94"/>
      <c r="AR22" s="94"/>
      <c r="AS22" s="94"/>
      <c r="AT22" s="94"/>
      <c r="AU22" s="94"/>
      <c r="AV22" s="94"/>
      <c r="AW22" s="303" t="s">
        <v>608</v>
      </c>
      <c r="AX22" s="306"/>
    </row>
    <row r="23" spans="1:50" s="304" customFormat="1" x14ac:dyDescent="0.35">
      <c r="A23" s="89"/>
      <c r="B23" s="90">
        <f t="shared" si="0"/>
        <v>13</v>
      </c>
      <c r="C23" s="140">
        <v>46041</v>
      </c>
      <c r="D23" s="6" t="s">
        <v>16</v>
      </c>
      <c r="E23" s="6" t="s">
        <v>34</v>
      </c>
      <c r="F23" s="133" t="s">
        <v>19</v>
      </c>
      <c r="G23" s="133" t="s">
        <v>29</v>
      </c>
      <c r="H23" s="133" t="s">
        <v>30</v>
      </c>
      <c r="I23" s="6" t="s">
        <v>22</v>
      </c>
      <c r="J23" s="129" t="s">
        <v>23</v>
      </c>
      <c r="K23" s="129" t="s">
        <v>24</v>
      </c>
      <c r="L23" s="6" t="s">
        <v>33</v>
      </c>
      <c r="M23" s="119">
        <v>27</v>
      </c>
      <c r="N23" s="93">
        <v>58</v>
      </c>
      <c r="O23" s="6">
        <v>1</v>
      </c>
      <c r="P23" s="6">
        <v>2</v>
      </c>
      <c r="Q23" s="6">
        <v>193</v>
      </c>
      <c r="R23" s="98">
        <v>0.50049999999999994</v>
      </c>
      <c r="S23" s="94">
        <f>((Table3.110[[#This Row],[Sample weight, g]]*'2.1. DM'!Q17)/100)*1000</f>
        <v>471.1338746885055</v>
      </c>
      <c r="T23" s="94">
        <f>'3.2 Digest'!W23</f>
        <v>60.6338746885055</v>
      </c>
      <c r="U23" s="153">
        <v>0.37083333333333335</v>
      </c>
      <c r="V23" s="154">
        <v>41</v>
      </c>
      <c r="W23" s="153">
        <v>0.7055555555555556</v>
      </c>
      <c r="X23" s="95">
        <v>66</v>
      </c>
      <c r="Y23" s="95">
        <v>13.5</v>
      </c>
      <c r="Z23" s="154">
        <v>41</v>
      </c>
      <c r="AA23" s="153">
        <v>0.37291666666666667</v>
      </c>
      <c r="AB23" s="154">
        <v>57</v>
      </c>
      <c r="AC23" s="154">
        <v>16.600000000000001</v>
      </c>
      <c r="AD23" s="91"/>
      <c r="AE23" s="94">
        <f>Table3.110[[#This Row],[Gas 8h, ml]]-Table3.110[[#This Row],[Gas 0h, ml]]</f>
        <v>25</v>
      </c>
      <c r="AF23" s="94">
        <f>Table3.110[[#This Row],[Gas 24h, ml]]-Table3.110[[#This Row],[V8 Push back, ml]]</f>
        <v>16</v>
      </c>
      <c r="AG23" s="94">
        <f>Table3.110[[#This Row],[GP 8h, ml]]-(AVERAGE(AE$11,AE$12,AE$62,AE$61,AE$114,AE$115))*$AG$8</f>
        <v>22.344979731721114</v>
      </c>
      <c r="AH23" s="94">
        <f>Table3.110[[#This Row],[GP 8-24h, ml]]-(AVERAGE(AF$11,AF$12,AF$62,AF$61,AF$114,AF$115))*$AG$8</f>
        <v>12.31247184961266</v>
      </c>
      <c r="AI23" s="94">
        <f>Table3.110[[#This Row],[Net gas 8-24h, ml]]+Table3.110[[#This Row],[Net gas 8h, ml]]</f>
        <v>34.657451581333774</v>
      </c>
      <c r="AJ23" s="94">
        <f>Table3.110[[#This Row],[Net gas 8h, ml]]*Table3.110[[#This Row],[CH4 8h %]]%</f>
        <v>3.0165722637823507</v>
      </c>
      <c r="AK23" s="94">
        <f>Table3.110[[#This Row],[Net gas 8-24h, ml]]*Table3.110[[#This Row],[CH4 24h, %]]%</f>
        <v>2.0438703270357017</v>
      </c>
      <c r="AL23" s="94">
        <f>Table3.110[[#This Row],[CH4 8-24h, ml]]+Table3.110[[#This Row],[CH4 8h, ml]]</f>
        <v>5.0604425908180524</v>
      </c>
      <c r="AM23" s="94">
        <f>(Table3.110[[#This Row],[Net gas 24h, ml]]/Table3.110[[#This Row],[DM Incubated, mg]])*1000</f>
        <v>73.561790911867391</v>
      </c>
      <c r="AN23" s="94">
        <f>'3.2 Digest'!X23</f>
        <v>12.869776075556899</v>
      </c>
      <c r="AO23" s="94">
        <f>Table3.110[[#This Row],[Digested feed, mg]]/Table3.110[[#This Row],[Net gas 24h, ml]]</f>
        <v>1.7495191343255723</v>
      </c>
      <c r="AP23" s="94">
        <f>Table3.110[[#This Row],[CH4 8h, ml]]/Table3.110[[#This Row],[Net gas 8h, ml]]%</f>
        <v>13.5</v>
      </c>
      <c r="AQ23" s="94">
        <f>Table3.110[[#This Row],[CH4 24h, ml]]/Table3.110[[#This Row],[Net gas 24h, ml]]%</f>
        <v>14.601311867787665</v>
      </c>
      <c r="AR23" s="94">
        <f>Table3.110[[#This Row],[CH4 24h, ml]]/Table3.110[[#This Row],[DM Incubated, mg]]*1000</f>
        <v>10.740986506571641</v>
      </c>
      <c r="AS23" s="94">
        <f>Table3.110[[#This Row],[CH4 24h, ml]]/Table3.110[[#This Row],[Digested feed, mg]]*1000</f>
        <v>83.45900071230929</v>
      </c>
      <c r="AT23" s="94">
        <f>Table3.110[[#This Row],[CH4 24h, ml]]/'3.2 Digest'!AA23</f>
        <v>-0.1430078382748956</v>
      </c>
      <c r="AU23" s="94">
        <f>((Table3.110[[#This Row],[CH4 24h, ml]]/28.9)*16.04)/Table3.110[[#This Row],[DM Incubated, mg]]*1000</f>
        <v>5.9614333413636382</v>
      </c>
      <c r="AV23" s="94">
        <f>((Table3.110[[#This Row],[CH4 24h, ml]]/28.9)*16.04)/Table3.110[[#This Row],[Digested feed, mg]]*1000</f>
        <v>46.321189322679615</v>
      </c>
      <c r="AW23" s="303"/>
      <c r="AX23" s="306"/>
    </row>
    <row r="24" spans="1:50" s="304" customFormat="1" x14ac:dyDescent="0.35">
      <c r="A24" s="89"/>
      <c r="B24" s="90">
        <f t="shared" si="0"/>
        <v>14</v>
      </c>
      <c r="C24" s="140">
        <v>46041</v>
      </c>
      <c r="D24" s="6" t="s">
        <v>16</v>
      </c>
      <c r="E24" s="6" t="s">
        <v>34</v>
      </c>
      <c r="F24" s="133" t="s">
        <v>19</v>
      </c>
      <c r="G24" s="133" t="s">
        <v>29</v>
      </c>
      <c r="H24" s="133" t="s">
        <v>30</v>
      </c>
      <c r="I24" s="6" t="s">
        <v>22</v>
      </c>
      <c r="J24" s="129" t="s">
        <v>23</v>
      </c>
      <c r="K24" s="129" t="s">
        <v>24</v>
      </c>
      <c r="L24" s="6" t="s">
        <v>33</v>
      </c>
      <c r="M24" s="119">
        <v>27</v>
      </c>
      <c r="N24" s="93">
        <v>58</v>
      </c>
      <c r="O24" s="6">
        <v>1</v>
      </c>
      <c r="P24" s="129">
        <v>3</v>
      </c>
      <c r="Q24" s="6">
        <v>194</v>
      </c>
      <c r="R24" s="98">
        <v>0.50049999999999994</v>
      </c>
      <c r="S24" s="94">
        <f>((Table3.110[[#This Row],[Sample weight, g]]*'2.1. DM'!Q17)/100)*1000</f>
        <v>471.1338746885055</v>
      </c>
      <c r="T24" s="94">
        <f>'3.2 Digest'!W24</f>
        <v>75.833874688505489</v>
      </c>
      <c r="U24" s="117">
        <v>0.37083333333333335</v>
      </c>
      <c r="V24" s="155">
        <v>41.5</v>
      </c>
      <c r="W24" s="117">
        <v>0.70625000000000004</v>
      </c>
      <c r="X24" s="97">
        <v>64.5</v>
      </c>
      <c r="Y24" s="97">
        <v>13.9</v>
      </c>
      <c r="Z24" s="155">
        <v>40</v>
      </c>
      <c r="AA24" s="117">
        <v>0.37361111111111112</v>
      </c>
      <c r="AB24" s="155">
        <v>55.5</v>
      </c>
      <c r="AC24" s="155">
        <v>16.600000000000001</v>
      </c>
      <c r="AD24" s="101"/>
      <c r="AE24" s="94">
        <f>Table3.110[[#This Row],[Gas 8h, ml]]-Table3.110[[#This Row],[Gas 0h, ml]]</f>
        <v>23</v>
      </c>
      <c r="AF24" s="94">
        <f>Table3.110[[#This Row],[Gas 24h, ml]]-Table3.110[[#This Row],[V8 Push back, ml]]</f>
        <v>15.5</v>
      </c>
      <c r="AG24" s="94">
        <f>Table3.110[[#This Row],[GP 8h, ml]]-(AVERAGE(AE$11,AE$12,AE$62,AE$61,AE$114,AE$115))*$AG$8</f>
        <v>20.344979731721114</v>
      </c>
      <c r="AH24" s="94">
        <f>Table3.110[[#This Row],[GP 8-24h, ml]]-(AVERAGE(AF$11,AF$12,AF$62,AF$61,AF$114,AF$115))*$AG$8</f>
        <v>11.81247184961266</v>
      </c>
      <c r="AI24" s="94">
        <f>Table3.110[[#This Row],[Net gas 8-24h, ml]]+Table3.110[[#This Row],[Net gas 8h, ml]]</f>
        <v>32.157451581333774</v>
      </c>
      <c r="AJ24" s="94">
        <f>Table3.110[[#This Row],[Net gas 8h, ml]]*Table3.110[[#This Row],[CH4 8h %]]%</f>
        <v>2.8279521827092351</v>
      </c>
      <c r="AK24" s="94">
        <f>Table3.110[[#This Row],[Net gas 8-24h, ml]]*Table3.110[[#This Row],[CH4 24h, %]]%</f>
        <v>1.9608703270357015</v>
      </c>
      <c r="AL24" s="94">
        <f>Table3.110[[#This Row],[CH4 8-24h, ml]]+Table3.110[[#This Row],[CH4 8h, ml]]</f>
        <v>4.7888225097449366</v>
      </c>
      <c r="AM24" s="94">
        <f>(Table3.110[[#This Row],[Net gas 24h, ml]]/Table3.110[[#This Row],[DM Incubated, mg]])*1000</f>
        <v>68.255443535226519</v>
      </c>
      <c r="AN24" s="94">
        <f>'3.2 Digest'!X24</f>
        <v>16.096035280554545</v>
      </c>
      <c r="AO24" s="94">
        <f>Table3.110[[#This Row],[Digested feed, mg]]/Table3.110[[#This Row],[Net gas 24h, ml]]</f>
        <v>2.3582053601699049</v>
      </c>
      <c r="AP24" s="94">
        <f>Table3.110[[#This Row],[CH4 8h, ml]]/Table3.110[[#This Row],[Net gas 8h, ml]]%</f>
        <v>13.900000000000002</v>
      </c>
      <c r="AQ24" s="94">
        <f>Table3.110[[#This Row],[CH4 24h, ml]]/Table3.110[[#This Row],[Net gas 24h, ml]]%</f>
        <v>14.891797310594951</v>
      </c>
      <c r="AR24" s="94">
        <f>Table3.110[[#This Row],[CH4 24h, ml]]/Table3.110[[#This Row],[DM Incubated, mg]]*1000</f>
        <v>10.164462304713519</v>
      </c>
      <c r="AS24" s="94">
        <f>Table3.110[[#This Row],[CH4 24h, ml]]/Table3.110[[#This Row],[Digested feed, mg]]*1000</f>
        <v>63.148857016939452</v>
      </c>
      <c r="AT24" s="94">
        <f>Table3.110[[#This Row],[CH4 24h, ml]]/'3.2 Digest'!AA24</f>
        <v>-0.15766862337015089</v>
      </c>
      <c r="AU24" s="94">
        <f>((Table3.110[[#This Row],[CH4 24h, ml]]/28.9)*16.04)/Table3.110[[#This Row],[DM Incubated, mg]]*1000</f>
        <v>5.6414524348652195</v>
      </c>
      <c r="AV24" s="94">
        <f>((Table3.110[[#This Row],[CH4 24h, ml]]/28.9)*16.04)/Table3.110[[#This Row],[Digested feed, mg]]*1000</f>
        <v>35.048708185180239</v>
      </c>
      <c r="AW24" s="303"/>
      <c r="AX24" s="306"/>
    </row>
    <row r="25" spans="1:50" s="304" customFormat="1" x14ac:dyDescent="0.35">
      <c r="A25" s="89"/>
      <c r="B25" s="90">
        <f t="shared" si="0"/>
        <v>15</v>
      </c>
      <c r="C25" s="140">
        <v>46041</v>
      </c>
      <c r="D25" s="6" t="s">
        <v>16</v>
      </c>
      <c r="E25" s="6" t="s">
        <v>36</v>
      </c>
      <c r="F25" s="133" t="s">
        <v>19</v>
      </c>
      <c r="G25" s="133" t="s">
        <v>20</v>
      </c>
      <c r="H25" s="133" t="s">
        <v>21</v>
      </c>
      <c r="I25" s="6" t="s">
        <v>22</v>
      </c>
      <c r="J25" s="129" t="s">
        <v>23</v>
      </c>
      <c r="K25" s="129" t="s">
        <v>24</v>
      </c>
      <c r="L25" s="6" t="s">
        <v>35</v>
      </c>
      <c r="M25" s="119">
        <v>27</v>
      </c>
      <c r="N25" s="93">
        <v>58</v>
      </c>
      <c r="O25" s="6">
        <v>1</v>
      </c>
      <c r="P25" s="129">
        <v>1</v>
      </c>
      <c r="Q25" s="6">
        <v>195</v>
      </c>
      <c r="R25" s="98">
        <v>0.50029999999999997</v>
      </c>
      <c r="S25" s="94">
        <f>((Table3.110[[#This Row],[Sample weight, g]]*'2.1. DM'!Q19)/100)*1000</f>
        <v>471.7621368452036</v>
      </c>
      <c r="T25" s="94">
        <f>'3.2 Digest'!W25</f>
        <v>83.762136845203599</v>
      </c>
      <c r="U25" s="153">
        <v>0.37222222222222223</v>
      </c>
      <c r="V25" s="154">
        <v>42</v>
      </c>
      <c r="W25" s="153">
        <v>0.70694444444444449</v>
      </c>
      <c r="X25" s="95">
        <v>70</v>
      </c>
      <c r="Y25" s="95">
        <v>13.1</v>
      </c>
      <c r="Z25" s="154">
        <v>40.5</v>
      </c>
      <c r="AA25" s="153">
        <v>0.37430555555555556</v>
      </c>
      <c r="AB25" s="154">
        <v>64.5</v>
      </c>
      <c r="AC25" s="154">
        <v>16.7</v>
      </c>
      <c r="AD25" s="102"/>
      <c r="AE25" s="94">
        <f>Table3.110[[#This Row],[Gas 8h, ml]]-Table3.110[[#This Row],[Gas 0h, ml]]</f>
        <v>28</v>
      </c>
      <c r="AF25" s="94">
        <f>Table3.110[[#This Row],[Gas 24h, ml]]-Table3.110[[#This Row],[V8 Push back, ml]]</f>
        <v>24</v>
      </c>
      <c r="AG25" s="94">
        <f>Table3.110[[#This Row],[GP 8h, ml]]-(AVERAGE(AE$11,AE$12,AE$62,AE$61,AE$114,AE$115))*$AG$8</f>
        <v>25.344979731721114</v>
      </c>
      <c r="AH25" s="94">
        <f>Table3.110[[#This Row],[GP 8-24h, ml]]-(AVERAGE(AF$11,AF$12,AF$62,AF$61,AF$114,AF$115))*$AG$8</f>
        <v>20.31247184961266</v>
      </c>
      <c r="AI25" s="94">
        <f>Table3.110[[#This Row],[Net gas 8-24h, ml]]+Table3.110[[#This Row],[Net gas 8h, ml]]</f>
        <v>45.657451581333774</v>
      </c>
      <c r="AJ25" s="94">
        <f>Table3.110[[#This Row],[Net gas 8h, ml]]*Table3.110[[#This Row],[CH4 8h %]]%</f>
        <v>3.320192344855466</v>
      </c>
      <c r="AK25" s="94">
        <f>Table3.110[[#This Row],[Net gas 8-24h, ml]]*Table3.110[[#This Row],[CH4 24h, %]]%</f>
        <v>3.3921827988853139</v>
      </c>
      <c r="AL25" s="94">
        <f>Table3.110[[#This Row],[CH4 8-24h, ml]]+Table3.110[[#This Row],[CH4 8h, ml]]</f>
        <v>6.7123751437407799</v>
      </c>
      <c r="AM25" s="94">
        <f>(Table3.110[[#This Row],[Net gas 24h, ml]]/Table3.110[[#This Row],[DM Incubated, mg]])*1000</f>
        <v>96.780661302445878</v>
      </c>
      <c r="AN25" s="94">
        <f>'3.2 Digest'!X25</f>
        <v>17.755163100909886</v>
      </c>
      <c r="AO25" s="94">
        <f>Table3.110[[#This Row],[Digested feed, mg]]/Table3.110[[#This Row],[Net gas 24h, ml]]</f>
        <v>1.8345775759295386</v>
      </c>
      <c r="AP25" s="94">
        <f>Table3.110[[#This Row],[CH4 8h, ml]]/Table3.110[[#This Row],[Net gas 8h, ml]]%</f>
        <v>13.100000000000001</v>
      </c>
      <c r="AQ25" s="94">
        <f>Table3.110[[#This Row],[CH4 24h, ml]]/Table3.110[[#This Row],[Net gas 24h, ml]]%</f>
        <v>14.701598339941105</v>
      </c>
      <c r="AR25" s="94">
        <f>Table3.110[[#This Row],[CH4 24h, ml]]/Table3.110[[#This Row],[DM Incubated, mg]]*1000</f>
        <v>14.228304095424408</v>
      </c>
      <c r="AS25" s="94">
        <f>Table3.110[[#This Row],[CH4 24h, ml]]/Table3.110[[#This Row],[Digested feed, mg]]*1000</f>
        <v>80.136149775471551</v>
      </c>
      <c r="AT25" s="94">
        <f>Table3.110[[#This Row],[CH4 24h, ml]]/'3.2 Digest'!AA25</f>
        <v>-0.22910343454718554</v>
      </c>
      <c r="AU25" s="94">
        <f>((Table3.110[[#This Row],[CH4 24h, ml]]/28.9)*16.04)/Table3.110[[#This Row],[DM Incubated, mg]]*1000</f>
        <v>7.8969549373912633</v>
      </c>
      <c r="AV25" s="94">
        <f>((Table3.110[[#This Row],[CH4 24h, ml]]/28.9)*16.04)/Table3.110[[#This Row],[Digested feed, mg]]*1000</f>
        <v>44.476949563964141</v>
      </c>
      <c r="AW25" s="303"/>
      <c r="AX25" s="306"/>
    </row>
    <row r="26" spans="1:50" s="304" customFormat="1" x14ac:dyDescent="0.35">
      <c r="A26" s="89"/>
      <c r="B26" s="90">
        <f t="shared" si="0"/>
        <v>16</v>
      </c>
      <c r="C26" s="140">
        <v>46041</v>
      </c>
      <c r="D26" s="6" t="s">
        <v>16</v>
      </c>
      <c r="E26" s="6" t="s">
        <v>36</v>
      </c>
      <c r="F26" s="133" t="s">
        <v>19</v>
      </c>
      <c r="G26" s="133" t="s">
        <v>20</v>
      </c>
      <c r="H26" s="133" t="s">
        <v>21</v>
      </c>
      <c r="I26" s="6" t="s">
        <v>22</v>
      </c>
      <c r="J26" s="129" t="s">
        <v>23</v>
      </c>
      <c r="K26" s="129" t="s">
        <v>24</v>
      </c>
      <c r="L26" s="6" t="s">
        <v>35</v>
      </c>
      <c r="M26" s="119">
        <v>27</v>
      </c>
      <c r="N26" s="93">
        <v>58</v>
      </c>
      <c r="O26" s="6">
        <v>1</v>
      </c>
      <c r="P26" s="6">
        <v>2</v>
      </c>
      <c r="Q26" s="6">
        <v>196</v>
      </c>
      <c r="R26" s="98">
        <v>0.50009999999999999</v>
      </c>
      <c r="S26" s="94">
        <f>((Table3.110[[#This Row],[Sample weight, g]]*'2.1. DM'!Q19)/100)*1000</f>
        <v>471.5735451454853</v>
      </c>
      <c r="T26" s="94">
        <f>'3.2 Digest'!W26</f>
        <v>118.67354514548521</v>
      </c>
      <c r="U26" s="117">
        <v>0.37222222222222223</v>
      </c>
      <c r="V26" s="155">
        <v>41.5</v>
      </c>
      <c r="W26" s="117">
        <v>0.70694444444444449</v>
      </c>
      <c r="X26" s="97">
        <v>67</v>
      </c>
      <c r="Y26" s="97">
        <v>13.7</v>
      </c>
      <c r="Z26" s="155">
        <v>40.5</v>
      </c>
      <c r="AA26" s="117">
        <v>0.37430555555555556</v>
      </c>
      <c r="AB26" s="155">
        <v>66.5</v>
      </c>
      <c r="AC26" s="155">
        <v>16.5</v>
      </c>
      <c r="AD26" s="101"/>
      <c r="AE26" s="94">
        <f>Table3.110[[#This Row],[Gas 8h, ml]]-Table3.110[[#This Row],[Gas 0h, ml]]</f>
        <v>25.5</v>
      </c>
      <c r="AF26" s="94">
        <f>Table3.110[[#This Row],[Gas 24h, ml]]-Table3.110[[#This Row],[V8 Push back, ml]]</f>
        <v>26</v>
      </c>
      <c r="AG26" s="94">
        <f>Table3.110[[#This Row],[GP 8h, ml]]-(AVERAGE(AE$11,AE$12,AE$62,AE$61,AE$114,AE$115))*$AG$8</f>
        <v>22.844979731721114</v>
      </c>
      <c r="AH26" s="94">
        <f>Table3.110[[#This Row],[GP 8-24h, ml]]-(AVERAGE(AF$11,AF$12,AF$62,AF$61,AF$114,AF$115))*$AG$8</f>
        <v>22.31247184961266</v>
      </c>
      <c r="AI26" s="94">
        <f>Table3.110[[#This Row],[Net gas 8-24h, ml]]+Table3.110[[#This Row],[Net gas 8h, ml]]</f>
        <v>45.157451581333774</v>
      </c>
      <c r="AJ26" s="94">
        <f>Table3.110[[#This Row],[Net gas 8h, ml]]*Table3.110[[#This Row],[CH4 8h %]]%</f>
        <v>3.1297622232457925</v>
      </c>
      <c r="AK26" s="94">
        <f>Table3.110[[#This Row],[Net gas 8-24h, ml]]*Table3.110[[#This Row],[CH4 24h, %]]%</f>
        <v>3.6815578551860892</v>
      </c>
      <c r="AL26" s="94">
        <f>Table3.110[[#This Row],[CH4 8-24h, ml]]+Table3.110[[#This Row],[CH4 8h, ml]]</f>
        <v>6.8113200784318817</v>
      </c>
      <c r="AM26" s="94">
        <f>(Table3.110[[#This Row],[Net gas 24h, ml]]/Table3.110[[#This Row],[DM Incubated, mg]])*1000</f>
        <v>95.759085822768611</v>
      </c>
      <c r="AN26" s="94">
        <f>'3.2 Digest'!X26</f>
        <v>25.165437367542147</v>
      </c>
      <c r="AO26" s="94">
        <f>Table3.110[[#This Row],[Digested feed, mg]]/Table3.110[[#This Row],[Net gas 24h, ml]]</f>
        <v>2.6279947381827</v>
      </c>
      <c r="AP26" s="94">
        <f>Table3.110[[#This Row],[CH4 8h, ml]]/Table3.110[[#This Row],[Net gas 8h, ml]]%</f>
        <v>13.699999999999998</v>
      </c>
      <c r="AQ26" s="94">
        <f>Table3.110[[#This Row],[CH4 24h, ml]]/Table3.110[[#This Row],[Net gas 24h, ml]]%</f>
        <v>15.083490852365548</v>
      </c>
      <c r="AR26" s="94">
        <f>Table3.110[[#This Row],[CH4 24h, ml]]/Table3.110[[#This Row],[DM Incubated, mg]]*1000</f>
        <v>14.443812950386178</v>
      </c>
      <c r="AS26" s="94">
        <f>Table3.110[[#This Row],[CH4 24h, ml]]/Table3.110[[#This Row],[Digested feed, mg]]*1000</f>
        <v>57.395437796028553</v>
      </c>
      <c r="AT26" s="94">
        <f>Table3.110[[#This Row],[CH4 24h, ml]]/'3.2 Digest'!AA26</f>
        <v>-0.38594032441931575</v>
      </c>
      <c r="AU26" s="94">
        <f>((Table3.110[[#This Row],[CH4 24h, ml]]/28.9)*16.04)/Table3.110[[#This Row],[DM Incubated, mg]]*1000</f>
        <v>8.0165660804219474</v>
      </c>
      <c r="AV26" s="94">
        <f>((Table3.110[[#This Row],[CH4 24h, ml]]/28.9)*16.04)/Table3.110[[#This Row],[Digested feed, mg]]*1000</f>
        <v>31.855460977449756</v>
      </c>
      <c r="AW26" s="303"/>
      <c r="AX26" s="306"/>
    </row>
    <row r="27" spans="1:50" s="304" customFormat="1" x14ac:dyDescent="0.35">
      <c r="A27" s="89"/>
      <c r="B27" s="90">
        <f t="shared" si="0"/>
        <v>17</v>
      </c>
      <c r="C27" s="140">
        <v>46041</v>
      </c>
      <c r="D27" s="6" t="s">
        <v>16</v>
      </c>
      <c r="E27" s="6" t="s">
        <v>36</v>
      </c>
      <c r="F27" s="133" t="s">
        <v>19</v>
      </c>
      <c r="G27" s="133" t="s">
        <v>20</v>
      </c>
      <c r="H27" s="133" t="s">
        <v>21</v>
      </c>
      <c r="I27" s="6" t="s">
        <v>22</v>
      </c>
      <c r="J27" s="129" t="s">
        <v>23</v>
      </c>
      <c r="K27" s="129" t="s">
        <v>24</v>
      </c>
      <c r="L27" s="6" t="s">
        <v>35</v>
      </c>
      <c r="M27" s="119">
        <v>27</v>
      </c>
      <c r="N27" s="93">
        <v>58</v>
      </c>
      <c r="O27" s="6">
        <v>1</v>
      </c>
      <c r="P27" s="129">
        <v>3</v>
      </c>
      <c r="Q27" s="6">
        <v>197</v>
      </c>
      <c r="R27" s="98">
        <v>0.50060000000000004</v>
      </c>
      <c r="S27" s="94">
        <f>((Table3.110[[#This Row],[Sample weight, g]]*'2.1. DM'!Q19)/100)*1000</f>
        <v>472.04502439478097</v>
      </c>
      <c r="T27" s="94">
        <f>'3.2 Digest'!W27</f>
        <v>102.44502439478094</v>
      </c>
      <c r="U27" s="153">
        <v>0.37222222222222223</v>
      </c>
      <c r="V27" s="154">
        <v>42.5</v>
      </c>
      <c r="W27" s="153">
        <v>0.70763888888888893</v>
      </c>
      <c r="X27" s="95">
        <v>69</v>
      </c>
      <c r="Y27" s="95">
        <v>13.1</v>
      </c>
      <c r="Z27" s="154">
        <v>40.5</v>
      </c>
      <c r="AA27" s="153">
        <v>0.37430555555555556</v>
      </c>
      <c r="AB27" s="154">
        <v>64.5</v>
      </c>
      <c r="AC27" s="154">
        <v>16.5</v>
      </c>
      <c r="AD27" s="102"/>
      <c r="AE27" s="94">
        <f>Table3.110[[#This Row],[Gas 8h, ml]]-Table3.110[[#This Row],[Gas 0h, ml]]</f>
        <v>26.5</v>
      </c>
      <c r="AF27" s="94">
        <f>Table3.110[[#This Row],[Gas 24h, ml]]-Table3.110[[#This Row],[V8 Push back, ml]]</f>
        <v>24</v>
      </c>
      <c r="AG27" s="94">
        <f>Table3.110[[#This Row],[GP 8h, ml]]-(AVERAGE(AE$11,AE$12,AE$62,AE$61,AE$114,AE$115))*$AG$8</f>
        <v>23.844979731721114</v>
      </c>
      <c r="AH27" s="94">
        <f>Table3.110[[#This Row],[GP 8-24h, ml]]-(AVERAGE(AF$11,AF$12,AF$62,AF$61,AF$114,AF$115))*$AG$8</f>
        <v>20.31247184961266</v>
      </c>
      <c r="AI27" s="94">
        <f>Table3.110[[#This Row],[Net gas 8-24h, ml]]+Table3.110[[#This Row],[Net gas 8h, ml]]</f>
        <v>44.157451581333774</v>
      </c>
      <c r="AJ27" s="94">
        <f>Table3.110[[#This Row],[Net gas 8h, ml]]*Table3.110[[#This Row],[CH4 8h %]]%</f>
        <v>3.1236923448554661</v>
      </c>
      <c r="AK27" s="94">
        <f>Table3.110[[#This Row],[Net gas 8-24h, ml]]*Table3.110[[#This Row],[CH4 24h, %]]%</f>
        <v>3.3515578551860892</v>
      </c>
      <c r="AL27" s="94">
        <f>Table3.110[[#This Row],[CH4 8-24h, ml]]+Table3.110[[#This Row],[CH4 8h, ml]]</f>
        <v>6.4752502000415557</v>
      </c>
      <c r="AM27" s="94">
        <f>(Table3.110[[#This Row],[Net gas 24h, ml]]/Table3.110[[#This Row],[DM Incubated, mg]])*1000</f>
        <v>93.544999521918456</v>
      </c>
      <c r="AN27" s="94">
        <f>'3.2 Digest'!X27</f>
        <v>21.702384116033826</v>
      </c>
      <c r="AO27" s="94">
        <f>Table3.110[[#This Row],[Digested feed, mg]]/Table3.110[[#This Row],[Net gas 24h, ml]]</f>
        <v>2.3199940378372395</v>
      </c>
      <c r="AP27" s="94">
        <f>Table3.110[[#This Row],[CH4 8h, ml]]/Table3.110[[#This Row],[Net gas 8h, ml]]%</f>
        <v>13.100000000000001</v>
      </c>
      <c r="AQ27" s="94">
        <f>Table3.110[[#This Row],[CH4 24h, ml]]/Table3.110[[#This Row],[Net gas 24h, ml]]%</f>
        <v>14.664003397285661</v>
      </c>
      <c r="AR27" s="94">
        <f>Table3.110[[#This Row],[CH4 24h, ml]]/Table3.110[[#This Row],[DM Incubated, mg]]*1000</f>
        <v>13.717441907884979</v>
      </c>
      <c r="AS27" s="94">
        <f>Table3.110[[#This Row],[CH4 24h, ml]]/Table3.110[[#This Row],[Digested feed, mg]]*1000</f>
        <v>63.207073630912589</v>
      </c>
      <c r="AT27" s="94">
        <f>Table3.110[[#This Row],[CH4 24h, ml]]/'3.2 Digest'!AA27</f>
        <v>-0.28039934239497999</v>
      </c>
      <c r="AU27" s="94">
        <f>((Table3.110[[#This Row],[CH4 24h, ml]]/28.9)*16.04)/Table3.110[[#This Row],[DM Incubated, mg]]*1000</f>
        <v>7.6134175848607279</v>
      </c>
      <c r="AV27" s="94">
        <f>((Table3.110[[#This Row],[CH4 24h, ml]]/28.9)*16.04)/Table3.110[[#This Row],[Digested feed, mg]]*1000</f>
        <v>35.081019413143174</v>
      </c>
      <c r="AW27" s="303"/>
      <c r="AX27" s="306"/>
    </row>
    <row r="28" spans="1:50" s="304" customFormat="1" x14ac:dyDescent="0.35">
      <c r="A28" s="89"/>
      <c r="B28" s="90">
        <f t="shared" si="0"/>
        <v>18</v>
      </c>
      <c r="C28" s="140">
        <v>46041</v>
      </c>
      <c r="D28" s="6" t="s">
        <v>16</v>
      </c>
      <c r="E28" s="6" t="s">
        <v>38</v>
      </c>
      <c r="F28" s="133" t="s">
        <v>19</v>
      </c>
      <c r="G28" s="133" t="s">
        <v>20</v>
      </c>
      <c r="H28" s="133" t="s">
        <v>21</v>
      </c>
      <c r="I28" s="6" t="s">
        <v>22</v>
      </c>
      <c r="J28" s="129" t="s">
        <v>23</v>
      </c>
      <c r="K28" s="129" t="s">
        <v>24</v>
      </c>
      <c r="L28" s="6" t="s">
        <v>37</v>
      </c>
      <c r="M28" s="119">
        <v>27</v>
      </c>
      <c r="N28" s="93">
        <v>58</v>
      </c>
      <c r="O28" s="6">
        <v>1</v>
      </c>
      <c r="P28" s="129">
        <v>1</v>
      </c>
      <c r="Q28" s="6">
        <v>198</v>
      </c>
      <c r="R28" s="98">
        <v>0.50019999999999998</v>
      </c>
      <c r="S28" s="94">
        <f>((Table3.110[[#This Row],[Sample weight, g]]*'2.1. DM'!Q21)/100)*1000</f>
        <v>463.34816055183416</v>
      </c>
      <c r="T28" s="94">
        <f>'3.2 Digest'!W28</f>
        <v>85.548160551834144</v>
      </c>
      <c r="U28" s="117">
        <v>0.37291666666666667</v>
      </c>
      <c r="V28" s="155">
        <v>42</v>
      </c>
      <c r="W28" s="117">
        <v>0.70833333333333337</v>
      </c>
      <c r="X28" s="97">
        <v>66</v>
      </c>
      <c r="Y28" s="97">
        <v>14.7</v>
      </c>
      <c r="Z28" s="155">
        <v>41</v>
      </c>
      <c r="AA28" s="117">
        <v>0.375</v>
      </c>
      <c r="AB28" s="155">
        <v>65</v>
      </c>
      <c r="AC28" s="155">
        <v>16.899999999999999</v>
      </c>
      <c r="AD28" s="101"/>
      <c r="AE28" s="94">
        <f>Table3.110[[#This Row],[Gas 8h, ml]]-Table3.110[[#This Row],[Gas 0h, ml]]</f>
        <v>24</v>
      </c>
      <c r="AF28" s="94">
        <f>Table3.110[[#This Row],[Gas 24h, ml]]-Table3.110[[#This Row],[V8 Push back, ml]]</f>
        <v>24</v>
      </c>
      <c r="AG28" s="94">
        <f>Table3.110[[#This Row],[GP 8h, ml]]-(AVERAGE(AE$11,AE$12,AE$62,AE$61,AE$114,AE$115))*$AG$8</f>
        <v>21.344979731721114</v>
      </c>
      <c r="AH28" s="94">
        <f>Table3.110[[#This Row],[GP 8-24h, ml]]-(AVERAGE(AF$11,AF$12,AF$62,AF$61,AF$114,AF$115))*$AG$8</f>
        <v>20.31247184961266</v>
      </c>
      <c r="AI28" s="94">
        <f>Table3.110[[#This Row],[Net gas 8-24h, ml]]+Table3.110[[#This Row],[Net gas 8h, ml]]</f>
        <v>41.657451581333774</v>
      </c>
      <c r="AJ28" s="94">
        <f>Table3.110[[#This Row],[Net gas 8h, ml]]*Table3.110[[#This Row],[CH4 8h %]]%</f>
        <v>3.1377120205630038</v>
      </c>
      <c r="AK28" s="94">
        <f>Table3.110[[#This Row],[Net gas 8-24h, ml]]*Table3.110[[#This Row],[CH4 24h, %]]%</f>
        <v>3.4328077425845391</v>
      </c>
      <c r="AL28" s="94">
        <f>Table3.110[[#This Row],[CH4 8-24h, ml]]+Table3.110[[#This Row],[CH4 8h, ml]]</f>
        <v>6.5705197631475425</v>
      </c>
      <c r="AM28" s="94">
        <f>(Table3.110[[#This Row],[Net gas 24h, ml]]/Table3.110[[#This Row],[DM Incubated, mg]])*1000</f>
        <v>89.905291804160754</v>
      </c>
      <c r="AN28" s="94">
        <f>'3.2 Digest'!X28</f>
        <v>18.463040934477604</v>
      </c>
      <c r="AO28" s="94">
        <f>Table3.110[[#This Row],[Digested feed, mg]]/Table3.110[[#This Row],[Net gas 24h, ml]]</f>
        <v>2.0536100338448762</v>
      </c>
      <c r="AP28" s="94">
        <f>Table3.110[[#This Row],[CH4 8h, ml]]/Table3.110[[#This Row],[Net gas 8h, ml]]%</f>
        <v>14.7</v>
      </c>
      <c r="AQ28" s="94">
        <f>Table3.110[[#This Row],[CH4 24h, ml]]/Table3.110[[#This Row],[Net gas 24h, ml]]%</f>
        <v>15.772735762097643</v>
      </c>
      <c r="AR28" s="94">
        <f>Table3.110[[#This Row],[CH4 24h, ml]]/Table3.110[[#This Row],[DM Incubated, mg]]*1000</f>
        <v>14.180524112413105</v>
      </c>
      <c r="AS28" s="94">
        <f>Table3.110[[#This Row],[CH4 24h, ml]]/Table3.110[[#This Row],[Digested feed, mg]]*1000</f>
        <v>76.804921587605904</v>
      </c>
      <c r="AT28" s="94">
        <f>Table3.110[[#This Row],[CH4 24h, ml]]/'3.2 Digest'!AA28</f>
        <v>-0.30848223473875647</v>
      </c>
      <c r="AU28" s="94">
        <f>((Table3.110[[#This Row],[CH4 24h, ml]]/28.9)*16.04)/Table3.110[[#This Row],[DM Incubated, mg]]*1000</f>
        <v>7.8704362201766838</v>
      </c>
      <c r="AV28" s="94">
        <f>((Table3.110[[#This Row],[CH4 24h, ml]]/28.9)*16.04)/Table3.110[[#This Row],[Digested feed, mg]]*1000</f>
        <v>42.628060285993037</v>
      </c>
      <c r="AW28" s="303"/>
    </row>
    <row r="29" spans="1:50" s="304" customFormat="1" x14ac:dyDescent="0.35">
      <c r="A29" s="89"/>
      <c r="B29" s="90">
        <f t="shared" si="0"/>
        <v>19</v>
      </c>
      <c r="C29" s="140">
        <v>46041</v>
      </c>
      <c r="D29" s="6" t="s">
        <v>16</v>
      </c>
      <c r="E29" s="6" t="s">
        <v>38</v>
      </c>
      <c r="F29" s="133" t="s">
        <v>19</v>
      </c>
      <c r="G29" s="133" t="s">
        <v>20</v>
      </c>
      <c r="H29" s="133" t="s">
        <v>21</v>
      </c>
      <c r="I29" s="6" t="s">
        <v>22</v>
      </c>
      <c r="J29" s="129" t="s">
        <v>23</v>
      </c>
      <c r="K29" s="129" t="s">
        <v>24</v>
      </c>
      <c r="L29" s="6" t="s">
        <v>37</v>
      </c>
      <c r="M29" s="119">
        <v>27</v>
      </c>
      <c r="N29" s="93">
        <v>58</v>
      </c>
      <c r="O29" s="6">
        <v>1</v>
      </c>
      <c r="P29" s="6">
        <v>2</v>
      </c>
      <c r="Q29" s="6">
        <v>199</v>
      </c>
      <c r="R29" s="98">
        <v>0.50060000000000004</v>
      </c>
      <c r="S29" s="94">
        <f>((Table3.110[[#This Row],[Sample weight, g]]*'2.1. DM'!Q21)/100)*1000</f>
        <v>463.71869086814922</v>
      </c>
      <c r="T29" s="94">
        <f>'3.2 Digest'!W29</f>
        <v>77.218690868149281</v>
      </c>
      <c r="U29" s="153">
        <v>0.37291666666666667</v>
      </c>
      <c r="V29" s="154">
        <v>42</v>
      </c>
      <c r="W29" s="153">
        <v>0.70833333333333337</v>
      </c>
      <c r="X29" s="95">
        <v>66.5</v>
      </c>
      <c r="Y29" s="95">
        <v>13.8</v>
      </c>
      <c r="Z29" s="154">
        <v>40.5</v>
      </c>
      <c r="AA29" s="153">
        <v>0.37569444444444444</v>
      </c>
      <c r="AB29" s="154">
        <v>64</v>
      </c>
      <c r="AC29" s="154">
        <v>17.2</v>
      </c>
      <c r="AD29" s="102"/>
      <c r="AE29" s="94">
        <f>Table3.110[[#This Row],[Gas 8h, ml]]-Table3.110[[#This Row],[Gas 0h, ml]]</f>
        <v>24.5</v>
      </c>
      <c r="AF29" s="94">
        <f>Table3.110[[#This Row],[Gas 24h, ml]]-Table3.110[[#This Row],[V8 Push back, ml]]</f>
        <v>23.5</v>
      </c>
      <c r="AG29" s="94">
        <f>Table3.110[[#This Row],[GP 8h, ml]]-(AVERAGE(AE$11,AE$12,AE$62,AE$61,AE$114,AE$115))*$AG$8</f>
        <v>21.844979731721114</v>
      </c>
      <c r="AH29" s="94">
        <f>Table3.110[[#This Row],[GP 8-24h, ml]]-(AVERAGE(AF$11,AF$12,AF$62,AF$61,AF$114,AF$115))*$AG$8</f>
        <v>19.81247184961266</v>
      </c>
      <c r="AI29" s="94">
        <f>Table3.110[[#This Row],[Net gas 8-24h, ml]]+Table3.110[[#This Row],[Net gas 8h, ml]]</f>
        <v>41.657451581333774</v>
      </c>
      <c r="AJ29" s="94">
        <f>Table3.110[[#This Row],[Net gas 8h, ml]]*Table3.110[[#This Row],[CH4 8h %]]%</f>
        <v>3.0146072029775142</v>
      </c>
      <c r="AK29" s="94">
        <f>Table3.110[[#This Row],[Net gas 8-24h, ml]]*Table3.110[[#This Row],[CH4 24h, %]]%</f>
        <v>3.4077451581333773</v>
      </c>
      <c r="AL29" s="94">
        <f>Table3.110[[#This Row],[CH4 8-24h, ml]]+Table3.110[[#This Row],[CH4 8h, ml]]</f>
        <v>6.4223523611108915</v>
      </c>
      <c r="AM29" s="94">
        <f>(Table3.110[[#This Row],[Net gas 24h, ml]]/Table3.110[[#This Row],[DM Incubated, mg]])*1000</f>
        <v>89.833453776350765</v>
      </c>
      <c r="AN29" s="94">
        <f>'3.2 Digest'!X29</f>
        <v>16.652054874817445</v>
      </c>
      <c r="AO29" s="94">
        <f>Table3.110[[#This Row],[Digested feed, mg]]/Table3.110[[#This Row],[Net gas 24h, ml]]</f>
        <v>1.853658539754508</v>
      </c>
      <c r="AP29" s="94">
        <f>Table3.110[[#This Row],[CH4 8h, ml]]/Table3.110[[#This Row],[Net gas 8h, ml]]%</f>
        <v>13.8</v>
      </c>
      <c r="AQ29" s="94">
        <f>Table3.110[[#This Row],[CH4 24h, ml]]/Table3.110[[#This Row],[Net gas 24h, ml]]%</f>
        <v>15.417055334197816</v>
      </c>
      <c r="AR29" s="94">
        <f>Table3.110[[#This Row],[CH4 24h, ml]]/Table3.110[[#This Row],[DM Incubated, mg]]*1000</f>
        <v>13.849673277321017</v>
      </c>
      <c r="AS29" s="94">
        <f>Table3.110[[#This Row],[CH4 24h, ml]]/Table3.110[[#This Row],[Digested feed, mg]]*1000</f>
        <v>83.170956265977651</v>
      </c>
      <c r="AT29" s="94">
        <f>Table3.110[[#This Row],[CH4 24h, ml]]/'3.2 Digest'!AA29</f>
        <v>-0.26766889665781141</v>
      </c>
      <c r="AU29" s="94">
        <f>((Table3.110[[#This Row],[CH4 24h, ml]]/28.9)*16.04)/Table3.110[[#This Row],[DM Incubated, mg]]*1000</f>
        <v>7.6868082826376849</v>
      </c>
      <c r="AV29" s="94">
        <f>((Table3.110[[#This Row],[CH4 24h, ml]]/28.9)*16.04)/Table3.110[[#This Row],[Digested feed, mg]]*1000</f>
        <v>46.16131967149763</v>
      </c>
      <c r="AW29" s="303"/>
    </row>
    <row r="30" spans="1:50" s="304" customFormat="1" x14ac:dyDescent="0.35">
      <c r="A30" s="89"/>
      <c r="B30" s="90">
        <f t="shared" si="0"/>
        <v>20</v>
      </c>
      <c r="C30" s="140">
        <v>46041</v>
      </c>
      <c r="D30" s="6" t="s">
        <v>16</v>
      </c>
      <c r="E30" s="6" t="s">
        <v>38</v>
      </c>
      <c r="F30" s="133" t="s">
        <v>19</v>
      </c>
      <c r="G30" s="133" t="s">
        <v>20</v>
      </c>
      <c r="H30" s="133" t="s">
        <v>21</v>
      </c>
      <c r="I30" s="6" t="s">
        <v>22</v>
      </c>
      <c r="J30" s="129" t="s">
        <v>23</v>
      </c>
      <c r="K30" s="129" t="s">
        <v>24</v>
      </c>
      <c r="L30" s="6" t="s">
        <v>37</v>
      </c>
      <c r="M30" s="119">
        <v>27</v>
      </c>
      <c r="N30" s="93">
        <v>58</v>
      </c>
      <c r="O30" s="6">
        <v>1</v>
      </c>
      <c r="P30" s="129">
        <v>3</v>
      </c>
      <c r="Q30" s="6">
        <v>200</v>
      </c>
      <c r="R30" s="98">
        <v>0.5</v>
      </c>
      <c r="S30" s="94">
        <f>((Table3.110[[#This Row],[Sample weight, g]]*'2.1. DM'!Q21)/100)*1000</f>
        <v>463.16289539367671</v>
      </c>
      <c r="T30" s="94">
        <f>'3.2 Digest'!W30</f>
        <v>96.662895393676649</v>
      </c>
      <c r="U30" s="117">
        <v>0.37361111111111112</v>
      </c>
      <c r="V30" s="155">
        <v>41.5</v>
      </c>
      <c r="W30" s="117">
        <v>0.70902777777777781</v>
      </c>
      <c r="X30" s="97">
        <v>67</v>
      </c>
      <c r="Y30" s="97">
        <v>14.2</v>
      </c>
      <c r="Z30" s="155">
        <v>40</v>
      </c>
      <c r="AA30" s="117">
        <v>0.37569444444444444</v>
      </c>
      <c r="AB30" s="155">
        <v>64.5</v>
      </c>
      <c r="AC30" s="155">
        <v>17.3</v>
      </c>
      <c r="AD30" s="101"/>
      <c r="AE30" s="94">
        <f>Table3.110[[#This Row],[Gas 8h, ml]]-Table3.110[[#This Row],[Gas 0h, ml]]</f>
        <v>25.5</v>
      </c>
      <c r="AF30" s="94">
        <f>Table3.110[[#This Row],[Gas 24h, ml]]-Table3.110[[#This Row],[V8 Push back, ml]]</f>
        <v>24.5</v>
      </c>
      <c r="AG30" s="94">
        <f>Table3.110[[#This Row],[GP 8h, ml]]-(AVERAGE(AE$11,AE$12,AE$62,AE$61,AE$114,AE$115))*$AG$8</f>
        <v>22.844979731721114</v>
      </c>
      <c r="AH30" s="94">
        <f>Table3.110[[#This Row],[GP 8-24h, ml]]-(AVERAGE(AF$11,AF$12,AF$62,AF$61,AF$114,AF$115))*$AG$8</f>
        <v>20.81247184961266</v>
      </c>
      <c r="AI30" s="94">
        <f>Table3.110[[#This Row],[Net gas 8-24h, ml]]+Table3.110[[#This Row],[Net gas 8h, ml]]</f>
        <v>43.657451581333774</v>
      </c>
      <c r="AJ30" s="94">
        <f>Table3.110[[#This Row],[Net gas 8h, ml]]*Table3.110[[#This Row],[CH4 8h %]]%</f>
        <v>3.2439871219043979</v>
      </c>
      <c r="AK30" s="94">
        <f>Table3.110[[#This Row],[Net gas 8-24h, ml]]*Table3.110[[#This Row],[CH4 24h, %]]%</f>
        <v>3.6005576299829904</v>
      </c>
      <c r="AL30" s="94">
        <f>Table3.110[[#This Row],[CH4 8-24h, ml]]+Table3.110[[#This Row],[CH4 8h, ml]]</f>
        <v>6.8445447518873888</v>
      </c>
      <c r="AM30" s="94">
        <f>(Table3.110[[#This Row],[Net gas 24h, ml]]/Table3.110[[#This Row],[DM Incubated, mg]])*1000</f>
        <v>94.259389116708164</v>
      </c>
      <c r="AN30" s="94">
        <f>'3.2 Digest'!X30</f>
        <v>20.870172536492941</v>
      </c>
      <c r="AO30" s="94">
        <f>Table3.110[[#This Row],[Digested feed, mg]]/Table3.110[[#This Row],[Net gas 24h, ml]]</f>
        <v>2.2141213445222245</v>
      </c>
      <c r="AP30" s="94">
        <f>Table3.110[[#This Row],[CH4 8h, ml]]/Table3.110[[#This Row],[Net gas 8h, ml]]%</f>
        <v>14.199999999999998</v>
      </c>
      <c r="AQ30" s="94">
        <f>Table3.110[[#This Row],[CH4 24h, ml]]/Table3.110[[#This Row],[Net gas 24h, ml]]%</f>
        <v>15.67783849942778</v>
      </c>
      <c r="AR30" s="94">
        <f>Table3.110[[#This Row],[CH4 24h, ml]]/Table3.110[[#This Row],[DM Incubated, mg]]*1000</f>
        <v>14.777834796264711</v>
      </c>
      <c r="AS30" s="94">
        <f>Table3.110[[#This Row],[CH4 24h, ml]]/Table3.110[[#This Row],[Digested feed, mg]]*1000</f>
        <v>70.808397824333483</v>
      </c>
      <c r="AT30" s="94">
        <f>Table3.110[[#This Row],[CH4 24h, ml]]/'3.2 Digest'!AA30</f>
        <v>-0.38629352790868715</v>
      </c>
      <c r="AU30" s="94">
        <f>((Table3.110[[#This Row],[CH4 24h, ml]]/28.9)*16.04)/Table3.110[[#This Row],[DM Incubated, mg]]*1000</f>
        <v>8.2019539838092044</v>
      </c>
      <c r="AV30" s="94">
        <f>((Table3.110[[#This Row],[CH4 24h, ml]]/28.9)*16.04)/Table3.110[[#This Row],[Digested feed, mg]]*1000</f>
        <v>39.299885851290973</v>
      </c>
      <c r="AW30" s="303"/>
    </row>
    <row r="31" spans="1:50" s="304" customFormat="1" x14ac:dyDescent="0.35">
      <c r="A31" s="89"/>
      <c r="B31" s="90">
        <f t="shared" si="0"/>
        <v>21</v>
      </c>
      <c r="C31" s="140">
        <v>46041</v>
      </c>
      <c r="D31" s="6" t="s">
        <v>16</v>
      </c>
      <c r="E31" s="6" t="s">
        <v>40</v>
      </c>
      <c r="F31" s="133" t="s">
        <v>19</v>
      </c>
      <c r="G31" s="133" t="s">
        <v>20</v>
      </c>
      <c r="H31" s="133" t="s">
        <v>21</v>
      </c>
      <c r="I31" s="6" t="s">
        <v>22</v>
      </c>
      <c r="J31" s="129" t="s">
        <v>23</v>
      </c>
      <c r="K31" s="129" t="s">
        <v>24</v>
      </c>
      <c r="L31" s="6" t="s">
        <v>39</v>
      </c>
      <c r="M31" s="119">
        <v>27</v>
      </c>
      <c r="N31" s="93">
        <v>58</v>
      </c>
      <c r="O31" s="6">
        <v>1</v>
      </c>
      <c r="P31" s="129">
        <v>1</v>
      </c>
      <c r="Q31" s="6">
        <v>201</v>
      </c>
      <c r="R31" s="98">
        <v>0.50019999999999998</v>
      </c>
      <c r="S31" s="94">
        <f>((Table3.110[[#This Row],[Sample weight, g]]*'2.1. DM'!Q23)/100)*1000</f>
        <v>473.45267366316818</v>
      </c>
      <c r="T31" s="94">
        <f>'3.2 Digest'!W31</f>
        <v>87.252673663168196</v>
      </c>
      <c r="U31" s="156">
        <v>0.37430555555555556</v>
      </c>
      <c r="V31" s="154">
        <v>41.5</v>
      </c>
      <c r="W31" s="153">
        <v>0.70902777777777781</v>
      </c>
      <c r="X31" s="95">
        <v>65</v>
      </c>
      <c r="Y31" s="95">
        <v>13.6</v>
      </c>
      <c r="Z31" s="154">
        <v>40</v>
      </c>
      <c r="AA31" s="153">
        <v>0.37638888888888888</v>
      </c>
      <c r="AB31" s="154">
        <v>59</v>
      </c>
      <c r="AC31" s="154">
        <v>17.2</v>
      </c>
      <c r="AD31" s="102"/>
      <c r="AE31" s="94">
        <f>Table3.110[[#This Row],[Gas 8h, ml]]-Table3.110[[#This Row],[Gas 0h, ml]]</f>
        <v>23.5</v>
      </c>
      <c r="AF31" s="94">
        <f>Table3.110[[#This Row],[Gas 24h, ml]]-Table3.110[[#This Row],[V8 Push back, ml]]</f>
        <v>19</v>
      </c>
      <c r="AG31" s="94">
        <f>Table3.110[[#This Row],[GP 8h, ml]]-(AVERAGE(AE$11,AE$12,AE$62,AE$61,AE$114,AE$115))*$AG$8</f>
        <v>20.844979731721114</v>
      </c>
      <c r="AH31" s="94">
        <f>Table3.110[[#This Row],[GP 8-24h, ml]]-(AVERAGE(AF$11,AF$12,AF$62,AF$61,AF$114,AF$115))*$AG$8</f>
        <v>15.31247184961266</v>
      </c>
      <c r="AI31" s="94">
        <f>Table3.110[[#This Row],[Net gas 8-24h, ml]]+Table3.110[[#This Row],[Net gas 8h, ml]]</f>
        <v>36.157451581333774</v>
      </c>
      <c r="AJ31" s="94">
        <f>Table3.110[[#This Row],[Net gas 8h, ml]]*Table3.110[[#This Row],[CH4 8h %]]%</f>
        <v>2.8349172435140719</v>
      </c>
      <c r="AK31" s="94">
        <f>Table3.110[[#This Row],[Net gas 8-24h, ml]]*Table3.110[[#This Row],[CH4 24h, %]]%</f>
        <v>2.6337451581333773</v>
      </c>
      <c r="AL31" s="94">
        <f>Table3.110[[#This Row],[CH4 8-24h, ml]]+Table3.110[[#This Row],[CH4 8h, ml]]</f>
        <v>5.4686624016474497</v>
      </c>
      <c r="AM31" s="94">
        <f>(Table3.110[[#This Row],[Net gas 24h, ml]]/Table3.110[[#This Row],[DM Incubated, mg]])*1000</f>
        <v>76.369727308916893</v>
      </c>
      <c r="AN31" s="94">
        <f>'3.2 Digest'!X31</f>
        <v>18.429016988769398</v>
      </c>
      <c r="AO31" s="94">
        <f>Table3.110[[#This Row],[Digested feed, mg]]/Table3.110[[#This Row],[Net gas 24h, ml]]</f>
        <v>2.4131311762085645</v>
      </c>
      <c r="AP31" s="94">
        <f>Table3.110[[#This Row],[CH4 8h, ml]]/Table3.110[[#This Row],[Net gas 8h, ml]]%</f>
        <v>13.600000000000001</v>
      </c>
      <c r="AQ31" s="94">
        <f>Table3.110[[#This Row],[CH4 24h, ml]]/Table3.110[[#This Row],[Net gas 24h, ml]]%</f>
        <v>15.124579201457435</v>
      </c>
      <c r="AR31" s="94">
        <f>Table3.110[[#This Row],[CH4 24h, ml]]/Table3.110[[#This Row],[DM Incubated, mg]]*1000</f>
        <v>11.550599892774201</v>
      </c>
      <c r="AS31" s="94">
        <f>Table3.110[[#This Row],[CH4 24h, ml]]/Table3.110[[#This Row],[Digested feed, mg]]*1000</f>
        <v>62.676158472332588</v>
      </c>
      <c r="AT31" s="94">
        <f>Table3.110[[#This Row],[CH4 24h, ml]]/'3.2 Digest'!AA31</f>
        <v>-0.26832924517719831</v>
      </c>
      <c r="AU31" s="94">
        <f>((Table3.110[[#This Row],[CH4 24h, ml]]/28.9)*16.04)/Table3.110[[#This Row],[DM Incubated, mg]]*1000</f>
        <v>6.4107827778580688</v>
      </c>
      <c r="AV31" s="94">
        <f>((Table3.110[[#This Row],[CH4 24h, ml]]/28.9)*16.04)/Table3.110[[#This Row],[Digested feed, mg]]*1000</f>
        <v>34.786352314747916</v>
      </c>
      <c r="AW31" s="303"/>
    </row>
    <row r="32" spans="1:50" s="304" customFormat="1" x14ac:dyDescent="0.35">
      <c r="A32" s="89"/>
      <c r="B32" s="90">
        <f t="shared" si="0"/>
        <v>22</v>
      </c>
      <c r="C32" s="140">
        <v>46041</v>
      </c>
      <c r="D32" s="6" t="s">
        <v>16</v>
      </c>
      <c r="E32" s="6" t="s">
        <v>40</v>
      </c>
      <c r="F32" s="133" t="s">
        <v>19</v>
      </c>
      <c r="G32" s="133" t="s">
        <v>20</v>
      </c>
      <c r="H32" s="133" t="s">
        <v>21</v>
      </c>
      <c r="I32" s="6" t="s">
        <v>22</v>
      </c>
      <c r="J32" s="129" t="s">
        <v>23</v>
      </c>
      <c r="K32" s="129" t="s">
        <v>24</v>
      </c>
      <c r="L32" s="6" t="s">
        <v>39</v>
      </c>
      <c r="M32" s="119">
        <v>27</v>
      </c>
      <c r="N32" s="93">
        <v>58</v>
      </c>
      <c r="O32" s="6">
        <v>1</v>
      </c>
      <c r="P32" s="6">
        <v>2</v>
      </c>
      <c r="Q32" s="6">
        <v>202</v>
      </c>
      <c r="R32" s="98">
        <v>0.50049999999999994</v>
      </c>
      <c r="S32" s="94">
        <f>((Table3.110[[#This Row],[Sample weight, g]]*'2.1. DM'!Q23)/100)*1000</f>
        <v>473.73663168415771</v>
      </c>
      <c r="T32" s="94">
        <f>'3.2 Digest'!W32</f>
        <v>92.236631684157658</v>
      </c>
      <c r="U32" s="117">
        <v>0.37430555555555556</v>
      </c>
      <c r="V32" s="155">
        <v>41</v>
      </c>
      <c r="W32" s="117">
        <v>0.70972222222222225</v>
      </c>
      <c r="X32" s="97">
        <v>63</v>
      </c>
      <c r="Y32" s="97">
        <v>15</v>
      </c>
      <c r="Z32" s="155">
        <v>41</v>
      </c>
      <c r="AA32" s="117">
        <v>0.37638888888888888</v>
      </c>
      <c r="AB32" s="155">
        <v>60</v>
      </c>
      <c r="AC32" s="155">
        <v>17.5</v>
      </c>
      <c r="AD32" s="96"/>
      <c r="AE32" s="94">
        <f>Table3.110[[#This Row],[Gas 8h, ml]]-Table3.110[[#This Row],[Gas 0h, ml]]</f>
        <v>22</v>
      </c>
      <c r="AF32" s="94">
        <f>Table3.110[[#This Row],[Gas 24h, ml]]-Table3.110[[#This Row],[V8 Push back, ml]]</f>
        <v>19</v>
      </c>
      <c r="AG32" s="94">
        <f>Table3.110[[#This Row],[GP 8h, ml]]-(AVERAGE(AE$11,AE$12,AE$62,AE$61,AE$114,AE$115))*$AG$8</f>
        <v>19.344979731721114</v>
      </c>
      <c r="AH32" s="94">
        <f>Table3.110[[#This Row],[GP 8-24h, ml]]-(AVERAGE(AF$11,AF$12,AF$62,AF$61,AF$114,AF$115))*$AG$8</f>
        <v>15.31247184961266</v>
      </c>
      <c r="AI32" s="94">
        <f>Table3.110[[#This Row],[Net gas 8-24h, ml]]+Table3.110[[#This Row],[Net gas 8h, ml]]</f>
        <v>34.657451581333774</v>
      </c>
      <c r="AJ32" s="94">
        <f>Table3.110[[#This Row],[Net gas 8h, ml]]*Table3.110[[#This Row],[CH4 8h %]]%</f>
        <v>2.9017469597581669</v>
      </c>
      <c r="AK32" s="94">
        <f>Table3.110[[#This Row],[Net gas 8-24h, ml]]*Table3.110[[#This Row],[CH4 24h, %]]%</f>
        <v>2.6796825736822152</v>
      </c>
      <c r="AL32" s="94">
        <f>Table3.110[[#This Row],[CH4 8-24h, ml]]+Table3.110[[#This Row],[CH4 8h, ml]]</f>
        <v>5.5814295334403816</v>
      </c>
      <c r="AM32" s="94">
        <f>(Table3.110[[#This Row],[Net gas 24h, ml]]/Table3.110[[#This Row],[DM Incubated, mg]])*1000</f>
        <v>73.157634988294618</v>
      </c>
      <c r="AN32" s="94">
        <f>'3.2 Digest'!X32</f>
        <v>19.470023113106489</v>
      </c>
      <c r="AO32" s="94">
        <f>Table3.110[[#This Row],[Digested feed, mg]]/Table3.110[[#This Row],[Net gas 24h, ml]]</f>
        <v>2.6613795151007458</v>
      </c>
      <c r="AP32" s="94">
        <f>Table3.110[[#This Row],[CH4 8h, ml]]/Table3.110[[#This Row],[Net gas 8h, ml]]%</f>
        <v>14.999999999999998</v>
      </c>
      <c r="AQ32" s="94">
        <f>Table3.110[[#This Row],[CH4 24h, ml]]/Table3.110[[#This Row],[Net gas 24h, ml]]%</f>
        <v>16.10455841030878</v>
      </c>
      <c r="AR32" s="94">
        <f>Table3.110[[#This Row],[CH4 24h, ml]]/Table3.110[[#This Row],[DM Incubated, mg]]*1000</f>
        <v>11.781714058290399</v>
      </c>
      <c r="AS32" s="94">
        <f>Table3.110[[#This Row],[CH4 24h, ml]]/Table3.110[[#This Row],[Digested feed, mg]]*1000</f>
        <v>60.512070221218138</v>
      </c>
      <c r="AT32" s="94">
        <f>Table3.110[[#This Row],[CH4 24h, ml]]/'3.2 Digest'!AA32</f>
        <v>-0.29618932396336356</v>
      </c>
      <c r="AU32" s="94">
        <f>((Table3.110[[#This Row],[CH4 24h, ml]]/28.9)*16.04)/Table3.110[[#This Row],[DM Incubated, mg]]*1000</f>
        <v>6.5390551382345317</v>
      </c>
      <c r="AV32" s="94">
        <f>((Table3.110[[#This Row],[CH4 24h, ml]]/28.9)*16.04)/Table3.110[[#This Row],[Digested feed, mg]]*1000</f>
        <v>33.585245894406185</v>
      </c>
      <c r="AW32" s="303"/>
    </row>
    <row r="33" spans="1:49" s="304" customFormat="1" x14ac:dyDescent="0.35">
      <c r="A33" s="89"/>
      <c r="B33" s="90">
        <f t="shared" si="0"/>
        <v>23</v>
      </c>
      <c r="C33" s="140">
        <v>46041</v>
      </c>
      <c r="D33" s="6" t="s">
        <v>16</v>
      </c>
      <c r="E33" s="6" t="s">
        <v>40</v>
      </c>
      <c r="F33" s="133" t="s">
        <v>19</v>
      </c>
      <c r="G33" s="133" t="s">
        <v>20</v>
      </c>
      <c r="H33" s="133" t="s">
        <v>21</v>
      </c>
      <c r="I33" s="6" t="s">
        <v>22</v>
      </c>
      <c r="J33" s="129" t="s">
        <v>23</v>
      </c>
      <c r="K33" s="129" t="s">
        <v>24</v>
      </c>
      <c r="L33" s="6" t="s">
        <v>39</v>
      </c>
      <c r="M33" s="119">
        <v>27</v>
      </c>
      <c r="N33" s="93">
        <v>58</v>
      </c>
      <c r="O33" s="6">
        <v>1</v>
      </c>
      <c r="P33" s="129">
        <v>3</v>
      </c>
      <c r="Q33" s="6">
        <v>203</v>
      </c>
      <c r="R33" s="98">
        <v>0.50019999999999998</v>
      </c>
      <c r="S33" s="94">
        <f>((Table3.110[[#This Row],[Sample weight, g]]*'2.1. DM'!Q23)/100)*1000</f>
        <v>473.45267366316818</v>
      </c>
      <c r="T33" s="94">
        <f>'3.2 Digest'!W33</f>
        <v>67.452673663168241</v>
      </c>
      <c r="U33" s="153">
        <v>0.37430555555555556</v>
      </c>
      <c r="V33" s="154">
        <v>42</v>
      </c>
      <c r="W33" s="153">
        <v>0.7104166666666667</v>
      </c>
      <c r="X33" s="95">
        <v>65.5</v>
      </c>
      <c r="Y33" s="95">
        <v>13.6</v>
      </c>
      <c r="Z33" s="154">
        <v>40</v>
      </c>
      <c r="AA33" s="153">
        <v>0.37708333333333333</v>
      </c>
      <c r="AB33" s="154">
        <v>68.5</v>
      </c>
      <c r="AC33" s="154">
        <v>17.399999999999999</v>
      </c>
      <c r="AD33" s="91"/>
      <c r="AE33" s="94">
        <f>Table3.110[[#This Row],[Gas 8h, ml]]-Table3.110[[#This Row],[Gas 0h, ml]]</f>
        <v>23.5</v>
      </c>
      <c r="AF33" s="94">
        <f>Table3.110[[#This Row],[Gas 24h, ml]]-Table3.110[[#This Row],[V8 Push back, ml]]</f>
        <v>28.5</v>
      </c>
      <c r="AG33" s="94">
        <f>Table3.110[[#This Row],[GP 8h, ml]]-(AVERAGE(AE$11,AE$12,AE$62,AE$61,AE$114,AE$115))*$AG$8</f>
        <v>20.844979731721114</v>
      </c>
      <c r="AH33" s="94">
        <f>Table3.110[[#This Row],[GP 8-24h, ml]]-(AVERAGE(AF$11,AF$12,AF$62,AF$61,AF$114,AF$115))*$AG$8</f>
        <v>24.81247184961266</v>
      </c>
      <c r="AI33" s="94">
        <f>Table3.110[[#This Row],[Net gas 8-24h, ml]]+Table3.110[[#This Row],[Net gas 8h, ml]]</f>
        <v>45.657451581333774</v>
      </c>
      <c r="AJ33" s="94">
        <f>Table3.110[[#This Row],[Net gas 8h, ml]]*Table3.110[[#This Row],[CH4 8h %]]%</f>
        <v>2.8349172435140719</v>
      </c>
      <c r="AK33" s="94">
        <f>Table3.110[[#This Row],[Net gas 8-24h, ml]]*Table3.110[[#This Row],[CH4 24h, %]]%</f>
        <v>4.3173701018326023</v>
      </c>
      <c r="AL33" s="94">
        <f>Table3.110[[#This Row],[CH4 8-24h, ml]]+Table3.110[[#This Row],[CH4 8h, ml]]</f>
        <v>7.1522873453466742</v>
      </c>
      <c r="AM33" s="94">
        <f>(Table3.110[[#This Row],[Net gas 24h, ml]]/Table3.110[[#This Row],[DM Incubated, mg]])*1000</f>
        <v>96.435090815045598</v>
      </c>
      <c r="AN33" s="94">
        <f>'3.2 Digest'!X33</f>
        <v>14.24697280538679</v>
      </c>
      <c r="AO33" s="94">
        <f>Table3.110[[#This Row],[Digested feed, mg]]/Table3.110[[#This Row],[Net gas 24h, ml]]</f>
        <v>1.4773639641934166</v>
      </c>
      <c r="AP33" s="94">
        <f>Table3.110[[#This Row],[CH4 8h, ml]]/Table3.110[[#This Row],[Net gas 8h, ml]]%</f>
        <v>13.600000000000001</v>
      </c>
      <c r="AQ33" s="94">
        <f>Table3.110[[#This Row],[CH4 24h, ml]]/Table3.110[[#This Row],[Net gas 24h, ml]]%</f>
        <v>15.665104156340513</v>
      </c>
      <c r="AR33" s="94">
        <f>Table3.110[[#This Row],[CH4 24h, ml]]/Table3.110[[#This Row],[DM Incubated, mg]]*1000</f>
        <v>15.106657419438458</v>
      </c>
      <c r="AS33" s="94">
        <f>Table3.110[[#This Row],[CH4 24h, ml]]/Table3.110[[#This Row],[Digested feed, mg]]*1000</f>
        <v>106.03415634882533</v>
      </c>
      <c r="AT33" s="94">
        <f>Table3.110[[#This Row],[CH4 24h, ml]]/'3.2 Digest'!AA33</f>
        <v>-0.26936728546268796</v>
      </c>
      <c r="AU33" s="94">
        <f>((Table3.110[[#This Row],[CH4 24h, ml]]/28.9)*16.04)/Table3.110[[#This Row],[DM Incubated, mg]]*1000</f>
        <v>8.3844562286433515</v>
      </c>
      <c r="AV33" s="94">
        <f>((Table3.110[[#This Row],[CH4 24h, ml]]/28.9)*16.04)/Table3.110[[#This Row],[Digested feed, mg]]*1000</f>
        <v>58.850791274572956</v>
      </c>
      <c r="AW33" s="303"/>
    </row>
    <row r="34" spans="1:49" s="304" customFormat="1" x14ac:dyDescent="0.35">
      <c r="A34" s="89"/>
      <c r="B34" s="90">
        <f t="shared" si="0"/>
        <v>24</v>
      </c>
      <c r="C34" s="140">
        <v>46041</v>
      </c>
      <c r="D34" s="6" t="s">
        <v>16</v>
      </c>
      <c r="E34" s="6" t="s">
        <v>42</v>
      </c>
      <c r="F34" s="133" t="s">
        <v>19</v>
      </c>
      <c r="G34" s="133" t="s">
        <v>20</v>
      </c>
      <c r="H34" s="133" t="s">
        <v>21</v>
      </c>
      <c r="I34" s="6" t="s">
        <v>22</v>
      </c>
      <c r="J34" s="129" t="s">
        <v>23</v>
      </c>
      <c r="K34" s="129" t="s">
        <v>24</v>
      </c>
      <c r="L34" s="6" t="s">
        <v>41</v>
      </c>
      <c r="M34" s="119">
        <v>27</v>
      </c>
      <c r="N34" s="93">
        <v>58</v>
      </c>
      <c r="O34" s="6">
        <v>1</v>
      </c>
      <c r="P34" s="129">
        <v>1</v>
      </c>
      <c r="Q34" s="6">
        <v>204</v>
      </c>
      <c r="R34" s="98">
        <v>0.50009999999999999</v>
      </c>
      <c r="S34" s="94">
        <f>((Table3.110[[#This Row],[Sample weight, g]]*'2.1. DM'!Q25)/100)*1000</f>
        <v>475.03002523680652</v>
      </c>
      <c r="T34" s="94">
        <f>'3.2 Digest'!W34</f>
        <v>84.230025236806512</v>
      </c>
      <c r="U34" s="117">
        <v>0.375</v>
      </c>
      <c r="V34" s="155">
        <v>41.5</v>
      </c>
      <c r="W34" s="117">
        <v>0.7104166666666667</v>
      </c>
      <c r="X34" s="97">
        <v>61.5</v>
      </c>
      <c r="Y34" s="97">
        <v>14.9</v>
      </c>
      <c r="Z34" s="155">
        <v>41</v>
      </c>
      <c r="AA34" s="117">
        <v>0.37708333333333333</v>
      </c>
      <c r="AB34" s="155">
        <v>60.5</v>
      </c>
      <c r="AC34" s="155">
        <v>17.3</v>
      </c>
      <c r="AD34" s="96"/>
      <c r="AE34" s="94">
        <f>Table3.110[[#This Row],[Gas 8h, ml]]-Table3.110[[#This Row],[Gas 0h, ml]]</f>
        <v>20</v>
      </c>
      <c r="AF34" s="94">
        <f>Table3.110[[#This Row],[Gas 24h, ml]]-Table3.110[[#This Row],[V8 Push back, ml]]</f>
        <v>19.5</v>
      </c>
      <c r="AG34" s="94">
        <f>Table3.110[[#This Row],[GP 8h, ml]]-(AVERAGE(AE$11,AE$12,AE$62,AE$61,AE$114,AE$115))*$AG$8</f>
        <v>17.344979731721114</v>
      </c>
      <c r="AH34" s="94">
        <f>Table3.110[[#This Row],[GP 8-24h, ml]]-(AVERAGE(AF$11,AF$12,AF$62,AF$61,AF$114,AF$115))*$AG$8</f>
        <v>15.81247184961266</v>
      </c>
      <c r="AI34" s="94">
        <f>Table3.110[[#This Row],[Net gas 8-24h, ml]]+Table3.110[[#This Row],[Net gas 8h, ml]]</f>
        <v>33.157451581333774</v>
      </c>
      <c r="AJ34" s="94">
        <f>Table3.110[[#This Row],[Net gas 8h, ml]]*Table3.110[[#This Row],[CH4 8h %]]%</f>
        <v>2.5844019800264459</v>
      </c>
      <c r="AK34" s="94">
        <f>Table3.110[[#This Row],[Net gas 8-24h, ml]]*Table3.110[[#This Row],[CH4 24h, %]]%</f>
        <v>2.7355576299829902</v>
      </c>
      <c r="AL34" s="94">
        <f>Table3.110[[#This Row],[CH4 8-24h, ml]]+Table3.110[[#This Row],[CH4 8h, ml]]</f>
        <v>5.3199596100094357</v>
      </c>
      <c r="AM34" s="94">
        <f>(Table3.110[[#This Row],[Net gas 24h, ml]]/Table3.110[[#This Row],[DM Incubated, mg]])*1000</f>
        <v>69.800749046977614</v>
      </c>
      <c r="AN34" s="94">
        <f>'3.2 Digest'!X34</f>
        <v>17.731516064656571</v>
      </c>
      <c r="AO34" s="94">
        <f>Table3.110[[#This Row],[Digested feed, mg]]/Table3.110[[#This Row],[Net gas 24h, ml]]</f>
        <v>2.5403045535690207</v>
      </c>
      <c r="AP34" s="94">
        <f>Table3.110[[#This Row],[CH4 8h, ml]]/Table3.110[[#This Row],[Net gas 8h, ml]]%</f>
        <v>14.9</v>
      </c>
      <c r="AQ34" s="94">
        <f>Table3.110[[#This Row],[CH4 24h, ml]]/Table3.110[[#This Row],[Net gas 24h, ml]]%</f>
        <v>16.044537068718348</v>
      </c>
      <c r="AR34" s="94">
        <f>Table3.110[[#This Row],[CH4 24h, ml]]/Table3.110[[#This Row],[DM Incubated, mg]]*1000</f>
        <v>11.199207055085392</v>
      </c>
      <c r="AS34" s="94">
        <f>Table3.110[[#This Row],[CH4 24h, ml]]/Table3.110[[#This Row],[Digested feed, mg]]*1000</f>
        <v>63.159895714773455</v>
      </c>
      <c r="AT34" s="94">
        <f>Table3.110[[#This Row],[CH4 24h, ml]]/'3.2 Digest'!AA34</f>
        <v>-0.23757475909247586</v>
      </c>
      <c r="AU34" s="94">
        <f>((Table3.110[[#This Row],[CH4 24h, ml]]/28.9)*16.04)/Table3.110[[#This Row],[DM Incubated, mg]]*1000</f>
        <v>6.2157536734799201</v>
      </c>
      <c r="AV34" s="94">
        <f>((Table3.110[[#This Row],[CH4 24h, ml]]/28.9)*16.04)/Table3.110[[#This Row],[Digested feed, mg]]*1000</f>
        <v>35.054834853459042</v>
      </c>
      <c r="AW34" s="303"/>
    </row>
    <row r="35" spans="1:49" s="304" customFormat="1" x14ac:dyDescent="0.35">
      <c r="A35" s="89"/>
      <c r="B35" s="90">
        <f t="shared" si="0"/>
        <v>25</v>
      </c>
      <c r="C35" s="140">
        <v>46041</v>
      </c>
      <c r="D35" s="6" t="s">
        <v>16</v>
      </c>
      <c r="E35" s="6" t="s">
        <v>42</v>
      </c>
      <c r="F35" s="133" t="s">
        <v>19</v>
      </c>
      <c r="G35" s="133" t="s">
        <v>20</v>
      </c>
      <c r="H35" s="133" t="s">
        <v>21</v>
      </c>
      <c r="I35" s="6" t="s">
        <v>22</v>
      </c>
      <c r="J35" s="129" t="s">
        <v>23</v>
      </c>
      <c r="K35" s="129" t="s">
        <v>24</v>
      </c>
      <c r="L35" s="6" t="s">
        <v>41</v>
      </c>
      <c r="M35" s="119">
        <v>27</v>
      </c>
      <c r="N35" s="93">
        <v>58</v>
      </c>
      <c r="O35" s="6">
        <v>1</v>
      </c>
      <c r="P35" s="129">
        <v>2</v>
      </c>
      <c r="Q35" s="6">
        <v>205</v>
      </c>
      <c r="R35" s="98">
        <v>0.50019999999999998</v>
      </c>
      <c r="S35" s="94">
        <f>((Table3.110[[#This Row],[Sample weight, g]]*'2.1. DM'!Q25)/100)*1000</f>
        <v>475.12501224445236</v>
      </c>
      <c r="T35" s="94">
        <f>'3.2 Digest'!W35</f>
        <v>95.925012244452375</v>
      </c>
      <c r="U35" s="153">
        <v>0.375</v>
      </c>
      <c r="V35" s="154">
        <v>41.5</v>
      </c>
      <c r="W35" s="153">
        <v>0.71111111111111114</v>
      </c>
      <c r="X35" s="95">
        <v>64.5</v>
      </c>
      <c r="Y35" s="95">
        <v>13.7</v>
      </c>
      <c r="Z35" s="154">
        <v>41.5</v>
      </c>
      <c r="AA35" s="153">
        <v>0.37777777777777777</v>
      </c>
      <c r="AB35" s="154">
        <v>60.5</v>
      </c>
      <c r="AC35" s="154">
        <v>17.100000000000001</v>
      </c>
      <c r="AD35" s="91"/>
      <c r="AE35" s="94">
        <f>Table3.110[[#This Row],[Gas 8h, ml]]-Table3.110[[#This Row],[Gas 0h, ml]]</f>
        <v>23</v>
      </c>
      <c r="AF35" s="94">
        <f>Table3.110[[#This Row],[Gas 24h, ml]]-Table3.110[[#This Row],[V8 Push back, ml]]</f>
        <v>19</v>
      </c>
      <c r="AG35" s="94">
        <f>Table3.110[[#This Row],[GP 8h, ml]]-(AVERAGE(AE$11,AE$12,AE$62,AE$61,AE$114,AE$115))*$AG$8</f>
        <v>20.344979731721114</v>
      </c>
      <c r="AH35" s="94">
        <f>Table3.110[[#This Row],[GP 8-24h, ml]]-(AVERAGE(AF$11,AF$12,AF$62,AF$61,AF$114,AF$115))*$AG$8</f>
        <v>15.31247184961266</v>
      </c>
      <c r="AI35" s="94">
        <f>Table3.110[[#This Row],[Net gas 8-24h, ml]]+Table3.110[[#This Row],[Net gas 8h, ml]]</f>
        <v>35.657451581333774</v>
      </c>
      <c r="AJ35" s="94">
        <f>Table3.110[[#This Row],[Net gas 8h, ml]]*Table3.110[[#This Row],[CH4 8h %]]%</f>
        <v>2.7872622232457922</v>
      </c>
      <c r="AK35" s="94">
        <f>Table3.110[[#This Row],[Net gas 8-24h, ml]]*Table3.110[[#This Row],[CH4 24h, %]]%</f>
        <v>2.6184326862837648</v>
      </c>
      <c r="AL35" s="94">
        <f>Table3.110[[#This Row],[CH4 8-24h, ml]]+Table3.110[[#This Row],[CH4 8h, ml]]</f>
        <v>5.405694909529557</v>
      </c>
      <c r="AM35" s="94">
        <f>(Table3.110[[#This Row],[Net gas 24h, ml]]/Table3.110[[#This Row],[DM Incubated, mg]])*1000</f>
        <v>75.048567560968507</v>
      </c>
      <c r="AN35" s="94">
        <f>'3.2 Digest'!X35</f>
        <v>20.189425892631991</v>
      </c>
      <c r="AO35" s="94">
        <f>Table3.110[[#This Row],[Digested feed, mg]]/Table3.110[[#This Row],[Net gas 24h, ml]]</f>
        <v>2.6901813783761233</v>
      </c>
      <c r="AP35" s="94">
        <f>Table3.110[[#This Row],[CH4 8h, ml]]/Table3.110[[#This Row],[Net gas 8h, ml]]%</f>
        <v>13.699999999999998</v>
      </c>
      <c r="AQ35" s="94">
        <f>Table3.110[[#This Row],[CH4 24h, ml]]/Table3.110[[#This Row],[Net gas 24h, ml]]%</f>
        <v>15.160070812125479</v>
      </c>
      <c r="AR35" s="94">
        <f>Table3.110[[#This Row],[CH4 24h, ml]]/Table3.110[[#This Row],[DM Incubated, mg]]*1000</f>
        <v>11.377415985728659</v>
      </c>
      <c r="AS35" s="94">
        <f>Table3.110[[#This Row],[CH4 24h, ml]]/Table3.110[[#This Row],[Digested feed, mg]]*1000</f>
        <v>56.353340834128318</v>
      </c>
      <c r="AT35" s="94">
        <f>Table3.110[[#This Row],[CH4 24h, ml]]/'3.2 Digest'!AA35</f>
        <v>-0.28851776551576175</v>
      </c>
      <c r="AU35" s="94">
        <f>((Table3.110[[#This Row],[CH4 24h, ml]]/28.9)*16.04)/Table3.110[[#This Row],[DM Incubated, mg]]*1000</f>
        <v>6.3146627131864257</v>
      </c>
      <c r="AV35" s="94">
        <f>((Table3.110[[#This Row],[CH4 24h, ml]]/28.9)*16.04)/Table3.110[[#This Row],[Digested feed, mg]]*1000</f>
        <v>31.277079134235926</v>
      </c>
      <c r="AW35" s="303"/>
    </row>
    <row r="36" spans="1:49" s="304" customFormat="1" x14ac:dyDescent="0.35">
      <c r="A36" s="89"/>
      <c r="B36" s="90">
        <f t="shared" si="0"/>
        <v>26</v>
      </c>
      <c r="C36" s="140">
        <v>46041</v>
      </c>
      <c r="D36" s="6" t="s">
        <v>16</v>
      </c>
      <c r="E36" s="6" t="s">
        <v>42</v>
      </c>
      <c r="F36" s="133" t="s">
        <v>19</v>
      </c>
      <c r="G36" s="133" t="s">
        <v>20</v>
      </c>
      <c r="H36" s="133" t="s">
        <v>21</v>
      </c>
      <c r="I36" s="6" t="s">
        <v>22</v>
      </c>
      <c r="J36" s="129" t="s">
        <v>23</v>
      </c>
      <c r="K36" s="129" t="s">
        <v>24</v>
      </c>
      <c r="L36" s="6" t="s">
        <v>41</v>
      </c>
      <c r="M36" s="119">
        <v>27</v>
      </c>
      <c r="N36" s="93">
        <v>58</v>
      </c>
      <c r="O36" s="6">
        <v>1</v>
      </c>
      <c r="P36" s="129">
        <v>3</v>
      </c>
      <c r="Q36" s="6">
        <v>206</v>
      </c>
      <c r="R36" s="98">
        <v>0.50070000000000003</v>
      </c>
      <c r="S36" s="94">
        <f>((Table3.110[[#This Row],[Sample weight, g]]*'2.1. DM'!Q25)/100)*1000</f>
        <v>475.59994728268157</v>
      </c>
      <c r="T36" s="94">
        <f>'3.2 Digest'!W36</f>
        <v>0</v>
      </c>
      <c r="U36" s="117">
        <v>0.37569444444444444</v>
      </c>
      <c r="V36" s="155">
        <v>42</v>
      </c>
      <c r="W36" s="117">
        <v>0.71180555555555558</v>
      </c>
      <c r="X36" s="97">
        <v>62</v>
      </c>
      <c r="Y36" s="97">
        <v>13.5</v>
      </c>
      <c r="Z36" s="155">
        <v>41</v>
      </c>
      <c r="AA36" s="117">
        <v>0.37777777777777777</v>
      </c>
      <c r="AB36" s="155">
        <v>59</v>
      </c>
      <c r="AC36" s="155">
        <v>17.2</v>
      </c>
      <c r="AD36" s="96"/>
      <c r="AE36" s="94">
        <f>Table3.110[[#This Row],[Gas 8h, ml]]-Table3.110[[#This Row],[Gas 0h, ml]]</f>
        <v>20</v>
      </c>
      <c r="AF36" s="94">
        <f>Table3.110[[#This Row],[Gas 24h, ml]]-Table3.110[[#This Row],[V8 Push back, ml]]</f>
        <v>18</v>
      </c>
      <c r="AG36" s="94"/>
      <c r="AH36" s="94"/>
      <c r="AI36" s="94"/>
      <c r="AJ36" s="94"/>
      <c r="AK36" s="94"/>
      <c r="AL36" s="94"/>
      <c r="AM36" s="94"/>
      <c r="AN36" s="94"/>
      <c r="AO36" s="94"/>
      <c r="AP36" s="94"/>
      <c r="AQ36" s="94"/>
      <c r="AR36" s="94"/>
      <c r="AS36" s="94"/>
      <c r="AT36" s="94"/>
      <c r="AU36" s="94"/>
      <c r="AV36" s="94"/>
      <c r="AW36" s="303" t="s">
        <v>608</v>
      </c>
    </row>
    <row r="37" spans="1:49" s="304" customFormat="1" x14ac:dyDescent="0.35">
      <c r="A37" s="89"/>
      <c r="B37" s="90">
        <f t="shared" si="0"/>
        <v>27</v>
      </c>
      <c r="C37" s="140">
        <v>46041</v>
      </c>
      <c r="D37" s="6" t="s">
        <v>16</v>
      </c>
      <c r="E37" s="6" t="s">
        <v>44</v>
      </c>
      <c r="F37" s="133" t="s">
        <v>19</v>
      </c>
      <c r="G37" s="133" t="s">
        <v>20</v>
      </c>
      <c r="H37" s="133" t="s">
        <v>21</v>
      </c>
      <c r="I37" s="6" t="s">
        <v>22</v>
      </c>
      <c r="J37" s="129" t="s">
        <v>23</v>
      </c>
      <c r="K37" s="129" t="s">
        <v>24</v>
      </c>
      <c r="L37" s="6" t="s">
        <v>43</v>
      </c>
      <c r="M37" s="119">
        <v>27</v>
      </c>
      <c r="N37" s="93">
        <v>58</v>
      </c>
      <c r="O37" s="6">
        <v>1</v>
      </c>
      <c r="P37" s="6">
        <v>1</v>
      </c>
      <c r="Q37" s="6">
        <v>207</v>
      </c>
      <c r="R37" s="98">
        <v>0.50039999999999996</v>
      </c>
      <c r="S37" s="94">
        <f>((Table3.110[[#This Row],[Sample weight, g]]*'2.1. DM'!Q27)/100)*1000</f>
        <v>473.09454327403586</v>
      </c>
      <c r="T37" s="94">
        <f>'3.2 Digest'!W37</f>
        <v>82.394543274035925</v>
      </c>
      <c r="U37" s="153">
        <v>0.37569444444444444</v>
      </c>
      <c r="V37" s="154">
        <v>41.5</v>
      </c>
      <c r="W37" s="153">
        <v>0.71250000000000002</v>
      </c>
      <c r="X37" s="95">
        <v>63.5</v>
      </c>
      <c r="Y37" s="95">
        <v>13.8</v>
      </c>
      <c r="Z37" s="154">
        <v>42.5</v>
      </c>
      <c r="AA37" s="153">
        <v>0.37847222222222221</v>
      </c>
      <c r="AB37" s="154">
        <v>63.5</v>
      </c>
      <c r="AC37" s="154">
        <v>17.7</v>
      </c>
      <c r="AD37" s="91"/>
      <c r="AE37" s="94">
        <f>Table3.110[[#This Row],[Gas 8h, ml]]-Table3.110[[#This Row],[Gas 0h, ml]]</f>
        <v>22</v>
      </c>
      <c r="AF37" s="94">
        <f>Table3.110[[#This Row],[Gas 24h, ml]]-Table3.110[[#This Row],[V8 Push back, ml]]</f>
        <v>21</v>
      </c>
      <c r="AG37" s="94">
        <f>Table3.110[[#This Row],[GP 8h, ml]]-(AVERAGE(AE$11,AE$12,AE$62,AE$61,AE$114,AE$115))*$AG$8</f>
        <v>19.344979731721114</v>
      </c>
      <c r="AH37" s="94">
        <f>Table3.110[[#This Row],[GP 8-24h, ml]]-(AVERAGE(AF$11,AF$12,AF$62,AF$61,AF$114,AF$115))*$AG$8</f>
        <v>17.31247184961266</v>
      </c>
      <c r="AI37" s="94">
        <f>Table3.110[[#This Row],[Net gas 8-24h, ml]]+Table3.110[[#This Row],[Net gas 8h, ml]]</f>
        <v>36.657451581333774</v>
      </c>
      <c r="AJ37" s="94">
        <f>Table3.110[[#This Row],[Net gas 8h, ml]]*Table3.110[[#This Row],[CH4 8h %]]%</f>
        <v>2.669607202977514</v>
      </c>
      <c r="AK37" s="94">
        <f>Table3.110[[#This Row],[Net gas 8-24h, ml]]*Table3.110[[#This Row],[CH4 24h, %]]%</f>
        <v>3.0643075173814407</v>
      </c>
      <c r="AL37" s="94">
        <f>Table3.110[[#This Row],[CH4 8-24h, ml]]+Table3.110[[#This Row],[CH4 8h, ml]]</f>
        <v>5.7339147203589551</v>
      </c>
      <c r="AM37" s="94">
        <f>(Table3.110[[#This Row],[Net gas 24h, ml]]/Table3.110[[#This Row],[DM Incubated, mg]])*1000</f>
        <v>77.484410045499644</v>
      </c>
      <c r="AN37" s="94">
        <f>'3.2 Digest'!X37</f>
        <v>17.416084046082435</v>
      </c>
      <c r="AO37" s="94">
        <f>Table3.110[[#This Row],[Digested feed, mg]]/Table3.110[[#This Row],[Net gas 24h, ml]]</f>
        <v>2.2476887977666125</v>
      </c>
      <c r="AP37" s="94">
        <f>Table3.110[[#This Row],[CH4 8h, ml]]/Table3.110[[#This Row],[Net gas 8h, ml]]%</f>
        <v>13.8</v>
      </c>
      <c r="AQ37" s="94">
        <f>Table3.110[[#This Row],[CH4 24h, ml]]/Table3.110[[#This Row],[Net gas 24h, ml]]%</f>
        <v>15.641880362678306</v>
      </c>
      <c r="AR37" s="94">
        <f>Table3.110[[#This Row],[CH4 24h, ml]]/Table3.110[[#This Row],[DM Incubated, mg]]*1000</f>
        <v>12.120018719044145</v>
      </c>
      <c r="AS37" s="94">
        <f>Table3.110[[#This Row],[CH4 24h, ml]]/Table3.110[[#This Row],[Digested feed, mg]]*1000</f>
        <v>69.590952173720211</v>
      </c>
      <c r="AT37" s="94">
        <f>Table3.110[[#This Row],[CH4 24h, ml]]/'3.2 Digest'!AA37</f>
        <v>-0.30091153173316421</v>
      </c>
      <c r="AU37" s="94">
        <f>((Table3.110[[#This Row],[CH4 24h, ml]]/28.9)*16.04)/Table3.110[[#This Row],[DM Incubated, mg]]*1000</f>
        <v>6.7268200779746747</v>
      </c>
      <c r="AV37" s="94">
        <f>((Table3.110[[#This Row],[CH4 24h, ml]]/28.9)*16.04)/Table3.110[[#This Row],[Digested feed, mg]]*1000</f>
        <v>38.624182452127073</v>
      </c>
      <c r="AW37" s="303"/>
    </row>
    <row r="38" spans="1:49" s="304" customFormat="1" x14ac:dyDescent="0.35">
      <c r="A38" s="89"/>
      <c r="B38" s="90">
        <f t="shared" si="0"/>
        <v>28</v>
      </c>
      <c r="C38" s="140">
        <v>46041</v>
      </c>
      <c r="D38" s="6" t="s">
        <v>16</v>
      </c>
      <c r="E38" s="6" t="s">
        <v>44</v>
      </c>
      <c r="F38" s="133" t="s">
        <v>19</v>
      </c>
      <c r="G38" s="133" t="s">
        <v>20</v>
      </c>
      <c r="H38" s="133" t="s">
        <v>21</v>
      </c>
      <c r="I38" s="6" t="s">
        <v>22</v>
      </c>
      <c r="J38" s="129" t="s">
        <v>23</v>
      </c>
      <c r="K38" s="129" t="s">
        <v>24</v>
      </c>
      <c r="L38" s="6" t="s">
        <v>43</v>
      </c>
      <c r="M38" s="119">
        <v>27</v>
      </c>
      <c r="N38" s="93">
        <v>58</v>
      </c>
      <c r="O38" s="6">
        <v>1</v>
      </c>
      <c r="P38" s="129">
        <v>2</v>
      </c>
      <c r="Q38" s="6">
        <v>208</v>
      </c>
      <c r="R38" s="98">
        <v>0.50070000000000003</v>
      </c>
      <c r="S38" s="94">
        <f>((Table3.110[[#This Row],[Sample weight, g]]*'2.1. DM'!Q27)/100)*1000</f>
        <v>473.37817309614269</v>
      </c>
      <c r="T38" s="94">
        <f>'3.2 Digest'!W38</f>
        <v>68.078173096142677</v>
      </c>
      <c r="U38" s="117">
        <v>0.37638888888888888</v>
      </c>
      <c r="V38" s="155">
        <v>42.5</v>
      </c>
      <c r="W38" s="117">
        <v>0.71250000000000002</v>
      </c>
      <c r="X38" s="97">
        <v>66</v>
      </c>
      <c r="Y38" s="97">
        <v>12.6</v>
      </c>
      <c r="Z38" s="155">
        <v>41</v>
      </c>
      <c r="AA38" s="117">
        <v>0.37847222222222221</v>
      </c>
      <c r="AB38" s="155">
        <v>60.5</v>
      </c>
      <c r="AC38" s="155">
        <v>17.600000000000001</v>
      </c>
      <c r="AD38" s="96"/>
      <c r="AE38" s="94">
        <f>Table3.110[[#This Row],[Gas 8h, ml]]-Table3.110[[#This Row],[Gas 0h, ml]]</f>
        <v>23.5</v>
      </c>
      <c r="AF38" s="94">
        <f>Table3.110[[#This Row],[Gas 24h, ml]]-Table3.110[[#This Row],[V8 Push back, ml]]</f>
        <v>19.5</v>
      </c>
      <c r="AG38" s="94">
        <f>Table3.110[[#This Row],[GP 8h, ml]]-(AVERAGE(AE$11,AE$12,AE$62,AE$61,AE$114,AE$115))*$AG$8</f>
        <v>20.844979731721114</v>
      </c>
      <c r="AH38" s="94">
        <f>Table3.110[[#This Row],[GP 8-24h, ml]]-(AVERAGE(AF$11,AF$12,AF$62,AF$61,AF$114,AF$115))*$AG$8</f>
        <v>15.81247184961266</v>
      </c>
      <c r="AI38" s="94">
        <f>Table3.110[[#This Row],[Net gas 8-24h, ml]]+Table3.110[[#This Row],[Net gas 8h, ml]]</f>
        <v>36.657451581333774</v>
      </c>
      <c r="AJ38" s="94">
        <f>Table3.110[[#This Row],[Net gas 8h, ml]]*Table3.110[[#This Row],[CH4 8h %]]%</f>
        <v>2.6264674461968602</v>
      </c>
      <c r="AK38" s="94">
        <f>Table3.110[[#This Row],[Net gas 8-24h, ml]]*Table3.110[[#This Row],[CH4 24h, %]]%</f>
        <v>2.7829950455318282</v>
      </c>
      <c r="AL38" s="94">
        <f>Table3.110[[#This Row],[CH4 8-24h, ml]]+Table3.110[[#This Row],[CH4 8h, ml]]</f>
        <v>5.4094624917286884</v>
      </c>
      <c r="AM38" s="94">
        <f>(Table3.110[[#This Row],[Net gas 24h, ml]]/Table3.110[[#This Row],[DM Incubated, mg]])*1000</f>
        <v>77.4379843953825</v>
      </c>
      <c r="AN38" s="94">
        <f>'3.2 Digest'!X38</f>
        <v>14.381350253408506</v>
      </c>
      <c r="AO38" s="94">
        <f>Table3.110[[#This Row],[Digested feed, mg]]/Table3.110[[#This Row],[Net gas 24h, ml]]</f>
        <v>1.8571441864990024</v>
      </c>
      <c r="AP38" s="94">
        <f>Table3.110[[#This Row],[CH4 8h, ml]]/Table3.110[[#This Row],[Net gas 8h, ml]]%</f>
        <v>12.6</v>
      </c>
      <c r="AQ38" s="94">
        <f>Table3.110[[#This Row],[CH4 24h, ml]]/Table3.110[[#This Row],[Net gas 24h, ml]]%</f>
        <v>14.756788206420831</v>
      </c>
      <c r="AR38" s="94">
        <f>Table3.110[[#This Row],[CH4 24h, ml]]/Table3.110[[#This Row],[DM Incubated, mg]]*1000</f>
        <v>11.427359348547808</v>
      </c>
      <c r="AS38" s="94">
        <f>Table3.110[[#This Row],[CH4 24h, ml]]/Table3.110[[#This Row],[Digested feed, mg]]*1000</f>
        <v>79.459571926074346</v>
      </c>
      <c r="AT38" s="94">
        <f>Table3.110[[#This Row],[CH4 24h, ml]]/'3.2 Digest'!AA38</f>
        <v>-0.23087659473561634</v>
      </c>
      <c r="AU38" s="94">
        <f>((Table3.110[[#This Row],[CH4 24h, ml]]/28.9)*16.04)/Table3.110[[#This Row],[DM Incubated, mg]]*1000</f>
        <v>6.3423821436230741</v>
      </c>
      <c r="AV38" s="94">
        <f>((Table3.110[[#This Row],[CH4 24h, ml]]/28.9)*16.04)/Table3.110[[#This Row],[Digested feed, mg]]*1000</f>
        <v>44.10143715204957</v>
      </c>
      <c r="AW38" s="303"/>
    </row>
    <row r="39" spans="1:49" s="304" customFormat="1" x14ac:dyDescent="0.35">
      <c r="A39" s="89"/>
      <c r="B39" s="90">
        <f t="shared" si="0"/>
        <v>29</v>
      </c>
      <c r="C39" s="140">
        <v>46041</v>
      </c>
      <c r="D39" s="6" t="s">
        <v>16</v>
      </c>
      <c r="E39" s="6" t="s">
        <v>44</v>
      </c>
      <c r="F39" s="133" t="s">
        <v>19</v>
      </c>
      <c r="G39" s="133" t="s">
        <v>20</v>
      </c>
      <c r="H39" s="133" t="s">
        <v>21</v>
      </c>
      <c r="I39" s="6" t="s">
        <v>22</v>
      </c>
      <c r="J39" s="129" t="s">
        <v>23</v>
      </c>
      <c r="K39" s="129" t="s">
        <v>24</v>
      </c>
      <c r="L39" s="6" t="s">
        <v>43</v>
      </c>
      <c r="M39" s="119">
        <v>27</v>
      </c>
      <c r="N39" s="93">
        <v>58</v>
      </c>
      <c r="O39" s="6">
        <v>1</v>
      </c>
      <c r="P39" s="129">
        <v>3</v>
      </c>
      <c r="Q39" s="6">
        <v>209</v>
      </c>
      <c r="R39" s="98">
        <v>0.50019999999999998</v>
      </c>
      <c r="S39" s="94">
        <f>((Table3.110[[#This Row],[Sample weight, g]]*'2.1. DM'!Q27)/100)*1000</f>
        <v>472.90545672596471</v>
      </c>
      <c r="T39" s="94">
        <f>'3.2 Digest'!W39</f>
        <v>0</v>
      </c>
      <c r="U39" s="153">
        <v>0.37708333333333333</v>
      </c>
      <c r="V39" s="154">
        <v>42.5</v>
      </c>
      <c r="W39" s="153">
        <v>0.71250000000000002</v>
      </c>
      <c r="X39" s="95">
        <v>67</v>
      </c>
      <c r="Y39" s="95">
        <v>12.5</v>
      </c>
      <c r="Z39" s="154">
        <v>41.5</v>
      </c>
      <c r="AA39" s="153">
        <v>0.37916666666666665</v>
      </c>
      <c r="AB39" s="154">
        <v>61.5</v>
      </c>
      <c r="AC39" s="154">
        <v>17.3</v>
      </c>
      <c r="AD39" s="91"/>
      <c r="AE39" s="94">
        <f>Table3.110[[#This Row],[Gas 8h, ml]]-Table3.110[[#This Row],[Gas 0h, ml]]</f>
        <v>24.5</v>
      </c>
      <c r="AF39" s="94">
        <f>Table3.110[[#This Row],[Gas 24h, ml]]-Table3.110[[#This Row],[V8 Push back, ml]]</f>
        <v>20</v>
      </c>
      <c r="AG39" s="94"/>
      <c r="AH39" s="94"/>
      <c r="AI39" s="94"/>
      <c r="AJ39" s="94"/>
      <c r="AK39" s="94"/>
      <c r="AL39" s="94"/>
      <c r="AM39" s="94"/>
      <c r="AN39" s="94"/>
      <c r="AO39" s="94"/>
      <c r="AP39" s="94"/>
      <c r="AQ39" s="94"/>
      <c r="AR39" s="94"/>
      <c r="AS39" s="94"/>
      <c r="AT39" s="94"/>
      <c r="AU39" s="94"/>
      <c r="AV39" s="94"/>
      <c r="AW39" s="303" t="s">
        <v>608</v>
      </c>
    </row>
    <row r="40" spans="1:49" s="304" customFormat="1" x14ac:dyDescent="0.35">
      <c r="A40" s="89"/>
      <c r="B40" s="90">
        <f t="shared" si="0"/>
        <v>30</v>
      </c>
      <c r="C40" s="140">
        <v>46041</v>
      </c>
      <c r="D40" s="6" t="s">
        <v>16</v>
      </c>
      <c r="E40" s="6" t="s">
        <v>46</v>
      </c>
      <c r="F40" s="133" t="s">
        <v>19</v>
      </c>
      <c r="G40" s="133" t="s">
        <v>20</v>
      </c>
      <c r="H40" s="133" t="s">
        <v>21</v>
      </c>
      <c r="I40" s="6" t="s">
        <v>22</v>
      </c>
      <c r="J40" s="129" t="s">
        <v>23</v>
      </c>
      <c r="K40" s="129" t="s">
        <v>24</v>
      </c>
      <c r="L40" s="6" t="s">
        <v>45</v>
      </c>
      <c r="M40" s="119">
        <v>27</v>
      </c>
      <c r="N40" s="93">
        <v>58</v>
      </c>
      <c r="O40" s="6">
        <v>1</v>
      </c>
      <c r="P40" s="6">
        <v>1</v>
      </c>
      <c r="Q40" s="6">
        <v>210</v>
      </c>
      <c r="R40" s="98">
        <v>0.5</v>
      </c>
      <c r="S40" s="94">
        <f>((Table3.110[[#This Row],[Sample weight, g]]*'2.1. DM'!Q29)/100)*1000</f>
        <v>470.93822333012247</v>
      </c>
      <c r="T40" s="94">
        <f>'3.2 Digest'!W40</f>
        <v>98.238223330122537</v>
      </c>
      <c r="U40" s="117">
        <v>0.37708333333333333</v>
      </c>
      <c r="V40" s="155">
        <v>41.5</v>
      </c>
      <c r="W40" s="117">
        <v>0.71319444444444446</v>
      </c>
      <c r="X40" s="97">
        <v>66</v>
      </c>
      <c r="Y40" s="97">
        <v>13.2</v>
      </c>
      <c r="Z40" s="155">
        <v>41</v>
      </c>
      <c r="AA40" s="117">
        <v>0.37916666666666665</v>
      </c>
      <c r="AB40" s="155">
        <v>58</v>
      </c>
      <c r="AC40" s="155">
        <v>16.399999999999999</v>
      </c>
      <c r="AD40" s="96"/>
      <c r="AE40" s="94">
        <f>Table3.110[[#This Row],[Gas 8h, ml]]-Table3.110[[#This Row],[Gas 0h, ml]]</f>
        <v>24.5</v>
      </c>
      <c r="AF40" s="94">
        <f>Table3.110[[#This Row],[Gas 24h, ml]]-Table3.110[[#This Row],[V8 Push back, ml]]</f>
        <v>17</v>
      </c>
      <c r="AG40" s="94">
        <f>Table3.110[[#This Row],[GP 8h, ml]]-(AVERAGE(AE$11,AE$12,AE$62,AE$61,AE$114,AE$115))*$AG$8</f>
        <v>21.844979731721114</v>
      </c>
      <c r="AH40" s="94">
        <f>Table3.110[[#This Row],[GP 8-24h, ml]]-(AVERAGE(AF$11,AF$12,AF$62,AF$61,AF$114,AF$115))*$AG$8</f>
        <v>13.31247184961266</v>
      </c>
      <c r="AI40" s="94">
        <f>Table3.110[[#This Row],[Net gas 8-24h, ml]]+Table3.110[[#This Row],[Net gas 8h, ml]]</f>
        <v>35.157451581333774</v>
      </c>
      <c r="AJ40" s="94">
        <f>Table3.110[[#This Row],[Net gas 8h, ml]]*Table3.110[[#This Row],[CH4 8h %]]%</f>
        <v>2.8835373245871874</v>
      </c>
      <c r="AK40" s="94">
        <f>Table3.110[[#This Row],[Net gas 8-24h, ml]]*Table3.110[[#This Row],[CH4 24h, %]]%</f>
        <v>2.1832453833364758</v>
      </c>
      <c r="AL40" s="94">
        <f>Table3.110[[#This Row],[CH4 8-24h, ml]]+Table3.110[[#This Row],[CH4 8h, ml]]</f>
        <v>5.0667827079236627</v>
      </c>
      <c r="AM40" s="94">
        <f>(Table3.110[[#This Row],[Net gas 24h, ml]]/Table3.110[[#This Row],[DM Incubated, mg]])*1000</f>
        <v>74.654062549280027</v>
      </c>
      <c r="AN40" s="94">
        <f>'3.2 Digest'!X40</f>
        <v>20.860108282452714</v>
      </c>
      <c r="AO40" s="94">
        <f>Table3.110[[#This Row],[Digested feed, mg]]/Table3.110[[#This Row],[Net gas 24h, ml]]</f>
        <v>2.7942361835543386</v>
      </c>
      <c r="AP40" s="94">
        <f>Table3.110[[#This Row],[CH4 8h, ml]]/Table3.110[[#This Row],[Net gas 8h, ml]]%</f>
        <v>13.200000000000001</v>
      </c>
      <c r="AQ40" s="94">
        <f>Table3.110[[#This Row],[CH4 24h, ml]]/Table3.110[[#This Row],[Net gas 24h, ml]]%</f>
        <v>14.4116893575238</v>
      </c>
      <c r="AR40" s="94">
        <f>Table3.110[[#This Row],[CH4 24h, ml]]/Table3.110[[#This Row],[DM Incubated, mg]]*1000</f>
        <v>10.758911587373753</v>
      </c>
      <c r="AS40" s="94">
        <f>Table3.110[[#This Row],[CH4 24h, ml]]/Table3.110[[#This Row],[Digested feed, mg]]*1000</f>
        <v>51.576489640871259</v>
      </c>
      <c r="AT40" s="94">
        <f>Table3.110[[#This Row],[CH4 24h, ml]]/'3.2 Digest'!AA40</f>
        <v>-0.18515381185050153</v>
      </c>
      <c r="AU40" s="94">
        <f>((Table3.110[[#This Row],[CH4 24h, ml]]/28.9)*16.04)/Table3.110[[#This Row],[DM Incubated, mg]]*1000</f>
        <v>5.9713820713313144</v>
      </c>
      <c r="AV40" s="94">
        <f>((Table3.110[[#This Row],[CH4 24h, ml]]/28.9)*16.04)/Table3.110[[#This Row],[Digested feed, mg]]*1000</f>
        <v>28.625844077493948</v>
      </c>
      <c r="AW40" s="303"/>
    </row>
    <row r="41" spans="1:49" s="304" customFormat="1" x14ac:dyDescent="0.35">
      <c r="A41" s="89"/>
      <c r="B41" s="90">
        <f t="shared" si="0"/>
        <v>31</v>
      </c>
      <c r="C41" s="140">
        <v>46041</v>
      </c>
      <c r="D41" s="6" t="s">
        <v>16</v>
      </c>
      <c r="E41" s="6" t="s">
        <v>46</v>
      </c>
      <c r="F41" s="133" t="s">
        <v>19</v>
      </c>
      <c r="G41" s="133" t="s">
        <v>20</v>
      </c>
      <c r="H41" s="133" t="s">
        <v>21</v>
      </c>
      <c r="I41" s="6" t="s">
        <v>22</v>
      </c>
      <c r="J41" s="129" t="s">
        <v>23</v>
      </c>
      <c r="K41" s="129" t="s">
        <v>24</v>
      </c>
      <c r="L41" s="6" t="s">
        <v>45</v>
      </c>
      <c r="M41" s="119">
        <v>27</v>
      </c>
      <c r="N41" s="93">
        <v>58</v>
      </c>
      <c r="O41" s="6">
        <v>1</v>
      </c>
      <c r="P41" s="129">
        <v>2</v>
      </c>
      <c r="Q41" s="6">
        <v>211</v>
      </c>
      <c r="R41" s="98">
        <v>0.50070000000000003</v>
      </c>
      <c r="S41" s="94">
        <f>((Table3.110[[#This Row],[Sample weight, g]]*'2.1. DM'!Q29)/100)*1000</f>
        <v>471.59753684278473</v>
      </c>
      <c r="T41" s="94">
        <f>'3.2 Digest'!W41</f>
        <v>107.29753684278478</v>
      </c>
      <c r="U41" s="153">
        <v>0.37777777777777777</v>
      </c>
      <c r="V41" s="154">
        <v>42</v>
      </c>
      <c r="W41" s="153">
        <v>0.71319444444444446</v>
      </c>
      <c r="X41" s="95">
        <v>67</v>
      </c>
      <c r="Y41" s="95">
        <v>12.3</v>
      </c>
      <c r="Z41" s="154">
        <v>40</v>
      </c>
      <c r="AA41" s="153">
        <v>0.37986111111111109</v>
      </c>
      <c r="AB41" s="154">
        <v>55.5</v>
      </c>
      <c r="AC41" s="154">
        <v>16.3</v>
      </c>
      <c r="AD41" s="91"/>
      <c r="AE41" s="94">
        <f>Table3.110[[#This Row],[Gas 8h, ml]]-Table3.110[[#This Row],[Gas 0h, ml]]</f>
        <v>25</v>
      </c>
      <c r="AF41" s="94">
        <f>Table3.110[[#This Row],[Gas 24h, ml]]-Table3.110[[#This Row],[V8 Push back, ml]]</f>
        <v>15.5</v>
      </c>
      <c r="AG41" s="94">
        <f>Table3.110[[#This Row],[GP 8h, ml]]-(AVERAGE(AE$11,AE$12,AE$62,AE$61,AE$114,AE$115))*$AG$8</f>
        <v>22.344979731721114</v>
      </c>
      <c r="AH41" s="94">
        <f>Table3.110[[#This Row],[GP 8-24h, ml]]-(AVERAGE(AF$11,AF$12,AF$62,AF$61,AF$114,AF$115))*$AG$8</f>
        <v>11.81247184961266</v>
      </c>
      <c r="AI41" s="94">
        <f>Table3.110[[#This Row],[Net gas 8-24h, ml]]+Table3.110[[#This Row],[Net gas 8h, ml]]</f>
        <v>34.157451581333774</v>
      </c>
      <c r="AJ41" s="94">
        <f>Table3.110[[#This Row],[Net gas 8h, ml]]*Table3.110[[#This Row],[CH4 8h %]]%</f>
        <v>2.7484325070016973</v>
      </c>
      <c r="AK41" s="94">
        <f>Table3.110[[#This Row],[Net gas 8-24h, ml]]*Table3.110[[#This Row],[CH4 24h, %]]%</f>
        <v>1.9254329114868636</v>
      </c>
      <c r="AL41" s="94">
        <f>Table3.110[[#This Row],[CH4 8-24h, ml]]+Table3.110[[#This Row],[CH4 8h, ml]]</f>
        <v>4.6738654184885604</v>
      </c>
      <c r="AM41" s="94">
        <f>(Table3.110[[#This Row],[Net gas 24h, ml]]/Table3.110[[#This Row],[DM Incubated, mg]])*1000</f>
        <v>72.429240852292139</v>
      </c>
      <c r="AN41" s="94">
        <f>'3.2 Digest'!X41</f>
        <v>22.751929020052174</v>
      </c>
      <c r="AO41" s="94">
        <f>Table3.110[[#This Row],[Digested feed, mg]]/Table3.110[[#This Row],[Net gas 24h, ml]]</f>
        <v>3.1412629419174909</v>
      </c>
      <c r="AP41" s="94">
        <f>Table3.110[[#This Row],[CH4 8h, ml]]/Table3.110[[#This Row],[Net gas 8h, ml]]%</f>
        <v>12.3</v>
      </c>
      <c r="AQ41" s="94">
        <f>Table3.110[[#This Row],[CH4 24h, ml]]/Table3.110[[#This Row],[Net gas 24h, ml]]%</f>
        <v>13.683296622288752</v>
      </c>
      <c r="AR41" s="94">
        <f>Table3.110[[#This Row],[CH4 24h, ml]]/Table3.110[[#This Row],[DM Incubated, mg]]*1000</f>
        <v>9.9107078670910749</v>
      </c>
      <c r="AS41" s="94">
        <f>Table3.110[[#This Row],[CH4 24h, ml]]/Table3.110[[#This Row],[Digested feed, mg]]*1000</f>
        <v>43.559857532767346</v>
      </c>
      <c r="AT41" s="94">
        <f>Table3.110[[#This Row],[CH4 24h, ml]]/'3.2 Digest'!AA41</f>
        <v>-0.19217702192146324</v>
      </c>
      <c r="AU41" s="94">
        <f>((Table3.110[[#This Row],[CH4 24h, ml]]/28.9)*16.04)/Table3.110[[#This Row],[DM Incubated, mg]]*1000</f>
        <v>5.5006143317695795</v>
      </c>
      <c r="AV41" s="94">
        <f>((Table3.110[[#This Row],[CH4 24h, ml]]/28.9)*16.04)/Table3.110[[#This Row],[Digested feed, mg]]*1000</f>
        <v>24.176474561439036</v>
      </c>
      <c r="AW41" s="303"/>
    </row>
    <row r="42" spans="1:49" s="304" customFormat="1" x14ac:dyDescent="0.35">
      <c r="A42" s="89"/>
      <c r="B42" s="90">
        <f t="shared" si="0"/>
        <v>32</v>
      </c>
      <c r="C42" s="140">
        <v>46041</v>
      </c>
      <c r="D42" s="6" t="s">
        <v>16</v>
      </c>
      <c r="E42" s="6" t="s">
        <v>46</v>
      </c>
      <c r="F42" s="133" t="s">
        <v>19</v>
      </c>
      <c r="G42" s="133" t="s">
        <v>20</v>
      </c>
      <c r="H42" s="133" t="s">
        <v>21</v>
      </c>
      <c r="I42" s="6" t="s">
        <v>22</v>
      </c>
      <c r="J42" s="129" t="s">
        <v>23</v>
      </c>
      <c r="K42" s="129" t="s">
        <v>24</v>
      </c>
      <c r="L42" s="6" t="s">
        <v>45</v>
      </c>
      <c r="M42" s="119">
        <v>27</v>
      </c>
      <c r="N42" s="93">
        <v>58</v>
      </c>
      <c r="O42" s="6">
        <v>1</v>
      </c>
      <c r="P42" s="129">
        <v>3</v>
      </c>
      <c r="Q42" s="6">
        <v>212</v>
      </c>
      <c r="R42" s="98">
        <v>0.50029999999999997</v>
      </c>
      <c r="S42" s="94">
        <f>((Table3.110[[#This Row],[Sample weight, g]]*'2.1. DM'!Q29)/100)*1000</f>
        <v>471.22078626412053</v>
      </c>
      <c r="T42" s="94">
        <f>'3.2 Digest'!W42</f>
        <v>104.12078626412057</v>
      </c>
      <c r="U42" s="117">
        <v>0.37777777777777777</v>
      </c>
      <c r="V42" s="155">
        <v>41.5</v>
      </c>
      <c r="W42" s="117">
        <v>0.71388888888888891</v>
      </c>
      <c r="X42" s="97">
        <v>63.5</v>
      </c>
      <c r="Y42" s="97">
        <v>12.2</v>
      </c>
      <c r="Z42" s="155">
        <v>40.5</v>
      </c>
      <c r="AA42" s="117">
        <v>0.37986111111111109</v>
      </c>
      <c r="AB42" s="155">
        <v>56</v>
      </c>
      <c r="AC42" s="155">
        <v>16.5</v>
      </c>
      <c r="AD42" s="96"/>
      <c r="AE42" s="94">
        <f>Table3.110[[#This Row],[Gas 8h, ml]]-Table3.110[[#This Row],[Gas 0h, ml]]</f>
        <v>22</v>
      </c>
      <c r="AF42" s="94">
        <f>Table3.110[[#This Row],[Gas 24h, ml]]-Table3.110[[#This Row],[V8 Push back, ml]]</f>
        <v>15.5</v>
      </c>
      <c r="AG42" s="94">
        <f>Table3.110[[#This Row],[GP 8h, ml]]-(AVERAGE(AE$11,AE$12,AE$62,AE$61,AE$114,AE$115))*$AG$8</f>
        <v>19.344979731721114</v>
      </c>
      <c r="AH42" s="94">
        <f>Table3.110[[#This Row],[GP 8-24h, ml]]-(AVERAGE(AF$11,AF$12,AF$62,AF$61,AF$114,AF$115))*$AG$8</f>
        <v>11.81247184961266</v>
      </c>
      <c r="AI42" s="94">
        <f>Table3.110[[#This Row],[Net gas 8-24h, ml]]+Table3.110[[#This Row],[Net gas 8h, ml]]</f>
        <v>31.157451581333774</v>
      </c>
      <c r="AJ42" s="94">
        <f>Table3.110[[#This Row],[Net gas 8h, ml]]*Table3.110[[#This Row],[CH4 8h %]]%</f>
        <v>2.3600875272699757</v>
      </c>
      <c r="AK42" s="94">
        <f>Table3.110[[#This Row],[Net gas 8-24h, ml]]*Table3.110[[#This Row],[CH4 24h, %]]%</f>
        <v>1.9490578551860889</v>
      </c>
      <c r="AL42" s="94">
        <f>Table3.110[[#This Row],[CH4 8-24h, ml]]+Table3.110[[#This Row],[CH4 8h, ml]]</f>
        <v>4.3091453824560642</v>
      </c>
      <c r="AM42" s="94">
        <f>(Table3.110[[#This Row],[Net gas 24h, ml]]/Table3.110[[#This Row],[DM Incubated, mg]])*1000</f>
        <v>66.120707085849858</v>
      </c>
      <c r="AN42" s="94">
        <f>'3.2 Digest'!X42</f>
        <v>22.095966328140833</v>
      </c>
      <c r="AO42" s="94">
        <f>Table3.110[[#This Row],[Digested feed, mg]]/Table3.110[[#This Row],[Net gas 24h, ml]]</f>
        <v>3.3417619535513827</v>
      </c>
      <c r="AP42" s="94">
        <f>Table3.110[[#This Row],[CH4 8h, ml]]/Table3.110[[#This Row],[Net gas 8h, ml]]%</f>
        <v>12.199999999999998</v>
      </c>
      <c r="AQ42" s="94">
        <f>Table3.110[[#This Row],[CH4 24h, ml]]/Table3.110[[#This Row],[Net gas 24h, ml]]%</f>
        <v>13.830224115754207</v>
      </c>
      <c r="AR42" s="94">
        <f>Table3.110[[#This Row],[CH4 24h, ml]]/Table3.110[[#This Row],[DM Incubated, mg]]*1000</f>
        <v>9.1446419768944072</v>
      </c>
      <c r="AS42" s="94">
        <f>Table3.110[[#This Row],[CH4 24h, ml]]/Table3.110[[#This Row],[Digested feed, mg]]*1000</f>
        <v>41.386024223109146</v>
      </c>
      <c r="AT42" s="94">
        <f>Table3.110[[#This Row],[CH4 24h, ml]]/'3.2 Digest'!AA42</f>
        <v>-0.16980976060209824</v>
      </c>
      <c r="AU42" s="94">
        <f>((Table3.110[[#This Row],[CH4 24h, ml]]/28.9)*16.04)/Table3.110[[#This Row],[DM Incubated, mg]]*1000</f>
        <v>5.0754345089753041</v>
      </c>
      <c r="AV42" s="94">
        <f>((Table3.110[[#This Row],[CH4 24h, ml]]/28.9)*16.04)/Table3.110[[#This Row],[Digested feed, mg]]*1000</f>
        <v>22.969959465005907</v>
      </c>
      <c r="AW42" s="303"/>
    </row>
    <row r="43" spans="1:49" s="304" customFormat="1" x14ac:dyDescent="0.35">
      <c r="A43" s="89"/>
      <c r="B43" s="90">
        <f t="shared" si="0"/>
        <v>33</v>
      </c>
      <c r="C43" s="140">
        <v>46041</v>
      </c>
      <c r="D43" s="6" t="s">
        <v>16</v>
      </c>
      <c r="E43" s="6" t="s">
        <v>48</v>
      </c>
      <c r="F43" s="133" t="s">
        <v>19</v>
      </c>
      <c r="G43" s="133" t="s">
        <v>20</v>
      </c>
      <c r="H43" s="133" t="s">
        <v>21</v>
      </c>
      <c r="I43" s="6" t="s">
        <v>22</v>
      </c>
      <c r="J43" s="129" t="s">
        <v>23</v>
      </c>
      <c r="K43" s="129" t="s">
        <v>24</v>
      </c>
      <c r="L43" s="6" t="s">
        <v>47</v>
      </c>
      <c r="M43" s="119">
        <v>27</v>
      </c>
      <c r="N43" s="93">
        <v>58</v>
      </c>
      <c r="O43" s="6">
        <v>1</v>
      </c>
      <c r="P43" s="6">
        <v>1</v>
      </c>
      <c r="Q43" s="6">
        <v>213</v>
      </c>
      <c r="R43" s="98">
        <v>0.5</v>
      </c>
      <c r="S43" s="94">
        <f>((Table3.110[[#This Row],[Sample weight, g]]*'2.1. DM'!Q31)/100)*1000</f>
        <v>467.63335711610762</v>
      </c>
      <c r="T43" s="94">
        <f>'3.2 Digest'!W43</f>
        <v>108.73335711610764</v>
      </c>
      <c r="U43" s="153">
        <v>0.37777777777777777</v>
      </c>
      <c r="V43" s="154">
        <v>41.5</v>
      </c>
      <c r="W43" s="153">
        <v>0.71458333333333335</v>
      </c>
      <c r="X43" s="95">
        <v>68</v>
      </c>
      <c r="Y43" s="95">
        <v>13.7</v>
      </c>
      <c r="Z43" s="154">
        <v>41</v>
      </c>
      <c r="AA43" s="153">
        <v>0.38055555555555554</v>
      </c>
      <c r="AB43" s="154">
        <v>63.5</v>
      </c>
      <c r="AC43" s="154">
        <v>16</v>
      </c>
      <c r="AD43" s="91"/>
      <c r="AE43" s="94">
        <f>Table3.110[[#This Row],[Gas 8h, ml]]-Table3.110[[#This Row],[Gas 0h, ml]]</f>
        <v>26.5</v>
      </c>
      <c r="AF43" s="94">
        <f>Table3.110[[#This Row],[Gas 24h, ml]]-Table3.110[[#This Row],[V8 Push back, ml]]</f>
        <v>22.5</v>
      </c>
      <c r="AG43" s="94">
        <f>Table3.110[[#This Row],[GP 8h, ml]]-(AVERAGE(AE$11,AE$12,AE$62,AE$61,AE$114,AE$115))*$AG$8</f>
        <v>23.844979731721114</v>
      </c>
      <c r="AH43" s="94">
        <f>Table3.110[[#This Row],[GP 8-24h, ml]]-(AVERAGE(AF$11,AF$12,AF$62,AF$61,AF$114,AF$115))*$AG$8</f>
        <v>18.81247184961266</v>
      </c>
      <c r="AI43" s="94">
        <f>Table3.110[[#This Row],[Net gas 8-24h, ml]]+Table3.110[[#This Row],[Net gas 8h, ml]]</f>
        <v>42.657451581333774</v>
      </c>
      <c r="AJ43" s="94">
        <f>Table3.110[[#This Row],[Net gas 8h, ml]]*Table3.110[[#This Row],[CH4 8h %]]%</f>
        <v>3.2667622232457925</v>
      </c>
      <c r="AK43" s="94">
        <f>Table3.110[[#This Row],[Net gas 8-24h, ml]]*Table3.110[[#This Row],[CH4 24h, %]]%</f>
        <v>3.0099954959380257</v>
      </c>
      <c r="AL43" s="94">
        <f>Table3.110[[#This Row],[CH4 8-24h, ml]]+Table3.110[[#This Row],[CH4 8h, ml]]</f>
        <v>6.2767577191838182</v>
      </c>
      <c r="AM43" s="94">
        <f>(Table3.110[[#This Row],[Net gas 24h, ml]]/Table3.110[[#This Row],[DM Incubated, mg]])*1000</f>
        <v>91.219864734205544</v>
      </c>
      <c r="AN43" s="94">
        <f>'3.2 Digest'!X43</f>
        <v>23.251839386878999</v>
      </c>
      <c r="AO43" s="94">
        <f>Table3.110[[#This Row],[Digested feed, mg]]/Table3.110[[#This Row],[Net gas 24h, ml]]</f>
        <v>2.5489885842990123</v>
      </c>
      <c r="AP43" s="94">
        <f>Table3.110[[#This Row],[CH4 8h, ml]]/Table3.110[[#This Row],[Net gas 8h, ml]]%</f>
        <v>13.7</v>
      </c>
      <c r="AQ43" s="94">
        <f>Table3.110[[#This Row],[CH4 24h, ml]]/Table3.110[[#This Row],[Net gas 24h, ml]]%</f>
        <v>14.714328883937428</v>
      </c>
      <c r="AR43" s="94">
        <f>Table3.110[[#This Row],[CH4 24h, ml]]/Table3.110[[#This Row],[DM Incubated, mg]]*1000</f>
        <v>13.422390904473858</v>
      </c>
      <c r="AS43" s="94">
        <f>Table3.110[[#This Row],[CH4 24h, ml]]/Table3.110[[#This Row],[Digested feed, mg]]*1000</f>
        <v>57.726146655081855</v>
      </c>
      <c r="AT43" s="94">
        <f>Table3.110[[#This Row],[CH4 24h, ml]]/'3.2 Digest'!AA43</f>
        <v>-0.22440349190492065</v>
      </c>
      <c r="AU43" s="94">
        <f>((Table3.110[[#This Row],[CH4 24h, ml]]/28.9)*16.04)/Table3.110[[#This Row],[DM Incubated, mg]]*1000</f>
        <v>7.4496591732789152</v>
      </c>
      <c r="AV43" s="94">
        <f>((Table3.110[[#This Row],[CH4 24h, ml]]/28.9)*16.04)/Table3.110[[#This Row],[Digested feed, mg]]*1000</f>
        <v>32.039010115830898</v>
      </c>
      <c r="AW43" s="303"/>
    </row>
    <row r="44" spans="1:49" s="304" customFormat="1" x14ac:dyDescent="0.35">
      <c r="A44" s="89"/>
      <c r="B44" s="90">
        <f t="shared" si="0"/>
        <v>34</v>
      </c>
      <c r="C44" s="140">
        <v>46041</v>
      </c>
      <c r="D44" s="6" t="s">
        <v>16</v>
      </c>
      <c r="E44" s="6" t="s">
        <v>48</v>
      </c>
      <c r="F44" s="133" t="s">
        <v>19</v>
      </c>
      <c r="G44" s="133" t="s">
        <v>20</v>
      </c>
      <c r="H44" s="133" t="s">
        <v>21</v>
      </c>
      <c r="I44" s="6" t="s">
        <v>22</v>
      </c>
      <c r="J44" s="129" t="s">
        <v>23</v>
      </c>
      <c r="K44" s="129" t="s">
        <v>24</v>
      </c>
      <c r="L44" s="6" t="s">
        <v>47</v>
      </c>
      <c r="M44" s="119">
        <v>27</v>
      </c>
      <c r="N44" s="93">
        <v>58</v>
      </c>
      <c r="O44" s="6">
        <v>1</v>
      </c>
      <c r="P44" s="129">
        <v>2</v>
      </c>
      <c r="Q44" s="6">
        <v>214</v>
      </c>
      <c r="R44" s="98">
        <v>0.50049999999999994</v>
      </c>
      <c r="S44" s="94">
        <f>((Table3.110[[#This Row],[Sample weight, g]]*'2.1. DM'!Q31)/100)*1000</f>
        <v>468.10099047322365</v>
      </c>
      <c r="T44" s="94">
        <f>'3.2 Digest'!W44</f>
        <v>118.10099047322365</v>
      </c>
      <c r="U44" s="117">
        <v>0.37777777777777777</v>
      </c>
      <c r="V44" s="155">
        <v>40.5</v>
      </c>
      <c r="W44" s="117">
        <v>0.71458333333333335</v>
      </c>
      <c r="X44" s="97">
        <v>67.5</v>
      </c>
      <c r="Y44" s="97">
        <v>13.9</v>
      </c>
      <c r="Z44" s="155">
        <v>40</v>
      </c>
      <c r="AA44" s="117">
        <v>0.38055555555555554</v>
      </c>
      <c r="AB44" s="155">
        <v>61.5</v>
      </c>
      <c r="AC44" s="155">
        <v>15.8</v>
      </c>
      <c r="AD44" s="96"/>
      <c r="AE44" s="94">
        <f>Table3.110[[#This Row],[Gas 8h, ml]]-Table3.110[[#This Row],[Gas 0h, ml]]</f>
        <v>27</v>
      </c>
      <c r="AF44" s="94">
        <f>Table3.110[[#This Row],[Gas 24h, ml]]-Table3.110[[#This Row],[V8 Push back, ml]]</f>
        <v>21.5</v>
      </c>
      <c r="AG44" s="94">
        <f>Table3.110[[#This Row],[GP 8h, ml]]-(AVERAGE(AE$11,AE$12,AE$62,AE$61,AE$114,AE$115))*$AG$8</f>
        <v>24.344979731721114</v>
      </c>
      <c r="AH44" s="94">
        <f>Table3.110[[#This Row],[GP 8-24h, ml]]-(AVERAGE(AF$11,AF$12,AF$62,AF$61,AF$114,AF$115))*$AG$8</f>
        <v>17.81247184961266</v>
      </c>
      <c r="AI44" s="94">
        <f>Table3.110[[#This Row],[Net gas 8-24h, ml]]+Table3.110[[#This Row],[Net gas 8h, ml]]</f>
        <v>42.157451581333774</v>
      </c>
      <c r="AJ44" s="94">
        <f>Table3.110[[#This Row],[Net gas 8h, ml]]*Table3.110[[#This Row],[CH4 8h %]]%</f>
        <v>3.3839521827092351</v>
      </c>
      <c r="AK44" s="94">
        <f>Table3.110[[#This Row],[Net gas 8-24h, ml]]*Table3.110[[#This Row],[CH4 24h, %]]%</f>
        <v>2.8143705522388003</v>
      </c>
      <c r="AL44" s="94">
        <f>Table3.110[[#This Row],[CH4 8-24h, ml]]+Table3.110[[#This Row],[CH4 8h, ml]]</f>
        <v>6.1983227349480359</v>
      </c>
      <c r="AM44" s="94">
        <f>(Table3.110[[#This Row],[Net gas 24h, ml]]/Table3.110[[#This Row],[DM Incubated, mg]])*1000</f>
        <v>90.060590426683291</v>
      </c>
      <c r="AN44" s="94">
        <f>'3.2 Digest'!X44</f>
        <v>25.229809993315804</v>
      </c>
      <c r="AO44" s="94">
        <f>Table3.110[[#This Row],[Digested feed, mg]]/Table3.110[[#This Row],[Net gas 24h, ml]]</f>
        <v>2.8014262258090503</v>
      </c>
      <c r="AP44" s="94">
        <f>Table3.110[[#This Row],[CH4 8h, ml]]/Table3.110[[#This Row],[Net gas 8h, ml]]%</f>
        <v>13.9</v>
      </c>
      <c r="AQ44" s="94">
        <f>Table3.110[[#This Row],[CH4 24h, ml]]/Table3.110[[#This Row],[Net gas 24h, ml]]%</f>
        <v>14.702792750623695</v>
      </c>
      <c r="AR44" s="94">
        <f>Table3.110[[#This Row],[CH4 24h, ml]]/Table3.110[[#This Row],[DM Incubated, mg]]*1000</f>
        <v>13.241421960423288</v>
      </c>
      <c r="AS44" s="94">
        <f>Table3.110[[#This Row],[CH4 24h, ml]]/Table3.110[[#This Row],[Digested feed, mg]]*1000</f>
        <v>52.48324091196632</v>
      </c>
      <c r="AT44" s="94">
        <f>Table3.110[[#This Row],[CH4 24h, ml]]/'3.2 Digest'!AA44</f>
        <v>-0.25122126954000007</v>
      </c>
      <c r="AU44" s="94">
        <f>((Table3.110[[#This Row],[CH4 24h, ml]]/28.9)*16.04)/Table3.110[[#This Row],[DM Incubated, mg]]*1000</f>
        <v>7.3492182783802606</v>
      </c>
      <c r="AV44" s="94">
        <f>((Table3.110[[#This Row],[CH4 24h, ml]]/28.9)*16.04)/Table3.110[[#This Row],[Digested feed, mg]]*1000</f>
        <v>29.129106720689958</v>
      </c>
      <c r="AW44" s="303"/>
    </row>
    <row r="45" spans="1:49" s="304" customFormat="1" x14ac:dyDescent="0.35">
      <c r="A45" s="89"/>
      <c r="B45" s="90">
        <f t="shared" si="0"/>
        <v>35</v>
      </c>
      <c r="C45" s="140">
        <v>46041</v>
      </c>
      <c r="D45" s="6" t="s">
        <v>16</v>
      </c>
      <c r="E45" s="6" t="s">
        <v>48</v>
      </c>
      <c r="F45" s="133" t="s">
        <v>19</v>
      </c>
      <c r="G45" s="133" t="s">
        <v>20</v>
      </c>
      <c r="H45" s="133" t="s">
        <v>21</v>
      </c>
      <c r="I45" s="6" t="s">
        <v>22</v>
      </c>
      <c r="J45" s="129" t="s">
        <v>23</v>
      </c>
      <c r="K45" s="129" t="s">
        <v>24</v>
      </c>
      <c r="L45" s="6" t="s">
        <v>47</v>
      </c>
      <c r="M45" s="119">
        <v>27</v>
      </c>
      <c r="N45" s="93">
        <v>58</v>
      </c>
      <c r="O45" s="6">
        <v>1</v>
      </c>
      <c r="P45" s="129">
        <v>3</v>
      </c>
      <c r="Q45" s="6">
        <v>215</v>
      </c>
      <c r="R45" s="98">
        <v>0.50009999999999999</v>
      </c>
      <c r="S45" s="94">
        <f>((Table3.110[[#This Row],[Sample weight, g]]*'2.1. DM'!Q31)/100)*1000</f>
        <v>467.72688378753082</v>
      </c>
      <c r="T45" s="94">
        <f>'3.2 Digest'!W45</f>
        <v>119.62688378753074</v>
      </c>
      <c r="U45" s="153">
        <v>0.37847222222222221</v>
      </c>
      <c r="V45" s="154">
        <v>41.5</v>
      </c>
      <c r="W45" s="153">
        <v>0.71527777777777779</v>
      </c>
      <c r="X45" s="95">
        <v>69.5</v>
      </c>
      <c r="Y45" s="95">
        <v>12.5</v>
      </c>
      <c r="Z45" s="154">
        <v>40</v>
      </c>
      <c r="AA45" s="153">
        <v>0.38124999999999998</v>
      </c>
      <c r="AB45" s="154">
        <v>61</v>
      </c>
      <c r="AC45" s="154">
        <v>15.9</v>
      </c>
      <c r="AD45" s="91"/>
      <c r="AE45" s="94">
        <f>Table3.110[[#This Row],[Gas 8h, ml]]-Table3.110[[#This Row],[Gas 0h, ml]]</f>
        <v>28</v>
      </c>
      <c r="AF45" s="94">
        <f>Table3.110[[#This Row],[Gas 24h, ml]]-Table3.110[[#This Row],[V8 Push back, ml]]</f>
        <v>21</v>
      </c>
      <c r="AG45" s="94">
        <f>Table3.110[[#This Row],[GP 8h, ml]]-(AVERAGE(AE$11,AE$12,AE$62,AE$61,AE$114,AE$115))*$AG$8</f>
        <v>25.344979731721114</v>
      </c>
      <c r="AH45" s="94">
        <f>Table3.110[[#This Row],[GP 8-24h, ml]]-(AVERAGE(AF$11,AF$12,AF$62,AF$61,AF$114,AF$115))*$AG$8</f>
        <v>17.31247184961266</v>
      </c>
      <c r="AI45" s="94">
        <f>Table3.110[[#This Row],[Net gas 8-24h, ml]]+Table3.110[[#This Row],[Net gas 8h, ml]]</f>
        <v>42.657451581333774</v>
      </c>
      <c r="AJ45" s="94">
        <f>Table3.110[[#This Row],[Net gas 8h, ml]]*Table3.110[[#This Row],[CH4 8h %]]%</f>
        <v>3.1681224664651393</v>
      </c>
      <c r="AK45" s="94">
        <f>Table3.110[[#This Row],[Net gas 8-24h, ml]]*Table3.110[[#This Row],[CH4 24h, %]]%</f>
        <v>2.7526830240884128</v>
      </c>
      <c r="AL45" s="94">
        <f>Table3.110[[#This Row],[CH4 8-24h, ml]]+Table3.110[[#This Row],[CH4 8h, ml]]</f>
        <v>5.9208054905535521</v>
      </c>
      <c r="AM45" s="94">
        <f>(Table3.110[[#This Row],[Net gas 24h, ml]]/Table3.110[[#This Row],[DM Incubated, mg]])*1000</f>
        <v>91.201624409323685</v>
      </c>
      <c r="AN45" s="94">
        <f>'3.2 Digest'!X45</f>
        <v>25.576225770651305</v>
      </c>
      <c r="AO45" s="94">
        <f>Table3.110[[#This Row],[Digested feed, mg]]/Table3.110[[#This Row],[Net gas 24h, ml]]</f>
        <v>2.8043607705781839</v>
      </c>
      <c r="AP45" s="94">
        <f>Table3.110[[#This Row],[CH4 8h, ml]]/Table3.110[[#This Row],[Net gas 8h, ml]]%</f>
        <v>12.500000000000002</v>
      </c>
      <c r="AQ45" s="94">
        <f>Table3.110[[#This Row],[CH4 24h, ml]]/Table3.110[[#This Row],[Net gas 24h, ml]]%</f>
        <v>13.879885626229962</v>
      </c>
      <c r="AR45" s="94">
        <f>Table3.110[[#This Row],[CH4 24h, ml]]/Table3.110[[#This Row],[DM Incubated, mg]]*1000</f>
        <v>12.658681157277954</v>
      </c>
      <c r="AS45" s="94">
        <f>Table3.110[[#This Row],[CH4 24h, ml]]/Table3.110[[#This Row],[Digested feed, mg]]*1000</f>
        <v>49.493937341622072</v>
      </c>
      <c r="AT45" s="94">
        <f>Table3.110[[#This Row],[CH4 24h, ml]]/'3.2 Digest'!AA45</f>
        <v>-0.24572608346715044</v>
      </c>
      <c r="AU45" s="94">
        <f>((Table3.110[[#This Row],[CH4 24h, ml]]/28.9)*16.04)/Table3.110[[#This Row],[DM Incubated, mg]]*1000</f>
        <v>7.0257870506137854</v>
      </c>
      <c r="AV45" s="94">
        <f>((Table3.110[[#This Row],[CH4 24h, ml]]/28.9)*16.04)/Table3.110[[#This Row],[Digested feed, mg]]*1000</f>
        <v>27.469991521094048</v>
      </c>
      <c r="AW45" s="303"/>
    </row>
    <row r="46" spans="1:49" s="304" customFormat="1" x14ac:dyDescent="0.35">
      <c r="A46" s="89"/>
      <c r="B46" s="90">
        <f t="shared" si="0"/>
        <v>36</v>
      </c>
      <c r="C46" s="140">
        <v>46041</v>
      </c>
      <c r="D46" s="6" t="s">
        <v>16</v>
      </c>
      <c r="E46" s="6" t="s">
        <v>50</v>
      </c>
      <c r="F46" s="133" t="s">
        <v>19</v>
      </c>
      <c r="G46" s="133" t="s">
        <v>20</v>
      </c>
      <c r="H46" s="133" t="s">
        <v>21</v>
      </c>
      <c r="I46" s="6" t="s">
        <v>22</v>
      </c>
      <c r="J46" s="129" t="s">
        <v>23</v>
      </c>
      <c r="K46" s="129" t="s">
        <v>24</v>
      </c>
      <c r="L46" s="6" t="s">
        <v>49</v>
      </c>
      <c r="M46" s="119">
        <v>27</v>
      </c>
      <c r="N46" s="93">
        <v>58</v>
      </c>
      <c r="O46" s="6">
        <v>1</v>
      </c>
      <c r="P46" s="6">
        <v>1</v>
      </c>
      <c r="Q46" s="6">
        <v>216</v>
      </c>
      <c r="R46" s="98">
        <v>0.50029999999999997</v>
      </c>
      <c r="S46" s="94">
        <f>((Table3.110[[#This Row],[Sample weight, g]]*'2.1. DM'!Q33)/100)*1000</f>
        <v>470.06902960046477</v>
      </c>
      <c r="T46" s="94">
        <f>'3.2 Digest'!W46</f>
        <v>93.369029600464842</v>
      </c>
      <c r="U46" s="117">
        <v>0.37916666666666665</v>
      </c>
      <c r="V46" s="155">
        <v>41.5</v>
      </c>
      <c r="W46" s="117">
        <v>0.71597222222222223</v>
      </c>
      <c r="X46" s="97">
        <v>66</v>
      </c>
      <c r="Y46" s="97">
        <v>14</v>
      </c>
      <c r="Z46" s="155">
        <v>40.5</v>
      </c>
      <c r="AA46" s="117">
        <v>0.38194444444444442</v>
      </c>
      <c r="AB46" s="155">
        <v>61</v>
      </c>
      <c r="AC46" s="155">
        <v>17.100000000000001</v>
      </c>
      <c r="AD46" s="96"/>
      <c r="AE46" s="94">
        <f>Table3.110[[#This Row],[Gas 8h, ml]]-Table3.110[[#This Row],[Gas 0h, ml]]</f>
        <v>24.5</v>
      </c>
      <c r="AF46" s="94">
        <f>Table3.110[[#This Row],[Gas 24h, ml]]-Table3.110[[#This Row],[V8 Push back, ml]]</f>
        <v>20.5</v>
      </c>
      <c r="AG46" s="94">
        <f>Table3.110[[#This Row],[GP 8h, ml]]-(AVERAGE(AE$11,AE$12,AE$62,AE$61,AE$114,AE$115))*$AG$8</f>
        <v>21.844979731721114</v>
      </c>
      <c r="AH46" s="94">
        <f>Table3.110[[#This Row],[GP 8-24h, ml]]-(AVERAGE(AF$11,AF$12,AF$62,AF$61,AF$114,AF$115))*$AG$8</f>
        <v>16.81247184961266</v>
      </c>
      <c r="AI46" s="94">
        <f>Table3.110[[#This Row],[Net gas 8-24h, ml]]+Table3.110[[#This Row],[Net gas 8h, ml]]</f>
        <v>38.657451581333774</v>
      </c>
      <c r="AJ46" s="94">
        <f>Table3.110[[#This Row],[Net gas 8h, ml]]*Table3.110[[#This Row],[CH4 8h %]]%</f>
        <v>3.0582971624409563</v>
      </c>
      <c r="AK46" s="94">
        <f>Table3.110[[#This Row],[Net gas 8-24h, ml]]*Table3.110[[#This Row],[CH4 24h, %]]%</f>
        <v>2.8749326862837652</v>
      </c>
      <c r="AL46" s="94">
        <f>Table3.110[[#This Row],[CH4 8-24h, ml]]+Table3.110[[#This Row],[CH4 8h, ml]]</f>
        <v>5.9332298487247215</v>
      </c>
      <c r="AM46" s="94">
        <f>(Table3.110[[#This Row],[Net gas 24h, ml]]/Table3.110[[#This Row],[DM Incubated, mg]])*1000</f>
        <v>82.237818590581639</v>
      </c>
      <c r="AN46" s="94">
        <f>'3.2 Digest'!X46</f>
        <v>19.862833694834961</v>
      </c>
      <c r="AO46" s="94">
        <f>Table3.110[[#This Row],[Digested feed, mg]]/Table3.110[[#This Row],[Net gas 24h, ml]]</f>
        <v>2.4152918979674602</v>
      </c>
      <c r="AP46" s="94">
        <f>Table3.110[[#This Row],[CH4 8h, ml]]/Table3.110[[#This Row],[Net gas 8h, ml]]%</f>
        <v>14.000000000000002</v>
      </c>
      <c r="AQ46" s="94">
        <f>Table3.110[[#This Row],[CH4 24h, ml]]/Table3.110[[#This Row],[Net gas 24h, ml]]%</f>
        <v>15.348217758848994</v>
      </c>
      <c r="AR46" s="94">
        <f>Table3.110[[#This Row],[CH4 24h, ml]]/Table3.110[[#This Row],[DM Incubated, mg]]*1000</f>
        <v>12.62203947740967</v>
      </c>
      <c r="AS46" s="94">
        <f>Table3.110[[#This Row],[CH4 24h, ml]]/Table3.110[[#This Row],[Digested feed, mg]]*1000</f>
        <v>63.546015998169722</v>
      </c>
      <c r="AT46" s="94">
        <f>Table3.110[[#This Row],[CH4 24h, ml]]/'3.2 Digest'!AA46</f>
        <v>-0.17705740841537676</v>
      </c>
      <c r="AU46" s="94">
        <f>((Table3.110[[#This Row],[CH4 24h, ml]]/28.9)*16.04)/Table3.110[[#This Row],[DM Incubated, mg]]*1000</f>
        <v>7.0054502843477895</v>
      </c>
      <c r="AV46" s="94">
        <f>((Table3.110[[#This Row],[CH4 24h, ml]]/28.9)*16.04)/Table3.110[[#This Row],[Digested feed, mg]]*1000</f>
        <v>35.269138291025691</v>
      </c>
      <c r="AW46" s="303"/>
    </row>
    <row r="47" spans="1:49" s="304" customFormat="1" x14ac:dyDescent="0.35">
      <c r="A47" s="89"/>
      <c r="B47" s="90">
        <f t="shared" si="0"/>
        <v>37</v>
      </c>
      <c r="C47" s="140">
        <v>46041</v>
      </c>
      <c r="D47" s="6" t="s">
        <v>16</v>
      </c>
      <c r="E47" s="6" t="s">
        <v>50</v>
      </c>
      <c r="F47" s="133" t="s">
        <v>19</v>
      </c>
      <c r="G47" s="133" t="s">
        <v>20</v>
      </c>
      <c r="H47" s="133" t="s">
        <v>21</v>
      </c>
      <c r="I47" s="6" t="s">
        <v>22</v>
      </c>
      <c r="J47" s="129" t="s">
        <v>23</v>
      </c>
      <c r="K47" s="129" t="s">
        <v>24</v>
      </c>
      <c r="L47" s="6" t="s">
        <v>49</v>
      </c>
      <c r="M47" s="119">
        <v>27</v>
      </c>
      <c r="N47" s="93">
        <v>58</v>
      </c>
      <c r="O47" s="6">
        <v>1</v>
      </c>
      <c r="P47" s="129">
        <v>2</v>
      </c>
      <c r="Q47" s="6">
        <v>217</v>
      </c>
      <c r="R47" s="98">
        <v>0.50060000000000004</v>
      </c>
      <c r="S47" s="94">
        <f>((Table3.110[[#This Row],[Sample weight, g]]*'2.1. DM'!Q33)/100)*1000</f>
        <v>470.35090189484845</v>
      </c>
      <c r="T47" s="94">
        <f>'3.2 Digest'!W47</f>
        <v>90.350901894848448</v>
      </c>
      <c r="U47" s="153">
        <v>0.37916666666666665</v>
      </c>
      <c r="V47" s="154">
        <v>43.5</v>
      </c>
      <c r="W47" s="153">
        <v>0.71597222222222223</v>
      </c>
      <c r="X47" s="95">
        <v>70</v>
      </c>
      <c r="Y47" s="95">
        <v>12.4</v>
      </c>
      <c r="Z47" s="154">
        <v>40.5</v>
      </c>
      <c r="AA47" s="153">
        <v>0.38194444444444442</v>
      </c>
      <c r="AB47" s="154">
        <v>61.5</v>
      </c>
      <c r="AC47" s="154">
        <v>17.2</v>
      </c>
      <c r="AD47" s="91"/>
      <c r="AE47" s="94">
        <f>Table3.110[[#This Row],[Gas 8h, ml]]-Table3.110[[#This Row],[Gas 0h, ml]]</f>
        <v>26.5</v>
      </c>
      <c r="AF47" s="94">
        <f>Table3.110[[#This Row],[Gas 24h, ml]]-Table3.110[[#This Row],[V8 Push back, ml]]</f>
        <v>21</v>
      </c>
      <c r="AG47" s="94">
        <f>Table3.110[[#This Row],[GP 8h, ml]]-(AVERAGE(AE$11,AE$12,AE$62,AE$61,AE$114,AE$115))*$AG$8</f>
        <v>23.844979731721114</v>
      </c>
      <c r="AH47" s="94">
        <f>Table3.110[[#This Row],[GP 8-24h, ml]]-(AVERAGE(AF$11,AF$12,AF$62,AF$61,AF$114,AF$115))*$AG$8</f>
        <v>17.31247184961266</v>
      </c>
      <c r="AI47" s="94">
        <f>Table3.110[[#This Row],[Net gas 8-24h, ml]]+Table3.110[[#This Row],[Net gas 8h, ml]]</f>
        <v>41.157451581333774</v>
      </c>
      <c r="AJ47" s="94">
        <f>Table3.110[[#This Row],[Net gas 8h, ml]]*Table3.110[[#This Row],[CH4 8h %]]%</f>
        <v>2.9567774867334182</v>
      </c>
      <c r="AK47" s="94">
        <f>Table3.110[[#This Row],[Net gas 8-24h, ml]]*Table3.110[[#This Row],[CH4 24h, %]]%</f>
        <v>2.9777451581333771</v>
      </c>
      <c r="AL47" s="94">
        <f>Table3.110[[#This Row],[CH4 8-24h, ml]]+Table3.110[[#This Row],[CH4 8h, ml]]</f>
        <v>5.9345226448667958</v>
      </c>
      <c r="AM47" s="94">
        <f>(Table3.110[[#This Row],[Net gas 24h, ml]]/Table3.110[[#This Row],[DM Incubated, mg]])*1000</f>
        <v>87.503715663194214</v>
      </c>
      <c r="AN47" s="94">
        <f>'3.2 Digest'!X47</f>
        <v>19.20925452271106</v>
      </c>
      <c r="AO47" s="94">
        <f>Table3.110[[#This Row],[Digested feed, mg]]/Table3.110[[#This Row],[Net gas 24h, ml]]</f>
        <v>2.1952501533361577</v>
      </c>
      <c r="AP47" s="94">
        <f>Table3.110[[#This Row],[CH4 8h, ml]]/Table3.110[[#This Row],[Net gas 8h, ml]]%</f>
        <v>12.4</v>
      </c>
      <c r="AQ47" s="94">
        <f>Table3.110[[#This Row],[CH4 24h, ml]]/Table3.110[[#This Row],[Net gas 24h, ml]]%</f>
        <v>14.419072165192784</v>
      </c>
      <c r="AR47" s="94">
        <f>Table3.110[[#This Row],[CH4 24h, ml]]/Table3.110[[#This Row],[DM Incubated, mg]]*1000</f>
        <v>12.617223908701074</v>
      </c>
      <c r="AS47" s="94">
        <f>Table3.110[[#This Row],[CH4 24h, ml]]/Table3.110[[#This Row],[Digested feed, mg]]*1000</f>
        <v>65.683048208787895</v>
      </c>
      <c r="AT47" s="94">
        <f>Table3.110[[#This Row],[CH4 24h, ml]]/'3.2 Digest'!AA47</f>
        <v>-0.17152255380743786</v>
      </c>
      <c r="AU47" s="94">
        <f>((Table3.110[[#This Row],[CH4 24h, ml]]/28.9)*16.04)/Table3.110[[#This Row],[DM Incubated, mg]]*1000</f>
        <v>7.0027775604001823</v>
      </c>
      <c r="AV47" s="94">
        <f>((Table3.110[[#This Row],[CH4 24h, ml]]/28.9)*16.04)/Table3.110[[#This Row],[Digested feed, mg]]*1000</f>
        <v>36.455228140794389</v>
      </c>
      <c r="AW47" s="303"/>
    </row>
    <row r="48" spans="1:49" s="304" customFormat="1" x14ac:dyDescent="0.35">
      <c r="A48" s="89"/>
      <c r="B48" s="90">
        <f t="shared" si="0"/>
        <v>38</v>
      </c>
      <c r="C48" s="140">
        <v>46041</v>
      </c>
      <c r="D48" s="6" t="s">
        <v>16</v>
      </c>
      <c r="E48" s="6" t="s">
        <v>50</v>
      </c>
      <c r="F48" s="133" t="s">
        <v>19</v>
      </c>
      <c r="G48" s="133" t="s">
        <v>20</v>
      </c>
      <c r="H48" s="133" t="s">
        <v>21</v>
      </c>
      <c r="I48" s="6" t="s">
        <v>22</v>
      </c>
      <c r="J48" s="129" t="s">
        <v>23</v>
      </c>
      <c r="K48" s="129" t="s">
        <v>24</v>
      </c>
      <c r="L48" s="6" t="s">
        <v>49</v>
      </c>
      <c r="M48" s="119">
        <v>27</v>
      </c>
      <c r="N48" s="93">
        <v>58</v>
      </c>
      <c r="O48" s="6">
        <v>1</v>
      </c>
      <c r="P48" s="129">
        <v>3</v>
      </c>
      <c r="Q48" s="6">
        <v>218</v>
      </c>
      <c r="R48" s="98">
        <v>0.50019999999999998</v>
      </c>
      <c r="S48" s="94">
        <f>((Table3.110[[#This Row],[Sample weight, g]]*'2.1. DM'!Q33)/100)*1000</f>
        <v>469.97507216900357</v>
      </c>
      <c r="T48" s="94">
        <f>'3.2 Digest'!W48</f>
        <v>64.075072169003533</v>
      </c>
      <c r="U48" s="117">
        <v>0.38055555555555554</v>
      </c>
      <c r="V48" s="155">
        <v>42</v>
      </c>
      <c r="W48" s="117">
        <v>0.71597222222222223</v>
      </c>
      <c r="X48" s="97">
        <v>67</v>
      </c>
      <c r="Y48" s="97">
        <v>13.5</v>
      </c>
      <c r="Z48" s="155">
        <v>41</v>
      </c>
      <c r="AA48" s="117">
        <v>0.38263888888888886</v>
      </c>
      <c r="AB48" s="155">
        <v>61.5</v>
      </c>
      <c r="AC48" s="155">
        <v>17.100000000000001</v>
      </c>
      <c r="AD48" s="96"/>
      <c r="AE48" s="94">
        <f>Table3.110[[#This Row],[Gas 8h, ml]]-Table3.110[[#This Row],[Gas 0h, ml]]</f>
        <v>25</v>
      </c>
      <c r="AF48" s="94">
        <f>Table3.110[[#This Row],[Gas 24h, ml]]-Table3.110[[#This Row],[V8 Push back, ml]]</f>
        <v>20.5</v>
      </c>
      <c r="AG48" s="94">
        <f>Table3.110[[#This Row],[GP 8h, ml]]-(AVERAGE(AE$11,AE$12,AE$62,AE$61,AE$114,AE$115))*$AG$8</f>
        <v>22.344979731721114</v>
      </c>
      <c r="AH48" s="94">
        <f>Table3.110[[#This Row],[GP 8-24h, ml]]-(AVERAGE(AF$11,AF$12,AF$62,AF$61,AF$114,AF$115))*$AG$8</f>
        <v>16.81247184961266</v>
      </c>
      <c r="AI48" s="94">
        <f>Table3.110[[#This Row],[Net gas 8-24h, ml]]+Table3.110[[#This Row],[Net gas 8h, ml]]</f>
        <v>39.157451581333774</v>
      </c>
      <c r="AJ48" s="94">
        <f>Table3.110[[#This Row],[Net gas 8h, ml]]*Table3.110[[#This Row],[CH4 8h %]]%</f>
        <v>3.0165722637823507</v>
      </c>
      <c r="AK48" s="94">
        <f>Table3.110[[#This Row],[Net gas 8-24h, ml]]*Table3.110[[#This Row],[CH4 24h, %]]%</f>
        <v>2.8749326862837652</v>
      </c>
      <c r="AL48" s="94">
        <f>Table3.110[[#This Row],[CH4 8-24h, ml]]+Table3.110[[#This Row],[CH4 8h, ml]]</f>
        <v>5.8915049500661159</v>
      </c>
      <c r="AM48" s="94">
        <f>(Table3.110[[#This Row],[Net gas 24h, ml]]/Table3.110[[#This Row],[DM Incubated, mg]])*1000</f>
        <v>83.318145791470215</v>
      </c>
      <c r="AN48" s="94">
        <f>'3.2 Digest'!X48</f>
        <v>13.633717182761998</v>
      </c>
      <c r="AO48" s="94">
        <f>Table3.110[[#This Row],[Digested feed, mg]]/Table3.110[[#This Row],[Net gas 24h, ml]]</f>
        <v>1.636344286499684</v>
      </c>
      <c r="AP48" s="94">
        <f>Table3.110[[#This Row],[CH4 8h, ml]]/Table3.110[[#This Row],[Net gas 8h, ml]]%</f>
        <v>13.5</v>
      </c>
      <c r="AQ48" s="94">
        <f>Table3.110[[#This Row],[CH4 24h, ml]]/Table3.110[[#This Row],[Net gas 24h, ml]]%</f>
        <v>15.045680227245883</v>
      </c>
      <c r="AR48" s="94">
        <f>Table3.110[[#This Row],[CH4 24h, ml]]/Table3.110[[#This Row],[DM Incubated, mg]]*1000</f>
        <v>12.535781787055132</v>
      </c>
      <c r="AS48" s="94">
        <f>Table3.110[[#This Row],[CH4 24h, ml]]/Table3.110[[#This Row],[Digested feed, mg]]*1000</f>
        <v>91.946910875523685</v>
      </c>
      <c r="AT48" s="94">
        <f>Table3.110[[#This Row],[CH4 24h, ml]]/'3.2 Digest'!AA48</f>
        <v>-0.13423940915607127</v>
      </c>
      <c r="AU48" s="94">
        <f>((Table3.110[[#This Row],[CH4 24h, ml]]/28.9)*16.04)/Table3.110[[#This Row],[DM Incubated, mg]]*1000</f>
        <v>6.9575757738534367</v>
      </c>
      <c r="AV48" s="94">
        <f>((Table3.110[[#This Row],[CH4 24h, ml]]/28.9)*16.04)/Table3.110[[#This Row],[Digested feed, mg]]*1000</f>
        <v>51.032126312920418</v>
      </c>
      <c r="AW48" s="303"/>
    </row>
    <row r="49" spans="1:49" s="304" customFormat="1" x14ac:dyDescent="0.35">
      <c r="A49" s="89"/>
      <c r="B49" s="90">
        <f t="shared" si="0"/>
        <v>39</v>
      </c>
      <c r="C49" s="140">
        <v>46041</v>
      </c>
      <c r="D49" s="6" t="s">
        <v>16</v>
      </c>
      <c r="E49" s="6" t="s">
        <v>52</v>
      </c>
      <c r="F49" s="133" t="s">
        <v>19</v>
      </c>
      <c r="G49" s="133" t="s">
        <v>20</v>
      </c>
      <c r="H49" s="133" t="s">
        <v>21</v>
      </c>
      <c r="I49" s="6" t="s">
        <v>22</v>
      </c>
      <c r="J49" s="129" t="s">
        <v>23</v>
      </c>
      <c r="K49" s="129" t="s">
        <v>24</v>
      </c>
      <c r="L49" s="6" t="s">
        <v>51</v>
      </c>
      <c r="M49" s="119">
        <v>27</v>
      </c>
      <c r="N49" s="93">
        <v>58</v>
      </c>
      <c r="O49" s="6">
        <v>1</v>
      </c>
      <c r="P49" s="6">
        <v>1</v>
      </c>
      <c r="Q49" s="6">
        <v>219</v>
      </c>
      <c r="R49" s="98">
        <v>0.50029999999999997</v>
      </c>
      <c r="S49" s="94">
        <f>((Table3.110[[#This Row],[Sample weight, g]]*'2.1. DM'!Q35)/100)*1000</f>
        <v>459.56281825702052</v>
      </c>
      <c r="T49" s="94">
        <f>'3.2 Digest'!W49</f>
        <v>92.162818257020547</v>
      </c>
      <c r="U49" s="153">
        <v>0.38333333333333336</v>
      </c>
      <c r="V49" s="154">
        <v>41.5</v>
      </c>
      <c r="W49" s="153">
        <v>0.71666666666666667</v>
      </c>
      <c r="X49" s="95">
        <v>69.5</v>
      </c>
      <c r="Y49" s="95">
        <v>14.5</v>
      </c>
      <c r="Z49" s="154">
        <v>40.5</v>
      </c>
      <c r="AA49" s="153">
        <v>0.38263888888888886</v>
      </c>
      <c r="AB49" s="154">
        <v>66</v>
      </c>
      <c r="AC49" s="154">
        <v>17.7</v>
      </c>
      <c r="AD49" s="91"/>
      <c r="AE49" s="94">
        <f>Table3.110[[#This Row],[Gas 8h, ml]]-Table3.110[[#This Row],[Gas 0h, ml]]</f>
        <v>28</v>
      </c>
      <c r="AF49" s="94">
        <f>Table3.110[[#This Row],[Gas 24h, ml]]-Table3.110[[#This Row],[V8 Push back, ml]]</f>
        <v>25.5</v>
      </c>
      <c r="AG49" s="94">
        <f>Table3.110[[#This Row],[GP 8h, ml]]-(AVERAGE(AE$11,AE$12,AE$62,AE$61,AE$114,AE$115))*$AG$8</f>
        <v>25.344979731721114</v>
      </c>
      <c r="AH49" s="94">
        <f>Table3.110[[#This Row],[GP 8-24h, ml]]-(AVERAGE(AF$11,AF$12,AF$62,AF$61,AF$114,AF$115))*$AG$8</f>
        <v>21.81247184961266</v>
      </c>
      <c r="AI49" s="94">
        <f>Table3.110[[#This Row],[Net gas 8-24h, ml]]+Table3.110[[#This Row],[Net gas 8h, ml]]</f>
        <v>47.157451581333774</v>
      </c>
      <c r="AJ49" s="94">
        <f>Table3.110[[#This Row],[Net gas 8h, ml]]*Table3.110[[#This Row],[CH4 8h %]]%</f>
        <v>3.6750220610995612</v>
      </c>
      <c r="AK49" s="94">
        <f>Table3.110[[#This Row],[Net gas 8-24h, ml]]*Table3.110[[#This Row],[CH4 24h, %]]%</f>
        <v>3.8608075173814407</v>
      </c>
      <c r="AL49" s="94">
        <f>Table3.110[[#This Row],[CH4 8-24h, ml]]+Table3.110[[#This Row],[CH4 8h, ml]]</f>
        <v>7.5358295784810014</v>
      </c>
      <c r="AM49" s="94">
        <f>(Table3.110[[#This Row],[Net gas 24h, ml]]/Table3.110[[#This Row],[DM Incubated, mg]])*1000</f>
        <v>102.61372266839903</v>
      </c>
      <c r="AN49" s="94">
        <f>'3.2 Digest'!X49</f>
        <v>20.054454928831184</v>
      </c>
      <c r="AO49" s="94">
        <f>Table3.110[[#This Row],[Digested feed, mg]]/Table3.110[[#This Row],[Net gas 24h, ml]]</f>
        <v>1.9543638421186684</v>
      </c>
      <c r="AP49" s="94">
        <f>Table3.110[[#This Row],[CH4 8h, ml]]/Table3.110[[#This Row],[Net gas 8h, ml]]%</f>
        <v>14.5</v>
      </c>
      <c r="AQ49" s="94">
        <f>Table3.110[[#This Row],[CH4 24h, ml]]/Table3.110[[#This Row],[Net gas 24h, ml]]%</f>
        <v>15.980145927698713</v>
      </c>
      <c r="AR49" s="94">
        <f>Table3.110[[#This Row],[CH4 24h, ml]]/Table3.110[[#This Row],[DM Incubated, mg]]*1000</f>
        <v>16.397822624254221</v>
      </c>
      <c r="AS49" s="94">
        <f>Table3.110[[#This Row],[CH4 24h, ml]]/Table3.110[[#This Row],[Digested feed, mg]]*1000</f>
        <v>81.76648371868724</v>
      </c>
      <c r="AT49" s="94">
        <f>Table3.110[[#This Row],[CH4 24h, ml]]/'3.2 Digest'!AA49</f>
        <v>-0.22216573406934292</v>
      </c>
      <c r="AU49" s="94">
        <f>((Table3.110[[#This Row],[CH4 24h, ml]]/28.9)*16.04)/Table3.110[[#This Row],[DM Incubated, mg]]*1000</f>
        <v>9.1010752558144539</v>
      </c>
      <c r="AV49" s="94">
        <f>((Table3.110[[#This Row],[CH4 24h, ml]]/28.9)*16.04)/Table3.110[[#This Row],[Digested feed, mg]]*1000</f>
        <v>45.38181310891845</v>
      </c>
      <c r="AW49" s="303"/>
    </row>
    <row r="50" spans="1:49" s="304" customFormat="1" x14ac:dyDescent="0.35">
      <c r="A50" s="89"/>
      <c r="B50" s="90">
        <f t="shared" si="0"/>
        <v>40</v>
      </c>
      <c r="C50" s="140">
        <v>46041</v>
      </c>
      <c r="D50" s="6" t="s">
        <v>16</v>
      </c>
      <c r="E50" s="6" t="s">
        <v>52</v>
      </c>
      <c r="F50" s="133" t="s">
        <v>19</v>
      </c>
      <c r="G50" s="133" t="s">
        <v>20</v>
      </c>
      <c r="H50" s="133" t="s">
        <v>21</v>
      </c>
      <c r="I50" s="6" t="s">
        <v>22</v>
      </c>
      <c r="J50" s="129" t="s">
        <v>23</v>
      </c>
      <c r="K50" s="129" t="s">
        <v>24</v>
      </c>
      <c r="L50" s="6" t="s">
        <v>51</v>
      </c>
      <c r="M50" s="119">
        <v>27</v>
      </c>
      <c r="N50" s="93">
        <v>58</v>
      </c>
      <c r="O50" s="6">
        <v>1</v>
      </c>
      <c r="P50" s="129">
        <v>2</v>
      </c>
      <c r="Q50" s="6">
        <v>220</v>
      </c>
      <c r="R50" s="98">
        <v>0.50029999999999997</v>
      </c>
      <c r="S50" s="94">
        <f>((Table3.110[[#This Row],[Sample weight, g]]*'2.1. DM'!Q35)/100)*1000</f>
        <v>459.56281825702052</v>
      </c>
      <c r="T50" s="94">
        <f>'3.2 Digest'!W50</f>
        <v>103.86281825702054</v>
      </c>
      <c r="U50" s="117">
        <v>0.38333333333333336</v>
      </c>
      <c r="V50" s="155">
        <v>41</v>
      </c>
      <c r="W50" s="117">
        <v>0.71736111111111112</v>
      </c>
      <c r="X50" s="97">
        <v>52</v>
      </c>
      <c r="Y50" s="97">
        <v>13.7</v>
      </c>
      <c r="Z50" s="155">
        <v>40</v>
      </c>
      <c r="AA50" s="117">
        <v>0.38333333333333336</v>
      </c>
      <c r="AB50" s="155">
        <v>50.5</v>
      </c>
      <c r="AC50" s="155">
        <v>17.7</v>
      </c>
      <c r="AD50" s="96"/>
      <c r="AE50" s="94">
        <f>Table3.110[[#This Row],[Gas 8h, ml]]-Table3.110[[#This Row],[Gas 0h, ml]]</f>
        <v>11</v>
      </c>
      <c r="AF50" s="94">
        <f>Table3.110[[#This Row],[Gas 24h, ml]]-Table3.110[[#This Row],[V8 Push back, ml]]</f>
        <v>10.5</v>
      </c>
      <c r="AG50" s="94">
        <f>Table3.110[[#This Row],[GP 8h, ml]]-(AVERAGE(AE$11,AE$12,AE$62,AE$61,AE$114,AE$115))*$AG$8</f>
        <v>8.3449797317211143</v>
      </c>
      <c r="AH50" s="94">
        <f>Table3.110[[#This Row],[GP 8-24h, ml]]-(AVERAGE(AF$11,AF$12,AF$62,AF$61,AF$114,AF$115))*$AG$8</f>
        <v>6.8124718496126597</v>
      </c>
      <c r="AI50" s="94">
        <f>Table3.110[[#This Row],[Net gas 8-24h, ml]]+Table3.110[[#This Row],[Net gas 8h, ml]]</f>
        <v>15.157451581333774</v>
      </c>
      <c r="AJ50" s="94">
        <f>Table3.110[[#This Row],[Net gas 8h, ml]]*Table3.110[[#This Row],[CH4 8h %]]%</f>
        <v>1.1432622232457925</v>
      </c>
      <c r="AK50" s="94">
        <f>Table3.110[[#This Row],[Net gas 8-24h, ml]]*Table3.110[[#This Row],[CH4 24h, %]]%</f>
        <v>1.2058075173814407</v>
      </c>
      <c r="AL50" s="94">
        <f>Table3.110[[#This Row],[CH4 8-24h, ml]]+Table3.110[[#This Row],[CH4 8h, ml]]</f>
        <v>2.3490697406272334</v>
      </c>
      <c r="AM50" s="94">
        <f>(Table3.110[[#This Row],[Net gas 24h, ml]]/Table3.110[[#This Row],[DM Incubated, mg]])*1000</f>
        <v>32.982327941197013</v>
      </c>
      <c r="AN50" s="94">
        <f>'3.2 Digest'!X50</f>
        <v>22.600352798544503</v>
      </c>
      <c r="AO50" s="94">
        <f>Table3.110[[#This Row],[Digested feed, mg]]/Table3.110[[#This Row],[Net gas 24h, ml]]</f>
        <v>6.8522612590711747</v>
      </c>
      <c r="AP50" s="94">
        <f>Table3.110[[#This Row],[CH4 8h, ml]]/Table3.110[[#This Row],[Net gas 8h, ml]]%</f>
        <v>13.7</v>
      </c>
      <c r="AQ50" s="94">
        <f>Table3.110[[#This Row],[CH4 24h, ml]]/Table3.110[[#This Row],[Net gas 24h, ml]]%</f>
        <v>15.497788187033271</v>
      </c>
      <c r="AR50" s="94">
        <f>Table3.110[[#This Row],[CH4 24h, ml]]/Table3.110[[#This Row],[DM Incubated, mg]]*1000</f>
        <v>5.1115313234794044</v>
      </c>
      <c r="AS50" s="94">
        <f>Table3.110[[#This Row],[CH4 24h, ml]]/Table3.110[[#This Row],[Digested feed, mg]]*1000</f>
        <v>22.617042172052265</v>
      </c>
      <c r="AT50" s="94">
        <f>Table3.110[[#This Row],[CH4 24h, ml]]/'3.2 Digest'!AA50</f>
        <v>-7.9212946048648064E-2</v>
      </c>
      <c r="AU50" s="94">
        <f>((Table3.110[[#This Row],[CH4 24h, ml]]/28.9)*16.04)/Table3.110[[#This Row],[DM Incubated, mg]]*1000</f>
        <v>2.8369883193290537</v>
      </c>
      <c r="AV50" s="94">
        <f>((Table3.110[[#This Row],[CH4 24h, ml]]/28.9)*16.04)/Table3.110[[#This Row],[Digested feed, mg]]*1000</f>
        <v>12.552849703796483</v>
      </c>
      <c r="AW50" s="303"/>
    </row>
    <row r="51" spans="1:49" s="304" customFormat="1" x14ac:dyDescent="0.35">
      <c r="A51" s="89"/>
      <c r="B51" s="90">
        <f t="shared" si="0"/>
        <v>41</v>
      </c>
      <c r="C51" s="140">
        <v>46041</v>
      </c>
      <c r="D51" s="6" t="s">
        <v>16</v>
      </c>
      <c r="E51" s="6" t="s">
        <v>52</v>
      </c>
      <c r="F51" s="133" t="s">
        <v>19</v>
      </c>
      <c r="G51" s="133" t="s">
        <v>20</v>
      </c>
      <c r="H51" s="133" t="s">
        <v>21</v>
      </c>
      <c r="I51" s="6" t="s">
        <v>22</v>
      </c>
      <c r="J51" s="129" t="s">
        <v>23</v>
      </c>
      <c r="K51" s="129" t="s">
        <v>24</v>
      </c>
      <c r="L51" s="6" t="s">
        <v>51</v>
      </c>
      <c r="M51" s="119">
        <v>27</v>
      </c>
      <c r="N51" s="93">
        <v>58</v>
      </c>
      <c r="O51" s="6">
        <v>1</v>
      </c>
      <c r="P51" s="129">
        <v>3</v>
      </c>
      <c r="Q51" s="6">
        <v>221</v>
      </c>
      <c r="R51" s="98">
        <v>0.50049999999999994</v>
      </c>
      <c r="S51" s="94">
        <f>((Table3.110[[#This Row],[Sample weight, g]]*'2.1. DM'!Q35)/100)*1000</f>
        <v>459.74653315538427</v>
      </c>
      <c r="T51" s="94">
        <f>'3.2 Digest'!W51</f>
        <v>67.246533155384327</v>
      </c>
      <c r="U51" s="153">
        <v>0.38472222222222224</v>
      </c>
      <c r="V51" s="154">
        <v>42.5</v>
      </c>
      <c r="W51" s="153">
        <v>0.71736111111111112</v>
      </c>
      <c r="X51" s="95">
        <v>69</v>
      </c>
      <c r="Y51" s="95">
        <v>15</v>
      </c>
      <c r="Z51" s="154">
        <v>40</v>
      </c>
      <c r="AA51" s="153">
        <v>0.38333333333333336</v>
      </c>
      <c r="AB51" s="154">
        <v>64.5</v>
      </c>
      <c r="AC51" s="154">
        <v>17.8</v>
      </c>
      <c r="AD51" s="91"/>
      <c r="AE51" s="94">
        <f>Table3.110[[#This Row],[Gas 8h, ml]]-Table3.110[[#This Row],[Gas 0h, ml]]</f>
        <v>26.5</v>
      </c>
      <c r="AF51" s="94">
        <f>Table3.110[[#This Row],[Gas 24h, ml]]-Table3.110[[#This Row],[V8 Push back, ml]]</f>
        <v>24.5</v>
      </c>
      <c r="AG51" s="94">
        <f>Table3.110[[#This Row],[GP 8h, ml]]-(AVERAGE(AE$11,AE$12,AE$62,AE$61,AE$114,AE$115))*$AG$8</f>
        <v>23.844979731721114</v>
      </c>
      <c r="AH51" s="94">
        <f>Table3.110[[#This Row],[GP 8-24h, ml]]-(AVERAGE(AF$11,AF$12,AF$62,AF$61,AF$114,AF$115))*$AG$8</f>
        <v>20.81247184961266</v>
      </c>
      <c r="AI51" s="94">
        <f>Table3.110[[#This Row],[Net gas 8-24h, ml]]+Table3.110[[#This Row],[Net gas 8h, ml]]</f>
        <v>44.657451581333774</v>
      </c>
      <c r="AJ51" s="94">
        <f>Table3.110[[#This Row],[Net gas 8h, ml]]*Table3.110[[#This Row],[CH4 8h %]]%</f>
        <v>3.5767469597581671</v>
      </c>
      <c r="AK51" s="94">
        <f>Table3.110[[#This Row],[Net gas 8-24h, ml]]*Table3.110[[#This Row],[CH4 24h, %]]%</f>
        <v>3.7046199892310536</v>
      </c>
      <c r="AL51" s="94">
        <f>Table3.110[[#This Row],[CH4 8-24h, ml]]+Table3.110[[#This Row],[CH4 8h, ml]]</f>
        <v>7.2813669489892208</v>
      </c>
      <c r="AM51" s="94">
        <f>(Table3.110[[#This Row],[Net gas 24h, ml]]/Table3.110[[#This Row],[DM Incubated, mg]])*1000</f>
        <v>97.134939278031553</v>
      </c>
      <c r="AN51" s="94">
        <f>'3.2 Digest'!X51</f>
        <v>14.626871179180043</v>
      </c>
      <c r="AO51" s="94">
        <f>Table3.110[[#This Row],[Digested feed, mg]]/Table3.110[[#This Row],[Net gas 24h, ml]]</f>
        <v>1.5058300636100894</v>
      </c>
      <c r="AP51" s="94">
        <f>Table3.110[[#This Row],[CH4 8h, ml]]/Table3.110[[#This Row],[Net gas 8h, ml]]%</f>
        <v>15</v>
      </c>
      <c r="AQ51" s="94">
        <f>Table3.110[[#This Row],[CH4 24h, ml]]/Table3.110[[#This Row],[Net gas 24h, ml]]%</f>
        <v>16.304931632132668</v>
      </c>
      <c r="AR51" s="94">
        <f>Table3.110[[#This Row],[CH4 24h, ml]]/Table3.110[[#This Row],[DM Incubated, mg]]*1000</f>
        <v>15.837785440196626</v>
      </c>
      <c r="AS51" s="94">
        <f>Table3.110[[#This Row],[CH4 24h, ml]]/Table3.110[[#This Row],[Digested feed, mg]]*1000</f>
        <v>108.27869642237776</v>
      </c>
      <c r="AT51" s="94">
        <f>Table3.110[[#This Row],[CH4 24h, ml]]/'3.2 Digest'!AA51</f>
        <v>-0.16928762171471823</v>
      </c>
      <c r="AU51" s="94">
        <f>((Table3.110[[#This Row],[CH4 24h, ml]]/28.9)*16.04)/Table3.110[[#This Row],[DM Incubated, mg]]*1000</f>
        <v>8.7902449294378506</v>
      </c>
      <c r="AV51" s="94">
        <f>((Table3.110[[#This Row],[CH4 24h, ml]]/28.9)*16.04)/Table3.110[[#This Row],[Digested feed, mg]]*1000</f>
        <v>60.096549848267799</v>
      </c>
      <c r="AW51" s="303"/>
    </row>
    <row r="52" spans="1:49" s="304" customFormat="1" x14ac:dyDescent="0.35">
      <c r="A52" s="89"/>
      <c r="B52" s="90">
        <f t="shared" si="0"/>
        <v>42</v>
      </c>
      <c r="C52" s="140">
        <v>46041</v>
      </c>
      <c r="D52" s="6" t="s">
        <v>16</v>
      </c>
      <c r="E52" s="6" t="s">
        <v>54</v>
      </c>
      <c r="F52" s="133" t="s">
        <v>19</v>
      </c>
      <c r="G52" s="133" t="s">
        <v>20</v>
      </c>
      <c r="H52" s="133" t="s">
        <v>21</v>
      </c>
      <c r="I52" s="6" t="s">
        <v>22</v>
      </c>
      <c r="J52" s="129" t="s">
        <v>23</v>
      </c>
      <c r="K52" s="129" t="s">
        <v>24</v>
      </c>
      <c r="L52" s="6" t="s">
        <v>53</v>
      </c>
      <c r="M52" s="119">
        <v>27</v>
      </c>
      <c r="N52" s="93">
        <v>58</v>
      </c>
      <c r="O52" s="6">
        <v>1</v>
      </c>
      <c r="P52" s="6">
        <v>1</v>
      </c>
      <c r="Q52" s="6">
        <v>222</v>
      </c>
      <c r="R52" s="98">
        <v>0.50009999999999999</v>
      </c>
      <c r="S52" s="94">
        <f>((Table3.110[[#This Row],[Sample weight, g]]*'2.1. DM'!Q37)/100)*1000</f>
        <v>473.64995974360414</v>
      </c>
      <c r="T52" s="94">
        <f>'3.2 Digest'!W52</f>
        <v>181.74995974360411</v>
      </c>
      <c r="U52" s="117">
        <v>0.38472222222222224</v>
      </c>
      <c r="V52" s="155">
        <v>42</v>
      </c>
      <c r="W52" s="117">
        <v>0.71805555555555556</v>
      </c>
      <c r="X52" s="97">
        <v>71.5</v>
      </c>
      <c r="Y52" s="97">
        <v>15.1</v>
      </c>
      <c r="Z52" s="155">
        <v>40.5</v>
      </c>
      <c r="AA52" s="117">
        <v>0.3840277777777778</v>
      </c>
      <c r="AB52" s="155">
        <v>68.5</v>
      </c>
      <c r="AC52" s="155">
        <v>17.600000000000001</v>
      </c>
      <c r="AD52" s="96"/>
      <c r="AE52" s="94">
        <f>Table3.110[[#This Row],[Gas 8h, ml]]-Table3.110[[#This Row],[Gas 0h, ml]]</f>
        <v>29.5</v>
      </c>
      <c r="AF52" s="94">
        <f>Table3.110[[#This Row],[Gas 24h, ml]]-Table3.110[[#This Row],[V8 Push back, ml]]</f>
        <v>28</v>
      </c>
      <c r="AG52" s="94">
        <f>Table3.110[[#This Row],[GP 8h, ml]]-(AVERAGE(AE$11,AE$12,AE$62,AE$61,AE$114,AE$115))*$AG$8</f>
        <v>26.844979731721114</v>
      </c>
      <c r="AH52" s="94">
        <f>Table3.110[[#This Row],[GP 8-24h, ml]]-(AVERAGE(AF$11,AF$12,AF$62,AF$61,AF$114,AF$115))*$AG$8</f>
        <v>24.31247184961266</v>
      </c>
      <c r="AI52" s="94">
        <f>Table3.110[[#This Row],[Net gas 8-24h, ml]]+Table3.110[[#This Row],[Net gas 8h, ml]]</f>
        <v>51.157451581333774</v>
      </c>
      <c r="AJ52" s="94">
        <f>Table3.110[[#This Row],[Net gas 8h, ml]]*Table3.110[[#This Row],[CH4 8h %]]%</f>
        <v>4.0535919394898885</v>
      </c>
      <c r="AK52" s="94">
        <f>Table3.110[[#This Row],[Net gas 8-24h, ml]]*Table3.110[[#This Row],[CH4 24h, %]]%</f>
        <v>4.2789950455318282</v>
      </c>
      <c r="AL52" s="94">
        <f>Table3.110[[#This Row],[CH4 8-24h, ml]]+Table3.110[[#This Row],[CH4 8h, ml]]</f>
        <v>8.3325869850217167</v>
      </c>
      <c r="AM52" s="94">
        <f>(Table3.110[[#This Row],[Net gas 24h, ml]]/Table3.110[[#This Row],[DM Incubated, mg]])*1000</f>
        <v>108.00687412498945</v>
      </c>
      <c r="AN52" s="94">
        <f>'3.2 Digest'!X52</f>
        <v>38.372210533278391</v>
      </c>
      <c r="AO52" s="94">
        <f>Table3.110[[#This Row],[Digested feed, mg]]/Table3.110[[#This Row],[Net gas 24h, ml]]</f>
        <v>3.5527563263124051</v>
      </c>
      <c r="AP52" s="94">
        <f>Table3.110[[#This Row],[CH4 8h, ml]]/Table3.110[[#This Row],[Net gas 8h, ml]]%</f>
        <v>15.100000000000001</v>
      </c>
      <c r="AQ52" s="94">
        <f>Table3.110[[#This Row],[CH4 24h, ml]]/Table3.110[[#This Row],[Net gas 24h, ml]]%</f>
        <v>16.288119770340735</v>
      </c>
      <c r="AR52" s="94">
        <f>Table3.110[[#This Row],[CH4 24h, ml]]/Table3.110[[#This Row],[DM Incubated, mg]]*1000</f>
        <v>17.592289017679441</v>
      </c>
      <c r="AS52" s="94">
        <f>Table3.110[[#This Row],[CH4 24h, ml]]/Table3.110[[#This Row],[Digested feed, mg]]*1000</f>
        <v>45.846430980103392</v>
      </c>
      <c r="AT52" s="94">
        <f>Table3.110[[#This Row],[CH4 24h, ml]]/'3.2 Digest'!AA52</f>
        <v>-2.582750199427359</v>
      </c>
      <c r="AU52" s="94">
        <f>((Table3.110[[#This Row],[CH4 24h, ml]]/28.9)*16.04)/Table3.110[[#This Row],[DM Incubated, mg]]*1000</f>
        <v>9.7640247696739877</v>
      </c>
      <c r="AV52" s="94">
        <f>((Table3.110[[#This Row],[CH4 24h, ml]]/28.9)*16.04)/Table3.110[[#This Row],[Digested feed, mg]]*1000</f>
        <v>25.445562384804791</v>
      </c>
      <c r="AW52" s="303"/>
    </row>
    <row r="53" spans="1:49" s="304" customFormat="1" x14ac:dyDescent="0.35">
      <c r="A53" s="89"/>
      <c r="B53" s="90">
        <f t="shared" si="0"/>
        <v>43</v>
      </c>
      <c r="C53" s="140">
        <v>46041</v>
      </c>
      <c r="D53" s="6" t="s">
        <v>16</v>
      </c>
      <c r="E53" s="6" t="s">
        <v>54</v>
      </c>
      <c r="F53" s="133" t="s">
        <v>19</v>
      </c>
      <c r="G53" s="133" t="s">
        <v>20</v>
      </c>
      <c r="H53" s="133" t="s">
        <v>21</v>
      </c>
      <c r="I53" s="6" t="s">
        <v>22</v>
      </c>
      <c r="J53" s="129" t="s">
        <v>23</v>
      </c>
      <c r="K53" s="129" t="s">
        <v>24</v>
      </c>
      <c r="L53" s="6" t="s">
        <v>53</v>
      </c>
      <c r="M53" s="119">
        <v>27</v>
      </c>
      <c r="N53" s="93">
        <v>58</v>
      </c>
      <c r="O53" s="6">
        <v>1</v>
      </c>
      <c r="P53" s="129">
        <v>2</v>
      </c>
      <c r="Q53" s="6">
        <v>223</v>
      </c>
      <c r="R53" s="98">
        <v>0.50019999999999998</v>
      </c>
      <c r="S53" s="94">
        <f>((Table3.110[[#This Row],[Sample weight, g]]*'2.1. DM'!Q37)/100)*1000</f>
        <v>473.74467079334289</v>
      </c>
      <c r="T53" s="94">
        <f>'3.2 Digest'!W53</f>
        <v>156.44467079334288</v>
      </c>
      <c r="U53" s="153">
        <v>0.38472222222222224</v>
      </c>
      <c r="V53" s="154">
        <v>42</v>
      </c>
      <c r="W53" s="153">
        <v>0.71875</v>
      </c>
      <c r="X53" s="95">
        <v>70.5</v>
      </c>
      <c r="Y53" s="95">
        <v>15.4</v>
      </c>
      <c r="Z53" s="154">
        <v>41</v>
      </c>
      <c r="AA53" s="153">
        <v>0.3840277777777778</v>
      </c>
      <c r="AB53" s="154">
        <v>68.5</v>
      </c>
      <c r="AC53" s="154">
        <v>17.399999999999999</v>
      </c>
      <c r="AD53" s="91"/>
      <c r="AE53" s="94">
        <f>Table3.110[[#This Row],[Gas 8h, ml]]-Table3.110[[#This Row],[Gas 0h, ml]]</f>
        <v>28.5</v>
      </c>
      <c r="AF53" s="94">
        <f>Table3.110[[#This Row],[Gas 24h, ml]]-Table3.110[[#This Row],[V8 Push back, ml]]</f>
        <v>27.5</v>
      </c>
      <c r="AG53" s="94">
        <f>Table3.110[[#This Row],[GP 8h, ml]]-(AVERAGE(AE$11,AE$12,AE$62,AE$61,AE$114,AE$115))*$AG$8</f>
        <v>25.844979731721114</v>
      </c>
      <c r="AH53" s="94">
        <f>Table3.110[[#This Row],[GP 8-24h, ml]]-(AVERAGE(AF$11,AF$12,AF$62,AF$61,AF$114,AF$115))*$AG$8</f>
        <v>23.81247184961266</v>
      </c>
      <c r="AI53" s="94">
        <f>Table3.110[[#This Row],[Net gas 8-24h, ml]]+Table3.110[[#This Row],[Net gas 8h, ml]]</f>
        <v>49.657451581333774</v>
      </c>
      <c r="AJ53" s="94">
        <f>Table3.110[[#This Row],[Net gas 8h, ml]]*Table3.110[[#This Row],[CH4 8h %]]%</f>
        <v>3.9801268786850517</v>
      </c>
      <c r="AK53" s="94">
        <f>Table3.110[[#This Row],[Net gas 8-24h, ml]]*Table3.110[[#This Row],[CH4 24h, %]]%</f>
        <v>4.1433701018326028</v>
      </c>
      <c r="AL53" s="94">
        <f>Table3.110[[#This Row],[CH4 8-24h, ml]]+Table3.110[[#This Row],[CH4 8h, ml]]</f>
        <v>8.123496980517654</v>
      </c>
      <c r="AM53" s="94">
        <f>(Table3.110[[#This Row],[Net gas 24h, ml]]/Table3.110[[#This Row],[DM Incubated, mg]])*1000</f>
        <v>104.819018857091</v>
      </c>
      <c r="AN53" s="94">
        <f>'3.2 Digest'!X53</f>
        <v>33.022993278501119</v>
      </c>
      <c r="AO53" s="94">
        <f>Table3.110[[#This Row],[Digested feed, mg]]/Table3.110[[#This Row],[Net gas 24h, ml]]</f>
        <v>3.1504772357699968</v>
      </c>
      <c r="AP53" s="94">
        <f>Table3.110[[#This Row],[CH4 8h, ml]]/Table3.110[[#This Row],[Net gas 8h, ml]]%</f>
        <v>15.4</v>
      </c>
      <c r="AQ53" s="94">
        <f>Table3.110[[#This Row],[CH4 24h, ml]]/Table3.110[[#This Row],[Net gas 24h, ml]]%</f>
        <v>16.359069428305652</v>
      </c>
      <c r="AR53" s="94">
        <f>Table3.110[[#This Row],[CH4 24h, ml]]/Table3.110[[#This Row],[DM Incubated, mg]]*1000</f>
        <v>17.147416068900309</v>
      </c>
      <c r="AS53" s="94">
        <f>Table3.110[[#This Row],[CH4 24h, ml]]/Table3.110[[#This Row],[Digested feed, mg]]*1000</f>
        <v>51.925686821563055</v>
      </c>
      <c r="AT53" s="94">
        <f>Table3.110[[#This Row],[CH4 24h, ml]]/'3.2 Digest'!AA53</f>
        <v>-0.66661671617484142</v>
      </c>
      <c r="AU53" s="94">
        <f>((Table3.110[[#This Row],[CH4 24h, ml]]/28.9)*16.04)/Table3.110[[#This Row],[DM Incubated, mg]]*1000</f>
        <v>9.5171125863377473</v>
      </c>
      <c r="AV53" s="94">
        <f>((Table3.110[[#This Row],[CH4 24h, ml]]/28.9)*16.04)/Table3.110[[#This Row],[Digested feed, mg]]*1000</f>
        <v>28.819654554251599</v>
      </c>
      <c r="AW53" s="303"/>
    </row>
    <row r="54" spans="1:49" s="304" customFormat="1" x14ac:dyDescent="0.35">
      <c r="A54" s="89"/>
      <c r="B54" s="90">
        <f t="shared" si="0"/>
        <v>44</v>
      </c>
      <c r="C54" s="140">
        <v>46041</v>
      </c>
      <c r="D54" s="6" t="s">
        <v>16</v>
      </c>
      <c r="E54" s="6" t="s">
        <v>54</v>
      </c>
      <c r="F54" s="133" t="s">
        <v>19</v>
      </c>
      <c r="G54" s="133" t="s">
        <v>20</v>
      </c>
      <c r="H54" s="133" t="s">
        <v>21</v>
      </c>
      <c r="I54" s="6" t="s">
        <v>22</v>
      </c>
      <c r="J54" s="129" t="s">
        <v>23</v>
      </c>
      <c r="K54" s="129" t="s">
        <v>24</v>
      </c>
      <c r="L54" s="6" t="s">
        <v>53</v>
      </c>
      <c r="M54" s="119">
        <v>27</v>
      </c>
      <c r="N54" s="93">
        <v>58</v>
      </c>
      <c r="O54" s="6">
        <v>1</v>
      </c>
      <c r="P54" s="129">
        <v>3</v>
      </c>
      <c r="Q54" s="6">
        <v>224</v>
      </c>
      <c r="R54" s="98">
        <v>0.50009999999999999</v>
      </c>
      <c r="S54" s="94">
        <f>((Table3.110[[#This Row],[Sample weight, g]]*'2.1. DM'!Q37)/100)*1000</f>
        <v>473.64995974360414</v>
      </c>
      <c r="T54" s="94">
        <f>'3.2 Digest'!W54</f>
        <v>121.04995974360423</v>
      </c>
      <c r="U54" s="117">
        <v>0.38541666666666669</v>
      </c>
      <c r="V54" s="155">
        <v>41.4</v>
      </c>
      <c r="W54" s="117">
        <v>0.71875</v>
      </c>
      <c r="X54" s="97">
        <v>70</v>
      </c>
      <c r="Y54" s="97">
        <v>15.3</v>
      </c>
      <c r="Z54" s="155">
        <v>41</v>
      </c>
      <c r="AA54" s="117">
        <v>0.38472222222222224</v>
      </c>
      <c r="AB54" s="155">
        <v>69</v>
      </c>
      <c r="AC54" s="155">
        <v>17.5</v>
      </c>
      <c r="AD54" s="96"/>
      <c r="AE54" s="94">
        <f>Table3.110[[#This Row],[Gas 8h, ml]]-Table3.110[[#This Row],[Gas 0h, ml]]</f>
        <v>28.6</v>
      </c>
      <c r="AF54" s="94">
        <f>Table3.110[[#This Row],[Gas 24h, ml]]-Table3.110[[#This Row],[V8 Push back, ml]]</f>
        <v>28</v>
      </c>
      <c r="AG54" s="94">
        <f>Table3.110[[#This Row],[GP 8h, ml]]-(AVERAGE(AE$11,AE$12,AE$62,AE$61,AE$114,AE$115))*$AG$8</f>
        <v>25.944979731721116</v>
      </c>
      <c r="AH54" s="94">
        <f>Table3.110[[#This Row],[GP 8-24h, ml]]-(AVERAGE(AF$11,AF$12,AF$62,AF$61,AF$114,AF$115))*$AG$8</f>
        <v>24.31247184961266</v>
      </c>
      <c r="AI54" s="94">
        <f>Table3.110[[#This Row],[Net gas 8-24h, ml]]+Table3.110[[#This Row],[Net gas 8h, ml]]</f>
        <v>50.257451581333775</v>
      </c>
      <c r="AJ54" s="94">
        <f>Table3.110[[#This Row],[Net gas 8h, ml]]*Table3.110[[#This Row],[CH4 8h %]]%</f>
        <v>3.9695818989533307</v>
      </c>
      <c r="AK54" s="94">
        <f>Table3.110[[#This Row],[Net gas 8-24h, ml]]*Table3.110[[#This Row],[CH4 24h, %]]%</f>
        <v>4.2546825736822154</v>
      </c>
      <c r="AL54" s="94">
        <f>Table3.110[[#This Row],[CH4 8-24h, ml]]+Table3.110[[#This Row],[CH4 8h, ml]]</f>
        <v>8.2242644726355465</v>
      </c>
      <c r="AM54" s="94">
        <f>(Table3.110[[#This Row],[Net gas 24h, ml]]/Table3.110[[#This Row],[DM Incubated, mg]])*1000</f>
        <v>106.10673673135982</v>
      </c>
      <c r="AN54" s="94">
        <f>'3.2 Digest'!X54</f>
        <v>25.556839445131786</v>
      </c>
      <c r="AO54" s="94">
        <f>Table3.110[[#This Row],[Digested feed, mg]]/Table3.110[[#This Row],[Net gas 24h, ml]]</f>
        <v>2.408597251448453</v>
      </c>
      <c r="AP54" s="94">
        <f>Table3.110[[#This Row],[CH4 8h, ml]]/Table3.110[[#This Row],[Net gas 8h, ml]]%</f>
        <v>15.299999999999999</v>
      </c>
      <c r="AQ54" s="94">
        <f>Table3.110[[#This Row],[CH4 24h, ml]]/Table3.110[[#This Row],[Net gas 24h, ml]]%</f>
        <v>16.36426880763317</v>
      </c>
      <c r="AR54" s="94">
        <f>Table3.110[[#This Row],[CH4 24h, ml]]/Table3.110[[#This Row],[DM Incubated, mg]]*1000</f>
        <v>17.363591621727362</v>
      </c>
      <c r="AS54" s="94">
        <f>Table3.110[[#This Row],[CH4 24h, ml]]/Table3.110[[#This Row],[Digested feed, mg]]*1000</f>
        <v>67.941075652196432</v>
      </c>
      <c r="AT54" s="94">
        <f>Table3.110[[#This Row],[CH4 24h, ml]]/'3.2 Digest'!AA54</f>
        <v>-0.33307499997399403</v>
      </c>
      <c r="AU54" s="94">
        <f>((Table3.110[[#This Row],[CH4 24h, ml]]/28.9)*16.04)/Table3.110[[#This Row],[DM Incubated, mg]]*1000</f>
        <v>9.6370937582182332</v>
      </c>
      <c r="AV54" s="94">
        <f>((Table3.110[[#This Row],[CH4 24h, ml]]/28.9)*16.04)/Table3.110[[#This Row],[Digested feed, mg]]*1000</f>
        <v>37.70847243810487</v>
      </c>
      <c r="AW54" s="303"/>
    </row>
    <row r="55" spans="1:49" s="304" customFormat="1" x14ac:dyDescent="0.35">
      <c r="A55" s="89"/>
      <c r="B55" s="90">
        <f t="shared" si="0"/>
        <v>45</v>
      </c>
      <c r="C55" s="140">
        <v>46041</v>
      </c>
      <c r="D55" s="6" t="s">
        <v>16</v>
      </c>
      <c r="E55" s="6" t="s">
        <v>56</v>
      </c>
      <c r="F55" s="133" t="s">
        <v>19</v>
      </c>
      <c r="G55" s="133" t="s">
        <v>20</v>
      </c>
      <c r="H55" s="133" t="s">
        <v>21</v>
      </c>
      <c r="I55" s="6" t="s">
        <v>22</v>
      </c>
      <c r="J55" s="129" t="s">
        <v>23</v>
      </c>
      <c r="K55" s="129" t="s">
        <v>24</v>
      </c>
      <c r="L55" s="6" t="s">
        <v>55</v>
      </c>
      <c r="M55" s="119">
        <v>27</v>
      </c>
      <c r="N55" s="93">
        <v>58</v>
      </c>
      <c r="O55" s="6">
        <v>1</v>
      </c>
      <c r="P55" s="6">
        <v>1</v>
      </c>
      <c r="Q55" s="6">
        <v>225</v>
      </c>
      <c r="R55" s="98">
        <v>0.50049999999999994</v>
      </c>
      <c r="S55" s="94">
        <f>((Table3.110[[#This Row],[Sample weight, g]]*'2.1. DM'!Q39)/100)*1000</f>
        <v>476.08536585365806</v>
      </c>
      <c r="T55" s="94">
        <f>'3.2 Digest'!W55</f>
        <v>90.385365853658129</v>
      </c>
      <c r="U55" s="153">
        <v>0.38611111111111113</v>
      </c>
      <c r="V55" s="154">
        <v>41.5</v>
      </c>
      <c r="W55" s="153">
        <v>0.71944444444444444</v>
      </c>
      <c r="X55" s="95">
        <v>71</v>
      </c>
      <c r="Y55" s="95">
        <v>14.3</v>
      </c>
      <c r="Z55" s="154">
        <v>40.5</v>
      </c>
      <c r="AA55" s="153">
        <v>0.38472222222222224</v>
      </c>
      <c r="AB55" s="154">
        <v>67.5</v>
      </c>
      <c r="AC55" s="154">
        <v>17.899999999999999</v>
      </c>
      <c r="AD55" s="91"/>
      <c r="AE55" s="94">
        <f>Table3.110[[#This Row],[Gas 8h, ml]]-Table3.110[[#This Row],[Gas 0h, ml]]</f>
        <v>29.5</v>
      </c>
      <c r="AF55" s="94">
        <f>Table3.110[[#This Row],[Gas 24h, ml]]-Table3.110[[#This Row],[V8 Push back, ml]]</f>
        <v>27</v>
      </c>
      <c r="AG55" s="94">
        <f>Table3.110[[#This Row],[GP 8h, ml]]-(AVERAGE(AE$11,AE$12,AE$62,AE$61,AE$114,AE$115))*$AG$8</f>
        <v>26.844979731721114</v>
      </c>
      <c r="AH55" s="94">
        <f>Table3.110[[#This Row],[GP 8-24h, ml]]-(AVERAGE(AF$11,AF$12,AF$62,AF$61,AF$114,AF$115))*$AG$8</f>
        <v>23.31247184961266</v>
      </c>
      <c r="AI55" s="94">
        <f>Table3.110[[#This Row],[Net gas 8-24h, ml]]+Table3.110[[#This Row],[Net gas 8h, ml]]</f>
        <v>50.157451581333774</v>
      </c>
      <c r="AJ55" s="94">
        <f>Table3.110[[#This Row],[Net gas 8h, ml]]*Table3.110[[#This Row],[CH4 8h %]]%</f>
        <v>3.83883210163612</v>
      </c>
      <c r="AK55" s="94">
        <f>Table3.110[[#This Row],[Net gas 8-24h, ml]]*Table3.110[[#This Row],[CH4 24h, %]]%</f>
        <v>4.1729324610806655</v>
      </c>
      <c r="AL55" s="94">
        <f>Table3.110[[#This Row],[CH4 8-24h, ml]]+Table3.110[[#This Row],[CH4 8h, ml]]</f>
        <v>8.0117645627167846</v>
      </c>
      <c r="AM55" s="94">
        <f>(Table3.110[[#This Row],[Net gas 24h, ml]]/Table3.110[[#This Row],[DM Incubated, mg]])*1000</f>
        <v>105.35390326774184</v>
      </c>
      <c r="AN55" s="94">
        <f>'3.2 Digest'!X55</f>
        <v>18.985117446655842</v>
      </c>
      <c r="AO55" s="94">
        <f>Table3.110[[#This Row],[Digested feed, mg]]/Table3.110[[#This Row],[Net gas 24h, ml]]</f>
        <v>1.8020326592369234</v>
      </c>
      <c r="AP55" s="94">
        <f>Table3.110[[#This Row],[CH4 8h, ml]]/Table3.110[[#This Row],[Net gas 8h, ml]]%</f>
        <v>14.300000000000002</v>
      </c>
      <c r="AQ55" s="94">
        <f>Table3.110[[#This Row],[CH4 24h, ml]]/Table3.110[[#This Row],[Net gas 24h, ml]]%</f>
        <v>15.973228922376876</v>
      </c>
      <c r="AR55" s="94">
        <f>Table3.110[[#This Row],[CH4 24h, ml]]/Table3.110[[#This Row],[DM Incubated, mg]]*1000</f>
        <v>16.828420147615894</v>
      </c>
      <c r="AS55" s="94">
        <f>Table3.110[[#This Row],[CH4 24h, ml]]/Table3.110[[#This Row],[Digested feed, mg]]*1000</f>
        <v>88.640063433371907</v>
      </c>
      <c r="AT55" s="94">
        <f>Table3.110[[#This Row],[CH4 24h, ml]]/'3.2 Digest'!AA55</f>
        <v>-0.2206220049829275</v>
      </c>
      <c r="AU55" s="94">
        <f>((Table3.110[[#This Row],[CH4 24h, ml]]/28.9)*16.04)/Table3.110[[#This Row],[DM Incubated, mg]]*1000</f>
        <v>9.3400643310643261</v>
      </c>
      <c r="AV55" s="94">
        <f>((Table3.110[[#This Row],[CH4 24h, ml]]/28.9)*16.04)/Table3.110[[#This Row],[Digested feed, mg]]*1000</f>
        <v>49.19676877063273</v>
      </c>
      <c r="AW55" s="303"/>
    </row>
    <row r="56" spans="1:49" s="304" customFormat="1" x14ac:dyDescent="0.35">
      <c r="A56" s="89"/>
      <c r="B56" s="90">
        <f t="shared" si="0"/>
        <v>46</v>
      </c>
      <c r="C56" s="140">
        <v>46041</v>
      </c>
      <c r="D56" s="6" t="s">
        <v>16</v>
      </c>
      <c r="E56" s="6" t="s">
        <v>56</v>
      </c>
      <c r="F56" s="133" t="s">
        <v>19</v>
      </c>
      <c r="G56" s="133" t="s">
        <v>20</v>
      </c>
      <c r="H56" s="133" t="s">
        <v>21</v>
      </c>
      <c r="I56" s="6" t="s">
        <v>22</v>
      </c>
      <c r="J56" s="129" t="s">
        <v>23</v>
      </c>
      <c r="K56" s="129" t="s">
        <v>24</v>
      </c>
      <c r="L56" s="6" t="s">
        <v>55</v>
      </c>
      <c r="M56" s="119">
        <v>27</v>
      </c>
      <c r="N56" s="93">
        <v>58</v>
      </c>
      <c r="O56" s="6">
        <v>1</v>
      </c>
      <c r="P56" s="129">
        <v>2</v>
      </c>
      <c r="Q56" s="6">
        <v>226</v>
      </c>
      <c r="R56" s="98">
        <v>0.50039999999999996</v>
      </c>
      <c r="S56" s="94">
        <f>((Table3.110[[#This Row],[Sample weight, g]]*'2.1. DM'!Q39)/100)*1000</f>
        <v>475.99024390243852</v>
      </c>
      <c r="T56" s="94">
        <f>'3.2 Digest'!W56</f>
        <v>114.59024390243849</v>
      </c>
      <c r="U56" s="117">
        <v>0.38611111111111113</v>
      </c>
      <c r="V56" s="155">
        <v>41</v>
      </c>
      <c r="W56" s="117">
        <v>0.71944444444444444</v>
      </c>
      <c r="X56" s="97">
        <v>68.5</v>
      </c>
      <c r="Y56" s="97">
        <v>15.8</v>
      </c>
      <c r="Z56" s="155">
        <v>41</v>
      </c>
      <c r="AA56" s="117">
        <v>0.38541666666666669</v>
      </c>
      <c r="AB56" s="155">
        <v>69</v>
      </c>
      <c r="AC56" s="155">
        <v>17.5</v>
      </c>
      <c r="AD56" s="96"/>
      <c r="AE56" s="94">
        <f>Table3.110[[#This Row],[Gas 8h, ml]]-Table3.110[[#This Row],[Gas 0h, ml]]</f>
        <v>27.5</v>
      </c>
      <c r="AF56" s="94">
        <f>Table3.110[[#This Row],[Gas 24h, ml]]-Table3.110[[#This Row],[V8 Push back, ml]]</f>
        <v>28</v>
      </c>
      <c r="AG56" s="94">
        <f>Table3.110[[#This Row],[GP 8h, ml]]-(AVERAGE(AE$11,AE$12,AE$62,AE$61,AE$114,AE$115))*$AG$8</f>
        <v>24.844979731721114</v>
      </c>
      <c r="AH56" s="94">
        <f>Table3.110[[#This Row],[GP 8-24h, ml]]-(AVERAGE(AF$11,AF$12,AF$62,AF$61,AF$114,AF$115))*$AG$8</f>
        <v>24.31247184961266</v>
      </c>
      <c r="AI56" s="94">
        <f>Table3.110[[#This Row],[Net gas 8-24h, ml]]+Table3.110[[#This Row],[Net gas 8h, ml]]</f>
        <v>49.157451581333774</v>
      </c>
      <c r="AJ56" s="94">
        <f>Table3.110[[#This Row],[Net gas 8h, ml]]*Table3.110[[#This Row],[CH4 8h %]]%</f>
        <v>3.925506797611936</v>
      </c>
      <c r="AK56" s="94">
        <f>Table3.110[[#This Row],[Net gas 8-24h, ml]]*Table3.110[[#This Row],[CH4 24h, %]]%</f>
        <v>4.2546825736822154</v>
      </c>
      <c r="AL56" s="94">
        <f>Table3.110[[#This Row],[CH4 8-24h, ml]]+Table3.110[[#This Row],[CH4 8h, ml]]</f>
        <v>8.1801893712941514</v>
      </c>
      <c r="AM56" s="94">
        <f>(Table3.110[[#This Row],[Net gas 24h, ml]]/Table3.110[[#This Row],[DM Incubated, mg]])*1000</f>
        <v>103.27407380939796</v>
      </c>
      <c r="AN56" s="94">
        <f>'3.2 Digest'!X56</f>
        <v>24.074074074073987</v>
      </c>
      <c r="AO56" s="94">
        <f>Table3.110[[#This Row],[Digested feed, mg]]/Table3.110[[#This Row],[Net gas 24h, ml]]</f>
        <v>2.3310859333877891</v>
      </c>
      <c r="AP56" s="94">
        <f>Table3.110[[#This Row],[CH4 8h, ml]]/Table3.110[[#This Row],[Net gas 8h, ml]]%</f>
        <v>15.799999999999999</v>
      </c>
      <c r="AQ56" s="94">
        <f>Table3.110[[#This Row],[CH4 24h, ml]]/Table3.110[[#This Row],[Net gas 24h, ml]]%</f>
        <v>16.64079220575454</v>
      </c>
      <c r="AR56" s="94">
        <f>Table3.110[[#This Row],[CH4 24h, ml]]/Table3.110[[#This Row],[DM Incubated, mg]]*1000</f>
        <v>17.185624025039484</v>
      </c>
      <c r="AS56" s="94">
        <f>Table3.110[[#This Row],[CH4 24h, ml]]/Table3.110[[#This Row],[Digested feed, mg]]*1000</f>
        <v>71.386438257856582</v>
      </c>
      <c r="AT56" s="94">
        <f>Table3.110[[#This Row],[CH4 24h, ml]]/'3.2 Digest'!AA56</f>
        <v>-0.29476208577795476</v>
      </c>
      <c r="AU56" s="94">
        <f>((Table3.110[[#This Row],[CH4 24h, ml]]/28.9)*16.04)/Table3.110[[#This Row],[DM Incubated, mg]]*1000</f>
        <v>9.538318663032296</v>
      </c>
      <c r="AV56" s="94">
        <f>((Table3.110[[#This Row],[CH4 24h, ml]]/28.9)*16.04)/Table3.110[[#This Row],[Digested feed, mg]]*1000</f>
        <v>39.620708292595836</v>
      </c>
      <c r="AW56" s="303"/>
    </row>
    <row r="57" spans="1:49" s="304" customFormat="1" x14ac:dyDescent="0.35">
      <c r="A57" s="89"/>
      <c r="B57" s="90">
        <f t="shared" si="0"/>
        <v>47</v>
      </c>
      <c r="C57" s="140">
        <v>46041</v>
      </c>
      <c r="D57" s="6" t="s">
        <v>16</v>
      </c>
      <c r="E57" s="6" t="s">
        <v>56</v>
      </c>
      <c r="F57" s="133" t="s">
        <v>19</v>
      </c>
      <c r="G57" s="133" t="s">
        <v>20</v>
      </c>
      <c r="H57" s="133" t="s">
        <v>21</v>
      </c>
      <c r="I57" s="6" t="s">
        <v>22</v>
      </c>
      <c r="J57" s="129" t="s">
        <v>23</v>
      </c>
      <c r="K57" s="129" t="s">
        <v>24</v>
      </c>
      <c r="L57" s="6" t="s">
        <v>55</v>
      </c>
      <c r="M57" s="119">
        <v>27</v>
      </c>
      <c r="N57" s="93">
        <v>58</v>
      </c>
      <c r="O57" s="6">
        <v>1</v>
      </c>
      <c r="P57" s="129">
        <v>3</v>
      </c>
      <c r="Q57" s="6">
        <v>227</v>
      </c>
      <c r="R57" s="98">
        <v>0.50049999999999994</v>
      </c>
      <c r="S57" s="94">
        <f>((Table3.110[[#This Row],[Sample weight, g]]*'2.1. DM'!Q39)/100)*1000</f>
        <v>476.08536585365806</v>
      </c>
      <c r="T57" s="94">
        <f>'3.2 Digest'!W57</f>
        <v>107.58536585365812</v>
      </c>
      <c r="U57" s="153">
        <v>0.38611111111111113</v>
      </c>
      <c r="V57" s="154">
        <v>43</v>
      </c>
      <c r="W57" s="153">
        <v>0.72013888888888888</v>
      </c>
      <c r="X57" s="95">
        <v>71</v>
      </c>
      <c r="Y57" s="95">
        <v>14.4</v>
      </c>
      <c r="Z57" s="154">
        <v>40</v>
      </c>
      <c r="AA57" s="153">
        <v>0.38541666666666669</v>
      </c>
      <c r="AB57" s="154">
        <v>66.5</v>
      </c>
      <c r="AC57" s="154">
        <v>18.2</v>
      </c>
      <c r="AD57" s="91"/>
      <c r="AE57" s="94">
        <f>Table3.110[[#This Row],[Gas 8h, ml]]-Table3.110[[#This Row],[Gas 0h, ml]]</f>
        <v>28</v>
      </c>
      <c r="AF57" s="94">
        <f>Table3.110[[#This Row],[Gas 24h, ml]]-Table3.110[[#This Row],[V8 Push back, ml]]</f>
        <v>26.5</v>
      </c>
      <c r="AG57" s="94">
        <f>Table3.110[[#This Row],[GP 8h, ml]]-(AVERAGE(AE$11,AE$12,AE$62,AE$61,AE$114,AE$115))*$AG$8</f>
        <v>25.344979731721114</v>
      </c>
      <c r="AH57" s="94">
        <f>Table3.110[[#This Row],[GP 8-24h, ml]]-(AVERAGE(AF$11,AF$12,AF$62,AF$61,AF$114,AF$115))*$AG$8</f>
        <v>22.81247184961266</v>
      </c>
      <c r="AI57" s="94">
        <f>Table3.110[[#This Row],[Net gas 8-24h, ml]]+Table3.110[[#This Row],[Net gas 8h, ml]]</f>
        <v>48.157451581333774</v>
      </c>
      <c r="AJ57" s="94">
        <f>Table3.110[[#This Row],[Net gas 8h, ml]]*Table3.110[[#This Row],[CH4 8h %]]%</f>
        <v>3.649677081367841</v>
      </c>
      <c r="AK57" s="94">
        <f>Table3.110[[#This Row],[Net gas 8-24h, ml]]*Table3.110[[#This Row],[CH4 24h, %]]%</f>
        <v>4.1518698766295037</v>
      </c>
      <c r="AL57" s="94">
        <f>Table3.110[[#This Row],[CH4 8-24h, ml]]+Table3.110[[#This Row],[CH4 8h, ml]]</f>
        <v>7.8015469579973447</v>
      </c>
      <c r="AM57" s="94">
        <f>(Table3.110[[#This Row],[Net gas 24h, ml]]/Table3.110[[#This Row],[DM Incubated, mg]])*1000</f>
        <v>101.15297598989147</v>
      </c>
      <c r="AN57" s="94">
        <f>'3.2 Digest'!X57</f>
        <v>22.597914905607148</v>
      </c>
      <c r="AO57" s="94">
        <f>Table3.110[[#This Row],[Digested feed, mg]]/Table3.110[[#This Row],[Net gas 24h, ml]]</f>
        <v>2.2340336193238075</v>
      </c>
      <c r="AP57" s="94">
        <f>Table3.110[[#This Row],[CH4 8h, ml]]/Table3.110[[#This Row],[Net gas 8h, ml]]%</f>
        <v>14.400000000000004</v>
      </c>
      <c r="AQ57" s="94">
        <f>Table3.110[[#This Row],[CH4 24h, ml]]/Table3.110[[#This Row],[Net gas 24h, ml]]%</f>
        <v>16.20008264935117</v>
      </c>
      <c r="AR57" s="94">
        <f>Table3.110[[#This Row],[CH4 24h, ml]]/Table3.110[[#This Row],[DM Incubated, mg]]*1000</f>
        <v>16.386865712640766</v>
      </c>
      <c r="AS57" s="94">
        <f>Table3.110[[#This Row],[CH4 24h, ml]]/Table3.110[[#This Row],[Digested feed, mg]]*1000</f>
        <v>72.514945653568887</v>
      </c>
      <c r="AT57" s="94">
        <f>Table3.110[[#This Row],[CH4 24h, ml]]/'3.2 Digest'!AA57</f>
        <v>-0.25802520243446381</v>
      </c>
      <c r="AU57" s="94">
        <f>((Table3.110[[#This Row],[CH4 24h, ml]]/28.9)*16.04)/Table3.110[[#This Row],[DM Incubated, mg]]*1000</f>
        <v>9.0949939803030411</v>
      </c>
      <c r="AV57" s="94">
        <f>((Table3.110[[#This Row],[CH4 24h, ml]]/28.9)*16.04)/Table3.110[[#This Row],[Digested feed, mg]]*1000</f>
        <v>40.247049421565571</v>
      </c>
      <c r="AW57" s="303"/>
    </row>
    <row r="58" spans="1:49" s="304" customFormat="1" x14ac:dyDescent="0.35">
      <c r="A58" s="89"/>
      <c r="B58" s="90">
        <f t="shared" si="0"/>
        <v>48</v>
      </c>
      <c r="C58" s="140">
        <v>46041</v>
      </c>
      <c r="D58" s="6" t="s">
        <v>16</v>
      </c>
      <c r="E58" s="6" t="s">
        <v>58</v>
      </c>
      <c r="F58" s="133" t="s">
        <v>19</v>
      </c>
      <c r="G58" s="133" t="s">
        <v>20</v>
      </c>
      <c r="H58" s="133" t="s">
        <v>21</v>
      </c>
      <c r="I58" s="6" t="s">
        <v>22</v>
      </c>
      <c r="J58" s="129" t="s">
        <v>23</v>
      </c>
      <c r="K58" s="129" t="s">
        <v>24</v>
      </c>
      <c r="L58" s="6" t="s">
        <v>57</v>
      </c>
      <c r="M58" s="119">
        <v>27</v>
      </c>
      <c r="N58" s="93">
        <v>58</v>
      </c>
      <c r="O58" s="6">
        <v>1</v>
      </c>
      <c r="P58" s="6">
        <v>1</v>
      </c>
      <c r="Q58" s="6">
        <v>228</v>
      </c>
      <c r="R58" s="98">
        <v>0.50029999999999997</v>
      </c>
      <c r="S58" s="94">
        <f>((Table3.110[[#This Row],[Sample weight, g]]*'2.1. DM'!Q41)/100)*1000</f>
        <v>468.88740218950227</v>
      </c>
      <c r="T58" s="94">
        <f>'3.2 Digest'!W58</f>
        <v>102.18740218950234</v>
      </c>
      <c r="U58" s="117">
        <v>0.38680555555555557</v>
      </c>
      <c r="V58" s="155">
        <v>42</v>
      </c>
      <c r="W58" s="117">
        <v>0.72083333333333333</v>
      </c>
      <c r="X58" s="97">
        <v>68.5</v>
      </c>
      <c r="Y58" s="97">
        <v>15</v>
      </c>
      <c r="Z58" s="155">
        <v>41</v>
      </c>
      <c r="AA58" s="117">
        <v>0.38611111111111113</v>
      </c>
      <c r="AB58" s="155">
        <v>71.5</v>
      </c>
      <c r="AC58" s="155">
        <v>17.399999999999999</v>
      </c>
      <c r="AD58" s="96"/>
      <c r="AE58" s="94">
        <f>Table3.110[[#This Row],[Gas 8h, ml]]-Table3.110[[#This Row],[Gas 0h, ml]]</f>
        <v>26.5</v>
      </c>
      <c r="AF58" s="94">
        <f>Table3.110[[#This Row],[Gas 24h, ml]]-Table3.110[[#This Row],[V8 Push back, ml]]</f>
        <v>30.5</v>
      </c>
      <c r="AG58" s="94">
        <f>Table3.110[[#This Row],[GP 8h, ml]]-(AVERAGE(AE$11,AE$12,AE$62,AE$61,AE$114,AE$115))*$AG$8</f>
        <v>23.844979731721114</v>
      </c>
      <c r="AH58" s="94">
        <f>Table3.110[[#This Row],[GP 8-24h, ml]]-(AVERAGE(AF$11,AF$12,AF$62,AF$61,AF$114,AF$115))*$AG$8</f>
        <v>26.81247184961266</v>
      </c>
      <c r="AI58" s="94">
        <f>Table3.110[[#This Row],[Net gas 8-24h, ml]]+Table3.110[[#This Row],[Net gas 8h, ml]]</f>
        <v>50.657451581333774</v>
      </c>
      <c r="AJ58" s="94">
        <f>Table3.110[[#This Row],[Net gas 8h, ml]]*Table3.110[[#This Row],[CH4 8h %]]%</f>
        <v>3.5767469597581671</v>
      </c>
      <c r="AK58" s="94">
        <f>Table3.110[[#This Row],[Net gas 8-24h, ml]]*Table3.110[[#This Row],[CH4 24h, %]]%</f>
        <v>4.6653701018326021</v>
      </c>
      <c r="AL58" s="94">
        <f>Table3.110[[#This Row],[CH4 8-24h, ml]]+Table3.110[[#This Row],[CH4 8h, ml]]</f>
        <v>8.2421170615907684</v>
      </c>
      <c r="AM58" s="94">
        <f>(Table3.110[[#This Row],[Net gas 24h, ml]]/Table3.110[[#This Row],[DM Incubated, mg]])*1000</f>
        <v>108.03756156549586</v>
      </c>
      <c r="AN58" s="94">
        <f>'3.2 Digest'!X58</f>
        <v>21.793590894600957</v>
      </c>
      <c r="AO58" s="94">
        <f>Table3.110[[#This Row],[Digested feed, mg]]/Table3.110[[#This Row],[Net gas 24h, ml]]</f>
        <v>2.0172235080841747</v>
      </c>
      <c r="AP58" s="94">
        <f>Table3.110[[#This Row],[CH4 8h, ml]]/Table3.110[[#This Row],[Net gas 8h, ml]]%</f>
        <v>15</v>
      </c>
      <c r="AQ58" s="94">
        <f>Table3.110[[#This Row],[CH4 24h, ml]]/Table3.110[[#This Row],[Net gas 24h, ml]]%</f>
        <v>16.270295493166532</v>
      </c>
      <c r="AR58" s="94">
        <f>Table3.110[[#This Row],[CH4 24h, ml]]/Table3.110[[#This Row],[DM Incubated, mg]]*1000</f>
        <v>17.578030510317895</v>
      </c>
      <c r="AS58" s="94">
        <f>Table3.110[[#This Row],[CH4 24h, ml]]/Table3.110[[#This Row],[Digested feed, mg]]*1000</f>
        <v>80.656880251306333</v>
      </c>
      <c r="AT58" s="94">
        <f>Table3.110[[#This Row],[CH4 24h, ml]]/'3.2 Digest'!AA58</f>
        <v>-0.3834160084082503</v>
      </c>
      <c r="AU58" s="94">
        <f>((Table3.110[[#This Row],[CH4 24h, ml]]/28.9)*16.04)/Table3.110[[#This Row],[DM Incubated, mg]]*1000</f>
        <v>9.7561110514013496</v>
      </c>
      <c r="AV58" s="94">
        <f>((Table3.110[[#This Row],[CH4 24h, ml]]/28.9)*16.04)/Table3.110[[#This Row],[Digested feed, mg]]*1000</f>
        <v>44.765963987230222</v>
      </c>
      <c r="AW58" s="303"/>
    </row>
    <row r="59" spans="1:49" s="304" customFormat="1" x14ac:dyDescent="0.35">
      <c r="A59" s="89"/>
      <c r="B59" s="90">
        <f t="shared" si="0"/>
        <v>49</v>
      </c>
      <c r="C59" s="140">
        <v>46041</v>
      </c>
      <c r="D59" s="6" t="s">
        <v>16</v>
      </c>
      <c r="E59" s="6" t="s">
        <v>58</v>
      </c>
      <c r="F59" s="133" t="s">
        <v>19</v>
      </c>
      <c r="G59" s="133" t="s">
        <v>20</v>
      </c>
      <c r="H59" s="133" t="s">
        <v>21</v>
      </c>
      <c r="I59" s="6" t="s">
        <v>22</v>
      </c>
      <c r="J59" s="129" t="s">
        <v>23</v>
      </c>
      <c r="K59" s="129" t="s">
        <v>24</v>
      </c>
      <c r="L59" s="6" t="s">
        <v>57</v>
      </c>
      <c r="M59" s="119">
        <v>27</v>
      </c>
      <c r="N59" s="93">
        <v>58</v>
      </c>
      <c r="O59" s="6">
        <v>1</v>
      </c>
      <c r="P59" s="129">
        <v>2</v>
      </c>
      <c r="Q59" s="6">
        <v>229</v>
      </c>
      <c r="R59" s="98">
        <v>0.50049999999999994</v>
      </c>
      <c r="S59" s="94">
        <f>((Table3.110[[#This Row],[Sample weight, g]]*'2.1. DM'!Q41)/100)*1000</f>
        <v>469.07484468488082</v>
      </c>
      <c r="T59" s="94">
        <f>'3.2 Digest'!W59</f>
        <v>116.07484468488082</v>
      </c>
      <c r="U59" s="117">
        <v>0.38680555555555557</v>
      </c>
      <c r="V59" s="155">
        <v>41.5</v>
      </c>
      <c r="W59" s="117">
        <v>0.72083333333333333</v>
      </c>
      <c r="X59" s="97">
        <v>66</v>
      </c>
      <c r="Y59" s="97">
        <v>16.100000000000001</v>
      </c>
      <c r="Z59" s="155">
        <v>41</v>
      </c>
      <c r="AA59" s="117">
        <v>0.38680555555555557</v>
      </c>
      <c r="AB59" s="155">
        <v>71.5</v>
      </c>
      <c r="AC59" s="155">
        <v>17.3</v>
      </c>
      <c r="AD59" s="91"/>
      <c r="AE59" s="94">
        <f>Table3.110[[#This Row],[Gas 8h, ml]]-Table3.110[[#This Row],[Gas 0h, ml]]</f>
        <v>24.5</v>
      </c>
      <c r="AF59" s="94">
        <f>Table3.110[[#This Row],[Gas 24h, ml]]-Table3.110[[#This Row],[V8 Push back, ml]]</f>
        <v>30.5</v>
      </c>
      <c r="AG59" s="94">
        <f>Table3.110[[#This Row],[GP 8h, ml]]-(AVERAGE(AE$11,AE$12,AE$62,AE$61,AE$114,AE$115))*$AG$8</f>
        <v>21.844979731721114</v>
      </c>
      <c r="AH59" s="94">
        <f>Table3.110[[#This Row],[GP 8-24h, ml]]-(AVERAGE(AF$11,AF$12,AF$62,AF$61,AF$114,AF$115))*$AG$8</f>
        <v>26.81247184961266</v>
      </c>
      <c r="AI59" s="94">
        <f>Table3.110[[#This Row],[Net gas 8-24h, ml]]+Table3.110[[#This Row],[Net gas 8h, ml]]</f>
        <v>48.657451581333774</v>
      </c>
      <c r="AJ59" s="94">
        <f>Table3.110[[#This Row],[Net gas 8h, ml]]*Table3.110[[#This Row],[CH4 8h %]]%</f>
        <v>3.5170417368070996</v>
      </c>
      <c r="AK59" s="94">
        <f>Table3.110[[#This Row],[Net gas 8-24h, ml]]*Table3.110[[#This Row],[CH4 24h, %]]%</f>
        <v>4.6385576299829907</v>
      </c>
      <c r="AL59" s="94">
        <f>Table3.110[[#This Row],[CH4 8-24h, ml]]+Table3.110[[#This Row],[CH4 8h, ml]]</f>
        <v>8.1555993667900903</v>
      </c>
      <c r="AM59" s="94">
        <f>(Table3.110[[#This Row],[Net gas 24h, ml]]/Table3.110[[#This Row],[DM Incubated, mg]])*1000</f>
        <v>103.73067780691011</v>
      </c>
      <c r="AN59" s="94">
        <f>'3.2 Digest'!X59</f>
        <v>24.745484862412219</v>
      </c>
      <c r="AO59" s="94">
        <f>Table3.110[[#This Row],[Digested feed, mg]]/Table3.110[[#This Row],[Net gas 24h, ml]]</f>
        <v>2.3855512549985263</v>
      </c>
      <c r="AP59" s="94">
        <f>Table3.110[[#This Row],[CH4 8h, ml]]/Table3.110[[#This Row],[Net gas 8h, ml]]%</f>
        <v>16.100000000000001</v>
      </c>
      <c r="AQ59" s="94">
        <f>Table3.110[[#This Row],[CH4 24h, ml]]/Table3.110[[#This Row],[Net gas 24h, ml]]%</f>
        <v>16.761254652142089</v>
      </c>
      <c r="AR59" s="94">
        <f>Table3.110[[#This Row],[CH4 24h, ml]]/Table3.110[[#This Row],[DM Incubated, mg]]*1000</f>
        <v>17.386563059609237</v>
      </c>
      <c r="AS59" s="94">
        <f>Table3.110[[#This Row],[CH4 24h, ml]]/Table3.110[[#This Row],[Digested feed, mg]]*1000</f>
        <v>70.261557436762928</v>
      </c>
      <c r="AT59" s="94">
        <f>Table3.110[[#This Row],[CH4 24h, ml]]/'3.2 Digest'!AA59</f>
        <v>-0.48227556452317061</v>
      </c>
      <c r="AU59" s="94">
        <f>((Table3.110[[#This Row],[CH4 24h, ml]]/28.9)*16.04)/Table3.110[[#This Row],[DM Incubated, mg]]*1000</f>
        <v>9.6498433036723945</v>
      </c>
      <c r="AV59" s="94">
        <f>((Table3.110[[#This Row],[CH4 24h, ml]]/28.9)*16.04)/Table3.110[[#This Row],[Digested feed, mg]]*1000</f>
        <v>38.996379975282963</v>
      </c>
      <c r="AW59" s="303"/>
    </row>
    <row r="60" spans="1:49" s="304" customFormat="1" x14ac:dyDescent="0.35">
      <c r="A60" s="89"/>
      <c r="B60" s="90">
        <f t="shared" si="0"/>
        <v>50</v>
      </c>
      <c r="C60" s="140">
        <v>46041</v>
      </c>
      <c r="D60" s="6" t="s">
        <v>16</v>
      </c>
      <c r="E60" s="6" t="s">
        <v>58</v>
      </c>
      <c r="F60" s="133" t="s">
        <v>19</v>
      </c>
      <c r="G60" s="133" t="s">
        <v>20</v>
      </c>
      <c r="H60" s="133" t="s">
        <v>21</v>
      </c>
      <c r="I60" s="6" t="s">
        <v>22</v>
      </c>
      <c r="J60" s="129" t="s">
        <v>23</v>
      </c>
      <c r="K60" s="129" t="s">
        <v>24</v>
      </c>
      <c r="L60" s="6" t="s">
        <v>57</v>
      </c>
      <c r="M60" s="119">
        <v>27</v>
      </c>
      <c r="N60" s="93">
        <v>58</v>
      </c>
      <c r="O60" s="6">
        <v>1</v>
      </c>
      <c r="P60" s="129">
        <v>3</v>
      </c>
      <c r="Q60" s="6">
        <v>230</v>
      </c>
      <c r="R60" s="98">
        <v>0.50049999999999994</v>
      </c>
      <c r="S60" s="94">
        <f>((Table3.110[[#This Row],[Sample weight, g]]*'2.1. DM'!Q41)/100)*1000</f>
        <v>469.07484468488082</v>
      </c>
      <c r="T60" s="94">
        <f>'3.2 Digest'!W60</f>
        <v>96.774844684880861</v>
      </c>
      <c r="U60" s="117">
        <v>0.38750000000000001</v>
      </c>
      <c r="V60" s="155">
        <v>41.5</v>
      </c>
      <c r="W60" s="117">
        <v>0.72152777777777777</v>
      </c>
      <c r="X60" s="97">
        <v>65.5</v>
      </c>
      <c r="Y60" s="97">
        <v>15.7</v>
      </c>
      <c r="Z60" s="155">
        <v>40</v>
      </c>
      <c r="AA60" s="117">
        <v>0.38680555555555557</v>
      </c>
      <c r="AB60" s="155">
        <v>70</v>
      </c>
      <c r="AC60" s="155">
        <v>17.3</v>
      </c>
      <c r="AD60" s="96"/>
      <c r="AE60" s="94">
        <f>Table3.110[[#This Row],[Gas 8h, ml]]-Table3.110[[#This Row],[Gas 0h, ml]]</f>
        <v>24</v>
      </c>
      <c r="AF60" s="94">
        <f>Table3.110[[#This Row],[Gas 24h, ml]]-Table3.110[[#This Row],[V8 Push back, ml]]</f>
        <v>30</v>
      </c>
      <c r="AG60" s="94">
        <f>Table3.110[[#This Row],[GP 8h, ml]]-(AVERAGE(AE$11,AE$12,AE$62,AE$61,AE$114,AE$115))*$AG$8</f>
        <v>21.344979731721114</v>
      </c>
      <c r="AH60" s="94">
        <f>Table3.110[[#This Row],[GP 8-24h, ml]]-(AVERAGE(AF$11,AF$12,AF$62,AF$61,AF$114,AF$115))*$AG$8</f>
        <v>26.31247184961266</v>
      </c>
      <c r="AI60" s="94">
        <f>Table3.110[[#This Row],[Net gas 8-24h, ml]]+Table3.110[[#This Row],[Net gas 8h, ml]]</f>
        <v>47.657451581333774</v>
      </c>
      <c r="AJ60" s="94">
        <f>Table3.110[[#This Row],[Net gas 8h, ml]]*Table3.110[[#This Row],[CH4 8h %]]%</f>
        <v>3.3511618178802149</v>
      </c>
      <c r="AK60" s="94">
        <f>Table3.110[[#This Row],[Net gas 8-24h, ml]]*Table3.110[[#This Row],[CH4 24h, %]]%</f>
        <v>4.5520576299829907</v>
      </c>
      <c r="AL60" s="94">
        <f>Table3.110[[#This Row],[CH4 8-24h, ml]]+Table3.110[[#This Row],[CH4 8h, ml]]</f>
        <v>7.9032194478632061</v>
      </c>
      <c r="AM60" s="94">
        <f>(Table3.110[[#This Row],[Net gas 24h, ml]]/Table3.110[[#This Row],[DM Incubated, mg]])*1000</f>
        <v>101.59882185400394</v>
      </c>
      <c r="AN60" s="94">
        <f>'3.2 Digest'!X60</f>
        <v>20.631002873303323</v>
      </c>
      <c r="AO60" s="94">
        <f>Table3.110[[#This Row],[Digested feed, mg]]/Table3.110[[#This Row],[Net gas 24h, ml]]</f>
        <v>2.0306340661065714</v>
      </c>
      <c r="AP60" s="94">
        <f>Table3.110[[#This Row],[CH4 8h, ml]]/Table3.110[[#This Row],[Net gas 8h, ml]]%</f>
        <v>15.7</v>
      </c>
      <c r="AQ60" s="94">
        <f>Table3.110[[#This Row],[CH4 24h, ml]]/Table3.110[[#This Row],[Net gas 24h, ml]]%</f>
        <v>16.583386617673654</v>
      </c>
      <c r="AR60" s="94">
        <f>Table3.110[[#This Row],[CH4 24h, ml]]/Table3.110[[#This Row],[DM Incubated, mg]]*1000</f>
        <v>16.848525427050983</v>
      </c>
      <c r="AS60" s="94">
        <f>Table3.110[[#This Row],[CH4 24h, ml]]/Table3.110[[#This Row],[Digested feed, mg]]*1000</f>
        <v>81.666051478540126</v>
      </c>
      <c r="AT60" s="94">
        <f>Table3.110[[#This Row],[CH4 24h, ml]]/'3.2 Digest'!AA60</f>
        <v>-0.33915521912563973</v>
      </c>
      <c r="AU60" s="94">
        <f>((Table3.110[[#This Row],[CH4 24h, ml]]/28.9)*16.04)/Table3.110[[#This Row],[DM Incubated, mg]]*1000</f>
        <v>9.351223108993004</v>
      </c>
      <c r="AV60" s="94">
        <f>((Table3.110[[#This Row],[CH4 24h, ml]]/28.9)*16.04)/Table3.110[[#This Row],[Digested feed, mg]]*1000</f>
        <v>45.3260714780548</v>
      </c>
      <c r="AW60" s="303"/>
    </row>
    <row r="61" spans="1:49" s="304" customFormat="1" x14ac:dyDescent="0.35">
      <c r="A61" s="89"/>
      <c r="B61" s="90">
        <f t="shared" si="0"/>
        <v>51</v>
      </c>
      <c r="C61" s="90">
        <v>46041</v>
      </c>
      <c r="D61" s="6" t="s">
        <v>16</v>
      </c>
      <c r="E61" s="6" t="s">
        <v>541</v>
      </c>
      <c r="F61" s="133" t="s">
        <v>538</v>
      </c>
      <c r="G61" s="133" t="s">
        <v>542</v>
      </c>
      <c r="H61" s="133" t="s">
        <v>541</v>
      </c>
      <c r="I61" s="6" t="s">
        <v>22</v>
      </c>
      <c r="J61" s="129" t="s">
        <v>23</v>
      </c>
      <c r="K61" s="129" t="s">
        <v>24</v>
      </c>
      <c r="L61" s="6" t="s">
        <v>543</v>
      </c>
      <c r="M61" s="119">
        <v>27</v>
      </c>
      <c r="N61" s="93">
        <v>58</v>
      </c>
      <c r="O61" s="6">
        <v>1</v>
      </c>
      <c r="P61" s="129">
        <v>1</v>
      </c>
      <c r="Q61" s="6">
        <v>231</v>
      </c>
      <c r="R61" s="98"/>
      <c r="S61" s="94"/>
      <c r="T61" s="94">
        <f>'3.2 Digest'!W61</f>
        <v>0</v>
      </c>
      <c r="U61" s="153">
        <v>0.38819444444444445</v>
      </c>
      <c r="V61" s="154">
        <v>39.5</v>
      </c>
      <c r="W61" s="153">
        <v>0.72152777777777777</v>
      </c>
      <c r="X61" s="95">
        <v>43</v>
      </c>
      <c r="Y61" s="95"/>
      <c r="Z61" s="154"/>
      <c r="AA61" s="153"/>
      <c r="AB61" s="154"/>
      <c r="AC61" s="154"/>
      <c r="AD61" s="91"/>
      <c r="AE61" s="94">
        <f>Table3.110[[#This Row],[Gas 8h, ml]]-Table3.110[[#This Row],[Gas 0h, ml]]</f>
        <v>3.5</v>
      </c>
      <c r="AF61" s="94">
        <v>4</v>
      </c>
      <c r="AG61" s="94"/>
      <c r="AH61" s="94"/>
      <c r="AI61" s="94"/>
      <c r="AJ61" s="94"/>
      <c r="AK61" s="94"/>
      <c r="AL61" s="94"/>
      <c r="AM61" s="94"/>
      <c r="AN61" s="94"/>
      <c r="AO61" s="94"/>
      <c r="AP61" s="94"/>
      <c r="AQ61" s="94"/>
      <c r="AR61" s="94"/>
      <c r="AS61" s="94"/>
      <c r="AT61" s="94"/>
      <c r="AU61" s="94"/>
      <c r="AV61" s="94"/>
      <c r="AW61" s="303"/>
    </row>
    <row r="62" spans="1:49" s="304" customFormat="1" x14ac:dyDescent="0.35">
      <c r="A62" s="89"/>
      <c r="B62" s="90">
        <f t="shared" si="0"/>
        <v>52</v>
      </c>
      <c r="C62" s="90">
        <v>46041</v>
      </c>
      <c r="D62" s="6" t="s">
        <v>16</v>
      </c>
      <c r="E62" s="6" t="s">
        <v>541</v>
      </c>
      <c r="F62" s="133" t="s">
        <v>538</v>
      </c>
      <c r="G62" s="133" t="s">
        <v>542</v>
      </c>
      <c r="H62" s="133" t="s">
        <v>541</v>
      </c>
      <c r="I62" s="6" t="s">
        <v>22</v>
      </c>
      <c r="J62" s="129" t="s">
        <v>23</v>
      </c>
      <c r="K62" s="129" t="s">
        <v>24</v>
      </c>
      <c r="L62" s="6" t="s">
        <v>543</v>
      </c>
      <c r="M62" s="119">
        <v>27</v>
      </c>
      <c r="N62" s="93">
        <v>58</v>
      </c>
      <c r="O62" s="6">
        <v>1</v>
      </c>
      <c r="P62" s="6">
        <v>2</v>
      </c>
      <c r="Q62" s="6">
        <v>232</v>
      </c>
      <c r="R62" s="98"/>
      <c r="S62" s="94"/>
      <c r="T62" s="94">
        <f>'3.2 Digest'!W62</f>
        <v>0</v>
      </c>
      <c r="U62" s="117">
        <v>0.38819444444444445</v>
      </c>
      <c r="V62" s="155">
        <v>40</v>
      </c>
      <c r="W62" s="117">
        <v>0.72222222222222221</v>
      </c>
      <c r="X62" s="97">
        <v>42</v>
      </c>
      <c r="Y62" s="97"/>
      <c r="Z62" s="155"/>
      <c r="AA62" s="117"/>
      <c r="AB62" s="155"/>
      <c r="AC62" s="155"/>
      <c r="AD62" s="96"/>
      <c r="AE62" s="94">
        <f>Table3.110[[#This Row],[Gas 8h, ml]]-Table3.110[[#This Row],[Gas 0h, ml]]</f>
        <v>2</v>
      </c>
      <c r="AF62" s="94">
        <v>4</v>
      </c>
      <c r="AG62" s="94"/>
      <c r="AH62" s="94"/>
      <c r="AI62" s="94"/>
      <c r="AJ62" s="94"/>
      <c r="AK62" s="94"/>
      <c r="AL62" s="94"/>
      <c r="AM62" s="94"/>
      <c r="AN62" s="94"/>
      <c r="AO62" s="94"/>
      <c r="AP62" s="94"/>
      <c r="AQ62" s="94"/>
      <c r="AR62" s="94"/>
      <c r="AS62" s="94"/>
      <c r="AT62" s="94"/>
      <c r="AU62" s="94"/>
      <c r="AV62" s="94"/>
      <c r="AW62" s="303"/>
    </row>
    <row r="63" spans="1:49" s="304" customFormat="1" x14ac:dyDescent="0.35">
      <c r="A63" s="89"/>
      <c r="B63" s="90">
        <f t="shared" si="0"/>
        <v>53</v>
      </c>
      <c r="C63" s="140">
        <v>46041</v>
      </c>
      <c r="D63" s="6" t="s">
        <v>16</v>
      </c>
      <c r="E63" s="6" t="s">
        <v>60</v>
      </c>
      <c r="F63" s="133" t="s">
        <v>19</v>
      </c>
      <c r="G63" s="133" t="s">
        <v>20</v>
      </c>
      <c r="H63" s="133" t="s">
        <v>21</v>
      </c>
      <c r="I63" s="6" t="s">
        <v>22</v>
      </c>
      <c r="J63" s="129" t="s">
        <v>23</v>
      </c>
      <c r="K63" s="129" t="s">
        <v>24</v>
      </c>
      <c r="L63" s="6" t="s">
        <v>59</v>
      </c>
      <c r="M63" s="119">
        <v>27</v>
      </c>
      <c r="N63" s="93">
        <v>58</v>
      </c>
      <c r="O63" s="6">
        <v>1</v>
      </c>
      <c r="P63" s="129">
        <v>1</v>
      </c>
      <c r="Q63" s="6">
        <v>233</v>
      </c>
      <c r="R63" s="98">
        <v>0.50039999999999996</v>
      </c>
      <c r="S63" s="94">
        <f>((Table3.110[[#This Row],[Sample weight, g]]*'2.1. DM'!Q43)/100)*1000</f>
        <v>471.23548675994408</v>
      </c>
      <c r="T63" s="94">
        <f>'3.2 Digest'!W63</f>
        <v>123.3354867599441</v>
      </c>
      <c r="U63" s="153">
        <v>0.38819444444444445</v>
      </c>
      <c r="V63" s="154">
        <v>41.5</v>
      </c>
      <c r="W63" s="153">
        <v>0.72222222222222221</v>
      </c>
      <c r="X63" s="95">
        <v>75.5</v>
      </c>
      <c r="Y63" s="95">
        <v>14.5</v>
      </c>
      <c r="Z63" s="154">
        <v>40.5</v>
      </c>
      <c r="AA63" s="153">
        <v>0.38750000000000001</v>
      </c>
      <c r="AB63" s="154">
        <v>73</v>
      </c>
      <c r="AC63" s="154">
        <v>17.2</v>
      </c>
      <c r="AD63" s="91"/>
      <c r="AE63" s="94">
        <f>Table3.110[[#This Row],[Gas 8h, ml]]-Table3.110[[#This Row],[Gas 0h, ml]]</f>
        <v>34</v>
      </c>
      <c r="AF63" s="94">
        <f>Table3.110[[#This Row],[Gas 24h, ml]]-Table3.110[[#This Row],[V8 Push back, ml]]</f>
        <v>32.5</v>
      </c>
      <c r="AG63" s="94">
        <f>Table3.110[[#This Row],[GP 8h, ml]]-(AVERAGE(AE$11,AE$12,AE$62,AE$61,AE$114,AE$115))*$AG$8</f>
        <v>31.344979731721114</v>
      </c>
      <c r="AH63" s="94">
        <f>Table3.110[[#This Row],[GP 8-24h, ml]]-(AVERAGE(AF$11,AF$12,AF$62,AF$61,AF$114,AF$115))*$AG$8</f>
        <v>28.81247184961266</v>
      </c>
      <c r="AI63" s="94">
        <f>Table3.110[[#This Row],[Net gas 8-24h, ml]]+Table3.110[[#This Row],[Net gas 8h, ml]]</f>
        <v>60.157451581333774</v>
      </c>
      <c r="AJ63" s="94">
        <f>Table3.110[[#This Row],[Net gas 8h, ml]]*Table3.110[[#This Row],[CH4 8h %]]%</f>
        <v>4.5450220610995613</v>
      </c>
      <c r="AK63" s="94">
        <f>Table3.110[[#This Row],[Net gas 8-24h, ml]]*Table3.110[[#This Row],[CH4 24h, %]]%</f>
        <v>4.9557451581333769</v>
      </c>
      <c r="AL63" s="94">
        <f>Table3.110[[#This Row],[CH4 8-24h, ml]]+Table3.110[[#This Row],[CH4 8h, ml]]</f>
        <v>9.5007672192329373</v>
      </c>
      <c r="AM63" s="94">
        <f>(Table3.110[[#This Row],[Net gas 24h, ml]]/Table3.110[[#This Row],[DM Incubated, mg]])*1000</f>
        <v>127.65900122453866</v>
      </c>
      <c r="AN63" s="94">
        <f>'3.2 Digest'!X63</f>
        <v>26.17279263239643</v>
      </c>
      <c r="AO63" s="94">
        <f>Table3.110[[#This Row],[Digested feed, mg]]/Table3.110[[#This Row],[Net gas 24h, ml]]</f>
        <v>2.050211295822475</v>
      </c>
      <c r="AP63" s="94">
        <f>Table3.110[[#This Row],[CH4 8h, ml]]/Table3.110[[#This Row],[Net gas 8h, ml]]%</f>
        <v>14.5</v>
      </c>
      <c r="AQ63" s="94">
        <f>Table3.110[[#This Row],[CH4 24h, ml]]/Table3.110[[#This Row],[Net gas 24h, ml]]%</f>
        <v>15.793167711547351</v>
      </c>
      <c r="AR63" s="94">
        <f>Table3.110[[#This Row],[CH4 24h, ml]]/Table3.110[[#This Row],[DM Incubated, mg]]*1000</f>
        <v>20.161400162277676</v>
      </c>
      <c r="AS63" s="94">
        <f>Table3.110[[#This Row],[CH4 24h, ml]]/Table3.110[[#This Row],[Digested feed, mg]]*1000</f>
        <v>77.031902729867994</v>
      </c>
      <c r="AT63" s="94">
        <f>Table3.110[[#This Row],[CH4 24h, ml]]/'3.2 Digest'!AA63</f>
        <v>-0.36252170759257918</v>
      </c>
      <c r="AU63" s="94">
        <f>((Table3.110[[#This Row],[CH4 24h, ml]]/28.9)*16.04)/Table3.110[[#This Row],[DM Incubated, mg]]*1000</f>
        <v>11.189925903215709</v>
      </c>
      <c r="AV63" s="94">
        <f>((Table3.110[[#This Row],[CH4 24h, ml]]/28.9)*16.04)/Table3.110[[#This Row],[Digested feed, mg]]*1000</f>
        <v>42.754038746957889</v>
      </c>
      <c r="AW63" s="303"/>
    </row>
    <row r="64" spans="1:49" s="304" customFormat="1" x14ac:dyDescent="0.35">
      <c r="A64" s="89"/>
      <c r="B64" s="90">
        <f t="shared" si="0"/>
        <v>54</v>
      </c>
      <c r="C64" s="140">
        <v>46041</v>
      </c>
      <c r="D64" s="6" t="s">
        <v>16</v>
      </c>
      <c r="E64" s="6" t="s">
        <v>60</v>
      </c>
      <c r="F64" s="133" t="s">
        <v>19</v>
      </c>
      <c r="G64" s="133" t="s">
        <v>20</v>
      </c>
      <c r="H64" s="133" t="s">
        <v>21</v>
      </c>
      <c r="I64" s="6" t="s">
        <v>22</v>
      </c>
      <c r="J64" s="129" t="s">
        <v>23</v>
      </c>
      <c r="K64" s="129" t="s">
        <v>24</v>
      </c>
      <c r="L64" s="6" t="s">
        <v>59</v>
      </c>
      <c r="M64" s="119">
        <v>27</v>
      </c>
      <c r="N64" s="93">
        <v>58</v>
      </c>
      <c r="O64" s="6">
        <v>1</v>
      </c>
      <c r="P64" s="129">
        <v>2</v>
      </c>
      <c r="Q64" s="6">
        <v>234</v>
      </c>
      <c r="R64" s="98">
        <v>0.50029999999999997</v>
      </c>
      <c r="S64" s="94">
        <f>((Table3.110[[#This Row],[Sample weight, g]]*'2.1. DM'!Q43)/100)*1000</f>
        <v>471.14131500000008</v>
      </c>
      <c r="T64" s="94">
        <f>'3.2 Digest'!W64</f>
        <v>155.24131499999999</v>
      </c>
      <c r="U64" s="117">
        <v>0.38819444444444445</v>
      </c>
      <c r="V64" s="155">
        <v>43</v>
      </c>
      <c r="W64" s="117">
        <v>0.72291666666666665</v>
      </c>
      <c r="X64" s="97">
        <v>77</v>
      </c>
      <c r="Y64" s="97">
        <v>13.6</v>
      </c>
      <c r="Z64" s="155">
        <v>41</v>
      </c>
      <c r="AA64" s="117">
        <v>0.38750000000000001</v>
      </c>
      <c r="AB64" s="155">
        <v>71.5</v>
      </c>
      <c r="AC64" s="155">
        <v>17.100000000000001</v>
      </c>
      <c r="AD64" s="96"/>
      <c r="AE64" s="94">
        <f>Table3.110[[#This Row],[Gas 8h, ml]]-Table3.110[[#This Row],[Gas 0h, ml]]</f>
        <v>34</v>
      </c>
      <c r="AF64" s="94">
        <f>Table3.110[[#This Row],[Gas 24h, ml]]-Table3.110[[#This Row],[V8 Push back, ml]]</f>
        <v>30.5</v>
      </c>
      <c r="AG64" s="94">
        <f>Table3.110[[#This Row],[GP 8h, ml]]-(AVERAGE(AE$11,AE$12,AE$62,AE$61,AE$114,AE$115))*$AG$8</f>
        <v>31.344979731721114</v>
      </c>
      <c r="AH64" s="94">
        <f>Table3.110[[#This Row],[GP 8-24h, ml]]-(AVERAGE(AF$11,AF$12,AF$62,AF$61,AF$114,AF$115))*$AG$8</f>
        <v>26.81247184961266</v>
      </c>
      <c r="AI64" s="94">
        <f>Table3.110[[#This Row],[Net gas 8-24h, ml]]+Table3.110[[#This Row],[Net gas 8h, ml]]</f>
        <v>58.157451581333774</v>
      </c>
      <c r="AJ64" s="94">
        <f>Table3.110[[#This Row],[Net gas 8h, ml]]*Table3.110[[#This Row],[CH4 8h %]]%</f>
        <v>4.2629172435140719</v>
      </c>
      <c r="AK64" s="94">
        <f>Table3.110[[#This Row],[Net gas 8-24h, ml]]*Table3.110[[#This Row],[CH4 24h, %]]%</f>
        <v>4.5849326862837652</v>
      </c>
      <c r="AL64" s="94">
        <f>Table3.110[[#This Row],[CH4 8-24h, ml]]+Table3.110[[#This Row],[CH4 8h, ml]]</f>
        <v>8.847849929797837</v>
      </c>
      <c r="AM64" s="94">
        <f>(Table3.110[[#This Row],[Net gas 24h, ml]]/Table3.110[[#This Row],[DM Incubated, mg]])*1000</f>
        <v>123.43950685227799</v>
      </c>
      <c r="AN64" s="94">
        <f>'3.2 Digest'!X64</f>
        <v>32.950053425053575</v>
      </c>
      <c r="AO64" s="94">
        <f>Table3.110[[#This Row],[Digested feed, mg]]/Table3.110[[#This Row],[Net gas 24h, ml]]</f>
        <v>2.6693280186614343</v>
      </c>
      <c r="AP64" s="94">
        <f>Table3.110[[#This Row],[CH4 8h, ml]]/Table3.110[[#This Row],[Net gas 8h, ml]]%</f>
        <v>13.600000000000001</v>
      </c>
      <c r="AQ64" s="94">
        <f>Table3.110[[#This Row],[CH4 24h, ml]]/Table3.110[[#This Row],[Net gas 24h, ml]]%</f>
        <v>15.213613542581093</v>
      </c>
      <c r="AR64" s="94">
        <f>Table3.110[[#This Row],[CH4 24h, ml]]/Table3.110[[#This Row],[DM Incubated, mg]]*1000</f>
        <v>18.779609531373481</v>
      </c>
      <c r="AS64" s="94">
        <f>Table3.110[[#This Row],[CH4 24h, ml]]/Table3.110[[#This Row],[Digested feed, mg]]*1000</f>
        <v>56.994170203968174</v>
      </c>
      <c r="AT64" s="94">
        <f>Table3.110[[#This Row],[CH4 24h, ml]]/'3.2 Digest'!AA64</f>
        <v>-0.60511642026034795</v>
      </c>
      <c r="AU64" s="94">
        <f>((Table3.110[[#This Row],[CH4 24h, ml]]/28.9)*16.04)/Table3.110[[#This Row],[DM Incubated, mg]]*1000</f>
        <v>10.423008196651578</v>
      </c>
      <c r="AV64" s="94">
        <f>((Table3.110[[#This Row],[CH4 24h, ml]]/28.9)*16.04)/Table3.110[[#This Row],[Digested feed, mg]]*1000</f>
        <v>31.632750521510363</v>
      </c>
      <c r="AW64" s="303"/>
    </row>
    <row r="65" spans="1:49" s="304" customFormat="1" x14ac:dyDescent="0.35">
      <c r="A65" s="89"/>
      <c r="B65" s="90">
        <f t="shared" si="0"/>
        <v>55</v>
      </c>
      <c r="C65" s="140">
        <v>46041</v>
      </c>
      <c r="D65" s="6" t="s">
        <v>16</v>
      </c>
      <c r="E65" s="6" t="s">
        <v>60</v>
      </c>
      <c r="F65" s="133" t="s">
        <v>19</v>
      </c>
      <c r="G65" s="133" t="s">
        <v>20</v>
      </c>
      <c r="H65" s="133" t="s">
        <v>21</v>
      </c>
      <c r="I65" s="6" t="s">
        <v>22</v>
      </c>
      <c r="J65" s="129" t="s">
        <v>23</v>
      </c>
      <c r="K65" s="129" t="s">
        <v>24</v>
      </c>
      <c r="L65" s="6" t="s">
        <v>59</v>
      </c>
      <c r="M65" s="119">
        <v>27</v>
      </c>
      <c r="N65" s="93">
        <v>58</v>
      </c>
      <c r="O65" s="6">
        <v>1</v>
      </c>
      <c r="P65" s="129">
        <v>3</v>
      </c>
      <c r="Q65" s="6">
        <v>235</v>
      </c>
      <c r="R65" s="98">
        <v>0.50049999999999994</v>
      </c>
      <c r="S65" s="94">
        <f>((Table3.110[[#This Row],[Sample weight, g]]*'2.1. DM'!Q43)/100)*1000</f>
        <v>471.32965851988808</v>
      </c>
      <c r="T65" s="94">
        <f>'3.2 Digest'!W65</f>
        <v>133.22965851988812</v>
      </c>
      <c r="U65" s="153">
        <v>0.38958333333333334</v>
      </c>
      <c r="V65" s="154">
        <v>42.5</v>
      </c>
      <c r="W65" s="153">
        <v>0.72361111111111109</v>
      </c>
      <c r="X65" s="95">
        <v>71.5</v>
      </c>
      <c r="Y65" s="95">
        <v>15.5</v>
      </c>
      <c r="Z65" s="154">
        <v>41</v>
      </c>
      <c r="AA65" s="153">
        <v>0.38819444444444445</v>
      </c>
      <c r="AB65" s="154">
        <v>68</v>
      </c>
      <c r="AC65" s="154">
        <v>17.100000000000001</v>
      </c>
      <c r="AD65" s="91"/>
      <c r="AE65" s="94">
        <f>Table3.110[[#This Row],[Gas 8h, ml]]-Table3.110[[#This Row],[Gas 0h, ml]]</f>
        <v>29</v>
      </c>
      <c r="AF65" s="94">
        <f>Table3.110[[#This Row],[Gas 24h, ml]]-Table3.110[[#This Row],[V8 Push back, ml]]</f>
        <v>27</v>
      </c>
      <c r="AG65" s="94">
        <f>Table3.110[[#This Row],[GP 8h, ml]]-(AVERAGE(AE$11,AE$12,AE$62,AE$61,AE$114,AE$115))*$AG$8</f>
        <v>26.344979731721114</v>
      </c>
      <c r="AH65" s="94">
        <f>Table3.110[[#This Row],[GP 8-24h, ml]]-(AVERAGE(AF$11,AF$12,AF$62,AF$61,AF$114,AF$115))*$AG$8</f>
        <v>23.31247184961266</v>
      </c>
      <c r="AI65" s="94">
        <f>Table3.110[[#This Row],[Net gas 8-24h, ml]]+Table3.110[[#This Row],[Net gas 8h, ml]]</f>
        <v>49.657451581333774</v>
      </c>
      <c r="AJ65" s="94">
        <f>Table3.110[[#This Row],[Net gas 8h, ml]]*Table3.110[[#This Row],[CH4 8h %]]%</f>
        <v>4.0834718584167726</v>
      </c>
      <c r="AK65" s="94">
        <f>Table3.110[[#This Row],[Net gas 8-24h, ml]]*Table3.110[[#This Row],[CH4 24h, %]]%</f>
        <v>3.9864326862837651</v>
      </c>
      <c r="AL65" s="94">
        <f>Table3.110[[#This Row],[CH4 8-24h, ml]]+Table3.110[[#This Row],[CH4 8h, ml]]</f>
        <v>8.0699045447005382</v>
      </c>
      <c r="AM65" s="94">
        <f>(Table3.110[[#This Row],[Net gas 24h, ml]]/Table3.110[[#This Row],[DM Incubated, mg]])*1000</f>
        <v>105.35609351907236</v>
      </c>
      <c r="AN65" s="94">
        <f>'3.2 Digest'!X65</f>
        <v>28.2667674549206</v>
      </c>
      <c r="AO65" s="94">
        <f>Table3.110[[#This Row],[Digested feed, mg]]/Table3.110[[#This Row],[Net gas 24h, ml]]</f>
        <v>2.6829741413868513</v>
      </c>
      <c r="AP65" s="94">
        <f>Table3.110[[#This Row],[CH4 8h, ml]]/Table3.110[[#This Row],[Net gas 8h, ml]]%</f>
        <v>15.5</v>
      </c>
      <c r="AQ65" s="94">
        <f>Table3.110[[#This Row],[CH4 24h, ml]]/Table3.110[[#This Row],[Net gas 24h, ml]]%</f>
        <v>16.251145170997891</v>
      </c>
      <c r="AR65" s="94">
        <f>Table3.110[[#This Row],[CH4 24h, ml]]/Table3.110[[#This Row],[DM Incubated, mg]]*1000</f>
        <v>17.12157170427675</v>
      </c>
      <c r="AS65" s="94">
        <f>Table3.110[[#This Row],[CH4 24h, ml]]/Table3.110[[#This Row],[Digested feed, mg]]*1000</f>
        <v>60.571382035749096</v>
      </c>
      <c r="AT65" s="94">
        <f>Table3.110[[#This Row],[CH4 24h, ml]]/'3.2 Digest'!AA65</f>
        <v>-0.35663675241133447</v>
      </c>
      <c r="AU65" s="94">
        <f>((Table3.110[[#This Row],[CH4 24h, ml]]/28.9)*16.04)/Table3.110[[#This Row],[DM Incubated, mg]]*1000</f>
        <v>9.5027685168373388</v>
      </c>
      <c r="AV65" s="94">
        <f>((Table3.110[[#This Row],[CH4 24h, ml]]/28.9)*16.04)/Table3.110[[#This Row],[Digested feed, mg]]*1000</f>
        <v>33.61816497762684</v>
      </c>
      <c r="AW65" s="303"/>
    </row>
    <row r="66" spans="1:49" s="304" customFormat="1" x14ac:dyDescent="0.35">
      <c r="A66" s="89"/>
      <c r="B66" s="90">
        <f t="shared" si="0"/>
        <v>56</v>
      </c>
      <c r="C66" s="140">
        <v>46041</v>
      </c>
      <c r="D66" s="6" t="s">
        <v>16</v>
      </c>
      <c r="E66" s="6" t="s">
        <v>62</v>
      </c>
      <c r="F66" s="133" t="s">
        <v>19</v>
      </c>
      <c r="G66" s="133" t="s">
        <v>20</v>
      </c>
      <c r="H66" s="133" t="s">
        <v>21</v>
      </c>
      <c r="I66" s="6" t="s">
        <v>22</v>
      </c>
      <c r="J66" s="129" t="s">
        <v>23</v>
      </c>
      <c r="K66" s="129" t="s">
        <v>24</v>
      </c>
      <c r="L66" s="6" t="s">
        <v>61</v>
      </c>
      <c r="M66" s="119">
        <v>27</v>
      </c>
      <c r="N66" s="93">
        <v>58</v>
      </c>
      <c r="O66" s="6">
        <v>1</v>
      </c>
      <c r="P66" s="129">
        <v>1</v>
      </c>
      <c r="Q66" s="6">
        <v>236</v>
      </c>
      <c r="R66" s="98">
        <v>0.50049999999999994</v>
      </c>
      <c r="S66" s="94">
        <f>((Table3.110[[#This Row],[Sample weight, g]]*'2.1. DM'!Q45)/100)*1000</f>
        <v>470.76311712972205</v>
      </c>
      <c r="T66" s="94">
        <f>'3.2 Digest'!W66</f>
        <v>84.863117129722013</v>
      </c>
      <c r="U66" s="117">
        <v>0.38958333333333334</v>
      </c>
      <c r="V66" s="155">
        <v>42.5</v>
      </c>
      <c r="W66" s="117">
        <v>0.72361111111111109</v>
      </c>
      <c r="X66" s="97">
        <v>68</v>
      </c>
      <c r="Y66" s="97">
        <v>14.3</v>
      </c>
      <c r="Z66" s="155">
        <v>40.5</v>
      </c>
      <c r="AA66" s="117">
        <v>0.3888888888888889</v>
      </c>
      <c r="AB66" s="155">
        <v>60</v>
      </c>
      <c r="AC66" s="155">
        <v>17.899999999999999</v>
      </c>
      <c r="AD66" s="96"/>
      <c r="AE66" s="94">
        <f>Table3.110[[#This Row],[Gas 8h, ml]]-Table3.110[[#This Row],[Gas 0h, ml]]</f>
        <v>25.5</v>
      </c>
      <c r="AF66" s="94">
        <f>Table3.110[[#This Row],[Gas 24h, ml]]-Table3.110[[#This Row],[V8 Push back, ml]]</f>
        <v>19.5</v>
      </c>
      <c r="AG66" s="94">
        <f>Table3.110[[#This Row],[GP 8h, ml]]-(AVERAGE(AE$11,AE$12,AE$62,AE$61,AE$114,AE$115))*$AG$8</f>
        <v>22.844979731721114</v>
      </c>
      <c r="AH66" s="94">
        <f>Table3.110[[#This Row],[GP 8-24h, ml]]-(AVERAGE(AF$11,AF$12,AF$62,AF$61,AF$114,AF$115))*$AG$8</f>
        <v>15.81247184961266</v>
      </c>
      <c r="AI66" s="94">
        <f>Table3.110[[#This Row],[Net gas 8-24h, ml]]+Table3.110[[#This Row],[Net gas 8h, ml]]</f>
        <v>38.657451581333774</v>
      </c>
      <c r="AJ66" s="94">
        <f>Table3.110[[#This Row],[Net gas 8h, ml]]*Table3.110[[#This Row],[CH4 8h %]]%</f>
        <v>3.2668321016361199</v>
      </c>
      <c r="AK66" s="94">
        <f>Table3.110[[#This Row],[Net gas 8-24h, ml]]*Table3.110[[#This Row],[CH4 24h, %]]%</f>
        <v>2.8304324610806662</v>
      </c>
      <c r="AL66" s="94">
        <f>Table3.110[[#This Row],[CH4 8-24h, ml]]+Table3.110[[#This Row],[CH4 8h, ml]]</f>
        <v>6.0972645627167861</v>
      </c>
      <c r="AM66" s="94">
        <f>(Table3.110[[#This Row],[Net gas 24h, ml]]/Table3.110[[#This Row],[DM Incubated, mg]])*1000</f>
        <v>82.116568130976674</v>
      </c>
      <c r="AN66" s="94">
        <f>'3.2 Digest'!X66</f>
        <v>18.02671323257837</v>
      </c>
      <c r="AO66" s="94">
        <f>Table3.110[[#This Row],[Digested feed, mg]]/Table3.110[[#This Row],[Net gas 24h, ml]]</f>
        <v>2.1952589645277913</v>
      </c>
      <c r="AP66" s="94">
        <f>Table3.110[[#This Row],[CH4 8h, ml]]/Table3.110[[#This Row],[Net gas 8h, ml]]%</f>
        <v>14.300000000000002</v>
      </c>
      <c r="AQ66" s="94">
        <f>Table3.110[[#This Row],[CH4 24h, ml]]/Table3.110[[#This Row],[Net gas 24h, ml]]%</f>
        <v>15.772546593994637</v>
      </c>
      <c r="AR66" s="94">
        <f>Table3.110[[#This Row],[CH4 24h, ml]]/Table3.110[[#This Row],[DM Incubated, mg]]*1000</f>
        <v>12.951873969847648</v>
      </c>
      <c r="AS66" s="94">
        <f>Table3.110[[#This Row],[CH4 24h, ml]]/Table3.110[[#This Row],[Digested feed, mg]]*1000</f>
        <v>71.848227698217698</v>
      </c>
      <c r="AT66" s="94">
        <f>Table3.110[[#This Row],[CH4 24h, ml]]/'3.2 Digest'!AA66</f>
        <v>-0.18502579381848261</v>
      </c>
      <c r="AU66" s="94">
        <f>((Table3.110[[#This Row],[CH4 24h, ml]]/28.9)*16.04)/Table3.110[[#This Row],[DM Incubated, mg]]*1000</f>
        <v>7.1885141341299734</v>
      </c>
      <c r="AV66" s="94">
        <f>((Table3.110[[#This Row],[CH4 24h, ml]]/28.9)*16.04)/Table3.110[[#This Row],[Digested feed, mg]]*1000</f>
        <v>39.877009421432938</v>
      </c>
      <c r="AW66" s="303"/>
    </row>
    <row r="67" spans="1:49" s="304" customFormat="1" x14ac:dyDescent="0.35">
      <c r="A67" s="89"/>
      <c r="B67" s="90">
        <f t="shared" si="0"/>
        <v>57</v>
      </c>
      <c r="C67" s="140">
        <v>46041</v>
      </c>
      <c r="D67" s="6" t="s">
        <v>16</v>
      </c>
      <c r="E67" s="6" t="s">
        <v>62</v>
      </c>
      <c r="F67" s="133" t="s">
        <v>19</v>
      </c>
      <c r="G67" s="133" t="s">
        <v>20</v>
      </c>
      <c r="H67" s="133" t="s">
        <v>21</v>
      </c>
      <c r="I67" s="6" t="s">
        <v>22</v>
      </c>
      <c r="J67" s="129" t="s">
        <v>23</v>
      </c>
      <c r="K67" s="129" t="s">
        <v>24</v>
      </c>
      <c r="L67" s="6" t="s">
        <v>61</v>
      </c>
      <c r="M67" s="119">
        <v>27</v>
      </c>
      <c r="N67" s="93">
        <v>58</v>
      </c>
      <c r="O67" s="6">
        <v>1</v>
      </c>
      <c r="P67" s="129">
        <v>2</v>
      </c>
      <c r="Q67" s="6">
        <v>237</v>
      </c>
      <c r="R67" s="98">
        <v>0.50009999999999999</v>
      </c>
      <c r="S67" s="94">
        <f>((Table3.110[[#This Row],[Sample weight, g]]*'2.1. DM'!Q45)/100)*1000</f>
        <v>470.38688287027776</v>
      </c>
      <c r="T67" s="94">
        <f>'3.2 Digest'!W67</f>
        <v>72.586882870277691</v>
      </c>
      <c r="U67" s="153">
        <v>0.38958333333333334</v>
      </c>
      <c r="V67" s="154">
        <v>42.5</v>
      </c>
      <c r="W67" s="153">
        <v>0.72430555555555554</v>
      </c>
      <c r="X67" s="95">
        <v>69</v>
      </c>
      <c r="Y67" s="95">
        <v>13.6</v>
      </c>
      <c r="Z67" s="154">
        <v>40.5</v>
      </c>
      <c r="AA67" s="153">
        <v>0.38958333333333334</v>
      </c>
      <c r="AB67" s="154">
        <v>64</v>
      </c>
      <c r="AC67" s="154">
        <v>17.899999999999999</v>
      </c>
      <c r="AD67" s="91"/>
      <c r="AE67" s="94">
        <f>Table3.110[[#This Row],[Gas 8h, ml]]-Table3.110[[#This Row],[Gas 0h, ml]]</f>
        <v>26.5</v>
      </c>
      <c r="AF67" s="94">
        <f>Table3.110[[#This Row],[Gas 24h, ml]]-Table3.110[[#This Row],[V8 Push back, ml]]</f>
        <v>23.5</v>
      </c>
      <c r="AG67" s="94">
        <f>Table3.110[[#This Row],[GP 8h, ml]]-(AVERAGE(AE$11,AE$12,AE$62,AE$61,AE$114,AE$115))*$AG$8</f>
        <v>23.844979731721114</v>
      </c>
      <c r="AH67" s="94">
        <f>Table3.110[[#This Row],[GP 8-24h, ml]]-(AVERAGE(AF$11,AF$12,AF$62,AF$61,AF$114,AF$115))*$AG$8</f>
        <v>19.81247184961266</v>
      </c>
      <c r="AI67" s="94">
        <f>Table3.110[[#This Row],[Net gas 8-24h, ml]]+Table3.110[[#This Row],[Net gas 8h, ml]]</f>
        <v>43.657451581333774</v>
      </c>
      <c r="AJ67" s="94">
        <f>Table3.110[[#This Row],[Net gas 8h, ml]]*Table3.110[[#This Row],[CH4 8h %]]%</f>
        <v>3.2429172435140718</v>
      </c>
      <c r="AK67" s="94">
        <f>Table3.110[[#This Row],[Net gas 8-24h, ml]]*Table3.110[[#This Row],[CH4 24h, %]]%</f>
        <v>3.5464324610806659</v>
      </c>
      <c r="AL67" s="94">
        <f>Table3.110[[#This Row],[CH4 8-24h, ml]]+Table3.110[[#This Row],[CH4 8h, ml]]</f>
        <v>6.7893497045947377</v>
      </c>
      <c r="AM67" s="94">
        <f>(Table3.110[[#This Row],[Net gas 24h, ml]]/Table3.110[[#This Row],[DM Incubated, mg]])*1000</f>
        <v>92.811796355668207</v>
      </c>
      <c r="AN67" s="94">
        <f>'3.2 Digest'!X67</f>
        <v>15.431315266989607</v>
      </c>
      <c r="AO67" s="94">
        <f>Table3.110[[#This Row],[Digested feed, mg]]/Table3.110[[#This Row],[Net gas 24h, ml]]</f>
        <v>1.6626458998654199</v>
      </c>
      <c r="AP67" s="94">
        <f>Table3.110[[#This Row],[CH4 8h, ml]]/Table3.110[[#This Row],[Net gas 8h, ml]]%</f>
        <v>13.600000000000001</v>
      </c>
      <c r="AQ67" s="94">
        <f>Table3.110[[#This Row],[CH4 24h, ml]]/Table3.110[[#This Row],[Net gas 24h, ml]]%</f>
        <v>15.551410947444307</v>
      </c>
      <c r="AR67" s="94">
        <f>Table3.110[[#This Row],[CH4 24h, ml]]/Table3.110[[#This Row],[DM Incubated, mg]]*1000</f>
        <v>14.433543858975101</v>
      </c>
      <c r="AS67" s="94">
        <f>Table3.110[[#This Row],[CH4 24h, ml]]/Table3.110[[#This Row],[Digested feed, mg]]*1000</f>
        <v>93.534112998462803</v>
      </c>
      <c r="AT67" s="94">
        <f>Table3.110[[#This Row],[CH4 24h, ml]]/'3.2 Digest'!AA67</f>
        <v>-0.18269060023130043</v>
      </c>
      <c r="AU67" s="94">
        <f>((Table3.110[[#This Row],[CH4 24h, ml]]/28.9)*16.04)/Table3.110[[#This Row],[DM Incubated, mg]]*1000</f>
        <v>8.0108665570228581</v>
      </c>
      <c r="AV67" s="94">
        <f>((Table3.110[[#This Row],[CH4 24h, ml]]/28.9)*16.04)/Table3.110[[#This Row],[Digested feed, mg]]*1000</f>
        <v>51.913050951395967</v>
      </c>
      <c r="AW67" s="303"/>
    </row>
    <row r="68" spans="1:49" s="304" customFormat="1" x14ac:dyDescent="0.35">
      <c r="A68" s="89"/>
      <c r="B68" s="90">
        <f t="shared" si="0"/>
        <v>58</v>
      </c>
      <c r="C68" s="140">
        <v>46041</v>
      </c>
      <c r="D68" s="6" t="s">
        <v>16</v>
      </c>
      <c r="E68" s="6" t="s">
        <v>62</v>
      </c>
      <c r="F68" s="133" t="s">
        <v>19</v>
      </c>
      <c r="G68" s="133" t="s">
        <v>20</v>
      </c>
      <c r="H68" s="133" t="s">
        <v>21</v>
      </c>
      <c r="I68" s="6" t="s">
        <v>22</v>
      </c>
      <c r="J68" s="129" t="s">
        <v>23</v>
      </c>
      <c r="K68" s="129" t="s">
        <v>24</v>
      </c>
      <c r="L68" s="6" t="s">
        <v>61</v>
      </c>
      <c r="M68" s="119">
        <v>27</v>
      </c>
      <c r="N68" s="93">
        <v>58</v>
      </c>
      <c r="O68" s="6">
        <v>1</v>
      </c>
      <c r="P68" s="129">
        <v>3</v>
      </c>
      <c r="Q68" s="6">
        <v>238</v>
      </c>
      <c r="R68" s="98">
        <v>0.50039999999999996</v>
      </c>
      <c r="S68" s="94">
        <f>((Table3.110[[#This Row],[Sample weight, g]]*'2.1. DM'!Q45)/100)*1000</f>
        <v>470.66905856486102</v>
      </c>
      <c r="T68" s="94">
        <f>'3.2 Digest'!W68</f>
        <v>139.86905856486106</v>
      </c>
      <c r="U68" s="117">
        <v>0.39027777777777778</v>
      </c>
      <c r="V68" s="155">
        <v>41.5</v>
      </c>
      <c r="W68" s="117">
        <v>0.72430555555555554</v>
      </c>
      <c r="X68" s="97">
        <v>67.5</v>
      </c>
      <c r="Y68" s="97">
        <v>14.7</v>
      </c>
      <c r="Z68" s="155">
        <v>42</v>
      </c>
      <c r="AA68" s="117">
        <v>0.38958333333333334</v>
      </c>
      <c r="AB68" s="155">
        <v>67.5</v>
      </c>
      <c r="AC68" s="155">
        <v>17.7</v>
      </c>
      <c r="AD68" s="96"/>
      <c r="AE68" s="94">
        <f>Table3.110[[#This Row],[Gas 8h, ml]]-Table3.110[[#This Row],[Gas 0h, ml]]</f>
        <v>26</v>
      </c>
      <c r="AF68" s="94">
        <f>Table3.110[[#This Row],[Gas 24h, ml]]-Table3.110[[#This Row],[V8 Push back, ml]]</f>
        <v>25.5</v>
      </c>
      <c r="AG68" s="94">
        <f>Table3.110[[#This Row],[GP 8h, ml]]-(AVERAGE(AE$11,AE$12,AE$62,AE$61,AE$114,AE$115))*$AG$8</f>
        <v>23.344979731721114</v>
      </c>
      <c r="AH68" s="94">
        <f>Table3.110[[#This Row],[GP 8-24h, ml]]-(AVERAGE(AF$11,AF$12,AF$62,AF$61,AF$114,AF$115))*$AG$8</f>
        <v>21.81247184961266</v>
      </c>
      <c r="AI68" s="94">
        <f>Table3.110[[#This Row],[Net gas 8-24h, ml]]+Table3.110[[#This Row],[Net gas 8h, ml]]</f>
        <v>45.157451581333774</v>
      </c>
      <c r="AJ68" s="94">
        <f>Table3.110[[#This Row],[Net gas 8h, ml]]*Table3.110[[#This Row],[CH4 8h %]]%</f>
        <v>3.4317120205630034</v>
      </c>
      <c r="AK68" s="94">
        <f>Table3.110[[#This Row],[Net gas 8-24h, ml]]*Table3.110[[#This Row],[CH4 24h, %]]%</f>
        <v>3.8608075173814407</v>
      </c>
      <c r="AL68" s="94">
        <f>Table3.110[[#This Row],[CH4 8-24h, ml]]+Table3.110[[#This Row],[CH4 8h, ml]]</f>
        <v>7.2925195379444441</v>
      </c>
      <c r="AM68" s="94">
        <f>(Table3.110[[#This Row],[Net gas 24h, ml]]/Table3.110[[#This Row],[DM Incubated, mg]])*1000</f>
        <v>95.943106434541221</v>
      </c>
      <c r="AN68" s="94">
        <f>'3.2 Digest'!X68</f>
        <v>29.717071054413974</v>
      </c>
      <c r="AO68" s="94">
        <f>Table3.110[[#This Row],[Digested feed, mg]]/Table3.110[[#This Row],[Net gas 24h, ml]]</f>
        <v>3.0973638606009635</v>
      </c>
      <c r="AP68" s="94">
        <f>Table3.110[[#This Row],[CH4 8h, ml]]/Table3.110[[#This Row],[Net gas 8h, ml]]%</f>
        <v>14.7</v>
      </c>
      <c r="AQ68" s="94">
        <f>Table3.110[[#This Row],[CH4 24h, ml]]/Table3.110[[#This Row],[Net gas 24h, ml]]%</f>
        <v>16.149094518342729</v>
      </c>
      <c r="AR68" s="94">
        <f>Table3.110[[#This Row],[CH4 24h, ml]]/Table3.110[[#This Row],[DM Incubated, mg]]*1000</f>
        <v>15.493942941948225</v>
      </c>
      <c r="AS68" s="94">
        <f>Table3.110[[#This Row],[CH4 24h, ml]]/Table3.110[[#This Row],[Digested feed, mg]]*1000</f>
        <v>52.138189909691185</v>
      </c>
      <c r="AT68" s="94">
        <f>Table3.110[[#This Row],[CH4 24h, ml]]/'3.2 Digest'!AA68</f>
        <v>-0.52116073767692928</v>
      </c>
      <c r="AU68" s="94">
        <f>((Table3.110[[#This Row],[CH4 24h, ml]]/28.9)*16.04)/Table3.110[[#This Row],[DM Incubated, mg]]*1000</f>
        <v>8.5994063940778371</v>
      </c>
      <c r="AV68" s="94">
        <f>((Table3.110[[#This Row],[CH4 24h, ml]]/28.9)*16.04)/Table3.110[[#This Row],[Digested feed, mg]]*1000</f>
        <v>28.937597444686727</v>
      </c>
      <c r="AW68" s="303"/>
    </row>
    <row r="69" spans="1:49" s="304" customFormat="1" x14ac:dyDescent="0.35">
      <c r="A69" s="89"/>
      <c r="B69" s="90">
        <f t="shared" si="0"/>
        <v>59</v>
      </c>
      <c r="C69" s="140">
        <v>46041</v>
      </c>
      <c r="D69" s="6" t="s">
        <v>16</v>
      </c>
      <c r="E69" s="6" t="s">
        <v>64</v>
      </c>
      <c r="F69" s="133" t="s">
        <v>19</v>
      </c>
      <c r="G69" s="133" t="s">
        <v>20</v>
      </c>
      <c r="H69" s="133" t="s">
        <v>21</v>
      </c>
      <c r="I69" s="6" t="s">
        <v>22</v>
      </c>
      <c r="J69" s="129" t="s">
        <v>23</v>
      </c>
      <c r="K69" s="129" t="s">
        <v>24</v>
      </c>
      <c r="L69" s="6" t="s">
        <v>63</v>
      </c>
      <c r="M69" s="119">
        <v>27</v>
      </c>
      <c r="N69" s="93">
        <v>58</v>
      </c>
      <c r="O69" s="6">
        <v>1</v>
      </c>
      <c r="P69" s="129">
        <v>1</v>
      </c>
      <c r="Q69" s="6">
        <v>239</v>
      </c>
      <c r="R69" s="98">
        <v>0.50060000000000004</v>
      </c>
      <c r="S69" s="94">
        <f>((Table3.110[[#This Row],[Sample weight, g]]*'2.1. DM'!Q47)/100)*1000</f>
        <v>477.00726990577607</v>
      </c>
      <c r="T69" s="94">
        <f>'3.2 Digest'!W69</f>
        <v>132.80726990577602</v>
      </c>
      <c r="U69" s="153">
        <v>0.39027777777777778</v>
      </c>
      <c r="V69" s="154">
        <v>41.5</v>
      </c>
      <c r="W69" s="153">
        <v>0.72430555555555554</v>
      </c>
      <c r="X69" s="95">
        <v>72.5</v>
      </c>
      <c r="Y69" s="95">
        <v>14.7</v>
      </c>
      <c r="Z69" s="154">
        <v>40</v>
      </c>
      <c r="AA69" s="153">
        <v>0.39027777777777778</v>
      </c>
      <c r="AB69" s="154">
        <v>67.5</v>
      </c>
      <c r="AC69" s="154">
        <v>18.3</v>
      </c>
      <c r="AD69" s="91"/>
      <c r="AE69" s="94">
        <f>Table3.110[[#This Row],[Gas 8h, ml]]-Table3.110[[#This Row],[Gas 0h, ml]]</f>
        <v>31</v>
      </c>
      <c r="AF69" s="94">
        <f>Table3.110[[#This Row],[Gas 24h, ml]]-Table3.110[[#This Row],[V8 Push back, ml]]</f>
        <v>27.5</v>
      </c>
      <c r="AG69" s="94">
        <f>Table3.110[[#This Row],[GP 8h, ml]]-(AVERAGE(AE$11,AE$12,AE$62,AE$61,AE$114,AE$115))*$AG$8</f>
        <v>28.344979731721114</v>
      </c>
      <c r="AH69" s="94">
        <f>Table3.110[[#This Row],[GP 8-24h, ml]]-(AVERAGE(AF$11,AF$12,AF$62,AF$61,AF$114,AF$115))*$AG$8</f>
        <v>23.81247184961266</v>
      </c>
      <c r="AI69" s="94">
        <f>Table3.110[[#This Row],[Net gas 8-24h, ml]]+Table3.110[[#This Row],[Net gas 8h, ml]]</f>
        <v>52.157451581333774</v>
      </c>
      <c r="AJ69" s="94">
        <f>Table3.110[[#This Row],[Net gas 8h, ml]]*Table3.110[[#This Row],[CH4 8h %]]%</f>
        <v>4.1667120205630033</v>
      </c>
      <c r="AK69" s="94">
        <f>Table3.110[[#This Row],[Net gas 8-24h, ml]]*Table3.110[[#This Row],[CH4 24h, %]]%</f>
        <v>4.3576823484791163</v>
      </c>
      <c r="AL69" s="94">
        <f>Table3.110[[#This Row],[CH4 8-24h, ml]]+Table3.110[[#This Row],[CH4 8h, ml]]</f>
        <v>8.5243943690421204</v>
      </c>
      <c r="AM69" s="94">
        <f>(Table3.110[[#This Row],[Net gas 24h, ml]]/Table3.110[[#This Row],[DM Incubated, mg]])*1000</f>
        <v>109.34309573863834</v>
      </c>
      <c r="AN69" s="94">
        <f>'3.2 Digest'!X69</f>
        <v>27.84177061536392</v>
      </c>
      <c r="AO69" s="94">
        <f>Table3.110[[#This Row],[Digested feed, mg]]/Table3.110[[#This Row],[Net gas 24h, ml]]</f>
        <v>2.5462760522085284</v>
      </c>
      <c r="AP69" s="94">
        <f>Table3.110[[#This Row],[CH4 8h, ml]]/Table3.110[[#This Row],[Net gas 8h, ml]]%</f>
        <v>14.699999999999998</v>
      </c>
      <c r="AQ69" s="94">
        <f>Table3.110[[#This Row],[CH4 24h, ml]]/Table3.110[[#This Row],[Net gas 24h, ml]]%</f>
        <v>16.343579125504764</v>
      </c>
      <c r="AR69" s="94">
        <f>Table3.110[[#This Row],[CH4 24h, ml]]/Table3.110[[#This Row],[DM Incubated, mg]]*1000</f>
        <v>17.870575370320783</v>
      </c>
      <c r="AS69" s="94">
        <f>Table3.110[[#This Row],[CH4 24h, ml]]/Table3.110[[#This Row],[Digested feed, mg]]*1000</f>
        <v>64.18620287195121</v>
      </c>
      <c r="AT69" s="94">
        <f>Table3.110[[#This Row],[CH4 24h, ml]]/'3.2 Digest'!AA69</f>
        <v>-0.39985988593516147</v>
      </c>
      <c r="AU69" s="94">
        <f>((Table3.110[[#This Row],[CH4 24h, ml]]/28.9)*16.04)/Table3.110[[#This Row],[DM Incubated, mg]]*1000</f>
        <v>9.9184785100327115</v>
      </c>
      <c r="AV69" s="94">
        <f>((Table3.110[[#This Row],[CH4 24h, ml]]/28.9)*16.04)/Table3.110[[#This Row],[Digested feed, mg]]*1000</f>
        <v>35.624453081871884</v>
      </c>
      <c r="AW69" s="303"/>
    </row>
    <row r="70" spans="1:49" s="304" customFormat="1" x14ac:dyDescent="0.35">
      <c r="A70" s="89"/>
      <c r="B70" s="90">
        <f t="shared" si="0"/>
        <v>60</v>
      </c>
      <c r="C70" s="140">
        <v>46041</v>
      </c>
      <c r="D70" s="6" t="s">
        <v>16</v>
      </c>
      <c r="E70" s="6" t="s">
        <v>64</v>
      </c>
      <c r="F70" s="133" t="s">
        <v>19</v>
      </c>
      <c r="G70" s="133" t="s">
        <v>20</v>
      </c>
      <c r="H70" s="133" t="s">
        <v>21</v>
      </c>
      <c r="I70" s="6" t="s">
        <v>22</v>
      </c>
      <c r="J70" s="129" t="s">
        <v>23</v>
      </c>
      <c r="K70" s="129" t="s">
        <v>24</v>
      </c>
      <c r="L70" s="6" t="s">
        <v>63</v>
      </c>
      <c r="M70" s="119">
        <v>27</v>
      </c>
      <c r="N70" s="93">
        <v>58</v>
      </c>
      <c r="O70" s="6">
        <v>1</v>
      </c>
      <c r="P70" s="129">
        <v>2</v>
      </c>
      <c r="Q70" s="6">
        <v>240</v>
      </c>
      <c r="R70" s="98">
        <v>0.50029999999999997</v>
      </c>
      <c r="S70" s="94">
        <f>((Table3.110[[#This Row],[Sample weight, g]]*'2.1. DM'!Q47)/100)*1000</f>
        <v>476.72140857742659</v>
      </c>
      <c r="T70" s="94">
        <f>'3.2 Digest'!W70</f>
        <v>193.22140857742647</v>
      </c>
      <c r="U70" s="117">
        <v>0.39027777777777778</v>
      </c>
      <c r="V70" s="155">
        <v>41.5</v>
      </c>
      <c r="W70" s="117">
        <v>0.72499999999999998</v>
      </c>
      <c r="X70" s="97">
        <v>73</v>
      </c>
      <c r="Y70" s="97">
        <v>14.8</v>
      </c>
      <c r="Z70" s="155">
        <v>40.5</v>
      </c>
      <c r="AA70" s="117">
        <v>0.39027777777777778</v>
      </c>
      <c r="AB70" s="155">
        <v>68.5</v>
      </c>
      <c r="AC70" s="155">
        <v>18.100000000000001</v>
      </c>
      <c r="AD70" s="96"/>
      <c r="AE70" s="94">
        <f>Table3.110[[#This Row],[Gas 8h, ml]]-Table3.110[[#This Row],[Gas 0h, ml]]</f>
        <v>31.5</v>
      </c>
      <c r="AF70" s="94">
        <f>Table3.110[[#This Row],[Gas 24h, ml]]-Table3.110[[#This Row],[V8 Push back, ml]]</f>
        <v>28</v>
      </c>
      <c r="AG70" s="94">
        <f>Table3.110[[#This Row],[GP 8h, ml]]-(AVERAGE(AE$11,AE$12,AE$62,AE$61,AE$114,AE$115))*$AG$8</f>
        <v>28.844979731721114</v>
      </c>
      <c r="AH70" s="94">
        <f>Table3.110[[#This Row],[GP 8-24h, ml]]-(AVERAGE(AF$11,AF$12,AF$62,AF$61,AF$114,AF$115))*$AG$8</f>
        <v>24.31247184961266</v>
      </c>
      <c r="AI70" s="94">
        <f>Table3.110[[#This Row],[Net gas 8-24h, ml]]+Table3.110[[#This Row],[Net gas 8h, ml]]</f>
        <v>53.157451581333774</v>
      </c>
      <c r="AJ70" s="94">
        <f>Table3.110[[#This Row],[Net gas 8h, ml]]*Table3.110[[#This Row],[CH4 8h %]]%</f>
        <v>4.2690570002947252</v>
      </c>
      <c r="AK70" s="94">
        <f>Table3.110[[#This Row],[Net gas 8-24h, ml]]*Table3.110[[#This Row],[CH4 24h, %]]%</f>
        <v>4.4005574047798923</v>
      </c>
      <c r="AL70" s="94">
        <f>Table3.110[[#This Row],[CH4 8-24h, ml]]+Table3.110[[#This Row],[CH4 8h, ml]]</f>
        <v>8.6696144050746184</v>
      </c>
      <c r="AM70" s="94">
        <f>(Table3.110[[#This Row],[Net gas 24h, ml]]/Table3.110[[#This Row],[DM Incubated, mg]])*1000</f>
        <v>111.50632345201301</v>
      </c>
      <c r="AN70" s="94">
        <f>'3.2 Digest'!X70</f>
        <v>40.531305097879709</v>
      </c>
      <c r="AO70" s="94">
        <f>Table3.110[[#This Row],[Digested feed, mg]]/Table3.110[[#This Row],[Net gas 24h, ml]]</f>
        <v>3.6348884837300237</v>
      </c>
      <c r="AP70" s="94">
        <f>Table3.110[[#This Row],[CH4 8h, ml]]/Table3.110[[#This Row],[Net gas 8h, ml]]%</f>
        <v>14.8</v>
      </c>
      <c r="AQ70" s="94">
        <f>Table3.110[[#This Row],[CH4 24h, ml]]/Table3.110[[#This Row],[Net gas 24h, ml]]%</f>
        <v>16.309311577530462</v>
      </c>
      <c r="AR70" s="94">
        <f>Table3.110[[#This Row],[CH4 24h, ml]]/Table3.110[[#This Row],[DM Incubated, mg]]*1000</f>
        <v>18.185913720437721</v>
      </c>
      <c r="AS70" s="94">
        <f>Table3.110[[#This Row],[CH4 24h, ml]]/Table3.110[[#This Row],[Digested feed, mg]]*1000</f>
        <v>44.868808632044441</v>
      </c>
      <c r="AT70" s="94">
        <f>Table3.110[[#This Row],[CH4 24h, ml]]/'3.2 Digest'!AA70</f>
        <v>533.39082302395684</v>
      </c>
      <c r="AU70" s="94">
        <f>((Table3.110[[#This Row],[CH4 24h, ml]]/28.9)*16.04)/Table3.110[[#This Row],[DM Incubated, mg]]*1000</f>
        <v>10.093496750028409</v>
      </c>
      <c r="AV70" s="94">
        <f>((Table3.110[[#This Row],[CH4 24h, ml]]/28.9)*16.04)/Table3.110[[#This Row],[Digested feed, mg]]*1000</f>
        <v>24.902965067750618</v>
      </c>
      <c r="AW70" s="303"/>
    </row>
    <row r="71" spans="1:49" s="304" customFormat="1" x14ac:dyDescent="0.35">
      <c r="A71" s="89"/>
      <c r="B71" s="90">
        <f t="shared" si="0"/>
        <v>61</v>
      </c>
      <c r="C71" s="140">
        <v>46041</v>
      </c>
      <c r="D71" s="6" t="s">
        <v>16</v>
      </c>
      <c r="E71" s="6" t="s">
        <v>64</v>
      </c>
      <c r="F71" s="133" t="s">
        <v>19</v>
      </c>
      <c r="G71" s="133" t="s">
        <v>20</v>
      </c>
      <c r="H71" s="133" t="s">
        <v>21</v>
      </c>
      <c r="I71" s="6" t="s">
        <v>22</v>
      </c>
      <c r="J71" s="129" t="s">
        <v>23</v>
      </c>
      <c r="K71" s="129" t="s">
        <v>24</v>
      </c>
      <c r="L71" s="6" t="s">
        <v>63</v>
      </c>
      <c r="M71" s="119">
        <v>27</v>
      </c>
      <c r="N71" s="93">
        <v>58</v>
      </c>
      <c r="O71" s="6">
        <v>1</v>
      </c>
      <c r="P71" s="129">
        <v>3</v>
      </c>
      <c r="Q71" s="6">
        <v>241</v>
      </c>
      <c r="R71" s="98">
        <v>0.50019999999999998</v>
      </c>
      <c r="S71" s="94">
        <f>((Table3.110[[#This Row],[Sample weight, g]]*'2.1. DM'!Q47)/100)*1000</f>
        <v>476.62612146797676</v>
      </c>
      <c r="T71" s="94">
        <f>'3.2 Digest'!W71</f>
        <v>135.62612146797682</v>
      </c>
      <c r="U71" s="153">
        <v>0.39097222222222222</v>
      </c>
      <c r="V71" s="154">
        <v>40.5</v>
      </c>
      <c r="W71" s="153">
        <v>0.72569444444444442</v>
      </c>
      <c r="X71" s="95">
        <v>68.5</v>
      </c>
      <c r="Y71" s="95">
        <v>16.399999999999999</v>
      </c>
      <c r="Z71" s="154">
        <v>40.5</v>
      </c>
      <c r="AA71" s="153">
        <v>0.39097222222222222</v>
      </c>
      <c r="AB71" s="154">
        <v>68.5</v>
      </c>
      <c r="AC71" s="154">
        <v>18.2</v>
      </c>
      <c r="AD71" s="91"/>
      <c r="AE71" s="94">
        <f>Table3.110[[#This Row],[Gas 8h, ml]]-Table3.110[[#This Row],[Gas 0h, ml]]</f>
        <v>28</v>
      </c>
      <c r="AF71" s="94">
        <f>Table3.110[[#This Row],[Gas 24h, ml]]-Table3.110[[#This Row],[V8 Push back, ml]]</f>
        <v>28</v>
      </c>
      <c r="AG71" s="94">
        <f>Table3.110[[#This Row],[GP 8h, ml]]-(AVERAGE(AE$11,AE$12,AE$62,AE$61,AE$114,AE$115))*$AG$8</f>
        <v>25.344979731721114</v>
      </c>
      <c r="AH71" s="94">
        <f>Table3.110[[#This Row],[GP 8-24h, ml]]-(AVERAGE(AF$11,AF$12,AF$62,AF$61,AF$114,AF$115))*$AG$8</f>
        <v>24.31247184961266</v>
      </c>
      <c r="AI71" s="94">
        <f>Table3.110[[#This Row],[Net gas 8-24h, ml]]+Table3.110[[#This Row],[Net gas 8h, ml]]</f>
        <v>49.657451581333774</v>
      </c>
      <c r="AJ71" s="94">
        <f>Table3.110[[#This Row],[Net gas 8h, ml]]*Table3.110[[#This Row],[CH4 8h %]]%</f>
        <v>4.1565766760022624</v>
      </c>
      <c r="AK71" s="94">
        <f>Table3.110[[#This Row],[Net gas 8-24h, ml]]*Table3.110[[#This Row],[CH4 24h, %]]%</f>
        <v>4.4248698766295043</v>
      </c>
      <c r="AL71" s="94">
        <f>Table3.110[[#This Row],[CH4 8-24h, ml]]+Table3.110[[#This Row],[CH4 8h, ml]]</f>
        <v>8.5814465526317676</v>
      </c>
      <c r="AM71" s="94">
        <f>(Table3.110[[#This Row],[Net gas 24h, ml]]/Table3.110[[#This Row],[DM Incubated, mg]])*1000</f>
        <v>104.18533383859057</v>
      </c>
      <c r="AN71" s="94">
        <f>'3.2 Digest'!X71</f>
        <v>28.455452892564381</v>
      </c>
      <c r="AO71" s="94">
        <f>Table3.110[[#This Row],[Digested feed, mg]]/Table3.110[[#This Row],[Net gas 24h, ml]]</f>
        <v>2.7312340273007214</v>
      </c>
      <c r="AP71" s="94">
        <f>Table3.110[[#This Row],[CH4 8h, ml]]/Table3.110[[#This Row],[Net gas 8h, ml]]%</f>
        <v>16.399999999999999</v>
      </c>
      <c r="AQ71" s="94">
        <f>Table3.110[[#This Row],[CH4 24h, ml]]/Table3.110[[#This Row],[Net gas 24h, ml]]%</f>
        <v>17.281286653577549</v>
      </c>
      <c r="AR71" s="94">
        <f>Table3.110[[#This Row],[CH4 24h, ml]]/Table3.110[[#This Row],[DM Incubated, mg]]*1000</f>
        <v>18.004566191633565</v>
      </c>
      <c r="AS71" s="94">
        <f>Table3.110[[#This Row],[CH4 24h, ml]]/Table3.110[[#This Row],[Digested feed, mg]]*1000</f>
        <v>63.272815441072424</v>
      </c>
      <c r="AT71" s="94">
        <f>Table3.110[[#This Row],[CH4 24h, ml]]/'3.2 Digest'!AA71</f>
        <v>-0.42300892900082365</v>
      </c>
      <c r="AU71" s="94">
        <f>((Table3.110[[#This Row],[CH4 24h, ml]]/28.9)*16.04)/Table3.110[[#This Row],[DM Incubated, mg]]*1000</f>
        <v>9.9928457340416053</v>
      </c>
      <c r="AV71" s="94">
        <f>((Table3.110[[#This Row],[CH4 24h, ml]]/28.9)*16.04)/Table3.110[[#This Row],[Digested feed, mg]]*1000</f>
        <v>35.117507255183448</v>
      </c>
      <c r="AW71" s="303"/>
    </row>
    <row r="72" spans="1:49" s="304" customFormat="1" x14ac:dyDescent="0.35">
      <c r="A72" s="89"/>
      <c r="B72" s="90">
        <f t="shared" si="0"/>
        <v>62</v>
      </c>
      <c r="C72" s="140">
        <v>46041</v>
      </c>
      <c r="D72" s="6" t="s">
        <v>16</v>
      </c>
      <c r="E72" s="6" t="s">
        <v>66</v>
      </c>
      <c r="F72" s="133" t="s">
        <v>19</v>
      </c>
      <c r="G72" s="133" t="s">
        <v>67</v>
      </c>
      <c r="H72" s="133" t="s">
        <v>68</v>
      </c>
      <c r="I72" s="6" t="s">
        <v>22</v>
      </c>
      <c r="J72" s="129" t="s">
        <v>23</v>
      </c>
      <c r="K72" s="129" t="s">
        <v>24</v>
      </c>
      <c r="L72" s="6" t="s">
        <v>65</v>
      </c>
      <c r="M72" s="119">
        <v>27</v>
      </c>
      <c r="N72" s="93">
        <v>58</v>
      </c>
      <c r="O72" s="6">
        <v>1</v>
      </c>
      <c r="P72" s="129">
        <v>1</v>
      </c>
      <c r="Q72" s="6">
        <v>242</v>
      </c>
      <c r="R72" s="98">
        <v>0.50009999999999999</v>
      </c>
      <c r="S72" s="94">
        <f>((Table3.110[[#This Row],[Sample weight, g]]*'2.1. DM'!Q49)/100)*1000</f>
        <v>473.45248187587481</v>
      </c>
      <c r="T72" s="94">
        <f>'3.2 Digest'!W72</f>
        <v>123.05248187587489</v>
      </c>
      <c r="U72" s="117">
        <v>0.39166666666666666</v>
      </c>
      <c r="V72" s="155">
        <v>42.5</v>
      </c>
      <c r="W72" s="117">
        <v>0.72569444444444442</v>
      </c>
      <c r="X72" s="97">
        <v>69.5</v>
      </c>
      <c r="Y72" s="97">
        <v>14.7</v>
      </c>
      <c r="Z72" s="155">
        <v>41</v>
      </c>
      <c r="AA72" s="117">
        <v>0.39097222222222222</v>
      </c>
      <c r="AB72" s="155">
        <v>69.5</v>
      </c>
      <c r="AC72" s="155">
        <v>17.8</v>
      </c>
      <c r="AD72" s="96"/>
      <c r="AE72" s="94">
        <f>Table3.110[[#This Row],[Gas 8h, ml]]-Table3.110[[#This Row],[Gas 0h, ml]]</f>
        <v>27</v>
      </c>
      <c r="AF72" s="94">
        <f>Table3.110[[#This Row],[Gas 24h, ml]]-Table3.110[[#This Row],[V8 Push back, ml]]</f>
        <v>28.5</v>
      </c>
      <c r="AG72" s="94">
        <f>Table3.110[[#This Row],[GP 8h, ml]]-(AVERAGE(AE$11,AE$12,AE$62,AE$61,AE$114,AE$115))*$AG$8</f>
        <v>24.344979731721114</v>
      </c>
      <c r="AH72" s="94">
        <f>Table3.110[[#This Row],[GP 8-24h, ml]]-(AVERAGE(AF$11,AF$12,AF$62,AF$61,AF$114,AF$115))*$AG$8</f>
        <v>24.81247184961266</v>
      </c>
      <c r="AI72" s="94">
        <f>Table3.110[[#This Row],[Net gas 8-24h, ml]]+Table3.110[[#This Row],[Net gas 8h, ml]]</f>
        <v>49.157451581333774</v>
      </c>
      <c r="AJ72" s="94">
        <f>Table3.110[[#This Row],[Net gas 8h, ml]]*Table3.110[[#This Row],[CH4 8h %]]%</f>
        <v>3.5787120205630036</v>
      </c>
      <c r="AK72" s="94">
        <f>Table3.110[[#This Row],[Net gas 8-24h, ml]]*Table3.110[[#This Row],[CH4 24h, %]]%</f>
        <v>4.4166199892310543</v>
      </c>
      <c r="AL72" s="94">
        <f>Table3.110[[#This Row],[CH4 8-24h, ml]]+Table3.110[[#This Row],[CH4 8h, ml]]</f>
        <v>7.9953320097940583</v>
      </c>
      <c r="AM72" s="94">
        <f>(Table3.110[[#This Row],[Net gas 24h, ml]]/Table3.110[[#This Row],[DM Incubated, mg]])*1000</f>
        <v>103.82763521814508</v>
      </c>
      <c r="AN72" s="94">
        <f>'3.2 Digest'!X72</f>
        <v>25.990460835335867</v>
      </c>
      <c r="AO72" s="94">
        <f>Table3.110[[#This Row],[Digested feed, mg]]/Table3.110[[#This Row],[Net gas 24h, ml]]</f>
        <v>2.5032315125668716</v>
      </c>
      <c r="AP72" s="94">
        <f>Table3.110[[#This Row],[CH4 8h, ml]]/Table3.110[[#This Row],[Net gas 8h, ml]]%</f>
        <v>14.7</v>
      </c>
      <c r="AQ72" s="94">
        <f>Table3.110[[#This Row],[CH4 24h, ml]]/Table3.110[[#This Row],[Net gas 24h, ml]]%</f>
        <v>16.264740649879563</v>
      </c>
      <c r="AR72" s="94">
        <f>Table3.110[[#This Row],[CH4 24h, ml]]/Table3.110[[#This Row],[DM Incubated, mg]]*1000</f>
        <v>16.887295591134311</v>
      </c>
      <c r="AS72" s="94">
        <f>Table3.110[[#This Row],[CH4 24h, ml]]/Table3.110[[#This Row],[Digested feed, mg]]*1000</f>
        <v>64.974975619419723</v>
      </c>
      <c r="AT72" s="94">
        <f>Table3.110[[#This Row],[CH4 24h, ml]]/'3.2 Digest'!AA72</f>
        <v>-0.33525128359042999</v>
      </c>
      <c r="AU72" s="94">
        <f>((Table3.110[[#This Row],[CH4 24h, ml]]/28.9)*16.04)/Table3.110[[#This Row],[DM Incubated, mg]]*1000</f>
        <v>9.3727412208233343</v>
      </c>
      <c r="AV72" s="94">
        <f>((Table3.110[[#This Row],[CH4 24h, ml]]/28.9)*16.04)/Table3.110[[#This Row],[Digested feed, mg]]*1000</f>
        <v>36.062235603304231</v>
      </c>
      <c r="AW72" s="303"/>
    </row>
    <row r="73" spans="1:49" s="304" customFormat="1" x14ac:dyDescent="0.35">
      <c r="A73" s="89"/>
      <c r="B73" s="90">
        <f t="shared" si="0"/>
        <v>63</v>
      </c>
      <c r="C73" s="140">
        <v>46041</v>
      </c>
      <c r="D73" s="6" t="s">
        <v>16</v>
      </c>
      <c r="E73" s="6" t="s">
        <v>66</v>
      </c>
      <c r="F73" s="133" t="s">
        <v>19</v>
      </c>
      <c r="G73" s="133" t="s">
        <v>67</v>
      </c>
      <c r="H73" s="133" t="s">
        <v>68</v>
      </c>
      <c r="I73" s="6" t="s">
        <v>22</v>
      </c>
      <c r="J73" s="129" t="s">
        <v>23</v>
      </c>
      <c r="K73" s="129" t="s">
        <v>24</v>
      </c>
      <c r="L73" s="6" t="s">
        <v>65</v>
      </c>
      <c r="M73" s="119">
        <v>27</v>
      </c>
      <c r="N73" s="93">
        <v>58</v>
      </c>
      <c r="O73" s="6">
        <v>1</v>
      </c>
      <c r="P73" s="129">
        <v>2</v>
      </c>
      <c r="Q73" s="6">
        <v>243</v>
      </c>
      <c r="R73" s="98">
        <v>0.50039999999999996</v>
      </c>
      <c r="S73" s="94">
        <f>((Table3.110[[#This Row],[Sample weight, g]]*'2.1. DM'!Q49)/100)*1000</f>
        <v>473.736496562063</v>
      </c>
      <c r="T73" s="94">
        <f>'3.2 Digest'!W73</f>
        <v>169.93649656206304</v>
      </c>
      <c r="U73" s="153">
        <v>0.39166666666666666</v>
      </c>
      <c r="V73" s="155">
        <v>41.5</v>
      </c>
      <c r="W73" s="153">
        <v>0.72638888888888886</v>
      </c>
      <c r="X73" s="95">
        <v>70</v>
      </c>
      <c r="Y73" s="95">
        <v>15.1</v>
      </c>
      <c r="Z73" s="154">
        <v>41</v>
      </c>
      <c r="AA73" s="153">
        <v>0.39166666666666666</v>
      </c>
      <c r="AB73" s="154">
        <v>71</v>
      </c>
      <c r="AC73" s="154">
        <v>17.600000000000001</v>
      </c>
      <c r="AD73" s="91"/>
      <c r="AE73" s="94">
        <f>Table3.110[[#This Row],[Gas 8h, ml]]-Table3.110[[#This Row],[Gas 0h, ml]]</f>
        <v>28.5</v>
      </c>
      <c r="AF73" s="94">
        <f>Table3.110[[#This Row],[Gas 24h, ml]]-Table3.110[[#This Row],[V8 Push back, ml]]</f>
        <v>30</v>
      </c>
      <c r="AG73" s="94">
        <f>Table3.110[[#This Row],[GP 8h, ml]]-(AVERAGE(AE$11,AE$12,AE$62,AE$61,AE$114,AE$115))*$AG$8</f>
        <v>25.844979731721114</v>
      </c>
      <c r="AH73" s="94">
        <f>Table3.110[[#This Row],[GP 8-24h, ml]]-(AVERAGE(AF$11,AF$12,AF$62,AF$61,AF$114,AF$115))*$AG$8</f>
        <v>26.31247184961266</v>
      </c>
      <c r="AI73" s="94">
        <f>Table3.110[[#This Row],[Net gas 8-24h, ml]]+Table3.110[[#This Row],[Net gas 8h, ml]]</f>
        <v>52.157451581333774</v>
      </c>
      <c r="AJ73" s="94">
        <f>Table3.110[[#This Row],[Net gas 8h, ml]]*Table3.110[[#This Row],[CH4 8h %]]%</f>
        <v>3.9025919394898883</v>
      </c>
      <c r="AK73" s="94">
        <f>Table3.110[[#This Row],[Net gas 8-24h, ml]]*Table3.110[[#This Row],[CH4 24h, %]]%</f>
        <v>4.6309950455318285</v>
      </c>
      <c r="AL73" s="94">
        <f>Table3.110[[#This Row],[CH4 8-24h, ml]]+Table3.110[[#This Row],[CH4 8h, ml]]</f>
        <v>8.5335869850217172</v>
      </c>
      <c r="AM73" s="94">
        <f>(Table3.110[[#This Row],[Net gas 24h, ml]]/Table3.110[[#This Row],[DM Incubated, mg]])*1000</f>
        <v>110.09802276126884</v>
      </c>
      <c r="AN73" s="94">
        <f>'3.2 Digest'!X73</f>
        <v>35.871523050325109</v>
      </c>
      <c r="AO73" s="94">
        <f>Table3.110[[#This Row],[Digested feed, mg]]/Table3.110[[#This Row],[Net gas 24h, ml]]</f>
        <v>3.2581441655957035</v>
      </c>
      <c r="AP73" s="94">
        <f>Table3.110[[#This Row],[CH4 8h, ml]]/Table3.110[[#This Row],[Net gas 8h, ml]]%</f>
        <v>15.100000000000001</v>
      </c>
      <c r="AQ73" s="94">
        <f>Table3.110[[#This Row],[CH4 24h, ml]]/Table3.110[[#This Row],[Net gas 24h, ml]]%</f>
        <v>16.361203866938425</v>
      </c>
      <c r="AR73" s="94">
        <f>Table3.110[[#This Row],[CH4 24h, ml]]/Table3.110[[#This Row],[DM Incubated, mg]]*1000</f>
        <v>18.013361957439464</v>
      </c>
      <c r="AS73" s="94">
        <f>Table3.110[[#This Row],[CH4 24h, ml]]/Table3.110[[#This Row],[Digested feed, mg]]*1000</f>
        <v>50.216328791414966</v>
      </c>
      <c r="AT73" s="94">
        <f>Table3.110[[#This Row],[CH4 24h, ml]]/'3.2 Digest'!AA73</f>
        <v>-1.1668039433788466</v>
      </c>
      <c r="AU73" s="94">
        <f>((Table3.110[[#This Row],[CH4 24h, ml]]/28.9)*16.04)/Table3.110[[#This Row],[DM Incubated, mg]]*1000</f>
        <v>9.9977275362397577</v>
      </c>
      <c r="AV73" s="94">
        <f>((Table3.110[[#This Row],[CH4 24h, ml]]/28.9)*16.04)/Table3.110[[#This Row],[Digested feed, mg]]*1000</f>
        <v>27.870931273851074</v>
      </c>
      <c r="AW73" s="303"/>
    </row>
    <row r="74" spans="1:49" s="304" customFormat="1" x14ac:dyDescent="0.35">
      <c r="A74" s="89"/>
      <c r="B74" s="90">
        <f t="shared" si="0"/>
        <v>64</v>
      </c>
      <c r="C74" s="140">
        <v>46041</v>
      </c>
      <c r="D74" s="6" t="s">
        <v>16</v>
      </c>
      <c r="E74" s="6" t="s">
        <v>66</v>
      </c>
      <c r="F74" s="133" t="s">
        <v>19</v>
      </c>
      <c r="G74" s="133" t="s">
        <v>67</v>
      </c>
      <c r="H74" s="133" t="s">
        <v>68</v>
      </c>
      <c r="I74" s="6" t="s">
        <v>22</v>
      </c>
      <c r="J74" s="129" t="s">
        <v>23</v>
      </c>
      <c r="K74" s="129" t="s">
        <v>24</v>
      </c>
      <c r="L74" s="6" t="s">
        <v>65</v>
      </c>
      <c r="M74" s="119">
        <v>27</v>
      </c>
      <c r="N74" s="93">
        <v>58</v>
      </c>
      <c r="O74" s="6">
        <v>1</v>
      </c>
      <c r="P74" s="129">
        <v>3</v>
      </c>
      <c r="Q74" s="6">
        <v>244</v>
      </c>
      <c r="R74" s="98">
        <v>0.50009999999999999</v>
      </c>
      <c r="S74" s="94">
        <f>((Table3.110[[#This Row],[Sample weight, g]]*'2.1. DM'!Q49)/100)*1000</f>
        <v>473.45248187587481</v>
      </c>
      <c r="T74" s="94">
        <f>'3.2 Digest'!W74</f>
        <v>91.952481875874867</v>
      </c>
      <c r="U74" s="117">
        <v>0.3923611111111111</v>
      </c>
      <c r="V74" s="155">
        <v>42</v>
      </c>
      <c r="W74" s="117">
        <v>0.72638888888888886</v>
      </c>
      <c r="X74" s="97">
        <v>68</v>
      </c>
      <c r="Y74" s="97">
        <v>16.399999999999999</v>
      </c>
      <c r="Z74" s="155">
        <v>42</v>
      </c>
      <c r="AA74" s="117">
        <v>0.39166666666666666</v>
      </c>
      <c r="AB74" s="155">
        <v>71.5</v>
      </c>
      <c r="AC74" s="155">
        <v>17.399999999999999</v>
      </c>
      <c r="AD74" s="96"/>
      <c r="AE74" s="94">
        <f>Table3.110[[#This Row],[Gas 8h, ml]]-Table3.110[[#This Row],[Gas 0h, ml]]</f>
        <v>26</v>
      </c>
      <c r="AF74" s="94">
        <f>Table3.110[[#This Row],[Gas 24h, ml]]-Table3.110[[#This Row],[V8 Push back, ml]]</f>
        <v>29.5</v>
      </c>
      <c r="AG74" s="94">
        <f>Table3.110[[#This Row],[GP 8h, ml]]-(AVERAGE(AE$11,AE$12,AE$62,AE$61,AE$114,AE$115))*$AG$8</f>
        <v>23.344979731721114</v>
      </c>
      <c r="AH74" s="94">
        <f>Table3.110[[#This Row],[GP 8-24h, ml]]-(AVERAGE(AF$11,AF$12,AF$62,AF$61,AF$114,AF$115))*$AG$8</f>
        <v>25.81247184961266</v>
      </c>
      <c r="AI74" s="94">
        <f>Table3.110[[#This Row],[Net gas 8-24h, ml]]+Table3.110[[#This Row],[Net gas 8h, ml]]</f>
        <v>49.157451581333774</v>
      </c>
      <c r="AJ74" s="94">
        <f>Table3.110[[#This Row],[Net gas 8h, ml]]*Table3.110[[#This Row],[CH4 8h %]]%</f>
        <v>3.8285766760022621</v>
      </c>
      <c r="AK74" s="94">
        <f>Table3.110[[#This Row],[Net gas 8-24h, ml]]*Table3.110[[#This Row],[CH4 24h, %]]%</f>
        <v>4.4913701018326027</v>
      </c>
      <c r="AL74" s="94">
        <f>Table3.110[[#This Row],[CH4 8-24h, ml]]+Table3.110[[#This Row],[CH4 8h, ml]]</f>
        <v>8.3199467778348648</v>
      </c>
      <c r="AM74" s="94">
        <f>(Table3.110[[#This Row],[Net gas 24h, ml]]/Table3.110[[#This Row],[DM Incubated, mg]])*1000</f>
        <v>103.82763521814508</v>
      </c>
      <c r="AN74" s="94">
        <f>'3.2 Digest'!X74</f>
        <v>19.421691805595408</v>
      </c>
      <c r="AO74" s="94">
        <f>Table3.110[[#This Row],[Digested feed, mg]]/Table3.110[[#This Row],[Net gas 24h, ml]]</f>
        <v>1.8705705629132199</v>
      </c>
      <c r="AP74" s="94">
        <f>Table3.110[[#This Row],[CH4 8h, ml]]/Table3.110[[#This Row],[Net gas 8h, ml]]%</f>
        <v>16.399999999999999</v>
      </c>
      <c r="AQ74" s="94">
        <f>Table3.110[[#This Row],[CH4 24h, ml]]/Table3.110[[#This Row],[Net gas 24h, ml]]%</f>
        <v>16.925097844157044</v>
      </c>
      <c r="AR74" s="94">
        <f>Table3.110[[#This Row],[CH4 24h, ml]]/Table3.110[[#This Row],[DM Incubated, mg]]*1000</f>
        <v>17.572928849945512</v>
      </c>
      <c r="AS74" s="94">
        <f>Table3.110[[#This Row],[CH4 24h, ml]]/Table3.110[[#This Row],[Digested feed, mg]]*1000</f>
        <v>90.48093763326392</v>
      </c>
      <c r="AT74" s="94">
        <f>Table3.110[[#This Row],[CH4 24h, ml]]/'3.2 Digest'!AA74</f>
        <v>-0.23879718188253507</v>
      </c>
      <c r="AU74" s="94">
        <f>((Table3.110[[#This Row],[CH4 24h, ml]]/28.9)*16.04)/Table3.110[[#This Row],[DM Incubated, mg]]*1000</f>
        <v>9.7532795416306577</v>
      </c>
      <c r="AV74" s="94">
        <f>((Table3.110[[#This Row],[CH4 24h, ml]]/28.9)*16.04)/Table3.110[[#This Row],[Digested feed, mg]]*1000</f>
        <v>50.218485800607382</v>
      </c>
      <c r="AW74" s="303"/>
    </row>
    <row r="75" spans="1:49" s="304" customFormat="1" x14ac:dyDescent="0.35">
      <c r="A75" s="89"/>
      <c r="B75" s="90">
        <f t="shared" si="0"/>
        <v>65</v>
      </c>
      <c r="C75" s="140">
        <v>46041</v>
      </c>
      <c r="D75" s="6" t="s">
        <v>16</v>
      </c>
      <c r="E75" s="6" t="s">
        <v>70</v>
      </c>
      <c r="F75" s="133" t="s">
        <v>19</v>
      </c>
      <c r="G75" s="133" t="s">
        <v>20</v>
      </c>
      <c r="H75" s="133" t="s">
        <v>21</v>
      </c>
      <c r="I75" s="6" t="s">
        <v>22</v>
      </c>
      <c r="J75" s="129" t="s">
        <v>23</v>
      </c>
      <c r="K75" s="129" t="s">
        <v>24</v>
      </c>
      <c r="L75" s="6" t="s">
        <v>69</v>
      </c>
      <c r="M75" s="119">
        <v>27</v>
      </c>
      <c r="N75" s="93">
        <v>58</v>
      </c>
      <c r="O75" s="6">
        <v>1</v>
      </c>
      <c r="P75" s="129">
        <v>1</v>
      </c>
      <c r="Q75" s="6">
        <v>245</v>
      </c>
      <c r="R75" s="98">
        <v>0.50049999999999994</v>
      </c>
      <c r="S75" s="94">
        <f>((Table3.110[[#This Row],[Sample weight, g]]*'2.1. DM'!Q51)/100)*1000</f>
        <v>473.63261444692972</v>
      </c>
      <c r="T75" s="94">
        <f>'3.2 Digest'!W75</f>
        <v>130.0326144469297</v>
      </c>
      <c r="U75" s="117">
        <v>0.3923611111111111</v>
      </c>
      <c r="V75" s="155">
        <v>42</v>
      </c>
      <c r="W75" s="117">
        <v>0.7270833333333333</v>
      </c>
      <c r="X75" s="97">
        <v>70.5</v>
      </c>
      <c r="Y75" s="97">
        <v>15.2</v>
      </c>
      <c r="Z75" s="155">
        <v>40.5</v>
      </c>
      <c r="AA75" s="117">
        <v>0.3923611111111111</v>
      </c>
      <c r="AB75" s="155">
        <v>71.5</v>
      </c>
      <c r="AC75" s="155">
        <v>17.2</v>
      </c>
      <c r="AD75" s="91"/>
      <c r="AE75" s="94">
        <f>Table3.110[[#This Row],[Gas 8h, ml]]-Table3.110[[#This Row],[Gas 0h, ml]]</f>
        <v>28.5</v>
      </c>
      <c r="AF75" s="94">
        <f>Table3.110[[#This Row],[Gas 24h, ml]]-Table3.110[[#This Row],[V8 Push back, ml]]</f>
        <v>31</v>
      </c>
      <c r="AG75" s="94">
        <f>Table3.110[[#This Row],[GP 8h, ml]]-(AVERAGE(AE$11,AE$12,AE$62,AE$61,AE$114,AE$115))*$AG$8</f>
        <v>25.844979731721114</v>
      </c>
      <c r="AH75" s="94">
        <f>Table3.110[[#This Row],[GP 8-24h, ml]]-(AVERAGE(AF$11,AF$12,AF$62,AF$61,AF$114,AF$115))*$AG$8</f>
        <v>27.31247184961266</v>
      </c>
      <c r="AI75" s="94">
        <f>Table3.110[[#This Row],[Net gas 8-24h, ml]]+Table3.110[[#This Row],[Net gas 8h, ml]]</f>
        <v>53.157451581333774</v>
      </c>
      <c r="AJ75" s="94">
        <f>Table3.110[[#This Row],[Net gas 8h, ml]]*Table3.110[[#This Row],[CH4 8h %]]%</f>
        <v>3.9284369192216091</v>
      </c>
      <c r="AK75" s="94">
        <f>Table3.110[[#This Row],[Net gas 8-24h, ml]]*Table3.110[[#This Row],[CH4 24h, %]]%</f>
        <v>4.6977451581333769</v>
      </c>
      <c r="AL75" s="94">
        <f>Table3.110[[#This Row],[CH4 8-24h, ml]]+Table3.110[[#This Row],[CH4 8h, ml]]</f>
        <v>8.6261820773549864</v>
      </c>
      <c r="AM75" s="94">
        <f>(Table3.110[[#This Row],[Net gas 24h, ml]]/Table3.110[[#This Row],[DM Incubated, mg]])*1000</f>
        <v>112.23351171330714</v>
      </c>
      <c r="AN75" s="94">
        <f>'3.2 Digest'!X75</f>
        <v>27.454320179950315</v>
      </c>
      <c r="AO75" s="94">
        <f>Table3.110[[#This Row],[Digested feed, mg]]/Table3.110[[#This Row],[Net gas 24h, ml]]</f>
        <v>2.4461784863402034</v>
      </c>
      <c r="AP75" s="94">
        <f>Table3.110[[#This Row],[CH4 8h, ml]]/Table3.110[[#This Row],[Net gas 8h, ml]]%</f>
        <v>15.2</v>
      </c>
      <c r="AQ75" s="94">
        <f>Table3.110[[#This Row],[CH4 24h, ml]]/Table3.110[[#This Row],[Net gas 24h, ml]]%</f>
        <v>16.227606517510463</v>
      </c>
      <c r="AR75" s="94">
        <f>Table3.110[[#This Row],[CH4 24h, ml]]/Table3.110[[#This Row],[DM Incubated, mg]]*1000</f>
        <v>18.212812661619498</v>
      </c>
      <c r="AS75" s="94">
        <f>Table3.110[[#This Row],[CH4 24h, ml]]/Table3.110[[#This Row],[Digested feed, mg]]*1000</f>
        <v>66.338603696041162</v>
      </c>
      <c r="AT75" s="94">
        <f>Table3.110[[#This Row],[CH4 24h, ml]]/'3.2 Digest'!AA75</f>
        <v>-0.41620978541630749</v>
      </c>
      <c r="AU75" s="94">
        <f>((Table3.110[[#This Row],[CH4 24h, ml]]/28.9)*16.04)/Table3.110[[#This Row],[DM Incubated, mg]]*1000</f>
        <v>10.1084261277639</v>
      </c>
      <c r="AV75" s="94">
        <f>((Table3.110[[#This Row],[CH4 24h, ml]]/28.9)*16.04)/Table3.110[[#This Row],[Digested feed, mg]]*1000</f>
        <v>36.819072778010387</v>
      </c>
      <c r="AW75" s="303"/>
    </row>
    <row r="76" spans="1:49" s="304" customFormat="1" x14ac:dyDescent="0.35">
      <c r="A76" s="89"/>
      <c r="B76" s="90">
        <f t="shared" ref="B76:B139" si="1">B75+1</f>
        <v>66</v>
      </c>
      <c r="C76" s="140">
        <v>46041</v>
      </c>
      <c r="D76" s="6" t="s">
        <v>16</v>
      </c>
      <c r="E76" s="6" t="s">
        <v>70</v>
      </c>
      <c r="F76" s="133" t="s">
        <v>19</v>
      </c>
      <c r="G76" s="133" t="s">
        <v>20</v>
      </c>
      <c r="H76" s="133" t="s">
        <v>21</v>
      </c>
      <c r="I76" s="6" t="s">
        <v>22</v>
      </c>
      <c r="J76" s="129" t="s">
        <v>23</v>
      </c>
      <c r="K76" s="129" t="s">
        <v>24</v>
      </c>
      <c r="L76" s="6" t="s">
        <v>69</v>
      </c>
      <c r="M76" s="119">
        <v>27</v>
      </c>
      <c r="N76" s="93">
        <v>58</v>
      </c>
      <c r="O76" s="6">
        <v>1</v>
      </c>
      <c r="P76" s="129">
        <v>2</v>
      </c>
      <c r="Q76" s="6">
        <v>246</v>
      </c>
      <c r="R76" s="98">
        <v>0.50049999999999994</v>
      </c>
      <c r="S76" s="94">
        <f>((Table3.110[[#This Row],[Sample weight, g]]*'2.1. DM'!Q51)/100)*1000</f>
        <v>473.63261444692972</v>
      </c>
      <c r="T76" s="94">
        <f>'3.2 Digest'!W76</f>
        <v>122.73261444692963</v>
      </c>
      <c r="U76" s="117">
        <v>0.3923611111111111</v>
      </c>
      <c r="V76" s="155">
        <v>41.5</v>
      </c>
      <c r="W76" s="117">
        <v>0.7270833333333333</v>
      </c>
      <c r="X76" s="97">
        <v>71.5</v>
      </c>
      <c r="Y76" s="97">
        <v>15.1</v>
      </c>
      <c r="Z76" s="155">
        <v>41</v>
      </c>
      <c r="AA76" s="117">
        <v>0.3923611111111111</v>
      </c>
      <c r="AB76" s="155">
        <v>72</v>
      </c>
      <c r="AC76" s="155">
        <v>17.100000000000001</v>
      </c>
      <c r="AD76" s="96"/>
      <c r="AE76" s="94">
        <f>Table3.110[[#This Row],[Gas 8h, ml]]-Table3.110[[#This Row],[Gas 0h, ml]]</f>
        <v>30</v>
      </c>
      <c r="AF76" s="94">
        <f>Table3.110[[#This Row],[Gas 24h, ml]]-Table3.110[[#This Row],[V8 Push back, ml]]</f>
        <v>31</v>
      </c>
      <c r="AG76" s="94">
        <f>Table3.110[[#This Row],[GP 8h, ml]]-(AVERAGE(AE$11,AE$12,AE$62,AE$61,AE$114,AE$115))*$AG$8</f>
        <v>27.344979731721114</v>
      </c>
      <c r="AH76" s="94">
        <f>Table3.110[[#This Row],[GP 8-24h, ml]]-(AVERAGE(AF$11,AF$12,AF$62,AF$61,AF$114,AF$115))*$AG$8</f>
        <v>27.31247184961266</v>
      </c>
      <c r="AI76" s="94">
        <f>Table3.110[[#This Row],[Net gas 8-24h, ml]]+Table3.110[[#This Row],[Net gas 8h, ml]]</f>
        <v>54.657451581333774</v>
      </c>
      <c r="AJ76" s="94">
        <f>Table3.110[[#This Row],[Net gas 8h, ml]]*Table3.110[[#This Row],[CH4 8h %]]%</f>
        <v>4.1290919394898884</v>
      </c>
      <c r="AK76" s="94">
        <f>Table3.110[[#This Row],[Net gas 8-24h, ml]]*Table3.110[[#This Row],[CH4 24h, %]]%</f>
        <v>4.6704326862837648</v>
      </c>
      <c r="AL76" s="94">
        <f>Table3.110[[#This Row],[CH4 8-24h, ml]]+Table3.110[[#This Row],[CH4 8h, ml]]</f>
        <v>8.7995246257736532</v>
      </c>
      <c r="AM76" s="94">
        <f>(Table3.110[[#This Row],[Net gas 24h, ml]]/Table3.110[[#This Row],[DM Incubated, mg]])*1000</f>
        <v>115.40052334689489</v>
      </c>
      <c r="AN76" s="94">
        <f>'3.2 Digest'!X76</f>
        <v>25.913041184937601</v>
      </c>
      <c r="AO76" s="94">
        <f>Table3.110[[#This Row],[Digested feed, mg]]/Table3.110[[#This Row],[Net gas 24h, ml]]</f>
        <v>2.2454873195889067</v>
      </c>
      <c r="AP76" s="94">
        <f>Table3.110[[#This Row],[CH4 8h, ml]]/Table3.110[[#This Row],[Net gas 8h, ml]]%</f>
        <v>15.100000000000001</v>
      </c>
      <c r="AQ76" s="94">
        <f>Table3.110[[#This Row],[CH4 24h, ml]]/Table3.110[[#This Row],[Net gas 24h, ml]]%</f>
        <v>16.099405243362654</v>
      </c>
      <c r="AR76" s="94">
        <f>Table3.110[[#This Row],[CH4 24h, ml]]/Table3.110[[#This Row],[DM Incubated, mg]]*1000</f>
        <v>18.57879790657794</v>
      </c>
      <c r="AS76" s="94">
        <f>Table3.110[[#This Row],[CH4 24h, ml]]/Table3.110[[#This Row],[Digested feed, mg]]*1000</f>
        <v>71.696709675964939</v>
      </c>
      <c r="AT76" s="94">
        <f>Table3.110[[#This Row],[CH4 24h, ml]]/'3.2 Digest'!AA76</f>
        <v>-0.37781679159276582</v>
      </c>
      <c r="AU76" s="94">
        <f>((Table3.110[[#This Row],[CH4 24h, ml]]/28.9)*16.04)/Table3.110[[#This Row],[DM Incubated, mg]]*1000</f>
        <v>10.311554270640489</v>
      </c>
      <c r="AV76" s="94">
        <f>((Table3.110[[#This Row],[CH4 24h, ml]]/28.9)*16.04)/Table3.110[[#This Row],[Digested feed, mg]]*1000</f>
        <v>39.792914297663579</v>
      </c>
      <c r="AW76" s="303"/>
    </row>
    <row r="77" spans="1:49" s="304" customFormat="1" x14ac:dyDescent="0.35">
      <c r="A77" s="89"/>
      <c r="B77" s="90">
        <f t="shared" si="1"/>
        <v>67</v>
      </c>
      <c r="C77" s="140">
        <v>46041</v>
      </c>
      <c r="D77" s="6" t="s">
        <v>16</v>
      </c>
      <c r="E77" s="6" t="s">
        <v>70</v>
      </c>
      <c r="F77" s="133" t="s">
        <v>19</v>
      </c>
      <c r="G77" s="133" t="s">
        <v>20</v>
      </c>
      <c r="H77" s="133" t="s">
        <v>21</v>
      </c>
      <c r="I77" s="6" t="s">
        <v>22</v>
      </c>
      <c r="J77" s="129" t="s">
        <v>23</v>
      </c>
      <c r="K77" s="129" t="s">
        <v>24</v>
      </c>
      <c r="L77" s="6" t="s">
        <v>69</v>
      </c>
      <c r="M77" s="119">
        <v>27</v>
      </c>
      <c r="N77" s="93">
        <v>58</v>
      </c>
      <c r="O77" s="6">
        <v>1</v>
      </c>
      <c r="P77" s="129">
        <v>3</v>
      </c>
      <c r="Q77" s="6">
        <v>247</v>
      </c>
      <c r="R77" s="98">
        <v>0.5</v>
      </c>
      <c r="S77" s="94">
        <f>((Table3.110[[#This Row],[Sample weight, g]]*'2.1. DM'!Q51)/100)*1000</f>
        <v>473.15945499193788</v>
      </c>
      <c r="T77" s="94">
        <f>'3.2 Digest'!W77</f>
        <v>98.459454991937832</v>
      </c>
      <c r="U77" s="153">
        <v>0.39305555555555555</v>
      </c>
      <c r="V77" s="155">
        <v>41</v>
      </c>
      <c r="W77" s="153">
        <v>0.72777777777777775</v>
      </c>
      <c r="X77" s="95">
        <v>68.5</v>
      </c>
      <c r="Y77" s="95">
        <v>15.7</v>
      </c>
      <c r="Z77" s="154">
        <v>41</v>
      </c>
      <c r="AA77" s="153">
        <v>0.39305555555555555</v>
      </c>
      <c r="AB77" s="154">
        <v>70</v>
      </c>
      <c r="AC77" s="154">
        <v>17.2</v>
      </c>
      <c r="AD77" s="91"/>
      <c r="AE77" s="94">
        <f>Table3.110[[#This Row],[Gas 8h, ml]]-Table3.110[[#This Row],[Gas 0h, ml]]</f>
        <v>27.5</v>
      </c>
      <c r="AF77" s="94">
        <f>Table3.110[[#This Row],[Gas 24h, ml]]-Table3.110[[#This Row],[V8 Push back, ml]]</f>
        <v>29</v>
      </c>
      <c r="AG77" s="94">
        <f>Table3.110[[#This Row],[GP 8h, ml]]-(AVERAGE(AE$11,AE$12,AE$62,AE$61,AE$114,AE$115))*$AG$8</f>
        <v>24.844979731721114</v>
      </c>
      <c r="AH77" s="94">
        <f>Table3.110[[#This Row],[GP 8-24h, ml]]-(AVERAGE(AF$11,AF$12,AF$62,AF$61,AF$114,AF$115))*$AG$8</f>
        <v>25.31247184961266</v>
      </c>
      <c r="AI77" s="94">
        <f>Table3.110[[#This Row],[Net gas 8-24h, ml]]+Table3.110[[#This Row],[Net gas 8h, ml]]</f>
        <v>50.157451581333774</v>
      </c>
      <c r="AJ77" s="94">
        <f>Table3.110[[#This Row],[Net gas 8h, ml]]*Table3.110[[#This Row],[CH4 8h %]]%</f>
        <v>3.900661817880215</v>
      </c>
      <c r="AK77" s="94">
        <f>Table3.110[[#This Row],[Net gas 8-24h, ml]]*Table3.110[[#This Row],[CH4 24h, %]]%</f>
        <v>4.3537451581333775</v>
      </c>
      <c r="AL77" s="94">
        <f>Table3.110[[#This Row],[CH4 8-24h, ml]]+Table3.110[[#This Row],[CH4 8h, ml]]</f>
        <v>8.254406976013593</v>
      </c>
      <c r="AM77" s="94">
        <f>(Table3.110[[#This Row],[Net gas 24h, ml]]/Table3.110[[#This Row],[DM Incubated, mg]])*1000</f>
        <v>106.00538793457778</v>
      </c>
      <c r="AN77" s="94">
        <f>'3.2 Digest'!X77</f>
        <v>20.808937442371402</v>
      </c>
      <c r="AO77" s="94">
        <f>Table3.110[[#This Row],[Digested feed, mg]]/Table3.110[[#This Row],[Net gas 24h, ml]]</f>
        <v>1.9630075270526657</v>
      </c>
      <c r="AP77" s="94">
        <f>Table3.110[[#This Row],[CH4 8h, ml]]/Table3.110[[#This Row],[Net gas 8h, ml]]%</f>
        <v>15.700000000000001</v>
      </c>
      <c r="AQ77" s="94">
        <f>Table3.110[[#This Row],[CH4 24h, ml]]/Table3.110[[#This Row],[Net gas 24h, ml]]%</f>
        <v>16.456990368875701</v>
      </c>
      <c r="AR77" s="94">
        <f>Table3.110[[#This Row],[CH4 24h, ml]]/Table3.110[[#This Row],[DM Incubated, mg]]*1000</f>
        <v>17.445296482882792</v>
      </c>
      <c r="AS77" s="94">
        <f>Table3.110[[#This Row],[CH4 24h, ml]]/Table3.110[[#This Row],[Digested feed, mg]]*1000</f>
        <v>83.83559483128856</v>
      </c>
      <c r="AT77" s="94">
        <f>Table3.110[[#This Row],[CH4 24h, ml]]/'3.2 Digest'!AA77</f>
        <v>-0.25970031644468838</v>
      </c>
      <c r="AU77" s="94">
        <f>((Table3.110[[#This Row],[CH4 24h, ml]]/28.9)*16.04)/Table3.110[[#This Row],[DM Incubated, mg]]*1000</f>
        <v>9.6824413697384077</v>
      </c>
      <c r="AV77" s="94">
        <f>((Table3.110[[#This Row],[CH4 24h, ml]]/28.9)*16.04)/Table3.110[[#This Row],[Digested feed, mg]]*1000</f>
        <v>46.530205574182311</v>
      </c>
      <c r="AW77" s="303"/>
    </row>
    <row r="78" spans="1:49" s="304" customFormat="1" x14ac:dyDescent="0.35">
      <c r="A78" s="89"/>
      <c r="B78" s="90">
        <f t="shared" si="1"/>
        <v>68</v>
      </c>
      <c r="C78" s="140">
        <v>46041</v>
      </c>
      <c r="D78" s="6" t="s">
        <v>16</v>
      </c>
      <c r="E78" s="6" t="s">
        <v>72</v>
      </c>
      <c r="F78" s="133" t="s">
        <v>19</v>
      </c>
      <c r="G78" s="133" t="s">
        <v>73</v>
      </c>
      <c r="H78" s="133" t="s">
        <v>74</v>
      </c>
      <c r="I78" s="6" t="s">
        <v>22</v>
      </c>
      <c r="J78" s="129" t="s">
        <v>23</v>
      </c>
      <c r="K78" s="129" t="s">
        <v>24</v>
      </c>
      <c r="L78" s="6" t="s">
        <v>71</v>
      </c>
      <c r="M78" s="119">
        <v>27</v>
      </c>
      <c r="N78" s="93">
        <v>58</v>
      </c>
      <c r="O78" s="6">
        <v>1</v>
      </c>
      <c r="P78" s="129">
        <v>1</v>
      </c>
      <c r="Q78" s="6">
        <v>248</v>
      </c>
      <c r="R78" s="98">
        <v>0.50060000000000004</v>
      </c>
      <c r="S78" s="94">
        <f>((Table3.110[[#This Row],[Sample weight, g]]*'2.1. DM'!Q53)/100)*1000</f>
        <v>469.29371342681816</v>
      </c>
      <c r="T78" s="94">
        <f>'3.2 Digest'!W78</f>
        <v>67.493713426818204</v>
      </c>
      <c r="U78" s="117">
        <v>0.39305555555555555</v>
      </c>
      <c r="V78" s="155">
        <v>42.5</v>
      </c>
      <c r="W78" s="117">
        <v>0.72777777777777775</v>
      </c>
      <c r="X78" s="97">
        <v>75</v>
      </c>
      <c r="Y78" s="97">
        <v>14.9</v>
      </c>
      <c r="Z78" s="155">
        <v>41</v>
      </c>
      <c r="AA78" s="117">
        <v>0.39374999999999999</v>
      </c>
      <c r="AB78" s="155">
        <v>72.5</v>
      </c>
      <c r="AC78" s="155">
        <v>19.100000000000001</v>
      </c>
      <c r="AD78" s="96"/>
      <c r="AE78" s="94">
        <f>Table3.110[[#This Row],[Gas 8h, ml]]-Table3.110[[#This Row],[Gas 0h, ml]]</f>
        <v>32.5</v>
      </c>
      <c r="AF78" s="94">
        <f>Table3.110[[#This Row],[Gas 24h, ml]]-Table3.110[[#This Row],[V8 Push back, ml]]</f>
        <v>31.5</v>
      </c>
      <c r="AG78" s="94"/>
      <c r="AH78" s="94"/>
      <c r="AI78" s="94"/>
      <c r="AJ78" s="94"/>
      <c r="AK78" s="94"/>
      <c r="AL78" s="94"/>
      <c r="AM78" s="94"/>
      <c r="AN78" s="94"/>
      <c r="AO78" s="94"/>
      <c r="AP78" s="94"/>
      <c r="AQ78" s="94"/>
      <c r="AR78" s="94"/>
      <c r="AS78" s="94"/>
      <c r="AT78" s="94"/>
      <c r="AU78" s="94"/>
      <c r="AV78" s="94"/>
      <c r="AW78" s="303"/>
    </row>
    <row r="79" spans="1:49" s="304" customFormat="1" x14ac:dyDescent="0.35">
      <c r="A79" s="89"/>
      <c r="B79" s="90">
        <f t="shared" si="1"/>
        <v>69</v>
      </c>
      <c r="C79" s="140">
        <v>46041</v>
      </c>
      <c r="D79" s="6" t="s">
        <v>16</v>
      </c>
      <c r="E79" s="6" t="s">
        <v>72</v>
      </c>
      <c r="F79" s="133" t="s">
        <v>19</v>
      </c>
      <c r="G79" s="133" t="s">
        <v>73</v>
      </c>
      <c r="H79" s="133" t="s">
        <v>74</v>
      </c>
      <c r="I79" s="6" t="s">
        <v>22</v>
      </c>
      <c r="J79" s="129" t="s">
        <v>23</v>
      </c>
      <c r="K79" s="129" t="s">
        <v>24</v>
      </c>
      <c r="L79" s="6" t="s">
        <v>71</v>
      </c>
      <c r="M79" s="119">
        <v>27</v>
      </c>
      <c r="N79" s="93">
        <v>58</v>
      </c>
      <c r="O79" s="6">
        <v>1</v>
      </c>
      <c r="P79" s="129">
        <v>2</v>
      </c>
      <c r="Q79" s="6">
        <v>249</v>
      </c>
      <c r="R79" s="98">
        <v>0.50039999999999996</v>
      </c>
      <c r="S79" s="94">
        <f>((Table3.110[[#This Row],[Sample weight, g]]*'2.1. DM'!Q53)/100)*1000</f>
        <v>469.10622093244058</v>
      </c>
      <c r="T79" s="94">
        <f>'3.2 Digest'!W79</f>
        <v>203.80622093244062</v>
      </c>
      <c r="U79" s="153">
        <v>0.39374999999999999</v>
      </c>
      <c r="V79" s="155">
        <v>41.5</v>
      </c>
      <c r="W79" s="153">
        <v>0.72847222222222219</v>
      </c>
      <c r="X79" s="95">
        <v>70.5</v>
      </c>
      <c r="Y79" s="95">
        <v>15.3</v>
      </c>
      <c r="Z79" s="154">
        <v>41</v>
      </c>
      <c r="AA79" s="153">
        <v>0.39374999999999999</v>
      </c>
      <c r="AB79" s="154">
        <v>73.5</v>
      </c>
      <c r="AC79" s="154">
        <v>19.2</v>
      </c>
      <c r="AD79" s="91"/>
      <c r="AE79" s="94">
        <f>Table3.110[[#This Row],[Gas 8h, ml]]-Table3.110[[#This Row],[Gas 0h, ml]]</f>
        <v>29</v>
      </c>
      <c r="AF79" s="94">
        <f>Table3.110[[#This Row],[Gas 24h, ml]]-Table3.110[[#This Row],[V8 Push back, ml]]</f>
        <v>32.5</v>
      </c>
      <c r="AG79" s="94">
        <f>Table3.110[[#This Row],[GP 8h, ml]]-(AVERAGE(AE$11,AE$12,AE$62,AE$61,AE$114,AE$115))*$AG$8</f>
        <v>26.344979731721114</v>
      </c>
      <c r="AH79" s="94">
        <f>Table3.110[[#This Row],[GP 8-24h, ml]]-(AVERAGE(AF$11,AF$12,AF$62,AF$61,AF$114,AF$115))*$AG$8</f>
        <v>28.81247184961266</v>
      </c>
      <c r="AI79" s="94">
        <f>Table3.110[[#This Row],[Net gas 8-24h, ml]]+Table3.110[[#This Row],[Net gas 8h, ml]]</f>
        <v>55.157451581333774</v>
      </c>
      <c r="AJ79" s="94">
        <f>Table3.110[[#This Row],[Net gas 8h, ml]]*Table3.110[[#This Row],[CH4 8h %]]%</f>
        <v>4.0307818989533306</v>
      </c>
      <c r="AK79" s="94">
        <f>Table3.110[[#This Row],[Net gas 8-24h, ml]]*Table3.110[[#This Row],[CH4 24h, %]]%</f>
        <v>5.5319945951256306</v>
      </c>
      <c r="AL79" s="94">
        <f>Table3.110[[#This Row],[CH4 8-24h, ml]]+Table3.110[[#This Row],[CH4 8h, ml]]</f>
        <v>9.5627764940789604</v>
      </c>
      <c r="AM79" s="94">
        <f>(Table3.110[[#This Row],[Net gas 24h, ml]]/Table3.110[[#This Row],[DM Incubated, mg]])*1000</f>
        <v>117.57987662516503</v>
      </c>
      <c r="AN79" s="94">
        <f>'3.2 Digest'!X79</f>
        <v>43.445644469889103</v>
      </c>
      <c r="AO79" s="94">
        <f>Table3.110[[#This Row],[Digested feed, mg]]/Table3.110[[#This Row],[Net gas 24h, ml]]</f>
        <v>3.694989799010441</v>
      </c>
      <c r="AP79" s="94">
        <f>Table3.110[[#This Row],[CH4 8h, ml]]/Table3.110[[#This Row],[Net gas 8h, ml]]%</f>
        <v>15.3</v>
      </c>
      <c r="AQ79" s="94">
        <f>Table3.110[[#This Row],[CH4 24h, ml]]/Table3.110[[#This Row],[Net gas 24h, ml]]%</f>
        <v>17.337234081560013</v>
      </c>
      <c r="AR79" s="94">
        <f>Table3.110[[#This Row],[CH4 24h, ml]]/Table3.110[[#This Row],[DM Incubated, mg]]*1000</f>
        <v>20.385098443314323</v>
      </c>
      <c r="AS79" s="94">
        <f>Table3.110[[#This Row],[CH4 24h, ml]]/Table3.110[[#This Row],[Digested feed, mg]]*1000</f>
        <v>46.9209254277322</v>
      </c>
      <c r="AT79" s="94">
        <f>Table3.110[[#This Row],[CH4 24h, ml]]/'3.2 Digest'!AA79</f>
        <v>3.0883855653297059</v>
      </c>
      <c r="AU79" s="94">
        <f>((Table3.110[[#This Row],[CH4 24h, ml]]/28.9)*16.04)/Table3.110[[#This Row],[DM Incubated, mg]]*1000</f>
        <v>11.314082319403523</v>
      </c>
      <c r="AV79" s="94">
        <f>((Table3.110[[#This Row],[CH4 24h, ml]]/28.9)*16.04)/Table3.110[[#This Row],[Digested feed, mg]]*1000</f>
        <v>26.041925393108119</v>
      </c>
      <c r="AW79" s="303"/>
    </row>
    <row r="80" spans="1:49" s="304" customFormat="1" x14ac:dyDescent="0.35">
      <c r="A80" s="89"/>
      <c r="B80" s="90">
        <f t="shared" si="1"/>
        <v>70</v>
      </c>
      <c r="C80" s="140">
        <v>46041</v>
      </c>
      <c r="D80" s="6" t="s">
        <v>16</v>
      </c>
      <c r="E80" s="6" t="s">
        <v>72</v>
      </c>
      <c r="F80" s="133" t="s">
        <v>19</v>
      </c>
      <c r="G80" s="133" t="s">
        <v>73</v>
      </c>
      <c r="H80" s="133" t="s">
        <v>74</v>
      </c>
      <c r="I80" s="6" t="s">
        <v>22</v>
      </c>
      <c r="J80" s="129" t="s">
        <v>23</v>
      </c>
      <c r="K80" s="129" t="s">
        <v>24</v>
      </c>
      <c r="L80" s="6" t="s">
        <v>71</v>
      </c>
      <c r="M80" s="119">
        <v>27</v>
      </c>
      <c r="N80" s="93">
        <v>58</v>
      </c>
      <c r="O80" s="6">
        <v>1</v>
      </c>
      <c r="P80" s="129">
        <v>3</v>
      </c>
      <c r="Q80" s="6">
        <v>250</v>
      </c>
      <c r="R80" s="98">
        <v>0.50060000000000004</v>
      </c>
      <c r="S80" s="94">
        <f>((Table3.110[[#This Row],[Sample weight, g]]*'2.1. DM'!Q53)/100)*1000</f>
        <v>469.29371342681816</v>
      </c>
      <c r="T80" s="94">
        <f>'3.2 Digest'!W80</f>
        <v>115.99371342681809</v>
      </c>
      <c r="U80" s="117">
        <v>0.39374999999999999</v>
      </c>
      <c r="V80" s="155">
        <v>41.5</v>
      </c>
      <c r="W80" s="117">
        <v>0.72847222222222219</v>
      </c>
      <c r="X80" s="97">
        <v>72</v>
      </c>
      <c r="Y80" s="97">
        <v>16.600000000000001</v>
      </c>
      <c r="Z80" s="155">
        <v>42</v>
      </c>
      <c r="AA80" s="117">
        <v>0.39513888888888887</v>
      </c>
      <c r="AB80" s="155">
        <v>73.5</v>
      </c>
      <c r="AC80" s="155">
        <v>19.2</v>
      </c>
      <c r="AD80" s="96"/>
      <c r="AE80" s="94">
        <f>Table3.110[[#This Row],[Gas 8h, ml]]-Table3.110[[#This Row],[Gas 0h, ml]]</f>
        <v>30.5</v>
      </c>
      <c r="AF80" s="94">
        <f>Table3.110[[#This Row],[Gas 24h, ml]]-Table3.110[[#This Row],[V8 Push back, ml]]</f>
        <v>31.5</v>
      </c>
      <c r="AG80" s="94">
        <f>Table3.110[[#This Row],[GP 8h, ml]]-(AVERAGE(AE$11,AE$12,AE$62,AE$61,AE$114,AE$115))*$AG$8</f>
        <v>27.844979731721114</v>
      </c>
      <c r="AH80" s="94">
        <f>Table3.110[[#This Row],[GP 8-24h, ml]]-(AVERAGE(AF$11,AF$12,AF$62,AF$61,AF$114,AF$115))*$AG$8</f>
        <v>27.81247184961266</v>
      </c>
      <c r="AI80" s="94">
        <f>Table3.110[[#This Row],[Net gas 8-24h, ml]]+Table3.110[[#This Row],[Net gas 8h, ml]]</f>
        <v>55.657451581333774</v>
      </c>
      <c r="AJ80" s="94">
        <f>Table3.110[[#This Row],[Net gas 8h, ml]]*Table3.110[[#This Row],[CH4 8h %]]%</f>
        <v>4.6222666354657056</v>
      </c>
      <c r="AK80" s="94">
        <f>Table3.110[[#This Row],[Net gas 8-24h, ml]]*Table3.110[[#This Row],[CH4 24h, %]]%</f>
        <v>5.3399945951256305</v>
      </c>
      <c r="AL80" s="94">
        <f>Table3.110[[#This Row],[CH4 8-24h, ml]]+Table3.110[[#This Row],[CH4 8h, ml]]</f>
        <v>9.9622612305913361</v>
      </c>
      <c r="AM80" s="94">
        <f>(Table3.110[[#This Row],[Net gas 24h, ml]]/Table3.110[[#This Row],[DM Incubated, mg]])*1000</f>
        <v>118.59833189521943</v>
      </c>
      <c r="AN80" s="94">
        <f>'3.2 Digest'!X80</f>
        <v>24.716656138396406</v>
      </c>
      <c r="AO80" s="94">
        <f>Table3.110[[#This Row],[Digested feed, mg]]/Table3.110[[#This Row],[Net gas 24h, ml]]</f>
        <v>2.0840643998461421</v>
      </c>
      <c r="AP80" s="94">
        <f>Table3.110[[#This Row],[CH4 8h, ml]]/Table3.110[[#This Row],[Net gas 8h, ml]]%</f>
        <v>16.600000000000001</v>
      </c>
      <c r="AQ80" s="94">
        <f>Table3.110[[#This Row],[CH4 24h, ml]]/Table3.110[[#This Row],[Net gas 24h, ml]]%</f>
        <v>17.899240708197372</v>
      </c>
      <c r="AR80" s="94">
        <f>Table3.110[[#This Row],[CH4 24h, ml]]/Table3.110[[#This Row],[DM Incubated, mg]]*1000</f>
        <v>21.228200901832142</v>
      </c>
      <c r="AS80" s="94">
        <f>Table3.110[[#This Row],[CH4 24h, ml]]/Table3.110[[#This Row],[Digested feed, mg]]*1000</f>
        <v>85.88621690154487</v>
      </c>
      <c r="AT80" s="94">
        <f>Table3.110[[#This Row],[CH4 24h, ml]]/'3.2 Digest'!AA80</f>
        <v>-0.34358540436412427</v>
      </c>
      <c r="AU80" s="94">
        <f>((Table3.110[[#This Row],[CH4 24h, ml]]/28.9)*16.04)/Table3.110[[#This Row],[DM Incubated, mg]]*1000</f>
        <v>11.782018770428635</v>
      </c>
      <c r="AV80" s="94">
        <f>((Table3.110[[#This Row],[CH4 24h, ml]]/28.9)*16.04)/Table3.110[[#This Row],[Digested feed, mg]]*1000</f>
        <v>47.66833630106504</v>
      </c>
      <c r="AW80" s="303"/>
    </row>
    <row r="81" spans="1:49" s="304" customFormat="1" x14ac:dyDescent="0.35">
      <c r="A81" s="89"/>
      <c r="B81" s="90">
        <f t="shared" si="1"/>
        <v>71</v>
      </c>
      <c r="C81" s="140">
        <v>46041</v>
      </c>
      <c r="D81" s="6" t="s">
        <v>16</v>
      </c>
      <c r="E81" s="6" t="s">
        <v>76</v>
      </c>
      <c r="F81" s="133" t="s">
        <v>19</v>
      </c>
      <c r="G81" s="133" t="s">
        <v>20</v>
      </c>
      <c r="H81" s="133" t="s">
        <v>21</v>
      </c>
      <c r="I81" s="6" t="s">
        <v>22</v>
      </c>
      <c r="J81" s="129" t="s">
        <v>23</v>
      </c>
      <c r="K81" s="129" t="s">
        <v>24</v>
      </c>
      <c r="L81" s="6" t="s">
        <v>75</v>
      </c>
      <c r="M81" s="119">
        <v>27</v>
      </c>
      <c r="N81" s="93">
        <v>58</v>
      </c>
      <c r="O81" s="6">
        <v>1</v>
      </c>
      <c r="P81" s="129">
        <v>1</v>
      </c>
      <c r="Q81" s="6">
        <v>251</v>
      </c>
      <c r="R81" s="98">
        <v>0.50049999999999994</v>
      </c>
      <c r="S81" s="94">
        <f>((Table3.110[[#This Row],[Sample weight, g]]*'2.1. DM'!Q55)/100)*1000</f>
        <v>467.52200346396097</v>
      </c>
      <c r="T81" s="94">
        <f>'3.2 Digest'!W81</f>
        <v>36.122003463960993</v>
      </c>
      <c r="U81" s="153">
        <v>0.39374999999999999</v>
      </c>
      <c r="V81" s="155">
        <v>42</v>
      </c>
      <c r="W81" s="153">
        <v>0.72916666666666663</v>
      </c>
      <c r="X81" s="95">
        <v>66</v>
      </c>
      <c r="Y81" s="95">
        <v>15.4</v>
      </c>
      <c r="Z81" s="154">
        <v>40.5</v>
      </c>
      <c r="AA81" s="153">
        <v>0.39513888888888887</v>
      </c>
      <c r="AB81" s="154">
        <v>64.5</v>
      </c>
      <c r="AC81" s="154">
        <v>17.5</v>
      </c>
      <c r="AD81" s="91"/>
      <c r="AE81" s="94"/>
      <c r="AF81" s="94"/>
      <c r="AG81" s="94"/>
      <c r="AH81" s="94"/>
      <c r="AI81" s="94"/>
      <c r="AJ81" s="94"/>
      <c r="AK81" s="94"/>
      <c r="AL81" s="94"/>
      <c r="AM81" s="94"/>
      <c r="AN81" s="94"/>
      <c r="AO81" s="94"/>
      <c r="AP81" s="94"/>
      <c r="AQ81" s="94"/>
      <c r="AR81" s="94"/>
      <c r="AS81" s="94"/>
      <c r="AT81" s="94"/>
      <c r="AU81" s="94"/>
      <c r="AV81" s="94"/>
      <c r="AW81" s="303" t="s">
        <v>609</v>
      </c>
    </row>
    <row r="82" spans="1:49" s="304" customFormat="1" x14ac:dyDescent="0.35">
      <c r="A82" s="89"/>
      <c r="B82" s="90">
        <f t="shared" si="1"/>
        <v>72</v>
      </c>
      <c r="C82" s="140">
        <v>46041</v>
      </c>
      <c r="D82" s="6" t="s">
        <v>16</v>
      </c>
      <c r="E82" s="6" t="s">
        <v>76</v>
      </c>
      <c r="F82" s="133" t="s">
        <v>19</v>
      </c>
      <c r="G82" s="133" t="s">
        <v>20</v>
      </c>
      <c r="H82" s="133" t="s">
        <v>21</v>
      </c>
      <c r="I82" s="6" t="s">
        <v>22</v>
      </c>
      <c r="J82" s="129" t="s">
        <v>23</v>
      </c>
      <c r="K82" s="129" t="s">
        <v>24</v>
      </c>
      <c r="L82" s="6" t="s">
        <v>75</v>
      </c>
      <c r="M82" s="119">
        <v>27</v>
      </c>
      <c r="N82" s="93">
        <v>58</v>
      </c>
      <c r="O82" s="6">
        <v>1</v>
      </c>
      <c r="P82" s="129">
        <v>2</v>
      </c>
      <c r="Q82" s="6">
        <v>252</v>
      </c>
      <c r="R82" s="98">
        <v>0.50019999999999998</v>
      </c>
      <c r="S82" s="94">
        <f>((Table3.110[[#This Row],[Sample weight, g]]*'2.1. DM'!Q55)/100)*1000</f>
        <v>467.24177049485172</v>
      </c>
      <c r="T82" s="94">
        <f>'3.2 Digest'!W82</f>
        <v>88.341770494851687</v>
      </c>
      <c r="U82" s="117">
        <v>0.39444444444444443</v>
      </c>
      <c r="V82" s="155">
        <v>42</v>
      </c>
      <c r="W82" s="117">
        <v>0.72986111111111107</v>
      </c>
      <c r="X82" s="97">
        <v>67.5</v>
      </c>
      <c r="Y82" s="97">
        <v>14.8</v>
      </c>
      <c r="Z82" s="155">
        <v>41</v>
      </c>
      <c r="AA82" s="117">
        <v>0.39513888888888887</v>
      </c>
      <c r="AB82" s="155">
        <v>63.5</v>
      </c>
      <c r="AC82" s="155">
        <v>17.399999999999999</v>
      </c>
      <c r="AD82" s="96"/>
      <c r="AE82" s="94">
        <f>Table3.110[[#This Row],[Gas 8h, ml]]-Table3.110[[#This Row],[Gas 0h, ml]]</f>
        <v>25.5</v>
      </c>
      <c r="AF82" s="94">
        <f>Table3.110[[#This Row],[Gas 24h, ml]]-Table3.110[[#This Row],[V8 Push back, ml]]</f>
        <v>22.5</v>
      </c>
      <c r="AG82" s="94">
        <f>Table3.110[[#This Row],[GP 8h, ml]]-(AVERAGE(AE$11,AE$12,AE$62,AE$61,AE$114,AE$115))*$AG$8</f>
        <v>22.844979731721114</v>
      </c>
      <c r="AH82" s="94">
        <f>Table3.110[[#This Row],[GP 8-24h, ml]]-(AVERAGE(AF$11,AF$12,AF$62,AF$61,AF$114,AF$115))*$AG$8</f>
        <v>18.81247184961266</v>
      </c>
      <c r="AI82" s="94">
        <f>Table3.110[[#This Row],[Net gas 8-24h, ml]]+Table3.110[[#This Row],[Net gas 8h, ml]]</f>
        <v>41.657451581333774</v>
      </c>
      <c r="AJ82" s="94">
        <f>Table3.110[[#This Row],[Net gas 8h, ml]]*Table3.110[[#This Row],[CH4 8h %]]%</f>
        <v>3.3810570002947253</v>
      </c>
      <c r="AK82" s="94">
        <f>Table3.110[[#This Row],[Net gas 8-24h, ml]]*Table3.110[[#This Row],[CH4 24h, %]]%</f>
        <v>3.2733701018326027</v>
      </c>
      <c r="AL82" s="94">
        <f>Table3.110[[#This Row],[CH4 8-24h, ml]]+Table3.110[[#This Row],[CH4 8h, ml]]</f>
        <v>6.654427102127328</v>
      </c>
      <c r="AM82" s="94">
        <f>(Table3.110[[#This Row],[Net gas 24h, ml]]/Table3.110[[#This Row],[DM Incubated, mg]])*1000</f>
        <v>89.156094792669606</v>
      </c>
      <c r="AN82" s="94">
        <f>'3.2 Digest'!X82</f>
        <v>18.907078962843944</v>
      </c>
      <c r="AO82" s="94">
        <f>Table3.110[[#This Row],[Digested feed, mg]]/Table3.110[[#This Row],[Net gas 24h, ml]]</f>
        <v>2.1206715039293624</v>
      </c>
      <c r="AP82" s="94">
        <f>Table3.110[[#This Row],[CH4 8h, ml]]/Table3.110[[#This Row],[Net gas 8h, ml]]%</f>
        <v>14.8</v>
      </c>
      <c r="AQ82" s="94">
        <f>Table3.110[[#This Row],[CH4 24h, ml]]/Table3.110[[#This Row],[Net gas 24h, ml]]%</f>
        <v>15.974157922586652</v>
      </c>
      <c r="AR82" s="94">
        <f>Table3.110[[#This Row],[CH4 24h, ml]]/Table3.110[[#This Row],[DM Incubated, mg]]*1000</f>
        <v>14.241935379792098</v>
      </c>
      <c r="AS82" s="94">
        <f>Table3.110[[#This Row],[CH4 24h, ml]]/Table3.110[[#This Row],[Digested feed, mg]]*1000</f>
        <v>75.325942245125489</v>
      </c>
      <c r="AT82" s="94">
        <f>Table3.110[[#This Row],[CH4 24h, ml]]/'3.2 Digest'!AA82</f>
        <v>-0.23703765385360803</v>
      </c>
      <c r="AU82" s="94">
        <f>((Table3.110[[#This Row],[CH4 24h, ml]]/28.9)*16.04)/Table3.110[[#This Row],[DM Incubated, mg]]*1000</f>
        <v>7.9045205360507005</v>
      </c>
      <c r="AV82" s="94">
        <f>((Table3.110[[#This Row],[CH4 24h, ml]]/28.9)*16.04)/Table3.110[[#This Row],[Digested feed, mg]]*1000</f>
        <v>41.807201163038499</v>
      </c>
      <c r="AW82" s="303"/>
    </row>
    <row r="83" spans="1:49" s="304" customFormat="1" x14ac:dyDescent="0.35">
      <c r="A83" s="89"/>
      <c r="B83" s="90">
        <f t="shared" si="1"/>
        <v>73</v>
      </c>
      <c r="C83" s="140">
        <v>46041</v>
      </c>
      <c r="D83" s="6" t="s">
        <v>16</v>
      </c>
      <c r="E83" s="6" t="s">
        <v>76</v>
      </c>
      <c r="F83" s="133" t="s">
        <v>19</v>
      </c>
      <c r="G83" s="133" t="s">
        <v>20</v>
      </c>
      <c r="H83" s="133" t="s">
        <v>21</v>
      </c>
      <c r="I83" s="6" t="s">
        <v>22</v>
      </c>
      <c r="J83" s="129" t="s">
        <v>23</v>
      </c>
      <c r="K83" s="129" t="s">
        <v>24</v>
      </c>
      <c r="L83" s="6" t="s">
        <v>75</v>
      </c>
      <c r="M83" s="119">
        <v>27</v>
      </c>
      <c r="N83" s="93">
        <v>58</v>
      </c>
      <c r="O83" s="6">
        <v>1</v>
      </c>
      <c r="P83" s="129">
        <v>3</v>
      </c>
      <c r="Q83" s="6">
        <v>253</v>
      </c>
      <c r="R83" s="98">
        <v>0.50019999999999998</v>
      </c>
      <c r="S83" s="94">
        <f>((Table3.110[[#This Row],[Sample weight, g]]*'2.1. DM'!Q55)/100)*1000</f>
        <v>467.24177049485172</v>
      </c>
      <c r="T83" s="94">
        <f>'3.2 Digest'!W83</f>
        <v>0</v>
      </c>
      <c r="U83" s="153">
        <v>0.39444444444444443</v>
      </c>
      <c r="V83" s="155">
        <v>41.5</v>
      </c>
      <c r="W83" s="153">
        <v>0.72986111111111107</v>
      </c>
      <c r="X83" s="95">
        <v>65</v>
      </c>
      <c r="Y83" s="95">
        <v>15.7</v>
      </c>
      <c r="Z83" s="154">
        <v>42.5</v>
      </c>
      <c r="AA83" s="153">
        <v>0.39583333333333331</v>
      </c>
      <c r="AB83" s="154">
        <v>67</v>
      </c>
      <c r="AC83" s="154">
        <v>8.3000000000000007</v>
      </c>
      <c r="AD83" s="91"/>
      <c r="AE83" s="94">
        <f>Table3.110[[#This Row],[Gas 8h, ml]]-Table3.110[[#This Row],[Gas 0h, ml]]</f>
        <v>23.5</v>
      </c>
      <c r="AF83" s="94">
        <f>Table3.110[[#This Row],[Gas 24h, ml]]-Table3.110[[#This Row],[V8 Push back, ml]]</f>
        <v>24.5</v>
      </c>
      <c r="AG83" s="94"/>
      <c r="AH83" s="94"/>
      <c r="AI83" s="94"/>
      <c r="AJ83" s="94"/>
      <c r="AK83" s="94"/>
      <c r="AL83" s="94"/>
      <c r="AM83" s="94"/>
      <c r="AN83" s="94"/>
      <c r="AO83" s="94"/>
      <c r="AP83" s="94"/>
      <c r="AQ83" s="94"/>
      <c r="AR83" s="94"/>
      <c r="AS83" s="94"/>
      <c r="AT83" s="94"/>
      <c r="AU83" s="94"/>
      <c r="AV83" s="94"/>
      <c r="AW83" s="303" t="s">
        <v>610</v>
      </c>
    </row>
    <row r="84" spans="1:49" s="304" customFormat="1" x14ac:dyDescent="0.35">
      <c r="A84" s="89"/>
      <c r="B84" s="90">
        <f t="shared" si="1"/>
        <v>74</v>
      </c>
      <c r="C84" s="140">
        <v>46041</v>
      </c>
      <c r="D84" s="6" t="s">
        <v>16</v>
      </c>
      <c r="E84" s="6" t="s">
        <v>78</v>
      </c>
      <c r="F84" s="133" t="s">
        <v>79</v>
      </c>
      <c r="G84" s="133" t="s">
        <v>80</v>
      </c>
      <c r="H84" s="133" t="s">
        <v>81</v>
      </c>
      <c r="I84" s="6" t="s">
        <v>22</v>
      </c>
      <c r="J84" s="129" t="s">
        <v>23</v>
      </c>
      <c r="K84" s="129" t="s">
        <v>24</v>
      </c>
      <c r="L84" s="6" t="s">
        <v>77</v>
      </c>
      <c r="M84" s="119">
        <v>27</v>
      </c>
      <c r="N84" s="93">
        <v>58</v>
      </c>
      <c r="O84" s="6">
        <v>1</v>
      </c>
      <c r="P84" s="129">
        <v>1</v>
      </c>
      <c r="Q84" s="6">
        <v>254</v>
      </c>
      <c r="R84" s="98">
        <v>0.50029999999999997</v>
      </c>
      <c r="S84" s="94">
        <f>((Table3.110[[#This Row],[Sample weight, g]]*'2.1. DM'!Q57)/100)*1000</f>
        <v>473.41696714935352</v>
      </c>
      <c r="T84" s="94">
        <f>'3.2 Digest'!W84</f>
        <v>185.21696714935354</v>
      </c>
      <c r="U84" s="117">
        <v>0.39513888888888887</v>
      </c>
      <c r="V84" s="155">
        <v>40.5</v>
      </c>
      <c r="W84" s="117">
        <v>0.73055555555555551</v>
      </c>
      <c r="X84" s="97">
        <v>65.5</v>
      </c>
      <c r="Y84" s="97">
        <v>12.9</v>
      </c>
      <c r="Z84" s="155">
        <v>40</v>
      </c>
      <c r="AA84" s="117">
        <v>0.39652777777777776</v>
      </c>
      <c r="AB84" s="155">
        <v>62.5</v>
      </c>
      <c r="AC84" s="155">
        <v>16.7</v>
      </c>
      <c r="AD84" s="96"/>
      <c r="AE84" s="94">
        <f>Table3.110[[#This Row],[Gas 8h, ml]]-Table3.110[[#This Row],[Gas 0h, ml]]</f>
        <v>25</v>
      </c>
      <c r="AF84" s="94">
        <f>Table3.110[[#This Row],[Gas 24h, ml]]-Table3.110[[#This Row],[V8 Push back, ml]]</f>
        <v>22.5</v>
      </c>
      <c r="AG84" s="94">
        <f>Table3.110[[#This Row],[GP 8h, ml]]-(AVERAGE(AE$11,AE$12,AE$62,AE$61,AE$114,AE$115))*$AG$8</f>
        <v>22.344979731721114</v>
      </c>
      <c r="AH84" s="94">
        <f>Table3.110[[#This Row],[GP 8-24h, ml]]-(AVERAGE(AF$11,AF$12,AF$62,AF$61,AF$114,AF$115))*$AG$8</f>
        <v>18.81247184961266</v>
      </c>
      <c r="AI84" s="94">
        <f>Table3.110[[#This Row],[Net gas 8-24h, ml]]+Table3.110[[#This Row],[Net gas 8h, ml]]</f>
        <v>41.157451581333774</v>
      </c>
      <c r="AJ84" s="94">
        <f>Table3.110[[#This Row],[Net gas 8h, ml]]*Table3.110[[#This Row],[CH4 8h %]]%</f>
        <v>2.8825023853920237</v>
      </c>
      <c r="AK84" s="94">
        <f>Table3.110[[#This Row],[Net gas 8-24h, ml]]*Table3.110[[#This Row],[CH4 24h, %]]%</f>
        <v>3.1416827988853138</v>
      </c>
      <c r="AL84" s="94">
        <f>Table3.110[[#This Row],[CH4 8-24h, ml]]+Table3.110[[#This Row],[CH4 8h, ml]]</f>
        <v>6.0241851842773375</v>
      </c>
      <c r="AM84" s="94">
        <f>(Table3.110[[#This Row],[Net gas 24h, ml]]/Table3.110[[#This Row],[DM Incubated, mg]])*1000</f>
        <v>86.937001496081635</v>
      </c>
      <c r="AN84" s="94">
        <f>'3.2 Digest'!X84</f>
        <v>39.123432407719619</v>
      </c>
      <c r="AO84" s="94">
        <f>Table3.110[[#This Row],[Digested feed, mg]]/Table3.110[[#This Row],[Net gas 24h, ml]]</f>
        <v>4.500204945472265</v>
      </c>
      <c r="AP84" s="94">
        <f>Table3.110[[#This Row],[CH4 8h, ml]]/Table3.110[[#This Row],[Net gas 8h, ml]]%</f>
        <v>12.9</v>
      </c>
      <c r="AQ84" s="94">
        <f>Table3.110[[#This Row],[CH4 24h, ml]]/Table3.110[[#This Row],[Net gas 24h, ml]]%</f>
        <v>14.636924670548598</v>
      </c>
      <c r="AR84" s="94">
        <f>Table3.110[[#This Row],[CH4 24h, ml]]/Table3.110[[#This Row],[DM Incubated, mg]]*1000</f>
        <v>12.724903419815176</v>
      </c>
      <c r="AS84" s="94">
        <f>Table3.110[[#This Row],[CH4 24h, ml]]/Table3.110[[#This Row],[Digested feed, mg]]*1000</f>
        <v>32.525017966737416</v>
      </c>
      <c r="AT84" s="94">
        <f>Table3.110[[#This Row],[CH4 24h, ml]]/'3.2 Digest'!AA84</f>
        <v>-0.19177114920053953</v>
      </c>
      <c r="AU84" s="94">
        <f>((Table3.110[[#This Row],[CH4 24h, ml]]/28.9)*16.04)/Table3.110[[#This Row],[DM Incubated, mg]]*1000</f>
        <v>7.0625415520358272</v>
      </c>
      <c r="AV84" s="94">
        <f>((Table3.110[[#This Row],[CH4 24h, ml]]/28.9)*16.04)/Table3.110[[#This Row],[Digested feed, mg]]*1000</f>
        <v>18.051947688113081</v>
      </c>
      <c r="AW84" s="303"/>
    </row>
    <row r="85" spans="1:49" s="304" customFormat="1" x14ac:dyDescent="0.35">
      <c r="A85" s="89"/>
      <c r="B85" s="90">
        <f t="shared" si="1"/>
        <v>75</v>
      </c>
      <c r="C85" s="140">
        <v>46041</v>
      </c>
      <c r="D85" s="6" t="s">
        <v>16</v>
      </c>
      <c r="E85" s="6" t="s">
        <v>78</v>
      </c>
      <c r="F85" s="133" t="s">
        <v>79</v>
      </c>
      <c r="G85" s="133" t="s">
        <v>80</v>
      </c>
      <c r="H85" s="133" t="s">
        <v>81</v>
      </c>
      <c r="I85" s="6" t="s">
        <v>22</v>
      </c>
      <c r="J85" s="129" t="s">
        <v>23</v>
      </c>
      <c r="K85" s="129" t="s">
        <v>24</v>
      </c>
      <c r="L85" s="6" t="s">
        <v>77</v>
      </c>
      <c r="M85" s="119">
        <v>27</v>
      </c>
      <c r="N85" s="93">
        <v>58</v>
      </c>
      <c r="O85" s="6">
        <v>1</v>
      </c>
      <c r="P85" s="129">
        <v>2</v>
      </c>
      <c r="Q85" s="6">
        <v>255</v>
      </c>
      <c r="R85" s="98">
        <v>0.50060000000000004</v>
      </c>
      <c r="S85" s="94">
        <f>((Table3.110[[#This Row],[Sample weight, g]]*'2.1. DM'!Q57)/100)*1000</f>
        <v>473.7008470017318</v>
      </c>
      <c r="T85" s="94">
        <f>'3.2 Digest'!W85</f>
        <v>217.90084700173188</v>
      </c>
      <c r="U85" s="153">
        <v>0.39513888888888887</v>
      </c>
      <c r="V85" s="155">
        <v>41</v>
      </c>
      <c r="W85" s="153">
        <v>0.73055555555555551</v>
      </c>
      <c r="X85" s="95">
        <v>65</v>
      </c>
      <c r="Y85" s="95">
        <v>11.8</v>
      </c>
      <c r="Z85" s="154">
        <v>40</v>
      </c>
      <c r="AA85" s="153">
        <v>0.40069444444444446</v>
      </c>
      <c r="AB85" s="154">
        <v>57.5</v>
      </c>
      <c r="AC85" s="154">
        <v>5.4</v>
      </c>
      <c r="AD85" s="91"/>
      <c r="AE85" s="94">
        <f>Table3.110[[#This Row],[Gas 8h, ml]]-Table3.110[[#This Row],[Gas 0h, ml]]</f>
        <v>24</v>
      </c>
      <c r="AF85" s="94">
        <f>Table3.110[[#This Row],[Gas 24h, ml]]-Table3.110[[#This Row],[V8 Push back, ml]]</f>
        <v>17.5</v>
      </c>
      <c r="AG85" s="94">
        <f>Table3.110[[#This Row],[GP 8h, ml]]-(AVERAGE(AE$11,AE$12,AE$62,AE$61,AE$114,AE$115))*$AG$8</f>
        <v>21.344979731721114</v>
      </c>
      <c r="AH85" s="94">
        <f>Table3.110[[#This Row],[GP 8-24h, ml]]-(AVERAGE(AF$11,AF$12,AF$62,AF$61,AF$114,AF$115))*$AG$8</f>
        <v>13.81247184961266</v>
      </c>
      <c r="AI85" s="94">
        <f>Table3.110[[#This Row],[Net gas 8-24h, ml]]+Table3.110[[#This Row],[Net gas 8h, ml]]</f>
        <v>35.157451581333774</v>
      </c>
      <c r="AJ85" s="94">
        <f>Table3.110[[#This Row],[Net gas 8h, ml]]*Table3.110[[#This Row],[CH4 8h %]]%</f>
        <v>2.5187076083430915</v>
      </c>
      <c r="AK85" s="94">
        <f>Table3.110[[#This Row],[Net gas 8-24h, ml]]*Table3.110[[#This Row],[CH4 24h, %]]%</f>
        <v>0.7458734798790837</v>
      </c>
      <c r="AL85" s="94">
        <f>Table3.110[[#This Row],[CH4 8-24h, ml]]+Table3.110[[#This Row],[CH4 8h, ml]]</f>
        <v>3.2645810882221751</v>
      </c>
      <c r="AM85" s="94">
        <f>(Table3.110[[#This Row],[Net gas 24h, ml]]/Table3.110[[#This Row],[DM Incubated, mg]])*1000</f>
        <v>74.21868000418678</v>
      </c>
      <c r="AN85" s="94">
        <f>'3.2 Digest'!X85</f>
        <v>45.999674347412608</v>
      </c>
      <c r="AO85" s="94">
        <f>Table3.110[[#This Row],[Digested feed, mg]]/Table3.110[[#This Row],[Net gas 24h, ml]]</f>
        <v>6.197856704648709</v>
      </c>
      <c r="AP85" s="94">
        <f>Table3.110[[#This Row],[CH4 8h, ml]]/Table3.110[[#This Row],[Net gas 8h, ml]]%</f>
        <v>11.8</v>
      </c>
      <c r="AQ85" s="94">
        <f>Table3.110[[#This Row],[CH4 24h, ml]]/Table3.110[[#This Row],[Net gas 24h, ml]]%</f>
        <v>9.2856021736098935</v>
      </c>
      <c r="AR85" s="94">
        <f>Table3.110[[#This Row],[CH4 24h, ml]]/Table3.110[[#This Row],[DM Incubated, mg]]*1000</f>
        <v>6.8916513636933399</v>
      </c>
      <c r="AS85" s="94">
        <f>Table3.110[[#This Row],[CH4 24h, ml]]/Table3.110[[#This Row],[Digested feed, mg]]*1000</f>
        <v>14.98195685396408</v>
      </c>
      <c r="AT85" s="94">
        <f>Table3.110[[#This Row],[CH4 24h, ml]]/'3.2 Digest'!AA85</f>
        <v>-0.19702043920757356</v>
      </c>
      <c r="AU85" s="94">
        <f>((Table3.110[[#This Row],[CH4 24h, ml]]/28.9)*16.04)/Table3.110[[#This Row],[DM Incubated, mg]]*1000</f>
        <v>3.8249857395723588</v>
      </c>
      <c r="AV85" s="94">
        <f>((Table3.110[[#This Row],[CH4 24h, ml]]/28.9)*16.04)/Table3.110[[#This Row],[Digested feed, mg]]*1000</f>
        <v>8.3152452573558424</v>
      </c>
      <c r="AW85" s="303"/>
    </row>
    <row r="86" spans="1:49" s="304" customFormat="1" x14ac:dyDescent="0.35">
      <c r="A86" s="89"/>
      <c r="B86" s="90">
        <f t="shared" si="1"/>
        <v>76</v>
      </c>
      <c r="C86" s="140">
        <v>46041</v>
      </c>
      <c r="D86" s="6" t="s">
        <v>16</v>
      </c>
      <c r="E86" s="6" t="s">
        <v>78</v>
      </c>
      <c r="F86" s="133" t="s">
        <v>79</v>
      </c>
      <c r="G86" s="133" t="s">
        <v>80</v>
      </c>
      <c r="H86" s="133" t="s">
        <v>81</v>
      </c>
      <c r="I86" s="6" t="s">
        <v>22</v>
      </c>
      <c r="J86" s="129" t="s">
        <v>23</v>
      </c>
      <c r="K86" s="129" t="s">
        <v>24</v>
      </c>
      <c r="L86" s="6" t="s">
        <v>77</v>
      </c>
      <c r="M86" s="119">
        <v>27</v>
      </c>
      <c r="N86" s="93">
        <v>58</v>
      </c>
      <c r="O86" s="6">
        <v>1</v>
      </c>
      <c r="P86" s="129">
        <v>3</v>
      </c>
      <c r="Q86" s="6">
        <v>256</v>
      </c>
      <c r="R86" s="98">
        <v>0.50029999999999997</v>
      </c>
      <c r="S86" s="94">
        <f>((Table3.110[[#This Row],[Sample weight, g]]*'2.1. DM'!Q57)/100)*1000</f>
        <v>473.41696714935352</v>
      </c>
      <c r="T86" s="94">
        <f>'3.2 Digest'!W86</f>
        <v>248.11696714935346</v>
      </c>
      <c r="U86" s="117">
        <v>0.39513888888888887</v>
      </c>
      <c r="V86" s="155">
        <v>42</v>
      </c>
      <c r="W86" s="117">
        <v>0.73124999999999996</v>
      </c>
      <c r="X86" s="97">
        <v>66</v>
      </c>
      <c r="Y86" s="97">
        <v>12.6</v>
      </c>
      <c r="Z86" s="155">
        <v>41</v>
      </c>
      <c r="AA86" s="117">
        <v>0.40138888888888891</v>
      </c>
      <c r="AB86" s="155">
        <v>58.5</v>
      </c>
      <c r="AC86" s="155">
        <v>6.1</v>
      </c>
      <c r="AD86" s="96"/>
      <c r="AE86" s="94">
        <f>Table3.110[[#This Row],[Gas 8h, ml]]-Table3.110[[#This Row],[Gas 0h, ml]]</f>
        <v>24</v>
      </c>
      <c r="AF86" s="94">
        <f>Table3.110[[#This Row],[Gas 24h, ml]]-Table3.110[[#This Row],[V8 Push back, ml]]</f>
        <v>17.5</v>
      </c>
      <c r="AG86" s="94">
        <f>Table3.110[[#This Row],[GP 8h, ml]]-(AVERAGE(AE$11,AE$12,AE$62,AE$61,AE$114,AE$115))*$AG$8</f>
        <v>21.344979731721114</v>
      </c>
      <c r="AH86" s="94">
        <f>Table3.110[[#This Row],[GP 8-24h, ml]]-(AVERAGE(AF$11,AF$12,AF$62,AF$61,AF$114,AF$115))*$AG$8</f>
        <v>13.81247184961266</v>
      </c>
      <c r="AI86" s="94">
        <f>Table3.110[[#This Row],[Net gas 8-24h, ml]]+Table3.110[[#This Row],[Net gas 8h, ml]]</f>
        <v>35.157451581333774</v>
      </c>
      <c r="AJ86" s="94">
        <f>Table3.110[[#This Row],[Net gas 8h, ml]]*Table3.110[[#This Row],[CH4 8h %]]%</f>
        <v>2.6894674461968604</v>
      </c>
      <c r="AK86" s="94">
        <f>Table3.110[[#This Row],[Net gas 8-24h, ml]]*Table3.110[[#This Row],[CH4 24h, %]]%</f>
        <v>0.84256078282637226</v>
      </c>
      <c r="AL86" s="94">
        <f>Table3.110[[#This Row],[CH4 8-24h, ml]]+Table3.110[[#This Row],[CH4 8h, ml]]</f>
        <v>3.5320282290232328</v>
      </c>
      <c r="AM86" s="94">
        <f>(Table3.110[[#This Row],[Net gas 24h, ml]]/Table3.110[[#This Row],[DM Incubated, mg]])*1000</f>
        <v>74.263184509486123</v>
      </c>
      <c r="AN86" s="94">
        <f>'3.2 Digest'!X86</f>
        <v>52.409817215333888</v>
      </c>
      <c r="AO86" s="94">
        <f>Table3.110[[#This Row],[Digested feed, mg]]/Table3.110[[#This Row],[Net gas 24h, ml]]</f>
        <v>7.057308080915818</v>
      </c>
      <c r="AP86" s="94">
        <f>Table3.110[[#This Row],[CH4 8h, ml]]/Table3.110[[#This Row],[Net gas 8h, ml]]%</f>
        <v>12.6</v>
      </c>
      <c r="AQ86" s="94">
        <f>Table3.110[[#This Row],[CH4 24h, ml]]/Table3.110[[#This Row],[Net gas 24h, ml]]%</f>
        <v>10.046314707572549</v>
      </c>
      <c r="AR86" s="94">
        <f>Table3.110[[#This Row],[CH4 24h, ml]]/Table3.110[[#This Row],[DM Incubated, mg]]*1000</f>
        <v>7.4607132276882444</v>
      </c>
      <c r="AS86" s="94">
        <f>Table3.110[[#This Row],[CH4 24h, ml]]/Table3.110[[#This Row],[Digested feed, mg]]*1000</f>
        <v>14.235335332376268</v>
      </c>
      <c r="AT86" s="94">
        <f>Table3.110[[#This Row],[CH4 24h, ml]]/'3.2 Digest'!AA86</f>
        <v>-1.2927076703147125</v>
      </c>
      <c r="AU86" s="94">
        <f>((Table3.110[[#This Row],[CH4 24h, ml]]/28.9)*16.04)/Table3.110[[#This Row],[DM Incubated, mg]]*1000</f>
        <v>4.1408249194505</v>
      </c>
      <c r="AV86" s="94">
        <f>((Table3.110[[#This Row],[CH4 24h, ml]]/28.9)*16.04)/Table3.110[[#This Row],[Digested feed, mg]]*1000</f>
        <v>7.9008573955472432</v>
      </c>
      <c r="AW86" s="303"/>
    </row>
    <row r="87" spans="1:49" s="304" customFormat="1" x14ac:dyDescent="0.35">
      <c r="A87" s="89"/>
      <c r="B87" s="90">
        <f t="shared" si="1"/>
        <v>77</v>
      </c>
      <c r="C87" s="140">
        <v>46041</v>
      </c>
      <c r="D87" s="6" t="s">
        <v>16</v>
      </c>
      <c r="E87" s="6" t="s">
        <v>83</v>
      </c>
      <c r="F87" s="133" t="s">
        <v>84</v>
      </c>
      <c r="G87" s="133" t="s">
        <v>67</v>
      </c>
      <c r="H87" s="133" t="s">
        <v>85</v>
      </c>
      <c r="I87" s="6" t="s">
        <v>22</v>
      </c>
      <c r="J87" s="129" t="s">
        <v>23</v>
      </c>
      <c r="K87" s="129" t="s">
        <v>24</v>
      </c>
      <c r="L87" s="6" t="s">
        <v>82</v>
      </c>
      <c r="M87" s="119">
        <v>27</v>
      </c>
      <c r="N87" s="93">
        <v>58</v>
      </c>
      <c r="O87" s="6">
        <v>1</v>
      </c>
      <c r="P87" s="129">
        <v>1</v>
      </c>
      <c r="Q87" s="6">
        <v>257</v>
      </c>
      <c r="R87" s="98">
        <v>0.50049999999999994</v>
      </c>
      <c r="S87" s="94">
        <f>((Table3.110[[#This Row],[Sample weight, g]]*'2.1. DM'!Q59)/100)*1000</f>
        <v>467.55524506815914</v>
      </c>
      <c r="T87" s="94">
        <f>'3.2 Digest'!W87</f>
        <v>178.85524506815921</v>
      </c>
      <c r="U87" s="153">
        <v>0.39513888888888887</v>
      </c>
      <c r="V87" s="155">
        <v>41.5</v>
      </c>
      <c r="W87" s="153">
        <v>0.73124999999999996</v>
      </c>
      <c r="X87" s="95">
        <v>79</v>
      </c>
      <c r="Y87" s="95">
        <v>12.9</v>
      </c>
      <c r="Z87" s="154">
        <v>40</v>
      </c>
      <c r="AA87" s="153">
        <v>0.40486111111111112</v>
      </c>
      <c r="AB87" s="154">
        <v>70</v>
      </c>
      <c r="AC87" s="154">
        <v>15.7</v>
      </c>
      <c r="AD87" s="91"/>
      <c r="AE87" s="94">
        <f>Table3.110[[#This Row],[Gas 8h, ml]]-Table3.110[[#This Row],[Gas 0h, ml]]</f>
        <v>37.5</v>
      </c>
      <c r="AF87" s="94">
        <f>Table3.110[[#This Row],[Gas 24h, ml]]-Table3.110[[#This Row],[V8 Push back, ml]]</f>
        <v>30</v>
      </c>
      <c r="AG87" s="94">
        <f>Table3.110[[#This Row],[GP 8h, ml]]-(AVERAGE(AE$11,AE$12,AE$62,AE$61,AE$114,AE$115))*$AG$8</f>
        <v>34.844979731721118</v>
      </c>
      <c r="AH87" s="94">
        <f>Table3.110[[#This Row],[GP 8-24h, ml]]-(AVERAGE(AF$11,AF$12,AF$62,AF$61,AF$114,AF$115))*$AG$8</f>
        <v>26.31247184961266</v>
      </c>
      <c r="AI87" s="94">
        <f>Table3.110[[#This Row],[Net gas 8-24h, ml]]+Table3.110[[#This Row],[Net gas 8h, ml]]</f>
        <v>61.157451581333774</v>
      </c>
      <c r="AJ87" s="94">
        <f>Table3.110[[#This Row],[Net gas 8h, ml]]*Table3.110[[#This Row],[CH4 8h %]]%</f>
        <v>4.4950023853920245</v>
      </c>
      <c r="AK87" s="94">
        <f>Table3.110[[#This Row],[Net gas 8-24h, ml]]*Table3.110[[#This Row],[CH4 24h, %]]%</f>
        <v>4.1310580803891872</v>
      </c>
      <c r="AL87" s="94">
        <f>Table3.110[[#This Row],[CH4 8-24h, ml]]+Table3.110[[#This Row],[CH4 8h, ml]]</f>
        <v>8.6260604657812117</v>
      </c>
      <c r="AM87" s="94">
        <f>(Table3.110[[#This Row],[Net gas 24h, ml]]/Table3.110[[#This Row],[DM Incubated, mg]])*1000</f>
        <v>130.80262113714153</v>
      </c>
      <c r="AN87" s="94">
        <f>'3.2 Digest'!X87</f>
        <v>38.253285992350719</v>
      </c>
      <c r="AO87" s="94">
        <f>Table3.110[[#This Row],[Digested feed, mg]]/Table3.110[[#This Row],[Net gas 24h, ml]]</f>
        <v>2.9245045443121223</v>
      </c>
      <c r="AP87" s="94">
        <f>Table3.110[[#This Row],[CH4 8h, ml]]/Table3.110[[#This Row],[Net gas 8h, ml]]%</f>
        <v>12.900000000000002</v>
      </c>
      <c r="AQ87" s="94">
        <f>Table3.110[[#This Row],[CH4 24h, ml]]/Table3.110[[#This Row],[Net gas 24h, ml]]%</f>
        <v>14.104676115075439</v>
      </c>
      <c r="AR87" s="94">
        <f>Table3.110[[#This Row],[CH4 24h, ml]]/Table3.110[[#This Row],[DM Incubated, mg]]*1000</f>
        <v>18.449286061423017</v>
      </c>
      <c r="AS87" s="94">
        <f>Table3.110[[#This Row],[CH4 24h, ml]]/Table3.110[[#This Row],[Digested feed, mg]]*1000</f>
        <v>48.229284315894354</v>
      </c>
      <c r="AT87" s="94">
        <f>Table3.110[[#This Row],[CH4 24h, ml]]/'3.2 Digest'!AA87</f>
        <v>-0.37168315786121697</v>
      </c>
      <c r="AU87" s="94">
        <f>((Table3.110[[#This Row],[CH4 24h, ml]]/28.9)*16.04)/Table3.110[[#This Row],[DM Incubated, mg]]*1000</f>
        <v>10.239672955890146</v>
      </c>
      <c r="AV87" s="94">
        <f>((Table3.110[[#This Row],[CH4 24h, ml]]/28.9)*16.04)/Table3.110[[#This Row],[Digested feed, mg]]*1000</f>
        <v>26.768087212005035</v>
      </c>
      <c r="AW87" s="303"/>
    </row>
    <row r="88" spans="1:49" s="304" customFormat="1" x14ac:dyDescent="0.35">
      <c r="A88" s="89"/>
      <c r="B88" s="90">
        <f t="shared" si="1"/>
        <v>78</v>
      </c>
      <c r="C88" s="140">
        <v>46041</v>
      </c>
      <c r="D88" s="6" t="s">
        <v>16</v>
      </c>
      <c r="E88" s="6" t="s">
        <v>83</v>
      </c>
      <c r="F88" s="133" t="s">
        <v>84</v>
      </c>
      <c r="G88" s="133" t="s">
        <v>67</v>
      </c>
      <c r="H88" s="133" t="s">
        <v>85</v>
      </c>
      <c r="I88" s="6" t="s">
        <v>22</v>
      </c>
      <c r="J88" s="129" t="s">
        <v>23</v>
      </c>
      <c r="K88" s="129" t="s">
        <v>24</v>
      </c>
      <c r="L88" s="6" t="s">
        <v>82</v>
      </c>
      <c r="M88" s="119">
        <v>27</v>
      </c>
      <c r="N88" s="93">
        <v>58</v>
      </c>
      <c r="O88" s="6">
        <v>1</v>
      </c>
      <c r="P88" s="129">
        <v>2</v>
      </c>
      <c r="Q88" s="6">
        <v>258</v>
      </c>
      <c r="R88" s="98">
        <v>0.5</v>
      </c>
      <c r="S88" s="94">
        <f>((Table3.110[[#This Row],[Sample weight, g]]*'2.1. DM'!Q59)/100)*1000</f>
        <v>467.08815691124801</v>
      </c>
      <c r="T88" s="94">
        <f>'3.2 Digest'!W88</f>
        <v>214.08815691124801</v>
      </c>
      <c r="U88" s="117">
        <v>0.39652777777777776</v>
      </c>
      <c r="V88" s="155">
        <v>41</v>
      </c>
      <c r="W88" s="117">
        <v>0.7319444444444444</v>
      </c>
      <c r="X88" s="97">
        <v>75.5</v>
      </c>
      <c r="Y88" s="97">
        <v>14.4</v>
      </c>
      <c r="Z88" s="155">
        <v>40.5</v>
      </c>
      <c r="AA88" s="117">
        <v>0.40555555555555556</v>
      </c>
      <c r="AB88" s="155">
        <v>72.5</v>
      </c>
      <c r="AC88" s="155">
        <v>15.7</v>
      </c>
      <c r="AD88" s="96"/>
      <c r="AE88" s="94">
        <f>Table3.110[[#This Row],[Gas 8h, ml]]-Table3.110[[#This Row],[Gas 0h, ml]]</f>
        <v>34.5</v>
      </c>
      <c r="AF88" s="94">
        <f>Table3.110[[#This Row],[Gas 24h, ml]]-Table3.110[[#This Row],[V8 Push back, ml]]</f>
        <v>32</v>
      </c>
      <c r="AG88" s="94">
        <f>Table3.110[[#This Row],[GP 8h, ml]]-(AVERAGE(AE$11,AE$12,AE$62,AE$61,AE$114,AE$115))*$AG$8</f>
        <v>31.844979731721114</v>
      </c>
      <c r="AH88" s="94">
        <f>Table3.110[[#This Row],[GP 8-24h, ml]]-(AVERAGE(AF$11,AF$12,AF$62,AF$61,AF$114,AF$115))*$AG$8</f>
        <v>28.31247184961266</v>
      </c>
      <c r="AI88" s="94">
        <f>Table3.110[[#This Row],[Net gas 8-24h, ml]]+Table3.110[[#This Row],[Net gas 8h, ml]]</f>
        <v>60.157451581333774</v>
      </c>
      <c r="AJ88" s="94">
        <f>Table3.110[[#This Row],[Net gas 8h, ml]]*Table3.110[[#This Row],[CH4 8h %]]%</f>
        <v>4.5856770813678409</v>
      </c>
      <c r="AK88" s="94">
        <f>Table3.110[[#This Row],[Net gas 8-24h, ml]]*Table3.110[[#This Row],[CH4 24h, %]]%</f>
        <v>4.4450580803891873</v>
      </c>
      <c r="AL88" s="94">
        <f>Table3.110[[#This Row],[CH4 8-24h, ml]]+Table3.110[[#This Row],[CH4 8h, ml]]</f>
        <v>9.0307351617570291</v>
      </c>
      <c r="AM88" s="94">
        <f>(Table3.110[[#This Row],[Net gas 24h, ml]]/Table3.110[[#This Row],[DM Incubated, mg]])*1000</f>
        <v>128.79250028333379</v>
      </c>
      <c r="AN88" s="94">
        <f>'3.2 Digest'!X88</f>
        <v>45.834636083896072</v>
      </c>
      <c r="AO88" s="94">
        <f>Table3.110[[#This Row],[Digested feed, mg]]/Table3.110[[#This Row],[Net gas 24h, ml]]</f>
        <v>3.558796978322754</v>
      </c>
      <c r="AP88" s="94">
        <f>Table3.110[[#This Row],[CH4 8h, ml]]/Table3.110[[#This Row],[Net gas 8h, ml]]%</f>
        <v>14.400000000000002</v>
      </c>
      <c r="AQ88" s="94">
        <f>Table3.110[[#This Row],[CH4 24h, ml]]/Table3.110[[#This Row],[Net gas 24h, ml]]%</f>
        <v>15.011831326576958</v>
      </c>
      <c r="AR88" s="94">
        <f>Table3.110[[#This Row],[CH4 24h, ml]]/Table3.110[[#This Row],[DM Incubated, mg]]*1000</f>
        <v>19.334112903815221</v>
      </c>
      <c r="AS88" s="94">
        <f>Table3.110[[#This Row],[CH4 24h, ml]]/Table3.110[[#This Row],[Digested feed, mg]]*1000</f>
        <v>42.182320087424522</v>
      </c>
      <c r="AT88" s="94">
        <f>Table3.110[[#This Row],[CH4 24h, ml]]/'3.2 Digest'!AA88</f>
        <v>-1.1176051930010635</v>
      </c>
      <c r="AU88" s="94">
        <f>((Table3.110[[#This Row],[CH4 24h, ml]]/28.9)*16.04)/Table3.110[[#This Row],[DM Incubated, mg]]*1000</f>
        <v>10.730767161840697</v>
      </c>
      <c r="AV88" s="94">
        <f>((Table3.110[[#This Row],[CH4 24h, ml]]/28.9)*16.04)/Table3.110[[#This Row],[Digested feed, mg]]*1000</f>
        <v>23.411917446445997</v>
      </c>
      <c r="AW88" s="303"/>
    </row>
    <row r="89" spans="1:49" s="304" customFormat="1" x14ac:dyDescent="0.35">
      <c r="A89" s="89"/>
      <c r="B89" s="90">
        <f t="shared" si="1"/>
        <v>79</v>
      </c>
      <c r="C89" s="140">
        <v>46041</v>
      </c>
      <c r="D89" s="6" t="s">
        <v>16</v>
      </c>
      <c r="E89" s="6" t="s">
        <v>83</v>
      </c>
      <c r="F89" s="133" t="s">
        <v>84</v>
      </c>
      <c r="G89" s="133" t="s">
        <v>67</v>
      </c>
      <c r="H89" s="133" t="s">
        <v>85</v>
      </c>
      <c r="I89" s="6" t="s">
        <v>22</v>
      </c>
      <c r="J89" s="129" t="s">
        <v>23</v>
      </c>
      <c r="K89" s="129" t="s">
        <v>24</v>
      </c>
      <c r="L89" s="6" t="s">
        <v>82</v>
      </c>
      <c r="M89" s="119">
        <v>27</v>
      </c>
      <c r="N89" s="93">
        <v>58</v>
      </c>
      <c r="O89" s="6">
        <v>1</v>
      </c>
      <c r="P89" s="129">
        <v>3</v>
      </c>
      <c r="Q89" s="6">
        <v>259</v>
      </c>
      <c r="R89" s="98">
        <v>0.50029999999999997</v>
      </c>
      <c r="S89" s="94">
        <f>((Table3.110[[#This Row],[Sample weight, g]]*'2.1. DM'!Q59)/100)*1000</f>
        <v>467.36840980539466</v>
      </c>
      <c r="T89" s="94">
        <f>'3.2 Digest'!W89</f>
        <v>248.86840980539463</v>
      </c>
      <c r="U89" s="153">
        <v>0.38333333333333336</v>
      </c>
      <c r="V89" s="155">
        <v>41.5</v>
      </c>
      <c r="W89" s="153">
        <v>0.73263888888888884</v>
      </c>
      <c r="X89" s="95">
        <v>79.5</v>
      </c>
      <c r="Y89" s="95">
        <v>13.2</v>
      </c>
      <c r="Z89" s="154">
        <v>40.5</v>
      </c>
      <c r="AA89" s="153">
        <v>0.40625</v>
      </c>
      <c r="AB89" s="154">
        <v>72.5</v>
      </c>
      <c r="AC89" s="154">
        <v>15.6</v>
      </c>
      <c r="AD89" s="91"/>
      <c r="AE89" s="94">
        <f>Table3.110[[#This Row],[Gas 8h, ml]]-Table3.110[[#This Row],[Gas 0h, ml]]</f>
        <v>38</v>
      </c>
      <c r="AF89" s="94">
        <f>Table3.110[[#This Row],[Gas 24h, ml]]-Table3.110[[#This Row],[V8 Push back, ml]]</f>
        <v>32</v>
      </c>
      <c r="AG89" s="94">
        <f>Table3.110[[#This Row],[GP 8h, ml]]-(AVERAGE(AE$11,AE$12,AE$62,AE$61,AE$114,AE$115))*$AG$8</f>
        <v>35.344979731721118</v>
      </c>
      <c r="AH89" s="94">
        <f>Table3.110[[#This Row],[GP 8-24h, ml]]-(AVERAGE(AF$11,AF$12,AF$62,AF$61,AF$114,AF$115))*$AG$8</f>
        <v>28.31247184961266</v>
      </c>
      <c r="AI89" s="94">
        <f>Table3.110[[#This Row],[Net gas 8-24h, ml]]+Table3.110[[#This Row],[Net gas 8h, ml]]</f>
        <v>63.657451581333774</v>
      </c>
      <c r="AJ89" s="94">
        <f>Table3.110[[#This Row],[Net gas 8h, ml]]*Table3.110[[#This Row],[CH4 8h %]]%</f>
        <v>4.6655373245871878</v>
      </c>
      <c r="AK89" s="94">
        <f>Table3.110[[#This Row],[Net gas 8-24h, ml]]*Table3.110[[#This Row],[CH4 24h, %]]%</f>
        <v>4.4167456085395749</v>
      </c>
      <c r="AL89" s="94">
        <f>Table3.110[[#This Row],[CH4 8-24h, ml]]+Table3.110[[#This Row],[CH4 8h, ml]]</f>
        <v>9.0822829331267627</v>
      </c>
      <c r="AM89" s="94">
        <f>(Table3.110[[#This Row],[Net gas 24h, ml]]/Table3.110[[#This Row],[DM Incubated, mg]])*1000</f>
        <v>136.20401003961695</v>
      </c>
      <c r="AN89" s="94">
        <f>'3.2 Digest'!X89</f>
        <v>53.248872748806406</v>
      </c>
      <c r="AO89" s="94">
        <f>Table3.110[[#This Row],[Digested feed, mg]]/Table3.110[[#This Row],[Net gas 24h, ml]]</f>
        <v>3.9094937611101312</v>
      </c>
      <c r="AP89" s="94">
        <f>Table3.110[[#This Row],[CH4 8h, ml]]/Table3.110[[#This Row],[Net gas 8h, ml]]%</f>
        <v>13.200000000000001</v>
      </c>
      <c r="AQ89" s="94">
        <f>Table3.110[[#This Row],[CH4 24h, ml]]/Table3.110[[#This Row],[Net gas 24h, ml]]%</f>
        <v>14.267430925227226</v>
      </c>
      <c r="AR89" s="94">
        <f>Table3.110[[#This Row],[CH4 24h, ml]]/Table3.110[[#This Row],[DM Incubated, mg]]*1000</f>
        <v>19.4328130497919</v>
      </c>
      <c r="AS89" s="94">
        <f>Table3.110[[#This Row],[CH4 24h, ml]]/Table3.110[[#This Row],[Digested feed, mg]]*1000</f>
        <v>36.494318182965664</v>
      </c>
      <c r="AT89" s="94">
        <f>Table3.110[[#This Row],[CH4 24h, ml]]/'3.2 Digest'!AA89</f>
        <v>1.3527826077581286</v>
      </c>
      <c r="AU89" s="94">
        <f>((Table3.110[[#This Row],[CH4 24h, ml]]/28.9)*16.04)/Table3.110[[#This Row],[DM Incubated, mg]]*1000</f>
        <v>10.785547450472738</v>
      </c>
      <c r="AV89" s="94">
        <f>((Table3.110[[#This Row],[CH4 24h, ml]]/28.9)*16.04)/Table3.110[[#This Row],[Digested feed, mg]]*1000</f>
        <v>20.25497798113388</v>
      </c>
      <c r="AW89" s="303"/>
    </row>
    <row r="90" spans="1:49" s="304" customFormat="1" x14ac:dyDescent="0.35">
      <c r="A90" s="89"/>
      <c r="B90" s="90">
        <f t="shared" si="1"/>
        <v>80</v>
      </c>
      <c r="C90" s="140">
        <v>46041</v>
      </c>
      <c r="D90" s="6" t="s">
        <v>16</v>
      </c>
      <c r="E90" s="6" t="s">
        <v>87</v>
      </c>
      <c r="F90" s="133" t="s">
        <v>88</v>
      </c>
      <c r="G90" s="133" t="s">
        <v>89</v>
      </c>
      <c r="H90" s="133" t="s">
        <v>90</v>
      </c>
      <c r="I90" s="6" t="s">
        <v>22</v>
      </c>
      <c r="J90" s="129" t="s">
        <v>23</v>
      </c>
      <c r="K90" s="129" t="s">
        <v>24</v>
      </c>
      <c r="L90" s="6" t="s">
        <v>86</v>
      </c>
      <c r="M90" s="119">
        <v>27</v>
      </c>
      <c r="N90" s="93">
        <v>58</v>
      </c>
      <c r="O90" s="6">
        <v>1</v>
      </c>
      <c r="P90" s="129">
        <v>1</v>
      </c>
      <c r="Q90" s="6">
        <v>260</v>
      </c>
      <c r="R90" s="98">
        <v>0.5</v>
      </c>
      <c r="S90" s="94">
        <f>((Table3.110[[#This Row],[Sample weight, g]]*'2.1. DM'!Q61)/100)*1000</f>
        <v>468.97808438312296</v>
      </c>
      <c r="T90" s="94">
        <f>'3.2 Digest'!W90</f>
        <v>100.57808438312293</v>
      </c>
      <c r="U90" s="117">
        <v>0.39791666666666664</v>
      </c>
      <c r="V90" s="155">
        <v>40</v>
      </c>
      <c r="W90" s="117">
        <v>0.73263888888888884</v>
      </c>
      <c r="X90" s="97">
        <v>67.5</v>
      </c>
      <c r="Y90" s="97">
        <v>14.4</v>
      </c>
      <c r="Z90" s="155">
        <v>40</v>
      </c>
      <c r="AA90" s="117">
        <v>0.40694444444444444</v>
      </c>
      <c r="AB90" s="155">
        <v>59</v>
      </c>
      <c r="AC90" s="155">
        <v>18.100000000000001</v>
      </c>
      <c r="AD90" s="96"/>
      <c r="AE90" s="94">
        <f>Table3.110[[#This Row],[Gas 8h, ml]]-Table3.110[[#This Row],[Gas 0h, ml]]</f>
        <v>27.5</v>
      </c>
      <c r="AF90" s="94">
        <f>Table3.110[[#This Row],[Gas 24h, ml]]-Table3.110[[#This Row],[V8 Push back, ml]]</f>
        <v>19</v>
      </c>
      <c r="AG90" s="94">
        <f>Table3.110[[#This Row],[GP 8h, ml]]-(AVERAGE(AE$11,AE$12,AE$62,AE$61,AE$114,AE$115))*$AG$8</f>
        <v>24.844979731721114</v>
      </c>
      <c r="AH90" s="94">
        <f>Table3.110[[#This Row],[GP 8-24h, ml]]-(AVERAGE(AF$11,AF$12,AF$62,AF$61,AF$114,AF$115))*$AG$8</f>
        <v>15.31247184961266</v>
      </c>
      <c r="AI90" s="94">
        <f>Table3.110[[#This Row],[Net gas 8-24h, ml]]+Table3.110[[#This Row],[Net gas 8h, ml]]</f>
        <v>40.157451581333774</v>
      </c>
      <c r="AJ90" s="94">
        <f>Table3.110[[#This Row],[Net gas 8h, ml]]*Table3.110[[#This Row],[CH4 8h %]]%</f>
        <v>3.5776770813678409</v>
      </c>
      <c r="AK90" s="94">
        <f>Table3.110[[#This Row],[Net gas 8-24h, ml]]*Table3.110[[#This Row],[CH4 24h, %]]%</f>
        <v>2.7715574047798919</v>
      </c>
      <c r="AL90" s="94">
        <f>Table3.110[[#This Row],[CH4 8-24h, ml]]+Table3.110[[#This Row],[CH4 8h, ml]]</f>
        <v>6.3492344861477328</v>
      </c>
      <c r="AM90" s="94">
        <f>(Table3.110[[#This Row],[Net gas 24h, ml]]/Table3.110[[#This Row],[DM Incubated, mg]])*1000</f>
        <v>85.62756537793328</v>
      </c>
      <c r="AN90" s="94">
        <f>'3.2 Digest'!X90</f>
        <v>21.446222698320703</v>
      </c>
      <c r="AO90" s="94">
        <f>Table3.110[[#This Row],[Digested feed, mg]]/Table3.110[[#This Row],[Net gas 24h, ml]]</f>
        <v>2.504593305165665</v>
      </c>
      <c r="AP90" s="94">
        <f>Table3.110[[#This Row],[CH4 8h, ml]]/Table3.110[[#This Row],[Net gas 8h, ml]]%</f>
        <v>14.400000000000002</v>
      </c>
      <c r="AQ90" s="94">
        <f>Table3.110[[#This Row],[CH4 24h, ml]]/Table3.110[[#This Row],[Net gas 24h, ml]]%</f>
        <v>15.810850131483496</v>
      </c>
      <c r="AR90" s="94">
        <f>Table3.110[[#This Row],[CH4 24h, ml]]/Table3.110[[#This Row],[DM Incubated, mg]]*1000</f>
        <v>13.538446033143083</v>
      </c>
      <c r="AS90" s="94">
        <f>Table3.110[[#This Row],[CH4 24h, ml]]/Table3.110[[#This Row],[Digested feed, mg]]*1000</f>
        <v>63.127415133123563</v>
      </c>
      <c r="AT90" s="94">
        <f>Table3.110[[#This Row],[CH4 24h, ml]]/'3.2 Digest'!AA90</f>
        <v>-0.54330727290713821</v>
      </c>
      <c r="AU90" s="94">
        <f>((Table3.110[[#This Row],[CH4 24h, ml]]/28.9)*16.04)/Table3.110[[#This Row],[DM Incubated, mg]]*1000</f>
        <v>7.514071777564534</v>
      </c>
      <c r="AV90" s="94">
        <f>((Table3.110[[#This Row],[CH4 24h, ml]]/28.9)*16.04)/Table3.110[[#This Row],[Digested feed, mg]]*1000</f>
        <v>35.036807568695565</v>
      </c>
      <c r="AW90" s="303"/>
    </row>
    <row r="91" spans="1:49" s="304" customFormat="1" x14ac:dyDescent="0.35">
      <c r="A91" s="89"/>
      <c r="B91" s="90">
        <f t="shared" si="1"/>
        <v>81</v>
      </c>
      <c r="C91" s="140">
        <v>46041</v>
      </c>
      <c r="D91" s="6" t="s">
        <v>16</v>
      </c>
      <c r="E91" s="6" t="s">
        <v>87</v>
      </c>
      <c r="F91" s="133" t="s">
        <v>88</v>
      </c>
      <c r="G91" s="133" t="s">
        <v>89</v>
      </c>
      <c r="H91" s="133" t="s">
        <v>90</v>
      </c>
      <c r="I91" s="6" t="s">
        <v>22</v>
      </c>
      <c r="J91" s="129" t="s">
        <v>23</v>
      </c>
      <c r="K91" s="129" t="s">
        <v>24</v>
      </c>
      <c r="L91" s="6" t="s">
        <v>86</v>
      </c>
      <c r="M91" s="119">
        <v>27</v>
      </c>
      <c r="N91" s="93">
        <v>58</v>
      </c>
      <c r="O91" s="6">
        <v>1</v>
      </c>
      <c r="P91" s="129">
        <v>2</v>
      </c>
      <c r="Q91" s="6">
        <v>261</v>
      </c>
      <c r="R91" s="98">
        <v>0.50060000000000004</v>
      </c>
      <c r="S91" s="94">
        <f>((Table3.110[[#This Row],[Sample weight, g]]*'2.1. DM'!Q61)/100)*1000</f>
        <v>469.54085808438271</v>
      </c>
      <c r="T91" s="94">
        <f>'3.2 Digest'!W91</f>
        <v>99.040858084382648</v>
      </c>
      <c r="U91" s="153">
        <v>0.39791666666666664</v>
      </c>
      <c r="V91" s="155">
        <v>40.5</v>
      </c>
      <c r="W91" s="153">
        <v>0.73402777777777772</v>
      </c>
      <c r="X91" s="95">
        <v>68.5</v>
      </c>
      <c r="Y91" s="95">
        <v>14.8</v>
      </c>
      <c r="Z91" s="154">
        <v>41</v>
      </c>
      <c r="AA91" s="153">
        <v>0.40694444444444444</v>
      </c>
      <c r="AB91" s="154">
        <v>61.5</v>
      </c>
      <c r="AC91" s="154">
        <v>18.3</v>
      </c>
      <c r="AD91" s="91"/>
      <c r="AE91" s="94">
        <f>Table3.110[[#This Row],[Gas 8h, ml]]-Table3.110[[#This Row],[Gas 0h, ml]]</f>
        <v>28</v>
      </c>
      <c r="AF91" s="94">
        <f>Table3.110[[#This Row],[Gas 24h, ml]]-Table3.110[[#This Row],[V8 Push back, ml]]</f>
        <v>20.5</v>
      </c>
      <c r="AG91" s="94">
        <f>Table3.110[[#This Row],[GP 8h, ml]]-(AVERAGE(AE$11,AE$12,AE$62,AE$61,AE$114,AE$115))*$AG$8</f>
        <v>25.344979731721114</v>
      </c>
      <c r="AH91" s="94">
        <f>Table3.110[[#This Row],[GP 8-24h, ml]]-(AVERAGE(AF$11,AF$12,AF$62,AF$61,AF$114,AF$115))*$AG$8</f>
        <v>16.81247184961266</v>
      </c>
      <c r="AI91" s="94">
        <f>Table3.110[[#This Row],[Net gas 8-24h, ml]]+Table3.110[[#This Row],[Net gas 8h, ml]]</f>
        <v>42.157451581333774</v>
      </c>
      <c r="AJ91" s="94">
        <f>Table3.110[[#This Row],[Net gas 8h, ml]]*Table3.110[[#This Row],[CH4 8h %]]%</f>
        <v>3.7510570002947254</v>
      </c>
      <c r="AK91" s="94">
        <f>Table3.110[[#This Row],[Net gas 8-24h, ml]]*Table3.110[[#This Row],[CH4 24h, %]]%</f>
        <v>3.0766823484791166</v>
      </c>
      <c r="AL91" s="94">
        <f>Table3.110[[#This Row],[CH4 8-24h, ml]]+Table3.110[[#This Row],[CH4 8h, ml]]</f>
        <v>6.827739348773842</v>
      </c>
      <c r="AM91" s="94">
        <f>(Table3.110[[#This Row],[Net gas 24h, ml]]/Table3.110[[#This Row],[DM Incubated, mg]])*1000</f>
        <v>89.784415680727662</v>
      </c>
      <c r="AN91" s="94">
        <f>'3.2 Digest'!X91</f>
        <v>21.093128825560843</v>
      </c>
      <c r="AO91" s="94">
        <f>Table3.110[[#This Row],[Digested feed, mg]]/Table3.110[[#This Row],[Net gas 24h, ml]]</f>
        <v>2.3493084702547669</v>
      </c>
      <c r="AP91" s="94">
        <f>Table3.110[[#This Row],[CH4 8h, ml]]/Table3.110[[#This Row],[Net gas 8h, ml]]%</f>
        <v>14.800000000000002</v>
      </c>
      <c r="AQ91" s="94">
        <f>Table3.110[[#This Row],[CH4 24h, ml]]/Table3.110[[#This Row],[Net gas 24h, ml]]%</f>
        <v>16.19580665496628</v>
      </c>
      <c r="AR91" s="94">
        <f>Table3.110[[#This Row],[CH4 24h, ml]]/Table3.110[[#This Row],[DM Incubated, mg]]*1000</f>
        <v>14.541310369941877</v>
      </c>
      <c r="AS91" s="94">
        <f>Table3.110[[#This Row],[CH4 24h, ml]]/Table3.110[[#This Row],[Digested feed, mg]]*1000</f>
        <v>68.938612617396956</v>
      </c>
      <c r="AT91" s="94">
        <f>Table3.110[[#This Row],[CH4 24h, ml]]/'3.2 Digest'!AA91</f>
        <v>-0.56018844052495653</v>
      </c>
      <c r="AU91" s="94">
        <f>((Table3.110[[#This Row],[CH4 24h, ml]]/28.9)*16.04)/Table3.110[[#This Row],[DM Incubated, mg]]*1000</f>
        <v>8.0706788350819281</v>
      </c>
      <c r="AV91" s="94">
        <f>((Table3.110[[#This Row],[CH4 24h, ml]]/28.9)*16.04)/Table3.110[[#This Row],[Digested feed, mg]]*1000</f>
        <v>38.262122712216161</v>
      </c>
      <c r="AW91" s="303"/>
    </row>
    <row r="92" spans="1:49" s="304" customFormat="1" x14ac:dyDescent="0.35">
      <c r="A92" s="89"/>
      <c r="B92" s="90">
        <f t="shared" si="1"/>
        <v>82</v>
      </c>
      <c r="C92" s="140">
        <v>46041</v>
      </c>
      <c r="D92" s="6" t="s">
        <v>16</v>
      </c>
      <c r="E92" s="6" t="s">
        <v>87</v>
      </c>
      <c r="F92" s="133" t="s">
        <v>88</v>
      </c>
      <c r="G92" s="133" t="s">
        <v>89</v>
      </c>
      <c r="H92" s="133" t="s">
        <v>90</v>
      </c>
      <c r="I92" s="6" t="s">
        <v>22</v>
      </c>
      <c r="J92" s="129" t="s">
        <v>23</v>
      </c>
      <c r="K92" s="129" t="s">
        <v>24</v>
      </c>
      <c r="L92" s="6" t="s">
        <v>86</v>
      </c>
      <c r="M92" s="119">
        <v>27</v>
      </c>
      <c r="N92" s="93">
        <v>58</v>
      </c>
      <c r="O92" s="6">
        <v>1</v>
      </c>
      <c r="P92" s="129">
        <v>3</v>
      </c>
      <c r="Q92" s="6">
        <v>262</v>
      </c>
      <c r="R92" s="98">
        <v>0.50029999999999997</v>
      </c>
      <c r="S92" s="94">
        <f>((Table3.110[[#This Row],[Sample weight, g]]*'2.1. DM'!Q61)/100)*1000</f>
        <v>469.25947123375278</v>
      </c>
      <c r="T92" s="94">
        <f>'3.2 Digest'!W92</f>
        <v>66.559471233752845</v>
      </c>
      <c r="U92" s="117">
        <v>0.39791666666666664</v>
      </c>
      <c r="V92" s="155">
        <v>41</v>
      </c>
      <c r="W92" s="117">
        <v>0.73402777777777772</v>
      </c>
      <c r="X92" s="97">
        <v>71.5</v>
      </c>
      <c r="Y92" s="97">
        <v>13.7</v>
      </c>
      <c r="Z92" s="155">
        <v>41</v>
      </c>
      <c r="AA92" s="117">
        <v>0.40763888888888888</v>
      </c>
      <c r="AB92" s="155">
        <v>61</v>
      </c>
      <c r="AC92" s="155">
        <v>18.3</v>
      </c>
      <c r="AD92" s="96"/>
      <c r="AE92" s="94">
        <f>Table3.110[[#This Row],[Gas 8h, ml]]-Table3.110[[#This Row],[Gas 0h, ml]]</f>
        <v>30.5</v>
      </c>
      <c r="AF92" s="94">
        <f>Table3.110[[#This Row],[Gas 24h, ml]]-Table3.110[[#This Row],[V8 Push back, ml]]</f>
        <v>20</v>
      </c>
      <c r="AG92" s="94">
        <f>Table3.110[[#This Row],[GP 8h, ml]]-(AVERAGE(AE$11,AE$12,AE$62,AE$61,AE$114,AE$115))*$AG$8</f>
        <v>27.844979731721114</v>
      </c>
      <c r="AH92" s="94">
        <f>Table3.110[[#This Row],[GP 8-24h, ml]]-(AVERAGE(AF$11,AF$12,AF$62,AF$61,AF$114,AF$115))*$AG$8</f>
        <v>16.31247184961266</v>
      </c>
      <c r="AI92" s="94">
        <f>Table3.110[[#This Row],[Net gas 8-24h, ml]]+Table3.110[[#This Row],[Net gas 8h, ml]]</f>
        <v>44.157451581333774</v>
      </c>
      <c r="AJ92" s="94">
        <f>Table3.110[[#This Row],[Net gas 8h, ml]]*Table3.110[[#This Row],[CH4 8h %]]%</f>
        <v>3.8147622232457921</v>
      </c>
      <c r="AK92" s="94">
        <f>Table3.110[[#This Row],[Net gas 8-24h, ml]]*Table3.110[[#This Row],[CH4 24h, %]]%</f>
        <v>2.9851823484791167</v>
      </c>
      <c r="AL92" s="94">
        <f>Table3.110[[#This Row],[CH4 8-24h, ml]]+Table3.110[[#This Row],[CH4 8h, ml]]</f>
        <v>6.7999445717249092</v>
      </c>
      <c r="AM92" s="94">
        <f>(Table3.110[[#This Row],[Net gas 24h, ml]]/Table3.110[[#This Row],[DM Incubated, mg]])*1000</f>
        <v>94.100288408110941</v>
      </c>
      <c r="AN92" s="94">
        <f>'3.2 Digest'!X92</f>
        <v>14.183937738914063</v>
      </c>
      <c r="AO92" s="94">
        <f>Table3.110[[#This Row],[Digested feed, mg]]/Table3.110[[#This Row],[Net gas 24h, ml]]</f>
        <v>1.5073213885805141</v>
      </c>
      <c r="AP92" s="94">
        <f>Table3.110[[#This Row],[CH4 8h, ml]]/Table3.110[[#This Row],[Net gas 8h, ml]]%</f>
        <v>13.699999999999998</v>
      </c>
      <c r="AQ92" s="94">
        <f>Table3.110[[#This Row],[CH4 24h, ml]]/Table3.110[[#This Row],[Net gas 24h, ml]]%</f>
        <v>15.399313882958273</v>
      </c>
      <c r="AR92" s="94">
        <f>Table3.110[[#This Row],[CH4 24h, ml]]/Table3.110[[#This Row],[DM Incubated, mg]]*1000</f>
        <v>14.490798776734001</v>
      </c>
      <c r="AS92" s="94">
        <f>Table3.110[[#This Row],[CH4 24h, ml]]/Table3.110[[#This Row],[Digested feed, mg]]*1000</f>
        <v>102.16344038918089</v>
      </c>
      <c r="AT92" s="94">
        <f>Table3.110[[#This Row],[CH4 24h, ml]]/'3.2 Digest'!AA92</f>
        <v>-0.30892484276472937</v>
      </c>
      <c r="AU92" s="94">
        <f>((Table3.110[[#This Row],[CH4 24h, ml]]/28.9)*16.04)/Table3.110[[#This Row],[DM Incubated, mg]]*1000</f>
        <v>8.04264402694856</v>
      </c>
      <c r="AV92" s="94">
        <f>((Table3.110[[#This Row],[CH4 24h, ml]]/28.9)*16.04)/Table3.110[[#This Row],[Digested feed, mg]]*1000</f>
        <v>56.70247694956614</v>
      </c>
      <c r="AW92" s="303"/>
    </row>
    <row r="93" spans="1:49" s="304" customFormat="1" x14ac:dyDescent="0.35">
      <c r="A93" s="89"/>
      <c r="B93" s="90">
        <f t="shared" si="1"/>
        <v>83</v>
      </c>
      <c r="C93" s="140">
        <v>46041</v>
      </c>
      <c r="D93" s="6" t="s">
        <v>16</v>
      </c>
      <c r="E93" s="6" t="s">
        <v>92</v>
      </c>
      <c r="F93" s="133" t="s">
        <v>79</v>
      </c>
      <c r="G93" s="133" t="s">
        <v>80</v>
      </c>
      <c r="H93" s="133" t="s">
        <v>81</v>
      </c>
      <c r="I93" s="6" t="s">
        <v>22</v>
      </c>
      <c r="J93" s="129" t="s">
        <v>23</v>
      </c>
      <c r="K93" s="129" t="s">
        <v>24</v>
      </c>
      <c r="L93" s="6" t="s">
        <v>91</v>
      </c>
      <c r="M93" s="119">
        <v>27</v>
      </c>
      <c r="N93" s="93">
        <v>58</v>
      </c>
      <c r="O93" s="6">
        <v>1</v>
      </c>
      <c r="P93" s="129">
        <v>1</v>
      </c>
      <c r="Q93" s="6">
        <v>263</v>
      </c>
      <c r="R93" s="98">
        <v>0.50019999999999998</v>
      </c>
      <c r="S93" s="94">
        <f>((Table3.110[[#This Row],[Sample weight, g]]*'2.1. DM'!Q63)/100)*1000</f>
        <v>465.05702578452906</v>
      </c>
      <c r="T93" s="94">
        <f>'3.2 Digest'!W93</f>
        <v>227.45702578452915</v>
      </c>
      <c r="U93" s="153">
        <v>0.39861111111111114</v>
      </c>
      <c r="V93" s="155">
        <v>41</v>
      </c>
      <c r="W93" s="153">
        <v>0.73402777777777772</v>
      </c>
      <c r="X93" s="95">
        <v>62</v>
      </c>
      <c r="Y93" s="95">
        <v>10.6</v>
      </c>
      <c r="Z93" s="154">
        <v>40</v>
      </c>
      <c r="AA93" s="153">
        <v>0.40833333333333333</v>
      </c>
      <c r="AB93" s="154">
        <v>57</v>
      </c>
      <c r="AC93" s="154">
        <v>4.4000000000000004</v>
      </c>
      <c r="AD93" s="91"/>
      <c r="AE93" s="94">
        <f>Table3.110[[#This Row],[Gas 8h, ml]]-Table3.110[[#This Row],[Gas 0h, ml]]</f>
        <v>21</v>
      </c>
      <c r="AF93" s="94">
        <f>Table3.110[[#This Row],[Gas 24h, ml]]-Table3.110[[#This Row],[V8 Push back, ml]]</f>
        <v>17</v>
      </c>
      <c r="AG93" s="94">
        <f>Table3.110[[#This Row],[GP 8h, ml]]-(AVERAGE(AE$11,AE$12,AE$62,AE$61,AE$114,AE$115))*$AG$8</f>
        <v>18.344979731721114</v>
      </c>
      <c r="AH93" s="94">
        <f>Table3.110[[#This Row],[GP 8-24h, ml]]-(AVERAGE(AF$11,AF$12,AF$62,AF$61,AF$114,AF$115))*$AG$8</f>
        <v>13.31247184961266</v>
      </c>
      <c r="AI93" s="94">
        <f>Table3.110[[#This Row],[Net gas 8-24h, ml]]+Table3.110[[#This Row],[Net gas 8h, ml]]</f>
        <v>31.657451581333774</v>
      </c>
      <c r="AJ93" s="94">
        <f>Table3.110[[#This Row],[Net gas 8h, ml]]*Table3.110[[#This Row],[CH4 8h %]]%</f>
        <v>1.9445678515624381</v>
      </c>
      <c r="AK93" s="94">
        <f>Table3.110[[#This Row],[Net gas 8-24h, ml]]*Table3.110[[#This Row],[CH4 24h, %]]%</f>
        <v>0.58574876138295706</v>
      </c>
      <c r="AL93" s="94">
        <f>Table3.110[[#This Row],[CH4 8-24h, ml]]+Table3.110[[#This Row],[CH4 8h, ml]]</f>
        <v>2.5303166129453949</v>
      </c>
      <c r="AM93" s="94">
        <f>(Table3.110[[#This Row],[Net gas 24h, ml]]/Table3.110[[#This Row],[DM Incubated, mg]])*1000</f>
        <v>68.072192927155896</v>
      </c>
      <c r="AN93" s="94">
        <f>'3.2 Digest'!X93</f>
        <v>48.909491346963307</v>
      </c>
      <c r="AO93" s="94">
        <f>Table3.110[[#This Row],[Digested feed, mg]]/Table3.110[[#This Row],[Net gas 24h, ml]]</f>
        <v>7.184944283975307</v>
      </c>
      <c r="AP93" s="94">
        <f>Table3.110[[#This Row],[CH4 8h, ml]]/Table3.110[[#This Row],[Net gas 8h, ml]]%</f>
        <v>10.6</v>
      </c>
      <c r="AQ93" s="94">
        <f>Table3.110[[#This Row],[CH4 24h, ml]]/Table3.110[[#This Row],[Net gas 24h, ml]]%</f>
        <v>7.9927994407400407</v>
      </c>
      <c r="AR93" s="94">
        <f>Table3.110[[#This Row],[CH4 24h, ml]]/Table3.110[[#This Row],[DM Incubated, mg]]*1000</f>
        <v>5.4408738555811977</v>
      </c>
      <c r="AS93" s="94">
        <f>Table3.110[[#This Row],[CH4 24h, ml]]/Table3.110[[#This Row],[Digested feed, mg]]*1000</f>
        <v>11.124372193903444</v>
      </c>
      <c r="AT93" s="94">
        <f>Table3.110[[#This Row],[CH4 24h, ml]]/'3.2 Digest'!AA93</f>
        <v>-0.53036689006796633</v>
      </c>
      <c r="AU93" s="94">
        <f>((Table3.110[[#This Row],[CH4 24h, ml]]/28.9)*16.04)/Table3.110[[#This Row],[DM Incubated, mg]]*1000</f>
        <v>3.0197791226132318</v>
      </c>
      <c r="AV93" s="94">
        <f>((Table3.110[[#This Row],[CH4 24h, ml]]/28.9)*16.04)/Table3.110[[#This Row],[Digested feed, mg]]*1000</f>
        <v>6.1742190308031573</v>
      </c>
      <c r="AW93" s="303"/>
    </row>
    <row r="94" spans="1:49" s="304" customFormat="1" x14ac:dyDescent="0.35">
      <c r="A94" s="89"/>
      <c r="B94" s="90">
        <f t="shared" si="1"/>
        <v>84</v>
      </c>
      <c r="C94" s="140">
        <v>46041</v>
      </c>
      <c r="D94" s="6" t="s">
        <v>16</v>
      </c>
      <c r="E94" s="6" t="s">
        <v>92</v>
      </c>
      <c r="F94" s="133" t="s">
        <v>79</v>
      </c>
      <c r="G94" s="133" t="s">
        <v>80</v>
      </c>
      <c r="H94" s="133" t="s">
        <v>81</v>
      </c>
      <c r="I94" s="6" t="s">
        <v>22</v>
      </c>
      <c r="J94" s="129" t="s">
        <v>23</v>
      </c>
      <c r="K94" s="129" t="s">
        <v>24</v>
      </c>
      <c r="L94" s="6" t="s">
        <v>91</v>
      </c>
      <c r="M94" s="119">
        <v>27</v>
      </c>
      <c r="N94" s="93">
        <v>58</v>
      </c>
      <c r="O94" s="6">
        <v>1</v>
      </c>
      <c r="P94" s="129">
        <v>2</v>
      </c>
      <c r="Q94" s="6">
        <v>264</v>
      </c>
      <c r="R94" s="98">
        <v>0.50009999999999999</v>
      </c>
      <c r="S94" s="94">
        <f>((Table3.110[[#This Row],[Sample weight, g]]*'2.1. DM'!Q63)/100)*1000</f>
        <v>464.96405156905831</v>
      </c>
      <c r="T94" s="94">
        <f>'3.2 Digest'!W94</f>
        <v>247.86405156905835</v>
      </c>
      <c r="U94" s="117">
        <v>0.39861111111111114</v>
      </c>
      <c r="V94" s="155">
        <v>41</v>
      </c>
      <c r="W94" s="117">
        <v>0.73472222222222228</v>
      </c>
      <c r="X94" s="97">
        <v>57.5</v>
      </c>
      <c r="Y94" s="97">
        <v>10.6</v>
      </c>
      <c r="Z94" s="155">
        <v>39.5</v>
      </c>
      <c r="AA94" s="117">
        <v>0.40902777777777777</v>
      </c>
      <c r="AB94" s="155">
        <v>54</v>
      </c>
      <c r="AC94" s="155">
        <v>2</v>
      </c>
      <c r="AD94" s="96"/>
      <c r="AE94" s="94">
        <f>Table3.110[[#This Row],[Gas 8h, ml]]-Table3.110[[#This Row],[Gas 0h, ml]]</f>
        <v>16.5</v>
      </c>
      <c r="AF94" s="94">
        <f>Table3.110[[#This Row],[Gas 24h, ml]]-Table3.110[[#This Row],[V8 Push back, ml]]</f>
        <v>14.5</v>
      </c>
      <c r="AG94" s="94">
        <f>Table3.110[[#This Row],[GP 8h, ml]]-(AVERAGE(AE$11,AE$12,AE$62,AE$61,AE$114,AE$115))*$AG$8</f>
        <v>13.844979731721114</v>
      </c>
      <c r="AH94" s="94">
        <f>Table3.110[[#This Row],[GP 8-24h, ml]]-(AVERAGE(AF$11,AF$12,AF$62,AF$61,AF$114,AF$115))*$AG$8</f>
        <v>10.81247184961266</v>
      </c>
      <c r="AI94" s="94">
        <f>Table3.110[[#This Row],[Net gas 8-24h, ml]]+Table3.110[[#This Row],[Net gas 8h, ml]]</f>
        <v>24.657451581333774</v>
      </c>
      <c r="AJ94" s="94">
        <f>Table3.110[[#This Row],[Net gas 8h, ml]]*Table3.110[[#This Row],[CH4 8h %]]%</f>
        <v>1.467567851562438</v>
      </c>
      <c r="AK94" s="94">
        <f>Table3.110[[#This Row],[Net gas 8-24h, ml]]*Table3.110[[#This Row],[CH4 24h, %]]%</f>
        <v>0.21624943699225319</v>
      </c>
      <c r="AL94" s="94">
        <f>Table3.110[[#This Row],[CH4 8-24h, ml]]+Table3.110[[#This Row],[CH4 8h, ml]]</f>
        <v>1.6838172885546911</v>
      </c>
      <c r="AM94" s="94">
        <f>(Table3.110[[#This Row],[Net gas 24h, ml]]/Table3.110[[#This Row],[DM Incubated, mg]])*1000</f>
        <v>53.030877329387586</v>
      </c>
      <c r="AN94" s="94">
        <f>'3.2 Digest'!X94</f>
        <v>53.308218287547462</v>
      </c>
      <c r="AO94" s="94">
        <f>Table3.110[[#This Row],[Digested feed, mg]]/Table3.110[[#This Row],[Net gas 24h, ml]]</f>
        <v>10.052298014312916</v>
      </c>
      <c r="AP94" s="94">
        <f>Table3.110[[#This Row],[CH4 8h, ml]]/Table3.110[[#This Row],[Net gas 8h, ml]]%</f>
        <v>10.6</v>
      </c>
      <c r="AQ94" s="94">
        <f>Table3.110[[#This Row],[CH4 24h, ml]]/Table3.110[[#This Row],[Net gas 24h, ml]]%</f>
        <v>6.8288374530536533</v>
      </c>
      <c r="AR94" s="94">
        <f>Table3.110[[#This Row],[CH4 24h, ml]]/Table3.110[[#This Row],[DM Incubated, mg]]*1000</f>
        <v>3.6213924127521584</v>
      </c>
      <c r="AS94" s="94">
        <f>Table3.110[[#This Row],[CH4 24h, ml]]/Table3.110[[#This Row],[Digested feed, mg]]*1000</f>
        <v>6.7933097917813887</v>
      </c>
      <c r="AT94" s="94">
        <f>Table3.110[[#This Row],[CH4 24h, ml]]/'3.2 Digest'!AA94</f>
        <v>0.39623398195442794</v>
      </c>
      <c r="AU94" s="94">
        <f>((Table3.110[[#This Row],[CH4 24h, ml]]/28.9)*16.04)/Table3.110[[#This Row],[DM Incubated, mg]]*1000</f>
        <v>2.0099354429254195</v>
      </c>
      <c r="AV94" s="94">
        <f>((Table3.110[[#This Row],[CH4 24h, ml]]/28.9)*16.04)/Table3.110[[#This Row],[Digested feed, mg]]*1000</f>
        <v>3.7704044657499476</v>
      </c>
      <c r="AW94" s="303"/>
    </row>
    <row r="95" spans="1:49" s="304" customFormat="1" x14ac:dyDescent="0.35">
      <c r="A95" s="89"/>
      <c r="B95" s="90">
        <f t="shared" si="1"/>
        <v>85</v>
      </c>
      <c r="C95" s="140">
        <v>46041</v>
      </c>
      <c r="D95" s="6" t="s">
        <v>16</v>
      </c>
      <c r="E95" s="6" t="s">
        <v>92</v>
      </c>
      <c r="F95" s="133" t="s">
        <v>79</v>
      </c>
      <c r="G95" s="133" t="s">
        <v>80</v>
      </c>
      <c r="H95" s="133" t="s">
        <v>81</v>
      </c>
      <c r="I95" s="6" t="s">
        <v>22</v>
      </c>
      <c r="J95" s="129" t="s">
        <v>23</v>
      </c>
      <c r="K95" s="129" t="s">
        <v>24</v>
      </c>
      <c r="L95" s="6" t="s">
        <v>91</v>
      </c>
      <c r="M95" s="119">
        <v>27</v>
      </c>
      <c r="N95" s="93">
        <v>58</v>
      </c>
      <c r="O95" s="6">
        <v>1</v>
      </c>
      <c r="P95" s="129">
        <v>3</v>
      </c>
      <c r="Q95" s="6">
        <v>265</v>
      </c>
      <c r="R95" s="98">
        <v>0.50049999999999994</v>
      </c>
      <c r="S95" s="94">
        <f>((Table3.110[[#This Row],[Sample weight, g]]*'2.1. DM'!Q63)/100)*1000</f>
        <v>465.33594843094119</v>
      </c>
      <c r="T95" s="94">
        <f>'3.2 Digest'!W95</f>
        <v>286.6359484309412</v>
      </c>
      <c r="U95" s="153">
        <v>0.39930555555555558</v>
      </c>
      <c r="V95" s="155">
        <v>41</v>
      </c>
      <c r="W95" s="153">
        <v>0.73472222222222228</v>
      </c>
      <c r="X95" s="95">
        <v>62.5</v>
      </c>
      <c r="Y95" s="95">
        <v>10.199999999999999</v>
      </c>
      <c r="Z95" s="154">
        <v>40</v>
      </c>
      <c r="AA95" s="153">
        <v>0.4152777777777778</v>
      </c>
      <c r="AB95" s="154">
        <v>57</v>
      </c>
      <c r="AC95" s="154">
        <v>1.8</v>
      </c>
      <c r="AD95" s="91"/>
      <c r="AE95" s="94">
        <f>Table3.110[[#This Row],[Gas 8h, ml]]-Table3.110[[#This Row],[Gas 0h, ml]]</f>
        <v>21.5</v>
      </c>
      <c r="AF95" s="94">
        <f>Table3.110[[#This Row],[Gas 24h, ml]]-Table3.110[[#This Row],[V8 Push back, ml]]</f>
        <v>17</v>
      </c>
      <c r="AG95" s="94">
        <f>Table3.110[[#This Row],[GP 8h, ml]]-(AVERAGE(AE$11,AE$12,AE$62,AE$61,AE$114,AE$115))*$AG$8</f>
        <v>18.844979731721114</v>
      </c>
      <c r="AH95" s="94">
        <f>Table3.110[[#This Row],[GP 8-24h, ml]]-(AVERAGE(AF$11,AF$12,AF$62,AF$61,AF$114,AF$115))*$AG$8</f>
        <v>13.31247184961266</v>
      </c>
      <c r="AI95" s="94">
        <f>Table3.110[[#This Row],[Net gas 8-24h, ml]]+Table3.110[[#This Row],[Net gas 8h, ml]]</f>
        <v>32.157451581333774</v>
      </c>
      <c r="AJ95" s="94">
        <f>Table3.110[[#This Row],[Net gas 8h, ml]]*Table3.110[[#This Row],[CH4 8h %]]%</f>
        <v>1.9221879326355535</v>
      </c>
      <c r="AK95" s="94">
        <f>Table3.110[[#This Row],[Net gas 8-24h, ml]]*Table3.110[[#This Row],[CH4 24h, %]]%</f>
        <v>0.2396244932930279</v>
      </c>
      <c r="AL95" s="94">
        <f>Table3.110[[#This Row],[CH4 8-24h, ml]]+Table3.110[[#This Row],[CH4 8h, ml]]</f>
        <v>2.1618124259285816</v>
      </c>
      <c r="AM95" s="94">
        <f>(Table3.110[[#This Row],[Net gas 24h, ml]]/Table3.110[[#This Row],[DM Incubated, mg]])*1000</f>
        <v>69.10588294277494</v>
      </c>
      <c r="AN95" s="94">
        <f>'3.2 Digest'!X95</f>
        <v>61.597637018468987</v>
      </c>
      <c r="AO95" s="94">
        <f>Table3.110[[#This Row],[Digested feed, mg]]/Table3.110[[#This Row],[Net gas 24h, ml]]</f>
        <v>8.9135156654429331</v>
      </c>
      <c r="AP95" s="94">
        <f>Table3.110[[#This Row],[CH4 8h, ml]]/Table3.110[[#This Row],[Net gas 8h, ml]]%</f>
        <v>10.199999999999999</v>
      </c>
      <c r="AQ95" s="94">
        <f>Table3.110[[#This Row],[CH4 24h, ml]]/Table3.110[[#This Row],[Net gas 24h, ml]]%</f>
        <v>6.7225862735448683</v>
      </c>
      <c r="AR95" s="94">
        <f>Table3.110[[#This Row],[CH4 24h, ml]]/Table3.110[[#This Row],[DM Incubated, mg]]*1000</f>
        <v>4.6457026009229727</v>
      </c>
      <c r="AS95" s="94">
        <f>Table3.110[[#This Row],[CH4 24h, ml]]/Table3.110[[#This Row],[Digested feed, mg]]*1000</f>
        <v>7.5420143138446019</v>
      </c>
      <c r="AT95" s="94">
        <f>Table3.110[[#This Row],[CH4 24h, ml]]/'3.2 Digest'!AA95</f>
        <v>0.10173907736144355</v>
      </c>
      <c r="AU95" s="94">
        <f>((Table3.110[[#This Row],[CH4 24h, ml]]/28.9)*16.04)/Table3.110[[#This Row],[DM Incubated, mg]]*1000</f>
        <v>2.578445318989774</v>
      </c>
      <c r="AV95" s="94">
        <f>((Table3.110[[#This Row],[CH4 24h, ml]]/28.9)*16.04)/Table3.110[[#This Row],[Digested feed, mg]]*1000</f>
        <v>4.1859484288604643</v>
      </c>
      <c r="AW95" s="303"/>
    </row>
    <row r="96" spans="1:49" s="304" customFormat="1" x14ac:dyDescent="0.35">
      <c r="A96" s="89"/>
      <c r="B96" s="90">
        <f t="shared" si="1"/>
        <v>86</v>
      </c>
      <c r="C96" s="140">
        <v>46041</v>
      </c>
      <c r="D96" s="6" t="s">
        <v>16</v>
      </c>
      <c r="E96" s="6" t="s">
        <v>94</v>
      </c>
      <c r="F96" s="133" t="s">
        <v>19</v>
      </c>
      <c r="G96" s="133" t="s">
        <v>29</v>
      </c>
      <c r="H96" s="133" t="s">
        <v>30</v>
      </c>
      <c r="I96" s="6" t="s">
        <v>22</v>
      </c>
      <c r="J96" s="129" t="s">
        <v>23</v>
      </c>
      <c r="K96" s="129" t="s">
        <v>24</v>
      </c>
      <c r="L96" s="6" t="s">
        <v>93</v>
      </c>
      <c r="M96" s="119">
        <v>27</v>
      </c>
      <c r="N96" s="93">
        <v>58</v>
      </c>
      <c r="O96" s="6">
        <v>1</v>
      </c>
      <c r="P96" s="129">
        <v>1</v>
      </c>
      <c r="Q96" s="6">
        <v>266</v>
      </c>
      <c r="R96" s="98">
        <v>0.50049999999999994</v>
      </c>
      <c r="S96" s="94">
        <f>((Table3.110[[#This Row],[Sample weight, g]]*'2.1. DM'!Q65)/100)*1000</f>
        <v>473.46013161701819</v>
      </c>
      <c r="T96" s="94">
        <f>'3.2 Digest'!W96</f>
        <v>98.760131617018146</v>
      </c>
      <c r="U96" s="117">
        <v>0.39930555555555558</v>
      </c>
      <c r="V96" s="155">
        <v>40.5</v>
      </c>
      <c r="W96" s="117">
        <v>0.73541666666666672</v>
      </c>
      <c r="X96" s="97">
        <v>62</v>
      </c>
      <c r="Y96" s="97">
        <v>13.7</v>
      </c>
      <c r="Z96" s="155">
        <v>40.5</v>
      </c>
      <c r="AA96" s="117">
        <v>0.40972222222222221</v>
      </c>
      <c r="AB96" s="155">
        <v>54.5</v>
      </c>
      <c r="AC96" s="155">
        <v>12.1</v>
      </c>
      <c r="AD96" s="96"/>
      <c r="AE96" s="94">
        <f>Table3.110[[#This Row],[Gas 8h, ml]]-Table3.110[[#This Row],[Gas 0h, ml]]</f>
        <v>21.5</v>
      </c>
      <c r="AF96" s="94">
        <f>Table3.110[[#This Row],[Gas 24h, ml]]-Table3.110[[#This Row],[V8 Push back, ml]]</f>
        <v>14</v>
      </c>
      <c r="AG96" s="94">
        <f>Table3.110[[#This Row],[GP 8h, ml]]-(AVERAGE(AE$11,AE$12,AE$62,AE$61,AE$114,AE$115))*$AG$8</f>
        <v>18.844979731721114</v>
      </c>
      <c r="AH96" s="94">
        <f>Table3.110[[#This Row],[GP 8-24h, ml]]-(AVERAGE(AF$11,AF$12,AF$62,AF$61,AF$114,AF$115))*$AG$8</f>
        <v>10.31247184961266</v>
      </c>
      <c r="AI96" s="94">
        <f>Table3.110[[#This Row],[Net gas 8-24h, ml]]+Table3.110[[#This Row],[Net gas 8h, ml]]</f>
        <v>29.157451581333774</v>
      </c>
      <c r="AJ96" s="94">
        <f>Table3.110[[#This Row],[Net gas 8h, ml]]*Table3.110[[#This Row],[CH4 8h %]]%</f>
        <v>2.5817622232457924</v>
      </c>
      <c r="AK96" s="94">
        <f>Table3.110[[#This Row],[Net gas 8-24h, ml]]*Table3.110[[#This Row],[CH4 24h, %]]%</f>
        <v>1.2478090938031319</v>
      </c>
      <c r="AL96" s="94">
        <f>Table3.110[[#This Row],[CH4 8-24h, ml]]+Table3.110[[#This Row],[CH4 8h, ml]]</f>
        <v>3.8295713170489245</v>
      </c>
      <c r="AM96" s="94">
        <f>(Table3.110[[#This Row],[Net gas 24h, ml]]/Table3.110[[#This Row],[DM Incubated, mg]])*1000</f>
        <v>61.583752536357657</v>
      </c>
      <c r="AN96" s="94">
        <f>'3.2 Digest'!X96</f>
        <v>20.859228691488894</v>
      </c>
      <c r="AO96" s="94">
        <f>Table3.110[[#This Row],[Digested feed, mg]]/Table3.110[[#This Row],[Net gas 24h, ml]]</f>
        <v>3.3871318054504842</v>
      </c>
      <c r="AP96" s="94">
        <f>Table3.110[[#This Row],[CH4 8h, ml]]/Table3.110[[#This Row],[Net gas 8h, ml]]%</f>
        <v>13.699999999999998</v>
      </c>
      <c r="AQ96" s="94">
        <f>Table3.110[[#This Row],[CH4 24h, ml]]/Table3.110[[#This Row],[Net gas 24h, ml]]%</f>
        <v>13.134108467492291</v>
      </c>
      <c r="AR96" s="94">
        <f>Table3.110[[#This Row],[CH4 24h, ml]]/Table3.110[[#This Row],[DM Incubated, mg]]*1000</f>
        <v>8.0884768564772518</v>
      </c>
      <c r="AS96" s="94">
        <f>Table3.110[[#This Row],[CH4 24h, ml]]/Table3.110[[#This Row],[Digested feed, mg]]*1000</f>
        <v>38.776490617687884</v>
      </c>
      <c r="AT96" s="94">
        <f>Table3.110[[#This Row],[CH4 24h, ml]]/'3.2 Digest'!AA96</f>
        <v>-0.13650701377799862</v>
      </c>
      <c r="AU96" s="94">
        <f>((Table3.110[[#This Row],[CH4 24h, ml]]/28.9)*16.04)/Table3.110[[#This Row],[DM Incubated, mg]]*1000</f>
        <v>4.4892445943908346</v>
      </c>
      <c r="AV96" s="94">
        <f>((Table3.110[[#This Row],[CH4 24h, ml]]/28.9)*16.04)/Table3.110[[#This Row],[Digested feed, mg]]*1000</f>
        <v>21.521623166356875</v>
      </c>
      <c r="AW96" s="303"/>
    </row>
    <row r="97" spans="1:49" s="304" customFormat="1" x14ac:dyDescent="0.35">
      <c r="A97" s="89"/>
      <c r="B97" s="90">
        <f t="shared" si="1"/>
        <v>87</v>
      </c>
      <c r="C97" s="140">
        <v>46041</v>
      </c>
      <c r="D97" s="6" t="s">
        <v>16</v>
      </c>
      <c r="E97" s="6" t="s">
        <v>94</v>
      </c>
      <c r="F97" s="133" t="s">
        <v>19</v>
      </c>
      <c r="G97" s="133" t="s">
        <v>29</v>
      </c>
      <c r="H97" s="133" t="s">
        <v>30</v>
      </c>
      <c r="I97" s="6" t="s">
        <v>22</v>
      </c>
      <c r="J97" s="129" t="s">
        <v>23</v>
      </c>
      <c r="K97" s="129" t="s">
        <v>24</v>
      </c>
      <c r="L97" s="6" t="s">
        <v>93</v>
      </c>
      <c r="M97" s="119">
        <v>27</v>
      </c>
      <c r="N97" s="93">
        <v>58</v>
      </c>
      <c r="O97" s="6">
        <v>1</v>
      </c>
      <c r="P97" s="129">
        <v>2</v>
      </c>
      <c r="Q97" s="6">
        <v>267</v>
      </c>
      <c r="R97" s="98">
        <v>0.50009999999999999</v>
      </c>
      <c r="S97" s="94">
        <f>((Table3.110[[#This Row],[Sample weight, g]]*'2.1. DM'!Q65)/100)*1000</f>
        <v>473.08174190144013</v>
      </c>
      <c r="T97" s="94">
        <f>'3.2 Digest'!W97</f>
        <v>69.581741901440068</v>
      </c>
      <c r="U97" s="153">
        <v>0.37916666666666665</v>
      </c>
      <c r="V97" s="155">
        <v>40.5</v>
      </c>
      <c r="W97" s="153">
        <v>0.73611111111111116</v>
      </c>
      <c r="X97" s="95">
        <v>61.5</v>
      </c>
      <c r="Y97" s="95">
        <v>14.1</v>
      </c>
      <c r="Z97" s="154">
        <v>39.5</v>
      </c>
      <c r="AA97" s="153">
        <v>0.41180555555555554</v>
      </c>
      <c r="AB97" s="154">
        <v>53</v>
      </c>
      <c r="AC97" s="154">
        <v>15.5</v>
      </c>
      <c r="AD97" s="91"/>
      <c r="AE97" s="94">
        <f>Table3.110[[#This Row],[Gas 8h, ml]]-Table3.110[[#This Row],[Gas 0h, ml]]</f>
        <v>21</v>
      </c>
      <c r="AF97" s="94">
        <f>Table3.110[[#This Row],[Gas 24h, ml]]-Table3.110[[#This Row],[V8 Push back, ml]]</f>
        <v>13.5</v>
      </c>
      <c r="AG97" s="94">
        <f>Table3.110[[#This Row],[GP 8h, ml]]-(AVERAGE(AE$11,AE$12,AE$62,AE$61,AE$114,AE$115))*$AG$8</f>
        <v>18.344979731721114</v>
      </c>
      <c r="AH97" s="94">
        <f>Table3.110[[#This Row],[GP 8-24h, ml]]-(AVERAGE(AF$11,AF$12,AF$62,AF$61,AF$114,AF$115))*$AG$8</f>
        <v>9.8124718496126597</v>
      </c>
      <c r="AI97" s="94">
        <f>Table3.110[[#This Row],[Net gas 8-24h, ml]]+Table3.110[[#This Row],[Net gas 8h, ml]]</f>
        <v>28.157451581333774</v>
      </c>
      <c r="AJ97" s="94">
        <f>Table3.110[[#This Row],[Net gas 8h, ml]]*Table3.110[[#This Row],[CH4 8h %]]%</f>
        <v>2.5866421421726771</v>
      </c>
      <c r="AK97" s="94">
        <f>Table3.110[[#This Row],[Net gas 8-24h, ml]]*Table3.110[[#This Row],[CH4 24h, %]]%</f>
        <v>1.5209331366899623</v>
      </c>
      <c r="AL97" s="94">
        <f>Table3.110[[#This Row],[CH4 8-24h, ml]]+Table3.110[[#This Row],[CH4 8h, ml]]</f>
        <v>4.1075752788626394</v>
      </c>
      <c r="AM97" s="94">
        <f>(Table3.110[[#This Row],[Net gas 24h, ml]]/Table3.110[[#This Row],[DM Incubated, mg]])*1000</f>
        <v>59.519210080189438</v>
      </c>
      <c r="AN97" s="94">
        <f>'3.2 Digest'!X97</f>
        <v>14.708185866943992</v>
      </c>
      <c r="AO97" s="94">
        <f>Table3.110[[#This Row],[Digested feed, mg]]/Table3.110[[#This Row],[Net gas 24h, ml]]</f>
        <v>2.4711661742700968</v>
      </c>
      <c r="AP97" s="94">
        <f>Table3.110[[#This Row],[CH4 8h, ml]]/Table3.110[[#This Row],[Net gas 8h, ml]]%</f>
        <v>14.1</v>
      </c>
      <c r="AQ97" s="94">
        <f>Table3.110[[#This Row],[CH4 24h, ml]]/Table3.110[[#This Row],[Net gas 24h, ml]]%</f>
        <v>14.587880110519823</v>
      </c>
      <c r="AR97" s="94">
        <f>Table3.110[[#This Row],[CH4 24h, ml]]/Table3.110[[#This Row],[DM Incubated, mg]]*1000</f>
        <v>8.6825910092264653</v>
      </c>
      <c r="AS97" s="94">
        <f>Table3.110[[#This Row],[CH4 24h, ml]]/Table3.110[[#This Row],[Digested feed, mg]]*1000</f>
        <v>59.032372093829814</v>
      </c>
      <c r="AT97" s="94">
        <f>Table3.110[[#This Row],[CH4 24h, ml]]/'3.2 Digest'!AA97</f>
        <v>-0.10807490508926303</v>
      </c>
      <c r="AU97" s="94">
        <f>((Table3.110[[#This Row],[CH4 24h, ml]]/28.9)*16.04)/Table3.110[[#This Row],[DM Incubated, mg]]*1000</f>
        <v>4.8189882279582177</v>
      </c>
      <c r="AV97" s="94">
        <f>((Table3.110[[#This Row],[CH4 24h, ml]]/28.9)*16.04)/Table3.110[[#This Row],[Digested feed, mg]]*1000</f>
        <v>32.763987833392044</v>
      </c>
      <c r="AW97" s="303"/>
    </row>
    <row r="98" spans="1:49" s="304" customFormat="1" x14ac:dyDescent="0.35">
      <c r="A98" s="89"/>
      <c r="B98" s="90">
        <f t="shared" si="1"/>
        <v>88</v>
      </c>
      <c r="C98" s="140">
        <v>46041</v>
      </c>
      <c r="D98" s="6" t="s">
        <v>16</v>
      </c>
      <c r="E98" s="6" t="s">
        <v>94</v>
      </c>
      <c r="F98" s="133" t="s">
        <v>19</v>
      </c>
      <c r="G98" s="133" t="s">
        <v>29</v>
      </c>
      <c r="H98" s="133" t="s">
        <v>30</v>
      </c>
      <c r="I98" s="6" t="s">
        <v>22</v>
      </c>
      <c r="J98" s="129" t="s">
        <v>23</v>
      </c>
      <c r="K98" s="129" t="s">
        <v>24</v>
      </c>
      <c r="L98" s="6" t="s">
        <v>93</v>
      </c>
      <c r="M98" s="119">
        <v>27</v>
      </c>
      <c r="N98" s="93">
        <v>58</v>
      </c>
      <c r="O98" s="6">
        <v>1</v>
      </c>
      <c r="P98" s="129">
        <v>3</v>
      </c>
      <c r="Q98" s="6">
        <v>268</v>
      </c>
      <c r="R98" s="98">
        <v>0.5</v>
      </c>
      <c r="S98" s="94">
        <f>((Table3.110[[#This Row],[Sample weight, g]]*'2.1. DM'!Q65)/100)*1000</f>
        <v>472.98714447254571</v>
      </c>
      <c r="T98" s="94">
        <f>'3.2 Digest'!W98</f>
        <v>129.48714447254571</v>
      </c>
      <c r="U98" s="117">
        <v>0.40069444444444446</v>
      </c>
      <c r="V98" s="155">
        <v>41.5</v>
      </c>
      <c r="W98" s="117">
        <v>0.7368055555555556</v>
      </c>
      <c r="X98" s="97">
        <v>65</v>
      </c>
      <c r="Y98" s="97">
        <v>13.1</v>
      </c>
      <c r="Z98" s="155">
        <v>40.5</v>
      </c>
      <c r="AA98" s="117">
        <v>0.41111111111111109</v>
      </c>
      <c r="AB98" s="155">
        <v>54.5</v>
      </c>
      <c r="AC98" s="155">
        <v>16.2</v>
      </c>
      <c r="AD98" s="96"/>
      <c r="AE98" s="94">
        <f>Table3.110[[#This Row],[Gas 8h, ml]]-Table3.110[[#This Row],[Gas 0h, ml]]</f>
        <v>23.5</v>
      </c>
      <c r="AF98" s="94">
        <f>Table3.110[[#This Row],[Gas 24h, ml]]-Table3.110[[#This Row],[V8 Push back, ml]]</f>
        <v>14</v>
      </c>
      <c r="AG98" s="94">
        <f>Table3.110[[#This Row],[GP 8h, ml]]-(AVERAGE(AE$11,AE$12,AE$62,AE$61,AE$114,AE$115))*$AG$8</f>
        <v>20.844979731721114</v>
      </c>
      <c r="AH98" s="94">
        <f>Table3.110[[#This Row],[GP 8-24h, ml]]-(AVERAGE(AF$11,AF$12,AF$62,AF$61,AF$114,AF$115))*$AG$8</f>
        <v>10.31247184961266</v>
      </c>
      <c r="AI98" s="94">
        <f>Table3.110[[#This Row],[Net gas 8-24h, ml]]+Table3.110[[#This Row],[Net gas 8h, ml]]</f>
        <v>31.157451581333774</v>
      </c>
      <c r="AJ98" s="94">
        <f>Table3.110[[#This Row],[Net gas 8h, ml]]*Table3.110[[#This Row],[CH4 8h %]]%</f>
        <v>2.7306923448554663</v>
      </c>
      <c r="AK98" s="94">
        <f>Table3.110[[#This Row],[Net gas 8-24h, ml]]*Table3.110[[#This Row],[CH4 24h, %]]%</f>
        <v>1.6706204396372508</v>
      </c>
      <c r="AL98" s="94">
        <f>Table3.110[[#This Row],[CH4 8-24h, ml]]+Table3.110[[#This Row],[CH4 8h, ml]]</f>
        <v>4.4013127844927169</v>
      </c>
      <c r="AM98" s="94">
        <f>(Table3.110[[#This Row],[Net gas 24h, ml]]/Table3.110[[#This Row],[DM Incubated, mg]])*1000</f>
        <v>65.873781022271075</v>
      </c>
      <c r="AN98" s="94">
        <f>'3.2 Digest'!X98</f>
        <v>27.376461704248651</v>
      </c>
      <c r="AO98" s="94">
        <f>Table3.110[[#This Row],[Digested feed, mg]]/Table3.110[[#This Row],[Net gas 24h, ml]]</f>
        <v>4.1558965159435761</v>
      </c>
      <c r="AP98" s="94">
        <f>Table3.110[[#This Row],[CH4 8h, ml]]/Table3.110[[#This Row],[Net gas 8h, ml]]%</f>
        <v>13.100000000000001</v>
      </c>
      <c r="AQ98" s="94">
        <f>Table3.110[[#This Row],[CH4 24h, ml]]/Table3.110[[#This Row],[Net gas 24h, ml]]%</f>
        <v>14.126035863374382</v>
      </c>
      <c r="AR98" s="94">
        <f>Table3.110[[#This Row],[CH4 24h, ml]]/Table3.110[[#This Row],[DM Incubated, mg]]*1000</f>
        <v>9.3053539317667191</v>
      </c>
      <c r="AS98" s="94">
        <f>Table3.110[[#This Row],[CH4 24h, ml]]/Table3.110[[#This Row],[Digested feed, mg]]*1000</f>
        <v>33.990345546819107</v>
      </c>
      <c r="AT98" s="94">
        <f>Table3.110[[#This Row],[CH4 24h, ml]]/'3.2 Digest'!AA98</f>
        <v>-0.2513772905614719</v>
      </c>
      <c r="AU98" s="94">
        <f>((Table3.110[[#This Row],[CH4 24h, ml]]/28.9)*16.04)/Table3.110[[#This Row],[DM Incubated, mg]]*1000</f>
        <v>5.1646324244130852</v>
      </c>
      <c r="AV98" s="94">
        <f>((Table3.110[[#This Row],[CH4 24h, ml]]/28.9)*16.04)/Table3.110[[#This Row],[Digested feed, mg]]*1000</f>
        <v>18.865229846746658</v>
      </c>
      <c r="AW98" s="303"/>
    </row>
    <row r="99" spans="1:49" s="304" customFormat="1" x14ac:dyDescent="0.35">
      <c r="A99" s="89"/>
      <c r="B99" s="90">
        <f t="shared" si="1"/>
        <v>89</v>
      </c>
      <c r="C99" s="140">
        <v>46041</v>
      </c>
      <c r="D99" s="6" t="s">
        <v>16</v>
      </c>
      <c r="E99" s="6" t="s">
        <v>96</v>
      </c>
      <c r="F99" s="133" t="s">
        <v>19</v>
      </c>
      <c r="G99" s="133" t="s">
        <v>29</v>
      </c>
      <c r="H99" s="133" t="s">
        <v>30</v>
      </c>
      <c r="I99" s="6" t="s">
        <v>22</v>
      </c>
      <c r="J99" s="129" t="s">
        <v>23</v>
      </c>
      <c r="K99" s="129" t="s">
        <v>24</v>
      </c>
      <c r="L99" s="6" t="s">
        <v>95</v>
      </c>
      <c r="M99" s="119">
        <v>27</v>
      </c>
      <c r="N99" s="93">
        <v>58</v>
      </c>
      <c r="O99" s="6">
        <v>1</v>
      </c>
      <c r="P99" s="129">
        <v>1</v>
      </c>
      <c r="Q99" s="6">
        <v>269</v>
      </c>
      <c r="R99" s="98">
        <v>0.50039999999999996</v>
      </c>
      <c r="S99" s="94">
        <f>((Table3.110[[#This Row],[Sample weight, g]]*'2.1. DM'!Q67)/100)*1000</f>
        <v>470.75870149572989</v>
      </c>
      <c r="T99" s="94">
        <f>'3.2 Digest'!W99</f>
        <v>81.958701495729883</v>
      </c>
      <c r="U99" s="153">
        <v>0.40069444444444446</v>
      </c>
      <c r="V99" s="155">
        <v>41</v>
      </c>
      <c r="W99" s="153">
        <v>0.7368055555555556</v>
      </c>
      <c r="X99" s="95">
        <v>65</v>
      </c>
      <c r="Y99" s="95">
        <v>14.4</v>
      </c>
      <c r="Z99" s="154">
        <v>41</v>
      </c>
      <c r="AA99" s="153">
        <v>0.41111111111111109</v>
      </c>
      <c r="AB99" s="154">
        <v>56.5</v>
      </c>
      <c r="AC99" s="154">
        <v>16.7</v>
      </c>
      <c r="AD99" s="91"/>
      <c r="AE99" s="94">
        <f>Table3.110[[#This Row],[Gas 8h, ml]]-Table3.110[[#This Row],[Gas 0h, ml]]</f>
        <v>24</v>
      </c>
      <c r="AF99" s="94">
        <f>Table3.110[[#This Row],[Gas 24h, ml]]-Table3.110[[#This Row],[V8 Push back, ml]]</f>
        <v>15.5</v>
      </c>
      <c r="AG99" s="94">
        <f>Table3.110[[#This Row],[GP 8h, ml]]-(AVERAGE(AE$11,AE$12,AE$62,AE$61,AE$114,AE$115))*$AG$8</f>
        <v>21.344979731721114</v>
      </c>
      <c r="AH99" s="94">
        <f>Table3.110[[#This Row],[GP 8-24h, ml]]-(AVERAGE(AF$11,AF$12,AF$62,AF$61,AF$114,AF$115))*$AG$8</f>
        <v>11.81247184961266</v>
      </c>
      <c r="AI99" s="94">
        <f>Table3.110[[#This Row],[Net gas 8-24h, ml]]+Table3.110[[#This Row],[Net gas 8h, ml]]</f>
        <v>33.157451581333774</v>
      </c>
      <c r="AJ99" s="94">
        <f>Table3.110[[#This Row],[Net gas 8h, ml]]*Table3.110[[#This Row],[CH4 8h %]]%</f>
        <v>3.0736770813678409</v>
      </c>
      <c r="AK99" s="94">
        <f>Table3.110[[#This Row],[Net gas 8-24h, ml]]*Table3.110[[#This Row],[CH4 24h, %]]%</f>
        <v>1.9726827988853139</v>
      </c>
      <c r="AL99" s="94">
        <f>Table3.110[[#This Row],[CH4 8-24h, ml]]+Table3.110[[#This Row],[CH4 8h, ml]]</f>
        <v>5.0463598802531546</v>
      </c>
      <c r="AM99" s="94">
        <f>(Table3.110[[#This Row],[Net gas 24h, ml]]/Table3.110[[#This Row],[DM Incubated, mg]])*1000</f>
        <v>70.434070524843051</v>
      </c>
      <c r="AN99" s="94">
        <f>'3.2 Digest'!X99</f>
        <v>17.40991748752058</v>
      </c>
      <c r="AO99" s="94">
        <f>Table3.110[[#This Row],[Digested feed, mg]]/Table3.110[[#This Row],[Net gas 24h, ml]]</f>
        <v>2.4718033982403256</v>
      </c>
      <c r="AP99" s="94">
        <f>Table3.110[[#This Row],[CH4 8h, ml]]/Table3.110[[#This Row],[Net gas 8h, ml]]%</f>
        <v>14.400000000000002</v>
      </c>
      <c r="AQ99" s="94">
        <f>Table3.110[[#This Row],[CH4 24h, ml]]/Table3.110[[#This Row],[Net gas 24h, ml]]%</f>
        <v>15.219383998419346</v>
      </c>
      <c r="AR99" s="94">
        <f>Table3.110[[#This Row],[CH4 24h, ml]]/Table3.110[[#This Row],[DM Incubated, mg]]*1000</f>
        <v>10.719631658893359</v>
      </c>
      <c r="AS99" s="94">
        <f>Table3.110[[#This Row],[CH4 24h, ml]]/Table3.110[[#This Row],[Digested feed, mg]]*1000</f>
        <v>61.571984281816306</v>
      </c>
      <c r="AT99" s="94">
        <f>Table3.110[[#This Row],[CH4 24h, ml]]/'3.2 Digest'!AA99</f>
        <v>-0.18911288102999615</v>
      </c>
      <c r="AU99" s="94">
        <f>((Table3.110[[#This Row],[CH4 24h, ml]]/28.9)*16.04)/Table3.110[[#This Row],[DM Incubated, mg]]*1000</f>
        <v>5.9495810314411584</v>
      </c>
      <c r="AV99" s="94">
        <f>((Table3.110[[#This Row],[CH4 24h, ml]]/28.9)*16.04)/Table3.110[[#This Row],[Digested feed, mg]]*1000</f>
        <v>34.173516535651679</v>
      </c>
      <c r="AW99" s="303"/>
    </row>
    <row r="100" spans="1:49" s="304" customFormat="1" x14ac:dyDescent="0.35">
      <c r="A100" s="89"/>
      <c r="B100" s="90">
        <f t="shared" si="1"/>
        <v>90</v>
      </c>
      <c r="C100" s="140">
        <v>46041</v>
      </c>
      <c r="D100" s="6" t="s">
        <v>16</v>
      </c>
      <c r="E100" s="6" t="s">
        <v>96</v>
      </c>
      <c r="F100" s="133" t="s">
        <v>19</v>
      </c>
      <c r="G100" s="133" t="s">
        <v>29</v>
      </c>
      <c r="H100" s="133" t="s">
        <v>30</v>
      </c>
      <c r="I100" s="6" t="s">
        <v>22</v>
      </c>
      <c r="J100" s="129" t="s">
        <v>23</v>
      </c>
      <c r="K100" s="129" t="s">
        <v>24</v>
      </c>
      <c r="L100" s="6" t="s">
        <v>95</v>
      </c>
      <c r="M100" s="119">
        <v>27</v>
      </c>
      <c r="N100" s="93">
        <v>58</v>
      </c>
      <c r="O100" s="6">
        <v>1</v>
      </c>
      <c r="P100" s="129">
        <v>2</v>
      </c>
      <c r="Q100" s="6">
        <v>270</v>
      </c>
      <c r="R100" s="98">
        <v>0.50049999999999994</v>
      </c>
      <c r="S100" s="94">
        <f>((Table3.110[[#This Row],[Sample weight, g]]*'2.1. DM'!Q67)/100)*1000</f>
        <v>470.85277797484582</v>
      </c>
      <c r="T100" s="94">
        <f>'3.2 Digest'!W100</f>
        <v>66.55277797484581</v>
      </c>
      <c r="U100" s="117">
        <v>0.40069444444444446</v>
      </c>
      <c r="V100" s="155">
        <v>41</v>
      </c>
      <c r="W100" s="117">
        <v>0.7368055555555556</v>
      </c>
      <c r="X100" s="97">
        <v>65</v>
      </c>
      <c r="Y100" s="97">
        <v>14.6</v>
      </c>
      <c r="Z100" s="155">
        <v>40</v>
      </c>
      <c r="AA100" s="117">
        <v>0.41388888888888886</v>
      </c>
      <c r="AB100" s="155">
        <v>55.5</v>
      </c>
      <c r="AC100" s="155">
        <v>13.4</v>
      </c>
      <c r="AD100" s="96"/>
      <c r="AE100" s="94">
        <f>Table3.110[[#This Row],[Gas 8h, ml]]-Table3.110[[#This Row],[Gas 0h, ml]]</f>
        <v>24</v>
      </c>
      <c r="AF100" s="94">
        <f>Table3.110[[#This Row],[Gas 24h, ml]]-Table3.110[[#This Row],[V8 Push back, ml]]</f>
        <v>15.5</v>
      </c>
      <c r="AG100" s="94">
        <f>Table3.110[[#This Row],[GP 8h, ml]]-(AVERAGE(AE$11,AE$12,AE$62,AE$61,AE$114,AE$115))*$AG$8</f>
        <v>21.344979731721114</v>
      </c>
      <c r="AH100" s="94">
        <f>Table3.110[[#This Row],[GP 8-24h, ml]]-(AVERAGE(AF$11,AF$12,AF$62,AF$61,AF$114,AF$115))*$AG$8</f>
        <v>11.81247184961266</v>
      </c>
      <c r="AI100" s="94">
        <f>Table3.110[[#This Row],[Net gas 8-24h, ml]]+Table3.110[[#This Row],[Net gas 8h, ml]]</f>
        <v>33.157451581333774</v>
      </c>
      <c r="AJ100" s="94">
        <f>Table3.110[[#This Row],[Net gas 8h, ml]]*Table3.110[[#This Row],[CH4 8h %]]%</f>
        <v>3.1163670408312827</v>
      </c>
      <c r="AK100" s="94">
        <f>Table3.110[[#This Row],[Net gas 8-24h, ml]]*Table3.110[[#This Row],[CH4 24h, %]]%</f>
        <v>1.5828712278480965</v>
      </c>
      <c r="AL100" s="94">
        <f>Table3.110[[#This Row],[CH4 8-24h, ml]]+Table3.110[[#This Row],[CH4 8h, ml]]</f>
        <v>4.6992382686793794</v>
      </c>
      <c r="AM100" s="94">
        <f>(Table3.110[[#This Row],[Net gas 24h, ml]]/Table3.110[[#This Row],[DM Incubated, mg]])*1000</f>
        <v>70.419997783479431</v>
      </c>
      <c r="AN100" s="94">
        <f>'3.2 Digest'!X100</f>
        <v>14.134519554305621</v>
      </c>
      <c r="AO100" s="94">
        <f>Table3.110[[#This Row],[Digested feed, mg]]/Table3.110[[#This Row],[Net gas 24h, ml]]</f>
        <v>2.0071740981539179</v>
      </c>
      <c r="AP100" s="94">
        <f>Table3.110[[#This Row],[CH4 8h, ml]]/Table3.110[[#This Row],[Net gas 8h, ml]]%</f>
        <v>14.6</v>
      </c>
      <c r="AQ100" s="94">
        <f>Table3.110[[#This Row],[CH4 24h, ml]]/Table3.110[[#This Row],[Net gas 24h, ml]]%</f>
        <v>14.172495305172516</v>
      </c>
      <c r="AR100" s="94">
        <f>Table3.110[[#This Row],[CH4 24h, ml]]/Table3.110[[#This Row],[DM Incubated, mg]]*1000</f>
        <v>9.9802708797662127</v>
      </c>
      <c r="AS100" s="94">
        <f>Table3.110[[#This Row],[CH4 24h, ml]]/Table3.110[[#This Row],[Digested feed, mg]]*1000</f>
        <v>70.609197867825984</v>
      </c>
      <c r="AT100" s="94">
        <f>Table3.110[[#This Row],[CH4 24h, ml]]/'3.2 Digest'!AA100</f>
        <v>-0.14820126017306334</v>
      </c>
      <c r="AU100" s="94">
        <f>((Table3.110[[#This Row],[CH4 24h, ml]]/28.9)*16.04)/Table3.110[[#This Row],[DM Incubated, mg]]*1000</f>
        <v>5.5392230073166102</v>
      </c>
      <c r="AV100" s="94">
        <f>((Table3.110[[#This Row],[CH4 24h, ml]]/28.9)*16.04)/Table3.110[[#This Row],[Digested feed, mg]]*1000</f>
        <v>39.189326429063279</v>
      </c>
      <c r="AW100" s="303"/>
    </row>
    <row r="101" spans="1:49" s="304" customFormat="1" x14ac:dyDescent="0.35">
      <c r="A101" s="89"/>
      <c r="B101" s="90">
        <f t="shared" si="1"/>
        <v>91</v>
      </c>
      <c r="C101" s="140">
        <v>46041</v>
      </c>
      <c r="D101" s="6" t="s">
        <v>16</v>
      </c>
      <c r="E101" s="6" t="s">
        <v>96</v>
      </c>
      <c r="F101" s="133" t="s">
        <v>19</v>
      </c>
      <c r="G101" s="133" t="s">
        <v>29</v>
      </c>
      <c r="H101" s="133" t="s">
        <v>30</v>
      </c>
      <c r="I101" s="6" t="s">
        <v>22</v>
      </c>
      <c r="J101" s="129" t="s">
        <v>23</v>
      </c>
      <c r="K101" s="129" t="s">
        <v>24</v>
      </c>
      <c r="L101" s="6" t="s">
        <v>95</v>
      </c>
      <c r="M101" s="119">
        <v>27</v>
      </c>
      <c r="N101" s="93">
        <v>58</v>
      </c>
      <c r="O101" s="6">
        <v>1</v>
      </c>
      <c r="P101" s="129">
        <v>3</v>
      </c>
      <c r="Q101" s="6">
        <v>271</v>
      </c>
      <c r="R101" s="98">
        <v>0.5</v>
      </c>
      <c r="S101" s="94">
        <f>((Table3.110[[#This Row],[Sample weight, g]]*'2.1. DM'!Q67)/100)*1000</f>
        <v>470.38239557926659</v>
      </c>
      <c r="T101" s="94">
        <f>'3.2 Digest'!W101</f>
        <v>68.78239557926662</v>
      </c>
      <c r="U101" s="153">
        <v>0.40138888888888891</v>
      </c>
      <c r="V101" s="154">
        <v>41</v>
      </c>
      <c r="W101" s="153">
        <v>0.7368055555555556</v>
      </c>
      <c r="X101" s="95">
        <v>67.5</v>
      </c>
      <c r="Y101" s="95">
        <v>13.6</v>
      </c>
      <c r="Z101" s="154">
        <v>41</v>
      </c>
      <c r="AA101" s="153">
        <v>0.41458333333333336</v>
      </c>
      <c r="AB101" s="154">
        <v>56</v>
      </c>
      <c r="AC101" s="154">
        <v>16.399999999999999</v>
      </c>
      <c r="AD101" s="91"/>
      <c r="AE101" s="94">
        <f>Table3.110[[#This Row],[Gas 8h, ml]]-Table3.110[[#This Row],[Gas 0h, ml]]</f>
        <v>26.5</v>
      </c>
      <c r="AF101" s="94">
        <f>Table3.110[[#This Row],[Gas 24h, ml]]-Table3.110[[#This Row],[V8 Push back, ml]]</f>
        <v>15</v>
      </c>
      <c r="AG101" s="94">
        <f>Table3.110[[#This Row],[GP 8h, ml]]-(AVERAGE(AE$11,AE$12,AE$62,AE$61,AE$114,AE$115))*$AG$8</f>
        <v>23.844979731721114</v>
      </c>
      <c r="AH101" s="94">
        <f>Table3.110[[#This Row],[GP 8-24h, ml]]-(AVERAGE(AF$11,AF$12,AF$62,AF$61,AF$114,AF$115))*$AG$8</f>
        <v>11.31247184961266</v>
      </c>
      <c r="AI101" s="94">
        <f>Table3.110[[#This Row],[Net gas 8-24h, ml]]+Table3.110[[#This Row],[Net gas 8h, ml]]</f>
        <v>35.157451581333774</v>
      </c>
      <c r="AJ101" s="94">
        <f>Table3.110[[#This Row],[Net gas 8h, ml]]*Table3.110[[#This Row],[CH4 8h %]]%</f>
        <v>3.2429172435140718</v>
      </c>
      <c r="AK101" s="94">
        <f>Table3.110[[#This Row],[Net gas 8-24h, ml]]*Table3.110[[#This Row],[CH4 24h, %]]%</f>
        <v>1.8552453833364759</v>
      </c>
      <c r="AL101" s="94">
        <f>Table3.110[[#This Row],[CH4 8-24h, ml]]+Table3.110[[#This Row],[CH4 8h, ml]]</f>
        <v>5.0981626268505478</v>
      </c>
      <c r="AM101" s="94">
        <f>(Table3.110[[#This Row],[Net gas 24h, ml]]/Table3.110[[#This Row],[DM Incubated, mg]])*1000</f>
        <v>74.742277584683151</v>
      </c>
      <c r="AN101" s="94">
        <f>'3.2 Digest'!X101</f>
        <v>14.622655147321673</v>
      </c>
      <c r="AO101" s="94">
        <f>Table3.110[[#This Row],[Digested feed, mg]]/Table3.110[[#This Row],[Net gas 24h, ml]]</f>
        <v>1.9564101630103763</v>
      </c>
      <c r="AP101" s="94">
        <f>Table3.110[[#This Row],[CH4 8h, ml]]/Table3.110[[#This Row],[Net gas 8h, ml]]%</f>
        <v>13.600000000000001</v>
      </c>
      <c r="AQ101" s="94">
        <f>Table3.110[[#This Row],[CH4 24h, ml]]/Table3.110[[#This Row],[Net gas 24h, ml]]%</f>
        <v>14.50094474298395</v>
      </c>
      <c r="AR101" s="94">
        <f>Table3.110[[#This Row],[CH4 24h, ml]]/Table3.110[[#This Row],[DM Incubated, mg]]*1000</f>
        <v>10.838336372202582</v>
      </c>
      <c r="AS101" s="94">
        <f>Table3.110[[#This Row],[CH4 24h, ml]]/Table3.110[[#This Row],[Digested feed, mg]]*1000</f>
        <v>74.120166707123374</v>
      </c>
      <c r="AT101" s="94">
        <f>Table3.110[[#This Row],[CH4 24h, ml]]/'3.2 Digest'!AA101</f>
        <v>-0.1646707041454111</v>
      </c>
      <c r="AU101" s="94">
        <f>((Table3.110[[#This Row],[CH4 24h, ml]]/28.9)*16.04)/Table3.110[[#This Row],[DM Incubated, mg]]*1000</f>
        <v>6.0154642010425396</v>
      </c>
      <c r="AV101" s="94">
        <f>((Table3.110[[#This Row],[CH4 24h, ml]]/28.9)*16.04)/Table3.110[[#This Row],[Digested feed, mg]]*1000</f>
        <v>41.137974878278854</v>
      </c>
      <c r="AW101" s="303"/>
    </row>
    <row r="102" spans="1:49" s="304" customFormat="1" x14ac:dyDescent="0.35">
      <c r="A102" s="89"/>
      <c r="B102" s="90">
        <f t="shared" si="1"/>
        <v>92</v>
      </c>
      <c r="C102" s="140">
        <v>46041</v>
      </c>
      <c r="D102" s="6" t="s">
        <v>16</v>
      </c>
      <c r="E102" s="6" t="s">
        <v>98</v>
      </c>
      <c r="F102" s="133" t="s">
        <v>99</v>
      </c>
      <c r="G102" s="133" t="s">
        <v>100</v>
      </c>
      <c r="H102" s="133" t="s">
        <v>101</v>
      </c>
      <c r="I102" s="6" t="s">
        <v>22</v>
      </c>
      <c r="J102" s="129" t="s">
        <v>23</v>
      </c>
      <c r="K102" s="129" t="s">
        <v>24</v>
      </c>
      <c r="L102" s="6" t="s">
        <v>97</v>
      </c>
      <c r="M102" s="119">
        <v>27</v>
      </c>
      <c r="N102" s="93">
        <v>58</v>
      </c>
      <c r="O102" s="6">
        <v>1</v>
      </c>
      <c r="P102" s="129">
        <v>1</v>
      </c>
      <c r="Q102" s="6">
        <v>272</v>
      </c>
      <c r="R102" s="98">
        <v>0.50009999999999999</v>
      </c>
      <c r="S102" s="94">
        <f>((Table3.110[[#This Row],[Sample weight, g]]*'2.1. DM'!Q69)/100)*1000</f>
        <v>472.45285164801135</v>
      </c>
      <c r="T102" s="94">
        <f>'3.2 Digest'!W102</f>
        <v>218.55285164801134</v>
      </c>
      <c r="U102" s="117">
        <v>0.40138888888888891</v>
      </c>
      <c r="V102" s="155">
        <v>41</v>
      </c>
      <c r="W102" s="117">
        <v>0.73750000000000004</v>
      </c>
      <c r="X102" s="97">
        <v>76</v>
      </c>
      <c r="Y102" s="97">
        <v>13.1</v>
      </c>
      <c r="Z102" s="155">
        <v>41.5</v>
      </c>
      <c r="AA102" s="117">
        <v>0.4152777777777778</v>
      </c>
      <c r="AB102" s="155">
        <v>72.5</v>
      </c>
      <c r="AC102" s="155">
        <v>14.6</v>
      </c>
      <c r="AD102" s="96"/>
      <c r="AE102" s="94">
        <f>Table3.110[[#This Row],[Gas 8h, ml]]-Table3.110[[#This Row],[Gas 0h, ml]]</f>
        <v>35</v>
      </c>
      <c r="AF102" s="94">
        <f>Table3.110[[#This Row],[Gas 24h, ml]]-Table3.110[[#This Row],[V8 Push back, ml]]</f>
        <v>31</v>
      </c>
      <c r="AG102" s="94">
        <f>Table3.110[[#This Row],[GP 8h, ml]]-(AVERAGE(AE$11,AE$12,AE$62,AE$61,AE$114,AE$115))*$AG$8</f>
        <v>32.344979731721118</v>
      </c>
      <c r="AH102" s="94">
        <f>Table3.110[[#This Row],[GP 8-24h, ml]]-(AVERAGE(AF$11,AF$12,AF$62,AF$61,AF$114,AF$115))*$AG$8</f>
        <v>27.31247184961266</v>
      </c>
      <c r="AI102" s="94">
        <f>Table3.110[[#This Row],[Net gas 8-24h, ml]]+Table3.110[[#This Row],[Net gas 8h, ml]]</f>
        <v>59.657451581333774</v>
      </c>
      <c r="AJ102" s="94">
        <f>Table3.110[[#This Row],[Net gas 8h, ml]]*Table3.110[[#This Row],[CH4 8h %]]%</f>
        <v>4.2371923448554663</v>
      </c>
      <c r="AK102" s="94">
        <f>Table3.110[[#This Row],[Net gas 8-24h, ml]]*Table3.110[[#This Row],[CH4 24h, %]]%</f>
        <v>3.987620890043448</v>
      </c>
      <c r="AL102" s="94">
        <f>Table3.110[[#This Row],[CH4 8-24h, ml]]+Table3.110[[#This Row],[CH4 8h, ml]]</f>
        <v>8.2248132348989138</v>
      </c>
      <c r="AM102" s="94">
        <f>(Table3.110[[#This Row],[Net gas 24h, ml]]/Table3.110[[#This Row],[DM Incubated, mg]])*1000</f>
        <v>126.27175679697241</v>
      </c>
      <c r="AN102" s="94">
        <f>'3.2 Digest'!X102</f>
        <v>46.259187744481736</v>
      </c>
      <c r="AO102" s="94">
        <f>Table3.110[[#This Row],[Digested feed, mg]]/Table3.110[[#This Row],[Net gas 24h, ml]]</f>
        <v>3.6634627503330091</v>
      </c>
      <c r="AP102" s="94">
        <f>Table3.110[[#This Row],[CH4 8h, ml]]/Table3.110[[#This Row],[Net gas 8h, ml]]%</f>
        <v>13.1</v>
      </c>
      <c r="AQ102" s="94">
        <f>Table3.110[[#This Row],[CH4 24h, ml]]/Table3.110[[#This Row],[Net gas 24h, ml]]%</f>
        <v>13.786732448142951</v>
      </c>
      <c r="AR102" s="94">
        <f>Table3.110[[#This Row],[CH4 24h, ml]]/Table3.110[[#This Row],[DM Incubated, mg]]*1000</f>
        <v>17.408749267168346</v>
      </c>
      <c r="AS102" s="94">
        <f>Table3.110[[#This Row],[CH4 24h, ml]]/Table3.110[[#This Row],[Digested feed, mg]]*1000</f>
        <v>37.633062999998394</v>
      </c>
      <c r="AT102" s="94">
        <f>Table3.110[[#This Row],[CH4 24h, ml]]/'3.2 Digest'!AA102</f>
        <v>1.1813806188239886</v>
      </c>
      <c r="AU102" s="94">
        <f>((Table3.110[[#This Row],[CH4 24h, ml]]/28.9)*16.04)/Table3.110[[#This Row],[DM Incubated, mg]]*1000</f>
        <v>9.6621570327121198</v>
      </c>
      <c r="AV102" s="94">
        <f>((Table3.110[[#This Row],[CH4 24h, ml]]/28.9)*16.04)/Table3.110[[#This Row],[Digested feed, mg]]*1000</f>
        <v>20.887001056054473</v>
      </c>
      <c r="AW102" s="303"/>
    </row>
    <row r="103" spans="1:49" s="304" customFormat="1" x14ac:dyDescent="0.35">
      <c r="A103" s="89"/>
      <c r="B103" s="90">
        <f t="shared" si="1"/>
        <v>93</v>
      </c>
      <c r="C103" s="140">
        <v>46041</v>
      </c>
      <c r="D103" s="6" t="s">
        <v>16</v>
      </c>
      <c r="E103" s="6" t="s">
        <v>98</v>
      </c>
      <c r="F103" s="133" t="s">
        <v>99</v>
      </c>
      <c r="G103" s="133" t="s">
        <v>100</v>
      </c>
      <c r="H103" s="133" t="s">
        <v>101</v>
      </c>
      <c r="I103" s="6" t="s">
        <v>22</v>
      </c>
      <c r="J103" s="129" t="s">
        <v>23</v>
      </c>
      <c r="K103" s="129" t="s">
        <v>24</v>
      </c>
      <c r="L103" s="6" t="s">
        <v>97</v>
      </c>
      <c r="M103" s="119">
        <v>27</v>
      </c>
      <c r="N103" s="93">
        <v>58</v>
      </c>
      <c r="O103" s="6">
        <v>1</v>
      </c>
      <c r="P103" s="129">
        <v>2</v>
      </c>
      <c r="Q103" s="6">
        <v>273</v>
      </c>
      <c r="R103" s="98">
        <v>0.50019999999999998</v>
      </c>
      <c r="S103" s="94">
        <f>((Table3.110[[#This Row],[Sample weight, g]]*'2.1. DM'!Q69)/100)*1000</f>
        <v>472.54732332400579</v>
      </c>
      <c r="T103" s="94">
        <f>'3.2 Digest'!W103</f>
        <v>254.94732332400577</v>
      </c>
      <c r="U103" s="153">
        <v>0.40138888888888891</v>
      </c>
      <c r="V103" s="154">
        <v>41.5</v>
      </c>
      <c r="W103" s="153">
        <v>0.73819444444444449</v>
      </c>
      <c r="X103" s="95">
        <v>75.5</v>
      </c>
      <c r="Y103" s="95">
        <v>13.3</v>
      </c>
      <c r="Z103" s="154">
        <v>40.5</v>
      </c>
      <c r="AA103" s="153">
        <v>0.41736111111111113</v>
      </c>
      <c r="AB103" s="154">
        <v>70.5</v>
      </c>
      <c r="AC103" s="154">
        <v>16</v>
      </c>
      <c r="AD103" s="91"/>
      <c r="AE103" s="94">
        <f>Table3.110[[#This Row],[Gas 8h, ml]]-Table3.110[[#This Row],[Gas 0h, ml]]</f>
        <v>34</v>
      </c>
      <c r="AF103" s="94">
        <f>Table3.110[[#This Row],[Gas 24h, ml]]-Table3.110[[#This Row],[V8 Push back, ml]]</f>
        <v>30</v>
      </c>
      <c r="AG103" s="94">
        <f>Table3.110[[#This Row],[GP 8h, ml]]-(AVERAGE(AE$11,AE$12,AE$62,AE$61,AE$114,AE$115))*$AG$8</f>
        <v>31.344979731721114</v>
      </c>
      <c r="AH103" s="94">
        <f>Table3.110[[#This Row],[GP 8-24h, ml]]-(AVERAGE(AF$11,AF$12,AF$62,AF$61,AF$114,AF$115))*$AG$8</f>
        <v>26.31247184961266</v>
      </c>
      <c r="AI103" s="94">
        <f>Table3.110[[#This Row],[Net gas 8-24h, ml]]+Table3.110[[#This Row],[Net gas 8h, ml]]</f>
        <v>57.657451581333774</v>
      </c>
      <c r="AJ103" s="94">
        <f>Table3.110[[#This Row],[Net gas 8h, ml]]*Table3.110[[#This Row],[CH4 8h %]]%</f>
        <v>4.1688823043189087</v>
      </c>
      <c r="AK103" s="94">
        <f>Table3.110[[#This Row],[Net gas 8-24h, ml]]*Table3.110[[#This Row],[CH4 24h, %]]%</f>
        <v>4.2099954959380259</v>
      </c>
      <c r="AL103" s="94">
        <f>Table3.110[[#This Row],[CH4 8-24h, ml]]+Table3.110[[#This Row],[CH4 8h, ml]]</f>
        <v>8.3788778002569337</v>
      </c>
      <c r="AM103" s="94">
        <f>(Table3.110[[#This Row],[Net gas 24h, ml]]/Table3.110[[#This Row],[DM Incubated, mg]])*1000</f>
        <v>122.01413220533786</v>
      </c>
      <c r="AN103" s="94">
        <f>'3.2 Digest'!X103</f>
        <v>53.951701922814429</v>
      </c>
      <c r="AO103" s="94">
        <f>Table3.110[[#This Row],[Digested feed, mg]]/Table3.110[[#This Row],[Net gas 24h, ml]]</f>
        <v>4.4217584428678309</v>
      </c>
      <c r="AP103" s="94">
        <f>Table3.110[[#This Row],[CH4 8h, ml]]/Table3.110[[#This Row],[Net gas 8h, ml]]%</f>
        <v>13.300000000000002</v>
      </c>
      <c r="AQ103" s="94">
        <f>Table3.110[[#This Row],[CH4 24h, ml]]/Table3.110[[#This Row],[Net gas 24h, ml]]%</f>
        <v>14.532168124769393</v>
      </c>
      <c r="AR103" s="94">
        <f>Table3.110[[#This Row],[CH4 24h, ml]]/Table3.110[[#This Row],[DM Incubated, mg]]*1000</f>
        <v>17.731298828058094</v>
      </c>
      <c r="AS103" s="94">
        <f>Table3.110[[#This Row],[CH4 24h, ml]]/Table3.110[[#This Row],[Digested feed, mg]]*1000</f>
        <v>32.865133436244946</v>
      </c>
      <c r="AT103" s="94">
        <f>Table3.110[[#This Row],[CH4 24h, ml]]/'3.2 Digest'!AA103</f>
        <v>0.41316814332440488</v>
      </c>
      <c r="AU103" s="94">
        <f>((Table3.110[[#This Row],[CH4 24h, ml]]/28.9)*16.04)/Table3.110[[#This Row],[DM Incubated, mg]]*1000</f>
        <v>9.8411776194481586</v>
      </c>
      <c r="AV103" s="94">
        <f>((Table3.110[[#This Row],[CH4 24h, ml]]/28.9)*16.04)/Table3.110[[#This Row],[Digested feed, mg]]*1000</f>
        <v>18.240717658040445</v>
      </c>
      <c r="AW103" s="303"/>
    </row>
    <row r="104" spans="1:49" s="304" customFormat="1" x14ac:dyDescent="0.35">
      <c r="A104" s="89"/>
      <c r="B104" s="90">
        <f t="shared" si="1"/>
        <v>94</v>
      </c>
      <c r="C104" s="140">
        <v>46041</v>
      </c>
      <c r="D104" s="6" t="s">
        <v>16</v>
      </c>
      <c r="E104" s="6" t="s">
        <v>98</v>
      </c>
      <c r="F104" s="133" t="s">
        <v>99</v>
      </c>
      <c r="G104" s="133" t="s">
        <v>100</v>
      </c>
      <c r="H104" s="133" t="s">
        <v>101</v>
      </c>
      <c r="I104" s="6" t="s">
        <v>22</v>
      </c>
      <c r="J104" s="129" t="s">
        <v>23</v>
      </c>
      <c r="K104" s="129" t="s">
        <v>24</v>
      </c>
      <c r="L104" s="6" t="s">
        <v>97</v>
      </c>
      <c r="M104" s="119">
        <v>27</v>
      </c>
      <c r="N104" s="93">
        <v>58</v>
      </c>
      <c r="O104" s="6">
        <v>1</v>
      </c>
      <c r="P104" s="129">
        <v>3</v>
      </c>
      <c r="Q104" s="6">
        <v>274</v>
      </c>
      <c r="R104" s="98">
        <v>0.50019999999999998</v>
      </c>
      <c r="S104" s="94">
        <f>((Table3.110[[#This Row],[Sample weight, g]]*'2.1. DM'!Q69)/100)*1000</f>
        <v>472.54732332400579</v>
      </c>
      <c r="T104" s="94">
        <f>'3.2 Digest'!W104</f>
        <v>284.34732332400574</v>
      </c>
      <c r="U104" s="117">
        <v>0.40208333333333335</v>
      </c>
      <c r="V104" s="155">
        <v>41.5</v>
      </c>
      <c r="W104" s="117">
        <v>0.73888888888888893</v>
      </c>
      <c r="X104" s="97">
        <v>78</v>
      </c>
      <c r="Y104" s="97">
        <v>12.2</v>
      </c>
      <c r="Z104" s="155">
        <v>40.5</v>
      </c>
      <c r="AA104" s="117">
        <v>0.41805555555555557</v>
      </c>
      <c r="AB104" s="155">
        <v>72.5</v>
      </c>
      <c r="AC104" s="155">
        <v>15.6</v>
      </c>
      <c r="AD104" s="96"/>
      <c r="AE104" s="94">
        <f>Table3.110[[#This Row],[Gas 8h, ml]]-Table3.110[[#This Row],[Gas 0h, ml]]</f>
        <v>36.5</v>
      </c>
      <c r="AF104" s="94">
        <f>Table3.110[[#This Row],[Gas 24h, ml]]-Table3.110[[#This Row],[V8 Push back, ml]]</f>
        <v>32</v>
      </c>
      <c r="AG104" s="94">
        <f>Table3.110[[#This Row],[GP 8h, ml]]-(AVERAGE(AE$11,AE$12,AE$62,AE$61,AE$114,AE$115))*$AG$8</f>
        <v>33.844979731721118</v>
      </c>
      <c r="AH104" s="94">
        <f>Table3.110[[#This Row],[GP 8-24h, ml]]-(AVERAGE(AF$11,AF$12,AF$62,AF$61,AF$114,AF$115))*$AG$8</f>
        <v>28.31247184961266</v>
      </c>
      <c r="AI104" s="94">
        <f>Table3.110[[#This Row],[Net gas 8-24h, ml]]+Table3.110[[#This Row],[Net gas 8h, ml]]</f>
        <v>62.157451581333774</v>
      </c>
      <c r="AJ104" s="94">
        <f>Table3.110[[#This Row],[Net gas 8h, ml]]*Table3.110[[#This Row],[CH4 8h %]]%</f>
        <v>4.1290875272699763</v>
      </c>
      <c r="AK104" s="94">
        <f>Table3.110[[#This Row],[Net gas 8-24h, ml]]*Table3.110[[#This Row],[CH4 24h, %]]%</f>
        <v>4.4167456085395749</v>
      </c>
      <c r="AL104" s="94">
        <f>Table3.110[[#This Row],[CH4 8-24h, ml]]+Table3.110[[#This Row],[CH4 8h, ml]]</f>
        <v>8.5458331358095521</v>
      </c>
      <c r="AM104" s="94">
        <f>(Table3.110[[#This Row],[Net gas 24h, ml]]/Table3.110[[#This Row],[DM Incubated, mg]])*1000</f>
        <v>131.53698796578522</v>
      </c>
      <c r="AN104" s="94">
        <f>'3.2 Digest'!X104</f>
        <v>60.17330101964005</v>
      </c>
      <c r="AO104" s="94">
        <f>Table3.110[[#This Row],[Digested feed, mg]]/Table3.110[[#This Row],[Net gas 24h, ml]]</f>
        <v>4.5746296878329034</v>
      </c>
      <c r="AP104" s="94">
        <f>Table3.110[[#This Row],[CH4 8h, ml]]/Table3.110[[#This Row],[Net gas 8h, ml]]%</f>
        <v>12.2</v>
      </c>
      <c r="AQ104" s="94">
        <f>Table3.110[[#This Row],[CH4 24h, ml]]/Table3.110[[#This Row],[Net gas 24h, ml]]%</f>
        <v>13.748686470241184</v>
      </c>
      <c r="AR104" s="94">
        <f>Table3.110[[#This Row],[CH4 24h, ml]]/Table3.110[[#This Row],[DM Incubated, mg]]*1000</f>
        <v>18.084608067814688</v>
      </c>
      <c r="AS104" s="94">
        <f>Table3.110[[#This Row],[CH4 24h, ml]]/Table3.110[[#This Row],[Digested feed, mg]]*1000</f>
        <v>30.054206369552553</v>
      </c>
      <c r="AT104" s="94">
        <f>Table3.110[[#This Row],[CH4 24h, ml]]/'3.2 Digest'!AA104</f>
        <v>0.27522251578330431</v>
      </c>
      <c r="AU104" s="94">
        <f>((Table3.110[[#This Row],[CH4 24h, ml]]/28.9)*16.04)/Table3.110[[#This Row],[DM Incubated, mg]]*1000</f>
        <v>10.037270360129677</v>
      </c>
      <c r="AV104" s="94">
        <f>((Table3.110[[#This Row],[CH4 24h, ml]]/28.9)*16.04)/Table3.110[[#This Row],[Digested feed, mg]]*1000</f>
        <v>16.680604504070001</v>
      </c>
      <c r="AW104" s="303"/>
    </row>
    <row r="105" spans="1:49" s="304" customFormat="1" x14ac:dyDescent="0.35">
      <c r="A105" s="89"/>
      <c r="B105" s="90">
        <f t="shared" si="1"/>
        <v>95</v>
      </c>
      <c r="C105" s="140">
        <v>46041</v>
      </c>
      <c r="D105" s="6" t="s">
        <v>102</v>
      </c>
      <c r="E105" s="6" t="s">
        <v>104</v>
      </c>
      <c r="F105" s="133" t="s">
        <v>105</v>
      </c>
      <c r="G105" s="133" t="s">
        <v>106</v>
      </c>
      <c r="H105" s="133" t="s">
        <v>107</v>
      </c>
      <c r="I105" s="6" t="s">
        <v>108</v>
      </c>
      <c r="J105" s="8" t="s">
        <v>109</v>
      </c>
      <c r="K105" s="6" t="s">
        <v>110</v>
      </c>
      <c r="L105" s="6" t="s">
        <v>103</v>
      </c>
      <c r="M105" s="119">
        <v>27</v>
      </c>
      <c r="N105" s="93">
        <v>58</v>
      </c>
      <c r="O105" s="6">
        <v>1</v>
      </c>
      <c r="P105" s="129">
        <v>1</v>
      </c>
      <c r="Q105" s="6">
        <v>275</v>
      </c>
      <c r="R105" s="98">
        <v>0.50039999999999996</v>
      </c>
      <c r="S105" s="94">
        <f>((Table3.110[[#This Row],[Sample weight, g]]*'2.1. DM'!Q71)/100)*1000</f>
        <v>485.39325482443309</v>
      </c>
      <c r="T105" s="94">
        <f>'3.2 Digest'!W105</f>
        <v>281.99325482443317</v>
      </c>
      <c r="U105" s="153">
        <v>0.40208333333333335</v>
      </c>
      <c r="V105" s="154">
        <v>41</v>
      </c>
      <c r="W105" s="153">
        <v>0.73888888888888893</v>
      </c>
      <c r="X105" s="95">
        <v>85.5</v>
      </c>
      <c r="Y105" s="95">
        <v>13.1</v>
      </c>
      <c r="Z105" s="154">
        <v>40.5</v>
      </c>
      <c r="AA105" s="153">
        <v>0.41875000000000001</v>
      </c>
      <c r="AB105" s="154">
        <v>90</v>
      </c>
      <c r="AC105" s="154">
        <v>14.1</v>
      </c>
      <c r="AD105" s="91"/>
      <c r="AE105" s="94">
        <f>Table3.110[[#This Row],[Gas 8h, ml]]-Table3.110[[#This Row],[Gas 0h, ml]]</f>
        <v>44.5</v>
      </c>
      <c r="AF105" s="94">
        <f>Table3.110[[#This Row],[Gas 24h, ml]]-Table3.110[[#This Row],[V8 Push back, ml]]</f>
        <v>49.5</v>
      </c>
      <c r="AG105" s="94">
        <f>Table3.110[[#This Row],[GP 8h, ml]]-(AVERAGE(AE$11,AE$12,AE$62,AE$61,AE$114,AE$115))*$AG$8</f>
        <v>41.844979731721118</v>
      </c>
      <c r="AH105" s="94">
        <f>Table3.110[[#This Row],[GP 8-24h, ml]]-(AVERAGE(AF$11,AF$12,AF$62,AF$61,AF$114,AF$115))*$AG$8</f>
        <v>45.812471849612663</v>
      </c>
      <c r="AI105" s="94">
        <f>Table3.110[[#This Row],[Net gas 8-24h, ml]]+Table3.110[[#This Row],[Net gas 8h, ml]]</f>
        <v>87.657451581333788</v>
      </c>
      <c r="AJ105" s="94">
        <f>Table3.110[[#This Row],[Net gas 8h, ml]]*Table3.110[[#This Row],[CH4 8h %]]%</f>
        <v>5.4816923448554666</v>
      </c>
      <c r="AK105" s="94">
        <f>Table3.110[[#This Row],[Net gas 8-24h, ml]]*Table3.110[[#This Row],[CH4 24h, %]]%</f>
        <v>6.4595585307953849</v>
      </c>
      <c r="AL105" s="94">
        <f>Table3.110[[#This Row],[CH4 8-24h, ml]]+Table3.110[[#This Row],[CH4 8h, ml]]</f>
        <v>11.941250875650852</v>
      </c>
      <c r="AM105" s="94">
        <f>(Table3.110[[#This Row],[Net gas 24h, ml]]/Table3.110[[#This Row],[DM Incubated, mg]])*1000</f>
        <v>180.5905844592742</v>
      </c>
      <c r="AN105" s="94">
        <f>'3.2 Digest'!X105</f>
        <v>58.095833022325415</v>
      </c>
      <c r="AO105" s="94">
        <f>Table3.110[[#This Row],[Digested feed, mg]]/Table3.110[[#This Row],[Net gas 24h, ml]]</f>
        <v>3.2169912510265379</v>
      </c>
      <c r="AP105" s="94">
        <f>Table3.110[[#This Row],[CH4 8h, ml]]/Table3.110[[#This Row],[Net gas 8h, ml]]%</f>
        <v>13.100000000000001</v>
      </c>
      <c r="AQ105" s="94">
        <f>Table3.110[[#This Row],[CH4 24h, ml]]/Table3.110[[#This Row],[Net gas 24h, ml]]%</f>
        <v>13.622630660864068</v>
      </c>
      <c r="AR105" s="94">
        <f>Table3.110[[#This Row],[CH4 24h, ml]]/Table3.110[[#This Row],[DM Incubated, mg]]*1000</f>
        <v>24.601188329182708</v>
      </c>
      <c r="AS105" s="94">
        <f>Table3.110[[#This Row],[CH4 24h, ml]]/Table3.110[[#This Row],[Digested feed, mg]]*1000</f>
        <v>42.345874134774547</v>
      </c>
      <c r="AT105" s="94">
        <f>Table3.110[[#This Row],[CH4 24h, ml]]/'3.2 Digest'!AA105</f>
        <v>0.36676838538045714</v>
      </c>
      <c r="AU105" s="94">
        <f>((Table3.110[[#This Row],[CH4 24h, ml]]/28.9)*16.04)/Table3.110[[#This Row],[DM Incubated, mg]]*1000</f>
        <v>13.654085148792063</v>
      </c>
      <c r="AV105" s="94">
        <f>((Table3.110[[#This Row],[CH4 24h, ml]]/28.9)*16.04)/Table3.110[[#This Row],[Digested feed, mg]]*1000</f>
        <v>23.502692772380058</v>
      </c>
      <c r="AW105" s="303"/>
    </row>
    <row r="106" spans="1:49" s="304" customFormat="1" x14ac:dyDescent="0.35">
      <c r="A106" s="89"/>
      <c r="B106" s="90">
        <f t="shared" si="1"/>
        <v>96</v>
      </c>
      <c r="C106" s="140">
        <v>46041</v>
      </c>
      <c r="D106" s="6" t="s">
        <v>102</v>
      </c>
      <c r="E106" s="6" t="s">
        <v>104</v>
      </c>
      <c r="F106" s="133" t="s">
        <v>105</v>
      </c>
      <c r="G106" s="133" t="s">
        <v>106</v>
      </c>
      <c r="H106" s="133" t="s">
        <v>107</v>
      </c>
      <c r="I106" s="6" t="s">
        <v>108</v>
      </c>
      <c r="J106" s="8" t="s">
        <v>109</v>
      </c>
      <c r="K106" s="6" t="s">
        <v>110</v>
      </c>
      <c r="L106" s="6" t="s">
        <v>103</v>
      </c>
      <c r="M106" s="119">
        <v>27</v>
      </c>
      <c r="N106" s="93">
        <v>58</v>
      </c>
      <c r="O106" s="6">
        <v>1</v>
      </c>
      <c r="P106" s="129">
        <v>2</v>
      </c>
      <c r="Q106" s="6">
        <v>276</v>
      </c>
      <c r="R106" s="98">
        <v>0.50019999999999998</v>
      </c>
      <c r="S106" s="94">
        <f>((Table3.110[[#This Row],[Sample weight, g]]*'2.1. DM'!Q71)/100)*1000</f>
        <v>485.19925272418357</v>
      </c>
      <c r="T106" s="94">
        <f>'3.2 Digest'!W106</f>
        <v>281.99925272418352</v>
      </c>
      <c r="U106" s="117">
        <v>0.40277777777777779</v>
      </c>
      <c r="V106" s="155">
        <v>41</v>
      </c>
      <c r="W106" s="117">
        <v>0.73958333333333337</v>
      </c>
      <c r="X106" s="97">
        <v>78.5</v>
      </c>
      <c r="Y106" s="97">
        <v>13.2</v>
      </c>
      <c r="Z106" s="155">
        <v>40.5</v>
      </c>
      <c r="AA106" s="117">
        <v>0.41944444444444445</v>
      </c>
      <c r="AB106" s="155">
        <v>94</v>
      </c>
      <c r="AC106" s="155">
        <v>14.1</v>
      </c>
      <c r="AD106" s="96"/>
      <c r="AE106" s="94">
        <f>Table3.110[[#This Row],[Gas 8h, ml]]-Table3.110[[#This Row],[Gas 0h, ml]]</f>
        <v>37.5</v>
      </c>
      <c r="AF106" s="94">
        <f>Table3.110[[#This Row],[Gas 24h, ml]]-Table3.110[[#This Row],[V8 Push back, ml]]</f>
        <v>53.5</v>
      </c>
      <c r="AG106" s="94">
        <f>Table3.110[[#This Row],[GP 8h, ml]]-(AVERAGE(AE$11,AE$12,AE$62,AE$61,AE$114,AE$115))*$AG$8</f>
        <v>34.844979731721118</v>
      </c>
      <c r="AH106" s="94">
        <f>Table3.110[[#This Row],[GP 8-24h, ml]]-(AVERAGE(AF$11,AF$12,AF$62,AF$61,AF$114,AF$115))*$AG$8</f>
        <v>49.812471849612663</v>
      </c>
      <c r="AI106" s="94">
        <f>Table3.110[[#This Row],[Net gas 8-24h, ml]]+Table3.110[[#This Row],[Net gas 8h, ml]]</f>
        <v>84.657451581333788</v>
      </c>
      <c r="AJ106" s="94">
        <f>Table3.110[[#This Row],[Net gas 8h, ml]]*Table3.110[[#This Row],[CH4 8h %]]%</f>
        <v>4.599537324587188</v>
      </c>
      <c r="AK106" s="94">
        <f>Table3.110[[#This Row],[Net gas 8-24h, ml]]*Table3.110[[#This Row],[CH4 24h, %]]%</f>
        <v>7.0235585307953849</v>
      </c>
      <c r="AL106" s="94">
        <f>Table3.110[[#This Row],[CH4 8-24h, ml]]+Table3.110[[#This Row],[CH4 8h, ml]]</f>
        <v>11.623095855382573</v>
      </c>
      <c r="AM106" s="94">
        <f>(Table3.110[[#This Row],[Net gas 24h, ml]]/Table3.110[[#This Row],[DM Incubated, mg]])*1000</f>
        <v>174.47976497494355</v>
      </c>
      <c r="AN106" s="94">
        <f>'3.2 Digest'!X106</f>
        <v>58.120298236421405</v>
      </c>
      <c r="AO106" s="94">
        <f>Table3.110[[#This Row],[Digested feed, mg]]/Table3.110[[#This Row],[Net gas 24h, ml]]</f>
        <v>3.3310623867912632</v>
      </c>
      <c r="AP106" s="94">
        <f>Table3.110[[#This Row],[CH4 8h, ml]]/Table3.110[[#This Row],[Net gas 8h, ml]]%</f>
        <v>13.200000000000003</v>
      </c>
      <c r="AQ106" s="94">
        <f>Table3.110[[#This Row],[CH4 24h, ml]]/Table3.110[[#This Row],[Net gas 24h, ml]]%</f>
        <v>13.729560290644708</v>
      </c>
      <c r="AR106" s="94">
        <f>Table3.110[[#This Row],[CH4 24h, ml]]/Table3.110[[#This Row],[DM Incubated, mg]]*1000</f>
        <v>23.95530452721006</v>
      </c>
      <c r="AS106" s="94">
        <f>Table3.110[[#This Row],[CH4 24h, ml]]/Table3.110[[#This Row],[Digested feed, mg]]*1000</f>
        <v>41.21676119032427</v>
      </c>
      <c r="AT106" s="94">
        <f>Table3.110[[#This Row],[CH4 24h, ml]]/'3.2 Digest'!AA106</f>
        <v>0.35656521976815492</v>
      </c>
      <c r="AU106" s="94">
        <f>((Table3.110[[#This Row],[CH4 24h, ml]]/28.9)*16.04)/Table3.110[[#This Row],[DM Incubated, mg]]*1000</f>
        <v>13.295608464237004</v>
      </c>
      <c r="AV106" s="94">
        <f>((Table3.110[[#This Row],[CH4 24h, ml]]/28.9)*16.04)/Table3.110[[#This Row],[Digested feed, mg]]*1000</f>
        <v>22.876015553384129</v>
      </c>
      <c r="AW106" s="303"/>
    </row>
    <row r="107" spans="1:49" s="304" customFormat="1" x14ac:dyDescent="0.35">
      <c r="A107" s="89"/>
      <c r="B107" s="90">
        <f t="shared" si="1"/>
        <v>97</v>
      </c>
      <c r="C107" s="140">
        <v>46041</v>
      </c>
      <c r="D107" s="6" t="s">
        <v>102</v>
      </c>
      <c r="E107" s="6" t="s">
        <v>104</v>
      </c>
      <c r="F107" s="133" t="s">
        <v>105</v>
      </c>
      <c r="G107" s="133" t="s">
        <v>106</v>
      </c>
      <c r="H107" s="133" t="s">
        <v>107</v>
      </c>
      <c r="I107" s="6" t="s">
        <v>108</v>
      </c>
      <c r="J107" s="8" t="s">
        <v>109</v>
      </c>
      <c r="K107" s="6" t="s">
        <v>110</v>
      </c>
      <c r="L107" s="6" t="s">
        <v>103</v>
      </c>
      <c r="M107" s="119">
        <v>27</v>
      </c>
      <c r="N107" s="93">
        <v>58</v>
      </c>
      <c r="O107" s="6">
        <v>1</v>
      </c>
      <c r="P107" s="129">
        <v>3</v>
      </c>
      <c r="Q107" s="6">
        <v>277</v>
      </c>
      <c r="R107" s="98">
        <v>0.50019999999999998</v>
      </c>
      <c r="S107" s="94">
        <f>((Table3.110[[#This Row],[Sample weight, g]]*'2.1. DM'!Q71)/100)*1000</f>
        <v>485.19925272418357</v>
      </c>
      <c r="T107" s="94">
        <f>'3.2 Digest'!W107</f>
        <v>256.19925272418357</v>
      </c>
      <c r="U107" s="153">
        <v>0.40277777777777779</v>
      </c>
      <c r="V107" s="154">
        <v>40.5</v>
      </c>
      <c r="W107" s="153">
        <v>0.73958333333333337</v>
      </c>
      <c r="X107" s="95">
        <v>86</v>
      </c>
      <c r="Y107" s="95">
        <v>13.4</v>
      </c>
      <c r="Z107" s="154">
        <v>40</v>
      </c>
      <c r="AA107" s="153">
        <v>0.4201388888888889</v>
      </c>
      <c r="AB107" s="154">
        <v>88</v>
      </c>
      <c r="AC107" s="154">
        <v>14.4</v>
      </c>
      <c r="AD107" s="91"/>
      <c r="AE107" s="94">
        <f>Table3.110[[#This Row],[Gas 8h, ml]]-Table3.110[[#This Row],[Gas 0h, ml]]</f>
        <v>45.5</v>
      </c>
      <c r="AF107" s="94">
        <f>Table3.110[[#This Row],[Gas 24h, ml]]-Table3.110[[#This Row],[V8 Push back, ml]]</f>
        <v>48</v>
      </c>
      <c r="AG107" s="94">
        <f>Table3.110[[#This Row],[GP 8h, ml]]-(AVERAGE(AE$11,AE$12,AE$62,AE$61,AE$114,AE$115))*$AG$8</f>
        <v>42.844979731721118</v>
      </c>
      <c r="AH107" s="94">
        <f>Table3.110[[#This Row],[GP 8-24h, ml]]-(AVERAGE(AF$11,AF$12,AF$62,AF$61,AF$114,AF$115))*$AG$8</f>
        <v>44.312471849612663</v>
      </c>
      <c r="AI107" s="94">
        <f>Table3.110[[#This Row],[Net gas 8-24h, ml]]+Table3.110[[#This Row],[Net gas 8h, ml]]</f>
        <v>87.157451581333788</v>
      </c>
      <c r="AJ107" s="94">
        <f>Table3.110[[#This Row],[Net gas 8h, ml]]*Table3.110[[#This Row],[CH4 8h %]]%</f>
        <v>5.7412272840506304</v>
      </c>
      <c r="AK107" s="94">
        <f>Table3.110[[#This Row],[Net gas 8-24h, ml]]*Table3.110[[#This Row],[CH4 24h, %]]%</f>
        <v>6.3809959463442238</v>
      </c>
      <c r="AL107" s="94">
        <f>Table3.110[[#This Row],[CH4 8-24h, ml]]+Table3.110[[#This Row],[CH4 8h, ml]]</f>
        <v>12.122223230394855</v>
      </c>
      <c r="AM107" s="94">
        <f>(Table3.110[[#This Row],[Net gas 24h, ml]]/Table3.110[[#This Row],[DM Incubated, mg]])*1000</f>
        <v>179.63228733758854</v>
      </c>
      <c r="AN107" s="94">
        <f>'3.2 Digest'!X107</f>
        <v>52.802895158171779</v>
      </c>
      <c r="AO107" s="94">
        <f>Table3.110[[#This Row],[Digested feed, mg]]/Table3.110[[#This Row],[Net gas 24h, ml]]</f>
        <v>2.9394991257299781</v>
      </c>
      <c r="AP107" s="94">
        <f>Table3.110[[#This Row],[CH4 8h, ml]]/Table3.110[[#This Row],[Net gas 8h, ml]]%</f>
        <v>13.400000000000002</v>
      </c>
      <c r="AQ107" s="94">
        <f>Table3.110[[#This Row],[CH4 24h, ml]]/Table3.110[[#This Row],[Net gas 24h, ml]]%</f>
        <v>13.908418626814267</v>
      </c>
      <c r="AR107" s="94">
        <f>Table3.110[[#This Row],[CH4 24h, ml]]/Table3.110[[#This Row],[DM Incubated, mg]]*1000</f>
        <v>24.984010511833695</v>
      </c>
      <c r="AS107" s="94">
        <f>Table3.110[[#This Row],[CH4 24h, ml]]/Table3.110[[#This Row],[Digested feed, mg]]*1000</f>
        <v>47.315607291974722</v>
      </c>
      <c r="AT107" s="94">
        <f>Table3.110[[#This Row],[CH4 24h, ml]]/'3.2 Digest'!AA107</f>
        <v>0.50426516744443295</v>
      </c>
      <c r="AU107" s="94">
        <f>((Table3.110[[#This Row],[CH4 24h, ml]]/28.9)*16.04)/Table3.110[[#This Row],[DM Incubated, mg]]*1000</f>
        <v>13.866558083384513</v>
      </c>
      <c r="AV107" s="94">
        <f>((Table3.110[[#This Row],[CH4 24h, ml]]/28.9)*16.04)/Table3.110[[#This Row],[Digested feed, mg]]*1000</f>
        <v>26.26098065616867</v>
      </c>
      <c r="AW107" s="303"/>
    </row>
    <row r="108" spans="1:49" s="304" customFormat="1" x14ac:dyDescent="0.35">
      <c r="A108" s="89"/>
      <c r="B108" s="90">
        <f t="shared" si="1"/>
        <v>98</v>
      </c>
      <c r="C108" s="140">
        <v>46041</v>
      </c>
      <c r="D108" s="6" t="s">
        <v>102</v>
      </c>
      <c r="E108" s="6" t="s">
        <v>114</v>
      </c>
      <c r="F108" s="133" t="s">
        <v>544</v>
      </c>
      <c r="G108" s="133" t="s">
        <v>116</v>
      </c>
      <c r="H108" s="133" t="s">
        <v>117</v>
      </c>
      <c r="I108" s="6" t="s">
        <v>22</v>
      </c>
      <c r="J108" s="8" t="s">
        <v>23</v>
      </c>
      <c r="K108" s="6" t="s">
        <v>118</v>
      </c>
      <c r="L108" s="6" t="s">
        <v>113</v>
      </c>
      <c r="M108" s="119">
        <v>27</v>
      </c>
      <c r="N108" s="93">
        <v>58</v>
      </c>
      <c r="O108" s="6">
        <v>1</v>
      </c>
      <c r="P108" s="129">
        <v>1</v>
      </c>
      <c r="Q108" s="6">
        <v>278</v>
      </c>
      <c r="R108" s="98">
        <v>0.50039999999999996</v>
      </c>
      <c r="S108" s="94">
        <f>((Table3.110[[#This Row],[Sample weight, g]]*'2.1. DM'!Q73)/100)*1000</f>
        <v>467.86036003873045</v>
      </c>
      <c r="T108" s="94">
        <f>'3.2 Digest'!W108</f>
        <v>313.56036003873044</v>
      </c>
      <c r="U108" s="117">
        <v>0.40347222222222223</v>
      </c>
      <c r="V108" s="155">
        <v>40</v>
      </c>
      <c r="W108" s="117">
        <v>0.74027777777777781</v>
      </c>
      <c r="X108" s="97">
        <v>84</v>
      </c>
      <c r="Y108" s="97">
        <v>13.7</v>
      </c>
      <c r="Z108" s="155">
        <v>39.5</v>
      </c>
      <c r="AA108" s="117">
        <v>0.42083333333333334</v>
      </c>
      <c r="AB108" s="155">
        <v>84</v>
      </c>
      <c r="AC108" s="155">
        <v>16.600000000000001</v>
      </c>
      <c r="AD108" s="96"/>
      <c r="AE108" s="94">
        <f>Table3.110[[#This Row],[Gas 8h, ml]]-Table3.110[[#This Row],[Gas 0h, ml]]</f>
        <v>44</v>
      </c>
      <c r="AF108" s="94">
        <f>Table3.110[[#This Row],[Gas 24h, ml]]-Table3.110[[#This Row],[V8 Push back, ml]]</f>
        <v>44.5</v>
      </c>
      <c r="AG108" s="94">
        <f>Table3.110[[#This Row],[GP 8h, ml]]-(AVERAGE(AE$11,AE$12,AE$62,AE$61,AE$114,AE$115))*$AG$8</f>
        <v>41.344979731721118</v>
      </c>
      <c r="AH108" s="94">
        <f>Table3.110[[#This Row],[GP 8-24h, ml]]-(AVERAGE(AF$11,AF$12,AF$62,AF$61,AF$114,AF$115))*$AG$8</f>
        <v>40.812471849612663</v>
      </c>
      <c r="AI108" s="94">
        <f>Table3.110[[#This Row],[Net gas 8-24h, ml]]+Table3.110[[#This Row],[Net gas 8h, ml]]</f>
        <v>82.157451581333788</v>
      </c>
      <c r="AJ108" s="94">
        <f>Table3.110[[#This Row],[Net gas 8h, ml]]*Table3.110[[#This Row],[CH4 8h %]]%</f>
        <v>5.6642622232457924</v>
      </c>
      <c r="AK108" s="94">
        <f>Table3.110[[#This Row],[Net gas 8-24h, ml]]*Table3.110[[#This Row],[CH4 24h, %]]%</f>
        <v>6.7748703270357025</v>
      </c>
      <c r="AL108" s="94">
        <f>Table3.110[[#This Row],[CH4 8-24h, ml]]+Table3.110[[#This Row],[CH4 8h, ml]]</f>
        <v>12.439132550281496</v>
      </c>
      <c r="AM108" s="94">
        <f>(Table3.110[[#This Row],[Net gas 24h, ml]]/Table3.110[[#This Row],[DM Incubated, mg]])*1000</f>
        <v>175.60250578726658</v>
      </c>
      <c r="AN108" s="94">
        <f>'3.2 Digest'!X108</f>
        <v>67.020074112022058</v>
      </c>
      <c r="AO108" s="94">
        <f>Table3.110[[#This Row],[Digested feed, mg]]/Table3.110[[#This Row],[Net gas 24h, ml]]</f>
        <v>3.8165784600598722</v>
      </c>
      <c r="AP108" s="94">
        <f>Table3.110[[#This Row],[CH4 8h, ml]]/Table3.110[[#This Row],[Net gas 8h, ml]]%</f>
        <v>13.7</v>
      </c>
      <c r="AQ108" s="94">
        <f>Table3.110[[#This Row],[CH4 24h, ml]]/Table3.110[[#This Row],[Net gas 24h, ml]]%</f>
        <v>15.14060174805577</v>
      </c>
      <c r="AR108" s="94">
        <f>Table3.110[[#This Row],[CH4 24h, ml]]/Table3.110[[#This Row],[DM Incubated, mg]]*1000</f>
        <v>26.587276060856617</v>
      </c>
      <c r="AS108" s="94">
        <f>Table3.110[[#This Row],[CH4 24h, ml]]/Table3.110[[#This Row],[Digested feed, mg]]*1000</f>
        <v>39.670615726889189</v>
      </c>
      <c r="AT108" s="94">
        <f>Table3.110[[#This Row],[CH4 24h, ml]]/'3.2 Digest'!AA108</f>
        <v>0.41278466981046175</v>
      </c>
      <c r="AU108" s="94">
        <f>((Table3.110[[#This Row],[CH4 24h, ml]]/28.9)*16.04)/Table3.110[[#This Row],[DM Incubated, mg]]*1000</f>
        <v>14.756398201250523</v>
      </c>
      <c r="AV108" s="94">
        <f>((Table3.110[[#This Row],[CH4 24h, ml]]/28.9)*16.04)/Table3.110[[#This Row],[Digested feed, mg]]*1000</f>
        <v>22.017878071256145</v>
      </c>
      <c r="AW108" s="303"/>
    </row>
    <row r="109" spans="1:49" s="304" customFormat="1" x14ac:dyDescent="0.35">
      <c r="A109" s="89"/>
      <c r="B109" s="90">
        <f t="shared" si="1"/>
        <v>99</v>
      </c>
      <c r="C109" s="140">
        <v>46041</v>
      </c>
      <c r="D109" s="6" t="s">
        <v>102</v>
      </c>
      <c r="E109" s="6" t="s">
        <v>114</v>
      </c>
      <c r="F109" s="133" t="s">
        <v>544</v>
      </c>
      <c r="G109" s="133" t="s">
        <v>116</v>
      </c>
      <c r="H109" s="133" t="s">
        <v>117</v>
      </c>
      <c r="I109" s="6" t="s">
        <v>22</v>
      </c>
      <c r="J109" s="8" t="s">
        <v>23</v>
      </c>
      <c r="K109" s="6" t="s">
        <v>118</v>
      </c>
      <c r="L109" s="6" t="s">
        <v>113</v>
      </c>
      <c r="M109" s="119">
        <v>27</v>
      </c>
      <c r="N109" s="93">
        <v>58</v>
      </c>
      <c r="O109" s="6">
        <v>1</v>
      </c>
      <c r="P109" s="129">
        <v>2</v>
      </c>
      <c r="Q109" s="6">
        <v>279</v>
      </c>
      <c r="R109" s="98">
        <v>0.50049999999999994</v>
      </c>
      <c r="S109" s="94">
        <f>((Table3.110[[#This Row],[Sample weight, g]]*'2.1. DM'!Q73)/100)*1000</f>
        <v>467.95385731291879</v>
      </c>
      <c r="T109" s="94">
        <f>'3.2 Digest'!W109</f>
        <v>301.75385731291874</v>
      </c>
      <c r="U109" s="153">
        <v>0.40347222222222223</v>
      </c>
      <c r="V109" s="154">
        <v>41</v>
      </c>
      <c r="W109" s="153">
        <v>0.74027777777777781</v>
      </c>
      <c r="X109" s="95">
        <v>83</v>
      </c>
      <c r="Y109" s="95">
        <v>14</v>
      </c>
      <c r="Z109" s="154">
        <v>40.5</v>
      </c>
      <c r="AA109" s="153">
        <v>0.42083333333333334</v>
      </c>
      <c r="AB109" s="154">
        <v>81.5</v>
      </c>
      <c r="AC109" s="154">
        <v>16.5</v>
      </c>
      <c r="AD109" s="91"/>
      <c r="AE109" s="94">
        <f>Table3.110[[#This Row],[Gas 8h, ml]]-Table3.110[[#This Row],[Gas 0h, ml]]</f>
        <v>42</v>
      </c>
      <c r="AF109" s="94">
        <f>Table3.110[[#This Row],[Gas 24h, ml]]-Table3.110[[#This Row],[V8 Push back, ml]]</f>
        <v>41</v>
      </c>
      <c r="AG109" s="94">
        <f>Table3.110[[#This Row],[GP 8h, ml]]-(AVERAGE(AE$11,AE$12,AE$62,AE$61,AE$114,AE$115))*$AG$8</f>
        <v>39.344979731721118</v>
      </c>
      <c r="AH109" s="94">
        <f>Table3.110[[#This Row],[GP 8-24h, ml]]-(AVERAGE(AF$11,AF$12,AF$62,AF$61,AF$114,AF$115))*$AG$8</f>
        <v>37.312471849612663</v>
      </c>
      <c r="AI109" s="94">
        <f>Table3.110[[#This Row],[Net gas 8-24h, ml]]+Table3.110[[#This Row],[Net gas 8h, ml]]</f>
        <v>76.657451581333788</v>
      </c>
      <c r="AJ109" s="94">
        <f>Table3.110[[#This Row],[Net gas 8h, ml]]*Table3.110[[#This Row],[CH4 8h %]]%</f>
        <v>5.5082971624409574</v>
      </c>
      <c r="AK109" s="94">
        <f>Table3.110[[#This Row],[Net gas 8-24h, ml]]*Table3.110[[#This Row],[CH4 24h, %]]%</f>
        <v>6.1565578551860893</v>
      </c>
      <c r="AL109" s="94">
        <f>Table3.110[[#This Row],[CH4 8-24h, ml]]+Table3.110[[#This Row],[CH4 8h, ml]]</f>
        <v>11.664855017627048</v>
      </c>
      <c r="AM109" s="94">
        <f>(Table3.110[[#This Row],[Net gas 24h, ml]]/Table3.110[[#This Row],[DM Incubated, mg]])*1000</f>
        <v>163.81412479750813</v>
      </c>
      <c r="AN109" s="94">
        <f>'3.2 Digest'!X109</f>
        <v>64.483677738152977</v>
      </c>
      <c r="AO109" s="94">
        <f>Table3.110[[#This Row],[Digested feed, mg]]/Table3.110[[#This Row],[Net gas 24h, ml]]</f>
        <v>3.9363930197021615</v>
      </c>
      <c r="AP109" s="94">
        <f>Table3.110[[#This Row],[CH4 8h, ml]]/Table3.110[[#This Row],[Net gas 8h, ml]]%</f>
        <v>14.000000000000002</v>
      </c>
      <c r="AQ109" s="94">
        <f>Table3.110[[#This Row],[CH4 24h, ml]]/Table3.110[[#This Row],[Net gas 24h, ml]]%</f>
        <v>15.216857300885616</v>
      </c>
      <c r="AR109" s="94">
        <f>Table3.110[[#This Row],[CH4 24h, ml]]/Table3.110[[#This Row],[DM Incubated, mg]]*1000</f>
        <v>24.927361609131491</v>
      </c>
      <c r="AS109" s="94">
        <f>Table3.110[[#This Row],[CH4 24h, ml]]/Table3.110[[#This Row],[Digested feed, mg]]*1000</f>
        <v>38.656854701050577</v>
      </c>
      <c r="AT109" s="94">
        <f>Table3.110[[#This Row],[CH4 24h, ml]]/'3.2 Digest'!AA109</f>
        <v>0.47108791382770704</v>
      </c>
      <c r="AU109" s="94">
        <f>((Table3.110[[#This Row],[CH4 24h, ml]]/28.9)*16.04)/Table3.110[[#This Row],[DM Incubated, mg]]*1000</f>
        <v>13.835116962299971</v>
      </c>
      <c r="AV109" s="94">
        <f>((Table3.110[[#This Row],[CH4 24h, ml]]/28.9)*16.04)/Table3.110[[#This Row],[Digested feed, mg]]*1000</f>
        <v>21.455223162797623</v>
      </c>
      <c r="AW109" s="303"/>
    </row>
    <row r="110" spans="1:49" s="304" customFormat="1" x14ac:dyDescent="0.35">
      <c r="A110" s="89"/>
      <c r="B110" s="90">
        <f t="shared" si="1"/>
        <v>100</v>
      </c>
      <c r="C110" s="140">
        <v>46041</v>
      </c>
      <c r="D110" s="6" t="s">
        <v>102</v>
      </c>
      <c r="E110" s="6" t="s">
        <v>114</v>
      </c>
      <c r="F110" s="133" t="s">
        <v>544</v>
      </c>
      <c r="G110" s="133" t="s">
        <v>116</v>
      </c>
      <c r="H110" s="133" t="s">
        <v>117</v>
      </c>
      <c r="I110" s="6" t="s">
        <v>22</v>
      </c>
      <c r="J110" s="8" t="s">
        <v>23</v>
      </c>
      <c r="K110" s="6" t="s">
        <v>118</v>
      </c>
      <c r="L110" s="6" t="s">
        <v>113</v>
      </c>
      <c r="M110" s="119">
        <v>27</v>
      </c>
      <c r="N110" s="93">
        <v>58</v>
      </c>
      <c r="O110" s="6">
        <v>1</v>
      </c>
      <c r="P110" s="129">
        <v>3</v>
      </c>
      <c r="Q110" s="6">
        <v>280</v>
      </c>
      <c r="R110" s="98">
        <v>0.50039999999999996</v>
      </c>
      <c r="S110" s="94">
        <f>((Table3.110[[#This Row],[Sample weight, g]]*'2.1. DM'!Q73)/100)*1000</f>
        <v>467.86036003873045</v>
      </c>
      <c r="T110" s="94">
        <f>'3.2 Digest'!W110</f>
        <v>252.96036003873036</v>
      </c>
      <c r="U110" s="117">
        <v>0.40416666666666667</v>
      </c>
      <c r="V110" s="155">
        <v>41</v>
      </c>
      <c r="W110" s="117">
        <v>0.74097222222222225</v>
      </c>
      <c r="X110" s="97">
        <v>83.5</v>
      </c>
      <c r="Y110" s="97">
        <v>13.8</v>
      </c>
      <c r="Z110" s="155">
        <v>40</v>
      </c>
      <c r="AA110" s="117">
        <v>0.42152777777777778</v>
      </c>
      <c r="AB110" s="155">
        <v>83</v>
      </c>
      <c r="AC110" s="155">
        <v>16.399999999999999</v>
      </c>
      <c r="AD110" s="96"/>
      <c r="AE110" s="94">
        <f>Table3.110[[#This Row],[Gas 8h, ml]]-Table3.110[[#This Row],[Gas 0h, ml]]</f>
        <v>42.5</v>
      </c>
      <c r="AF110" s="94">
        <f>Table3.110[[#This Row],[Gas 24h, ml]]-Table3.110[[#This Row],[V8 Push back, ml]]</f>
        <v>43</v>
      </c>
      <c r="AG110" s="94">
        <f>Table3.110[[#This Row],[GP 8h, ml]]-(AVERAGE(AE$11,AE$12,AE$62,AE$61,AE$114,AE$115))*$AG$8</f>
        <v>39.844979731721118</v>
      </c>
      <c r="AH110" s="94">
        <f>Table3.110[[#This Row],[GP 8-24h, ml]]-(AVERAGE(AF$11,AF$12,AF$62,AF$61,AF$114,AF$115))*$AG$8</f>
        <v>39.312471849612663</v>
      </c>
      <c r="AI110" s="94">
        <f>Table3.110[[#This Row],[Net gas 8-24h, ml]]+Table3.110[[#This Row],[Net gas 8h, ml]]</f>
        <v>79.157451581333788</v>
      </c>
      <c r="AJ110" s="94">
        <f>Table3.110[[#This Row],[Net gas 8h, ml]]*Table3.110[[#This Row],[CH4 8h %]]%</f>
        <v>5.4986072029775146</v>
      </c>
      <c r="AK110" s="94">
        <f>Table3.110[[#This Row],[Net gas 8-24h, ml]]*Table3.110[[#This Row],[CH4 24h, %]]%</f>
        <v>6.447245383336476</v>
      </c>
      <c r="AL110" s="94">
        <f>Table3.110[[#This Row],[CH4 8-24h, ml]]+Table3.110[[#This Row],[CH4 8h, ml]]</f>
        <v>11.94585258631399</v>
      </c>
      <c r="AM110" s="94">
        <f>(Table3.110[[#This Row],[Net gas 24h, ml]]/Table3.110[[#This Row],[DM Incubated, mg]])*1000</f>
        <v>169.19033613957157</v>
      </c>
      <c r="AN110" s="94">
        <f>'3.2 Digest'!X110</f>
        <v>54.067491423678163</v>
      </c>
      <c r="AO110" s="94">
        <f>Table3.110[[#This Row],[Digested feed, mg]]/Table3.110[[#This Row],[Net gas 24h, ml]]</f>
        <v>3.1956607367382861</v>
      </c>
      <c r="AP110" s="94">
        <f>Table3.110[[#This Row],[CH4 8h, ml]]/Table3.110[[#This Row],[Net gas 8h, ml]]%</f>
        <v>13.8</v>
      </c>
      <c r="AQ110" s="94">
        <f>Table3.110[[#This Row],[CH4 24h, ml]]/Table3.110[[#This Row],[Net gas 24h, ml]]%</f>
        <v>15.091254642072073</v>
      </c>
      <c r="AR110" s="94">
        <f>Table3.110[[#This Row],[CH4 24h, ml]]/Table3.110[[#This Row],[DM Incubated, mg]]*1000</f>
        <v>25.532944456600443</v>
      </c>
      <c r="AS110" s="94">
        <f>Table3.110[[#This Row],[CH4 24h, ml]]/Table3.110[[#This Row],[Digested feed, mg]]*1000</f>
        <v>47.2242077157266</v>
      </c>
      <c r="AT110" s="94">
        <f>Table3.110[[#This Row],[CH4 24h, ml]]/'3.2 Digest'!AA110</f>
        <v>4.4314952607458551</v>
      </c>
      <c r="AU110" s="94">
        <f>((Table3.110[[#This Row],[CH4 24h, ml]]/28.9)*16.04)/Table3.110[[#This Row],[DM Incubated, mg]]*1000</f>
        <v>14.171225919857131</v>
      </c>
      <c r="AV110" s="94">
        <f>((Table3.110[[#This Row],[CH4 24h, ml]]/28.9)*16.04)/Table3.110[[#This Row],[Digested feed, mg]]*1000</f>
        <v>26.210252310043415</v>
      </c>
      <c r="AW110" s="303"/>
    </row>
    <row r="111" spans="1:49" s="304" customFormat="1" x14ac:dyDescent="0.35">
      <c r="A111" s="89"/>
      <c r="B111" s="90">
        <f t="shared" si="1"/>
        <v>101</v>
      </c>
      <c r="C111" s="140">
        <v>46041</v>
      </c>
      <c r="D111" s="8" t="s">
        <v>120</v>
      </c>
      <c r="E111" s="6" t="s">
        <v>122</v>
      </c>
      <c r="F111" s="133" t="s">
        <v>123</v>
      </c>
      <c r="G111" s="133" t="s">
        <v>545</v>
      </c>
      <c r="H111" s="133" t="s">
        <v>125</v>
      </c>
      <c r="I111" s="6" t="s">
        <v>108</v>
      </c>
      <c r="J111" s="8" t="s">
        <v>109</v>
      </c>
      <c r="K111" s="6" t="s">
        <v>110</v>
      </c>
      <c r="L111" s="6" t="s">
        <v>121</v>
      </c>
      <c r="M111" s="119">
        <v>27</v>
      </c>
      <c r="N111" s="93">
        <v>58</v>
      </c>
      <c r="O111" s="6">
        <v>1</v>
      </c>
      <c r="P111" s="129">
        <v>1</v>
      </c>
      <c r="Q111" s="6">
        <v>281</v>
      </c>
      <c r="R111" s="98">
        <v>0.50039999999999996</v>
      </c>
      <c r="S111" s="94">
        <f>((Table3.110[[#This Row],[Sample weight, g]]*'2.1. DM'!Q75)/100)*1000</f>
        <v>468.12419999999992</v>
      </c>
      <c r="T111" s="94">
        <f>'3.2 Digest'!W111</f>
        <v>220.02419999999992</v>
      </c>
      <c r="U111" s="153">
        <v>0.40486111111111112</v>
      </c>
      <c r="V111" s="154">
        <v>40.5</v>
      </c>
      <c r="W111" s="153">
        <v>0.7416666666666667</v>
      </c>
      <c r="X111" s="95">
        <v>67</v>
      </c>
      <c r="Y111" s="95">
        <v>15.9</v>
      </c>
      <c r="Z111" s="154">
        <v>40.5</v>
      </c>
      <c r="AA111" s="153">
        <v>0.42222222222222222</v>
      </c>
      <c r="AB111" s="154">
        <v>82.5</v>
      </c>
      <c r="AC111" s="154">
        <v>16.600000000000001</v>
      </c>
      <c r="AD111" s="91"/>
      <c r="AE111" s="94">
        <f>Table3.110[[#This Row],[Gas 8h, ml]]-Table3.110[[#This Row],[Gas 0h, ml]]</f>
        <v>26.5</v>
      </c>
      <c r="AF111" s="94">
        <f>Table3.110[[#This Row],[Gas 24h, ml]]-Table3.110[[#This Row],[V8 Push back, ml]]</f>
        <v>42</v>
      </c>
      <c r="AG111" s="94"/>
      <c r="AH111" s="94"/>
      <c r="AI111" s="94"/>
      <c r="AJ111" s="94"/>
      <c r="AK111" s="94"/>
      <c r="AL111" s="94"/>
      <c r="AM111" s="94"/>
      <c r="AN111" s="94"/>
      <c r="AO111" s="94"/>
      <c r="AP111" s="94"/>
      <c r="AQ111" s="94"/>
      <c r="AR111" s="94"/>
      <c r="AS111" s="94"/>
      <c r="AT111" s="94"/>
      <c r="AU111" s="94"/>
      <c r="AV111" s="94"/>
      <c r="AW111" s="303"/>
    </row>
    <row r="112" spans="1:49" s="304" customFormat="1" x14ac:dyDescent="0.35">
      <c r="A112" s="89"/>
      <c r="B112" s="90">
        <f t="shared" si="1"/>
        <v>102</v>
      </c>
      <c r="C112" s="140">
        <v>46041</v>
      </c>
      <c r="D112" s="8" t="s">
        <v>120</v>
      </c>
      <c r="E112" s="6" t="s">
        <v>122</v>
      </c>
      <c r="F112" s="133" t="s">
        <v>123</v>
      </c>
      <c r="G112" s="133" t="s">
        <v>545</v>
      </c>
      <c r="H112" s="133" t="s">
        <v>125</v>
      </c>
      <c r="I112" s="6" t="s">
        <v>108</v>
      </c>
      <c r="J112" s="8" t="s">
        <v>109</v>
      </c>
      <c r="K112" s="6" t="s">
        <v>110</v>
      </c>
      <c r="L112" s="6" t="s">
        <v>121</v>
      </c>
      <c r="M112" s="119">
        <v>27</v>
      </c>
      <c r="N112" s="93">
        <v>58</v>
      </c>
      <c r="O112" s="6">
        <v>1</v>
      </c>
      <c r="P112" s="129">
        <v>2</v>
      </c>
      <c r="Q112" s="6">
        <v>282</v>
      </c>
      <c r="R112" s="98">
        <v>0.50029999999999997</v>
      </c>
      <c r="S112" s="94">
        <f>((Table3.110[[#This Row],[Sample weight, g]]*'2.1. DM'!Q75)/100)*1000</f>
        <v>468.03064999999998</v>
      </c>
      <c r="T112" s="94">
        <f>'3.2 Digest'!W112</f>
        <v>176.73064999999997</v>
      </c>
      <c r="U112" s="117">
        <v>0.40486111111111112</v>
      </c>
      <c r="V112" s="155">
        <v>41</v>
      </c>
      <c r="W112" s="117">
        <v>0.7416666666666667</v>
      </c>
      <c r="X112" s="97">
        <v>70.5</v>
      </c>
      <c r="Y112" s="97">
        <v>15.6</v>
      </c>
      <c r="Z112" s="155">
        <v>41</v>
      </c>
      <c r="AA112" s="117">
        <v>0.42222222222222222</v>
      </c>
      <c r="AB112" s="155">
        <v>85.5</v>
      </c>
      <c r="AC112" s="155">
        <v>16.399999999999999</v>
      </c>
      <c r="AD112" s="96"/>
      <c r="AE112" s="94">
        <f>Table3.110[[#This Row],[Gas 8h, ml]]-Table3.110[[#This Row],[Gas 0h, ml]]</f>
        <v>29.5</v>
      </c>
      <c r="AF112" s="94">
        <f>Table3.110[[#This Row],[Gas 24h, ml]]-Table3.110[[#This Row],[V8 Push back, ml]]</f>
        <v>44.5</v>
      </c>
      <c r="AG112" s="94"/>
      <c r="AH112" s="94"/>
      <c r="AI112" s="94"/>
      <c r="AJ112" s="94"/>
      <c r="AK112" s="94"/>
      <c r="AL112" s="94"/>
      <c r="AM112" s="94"/>
      <c r="AN112" s="94"/>
      <c r="AO112" s="94"/>
      <c r="AP112" s="94"/>
      <c r="AQ112" s="94"/>
      <c r="AR112" s="94"/>
      <c r="AS112" s="94"/>
      <c r="AT112" s="94"/>
      <c r="AU112" s="94"/>
      <c r="AV112" s="94"/>
      <c r="AW112" s="303" t="s">
        <v>611</v>
      </c>
    </row>
    <row r="113" spans="1:49" s="304" customFormat="1" x14ac:dyDescent="0.35">
      <c r="A113" s="89"/>
      <c r="B113" s="90">
        <f t="shared" si="1"/>
        <v>103</v>
      </c>
      <c r="C113" s="140">
        <v>46041</v>
      </c>
      <c r="D113" s="8" t="s">
        <v>120</v>
      </c>
      <c r="E113" s="6" t="s">
        <v>122</v>
      </c>
      <c r="F113" s="133" t="s">
        <v>123</v>
      </c>
      <c r="G113" s="133" t="s">
        <v>545</v>
      </c>
      <c r="H113" s="133" t="s">
        <v>125</v>
      </c>
      <c r="I113" s="6" t="s">
        <v>108</v>
      </c>
      <c r="J113" s="8" t="s">
        <v>109</v>
      </c>
      <c r="K113" s="6" t="s">
        <v>110</v>
      </c>
      <c r="L113" s="6" t="s">
        <v>121</v>
      </c>
      <c r="M113" s="119">
        <v>27</v>
      </c>
      <c r="N113" s="93">
        <v>58</v>
      </c>
      <c r="O113" s="6">
        <v>1</v>
      </c>
      <c r="P113" s="129">
        <v>3</v>
      </c>
      <c r="Q113" s="6">
        <v>283</v>
      </c>
      <c r="R113" s="98">
        <v>0.50039999999999996</v>
      </c>
      <c r="S113" s="94">
        <f>((Table3.110[[#This Row],[Sample weight, g]]*'2.1. DM'!Q75)/100)*1000</f>
        <v>468.12419999999992</v>
      </c>
      <c r="T113" s="94">
        <f>'3.2 Digest'!W113</f>
        <v>163.82419999999991</v>
      </c>
      <c r="U113" s="153">
        <v>0.40555555555555556</v>
      </c>
      <c r="V113" s="154">
        <v>40.5</v>
      </c>
      <c r="W113" s="153">
        <v>0.7416666666666667</v>
      </c>
      <c r="X113" s="95">
        <v>68.5</v>
      </c>
      <c r="Y113" s="95">
        <v>16.100000000000001</v>
      </c>
      <c r="Z113" s="154">
        <v>41</v>
      </c>
      <c r="AA113" s="153">
        <v>0.42291666666666666</v>
      </c>
      <c r="AB113" s="154">
        <v>81</v>
      </c>
      <c r="AC113" s="154">
        <v>16.8</v>
      </c>
      <c r="AD113" s="91"/>
      <c r="AE113" s="94">
        <f>Table3.110[[#This Row],[Gas 8h, ml]]-Table3.110[[#This Row],[Gas 0h, ml]]</f>
        <v>28</v>
      </c>
      <c r="AF113" s="94">
        <f>Table3.110[[#This Row],[Gas 24h, ml]]-Table3.110[[#This Row],[V8 Push back, ml]]</f>
        <v>40</v>
      </c>
      <c r="AG113" s="94">
        <f>Table3.110[[#This Row],[GP 8h, ml]]-(AVERAGE(AE$11,AE$12,AE$62,AE$61,AE$114,AE$115))*$AG$8</f>
        <v>25.344979731721114</v>
      </c>
      <c r="AH113" s="94">
        <f>Table3.110[[#This Row],[GP 8-24h, ml]]-(AVERAGE(AF$11,AF$12,AF$62,AF$61,AF$114,AF$115))*$AG$8</f>
        <v>36.312471849612663</v>
      </c>
      <c r="AI113" s="94">
        <f>Table3.110[[#This Row],[Net gas 8-24h, ml]]+Table3.110[[#This Row],[Net gas 8h, ml]]</f>
        <v>61.657451581333774</v>
      </c>
      <c r="AJ113" s="94">
        <f>Table3.110[[#This Row],[Net gas 8h, ml]]*Table3.110[[#This Row],[CH4 8h %]]%</f>
        <v>4.0805417368070991</v>
      </c>
      <c r="AK113" s="94">
        <f>Table3.110[[#This Row],[Net gas 8-24h, ml]]*Table3.110[[#This Row],[CH4 24h, %]]%</f>
        <v>6.1004952707349274</v>
      </c>
      <c r="AL113" s="94">
        <f>Table3.110[[#This Row],[CH4 8-24h, ml]]+Table3.110[[#This Row],[CH4 8h, ml]]</f>
        <v>10.181037007542027</v>
      </c>
      <c r="AM113" s="94">
        <f>(Table3.110[[#This Row],[Net gas 24h, ml]]/Table3.110[[#This Row],[DM Incubated, mg]])*1000</f>
        <v>131.71173714440269</v>
      </c>
      <c r="AN113" s="94">
        <f>'3.2 Digest'!X113</f>
        <v>34.995883571069378</v>
      </c>
      <c r="AO113" s="94">
        <f>Table3.110[[#This Row],[Digested feed, mg]]/Table3.110[[#This Row],[Net gas 24h, ml]]</f>
        <v>2.6570056951493624</v>
      </c>
      <c r="AP113" s="94">
        <f>Table3.110[[#This Row],[CH4 8h, ml]]/Table3.110[[#This Row],[Net gas 8h, ml]]%</f>
        <v>16.100000000000001</v>
      </c>
      <c r="AQ113" s="94">
        <f>Table3.110[[#This Row],[CH4 24h, ml]]/Table3.110[[#This Row],[Net gas 24h, ml]]%</f>
        <v>16.512257231572384</v>
      </c>
      <c r="AR113" s="94">
        <f>Table3.110[[#This Row],[CH4 24h, ml]]/Table3.110[[#This Row],[DM Incubated, mg]]*1000</f>
        <v>21.748580841456242</v>
      </c>
      <c r="AS113" s="94">
        <f>Table3.110[[#This Row],[CH4 24h, ml]]/Table3.110[[#This Row],[Digested feed, mg]]*1000</f>
        <v>62.146111548489372</v>
      </c>
      <c r="AT113" s="94">
        <f>Table3.110[[#This Row],[CH4 24h, ml]]/'3.2 Digest'!AA113</f>
        <v>0.69825616978718807</v>
      </c>
      <c r="AU113" s="94">
        <f>((Table3.110[[#This Row],[CH4 24h, ml]]/28.9)*16.04)/Table3.110[[#This Row],[DM Incubated, mg]]*1000</f>
        <v>12.07083864003315</v>
      </c>
      <c r="AV113" s="94">
        <f>((Table3.110[[#This Row],[CH4 24h, ml]]/28.9)*16.04)/Table3.110[[#This Row],[Digested feed, mg]]*1000</f>
        <v>34.492167101652925</v>
      </c>
      <c r="AW113" s="303"/>
    </row>
    <row r="114" spans="1:49" s="304" customFormat="1" x14ac:dyDescent="0.35">
      <c r="A114" s="89"/>
      <c r="B114" s="90">
        <f t="shared" si="1"/>
        <v>104</v>
      </c>
      <c r="C114" s="140">
        <v>46041</v>
      </c>
      <c r="D114" s="92"/>
      <c r="E114" s="6" t="s">
        <v>537</v>
      </c>
      <c r="F114" s="133" t="s">
        <v>538</v>
      </c>
      <c r="G114" s="133">
        <v>24</v>
      </c>
      <c r="H114" s="133" t="s">
        <v>537</v>
      </c>
      <c r="I114" s="187"/>
      <c r="J114" s="188"/>
      <c r="K114" s="6"/>
      <c r="L114" s="6" t="s">
        <v>539</v>
      </c>
      <c r="M114" s="119">
        <v>27</v>
      </c>
      <c r="N114" s="93">
        <v>58</v>
      </c>
      <c r="O114" s="6">
        <v>1</v>
      </c>
      <c r="P114" s="129">
        <v>1</v>
      </c>
      <c r="Q114" s="6">
        <v>284</v>
      </c>
      <c r="R114" s="98"/>
      <c r="S114" s="94"/>
      <c r="T114" s="94">
        <f>'3.2 Digest'!W114</f>
        <v>0</v>
      </c>
      <c r="U114" s="115">
        <v>0.40555555555555556</v>
      </c>
      <c r="V114" s="94">
        <v>40</v>
      </c>
      <c r="W114" s="115">
        <v>0.74236111111111114</v>
      </c>
      <c r="X114" s="93">
        <v>44</v>
      </c>
      <c r="Y114" s="93"/>
      <c r="Z114" s="94">
        <v>40</v>
      </c>
      <c r="AA114" s="115">
        <v>0.4236111111111111</v>
      </c>
      <c r="AB114" s="94">
        <v>44.5</v>
      </c>
      <c r="AC114" s="94"/>
      <c r="AD114" s="96"/>
      <c r="AE114" s="94">
        <f>Table3.110[[#This Row],[Gas 8h, ml]]-Table3.110[[#This Row],[Gas 0h, ml]]</f>
        <v>4</v>
      </c>
      <c r="AF114" s="94">
        <f>Table3.110[[#This Row],[Gas 24h, ml]]-Table3.110[[#This Row],[V8 Push back, ml]]</f>
        <v>4.5</v>
      </c>
      <c r="AG114" s="94"/>
      <c r="AH114" s="94"/>
      <c r="AI114" s="94"/>
      <c r="AJ114" s="94"/>
      <c r="AK114" s="94"/>
      <c r="AL114" s="94"/>
      <c r="AM114" s="94"/>
      <c r="AN114" s="94"/>
      <c r="AO114" s="94"/>
      <c r="AP114" s="94"/>
      <c r="AQ114" s="94"/>
      <c r="AR114" s="94"/>
      <c r="AS114" s="94"/>
      <c r="AT114" s="94"/>
      <c r="AU114" s="94"/>
      <c r="AV114" s="94"/>
      <c r="AW114" s="303"/>
    </row>
    <row r="115" spans="1:49" s="304" customFormat="1" x14ac:dyDescent="0.35">
      <c r="A115" s="89"/>
      <c r="B115" s="90">
        <f t="shared" si="1"/>
        <v>105</v>
      </c>
      <c r="C115" s="140">
        <v>46041</v>
      </c>
      <c r="D115" s="92"/>
      <c r="E115" s="6" t="s">
        <v>537</v>
      </c>
      <c r="F115" s="133" t="s">
        <v>538</v>
      </c>
      <c r="G115" s="133">
        <v>24</v>
      </c>
      <c r="H115" s="133" t="s">
        <v>537</v>
      </c>
      <c r="I115" s="187"/>
      <c r="J115" s="188"/>
      <c r="K115" s="6"/>
      <c r="L115" s="6" t="s">
        <v>539</v>
      </c>
      <c r="M115" s="119">
        <v>27</v>
      </c>
      <c r="N115" s="93">
        <v>58</v>
      </c>
      <c r="O115" s="6">
        <v>1</v>
      </c>
      <c r="P115" s="129">
        <v>2</v>
      </c>
      <c r="Q115" s="6">
        <v>285</v>
      </c>
      <c r="R115" s="98"/>
      <c r="S115" s="94"/>
      <c r="T115" s="94">
        <f>'3.2 Digest'!W115</f>
        <v>0</v>
      </c>
      <c r="U115" s="115">
        <v>0.40555555555555556</v>
      </c>
      <c r="V115" s="94">
        <v>40</v>
      </c>
      <c r="W115" s="115">
        <v>0.74305555555555558</v>
      </c>
      <c r="X115" s="93">
        <v>43.5</v>
      </c>
      <c r="Y115" s="93"/>
      <c r="Z115" s="94">
        <v>40</v>
      </c>
      <c r="AA115" s="115">
        <v>0.4236111111111111</v>
      </c>
      <c r="AB115" s="94">
        <v>44.5</v>
      </c>
      <c r="AC115" s="94"/>
      <c r="AD115" s="91"/>
      <c r="AE115" s="94">
        <f>Table3.110[[#This Row],[Gas 8h, ml]]-Table3.110[[#This Row],[Gas 0h, ml]]</f>
        <v>3.5</v>
      </c>
      <c r="AF115" s="94">
        <f>Table3.110[[#This Row],[Gas 24h, ml]]-Table3.110[[#This Row],[V8 Push back, ml]]</f>
        <v>4.5</v>
      </c>
      <c r="AG115" s="94"/>
      <c r="AH115" s="94"/>
      <c r="AI115" s="94"/>
      <c r="AJ115" s="94"/>
      <c r="AK115" s="94"/>
      <c r="AL115" s="94"/>
      <c r="AM115" s="94"/>
      <c r="AN115" s="94"/>
      <c r="AO115" s="94"/>
      <c r="AP115" s="94"/>
      <c r="AQ115" s="94"/>
      <c r="AR115" s="94"/>
      <c r="AS115" s="94"/>
      <c r="AT115" s="94"/>
      <c r="AU115" s="94"/>
      <c r="AV115" s="94"/>
      <c r="AW115" s="303"/>
    </row>
    <row r="116" spans="1:49" s="304" customFormat="1" x14ac:dyDescent="0.35">
      <c r="A116" s="89"/>
      <c r="B116" s="90">
        <f t="shared" si="1"/>
        <v>106</v>
      </c>
      <c r="C116" s="140">
        <v>46043</v>
      </c>
      <c r="D116" s="92"/>
      <c r="E116" s="6" t="s">
        <v>537</v>
      </c>
      <c r="F116" s="133" t="s">
        <v>538</v>
      </c>
      <c r="G116" s="133">
        <v>24</v>
      </c>
      <c r="H116" s="133" t="s">
        <v>537</v>
      </c>
      <c r="I116" s="187"/>
      <c r="J116" s="188"/>
      <c r="K116" s="6"/>
      <c r="L116" s="6" t="s">
        <v>539</v>
      </c>
      <c r="M116" s="119">
        <v>27</v>
      </c>
      <c r="N116" s="93">
        <v>59</v>
      </c>
      <c r="O116" s="6">
        <v>2</v>
      </c>
      <c r="P116" s="129">
        <v>1</v>
      </c>
      <c r="Q116" s="6">
        <v>286</v>
      </c>
      <c r="R116" s="98"/>
      <c r="S116" s="94"/>
      <c r="T116" s="94">
        <f>'3.2 Digest'!W116</f>
        <v>0</v>
      </c>
      <c r="U116" s="153"/>
      <c r="V116" s="154">
        <v>39.5</v>
      </c>
      <c r="W116" s="153">
        <v>0.6743055555555556</v>
      </c>
      <c r="X116" s="91">
        <v>43.5</v>
      </c>
      <c r="Y116" s="91"/>
      <c r="Z116" s="154">
        <v>39.5</v>
      </c>
      <c r="AA116" s="153">
        <v>0.36458333333333331</v>
      </c>
      <c r="AB116" s="154">
        <v>43.5</v>
      </c>
      <c r="AC116" s="154"/>
      <c r="AD116" s="96"/>
      <c r="AE116" s="94">
        <f>Table3.110[[#This Row],[Gas 8h, ml]]-Table3.110[[#This Row],[Gas 0h, ml]]</f>
        <v>4</v>
      </c>
      <c r="AF116" s="94">
        <f>Table3.110[[#This Row],[Gas 24h, ml]]-Table3.110[[#This Row],[V8 Push back, ml]]</f>
        <v>4</v>
      </c>
      <c r="AG116" s="94"/>
      <c r="AH116" s="94"/>
      <c r="AI116" s="94"/>
      <c r="AJ116" s="94"/>
      <c r="AK116" s="94"/>
      <c r="AL116" s="94"/>
      <c r="AM116" s="94"/>
      <c r="AN116" s="94"/>
      <c r="AO116" s="94"/>
      <c r="AP116" s="94"/>
      <c r="AQ116" s="94"/>
      <c r="AR116" s="94"/>
      <c r="AS116" s="94"/>
      <c r="AT116" s="94"/>
      <c r="AU116" s="94"/>
      <c r="AV116" s="94"/>
      <c r="AW116" s="303"/>
    </row>
    <row r="117" spans="1:49" s="304" customFormat="1" x14ac:dyDescent="0.35">
      <c r="A117" s="89"/>
      <c r="B117" s="90">
        <f t="shared" si="1"/>
        <v>107</v>
      </c>
      <c r="C117" s="140">
        <v>46043</v>
      </c>
      <c r="D117" s="92"/>
      <c r="E117" s="6" t="s">
        <v>537</v>
      </c>
      <c r="F117" s="133" t="s">
        <v>538</v>
      </c>
      <c r="G117" s="133">
        <v>24</v>
      </c>
      <c r="H117" s="133" t="s">
        <v>537</v>
      </c>
      <c r="I117" s="187"/>
      <c r="J117" s="188"/>
      <c r="K117" s="6"/>
      <c r="L117" s="6" t="s">
        <v>539</v>
      </c>
      <c r="M117" s="119">
        <v>27</v>
      </c>
      <c r="N117" s="93">
        <v>59</v>
      </c>
      <c r="O117" s="6">
        <v>2</v>
      </c>
      <c r="P117" s="6">
        <v>2</v>
      </c>
      <c r="Q117" s="6">
        <v>287</v>
      </c>
      <c r="R117" s="98"/>
      <c r="S117" s="94"/>
      <c r="T117" s="94">
        <f>'3.2 Digest'!W117</f>
        <v>0</v>
      </c>
      <c r="U117" s="117">
        <v>0.34027777777777779</v>
      </c>
      <c r="V117" s="155">
        <v>39.5</v>
      </c>
      <c r="W117" s="117">
        <v>0.6743055555555556</v>
      </c>
      <c r="X117" s="96">
        <v>42.5</v>
      </c>
      <c r="Y117" s="96"/>
      <c r="Z117" s="155">
        <v>39.5</v>
      </c>
      <c r="AA117" s="117">
        <v>0.36458333333333331</v>
      </c>
      <c r="AB117" s="155">
        <v>44</v>
      </c>
      <c r="AC117" s="155"/>
      <c r="AD117" s="91"/>
      <c r="AE117" s="94">
        <f>Table3.110[[#This Row],[Gas 8h, ml]]-Table3.110[[#This Row],[Gas 0h, ml]]</f>
        <v>3</v>
      </c>
      <c r="AF117" s="94">
        <f>Table3.110[[#This Row],[Gas 24h, ml]]-Table3.110[[#This Row],[V8 Push back, ml]]</f>
        <v>4.5</v>
      </c>
      <c r="AG117" s="94"/>
      <c r="AH117" s="94"/>
      <c r="AI117" s="94"/>
      <c r="AJ117" s="94"/>
      <c r="AK117" s="94"/>
      <c r="AL117" s="94"/>
      <c r="AM117" s="94"/>
      <c r="AN117" s="94"/>
      <c r="AO117" s="94"/>
      <c r="AP117" s="94"/>
      <c r="AQ117" s="94"/>
      <c r="AR117" s="94"/>
      <c r="AS117" s="94"/>
      <c r="AT117" s="94"/>
      <c r="AU117" s="94"/>
      <c r="AV117" s="94"/>
      <c r="AW117" s="303"/>
    </row>
    <row r="118" spans="1:49" s="304" customFormat="1" x14ac:dyDescent="0.35">
      <c r="A118" s="89"/>
      <c r="B118" s="90">
        <f t="shared" si="1"/>
        <v>108</v>
      </c>
      <c r="C118" s="140">
        <v>46043</v>
      </c>
      <c r="D118" s="6" t="s">
        <v>16</v>
      </c>
      <c r="E118" s="6" t="s">
        <v>18</v>
      </c>
      <c r="F118" s="133" t="s">
        <v>19</v>
      </c>
      <c r="G118" s="133" t="s">
        <v>20</v>
      </c>
      <c r="H118" s="133" t="s">
        <v>21</v>
      </c>
      <c r="I118" s="6" t="s">
        <v>22</v>
      </c>
      <c r="J118" s="129" t="s">
        <v>23</v>
      </c>
      <c r="K118" s="129" t="s">
        <v>24</v>
      </c>
      <c r="L118" s="6" t="s">
        <v>17</v>
      </c>
      <c r="M118" s="119">
        <v>27</v>
      </c>
      <c r="N118" s="93">
        <v>59</v>
      </c>
      <c r="O118" s="6">
        <v>2</v>
      </c>
      <c r="P118" s="129">
        <v>1</v>
      </c>
      <c r="Q118" s="6">
        <v>288</v>
      </c>
      <c r="R118" s="98">
        <v>0.50009999999999999</v>
      </c>
      <c r="S118" s="94">
        <f>((Table3.110[[#This Row],[Sample weight, g]]*'2.1. DM'!Q11)/100)*1000</f>
        <v>474.75634208085836</v>
      </c>
      <c r="T118" s="94">
        <f>'3.2 Digest'!W118</f>
        <v>172.35634208085838</v>
      </c>
      <c r="U118" s="117">
        <v>0.34027777777777779</v>
      </c>
      <c r="V118" s="154">
        <v>40.5</v>
      </c>
      <c r="W118" s="153">
        <v>0.6743055555555556</v>
      </c>
      <c r="X118" s="91">
        <v>69</v>
      </c>
      <c r="Y118" s="91">
        <v>13.4</v>
      </c>
      <c r="Z118" s="154">
        <v>40.5</v>
      </c>
      <c r="AA118" s="153">
        <v>0.36527777777777776</v>
      </c>
      <c r="AB118" s="154">
        <v>64</v>
      </c>
      <c r="AC118" s="154">
        <v>15.8</v>
      </c>
      <c r="AD118" s="96"/>
      <c r="AE118" s="94">
        <f>Table3.110[[#This Row],[Gas 8h, ml]]-Table3.110[[#This Row],[Gas 0h, ml]]</f>
        <v>28.5</v>
      </c>
      <c r="AF118" s="94">
        <f>Table3.110[[#This Row],[Gas 24h, ml]]-Table3.110[[#This Row],[V8 Push back, ml]]</f>
        <v>23.5</v>
      </c>
      <c r="AG118" s="94">
        <f>Table3.110[[#This Row],[GP 8h, ml]]-(AVERAGE(AE$116,AE$117,AE$167,AE$166,AE$219,AE$220))*$AG$8</f>
        <v>25.623728042697874</v>
      </c>
      <c r="AH118" s="94">
        <f>Table3.110[[#This Row],[GP 8-24h, ml]]-(AVERAGE(AF$11,AF$12,AF$62,AF$61,AF$114,AF$115))*$AG$8</f>
        <v>19.81247184961266</v>
      </c>
      <c r="AI118" s="94">
        <f>Table3.110[[#This Row],[Net gas 8-24h, ml]]+Table3.110[[#This Row],[Net gas 8h, ml]]</f>
        <v>45.436199892310533</v>
      </c>
      <c r="AJ118" s="94">
        <f>Table3.110[[#This Row],[Net gas 8h, ml]]*Table3.110[[#This Row],[CH4 8h %]]%</f>
        <v>3.4335795577215151</v>
      </c>
      <c r="AK118" s="94">
        <f>Table3.110[[#This Row],[Net gas 8-24h, ml]]*Table3.110[[#This Row],[CH4 24h, %]]%</f>
        <v>3.1303705522388001</v>
      </c>
      <c r="AL118" s="94">
        <f>Table3.110[[#This Row],[CH4 8-24h, ml]]+Table3.110[[#This Row],[CH4 8h, ml]]</f>
        <v>6.5639501099603148</v>
      </c>
      <c r="AM118" s="94">
        <f>(Table3.110[[#This Row],[Net gas 24h, ml]]/Table3.110[[#This Row],[DM Incubated, mg]])*1000</f>
        <v>95.704250507035979</v>
      </c>
      <c r="AN118" s="94">
        <f>'3.2 Digest'!X118</f>
        <v>36.304168434152992</v>
      </c>
      <c r="AO118" s="94">
        <f>Table3.110[[#This Row],[Digested feed, mg]]/Table3.110[[#This Row],[Net gas 24h, ml]]</f>
        <v>3.7933705391156045</v>
      </c>
      <c r="AP118" s="94">
        <f>Table3.110[[#This Row],[CH4 8h, ml]]/Table3.110[[#This Row],[Net gas 8h, ml]]%</f>
        <v>13.4</v>
      </c>
      <c r="AQ118" s="94">
        <f>Table3.110[[#This Row],[CH4 24h, ml]]/Table3.110[[#This Row],[Net gas 24h, ml]]%</f>
        <v>14.44652089197093</v>
      </c>
      <c r="AR118" s="94">
        <f>Table3.110[[#This Row],[CH4 24h, ml]]/Table3.110[[#This Row],[DM Incubated, mg]]*1000</f>
        <v>13.825934544003148</v>
      </c>
      <c r="AS118" s="94">
        <f>Table3.110[[#This Row],[CH4 24h, ml]]/Table3.110[[#This Row],[Digested feed, mg]]*1000</f>
        <v>38.083600700233802</v>
      </c>
      <c r="AT118" s="94">
        <f>Table3.110[[#This Row],[CH4 24h, ml]]/'3.2 Digest'!AA118</f>
        <v>-1.2046011691550149</v>
      </c>
      <c r="AU118" s="94">
        <f>((Table3.110[[#This Row],[CH4 24h, ml]]/28.9)*16.04)/Table3.110[[#This Row],[DM Incubated, mg]]*1000</f>
        <v>7.6736328749415401</v>
      </c>
      <c r="AV118" s="94">
        <f>((Table3.110[[#This Row],[CH4 24h, ml]]/28.9)*16.04)/Table3.110[[#This Row],[Digested feed, mg]]*1000</f>
        <v>21.137057274455021</v>
      </c>
      <c r="AW118" s="303"/>
    </row>
    <row r="119" spans="1:49" s="304" customFormat="1" x14ac:dyDescent="0.35">
      <c r="A119" s="89"/>
      <c r="B119" s="90">
        <f t="shared" si="1"/>
        <v>109</v>
      </c>
      <c r="C119" s="140">
        <v>46043</v>
      </c>
      <c r="D119" s="6" t="s">
        <v>16</v>
      </c>
      <c r="E119" s="6" t="s">
        <v>18</v>
      </c>
      <c r="F119" s="133" t="s">
        <v>19</v>
      </c>
      <c r="G119" s="133" t="s">
        <v>20</v>
      </c>
      <c r="H119" s="133" t="s">
        <v>21</v>
      </c>
      <c r="I119" s="6" t="s">
        <v>22</v>
      </c>
      <c r="J119" s="129" t="s">
        <v>23</v>
      </c>
      <c r="K119" s="129" t="s">
        <v>24</v>
      </c>
      <c r="L119" s="6" t="s">
        <v>17</v>
      </c>
      <c r="M119" s="119">
        <v>27</v>
      </c>
      <c r="N119" s="93">
        <v>59</v>
      </c>
      <c r="O119" s="6">
        <v>2</v>
      </c>
      <c r="P119" s="129">
        <v>2</v>
      </c>
      <c r="Q119" s="6">
        <v>289</v>
      </c>
      <c r="R119" s="98">
        <v>0.50019999999999998</v>
      </c>
      <c r="S119" s="94">
        <f>((Table3.110[[#This Row],[Sample weight, g]]*'2.1. DM'!Q11)/100)*1000</f>
        <v>474.85127436281817</v>
      </c>
      <c r="T119" s="94">
        <f>'3.2 Digest'!W119</f>
        <v>0</v>
      </c>
      <c r="U119" s="117">
        <v>0.34791666666666665</v>
      </c>
      <c r="V119" s="155" t="s">
        <v>547</v>
      </c>
      <c r="W119" s="117"/>
      <c r="X119" s="96"/>
      <c r="Y119" s="96"/>
      <c r="Z119" s="155"/>
      <c r="AA119" s="117"/>
      <c r="AB119" s="155"/>
      <c r="AC119" s="155"/>
      <c r="AD119" s="91"/>
      <c r="AE119" s="94"/>
      <c r="AF119" s="94"/>
      <c r="AG119" s="94"/>
      <c r="AH119" s="94"/>
      <c r="AI119" s="94"/>
      <c r="AJ119" s="94"/>
      <c r="AK119" s="94"/>
      <c r="AL119" s="94"/>
      <c r="AM119" s="94"/>
      <c r="AN119" s="94"/>
      <c r="AO119" s="94"/>
      <c r="AP119" s="94"/>
      <c r="AQ119" s="94"/>
      <c r="AR119" s="94"/>
      <c r="AS119" s="94"/>
      <c r="AT119" s="94"/>
      <c r="AU119" s="94"/>
      <c r="AV119" s="94"/>
      <c r="AW119" s="303" t="s">
        <v>612</v>
      </c>
    </row>
    <row r="120" spans="1:49" s="304" customFormat="1" x14ac:dyDescent="0.35">
      <c r="A120" s="89"/>
      <c r="B120" s="90">
        <f t="shared" si="1"/>
        <v>110</v>
      </c>
      <c r="C120" s="140">
        <v>46043</v>
      </c>
      <c r="D120" s="6" t="s">
        <v>16</v>
      </c>
      <c r="E120" s="6" t="s">
        <v>18</v>
      </c>
      <c r="F120" s="133" t="s">
        <v>19</v>
      </c>
      <c r="G120" s="133" t="s">
        <v>20</v>
      </c>
      <c r="H120" s="133" t="s">
        <v>21</v>
      </c>
      <c r="I120" s="6" t="s">
        <v>22</v>
      </c>
      <c r="J120" s="129" t="s">
        <v>23</v>
      </c>
      <c r="K120" s="129" t="s">
        <v>24</v>
      </c>
      <c r="L120" s="6" t="s">
        <v>17</v>
      </c>
      <c r="M120" s="119">
        <v>27</v>
      </c>
      <c r="N120" s="93">
        <v>59</v>
      </c>
      <c r="O120" s="6">
        <v>2</v>
      </c>
      <c r="P120" s="6">
        <v>3</v>
      </c>
      <c r="Q120" s="6">
        <v>290</v>
      </c>
      <c r="R120" s="98">
        <v>0.50019999999999998</v>
      </c>
      <c r="S120" s="94">
        <f>((Table3.110[[#This Row],[Sample weight, g]]*'2.1. DM'!Q11)/100)*1000</f>
        <v>474.85127436281817</v>
      </c>
      <c r="T120" s="94">
        <f>'3.2 Digest'!W120</f>
        <v>179.35127436281817</v>
      </c>
      <c r="U120" s="153">
        <v>0.34861111111111109</v>
      </c>
      <c r="V120" s="154">
        <v>39</v>
      </c>
      <c r="W120" s="153">
        <v>0.67500000000000004</v>
      </c>
      <c r="X120" s="91">
        <v>68.5</v>
      </c>
      <c r="Y120" s="91">
        <v>14.3</v>
      </c>
      <c r="Z120" s="154">
        <v>38.5</v>
      </c>
      <c r="AA120" s="153">
        <v>0.36666666666666664</v>
      </c>
      <c r="AB120" s="154">
        <v>56</v>
      </c>
      <c r="AC120" s="154">
        <v>17.899999999999999</v>
      </c>
      <c r="AD120" s="96"/>
      <c r="AE120" s="94">
        <f>Table3.110[[#This Row],[Gas 8h, ml]]-Table3.110[[#This Row],[Gas 0h, ml]]</f>
        <v>29.5</v>
      </c>
      <c r="AF120" s="94">
        <f>Table3.110[[#This Row],[Gas 24h, ml]]-Table3.110[[#This Row],[V8 Push back, ml]]</f>
        <v>17.5</v>
      </c>
      <c r="AG120" s="94">
        <f>Table3.110[[#This Row],[GP 8h, ml]]-(AVERAGE(AE$116,AE$117,AE$167,AE$166,AE$219,AE$220))*$AG$8</f>
        <v>26.623728042697874</v>
      </c>
      <c r="AH120" s="94">
        <f>Table3.110[[#This Row],[GP 8-24h, ml]]-(AVERAGE(AF$11,AF$12,AF$62,AF$61,AF$114,AF$115))*$AG$8</f>
        <v>13.81247184961266</v>
      </c>
      <c r="AI120" s="94">
        <f>Table3.110[[#This Row],[Net gas 8-24h, ml]]+Table3.110[[#This Row],[Net gas 8h, ml]]</f>
        <v>40.436199892310533</v>
      </c>
      <c r="AJ120" s="94">
        <f>Table3.110[[#This Row],[Net gas 8h, ml]]*Table3.110[[#This Row],[CH4 8h %]]%</f>
        <v>3.8071931101057963</v>
      </c>
      <c r="AK120" s="94">
        <f>Table3.110[[#This Row],[Net gas 8-24h, ml]]*Table3.110[[#This Row],[CH4 24h, %]]%</f>
        <v>2.4724324610806661</v>
      </c>
      <c r="AL120" s="94">
        <f>Table3.110[[#This Row],[CH4 8-24h, ml]]+Table3.110[[#This Row],[CH4 8h, ml]]</f>
        <v>6.2796255711864628</v>
      </c>
      <c r="AM120" s="94">
        <f>(Table3.110[[#This Row],[Net gas 24h, ml]]/Table3.110[[#This Row],[DM Incubated, mg]])*1000</f>
        <v>85.155504629465455</v>
      </c>
      <c r="AN120" s="94">
        <f>'3.2 Digest'!X120</f>
        <v>37.76998905678029</v>
      </c>
      <c r="AO120" s="94">
        <f>Table3.110[[#This Row],[Digested feed, mg]]/Table3.110[[#This Row],[Net gas 24h, ml]]</f>
        <v>4.435413684779121</v>
      </c>
      <c r="AP120" s="94">
        <f>Table3.110[[#This Row],[CH4 8h, ml]]/Table3.110[[#This Row],[Net gas 8h, ml]]%</f>
        <v>14.3</v>
      </c>
      <c r="AQ120" s="94">
        <f>Table3.110[[#This Row],[CH4 24h, ml]]/Table3.110[[#This Row],[Net gas 24h, ml]]%</f>
        <v>15.529712455449147</v>
      </c>
      <c r="AR120" s="94">
        <f>Table3.110[[#This Row],[CH4 24h, ml]]/Table3.110[[#This Row],[DM Incubated, mg]]*1000</f>
        <v>13.22440500894267</v>
      </c>
      <c r="AS120" s="94">
        <f>Table3.110[[#This Row],[CH4 24h, ml]]/Table3.110[[#This Row],[Digested feed, mg]]*1000</f>
        <v>35.012996665321211</v>
      </c>
      <c r="AT120" s="94">
        <f>Table3.110[[#This Row],[CH4 24h, ml]]/'3.2 Digest'!AA120</f>
        <v>-2.0777055028205549</v>
      </c>
      <c r="AU120" s="94">
        <f>((Table3.110[[#This Row],[CH4 24h, ml]]/28.9)*16.04)/Table3.110[[#This Row],[DM Incubated, mg]]*1000</f>
        <v>7.3397735758975937</v>
      </c>
      <c r="AV120" s="94">
        <f>((Table3.110[[#This Row],[CH4 24h, ml]]/28.9)*16.04)/Table3.110[[#This Row],[Digested feed, mg]]*1000</f>
        <v>19.432818910441256</v>
      </c>
      <c r="AW120" s="303"/>
    </row>
    <row r="121" spans="1:49" s="304" customFormat="1" x14ac:dyDescent="0.35">
      <c r="A121" s="89"/>
      <c r="B121" s="90">
        <f t="shared" si="1"/>
        <v>111</v>
      </c>
      <c r="C121" s="140">
        <v>46043</v>
      </c>
      <c r="D121" s="6" t="s">
        <v>16</v>
      </c>
      <c r="E121" s="6" t="s">
        <v>28</v>
      </c>
      <c r="F121" s="133" t="s">
        <v>19</v>
      </c>
      <c r="G121" s="133" t="s">
        <v>29</v>
      </c>
      <c r="H121" s="133" t="s">
        <v>30</v>
      </c>
      <c r="I121" s="6" t="s">
        <v>22</v>
      </c>
      <c r="J121" s="129" t="s">
        <v>23</v>
      </c>
      <c r="K121" s="129" t="s">
        <v>24</v>
      </c>
      <c r="L121" s="6" t="s">
        <v>27</v>
      </c>
      <c r="M121" s="119">
        <v>27</v>
      </c>
      <c r="N121" s="93">
        <v>59</v>
      </c>
      <c r="O121" s="6">
        <v>2</v>
      </c>
      <c r="P121" s="129">
        <v>1</v>
      </c>
      <c r="Q121" s="6">
        <v>291</v>
      </c>
      <c r="R121" s="98">
        <v>0.50029999999999997</v>
      </c>
      <c r="S121" s="94">
        <f>((Table3.110[[#This Row],[Sample weight, g]]*'2.1. DM'!Q13)/100)*1000</f>
        <v>475.51384160674138</v>
      </c>
      <c r="T121" s="94">
        <f>'3.2 Digest'!W121</f>
        <v>142.6138416067414</v>
      </c>
      <c r="U121" s="117">
        <v>0.34930555555555554</v>
      </c>
      <c r="V121" s="155">
        <v>41.5</v>
      </c>
      <c r="W121" s="117">
        <v>0.67500000000000004</v>
      </c>
      <c r="X121" s="96">
        <v>68.5</v>
      </c>
      <c r="Y121" s="96">
        <v>13.1</v>
      </c>
      <c r="Z121" s="155">
        <v>40</v>
      </c>
      <c r="AA121" s="117">
        <v>0.36666666666666664</v>
      </c>
      <c r="AB121" s="155">
        <v>59.5</v>
      </c>
      <c r="AC121" s="155">
        <v>17.5</v>
      </c>
      <c r="AD121" s="91"/>
      <c r="AE121" s="94">
        <f>Table3.110[[#This Row],[Gas 8h, ml]]-Table3.110[[#This Row],[Gas 0h, ml]]</f>
        <v>27</v>
      </c>
      <c r="AF121" s="94">
        <f>Table3.110[[#This Row],[Gas 24h, ml]]-Table3.110[[#This Row],[V8 Push back, ml]]</f>
        <v>19.5</v>
      </c>
      <c r="AG121" s="94">
        <f>Table3.110[[#This Row],[GP 8h, ml]]-(AVERAGE(AE$116,AE$117,AE$167,AE$166,AE$219,AE$220))*$AG$8</f>
        <v>24.123728042697874</v>
      </c>
      <c r="AH121" s="94">
        <f>Table3.110[[#This Row],[GP 8-24h, ml]]-(AVERAGE(AF$11,AF$12,AF$62,AF$61,AF$114,AF$115))*$AG$8</f>
        <v>15.81247184961266</v>
      </c>
      <c r="AI121" s="94">
        <f>Table3.110[[#This Row],[Net gas 8-24h, ml]]+Table3.110[[#This Row],[Net gas 8h, ml]]</f>
        <v>39.936199892310533</v>
      </c>
      <c r="AJ121" s="94">
        <f>Table3.110[[#This Row],[Net gas 8h, ml]]*Table3.110[[#This Row],[CH4 8h %]]%</f>
        <v>3.1602083735934214</v>
      </c>
      <c r="AK121" s="94">
        <f>Table3.110[[#This Row],[Net gas 8-24h, ml]]*Table3.110[[#This Row],[CH4 24h, %]]%</f>
        <v>2.7671825736822151</v>
      </c>
      <c r="AL121" s="94">
        <f>Table3.110[[#This Row],[CH4 8-24h, ml]]+Table3.110[[#This Row],[CH4 8h, ml]]</f>
        <v>5.9273909472756365</v>
      </c>
      <c r="AM121" s="94">
        <f>(Table3.110[[#This Row],[Net gas 24h, ml]]/Table3.110[[#This Row],[DM Incubated, mg]])*1000</f>
        <v>83.985357308144359</v>
      </c>
      <c r="AN121" s="94">
        <f>'3.2 Digest'!X121</f>
        <v>29.99152267047689</v>
      </c>
      <c r="AO121" s="94">
        <f>Table3.110[[#This Row],[Digested feed, mg]]/Table3.110[[#This Row],[Net gas 24h, ml]]</f>
        <v>3.5710418615518003</v>
      </c>
      <c r="AP121" s="94">
        <f>Table3.110[[#This Row],[CH4 8h, ml]]/Table3.110[[#This Row],[Net gas 8h, ml]]%</f>
        <v>13.1</v>
      </c>
      <c r="AQ121" s="94">
        <f>Table3.110[[#This Row],[CH4 24h, ml]]/Table3.110[[#This Row],[Net gas 24h, ml]]%</f>
        <v>14.842150638415948</v>
      </c>
      <c r="AR121" s="94">
        <f>Table3.110[[#This Row],[CH4 24h, ml]]/Table3.110[[#This Row],[DM Incubated, mg]]*1000</f>
        <v>12.465233245886662</v>
      </c>
      <c r="AS121" s="94">
        <f>Table3.110[[#This Row],[CH4 24h, ml]]/Table3.110[[#This Row],[Digested feed, mg]]*1000</f>
        <v>41.562522126151372</v>
      </c>
      <c r="AT121" s="94">
        <f>Table3.110[[#This Row],[CH4 24h, ml]]/'3.2 Digest'!AA121</f>
        <v>-0.25679726446212636</v>
      </c>
      <c r="AU121" s="94">
        <f>((Table3.110[[#This Row],[CH4 24h, ml]]/28.9)*16.04)/Table3.110[[#This Row],[DM Incubated, mg]]*1000</f>
        <v>6.9184201129419387</v>
      </c>
      <c r="AV121" s="94">
        <f>((Table3.110[[#This Row],[CH4 24h, ml]]/28.9)*16.04)/Table3.110[[#This Row],[Digested feed, mg]]*1000</f>
        <v>23.06791885479128</v>
      </c>
      <c r="AW121" s="303"/>
    </row>
    <row r="122" spans="1:49" s="304" customFormat="1" x14ac:dyDescent="0.35">
      <c r="A122" s="89"/>
      <c r="B122" s="90">
        <f t="shared" si="1"/>
        <v>112</v>
      </c>
      <c r="C122" s="140">
        <v>46043</v>
      </c>
      <c r="D122" s="6" t="s">
        <v>16</v>
      </c>
      <c r="E122" s="6" t="s">
        <v>28</v>
      </c>
      <c r="F122" s="133" t="s">
        <v>19</v>
      </c>
      <c r="G122" s="133" t="s">
        <v>29</v>
      </c>
      <c r="H122" s="133" t="s">
        <v>30</v>
      </c>
      <c r="I122" s="6" t="s">
        <v>22</v>
      </c>
      <c r="J122" s="129" t="s">
        <v>23</v>
      </c>
      <c r="K122" s="129" t="s">
        <v>24</v>
      </c>
      <c r="L122" s="6" t="s">
        <v>27</v>
      </c>
      <c r="M122" s="119">
        <v>27</v>
      </c>
      <c r="N122" s="93">
        <v>59</v>
      </c>
      <c r="O122" s="6">
        <v>2</v>
      </c>
      <c r="P122" s="129">
        <v>2</v>
      </c>
      <c r="Q122" s="6">
        <v>292</v>
      </c>
      <c r="R122" s="98">
        <v>0.50039999999999996</v>
      </c>
      <c r="S122" s="94">
        <f>((Table3.110[[#This Row],[Sample weight, g]]*'2.1. DM'!Q13)/100)*1000</f>
        <v>475.60888734761824</v>
      </c>
      <c r="T122" s="94">
        <f>'3.2 Digest'!W122</f>
        <v>159.10888734761824</v>
      </c>
      <c r="U122" s="117">
        <v>0.35069444444444442</v>
      </c>
      <c r="V122" s="154">
        <v>44.5</v>
      </c>
      <c r="W122" s="153">
        <v>0.67569444444444449</v>
      </c>
      <c r="X122" s="91">
        <v>75</v>
      </c>
      <c r="Y122" s="91">
        <v>12</v>
      </c>
      <c r="Z122" s="154">
        <v>43</v>
      </c>
      <c r="AA122" s="153">
        <v>0.36736111111111114</v>
      </c>
      <c r="AB122" s="154">
        <v>58</v>
      </c>
      <c r="AC122" s="154">
        <v>17.899999999999999</v>
      </c>
      <c r="AD122" s="96"/>
      <c r="AE122" s="94">
        <f>Table3.110[[#This Row],[Gas 8h, ml]]-Table3.110[[#This Row],[Gas 0h, ml]]</f>
        <v>30.5</v>
      </c>
      <c r="AF122" s="94">
        <f>Table3.110[[#This Row],[Gas 24h, ml]]-Table3.110[[#This Row],[V8 Push back, ml]]</f>
        <v>15</v>
      </c>
      <c r="AG122" s="94">
        <f>Table3.110[[#This Row],[GP 8h, ml]]-(AVERAGE(AE$116,AE$117,AE$167,AE$166,AE$219,AE$220))*$AG$8</f>
        <v>27.623728042697874</v>
      </c>
      <c r="AH122" s="94">
        <f>Table3.110[[#This Row],[GP 8-24h, ml]]-(AVERAGE(AF$11,AF$12,AF$62,AF$61,AF$114,AF$115))*$AG$8</f>
        <v>11.31247184961266</v>
      </c>
      <c r="AI122" s="94">
        <f>Table3.110[[#This Row],[Net gas 8-24h, ml]]+Table3.110[[#This Row],[Net gas 8h, ml]]</f>
        <v>38.936199892310533</v>
      </c>
      <c r="AJ122" s="94">
        <f>Table3.110[[#This Row],[Net gas 8h, ml]]*Table3.110[[#This Row],[CH4 8h %]]%</f>
        <v>3.3148473651237449</v>
      </c>
      <c r="AK122" s="94">
        <f>Table3.110[[#This Row],[Net gas 8-24h, ml]]*Table3.110[[#This Row],[CH4 24h, %]]%</f>
        <v>2.0249324610806658</v>
      </c>
      <c r="AL122" s="94">
        <f>Table3.110[[#This Row],[CH4 8-24h, ml]]+Table3.110[[#This Row],[CH4 8h, ml]]</f>
        <v>5.3397798262044107</v>
      </c>
      <c r="AM122" s="94">
        <f>(Table3.110[[#This Row],[Net gas 24h, ml]]/Table3.110[[#This Row],[DM Incubated, mg]])*1000</f>
        <v>81.866005720478512</v>
      </c>
      <c r="AN122" s="94">
        <f>'3.2 Digest'!X122</f>
        <v>33.453724600256891</v>
      </c>
      <c r="AO122" s="94">
        <f>Table3.110[[#This Row],[Digested feed, mg]]/Table3.110[[#This Row],[Net gas 24h, ml]]</f>
        <v>4.0864000027655623</v>
      </c>
      <c r="AP122" s="94">
        <f>Table3.110[[#This Row],[CH4 8h, ml]]/Table3.110[[#This Row],[Net gas 8h, ml]]%</f>
        <v>12</v>
      </c>
      <c r="AQ122" s="94">
        <f>Table3.110[[#This Row],[CH4 24h, ml]]/Table3.110[[#This Row],[Net gas 24h, ml]]%</f>
        <v>13.714178170887594</v>
      </c>
      <c r="AR122" s="94">
        <f>Table3.110[[#This Row],[CH4 24h, ml]]/Table3.110[[#This Row],[DM Incubated, mg]]*1000</f>
        <v>11.227249885895453</v>
      </c>
      <c r="AS122" s="94">
        <f>Table3.110[[#This Row],[CH4 24h, ml]]/Table3.110[[#This Row],[Digested feed, mg]]*1000</f>
        <v>33.560537787799092</v>
      </c>
      <c r="AT122" s="94">
        <f>Table3.110[[#This Row],[CH4 24h, ml]]/'3.2 Digest'!AA122</f>
        <v>-0.31419553433682401</v>
      </c>
      <c r="AU122" s="94">
        <f>((Table3.110[[#This Row],[CH4 24h, ml]]/28.9)*16.04)/Table3.110[[#This Row],[DM Incubated, mg]]*1000</f>
        <v>6.2313179297495882</v>
      </c>
      <c r="AV122" s="94">
        <f>((Table3.110[[#This Row],[CH4 24h, ml]]/28.9)*16.04)/Table3.110[[#This Row],[Digested feed, mg]]*1000</f>
        <v>18.626679104370155</v>
      </c>
      <c r="AW122" s="303"/>
    </row>
    <row r="123" spans="1:49" s="304" customFormat="1" x14ac:dyDescent="0.35">
      <c r="A123" s="89"/>
      <c r="B123" s="90">
        <f t="shared" si="1"/>
        <v>113</v>
      </c>
      <c r="C123" s="140">
        <v>46043</v>
      </c>
      <c r="D123" s="6" t="s">
        <v>16</v>
      </c>
      <c r="E123" s="6" t="s">
        <v>28</v>
      </c>
      <c r="F123" s="133" t="s">
        <v>19</v>
      </c>
      <c r="G123" s="133" t="s">
        <v>29</v>
      </c>
      <c r="H123" s="133" t="s">
        <v>30</v>
      </c>
      <c r="I123" s="6" t="s">
        <v>22</v>
      </c>
      <c r="J123" s="129" t="s">
        <v>23</v>
      </c>
      <c r="K123" s="129" t="s">
        <v>24</v>
      </c>
      <c r="L123" s="6" t="s">
        <v>27</v>
      </c>
      <c r="M123" s="119">
        <v>27</v>
      </c>
      <c r="N123" s="93">
        <v>59</v>
      </c>
      <c r="O123" s="6">
        <v>2</v>
      </c>
      <c r="P123" s="6">
        <v>3</v>
      </c>
      <c r="Q123" s="6">
        <v>293</v>
      </c>
      <c r="R123" s="98">
        <v>0.50029999999999997</v>
      </c>
      <c r="S123" s="94">
        <f>((Table3.110[[#This Row],[Sample weight, g]]*'2.1. DM'!Q13)/100)*1000</f>
        <v>475.51384160674138</v>
      </c>
      <c r="T123" s="94">
        <f>'3.2 Digest'!W123</f>
        <v>151.31384160674133</v>
      </c>
      <c r="U123" s="117">
        <v>0.35138888888888886</v>
      </c>
      <c r="V123" s="155">
        <v>41</v>
      </c>
      <c r="W123" s="117">
        <v>0.67569444444444449</v>
      </c>
      <c r="X123" s="96">
        <v>67.5</v>
      </c>
      <c r="Y123" s="96">
        <v>13.7</v>
      </c>
      <c r="Z123" s="155">
        <v>41</v>
      </c>
      <c r="AA123" s="117">
        <v>0.36736111111111114</v>
      </c>
      <c r="AB123" s="155">
        <v>60</v>
      </c>
      <c r="AC123" s="155">
        <v>17.8</v>
      </c>
      <c r="AD123" s="91"/>
      <c r="AE123" s="94">
        <f>Table3.110[[#This Row],[Gas 8h, ml]]-Table3.110[[#This Row],[Gas 0h, ml]]</f>
        <v>26.5</v>
      </c>
      <c r="AF123" s="94">
        <f>Table3.110[[#This Row],[Gas 24h, ml]]-Table3.110[[#This Row],[V8 Push back, ml]]</f>
        <v>19</v>
      </c>
      <c r="AG123" s="94">
        <f>Table3.110[[#This Row],[GP 8h, ml]]-(AVERAGE(AE$116,AE$117,AE$167,AE$166,AE$219,AE$220))*$AG$8</f>
        <v>23.623728042697874</v>
      </c>
      <c r="AH123" s="94">
        <f>Table3.110[[#This Row],[GP 8-24h, ml]]-(AVERAGE(AF$11,AF$12,AF$62,AF$61,AF$114,AF$115))*$AG$8</f>
        <v>15.31247184961266</v>
      </c>
      <c r="AI123" s="94">
        <f>Table3.110[[#This Row],[Net gas 8-24h, ml]]+Table3.110[[#This Row],[Net gas 8h, ml]]</f>
        <v>38.936199892310533</v>
      </c>
      <c r="AJ123" s="94">
        <f>Table3.110[[#This Row],[Net gas 8h, ml]]*Table3.110[[#This Row],[CH4 8h %]]%</f>
        <v>3.2364507418496085</v>
      </c>
      <c r="AK123" s="94">
        <f>Table3.110[[#This Row],[Net gas 8-24h, ml]]*Table3.110[[#This Row],[CH4 24h, %]]%</f>
        <v>2.7256199892310535</v>
      </c>
      <c r="AL123" s="94">
        <f>Table3.110[[#This Row],[CH4 8-24h, ml]]+Table3.110[[#This Row],[CH4 8h, ml]]</f>
        <v>5.9620707310806615</v>
      </c>
      <c r="AM123" s="94">
        <f>(Table3.110[[#This Row],[Net gas 24h, ml]]/Table3.110[[#This Row],[DM Incubated, mg]])*1000</f>
        <v>81.882369103592737</v>
      </c>
      <c r="AN123" s="94">
        <f>'3.2 Digest'!X123</f>
        <v>31.821122408436775</v>
      </c>
      <c r="AO123" s="94">
        <f>Table3.110[[#This Row],[Digested feed, mg]]/Table3.110[[#This Row],[Net gas 24h, ml]]</f>
        <v>3.8861995270530789</v>
      </c>
      <c r="AP123" s="94">
        <f>Table3.110[[#This Row],[CH4 8h, ml]]/Table3.110[[#This Row],[Net gas 8h, ml]]%</f>
        <v>13.7</v>
      </c>
      <c r="AQ123" s="94">
        <f>Table3.110[[#This Row],[CH4 24h, ml]]/Table3.110[[#This Row],[Net gas 24h, ml]]%</f>
        <v>15.312410424156734</v>
      </c>
      <c r="AR123" s="94">
        <f>Table3.110[[#This Row],[CH4 24h, ml]]/Table3.110[[#This Row],[DM Incubated, mg]]*1000</f>
        <v>12.53816442216503</v>
      </c>
      <c r="AS123" s="94">
        <f>Table3.110[[#This Row],[CH4 24h, ml]]/Table3.110[[#This Row],[Digested feed, mg]]*1000</f>
        <v>39.402018135101258</v>
      </c>
      <c r="AT123" s="94">
        <f>Table3.110[[#This Row],[CH4 24h, ml]]/'3.2 Digest'!AA123</f>
        <v>-0.30012389745327067</v>
      </c>
      <c r="AU123" s="94">
        <f>((Table3.110[[#This Row],[CH4 24h, ml]]/28.9)*16.04)/Table3.110[[#This Row],[DM Incubated, mg]]*1000</f>
        <v>6.9588981775614895</v>
      </c>
      <c r="AV123" s="94">
        <f>((Table3.110[[#This Row],[CH4 24h, ml]]/28.9)*16.04)/Table3.110[[#This Row],[Digested feed, mg]]*1000</f>
        <v>21.868801760796686</v>
      </c>
      <c r="AW123" s="303"/>
    </row>
    <row r="124" spans="1:49" s="304" customFormat="1" x14ac:dyDescent="0.35">
      <c r="A124" s="89"/>
      <c r="B124" s="90">
        <f t="shared" si="1"/>
        <v>114</v>
      </c>
      <c r="C124" s="140">
        <v>46043</v>
      </c>
      <c r="D124" s="6" t="s">
        <v>16</v>
      </c>
      <c r="E124" s="6" t="s">
        <v>32</v>
      </c>
      <c r="F124" s="133" t="s">
        <v>19</v>
      </c>
      <c r="G124" s="133" t="s">
        <v>20</v>
      </c>
      <c r="H124" s="133" t="s">
        <v>21</v>
      </c>
      <c r="I124" s="6" t="s">
        <v>22</v>
      </c>
      <c r="J124" s="129" t="s">
        <v>23</v>
      </c>
      <c r="K124" s="129" t="s">
        <v>24</v>
      </c>
      <c r="L124" s="6" t="s">
        <v>31</v>
      </c>
      <c r="M124" s="119">
        <v>27</v>
      </c>
      <c r="N124" s="93">
        <v>59</v>
      </c>
      <c r="O124" s="6">
        <v>2</v>
      </c>
      <c r="P124" s="129">
        <v>1</v>
      </c>
      <c r="Q124" s="6">
        <v>294</v>
      </c>
      <c r="R124" s="98">
        <v>0.50049999999999994</v>
      </c>
      <c r="S124" s="94">
        <f>((Table3.110[[#This Row],[Sample weight, g]]*'2.1. DM'!Q15)/100)*1000</f>
        <v>472.25670079627241</v>
      </c>
      <c r="T124" s="94">
        <f>'3.2 Digest'!W124</f>
        <v>166.05670079627248</v>
      </c>
      <c r="U124" s="153">
        <v>0.35208333333333336</v>
      </c>
      <c r="V124" s="154">
        <v>41.5</v>
      </c>
      <c r="W124" s="153">
        <v>0.67638888888888893</v>
      </c>
      <c r="X124" s="91">
        <v>71</v>
      </c>
      <c r="Y124" s="91">
        <v>13.7</v>
      </c>
      <c r="Z124" s="154">
        <v>41</v>
      </c>
      <c r="AA124" s="153">
        <v>0.36805555555555558</v>
      </c>
      <c r="AB124" s="154">
        <v>60</v>
      </c>
      <c r="AC124" s="154">
        <v>18.2</v>
      </c>
      <c r="AD124" s="96"/>
      <c r="AE124" s="94">
        <f>Table3.110[[#This Row],[Gas 8h, ml]]-Table3.110[[#This Row],[Gas 0h, ml]]</f>
        <v>29.5</v>
      </c>
      <c r="AF124" s="94">
        <f>Table3.110[[#This Row],[Gas 24h, ml]]-Table3.110[[#This Row],[V8 Push back, ml]]</f>
        <v>19</v>
      </c>
      <c r="AG124" s="94">
        <f>Table3.110[[#This Row],[GP 8h, ml]]-(AVERAGE(AE$116,AE$117,AE$167,AE$166,AE$219,AE$220))*$AG$8</f>
        <v>26.623728042697874</v>
      </c>
      <c r="AH124" s="94">
        <f>Table3.110[[#This Row],[GP 8-24h, ml]]-(AVERAGE(AF$11,AF$12,AF$62,AF$61,AF$114,AF$115))*$AG$8</f>
        <v>15.31247184961266</v>
      </c>
      <c r="AI124" s="94">
        <f>Table3.110[[#This Row],[Net gas 8-24h, ml]]+Table3.110[[#This Row],[Net gas 8h, ml]]</f>
        <v>41.936199892310533</v>
      </c>
      <c r="AJ124" s="94">
        <f>Table3.110[[#This Row],[Net gas 8h, ml]]*Table3.110[[#This Row],[CH4 8h %]]%</f>
        <v>3.647450741849608</v>
      </c>
      <c r="AK124" s="94">
        <f>Table3.110[[#This Row],[Net gas 8-24h, ml]]*Table3.110[[#This Row],[CH4 24h, %]]%</f>
        <v>2.7868698766295039</v>
      </c>
      <c r="AL124" s="94">
        <f>Table3.110[[#This Row],[CH4 8-24h, ml]]+Table3.110[[#This Row],[CH4 8h, ml]]</f>
        <v>6.434320618479112</v>
      </c>
      <c r="AM124" s="94">
        <f>(Table3.110[[#This Row],[Net gas 24h, ml]]/Table3.110[[#This Row],[DM Incubated, mg]])*1000</f>
        <v>88.79958679591391</v>
      </c>
      <c r="AN124" s="94">
        <f>'3.2 Digest'!X124</f>
        <v>35.16238107713118</v>
      </c>
      <c r="AO124" s="94">
        <f>Table3.110[[#This Row],[Digested feed, mg]]/Table3.110[[#This Row],[Net gas 24h, ml]]</f>
        <v>3.9597460242629379</v>
      </c>
      <c r="AP124" s="94">
        <f>Table3.110[[#This Row],[CH4 8h, ml]]/Table3.110[[#This Row],[Net gas 8h, ml]]%</f>
        <v>13.699999999999998</v>
      </c>
      <c r="AQ124" s="94">
        <f>Table3.110[[#This Row],[CH4 24h, ml]]/Table3.110[[#This Row],[Net gas 24h, ml]]%</f>
        <v>15.343117962528874</v>
      </c>
      <c r="AR124" s="94">
        <f>Table3.110[[#This Row],[CH4 24h, ml]]/Table3.110[[#This Row],[DM Incubated, mg]]*1000</f>
        <v>13.624625352335284</v>
      </c>
      <c r="AS124" s="94">
        <f>Table3.110[[#This Row],[CH4 24h, ml]]/Table3.110[[#This Row],[Digested feed, mg]]*1000</f>
        <v>38.747732477071743</v>
      </c>
      <c r="AT124" s="94">
        <f>Table3.110[[#This Row],[CH4 24h, ml]]/'3.2 Digest'!AA124</f>
        <v>-0.78816440045669844</v>
      </c>
      <c r="AU124" s="94">
        <f>((Table3.110[[#This Row],[CH4 24h, ml]]/28.9)*16.04)/Table3.110[[#This Row],[DM Incubated, mg]]*1000</f>
        <v>7.5619027907078884</v>
      </c>
      <c r="AV124" s="94">
        <f>((Table3.110[[#This Row],[CH4 24h, ml]]/28.9)*16.04)/Table3.110[[#This Row],[Digested feed, mg]]*1000</f>
        <v>21.50566190076923</v>
      </c>
      <c r="AW124" s="303"/>
    </row>
    <row r="125" spans="1:49" s="304" customFormat="1" x14ac:dyDescent="0.35">
      <c r="A125" s="89"/>
      <c r="B125" s="90">
        <f t="shared" si="1"/>
        <v>115</v>
      </c>
      <c r="C125" s="140">
        <v>46043</v>
      </c>
      <c r="D125" s="6" t="s">
        <v>16</v>
      </c>
      <c r="E125" s="6" t="s">
        <v>32</v>
      </c>
      <c r="F125" s="133" t="s">
        <v>19</v>
      </c>
      <c r="G125" s="133" t="s">
        <v>20</v>
      </c>
      <c r="H125" s="133" t="s">
        <v>21</v>
      </c>
      <c r="I125" s="6" t="s">
        <v>22</v>
      </c>
      <c r="J125" s="129" t="s">
        <v>23</v>
      </c>
      <c r="K125" s="129" t="s">
        <v>24</v>
      </c>
      <c r="L125" s="6" t="s">
        <v>31</v>
      </c>
      <c r="M125" s="119">
        <v>27</v>
      </c>
      <c r="N125" s="93">
        <v>59</v>
      </c>
      <c r="O125" s="6">
        <v>2</v>
      </c>
      <c r="P125" s="129">
        <v>2</v>
      </c>
      <c r="Q125" s="6">
        <v>295</v>
      </c>
      <c r="R125" s="98">
        <v>0.50029999999999997</v>
      </c>
      <c r="S125" s="94">
        <f>((Table3.110[[#This Row],[Sample weight, g]]*'2.1. DM'!Q15)/100)*1000</f>
        <v>472.0679868299203</v>
      </c>
      <c r="T125" s="94">
        <f>'3.2 Digest'!W125</f>
        <v>190.16798682992027</v>
      </c>
      <c r="U125" s="117">
        <v>0.3527777777777778</v>
      </c>
      <c r="V125" s="155">
        <v>40.5</v>
      </c>
      <c r="W125" s="117">
        <v>0.67708333333333337</v>
      </c>
      <c r="X125" s="96">
        <v>69.5</v>
      </c>
      <c r="Y125" s="96">
        <v>14.8</v>
      </c>
      <c r="Z125" s="155">
        <v>40.5</v>
      </c>
      <c r="AA125" s="117">
        <v>0.36805555555555558</v>
      </c>
      <c r="AB125" s="155">
        <v>72</v>
      </c>
      <c r="AC125" s="155">
        <v>18</v>
      </c>
      <c r="AD125" s="91"/>
      <c r="AE125" s="94">
        <f>Table3.110[[#This Row],[Gas 8h, ml]]-Table3.110[[#This Row],[Gas 0h, ml]]</f>
        <v>29</v>
      </c>
      <c r="AF125" s="94">
        <f>Table3.110[[#This Row],[Gas 24h, ml]]-Table3.110[[#This Row],[V8 Push back, ml]]</f>
        <v>31.5</v>
      </c>
      <c r="AG125" s="94">
        <f>Table3.110[[#This Row],[GP 8h, ml]]-(AVERAGE(AE$116,AE$117,AE$167,AE$166,AE$219,AE$220))*$AG$8</f>
        <v>26.123728042697874</v>
      </c>
      <c r="AH125" s="94">
        <f>Table3.110[[#This Row],[GP 8-24h, ml]]-(AVERAGE(AF$11,AF$12,AF$62,AF$61,AF$114,AF$115))*$AG$8</f>
        <v>27.81247184961266</v>
      </c>
      <c r="AI125" s="94">
        <f>Table3.110[[#This Row],[Net gas 8-24h, ml]]+Table3.110[[#This Row],[Net gas 8h, ml]]</f>
        <v>53.936199892310533</v>
      </c>
      <c r="AJ125" s="94">
        <f>Table3.110[[#This Row],[Net gas 8h, ml]]*Table3.110[[#This Row],[CH4 8h %]]%</f>
        <v>3.8663117503192859</v>
      </c>
      <c r="AK125" s="94">
        <f>Table3.110[[#This Row],[Net gas 8-24h, ml]]*Table3.110[[#This Row],[CH4 24h, %]]%</f>
        <v>5.0062449329302785</v>
      </c>
      <c r="AL125" s="94">
        <f>Table3.110[[#This Row],[CH4 8-24h, ml]]+Table3.110[[#This Row],[CH4 8h, ml]]</f>
        <v>8.8725566832495648</v>
      </c>
      <c r="AM125" s="94">
        <f>(Table3.110[[#This Row],[Net gas 24h, ml]]/Table3.110[[#This Row],[DM Incubated, mg]])*1000</f>
        <v>114.25515264127202</v>
      </c>
      <c r="AN125" s="94">
        <f>'3.2 Digest'!X125</f>
        <v>40.28402521148616</v>
      </c>
      <c r="AO125" s="94">
        <f>Table3.110[[#This Row],[Digested feed, mg]]/Table3.110[[#This Row],[Net gas 24h, ml]]</f>
        <v>3.5257950543347745</v>
      </c>
      <c r="AP125" s="94">
        <f>Table3.110[[#This Row],[CH4 8h, ml]]/Table3.110[[#This Row],[Net gas 8h, ml]]%</f>
        <v>14.800000000000002</v>
      </c>
      <c r="AQ125" s="94">
        <f>Table3.110[[#This Row],[CH4 24h, ml]]/Table3.110[[#This Row],[Net gas 24h, ml]]%</f>
        <v>16.450096041183073</v>
      </c>
      <c r="AR125" s="94">
        <f>Table3.110[[#This Row],[CH4 24h, ml]]/Table3.110[[#This Row],[DM Incubated, mg]]*1000</f>
        <v>18.795082341489568</v>
      </c>
      <c r="AS125" s="94">
        <f>Table3.110[[#This Row],[CH4 24h, ml]]/Table3.110[[#This Row],[Digested feed, mg]]*1000</f>
        <v>46.656415893937378</v>
      </c>
      <c r="AT125" s="94">
        <f>Table3.110[[#This Row],[CH4 24h, ml]]/'3.2 Digest'!AA125</f>
        <v>23.326007268043739</v>
      </c>
      <c r="AU125" s="94">
        <f>((Table3.110[[#This Row],[CH4 24h, ml]]/28.9)*16.04)/Table3.110[[#This Row],[DM Incubated, mg]]*1000</f>
        <v>10.431595873961683</v>
      </c>
      <c r="AV125" s="94">
        <f>((Table3.110[[#This Row],[CH4 24h, ml]]/28.9)*16.04)/Table3.110[[#This Row],[Digested feed, mg]]*1000</f>
        <v>25.895118025562471</v>
      </c>
      <c r="AW125" s="303"/>
    </row>
    <row r="126" spans="1:49" s="304" customFormat="1" x14ac:dyDescent="0.35">
      <c r="A126" s="89"/>
      <c r="B126" s="90">
        <f t="shared" si="1"/>
        <v>116</v>
      </c>
      <c r="C126" s="140">
        <v>46043</v>
      </c>
      <c r="D126" s="6" t="s">
        <v>16</v>
      </c>
      <c r="E126" s="6" t="s">
        <v>32</v>
      </c>
      <c r="F126" s="133" t="s">
        <v>19</v>
      </c>
      <c r="G126" s="133" t="s">
        <v>20</v>
      </c>
      <c r="H126" s="133" t="s">
        <v>21</v>
      </c>
      <c r="I126" s="6" t="s">
        <v>22</v>
      </c>
      <c r="J126" s="129" t="s">
        <v>23</v>
      </c>
      <c r="K126" s="129" t="s">
        <v>24</v>
      </c>
      <c r="L126" s="6" t="s">
        <v>31</v>
      </c>
      <c r="M126" s="119">
        <v>27</v>
      </c>
      <c r="N126" s="93">
        <v>59</v>
      </c>
      <c r="O126" s="6">
        <v>2</v>
      </c>
      <c r="P126" s="6">
        <v>3</v>
      </c>
      <c r="Q126" s="6">
        <v>296</v>
      </c>
      <c r="R126" s="98">
        <v>0.50039999999999996</v>
      </c>
      <c r="S126" s="94">
        <f>((Table3.110[[#This Row],[Sample weight, g]]*'2.1. DM'!Q15)/100)*1000</f>
        <v>472.16234381309636</v>
      </c>
      <c r="T126" s="94">
        <f>'3.2 Digest'!W126</f>
        <v>168.96234381309631</v>
      </c>
      <c r="U126" s="153">
        <v>0.35347222222222224</v>
      </c>
      <c r="V126" s="154">
        <v>41.5</v>
      </c>
      <c r="W126" s="153">
        <v>0.67708333333333337</v>
      </c>
      <c r="X126" s="91">
        <v>71.5</v>
      </c>
      <c r="Y126" s="91">
        <v>14.6</v>
      </c>
      <c r="Z126" s="154">
        <v>41</v>
      </c>
      <c r="AA126" s="153">
        <v>0.36875000000000002</v>
      </c>
      <c r="AB126" s="154">
        <v>71</v>
      </c>
      <c r="AC126" s="154">
        <v>17.899999999999999</v>
      </c>
      <c r="AD126" s="96"/>
      <c r="AE126" s="94">
        <f>Table3.110[[#This Row],[Gas 8h, ml]]-Table3.110[[#This Row],[Gas 0h, ml]]</f>
        <v>30</v>
      </c>
      <c r="AF126" s="94">
        <f>Table3.110[[#This Row],[Gas 24h, ml]]-Table3.110[[#This Row],[V8 Push back, ml]]</f>
        <v>30</v>
      </c>
      <c r="AG126" s="94">
        <f>Table3.110[[#This Row],[GP 8h, ml]]-(AVERAGE(AE$116,AE$117,AE$167,AE$166,AE$219,AE$220))*$AG$8</f>
        <v>27.123728042697874</v>
      </c>
      <c r="AH126" s="94">
        <f>Table3.110[[#This Row],[GP 8-24h, ml]]-(AVERAGE(AF$11,AF$12,AF$62,AF$61,AF$114,AF$115))*$AG$8</f>
        <v>26.31247184961266</v>
      </c>
      <c r="AI126" s="94">
        <f>Table3.110[[#This Row],[Net gas 8-24h, ml]]+Table3.110[[#This Row],[Net gas 8h, ml]]</f>
        <v>53.436199892310533</v>
      </c>
      <c r="AJ126" s="94">
        <f>Table3.110[[#This Row],[Net gas 8h, ml]]*Table3.110[[#This Row],[CH4 8h %]]%</f>
        <v>3.9600642942338893</v>
      </c>
      <c r="AK126" s="94">
        <f>Table3.110[[#This Row],[Net gas 8-24h, ml]]*Table3.110[[#This Row],[CH4 24h, %]]%</f>
        <v>4.7099324610806663</v>
      </c>
      <c r="AL126" s="94">
        <f>Table3.110[[#This Row],[CH4 8-24h, ml]]+Table3.110[[#This Row],[CH4 8h, ml]]</f>
        <v>8.6699967553145552</v>
      </c>
      <c r="AM126" s="94">
        <f>(Table3.110[[#This Row],[Net gas 24h, ml]]/Table3.110[[#This Row],[DM Incubated, mg]])*1000</f>
        <v>113.17336207027778</v>
      </c>
      <c r="AN126" s="94">
        <f>'3.2 Digest'!X126</f>
        <v>35.784798603079501</v>
      </c>
      <c r="AO126" s="94">
        <f>Table3.110[[#This Row],[Digested feed, mg]]/Table3.110[[#This Row],[Net gas 24h, ml]]</f>
        <v>3.1619453507847588</v>
      </c>
      <c r="AP126" s="94">
        <f>Table3.110[[#This Row],[CH4 8h, ml]]/Table3.110[[#This Row],[Net gas 8h, ml]]%</f>
        <v>14.599999999999998</v>
      </c>
      <c r="AQ126" s="94">
        <f>Table3.110[[#This Row],[CH4 24h, ml]]/Table3.110[[#This Row],[Net gas 24h, ml]]%</f>
        <v>16.224950076515764</v>
      </c>
      <c r="AR126" s="94">
        <f>Table3.110[[#This Row],[CH4 24h, ml]]/Table3.110[[#This Row],[DM Incubated, mg]]*1000</f>
        <v>18.362321495817</v>
      </c>
      <c r="AS126" s="94">
        <f>Table3.110[[#This Row],[CH4 24h, ml]]/Table3.110[[#This Row],[Digested feed, mg]]*1000</f>
        <v>51.313189434121369</v>
      </c>
      <c r="AT126" s="94">
        <f>Table3.110[[#This Row],[CH4 24h, ml]]/'3.2 Digest'!AA126</f>
        <v>-1.2167824943092698</v>
      </c>
      <c r="AU126" s="94">
        <f>((Table3.110[[#This Row],[CH4 24h, ml]]/28.9)*16.04)/Table3.110[[#This Row],[DM Incubated, mg]]*1000</f>
        <v>10.191406117401543</v>
      </c>
      <c r="AV126" s="94">
        <f>((Table3.110[[#This Row],[CH4 24h, ml]]/28.9)*16.04)/Table3.110[[#This Row],[Digested feed, mg]]*1000</f>
        <v>28.479707907380853</v>
      </c>
      <c r="AW126" s="303"/>
    </row>
    <row r="127" spans="1:49" s="304" customFormat="1" x14ac:dyDescent="0.35">
      <c r="A127" s="89"/>
      <c r="B127" s="90">
        <f t="shared" si="1"/>
        <v>117</v>
      </c>
      <c r="C127" s="140">
        <v>46043</v>
      </c>
      <c r="D127" s="6" t="s">
        <v>16</v>
      </c>
      <c r="E127" s="6" t="s">
        <v>34</v>
      </c>
      <c r="F127" s="133" t="s">
        <v>19</v>
      </c>
      <c r="G127" s="133" t="s">
        <v>29</v>
      </c>
      <c r="H127" s="133" t="s">
        <v>30</v>
      </c>
      <c r="I127" s="6" t="s">
        <v>22</v>
      </c>
      <c r="J127" s="129" t="s">
        <v>23</v>
      </c>
      <c r="K127" s="129" t="s">
        <v>24</v>
      </c>
      <c r="L127" s="6" t="s">
        <v>33</v>
      </c>
      <c r="M127" s="119">
        <v>27</v>
      </c>
      <c r="N127" s="93">
        <v>59</v>
      </c>
      <c r="O127" s="6">
        <v>2</v>
      </c>
      <c r="P127" s="129">
        <v>1</v>
      </c>
      <c r="Q127" s="6">
        <v>297</v>
      </c>
      <c r="R127" s="98">
        <v>0.50039999999999996</v>
      </c>
      <c r="S127" s="94">
        <f>((Table3.110[[#This Row],[Sample weight, g]]*'2.1. DM'!Q17)/100)*1000</f>
        <v>471.03974204621011</v>
      </c>
      <c r="T127" s="94">
        <f>'3.2 Digest'!W127</f>
        <v>87.039742046210108</v>
      </c>
      <c r="U127" s="117">
        <v>0.35347222222222224</v>
      </c>
      <c r="V127" s="155">
        <v>40.5</v>
      </c>
      <c r="W127" s="117">
        <v>0.67777777777777781</v>
      </c>
      <c r="X127" s="96">
        <v>65</v>
      </c>
      <c r="Y127" s="96">
        <v>14.5</v>
      </c>
      <c r="Z127" s="155">
        <v>40</v>
      </c>
      <c r="AA127" s="117">
        <v>0.36875000000000002</v>
      </c>
      <c r="AB127" s="155">
        <v>55</v>
      </c>
      <c r="AC127" s="155">
        <v>17.8</v>
      </c>
      <c r="AD127" s="91"/>
      <c r="AE127" s="94">
        <f>Table3.110[[#This Row],[Gas 8h, ml]]-Table3.110[[#This Row],[Gas 0h, ml]]</f>
        <v>24.5</v>
      </c>
      <c r="AF127" s="94">
        <f>Table3.110[[#This Row],[Gas 24h, ml]]-Table3.110[[#This Row],[V8 Push back, ml]]</f>
        <v>15</v>
      </c>
      <c r="AG127" s="94">
        <f>Table3.110[[#This Row],[GP 8h, ml]]-(AVERAGE(AE$116,AE$117,AE$167,AE$166,AE$219,AE$220))*$AG$8</f>
        <v>21.623728042697874</v>
      </c>
      <c r="AH127" s="94">
        <f>Table3.110[[#This Row],[GP 8-24h, ml]]-(AVERAGE(AF$11,AF$12,AF$62,AF$61,AF$114,AF$115))*$AG$8</f>
        <v>11.31247184961266</v>
      </c>
      <c r="AI127" s="94">
        <f>Table3.110[[#This Row],[Net gas 8-24h, ml]]+Table3.110[[#This Row],[Net gas 8h, ml]]</f>
        <v>32.936199892310533</v>
      </c>
      <c r="AJ127" s="94">
        <f>Table3.110[[#This Row],[Net gas 8h, ml]]*Table3.110[[#This Row],[CH4 8h %]]%</f>
        <v>3.1354405661911913</v>
      </c>
      <c r="AK127" s="94">
        <f>Table3.110[[#This Row],[Net gas 8-24h, ml]]*Table3.110[[#This Row],[CH4 24h, %]]%</f>
        <v>2.0136199892310538</v>
      </c>
      <c r="AL127" s="94">
        <f>Table3.110[[#This Row],[CH4 8-24h, ml]]+Table3.110[[#This Row],[CH4 8h, ml]]</f>
        <v>5.1490605554222455</v>
      </c>
      <c r="AM127" s="94">
        <f>(Table3.110[[#This Row],[Net gas 24h, ml]]/Table3.110[[#This Row],[DM Incubated, mg]])*1000</f>
        <v>69.922337655066514</v>
      </c>
      <c r="AN127" s="94">
        <f>'3.2 Digest'!X127</f>
        <v>18.478216226110135</v>
      </c>
      <c r="AO127" s="94">
        <f>Table3.110[[#This Row],[Digested feed, mg]]/Table3.110[[#This Row],[Net gas 24h, ml]]</f>
        <v>2.6426771251935133</v>
      </c>
      <c r="AP127" s="94">
        <f>Table3.110[[#This Row],[CH4 8h, ml]]/Table3.110[[#This Row],[Net gas 8h, ml]]%</f>
        <v>14.499999999999998</v>
      </c>
      <c r="AQ127" s="94">
        <f>Table3.110[[#This Row],[CH4 24h, ml]]/Table3.110[[#This Row],[Net gas 24h, ml]]%</f>
        <v>15.633438503099361</v>
      </c>
      <c r="AR127" s="94">
        <f>Table3.110[[#This Row],[CH4 24h, ml]]/Table3.110[[#This Row],[DM Incubated, mg]]*1000</f>
        <v>10.931265657234311</v>
      </c>
      <c r="AS127" s="94">
        <f>Table3.110[[#This Row],[CH4 24h, ml]]/Table3.110[[#This Row],[Digested feed, mg]]*1000</f>
        <v>59.157580599085037</v>
      </c>
      <c r="AT127" s="94">
        <f>Table3.110[[#This Row],[CH4 24h, ml]]/'3.2 Digest'!AA127</f>
        <v>-0.19305699150797129</v>
      </c>
      <c r="AU127" s="94">
        <f>((Table3.110[[#This Row],[CH4 24h, ml]]/28.9)*16.04)/Table3.110[[#This Row],[DM Incubated, mg]]*1000</f>
        <v>6.0670415620082476</v>
      </c>
      <c r="AV127" s="94">
        <f>((Table3.110[[#This Row],[CH4 24h, ml]]/28.9)*16.04)/Table3.110[[#This Row],[Digested feed, mg]]*1000</f>
        <v>32.833480720045813</v>
      </c>
      <c r="AW127" s="303"/>
    </row>
    <row r="128" spans="1:49" s="304" customFormat="1" x14ac:dyDescent="0.35">
      <c r="A128" s="89"/>
      <c r="B128" s="90">
        <f t="shared" si="1"/>
        <v>118</v>
      </c>
      <c r="C128" s="140">
        <v>46043</v>
      </c>
      <c r="D128" s="6" t="s">
        <v>16</v>
      </c>
      <c r="E128" s="6" t="s">
        <v>34</v>
      </c>
      <c r="F128" s="133" t="s">
        <v>19</v>
      </c>
      <c r="G128" s="133" t="s">
        <v>29</v>
      </c>
      <c r="H128" s="133" t="s">
        <v>30</v>
      </c>
      <c r="I128" s="6" t="s">
        <v>22</v>
      </c>
      <c r="J128" s="129" t="s">
        <v>23</v>
      </c>
      <c r="K128" s="129" t="s">
        <v>24</v>
      </c>
      <c r="L128" s="6" t="s">
        <v>33</v>
      </c>
      <c r="M128" s="119">
        <v>27</v>
      </c>
      <c r="N128" s="93">
        <v>59</v>
      </c>
      <c r="O128" s="6">
        <v>2</v>
      </c>
      <c r="P128" s="129">
        <v>2</v>
      </c>
      <c r="Q128" s="6">
        <v>298</v>
      </c>
      <c r="R128" s="98">
        <v>0.5</v>
      </c>
      <c r="S128" s="94">
        <f>((Table3.110[[#This Row],[Sample weight, g]]*'2.1. DM'!Q17)/100)*1000</f>
        <v>470.66321147702848</v>
      </c>
      <c r="T128" s="94">
        <f>'3.2 Digest'!W128</f>
        <v>110.96321147702844</v>
      </c>
      <c r="U128" s="153">
        <v>0.35416666666666669</v>
      </c>
      <c r="V128" s="154">
        <v>40</v>
      </c>
      <c r="W128" s="153">
        <v>0.67847222222222225</v>
      </c>
      <c r="X128" s="91">
        <v>64.5</v>
      </c>
      <c r="Y128" s="91">
        <v>14</v>
      </c>
      <c r="Z128" s="154">
        <v>39</v>
      </c>
      <c r="AA128" s="153">
        <v>0.36944444444444446</v>
      </c>
      <c r="AB128" s="154">
        <v>55</v>
      </c>
      <c r="AC128" s="154">
        <v>18.3</v>
      </c>
      <c r="AD128" s="96"/>
      <c r="AE128" s="94">
        <f>Table3.110[[#This Row],[Gas 8h, ml]]-Table3.110[[#This Row],[Gas 0h, ml]]</f>
        <v>24.5</v>
      </c>
      <c r="AF128" s="94">
        <f>Table3.110[[#This Row],[Gas 24h, ml]]-Table3.110[[#This Row],[V8 Push back, ml]]</f>
        <v>16</v>
      </c>
      <c r="AG128" s="94">
        <f>Table3.110[[#This Row],[GP 8h, ml]]-(AVERAGE(AE$116,AE$117,AE$167,AE$166,AE$219,AE$220))*$AG$8</f>
        <v>21.623728042697874</v>
      </c>
      <c r="AH128" s="94">
        <f>Table3.110[[#This Row],[GP 8-24h, ml]]-(AVERAGE(AF$11,AF$12,AF$62,AF$61,AF$114,AF$115))*$AG$8</f>
        <v>12.31247184961266</v>
      </c>
      <c r="AI128" s="94">
        <f>Table3.110[[#This Row],[Net gas 8-24h, ml]]+Table3.110[[#This Row],[Net gas 8h, ml]]</f>
        <v>33.936199892310533</v>
      </c>
      <c r="AJ128" s="94">
        <f>Table3.110[[#This Row],[Net gas 8h, ml]]*Table3.110[[#This Row],[CH4 8h %]]%</f>
        <v>3.0273219259777027</v>
      </c>
      <c r="AK128" s="94">
        <f>Table3.110[[#This Row],[Net gas 8-24h, ml]]*Table3.110[[#This Row],[CH4 24h, %]]%</f>
        <v>2.2531823484791165</v>
      </c>
      <c r="AL128" s="94">
        <f>Table3.110[[#This Row],[CH4 8-24h, ml]]+Table3.110[[#This Row],[CH4 8h, ml]]</f>
        <v>5.2805042744568187</v>
      </c>
      <c r="AM128" s="94">
        <f>(Table3.110[[#This Row],[Net gas 24h, ml]]/Table3.110[[#This Row],[DM Incubated, mg]])*1000</f>
        <v>72.102937014797575</v>
      </c>
      <c r="AN128" s="94">
        <f>'3.2 Digest'!X128</f>
        <v>23.575926218836031</v>
      </c>
      <c r="AO128" s="94">
        <f>Table3.110[[#This Row],[Digested feed, mg]]/Table3.110[[#This Row],[Net gas 24h, ml]]</f>
        <v>3.2697594848317459</v>
      </c>
      <c r="AP128" s="94">
        <f>Table3.110[[#This Row],[CH4 8h, ml]]/Table3.110[[#This Row],[Net gas 8h, ml]]%</f>
        <v>14.000000000000002</v>
      </c>
      <c r="AQ128" s="94">
        <f>Table3.110[[#This Row],[CH4 24h, ml]]/Table3.110[[#This Row],[Net gas 24h, ml]]%</f>
        <v>15.560093031080086</v>
      </c>
      <c r="AR128" s="94">
        <f>Table3.110[[#This Row],[CH4 24h, ml]]/Table3.110[[#This Row],[DM Incubated, mg]]*1000</f>
        <v>11.21928407764358</v>
      </c>
      <c r="AS128" s="94">
        <f>Table3.110[[#This Row],[CH4 24h, ml]]/Table3.110[[#This Row],[Digested feed, mg]]*1000</f>
        <v>47.587882543846405</v>
      </c>
      <c r="AT128" s="94">
        <f>Table3.110[[#This Row],[CH4 24h, ml]]/'3.2 Digest'!AA128</f>
        <v>-0.28162378358585888</v>
      </c>
      <c r="AU128" s="94">
        <f>((Table3.110[[#This Row],[CH4 24h, ml]]/28.9)*16.04)/Table3.110[[#This Row],[DM Incubated, mg]]*1000</f>
        <v>6.2268967683530461</v>
      </c>
      <c r="AV128" s="94">
        <f>((Table3.110[[#This Row],[CH4 24h, ml]]/28.9)*16.04)/Table3.110[[#This Row],[Digested feed, mg]]*1000</f>
        <v>26.412098131601951</v>
      </c>
      <c r="AW128" s="303"/>
    </row>
    <row r="129" spans="1:49" s="304" customFormat="1" x14ac:dyDescent="0.35">
      <c r="A129" s="89"/>
      <c r="B129" s="90">
        <f t="shared" si="1"/>
        <v>119</v>
      </c>
      <c r="C129" s="140">
        <v>46043</v>
      </c>
      <c r="D129" s="6" t="s">
        <v>16</v>
      </c>
      <c r="E129" s="6" t="s">
        <v>34</v>
      </c>
      <c r="F129" s="133" t="s">
        <v>19</v>
      </c>
      <c r="G129" s="133" t="s">
        <v>29</v>
      </c>
      <c r="H129" s="133" t="s">
        <v>30</v>
      </c>
      <c r="I129" s="6" t="s">
        <v>22</v>
      </c>
      <c r="J129" s="129" t="s">
        <v>23</v>
      </c>
      <c r="K129" s="129" t="s">
        <v>24</v>
      </c>
      <c r="L129" s="6" t="s">
        <v>33</v>
      </c>
      <c r="M129" s="119">
        <v>27</v>
      </c>
      <c r="N129" s="93">
        <v>59</v>
      </c>
      <c r="O129" s="6">
        <v>2</v>
      </c>
      <c r="P129" s="6">
        <v>3</v>
      </c>
      <c r="Q129" s="6">
        <v>299</v>
      </c>
      <c r="R129" s="98">
        <v>0.50039999999999996</v>
      </c>
      <c r="S129" s="94">
        <f>((Table3.110[[#This Row],[Sample weight, g]]*'2.1. DM'!Q17)/100)*1000</f>
        <v>471.03974204621011</v>
      </c>
      <c r="T129" s="94">
        <f>'3.2 Digest'!W129</f>
        <v>110.93974204621014</v>
      </c>
      <c r="U129" s="117">
        <v>0.35416666666666669</v>
      </c>
      <c r="V129" s="155">
        <v>40.5</v>
      </c>
      <c r="W129" s="117">
        <v>0.67847222222222225</v>
      </c>
      <c r="X129" s="96">
        <v>65</v>
      </c>
      <c r="Y129" s="96">
        <v>14.3</v>
      </c>
      <c r="Z129" s="155">
        <v>40</v>
      </c>
      <c r="AA129" s="117">
        <v>0.37013888888888891</v>
      </c>
      <c r="AB129" s="155">
        <v>57</v>
      </c>
      <c r="AC129" s="155">
        <v>18.2</v>
      </c>
      <c r="AD129" s="91"/>
      <c r="AE129" s="94">
        <f>Table3.110[[#This Row],[Gas 8h, ml]]-Table3.110[[#This Row],[Gas 0h, ml]]</f>
        <v>24.5</v>
      </c>
      <c r="AF129" s="94">
        <f>Table3.110[[#This Row],[Gas 24h, ml]]-Table3.110[[#This Row],[V8 Push back, ml]]</f>
        <v>17</v>
      </c>
      <c r="AG129" s="94">
        <f>Table3.110[[#This Row],[GP 8h, ml]]-(AVERAGE(AE$116,AE$117,AE$167,AE$166,AE$219,AE$220))*$AG$8</f>
        <v>21.623728042697874</v>
      </c>
      <c r="AH129" s="94">
        <f>Table3.110[[#This Row],[GP 8-24h, ml]]-(AVERAGE(AF$11,AF$12,AF$62,AF$61,AF$114,AF$115))*$AG$8</f>
        <v>13.31247184961266</v>
      </c>
      <c r="AI129" s="94">
        <f>Table3.110[[#This Row],[Net gas 8-24h, ml]]+Table3.110[[#This Row],[Net gas 8h, ml]]</f>
        <v>34.936199892310533</v>
      </c>
      <c r="AJ129" s="94">
        <f>Table3.110[[#This Row],[Net gas 8h, ml]]*Table3.110[[#This Row],[CH4 8h %]]%</f>
        <v>3.0921931101057964</v>
      </c>
      <c r="AK129" s="94">
        <f>Table3.110[[#This Row],[Net gas 8-24h, ml]]*Table3.110[[#This Row],[CH4 24h, %]]%</f>
        <v>2.422869876629504</v>
      </c>
      <c r="AL129" s="94">
        <f>Table3.110[[#This Row],[CH4 8-24h, ml]]+Table3.110[[#This Row],[CH4 8h, ml]]</f>
        <v>5.5150629867353</v>
      </c>
      <c r="AM129" s="94">
        <f>(Table3.110[[#This Row],[Net gas 24h, ml]]/Table3.110[[#This Row],[DM Incubated, mg]])*1000</f>
        <v>74.168263893289947</v>
      </c>
      <c r="AN129" s="94">
        <f>'3.2 Digest'!X129</f>
        <v>23.55209808078714</v>
      </c>
      <c r="AO129" s="94">
        <f>Table3.110[[#This Row],[Digested feed, mg]]/Table3.110[[#This Row],[Net gas 24h, ml]]</f>
        <v>3.1754953998482249</v>
      </c>
      <c r="AP129" s="94">
        <f>Table3.110[[#This Row],[CH4 8h, ml]]/Table3.110[[#This Row],[Net gas 8h, ml]]%</f>
        <v>14.300000000000002</v>
      </c>
      <c r="AQ129" s="94">
        <f>Table3.110[[#This Row],[CH4 24h, ml]]/Table3.110[[#This Row],[Net gas 24h, ml]]%</f>
        <v>15.786098670534477</v>
      </c>
      <c r="AR129" s="94">
        <f>Table3.110[[#This Row],[CH4 24h, ml]]/Table3.110[[#This Row],[DM Incubated, mg]]*1000</f>
        <v>11.708275320417146</v>
      </c>
      <c r="AS129" s="94">
        <f>Table3.110[[#This Row],[CH4 24h, ml]]/Table3.110[[#This Row],[Digested feed, mg]]*1000</f>
        <v>49.712239140037759</v>
      </c>
      <c r="AT129" s="94">
        <f>Table3.110[[#This Row],[CH4 24h, ml]]/'3.2 Digest'!AA129</f>
        <v>-0.29355377994609888</v>
      </c>
      <c r="AU129" s="94">
        <f>((Table3.110[[#This Row],[CH4 24h, ml]]/28.9)*16.04)/Table3.110[[#This Row],[DM Incubated, mg]]*1000</f>
        <v>6.4982953681484785</v>
      </c>
      <c r="AV129" s="94">
        <f>((Table3.110[[#This Row],[CH4 24h, ml]]/28.9)*16.04)/Table3.110[[#This Row],[Digested feed, mg]]*1000</f>
        <v>27.591152796062477</v>
      </c>
      <c r="AW129" s="303"/>
    </row>
    <row r="130" spans="1:49" s="304" customFormat="1" x14ac:dyDescent="0.35">
      <c r="A130" s="89"/>
      <c r="B130" s="90">
        <f t="shared" si="1"/>
        <v>120</v>
      </c>
      <c r="C130" s="140">
        <v>46043</v>
      </c>
      <c r="D130" s="6" t="s">
        <v>16</v>
      </c>
      <c r="E130" s="6" t="s">
        <v>36</v>
      </c>
      <c r="F130" s="133" t="s">
        <v>19</v>
      </c>
      <c r="G130" s="133" t="s">
        <v>20</v>
      </c>
      <c r="H130" s="133" t="s">
        <v>21</v>
      </c>
      <c r="I130" s="6" t="s">
        <v>22</v>
      </c>
      <c r="J130" s="129" t="s">
        <v>23</v>
      </c>
      <c r="K130" s="129" t="s">
        <v>24</v>
      </c>
      <c r="L130" s="6" t="s">
        <v>35</v>
      </c>
      <c r="M130" s="119">
        <v>27</v>
      </c>
      <c r="N130" s="93">
        <v>59</v>
      </c>
      <c r="O130" s="6">
        <v>2</v>
      </c>
      <c r="P130" s="129">
        <v>1</v>
      </c>
      <c r="Q130" s="6">
        <v>300</v>
      </c>
      <c r="R130" s="98">
        <v>0.50029999999999997</v>
      </c>
      <c r="S130" s="94">
        <f>((Table3.110[[#This Row],[Sample weight, g]]*'2.1. DM'!Q19)/100)*1000</f>
        <v>471.7621368452036</v>
      </c>
      <c r="T130" s="94">
        <f>'3.2 Digest'!W130</f>
        <v>42.262136845203599</v>
      </c>
      <c r="U130" s="153">
        <v>0.35486111111111113</v>
      </c>
      <c r="V130" s="154">
        <v>41</v>
      </c>
      <c r="W130" s="153">
        <v>0.67847222222222225</v>
      </c>
      <c r="X130" s="91">
        <v>63.5</v>
      </c>
      <c r="Y130" s="91">
        <v>15.6</v>
      </c>
      <c r="Z130" s="154">
        <v>40.5</v>
      </c>
      <c r="AA130" s="153">
        <v>0.37013888888888891</v>
      </c>
      <c r="AB130" s="154">
        <v>65.5</v>
      </c>
      <c r="AC130" s="154">
        <v>17.7</v>
      </c>
      <c r="AD130" s="96"/>
      <c r="AE130" s="94"/>
      <c r="AF130" s="94"/>
      <c r="AG130" s="94"/>
      <c r="AH130" s="94"/>
      <c r="AI130" s="94"/>
      <c r="AJ130" s="94"/>
      <c r="AK130" s="94"/>
      <c r="AL130" s="94"/>
      <c r="AM130" s="94"/>
      <c r="AN130" s="94"/>
      <c r="AO130" s="94"/>
      <c r="AP130" s="94"/>
      <c r="AQ130" s="94"/>
      <c r="AR130" s="94"/>
      <c r="AS130" s="94"/>
      <c r="AT130" s="94"/>
      <c r="AU130" s="94"/>
      <c r="AV130" s="94"/>
      <c r="AW130" s="303" t="s">
        <v>613</v>
      </c>
    </row>
    <row r="131" spans="1:49" s="304" customFormat="1" x14ac:dyDescent="0.35">
      <c r="A131" s="89"/>
      <c r="B131" s="90">
        <f t="shared" si="1"/>
        <v>121</v>
      </c>
      <c r="C131" s="140">
        <v>46043</v>
      </c>
      <c r="D131" s="6" t="s">
        <v>16</v>
      </c>
      <c r="E131" s="6" t="s">
        <v>36</v>
      </c>
      <c r="F131" s="133" t="s">
        <v>19</v>
      </c>
      <c r="G131" s="133" t="s">
        <v>20</v>
      </c>
      <c r="H131" s="133" t="s">
        <v>21</v>
      </c>
      <c r="I131" s="6" t="s">
        <v>22</v>
      </c>
      <c r="J131" s="129" t="s">
        <v>23</v>
      </c>
      <c r="K131" s="129" t="s">
        <v>24</v>
      </c>
      <c r="L131" s="6" t="s">
        <v>35</v>
      </c>
      <c r="M131" s="119">
        <v>27</v>
      </c>
      <c r="N131" s="93">
        <v>59</v>
      </c>
      <c r="O131" s="6">
        <v>2</v>
      </c>
      <c r="P131" s="129">
        <v>2</v>
      </c>
      <c r="Q131" s="6">
        <v>301</v>
      </c>
      <c r="R131" s="98">
        <v>0.5</v>
      </c>
      <c r="S131" s="94">
        <f>((Table3.110[[#This Row],[Sample weight, g]]*'2.1. DM'!Q19)/100)*1000</f>
        <v>471.47924929562618</v>
      </c>
      <c r="T131" s="94">
        <f>'3.2 Digest'!W131</f>
        <v>131.47924929562623</v>
      </c>
      <c r="U131" s="117">
        <v>0.35555555555555557</v>
      </c>
      <c r="V131" s="155">
        <v>42.5</v>
      </c>
      <c r="W131" s="117">
        <v>0.6791666666666667</v>
      </c>
      <c r="X131" s="96">
        <v>67.5</v>
      </c>
      <c r="Y131" s="96">
        <v>14.9</v>
      </c>
      <c r="Z131" s="155">
        <v>40</v>
      </c>
      <c r="AA131" s="117">
        <v>0.37083333333333335</v>
      </c>
      <c r="AB131" s="155">
        <v>63.5</v>
      </c>
      <c r="AC131" s="155">
        <v>17.899999999999999</v>
      </c>
      <c r="AD131" s="91"/>
      <c r="AE131" s="94">
        <f>Table3.110[[#This Row],[Gas 8h, ml]]-Table3.110[[#This Row],[Gas 0h, ml]]</f>
        <v>25</v>
      </c>
      <c r="AF131" s="94">
        <f>Table3.110[[#This Row],[Gas 24h, ml]]-Table3.110[[#This Row],[V8 Push back, ml]]</f>
        <v>23.5</v>
      </c>
      <c r="AG131" s="94">
        <f>Table3.110[[#This Row],[GP 8h, ml]]-(AVERAGE(AE$116,AE$117,AE$167,AE$166,AE$219,AE$220))*$AG$8</f>
        <v>22.123728042697874</v>
      </c>
      <c r="AH131" s="94">
        <f>Table3.110[[#This Row],[GP 8-24h, ml]]-(AVERAGE(AF$11,AF$12,AF$62,AF$61,AF$114,AF$115))*$AG$8</f>
        <v>19.81247184961266</v>
      </c>
      <c r="AI131" s="94">
        <f>Table3.110[[#This Row],[Net gas 8-24h, ml]]+Table3.110[[#This Row],[Net gas 8h, ml]]</f>
        <v>41.936199892310533</v>
      </c>
      <c r="AJ131" s="94">
        <f>Table3.110[[#This Row],[Net gas 8h, ml]]*Table3.110[[#This Row],[CH4 8h %]]%</f>
        <v>3.2964354783619831</v>
      </c>
      <c r="AK131" s="94">
        <f>Table3.110[[#This Row],[Net gas 8-24h, ml]]*Table3.110[[#This Row],[CH4 24h, %]]%</f>
        <v>3.5464324610806659</v>
      </c>
      <c r="AL131" s="94">
        <f>Table3.110[[#This Row],[CH4 8-24h, ml]]+Table3.110[[#This Row],[CH4 8h, ml]]</f>
        <v>6.842867939442649</v>
      </c>
      <c r="AM131" s="94">
        <f>(Table3.110[[#This Row],[Net gas 24h, ml]]/Table3.110[[#This Row],[DM Incubated, mg]])*1000</f>
        <v>88.946013965538839</v>
      </c>
      <c r="AN131" s="94">
        <f>'3.2 Digest'!X131</f>
        <v>27.886539967994718</v>
      </c>
      <c r="AO131" s="94">
        <f>Table3.110[[#This Row],[Digested feed, mg]]/Table3.110[[#This Row],[Net gas 24h, ml]]</f>
        <v>3.1352208744057997</v>
      </c>
      <c r="AP131" s="94">
        <f>Table3.110[[#This Row],[CH4 8h, ml]]/Table3.110[[#This Row],[Net gas 8h, ml]]%</f>
        <v>14.9</v>
      </c>
      <c r="AQ131" s="94">
        <f>Table3.110[[#This Row],[CH4 24h, ml]]/Table3.110[[#This Row],[Net gas 24h, ml]]%</f>
        <v>16.317329555407248</v>
      </c>
      <c r="AR131" s="94">
        <f>Table3.110[[#This Row],[CH4 24h, ml]]/Table3.110[[#This Row],[DM Incubated, mg]]*1000</f>
        <v>14.513614225155527</v>
      </c>
      <c r="AS131" s="94">
        <f>Table3.110[[#This Row],[CH4 24h, ml]]/Table3.110[[#This Row],[Digested feed, mg]]*1000</f>
        <v>52.045231290123304</v>
      </c>
      <c r="AT131" s="94">
        <f>Table3.110[[#This Row],[CH4 24h, ml]]/'3.2 Digest'!AA131</f>
        <v>-0.51177908138533923</v>
      </c>
      <c r="AU131" s="94">
        <f>((Table3.110[[#This Row],[CH4 24h, ml]]/28.9)*16.04)/Table3.110[[#This Row],[DM Incubated, mg]]*1000</f>
        <v>8.0553069955534493</v>
      </c>
      <c r="AV131" s="94">
        <f>((Table3.110[[#This Row],[CH4 24h, ml]]/28.9)*16.04)/Table3.110[[#This Row],[Digested feed, mg]]*1000</f>
        <v>28.886003802545947</v>
      </c>
      <c r="AW131" s="303"/>
    </row>
    <row r="132" spans="1:49" s="304" customFormat="1" x14ac:dyDescent="0.35">
      <c r="A132" s="89"/>
      <c r="B132" s="90">
        <f t="shared" si="1"/>
        <v>122</v>
      </c>
      <c r="C132" s="140">
        <v>46043</v>
      </c>
      <c r="D132" s="6" t="s">
        <v>16</v>
      </c>
      <c r="E132" s="6" t="s">
        <v>36</v>
      </c>
      <c r="F132" s="133" t="s">
        <v>19</v>
      </c>
      <c r="G132" s="133" t="s">
        <v>20</v>
      </c>
      <c r="H132" s="133" t="s">
        <v>21</v>
      </c>
      <c r="I132" s="6" t="s">
        <v>22</v>
      </c>
      <c r="J132" s="129" t="s">
        <v>23</v>
      </c>
      <c r="K132" s="129" t="s">
        <v>24</v>
      </c>
      <c r="L132" s="6" t="s">
        <v>35</v>
      </c>
      <c r="M132" s="119">
        <v>27</v>
      </c>
      <c r="N132" s="93">
        <v>59</v>
      </c>
      <c r="O132" s="6">
        <v>2</v>
      </c>
      <c r="P132" s="6">
        <v>3</v>
      </c>
      <c r="Q132" s="6">
        <v>302</v>
      </c>
      <c r="R132" s="98">
        <v>0.50039999999999996</v>
      </c>
      <c r="S132" s="94">
        <f>((Table3.110[[#This Row],[Sample weight, g]]*'2.1. DM'!Q19)/100)*1000</f>
        <v>471.85643269506267</v>
      </c>
      <c r="T132" s="94">
        <f>'3.2 Digest'!W132</f>
        <v>124.65643269506262</v>
      </c>
      <c r="U132" s="153">
        <v>0.35555555555555557</v>
      </c>
      <c r="V132" s="154">
        <v>41.5</v>
      </c>
      <c r="W132" s="153">
        <v>0.6791666666666667</v>
      </c>
      <c r="X132" s="91">
        <v>68.5</v>
      </c>
      <c r="Y132" s="91">
        <v>14.1</v>
      </c>
      <c r="Z132" s="154">
        <v>40.5</v>
      </c>
      <c r="AA132" s="153">
        <v>0.37083333333333335</v>
      </c>
      <c r="AB132" s="154">
        <v>65</v>
      </c>
      <c r="AC132" s="154">
        <v>18</v>
      </c>
      <c r="AD132" s="96"/>
      <c r="AE132" s="94">
        <f>Table3.110[[#This Row],[Gas 8h, ml]]-Table3.110[[#This Row],[Gas 0h, ml]]</f>
        <v>27</v>
      </c>
      <c r="AF132" s="94">
        <f>Table3.110[[#This Row],[Gas 24h, ml]]-Table3.110[[#This Row],[V8 Push back, ml]]</f>
        <v>24.5</v>
      </c>
      <c r="AG132" s="94">
        <f>Table3.110[[#This Row],[GP 8h, ml]]-(AVERAGE(AE$116,AE$117,AE$167,AE$166,AE$219,AE$220))*$AG$8</f>
        <v>24.123728042697874</v>
      </c>
      <c r="AH132" s="94">
        <f>Table3.110[[#This Row],[GP 8-24h, ml]]-(AVERAGE(AF$11,AF$12,AF$62,AF$61,AF$114,AF$115))*$AG$8</f>
        <v>20.81247184961266</v>
      </c>
      <c r="AI132" s="94">
        <f>Table3.110[[#This Row],[Net gas 8-24h, ml]]+Table3.110[[#This Row],[Net gas 8h, ml]]</f>
        <v>44.936199892310533</v>
      </c>
      <c r="AJ132" s="94">
        <f>Table3.110[[#This Row],[Net gas 8h, ml]]*Table3.110[[#This Row],[CH4 8h %]]%</f>
        <v>3.4014456540203999</v>
      </c>
      <c r="AK132" s="94">
        <f>Table3.110[[#This Row],[Net gas 8-24h, ml]]*Table3.110[[#This Row],[CH4 24h, %]]%</f>
        <v>3.7462449329302787</v>
      </c>
      <c r="AL132" s="94">
        <f>Table3.110[[#This Row],[CH4 8-24h, ml]]+Table3.110[[#This Row],[CH4 8h, ml]]</f>
        <v>7.147690586950679</v>
      </c>
      <c r="AM132" s="94">
        <f>(Table3.110[[#This Row],[Net gas 24h, ml]]/Table3.110[[#This Row],[DM Incubated, mg]])*1000</f>
        <v>95.232780097226225</v>
      </c>
      <c r="AN132" s="94">
        <f>'3.2 Digest'!X132</f>
        <v>26.418296765198889</v>
      </c>
      <c r="AO132" s="94">
        <f>Table3.110[[#This Row],[Digested feed, mg]]/Table3.110[[#This Row],[Net gas 24h, ml]]</f>
        <v>2.7740759786942686</v>
      </c>
      <c r="AP132" s="94">
        <f>Table3.110[[#This Row],[CH4 8h, ml]]/Table3.110[[#This Row],[Net gas 8h, ml]]%</f>
        <v>14.1</v>
      </c>
      <c r="AQ132" s="94">
        <f>Table3.110[[#This Row],[CH4 24h, ml]]/Table3.110[[#This Row],[Net gas 24h, ml]]%</f>
        <v>15.906308508685864</v>
      </c>
      <c r="AR132" s="94">
        <f>Table3.110[[#This Row],[CH4 24h, ml]]/Table3.110[[#This Row],[DM Incubated, mg]]*1000</f>
        <v>15.148019803663196</v>
      </c>
      <c r="AS132" s="94">
        <f>Table3.110[[#This Row],[CH4 24h, ml]]/Table3.110[[#This Row],[Digested feed, mg]]*1000</f>
        <v>57.339123480578984</v>
      </c>
      <c r="AT132" s="94">
        <f>Table3.110[[#This Row],[CH4 24h, ml]]/'3.2 Digest'!AA132</f>
        <v>-0.45587684062724382</v>
      </c>
      <c r="AU132" s="94">
        <f>((Table3.110[[#This Row],[CH4 24h, ml]]/28.9)*16.04)/Table3.110[[#This Row],[DM Incubated, mg]]*1000</f>
        <v>8.407413067500265</v>
      </c>
      <c r="AV132" s="94">
        <f>((Table3.110[[#This Row],[CH4 24h, ml]]/28.9)*16.04)/Table3.110[[#This Row],[Digested feed, mg]]*1000</f>
        <v>31.824205558079132</v>
      </c>
      <c r="AW132" s="303"/>
    </row>
    <row r="133" spans="1:49" s="304" customFormat="1" x14ac:dyDescent="0.35">
      <c r="A133" s="89"/>
      <c r="B133" s="90">
        <f t="shared" si="1"/>
        <v>123</v>
      </c>
      <c r="C133" s="140">
        <v>46043</v>
      </c>
      <c r="D133" s="6" t="s">
        <v>16</v>
      </c>
      <c r="E133" s="6" t="s">
        <v>38</v>
      </c>
      <c r="F133" s="133" t="s">
        <v>19</v>
      </c>
      <c r="G133" s="133" t="s">
        <v>20</v>
      </c>
      <c r="H133" s="133" t="s">
        <v>21</v>
      </c>
      <c r="I133" s="6" t="s">
        <v>22</v>
      </c>
      <c r="J133" s="129" t="s">
        <v>23</v>
      </c>
      <c r="K133" s="129" t="s">
        <v>24</v>
      </c>
      <c r="L133" s="6" t="s">
        <v>37</v>
      </c>
      <c r="M133" s="119">
        <v>27</v>
      </c>
      <c r="N133" s="93">
        <v>59</v>
      </c>
      <c r="O133" s="6">
        <v>2</v>
      </c>
      <c r="P133" s="129">
        <v>1</v>
      </c>
      <c r="Q133" s="6">
        <v>303</v>
      </c>
      <c r="R133" s="98">
        <v>0.50029999999999997</v>
      </c>
      <c r="S133" s="94">
        <f>((Table3.110[[#This Row],[Sample weight, g]]*'2.1. DM'!Q21)/100)*1000</f>
        <v>463.44079313091294</v>
      </c>
      <c r="T133" s="94">
        <f>'3.2 Digest'!W133</f>
        <v>97.94079313091288</v>
      </c>
      <c r="U133" s="117">
        <v>0.35555555555555557</v>
      </c>
      <c r="V133" s="155">
        <v>41</v>
      </c>
      <c r="W133" s="117">
        <v>0.67986111111111114</v>
      </c>
      <c r="X133" s="96">
        <v>64</v>
      </c>
      <c r="Y133" s="96">
        <v>15.3</v>
      </c>
      <c r="Z133" s="155">
        <v>40.5</v>
      </c>
      <c r="AA133" s="117">
        <v>0.37152777777777779</v>
      </c>
      <c r="AB133" s="155">
        <v>63.5</v>
      </c>
      <c r="AC133" s="155">
        <v>18.8</v>
      </c>
      <c r="AD133" s="91"/>
      <c r="AE133" s="94">
        <f>Table3.110[[#This Row],[Gas 8h, ml]]-Table3.110[[#This Row],[Gas 0h, ml]]</f>
        <v>23</v>
      </c>
      <c r="AF133" s="94">
        <f>Table3.110[[#This Row],[Gas 24h, ml]]-Table3.110[[#This Row],[V8 Push back, ml]]</f>
        <v>23</v>
      </c>
      <c r="AG133" s="94">
        <f>Table3.110[[#This Row],[GP 8h, ml]]-(AVERAGE(AE$116,AE$117,AE$167,AE$166,AE$219,AE$220))*$AG$8</f>
        <v>20.123728042697874</v>
      </c>
      <c r="AH133" s="94">
        <f>Table3.110[[#This Row],[GP 8-24h, ml]]-(AVERAGE(AF$11,AF$12,AF$62,AF$61,AF$114,AF$115))*$AG$8</f>
        <v>19.31247184961266</v>
      </c>
      <c r="AI133" s="94">
        <f>Table3.110[[#This Row],[Net gas 8-24h, ml]]+Table3.110[[#This Row],[Net gas 8h, ml]]</f>
        <v>39.436199892310533</v>
      </c>
      <c r="AJ133" s="94">
        <f>Table3.110[[#This Row],[Net gas 8h, ml]]*Table3.110[[#This Row],[CH4 8h %]]%</f>
        <v>3.0789303905327747</v>
      </c>
      <c r="AK133" s="94">
        <f>Table3.110[[#This Row],[Net gas 8-24h, ml]]*Table3.110[[#This Row],[CH4 24h, %]]%</f>
        <v>3.6307447077271799</v>
      </c>
      <c r="AL133" s="94">
        <f>Table3.110[[#This Row],[CH4 8-24h, ml]]+Table3.110[[#This Row],[CH4 8h, ml]]</f>
        <v>6.7096750982599547</v>
      </c>
      <c r="AM133" s="94">
        <f>(Table3.110[[#This Row],[Net gas 24h, ml]]/Table3.110[[#This Row],[DM Incubated, mg]])*1000</f>
        <v>85.094364753451003</v>
      </c>
      <c r="AN133" s="94">
        <f>'3.2 Digest'!X133</f>
        <v>21.133399256730197</v>
      </c>
      <c r="AO133" s="94">
        <f>Table3.110[[#This Row],[Digested feed, mg]]/Table3.110[[#This Row],[Net gas 24h, ml]]</f>
        <v>2.483525121547268</v>
      </c>
      <c r="AP133" s="94">
        <f>Table3.110[[#This Row],[CH4 8h, ml]]/Table3.110[[#This Row],[Net gas 8h, ml]]%</f>
        <v>15.299999999999999</v>
      </c>
      <c r="AQ133" s="94">
        <f>Table3.110[[#This Row],[CH4 24h, ml]]/Table3.110[[#This Row],[Net gas 24h, ml]]%</f>
        <v>17.014000123191995</v>
      </c>
      <c r="AR133" s="94">
        <f>Table3.110[[#This Row],[CH4 24h, ml]]/Table3.110[[#This Row],[DM Incubated, mg]]*1000</f>
        <v>14.477955323981595</v>
      </c>
      <c r="AS133" s="94">
        <f>Table3.110[[#This Row],[CH4 24h, ml]]/Table3.110[[#This Row],[Digested feed, mg]]*1000</f>
        <v>68.50746133218918</v>
      </c>
      <c r="AT133" s="94">
        <f>Table3.110[[#This Row],[CH4 24h, ml]]/'3.2 Digest'!AA133</f>
        <v>-0.38724003466141493</v>
      </c>
      <c r="AU133" s="94">
        <f>((Table3.110[[#This Row],[CH4 24h, ml]]/28.9)*16.04)/Table3.110[[#This Row],[DM Incubated, mg]]*1000</f>
        <v>8.0355156884659102</v>
      </c>
      <c r="AV133" s="94">
        <f>((Table3.110[[#This Row],[CH4 24h, ml]]/28.9)*16.04)/Table3.110[[#This Row],[Digested feed, mg]]*1000</f>
        <v>38.02282628956106</v>
      </c>
      <c r="AW133" s="303"/>
    </row>
    <row r="134" spans="1:49" s="304" customFormat="1" x14ac:dyDescent="0.35">
      <c r="A134" s="89"/>
      <c r="B134" s="90">
        <f t="shared" si="1"/>
        <v>124</v>
      </c>
      <c r="C134" s="140">
        <v>46043</v>
      </c>
      <c r="D134" s="6" t="s">
        <v>16</v>
      </c>
      <c r="E134" s="6" t="s">
        <v>38</v>
      </c>
      <c r="F134" s="133" t="s">
        <v>19</v>
      </c>
      <c r="G134" s="133" t="s">
        <v>20</v>
      </c>
      <c r="H134" s="133" t="s">
        <v>21</v>
      </c>
      <c r="I134" s="6" t="s">
        <v>22</v>
      </c>
      <c r="J134" s="129" t="s">
        <v>23</v>
      </c>
      <c r="K134" s="129" t="s">
        <v>24</v>
      </c>
      <c r="L134" s="6" t="s">
        <v>37</v>
      </c>
      <c r="M134" s="119">
        <v>27</v>
      </c>
      <c r="N134" s="93">
        <v>59</v>
      </c>
      <c r="O134" s="6">
        <v>2</v>
      </c>
      <c r="P134" s="129">
        <v>2</v>
      </c>
      <c r="Q134" s="6">
        <v>304</v>
      </c>
      <c r="R134" s="98">
        <v>0.50039999999999996</v>
      </c>
      <c r="S134" s="94">
        <f>((Table3.110[[#This Row],[Sample weight, g]]*'2.1. DM'!Q21)/100)*1000</f>
        <v>463.5334257099916</v>
      </c>
      <c r="T134" s="94">
        <f>'3.2 Digest'!W134</f>
        <v>65.233425709991593</v>
      </c>
      <c r="U134" s="156">
        <v>0.35625000000000001</v>
      </c>
      <c r="V134" s="154">
        <v>42</v>
      </c>
      <c r="W134" s="153">
        <v>0.67986111111111114</v>
      </c>
      <c r="X134" s="91">
        <v>67</v>
      </c>
      <c r="Y134" s="91">
        <v>14.3</v>
      </c>
      <c r="Z134" s="154">
        <v>40.5</v>
      </c>
      <c r="AA134" s="153">
        <v>0.37291666666666667</v>
      </c>
      <c r="AB134" s="154">
        <v>64</v>
      </c>
      <c r="AC134" s="154">
        <v>18.600000000000001</v>
      </c>
      <c r="AD134" s="96"/>
      <c r="AE134" s="94">
        <f>Table3.110[[#This Row],[Gas 8h, ml]]-Table3.110[[#This Row],[Gas 0h, ml]]</f>
        <v>25</v>
      </c>
      <c r="AF134" s="94">
        <f>Table3.110[[#This Row],[Gas 24h, ml]]-Table3.110[[#This Row],[V8 Push back, ml]]</f>
        <v>23.5</v>
      </c>
      <c r="AG134" s="94">
        <f>Table3.110[[#This Row],[GP 8h, ml]]-(AVERAGE(AE$116,AE$117,AE$167,AE$166,AE$219,AE$220))*$AG$8</f>
        <v>22.123728042697874</v>
      </c>
      <c r="AH134" s="94">
        <f>Table3.110[[#This Row],[GP 8-24h, ml]]-(AVERAGE(AF$11,AF$12,AF$62,AF$61,AF$114,AF$115))*$AG$8</f>
        <v>19.81247184961266</v>
      </c>
      <c r="AI134" s="94">
        <f>Table3.110[[#This Row],[Net gas 8-24h, ml]]+Table3.110[[#This Row],[Net gas 8h, ml]]</f>
        <v>41.936199892310533</v>
      </c>
      <c r="AJ134" s="94">
        <f>Table3.110[[#This Row],[Net gas 8h, ml]]*Table3.110[[#This Row],[CH4 8h %]]%</f>
        <v>3.1636931101057963</v>
      </c>
      <c r="AK134" s="94">
        <f>Table3.110[[#This Row],[Net gas 8-24h, ml]]*Table3.110[[#This Row],[CH4 24h, %]]%</f>
        <v>3.6851197640279554</v>
      </c>
      <c r="AL134" s="94">
        <f>Table3.110[[#This Row],[CH4 8-24h, ml]]+Table3.110[[#This Row],[CH4 8h, ml]]</f>
        <v>6.8488128741337517</v>
      </c>
      <c r="AM134" s="94">
        <f>(Table3.110[[#This Row],[Net gas 24h, ml]]/Table3.110[[#This Row],[DM Incubated, mg]])*1000</f>
        <v>90.470713796048443</v>
      </c>
      <c r="AN134" s="94">
        <f>'3.2 Digest'!X134</f>
        <v>14.073079111840514</v>
      </c>
      <c r="AO134" s="94">
        <f>Table3.110[[#This Row],[Digested feed, mg]]/Table3.110[[#This Row],[Net gas 24h, ml]]</f>
        <v>1.5555397455541236</v>
      </c>
      <c r="AP134" s="94">
        <f>Table3.110[[#This Row],[CH4 8h, ml]]/Table3.110[[#This Row],[Net gas 8h, ml]]%</f>
        <v>14.300000000000002</v>
      </c>
      <c r="AQ134" s="94">
        <f>Table3.110[[#This Row],[CH4 24h, ml]]/Table3.110[[#This Row],[Net gas 24h, ml]]%</f>
        <v>16.331505696083724</v>
      </c>
      <c r="AR134" s="94">
        <f>Table3.110[[#This Row],[CH4 24h, ml]]/Table3.110[[#This Row],[DM Incubated, mg]]*1000</f>
        <v>14.775229776889255</v>
      </c>
      <c r="AS134" s="94">
        <f>Table3.110[[#This Row],[CH4 24h, ml]]/Table3.110[[#This Row],[Digested feed, mg]]*1000</f>
        <v>104.98931796992444</v>
      </c>
      <c r="AT134" s="94">
        <f>Table3.110[[#This Row],[CH4 24h, ml]]/'3.2 Digest'!AA134</f>
        <v>-0.24609203180302067</v>
      </c>
      <c r="AU134" s="94">
        <f>((Table3.110[[#This Row],[CH4 24h, ml]]/28.9)*16.04)/Table3.110[[#This Row],[DM Incubated, mg]]*1000</f>
        <v>8.200508152986286</v>
      </c>
      <c r="AV134" s="94">
        <f>((Table3.110[[#This Row],[CH4 24h, ml]]/28.9)*16.04)/Table3.110[[#This Row],[Digested feed, mg]]*1000</f>
        <v>58.270887897494397</v>
      </c>
      <c r="AW134" s="303"/>
    </row>
    <row r="135" spans="1:49" s="304" customFormat="1" x14ac:dyDescent="0.35">
      <c r="A135" s="89"/>
      <c r="B135" s="90">
        <f t="shared" si="1"/>
        <v>125</v>
      </c>
      <c r="C135" s="140">
        <v>46043</v>
      </c>
      <c r="D135" s="6" t="s">
        <v>16</v>
      </c>
      <c r="E135" s="6" t="s">
        <v>38</v>
      </c>
      <c r="F135" s="133" t="s">
        <v>19</v>
      </c>
      <c r="G135" s="133" t="s">
        <v>20</v>
      </c>
      <c r="H135" s="133" t="s">
        <v>21</v>
      </c>
      <c r="I135" s="6" t="s">
        <v>22</v>
      </c>
      <c r="J135" s="129" t="s">
        <v>23</v>
      </c>
      <c r="K135" s="129" t="s">
        <v>24</v>
      </c>
      <c r="L135" s="6" t="s">
        <v>37</v>
      </c>
      <c r="M135" s="119">
        <v>27</v>
      </c>
      <c r="N135" s="93">
        <v>59</v>
      </c>
      <c r="O135" s="6">
        <v>2</v>
      </c>
      <c r="P135" s="6">
        <v>3</v>
      </c>
      <c r="Q135" s="6">
        <v>305</v>
      </c>
      <c r="R135" s="98">
        <v>0.50009999999999999</v>
      </c>
      <c r="S135" s="94">
        <f>((Table3.110[[#This Row],[Sample weight, g]]*'2.1. DM'!Q21)/100)*1000</f>
        <v>463.25552797275549</v>
      </c>
      <c r="T135" s="94">
        <f>'3.2 Digest'!W135</f>
        <v>7.3555279727555103</v>
      </c>
      <c r="U135" s="117">
        <v>0.35694444444444445</v>
      </c>
      <c r="V135" s="155">
        <v>41.5</v>
      </c>
      <c r="W135" s="117">
        <v>0.68055555555555558</v>
      </c>
      <c r="X135" s="96">
        <v>67</v>
      </c>
      <c r="Y135" s="96">
        <v>14.5</v>
      </c>
      <c r="Z135" s="155">
        <v>41.5</v>
      </c>
      <c r="AA135" s="117">
        <v>0.37291666666666667</v>
      </c>
      <c r="AB135" s="155">
        <v>59.5</v>
      </c>
      <c r="AC135" s="155">
        <v>19</v>
      </c>
      <c r="AD135" s="91"/>
      <c r="AE135" s="94"/>
      <c r="AF135" s="94"/>
      <c r="AG135" s="94"/>
      <c r="AH135" s="94"/>
      <c r="AI135" s="94"/>
      <c r="AJ135" s="94"/>
      <c r="AK135" s="94"/>
      <c r="AL135" s="94"/>
      <c r="AM135" s="94"/>
      <c r="AN135" s="94"/>
      <c r="AO135" s="94"/>
      <c r="AP135" s="94"/>
      <c r="AQ135" s="94"/>
      <c r="AR135" s="94"/>
      <c r="AS135" s="94"/>
      <c r="AT135" s="94"/>
      <c r="AU135" s="94"/>
      <c r="AV135" s="94"/>
      <c r="AW135" s="303"/>
    </row>
    <row r="136" spans="1:49" s="304" customFormat="1" x14ac:dyDescent="0.35">
      <c r="A136" s="89"/>
      <c r="B136" s="90">
        <f t="shared" si="1"/>
        <v>126</v>
      </c>
      <c r="C136" s="140">
        <v>46043</v>
      </c>
      <c r="D136" s="6" t="s">
        <v>16</v>
      </c>
      <c r="E136" s="6" t="s">
        <v>40</v>
      </c>
      <c r="F136" s="133" t="s">
        <v>19</v>
      </c>
      <c r="G136" s="133" t="s">
        <v>20</v>
      </c>
      <c r="H136" s="133" t="s">
        <v>21</v>
      </c>
      <c r="I136" s="6" t="s">
        <v>22</v>
      </c>
      <c r="J136" s="129" t="s">
        <v>23</v>
      </c>
      <c r="K136" s="129" t="s">
        <v>24</v>
      </c>
      <c r="L136" s="6" t="s">
        <v>39</v>
      </c>
      <c r="M136" s="119">
        <v>27</v>
      </c>
      <c r="N136" s="93">
        <v>59</v>
      </c>
      <c r="O136" s="6">
        <v>2</v>
      </c>
      <c r="P136" s="129">
        <v>1</v>
      </c>
      <c r="Q136" s="6">
        <v>306</v>
      </c>
      <c r="R136" s="98">
        <v>0.50009999999999999</v>
      </c>
      <c r="S136" s="94">
        <f>((Table3.110[[#This Row],[Sample weight, g]]*'2.1. DM'!Q23)/100)*1000</f>
        <v>473.35802098950501</v>
      </c>
      <c r="T136" s="94">
        <f>'3.2 Digest'!W136</f>
        <v>118.75802098950498</v>
      </c>
      <c r="U136" s="153">
        <v>0.35972222222222222</v>
      </c>
      <c r="V136" s="154">
        <v>40.5</v>
      </c>
      <c r="W136" s="153">
        <v>0.68125000000000002</v>
      </c>
      <c r="X136" s="91">
        <v>64.5</v>
      </c>
      <c r="Y136" s="91">
        <v>16.100000000000001</v>
      </c>
      <c r="Z136" s="154">
        <v>41.5</v>
      </c>
      <c r="AA136" s="153">
        <v>0.37361111111111112</v>
      </c>
      <c r="AB136" s="154">
        <v>58.5</v>
      </c>
      <c r="AC136" s="154">
        <v>19</v>
      </c>
      <c r="AD136" s="96"/>
      <c r="AE136" s="94">
        <f>Table3.110[[#This Row],[Gas 8h, ml]]-Table3.110[[#This Row],[Gas 0h, ml]]</f>
        <v>24</v>
      </c>
      <c r="AF136" s="94">
        <f>Table3.110[[#This Row],[Gas 24h, ml]]-Table3.110[[#This Row],[V8 Push back, ml]]</f>
        <v>17</v>
      </c>
      <c r="AG136" s="94">
        <f>Table3.110[[#This Row],[GP 8h, ml]]-(AVERAGE(AE$116,AE$117,AE$167,AE$166,AE$219,AE$220))*$AG$8</f>
        <v>21.123728042697874</v>
      </c>
      <c r="AH136" s="94">
        <f>Table3.110[[#This Row],[GP 8-24h, ml]]-(AVERAGE(AF$11,AF$12,AF$62,AF$61,AF$114,AF$115))*$AG$8</f>
        <v>13.31247184961266</v>
      </c>
      <c r="AI136" s="94">
        <f>Table3.110[[#This Row],[Net gas 8-24h, ml]]+Table3.110[[#This Row],[Net gas 8h, ml]]</f>
        <v>34.436199892310533</v>
      </c>
      <c r="AJ136" s="94">
        <f>Table3.110[[#This Row],[Net gas 8h, ml]]*Table3.110[[#This Row],[CH4 8h %]]%</f>
        <v>3.4009202148743576</v>
      </c>
      <c r="AK136" s="94">
        <f>Table3.110[[#This Row],[Net gas 8-24h, ml]]*Table3.110[[#This Row],[CH4 24h, %]]%</f>
        <v>2.5293696514264052</v>
      </c>
      <c r="AL136" s="94">
        <f>Table3.110[[#This Row],[CH4 8-24h, ml]]+Table3.110[[#This Row],[CH4 8h, ml]]</f>
        <v>5.9302898663007628</v>
      </c>
      <c r="AM136" s="94">
        <f>(Table3.110[[#This Row],[Net gas 24h, ml]]/Table3.110[[#This Row],[DM Incubated, mg]])*1000</f>
        <v>72.748740626228937</v>
      </c>
      <c r="AN136" s="94">
        <f>'3.2 Digest'!X136</f>
        <v>25.088414207338005</v>
      </c>
      <c r="AO136" s="94">
        <f>Table3.110[[#This Row],[Digested feed, mg]]/Table3.110[[#This Row],[Net gas 24h, ml]]</f>
        <v>3.4486389718054569</v>
      </c>
      <c r="AP136" s="94">
        <f>Table3.110[[#This Row],[CH4 8h, ml]]/Table3.110[[#This Row],[Net gas 8h, ml]]%</f>
        <v>16.100000000000001</v>
      </c>
      <c r="AQ136" s="94">
        <f>Table3.110[[#This Row],[CH4 24h, ml]]/Table3.110[[#This Row],[Net gas 24h, ml]]%</f>
        <v>17.221092585262213</v>
      </c>
      <c r="AR136" s="94">
        <f>Table3.110[[#This Row],[CH4 24h, ml]]/Table3.110[[#This Row],[DM Incubated, mg]]*1000</f>
        <v>12.528127977855149</v>
      </c>
      <c r="AS136" s="94">
        <f>Table3.110[[#This Row],[CH4 24h, ml]]/Table3.110[[#This Row],[Digested feed, mg]]*1000</f>
        <v>49.935910154858853</v>
      </c>
      <c r="AT136" s="94">
        <f>Table3.110[[#This Row],[CH4 24h, ml]]/'3.2 Digest'!AA136</f>
        <v>-0.56197179576224543</v>
      </c>
      <c r="AU136" s="94">
        <f>((Table3.110[[#This Row],[CH4 24h, ml]]/28.9)*16.04)/Table3.110[[#This Row],[DM Incubated, mg]]*1000</f>
        <v>6.9533277773286013</v>
      </c>
      <c r="AV136" s="94">
        <f>((Table3.110[[#This Row],[CH4 24h, ml]]/28.9)*16.04)/Table3.110[[#This Row],[Digested feed, mg]]*1000</f>
        <v>27.715294079028922</v>
      </c>
      <c r="AW136" s="303"/>
    </row>
    <row r="137" spans="1:49" s="304" customFormat="1" x14ac:dyDescent="0.35">
      <c r="A137" s="89"/>
      <c r="B137" s="90">
        <f t="shared" si="1"/>
        <v>127</v>
      </c>
      <c r="C137" s="140">
        <v>46043</v>
      </c>
      <c r="D137" s="6" t="s">
        <v>16</v>
      </c>
      <c r="E137" s="6" t="s">
        <v>40</v>
      </c>
      <c r="F137" s="133" t="s">
        <v>19</v>
      </c>
      <c r="G137" s="133" t="s">
        <v>20</v>
      </c>
      <c r="H137" s="133" t="s">
        <v>21</v>
      </c>
      <c r="I137" s="6" t="s">
        <v>22</v>
      </c>
      <c r="J137" s="129" t="s">
        <v>23</v>
      </c>
      <c r="K137" s="129" t="s">
        <v>24</v>
      </c>
      <c r="L137" s="6" t="s">
        <v>39</v>
      </c>
      <c r="M137" s="119">
        <v>27</v>
      </c>
      <c r="N137" s="93">
        <v>59</v>
      </c>
      <c r="O137" s="6">
        <v>2</v>
      </c>
      <c r="P137" s="129">
        <v>2</v>
      </c>
      <c r="Q137" s="6">
        <v>307</v>
      </c>
      <c r="R137" s="98">
        <v>0.50009999999999999</v>
      </c>
      <c r="S137" s="94">
        <f>((Table3.110[[#This Row],[Sample weight, g]]*'2.1. DM'!Q23)/100)*1000</f>
        <v>473.35802098950501</v>
      </c>
      <c r="T137" s="94">
        <f>'3.2 Digest'!W137</f>
        <v>86.458020989504973</v>
      </c>
      <c r="U137" s="117">
        <v>0.35972222222222222</v>
      </c>
      <c r="V137" s="155">
        <v>41.5</v>
      </c>
      <c r="W137" s="117">
        <v>0.68125000000000002</v>
      </c>
      <c r="X137" s="96">
        <v>64</v>
      </c>
      <c r="Y137" s="96">
        <v>15.3</v>
      </c>
      <c r="Z137" s="155">
        <v>41</v>
      </c>
      <c r="AA137" s="117">
        <v>0.37361111111111112</v>
      </c>
      <c r="AB137" s="155">
        <v>58</v>
      </c>
      <c r="AC137" s="155">
        <v>19.100000000000001</v>
      </c>
      <c r="AD137" s="91"/>
      <c r="AE137" s="94">
        <f>Table3.110[[#This Row],[Gas 8h, ml]]-Table3.110[[#This Row],[Gas 0h, ml]]</f>
        <v>22.5</v>
      </c>
      <c r="AF137" s="94">
        <f>Table3.110[[#This Row],[Gas 24h, ml]]-Table3.110[[#This Row],[V8 Push back, ml]]</f>
        <v>17</v>
      </c>
      <c r="AG137" s="94">
        <f>Table3.110[[#This Row],[GP 8h, ml]]-(AVERAGE(AE$116,AE$117,AE$167,AE$166,AE$219,AE$220))*$AG$8</f>
        <v>19.623728042697874</v>
      </c>
      <c r="AH137" s="94">
        <f>Table3.110[[#This Row],[GP 8-24h, ml]]-(AVERAGE(AF$11,AF$12,AF$62,AF$61,AF$114,AF$115))*$AG$8</f>
        <v>13.31247184961266</v>
      </c>
      <c r="AI137" s="94">
        <f>Table3.110[[#This Row],[Net gas 8-24h, ml]]+Table3.110[[#This Row],[Net gas 8h, ml]]</f>
        <v>32.936199892310533</v>
      </c>
      <c r="AJ137" s="94">
        <f>Table3.110[[#This Row],[Net gas 8h, ml]]*Table3.110[[#This Row],[CH4 8h %]]%</f>
        <v>3.0024303905327745</v>
      </c>
      <c r="AK137" s="94">
        <f>Table3.110[[#This Row],[Net gas 8-24h, ml]]*Table3.110[[#This Row],[CH4 24h, %]]%</f>
        <v>2.5426821232760179</v>
      </c>
      <c r="AL137" s="94">
        <f>Table3.110[[#This Row],[CH4 8-24h, ml]]+Table3.110[[#This Row],[CH4 8h, ml]]</f>
        <v>5.5451125138087924</v>
      </c>
      <c r="AM137" s="94">
        <f>(Table3.110[[#This Row],[Net gas 24h, ml]]/Table3.110[[#This Row],[DM Incubated, mg]])*1000</f>
        <v>69.579891819432746</v>
      </c>
      <c r="AN137" s="94">
        <f>'3.2 Digest'!X137</f>
        <v>18.2648264433702</v>
      </c>
      <c r="AO137" s="94">
        <f>Table3.110[[#This Row],[Digested feed, mg]]/Table3.110[[#This Row],[Net gas 24h, ml]]</f>
        <v>2.6250150676821082</v>
      </c>
      <c r="AP137" s="94">
        <f>Table3.110[[#This Row],[CH4 8h, ml]]/Table3.110[[#This Row],[Net gas 8h, ml]]%</f>
        <v>15.299999999999999</v>
      </c>
      <c r="AQ137" s="94">
        <f>Table3.110[[#This Row],[CH4 24h, ml]]/Table3.110[[#This Row],[Net gas 24h, ml]]%</f>
        <v>16.835920755701341</v>
      </c>
      <c r="AR137" s="94">
        <f>Table3.110[[#This Row],[CH4 24h, ml]]/Table3.110[[#This Row],[DM Incubated, mg]]*1000</f>
        <v>11.714415448622418</v>
      </c>
      <c r="AS137" s="94">
        <f>Table3.110[[#This Row],[CH4 24h, ml]]/Table3.110[[#This Row],[Digested feed, mg]]*1000</f>
        <v>64.136472826296895</v>
      </c>
      <c r="AT137" s="94">
        <f>Table3.110[[#This Row],[CH4 24h, ml]]/'3.2 Digest'!AA137</f>
        <v>-0.26888357087467518</v>
      </c>
      <c r="AU137" s="94">
        <f>((Table3.110[[#This Row],[CH4 24h, ml]]/28.9)*16.04)/Table3.110[[#This Row],[DM Incubated, mg]]*1000</f>
        <v>6.5017032455329966</v>
      </c>
      <c r="AV137" s="94">
        <f>((Table3.110[[#This Row],[CH4 24h, ml]]/28.9)*16.04)/Table3.110[[#This Row],[Digested feed, mg]]*1000</f>
        <v>35.596852046152328</v>
      </c>
      <c r="AW137" s="303"/>
    </row>
    <row r="138" spans="1:49" s="304" customFormat="1" x14ac:dyDescent="0.35">
      <c r="A138" s="89"/>
      <c r="B138" s="90">
        <f t="shared" si="1"/>
        <v>128</v>
      </c>
      <c r="C138" s="140">
        <v>46043</v>
      </c>
      <c r="D138" s="6" t="s">
        <v>16</v>
      </c>
      <c r="E138" s="6" t="s">
        <v>40</v>
      </c>
      <c r="F138" s="133" t="s">
        <v>19</v>
      </c>
      <c r="G138" s="133" t="s">
        <v>20</v>
      </c>
      <c r="H138" s="133" t="s">
        <v>21</v>
      </c>
      <c r="I138" s="6" t="s">
        <v>22</v>
      </c>
      <c r="J138" s="129" t="s">
        <v>23</v>
      </c>
      <c r="K138" s="129" t="s">
        <v>24</v>
      </c>
      <c r="L138" s="6" t="s">
        <v>39</v>
      </c>
      <c r="M138" s="119">
        <v>27</v>
      </c>
      <c r="N138" s="93">
        <v>59</v>
      </c>
      <c r="O138" s="6">
        <v>2</v>
      </c>
      <c r="P138" s="129">
        <v>3</v>
      </c>
      <c r="Q138" s="6">
        <v>308</v>
      </c>
      <c r="R138" s="98">
        <v>0.50019999999999998</v>
      </c>
      <c r="S138" s="94">
        <f>((Table3.110[[#This Row],[Sample weight, g]]*'2.1. DM'!Q23)/100)*1000</f>
        <v>473.45267366316818</v>
      </c>
      <c r="T138" s="94">
        <f>'3.2 Digest'!W138</f>
        <v>114.85267366316816</v>
      </c>
      <c r="U138" s="153">
        <v>0.35972222222222222</v>
      </c>
      <c r="V138" s="154">
        <v>41.5</v>
      </c>
      <c r="W138" s="153">
        <v>0.68194444444444446</v>
      </c>
      <c r="X138" s="91">
        <v>66</v>
      </c>
      <c r="Y138" s="91">
        <v>14.5</v>
      </c>
      <c r="Z138" s="154">
        <v>40.5</v>
      </c>
      <c r="AA138" s="153">
        <v>0.37361111111111112</v>
      </c>
      <c r="AB138" s="154">
        <v>58</v>
      </c>
      <c r="AC138" s="154">
        <v>19.2</v>
      </c>
      <c r="AD138" s="96"/>
      <c r="AE138" s="94">
        <f>Table3.110[[#This Row],[Gas 8h, ml]]-Table3.110[[#This Row],[Gas 0h, ml]]</f>
        <v>24.5</v>
      </c>
      <c r="AF138" s="94">
        <f>Table3.110[[#This Row],[Gas 24h, ml]]-Table3.110[[#This Row],[V8 Push back, ml]]</f>
        <v>17.5</v>
      </c>
      <c r="AG138" s="94">
        <f>Table3.110[[#This Row],[GP 8h, ml]]-(AVERAGE(AE$116,AE$117,AE$167,AE$166,AE$219,AE$220))*$AG$8</f>
        <v>21.623728042697874</v>
      </c>
      <c r="AH138" s="94">
        <f>Table3.110[[#This Row],[GP 8-24h, ml]]-(AVERAGE(AF$11,AF$12,AF$62,AF$61,AF$114,AF$115))*$AG$8</f>
        <v>13.81247184961266</v>
      </c>
      <c r="AI138" s="94">
        <f>Table3.110[[#This Row],[Net gas 8-24h, ml]]+Table3.110[[#This Row],[Net gas 8h, ml]]</f>
        <v>35.436199892310533</v>
      </c>
      <c r="AJ138" s="94">
        <f>Table3.110[[#This Row],[Net gas 8h, ml]]*Table3.110[[#This Row],[CH4 8h %]]%</f>
        <v>3.1354405661911913</v>
      </c>
      <c r="AK138" s="94">
        <f>Table3.110[[#This Row],[Net gas 8-24h, ml]]*Table3.110[[#This Row],[CH4 24h, %]]%</f>
        <v>2.6519945951256307</v>
      </c>
      <c r="AL138" s="94">
        <f>Table3.110[[#This Row],[CH4 8-24h, ml]]+Table3.110[[#This Row],[CH4 8h, ml]]</f>
        <v>5.7874351613168216</v>
      </c>
      <c r="AM138" s="94">
        <f>(Table3.110[[#This Row],[Net gas 24h, ml]]/Table3.110[[#This Row],[DM Incubated, mg]])*1000</f>
        <v>74.846340222636826</v>
      </c>
      <c r="AN138" s="94">
        <f>'3.2 Digest'!X138</f>
        <v>24.258533123181518</v>
      </c>
      <c r="AO138" s="94">
        <f>Table3.110[[#This Row],[Digested feed, mg]]/Table3.110[[#This Row],[Net gas 24h, ml]]</f>
        <v>3.2411114626343043</v>
      </c>
      <c r="AP138" s="94">
        <f>Table3.110[[#This Row],[CH4 8h, ml]]/Table3.110[[#This Row],[Net gas 8h, ml]]%</f>
        <v>14.499999999999998</v>
      </c>
      <c r="AQ138" s="94">
        <f>Table3.110[[#This Row],[CH4 24h, ml]]/Table3.110[[#This Row],[Net gas 24h, ml]]%</f>
        <v>16.331985875756008</v>
      </c>
      <c r="AR138" s="94">
        <f>Table3.110[[#This Row],[CH4 24h, ml]]/Table3.110[[#This Row],[DM Incubated, mg]]*1000</f>
        <v>12.223893713681335</v>
      </c>
      <c r="AS138" s="94">
        <f>Table3.110[[#This Row],[CH4 24h, ml]]/Table3.110[[#This Row],[Digested feed, mg]]*1000</f>
        <v>50.390077799057636</v>
      </c>
      <c r="AT138" s="94">
        <f>Table3.110[[#This Row],[CH4 24h, ml]]/'3.2 Digest'!AA138</f>
        <v>-0.49140324489590048</v>
      </c>
      <c r="AU138" s="94">
        <f>((Table3.110[[#This Row],[CH4 24h, ml]]/28.9)*16.04)/Table3.110[[#This Row],[DM Incubated, mg]]*1000</f>
        <v>6.7844724971435495</v>
      </c>
      <c r="AV138" s="94">
        <f>((Table3.110[[#This Row],[CH4 24h, ml]]/28.9)*16.04)/Table3.110[[#This Row],[Digested feed, mg]]*1000</f>
        <v>27.967364979130949</v>
      </c>
      <c r="AW138" s="303"/>
    </row>
    <row r="139" spans="1:49" s="304" customFormat="1" x14ac:dyDescent="0.35">
      <c r="A139" s="89"/>
      <c r="B139" s="90">
        <f t="shared" si="1"/>
        <v>129</v>
      </c>
      <c r="C139" s="140">
        <v>46043</v>
      </c>
      <c r="D139" s="6" t="s">
        <v>16</v>
      </c>
      <c r="E139" s="6" t="s">
        <v>42</v>
      </c>
      <c r="F139" s="133" t="s">
        <v>19</v>
      </c>
      <c r="G139" s="133" t="s">
        <v>20</v>
      </c>
      <c r="H139" s="133" t="s">
        <v>21</v>
      </c>
      <c r="I139" s="6" t="s">
        <v>22</v>
      </c>
      <c r="J139" s="129" t="s">
        <v>23</v>
      </c>
      <c r="K139" s="129" t="s">
        <v>24</v>
      </c>
      <c r="L139" s="6" t="s">
        <v>41</v>
      </c>
      <c r="M139" s="119">
        <v>27</v>
      </c>
      <c r="N139" s="93">
        <v>59</v>
      </c>
      <c r="O139" s="6">
        <v>2</v>
      </c>
      <c r="P139" s="129">
        <v>1</v>
      </c>
      <c r="Q139" s="6">
        <v>309</v>
      </c>
      <c r="R139" s="98">
        <v>0.50009999999999999</v>
      </c>
      <c r="S139" s="94">
        <f>((Table3.110[[#This Row],[Sample weight, g]]*'2.1. DM'!Q25)/100)*1000</f>
        <v>475.03002523680652</v>
      </c>
      <c r="T139" s="94">
        <f>'3.2 Digest'!W139</f>
        <v>82.830025236806534</v>
      </c>
      <c r="U139" s="117">
        <v>0.35972222222222222</v>
      </c>
      <c r="V139" s="155">
        <v>42</v>
      </c>
      <c r="W139" s="117">
        <v>0.68194444444444446</v>
      </c>
      <c r="X139" s="96">
        <v>62</v>
      </c>
      <c r="Y139" s="96">
        <v>13.8</v>
      </c>
      <c r="Z139" s="155">
        <v>40.5</v>
      </c>
      <c r="AA139" s="117">
        <v>0.37430555555555556</v>
      </c>
      <c r="AB139" s="155">
        <v>60</v>
      </c>
      <c r="AC139" s="155">
        <v>19.2</v>
      </c>
      <c r="AD139" s="91"/>
      <c r="AE139" s="94">
        <f>Table3.110[[#This Row],[Gas 8h, ml]]-Table3.110[[#This Row],[Gas 0h, ml]]</f>
        <v>20</v>
      </c>
      <c r="AF139" s="94">
        <f>Table3.110[[#This Row],[Gas 24h, ml]]-Table3.110[[#This Row],[V8 Push back, ml]]</f>
        <v>19.5</v>
      </c>
      <c r="AG139" s="94">
        <f>Table3.110[[#This Row],[GP 8h, ml]]-(AVERAGE(AE$116,AE$117,AE$167,AE$166,AE$219,AE$220))*$AG$8</f>
        <v>17.123728042697874</v>
      </c>
      <c r="AH139" s="94">
        <f>Table3.110[[#This Row],[GP 8-24h, ml]]-(AVERAGE(AF$11,AF$12,AF$62,AF$61,AF$114,AF$115))*$AG$8</f>
        <v>15.81247184961266</v>
      </c>
      <c r="AI139" s="94">
        <f>Table3.110[[#This Row],[Net gas 8-24h, ml]]+Table3.110[[#This Row],[Net gas 8h, ml]]</f>
        <v>32.936199892310533</v>
      </c>
      <c r="AJ139" s="94">
        <f>Table3.110[[#This Row],[Net gas 8h, ml]]*Table3.110[[#This Row],[CH4 8h %]]%</f>
        <v>2.363074469892307</v>
      </c>
      <c r="AK139" s="94">
        <f>Table3.110[[#This Row],[Net gas 8-24h, ml]]*Table3.110[[#This Row],[CH4 24h, %]]%</f>
        <v>3.0359945951256306</v>
      </c>
      <c r="AL139" s="94">
        <f>Table3.110[[#This Row],[CH4 8-24h, ml]]+Table3.110[[#This Row],[CH4 8h, ml]]</f>
        <v>5.3990690650179376</v>
      </c>
      <c r="AM139" s="94">
        <f>(Table3.110[[#This Row],[Net gas 24h, ml]]/Table3.110[[#This Row],[DM Incubated, mg]])*1000</f>
        <v>69.334985458848749</v>
      </c>
      <c r="AN139" s="94">
        <f>'3.2 Digest'!X139</f>
        <v>17.436797851991578</v>
      </c>
      <c r="AO139" s="94">
        <f>Table3.110[[#This Row],[Digested feed, mg]]/Table3.110[[#This Row],[Net gas 24h, ml]]</f>
        <v>2.5148628411180032</v>
      </c>
      <c r="AP139" s="94">
        <f>Table3.110[[#This Row],[CH4 8h, ml]]/Table3.110[[#This Row],[Net gas 8h, ml]]%</f>
        <v>13.800000000000004</v>
      </c>
      <c r="AQ139" s="94">
        <f>Table3.110[[#This Row],[CH4 24h, ml]]/Table3.110[[#This Row],[Net gas 24h, ml]]%</f>
        <v>16.392507583360985</v>
      </c>
      <c r="AR139" s="94">
        <f>Table3.110[[#This Row],[CH4 24h, ml]]/Table3.110[[#This Row],[DM Incubated, mg]]*1000</f>
        <v>11.365742749264019</v>
      </c>
      <c r="AS139" s="94">
        <f>Table3.110[[#This Row],[CH4 24h, ml]]/Table3.110[[#This Row],[Digested feed, mg]]*1000</f>
        <v>65.18251140914532</v>
      </c>
      <c r="AT139" s="94">
        <f>Table3.110[[#This Row],[CH4 24h, ml]]/'3.2 Digest'!AA139</f>
        <v>-0.23647725380846091</v>
      </c>
      <c r="AU139" s="94">
        <f>((Table3.110[[#This Row],[CH4 24h, ml]]/28.9)*16.04)/Table3.110[[#This Row],[DM Incubated, mg]]*1000</f>
        <v>6.3081838649894415</v>
      </c>
      <c r="AV139" s="94">
        <f>((Table3.110[[#This Row],[CH4 24h, ml]]/28.9)*16.04)/Table3.110[[#This Row],[Digested feed, mg]]*1000</f>
        <v>36.177421557186541</v>
      </c>
      <c r="AW139" s="303"/>
    </row>
    <row r="140" spans="1:49" s="304" customFormat="1" x14ac:dyDescent="0.35">
      <c r="A140" s="89"/>
      <c r="B140" s="90">
        <f t="shared" ref="B140:B203" si="2">B139+1</f>
        <v>130</v>
      </c>
      <c r="C140" s="140">
        <v>46043</v>
      </c>
      <c r="D140" s="6" t="s">
        <v>16</v>
      </c>
      <c r="E140" s="6" t="s">
        <v>42</v>
      </c>
      <c r="F140" s="133" t="s">
        <v>19</v>
      </c>
      <c r="G140" s="133" t="s">
        <v>20</v>
      </c>
      <c r="H140" s="133" t="s">
        <v>21</v>
      </c>
      <c r="I140" s="6" t="s">
        <v>22</v>
      </c>
      <c r="J140" s="129" t="s">
        <v>23</v>
      </c>
      <c r="K140" s="129" t="s">
        <v>24</v>
      </c>
      <c r="L140" s="6" t="s">
        <v>41</v>
      </c>
      <c r="M140" s="119">
        <v>27</v>
      </c>
      <c r="N140" s="93">
        <v>59</v>
      </c>
      <c r="O140" s="6">
        <v>2</v>
      </c>
      <c r="P140" s="6">
        <v>2</v>
      </c>
      <c r="Q140" s="6">
        <v>310</v>
      </c>
      <c r="R140" s="98">
        <v>0.5</v>
      </c>
      <c r="S140" s="94">
        <f>((Table3.110[[#This Row],[Sample weight, g]]*'2.1. DM'!Q25)/100)*1000</f>
        <v>474.9350382291608</v>
      </c>
      <c r="T140" s="94">
        <f>'3.2 Digest'!W140</f>
        <v>0</v>
      </c>
      <c r="U140" s="153">
        <v>0.36041666666666666</v>
      </c>
      <c r="V140" s="154">
        <v>40.5</v>
      </c>
      <c r="W140" s="153">
        <v>0.68263888888888891</v>
      </c>
      <c r="X140" s="91">
        <v>55.5</v>
      </c>
      <c r="Y140" s="91">
        <v>18</v>
      </c>
      <c r="Z140" s="154">
        <v>40.5</v>
      </c>
      <c r="AA140" s="153">
        <v>0.37430555555555556</v>
      </c>
      <c r="AB140" s="154">
        <v>57.5</v>
      </c>
      <c r="AC140" s="154">
        <v>19.100000000000001</v>
      </c>
      <c r="AD140" s="101"/>
      <c r="AE140" s="94">
        <f>Table3.110[[#This Row],[Gas 8h, ml]]-Table3.110[[#This Row],[Gas 0h, ml]]</f>
        <v>15</v>
      </c>
      <c r="AF140" s="94">
        <f>Table3.110[[#This Row],[Gas 24h, ml]]-Table3.110[[#This Row],[V8 Push back, ml]]</f>
        <v>17</v>
      </c>
      <c r="AG140" s="94"/>
      <c r="AH140" s="94"/>
      <c r="AI140" s="94"/>
      <c r="AJ140" s="94"/>
      <c r="AK140" s="94"/>
      <c r="AL140" s="94"/>
      <c r="AM140" s="94"/>
      <c r="AN140" s="94"/>
      <c r="AO140" s="94"/>
      <c r="AP140" s="94"/>
      <c r="AQ140" s="94"/>
      <c r="AR140" s="94"/>
      <c r="AS140" s="94"/>
      <c r="AT140" s="94"/>
      <c r="AU140" s="94"/>
      <c r="AV140" s="94"/>
      <c r="AW140" s="303" t="s">
        <v>614</v>
      </c>
    </row>
    <row r="141" spans="1:49" s="304" customFormat="1" x14ac:dyDescent="0.35">
      <c r="A141" s="89"/>
      <c r="B141" s="90">
        <f t="shared" si="2"/>
        <v>131</v>
      </c>
      <c r="C141" s="140">
        <v>46043</v>
      </c>
      <c r="D141" s="6" t="s">
        <v>16</v>
      </c>
      <c r="E141" s="6" t="s">
        <v>42</v>
      </c>
      <c r="F141" s="133" t="s">
        <v>19</v>
      </c>
      <c r="G141" s="133" t="s">
        <v>20</v>
      </c>
      <c r="H141" s="133" t="s">
        <v>21</v>
      </c>
      <c r="I141" s="6" t="s">
        <v>22</v>
      </c>
      <c r="J141" s="129" t="s">
        <v>23</v>
      </c>
      <c r="K141" s="129" t="s">
        <v>24</v>
      </c>
      <c r="L141" s="6" t="s">
        <v>41</v>
      </c>
      <c r="M141" s="119">
        <v>27</v>
      </c>
      <c r="N141" s="93">
        <v>59</v>
      </c>
      <c r="O141" s="6">
        <v>2</v>
      </c>
      <c r="P141" s="129">
        <v>3</v>
      </c>
      <c r="Q141" s="6">
        <v>311</v>
      </c>
      <c r="R141" s="98">
        <v>0.5</v>
      </c>
      <c r="S141" s="94">
        <f>((Table3.110[[#This Row],[Sample weight, g]]*'2.1. DM'!Q25)/100)*1000</f>
        <v>474.9350382291608</v>
      </c>
      <c r="T141" s="94">
        <f>'3.2 Digest'!W141</f>
        <v>88.935038229160796</v>
      </c>
      <c r="U141" s="117">
        <v>0.3611111111111111</v>
      </c>
      <c r="V141" s="155">
        <v>41.5</v>
      </c>
      <c r="W141" s="117">
        <v>0.68263888888888891</v>
      </c>
      <c r="X141" s="96">
        <v>62</v>
      </c>
      <c r="Y141" s="96">
        <v>15.3</v>
      </c>
      <c r="Z141" s="155">
        <v>40</v>
      </c>
      <c r="AA141" s="117">
        <v>0.37430555555555556</v>
      </c>
      <c r="AB141" s="155">
        <v>58</v>
      </c>
      <c r="AC141" s="155">
        <v>19.2</v>
      </c>
      <c r="AD141" s="91"/>
      <c r="AE141" s="94">
        <f>Table3.110[[#This Row],[Gas 8h, ml]]-Table3.110[[#This Row],[Gas 0h, ml]]</f>
        <v>20.5</v>
      </c>
      <c r="AF141" s="94">
        <f>Table3.110[[#This Row],[Gas 24h, ml]]-Table3.110[[#This Row],[V8 Push back, ml]]</f>
        <v>18</v>
      </c>
      <c r="AG141" s="94">
        <f>Table3.110[[#This Row],[GP 8h, ml]]-(AVERAGE(AE$116,AE$117,AE$167,AE$166,AE$219,AE$220))*$AG$8</f>
        <v>17.623728042697874</v>
      </c>
      <c r="AH141" s="94">
        <f>Table3.110[[#This Row],[GP 8-24h, ml]]-(AVERAGE(AF$11,AF$12,AF$62,AF$61,AF$114,AF$115))*$AG$8</f>
        <v>14.31247184961266</v>
      </c>
      <c r="AI141" s="94">
        <f>Table3.110[[#This Row],[Net gas 8-24h, ml]]+Table3.110[[#This Row],[Net gas 8h, ml]]</f>
        <v>31.936199892310533</v>
      </c>
      <c r="AJ141" s="94">
        <f>Table3.110[[#This Row],[Net gas 8h, ml]]*Table3.110[[#This Row],[CH4 8h %]]%</f>
        <v>2.6964303905327744</v>
      </c>
      <c r="AK141" s="94">
        <f>Table3.110[[#This Row],[Net gas 8-24h, ml]]*Table3.110[[#This Row],[CH4 24h, %]]%</f>
        <v>2.7479945951256308</v>
      </c>
      <c r="AL141" s="94">
        <f>Table3.110[[#This Row],[CH4 8-24h, ml]]+Table3.110[[#This Row],[CH4 8h, ml]]</f>
        <v>5.4444249856584053</v>
      </c>
      <c r="AM141" s="94">
        <f>(Table3.110[[#This Row],[Net gas 24h, ml]]/Table3.110[[#This Row],[DM Incubated, mg]])*1000</f>
        <v>67.243301339458142</v>
      </c>
      <c r="AN141" s="94">
        <f>'3.2 Digest'!X141</f>
        <v>18.725726903781055</v>
      </c>
      <c r="AO141" s="94">
        <f>Table3.110[[#This Row],[Digested feed, mg]]/Table3.110[[#This Row],[Net gas 24h, ml]]</f>
        <v>2.7847720933940612</v>
      </c>
      <c r="AP141" s="94">
        <f>Table3.110[[#This Row],[CH4 8h, ml]]/Table3.110[[#This Row],[Net gas 8h, ml]]%</f>
        <v>15.299999999999999</v>
      </c>
      <c r="AQ141" s="94">
        <f>Table3.110[[#This Row],[CH4 24h, ml]]/Table3.110[[#This Row],[Net gas 24h, ml]]%</f>
        <v>17.047817223142104</v>
      </c>
      <c r="AR141" s="94">
        <f>Table3.110[[#This Row],[CH4 24h, ml]]/Table3.110[[#This Row],[DM Incubated, mg]]*1000</f>
        <v>11.463515107157491</v>
      </c>
      <c r="AS141" s="94">
        <f>Table3.110[[#This Row],[CH4 24h, ml]]/Table3.110[[#This Row],[Digested feed, mg]]*1000</f>
        <v>61.21799792371641</v>
      </c>
      <c r="AT141" s="94">
        <f>Table3.110[[#This Row],[CH4 24h, ml]]/'3.2 Digest'!AA141</f>
        <v>-0.26032852932161071</v>
      </c>
      <c r="AU141" s="94">
        <f>((Table3.110[[#This Row],[CH4 24h, ml]]/28.9)*16.04)/Table3.110[[#This Row],[DM Incubated, mg]]*1000</f>
        <v>6.3624492151836041</v>
      </c>
      <c r="AV141" s="94">
        <f>((Table3.110[[#This Row],[CH4 24h, ml]]/28.9)*16.04)/Table3.110[[#This Row],[Digested feed, mg]]*1000</f>
        <v>33.977047982574788</v>
      </c>
      <c r="AW141" s="303"/>
    </row>
    <row r="142" spans="1:49" s="304" customFormat="1" x14ac:dyDescent="0.35">
      <c r="A142" s="89"/>
      <c r="B142" s="90">
        <f t="shared" si="2"/>
        <v>132</v>
      </c>
      <c r="C142" s="140">
        <v>46043</v>
      </c>
      <c r="D142" s="6" t="s">
        <v>16</v>
      </c>
      <c r="E142" s="6" t="s">
        <v>44</v>
      </c>
      <c r="F142" s="133" t="s">
        <v>19</v>
      </c>
      <c r="G142" s="133" t="s">
        <v>20</v>
      </c>
      <c r="H142" s="133" t="s">
        <v>21</v>
      </c>
      <c r="I142" s="6" t="s">
        <v>22</v>
      </c>
      <c r="J142" s="129" t="s">
        <v>23</v>
      </c>
      <c r="K142" s="129" t="s">
        <v>24</v>
      </c>
      <c r="L142" s="6" t="s">
        <v>43</v>
      </c>
      <c r="M142" s="119">
        <v>27</v>
      </c>
      <c r="N142" s="93">
        <v>59</v>
      </c>
      <c r="O142" s="6">
        <v>2</v>
      </c>
      <c r="P142" s="129">
        <v>1</v>
      </c>
      <c r="Q142" s="6">
        <v>312</v>
      </c>
      <c r="R142" s="98">
        <v>0.50019999999999998</v>
      </c>
      <c r="S142" s="94">
        <f>((Table3.110[[#This Row],[Sample weight, g]]*'2.1. DM'!Q27)/100)*1000</f>
        <v>472.90545672596471</v>
      </c>
      <c r="T142" s="94">
        <f>'3.2 Digest'!W142</f>
        <v>96.505456725964734</v>
      </c>
      <c r="U142" s="153">
        <v>0.36180555555555555</v>
      </c>
      <c r="V142" s="154">
        <v>42</v>
      </c>
      <c r="W142" s="153">
        <v>0.68333333333333335</v>
      </c>
      <c r="X142" s="91">
        <v>65</v>
      </c>
      <c r="Y142" s="91">
        <v>13.7</v>
      </c>
      <c r="Z142" s="154">
        <v>40.5</v>
      </c>
      <c r="AA142" s="153">
        <v>0.375</v>
      </c>
      <c r="AB142" s="154">
        <v>61</v>
      </c>
      <c r="AC142" s="154">
        <v>19.3</v>
      </c>
      <c r="AD142" s="96"/>
      <c r="AE142" s="94">
        <f>Table3.110[[#This Row],[Gas 8h, ml]]-Table3.110[[#This Row],[Gas 0h, ml]]</f>
        <v>23</v>
      </c>
      <c r="AF142" s="94">
        <f>Table3.110[[#This Row],[Gas 24h, ml]]-Table3.110[[#This Row],[V8 Push back, ml]]</f>
        <v>20.5</v>
      </c>
      <c r="AG142" s="94">
        <f>Table3.110[[#This Row],[GP 8h, ml]]-(AVERAGE(AE$116,AE$117,AE$167,AE$166,AE$219,AE$220))*$AG$8</f>
        <v>20.123728042697874</v>
      </c>
      <c r="AH142" s="94">
        <f>Table3.110[[#This Row],[GP 8-24h, ml]]-(AVERAGE(AF$11,AF$12,AF$62,AF$61,AF$114,AF$115))*$AG$8</f>
        <v>16.81247184961266</v>
      </c>
      <c r="AI142" s="94">
        <f>Table3.110[[#This Row],[Net gas 8-24h, ml]]+Table3.110[[#This Row],[Net gas 8h, ml]]</f>
        <v>36.936199892310533</v>
      </c>
      <c r="AJ142" s="94">
        <f>Table3.110[[#This Row],[Net gas 8h, ml]]*Table3.110[[#This Row],[CH4 8h %]]%</f>
        <v>2.7569507418496082</v>
      </c>
      <c r="AK142" s="94">
        <f>Table3.110[[#This Row],[Net gas 8-24h, ml]]*Table3.110[[#This Row],[CH4 24h, %]]%</f>
        <v>3.2448070669752433</v>
      </c>
      <c r="AL142" s="94">
        <f>Table3.110[[#This Row],[CH4 8-24h, ml]]+Table3.110[[#This Row],[CH4 8h, ml]]</f>
        <v>6.001757808824852</v>
      </c>
      <c r="AM142" s="94">
        <f>(Table3.110[[#This Row],[Net gas 24h, ml]]/Table3.110[[#This Row],[DM Incubated, mg]])*1000</f>
        <v>78.104829130178572</v>
      </c>
      <c r="AN142" s="94">
        <f>'3.2 Digest'!X142</f>
        <v>20.406923911196674</v>
      </c>
      <c r="AO142" s="94">
        <f>Table3.110[[#This Row],[Digested feed, mg]]/Table3.110[[#This Row],[Net gas 24h, ml]]</f>
        <v>2.6127608418660166</v>
      </c>
      <c r="AP142" s="94">
        <f>Table3.110[[#This Row],[CH4 8h, ml]]/Table3.110[[#This Row],[Net gas 8h, ml]]%</f>
        <v>13.699999999999998</v>
      </c>
      <c r="AQ142" s="94">
        <f>Table3.110[[#This Row],[CH4 24h, ml]]/Table3.110[[#This Row],[Net gas 24h, ml]]%</f>
        <v>16.248985619320067</v>
      </c>
      <c r="AR142" s="94">
        <f>Table3.110[[#This Row],[CH4 24h, ml]]/Table3.110[[#This Row],[DM Incubated, mg]]*1000</f>
        <v>12.691242453357226</v>
      </c>
      <c r="AS142" s="94">
        <f>Table3.110[[#This Row],[CH4 24h, ml]]/Table3.110[[#This Row],[Digested feed, mg]]*1000</f>
        <v>62.190864770137736</v>
      </c>
      <c r="AT142" s="94">
        <f>Table3.110[[#This Row],[CH4 24h, ml]]/'3.2 Digest'!AA142</f>
        <v>-0.40707884539573563</v>
      </c>
      <c r="AU142" s="94">
        <f>((Table3.110[[#This Row],[CH4 24h, ml]]/28.9)*16.04)/Table3.110[[#This Row],[DM Incubated, mg]]*1000</f>
        <v>7.0438591332820035</v>
      </c>
      <c r="AV142" s="94">
        <f>((Table3.110[[#This Row],[CH4 24h, ml]]/28.9)*16.04)/Table3.110[[#This Row],[Digested feed, mg]]*1000</f>
        <v>34.517005913944956</v>
      </c>
      <c r="AW142" s="303"/>
    </row>
    <row r="143" spans="1:49" s="304" customFormat="1" x14ac:dyDescent="0.35">
      <c r="A143" s="89"/>
      <c r="B143" s="90">
        <f t="shared" si="2"/>
        <v>133</v>
      </c>
      <c r="C143" s="140">
        <v>46043</v>
      </c>
      <c r="D143" s="6" t="s">
        <v>16</v>
      </c>
      <c r="E143" s="6" t="s">
        <v>44</v>
      </c>
      <c r="F143" s="133" t="s">
        <v>19</v>
      </c>
      <c r="G143" s="133" t="s">
        <v>20</v>
      </c>
      <c r="H143" s="133" t="s">
        <v>21</v>
      </c>
      <c r="I143" s="6" t="s">
        <v>22</v>
      </c>
      <c r="J143" s="129" t="s">
        <v>23</v>
      </c>
      <c r="K143" s="129" t="s">
        <v>24</v>
      </c>
      <c r="L143" s="6" t="s">
        <v>43</v>
      </c>
      <c r="M143" s="119">
        <v>27</v>
      </c>
      <c r="N143" s="93">
        <v>59</v>
      </c>
      <c r="O143" s="6">
        <v>2</v>
      </c>
      <c r="P143" s="6">
        <v>2</v>
      </c>
      <c r="Q143" s="6">
        <v>313</v>
      </c>
      <c r="R143" s="98">
        <v>0.50029999999999997</v>
      </c>
      <c r="S143" s="94">
        <f>((Table3.110[[#This Row],[Sample weight, g]]*'2.1. DM'!Q27)/100)*1000</f>
        <v>473.00000000000028</v>
      </c>
      <c r="T143" s="94">
        <f>'3.2 Digest'!W143</f>
        <v>96.500000000000341</v>
      </c>
      <c r="U143" s="117">
        <v>0.36249999999999999</v>
      </c>
      <c r="V143" s="155">
        <v>41.5</v>
      </c>
      <c r="W143" s="117">
        <v>0.68333333333333335</v>
      </c>
      <c r="X143" s="96">
        <v>63.5</v>
      </c>
      <c r="Y143" s="96">
        <v>14.4</v>
      </c>
      <c r="Z143" s="155">
        <v>40.5</v>
      </c>
      <c r="AA143" s="117">
        <v>0.375</v>
      </c>
      <c r="AB143" s="155">
        <v>61</v>
      </c>
      <c r="AC143" s="155">
        <v>19.3</v>
      </c>
      <c r="AD143" s="91"/>
      <c r="AE143" s="94">
        <f>Table3.110[[#This Row],[Gas 8h, ml]]-Table3.110[[#This Row],[Gas 0h, ml]]</f>
        <v>22</v>
      </c>
      <c r="AF143" s="94">
        <f>Table3.110[[#This Row],[Gas 24h, ml]]-Table3.110[[#This Row],[V8 Push back, ml]]</f>
        <v>20.5</v>
      </c>
      <c r="AG143" s="94">
        <f>Table3.110[[#This Row],[GP 8h, ml]]-(AVERAGE(AE$116,AE$117,AE$167,AE$166,AE$219,AE$220))*$AG$8</f>
        <v>19.123728042697874</v>
      </c>
      <c r="AH143" s="94">
        <f>Table3.110[[#This Row],[GP 8-24h, ml]]-(AVERAGE(AF$11,AF$12,AF$62,AF$61,AF$114,AF$115))*$AG$8</f>
        <v>16.81247184961266</v>
      </c>
      <c r="AI143" s="94">
        <f>Table3.110[[#This Row],[Net gas 8-24h, ml]]+Table3.110[[#This Row],[Net gas 8h, ml]]</f>
        <v>35.936199892310533</v>
      </c>
      <c r="AJ143" s="94">
        <f>Table3.110[[#This Row],[Net gas 8h, ml]]*Table3.110[[#This Row],[CH4 8h %]]%</f>
        <v>2.7538168381484942</v>
      </c>
      <c r="AK143" s="94">
        <f>Table3.110[[#This Row],[Net gas 8-24h, ml]]*Table3.110[[#This Row],[CH4 24h, %]]%</f>
        <v>3.2448070669752433</v>
      </c>
      <c r="AL143" s="94">
        <f>Table3.110[[#This Row],[CH4 8-24h, ml]]+Table3.110[[#This Row],[CH4 8h, ml]]</f>
        <v>5.998623905123738</v>
      </c>
      <c r="AM143" s="94">
        <f>(Table3.110[[#This Row],[Net gas 24h, ml]]/Table3.110[[#This Row],[DM Incubated, mg]])*1000</f>
        <v>75.975052626449283</v>
      </c>
      <c r="AN143" s="94">
        <f>'3.2 Digest'!X143</f>
        <v>20.401691331923949</v>
      </c>
      <c r="AO143" s="94">
        <f>Table3.110[[#This Row],[Digested feed, mg]]/Table3.110[[#This Row],[Net gas 24h, ml]]</f>
        <v>2.6853145376856884</v>
      </c>
      <c r="AP143" s="94">
        <f>Table3.110[[#This Row],[CH4 8h, ml]]/Table3.110[[#This Row],[Net gas 8h, ml]]%</f>
        <v>14.400000000000002</v>
      </c>
      <c r="AQ143" s="94">
        <f>Table3.110[[#This Row],[CH4 24h, ml]]/Table3.110[[#This Row],[Net gas 24h, ml]]%</f>
        <v>16.692426920764365</v>
      </c>
      <c r="AR143" s="94">
        <f>Table3.110[[#This Row],[CH4 24h, ml]]/Table3.110[[#This Row],[DM Incubated, mg]]*1000</f>
        <v>12.682080137682313</v>
      </c>
      <c r="AS143" s="94">
        <f>Table3.110[[#This Row],[CH4 24h, ml]]/Table3.110[[#This Row],[Digested feed, mg]]*1000</f>
        <v>62.161905752577375</v>
      </c>
      <c r="AT143" s="94">
        <f>Table3.110[[#This Row],[CH4 24h, ml]]/'3.2 Digest'!AA143</f>
        <v>-0.4066582187716351</v>
      </c>
      <c r="AU143" s="94">
        <f>((Table3.110[[#This Row],[CH4 24h, ml]]/28.9)*16.04)/Table3.110[[#This Row],[DM Incubated, mg]]*1000</f>
        <v>7.0387738895648546</v>
      </c>
      <c r="AV143" s="94">
        <f>((Table3.110[[#This Row],[CH4 24h, ml]]/28.9)*16.04)/Table3.110[[#This Row],[Digested feed, mg]]*1000</f>
        <v>34.500933158177894</v>
      </c>
      <c r="AW143" s="303"/>
    </row>
    <row r="144" spans="1:49" s="304" customFormat="1" x14ac:dyDescent="0.35">
      <c r="A144" s="89"/>
      <c r="B144" s="90">
        <f t="shared" si="2"/>
        <v>134</v>
      </c>
      <c r="C144" s="140">
        <v>46043</v>
      </c>
      <c r="D144" s="6" t="s">
        <v>16</v>
      </c>
      <c r="E144" s="6" t="s">
        <v>44</v>
      </c>
      <c r="F144" s="133" t="s">
        <v>19</v>
      </c>
      <c r="G144" s="133" t="s">
        <v>20</v>
      </c>
      <c r="H144" s="133" t="s">
        <v>21</v>
      </c>
      <c r="I144" s="6" t="s">
        <v>22</v>
      </c>
      <c r="J144" s="129" t="s">
        <v>23</v>
      </c>
      <c r="K144" s="129" t="s">
        <v>24</v>
      </c>
      <c r="L144" s="6" t="s">
        <v>43</v>
      </c>
      <c r="M144" s="119">
        <v>27</v>
      </c>
      <c r="N144" s="93">
        <v>59</v>
      </c>
      <c r="O144" s="6">
        <v>2</v>
      </c>
      <c r="P144" s="129">
        <v>3</v>
      </c>
      <c r="Q144" s="6">
        <v>314</v>
      </c>
      <c r="R144" s="98">
        <v>0.50029999999999997</v>
      </c>
      <c r="S144" s="94">
        <f>((Table3.110[[#This Row],[Sample weight, g]]*'2.1. DM'!Q27)/100)*1000</f>
        <v>473.00000000000028</v>
      </c>
      <c r="T144" s="94">
        <f>'3.2 Digest'!W144</f>
        <v>97.900000000000318</v>
      </c>
      <c r="U144" s="153">
        <v>0.36180555555555555</v>
      </c>
      <c r="V144" s="154">
        <v>41.5</v>
      </c>
      <c r="W144" s="153">
        <v>0.68402777777777779</v>
      </c>
      <c r="X144" s="91">
        <v>65</v>
      </c>
      <c r="Y144" s="91">
        <v>14</v>
      </c>
      <c r="Z144" s="154">
        <v>40.5</v>
      </c>
      <c r="AA144" s="153">
        <v>0.37569444444444444</v>
      </c>
      <c r="AB144" s="154">
        <v>61.5</v>
      </c>
      <c r="AC144" s="154">
        <v>19.100000000000001</v>
      </c>
      <c r="AD144" s="96"/>
      <c r="AE144" s="94">
        <f>Table3.110[[#This Row],[Gas 8h, ml]]-Table3.110[[#This Row],[Gas 0h, ml]]</f>
        <v>23.5</v>
      </c>
      <c r="AF144" s="94">
        <f>Table3.110[[#This Row],[Gas 24h, ml]]-Table3.110[[#This Row],[V8 Push back, ml]]</f>
        <v>21</v>
      </c>
      <c r="AG144" s="94">
        <f>Table3.110[[#This Row],[GP 8h, ml]]-(AVERAGE(AE$116,AE$117,AE$167,AE$166,AE$219,AE$220))*$AG$8</f>
        <v>20.623728042697874</v>
      </c>
      <c r="AH144" s="94">
        <f>Table3.110[[#This Row],[GP 8-24h, ml]]-(AVERAGE(AF$11,AF$12,AF$62,AF$61,AF$114,AF$115))*$AG$8</f>
        <v>17.31247184961266</v>
      </c>
      <c r="AI144" s="94">
        <f>Table3.110[[#This Row],[Net gas 8-24h, ml]]+Table3.110[[#This Row],[Net gas 8h, ml]]</f>
        <v>37.936199892310533</v>
      </c>
      <c r="AJ144" s="94">
        <f>Table3.110[[#This Row],[Net gas 8h, ml]]*Table3.110[[#This Row],[CH4 8h %]]%</f>
        <v>2.8873219259777025</v>
      </c>
      <c r="AK144" s="94">
        <f>Table3.110[[#This Row],[Net gas 8-24h, ml]]*Table3.110[[#This Row],[CH4 24h, %]]%</f>
        <v>3.3066821232760182</v>
      </c>
      <c r="AL144" s="94">
        <f>Table3.110[[#This Row],[CH4 8-24h, ml]]+Table3.110[[#This Row],[CH4 8h, ml]]</f>
        <v>6.1940040492537207</v>
      </c>
      <c r="AM144" s="94">
        <f>(Table3.110[[#This Row],[Net gas 24h, ml]]/Table3.110[[#This Row],[DM Incubated, mg]])*1000</f>
        <v>80.203382436174451</v>
      </c>
      <c r="AN144" s="94">
        <f>'3.2 Digest'!X144</f>
        <v>20.697674418604706</v>
      </c>
      <c r="AO144" s="94">
        <f>Table3.110[[#This Row],[Digested feed, mg]]/Table3.110[[#This Row],[Net gas 24h, ml]]</f>
        <v>2.5806485699123525</v>
      </c>
      <c r="AP144" s="94">
        <f>Table3.110[[#This Row],[CH4 8h, ml]]/Table3.110[[#This Row],[Net gas 8h, ml]]%</f>
        <v>14.000000000000002</v>
      </c>
      <c r="AQ144" s="94">
        <f>Table3.110[[#This Row],[CH4 24h, ml]]/Table3.110[[#This Row],[Net gas 24h, ml]]%</f>
        <v>16.327423587066274</v>
      </c>
      <c r="AR144" s="94">
        <f>Table3.110[[#This Row],[CH4 24h, ml]]/Table3.110[[#This Row],[DM Incubated, mg]]*1000</f>
        <v>13.095145981508916</v>
      </c>
      <c r="AS144" s="94">
        <f>Table3.110[[#This Row],[CH4 24h, ml]]/Table3.110[[#This Row],[Digested feed, mg]]*1000</f>
        <v>63.268682832009205</v>
      </c>
      <c r="AT144" s="94">
        <f>Table3.110[[#This Row],[CH4 24h, ml]]/'3.2 Digest'!AA144</f>
        <v>-0.43241161540678874</v>
      </c>
      <c r="AU144" s="94">
        <f>((Table3.110[[#This Row],[CH4 24h, ml]]/28.9)*16.04)/Table3.110[[#This Row],[DM Incubated, mg]]*1000</f>
        <v>7.2680325793565057</v>
      </c>
      <c r="AV144" s="94">
        <f>((Table3.110[[#This Row],[CH4 24h, ml]]/28.9)*16.04)/Table3.110[[#This Row],[Digested feed, mg]]*1000</f>
        <v>35.115213585654935</v>
      </c>
      <c r="AW144" s="303"/>
    </row>
    <row r="145" spans="1:49" s="304" customFormat="1" x14ac:dyDescent="0.35">
      <c r="A145" s="89"/>
      <c r="B145" s="90">
        <f t="shared" si="2"/>
        <v>135</v>
      </c>
      <c r="C145" s="140">
        <v>46043</v>
      </c>
      <c r="D145" s="6" t="s">
        <v>16</v>
      </c>
      <c r="E145" s="6" t="s">
        <v>46</v>
      </c>
      <c r="F145" s="133" t="s">
        <v>19</v>
      </c>
      <c r="G145" s="133" t="s">
        <v>20</v>
      </c>
      <c r="H145" s="133" t="s">
        <v>21</v>
      </c>
      <c r="I145" s="6" t="s">
        <v>22</v>
      </c>
      <c r="J145" s="129" t="s">
        <v>23</v>
      </c>
      <c r="K145" s="129" t="s">
        <v>24</v>
      </c>
      <c r="L145" s="6" t="s">
        <v>45</v>
      </c>
      <c r="M145" s="119">
        <v>27</v>
      </c>
      <c r="N145" s="93">
        <v>59</v>
      </c>
      <c r="O145" s="6">
        <v>2</v>
      </c>
      <c r="P145" s="129">
        <v>1</v>
      </c>
      <c r="Q145" s="6">
        <v>315</v>
      </c>
      <c r="R145" s="98">
        <v>0.50029999999999997</v>
      </c>
      <c r="S145" s="94">
        <f>((Table3.110[[#This Row],[Sample weight, g]]*'2.1. DM'!Q29)/100)*1000</f>
        <v>471.22078626412053</v>
      </c>
      <c r="T145" s="94">
        <f>'3.2 Digest'!W145</f>
        <v>97.3207862641205</v>
      </c>
      <c r="U145" s="117">
        <v>0.36249999999999999</v>
      </c>
      <c r="V145" s="155">
        <v>40</v>
      </c>
      <c r="W145" s="117">
        <v>0.68402777777777779</v>
      </c>
      <c r="X145" s="96">
        <v>62.5</v>
      </c>
      <c r="Y145" s="96">
        <v>15.5</v>
      </c>
      <c r="Z145" s="155">
        <v>40</v>
      </c>
      <c r="AA145" s="117">
        <v>0.37638888888888888</v>
      </c>
      <c r="AB145" s="155">
        <v>56</v>
      </c>
      <c r="AC145" s="155">
        <v>19.100000000000001</v>
      </c>
      <c r="AD145" s="91"/>
      <c r="AE145" s="94">
        <f>Table3.110[[#This Row],[Gas 8h, ml]]-Table3.110[[#This Row],[Gas 0h, ml]]</f>
        <v>22.5</v>
      </c>
      <c r="AF145" s="94">
        <f>Table3.110[[#This Row],[Gas 24h, ml]]-Table3.110[[#This Row],[V8 Push back, ml]]</f>
        <v>16</v>
      </c>
      <c r="AG145" s="94">
        <f>Table3.110[[#This Row],[GP 8h, ml]]-(AVERAGE(AE$116,AE$117,AE$167,AE$166,AE$219,AE$220))*$AG$8</f>
        <v>19.623728042697874</v>
      </c>
      <c r="AH145" s="94">
        <f>Table3.110[[#This Row],[GP 8-24h, ml]]-(AVERAGE(AF$11,AF$12,AF$62,AF$61,AF$114,AF$115))*$AG$8</f>
        <v>12.31247184961266</v>
      </c>
      <c r="AI145" s="94">
        <f>Table3.110[[#This Row],[Net gas 8-24h, ml]]+Table3.110[[#This Row],[Net gas 8h, ml]]</f>
        <v>31.936199892310533</v>
      </c>
      <c r="AJ145" s="94">
        <f>Table3.110[[#This Row],[Net gas 8h, ml]]*Table3.110[[#This Row],[CH4 8h %]]%</f>
        <v>3.0416778466181702</v>
      </c>
      <c r="AK145" s="94">
        <f>Table3.110[[#This Row],[Net gas 8-24h, ml]]*Table3.110[[#This Row],[CH4 24h, %]]%</f>
        <v>2.3516821232760181</v>
      </c>
      <c r="AL145" s="94">
        <f>Table3.110[[#This Row],[CH4 8-24h, ml]]+Table3.110[[#This Row],[CH4 8h, ml]]</f>
        <v>5.3933599698941883</v>
      </c>
      <c r="AM145" s="94">
        <f>(Table3.110[[#This Row],[Net gas 24h, ml]]/Table3.110[[#This Row],[DM Incubated, mg]])*1000</f>
        <v>67.773325844777574</v>
      </c>
      <c r="AN145" s="94">
        <f>'3.2 Digest'!X145</f>
        <v>20.652906047648742</v>
      </c>
      <c r="AO145" s="94">
        <f>Table3.110[[#This Row],[Digested feed, mg]]/Table3.110[[#This Row],[Net gas 24h, ml]]</f>
        <v>3.0473502355411108</v>
      </c>
      <c r="AP145" s="94">
        <f>Table3.110[[#This Row],[CH4 8h, ml]]/Table3.110[[#This Row],[Net gas 8h, ml]]%</f>
        <v>15.499999999999998</v>
      </c>
      <c r="AQ145" s="94">
        <f>Table3.110[[#This Row],[CH4 24h, ml]]/Table3.110[[#This Row],[Net gas 24h, ml]]%</f>
        <v>16.887920253758114</v>
      </c>
      <c r="AR145" s="94">
        <f>Table3.110[[#This Row],[CH4 24h, ml]]/Table3.110[[#This Row],[DM Incubated, mg]]*1000</f>
        <v>11.445505221985679</v>
      </c>
      <c r="AS145" s="94">
        <f>Table3.110[[#This Row],[CH4 24h, ml]]/Table3.110[[#This Row],[Digested feed, mg]]*1000</f>
        <v>55.418376453074053</v>
      </c>
      <c r="AT145" s="94">
        <f>Table3.110[[#This Row],[CH4 24h, ml]]/'3.2 Digest'!AA145</f>
        <v>-0.19471508088217923</v>
      </c>
      <c r="AU145" s="94">
        <f>((Table3.110[[#This Row],[CH4 24h, ml]]/28.9)*16.04)/Table3.110[[#This Row],[DM Incubated, mg]]*1000</f>
        <v>6.352453417323539</v>
      </c>
      <c r="AV145" s="94">
        <f>((Table3.110[[#This Row],[CH4 24h, ml]]/28.9)*16.04)/Table3.110[[#This Row],[Digested feed, mg]]*1000</f>
        <v>30.758157726896467</v>
      </c>
      <c r="AW145" s="303"/>
    </row>
    <row r="146" spans="1:49" s="304" customFormat="1" x14ac:dyDescent="0.35">
      <c r="A146" s="89"/>
      <c r="B146" s="90">
        <f t="shared" si="2"/>
        <v>136</v>
      </c>
      <c r="C146" s="140">
        <v>46043</v>
      </c>
      <c r="D146" s="6" t="s">
        <v>16</v>
      </c>
      <c r="E146" s="6" t="s">
        <v>46</v>
      </c>
      <c r="F146" s="133" t="s">
        <v>19</v>
      </c>
      <c r="G146" s="133" t="s">
        <v>20</v>
      </c>
      <c r="H146" s="133" t="s">
        <v>21</v>
      </c>
      <c r="I146" s="6" t="s">
        <v>22</v>
      </c>
      <c r="J146" s="129" t="s">
        <v>23</v>
      </c>
      <c r="K146" s="129" t="s">
        <v>24</v>
      </c>
      <c r="L146" s="6" t="s">
        <v>45</v>
      </c>
      <c r="M146" s="119">
        <v>27</v>
      </c>
      <c r="N146" s="93">
        <v>59</v>
      </c>
      <c r="O146" s="6">
        <v>2</v>
      </c>
      <c r="P146" s="6">
        <v>2</v>
      </c>
      <c r="Q146" s="6">
        <v>316</v>
      </c>
      <c r="R146" s="98">
        <v>0.5</v>
      </c>
      <c r="S146" s="94">
        <f>((Table3.110[[#This Row],[Sample weight, g]]*'2.1. DM'!Q29)/100)*1000</f>
        <v>470.93822333012247</v>
      </c>
      <c r="T146" s="94">
        <f>'3.2 Digest'!W146</f>
        <v>54.638223330122457</v>
      </c>
      <c r="U146" s="153">
        <v>0.36249999999999999</v>
      </c>
      <c r="V146" s="154">
        <v>41</v>
      </c>
      <c r="W146" s="153">
        <v>0.68472222222222223</v>
      </c>
      <c r="X146" s="91">
        <v>66</v>
      </c>
      <c r="Y146" s="91">
        <v>14.2</v>
      </c>
      <c r="Z146" s="154">
        <v>40</v>
      </c>
      <c r="AA146" s="153">
        <v>0.37638888888888888</v>
      </c>
      <c r="AB146" s="154">
        <v>55.5</v>
      </c>
      <c r="AC146" s="154">
        <v>18.3</v>
      </c>
      <c r="AD146" s="96"/>
      <c r="AE146" s="94">
        <f>Table3.110[[#This Row],[Gas 8h, ml]]-Table3.110[[#This Row],[Gas 0h, ml]]</f>
        <v>25</v>
      </c>
      <c r="AF146" s="94">
        <f>Table3.110[[#This Row],[Gas 24h, ml]]-Table3.110[[#This Row],[V8 Push back, ml]]</f>
        <v>15.5</v>
      </c>
      <c r="AG146" s="94">
        <f>Table3.110[[#This Row],[GP 8h, ml]]-(AVERAGE(AE$116,AE$117,AE$167,AE$166,AE$219,AE$220))*$AG$8</f>
        <v>22.123728042697874</v>
      </c>
      <c r="AH146" s="94">
        <f>Table3.110[[#This Row],[GP 8-24h, ml]]-(AVERAGE(AF$11,AF$12,AF$62,AF$61,AF$114,AF$115))*$AG$8</f>
        <v>11.81247184961266</v>
      </c>
      <c r="AI146" s="94">
        <f>Table3.110[[#This Row],[Net gas 8-24h, ml]]+Table3.110[[#This Row],[Net gas 8h, ml]]</f>
        <v>33.936199892310533</v>
      </c>
      <c r="AJ146" s="94">
        <f>Table3.110[[#This Row],[Net gas 8h, ml]]*Table3.110[[#This Row],[CH4 8h %]]%</f>
        <v>3.1415693820630977</v>
      </c>
      <c r="AK146" s="94">
        <f>Table3.110[[#This Row],[Net gas 8-24h, ml]]*Table3.110[[#This Row],[CH4 24h, %]]%</f>
        <v>2.1616823484791166</v>
      </c>
      <c r="AL146" s="94">
        <f>Table3.110[[#This Row],[CH4 8-24h, ml]]+Table3.110[[#This Row],[CH4 8h, ml]]</f>
        <v>5.3032517305422147</v>
      </c>
      <c r="AM146" s="94">
        <f>(Table3.110[[#This Row],[Net gas 24h, ml]]/Table3.110[[#This Row],[DM Incubated, mg]])*1000</f>
        <v>72.060831359873788</v>
      </c>
      <c r="AN146" s="94">
        <f>'3.2 Digest'!X146</f>
        <v>11.601993769747942</v>
      </c>
      <c r="AO146" s="94">
        <f>Table3.110[[#This Row],[Digested feed, mg]]/Table3.110[[#This Row],[Net gas 24h, ml]]</f>
        <v>1.610027743339133</v>
      </c>
      <c r="AP146" s="94">
        <f>Table3.110[[#This Row],[CH4 8h, ml]]/Table3.110[[#This Row],[Net gas 8h, ml]]%</f>
        <v>14.199999999999998</v>
      </c>
      <c r="AQ146" s="94">
        <f>Table3.110[[#This Row],[CH4 24h, ml]]/Table3.110[[#This Row],[Net gas 24h, ml]]%</f>
        <v>15.627123093837792</v>
      </c>
      <c r="AR146" s="94">
        <f>Table3.110[[#This Row],[CH4 24h, ml]]/Table3.110[[#This Row],[DM Incubated, mg]]*1000</f>
        <v>11.261034819050341</v>
      </c>
      <c r="AS146" s="94">
        <f>Table3.110[[#This Row],[CH4 24h, ml]]/Table3.110[[#This Row],[Digested feed, mg]]*1000</f>
        <v>97.061203811480681</v>
      </c>
      <c r="AT146" s="94">
        <f>Table3.110[[#This Row],[CH4 24h, ml]]/'3.2 Digest'!AA146</f>
        <v>-0.12547625600969062</v>
      </c>
      <c r="AU146" s="94">
        <f>((Table3.110[[#This Row],[CH4 24h, ml]]/28.9)*16.04)/Table3.110[[#This Row],[DM Incubated, mg]]*1000</f>
        <v>6.2500691521649641</v>
      </c>
      <c r="AV146" s="94">
        <f>((Table3.110[[#This Row],[CH4 24h, ml]]/28.9)*16.04)/Table3.110[[#This Row],[Digested feed, mg]]*1000</f>
        <v>53.870647374953293</v>
      </c>
      <c r="AW146" s="303"/>
    </row>
    <row r="147" spans="1:49" s="304" customFormat="1" x14ac:dyDescent="0.35">
      <c r="A147" s="89"/>
      <c r="B147" s="90">
        <f t="shared" si="2"/>
        <v>137</v>
      </c>
      <c r="C147" s="140">
        <v>46043</v>
      </c>
      <c r="D147" s="6" t="s">
        <v>16</v>
      </c>
      <c r="E147" s="6" t="s">
        <v>46</v>
      </c>
      <c r="F147" s="133" t="s">
        <v>19</v>
      </c>
      <c r="G147" s="133" t="s">
        <v>20</v>
      </c>
      <c r="H147" s="133" t="s">
        <v>21</v>
      </c>
      <c r="I147" s="6" t="s">
        <v>22</v>
      </c>
      <c r="J147" s="129" t="s">
        <v>23</v>
      </c>
      <c r="K147" s="129" t="s">
        <v>24</v>
      </c>
      <c r="L147" s="6" t="s">
        <v>45</v>
      </c>
      <c r="M147" s="119">
        <v>27</v>
      </c>
      <c r="N147" s="93">
        <v>59</v>
      </c>
      <c r="O147" s="6">
        <v>2</v>
      </c>
      <c r="P147" s="129">
        <v>3</v>
      </c>
      <c r="Q147" s="6">
        <v>317</v>
      </c>
      <c r="R147" s="98">
        <v>0.50039999999999996</v>
      </c>
      <c r="S147" s="94">
        <f>((Table3.110[[#This Row],[Sample weight, g]]*'2.1. DM'!Q29)/100)*1000</f>
        <v>471.31497390878656</v>
      </c>
      <c r="T147" s="94">
        <f>'3.2 Digest'!W147</f>
        <v>38.814973908786556</v>
      </c>
      <c r="U147" s="117">
        <v>0.36319444444444443</v>
      </c>
      <c r="V147" s="155">
        <v>41</v>
      </c>
      <c r="W147" s="117">
        <v>0.68472222222222223</v>
      </c>
      <c r="X147" s="96">
        <v>66.5</v>
      </c>
      <c r="Y147" s="96">
        <v>13.9</v>
      </c>
      <c r="Z147" s="155">
        <v>40.5</v>
      </c>
      <c r="AA147" s="117">
        <v>0.37708333333333333</v>
      </c>
      <c r="AB147" s="155">
        <v>56</v>
      </c>
      <c r="AC147" s="155">
        <v>18.100000000000001</v>
      </c>
      <c r="AD147" s="91"/>
      <c r="AE147" s="94"/>
      <c r="AF147" s="94"/>
      <c r="AG147" s="94"/>
      <c r="AH147" s="94"/>
      <c r="AI147" s="94"/>
      <c r="AJ147" s="94"/>
      <c r="AK147" s="94"/>
      <c r="AL147" s="94"/>
      <c r="AM147" s="94"/>
      <c r="AN147" s="94"/>
      <c r="AO147" s="94"/>
      <c r="AP147" s="94"/>
      <c r="AQ147" s="94"/>
      <c r="AR147" s="94"/>
      <c r="AS147" s="94"/>
      <c r="AT147" s="94"/>
      <c r="AU147" s="94"/>
      <c r="AV147" s="94"/>
      <c r="AW147" s="303" t="s">
        <v>615</v>
      </c>
    </row>
    <row r="148" spans="1:49" s="304" customFormat="1" x14ac:dyDescent="0.35">
      <c r="A148" s="89"/>
      <c r="B148" s="90">
        <f t="shared" si="2"/>
        <v>138</v>
      </c>
      <c r="C148" s="140">
        <v>46043</v>
      </c>
      <c r="D148" s="6" t="s">
        <v>16</v>
      </c>
      <c r="E148" s="6" t="s">
        <v>48</v>
      </c>
      <c r="F148" s="133" t="s">
        <v>19</v>
      </c>
      <c r="G148" s="133" t="s">
        <v>20</v>
      </c>
      <c r="H148" s="133" t="s">
        <v>21</v>
      </c>
      <c r="I148" s="6" t="s">
        <v>22</v>
      </c>
      <c r="J148" s="129" t="s">
        <v>23</v>
      </c>
      <c r="K148" s="129" t="s">
        <v>24</v>
      </c>
      <c r="L148" s="6" t="s">
        <v>47</v>
      </c>
      <c r="M148" s="119">
        <v>27</v>
      </c>
      <c r="N148" s="93">
        <v>59</v>
      </c>
      <c r="O148" s="6">
        <v>2</v>
      </c>
      <c r="P148" s="129">
        <v>1</v>
      </c>
      <c r="Q148" s="6">
        <v>318</v>
      </c>
      <c r="R148" s="98">
        <v>0.50029999999999997</v>
      </c>
      <c r="S148" s="94">
        <f>((Table3.110[[#This Row],[Sample weight, g]]*'2.1. DM'!Q31)/100)*1000</f>
        <v>467.91393713037724</v>
      </c>
      <c r="T148" s="94">
        <f>'3.2 Digest'!W148</f>
        <v>119.81393713037716</v>
      </c>
      <c r="U148" s="153">
        <v>0.36319444444444443</v>
      </c>
      <c r="V148" s="154">
        <v>40.5</v>
      </c>
      <c r="W148" s="153">
        <v>0.68541666666666667</v>
      </c>
      <c r="X148" s="91">
        <v>63.5</v>
      </c>
      <c r="Y148" s="91">
        <v>16.2</v>
      </c>
      <c r="Z148" s="154">
        <v>40.5</v>
      </c>
      <c r="AA148" s="153">
        <v>0.37777777777777777</v>
      </c>
      <c r="AB148" s="154">
        <v>61.5</v>
      </c>
      <c r="AC148" s="154">
        <v>18</v>
      </c>
      <c r="AD148" s="96"/>
      <c r="AE148" s="94">
        <f>Table3.110[[#This Row],[Gas 8h, ml]]-Table3.110[[#This Row],[Gas 0h, ml]]</f>
        <v>23</v>
      </c>
      <c r="AF148" s="94">
        <f>Table3.110[[#This Row],[Gas 24h, ml]]-Table3.110[[#This Row],[V8 Push back, ml]]</f>
        <v>21</v>
      </c>
      <c r="AG148" s="94">
        <f>Table3.110[[#This Row],[GP 8h, ml]]-(AVERAGE(AE$116,AE$117,AE$167,AE$166,AE$219,AE$220))*$AG$8</f>
        <v>20.123728042697874</v>
      </c>
      <c r="AH148" s="94">
        <f>Table3.110[[#This Row],[GP 8-24h, ml]]-(AVERAGE(AF$11,AF$12,AF$62,AF$61,AF$114,AF$115))*$AG$8</f>
        <v>17.31247184961266</v>
      </c>
      <c r="AI148" s="94">
        <f>Table3.110[[#This Row],[Net gas 8-24h, ml]]+Table3.110[[#This Row],[Net gas 8h, ml]]</f>
        <v>37.436199892310533</v>
      </c>
      <c r="AJ148" s="94">
        <f>Table3.110[[#This Row],[Net gas 8h, ml]]*Table3.110[[#This Row],[CH4 8h %]]%</f>
        <v>3.2600439429170556</v>
      </c>
      <c r="AK148" s="94">
        <f>Table3.110[[#This Row],[Net gas 8-24h, ml]]*Table3.110[[#This Row],[CH4 24h, %]]%</f>
        <v>3.1162449329302788</v>
      </c>
      <c r="AL148" s="94">
        <f>Table3.110[[#This Row],[CH4 8-24h, ml]]+Table3.110[[#This Row],[CH4 8h, ml]]</f>
        <v>6.3762888758473348</v>
      </c>
      <c r="AM148" s="94">
        <f>(Table3.110[[#This Row],[Net gas 24h, ml]]/Table3.110[[#This Row],[DM Incubated, mg]])*1000</f>
        <v>80.0065929258258</v>
      </c>
      <c r="AN148" s="94">
        <f>'3.2 Digest'!X148</f>
        <v>25.605977429347821</v>
      </c>
      <c r="AO148" s="94">
        <f>Table3.110[[#This Row],[Digested feed, mg]]/Table3.110[[#This Row],[Net gas 24h, ml]]</f>
        <v>3.2004834217958957</v>
      </c>
      <c r="AP148" s="94">
        <f>Table3.110[[#This Row],[CH4 8h, ml]]/Table3.110[[#This Row],[Net gas 8h, ml]]%</f>
        <v>16.2</v>
      </c>
      <c r="AQ148" s="94">
        <f>Table3.110[[#This Row],[CH4 24h, ml]]/Table3.110[[#This Row],[Net gas 24h, ml]]%</f>
        <v>17.032414866331123</v>
      </c>
      <c r="AR148" s="94">
        <f>Table3.110[[#This Row],[CH4 24h, ml]]/Table3.110[[#This Row],[DM Incubated, mg]]*1000</f>
        <v>13.627054827543375</v>
      </c>
      <c r="AS148" s="94">
        <f>Table3.110[[#This Row],[CH4 24h, ml]]/Table3.110[[#This Row],[Digested feed, mg]]*1000</f>
        <v>53.218256811883997</v>
      </c>
      <c r="AT148" s="94">
        <f>Table3.110[[#This Row],[CH4 24h, ml]]/'3.2 Digest'!AA148</f>
        <v>-0.26517557432527067</v>
      </c>
      <c r="AU148" s="94">
        <f>((Table3.110[[#This Row],[CH4 24h, ml]]/28.9)*16.04)/Table3.110[[#This Row],[DM Incubated, mg]]*1000</f>
        <v>7.5632511914808216</v>
      </c>
      <c r="AV148" s="94">
        <f>((Table3.110[[#This Row],[CH4 24h, ml]]/28.9)*16.04)/Table3.110[[#This Row],[Digested feed, mg]]*1000</f>
        <v>29.537053261682328</v>
      </c>
      <c r="AW148" s="303"/>
    </row>
    <row r="149" spans="1:49" s="304" customFormat="1" x14ac:dyDescent="0.35">
      <c r="A149" s="89"/>
      <c r="B149" s="90">
        <f t="shared" si="2"/>
        <v>139</v>
      </c>
      <c r="C149" s="140">
        <v>46043</v>
      </c>
      <c r="D149" s="6" t="s">
        <v>16</v>
      </c>
      <c r="E149" s="6" t="s">
        <v>48</v>
      </c>
      <c r="F149" s="133" t="s">
        <v>19</v>
      </c>
      <c r="G149" s="133" t="s">
        <v>20</v>
      </c>
      <c r="H149" s="133" t="s">
        <v>21</v>
      </c>
      <c r="I149" s="6" t="s">
        <v>22</v>
      </c>
      <c r="J149" s="129" t="s">
        <v>23</v>
      </c>
      <c r="K149" s="129" t="s">
        <v>24</v>
      </c>
      <c r="L149" s="6" t="s">
        <v>47</v>
      </c>
      <c r="M149" s="119">
        <v>27</v>
      </c>
      <c r="N149" s="93">
        <v>59</v>
      </c>
      <c r="O149" s="6">
        <v>2</v>
      </c>
      <c r="P149" s="6">
        <v>2</v>
      </c>
      <c r="Q149" s="6">
        <v>319</v>
      </c>
      <c r="R149" s="98">
        <v>0.50039999999999996</v>
      </c>
      <c r="S149" s="94">
        <f>((Table3.110[[#This Row],[Sample weight, g]]*'2.1. DM'!Q31)/100)*1000</f>
        <v>468.00746380180044</v>
      </c>
      <c r="T149" s="94">
        <f>'3.2 Digest'!W149</f>
        <v>127.20746380180043</v>
      </c>
      <c r="U149" s="117">
        <v>0.36388888888888887</v>
      </c>
      <c r="V149" s="155">
        <v>40.5</v>
      </c>
      <c r="W149" s="117">
        <v>0.68541666666666667</v>
      </c>
      <c r="X149" s="96">
        <v>65.5</v>
      </c>
      <c r="Y149" s="96">
        <v>15.1</v>
      </c>
      <c r="Z149" s="155">
        <v>40</v>
      </c>
      <c r="AA149" s="117">
        <v>0.37777777777777777</v>
      </c>
      <c r="AB149" s="155">
        <v>60.5</v>
      </c>
      <c r="AC149" s="155">
        <v>17.600000000000001</v>
      </c>
      <c r="AD149" s="91"/>
      <c r="AE149" s="94">
        <f>Table3.110[[#This Row],[Gas 8h, ml]]-Table3.110[[#This Row],[Gas 0h, ml]]</f>
        <v>25</v>
      </c>
      <c r="AF149" s="94">
        <f>Table3.110[[#This Row],[Gas 24h, ml]]-Table3.110[[#This Row],[V8 Push back, ml]]</f>
        <v>20.5</v>
      </c>
      <c r="AG149" s="94">
        <f>Table3.110[[#This Row],[GP 8h, ml]]-(AVERAGE(AE$116,AE$117,AE$167,AE$166,AE$219,AE$220))*$AG$8</f>
        <v>22.123728042697874</v>
      </c>
      <c r="AH149" s="94">
        <f>Table3.110[[#This Row],[GP 8-24h, ml]]-(AVERAGE(AF$11,AF$12,AF$62,AF$61,AF$114,AF$115))*$AG$8</f>
        <v>16.81247184961266</v>
      </c>
      <c r="AI149" s="94">
        <f>Table3.110[[#This Row],[Net gas 8-24h, ml]]+Table3.110[[#This Row],[Net gas 8h, ml]]</f>
        <v>38.936199892310533</v>
      </c>
      <c r="AJ149" s="94">
        <f>Table3.110[[#This Row],[Net gas 8h, ml]]*Table3.110[[#This Row],[CH4 8h %]]%</f>
        <v>3.3406829344473787</v>
      </c>
      <c r="AK149" s="94">
        <f>Table3.110[[#This Row],[Net gas 8-24h, ml]]*Table3.110[[#This Row],[CH4 24h, %]]%</f>
        <v>2.9589950455318283</v>
      </c>
      <c r="AL149" s="94">
        <f>Table3.110[[#This Row],[CH4 8-24h, ml]]+Table3.110[[#This Row],[CH4 8h, ml]]</f>
        <v>6.2996779799792071</v>
      </c>
      <c r="AM149" s="94">
        <f>(Table3.110[[#This Row],[Net gas 24h, ml]]/Table3.110[[#This Row],[DM Incubated, mg]])*1000</f>
        <v>83.195681487677902</v>
      </c>
      <c r="AN149" s="94">
        <f>'3.2 Digest'!X149</f>
        <v>27.180648523945838</v>
      </c>
      <c r="AO149" s="94">
        <f>Table3.110[[#This Row],[Digested feed, mg]]/Table3.110[[#This Row],[Net gas 24h, ml]]</f>
        <v>3.2670744488067642</v>
      </c>
      <c r="AP149" s="94">
        <f>Table3.110[[#This Row],[CH4 8h, ml]]/Table3.110[[#This Row],[Net gas 8h, ml]]%</f>
        <v>15.1</v>
      </c>
      <c r="AQ149" s="94">
        <f>Table3.110[[#This Row],[CH4 24h, ml]]/Table3.110[[#This Row],[Net gas 24h, ml]]%</f>
        <v>16.179488489895807</v>
      </c>
      <c r="AR149" s="94">
        <f>Table3.110[[#This Row],[CH4 24h, ml]]/Table3.110[[#This Row],[DM Incubated, mg]]*1000</f>
        <v>13.460635710389223</v>
      </c>
      <c r="AS149" s="94">
        <f>Table3.110[[#This Row],[CH4 24h, ml]]/Table3.110[[#This Row],[Digested feed, mg]]*1000</f>
        <v>49.52286439571359</v>
      </c>
      <c r="AT149" s="94">
        <f>Table3.110[[#This Row],[CH4 24h, ml]]/'3.2 Digest'!AA149</f>
        <v>-0.2941038536726891</v>
      </c>
      <c r="AU149" s="94">
        <f>((Table3.110[[#This Row],[CH4 24h, ml]]/28.9)*16.04)/Table3.110[[#This Row],[DM Incubated, mg]]*1000</f>
        <v>7.4708857022367869</v>
      </c>
      <c r="AV149" s="94">
        <f>((Table3.110[[#This Row],[CH4 24h, ml]]/28.9)*16.04)/Table3.110[[#This Row],[Digested feed, mg]]*1000</f>
        <v>27.486046536582904</v>
      </c>
      <c r="AW149" s="303"/>
    </row>
    <row r="150" spans="1:49" s="304" customFormat="1" x14ac:dyDescent="0.35">
      <c r="A150" s="89"/>
      <c r="B150" s="90">
        <f t="shared" si="2"/>
        <v>140</v>
      </c>
      <c r="C150" s="140">
        <v>46043</v>
      </c>
      <c r="D150" s="6" t="s">
        <v>16</v>
      </c>
      <c r="E150" s="6" t="s">
        <v>48</v>
      </c>
      <c r="F150" s="133" t="s">
        <v>19</v>
      </c>
      <c r="G150" s="133" t="s">
        <v>20</v>
      </c>
      <c r="H150" s="133" t="s">
        <v>21</v>
      </c>
      <c r="I150" s="6" t="s">
        <v>22</v>
      </c>
      <c r="J150" s="129" t="s">
        <v>23</v>
      </c>
      <c r="K150" s="129" t="s">
        <v>24</v>
      </c>
      <c r="L150" s="6" t="s">
        <v>47</v>
      </c>
      <c r="M150" s="119">
        <v>27</v>
      </c>
      <c r="N150" s="93">
        <v>59</v>
      </c>
      <c r="O150" s="6">
        <v>2</v>
      </c>
      <c r="P150" s="129">
        <v>3</v>
      </c>
      <c r="Q150" s="6">
        <v>320</v>
      </c>
      <c r="R150" s="98">
        <v>0.50009999999999999</v>
      </c>
      <c r="S150" s="94">
        <f>((Table3.110[[#This Row],[Sample weight, g]]*'2.1. DM'!Q31)/100)*1000</f>
        <v>467.72688378753082</v>
      </c>
      <c r="T150" s="94">
        <f>'3.2 Digest'!W150</f>
        <v>96.926883787530812</v>
      </c>
      <c r="U150" s="153">
        <v>0.36388888888888887</v>
      </c>
      <c r="V150" s="154">
        <v>41</v>
      </c>
      <c r="W150" s="153">
        <v>0.68611111111111112</v>
      </c>
      <c r="X150" s="91">
        <v>67.5</v>
      </c>
      <c r="Y150" s="91">
        <v>14.5</v>
      </c>
      <c r="Z150" s="154">
        <v>40.5</v>
      </c>
      <c r="AA150" s="153">
        <v>0.37777777777777777</v>
      </c>
      <c r="AB150" s="154">
        <v>62</v>
      </c>
      <c r="AC150" s="154">
        <v>17.5</v>
      </c>
      <c r="AD150" s="96"/>
      <c r="AE150" s="94">
        <f>Table3.110[[#This Row],[Gas 8h, ml]]-Table3.110[[#This Row],[Gas 0h, ml]]</f>
        <v>26.5</v>
      </c>
      <c r="AF150" s="94">
        <f>Table3.110[[#This Row],[Gas 24h, ml]]-Table3.110[[#This Row],[V8 Push back, ml]]</f>
        <v>21.5</v>
      </c>
      <c r="AG150" s="94">
        <f>Table3.110[[#This Row],[GP 8h, ml]]-(AVERAGE(AE$116,AE$117,AE$167,AE$166,AE$219,AE$220))*$AG$8</f>
        <v>23.623728042697874</v>
      </c>
      <c r="AH150" s="94">
        <f>Table3.110[[#This Row],[GP 8-24h, ml]]-(AVERAGE(AF$11,AF$12,AF$62,AF$61,AF$114,AF$115))*$AG$8</f>
        <v>17.81247184961266</v>
      </c>
      <c r="AI150" s="94">
        <f>Table3.110[[#This Row],[Net gas 8-24h, ml]]+Table3.110[[#This Row],[Net gas 8h, ml]]</f>
        <v>41.436199892310533</v>
      </c>
      <c r="AJ150" s="94">
        <f>Table3.110[[#This Row],[Net gas 8h, ml]]*Table3.110[[#This Row],[CH4 8h %]]%</f>
        <v>3.4254405661911913</v>
      </c>
      <c r="AK150" s="94">
        <f>Table3.110[[#This Row],[Net gas 8-24h, ml]]*Table3.110[[#This Row],[CH4 24h, %]]%</f>
        <v>3.1171825736822152</v>
      </c>
      <c r="AL150" s="94">
        <f>Table3.110[[#This Row],[CH4 8-24h, ml]]+Table3.110[[#This Row],[CH4 8h, ml]]</f>
        <v>6.542623139873406</v>
      </c>
      <c r="AM150" s="94">
        <f>(Table3.110[[#This Row],[Net gas 24h, ml]]/Table3.110[[#This Row],[DM Incubated, mg]])*1000</f>
        <v>88.590588500645822</v>
      </c>
      <c r="AN150" s="94">
        <f>'3.2 Digest'!X150</f>
        <v>20.722966146962108</v>
      </c>
      <c r="AO150" s="94">
        <f>Table3.110[[#This Row],[Digested feed, mg]]/Table3.110[[#This Row],[Net gas 24h, ml]]</f>
        <v>2.3391837098825725</v>
      </c>
      <c r="AP150" s="94">
        <f>Table3.110[[#This Row],[CH4 8h, ml]]/Table3.110[[#This Row],[Net gas 8h, ml]]%</f>
        <v>14.5</v>
      </c>
      <c r="AQ150" s="94">
        <f>Table3.110[[#This Row],[CH4 24h, ml]]/Table3.110[[#This Row],[Net gas 24h, ml]]%</f>
        <v>15.789631184513</v>
      </c>
      <c r="AR150" s="94">
        <f>Table3.110[[#This Row],[CH4 24h, ml]]/Table3.110[[#This Row],[DM Incubated, mg]]*1000</f>
        <v>13.98812718844156</v>
      </c>
      <c r="AS150" s="94">
        <f>Table3.110[[#This Row],[CH4 24h, ml]]/Table3.110[[#This Row],[Digested feed, mg]]*1000</f>
        <v>67.500603384868995</v>
      </c>
      <c r="AT150" s="94">
        <f>Table3.110[[#This Row],[CH4 24h, ml]]/'3.2 Digest'!AA150</f>
        <v>-0.20326576508933344</v>
      </c>
      <c r="AU150" s="94">
        <f>((Table3.110[[#This Row],[CH4 24h, ml]]/28.9)*16.04)/Table3.110[[#This Row],[DM Incubated, mg]]*1000</f>
        <v>7.7636525987059741</v>
      </c>
      <c r="AV150" s="94">
        <f>((Table3.110[[#This Row],[CH4 24h, ml]]/28.9)*16.04)/Table3.110[[#This Row],[Digested feed, mg]]*1000</f>
        <v>37.46400270911068</v>
      </c>
      <c r="AW150" s="303"/>
    </row>
    <row r="151" spans="1:49" s="304" customFormat="1" x14ac:dyDescent="0.35">
      <c r="A151" s="89"/>
      <c r="B151" s="90">
        <f t="shared" si="2"/>
        <v>141</v>
      </c>
      <c r="C151" s="140">
        <v>46043</v>
      </c>
      <c r="D151" s="6" t="s">
        <v>16</v>
      </c>
      <c r="E151" s="6" t="s">
        <v>50</v>
      </c>
      <c r="F151" s="133" t="s">
        <v>19</v>
      </c>
      <c r="G151" s="133" t="s">
        <v>20</v>
      </c>
      <c r="H151" s="133" t="s">
        <v>21</v>
      </c>
      <c r="I151" s="6" t="s">
        <v>22</v>
      </c>
      <c r="J151" s="129" t="s">
        <v>23</v>
      </c>
      <c r="K151" s="129" t="s">
        <v>24</v>
      </c>
      <c r="L151" s="6" t="s">
        <v>49</v>
      </c>
      <c r="M151" s="119">
        <v>27</v>
      </c>
      <c r="N151" s="93">
        <v>59</v>
      </c>
      <c r="O151" s="6">
        <v>2</v>
      </c>
      <c r="P151" s="129">
        <v>1</v>
      </c>
      <c r="Q151" s="6">
        <v>321</v>
      </c>
      <c r="R151" s="98">
        <v>0.50019999999999998</v>
      </c>
      <c r="S151" s="94">
        <f>((Table3.110[[#This Row],[Sample weight, g]]*'2.1. DM'!Q33)/100)*1000</f>
        <v>469.97507216900357</v>
      </c>
      <c r="T151" s="94">
        <f>'3.2 Digest'!W151</f>
        <v>109.57507216900365</v>
      </c>
      <c r="U151" s="117">
        <v>0.36458333333333331</v>
      </c>
      <c r="V151" s="155">
        <v>41</v>
      </c>
      <c r="W151" s="117">
        <v>0.68680555555555556</v>
      </c>
      <c r="X151" s="96">
        <v>63.5</v>
      </c>
      <c r="Y151" s="96">
        <v>15.9</v>
      </c>
      <c r="Z151" s="155">
        <v>40.5</v>
      </c>
      <c r="AA151" s="117">
        <v>0.37847222222222221</v>
      </c>
      <c r="AB151" s="155">
        <v>61</v>
      </c>
      <c r="AC151" s="155">
        <v>19</v>
      </c>
      <c r="AD151" s="91"/>
      <c r="AE151" s="94">
        <f>Table3.110[[#This Row],[Gas 8h, ml]]-Table3.110[[#This Row],[Gas 0h, ml]]</f>
        <v>22.5</v>
      </c>
      <c r="AF151" s="94">
        <f>Table3.110[[#This Row],[Gas 24h, ml]]-Table3.110[[#This Row],[V8 Push back, ml]]</f>
        <v>20.5</v>
      </c>
      <c r="AG151" s="94">
        <f>Table3.110[[#This Row],[GP 8h, ml]]-(AVERAGE(AE$116,AE$117,AE$167,AE$166,AE$219,AE$220))*$AG$8</f>
        <v>19.623728042697874</v>
      </c>
      <c r="AH151" s="94">
        <f>Table3.110[[#This Row],[GP 8-24h, ml]]-(AVERAGE(AF$11,AF$12,AF$62,AF$61,AF$114,AF$115))*$AG$8</f>
        <v>16.81247184961266</v>
      </c>
      <c r="AI151" s="94">
        <f>Table3.110[[#This Row],[Net gas 8-24h, ml]]+Table3.110[[#This Row],[Net gas 8h, ml]]</f>
        <v>36.436199892310533</v>
      </c>
      <c r="AJ151" s="94">
        <f>Table3.110[[#This Row],[Net gas 8h, ml]]*Table3.110[[#This Row],[CH4 8h %]]%</f>
        <v>3.1201727587889621</v>
      </c>
      <c r="AK151" s="94">
        <f>Table3.110[[#This Row],[Net gas 8-24h, ml]]*Table3.110[[#This Row],[CH4 24h, %]]%</f>
        <v>3.1943696514264053</v>
      </c>
      <c r="AL151" s="94">
        <f>Table3.110[[#This Row],[CH4 8-24h, ml]]+Table3.110[[#This Row],[CH4 8h, ml]]</f>
        <v>6.3145424102153669</v>
      </c>
      <c r="AM151" s="94">
        <f>(Table3.110[[#This Row],[Net gas 24h, ml]]/Table3.110[[#This Row],[DM Incubated, mg]])*1000</f>
        <v>77.52794148028353</v>
      </c>
      <c r="AN151" s="94">
        <f>'3.2 Digest'!X151</f>
        <v>23.31508172620703</v>
      </c>
      <c r="AO151" s="94">
        <f>Table3.110[[#This Row],[Digested feed, mg]]/Table3.110[[#This Row],[Net gas 24h, ml]]</f>
        <v>3.0073133996646089</v>
      </c>
      <c r="AP151" s="94">
        <f>Table3.110[[#This Row],[CH4 8h, ml]]/Table3.110[[#This Row],[Net gas 8h, ml]]%</f>
        <v>15.9</v>
      </c>
      <c r="AQ151" s="94">
        <f>Table3.110[[#This Row],[CH4 24h, ml]]/Table3.110[[#This Row],[Net gas 24h, ml]]%</f>
        <v>17.330408848558278</v>
      </c>
      <c r="AR151" s="94">
        <f>Table3.110[[#This Row],[CH4 24h, ml]]/Table3.110[[#This Row],[DM Incubated, mg]]*1000</f>
        <v>13.435909230404139</v>
      </c>
      <c r="AS151" s="94">
        <f>Table3.110[[#This Row],[CH4 24h, ml]]/Table3.110[[#This Row],[Digested feed, mg]]*1000</f>
        <v>57.6275450722597</v>
      </c>
      <c r="AT151" s="94">
        <f>Table3.110[[#This Row],[CH4 24h, ml]]/'3.2 Digest'!AA151</f>
        <v>-0.22747987420093069</v>
      </c>
      <c r="AU151" s="94">
        <f>((Table3.110[[#This Row],[CH4 24h, ml]]/28.9)*16.04)/Table3.110[[#This Row],[DM Incubated, mg]]*1000</f>
        <v>7.4571620780512946</v>
      </c>
      <c r="AV151" s="94">
        <f>((Table3.110[[#This Row],[CH4 24h, ml]]/28.9)*16.04)/Table3.110[[#This Row],[Digested feed, mg]]*1000</f>
        <v>31.984284531454861</v>
      </c>
      <c r="AW151" s="303"/>
    </row>
    <row r="152" spans="1:49" s="304" customFormat="1" x14ac:dyDescent="0.35">
      <c r="A152" s="89"/>
      <c r="B152" s="90">
        <f t="shared" si="2"/>
        <v>142</v>
      </c>
      <c r="C152" s="140">
        <v>46043</v>
      </c>
      <c r="D152" s="6" t="s">
        <v>16</v>
      </c>
      <c r="E152" s="6" t="s">
        <v>50</v>
      </c>
      <c r="F152" s="133" t="s">
        <v>19</v>
      </c>
      <c r="G152" s="133" t="s">
        <v>20</v>
      </c>
      <c r="H152" s="133" t="s">
        <v>21</v>
      </c>
      <c r="I152" s="6" t="s">
        <v>22</v>
      </c>
      <c r="J152" s="129" t="s">
        <v>23</v>
      </c>
      <c r="K152" s="129" t="s">
        <v>24</v>
      </c>
      <c r="L152" s="6" t="s">
        <v>49</v>
      </c>
      <c r="M152" s="119">
        <v>27</v>
      </c>
      <c r="N152" s="93">
        <v>59</v>
      </c>
      <c r="O152" s="6">
        <v>2</v>
      </c>
      <c r="P152" s="6">
        <v>2</v>
      </c>
      <c r="Q152" s="6">
        <v>322</v>
      </c>
      <c r="R152" s="98">
        <v>0.50019999999999998</v>
      </c>
      <c r="S152" s="94">
        <f>((Table3.110[[#This Row],[Sample weight, g]]*'2.1. DM'!Q33)/100)*1000</f>
        <v>469.97507216900357</v>
      </c>
      <c r="T152" s="94">
        <f>'3.2 Digest'!W152</f>
        <v>99.375072169003658</v>
      </c>
      <c r="U152" s="153">
        <v>0.36458333333333331</v>
      </c>
      <c r="V152" s="154">
        <v>42</v>
      </c>
      <c r="W152" s="153">
        <v>0.68680555555555556</v>
      </c>
      <c r="X152" s="91">
        <v>67</v>
      </c>
      <c r="Y152" s="91">
        <v>14.4</v>
      </c>
      <c r="Z152" s="154">
        <v>41</v>
      </c>
      <c r="AA152" s="153">
        <v>0.37847222222222221</v>
      </c>
      <c r="AB152" s="154">
        <v>62</v>
      </c>
      <c r="AC152" s="154">
        <v>18.899999999999999</v>
      </c>
      <c r="AD152" s="103"/>
      <c r="AE152" s="94">
        <f>Table3.110[[#This Row],[Gas 8h, ml]]-Table3.110[[#This Row],[Gas 0h, ml]]</f>
        <v>25</v>
      </c>
      <c r="AF152" s="94">
        <f>Table3.110[[#This Row],[Gas 24h, ml]]-Table3.110[[#This Row],[V8 Push back, ml]]</f>
        <v>21</v>
      </c>
      <c r="AG152" s="94">
        <f>Table3.110[[#This Row],[GP 8h, ml]]-(AVERAGE(AE$116,AE$117,AE$167,AE$166,AE$219,AE$220))*$AG$8</f>
        <v>22.123728042697874</v>
      </c>
      <c r="AH152" s="94">
        <f>Table3.110[[#This Row],[GP 8-24h, ml]]-(AVERAGE(AF$11,AF$12,AF$62,AF$61,AF$114,AF$115))*$AG$8</f>
        <v>17.31247184961266</v>
      </c>
      <c r="AI152" s="94">
        <f>Table3.110[[#This Row],[Net gas 8-24h, ml]]+Table3.110[[#This Row],[Net gas 8h, ml]]</f>
        <v>39.436199892310533</v>
      </c>
      <c r="AJ152" s="94">
        <f>Table3.110[[#This Row],[Net gas 8h, ml]]*Table3.110[[#This Row],[CH4 8h %]]%</f>
        <v>3.1858168381484941</v>
      </c>
      <c r="AK152" s="94">
        <f>Table3.110[[#This Row],[Net gas 8-24h, ml]]*Table3.110[[#This Row],[CH4 24h, %]]%</f>
        <v>3.2720571795767923</v>
      </c>
      <c r="AL152" s="94">
        <f>Table3.110[[#This Row],[CH4 8-24h, ml]]+Table3.110[[#This Row],[CH4 8h, ml]]</f>
        <v>6.4578740177252865</v>
      </c>
      <c r="AM152" s="94">
        <f>(Table3.110[[#This Row],[Net gas 24h, ml]]/Table3.110[[#This Row],[DM Incubated, mg]])*1000</f>
        <v>83.911258761675839</v>
      </c>
      <c r="AN152" s="94">
        <f>'3.2 Digest'!X152</f>
        <v>21.144753850533647</v>
      </c>
      <c r="AO152" s="94">
        <f>Table3.110[[#This Row],[Digested feed, mg]]/Table3.110[[#This Row],[Net gas 24h, ml]]</f>
        <v>2.5198947271889729</v>
      </c>
      <c r="AP152" s="94">
        <f>Table3.110[[#This Row],[CH4 8h, ml]]/Table3.110[[#This Row],[Net gas 8h, ml]]%</f>
        <v>14.400000000000002</v>
      </c>
      <c r="AQ152" s="94">
        <f>Table3.110[[#This Row],[CH4 24h, ml]]/Table3.110[[#This Row],[Net gas 24h, ml]]%</f>
        <v>16.375497728888618</v>
      </c>
      <c r="AR152" s="94">
        <f>Table3.110[[#This Row],[CH4 24h, ml]]/Table3.110[[#This Row],[DM Incubated, mg]]*1000</f>
        <v>13.740886272800077</v>
      </c>
      <c r="AS152" s="94">
        <f>Table3.110[[#This Row],[CH4 24h, ml]]/Table3.110[[#This Row],[Digested feed, mg]]*1000</f>
        <v>64.984848581972443</v>
      </c>
      <c r="AT152" s="94">
        <f>Table3.110[[#This Row],[CH4 24h, ml]]/'3.2 Digest'!AA152</f>
        <v>-0.20583194780423889</v>
      </c>
      <c r="AU152" s="94">
        <f>((Table3.110[[#This Row],[CH4 24h, ml]]/28.9)*16.04)/Table3.110[[#This Row],[DM Incubated, mg]]*1000</f>
        <v>7.6264296130004583</v>
      </c>
      <c r="AV152" s="94">
        <f>((Table3.110[[#This Row],[CH4 24h, ml]]/28.9)*16.04)/Table3.110[[#This Row],[Digested feed, mg]]*1000</f>
        <v>36.067715268333494</v>
      </c>
      <c r="AW152" s="303"/>
    </row>
    <row r="153" spans="1:49" s="304" customFormat="1" x14ac:dyDescent="0.35">
      <c r="A153" s="89"/>
      <c r="B153" s="90">
        <f t="shared" si="2"/>
        <v>143</v>
      </c>
      <c r="C153" s="140">
        <v>46043</v>
      </c>
      <c r="D153" s="6" t="s">
        <v>16</v>
      </c>
      <c r="E153" s="6" t="s">
        <v>50</v>
      </c>
      <c r="F153" s="133" t="s">
        <v>19</v>
      </c>
      <c r="G153" s="133" t="s">
        <v>20</v>
      </c>
      <c r="H153" s="133" t="s">
        <v>21</v>
      </c>
      <c r="I153" s="6" t="s">
        <v>22</v>
      </c>
      <c r="J153" s="129" t="s">
        <v>23</v>
      </c>
      <c r="K153" s="129" t="s">
        <v>24</v>
      </c>
      <c r="L153" s="6" t="s">
        <v>49</v>
      </c>
      <c r="M153" s="119">
        <v>27</v>
      </c>
      <c r="N153" s="93">
        <v>59</v>
      </c>
      <c r="O153" s="6">
        <v>2</v>
      </c>
      <c r="P153" s="129">
        <v>3</v>
      </c>
      <c r="Q153" s="6">
        <v>323</v>
      </c>
      <c r="R153" s="98">
        <v>0.50019999999999998</v>
      </c>
      <c r="S153" s="94">
        <f>((Table3.110[[#This Row],[Sample weight, g]]*'2.1. DM'!Q33)/100)*1000</f>
        <v>469.97507216900357</v>
      </c>
      <c r="T153" s="94">
        <f>'3.2 Digest'!W153</f>
        <v>90.975072169003568</v>
      </c>
      <c r="U153" s="117">
        <v>0.36527777777777776</v>
      </c>
      <c r="V153" s="155">
        <v>41.5</v>
      </c>
      <c r="W153" s="117">
        <v>0.6875</v>
      </c>
      <c r="X153" s="96">
        <v>68</v>
      </c>
      <c r="Y153" s="96">
        <v>14</v>
      </c>
      <c r="Z153" s="155">
        <v>40.5</v>
      </c>
      <c r="AA153" s="117">
        <v>0.37986111111111109</v>
      </c>
      <c r="AB153" s="155">
        <v>61</v>
      </c>
      <c r="AC153" s="155">
        <v>19.100000000000001</v>
      </c>
      <c r="AD153" s="91"/>
      <c r="AE153" s="94">
        <f>Table3.110[[#This Row],[Gas 8h, ml]]-Table3.110[[#This Row],[Gas 0h, ml]]</f>
        <v>26.5</v>
      </c>
      <c r="AF153" s="94">
        <f>Table3.110[[#This Row],[Gas 24h, ml]]-Table3.110[[#This Row],[V8 Push back, ml]]</f>
        <v>20.5</v>
      </c>
      <c r="AG153" s="94">
        <f>Table3.110[[#This Row],[GP 8h, ml]]-(AVERAGE(AE$116,AE$117,AE$167,AE$166,AE$219,AE$220))*$AG$8</f>
        <v>23.623728042697874</v>
      </c>
      <c r="AH153" s="94">
        <f>Table3.110[[#This Row],[GP 8-24h, ml]]-(AVERAGE(AF$11,AF$12,AF$62,AF$61,AF$114,AF$115))*$AG$8</f>
        <v>16.81247184961266</v>
      </c>
      <c r="AI153" s="94">
        <f>Table3.110[[#This Row],[Net gas 8-24h, ml]]+Table3.110[[#This Row],[Net gas 8h, ml]]</f>
        <v>40.436199892310533</v>
      </c>
      <c r="AJ153" s="94">
        <f>Table3.110[[#This Row],[Net gas 8h, ml]]*Table3.110[[#This Row],[CH4 8h %]]%</f>
        <v>3.3073219259777025</v>
      </c>
      <c r="AK153" s="94">
        <f>Table3.110[[#This Row],[Net gas 8-24h, ml]]*Table3.110[[#This Row],[CH4 24h, %]]%</f>
        <v>3.2111821232760183</v>
      </c>
      <c r="AL153" s="94">
        <f>Table3.110[[#This Row],[CH4 8-24h, ml]]+Table3.110[[#This Row],[CH4 8h, ml]]</f>
        <v>6.5185040492537212</v>
      </c>
      <c r="AM153" s="94">
        <f>(Table3.110[[#This Row],[Net gas 24h, ml]]/Table3.110[[#This Row],[DM Incubated, mg]])*1000</f>
        <v>86.039031188806618</v>
      </c>
      <c r="AN153" s="94">
        <f>'3.2 Digest'!X153</f>
        <v>19.357425011743778</v>
      </c>
      <c r="AO153" s="94">
        <f>Table3.110[[#This Row],[Digested feed, mg]]/Table3.110[[#This Row],[Net gas 24h, ml]]</f>
        <v>2.2498422802164368</v>
      </c>
      <c r="AP153" s="94">
        <f>Table3.110[[#This Row],[CH4 8h, ml]]/Table3.110[[#This Row],[Net gas 8h, ml]]%</f>
        <v>14.000000000000002</v>
      </c>
      <c r="AQ153" s="94">
        <f>Table3.110[[#This Row],[CH4 24h, ml]]/Table3.110[[#This Row],[Net gas 24h, ml]]%</f>
        <v>16.120466479574652</v>
      </c>
      <c r="AR153" s="94">
        <f>Table3.110[[#This Row],[CH4 24h, ml]]/Table3.110[[#This Row],[DM Incubated, mg]]*1000</f>
        <v>13.869893182142349</v>
      </c>
      <c r="AS153" s="94">
        <f>Table3.110[[#This Row],[CH4 24h, ml]]/Table3.110[[#This Row],[Digested feed, mg]]*1000</f>
        <v>71.65154029385495</v>
      </c>
      <c r="AT153" s="94">
        <f>Table3.110[[#This Row],[CH4 24h, ml]]/'3.2 Digest'!AA153</f>
        <v>-0.18975492809822481</v>
      </c>
      <c r="AU153" s="94">
        <f>((Table3.110[[#This Row],[CH4 24h, ml]]/28.9)*16.04)/Table3.110[[#This Row],[DM Incubated, mg]]*1000</f>
        <v>7.698030679638868</v>
      </c>
      <c r="AV153" s="94">
        <f>((Table3.110[[#This Row],[CH4 24h, ml]]/28.9)*16.04)/Table3.110[[#This Row],[Digested feed, mg]]*1000</f>
        <v>39.767844509115342</v>
      </c>
      <c r="AW153" s="303"/>
    </row>
    <row r="154" spans="1:49" s="304" customFormat="1" x14ac:dyDescent="0.35">
      <c r="A154" s="89"/>
      <c r="B154" s="90">
        <f t="shared" si="2"/>
        <v>144</v>
      </c>
      <c r="C154" s="140">
        <v>46043</v>
      </c>
      <c r="D154" s="6" t="s">
        <v>16</v>
      </c>
      <c r="E154" s="6" t="s">
        <v>52</v>
      </c>
      <c r="F154" s="133" t="s">
        <v>19</v>
      </c>
      <c r="G154" s="133" t="s">
        <v>20</v>
      </c>
      <c r="H154" s="133" t="s">
        <v>21</v>
      </c>
      <c r="I154" s="6" t="s">
        <v>22</v>
      </c>
      <c r="J154" s="129" t="s">
        <v>23</v>
      </c>
      <c r="K154" s="129" t="s">
        <v>24</v>
      </c>
      <c r="L154" s="6" t="s">
        <v>51</v>
      </c>
      <c r="M154" s="119">
        <v>27</v>
      </c>
      <c r="N154" s="93">
        <v>59</v>
      </c>
      <c r="O154" s="6">
        <v>2</v>
      </c>
      <c r="P154" s="129">
        <v>1</v>
      </c>
      <c r="Q154" s="6">
        <v>324</v>
      </c>
      <c r="R154" s="98">
        <v>0.50029999999999997</v>
      </c>
      <c r="S154" s="94">
        <f>((Table3.110[[#This Row],[Sample weight, g]]*'2.1. DM'!Q35)/100)*1000</f>
        <v>459.56281825702052</v>
      </c>
      <c r="T154" s="94">
        <f>'3.2 Digest'!W154</f>
        <v>140.66281825702055</v>
      </c>
      <c r="U154" s="153">
        <v>0.3659722222222222</v>
      </c>
      <c r="V154" s="154">
        <v>41</v>
      </c>
      <c r="W154" s="153">
        <v>0.6875</v>
      </c>
      <c r="X154" s="91">
        <v>65</v>
      </c>
      <c r="Y154" s="91">
        <v>15.6</v>
      </c>
      <c r="Z154" s="154">
        <v>40.5</v>
      </c>
      <c r="AA154" s="153">
        <v>0.38055555555555554</v>
      </c>
      <c r="AB154" s="154">
        <v>64</v>
      </c>
      <c r="AC154" s="154">
        <v>18.3</v>
      </c>
      <c r="AD154" s="96"/>
      <c r="AE154" s="94">
        <f>Table3.110[[#This Row],[Gas 8h, ml]]-Table3.110[[#This Row],[Gas 0h, ml]]</f>
        <v>24</v>
      </c>
      <c r="AF154" s="94">
        <f>Table3.110[[#This Row],[Gas 24h, ml]]-Table3.110[[#This Row],[V8 Push back, ml]]</f>
        <v>23.5</v>
      </c>
      <c r="AG154" s="94">
        <f>Table3.110[[#This Row],[GP 8h, ml]]-(AVERAGE(AE$116,AE$117,AE$167,AE$166,AE$219,AE$220))*$AG$8</f>
        <v>21.123728042697874</v>
      </c>
      <c r="AH154" s="94">
        <f>Table3.110[[#This Row],[GP 8-24h, ml]]-(AVERAGE(AF$11,AF$12,AF$62,AF$61,AF$114,AF$115))*$AG$8</f>
        <v>19.81247184961266</v>
      </c>
      <c r="AI154" s="94">
        <f>Table3.110[[#This Row],[Net gas 8-24h, ml]]+Table3.110[[#This Row],[Net gas 8h, ml]]</f>
        <v>40.936199892310533</v>
      </c>
      <c r="AJ154" s="94">
        <f>Table3.110[[#This Row],[Net gas 8h, ml]]*Table3.110[[#This Row],[CH4 8h %]]%</f>
        <v>3.2953015746608685</v>
      </c>
      <c r="AK154" s="94">
        <f>Table3.110[[#This Row],[Net gas 8-24h, ml]]*Table3.110[[#This Row],[CH4 24h, %]]%</f>
        <v>3.6256823484791165</v>
      </c>
      <c r="AL154" s="94">
        <f>Table3.110[[#This Row],[CH4 8-24h, ml]]+Table3.110[[#This Row],[CH4 8h, ml]]</f>
        <v>6.9209839231399854</v>
      </c>
      <c r="AM154" s="94">
        <f>(Table3.110[[#This Row],[Net gas 24h, ml]]/Table3.110[[#This Row],[DM Incubated, mg]])*1000</f>
        <v>89.076396666659988</v>
      </c>
      <c r="AN154" s="94">
        <f>'3.2 Digest'!X154</f>
        <v>30.60796319217274</v>
      </c>
      <c r="AO154" s="94">
        <f>Table3.110[[#This Row],[Digested feed, mg]]/Table3.110[[#This Row],[Net gas 24h, ml]]</f>
        <v>3.4361474349611698</v>
      </c>
      <c r="AP154" s="94">
        <f>Table3.110[[#This Row],[CH4 8h, ml]]/Table3.110[[#This Row],[Net gas 8h, ml]]%</f>
        <v>15.600000000000001</v>
      </c>
      <c r="AQ154" s="94">
        <f>Table3.110[[#This Row],[CH4 24h, ml]]/Table3.110[[#This Row],[Net gas 24h, ml]]%</f>
        <v>16.906757201075777</v>
      </c>
      <c r="AR154" s="94">
        <f>Table3.110[[#This Row],[CH4 24h, ml]]/Table3.110[[#This Row],[DM Incubated, mg]]*1000</f>
        <v>15.05993010789936</v>
      </c>
      <c r="AS154" s="94">
        <f>Table3.110[[#This Row],[CH4 24h, ml]]/Table3.110[[#This Row],[Digested feed, mg]]*1000</f>
        <v>49.202653614503106</v>
      </c>
      <c r="AT154" s="94">
        <f>Table3.110[[#This Row],[CH4 24h, ml]]/'3.2 Digest'!AA154</f>
        <v>-0.42613568649828232</v>
      </c>
      <c r="AU154" s="94">
        <f>((Table3.110[[#This Row],[CH4 24h, ml]]/28.9)*16.04)/Table3.110[[#This Row],[DM Incubated, mg]]*1000</f>
        <v>8.3585217623081576</v>
      </c>
      <c r="AV154" s="94">
        <f>((Table3.110[[#This Row],[CH4 24h, ml]]/28.9)*16.04)/Table3.110[[#This Row],[Digested feed, mg]]*1000</f>
        <v>27.308324013032173</v>
      </c>
      <c r="AW154" s="303"/>
    </row>
    <row r="155" spans="1:49" s="304" customFormat="1" x14ac:dyDescent="0.35">
      <c r="A155" s="89"/>
      <c r="B155" s="90">
        <f t="shared" si="2"/>
        <v>145</v>
      </c>
      <c r="C155" s="140">
        <v>46043</v>
      </c>
      <c r="D155" s="6" t="s">
        <v>16</v>
      </c>
      <c r="E155" s="6" t="s">
        <v>52</v>
      </c>
      <c r="F155" s="133" t="s">
        <v>19</v>
      </c>
      <c r="G155" s="133" t="s">
        <v>20</v>
      </c>
      <c r="H155" s="133" t="s">
        <v>21</v>
      </c>
      <c r="I155" s="6" t="s">
        <v>22</v>
      </c>
      <c r="J155" s="129" t="s">
        <v>23</v>
      </c>
      <c r="K155" s="129" t="s">
        <v>24</v>
      </c>
      <c r="L155" s="6" t="s">
        <v>51</v>
      </c>
      <c r="M155" s="119">
        <v>27</v>
      </c>
      <c r="N155" s="93">
        <v>59</v>
      </c>
      <c r="O155" s="6">
        <v>2</v>
      </c>
      <c r="P155" s="6">
        <v>2</v>
      </c>
      <c r="Q155" s="6">
        <v>325</v>
      </c>
      <c r="R155" s="98">
        <v>0.5</v>
      </c>
      <c r="S155" s="94">
        <f>((Table3.110[[#This Row],[Sample weight, g]]*'2.1. DM'!Q35)/100)*1000</f>
        <v>459.28724590947485</v>
      </c>
      <c r="T155" s="94">
        <f>'3.2 Digest'!W155</f>
        <v>131.0872459094748</v>
      </c>
      <c r="U155" s="117">
        <v>0.3659722222222222</v>
      </c>
      <c r="V155" s="155">
        <v>41</v>
      </c>
      <c r="W155" s="117">
        <v>0.68819444444444444</v>
      </c>
      <c r="X155" s="96">
        <v>68.5</v>
      </c>
      <c r="Y155" s="96">
        <v>14.6</v>
      </c>
      <c r="Z155" s="155">
        <v>40.5</v>
      </c>
      <c r="AA155" s="117">
        <v>0.38124999999999998</v>
      </c>
      <c r="AB155" s="155">
        <v>64.5</v>
      </c>
      <c r="AC155" s="155">
        <v>18.3</v>
      </c>
      <c r="AD155" s="91"/>
      <c r="AE155" s="94">
        <f>Table3.110[[#This Row],[Gas 8h, ml]]-Table3.110[[#This Row],[Gas 0h, ml]]</f>
        <v>27.5</v>
      </c>
      <c r="AF155" s="94">
        <f>Table3.110[[#This Row],[Gas 24h, ml]]-Table3.110[[#This Row],[V8 Push back, ml]]</f>
        <v>24</v>
      </c>
      <c r="AG155" s="94">
        <f>Table3.110[[#This Row],[GP 8h, ml]]-(AVERAGE(AE$116,AE$117,AE$167,AE$166,AE$219,AE$220))*$AG$8</f>
        <v>24.623728042697874</v>
      </c>
      <c r="AH155" s="94">
        <f>Table3.110[[#This Row],[GP 8-24h, ml]]-(AVERAGE(AF$11,AF$12,AF$62,AF$61,AF$114,AF$115))*$AG$8</f>
        <v>20.31247184961266</v>
      </c>
      <c r="AI155" s="94">
        <f>Table3.110[[#This Row],[Net gas 8-24h, ml]]+Table3.110[[#This Row],[Net gas 8h, ml]]</f>
        <v>44.936199892310533</v>
      </c>
      <c r="AJ155" s="94">
        <f>Table3.110[[#This Row],[Net gas 8h, ml]]*Table3.110[[#This Row],[CH4 8h %]]%</f>
        <v>3.5950642942338895</v>
      </c>
      <c r="AK155" s="94">
        <f>Table3.110[[#This Row],[Net gas 8-24h, ml]]*Table3.110[[#This Row],[CH4 24h, %]]%</f>
        <v>3.7171823484791164</v>
      </c>
      <c r="AL155" s="94">
        <f>Table3.110[[#This Row],[CH4 8-24h, ml]]+Table3.110[[#This Row],[CH4 8h, ml]]</f>
        <v>7.3122466427130064</v>
      </c>
      <c r="AM155" s="94">
        <f>(Table3.110[[#This Row],[Net gas 24h, ml]]/Table3.110[[#This Row],[DM Incubated, mg]])*1000</f>
        <v>97.838989200164775</v>
      </c>
      <c r="AN155" s="94">
        <f>'3.2 Digest'!X155</f>
        <v>28.541451363383164</v>
      </c>
      <c r="AO155" s="94">
        <f>Table3.110[[#This Row],[Digested feed, mg]]/Table3.110[[#This Row],[Net gas 24h, ml]]</f>
        <v>2.917185837334376</v>
      </c>
      <c r="AP155" s="94">
        <f>Table3.110[[#This Row],[CH4 8h, ml]]/Table3.110[[#This Row],[Net gas 8h, ml]]%</f>
        <v>14.6</v>
      </c>
      <c r="AQ155" s="94">
        <f>Table3.110[[#This Row],[CH4 24h, ml]]/Table3.110[[#This Row],[Net gas 24h, ml]]%</f>
        <v>16.272507822728187</v>
      </c>
      <c r="AR155" s="94">
        <f>Table3.110[[#This Row],[CH4 24h, ml]]/Table3.110[[#This Row],[DM Incubated, mg]]*1000</f>
        <v>15.920857171274998</v>
      </c>
      <c r="AS155" s="94">
        <f>Table3.110[[#This Row],[CH4 24h, ml]]/Table3.110[[#This Row],[Digested feed, mg]]*1000</f>
        <v>55.781526204026285</v>
      </c>
      <c r="AT155" s="94">
        <f>Table3.110[[#This Row],[CH4 24h, ml]]/'3.2 Digest'!AA155</f>
        <v>-0.37112424199606064</v>
      </c>
      <c r="AU155" s="94">
        <f>((Table3.110[[#This Row],[CH4 24h, ml]]/28.9)*16.04)/Table3.110[[#This Row],[DM Incubated, mg]]*1000</f>
        <v>8.8363511774135279</v>
      </c>
      <c r="AV155" s="94">
        <f>((Table3.110[[#This Row],[CH4 24h, ml]]/28.9)*16.04)/Table3.110[[#This Row],[Digested feed, mg]]*1000</f>
        <v>30.959712121542616</v>
      </c>
      <c r="AW155" s="303"/>
    </row>
    <row r="156" spans="1:49" s="304" customFormat="1" x14ac:dyDescent="0.35">
      <c r="A156" s="89"/>
      <c r="B156" s="90">
        <f t="shared" si="2"/>
        <v>146</v>
      </c>
      <c r="C156" s="140">
        <v>46043</v>
      </c>
      <c r="D156" s="6" t="s">
        <v>16</v>
      </c>
      <c r="E156" s="6" t="s">
        <v>52</v>
      </c>
      <c r="F156" s="133" t="s">
        <v>19</v>
      </c>
      <c r="G156" s="133" t="s">
        <v>20</v>
      </c>
      <c r="H156" s="133" t="s">
        <v>21</v>
      </c>
      <c r="I156" s="6" t="s">
        <v>22</v>
      </c>
      <c r="J156" s="129" t="s">
        <v>23</v>
      </c>
      <c r="K156" s="129" t="s">
        <v>24</v>
      </c>
      <c r="L156" s="6" t="s">
        <v>51</v>
      </c>
      <c r="M156" s="119">
        <v>27</v>
      </c>
      <c r="N156" s="93">
        <v>59</v>
      </c>
      <c r="O156" s="6">
        <v>2</v>
      </c>
      <c r="P156" s="129">
        <v>3</v>
      </c>
      <c r="Q156" s="6">
        <v>326</v>
      </c>
      <c r="R156" s="98">
        <v>0.5</v>
      </c>
      <c r="S156" s="94">
        <f>((Table3.110[[#This Row],[Sample weight, g]]*'2.1. DM'!Q35)/100)*1000</f>
        <v>459.28724590947485</v>
      </c>
      <c r="T156" s="94">
        <f>'3.2 Digest'!W156</f>
        <v>82.887245909474871</v>
      </c>
      <c r="U156" s="153">
        <v>0.36666666666666664</v>
      </c>
      <c r="V156" s="154">
        <v>40.5</v>
      </c>
      <c r="W156" s="153">
        <v>0.68888888888888888</v>
      </c>
      <c r="X156" s="91">
        <v>65.5</v>
      </c>
      <c r="Y156" s="91">
        <v>15.5</v>
      </c>
      <c r="Z156" s="154">
        <v>40.5</v>
      </c>
      <c r="AA156" s="153">
        <v>0.38124999999999998</v>
      </c>
      <c r="AB156" s="154">
        <v>65.5</v>
      </c>
      <c r="AC156" s="154">
        <v>18.399999999999999</v>
      </c>
      <c r="AD156" s="96"/>
      <c r="AE156" s="94">
        <f>Table3.110[[#This Row],[Gas 8h, ml]]-Table3.110[[#This Row],[Gas 0h, ml]]</f>
        <v>25</v>
      </c>
      <c r="AF156" s="94">
        <f>Table3.110[[#This Row],[Gas 24h, ml]]-Table3.110[[#This Row],[V8 Push back, ml]]</f>
        <v>25</v>
      </c>
      <c r="AG156" s="94">
        <f>Table3.110[[#This Row],[GP 8h, ml]]-(AVERAGE(AE$116,AE$117,AE$167,AE$166,AE$219,AE$220))*$AG$8</f>
        <v>22.123728042697874</v>
      </c>
      <c r="AH156" s="94">
        <f>Table3.110[[#This Row],[GP 8-24h, ml]]-(AVERAGE(AF$11,AF$12,AF$62,AF$61,AF$114,AF$115))*$AG$8</f>
        <v>21.31247184961266</v>
      </c>
      <c r="AI156" s="94">
        <f>Table3.110[[#This Row],[Net gas 8-24h, ml]]+Table3.110[[#This Row],[Net gas 8h, ml]]</f>
        <v>43.436199892310533</v>
      </c>
      <c r="AJ156" s="94">
        <f>Table3.110[[#This Row],[Net gas 8h, ml]]*Table3.110[[#This Row],[CH4 8h %]]%</f>
        <v>3.4291778466181704</v>
      </c>
      <c r="AK156" s="94">
        <f>Table3.110[[#This Row],[Net gas 8-24h, ml]]*Table3.110[[#This Row],[CH4 24h, %]]%</f>
        <v>3.9214948203287294</v>
      </c>
      <c r="AL156" s="94">
        <f>Table3.110[[#This Row],[CH4 8-24h, ml]]+Table3.110[[#This Row],[CH4 8h, ml]]</f>
        <v>7.3506726669468998</v>
      </c>
      <c r="AM156" s="94">
        <f>(Table3.110[[#This Row],[Net gas 24h, ml]]/Table3.110[[#This Row],[DM Incubated, mg]])*1000</f>
        <v>94.573059189350474</v>
      </c>
      <c r="AN156" s="94">
        <f>'3.2 Digest'!X156</f>
        <v>18.046929595299904</v>
      </c>
      <c r="AO156" s="94">
        <f>Table3.110[[#This Row],[Digested feed, mg]]/Table3.110[[#This Row],[Net gas 24h, ml]]</f>
        <v>1.9082527043105426</v>
      </c>
      <c r="AP156" s="94">
        <f>Table3.110[[#This Row],[CH4 8h, ml]]/Table3.110[[#This Row],[Net gas 8h, ml]]%</f>
        <v>15.5</v>
      </c>
      <c r="AQ156" s="94">
        <f>Table3.110[[#This Row],[CH4 24h, ml]]/Table3.110[[#This Row],[Net gas 24h, ml]]%</f>
        <v>16.922918407160619</v>
      </c>
      <c r="AR156" s="94">
        <f>Table3.110[[#This Row],[CH4 24h, ml]]/Table3.110[[#This Row],[DM Incubated, mg]]*1000</f>
        <v>16.0045216417695</v>
      </c>
      <c r="AS156" s="94">
        <f>Table3.110[[#This Row],[CH4 24h, ml]]/Table3.110[[#This Row],[Digested feed, mg]]*1000</f>
        <v>88.682795360035513</v>
      </c>
      <c r="AT156" s="94">
        <f>Table3.110[[#This Row],[CH4 24h, ml]]/'3.2 Digest'!AA156</f>
        <v>-0.19716021431127381</v>
      </c>
      <c r="AU156" s="94">
        <f>((Table3.110[[#This Row],[CH4 24h, ml]]/28.9)*16.04)/Table3.110[[#This Row],[DM Incubated, mg]]*1000</f>
        <v>8.8827864060201644</v>
      </c>
      <c r="AV156" s="94">
        <f>((Table3.110[[#This Row],[CH4 24h, ml]]/28.9)*16.04)/Table3.110[[#This Row],[Digested feed, mg]]*1000</f>
        <v>49.220485729237701</v>
      </c>
      <c r="AW156" s="303"/>
    </row>
    <row r="157" spans="1:49" s="304" customFormat="1" x14ac:dyDescent="0.35">
      <c r="A157" s="89"/>
      <c r="B157" s="90">
        <f t="shared" si="2"/>
        <v>147</v>
      </c>
      <c r="C157" s="140">
        <v>46043</v>
      </c>
      <c r="D157" s="6" t="s">
        <v>16</v>
      </c>
      <c r="E157" s="6" t="s">
        <v>54</v>
      </c>
      <c r="F157" s="133" t="s">
        <v>19</v>
      </c>
      <c r="G157" s="133" t="s">
        <v>20</v>
      </c>
      <c r="H157" s="133" t="s">
        <v>21</v>
      </c>
      <c r="I157" s="6" t="s">
        <v>22</v>
      </c>
      <c r="J157" s="129" t="s">
        <v>23</v>
      </c>
      <c r="K157" s="129" t="s">
        <v>24</v>
      </c>
      <c r="L157" s="6" t="s">
        <v>53</v>
      </c>
      <c r="M157" s="119">
        <v>27</v>
      </c>
      <c r="N157" s="93">
        <v>59</v>
      </c>
      <c r="O157" s="6">
        <v>2</v>
      </c>
      <c r="P157" s="129">
        <v>1</v>
      </c>
      <c r="Q157" s="6">
        <v>327</v>
      </c>
      <c r="R157" s="98">
        <v>0.50039999999999996</v>
      </c>
      <c r="S157" s="94">
        <f>((Table3.110[[#This Row],[Sample weight, g]]*'2.1. DM'!Q37)/100)*1000</f>
        <v>473.93409289282039</v>
      </c>
      <c r="T157" s="94">
        <f>'3.2 Digest'!W157</f>
        <v>140.53409289282035</v>
      </c>
      <c r="U157" s="117">
        <v>0.36666666666666664</v>
      </c>
      <c r="V157" s="155">
        <v>41</v>
      </c>
      <c r="W157" s="117">
        <v>0.68888888888888888</v>
      </c>
      <c r="X157" s="96">
        <v>69.5</v>
      </c>
      <c r="Y157" s="96">
        <v>15.2</v>
      </c>
      <c r="Z157" s="155">
        <v>40.5</v>
      </c>
      <c r="AA157" s="117">
        <v>0.38194444444444442</v>
      </c>
      <c r="AB157" s="155">
        <v>67.5</v>
      </c>
      <c r="AC157" s="155">
        <v>17.5</v>
      </c>
      <c r="AD157" s="91"/>
      <c r="AE157" s="94">
        <f>Table3.110[[#This Row],[Gas 8h, ml]]-Table3.110[[#This Row],[Gas 0h, ml]]</f>
        <v>28.5</v>
      </c>
      <c r="AF157" s="94">
        <f>Table3.110[[#This Row],[Gas 24h, ml]]-Table3.110[[#This Row],[V8 Push back, ml]]</f>
        <v>27</v>
      </c>
      <c r="AG157" s="94">
        <f>Table3.110[[#This Row],[GP 8h, ml]]-(AVERAGE(AE$116,AE$117,AE$167,AE$166,AE$219,AE$220))*$AG$8</f>
        <v>25.623728042697874</v>
      </c>
      <c r="AH157" s="94">
        <f>Table3.110[[#This Row],[GP 8-24h, ml]]-(AVERAGE(AF$11,AF$12,AF$62,AF$61,AF$114,AF$115))*$AG$8</f>
        <v>23.31247184961266</v>
      </c>
      <c r="AI157" s="94">
        <f>Table3.110[[#This Row],[Net gas 8-24h, ml]]+Table3.110[[#This Row],[Net gas 8h, ml]]</f>
        <v>48.936199892310533</v>
      </c>
      <c r="AJ157" s="94">
        <f>Table3.110[[#This Row],[Net gas 8h, ml]]*Table3.110[[#This Row],[CH4 8h %]]%</f>
        <v>3.8948066624900766</v>
      </c>
      <c r="AK157" s="94">
        <f>Table3.110[[#This Row],[Net gas 8-24h, ml]]*Table3.110[[#This Row],[CH4 24h, %]]%</f>
        <v>4.0796825736822155</v>
      </c>
      <c r="AL157" s="94">
        <f>Table3.110[[#This Row],[CH4 8-24h, ml]]+Table3.110[[#This Row],[CH4 8h, ml]]</f>
        <v>7.9744892361722926</v>
      </c>
      <c r="AM157" s="94">
        <f>(Table3.110[[#This Row],[Net gas 24h, ml]]/Table3.110[[#This Row],[DM Incubated, mg]])*1000</f>
        <v>103.2552851254307</v>
      </c>
      <c r="AN157" s="94">
        <f>'3.2 Digest'!X157</f>
        <v>29.652665845375669</v>
      </c>
      <c r="AO157" s="94">
        <f>Table3.110[[#This Row],[Digested feed, mg]]/Table3.110[[#This Row],[Net gas 24h, ml]]</f>
        <v>2.871781895653545</v>
      </c>
      <c r="AP157" s="94">
        <f>Table3.110[[#This Row],[CH4 8h, ml]]/Table3.110[[#This Row],[Net gas 8h, ml]]%</f>
        <v>15.2</v>
      </c>
      <c r="AQ157" s="94">
        <f>Table3.110[[#This Row],[CH4 24h, ml]]/Table3.110[[#This Row],[Net gas 24h, ml]]%</f>
        <v>16.295685512403967</v>
      </c>
      <c r="AR157" s="94">
        <f>Table3.110[[#This Row],[CH4 24h, ml]]/Table3.110[[#This Row],[DM Incubated, mg]]*1000</f>
        <v>16.826156538976221</v>
      </c>
      <c r="AS157" s="94">
        <f>Table3.110[[#This Row],[CH4 24h, ml]]/Table3.110[[#This Row],[Digested feed, mg]]*1000</f>
        <v>56.744161306496011</v>
      </c>
      <c r="AT157" s="94">
        <f>Table3.110[[#This Row],[CH4 24h, ml]]/'3.2 Digest'!AA157</f>
        <v>-0.44721508855039227</v>
      </c>
      <c r="AU157" s="94">
        <f>((Table3.110[[#This Row],[CH4 24h, ml]]/28.9)*16.04)/Table3.110[[#This Row],[DM Incubated, mg]]*1000</f>
        <v>9.3388079891065239</v>
      </c>
      <c r="AV157" s="94">
        <f>((Table3.110[[#This Row],[CH4 24h, ml]]/28.9)*16.04)/Table3.110[[#This Row],[Digested feed, mg]]*1000</f>
        <v>31.493991257999856</v>
      </c>
      <c r="AW157" s="303"/>
    </row>
    <row r="158" spans="1:49" s="304" customFormat="1" x14ac:dyDescent="0.35">
      <c r="A158" s="89"/>
      <c r="B158" s="90">
        <f t="shared" si="2"/>
        <v>148</v>
      </c>
      <c r="C158" s="140">
        <v>46043</v>
      </c>
      <c r="D158" s="6" t="s">
        <v>16</v>
      </c>
      <c r="E158" s="6" t="s">
        <v>54</v>
      </c>
      <c r="F158" s="133" t="s">
        <v>19</v>
      </c>
      <c r="G158" s="133" t="s">
        <v>20</v>
      </c>
      <c r="H158" s="133" t="s">
        <v>21</v>
      </c>
      <c r="I158" s="6" t="s">
        <v>22</v>
      </c>
      <c r="J158" s="129" t="s">
        <v>23</v>
      </c>
      <c r="K158" s="129" t="s">
        <v>24</v>
      </c>
      <c r="L158" s="6" t="s">
        <v>53</v>
      </c>
      <c r="M158" s="119">
        <v>27</v>
      </c>
      <c r="N158" s="93">
        <v>59</v>
      </c>
      <c r="O158" s="6">
        <v>2</v>
      </c>
      <c r="P158" s="6">
        <v>2</v>
      </c>
      <c r="Q158" s="6">
        <v>328</v>
      </c>
      <c r="R158" s="98">
        <v>0.5</v>
      </c>
      <c r="S158" s="94">
        <f>((Table3.110[[#This Row],[Sample weight, g]]*'2.1. DM'!Q37)/100)*1000</f>
        <v>473.55524869386534</v>
      </c>
      <c r="T158" s="94">
        <f>'3.2 Digest'!W158</f>
        <v>211.55524869386534</v>
      </c>
      <c r="U158" s="153">
        <v>0.36736111111111114</v>
      </c>
      <c r="V158" s="154">
        <v>40.5</v>
      </c>
      <c r="W158" s="153">
        <v>0.68958333333333333</v>
      </c>
      <c r="X158" s="91">
        <v>68</v>
      </c>
      <c r="Y158" s="91">
        <v>15</v>
      </c>
      <c r="Z158" s="154">
        <v>40.5</v>
      </c>
      <c r="AA158" s="153">
        <v>0.38263888888888886</v>
      </c>
      <c r="AB158" s="154">
        <v>66.5</v>
      </c>
      <c r="AC158" s="154">
        <v>17.8</v>
      </c>
      <c r="AD158" s="96"/>
      <c r="AE158" s="94">
        <f>Table3.110[[#This Row],[Gas 8h, ml]]-Table3.110[[#This Row],[Gas 0h, ml]]</f>
        <v>27.5</v>
      </c>
      <c r="AF158" s="94">
        <f>Table3.110[[#This Row],[Gas 24h, ml]]-Table3.110[[#This Row],[V8 Push back, ml]]</f>
        <v>26</v>
      </c>
      <c r="AG158" s="94">
        <f>Table3.110[[#This Row],[GP 8h, ml]]-(AVERAGE(AE$116,AE$117,AE$167,AE$166,AE$219,AE$220))*$AG$8</f>
        <v>24.623728042697874</v>
      </c>
      <c r="AH158" s="94">
        <f>Table3.110[[#This Row],[GP 8-24h, ml]]-(AVERAGE(AF$11,AF$12,AF$62,AF$61,AF$114,AF$115))*$AG$8</f>
        <v>22.31247184961266</v>
      </c>
      <c r="AI158" s="94">
        <f>Table3.110[[#This Row],[Net gas 8-24h, ml]]+Table3.110[[#This Row],[Net gas 8h, ml]]</f>
        <v>46.936199892310533</v>
      </c>
      <c r="AJ158" s="94">
        <f>Table3.110[[#This Row],[Net gas 8h, ml]]*Table3.110[[#This Row],[CH4 8h %]]%</f>
        <v>3.6935592064046809</v>
      </c>
      <c r="AK158" s="94">
        <f>Table3.110[[#This Row],[Net gas 8-24h, ml]]*Table3.110[[#This Row],[CH4 24h, %]]%</f>
        <v>3.971619989231054</v>
      </c>
      <c r="AL158" s="94">
        <f>Table3.110[[#This Row],[CH4 8-24h, ml]]+Table3.110[[#This Row],[CH4 8h, ml]]</f>
        <v>7.6651791956357354</v>
      </c>
      <c r="AM158" s="94">
        <f>(Table3.110[[#This Row],[Net gas 24h, ml]]/Table3.110[[#This Row],[DM Incubated, mg]])*1000</f>
        <v>99.11451730662354</v>
      </c>
      <c r="AN158" s="94">
        <f>'3.2 Digest'!X158</f>
        <v>44.673826185511757</v>
      </c>
      <c r="AO158" s="94">
        <f>Table3.110[[#This Row],[Digested feed, mg]]/Table3.110[[#This Row],[Net gas 24h, ml]]</f>
        <v>4.5072939262073497</v>
      </c>
      <c r="AP158" s="94">
        <f>Table3.110[[#This Row],[CH4 8h, ml]]/Table3.110[[#This Row],[Net gas 8h, ml]]%</f>
        <v>15</v>
      </c>
      <c r="AQ158" s="94">
        <f>Table3.110[[#This Row],[CH4 24h, ml]]/Table3.110[[#This Row],[Net gas 24h, ml]]%</f>
        <v>16.331060488967083</v>
      </c>
      <c r="AR158" s="94">
        <f>Table3.110[[#This Row],[CH4 24h, ml]]/Table3.110[[#This Row],[DM Incubated, mg]]*1000</f>
        <v>16.186451774692436</v>
      </c>
      <c r="AS158" s="94">
        <f>Table3.110[[#This Row],[CH4 24h, ml]]/Table3.110[[#This Row],[Digested feed, mg]]*1000</f>
        <v>36.232517240580336</v>
      </c>
      <c r="AT158" s="94">
        <f>Table3.110[[#This Row],[CH4 24h, ml]]/'3.2 Digest'!AA158</f>
        <v>1.0458797713908423</v>
      </c>
      <c r="AU158" s="94">
        <f>((Table3.110[[#This Row],[CH4 24h, ml]]/28.9)*16.04)/Table3.110[[#This Row],[DM Incubated, mg]]*1000</f>
        <v>8.9837607773725487</v>
      </c>
      <c r="AV158" s="94">
        <f>((Table3.110[[#This Row],[CH4 24h, ml]]/28.9)*16.04)/Table3.110[[#This Row],[Digested feed, mg]]*1000</f>
        <v>20.109673928681953</v>
      </c>
      <c r="AW158" s="303"/>
    </row>
    <row r="159" spans="1:49" s="304" customFormat="1" x14ac:dyDescent="0.35">
      <c r="A159" s="89"/>
      <c r="B159" s="90">
        <f t="shared" si="2"/>
        <v>149</v>
      </c>
      <c r="C159" s="140">
        <v>46043</v>
      </c>
      <c r="D159" s="6" t="s">
        <v>16</v>
      </c>
      <c r="E159" s="6" t="s">
        <v>54</v>
      </c>
      <c r="F159" s="133" t="s">
        <v>19</v>
      </c>
      <c r="G159" s="133" t="s">
        <v>20</v>
      </c>
      <c r="H159" s="133" t="s">
        <v>21</v>
      </c>
      <c r="I159" s="6" t="s">
        <v>22</v>
      </c>
      <c r="J159" s="129" t="s">
        <v>23</v>
      </c>
      <c r="K159" s="129" t="s">
        <v>24</v>
      </c>
      <c r="L159" s="6" t="s">
        <v>53</v>
      </c>
      <c r="M159" s="119">
        <v>27</v>
      </c>
      <c r="N159" s="93">
        <v>59</v>
      </c>
      <c r="O159" s="6">
        <v>2</v>
      </c>
      <c r="P159" s="129">
        <v>3</v>
      </c>
      <c r="Q159" s="6">
        <v>329</v>
      </c>
      <c r="R159" s="98">
        <v>0.50049999999999994</v>
      </c>
      <c r="S159" s="94">
        <f>((Table3.110[[#This Row],[Sample weight, g]]*'2.1. DM'!Q37)/100)*1000</f>
        <v>474.02880394255914</v>
      </c>
      <c r="T159" s="94">
        <f>'3.2 Digest'!W159</f>
        <v>149.52880394255914</v>
      </c>
      <c r="U159" s="117">
        <v>0.36736111111111114</v>
      </c>
      <c r="V159" s="155">
        <v>40.5</v>
      </c>
      <c r="W159" s="117">
        <v>0.68958333333333333</v>
      </c>
      <c r="X159" s="96">
        <v>67.5</v>
      </c>
      <c r="Y159" s="96">
        <v>16.3</v>
      </c>
      <c r="Z159" s="155">
        <v>40.5</v>
      </c>
      <c r="AA159" s="117">
        <v>0.38333333333333336</v>
      </c>
      <c r="AB159" s="155">
        <v>68</v>
      </c>
      <c r="AC159" s="155">
        <v>17.8</v>
      </c>
      <c r="AD159" s="91"/>
      <c r="AE159" s="94">
        <f>Table3.110[[#This Row],[Gas 8h, ml]]-Table3.110[[#This Row],[Gas 0h, ml]]</f>
        <v>27</v>
      </c>
      <c r="AF159" s="94">
        <f>Table3.110[[#This Row],[Gas 24h, ml]]-Table3.110[[#This Row],[V8 Push back, ml]]</f>
        <v>27.5</v>
      </c>
      <c r="AG159" s="94">
        <f>Table3.110[[#This Row],[GP 8h, ml]]-(AVERAGE(AE$116,AE$117,AE$167,AE$166,AE$219,AE$220))*$AG$8</f>
        <v>24.123728042697874</v>
      </c>
      <c r="AH159" s="94">
        <f>Table3.110[[#This Row],[GP 8-24h, ml]]-(AVERAGE(AF$11,AF$12,AF$62,AF$61,AF$114,AF$115))*$AG$8</f>
        <v>23.81247184961266</v>
      </c>
      <c r="AI159" s="94">
        <f>Table3.110[[#This Row],[Net gas 8-24h, ml]]+Table3.110[[#This Row],[Net gas 8h, ml]]</f>
        <v>47.936199892310533</v>
      </c>
      <c r="AJ159" s="94">
        <f>Table3.110[[#This Row],[Net gas 8h, ml]]*Table3.110[[#This Row],[CH4 8h %]]%</f>
        <v>3.9321676709597537</v>
      </c>
      <c r="AK159" s="94">
        <f>Table3.110[[#This Row],[Net gas 8-24h, ml]]*Table3.110[[#This Row],[CH4 24h, %]]%</f>
        <v>4.2386199892310543</v>
      </c>
      <c r="AL159" s="94">
        <f>Table3.110[[#This Row],[CH4 8-24h, ml]]+Table3.110[[#This Row],[CH4 8h, ml]]</f>
        <v>8.1707876601908076</v>
      </c>
      <c r="AM159" s="94">
        <f>(Table3.110[[#This Row],[Net gas 24h, ml]]/Table3.110[[#This Row],[DM Incubated, mg]])*1000</f>
        <v>101.12507825182549</v>
      </c>
      <c r="AN159" s="94">
        <f>'3.2 Digest'!X159</f>
        <v>31.544244294631181</v>
      </c>
      <c r="AO159" s="94">
        <f>Table3.110[[#This Row],[Digested feed, mg]]/Table3.110[[#This Row],[Net gas 24h, ml]]</f>
        <v>3.1193295313036509</v>
      </c>
      <c r="AP159" s="94">
        <f>Table3.110[[#This Row],[CH4 8h, ml]]/Table3.110[[#This Row],[Net gas 8h, ml]]%</f>
        <v>16.3</v>
      </c>
      <c r="AQ159" s="94">
        <f>Table3.110[[#This Row],[CH4 24h, ml]]/Table3.110[[#This Row],[Net gas 24h, ml]]%</f>
        <v>17.045130149128671</v>
      </c>
      <c r="AR159" s="94">
        <f>Table3.110[[#This Row],[CH4 24h, ml]]/Table3.110[[#This Row],[DM Incubated, mg]]*1000</f>
        <v>17.236901201431866</v>
      </c>
      <c r="AS159" s="94">
        <f>Table3.110[[#This Row],[CH4 24h, ml]]/Table3.110[[#This Row],[Digested feed, mg]]*1000</f>
        <v>54.643569966155695</v>
      </c>
      <c r="AT159" s="94">
        <f>Table3.110[[#This Row],[CH4 24h, ml]]/'3.2 Digest'!AA159</f>
        <v>-0.557236346189521</v>
      </c>
      <c r="AU159" s="94">
        <f>((Table3.110[[#This Row],[CH4 24h, ml]]/28.9)*16.04)/Table3.110[[#This Row],[DM Incubated, mg]]*1000</f>
        <v>9.5667783830784465</v>
      </c>
      <c r="AV159" s="94">
        <f>((Table3.110[[#This Row],[CH4 24h, ml]]/28.9)*16.04)/Table3.110[[#This Row],[Digested feed, mg]]*1000</f>
        <v>30.328126721700254</v>
      </c>
      <c r="AW159" s="303"/>
    </row>
    <row r="160" spans="1:49" s="304" customFormat="1" x14ac:dyDescent="0.35">
      <c r="A160" s="89"/>
      <c r="B160" s="90">
        <f t="shared" si="2"/>
        <v>150</v>
      </c>
      <c r="C160" s="140">
        <v>46043</v>
      </c>
      <c r="D160" s="6" t="s">
        <v>16</v>
      </c>
      <c r="E160" s="6" t="s">
        <v>56</v>
      </c>
      <c r="F160" s="133" t="s">
        <v>19</v>
      </c>
      <c r="G160" s="133" t="s">
        <v>20</v>
      </c>
      <c r="H160" s="133" t="s">
        <v>21</v>
      </c>
      <c r="I160" s="6" t="s">
        <v>22</v>
      </c>
      <c r="J160" s="129" t="s">
        <v>23</v>
      </c>
      <c r="K160" s="129" t="s">
        <v>24</v>
      </c>
      <c r="L160" s="6" t="s">
        <v>55</v>
      </c>
      <c r="M160" s="119">
        <v>27</v>
      </c>
      <c r="N160" s="93">
        <v>59</v>
      </c>
      <c r="O160" s="6">
        <v>2</v>
      </c>
      <c r="P160" s="129">
        <v>1</v>
      </c>
      <c r="Q160" s="6">
        <v>330</v>
      </c>
      <c r="R160" s="98">
        <v>0.5</v>
      </c>
      <c r="S160" s="94">
        <f>((Table3.110[[#This Row],[Sample weight, g]]*'2.1. DM'!Q39)/100)*1000</f>
        <v>475.60975609756059</v>
      </c>
      <c r="T160" s="94">
        <f>'3.2 Digest'!W160</f>
        <v>114.00975609756057</v>
      </c>
      <c r="U160" s="153">
        <v>0.36805555555555558</v>
      </c>
      <c r="V160" s="154">
        <v>41.5</v>
      </c>
      <c r="W160" s="153">
        <v>0.69027777777777777</v>
      </c>
      <c r="X160" s="91">
        <v>69</v>
      </c>
      <c r="Y160" s="91">
        <v>14.4</v>
      </c>
      <c r="Z160" s="154">
        <v>40.5</v>
      </c>
      <c r="AA160" s="153">
        <v>0.38333333333333336</v>
      </c>
      <c r="AB160" s="154">
        <v>66</v>
      </c>
      <c r="AC160" s="154">
        <v>17.8</v>
      </c>
      <c r="AD160" s="96"/>
      <c r="AE160" s="94">
        <f>Table3.110[[#This Row],[Gas 8h, ml]]-Table3.110[[#This Row],[Gas 0h, ml]]</f>
        <v>27.5</v>
      </c>
      <c r="AF160" s="94">
        <f>Table3.110[[#This Row],[Gas 24h, ml]]-Table3.110[[#This Row],[V8 Push back, ml]]</f>
        <v>25.5</v>
      </c>
      <c r="AG160" s="94">
        <f>Table3.110[[#This Row],[GP 8h, ml]]-(AVERAGE(AE$116,AE$117,AE$167,AE$166,AE$219,AE$220))*$AG$8</f>
        <v>24.623728042697874</v>
      </c>
      <c r="AH160" s="94">
        <f>Table3.110[[#This Row],[GP 8-24h, ml]]-(AVERAGE(AF$11,AF$12,AF$62,AF$61,AF$114,AF$115))*$AG$8</f>
        <v>21.81247184961266</v>
      </c>
      <c r="AI160" s="94">
        <f>Table3.110[[#This Row],[Net gas 8-24h, ml]]+Table3.110[[#This Row],[Net gas 8h, ml]]</f>
        <v>46.436199892310533</v>
      </c>
      <c r="AJ160" s="94">
        <f>Table3.110[[#This Row],[Net gas 8h, ml]]*Table3.110[[#This Row],[CH4 8h %]]%</f>
        <v>3.545816838148494</v>
      </c>
      <c r="AK160" s="94">
        <f>Table3.110[[#This Row],[Net gas 8-24h, ml]]*Table3.110[[#This Row],[CH4 24h, %]]%</f>
        <v>3.882619989231054</v>
      </c>
      <c r="AL160" s="94">
        <f>Table3.110[[#This Row],[CH4 8-24h, ml]]+Table3.110[[#This Row],[CH4 8h, ml]]</f>
        <v>7.4284368273795476</v>
      </c>
      <c r="AM160" s="94">
        <f>(Table3.110[[#This Row],[Net gas 24h, ml]]/Table3.110[[#This Row],[DM Incubated, mg]])*1000</f>
        <v>97.635086953063251</v>
      </c>
      <c r="AN160" s="94">
        <f>'3.2 Digest'!X160</f>
        <v>23.971282051281985</v>
      </c>
      <c r="AO160" s="94">
        <f>Table3.110[[#This Row],[Digested feed, mg]]/Table3.110[[#This Row],[Net gas 24h, ml]]</f>
        <v>2.4551913455872536</v>
      </c>
      <c r="AP160" s="94">
        <f>Table3.110[[#This Row],[CH4 8h, ml]]/Table3.110[[#This Row],[Net gas 8h, ml]]%</f>
        <v>14.4</v>
      </c>
      <c r="AQ160" s="94">
        <f>Table3.110[[#This Row],[CH4 24h, ml]]/Table3.110[[#This Row],[Net gas 24h, ml]]%</f>
        <v>15.997081683270206</v>
      </c>
      <c r="AR160" s="94">
        <f>Table3.110[[#This Row],[CH4 24h, ml]]/Table3.110[[#This Row],[DM Incubated, mg]]*1000</f>
        <v>15.61876461141342</v>
      </c>
      <c r="AS160" s="94">
        <f>Table3.110[[#This Row],[CH4 24h, ml]]/Table3.110[[#This Row],[Digested feed, mg]]*1000</f>
        <v>65.156150505425842</v>
      </c>
      <c r="AT160" s="94">
        <f>Table3.110[[#This Row],[CH4 24h, ml]]/'3.2 Digest'!AA160</f>
        <v>-0.26601582067230617</v>
      </c>
      <c r="AU160" s="94">
        <f>((Table3.110[[#This Row],[CH4 24h, ml]]/28.9)*16.04)/Table3.110[[#This Row],[DM Incubated, mg]]*1000</f>
        <v>8.6686845801754746</v>
      </c>
      <c r="AV160" s="94">
        <f>((Table3.110[[#This Row],[CH4 24h, ml]]/28.9)*16.04)/Table3.110[[#This Row],[Digested feed, mg]]*1000</f>
        <v>36.162790799551225</v>
      </c>
      <c r="AW160" s="303"/>
    </row>
    <row r="161" spans="1:49" s="304" customFormat="1" x14ac:dyDescent="0.35">
      <c r="A161" s="89"/>
      <c r="B161" s="90">
        <f t="shared" si="2"/>
        <v>151</v>
      </c>
      <c r="C161" s="140">
        <v>46043</v>
      </c>
      <c r="D161" s="6" t="s">
        <v>16</v>
      </c>
      <c r="E161" s="6" t="s">
        <v>56</v>
      </c>
      <c r="F161" s="133" t="s">
        <v>19</v>
      </c>
      <c r="G161" s="133" t="s">
        <v>20</v>
      </c>
      <c r="H161" s="133" t="s">
        <v>21</v>
      </c>
      <c r="I161" s="6" t="s">
        <v>22</v>
      </c>
      <c r="J161" s="129" t="s">
        <v>23</v>
      </c>
      <c r="K161" s="129" t="s">
        <v>24</v>
      </c>
      <c r="L161" s="6" t="s">
        <v>55</v>
      </c>
      <c r="M161" s="119">
        <v>27</v>
      </c>
      <c r="N161" s="93">
        <v>59</v>
      </c>
      <c r="O161" s="6">
        <v>2</v>
      </c>
      <c r="P161" s="6">
        <v>2</v>
      </c>
      <c r="Q161" s="6">
        <v>331</v>
      </c>
      <c r="R161" s="98">
        <v>0.50009999999999999</v>
      </c>
      <c r="S161" s="94">
        <f>((Table3.110[[#This Row],[Sample weight, g]]*'2.1. DM'!Q39)/100)*1000</f>
        <v>475.70487804878002</v>
      </c>
      <c r="T161" s="94">
        <f>'3.2 Digest'!W161</f>
        <v>131.50487804878009</v>
      </c>
      <c r="U161" s="117">
        <v>0.36805555555555558</v>
      </c>
      <c r="V161" s="155">
        <v>40.5</v>
      </c>
      <c r="W161" s="117">
        <v>0.69027777777777777</v>
      </c>
      <c r="X161" s="96">
        <v>63.5</v>
      </c>
      <c r="Y161" s="96">
        <v>16.5</v>
      </c>
      <c r="Z161" s="155">
        <v>40</v>
      </c>
      <c r="AA161" s="117">
        <v>0.3840277777777778</v>
      </c>
      <c r="AB161" s="155">
        <v>65</v>
      </c>
      <c r="AC161" s="155">
        <v>18.5</v>
      </c>
      <c r="AD161" s="91"/>
      <c r="AE161" s="94">
        <f>Table3.110[[#This Row],[Gas 8h, ml]]-Table3.110[[#This Row],[Gas 0h, ml]]</f>
        <v>23</v>
      </c>
      <c r="AF161" s="94">
        <f>Table3.110[[#This Row],[Gas 24h, ml]]-Table3.110[[#This Row],[V8 Push back, ml]]</f>
        <v>25</v>
      </c>
      <c r="AG161" s="94">
        <f>Table3.110[[#This Row],[GP 8h, ml]]-(AVERAGE(AE$116,AE$117,AE$167,AE$166,AE$219,AE$220))*$AG$8</f>
        <v>20.123728042697874</v>
      </c>
      <c r="AH161" s="94">
        <f>Table3.110[[#This Row],[GP 8-24h, ml]]-(AVERAGE(AF$11,AF$12,AF$62,AF$61,AF$114,AF$115))*$AG$8</f>
        <v>21.31247184961266</v>
      </c>
      <c r="AI161" s="94">
        <f>Table3.110[[#This Row],[Net gas 8-24h, ml]]+Table3.110[[#This Row],[Net gas 8h, ml]]</f>
        <v>41.436199892310533</v>
      </c>
      <c r="AJ161" s="94">
        <f>Table3.110[[#This Row],[Net gas 8h, ml]]*Table3.110[[#This Row],[CH4 8h %]]%</f>
        <v>3.3204151270451492</v>
      </c>
      <c r="AK161" s="94">
        <f>Table3.110[[#This Row],[Net gas 8-24h, ml]]*Table3.110[[#This Row],[CH4 24h, %]]%</f>
        <v>3.9428072921783421</v>
      </c>
      <c r="AL161" s="94">
        <f>Table3.110[[#This Row],[CH4 8-24h, ml]]+Table3.110[[#This Row],[CH4 8h, ml]]</f>
        <v>7.2632224192234913</v>
      </c>
      <c r="AM161" s="94">
        <f>(Table3.110[[#This Row],[Net gas 24h, ml]]/Table3.110[[#This Row],[DM Incubated, mg]])*1000</f>
        <v>87.104845471148508</v>
      </c>
      <c r="AN161" s="94">
        <f>'3.2 Digest'!X161</f>
        <v>27.644214746794169</v>
      </c>
      <c r="AO161" s="94">
        <f>Table3.110[[#This Row],[Digested feed, mg]]/Table3.110[[#This Row],[Net gas 24h, ml]]</f>
        <v>3.1736712920236667</v>
      </c>
      <c r="AP161" s="94">
        <f>Table3.110[[#This Row],[CH4 8h, ml]]/Table3.110[[#This Row],[Net gas 8h, ml]]%</f>
        <v>16.5</v>
      </c>
      <c r="AQ161" s="94">
        <f>Table3.110[[#This Row],[CH4 24h, ml]]/Table3.110[[#This Row],[Net gas 24h, ml]]%</f>
        <v>17.528688533456357</v>
      </c>
      <c r="AR161" s="94">
        <f>Table3.110[[#This Row],[CH4 24h, ml]]/Table3.110[[#This Row],[DM Incubated, mg]]*1000</f>
        <v>15.268337060186088</v>
      </c>
      <c r="AS161" s="94">
        <f>Table3.110[[#This Row],[CH4 24h, ml]]/Table3.110[[#This Row],[Digested feed, mg]]*1000</f>
        <v>55.231581725274786</v>
      </c>
      <c r="AT161" s="94">
        <f>Table3.110[[#This Row],[CH4 24h, ml]]/'3.2 Digest'!AA161</f>
        <v>-0.33402155958369323</v>
      </c>
      <c r="AU161" s="94">
        <f>((Table3.110[[#This Row],[CH4 24h, ml]]/28.9)*16.04)/Table3.110[[#This Row],[DM Incubated, mg]]*1000</f>
        <v>8.474191226483903</v>
      </c>
      <c r="AV161" s="94">
        <f>((Table3.110[[#This Row],[CH4 24h, ml]]/28.9)*16.04)/Table3.110[[#This Row],[Digested feed, mg]]*1000</f>
        <v>30.654483421225173</v>
      </c>
      <c r="AW161" s="303"/>
    </row>
    <row r="162" spans="1:49" s="304" customFormat="1" x14ac:dyDescent="0.35">
      <c r="A162" s="89"/>
      <c r="B162" s="90">
        <f t="shared" si="2"/>
        <v>152</v>
      </c>
      <c r="C162" s="140">
        <v>46043</v>
      </c>
      <c r="D162" s="6" t="s">
        <v>16</v>
      </c>
      <c r="E162" s="6" t="s">
        <v>56</v>
      </c>
      <c r="F162" s="133" t="s">
        <v>19</v>
      </c>
      <c r="G162" s="133" t="s">
        <v>20</v>
      </c>
      <c r="H162" s="133" t="s">
        <v>21</v>
      </c>
      <c r="I162" s="6" t="s">
        <v>22</v>
      </c>
      <c r="J162" s="129" t="s">
        <v>23</v>
      </c>
      <c r="K162" s="129" t="s">
        <v>24</v>
      </c>
      <c r="L162" s="6" t="s">
        <v>55</v>
      </c>
      <c r="M162" s="119">
        <v>27</v>
      </c>
      <c r="N162" s="93">
        <v>59</v>
      </c>
      <c r="O162" s="6">
        <v>2</v>
      </c>
      <c r="P162" s="129">
        <v>3</v>
      </c>
      <c r="Q162" s="6">
        <v>332</v>
      </c>
      <c r="R162" s="98">
        <v>0.50029999999999997</v>
      </c>
      <c r="S162" s="94">
        <f>((Table3.110[[#This Row],[Sample weight, g]]*'2.1. DM'!Q39)/100)*1000</f>
        <v>475.8951219512191</v>
      </c>
      <c r="T162" s="94">
        <f>'3.2 Digest'!W162</f>
        <v>154.29512195121907</v>
      </c>
      <c r="U162" s="117">
        <v>0.36875000000000002</v>
      </c>
      <c r="V162" s="155">
        <v>40.5</v>
      </c>
      <c r="W162" s="117">
        <v>0.69097222222222221</v>
      </c>
      <c r="X162" s="96">
        <v>66.5</v>
      </c>
      <c r="Y162" s="96">
        <v>15.3</v>
      </c>
      <c r="Z162" s="155">
        <v>40</v>
      </c>
      <c r="AA162" s="117">
        <v>0.38472222222222224</v>
      </c>
      <c r="AB162" s="155">
        <v>65.5</v>
      </c>
      <c r="AC162" s="155">
        <v>18.600000000000001</v>
      </c>
      <c r="AD162" s="96"/>
      <c r="AE162" s="94">
        <f>Table3.110[[#This Row],[Gas 8h, ml]]-Table3.110[[#This Row],[Gas 0h, ml]]</f>
        <v>26</v>
      </c>
      <c r="AF162" s="94">
        <f>Table3.110[[#This Row],[Gas 24h, ml]]-Table3.110[[#This Row],[V8 Push back, ml]]</f>
        <v>25.5</v>
      </c>
      <c r="AG162" s="94">
        <f>Table3.110[[#This Row],[GP 8h, ml]]-(AVERAGE(AE$116,AE$117,AE$167,AE$166,AE$219,AE$220))*$AG$8</f>
        <v>23.123728042697874</v>
      </c>
      <c r="AH162" s="94">
        <f>Table3.110[[#This Row],[GP 8-24h, ml]]-(AVERAGE(AF$11,AF$12,AF$62,AF$61,AF$114,AF$115))*$AG$8</f>
        <v>21.81247184961266</v>
      </c>
      <c r="AI162" s="94">
        <f>Table3.110[[#This Row],[Net gas 8-24h, ml]]+Table3.110[[#This Row],[Net gas 8h, ml]]</f>
        <v>44.936199892310533</v>
      </c>
      <c r="AJ162" s="94">
        <f>Table3.110[[#This Row],[Net gas 8h, ml]]*Table3.110[[#This Row],[CH4 8h %]]%</f>
        <v>3.5379303905327744</v>
      </c>
      <c r="AK162" s="94">
        <f>Table3.110[[#This Row],[Net gas 8-24h, ml]]*Table3.110[[#This Row],[CH4 24h, %]]%</f>
        <v>4.0571197640279557</v>
      </c>
      <c r="AL162" s="94">
        <f>Table3.110[[#This Row],[CH4 8-24h, ml]]+Table3.110[[#This Row],[CH4 8h, ml]]</f>
        <v>7.5950501545607301</v>
      </c>
      <c r="AM162" s="94">
        <f>(Table3.110[[#This Row],[Net gas 24h, ml]]/Table3.110[[#This Row],[DM Incubated, mg]])*1000</f>
        <v>94.424586047588548</v>
      </c>
      <c r="AN162" s="94">
        <f>'3.2 Digest'!X162</f>
        <v>32.422085210412149</v>
      </c>
      <c r="AO162" s="94">
        <f>Table3.110[[#This Row],[Digested feed, mg]]/Table3.110[[#This Row],[Net gas 24h, ml]]</f>
        <v>3.4336486467700178</v>
      </c>
      <c r="AP162" s="94">
        <f>Table3.110[[#This Row],[CH4 8h, ml]]/Table3.110[[#This Row],[Net gas 8h, ml]]%</f>
        <v>15.299999999999997</v>
      </c>
      <c r="AQ162" s="94">
        <f>Table3.110[[#This Row],[CH4 24h, ml]]/Table3.110[[#This Row],[Net gas 24h, ml]]%</f>
        <v>16.901852343460828</v>
      </c>
      <c r="AR162" s="94">
        <f>Table3.110[[#This Row],[CH4 24h, ml]]/Table3.110[[#This Row],[DM Incubated, mg]]*1000</f>
        <v>15.959504109687533</v>
      </c>
      <c r="AS162" s="94">
        <f>Table3.110[[#This Row],[CH4 24h, ml]]/Table3.110[[#This Row],[Digested feed, mg]]*1000</f>
        <v>49.224175453595549</v>
      </c>
      <c r="AT162" s="94">
        <f>Table3.110[[#This Row],[CH4 24h, ml]]/'3.2 Digest'!AA162</f>
        <v>-0.55415681551005191</v>
      </c>
      <c r="AU162" s="94">
        <f>((Table3.110[[#This Row],[CH4 24h, ml]]/28.9)*16.04)/Table3.110[[#This Row],[DM Incubated, mg]]*1000</f>
        <v>8.8578008968646387</v>
      </c>
      <c r="AV162" s="94">
        <f>((Table3.110[[#This Row],[CH4 24h, ml]]/28.9)*16.04)/Table3.110[[#This Row],[Digested feed, mg]]*1000</f>
        <v>27.320269006078643</v>
      </c>
      <c r="AW162" s="303"/>
    </row>
    <row r="163" spans="1:49" s="304" customFormat="1" x14ac:dyDescent="0.35">
      <c r="A163" s="89"/>
      <c r="B163" s="90">
        <f t="shared" si="2"/>
        <v>153</v>
      </c>
      <c r="C163" s="140">
        <v>46043</v>
      </c>
      <c r="D163" s="6" t="s">
        <v>16</v>
      </c>
      <c r="E163" s="6" t="s">
        <v>58</v>
      </c>
      <c r="F163" s="133" t="s">
        <v>19</v>
      </c>
      <c r="G163" s="133" t="s">
        <v>20</v>
      </c>
      <c r="H163" s="133" t="s">
        <v>21</v>
      </c>
      <c r="I163" s="6" t="s">
        <v>22</v>
      </c>
      <c r="J163" s="129" t="s">
        <v>23</v>
      </c>
      <c r="K163" s="129" t="s">
        <v>24</v>
      </c>
      <c r="L163" s="6" t="s">
        <v>57</v>
      </c>
      <c r="M163" s="119">
        <v>27</v>
      </c>
      <c r="N163" s="93">
        <v>59</v>
      </c>
      <c r="O163" s="6">
        <v>2</v>
      </c>
      <c r="P163" s="129">
        <v>1</v>
      </c>
      <c r="Q163" s="6">
        <v>1</v>
      </c>
      <c r="R163" s="98">
        <v>0.50039999999999996</v>
      </c>
      <c r="S163" s="94">
        <f>((Table3.110[[#This Row],[Sample weight, g]]*'2.1. DM'!Q41)/100)*1000</f>
        <v>468.98112343719157</v>
      </c>
      <c r="T163" s="94">
        <f>'3.2 Digest'!W163</f>
        <v>137.08112343719159</v>
      </c>
      <c r="U163" s="117">
        <v>0.36944444444444446</v>
      </c>
      <c r="V163" s="155">
        <v>41</v>
      </c>
      <c r="W163" s="117">
        <v>0.69097222222222221</v>
      </c>
      <c r="X163" s="96">
        <v>64.5</v>
      </c>
      <c r="Y163" s="96">
        <v>15.3</v>
      </c>
      <c r="Z163" s="155">
        <v>40.5</v>
      </c>
      <c r="AA163" s="117">
        <v>0.38472222222222224</v>
      </c>
      <c r="AB163" s="155">
        <v>70.5</v>
      </c>
      <c r="AC163" s="155">
        <v>17.399999999999999</v>
      </c>
      <c r="AD163" s="91"/>
      <c r="AE163" s="94">
        <f>Table3.110[[#This Row],[Gas 8h, ml]]-Table3.110[[#This Row],[Gas 0h, ml]]</f>
        <v>23.5</v>
      </c>
      <c r="AF163" s="94">
        <f>Table3.110[[#This Row],[Gas 24h, ml]]-Table3.110[[#This Row],[V8 Push back, ml]]</f>
        <v>30</v>
      </c>
      <c r="AG163" s="94">
        <f>Table3.110[[#This Row],[GP 8h, ml]]-(AVERAGE(AE$116,AE$117,AE$167,AE$166,AE$219,AE$220))*$AG$8</f>
        <v>20.623728042697874</v>
      </c>
      <c r="AH163" s="94">
        <f>Table3.110[[#This Row],[GP 8-24h, ml]]-(AVERAGE(AF$11,AF$12,AF$62,AF$61,AF$114,AF$115))*$AG$8</f>
        <v>26.31247184961266</v>
      </c>
      <c r="AI163" s="94">
        <f>Table3.110[[#This Row],[Net gas 8-24h, ml]]+Table3.110[[#This Row],[Net gas 8h, ml]]</f>
        <v>46.936199892310533</v>
      </c>
      <c r="AJ163" s="94">
        <f>Table3.110[[#This Row],[Net gas 8h, ml]]*Table3.110[[#This Row],[CH4 8h %]]%</f>
        <v>3.1554303905327745</v>
      </c>
      <c r="AK163" s="94">
        <f>Table3.110[[#This Row],[Net gas 8-24h, ml]]*Table3.110[[#This Row],[CH4 24h, %]]%</f>
        <v>4.5783701018326024</v>
      </c>
      <c r="AL163" s="94">
        <f>Table3.110[[#This Row],[CH4 8-24h, ml]]+Table3.110[[#This Row],[CH4 8h, ml]]</f>
        <v>7.7338004923653774</v>
      </c>
      <c r="AM163" s="94">
        <f>(Table3.110[[#This Row],[Net gas 24h, ml]]/Table3.110[[#This Row],[DM Incubated, mg]])*1000</f>
        <v>100.08121339364841</v>
      </c>
      <c r="AN163" s="94">
        <f>'3.2 Digest'!X163</f>
        <v>29.229560975187141</v>
      </c>
      <c r="AO163" s="94">
        <f>Table3.110[[#This Row],[Digested feed, mg]]/Table3.110[[#This Row],[Net gas 24h, ml]]</f>
        <v>2.920584191982047</v>
      </c>
      <c r="AP163" s="94">
        <f>Table3.110[[#This Row],[CH4 8h, ml]]/Table3.110[[#This Row],[Net gas 8h, ml]]%</f>
        <v>15.3</v>
      </c>
      <c r="AQ163" s="94">
        <f>Table3.110[[#This Row],[CH4 24h, ml]]/Table3.110[[#This Row],[Net gas 24h, ml]]%</f>
        <v>16.477261708680405</v>
      </c>
      <c r="AR163" s="94">
        <f>Table3.110[[#This Row],[CH4 24h, ml]]/Table3.110[[#This Row],[DM Incubated, mg]]*1000</f>
        <v>16.490643452094353</v>
      </c>
      <c r="AS163" s="94">
        <f>Table3.110[[#This Row],[CH4 24h, ml]]/Table3.110[[#This Row],[Digested feed, mg]]*1000</f>
        <v>56.41769120683405</v>
      </c>
      <c r="AT163" s="94">
        <f>Table3.110[[#This Row],[CH4 24h, ml]]/'3.2 Digest'!AA163</f>
        <v>-0.77769742580458368</v>
      </c>
      <c r="AU163" s="94">
        <f>((Table3.110[[#This Row],[CH4 24h, ml]]/28.9)*16.04)/Table3.110[[#This Row],[DM Incubated, mg]]*1000</f>
        <v>9.1525924211624048</v>
      </c>
      <c r="AV163" s="94">
        <f>((Table3.110[[#This Row],[CH4 24h, ml]]/28.9)*16.04)/Table3.110[[#This Row],[Digested feed, mg]]*1000</f>
        <v>31.312794704415857</v>
      </c>
      <c r="AW163" s="303"/>
    </row>
    <row r="164" spans="1:49" s="304" customFormat="1" x14ac:dyDescent="0.35">
      <c r="A164" s="89"/>
      <c r="B164" s="90">
        <f t="shared" si="2"/>
        <v>154</v>
      </c>
      <c r="C164" s="140">
        <v>46043</v>
      </c>
      <c r="D164" s="6" t="s">
        <v>16</v>
      </c>
      <c r="E164" s="6" t="s">
        <v>58</v>
      </c>
      <c r="F164" s="133" t="s">
        <v>19</v>
      </c>
      <c r="G164" s="133" t="s">
        <v>20</v>
      </c>
      <c r="H164" s="133" t="s">
        <v>21</v>
      </c>
      <c r="I164" s="6" t="s">
        <v>22</v>
      </c>
      <c r="J164" s="129" t="s">
        <v>23</v>
      </c>
      <c r="K164" s="129" t="s">
        <v>24</v>
      </c>
      <c r="L164" s="6" t="s">
        <v>57</v>
      </c>
      <c r="M164" s="119">
        <v>27</v>
      </c>
      <c r="N164" s="93">
        <v>59</v>
      </c>
      <c r="O164" s="6">
        <v>2</v>
      </c>
      <c r="P164" s="129">
        <v>2</v>
      </c>
      <c r="Q164" s="6">
        <v>2</v>
      </c>
      <c r="R164" s="98">
        <v>0.50049999999999994</v>
      </c>
      <c r="S164" s="94">
        <f>((Table3.110[[#This Row],[Sample weight, g]]*'2.1. DM'!Q41)/100)*1000</f>
        <v>469.07484468488082</v>
      </c>
      <c r="T164" s="94">
        <f>'3.2 Digest'!W164</f>
        <v>96.474844684880907</v>
      </c>
      <c r="U164" s="153">
        <v>0.37013888888888891</v>
      </c>
      <c r="V164" s="154">
        <v>41.5</v>
      </c>
      <c r="W164" s="153">
        <v>0.69166666666666665</v>
      </c>
      <c r="X164" s="91">
        <v>64.5</v>
      </c>
      <c r="Y164" s="91">
        <v>14.3</v>
      </c>
      <c r="Z164" s="154">
        <v>40.5</v>
      </c>
      <c r="AA164" s="153">
        <v>0.38541666666666669</v>
      </c>
      <c r="AB164" s="154">
        <v>69</v>
      </c>
      <c r="AC164" s="154"/>
      <c r="AD164" s="96"/>
      <c r="AE164" s="94">
        <f>Table3.110[[#This Row],[Gas 8h, ml]]-Table3.110[[#This Row],[Gas 0h, ml]]</f>
        <v>23</v>
      </c>
      <c r="AF164" s="94">
        <f>Table3.110[[#This Row],[Gas 24h, ml]]-Table3.110[[#This Row],[V8 Push back, ml]]</f>
        <v>28.5</v>
      </c>
      <c r="AG164" s="94">
        <f>Table3.110[[#This Row],[GP 8h, ml]]-(AVERAGE(AE$116,AE$117,AE$167,AE$166,AE$219,AE$220))*$AG$8</f>
        <v>20.123728042697874</v>
      </c>
      <c r="AH164" s="94">
        <f>Table3.110[[#This Row],[GP 8-24h, ml]]-(AVERAGE(AF$11,AF$12,AF$62,AF$61,AF$114,AF$115))*$AG$8</f>
        <v>24.81247184961266</v>
      </c>
      <c r="AI164" s="94">
        <f>Table3.110[[#This Row],[Net gas 8-24h, ml]]+Table3.110[[#This Row],[Net gas 8h, ml]]</f>
        <v>44.936199892310533</v>
      </c>
      <c r="AJ164" s="94">
        <f>Table3.110[[#This Row],[Net gas 8h, ml]]*Table3.110[[#This Row],[CH4 8h %]]%</f>
        <v>2.8776931101057963</v>
      </c>
      <c r="AK164" s="94">
        <f>Table3.110[[#This Row],[Net gas 8-24h, ml]]*Table3.110[[#This Row],[CH4 24h, %]]%</f>
        <v>0</v>
      </c>
      <c r="AL164" s="94">
        <f>Table3.110[[#This Row],[CH4 8-24h, ml]]+Table3.110[[#This Row],[CH4 8h, ml]]</f>
        <v>2.8776931101057963</v>
      </c>
      <c r="AM164" s="94">
        <f>(Table3.110[[#This Row],[Net gas 24h, ml]]/Table3.110[[#This Row],[DM Incubated, mg]])*1000</f>
        <v>95.797505241403783</v>
      </c>
      <c r="AN164" s="94">
        <f>'3.2 Digest'!X164</f>
        <v>20.56704719471615</v>
      </c>
      <c r="AO164" s="94">
        <f>Table3.110[[#This Row],[Digested feed, mg]]/Table3.110[[#This Row],[Net gas 24h, ml]]</f>
        <v>2.1469293112475594</v>
      </c>
      <c r="AP164" s="94">
        <f>Table3.110[[#This Row],[CH4 8h, ml]]/Table3.110[[#This Row],[Net gas 8h, ml]]%</f>
        <v>14.3</v>
      </c>
      <c r="AQ164" s="94">
        <f>Table3.110[[#This Row],[CH4 24h, ml]]/Table3.110[[#This Row],[Net gas 24h, ml]]%</f>
        <v>6.4039529755568543</v>
      </c>
      <c r="AR164" s="94">
        <f>Table3.110[[#This Row],[CH4 24h, ml]]/Table3.110[[#This Row],[DM Incubated, mg]]*1000</f>
        <v>6.1348271874161107</v>
      </c>
      <c r="AS164" s="94">
        <f>Table3.110[[#This Row],[CH4 24h, ml]]/Table3.110[[#This Row],[Digested feed, mg]]*1000</f>
        <v>29.828429571514771</v>
      </c>
      <c r="AT164" s="94">
        <f>Table3.110[[#This Row],[CH4 24h, ml]]/'3.2 Digest'!AA164</f>
        <v>-0.1229677253133216</v>
      </c>
      <c r="AU164" s="94">
        <f>((Table3.110[[#This Row],[CH4 24h, ml]]/28.9)*16.04)/Table3.110[[#This Row],[DM Incubated, mg]]*1000</f>
        <v>3.404935227894617</v>
      </c>
      <c r="AV164" s="94">
        <f>((Table3.110[[#This Row],[CH4 24h, ml]]/28.9)*16.04)/Table3.110[[#This Row],[Digested feed, mg]]*1000</f>
        <v>16.555294474986056</v>
      </c>
      <c r="AW164" s="303"/>
    </row>
    <row r="165" spans="1:49" s="304" customFormat="1" x14ac:dyDescent="0.35">
      <c r="A165" s="89"/>
      <c r="B165" s="90">
        <f t="shared" si="2"/>
        <v>155</v>
      </c>
      <c r="C165" s="140">
        <v>46043</v>
      </c>
      <c r="D165" s="6" t="s">
        <v>16</v>
      </c>
      <c r="E165" s="6" t="s">
        <v>58</v>
      </c>
      <c r="F165" s="133" t="s">
        <v>19</v>
      </c>
      <c r="G165" s="133" t="s">
        <v>20</v>
      </c>
      <c r="H165" s="133" t="s">
        <v>21</v>
      </c>
      <c r="I165" s="6" t="s">
        <v>22</v>
      </c>
      <c r="J165" s="129" t="s">
        <v>23</v>
      </c>
      <c r="K165" s="129" t="s">
        <v>24</v>
      </c>
      <c r="L165" s="6" t="s">
        <v>57</v>
      </c>
      <c r="M165" s="119">
        <v>27</v>
      </c>
      <c r="N165" s="93">
        <v>59</v>
      </c>
      <c r="O165" s="6">
        <v>2</v>
      </c>
      <c r="P165" s="6">
        <v>3</v>
      </c>
      <c r="Q165" s="6">
        <v>3</v>
      </c>
      <c r="R165" s="98">
        <v>0.5</v>
      </c>
      <c r="S165" s="94">
        <f>((Table3.110[[#This Row],[Sample weight, g]]*'2.1. DM'!Q41)/100)*1000</f>
        <v>468.60623844643442</v>
      </c>
      <c r="T165" s="94"/>
      <c r="U165" s="117">
        <v>0.37013888888888891</v>
      </c>
      <c r="V165" s="155">
        <v>40.5</v>
      </c>
      <c r="W165" s="117">
        <v>0.69166666666666665</v>
      </c>
      <c r="X165" s="96"/>
      <c r="Y165" s="96"/>
      <c r="Z165" s="155"/>
      <c r="AA165" s="117"/>
      <c r="AB165" s="155"/>
      <c r="AC165" s="155"/>
      <c r="AD165" s="96"/>
      <c r="AE165" s="94">
        <f>Table3.110[[#This Row],[Gas 8h, ml]]-Table3.110[[#This Row],[Gas 0h, ml]]</f>
        <v>-40.5</v>
      </c>
      <c r="AF165" s="94"/>
      <c r="AG165" s="94"/>
      <c r="AH165" s="94"/>
      <c r="AI165" s="94"/>
      <c r="AJ165" s="94"/>
      <c r="AK165" s="94"/>
      <c r="AL165" s="94"/>
      <c r="AM165" s="94"/>
      <c r="AN165" s="94"/>
      <c r="AO165" s="94"/>
      <c r="AP165" s="94"/>
      <c r="AQ165" s="94"/>
      <c r="AR165" s="94"/>
      <c r="AS165" s="94"/>
      <c r="AT165" s="94"/>
      <c r="AU165" s="94"/>
      <c r="AV165" s="94"/>
      <c r="AW165" s="303" t="s">
        <v>616</v>
      </c>
    </row>
    <row r="166" spans="1:49" s="304" customFormat="1" x14ac:dyDescent="0.35">
      <c r="A166" s="89"/>
      <c r="B166" s="90">
        <f t="shared" si="2"/>
        <v>156</v>
      </c>
      <c r="C166" s="140">
        <v>46043</v>
      </c>
      <c r="D166" s="92"/>
      <c r="E166" s="6" t="s">
        <v>541</v>
      </c>
      <c r="F166" s="133" t="s">
        <v>538</v>
      </c>
      <c r="G166" s="133" t="s">
        <v>542</v>
      </c>
      <c r="H166" s="133" t="s">
        <v>541</v>
      </c>
      <c r="I166" s="6" t="s">
        <v>22</v>
      </c>
      <c r="J166" s="129" t="s">
        <v>23</v>
      </c>
      <c r="K166" s="129" t="s">
        <v>24</v>
      </c>
      <c r="L166" s="6" t="s">
        <v>543</v>
      </c>
      <c r="M166" s="119">
        <v>27</v>
      </c>
      <c r="N166" s="93">
        <v>59</v>
      </c>
      <c r="O166" s="6">
        <v>2</v>
      </c>
      <c r="P166" s="129">
        <v>1</v>
      </c>
      <c r="Q166" s="6">
        <v>4</v>
      </c>
      <c r="R166" s="98"/>
      <c r="S166" s="94"/>
      <c r="T166" s="94">
        <f>'3.2 Digest'!W166</f>
        <v>0</v>
      </c>
      <c r="U166" s="153">
        <v>0.37013888888888891</v>
      </c>
      <c r="V166" s="154">
        <v>40</v>
      </c>
      <c r="W166" s="153">
        <v>0.69305555555555554</v>
      </c>
      <c r="X166" s="91">
        <v>43</v>
      </c>
      <c r="Y166" s="91"/>
      <c r="Z166" s="154"/>
      <c r="AA166" s="153"/>
      <c r="AB166" s="154"/>
      <c r="AC166" s="154"/>
      <c r="AD166" s="94"/>
      <c r="AE166" s="94">
        <f>Table3.110[[#This Row],[Gas 8h, ml]]-Table3.110[[#This Row],[Gas 0h, ml]]</f>
        <v>3</v>
      </c>
      <c r="AF166" s="94"/>
      <c r="AG166" s="94"/>
      <c r="AH166" s="94"/>
      <c r="AI166" s="94"/>
      <c r="AJ166" s="94"/>
      <c r="AK166" s="94"/>
      <c r="AL166" s="94"/>
      <c r="AM166" s="94"/>
      <c r="AN166" s="94"/>
      <c r="AO166" s="94"/>
      <c r="AP166" s="94"/>
      <c r="AQ166" s="94"/>
      <c r="AR166" s="94"/>
      <c r="AS166" s="94"/>
      <c r="AT166" s="94"/>
      <c r="AU166" s="94"/>
      <c r="AV166" s="94"/>
      <c r="AW166" s="303"/>
    </row>
    <row r="167" spans="1:49" s="304" customFormat="1" x14ac:dyDescent="0.35">
      <c r="A167" s="89"/>
      <c r="B167" s="90">
        <f t="shared" si="2"/>
        <v>157</v>
      </c>
      <c r="C167" s="140">
        <v>46043</v>
      </c>
      <c r="D167" s="92"/>
      <c r="E167" s="6" t="s">
        <v>541</v>
      </c>
      <c r="F167" s="133" t="s">
        <v>538</v>
      </c>
      <c r="G167" s="133" t="s">
        <v>542</v>
      </c>
      <c r="H167" s="133" t="s">
        <v>541</v>
      </c>
      <c r="I167" s="6" t="s">
        <v>22</v>
      </c>
      <c r="J167" s="129" t="s">
        <v>23</v>
      </c>
      <c r="K167" s="129" t="s">
        <v>24</v>
      </c>
      <c r="L167" s="6" t="s">
        <v>543</v>
      </c>
      <c r="M167" s="119">
        <v>27</v>
      </c>
      <c r="N167" s="93">
        <v>59</v>
      </c>
      <c r="O167" s="6">
        <v>2</v>
      </c>
      <c r="P167" s="129">
        <v>2</v>
      </c>
      <c r="Q167" s="6">
        <v>5</v>
      </c>
      <c r="R167" s="98"/>
      <c r="S167" s="94"/>
      <c r="T167" s="94">
        <f>'3.2 Digest'!W167</f>
        <v>0</v>
      </c>
      <c r="U167" s="117">
        <v>0.37083333333333335</v>
      </c>
      <c r="V167" s="155">
        <v>39.5</v>
      </c>
      <c r="W167" s="117">
        <v>0.69374999999999998</v>
      </c>
      <c r="X167" s="96">
        <v>43.5</v>
      </c>
      <c r="Y167" s="96"/>
      <c r="Z167" s="155"/>
      <c r="AA167" s="117"/>
      <c r="AB167" s="155"/>
      <c r="AC167" s="155"/>
      <c r="AD167" s="94"/>
      <c r="AE167" s="94">
        <f>Table3.110[[#This Row],[Gas 8h, ml]]-Table3.110[[#This Row],[Gas 0h, ml]]</f>
        <v>4</v>
      </c>
      <c r="AF167" s="94"/>
      <c r="AG167" s="94"/>
      <c r="AH167" s="94"/>
      <c r="AI167" s="94"/>
      <c r="AJ167" s="94"/>
      <c r="AK167" s="94"/>
      <c r="AL167" s="94"/>
      <c r="AM167" s="94"/>
      <c r="AN167" s="94"/>
      <c r="AO167" s="94"/>
      <c r="AP167" s="94"/>
      <c r="AQ167" s="94"/>
      <c r="AR167" s="94"/>
      <c r="AS167" s="94"/>
      <c r="AT167" s="94"/>
      <c r="AU167" s="94"/>
      <c r="AV167" s="94"/>
      <c r="AW167" s="303"/>
    </row>
    <row r="168" spans="1:49" s="304" customFormat="1" x14ac:dyDescent="0.35">
      <c r="A168" s="89"/>
      <c r="B168" s="90">
        <f t="shared" si="2"/>
        <v>158</v>
      </c>
      <c r="C168" s="140">
        <v>46043</v>
      </c>
      <c r="D168" s="6" t="s">
        <v>16</v>
      </c>
      <c r="E168" s="6" t="s">
        <v>60</v>
      </c>
      <c r="F168" s="133" t="s">
        <v>19</v>
      </c>
      <c r="G168" s="133" t="s">
        <v>20</v>
      </c>
      <c r="H168" s="133" t="s">
        <v>21</v>
      </c>
      <c r="I168" s="6" t="s">
        <v>22</v>
      </c>
      <c r="J168" s="129" t="s">
        <v>23</v>
      </c>
      <c r="K168" s="129" t="s">
        <v>24</v>
      </c>
      <c r="L168" s="6" t="s">
        <v>59</v>
      </c>
      <c r="M168" s="119">
        <v>27</v>
      </c>
      <c r="N168" s="93">
        <v>59</v>
      </c>
      <c r="O168" s="6">
        <v>2</v>
      </c>
      <c r="P168" s="129">
        <v>1</v>
      </c>
      <c r="Q168" s="6">
        <v>6</v>
      </c>
      <c r="R168" s="98">
        <v>0.50039999999999996</v>
      </c>
      <c r="S168" s="94">
        <f>((Table3.110[[#This Row],[Sample weight, g]]*'2.1. DM'!Q43)/100)*1000</f>
        <v>471.23548675994408</v>
      </c>
      <c r="T168" s="94">
        <f>'3.2 Digest'!W168</f>
        <v>122.13548675994411</v>
      </c>
      <c r="U168" s="153">
        <v>0.37083333333333335</v>
      </c>
      <c r="V168" s="154">
        <v>40.5</v>
      </c>
      <c r="W168" s="153">
        <v>0.69374999999999998</v>
      </c>
      <c r="X168" s="91">
        <v>63.5</v>
      </c>
      <c r="Y168" s="91">
        <v>16.100000000000001</v>
      </c>
      <c r="Z168" s="154">
        <v>41.5</v>
      </c>
      <c r="AA168" s="153">
        <v>0.38611111111111113</v>
      </c>
      <c r="AB168" s="154">
        <v>66</v>
      </c>
      <c r="AC168" s="154">
        <v>17.7</v>
      </c>
      <c r="AD168" s="94"/>
      <c r="AE168" s="94">
        <f>Table3.110[[#This Row],[Gas 8h, ml]]-Table3.110[[#This Row],[Gas 0h, ml]]</f>
        <v>23</v>
      </c>
      <c r="AF168" s="94">
        <f>Table3.110[[#This Row],[Gas 24h, ml]]-Table3.110[[#This Row],[V8 Push back, ml]]</f>
        <v>24.5</v>
      </c>
      <c r="AG168" s="94">
        <f>Table3.110[[#This Row],[GP 8h, ml]]-(AVERAGE(AE$116,AE$117,AE$167,AE$166,AE$219,AE$220))*$AG$8</f>
        <v>20.123728042697874</v>
      </c>
      <c r="AH168" s="94">
        <f>Table3.110[[#This Row],[GP 8-24h, ml]]-(AVERAGE(AF$11,AF$12,AF$62,AF$61,AF$114,AF$115))*$AG$8</f>
        <v>20.81247184961266</v>
      </c>
      <c r="AI168" s="94">
        <f>Table3.110[[#This Row],[Net gas 8-24h, ml]]+Table3.110[[#This Row],[Net gas 8h, ml]]</f>
        <v>40.936199892310533</v>
      </c>
      <c r="AJ168" s="94">
        <f>Table3.110[[#This Row],[Net gas 8h, ml]]*Table3.110[[#This Row],[CH4 8h %]]%</f>
        <v>3.2399202148743576</v>
      </c>
      <c r="AK168" s="94">
        <f>Table3.110[[#This Row],[Net gas 8-24h, ml]]*Table3.110[[#This Row],[CH4 24h, %]]%</f>
        <v>3.6838075173814406</v>
      </c>
      <c r="AL168" s="94">
        <f>Table3.110[[#This Row],[CH4 8-24h, ml]]+Table3.110[[#This Row],[CH4 8h, ml]]</f>
        <v>6.9237277322557986</v>
      </c>
      <c r="AM168" s="94">
        <f>(Table3.110[[#This Row],[Net gas 24h, ml]]/Table3.110[[#This Row],[DM Incubated, mg]])*1000</f>
        <v>86.869943037978757</v>
      </c>
      <c r="AN168" s="94">
        <f>'3.2 Digest'!X168</f>
        <v>25.918142880050578</v>
      </c>
      <c r="AO168" s="94">
        <f>Table3.110[[#This Row],[Digested feed, mg]]/Table3.110[[#This Row],[Net gas 24h, ml]]</f>
        <v>2.9835570248641003</v>
      </c>
      <c r="AP168" s="94">
        <f>Table3.110[[#This Row],[CH4 8h, ml]]/Table3.110[[#This Row],[Net gas 8h, ml]]%</f>
        <v>16.099999999999998</v>
      </c>
      <c r="AQ168" s="94">
        <f>Table3.110[[#This Row],[CH4 24h, ml]]/Table3.110[[#This Row],[Net gas 24h, ml]]%</f>
        <v>16.913459848422214</v>
      </c>
      <c r="AR168" s="94">
        <f>Table3.110[[#This Row],[CH4 24h, ml]]/Table3.110[[#This Row],[DM Incubated, mg]]*1000</f>
        <v>14.692712936075782</v>
      </c>
      <c r="AS168" s="94">
        <f>Table3.110[[#This Row],[CH4 24h, ml]]/Table3.110[[#This Row],[Digested feed, mg]]*1000</f>
        <v>56.688910945795023</v>
      </c>
      <c r="AT168" s="94">
        <f>Table3.110[[#This Row],[CH4 24h, ml]]/'3.2 Digest'!AA168</f>
        <v>-0.25987269944787528</v>
      </c>
      <c r="AU168" s="94">
        <f>((Table3.110[[#This Row],[CH4 24h, ml]]/28.9)*16.04)/Table3.110[[#This Row],[DM Incubated, mg]]*1000</f>
        <v>8.1547098787078038</v>
      </c>
      <c r="AV168" s="94">
        <f>((Table3.110[[#This Row],[CH4 24h, ml]]/28.9)*16.04)/Table3.110[[#This Row],[Digested feed, mg]]*1000</f>
        <v>31.463326351922213</v>
      </c>
      <c r="AW168" s="303"/>
    </row>
    <row r="169" spans="1:49" s="304" customFormat="1" x14ac:dyDescent="0.35">
      <c r="A169" s="89"/>
      <c r="B169" s="90">
        <f t="shared" si="2"/>
        <v>159</v>
      </c>
      <c r="C169" s="140">
        <v>46043</v>
      </c>
      <c r="D169" s="6" t="s">
        <v>16</v>
      </c>
      <c r="E169" s="6" t="s">
        <v>60</v>
      </c>
      <c r="F169" s="133" t="s">
        <v>19</v>
      </c>
      <c r="G169" s="133" t="s">
        <v>20</v>
      </c>
      <c r="H169" s="133" t="s">
        <v>21</v>
      </c>
      <c r="I169" s="6" t="s">
        <v>22</v>
      </c>
      <c r="J169" s="129" t="s">
        <v>23</v>
      </c>
      <c r="K169" s="129" t="s">
        <v>24</v>
      </c>
      <c r="L169" s="6" t="s">
        <v>59</v>
      </c>
      <c r="M169" s="119">
        <v>27</v>
      </c>
      <c r="N169" s="93">
        <v>59</v>
      </c>
      <c r="O169" s="6">
        <v>2</v>
      </c>
      <c r="P169" s="129">
        <v>2</v>
      </c>
      <c r="Q169" s="6">
        <v>7</v>
      </c>
      <c r="R169" s="98">
        <v>0.50049999999999994</v>
      </c>
      <c r="S169" s="94">
        <f>((Table3.110[[#This Row],[Sample weight, g]]*'2.1. DM'!Q43)/100)*1000</f>
        <v>471.32965851988808</v>
      </c>
      <c r="T169" s="94">
        <f>'3.2 Digest'!W169</f>
        <v>113.02965851988802</v>
      </c>
      <c r="U169" s="117">
        <v>0.37152777777777779</v>
      </c>
      <c r="V169" s="155">
        <v>41.5</v>
      </c>
      <c r="W169" s="117">
        <v>0.69444444444444442</v>
      </c>
      <c r="X169" s="96">
        <v>67.5</v>
      </c>
      <c r="Y169" s="96">
        <v>14.6</v>
      </c>
      <c r="Z169" s="155">
        <v>40</v>
      </c>
      <c r="AA169" s="117">
        <v>0.38611111111111113</v>
      </c>
      <c r="AB169" s="155">
        <v>67</v>
      </c>
      <c r="AC169" s="155">
        <v>17.600000000000001</v>
      </c>
      <c r="AD169" s="94"/>
      <c r="AE169" s="94">
        <f>Table3.110[[#This Row],[Gas 8h, ml]]-Table3.110[[#This Row],[Gas 0h, ml]]</f>
        <v>26</v>
      </c>
      <c r="AF169" s="94">
        <f>Table3.110[[#This Row],[Gas 24h, ml]]-Table3.110[[#This Row],[V8 Push back, ml]]</f>
        <v>27</v>
      </c>
      <c r="AG169" s="94">
        <f>Table3.110[[#This Row],[GP 8h, ml]]-(AVERAGE(AE$116,AE$117,AE$167,AE$166,AE$219,AE$220))*$AG$8</f>
        <v>23.123728042697874</v>
      </c>
      <c r="AH169" s="94">
        <f>Table3.110[[#This Row],[GP 8-24h, ml]]-(AVERAGE(AF$11,AF$12,AF$62,AF$61,AF$114,AF$115))*$AG$8</f>
        <v>23.31247184961266</v>
      </c>
      <c r="AI169" s="94">
        <f>Table3.110[[#This Row],[Net gas 8-24h, ml]]+Table3.110[[#This Row],[Net gas 8h, ml]]</f>
        <v>46.436199892310533</v>
      </c>
      <c r="AJ169" s="94">
        <f>Table3.110[[#This Row],[Net gas 8h, ml]]*Table3.110[[#This Row],[CH4 8h %]]%</f>
        <v>3.3760642942338892</v>
      </c>
      <c r="AK169" s="94">
        <f>Table3.110[[#This Row],[Net gas 8-24h, ml]]*Table3.110[[#This Row],[CH4 24h, %]]%</f>
        <v>4.1029950455318289</v>
      </c>
      <c r="AL169" s="94">
        <f>Table3.110[[#This Row],[CH4 8-24h, ml]]+Table3.110[[#This Row],[CH4 8h, ml]]</f>
        <v>7.4790593397657181</v>
      </c>
      <c r="AM169" s="94">
        <f>(Table3.110[[#This Row],[Net gas 24h, ml]]/Table3.110[[#This Row],[DM Incubated, mg]])*1000</f>
        <v>98.521701431082604</v>
      </c>
      <c r="AN169" s="94">
        <f>'3.2 Digest'!X169</f>
        <v>23.981019754800482</v>
      </c>
      <c r="AO169" s="94">
        <f>Table3.110[[#This Row],[Digested feed, mg]]/Table3.110[[#This Row],[Net gas 24h, ml]]</f>
        <v>2.4340850194893928</v>
      </c>
      <c r="AP169" s="94">
        <f>Table3.110[[#This Row],[CH4 8h, ml]]/Table3.110[[#This Row],[Net gas 8h, ml]]%</f>
        <v>14.599999999999998</v>
      </c>
      <c r="AQ169" s="94">
        <f>Table3.110[[#This Row],[CH4 24h, ml]]/Table3.110[[#This Row],[Net gas 24h, ml]]%</f>
        <v>16.106096875089452</v>
      </c>
      <c r="AR169" s="94">
        <f>Table3.110[[#This Row],[CH4 24h, ml]]/Table3.110[[#This Row],[DM Incubated, mg]]*1000</f>
        <v>15.868000675476553</v>
      </c>
      <c r="AS169" s="94">
        <f>Table3.110[[#This Row],[CH4 24h, ml]]/Table3.110[[#This Row],[Digested feed, mg]]*1000</f>
        <v>66.16899880706751</v>
      </c>
      <c r="AT169" s="94">
        <f>Table3.110[[#This Row],[CH4 24h, ml]]/'3.2 Digest'!AA169</f>
        <v>-0.24968254076147445</v>
      </c>
      <c r="AU169" s="94">
        <f>((Table3.110[[#This Row],[CH4 24h, ml]]/28.9)*16.04)/Table3.110[[#This Row],[DM Incubated, mg]]*1000</f>
        <v>8.8070149077731461</v>
      </c>
      <c r="AV169" s="94">
        <f>((Table3.110[[#This Row],[CH4 24h, ml]]/28.9)*16.04)/Table3.110[[#This Row],[Digested feed, mg]]*1000</f>
        <v>36.724939130289371</v>
      </c>
      <c r="AW169" s="303"/>
    </row>
    <row r="170" spans="1:49" s="304" customFormat="1" x14ac:dyDescent="0.35">
      <c r="A170" s="89"/>
      <c r="B170" s="90">
        <f t="shared" si="2"/>
        <v>160</v>
      </c>
      <c r="C170" s="140">
        <v>46043</v>
      </c>
      <c r="D170" s="6" t="s">
        <v>16</v>
      </c>
      <c r="E170" s="6" t="s">
        <v>60</v>
      </c>
      <c r="F170" s="133" t="s">
        <v>19</v>
      </c>
      <c r="G170" s="133" t="s">
        <v>20</v>
      </c>
      <c r="H170" s="133" t="s">
        <v>21</v>
      </c>
      <c r="I170" s="6" t="s">
        <v>22</v>
      </c>
      <c r="J170" s="129" t="s">
        <v>23</v>
      </c>
      <c r="K170" s="129" t="s">
        <v>24</v>
      </c>
      <c r="L170" s="6" t="s">
        <v>59</v>
      </c>
      <c r="M170" s="119">
        <v>27</v>
      </c>
      <c r="N170" s="93">
        <v>59</v>
      </c>
      <c r="O170" s="6">
        <v>2</v>
      </c>
      <c r="P170" s="129">
        <v>3</v>
      </c>
      <c r="Q170" s="6">
        <v>8</v>
      </c>
      <c r="R170" s="98">
        <v>0.5</v>
      </c>
      <c r="S170" s="94">
        <f>((Table3.110[[#This Row],[Sample weight, g]]*'2.1. DM'!Q43)/100)*1000</f>
        <v>470.85879972016795</v>
      </c>
      <c r="T170" s="94">
        <f>'3.2 Digest'!W170</f>
        <v>212.45879972016797</v>
      </c>
      <c r="U170" s="153">
        <v>0.37222222222222223</v>
      </c>
      <c r="V170" s="154">
        <v>41.5</v>
      </c>
      <c r="W170" s="153">
        <v>0.69444444444444442</v>
      </c>
      <c r="X170" s="91">
        <v>70</v>
      </c>
      <c r="Y170" s="91">
        <v>13.6</v>
      </c>
      <c r="Z170" s="154">
        <v>40</v>
      </c>
      <c r="AA170" s="153">
        <v>0.38680555555555557</v>
      </c>
      <c r="AB170" s="154">
        <v>68</v>
      </c>
      <c r="AC170" s="154">
        <v>17</v>
      </c>
      <c r="AD170" s="94"/>
      <c r="AE170" s="94">
        <f>Table3.110[[#This Row],[Gas 8h, ml]]-Table3.110[[#This Row],[Gas 0h, ml]]</f>
        <v>28.5</v>
      </c>
      <c r="AF170" s="94">
        <f>Table3.110[[#This Row],[Gas 24h, ml]]-Table3.110[[#This Row],[V8 Push back, ml]]</f>
        <v>28</v>
      </c>
      <c r="AG170" s="94">
        <f>Table3.110[[#This Row],[GP 8h, ml]]-(AVERAGE(AE$116,AE$117,AE$167,AE$166,AE$219,AE$220))*$AG$8</f>
        <v>25.623728042697874</v>
      </c>
      <c r="AH170" s="94">
        <f>Table3.110[[#This Row],[GP 8-24h, ml]]-(AVERAGE(AF$11,AF$12,AF$62,AF$61,AF$114,AF$115))*$AG$8</f>
        <v>24.31247184961266</v>
      </c>
      <c r="AI170" s="94">
        <f>Table3.110[[#This Row],[Net gas 8-24h, ml]]+Table3.110[[#This Row],[Net gas 8h, ml]]</f>
        <v>49.936199892310533</v>
      </c>
      <c r="AJ170" s="94">
        <f>Table3.110[[#This Row],[Net gas 8h, ml]]*Table3.110[[#This Row],[CH4 8h %]]%</f>
        <v>3.4848270138069108</v>
      </c>
      <c r="AK170" s="94">
        <f>Table3.110[[#This Row],[Net gas 8-24h, ml]]*Table3.110[[#This Row],[CH4 24h, %]]%</f>
        <v>4.1331202144341521</v>
      </c>
      <c r="AL170" s="94">
        <f>Table3.110[[#This Row],[CH4 8-24h, ml]]+Table3.110[[#This Row],[CH4 8h, ml]]</f>
        <v>7.6179472282410625</v>
      </c>
      <c r="AM170" s="94">
        <f>(Table3.110[[#This Row],[Net gas 24h, ml]]/Table3.110[[#This Row],[DM Incubated, mg]])*1000</f>
        <v>106.05344940348931</v>
      </c>
      <c r="AN170" s="94">
        <f>'3.2 Digest'!X170</f>
        <v>45.121552330854293</v>
      </c>
      <c r="AO170" s="94">
        <f>Table3.110[[#This Row],[Digested feed, mg]]/Table3.110[[#This Row],[Net gas 24h, ml]]</f>
        <v>4.2546048793929874</v>
      </c>
      <c r="AP170" s="94">
        <f>Table3.110[[#This Row],[CH4 8h, ml]]/Table3.110[[#This Row],[Net gas 8h, ml]]%</f>
        <v>13.6</v>
      </c>
      <c r="AQ170" s="94">
        <f>Table3.110[[#This Row],[CH4 24h, ml]]/Table3.110[[#This Row],[Net gas 24h, ml]]%</f>
        <v>15.255360329118913</v>
      </c>
      <c r="AR170" s="94">
        <f>Table3.110[[#This Row],[CH4 24h, ml]]/Table3.110[[#This Row],[DM Incubated, mg]]*1000</f>
        <v>16.178835847962105</v>
      </c>
      <c r="AS170" s="94">
        <f>Table3.110[[#This Row],[CH4 24h, ml]]/Table3.110[[#This Row],[Digested feed, mg]]*1000</f>
        <v>35.85611534224401</v>
      </c>
      <c r="AT170" s="94">
        <f>Table3.110[[#This Row],[CH4 24h, ml]]/'3.2 Digest'!AA170</f>
        <v>1.2315977820863429</v>
      </c>
      <c r="AU170" s="94">
        <f>((Table3.110[[#This Row],[CH4 24h, ml]]/28.9)*16.04)/Table3.110[[#This Row],[DM Incubated, mg]]*1000</f>
        <v>8.9795338062737784</v>
      </c>
      <c r="AV170" s="94">
        <f>((Table3.110[[#This Row],[CH4 24h, ml]]/28.9)*16.04)/Table3.110[[#This Row],[Digested feed, mg]]*1000</f>
        <v>19.900764362961727</v>
      </c>
      <c r="AW170" s="303"/>
    </row>
    <row r="171" spans="1:49" s="304" customFormat="1" x14ac:dyDescent="0.35">
      <c r="A171" s="89"/>
      <c r="B171" s="90">
        <f t="shared" si="2"/>
        <v>161</v>
      </c>
      <c r="C171" s="140">
        <v>46043</v>
      </c>
      <c r="D171" s="6" t="s">
        <v>16</v>
      </c>
      <c r="E171" s="6" t="s">
        <v>62</v>
      </c>
      <c r="F171" s="133" t="s">
        <v>19</v>
      </c>
      <c r="G171" s="133" t="s">
        <v>20</v>
      </c>
      <c r="H171" s="133" t="s">
        <v>21</v>
      </c>
      <c r="I171" s="6" t="s">
        <v>22</v>
      </c>
      <c r="J171" s="129" t="s">
        <v>23</v>
      </c>
      <c r="K171" s="129" t="s">
        <v>24</v>
      </c>
      <c r="L171" s="6" t="s">
        <v>61</v>
      </c>
      <c r="M171" s="119">
        <v>27</v>
      </c>
      <c r="N171" s="93">
        <v>59</v>
      </c>
      <c r="O171" s="6">
        <v>2</v>
      </c>
      <c r="P171" s="129">
        <v>1</v>
      </c>
      <c r="Q171" s="6">
        <v>9</v>
      </c>
      <c r="R171" s="98">
        <v>0.50009999999999999</v>
      </c>
      <c r="S171" s="94">
        <f>((Table3.110[[#This Row],[Sample weight, g]]*'2.1. DM'!Q45)/100)*1000</f>
        <v>470.38688287027776</v>
      </c>
      <c r="T171" s="94">
        <f>'3.2 Digest'!W171</f>
        <v>92.986882870277782</v>
      </c>
      <c r="U171" s="117">
        <v>0.37222222222222223</v>
      </c>
      <c r="V171" s="155">
        <v>40.5</v>
      </c>
      <c r="W171" s="117">
        <v>0.69513888888888886</v>
      </c>
      <c r="X171" s="96">
        <v>60</v>
      </c>
      <c r="Y171" s="96">
        <v>15.6</v>
      </c>
      <c r="Z171" s="155">
        <v>41.5</v>
      </c>
      <c r="AA171" s="117">
        <v>0.38680555555555557</v>
      </c>
      <c r="AB171" s="155">
        <v>64.5</v>
      </c>
      <c r="AC171" s="155">
        <v>17.600000000000001</v>
      </c>
      <c r="AD171" s="94"/>
      <c r="AE171" s="94">
        <f>Table3.110[[#This Row],[Gas 8h, ml]]-Table3.110[[#This Row],[Gas 0h, ml]]</f>
        <v>19.5</v>
      </c>
      <c r="AF171" s="94">
        <f>Table3.110[[#This Row],[Gas 24h, ml]]-Table3.110[[#This Row],[V8 Push back, ml]]</f>
        <v>23</v>
      </c>
      <c r="AG171" s="94">
        <f>Table3.110[[#This Row],[GP 8h, ml]]-(AVERAGE(AE$116,AE$117,AE$167,AE$166,AE$219,AE$220))*$AG$8</f>
        <v>16.623728042697874</v>
      </c>
      <c r="AH171" s="94">
        <f>Table3.110[[#This Row],[GP 8-24h, ml]]-(AVERAGE(AF$11,AF$12,AF$62,AF$61,AF$114,AF$115))*$AG$8</f>
        <v>19.31247184961266</v>
      </c>
      <c r="AI171" s="94">
        <f>Table3.110[[#This Row],[Net gas 8-24h, ml]]+Table3.110[[#This Row],[Net gas 8h, ml]]</f>
        <v>35.936199892310533</v>
      </c>
      <c r="AJ171" s="94">
        <f>Table3.110[[#This Row],[Net gas 8h, ml]]*Table3.110[[#This Row],[CH4 8h %]]%</f>
        <v>2.5933015746608681</v>
      </c>
      <c r="AK171" s="94">
        <f>Table3.110[[#This Row],[Net gas 8-24h, ml]]*Table3.110[[#This Row],[CH4 24h, %]]%</f>
        <v>3.3989950455318283</v>
      </c>
      <c r="AL171" s="94">
        <f>Table3.110[[#This Row],[CH4 8-24h, ml]]+Table3.110[[#This Row],[CH4 8h, ml]]</f>
        <v>5.9922966201926968</v>
      </c>
      <c r="AM171" s="94">
        <f>(Table3.110[[#This Row],[Net gas 24h, ml]]/Table3.110[[#This Row],[DM Incubated, mg]])*1000</f>
        <v>76.397113101941954</v>
      </c>
      <c r="AN171" s="94">
        <f>'3.2 Digest'!X171</f>
        <v>19.768170894323493</v>
      </c>
      <c r="AO171" s="94">
        <f>Table3.110[[#This Row],[Digested feed, mg]]/Table3.110[[#This Row],[Net gas 24h, ml]]</f>
        <v>2.5875546982967084</v>
      </c>
      <c r="AP171" s="94">
        <f>Table3.110[[#This Row],[CH4 8h, ml]]/Table3.110[[#This Row],[Net gas 8h, ml]]%</f>
        <v>15.599999999999998</v>
      </c>
      <c r="AQ171" s="94">
        <f>Table3.110[[#This Row],[CH4 24h, ml]]/Table3.110[[#This Row],[Net gas 24h, ml]]%</f>
        <v>16.674819925728713</v>
      </c>
      <c r="AR171" s="94">
        <f>Table3.110[[#This Row],[CH4 24h, ml]]/Table3.110[[#This Row],[DM Incubated, mg]]*1000</f>
        <v>12.739081038204118</v>
      </c>
      <c r="AS171" s="94">
        <f>Table3.110[[#This Row],[CH4 24h, ml]]/Table3.110[[#This Row],[Digested feed, mg]]*1000</f>
        <v>64.442386229381469</v>
      </c>
      <c r="AT171" s="94">
        <f>Table3.110[[#This Row],[CH4 24h, ml]]/'3.2 Digest'!AA171</f>
        <v>-0.1988873534008854</v>
      </c>
      <c r="AU171" s="94">
        <f>((Table3.110[[#This Row],[CH4 24h, ml]]/28.9)*16.04)/Table3.110[[#This Row],[DM Incubated, mg]]*1000</f>
        <v>7.0704103755292058</v>
      </c>
      <c r="AV171" s="94">
        <f>((Table3.110[[#This Row],[CH4 24h, ml]]/28.9)*16.04)/Table3.110[[#This Row],[Digested feed, mg]]*1000</f>
        <v>35.766639277483691</v>
      </c>
      <c r="AW171" s="303"/>
    </row>
    <row r="172" spans="1:49" s="304" customFormat="1" x14ac:dyDescent="0.35">
      <c r="A172" s="89"/>
      <c r="B172" s="90">
        <f t="shared" si="2"/>
        <v>162</v>
      </c>
      <c r="C172" s="140">
        <v>46043</v>
      </c>
      <c r="D172" s="6" t="s">
        <v>16</v>
      </c>
      <c r="E172" s="6" t="s">
        <v>62</v>
      </c>
      <c r="F172" s="133" t="s">
        <v>19</v>
      </c>
      <c r="G172" s="133" t="s">
        <v>20</v>
      </c>
      <c r="H172" s="133" t="s">
        <v>21</v>
      </c>
      <c r="I172" s="6" t="s">
        <v>22</v>
      </c>
      <c r="J172" s="129" t="s">
        <v>23</v>
      </c>
      <c r="K172" s="129" t="s">
        <v>24</v>
      </c>
      <c r="L172" s="6" t="s">
        <v>61</v>
      </c>
      <c r="M172" s="119">
        <v>27</v>
      </c>
      <c r="N172" s="93">
        <v>59</v>
      </c>
      <c r="O172" s="6">
        <v>2</v>
      </c>
      <c r="P172" s="129">
        <v>2</v>
      </c>
      <c r="Q172" s="6">
        <v>10</v>
      </c>
      <c r="R172" s="98">
        <v>0.5</v>
      </c>
      <c r="S172" s="94">
        <f>((Table3.110[[#This Row],[Sample weight, g]]*'2.1. DM'!Q45)/100)*1000</f>
        <v>470.29282430541667</v>
      </c>
      <c r="T172" s="94">
        <f>'3.2 Digest'!W172</f>
        <v>132.29282430541673</v>
      </c>
      <c r="U172" s="153">
        <v>0.37291666666666667</v>
      </c>
      <c r="V172" s="154">
        <v>41</v>
      </c>
      <c r="W172" s="153">
        <v>0.69513888888888886</v>
      </c>
      <c r="X172" s="91">
        <v>64.5</v>
      </c>
      <c r="Y172" s="91">
        <v>14.4</v>
      </c>
      <c r="Z172" s="154">
        <v>40.5</v>
      </c>
      <c r="AA172" s="153">
        <v>0.38750000000000001</v>
      </c>
      <c r="AB172" s="154">
        <v>65</v>
      </c>
      <c r="AC172" s="154">
        <v>17.5</v>
      </c>
      <c r="AD172" s="94"/>
      <c r="AE172" s="94">
        <f>Table3.110[[#This Row],[Gas 8h, ml]]-Table3.110[[#This Row],[Gas 0h, ml]]</f>
        <v>23.5</v>
      </c>
      <c r="AF172" s="94">
        <f>Table3.110[[#This Row],[Gas 24h, ml]]-Table3.110[[#This Row],[V8 Push back, ml]]</f>
        <v>24.5</v>
      </c>
      <c r="AG172" s="94">
        <f>Table3.110[[#This Row],[GP 8h, ml]]-(AVERAGE(AE$116,AE$117,AE$167,AE$166,AE$219,AE$220))*$AG$8</f>
        <v>20.623728042697874</v>
      </c>
      <c r="AH172" s="94">
        <f>Table3.110[[#This Row],[GP 8-24h, ml]]-(AVERAGE(AF$11,AF$12,AF$62,AF$61,AF$114,AF$115))*$AG$8</f>
        <v>20.81247184961266</v>
      </c>
      <c r="AI172" s="94">
        <f>Table3.110[[#This Row],[Net gas 8-24h, ml]]+Table3.110[[#This Row],[Net gas 8h, ml]]</f>
        <v>41.436199892310533</v>
      </c>
      <c r="AJ172" s="94">
        <f>Table3.110[[#This Row],[Net gas 8h, ml]]*Table3.110[[#This Row],[CH4 8h %]]%</f>
        <v>2.969816838148494</v>
      </c>
      <c r="AK172" s="94">
        <f>Table3.110[[#This Row],[Net gas 8-24h, ml]]*Table3.110[[#This Row],[CH4 24h, %]]%</f>
        <v>3.6421825736822151</v>
      </c>
      <c r="AL172" s="94">
        <f>Table3.110[[#This Row],[CH4 8-24h, ml]]+Table3.110[[#This Row],[CH4 8h, ml]]</f>
        <v>6.6119994118307091</v>
      </c>
      <c r="AM172" s="94">
        <f>(Table3.110[[#This Row],[Net gas 24h, ml]]/Table3.110[[#This Row],[DM Incubated, mg]])*1000</f>
        <v>88.107233941977213</v>
      </c>
      <c r="AN172" s="94">
        <f>'3.2 Digest'!X172</f>
        <v>28.129883652977739</v>
      </c>
      <c r="AO172" s="94">
        <f>Table3.110[[#This Row],[Digested feed, mg]]/Table3.110[[#This Row],[Net gas 24h, ml]]</f>
        <v>3.1926871829278629</v>
      </c>
      <c r="AP172" s="94">
        <f>Table3.110[[#This Row],[CH4 8h, ml]]/Table3.110[[#This Row],[Net gas 8h, ml]]%</f>
        <v>14.400000000000002</v>
      </c>
      <c r="AQ172" s="94">
        <f>Table3.110[[#This Row],[CH4 24h, ml]]/Table3.110[[#This Row],[Net gas 24h, ml]]%</f>
        <v>15.957060321686791</v>
      </c>
      <c r="AR172" s="94">
        <f>Table3.110[[#This Row],[CH4 24h, ml]]/Table3.110[[#This Row],[DM Incubated, mg]]*1000</f>
        <v>14.059324467891003</v>
      </c>
      <c r="AS172" s="94">
        <f>Table3.110[[#This Row],[CH4 24h, ml]]/Table3.110[[#This Row],[Digested feed, mg]]*1000</f>
        <v>49.980030636929868</v>
      </c>
      <c r="AT172" s="94">
        <f>Table3.110[[#This Row],[CH4 24h, ml]]/'3.2 Digest'!AA172</f>
        <v>-0.39910367641202227</v>
      </c>
      <c r="AU172" s="94">
        <f>((Table3.110[[#This Row],[CH4 24h, ml]]/28.9)*16.04)/Table3.110[[#This Row],[DM Incubated, mg]]*1000</f>
        <v>7.8031683205872548</v>
      </c>
      <c r="AV172" s="94">
        <f>((Table3.110[[#This Row],[CH4 24h, ml]]/28.9)*16.04)/Table3.110[[#This Row],[Digested feed, mg]]*1000</f>
        <v>27.739781709908481</v>
      </c>
      <c r="AW172" s="303"/>
    </row>
    <row r="173" spans="1:49" s="304" customFormat="1" x14ac:dyDescent="0.35">
      <c r="A173" s="89"/>
      <c r="B173" s="90">
        <f t="shared" si="2"/>
        <v>163</v>
      </c>
      <c r="C173" s="140">
        <v>46043</v>
      </c>
      <c r="D173" s="6" t="s">
        <v>16</v>
      </c>
      <c r="E173" s="6" t="s">
        <v>62</v>
      </c>
      <c r="F173" s="133" t="s">
        <v>19</v>
      </c>
      <c r="G173" s="133" t="s">
        <v>20</v>
      </c>
      <c r="H173" s="133" t="s">
        <v>21</v>
      </c>
      <c r="I173" s="6" t="s">
        <v>22</v>
      </c>
      <c r="J173" s="129" t="s">
        <v>23</v>
      </c>
      <c r="K173" s="129" t="s">
        <v>24</v>
      </c>
      <c r="L173" s="6" t="s">
        <v>61</v>
      </c>
      <c r="M173" s="119">
        <v>27</v>
      </c>
      <c r="N173" s="93">
        <v>59</v>
      </c>
      <c r="O173" s="6">
        <v>2</v>
      </c>
      <c r="P173" s="129">
        <v>3</v>
      </c>
      <c r="Q173" s="6">
        <v>11</v>
      </c>
      <c r="R173" s="98">
        <v>0.5</v>
      </c>
      <c r="S173" s="110">
        <f>((Table3.110[[#This Row],[Sample weight, g]]*'2.1. DM'!Q45)/100)*1000</f>
        <v>470.29282430541667</v>
      </c>
      <c r="T173" s="94">
        <f>'3.2 Digest'!W173</f>
        <v>84.492824305416661</v>
      </c>
      <c r="U173" s="117">
        <v>0.37361111111111112</v>
      </c>
      <c r="V173" s="155">
        <v>41.5</v>
      </c>
      <c r="W173" s="117">
        <v>0.6958333333333333</v>
      </c>
      <c r="X173" s="96">
        <v>64.5</v>
      </c>
      <c r="Y173" s="96">
        <v>14</v>
      </c>
      <c r="Z173" s="155">
        <v>31</v>
      </c>
      <c r="AA173" s="117">
        <v>0.38819444444444445</v>
      </c>
      <c r="AB173" s="155">
        <v>64</v>
      </c>
      <c r="AC173" s="155">
        <v>17.2</v>
      </c>
      <c r="AD173" s="94"/>
      <c r="AE173" s="94">
        <f>Table3.110[[#This Row],[Gas 8h, ml]]-Table3.110[[#This Row],[Gas 0h, ml]]</f>
        <v>23</v>
      </c>
      <c r="AF173" s="94">
        <f>Table3.110[[#This Row],[Gas 24h, ml]]-Table3.110[[#This Row],[V8 Push back, ml]]</f>
        <v>33</v>
      </c>
      <c r="AG173" s="94">
        <f>Table3.110[[#This Row],[GP 8h, ml]]-(AVERAGE(AE$116,AE$117,AE$167,AE$166,AE$219,AE$220))*$AG$8</f>
        <v>20.123728042697874</v>
      </c>
      <c r="AH173" s="94">
        <f>Table3.110[[#This Row],[GP 8-24h, ml]]-(AVERAGE(AF$11,AF$12,AF$62,AF$61,AF$114,AF$115))*$AG$8</f>
        <v>29.31247184961266</v>
      </c>
      <c r="AI173" s="94">
        <f>Table3.110[[#This Row],[Net gas 8-24h, ml]]+Table3.110[[#This Row],[Net gas 8h, ml]]</f>
        <v>49.436199892310533</v>
      </c>
      <c r="AJ173" s="94">
        <f>Table3.110[[#This Row],[Net gas 8h, ml]]*Table3.110[[#This Row],[CH4 8h %]]%</f>
        <v>2.8173219259777027</v>
      </c>
      <c r="AK173" s="94">
        <f>Table3.110[[#This Row],[Net gas 8-24h, ml]]*Table3.110[[#This Row],[CH4 24h, %]]%</f>
        <v>5.0417451581333772</v>
      </c>
      <c r="AL173" s="94">
        <f>Table3.110[[#This Row],[CH4 8-24h, ml]]+Table3.110[[#This Row],[CH4 8h, ml]]</f>
        <v>7.8590670841110803</v>
      </c>
      <c r="AM173" s="94">
        <f>(Table3.110[[#This Row],[Net gas 24h, ml]]/Table3.110[[#This Row],[DM Incubated, mg]])*1000</f>
        <v>105.11791236730792</v>
      </c>
      <c r="AN173" s="94">
        <f>'3.2 Digest'!X173</f>
        <v>17.966003293842622</v>
      </c>
      <c r="AO173" s="94">
        <f>Table3.110[[#This Row],[Digested feed, mg]]/Table3.110[[#This Row],[Net gas 24h, ml]]</f>
        <v>1.7091286241554127</v>
      </c>
      <c r="AP173" s="94">
        <f>Table3.110[[#This Row],[CH4 8h, ml]]/Table3.110[[#This Row],[Net gas 8h, ml]]%</f>
        <v>14.000000000000002</v>
      </c>
      <c r="AQ173" s="94">
        <f>Table3.110[[#This Row],[CH4 24h, ml]]/Table3.110[[#This Row],[Net gas 24h, ml]]%</f>
        <v>15.897393208278343</v>
      </c>
      <c r="AR173" s="94">
        <f>Table3.110[[#This Row],[CH4 24h, ml]]/Table3.110[[#This Row],[DM Incubated, mg]]*1000</f>
        <v>16.71100786136439</v>
      </c>
      <c r="AS173" s="94">
        <f>Table3.110[[#This Row],[CH4 24h, ml]]/Table3.110[[#This Row],[Digested feed, mg]]*1000</f>
        <v>93.01460980524061</v>
      </c>
      <c r="AT173" s="94">
        <f>Table3.110[[#This Row],[CH4 24h, ml]]/'3.2 Digest'!AA173</f>
        <v>-0.23777844519701297</v>
      </c>
      <c r="AU173" s="94">
        <f>((Table3.110[[#This Row],[CH4 24h, ml]]/28.9)*16.04)/Table3.110[[#This Row],[DM Incubated, mg]]*1000</f>
        <v>9.2748984808403048</v>
      </c>
      <c r="AV173" s="94">
        <f>((Table3.110[[#This Row],[CH4 24h, ml]]/28.9)*16.04)/Table3.110[[#This Row],[Digested feed, mg]]*1000</f>
        <v>51.624717691213128</v>
      </c>
      <c r="AW173" s="303"/>
    </row>
    <row r="174" spans="1:49" s="304" customFormat="1" x14ac:dyDescent="0.35">
      <c r="A174" s="89"/>
      <c r="B174" s="90">
        <f t="shared" si="2"/>
        <v>164</v>
      </c>
      <c r="C174" s="140">
        <v>46043</v>
      </c>
      <c r="D174" s="6" t="s">
        <v>16</v>
      </c>
      <c r="E174" s="6" t="s">
        <v>64</v>
      </c>
      <c r="F174" s="133" t="s">
        <v>19</v>
      </c>
      <c r="G174" s="133" t="s">
        <v>20</v>
      </c>
      <c r="H174" s="133" t="s">
        <v>21</v>
      </c>
      <c r="I174" s="6" t="s">
        <v>22</v>
      </c>
      <c r="J174" s="129" t="s">
        <v>23</v>
      </c>
      <c r="K174" s="129" t="s">
        <v>24</v>
      </c>
      <c r="L174" s="6" t="s">
        <v>63</v>
      </c>
      <c r="M174" s="119">
        <v>27</v>
      </c>
      <c r="N174" s="93">
        <v>59</v>
      </c>
      <c r="O174" s="6">
        <v>2</v>
      </c>
      <c r="P174" s="129">
        <v>1</v>
      </c>
      <c r="Q174" s="6">
        <v>12</v>
      </c>
      <c r="R174" s="98">
        <v>0.50009999999999999</v>
      </c>
      <c r="S174" s="94">
        <f>((Table3.110[[#This Row],[Sample weight, g]]*'2.1. DM'!Q47)/100)*1000</f>
        <v>476.53083435852693</v>
      </c>
      <c r="T174" s="94">
        <f>'3.2 Digest'!W174</f>
        <v>139.330834358527</v>
      </c>
      <c r="U174" s="153">
        <v>0.37361111111111112</v>
      </c>
      <c r="V174" s="154">
        <v>41</v>
      </c>
      <c r="W174" s="153">
        <v>0.6958333333333333</v>
      </c>
      <c r="X174" s="91">
        <v>69.5</v>
      </c>
      <c r="Y174" s="91">
        <v>14.5</v>
      </c>
      <c r="Z174" s="154">
        <v>40.5</v>
      </c>
      <c r="AA174" s="153">
        <v>0.38819444444444445</v>
      </c>
      <c r="AB174" s="154">
        <v>69</v>
      </c>
      <c r="AC174" s="154">
        <v>17.8</v>
      </c>
      <c r="AD174" s="94"/>
      <c r="AE174" s="94">
        <f>Table3.110[[#This Row],[Gas 8h, ml]]-Table3.110[[#This Row],[Gas 0h, ml]]</f>
        <v>28.5</v>
      </c>
      <c r="AF174" s="94">
        <f>Table3.110[[#This Row],[Gas 24h, ml]]-Table3.110[[#This Row],[V8 Push back, ml]]</f>
        <v>28.5</v>
      </c>
      <c r="AG174" s="94">
        <f>Table3.110[[#This Row],[GP 8h, ml]]-(AVERAGE(AE$116,AE$117,AE$167,AE$166,AE$219,AE$220))*$AG$8</f>
        <v>25.623728042697874</v>
      </c>
      <c r="AH174" s="94">
        <f>Table3.110[[#This Row],[GP 8-24h, ml]]-(AVERAGE(AF$11,AF$12,AF$62,AF$61,AF$114,AF$115))*$AG$8</f>
        <v>24.81247184961266</v>
      </c>
      <c r="AI174" s="94">
        <f>Table3.110[[#This Row],[Net gas 8-24h, ml]]+Table3.110[[#This Row],[Net gas 8h, ml]]</f>
        <v>50.436199892310533</v>
      </c>
      <c r="AJ174" s="94">
        <f>Table3.110[[#This Row],[Net gas 8h, ml]]*Table3.110[[#This Row],[CH4 8h %]]%</f>
        <v>3.7154405661911913</v>
      </c>
      <c r="AK174" s="94">
        <f>Table3.110[[#This Row],[Net gas 8-24h, ml]]*Table3.110[[#This Row],[CH4 24h, %]]%</f>
        <v>4.4166199892310543</v>
      </c>
      <c r="AL174" s="94">
        <f>Table3.110[[#This Row],[CH4 8-24h, ml]]+Table3.110[[#This Row],[CH4 8h, ml]]</f>
        <v>8.132060555422246</v>
      </c>
      <c r="AM174" s="94">
        <f>(Table3.110[[#This Row],[Net gas 24h, ml]]/Table3.110[[#This Row],[DM Incubated, mg]])*1000</f>
        <v>105.8403701414291</v>
      </c>
      <c r="AN174" s="94">
        <f>'3.2 Digest'!X174</f>
        <v>29.238576879518106</v>
      </c>
      <c r="AO174" s="94">
        <f>Table3.110[[#This Row],[Digested feed, mg]]/Table3.110[[#This Row],[Net gas 24h, ml]]</f>
        <v>2.7625164991815585</v>
      </c>
      <c r="AP174" s="94">
        <f>Table3.110[[#This Row],[CH4 8h, ml]]/Table3.110[[#This Row],[Net gas 8h, ml]]%</f>
        <v>14.499999999999998</v>
      </c>
      <c r="AQ174" s="94">
        <f>Table3.110[[#This Row],[CH4 24h, ml]]/Table3.110[[#This Row],[Net gas 24h, ml]]%</f>
        <v>16.123460079834555</v>
      </c>
      <c r="AR174" s="94">
        <f>Table3.110[[#This Row],[CH4 24h, ml]]/Table3.110[[#This Row],[DM Incubated, mg]]*1000</f>
        <v>17.065129828102449</v>
      </c>
      <c r="AS174" s="94">
        <f>Table3.110[[#This Row],[CH4 24h, ml]]/Table3.110[[#This Row],[Digested feed, mg]]*1000</f>
        <v>58.365117763500756</v>
      </c>
      <c r="AT174" s="94">
        <f>Table3.110[[#This Row],[CH4 24h, ml]]/'3.2 Digest'!AA174</f>
        <v>-0.42867946544160229</v>
      </c>
      <c r="AU174" s="94">
        <f>((Table3.110[[#This Row],[CH4 24h, ml]]/28.9)*16.04)/Table3.110[[#This Row],[DM Incubated, mg]]*1000</f>
        <v>9.4714422990575553</v>
      </c>
      <c r="AV174" s="94">
        <f>((Table3.110[[#This Row],[CH4 24h, ml]]/28.9)*16.04)/Table3.110[[#This Row],[Digested feed, mg]]*1000</f>
        <v>32.393650135866856</v>
      </c>
      <c r="AW174" s="303"/>
    </row>
    <row r="175" spans="1:49" s="304" customFormat="1" x14ac:dyDescent="0.35">
      <c r="A175" s="89"/>
      <c r="B175" s="90">
        <f t="shared" si="2"/>
        <v>165</v>
      </c>
      <c r="C175" s="140">
        <v>46043</v>
      </c>
      <c r="D175" s="6" t="s">
        <v>16</v>
      </c>
      <c r="E175" s="6" t="s">
        <v>64</v>
      </c>
      <c r="F175" s="133" t="s">
        <v>19</v>
      </c>
      <c r="G175" s="133" t="s">
        <v>20</v>
      </c>
      <c r="H175" s="133" t="s">
        <v>21</v>
      </c>
      <c r="I175" s="6" t="s">
        <v>22</v>
      </c>
      <c r="J175" s="129" t="s">
        <v>23</v>
      </c>
      <c r="K175" s="129" t="s">
        <v>24</v>
      </c>
      <c r="L175" s="6" t="s">
        <v>63</v>
      </c>
      <c r="M175" s="119">
        <v>27</v>
      </c>
      <c r="N175" s="93">
        <v>59</v>
      </c>
      <c r="O175" s="6">
        <v>2</v>
      </c>
      <c r="P175" s="129">
        <v>2</v>
      </c>
      <c r="Q175" s="6">
        <v>13</v>
      </c>
      <c r="R175" s="98">
        <v>0.50019999999999998</v>
      </c>
      <c r="S175" s="110">
        <f>((Table3.110[[#This Row],[Sample weight, g]]*'2.1. DM'!Q47)/100)*1000</f>
        <v>476.62612146797676</v>
      </c>
      <c r="T175" s="94">
        <f>'3.2 Digest'!W175</f>
        <v>109.32612146797669</v>
      </c>
      <c r="U175" s="117">
        <v>0.37361111111111112</v>
      </c>
      <c r="V175" s="155">
        <v>41</v>
      </c>
      <c r="W175" s="117">
        <v>0.69652777777777775</v>
      </c>
      <c r="X175" s="96">
        <v>69</v>
      </c>
      <c r="Y175" s="96">
        <v>14</v>
      </c>
      <c r="Z175" s="155">
        <v>39.5</v>
      </c>
      <c r="AA175" s="117">
        <v>0.3888888888888889</v>
      </c>
      <c r="AB175" s="155">
        <v>68</v>
      </c>
      <c r="AC175" s="155">
        <v>18</v>
      </c>
      <c r="AD175" s="94"/>
      <c r="AE175" s="94">
        <f>Table3.110[[#This Row],[Gas 8h, ml]]-Table3.110[[#This Row],[Gas 0h, ml]]</f>
        <v>28</v>
      </c>
      <c r="AF175" s="94">
        <f>Table3.110[[#This Row],[Gas 24h, ml]]-Table3.110[[#This Row],[V8 Push back, ml]]</f>
        <v>28.5</v>
      </c>
      <c r="AG175" s="94">
        <f>Table3.110[[#This Row],[GP 8h, ml]]-(AVERAGE(AE$116,AE$117,AE$167,AE$166,AE$219,AE$220))*$AG$8</f>
        <v>25.123728042697874</v>
      </c>
      <c r="AH175" s="94">
        <f>Table3.110[[#This Row],[GP 8-24h, ml]]-(AVERAGE(AF$11,AF$12,AF$62,AF$61,AF$114,AF$115))*$AG$8</f>
        <v>24.81247184961266</v>
      </c>
      <c r="AI175" s="94">
        <f>Table3.110[[#This Row],[Net gas 8-24h, ml]]+Table3.110[[#This Row],[Net gas 8h, ml]]</f>
        <v>49.936199892310533</v>
      </c>
      <c r="AJ175" s="94">
        <f>Table3.110[[#This Row],[Net gas 8h, ml]]*Table3.110[[#This Row],[CH4 8h %]]%</f>
        <v>3.5173219259777024</v>
      </c>
      <c r="AK175" s="94">
        <f>Table3.110[[#This Row],[Net gas 8-24h, ml]]*Table3.110[[#This Row],[CH4 24h, %]]%</f>
        <v>4.4662449329302785</v>
      </c>
      <c r="AL175" s="94">
        <f>Table3.110[[#This Row],[CH4 8-24h, ml]]+Table3.110[[#This Row],[CH4 8h, ml]]</f>
        <v>7.9835668589079809</v>
      </c>
      <c r="AM175" s="94">
        <f>(Table3.110[[#This Row],[Net gas 24h, ml]]/Table3.110[[#This Row],[DM Incubated, mg]])*1000</f>
        <v>104.7701702510772</v>
      </c>
      <c r="AN175" s="94">
        <f>'3.2 Digest'!X175</f>
        <v>22.937501018882369</v>
      </c>
      <c r="AO175" s="94">
        <f>Table3.110[[#This Row],[Digested feed, mg]]/Table3.110[[#This Row],[Net gas 24h, ml]]</f>
        <v>2.1893160012925086</v>
      </c>
      <c r="AP175" s="94">
        <f>Table3.110[[#This Row],[CH4 8h, ml]]/Table3.110[[#This Row],[Net gas 8h, ml]]%</f>
        <v>14</v>
      </c>
      <c r="AQ175" s="94">
        <f>Table3.110[[#This Row],[CH4 24h, ml]]/Table3.110[[#This Row],[Net gas 24h, ml]]%</f>
        <v>15.987533845436518</v>
      </c>
      <c r="AR175" s="94">
        <f>Table3.110[[#This Row],[CH4 24h, ml]]/Table3.110[[#This Row],[DM Incubated, mg]]*1000</f>
        <v>16.750166428812435</v>
      </c>
      <c r="AS175" s="94">
        <f>Table3.110[[#This Row],[CH4 24h, ml]]/Table3.110[[#This Row],[Digested feed, mg]]*1000</f>
        <v>73.025245492189995</v>
      </c>
      <c r="AT175" s="94">
        <f>Table3.110[[#This Row],[CH4 24h, ml]]/'3.2 Digest'!AA175</f>
        <v>-0.27004424131587584</v>
      </c>
      <c r="AU175" s="94">
        <f>((Table3.110[[#This Row],[CH4 24h, ml]]/28.9)*16.04)/Table3.110[[#This Row],[DM Incubated, mg]]*1000</f>
        <v>9.2966321632578328</v>
      </c>
      <c r="AV175" s="94">
        <f>((Table3.110[[#This Row],[CH4 24h, ml]]/28.9)*16.04)/Table3.110[[#This Row],[Digested feed, mg]]*1000</f>
        <v>40.530274660717218</v>
      </c>
      <c r="AW175" s="303"/>
    </row>
    <row r="176" spans="1:49" s="304" customFormat="1" x14ac:dyDescent="0.35">
      <c r="A176" s="89"/>
      <c r="B176" s="90">
        <f t="shared" si="2"/>
        <v>166</v>
      </c>
      <c r="C176" s="140">
        <v>46043</v>
      </c>
      <c r="D176" s="6" t="s">
        <v>16</v>
      </c>
      <c r="E176" s="6" t="s">
        <v>64</v>
      </c>
      <c r="F176" s="133" t="s">
        <v>19</v>
      </c>
      <c r="G176" s="133" t="s">
        <v>20</v>
      </c>
      <c r="H176" s="133" t="s">
        <v>21</v>
      </c>
      <c r="I176" s="6" t="s">
        <v>22</v>
      </c>
      <c r="J176" s="129" t="s">
        <v>23</v>
      </c>
      <c r="K176" s="129" t="s">
        <v>24</v>
      </c>
      <c r="L176" s="6" t="s">
        <v>63</v>
      </c>
      <c r="M176" s="119">
        <v>27</v>
      </c>
      <c r="N176" s="93">
        <v>59</v>
      </c>
      <c r="O176" s="6">
        <v>2</v>
      </c>
      <c r="P176" s="129">
        <v>3</v>
      </c>
      <c r="Q176" s="6">
        <v>14</v>
      </c>
      <c r="R176" s="98">
        <v>0.50019999999999998</v>
      </c>
      <c r="S176" s="94">
        <f>((Table3.110[[#This Row],[Sample weight, g]]*'2.1. DM'!Q47)/100)*1000</f>
        <v>476.62612146797676</v>
      </c>
      <c r="T176" s="94">
        <f>'3.2 Digest'!W176</f>
        <v>140.72612146797678</v>
      </c>
      <c r="U176" s="153">
        <v>0.37430555555555556</v>
      </c>
      <c r="V176" s="155">
        <v>40.5</v>
      </c>
      <c r="W176" s="153">
        <v>0.69722222222222219</v>
      </c>
      <c r="X176" s="91">
        <v>70.5</v>
      </c>
      <c r="Y176" s="91">
        <v>13.5</v>
      </c>
      <c r="Z176" s="154">
        <v>39.5</v>
      </c>
      <c r="AA176" s="153">
        <v>0.38958333333333334</v>
      </c>
      <c r="AB176" s="154">
        <v>69</v>
      </c>
      <c r="AC176" s="154">
        <v>17.7</v>
      </c>
      <c r="AD176" s="94"/>
      <c r="AE176" s="94">
        <f>Table3.110[[#This Row],[Gas 8h, ml]]-Table3.110[[#This Row],[Gas 0h, ml]]</f>
        <v>30</v>
      </c>
      <c r="AF176" s="94">
        <f>Table3.110[[#This Row],[Gas 24h, ml]]-Table3.110[[#This Row],[V8 Push back, ml]]</f>
        <v>29.5</v>
      </c>
      <c r="AG176" s="94">
        <f>Table3.110[[#This Row],[GP 8h, ml]]-(AVERAGE(AE$116,AE$117,AE$167,AE$166,AE$219,AE$220))*$AG$8</f>
        <v>27.123728042697874</v>
      </c>
      <c r="AH176" s="94">
        <f>Table3.110[[#This Row],[GP 8-24h, ml]]-(AVERAGE(AF$11,AF$12,AF$62,AF$61,AF$114,AF$115))*$AG$8</f>
        <v>25.81247184961266</v>
      </c>
      <c r="AI176" s="94">
        <f>Table3.110[[#This Row],[Net gas 8-24h, ml]]+Table3.110[[#This Row],[Net gas 8h, ml]]</f>
        <v>52.936199892310533</v>
      </c>
      <c r="AJ176" s="94">
        <f>Table3.110[[#This Row],[Net gas 8h, ml]]*Table3.110[[#This Row],[CH4 8h %]]%</f>
        <v>3.6617032857642133</v>
      </c>
      <c r="AK176" s="94">
        <f>Table3.110[[#This Row],[Net gas 8-24h, ml]]*Table3.110[[#This Row],[CH4 24h, %]]%</f>
        <v>4.5688075173814404</v>
      </c>
      <c r="AL176" s="94">
        <f>Table3.110[[#This Row],[CH4 8-24h, ml]]+Table3.110[[#This Row],[CH4 8h, ml]]</f>
        <v>8.2305108031456538</v>
      </c>
      <c r="AM176" s="94">
        <f>(Table3.110[[#This Row],[Net gas 24h, ml]]/Table3.110[[#This Row],[DM Incubated, mg]])*1000</f>
        <v>111.06441193208329</v>
      </c>
      <c r="AN176" s="94">
        <f>'3.2 Digest'!X176</f>
        <v>29.525473978335405</v>
      </c>
      <c r="AO176" s="94">
        <f>Table3.110[[#This Row],[Digested feed, mg]]/Table3.110[[#This Row],[Net gas 24h, ml]]</f>
        <v>2.6584099681174611</v>
      </c>
      <c r="AP176" s="94">
        <f>Table3.110[[#This Row],[CH4 8h, ml]]/Table3.110[[#This Row],[Net gas 8h, ml]]%</f>
        <v>13.5</v>
      </c>
      <c r="AQ176" s="94">
        <f>Table3.110[[#This Row],[CH4 24h, ml]]/Table3.110[[#This Row],[Net gas 24h, ml]]%</f>
        <v>15.547981947871575</v>
      </c>
      <c r="AR176" s="94">
        <f>Table3.110[[#This Row],[CH4 24h, ml]]/Table3.110[[#This Row],[DM Incubated, mg]]*1000</f>
        <v>17.268274717710032</v>
      </c>
      <c r="AS176" s="94">
        <f>Table3.110[[#This Row],[CH4 24h, ml]]/Table3.110[[#This Row],[Digested feed, mg]]*1000</f>
        <v>58.486020344265398</v>
      </c>
      <c r="AT176" s="94">
        <f>Table3.110[[#This Row],[CH4 24h, ml]]/'3.2 Digest'!AA176</f>
        <v>-0.44518917701022986</v>
      </c>
      <c r="AU176" s="94">
        <f>((Table3.110[[#This Row],[CH4 24h, ml]]/28.9)*16.04)/Table3.110[[#This Row],[DM Incubated, mg]]*1000</f>
        <v>9.5841912274072296</v>
      </c>
      <c r="AV176" s="94">
        <f>((Table3.110[[#This Row],[CH4 24h, ml]]/28.9)*16.04)/Table3.110[[#This Row],[Digested feed, mg]]*1000</f>
        <v>32.460753159931386</v>
      </c>
      <c r="AW176" s="303"/>
    </row>
    <row r="177" spans="1:49" s="304" customFormat="1" x14ac:dyDescent="0.35">
      <c r="A177" s="89"/>
      <c r="B177" s="90">
        <f t="shared" si="2"/>
        <v>167</v>
      </c>
      <c r="C177" s="140">
        <v>46043</v>
      </c>
      <c r="D177" s="6" t="s">
        <v>16</v>
      </c>
      <c r="E177" s="6" t="s">
        <v>66</v>
      </c>
      <c r="F177" s="133" t="s">
        <v>19</v>
      </c>
      <c r="G177" s="133" t="s">
        <v>67</v>
      </c>
      <c r="H177" s="133" t="s">
        <v>68</v>
      </c>
      <c r="I177" s="6" t="s">
        <v>22</v>
      </c>
      <c r="J177" s="129" t="s">
        <v>23</v>
      </c>
      <c r="K177" s="129" t="s">
        <v>24</v>
      </c>
      <c r="L177" s="6" t="s">
        <v>65</v>
      </c>
      <c r="M177" s="119">
        <v>27</v>
      </c>
      <c r="N177" s="93">
        <v>59</v>
      </c>
      <c r="O177" s="6">
        <v>2</v>
      </c>
      <c r="P177" s="129">
        <v>1</v>
      </c>
      <c r="Q177" s="6">
        <v>15</v>
      </c>
      <c r="R177" s="98">
        <v>0.5</v>
      </c>
      <c r="S177" s="94">
        <f>((Table3.110[[#This Row],[Sample weight, g]]*'2.1. DM'!Q49)/100)*1000</f>
        <v>473.35781031381202</v>
      </c>
      <c r="T177" s="94">
        <f>'3.2 Digest'!W177</f>
        <v>131.757810313812</v>
      </c>
      <c r="U177" s="117">
        <v>0.375</v>
      </c>
      <c r="V177" s="155">
        <v>41.5</v>
      </c>
      <c r="W177" s="117">
        <v>0.69722222222222219</v>
      </c>
      <c r="X177" s="96">
        <v>66.5</v>
      </c>
      <c r="Y177" s="96">
        <v>13.7</v>
      </c>
      <c r="Z177" s="155">
        <v>39.5</v>
      </c>
      <c r="AA177" s="117">
        <v>0.38958333333333334</v>
      </c>
      <c r="AB177" s="155">
        <v>68</v>
      </c>
      <c r="AC177" s="155">
        <v>17.5</v>
      </c>
      <c r="AD177" s="94"/>
      <c r="AE177" s="94">
        <f>Table3.110[[#This Row],[Gas 8h, ml]]-Table3.110[[#This Row],[Gas 0h, ml]]</f>
        <v>25</v>
      </c>
      <c r="AF177" s="94">
        <f>Table3.110[[#This Row],[Gas 24h, ml]]-Table3.110[[#This Row],[V8 Push back, ml]]</f>
        <v>28.5</v>
      </c>
      <c r="AG177" s="94">
        <f>Table3.110[[#This Row],[GP 8h, ml]]-(AVERAGE(AE$116,AE$117,AE$167,AE$166,AE$219,AE$220))*$AG$8</f>
        <v>22.123728042697874</v>
      </c>
      <c r="AH177" s="94">
        <f>Table3.110[[#This Row],[GP 8-24h, ml]]-(AVERAGE(AF$11,AF$12,AF$62,AF$61,AF$114,AF$115))*$AG$8</f>
        <v>24.81247184961266</v>
      </c>
      <c r="AI177" s="94">
        <f>Table3.110[[#This Row],[Net gas 8-24h, ml]]+Table3.110[[#This Row],[Net gas 8h, ml]]</f>
        <v>46.936199892310533</v>
      </c>
      <c r="AJ177" s="94">
        <f>Table3.110[[#This Row],[Net gas 8h, ml]]*Table3.110[[#This Row],[CH4 8h %]]%</f>
        <v>3.0309507418496082</v>
      </c>
      <c r="AK177" s="94">
        <f>Table3.110[[#This Row],[Net gas 8-24h, ml]]*Table3.110[[#This Row],[CH4 24h, %]]%</f>
        <v>4.3421825736822148</v>
      </c>
      <c r="AL177" s="94">
        <f>Table3.110[[#This Row],[CH4 8-24h, ml]]+Table3.110[[#This Row],[CH4 8h, ml]]</f>
        <v>7.3731333155318231</v>
      </c>
      <c r="AM177" s="94">
        <f>(Table3.110[[#This Row],[Net gas 24h, ml]]/Table3.110[[#This Row],[DM Incubated, mg]])*1000</f>
        <v>99.155858147126025</v>
      </c>
      <c r="AN177" s="94">
        <f>'3.2 Digest'!X177</f>
        <v>27.834717721561052</v>
      </c>
      <c r="AO177" s="94">
        <f>Table3.110[[#This Row],[Digested feed, mg]]/Table3.110[[#This Row],[Net gas 24h, ml]]</f>
        <v>2.8071682542709988</v>
      </c>
      <c r="AP177" s="94">
        <f>Table3.110[[#This Row],[CH4 8h, ml]]/Table3.110[[#This Row],[Net gas 8h, ml]]%</f>
        <v>13.699999999999998</v>
      </c>
      <c r="AQ177" s="94">
        <f>Table3.110[[#This Row],[CH4 24h, ml]]/Table3.110[[#This Row],[Net gas 24h, ml]]%</f>
        <v>15.708841645571203</v>
      </c>
      <c r="AR177" s="94">
        <f>Table3.110[[#This Row],[CH4 24h, ml]]/Table3.110[[#This Row],[DM Incubated, mg]]*1000</f>
        <v>15.576236738639238</v>
      </c>
      <c r="AS177" s="94">
        <f>Table3.110[[#This Row],[CH4 24h, ml]]/Table3.110[[#This Row],[Digested feed, mg]]*1000</f>
        <v>55.95974385101713</v>
      </c>
      <c r="AT177" s="94">
        <f>Table3.110[[#This Row],[CH4 24h, ml]]/'3.2 Digest'!AA177</f>
        <v>-0.35511670338234702</v>
      </c>
      <c r="AU177" s="94">
        <f>((Table3.110[[#This Row],[CH4 24h, ml]]/28.9)*16.04)/Table3.110[[#This Row],[DM Incubated, mg]]*1000</f>
        <v>8.6450808750094605</v>
      </c>
      <c r="AV177" s="94">
        <f>((Table3.110[[#This Row],[CH4 24h, ml]]/28.9)*16.04)/Table3.110[[#This Row],[Digested feed, mg]]*1000</f>
        <v>31.058625998972836</v>
      </c>
      <c r="AW177" s="303"/>
    </row>
    <row r="178" spans="1:49" s="304" customFormat="1" x14ac:dyDescent="0.35">
      <c r="A178" s="89"/>
      <c r="B178" s="90">
        <f t="shared" si="2"/>
        <v>168</v>
      </c>
      <c r="C178" s="140">
        <v>46043</v>
      </c>
      <c r="D178" s="6" t="s">
        <v>16</v>
      </c>
      <c r="E178" s="6" t="s">
        <v>66</v>
      </c>
      <c r="F178" s="133" t="s">
        <v>19</v>
      </c>
      <c r="G178" s="133" t="s">
        <v>67</v>
      </c>
      <c r="H178" s="133" t="s">
        <v>68</v>
      </c>
      <c r="I178" s="6" t="s">
        <v>22</v>
      </c>
      <c r="J178" s="129" t="s">
        <v>23</v>
      </c>
      <c r="K178" s="129" t="s">
        <v>24</v>
      </c>
      <c r="L178" s="6" t="s">
        <v>65</v>
      </c>
      <c r="M178" s="119">
        <v>27</v>
      </c>
      <c r="N178" s="93">
        <v>59</v>
      </c>
      <c r="O178" s="6">
        <v>2</v>
      </c>
      <c r="P178" s="129">
        <v>2</v>
      </c>
      <c r="Q178" s="6">
        <v>16</v>
      </c>
      <c r="R178" s="98">
        <v>0.50039999999999996</v>
      </c>
      <c r="S178" s="94">
        <f>((Table3.110[[#This Row],[Sample weight, g]]*'2.1. DM'!Q49)/100)*1000</f>
        <v>473.736496562063</v>
      </c>
      <c r="T178" s="94">
        <f>'3.2 Digest'!W178</f>
        <v>163.43649656206298</v>
      </c>
      <c r="U178" s="153">
        <v>0.37569444444444444</v>
      </c>
      <c r="V178" s="155">
        <v>41</v>
      </c>
      <c r="W178" s="153">
        <v>0.69791666666666663</v>
      </c>
      <c r="X178" s="91">
        <v>66.5</v>
      </c>
      <c r="Y178" s="91">
        <v>13.7</v>
      </c>
      <c r="Z178" s="154">
        <v>40.5</v>
      </c>
      <c r="AA178" s="153">
        <v>0.39027777777777778</v>
      </c>
      <c r="AB178" s="154">
        <v>70</v>
      </c>
      <c r="AC178" s="154">
        <v>17.2</v>
      </c>
      <c r="AD178" s="94"/>
      <c r="AE178" s="94">
        <f>Table3.110[[#This Row],[Gas 8h, ml]]-Table3.110[[#This Row],[Gas 0h, ml]]</f>
        <v>25.5</v>
      </c>
      <c r="AF178" s="94">
        <f>Table3.110[[#This Row],[Gas 24h, ml]]-Table3.110[[#This Row],[V8 Push back, ml]]</f>
        <v>29.5</v>
      </c>
      <c r="AG178" s="94">
        <f>Table3.110[[#This Row],[GP 8h, ml]]-(AVERAGE(AE$116,AE$117,AE$167,AE$166,AE$219,AE$220))*$AG$8</f>
        <v>22.623728042697874</v>
      </c>
      <c r="AH178" s="94">
        <f>Table3.110[[#This Row],[GP 8-24h, ml]]-(AVERAGE(AF$11,AF$12,AF$62,AF$61,AF$114,AF$115))*$AG$8</f>
        <v>25.81247184961266</v>
      </c>
      <c r="AI178" s="94">
        <f>Table3.110[[#This Row],[Net gas 8-24h, ml]]+Table3.110[[#This Row],[Net gas 8h, ml]]</f>
        <v>48.436199892310533</v>
      </c>
      <c r="AJ178" s="94">
        <f>Table3.110[[#This Row],[Net gas 8h, ml]]*Table3.110[[#This Row],[CH4 8h %]]%</f>
        <v>3.0994507418496084</v>
      </c>
      <c r="AK178" s="94">
        <f>Table3.110[[#This Row],[Net gas 8-24h, ml]]*Table3.110[[#This Row],[CH4 24h, %]]%</f>
        <v>4.4397451581333769</v>
      </c>
      <c r="AL178" s="94">
        <f>Table3.110[[#This Row],[CH4 8-24h, ml]]+Table3.110[[#This Row],[CH4 8h, ml]]</f>
        <v>7.5391958999829853</v>
      </c>
      <c r="AM178" s="94">
        <f>(Table3.110[[#This Row],[Net gas 24h, ml]]/Table3.110[[#This Row],[DM Incubated, mg]])*1000</f>
        <v>102.24291403304417</v>
      </c>
      <c r="AN178" s="94">
        <f>'3.2 Digest'!X178</f>
        <v>34.499452279512433</v>
      </c>
      <c r="AO178" s="94">
        <f>Table3.110[[#This Row],[Digested feed, mg]]/Table3.110[[#This Row],[Net gas 24h, ml]]</f>
        <v>3.3742634006267131</v>
      </c>
      <c r="AP178" s="94">
        <f>Table3.110[[#This Row],[CH4 8h, ml]]/Table3.110[[#This Row],[Net gas 8h, ml]]%</f>
        <v>13.7</v>
      </c>
      <c r="AQ178" s="94">
        <f>Table3.110[[#This Row],[CH4 24h, ml]]/Table3.110[[#This Row],[Net gas 24h, ml]]%</f>
        <v>15.565209320188364</v>
      </c>
      <c r="AR178" s="94">
        <f>Table3.110[[#This Row],[CH4 24h, ml]]/Table3.110[[#This Row],[DM Incubated, mg]]*1000</f>
        <v>15.914323584303569</v>
      </c>
      <c r="AS178" s="94">
        <f>Table3.110[[#This Row],[CH4 24h, ml]]/Table3.110[[#This Row],[Digested feed, mg]]*1000</f>
        <v>46.129206502661845</v>
      </c>
      <c r="AT178" s="94">
        <f>Table3.110[[#This Row],[CH4 24h, ml]]/'3.2 Digest'!AA178</f>
        <v>-0.78454115371061817</v>
      </c>
      <c r="AU178" s="94">
        <f>((Table3.110[[#This Row],[CH4 24h, ml]]/28.9)*16.04)/Table3.110[[#This Row],[DM Incubated, mg]]*1000</f>
        <v>8.8327249236065484</v>
      </c>
      <c r="AV178" s="94">
        <f>((Table3.110[[#This Row],[CH4 24h, ml]]/28.9)*16.04)/Table3.110[[#This Row],[Digested feed, mg]]*1000</f>
        <v>25.602507692134807</v>
      </c>
      <c r="AW178" s="303"/>
    </row>
    <row r="179" spans="1:49" s="304" customFormat="1" x14ac:dyDescent="0.35">
      <c r="A179" s="89"/>
      <c r="B179" s="90">
        <f t="shared" si="2"/>
        <v>169</v>
      </c>
      <c r="C179" s="140">
        <v>46043</v>
      </c>
      <c r="D179" s="6" t="s">
        <v>16</v>
      </c>
      <c r="E179" s="6" t="s">
        <v>66</v>
      </c>
      <c r="F179" s="133" t="s">
        <v>19</v>
      </c>
      <c r="G179" s="133" t="s">
        <v>67</v>
      </c>
      <c r="H179" s="133" t="s">
        <v>68</v>
      </c>
      <c r="I179" s="6" t="s">
        <v>22</v>
      </c>
      <c r="J179" s="129" t="s">
        <v>23</v>
      </c>
      <c r="K179" s="129" t="s">
        <v>24</v>
      </c>
      <c r="L179" s="6" t="s">
        <v>65</v>
      </c>
      <c r="M179" s="119">
        <v>27</v>
      </c>
      <c r="N179" s="93">
        <v>59</v>
      </c>
      <c r="O179" s="6">
        <v>2</v>
      </c>
      <c r="P179" s="129">
        <v>3</v>
      </c>
      <c r="Q179" s="6">
        <v>17</v>
      </c>
      <c r="R179" s="98">
        <v>0.50039999999999996</v>
      </c>
      <c r="S179" s="94">
        <f>((Table3.110[[#This Row],[Sample weight, g]]*'2.1. DM'!Q49)/100)*1000</f>
        <v>473.736496562063</v>
      </c>
      <c r="T179" s="94">
        <f>'3.2 Digest'!W179</f>
        <v>159.83649656206291</v>
      </c>
      <c r="U179" s="117">
        <v>0.37569444444444444</v>
      </c>
      <c r="V179" s="155">
        <v>41.5</v>
      </c>
      <c r="W179" s="117">
        <v>0.69861111111111107</v>
      </c>
      <c r="X179" s="96">
        <v>67</v>
      </c>
      <c r="Y179" s="96">
        <v>13.5</v>
      </c>
      <c r="Z179" s="155">
        <v>40</v>
      </c>
      <c r="AA179" s="117">
        <v>0.39097222222222222</v>
      </c>
      <c r="AB179" s="155">
        <v>69</v>
      </c>
      <c r="AC179" s="155">
        <v>17.399999999999999</v>
      </c>
      <c r="AD179" s="94"/>
      <c r="AE179" s="94">
        <f>Table3.110[[#This Row],[Gas 8h, ml]]-Table3.110[[#This Row],[Gas 0h, ml]]</f>
        <v>25.5</v>
      </c>
      <c r="AF179" s="94">
        <f>Table3.110[[#This Row],[Gas 24h, ml]]-Table3.110[[#This Row],[V8 Push back, ml]]</f>
        <v>29</v>
      </c>
      <c r="AG179" s="94">
        <f>Table3.110[[#This Row],[GP 8h, ml]]-(AVERAGE(AE$116,AE$117,AE$167,AE$166,AE$219,AE$220))*$AG$8</f>
        <v>22.623728042697874</v>
      </c>
      <c r="AH179" s="94">
        <f>Table3.110[[#This Row],[GP 8-24h, ml]]-(AVERAGE(AF$11,AF$12,AF$62,AF$61,AF$114,AF$115))*$AG$8</f>
        <v>25.31247184961266</v>
      </c>
      <c r="AI179" s="94">
        <f>Table3.110[[#This Row],[Net gas 8-24h, ml]]+Table3.110[[#This Row],[Net gas 8h, ml]]</f>
        <v>47.936199892310533</v>
      </c>
      <c r="AJ179" s="94">
        <f>Table3.110[[#This Row],[Net gas 8h, ml]]*Table3.110[[#This Row],[CH4 8h %]]%</f>
        <v>3.054203285764213</v>
      </c>
      <c r="AK179" s="94">
        <f>Table3.110[[#This Row],[Net gas 8-24h, ml]]*Table3.110[[#This Row],[CH4 24h, %]]%</f>
        <v>4.4043701018326029</v>
      </c>
      <c r="AL179" s="94">
        <f>Table3.110[[#This Row],[CH4 8-24h, ml]]+Table3.110[[#This Row],[CH4 8h, ml]]</f>
        <v>7.4585733875968163</v>
      </c>
      <c r="AM179" s="94">
        <f>(Table3.110[[#This Row],[Net gas 24h, ml]]/Table3.110[[#This Row],[DM Incubated, mg]])*1000</f>
        <v>101.18747497857289</v>
      </c>
      <c r="AN179" s="94">
        <f>'3.2 Digest'!X179</f>
        <v>33.739536160293099</v>
      </c>
      <c r="AO179" s="94">
        <f>Table3.110[[#This Row],[Digested feed, mg]]/Table3.110[[#This Row],[Net gas 24h, ml]]</f>
        <v>3.3343589379453991</v>
      </c>
      <c r="AP179" s="94">
        <f>Table3.110[[#This Row],[CH4 8h, ml]]/Table3.110[[#This Row],[Net gas 8h, ml]]%</f>
        <v>13.5</v>
      </c>
      <c r="AQ179" s="94">
        <f>Table3.110[[#This Row],[CH4 24h, ml]]/Table3.110[[#This Row],[Net gas 24h, ml]]%</f>
        <v>15.559375595797382</v>
      </c>
      <c r="AR179" s="94">
        <f>Table3.110[[#This Row],[CH4 24h, ml]]/Table3.110[[#This Row],[DM Incubated, mg]]*1000</f>
        <v>15.744139287819655</v>
      </c>
      <c r="AS179" s="94">
        <f>Table3.110[[#This Row],[CH4 24h, ml]]/Table3.110[[#This Row],[Digested feed, mg]]*1000</f>
        <v>46.66376921431538</v>
      </c>
      <c r="AT179" s="94">
        <f>Table3.110[[#This Row],[CH4 24h, ml]]/'3.2 Digest'!AA179</f>
        <v>-0.68544595003955822</v>
      </c>
      <c r="AU179" s="94">
        <f>((Table3.110[[#This Row],[CH4 24h, ml]]/28.9)*16.04)/Table3.110[[#This Row],[DM Incubated, mg]]*1000</f>
        <v>8.7382696946929848</v>
      </c>
      <c r="AV179" s="94">
        <f>((Table3.110[[#This Row],[CH4 24h, ml]]/28.9)*16.04)/Table3.110[[#This Row],[Digested feed, mg]]*1000</f>
        <v>25.899199245592342</v>
      </c>
      <c r="AW179" s="303"/>
    </row>
    <row r="180" spans="1:49" s="304" customFormat="1" x14ac:dyDescent="0.35">
      <c r="A180" s="89"/>
      <c r="B180" s="90">
        <f t="shared" si="2"/>
        <v>170</v>
      </c>
      <c r="C180" s="140">
        <v>46043</v>
      </c>
      <c r="D180" s="6" t="s">
        <v>16</v>
      </c>
      <c r="E180" s="6" t="s">
        <v>70</v>
      </c>
      <c r="F180" s="133" t="s">
        <v>19</v>
      </c>
      <c r="G180" s="133" t="s">
        <v>20</v>
      </c>
      <c r="H180" s="133" t="s">
        <v>21</v>
      </c>
      <c r="I180" s="6" t="s">
        <v>22</v>
      </c>
      <c r="J180" s="129" t="s">
        <v>23</v>
      </c>
      <c r="K180" s="129" t="s">
        <v>24</v>
      </c>
      <c r="L180" s="6" t="s">
        <v>69</v>
      </c>
      <c r="M180" s="119">
        <v>27</v>
      </c>
      <c r="N180" s="93">
        <v>59</v>
      </c>
      <c r="O180" s="6">
        <v>2</v>
      </c>
      <c r="P180" s="129">
        <v>1</v>
      </c>
      <c r="Q180" s="6">
        <v>18</v>
      </c>
      <c r="R180" s="98">
        <v>0.50009999999999999</v>
      </c>
      <c r="S180" s="94">
        <f>((Table3.110[[#This Row],[Sample weight, g]]*'2.1. DM'!Q51)/100)*1000</f>
        <v>473.25408688293629</v>
      </c>
      <c r="T180" s="94">
        <f>'3.2 Digest'!W180</f>
        <v>150.85408688293626</v>
      </c>
      <c r="U180" s="153">
        <v>0.37638888888888888</v>
      </c>
      <c r="V180" s="155">
        <v>41</v>
      </c>
      <c r="W180" s="153">
        <v>0.69861111111111107</v>
      </c>
      <c r="X180" s="91">
        <v>67.5</v>
      </c>
      <c r="Y180" s="91">
        <v>14.1</v>
      </c>
      <c r="Z180" s="154">
        <v>40.5</v>
      </c>
      <c r="AA180" s="153">
        <v>0.39166666666666666</v>
      </c>
      <c r="AB180" s="154">
        <v>71</v>
      </c>
      <c r="AC180" s="154">
        <v>17.399999999999999</v>
      </c>
      <c r="AD180" s="94"/>
      <c r="AE180" s="94">
        <f>Table3.110[[#This Row],[Gas 8h, ml]]-Table3.110[[#This Row],[Gas 0h, ml]]</f>
        <v>26.5</v>
      </c>
      <c r="AF180" s="94">
        <f>Table3.110[[#This Row],[Gas 24h, ml]]-Table3.110[[#This Row],[V8 Push back, ml]]</f>
        <v>30.5</v>
      </c>
      <c r="AG180" s="94">
        <f>Table3.110[[#This Row],[GP 8h, ml]]-(AVERAGE(AE$116,AE$117,AE$167,AE$166,AE$219,AE$220))*$AG$8</f>
        <v>23.623728042697874</v>
      </c>
      <c r="AH180" s="94">
        <f>Table3.110[[#This Row],[GP 8-24h, ml]]-(AVERAGE(AF$11,AF$12,AF$62,AF$61,AF$114,AF$115))*$AG$8</f>
        <v>26.81247184961266</v>
      </c>
      <c r="AI180" s="94">
        <f>Table3.110[[#This Row],[Net gas 8-24h, ml]]+Table3.110[[#This Row],[Net gas 8h, ml]]</f>
        <v>50.436199892310533</v>
      </c>
      <c r="AJ180" s="94">
        <f>Table3.110[[#This Row],[Net gas 8h, ml]]*Table3.110[[#This Row],[CH4 8h %]]%</f>
        <v>3.3309456540203999</v>
      </c>
      <c r="AK180" s="94">
        <f>Table3.110[[#This Row],[Net gas 8-24h, ml]]*Table3.110[[#This Row],[CH4 24h, %]]%</f>
        <v>4.6653701018326021</v>
      </c>
      <c r="AL180" s="94">
        <f>Table3.110[[#This Row],[CH4 8-24h, ml]]+Table3.110[[#This Row],[CH4 8h, ml]]</f>
        <v>7.9963157558530025</v>
      </c>
      <c r="AM180" s="94">
        <f>(Table3.110[[#This Row],[Net gas 24h, ml]]/Table3.110[[#This Row],[DM Incubated, mg]])*1000</f>
        <v>106.57319459089295</v>
      </c>
      <c r="AN180" s="94">
        <f>'3.2 Digest'!X180</f>
        <v>31.875918468349411</v>
      </c>
      <c r="AO180" s="94">
        <f>Table3.110[[#This Row],[Digested feed, mg]]/Table3.110[[#This Row],[Net gas 24h, ml]]</f>
        <v>2.9909883616337907</v>
      </c>
      <c r="AP180" s="94">
        <f>Table3.110[[#This Row],[CH4 8h, ml]]/Table3.110[[#This Row],[Net gas 8h, ml]]%</f>
        <v>14.1</v>
      </c>
      <c r="AQ180" s="94">
        <f>Table3.110[[#This Row],[CH4 24h, ml]]/Table3.110[[#This Row],[Net gas 24h, ml]]%</f>
        <v>15.854318471507437</v>
      </c>
      <c r="AR180" s="94">
        <f>Table3.110[[#This Row],[CH4 24h, ml]]/Table3.110[[#This Row],[DM Incubated, mg]]*1000</f>
        <v>16.896453675699505</v>
      </c>
      <c r="AS180" s="94">
        <f>Table3.110[[#This Row],[CH4 24h, ml]]/Table3.110[[#This Row],[Digested feed, mg]]*1000</f>
        <v>53.006954740697182</v>
      </c>
      <c r="AT180" s="94">
        <f>Table3.110[[#This Row],[CH4 24h, ml]]/'3.2 Digest'!AA180</f>
        <v>-0.59819345084576858</v>
      </c>
      <c r="AU180" s="94">
        <f>((Table3.110[[#This Row],[CH4 24h, ml]]/28.9)*16.04)/Table3.110[[#This Row],[DM Incubated, mg]]*1000</f>
        <v>9.3778241162013867</v>
      </c>
      <c r="AV180" s="94">
        <f>((Table3.110[[#This Row],[CH4 24h, ml]]/28.9)*16.04)/Table3.110[[#This Row],[Digested feed, mg]]*1000</f>
        <v>29.419776956428468</v>
      </c>
      <c r="AW180" s="303"/>
    </row>
    <row r="181" spans="1:49" s="304" customFormat="1" x14ac:dyDescent="0.35">
      <c r="A181" s="89"/>
      <c r="B181" s="90">
        <f t="shared" si="2"/>
        <v>171</v>
      </c>
      <c r="C181" s="140">
        <v>46043</v>
      </c>
      <c r="D181" s="6" t="s">
        <v>16</v>
      </c>
      <c r="E181" s="6" t="s">
        <v>70</v>
      </c>
      <c r="F181" s="133" t="s">
        <v>19</v>
      </c>
      <c r="G181" s="133" t="s">
        <v>20</v>
      </c>
      <c r="H181" s="133" t="s">
        <v>21</v>
      </c>
      <c r="I181" s="6" t="s">
        <v>22</v>
      </c>
      <c r="J181" s="129" t="s">
        <v>23</v>
      </c>
      <c r="K181" s="129" t="s">
        <v>24</v>
      </c>
      <c r="L181" s="6" t="s">
        <v>69</v>
      </c>
      <c r="M181" s="119">
        <v>27</v>
      </c>
      <c r="N181" s="93">
        <v>59</v>
      </c>
      <c r="O181" s="6">
        <v>2</v>
      </c>
      <c r="P181" s="129">
        <v>2</v>
      </c>
      <c r="Q181" s="6">
        <v>19</v>
      </c>
      <c r="R181" s="98">
        <v>0.50039999999999996</v>
      </c>
      <c r="S181" s="94">
        <f>((Table3.110[[#This Row],[Sample weight, g]]*'2.1. DM'!Q51)/100)*1000</f>
        <v>473.53798255593136</v>
      </c>
      <c r="T181" s="94">
        <f>'3.2 Digest'!W181</f>
        <v>168.23798255593135</v>
      </c>
      <c r="U181" s="117">
        <v>0.37708333333333333</v>
      </c>
      <c r="V181" s="155">
        <v>41</v>
      </c>
      <c r="W181" s="117">
        <v>0.69930555555555551</v>
      </c>
      <c r="X181" s="96">
        <v>66.5</v>
      </c>
      <c r="Y181" s="96">
        <v>13.8</v>
      </c>
      <c r="Z181" s="155">
        <v>40</v>
      </c>
      <c r="AA181" s="117">
        <v>0.39166666666666666</v>
      </c>
      <c r="AB181" s="155">
        <v>71</v>
      </c>
      <c r="AC181" s="155">
        <v>16.899999999999999</v>
      </c>
      <c r="AD181" s="94"/>
      <c r="AE181" s="94">
        <f>Table3.110[[#This Row],[Gas 8h, ml]]-Table3.110[[#This Row],[Gas 0h, ml]]</f>
        <v>25.5</v>
      </c>
      <c r="AF181" s="94">
        <f>Table3.110[[#This Row],[Gas 24h, ml]]-Table3.110[[#This Row],[V8 Push back, ml]]</f>
        <v>31</v>
      </c>
      <c r="AG181" s="94">
        <f>Table3.110[[#This Row],[GP 8h, ml]]-(AVERAGE(AE$116,AE$117,AE$167,AE$166,AE$219,AE$220))*$AG$8</f>
        <v>22.623728042697874</v>
      </c>
      <c r="AH181" s="94">
        <f>Table3.110[[#This Row],[GP 8-24h, ml]]-(AVERAGE(AF$11,AF$12,AF$62,AF$61,AF$114,AF$115))*$AG$8</f>
        <v>27.31247184961266</v>
      </c>
      <c r="AI181" s="94">
        <f>Table3.110[[#This Row],[Net gas 8-24h, ml]]+Table3.110[[#This Row],[Net gas 8h, ml]]</f>
        <v>49.936199892310533</v>
      </c>
      <c r="AJ181" s="94">
        <f>Table3.110[[#This Row],[Net gas 8h, ml]]*Table3.110[[#This Row],[CH4 8h %]]%</f>
        <v>3.1220744698923069</v>
      </c>
      <c r="AK181" s="94">
        <f>Table3.110[[#This Row],[Net gas 8-24h, ml]]*Table3.110[[#This Row],[CH4 24h, %]]%</f>
        <v>4.615807742584539</v>
      </c>
      <c r="AL181" s="94">
        <f>Table3.110[[#This Row],[CH4 8-24h, ml]]+Table3.110[[#This Row],[CH4 8h, ml]]</f>
        <v>7.7378822124768458</v>
      </c>
      <c r="AM181" s="94">
        <f>(Table3.110[[#This Row],[Net gas 24h, ml]]/Table3.110[[#This Row],[DM Incubated, mg]])*1000</f>
        <v>105.45342027851459</v>
      </c>
      <c r="AN181" s="94">
        <f>'3.2 Digest'!X181</f>
        <v>35.527875007589302</v>
      </c>
      <c r="AO181" s="94">
        <f>Table3.110[[#This Row],[Digested feed, mg]]/Table3.110[[#This Row],[Net gas 24h, ml]]</f>
        <v>3.3690585771192736</v>
      </c>
      <c r="AP181" s="94">
        <f>Table3.110[[#This Row],[CH4 8h, ml]]/Table3.110[[#This Row],[Net gas 8h, ml]]%</f>
        <v>13.8</v>
      </c>
      <c r="AQ181" s="94">
        <f>Table3.110[[#This Row],[CH4 24h, ml]]/Table3.110[[#This Row],[Net gas 24h, ml]]%</f>
        <v>15.495536763237704</v>
      </c>
      <c r="AR181" s="94">
        <f>Table3.110[[#This Row],[CH4 24h, ml]]/Table3.110[[#This Row],[DM Incubated, mg]]*1000</f>
        <v>16.340573507348793</v>
      </c>
      <c r="AS181" s="94">
        <f>Table3.110[[#This Row],[CH4 24h, ml]]/Table3.110[[#This Row],[Digested feed, mg]]*1000</f>
        <v>45.993669770168324</v>
      </c>
      <c r="AT181" s="94">
        <f>Table3.110[[#This Row],[CH4 24h, ml]]/'3.2 Digest'!AA181</f>
        <v>-1.0614226527337962</v>
      </c>
      <c r="AU181" s="94">
        <f>((Table3.110[[#This Row],[CH4 24h, ml]]/28.9)*16.04)/Table3.110[[#This Row],[DM Incubated, mg]]*1000</f>
        <v>9.0693010054627905</v>
      </c>
      <c r="AV181" s="94">
        <f>((Table3.110[[#This Row],[CH4 24h, ml]]/28.9)*16.04)/Table3.110[[#This Row],[Digested feed, mg]]*1000</f>
        <v>25.527282460674741</v>
      </c>
      <c r="AW181" s="303"/>
    </row>
    <row r="182" spans="1:49" s="304" customFormat="1" x14ac:dyDescent="0.35">
      <c r="A182" s="89"/>
      <c r="B182" s="90">
        <f t="shared" si="2"/>
        <v>172</v>
      </c>
      <c r="C182" s="140">
        <v>46043</v>
      </c>
      <c r="D182" s="6" t="s">
        <v>16</v>
      </c>
      <c r="E182" s="6" t="s">
        <v>70</v>
      </c>
      <c r="F182" s="133" t="s">
        <v>19</v>
      </c>
      <c r="G182" s="133" t="s">
        <v>20</v>
      </c>
      <c r="H182" s="133" t="s">
        <v>21</v>
      </c>
      <c r="I182" s="6" t="s">
        <v>22</v>
      </c>
      <c r="J182" s="129" t="s">
        <v>23</v>
      </c>
      <c r="K182" s="129" t="s">
        <v>24</v>
      </c>
      <c r="L182" s="6" t="s">
        <v>69</v>
      </c>
      <c r="M182" s="119">
        <v>27</v>
      </c>
      <c r="N182" s="93">
        <v>59</v>
      </c>
      <c r="O182" s="6">
        <v>2</v>
      </c>
      <c r="P182" s="129">
        <v>3</v>
      </c>
      <c r="Q182" s="6">
        <v>20</v>
      </c>
      <c r="R182" s="98">
        <v>0.50009999999999999</v>
      </c>
      <c r="S182" s="94">
        <f>((Table3.110[[#This Row],[Sample weight, g]]*'2.1. DM'!Q51)/100)*1000</f>
        <v>473.25408688293629</v>
      </c>
      <c r="T182" s="94">
        <f>'3.2 Digest'!W182</f>
        <v>146.55408688293619</v>
      </c>
      <c r="U182" s="153">
        <v>0.37708333333333333</v>
      </c>
      <c r="V182" s="155">
        <v>41</v>
      </c>
      <c r="W182" s="153">
        <v>0.7</v>
      </c>
      <c r="X182" s="91">
        <v>67.5</v>
      </c>
      <c r="Y182" s="91">
        <v>14.2</v>
      </c>
      <c r="Z182" s="154">
        <v>40</v>
      </c>
      <c r="AA182" s="153">
        <v>0.3923611111111111</v>
      </c>
      <c r="AB182" s="154">
        <v>71.5</v>
      </c>
      <c r="AC182" s="154">
        <v>17</v>
      </c>
      <c r="AD182" s="94"/>
      <c r="AE182" s="94">
        <f>Table3.110[[#This Row],[Gas 8h, ml]]-Table3.110[[#This Row],[Gas 0h, ml]]</f>
        <v>26.5</v>
      </c>
      <c r="AF182" s="94">
        <f>Table3.110[[#This Row],[Gas 24h, ml]]-Table3.110[[#This Row],[V8 Push back, ml]]</f>
        <v>31.5</v>
      </c>
      <c r="AG182" s="94">
        <f>Table3.110[[#This Row],[GP 8h, ml]]-(AVERAGE(AE$116,AE$117,AE$167,AE$166,AE$219,AE$220))*$AG$8</f>
        <v>23.623728042697874</v>
      </c>
      <c r="AH182" s="94">
        <f>Table3.110[[#This Row],[GP 8-24h, ml]]-(AVERAGE(AF$11,AF$12,AF$62,AF$61,AF$114,AF$115))*$AG$8</f>
        <v>27.81247184961266</v>
      </c>
      <c r="AI182" s="94">
        <f>Table3.110[[#This Row],[Net gas 8-24h, ml]]+Table3.110[[#This Row],[Net gas 8h, ml]]</f>
        <v>51.436199892310533</v>
      </c>
      <c r="AJ182" s="94">
        <f>Table3.110[[#This Row],[Net gas 8h, ml]]*Table3.110[[#This Row],[CH4 8h %]]%</f>
        <v>3.3545693820630977</v>
      </c>
      <c r="AK182" s="94">
        <f>Table3.110[[#This Row],[Net gas 8-24h, ml]]*Table3.110[[#This Row],[CH4 24h, %]]%</f>
        <v>4.7281202144341528</v>
      </c>
      <c r="AL182" s="94">
        <f>Table3.110[[#This Row],[CH4 8-24h, ml]]+Table3.110[[#This Row],[CH4 8h, ml]]</f>
        <v>8.0826895964972501</v>
      </c>
      <c r="AM182" s="94">
        <f>(Table3.110[[#This Row],[Net gas 24h, ml]]/Table3.110[[#This Row],[DM Incubated, mg]])*1000</f>
        <v>108.68622441507567</v>
      </c>
      <c r="AN182" s="94">
        <f>'3.2 Digest'!X182</f>
        <v>30.967315643950833</v>
      </c>
      <c r="AO182" s="94">
        <f>Table3.110[[#This Row],[Digested feed, mg]]/Table3.110[[#This Row],[Net gas 24h, ml]]</f>
        <v>2.8492401691759763</v>
      </c>
      <c r="AP182" s="94">
        <f>Table3.110[[#This Row],[CH4 8h, ml]]/Table3.110[[#This Row],[Net gas 8h, ml]]%</f>
        <v>14.2</v>
      </c>
      <c r="AQ182" s="94">
        <f>Table3.110[[#This Row],[CH4 24h, ml]]/Table3.110[[#This Row],[Net gas 24h, ml]]%</f>
        <v>15.714010003498672</v>
      </c>
      <c r="AR182" s="94">
        <f>Table3.110[[#This Row],[CH4 24h, ml]]/Table3.110[[#This Row],[DM Incubated, mg]]*1000</f>
        <v>17.078964177010008</v>
      </c>
      <c r="AS182" s="94">
        <f>Table3.110[[#This Row],[CH4 24h, ml]]/Table3.110[[#This Row],[Digested feed, mg]]*1000</f>
        <v>55.151581019733037</v>
      </c>
      <c r="AT182" s="94">
        <f>Table3.110[[#This Row],[CH4 24h, ml]]/'3.2 Digest'!AA182</f>
        <v>-0.5432106383830333</v>
      </c>
      <c r="AU182" s="94">
        <f>((Table3.110[[#This Row],[CH4 24h, ml]]/28.9)*16.04)/Table3.110[[#This Row],[DM Incubated, mg]]*1000</f>
        <v>9.4791206020498429</v>
      </c>
      <c r="AV182" s="94">
        <f>((Table3.110[[#This Row],[CH4 24h, ml]]/28.9)*16.04)/Table3.110[[#This Row],[Digested feed, mg]]*1000</f>
        <v>30.610081645554249</v>
      </c>
      <c r="AW182" s="303"/>
    </row>
    <row r="183" spans="1:49" s="304" customFormat="1" x14ac:dyDescent="0.35">
      <c r="A183" s="89"/>
      <c r="B183" s="90">
        <f t="shared" si="2"/>
        <v>173</v>
      </c>
      <c r="C183" s="140">
        <v>46043</v>
      </c>
      <c r="D183" s="6" t="s">
        <v>16</v>
      </c>
      <c r="E183" s="6" t="s">
        <v>72</v>
      </c>
      <c r="F183" s="133" t="s">
        <v>19</v>
      </c>
      <c r="G183" s="133" t="s">
        <v>73</v>
      </c>
      <c r="H183" s="133" t="s">
        <v>74</v>
      </c>
      <c r="I183" s="6" t="s">
        <v>22</v>
      </c>
      <c r="J183" s="129" t="s">
        <v>23</v>
      </c>
      <c r="K183" s="129" t="s">
        <v>24</v>
      </c>
      <c r="L183" s="6" t="s">
        <v>71</v>
      </c>
      <c r="M183" s="119">
        <v>27</v>
      </c>
      <c r="N183" s="93">
        <v>59</v>
      </c>
      <c r="O183" s="6">
        <v>2</v>
      </c>
      <c r="P183" s="129">
        <v>1</v>
      </c>
      <c r="Q183" s="6">
        <v>21</v>
      </c>
      <c r="R183" s="98">
        <v>0.50039999999999996</v>
      </c>
      <c r="S183" s="94">
        <f>((Table3.110[[#This Row],[Sample weight, g]]*'2.1. DM'!Q53)/100)*1000</f>
        <v>469.10622093244058</v>
      </c>
      <c r="T183" s="94">
        <f>'3.2 Digest'!W183</f>
        <v>176.50622093244061</v>
      </c>
      <c r="U183" s="117">
        <v>0.37708333333333333</v>
      </c>
      <c r="V183" s="155">
        <v>41.5</v>
      </c>
      <c r="W183" s="117">
        <v>0.7</v>
      </c>
      <c r="X183" s="96">
        <v>71</v>
      </c>
      <c r="Y183" s="96">
        <v>14.2</v>
      </c>
      <c r="Z183" s="155">
        <v>40.5</v>
      </c>
      <c r="AA183" s="117">
        <v>0.3923611111111111</v>
      </c>
      <c r="AB183" s="155">
        <v>73</v>
      </c>
      <c r="AC183" s="155">
        <v>18.899999999999999</v>
      </c>
      <c r="AD183" s="94"/>
      <c r="AE183" s="94">
        <f>Table3.110[[#This Row],[Gas 8h, ml]]-Table3.110[[#This Row],[Gas 0h, ml]]</f>
        <v>29.5</v>
      </c>
      <c r="AF183" s="94">
        <f>Table3.110[[#This Row],[Gas 24h, ml]]-Table3.110[[#This Row],[V8 Push back, ml]]</f>
        <v>32.5</v>
      </c>
      <c r="AG183" s="94">
        <f>Table3.110[[#This Row],[GP 8h, ml]]-(AVERAGE(AE$116,AE$117,AE$167,AE$166,AE$219,AE$220))*$AG$8</f>
        <v>26.623728042697874</v>
      </c>
      <c r="AH183" s="94">
        <f>Table3.110[[#This Row],[GP 8-24h, ml]]-(AVERAGE(AF$11,AF$12,AF$62,AF$61,AF$114,AF$115))*$AG$8</f>
        <v>28.81247184961266</v>
      </c>
      <c r="AI183" s="94">
        <f>Table3.110[[#This Row],[Net gas 8-24h, ml]]+Table3.110[[#This Row],[Net gas 8h, ml]]</f>
        <v>55.436199892310533</v>
      </c>
      <c r="AJ183" s="94">
        <f>Table3.110[[#This Row],[Net gas 8h, ml]]*Table3.110[[#This Row],[CH4 8h %]]%</f>
        <v>3.7805693820630979</v>
      </c>
      <c r="AK183" s="94">
        <f>Table3.110[[#This Row],[Net gas 8-24h, ml]]*Table3.110[[#This Row],[CH4 24h, %]]%</f>
        <v>5.4455571795767916</v>
      </c>
      <c r="AL183" s="94">
        <f>Table3.110[[#This Row],[CH4 8-24h, ml]]+Table3.110[[#This Row],[CH4 8h, ml]]</f>
        <v>9.2261265616398891</v>
      </c>
      <c r="AM183" s="94">
        <f>(Table3.110[[#This Row],[Net gas 24h, ml]]/Table3.110[[#This Row],[DM Incubated, mg]])*1000</f>
        <v>118.17408812469</v>
      </c>
      <c r="AN183" s="94">
        <f>'3.2 Digest'!X183</f>
        <v>37.626066987898795</v>
      </c>
      <c r="AO183" s="94">
        <f>Table3.110[[#This Row],[Digested feed, mg]]/Table3.110[[#This Row],[Net gas 24h, ml]]</f>
        <v>3.1839523862623835</v>
      </c>
      <c r="AP183" s="94">
        <f>Table3.110[[#This Row],[CH4 8h, ml]]/Table3.110[[#This Row],[Net gas 8h, ml]]%</f>
        <v>14.2</v>
      </c>
      <c r="AQ183" s="94">
        <f>Table3.110[[#This Row],[CH4 24h, ml]]/Table3.110[[#This Row],[Net gas 24h, ml]]%</f>
        <v>16.642783198636295</v>
      </c>
      <c r="AR183" s="94">
        <f>Table3.110[[#This Row],[CH4 24h, ml]]/Table3.110[[#This Row],[DM Incubated, mg]]*1000</f>
        <v>19.66745728355756</v>
      </c>
      <c r="AS183" s="94">
        <f>Table3.110[[#This Row],[CH4 24h, ml]]/Table3.110[[#This Row],[Digested feed, mg]]*1000</f>
        <v>52.270829395703132</v>
      </c>
      <c r="AT183" s="94">
        <f>Table3.110[[#This Row],[CH4 24h, ml]]/'3.2 Digest'!AA183</f>
        <v>-1.3419339369331234</v>
      </c>
      <c r="AU183" s="94">
        <f>((Table3.110[[#This Row],[CH4 24h, ml]]/28.9)*16.04)/Table3.110[[#This Row],[DM Incubated, mg]]*1000</f>
        <v>10.915779059801494</v>
      </c>
      <c r="AV183" s="94">
        <f>((Table3.110[[#This Row],[CH4 24h, ml]]/28.9)*16.04)/Table3.110[[#This Row],[Digested feed, mg]]*1000</f>
        <v>29.011214654224162</v>
      </c>
      <c r="AW183" s="303"/>
    </row>
    <row r="184" spans="1:49" s="304" customFormat="1" x14ac:dyDescent="0.35">
      <c r="A184" s="89"/>
      <c r="B184" s="90">
        <f t="shared" si="2"/>
        <v>174</v>
      </c>
      <c r="C184" s="140">
        <v>46043</v>
      </c>
      <c r="D184" s="6" t="s">
        <v>16</v>
      </c>
      <c r="E184" s="6" t="s">
        <v>72</v>
      </c>
      <c r="F184" s="133" t="s">
        <v>19</v>
      </c>
      <c r="G184" s="133" t="s">
        <v>73</v>
      </c>
      <c r="H184" s="133" t="s">
        <v>74</v>
      </c>
      <c r="I184" s="6" t="s">
        <v>22</v>
      </c>
      <c r="J184" s="129" t="s">
        <v>23</v>
      </c>
      <c r="K184" s="129" t="s">
        <v>24</v>
      </c>
      <c r="L184" s="6" t="s">
        <v>71</v>
      </c>
      <c r="M184" s="119">
        <v>27</v>
      </c>
      <c r="N184" s="93">
        <v>59</v>
      </c>
      <c r="O184" s="6">
        <v>2</v>
      </c>
      <c r="P184" s="129">
        <v>2</v>
      </c>
      <c r="Q184" s="6">
        <v>22</v>
      </c>
      <c r="R184" s="98">
        <v>0.50039999999999996</v>
      </c>
      <c r="S184" s="94">
        <f>((Table3.110[[#This Row],[Sample weight, g]]*'2.1. DM'!Q53)/100)*1000</f>
        <v>469.10622093244058</v>
      </c>
      <c r="T184" s="94">
        <f>'3.2 Digest'!W184</f>
        <v>151.10622093244064</v>
      </c>
      <c r="U184" s="153">
        <v>0.37777777777777777</v>
      </c>
      <c r="V184" s="155">
        <v>41</v>
      </c>
      <c r="W184" s="153">
        <v>0.7006944444444444</v>
      </c>
      <c r="X184" s="91">
        <v>71.5</v>
      </c>
      <c r="Y184" s="91">
        <v>14.4</v>
      </c>
      <c r="Z184" s="154">
        <v>40.5</v>
      </c>
      <c r="AA184" s="153">
        <v>0.39305555555555555</v>
      </c>
      <c r="AB184" s="154">
        <v>73</v>
      </c>
      <c r="AC184" s="154">
        <v>19.100000000000001</v>
      </c>
      <c r="AD184" s="94"/>
      <c r="AE184" s="94">
        <f>Table3.110[[#This Row],[Gas 8h, ml]]-Table3.110[[#This Row],[Gas 0h, ml]]</f>
        <v>30.5</v>
      </c>
      <c r="AF184" s="94">
        <f>Table3.110[[#This Row],[Gas 24h, ml]]-Table3.110[[#This Row],[V8 Push back, ml]]</f>
        <v>32.5</v>
      </c>
      <c r="AG184" s="94">
        <f>Table3.110[[#This Row],[GP 8h, ml]]-(AVERAGE(AE$116,AE$117,AE$167,AE$166,AE$219,AE$220))*$AG$8</f>
        <v>27.623728042697874</v>
      </c>
      <c r="AH184" s="94">
        <f>Table3.110[[#This Row],[GP 8-24h, ml]]-(AVERAGE(AF$11,AF$12,AF$62,AF$61,AF$114,AF$115))*$AG$8</f>
        <v>28.81247184961266</v>
      </c>
      <c r="AI184" s="94">
        <f>Table3.110[[#This Row],[Net gas 8-24h, ml]]+Table3.110[[#This Row],[Net gas 8h, ml]]</f>
        <v>56.436199892310533</v>
      </c>
      <c r="AJ184" s="94">
        <f>Table3.110[[#This Row],[Net gas 8h, ml]]*Table3.110[[#This Row],[CH4 8h %]]%</f>
        <v>3.9778168381484944</v>
      </c>
      <c r="AK184" s="94">
        <f>Table3.110[[#This Row],[Net gas 8-24h, ml]]*Table3.110[[#This Row],[CH4 24h, %]]%</f>
        <v>5.5031821232760185</v>
      </c>
      <c r="AL184" s="94">
        <f>Table3.110[[#This Row],[CH4 8-24h, ml]]+Table3.110[[#This Row],[CH4 8h, ml]]</f>
        <v>9.4809989614245129</v>
      </c>
      <c r="AM184" s="94">
        <f>(Table3.110[[#This Row],[Net gas 24h, ml]]/Table3.110[[#This Row],[DM Incubated, mg]])*1000</f>
        <v>120.30580148805642</v>
      </c>
      <c r="AN184" s="94">
        <f>'3.2 Digest'!X184</f>
        <v>32.211515044948115</v>
      </c>
      <c r="AO184" s="94">
        <f>Table3.110[[#This Row],[Digested feed, mg]]/Table3.110[[#This Row],[Net gas 24h, ml]]</f>
        <v>2.6774698016658798</v>
      </c>
      <c r="AP184" s="94">
        <f>Table3.110[[#This Row],[CH4 8h, ml]]/Table3.110[[#This Row],[Net gas 8h, ml]]%</f>
        <v>14.4</v>
      </c>
      <c r="AQ184" s="94">
        <f>Table3.110[[#This Row],[CH4 24h, ml]]/Table3.110[[#This Row],[Net gas 24h, ml]]%</f>
        <v>16.799499221272523</v>
      </c>
      <c r="AR184" s="94">
        <f>Table3.110[[#This Row],[CH4 24h, ml]]/Table3.110[[#This Row],[DM Incubated, mg]]*1000</f>
        <v>20.210772184131706</v>
      </c>
      <c r="AS184" s="94">
        <f>Table3.110[[#This Row],[CH4 24h, ml]]/Table3.110[[#This Row],[Digested feed, mg]]*1000</f>
        <v>62.743935378169859</v>
      </c>
      <c r="AT184" s="94">
        <f>Table3.110[[#This Row],[CH4 24h, ml]]/'3.2 Digest'!AA184</f>
        <v>-0.58695462412519583</v>
      </c>
      <c r="AU184" s="94">
        <f>((Table3.110[[#This Row],[CH4 24h, ml]]/28.9)*16.04)/Table3.110[[#This Row],[DM Incubated, mg]]*1000</f>
        <v>11.217328229531923</v>
      </c>
      <c r="AV184" s="94">
        <f>((Table3.110[[#This Row],[CH4 24h, ml]]/28.9)*16.04)/Table3.110[[#This Row],[Digested feed, mg]]*1000</f>
        <v>34.823969670098428</v>
      </c>
      <c r="AW184" s="303"/>
    </row>
    <row r="185" spans="1:49" s="304" customFormat="1" x14ac:dyDescent="0.35">
      <c r="A185" s="89"/>
      <c r="B185" s="90">
        <f t="shared" si="2"/>
        <v>175</v>
      </c>
      <c r="C185" s="140">
        <v>46043</v>
      </c>
      <c r="D185" s="6" t="s">
        <v>16</v>
      </c>
      <c r="E185" s="6" t="s">
        <v>72</v>
      </c>
      <c r="F185" s="133" t="s">
        <v>19</v>
      </c>
      <c r="G185" s="133" t="s">
        <v>73</v>
      </c>
      <c r="H185" s="133" t="s">
        <v>74</v>
      </c>
      <c r="I185" s="6" t="s">
        <v>22</v>
      </c>
      <c r="J185" s="129" t="s">
        <v>23</v>
      </c>
      <c r="K185" s="129" t="s">
        <v>24</v>
      </c>
      <c r="L185" s="6" t="s">
        <v>71</v>
      </c>
      <c r="M185" s="119">
        <v>27</v>
      </c>
      <c r="N185" s="93">
        <v>59</v>
      </c>
      <c r="O185" s="6">
        <v>2</v>
      </c>
      <c r="P185" s="129">
        <v>3</v>
      </c>
      <c r="Q185" s="6">
        <v>23</v>
      </c>
      <c r="R185" s="98">
        <v>0.50039999999999996</v>
      </c>
      <c r="S185" s="94">
        <f>((Table3.110[[#This Row],[Sample weight, g]]*'2.1. DM'!Q53)/100)*1000</f>
        <v>469.10622093244058</v>
      </c>
      <c r="T185" s="94">
        <f>'3.2 Digest'!W185</f>
        <v>106.50622093244056</v>
      </c>
      <c r="U185" s="117">
        <v>0.37847222222222221</v>
      </c>
      <c r="V185" s="155">
        <v>41.5</v>
      </c>
      <c r="W185" s="117">
        <v>0.70138888888888884</v>
      </c>
      <c r="X185" s="96">
        <v>69.5</v>
      </c>
      <c r="Y185" s="96">
        <v>14.8</v>
      </c>
      <c r="Z185" s="155">
        <v>40.5</v>
      </c>
      <c r="AA185" s="117">
        <v>0.39374999999999999</v>
      </c>
      <c r="AB185" s="155">
        <v>73</v>
      </c>
      <c r="AC185" s="155">
        <v>18.899999999999999</v>
      </c>
      <c r="AD185" s="94"/>
      <c r="AE185" s="94">
        <f>Table3.110[[#This Row],[Gas 8h, ml]]-Table3.110[[#This Row],[Gas 0h, ml]]</f>
        <v>28</v>
      </c>
      <c r="AF185" s="94">
        <f>Table3.110[[#This Row],[Gas 24h, ml]]-Table3.110[[#This Row],[V8 Push back, ml]]</f>
        <v>32.5</v>
      </c>
      <c r="AG185" s="94">
        <f>Table3.110[[#This Row],[GP 8h, ml]]-(AVERAGE(AE$116,AE$117,AE$167,AE$166,AE$219,AE$220))*$AG$8</f>
        <v>25.123728042697874</v>
      </c>
      <c r="AH185" s="94">
        <f>Table3.110[[#This Row],[GP 8-24h, ml]]-(AVERAGE(AF$11,AF$12,AF$62,AF$61,AF$114,AF$115))*$AG$8</f>
        <v>28.81247184961266</v>
      </c>
      <c r="AI185" s="94">
        <f>Table3.110[[#This Row],[Net gas 8-24h, ml]]+Table3.110[[#This Row],[Net gas 8h, ml]]</f>
        <v>53.936199892310533</v>
      </c>
      <c r="AJ185" s="94">
        <f>Table3.110[[#This Row],[Net gas 8h, ml]]*Table3.110[[#This Row],[CH4 8h %]]%</f>
        <v>3.7183117503192857</v>
      </c>
      <c r="AK185" s="94">
        <f>Table3.110[[#This Row],[Net gas 8-24h, ml]]*Table3.110[[#This Row],[CH4 24h, %]]%</f>
        <v>5.4455571795767916</v>
      </c>
      <c r="AL185" s="94">
        <f>Table3.110[[#This Row],[CH4 8-24h, ml]]+Table3.110[[#This Row],[CH4 8h, ml]]</f>
        <v>9.1638689298960774</v>
      </c>
      <c r="AM185" s="94">
        <f>(Table3.110[[#This Row],[Net gas 24h, ml]]/Table3.110[[#This Row],[DM Incubated, mg]])*1000</f>
        <v>114.97651807964039</v>
      </c>
      <c r="AN185" s="94">
        <f>'3.2 Digest'!X185</f>
        <v>22.704073444333901</v>
      </c>
      <c r="AO185" s="94">
        <f>Table3.110[[#This Row],[Digested feed, mg]]/Table3.110[[#This Row],[Net gas 24h, ml]]</f>
        <v>1.974670465199472</v>
      </c>
      <c r="AP185" s="94">
        <f>Table3.110[[#This Row],[CH4 8h, ml]]/Table3.110[[#This Row],[Net gas 8h, ml]]%</f>
        <v>14.800000000000002</v>
      </c>
      <c r="AQ185" s="94">
        <f>Table3.110[[#This Row],[CH4 24h, ml]]/Table3.110[[#This Row],[Net gas 24h, ml]]%</f>
        <v>16.990201290029209</v>
      </c>
      <c r="AR185" s="94">
        <f>Table3.110[[#This Row],[CH4 24h, ml]]/Table3.110[[#This Row],[DM Incubated, mg]]*1000</f>
        <v>19.53474185799773</v>
      </c>
      <c r="AS185" s="94">
        <f>Table3.110[[#This Row],[CH4 24h, ml]]/Table3.110[[#This Row],[Digested feed, mg]]*1000</f>
        <v>86.040691798734827</v>
      </c>
      <c r="AT185" s="94">
        <f>Table3.110[[#This Row],[CH4 24h, ml]]/'3.2 Digest'!AA185</f>
        <v>-0.28245634814022413</v>
      </c>
      <c r="AU185" s="94">
        <f>((Table3.110[[#This Row],[CH4 24h, ml]]/28.9)*16.04)/Table3.110[[#This Row],[DM Incubated, mg]]*1000</f>
        <v>10.842119702501162</v>
      </c>
      <c r="AV185" s="94">
        <f>((Table3.110[[#This Row],[CH4 24h, ml]]/28.9)*16.04)/Table3.110[[#This Row],[Digested feed, mg]]*1000</f>
        <v>47.754072541581543</v>
      </c>
      <c r="AW185" s="303"/>
    </row>
    <row r="186" spans="1:49" s="304" customFormat="1" x14ac:dyDescent="0.35">
      <c r="A186" s="89"/>
      <c r="B186" s="90">
        <f t="shared" si="2"/>
        <v>176</v>
      </c>
      <c r="C186" s="140">
        <v>46043</v>
      </c>
      <c r="D186" s="6" t="s">
        <v>16</v>
      </c>
      <c r="E186" s="6" t="s">
        <v>76</v>
      </c>
      <c r="F186" s="133" t="s">
        <v>19</v>
      </c>
      <c r="G186" s="133" t="s">
        <v>20</v>
      </c>
      <c r="H186" s="133" t="s">
        <v>21</v>
      </c>
      <c r="I186" s="6" t="s">
        <v>22</v>
      </c>
      <c r="J186" s="129" t="s">
        <v>23</v>
      </c>
      <c r="K186" s="129" t="s">
        <v>24</v>
      </c>
      <c r="L186" s="6" t="s">
        <v>75</v>
      </c>
      <c r="M186" s="119">
        <v>27</v>
      </c>
      <c r="N186" s="93">
        <v>59</v>
      </c>
      <c r="O186" s="6">
        <v>2</v>
      </c>
      <c r="P186" s="129">
        <v>1</v>
      </c>
      <c r="Q186" s="6">
        <v>24</v>
      </c>
      <c r="R186" s="98">
        <v>0.50029999999999997</v>
      </c>
      <c r="S186" s="94">
        <f>((Table3.110[[#This Row],[Sample weight, g]]*'2.1. DM'!Q55)/100)*1000</f>
        <v>467.33518148455482</v>
      </c>
      <c r="T186" s="94">
        <f>'3.2 Digest'!W186</f>
        <v>88.235181484554857</v>
      </c>
      <c r="U186" s="153">
        <v>0.37916666666666665</v>
      </c>
      <c r="V186" s="155">
        <v>41.5</v>
      </c>
      <c r="W186" s="153">
        <v>0.70138888888888884</v>
      </c>
      <c r="X186" s="91">
        <v>65.5</v>
      </c>
      <c r="Y186" s="91">
        <v>13.9</v>
      </c>
      <c r="Z186" s="154">
        <v>40.5</v>
      </c>
      <c r="AA186" s="153">
        <v>0.39444444444444443</v>
      </c>
      <c r="AB186" s="154">
        <v>65.5</v>
      </c>
      <c r="AC186" s="154">
        <v>17.100000000000001</v>
      </c>
      <c r="AD186" s="94"/>
      <c r="AE186" s="94">
        <f>Table3.110[[#This Row],[Gas 8h, ml]]-Table3.110[[#This Row],[Gas 0h, ml]]</f>
        <v>24</v>
      </c>
      <c r="AF186" s="94">
        <f>Table3.110[[#This Row],[Gas 24h, ml]]-Table3.110[[#This Row],[V8 Push back, ml]]</f>
        <v>25</v>
      </c>
      <c r="AG186" s="94">
        <f>Table3.110[[#This Row],[GP 8h, ml]]-(AVERAGE(AE$116,AE$117,AE$167,AE$166,AE$219,AE$220))*$AG$8</f>
        <v>21.123728042697874</v>
      </c>
      <c r="AH186" s="94">
        <f>Table3.110[[#This Row],[GP 8-24h, ml]]-(AVERAGE(AF$11,AF$12,AF$62,AF$61,AF$114,AF$115))*$AG$8</f>
        <v>21.31247184961266</v>
      </c>
      <c r="AI186" s="94">
        <f>Table3.110[[#This Row],[Net gas 8-24h, ml]]+Table3.110[[#This Row],[Net gas 8h, ml]]</f>
        <v>42.436199892310533</v>
      </c>
      <c r="AJ186" s="94">
        <f>Table3.110[[#This Row],[Net gas 8h, ml]]*Table3.110[[#This Row],[CH4 8h %]]%</f>
        <v>2.9361981979350045</v>
      </c>
      <c r="AK186" s="94">
        <f>Table3.110[[#This Row],[Net gas 8-24h, ml]]*Table3.110[[#This Row],[CH4 24h, %]]%</f>
        <v>3.644432686283765</v>
      </c>
      <c r="AL186" s="94">
        <f>Table3.110[[#This Row],[CH4 8-24h, ml]]+Table3.110[[#This Row],[CH4 8h, ml]]</f>
        <v>6.5806308842187695</v>
      </c>
      <c r="AM186" s="94">
        <f>(Table3.110[[#This Row],[Net gas 24h, ml]]/Table3.110[[#This Row],[DM Incubated, mg]])*1000</f>
        <v>90.804633534128712</v>
      </c>
      <c r="AN186" s="94">
        <f>'3.2 Digest'!X186</f>
        <v>18.880491985273526</v>
      </c>
      <c r="AO186" s="94">
        <f>Table3.110[[#This Row],[Digested feed, mg]]/Table3.110[[#This Row],[Net gas 24h, ml]]</f>
        <v>2.079243233571042</v>
      </c>
      <c r="AP186" s="94">
        <f>Table3.110[[#This Row],[CH4 8h, ml]]/Table3.110[[#This Row],[Net gas 8h, ml]]%</f>
        <v>13.9</v>
      </c>
      <c r="AQ186" s="94">
        <f>Table3.110[[#This Row],[CH4 24h, ml]]/Table3.110[[#This Row],[Net gas 24h, ml]]%</f>
        <v>15.50711633208982</v>
      </c>
      <c r="AR186" s="94">
        <f>Table3.110[[#This Row],[CH4 24h, ml]]/Table3.110[[#This Row],[DM Incubated, mg]]*1000</f>
        <v>14.081180157065182</v>
      </c>
      <c r="AS186" s="94">
        <f>Table3.110[[#This Row],[CH4 24h, ml]]/Table3.110[[#This Row],[Digested feed, mg]]*1000</f>
        <v>74.580578557212775</v>
      </c>
      <c r="AT186" s="94">
        <f>Table3.110[[#This Row],[CH4 24h, ml]]/'3.2 Digest'!AA186</f>
        <v>-0.2340588680754781</v>
      </c>
      <c r="AU186" s="94">
        <f>((Table3.110[[#This Row],[CH4 24h, ml]]/28.9)*16.04)/Table3.110[[#This Row],[DM Incubated, mg]]*1000</f>
        <v>7.8152986062050358</v>
      </c>
      <c r="AV186" s="94">
        <f>((Table3.110[[#This Row],[CH4 24h, ml]]/28.9)*16.04)/Table3.110[[#This Row],[Digested feed, mg]]*1000</f>
        <v>41.393511420681413</v>
      </c>
      <c r="AW186" s="303"/>
    </row>
    <row r="187" spans="1:49" s="304" customFormat="1" x14ac:dyDescent="0.35">
      <c r="A187" s="89"/>
      <c r="B187" s="90">
        <f t="shared" si="2"/>
        <v>177</v>
      </c>
      <c r="C187" s="140">
        <v>46043</v>
      </c>
      <c r="D187" s="6" t="s">
        <v>16</v>
      </c>
      <c r="E187" s="6" t="s">
        <v>76</v>
      </c>
      <c r="F187" s="133" t="s">
        <v>19</v>
      </c>
      <c r="G187" s="133" t="s">
        <v>20</v>
      </c>
      <c r="H187" s="133" t="s">
        <v>21</v>
      </c>
      <c r="I187" s="6" t="s">
        <v>22</v>
      </c>
      <c r="J187" s="129" t="s">
        <v>23</v>
      </c>
      <c r="K187" s="129" t="s">
        <v>24</v>
      </c>
      <c r="L187" s="6" t="s">
        <v>75</v>
      </c>
      <c r="M187" s="119">
        <v>27</v>
      </c>
      <c r="N187" s="93">
        <v>59</v>
      </c>
      <c r="O187" s="6">
        <v>2</v>
      </c>
      <c r="P187" s="129">
        <v>2</v>
      </c>
      <c r="Q187" s="6">
        <v>25</v>
      </c>
      <c r="R187" s="98">
        <v>0.5</v>
      </c>
      <c r="S187" s="94">
        <f>((Table3.110[[#This Row],[Sample weight, g]]*'2.1. DM'!Q55)/100)*1000</f>
        <v>467.05494851544557</v>
      </c>
      <c r="T187" s="94">
        <f>'3.2 Digest'!W187</f>
        <v>104.75494851544551</v>
      </c>
      <c r="U187" s="117">
        <v>0.37916666666666665</v>
      </c>
      <c r="V187" s="155">
        <v>41.5</v>
      </c>
      <c r="W187" s="117">
        <v>0.70208333333333328</v>
      </c>
      <c r="X187" s="96">
        <v>64.5</v>
      </c>
      <c r="Y187" s="96">
        <v>13.8</v>
      </c>
      <c r="Z187" s="155">
        <v>40.5</v>
      </c>
      <c r="AA187" s="117">
        <v>0.39444444444444443</v>
      </c>
      <c r="AB187" s="155">
        <v>65</v>
      </c>
      <c r="AC187" s="155">
        <v>17</v>
      </c>
      <c r="AD187" s="94"/>
      <c r="AE187" s="94">
        <f>Table3.110[[#This Row],[Gas 8h, ml]]-Table3.110[[#This Row],[Gas 0h, ml]]</f>
        <v>23</v>
      </c>
      <c r="AF187" s="94">
        <f>Table3.110[[#This Row],[Gas 24h, ml]]-Table3.110[[#This Row],[V8 Push back, ml]]</f>
        <v>24.5</v>
      </c>
      <c r="AG187" s="94">
        <f>Table3.110[[#This Row],[GP 8h, ml]]-(AVERAGE(AE$116,AE$117,AE$167,AE$166,AE$219,AE$220))*$AG$8</f>
        <v>20.123728042697874</v>
      </c>
      <c r="AH187" s="94">
        <f>Table3.110[[#This Row],[GP 8-24h, ml]]-(AVERAGE(AF$11,AF$12,AF$62,AF$61,AF$114,AF$115))*$AG$8</f>
        <v>20.81247184961266</v>
      </c>
      <c r="AI187" s="94">
        <f>Table3.110[[#This Row],[Net gas 8-24h, ml]]+Table3.110[[#This Row],[Net gas 8h, ml]]</f>
        <v>40.936199892310533</v>
      </c>
      <c r="AJ187" s="94">
        <f>Table3.110[[#This Row],[Net gas 8h, ml]]*Table3.110[[#This Row],[CH4 8h %]]%</f>
        <v>2.7770744698923067</v>
      </c>
      <c r="AK187" s="94">
        <f>Table3.110[[#This Row],[Net gas 8-24h, ml]]*Table3.110[[#This Row],[CH4 24h, %]]%</f>
        <v>3.5381202144341524</v>
      </c>
      <c r="AL187" s="94">
        <f>Table3.110[[#This Row],[CH4 8-24h, ml]]+Table3.110[[#This Row],[CH4 8h, ml]]</f>
        <v>6.3151946843264586</v>
      </c>
      <c r="AM187" s="94">
        <f>(Table3.110[[#This Row],[Net gas 24h, ml]]/Table3.110[[#This Row],[DM Incubated, mg]])*1000</f>
        <v>87.647502766918592</v>
      </c>
      <c r="AN187" s="94">
        <f>'3.2 Digest'!X187</f>
        <v>22.428827453474938</v>
      </c>
      <c r="AO187" s="94">
        <f>Table3.110[[#This Row],[Digested feed, mg]]/Table3.110[[#This Row],[Net gas 24h, ml]]</f>
        <v>2.5589807747426674</v>
      </c>
      <c r="AP187" s="94">
        <f>Table3.110[[#This Row],[CH4 8h, ml]]/Table3.110[[#This Row],[Net gas 8h, ml]]%</f>
        <v>13.799999999999999</v>
      </c>
      <c r="AQ187" s="94">
        <f>Table3.110[[#This Row],[CH4 24h, ml]]/Table3.110[[#This Row],[Net gas 24h, ml]]%</f>
        <v>15.426919696844422</v>
      </c>
      <c r="AR187" s="94">
        <f>Table3.110[[#This Row],[CH4 24h, ml]]/Table3.110[[#This Row],[DM Incubated, mg]]*1000</f>
        <v>13.521309868142023</v>
      </c>
      <c r="AS187" s="94">
        <f>Table3.110[[#This Row],[CH4 24h, ml]]/Table3.110[[#This Row],[Digested feed, mg]]*1000</f>
        <v>60.285406788160657</v>
      </c>
      <c r="AT187" s="94">
        <f>Table3.110[[#This Row],[CH4 24h, ml]]/'3.2 Digest'!AA187</f>
        <v>-0.28053501267464787</v>
      </c>
      <c r="AU187" s="94">
        <f>((Table3.110[[#This Row],[CH4 24h, ml]]/28.9)*16.04)/Table3.110[[#This Row],[DM Incubated, mg]]*1000</f>
        <v>7.5045609095155035</v>
      </c>
      <c r="AV187" s="94">
        <f>((Table3.110[[#This Row],[CH4 24h, ml]]/28.9)*16.04)/Table3.110[[#This Row],[Digested feed, mg]]*1000</f>
        <v>33.45944376754661</v>
      </c>
      <c r="AW187" s="303"/>
    </row>
    <row r="188" spans="1:49" s="304" customFormat="1" x14ac:dyDescent="0.35">
      <c r="A188" s="89"/>
      <c r="B188" s="90">
        <f t="shared" si="2"/>
        <v>178</v>
      </c>
      <c r="C188" s="140">
        <v>46043</v>
      </c>
      <c r="D188" s="6" t="s">
        <v>16</v>
      </c>
      <c r="E188" s="6" t="s">
        <v>76</v>
      </c>
      <c r="F188" s="133" t="s">
        <v>19</v>
      </c>
      <c r="G188" s="133" t="s">
        <v>20</v>
      </c>
      <c r="H188" s="133" t="s">
        <v>21</v>
      </c>
      <c r="I188" s="6" t="s">
        <v>22</v>
      </c>
      <c r="J188" s="129" t="s">
        <v>23</v>
      </c>
      <c r="K188" s="129" t="s">
        <v>24</v>
      </c>
      <c r="L188" s="6" t="s">
        <v>75</v>
      </c>
      <c r="M188" s="119">
        <v>27</v>
      </c>
      <c r="N188" s="93">
        <v>59</v>
      </c>
      <c r="O188" s="6">
        <v>2</v>
      </c>
      <c r="P188" s="129">
        <v>3</v>
      </c>
      <c r="Q188" s="6">
        <v>26</v>
      </c>
      <c r="R188" s="98">
        <v>0.50029999999999997</v>
      </c>
      <c r="S188" s="94">
        <f>((Table3.110[[#This Row],[Sample weight, g]]*'2.1. DM'!Q55)/100)*1000</f>
        <v>467.33518148455482</v>
      </c>
      <c r="T188" s="94">
        <f>'3.2 Digest'!W188</f>
        <v>107.33518148455482</v>
      </c>
      <c r="U188" s="153">
        <v>0.37916666666666665</v>
      </c>
      <c r="V188" s="155">
        <v>41</v>
      </c>
      <c r="W188" s="153">
        <v>0.70208333333333328</v>
      </c>
      <c r="X188" s="91">
        <v>61</v>
      </c>
      <c r="Y188" s="91">
        <v>15.7</v>
      </c>
      <c r="Z188" s="154">
        <v>40.5</v>
      </c>
      <c r="AA188" s="153">
        <v>0.39513888888888887</v>
      </c>
      <c r="AB188" s="154">
        <v>64</v>
      </c>
      <c r="AC188" s="154">
        <v>16.899999999999999</v>
      </c>
      <c r="AD188" s="94"/>
      <c r="AE188" s="94">
        <f>Table3.110[[#This Row],[Gas 8h, ml]]-Table3.110[[#This Row],[Gas 0h, ml]]</f>
        <v>20</v>
      </c>
      <c r="AF188" s="94">
        <f>Table3.110[[#This Row],[Gas 24h, ml]]-Table3.110[[#This Row],[V8 Push back, ml]]</f>
        <v>23.5</v>
      </c>
      <c r="AG188" s="94">
        <f>Table3.110[[#This Row],[GP 8h, ml]]-(AVERAGE(AE$116,AE$117,AE$167,AE$166,AE$219,AE$220))*$AG$8</f>
        <v>17.123728042697874</v>
      </c>
      <c r="AH188" s="94">
        <f>Table3.110[[#This Row],[GP 8-24h, ml]]-(AVERAGE(AF$11,AF$12,AF$62,AF$61,AF$114,AF$115))*$AG$8</f>
        <v>19.81247184961266</v>
      </c>
      <c r="AI188" s="94">
        <f>Table3.110[[#This Row],[Net gas 8-24h, ml]]+Table3.110[[#This Row],[Net gas 8h, ml]]</f>
        <v>36.936199892310533</v>
      </c>
      <c r="AJ188" s="94">
        <f>Table3.110[[#This Row],[Net gas 8h, ml]]*Table3.110[[#This Row],[CH4 8h %]]%</f>
        <v>2.6884253027035663</v>
      </c>
      <c r="AK188" s="94">
        <f>Table3.110[[#This Row],[Net gas 8-24h, ml]]*Table3.110[[#This Row],[CH4 24h, %]]%</f>
        <v>3.3483077425845393</v>
      </c>
      <c r="AL188" s="94">
        <f>Table3.110[[#This Row],[CH4 8-24h, ml]]+Table3.110[[#This Row],[CH4 8h, ml]]</f>
        <v>6.0367330452881056</v>
      </c>
      <c r="AM188" s="94">
        <f>(Table3.110[[#This Row],[Net gas 24h, ml]]/Table3.110[[#This Row],[DM Incubated, mg]])*1000</f>
        <v>79.035778506932829</v>
      </c>
      <c r="AN188" s="94">
        <f>'3.2 Digest'!X188</f>
        <v>22.967494367445177</v>
      </c>
      <c r="AO188" s="94">
        <f>Table3.110[[#This Row],[Digested feed, mg]]/Table3.110[[#This Row],[Net gas 24h, ml]]</f>
        <v>2.9059616798018282</v>
      </c>
      <c r="AP188" s="94">
        <f>Table3.110[[#This Row],[CH4 8h, ml]]/Table3.110[[#This Row],[Net gas 8h, ml]]%</f>
        <v>15.700000000000003</v>
      </c>
      <c r="AQ188" s="94">
        <f>Table3.110[[#This Row],[CH4 24h, ml]]/Table3.110[[#This Row],[Net gas 24h, ml]]%</f>
        <v>16.343676563611101</v>
      </c>
      <c r="AR188" s="94">
        <f>Table3.110[[#This Row],[CH4 24h, ml]]/Table3.110[[#This Row],[DM Incubated, mg]]*1000</f>
        <v>12.917352008705162</v>
      </c>
      <c r="AS188" s="94">
        <f>Table3.110[[#This Row],[CH4 24h, ml]]/Table3.110[[#This Row],[Digested feed, mg]]*1000</f>
        <v>56.241886041407319</v>
      </c>
      <c r="AT188" s="94">
        <f>Table3.110[[#This Row],[CH4 24h, ml]]/'3.2 Digest'!AA188</f>
        <v>-0.27869757754420382</v>
      </c>
      <c r="AU188" s="94">
        <f>((Table3.110[[#This Row],[CH4 24h, ml]]/28.9)*16.04)/Table3.110[[#This Row],[DM Incubated, mg]]*1000</f>
        <v>7.1693538484301316</v>
      </c>
      <c r="AV188" s="94">
        <f>((Table3.110[[#This Row],[CH4 24h, ml]]/28.9)*16.04)/Table3.110[[#This Row],[Digested feed, mg]]*1000</f>
        <v>31.215219795992159</v>
      </c>
      <c r="AW188" s="303"/>
    </row>
    <row r="189" spans="1:49" s="304" customFormat="1" x14ac:dyDescent="0.35">
      <c r="A189" s="89"/>
      <c r="B189" s="90">
        <f t="shared" si="2"/>
        <v>179</v>
      </c>
      <c r="C189" s="140">
        <v>46043</v>
      </c>
      <c r="D189" s="6" t="s">
        <v>16</v>
      </c>
      <c r="E189" s="6" t="s">
        <v>78</v>
      </c>
      <c r="F189" s="133" t="s">
        <v>79</v>
      </c>
      <c r="G189" s="133" t="s">
        <v>80</v>
      </c>
      <c r="H189" s="133" t="s">
        <v>81</v>
      </c>
      <c r="I189" s="6" t="s">
        <v>22</v>
      </c>
      <c r="J189" s="129" t="s">
        <v>23</v>
      </c>
      <c r="K189" s="129" t="s">
        <v>24</v>
      </c>
      <c r="L189" s="6" t="s">
        <v>77</v>
      </c>
      <c r="M189" s="119">
        <v>27</v>
      </c>
      <c r="N189" s="93">
        <v>59</v>
      </c>
      <c r="O189" s="6">
        <v>2</v>
      </c>
      <c r="P189" s="129">
        <v>1</v>
      </c>
      <c r="Q189" s="6">
        <v>27</v>
      </c>
      <c r="R189" s="98">
        <v>0.50029999999999997</v>
      </c>
      <c r="S189" s="94">
        <f>((Table3.110[[#This Row],[Sample weight, g]]*'2.1. DM'!Q57)/100)*1000</f>
        <v>473.41696714935352</v>
      </c>
      <c r="T189" s="94">
        <f>'3.2 Digest'!W189</f>
        <v>211.3169671493535</v>
      </c>
      <c r="U189" s="117">
        <v>0.37916666666666665</v>
      </c>
      <c r="V189" s="155">
        <v>40.5</v>
      </c>
      <c r="W189" s="117">
        <v>0.70277777777777772</v>
      </c>
      <c r="X189" s="96">
        <v>58.5</v>
      </c>
      <c r="Y189" s="96">
        <v>11.2</v>
      </c>
      <c r="Z189" s="155">
        <v>40</v>
      </c>
      <c r="AA189" s="117">
        <v>0.39513888888888887</v>
      </c>
      <c r="AB189" s="155">
        <v>53</v>
      </c>
      <c r="AC189" s="155">
        <v>8.5</v>
      </c>
      <c r="AD189" s="94"/>
      <c r="AE189" s="94">
        <f>Table3.110[[#This Row],[Gas 8h, ml]]-Table3.110[[#This Row],[Gas 0h, ml]]</f>
        <v>18</v>
      </c>
      <c r="AF189" s="94">
        <f>Table3.110[[#This Row],[Gas 24h, ml]]-Table3.110[[#This Row],[V8 Push back, ml]]</f>
        <v>13</v>
      </c>
      <c r="AG189" s="94">
        <f>Table3.110[[#This Row],[GP 8h, ml]]-(AVERAGE(AE$116,AE$117,AE$167,AE$166,AE$219,AE$220))*$AG$8</f>
        <v>15.123728042697875</v>
      </c>
      <c r="AH189" s="94">
        <f>Table3.110[[#This Row],[GP 8-24h, ml]]-(AVERAGE(AF$11,AF$12,AF$62,AF$61,AF$114,AF$115))*$AG$8</f>
        <v>9.3124718496126597</v>
      </c>
      <c r="AI189" s="94">
        <f>Table3.110[[#This Row],[Net gas 8-24h, ml]]+Table3.110[[#This Row],[Net gas 8h, ml]]</f>
        <v>24.436199892310533</v>
      </c>
      <c r="AJ189" s="94">
        <f>Table3.110[[#This Row],[Net gas 8h, ml]]*Table3.110[[#This Row],[CH4 8h %]]%</f>
        <v>1.6938575407821619</v>
      </c>
      <c r="AK189" s="94">
        <f>Table3.110[[#This Row],[Net gas 8-24h, ml]]*Table3.110[[#This Row],[CH4 24h, %]]%</f>
        <v>0.79156010721707615</v>
      </c>
      <c r="AL189" s="94">
        <f>Table3.110[[#This Row],[CH4 8-24h, ml]]+Table3.110[[#This Row],[CH4 8h, ml]]</f>
        <v>2.4854176479992383</v>
      </c>
      <c r="AM189" s="94">
        <f>(Table3.110[[#This Row],[Net gas 24h, ml]]/Table3.110[[#This Row],[DM Incubated, mg]])*1000</f>
        <v>51.616654213834728</v>
      </c>
      <c r="AN189" s="94">
        <f>'3.2 Digest'!X189</f>
        <v>44.636542796888655</v>
      </c>
      <c r="AO189" s="94">
        <f>Table3.110[[#This Row],[Digested feed, mg]]/Table3.110[[#This Row],[Net gas 24h, ml]]</f>
        <v>8.6477016917777672</v>
      </c>
      <c r="AP189" s="94">
        <f>Table3.110[[#This Row],[CH4 8h, ml]]/Table3.110[[#This Row],[Net gas 8h, ml]]%</f>
        <v>11.2</v>
      </c>
      <c r="AQ189" s="94">
        <f>Table3.110[[#This Row],[CH4 24h, ml]]/Table3.110[[#This Row],[Net gas 24h, ml]]%</f>
        <v>10.171048112850547</v>
      </c>
      <c r="AR189" s="94">
        <f>Table3.110[[#This Row],[CH4 24h, ml]]/Table3.110[[#This Row],[DM Incubated, mg]]*1000</f>
        <v>5.2499547343328299</v>
      </c>
      <c r="AS189" s="94">
        <f>Table3.110[[#This Row],[CH4 24h, ml]]/Table3.110[[#This Row],[Digested feed, mg]]*1000</f>
        <v>11.761562176134243</v>
      </c>
      <c r="AT189" s="94">
        <f>Table3.110[[#This Row],[CH4 24h, ml]]/'3.2 Digest'!AA189</f>
        <v>-0.12737676262141293</v>
      </c>
      <c r="AU189" s="94">
        <f>((Table3.110[[#This Row],[CH4 24h, ml]]/28.9)*16.04)/Table3.110[[#This Row],[DM Incubated, mg]]*1000</f>
        <v>2.9138157072214046</v>
      </c>
      <c r="AV189" s="94">
        <f>((Table3.110[[#This Row],[CH4 24h, ml]]/28.9)*16.04)/Table3.110[[#This Row],[Digested feed, mg]]*1000</f>
        <v>6.5278704949893855</v>
      </c>
      <c r="AW189" s="303"/>
    </row>
    <row r="190" spans="1:49" s="304" customFormat="1" x14ac:dyDescent="0.35">
      <c r="A190" s="89"/>
      <c r="B190" s="90">
        <f t="shared" si="2"/>
        <v>180</v>
      </c>
      <c r="C190" s="140">
        <v>46043</v>
      </c>
      <c r="D190" s="6" t="s">
        <v>16</v>
      </c>
      <c r="E190" s="6" t="s">
        <v>78</v>
      </c>
      <c r="F190" s="133" t="s">
        <v>79</v>
      </c>
      <c r="G190" s="133" t="s">
        <v>80</v>
      </c>
      <c r="H190" s="133" t="s">
        <v>81</v>
      </c>
      <c r="I190" s="6" t="s">
        <v>22</v>
      </c>
      <c r="J190" s="129" t="s">
        <v>23</v>
      </c>
      <c r="K190" s="129" t="s">
        <v>24</v>
      </c>
      <c r="L190" s="6" t="s">
        <v>77</v>
      </c>
      <c r="M190" s="119">
        <v>27</v>
      </c>
      <c r="N190" s="93">
        <v>59</v>
      </c>
      <c r="O190" s="6">
        <v>2</v>
      </c>
      <c r="P190" s="129">
        <v>2</v>
      </c>
      <c r="Q190" s="6">
        <v>28</v>
      </c>
      <c r="R190" s="98">
        <v>0.5</v>
      </c>
      <c r="S190" s="94">
        <f>((Table3.110[[#This Row],[Sample weight, g]]*'2.1. DM'!Q57)/100)*1000</f>
        <v>473.13308729697542</v>
      </c>
      <c r="T190" s="94">
        <f>'3.2 Digest'!W190</f>
        <v>234.43308729697551</v>
      </c>
      <c r="U190" s="153">
        <v>0.37986111111111109</v>
      </c>
      <c r="V190" s="155">
        <v>40.5</v>
      </c>
      <c r="W190" s="153">
        <v>0.70277777777777772</v>
      </c>
      <c r="X190" s="91">
        <v>68</v>
      </c>
      <c r="Y190" s="91">
        <v>11.5</v>
      </c>
      <c r="Z190" s="154">
        <v>40.5</v>
      </c>
      <c r="AA190" s="153">
        <v>0.39583333333333331</v>
      </c>
      <c r="AB190" s="154">
        <v>53.5</v>
      </c>
      <c r="AC190" s="154">
        <v>2.6</v>
      </c>
      <c r="AD190" s="94"/>
      <c r="AE190" s="94">
        <f>Table3.110[[#This Row],[Gas 8h, ml]]-Table3.110[[#This Row],[Gas 0h, ml]]</f>
        <v>27.5</v>
      </c>
      <c r="AF190" s="94">
        <f>Table3.110[[#This Row],[Gas 24h, ml]]-Table3.110[[#This Row],[V8 Push back, ml]]</f>
        <v>13</v>
      </c>
      <c r="AG190" s="94">
        <f>Table3.110[[#This Row],[GP 8h, ml]]-(AVERAGE(AE$116,AE$117,AE$167,AE$166,AE$219,AE$220))*$AG$8</f>
        <v>24.623728042697874</v>
      </c>
      <c r="AH190" s="94">
        <f>Table3.110[[#This Row],[GP 8-24h, ml]]-(AVERAGE(AF$11,AF$12,AF$62,AF$61,AF$114,AF$115))*$AG$8</f>
        <v>9.3124718496126597</v>
      </c>
      <c r="AI190" s="94">
        <f>Table3.110[[#This Row],[Net gas 8-24h, ml]]+Table3.110[[#This Row],[Net gas 8h, ml]]</f>
        <v>33.936199892310533</v>
      </c>
      <c r="AJ190" s="94">
        <f>Table3.110[[#This Row],[Net gas 8h, ml]]*Table3.110[[#This Row],[CH4 8h %]]%</f>
        <v>2.8317287249102554</v>
      </c>
      <c r="AK190" s="94">
        <f>Table3.110[[#This Row],[Net gas 8-24h, ml]]*Table3.110[[#This Row],[CH4 24h, %]]%</f>
        <v>0.24212426808992918</v>
      </c>
      <c r="AL190" s="94">
        <f>Table3.110[[#This Row],[CH4 8-24h, ml]]+Table3.110[[#This Row],[CH4 8h, ml]]</f>
        <v>3.0738529930001848</v>
      </c>
      <c r="AM190" s="94">
        <f>(Table3.110[[#This Row],[Net gas 24h, ml]]/Table3.110[[#This Row],[DM Incubated, mg]])*1000</f>
        <v>71.726541227943159</v>
      </c>
      <c r="AN190" s="94">
        <f>'3.2 Digest'!X190</f>
        <v>49.549079020513929</v>
      </c>
      <c r="AO190" s="94">
        <f>Table3.110[[#This Row],[Digested feed, mg]]/Table3.110[[#This Row],[Net gas 24h, ml]]</f>
        <v>6.9080535841048825</v>
      </c>
      <c r="AP190" s="94">
        <f>Table3.110[[#This Row],[CH4 8h, ml]]/Table3.110[[#This Row],[Net gas 8h, ml]]%</f>
        <v>11.5</v>
      </c>
      <c r="AQ190" s="94">
        <f>Table3.110[[#This Row],[CH4 24h, ml]]/Table3.110[[#This Row],[Net gas 24h, ml]]%</f>
        <v>9.0577407097860618</v>
      </c>
      <c r="AR190" s="94">
        <f>Table3.110[[#This Row],[CH4 24h, ml]]/Table3.110[[#This Row],[DM Incubated, mg]]*1000</f>
        <v>6.49680412452489</v>
      </c>
      <c r="AS190" s="94">
        <f>Table3.110[[#This Row],[CH4 24h, ml]]/Table3.110[[#This Row],[Digested feed, mg]]*1000</f>
        <v>13.111856472317342</v>
      </c>
      <c r="AT190" s="94">
        <f>Table3.110[[#This Row],[CH4 24h, ml]]/'3.2 Digest'!AA190</f>
        <v>-0.34507789851785753</v>
      </c>
      <c r="AU190" s="94">
        <f>((Table3.110[[#This Row],[CH4 24h, ml]]/28.9)*16.04)/Table3.110[[#This Row],[DM Incubated, mg]]*1000</f>
        <v>3.6058386905667557</v>
      </c>
      <c r="AV190" s="94">
        <f>((Table3.110[[#This Row],[CH4 24h, ml]]/28.9)*16.04)/Table3.110[[#This Row],[Digested feed, mg]]*1000</f>
        <v>7.2773071908640192</v>
      </c>
      <c r="AW190" s="303"/>
    </row>
    <row r="191" spans="1:49" s="304" customFormat="1" x14ac:dyDescent="0.35">
      <c r="A191" s="89"/>
      <c r="B191" s="90">
        <f t="shared" si="2"/>
        <v>181</v>
      </c>
      <c r="C191" s="140">
        <v>46043</v>
      </c>
      <c r="D191" s="6" t="s">
        <v>16</v>
      </c>
      <c r="E191" s="6" t="s">
        <v>78</v>
      </c>
      <c r="F191" s="133" t="s">
        <v>79</v>
      </c>
      <c r="G191" s="133" t="s">
        <v>80</v>
      </c>
      <c r="H191" s="133" t="s">
        <v>81</v>
      </c>
      <c r="I191" s="6" t="s">
        <v>22</v>
      </c>
      <c r="J191" s="129" t="s">
        <v>23</v>
      </c>
      <c r="K191" s="129" t="s">
        <v>24</v>
      </c>
      <c r="L191" s="6" t="s">
        <v>77</v>
      </c>
      <c r="M191" s="119">
        <v>27</v>
      </c>
      <c r="N191" s="93">
        <v>59</v>
      </c>
      <c r="O191" s="6">
        <v>2</v>
      </c>
      <c r="P191" s="129">
        <v>3</v>
      </c>
      <c r="Q191" s="6">
        <v>29</v>
      </c>
      <c r="R191" s="98">
        <v>0.5</v>
      </c>
      <c r="S191" s="94">
        <f>((Table3.110[[#This Row],[Sample weight, g]]*'2.1. DM'!Q57)/100)*1000</f>
        <v>473.13308729697542</v>
      </c>
      <c r="T191" s="94">
        <f>'3.2 Digest'!W191</f>
        <v>223.03308729697531</v>
      </c>
      <c r="U191" s="117">
        <v>0.38055555555555554</v>
      </c>
      <c r="V191" s="155">
        <v>40.5</v>
      </c>
      <c r="W191" s="117">
        <v>0.70347222222222228</v>
      </c>
      <c r="X191" s="96">
        <v>61</v>
      </c>
      <c r="Y191" s="96">
        <v>10.7</v>
      </c>
      <c r="Z191" s="155">
        <v>39.5</v>
      </c>
      <c r="AA191" s="117">
        <v>0.39652777777777776</v>
      </c>
      <c r="AB191" s="155">
        <v>53</v>
      </c>
      <c r="AC191" s="155">
        <v>2.6</v>
      </c>
      <c r="AD191" s="94"/>
      <c r="AE191" s="94">
        <f>Table3.110[[#This Row],[Gas 8h, ml]]-Table3.110[[#This Row],[Gas 0h, ml]]</f>
        <v>20.5</v>
      </c>
      <c r="AF191" s="94">
        <f>Table3.110[[#This Row],[Gas 24h, ml]]-Table3.110[[#This Row],[V8 Push back, ml]]</f>
        <v>13.5</v>
      </c>
      <c r="AG191" s="94">
        <f>Table3.110[[#This Row],[GP 8h, ml]]-(AVERAGE(AE$116,AE$117,AE$167,AE$166,AE$219,AE$220))*$AG$8</f>
        <v>17.623728042697874</v>
      </c>
      <c r="AH191" s="94">
        <f>Table3.110[[#This Row],[GP 8-24h, ml]]-(AVERAGE(AF$11,AF$12,AF$62,AF$61,AF$114,AF$115))*$AG$8</f>
        <v>9.8124718496126597</v>
      </c>
      <c r="AI191" s="94">
        <f>Table3.110[[#This Row],[Net gas 8-24h, ml]]+Table3.110[[#This Row],[Net gas 8h, ml]]</f>
        <v>27.436199892310533</v>
      </c>
      <c r="AJ191" s="94">
        <f>Table3.110[[#This Row],[Net gas 8h, ml]]*Table3.110[[#This Row],[CH4 8h %]]%</f>
        <v>1.8857389005686724</v>
      </c>
      <c r="AK191" s="94">
        <f>Table3.110[[#This Row],[Net gas 8-24h, ml]]*Table3.110[[#This Row],[CH4 24h, %]]%</f>
        <v>0.25512426808992916</v>
      </c>
      <c r="AL191" s="94">
        <f>Table3.110[[#This Row],[CH4 8-24h, ml]]+Table3.110[[#This Row],[CH4 8h, ml]]</f>
        <v>2.1408631686586017</v>
      </c>
      <c r="AM191" s="94">
        <f>(Table3.110[[#This Row],[Net gas 24h, ml]]/Table3.110[[#This Row],[DM Incubated, mg]])*1000</f>
        <v>57.988334844756736</v>
      </c>
      <c r="AN191" s="94">
        <f>'3.2 Digest'!X191</f>
        <v>47.139608977924276</v>
      </c>
      <c r="AO191" s="94">
        <f>Table3.110[[#This Row],[Digested feed, mg]]/Table3.110[[#This Row],[Net gas 24h, ml]]</f>
        <v>8.1291537520647736</v>
      </c>
      <c r="AP191" s="94">
        <f>Table3.110[[#This Row],[CH4 8h, ml]]/Table3.110[[#This Row],[Net gas 8h, ml]]%</f>
        <v>10.700000000000001</v>
      </c>
      <c r="AQ191" s="94">
        <f>Table3.110[[#This Row],[CH4 24h, ml]]/Table3.110[[#This Row],[Net gas 24h, ml]]%</f>
        <v>7.8030601069451153</v>
      </c>
      <c r="AR191" s="94">
        <f>Table3.110[[#This Row],[CH4 24h, ml]]/Table3.110[[#This Row],[DM Incubated, mg]]*1000</f>
        <v>4.5248646229529665</v>
      </c>
      <c r="AS191" s="94">
        <f>Table3.110[[#This Row],[CH4 24h, ml]]/Table3.110[[#This Row],[Digested feed, mg]]*1000</f>
        <v>9.5988590509352427</v>
      </c>
      <c r="AT191" s="94">
        <f>Table3.110[[#This Row],[CH4 24h, ml]]/'3.2 Digest'!AA191</f>
        <v>-0.15173744281914403</v>
      </c>
      <c r="AU191" s="94">
        <f>((Table3.110[[#This Row],[CH4 24h, ml]]/28.9)*16.04)/Table3.110[[#This Row],[DM Incubated, mg]]*1000</f>
        <v>2.5113781505939645</v>
      </c>
      <c r="AV191" s="94">
        <f>((Table3.110[[#This Row],[CH4 24h, ml]]/28.9)*16.04)/Table3.110[[#This Row],[Digested feed, mg]]*1000</f>
        <v>5.327532843494855</v>
      </c>
      <c r="AW191" s="303"/>
    </row>
    <row r="192" spans="1:49" s="304" customFormat="1" x14ac:dyDescent="0.35">
      <c r="A192" s="89"/>
      <c r="B192" s="90">
        <f t="shared" si="2"/>
        <v>182</v>
      </c>
      <c r="C192" s="140">
        <v>46043</v>
      </c>
      <c r="D192" s="6" t="s">
        <v>16</v>
      </c>
      <c r="E192" s="6" t="s">
        <v>83</v>
      </c>
      <c r="F192" s="133" t="s">
        <v>84</v>
      </c>
      <c r="G192" s="133" t="s">
        <v>67</v>
      </c>
      <c r="H192" s="133" t="s">
        <v>85</v>
      </c>
      <c r="I192" s="6" t="s">
        <v>22</v>
      </c>
      <c r="J192" s="129" t="s">
        <v>23</v>
      </c>
      <c r="K192" s="129" t="s">
        <v>24</v>
      </c>
      <c r="L192" s="6" t="s">
        <v>82</v>
      </c>
      <c r="M192" s="119">
        <v>27</v>
      </c>
      <c r="N192" s="93">
        <v>59</v>
      </c>
      <c r="O192" s="6">
        <v>2</v>
      </c>
      <c r="P192" s="129">
        <v>1</v>
      </c>
      <c r="Q192" s="6">
        <v>30</v>
      </c>
      <c r="R192" s="98">
        <v>0.50049999999999994</v>
      </c>
      <c r="S192" s="94">
        <f>((Table3.110[[#This Row],[Sample weight, g]]*'2.1. DM'!Q59)/100)*1000</f>
        <v>467.55524506815914</v>
      </c>
      <c r="T192" s="94">
        <f>'3.2 Digest'!W192</f>
        <v>212.45524506815914</v>
      </c>
      <c r="U192" s="153">
        <v>0.38055555555555554</v>
      </c>
      <c r="V192" s="155">
        <v>41</v>
      </c>
      <c r="W192" s="153">
        <v>0.70347222222222228</v>
      </c>
      <c r="X192" s="91">
        <v>72</v>
      </c>
      <c r="Y192" s="91">
        <v>12.5</v>
      </c>
      <c r="Z192" s="154">
        <v>40</v>
      </c>
      <c r="AA192" s="153">
        <v>0.3972222222222222</v>
      </c>
      <c r="AB192" s="154">
        <v>71</v>
      </c>
      <c r="AC192" s="154">
        <v>15.5</v>
      </c>
      <c r="AD192" s="94"/>
      <c r="AE192" s="94">
        <f>Table3.110[[#This Row],[Gas 8h, ml]]-Table3.110[[#This Row],[Gas 0h, ml]]</f>
        <v>31</v>
      </c>
      <c r="AF192" s="94">
        <f>Table3.110[[#This Row],[Gas 24h, ml]]-Table3.110[[#This Row],[V8 Push back, ml]]</f>
        <v>31</v>
      </c>
      <c r="AG192" s="94">
        <f>Table3.110[[#This Row],[GP 8h, ml]]-(AVERAGE(AE$116,AE$117,AE$167,AE$166,AE$219,AE$220))*$AG$8</f>
        <v>28.123728042697874</v>
      </c>
      <c r="AH192" s="94">
        <f>Table3.110[[#This Row],[GP 8-24h, ml]]-(AVERAGE(AF$11,AF$12,AF$62,AF$61,AF$114,AF$115))*$AG$8</f>
        <v>27.31247184961266</v>
      </c>
      <c r="AI192" s="94">
        <f>Table3.110[[#This Row],[Net gas 8-24h, ml]]+Table3.110[[#This Row],[Net gas 8h, ml]]</f>
        <v>55.436199892310533</v>
      </c>
      <c r="AJ192" s="94">
        <f>Table3.110[[#This Row],[Net gas 8h, ml]]*Table3.110[[#This Row],[CH4 8h %]]%</f>
        <v>3.5154660053372342</v>
      </c>
      <c r="AK192" s="94">
        <f>Table3.110[[#This Row],[Net gas 8-24h, ml]]*Table3.110[[#This Row],[CH4 24h, %]]%</f>
        <v>4.2334331366899622</v>
      </c>
      <c r="AL192" s="94">
        <f>Table3.110[[#This Row],[CH4 8-24h, ml]]+Table3.110[[#This Row],[CH4 8h, ml]]</f>
        <v>7.7488991420271969</v>
      </c>
      <c r="AM192" s="94">
        <f>(Table3.110[[#This Row],[Net gas 24h, ml]]/Table3.110[[#This Row],[DM Incubated, mg]])*1000</f>
        <v>118.56609561556554</v>
      </c>
      <c r="AN192" s="94">
        <f>'3.2 Digest'!X192</f>
        <v>45.439602551606043</v>
      </c>
      <c r="AO192" s="94">
        <f>Table3.110[[#This Row],[Digested feed, mg]]/Table3.110[[#This Row],[Net gas 24h, ml]]</f>
        <v>3.8324280069858916</v>
      </c>
      <c r="AP192" s="94">
        <f>Table3.110[[#This Row],[CH4 8h, ml]]/Table3.110[[#This Row],[Net gas 8h, ml]]%</f>
        <v>12.500000000000002</v>
      </c>
      <c r="AQ192" s="94">
        <f>Table3.110[[#This Row],[CH4 24h, ml]]/Table3.110[[#This Row],[Net gas 24h, ml]]%</f>
        <v>13.978048923050432</v>
      </c>
      <c r="AR192" s="94">
        <f>Table3.110[[#This Row],[CH4 24h, ml]]/Table3.110[[#This Row],[DM Incubated, mg]]*1000</f>
        <v>16.573226851294503</v>
      </c>
      <c r="AS192" s="94">
        <f>Table3.110[[#This Row],[CH4 24h, ml]]/Table3.110[[#This Row],[Digested feed, mg]]*1000</f>
        <v>36.473089377206115</v>
      </c>
      <c r="AT192" s="94">
        <f>Table3.110[[#This Row],[CH4 24h, ml]]/'3.2 Digest'!AA192</f>
        <v>-0.87373801049295763</v>
      </c>
      <c r="AU192" s="94">
        <f>((Table3.110[[#This Row],[CH4 24h, ml]]/28.9)*16.04)/Table3.110[[#This Row],[DM Incubated, mg]]*1000</f>
        <v>9.1984276364970174</v>
      </c>
      <c r="AV192" s="94">
        <f>((Table3.110[[#This Row],[CH4 24h, ml]]/28.9)*16.04)/Table3.110[[#This Row],[Digested feed, mg]]*1000</f>
        <v>20.243195626656956</v>
      </c>
      <c r="AW192" s="303"/>
    </row>
    <row r="193" spans="1:49" s="304" customFormat="1" x14ac:dyDescent="0.35">
      <c r="A193" s="89"/>
      <c r="B193" s="90">
        <f t="shared" si="2"/>
        <v>183</v>
      </c>
      <c r="C193" s="140">
        <v>46043</v>
      </c>
      <c r="D193" s="6" t="s">
        <v>16</v>
      </c>
      <c r="E193" s="6" t="s">
        <v>83</v>
      </c>
      <c r="F193" s="133" t="s">
        <v>84</v>
      </c>
      <c r="G193" s="133" t="s">
        <v>67</v>
      </c>
      <c r="H193" s="133" t="s">
        <v>85</v>
      </c>
      <c r="I193" s="6" t="s">
        <v>22</v>
      </c>
      <c r="J193" s="129" t="s">
        <v>23</v>
      </c>
      <c r="K193" s="129" t="s">
        <v>24</v>
      </c>
      <c r="L193" s="6" t="s">
        <v>82</v>
      </c>
      <c r="M193" s="119">
        <v>27</v>
      </c>
      <c r="N193" s="93">
        <v>59</v>
      </c>
      <c r="O193" s="6">
        <v>2</v>
      </c>
      <c r="P193" s="129">
        <v>2</v>
      </c>
      <c r="Q193" s="6">
        <v>31</v>
      </c>
      <c r="R193" s="98">
        <v>0.50029999999999997</v>
      </c>
      <c r="S193" s="94">
        <f>((Table3.110[[#This Row],[Sample weight, g]]*'2.1. DM'!Q59)/100)*1000</f>
        <v>467.36840980539466</v>
      </c>
      <c r="T193" s="94">
        <f>'3.2 Digest'!W193</f>
        <v>190.7684098053947</v>
      </c>
      <c r="U193" s="117">
        <v>0.38263888888888886</v>
      </c>
      <c r="V193" s="155">
        <v>41</v>
      </c>
      <c r="W193" s="117">
        <v>0.70416666666666672</v>
      </c>
      <c r="X193" s="96">
        <v>71.5</v>
      </c>
      <c r="Y193" s="96">
        <v>13.5</v>
      </c>
      <c r="Z193" s="155">
        <v>40.5</v>
      </c>
      <c r="AA193" s="117">
        <v>0.3972222222222222</v>
      </c>
      <c r="AB193" s="155">
        <v>71</v>
      </c>
      <c r="AC193" s="155">
        <v>15.4</v>
      </c>
      <c r="AD193" s="94"/>
      <c r="AE193" s="94">
        <f>Table3.110[[#This Row],[Gas 8h, ml]]-Table3.110[[#This Row],[Gas 0h, ml]]</f>
        <v>30.5</v>
      </c>
      <c r="AF193" s="94">
        <f>Table3.110[[#This Row],[Gas 24h, ml]]-Table3.110[[#This Row],[V8 Push back, ml]]</f>
        <v>30.5</v>
      </c>
      <c r="AG193" s="94">
        <f>Table3.110[[#This Row],[GP 8h, ml]]-(AVERAGE(AE$116,AE$117,AE$167,AE$166,AE$219,AE$220))*$AG$8</f>
        <v>27.623728042697874</v>
      </c>
      <c r="AH193" s="94">
        <f>Table3.110[[#This Row],[GP 8-24h, ml]]-(AVERAGE(AF$11,AF$12,AF$62,AF$61,AF$114,AF$115))*$AG$8</f>
        <v>26.81247184961266</v>
      </c>
      <c r="AI193" s="94">
        <f>Table3.110[[#This Row],[Net gas 8-24h, ml]]+Table3.110[[#This Row],[Net gas 8h, ml]]</f>
        <v>54.436199892310533</v>
      </c>
      <c r="AJ193" s="94">
        <f>Table3.110[[#This Row],[Net gas 8h, ml]]*Table3.110[[#This Row],[CH4 8h %]]%</f>
        <v>3.7292032857642132</v>
      </c>
      <c r="AK193" s="94">
        <f>Table3.110[[#This Row],[Net gas 8-24h, ml]]*Table3.110[[#This Row],[CH4 24h, %]]%</f>
        <v>4.1291206648403493</v>
      </c>
      <c r="AL193" s="94">
        <f>Table3.110[[#This Row],[CH4 8-24h, ml]]+Table3.110[[#This Row],[CH4 8h, ml]]</f>
        <v>7.8583239506045626</v>
      </c>
      <c r="AM193" s="94">
        <f>(Table3.110[[#This Row],[Net gas 24h, ml]]/Table3.110[[#This Row],[DM Incubated, mg]])*1000</f>
        <v>116.47385392388195</v>
      </c>
      <c r="AN193" s="94">
        <f>'3.2 Digest'!X193</f>
        <v>40.817566143340294</v>
      </c>
      <c r="AO193" s="94">
        <f>Table3.110[[#This Row],[Digested feed, mg]]/Table3.110[[#This Row],[Net gas 24h, ml]]</f>
        <v>3.5044402471661504</v>
      </c>
      <c r="AP193" s="94">
        <f>Table3.110[[#This Row],[CH4 8h, ml]]/Table3.110[[#This Row],[Net gas 8h, ml]]%</f>
        <v>13.5</v>
      </c>
      <c r="AQ193" s="94">
        <f>Table3.110[[#This Row],[CH4 24h, ml]]/Table3.110[[#This Row],[Net gas 24h, ml]]%</f>
        <v>14.435842263329263</v>
      </c>
      <c r="AR193" s="94">
        <f>Table3.110[[#This Row],[CH4 24h, ml]]/Table3.110[[#This Row],[DM Incubated, mg]]*1000</f>
        <v>16.813981830472137</v>
      </c>
      <c r="AS193" s="94">
        <f>Table3.110[[#This Row],[CH4 24h, ml]]/Table3.110[[#This Row],[Digested feed, mg]]*1000</f>
        <v>41.193004432028033</v>
      </c>
      <c r="AT193" s="94">
        <f>Table3.110[[#This Row],[CH4 24h, ml]]/'3.2 Digest'!AA193</f>
        <v>-0.43436815567922499</v>
      </c>
      <c r="AU193" s="94">
        <f>((Table3.110[[#This Row],[CH4 24h, ml]]/28.9)*16.04)/Table3.110[[#This Row],[DM Incubated, mg]]*1000</f>
        <v>9.3320508152516641</v>
      </c>
      <c r="AV193" s="94">
        <f>((Table3.110[[#This Row],[CH4 24h, ml]]/28.9)*16.04)/Table3.110[[#This Row],[Digested feed, mg]]*1000</f>
        <v>22.862830141513133</v>
      </c>
      <c r="AW193" s="303"/>
    </row>
    <row r="194" spans="1:49" s="304" customFormat="1" x14ac:dyDescent="0.35">
      <c r="A194" s="89"/>
      <c r="B194" s="90">
        <f t="shared" si="2"/>
        <v>184</v>
      </c>
      <c r="C194" s="140">
        <v>46043</v>
      </c>
      <c r="D194" s="6" t="s">
        <v>16</v>
      </c>
      <c r="E194" s="6" t="s">
        <v>83</v>
      </c>
      <c r="F194" s="133" t="s">
        <v>84</v>
      </c>
      <c r="G194" s="133" t="s">
        <v>67</v>
      </c>
      <c r="H194" s="133" t="s">
        <v>85</v>
      </c>
      <c r="I194" s="6" t="s">
        <v>22</v>
      </c>
      <c r="J194" s="129" t="s">
        <v>23</v>
      </c>
      <c r="K194" s="129" t="s">
        <v>24</v>
      </c>
      <c r="L194" s="6" t="s">
        <v>82</v>
      </c>
      <c r="M194" s="119">
        <v>27</v>
      </c>
      <c r="N194" s="93">
        <v>59</v>
      </c>
      <c r="O194" s="6">
        <v>2</v>
      </c>
      <c r="P194" s="129">
        <v>3</v>
      </c>
      <c r="Q194" s="6">
        <v>32</v>
      </c>
      <c r="R194" s="98">
        <v>0.50009999999999999</v>
      </c>
      <c r="S194" s="94">
        <f>((Table3.110[[#This Row],[Sample weight, g]]*'2.1. DM'!Q59)/100)*1000</f>
        <v>467.18157454263019</v>
      </c>
      <c r="T194" s="94">
        <f>'3.2 Digest'!W194</f>
        <v>168.68157454263019</v>
      </c>
      <c r="U194" s="153">
        <v>0.38124999999999998</v>
      </c>
      <c r="V194" s="155">
        <v>39.5</v>
      </c>
      <c r="W194" s="153">
        <v>0.70486111111111116</v>
      </c>
      <c r="X194" s="91">
        <v>69.5</v>
      </c>
      <c r="Y194" s="91">
        <v>13.1</v>
      </c>
      <c r="Z194" s="154">
        <v>39.5</v>
      </c>
      <c r="AA194" s="153">
        <v>0.39791666666666664</v>
      </c>
      <c r="AB194" s="154">
        <v>70</v>
      </c>
      <c r="AC194" s="154">
        <v>15.6</v>
      </c>
      <c r="AD194" s="94"/>
      <c r="AE194" s="94">
        <f>Table3.110[[#This Row],[Gas 8h, ml]]-Table3.110[[#This Row],[Gas 0h, ml]]</f>
        <v>30</v>
      </c>
      <c r="AF194" s="94">
        <f>Table3.110[[#This Row],[Gas 24h, ml]]-Table3.110[[#This Row],[V8 Push back, ml]]</f>
        <v>30.5</v>
      </c>
      <c r="AG194" s="94">
        <f>Table3.110[[#This Row],[GP 8h, ml]]-(AVERAGE(AE$116,AE$117,AE$167,AE$166,AE$219,AE$220))*$AG$8</f>
        <v>27.123728042697874</v>
      </c>
      <c r="AH194" s="94">
        <f>Table3.110[[#This Row],[GP 8-24h, ml]]-(AVERAGE(AF$11,AF$12,AF$62,AF$61,AF$114,AF$115))*$AG$8</f>
        <v>26.81247184961266</v>
      </c>
      <c r="AI194" s="94">
        <f>Table3.110[[#This Row],[Net gas 8-24h, ml]]+Table3.110[[#This Row],[Net gas 8h, ml]]</f>
        <v>53.936199892310533</v>
      </c>
      <c r="AJ194" s="94">
        <f>Table3.110[[#This Row],[Net gas 8h, ml]]*Table3.110[[#This Row],[CH4 8h %]]%</f>
        <v>3.5532083735934217</v>
      </c>
      <c r="AK194" s="94">
        <f>Table3.110[[#This Row],[Net gas 8-24h, ml]]*Table3.110[[#This Row],[CH4 24h, %]]%</f>
        <v>4.1827456085395749</v>
      </c>
      <c r="AL194" s="94">
        <f>Table3.110[[#This Row],[CH4 8-24h, ml]]+Table3.110[[#This Row],[CH4 8h, ml]]</f>
        <v>7.7359539821329966</v>
      </c>
      <c r="AM194" s="94">
        <f>(Table3.110[[#This Row],[Net gas 24h, ml]]/Table3.110[[#This Row],[DM Incubated, mg]])*1000</f>
        <v>115.45018646147156</v>
      </c>
      <c r="AN194" s="94">
        <f>'3.2 Digest'!X194</f>
        <v>36.106213030291087</v>
      </c>
      <c r="AO194" s="94">
        <f>Table3.110[[#This Row],[Digested feed, mg]]/Table3.110[[#This Row],[Net gas 24h, ml]]</f>
        <v>3.1274278662460691</v>
      </c>
      <c r="AP194" s="94">
        <f>Table3.110[[#This Row],[CH4 8h, ml]]/Table3.110[[#This Row],[Net gas 8h, ml]]%</f>
        <v>13.1</v>
      </c>
      <c r="AQ194" s="94">
        <f>Table3.110[[#This Row],[CH4 24h, ml]]/Table3.110[[#This Row],[Net gas 24h, ml]]%</f>
        <v>14.342786472867326</v>
      </c>
      <c r="AR194" s="94">
        <f>Table3.110[[#This Row],[CH4 24h, ml]]/Table3.110[[#This Row],[DM Incubated, mg]]*1000</f>
        <v>16.55877372669605</v>
      </c>
      <c r="AS194" s="94">
        <f>Table3.110[[#This Row],[CH4 24h, ml]]/Table3.110[[#This Row],[Digested feed, mg]]*1000</f>
        <v>45.861286291099454</v>
      </c>
      <c r="AT194" s="94">
        <f>Table3.110[[#This Row],[CH4 24h, ml]]/'3.2 Digest'!AA194</f>
        <v>-0.28138593945723805</v>
      </c>
      <c r="AU194" s="94">
        <f>((Table3.110[[#This Row],[CH4 24h, ml]]/28.9)*16.04)/Table3.110[[#This Row],[DM Incubated, mg]]*1000</f>
        <v>9.1904059022908164</v>
      </c>
      <c r="AV194" s="94">
        <f>((Table3.110[[#This Row],[CH4 24h, ml]]/28.9)*16.04)/Table3.110[[#This Row],[Digested feed, mg]]*1000</f>
        <v>25.453807339419903</v>
      </c>
      <c r="AW194" s="303"/>
    </row>
    <row r="195" spans="1:49" s="304" customFormat="1" x14ac:dyDescent="0.35">
      <c r="A195" s="89"/>
      <c r="B195" s="90">
        <f t="shared" si="2"/>
        <v>185</v>
      </c>
      <c r="C195" s="140">
        <v>46043</v>
      </c>
      <c r="D195" s="6" t="s">
        <v>16</v>
      </c>
      <c r="E195" s="6" t="s">
        <v>87</v>
      </c>
      <c r="F195" s="133" t="s">
        <v>88</v>
      </c>
      <c r="G195" s="133" t="s">
        <v>89</v>
      </c>
      <c r="H195" s="133" t="s">
        <v>90</v>
      </c>
      <c r="I195" s="6" t="s">
        <v>22</v>
      </c>
      <c r="J195" s="129" t="s">
        <v>23</v>
      </c>
      <c r="K195" s="129" t="s">
        <v>24</v>
      </c>
      <c r="L195" s="6" t="s">
        <v>86</v>
      </c>
      <c r="M195" s="119">
        <v>27</v>
      </c>
      <c r="N195" s="93">
        <v>59</v>
      </c>
      <c r="O195" s="6">
        <v>2</v>
      </c>
      <c r="P195" s="129">
        <v>1</v>
      </c>
      <c r="Q195" s="6">
        <v>33</v>
      </c>
      <c r="R195" s="98">
        <v>0.50019999999999998</v>
      </c>
      <c r="S195" s="94">
        <f>((Table3.110[[#This Row],[Sample weight, g]]*'2.1. DM'!Q61)/100)*1000</f>
        <v>469.16567561687623</v>
      </c>
      <c r="T195" s="94">
        <f>'3.2 Digest'!W195</f>
        <v>84.865675616876274</v>
      </c>
      <c r="U195" s="117">
        <v>0.38124999999999998</v>
      </c>
      <c r="V195" s="155">
        <v>40.5</v>
      </c>
      <c r="W195" s="117">
        <v>0.70486111111111116</v>
      </c>
      <c r="X195" s="96">
        <v>67.5</v>
      </c>
      <c r="Y195" s="96">
        <v>13.5</v>
      </c>
      <c r="Z195" s="155">
        <v>40</v>
      </c>
      <c r="AA195" s="117">
        <v>0.39861111111111114</v>
      </c>
      <c r="AB195" s="155">
        <v>60</v>
      </c>
      <c r="AC195" s="155">
        <v>18.2</v>
      </c>
      <c r="AD195" s="94"/>
      <c r="AE195" s="94">
        <f>Table3.110[[#This Row],[Gas 8h, ml]]-Table3.110[[#This Row],[Gas 0h, ml]]</f>
        <v>27</v>
      </c>
      <c r="AF195" s="94">
        <f>Table3.110[[#This Row],[Gas 24h, ml]]-Table3.110[[#This Row],[V8 Push back, ml]]</f>
        <v>20</v>
      </c>
      <c r="AG195" s="94">
        <f>Table3.110[[#This Row],[GP 8h, ml]]-(AVERAGE(AE$116,AE$117,AE$167,AE$166,AE$219,AE$220))*$AG$8</f>
        <v>24.123728042697874</v>
      </c>
      <c r="AH195" s="94">
        <f>Table3.110[[#This Row],[GP 8-24h, ml]]-(AVERAGE(AF$11,AF$12,AF$62,AF$61,AF$114,AF$115))*$AG$8</f>
        <v>16.31247184961266</v>
      </c>
      <c r="AI195" s="94">
        <f>Table3.110[[#This Row],[Net gas 8-24h, ml]]+Table3.110[[#This Row],[Net gas 8h, ml]]</f>
        <v>40.436199892310533</v>
      </c>
      <c r="AJ195" s="94">
        <f>Table3.110[[#This Row],[Net gas 8h, ml]]*Table3.110[[#This Row],[CH4 8h %]]%</f>
        <v>3.2567032857642131</v>
      </c>
      <c r="AK195" s="94">
        <f>Table3.110[[#This Row],[Net gas 8-24h, ml]]*Table3.110[[#This Row],[CH4 24h, %]]%</f>
        <v>2.9688698766295039</v>
      </c>
      <c r="AL195" s="94">
        <f>Table3.110[[#This Row],[CH4 8-24h, ml]]+Table3.110[[#This Row],[CH4 8h, ml]]</f>
        <v>6.2255731623937169</v>
      </c>
      <c r="AM195" s="94">
        <f>(Table3.110[[#This Row],[Net gas 24h, ml]]/Table3.110[[#This Row],[DM Incubated, mg]])*1000</f>
        <v>86.18746424521261</v>
      </c>
      <c r="AN195" s="94">
        <f>'3.2 Digest'!X195</f>
        <v>18.088636920271668</v>
      </c>
      <c r="AO195" s="94">
        <f>Table3.110[[#This Row],[Digested feed, mg]]/Table3.110[[#This Row],[Net gas 24h, ml]]</f>
        <v>2.0987549730906978</v>
      </c>
      <c r="AP195" s="94">
        <f>Table3.110[[#This Row],[CH4 8h, ml]]/Table3.110[[#This Row],[Net gas 8h, ml]]%</f>
        <v>13.500000000000002</v>
      </c>
      <c r="AQ195" s="94">
        <f>Table3.110[[#This Row],[CH4 24h, ml]]/Table3.110[[#This Row],[Net gas 24h, ml]]%</f>
        <v>15.396039140605769</v>
      </c>
      <c r="AR195" s="94">
        <f>Table3.110[[#This Row],[CH4 24h, ml]]/Table3.110[[#This Row],[DM Incubated, mg]]*1000</f>
        <v>13.269455729488532</v>
      </c>
      <c r="AS195" s="94">
        <f>Table3.110[[#This Row],[CH4 24h, ml]]/Table3.110[[#This Row],[Digested feed, mg]]*1000</f>
        <v>73.357963830970874</v>
      </c>
      <c r="AT195" s="94">
        <f>Table3.110[[#This Row],[CH4 24h, ml]]/'3.2 Digest'!AA195</f>
        <v>-0.37822391622130713</v>
      </c>
      <c r="AU195" s="94">
        <f>((Table3.110[[#This Row],[CH4 24h, ml]]/28.9)*16.04)/Table3.110[[#This Row],[DM Incubated, mg]]*1000</f>
        <v>7.3647775052247768</v>
      </c>
      <c r="AV195" s="94">
        <f>((Table3.110[[#This Row],[CH4 24h, ml]]/28.9)*16.04)/Table3.110[[#This Row],[Digested feed, mg]]*1000</f>
        <v>40.714939095113245</v>
      </c>
      <c r="AW195" s="303"/>
    </row>
    <row r="196" spans="1:49" s="304" customFormat="1" x14ac:dyDescent="0.35">
      <c r="A196" s="89"/>
      <c r="B196" s="90">
        <f t="shared" si="2"/>
        <v>186</v>
      </c>
      <c r="C196" s="140">
        <v>46043</v>
      </c>
      <c r="D196" s="6" t="s">
        <v>16</v>
      </c>
      <c r="E196" s="6" t="s">
        <v>87</v>
      </c>
      <c r="F196" s="133" t="s">
        <v>88</v>
      </c>
      <c r="G196" s="133" t="s">
        <v>89</v>
      </c>
      <c r="H196" s="133" t="s">
        <v>90</v>
      </c>
      <c r="I196" s="6" t="s">
        <v>22</v>
      </c>
      <c r="J196" s="129" t="s">
        <v>23</v>
      </c>
      <c r="K196" s="129" t="s">
        <v>24</v>
      </c>
      <c r="L196" s="6" t="s">
        <v>86</v>
      </c>
      <c r="M196" s="119">
        <v>27</v>
      </c>
      <c r="N196" s="93">
        <v>59</v>
      </c>
      <c r="O196" s="6">
        <v>2</v>
      </c>
      <c r="P196" s="129">
        <v>2</v>
      </c>
      <c r="Q196" s="6">
        <v>34</v>
      </c>
      <c r="R196" s="98">
        <v>0.5</v>
      </c>
      <c r="S196" s="94">
        <f>((Table3.110[[#This Row],[Sample weight, g]]*'2.1. DM'!Q61)/100)*1000</f>
        <v>468.97808438312296</v>
      </c>
      <c r="T196" s="94">
        <f>'3.2 Digest'!W196</f>
        <v>84.778084383122973</v>
      </c>
      <c r="U196" s="153">
        <v>0.38194444444444442</v>
      </c>
      <c r="V196" s="155">
        <v>42</v>
      </c>
      <c r="W196" s="153">
        <v>0.7055555555555556</v>
      </c>
      <c r="X196" s="91">
        <v>72.5</v>
      </c>
      <c r="Y196" s="91">
        <v>14.5</v>
      </c>
      <c r="Z196" s="154">
        <v>46.5</v>
      </c>
      <c r="AA196" s="153">
        <v>0.39930555555555558</v>
      </c>
      <c r="AB196" s="154">
        <v>66.5</v>
      </c>
      <c r="AC196" s="154">
        <v>18.7</v>
      </c>
      <c r="AD196" s="94"/>
      <c r="AE196" s="94">
        <f>Table3.110[[#This Row],[Gas 8h, ml]]-Table3.110[[#This Row],[Gas 0h, ml]]</f>
        <v>30.5</v>
      </c>
      <c r="AF196" s="94">
        <f>Table3.110[[#This Row],[Gas 24h, ml]]-Table3.110[[#This Row],[V8 Push back, ml]]</f>
        <v>20</v>
      </c>
      <c r="AG196" s="94">
        <f>Table3.110[[#This Row],[GP 8h, ml]]-(AVERAGE(AE$116,AE$117,AE$167,AE$166,AE$219,AE$220))*$AG$8</f>
        <v>27.623728042697874</v>
      </c>
      <c r="AH196" s="94">
        <f>Table3.110[[#This Row],[GP 8-24h, ml]]-(AVERAGE(AF$11,AF$12,AF$62,AF$61,AF$114,AF$115))*$AG$8</f>
        <v>16.31247184961266</v>
      </c>
      <c r="AI196" s="94">
        <f>Table3.110[[#This Row],[Net gas 8-24h, ml]]+Table3.110[[#This Row],[Net gas 8h, ml]]</f>
        <v>43.936199892310533</v>
      </c>
      <c r="AJ196" s="94">
        <f>Table3.110[[#This Row],[Net gas 8h, ml]]*Table3.110[[#This Row],[CH4 8h %]]%</f>
        <v>4.0054405661911918</v>
      </c>
      <c r="AK196" s="94">
        <f>Table3.110[[#This Row],[Net gas 8-24h, ml]]*Table3.110[[#This Row],[CH4 24h, %]]%</f>
        <v>3.0504322358775675</v>
      </c>
      <c r="AL196" s="94">
        <f>Table3.110[[#This Row],[CH4 8-24h, ml]]+Table3.110[[#This Row],[CH4 8h, ml]]</f>
        <v>7.0558728020687589</v>
      </c>
      <c r="AM196" s="94">
        <f>(Table3.110[[#This Row],[Net gas 24h, ml]]/Table3.110[[#This Row],[DM Incubated, mg]])*1000</f>
        <v>93.684974533730383</v>
      </c>
      <c r="AN196" s="94">
        <f>'3.2 Digest'!X196</f>
        <v>18.077195333047822</v>
      </c>
      <c r="AO196" s="94">
        <f>Table3.110[[#This Row],[Digested feed, mg]]/Table3.110[[#This Row],[Net gas 24h, ml]]</f>
        <v>1.929572529962027</v>
      </c>
      <c r="AP196" s="94">
        <f>Table3.110[[#This Row],[CH4 8h, ml]]/Table3.110[[#This Row],[Net gas 8h, ml]]%</f>
        <v>14.5</v>
      </c>
      <c r="AQ196" s="94">
        <f>Table3.110[[#This Row],[CH4 24h, ml]]/Table3.110[[#This Row],[Net gas 24h, ml]]%</f>
        <v>16.059360662421874</v>
      </c>
      <c r="AR196" s="94">
        <f>Table3.110[[#This Row],[CH4 24h, ml]]/Table3.110[[#This Row],[DM Incubated, mg]]*1000</f>
        <v>15.045207946869846</v>
      </c>
      <c r="AS196" s="94">
        <f>Table3.110[[#This Row],[CH4 24h, ml]]/Table3.110[[#This Row],[Digested feed, mg]]*1000</f>
        <v>83.227556430531848</v>
      </c>
      <c r="AT196" s="94">
        <f>Table3.110[[#This Row],[CH4 24h, ml]]/'3.2 Digest'!AA196</f>
        <v>-0.42824409946123249</v>
      </c>
      <c r="AU196" s="94">
        <f>((Table3.110[[#This Row],[CH4 24h, ml]]/28.9)*16.04)/Table3.110[[#This Row],[DM Incubated, mg]]*1000</f>
        <v>8.3503507082281079</v>
      </c>
      <c r="AV196" s="94">
        <f>((Table3.110[[#This Row],[CH4 24h, ml]]/28.9)*16.04)/Table3.110[[#This Row],[Digested feed, mg]]*1000</f>
        <v>46.192733742066821</v>
      </c>
      <c r="AW196" s="303"/>
    </row>
    <row r="197" spans="1:49" s="304" customFormat="1" x14ac:dyDescent="0.35">
      <c r="A197" s="89"/>
      <c r="B197" s="90">
        <f t="shared" si="2"/>
        <v>187</v>
      </c>
      <c r="C197" s="140">
        <v>46043</v>
      </c>
      <c r="D197" s="6" t="s">
        <v>16</v>
      </c>
      <c r="E197" s="6" t="s">
        <v>87</v>
      </c>
      <c r="F197" s="133" t="s">
        <v>88</v>
      </c>
      <c r="G197" s="133" t="s">
        <v>89</v>
      </c>
      <c r="H197" s="133" t="s">
        <v>90</v>
      </c>
      <c r="I197" s="6" t="s">
        <v>22</v>
      </c>
      <c r="J197" s="129" t="s">
        <v>23</v>
      </c>
      <c r="K197" s="129" t="s">
        <v>24</v>
      </c>
      <c r="L197" s="6" t="s">
        <v>86</v>
      </c>
      <c r="M197" s="119">
        <v>27</v>
      </c>
      <c r="N197" s="93">
        <v>59</v>
      </c>
      <c r="O197" s="6">
        <v>2</v>
      </c>
      <c r="P197" s="129">
        <v>3</v>
      </c>
      <c r="Q197" s="6">
        <v>35</v>
      </c>
      <c r="R197" s="98">
        <v>0.5</v>
      </c>
      <c r="S197" s="110">
        <f>((Table3.110[[#This Row],[Sample weight, g]]*'2.1. DM'!Q61)/100)*1000</f>
        <v>468.97808438312296</v>
      </c>
      <c r="T197" s="94">
        <f>'3.2 Digest'!W197</f>
        <v>110.57808438312293</v>
      </c>
      <c r="U197" s="117">
        <v>0.38333333333333336</v>
      </c>
      <c r="V197" s="155">
        <v>41</v>
      </c>
      <c r="W197" s="117">
        <v>0.70625000000000004</v>
      </c>
      <c r="X197" s="96">
        <v>69</v>
      </c>
      <c r="Y197" s="96">
        <v>13.5</v>
      </c>
      <c r="Z197" s="155">
        <v>40.5</v>
      </c>
      <c r="AA197" s="117">
        <v>0.39930555555555558</v>
      </c>
      <c r="AB197" s="155">
        <v>60</v>
      </c>
      <c r="AC197" s="155">
        <v>18.2</v>
      </c>
      <c r="AD197" s="94"/>
      <c r="AE197" s="94">
        <f>Table3.110[[#This Row],[Gas 8h, ml]]-Table3.110[[#This Row],[Gas 0h, ml]]</f>
        <v>28</v>
      </c>
      <c r="AF197" s="94">
        <f>Table3.110[[#This Row],[Gas 24h, ml]]-Table3.110[[#This Row],[V8 Push back, ml]]</f>
        <v>19.5</v>
      </c>
      <c r="AG197" s="94">
        <f>Table3.110[[#This Row],[GP 8h, ml]]-(AVERAGE(AE$116,AE$117,AE$167,AE$166,AE$219,AE$220))*$AG$8</f>
        <v>25.123728042697874</v>
      </c>
      <c r="AH197" s="94">
        <f>Table3.110[[#This Row],[GP 8-24h, ml]]-(AVERAGE(AF$11,AF$12,AF$62,AF$61,AF$114,AF$115))*$AG$8</f>
        <v>15.81247184961266</v>
      </c>
      <c r="AI197" s="94">
        <f>Table3.110[[#This Row],[Net gas 8-24h, ml]]+Table3.110[[#This Row],[Net gas 8h, ml]]</f>
        <v>40.936199892310533</v>
      </c>
      <c r="AJ197" s="94">
        <f>Table3.110[[#This Row],[Net gas 8h, ml]]*Table3.110[[#This Row],[CH4 8h %]]%</f>
        <v>3.3917032857642133</v>
      </c>
      <c r="AK197" s="94">
        <f>Table3.110[[#This Row],[Net gas 8-24h, ml]]*Table3.110[[#This Row],[CH4 24h, %]]%</f>
        <v>2.8778698766295041</v>
      </c>
      <c r="AL197" s="94">
        <f>Table3.110[[#This Row],[CH4 8-24h, ml]]+Table3.110[[#This Row],[CH4 8h, ml]]</f>
        <v>6.2695731623937174</v>
      </c>
      <c r="AM197" s="94">
        <f>(Table3.110[[#This Row],[Net gas 24h, ml]]/Table3.110[[#This Row],[DM Incubated, mg]])*1000</f>
        <v>87.288087131313503</v>
      </c>
      <c r="AN197" s="94">
        <f>'3.2 Digest'!X197</f>
        <v>23.578518499126329</v>
      </c>
      <c r="AO197" s="94">
        <f>Table3.110[[#This Row],[Digested feed, mg]]/Table3.110[[#This Row],[Net gas 24h, ml]]</f>
        <v>2.7012298326179991</v>
      </c>
      <c r="AP197" s="94">
        <f>Table3.110[[#This Row],[CH4 8h, ml]]/Table3.110[[#This Row],[Net gas 8h, ml]]%</f>
        <v>13.500000000000002</v>
      </c>
      <c r="AQ197" s="94">
        <f>Table3.110[[#This Row],[CH4 24h, ml]]/Table3.110[[#This Row],[Net gas 24h, ml]]%</f>
        <v>15.315474271883737</v>
      </c>
      <c r="AR197" s="94">
        <f>Table3.110[[#This Row],[CH4 24h, ml]]/Table3.110[[#This Row],[DM Incubated, mg]]*1000</f>
        <v>13.368584527015777</v>
      </c>
      <c r="AS197" s="94">
        <f>Table3.110[[#This Row],[CH4 24h, ml]]/Table3.110[[#This Row],[Digested feed, mg]]*1000</f>
        <v>56.69815314100898</v>
      </c>
      <c r="AT197" s="94">
        <f>Table3.110[[#This Row],[CH4 24h, ml]]/'3.2 Digest'!AA197</f>
        <v>-0.7244200255508253</v>
      </c>
      <c r="AU197" s="94">
        <f>((Table3.110[[#This Row],[CH4 24h, ml]]/28.9)*16.04)/Table3.110[[#This Row],[DM Incubated, mg]]*1000</f>
        <v>7.4197957028834969</v>
      </c>
      <c r="AV197" s="94">
        <f>((Table3.110[[#This Row],[CH4 24h, ml]]/28.9)*16.04)/Table3.110[[#This Row],[Digested feed, mg]]*1000</f>
        <v>31.468455930165533</v>
      </c>
      <c r="AW197" s="303"/>
    </row>
    <row r="198" spans="1:49" s="304" customFormat="1" x14ac:dyDescent="0.35">
      <c r="A198" s="89"/>
      <c r="B198" s="90">
        <f t="shared" si="2"/>
        <v>188</v>
      </c>
      <c r="C198" s="140">
        <v>46043</v>
      </c>
      <c r="D198" s="6" t="s">
        <v>16</v>
      </c>
      <c r="E198" s="6" t="s">
        <v>92</v>
      </c>
      <c r="F198" s="133" t="s">
        <v>79</v>
      </c>
      <c r="G198" s="133" t="s">
        <v>80</v>
      </c>
      <c r="H198" s="133" t="s">
        <v>81</v>
      </c>
      <c r="I198" s="6" t="s">
        <v>22</v>
      </c>
      <c r="J198" s="129" t="s">
        <v>23</v>
      </c>
      <c r="K198" s="129" t="s">
        <v>24</v>
      </c>
      <c r="L198" s="6" t="s">
        <v>91</v>
      </c>
      <c r="M198" s="119">
        <v>27</v>
      </c>
      <c r="N198" s="93">
        <v>59</v>
      </c>
      <c r="O198" s="6">
        <v>2</v>
      </c>
      <c r="P198" s="129">
        <v>1</v>
      </c>
      <c r="Q198" s="6">
        <v>36</v>
      </c>
      <c r="R198" s="98">
        <v>0.50019999999999998</v>
      </c>
      <c r="S198" s="94">
        <f>((Table3.110[[#This Row],[Sample weight, g]]*'2.1. DM'!Q63)/100)*1000</f>
        <v>465.05702578452906</v>
      </c>
      <c r="T198" s="94">
        <f>'3.2 Digest'!W198</f>
        <v>233.05702578452909</v>
      </c>
      <c r="U198" s="153">
        <v>0.38333333333333336</v>
      </c>
      <c r="V198" s="155">
        <v>40.5</v>
      </c>
      <c r="W198" s="153">
        <v>0.70694444444444449</v>
      </c>
      <c r="X198" s="91">
        <v>58.5</v>
      </c>
      <c r="Y198" s="91">
        <v>9.8000000000000007</v>
      </c>
      <c r="Z198" s="154">
        <v>40.5</v>
      </c>
      <c r="AA198" s="153">
        <v>0.4</v>
      </c>
      <c r="AB198" s="154">
        <v>53.5</v>
      </c>
      <c r="AC198" s="154">
        <v>5.9</v>
      </c>
      <c r="AD198" s="94"/>
      <c r="AE198" s="94">
        <f>Table3.110[[#This Row],[Gas 8h, ml]]-Table3.110[[#This Row],[Gas 0h, ml]]</f>
        <v>18</v>
      </c>
      <c r="AF198" s="94">
        <f>Table3.110[[#This Row],[Gas 24h, ml]]-Table3.110[[#This Row],[V8 Push back, ml]]</f>
        <v>13</v>
      </c>
      <c r="AG198" s="94">
        <f>Table3.110[[#This Row],[GP 8h, ml]]-(AVERAGE(AE$116,AE$117,AE$167,AE$166,AE$219,AE$220))*$AG$8</f>
        <v>15.123728042697875</v>
      </c>
      <c r="AH198" s="94">
        <f>Table3.110[[#This Row],[GP 8-24h, ml]]-(AVERAGE(AF$11,AF$12,AF$62,AF$61,AF$114,AF$115))*$AG$8</f>
        <v>9.3124718496126597</v>
      </c>
      <c r="AI198" s="94">
        <f>Table3.110[[#This Row],[Net gas 8-24h, ml]]+Table3.110[[#This Row],[Net gas 8h, ml]]</f>
        <v>24.436199892310533</v>
      </c>
      <c r="AJ198" s="94">
        <f>Table3.110[[#This Row],[Net gas 8h, ml]]*Table3.110[[#This Row],[CH4 8h %]]%</f>
        <v>1.4821253481843919</v>
      </c>
      <c r="AK198" s="94">
        <f>Table3.110[[#This Row],[Net gas 8-24h, ml]]*Table3.110[[#This Row],[CH4 24h, %]]%</f>
        <v>0.549435839127147</v>
      </c>
      <c r="AL198" s="94">
        <f>Table3.110[[#This Row],[CH4 8-24h, ml]]+Table3.110[[#This Row],[CH4 8h, ml]]</f>
        <v>2.0315611873115387</v>
      </c>
      <c r="AM198" s="94">
        <f>(Table3.110[[#This Row],[Net gas 24h, ml]]/Table3.110[[#This Row],[DM Incubated, mg]])*1000</f>
        <v>52.544523655110524</v>
      </c>
      <c r="AN198" s="94">
        <f>'3.2 Digest'!X198</f>
        <v>50.113644749560116</v>
      </c>
      <c r="AO198" s="94">
        <f>Table3.110[[#This Row],[Digested feed, mg]]/Table3.110[[#This Row],[Net gas 24h, ml]]</f>
        <v>9.5373677908841454</v>
      </c>
      <c r="AP198" s="94">
        <f>Table3.110[[#This Row],[CH4 8h, ml]]/Table3.110[[#This Row],[Net gas 8h, ml]]%</f>
        <v>9.8000000000000007</v>
      </c>
      <c r="AQ198" s="94">
        <f>Table3.110[[#This Row],[CH4 24h, ml]]/Table3.110[[#This Row],[Net gas 24h, ml]]%</f>
        <v>8.3137361630063467</v>
      </c>
      <c r="AR198" s="94">
        <f>Table3.110[[#This Row],[CH4 24h, ml]]/Table3.110[[#This Row],[DM Incubated, mg]]*1000</f>
        <v>4.368413064794348</v>
      </c>
      <c r="AS198" s="94">
        <f>Table3.110[[#This Row],[CH4 24h, ml]]/Table3.110[[#This Row],[Digested feed, mg]]*1000</f>
        <v>8.7170132737804771</v>
      </c>
      <c r="AT198" s="94">
        <f>Table3.110[[#This Row],[CH4 24h, ml]]/'3.2 Digest'!AA198</f>
        <v>-0.8826993889554331</v>
      </c>
      <c r="AU198" s="94">
        <f>((Table3.110[[#This Row],[CH4 24h, ml]]/28.9)*16.04)/Table3.110[[#This Row],[DM Incubated, mg]]*1000</f>
        <v>2.4245448290415688</v>
      </c>
      <c r="AV198" s="94">
        <f>((Table3.110[[#This Row],[CH4 24h, ml]]/28.9)*16.04)/Table3.110[[#This Row],[Digested feed, mg]]*1000</f>
        <v>4.8380931803266032</v>
      </c>
      <c r="AW198" s="303"/>
    </row>
    <row r="199" spans="1:49" s="304" customFormat="1" x14ac:dyDescent="0.35">
      <c r="A199" s="89"/>
      <c r="B199" s="90">
        <f t="shared" si="2"/>
        <v>189</v>
      </c>
      <c r="C199" s="140">
        <v>46043</v>
      </c>
      <c r="D199" s="6" t="s">
        <v>16</v>
      </c>
      <c r="E199" s="6" t="s">
        <v>92</v>
      </c>
      <c r="F199" s="133" t="s">
        <v>79</v>
      </c>
      <c r="G199" s="133" t="s">
        <v>80</v>
      </c>
      <c r="H199" s="133" t="s">
        <v>81</v>
      </c>
      <c r="I199" s="6" t="s">
        <v>22</v>
      </c>
      <c r="J199" s="129" t="s">
        <v>23</v>
      </c>
      <c r="K199" s="129" t="s">
        <v>24</v>
      </c>
      <c r="L199" s="6" t="s">
        <v>91</v>
      </c>
      <c r="M199" s="119">
        <v>27</v>
      </c>
      <c r="N199" s="93">
        <v>59</v>
      </c>
      <c r="O199" s="6">
        <v>2</v>
      </c>
      <c r="P199" s="129">
        <v>2</v>
      </c>
      <c r="Q199" s="6">
        <v>37</v>
      </c>
      <c r="R199" s="98">
        <v>0.50019999999999998</v>
      </c>
      <c r="S199" s="110">
        <f>((Table3.110[[#This Row],[Sample weight, g]]*'2.1. DM'!Q63)/100)*1000</f>
        <v>465.05702578452906</v>
      </c>
      <c r="T199" s="94">
        <f>'3.2 Digest'!W199</f>
        <v>275.25702578452899</v>
      </c>
      <c r="U199" s="117">
        <v>0.3840277777777778</v>
      </c>
      <c r="V199" s="155">
        <v>40.5</v>
      </c>
      <c r="W199" s="117">
        <v>0.70694444444444449</v>
      </c>
      <c r="X199" s="96">
        <v>59.5</v>
      </c>
      <c r="Y199" s="96">
        <v>8.6</v>
      </c>
      <c r="Z199" s="155">
        <v>40</v>
      </c>
      <c r="AA199" s="117">
        <v>0.4</v>
      </c>
      <c r="AB199" s="155">
        <v>53.5</v>
      </c>
      <c r="AC199" s="155">
        <v>2</v>
      </c>
      <c r="AD199" s="94"/>
      <c r="AE199" s="94">
        <f>Table3.110[[#This Row],[Gas 8h, ml]]-Table3.110[[#This Row],[Gas 0h, ml]]</f>
        <v>19</v>
      </c>
      <c r="AF199" s="94">
        <f>Table3.110[[#This Row],[Gas 24h, ml]]-Table3.110[[#This Row],[V8 Push back, ml]]</f>
        <v>13.5</v>
      </c>
      <c r="AG199" s="94">
        <f>Table3.110[[#This Row],[GP 8h, ml]]-(AVERAGE(AE$116,AE$117,AE$167,AE$166,AE$219,AE$220))*$AG$8</f>
        <v>16.123728042697874</v>
      </c>
      <c r="AH199" s="94">
        <f>Table3.110[[#This Row],[GP 8-24h, ml]]-(AVERAGE(AF$11,AF$12,AF$62,AF$61,AF$114,AF$115))*$AG$8</f>
        <v>9.8124718496126597</v>
      </c>
      <c r="AI199" s="94">
        <f>Table3.110[[#This Row],[Net gas 8-24h, ml]]+Table3.110[[#This Row],[Net gas 8h, ml]]</f>
        <v>25.936199892310533</v>
      </c>
      <c r="AJ199" s="94">
        <f>Table3.110[[#This Row],[Net gas 8h, ml]]*Table3.110[[#This Row],[CH4 8h %]]%</f>
        <v>1.3866406116720169</v>
      </c>
      <c r="AK199" s="94">
        <f>Table3.110[[#This Row],[Net gas 8-24h, ml]]*Table3.110[[#This Row],[CH4 24h, %]]%</f>
        <v>0.1962494369922532</v>
      </c>
      <c r="AL199" s="94">
        <f>Table3.110[[#This Row],[CH4 8-24h, ml]]+Table3.110[[#This Row],[CH4 8h, ml]]</f>
        <v>1.5828900486642701</v>
      </c>
      <c r="AM199" s="94">
        <f>(Table3.110[[#This Row],[Net gas 24h, ml]]/Table3.110[[#This Row],[DM Incubated, mg]])*1000</f>
        <v>55.769934554923445</v>
      </c>
      <c r="AN199" s="94">
        <f>'3.2 Digest'!X199</f>
        <v>59.187800747700457</v>
      </c>
      <c r="AO199" s="94">
        <f>Table3.110[[#This Row],[Digested feed, mg]]/Table3.110[[#This Row],[Net gas 24h, ml]]</f>
        <v>10.61285103166313</v>
      </c>
      <c r="AP199" s="94">
        <f>Table3.110[[#This Row],[CH4 8h, ml]]/Table3.110[[#This Row],[Net gas 8h, ml]]%</f>
        <v>8.5999999999999979</v>
      </c>
      <c r="AQ199" s="94">
        <f>Table3.110[[#This Row],[CH4 24h, ml]]/Table3.110[[#This Row],[Net gas 24h, ml]]%</f>
        <v>6.1030145327248162</v>
      </c>
      <c r="AR199" s="94">
        <f>Table3.110[[#This Row],[CH4 24h, ml]]/Table3.110[[#This Row],[DM Incubated, mg]]*1000</f>
        <v>3.4036472107780975</v>
      </c>
      <c r="AS199" s="94">
        <f>Table3.110[[#This Row],[CH4 24h, ml]]/Table3.110[[#This Row],[Digested feed, mg]]*1000</f>
        <v>5.7505890872458796</v>
      </c>
      <c r="AT199" s="94">
        <f>Table3.110[[#This Row],[CH4 24h, ml]]/'3.2 Digest'!AA199</f>
        <v>9.7069540249934846E-2</v>
      </c>
      <c r="AU199" s="94">
        <f>((Table3.110[[#This Row],[CH4 24h, ml]]/28.9)*16.04)/Table3.110[[#This Row],[DM Incubated, mg]]*1000</f>
        <v>1.8890830886117884</v>
      </c>
      <c r="AV199" s="94">
        <f>((Table3.110[[#This Row],[CH4 24h, ml]]/28.9)*16.04)/Table3.110[[#This Row],[Digested feed, mg]]*1000</f>
        <v>3.191676434582142</v>
      </c>
      <c r="AW199" s="303"/>
    </row>
    <row r="200" spans="1:49" s="304" customFormat="1" x14ac:dyDescent="0.35">
      <c r="A200" s="89"/>
      <c r="B200" s="90">
        <f t="shared" si="2"/>
        <v>190</v>
      </c>
      <c r="C200" s="140">
        <v>46043</v>
      </c>
      <c r="D200" s="6" t="s">
        <v>16</v>
      </c>
      <c r="E200" s="6" t="s">
        <v>92</v>
      </c>
      <c r="F200" s="133" t="s">
        <v>79</v>
      </c>
      <c r="G200" s="133" t="s">
        <v>80</v>
      </c>
      <c r="H200" s="133" t="s">
        <v>81</v>
      </c>
      <c r="I200" s="6" t="s">
        <v>22</v>
      </c>
      <c r="J200" s="129" t="s">
        <v>23</v>
      </c>
      <c r="K200" s="129" t="s">
        <v>24</v>
      </c>
      <c r="L200" s="6" t="s">
        <v>91</v>
      </c>
      <c r="M200" s="119">
        <v>27</v>
      </c>
      <c r="N200" s="93">
        <v>59</v>
      </c>
      <c r="O200" s="6">
        <v>2</v>
      </c>
      <c r="P200" s="129">
        <v>3</v>
      </c>
      <c r="Q200" s="6">
        <v>38</v>
      </c>
      <c r="R200" s="98">
        <v>0.50019999999999998</v>
      </c>
      <c r="S200" s="94">
        <f>((Table3.110[[#This Row],[Sample weight, g]]*'2.1. DM'!Q63)/100)*1000</f>
        <v>465.05702578452906</v>
      </c>
      <c r="T200" s="94">
        <f>'3.2 Digest'!W200</f>
        <v>217.55702578452912</v>
      </c>
      <c r="U200" s="153">
        <v>0.3840277777777778</v>
      </c>
      <c r="V200" s="155">
        <v>40.5</v>
      </c>
      <c r="W200" s="153">
        <v>0.70763888888888893</v>
      </c>
      <c r="X200" s="91">
        <v>58.5</v>
      </c>
      <c r="Y200" s="91">
        <v>8.9</v>
      </c>
      <c r="Z200" s="154">
        <v>40</v>
      </c>
      <c r="AA200" s="153">
        <v>0.40069444444444446</v>
      </c>
      <c r="AB200" s="154">
        <v>54</v>
      </c>
      <c r="AC200" s="154">
        <v>1.1000000000000001</v>
      </c>
      <c r="AD200" s="94"/>
      <c r="AE200" s="94">
        <f>Table3.110[[#This Row],[Gas 8h, ml]]-Table3.110[[#This Row],[Gas 0h, ml]]</f>
        <v>18</v>
      </c>
      <c r="AF200" s="94">
        <f>Table3.110[[#This Row],[Gas 24h, ml]]-Table3.110[[#This Row],[V8 Push back, ml]]</f>
        <v>14</v>
      </c>
      <c r="AG200" s="94">
        <f>Table3.110[[#This Row],[GP 8h, ml]]-(AVERAGE(AE$116,AE$117,AE$167,AE$166,AE$219,AE$220))*$AG$8</f>
        <v>15.123728042697875</v>
      </c>
      <c r="AH200" s="94">
        <f>Table3.110[[#This Row],[GP 8-24h, ml]]-(AVERAGE(AF$11,AF$12,AF$62,AF$61,AF$114,AF$115))*$AG$8</f>
        <v>10.31247184961266</v>
      </c>
      <c r="AI200" s="94">
        <f>Table3.110[[#This Row],[Net gas 8-24h, ml]]+Table3.110[[#This Row],[Net gas 8h, ml]]</f>
        <v>25.436199892310533</v>
      </c>
      <c r="AJ200" s="94">
        <f>Table3.110[[#This Row],[Net gas 8h, ml]]*Table3.110[[#This Row],[CH4 8h %]]%</f>
        <v>1.346011795800111</v>
      </c>
      <c r="AK200" s="94">
        <f>Table3.110[[#This Row],[Net gas 8-24h, ml]]*Table3.110[[#This Row],[CH4 24h, %]]%</f>
        <v>0.11343719034573926</v>
      </c>
      <c r="AL200" s="94">
        <f>Table3.110[[#This Row],[CH4 8-24h, ml]]+Table3.110[[#This Row],[CH4 8h, ml]]</f>
        <v>1.4594489861458502</v>
      </c>
      <c r="AM200" s="94">
        <f>(Table3.110[[#This Row],[Net gas 24h, ml]]/Table3.110[[#This Row],[DM Incubated, mg]])*1000</f>
        <v>54.69479758831914</v>
      </c>
      <c r="AN200" s="94">
        <f>'3.2 Digest'!X200</f>
        <v>46.780720153086769</v>
      </c>
      <c r="AO200" s="94">
        <f>Table3.110[[#This Row],[Digested feed, mg]]/Table3.110[[#This Row],[Net gas 24h, ml]]</f>
        <v>8.5530474955222182</v>
      </c>
      <c r="AP200" s="94">
        <f>Table3.110[[#This Row],[CH4 8h, ml]]/Table3.110[[#This Row],[Net gas 8h, ml]]%</f>
        <v>8.9</v>
      </c>
      <c r="AQ200" s="94">
        <f>Table3.110[[#This Row],[CH4 24h, ml]]/Table3.110[[#This Row],[Net gas 24h, ml]]%</f>
        <v>5.7376848441384025</v>
      </c>
      <c r="AR200" s="94">
        <f>Table3.110[[#This Row],[CH4 24h, ml]]/Table3.110[[#This Row],[DM Incubated, mg]]*1000</f>
        <v>3.1382151117571642</v>
      </c>
      <c r="AS200" s="94">
        <f>Table3.110[[#This Row],[CH4 24h, ml]]/Table3.110[[#This Row],[Digested feed, mg]]*1000</f>
        <v>6.7083514351373079</v>
      </c>
      <c r="AT200" s="94">
        <f>Table3.110[[#This Row],[CH4 24h, ml]]/'3.2 Digest'!AA200</f>
        <v>-0.15974122090047221</v>
      </c>
      <c r="AU200" s="94">
        <f>((Table3.110[[#This Row],[CH4 24h, ml]]/28.9)*16.04)/Table3.110[[#This Row],[DM Incubated, mg]]*1000</f>
        <v>1.7417636814043223</v>
      </c>
      <c r="AV200" s="94">
        <f>((Table3.110[[#This Row],[CH4 24h, ml]]/28.9)*16.04)/Table3.110[[#This Row],[Digested feed, mg]]*1000</f>
        <v>3.7232511079447201</v>
      </c>
      <c r="AW200" s="303"/>
    </row>
    <row r="201" spans="1:49" s="304" customFormat="1" x14ac:dyDescent="0.35">
      <c r="A201" s="89"/>
      <c r="B201" s="90">
        <f t="shared" si="2"/>
        <v>191</v>
      </c>
      <c r="C201" s="140">
        <v>46043</v>
      </c>
      <c r="D201" s="6" t="s">
        <v>16</v>
      </c>
      <c r="E201" s="6" t="s">
        <v>94</v>
      </c>
      <c r="F201" s="133" t="s">
        <v>19</v>
      </c>
      <c r="G201" s="133" t="s">
        <v>29</v>
      </c>
      <c r="H201" s="133" t="s">
        <v>30</v>
      </c>
      <c r="I201" s="6" t="s">
        <v>22</v>
      </c>
      <c r="J201" s="129" t="s">
        <v>23</v>
      </c>
      <c r="K201" s="129" t="s">
        <v>24</v>
      </c>
      <c r="L201" s="6" t="s">
        <v>93</v>
      </c>
      <c r="M201" s="119">
        <v>27</v>
      </c>
      <c r="N201" s="93">
        <v>59</v>
      </c>
      <c r="O201" s="6">
        <v>2</v>
      </c>
      <c r="P201" s="129">
        <v>1</v>
      </c>
      <c r="Q201" s="6">
        <v>39</v>
      </c>
      <c r="R201" s="98">
        <v>0.50039999999999996</v>
      </c>
      <c r="S201" s="94">
        <f>((Table3.110[[#This Row],[Sample weight, g]]*'2.1. DM'!Q65)/100)*1000</f>
        <v>473.36553418812366</v>
      </c>
      <c r="T201" s="94">
        <f>'3.2 Digest'!W201</f>
        <v>71.265534188123638</v>
      </c>
      <c r="U201" s="117">
        <v>0.3840277777777778</v>
      </c>
      <c r="V201" s="155">
        <v>40.5</v>
      </c>
      <c r="W201" s="117">
        <v>0.70763888888888893</v>
      </c>
      <c r="X201" s="96">
        <v>60</v>
      </c>
      <c r="Y201" s="96">
        <v>13.4</v>
      </c>
      <c r="Z201" s="155">
        <v>40.5</v>
      </c>
      <c r="AA201" s="117">
        <v>0.40138888888888891</v>
      </c>
      <c r="AB201" s="155">
        <v>54</v>
      </c>
      <c r="AC201" s="155">
        <v>9.1999999999999993</v>
      </c>
      <c r="AD201" s="94"/>
      <c r="AE201" s="94">
        <f>Table3.110[[#This Row],[Gas 8h, ml]]-Table3.110[[#This Row],[Gas 0h, ml]]</f>
        <v>19.5</v>
      </c>
      <c r="AF201" s="94">
        <f>Table3.110[[#This Row],[Gas 24h, ml]]-Table3.110[[#This Row],[V8 Push back, ml]]</f>
        <v>13.5</v>
      </c>
      <c r="AG201" s="94">
        <f>Table3.110[[#This Row],[GP 8h, ml]]-(AVERAGE(AE$116,AE$117,AE$167,AE$166,AE$219,AE$220))*$AG$8</f>
        <v>16.623728042697874</v>
      </c>
      <c r="AH201" s="94">
        <f>Table3.110[[#This Row],[GP 8-24h, ml]]-(AVERAGE(AF$11,AF$12,AF$62,AF$61,AF$114,AF$115))*$AG$8</f>
        <v>9.8124718496126597</v>
      </c>
      <c r="AI201" s="94">
        <f>Table3.110[[#This Row],[Net gas 8-24h, ml]]+Table3.110[[#This Row],[Net gas 8h, ml]]</f>
        <v>26.436199892310533</v>
      </c>
      <c r="AJ201" s="94">
        <f>Table3.110[[#This Row],[Net gas 8h, ml]]*Table3.110[[#This Row],[CH4 8h %]]%</f>
        <v>2.2275795577215152</v>
      </c>
      <c r="AK201" s="94">
        <f>Table3.110[[#This Row],[Net gas 8-24h, ml]]*Table3.110[[#This Row],[CH4 24h, %]]%</f>
        <v>0.90274741016436466</v>
      </c>
      <c r="AL201" s="94">
        <f>Table3.110[[#This Row],[CH4 8-24h, ml]]+Table3.110[[#This Row],[CH4 8h, ml]]</f>
        <v>3.1303269678858801</v>
      </c>
      <c r="AM201" s="94">
        <f>(Table3.110[[#This Row],[Net gas 24h, ml]]/Table3.110[[#This Row],[DM Incubated, mg]])*1000</f>
        <v>55.847327240779492</v>
      </c>
      <c r="AN201" s="94">
        <f>'3.2 Digest'!X201</f>
        <v>15.055074575793151</v>
      </c>
      <c r="AO201" s="94">
        <f>Table3.110[[#This Row],[Digested feed, mg]]/Table3.110[[#This Row],[Net gas 24h, ml]]</f>
        <v>2.6957556108074581</v>
      </c>
      <c r="AP201" s="94">
        <f>Table3.110[[#This Row],[CH4 8h, ml]]/Table3.110[[#This Row],[Net gas 8h, ml]]%</f>
        <v>13.4</v>
      </c>
      <c r="AQ201" s="94">
        <f>Table3.110[[#This Row],[CH4 24h, ml]]/Table3.110[[#This Row],[Net gas 24h, ml]]%</f>
        <v>11.841062560570192</v>
      </c>
      <c r="AR201" s="94">
        <f>Table3.110[[#This Row],[CH4 24h, ml]]/Table3.110[[#This Row],[DM Incubated, mg]]*1000</f>
        <v>6.6129169569870578</v>
      </c>
      <c r="AS201" s="94">
        <f>Table3.110[[#This Row],[CH4 24h, ml]]/Table3.110[[#This Row],[Digested feed, mg]]*1000</f>
        <v>43.92483692920311</v>
      </c>
      <c r="AT201" s="94">
        <f>Table3.110[[#This Row],[CH4 24h, ml]]/'3.2 Digest'!AA201</f>
        <v>-8.3596969985278269E-2</v>
      </c>
      <c r="AU201" s="94">
        <f>((Table3.110[[#This Row],[CH4 24h, ml]]/28.9)*16.04)/Table3.110[[#This Row],[DM Incubated, mg]]*1000</f>
        <v>3.6702833214557931</v>
      </c>
      <c r="AV201" s="94">
        <f>((Table3.110[[#This Row],[CH4 24h, ml]]/28.9)*16.04)/Table3.110[[#This Row],[Digested feed, mg]]*1000</f>
        <v>24.379044440983318</v>
      </c>
      <c r="AW201" s="303"/>
    </row>
    <row r="202" spans="1:49" s="304" customFormat="1" x14ac:dyDescent="0.35">
      <c r="A202" s="89"/>
      <c r="B202" s="90">
        <f t="shared" si="2"/>
        <v>192</v>
      </c>
      <c r="C202" s="140">
        <v>46043</v>
      </c>
      <c r="D202" s="6" t="s">
        <v>16</v>
      </c>
      <c r="E202" s="6" t="s">
        <v>94</v>
      </c>
      <c r="F202" s="133" t="s">
        <v>19</v>
      </c>
      <c r="G202" s="133" t="s">
        <v>29</v>
      </c>
      <c r="H202" s="133" t="s">
        <v>30</v>
      </c>
      <c r="I202" s="6" t="s">
        <v>22</v>
      </c>
      <c r="J202" s="129" t="s">
        <v>23</v>
      </c>
      <c r="K202" s="129" t="s">
        <v>24</v>
      </c>
      <c r="L202" s="6" t="s">
        <v>93</v>
      </c>
      <c r="M202" s="119">
        <v>27</v>
      </c>
      <c r="N202" s="93">
        <v>59</v>
      </c>
      <c r="O202" s="6">
        <v>2</v>
      </c>
      <c r="P202" s="129">
        <v>2</v>
      </c>
      <c r="Q202" s="6">
        <v>40</v>
      </c>
      <c r="R202" s="98">
        <v>0.50039999999999996</v>
      </c>
      <c r="S202" s="94">
        <f>((Table3.110[[#This Row],[Sample weight, g]]*'2.1. DM'!Q65)/100)*1000</f>
        <v>473.36553418812366</v>
      </c>
      <c r="T202" s="94">
        <f>'3.2 Digest'!W202</f>
        <v>109.56553418812365</v>
      </c>
      <c r="U202" s="153">
        <v>0.38472222222222224</v>
      </c>
      <c r="V202" s="155">
        <v>41</v>
      </c>
      <c r="W202" s="153">
        <v>0.70833333333333337</v>
      </c>
      <c r="X202" s="91">
        <v>63</v>
      </c>
      <c r="Y202" s="91">
        <v>12.3</v>
      </c>
      <c r="Z202" s="154">
        <v>40</v>
      </c>
      <c r="AA202" s="153">
        <v>0.40208333333333335</v>
      </c>
      <c r="AB202" s="154">
        <v>53</v>
      </c>
      <c r="AC202" s="154">
        <v>15.6</v>
      </c>
      <c r="AD202" s="94"/>
      <c r="AE202" s="94">
        <f>Table3.110[[#This Row],[Gas 8h, ml]]-Table3.110[[#This Row],[Gas 0h, ml]]</f>
        <v>22</v>
      </c>
      <c r="AF202" s="94">
        <f>Table3.110[[#This Row],[Gas 24h, ml]]-Table3.110[[#This Row],[V8 Push back, ml]]</f>
        <v>13</v>
      </c>
      <c r="AG202" s="94">
        <f>Table3.110[[#This Row],[GP 8h, ml]]-(AVERAGE(AE$116,AE$117,AE$167,AE$166,AE$219,AE$220))*$AG$8</f>
        <v>19.123728042697874</v>
      </c>
      <c r="AH202" s="94">
        <f>Table3.110[[#This Row],[GP 8-24h, ml]]-(AVERAGE(AF$11,AF$12,AF$62,AF$61,AF$114,AF$115))*$AG$8</f>
        <v>9.3124718496126597</v>
      </c>
      <c r="AI202" s="94">
        <f>Table3.110[[#This Row],[Net gas 8-24h, ml]]+Table3.110[[#This Row],[Net gas 8h, ml]]</f>
        <v>28.436199892310533</v>
      </c>
      <c r="AJ202" s="94">
        <f>Table3.110[[#This Row],[Net gas 8h, ml]]*Table3.110[[#This Row],[CH4 8h %]]%</f>
        <v>2.3522185492518388</v>
      </c>
      <c r="AK202" s="94">
        <f>Table3.110[[#This Row],[Net gas 8-24h, ml]]*Table3.110[[#This Row],[CH4 24h, %]]%</f>
        <v>1.4527456085395749</v>
      </c>
      <c r="AL202" s="94">
        <f>Table3.110[[#This Row],[CH4 8-24h, ml]]+Table3.110[[#This Row],[CH4 8h, ml]]</f>
        <v>3.8049641577914137</v>
      </c>
      <c r="AM202" s="94">
        <f>(Table3.110[[#This Row],[Net gas 24h, ml]]/Table3.110[[#This Row],[DM Incubated, mg]])*1000</f>
        <v>60.072391922411271</v>
      </c>
      <c r="AN202" s="94">
        <f>'3.2 Digest'!X202</f>
        <v>23.146073441118002</v>
      </c>
      <c r="AO202" s="94">
        <f>Table3.110[[#This Row],[Digested feed, mg]]/Table3.110[[#This Row],[Net gas 24h, ml]]</f>
        <v>3.853030102582427</v>
      </c>
      <c r="AP202" s="94">
        <f>Table3.110[[#This Row],[CH4 8h, ml]]/Table3.110[[#This Row],[Net gas 8h, ml]]%</f>
        <v>12.300000000000002</v>
      </c>
      <c r="AQ202" s="94">
        <f>Table3.110[[#This Row],[CH4 24h, ml]]/Table3.110[[#This Row],[Net gas 24h, ml]]%</f>
        <v>13.380705481748702</v>
      </c>
      <c r="AR202" s="94">
        <f>Table3.110[[#This Row],[CH4 24h, ml]]/Table3.110[[#This Row],[DM Incubated, mg]]*1000</f>
        <v>8.038109838979647</v>
      </c>
      <c r="AS202" s="94">
        <f>Table3.110[[#This Row],[CH4 24h, ml]]/Table3.110[[#This Row],[Digested feed, mg]]*1000</f>
        <v>34.727747060113842</v>
      </c>
      <c r="AT202" s="94">
        <f>Table3.110[[#This Row],[CH4 24h, ml]]/'3.2 Digest'!AA202</f>
        <v>-0.15623705559737677</v>
      </c>
      <c r="AU202" s="94">
        <f>((Table3.110[[#This Row],[CH4 24h, ml]]/28.9)*16.04)/Table3.110[[#This Row],[DM Incubated, mg]]*1000</f>
        <v>4.4612900282779773</v>
      </c>
      <c r="AV202" s="94">
        <f>((Table3.110[[#This Row],[CH4 24h, ml]]/28.9)*16.04)/Table3.110[[#This Row],[Digested feed, mg]]*1000</f>
        <v>19.274500444436882</v>
      </c>
      <c r="AW202" s="303"/>
    </row>
    <row r="203" spans="1:49" s="304" customFormat="1" x14ac:dyDescent="0.35">
      <c r="A203" s="89"/>
      <c r="B203" s="90">
        <f t="shared" si="2"/>
        <v>193</v>
      </c>
      <c r="C203" s="140">
        <v>46043</v>
      </c>
      <c r="D203" s="6" t="s">
        <v>16</v>
      </c>
      <c r="E203" s="6" t="s">
        <v>94</v>
      </c>
      <c r="F203" s="133" t="s">
        <v>19</v>
      </c>
      <c r="G203" s="133" t="s">
        <v>29</v>
      </c>
      <c r="H203" s="133" t="s">
        <v>30</v>
      </c>
      <c r="I203" s="6" t="s">
        <v>22</v>
      </c>
      <c r="J203" s="129" t="s">
        <v>23</v>
      </c>
      <c r="K203" s="129" t="s">
        <v>24</v>
      </c>
      <c r="L203" s="6" t="s">
        <v>93</v>
      </c>
      <c r="M203" s="119">
        <v>27</v>
      </c>
      <c r="N203" s="93">
        <v>59</v>
      </c>
      <c r="O203" s="6">
        <v>2</v>
      </c>
      <c r="P203" s="129">
        <v>3</v>
      </c>
      <c r="Q203" s="6">
        <v>41</v>
      </c>
      <c r="R203" s="98">
        <v>0.50029999999999997</v>
      </c>
      <c r="S203" s="94">
        <f>((Table3.110[[#This Row],[Sample weight, g]]*'2.1. DM'!Q65)/100)*1000</f>
        <v>473.27093675922913</v>
      </c>
      <c r="T203" s="94">
        <f>'3.2 Digest'!W203</f>
        <v>93.170936759229164</v>
      </c>
      <c r="U203" s="117">
        <v>0.38472222222222224</v>
      </c>
      <c r="V203" s="155">
        <v>41</v>
      </c>
      <c r="W203" s="117">
        <v>0.70902777777777781</v>
      </c>
      <c r="X203" s="96">
        <v>61.5</v>
      </c>
      <c r="Y203" s="96">
        <v>12.5</v>
      </c>
      <c r="Z203" s="155">
        <v>40</v>
      </c>
      <c r="AA203" s="117">
        <v>0.40208333333333335</v>
      </c>
      <c r="AB203" s="155">
        <v>54</v>
      </c>
      <c r="AC203" s="155">
        <v>15.8</v>
      </c>
      <c r="AD203" s="94"/>
      <c r="AE203" s="94">
        <f>Table3.110[[#This Row],[Gas 8h, ml]]-Table3.110[[#This Row],[Gas 0h, ml]]</f>
        <v>20.5</v>
      </c>
      <c r="AF203" s="94">
        <f>Table3.110[[#This Row],[Gas 24h, ml]]-Table3.110[[#This Row],[V8 Push back, ml]]</f>
        <v>14</v>
      </c>
      <c r="AG203" s="94">
        <f>Table3.110[[#This Row],[GP 8h, ml]]-(AVERAGE(AE$116,AE$117,AE$167,AE$166,AE$219,AE$220))*$AG$8</f>
        <v>17.623728042697874</v>
      </c>
      <c r="AH203" s="94">
        <f>Table3.110[[#This Row],[GP 8-24h, ml]]-(AVERAGE(AF$11,AF$12,AF$62,AF$61,AF$114,AF$115))*$AG$8</f>
        <v>10.31247184961266</v>
      </c>
      <c r="AI203" s="94">
        <f>Table3.110[[#This Row],[Net gas 8-24h, ml]]+Table3.110[[#This Row],[Net gas 8h, ml]]</f>
        <v>27.936199892310533</v>
      </c>
      <c r="AJ203" s="94">
        <f>Table3.110[[#This Row],[Net gas 8h, ml]]*Table3.110[[#This Row],[CH4 8h %]]%</f>
        <v>2.2029660053372342</v>
      </c>
      <c r="AK203" s="94">
        <f>Table3.110[[#This Row],[Net gas 8-24h, ml]]*Table3.110[[#This Row],[CH4 24h, %]]%</f>
        <v>1.6293705522388002</v>
      </c>
      <c r="AL203" s="94">
        <f>Table3.110[[#This Row],[CH4 8-24h, ml]]+Table3.110[[#This Row],[CH4 8h, ml]]</f>
        <v>3.8323365575760344</v>
      </c>
      <c r="AM203" s="94">
        <f>(Table3.110[[#This Row],[Net gas 24h, ml]]/Table3.110[[#This Row],[DM Incubated, mg]])*1000</f>
        <v>59.027921899465248</v>
      </c>
      <c r="AN203" s="94">
        <f>'3.2 Digest'!X203</f>
        <v>19.6865958846378</v>
      </c>
      <c r="AO203" s="94">
        <f>Table3.110[[#This Row],[Digested feed, mg]]/Table3.110[[#This Row],[Net gas 24h, ml]]</f>
        <v>3.3351328068380037</v>
      </c>
      <c r="AP203" s="94">
        <f>Table3.110[[#This Row],[CH4 8h, ml]]/Table3.110[[#This Row],[Net gas 8h, ml]]%</f>
        <v>12.5</v>
      </c>
      <c r="AQ203" s="94">
        <f>Table3.110[[#This Row],[CH4 24h, ml]]/Table3.110[[#This Row],[Net gas 24h, ml]]%</f>
        <v>13.718174169532947</v>
      </c>
      <c r="AR203" s="94">
        <f>Table3.110[[#This Row],[CH4 24h, ml]]/Table3.110[[#This Row],[DM Incubated, mg]]*1000</f>
        <v>8.0975531348245227</v>
      </c>
      <c r="AS203" s="94">
        <f>Table3.110[[#This Row],[CH4 24h, ml]]/Table3.110[[#This Row],[Digested feed, mg]]*1000</f>
        <v>41.132317553911655</v>
      </c>
      <c r="AT203" s="94">
        <f>Table3.110[[#This Row],[CH4 24h, ml]]/'3.2 Digest'!AA203</f>
        <v>-0.12795179545234323</v>
      </c>
      <c r="AU203" s="94">
        <f>((Table3.110[[#This Row],[CH4 24h, ml]]/28.9)*16.04)/Table3.110[[#This Row],[DM Incubated, mg]]*1000</f>
        <v>4.4942820859026069</v>
      </c>
      <c r="AV203" s="94">
        <f>((Table3.110[[#This Row],[CH4 24h, ml]]/28.9)*16.04)/Table3.110[[#This Row],[Digested feed, mg]]*1000</f>
        <v>22.829147874212559</v>
      </c>
      <c r="AW203" s="303"/>
    </row>
    <row r="204" spans="1:49" s="304" customFormat="1" x14ac:dyDescent="0.35">
      <c r="A204" s="89"/>
      <c r="B204" s="90">
        <f t="shared" ref="B204:B267" si="3">B203+1</f>
        <v>194</v>
      </c>
      <c r="C204" s="140">
        <v>46043</v>
      </c>
      <c r="D204" s="6" t="s">
        <v>16</v>
      </c>
      <c r="E204" s="6" t="s">
        <v>96</v>
      </c>
      <c r="F204" s="133" t="s">
        <v>19</v>
      </c>
      <c r="G204" s="133" t="s">
        <v>29</v>
      </c>
      <c r="H204" s="133" t="s">
        <v>30</v>
      </c>
      <c r="I204" s="6" t="s">
        <v>22</v>
      </c>
      <c r="J204" s="129" t="s">
        <v>23</v>
      </c>
      <c r="K204" s="129" t="s">
        <v>24</v>
      </c>
      <c r="L204" s="6" t="s">
        <v>95</v>
      </c>
      <c r="M204" s="119">
        <v>27</v>
      </c>
      <c r="N204" s="93">
        <v>59</v>
      </c>
      <c r="O204" s="6">
        <v>2</v>
      </c>
      <c r="P204" s="129">
        <v>1</v>
      </c>
      <c r="Q204" s="6">
        <v>42</v>
      </c>
      <c r="R204" s="98">
        <v>0.50009999999999999</v>
      </c>
      <c r="S204" s="94">
        <f>((Table3.110[[#This Row],[Sample weight, g]]*'2.1. DM'!Q67)/100)*1000</f>
        <v>470.47647205838246</v>
      </c>
      <c r="T204" s="94">
        <f>'3.2 Digest'!W204</f>
        <v>141.27647205838241</v>
      </c>
      <c r="U204" s="153">
        <v>0.38541666666666669</v>
      </c>
      <c r="V204" s="154">
        <v>41</v>
      </c>
      <c r="W204" s="153">
        <v>0.70902777777777781</v>
      </c>
      <c r="X204" s="91">
        <v>64</v>
      </c>
      <c r="Y204" s="91">
        <v>13.7</v>
      </c>
      <c r="Z204" s="154">
        <v>40.5</v>
      </c>
      <c r="AA204" s="153">
        <v>0.40277777777777779</v>
      </c>
      <c r="AB204" s="154">
        <v>57</v>
      </c>
      <c r="AC204" s="154">
        <v>16.5</v>
      </c>
      <c r="AD204" s="94"/>
      <c r="AE204" s="94">
        <f>Table3.110[[#This Row],[Gas 8h, ml]]-Table3.110[[#This Row],[Gas 0h, ml]]</f>
        <v>23</v>
      </c>
      <c r="AF204" s="94">
        <f>Table3.110[[#This Row],[Gas 24h, ml]]-Table3.110[[#This Row],[V8 Push back, ml]]</f>
        <v>16.5</v>
      </c>
      <c r="AG204" s="94">
        <f>Table3.110[[#This Row],[GP 8h, ml]]-(AVERAGE(AE$116,AE$117,AE$167,AE$166,AE$219,AE$220))*$AG$8</f>
        <v>20.123728042697874</v>
      </c>
      <c r="AH204" s="94">
        <f>Table3.110[[#This Row],[GP 8-24h, ml]]-(AVERAGE(AF$11,AF$12,AF$62,AF$61,AF$114,AF$115))*$AG$8</f>
        <v>12.81247184961266</v>
      </c>
      <c r="AI204" s="94">
        <f>Table3.110[[#This Row],[Net gas 8-24h, ml]]+Table3.110[[#This Row],[Net gas 8h, ml]]</f>
        <v>32.936199892310533</v>
      </c>
      <c r="AJ204" s="94">
        <f>Table3.110[[#This Row],[Net gas 8h, ml]]*Table3.110[[#This Row],[CH4 8h %]]%</f>
        <v>2.7569507418496082</v>
      </c>
      <c r="AK204" s="94">
        <f>Table3.110[[#This Row],[Net gas 8-24h, ml]]*Table3.110[[#This Row],[CH4 24h, %]]%</f>
        <v>2.1140578551860889</v>
      </c>
      <c r="AL204" s="94">
        <f>Table3.110[[#This Row],[CH4 8-24h, ml]]+Table3.110[[#This Row],[CH4 8h, ml]]</f>
        <v>4.8710085970356971</v>
      </c>
      <c r="AM204" s="94">
        <f>(Table3.110[[#This Row],[Net gas 24h, ml]]/Table3.110[[#This Row],[DM Incubated, mg]])*1000</f>
        <v>70.006050989566603</v>
      </c>
      <c r="AN204" s="94">
        <f>'3.2 Digest'!X204</f>
        <v>30.028381959311051</v>
      </c>
      <c r="AO204" s="94">
        <f>Table3.110[[#This Row],[Digested feed, mg]]/Table3.110[[#This Row],[Net gas 24h, ml]]</f>
        <v>4.2893980641453906</v>
      </c>
      <c r="AP204" s="94">
        <f>Table3.110[[#This Row],[CH4 8h, ml]]/Table3.110[[#This Row],[Net gas 8h, ml]]%</f>
        <v>13.699999999999998</v>
      </c>
      <c r="AQ204" s="94">
        <f>Table3.110[[#This Row],[CH4 24h, ml]]/Table3.110[[#This Row],[Net gas 24h, ml]]%</f>
        <v>14.789224661503555</v>
      </c>
      <c r="AR204" s="94">
        <f>Table3.110[[#This Row],[CH4 24h, ml]]/Table3.110[[#This Row],[DM Incubated, mg]]*1000</f>
        <v>10.35335215749374</v>
      </c>
      <c r="AS204" s="94">
        <f>Table3.110[[#This Row],[CH4 24h, ml]]/Table3.110[[#This Row],[Digested feed, mg]]*1000</f>
        <v>34.478554893576018</v>
      </c>
      <c r="AT204" s="94">
        <f>Table3.110[[#This Row],[CH4 24h, ml]]/'3.2 Digest'!AA204</f>
        <v>-0.66462112514644966</v>
      </c>
      <c r="AU204" s="94">
        <f>((Table3.110[[#This Row],[CH4 24h, ml]]/28.9)*16.04)/Table3.110[[#This Row],[DM Incubated, mg]]*1000</f>
        <v>5.7462895711487745</v>
      </c>
      <c r="AV204" s="94">
        <f>((Table3.110[[#This Row],[CH4 24h, ml]]/28.9)*16.04)/Table3.110[[#This Row],[Digested feed, mg]]*1000</f>
        <v>19.136194480725241</v>
      </c>
      <c r="AW204" s="303"/>
    </row>
    <row r="205" spans="1:49" s="304" customFormat="1" x14ac:dyDescent="0.35">
      <c r="A205" s="89"/>
      <c r="B205" s="90">
        <f t="shared" si="3"/>
        <v>195</v>
      </c>
      <c r="C205" s="140">
        <v>46043</v>
      </c>
      <c r="D205" s="6" t="s">
        <v>16</v>
      </c>
      <c r="E205" s="6" t="s">
        <v>96</v>
      </c>
      <c r="F205" s="133" t="s">
        <v>19</v>
      </c>
      <c r="G205" s="133" t="s">
        <v>29</v>
      </c>
      <c r="H205" s="133" t="s">
        <v>30</v>
      </c>
      <c r="I205" s="6" t="s">
        <v>22</v>
      </c>
      <c r="J205" s="129" t="s">
        <v>23</v>
      </c>
      <c r="K205" s="129" t="s">
        <v>24</v>
      </c>
      <c r="L205" s="6" t="s">
        <v>95</v>
      </c>
      <c r="M205" s="119">
        <v>27</v>
      </c>
      <c r="N205" s="93">
        <v>59</v>
      </c>
      <c r="O205" s="6">
        <v>2</v>
      </c>
      <c r="P205" s="129">
        <v>2</v>
      </c>
      <c r="Q205" s="6">
        <v>43</v>
      </c>
      <c r="R205" s="98">
        <v>0.5</v>
      </c>
      <c r="S205" s="94">
        <f>((Table3.110[[#This Row],[Sample weight, g]]*'2.1. DM'!Q67)/100)*1000</f>
        <v>470.38239557926659</v>
      </c>
      <c r="T205" s="94">
        <f>'3.2 Digest'!W205</f>
        <v>111.28239557926651</v>
      </c>
      <c r="U205" s="117">
        <v>0.38541666666666669</v>
      </c>
      <c r="V205" s="155">
        <v>40.5</v>
      </c>
      <c r="W205" s="117">
        <v>0.70972222222222225</v>
      </c>
      <c r="X205" s="96">
        <v>62</v>
      </c>
      <c r="Y205" s="96">
        <v>13.9</v>
      </c>
      <c r="Z205" s="155">
        <v>40</v>
      </c>
      <c r="AA205" s="117">
        <v>0.40347222222222223</v>
      </c>
      <c r="AB205" s="155">
        <v>55.5</v>
      </c>
      <c r="AC205" s="155">
        <v>16.600000000000001</v>
      </c>
      <c r="AD205" s="94"/>
      <c r="AE205" s="94">
        <f>Table3.110[[#This Row],[Gas 8h, ml]]-Table3.110[[#This Row],[Gas 0h, ml]]</f>
        <v>21.5</v>
      </c>
      <c r="AF205" s="94">
        <f>Table3.110[[#This Row],[Gas 24h, ml]]-Table3.110[[#This Row],[V8 Push back, ml]]</f>
        <v>15.5</v>
      </c>
      <c r="AG205" s="94">
        <f>Table3.110[[#This Row],[GP 8h, ml]]-(AVERAGE(AE$116,AE$117,AE$167,AE$166,AE$219,AE$220))*$AG$8</f>
        <v>18.623728042697874</v>
      </c>
      <c r="AH205" s="94">
        <f>Table3.110[[#This Row],[GP 8-24h, ml]]-(AVERAGE(AF$11,AF$12,AF$62,AF$61,AF$114,AF$115))*$AG$8</f>
        <v>11.81247184961266</v>
      </c>
      <c r="AI205" s="94">
        <f>Table3.110[[#This Row],[Net gas 8-24h, ml]]+Table3.110[[#This Row],[Net gas 8h, ml]]</f>
        <v>30.436199892310533</v>
      </c>
      <c r="AJ205" s="94">
        <f>Table3.110[[#This Row],[Net gas 8h, ml]]*Table3.110[[#This Row],[CH4 8h %]]%</f>
        <v>2.5886981979350048</v>
      </c>
      <c r="AK205" s="94">
        <f>Table3.110[[#This Row],[Net gas 8-24h, ml]]*Table3.110[[#This Row],[CH4 24h, %]]%</f>
        <v>1.9608703270357015</v>
      </c>
      <c r="AL205" s="94">
        <f>Table3.110[[#This Row],[CH4 8-24h, ml]]+Table3.110[[#This Row],[CH4 8h, ml]]</f>
        <v>4.5495685249707059</v>
      </c>
      <c r="AM205" s="94">
        <f>(Table3.110[[#This Row],[Net gas 24h, ml]]/Table3.110[[#This Row],[DM Incubated, mg]])*1000</f>
        <v>64.705227445489228</v>
      </c>
      <c r="AN205" s="94">
        <f>'3.2 Digest'!X205</f>
        <v>23.657857229589649</v>
      </c>
      <c r="AO205" s="94">
        <f>Table3.110[[#This Row],[Digested feed, mg]]/Table3.110[[#This Row],[Net gas 24h, ml]]</f>
        <v>3.65625130512371</v>
      </c>
      <c r="AP205" s="94">
        <f>Table3.110[[#This Row],[CH4 8h, ml]]/Table3.110[[#This Row],[Net gas 8h, ml]]%</f>
        <v>13.900000000000002</v>
      </c>
      <c r="AQ205" s="94">
        <f>Table3.110[[#This Row],[CH4 24h, ml]]/Table3.110[[#This Row],[Net gas 24h, ml]]%</f>
        <v>14.947886204808762</v>
      </c>
      <c r="AR205" s="94">
        <f>Table3.110[[#This Row],[CH4 24h, ml]]/Table3.110[[#This Row],[DM Incubated, mg]]*1000</f>
        <v>9.6720637671144178</v>
      </c>
      <c r="AS205" s="94">
        <f>Table3.110[[#This Row],[CH4 24h, ml]]/Table3.110[[#This Row],[Digested feed, mg]]*1000</f>
        <v>40.883092975205102</v>
      </c>
      <c r="AT205" s="94">
        <f>Table3.110[[#This Row],[CH4 24h, ml]]/'3.2 Digest'!AA205</f>
        <v>-0.26604565222869436</v>
      </c>
      <c r="AU205" s="94">
        <f>((Table3.110[[#This Row],[CH4 24h, ml]]/28.9)*16.04)/Table3.110[[#This Row],[DM Incubated, mg]]*1000</f>
        <v>5.3681627274918773</v>
      </c>
      <c r="AV205" s="94">
        <f>((Table3.110[[#This Row],[CH4 24h, ml]]/28.9)*16.04)/Table3.110[[#This Row],[Digested feed, mg]]*1000</f>
        <v>22.690823921186496</v>
      </c>
      <c r="AW205" s="303"/>
    </row>
    <row r="206" spans="1:49" s="304" customFormat="1" x14ac:dyDescent="0.35">
      <c r="A206" s="89"/>
      <c r="B206" s="90">
        <f t="shared" si="3"/>
        <v>196</v>
      </c>
      <c r="C206" s="140">
        <v>46043</v>
      </c>
      <c r="D206" s="6" t="s">
        <v>16</v>
      </c>
      <c r="E206" s="6" t="s">
        <v>96</v>
      </c>
      <c r="F206" s="133" t="s">
        <v>19</v>
      </c>
      <c r="G206" s="133" t="s">
        <v>29</v>
      </c>
      <c r="H206" s="133" t="s">
        <v>30</v>
      </c>
      <c r="I206" s="6" t="s">
        <v>22</v>
      </c>
      <c r="J206" s="129" t="s">
        <v>23</v>
      </c>
      <c r="K206" s="129" t="s">
        <v>24</v>
      </c>
      <c r="L206" s="6" t="s">
        <v>95</v>
      </c>
      <c r="M206" s="119">
        <v>27</v>
      </c>
      <c r="N206" s="93">
        <v>59</v>
      </c>
      <c r="O206" s="6">
        <v>2</v>
      </c>
      <c r="P206" s="129">
        <v>3</v>
      </c>
      <c r="Q206" s="6">
        <v>44</v>
      </c>
      <c r="R206" s="98">
        <v>0.50029999999999997</v>
      </c>
      <c r="S206" s="94">
        <f>((Table3.110[[#This Row],[Sample weight, g]]*'2.1. DM'!Q67)/100)*1000</f>
        <v>470.66462501661408</v>
      </c>
      <c r="T206" s="94">
        <f>'3.2 Digest'!W206</f>
        <v>105.7646250166141</v>
      </c>
      <c r="U206" s="153">
        <v>0.38541666666666669</v>
      </c>
      <c r="V206" s="154">
        <v>40.5</v>
      </c>
      <c r="W206" s="153">
        <v>0.70972222222222225</v>
      </c>
      <c r="X206" s="91">
        <v>64.5</v>
      </c>
      <c r="Y206" s="91">
        <v>13.4</v>
      </c>
      <c r="Z206" s="154">
        <v>40.5</v>
      </c>
      <c r="AA206" s="153">
        <v>0.40416666666666667</v>
      </c>
      <c r="AB206" s="154">
        <v>56.5</v>
      </c>
      <c r="AC206" s="154">
        <v>16.600000000000001</v>
      </c>
      <c r="AD206" s="94"/>
      <c r="AE206" s="94">
        <f>Table3.110[[#This Row],[Gas 8h, ml]]-Table3.110[[#This Row],[Gas 0h, ml]]</f>
        <v>24</v>
      </c>
      <c r="AF206" s="94">
        <f>Table3.110[[#This Row],[Gas 24h, ml]]-Table3.110[[#This Row],[V8 Push back, ml]]</f>
        <v>16</v>
      </c>
      <c r="AG206" s="94">
        <f>Table3.110[[#This Row],[GP 8h, ml]]-(AVERAGE(AE$116,AE$117,AE$167,AE$166,AE$219,AE$220))*$AG$8</f>
        <v>21.123728042697874</v>
      </c>
      <c r="AH206" s="94">
        <f>Table3.110[[#This Row],[GP 8-24h, ml]]-(AVERAGE(AF$11,AF$12,AF$62,AF$61,AF$114,AF$115))*$AG$8</f>
        <v>12.31247184961266</v>
      </c>
      <c r="AI206" s="94">
        <f>Table3.110[[#This Row],[Net gas 8-24h, ml]]+Table3.110[[#This Row],[Net gas 8h, ml]]</f>
        <v>33.436199892310533</v>
      </c>
      <c r="AJ206" s="94">
        <f>Table3.110[[#This Row],[Net gas 8h, ml]]*Table3.110[[#This Row],[CH4 8h %]]%</f>
        <v>2.8305795577215154</v>
      </c>
      <c r="AK206" s="94">
        <f>Table3.110[[#This Row],[Net gas 8-24h, ml]]*Table3.110[[#This Row],[CH4 24h, %]]%</f>
        <v>2.0438703270357017</v>
      </c>
      <c r="AL206" s="94">
        <f>Table3.110[[#This Row],[CH4 8-24h, ml]]+Table3.110[[#This Row],[CH4 8h, ml]]</f>
        <v>4.8744498847572171</v>
      </c>
      <c r="AM206" s="94">
        <f>(Table3.110[[#This Row],[Net gas 24h, ml]]/Table3.110[[#This Row],[DM Incubated, mg]])*1000</f>
        <v>71.040392914870679</v>
      </c>
      <c r="AN206" s="94">
        <f>'3.2 Digest'!X206</f>
        <v>22.471335085546464</v>
      </c>
      <c r="AO206" s="94">
        <f>Table3.110[[#This Row],[Digested feed, mg]]/Table3.110[[#This Row],[Net gas 24h, ml]]</f>
        <v>3.1631771958911292</v>
      </c>
      <c r="AP206" s="94">
        <f>Table3.110[[#This Row],[CH4 8h, ml]]/Table3.110[[#This Row],[Net gas 8h, ml]]%</f>
        <v>13.400000000000002</v>
      </c>
      <c r="AQ206" s="94">
        <f>Table3.110[[#This Row],[CH4 24h, ml]]/Table3.110[[#This Row],[Net gas 24h, ml]]%</f>
        <v>14.578360879694991</v>
      </c>
      <c r="AR206" s="94">
        <f>Table3.110[[#This Row],[CH4 24h, ml]]/Table3.110[[#This Row],[DM Incubated, mg]]*1000</f>
        <v>10.356524849483119</v>
      </c>
      <c r="AS206" s="94">
        <f>Table3.110[[#This Row],[CH4 24h, ml]]/Table3.110[[#This Row],[Digested feed, mg]]*1000</f>
        <v>46.087714904596041</v>
      </c>
      <c r="AT206" s="94">
        <f>Table3.110[[#This Row],[CH4 24h, ml]]/'3.2 Digest'!AA206</f>
        <v>-0.25762517760884596</v>
      </c>
      <c r="AU206" s="94">
        <f>((Table3.110[[#This Row],[CH4 24h, ml]]/28.9)*16.04)/Table3.110[[#This Row],[DM Incubated, mg]]*1000</f>
        <v>5.7480504700937445</v>
      </c>
      <c r="AV206" s="94">
        <f>((Table3.110[[#This Row],[CH4 24h, ml]]/28.9)*16.04)/Table3.110[[#This Row],[Digested feed, mg]]*1000</f>
        <v>25.579479137360572</v>
      </c>
      <c r="AW206" s="303"/>
    </row>
    <row r="207" spans="1:49" s="304" customFormat="1" x14ac:dyDescent="0.35">
      <c r="A207" s="89"/>
      <c r="B207" s="90">
        <f t="shared" si="3"/>
        <v>197</v>
      </c>
      <c r="C207" s="140">
        <v>46043</v>
      </c>
      <c r="D207" s="6" t="s">
        <v>16</v>
      </c>
      <c r="E207" s="6" t="s">
        <v>98</v>
      </c>
      <c r="F207" s="133" t="s">
        <v>99</v>
      </c>
      <c r="G207" s="133" t="s">
        <v>100</v>
      </c>
      <c r="H207" s="133" t="s">
        <v>101</v>
      </c>
      <c r="I207" s="6" t="s">
        <v>22</v>
      </c>
      <c r="J207" s="129" t="s">
        <v>23</v>
      </c>
      <c r="K207" s="129" t="s">
        <v>24</v>
      </c>
      <c r="L207" s="6" t="s">
        <v>97</v>
      </c>
      <c r="M207" s="119">
        <v>27</v>
      </c>
      <c r="N207" s="93">
        <v>59</v>
      </c>
      <c r="O207" s="6">
        <v>2</v>
      </c>
      <c r="P207" s="129">
        <v>1</v>
      </c>
      <c r="Q207" s="6">
        <v>45</v>
      </c>
      <c r="R207" s="98">
        <v>0.5</v>
      </c>
      <c r="S207" s="94">
        <f>((Table3.110[[#This Row],[Sample weight, g]]*'2.1. DM'!Q69)/100)*1000</f>
        <v>472.35837997201702</v>
      </c>
      <c r="T207" s="94">
        <f>'3.2 Digest'!W207</f>
        <v>92.75837997201711</v>
      </c>
      <c r="U207" s="117">
        <v>0.38541666666666669</v>
      </c>
      <c r="V207" s="155">
        <v>41</v>
      </c>
      <c r="W207" s="117">
        <v>0.7104166666666667</v>
      </c>
      <c r="X207" s="96">
        <v>65</v>
      </c>
      <c r="Y207" s="96">
        <v>13.6</v>
      </c>
      <c r="Z207" s="155">
        <v>40.5</v>
      </c>
      <c r="AA207" s="117">
        <v>0.40416666666666667</v>
      </c>
      <c r="AB207" s="155">
        <v>57</v>
      </c>
      <c r="AC207" s="155">
        <v>16.399999999999999</v>
      </c>
      <c r="AD207" s="94"/>
      <c r="AE207" s="94">
        <f>Table3.110[[#This Row],[Gas 8h, ml]]-Table3.110[[#This Row],[Gas 0h, ml]]</f>
        <v>24</v>
      </c>
      <c r="AF207" s="94">
        <f>Table3.110[[#This Row],[Gas 24h, ml]]-Table3.110[[#This Row],[V8 Push back, ml]]</f>
        <v>16.5</v>
      </c>
      <c r="AG207" s="94"/>
      <c r="AH207" s="94"/>
      <c r="AI207" s="94"/>
      <c r="AJ207" s="94"/>
      <c r="AK207" s="94"/>
      <c r="AL207" s="94"/>
      <c r="AM207" s="94"/>
      <c r="AN207" s="94"/>
      <c r="AO207" s="94"/>
      <c r="AP207" s="94"/>
      <c r="AQ207" s="94"/>
      <c r="AR207" s="94"/>
      <c r="AS207" s="94"/>
      <c r="AT207" s="94"/>
      <c r="AU207" s="94"/>
      <c r="AV207" s="94"/>
      <c r="AW207" s="303" t="s">
        <v>617</v>
      </c>
    </row>
    <row r="208" spans="1:49" s="304" customFormat="1" x14ac:dyDescent="0.35">
      <c r="A208" s="89"/>
      <c r="B208" s="90">
        <f t="shared" si="3"/>
        <v>198</v>
      </c>
      <c r="C208" s="140">
        <v>46043</v>
      </c>
      <c r="D208" s="6" t="s">
        <v>16</v>
      </c>
      <c r="E208" s="6" t="s">
        <v>98</v>
      </c>
      <c r="F208" s="133" t="s">
        <v>99</v>
      </c>
      <c r="G208" s="133" t="s">
        <v>100</v>
      </c>
      <c r="H208" s="133" t="s">
        <v>101</v>
      </c>
      <c r="I208" s="6" t="s">
        <v>22</v>
      </c>
      <c r="J208" s="129" t="s">
        <v>23</v>
      </c>
      <c r="K208" s="129" t="s">
        <v>24</v>
      </c>
      <c r="L208" s="6" t="s">
        <v>97</v>
      </c>
      <c r="M208" s="119">
        <v>27</v>
      </c>
      <c r="N208" s="93">
        <v>59</v>
      </c>
      <c r="O208" s="6">
        <v>2</v>
      </c>
      <c r="P208" s="129">
        <v>2</v>
      </c>
      <c r="Q208" s="6">
        <v>46</v>
      </c>
      <c r="R208" s="98">
        <v>0.50039999999999996</v>
      </c>
      <c r="S208" s="94">
        <f>((Table3.110[[#This Row],[Sample weight, g]]*'2.1. DM'!Q69)/100)*1000</f>
        <v>472.73626667599461</v>
      </c>
      <c r="T208" s="94">
        <f>'3.2 Digest'!W208</f>
        <v>247.83626667599464</v>
      </c>
      <c r="U208" s="153">
        <v>0.38611111111111113</v>
      </c>
      <c r="V208" s="154">
        <v>41</v>
      </c>
      <c r="W208" s="153">
        <v>0.7104166666666667</v>
      </c>
      <c r="X208" s="91">
        <v>71.5</v>
      </c>
      <c r="Y208" s="91">
        <v>12.3</v>
      </c>
      <c r="Z208" s="154">
        <v>40</v>
      </c>
      <c r="AA208" s="153">
        <v>0.40486111111111112</v>
      </c>
      <c r="AB208" s="154">
        <v>73</v>
      </c>
      <c r="AC208" s="154">
        <v>14.5</v>
      </c>
      <c r="AD208" s="94"/>
      <c r="AE208" s="94">
        <f>Table3.110[[#This Row],[Gas 8h, ml]]-Table3.110[[#This Row],[Gas 0h, ml]]</f>
        <v>30.5</v>
      </c>
      <c r="AF208" s="94">
        <f>Table3.110[[#This Row],[Gas 24h, ml]]-Table3.110[[#This Row],[V8 Push back, ml]]</f>
        <v>33</v>
      </c>
      <c r="AG208" s="94">
        <f>Table3.110[[#This Row],[GP 8h, ml]]-(AVERAGE(AE$116,AE$117,AE$167,AE$166,AE$219,AE$220))*$AG$8</f>
        <v>27.623728042697874</v>
      </c>
      <c r="AH208" s="94">
        <f>Table3.110[[#This Row],[GP 8-24h, ml]]-(AVERAGE(AF$11,AF$12,AF$62,AF$61,AF$114,AF$115))*$AG$8</f>
        <v>29.31247184961266</v>
      </c>
      <c r="AI208" s="94">
        <f>Table3.110[[#This Row],[Net gas 8-24h, ml]]+Table3.110[[#This Row],[Net gas 8h, ml]]</f>
        <v>56.936199892310533</v>
      </c>
      <c r="AJ208" s="94">
        <f>Table3.110[[#This Row],[Net gas 8h, ml]]*Table3.110[[#This Row],[CH4 8h %]]%</f>
        <v>3.3977185492518389</v>
      </c>
      <c r="AK208" s="94">
        <f>Table3.110[[#This Row],[Net gas 8-24h, ml]]*Table3.110[[#This Row],[CH4 24h, %]]%</f>
        <v>4.2503084181938355</v>
      </c>
      <c r="AL208" s="94">
        <f>Table3.110[[#This Row],[CH4 8-24h, ml]]+Table3.110[[#This Row],[CH4 8h, ml]]</f>
        <v>7.6480269674456745</v>
      </c>
      <c r="AM208" s="94">
        <f>(Table3.110[[#This Row],[Net gas 24h, ml]]/Table3.110[[#This Row],[DM Incubated, mg]])*1000</f>
        <v>120.43966986635624</v>
      </c>
      <c r="AN208" s="94">
        <f>'3.2 Digest'!X208</f>
        <v>52.425905128589889</v>
      </c>
      <c r="AO208" s="94">
        <f>Table3.110[[#This Row],[Digested feed, mg]]/Table3.110[[#This Row],[Net gas 24h, ml]]</f>
        <v>4.3528768541763174</v>
      </c>
      <c r="AP208" s="94">
        <f>Table3.110[[#This Row],[CH4 8h, ml]]/Table3.110[[#This Row],[Net gas 8h, ml]]%</f>
        <v>12.3</v>
      </c>
      <c r="AQ208" s="94">
        <f>Table3.110[[#This Row],[CH4 24h, ml]]/Table3.110[[#This Row],[Net gas 24h, ml]]%</f>
        <v>13.432626311399774</v>
      </c>
      <c r="AR208" s="94">
        <f>Table3.110[[#This Row],[CH4 24h, ml]]/Table3.110[[#This Row],[DM Incubated, mg]]*1000</f>
        <v>16.178210783831194</v>
      </c>
      <c r="AS208" s="94">
        <f>Table3.110[[#This Row],[CH4 24h, ml]]/Table3.110[[#This Row],[Digested feed, mg]]*1000</f>
        <v>30.859192119142993</v>
      </c>
      <c r="AT208" s="94">
        <f>Table3.110[[#This Row],[CH4 24h, ml]]/'3.2 Digest'!AA208</f>
        <v>0.43360904055102339</v>
      </c>
      <c r="AU208" s="94">
        <f>((Table3.110[[#This Row],[CH4 24h, ml]]/28.9)*16.04)/Table3.110[[#This Row],[DM Incubated, mg]]*1000</f>
        <v>8.9791868848668628</v>
      </c>
      <c r="AV208" s="94">
        <f>((Table3.110[[#This Row],[CH4 24h, ml]]/28.9)*16.04)/Table3.110[[#This Row],[Digested feed, mg]]*1000</f>
        <v>17.127385522181783</v>
      </c>
      <c r="AW208" s="303"/>
    </row>
    <row r="209" spans="1:49" s="304" customFormat="1" x14ac:dyDescent="0.35">
      <c r="A209" s="89"/>
      <c r="B209" s="90">
        <f t="shared" si="3"/>
        <v>199</v>
      </c>
      <c r="C209" s="140">
        <v>46043</v>
      </c>
      <c r="D209" s="6" t="s">
        <v>16</v>
      </c>
      <c r="E209" s="6" t="s">
        <v>98</v>
      </c>
      <c r="F209" s="133" t="s">
        <v>99</v>
      </c>
      <c r="G209" s="133" t="s">
        <v>100</v>
      </c>
      <c r="H209" s="133" t="s">
        <v>101</v>
      </c>
      <c r="I209" s="6" t="s">
        <v>22</v>
      </c>
      <c r="J209" s="129" t="s">
        <v>23</v>
      </c>
      <c r="K209" s="129" t="s">
        <v>24</v>
      </c>
      <c r="L209" s="6" t="s">
        <v>97</v>
      </c>
      <c r="M209" s="119">
        <v>27</v>
      </c>
      <c r="N209" s="93">
        <v>59</v>
      </c>
      <c r="O209" s="6">
        <v>2</v>
      </c>
      <c r="P209" s="129">
        <v>3</v>
      </c>
      <c r="Q209" s="6">
        <v>47</v>
      </c>
      <c r="R209" s="98">
        <v>0.50019999999999998</v>
      </c>
      <c r="S209" s="94">
        <f>((Table3.110[[#This Row],[Sample weight, g]]*'2.1. DM'!Q69)/100)*1000</f>
        <v>472.54732332400579</v>
      </c>
      <c r="T209" s="94">
        <f>'3.2 Digest'!W209</f>
        <v>235.24732332400583</v>
      </c>
      <c r="U209" s="117">
        <v>0.38611111111111113</v>
      </c>
      <c r="V209" s="155">
        <v>41</v>
      </c>
      <c r="W209" s="117">
        <v>0.71111111111111114</v>
      </c>
      <c r="X209" s="96">
        <v>73.5</v>
      </c>
      <c r="Y209" s="96">
        <v>12.2</v>
      </c>
      <c r="Z209" s="155">
        <v>40.5</v>
      </c>
      <c r="AA209" s="117">
        <v>0.40555555555555556</v>
      </c>
      <c r="AB209" s="155">
        <v>74</v>
      </c>
      <c r="AC209" s="155">
        <v>14.5</v>
      </c>
      <c r="AD209" s="94"/>
      <c r="AE209" s="94">
        <f>Table3.110[[#This Row],[Gas 8h, ml]]-Table3.110[[#This Row],[Gas 0h, ml]]</f>
        <v>32.5</v>
      </c>
      <c r="AF209" s="94">
        <f>Table3.110[[#This Row],[Gas 24h, ml]]-Table3.110[[#This Row],[V8 Push back, ml]]</f>
        <v>33.5</v>
      </c>
      <c r="AG209" s="94">
        <f>Table3.110[[#This Row],[GP 8h, ml]]-(AVERAGE(AE$116,AE$117,AE$167,AE$166,AE$219,AE$220))*$AG$8</f>
        <v>29.623728042697874</v>
      </c>
      <c r="AH209" s="94">
        <f>Table3.110[[#This Row],[GP 8-24h, ml]]-(AVERAGE(AF$11,AF$12,AF$62,AF$61,AF$114,AF$115))*$AG$8</f>
        <v>29.81247184961266</v>
      </c>
      <c r="AI209" s="94">
        <f>Table3.110[[#This Row],[Net gas 8-24h, ml]]+Table3.110[[#This Row],[Net gas 8h, ml]]</f>
        <v>59.436199892310533</v>
      </c>
      <c r="AJ209" s="94">
        <f>Table3.110[[#This Row],[Net gas 8h, ml]]*Table3.110[[#This Row],[CH4 8h %]]%</f>
        <v>3.6140948212091404</v>
      </c>
      <c r="AK209" s="94">
        <f>Table3.110[[#This Row],[Net gas 8-24h, ml]]*Table3.110[[#This Row],[CH4 24h, %]]%</f>
        <v>4.3228084181938353</v>
      </c>
      <c r="AL209" s="94">
        <f>Table3.110[[#This Row],[CH4 8-24h, ml]]+Table3.110[[#This Row],[CH4 8h, ml]]</f>
        <v>7.9369032394029757</v>
      </c>
      <c r="AM209" s="94">
        <f>(Table3.110[[#This Row],[Net gas 24h, ml]]/Table3.110[[#This Row],[DM Incubated, mg]])*1000</f>
        <v>125.77830189413142</v>
      </c>
      <c r="AN209" s="94">
        <f>'3.2 Digest'!X209</f>
        <v>49.782807289907481</v>
      </c>
      <c r="AO209" s="94">
        <f>Table3.110[[#This Row],[Digested feed, mg]]/Table3.110[[#This Row],[Net gas 24h, ml]]</f>
        <v>3.9579805531012857</v>
      </c>
      <c r="AP209" s="94">
        <f>Table3.110[[#This Row],[CH4 8h, ml]]/Table3.110[[#This Row],[Net gas 8h, ml]]%</f>
        <v>12.2</v>
      </c>
      <c r="AQ209" s="94">
        <f>Table3.110[[#This Row],[CH4 24h, ml]]/Table3.110[[#This Row],[Net gas 24h, ml]]%</f>
        <v>13.353651905376609</v>
      </c>
      <c r="AR209" s="94">
        <f>Table3.110[[#This Row],[CH4 24h, ml]]/Table3.110[[#This Row],[DM Incubated, mg]]*1000</f>
        <v>16.795996607436024</v>
      </c>
      <c r="AS209" s="94">
        <f>Table3.110[[#This Row],[CH4 24h, ml]]/Table3.110[[#This Row],[Digested feed, mg]]*1000</f>
        <v>33.738548550758601</v>
      </c>
      <c r="AT209" s="94">
        <f>Table3.110[[#This Row],[CH4 24h, ml]]/'3.2 Digest'!AA209</f>
        <v>0.60762154716885985</v>
      </c>
      <c r="AU209" s="94">
        <f>((Table3.110[[#This Row],[CH4 24h, ml]]/28.9)*16.04)/Table3.110[[#This Row],[DM Incubated, mg]]*1000</f>
        <v>9.3220687053035931</v>
      </c>
      <c r="AV209" s="94">
        <f>((Table3.110[[#This Row],[CH4 24h, ml]]/28.9)*16.04)/Table3.110[[#This Row],[Digested feed, mg]]*1000</f>
        <v>18.725478157583666</v>
      </c>
      <c r="AW209" s="303"/>
    </row>
    <row r="210" spans="1:49" s="304" customFormat="1" x14ac:dyDescent="0.35">
      <c r="A210" s="89"/>
      <c r="B210" s="90">
        <f t="shared" si="3"/>
        <v>200</v>
      </c>
      <c r="C210" s="140">
        <v>46043</v>
      </c>
      <c r="D210" s="92" t="s">
        <v>102</v>
      </c>
      <c r="E210" s="6" t="s">
        <v>104</v>
      </c>
      <c r="F210" s="133" t="s">
        <v>105</v>
      </c>
      <c r="G210" s="133" t="s">
        <v>106</v>
      </c>
      <c r="H210" s="133" t="s">
        <v>107</v>
      </c>
      <c r="I210" s="6" t="s">
        <v>108</v>
      </c>
      <c r="J210" s="8" t="s">
        <v>109</v>
      </c>
      <c r="K210" s="6" t="s">
        <v>110</v>
      </c>
      <c r="L210" s="6" t="s">
        <v>103</v>
      </c>
      <c r="M210" s="119">
        <v>27</v>
      </c>
      <c r="N210" s="93">
        <v>59</v>
      </c>
      <c r="O210" s="6">
        <v>2</v>
      </c>
      <c r="P210" s="129">
        <v>1</v>
      </c>
      <c r="Q210" s="6">
        <v>48</v>
      </c>
      <c r="R210" s="98">
        <v>0.5</v>
      </c>
      <c r="S210" s="94">
        <f>((Table3.110[[#This Row],[Sample weight, g]]*'2.1. DM'!Q71)/100)*1000</f>
        <v>485.00525062393399</v>
      </c>
      <c r="T210" s="94">
        <f>'3.2 Digest'!W210</f>
        <v>267.00525062393399</v>
      </c>
      <c r="U210" s="153">
        <v>0.38680555555555557</v>
      </c>
      <c r="V210" s="154">
        <v>41</v>
      </c>
      <c r="W210" s="153">
        <v>0.71111111111111114</v>
      </c>
      <c r="X210" s="91">
        <v>79</v>
      </c>
      <c r="Y210" s="91">
        <v>13.4</v>
      </c>
      <c r="Z210" s="154">
        <v>40.5</v>
      </c>
      <c r="AA210" s="153">
        <v>0.40625</v>
      </c>
      <c r="AB210" s="154">
        <v>98</v>
      </c>
      <c r="AC210" s="154">
        <v>13.3</v>
      </c>
      <c r="AD210" s="94"/>
      <c r="AE210" s="94">
        <f>Table3.110[[#This Row],[Gas 8h, ml]]-Table3.110[[#This Row],[Gas 0h, ml]]</f>
        <v>38</v>
      </c>
      <c r="AF210" s="94">
        <f>Table3.110[[#This Row],[Gas 24h, ml]]-Table3.110[[#This Row],[V8 Push back, ml]]</f>
        <v>57.5</v>
      </c>
      <c r="AG210" s="94">
        <f>Table3.110[[#This Row],[GP 8h, ml]]-(AVERAGE(AE$116,AE$117,AE$167,AE$166,AE$219,AE$220))*$AG$8</f>
        <v>35.123728042697877</v>
      </c>
      <c r="AH210" s="94">
        <f>Table3.110[[#This Row],[GP 8-24h, ml]]-(AVERAGE(AF$11,AF$12,AF$62,AF$61,AF$114,AF$115))*$AG$8</f>
        <v>53.812471849612663</v>
      </c>
      <c r="AI210" s="94">
        <f>Table3.110[[#This Row],[Net gas 8-24h, ml]]+Table3.110[[#This Row],[Net gas 8h, ml]]</f>
        <v>88.93619989231054</v>
      </c>
      <c r="AJ210" s="94">
        <f>Table3.110[[#This Row],[Net gas 8h, ml]]*Table3.110[[#This Row],[CH4 8h %]]%</f>
        <v>4.7065795577215157</v>
      </c>
      <c r="AK210" s="94">
        <f>Table3.110[[#This Row],[Net gas 8-24h, ml]]*Table3.110[[#This Row],[CH4 24h, %]]%</f>
        <v>7.1570587559984844</v>
      </c>
      <c r="AL210" s="94">
        <f>Table3.110[[#This Row],[CH4 8-24h, ml]]+Table3.110[[#This Row],[CH4 8h, ml]]</f>
        <v>11.863638313719999</v>
      </c>
      <c r="AM210" s="94">
        <f>(Table3.110[[#This Row],[Net gas 24h, ml]]/Table3.110[[#This Row],[DM Incubated, mg]])*1000</f>
        <v>183.37162283892548</v>
      </c>
      <c r="AN210" s="94">
        <f>'3.2 Digest'!X210</f>
        <v>55.052032999734671</v>
      </c>
      <c r="AO210" s="94">
        <f>Table3.110[[#This Row],[Digested feed, mg]]/Table3.110[[#This Row],[Net gas 24h, ml]]</f>
        <v>3.0022111462738512</v>
      </c>
      <c r="AP210" s="94">
        <f>Table3.110[[#This Row],[CH4 8h, ml]]/Table3.110[[#This Row],[Net gas 8h, ml]]%</f>
        <v>13.4</v>
      </c>
      <c r="AQ210" s="94">
        <f>Table3.110[[#This Row],[CH4 24h, ml]]/Table3.110[[#This Row],[Net gas 24h, ml]]%</f>
        <v>13.339493173854096</v>
      </c>
      <c r="AR210" s="94">
        <f>Table3.110[[#This Row],[CH4 24h, ml]]/Table3.110[[#This Row],[DM Incubated, mg]]*1000</f>
        <v>24.460845111383943</v>
      </c>
      <c r="AS210" s="94">
        <f>Table3.110[[#This Row],[CH4 24h, ml]]/Table3.110[[#This Row],[Digested feed, mg]]*1000</f>
        <v>44.43222852733129</v>
      </c>
      <c r="AT210" s="94">
        <f>Table3.110[[#This Row],[CH4 24h, ml]]/'3.2 Digest'!AA210</f>
        <v>0.42892163534891187</v>
      </c>
      <c r="AU210" s="94">
        <f>((Table3.110[[#This Row],[CH4 24h, ml]]/28.9)*16.04)/Table3.110[[#This Row],[DM Incubated, mg]]*1000</f>
        <v>13.576192234830396</v>
      </c>
      <c r="AV210" s="94">
        <f>((Table3.110[[#This Row],[CH4 24h, ml]]/28.9)*16.04)/Table3.110[[#This Row],[Digested feed, mg]]*1000</f>
        <v>24.660655556345805</v>
      </c>
      <c r="AW210" s="303"/>
    </row>
    <row r="211" spans="1:49" s="304" customFormat="1" x14ac:dyDescent="0.35">
      <c r="A211" s="89"/>
      <c r="B211" s="90">
        <f t="shared" si="3"/>
        <v>201</v>
      </c>
      <c r="C211" s="140">
        <v>46043</v>
      </c>
      <c r="D211" s="92" t="s">
        <v>102</v>
      </c>
      <c r="E211" s="6" t="s">
        <v>104</v>
      </c>
      <c r="F211" s="133" t="s">
        <v>105</v>
      </c>
      <c r="G211" s="133" t="s">
        <v>106</v>
      </c>
      <c r="H211" s="133" t="s">
        <v>107</v>
      </c>
      <c r="I211" s="6" t="s">
        <v>108</v>
      </c>
      <c r="J211" s="8" t="s">
        <v>109</v>
      </c>
      <c r="K211" s="6" t="s">
        <v>110</v>
      </c>
      <c r="L211" s="6" t="s">
        <v>103</v>
      </c>
      <c r="M211" s="119">
        <v>27</v>
      </c>
      <c r="N211" s="93">
        <v>59</v>
      </c>
      <c r="O211" s="6">
        <v>2</v>
      </c>
      <c r="P211" s="129">
        <v>2</v>
      </c>
      <c r="Q211" s="6">
        <v>49</v>
      </c>
      <c r="R211" s="98">
        <v>0.5</v>
      </c>
      <c r="S211" s="94">
        <f>((Table3.110[[#This Row],[Sample weight, g]]*'2.1. DM'!Q71)/100)*1000</f>
        <v>485.00525062393399</v>
      </c>
      <c r="T211" s="94">
        <f>'3.2 Digest'!W211</f>
        <v>166.50525062393399</v>
      </c>
      <c r="U211" s="117">
        <v>0.38680555555555557</v>
      </c>
      <c r="V211" s="155">
        <v>40</v>
      </c>
      <c r="W211" s="117">
        <v>0.71180555555555558</v>
      </c>
      <c r="X211" s="96">
        <v>79</v>
      </c>
      <c r="Y211" s="96">
        <v>13.5</v>
      </c>
      <c r="Z211" s="155">
        <v>39.5</v>
      </c>
      <c r="AA211" s="117">
        <v>0.40625</v>
      </c>
      <c r="AB211" s="155">
        <v>94.5</v>
      </c>
      <c r="AC211" s="155">
        <v>13.5</v>
      </c>
      <c r="AD211" s="94"/>
      <c r="AE211" s="94">
        <f>Table3.110[[#This Row],[Gas 8h, ml]]-Table3.110[[#This Row],[Gas 0h, ml]]</f>
        <v>39</v>
      </c>
      <c r="AF211" s="94">
        <f>Table3.110[[#This Row],[Gas 24h, ml]]-Table3.110[[#This Row],[V8 Push back, ml]]</f>
        <v>55</v>
      </c>
      <c r="AG211" s="94">
        <f>Table3.110[[#This Row],[GP 8h, ml]]-(AVERAGE(AE$116,AE$117,AE$167,AE$166,AE$219,AE$220))*$AG$8</f>
        <v>36.123728042697877</v>
      </c>
      <c r="AH211" s="94">
        <f>Table3.110[[#This Row],[GP 8-24h, ml]]-(AVERAGE(AF$11,AF$12,AF$62,AF$61,AF$114,AF$115))*$AG$8</f>
        <v>51.312471849612663</v>
      </c>
      <c r="AI211" s="94">
        <f>Table3.110[[#This Row],[Net gas 8-24h, ml]]+Table3.110[[#This Row],[Net gas 8h, ml]]</f>
        <v>87.43619989231054</v>
      </c>
      <c r="AJ211" s="94">
        <f>Table3.110[[#This Row],[Net gas 8h, ml]]*Table3.110[[#This Row],[CH4 8h %]]%</f>
        <v>4.8767032857642141</v>
      </c>
      <c r="AK211" s="94">
        <f>Table3.110[[#This Row],[Net gas 8-24h, ml]]*Table3.110[[#This Row],[CH4 24h, %]]%</f>
        <v>6.9271836996977099</v>
      </c>
      <c r="AL211" s="94">
        <f>Table3.110[[#This Row],[CH4 8-24h, ml]]+Table3.110[[#This Row],[CH4 8h, ml]]</f>
        <v>11.803886985461924</v>
      </c>
      <c r="AM211" s="94">
        <f>(Table3.110[[#This Row],[Net gas 24h, ml]]/Table3.110[[#This Row],[DM Incubated, mg]])*1000</f>
        <v>180.27887281597143</v>
      </c>
      <c r="AN211" s="94">
        <f>'3.2 Digest'!X211</f>
        <v>34.33060784594263</v>
      </c>
      <c r="AO211" s="94">
        <f>Table3.110[[#This Row],[Digested feed, mg]]/Table3.110[[#This Row],[Net gas 24h, ml]]</f>
        <v>1.9043056632036575</v>
      </c>
      <c r="AP211" s="94">
        <f>Table3.110[[#This Row],[CH4 8h, ml]]/Table3.110[[#This Row],[Net gas 8h, ml]]%</f>
        <v>13.500000000000002</v>
      </c>
      <c r="AQ211" s="94">
        <f>Table3.110[[#This Row],[CH4 24h, ml]]/Table3.110[[#This Row],[Net gas 24h, ml]]%</f>
        <v>13.500000000000002</v>
      </c>
      <c r="AR211" s="94">
        <f>Table3.110[[#This Row],[CH4 24h, ml]]/Table3.110[[#This Row],[DM Incubated, mg]]*1000</f>
        <v>24.337647830156147</v>
      </c>
      <c r="AS211" s="94">
        <f>Table3.110[[#This Row],[CH4 24h, ml]]/Table3.110[[#This Row],[Digested feed, mg]]*1000</f>
        <v>70.891980530523853</v>
      </c>
      <c r="AT211" s="94">
        <f>Table3.110[[#This Row],[CH4 24h, ml]]/'3.2 Digest'!AA211</f>
        <v>-2.0742993337009259</v>
      </c>
      <c r="AU211" s="94">
        <f>((Table3.110[[#This Row],[CH4 24h, ml]]/28.9)*16.04)/Table3.110[[#This Row],[DM Incubated, mg]]*1000</f>
        <v>13.507815612308114</v>
      </c>
      <c r="AV211" s="94">
        <f>((Table3.110[[#This Row],[CH4 24h, ml]]/28.9)*16.04)/Table3.110[[#This Row],[Digested feed, mg]]*1000</f>
        <v>39.346275699294203</v>
      </c>
      <c r="AW211" s="303"/>
    </row>
    <row r="212" spans="1:49" s="304" customFormat="1" x14ac:dyDescent="0.35">
      <c r="A212" s="89"/>
      <c r="B212" s="90">
        <f t="shared" si="3"/>
        <v>202</v>
      </c>
      <c r="C212" s="140">
        <v>46043</v>
      </c>
      <c r="D212" s="92" t="s">
        <v>102</v>
      </c>
      <c r="E212" s="6" t="s">
        <v>104</v>
      </c>
      <c r="F212" s="133" t="s">
        <v>105</v>
      </c>
      <c r="G212" s="133" t="s">
        <v>106</v>
      </c>
      <c r="H212" s="133" t="s">
        <v>107</v>
      </c>
      <c r="I212" s="6" t="s">
        <v>108</v>
      </c>
      <c r="J212" s="8" t="s">
        <v>109</v>
      </c>
      <c r="K212" s="6" t="s">
        <v>110</v>
      </c>
      <c r="L212" s="6" t="s">
        <v>103</v>
      </c>
      <c r="M212" s="119">
        <v>27</v>
      </c>
      <c r="N212" s="93">
        <v>59</v>
      </c>
      <c r="O212" s="6">
        <v>2</v>
      </c>
      <c r="P212" s="129">
        <v>3</v>
      </c>
      <c r="Q212" s="6">
        <v>50</v>
      </c>
      <c r="R212" s="98">
        <v>0.5</v>
      </c>
      <c r="S212" s="94">
        <f>((Table3.110[[#This Row],[Sample weight, g]]*'2.1. DM'!Q71)/100)*1000</f>
        <v>485.00525062393399</v>
      </c>
      <c r="T212" s="94">
        <f>'3.2 Digest'!W212</f>
        <v>277.1052506239339</v>
      </c>
      <c r="U212" s="153">
        <v>0.38680555555555557</v>
      </c>
      <c r="V212" s="154">
        <v>40</v>
      </c>
      <c r="W212" s="153">
        <v>0.71250000000000002</v>
      </c>
      <c r="X212" s="91">
        <v>80</v>
      </c>
      <c r="Y212" s="91">
        <v>12.9</v>
      </c>
      <c r="Z212" s="154">
        <v>40</v>
      </c>
      <c r="AA212" s="153">
        <v>0.40694444444444444</v>
      </c>
      <c r="AB212" s="154">
        <v>98</v>
      </c>
      <c r="AC212" s="154">
        <v>13.4</v>
      </c>
      <c r="AD212" s="94"/>
      <c r="AE212" s="94">
        <f>Table3.110[[#This Row],[Gas 8h, ml]]-Table3.110[[#This Row],[Gas 0h, ml]]</f>
        <v>40</v>
      </c>
      <c r="AF212" s="94">
        <f>Table3.110[[#This Row],[Gas 24h, ml]]-Table3.110[[#This Row],[V8 Push back, ml]]</f>
        <v>58</v>
      </c>
      <c r="AG212" s="94">
        <f>Table3.110[[#This Row],[GP 8h, ml]]-(AVERAGE(AE$116,AE$117,AE$167,AE$166,AE$219,AE$220))*$AG$8</f>
        <v>37.123728042697877</v>
      </c>
      <c r="AH212" s="94">
        <f>Table3.110[[#This Row],[GP 8-24h, ml]]-(AVERAGE(AF$11,AF$12,AF$62,AF$61,AF$114,AF$115))*$AG$8</f>
        <v>54.312471849612663</v>
      </c>
      <c r="AI212" s="94">
        <f>Table3.110[[#This Row],[Net gas 8-24h, ml]]+Table3.110[[#This Row],[Net gas 8h, ml]]</f>
        <v>91.43619989231054</v>
      </c>
      <c r="AJ212" s="94">
        <f>Table3.110[[#This Row],[Net gas 8h, ml]]*Table3.110[[#This Row],[CH4 8h %]]%</f>
        <v>4.7889609175080263</v>
      </c>
      <c r="AK212" s="94">
        <f>Table3.110[[#This Row],[Net gas 8-24h, ml]]*Table3.110[[#This Row],[CH4 24h, %]]%</f>
        <v>7.277871227848097</v>
      </c>
      <c r="AL212" s="94">
        <f>Table3.110[[#This Row],[CH4 8-24h, ml]]+Table3.110[[#This Row],[CH4 8h, ml]]</f>
        <v>12.066832145356123</v>
      </c>
      <c r="AM212" s="94">
        <f>(Table3.110[[#This Row],[Net gas 24h, ml]]/Table3.110[[#This Row],[DM Incubated, mg]])*1000</f>
        <v>188.52620621051551</v>
      </c>
      <c r="AN212" s="94">
        <f>'3.2 Digest'!X212</f>
        <v>57.134484681857032</v>
      </c>
      <c r="AO212" s="94">
        <f>Table3.110[[#This Row],[Digested feed, mg]]/Table3.110[[#This Row],[Net gas 24h, ml]]</f>
        <v>3.0305858177646932</v>
      </c>
      <c r="AP212" s="94">
        <f>Table3.110[[#This Row],[CH4 8h, ml]]/Table3.110[[#This Row],[Net gas 8h, ml]]%</f>
        <v>12.9</v>
      </c>
      <c r="AQ212" s="94">
        <f>Table3.110[[#This Row],[CH4 24h, ml]]/Table3.110[[#This Row],[Net gas 24h, ml]]%</f>
        <v>13.196996550127736</v>
      </c>
      <c r="AR212" s="94">
        <f>Table3.110[[#This Row],[CH4 24h, ml]]/Table3.110[[#This Row],[DM Incubated, mg]]*1000</f>
        <v>24.879796929688435</v>
      </c>
      <c r="AS212" s="94">
        <f>Table3.110[[#This Row],[CH4 24h, ml]]/Table3.110[[#This Row],[Digested feed, mg]]*1000</f>
        <v>43.546024906371429</v>
      </c>
      <c r="AT212" s="94">
        <f>Table3.110[[#This Row],[CH4 24h, ml]]/'3.2 Digest'!AA212</f>
        <v>0.38911722170023216</v>
      </c>
      <c r="AU212" s="94">
        <f>((Table3.110[[#This Row],[CH4 24h, ml]]/28.9)*16.04)/Table3.110[[#This Row],[DM Incubated, mg]]*1000</f>
        <v>13.808717742290744</v>
      </c>
      <c r="AV212" s="94">
        <f>((Table3.110[[#This Row],[CH4 24h, ml]]/28.9)*16.04)/Table3.110[[#This Row],[Digested feed, mg]]*1000</f>
        <v>24.168797214470512</v>
      </c>
      <c r="AW212" s="303"/>
    </row>
    <row r="213" spans="1:49" s="304" customFormat="1" x14ac:dyDescent="0.35">
      <c r="A213" s="89"/>
      <c r="B213" s="90">
        <f t="shared" si="3"/>
        <v>203</v>
      </c>
      <c r="C213" s="140">
        <v>46043</v>
      </c>
      <c r="D213" s="92" t="s">
        <v>102</v>
      </c>
      <c r="E213" s="6" t="s">
        <v>114</v>
      </c>
      <c r="F213" s="133" t="s">
        <v>544</v>
      </c>
      <c r="G213" s="133" t="s">
        <v>116</v>
      </c>
      <c r="H213" s="133" t="s">
        <v>117</v>
      </c>
      <c r="I213" s="6" t="s">
        <v>22</v>
      </c>
      <c r="J213" s="8" t="s">
        <v>23</v>
      </c>
      <c r="K213" s="6" t="s">
        <v>118</v>
      </c>
      <c r="L213" s="6" t="s">
        <v>113</v>
      </c>
      <c r="M213" s="119">
        <v>27</v>
      </c>
      <c r="N213" s="93">
        <v>59</v>
      </c>
      <c r="O213" s="6">
        <v>2</v>
      </c>
      <c r="P213" s="129">
        <v>1</v>
      </c>
      <c r="Q213" s="6">
        <v>51</v>
      </c>
      <c r="R213" s="98">
        <v>0.50039999999999996</v>
      </c>
      <c r="S213" s="94">
        <f>((Table3.110[[#This Row],[Sample weight, g]]*'2.1. DM'!Q73)/100)*1000</f>
        <v>467.86036003873045</v>
      </c>
      <c r="T213" s="94">
        <f>'3.2 Digest'!W213</f>
        <v>249.56036003873041</v>
      </c>
      <c r="U213" s="117">
        <v>0.38680555555555557</v>
      </c>
      <c r="V213" s="155">
        <v>40.5</v>
      </c>
      <c r="W213" s="117">
        <v>0.71319444444444446</v>
      </c>
      <c r="X213" s="96">
        <v>79</v>
      </c>
      <c r="Y213" s="96">
        <v>13</v>
      </c>
      <c r="Z213" s="155">
        <v>40.5</v>
      </c>
      <c r="AA213" s="117">
        <v>0.40763888888888888</v>
      </c>
      <c r="AB213" s="155">
        <v>85</v>
      </c>
      <c r="AC213" s="155">
        <v>15.9</v>
      </c>
      <c r="AD213" s="94"/>
      <c r="AE213" s="94">
        <f>Table3.110[[#This Row],[Gas 8h, ml]]-Table3.110[[#This Row],[Gas 0h, ml]]</f>
        <v>38.5</v>
      </c>
      <c r="AF213" s="94">
        <f>Table3.110[[#This Row],[Gas 24h, ml]]-Table3.110[[#This Row],[V8 Push back, ml]]</f>
        <v>44.5</v>
      </c>
      <c r="AG213" s="94">
        <f>Table3.110[[#This Row],[GP 8h, ml]]-(AVERAGE(AE$116,AE$117,AE$167,AE$166,AE$219,AE$220))*$AG$8</f>
        <v>35.623728042697877</v>
      </c>
      <c r="AH213" s="94">
        <f>Table3.110[[#This Row],[GP 8-24h, ml]]-(AVERAGE(AF$11,AF$12,AF$62,AF$61,AF$114,AF$115))*$AG$8</f>
        <v>40.812471849612663</v>
      </c>
      <c r="AI213" s="94">
        <f>Table3.110[[#This Row],[Net gas 8-24h, ml]]+Table3.110[[#This Row],[Net gas 8h, ml]]</f>
        <v>76.43619989231054</v>
      </c>
      <c r="AJ213" s="94">
        <f>Table3.110[[#This Row],[Net gas 8h, ml]]*Table3.110[[#This Row],[CH4 8h %]]%</f>
        <v>4.6310846455507244</v>
      </c>
      <c r="AK213" s="94">
        <f>Table3.110[[#This Row],[Net gas 8-24h, ml]]*Table3.110[[#This Row],[CH4 24h, %]]%</f>
        <v>6.4891830240884136</v>
      </c>
      <c r="AL213" s="94">
        <f>Table3.110[[#This Row],[CH4 8-24h, ml]]+Table3.110[[#This Row],[CH4 8h, ml]]</f>
        <v>11.120267669639137</v>
      </c>
      <c r="AM213" s="94">
        <f>(Table3.110[[#This Row],[Net gas 24h, ml]]/Table3.110[[#This Row],[DM Incubated, mg]])*1000</f>
        <v>163.3739603115404</v>
      </c>
      <c r="AN213" s="94">
        <f>'3.2 Digest'!X213</f>
        <v>53.340778863606076</v>
      </c>
      <c r="AO213" s="94">
        <f>Table3.110[[#This Row],[Digested feed, mg]]/Table3.110[[#This Row],[Net gas 24h, ml]]</f>
        <v>3.2649498587100236</v>
      </c>
      <c r="AP213" s="94">
        <f>Table3.110[[#This Row],[CH4 8h, ml]]/Table3.110[[#This Row],[Net gas 8h, ml]]%</f>
        <v>13.000000000000002</v>
      </c>
      <c r="AQ213" s="94">
        <f>Table3.110[[#This Row],[CH4 24h, ml]]/Table3.110[[#This Row],[Net gas 24h, ml]]%</f>
        <v>14.548430828987135</v>
      </c>
      <c r="AR213" s="94">
        <f>Table3.110[[#This Row],[CH4 24h, ml]]/Table3.110[[#This Row],[DM Incubated, mg]]*1000</f>
        <v>23.768347608501344</v>
      </c>
      <c r="AS213" s="94">
        <f>Table3.110[[#This Row],[CH4 24h, ml]]/Table3.110[[#This Row],[Digested feed, mg]]*1000</f>
        <v>44.559431104817016</v>
      </c>
      <c r="AT213" s="94">
        <f>Table3.110[[#This Row],[CH4 24h, ml]]/'3.2 Digest'!AA213</f>
        <v>9.6180389228886671</v>
      </c>
      <c r="AU213" s="94">
        <f>((Table3.110[[#This Row],[CH4 24h, ml]]/28.9)*16.04)/Table3.110[[#This Row],[DM Incubated, mg]]*1000</f>
        <v>13.191844139804898</v>
      </c>
      <c r="AV213" s="94">
        <f>((Table3.110[[#This Row],[CH4 24h, ml]]/28.9)*16.04)/Table3.110[[#This Row],[Digested feed, mg]]*1000</f>
        <v>24.731255187587021</v>
      </c>
      <c r="AW213" s="303"/>
    </row>
    <row r="214" spans="1:49" s="304" customFormat="1" x14ac:dyDescent="0.35">
      <c r="A214" s="89"/>
      <c r="B214" s="90">
        <f t="shared" si="3"/>
        <v>204</v>
      </c>
      <c r="C214" s="140">
        <v>46043</v>
      </c>
      <c r="D214" s="92" t="s">
        <v>102</v>
      </c>
      <c r="E214" s="6" t="s">
        <v>114</v>
      </c>
      <c r="F214" s="133" t="s">
        <v>544</v>
      </c>
      <c r="G214" s="133" t="s">
        <v>116</v>
      </c>
      <c r="H214" s="133" t="s">
        <v>117</v>
      </c>
      <c r="I214" s="6" t="s">
        <v>22</v>
      </c>
      <c r="J214" s="8" t="s">
        <v>23</v>
      </c>
      <c r="K214" s="6" t="s">
        <v>118</v>
      </c>
      <c r="L214" s="6" t="s">
        <v>113</v>
      </c>
      <c r="M214" s="119">
        <v>27</v>
      </c>
      <c r="N214" s="93">
        <v>59</v>
      </c>
      <c r="O214" s="6">
        <v>2</v>
      </c>
      <c r="P214" s="129">
        <v>2</v>
      </c>
      <c r="Q214" s="6">
        <v>52</v>
      </c>
      <c r="R214" s="98">
        <v>0.50009999999999999</v>
      </c>
      <c r="S214" s="94">
        <f>((Table3.110[[#This Row],[Sample weight, g]]*'2.1. DM'!Q73)/100)*1000</f>
        <v>467.57986821616527</v>
      </c>
      <c r="T214" s="94">
        <f>'3.2 Digest'!W214</f>
        <v>223.57986821616527</v>
      </c>
      <c r="U214" s="153">
        <v>0.38750000000000001</v>
      </c>
      <c r="V214" s="154">
        <v>40.5</v>
      </c>
      <c r="W214" s="153">
        <v>0.71319444444444446</v>
      </c>
      <c r="X214" s="91">
        <v>77.5</v>
      </c>
      <c r="Y214" s="91">
        <v>14</v>
      </c>
      <c r="Z214" s="154">
        <v>40.5</v>
      </c>
      <c r="AA214" s="153">
        <v>0.40833333333333333</v>
      </c>
      <c r="AB214" s="154">
        <v>85</v>
      </c>
      <c r="AC214" s="154">
        <v>16.100000000000001</v>
      </c>
      <c r="AD214" s="94"/>
      <c r="AE214" s="94">
        <f>Table3.110[[#This Row],[Gas 8h, ml]]-Table3.110[[#This Row],[Gas 0h, ml]]</f>
        <v>37</v>
      </c>
      <c r="AF214" s="94">
        <f>Table3.110[[#This Row],[Gas 24h, ml]]-Table3.110[[#This Row],[V8 Push back, ml]]</f>
        <v>44.5</v>
      </c>
      <c r="AG214" s="94">
        <f>Table3.110[[#This Row],[GP 8h, ml]]-(AVERAGE(AE$116,AE$117,AE$167,AE$166,AE$219,AE$220))*$AG$8</f>
        <v>34.123728042697877</v>
      </c>
      <c r="AH214" s="94">
        <f>Table3.110[[#This Row],[GP 8-24h, ml]]-(AVERAGE(AF$11,AF$12,AF$62,AF$61,AF$114,AF$115))*$AG$8</f>
        <v>40.812471849612663</v>
      </c>
      <c r="AI214" s="94">
        <f>Table3.110[[#This Row],[Net gas 8-24h, ml]]+Table3.110[[#This Row],[Net gas 8h, ml]]</f>
        <v>74.93619989231054</v>
      </c>
      <c r="AJ214" s="94">
        <f>Table3.110[[#This Row],[Net gas 8h, ml]]*Table3.110[[#This Row],[CH4 8h %]]%</f>
        <v>4.7773219259777031</v>
      </c>
      <c r="AK214" s="94">
        <f>Table3.110[[#This Row],[Net gas 8-24h, ml]]*Table3.110[[#This Row],[CH4 24h, %]]%</f>
        <v>6.5708079677876388</v>
      </c>
      <c r="AL214" s="94">
        <f>Table3.110[[#This Row],[CH4 8-24h, ml]]+Table3.110[[#This Row],[CH4 8h, ml]]</f>
        <v>11.348129893765343</v>
      </c>
      <c r="AM214" s="94">
        <f>(Table3.110[[#This Row],[Net gas 24h, ml]]/Table3.110[[#This Row],[DM Incubated, mg]])*1000</f>
        <v>160.2639569966837</v>
      </c>
      <c r="AN214" s="94">
        <f>'3.2 Digest'!X214</f>
        <v>47.816401734559456</v>
      </c>
      <c r="AO214" s="94">
        <f>Table3.110[[#This Row],[Digested feed, mg]]/Table3.110[[#This Row],[Net gas 24h, ml]]</f>
        <v>2.9836029654221572</v>
      </c>
      <c r="AP214" s="94">
        <f>Table3.110[[#This Row],[CH4 8h, ml]]/Table3.110[[#This Row],[Net gas 8h, ml]]%</f>
        <v>14.000000000000002</v>
      </c>
      <c r="AQ214" s="94">
        <f>Table3.110[[#This Row],[CH4 24h, ml]]/Table3.110[[#This Row],[Net gas 24h, ml]]%</f>
        <v>15.14372213973158</v>
      </c>
      <c r="AR214" s="94">
        <f>Table3.110[[#This Row],[CH4 24h, ml]]/Table3.110[[#This Row],[DM Incubated, mg]]*1000</f>
        <v>24.269928337716685</v>
      </c>
      <c r="AS214" s="94">
        <f>Table3.110[[#This Row],[CH4 24h, ml]]/Table3.110[[#This Row],[Digested feed, mg]]*1000</f>
        <v>50.756492453039435</v>
      </c>
      <c r="AT214" s="94">
        <f>Table3.110[[#This Row],[CH4 24h, ml]]/'3.2 Digest'!AA214</f>
        <v>-1.0759825217345402</v>
      </c>
      <c r="AU214" s="94">
        <f>((Table3.110[[#This Row],[CH4 24h, ml]]/28.9)*16.04)/Table3.110[[#This Row],[DM Incubated, mg]]*1000</f>
        <v>13.470230122386701</v>
      </c>
      <c r="AV214" s="94">
        <f>((Table3.110[[#This Row],[CH4 24h, ml]]/28.9)*16.04)/Table3.110[[#This Row],[Digested feed, mg]]*1000</f>
        <v>28.170731451444723</v>
      </c>
      <c r="AW214" s="303"/>
    </row>
    <row r="215" spans="1:49" s="304" customFormat="1" x14ac:dyDescent="0.35">
      <c r="A215" s="89"/>
      <c r="B215" s="90">
        <f t="shared" si="3"/>
        <v>205</v>
      </c>
      <c r="C215" s="140">
        <v>46043</v>
      </c>
      <c r="D215" s="92" t="s">
        <v>102</v>
      </c>
      <c r="E215" s="6" t="s">
        <v>114</v>
      </c>
      <c r="F215" s="133" t="s">
        <v>544</v>
      </c>
      <c r="G215" s="133" t="s">
        <v>116</v>
      </c>
      <c r="H215" s="133" t="s">
        <v>117</v>
      </c>
      <c r="I215" s="6" t="s">
        <v>22</v>
      </c>
      <c r="J215" s="8" t="s">
        <v>23</v>
      </c>
      <c r="K215" s="6" t="s">
        <v>118</v>
      </c>
      <c r="L215" s="6" t="s">
        <v>113</v>
      </c>
      <c r="M215" s="119">
        <v>27</v>
      </c>
      <c r="N215" s="93">
        <v>59</v>
      </c>
      <c r="O215" s="6">
        <v>2</v>
      </c>
      <c r="P215" s="129">
        <v>3</v>
      </c>
      <c r="Q215" s="6">
        <v>53</v>
      </c>
      <c r="R215" s="98">
        <v>0.50009999999999999</v>
      </c>
      <c r="S215" s="110">
        <f>((Table3.110[[#This Row],[Sample weight, g]]*'2.1. DM'!Q73)/100)*1000</f>
        <v>467.57986821616527</v>
      </c>
      <c r="T215" s="94">
        <f>'3.2 Digest'!W215</f>
        <v>243.37986821616531</v>
      </c>
      <c r="U215" s="117">
        <v>0.38819444444444445</v>
      </c>
      <c r="V215" s="155">
        <v>40.5</v>
      </c>
      <c r="W215" s="117">
        <v>0.71388888888888891</v>
      </c>
      <c r="X215" s="96">
        <v>80</v>
      </c>
      <c r="Y215" s="96">
        <v>13.8</v>
      </c>
      <c r="Z215" s="155">
        <v>40.5</v>
      </c>
      <c r="AA215" s="117">
        <v>0.40833333333333333</v>
      </c>
      <c r="AB215" s="155">
        <v>86.5</v>
      </c>
      <c r="AC215" s="155">
        <v>16.100000000000001</v>
      </c>
      <c r="AD215" s="94"/>
      <c r="AE215" s="94">
        <f>Table3.110[[#This Row],[Gas 8h, ml]]-Table3.110[[#This Row],[Gas 0h, ml]]</f>
        <v>39.5</v>
      </c>
      <c r="AF215" s="94">
        <f>Table3.110[[#This Row],[Gas 24h, ml]]-Table3.110[[#This Row],[V8 Push back, ml]]</f>
        <v>46</v>
      </c>
      <c r="AG215" s="94">
        <f>Table3.110[[#This Row],[GP 8h, ml]]-(AVERAGE(AE$116,AE$117,AE$167,AE$166,AE$219,AE$220))*$AG$8</f>
        <v>36.623728042697877</v>
      </c>
      <c r="AH215" s="94">
        <f>Table3.110[[#This Row],[GP 8-24h, ml]]-(AVERAGE(AF$11,AF$12,AF$62,AF$61,AF$114,AF$115))*$AG$8</f>
        <v>42.312471849612663</v>
      </c>
      <c r="AI215" s="94">
        <f>Table3.110[[#This Row],[Net gas 8-24h, ml]]+Table3.110[[#This Row],[Net gas 8h, ml]]</f>
        <v>78.93619989231054</v>
      </c>
      <c r="AJ215" s="94">
        <f>Table3.110[[#This Row],[Net gas 8h, ml]]*Table3.110[[#This Row],[CH4 8h %]]%</f>
        <v>5.0540744698923072</v>
      </c>
      <c r="AK215" s="94">
        <f>Table3.110[[#This Row],[Net gas 8-24h, ml]]*Table3.110[[#This Row],[CH4 24h, %]]%</f>
        <v>6.812307967787639</v>
      </c>
      <c r="AL215" s="94">
        <f>Table3.110[[#This Row],[CH4 8-24h, ml]]+Table3.110[[#This Row],[CH4 8h, ml]]</f>
        <v>11.866382437679945</v>
      </c>
      <c r="AM215" s="94">
        <f>(Table3.110[[#This Row],[Net gas 24h, ml]]/Table3.110[[#This Row],[DM Incubated, mg]])*1000</f>
        <v>168.81864523691985</v>
      </c>
      <c r="AN215" s="94">
        <f>'3.2 Digest'!X215</f>
        <v>52.050972413476359</v>
      </c>
      <c r="AO215" s="94">
        <f>Table3.110[[#This Row],[Digested feed, mg]]/Table3.110[[#This Row],[Net gas 24h, ml]]</f>
        <v>3.0832478450723317</v>
      </c>
      <c r="AP215" s="94">
        <f>Table3.110[[#This Row],[CH4 8h, ml]]/Table3.110[[#This Row],[Net gas 8h, ml]]%</f>
        <v>13.8</v>
      </c>
      <c r="AQ215" s="94">
        <f>Table3.110[[#This Row],[CH4 24h, ml]]/Table3.110[[#This Row],[Net gas 24h, ml]]%</f>
        <v>15.032877759340796</v>
      </c>
      <c r="AR215" s="94">
        <f>Table3.110[[#This Row],[CH4 24h, ml]]/Table3.110[[#This Row],[DM Incubated, mg]]*1000</f>
        <v>25.378300573441368</v>
      </c>
      <c r="AS215" s="94">
        <f>Table3.110[[#This Row],[CH4 24h, ml]]/Table3.110[[#This Row],[Digested feed, mg]]*1000</f>
        <v>48.756631042056668</v>
      </c>
      <c r="AT215" s="94">
        <f>Table3.110[[#This Row],[CH4 24h, ml]]/'3.2 Digest'!AA215</f>
        <v>-7.528653414423923</v>
      </c>
      <c r="AU215" s="94">
        <f>((Table3.110[[#This Row],[CH4 24h, ml]]/28.9)*16.04)/Table3.110[[#This Row],[DM Incubated, mg]]*1000</f>
        <v>14.085395889204134</v>
      </c>
      <c r="AV215" s="94">
        <f>((Table3.110[[#This Row],[CH4 24h, ml]]/28.9)*16.04)/Table3.110[[#This Row],[Digested feed, mg]]*1000</f>
        <v>27.060773768670895</v>
      </c>
      <c r="AW215" s="303"/>
    </row>
    <row r="216" spans="1:49" s="304" customFormat="1" x14ac:dyDescent="0.35">
      <c r="A216" s="89"/>
      <c r="B216" s="90">
        <f t="shared" si="3"/>
        <v>206</v>
      </c>
      <c r="C216" s="140">
        <v>46043</v>
      </c>
      <c r="D216" s="8" t="s">
        <v>120</v>
      </c>
      <c r="E216" s="6" t="s">
        <v>122</v>
      </c>
      <c r="F216" s="133" t="s">
        <v>123</v>
      </c>
      <c r="G216" s="133" t="s">
        <v>545</v>
      </c>
      <c r="H216" s="133" t="s">
        <v>125</v>
      </c>
      <c r="I216" s="6" t="s">
        <v>108</v>
      </c>
      <c r="J216" s="8" t="s">
        <v>109</v>
      </c>
      <c r="K216" s="6" t="s">
        <v>110</v>
      </c>
      <c r="L216" s="6" t="s">
        <v>121</v>
      </c>
      <c r="M216" s="119">
        <v>27</v>
      </c>
      <c r="N216" s="93">
        <v>59</v>
      </c>
      <c r="O216" s="6">
        <v>2</v>
      </c>
      <c r="P216" s="129">
        <v>1</v>
      </c>
      <c r="Q216" s="6">
        <v>54</v>
      </c>
      <c r="R216" s="98">
        <v>0.50009999999999999</v>
      </c>
      <c r="S216" s="94">
        <f>((Table3.110[[#This Row],[Sample weight, g]]*'2.1. DM'!Q75)/100)*1000</f>
        <v>467.84354999999999</v>
      </c>
      <c r="T216" s="94">
        <f>'3.2 Digest'!W216</f>
        <v>90.443550000000016</v>
      </c>
      <c r="U216" s="153">
        <v>0.3888888888888889</v>
      </c>
      <c r="V216" s="154">
        <v>40.5</v>
      </c>
      <c r="W216" s="153">
        <v>0.71388888888888891</v>
      </c>
      <c r="X216" s="91">
        <v>59.5</v>
      </c>
      <c r="Y216" s="91">
        <v>15.1</v>
      </c>
      <c r="Z216" s="154">
        <v>40</v>
      </c>
      <c r="AA216" s="153">
        <v>0.40833333333333333</v>
      </c>
      <c r="AB216" s="154">
        <v>68</v>
      </c>
      <c r="AC216" s="154">
        <v>16.100000000000001</v>
      </c>
      <c r="AD216" s="94"/>
      <c r="AE216" s="94">
        <f>Table3.110[[#This Row],[Gas 8h, ml]]-Table3.110[[#This Row],[Gas 0h, ml]]</f>
        <v>19</v>
      </c>
      <c r="AF216" s="94">
        <f>Table3.110[[#This Row],[Gas 24h, ml]]-Table3.110[[#This Row],[V8 Push back, ml]]</f>
        <v>28</v>
      </c>
      <c r="AG216" s="94">
        <f>Table3.110[[#This Row],[GP 8h, ml]]-(AVERAGE(AE$116,AE$117,AE$167,AE$166,AE$219,AE$220))*$AG$8</f>
        <v>16.123728042697874</v>
      </c>
      <c r="AH216" s="94">
        <f>Table3.110[[#This Row],[GP 8-24h, ml]]-(AVERAGE(AF$11,AF$12,AF$62,AF$61,AF$114,AF$115))*$AG$8</f>
        <v>24.31247184961266</v>
      </c>
      <c r="AI216" s="94">
        <f>Table3.110[[#This Row],[Net gas 8-24h, ml]]+Table3.110[[#This Row],[Net gas 8h, ml]]</f>
        <v>40.436199892310533</v>
      </c>
      <c r="AJ216" s="94">
        <f>Table3.110[[#This Row],[Net gas 8h, ml]]*Table3.110[[#This Row],[CH4 8h %]]%</f>
        <v>2.434682934447379</v>
      </c>
      <c r="AK216" s="94">
        <f>Table3.110[[#This Row],[Net gas 8-24h, ml]]*Table3.110[[#This Row],[CH4 24h, %]]%</f>
        <v>3.9143079677876385</v>
      </c>
      <c r="AL216" s="94">
        <f>Table3.110[[#This Row],[CH4 8-24h, ml]]+Table3.110[[#This Row],[CH4 8h, ml]]</f>
        <v>6.3489909022350179</v>
      </c>
      <c r="AM216" s="94">
        <f>(Table3.110[[#This Row],[Net gas 24h, ml]]/Table3.110[[#This Row],[DM Incubated, mg]])*1000</f>
        <v>86.431029972114686</v>
      </c>
      <c r="AN216" s="94">
        <f>'3.2 Digest'!X216</f>
        <v>19.332007462751175</v>
      </c>
      <c r="AO216" s="94">
        <f>Table3.110[[#This Row],[Digested feed, mg]]/Table3.110[[#This Row],[Net gas 24h, ml]]</f>
        <v>2.2366975690314317</v>
      </c>
      <c r="AP216" s="94">
        <f>Table3.110[[#This Row],[CH4 8h, ml]]/Table3.110[[#This Row],[Net gas 8h, ml]]%</f>
        <v>15.1</v>
      </c>
      <c r="AQ216" s="94">
        <f>Table3.110[[#This Row],[CH4 24h, ml]]/Table3.110[[#This Row],[Net gas 24h, ml]]%</f>
        <v>15.70125511087495</v>
      </c>
      <c r="AR216" s="94">
        <f>Table3.110[[#This Row],[CH4 24h, ml]]/Table3.110[[#This Row],[DM Incubated, mg]]*1000</f>
        <v>13.570756510878514</v>
      </c>
      <c r="AS216" s="94">
        <f>Table3.110[[#This Row],[CH4 24h, ml]]/Table3.110[[#This Row],[Digested feed, mg]]*1000</f>
        <v>70.198382330580969</v>
      </c>
      <c r="AT216" s="94">
        <f>Table3.110[[#This Row],[CH4 24h, ml]]/'3.2 Digest'!AA216</f>
        <v>-1.0577035836207309</v>
      </c>
      <c r="AU216" s="94">
        <f>((Table3.110[[#This Row],[CH4 24h, ml]]/28.9)*16.04)/Table3.110[[#This Row],[DM Incubated, mg]]*1000</f>
        <v>7.5320046517125041</v>
      </c>
      <c r="AV216" s="94">
        <f>((Table3.110[[#This Row],[CH4 24h, ml]]/28.9)*16.04)/Table3.110[[#This Row],[Digested feed, mg]]*1000</f>
        <v>38.961316698357052</v>
      </c>
      <c r="AW216" s="303"/>
    </row>
    <row r="217" spans="1:49" s="304" customFormat="1" x14ac:dyDescent="0.35">
      <c r="A217" s="89"/>
      <c r="B217" s="90">
        <f t="shared" si="3"/>
        <v>207</v>
      </c>
      <c r="C217" s="140">
        <v>46043</v>
      </c>
      <c r="D217" s="8" t="s">
        <v>120</v>
      </c>
      <c r="E217" s="6" t="s">
        <v>122</v>
      </c>
      <c r="F217" s="133" t="s">
        <v>123</v>
      </c>
      <c r="G217" s="133" t="s">
        <v>545</v>
      </c>
      <c r="H217" s="133" t="s">
        <v>125</v>
      </c>
      <c r="I217" s="6" t="s">
        <v>108</v>
      </c>
      <c r="J217" s="8" t="s">
        <v>109</v>
      </c>
      <c r="K217" s="6" t="s">
        <v>110</v>
      </c>
      <c r="L217" s="6" t="s">
        <v>121</v>
      </c>
      <c r="M217" s="119">
        <v>27</v>
      </c>
      <c r="N217" s="93">
        <v>59</v>
      </c>
      <c r="O217" s="6">
        <v>2</v>
      </c>
      <c r="P217" s="129">
        <v>2</v>
      </c>
      <c r="Q217" s="6">
        <v>55</v>
      </c>
      <c r="R217" s="98">
        <v>0.50019999999999998</v>
      </c>
      <c r="S217" s="110">
        <f>((Table3.110[[#This Row],[Sample weight, g]]*'2.1. DM'!Q75)/100)*1000</f>
        <v>467.93709999999999</v>
      </c>
      <c r="T217" s="94">
        <f>'3.2 Digest'!W217</f>
        <v>73.737099999999998</v>
      </c>
      <c r="U217" s="115">
        <v>0.3888888888888889</v>
      </c>
      <c r="V217" s="94">
        <v>40.5</v>
      </c>
      <c r="W217" s="115">
        <v>0.71458333333333335</v>
      </c>
      <c r="X217" s="93">
        <v>59.5</v>
      </c>
      <c r="Y217" s="93">
        <v>15.9</v>
      </c>
      <c r="Z217" s="94">
        <v>40</v>
      </c>
      <c r="AA217" s="115">
        <v>0.40902777777777777</v>
      </c>
      <c r="AB217" s="94">
        <v>69</v>
      </c>
      <c r="AC217" s="94">
        <v>16.100000000000001</v>
      </c>
      <c r="AD217" s="94"/>
      <c r="AE217" s="94">
        <f>Table3.110[[#This Row],[Gas 8h, ml]]-Table3.110[[#This Row],[Gas 0h, ml]]</f>
        <v>19</v>
      </c>
      <c r="AF217" s="94">
        <f>Table3.110[[#This Row],[Gas 24h, ml]]-Table3.110[[#This Row],[V8 Push back, ml]]</f>
        <v>29</v>
      </c>
      <c r="AG217" s="94">
        <f>Table3.110[[#This Row],[GP 8h, ml]]-(AVERAGE(AE$116,AE$117,AE$167,AE$166,AE$219,AE$220))*$AG$8</f>
        <v>16.123728042697874</v>
      </c>
      <c r="AH217" s="94">
        <f>Table3.110[[#This Row],[GP 8-24h, ml]]-(AVERAGE(AF$11,AF$12,AF$62,AF$61,AF$114,AF$115))*$AG$8</f>
        <v>25.31247184961266</v>
      </c>
      <c r="AI217" s="94">
        <f>Table3.110[[#This Row],[Net gas 8-24h, ml]]+Table3.110[[#This Row],[Net gas 8h, ml]]</f>
        <v>41.436199892310533</v>
      </c>
      <c r="AJ217" s="94">
        <f>Table3.110[[#This Row],[Net gas 8h, ml]]*Table3.110[[#This Row],[CH4 8h %]]%</f>
        <v>2.5636727587889618</v>
      </c>
      <c r="AK217" s="94">
        <f>Table3.110[[#This Row],[Net gas 8-24h, ml]]*Table3.110[[#This Row],[CH4 24h, %]]%</f>
        <v>4.075307967787638</v>
      </c>
      <c r="AL217" s="94">
        <f>Table3.110[[#This Row],[CH4 8-24h, ml]]+Table3.110[[#This Row],[CH4 8h, ml]]</f>
        <v>6.6389807265765999</v>
      </c>
      <c r="AM217" s="94">
        <f>(Table3.110[[#This Row],[Net gas 24h, ml]]/Table3.110[[#This Row],[DM Incubated, mg]])*1000</f>
        <v>88.550790036332955</v>
      </c>
      <c r="AN217" s="94">
        <f>'3.2 Digest'!X217</f>
        <v>15.757908488127997</v>
      </c>
      <c r="AO217" s="94">
        <f>Table3.110[[#This Row],[Digested feed, mg]]/Table3.110[[#This Row],[Net gas 24h, ml]]</f>
        <v>1.779533359517451</v>
      </c>
      <c r="AP217" s="94">
        <f>Table3.110[[#This Row],[CH4 8h, ml]]/Table3.110[[#This Row],[Net gas 8h, ml]]%</f>
        <v>15.899999999999999</v>
      </c>
      <c r="AQ217" s="94">
        <f>Table3.110[[#This Row],[CH4 24h, ml]]/Table3.110[[#This Row],[Net gas 24h, ml]]%</f>
        <v>16.022175643111087</v>
      </c>
      <c r="AR217" s="94">
        <f>Table3.110[[#This Row],[CH4 24h, ml]]/Table3.110[[#This Row],[DM Incubated, mg]]*1000</f>
        <v>14.187763112983776</v>
      </c>
      <c r="AS217" s="94">
        <f>Table3.110[[#This Row],[CH4 24h, ml]]/Table3.110[[#This Row],[Digested feed, mg]]*1000</f>
        <v>90.035826287941887</v>
      </c>
      <c r="AT217" s="94">
        <f>Table3.110[[#This Row],[CH4 24h, ml]]/'3.2 Digest'!AA217</f>
        <v>-0.62051185810894749</v>
      </c>
      <c r="AU217" s="94">
        <f>((Table3.110[[#This Row],[CH4 24h, ml]]/28.9)*16.04)/Table3.110[[#This Row],[DM Incubated, mg]]*1000</f>
        <v>7.8744539907356303</v>
      </c>
      <c r="AV217" s="94">
        <f>((Table3.110[[#This Row],[CH4 24h, ml]]/28.9)*16.04)/Table3.110[[#This Row],[Digested feed, mg]]*1000</f>
        <v>49.971441303065326</v>
      </c>
      <c r="AW217" s="303"/>
    </row>
    <row r="218" spans="1:49" s="304" customFormat="1" x14ac:dyDescent="0.35">
      <c r="A218" s="89"/>
      <c r="B218" s="90">
        <f t="shared" si="3"/>
        <v>208</v>
      </c>
      <c r="C218" s="140">
        <v>46043</v>
      </c>
      <c r="D218" s="8" t="s">
        <v>120</v>
      </c>
      <c r="E218" s="6" t="s">
        <v>122</v>
      </c>
      <c r="F218" s="133" t="s">
        <v>123</v>
      </c>
      <c r="G218" s="133" t="s">
        <v>545</v>
      </c>
      <c r="H218" s="133" t="s">
        <v>125</v>
      </c>
      <c r="I218" s="6" t="s">
        <v>108</v>
      </c>
      <c r="J218" s="8" t="s">
        <v>109</v>
      </c>
      <c r="K218" s="6" t="s">
        <v>110</v>
      </c>
      <c r="L218" s="6" t="s">
        <v>121</v>
      </c>
      <c r="M218" s="119">
        <v>27</v>
      </c>
      <c r="N218" s="93">
        <v>59</v>
      </c>
      <c r="O218" s="6">
        <v>2</v>
      </c>
      <c r="P218" s="129">
        <v>3</v>
      </c>
      <c r="Q218" s="6">
        <v>56</v>
      </c>
      <c r="R218" s="98">
        <v>0.50009999999999999</v>
      </c>
      <c r="S218" s="110">
        <f>((Table3.110[[#This Row],[Sample weight, g]]*'2.1. DM'!Q75)/100)*1000</f>
        <v>467.84354999999999</v>
      </c>
      <c r="T218" s="94">
        <f>'3.2 Digest'!W218</f>
        <v>86.743549999999971</v>
      </c>
      <c r="U218" s="115">
        <v>0.38958333333333334</v>
      </c>
      <c r="V218" s="94">
        <v>40.5</v>
      </c>
      <c r="W218" s="115">
        <v>0.71458333333333335</v>
      </c>
      <c r="X218" s="93">
        <v>60.5</v>
      </c>
      <c r="Y218" s="93">
        <v>14.8</v>
      </c>
      <c r="Z218" s="94">
        <v>40</v>
      </c>
      <c r="AA218" s="115">
        <v>0.40972222222222221</v>
      </c>
      <c r="AB218" s="94">
        <v>68</v>
      </c>
      <c r="AC218" s="94">
        <v>16.100000000000001</v>
      </c>
      <c r="AD218" s="94"/>
      <c r="AE218" s="94">
        <f>Table3.110[[#This Row],[Gas 8h, ml]]-Table3.110[[#This Row],[Gas 0h, ml]]</f>
        <v>20</v>
      </c>
      <c r="AF218" s="94">
        <f>Table3.110[[#This Row],[Gas 24h, ml]]-Table3.110[[#This Row],[V8 Push back, ml]]</f>
        <v>28</v>
      </c>
      <c r="AG218" s="94">
        <f>Table3.110[[#This Row],[GP 8h, ml]]-(AVERAGE(AE$116,AE$117,AE$167,AE$166,AE$219,AE$220))*$AG$8</f>
        <v>17.123728042697874</v>
      </c>
      <c r="AH218" s="94">
        <f>Table3.110[[#This Row],[GP 8-24h, ml]]-(AVERAGE(AF$11,AF$12,AF$62,AF$61,AF$114,AF$115))*$AG$8</f>
        <v>24.31247184961266</v>
      </c>
      <c r="AI218" s="94">
        <f>Table3.110[[#This Row],[Net gas 8-24h, ml]]+Table3.110[[#This Row],[Net gas 8h, ml]]</f>
        <v>41.436199892310533</v>
      </c>
      <c r="AJ218" s="94">
        <f>Table3.110[[#This Row],[Net gas 8h, ml]]*Table3.110[[#This Row],[CH4 8h %]]%</f>
        <v>2.5343117503192856</v>
      </c>
      <c r="AK218" s="94">
        <f>Table3.110[[#This Row],[Net gas 8-24h, ml]]*Table3.110[[#This Row],[CH4 24h, %]]%</f>
        <v>3.9143079677876385</v>
      </c>
      <c r="AL218" s="94">
        <f>Table3.110[[#This Row],[CH4 8-24h, ml]]+Table3.110[[#This Row],[CH4 8h, ml]]</f>
        <v>6.448619718106924</v>
      </c>
      <c r="AM218" s="94">
        <f>(Table3.110[[#This Row],[Net gas 24h, ml]]/Table3.110[[#This Row],[DM Incubated, mg]])*1000</f>
        <v>88.568496653016879</v>
      </c>
      <c r="AN218" s="94">
        <f>'3.2 Digest'!X218</f>
        <v>18.541144790817352</v>
      </c>
      <c r="AO218" s="94">
        <f>Table3.110[[#This Row],[Digested feed, mg]]/Table3.110[[#This Row],[Net gas 24h, ml]]</f>
        <v>2.093424354198496</v>
      </c>
      <c r="AP218" s="94">
        <f>Table3.110[[#This Row],[CH4 8h, ml]]/Table3.110[[#This Row],[Net gas 8h, ml]]%</f>
        <v>14.800000000000002</v>
      </c>
      <c r="AQ218" s="94">
        <f>Table3.110[[#This Row],[CH4 24h, ml]]/Table3.110[[#This Row],[Net gas 24h, ml]]%</f>
        <v>15.562768146853202</v>
      </c>
      <c r="AR218" s="94">
        <f>Table3.110[[#This Row],[CH4 24h, ml]]/Table3.110[[#This Row],[DM Incubated, mg]]*1000</f>
        <v>13.783709785262454</v>
      </c>
      <c r="AS218" s="94">
        <f>Table3.110[[#This Row],[CH4 24h, ml]]/Table3.110[[#This Row],[Digested feed, mg]]*1000</f>
        <v>74.341201370095263</v>
      </c>
      <c r="AT218" s="94">
        <f>Table3.110[[#This Row],[CH4 24h, ml]]/'3.2 Digest'!AA218</f>
        <v>-0.91575521523147385</v>
      </c>
      <c r="AU218" s="94">
        <f>((Table3.110[[#This Row],[CH4 24h, ml]]/28.9)*16.04)/Table3.110[[#This Row],[DM Incubated, mg]]*1000</f>
        <v>7.6501974033082956</v>
      </c>
      <c r="AV218" s="94">
        <f>((Table3.110[[#This Row],[CH4 24h, ml]]/28.9)*16.04)/Table3.110[[#This Row],[Digested feed, mg]]*1000</f>
        <v>41.26065294035736</v>
      </c>
      <c r="AW218" s="303"/>
    </row>
    <row r="219" spans="1:49" s="304" customFormat="1" x14ac:dyDescent="0.35">
      <c r="A219" s="89"/>
      <c r="B219" s="90">
        <f t="shared" si="3"/>
        <v>209</v>
      </c>
      <c r="C219" s="140">
        <v>46043</v>
      </c>
      <c r="D219" s="92"/>
      <c r="E219" s="6" t="s">
        <v>537</v>
      </c>
      <c r="F219" s="133" t="s">
        <v>538</v>
      </c>
      <c r="G219" s="133">
        <v>24</v>
      </c>
      <c r="H219" s="133" t="s">
        <v>537</v>
      </c>
      <c r="I219" s="187"/>
      <c r="J219" s="188"/>
      <c r="K219" s="6"/>
      <c r="L219" s="6" t="s">
        <v>539</v>
      </c>
      <c r="M219" s="119">
        <v>27</v>
      </c>
      <c r="N219" s="93">
        <v>59</v>
      </c>
      <c r="O219" s="6">
        <v>2</v>
      </c>
      <c r="P219" s="129">
        <v>1</v>
      </c>
      <c r="Q219" s="6">
        <v>57</v>
      </c>
      <c r="R219" s="98"/>
      <c r="S219" s="110"/>
      <c r="T219" s="94">
        <f>'3.2 Digest'!W219</f>
        <v>0</v>
      </c>
      <c r="U219" s="153">
        <v>0.38958333333333334</v>
      </c>
      <c r="V219" s="154">
        <v>39.5</v>
      </c>
      <c r="W219" s="153">
        <v>0.71527777777777779</v>
      </c>
      <c r="X219" s="91">
        <v>42.5</v>
      </c>
      <c r="Y219" s="91"/>
      <c r="Z219" s="154">
        <v>39.5</v>
      </c>
      <c r="AA219" s="153"/>
      <c r="AB219" s="154">
        <v>43</v>
      </c>
      <c r="AC219" s="154"/>
      <c r="AD219" s="94"/>
      <c r="AE219" s="94">
        <f>Table3.110[[#This Row],[Gas 8h, ml]]-Table3.110[[#This Row],[Gas 0h, ml]]</f>
        <v>3</v>
      </c>
      <c r="AF219" s="94">
        <f>Table3.110[[#This Row],[Gas 24h, ml]]-Table3.110[[#This Row],[V8 Push back, ml]]</f>
        <v>3.5</v>
      </c>
      <c r="AG219" s="94"/>
      <c r="AH219" s="94"/>
      <c r="AI219" s="94"/>
      <c r="AJ219" s="94"/>
      <c r="AK219" s="94"/>
      <c r="AL219" s="94"/>
      <c r="AM219" s="94"/>
      <c r="AN219" s="94"/>
      <c r="AO219" s="94"/>
      <c r="AP219" s="94"/>
      <c r="AQ219" s="94"/>
      <c r="AR219" s="94"/>
      <c r="AS219" s="94"/>
      <c r="AT219" s="94"/>
      <c r="AU219" s="94"/>
      <c r="AV219" s="94"/>
      <c r="AW219" s="303"/>
    </row>
    <row r="220" spans="1:49" s="304" customFormat="1" x14ac:dyDescent="0.35">
      <c r="A220" s="89"/>
      <c r="B220" s="90">
        <f t="shared" si="3"/>
        <v>210</v>
      </c>
      <c r="C220" s="140">
        <v>46043</v>
      </c>
      <c r="D220" s="92"/>
      <c r="E220" s="6" t="s">
        <v>537</v>
      </c>
      <c r="F220" s="133" t="s">
        <v>538</v>
      </c>
      <c r="G220" s="133">
        <v>24</v>
      </c>
      <c r="H220" s="133" t="s">
        <v>537</v>
      </c>
      <c r="I220" s="187"/>
      <c r="J220" s="188"/>
      <c r="K220" s="6"/>
      <c r="L220" s="6" t="s">
        <v>539</v>
      </c>
      <c r="M220" s="119">
        <v>27</v>
      </c>
      <c r="N220" s="93">
        <v>59</v>
      </c>
      <c r="O220" s="6">
        <v>2</v>
      </c>
      <c r="P220" s="129">
        <v>2</v>
      </c>
      <c r="Q220" s="6">
        <v>58</v>
      </c>
      <c r="R220" s="98"/>
      <c r="S220" s="110"/>
      <c r="T220" s="94">
        <f>'3.2 Digest'!W220</f>
        <v>0</v>
      </c>
      <c r="U220" s="117">
        <v>0.38958333333333334</v>
      </c>
      <c r="V220" s="155">
        <v>40</v>
      </c>
      <c r="W220" s="117">
        <v>0.71527777777777779</v>
      </c>
      <c r="X220" s="96">
        <v>42.5</v>
      </c>
      <c r="Y220" s="96"/>
      <c r="Z220" s="155">
        <v>40</v>
      </c>
      <c r="AA220" s="117"/>
      <c r="AB220" s="155">
        <v>43.5</v>
      </c>
      <c r="AC220" s="155"/>
      <c r="AD220" s="94"/>
      <c r="AE220" s="94">
        <f>Table3.110[[#This Row],[Gas 8h, ml]]-Table3.110[[#This Row],[Gas 0h, ml]]</f>
        <v>2.5</v>
      </c>
      <c r="AF220" s="94">
        <f>Table3.110[[#This Row],[Gas 24h, ml]]-Table3.110[[#This Row],[V8 Push back, ml]]</f>
        <v>3.5</v>
      </c>
      <c r="AG220" s="94"/>
      <c r="AH220" s="94"/>
      <c r="AI220" s="94"/>
      <c r="AJ220" s="94"/>
      <c r="AK220" s="94"/>
      <c r="AL220" s="94"/>
      <c r="AM220" s="94"/>
      <c r="AN220" s="94"/>
      <c r="AO220" s="94"/>
      <c r="AP220" s="94"/>
      <c r="AQ220" s="94"/>
      <c r="AR220" s="94"/>
      <c r="AS220" s="94"/>
      <c r="AT220" s="94"/>
      <c r="AU220" s="94"/>
      <c r="AV220" s="94"/>
      <c r="AW220" s="303"/>
    </row>
    <row r="221" spans="1:49" s="304" customFormat="1" x14ac:dyDescent="0.35">
      <c r="A221" s="89"/>
      <c r="B221" s="90">
        <f t="shared" si="3"/>
        <v>211</v>
      </c>
      <c r="C221" s="143">
        <v>46076</v>
      </c>
      <c r="D221" s="92"/>
      <c r="E221" s="124" t="s">
        <v>537</v>
      </c>
      <c r="F221" s="242"/>
      <c r="G221" s="242"/>
      <c r="H221" s="124" t="s">
        <v>537</v>
      </c>
      <c r="I221" s="242"/>
      <c r="J221" s="243"/>
      <c r="K221" s="243"/>
      <c r="L221" s="124" t="s">
        <v>537</v>
      </c>
      <c r="M221" s="119">
        <v>27</v>
      </c>
      <c r="N221" s="93">
        <v>69</v>
      </c>
      <c r="O221" s="6">
        <v>3</v>
      </c>
      <c r="P221" s="6">
        <v>1</v>
      </c>
      <c r="Q221" s="6">
        <v>73</v>
      </c>
      <c r="R221" s="98"/>
      <c r="S221" s="94"/>
      <c r="T221" s="94">
        <f>'3.2 Digest'!W221</f>
        <v>0</v>
      </c>
      <c r="U221" s="153">
        <v>0.32291666666666669</v>
      </c>
      <c r="V221" s="154">
        <v>40</v>
      </c>
      <c r="W221" s="153">
        <v>0.65694444444444444</v>
      </c>
      <c r="X221" s="91">
        <v>41</v>
      </c>
      <c r="Y221" s="91"/>
      <c r="Z221" s="154">
        <v>40</v>
      </c>
      <c r="AA221" s="153">
        <v>0.32708333333333334</v>
      </c>
      <c r="AB221" s="154">
        <v>41.5</v>
      </c>
      <c r="AC221" s="154"/>
      <c r="AD221" s="91"/>
      <c r="AE221" s="94">
        <f>Table3.110[[#This Row],[Gas 8h, ml]]-Table3.110[[#This Row],[Gas 0h, ml]]</f>
        <v>1</v>
      </c>
      <c r="AF221" s="94">
        <f>Table3.110[[#This Row],[Gas 24h, ml]]-Table3.110[[#This Row],[V8 Push back, ml]]</f>
        <v>1.5</v>
      </c>
      <c r="AG221" s="94"/>
      <c r="AH221" s="94"/>
      <c r="AI221" s="94"/>
      <c r="AJ221" s="94"/>
      <c r="AK221" s="94"/>
      <c r="AL221" s="94"/>
      <c r="AM221" s="94"/>
      <c r="AN221" s="94"/>
      <c r="AO221" s="94"/>
      <c r="AP221" s="94"/>
      <c r="AQ221" s="94"/>
      <c r="AR221" s="94"/>
      <c r="AS221" s="94"/>
      <c r="AT221" s="94"/>
      <c r="AU221" s="94"/>
      <c r="AV221" s="94"/>
      <c r="AW221" s="303"/>
    </row>
    <row r="222" spans="1:49" s="304" customFormat="1" x14ac:dyDescent="0.35">
      <c r="A222" s="89"/>
      <c r="B222" s="90">
        <f t="shared" si="3"/>
        <v>212</v>
      </c>
      <c r="C222" s="143">
        <v>46076</v>
      </c>
      <c r="D222" s="92"/>
      <c r="E222" s="124" t="s">
        <v>537</v>
      </c>
      <c r="F222" s="242"/>
      <c r="G222" s="242"/>
      <c r="H222" s="124" t="s">
        <v>537</v>
      </c>
      <c r="I222" s="242"/>
      <c r="J222" s="243"/>
      <c r="K222" s="243"/>
      <c r="L222" s="124" t="s">
        <v>537</v>
      </c>
      <c r="M222" s="119">
        <v>27</v>
      </c>
      <c r="N222" s="93">
        <v>69</v>
      </c>
      <c r="O222" s="6">
        <v>3</v>
      </c>
      <c r="P222" s="129">
        <v>2</v>
      </c>
      <c r="Q222" s="6">
        <v>74</v>
      </c>
      <c r="R222" s="98"/>
      <c r="S222" s="94"/>
      <c r="T222" s="94">
        <f>'3.2 Digest'!W222</f>
        <v>0</v>
      </c>
      <c r="U222" s="117">
        <v>0.32361111111111113</v>
      </c>
      <c r="V222" s="155">
        <v>40</v>
      </c>
      <c r="W222" s="117">
        <v>0.65694444444444444</v>
      </c>
      <c r="X222" s="96">
        <v>41.5</v>
      </c>
      <c r="Y222" s="96"/>
      <c r="Z222" s="155">
        <v>40</v>
      </c>
      <c r="AA222" s="117">
        <v>0.32708333333333334</v>
      </c>
      <c r="AB222" s="155">
        <v>42.5</v>
      </c>
      <c r="AC222" s="155"/>
      <c r="AD222" s="96" t="s">
        <v>549</v>
      </c>
      <c r="AE222" s="94">
        <f>Table3.110[[#This Row],[Gas 8h, ml]]-Table3.110[[#This Row],[Gas 0h, ml]]</f>
        <v>1.5</v>
      </c>
      <c r="AF222" s="94">
        <f>Table3.110[[#This Row],[Gas 24h, ml]]-Table3.110[[#This Row],[V8 Push back, ml]]</f>
        <v>2.5</v>
      </c>
      <c r="AG222" s="94"/>
      <c r="AH222" s="94"/>
      <c r="AI222" s="94"/>
      <c r="AJ222" s="94"/>
      <c r="AK222" s="94"/>
      <c r="AL222" s="94"/>
      <c r="AM222" s="94"/>
      <c r="AN222" s="94"/>
      <c r="AO222" s="94"/>
      <c r="AP222" s="94"/>
      <c r="AQ222" s="94"/>
      <c r="AR222" s="94"/>
      <c r="AS222" s="94"/>
      <c r="AT222" s="94"/>
      <c r="AU222" s="94"/>
      <c r="AV222" s="94"/>
      <c r="AW222" s="303"/>
    </row>
    <row r="223" spans="1:49" s="304" customFormat="1" x14ac:dyDescent="0.35">
      <c r="A223" s="89"/>
      <c r="B223" s="90">
        <f t="shared" si="3"/>
        <v>213</v>
      </c>
      <c r="C223" s="140">
        <v>46076</v>
      </c>
      <c r="D223" s="92" t="s">
        <v>16</v>
      </c>
      <c r="E223" s="6" t="str">
        <f>'[1]1. Information samples'!$F$16</f>
        <v>CIAT-13262</v>
      </c>
      <c r="F223" s="6" t="s">
        <v>19</v>
      </c>
      <c r="G223" s="6" t="s">
        <v>20</v>
      </c>
      <c r="H223" s="6" t="str">
        <f>'[1]1. Information samples'!$I$16</f>
        <v>Dendrolobium triangulare</v>
      </c>
      <c r="I223" s="6" t="s">
        <v>22</v>
      </c>
      <c r="J223" s="129" t="s">
        <v>23</v>
      </c>
      <c r="K223" s="129" t="s">
        <v>24</v>
      </c>
      <c r="L223" s="6" t="str">
        <f>'[1]1. Information samples'!$E$16</f>
        <v>F251728</v>
      </c>
      <c r="M223" s="119">
        <v>27</v>
      </c>
      <c r="N223" s="93">
        <v>69</v>
      </c>
      <c r="O223" s="6">
        <v>3</v>
      </c>
      <c r="P223" s="129">
        <v>1</v>
      </c>
      <c r="Q223" s="6">
        <v>75</v>
      </c>
      <c r="R223" s="98">
        <v>0.50060000000000004</v>
      </c>
      <c r="S223" s="94">
        <f>((Table3.110[[#This Row],[Sample weight, g]]*'2.1. DM'!Q11)/100)*1000</f>
        <v>475.23100349065726</v>
      </c>
      <c r="T223" s="94">
        <f>'3.2 Digest'!W223</f>
        <v>139.33100349065717</v>
      </c>
      <c r="U223" s="153">
        <v>0.32430555555555557</v>
      </c>
      <c r="V223" s="154">
        <v>41</v>
      </c>
      <c r="W223" s="153">
        <v>0.65763888888888888</v>
      </c>
      <c r="X223" s="91">
        <v>73.5</v>
      </c>
      <c r="Y223" s="91">
        <v>12.9</v>
      </c>
      <c r="Z223" s="154">
        <v>40</v>
      </c>
      <c r="AA223" s="153">
        <v>0.33333333333333331</v>
      </c>
      <c r="AB223" s="154">
        <v>63</v>
      </c>
      <c r="AC223" s="154">
        <v>16.7</v>
      </c>
      <c r="AD223" s="91"/>
      <c r="AE223" s="94">
        <f>Table3.110[[#This Row],[Gas 8h, ml]]-Table3.110[[#This Row],[Gas 0h, ml]]</f>
        <v>32.5</v>
      </c>
      <c r="AF223" s="94">
        <f>Table3.110[[#This Row],[Gas 24h, ml]]-Table3.110[[#This Row],[V8 Push back, ml]]</f>
        <v>23</v>
      </c>
      <c r="AG223" s="94">
        <f>Table3.110[[#This Row],[GP 8h, ml]]-(AVERAGE(AE$221,AE$222,AE$255,AE$256,AE$291,AE$292))*$AG$8</f>
        <v>31.024988739845064</v>
      </c>
      <c r="AH223" s="94">
        <f>Table3.110[[#This Row],[GP 8-24h, ml]]-(AVERAGE(AF$221,AF$222,AF$255,AF$256,AF$291,AF$292))*$AG$8</f>
        <v>21.008734798790837</v>
      </c>
      <c r="AI223" s="94">
        <f>Table3.110[[#This Row],[Net gas 8-24h, ml]]+Table3.110[[#This Row],[Net gas 8h, ml]]</f>
        <v>52.033723538635897</v>
      </c>
      <c r="AJ223" s="94">
        <f>Table3.110[[#This Row],[Net gas 8h, ml]]*Table3.110[[#This Row],[CH4 8h %]]%</f>
        <v>4.0022235474400132</v>
      </c>
      <c r="AK223" s="94">
        <f>Table3.110[[#This Row],[Net gas 8-24h, ml]]*Table3.110[[#This Row],[CH4 24h, %]]%</f>
        <v>3.5084587113980694</v>
      </c>
      <c r="AL223" s="94">
        <f>Table3.110[[#This Row],[CH4 8-24h, ml]]+Table3.110[[#This Row],[CH4 8h, ml]]</f>
        <v>7.5106822588380826</v>
      </c>
      <c r="AM223" s="94">
        <f>(Table3.110[[#This Row],[Net gas 24h, ml]]/Table3.110[[#This Row],[DM Incubated, mg]])*1000</f>
        <v>109.49143291670542</v>
      </c>
      <c r="AN223" s="94">
        <f>'3.2 Digest'!X223</f>
        <v>29.31858453409939</v>
      </c>
      <c r="AO223" s="94">
        <f>Table3.110[[#This Row],[Digested feed, mg]]/Table3.110[[#This Row],[Net gas 24h, ml]]</f>
        <v>2.6777058033757974</v>
      </c>
      <c r="AP223" s="94">
        <f>Table3.110[[#This Row],[CH4 8h, ml]]/Table3.110[[#This Row],[Net gas 8h, ml]]%</f>
        <v>12.899999999999999</v>
      </c>
      <c r="AQ223" s="94">
        <f>Table3.110[[#This Row],[CH4 24h, ml]]/Table3.110[[#This Row],[Net gas 24h, ml]]%</f>
        <v>14.434258684680286</v>
      </c>
      <c r="AR223" s="94">
        <f>Table3.110[[#This Row],[CH4 24h, ml]]/Table3.110[[#This Row],[DM Incubated, mg]]*1000</f>
        <v>15.80427666476044</v>
      </c>
      <c r="AS223" s="94">
        <f>Table3.110[[#This Row],[CH4 24h, ml]]/Table3.110[[#This Row],[Digested feed, mg]]*1000</f>
        <v>53.90531949582715</v>
      </c>
      <c r="AT223" s="94">
        <f>Table3.110[[#This Row],[CH4 24h, ml]]/'3.2 Digest'!AA223</f>
        <v>-0.4414473514802173</v>
      </c>
      <c r="AU223" s="94">
        <f>((Table3.110[[#This Row],[CH4 24h, ml]]/28.9)*16.04)/Table3.110[[#This Row],[DM Incubated, mg]]*1000</f>
        <v>8.771646979334168</v>
      </c>
      <c r="AV223" s="94">
        <f>((Table3.110[[#This Row],[CH4 24h, ml]]/28.9)*16.04)/Table3.110[[#This Row],[Digested feed, mg]]*1000</f>
        <v>29.918384938168419</v>
      </c>
      <c r="AW223" s="303"/>
    </row>
    <row r="224" spans="1:49" s="304" customFormat="1" x14ac:dyDescent="0.35">
      <c r="A224" s="89"/>
      <c r="B224" s="90">
        <f t="shared" si="3"/>
        <v>214</v>
      </c>
      <c r="C224" s="140">
        <v>46076</v>
      </c>
      <c r="D224" s="92" t="s">
        <v>16</v>
      </c>
      <c r="E224" s="6" t="str">
        <f>'[1]1. Information samples'!$F$16</f>
        <v>CIAT-13262</v>
      </c>
      <c r="F224" s="6" t="s">
        <v>19</v>
      </c>
      <c r="G224" s="6" t="s">
        <v>20</v>
      </c>
      <c r="H224" s="6" t="str">
        <f>'[1]1. Information samples'!$I$16</f>
        <v>Dendrolobium triangulare</v>
      </c>
      <c r="I224" s="6" t="s">
        <v>22</v>
      </c>
      <c r="J224" s="129" t="s">
        <v>23</v>
      </c>
      <c r="K224" s="129" t="s">
        <v>24</v>
      </c>
      <c r="L224" s="6" t="str">
        <f>'[1]1. Information samples'!$E$16</f>
        <v>F251728</v>
      </c>
      <c r="M224" s="119">
        <v>27</v>
      </c>
      <c r="N224" s="93">
        <v>69</v>
      </c>
      <c r="O224" s="6">
        <v>3</v>
      </c>
      <c r="P224" s="6">
        <v>2</v>
      </c>
      <c r="Q224" s="6">
        <v>76</v>
      </c>
      <c r="R224" s="98">
        <v>0.50060000000000004</v>
      </c>
      <c r="S224" s="94">
        <f>((Table3.110[[#This Row],[Sample weight, g]]*'2.1. DM'!Q11)/100)*1000</f>
        <v>475.23100349065726</v>
      </c>
      <c r="T224" s="94">
        <f>'3.2 Digest'!W224</f>
        <v>139.33100349065728</v>
      </c>
      <c r="U224" s="117">
        <v>0.32430555555555557</v>
      </c>
      <c r="V224" s="155">
        <v>41</v>
      </c>
      <c r="W224" s="117">
        <v>0.65763888888888888</v>
      </c>
      <c r="X224" s="96">
        <v>67.5</v>
      </c>
      <c r="Y224" s="96">
        <v>14.4</v>
      </c>
      <c r="Z224" s="155">
        <v>40.5</v>
      </c>
      <c r="AA224" s="117">
        <v>0.33402777777777776</v>
      </c>
      <c r="AB224" s="155">
        <v>63.5</v>
      </c>
      <c r="AC224" s="155">
        <v>18.399999999999999</v>
      </c>
      <c r="AD224" s="96"/>
      <c r="AE224" s="94">
        <f>Table3.110[[#This Row],[Gas 8h, ml]]-Table3.110[[#This Row],[Gas 0h, ml]]</f>
        <v>26.5</v>
      </c>
      <c r="AF224" s="94">
        <f>Table3.110[[#This Row],[Gas 24h, ml]]-Table3.110[[#This Row],[V8 Push back, ml]]</f>
        <v>23</v>
      </c>
      <c r="AG224" s="94">
        <f>Table3.110[[#This Row],[GP 8h, ml]]-(AVERAGE(AE$221,AE$222,AE$255,AE$256,AE$291,AE$292))*$AG$8</f>
        <v>25.024988739845064</v>
      </c>
      <c r="AH224" s="94">
        <f>Table3.110[[#This Row],[GP 8-24h, ml]]-(AVERAGE(AF$221,AF$222,AF$255,AF$256,AF$291,AF$292))*$AG$8</f>
        <v>21.008734798790837</v>
      </c>
      <c r="AI224" s="94">
        <f>Table3.110[[#This Row],[Net gas 8-24h, ml]]+Table3.110[[#This Row],[Net gas 8h, ml]]</f>
        <v>46.033723538635897</v>
      </c>
      <c r="AJ224" s="94">
        <f>Table3.110[[#This Row],[Net gas 8h, ml]]*Table3.110[[#This Row],[CH4 8h %]]%</f>
        <v>3.6035983785376895</v>
      </c>
      <c r="AK224" s="94">
        <f>Table3.110[[#This Row],[Net gas 8-24h, ml]]*Table3.110[[#This Row],[CH4 24h, %]]%</f>
        <v>3.8656072029775137</v>
      </c>
      <c r="AL224" s="94">
        <f>Table3.110[[#This Row],[CH4 8-24h, ml]]+Table3.110[[#This Row],[CH4 8h, ml]]</f>
        <v>7.4692055815152028</v>
      </c>
      <c r="AM224" s="94">
        <f>(Table3.110[[#This Row],[Net gas 24h, ml]]/Table3.110[[#This Row],[DM Incubated, mg]])*1000</f>
        <v>96.865994012406404</v>
      </c>
      <c r="AN224" s="94">
        <f>'3.2 Digest'!X224</f>
        <v>29.318584534099411</v>
      </c>
      <c r="AO224" s="94">
        <f>Table3.110[[#This Row],[Digested feed, mg]]/Table3.110[[#This Row],[Net gas 24h, ml]]</f>
        <v>3.0267159112974511</v>
      </c>
      <c r="AP224" s="94">
        <f>Table3.110[[#This Row],[CH4 8h, ml]]/Table3.110[[#This Row],[Net gas 8h, ml]]%</f>
        <v>14.4</v>
      </c>
      <c r="AQ224" s="94">
        <f>Table3.110[[#This Row],[CH4 24h, ml]]/Table3.110[[#This Row],[Net gas 24h, ml]]%</f>
        <v>16.225508186941106</v>
      </c>
      <c r="AR224" s="94">
        <f>Table3.110[[#This Row],[CH4 24h, ml]]/Table3.110[[#This Row],[DM Incubated, mg]]*1000</f>
        <v>15.716999788844884</v>
      </c>
      <c r="AS224" s="94">
        <f>Table3.110[[#This Row],[CH4 24h, ml]]/Table3.110[[#This Row],[Digested feed, mg]]*1000</f>
        <v>53.607635015820755</v>
      </c>
      <c r="AT224" s="94">
        <f>Table3.110[[#This Row],[CH4 24h, ml]]/'3.2 Digest'!AA224</f>
        <v>-0.43900952110457714</v>
      </c>
      <c r="AU224" s="94">
        <f>((Table3.110[[#This Row],[CH4 24h, ml]]/28.9)*16.04)/Table3.110[[#This Row],[DM Incubated, mg]]*1000</f>
        <v>8.7232068032204833</v>
      </c>
      <c r="AV224" s="94">
        <f>((Table3.110[[#This Row],[CH4 24h, ml]]/28.9)*16.04)/Table3.110[[#This Row],[Digested feed, mg]]*1000</f>
        <v>29.75316490151436</v>
      </c>
      <c r="AW224" s="303"/>
    </row>
    <row r="225" spans="1:49" s="304" customFormat="1" x14ac:dyDescent="0.35">
      <c r="A225" s="89"/>
      <c r="B225" s="90">
        <f t="shared" si="3"/>
        <v>215</v>
      </c>
      <c r="C225" s="140">
        <v>46076</v>
      </c>
      <c r="D225" s="92" t="s">
        <v>16</v>
      </c>
      <c r="E225" s="6" t="str">
        <f>'[1]1. Information samples'!$F$17</f>
        <v>CIAT-13528</v>
      </c>
      <c r="F225" s="6" t="s">
        <v>19</v>
      </c>
      <c r="G225" s="6" t="s">
        <v>29</v>
      </c>
      <c r="H225" s="6" t="str">
        <f>'[1]1. Information samples'!$I$17</f>
        <v>Dendrolobium lanceolatum</v>
      </c>
      <c r="I225" s="6" t="s">
        <v>22</v>
      </c>
      <c r="J225" s="129" t="s">
        <v>23</v>
      </c>
      <c r="K225" s="129" t="s">
        <v>24</v>
      </c>
      <c r="L225" s="6" t="str">
        <f>'[1]1. Information samples'!$E$17</f>
        <v>F251729</v>
      </c>
      <c r="M225" s="119">
        <v>27</v>
      </c>
      <c r="N225" s="93">
        <v>69</v>
      </c>
      <c r="O225" s="6">
        <v>3</v>
      </c>
      <c r="P225" s="129">
        <v>1</v>
      </c>
      <c r="Q225" s="6">
        <v>77</v>
      </c>
      <c r="R225" s="98">
        <v>0.50019999999999998</v>
      </c>
      <c r="S225" s="94">
        <f>((Table3.110[[#This Row],[Sample weight, g]]*'2.1. DM'!Q13)/100)*1000</f>
        <v>475.41879586586458</v>
      </c>
      <c r="T225" s="94">
        <f>'3.2 Digest'!W225</f>
        <v>83.61879586586457</v>
      </c>
      <c r="U225" s="117">
        <v>0.32430555555555557</v>
      </c>
      <c r="V225" s="155">
        <v>41</v>
      </c>
      <c r="W225" s="117">
        <v>0.65833333333333333</v>
      </c>
      <c r="X225" s="96">
        <v>65.5</v>
      </c>
      <c r="Y225" s="96">
        <v>12.5</v>
      </c>
      <c r="Z225" s="155">
        <v>40</v>
      </c>
      <c r="AA225" s="117">
        <v>0.33541666666666664</v>
      </c>
      <c r="AB225" s="155">
        <v>56.5</v>
      </c>
      <c r="AC225" s="155">
        <v>17.8</v>
      </c>
      <c r="AD225" s="96"/>
      <c r="AE225" s="94">
        <f>Table3.110[[#This Row],[Gas 8h, ml]]-Table3.110[[#This Row],[Gas 0h, ml]]</f>
        <v>24.5</v>
      </c>
      <c r="AF225" s="94">
        <f>Table3.110[[#This Row],[Gas 24h, ml]]-Table3.110[[#This Row],[V8 Push back, ml]]</f>
        <v>16.5</v>
      </c>
      <c r="AG225" s="94">
        <f>Table3.110[[#This Row],[GP 8h, ml]]-(AVERAGE(AE$221,AE$222,AE$255,AE$256,AE$291,AE$292))*$AG$8</f>
        <v>23.024988739845064</v>
      </c>
      <c r="AH225" s="94">
        <f>Table3.110[[#This Row],[GP 8-24h, ml]]-(AVERAGE(AF$221,AF$222,AF$255,AF$256,AF$291,AF$292))*$AG$8</f>
        <v>14.508734798790837</v>
      </c>
      <c r="AI225" s="94">
        <f>Table3.110[[#This Row],[Net gas 8-24h, ml]]+Table3.110[[#This Row],[Net gas 8h, ml]]</f>
        <v>37.533723538635897</v>
      </c>
      <c r="AJ225" s="94">
        <f>Table3.110[[#This Row],[Net gas 8h, ml]]*Table3.110[[#This Row],[CH4 8h %]]%</f>
        <v>2.878123592480633</v>
      </c>
      <c r="AK225" s="94">
        <f>Table3.110[[#This Row],[Net gas 8-24h, ml]]*Table3.110[[#This Row],[CH4 24h, %]]%</f>
        <v>2.5825547941847691</v>
      </c>
      <c r="AL225" s="94">
        <f>Table3.110[[#This Row],[CH4 8-24h, ml]]+Table3.110[[#This Row],[CH4 8h, ml]]</f>
        <v>5.4606783866654016</v>
      </c>
      <c r="AM225" s="94">
        <f>(Table3.110[[#This Row],[Net gas 24h, ml]]/Table3.110[[#This Row],[DM Incubated, mg]])*1000</f>
        <v>78.948758158113975</v>
      </c>
      <c r="AN225" s="94">
        <f>'3.2 Digest'!X225</f>
        <v>17.588449719067672</v>
      </c>
      <c r="AO225" s="94">
        <f>Table3.110[[#This Row],[Digested feed, mg]]/Table3.110[[#This Row],[Net gas 24h, ml]]</f>
        <v>2.2278310804892651</v>
      </c>
      <c r="AP225" s="94">
        <f>Table3.110[[#This Row],[CH4 8h, ml]]/Table3.110[[#This Row],[Net gas 8h, ml]]%</f>
        <v>12.5</v>
      </c>
      <c r="AQ225" s="94">
        <f>Table3.110[[#This Row],[CH4 24h, ml]]/Table3.110[[#This Row],[Net gas 24h, ml]]%</f>
        <v>14.54872544431775</v>
      </c>
      <c r="AR225" s="94">
        <f>Table3.110[[#This Row],[CH4 24h, ml]]/Table3.110[[#This Row],[DM Incubated, mg]]*1000</f>
        <v>11.486038066122413</v>
      </c>
      <c r="AS225" s="94">
        <f>Table3.110[[#This Row],[CH4 24h, ml]]/Table3.110[[#This Row],[Digested feed, mg]]*1000</f>
        <v>65.304437000325152</v>
      </c>
      <c r="AT225" s="94">
        <f>Table3.110[[#This Row],[CH4 24h, ml]]/'3.2 Digest'!AA225</f>
        <v>-0.12165160908834372</v>
      </c>
      <c r="AU225" s="94">
        <f>((Table3.110[[#This Row],[CH4 24h, ml]]/28.9)*16.04)/Table3.110[[#This Row],[DM Incubated, mg]]*1000</f>
        <v>6.3749498470797059</v>
      </c>
      <c r="AV225" s="94">
        <f>((Table3.110[[#This Row],[CH4 24h, ml]]/28.9)*16.04)/Table3.110[[#This Row],[Digested feed, mg]]*1000</f>
        <v>36.245092369730635</v>
      </c>
      <c r="AW225" s="303"/>
    </row>
    <row r="226" spans="1:49" s="304" customFormat="1" x14ac:dyDescent="0.35">
      <c r="A226" s="89"/>
      <c r="B226" s="90">
        <f t="shared" si="3"/>
        <v>216</v>
      </c>
      <c r="C226" s="140">
        <v>46076</v>
      </c>
      <c r="D226" s="92" t="s">
        <v>16</v>
      </c>
      <c r="E226" s="6" t="str">
        <f>'[1]1. Information samples'!$F$17</f>
        <v>CIAT-13528</v>
      </c>
      <c r="F226" s="6" t="s">
        <v>19</v>
      </c>
      <c r="G226" s="6" t="s">
        <v>29</v>
      </c>
      <c r="H226" s="6" t="str">
        <f>'[1]1. Information samples'!$I$17</f>
        <v>Dendrolobium lanceolatum</v>
      </c>
      <c r="I226" s="6" t="s">
        <v>22</v>
      </c>
      <c r="J226" s="129" t="s">
        <v>23</v>
      </c>
      <c r="K226" s="129" t="s">
        <v>24</v>
      </c>
      <c r="L226" s="6" t="str">
        <f>'[1]1. Information samples'!$E$17</f>
        <v>F251729</v>
      </c>
      <c r="M226" s="119">
        <v>27</v>
      </c>
      <c r="N226" s="93">
        <v>69</v>
      </c>
      <c r="O226" s="6">
        <v>3</v>
      </c>
      <c r="P226" s="6">
        <v>2</v>
      </c>
      <c r="Q226" s="6">
        <v>78</v>
      </c>
      <c r="R226" s="98">
        <v>0.50039999999999996</v>
      </c>
      <c r="S226" s="94">
        <f>((Table3.110[[#This Row],[Sample weight, g]]*'2.1. DM'!Q13)/100)*1000</f>
        <v>475.60888734761824</v>
      </c>
      <c r="T226" s="94">
        <f>'3.2 Digest'!W226</f>
        <v>114.00888734761833</v>
      </c>
      <c r="U226" s="153">
        <v>0.32500000000000001</v>
      </c>
      <c r="V226" s="154">
        <v>42</v>
      </c>
      <c r="W226" s="153">
        <v>0.65902777777777777</v>
      </c>
      <c r="X226" s="91">
        <v>66</v>
      </c>
      <c r="Y226" s="91">
        <v>12.1</v>
      </c>
      <c r="Z226" s="154">
        <v>40.5</v>
      </c>
      <c r="AA226" s="153">
        <v>0.33541666666666664</v>
      </c>
      <c r="AB226" s="154">
        <v>56.5</v>
      </c>
      <c r="AC226" s="154">
        <v>17.5</v>
      </c>
      <c r="AD226" s="91"/>
      <c r="AE226" s="94">
        <f>Table3.110[[#This Row],[Gas 8h, ml]]-Table3.110[[#This Row],[Gas 0h, ml]]</f>
        <v>24</v>
      </c>
      <c r="AF226" s="94">
        <f>Table3.110[[#This Row],[Gas 24h, ml]]-Table3.110[[#This Row],[V8 Push back, ml]]</f>
        <v>16</v>
      </c>
      <c r="AG226" s="94">
        <f>Table3.110[[#This Row],[GP 8h, ml]]-(AVERAGE(AE$221,AE$222,AE$255,AE$256,AE$291,AE$292))*$AG$8</f>
        <v>22.524988739845064</v>
      </c>
      <c r="AH226" s="94">
        <f>Table3.110[[#This Row],[GP 8-24h, ml]]-(AVERAGE(AF$221,AF$222,AF$255,AF$256,AF$291,AF$292))*$AG$8</f>
        <v>14.008734798790837</v>
      </c>
      <c r="AI226" s="94">
        <f>Table3.110[[#This Row],[Net gas 8-24h, ml]]+Table3.110[[#This Row],[Net gas 8h, ml]]</f>
        <v>36.533723538635897</v>
      </c>
      <c r="AJ226" s="94">
        <f>Table3.110[[#This Row],[Net gas 8h, ml]]*Table3.110[[#This Row],[CH4 8h %]]%</f>
        <v>2.7255236375212526</v>
      </c>
      <c r="AK226" s="94">
        <f>Table3.110[[#This Row],[Net gas 8-24h, ml]]*Table3.110[[#This Row],[CH4 24h, %]]%</f>
        <v>2.4515285897883961</v>
      </c>
      <c r="AL226" s="94">
        <f>Table3.110[[#This Row],[CH4 8-24h, ml]]+Table3.110[[#This Row],[CH4 8h, ml]]</f>
        <v>5.1770522273096482</v>
      </c>
      <c r="AM226" s="94">
        <f>(Table3.110[[#This Row],[Net gas 24h, ml]]/Table3.110[[#This Row],[DM Incubated, mg]])*1000</f>
        <v>76.814635955138769</v>
      </c>
      <c r="AN226" s="94">
        <f>'3.2 Digest'!X226</f>
        <v>23.971143176786406</v>
      </c>
      <c r="AO226" s="94">
        <f>Table3.110[[#This Row],[Digested feed, mg]]/Table3.110[[#This Row],[Net gas 24h, ml]]</f>
        <v>3.1206478919962621</v>
      </c>
      <c r="AP226" s="94">
        <f>Table3.110[[#This Row],[CH4 8h, ml]]/Table3.110[[#This Row],[Net gas 8h, ml]]%</f>
        <v>12.1</v>
      </c>
      <c r="AQ226" s="94">
        <f>Table3.110[[#This Row],[CH4 24h, ml]]/Table3.110[[#This Row],[Net gas 24h, ml]]%</f>
        <v>14.170612042418028</v>
      </c>
      <c r="AR226" s="94">
        <f>Table3.110[[#This Row],[CH4 24h, ml]]/Table3.110[[#This Row],[DM Incubated, mg]]*1000</f>
        <v>10.885104052998463</v>
      </c>
      <c r="AS226" s="94">
        <f>Table3.110[[#This Row],[CH4 24h, ml]]/Table3.110[[#This Row],[Digested feed, mg]]*1000</f>
        <v>45.409198771711353</v>
      </c>
      <c r="AT226" s="94">
        <f>Table3.110[[#This Row],[CH4 24h, ml]]/'3.2 Digest'!AA226</f>
        <v>-0.15377494334534314</v>
      </c>
      <c r="AU226" s="94">
        <f>((Table3.110[[#This Row],[CH4 24h, ml]]/28.9)*16.04)/Table3.110[[#This Row],[DM Incubated, mg]]*1000</f>
        <v>6.0414210730136793</v>
      </c>
      <c r="AV226" s="94">
        <f>((Table3.110[[#This Row],[CH4 24h, ml]]/28.9)*16.04)/Table3.110[[#This Row],[Digested feed, mg]]*1000</f>
        <v>25.202890944576129</v>
      </c>
      <c r="AW226" s="303"/>
    </row>
    <row r="227" spans="1:49" s="304" customFormat="1" x14ac:dyDescent="0.35">
      <c r="A227" s="89"/>
      <c r="B227" s="90">
        <f t="shared" si="3"/>
        <v>217</v>
      </c>
      <c r="C227" s="140">
        <v>46076</v>
      </c>
      <c r="D227" s="92" t="s">
        <v>16</v>
      </c>
      <c r="E227" s="6" t="str">
        <f>'[1]1. Information samples'!$F$18</f>
        <v>CIAT-13529</v>
      </c>
      <c r="F227" s="6" t="s">
        <v>19</v>
      </c>
      <c r="G227" s="6" t="s">
        <v>20</v>
      </c>
      <c r="H227" s="6" t="str">
        <f>'[1]1. Information samples'!$I$18</f>
        <v>Dendrolobium triangulare</v>
      </c>
      <c r="I227" s="6" t="s">
        <v>22</v>
      </c>
      <c r="J227" s="129" t="s">
        <v>23</v>
      </c>
      <c r="K227" s="129" t="s">
        <v>24</v>
      </c>
      <c r="L227" s="6" t="str">
        <f>'[1]1. Information samples'!$E$18</f>
        <v>F251730</v>
      </c>
      <c r="M227" s="119">
        <v>27</v>
      </c>
      <c r="N227" s="93">
        <v>69</v>
      </c>
      <c r="O227" s="6">
        <v>3</v>
      </c>
      <c r="P227" s="129">
        <v>1</v>
      </c>
      <c r="Q227" s="6">
        <v>79</v>
      </c>
      <c r="R227" s="98">
        <v>0.50039999999999996</v>
      </c>
      <c r="S227" s="94">
        <f>((Table3.110[[#This Row],[Sample weight, g]]*'2.1. DM'!Q15)/100)*1000</f>
        <v>472.16234381309636</v>
      </c>
      <c r="T227" s="94">
        <f>'3.2 Digest'!W227</f>
        <v>112.36234381309635</v>
      </c>
      <c r="U227" s="153">
        <v>0.32569444444444445</v>
      </c>
      <c r="V227" s="154">
        <v>42.5</v>
      </c>
      <c r="W227" s="153">
        <v>0.65902777777777777</v>
      </c>
      <c r="X227" s="91">
        <v>68.5</v>
      </c>
      <c r="Y227" s="91">
        <v>13.4</v>
      </c>
      <c r="Z227" s="154">
        <v>42</v>
      </c>
      <c r="AA227" s="153">
        <v>0.33611111111111114</v>
      </c>
      <c r="AB227" s="154">
        <v>70.5</v>
      </c>
      <c r="AC227" s="154">
        <v>17.399999999999999</v>
      </c>
      <c r="AD227" s="91"/>
      <c r="AE227" s="94">
        <f>Table3.110[[#This Row],[Gas 8h, ml]]-Table3.110[[#This Row],[Gas 0h, ml]]</f>
        <v>26</v>
      </c>
      <c r="AF227" s="94">
        <f>Table3.110[[#This Row],[Gas 24h, ml]]-Table3.110[[#This Row],[V8 Push back, ml]]</f>
        <v>28.5</v>
      </c>
      <c r="AG227" s="94">
        <f>Table3.110[[#This Row],[GP 8h, ml]]-(AVERAGE(AE$221,AE$222,AE$255,AE$256,AE$291,AE$292))*$AG$8</f>
        <v>24.524988739845064</v>
      </c>
      <c r="AH227" s="94">
        <f>Table3.110[[#This Row],[GP 8-24h, ml]]-(AVERAGE(AF$221,AF$222,AF$255,AF$256,AF$291,AF$292))*$AG$8</f>
        <v>26.508734798790837</v>
      </c>
      <c r="AI227" s="94">
        <f>Table3.110[[#This Row],[Net gas 8-24h, ml]]+Table3.110[[#This Row],[Net gas 8h, ml]]</f>
        <v>51.033723538635897</v>
      </c>
      <c r="AJ227" s="94">
        <f>Table3.110[[#This Row],[Net gas 8h, ml]]*Table3.110[[#This Row],[CH4 8h %]]%</f>
        <v>3.2863484911392389</v>
      </c>
      <c r="AK227" s="94">
        <f>Table3.110[[#This Row],[Net gas 8-24h, ml]]*Table3.110[[#This Row],[CH4 24h, %]]%</f>
        <v>4.6125198549896052</v>
      </c>
      <c r="AL227" s="94">
        <f>Table3.110[[#This Row],[CH4 8-24h, ml]]+Table3.110[[#This Row],[CH4 8h, ml]]</f>
        <v>7.898868346128844</v>
      </c>
      <c r="AM227" s="94">
        <f>(Table3.110[[#This Row],[Net gas 24h, ml]]/Table3.110[[#This Row],[DM Incubated, mg]])*1000</f>
        <v>108.08511989011433</v>
      </c>
      <c r="AN227" s="94">
        <f>'3.2 Digest'!X227</f>
        <v>23.797396231490783</v>
      </c>
      <c r="AO227" s="94">
        <f>Table3.110[[#This Row],[Digested feed, mg]]/Table3.110[[#This Row],[Net gas 24h, ml]]</f>
        <v>2.2017273289500547</v>
      </c>
      <c r="AP227" s="94">
        <f>Table3.110[[#This Row],[CH4 8h, ml]]/Table3.110[[#This Row],[Net gas 8h, ml]]%</f>
        <v>13.400000000000002</v>
      </c>
      <c r="AQ227" s="94">
        <f>Table3.110[[#This Row],[CH4 24h, ml]]/Table3.110[[#This Row],[Net gas 24h, ml]]%</f>
        <v>15.477742556152853</v>
      </c>
      <c r="AR227" s="94">
        <f>Table3.110[[#This Row],[CH4 24h, ml]]/Table3.110[[#This Row],[DM Incubated, mg]]*1000</f>
        <v>16.729136598101057</v>
      </c>
      <c r="AS227" s="94">
        <f>Table3.110[[#This Row],[CH4 24h, ml]]/Table3.110[[#This Row],[Digested feed, mg]]*1000</f>
        <v>70.298180672235091</v>
      </c>
      <c r="AT227" s="94">
        <f>Table3.110[[#This Row],[CH4 24h, ml]]/'3.2 Digest'!AA227</f>
        <v>-0.29122377880927247</v>
      </c>
      <c r="AU227" s="94">
        <f>((Table3.110[[#This Row],[CH4 24h, ml]]/28.9)*16.04)/Table3.110[[#This Row],[DM Incubated, mg]]*1000</f>
        <v>9.284960243375119</v>
      </c>
      <c r="AV227" s="94">
        <f>((Table3.110[[#This Row],[CH4 24h, ml]]/28.9)*16.04)/Table3.110[[#This Row],[Digested feed, mg]]*1000</f>
        <v>39.016706504589997</v>
      </c>
      <c r="AW227" s="303"/>
    </row>
    <row r="228" spans="1:49" s="304" customFormat="1" x14ac:dyDescent="0.35">
      <c r="A228" s="89"/>
      <c r="B228" s="90">
        <f t="shared" si="3"/>
        <v>218</v>
      </c>
      <c r="C228" s="140">
        <v>46076</v>
      </c>
      <c r="D228" s="92" t="s">
        <v>16</v>
      </c>
      <c r="E228" s="6" t="str">
        <f>'[1]1. Information samples'!$F$18</f>
        <v>CIAT-13529</v>
      </c>
      <c r="F228" s="6" t="s">
        <v>19</v>
      </c>
      <c r="G228" s="6" t="s">
        <v>20</v>
      </c>
      <c r="H228" s="6" t="str">
        <f>'[1]1. Information samples'!$I$18</f>
        <v>Dendrolobium triangulare</v>
      </c>
      <c r="I228" s="6" t="s">
        <v>22</v>
      </c>
      <c r="J228" s="129" t="s">
        <v>23</v>
      </c>
      <c r="K228" s="129" t="s">
        <v>24</v>
      </c>
      <c r="L228" s="6" t="str">
        <f>'[1]1. Information samples'!$E$18</f>
        <v>F251730</v>
      </c>
      <c r="M228" s="119">
        <v>27</v>
      </c>
      <c r="N228" s="93">
        <v>69</v>
      </c>
      <c r="O228" s="6">
        <v>3</v>
      </c>
      <c r="P228" s="6">
        <v>2</v>
      </c>
      <c r="Q228" s="6">
        <v>80</v>
      </c>
      <c r="R228" s="98">
        <v>0.5</v>
      </c>
      <c r="S228" s="94">
        <f>((Table3.110[[#This Row],[Sample weight, g]]*'2.1. DM'!Q15)/100)*1000</f>
        <v>471.78491588039208</v>
      </c>
      <c r="T228" s="94">
        <f>'3.2 Digest'!W228</f>
        <v>141.68491588039211</v>
      </c>
      <c r="U228" s="117">
        <v>0.32569444444444445</v>
      </c>
      <c r="V228" s="155">
        <v>42</v>
      </c>
      <c r="W228" s="117">
        <v>0.65972222222222221</v>
      </c>
      <c r="X228" s="96">
        <v>69.5</v>
      </c>
      <c r="Y228" s="96">
        <v>13.1</v>
      </c>
      <c r="Z228" s="155">
        <v>41.5</v>
      </c>
      <c r="AA228" s="117">
        <v>0.33611111111111114</v>
      </c>
      <c r="AB228" s="155">
        <v>69.5</v>
      </c>
      <c r="AC228" s="155">
        <v>17.399999999999999</v>
      </c>
      <c r="AD228" s="96"/>
      <c r="AE228" s="94">
        <f>Table3.110[[#This Row],[Gas 8h, ml]]-Table3.110[[#This Row],[Gas 0h, ml]]</f>
        <v>27.5</v>
      </c>
      <c r="AF228" s="94">
        <f>Table3.110[[#This Row],[Gas 24h, ml]]-Table3.110[[#This Row],[V8 Push back, ml]]</f>
        <v>28</v>
      </c>
      <c r="AG228" s="94">
        <f>Table3.110[[#This Row],[GP 8h, ml]]-(AVERAGE(AE$221,AE$222,AE$255,AE$256,AE$291,AE$292))*$AG$8</f>
        <v>26.024988739845064</v>
      </c>
      <c r="AH228" s="94">
        <f>Table3.110[[#This Row],[GP 8-24h, ml]]-(AVERAGE(AF$221,AF$222,AF$255,AF$256,AF$291,AF$292))*$AG$8</f>
        <v>26.008734798790837</v>
      </c>
      <c r="AI228" s="94">
        <f>Table3.110[[#This Row],[Net gas 8-24h, ml]]+Table3.110[[#This Row],[Net gas 8h, ml]]</f>
        <v>52.033723538635897</v>
      </c>
      <c r="AJ228" s="94">
        <f>Table3.110[[#This Row],[Net gas 8h, ml]]*Table3.110[[#This Row],[CH4 8h %]]%</f>
        <v>3.4092735249197035</v>
      </c>
      <c r="AK228" s="94">
        <f>Table3.110[[#This Row],[Net gas 8-24h, ml]]*Table3.110[[#This Row],[CH4 24h, %]]%</f>
        <v>4.5255198549896054</v>
      </c>
      <c r="AL228" s="94">
        <f>Table3.110[[#This Row],[CH4 8-24h, ml]]+Table3.110[[#This Row],[CH4 8h, ml]]</f>
        <v>7.9347933799093084</v>
      </c>
      <c r="AM228" s="94">
        <f>(Table3.110[[#This Row],[Net gas 24h, ml]]/Table3.110[[#This Row],[DM Incubated, mg]])*1000</f>
        <v>110.29119793187199</v>
      </c>
      <c r="AN228" s="94">
        <f>'3.2 Digest'!X228</f>
        <v>30.031675687637367</v>
      </c>
      <c r="AO228" s="94">
        <f>Table3.110[[#This Row],[Digested feed, mg]]/Table3.110[[#This Row],[Net gas 24h, ml]]</f>
        <v>2.7229440110160237</v>
      </c>
      <c r="AP228" s="94">
        <f>Table3.110[[#This Row],[CH4 8h, ml]]/Table3.110[[#This Row],[Net gas 8h, ml]]%</f>
        <v>13.100000000000001</v>
      </c>
      <c r="AQ228" s="94">
        <f>Table3.110[[#This Row],[CH4 24h, ml]]/Table3.110[[#This Row],[Net gas 24h, ml]]%</f>
        <v>15.24932839760659</v>
      </c>
      <c r="AR228" s="94">
        <f>Table3.110[[#This Row],[CH4 24h, ml]]/Table3.110[[#This Row],[DM Incubated, mg]]*1000</f>
        <v>16.818666966285448</v>
      </c>
      <c r="AS228" s="94">
        <f>Table3.110[[#This Row],[CH4 24h, ml]]/Table3.110[[#This Row],[Digested feed, mg]]*1000</f>
        <v>56.003092005981216</v>
      </c>
      <c r="AT228" s="94">
        <f>Table3.110[[#This Row],[CH4 24h, ml]]/'3.2 Digest'!AA228</f>
        <v>-0.47448825449549747</v>
      </c>
      <c r="AU228" s="94">
        <f>((Table3.110[[#This Row],[CH4 24h, ml]]/28.9)*16.04)/Table3.110[[#This Row],[DM Incubated, mg]]*1000</f>
        <v>9.3346511466857613</v>
      </c>
      <c r="AV228" s="94">
        <f>((Table3.110[[#This Row],[CH4 24h, ml]]/28.9)*16.04)/Table3.110[[#This Row],[Digested feed, mg]]*1000</f>
        <v>31.08268497494597</v>
      </c>
      <c r="AW228" s="303"/>
    </row>
    <row r="229" spans="1:49" s="304" customFormat="1" x14ac:dyDescent="0.35">
      <c r="A229" s="89"/>
      <c r="B229" s="90">
        <f t="shared" si="3"/>
        <v>219</v>
      </c>
      <c r="C229" s="140">
        <v>46076</v>
      </c>
      <c r="D229" s="92" t="s">
        <v>16</v>
      </c>
      <c r="E229" s="6" t="str">
        <f>'[1]1. Information samples'!$F$19</f>
        <v>CIAT-13710</v>
      </c>
      <c r="F229" s="6" t="s">
        <v>19</v>
      </c>
      <c r="G229" s="6" t="s">
        <v>29</v>
      </c>
      <c r="H229" s="6" t="str">
        <f>'[1]1. Information samples'!$I$19</f>
        <v>Dendrolobium lanceolatum</v>
      </c>
      <c r="I229" s="6" t="s">
        <v>22</v>
      </c>
      <c r="J229" s="129" t="s">
        <v>23</v>
      </c>
      <c r="K229" s="129" t="s">
        <v>24</v>
      </c>
      <c r="L229" s="6" t="str">
        <f>'[1]1. Information samples'!$E$19</f>
        <v>F251731</v>
      </c>
      <c r="M229" s="119">
        <v>27</v>
      </c>
      <c r="N229" s="93">
        <v>69</v>
      </c>
      <c r="O229" s="6">
        <v>3</v>
      </c>
      <c r="P229" s="129">
        <v>1</v>
      </c>
      <c r="Q229" s="6">
        <v>81</v>
      </c>
      <c r="R229" s="98">
        <v>0.50029999999999997</v>
      </c>
      <c r="S229" s="94">
        <f>((Table3.110[[#This Row],[Sample weight, g]]*'2.1. DM'!Q17)/100)*1000</f>
        <v>470.94560940391466</v>
      </c>
      <c r="T229" s="94">
        <f>'3.2 Digest'!W229</f>
        <v>68.745609403914671</v>
      </c>
      <c r="U229" s="117">
        <v>0.32569444444444445</v>
      </c>
      <c r="V229" s="155">
        <v>42</v>
      </c>
      <c r="W229" s="117">
        <v>0.66041666666666665</v>
      </c>
      <c r="X229" s="96">
        <v>65</v>
      </c>
      <c r="Y229" s="96">
        <v>13.6</v>
      </c>
      <c r="Z229" s="155">
        <v>40.5</v>
      </c>
      <c r="AA229" s="117">
        <v>0.33611111111111114</v>
      </c>
      <c r="AB229" s="155">
        <v>57.5</v>
      </c>
      <c r="AC229" s="155">
        <v>17.399999999999999</v>
      </c>
      <c r="AD229" s="96"/>
      <c r="AE229" s="94">
        <f>Table3.110[[#This Row],[Gas 8h, ml]]-Table3.110[[#This Row],[Gas 0h, ml]]</f>
        <v>23</v>
      </c>
      <c r="AF229" s="94">
        <f>Table3.110[[#This Row],[Gas 24h, ml]]-Table3.110[[#This Row],[V8 Push back, ml]]</f>
        <v>17</v>
      </c>
      <c r="AG229" s="94">
        <f>Table3.110[[#This Row],[GP 8h, ml]]-(AVERAGE(AE$221,AE$222,AE$255,AE$256,AE$291,AE$292))*$AG$8</f>
        <v>21.524988739845064</v>
      </c>
      <c r="AH229" s="94">
        <f>Table3.110[[#This Row],[GP 8-24h, ml]]-(AVERAGE(AF$221,AF$222,AF$255,AF$256,AF$291,AF$292))*$AG$8</f>
        <v>15.008734798790837</v>
      </c>
      <c r="AI229" s="94">
        <f>Table3.110[[#This Row],[Net gas 8-24h, ml]]+Table3.110[[#This Row],[Net gas 8h, ml]]</f>
        <v>36.533723538635897</v>
      </c>
      <c r="AJ229" s="94">
        <f>Table3.110[[#This Row],[Net gas 8h, ml]]*Table3.110[[#This Row],[CH4 8h %]]%</f>
        <v>2.9273984686189287</v>
      </c>
      <c r="AK229" s="94">
        <f>Table3.110[[#This Row],[Net gas 8-24h, ml]]*Table3.110[[#This Row],[CH4 24h, %]]%</f>
        <v>2.6115198549896053</v>
      </c>
      <c r="AL229" s="94">
        <f>Table3.110[[#This Row],[CH4 8-24h, ml]]+Table3.110[[#This Row],[CH4 8h, ml]]</f>
        <v>5.5389183236085344</v>
      </c>
      <c r="AM229" s="94">
        <f>(Table3.110[[#This Row],[Net gas 24h, ml]]/Table3.110[[#This Row],[DM Incubated, mg]])*1000</f>
        <v>77.575250324294061</v>
      </c>
      <c r="AN229" s="94">
        <f>'3.2 Digest'!X229</f>
        <v>14.597356474121796</v>
      </c>
      <c r="AO229" s="94">
        <f>Table3.110[[#This Row],[Digested feed, mg]]/Table3.110[[#This Row],[Net gas 24h, ml]]</f>
        <v>1.8817027870486127</v>
      </c>
      <c r="AP229" s="94">
        <f>Table3.110[[#This Row],[CH4 8h, ml]]/Table3.110[[#This Row],[Net gas 8h, ml]]%</f>
        <v>13.6</v>
      </c>
      <c r="AQ229" s="94">
        <f>Table3.110[[#This Row],[CH4 24h, ml]]/Table3.110[[#This Row],[Net gas 24h, ml]]%</f>
        <v>15.161110850775732</v>
      </c>
      <c r="AR229" s="94">
        <f>Table3.110[[#This Row],[CH4 24h, ml]]/Table3.110[[#This Row],[DM Incubated, mg]]*1000</f>
        <v>11.761269694432983</v>
      </c>
      <c r="AS229" s="94">
        <f>Table3.110[[#This Row],[CH4 24h, ml]]/Table3.110[[#This Row],[Digested feed, mg]]*1000</f>
        <v>80.571230244896554</v>
      </c>
      <c r="AT229" s="94">
        <f>Table3.110[[#This Row],[CH4 24h, ml]]/'3.2 Digest'!AA229</f>
        <v>-0.16937862817684846</v>
      </c>
      <c r="AU229" s="94">
        <f>((Table3.110[[#This Row],[CH4 24h, ml]]/28.9)*16.04)/Table3.110[[#This Row],[DM Incubated, mg]]*1000</f>
        <v>6.5277081625849496</v>
      </c>
      <c r="AV229" s="94">
        <f>((Table3.110[[#This Row],[CH4 24h, ml]]/28.9)*16.04)/Table3.110[[#This Row],[Digested feed, mg]]*1000</f>
        <v>44.718426751838777</v>
      </c>
      <c r="AW229" s="303"/>
    </row>
    <row r="230" spans="1:49" s="304" customFormat="1" x14ac:dyDescent="0.35">
      <c r="A230" s="89"/>
      <c r="B230" s="90">
        <f t="shared" si="3"/>
        <v>220</v>
      </c>
      <c r="C230" s="140">
        <v>46076</v>
      </c>
      <c r="D230" s="92" t="s">
        <v>16</v>
      </c>
      <c r="E230" s="6" t="str">
        <f>'[1]1. Information samples'!$F$19</f>
        <v>CIAT-13710</v>
      </c>
      <c r="F230" s="6" t="s">
        <v>19</v>
      </c>
      <c r="G230" s="6" t="s">
        <v>29</v>
      </c>
      <c r="H230" s="6" t="str">
        <f>'[1]1. Information samples'!$I$19</f>
        <v>Dendrolobium lanceolatum</v>
      </c>
      <c r="I230" s="6" t="s">
        <v>22</v>
      </c>
      <c r="J230" s="129" t="s">
        <v>23</v>
      </c>
      <c r="K230" s="129" t="s">
        <v>24</v>
      </c>
      <c r="L230" s="6" t="str">
        <f>'[1]1. Information samples'!$E$19</f>
        <v>F251731</v>
      </c>
      <c r="M230" s="119">
        <v>27</v>
      </c>
      <c r="N230" s="93">
        <v>69</v>
      </c>
      <c r="O230" s="6">
        <v>3</v>
      </c>
      <c r="P230" s="6">
        <v>2</v>
      </c>
      <c r="Q230" s="6">
        <v>82</v>
      </c>
      <c r="R230" s="98">
        <v>0.50009999999999999</v>
      </c>
      <c r="S230" s="94">
        <f>((Table3.110[[#This Row],[Sample weight, g]]*'2.1. DM'!Q17)/100)*1000</f>
        <v>470.75734411932388</v>
      </c>
      <c r="T230" s="94">
        <f>'3.2 Digest'!W230</f>
        <v>82.657344119323852</v>
      </c>
      <c r="U230" s="153">
        <v>0.32569444444444445</v>
      </c>
      <c r="V230" s="154">
        <v>41</v>
      </c>
      <c r="W230" s="153">
        <v>0.66041666666666665</v>
      </c>
      <c r="X230" s="91">
        <v>63.5</v>
      </c>
      <c r="Y230" s="91">
        <v>13.6</v>
      </c>
      <c r="Z230" s="154">
        <v>40.5</v>
      </c>
      <c r="AA230" s="153">
        <v>0.33680555555555558</v>
      </c>
      <c r="AB230" s="154">
        <v>56</v>
      </c>
      <c r="AC230" s="154">
        <v>17.600000000000001</v>
      </c>
      <c r="AD230" s="91"/>
      <c r="AE230" s="94">
        <f>Table3.110[[#This Row],[Gas 8h, ml]]-Table3.110[[#This Row],[Gas 0h, ml]]</f>
        <v>22.5</v>
      </c>
      <c r="AF230" s="94">
        <f>Table3.110[[#This Row],[Gas 24h, ml]]-Table3.110[[#This Row],[V8 Push back, ml]]</f>
        <v>15.5</v>
      </c>
      <c r="AG230" s="94">
        <f>Table3.110[[#This Row],[GP 8h, ml]]-(AVERAGE(AE$221,AE$222,AE$255,AE$256,AE$291,AE$292))*$AG$8</f>
        <v>21.024988739845064</v>
      </c>
      <c r="AH230" s="94">
        <f>Table3.110[[#This Row],[GP 8-24h, ml]]-(AVERAGE(AF$221,AF$222,AF$255,AF$256,AF$291,AF$292))*$AG$8</f>
        <v>13.508734798790837</v>
      </c>
      <c r="AI230" s="94">
        <f>Table3.110[[#This Row],[Net gas 8-24h, ml]]+Table3.110[[#This Row],[Net gas 8h, ml]]</f>
        <v>34.533723538635897</v>
      </c>
      <c r="AJ230" s="94">
        <f>Table3.110[[#This Row],[Net gas 8h, ml]]*Table3.110[[#This Row],[CH4 8h %]]%</f>
        <v>2.8593984686189291</v>
      </c>
      <c r="AK230" s="94">
        <f>Table3.110[[#This Row],[Net gas 8-24h, ml]]*Table3.110[[#This Row],[CH4 24h, %]]%</f>
        <v>2.3775373245871876</v>
      </c>
      <c r="AL230" s="94">
        <f>Table3.110[[#This Row],[CH4 8-24h, ml]]+Table3.110[[#This Row],[CH4 8h, ml]]</f>
        <v>5.2369357932061167</v>
      </c>
      <c r="AM230" s="94">
        <f>(Table3.110[[#This Row],[Net gas 24h, ml]]/Table3.110[[#This Row],[DM Incubated, mg]])*1000</f>
        <v>73.35780093508761</v>
      </c>
      <c r="AN230" s="94">
        <f>'3.2 Digest'!X230</f>
        <v>17.558375913169506</v>
      </c>
      <c r="AO230" s="94">
        <f>Table3.110[[#This Row],[Digested feed, mg]]/Table3.110[[#This Row],[Net gas 24h, ml]]</f>
        <v>2.3935253905316016</v>
      </c>
      <c r="AP230" s="94">
        <f>Table3.110[[#This Row],[CH4 8h, ml]]/Table3.110[[#This Row],[Net gas 8h, ml]]%</f>
        <v>13.600000000000003</v>
      </c>
      <c r="AQ230" s="94">
        <f>Table3.110[[#This Row],[CH4 24h, ml]]/Table3.110[[#This Row],[Net gas 24h, ml]]%</f>
        <v>15.164700636313077</v>
      </c>
      <c r="AR230" s="94">
        <f>Table3.110[[#This Row],[CH4 24h, ml]]/Table3.110[[#This Row],[DM Incubated, mg]]*1000</f>
        <v>11.124490905188512</v>
      </c>
      <c r="AS230" s="94">
        <f>Table3.110[[#This Row],[CH4 24h, ml]]/Table3.110[[#This Row],[Digested feed, mg]]*1000</f>
        <v>63.357174719358198</v>
      </c>
      <c r="AT230" s="94">
        <f>Table3.110[[#This Row],[CH4 24h, ml]]/'3.2 Digest'!AA230</f>
        <v>-0.18636469031831074</v>
      </c>
      <c r="AU230" s="94">
        <f>((Table3.110[[#This Row],[CH4 24h, ml]]/28.9)*16.04)/Table3.110[[#This Row],[DM Incubated, mg]]*1000</f>
        <v>6.1742849176201977</v>
      </c>
      <c r="AV230" s="94">
        <f>((Table3.110[[#This Row],[CH4 24h, ml]]/28.9)*16.04)/Table3.110[[#This Row],[Digested feed, mg]]*1000</f>
        <v>35.164328114135138</v>
      </c>
      <c r="AW230" s="303"/>
    </row>
    <row r="231" spans="1:49" s="304" customFormat="1" x14ac:dyDescent="0.35">
      <c r="A231" s="89"/>
      <c r="B231" s="90">
        <f t="shared" si="3"/>
        <v>221</v>
      </c>
      <c r="C231" s="140">
        <v>46076</v>
      </c>
      <c r="D231" s="6" t="s">
        <v>16</v>
      </c>
      <c r="E231" s="6" t="str">
        <f>'[1]1. Information samples'!$F$20</f>
        <v>CIAT-22004</v>
      </c>
      <c r="F231" s="6" t="s">
        <v>19</v>
      </c>
      <c r="G231" s="6" t="s">
        <v>20</v>
      </c>
      <c r="H231" s="6" t="str">
        <f>'[1]1. Information samples'!$I$20</f>
        <v>Dendrolobium triangulare</v>
      </c>
      <c r="I231" s="6" t="s">
        <v>22</v>
      </c>
      <c r="J231" s="129" t="s">
        <v>23</v>
      </c>
      <c r="K231" s="129" t="s">
        <v>24</v>
      </c>
      <c r="L231" s="6" t="str">
        <f>'[1]1. Information samples'!$E$20</f>
        <v>F251732</v>
      </c>
      <c r="M231" s="119">
        <v>27</v>
      </c>
      <c r="N231" s="93">
        <v>69</v>
      </c>
      <c r="O231" s="6">
        <v>3</v>
      </c>
      <c r="P231" s="129">
        <v>1</v>
      </c>
      <c r="Q231" s="6">
        <v>83</v>
      </c>
      <c r="R231" s="98">
        <v>0.50029999999999997</v>
      </c>
      <c r="S231" s="94">
        <f>((Table3.110[[#This Row],[Sample weight, g]]*'2.1. DM'!Q19)/100)*1000</f>
        <v>471.7621368452036</v>
      </c>
      <c r="T231" s="94">
        <f>'3.2 Digest'!W231</f>
        <v>118.46213684520353</v>
      </c>
      <c r="U231" s="153">
        <v>0.3263888888888889</v>
      </c>
      <c r="V231" s="154">
        <v>42.5</v>
      </c>
      <c r="W231" s="153">
        <v>0.66111111111111109</v>
      </c>
      <c r="X231" s="91">
        <v>67.5</v>
      </c>
      <c r="Y231" s="91">
        <v>12.8</v>
      </c>
      <c r="Z231" s="154">
        <v>41</v>
      </c>
      <c r="AA231" s="153">
        <v>0.33750000000000002</v>
      </c>
      <c r="AB231" s="154">
        <v>63.5</v>
      </c>
      <c r="AC231" s="154">
        <v>16.8</v>
      </c>
      <c r="AD231" s="91"/>
      <c r="AE231" s="94">
        <f>Table3.110[[#This Row],[Gas 8h, ml]]-Table3.110[[#This Row],[Gas 0h, ml]]</f>
        <v>25</v>
      </c>
      <c r="AF231" s="94">
        <f>Table3.110[[#This Row],[Gas 24h, ml]]-Table3.110[[#This Row],[V8 Push back, ml]]</f>
        <v>22.5</v>
      </c>
      <c r="AG231" s="94">
        <f>Table3.110[[#This Row],[GP 8h, ml]]-(AVERAGE(AE$221,AE$222,AE$255,AE$256,AE$291,AE$292))*$AG$8</f>
        <v>23.524988739845064</v>
      </c>
      <c r="AH231" s="94">
        <f>Table3.110[[#This Row],[GP 8-24h, ml]]-(AVERAGE(AF$221,AF$222,AF$255,AF$256,AF$291,AF$292))*$AG$8</f>
        <v>20.508734798790837</v>
      </c>
      <c r="AI231" s="94">
        <f>Table3.110[[#This Row],[Net gas 8-24h, ml]]+Table3.110[[#This Row],[Net gas 8h, ml]]</f>
        <v>44.033723538635897</v>
      </c>
      <c r="AJ231" s="94">
        <f>Table3.110[[#This Row],[Net gas 8h, ml]]*Table3.110[[#This Row],[CH4 8h %]]%</f>
        <v>3.0111985587001682</v>
      </c>
      <c r="AK231" s="94">
        <f>Table3.110[[#This Row],[Net gas 8-24h, ml]]*Table3.110[[#This Row],[CH4 24h, %]]%</f>
        <v>3.4454674461968606</v>
      </c>
      <c r="AL231" s="94">
        <f>Table3.110[[#This Row],[CH4 8-24h, ml]]+Table3.110[[#This Row],[CH4 8h, ml]]</f>
        <v>6.4566660048970288</v>
      </c>
      <c r="AM231" s="94">
        <f>(Table3.110[[#This Row],[Net gas 24h, ml]]/Table3.110[[#This Row],[DM Incubated, mg]])*1000</f>
        <v>93.338825012750888</v>
      </c>
      <c r="AN231" s="94">
        <f>'3.2 Digest'!X231</f>
        <v>25.110564751421283</v>
      </c>
      <c r="AO231" s="94">
        <f>Table3.110[[#This Row],[Digested feed, mg]]/Table3.110[[#This Row],[Net gas 24h, ml]]</f>
        <v>2.6902593586314123</v>
      </c>
      <c r="AP231" s="94">
        <f>Table3.110[[#This Row],[CH4 8h, ml]]/Table3.110[[#This Row],[Net gas 8h, ml]]%</f>
        <v>12.799999999999999</v>
      </c>
      <c r="AQ231" s="94">
        <f>Table3.110[[#This Row],[CH4 24h, ml]]/Table3.110[[#This Row],[Net gas 24h, ml]]%</f>
        <v>14.663002549016428</v>
      </c>
      <c r="AR231" s="94">
        <f>Table3.110[[#This Row],[CH4 24h, ml]]/Table3.110[[#This Row],[DM Incubated, mg]]*1000</f>
        <v>13.686274290841645</v>
      </c>
      <c r="AS231" s="94">
        <f>Table3.110[[#This Row],[CH4 24h, ml]]/Table3.110[[#This Row],[Digested feed, mg]]*1000</f>
        <v>54.50404810217178</v>
      </c>
      <c r="AT231" s="94">
        <f>Table3.110[[#This Row],[CH4 24h, ml]]/'3.2 Digest'!AA231</f>
        <v>-0.36406551151652222</v>
      </c>
      <c r="AU231" s="94">
        <f>((Table3.110[[#This Row],[CH4 24h, ml]]/28.9)*16.04)/Table3.110[[#This Row],[DM Incubated, mg]]*1000</f>
        <v>7.5961190181695502</v>
      </c>
      <c r="AV231" s="94">
        <f>((Table3.110[[#This Row],[CH4 24h, ml]]/28.9)*16.04)/Table3.110[[#This Row],[Digested feed, mg]]*1000</f>
        <v>30.250689673316099</v>
      </c>
      <c r="AW231" s="303"/>
    </row>
    <row r="232" spans="1:49" s="304" customFormat="1" x14ac:dyDescent="0.35">
      <c r="A232" s="89"/>
      <c r="B232" s="90">
        <f t="shared" si="3"/>
        <v>222</v>
      </c>
      <c r="C232" s="140">
        <v>46076</v>
      </c>
      <c r="D232" s="6" t="s">
        <v>16</v>
      </c>
      <c r="E232" s="6" t="str">
        <f>'[1]1. Information samples'!$F$20</f>
        <v>CIAT-22004</v>
      </c>
      <c r="F232" s="6" t="s">
        <v>19</v>
      </c>
      <c r="G232" s="6" t="s">
        <v>20</v>
      </c>
      <c r="H232" s="6" t="str">
        <f>'[1]1. Information samples'!$I$20</f>
        <v>Dendrolobium triangulare</v>
      </c>
      <c r="I232" s="6" t="s">
        <v>22</v>
      </c>
      <c r="J232" s="129" t="s">
        <v>23</v>
      </c>
      <c r="K232" s="129" t="s">
        <v>24</v>
      </c>
      <c r="L232" s="6" t="str">
        <f>'[1]1. Information samples'!$E$20</f>
        <v>F251732</v>
      </c>
      <c r="M232" s="119">
        <v>27</v>
      </c>
      <c r="N232" s="93">
        <v>69</v>
      </c>
      <c r="O232" s="6">
        <v>3</v>
      </c>
      <c r="P232" s="6">
        <v>2</v>
      </c>
      <c r="Q232" s="6">
        <v>84</v>
      </c>
      <c r="R232" s="98">
        <v>0.5</v>
      </c>
      <c r="S232" s="94">
        <f>((Table3.110[[#This Row],[Sample weight, g]]*'2.1. DM'!Q19)/100)*1000</f>
        <v>471.47924929562618</v>
      </c>
      <c r="T232" s="94">
        <f>'3.2 Digest'!W232</f>
        <v>96.879249295626153</v>
      </c>
      <c r="U232" s="117">
        <v>0.3263888888888889</v>
      </c>
      <c r="V232" s="155">
        <v>42</v>
      </c>
      <c r="W232" s="117">
        <v>0.66111111111111109</v>
      </c>
      <c r="X232" s="96">
        <v>67.5</v>
      </c>
      <c r="Y232" s="96">
        <v>12.6</v>
      </c>
      <c r="Z232" s="155">
        <v>41.5</v>
      </c>
      <c r="AA232" s="117">
        <v>0.33750000000000002</v>
      </c>
      <c r="AB232" s="155">
        <v>65</v>
      </c>
      <c r="AC232" s="155">
        <v>17</v>
      </c>
      <c r="AD232" s="96"/>
      <c r="AE232" s="94">
        <f>Table3.110[[#This Row],[Gas 8h, ml]]-Table3.110[[#This Row],[Gas 0h, ml]]</f>
        <v>25.5</v>
      </c>
      <c r="AF232" s="94">
        <f>Table3.110[[#This Row],[Gas 24h, ml]]-Table3.110[[#This Row],[V8 Push back, ml]]</f>
        <v>23.5</v>
      </c>
      <c r="AG232" s="94">
        <f>Table3.110[[#This Row],[GP 8h, ml]]-(AVERAGE(AE$221,AE$222,AE$255,AE$256,AE$291,AE$292))*$AG$8</f>
        <v>24.024988739845064</v>
      </c>
      <c r="AH232" s="94">
        <f>Table3.110[[#This Row],[GP 8-24h, ml]]-(AVERAGE(AF$221,AF$222,AF$255,AF$256,AF$291,AF$292))*$AG$8</f>
        <v>21.508734798790837</v>
      </c>
      <c r="AI232" s="94">
        <f>Table3.110[[#This Row],[Net gas 8-24h, ml]]+Table3.110[[#This Row],[Net gas 8h, ml]]</f>
        <v>45.533723538635897</v>
      </c>
      <c r="AJ232" s="94">
        <f>Table3.110[[#This Row],[Net gas 8h, ml]]*Table3.110[[#This Row],[CH4 8h %]]%</f>
        <v>3.0271485812204779</v>
      </c>
      <c r="AK232" s="94">
        <f>Table3.110[[#This Row],[Net gas 8-24h, ml]]*Table3.110[[#This Row],[CH4 24h, %]]%</f>
        <v>3.6564849157944423</v>
      </c>
      <c r="AL232" s="94">
        <f>Table3.110[[#This Row],[CH4 8-24h, ml]]+Table3.110[[#This Row],[CH4 8h, ml]]</f>
        <v>6.6836334970149203</v>
      </c>
      <c r="AM232" s="94">
        <f>(Table3.110[[#This Row],[Net gas 24h, ml]]/Table3.110[[#This Row],[DM Incubated, mg]])*1000</f>
        <v>96.576304485641145</v>
      </c>
      <c r="AN232" s="94">
        <f>'3.2 Digest'!X232</f>
        <v>20.547934917678866</v>
      </c>
      <c r="AO232" s="94">
        <f>Table3.110[[#This Row],[Digested feed, mg]]/Table3.110[[#This Row],[Net gas 24h, ml]]</f>
        <v>2.1276373150863224</v>
      </c>
      <c r="AP232" s="94">
        <f>Table3.110[[#This Row],[CH4 8h, ml]]/Table3.110[[#This Row],[Net gas 8h, ml]]%</f>
        <v>12.6</v>
      </c>
      <c r="AQ232" s="94">
        <f>Table3.110[[#This Row],[CH4 24h, ml]]/Table3.110[[#This Row],[Net gas 24h, ml]]%</f>
        <v>14.678425082771408</v>
      </c>
      <c r="AR232" s="94">
        <f>Table3.110[[#This Row],[CH4 24h, ml]]/Table3.110[[#This Row],[DM Incubated, mg]]*1000</f>
        <v>14.175880501634037</v>
      </c>
      <c r="AS232" s="94">
        <f>Table3.110[[#This Row],[CH4 24h, ml]]/Table3.110[[#This Row],[Digested feed, mg]]*1000</f>
        <v>68.989319649039317</v>
      </c>
      <c r="AT232" s="94">
        <f>Table3.110[[#This Row],[CH4 24h, ml]]/'3.2 Digest'!AA232</f>
        <v>-0.26833402986658128</v>
      </c>
      <c r="AU232" s="94">
        <f>((Table3.110[[#This Row],[CH4 24h, ml]]/28.9)*16.04)/Table3.110[[#This Row],[DM Incubated, mg]]*1000</f>
        <v>7.8678589358550148</v>
      </c>
      <c r="AV232" s="94">
        <f>((Table3.110[[#This Row],[CH4 24h, ml]]/28.9)*16.04)/Table3.110[[#This Row],[Digested feed, mg]]*1000</f>
        <v>38.290265992061954</v>
      </c>
      <c r="AW232" s="303"/>
    </row>
    <row r="233" spans="1:49" s="304" customFormat="1" x14ac:dyDescent="0.35">
      <c r="A233" s="89"/>
      <c r="B233" s="90">
        <f t="shared" si="3"/>
        <v>223</v>
      </c>
      <c r="C233" s="140">
        <v>46076</v>
      </c>
      <c r="D233" s="6" t="s">
        <v>16</v>
      </c>
      <c r="E233" s="6" t="str">
        <f>'[1]1. Information samples'!$F$21</f>
        <v>CIAT-23104</v>
      </c>
      <c r="F233" s="6" t="s">
        <v>19</v>
      </c>
      <c r="G233" s="6" t="s">
        <v>20</v>
      </c>
      <c r="H233" s="6" t="str">
        <f>'[1]1. Information samples'!$I$21</f>
        <v>Dendrolobium triangulare</v>
      </c>
      <c r="I233" s="6" t="s">
        <v>22</v>
      </c>
      <c r="J233" s="129" t="s">
        <v>23</v>
      </c>
      <c r="K233" s="129" t="s">
        <v>24</v>
      </c>
      <c r="L233" s="6" t="str">
        <f>'[1]1. Information samples'!$E$21</f>
        <v>F251733</v>
      </c>
      <c r="M233" s="119">
        <v>27</v>
      </c>
      <c r="N233" s="93">
        <v>69</v>
      </c>
      <c r="O233" s="6">
        <v>3</v>
      </c>
      <c r="P233" s="129">
        <v>1</v>
      </c>
      <c r="Q233" s="6">
        <v>85</v>
      </c>
      <c r="R233" s="98">
        <v>0.50029999999999997</v>
      </c>
      <c r="S233" s="94">
        <f>((Table3.110[[#This Row],[Sample weight, g]]*'2.1. DM'!Q21)/100)*1000</f>
        <v>463.44079313091294</v>
      </c>
      <c r="T233" s="94">
        <f>'3.2 Digest'!W233</f>
        <v>82.440793130912937</v>
      </c>
      <c r="U233" s="117">
        <v>0.3263888888888889</v>
      </c>
      <c r="V233" s="155">
        <v>41.5</v>
      </c>
      <c r="W233" s="117">
        <v>0.66180555555555554</v>
      </c>
      <c r="X233" s="96">
        <v>65.5</v>
      </c>
      <c r="Y233" s="96">
        <v>14.3</v>
      </c>
      <c r="Z233" s="155">
        <v>40.5</v>
      </c>
      <c r="AA233" s="117">
        <v>0.33819444444444446</v>
      </c>
      <c r="AB233" s="155">
        <v>62.5</v>
      </c>
      <c r="AC233" s="155">
        <v>17</v>
      </c>
      <c r="AD233" s="96"/>
      <c r="AE233" s="94">
        <f>Table3.110[[#This Row],[Gas 8h, ml]]-Table3.110[[#This Row],[Gas 0h, ml]]</f>
        <v>24</v>
      </c>
      <c r="AF233" s="94">
        <f>Table3.110[[#This Row],[Gas 24h, ml]]-Table3.110[[#This Row],[V8 Push back, ml]]</f>
        <v>22</v>
      </c>
      <c r="AG233" s="94">
        <f>Table3.110[[#This Row],[GP 8h, ml]]-(AVERAGE(AE$221,AE$222,AE$255,AE$256,AE$291,AE$292))*$AG$8</f>
        <v>22.524988739845064</v>
      </c>
      <c r="AH233" s="94">
        <f>Table3.110[[#This Row],[GP 8-24h, ml]]-(AVERAGE(AF$221,AF$222,AF$255,AF$256,AF$291,AF$292))*$AG$8</f>
        <v>20.008734798790837</v>
      </c>
      <c r="AI233" s="94">
        <f>Table3.110[[#This Row],[Net gas 8-24h, ml]]+Table3.110[[#This Row],[Net gas 8h, ml]]</f>
        <v>42.533723538635897</v>
      </c>
      <c r="AJ233" s="94">
        <f>Table3.110[[#This Row],[Net gas 8h, ml]]*Table3.110[[#This Row],[CH4 8h %]]%</f>
        <v>3.2210733897978443</v>
      </c>
      <c r="AK233" s="94">
        <f>Table3.110[[#This Row],[Net gas 8-24h, ml]]*Table3.110[[#This Row],[CH4 24h, %]]%</f>
        <v>3.4014849157944425</v>
      </c>
      <c r="AL233" s="94">
        <f>Table3.110[[#This Row],[CH4 8-24h, ml]]+Table3.110[[#This Row],[CH4 8h, ml]]</f>
        <v>6.6225583055922872</v>
      </c>
      <c r="AM233" s="94">
        <f>(Table3.110[[#This Row],[Net gas 24h, ml]]/Table3.110[[#This Row],[DM Incubated, mg]])*1000</f>
        <v>91.778117440388883</v>
      </c>
      <c r="AN233" s="94">
        <f>'3.2 Digest'!X233</f>
        <v>17.788851208794007</v>
      </c>
      <c r="AO233" s="94">
        <f>Table3.110[[#This Row],[Digested feed, mg]]/Table3.110[[#This Row],[Net gas 24h, ml]]</f>
        <v>1.9382453797168049</v>
      </c>
      <c r="AP233" s="94">
        <f>Table3.110[[#This Row],[CH4 8h, ml]]/Table3.110[[#This Row],[Net gas 8h, ml]]%</f>
        <v>14.3</v>
      </c>
      <c r="AQ233" s="94">
        <f>Table3.110[[#This Row],[CH4 24h, ml]]/Table3.110[[#This Row],[Net gas 24h, ml]]%</f>
        <v>15.570135305874704</v>
      </c>
      <c r="AR233" s="94">
        <f>Table3.110[[#This Row],[CH4 24h, ml]]/Table3.110[[#This Row],[DM Incubated, mg]]*1000</f>
        <v>14.289977066653138</v>
      </c>
      <c r="AS233" s="94">
        <f>Table3.110[[#This Row],[CH4 24h, ml]]/Table3.110[[#This Row],[Digested feed, mg]]*1000</f>
        <v>80.331084334376897</v>
      </c>
      <c r="AT233" s="94">
        <f>Table3.110[[#This Row],[CH4 24h, ml]]/'3.2 Digest'!AA233</f>
        <v>-0.29694275442744467</v>
      </c>
      <c r="AU233" s="94">
        <f>((Table3.110[[#This Row],[CH4 24h, ml]]/28.9)*16.04)/Table3.110[[#This Row],[DM Incubated, mg]]*1000</f>
        <v>7.9311845034296304</v>
      </c>
      <c r="AV233" s="94">
        <f>((Table3.110[[#This Row],[CH4 24h, ml]]/28.9)*16.04)/Table3.110[[#This Row],[Digested feed, mg]]*1000</f>
        <v>44.585141616726837</v>
      </c>
      <c r="AW233" s="303"/>
    </row>
    <row r="234" spans="1:49" s="304" customFormat="1" x14ac:dyDescent="0.35">
      <c r="A234" s="89"/>
      <c r="B234" s="90">
        <f t="shared" si="3"/>
        <v>224</v>
      </c>
      <c r="C234" s="140">
        <v>46076</v>
      </c>
      <c r="D234" s="6" t="s">
        <v>16</v>
      </c>
      <c r="E234" s="6" t="str">
        <f>'[1]1. Information samples'!$F$21</f>
        <v>CIAT-23104</v>
      </c>
      <c r="F234" s="6" t="s">
        <v>19</v>
      </c>
      <c r="G234" s="6" t="s">
        <v>20</v>
      </c>
      <c r="H234" s="6" t="str">
        <f>'[1]1. Information samples'!$I$21</f>
        <v>Dendrolobium triangulare</v>
      </c>
      <c r="I234" s="6" t="s">
        <v>22</v>
      </c>
      <c r="J234" s="129" t="s">
        <v>23</v>
      </c>
      <c r="K234" s="129" t="s">
        <v>24</v>
      </c>
      <c r="L234" s="6" t="str">
        <f>'[1]1. Information samples'!$E$21</f>
        <v>F251733</v>
      </c>
      <c r="M234" s="119">
        <v>27</v>
      </c>
      <c r="N234" s="93">
        <v>69</v>
      </c>
      <c r="O234" s="6">
        <v>3</v>
      </c>
      <c r="P234" s="6">
        <v>2</v>
      </c>
      <c r="Q234" s="6">
        <v>86</v>
      </c>
      <c r="R234" s="98">
        <v>0.50049999999999994</v>
      </c>
      <c r="S234" s="94">
        <f>((Table3.110[[#This Row],[Sample weight, g]]*'2.1. DM'!Q21)/100)*1000</f>
        <v>463.62605828907033</v>
      </c>
      <c r="T234" s="94">
        <f>'3.2 Digest'!W234</f>
        <v>4.2260582890704086</v>
      </c>
      <c r="U234" s="153">
        <v>0.3263888888888889</v>
      </c>
      <c r="V234" s="154">
        <v>41.5</v>
      </c>
      <c r="W234" s="153">
        <v>0.66249999999999998</v>
      </c>
      <c r="X234" s="91">
        <v>67</v>
      </c>
      <c r="Y234" s="91">
        <v>13.4</v>
      </c>
      <c r="Z234" s="154">
        <v>41</v>
      </c>
      <c r="AA234" s="153">
        <v>0.33888888888888891</v>
      </c>
      <c r="AB234" s="154">
        <v>63</v>
      </c>
      <c r="AC234" s="154">
        <v>17.5</v>
      </c>
      <c r="AD234" s="91"/>
      <c r="AE234" s="94">
        <f>Table3.110[[#This Row],[Gas 8h, ml]]-Table3.110[[#This Row],[Gas 0h, ml]]</f>
        <v>25.5</v>
      </c>
      <c r="AF234" s="94">
        <f>Table3.110[[#This Row],[Gas 24h, ml]]-Table3.110[[#This Row],[V8 Push back, ml]]</f>
        <v>22</v>
      </c>
      <c r="AG234" s="94"/>
      <c r="AH234" s="94"/>
      <c r="AI234" s="94"/>
      <c r="AJ234" s="94"/>
      <c r="AK234" s="94"/>
      <c r="AL234" s="94"/>
      <c r="AM234" s="94"/>
      <c r="AN234" s="94"/>
      <c r="AO234" s="94"/>
      <c r="AP234" s="94"/>
      <c r="AQ234" s="94"/>
      <c r="AR234" s="94"/>
      <c r="AS234" s="94"/>
      <c r="AT234" s="94"/>
      <c r="AU234" s="94"/>
      <c r="AV234" s="94"/>
      <c r="AW234" s="303" t="s">
        <v>611</v>
      </c>
    </row>
    <row r="235" spans="1:49" s="304" customFormat="1" x14ac:dyDescent="0.35">
      <c r="A235" s="89"/>
      <c r="B235" s="90">
        <f t="shared" si="3"/>
        <v>225</v>
      </c>
      <c r="C235" s="140">
        <v>46076</v>
      </c>
      <c r="D235" s="6" t="s">
        <v>16</v>
      </c>
      <c r="E235" s="6" t="str">
        <f>'[1]1. Information samples'!$F$22</f>
        <v>CIAT-23106</v>
      </c>
      <c r="F235" s="6" t="s">
        <v>19</v>
      </c>
      <c r="G235" s="6" t="s">
        <v>20</v>
      </c>
      <c r="H235" s="6" t="str">
        <f>'[1]1. Information samples'!$I$22</f>
        <v>Dendrolobium triangulare</v>
      </c>
      <c r="I235" s="6" t="s">
        <v>22</v>
      </c>
      <c r="J235" s="129" t="s">
        <v>23</v>
      </c>
      <c r="K235" s="129" t="s">
        <v>24</v>
      </c>
      <c r="L235" s="6" t="str">
        <f>'[1]1. Information samples'!$E$22</f>
        <v>F251734</v>
      </c>
      <c r="M235" s="119">
        <v>27</v>
      </c>
      <c r="N235" s="93">
        <v>69</v>
      </c>
      <c r="O235" s="6">
        <v>3</v>
      </c>
      <c r="P235" s="129">
        <v>1</v>
      </c>
      <c r="Q235" s="6">
        <v>87</v>
      </c>
      <c r="R235" s="98">
        <v>0.50029999999999997</v>
      </c>
      <c r="S235" s="94">
        <f>((Table3.110[[#This Row],[Sample weight, g]]*'2.1. DM'!Q23)/100)*1000</f>
        <v>473.5473263368313</v>
      </c>
      <c r="T235" s="94">
        <f>'3.2 Digest'!W235</f>
        <v>57.04732633683119</v>
      </c>
      <c r="U235" s="156">
        <v>0.3263888888888889</v>
      </c>
      <c r="V235" s="154">
        <v>42</v>
      </c>
      <c r="W235" s="153">
        <v>0.66249999999999998</v>
      </c>
      <c r="X235" s="91">
        <v>63.5</v>
      </c>
      <c r="Y235" s="91">
        <v>13.7</v>
      </c>
      <c r="Z235" s="154">
        <v>40.5</v>
      </c>
      <c r="AA235" s="153">
        <v>0.33888888888888891</v>
      </c>
      <c r="AB235" s="154">
        <v>56</v>
      </c>
      <c r="AC235" s="154">
        <v>17.600000000000001</v>
      </c>
      <c r="AD235" s="91"/>
      <c r="AE235" s="94">
        <f>Table3.110[[#This Row],[Gas 8h, ml]]-Table3.110[[#This Row],[Gas 0h, ml]]</f>
        <v>21.5</v>
      </c>
      <c r="AF235" s="94">
        <f>Table3.110[[#This Row],[Gas 24h, ml]]-Table3.110[[#This Row],[V8 Push back, ml]]</f>
        <v>15.5</v>
      </c>
      <c r="AG235" s="94">
        <f>Table3.110[[#This Row],[GP 8h, ml]]-(AVERAGE(AE$221,AE$222,AE$255,AE$256,AE$291,AE$292))*$AG$8</f>
        <v>20.024988739845064</v>
      </c>
      <c r="AH235" s="94">
        <f>Table3.110[[#This Row],[GP 8-24h, ml]]-(AVERAGE(AF$221,AF$222,AF$255,AF$256,AF$291,AF$292))*$AG$8</f>
        <v>13.508734798790837</v>
      </c>
      <c r="AI235" s="94">
        <f>Table3.110[[#This Row],[Net gas 8-24h, ml]]+Table3.110[[#This Row],[Net gas 8h, ml]]</f>
        <v>33.533723538635897</v>
      </c>
      <c r="AJ235" s="94">
        <f>Table3.110[[#This Row],[Net gas 8h, ml]]*Table3.110[[#This Row],[CH4 8h %]]%</f>
        <v>2.7434234573587735</v>
      </c>
      <c r="AK235" s="94">
        <f>Table3.110[[#This Row],[Net gas 8-24h, ml]]*Table3.110[[#This Row],[CH4 24h, %]]%</f>
        <v>2.3775373245871876</v>
      </c>
      <c r="AL235" s="94">
        <f>Table3.110[[#This Row],[CH4 8-24h, ml]]+Table3.110[[#This Row],[CH4 8h, ml]]</f>
        <v>5.1209607819459606</v>
      </c>
      <c r="AM235" s="94">
        <f>(Table3.110[[#This Row],[Net gas 24h, ml]]/Table3.110[[#This Row],[DM Incubated, mg]])*1000</f>
        <v>70.813879993873229</v>
      </c>
      <c r="AN235" s="94">
        <f>'3.2 Digest'!X235</f>
        <v>12.046805707494117</v>
      </c>
      <c r="AO235" s="94">
        <f>Table3.110[[#This Row],[Digested feed, mg]]/Table3.110[[#This Row],[Net gas 24h, ml]]</f>
        <v>1.7011927193562053</v>
      </c>
      <c r="AP235" s="94">
        <f>Table3.110[[#This Row],[CH4 8h, ml]]/Table3.110[[#This Row],[Net gas 8h, ml]]%</f>
        <v>13.699999999999998</v>
      </c>
      <c r="AQ235" s="94">
        <f>Table3.110[[#This Row],[CH4 24h, ml]]/Table3.110[[#This Row],[Net gas 24h, ml]]%</f>
        <v>15.27107711747502</v>
      </c>
      <c r="AR235" s="94">
        <f>Table3.110[[#This Row],[CH4 24h, ml]]/Table3.110[[#This Row],[DM Incubated, mg]]*1000</f>
        <v>10.814042223740595</v>
      </c>
      <c r="AS235" s="94">
        <f>Table3.110[[#This Row],[CH4 24h, ml]]/Table3.110[[#This Row],[Digested feed, mg]]*1000</f>
        <v>89.766884984401784</v>
      </c>
      <c r="AT235" s="94">
        <f>Table3.110[[#This Row],[CH4 24h, ml]]/'3.2 Digest'!AA235</f>
        <v>-0.17184935711010546</v>
      </c>
      <c r="AU235" s="94">
        <f>((Table3.110[[#This Row],[CH4 24h, ml]]/28.9)*16.04)/Table3.110[[#This Row],[DM Incubated, mg]]*1000</f>
        <v>6.0019805283321501</v>
      </c>
      <c r="AV235" s="94">
        <f>((Table3.110[[#This Row],[CH4 24h, ml]]/28.9)*16.04)/Table3.110[[#This Row],[Digested feed, mg]]*1000</f>
        <v>49.822174226636839</v>
      </c>
      <c r="AW235" s="303"/>
    </row>
    <row r="236" spans="1:49" s="304" customFormat="1" x14ac:dyDescent="0.35">
      <c r="A236" s="89"/>
      <c r="B236" s="90">
        <f t="shared" si="3"/>
        <v>226</v>
      </c>
      <c r="C236" s="140">
        <v>46076</v>
      </c>
      <c r="D236" s="6" t="s">
        <v>16</v>
      </c>
      <c r="E236" s="6" t="str">
        <f>'[1]1. Information samples'!$F$22</f>
        <v>CIAT-23106</v>
      </c>
      <c r="F236" s="6" t="s">
        <v>19</v>
      </c>
      <c r="G236" s="6" t="s">
        <v>20</v>
      </c>
      <c r="H236" s="6" t="str">
        <f>'[1]1. Information samples'!$I$22</f>
        <v>Dendrolobium triangulare</v>
      </c>
      <c r="I236" s="6" t="s">
        <v>22</v>
      </c>
      <c r="J236" s="129" t="s">
        <v>23</v>
      </c>
      <c r="K236" s="129" t="s">
        <v>24</v>
      </c>
      <c r="L236" s="6" t="str">
        <f>'[1]1. Information samples'!$E$22</f>
        <v>F251734</v>
      </c>
      <c r="M236" s="119">
        <v>27</v>
      </c>
      <c r="N236" s="93">
        <v>69</v>
      </c>
      <c r="O236" s="6">
        <v>3</v>
      </c>
      <c r="P236" s="6">
        <v>2</v>
      </c>
      <c r="Q236" s="6">
        <v>88</v>
      </c>
      <c r="R236" s="98">
        <v>0.50039999999999996</v>
      </c>
      <c r="S236" s="94">
        <f>((Table3.110[[#This Row],[Sample weight, g]]*'2.1. DM'!Q23)/100)*1000</f>
        <v>473.64197901049448</v>
      </c>
      <c r="T236" s="94">
        <f>'3.2 Digest'!W236</f>
        <v>22.241979010494447</v>
      </c>
      <c r="U236" s="117">
        <v>0.32708333333333334</v>
      </c>
      <c r="V236" s="155">
        <v>42</v>
      </c>
      <c r="W236" s="117">
        <v>0.66319444444444442</v>
      </c>
      <c r="X236" s="96">
        <v>65</v>
      </c>
      <c r="Y236" s="96">
        <v>13.4</v>
      </c>
      <c r="Z236" s="155">
        <v>40.5</v>
      </c>
      <c r="AA236" s="117">
        <v>0.33958333333333335</v>
      </c>
      <c r="AB236" s="155">
        <v>56.5</v>
      </c>
      <c r="AC236" s="155">
        <v>17.600000000000001</v>
      </c>
      <c r="AD236" s="96"/>
      <c r="AE236" s="94"/>
      <c r="AF236" s="94"/>
      <c r="AG236" s="94"/>
      <c r="AH236" s="94"/>
      <c r="AI236" s="94"/>
      <c r="AJ236" s="94"/>
      <c r="AK236" s="94"/>
      <c r="AL236" s="94"/>
      <c r="AM236" s="94"/>
      <c r="AN236" s="94"/>
      <c r="AO236" s="94"/>
      <c r="AP236" s="94"/>
      <c r="AQ236" s="94"/>
      <c r="AR236" s="94"/>
      <c r="AS236" s="94"/>
      <c r="AT236" s="94"/>
      <c r="AU236" s="94"/>
      <c r="AV236" s="94"/>
      <c r="AW236" s="303" t="s">
        <v>618</v>
      </c>
    </row>
    <row r="237" spans="1:49" s="304" customFormat="1" x14ac:dyDescent="0.35">
      <c r="A237" s="89"/>
      <c r="B237" s="90">
        <f t="shared" si="3"/>
        <v>227</v>
      </c>
      <c r="C237" s="140">
        <v>46076</v>
      </c>
      <c r="D237" s="6" t="s">
        <v>16</v>
      </c>
      <c r="E237" s="6" t="str">
        <f>'[1]1. Information samples'!$F$23</f>
        <v>CIAT-23107</v>
      </c>
      <c r="F237" s="6" t="s">
        <v>19</v>
      </c>
      <c r="G237" s="6" t="s">
        <v>20</v>
      </c>
      <c r="H237" s="6" t="str">
        <f>'[1]1. Information samples'!$I$23</f>
        <v>Dendrolobium triangulare</v>
      </c>
      <c r="I237" s="6" t="s">
        <v>22</v>
      </c>
      <c r="J237" s="129" t="s">
        <v>23</v>
      </c>
      <c r="K237" s="129" t="s">
        <v>24</v>
      </c>
      <c r="L237" s="6" t="str">
        <f>'[1]1. Information samples'!$E$23</f>
        <v>F251735</v>
      </c>
      <c r="M237" s="119">
        <v>27</v>
      </c>
      <c r="N237" s="93">
        <v>69</v>
      </c>
      <c r="O237" s="6">
        <v>3</v>
      </c>
      <c r="P237" s="129">
        <v>1</v>
      </c>
      <c r="Q237" s="6">
        <v>89</v>
      </c>
      <c r="R237" s="98">
        <v>0.50019999999999998</v>
      </c>
      <c r="S237" s="94">
        <f>((Table3.110[[#This Row],[Sample weight, g]]*'2.1. DM'!Q25)/100)*1000</f>
        <v>475.12501224445236</v>
      </c>
      <c r="T237" s="94">
        <f>'3.2 Digest'!W237</f>
        <v>80.825012244452353</v>
      </c>
      <c r="U237" s="117">
        <v>0.32708333333333334</v>
      </c>
      <c r="V237" s="155">
        <v>42.5</v>
      </c>
      <c r="W237" s="117">
        <v>0.66319444444444442</v>
      </c>
      <c r="X237" s="96">
        <v>62.5</v>
      </c>
      <c r="Y237" s="96">
        <v>13.6</v>
      </c>
      <c r="Z237" s="155">
        <v>41.5</v>
      </c>
      <c r="AA237" s="117">
        <v>0.33958333333333335</v>
      </c>
      <c r="AB237" s="155">
        <v>59.5</v>
      </c>
      <c r="AC237" s="155">
        <v>17.8</v>
      </c>
      <c r="AD237" s="96"/>
      <c r="AE237" s="94">
        <f>Table3.110[[#This Row],[Gas 8h, ml]]-Table3.110[[#This Row],[Gas 0h, ml]]</f>
        <v>20</v>
      </c>
      <c r="AF237" s="94">
        <f>Table3.110[[#This Row],[Gas 24h, ml]]-Table3.110[[#This Row],[V8 Push back, ml]]</f>
        <v>18</v>
      </c>
      <c r="AG237" s="94">
        <f>Table3.110[[#This Row],[GP 8h, ml]]-(AVERAGE(AE$221,AE$222,AE$255,AE$256,AE$291,AE$292))*$AG$8</f>
        <v>18.524988739845064</v>
      </c>
      <c r="AH237" s="94">
        <f>Table3.110[[#This Row],[GP 8-24h, ml]]-(AVERAGE(AF$221,AF$222,AF$255,AF$256,AF$291,AF$292))*$AG$8</f>
        <v>16.008734798790837</v>
      </c>
      <c r="AI237" s="94">
        <f>Table3.110[[#This Row],[Net gas 8-24h, ml]]+Table3.110[[#This Row],[Net gas 8h, ml]]</f>
        <v>34.533723538635897</v>
      </c>
      <c r="AJ237" s="94">
        <f>Table3.110[[#This Row],[Net gas 8h, ml]]*Table3.110[[#This Row],[CH4 8h %]]%</f>
        <v>2.5193984686189288</v>
      </c>
      <c r="AK237" s="94">
        <f>Table3.110[[#This Row],[Net gas 8-24h, ml]]*Table3.110[[#This Row],[CH4 24h, %]]%</f>
        <v>2.8495547941847694</v>
      </c>
      <c r="AL237" s="94">
        <f>Table3.110[[#This Row],[CH4 8-24h, ml]]+Table3.110[[#This Row],[CH4 8h, ml]]</f>
        <v>5.3689532628036982</v>
      </c>
      <c r="AM237" s="94">
        <f>(Table3.110[[#This Row],[Net gas 24h, ml]]/Table3.110[[#This Row],[DM Incubated, mg]])*1000</f>
        <v>72.683446774358103</v>
      </c>
      <c r="AN237" s="94">
        <f>'3.2 Digest'!X237</f>
        <v>17.011314951120234</v>
      </c>
      <c r="AO237" s="94">
        <f>Table3.110[[#This Row],[Digested feed, mg]]/Table3.110[[#This Row],[Net gas 24h, ml]]</f>
        <v>2.3404661867413847</v>
      </c>
      <c r="AP237" s="94">
        <f>Table3.110[[#This Row],[CH4 8h, ml]]/Table3.110[[#This Row],[Net gas 8h, ml]]%</f>
        <v>13.600000000000001</v>
      </c>
      <c r="AQ237" s="94">
        <f>Table3.110[[#This Row],[CH4 24h, ml]]/Table3.110[[#This Row],[Net gas 24h, ml]]%</f>
        <v>15.546986286598898</v>
      </c>
      <c r="AR237" s="94">
        <f>Table3.110[[#This Row],[CH4 24h, ml]]/Table3.110[[#This Row],[DM Incubated, mg]]*1000</f>
        <v>11.300085502636863</v>
      </c>
      <c r="AS237" s="94">
        <f>Table3.110[[#This Row],[CH4 24h, ml]]/Table3.110[[#This Row],[Digested feed, mg]]*1000</f>
        <v>66.426878434184346</v>
      </c>
      <c r="AT237" s="94">
        <f>Table3.110[[#This Row],[CH4 24h, ml]]/'3.2 Digest'!AA237</f>
        <v>-0.22881426805267185</v>
      </c>
      <c r="AU237" s="94">
        <f>((Table3.110[[#This Row],[CH4 24h, ml]]/28.9)*16.04)/Table3.110[[#This Row],[DM Incubated, mg]]*1000</f>
        <v>6.2717429571728474</v>
      </c>
      <c r="AV237" s="94">
        <f>((Table3.110[[#This Row],[CH4 24h, ml]]/28.9)*16.04)/Table3.110[[#This Row],[Digested feed, mg]]*1000</f>
        <v>36.868066784924466</v>
      </c>
      <c r="AW237" s="303"/>
    </row>
    <row r="238" spans="1:49" s="304" customFormat="1" x14ac:dyDescent="0.35">
      <c r="A238" s="89"/>
      <c r="B238" s="90">
        <f t="shared" si="3"/>
        <v>228</v>
      </c>
      <c r="C238" s="140">
        <v>46076</v>
      </c>
      <c r="D238" s="6" t="s">
        <v>16</v>
      </c>
      <c r="E238" s="6" t="str">
        <f>'[1]1. Information samples'!$F$23</f>
        <v>CIAT-23107</v>
      </c>
      <c r="F238" s="6" t="s">
        <v>19</v>
      </c>
      <c r="G238" s="6" t="s">
        <v>20</v>
      </c>
      <c r="H238" s="6" t="str">
        <f>'[1]1. Information samples'!$I$23</f>
        <v>Dendrolobium triangulare</v>
      </c>
      <c r="I238" s="6" t="s">
        <v>22</v>
      </c>
      <c r="J238" s="129" t="s">
        <v>23</v>
      </c>
      <c r="K238" s="129" t="s">
        <v>24</v>
      </c>
      <c r="L238" s="6" t="str">
        <f>'[1]1. Information samples'!$E$23</f>
        <v>F251735</v>
      </c>
      <c r="M238" s="119">
        <v>27</v>
      </c>
      <c r="N238" s="93">
        <v>69</v>
      </c>
      <c r="O238" s="6">
        <v>3</v>
      </c>
      <c r="P238" s="129">
        <v>2</v>
      </c>
      <c r="Q238" s="6">
        <v>90</v>
      </c>
      <c r="R238" s="98">
        <v>0.5</v>
      </c>
      <c r="S238" s="94">
        <f>((Table3.110[[#This Row],[Sample weight, g]]*'2.1. DM'!Q25)/100)*1000</f>
        <v>474.9350382291608</v>
      </c>
      <c r="T238" s="94">
        <f>'3.2 Digest'!W238</f>
        <v>0</v>
      </c>
      <c r="U238" s="153">
        <v>0.32777777777777778</v>
      </c>
      <c r="V238" s="154">
        <v>42</v>
      </c>
      <c r="W238" s="153">
        <v>0.66388888888888886</v>
      </c>
      <c r="X238" s="91">
        <v>62</v>
      </c>
      <c r="Y238" s="91">
        <v>13.2</v>
      </c>
      <c r="Z238" s="154">
        <v>42</v>
      </c>
      <c r="AA238" s="153">
        <v>0.33958333333333335</v>
      </c>
      <c r="AB238" s="154">
        <v>58.5</v>
      </c>
      <c r="AC238" s="154">
        <v>17.8</v>
      </c>
      <c r="AD238" s="91"/>
      <c r="AE238" s="94">
        <f>Table3.110[[#This Row],[Gas 8h, ml]]-Table3.110[[#This Row],[Gas 0h, ml]]</f>
        <v>20</v>
      </c>
      <c r="AF238" s="94">
        <f>Table3.110[[#This Row],[Gas 24h, ml]]-Table3.110[[#This Row],[V8 Push back, ml]]</f>
        <v>16.5</v>
      </c>
      <c r="AG238" s="94"/>
      <c r="AH238" s="94"/>
      <c r="AI238" s="94"/>
      <c r="AJ238" s="94"/>
      <c r="AK238" s="94"/>
      <c r="AL238" s="94"/>
      <c r="AM238" s="94"/>
      <c r="AN238" s="94"/>
      <c r="AO238" s="94"/>
      <c r="AP238" s="94"/>
      <c r="AQ238" s="94"/>
      <c r="AR238" s="94"/>
      <c r="AS238" s="94"/>
      <c r="AT238" s="94"/>
      <c r="AU238" s="94"/>
      <c r="AV238" s="94"/>
      <c r="AW238" s="303" t="s">
        <v>611</v>
      </c>
    </row>
    <row r="239" spans="1:49" s="304" customFormat="1" x14ac:dyDescent="0.35">
      <c r="A239" s="89"/>
      <c r="B239" s="90">
        <f t="shared" si="3"/>
        <v>229</v>
      </c>
      <c r="C239" s="140">
        <v>46076</v>
      </c>
      <c r="D239" s="6" t="s">
        <v>16</v>
      </c>
      <c r="E239" s="6" t="str">
        <f>'[1]1. Information samples'!$F$24</f>
        <v>CIAT-23108</v>
      </c>
      <c r="F239" s="6" t="s">
        <v>19</v>
      </c>
      <c r="G239" s="6" t="s">
        <v>20</v>
      </c>
      <c r="H239" s="6" t="str">
        <f>'[1]1. Information samples'!$I$24</f>
        <v>Dendrolobium triangulare</v>
      </c>
      <c r="I239" s="6" t="s">
        <v>22</v>
      </c>
      <c r="J239" s="129" t="s">
        <v>23</v>
      </c>
      <c r="K239" s="129" t="s">
        <v>24</v>
      </c>
      <c r="L239" s="6" t="str">
        <f>'[1]1. Information samples'!$E$24</f>
        <v>F251736</v>
      </c>
      <c r="M239" s="119">
        <v>27</v>
      </c>
      <c r="N239" s="93">
        <v>69</v>
      </c>
      <c r="O239" s="6">
        <v>3</v>
      </c>
      <c r="P239" s="6">
        <v>1</v>
      </c>
      <c r="Q239" s="6">
        <v>91</v>
      </c>
      <c r="R239" s="98">
        <v>0.50009999999999999</v>
      </c>
      <c r="S239" s="94">
        <f>((Table3.110[[#This Row],[Sample weight, g]]*'2.1. DM'!Q27)/100)*1000</f>
        <v>472.8109134519292</v>
      </c>
      <c r="T239" s="94">
        <f>'3.2 Digest'!W239</f>
        <v>60.510913451929184</v>
      </c>
      <c r="U239" s="153">
        <v>0.32777777777777778</v>
      </c>
      <c r="V239" s="154">
        <v>41.5</v>
      </c>
      <c r="W239" s="153">
        <v>0.66388888888888886</v>
      </c>
      <c r="X239" s="91">
        <v>62.5</v>
      </c>
      <c r="Y239" s="91">
        <v>13.6</v>
      </c>
      <c r="Z239" s="154">
        <v>41</v>
      </c>
      <c r="AA239" s="153">
        <v>0.34027777777777779</v>
      </c>
      <c r="AB239" s="154">
        <v>60</v>
      </c>
      <c r="AC239" s="154">
        <v>17.8</v>
      </c>
      <c r="AD239" s="91"/>
      <c r="AE239" s="94">
        <f>Table3.110[[#This Row],[Gas 8h, ml]]-Table3.110[[#This Row],[Gas 0h, ml]]</f>
        <v>21</v>
      </c>
      <c r="AF239" s="94">
        <f>Table3.110[[#This Row],[Gas 24h, ml]]-Table3.110[[#This Row],[V8 Push back, ml]]</f>
        <v>19</v>
      </c>
      <c r="AG239" s="94">
        <f>Table3.110[[#This Row],[GP 8h, ml]]-(AVERAGE(AE$221,AE$222,AE$255,AE$256,AE$291,AE$292))*$AG$8</f>
        <v>19.524988739845064</v>
      </c>
      <c r="AH239" s="94">
        <f>Table3.110[[#This Row],[GP 8-24h, ml]]-(AVERAGE(AF$221,AF$222,AF$255,AF$256,AF$291,AF$292))*$AG$8</f>
        <v>17.008734798790837</v>
      </c>
      <c r="AI239" s="94">
        <f>Table3.110[[#This Row],[Net gas 8-24h, ml]]+Table3.110[[#This Row],[Net gas 8h, ml]]</f>
        <v>36.533723538635897</v>
      </c>
      <c r="AJ239" s="94">
        <f>Table3.110[[#This Row],[Net gas 8h, ml]]*Table3.110[[#This Row],[CH4 8h %]]%</f>
        <v>2.6553984686189289</v>
      </c>
      <c r="AK239" s="94">
        <f>Table3.110[[#This Row],[Net gas 8-24h, ml]]*Table3.110[[#This Row],[CH4 24h, %]]%</f>
        <v>3.0275547941847694</v>
      </c>
      <c r="AL239" s="94">
        <f>Table3.110[[#This Row],[CH4 8-24h, ml]]+Table3.110[[#This Row],[CH4 8h, ml]]</f>
        <v>5.6829532628036983</v>
      </c>
      <c r="AM239" s="94">
        <f>(Table3.110[[#This Row],[Net gas 24h, ml]]/Table3.110[[#This Row],[DM Incubated, mg]])*1000</f>
        <v>77.269205297965883</v>
      </c>
      <c r="AN239" s="94">
        <f>'3.2 Digest'!X239</f>
        <v>12.798121136872053</v>
      </c>
      <c r="AO239" s="94">
        <f>Table3.110[[#This Row],[Digested feed, mg]]/Table3.110[[#This Row],[Net gas 24h, ml]]</f>
        <v>1.6563029330403849</v>
      </c>
      <c r="AP239" s="94">
        <f>Table3.110[[#This Row],[CH4 8h, ml]]/Table3.110[[#This Row],[Net gas 8h, ml]]%</f>
        <v>13.600000000000001</v>
      </c>
      <c r="AQ239" s="94">
        <f>Table3.110[[#This Row],[CH4 24h, ml]]/Table3.110[[#This Row],[Net gas 24h, ml]]%</f>
        <v>15.555362860272767</v>
      </c>
      <c r="AR239" s="94">
        <f>Table3.110[[#This Row],[CH4 24h, ml]]/Table3.110[[#This Row],[DM Incubated, mg]]*1000</f>
        <v>12.019505263347703</v>
      </c>
      <c r="AS239" s="94">
        <f>Table3.110[[#This Row],[CH4 24h, ml]]/Table3.110[[#This Row],[Digested feed, mg]]*1000</f>
        <v>93.916170465982546</v>
      </c>
      <c r="AT239" s="94">
        <f>Table3.110[[#This Row],[CH4 24h, ml]]/'3.2 Digest'!AA239</f>
        <v>-0.22101884357147455</v>
      </c>
      <c r="AU239" s="94">
        <f>((Table3.110[[#This Row],[CH4 24h, ml]]/28.9)*16.04)/Table3.110[[#This Row],[DM Incubated, mg]]*1000</f>
        <v>6.6710333710760263</v>
      </c>
      <c r="AV239" s="94">
        <f>((Table3.110[[#This Row],[CH4 24h, ml]]/28.9)*16.04)/Table3.110[[#This Row],[Digested feed, mg]]*1000</f>
        <v>52.125099455860216</v>
      </c>
      <c r="AW239" s="303"/>
    </row>
    <row r="240" spans="1:49" s="304" customFormat="1" x14ac:dyDescent="0.35">
      <c r="A240" s="89"/>
      <c r="B240" s="90">
        <f t="shared" si="3"/>
        <v>230</v>
      </c>
      <c r="C240" s="140">
        <v>46076</v>
      </c>
      <c r="D240" s="6" t="s">
        <v>16</v>
      </c>
      <c r="E240" s="6" t="str">
        <f>'[1]1. Information samples'!$F$24</f>
        <v>CIAT-23108</v>
      </c>
      <c r="F240" s="6" t="s">
        <v>19</v>
      </c>
      <c r="G240" s="6" t="s">
        <v>20</v>
      </c>
      <c r="H240" s="6" t="str">
        <f>'[1]1. Information samples'!$I$24</f>
        <v>Dendrolobium triangulare</v>
      </c>
      <c r="I240" s="6" t="s">
        <v>22</v>
      </c>
      <c r="J240" s="129" t="s">
        <v>23</v>
      </c>
      <c r="K240" s="129" t="s">
        <v>24</v>
      </c>
      <c r="L240" s="6" t="str">
        <f>'[1]1. Information samples'!$E$24</f>
        <v>F251736</v>
      </c>
      <c r="M240" s="119">
        <v>27</v>
      </c>
      <c r="N240" s="93">
        <v>69</v>
      </c>
      <c r="O240" s="6">
        <v>3</v>
      </c>
      <c r="P240" s="129">
        <v>2</v>
      </c>
      <c r="Q240" s="6">
        <v>92</v>
      </c>
      <c r="R240" s="98">
        <v>0.50049999999999994</v>
      </c>
      <c r="S240" s="94">
        <f>((Table3.110[[#This Row],[Sample weight, g]]*'2.1. DM'!Q27)/100)*1000</f>
        <v>473.18908654807149</v>
      </c>
      <c r="T240" s="94">
        <f>'3.2 Digest'!W240</f>
        <v>77.089086548071464</v>
      </c>
      <c r="U240" s="117">
        <v>0.32777777777777778</v>
      </c>
      <c r="V240" s="155">
        <v>42.5</v>
      </c>
      <c r="W240" s="117">
        <v>0.6645833333333333</v>
      </c>
      <c r="X240" s="96">
        <v>64</v>
      </c>
      <c r="Y240" s="96">
        <v>13.2</v>
      </c>
      <c r="Z240" s="155">
        <v>40.5</v>
      </c>
      <c r="AA240" s="117">
        <v>0.34027777777777779</v>
      </c>
      <c r="AB240" s="155">
        <v>58</v>
      </c>
      <c r="AC240" s="155">
        <v>18</v>
      </c>
      <c r="AD240" s="96"/>
      <c r="AE240" s="94">
        <f>Table3.110[[#This Row],[Gas 8h, ml]]-Table3.110[[#This Row],[Gas 0h, ml]]</f>
        <v>21.5</v>
      </c>
      <c r="AF240" s="94">
        <f>Table3.110[[#This Row],[Gas 24h, ml]]-Table3.110[[#This Row],[V8 Push back, ml]]</f>
        <v>17.5</v>
      </c>
      <c r="AG240" s="94">
        <f>Table3.110[[#This Row],[GP 8h, ml]]-(AVERAGE(AE$221,AE$222,AE$255,AE$256,AE$291,AE$292))*$AG$8</f>
        <v>20.024988739845064</v>
      </c>
      <c r="AH240" s="94">
        <f>Table3.110[[#This Row],[GP 8-24h, ml]]-(AVERAGE(AF$221,AF$222,AF$255,AF$256,AF$291,AF$292))*$AG$8</f>
        <v>15.508734798790837</v>
      </c>
      <c r="AI240" s="94">
        <f>Table3.110[[#This Row],[Net gas 8-24h, ml]]+Table3.110[[#This Row],[Net gas 8h, ml]]</f>
        <v>35.533723538635897</v>
      </c>
      <c r="AJ240" s="94">
        <f>Table3.110[[#This Row],[Net gas 8h, ml]]*Table3.110[[#This Row],[CH4 8h %]]%</f>
        <v>2.6432985136595484</v>
      </c>
      <c r="AK240" s="94">
        <f>Table3.110[[#This Row],[Net gas 8-24h, ml]]*Table3.110[[#This Row],[CH4 24h, %]]%</f>
        <v>2.7915722637823506</v>
      </c>
      <c r="AL240" s="94">
        <f>Table3.110[[#This Row],[CH4 8-24h, ml]]+Table3.110[[#This Row],[CH4 8h, ml]]</f>
        <v>5.4348707774418994</v>
      </c>
      <c r="AM240" s="94">
        <f>(Table3.110[[#This Row],[Net gas 24h, ml]]/Table3.110[[#This Row],[DM Incubated, mg]])*1000</f>
        <v>75.094131603616376</v>
      </c>
      <c r="AN240" s="94">
        <f>'3.2 Digest'!X240</f>
        <v>16.291391483780544</v>
      </c>
      <c r="AO240" s="94">
        <f>Table3.110[[#This Row],[Digested feed, mg]]/Table3.110[[#This Row],[Net gas 24h, ml]]</f>
        <v>2.1694626645094575</v>
      </c>
      <c r="AP240" s="94">
        <f>Table3.110[[#This Row],[CH4 8h, ml]]/Table3.110[[#This Row],[Net gas 8h, ml]]%</f>
        <v>13.2</v>
      </c>
      <c r="AQ240" s="94">
        <f>Table3.110[[#This Row],[CH4 24h, ml]]/Table3.110[[#This Row],[Net gas 24h, ml]]%</f>
        <v>15.294965560061703</v>
      </c>
      <c r="AR240" s="94">
        <f>Table3.110[[#This Row],[CH4 24h, ml]]/Table3.110[[#This Row],[DM Incubated, mg]]*1000</f>
        <v>11.485621566400535</v>
      </c>
      <c r="AS240" s="94">
        <f>Table3.110[[#This Row],[CH4 24h, ml]]/Table3.110[[#This Row],[Digested feed, mg]]*1000</f>
        <v>70.501169760946709</v>
      </c>
      <c r="AT240" s="94">
        <f>Table3.110[[#This Row],[CH4 24h, ml]]/'3.2 Digest'!AA240</f>
        <v>-0.26285207320677362</v>
      </c>
      <c r="AU240" s="94">
        <f>((Table3.110[[#This Row],[CH4 24h, ml]]/28.9)*16.04)/Table3.110[[#This Row],[DM Incubated, mg]]*1000</f>
        <v>6.3747186825281865</v>
      </c>
      <c r="AV240" s="94">
        <f>((Table3.110[[#This Row],[CH4 24h, ml]]/28.9)*16.04)/Table3.110[[#This Row],[Digested feed, mg]]*1000</f>
        <v>39.129368960746888</v>
      </c>
      <c r="AW240" s="303"/>
    </row>
    <row r="241" spans="1:49" s="304" customFormat="1" x14ac:dyDescent="0.35">
      <c r="A241" s="89"/>
      <c r="B241" s="90">
        <f t="shared" si="3"/>
        <v>231</v>
      </c>
      <c r="C241" s="140">
        <v>46076</v>
      </c>
      <c r="D241" s="6" t="s">
        <v>16</v>
      </c>
      <c r="E241" s="6" t="str">
        <f>'[1]1. Information samples'!$F$25</f>
        <v>CIAT-23412</v>
      </c>
      <c r="F241" s="6" t="s">
        <v>19</v>
      </c>
      <c r="G241" s="6" t="s">
        <v>20</v>
      </c>
      <c r="H241" s="6" t="str">
        <f>'[1]1. Information samples'!$I$25</f>
        <v>Dendrolobium triangulare</v>
      </c>
      <c r="I241" s="6" t="s">
        <v>22</v>
      </c>
      <c r="J241" s="129" t="s">
        <v>23</v>
      </c>
      <c r="K241" s="129" t="s">
        <v>24</v>
      </c>
      <c r="L241" s="6" t="str">
        <f>'[1]1. Information samples'!$E$25</f>
        <v>F251737</v>
      </c>
      <c r="M241" s="119">
        <v>27</v>
      </c>
      <c r="N241" s="93">
        <v>69</v>
      </c>
      <c r="O241" s="6">
        <v>3</v>
      </c>
      <c r="P241" s="6">
        <v>1</v>
      </c>
      <c r="Q241" s="6">
        <v>93</v>
      </c>
      <c r="R241" s="98">
        <v>0.50009999999999999</v>
      </c>
      <c r="S241" s="94">
        <f>((Table3.110[[#This Row],[Sample weight, g]]*'2.1. DM'!Q29)/100)*1000</f>
        <v>471.03241097478849</v>
      </c>
      <c r="T241" s="94">
        <f>'3.2 Digest'!W241</f>
        <v>84.332410974788445</v>
      </c>
      <c r="U241" s="117">
        <v>0.32777777777777778</v>
      </c>
      <c r="V241" s="155">
        <v>41.5</v>
      </c>
      <c r="W241" s="117">
        <v>0.6645833333333333</v>
      </c>
      <c r="X241" s="96">
        <v>65.5</v>
      </c>
      <c r="Y241" s="96">
        <v>13.6</v>
      </c>
      <c r="Z241" s="155">
        <v>40.5</v>
      </c>
      <c r="AA241" s="117">
        <v>0.34097222222222223</v>
      </c>
      <c r="AB241" s="155">
        <v>56.5</v>
      </c>
      <c r="AC241" s="155">
        <v>17.399999999999999</v>
      </c>
      <c r="AD241" s="96"/>
      <c r="AE241" s="94">
        <f>Table3.110[[#This Row],[Gas 8h, ml]]-Table3.110[[#This Row],[Gas 0h, ml]]</f>
        <v>24</v>
      </c>
      <c r="AF241" s="94">
        <f>Table3.110[[#This Row],[Gas 24h, ml]]-Table3.110[[#This Row],[V8 Push back, ml]]</f>
        <v>16</v>
      </c>
      <c r="AG241" s="94">
        <f>Table3.110[[#This Row],[GP 8h, ml]]-(AVERAGE(AE$221,AE$222,AE$255,AE$256,AE$291,AE$292))*$AG$8</f>
        <v>22.524988739845064</v>
      </c>
      <c r="AH241" s="94">
        <f>Table3.110[[#This Row],[GP 8-24h, ml]]-(AVERAGE(AF$221,AF$222,AF$255,AF$256,AF$291,AF$292))*$AG$8</f>
        <v>14.008734798790837</v>
      </c>
      <c r="AI241" s="94">
        <f>Table3.110[[#This Row],[Net gas 8-24h, ml]]+Table3.110[[#This Row],[Net gas 8h, ml]]</f>
        <v>36.533723538635897</v>
      </c>
      <c r="AJ241" s="94">
        <f>Table3.110[[#This Row],[Net gas 8h, ml]]*Table3.110[[#This Row],[CH4 8h %]]%</f>
        <v>3.0633984686189288</v>
      </c>
      <c r="AK241" s="94">
        <f>Table3.110[[#This Row],[Net gas 8-24h, ml]]*Table3.110[[#This Row],[CH4 24h, %]]%</f>
        <v>2.4375198549896053</v>
      </c>
      <c r="AL241" s="94">
        <f>Table3.110[[#This Row],[CH4 8-24h, ml]]+Table3.110[[#This Row],[CH4 8h, ml]]</f>
        <v>5.5009183236085342</v>
      </c>
      <c r="AM241" s="94">
        <f>(Table3.110[[#This Row],[Net gas 24h, ml]]/Table3.110[[#This Row],[DM Incubated, mg]])*1000</f>
        <v>77.560954803577886</v>
      </c>
      <c r="AN241" s="94">
        <f>'3.2 Digest'!X241</f>
        <v>17.903738471045944</v>
      </c>
      <c r="AO241" s="94">
        <f>Table3.110[[#This Row],[Digested feed, mg]]/Table3.110[[#This Row],[Net gas 24h, ml]]</f>
        <v>2.3083442585753269</v>
      </c>
      <c r="AP241" s="94">
        <f>Table3.110[[#This Row],[CH4 8h, ml]]/Table3.110[[#This Row],[Net gas 8h, ml]]%</f>
        <v>13.6</v>
      </c>
      <c r="AQ241" s="94">
        <f>Table3.110[[#This Row],[CH4 24h, ml]]/Table3.110[[#This Row],[Net gas 24h, ml]]%</f>
        <v>15.057097363183058</v>
      </c>
      <c r="AR241" s="94">
        <f>Table3.110[[#This Row],[CH4 24h, ml]]/Table3.110[[#This Row],[DM Incubated, mg]]*1000</f>
        <v>11.67842848058913</v>
      </c>
      <c r="AS241" s="94">
        <f>Table3.110[[#This Row],[CH4 24h, ml]]/Table3.110[[#This Row],[Digested feed, mg]]*1000</f>
        <v>65.228993930377001</v>
      </c>
      <c r="AT241" s="94">
        <f>Table3.110[[#This Row],[CH4 24h, ml]]/'3.2 Digest'!AA241</f>
        <v>-0.17124466410219483</v>
      </c>
      <c r="AU241" s="94">
        <f>((Table3.110[[#This Row],[CH4 24h, ml]]/28.9)*16.04)/Table3.110[[#This Row],[DM Incubated, mg]]*1000</f>
        <v>6.4817298556626186</v>
      </c>
      <c r="AV241" s="94">
        <f>((Table3.110[[#This Row],[CH4 24h, ml]]/28.9)*16.04)/Table3.110[[#This Row],[Digested feed, mg]]*1000</f>
        <v>36.203220160665985</v>
      </c>
      <c r="AW241" s="303"/>
    </row>
    <row r="242" spans="1:49" s="304" customFormat="1" x14ac:dyDescent="0.35">
      <c r="A242" s="89"/>
      <c r="B242" s="90">
        <f t="shared" si="3"/>
        <v>232</v>
      </c>
      <c r="C242" s="140">
        <v>46076</v>
      </c>
      <c r="D242" s="6" t="s">
        <v>16</v>
      </c>
      <c r="E242" s="6" t="str">
        <f>'[1]1. Information samples'!$F$25</f>
        <v>CIAT-23412</v>
      </c>
      <c r="F242" s="6" t="s">
        <v>19</v>
      </c>
      <c r="G242" s="6" t="s">
        <v>20</v>
      </c>
      <c r="H242" s="6" t="str">
        <f>'[1]1. Information samples'!$I$25</f>
        <v>Dendrolobium triangulare</v>
      </c>
      <c r="I242" s="6" t="s">
        <v>22</v>
      </c>
      <c r="J242" s="129" t="s">
        <v>23</v>
      </c>
      <c r="K242" s="129" t="s">
        <v>24</v>
      </c>
      <c r="L242" s="6" t="str">
        <f>'[1]1. Information samples'!$E$25</f>
        <v>F251737</v>
      </c>
      <c r="M242" s="119">
        <v>27</v>
      </c>
      <c r="N242" s="93">
        <v>69</v>
      </c>
      <c r="O242" s="6">
        <v>3</v>
      </c>
      <c r="P242" s="129">
        <v>2</v>
      </c>
      <c r="Q242" s="6">
        <v>94</v>
      </c>
      <c r="R242" s="98">
        <v>0.50019999999999998</v>
      </c>
      <c r="S242" s="94">
        <f>((Table3.110[[#This Row],[Sample weight, g]]*'2.1. DM'!Q29)/100)*1000</f>
        <v>471.12659861945457</v>
      </c>
      <c r="T242" s="94">
        <f>'3.2 Digest'!W242</f>
        <v>101.82659861945461</v>
      </c>
      <c r="U242" s="153">
        <v>0.32777777777777778</v>
      </c>
      <c r="V242" s="154">
        <v>41.5</v>
      </c>
      <c r="W242" s="153">
        <v>0.66527777777777775</v>
      </c>
      <c r="X242" s="91">
        <v>65.5</v>
      </c>
      <c r="Y242" s="91">
        <v>13.6</v>
      </c>
      <c r="Z242" s="154">
        <v>40.5</v>
      </c>
      <c r="AA242" s="153">
        <v>0.34166666666666667</v>
      </c>
      <c r="AB242" s="154">
        <v>56</v>
      </c>
      <c r="AC242" s="154">
        <v>17.2</v>
      </c>
      <c r="AD242" s="91"/>
      <c r="AE242" s="94">
        <f>Table3.110[[#This Row],[Gas 8h, ml]]-Table3.110[[#This Row],[Gas 0h, ml]]</f>
        <v>24</v>
      </c>
      <c r="AF242" s="94">
        <f>Table3.110[[#This Row],[Gas 24h, ml]]-Table3.110[[#This Row],[V8 Push back, ml]]</f>
        <v>15.5</v>
      </c>
      <c r="AG242" s="94">
        <f>Table3.110[[#This Row],[GP 8h, ml]]-(AVERAGE(AE$221,AE$222,AE$255,AE$256,AE$291,AE$292))*$AG$8</f>
        <v>22.524988739845064</v>
      </c>
      <c r="AH242" s="94">
        <f>Table3.110[[#This Row],[GP 8-24h, ml]]-(AVERAGE(AF$221,AF$222,AF$255,AF$256,AF$291,AF$292))*$AG$8</f>
        <v>13.508734798790837</v>
      </c>
      <c r="AI242" s="94">
        <f>Table3.110[[#This Row],[Net gas 8-24h, ml]]+Table3.110[[#This Row],[Net gas 8h, ml]]</f>
        <v>36.033723538635897</v>
      </c>
      <c r="AJ242" s="94">
        <f>Table3.110[[#This Row],[Net gas 8h, ml]]*Table3.110[[#This Row],[CH4 8h %]]%</f>
        <v>3.0633984686189288</v>
      </c>
      <c r="AK242" s="94">
        <f>Table3.110[[#This Row],[Net gas 8-24h, ml]]*Table3.110[[#This Row],[CH4 24h, %]]%</f>
        <v>2.3235023853920236</v>
      </c>
      <c r="AL242" s="94">
        <f>Table3.110[[#This Row],[CH4 8-24h, ml]]+Table3.110[[#This Row],[CH4 8h, ml]]</f>
        <v>5.3869008540109524</v>
      </c>
      <c r="AM242" s="94">
        <f>(Table3.110[[#This Row],[Net gas 24h, ml]]/Table3.110[[#This Row],[DM Incubated, mg]])*1000</f>
        <v>76.484162949461478</v>
      </c>
      <c r="AN242" s="94">
        <f>'3.2 Digest'!X242</f>
        <v>21.613425970394747</v>
      </c>
      <c r="AO242" s="94">
        <f>Table3.110[[#This Row],[Digested feed, mg]]/Table3.110[[#This Row],[Net gas 24h, ml]]</f>
        <v>2.8258694528272832</v>
      </c>
      <c r="AP242" s="94">
        <f>Table3.110[[#This Row],[CH4 8h, ml]]/Table3.110[[#This Row],[Net gas 8h, ml]]%</f>
        <v>13.6</v>
      </c>
      <c r="AQ242" s="94">
        <f>Table3.110[[#This Row],[CH4 24h, ml]]/Table3.110[[#This Row],[Net gas 24h, ml]]%</f>
        <v>14.949609213255568</v>
      </c>
      <c r="AR242" s="94">
        <f>Table3.110[[#This Row],[CH4 24h, ml]]/Table3.110[[#This Row],[DM Incubated, mg]]*1000</f>
        <v>11.434083470974096</v>
      </c>
      <c r="AS242" s="94">
        <f>Table3.110[[#This Row],[CH4 24h, ml]]/Table3.110[[#This Row],[Digested feed, mg]]*1000</f>
        <v>52.902688757608672</v>
      </c>
      <c r="AT242" s="94">
        <f>Table3.110[[#This Row],[CH4 24h, ml]]/'3.2 Digest'!AA242</f>
        <v>-0.20597721490054569</v>
      </c>
      <c r="AU242" s="94">
        <f>((Table3.110[[#This Row],[CH4 24h, ml]]/28.9)*16.04)/Table3.110[[#This Row],[DM Incubated, mg]]*1000</f>
        <v>6.346114147903962</v>
      </c>
      <c r="AV242" s="94">
        <f>((Table3.110[[#This Row],[CH4 24h, ml]]/28.9)*16.04)/Table3.110[[#This Row],[Digested feed, mg]]*1000</f>
        <v>29.361907531904606</v>
      </c>
      <c r="AW242" s="303"/>
    </row>
    <row r="243" spans="1:49" s="304" customFormat="1" x14ac:dyDescent="0.35">
      <c r="A243" s="89"/>
      <c r="B243" s="90">
        <f t="shared" si="3"/>
        <v>233</v>
      </c>
      <c r="C243" s="140">
        <v>46076</v>
      </c>
      <c r="D243" s="6" t="s">
        <v>16</v>
      </c>
      <c r="E243" s="6" t="str">
        <f>'[1]1. Information samples'!$F$26</f>
        <v>CIAT-23413</v>
      </c>
      <c r="F243" s="6" t="s">
        <v>19</v>
      </c>
      <c r="G243" s="6" t="s">
        <v>20</v>
      </c>
      <c r="H243" s="6" t="str">
        <f>'[1]1. Information samples'!$I$26</f>
        <v>Dendrolobium triangulare</v>
      </c>
      <c r="I243" s="6" t="s">
        <v>22</v>
      </c>
      <c r="J243" s="129" t="s">
        <v>23</v>
      </c>
      <c r="K243" s="129" t="s">
        <v>24</v>
      </c>
      <c r="L243" s="6" t="str">
        <f>'[1]1. Information samples'!$E$26</f>
        <v>F251738</v>
      </c>
      <c r="M243" s="119">
        <v>27</v>
      </c>
      <c r="N243" s="93">
        <v>69</v>
      </c>
      <c r="O243" s="6">
        <v>3</v>
      </c>
      <c r="P243" s="6">
        <v>1</v>
      </c>
      <c r="Q243" s="6">
        <v>95</v>
      </c>
      <c r="R243" s="98">
        <v>0.50049999999999994</v>
      </c>
      <c r="S243" s="94">
        <f>((Table3.110[[#This Row],[Sample weight, g]]*'2.1. DM'!Q31)/100)*1000</f>
        <v>468.10099047322365</v>
      </c>
      <c r="T243" s="94">
        <f>'3.2 Digest'!W243</f>
        <v>65.900990473223658</v>
      </c>
      <c r="U243" s="153">
        <v>0.32847222222222222</v>
      </c>
      <c r="V243" s="154">
        <v>40</v>
      </c>
      <c r="W243" s="153">
        <v>0.66597222222222219</v>
      </c>
      <c r="X243" s="91">
        <v>65</v>
      </c>
      <c r="Y243" s="91">
        <v>13.5</v>
      </c>
      <c r="Z243" s="154">
        <v>39</v>
      </c>
      <c r="AA243" s="153">
        <v>0.34166666666666667</v>
      </c>
      <c r="AB243" s="154">
        <v>61</v>
      </c>
      <c r="AC243" s="154">
        <v>16.8</v>
      </c>
      <c r="AD243" s="91"/>
      <c r="AE243" s="94">
        <f>Table3.110[[#This Row],[Gas 8h, ml]]-Table3.110[[#This Row],[Gas 0h, ml]]</f>
        <v>25</v>
      </c>
      <c r="AF243" s="94">
        <f>Table3.110[[#This Row],[Gas 24h, ml]]-Table3.110[[#This Row],[V8 Push back, ml]]</f>
        <v>22</v>
      </c>
      <c r="AG243" s="94">
        <f>Table3.110[[#This Row],[GP 8h, ml]]-(AVERAGE(AE$221,AE$222,AE$255,AE$256,AE$291,AE$292))*$AG$8</f>
        <v>23.524988739845064</v>
      </c>
      <c r="AH243" s="94">
        <f>Table3.110[[#This Row],[GP 8-24h, ml]]-(AVERAGE(AF$221,AF$222,AF$255,AF$256,AF$291,AF$292))*$AG$8</f>
        <v>20.008734798790837</v>
      </c>
      <c r="AI243" s="94">
        <f>Table3.110[[#This Row],[Net gas 8-24h, ml]]+Table3.110[[#This Row],[Net gas 8h, ml]]</f>
        <v>43.533723538635897</v>
      </c>
      <c r="AJ243" s="94">
        <f>Table3.110[[#This Row],[Net gas 8h, ml]]*Table3.110[[#This Row],[CH4 8h %]]%</f>
        <v>3.1758734798790837</v>
      </c>
      <c r="AK243" s="94">
        <f>Table3.110[[#This Row],[Net gas 8-24h, ml]]*Table3.110[[#This Row],[CH4 24h, %]]%</f>
        <v>3.3614674461968606</v>
      </c>
      <c r="AL243" s="94">
        <f>Table3.110[[#This Row],[CH4 8-24h, ml]]+Table3.110[[#This Row],[CH4 8h, ml]]</f>
        <v>6.5373409260759443</v>
      </c>
      <c r="AM243" s="94">
        <f>(Table3.110[[#This Row],[Net gas 24h, ml]]/Table3.110[[#This Row],[DM Incubated, mg]])*1000</f>
        <v>93.000708019493331</v>
      </c>
      <c r="AN243" s="94">
        <f>'3.2 Digest'!X243</f>
        <v>14.078370226604623</v>
      </c>
      <c r="AO243" s="94">
        <f>Table3.110[[#This Row],[Digested feed, mg]]/Table3.110[[#This Row],[Net gas 24h, ml]]</f>
        <v>1.5137917255053306</v>
      </c>
      <c r="AP243" s="94">
        <f>Table3.110[[#This Row],[CH4 8h, ml]]/Table3.110[[#This Row],[Net gas 8h, ml]]%</f>
        <v>13.5</v>
      </c>
      <c r="AQ243" s="94">
        <f>Table3.110[[#This Row],[CH4 24h, ml]]/Table3.110[[#This Row],[Net gas 24h, ml]]%</f>
        <v>15.016728169999279</v>
      </c>
      <c r="AR243" s="94">
        <f>Table3.110[[#This Row],[CH4 24h, ml]]/Table3.110[[#This Row],[DM Incubated, mg]]*1000</f>
        <v>13.965663519462034</v>
      </c>
      <c r="AS243" s="94">
        <f>Table3.110[[#This Row],[CH4 24h, ml]]/Table3.110[[#This Row],[Digested feed, mg]]*1000</f>
        <v>99.199433561353558</v>
      </c>
      <c r="AT243" s="94">
        <f>Table3.110[[#This Row],[CH4 24h, ml]]/'3.2 Digest'!AA243</f>
        <v>-0.15109364969535241</v>
      </c>
      <c r="AU243" s="94">
        <f>((Table3.110[[#This Row],[CH4 24h, ml]]/28.9)*16.04)/Table3.110[[#This Row],[DM Incubated, mg]]*1000</f>
        <v>7.7511848737775439</v>
      </c>
      <c r="AV243" s="94">
        <f>((Table3.110[[#This Row],[CH4 24h, ml]]/28.9)*16.04)/Table3.110[[#This Row],[Digested feed, mg]]*1000</f>
        <v>55.057401879727031</v>
      </c>
      <c r="AW243" s="303"/>
    </row>
    <row r="244" spans="1:49" s="304" customFormat="1" x14ac:dyDescent="0.35">
      <c r="A244" s="89"/>
      <c r="B244" s="90">
        <f t="shared" si="3"/>
        <v>234</v>
      </c>
      <c r="C244" s="140">
        <v>46076</v>
      </c>
      <c r="D244" s="6" t="s">
        <v>16</v>
      </c>
      <c r="E244" s="6" t="str">
        <f>'[1]1. Information samples'!$F$26</f>
        <v>CIAT-23413</v>
      </c>
      <c r="F244" s="6" t="s">
        <v>19</v>
      </c>
      <c r="G244" s="6" t="s">
        <v>20</v>
      </c>
      <c r="H244" s="6" t="str">
        <f>'[1]1. Information samples'!$I$26</f>
        <v>Dendrolobium triangulare</v>
      </c>
      <c r="I244" s="6" t="s">
        <v>22</v>
      </c>
      <c r="J244" s="129" t="s">
        <v>23</v>
      </c>
      <c r="K244" s="129" t="s">
        <v>24</v>
      </c>
      <c r="L244" s="6" t="str">
        <f>'[1]1. Information samples'!$E$26</f>
        <v>F251738</v>
      </c>
      <c r="M244" s="119">
        <v>27</v>
      </c>
      <c r="N244" s="93">
        <v>69</v>
      </c>
      <c r="O244" s="6">
        <v>3</v>
      </c>
      <c r="P244" s="129">
        <v>2</v>
      </c>
      <c r="Q244" s="6">
        <v>96</v>
      </c>
      <c r="R244" s="98">
        <v>0.50009999999999999</v>
      </c>
      <c r="S244" s="94">
        <f>((Table3.110[[#This Row],[Sample weight, g]]*'2.1. DM'!Q31)/100)*1000</f>
        <v>467.72688378753082</v>
      </c>
      <c r="T244" s="94">
        <f>'3.2 Digest'!W244</f>
        <v>90.226883787530767</v>
      </c>
      <c r="U244" s="117">
        <v>0.32847222222222222</v>
      </c>
      <c r="V244" s="155">
        <v>41.5</v>
      </c>
      <c r="W244" s="117">
        <v>0.66597222222222219</v>
      </c>
      <c r="X244" s="96">
        <v>65.5</v>
      </c>
      <c r="Y244" s="96">
        <v>13.6</v>
      </c>
      <c r="Z244" s="155">
        <v>39.5</v>
      </c>
      <c r="AA244" s="117">
        <v>0.34236111111111112</v>
      </c>
      <c r="AB244" s="155">
        <v>62</v>
      </c>
      <c r="AC244" s="155">
        <v>16.7</v>
      </c>
      <c r="AD244" s="96"/>
      <c r="AE244" s="94">
        <f>Table3.110[[#This Row],[Gas 8h, ml]]-Table3.110[[#This Row],[Gas 0h, ml]]</f>
        <v>24</v>
      </c>
      <c r="AF244" s="94">
        <f>Table3.110[[#This Row],[Gas 24h, ml]]-Table3.110[[#This Row],[V8 Push back, ml]]</f>
        <v>22.5</v>
      </c>
      <c r="AG244" s="94">
        <f>Table3.110[[#This Row],[GP 8h, ml]]-(AVERAGE(AE$221,AE$222,AE$255,AE$256,AE$291,AE$292))*$AG$8</f>
        <v>22.524988739845064</v>
      </c>
      <c r="AH244" s="94">
        <f>Table3.110[[#This Row],[GP 8-24h, ml]]-(AVERAGE(AF$221,AF$222,AF$255,AF$256,AF$291,AF$292))*$AG$8</f>
        <v>20.508734798790837</v>
      </c>
      <c r="AI244" s="94">
        <f>Table3.110[[#This Row],[Net gas 8-24h, ml]]+Table3.110[[#This Row],[Net gas 8h, ml]]</f>
        <v>43.033723538635897</v>
      </c>
      <c r="AJ244" s="94">
        <f>Table3.110[[#This Row],[Net gas 8h, ml]]*Table3.110[[#This Row],[CH4 8h %]]%</f>
        <v>3.0633984686189288</v>
      </c>
      <c r="AK244" s="94">
        <f>Table3.110[[#This Row],[Net gas 8-24h, ml]]*Table3.110[[#This Row],[CH4 24h, %]]%</f>
        <v>3.4249587113980695</v>
      </c>
      <c r="AL244" s="94">
        <f>Table3.110[[#This Row],[CH4 8-24h, ml]]+Table3.110[[#This Row],[CH4 8h, ml]]</f>
        <v>6.4883571800169983</v>
      </c>
      <c r="AM244" s="94">
        <f>(Table3.110[[#This Row],[Net gas 24h, ml]]/Table3.110[[#This Row],[DM Incubated, mg]])*1000</f>
        <v>92.006093791658884</v>
      </c>
      <c r="AN244" s="94">
        <f>'3.2 Digest'!X244</f>
        <v>19.290506258031805</v>
      </c>
      <c r="AO244" s="94">
        <f>Table3.110[[#This Row],[Digested feed, mg]]/Table3.110[[#This Row],[Net gas 24h, ml]]</f>
        <v>2.0966552826070144</v>
      </c>
      <c r="AP244" s="94">
        <f>Table3.110[[#This Row],[CH4 8h, ml]]/Table3.110[[#This Row],[Net gas 8h, ml]]%</f>
        <v>13.6</v>
      </c>
      <c r="AQ244" s="94">
        <f>Table3.110[[#This Row],[CH4 24h, ml]]/Table3.110[[#This Row],[Net gas 24h, ml]]%</f>
        <v>15.077378033977743</v>
      </c>
      <c r="AR244" s="94">
        <f>Table3.110[[#This Row],[CH4 24h, ml]]/Table3.110[[#This Row],[DM Incubated, mg]]*1000</f>
        <v>13.872106575264537</v>
      </c>
      <c r="AS244" s="94">
        <f>Table3.110[[#This Row],[CH4 24h, ml]]/Table3.110[[#This Row],[Digested feed, mg]]*1000</f>
        <v>71.911573442966244</v>
      </c>
      <c r="AT244" s="94">
        <f>Table3.110[[#This Row],[CH4 24h, ml]]/'3.2 Digest'!AA244</f>
        <v>-0.18765476071669882</v>
      </c>
      <c r="AU244" s="94">
        <f>((Table3.110[[#This Row],[CH4 24h, ml]]/28.9)*16.04)/Table3.110[[#This Row],[DM Incubated, mg]]*1000</f>
        <v>7.6992591511156805</v>
      </c>
      <c r="AV244" s="94">
        <f>((Table3.110[[#This Row],[CH4 24h, ml]]/28.9)*16.04)/Table3.110[[#This Row],[Digested feed, mg]]*1000</f>
        <v>39.912167405715515</v>
      </c>
      <c r="AW244" s="303"/>
    </row>
    <row r="245" spans="1:49" s="304" customFormat="1" x14ac:dyDescent="0.35">
      <c r="A245" s="89"/>
      <c r="B245" s="90">
        <f t="shared" si="3"/>
        <v>235</v>
      </c>
      <c r="C245" s="140">
        <v>46076</v>
      </c>
      <c r="D245" s="6" t="s">
        <v>16</v>
      </c>
      <c r="E245" s="6" t="str">
        <f>'[1]1. Information samples'!$F$27</f>
        <v>CIAT-23419</v>
      </c>
      <c r="F245" s="6" t="s">
        <v>19</v>
      </c>
      <c r="G245" s="6" t="s">
        <v>20</v>
      </c>
      <c r="H245" s="6" t="str">
        <f>'[1]1. Information samples'!$I$27</f>
        <v>Dendrolobium triangulare</v>
      </c>
      <c r="I245" s="6" t="s">
        <v>22</v>
      </c>
      <c r="J245" s="129" t="s">
        <v>23</v>
      </c>
      <c r="K245" s="129" t="s">
        <v>24</v>
      </c>
      <c r="L245" s="6" t="str">
        <f>'[1]1. Information samples'!$E$27</f>
        <v>F251739</v>
      </c>
      <c r="M245" s="119">
        <v>27</v>
      </c>
      <c r="N245" s="93">
        <v>69</v>
      </c>
      <c r="O245" s="6">
        <v>3</v>
      </c>
      <c r="P245" s="6">
        <v>1</v>
      </c>
      <c r="Q245" s="6">
        <v>97</v>
      </c>
      <c r="R245" s="98">
        <v>0.50029999999999997</v>
      </c>
      <c r="S245" s="94">
        <f>((Table3.110[[#This Row],[Sample weight, g]]*'2.1. DM'!Q33)/100)*1000</f>
        <v>470.06902960046477</v>
      </c>
      <c r="T245" s="94">
        <f>'3.2 Digest'!W245</f>
        <v>53.269029600464819</v>
      </c>
      <c r="U245" s="117">
        <v>0.32847222222222222</v>
      </c>
      <c r="V245" s="155">
        <v>41.5</v>
      </c>
      <c r="W245" s="117">
        <v>0.66666666666666663</v>
      </c>
      <c r="X245" s="96">
        <v>65.5</v>
      </c>
      <c r="Y245" s="96">
        <v>14.2</v>
      </c>
      <c r="Z245" s="155">
        <v>40</v>
      </c>
      <c r="AA245" s="117">
        <v>0.34236111111111112</v>
      </c>
      <c r="AB245" s="155">
        <v>60.5</v>
      </c>
      <c r="AC245" s="155">
        <v>18</v>
      </c>
      <c r="AD245" s="96"/>
      <c r="AE245" s="94">
        <f>Table3.110[[#This Row],[Gas 8h, ml]]-Table3.110[[#This Row],[Gas 0h, ml]]</f>
        <v>24</v>
      </c>
      <c r="AF245" s="94">
        <f>Table3.110[[#This Row],[Gas 24h, ml]]-Table3.110[[#This Row],[V8 Push back, ml]]</f>
        <v>20.5</v>
      </c>
      <c r="AG245" s="94">
        <f>Table3.110[[#This Row],[GP 8h, ml]]-(AVERAGE(AE$221,AE$222,AE$255,AE$256,AE$291,AE$292))*$AG$8</f>
        <v>22.524988739845064</v>
      </c>
      <c r="AH245" s="94">
        <f>Table3.110[[#This Row],[GP 8-24h, ml]]-(AVERAGE(AF$221,AF$222,AF$255,AF$256,AF$291,AF$292))*$AG$8</f>
        <v>18.508734798790837</v>
      </c>
      <c r="AI245" s="94">
        <f>Table3.110[[#This Row],[Net gas 8-24h, ml]]+Table3.110[[#This Row],[Net gas 8h, ml]]</f>
        <v>41.033723538635897</v>
      </c>
      <c r="AJ245" s="94">
        <f>Table3.110[[#This Row],[Net gas 8h, ml]]*Table3.110[[#This Row],[CH4 8h %]]%</f>
        <v>3.198548401057999</v>
      </c>
      <c r="AK245" s="94">
        <f>Table3.110[[#This Row],[Net gas 8-24h, ml]]*Table3.110[[#This Row],[CH4 24h, %]]%</f>
        <v>3.3315722637823506</v>
      </c>
      <c r="AL245" s="94">
        <f>Table3.110[[#This Row],[CH4 8-24h, ml]]+Table3.110[[#This Row],[CH4 8h, ml]]</f>
        <v>6.53012066484035</v>
      </c>
      <c r="AM245" s="94">
        <f>(Table3.110[[#This Row],[Net gas 24h, ml]]/Table3.110[[#This Row],[DM Incubated, mg]])*1000</f>
        <v>87.292973913879237</v>
      </c>
      <c r="AN245" s="94">
        <f>'3.2 Digest'!X245</f>
        <v>11.332171712256994</v>
      </c>
      <c r="AO245" s="94">
        <f>Table3.110[[#This Row],[Digested feed, mg]]/Table3.110[[#This Row],[Net gas 24h, ml]]</f>
        <v>1.2981768410636336</v>
      </c>
      <c r="AP245" s="94">
        <f>Table3.110[[#This Row],[CH4 8h, ml]]/Table3.110[[#This Row],[Net gas 8h, ml]]%</f>
        <v>14.2</v>
      </c>
      <c r="AQ245" s="94">
        <f>Table3.110[[#This Row],[CH4 24h, ml]]/Table3.110[[#This Row],[Net gas 24h, ml]]%</f>
        <v>15.914033876774113</v>
      </c>
      <c r="AR245" s="94">
        <f>Table3.110[[#This Row],[CH4 24h, ml]]/Table3.110[[#This Row],[DM Incubated, mg]]*1000</f>
        <v>13.891833440698331</v>
      </c>
      <c r="AS245" s="94">
        <f>Table3.110[[#This Row],[CH4 24h, ml]]/Table3.110[[#This Row],[Digested feed, mg]]*1000</f>
        <v>122.58756567969034</v>
      </c>
      <c r="AT245" s="94">
        <f>Table3.110[[#This Row],[CH4 24h, ml]]/'3.2 Digest'!AA245</f>
        <v>-0.13683535668588234</v>
      </c>
      <c r="AU245" s="94">
        <f>((Table3.110[[#This Row],[CH4 24h, ml]]/28.9)*16.04)/Table3.110[[#This Row],[DM Incubated, mg]]*1000</f>
        <v>7.7102079027266868</v>
      </c>
      <c r="AV245" s="94">
        <f>((Table3.110[[#This Row],[CH4 24h, ml]]/28.9)*16.04)/Table3.110[[#This Row],[Digested feed, mg]]*1000</f>
        <v>68.03821984436793</v>
      </c>
      <c r="AW245" s="303"/>
    </row>
    <row r="246" spans="1:49" s="304" customFormat="1" x14ac:dyDescent="0.35">
      <c r="A246" s="89"/>
      <c r="B246" s="90">
        <f t="shared" si="3"/>
        <v>236</v>
      </c>
      <c r="C246" s="140">
        <v>46076</v>
      </c>
      <c r="D246" s="6" t="s">
        <v>16</v>
      </c>
      <c r="E246" s="6" t="str">
        <f>'[1]1. Information samples'!$F$27</f>
        <v>CIAT-23419</v>
      </c>
      <c r="F246" s="6" t="s">
        <v>19</v>
      </c>
      <c r="G246" s="6" t="s">
        <v>20</v>
      </c>
      <c r="H246" s="6" t="str">
        <f>'[1]1. Information samples'!$I$27</f>
        <v>Dendrolobium triangulare</v>
      </c>
      <c r="I246" s="6" t="s">
        <v>22</v>
      </c>
      <c r="J246" s="129" t="s">
        <v>23</v>
      </c>
      <c r="K246" s="129" t="s">
        <v>24</v>
      </c>
      <c r="L246" s="6" t="str">
        <f>'[1]1. Information samples'!$E$27</f>
        <v>F251739</v>
      </c>
      <c r="M246" s="119">
        <v>27</v>
      </c>
      <c r="N246" s="93">
        <v>69</v>
      </c>
      <c r="O246" s="6">
        <v>3</v>
      </c>
      <c r="P246" s="129">
        <v>2</v>
      </c>
      <c r="Q246" s="6">
        <v>98</v>
      </c>
      <c r="R246" s="98">
        <v>0.50039999999999996</v>
      </c>
      <c r="S246" s="94">
        <f>((Table3.110[[#This Row],[Sample weight, g]]*'2.1. DM'!Q33)/100)*1000</f>
        <v>470.16298703192592</v>
      </c>
      <c r="T246" s="94">
        <f>'3.2 Digest'!W246</f>
        <v>60.662987031925809</v>
      </c>
      <c r="U246" s="153">
        <v>0.32847222222222222</v>
      </c>
      <c r="V246" s="154">
        <v>41.5</v>
      </c>
      <c r="W246" s="153">
        <v>0.66666666666666663</v>
      </c>
      <c r="X246" s="91">
        <v>66</v>
      </c>
      <c r="Y246" s="91">
        <v>13.9</v>
      </c>
      <c r="Z246" s="154">
        <v>41</v>
      </c>
      <c r="AA246" s="153">
        <v>0.34305555555555556</v>
      </c>
      <c r="AB246" s="154">
        <v>61</v>
      </c>
      <c r="AC246" s="154">
        <v>18.100000000000001</v>
      </c>
      <c r="AD246" s="91"/>
      <c r="AE246" s="94">
        <f>Table3.110[[#This Row],[Gas 8h, ml]]-Table3.110[[#This Row],[Gas 0h, ml]]</f>
        <v>24.5</v>
      </c>
      <c r="AF246" s="94">
        <f>Table3.110[[#This Row],[Gas 24h, ml]]-Table3.110[[#This Row],[V8 Push back, ml]]</f>
        <v>20</v>
      </c>
      <c r="AG246" s="94">
        <f>Table3.110[[#This Row],[GP 8h, ml]]-(AVERAGE(AE$221,AE$222,AE$255,AE$256,AE$291,AE$292))*$AG$8</f>
        <v>23.024988739845064</v>
      </c>
      <c r="AH246" s="94">
        <f>Table3.110[[#This Row],[GP 8-24h, ml]]-(AVERAGE(AF$221,AF$222,AF$255,AF$256,AF$291,AF$292))*$AG$8</f>
        <v>18.008734798790837</v>
      </c>
      <c r="AI246" s="94">
        <f>Table3.110[[#This Row],[Net gas 8-24h, ml]]+Table3.110[[#This Row],[Net gas 8h, ml]]</f>
        <v>41.033723538635897</v>
      </c>
      <c r="AJ246" s="94">
        <f>Table3.110[[#This Row],[Net gas 8h, ml]]*Table3.110[[#This Row],[CH4 8h %]]%</f>
        <v>3.200473434838464</v>
      </c>
      <c r="AK246" s="94">
        <f>Table3.110[[#This Row],[Net gas 8-24h, ml]]*Table3.110[[#This Row],[CH4 24h, %]]%</f>
        <v>3.2595809985811419</v>
      </c>
      <c r="AL246" s="94">
        <f>Table3.110[[#This Row],[CH4 8-24h, ml]]+Table3.110[[#This Row],[CH4 8h, ml]]</f>
        <v>6.4600544334196055</v>
      </c>
      <c r="AM246" s="94">
        <f>(Table3.110[[#This Row],[Net gas 24h, ml]]/Table3.110[[#This Row],[DM Incubated, mg]])*1000</f>
        <v>87.275529274807724</v>
      </c>
      <c r="AN246" s="94">
        <f>'3.2 Digest'!X246</f>
        <v>12.902544161309438</v>
      </c>
      <c r="AO246" s="94">
        <f>Table3.110[[#This Row],[Digested feed, mg]]/Table3.110[[#This Row],[Net gas 24h, ml]]</f>
        <v>1.4783690535617051</v>
      </c>
      <c r="AP246" s="94">
        <f>Table3.110[[#This Row],[CH4 8h, ml]]/Table3.110[[#This Row],[Net gas 8h, ml]]%</f>
        <v>13.9</v>
      </c>
      <c r="AQ246" s="94">
        <f>Table3.110[[#This Row],[CH4 24h, ml]]/Table3.110[[#This Row],[Net gas 24h, ml]]%</f>
        <v>15.743281077909119</v>
      </c>
      <c r="AR246" s="94">
        <f>Table3.110[[#This Row],[CH4 24h, ml]]/Table3.110[[#This Row],[DM Incubated, mg]]*1000</f>
        <v>13.740031885965839</v>
      </c>
      <c r="AS246" s="94">
        <f>Table3.110[[#This Row],[CH4 24h, ml]]/Table3.110[[#This Row],[Digested feed, mg]]*1000</f>
        <v>106.49087276265837</v>
      </c>
      <c r="AT246" s="94">
        <f>Table3.110[[#This Row],[CH4 24h, ml]]/'3.2 Digest'!AA246</f>
        <v>-0.14321879257346307</v>
      </c>
      <c r="AU246" s="94">
        <f>((Table3.110[[#This Row],[CH4 24h, ml]]/28.9)*16.04)/Table3.110[[#This Row],[DM Incubated, mg]]*1000</f>
        <v>7.6259554135256762</v>
      </c>
      <c r="AV246" s="94">
        <f>((Table3.110[[#This Row],[CH4 24h, ml]]/28.9)*16.04)/Table3.110[[#This Row],[Digested feed, mg]]*1000</f>
        <v>59.104276785918344</v>
      </c>
      <c r="AW246" s="303"/>
    </row>
    <row r="247" spans="1:49" s="304" customFormat="1" x14ac:dyDescent="0.35">
      <c r="A247" s="89"/>
      <c r="B247" s="90">
        <f t="shared" si="3"/>
        <v>237</v>
      </c>
      <c r="C247" s="140">
        <v>46076</v>
      </c>
      <c r="D247" s="6" t="s">
        <v>16</v>
      </c>
      <c r="E247" s="6" t="str">
        <f>'[1]1. Information samples'!$F$28</f>
        <v>CIAT-23422</v>
      </c>
      <c r="F247" s="6" t="s">
        <v>19</v>
      </c>
      <c r="G247" s="6" t="s">
        <v>20</v>
      </c>
      <c r="H247" s="6" t="str">
        <f>'[1]1. Information samples'!$I$28</f>
        <v>Dendrolobium triangulare</v>
      </c>
      <c r="I247" s="6" t="s">
        <v>22</v>
      </c>
      <c r="J247" s="129" t="s">
        <v>23</v>
      </c>
      <c r="K247" s="129" t="s">
        <v>24</v>
      </c>
      <c r="L247" s="6" t="str">
        <f>'[1]1. Information samples'!$E$28</f>
        <v>F251740</v>
      </c>
      <c r="M247" s="119">
        <v>27</v>
      </c>
      <c r="N247" s="93">
        <v>69</v>
      </c>
      <c r="O247" s="6">
        <v>3</v>
      </c>
      <c r="P247" s="6">
        <v>1</v>
      </c>
      <c r="Q247" s="6">
        <v>99</v>
      </c>
      <c r="R247" s="98">
        <v>0.5</v>
      </c>
      <c r="S247" s="94">
        <f>((Table3.110[[#This Row],[Sample weight, g]]*'2.1. DM'!Q35)/100)*1000</f>
        <v>459.28724590947485</v>
      </c>
      <c r="T247" s="94">
        <f>'3.2 Digest'!W247</f>
        <v>24.387245909474871</v>
      </c>
      <c r="U247" s="153">
        <v>0.32916666666666666</v>
      </c>
      <c r="V247" s="154">
        <v>42</v>
      </c>
      <c r="W247" s="153">
        <v>0.66736111111111107</v>
      </c>
      <c r="X247" s="91">
        <v>66.5</v>
      </c>
      <c r="Y247" s="91">
        <v>13.5</v>
      </c>
      <c r="Z247" s="154">
        <v>41.5</v>
      </c>
      <c r="AA247" s="153">
        <v>0.34305555555555556</v>
      </c>
      <c r="AB247" s="154">
        <v>62.5</v>
      </c>
      <c r="AC247" s="154">
        <v>17.600000000000001</v>
      </c>
      <c r="AD247" s="91"/>
      <c r="AE247" s="94"/>
      <c r="AF247" s="94"/>
      <c r="AG247" s="94"/>
      <c r="AH247" s="94"/>
      <c r="AI247" s="94"/>
      <c r="AJ247" s="94"/>
      <c r="AK247" s="94"/>
      <c r="AL247" s="94"/>
      <c r="AM247" s="94"/>
      <c r="AN247" s="94"/>
      <c r="AO247" s="94"/>
      <c r="AP247" s="94"/>
      <c r="AQ247" s="94"/>
      <c r="AR247" s="94"/>
      <c r="AS247" s="94"/>
      <c r="AT247" s="94"/>
      <c r="AU247" s="94"/>
      <c r="AV247" s="94"/>
      <c r="AW247" s="303" t="s">
        <v>619</v>
      </c>
    </row>
    <row r="248" spans="1:49" s="304" customFormat="1" x14ac:dyDescent="0.35">
      <c r="A248" s="89"/>
      <c r="B248" s="90">
        <f t="shared" si="3"/>
        <v>238</v>
      </c>
      <c r="C248" s="140">
        <v>46076</v>
      </c>
      <c r="D248" s="6" t="s">
        <v>16</v>
      </c>
      <c r="E248" s="6" t="str">
        <f>'[1]1. Information samples'!$F$28</f>
        <v>CIAT-23422</v>
      </c>
      <c r="F248" s="6" t="s">
        <v>19</v>
      </c>
      <c r="G248" s="6" t="s">
        <v>20</v>
      </c>
      <c r="H248" s="6" t="str">
        <f>'[1]1. Information samples'!$I$28</f>
        <v>Dendrolobium triangulare</v>
      </c>
      <c r="I248" s="6" t="s">
        <v>22</v>
      </c>
      <c r="J248" s="129" t="s">
        <v>23</v>
      </c>
      <c r="K248" s="129" t="s">
        <v>24</v>
      </c>
      <c r="L248" s="6" t="str">
        <f>'[1]1. Information samples'!$E$28</f>
        <v>F251740</v>
      </c>
      <c r="M248" s="119">
        <v>27</v>
      </c>
      <c r="N248" s="93">
        <v>69</v>
      </c>
      <c r="O248" s="6">
        <v>3</v>
      </c>
      <c r="P248" s="129">
        <v>2</v>
      </c>
      <c r="Q248" s="6">
        <v>100</v>
      </c>
      <c r="R248" s="98">
        <v>0.50029999999999997</v>
      </c>
      <c r="S248" s="94">
        <f>((Table3.110[[#This Row],[Sample weight, g]]*'2.1. DM'!Q35)/100)*1000</f>
        <v>459.56281825702052</v>
      </c>
      <c r="T248" s="94">
        <f>'3.2 Digest'!W248</f>
        <v>82.462818257020558</v>
      </c>
      <c r="U248" s="117">
        <v>0.32916666666666666</v>
      </c>
      <c r="V248" s="155">
        <v>42</v>
      </c>
      <c r="W248" s="117">
        <v>0.66736111111111107</v>
      </c>
      <c r="X248" s="96">
        <v>67</v>
      </c>
      <c r="Y248" s="96">
        <v>13.5</v>
      </c>
      <c r="Z248" s="155">
        <v>41</v>
      </c>
      <c r="AA248" s="117">
        <v>0.34375</v>
      </c>
      <c r="AB248" s="155">
        <v>61.5</v>
      </c>
      <c r="AC248" s="155">
        <v>17.899999999999999</v>
      </c>
      <c r="AD248" s="96"/>
      <c r="AE248" s="94">
        <f>Table3.110[[#This Row],[Gas 8h, ml]]-Table3.110[[#This Row],[Gas 0h, ml]]</f>
        <v>25</v>
      </c>
      <c r="AF248" s="94">
        <f>Table3.110[[#This Row],[Gas 24h, ml]]-Table3.110[[#This Row],[V8 Push back, ml]]</f>
        <v>20.5</v>
      </c>
      <c r="AG248" s="94">
        <f>Table3.110[[#This Row],[GP 8h, ml]]-(AVERAGE(AE$221,AE$222,AE$255,AE$256,AE$291,AE$292))*$AG$8</f>
        <v>23.524988739845064</v>
      </c>
      <c r="AH248" s="94">
        <f>Table3.110[[#This Row],[GP 8-24h, ml]]-(AVERAGE(AF$221,AF$222,AF$255,AF$256,AF$291,AF$292))*$AG$8</f>
        <v>18.508734798790837</v>
      </c>
      <c r="AI248" s="94">
        <f>Table3.110[[#This Row],[Net gas 8-24h, ml]]+Table3.110[[#This Row],[Net gas 8h, ml]]</f>
        <v>42.033723538635897</v>
      </c>
      <c r="AJ248" s="94">
        <f>Table3.110[[#This Row],[Net gas 8h, ml]]*Table3.110[[#This Row],[CH4 8h %]]%</f>
        <v>3.1758734798790837</v>
      </c>
      <c r="AK248" s="94">
        <f>Table3.110[[#This Row],[Net gas 8-24h, ml]]*Table3.110[[#This Row],[CH4 24h, %]]%</f>
        <v>3.3130635289835597</v>
      </c>
      <c r="AL248" s="94">
        <f>Table3.110[[#This Row],[CH4 8-24h, ml]]+Table3.110[[#This Row],[CH4 8h, ml]]</f>
        <v>6.4889370088626439</v>
      </c>
      <c r="AM248" s="94">
        <f>(Table3.110[[#This Row],[Net gas 24h, ml]]/Table3.110[[#This Row],[DM Incubated, mg]])*1000</f>
        <v>91.464587361651226</v>
      </c>
      <c r="AN248" s="94">
        <f>'3.2 Digest'!X248</f>
        <v>17.943753276162873</v>
      </c>
      <c r="AO248" s="94">
        <f>Table3.110[[#This Row],[Digested feed, mg]]/Table3.110[[#This Row],[Net gas 24h, ml]]</f>
        <v>1.9618252040227577</v>
      </c>
      <c r="AP248" s="94">
        <f>Table3.110[[#This Row],[CH4 8h, ml]]/Table3.110[[#This Row],[Net gas 8h, ml]]%</f>
        <v>13.5</v>
      </c>
      <c r="AQ248" s="94">
        <f>Table3.110[[#This Row],[CH4 24h, ml]]/Table3.110[[#This Row],[Net gas 24h, ml]]%</f>
        <v>15.437454649712974</v>
      </c>
      <c r="AR248" s="94">
        <f>Table3.110[[#This Row],[CH4 24h, ml]]/Table3.110[[#This Row],[DM Incubated, mg]]*1000</f>
        <v>14.119804194502011</v>
      </c>
      <c r="AS248" s="94">
        <f>Table3.110[[#This Row],[CH4 24h, ml]]/Table3.110[[#This Row],[Digested feed, mg]]*1000</f>
        <v>78.689246208368601</v>
      </c>
      <c r="AT248" s="94">
        <f>Table3.110[[#This Row],[CH4 24h, ml]]/'3.2 Digest'!AA248</f>
        <v>-0.1732435658824201</v>
      </c>
      <c r="AU248" s="94">
        <f>((Table3.110[[#This Row],[CH4 24h, ml]]/28.9)*16.04)/Table3.110[[#This Row],[DM Incubated, mg]]*1000</f>
        <v>7.8367356152184167</v>
      </c>
      <c r="AV248" s="94">
        <f>((Table3.110[[#This Row],[CH4 24h, ml]]/28.9)*16.04)/Table3.110[[#This Row],[Digested feed, mg]]*1000</f>
        <v>43.67389305128831</v>
      </c>
      <c r="AW248" s="303"/>
    </row>
    <row r="249" spans="1:49" s="304" customFormat="1" x14ac:dyDescent="0.35">
      <c r="A249" s="89"/>
      <c r="B249" s="90">
        <f t="shared" si="3"/>
        <v>239</v>
      </c>
      <c r="C249" s="140">
        <v>46076</v>
      </c>
      <c r="D249" s="6" t="s">
        <v>16</v>
      </c>
      <c r="E249" s="6" t="str">
        <f>'[1]1. Information samples'!$F$29</f>
        <v>CIAT-23734</v>
      </c>
      <c r="F249" s="6" t="s">
        <v>19</v>
      </c>
      <c r="G249" s="6" t="s">
        <v>20</v>
      </c>
      <c r="H249" s="6" t="str">
        <f>'[1]1. Information samples'!$I$29</f>
        <v>Dendrolobium triangulare</v>
      </c>
      <c r="I249" s="6" t="s">
        <v>22</v>
      </c>
      <c r="J249" s="129" t="s">
        <v>23</v>
      </c>
      <c r="K249" s="129" t="s">
        <v>24</v>
      </c>
      <c r="L249" s="6" t="str">
        <f>'[1]1. Information samples'!$E$29</f>
        <v>F251741</v>
      </c>
      <c r="M249" s="119">
        <v>27</v>
      </c>
      <c r="N249" s="93">
        <v>69</v>
      </c>
      <c r="O249" s="6">
        <v>3</v>
      </c>
      <c r="P249" s="6">
        <v>1</v>
      </c>
      <c r="Q249" s="6">
        <v>101</v>
      </c>
      <c r="R249" s="98">
        <v>0.50029999999999997</v>
      </c>
      <c r="S249" s="94">
        <f>((Table3.110[[#This Row],[Sample weight, g]]*'2.1. DM'!Q37)/100)*1000</f>
        <v>473.83938184308164</v>
      </c>
      <c r="T249" s="94">
        <f>'3.2 Digest'!W249</f>
        <v>89.039381843081742</v>
      </c>
      <c r="U249" s="117">
        <v>0.32916666666666666</v>
      </c>
      <c r="V249" s="155">
        <v>41.5</v>
      </c>
      <c r="W249" s="117">
        <v>0.66805555555555551</v>
      </c>
      <c r="X249" s="96">
        <v>68.5</v>
      </c>
      <c r="Y249" s="96">
        <v>14.5</v>
      </c>
      <c r="Z249" s="155">
        <v>40.5</v>
      </c>
      <c r="AA249" s="117">
        <v>0.34375</v>
      </c>
      <c r="AB249" s="155">
        <v>65.5</v>
      </c>
      <c r="AC249" s="155">
        <v>17.399999999999999</v>
      </c>
      <c r="AD249" s="96"/>
      <c r="AE249" s="94">
        <f>Table3.110[[#This Row],[Gas 8h, ml]]-Table3.110[[#This Row],[Gas 0h, ml]]</f>
        <v>27</v>
      </c>
      <c r="AF249" s="94">
        <f>Table3.110[[#This Row],[Gas 24h, ml]]-Table3.110[[#This Row],[V8 Push back, ml]]</f>
        <v>25</v>
      </c>
      <c r="AG249" s="94">
        <f>Table3.110[[#This Row],[GP 8h, ml]]-(AVERAGE(AE$221,AE$222,AE$255,AE$256,AE$291,AE$292))*$AG$8</f>
        <v>25.524988739845064</v>
      </c>
      <c r="AH249" s="94">
        <f>Table3.110[[#This Row],[GP 8-24h, ml]]-(AVERAGE(AF$221,AF$222,AF$255,AF$256,AF$291,AF$292))*$AG$8</f>
        <v>23.008734798790837</v>
      </c>
      <c r="AI249" s="94">
        <f>Table3.110[[#This Row],[Net gas 8-24h, ml]]+Table3.110[[#This Row],[Net gas 8h, ml]]</f>
        <v>48.533723538635897</v>
      </c>
      <c r="AJ249" s="94">
        <f>Table3.110[[#This Row],[Net gas 8h, ml]]*Table3.110[[#This Row],[CH4 8h %]]%</f>
        <v>3.7011233672775341</v>
      </c>
      <c r="AK249" s="94">
        <f>Table3.110[[#This Row],[Net gas 8-24h, ml]]*Table3.110[[#This Row],[CH4 24h, %]]%</f>
        <v>4.0035198549896052</v>
      </c>
      <c r="AL249" s="94">
        <f>Table3.110[[#This Row],[CH4 8-24h, ml]]+Table3.110[[#This Row],[CH4 8h, ml]]</f>
        <v>7.7046432222671388</v>
      </c>
      <c r="AM249" s="94">
        <f>(Table3.110[[#This Row],[Net gas 24h, ml]]/Table3.110[[#This Row],[DM Incubated, mg]])*1000</f>
        <v>102.42652974485877</v>
      </c>
      <c r="AN249" s="94">
        <f>'3.2 Digest'!X249</f>
        <v>18.791047189186219</v>
      </c>
      <c r="AO249" s="94">
        <f>Table3.110[[#This Row],[Digested feed, mg]]/Table3.110[[#This Row],[Net gas 24h, ml]]</f>
        <v>1.8345878978809609</v>
      </c>
      <c r="AP249" s="94">
        <f>Table3.110[[#This Row],[CH4 8h, ml]]/Table3.110[[#This Row],[Net gas 8h, ml]]%</f>
        <v>14.5</v>
      </c>
      <c r="AQ249" s="94">
        <f>Table3.110[[#This Row],[CH4 24h, ml]]/Table3.110[[#This Row],[Net gas 24h, ml]]%</f>
        <v>15.874824061528594</v>
      </c>
      <c r="AR249" s="94">
        <f>Table3.110[[#This Row],[CH4 24h, ml]]/Table3.110[[#This Row],[DM Incubated, mg]]*1000</f>
        <v>16.260031389325583</v>
      </c>
      <c r="AS249" s="94">
        <f>Table3.110[[#This Row],[CH4 24h, ml]]/Table3.110[[#This Row],[Digested feed, mg]]*1000</f>
        <v>86.53073575741341</v>
      </c>
      <c r="AT249" s="94">
        <f>Table3.110[[#This Row],[CH4 24h, ml]]/'3.2 Digest'!AA249</f>
        <v>-0.21387172999294982</v>
      </c>
      <c r="AU249" s="94">
        <f>((Table3.110[[#This Row],[CH4 24h, ml]]/28.9)*16.04)/Table3.110[[#This Row],[DM Incubated, mg]]*1000</f>
        <v>9.0245987364976603</v>
      </c>
      <c r="AV249" s="94">
        <f>((Table3.110[[#This Row],[CH4 24h, ml]]/28.9)*16.04)/Table3.110[[#This Row],[Digested feed, mg]]*1000</f>
        <v>48.02605541691733</v>
      </c>
      <c r="AW249" s="303"/>
    </row>
    <row r="250" spans="1:49" s="304" customFormat="1" x14ac:dyDescent="0.35">
      <c r="A250" s="89"/>
      <c r="B250" s="90">
        <f t="shared" si="3"/>
        <v>240</v>
      </c>
      <c r="C250" s="140">
        <v>46076</v>
      </c>
      <c r="D250" s="6" t="s">
        <v>16</v>
      </c>
      <c r="E250" s="6" t="str">
        <f>'[1]1. Information samples'!$F$29</f>
        <v>CIAT-23734</v>
      </c>
      <c r="F250" s="6" t="s">
        <v>19</v>
      </c>
      <c r="G250" s="6" t="s">
        <v>20</v>
      </c>
      <c r="H250" s="6" t="str">
        <f>'[1]1. Information samples'!$I$29</f>
        <v>Dendrolobium triangulare</v>
      </c>
      <c r="I250" s="6" t="s">
        <v>22</v>
      </c>
      <c r="J250" s="129" t="s">
        <v>23</v>
      </c>
      <c r="K250" s="129" t="s">
        <v>24</v>
      </c>
      <c r="L250" s="6" t="str">
        <f>'[1]1. Information samples'!$E$29</f>
        <v>F251741</v>
      </c>
      <c r="M250" s="119">
        <v>27</v>
      </c>
      <c r="N250" s="93">
        <v>69</v>
      </c>
      <c r="O250" s="6">
        <v>3</v>
      </c>
      <c r="P250" s="129">
        <v>2</v>
      </c>
      <c r="Q250" s="6">
        <v>102</v>
      </c>
      <c r="R250" s="98">
        <v>0.50049999999999994</v>
      </c>
      <c r="S250" s="94">
        <f>((Table3.110[[#This Row],[Sample weight, g]]*'2.1. DM'!Q37)/100)*1000</f>
        <v>474.02880394255914</v>
      </c>
      <c r="T250" s="94">
        <f>'3.2 Digest'!W250</f>
        <v>93.328803942559091</v>
      </c>
      <c r="U250" s="153">
        <v>0.32916666666666666</v>
      </c>
      <c r="V250" s="154">
        <v>41.5</v>
      </c>
      <c r="W250" s="153">
        <v>0.66805555555555551</v>
      </c>
      <c r="X250" s="91">
        <v>70</v>
      </c>
      <c r="Y250" s="91">
        <v>14.2</v>
      </c>
      <c r="Z250" s="154">
        <v>40.5</v>
      </c>
      <c r="AA250" s="153">
        <v>0.34444444444444444</v>
      </c>
      <c r="AB250" s="154">
        <v>65.5</v>
      </c>
      <c r="AC250" s="154">
        <v>17.100000000000001</v>
      </c>
      <c r="AD250" s="91"/>
      <c r="AE250" s="94">
        <f>Table3.110[[#This Row],[Gas 8h, ml]]-Table3.110[[#This Row],[Gas 0h, ml]]</f>
        <v>28.5</v>
      </c>
      <c r="AF250" s="94">
        <f>Table3.110[[#This Row],[Gas 24h, ml]]-Table3.110[[#This Row],[V8 Push back, ml]]</f>
        <v>25</v>
      </c>
      <c r="AG250" s="94">
        <f>Table3.110[[#This Row],[GP 8h, ml]]-(AVERAGE(AE$221,AE$222,AE$255,AE$256,AE$291,AE$292))*$AG$8</f>
        <v>27.024988739845064</v>
      </c>
      <c r="AH250" s="94">
        <f>Table3.110[[#This Row],[GP 8-24h, ml]]-(AVERAGE(AF$221,AF$222,AF$255,AF$256,AF$291,AF$292))*$AG$8</f>
        <v>23.008734798790837</v>
      </c>
      <c r="AI250" s="94">
        <f>Table3.110[[#This Row],[Net gas 8-24h, ml]]+Table3.110[[#This Row],[Net gas 8h, ml]]</f>
        <v>50.033723538635897</v>
      </c>
      <c r="AJ250" s="94">
        <f>Table3.110[[#This Row],[Net gas 8h, ml]]*Table3.110[[#This Row],[CH4 8h %]]%</f>
        <v>3.8375484010579988</v>
      </c>
      <c r="AK250" s="94">
        <f>Table3.110[[#This Row],[Net gas 8-24h, ml]]*Table3.110[[#This Row],[CH4 24h, %]]%</f>
        <v>3.9344936505932333</v>
      </c>
      <c r="AL250" s="94">
        <f>Table3.110[[#This Row],[CH4 8-24h, ml]]+Table3.110[[#This Row],[CH4 8h, ml]]</f>
        <v>7.7720420516512316</v>
      </c>
      <c r="AM250" s="94">
        <f>(Table3.110[[#This Row],[Net gas 24h, ml]]/Table3.110[[#This Row],[DM Incubated, mg]])*1000</f>
        <v>105.54996473315317</v>
      </c>
      <c r="AN250" s="94">
        <f>'3.2 Digest'!X250</f>
        <v>19.688424662453276</v>
      </c>
      <c r="AO250" s="94">
        <f>Table3.110[[#This Row],[Digested feed, mg]]/Table3.110[[#This Row],[Net gas 24h, ml]]</f>
        <v>1.8653179763942784</v>
      </c>
      <c r="AP250" s="94">
        <f>Table3.110[[#This Row],[CH4 8h, ml]]/Table3.110[[#This Row],[Net gas 8h, ml]]%</f>
        <v>14.2</v>
      </c>
      <c r="AQ250" s="94">
        <f>Table3.110[[#This Row],[CH4 24h, ml]]/Table3.110[[#This Row],[Net gas 24h, ml]]%</f>
        <v>15.533607139292128</v>
      </c>
      <c r="AR250" s="94">
        <f>Table3.110[[#This Row],[CH4 24h, ml]]/Table3.110[[#This Row],[DM Incubated, mg]]*1000</f>
        <v>16.395716857309406</v>
      </c>
      <c r="AS250" s="94">
        <f>Table3.110[[#This Row],[CH4 24h, ml]]/Table3.110[[#This Row],[Digested feed, mg]]*1000</f>
        <v>83.275920437539057</v>
      </c>
      <c r="AT250" s="94">
        <f>Table3.110[[#This Row],[CH4 24h, ml]]/'3.2 Digest'!AA250</f>
        <v>-0.22513630685930572</v>
      </c>
      <c r="AU250" s="94">
        <f>((Table3.110[[#This Row],[CH4 24h, ml]]/28.9)*16.04)/Table3.110[[#This Row],[DM Incubated, mg]]*1000</f>
        <v>9.0999065187281243</v>
      </c>
      <c r="AV250" s="94">
        <f>((Table3.110[[#This Row],[CH4 24h, ml]]/28.9)*16.04)/Table3.110[[#This Row],[Digested feed, mg]]*1000</f>
        <v>46.219576602703327</v>
      </c>
      <c r="AW250" s="303"/>
    </row>
    <row r="251" spans="1:49" s="304" customFormat="1" x14ac:dyDescent="0.35">
      <c r="A251" s="89"/>
      <c r="B251" s="90">
        <f t="shared" si="3"/>
        <v>241</v>
      </c>
      <c r="C251" s="140">
        <v>46076</v>
      </c>
      <c r="D251" s="6" t="s">
        <v>16</v>
      </c>
      <c r="E251" s="6" t="str">
        <f>'[1]1. Information samples'!$F$30</f>
        <v>CIAT-23932</v>
      </c>
      <c r="F251" s="6" t="s">
        <v>19</v>
      </c>
      <c r="G251" s="6" t="s">
        <v>20</v>
      </c>
      <c r="H251" s="6" t="str">
        <f>'[1]1. Information samples'!$I$30</f>
        <v>Dendrolobium triangulare</v>
      </c>
      <c r="I251" s="6" t="s">
        <v>22</v>
      </c>
      <c r="J251" s="129" t="s">
        <v>23</v>
      </c>
      <c r="K251" s="129" t="s">
        <v>24</v>
      </c>
      <c r="L251" s="6" t="str">
        <f>'[1]1. Information samples'!$E$30</f>
        <v>F251742</v>
      </c>
      <c r="M251" s="119">
        <v>27</v>
      </c>
      <c r="N251" s="93">
        <v>69</v>
      </c>
      <c r="O251" s="6">
        <v>3</v>
      </c>
      <c r="P251" s="6">
        <v>1</v>
      </c>
      <c r="Q251" s="6">
        <v>103</v>
      </c>
      <c r="R251" s="98">
        <v>0.50029999999999997</v>
      </c>
      <c r="S251" s="94">
        <f>((Table3.110[[#This Row],[Sample weight, g]]*'2.1. DM'!Q39)/100)*1000</f>
        <v>475.8951219512191</v>
      </c>
      <c r="T251" s="94">
        <f>'3.2 Digest'!W251</f>
        <v>68.895121951219153</v>
      </c>
      <c r="U251" s="153">
        <v>0.3298611111111111</v>
      </c>
      <c r="V251" s="154">
        <v>41</v>
      </c>
      <c r="W251" s="153">
        <v>0.66874999999999996</v>
      </c>
      <c r="X251" s="91">
        <v>68</v>
      </c>
      <c r="Y251" s="91">
        <v>13.3</v>
      </c>
      <c r="Z251" s="154">
        <v>40</v>
      </c>
      <c r="AA251" s="153">
        <v>0.34444444444444444</v>
      </c>
      <c r="AB251" s="154">
        <v>63</v>
      </c>
      <c r="AC251" s="154">
        <v>17.5</v>
      </c>
      <c r="AD251" s="91"/>
      <c r="AE251" s="94">
        <f>Table3.110[[#This Row],[Gas 8h, ml]]-Table3.110[[#This Row],[Gas 0h, ml]]</f>
        <v>27</v>
      </c>
      <c r="AF251" s="94">
        <f>Table3.110[[#This Row],[Gas 24h, ml]]-Table3.110[[#This Row],[V8 Push back, ml]]</f>
        <v>23</v>
      </c>
      <c r="AG251" s="94">
        <f>Table3.110[[#This Row],[GP 8h, ml]]-(AVERAGE(AE$221,AE$222,AE$255,AE$256,AE$291,AE$292))*$AG$8</f>
        <v>25.524988739845064</v>
      </c>
      <c r="AH251" s="94">
        <f>Table3.110[[#This Row],[GP 8-24h, ml]]-(AVERAGE(AF$221,AF$222,AF$255,AF$256,AF$291,AF$292))*$AG$8</f>
        <v>21.008734798790837</v>
      </c>
      <c r="AI251" s="94">
        <f>Table3.110[[#This Row],[Net gas 8-24h, ml]]+Table3.110[[#This Row],[Net gas 8h, ml]]</f>
        <v>46.533723538635897</v>
      </c>
      <c r="AJ251" s="94">
        <f>Table3.110[[#This Row],[Net gas 8h, ml]]*Table3.110[[#This Row],[CH4 8h %]]%</f>
        <v>3.3948235023993938</v>
      </c>
      <c r="AK251" s="94">
        <f>Table3.110[[#This Row],[Net gas 8-24h, ml]]*Table3.110[[#This Row],[CH4 24h, %]]%</f>
        <v>3.6765285897883961</v>
      </c>
      <c r="AL251" s="94">
        <f>Table3.110[[#This Row],[CH4 8-24h, ml]]+Table3.110[[#This Row],[CH4 8h, ml]]</f>
        <v>7.0713520921877899</v>
      </c>
      <c r="AM251" s="94">
        <f>(Table3.110[[#This Row],[Net gas 24h, ml]]/Table3.110[[#This Row],[DM Incubated, mg]])*1000</f>
        <v>97.78146779030395</v>
      </c>
      <c r="AN251" s="94">
        <f>'3.2 Digest'!X251</f>
        <v>14.476954852729326</v>
      </c>
      <c r="AO251" s="94">
        <f>Table3.110[[#This Row],[Digested feed, mg]]/Table3.110[[#This Row],[Net gas 24h, ml]]</f>
        <v>1.4805417815751858</v>
      </c>
      <c r="AP251" s="94">
        <f>Table3.110[[#This Row],[CH4 8h, ml]]/Table3.110[[#This Row],[Net gas 8h, ml]]%</f>
        <v>13.300000000000002</v>
      </c>
      <c r="AQ251" s="94">
        <f>Table3.110[[#This Row],[CH4 24h, ml]]/Table3.110[[#This Row],[Net gas 24h, ml]]%</f>
        <v>15.196187956711881</v>
      </c>
      <c r="AR251" s="94">
        <f>Table3.110[[#This Row],[CH4 24h, ml]]/Table3.110[[#This Row],[DM Incubated, mg]]*1000</f>
        <v>14.859055632246276</v>
      </c>
      <c r="AS251" s="94">
        <f>Table3.110[[#This Row],[CH4 24h, ml]]/Table3.110[[#This Row],[Digested feed, mg]]*1000</f>
        <v>102.63937259875416</v>
      </c>
      <c r="AT251" s="94">
        <f>Table3.110[[#This Row],[CH4 24h, ml]]/'3.2 Digest'!AA251</f>
        <v>-0.16107934157985151</v>
      </c>
      <c r="AU251" s="94">
        <f>((Table3.110[[#This Row],[CH4 24h, ml]]/28.9)*16.04)/Table3.110[[#This Row],[DM Incubated, mg]]*1000</f>
        <v>8.2470329529837461</v>
      </c>
      <c r="AV251" s="94">
        <f>((Table3.110[[#This Row],[CH4 24h, ml]]/28.9)*16.04)/Table3.110[[#This Row],[Digested feed, mg]]*1000</f>
        <v>56.966627560000582</v>
      </c>
      <c r="AW251" s="303"/>
    </row>
    <row r="252" spans="1:49" s="304" customFormat="1" x14ac:dyDescent="0.35">
      <c r="A252" s="89"/>
      <c r="B252" s="90">
        <f t="shared" si="3"/>
        <v>242</v>
      </c>
      <c r="C252" s="140">
        <v>46076</v>
      </c>
      <c r="D252" s="6" t="s">
        <v>16</v>
      </c>
      <c r="E252" s="6" t="str">
        <f>'[1]1. Information samples'!$F$30</f>
        <v>CIAT-23932</v>
      </c>
      <c r="F252" s="6" t="s">
        <v>19</v>
      </c>
      <c r="G252" s="6" t="s">
        <v>20</v>
      </c>
      <c r="H252" s="6" t="str">
        <f>'[1]1. Information samples'!$I$30</f>
        <v>Dendrolobium triangulare</v>
      </c>
      <c r="I252" s="6" t="s">
        <v>22</v>
      </c>
      <c r="J252" s="129" t="s">
        <v>23</v>
      </c>
      <c r="K252" s="129" t="s">
        <v>24</v>
      </c>
      <c r="L252" s="6" t="str">
        <f>'[1]1. Information samples'!$E$30</f>
        <v>F251742</v>
      </c>
      <c r="M252" s="119">
        <v>27</v>
      </c>
      <c r="N252" s="93">
        <v>69</v>
      </c>
      <c r="O252" s="6">
        <v>3</v>
      </c>
      <c r="P252" s="129">
        <v>2</v>
      </c>
      <c r="Q252" s="6">
        <v>104</v>
      </c>
      <c r="R252" s="98">
        <v>0.50019999999999998</v>
      </c>
      <c r="S252" s="94">
        <f>((Table3.110[[#This Row],[Sample weight, g]]*'2.1. DM'!Q39)/100)*1000</f>
        <v>475.79999999999956</v>
      </c>
      <c r="T252" s="94">
        <f>'3.2 Digest'!W252</f>
        <v>85.099999999999511</v>
      </c>
      <c r="U252" s="117">
        <v>0.3298611111111111</v>
      </c>
      <c r="V252" s="155">
        <v>42</v>
      </c>
      <c r="W252" s="117">
        <v>0.66874999999999996</v>
      </c>
      <c r="X252" s="96">
        <v>67.5</v>
      </c>
      <c r="Y252" s="96">
        <v>13.6</v>
      </c>
      <c r="Z252" s="155">
        <v>40</v>
      </c>
      <c r="AA252" s="117">
        <v>0.34444444444444444</v>
      </c>
      <c r="AB252" s="155">
        <v>63.5</v>
      </c>
      <c r="AC252" s="155">
        <v>17.600000000000001</v>
      </c>
      <c r="AD252" s="96"/>
      <c r="AE252" s="94">
        <f>Table3.110[[#This Row],[Gas 8h, ml]]-Table3.110[[#This Row],[Gas 0h, ml]]</f>
        <v>25.5</v>
      </c>
      <c r="AF252" s="94">
        <f>Table3.110[[#This Row],[Gas 24h, ml]]-Table3.110[[#This Row],[V8 Push back, ml]]</f>
        <v>23.5</v>
      </c>
      <c r="AG252" s="94">
        <f>Table3.110[[#This Row],[GP 8h, ml]]-(AVERAGE(AE$221,AE$222,AE$255,AE$256,AE$291,AE$292))*$AG$8</f>
        <v>24.024988739845064</v>
      </c>
      <c r="AH252" s="94">
        <f>Table3.110[[#This Row],[GP 8-24h, ml]]-(AVERAGE(AF$221,AF$222,AF$255,AF$256,AF$291,AF$292))*$AG$8</f>
        <v>21.508734798790837</v>
      </c>
      <c r="AI252" s="94">
        <f>Table3.110[[#This Row],[Net gas 8-24h, ml]]+Table3.110[[#This Row],[Net gas 8h, ml]]</f>
        <v>45.533723538635897</v>
      </c>
      <c r="AJ252" s="94">
        <f>Table3.110[[#This Row],[Net gas 8h, ml]]*Table3.110[[#This Row],[CH4 8h %]]%</f>
        <v>3.267398468618929</v>
      </c>
      <c r="AK252" s="94">
        <f>Table3.110[[#This Row],[Net gas 8-24h, ml]]*Table3.110[[#This Row],[CH4 24h, %]]%</f>
        <v>3.7855373245871875</v>
      </c>
      <c r="AL252" s="94">
        <f>Table3.110[[#This Row],[CH4 8-24h, ml]]+Table3.110[[#This Row],[CH4 8h, ml]]</f>
        <v>7.0529357932061165</v>
      </c>
      <c r="AM252" s="94">
        <f>(Table3.110[[#This Row],[Net gas 24h, ml]]/Table3.110[[#This Row],[DM Incubated, mg]])*1000</f>
        <v>95.699292851273512</v>
      </c>
      <c r="AN252" s="94">
        <f>'3.2 Digest'!X252</f>
        <v>17.8856662463219</v>
      </c>
      <c r="AO252" s="94">
        <f>Table3.110[[#This Row],[Digested feed, mg]]/Table3.110[[#This Row],[Net gas 24h, ml]]</f>
        <v>1.8689444522978922</v>
      </c>
      <c r="AP252" s="94">
        <f>Table3.110[[#This Row],[CH4 8h, ml]]/Table3.110[[#This Row],[Net gas 8h, ml]]%</f>
        <v>13.600000000000001</v>
      </c>
      <c r="AQ252" s="94">
        <f>Table3.110[[#This Row],[CH4 24h, ml]]/Table3.110[[#This Row],[Net gas 24h, ml]]%</f>
        <v>15.48947734797401</v>
      </c>
      <c r="AR252" s="94">
        <f>Table3.110[[#This Row],[CH4 24h, ml]]/Table3.110[[#This Row],[DM Incubated, mg]]*1000</f>
        <v>14.82332028836932</v>
      </c>
      <c r="AS252" s="94">
        <f>Table3.110[[#This Row],[CH4 24h, ml]]/Table3.110[[#This Row],[Digested feed, mg]]*1000</f>
        <v>82.878211436030057</v>
      </c>
      <c r="AT252" s="94">
        <f>Table3.110[[#This Row],[CH4 24h, ml]]/'3.2 Digest'!AA252</f>
        <v>-0.18480424512114466</v>
      </c>
      <c r="AU252" s="94">
        <f>((Table3.110[[#This Row],[CH4 24h, ml]]/28.9)*16.04)/Table3.110[[#This Row],[DM Incubated, mg]]*1000</f>
        <v>8.2271992188734924</v>
      </c>
      <c r="AV252" s="94">
        <f>((Table3.110[[#This Row],[CH4 24h, ml]]/28.9)*16.04)/Table3.110[[#This Row],[Digested feed, mg]]*1000</f>
        <v>45.998841226087265</v>
      </c>
      <c r="AW252" s="303"/>
    </row>
    <row r="253" spans="1:49" s="304" customFormat="1" x14ac:dyDescent="0.35">
      <c r="A253" s="89"/>
      <c r="B253" s="90">
        <f t="shared" si="3"/>
        <v>243</v>
      </c>
      <c r="C253" s="140">
        <v>46076</v>
      </c>
      <c r="D253" s="6" t="s">
        <v>16</v>
      </c>
      <c r="E253" s="6" t="str">
        <f>'[1]1. Information samples'!$F$31</f>
        <v>CIAT-23933</v>
      </c>
      <c r="F253" s="6" t="s">
        <v>19</v>
      </c>
      <c r="G253" s="6" t="s">
        <v>20</v>
      </c>
      <c r="H253" s="6" t="str">
        <f>'[1]1. Information samples'!$I$31</f>
        <v>Dendrolobium triangulare</v>
      </c>
      <c r="I253" s="6" t="s">
        <v>22</v>
      </c>
      <c r="J253" s="129" t="s">
        <v>23</v>
      </c>
      <c r="K253" s="129" t="s">
        <v>24</v>
      </c>
      <c r="L253" s="6" t="str">
        <f>'[1]1. Information samples'!$E$31</f>
        <v>F251743</v>
      </c>
      <c r="M253" s="119">
        <v>27</v>
      </c>
      <c r="N253" s="93">
        <v>69</v>
      </c>
      <c r="O253" s="6">
        <v>3</v>
      </c>
      <c r="P253" s="129">
        <v>1</v>
      </c>
      <c r="Q253" s="6">
        <v>105</v>
      </c>
      <c r="R253" s="98">
        <v>0.50039999999999996</v>
      </c>
      <c r="S253" s="94">
        <f>((Table3.110[[#This Row],[Sample weight, g]]*'2.1. DM'!Q41)/100)*1000</f>
        <v>468.98112343719157</v>
      </c>
      <c r="T253" s="94">
        <f>'3.2 Digest'!W253</f>
        <v>94.98112343719157</v>
      </c>
      <c r="U253" s="117">
        <v>0.3298611111111111</v>
      </c>
      <c r="V253" s="155">
        <v>41</v>
      </c>
      <c r="W253" s="117">
        <v>0.6694444444444444</v>
      </c>
      <c r="X253" s="96">
        <v>64</v>
      </c>
      <c r="Y253" s="96">
        <v>13.8</v>
      </c>
      <c r="Z253" s="155">
        <v>40</v>
      </c>
      <c r="AA253" s="117">
        <v>0.34513888888888888</v>
      </c>
      <c r="AB253" s="155">
        <v>67</v>
      </c>
      <c r="AC253" s="155">
        <v>16.8</v>
      </c>
      <c r="AD253" s="96"/>
      <c r="AE253" s="94">
        <f>Table3.110[[#This Row],[Gas 8h, ml]]-Table3.110[[#This Row],[Gas 0h, ml]]</f>
        <v>23</v>
      </c>
      <c r="AF253" s="94">
        <f>Table3.110[[#This Row],[Gas 24h, ml]]-Table3.110[[#This Row],[V8 Push back, ml]]</f>
        <v>27</v>
      </c>
      <c r="AG253" s="94">
        <f>Table3.110[[#This Row],[GP 8h, ml]]-(AVERAGE(AE$221,AE$222,AE$255,AE$256,AE$291,AE$292))*$AG$8</f>
        <v>21.524988739845064</v>
      </c>
      <c r="AH253" s="94">
        <f>Table3.110[[#This Row],[GP 8-24h, ml]]-(AVERAGE(AF$221,AF$222,AF$255,AF$256,AF$291,AF$292))*$AG$8</f>
        <v>25.008734798790837</v>
      </c>
      <c r="AI253" s="94">
        <f>Table3.110[[#This Row],[Net gas 8-24h, ml]]+Table3.110[[#This Row],[Net gas 8h, ml]]</f>
        <v>46.533723538635897</v>
      </c>
      <c r="AJ253" s="94">
        <f>Table3.110[[#This Row],[Net gas 8h, ml]]*Table3.110[[#This Row],[CH4 8h %]]%</f>
        <v>2.9704484460986191</v>
      </c>
      <c r="AK253" s="94">
        <f>Table3.110[[#This Row],[Net gas 8-24h, ml]]*Table3.110[[#This Row],[CH4 24h, %]]%</f>
        <v>4.2014674461968609</v>
      </c>
      <c r="AL253" s="94">
        <f>Table3.110[[#This Row],[CH4 8-24h, ml]]+Table3.110[[#This Row],[CH4 8h, ml]]</f>
        <v>7.1719158922954804</v>
      </c>
      <c r="AM253" s="94">
        <f>(Table3.110[[#This Row],[Net gas 24h, ml]]/Table3.110[[#This Row],[DM Incubated, mg]])*1000</f>
        <v>99.223020316014782</v>
      </c>
      <c r="AN253" s="94">
        <f>'3.2 Digest'!X253</f>
        <v>20.252653825610093</v>
      </c>
      <c r="AO253" s="94">
        <f>Table3.110[[#This Row],[Digested feed, mg]]/Table3.110[[#This Row],[Net gas 24h, ml]]</f>
        <v>2.0411245052919718</v>
      </c>
      <c r="AP253" s="94">
        <f>Table3.110[[#This Row],[CH4 8h, ml]]/Table3.110[[#This Row],[Net gas 8h, ml]]%</f>
        <v>13.800000000000002</v>
      </c>
      <c r="AQ253" s="94">
        <f>Table3.110[[#This Row],[CH4 24h, ml]]/Table3.110[[#This Row],[Net gas 24h, ml]]%</f>
        <v>15.412297462808453</v>
      </c>
      <c r="AR253" s="94">
        <f>Table3.110[[#This Row],[CH4 24h, ml]]/Table3.110[[#This Row],[DM Incubated, mg]]*1000</f>
        <v>15.292547042687062</v>
      </c>
      <c r="AS253" s="94">
        <f>Table3.110[[#This Row],[CH4 24h, ml]]/Table3.110[[#This Row],[Digested feed, mg]]*1000</f>
        <v>75.508855157288949</v>
      </c>
      <c r="AT253" s="94">
        <f>Table3.110[[#This Row],[CH4 24h, ml]]/'3.2 Digest'!AA253</f>
        <v>-0.30020022760574772</v>
      </c>
      <c r="AU253" s="94">
        <f>((Table3.110[[#This Row],[CH4 24h, ml]]/28.9)*16.04)/Table3.110[[#This Row],[DM Incubated, mg]]*1000</f>
        <v>8.4876281856297737</v>
      </c>
      <c r="AV253" s="94">
        <f>((Table3.110[[#This Row],[CH4 24h, ml]]/28.9)*16.04)/Table3.110[[#This Row],[Digested feed, mg]]*1000</f>
        <v>41.908720993872471</v>
      </c>
      <c r="AW253" s="303"/>
    </row>
    <row r="254" spans="1:49" s="304" customFormat="1" x14ac:dyDescent="0.35">
      <c r="A254" s="89"/>
      <c r="B254" s="90">
        <f t="shared" si="3"/>
        <v>244</v>
      </c>
      <c r="C254" s="140">
        <v>46076</v>
      </c>
      <c r="D254" s="6" t="s">
        <v>16</v>
      </c>
      <c r="E254" s="6" t="str">
        <f>'[1]1. Information samples'!$F$31</f>
        <v>CIAT-23933</v>
      </c>
      <c r="F254" s="6" t="s">
        <v>19</v>
      </c>
      <c r="G254" s="6" t="s">
        <v>20</v>
      </c>
      <c r="H254" s="6" t="str">
        <f>'[1]1. Information samples'!$I$31</f>
        <v>Dendrolobium triangulare</v>
      </c>
      <c r="I254" s="6" t="s">
        <v>22</v>
      </c>
      <c r="J254" s="129" t="s">
        <v>23</v>
      </c>
      <c r="K254" s="129" t="s">
        <v>24</v>
      </c>
      <c r="L254" s="6" t="str">
        <f>'[1]1. Information samples'!$E$31</f>
        <v>F251743</v>
      </c>
      <c r="M254" s="119">
        <v>27</v>
      </c>
      <c r="N254" s="93">
        <v>69</v>
      </c>
      <c r="O254" s="6">
        <v>3</v>
      </c>
      <c r="P254" s="129">
        <v>2</v>
      </c>
      <c r="Q254" s="6">
        <v>106</v>
      </c>
      <c r="R254" s="98">
        <v>0.50039999999999996</v>
      </c>
      <c r="S254" s="94">
        <f>((Table3.110[[#This Row],[Sample weight, g]]*'2.1. DM'!Q41)/100)*1000</f>
        <v>468.98112343719157</v>
      </c>
      <c r="T254" s="94">
        <f>'3.2 Digest'!W254</f>
        <v>12.081123437191593</v>
      </c>
      <c r="U254" s="117">
        <v>0.33055555555555555</v>
      </c>
      <c r="V254" s="155">
        <v>41.5</v>
      </c>
      <c r="W254" s="117">
        <v>0.67013888888888884</v>
      </c>
      <c r="X254" s="96">
        <v>64.5</v>
      </c>
      <c r="Y254" s="96">
        <v>13.8</v>
      </c>
      <c r="Z254" s="155">
        <v>40.5</v>
      </c>
      <c r="AA254" s="117">
        <v>0.34583333333333333</v>
      </c>
      <c r="AB254" s="155">
        <v>65</v>
      </c>
      <c r="AC254" s="155">
        <v>17.399999999999999</v>
      </c>
      <c r="AD254" s="96"/>
      <c r="AE254" s="94"/>
      <c r="AF254" s="94"/>
      <c r="AG254" s="94"/>
      <c r="AH254" s="94"/>
      <c r="AI254" s="94"/>
      <c r="AJ254" s="94"/>
      <c r="AK254" s="94"/>
      <c r="AL254" s="94"/>
      <c r="AM254" s="94"/>
      <c r="AN254" s="94"/>
      <c r="AO254" s="94"/>
      <c r="AP254" s="94"/>
      <c r="AQ254" s="94"/>
      <c r="AR254" s="94"/>
      <c r="AS254" s="94"/>
      <c r="AT254" s="94"/>
      <c r="AU254" s="94"/>
      <c r="AV254" s="94"/>
      <c r="AW254" s="303" t="s">
        <v>620</v>
      </c>
    </row>
    <row r="255" spans="1:49" s="304" customFormat="1" x14ac:dyDescent="0.35">
      <c r="A255" s="89"/>
      <c r="B255" s="90">
        <f t="shared" si="3"/>
        <v>245</v>
      </c>
      <c r="C255" s="143">
        <v>46076</v>
      </c>
      <c r="D255" s="6"/>
      <c r="E255" s="124" t="s">
        <v>541</v>
      </c>
      <c r="F255" s="6" t="s">
        <v>538</v>
      </c>
      <c r="G255" s="6" t="s">
        <v>542</v>
      </c>
      <c r="H255" s="124" t="s">
        <v>541</v>
      </c>
      <c r="I255" s="6"/>
      <c r="J255" s="129"/>
      <c r="K255" s="129"/>
      <c r="L255" s="124" t="s">
        <v>541</v>
      </c>
      <c r="M255" s="119">
        <v>27</v>
      </c>
      <c r="N255" s="93">
        <v>69</v>
      </c>
      <c r="O255" s="6">
        <v>3</v>
      </c>
      <c r="P255" s="129">
        <v>1</v>
      </c>
      <c r="Q255" s="6">
        <v>107</v>
      </c>
      <c r="R255" s="98"/>
      <c r="S255" s="94"/>
      <c r="T255" s="94">
        <f>'3.2 Digest'!W255</f>
        <v>0</v>
      </c>
      <c r="U255" s="153">
        <v>0.33055555555555555</v>
      </c>
      <c r="V255" s="154">
        <v>39.5</v>
      </c>
      <c r="W255" s="153">
        <v>0.67013888888888884</v>
      </c>
      <c r="X255" s="91">
        <v>41</v>
      </c>
      <c r="Y255" s="91"/>
      <c r="Z255" s="154"/>
      <c r="AA255" s="153"/>
      <c r="AB255" s="154"/>
      <c r="AC255" s="154"/>
      <c r="AD255" s="91"/>
      <c r="AE255" s="94">
        <f>Table3.110[[#This Row],[Gas 8h, ml]]-Table3.110[[#This Row],[Gas 0h, ml]]</f>
        <v>1.5</v>
      </c>
      <c r="AF255" s="94"/>
      <c r="AG255" s="94"/>
      <c r="AH255" s="94"/>
      <c r="AI255" s="94"/>
      <c r="AJ255" s="94"/>
      <c r="AK255" s="94"/>
      <c r="AL255" s="94"/>
      <c r="AM255" s="94"/>
      <c r="AN255" s="94"/>
      <c r="AO255" s="94"/>
      <c r="AP255" s="94"/>
      <c r="AQ255" s="94"/>
      <c r="AR255" s="94"/>
      <c r="AS255" s="94"/>
      <c r="AT255" s="94"/>
      <c r="AU255" s="94"/>
      <c r="AV255" s="94"/>
      <c r="AW255" s="303"/>
    </row>
    <row r="256" spans="1:49" s="304" customFormat="1" x14ac:dyDescent="0.35">
      <c r="A256" s="89"/>
      <c r="B256" s="90">
        <f t="shared" si="3"/>
        <v>246</v>
      </c>
      <c r="C256" s="143">
        <v>46076</v>
      </c>
      <c r="D256" s="6"/>
      <c r="E256" s="124" t="s">
        <v>541</v>
      </c>
      <c r="F256" s="6" t="s">
        <v>538</v>
      </c>
      <c r="G256" s="6" t="s">
        <v>542</v>
      </c>
      <c r="H256" s="124" t="s">
        <v>541</v>
      </c>
      <c r="I256" s="6"/>
      <c r="J256" s="129"/>
      <c r="K256" s="129"/>
      <c r="L256" s="124" t="s">
        <v>541</v>
      </c>
      <c r="M256" s="119">
        <v>27</v>
      </c>
      <c r="N256" s="93">
        <v>69</v>
      </c>
      <c r="O256" s="6">
        <v>3</v>
      </c>
      <c r="P256" s="6">
        <v>2</v>
      </c>
      <c r="Q256" s="6">
        <v>108</v>
      </c>
      <c r="R256" s="98"/>
      <c r="S256" s="94"/>
      <c r="T256" s="94">
        <f>'3.2 Digest'!W256</f>
        <v>0</v>
      </c>
      <c r="U256" s="117">
        <v>0.33055555555555555</v>
      </c>
      <c r="V256" s="155">
        <v>40</v>
      </c>
      <c r="W256" s="117">
        <v>0.67083333333333328</v>
      </c>
      <c r="X256" s="96">
        <v>42</v>
      </c>
      <c r="Y256" s="96"/>
      <c r="Z256" s="155"/>
      <c r="AA256" s="117"/>
      <c r="AB256" s="155"/>
      <c r="AC256" s="155"/>
      <c r="AD256" s="96"/>
      <c r="AE256" s="94">
        <f>Table3.110[[#This Row],[Gas 8h, ml]]-Table3.110[[#This Row],[Gas 0h, ml]]</f>
        <v>2</v>
      </c>
      <c r="AF256" s="94"/>
      <c r="AG256" s="94"/>
      <c r="AH256" s="94"/>
      <c r="AI256" s="94"/>
      <c r="AJ256" s="94"/>
      <c r="AK256" s="94"/>
      <c r="AL256" s="94"/>
      <c r="AM256" s="94"/>
      <c r="AN256" s="94"/>
      <c r="AO256" s="94"/>
      <c r="AP256" s="94"/>
      <c r="AQ256" s="94"/>
      <c r="AR256" s="94"/>
      <c r="AS256" s="94"/>
      <c r="AT256" s="94"/>
      <c r="AU256" s="94"/>
      <c r="AV256" s="94"/>
      <c r="AW256" s="303"/>
    </row>
    <row r="257" spans="1:49" s="304" customFormat="1" x14ac:dyDescent="0.35">
      <c r="A257" s="89"/>
      <c r="B257" s="90">
        <f t="shared" si="3"/>
        <v>247</v>
      </c>
      <c r="C257" s="140">
        <v>46076</v>
      </c>
      <c r="D257" s="6" t="s">
        <v>16</v>
      </c>
      <c r="E257" s="6" t="str">
        <f>'[1]1. Information samples'!$F$32</f>
        <v>CIAT-23934</v>
      </c>
      <c r="F257" s="6" t="s">
        <v>19</v>
      </c>
      <c r="G257" s="6" t="s">
        <v>20</v>
      </c>
      <c r="H257" s="6" t="str">
        <f>'[1]1. Information samples'!$I$32</f>
        <v>Dendrolobium triangulare</v>
      </c>
      <c r="I257" s="6" t="s">
        <v>22</v>
      </c>
      <c r="J257" s="129" t="s">
        <v>23</v>
      </c>
      <c r="K257" s="129" t="s">
        <v>24</v>
      </c>
      <c r="L257" s="6" t="str">
        <f>'[1]1. Information samples'!$E$32</f>
        <v>F251744</v>
      </c>
      <c r="M257" s="119">
        <v>27</v>
      </c>
      <c r="N257" s="93">
        <v>69</v>
      </c>
      <c r="O257" s="6">
        <v>3</v>
      </c>
      <c r="P257" s="129">
        <v>1</v>
      </c>
      <c r="Q257" s="6">
        <v>109</v>
      </c>
      <c r="R257" s="98">
        <v>0.5</v>
      </c>
      <c r="S257" s="94">
        <f>((Table3.110[[#This Row],[Sample weight, g]]*'2.1. DM'!Q43)/100)*1000</f>
        <v>470.85879972016795</v>
      </c>
      <c r="T257" s="94">
        <f>'3.2 Digest'!W257</f>
        <v>135.75879972016799</v>
      </c>
      <c r="U257" s="153">
        <v>0.33055555555555555</v>
      </c>
      <c r="V257" s="154">
        <v>41.5</v>
      </c>
      <c r="W257" s="153">
        <v>0.67083333333333328</v>
      </c>
      <c r="X257" s="91">
        <v>72</v>
      </c>
      <c r="Y257" s="91">
        <v>13.8</v>
      </c>
      <c r="Z257" s="154">
        <v>40</v>
      </c>
      <c r="AA257" s="153">
        <v>0.34583333333333333</v>
      </c>
      <c r="AB257" s="154">
        <v>65.5</v>
      </c>
      <c r="AC257" s="154">
        <v>16.8</v>
      </c>
      <c r="AD257" s="91"/>
      <c r="AE257" s="94">
        <f>Table3.110[[#This Row],[Gas 8h, ml]]-Table3.110[[#This Row],[Gas 0h, ml]]</f>
        <v>30.5</v>
      </c>
      <c r="AF257" s="94">
        <f>Table3.110[[#This Row],[Gas 24h, ml]]-Table3.110[[#This Row],[V8 Push back, ml]]</f>
        <v>25.5</v>
      </c>
      <c r="AG257" s="94">
        <f>Table3.110[[#This Row],[GP 8h, ml]]-(AVERAGE(AE$221,AE$222,AE$255,AE$256,AE$291,AE$292))*$AG$8</f>
        <v>29.024988739845064</v>
      </c>
      <c r="AH257" s="94">
        <f>Table3.110[[#This Row],[GP 8-24h, ml]]-(AVERAGE(AF$221,AF$222,AF$255,AF$256,AF$291,AF$292))*$AG$8</f>
        <v>23.508734798790837</v>
      </c>
      <c r="AI257" s="94">
        <f>Table3.110[[#This Row],[Net gas 8-24h, ml]]+Table3.110[[#This Row],[Net gas 8h, ml]]</f>
        <v>52.533723538635897</v>
      </c>
      <c r="AJ257" s="94">
        <f>Table3.110[[#This Row],[Net gas 8h, ml]]*Table3.110[[#This Row],[CH4 8h %]]%</f>
        <v>4.0054484460986188</v>
      </c>
      <c r="AK257" s="94">
        <f>Table3.110[[#This Row],[Net gas 8-24h, ml]]*Table3.110[[#This Row],[CH4 24h, %]]%</f>
        <v>3.9494674461968606</v>
      </c>
      <c r="AL257" s="94">
        <f>Table3.110[[#This Row],[CH4 8-24h, ml]]+Table3.110[[#This Row],[CH4 8h, ml]]</f>
        <v>7.9549158922954799</v>
      </c>
      <c r="AM257" s="94">
        <f>(Table3.110[[#This Row],[Net gas 24h, ml]]/Table3.110[[#This Row],[DM Incubated, mg]])*1000</f>
        <v>111.57001540558818</v>
      </c>
      <c r="AN257" s="94">
        <f>'3.2 Digest'!X257</f>
        <v>28.832167902744864</v>
      </c>
      <c r="AO257" s="94">
        <f>Table3.110[[#This Row],[Digested feed, mg]]/Table3.110[[#This Row],[Net gas 24h, ml]]</f>
        <v>2.5842219164290583</v>
      </c>
      <c r="AP257" s="94">
        <f>Table3.110[[#This Row],[CH4 8h, ml]]/Table3.110[[#This Row],[Net gas 8h, ml]]%</f>
        <v>13.799999999999999</v>
      </c>
      <c r="AQ257" s="94">
        <f>Table3.110[[#This Row],[CH4 24h, ml]]/Table3.110[[#This Row],[Net gas 24h, ml]]%</f>
        <v>15.142493919063325</v>
      </c>
      <c r="AR257" s="94">
        <f>Table3.110[[#This Row],[CH4 24h, ml]]/Table3.110[[#This Row],[DM Incubated, mg]]*1000</f>
        <v>16.894482798289204</v>
      </c>
      <c r="AS257" s="94">
        <f>Table3.110[[#This Row],[CH4 24h, ml]]/Table3.110[[#This Row],[Digested feed, mg]]*1000</f>
        <v>58.595950381798474</v>
      </c>
      <c r="AT257" s="94">
        <f>Table3.110[[#This Row],[CH4 24h, ml]]/'3.2 Digest'!AA257</f>
        <v>-0.36724181468626504</v>
      </c>
      <c r="AU257" s="94">
        <f>((Table3.110[[#This Row],[CH4 24h, ml]]/28.9)*16.04)/Table3.110[[#This Row],[DM Incubated, mg]]*1000</f>
        <v>9.3767302451404451</v>
      </c>
      <c r="AV257" s="94">
        <f>((Table3.110[[#This Row],[CH4 24h, ml]]/28.9)*16.04)/Table3.110[[#This Row],[Digested feed, mg]]*1000</f>
        <v>32.521766232666003</v>
      </c>
      <c r="AW257" s="303"/>
    </row>
    <row r="258" spans="1:49" s="304" customFormat="1" x14ac:dyDescent="0.35">
      <c r="A258" s="89"/>
      <c r="B258" s="90">
        <f t="shared" si="3"/>
        <v>248</v>
      </c>
      <c r="C258" s="140">
        <v>46076</v>
      </c>
      <c r="D258" s="6" t="s">
        <v>16</v>
      </c>
      <c r="E258" s="6" t="str">
        <f>'[1]1. Information samples'!$F$32</f>
        <v>CIAT-23934</v>
      </c>
      <c r="F258" s="6" t="s">
        <v>19</v>
      </c>
      <c r="G258" s="6" t="s">
        <v>20</v>
      </c>
      <c r="H258" s="6" t="str">
        <f>'[1]1. Information samples'!$I$32</f>
        <v>Dendrolobium triangulare</v>
      </c>
      <c r="I258" s="6" t="s">
        <v>22</v>
      </c>
      <c r="J258" s="129" t="s">
        <v>23</v>
      </c>
      <c r="K258" s="129" t="s">
        <v>24</v>
      </c>
      <c r="L258" s="6" t="str">
        <f>'[1]1. Information samples'!$E$32</f>
        <v>F251744</v>
      </c>
      <c r="M258" s="119">
        <v>27</v>
      </c>
      <c r="N258" s="93">
        <v>69</v>
      </c>
      <c r="O258" s="6">
        <v>3</v>
      </c>
      <c r="P258" s="129">
        <v>2</v>
      </c>
      <c r="Q258" s="6">
        <v>110</v>
      </c>
      <c r="R258" s="98">
        <v>0.50060000000000004</v>
      </c>
      <c r="S258" s="94">
        <f>((Table3.110[[#This Row],[Sample weight, g]]*'2.1. DM'!Q43)/100)*1000</f>
        <v>471.4238302798322</v>
      </c>
      <c r="T258" s="94">
        <f>'3.2 Digest'!W258</f>
        <v>130.12383027983213</v>
      </c>
      <c r="U258" s="117">
        <v>0.33124999999999999</v>
      </c>
      <c r="V258" s="155">
        <v>41.5</v>
      </c>
      <c r="W258" s="117">
        <v>0.67083333333333328</v>
      </c>
      <c r="X258" s="96">
        <v>72.5</v>
      </c>
      <c r="Y258" s="96">
        <v>13.9</v>
      </c>
      <c r="Z258" s="155">
        <v>40.5</v>
      </c>
      <c r="AA258" s="117">
        <v>0.34652777777777777</v>
      </c>
      <c r="AB258" s="155">
        <v>61</v>
      </c>
      <c r="AC258" s="155">
        <v>16.8</v>
      </c>
      <c r="AD258" s="96"/>
      <c r="AE258" s="94">
        <f>Table3.110[[#This Row],[Gas 8h, ml]]-Table3.110[[#This Row],[Gas 0h, ml]]</f>
        <v>31</v>
      </c>
      <c r="AF258" s="94">
        <f>Table3.110[[#This Row],[Gas 24h, ml]]-Table3.110[[#This Row],[V8 Push back, ml]]</f>
        <v>20.5</v>
      </c>
      <c r="AG258" s="94">
        <f>Table3.110[[#This Row],[GP 8h, ml]]-(AVERAGE(AE$221,AE$222,AE$255,AE$256,AE$291,AE$292))*$AG$8</f>
        <v>29.524988739845064</v>
      </c>
      <c r="AH258" s="94">
        <f>Table3.110[[#This Row],[GP 8-24h, ml]]-(AVERAGE(AF$221,AF$222,AF$255,AF$256,AF$291,AF$292))*$AG$8</f>
        <v>18.508734798790837</v>
      </c>
      <c r="AI258" s="94">
        <f>Table3.110[[#This Row],[Net gas 8-24h, ml]]+Table3.110[[#This Row],[Net gas 8h, ml]]</f>
        <v>48.033723538635897</v>
      </c>
      <c r="AJ258" s="94">
        <f>Table3.110[[#This Row],[Net gas 8h, ml]]*Table3.110[[#This Row],[CH4 8h %]]%</f>
        <v>4.1039734348384647</v>
      </c>
      <c r="AK258" s="94">
        <f>Table3.110[[#This Row],[Net gas 8-24h, ml]]*Table3.110[[#This Row],[CH4 24h, %]]%</f>
        <v>3.1094674461968608</v>
      </c>
      <c r="AL258" s="94">
        <f>Table3.110[[#This Row],[CH4 8-24h, ml]]+Table3.110[[#This Row],[CH4 8h, ml]]</f>
        <v>7.213440881035325</v>
      </c>
      <c r="AM258" s="94">
        <f>(Table3.110[[#This Row],[Net gas 24h, ml]]/Table3.110[[#This Row],[DM Incubated, mg]])*1000</f>
        <v>101.89074131047552</v>
      </c>
      <c r="AN258" s="94">
        <f>'3.2 Digest'!X258</f>
        <v>27.602302200674071</v>
      </c>
      <c r="AO258" s="94">
        <f>Table3.110[[#This Row],[Digested feed, mg]]/Table3.110[[#This Row],[Net gas 24h, ml]]</f>
        <v>2.7090098516965297</v>
      </c>
      <c r="AP258" s="94">
        <f>Table3.110[[#This Row],[CH4 8h, ml]]/Table3.110[[#This Row],[Net gas 8h, ml]]%</f>
        <v>13.900000000000002</v>
      </c>
      <c r="AQ258" s="94">
        <f>Table3.110[[#This Row],[CH4 24h, ml]]/Table3.110[[#This Row],[Net gas 24h, ml]]%</f>
        <v>15.017450969074254</v>
      </c>
      <c r="AR258" s="94">
        <f>Table3.110[[#This Row],[CH4 24h, ml]]/Table3.110[[#This Row],[DM Incubated, mg]]*1000</f>
        <v>15.301392118326948</v>
      </c>
      <c r="AS258" s="94">
        <f>Table3.110[[#This Row],[CH4 24h, ml]]/Table3.110[[#This Row],[Digested feed, mg]]*1000</f>
        <v>55.435202495367477</v>
      </c>
      <c r="AT258" s="94">
        <f>Table3.110[[#This Row],[CH4 24h, ml]]/'3.2 Digest'!AA258</f>
        <v>-0.30354872341637651</v>
      </c>
      <c r="AU258" s="94">
        <f>((Table3.110[[#This Row],[CH4 24h, ml]]/28.9)*16.04)/Table3.110[[#This Row],[DM Incubated, mg]]*1000</f>
        <v>8.4925373556389019</v>
      </c>
      <c r="AV258" s="94">
        <f>((Table3.110[[#This Row],[CH4 24h, ml]]/28.9)*16.04)/Table3.110[[#This Row],[Digested feed, mg]]*1000</f>
        <v>30.767496471477319</v>
      </c>
      <c r="AW258" s="303"/>
    </row>
    <row r="259" spans="1:49" s="304" customFormat="1" x14ac:dyDescent="0.35">
      <c r="A259" s="89"/>
      <c r="B259" s="90">
        <f t="shared" si="3"/>
        <v>249</v>
      </c>
      <c r="C259" s="140">
        <v>46076</v>
      </c>
      <c r="D259" s="6" t="s">
        <v>16</v>
      </c>
      <c r="E259" s="6" t="str">
        <f>'[1]1. Information samples'!$F$33</f>
        <v>CIAT-23936</v>
      </c>
      <c r="F259" s="6" t="s">
        <v>19</v>
      </c>
      <c r="G259" s="6" t="s">
        <v>20</v>
      </c>
      <c r="H259" s="6" t="str">
        <f>'[1]1. Information samples'!$I$33</f>
        <v>Dendrolobium triangulare</v>
      </c>
      <c r="I259" s="6" t="s">
        <v>22</v>
      </c>
      <c r="J259" s="129" t="s">
        <v>23</v>
      </c>
      <c r="K259" s="129" t="s">
        <v>24</v>
      </c>
      <c r="L259" s="6" t="str">
        <f>'[1]1. Information samples'!$E$33</f>
        <v>F251745</v>
      </c>
      <c r="M259" s="119">
        <v>27</v>
      </c>
      <c r="N259" s="93">
        <v>69</v>
      </c>
      <c r="O259" s="6">
        <v>3</v>
      </c>
      <c r="P259" s="129">
        <v>1</v>
      </c>
      <c r="Q259" s="6">
        <v>111</v>
      </c>
      <c r="R259" s="98">
        <v>0.50009999999999999</v>
      </c>
      <c r="S259" s="94">
        <f>((Table3.110[[#This Row],[Sample weight, g]]*'2.1. DM'!Q45)/100)*1000</f>
        <v>470.38688287027776</v>
      </c>
      <c r="T259" s="94">
        <f>'3.2 Digest'!W259</f>
        <v>46.686882870277884</v>
      </c>
      <c r="U259" s="117">
        <v>0.33124999999999999</v>
      </c>
      <c r="V259" s="155">
        <v>42</v>
      </c>
      <c r="W259" s="117">
        <v>0.67152777777777772</v>
      </c>
      <c r="X259" s="96">
        <v>67.5</v>
      </c>
      <c r="Y259" s="96">
        <v>13.3</v>
      </c>
      <c r="Z259" s="155">
        <v>41.5</v>
      </c>
      <c r="AA259" s="117">
        <v>0.34652777777777777</v>
      </c>
      <c r="AB259" s="155">
        <v>63.5</v>
      </c>
      <c r="AC259" s="155">
        <v>16</v>
      </c>
      <c r="AD259" s="96"/>
      <c r="AE259" s="94"/>
      <c r="AF259" s="94"/>
      <c r="AG259" s="94"/>
      <c r="AH259" s="94"/>
      <c r="AI259" s="94"/>
      <c r="AJ259" s="94"/>
      <c r="AK259" s="94"/>
      <c r="AL259" s="94"/>
      <c r="AM259" s="94"/>
      <c r="AN259" s="94"/>
      <c r="AO259" s="94"/>
      <c r="AP259" s="94"/>
      <c r="AQ259" s="94"/>
      <c r="AR259" s="94"/>
      <c r="AS259" s="94"/>
      <c r="AT259" s="94"/>
      <c r="AU259" s="94"/>
      <c r="AV259" s="94"/>
      <c r="AW259" s="303" t="s">
        <v>621</v>
      </c>
    </row>
    <row r="260" spans="1:49" s="304" customFormat="1" x14ac:dyDescent="0.35">
      <c r="A260" s="89"/>
      <c r="B260" s="90">
        <f t="shared" si="3"/>
        <v>250</v>
      </c>
      <c r="C260" s="140">
        <v>46076</v>
      </c>
      <c r="D260" s="6" t="s">
        <v>16</v>
      </c>
      <c r="E260" s="6" t="str">
        <f>'[1]1. Information samples'!$F$33</f>
        <v>CIAT-23936</v>
      </c>
      <c r="F260" s="6" t="s">
        <v>19</v>
      </c>
      <c r="G260" s="6" t="s">
        <v>20</v>
      </c>
      <c r="H260" s="6" t="str">
        <f>'[1]1. Information samples'!$I$33</f>
        <v>Dendrolobium triangulare</v>
      </c>
      <c r="I260" s="6" t="s">
        <v>22</v>
      </c>
      <c r="J260" s="129" t="s">
        <v>23</v>
      </c>
      <c r="K260" s="129" t="s">
        <v>24</v>
      </c>
      <c r="L260" s="6" t="str">
        <f>'[1]1. Information samples'!$E$33</f>
        <v>F251745</v>
      </c>
      <c r="M260" s="119">
        <v>27</v>
      </c>
      <c r="N260" s="93">
        <v>69</v>
      </c>
      <c r="O260" s="6">
        <v>3</v>
      </c>
      <c r="P260" s="129">
        <v>2</v>
      </c>
      <c r="Q260" s="6">
        <v>112</v>
      </c>
      <c r="R260" s="98">
        <v>0.50060000000000004</v>
      </c>
      <c r="S260" s="94">
        <f>((Table3.110[[#This Row],[Sample weight, g]]*'2.1. DM'!Q45)/100)*1000</f>
        <v>470.85717569458325</v>
      </c>
      <c r="T260" s="94">
        <f>'3.2 Digest'!W260</f>
        <v>101.35717569458319</v>
      </c>
      <c r="U260" s="153">
        <v>0.33263888888888887</v>
      </c>
      <c r="V260" s="154">
        <v>41.5</v>
      </c>
      <c r="W260" s="153">
        <v>0.67152777777777772</v>
      </c>
      <c r="X260" s="91">
        <v>66.5</v>
      </c>
      <c r="Y260" s="91">
        <v>13.3</v>
      </c>
      <c r="Z260" s="154">
        <v>40</v>
      </c>
      <c r="AA260" s="153">
        <v>0.34652777777777777</v>
      </c>
      <c r="AB260" s="154">
        <v>60.5</v>
      </c>
      <c r="AC260" s="154">
        <v>17.3</v>
      </c>
      <c r="AD260" s="91" t="s">
        <v>550</v>
      </c>
      <c r="AE260" s="94">
        <f>Table3.110[[#This Row],[Gas 8h, ml]]-Table3.110[[#This Row],[Gas 0h, ml]]</f>
        <v>25</v>
      </c>
      <c r="AF260" s="94">
        <f>Table3.110[[#This Row],[Gas 24h, ml]]-Table3.110[[#This Row],[V8 Push back, ml]]</f>
        <v>20.5</v>
      </c>
      <c r="AG260" s="94">
        <f>Table3.110[[#This Row],[GP 8h, ml]]-(AVERAGE(AE$221,AE$222,AE$255,AE$256,AE$291,AE$292))*$AG$8</f>
        <v>23.524988739845064</v>
      </c>
      <c r="AH260" s="94">
        <f>Table3.110[[#This Row],[GP 8-24h, ml]]-(AVERAGE(AF$221,AF$222,AF$255,AF$256,AF$291,AF$292))*$AG$8</f>
        <v>18.508734798790837</v>
      </c>
      <c r="AI260" s="94">
        <f>Table3.110[[#This Row],[Net gas 8-24h, ml]]+Table3.110[[#This Row],[Net gas 8h, ml]]</f>
        <v>42.033723538635897</v>
      </c>
      <c r="AJ260" s="94">
        <f>Table3.110[[#This Row],[Net gas 8h, ml]]*Table3.110[[#This Row],[CH4 8h %]]%</f>
        <v>3.1288235023993938</v>
      </c>
      <c r="AK260" s="94">
        <f>Table3.110[[#This Row],[Net gas 8-24h, ml]]*Table3.110[[#This Row],[CH4 24h, %]]%</f>
        <v>3.2020111201908148</v>
      </c>
      <c r="AL260" s="94">
        <f>Table3.110[[#This Row],[CH4 8-24h, ml]]+Table3.110[[#This Row],[CH4 8h, ml]]</f>
        <v>6.3308346225902081</v>
      </c>
      <c r="AM260" s="94">
        <f>(Table3.110[[#This Row],[Net gas 24h, ml]]/Table3.110[[#This Row],[DM Incubated, mg]])*1000</f>
        <v>89.270644493481498</v>
      </c>
      <c r="AN260" s="94">
        <f>'3.2 Digest'!X260</f>
        <v>21.526097705756854</v>
      </c>
      <c r="AO260" s="94">
        <f>Table3.110[[#This Row],[Digested feed, mg]]/Table3.110[[#This Row],[Net gas 24h, ml]]</f>
        <v>2.4113299313447523</v>
      </c>
      <c r="AP260" s="94">
        <f>Table3.110[[#This Row],[CH4 8h, ml]]/Table3.110[[#This Row],[Net gas 8h, ml]]%</f>
        <v>13.3</v>
      </c>
      <c r="AQ260" s="94">
        <f>Table3.110[[#This Row],[CH4 24h, ml]]/Table3.110[[#This Row],[Net gas 24h, ml]]%</f>
        <v>15.061322408829975</v>
      </c>
      <c r="AR260" s="94">
        <f>Table3.110[[#This Row],[CH4 24h, ml]]/Table3.110[[#This Row],[DM Incubated, mg]]*1000</f>
        <v>13.445339583603669</v>
      </c>
      <c r="AS260" s="94">
        <f>Table3.110[[#This Row],[CH4 24h, ml]]/Table3.110[[#This Row],[Digested feed, mg]]*1000</f>
        <v>62.460645526141526</v>
      </c>
      <c r="AT260" s="94">
        <f>Table3.110[[#This Row],[CH4 24h, ml]]/'3.2 Digest'!AA260</f>
        <v>-0.23208664487605846</v>
      </c>
      <c r="AU260" s="94">
        <f>((Table3.110[[#This Row],[CH4 24h, ml]]/28.9)*16.04)/Table3.110[[#This Row],[DM Incubated, mg]]*1000</f>
        <v>7.4623960872319328</v>
      </c>
      <c r="AV260" s="94">
        <f>((Table3.110[[#This Row],[CH4 24h, ml]]/28.9)*16.04)/Table3.110[[#This Row],[Digested feed, mg]]*1000</f>
        <v>34.666738901014192</v>
      </c>
      <c r="AW260" s="303"/>
    </row>
    <row r="261" spans="1:49" s="304" customFormat="1" x14ac:dyDescent="0.35">
      <c r="A261" s="89"/>
      <c r="B261" s="90">
        <f t="shared" si="3"/>
        <v>251</v>
      </c>
      <c r="C261" s="140">
        <v>46076</v>
      </c>
      <c r="D261" s="6" t="s">
        <v>16</v>
      </c>
      <c r="E261" s="6" t="str">
        <f>'[1]1. Information samples'!$F$34</f>
        <v>CIAT-33119</v>
      </c>
      <c r="F261" s="6" t="s">
        <v>19</v>
      </c>
      <c r="G261" s="6" t="s">
        <v>20</v>
      </c>
      <c r="H261" s="6" t="str">
        <f>'[1]1. Information samples'!$I$34</f>
        <v>Dendrolobium triangulare</v>
      </c>
      <c r="I261" s="6" t="s">
        <v>22</v>
      </c>
      <c r="J261" s="129" t="s">
        <v>23</v>
      </c>
      <c r="K261" s="129" t="s">
        <v>24</v>
      </c>
      <c r="L261" s="6" t="str">
        <f>'[1]1. Information samples'!$E$34</f>
        <v>F251746</v>
      </c>
      <c r="M261" s="119">
        <v>27</v>
      </c>
      <c r="N261" s="93">
        <v>69</v>
      </c>
      <c r="O261" s="6">
        <v>3</v>
      </c>
      <c r="P261" s="129">
        <v>1</v>
      </c>
      <c r="Q261" s="6">
        <v>113</v>
      </c>
      <c r="R261" s="98">
        <v>0.5</v>
      </c>
      <c r="S261" s="94">
        <f>((Table3.110[[#This Row],[Sample weight, g]]*'2.1. DM'!Q47)/100)*1000</f>
        <v>476.43554724907716</v>
      </c>
      <c r="T261" s="94">
        <f>'3.2 Digest'!W261</f>
        <v>130.23554724907711</v>
      </c>
      <c r="U261" s="153">
        <v>0.33194444444444443</v>
      </c>
      <c r="V261" s="154">
        <v>41.5</v>
      </c>
      <c r="W261" s="153">
        <v>0.67222222222222228</v>
      </c>
      <c r="X261" s="91">
        <v>70</v>
      </c>
      <c r="Y261" s="91">
        <v>14</v>
      </c>
      <c r="Z261" s="154">
        <v>40.5</v>
      </c>
      <c r="AA261" s="153">
        <v>0.34722222222222221</v>
      </c>
      <c r="AB261" s="154">
        <v>70.5</v>
      </c>
      <c r="AC261" s="154">
        <v>17.899999999999999</v>
      </c>
      <c r="AD261" s="91"/>
      <c r="AE261" s="94">
        <f>Table3.110[[#This Row],[Gas 8h, ml]]-Table3.110[[#This Row],[Gas 0h, ml]]</f>
        <v>28.5</v>
      </c>
      <c r="AF261" s="94">
        <f>Table3.110[[#This Row],[Gas 24h, ml]]-Table3.110[[#This Row],[V8 Push back, ml]]</f>
        <v>30</v>
      </c>
      <c r="AG261" s="94"/>
      <c r="AH261" s="94"/>
      <c r="AI261" s="94"/>
      <c r="AJ261" s="94"/>
      <c r="AK261" s="94"/>
      <c r="AL261" s="94"/>
      <c r="AM261" s="94"/>
      <c r="AN261" s="94"/>
      <c r="AO261" s="94"/>
      <c r="AP261" s="94"/>
      <c r="AQ261" s="94"/>
      <c r="AR261" s="94"/>
      <c r="AS261" s="94"/>
      <c r="AT261" s="94"/>
      <c r="AU261" s="94"/>
      <c r="AV261" s="94"/>
      <c r="AW261" s="303" t="s">
        <v>622</v>
      </c>
    </row>
    <row r="262" spans="1:49" s="304" customFormat="1" x14ac:dyDescent="0.35">
      <c r="A262" s="89"/>
      <c r="B262" s="90">
        <f t="shared" si="3"/>
        <v>252</v>
      </c>
      <c r="C262" s="140">
        <v>46076</v>
      </c>
      <c r="D262" s="6" t="s">
        <v>16</v>
      </c>
      <c r="E262" s="6" t="str">
        <f>'[1]1. Information samples'!$F$34</f>
        <v>CIAT-33119</v>
      </c>
      <c r="F262" s="6" t="s">
        <v>19</v>
      </c>
      <c r="G262" s="6" t="s">
        <v>20</v>
      </c>
      <c r="H262" s="6" t="str">
        <f>'[1]1. Information samples'!$I$34</f>
        <v>Dendrolobium triangulare</v>
      </c>
      <c r="I262" s="6" t="s">
        <v>22</v>
      </c>
      <c r="J262" s="129" t="s">
        <v>23</v>
      </c>
      <c r="K262" s="129" t="s">
        <v>24</v>
      </c>
      <c r="L262" s="6" t="str">
        <f>'[1]1. Information samples'!$E$34</f>
        <v>F251746</v>
      </c>
      <c r="M262" s="119">
        <v>27</v>
      </c>
      <c r="N262" s="93">
        <v>69</v>
      </c>
      <c r="O262" s="6">
        <v>3</v>
      </c>
      <c r="P262" s="129">
        <v>2</v>
      </c>
      <c r="Q262" s="6">
        <v>114</v>
      </c>
      <c r="R262" s="98">
        <v>0.50029999999999997</v>
      </c>
      <c r="S262" s="94">
        <f>((Table3.110[[#This Row],[Sample weight, g]]*'2.1. DM'!Q47)/100)*1000</f>
        <v>476.72140857742659</v>
      </c>
      <c r="T262" s="94">
        <f>'3.2 Digest'!W262</f>
        <v>165.8214085774265</v>
      </c>
      <c r="U262" s="117">
        <v>0.33263888888888887</v>
      </c>
      <c r="V262" s="155">
        <v>42</v>
      </c>
      <c r="W262" s="117">
        <v>0.67291666666666672</v>
      </c>
      <c r="X262" s="96">
        <v>70.5</v>
      </c>
      <c r="Y262" s="96">
        <v>13.5</v>
      </c>
      <c r="Z262" s="155">
        <v>40.5</v>
      </c>
      <c r="AA262" s="117">
        <v>0.34722222222222221</v>
      </c>
      <c r="AB262" s="155">
        <v>71.5</v>
      </c>
      <c r="AC262" s="155">
        <v>17.600000000000001</v>
      </c>
      <c r="AD262" s="96"/>
      <c r="AE262" s="94">
        <f>Table3.110[[#This Row],[Gas 8h, ml]]-Table3.110[[#This Row],[Gas 0h, ml]]</f>
        <v>28.5</v>
      </c>
      <c r="AF262" s="94">
        <f>Table3.110[[#This Row],[Gas 24h, ml]]-Table3.110[[#This Row],[V8 Push back, ml]]</f>
        <v>31</v>
      </c>
      <c r="AG262" s="94"/>
      <c r="AH262" s="94"/>
      <c r="AI262" s="94"/>
      <c r="AJ262" s="94"/>
      <c r="AK262" s="94"/>
      <c r="AL262" s="94"/>
      <c r="AM262" s="94"/>
      <c r="AN262" s="94"/>
      <c r="AO262" s="94"/>
      <c r="AP262" s="94"/>
      <c r="AQ262" s="94"/>
      <c r="AR262" s="94"/>
      <c r="AS262" s="94"/>
      <c r="AT262" s="94"/>
      <c r="AU262" s="94"/>
      <c r="AV262" s="94"/>
      <c r="AW262" s="303" t="s">
        <v>623</v>
      </c>
    </row>
    <row r="263" spans="1:49" s="304" customFormat="1" x14ac:dyDescent="0.35">
      <c r="A263" s="89"/>
      <c r="B263" s="90">
        <f t="shared" si="3"/>
        <v>253</v>
      </c>
      <c r="C263" s="140">
        <v>46076</v>
      </c>
      <c r="D263" s="6" t="s">
        <v>16</v>
      </c>
      <c r="E263" s="6" t="str">
        <f>'[1]1. Information samples'!$F$35</f>
        <v>CIAT-33383</v>
      </c>
      <c r="F263" s="6" t="s">
        <v>19</v>
      </c>
      <c r="G263" s="6" t="s">
        <v>67</v>
      </c>
      <c r="H263" s="6" t="str">
        <f>'[1]1. Information samples'!$I$35</f>
        <v>Dendrolobium sp.</v>
      </c>
      <c r="I263" s="6" t="s">
        <v>22</v>
      </c>
      <c r="J263" s="129" t="s">
        <v>23</v>
      </c>
      <c r="K263" s="129" t="s">
        <v>24</v>
      </c>
      <c r="L263" s="6" t="str">
        <f>'[1]1. Information samples'!$E$35</f>
        <v>F251747</v>
      </c>
      <c r="M263" s="119">
        <v>27</v>
      </c>
      <c r="N263" s="93">
        <v>69</v>
      </c>
      <c r="O263" s="6">
        <v>3</v>
      </c>
      <c r="P263" s="129">
        <v>1</v>
      </c>
      <c r="Q263" s="6">
        <v>115</v>
      </c>
      <c r="R263" s="98">
        <v>0.50029999999999997</v>
      </c>
      <c r="S263" s="94">
        <f>((Table3.110[[#This Row],[Sample weight, g]]*'2.1. DM'!Q49)/100)*1000</f>
        <v>473.64182500000027</v>
      </c>
      <c r="T263" s="94">
        <f>'3.2 Digest'!W263</f>
        <v>150.04182500000024</v>
      </c>
      <c r="U263" s="117">
        <v>0.33263888888888887</v>
      </c>
      <c r="V263" s="155">
        <v>42</v>
      </c>
      <c r="W263" s="117">
        <v>0.67291666666666672</v>
      </c>
      <c r="X263" s="96">
        <v>67.5</v>
      </c>
      <c r="Y263" s="96">
        <v>13.8</v>
      </c>
      <c r="Z263" s="155">
        <v>41.5</v>
      </c>
      <c r="AA263" s="117">
        <v>0.34791666666666665</v>
      </c>
      <c r="AB263" s="155">
        <v>70</v>
      </c>
      <c r="AC263" s="155">
        <v>16.7</v>
      </c>
      <c r="AD263" s="96"/>
      <c r="AE263" s="94">
        <f>Table3.110[[#This Row],[Gas 8h, ml]]-Table3.110[[#This Row],[Gas 0h, ml]]</f>
        <v>25.5</v>
      </c>
      <c r="AF263" s="94">
        <f>Table3.110[[#This Row],[Gas 24h, ml]]-Table3.110[[#This Row],[V8 Push back, ml]]</f>
        <v>28.5</v>
      </c>
      <c r="AG263" s="94">
        <f>Table3.110[[#This Row],[GP 8h, ml]]-(AVERAGE(AE$221,AE$222,AE$255,AE$256,AE$291,AE$292))*$AG$8</f>
        <v>24.024988739845064</v>
      </c>
      <c r="AH263" s="94">
        <f>Table3.110[[#This Row],[GP 8-24h, ml]]-(AVERAGE(AF$221,AF$222,AF$255,AF$256,AF$291,AF$292))*$AG$8</f>
        <v>26.508734798790837</v>
      </c>
      <c r="AI263" s="94">
        <f>Table3.110[[#This Row],[Net gas 8-24h, ml]]+Table3.110[[#This Row],[Net gas 8h, ml]]</f>
        <v>50.533723538635897</v>
      </c>
      <c r="AJ263" s="94">
        <f>Table3.110[[#This Row],[Net gas 8h, ml]]*Table3.110[[#This Row],[CH4 8h %]]%</f>
        <v>3.3154484460986189</v>
      </c>
      <c r="AK263" s="94">
        <f>Table3.110[[#This Row],[Net gas 8-24h, ml]]*Table3.110[[#This Row],[CH4 24h, %]]%</f>
        <v>4.4269587113980693</v>
      </c>
      <c r="AL263" s="94">
        <f>Table3.110[[#This Row],[CH4 8-24h, ml]]+Table3.110[[#This Row],[CH4 8h, ml]]</f>
        <v>7.7424071574966877</v>
      </c>
      <c r="AM263" s="94">
        <f>(Table3.110[[#This Row],[Net gas 24h, ml]]/Table3.110[[#This Row],[DM Incubated, mg]])*1000</f>
        <v>106.69185209442993</v>
      </c>
      <c r="AN263" s="94">
        <f>'3.2 Digest'!X263</f>
        <v>31.678330983544399</v>
      </c>
      <c r="AO263" s="94">
        <f>Table3.110[[#This Row],[Digested feed, mg]]/Table3.110[[#This Row],[Net gas 24h, ml]]</f>
        <v>2.9691424754260343</v>
      </c>
      <c r="AP263" s="94">
        <f>Table3.110[[#This Row],[CH4 8h, ml]]/Table3.110[[#This Row],[Net gas 8h, ml]]%</f>
        <v>13.8</v>
      </c>
      <c r="AQ263" s="94">
        <f>Table3.110[[#This Row],[CH4 24h, ml]]/Table3.110[[#This Row],[Net gas 24h, ml]]%</f>
        <v>15.321267888714312</v>
      </c>
      <c r="AR263" s="94">
        <f>Table3.110[[#This Row],[CH4 24h, ml]]/Table3.110[[#This Row],[DM Incubated, mg]]*1000</f>
        <v>16.346544474818462</v>
      </c>
      <c r="AS263" s="94">
        <f>Table3.110[[#This Row],[CH4 24h, ml]]/Table3.110[[#This Row],[Digested feed, mg]]*1000</f>
        <v>51.601659453933429</v>
      </c>
      <c r="AT263" s="94">
        <f>Table3.110[[#This Row],[CH4 24h, ml]]/'3.2 Digest'!AA263</f>
        <v>-0.54027101577754377</v>
      </c>
      <c r="AU263" s="94">
        <f>((Table3.110[[#This Row],[CH4 24h, ml]]/28.9)*16.04)/Table3.110[[#This Row],[DM Incubated, mg]]*1000</f>
        <v>9.0726149957123923</v>
      </c>
      <c r="AV263" s="94">
        <f>((Table3.110[[#This Row],[CH4 24h, ml]]/28.9)*16.04)/Table3.110[[#This Row],[Digested feed, mg]]*1000</f>
        <v>28.639813759207343</v>
      </c>
      <c r="AW263" s="303"/>
    </row>
    <row r="264" spans="1:49" s="304" customFormat="1" x14ac:dyDescent="0.35">
      <c r="A264" s="89"/>
      <c r="B264" s="90">
        <f t="shared" si="3"/>
        <v>254</v>
      </c>
      <c r="C264" s="140">
        <v>46076</v>
      </c>
      <c r="D264" s="6" t="s">
        <v>16</v>
      </c>
      <c r="E264" s="6" t="str">
        <f>'[1]1. Information samples'!$F$35</f>
        <v>CIAT-33383</v>
      </c>
      <c r="F264" s="6" t="s">
        <v>19</v>
      </c>
      <c r="G264" s="6" t="s">
        <v>67</v>
      </c>
      <c r="H264" s="6" t="str">
        <f>'[1]1. Information samples'!$I$35</f>
        <v>Dendrolobium sp.</v>
      </c>
      <c r="I264" s="6" t="s">
        <v>22</v>
      </c>
      <c r="J264" s="129" t="s">
        <v>23</v>
      </c>
      <c r="K264" s="129" t="s">
        <v>24</v>
      </c>
      <c r="L264" s="6" t="str">
        <f>'[1]1. Information samples'!$E$35</f>
        <v>F251747</v>
      </c>
      <c r="M264" s="119">
        <v>27</v>
      </c>
      <c r="N264" s="93">
        <v>69</v>
      </c>
      <c r="O264" s="6">
        <v>3</v>
      </c>
      <c r="P264" s="129">
        <v>2</v>
      </c>
      <c r="Q264" s="6">
        <v>116</v>
      </c>
      <c r="R264" s="98">
        <v>0.5</v>
      </c>
      <c r="S264" s="94">
        <f>((Table3.110[[#This Row],[Sample weight, g]]*'2.1. DM'!Q49)/100)*1000</f>
        <v>473.35781031381202</v>
      </c>
      <c r="T264" s="94">
        <f>'3.2 Digest'!W264</f>
        <v>169.95781031381205</v>
      </c>
      <c r="U264" s="153">
        <v>0.33263888888888887</v>
      </c>
      <c r="V264" s="155">
        <v>42</v>
      </c>
      <c r="W264" s="153">
        <v>0.67361111111111116</v>
      </c>
      <c r="X264" s="91">
        <v>67</v>
      </c>
      <c r="Y264" s="91">
        <v>13.7</v>
      </c>
      <c r="Z264" s="154">
        <v>40</v>
      </c>
      <c r="AA264" s="153">
        <v>0.34791666666666665</v>
      </c>
      <c r="AB264" s="154">
        <v>68</v>
      </c>
      <c r="AC264" s="154">
        <v>17.7</v>
      </c>
      <c r="AD264" s="91"/>
      <c r="AE264" s="94">
        <f>Table3.110[[#This Row],[Gas 8h, ml]]-Table3.110[[#This Row],[Gas 0h, ml]]</f>
        <v>25</v>
      </c>
      <c r="AF264" s="94">
        <f>Table3.110[[#This Row],[Gas 24h, ml]]-Table3.110[[#This Row],[V8 Push back, ml]]</f>
        <v>28</v>
      </c>
      <c r="AG264" s="94">
        <f>Table3.110[[#This Row],[GP 8h, ml]]-(AVERAGE(AE$221,AE$222,AE$255,AE$256,AE$291,AE$292))*$AG$8</f>
        <v>23.524988739845064</v>
      </c>
      <c r="AH264" s="94">
        <f>Table3.110[[#This Row],[GP 8-24h, ml]]-(AVERAGE(AF$221,AF$222,AF$255,AF$256,AF$291,AF$292))*$AG$8</f>
        <v>26.008734798790837</v>
      </c>
      <c r="AI264" s="94">
        <f>Table3.110[[#This Row],[Net gas 8-24h, ml]]+Table3.110[[#This Row],[Net gas 8h, ml]]</f>
        <v>49.533723538635897</v>
      </c>
      <c r="AJ264" s="94">
        <f>Table3.110[[#This Row],[Net gas 8h, ml]]*Table3.110[[#This Row],[CH4 8h %]]%</f>
        <v>3.2229234573587733</v>
      </c>
      <c r="AK264" s="94">
        <f>Table3.110[[#This Row],[Net gas 8-24h, ml]]*Table3.110[[#This Row],[CH4 24h, %]]%</f>
        <v>4.6035460593859776</v>
      </c>
      <c r="AL264" s="94">
        <f>Table3.110[[#This Row],[CH4 8-24h, ml]]+Table3.110[[#This Row],[CH4 8h, ml]]</f>
        <v>7.8264695167447513</v>
      </c>
      <c r="AM264" s="94">
        <f>(Table3.110[[#This Row],[Net gas 24h, ml]]/Table3.110[[#This Row],[DM Incubated, mg]])*1000</f>
        <v>104.64330039425687</v>
      </c>
      <c r="AN264" s="94">
        <f>'3.2 Digest'!X264</f>
        <v>35.904722941222559</v>
      </c>
      <c r="AO264" s="94">
        <f>Table3.110[[#This Row],[Digested feed, mg]]/Table3.110[[#This Row],[Net gas 24h, ml]]</f>
        <v>3.4311535287922852</v>
      </c>
      <c r="AP264" s="94">
        <f>Table3.110[[#This Row],[CH4 8h, ml]]/Table3.110[[#This Row],[Net gas 8h, ml]]%</f>
        <v>13.699999999999998</v>
      </c>
      <c r="AQ264" s="94">
        <f>Table3.110[[#This Row],[CH4 24h, ml]]/Table3.110[[#This Row],[Net gas 24h, ml]]%</f>
        <v>15.800285053555825</v>
      </c>
      <c r="AR264" s="94">
        <f>Table3.110[[#This Row],[CH4 24h, ml]]/Table3.110[[#This Row],[DM Incubated, mg]]*1000</f>
        <v>16.533939751741293</v>
      </c>
      <c r="AS264" s="94">
        <f>Table3.110[[#This Row],[CH4 24h, ml]]/Table3.110[[#This Row],[Digested feed, mg]]*1000</f>
        <v>46.04948429433086</v>
      </c>
      <c r="AT264" s="94">
        <f>Table3.110[[#This Row],[CH4 24h, ml]]/'3.2 Digest'!AA264</f>
        <v>-1.0783104864757656</v>
      </c>
      <c r="AU264" s="94">
        <f>((Table3.110[[#This Row],[CH4 24h, ml]]/28.9)*16.04)/Table3.110[[#This Row],[DM Incubated, mg]]*1000</f>
        <v>9.176622616537383</v>
      </c>
      <c r="AV264" s="94">
        <f>((Table3.110[[#This Row],[CH4 24h, ml]]/28.9)*16.04)/Table3.110[[#This Row],[Digested feed, mg]]*1000</f>
        <v>25.558260487234154</v>
      </c>
      <c r="AW264" s="303"/>
    </row>
    <row r="265" spans="1:49" s="304" customFormat="1" x14ac:dyDescent="0.35">
      <c r="A265" s="89"/>
      <c r="B265" s="90">
        <f t="shared" si="3"/>
        <v>255</v>
      </c>
      <c r="C265" s="140">
        <v>46076</v>
      </c>
      <c r="D265" s="6" t="s">
        <v>16</v>
      </c>
      <c r="E265" s="6" t="str">
        <f>'[1]1. Information samples'!$F$36</f>
        <v>CIAT-33402</v>
      </c>
      <c r="F265" s="6" t="s">
        <v>19</v>
      </c>
      <c r="G265" s="6" t="s">
        <v>20</v>
      </c>
      <c r="H265" s="6" t="str">
        <f>'[1]1. Information samples'!$I$36</f>
        <v>Dendrolobium triangulare</v>
      </c>
      <c r="I265" s="6" t="s">
        <v>22</v>
      </c>
      <c r="J265" s="129" t="s">
        <v>23</v>
      </c>
      <c r="K265" s="129" t="s">
        <v>24</v>
      </c>
      <c r="L265" s="6" t="str">
        <f>'[1]1. Information samples'!$E$36</f>
        <v>F251748</v>
      </c>
      <c r="M265" s="119">
        <v>27</v>
      </c>
      <c r="N265" s="93">
        <v>69</v>
      </c>
      <c r="O265" s="6">
        <v>3</v>
      </c>
      <c r="P265" s="129">
        <v>1</v>
      </c>
      <c r="Q265" s="6">
        <v>117</v>
      </c>
      <c r="R265" s="98">
        <v>0.50039999999999996</v>
      </c>
      <c r="S265" s="94">
        <f>((Table3.110[[#This Row],[Sample weight, g]]*'2.1. DM'!Q51)/100)*1000</f>
        <v>473.53798255593136</v>
      </c>
      <c r="T265" s="94">
        <f>'3.2 Digest'!W265</f>
        <v>139.33798255593132</v>
      </c>
      <c r="U265" s="153">
        <v>0.33333333333333331</v>
      </c>
      <c r="V265" s="155">
        <v>42</v>
      </c>
      <c r="W265" s="153">
        <v>0.6743055555555556</v>
      </c>
      <c r="X265" s="91">
        <v>69.5</v>
      </c>
      <c r="Y265" s="91">
        <v>13.4</v>
      </c>
      <c r="Z265" s="154">
        <v>41</v>
      </c>
      <c r="AA265" s="153">
        <v>0.34861111111111109</v>
      </c>
      <c r="AB265" s="154">
        <v>73.5</v>
      </c>
      <c r="AC265" s="154">
        <v>17</v>
      </c>
      <c r="AD265" s="91"/>
      <c r="AE265" s="94">
        <f>Table3.110[[#This Row],[Gas 8h, ml]]-Table3.110[[#This Row],[Gas 0h, ml]]</f>
        <v>27.5</v>
      </c>
      <c r="AF265" s="94">
        <f>Table3.110[[#This Row],[Gas 24h, ml]]-Table3.110[[#This Row],[V8 Push back, ml]]</f>
        <v>32.5</v>
      </c>
      <c r="AG265" s="94">
        <f>Table3.110[[#This Row],[GP 8h, ml]]-(AVERAGE(AE$221,AE$222,AE$255,AE$256,AE$291,AE$292))*$AG$8</f>
        <v>26.024988739845064</v>
      </c>
      <c r="AH265" s="94">
        <f>Table3.110[[#This Row],[GP 8-24h, ml]]-(AVERAGE(AF$221,AF$222,AF$255,AF$256,AF$291,AF$292))*$AG$8</f>
        <v>30.508734798790837</v>
      </c>
      <c r="AI265" s="94">
        <f>Table3.110[[#This Row],[Net gas 8-24h, ml]]+Table3.110[[#This Row],[Net gas 8h, ml]]</f>
        <v>56.533723538635897</v>
      </c>
      <c r="AJ265" s="94">
        <f>Table3.110[[#This Row],[Net gas 8h, ml]]*Table3.110[[#This Row],[CH4 8h %]]%</f>
        <v>3.4873484911392389</v>
      </c>
      <c r="AK265" s="94">
        <f>Table3.110[[#This Row],[Net gas 8-24h, ml]]*Table3.110[[#This Row],[CH4 24h, %]]%</f>
        <v>5.1864849157944422</v>
      </c>
      <c r="AL265" s="94">
        <f>Table3.110[[#This Row],[CH4 8-24h, ml]]+Table3.110[[#This Row],[CH4 8h, ml]]</f>
        <v>8.6738334069336815</v>
      </c>
      <c r="AM265" s="94">
        <f>(Table3.110[[#This Row],[Net gas 24h, ml]]/Table3.110[[#This Row],[DM Incubated, mg]])*1000</f>
        <v>119.38582673663032</v>
      </c>
      <c r="AN265" s="94">
        <f>'3.2 Digest'!X265</f>
        <v>29.424879880564507</v>
      </c>
      <c r="AO265" s="94">
        <f>Table3.110[[#This Row],[Digested feed, mg]]/Table3.110[[#This Row],[Net gas 24h, ml]]</f>
        <v>2.4646878683075935</v>
      </c>
      <c r="AP265" s="94">
        <f>Table3.110[[#This Row],[CH4 8h, ml]]/Table3.110[[#This Row],[Net gas 8h, ml]]%</f>
        <v>13.400000000000002</v>
      </c>
      <c r="AQ265" s="94">
        <f>Table3.110[[#This Row],[CH4 24h, ml]]/Table3.110[[#This Row],[Net gas 24h, ml]]%</f>
        <v>15.342759797178173</v>
      </c>
      <c r="AR265" s="94">
        <f>Table3.110[[#This Row],[CH4 24h, ml]]/Table3.110[[#This Row],[DM Incubated, mg]]*1000</f>
        <v>18.317080628076507</v>
      </c>
      <c r="AS265" s="94">
        <f>Table3.110[[#This Row],[CH4 24h, ml]]/Table3.110[[#This Row],[Digested feed, mg]]*1000</f>
        <v>62.250315727457433</v>
      </c>
      <c r="AT265" s="94">
        <f>Table3.110[[#This Row],[CH4 24h, ml]]/'3.2 Digest'!AA265</f>
        <v>-0.49717346046131122</v>
      </c>
      <c r="AU265" s="94">
        <f>((Table3.110[[#This Row],[CH4 24h, ml]]/28.9)*16.04)/Table3.110[[#This Row],[DM Incubated, mg]]*1000</f>
        <v>10.166296653091598</v>
      </c>
      <c r="AV265" s="94">
        <f>((Table3.110[[#This Row],[CH4 24h, ml]]/28.9)*16.04)/Table3.110[[#This Row],[Digested feed, mg]]*1000</f>
        <v>34.55000222382067</v>
      </c>
      <c r="AW265" s="303"/>
    </row>
    <row r="266" spans="1:49" s="304" customFormat="1" x14ac:dyDescent="0.35">
      <c r="A266" s="89"/>
      <c r="B266" s="90">
        <f t="shared" si="3"/>
        <v>256</v>
      </c>
      <c r="C266" s="140">
        <v>46076</v>
      </c>
      <c r="D266" s="6" t="s">
        <v>16</v>
      </c>
      <c r="E266" s="6" t="str">
        <f>'[1]1. Information samples'!$F$36</f>
        <v>CIAT-33402</v>
      </c>
      <c r="F266" s="6" t="s">
        <v>19</v>
      </c>
      <c r="G266" s="6" t="s">
        <v>20</v>
      </c>
      <c r="H266" s="6" t="str">
        <f>'[1]1. Information samples'!$I$36</f>
        <v>Dendrolobium triangulare</v>
      </c>
      <c r="I266" s="6" t="s">
        <v>22</v>
      </c>
      <c r="J266" s="129" t="s">
        <v>23</v>
      </c>
      <c r="K266" s="129" t="s">
        <v>24</v>
      </c>
      <c r="L266" s="6" t="str">
        <f>'[1]1. Information samples'!$E$36</f>
        <v>F251748</v>
      </c>
      <c r="M266" s="119">
        <v>27</v>
      </c>
      <c r="N266" s="93">
        <v>69</v>
      </c>
      <c r="O266" s="6">
        <v>3</v>
      </c>
      <c r="P266" s="129">
        <v>2</v>
      </c>
      <c r="Q266" s="6">
        <v>118</v>
      </c>
      <c r="R266" s="98">
        <v>0.50049999999999994</v>
      </c>
      <c r="S266" s="94">
        <f>((Table3.110[[#This Row],[Sample weight, g]]*'2.1. DM'!Q51)/100)*1000</f>
        <v>473.63261444692972</v>
      </c>
      <c r="T266" s="94">
        <f>'3.2 Digest'!W266</f>
        <v>169.73261444692969</v>
      </c>
      <c r="U266" s="117">
        <v>0.33333333333333331</v>
      </c>
      <c r="V266" s="155">
        <v>40.5</v>
      </c>
      <c r="W266" s="117">
        <v>0.6743055555555556</v>
      </c>
      <c r="X266" s="96">
        <v>66.5</v>
      </c>
      <c r="Y266" s="96">
        <v>13.6</v>
      </c>
      <c r="Z266" s="155">
        <v>40</v>
      </c>
      <c r="AA266" s="117">
        <v>0.34861111111111109</v>
      </c>
      <c r="AB266" s="155">
        <v>64.5</v>
      </c>
      <c r="AC266" s="155">
        <v>18.3</v>
      </c>
      <c r="AD266" s="96" t="s">
        <v>551</v>
      </c>
      <c r="AE266" s="94">
        <f>Table3.110[[#This Row],[Gas 8h, ml]]-Table3.110[[#This Row],[Gas 0h, ml]]</f>
        <v>26</v>
      </c>
      <c r="AF266" s="94">
        <f>Table3.110[[#This Row],[Gas 24h, ml]]-Table3.110[[#This Row],[V8 Push back, ml]]</f>
        <v>24.5</v>
      </c>
      <c r="AG266" s="94">
        <f>Table3.110[[#This Row],[GP 8h, ml]]-(AVERAGE(AE$221,AE$222,AE$255,AE$256,AE$291,AE$292))*$AG$8</f>
        <v>24.524988739845064</v>
      </c>
      <c r="AH266" s="94">
        <f>Table3.110[[#This Row],[GP 8-24h, ml]]-(AVERAGE(AF$221,AF$222,AF$255,AF$256,AF$291,AF$292))*$AG$8</f>
        <v>22.508734798790837</v>
      </c>
      <c r="AI266" s="94">
        <f>Table3.110[[#This Row],[Net gas 8-24h, ml]]+Table3.110[[#This Row],[Net gas 8h, ml]]</f>
        <v>47.033723538635897</v>
      </c>
      <c r="AJ266" s="94">
        <f>Table3.110[[#This Row],[Net gas 8h, ml]]*Table3.110[[#This Row],[CH4 8h %]]%</f>
        <v>3.3353984686189291</v>
      </c>
      <c r="AK266" s="94">
        <f>Table3.110[[#This Row],[Net gas 8-24h, ml]]*Table3.110[[#This Row],[CH4 24h, %]]%</f>
        <v>4.1190984681787226</v>
      </c>
      <c r="AL266" s="94">
        <f>Table3.110[[#This Row],[CH4 8-24h, ml]]+Table3.110[[#This Row],[CH4 8h, ml]]</f>
        <v>7.4544969367976517</v>
      </c>
      <c r="AM266" s="94">
        <f>(Table3.110[[#This Row],[Net gas 24h, ml]]/Table3.110[[#This Row],[DM Incubated, mg]])*1000</f>
        <v>99.304233078539397</v>
      </c>
      <c r="AN266" s="94">
        <f>'3.2 Digest'!X266</f>
        <v>35.836344303512512</v>
      </c>
      <c r="AO266" s="94">
        <f>Table3.110[[#This Row],[Digested feed, mg]]/Table3.110[[#This Row],[Net gas 24h, ml]]</f>
        <v>3.6087428695179251</v>
      </c>
      <c r="AP266" s="94">
        <f>Table3.110[[#This Row],[CH4 8h, ml]]/Table3.110[[#This Row],[Net gas 8h, ml]]%</f>
        <v>13.600000000000001</v>
      </c>
      <c r="AQ266" s="94">
        <f>Table3.110[[#This Row],[CH4 24h, ml]]/Table3.110[[#This Row],[Net gas 24h, ml]]%</f>
        <v>15.849259586420258</v>
      </c>
      <c r="AR266" s="94">
        <f>Table3.110[[#This Row],[CH4 24h, ml]]/Table3.110[[#This Row],[DM Incubated, mg]]*1000</f>
        <v>15.738985680921525</v>
      </c>
      <c r="AS266" s="94">
        <f>Table3.110[[#This Row],[CH4 24h, ml]]/Table3.110[[#This Row],[Digested feed, mg]]*1000</f>
        <v>43.919060347287882</v>
      </c>
      <c r="AT266" s="94">
        <f>Table3.110[[#This Row],[CH4 24h, ml]]/'3.2 Digest'!AA266</f>
        <v>-1.1000071864261951</v>
      </c>
      <c r="AU266" s="94">
        <f>((Table3.110[[#This Row],[CH4 24h, ml]]/28.9)*16.04)/Table3.110[[#This Row],[DM Incubated, mg]]*1000</f>
        <v>8.7354093537017743</v>
      </c>
      <c r="AV266" s="94">
        <f>((Table3.110[[#This Row],[CH4 24h, ml]]/28.9)*16.04)/Table3.110[[#This Row],[Digested feed, mg]]*1000</f>
        <v>24.375838338079507</v>
      </c>
      <c r="AW266" s="303"/>
    </row>
    <row r="267" spans="1:49" s="304" customFormat="1" x14ac:dyDescent="0.35">
      <c r="A267" s="89"/>
      <c r="B267" s="90">
        <f t="shared" si="3"/>
        <v>257</v>
      </c>
      <c r="C267" s="140">
        <v>46076</v>
      </c>
      <c r="D267" s="6" t="s">
        <v>16</v>
      </c>
      <c r="E267" s="6" t="str">
        <f>'[1]1. Information samples'!$F$37</f>
        <v>CIAT-33508</v>
      </c>
      <c r="F267" s="6" t="s">
        <v>19</v>
      </c>
      <c r="G267" s="6" t="s">
        <v>73</v>
      </c>
      <c r="H267" s="6" t="str">
        <f>'[1]1. Information samples'!$I$37</f>
        <v>Dendrolobium umbellatum</v>
      </c>
      <c r="I267" s="6" t="s">
        <v>22</v>
      </c>
      <c r="J267" s="129" t="s">
        <v>23</v>
      </c>
      <c r="K267" s="129" t="s">
        <v>24</v>
      </c>
      <c r="L267" s="6" t="str">
        <f>'[1]1. Information samples'!$E$37</f>
        <v>F251749</v>
      </c>
      <c r="M267" s="119">
        <v>27</v>
      </c>
      <c r="N267" s="93">
        <v>69</v>
      </c>
      <c r="O267" s="6">
        <v>3</v>
      </c>
      <c r="P267" s="129">
        <v>1</v>
      </c>
      <c r="Q267" s="6">
        <v>119</v>
      </c>
      <c r="R267" s="98">
        <v>0.50049999999999994</v>
      </c>
      <c r="S267" s="94">
        <f>((Table3.110[[#This Row],[Sample weight, g]]*'2.1. DM'!Q53)/100)*1000</f>
        <v>469.19996717962931</v>
      </c>
      <c r="T267" s="94">
        <f>'3.2 Digest'!W267</f>
        <v>140.49996717962921</v>
      </c>
      <c r="U267" s="117">
        <v>0.33333333333333331</v>
      </c>
      <c r="V267" s="155">
        <v>41.5</v>
      </c>
      <c r="W267" s="117">
        <v>0.67500000000000004</v>
      </c>
      <c r="X267" s="96">
        <v>72.5</v>
      </c>
      <c r="Y267" s="96">
        <v>14.3</v>
      </c>
      <c r="Z267" s="155">
        <v>41</v>
      </c>
      <c r="AA267" s="117">
        <v>0.34930555555555554</v>
      </c>
      <c r="AB267" s="155">
        <v>73</v>
      </c>
      <c r="AC267" s="155">
        <v>19</v>
      </c>
      <c r="AD267" s="96"/>
      <c r="AE267" s="94">
        <f>Table3.110[[#This Row],[Gas 8h, ml]]-Table3.110[[#This Row],[Gas 0h, ml]]</f>
        <v>31</v>
      </c>
      <c r="AF267" s="94">
        <f>Table3.110[[#This Row],[Gas 24h, ml]]-Table3.110[[#This Row],[V8 Push back, ml]]</f>
        <v>32</v>
      </c>
      <c r="AG267" s="94">
        <f>Table3.110[[#This Row],[GP 8h, ml]]-(AVERAGE(AE$221,AE$222,AE$255,AE$256,AE$291,AE$292))*$AG$8</f>
        <v>29.524988739845064</v>
      </c>
      <c r="AH267" s="94">
        <f>Table3.110[[#This Row],[GP 8-24h, ml]]-(AVERAGE(AF$221,AF$222,AF$255,AF$256,AF$291,AF$292))*$AG$8</f>
        <v>30.008734798790837</v>
      </c>
      <c r="AI267" s="94">
        <f>Table3.110[[#This Row],[Net gas 8-24h, ml]]+Table3.110[[#This Row],[Net gas 8h, ml]]</f>
        <v>59.533723538635897</v>
      </c>
      <c r="AJ267" s="94">
        <f>Table3.110[[#This Row],[Net gas 8h, ml]]*Table3.110[[#This Row],[CH4 8h %]]%</f>
        <v>4.2220733897978446</v>
      </c>
      <c r="AK267" s="94">
        <f>Table3.110[[#This Row],[Net gas 8-24h, ml]]*Table3.110[[#This Row],[CH4 24h, %]]%</f>
        <v>5.7016596117702587</v>
      </c>
      <c r="AL267" s="94">
        <f>Table3.110[[#This Row],[CH4 8-24h, ml]]+Table3.110[[#This Row],[CH4 8h, ml]]</f>
        <v>9.9237330015681025</v>
      </c>
      <c r="AM267" s="94">
        <f>(Table3.110[[#This Row],[Net gas 24h, ml]]/Table3.110[[#This Row],[DM Incubated, mg]])*1000</f>
        <v>126.88347762787438</v>
      </c>
      <c r="AN267" s="94">
        <f>'3.2 Digest'!X267</f>
        <v>29.944581629913024</v>
      </c>
      <c r="AO267" s="94">
        <f>Table3.110[[#This Row],[Digested feed, mg]]/Table3.110[[#This Row],[Net gas 24h, ml]]</f>
        <v>2.3600063766958614</v>
      </c>
      <c r="AP267" s="94">
        <f>Table3.110[[#This Row],[CH4 8h, ml]]/Table3.110[[#This Row],[Net gas 8h, ml]]%</f>
        <v>14.3</v>
      </c>
      <c r="AQ267" s="94">
        <f>Table3.110[[#This Row],[CH4 24h, ml]]/Table3.110[[#This Row],[Net gas 24h, ml]]%</f>
        <v>16.669095114011888</v>
      </c>
      <c r="AR267" s="94">
        <f>Table3.110[[#This Row],[CH4 24h, ml]]/Table3.110[[#This Row],[DM Incubated, mg]]*1000</f>
        <v>21.150327569756382</v>
      </c>
      <c r="AS267" s="94">
        <f>Table3.110[[#This Row],[CH4 24h, ml]]/Table3.110[[#This Row],[Digested feed, mg]]*1000</f>
        <v>70.631568111902894</v>
      </c>
      <c r="AT267" s="94">
        <f>Table3.110[[#This Row],[CH4 24h, ml]]/'3.2 Digest'!AA267</f>
        <v>-0.49526631504657576</v>
      </c>
      <c r="AU267" s="94">
        <f>((Table3.110[[#This Row],[CH4 24h, ml]]/28.9)*16.04)/Table3.110[[#This Row],[DM Incubated, mg]]*1000</f>
        <v>11.738797723837106</v>
      </c>
      <c r="AV267" s="94">
        <f>((Table3.110[[#This Row],[CH4 24h, ml]]/28.9)*16.04)/Table3.110[[#This Row],[Digested feed, mg]]*1000</f>
        <v>39.201742301554418</v>
      </c>
      <c r="AW267" s="303"/>
    </row>
    <row r="268" spans="1:49" s="304" customFormat="1" x14ac:dyDescent="0.35">
      <c r="A268" s="89"/>
      <c r="B268" s="90">
        <f t="shared" ref="B268:B331" si="4">B267+1</f>
        <v>258</v>
      </c>
      <c r="C268" s="140">
        <v>46076</v>
      </c>
      <c r="D268" s="6" t="s">
        <v>16</v>
      </c>
      <c r="E268" s="6" t="str">
        <f>'[1]1. Information samples'!$F$37</f>
        <v>CIAT-33508</v>
      </c>
      <c r="F268" s="6" t="s">
        <v>19</v>
      </c>
      <c r="G268" s="6" t="s">
        <v>73</v>
      </c>
      <c r="H268" s="6" t="str">
        <f>'[1]1. Information samples'!$I$37</f>
        <v>Dendrolobium umbellatum</v>
      </c>
      <c r="I268" s="6" t="s">
        <v>22</v>
      </c>
      <c r="J268" s="129" t="s">
        <v>23</v>
      </c>
      <c r="K268" s="129" t="s">
        <v>24</v>
      </c>
      <c r="L268" s="6" t="str">
        <f>'[1]1. Information samples'!$E$37</f>
        <v>F251749</v>
      </c>
      <c r="M268" s="119">
        <v>27</v>
      </c>
      <c r="N268" s="93">
        <v>69</v>
      </c>
      <c r="O268" s="6">
        <v>3</v>
      </c>
      <c r="P268" s="129">
        <v>2</v>
      </c>
      <c r="Q268" s="6">
        <v>120</v>
      </c>
      <c r="R268" s="98">
        <v>0.50049999999999994</v>
      </c>
      <c r="S268" s="94">
        <f>((Table3.110[[#This Row],[Sample weight, g]]*'2.1. DM'!Q53)/100)*1000</f>
        <v>469.19996717962931</v>
      </c>
      <c r="T268" s="94">
        <f>'3.2 Digest'!W268</f>
        <v>149.29996717962933</v>
      </c>
      <c r="U268" s="153">
        <v>0.33402777777777776</v>
      </c>
      <c r="V268" s="155">
        <v>40</v>
      </c>
      <c r="W268" s="153">
        <v>0.67569444444444449</v>
      </c>
      <c r="X268" s="91">
        <v>73</v>
      </c>
      <c r="Y268" s="91">
        <v>13.6</v>
      </c>
      <c r="Z268" s="154">
        <v>40</v>
      </c>
      <c r="AA268" s="153">
        <v>0.34930555555555554</v>
      </c>
      <c r="AB268" s="154">
        <v>72</v>
      </c>
      <c r="AC268" s="154">
        <v>19</v>
      </c>
      <c r="AD268" s="91"/>
      <c r="AE268" s="94">
        <f>Table3.110[[#This Row],[Gas 8h, ml]]-Table3.110[[#This Row],[Gas 0h, ml]]</f>
        <v>33</v>
      </c>
      <c r="AF268" s="94">
        <f>Table3.110[[#This Row],[Gas 24h, ml]]-Table3.110[[#This Row],[V8 Push back, ml]]</f>
        <v>32</v>
      </c>
      <c r="AG268" s="94">
        <f>Table3.110[[#This Row],[GP 8h, ml]]-(AVERAGE(AE$221,AE$222,AE$255,AE$256,AE$291,AE$292))*$AG$8</f>
        <v>31.524988739845064</v>
      </c>
      <c r="AH268" s="94">
        <f>Table3.110[[#This Row],[GP 8-24h, ml]]-(AVERAGE(AF$221,AF$222,AF$255,AF$256,AF$291,AF$292))*$AG$8</f>
        <v>30.008734798790837</v>
      </c>
      <c r="AI268" s="94">
        <f>Table3.110[[#This Row],[Net gas 8-24h, ml]]+Table3.110[[#This Row],[Net gas 8h, ml]]</f>
        <v>61.533723538635897</v>
      </c>
      <c r="AJ268" s="94">
        <f>Table3.110[[#This Row],[Net gas 8h, ml]]*Table3.110[[#This Row],[CH4 8h %]]%</f>
        <v>4.287398468618929</v>
      </c>
      <c r="AK268" s="94">
        <f>Table3.110[[#This Row],[Net gas 8-24h, ml]]*Table3.110[[#This Row],[CH4 24h, %]]%</f>
        <v>5.7016596117702587</v>
      </c>
      <c r="AL268" s="94">
        <f>Table3.110[[#This Row],[CH4 8-24h, ml]]+Table3.110[[#This Row],[CH4 8h, ml]]</f>
        <v>9.9890580803891886</v>
      </c>
      <c r="AM268" s="94">
        <f>(Table3.110[[#This Row],[Net gas 24h, ml]]/Table3.110[[#This Row],[DM Incubated, mg]])*1000</f>
        <v>131.14605252109538</v>
      </c>
      <c r="AN268" s="94">
        <f>'3.2 Digest'!X268</f>
        <v>31.820114582930287</v>
      </c>
      <c r="AO268" s="94">
        <f>Table3.110[[#This Row],[Digested feed, mg]]/Table3.110[[#This Row],[Net gas 24h, ml]]</f>
        <v>2.4263112744328987</v>
      </c>
      <c r="AP268" s="94">
        <f>Table3.110[[#This Row],[CH4 8h, ml]]/Table3.110[[#This Row],[Net gas 8h, ml]]%</f>
        <v>13.600000000000001</v>
      </c>
      <c r="AQ268" s="94">
        <f>Table3.110[[#This Row],[CH4 24h, ml]]/Table3.110[[#This Row],[Net gas 24h, ml]]%</f>
        <v>16.233469235966588</v>
      </c>
      <c r="AR268" s="94">
        <f>Table3.110[[#This Row],[CH4 24h, ml]]/Table3.110[[#This Row],[DM Incubated, mg]]*1000</f>
        <v>21.289554090196603</v>
      </c>
      <c r="AS268" s="94">
        <f>Table3.110[[#This Row],[CH4 24h, ml]]/Table3.110[[#This Row],[Digested feed, mg]]*1000</f>
        <v>66.905963002462798</v>
      </c>
      <c r="AT268" s="94">
        <f>Table3.110[[#This Row],[CH4 24h, ml]]/'3.2 Digest'!AA268</f>
        <v>-0.59375573222912437</v>
      </c>
      <c r="AU268" s="94">
        <f>((Table3.110[[#This Row],[CH4 24h, ml]]/28.9)*16.04)/Table3.110[[#This Row],[DM Incubated, mg]]*1000</f>
        <v>11.816070851444756</v>
      </c>
      <c r="AV268" s="94">
        <f>((Table3.110[[#This Row],[CH4 24h, ml]]/28.9)*16.04)/Table3.110[[#This Row],[Digested feed, mg]]*1000</f>
        <v>37.13396700897934</v>
      </c>
      <c r="AW268" s="303"/>
    </row>
    <row r="269" spans="1:49" s="304" customFormat="1" x14ac:dyDescent="0.35">
      <c r="A269" s="89"/>
      <c r="B269" s="90">
        <f t="shared" si="4"/>
        <v>259</v>
      </c>
      <c r="C269" s="140">
        <v>46076</v>
      </c>
      <c r="D269" s="6" t="s">
        <v>16</v>
      </c>
      <c r="E269" s="6" t="str">
        <f>'[1]1. Information samples'!$F$38</f>
        <v>CIAT-33515</v>
      </c>
      <c r="F269" s="6" t="s">
        <v>19</v>
      </c>
      <c r="G269" s="6" t="s">
        <v>20</v>
      </c>
      <c r="H269" s="6" t="str">
        <f>'[1]1. Information samples'!$I$38</f>
        <v>Dendrolobium triangulare</v>
      </c>
      <c r="I269" s="6" t="s">
        <v>22</v>
      </c>
      <c r="J269" s="129" t="s">
        <v>23</v>
      </c>
      <c r="K269" s="129" t="s">
        <v>24</v>
      </c>
      <c r="L269" s="6" t="str">
        <f>'[1]1. Information samples'!$E$38</f>
        <v>F251750</v>
      </c>
      <c r="M269" s="119">
        <v>27</v>
      </c>
      <c r="N269" s="93">
        <v>69</v>
      </c>
      <c r="O269" s="6">
        <v>3</v>
      </c>
      <c r="P269" s="129">
        <v>1</v>
      </c>
      <c r="Q269" s="6">
        <v>121</v>
      </c>
      <c r="R269" s="98">
        <v>0.50019999999999998</v>
      </c>
      <c r="S269" s="94">
        <f>((Table3.110[[#This Row],[Sample weight, g]]*'2.1. DM'!Q55)/100)*1000</f>
        <v>467.24177049485172</v>
      </c>
      <c r="T269" s="94">
        <f>'3.2 Digest'!W269</f>
        <v>49.741770494851721</v>
      </c>
      <c r="U269" s="153">
        <v>0.33402777777777776</v>
      </c>
      <c r="V269" s="155">
        <v>42.5</v>
      </c>
      <c r="W269" s="153">
        <v>0.67569444444444449</v>
      </c>
      <c r="X269" s="91">
        <v>66.5</v>
      </c>
      <c r="Y269" s="91">
        <v>13.5</v>
      </c>
      <c r="Z269" s="154">
        <v>41</v>
      </c>
      <c r="AA269" s="153">
        <v>0.35</v>
      </c>
      <c r="AB269" s="154">
        <v>65</v>
      </c>
      <c r="AC269" s="154">
        <v>16.899999999999999</v>
      </c>
      <c r="AD269" s="91"/>
      <c r="AE269" s="94">
        <f>Table3.110[[#This Row],[Gas 8h, ml]]-Table3.110[[#This Row],[Gas 0h, ml]]</f>
        <v>24</v>
      </c>
      <c r="AF269" s="94">
        <f>Table3.110[[#This Row],[Gas 24h, ml]]-Table3.110[[#This Row],[V8 Push back, ml]]</f>
        <v>24</v>
      </c>
      <c r="AG269" s="94">
        <f>Table3.110[[#This Row],[GP 8h, ml]]-(AVERAGE(AE$221,AE$222,AE$255,AE$256,AE$291,AE$292))*$AG$8</f>
        <v>22.524988739845064</v>
      </c>
      <c r="AH269" s="94">
        <f>Table3.110[[#This Row],[GP 8-24h, ml]]-(AVERAGE(AF$221,AF$222,AF$255,AF$256,AF$291,AF$292))*$AG$8</f>
        <v>22.008734798790837</v>
      </c>
      <c r="AI269" s="94">
        <f>Table3.110[[#This Row],[Net gas 8-24h, ml]]+Table3.110[[#This Row],[Net gas 8h, ml]]</f>
        <v>44.533723538635897</v>
      </c>
      <c r="AJ269" s="94">
        <f>Table3.110[[#This Row],[Net gas 8h, ml]]*Table3.110[[#This Row],[CH4 8h %]]%</f>
        <v>3.040873479879084</v>
      </c>
      <c r="AK269" s="94">
        <f>Table3.110[[#This Row],[Net gas 8-24h, ml]]*Table3.110[[#This Row],[CH4 24h, %]]%</f>
        <v>3.7194761809956511</v>
      </c>
      <c r="AL269" s="94">
        <f>Table3.110[[#This Row],[CH4 8-24h, ml]]+Table3.110[[#This Row],[CH4 8h, ml]]</f>
        <v>6.7603496608747351</v>
      </c>
      <c r="AM269" s="94">
        <f>(Table3.110[[#This Row],[Net gas 24h, ml]]/Table3.110[[#This Row],[DM Incubated, mg]])*1000</f>
        <v>95.311948440462885</v>
      </c>
      <c r="AN269" s="94">
        <f>'3.2 Digest'!X269</f>
        <v>10.645831266791632</v>
      </c>
      <c r="AO269" s="94">
        <f>Table3.110[[#This Row],[Digested feed, mg]]/Table3.110[[#This Row],[Net gas 24h, ml]]</f>
        <v>1.1169461374972947</v>
      </c>
      <c r="AP269" s="94">
        <f>Table3.110[[#This Row],[CH4 8h, ml]]/Table3.110[[#This Row],[Net gas 8h, ml]]%</f>
        <v>13.500000000000002</v>
      </c>
      <c r="AQ269" s="94">
        <f>Table3.110[[#This Row],[CH4 24h, ml]]/Table3.110[[#This Row],[Net gas 24h, ml]]%</f>
        <v>15.180292874027687</v>
      </c>
      <c r="AR269" s="94">
        <f>Table3.110[[#This Row],[CH4 24h, ml]]/Table3.110[[#This Row],[DM Incubated, mg]]*1000</f>
        <v>14.468632917204529</v>
      </c>
      <c r="AS269" s="94">
        <f>Table3.110[[#This Row],[CH4 24h, ml]]/Table3.110[[#This Row],[Digested feed, mg]]*1000</f>
        <v>135.90890701356182</v>
      </c>
      <c r="AT269" s="94">
        <f>Table3.110[[#This Row],[CH4 24h, ml]]/'3.2 Digest'!AA269</f>
        <v>-0.16440295191358048</v>
      </c>
      <c r="AU269" s="94">
        <f>((Table3.110[[#This Row],[CH4 24h, ml]]/28.9)*16.04)/Table3.110[[#This Row],[DM Incubated, mg]]*1000</f>
        <v>8.0303415914173222</v>
      </c>
      <c r="AV269" s="94">
        <f>((Table3.110[[#This Row],[CH4 24h, ml]]/28.9)*16.04)/Table3.110[[#This Row],[Digested feed, mg]]*1000</f>
        <v>75.431794757700047</v>
      </c>
      <c r="AW269" s="303"/>
    </row>
    <row r="270" spans="1:49" s="304" customFormat="1" x14ac:dyDescent="0.35">
      <c r="A270" s="89"/>
      <c r="B270" s="90">
        <f t="shared" si="4"/>
        <v>260</v>
      </c>
      <c r="C270" s="140">
        <v>46076</v>
      </c>
      <c r="D270" s="6" t="s">
        <v>16</v>
      </c>
      <c r="E270" s="6" t="str">
        <f>'[1]1. Information samples'!$F$38</f>
        <v>CIAT-33515</v>
      </c>
      <c r="F270" s="6" t="s">
        <v>19</v>
      </c>
      <c r="G270" s="6" t="s">
        <v>20</v>
      </c>
      <c r="H270" s="6" t="str">
        <f>'[1]1. Information samples'!$I$38</f>
        <v>Dendrolobium triangulare</v>
      </c>
      <c r="I270" s="6" t="s">
        <v>22</v>
      </c>
      <c r="J270" s="129" t="s">
        <v>23</v>
      </c>
      <c r="K270" s="129" t="s">
        <v>24</v>
      </c>
      <c r="L270" s="6" t="str">
        <f>'[1]1. Information samples'!$E$38</f>
        <v>F251750</v>
      </c>
      <c r="M270" s="119">
        <v>27</v>
      </c>
      <c r="N270" s="93">
        <v>69</v>
      </c>
      <c r="O270" s="6">
        <v>3</v>
      </c>
      <c r="P270" s="129">
        <v>2</v>
      </c>
      <c r="Q270" s="6">
        <v>122</v>
      </c>
      <c r="R270" s="98">
        <v>0.50039999999999996</v>
      </c>
      <c r="S270" s="94">
        <f>((Table3.110[[#This Row],[Sample weight, g]]*'2.1. DM'!Q55)/100)*1000</f>
        <v>467.42859247425787</v>
      </c>
      <c r="T270" s="94">
        <f>'3.2 Digest'!W270</f>
        <v>92.628592474257857</v>
      </c>
      <c r="U270" s="117">
        <v>0.33402777777777776</v>
      </c>
      <c r="V270" s="155">
        <v>41.5</v>
      </c>
      <c r="W270" s="117">
        <v>0.67569444444444449</v>
      </c>
      <c r="X270" s="96">
        <v>66.5</v>
      </c>
      <c r="Y270" s="96">
        <v>13.5</v>
      </c>
      <c r="Z270" s="155">
        <v>40</v>
      </c>
      <c r="AA270" s="117">
        <v>0.35</v>
      </c>
      <c r="AB270" s="155">
        <v>63</v>
      </c>
      <c r="AC270" s="155">
        <v>16.8</v>
      </c>
      <c r="AD270" s="96"/>
      <c r="AE270" s="94">
        <f>Table3.110[[#This Row],[Gas 8h, ml]]-Table3.110[[#This Row],[Gas 0h, ml]]</f>
        <v>25</v>
      </c>
      <c r="AF270" s="94">
        <f>Table3.110[[#This Row],[Gas 24h, ml]]-Table3.110[[#This Row],[V8 Push back, ml]]</f>
        <v>23</v>
      </c>
      <c r="AG270" s="94">
        <f>Table3.110[[#This Row],[GP 8h, ml]]-(AVERAGE(AE$221,AE$222,AE$255,AE$256,AE$291,AE$292))*$AG$8</f>
        <v>23.524988739845064</v>
      </c>
      <c r="AH270" s="94">
        <f>Table3.110[[#This Row],[GP 8-24h, ml]]-(AVERAGE(AF$221,AF$222,AF$255,AF$256,AF$291,AF$292))*$AG$8</f>
        <v>21.008734798790837</v>
      </c>
      <c r="AI270" s="94">
        <f>Table3.110[[#This Row],[Net gas 8-24h, ml]]+Table3.110[[#This Row],[Net gas 8h, ml]]</f>
        <v>44.533723538635897</v>
      </c>
      <c r="AJ270" s="94">
        <f>Table3.110[[#This Row],[Net gas 8h, ml]]*Table3.110[[#This Row],[CH4 8h %]]%</f>
        <v>3.1758734798790837</v>
      </c>
      <c r="AK270" s="94">
        <f>Table3.110[[#This Row],[Net gas 8-24h, ml]]*Table3.110[[#This Row],[CH4 24h, %]]%</f>
        <v>3.5294674461968607</v>
      </c>
      <c r="AL270" s="94">
        <f>Table3.110[[#This Row],[CH4 8-24h, ml]]+Table3.110[[#This Row],[CH4 8h, ml]]</f>
        <v>6.7053409260759445</v>
      </c>
      <c r="AM270" s="94">
        <f>(Table3.110[[#This Row],[Net gas 24h, ml]]/Table3.110[[#This Row],[DM Incubated, mg]])*1000</f>
        <v>95.273854136529849</v>
      </c>
      <c r="AN270" s="94">
        <f>'3.2 Digest'!X270</f>
        <v>19.816629527077779</v>
      </c>
      <c r="AO270" s="94">
        <f>Table3.110[[#This Row],[Digested feed, mg]]/Table3.110[[#This Row],[Net gas 24h, ml]]</f>
        <v>2.0799651390905263</v>
      </c>
      <c r="AP270" s="94">
        <f>Table3.110[[#This Row],[CH4 8h, ml]]/Table3.110[[#This Row],[Net gas 8h, ml]]%</f>
        <v>13.5</v>
      </c>
      <c r="AQ270" s="94">
        <f>Table3.110[[#This Row],[CH4 24h, ml]]/Table3.110[[#This Row],[Net gas 24h, ml]]%</f>
        <v>15.056771348253928</v>
      </c>
      <c r="AR270" s="94">
        <f>Table3.110[[#This Row],[CH4 24h, ml]]/Table3.110[[#This Row],[DM Incubated, mg]]*1000</f>
        <v>14.345166372006263</v>
      </c>
      <c r="AS270" s="94">
        <f>Table3.110[[#This Row],[CH4 24h, ml]]/Table3.110[[#This Row],[Digested feed, mg]]*1000</f>
        <v>72.389537042133142</v>
      </c>
      <c r="AT270" s="94">
        <f>Table3.110[[#This Row],[CH4 24h, ml]]/'3.2 Digest'!AA270</f>
        <v>-0.25173220850555833</v>
      </c>
      <c r="AU270" s="94">
        <f>((Table3.110[[#This Row],[CH4 24h, ml]]/28.9)*16.04)/Table3.110[[#This Row],[DM Incubated, mg]]*1000</f>
        <v>7.9618155227328886</v>
      </c>
      <c r="AV270" s="94">
        <f>((Table3.110[[#This Row],[CH4 24h, ml]]/28.9)*16.04)/Table3.110[[#This Row],[Digested feed, mg]]*1000</f>
        <v>40.177445472519572</v>
      </c>
      <c r="AW270" s="303"/>
    </row>
    <row r="271" spans="1:49" s="304" customFormat="1" x14ac:dyDescent="0.35">
      <c r="A271" s="89"/>
      <c r="B271" s="90">
        <f t="shared" si="4"/>
        <v>261</v>
      </c>
      <c r="C271" s="140">
        <v>46076</v>
      </c>
      <c r="D271" s="6" t="s">
        <v>16</v>
      </c>
      <c r="E271" s="6" t="str">
        <f>'[1]1. Information samples'!$F$39</f>
        <v>CIAT-7353</v>
      </c>
      <c r="F271" s="6" t="s">
        <v>79</v>
      </c>
      <c r="G271" s="6" t="s">
        <v>80</v>
      </c>
      <c r="H271" s="6" t="str">
        <f>'[1]1. Information samples'!$I$39</f>
        <v>Prosopis juliflora</v>
      </c>
      <c r="I271" s="6" t="s">
        <v>22</v>
      </c>
      <c r="J271" s="129" t="s">
        <v>23</v>
      </c>
      <c r="K271" s="129" t="s">
        <v>24</v>
      </c>
      <c r="L271" s="6" t="str">
        <f>'[1]1. Information samples'!$E$39</f>
        <v>F251751</v>
      </c>
      <c r="M271" s="119">
        <v>27</v>
      </c>
      <c r="N271" s="93">
        <v>69</v>
      </c>
      <c r="O271" s="6">
        <v>3</v>
      </c>
      <c r="P271" s="129">
        <v>1</v>
      </c>
      <c r="Q271" s="6">
        <v>123</v>
      </c>
      <c r="R271" s="98">
        <v>0.5</v>
      </c>
      <c r="S271" s="94">
        <f>((Table3.110[[#This Row],[Sample weight, g]]*'2.1. DM'!Q57)/100)*1000</f>
        <v>473.13308729697542</v>
      </c>
      <c r="T271" s="94">
        <f>'3.2 Digest'!W271</f>
        <v>148.83308729697552</v>
      </c>
      <c r="U271" s="117">
        <v>0.33402777777777776</v>
      </c>
      <c r="V271" s="155">
        <v>41</v>
      </c>
      <c r="W271" s="117">
        <v>0.67638888888888893</v>
      </c>
      <c r="X271" s="96">
        <v>55.5</v>
      </c>
      <c r="Y271" s="96">
        <v>10</v>
      </c>
      <c r="Z271" s="155">
        <v>40.5</v>
      </c>
      <c r="AA271" s="117">
        <v>0.35069444444444442</v>
      </c>
      <c r="AB271" s="155">
        <v>56</v>
      </c>
      <c r="AC271" s="155">
        <v>9.1999999999999993</v>
      </c>
      <c r="AD271" s="96"/>
      <c r="AE271" s="94">
        <f>Table3.110[[#This Row],[Gas 8h, ml]]-Table3.110[[#This Row],[Gas 0h, ml]]</f>
        <v>14.5</v>
      </c>
      <c r="AF271" s="94">
        <f>Table3.110[[#This Row],[Gas 24h, ml]]-Table3.110[[#This Row],[V8 Push back, ml]]</f>
        <v>15.5</v>
      </c>
      <c r="AG271" s="94">
        <f>Table3.110[[#This Row],[GP 8h, ml]]-(AVERAGE(AE$221,AE$222,AE$255,AE$256,AE$291,AE$292))*$AG$8</f>
        <v>13.024988739845064</v>
      </c>
      <c r="AH271" s="94">
        <f>Table3.110[[#This Row],[GP 8-24h, ml]]-(AVERAGE(AF$221,AF$222,AF$255,AF$256,AF$291,AF$292))*$AG$8</f>
        <v>13.508734798790837</v>
      </c>
      <c r="AI271" s="94">
        <f>Table3.110[[#This Row],[Net gas 8-24h, ml]]+Table3.110[[#This Row],[Net gas 8h, ml]]</f>
        <v>26.5337235386359</v>
      </c>
      <c r="AJ271" s="94">
        <f>Table3.110[[#This Row],[Net gas 8h, ml]]*Table3.110[[#This Row],[CH4 8h %]]%</f>
        <v>1.3024988739845065</v>
      </c>
      <c r="AK271" s="94">
        <f>Table3.110[[#This Row],[Net gas 8-24h, ml]]*Table3.110[[#This Row],[CH4 24h, %]]%</f>
        <v>1.2428036014887569</v>
      </c>
      <c r="AL271" s="94">
        <f>Table3.110[[#This Row],[CH4 8-24h, ml]]+Table3.110[[#This Row],[CH4 8h, ml]]</f>
        <v>2.5453024754732634</v>
      </c>
      <c r="AM271" s="94">
        <f>(Table3.110[[#This Row],[Net gas 24h, ml]]/Table3.110[[#This Row],[DM Incubated, mg]])*1000</f>
        <v>56.080887705875568</v>
      </c>
      <c r="AN271" s="94">
        <f>'3.2 Digest'!X271</f>
        <v>31.456917998963835</v>
      </c>
      <c r="AO271" s="94">
        <f>Table3.110[[#This Row],[Digested feed, mg]]/Table3.110[[#This Row],[Net gas 24h, ml]]</f>
        <v>5.6092047194303074</v>
      </c>
      <c r="AP271" s="94">
        <f>Table3.110[[#This Row],[CH4 8h, ml]]/Table3.110[[#This Row],[Net gas 8h, ml]]%</f>
        <v>10</v>
      </c>
      <c r="AQ271" s="94">
        <f>Table3.110[[#This Row],[CH4 24h, ml]]/Table3.110[[#This Row],[Net gas 24h, ml]]%</f>
        <v>9.5927074530909113</v>
      </c>
      <c r="AR271" s="94">
        <f>Table3.110[[#This Row],[CH4 24h, ml]]/Table3.110[[#This Row],[DM Incubated, mg]]*1000</f>
        <v>5.3796754947210701</v>
      </c>
      <c r="AS271" s="94">
        <f>Table3.110[[#This Row],[CH4 24h, ml]]/Table3.110[[#This Row],[Digested feed, mg]]*1000</f>
        <v>17.10172463462019</v>
      </c>
      <c r="AT271" s="94">
        <f>Table3.110[[#This Row],[CH4 24h, ml]]/'3.2 Digest'!AA271</f>
        <v>-5.3068034799720373E-2</v>
      </c>
      <c r="AU271" s="94">
        <f>((Table3.110[[#This Row],[CH4 24h, ml]]/28.9)*16.04)/Table3.110[[#This Row],[DM Incubated, mg]]*1000</f>
        <v>2.9858129735406909</v>
      </c>
      <c r="AV271" s="94">
        <f>((Table3.110[[#This Row],[CH4 24h, ml]]/28.9)*16.04)/Table3.110[[#This Row],[Digested feed, mg]]*1000</f>
        <v>9.4917530498030391</v>
      </c>
      <c r="AW271" s="303"/>
    </row>
    <row r="272" spans="1:49" s="304" customFormat="1" x14ac:dyDescent="0.35">
      <c r="A272" s="89"/>
      <c r="B272" s="90">
        <f t="shared" si="4"/>
        <v>262</v>
      </c>
      <c r="C272" s="140">
        <v>46076</v>
      </c>
      <c r="D272" s="6" t="s">
        <v>16</v>
      </c>
      <c r="E272" s="6" t="str">
        <f>'[1]1. Information samples'!$F$39</f>
        <v>CIAT-7353</v>
      </c>
      <c r="F272" s="6" t="s">
        <v>79</v>
      </c>
      <c r="G272" s="6" t="s">
        <v>80</v>
      </c>
      <c r="H272" s="6" t="str">
        <f>'[1]1. Information samples'!$I$39</f>
        <v>Prosopis juliflora</v>
      </c>
      <c r="I272" s="6" t="s">
        <v>22</v>
      </c>
      <c r="J272" s="129" t="s">
        <v>23</v>
      </c>
      <c r="K272" s="129" t="s">
        <v>24</v>
      </c>
      <c r="L272" s="6" t="str">
        <f>'[1]1. Information samples'!$E$39</f>
        <v>F251751</v>
      </c>
      <c r="M272" s="119">
        <v>27</v>
      </c>
      <c r="N272" s="93">
        <v>69</v>
      </c>
      <c r="O272" s="6">
        <v>3</v>
      </c>
      <c r="P272" s="129">
        <v>2</v>
      </c>
      <c r="Q272" s="6">
        <v>124</v>
      </c>
      <c r="R272" s="98">
        <v>0.50009999999999999</v>
      </c>
      <c r="S272" s="94">
        <f>((Table3.110[[#This Row],[Sample weight, g]]*'2.1. DM'!Q57)/100)*1000</f>
        <v>473.22771391443473</v>
      </c>
      <c r="T272" s="94">
        <f>'3.2 Digest'!W272</f>
        <v>211.12771391443471</v>
      </c>
      <c r="U272" s="153">
        <v>0.3347222222222222</v>
      </c>
      <c r="V272" s="155">
        <v>40.5</v>
      </c>
      <c r="W272" s="153">
        <v>0.67638888888888893</v>
      </c>
      <c r="X272" s="91">
        <v>56</v>
      </c>
      <c r="Y272" s="91">
        <v>9</v>
      </c>
      <c r="Z272" s="154">
        <v>39.5</v>
      </c>
      <c r="AA272" s="153">
        <v>0.35138888888888886</v>
      </c>
      <c r="AB272" s="154">
        <v>51.5</v>
      </c>
      <c r="AC272" s="154">
        <v>2.1</v>
      </c>
      <c r="AD272" s="91"/>
      <c r="AE272" s="94">
        <f>Table3.110[[#This Row],[Gas 8h, ml]]-Table3.110[[#This Row],[Gas 0h, ml]]</f>
        <v>15.5</v>
      </c>
      <c r="AF272" s="94">
        <f>Table3.110[[#This Row],[Gas 24h, ml]]-Table3.110[[#This Row],[V8 Push back, ml]]</f>
        <v>12</v>
      </c>
      <c r="AG272" s="94">
        <f>Table3.110[[#This Row],[GP 8h, ml]]-(AVERAGE(AE$221,AE$222,AE$255,AE$256,AE$291,AE$292))*$AG$8</f>
        <v>14.024988739845064</v>
      </c>
      <c r="AH272" s="94">
        <f>Table3.110[[#This Row],[GP 8-24h, ml]]-(AVERAGE(AF$221,AF$222,AF$255,AF$256,AF$291,AF$292))*$AG$8</f>
        <v>10.008734798790837</v>
      </c>
      <c r="AI272" s="94">
        <f>Table3.110[[#This Row],[Net gas 8-24h, ml]]+Table3.110[[#This Row],[Net gas 8h, ml]]</f>
        <v>24.0337235386359</v>
      </c>
      <c r="AJ272" s="94">
        <f>Table3.110[[#This Row],[Net gas 8h, ml]]*Table3.110[[#This Row],[CH4 8h %]]%</f>
        <v>1.2622489865860558</v>
      </c>
      <c r="AK272" s="94">
        <f>Table3.110[[#This Row],[Net gas 8-24h, ml]]*Table3.110[[#This Row],[CH4 24h, %]]%</f>
        <v>0.21018343077460758</v>
      </c>
      <c r="AL272" s="94">
        <f>Table3.110[[#This Row],[CH4 8-24h, ml]]+Table3.110[[#This Row],[CH4 8h, ml]]</f>
        <v>1.4724324173606633</v>
      </c>
      <c r="AM272" s="94">
        <f>(Table3.110[[#This Row],[Net gas 24h, ml]]/Table3.110[[#This Row],[DM Incubated, mg]])*1000</f>
        <v>50.786804812918227</v>
      </c>
      <c r="AN272" s="94">
        <f>'3.2 Digest'!X272</f>
        <v>44.614401842198347</v>
      </c>
      <c r="AO272" s="94">
        <f>Table3.110[[#This Row],[Digested feed, mg]]/Table3.110[[#This Row],[Net gas 24h, ml]]</f>
        <v>8.7846443592076806</v>
      </c>
      <c r="AP272" s="94">
        <f>Table3.110[[#This Row],[CH4 8h, ml]]/Table3.110[[#This Row],[Net gas 8h, ml]]%</f>
        <v>9</v>
      </c>
      <c r="AQ272" s="94">
        <f>Table3.110[[#This Row],[CH4 24h, ml]]/Table3.110[[#This Row],[Net gas 24h, ml]]%</f>
        <v>6.1265263994304693</v>
      </c>
      <c r="AR272" s="94">
        <f>Table3.110[[#This Row],[CH4 24h, ml]]/Table3.110[[#This Row],[DM Incubated, mg]]*1000</f>
        <v>3.1114670042906591</v>
      </c>
      <c r="AS272" s="94">
        <f>Table3.110[[#This Row],[CH4 24h, ml]]/Table3.110[[#This Row],[Digested feed, mg]]*1000</f>
        <v>6.9741313921364529</v>
      </c>
      <c r="AT272" s="94">
        <f>Table3.110[[#This Row],[CH4 24h, ml]]/'3.2 Digest'!AA272</f>
        <v>-7.5277241755520655E-2</v>
      </c>
      <c r="AU272" s="94">
        <f>((Table3.110[[#This Row],[CH4 24h, ml]]/28.9)*16.04)/Table3.110[[#This Row],[DM Incubated, mg]]*1000</f>
        <v>1.7269180189903865</v>
      </c>
      <c r="AV272" s="94">
        <f>((Table3.110[[#This Row],[CH4 24h, ml]]/28.9)*16.04)/Table3.110[[#This Row],[Digested feed, mg]]*1000</f>
        <v>3.8707635823483981</v>
      </c>
      <c r="AW272" s="303"/>
    </row>
    <row r="273" spans="1:49" s="304" customFormat="1" x14ac:dyDescent="0.35">
      <c r="A273" s="89"/>
      <c r="B273" s="90">
        <f t="shared" si="4"/>
        <v>263</v>
      </c>
      <c r="C273" s="140">
        <v>46076</v>
      </c>
      <c r="D273" s="6" t="s">
        <v>16</v>
      </c>
      <c r="E273" s="6" t="str">
        <f>'[1]1. Information samples'!$F$40</f>
        <v>CIAT-7976</v>
      </c>
      <c r="F273" s="6" t="s">
        <v>84</v>
      </c>
      <c r="G273" s="6" t="s">
        <v>67</v>
      </c>
      <c r="H273" s="6" t="str">
        <f>'[1]1. Information samples'!$I$40</f>
        <v>Cassia sp.</v>
      </c>
      <c r="I273" s="6" t="s">
        <v>22</v>
      </c>
      <c r="J273" s="129" t="s">
        <v>23</v>
      </c>
      <c r="K273" s="129" t="s">
        <v>24</v>
      </c>
      <c r="L273" s="6" t="str">
        <f>'[1]1. Information samples'!$E$40</f>
        <v>F251752</v>
      </c>
      <c r="M273" s="119">
        <v>27</v>
      </c>
      <c r="N273" s="93">
        <v>69</v>
      </c>
      <c r="O273" s="6">
        <v>3</v>
      </c>
      <c r="P273" s="129">
        <v>1</v>
      </c>
      <c r="Q273" s="6">
        <v>125</v>
      </c>
      <c r="R273" s="98">
        <v>0.50019999999999998</v>
      </c>
      <c r="S273" s="94">
        <f>((Table3.110[[#This Row],[Sample weight, g]]*'2.1. DM'!Q59)/100)*1000</f>
        <v>467.27499217401248</v>
      </c>
      <c r="T273" s="94">
        <f>'3.2 Digest'!W273</f>
        <v>135.3749921740125</v>
      </c>
      <c r="U273" s="153">
        <v>0.3347222222222222</v>
      </c>
      <c r="V273" s="155">
        <v>41.5</v>
      </c>
      <c r="W273" s="153">
        <v>0.67708333333333337</v>
      </c>
      <c r="X273" s="91">
        <v>77.5</v>
      </c>
      <c r="Y273" s="91">
        <v>11.4</v>
      </c>
      <c r="Z273" s="154">
        <v>40</v>
      </c>
      <c r="AA273" s="153">
        <v>0.35208333333333336</v>
      </c>
      <c r="AB273" s="154">
        <v>74.5</v>
      </c>
      <c r="AC273" s="154">
        <v>15.7</v>
      </c>
      <c r="AD273" s="91"/>
      <c r="AE273" s="94">
        <f>Table3.110[[#This Row],[Gas 8h, ml]]-Table3.110[[#This Row],[Gas 0h, ml]]</f>
        <v>36</v>
      </c>
      <c r="AF273" s="94">
        <f>Table3.110[[#This Row],[Gas 24h, ml]]-Table3.110[[#This Row],[V8 Push back, ml]]</f>
        <v>34.5</v>
      </c>
      <c r="AG273" s="94">
        <f>Table3.110[[#This Row],[GP 8h, ml]]-(AVERAGE(AE$221,AE$222,AE$255,AE$256,AE$291,AE$292))*$AG$8</f>
        <v>34.524988739845064</v>
      </c>
      <c r="AH273" s="94">
        <f>Table3.110[[#This Row],[GP 8-24h, ml]]-(AVERAGE(AF$221,AF$222,AF$255,AF$256,AF$291,AF$292))*$AG$8</f>
        <v>32.50873479879084</v>
      </c>
      <c r="AI273" s="94">
        <f>Table3.110[[#This Row],[Net gas 8-24h, ml]]+Table3.110[[#This Row],[Net gas 8h, ml]]</f>
        <v>67.033723538635911</v>
      </c>
      <c r="AJ273" s="94">
        <f>Table3.110[[#This Row],[Net gas 8h, ml]]*Table3.110[[#This Row],[CH4 8h %]]%</f>
        <v>3.9358487163423375</v>
      </c>
      <c r="AK273" s="94">
        <f>Table3.110[[#This Row],[Net gas 8-24h, ml]]*Table3.110[[#This Row],[CH4 24h, %]]%</f>
        <v>5.1038713634101622</v>
      </c>
      <c r="AL273" s="94">
        <f>Table3.110[[#This Row],[CH4 8-24h, ml]]+Table3.110[[#This Row],[CH4 8h, ml]]</f>
        <v>9.0397200797524988</v>
      </c>
      <c r="AM273" s="94">
        <f>(Table3.110[[#This Row],[Net gas 24h, ml]]/Table3.110[[#This Row],[DM Incubated, mg]])*1000</f>
        <v>143.45668966096233</v>
      </c>
      <c r="AN273" s="94">
        <f>'3.2 Digest'!X273</f>
        <v>28.971161402020645</v>
      </c>
      <c r="AO273" s="94">
        <f>Table3.110[[#This Row],[Digested feed, mg]]/Table3.110[[#This Row],[Net gas 24h, ml]]</f>
        <v>2.0195057804895331</v>
      </c>
      <c r="AP273" s="94">
        <f>Table3.110[[#This Row],[CH4 8h, ml]]/Table3.110[[#This Row],[Net gas 8h, ml]]%</f>
        <v>11.4</v>
      </c>
      <c r="AQ273" s="94">
        <f>Table3.110[[#This Row],[CH4 24h, ml]]/Table3.110[[#This Row],[Net gas 24h, ml]]%</f>
        <v>13.485331863658622</v>
      </c>
      <c r="AR273" s="94">
        <f>Table3.110[[#This Row],[CH4 24h, ml]]/Table3.110[[#This Row],[DM Incubated, mg]]*1000</f>
        <v>19.345610681399616</v>
      </c>
      <c r="AS273" s="94">
        <f>Table3.110[[#This Row],[CH4 24h, ml]]/Table3.110[[#This Row],[Digested feed, mg]]*1000</f>
        <v>66.775406111438528</v>
      </c>
      <c r="AT273" s="94">
        <f>Table3.110[[#This Row],[CH4 24h, ml]]/'3.2 Digest'!AA273</f>
        <v>-0.21662682296881058</v>
      </c>
      <c r="AU273" s="94">
        <f>((Table3.110[[#This Row],[CH4 24h, ml]]/28.9)*16.04)/Table3.110[[#This Row],[DM Incubated, mg]]*1000</f>
        <v>10.737148627323524</v>
      </c>
      <c r="AV273" s="94">
        <f>((Table3.110[[#This Row],[CH4 24h, ml]]/28.9)*16.04)/Table3.110[[#This Row],[Digested feed, mg]]*1000</f>
        <v>37.061505675691151</v>
      </c>
      <c r="AW273" s="303"/>
    </row>
    <row r="274" spans="1:49" s="304" customFormat="1" x14ac:dyDescent="0.35">
      <c r="A274" s="89"/>
      <c r="B274" s="90">
        <f t="shared" si="4"/>
        <v>264</v>
      </c>
      <c r="C274" s="140">
        <v>46076</v>
      </c>
      <c r="D274" s="6" t="s">
        <v>16</v>
      </c>
      <c r="E274" s="6" t="str">
        <f>'[1]1. Information samples'!$F$40</f>
        <v>CIAT-7976</v>
      </c>
      <c r="F274" s="6" t="s">
        <v>84</v>
      </c>
      <c r="G274" s="6" t="s">
        <v>67</v>
      </c>
      <c r="H274" s="6" t="str">
        <f>'[1]1. Information samples'!$I$40</f>
        <v>Cassia sp.</v>
      </c>
      <c r="I274" s="6" t="s">
        <v>22</v>
      </c>
      <c r="J274" s="129" t="s">
        <v>23</v>
      </c>
      <c r="K274" s="129" t="s">
        <v>24</v>
      </c>
      <c r="L274" s="6" t="str">
        <f>'[1]1. Information samples'!$E$40</f>
        <v>F251752</v>
      </c>
      <c r="M274" s="119">
        <v>27</v>
      </c>
      <c r="N274" s="93">
        <v>69</v>
      </c>
      <c r="O274" s="6">
        <v>3</v>
      </c>
      <c r="P274" s="129">
        <v>2</v>
      </c>
      <c r="Q274" s="6">
        <v>126</v>
      </c>
      <c r="R274" s="98">
        <v>0.50060000000000004</v>
      </c>
      <c r="S274" s="94">
        <f>((Table3.110[[#This Row],[Sample weight, g]]*'2.1. DM'!Q59)/100)*1000</f>
        <v>467.64866269954155</v>
      </c>
      <c r="T274" s="94">
        <f>'3.2 Digest'!W274</f>
        <v>205.04866269954158</v>
      </c>
      <c r="U274" s="117">
        <v>0.3347222222222222</v>
      </c>
      <c r="V274" s="155">
        <v>41.5</v>
      </c>
      <c r="W274" s="117">
        <v>0.67777777777777781</v>
      </c>
      <c r="X274" s="96">
        <v>76</v>
      </c>
      <c r="Y274" s="96">
        <v>11.2</v>
      </c>
      <c r="Z274" s="155">
        <v>40</v>
      </c>
      <c r="AA274" s="117">
        <v>0.35555555555555557</v>
      </c>
      <c r="AB274" s="155">
        <v>72.5</v>
      </c>
      <c r="AC274" s="155">
        <v>15.6</v>
      </c>
      <c r="AD274" s="96"/>
      <c r="AE274" s="94">
        <f>Table3.110[[#This Row],[Gas 8h, ml]]-Table3.110[[#This Row],[Gas 0h, ml]]</f>
        <v>34.5</v>
      </c>
      <c r="AF274" s="94">
        <f>Table3.110[[#This Row],[Gas 24h, ml]]-Table3.110[[#This Row],[V8 Push back, ml]]</f>
        <v>32.5</v>
      </c>
      <c r="AG274" s="94">
        <f>Table3.110[[#This Row],[GP 8h, ml]]-(AVERAGE(AE$221,AE$222,AE$255,AE$256,AE$291,AE$292))*$AG$8</f>
        <v>33.024988739845064</v>
      </c>
      <c r="AH274" s="94">
        <f>Table3.110[[#This Row],[GP 8-24h, ml]]-(AVERAGE(AF$221,AF$222,AF$255,AF$256,AF$291,AF$292))*$AG$8</f>
        <v>30.508734798790837</v>
      </c>
      <c r="AI274" s="94">
        <f>Table3.110[[#This Row],[Net gas 8-24h, ml]]+Table3.110[[#This Row],[Net gas 8h, ml]]</f>
        <v>63.533723538635897</v>
      </c>
      <c r="AJ274" s="94">
        <f>Table3.110[[#This Row],[Net gas 8h, ml]]*Table3.110[[#This Row],[CH4 8h %]]%</f>
        <v>3.6987987388626467</v>
      </c>
      <c r="AK274" s="94">
        <f>Table3.110[[#This Row],[Net gas 8-24h, ml]]*Table3.110[[#This Row],[CH4 24h, %]]%</f>
        <v>4.7593626286113704</v>
      </c>
      <c r="AL274" s="94">
        <f>Table3.110[[#This Row],[CH4 8-24h, ml]]+Table3.110[[#This Row],[CH4 8h, ml]]</f>
        <v>8.4581613674740161</v>
      </c>
      <c r="AM274" s="94">
        <f>(Table3.110[[#This Row],[Net gas 24h, ml]]/Table3.110[[#This Row],[DM Incubated, mg]])*1000</f>
        <v>135.85781080155792</v>
      </c>
      <c r="AN274" s="94">
        <f>'3.2 Digest'!X274</f>
        <v>43.846733467787722</v>
      </c>
      <c r="AO274" s="94">
        <f>Table3.110[[#This Row],[Digested feed, mg]]/Table3.110[[#This Row],[Net gas 24h, ml]]</f>
        <v>3.2273987935690269</v>
      </c>
      <c r="AP274" s="94">
        <f>Table3.110[[#This Row],[CH4 8h, ml]]/Table3.110[[#This Row],[Net gas 8h, ml]]%</f>
        <v>11.2</v>
      </c>
      <c r="AQ274" s="94">
        <f>Table3.110[[#This Row],[CH4 24h, ml]]/Table3.110[[#This Row],[Net gas 24h, ml]]%</f>
        <v>13.312868971595014</v>
      </c>
      <c r="AR274" s="94">
        <f>Table3.110[[#This Row],[CH4 24h, ml]]/Table3.110[[#This Row],[DM Incubated, mg]]*1000</f>
        <v>18.086572339688868</v>
      </c>
      <c r="AS274" s="94">
        <f>Table3.110[[#This Row],[CH4 24h, ml]]/Table3.110[[#This Row],[Digested feed, mg]]*1000</f>
        <v>41.249531970212281</v>
      </c>
      <c r="AT274" s="94">
        <f>Table3.110[[#This Row],[CH4 24h, ml]]/'3.2 Digest'!AA274</f>
        <v>-0.70209378648715104</v>
      </c>
      <c r="AU274" s="94">
        <f>((Table3.110[[#This Row],[CH4 24h, ml]]/28.9)*16.04)/Table3.110[[#This Row],[DM Incubated, mg]]*1000</f>
        <v>10.038360565003787</v>
      </c>
      <c r="AV274" s="94">
        <f>((Table3.110[[#This Row],[CH4 24h, ml]]/28.9)*16.04)/Table3.110[[#This Row],[Digested feed, mg]]*1000</f>
        <v>22.89420390319049</v>
      </c>
      <c r="AW274" s="303"/>
    </row>
    <row r="275" spans="1:49" s="304" customFormat="1" x14ac:dyDescent="0.35">
      <c r="A275" s="89"/>
      <c r="B275" s="90">
        <f t="shared" si="4"/>
        <v>265</v>
      </c>
      <c r="C275" s="140">
        <v>46076</v>
      </c>
      <c r="D275" s="6" t="s">
        <v>16</v>
      </c>
      <c r="E275" s="6" t="str">
        <f>'[1]1. Information samples'!$F$41</f>
        <v>CIAT-8018</v>
      </c>
      <c r="F275" s="6" t="s">
        <v>88</v>
      </c>
      <c r="G275" s="6" t="s">
        <v>89</v>
      </c>
      <c r="H275" s="6" t="str">
        <f>'[1]1. Information samples'!$I$41</f>
        <v>Acacia aroma</v>
      </c>
      <c r="I275" s="6" t="s">
        <v>22</v>
      </c>
      <c r="J275" s="129" t="s">
        <v>23</v>
      </c>
      <c r="K275" s="129" t="s">
        <v>24</v>
      </c>
      <c r="L275" s="6" t="str">
        <f>'[1]1. Information samples'!$E$41</f>
        <v>F251753</v>
      </c>
      <c r="M275" s="119">
        <v>27</v>
      </c>
      <c r="N275" s="93">
        <v>69</v>
      </c>
      <c r="O275" s="6">
        <v>3</v>
      </c>
      <c r="P275" s="129">
        <v>1</v>
      </c>
      <c r="Q275" s="6">
        <v>127</v>
      </c>
      <c r="R275" s="98">
        <v>0.50019999999999998</v>
      </c>
      <c r="S275" s="94">
        <f>((Table3.110[[#This Row],[Sample weight, g]]*'2.1. DM'!Q61)/100)*1000</f>
        <v>469.16567561687623</v>
      </c>
      <c r="T275" s="94">
        <f>'3.2 Digest'!W275</f>
        <v>5.2656756168761376</v>
      </c>
      <c r="U275" s="117">
        <v>0.3347222222222222</v>
      </c>
      <c r="V275" s="155">
        <v>41.5</v>
      </c>
      <c r="W275" s="117">
        <v>0.67777777777777781</v>
      </c>
      <c r="X275" s="96">
        <v>68</v>
      </c>
      <c r="Y275" s="96">
        <v>13.3</v>
      </c>
      <c r="Z275" s="155">
        <v>41</v>
      </c>
      <c r="AA275" s="117">
        <v>0.35555555555555557</v>
      </c>
      <c r="AB275" s="155">
        <v>60.5</v>
      </c>
      <c r="AC275" s="155">
        <v>17.7</v>
      </c>
      <c r="AD275" s="96"/>
      <c r="AE275" s="94"/>
      <c r="AF275" s="94"/>
      <c r="AG275" s="94"/>
      <c r="AH275" s="94"/>
      <c r="AI275" s="94"/>
      <c r="AJ275" s="94"/>
      <c r="AK275" s="94"/>
      <c r="AL275" s="94"/>
      <c r="AM275" s="94"/>
      <c r="AN275" s="94"/>
      <c r="AO275" s="94"/>
      <c r="AP275" s="94"/>
      <c r="AQ275" s="94"/>
      <c r="AR275" s="94"/>
      <c r="AS275" s="94"/>
      <c r="AT275" s="94"/>
      <c r="AU275" s="94"/>
      <c r="AV275" s="94"/>
      <c r="AW275" s="303" t="s">
        <v>624</v>
      </c>
    </row>
    <row r="276" spans="1:49" s="304" customFormat="1" x14ac:dyDescent="0.35">
      <c r="A276" s="89"/>
      <c r="B276" s="90">
        <f t="shared" si="4"/>
        <v>266</v>
      </c>
      <c r="C276" s="140">
        <v>46076</v>
      </c>
      <c r="D276" s="6" t="s">
        <v>16</v>
      </c>
      <c r="E276" s="6" t="str">
        <f>'[1]1. Information samples'!$F$41</f>
        <v>CIAT-8018</v>
      </c>
      <c r="F276" s="6" t="s">
        <v>88</v>
      </c>
      <c r="G276" s="6" t="s">
        <v>89</v>
      </c>
      <c r="H276" s="6" t="str">
        <f>'[1]1. Information samples'!$I$41</f>
        <v>Acacia aroma</v>
      </c>
      <c r="I276" s="6" t="s">
        <v>22</v>
      </c>
      <c r="J276" s="129" t="s">
        <v>23</v>
      </c>
      <c r="K276" s="129" t="s">
        <v>24</v>
      </c>
      <c r="L276" s="6" t="str">
        <f>'[1]1. Information samples'!$E$41</f>
        <v>F251753</v>
      </c>
      <c r="M276" s="119">
        <v>27</v>
      </c>
      <c r="N276" s="93">
        <v>69</v>
      </c>
      <c r="O276" s="6">
        <v>3</v>
      </c>
      <c r="P276" s="129">
        <v>2</v>
      </c>
      <c r="Q276" s="6">
        <v>128</v>
      </c>
      <c r="R276" s="98">
        <v>0.50029999999999997</v>
      </c>
      <c r="S276" s="94">
        <f>((Table3.110[[#This Row],[Sample weight, g]]*'2.1. DM'!Q61)/100)*1000</f>
        <v>469.25947123375278</v>
      </c>
      <c r="T276" s="94">
        <f>'3.2 Digest'!W276</f>
        <v>20.759471233752777</v>
      </c>
      <c r="U276" s="153">
        <v>0.33541666666666664</v>
      </c>
      <c r="V276" s="155">
        <v>40.5</v>
      </c>
      <c r="W276" s="153">
        <v>0.67847222222222225</v>
      </c>
      <c r="X276" s="91">
        <v>69</v>
      </c>
      <c r="Y276" s="91">
        <v>13.3</v>
      </c>
      <c r="Z276" s="154">
        <v>40</v>
      </c>
      <c r="AA276" s="153">
        <v>0.35625000000000001</v>
      </c>
      <c r="AB276" s="154">
        <v>59.5</v>
      </c>
      <c r="AC276" s="154">
        <v>18.5</v>
      </c>
      <c r="AD276" s="91"/>
      <c r="AE276" s="94"/>
      <c r="AF276" s="94"/>
      <c r="AG276" s="94"/>
      <c r="AH276" s="94"/>
      <c r="AI276" s="94"/>
      <c r="AJ276" s="94"/>
      <c r="AK276" s="94"/>
      <c r="AL276" s="94"/>
      <c r="AM276" s="94"/>
      <c r="AN276" s="94"/>
      <c r="AO276" s="94"/>
      <c r="AP276" s="94"/>
      <c r="AQ276" s="94"/>
      <c r="AR276" s="94"/>
      <c r="AS276" s="94"/>
      <c r="AT276" s="94"/>
      <c r="AU276" s="94"/>
      <c r="AV276" s="94"/>
      <c r="AW276" s="303" t="s">
        <v>625</v>
      </c>
    </row>
    <row r="277" spans="1:49" s="304" customFormat="1" x14ac:dyDescent="0.35">
      <c r="A277" s="89"/>
      <c r="B277" s="90">
        <f t="shared" si="4"/>
        <v>267</v>
      </c>
      <c r="C277" s="140">
        <v>46076</v>
      </c>
      <c r="D277" s="6" t="s">
        <v>16</v>
      </c>
      <c r="E277" s="6" t="str">
        <f>'[1]1. Information samples'!$F$42</f>
        <v>CIAT-9990</v>
      </c>
      <c r="F277" s="6" t="s">
        <v>79</v>
      </c>
      <c r="G277" s="6" t="s">
        <v>80</v>
      </c>
      <c r="H277" s="6" t="str">
        <f>'[1]1. Information samples'!$I$42</f>
        <v>Prosopis juliflora</v>
      </c>
      <c r="I277" s="6" t="s">
        <v>22</v>
      </c>
      <c r="J277" s="129" t="s">
        <v>23</v>
      </c>
      <c r="K277" s="129" t="s">
        <v>24</v>
      </c>
      <c r="L277" s="6" t="str">
        <f>'[1]1. Information samples'!$E$42</f>
        <v>F251754</v>
      </c>
      <c r="M277" s="119">
        <v>27</v>
      </c>
      <c r="N277" s="93">
        <v>69</v>
      </c>
      <c r="O277" s="6">
        <v>3</v>
      </c>
      <c r="P277" s="129">
        <v>1</v>
      </c>
      <c r="Q277" s="6">
        <v>129</v>
      </c>
      <c r="R277" s="98">
        <v>0.50060000000000004</v>
      </c>
      <c r="S277" s="94">
        <f>((Table3.110[[#This Row],[Sample weight, g]]*'2.1. DM'!Q63)/100)*1000</f>
        <v>465.42892264641193</v>
      </c>
      <c r="T277" s="94">
        <f>'3.2 Digest'!W277</f>
        <v>203.72892264641189</v>
      </c>
      <c r="U277" s="153">
        <v>0.33541666666666664</v>
      </c>
      <c r="V277" s="155">
        <v>41</v>
      </c>
      <c r="W277" s="153">
        <v>0.67847222222222225</v>
      </c>
      <c r="X277" s="91">
        <v>54.5</v>
      </c>
      <c r="Y277" s="91">
        <v>8.1999999999999993</v>
      </c>
      <c r="Z277" s="154">
        <v>40.5</v>
      </c>
      <c r="AA277" s="153">
        <v>0.35625000000000001</v>
      </c>
      <c r="AB277" s="154">
        <v>54</v>
      </c>
      <c r="AC277" s="154">
        <v>7.9</v>
      </c>
      <c r="AD277" s="91"/>
      <c r="AE277" s="94">
        <f>Table3.110[[#This Row],[Gas 8h, ml]]-Table3.110[[#This Row],[Gas 0h, ml]]</f>
        <v>13.5</v>
      </c>
      <c r="AF277" s="94">
        <f>Table3.110[[#This Row],[Gas 24h, ml]]-Table3.110[[#This Row],[V8 Push back, ml]]</f>
        <v>13.5</v>
      </c>
      <c r="AG277" s="94">
        <f>Table3.110[[#This Row],[GP 8h, ml]]-(AVERAGE(AE$221,AE$222,AE$255,AE$256,AE$291,AE$292))*$AG$8</f>
        <v>12.024988739845064</v>
      </c>
      <c r="AH277" s="94">
        <f>Table3.110[[#This Row],[GP 8-24h, ml]]-(AVERAGE(AF$221,AF$222,AF$255,AF$256,AF$291,AF$292))*$AG$8</f>
        <v>11.508734798790837</v>
      </c>
      <c r="AI277" s="94">
        <f>Table3.110[[#This Row],[Net gas 8-24h, ml]]+Table3.110[[#This Row],[Net gas 8h, ml]]</f>
        <v>23.5337235386359</v>
      </c>
      <c r="AJ277" s="94">
        <f>Table3.110[[#This Row],[Net gas 8h, ml]]*Table3.110[[#This Row],[CH4 8h %]]%</f>
        <v>0.98604907666729513</v>
      </c>
      <c r="AK277" s="94">
        <f>Table3.110[[#This Row],[Net gas 8-24h, ml]]*Table3.110[[#This Row],[CH4 24h, %]]%</f>
        <v>0.90919004910447609</v>
      </c>
      <c r="AL277" s="94">
        <f>Table3.110[[#This Row],[CH4 8-24h, ml]]+Table3.110[[#This Row],[CH4 8h, ml]]</f>
        <v>1.8952391257717713</v>
      </c>
      <c r="AM277" s="94">
        <f>(Table3.110[[#This Row],[Net gas 24h, ml]]/Table3.110[[#This Row],[DM Incubated, mg]])*1000</f>
        <v>50.56351763621393</v>
      </c>
      <c r="AN277" s="94">
        <f>'3.2 Digest'!X277</f>
        <v>43.772295345982506</v>
      </c>
      <c r="AO277" s="94">
        <f>Table3.110[[#This Row],[Digested feed, mg]]/Table3.110[[#This Row],[Net gas 24h, ml]]</f>
        <v>8.6568928334670474</v>
      </c>
      <c r="AP277" s="94">
        <f>Table3.110[[#This Row],[CH4 8h, ml]]/Table3.110[[#This Row],[Net gas 8h, ml]]%</f>
        <v>8.1999999999999993</v>
      </c>
      <c r="AQ277" s="94">
        <f>Table3.110[[#This Row],[CH4 24h, ml]]/Table3.110[[#This Row],[Net gas 24h, ml]]%</f>
        <v>8.0532905158858945</v>
      </c>
      <c r="AR277" s="94">
        <f>Table3.110[[#This Row],[CH4 24h, ml]]/Table3.110[[#This Row],[DM Incubated, mg]]*1000</f>
        <v>4.0720269702955081</v>
      </c>
      <c r="AS277" s="94">
        <f>Table3.110[[#This Row],[CH4 24h, ml]]/Table3.110[[#This Row],[Digested feed, mg]]*1000</f>
        <v>9.3027494631241581</v>
      </c>
      <c r="AT277" s="94">
        <f>Table3.110[[#This Row],[CH4 24h, ml]]/'3.2 Digest'!AA277</f>
        <v>-0.12382583147998424</v>
      </c>
      <c r="AU277" s="94">
        <f>((Table3.110[[#This Row],[CH4 24h, ml]]/28.9)*16.04)/Table3.110[[#This Row],[DM Incubated, mg]]*1000</f>
        <v>2.2600454188076111</v>
      </c>
      <c r="AV277" s="94">
        <f>((Table3.110[[#This Row],[CH4 24h, ml]]/28.9)*16.04)/Table3.110[[#This Row],[Digested feed, mg]]*1000</f>
        <v>5.1631868992564529</v>
      </c>
      <c r="AW277" s="303"/>
    </row>
    <row r="278" spans="1:49" s="304" customFormat="1" x14ac:dyDescent="0.35">
      <c r="A278" s="89"/>
      <c r="B278" s="90">
        <f t="shared" si="4"/>
        <v>268</v>
      </c>
      <c r="C278" s="140">
        <v>46076</v>
      </c>
      <c r="D278" s="6" t="s">
        <v>16</v>
      </c>
      <c r="E278" s="6" t="str">
        <f>'[1]1. Information samples'!$F$42</f>
        <v>CIAT-9990</v>
      </c>
      <c r="F278" s="6" t="s">
        <v>79</v>
      </c>
      <c r="G278" s="6" t="s">
        <v>80</v>
      </c>
      <c r="H278" s="6" t="str">
        <f>'[1]1. Information samples'!$I$42</f>
        <v>Prosopis juliflora</v>
      </c>
      <c r="I278" s="6" t="s">
        <v>22</v>
      </c>
      <c r="J278" s="129" t="s">
        <v>23</v>
      </c>
      <c r="K278" s="129" t="s">
        <v>24</v>
      </c>
      <c r="L278" s="6" t="str">
        <f>'[1]1. Information samples'!$E$42</f>
        <v>F251754</v>
      </c>
      <c r="M278" s="119">
        <v>27</v>
      </c>
      <c r="N278" s="93">
        <v>69</v>
      </c>
      <c r="O278" s="6">
        <v>3</v>
      </c>
      <c r="P278" s="129">
        <v>2</v>
      </c>
      <c r="Q278" s="6">
        <v>130</v>
      </c>
      <c r="R278" s="98">
        <v>0.5</v>
      </c>
      <c r="S278" s="94">
        <f>((Table3.110[[#This Row],[Sample weight, g]]*'2.1. DM'!Q63)/100)*1000</f>
        <v>464.87107735358762</v>
      </c>
      <c r="T278" s="94">
        <f>'3.2 Digest'!W278</f>
        <v>256.37107735358757</v>
      </c>
      <c r="U278" s="117">
        <v>0.33611111111111114</v>
      </c>
      <c r="V278" s="155">
        <v>40.5</v>
      </c>
      <c r="W278" s="117">
        <v>0.6791666666666667</v>
      </c>
      <c r="X278" s="96">
        <v>55.5</v>
      </c>
      <c r="Y278" s="96">
        <v>7.3</v>
      </c>
      <c r="Z278" s="155">
        <v>40</v>
      </c>
      <c r="AA278" s="117">
        <v>0.35694444444444445</v>
      </c>
      <c r="AB278" s="155">
        <v>53</v>
      </c>
      <c r="AC278" s="155">
        <v>1</v>
      </c>
      <c r="AD278" s="96" t="s">
        <v>551</v>
      </c>
      <c r="AE278" s="94">
        <f>Table3.110[[#This Row],[Gas 8h, ml]]-Table3.110[[#This Row],[Gas 0h, ml]]</f>
        <v>15</v>
      </c>
      <c r="AF278" s="94">
        <f>Table3.110[[#This Row],[Gas 24h, ml]]-Table3.110[[#This Row],[V8 Push back, ml]]</f>
        <v>13</v>
      </c>
      <c r="AG278" s="94">
        <f>Table3.110[[#This Row],[GP 8h, ml]]-(AVERAGE(AE$221,AE$222,AE$255,AE$256,AE$291,AE$292))*$AG$8</f>
        <v>13.524988739845064</v>
      </c>
      <c r="AH278" s="94">
        <f>Table3.110[[#This Row],[GP 8-24h, ml]]-(AVERAGE(AF$221,AF$222,AF$255,AF$256,AF$291,AF$292))*$AG$8</f>
        <v>11.008734798790837</v>
      </c>
      <c r="AI278" s="94">
        <f>Table3.110[[#This Row],[Net gas 8-24h, ml]]+Table3.110[[#This Row],[Net gas 8h, ml]]</f>
        <v>24.5337235386359</v>
      </c>
      <c r="AJ278" s="94">
        <f>Table3.110[[#This Row],[Net gas 8h, ml]]*Table3.110[[#This Row],[CH4 8h %]]%</f>
        <v>0.98732417800868966</v>
      </c>
      <c r="AK278" s="94">
        <f>Table3.110[[#This Row],[Net gas 8-24h, ml]]*Table3.110[[#This Row],[CH4 24h, %]]%</f>
        <v>0.11008734798790837</v>
      </c>
      <c r="AL278" s="94">
        <f>Table3.110[[#This Row],[CH4 8-24h, ml]]+Table3.110[[#This Row],[CH4 8h, ml]]</f>
        <v>1.097411525996598</v>
      </c>
      <c r="AM278" s="94">
        <f>(Table3.110[[#This Row],[Net gas 24h, ml]]/Table3.110[[#This Row],[DM Incubated, mg]])*1000</f>
        <v>52.77532790015929</v>
      </c>
      <c r="AN278" s="94">
        <f>'3.2 Digest'!X278</f>
        <v>55.148855207997386</v>
      </c>
      <c r="AO278" s="94">
        <f>Table3.110[[#This Row],[Digested feed, mg]]/Table3.110[[#This Row],[Net gas 24h, ml]]</f>
        <v>10.449741840037138</v>
      </c>
      <c r="AP278" s="94">
        <f>Table3.110[[#This Row],[CH4 8h, ml]]/Table3.110[[#This Row],[Net gas 8h, ml]]%</f>
        <v>7.3</v>
      </c>
      <c r="AQ278" s="94">
        <f>Table3.110[[#This Row],[CH4 24h, ml]]/Table3.110[[#This Row],[Net gas 24h, ml]]%</f>
        <v>4.4730736623341567</v>
      </c>
      <c r="AR278" s="94">
        <f>Table3.110[[#This Row],[CH4 24h, ml]]/Table3.110[[#This Row],[DM Incubated, mg]]*1000</f>
        <v>2.3606792925125153</v>
      </c>
      <c r="AS278" s="94">
        <f>Table3.110[[#This Row],[CH4 24h, ml]]/Table3.110[[#This Row],[Digested feed, mg]]*1000</f>
        <v>4.2805590136169904</v>
      </c>
      <c r="AT278" s="94">
        <f>Table3.110[[#This Row],[CH4 24h, ml]]/'3.2 Digest'!AA278</f>
        <v>0.136763897170459</v>
      </c>
      <c r="AU278" s="94">
        <f>((Table3.110[[#This Row],[CH4 24h, ml]]/28.9)*16.04)/Table3.110[[#This Row],[DM Incubated, mg]]*1000</f>
        <v>1.3102178495467383</v>
      </c>
      <c r="AV278" s="94">
        <f>((Table3.110[[#This Row],[CH4 24h, ml]]/28.9)*16.04)/Table3.110[[#This Row],[Digested feed, mg]]*1000</f>
        <v>2.3757843106718521</v>
      </c>
      <c r="AW278" s="303"/>
    </row>
    <row r="279" spans="1:49" s="304" customFormat="1" x14ac:dyDescent="0.35">
      <c r="A279" s="89"/>
      <c r="B279" s="90">
        <f t="shared" si="4"/>
        <v>269</v>
      </c>
      <c r="C279" s="140">
        <v>46076</v>
      </c>
      <c r="D279" s="6" t="s">
        <v>16</v>
      </c>
      <c r="E279" s="6" t="str">
        <f>'[1]1. Information samples'!$F$43</f>
        <v>CIAT-13258</v>
      </c>
      <c r="F279" s="6" t="s">
        <v>19</v>
      </c>
      <c r="G279" s="6" t="s">
        <v>29</v>
      </c>
      <c r="H279" s="6" t="str">
        <f>'[1]1. Information samples'!$I$43</f>
        <v>Dendrolobium lanceolatum</v>
      </c>
      <c r="I279" s="6" t="s">
        <v>22</v>
      </c>
      <c r="J279" s="129" t="s">
        <v>23</v>
      </c>
      <c r="K279" s="129" t="s">
        <v>24</v>
      </c>
      <c r="L279" s="6" t="str">
        <f>'[1]1. Information samples'!$E$43</f>
        <v>F251755</v>
      </c>
      <c r="M279" s="119">
        <v>27</v>
      </c>
      <c r="N279" s="93">
        <v>69</v>
      </c>
      <c r="O279" s="6">
        <v>3</v>
      </c>
      <c r="P279" s="129">
        <v>1</v>
      </c>
      <c r="Q279" s="6">
        <v>131</v>
      </c>
      <c r="R279" s="98">
        <v>0.50009999999999999</v>
      </c>
      <c r="S279" s="94">
        <f>((Table3.110[[#This Row],[Sample weight, g]]*'2.1. DM'!Q65)/100)*1000</f>
        <v>473.08174190144013</v>
      </c>
      <c r="T279" s="94">
        <f>'3.2 Digest'!W279</f>
        <v>78.281741901440171</v>
      </c>
      <c r="U279" s="117">
        <v>0.33611111111111114</v>
      </c>
      <c r="V279" s="155">
        <v>41</v>
      </c>
      <c r="W279" s="117">
        <v>0.67986111111111114</v>
      </c>
      <c r="X279" s="96">
        <v>62</v>
      </c>
      <c r="Y279" s="96">
        <v>11.7</v>
      </c>
      <c r="Z279" s="155">
        <v>40</v>
      </c>
      <c r="AA279" s="117">
        <v>8.3569444444444443</v>
      </c>
      <c r="AB279" s="155">
        <v>52.5</v>
      </c>
      <c r="AC279" s="155">
        <v>9.1999999999999993</v>
      </c>
      <c r="AD279" s="96"/>
      <c r="AE279" s="94">
        <f>Table3.110[[#This Row],[Gas 8h, ml]]-Table3.110[[#This Row],[Gas 0h, ml]]</f>
        <v>21</v>
      </c>
      <c r="AF279" s="94">
        <f>Table3.110[[#This Row],[Gas 24h, ml]]-Table3.110[[#This Row],[V8 Push back, ml]]</f>
        <v>12.5</v>
      </c>
      <c r="AG279" s="94">
        <f>Table3.110[[#This Row],[GP 8h, ml]]-(AVERAGE(AE$221,AE$222,AE$255,AE$256,AE$291,AE$292))*$AG$8</f>
        <v>19.524988739845064</v>
      </c>
      <c r="AH279" s="94">
        <f>Table3.110[[#This Row],[GP 8-24h, ml]]-(AVERAGE(AF$221,AF$222,AF$255,AF$256,AF$291,AF$292))*$AG$8</f>
        <v>10.508734798790837</v>
      </c>
      <c r="AI279" s="94">
        <f>Table3.110[[#This Row],[Net gas 8-24h, ml]]+Table3.110[[#This Row],[Net gas 8h, ml]]</f>
        <v>30.0337235386359</v>
      </c>
      <c r="AJ279" s="94">
        <f>Table3.110[[#This Row],[Net gas 8h, ml]]*Table3.110[[#This Row],[CH4 8h %]]%</f>
        <v>2.2844236825618722</v>
      </c>
      <c r="AK279" s="94">
        <f>Table3.110[[#This Row],[Net gas 8-24h, ml]]*Table3.110[[#This Row],[CH4 24h, %]]%</f>
        <v>0.96680360148875699</v>
      </c>
      <c r="AL279" s="94">
        <f>Table3.110[[#This Row],[CH4 8-24h, ml]]+Table3.110[[#This Row],[CH4 8h, ml]]</f>
        <v>3.2512272840506293</v>
      </c>
      <c r="AM279" s="94">
        <f>(Table3.110[[#This Row],[Net gas 24h, ml]]/Table3.110[[#This Row],[DM Incubated, mg]])*1000</f>
        <v>63.485273005722973</v>
      </c>
      <c r="AN279" s="94">
        <f>'3.2 Digest'!X279</f>
        <v>16.547191524831469</v>
      </c>
      <c r="AO279" s="94">
        <f>Table3.110[[#This Row],[Digested feed, mg]]/Table3.110[[#This Row],[Net gas 24h, ml]]</f>
        <v>2.6064614266272108</v>
      </c>
      <c r="AP279" s="94">
        <f>Table3.110[[#This Row],[CH4 8h, ml]]/Table3.110[[#This Row],[Net gas 8h, ml]]%</f>
        <v>11.699999999999998</v>
      </c>
      <c r="AQ279" s="94">
        <f>Table3.110[[#This Row],[CH4 24h, ml]]/Table3.110[[#This Row],[Net gas 24h, ml]]%</f>
        <v>10.82525541619305</v>
      </c>
      <c r="AR279" s="94">
        <f>Table3.110[[#This Row],[CH4 24h, ml]]/Table3.110[[#This Row],[DM Incubated, mg]]*1000</f>
        <v>6.8724429545369699</v>
      </c>
      <c r="AS279" s="94">
        <f>Table3.110[[#This Row],[CH4 24h, ml]]/Table3.110[[#This Row],[Digested feed, mg]]*1000</f>
        <v>41.532382967972964</v>
      </c>
      <c r="AT279" s="94">
        <f>Table3.110[[#This Row],[CH4 24h, ml]]/'3.2 Digest'!AA279</f>
        <v>-9.280964952368792E-2</v>
      </c>
      <c r="AU279" s="94">
        <f>((Table3.110[[#This Row],[CH4 24h, ml]]/28.9)*16.04)/Table3.110[[#This Row],[DM Incubated, mg]]*1000</f>
        <v>3.8143247401651554</v>
      </c>
      <c r="AV279" s="94">
        <f>((Table3.110[[#This Row],[CH4 24h, ml]]/28.9)*16.04)/Table3.110[[#This Row],[Digested feed, mg]]*1000</f>
        <v>23.051191100563543</v>
      </c>
      <c r="AW279" s="303"/>
    </row>
    <row r="280" spans="1:49" s="304" customFormat="1" x14ac:dyDescent="0.35">
      <c r="A280" s="89"/>
      <c r="B280" s="90">
        <f t="shared" si="4"/>
        <v>270</v>
      </c>
      <c r="C280" s="140">
        <v>46076</v>
      </c>
      <c r="D280" s="6" t="s">
        <v>16</v>
      </c>
      <c r="E280" s="6" t="str">
        <f>'[1]1. Information samples'!$F$43</f>
        <v>CIAT-13258</v>
      </c>
      <c r="F280" s="6" t="s">
        <v>19</v>
      </c>
      <c r="G280" s="6" t="s">
        <v>29</v>
      </c>
      <c r="H280" s="6" t="str">
        <f>'[1]1. Information samples'!$I$43</f>
        <v>Dendrolobium lanceolatum</v>
      </c>
      <c r="I280" s="6" t="s">
        <v>22</v>
      </c>
      <c r="J280" s="129" t="s">
        <v>23</v>
      </c>
      <c r="K280" s="129" t="s">
        <v>24</v>
      </c>
      <c r="L280" s="6" t="str">
        <f>'[1]1. Information samples'!$E$43</f>
        <v>F251755</v>
      </c>
      <c r="M280" s="119">
        <v>27</v>
      </c>
      <c r="N280" s="93">
        <v>69</v>
      </c>
      <c r="O280" s="6">
        <v>3</v>
      </c>
      <c r="P280" s="129">
        <v>2</v>
      </c>
      <c r="Q280" s="6">
        <v>132</v>
      </c>
      <c r="R280" s="98">
        <v>0.50009999999999999</v>
      </c>
      <c r="S280" s="94">
        <f>((Table3.110[[#This Row],[Sample weight, g]]*'2.1. DM'!Q65)/100)*1000</f>
        <v>473.08174190144013</v>
      </c>
      <c r="T280" s="94">
        <f>'3.2 Digest'!W280</f>
        <v>99.38174190144008</v>
      </c>
      <c r="U280" s="153">
        <v>0.33611111111111114</v>
      </c>
      <c r="V280" s="155">
        <v>41.5</v>
      </c>
      <c r="W280" s="153">
        <v>0.67986111111111114</v>
      </c>
      <c r="X280" s="91">
        <v>62.5</v>
      </c>
      <c r="Y280" s="91">
        <v>12.3</v>
      </c>
      <c r="Z280" s="154">
        <v>40</v>
      </c>
      <c r="AA280" s="153">
        <v>0.35833333333333334</v>
      </c>
      <c r="AB280" s="154">
        <v>53</v>
      </c>
      <c r="AC280" s="154">
        <v>15.8</v>
      </c>
      <c r="AD280" s="91"/>
      <c r="AE280" s="94">
        <f>Table3.110[[#This Row],[Gas 8h, ml]]-Table3.110[[#This Row],[Gas 0h, ml]]</f>
        <v>21</v>
      </c>
      <c r="AF280" s="94">
        <f>Table3.110[[#This Row],[Gas 24h, ml]]-Table3.110[[#This Row],[V8 Push back, ml]]</f>
        <v>13</v>
      </c>
      <c r="AG280" s="94">
        <f>Table3.110[[#This Row],[GP 8h, ml]]-(AVERAGE(AE$221,AE$222,AE$255,AE$256,AE$291,AE$292))*$AG$8</f>
        <v>19.524988739845064</v>
      </c>
      <c r="AH280" s="94">
        <f>Table3.110[[#This Row],[GP 8-24h, ml]]-(AVERAGE(AF$221,AF$222,AF$255,AF$256,AF$291,AF$292))*$AG$8</f>
        <v>11.008734798790837</v>
      </c>
      <c r="AI280" s="94">
        <f>Table3.110[[#This Row],[Net gas 8-24h, ml]]+Table3.110[[#This Row],[Net gas 8h, ml]]</f>
        <v>30.5337235386359</v>
      </c>
      <c r="AJ280" s="94">
        <f>Table3.110[[#This Row],[Net gas 8h, ml]]*Table3.110[[#This Row],[CH4 8h %]]%</f>
        <v>2.401573615000943</v>
      </c>
      <c r="AK280" s="94">
        <f>Table3.110[[#This Row],[Net gas 8-24h, ml]]*Table3.110[[#This Row],[CH4 24h, %]]%</f>
        <v>1.7393800982089522</v>
      </c>
      <c r="AL280" s="94">
        <f>Table3.110[[#This Row],[CH4 8-24h, ml]]+Table3.110[[#This Row],[CH4 8h, ml]]</f>
        <v>4.1409537132098952</v>
      </c>
      <c r="AM280" s="94">
        <f>(Table3.110[[#This Row],[Net gas 24h, ml]]/Table3.110[[#This Row],[DM Incubated, mg]])*1000</f>
        <v>64.542172809106575</v>
      </c>
      <c r="AN280" s="94">
        <f>'3.2 Digest'!X280</f>
        <v>21.007308695110211</v>
      </c>
      <c r="AO280" s="94">
        <f>Table3.110[[#This Row],[Digested feed, mg]]/Table3.110[[#This Row],[Net gas 24h, ml]]</f>
        <v>3.2548189471777729</v>
      </c>
      <c r="AP280" s="94">
        <f>Table3.110[[#This Row],[CH4 8h, ml]]/Table3.110[[#This Row],[Net gas 8h, ml]]%</f>
        <v>12.3</v>
      </c>
      <c r="AQ280" s="94">
        <f>Table3.110[[#This Row],[CH4 24h, ml]]/Table3.110[[#This Row],[Net gas 24h, ml]]%</f>
        <v>13.56190216358687</v>
      </c>
      <c r="AR280" s="94">
        <f>Table3.110[[#This Row],[CH4 24h, ml]]/Table3.110[[#This Row],[DM Incubated, mg]]*1000</f>
        <v>8.7531463306241992</v>
      </c>
      <c r="AS280" s="94">
        <f>Table3.110[[#This Row],[CH4 24h, ml]]/Table3.110[[#This Row],[Digested feed, mg]]*1000</f>
        <v>41.667147646864613</v>
      </c>
      <c r="AT280" s="94">
        <f>Table3.110[[#This Row],[CH4 24h, ml]]/'3.2 Digest'!AA280</f>
        <v>-0.14887792111706807</v>
      </c>
      <c r="AU280" s="94">
        <f>((Table3.110[[#This Row],[CH4 24h, ml]]/28.9)*16.04)/Table3.110[[#This Row],[DM Incubated, mg]]*1000</f>
        <v>4.8581476520142619</v>
      </c>
      <c r="AV280" s="94">
        <f>((Table3.110[[#This Row],[CH4 24h, ml]]/28.9)*16.04)/Table3.110[[#This Row],[Digested feed, mg]]*1000</f>
        <v>23.125987828917246</v>
      </c>
      <c r="AW280" s="303"/>
    </row>
    <row r="281" spans="1:49" s="304" customFormat="1" x14ac:dyDescent="0.35">
      <c r="A281" s="89"/>
      <c r="B281" s="90">
        <f t="shared" si="4"/>
        <v>271</v>
      </c>
      <c r="C281" s="140">
        <v>46076</v>
      </c>
      <c r="D281" s="6" t="s">
        <v>16</v>
      </c>
      <c r="E281" s="6" t="str">
        <f>'[1]1. Information samples'!$F$44</f>
        <v>CIAT-13260</v>
      </c>
      <c r="F281" s="6" t="s">
        <v>19</v>
      </c>
      <c r="G281" s="6" t="s">
        <v>29</v>
      </c>
      <c r="H281" s="6" t="str">
        <f>'[1]1. Information samples'!$I$44</f>
        <v>Dendrolobium lanceolatum</v>
      </c>
      <c r="I281" s="6" t="s">
        <v>22</v>
      </c>
      <c r="J281" s="129" t="s">
        <v>23</v>
      </c>
      <c r="K281" s="129" t="s">
        <v>24</v>
      </c>
      <c r="L281" s="6" t="str">
        <f>'[1]1. Information samples'!$E$44</f>
        <v>F251756</v>
      </c>
      <c r="M281" s="119">
        <v>27</v>
      </c>
      <c r="N281" s="93">
        <v>69</v>
      </c>
      <c r="O281" s="6">
        <v>3</v>
      </c>
      <c r="P281" s="129">
        <v>1</v>
      </c>
      <c r="Q281" s="6">
        <v>133</v>
      </c>
      <c r="R281" s="98">
        <v>0.50029999999999997</v>
      </c>
      <c r="S281" s="94">
        <f>((Table3.110[[#This Row],[Sample weight, g]]*'2.1. DM'!Q67)/100)*1000</f>
        <v>470.66462501661408</v>
      </c>
      <c r="T281" s="94">
        <f>'3.2 Digest'!W281</f>
        <v>56.36462501661407</v>
      </c>
      <c r="U281" s="153">
        <v>0.33680555555555558</v>
      </c>
      <c r="V281" s="155">
        <v>40.5</v>
      </c>
      <c r="W281" s="153">
        <v>0.68055555555555558</v>
      </c>
      <c r="X281" s="91">
        <v>65.5</v>
      </c>
      <c r="Y281" s="91">
        <v>12.5</v>
      </c>
      <c r="Z281" s="154">
        <v>40</v>
      </c>
      <c r="AA281" s="153">
        <v>0.35902777777777778</v>
      </c>
      <c r="AB281" s="154">
        <v>55.5</v>
      </c>
      <c r="AC281" s="154">
        <v>16.100000000000001</v>
      </c>
      <c r="AD281" s="91"/>
      <c r="AE281" s="94">
        <f>Table3.110[[#This Row],[Gas 8h, ml]]-Table3.110[[#This Row],[Gas 0h, ml]]</f>
        <v>25</v>
      </c>
      <c r="AF281" s="94">
        <f>Table3.110[[#This Row],[Gas 24h, ml]]-Table3.110[[#This Row],[V8 Push back, ml]]</f>
        <v>15.5</v>
      </c>
      <c r="AG281" s="94">
        <f>Table3.110[[#This Row],[GP 8h, ml]]-(AVERAGE(AE$221,AE$222,AE$255,AE$256,AE$291,AE$292))*$AG$8</f>
        <v>23.524988739845064</v>
      </c>
      <c r="AH281" s="94">
        <f>Table3.110[[#This Row],[GP 8-24h, ml]]-(AVERAGE(AF$221,AF$222,AF$255,AF$256,AF$291,AF$292))*$AG$8</f>
        <v>13.508734798790837</v>
      </c>
      <c r="AI281" s="94">
        <f>Table3.110[[#This Row],[Net gas 8-24h, ml]]+Table3.110[[#This Row],[Net gas 8h, ml]]</f>
        <v>37.033723538635897</v>
      </c>
      <c r="AJ281" s="94">
        <f>Table3.110[[#This Row],[Net gas 8h, ml]]*Table3.110[[#This Row],[CH4 8h %]]%</f>
        <v>2.940623592480633</v>
      </c>
      <c r="AK281" s="94">
        <f>Table3.110[[#This Row],[Net gas 8-24h, ml]]*Table3.110[[#This Row],[CH4 24h, %]]%</f>
        <v>2.1749063026053248</v>
      </c>
      <c r="AL281" s="94">
        <f>Table3.110[[#This Row],[CH4 8-24h, ml]]+Table3.110[[#This Row],[CH4 8h, ml]]</f>
        <v>5.1155298950859578</v>
      </c>
      <c r="AM281" s="94">
        <f>(Table3.110[[#This Row],[Net gas 24h, ml]]/Table3.110[[#This Row],[DM Incubated, mg]])*1000</f>
        <v>78.683889908506799</v>
      </c>
      <c r="AN281" s="94">
        <f>'3.2 Digest'!X281</f>
        <v>11.975538848840497</v>
      </c>
      <c r="AO281" s="94">
        <f>Table3.110[[#This Row],[Digested feed, mg]]/Table3.110[[#This Row],[Net gas 24h, ml]]</f>
        <v>1.5219810386555099</v>
      </c>
      <c r="AP281" s="94">
        <f>Table3.110[[#This Row],[CH4 8h, ml]]/Table3.110[[#This Row],[Net gas 8h, ml]]%</f>
        <v>12.5</v>
      </c>
      <c r="AQ281" s="94">
        <f>Table3.110[[#This Row],[CH4 24h, ml]]/Table3.110[[#This Row],[Net gas 24h, ml]]%</f>
        <v>13.813166504170495</v>
      </c>
      <c r="AR281" s="94">
        <f>Table3.110[[#This Row],[CH4 24h, ml]]/Table3.110[[#This Row],[DM Incubated, mg]]*1000</f>
        <v>10.868736725020248</v>
      </c>
      <c r="AS281" s="94">
        <f>Table3.110[[#This Row],[CH4 24h, ml]]/Table3.110[[#This Row],[Digested feed, mg]]*1000</f>
        <v>90.75780941642212</v>
      </c>
      <c r="AT281" s="94">
        <f>Table3.110[[#This Row],[CH4 24h, ml]]/'3.2 Digest'!AA281</f>
        <v>-0.14607395522823399</v>
      </c>
      <c r="AU281" s="94">
        <f>((Table3.110[[#This Row],[CH4 24h, ml]]/28.9)*16.04)/Table3.110[[#This Row],[DM Incubated, mg]]*1000</f>
        <v>6.0323369228140065</v>
      </c>
      <c r="AV281" s="94">
        <f>((Table3.110[[#This Row],[CH4 24h, ml]]/28.9)*16.04)/Table3.110[[#This Row],[Digested feed, mg]]*1000</f>
        <v>50.37215443042944</v>
      </c>
      <c r="AW281" s="303"/>
    </row>
    <row r="282" spans="1:49" s="304" customFormat="1" x14ac:dyDescent="0.35">
      <c r="A282" s="89"/>
      <c r="B282" s="90">
        <f t="shared" si="4"/>
        <v>272</v>
      </c>
      <c r="C282" s="140">
        <v>46076</v>
      </c>
      <c r="D282" s="6" t="s">
        <v>16</v>
      </c>
      <c r="E282" s="6" t="str">
        <f>'[1]1. Information samples'!$F$44</f>
        <v>CIAT-13260</v>
      </c>
      <c r="F282" s="6" t="s">
        <v>19</v>
      </c>
      <c r="G282" s="6" t="s">
        <v>29</v>
      </c>
      <c r="H282" s="6" t="str">
        <f>'[1]1. Information samples'!$I$44</f>
        <v>Dendrolobium lanceolatum</v>
      </c>
      <c r="I282" s="6" t="s">
        <v>22</v>
      </c>
      <c r="J282" s="129" t="s">
        <v>23</v>
      </c>
      <c r="K282" s="129" t="s">
        <v>24</v>
      </c>
      <c r="L282" s="6" t="str">
        <f>'[1]1. Information samples'!$E$44</f>
        <v>F251756</v>
      </c>
      <c r="M282" s="119">
        <v>27</v>
      </c>
      <c r="N282" s="93">
        <v>69</v>
      </c>
      <c r="O282" s="6">
        <v>3</v>
      </c>
      <c r="P282" s="129">
        <v>2</v>
      </c>
      <c r="Q282" s="6">
        <v>134</v>
      </c>
      <c r="R282" s="98">
        <v>0.50039999999999996</v>
      </c>
      <c r="S282" s="94">
        <f>((Table3.110[[#This Row],[Sample weight, g]]*'2.1. DM'!Q67)/100)*1000</f>
        <v>470.75870149572989</v>
      </c>
      <c r="T282" s="94">
        <f>'3.2 Digest'!W282</f>
        <v>79.658701495729872</v>
      </c>
      <c r="U282" s="117">
        <v>0.33680555555555558</v>
      </c>
      <c r="V282" s="155">
        <v>41</v>
      </c>
      <c r="W282" s="117">
        <v>0.68055555555555558</v>
      </c>
      <c r="X282" s="96">
        <v>65.5</v>
      </c>
      <c r="Y282" s="96">
        <v>12.5</v>
      </c>
      <c r="Z282" s="155">
        <v>40</v>
      </c>
      <c r="AA282" s="117">
        <v>0.35972222222222222</v>
      </c>
      <c r="AB282" s="155">
        <v>55.5</v>
      </c>
      <c r="AC282" s="155">
        <v>16.600000000000001</v>
      </c>
      <c r="AD282" s="96"/>
      <c r="AE282" s="94">
        <f>Table3.110[[#This Row],[Gas 8h, ml]]-Table3.110[[#This Row],[Gas 0h, ml]]</f>
        <v>24.5</v>
      </c>
      <c r="AF282" s="94">
        <f>Table3.110[[#This Row],[Gas 24h, ml]]-Table3.110[[#This Row],[V8 Push back, ml]]</f>
        <v>15.5</v>
      </c>
      <c r="AG282" s="94">
        <f>Table3.110[[#This Row],[GP 8h, ml]]-(AVERAGE(AE$221,AE$222,AE$255,AE$256,AE$291,AE$292))*$AG$8</f>
        <v>23.024988739845064</v>
      </c>
      <c r="AH282" s="94">
        <f>Table3.110[[#This Row],[GP 8-24h, ml]]-(AVERAGE(AF$221,AF$222,AF$255,AF$256,AF$291,AF$292))*$AG$8</f>
        <v>13.508734798790837</v>
      </c>
      <c r="AI282" s="94">
        <f>Table3.110[[#This Row],[Net gas 8-24h, ml]]+Table3.110[[#This Row],[Net gas 8h, ml]]</f>
        <v>36.533723538635897</v>
      </c>
      <c r="AJ282" s="94">
        <f>Table3.110[[#This Row],[Net gas 8h, ml]]*Table3.110[[#This Row],[CH4 8h %]]%</f>
        <v>2.878123592480633</v>
      </c>
      <c r="AK282" s="94">
        <f>Table3.110[[#This Row],[Net gas 8-24h, ml]]*Table3.110[[#This Row],[CH4 24h, %]]%</f>
        <v>2.2424499765992789</v>
      </c>
      <c r="AL282" s="94">
        <f>Table3.110[[#This Row],[CH4 8-24h, ml]]+Table3.110[[#This Row],[CH4 8h, ml]]</f>
        <v>5.1205735690799123</v>
      </c>
      <c r="AM282" s="94">
        <f>(Table3.110[[#This Row],[Net gas 24h, ml]]/Table3.110[[#This Row],[DM Incubated, mg]])*1000</f>
        <v>77.606050451235859</v>
      </c>
      <c r="AN282" s="94">
        <f>'3.2 Digest'!X282</f>
        <v>16.921344468542433</v>
      </c>
      <c r="AO282" s="94">
        <f>Table3.110[[#This Row],[Digested feed, mg]]/Table3.110[[#This Row],[Net gas 24h, ml]]</f>
        <v>2.1804156209669556</v>
      </c>
      <c r="AP282" s="94">
        <f>Table3.110[[#This Row],[CH4 8h, ml]]/Table3.110[[#This Row],[Net gas 8h, ml]]%</f>
        <v>12.5</v>
      </c>
      <c r="AQ282" s="94">
        <f>Table3.110[[#This Row],[CH4 24h, ml]]/Table3.110[[#This Row],[Net gas 24h, ml]]%</f>
        <v>14.016018826180412</v>
      </c>
      <c r="AR282" s="94">
        <f>Table3.110[[#This Row],[CH4 24h, ml]]/Table3.110[[#This Row],[DM Incubated, mg]]*1000</f>
        <v>10.877278641500288</v>
      </c>
      <c r="AS282" s="94">
        <f>Table3.110[[#This Row],[CH4 24h, ml]]/Table3.110[[#This Row],[Digested feed, mg]]*1000</f>
        <v>64.281408972683323</v>
      </c>
      <c r="AT282" s="94">
        <f>Table3.110[[#This Row],[CH4 24h, ml]]/'3.2 Digest'!AA282</f>
        <v>-0.18665200850770328</v>
      </c>
      <c r="AU282" s="94">
        <f>((Table3.110[[#This Row],[CH4 24h, ml]]/28.9)*16.04)/Table3.110[[#This Row],[DM Incubated, mg]]*1000</f>
        <v>6.0370778342444495</v>
      </c>
      <c r="AV282" s="94">
        <f>((Table3.110[[#This Row],[CH4 24h, ml]]/28.9)*16.04)/Table3.110[[#This Row],[Digested feed, mg]]*1000</f>
        <v>35.677294114942569</v>
      </c>
      <c r="AW282" s="303"/>
    </row>
    <row r="283" spans="1:49" s="304" customFormat="1" x14ac:dyDescent="0.35">
      <c r="A283" s="89"/>
      <c r="B283" s="90">
        <f t="shared" si="4"/>
        <v>273</v>
      </c>
      <c r="C283" s="140">
        <v>46076</v>
      </c>
      <c r="D283" s="6" t="s">
        <v>16</v>
      </c>
      <c r="E283" s="6" t="str">
        <f>'[1]1. Information samples'!$F$45</f>
        <v>CIAT-17263</v>
      </c>
      <c r="F283" s="6" t="s">
        <v>99</v>
      </c>
      <c r="G283" s="6" t="s">
        <v>100</v>
      </c>
      <c r="H283" s="6" t="str">
        <f>'[1]1. Information samples'!$I$45</f>
        <v>Leucaena leucocephala</v>
      </c>
      <c r="I283" s="6" t="s">
        <v>22</v>
      </c>
      <c r="J283" s="8" t="s">
        <v>23</v>
      </c>
      <c r="K283" s="6" t="s">
        <v>24</v>
      </c>
      <c r="L283" s="6" t="str">
        <f>'[1]1. Information samples'!$E$45</f>
        <v>F251757</v>
      </c>
      <c r="M283" s="119">
        <v>27</v>
      </c>
      <c r="N283" s="93">
        <v>69</v>
      </c>
      <c r="O283" s="6">
        <v>3</v>
      </c>
      <c r="P283" s="129">
        <v>1</v>
      </c>
      <c r="Q283" s="6">
        <v>135</v>
      </c>
      <c r="R283" s="98">
        <v>0.50060000000000004</v>
      </c>
      <c r="S283" s="94">
        <f>((Table3.110[[#This Row],[Sample weight, g]]*'2.1. DM'!Q69)/100)*1000</f>
        <v>472.92521002798344</v>
      </c>
      <c r="T283" s="94">
        <f>'3.2 Digest'!W283</f>
        <v>192.32521002798336</v>
      </c>
      <c r="U283" s="117">
        <v>0.33750000000000002</v>
      </c>
      <c r="V283" s="155">
        <v>41.5</v>
      </c>
      <c r="W283" s="117">
        <v>0.68125000000000002</v>
      </c>
      <c r="X283" s="96">
        <v>76.5</v>
      </c>
      <c r="Y283" s="96">
        <v>11.4</v>
      </c>
      <c r="Z283" s="155">
        <v>39.5</v>
      </c>
      <c r="AA283" s="117">
        <v>0.35972222222222222</v>
      </c>
      <c r="AB283" s="155">
        <v>60.5</v>
      </c>
      <c r="AC283" s="155">
        <v>15.4</v>
      </c>
      <c r="AD283" s="96"/>
      <c r="AE283" s="94">
        <f>Table3.110[[#This Row],[Gas 8h, ml]]-Table3.110[[#This Row],[Gas 0h, ml]]</f>
        <v>35</v>
      </c>
      <c r="AF283" s="94">
        <f>Table3.110[[#This Row],[Gas 24h, ml]]-Table3.110[[#This Row],[V8 Push back, ml]]</f>
        <v>21</v>
      </c>
      <c r="AG283" s="94">
        <f>Table3.110[[#This Row],[GP 8h, ml]]-(AVERAGE(AE$221,AE$222,AE$255,AE$256,AE$291,AE$292))*$AG$8</f>
        <v>33.524988739845064</v>
      </c>
      <c r="AH283" s="94">
        <f>Table3.110[[#This Row],[GP 8-24h, ml]]-(AVERAGE(AF$221,AF$222,AF$255,AF$256,AF$291,AF$292))*$AG$8</f>
        <v>19.008734798790837</v>
      </c>
      <c r="AI283" s="94">
        <f>Table3.110[[#This Row],[Net gas 8-24h, ml]]+Table3.110[[#This Row],[Net gas 8h, ml]]</f>
        <v>52.533723538635897</v>
      </c>
      <c r="AJ283" s="94">
        <f>Table3.110[[#This Row],[Net gas 8h, ml]]*Table3.110[[#This Row],[CH4 8h %]]%</f>
        <v>3.8218487163423376</v>
      </c>
      <c r="AK283" s="94">
        <f>Table3.110[[#This Row],[Net gas 8-24h, ml]]*Table3.110[[#This Row],[CH4 24h, %]]%</f>
        <v>2.9273451590137887</v>
      </c>
      <c r="AL283" s="94">
        <f>Table3.110[[#This Row],[CH4 8-24h, ml]]+Table3.110[[#This Row],[CH4 8h, ml]]</f>
        <v>6.7491938753561262</v>
      </c>
      <c r="AM283" s="94">
        <f>(Table3.110[[#This Row],[Net gas 24h, ml]]/Table3.110[[#This Row],[DM Incubated, mg]])*1000</f>
        <v>111.08251880995608</v>
      </c>
      <c r="AN283" s="94">
        <f>'3.2 Digest'!X283</f>
        <v>40.667151158341355</v>
      </c>
      <c r="AO283" s="94">
        <f>Table3.110[[#This Row],[Digested feed, mg]]/Table3.110[[#This Row],[Net gas 24h, ml]]</f>
        <v>3.6609856882986391</v>
      </c>
      <c r="AP283" s="94">
        <f>Table3.110[[#This Row],[CH4 8h, ml]]/Table3.110[[#This Row],[Net gas 8h, ml]]%</f>
        <v>11.4</v>
      </c>
      <c r="AQ283" s="94">
        <f>Table3.110[[#This Row],[CH4 24h, ml]]/Table3.110[[#This Row],[Net gas 24h, ml]]%</f>
        <v>12.847354843203595</v>
      </c>
      <c r="AR283" s="94">
        <f>Table3.110[[#This Row],[CH4 24h, ml]]/Table3.110[[#This Row],[DM Incubated, mg]]*1000</f>
        <v>14.271165360283437</v>
      </c>
      <c r="AS283" s="94">
        <f>Table3.110[[#This Row],[CH4 24h, ml]]/Table3.110[[#This Row],[Digested feed, mg]]*1000</f>
        <v>35.092611490579507</v>
      </c>
      <c r="AT283" s="94">
        <f>Table3.110[[#This Row],[CH4 24h, ml]]/'3.2 Digest'!AA283</f>
        <v>-2.4821486083332669</v>
      </c>
      <c r="AU283" s="94">
        <f>((Table3.110[[#This Row],[CH4 24h, ml]]/28.9)*16.04)/Table3.110[[#This Row],[DM Incubated, mg]]*1000</f>
        <v>7.9207436809323983</v>
      </c>
      <c r="AV283" s="94">
        <f>((Table3.110[[#This Row],[CH4 24h, ml]]/28.9)*16.04)/Table3.110[[#This Row],[Digested feed, mg]]*1000</f>
        <v>19.477006515878731</v>
      </c>
      <c r="AW283" s="303"/>
    </row>
    <row r="284" spans="1:49" s="304" customFormat="1" x14ac:dyDescent="0.35">
      <c r="A284" s="89"/>
      <c r="B284" s="90">
        <f t="shared" si="4"/>
        <v>274</v>
      </c>
      <c r="C284" s="140">
        <v>46076</v>
      </c>
      <c r="D284" s="6" t="s">
        <v>16</v>
      </c>
      <c r="E284" s="6" t="str">
        <f>'[1]1. Information samples'!$F$45</f>
        <v>CIAT-17263</v>
      </c>
      <c r="F284" s="6" t="s">
        <v>99</v>
      </c>
      <c r="G284" s="6" t="s">
        <v>100</v>
      </c>
      <c r="H284" s="6" t="str">
        <f>'[1]1. Information samples'!$I$45</f>
        <v>Leucaena leucocephala</v>
      </c>
      <c r="I284" s="6" t="s">
        <v>22</v>
      </c>
      <c r="J284" s="8" t="s">
        <v>23</v>
      </c>
      <c r="K284" s="6" t="s">
        <v>24</v>
      </c>
      <c r="L284" s="6" t="str">
        <f>'[1]1. Information samples'!$E$45</f>
        <v>F251757</v>
      </c>
      <c r="M284" s="119">
        <v>27</v>
      </c>
      <c r="N284" s="93">
        <v>69</v>
      </c>
      <c r="O284" s="6">
        <v>3</v>
      </c>
      <c r="P284" s="129">
        <v>2</v>
      </c>
      <c r="Q284" s="6">
        <v>136</v>
      </c>
      <c r="R284" s="98">
        <v>0.50029999999999997</v>
      </c>
      <c r="S284" s="94">
        <f>((Table3.110[[#This Row],[Sample weight, g]]*'2.1. DM'!Q69)/100)*1000</f>
        <v>472.64179500000017</v>
      </c>
      <c r="T284" s="94">
        <f>'3.2 Digest'!W284</f>
        <v>181.54179500000015</v>
      </c>
      <c r="U284" s="153">
        <v>0.33750000000000002</v>
      </c>
      <c r="V284" s="154">
        <v>42</v>
      </c>
      <c r="W284" s="153">
        <v>0.68125000000000002</v>
      </c>
      <c r="X284" s="91">
        <v>76.5</v>
      </c>
      <c r="Y284" s="91">
        <v>11.9</v>
      </c>
      <c r="Z284" s="154">
        <v>41</v>
      </c>
      <c r="AA284" s="153">
        <v>0.36041666666666666</v>
      </c>
      <c r="AB284" s="154">
        <v>73</v>
      </c>
      <c r="AC284" s="154">
        <v>15.3</v>
      </c>
      <c r="AD284" s="91"/>
      <c r="AE284" s="94">
        <f>Table3.110[[#This Row],[Gas 8h, ml]]-Table3.110[[#This Row],[Gas 0h, ml]]</f>
        <v>34.5</v>
      </c>
      <c r="AF284" s="94">
        <f>Table3.110[[#This Row],[Gas 24h, ml]]-Table3.110[[#This Row],[V8 Push back, ml]]</f>
        <v>32</v>
      </c>
      <c r="AG284" s="94">
        <f>Table3.110[[#This Row],[GP 8h, ml]]-(AVERAGE(AE$221,AE$222,AE$255,AE$256,AE$291,AE$292))*$AG$8</f>
        <v>33.024988739845064</v>
      </c>
      <c r="AH284" s="94">
        <f>Table3.110[[#This Row],[GP 8-24h, ml]]-(AVERAGE(AF$221,AF$222,AF$255,AF$256,AF$291,AF$292))*$AG$8</f>
        <v>30.008734798790837</v>
      </c>
      <c r="AI284" s="94">
        <f>Table3.110[[#This Row],[Net gas 8-24h, ml]]+Table3.110[[#This Row],[Net gas 8h, ml]]</f>
        <v>63.033723538635897</v>
      </c>
      <c r="AJ284" s="94">
        <f>Table3.110[[#This Row],[Net gas 8h, ml]]*Table3.110[[#This Row],[CH4 8h %]]%</f>
        <v>3.9299736600415627</v>
      </c>
      <c r="AK284" s="94">
        <f>Table3.110[[#This Row],[Net gas 8-24h, ml]]*Table3.110[[#This Row],[CH4 24h, %]]%</f>
        <v>4.5913364242149983</v>
      </c>
      <c r="AL284" s="94">
        <f>Table3.110[[#This Row],[CH4 8-24h, ml]]+Table3.110[[#This Row],[CH4 8h, ml]]</f>
        <v>8.5213100842565606</v>
      </c>
      <c r="AM284" s="94">
        <f>(Table3.110[[#This Row],[Net gas 24h, ml]]/Table3.110[[#This Row],[DM Incubated, mg]])*1000</f>
        <v>133.36468379533781</v>
      </c>
      <c r="AN284" s="94">
        <f>'3.2 Digest'!X284</f>
        <v>38.410017252071434</v>
      </c>
      <c r="AO284" s="94">
        <f>Table3.110[[#This Row],[Digested feed, mg]]/Table3.110[[#This Row],[Net gas 24h, ml]]</f>
        <v>2.8800741065015125</v>
      </c>
      <c r="AP284" s="94">
        <f>Table3.110[[#This Row],[CH4 8h, ml]]/Table3.110[[#This Row],[Net gas 8h, ml]]%</f>
        <v>11.9</v>
      </c>
      <c r="AQ284" s="94">
        <f>Table3.110[[#This Row],[CH4 24h, ml]]/Table3.110[[#This Row],[Net gas 24h, ml]]%</f>
        <v>13.518652565453328</v>
      </c>
      <c r="AR284" s="94">
        <f>Table3.110[[#This Row],[CH4 24h, ml]]/Table3.110[[#This Row],[DM Incubated, mg]]*1000</f>
        <v>18.029108247307157</v>
      </c>
      <c r="AS284" s="94">
        <f>Table3.110[[#This Row],[CH4 24h, ml]]/Table3.110[[#This Row],[Digested feed, mg]]*1000</f>
        <v>46.938558056322805</v>
      </c>
      <c r="AT284" s="94">
        <f>Table3.110[[#This Row],[CH4 24h, ml]]/'3.2 Digest'!AA284</f>
        <v>-1.2859012114889006</v>
      </c>
      <c r="AU284" s="94">
        <f>((Table3.110[[#This Row],[CH4 24h, ml]]/28.9)*16.04)/Table3.110[[#This Row],[DM Incubated, mg]]*1000</f>
        <v>10.006466999543488</v>
      </c>
      <c r="AV284" s="94">
        <f>((Table3.110[[#This Row],[CH4 24h, ml]]/28.9)*16.04)/Table3.110[[#This Row],[Digested feed, mg]]*1000</f>
        <v>26.051711807038682</v>
      </c>
      <c r="AW284" s="303"/>
    </row>
    <row r="285" spans="1:49" s="304" customFormat="1" x14ac:dyDescent="0.35">
      <c r="A285" s="89"/>
      <c r="B285" s="90">
        <f t="shared" si="4"/>
        <v>275</v>
      </c>
      <c r="C285" s="140">
        <v>46076</v>
      </c>
      <c r="D285" s="6" t="s">
        <v>473</v>
      </c>
      <c r="E285" s="6" t="str">
        <f>'[1]1. Information samples'!$F$46</f>
        <v xml:space="preserve"> Cayman Br02_1752</v>
      </c>
      <c r="F285" s="6" t="s">
        <v>105</v>
      </c>
      <c r="G285" s="6" t="s">
        <v>106</v>
      </c>
      <c r="H285" s="6" t="str">
        <f>'[1]1. Information samples'!$I$46</f>
        <v>Urochloa interespecifico</v>
      </c>
      <c r="I285" s="6" t="s">
        <v>108</v>
      </c>
      <c r="J285" s="8" t="s">
        <v>109</v>
      </c>
      <c r="K285" s="6" t="s">
        <v>110</v>
      </c>
      <c r="L285" s="6" t="str">
        <f>'[1]1. Information samples'!$E$46</f>
        <v>F252640</v>
      </c>
      <c r="M285" s="119">
        <v>27</v>
      </c>
      <c r="N285" s="93">
        <v>69</v>
      </c>
      <c r="O285" s="6">
        <v>3</v>
      </c>
      <c r="P285" s="129">
        <v>1</v>
      </c>
      <c r="Q285" s="6">
        <v>137</v>
      </c>
      <c r="R285" s="98">
        <v>0.50019999999999998</v>
      </c>
      <c r="S285" s="94">
        <f>((Table3.110[[#This Row],[Sample weight, g]]*'2.1. DM'!Q71)/100)*1000</f>
        <v>485.19925272418357</v>
      </c>
      <c r="T285" s="94">
        <f>'3.2 Digest'!W285</f>
        <v>235.69925272418362</v>
      </c>
      <c r="U285" s="153">
        <v>0.33750000000000002</v>
      </c>
      <c r="V285" s="154">
        <v>40.5</v>
      </c>
      <c r="W285" s="153">
        <v>0.68194444444444446</v>
      </c>
      <c r="X285" s="91">
        <v>85.5</v>
      </c>
      <c r="Y285" s="91">
        <v>12.1</v>
      </c>
      <c r="Z285" s="154">
        <v>40</v>
      </c>
      <c r="AA285" s="153">
        <v>0.3611111111111111</v>
      </c>
      <c r="AB285" s="154">
        <v>88.5</v>
      </c>
      <c r="AC285" s="154">
        <v>13.5</v>
      </c>
      <c r="AD285" s="91"/>
      <c r="AE285" s="94">
        <f>Table3.110[[#This Row],[Gas 8h, ml]]-Table3.110[[#This Row],[Gas 0h, ml]]</f>
        <v>45</v>
      </c>
      <c r="AF285" s="94">
        <f>Table3.110[[#This Row],[Gas 24h, ml]]-Table3.110[[#This Row],[V8 Push back, ml]]</f>
        <v>48.5</v>
      </c>
      <c r="AG285" s="94">
        <f>Table3.110[[#This Row],[GP 8h, ml]]-(AVERAGE(AE$221,AE$222,AE$255,AE$256,AE$291,AE$292))*$AG$8</f>
        <v>43.524988739845064</v>
      </c>
      <c r="AH285" s="94">
        <f>Table3.110[[#This Row],[GP 8-24h, ml]]-(AVERAGE(AF$221,AF$222,AF$255,AF$256,AF$291,AF$292))*$AG$8</f>
        <v>46.50873479879084</v>
      </c>
      <c r="AI285" s="94">
        <f>Table3.110[[#This Row],[Net gas 8-24h, ml]]+Table3.110[[#This Row],[Net gas 8h, ml]]</f>
        <v>90.033723538635911</v>
      </c>
      <c r="AJ285" s="94">
        <f>Table3.110[[#This Row],[Net gas 8h, ml]]*Table3.110[[#This Row],[CH4 8h %]]%</f>
        <v>5.266523637521253</v>
      </c>
      <c r="AK285" s="94">
        <f>Table3.110[[#This Row],[Net gas 8-24h, ml]]*Table3.110[[#This Row],[CH4 24h, %]]%</f>
        <v>6.2786791978367642</v>
      </c>
      <c r="AL285" s="94">
        <f>Table3.110[[#This Row],[CH4 8-24h, ml]]+Table3.110[[#This Row],[CH4 8h, ml]]</f>
        <v>11.545202835358017</v>
      </c>
      <c r="AM285" s="94">
        <f>(Table3.110[[#This Row],[Net gas 24h, ml]]/Table3.110[[#This Row],[DM Incubated, mg]])*1000</f>
        <v>185.56030957000772</v>
      </c>
      <c r="AN285" s="94">
        <f>'3.2 Digest'!X285</f>
        <v>48.57782682080289</v>
      </c>
      <c r="AO285" s="94">
        <f>Table3.110[[#This Row],[Digested feed, mg]]/Table3.110[[#This Row],[Net gas 24h, ml]]</f>
        <v>2.6178996431602508</v>
      </c>
      <c r="AP285" s="94">
        <f>Table3.110[[#This Row],[CH4 8h, ml]]/Table3.110[[#This Row],[Net gas 8h, ml]]%</f>
        <v>12.1</v>
      </c>
      <c r="AQ285" s="94">
        <f>Table3.110[[#This Row],[CH4 24h, ml]]/Table3.110[[#This Row],[Net gas 24h, ml]]%</f>
        <v>12.82319822127945</v>
      </c>
      <c r="AR285" s="94">
        <f>Table3.110[[#This Row],[CH4 24h, ml]]/Table3.110[[#This Row],[DM Incubated, mg]]*1000</f>
        <v>23.794766316181871</v>
      </c>
      <c r="AS285" s="94">
        <f>Table3.110[[#This Row],[CH4 24h, ml]]/Table3.110[[#This Row],[Digested feed, mg]]*1000</f>
        <v>48.982772333471367</v>
      </c>
      <c r="AT285" s="94">
        <f>Table3.110[[#This Row],[CH4 24h, ml]]/'3.2 Digest'!AA285</f>
        <v>0.66969808126929864</v>
      </c>
      <c r="AU285" s="94">
        <f>((Table3.110[[#This Row],[CH4 24h, ml]]/28.9)*16.04)/Table3.110[[#This Row],[DM Incubated, mg]]*1000</f>
        <v>13.206506979638656</v>
      </c>
      <c r="AV285" s="94">
        <f>((Table3.110[[#This Row],[CH4 24h, ml]]/28.9)*16.04)/Table3.110[[#This Row],[Digested feed, mg]]*1000</f>
        <v>27.186286097885144</v>
      </c>
      <c r="AW285" s="303"/>
    </row>
    <row r="286" spans="1:49" s="304" customFormat="1" x14ac:dyDescent="0.35">
      <c r="A286" s="89"/>
      <c r="B286" s="90">
        <f t="shared" si="4"/>
        <v>276</v>
      </c>
      <c r="C286" s="140">
        <v>46076</v>
      </c>
      <c r="D286" s="6" t="s">
        <v>473</v>
      </c>
      <c r="E286" s="6" t="str">
        <f>'[1]1. Information samples'!$F$46</f>
        <v xml:space="preserve"> Cayman Br02_1752</v>
      </c>
      <c r="F286" s="6" t="s">
        <v>105</v>
      </c>
      <c r="G286" s="6" t="s">
        <v>106</v>
      </c>
      <c r="H286" s="6" t="str">
        <f>'[1]1. Information samples'!$I$46</f>
        <v>Urochloa interespecifico</v>
      </c>
      <c r="I286" s="6" t="s">
        <v>108</v>
      </c>
      <c r="J286" s="8" t="s">
        <v>109</v>
      </c>
      <c r="K286" s="6" t="s">
        <v>110</v>
      </c>
      <c r="L286" s="6" t="str">
        <f>'[1]1. Information samples'!$E$46</f>
        <v>F252640</v>
      </c>
      <c r="M286" s="119">
        <v>27</v>
      </c>
      <c r="N286" s="93">
        <v>69</v>
      </c>
      <c r="O286" s="6">
        <v>3</v>
      </c>
      <c r="P286" s="129">
        <v>2</v>
      </c>
      <c r="Q286" s="6">
        <v>138</v>
      </c>
      <c r="R286" s="98">
        <v>0.50039999999999996</v>
      </c>
      <c r="S286" s="94">
        <f>((Table3.110[[#This Row],[Sample weight, g]]*'2.1. DM'!Q71)/100)*1000</f>
        <v>485.39325482443309</v>
      </c>
      <c r="T286" s="94">
        <f>'3.2 Digest'!W286</f>
        <v>182.79325482443312</v>
      </c>
      <c r="U286" s="117">
        <v>0.33819444444444446</v>
      </c>
      <c r="V286" s="155">
        <v>41</v>
      </c>
      <c r="W286" s="117">
        <v>0.68194444444444446</v>
      </c>
      <c r="X286" s="96">
        <v>86.5</v>
      </c>
      <c r="Y286" s="96">
        <v>12.3</v>
      </c>
      <c r="Z286" s="155">
        <v>40.5</v>
      </c>
      <c r="AA286" s="117">
        <v>0.3611111111111111</v>
      </c>
      <c r="AB286" s="155">
        <v>87.5</v>
      </c>
      <c r="AC286" s="155">
        <v>13.4</v>
      </c>
      <c r="AD286" s="96"/>
      <c r="AE286" s="94">
        <f>Table3.110[[#This Row],[Gas 8h, ml]]-Table3.110[[#This Row],[Gas 0h, ml]]</f>
        <v>45.5</v>
      </c>
      <c r="AF286" s="94">
        <f>Table3.110[[#This Row],[Gas 24h, ml]]-Table3.110[[#This Row],[V8 Push back, ml]]</f>
        <v>47</v>
      </c>
      <c r="AG286" s="94">
        <f>Table3.110[[#This Row],[GP 8h, ml]]-(AVERAGE(AE$221,AE$222,AE$255,AE$256,AE$291,AE$292))*$AG$8</f>
        <v>44.024988739845064</v>
      </c>
      <c r="AH286" s="94">
        <f>Table3.110[[#This Row],[GP 8-24h, ml]]-(AVERAGE(AF$221,AF$222,AF$255,AF$256,AF$291,AF$292))*$AG$8</f>
        <v>45.00873479879084</v>
      </c>
      <c r="AI286" s="94">
        <f>Table3.110[[#This Row],[Net gas 8-24h, ml]]+Table3.110[[#This Row],[Net gas 8h, ml]]</f>
        <v>89.033723538635911</v>
      </c>
      <c r="AJ286" s="94">
        <f>Table3.110[[#This Row],[Net gas 8h, ml]]*Table3.110[[#This Row],[CH4 8h %]]%</f>
        <v>5.4150736150009431</v>
      </c>
      <c r="AK286" s="94">
        <f>Table3.110[[#This Row],[Net gas 8-24h, ml]]*Table3.110[[#This Row],[CH4 24h, %]]%</f>
        <v>6.0311704630379728</v>
      </c>
      <c r="AL286" s="94">
        <f>Table3.110[[#This Row],[CH4 8-24h, ml]]+Table3.110[[#This Row],[CH4 8h, ml]]</f>
        <v>11.446244078038916</v>
      </c>
      <c r="AM286" s="94">
        <f>(Table3.110[[#This Row],[Net gas 24h, ml]]/Table3.110[[#This Row],[DM Incubated, mg]])*1000</f>
        <v>183.4259595775377</v>
      </c>
      <c r="AN286" s="94">
        <f>'3.2 Digest'!X286</f>
        <v>37.658795833607023</v>
      </c>
      <c r="AO286" s="94">
        <f>Table3.110[[#This Row],[Digested feed, mg]]/Table3.110[[#This Row],[Net gas 24h, ml]]</f>
        <v>2.0530788510166098</v>
      </c>
      <c r="AP286" s="94">
        <f>Table3.110[[#This Row],[CH4 8h, ml]]/Table3.110[[#This Row],[Net gas 8h, ml]]%</f>
        <v>12.3</v>
      </c>
      <c r="AQ286" s="94">
        <f>Table3.110[[#This Row],[CH4 24h, ml]]/Table3.110[[#This Row],[Net gas 24h, ml]]%</f>
        <v>12.856077026894033</v>
      </c>
      <c r="AR286" s="94">
        <f>Table3.110[[#This Row],[CH4 24h, ml]]/Table3.110[[#This Row],[DM Incubated, mg]]*1000</f>
        <v>23.581382650607758</v>
      </c>
      <c r="AS286" s="94">
        <f>Table3.110[[#This Row],[CH4 24h, ml]]/Table3.110[[#This Row],[Digested feed, mg]]*1000</f>
        <v>62.618525443034841</v>
      </c>
      <c r="AT286" s="94">
        <f>Table3.110[[#This Row],[CH4 24h, ml]]/'3.2 Digest'!AA286</f>
        <v>-34.265739341827569</v>
      </c>
      <c r="AU286" s="94">
        <f>((Table3.110[[#This Row],[CH4 24h, ml]]/28.9)*16.04)/Table3.110[[#This Row],[DM Incubated, mg]]*1000</f>
        <v>13.088075353486103</v>
      </c>
      <c r="AV286" s="94">
        <f>((Table3.110[[#This Row],[CH4 24h, ml]]/28.9)*16.04)/Table3.110[[#This Row],[Digested feed, mg]]*1000</f>
        <v>34.75436498637643</v>
      </c>
      <c r="AW286" s="303"/>
    </row>
    <row r="287" spans="1:49" s="304" customFormat="1" x14ac:dyDescent="0.35">
      <c r="A287" s="89"/>
      <c r="B287" s="90">
        <f t="shared" si="4"/>
        <v>277</v>
      </c>
      <c r="C287" s="140">
        <v>46076</v>
      </c>
      <c r="D287" s="92" t="s">
        <v>112</v>
      </c>
      <c r="E287" s="6" t="str">
        <f>'[1]1. Information samples'!$F$47</f>
        <v>N/A</v>
      </c>
      <c r="F287" s="6" t="s">
        <v>544</v>
      </c>
      <c r="G287" s="6" t="s">
        <v>116</v>
      </c>
      <c r="H287" s="6" t="str">
        <f>'[1]1. Information samples'!$I$47</f>
        <v xml:space="preserve">Gliricidia sepium </v>
      </c>
      <c r="I287" s="6" t="s">
        <v>22</v>
      </c>
      <c r="J287" s="8" t="s">
        <v>23</v>
      </c>
      <c r="K287" s="6" t="s">
        <v>118</v>
      </c>
      <c r="L287" s="6" t="str">
        <f>'[1]1. Information samples'!$E$47</f>
        <v>F252641</v>
      </c>
      <c r="M287" s="119">
        <v>27</v>
      </c>
      <c r="N287" s="93">
        <v>69</v>
      </c>
      <c r="O287" s="6">
        <v>3</v>
      </c>
      <c r="P287" s="129">
        <v>1</v>
      </c>
      <c r="Q287" s="6">
        <v>139</v>
      </c>
      <c r="R287" s="98">
        <v>0.50039999999999996</v>
      </c>
      <c r="S287" s="94">
        <f>((Table3.110[[#This Row],[Sample weight, g]]*'2.1. DM'!Q73)/100)*1000</f>
        <v>467.86036003873045</v>
      </c>
      <c r="T287" s="94">
        <f>'3.2 Digest'!W287</f>
        <v>246.06036003873044</v>
      </c>
      <c r="U287" s="117">
        <v>0.33819444444444446</v>
      </c>
      <c r="V287" s="155">
        <v>40.5</v>
      </c>
      <c r="W287" s="117">
        <v>0.68263888888888891</v>
      </c>
      <c r="X287" s="96">
        <v>78.5</v>
      </c>
      <c r="Y287" s="96">
        <v>13.5</v>
      </c>
      <c r="Z287" s="155">
        <v>40</v>
      </c>
      <c r="AA287" s="117">
        <v>0.3611111111111111</v>
      </c>
      <c r="AB287" s="155">
        <v>87</v>
      </c>
      <c r="AC287" s="155">
        <v>15.7</v>
      </c>
      <c r="AD287" s="96"/>
      <c r="AE287" s="94">
        <f>Table3.110[[#This Row],[Gas 8h, ml]]-Table3.110[[#This Row],[Gas 0h, ml]]</f>
        <v>38</v>
      </c>
      <c r="AF287" s="94">
        <f>Table3.110[[#This Row],[Gas 24h, ml]]-Table3.110[[#This Row],[V8 Push back, ml]]</f>
        <v>47</v>
      </c>
      <c r="AG287" s="94">
        <f>Table3.110[[#This Row],[GP 8h, ml]]-(AVERAGE(AE$221,AE$222,AE$255,AE$256,AE$291,AE$292))*$AG$8</f>
        <v>36.524988739845064</v>
      </c>
      <c r="AH287" s="94">
        <f>Table3.110[[#This Row],[GP 8-24h, ml]]-(AVERAGE(AF$221,AF$222,AF$255,AF$256,AF$291,AF$292))*$AG$8</f>
        <v>45.00873479879084</v>
      </c>
      <c r="AI287" s="94">
        <f>Table3.110[[#This Row],[Net gas 8-24h, ml]]+Table3.110[[#This Row],[Net gas 8h, ml]]</f>
        <v>81.533723538635911</v>
      </c>
      <c r="AJ287" s="94">
        <f>Table3.110[[#This Row],[Net gas 8h, ml]]*Table3.110[[#This Row],[CH4 8h %]]%</f>
        <v>4.9308734798790841</v>
      </c>
      <c r="AK287" s="94">
        <f>Table3.110[[#This Row],[Net gas 8-24h, ml]]*Table3.110[[#This Row],[CH4 24h, %]]%</f>
        <v>7.0663713634101617</v>
      </c>
      <c r="AL287" s="94">
        <f>Table3.110[[#This Row],[CH4 8-24h, ml]]+Table3.110[[#This Row],[CH4 8h, ml]]</f>
        <v>11.997244843289245</v>
      </c>
      <c r="AM287" s="94">
        <f>(Table3.110[[#This Row],[Net gas 24h, ml]]/Table3.110[[#This Row],[DM Incubated, mg]])*1000</f>
        <v>174.26935577933205</v>
      </c>
      <c r="AN287" s="94">
        <f>'3.2 Digest'!X287</f>
        <v>52.59269240470833</v>
      </c>
      <c r="AO287" s="94">
        <f>Table3.110[[#This Row],[Digested feed, mg]]/Table3.110[[#This Row],[Net gas 24h, ml]]</f>
        <v>3.0178967592732504</v>
      </c>
      <c r="AP287" s="94">
        <f>Table3.110[[#This Row],[CH4 8h, ml]]/Table3.110[[#This Row],[Net gas 8h, ml]]%</f>
        <v>13.5</v>
      </c>
      <c r="AQ287" s="94">
        <f>Table3.110[[#This Row],[CH4 24h, ml]]/Table3.110[[#This Row],[Net gas 24h, ml]]%</f>
        <v>14.71445718728175</v>
      </c>
      <c r="AR287" s="94">
        <f>Table3.110[[#This Row],[CH4 24h, ml]]/Table3.110[[#This Row],[DM Incubated, mg]]*1000</f>
        <v>25.642789746701531</v>
      </c>
      <c r="AS287" s="94">
        <f>Table3.110[[#This Row],[CH4 24h, ml]]/Table3.110[[#This Row],[Digested feed, mg]]*1000</f>
        <v>48.757324590603915</v>
      </c>
      <c r="AT287" s="94">
        <f>Table3.110[[#This Row],[CH4 24h, ml]]/'3.2 Digest'!AA287</f>
        <v>-27.993508697040308</v>
      </c>
      <c r="AU287" s="94">
        <f>((Table3.110[[#This Row],[CH4 24h, ml]]/28.9)*16.04)/Table3.110[[#This Row],[DM Incubated, mg]]*1000</f>
        <v>14.232191956300783</v>
      </c>
      <c r="AV287" s="94">
        <f>((Table3.110[[#This Row],[CH4 24h, ml]]/28.9)*16.04)/Table3.110[[#This Row],[Digested feed, mg]]*1000</f>
        <v>27.061158700113733</v>
      </c>
      <c r="AW287" s="303"/>
    </row>
    <row r="288" spans="1:49" s="304" customFormat="1" x14ac:dyDescent="0.35">
      <c r="A288" s="89"/>
      <c r="B288" s="90">
        <f t="shared" si="4"/>
        <v>278</v>
      </c>
      <c r="C288" s="140">
        <v>46076</v>
      </c>
      <c r="D288" s="92" t="s">
        <v>112</v>
      </c>
      <c r="E288" s="6" t="str">
        <f>'[1]1. Information samples'!$F$47</f>
        <v>N/A</v>
      </c>
      <c r="F288" s="6" t="s">
        <v>544</v>
      </c>
      <c r="G288" s="6" t="s">
        <v>116</v>
      </c>
      <c r="H288" s="6" t="str">
        <f>'[1]1. Information samples'!$I$47</f>
        <v xml:space="preserve">Gliricidia sepium </v>
      </c>
      <c r="I288" s="6" t="s">
        <v>22</v>
      </c>
      <c r="J288" s="8" t="s">
        <v>23</v>
      </c>
      <c r="K288" s="6" t="s">
        <v>118</v>
      </c>
      <c r="L288" s="6" t="str">
        <f>'[1]1. Information samples'!$E$47</f>
        <v>F252641</v>
      </c>
      <c r="M288" s="119">
        <v>27</v>
      </c>
      <c r="N288" s="93">
        <v>69</v>
      </c>
      <c r="O288" s="6">
        <v>3</v>
      </c>
      <c r="P288" s="129">
        <v>2</v>
      </c>
      <c r="Q288" s="6">
        <v>140</v>
      </c>
      <c r="R288" s="98">
        <v>0.50009999999999999</v>
      </c>
      <c r="S288" s="94">
        <f>((Table3.110[[#This Row],[Sample weight, g]]*'2.1. DM'!Q73)/100)*1000</f>
        <v>467.57986821616527</v>
      </c>
      <c r="T288" s="94">
        <f>'3.2 Digest'!W288</f>
        <v>127.87986821616528</v>
      </c>
      <c r="U288" s="153">
        <v>0.33819444444444446</v>
      </c>
      <c r="V288" s="154">
        <v>40.5</v>
      </c>
      <c r="W288" s="153">
        <v>0.68333333333333335</v>
      </c>
      <c r="X288" s="91">
        <v>79.5</v>
      </c>
      <c r="Y288" s="91">
        <v>13.5</v>
      </c>
      <c r="Z288" s="154">
        <v>40</v>
      </c>
      <c r="AA288" s="153">
        <v>0.36180555555555555</v>
      </c>
      <c r="AB288" s="154">
        <v>87.5</v>
      </c>
      <c r="AC288" s="154">
        <v>15.9</v>
      </c>
      <c r="AD288" s="91" t="s">
        <v>552</v>
      </c>
      <c r="AE288" s="94"/>
      <c r="AF288" s="94"/>
      <c r="AG288" s="94"/>
      <c r="AH288" s="94"/>
      <c r="AI288" s="94"/>
      <c r="AJ288" s="94"/>
      <c r="AK288" s="94"/>
      <c r="AL288" s="94"/>
      <c r="AM288" s="94"/>
      <c r="AN288" s="94"/>
      <c r="AO288" s="94"/>
      <c r="AP288" s="94"/>
      <c r="AQ288" s="94"/>
      <c r="AR288" s="94"/>
      <c r="AS288" s="94"/>
      <c r="AT288" s="94"/>
      <c r="AU288" s="94"/>
      <c r="AV288" s="94"/>
      <c r="AW288" s="303" t="s">
        <v>626</v>
      </c>
    </row>
    <row r="289" spans="1:49" s="304" customFormat="1" x14ac:dyDescent="0.35">
      <c r="A289" s="89"/>
      <c r="B289" s="90">
        <f t="shared" si="4"/>
        <v>279</v>
      </c>
      <c r="C289" s="140">
        <v>46076</v>
      </c>
      <c r="D289" s="8" t="s">
        <v>120</v>
      </c>
      <c r="E289" s="6" t="str">
        <f>'[1]1. Information samples'!$F$48</f>
        <v>Sample 8</v>
      </c>
      <c r="F289" s="6" t="s">
        <v>123</v>
      </c>
      <c r="G289" s="6" t="s">
        <v>545</v>
      </c>
      <c r="H289" s="6" t="str">
        <f>'[1]1. Information samples'!$I$48</f>
        <v xml:space="preserve">Cynodon nlemfuensis </v>
      </c>
      <c r="I289" s="6" t="s">
        <v>108</v>
      </c>
      <c r="J289" s="8" t="s">
        <v>109</v>
      </c>
      <c r="K289" s="6" t="s">
        <v>110</v>
      </c>
      <c r="L289" s="6" t="str">
        <f>'[1]1. Information samples'!$E$48</f>
        <v>F250008</v>
      </c>
      <c r="M289" s="119">
        <v>27</v>
      </c>
      <c r="N289" s="93">
        <v>69</v>
      </c>
      <c r="O289" s="6">
        <v>3</v>
      </c>
      <c r="P289" s="129">
        <v>1</v>
      </c>
      <c r="Q289" s="6">
        <v>141</v>
      </c>
      <c r="R289" s="98">
        <v>0.50039999999999996</v>
      </c>
      <c r="S289" s="94">
        <f>((Table3.110[[#This Row],[Sample weight, g]]*'2.1. DM'!Q75)/100)*1000</f>
        <v>468.12419999999992</v>
      </c>
      <c r="T289" s="94">
        <f>'3.2 Digest'!W289</f>
        <v>99.424199999999871</v>
      </c>
      <c r="U289" s="153">
        <v>0.33958333333333335</v>
      </c>
      <c r="V289" s="154">
        <v>41.5</v>
      </c>
      <c r="W289" s="153">
        <v>0.68333333333333335</v>
      </c>
      <c r="X289" s="91">
        <v>65.5</v>
      </c>
      <c r="Y289" s="91">
        <v>14.6</v>
      </c>
      <c r="Z289" s="154">
        <v>40</v>
      </c>
      <c r="AA289" s="153">
        <v>0.36249999999999999</v>
      </c>
      <c r="AB289" s="154">
        <v>84</v>
      </c>
      <c r="AC289" s="154">
        <v>16.100000000000001</v>
      </c>
      <c r="AD289" s="91"/>
      <c r="AE289" s="94">
        <f>Table3.110[[#This Row],[Gas 8h, ml]]-Table3.110[[#This Row],[Gas 0h, ml]]</f>
        <v>24</v>
      </c>
      <c r="AF289" s="94">
        <f>Table3.110[[#This Row],[Gas 24h, ml]]-Table3.110[[#This Row],[V8 Push back, ml]]</f>
        <v>44</v>
      </c>
      <c r="AG289" s="94">
        <f>Table3.110[[#This Row],[GP 8h, ml]]-(AVERAGE(AE$221,AE$222,AE$255,AE$256,AE$291,AE$292))*$AG$8</f>
        <v>22.524988739845064</v>
      </c>
      <c r="AH289" s="94">
        <f>Table3.110[[#This Row],[GP 8-24h, ml]]-(AVERAGE(AF$221,AF$222,AF$255,AF$256,AF$291,AF$292))*$AG$8</f>
        <v>42.00873479879084</v>
      </c>
      <c r="AI289" s="94">
        <f>Table3.110[[#This Row],[Net gas 8-24h, ml]]+Table3.110[[#This Row],[Net gas 8h, ml]]</f>
        <v>64.533723538635911</v>
      </c>
      <c r="AJ289" s="94">
        <f>Table3.110[[#This Row],[Net gas 8h, ml]]*Table3.110[[#This Row],[CH4 8h %]]%</f>
        <v>3.2886483560173789</v>
      </c>
      <c r="AK289" s="94">
        <f>Table3.110[[#This Row],[Net gas 8-24h, ml]]*Table3.110[[#This Row],[CH4 24h, %]]%</f>
        <v>6.7634063026053255</v>
      </c>
      <c r="AL289" s="94">
        <f>Table3.110[[#This Row],[CH4 8-24h, ml]]+Table3.110[[#This Row],[CH4 8h, ml]]</f>
        <v>10.052054658622705</v>
      </c>
      <c r="AM289" s="94">
        <f>(Table3.110[[#This Row],[Net gas 24h, ml]]/Table3.110[[#This Row],[DM Incubated, mg]])*1000</f>
        <v>137.85598680571508</v>
      </c>
      <c r="AN289" s="94">
        <f>'3.2 Digest'!X289</f>
        <v>21.238850715258874</v>
      </c>
      <c r="AO289" s="94">
        <f>Table3.110[[#This Row],[Digested feed, mg]]/Table3.110[[#This Row],[Net gas 24h, ml]]</f>
        <v>1.5406549405207537</v>
      </c>
      <c r="AP289" s="94">
        <f>Table3.110[[#This Row],[CH4 8h, ml]]/Table3.110[[#This Row],[Net gas 8h, ml]]%</f>
        <v>14.599999999999998</v>
      </c>
      <c r="AQ289" s="94">
        <f>Table3.110[[#This Row],[CH4 24h, ml]]/Table3.110[[#This Row],[Net gas 24h, ml]]%</f>
        <v>15.576436795258848</v>
      </c>
      <c r="AR289" s="94">
        <f>Table3.110[[#This Row],[CH4 24h, ml]]/Table3.110[[#This Row],[DM Incubated, mg]]*1000</f>
        <v>21.473050653272587</v>
      </c>
      <c r="AS289" s="94">
        <f>Table3.110[[#This Row],[CH4 24h, ml]]/Table3.110[[#This Row],[Digested feed, mg]]*1000</f>
        <v>101.10269590927277</v>
      </c>
      <c r="AT289" s="94">
        <f>Table3.110[[#This Row],[CH4 24h, ml]]/'3.2 Digest'!AA289</f>
        <v>-2.8745525999139896</v>
      </c>
      <c r="AU289" s="94">
        <f>((Table3.110[[#This Row],[CH4 24h, ml]]/28.9)*16.04)/Table3.110[[#This Row],[DM Incubated, mg]]*1000</f>
        <v>11.917914618632953</v>
      </c>
      <c r="AV289" s="94">
        <f>((Table3.110[[#This Row],[CH4 24h, ml]]/28.9)*16.04)/Table3.110[[#This Row],[Digested feed, mg]]*1000</f>
        <v>56.113745411236515</v>
      </c>
      <c r="AW289" s="303"/>
    </row>
    <row r="290" spans="1:49" s="304" customFormat="1" x14ac:dyDescent="0.35">
      <c r="A290" s="89"/>
      <c r="B290" s="90">
        <f t="shared" si="4"/>
        <v>280</v>
      </c>
      <c r="C290" s="140">
        <v>46076</v>
      </c>
      <c r="D290" s="8" t="s">
        <v>120</v>
      </c>
      <c r="E290" s="6" t="str">
        <f>'[1]1. Information samples'!$F$48</f>
        <v>Sample 8</v>
      </c>
      <c r="F290" s="6" t="s">
        <v>123</v>
      </c>
      <c r="G290" s="6" t="s">
        <v>545</v>
      </c>
      <c r="H290" s="6" t="str">
        <f>'[1]1. Information samples'!$I$48</f>
        <v xml:space="preserve">Cynodon nlemfuensis </v>
      </c>
      <c r="I290" s="6" t="s">
        <v>108</v>
      </c>
      <c r="J290" s="8" t="s">
        <v>109</v>
      </c>
      <c r="K290" s="6" t="s">
        <v>110</v>
      </c>
      <c r="L290" s="6" t="str">
        <f>'[1]1. Information samples'!$E$48</f>
        <v>F250008</v>
      </c>
      <c r="M290" s="119">
        <v>27</v>
      </c>
      <c r="N290" s="93">
        <v>69</v>
      </c>
      <c r="O290" s="6">
        <v>3</v>
      </c>
      <c r="P290" s="129">
        <v>2</v>
      </c>
      <c r="Q290" s="6">
        <v>142</v>
      </c>
      <c r="R290" s="98">
        <v>0.50019999999999998</v>
      </c>
      <c r="S290" s="94">
        <f>((Table3.110[[#This Row],[Sample weight, g]]*'2.1. DM'!Q75)/100)*1000</f>
        <v>467.93709999999999</v>
      </c>
      <c r="T290" s="94">
        <f>'3.2 Digest'!W290</f>
        <v>94.537099999999896</v>
      </c>
      <c r="U290" s="117">
        <v>0.33958333333333335</v>
      </c>
      <c r="V290" s="155">
        <v>40.5</v>
      </c>
      <c r="W290" s="117">
        <v>0.68402777777777779</v>
      </c>
      <c r="X290" s="96">
        <v>64.5</v>
      </c>
      <c r="Y290" s="96">
        <v>15.4</v>
      </c>
      <c r="Z290" s="155">
        <v>40</v>
      </c>
      <c r="AA290" s="117">
        <v>0.36319444444444443</v>
      </c>
      <c r="AB290" s="155">
        <v>83</v>
      </c>
      <c r="AC290" s="155">
        <v>16.2</v>
      </c>
      <c r="AD290" s="96"/>
      <c r="AE290" s="94">
        <f>Table3.110[[#This Row],[Gas 8h, ml]]-Table3.110[[#This Row],[Gas 0h, ml]]</f>
        <v>24</v>
      </c>
      <c r="AF290" s="94">
        <f>Table3.110[[#This Row],[Gas 24h, ml]]-Table3.110[[#This Row],[V8 Push back, ml]]</f>
        <v>43</v>
      </c>
      <c r="AG290" s="94">
        <f>Table3.110[[#This Row],[GP 8h, ml]]-(AVERAGE(AE$221,AE$222,AE$255,AE$256,AE$291,AE$292))*$AG$8</f>
        <v>22.524988739845064</v>
      </c>
      <c r="AH290" s="94">
        <f>Table3.110[[#This Row],[GP 8-24h, ml]]-(AVERAGE(AF$221,AF$222,AF$255,AF$256,AF$291,AF$292))*$AG$8</f>
        <v>41.00873479879084</v>
      </c>
      <c r="AI290" s="94">
        <f>Table3.110[[#This Row],[Net gas 8-24h, ml]]+Table3.110[[#This Row],[Net gas 8h, ml]]</f>
        <v>63.533723538635904</v>
      </c>
      <c r="AJ290" s="94">
        <f>Table3.110[[#This Row],[Net gas 8h, ml]]*Table3.110[[#This Row],[CH4 8h %]]%</f>
        <v>3.4688482659361397</v>
      </c>
      <c r="AK290" s="94">
        <f>Table3.110[[#This Row],[Net gas 8-24h, ml]]*Table3.110[[#This Row],[CH4 24h, %]]%</f>
        <v>6.6434150374041163</v>
      </c>
      <c r="AL290" s="94">
        <f>Table3.110[[#This Row],[CH4 8-24h, ml]]+Table3.110[[#This Row],[CH4 8h, ml]]</f>
        <v>10.112263303340256</v>
      </c>
      <c r="AM290" s="94">
        <f>(Table3.110[[#This Row],[Net gas 24h, ml]]/Table3.110[[#This Row],[DM Incubated, mg]])*1000</f>
        <v>135.77406779380371</v>
      </c>
      <c r="AN290" s="94">
        <f>'3.2 Digest'!X290</f>
        <v>20.202950353797529</v>
      </c>
      <c r="AO290" s="94">
        <f>Table3.110[[#This Row],[Digested feed, mg]]/Table3.110[[#This Row],[Net gas 24h, ml]]</f>
        <v>1.4879829913087075</v>
      </c>
      <c r="AP290" s="94">
        <f>Table3.110[[#This Row],[CH4 8h, ml]]/Table3.110[[#This Row],[Net gas 8h, ml]]%</f>
        <v>15.399999999999999</v>
      </c>
      <c r="AQ290" s="94">
        <f>Table3.110[[#This Row],[CH4 24h, ml]]/Table3.110[[#This Row],[Net gas 24h, ml]]%</f>
        <v>15.916371243676318</v>
      </c>
      <c r="AR290" s="94">
        <f>Table3.110[[#This Row],[CH4 24h, ml]]/Table3.110[[#This Row],[DM Incubated, mg]]*1000</f>
        <v>21.610304682702562</v>
      </c>
      <c r="AS290" s="94">
        <f>Table3.110[[#This Row],[CH4 24h, ml]]/Table3.110[[#This Row],[Digested feed, mg]]*1000</f>
        <v>106.96608319210412</v>
      </c>
      <c r="AT290" s="94">
        <f>Table3.110[[#This Row],[CH4 24h, ml]]/'3.2 Digest'!AA290</f>
        <v>-2.0815063659603523</v>
      </c>
      <c r="AU290" s="94">
        <f>((Table3.110[[#This Row],[CH4 24h, ml]]/28.9)*16.04)/Table3.110[[#This Row],[DM Incubated, mg]]*1000</f>
        <v>11.994092979603774</v>
      </c>
      <c r="AV290" s="94">
        <f>((Table3.110[[#This Row],[CH4 24h, ml]]/28.9)*16.04)/Table3.110[[#This Row],[Digested feed, mg]]*1000</f>
        <v>59.36802679589448</v>
      </c>
      <c r="AW290" s="303"/>
    </row>
    <row r="291" spans="1:49" s="304" customFormat="1" x14ac:dyDescent="0.35">
      <c r="A291" s="89"/>
      <c r="B291" s="90">
        <f t="shared" si="4"/>
        <v>281</v>
      </c>
      <c r="C291" s="143">
        <v>46076</v>
      </c>
      <c r="D291" s="92"/>
      <c r="E291" s="124" t="s">
        <v>553</v>
      </c>
      <c r="F291" s="6" t="s">
        <v>554</v>
      </c>
      <c r="G291" s="6">
        <v>24</v>
      </c>
      <c r="H291" s="124" t="s">
        <v>553</v>
      </c>
      <c r="I291" s="6"/>
      <c r="J291" s="8"/>
      <c r="K291" s="6"/>
      <c r="L291" s="124" t="s">
        <v>553</v>
      </c>
      <c r="M291" s="119">
        <v>27</v>
      </c>
      <c r="N291" s="93">
        <v>69</v>
      </c>
      <c r="O291" s="6">
        <v>3</v>
      </c>
      <c r="P291" s="129">
        <v>1</v>
      </c>
      <c r="Q291" s="6">
        <v>143</v>
      </c>
      <c r="R291" s="98"/>
      <c r="S291" s="94"/>
      <c r="T291" s="94">
        <f>'3.2 Digest'!W291</f>
        <v>0</v>
      </c>
      <c r="U291" s="117">
        <v>0.33958333333333335</v>
      </c>
      <c r="V291" s="155">
        <v>39.5</v>
      </c>
      <c r="W291" s="117">
        <v>0.68402777777777779</v>
      </c>
      <c r="X291" s="96">
        <v>41.5</v>
      </c>
      <c r="Y291" s="96"/>
      <c r="Z291" s="155">
        <v>40</v>
      </c>
      <c r="AA291" s="117">
        <v>0.36319444444444443</v>
      </c>
      <c r="AB291" s="155">
        <v>42</v>
      </c>
      <c r="AC291" s="155"/>
      <c r="AD291" s="96"/>
      <c r="AE291" s="94">
        <f>Table3.110[[#This Row],[Gas 8h, ml]]-Table3.110[[#This Row],[Gas 0h, ml]]</f>
        <v>2</v>
      </c>
      <c r="AF291" s="94">
        <f>Table3.110[[#This Row],[Gas 24h, ml]]-Table3.110[[#This Row],[V8 Push back, ml]]</f>
        <v>2</v>
      </c>
      <c r="AG291" s="94"/>
      <c r="AH291" s="94"/>
      <c r="AI291" s="94"/>
      <c r="AJ291" s="94"/>
      <c r="AK291" s="94"/>
      <c r="AL291" s="94"/>
      <c r="AM291" s="94"/>
      <c r="AN291" s="94"/>
      <c r="AO291" s="94"/>
      <c r="AP291" s="94"/>
      <c r="AQ291" s="94"/>
      <c r="AR291" s="94"/>
      <c r="AS291" s="94"/>
      <c r="AT291" s="94"/>
      <c r="AU291" s="94"/>
      <c r="AV291" s="94"/>
      <c r="AW291" s="303"/>
    </row>
    <row r="292" spans="1:49" s="304" customFormat="1" x14ac:dyDescent="0.35">
      <c r="A292" s="89"/>
      <c r="B292" s="90">
        <f t="shared" si="4"/>
        <v>282</v>
      </c>
      <c r="C292" s="143">
        <v>46076</v>
      </c>
      <c r="D292" s="92"/>
      <c r="E292" s="124" t="s">
        <v>553</v>
      </c>
      <c r="F292" s="6" t="s">
        <v>554</v>
      </c>
      <c r="G292" s="6">
        <v>24</v>
      </c>
      <c r="H292" s="124" t="s">
        <v>553</v>
      </c>
      <c r="I292" s="6"/>
      <c r="J292" s="8"/>
      <c r="K292" s="6"/>
      <c r="L292" s="124" t="s">
        <v>553</v>
      </c>
      <c r="M292" s="119">
        <v>27</v>
      </c>
      <c r="N292" s="93">
        <v>69</v>
      </c>
      <c r="O292" s="6">
        <v>3</v>
      </c>
      <c r="P292" s="129">
        <v>2</v>
      </c>
      <c r="Q292" s="6">
        <v>144</v>
      </c>
      <c r="R292" s="98"/>
      <c r="S292" s="94"/>
      <c r="T292" s="94">
        <f>'3.2 Digest'!W292</f>
        <v>0</v>
      </c>
      <c r="U292" s="117">
        <v>0.33958333333333335</v>
      </c>
      <c r="V292" s="155">
        <v>40</v>
      </c>
      <c r="W292" s="117">
        <v>0.68472222222222223</v>
      </c>
      <c r="X292" s="96">
        <v>42</v>
      </c>
      <c r="Y292" s="96"/>
      <c r="Z292" s="155">
        <v>40</v>
      </c>
      <c r="AA292" s="117">
        <v>0.36319444444444443</v>
      </c>
      <c r="AB292" s="155">
        <v>43</v>
      </c>
      <c r="AC292" s="155"/>
      <c r="AD292" s="96"/>
      <c r="AE292" s="94">
        <f>Table3.110[[#This Row],[Gas 8h, ml]]-Table3.110[[#This Row],[Gas 0h, ml]]</f>
        <v>2</v>
      </c>
      <c r="AF292" s="94">
        <f>Table3.110[[#This Row],[Gas 24h, ml]]-Table3.110[[#This Row],[V8 Push back, ml]]</f>
        <v>3</v>
      </c>
      <c r="AG292" s="94"/>
      <c r="AH292" s="94"/>
      <c r="AI292" s="94"/>
      <c r="AJ292" s="94"/>
      <c r="AK292" s="94"/>
      <c r="AL292" s="94"/>
      <c r="AM292" s="94"/>
      <c r="AN292" s="94"/>
      <c r="AO292" s="94"/>
      <c r="AP292" s="94"/>
      <c r="AQ292" s="94"/>
      <c r="AR292" s="94"/>
      <c r="AS292" s="94"/>
      <c r="AT292" s="94"/>
      <c r="AU292" s="94"/>
      <c r="AV292" s="94"/>
      <c r="AW292" s="303"/>
    </row>
    <row r="293" spans="1:49" s="304" customFormat="1" x14ac:dyDescent="0.35">
      <c r="A293" s="89"/>
      <c r="B293" s="90">
        <f t="shared" si="4"/>
        <v>283</v>
      </c>
      <c r="C293" s="139">
        <v>46048</v>
      </c>
      <c r="D293" s="92"/>
      <c r="E293" s="320" t="s">
        <v>537</v>
      </c>
      <c r="F293" s="133" t="s">
        <v>538</v>
      </c>
      <c r="G293" s="133">
        <v>24</v>
      </c>
      <c r="H293" s="321" t="s">
        <v>537</v>
      </c>
      <c r="I293" s="187"/>
      <c r="J293" s="188"/>
      <c r="K293" s="321"/>
      <c r="L293" s="320" t="s">
        <v>539</v>
      </c>
      <c r="M293" s="93">
        <v>28</v>
      </c>
      <c r="N293" s="93">
        <v>60</v>
      </c>
      <c r="O293" s="6">
        <v>1</v>
      </c>
      <c r="P293" s="6">
        <v>1</v>
      </c>
      <c r="Q293" s="6">
        <v>211</v>
      </c>
      <c r="R293" s="93"/>
      <c r="S293" s="110"/>
      <c r="T293" s="94">
        <f>'3.2 Digest'!W293</f>
        <v>0</v>
      </c>
      <c r="U293" s="153">
        <v>0.33680555555555558</v>
      </c>
      <c r="V293" s="154">
        <v>39.5</v>
      </c>
      <c r="W293" s="153">
        <v>0.67083333333333328</v>
      </c>
      <c r="X293" s="95">
        <v>41.5</v>
      </c>
      <c r="Y293" s="95"/>
      <c r="Z293" s="154">
        <v>40</v>
      </c>
      <c r="AA293" s="153">
        <v>0.33680555555555558</v>
      </c>
      <c r="AB293" s="154">
        <v>42.5</v>
      </c>
      <c r="AC293" s="154"/>
      <c r="AD293" s="91"/>
      <c r="AE293" s="94">
        <f>Table3.110[[#This Row],[Gas 8h, ml]]-Table3.110[[#This Row],[Gas 0h, ml]]</f>
        <v>2</v>
      </c>
      <c r="AF293" s="94">
        <f>Table3.110[[#This Row],[Gas 24h, ml]]-Table3.110[[#This Row],[V8 Push back, ml]]</f>
        <v>2.5</v>
      </c>
      <c r="AG293" s="94"/>
      <c r="AH293" s="94"/>
      <c r="AI293" s="94"/>
      <c r="AJ293" s="94"/>
      <c r="AK293" s="94"/>
      <c r="AL293" s="94"/>
      <c r="AM293" s="94"/>
      <c r="AN293" s="94"/>
      <c r="AO293" s="94"/>
      <c r="AP293" s="94"/>
      <c r="AQ293" s="94"/>
      <c r="AR293" s="94"/>
      <c r="AS293" s="94"/>
      <c r="AT293" s="94"/>
      <c r="AU293" s="94"/>
      <c r="AV293" s="94"/>
      <c r="AW293" s="303"/>
    </row>
    <row r="294" spans="1:49" s="304" customFormat="1" x14ac:dyDescent="0.35">
      <c r="A294" s="89"/>
      <c r="B294" s="90">
        <f t="shared" si="4"/>
        <v>284</v>
      </c>
      <c r="C294" s="140">
        <v>46048</v>
      </c>
      <c r="D294" s="92"/>
      <c r="E294" s="320" t="s">
        <v>537</v>
      </c>
      <c r="F294" s="133" t="s">
        <v>538</v>
      </c>
      <c r="G294" s="133">
        <v>24</v>
      </c>
      <c r="H294" s="321" t="s">
        <v>537</v>
      </c>
      <c r="I294" s="187"/>
      <c r="J294" s="188"/>
      <c r="K294" s="321"/>
      <c r="L294" s="320" t="s">
        <v>539</v>
      </c>
      <c r="M294" s="93">
        <v>28</v>
      </c>
      <c r="N294" s="93">
        <v>60</v>
      </c>
      <c r="O294" s="6">
        <v>1</v>
      </c>
      <c r="P294" s="129">
        <v>2</v>
      </c>
      <c r="Q294" s="6">
        <v>212</v>
      </c>
      <c r="R294" s="93"/>
      <c r="S294" s="110"/>
      <c r="T294" s="94">
        <f>'3.2 Digest'!W294</f>
        <v>0</v>
      </c>
      <c r="U294" s="117">
        <v>0.33750000000000002</v>
      </c>
      <c r="V294" s="155">
        <v>39.5</v>
      </c>
      <c r="W294" s="117">
        <v>0.67083333333333328</v>
      </c>
      <c r="X294" s="97">
        <v>41.5</v>
      </c>
      <c r="Y294" s="97"/>
      <c r="Z294" s="155">
        <v>40</v>
      </c>
      <c r="AA294" s="117">
        <v>0.33750000000000002</v>
      </c>
      <c r="AB294" s="155">
        <v>42.5</v>
      </c>
      <c r="AC294" s="155"/>
      <c r="AD294" s="96"/>
      <c r="AE294" s="94">
        <f>Table3.110[[#This Row],[Gas 8h, ml]]-Table3.110[[#This Row],[Gas 0h, ml]]</f>
        <v>2</v>
      </c>
      <c r="AF294" s="94">
        <f>Table3.110[[#This Row],[Gas 24h, ml]]-Table3.110[[#This Row],[V8 Push back, ml]]</f>
        <v>2.5</v>
      </c>
      <c r="AG294" s="94"/>
      <c r="AH294" s="94"/>
      <c r="AI294" s="94"/>
      <c r="AJ294" s="94"/>
      <c r="AK294" s="94"/>
      <c r="AL294" s="94"/>
      <c r="AM294" s="94"/>
      <c r="AN294" s="94"/>
      <c r="AO294" s="94"/>
      <c r="AP294" s="94"/>
      <c r="AQ294" s="94"/>
      <c r="AR294" s="94"/>
      <c r="AS294" s="94"/>
      <c r="AT294" s="94"/>
      <c r="AU294" s="94"/>
      <c r="AV294" s="94"/>
      <c r="AW294" s="303"/>
    </row>
    <row r="295" spans="1:49" s="304" customFormat="1" x14ac:dyDescent="0.35">
      <c r="A295" s="89"/>
      <c r="B295" s="90">
        <f t="shared" si="4"/>
        <v>285</v>
      </c>
      <c r="C295" s="139">
        <v>46048</v>
      </c>
      <c r="D295" s="6" t="s">
        <v>16</v>
      </c>
      <c r="E295" s="6" t="s">
        <v>128</v>
      </c>
      <c r="F295" s="133" t="s">
        <v>129</v>
      </c>
      <c r="G295" s="133" t="s">
        <v>130</v>
      </c>
      <c r="H295" s="133" t="s">
        <v>131</v>
      </c>
      <c r="I295" s="133" t="s">
        <v>22</v>
      </c>
      <c r="J295" s="135" t="s">
        <v>23</v>
      </c>
      <c r="K295" s="135" t="s">
        <v>24</v>
      </c>
      <c r="L295" s="6" t="s">
        <v>127</v>
      </c>
      <c r="M295" s="93">
        <v>28</v>
      </c>
      <c r="N295" s="93">
        <v>60</v>
      </c>
      <c r="O295" s="6">
        <v>1</v>
      </c>
      <c r="P295" s="129">
        <v>1</v>
      </c>
      <c r="Q295" s="6">
        <v>213</v>
      </c>
      <c r="R295" s="98">
        <v>0.50029999999999997</v>
      </c>
      <c r="S295" s="110">
        <f>((Table3.110[[#This Row],[Sample weight, g]]*'2.1. DM'!Q77)/100)*1000</f>
        <v>473.2195871651341</v>
      </c>
      <c r="T295" s="94">
        <f>'3.2 Digest'!W295</f>
        <v>271.51958716513411</v>
      </c>
      <c r="U295" s="153">
        <v>0.34236111111111112</v>
      </c>
      <c r="V295" s="154">
        <v>39</v>
      </c>
      <c r="W295" s="153">
        <v>0.67083333333333328</v>
      </c>
      <c r="X295" s="95">
        <v>65.5</v>
      </c>
      <c r="Y295" s="95">
        <v>13.2</v>
      </c>
      <c r="Z295" s="154">
        <v>38.5</v>
      </c>
      <c r="AA295" s="153">
        <v>0.33888888888888891</v>
      </c>
      <c r="AB295" s="154">
        <v>79.5</v>
      </c>
      <c r="AC295" s="154">
        <v>13.6</v>
      </c>
      <c r="AD295" s="91" t="s">
        <v>555</v>
      </c>
      <c r="AE295" s="94">
        <f>Table3.110[[#This Row],[Gas 8h, ml]]-Table3.110[[#This Row],[Gas 0h, ml]]</f>
        <v>26.5</v>
      </c>
      <c r="AF295" s="94">
        <f>Table3.110[[#This Row],[Gas 24h, ml]]-Table3.110[[#This Row],[V8 Push back, ml]]</f>
        <v>41</v>
      </c>
      <c r="AG295" s="94">
        <f>Table3.110[[#This Row],[GP 8h, ml]]-(AVERAGE(AE$293,AE$294,AE$385,AE$386,AE$477,AE$478))*$AG$8</f>
        <v>25.246240428868305</v>
      </c>
      <c r="AH295" s="94">
        <f>Table3.110[[#This Row],[GP 8-24h, ml]]-(AVERAGE(AF$293,AF$294,AF$385,AF$386,AF$477,AF$478))*$AG$8</f>
        <v>39.00873479879084</v>
      </c>
      <c r="AI295" s="94">
        <f>Table3.110[[#This Row],[Net gas 8-24h, ml]]+Table3.110[[#This Row],[Net gas 8h, ml]]</f>
        <v>64.254975227659145</v>
      </c>
      <c r="AJ295" s="94">
        <f>Table3.110[[#This Row],[Net gas 8h, ml]]*Table3.110[[#This Row],[CH4 8h %]]%</f>
        <v>3.3325037366106165</v>
      </c>
      <c r="AK295" s="94">
        <f>Table3.110[[#This Row],[Net gas 8-24h, ml]]*Table3.110[[#This Row],[CH4 24h, %]]%</f>
        <v>5.3051879326355547</v>
      </c>
      <c r="AL295" s="94">
        <f>Table3.110[[#This Row],[CH4 8-24h, ml]]+Table3.110[[#This Row],[CH4 8h, ml]]</f>
        <v>8.6376916692461716</v>
      </c>
      <c r="AM295" s="94">
        <f>(Table3.110[[#This Row],[Net gas 24h, ml]]/Table3.110[[#This Row],[DM Incubated, mg]])*1000</f>
        <v>135.78257741312979</v>
      </c>
      <c r="AN295" s="94">
        <f>'3.2 Digest'!X295</f>
        <v>57.377081280954037</v>
      </c>
      <c r="AO295" s="94">
        <f>Table3.110[[#This Row],[Digested feed, mg]]/Table3.110[[#This Row],[Net gas 24h, ml]]</f>
        <v>4.2256585766802379</v>
      </c>
      <c r="AP295" s="94">
        <f>Table3.110[[#This Row],[CH4 8h, ml]]/Table3.110[[#This Row],[Net gas 8h, ml]]%</f>
        <v>13.200000000000001</v>
      </c>
      <c r="AQ295" s="94">
        <f>Table3.110[[#This Row],[CH4 24h, ml]]/Table3.110[[#This Row],[Net gas 24h, ml]]%</f>
        <v>13.442837132287924</v>
      </c>
      <c r="AR295" s="94">
        <f>Table3.110[[#This Row],[CH4 24h, ml]]/Table3.110[[#This Row],[DM Incubated, mg]]*1000</f>
        <v>18.25303073566981</v>
      </c>
      <c r="AS295" s="94">
        <f>Table3.110[[#This Row],[CH4 24h, ml]]/Table3.110[[#This Row],[Digested feed, mg]]*1000</f>
        <v>31.812407198427483</v>
      </c>
      <c r="AT295" s="94">
        <f>Table3.110[[#This Row],[CH4 24h, ml]]/'3.2 Digest'!AA295</f>
        <v>0.47997322605111531</v>
      </c>
      <c r="AU295" s="94">
        <f>((Table3.110[[#This Row],[CH4 24h, ml]]/28.9)*16.04)/Table3.110[[#This Row],[DM Incubated, mg]]*1000</f>
        <v>10.130747854676255</v>
      </c>
      <c r="AV295" s="94">
        <f>((Table3.110[[#This Row],[CH4 24h, ml]]/28.9)*16.04)/Table3.110[[#This Row],[Digested feed, mg]]*1000</f>
        <v>17.656436382795047</v>
      </c>
      <c r="AW295" s="303"/>
    </row>
    <row r="296" spans="1:49" s="304" customFormat="1" x14ac:dyDescent="0.35">
      <c r="A296" s="89"/>
      <c r="B296" s="90">
        <f t="shared" si="4"/>
        <v>286</v>
      </c>
      <c r="C296" s="140">
        <v>46048</v>
      </c>
      <c r="D296" s="6" t="s">
        <v>16</v>
      </c>
      <c r="E296" s="6" t="s">
        <v>128</v>
      </c>
      <c r="F296" s="133" t="s">
        <v>129</v>
      </c>
      <c r="G296" s="133" t="s">
        <v>130</v>
      </c>
      <c r="H296" s="133" t="s">
        <v>131</v>
      </c>
      <c r="I296" s="133" t="s">
        <v>22</v>
      </c>
      <c r="J296" s="135" t="s">
        <v>23</v>
      </c>
      <c r="K296" s="135" t="s">
        <v>24</v>
      </c>
      <c r="L296" s="6" t="s">
        <v>127</v>
      </c>
      <c r="M296" s="93">
        <v>28</v>
      </c>
      <c r="N296" s="93">
        <v>60</v>
      </c>
      <c r="O296" s="6">
        <v>1</v>
      </c>
      <c r="P296" s="6">
        <v>2</v>
      </c>
      <c r="Q296" s="6">
        <v>214</v>
      </c>
      <c r="R296" s="98">
        <v>0.50060000000000004</v>
      </c>
      <c r="S296" s="94">
        <f>((Table3.110[[#This Row],[Sample weight, g]]*'2.1. DM'!Q77)/100)*1000</f>
        <v>473.50334866053606</v>
      </c>
      <c r="T296" s="94">
        <f>'3.2 Digest'!W296</f>
        <v>279.00334866053606</v>
      </c>
      <c r="U296" s="117">
        <v>0.34305555555555556</v>
      </c>
      <c r="V296" s="155">
        <v>41.5</v>
      </c>
      <c r="W296" s="117">
        <v>0.67152777777777772</v>
      </c>
      <c r="X296" s="97">
        <v>70.5</v>
      </c>
      <c r="Y296" s="97">
        <v>12.9</v>
      </c>
      <c r="Z296" s="155">
        <v>41</v>
      </c>
      <c r="AA296" s="117">
        <v>0.33888888888888891</v>
      </c>
      <c r="AB296" s="155">
        <v>82.5</v>
      </c>
      <c r="AC296" s="155">
        <v>14.3</v>
      </c>
      <c r="AD296" s="96"/>
      <c r="AE296" s="94">
        <f>Table3.110[[#This Row],[Gas 8h, ml]]-Table3.110[[#This Row],[Gas 0h, ml]]</f>
        <v>29</v>
      </c>
      <c r="AF296" s="94">
        <f>Table3.110[[#This Row],[Gas 24h, ml]]-Table3.110[[#This Row],[V8 Push back, ml]]</f>
        <v>41.5</v>
      </c>
      <c r="AG296" s="94">
        <f>Table3.110[[#This Row],[GP 8h, ml]]-(AVERAGE(AE$293,AE$294,AE$385,AE$386,AE$477,AE$478))*$AG$8</f>
        <v>27.746240428868305</v>
      </c>
      <c r="AH296" s="94">
        <f>Table3.110[[#This Row],[GP 8-24h, ml]]-(AVERAGE(AF$293,AF$294,AF$385,AF$386,AF$477,AF$478))*$AG$8</f>
        <v>39.50873479879084</v>
      </c>
      <c r="AI296" s="94">
        <f>Table3.110[[#This Row],[Net gas 8-24h, ml]]+Table3.110[[#This Row],[Net gas 8h, ml]]</f>
        <v>67.254975227659145</v>
      </c>
      <c r="AJ296" s="94">
        <f>Table3.110[[#This Row],[Net gas 8h, ml]]*Table3.110[[#This Row],[CH4 8h %]]%</f>
        <v>3.5792650153240113</v>
      </c>
      <c r="AK296" s="94">
        <f>Table3.110[[#This Row],[Net gas 8-24h, ml]]*Table3.110[[#This Row],[CH4 24h, %]]%</f>
        <v>5.6497490762270912</v>
      </c>
      <c r="AL296" s="94">
        <f>Table3.110[[#This Row],[CH4 8-24h, ml]]+Table3.110[[#This Row],[CH4 8h, ml]]</f>
        <v>9.2290140915511021</v>
      </c>
      <c r="AM296" s="94">
        <f>(Table3.110[[#This Row],[Net gas 24h, ml]]/Table3.110[[#This Row],[DM Incubated, mg]])*1000</f>
        <v>142.03695796009157</v>
      </c>
      <c r="AN296" s="94">
        <f>'3.2 Digest'!X296</f>
        <v>58.923204967777131</v>
      </c>
      <c r="AO296" s="94">
        <f>Table3.110[[#This Row],[Digested feed, mg]]/Table3.110[[#This Row],[Net gas 24h, ml]]</f>
        <v>4.1484417727626148</v>
      </c>
      <c r="AP296" s="94">
        <f>Table3.110[[#This Row],[CH4 8h, ml]]/Table3.110[[#This Row],[Net gas 8h, ml]]%</f>
        <v>12.899999999999999</v>
      </c>
      <c r="AQ296" s="94">
        <f>Table3.110[[#This Row],[CH4 24h, ml]]/Table3.110[[#This Row],[Net gas 24h, ml]]%</f>
        <v>13.722425828439823</v>
      </c>
      <c r="AR296" s="94">
        <f>Table3.110[[#This Row],[CH4 24h, ml]]/Table3.110[[#This Row],[DM Incubated, mg]]*1000</f>
        <v>19.490916205045817</v>
      </c>
      <c r="AS296" s="94">
        <f>Table3.110[[#This Row],[CH4 24h, ml]]/Table3.110[[#This Row],[Digested feed, mg]]*1000</f>
        <v>33.078506533554418</v>
      </c>
      <c r="AT296" s="94">
        <f>Table3.110[[#This Row],[CH4 24h, ml]]/'3.2 Digest'!AA296</f>
        <v>0.44008797250395637</v>
      </c>
      <c r="AU296" s="94">
        <f>((Table3.110[[#This Row],[CH4 24h, ml]]/28.9)*16.04)/Table3.110[[#This Row],[DM Incubated, mg]]*1000</f>
        <v>10.817795706883562</v>
      </c>
      <c r="AV296" s="94">
        <f>((Table3.110[[#This Row],[CH4 24h, ml]]/28.9)*16.04)/Table3.110[[#This Row],[Digested feed, mg]]*1000</f>
        <v>18.35914341862328</v>
      </c>
      <c r="AW296" s="303"/>
    </row>
    <row r="297" spans="1:49" s="304" customFormat="1" x14ac:dyDescent="0.35">
      <c r="A297" s="89"/>
      <c r="B297" s="90">
        <f t="shared" si="4"/>
        <v>287</v>
      </c>
      <c r="C297" s="139">
        <v>46048</v>
      </c>
      <c r="D297" s="6" t="s">
        <v>16</v>
      </c>
      <c r="E297" s="6" t="s">
        <v>128</v>
      </c>
      <c r="F297" s="133" t="s">
        <v>129</v>
      </c>
      <c r="G297" s="133" t="s">
        <v>130</v>
      </c>
      <c r="H297" s="133" t="s">
        <v>131</v>
      </c>
      <c r="I297" s="133" t="s">
        <v>22</v>
      </c>
      <c r="J297" s="135" t="s">
        <v>23</v>
      </c>
      <c r="K297" s="135" t="s">
        <v>24</v>
      </c>
      <c r="L297" s="6" t="s">
        <v>127</v>
      </c>
      <c r="M297" s="93">
        <v>28</v>
      </c>
      <c r="N297" s="93">
        <v>60</v>
      </c>
      <c r="O297" s="6">
        <v>1</v>
      </c>
      <c r="P297" s="129">
        <v>3</v>
      </c>
      <c r="Q297" s="6">
        <v>215</v>
      </c>
      <c r="R297" s="98">
        <v>0.50060000000000004</v>
      </c>
      <c r="S297" s="94">
        <f>((Table3.110[[#This Row],[Sample weight, g]]*'2.1. DM'!Q77)/100)*1000</f>
        <v>473.50334866053606</v>
      </c>
      <c r="T297" s="94">
        <f>'3.2 Digest'!W297</f>
        <v>281.70334866053611</v>
      </c>
      <c r="U297" s="153">
        <v>0.34375</v>
      </c>
      <c r="V297" s="154">
        <v>41.5</v>
      </c>
      <c r="W297" s="153">
        <v>0.67152777777777772</v>
      </c>
      <c r="X297" s="95">
        <v>70</v>
      </c>
      <c r="Y297" s="95">
        <v>12.9</v>
      </c>
      <c r="Z297" s="154">
        <v>40.5</v>
      </c>
      <c r="AA297" s="153">
        <v>0.33958333333333335</v>
      </c>
      <c r="AB297" s="154">
        <v>83.5</v>
      </c>
      <c r="AC297" s="154">
        <v>14.6</v>
      </c>
      <c r="AD297" s="91"/>
      <c r="AE297" s="94">
        <f>Table3.110[[#This Row],[Gas 8h, ml]]-Table3.110[[#This Row],[Gas 0h, ml]]</f>
        <v>28.5</v>
      </c>
      <c r="AF297" s="94">
        <f>Table3.110[[#This Row],[Gas 24h, ml]]-Table3.110[[#This Row],[V8 Push back, ml]]</f>
        <v>43</v>
      </c>
      <c r="AG297" s="94">
        <f>Table3.110[[#This Row],[GP 8h, ml]]-(AVERAGE(AE$293,AE$294,AE$385,AE$386,AE$477,AE$478))*$AG$8</f>
        <v>27.246240428868305</v>
      </c>
      <c r="AH297" s="94">
        <f>Table3.110[[#This Row],[GP 8-24h, ml]]-(AVERAGE(AF$293,AF$294,AF$385,AF$386,AF$477,AF$478))*$AG$8</f>
        <v>41.00873479879084</v>
      </c>
      <c r="AI297" s="94">
        <f>Table3.110[[#This Row],[Net gas 8-24h, ml]]+Table3.110[[#This Row],[Net gas 8h, ml]]</f>
        <v>68.254975227659145</v>
      </c>
      <c r="AJ297" s="94">
        <f>Table3.110[[#This Row],[Net gas 8h, ml]]*Table3.110[[#This Row],[CH4 8h %]]%</f>
        <v>3.5147650153240115</v>
      </c>
      <c r="AK297" s="94">
        <f>Table3.110[[#This Row],[Net gas 8-24h, ml]]*Table3.110[[#This Row],[CH4 24h, %]]%</f>
        <v>5.9872752806234626</v>
      </c>
      <c r="AL297" s="94">
        <f>Table3.110[[#This Row],[CH4 8-24h, ml]]+Table3.110[[#This Row],[CH4 8h, ml]]</f>
        <v>9.5020402959474737</v>
      </c>
      <c r="AM297" s="94">
        <f>(Table3.110[[#This Row],[Net gas 24h, ml]]/Table3.110[[#This Row],[DM Incubated, mg]])*1000</f>
        <v>144.14887544246807</v>
      </c>
      <c r="AN297" s="94">
        <f>'3.2 Digest'!X297</f>
        <v>59.493422688018796</v>
      </c>
      <c r="AO297" s="94">
        <f>Table3.110[[#This Row],[Digested feed, mg]]/Table3.110[[#This Row],[Net gas 24h, ml]]</f>
        <v>4.127220729638192</v>
      </c>
      <c r="AP297" s="94">
        <f>Table3.110[[#This Row],[CH4 8h, ml]]/Table3.110[[#This Row],[Net gas 8h, ml]]%</f>
        <v>12.9</v>
      </c>
      <c r="AQ297" s="94">
        <f>Table3.110[[#This Row],[CH4 24h, ml]]/Table3.110[[#This Row],[Net gas 24h, ml]]%</f>
        <v>13.921388535054273</v>
      </c>
      <c r="AR297" s="94">
        <f>Table3.110[[#This Row],[CH4 24h, ml]]/Table3.110[[#This Row],[DM Incubated, mg]]*1000</f>
        <v>20.067525019257413</v>
      </c>
      <c r="AS297" s="94">
        <f>Table3.110[[#This Row],[CH4 24h, ml]]/Table3.110[[#This Row],[Digested feed, mg]]*1000</f>
        <v>33.73066149596189</v>
      </c>
      <c r="AT297" s="94">
        <f>Table3.110[[#This Row],[CH4 24h, ml]]/'3.2 Digest'!AA297</f>
        <v>0.43058194955948853</v>
      </c>
      <c r="AU297" s="94">
        <f>((Table3.110[[#This Row],[CH4 24h, ml]]/28.9)*16.04)/Table3.110[[#This Row],[DM Incubated, mg]]*1000</f>
        <v>11.13782357470204</v>
      </c>
      <c r="AV297" s="94">
        <f>((Table3.110[[#This Row],[CH4 24h, ml]]/28.9)*16.04)/Table3.110[[#This Row],[Digested feed, mg]]*1000</f>
        <v>18.721100705717259</v>
      </c>
      <c r="AW297" s="303"/>
    </row>
    <row r="298" spans="1:49" s="304" customFormat="1" x14ac:dyDescent="0.35">
      <c r="A298" s="89"/>
      <c r="B298" s="90">
        <f t="shared" si="4"/>
        <v>288</v>
      </c>
      <c r="C298" s="140">
        <v>46048</v>
      </c>
      <c r="D298" s="6" t="s">
        <v>16</v>
      </c>
      <c r="E298" s="6" t="s">
        <v>135</v>
      </c>
      <c r="F298" s="133" t="s">
        <v>99</v>
      </c>
      <c r="G298" s="133" t="s">
        <v>100</v>
      </c>
      <c r="H298" s="133" t="s">
        <v>101</v>
      </c>
      <c r="I298" s="133" t="s">
        <v>22</v>
      </c>
      <c r="J298" s="135" t="s">
        <v>23</v>
      </c>
      <c r="K298" s="135" t="s">
        <v>24</v>
      </c>
      <c r="L298" s="6" t="s">
        <v>134</v>
      </c>
      <c r="M298" s="93">
        <v>28</v>
      </c>
      <c r="N298" s="93">
        <v>60</v>
      </c>
      <c r="O298" s="6">
        <v>1</v>
      </c>
      <c r="P298" s="129">
        <v>1</v>
      </c>
      <c r="Q298" s="6">
        <v>216</v>
      </c>
      <c r="R298" s="98">
        <v>0.50049999999999994</v>
      </c>
      <c r="S298" s="94">
        <f>((Table3.110[[#This Row],[Sample weight, g]]*'2.1. DM'!Q79)/100)*1000</f>
        <v>463.77247178276008</v>
      </c>
      <c r="T298" s="94">
        <f>'3.2 Digest'!W298</f>
        <v>124.67247178276</v>
      </c>
      <c r="U298" s="117">
        <v>0.34444444444444444</v>
      </c>
      <c r="V298" s="155">
        <v>42</v>
      </c>
      <c r="W298" s="117">
        <v>0.67222222222222228</v>
      </c>
      <c r="X298" s="97">
        <v>75.5</v>
      </c>
      <c r="Y298" s="97">
        <v>10.4</v>
      </c>
      <c r="Z298" s="155">
        <v>40.5</v>
      </c>
      <c r="AA298" s="117">
        <v>0.33958333333333335</v>
      </c>
      <c r="AB298" s="155">
        <v>71.5</v>
      </c>
      <c r="AC298" s="155">
        <v>13.2</v>
      </c>
      <c r="AD298" s="96"/>
      <c r="AE298" s="94">
        <f>Table3.110[[#This Row],[Gas 8h, ml]]-Table3.110[[#This Row],[Gas 0h, ml]]</f>
        <v>33.5</v>
      </c>
      <c r="AF298" s="94">
        <f>Table3.110[[#This Row],[Gas 24h, ml]]-Table3.110[[#This Row],[V8 Push back, ml]]</f>
        <v>31</v>
      </c>
      <c r="AG298" s="94"/>
      <c r="AH298" s="94"/>
      <c r="AI298" s="94"/>
      <c r="AJ298" s="94"/>
      <c r="AK298" s="94"/>
      <c r="AL298" s="94"/>
      <c r="AM298" s="94"/>
      <c r="AN298" s="94"/>
      <c r="AO298" s="94"/>
      <c r="AP298" s="94"/>
      <c r="AQ298" s="94"/>
      <c r="AR298" s="94"/>
      <c r="AS298" s="94"/>
      <c r="AT298" s="94"/>
      <c r="AU298" s="94"/>
      <c r="AV298" s="94"/>
      <c r="AW298" s="303" t="s">
        <v>627</v>
      </c>
    </row>
    <row r="299" spans="1:49" s="304" customFormat="1" x14ac:dyDescent="0.35">
      <c r="A299" s="89"/>
      <c r="B299" s="90">
        <f t="shared" si="4"/>
        <v>289</v>
      </c>
      <c r="C299" s="139">
        <v>46048</v>
      </c>
      <c r="D299" s="6" t="s">
        <v>16</v>
      </c>
      <c r="E299" s="6" t="s">
        <v>135</v>
      </c>
      <c r="F299" s="133" t="s">
        <v>99</v>
      </c>
      <c r="G299" s="133" t="s">
        <v>100</v>
      </c>
      <c r="H299" s="133" t="s">
        <v>101</v>
      </c>
      <c r="I299" s="133" t="s">
        <v>22</v>
      </c>
      <c r="J299" s="135" t="s">
        <v>23</v>
      </c>
      <c r="K299" s="135" t="s">
        <v>24</v>
      </c>
      <c r="L299" s="6" t="s">
        <v>134</v>
      </c>
      <c r="M299" s="93">
        <v>28</v>
      </c>
      <c r="N299" s="93">
        <v>60</v>
      </c>
      <c r="O299" s="6">
        <v>1</v>
      </c>
      <c r="P299" s="6">
        <v>2</v>
      </c>
      <c r="Q299" s="6">
        <v>217</v>
      </c>
      <c r="R299" s="98">
        <v>0.50049999999999994</v>
      </c>
      <c r="S299" s="94">
        <f>((Table3.110[[#This Row],[Sample weight, g]]*'2.1. DM'!Q79)/100)*1000</f>
        <v>463.77247178276008</v>
      </c>
      <c r="T299" s="94">
        <f>'3.2 Digest'!W299</f>
        <v>164.57247178276003</v>
      </c>
      <c r="U299" s="153">
        <v>0.34513888888888888</v>
      </c>
      <c r="V299" s="154">
        <v>42</v>
      </c>
      <c r="W299" s="153">
        <v>0.67222222222222228</v>
      </c>
      <c r="X299" s="95">
        <v>76.5</v>
      </c>
      <c r="Y299" s="95">
        <v>10.199999999999999</v>
      </c>
      <c r="Z299" s="154">
        <v>40.5</v>
      </c>
      <c r="AA299" s="153">
        <v>0.34027777777777779</v>
      </c>
      <c r="AB299" s="154">
        <v>71</v>
      </c>
      <c r="AC299" s="154">
        <v>13.2</v>
      </c>
      <c r="AD299" s="91" t="s">
        <v>551</v>
      </c>
      <c r="AE299" s="94">
        <f>Table3.110[[#This Row],[Gas 8h, ml]]-Table3.110[[#This Row],[Gas 0h, ml]]</f>
        <v>34.5</v>
      </c>
      <c r="AF299" s="94">
        <f>Table3.110[[#This Row],[Gas 24h, ml]]-Table3.110[[#This Row],[V8 Push back, ml]]</f>
        <v>30.5</v>
      </c>
      <c r="AG299" s="94">
        <f>Table3.110[[#This Row],[GP 8h, ml]]-(AVERAGE(AE$293,AE$294,AE$385,AE$386,AE$477,AE$478))*$AG$8</f>
        <v>33.246240428868305</v>
      </c>
      <c r="AH299" s="94">
        <f>Table3.110[[#This Row],[GP 8-24h, ml]]-(AVERAGE(AF$293,AF$294,AF$385,AF$386,AF$477,AF$478))*$AG$8</f>
        <v>28.508734798790837</v>
      </c>
      <c r="AI299" s="94">
        <f>Table3.110[[#This Row],[Net gas 8-24h, ml]]+Table3.110[[#This Row],[Net gas 8h, ml]]</f>
        <v>61.754975227659145</v>
      </c>
      <c r="AJ299" s="94">
        <f>Table3.110[[#This Row],[Net gas 8h, ml]]*Table3.110[[#This Row],[CH4 8h %]]%</f>
        <v>3.3911165237445671</v>
      </c>
      <c r="AK299" s="94">
        <f>Table3.110[[#This Row],[Net gas 8-24h, ml]]*Table3.110[[#This Row],[CH4 24h, %]]%</f>
        <v>3.7631529934403907</v>
      </c>
      <c r="AL299" s="94">
        <f>Table3.110[[#This Row],[CH4 8-24h, ml]]+Table3.110[[#This Row],[CH4 8h, ml]]</f>
        <v>7.1542695171849573</v>
      </c>
      <c r="AM299" s="94">
        <f>(Table3.110[[#This Row],[Net gas 24h, ml]]/Table3.110[[#This Row],[DM Incubated, mg]])*1000</f>
        <v>133.15791467801125</v>
      </c>
      <c r="AN299" s="94">
        <f>'3.2 Digest'!X299</f>
        <v>35.485605937354755</v>
      </c>
      <c r="AO299" s="94">
        <f>Table3.110[[#This Row],[Digested feed, mg]]/Table3.110[[#This Row],[Net gas 24h, ml]]</f>
        <v>2.6649265290134947</v>
      </c>
      <c r="AP299" s="94">
        <f>Table3.110[[#This Row],[CH4 8h, ml]]/Table3.110[[#This Row],[Net gas 8h, ml]]%</f>
        <v>10.199999999999999</v>
      </c>
      <c r="AQ299" s="94">
        <f>Table3.110[[#This Row],[CH4 24h, ml]]/Table3.110[[#This Row],[Net gas 24h, ml]]%</f>
        <v>11.584928162971176</v>
      </c>
      <c r="AR299" s="94">
        <f>Table3.110[[#This Row],[CH4 24h, ml]]/Table3.110[[#This Row],[DM Incubated, mg]]*1000</f>
        <v>15.426248758758055</v>
      </c>
      <c r="AS299" s="94">
        <f>Table3.110[[#This Row],[CH4 24h, ml]]/Table3.110[[#This Row],[Digested feed, mg]]*1000</f>
        <v>43.471848236130157</v>
      </c>
      <c r="AT299" s="94">
        <f>Table3.110[[#This Row],[CH4 24h, ml]]/'3.2 Digest'!AA299</f>
        <v>-0.27118360416435111</v>
      </c>
      <c r="AU299" s="94">
        <f>((Table3.110[[#This Row],[CH4 24h, ml]]/28.9)*16.04)/Table3.110[[#This Row],[DM Incubated, mg]]*1000</f>
        <v>8.5618349512276541</v>
      </c>
      <c r="AV299" s="94">
        <f>((Table3.110[[#This Row],[CH4 24h, ml]]/28.9)*16.04)/Table3.110[[#This Row],[Digested feed, mg]]*1000</f>
        <v>24.127627879153209</v>
      </c>
      <c r="AW299" s="303"/>
    </row>
    <row r="300" spans="1:49" s="304" customFormat="1" x14ac:dyDescent="0.35">
      <c r="A300" s="89"/>
      <c r="B300" s="90">
        <f t="shared" si="4"/>
        <v>290</v>
      </c>
      <c r="C300" s="140">
        <v>46048</v>
      </c>
      <c r="D300" s="6" t="s">
        <v>16</v>
      </c>
      <c r="E300" s="6" t="s">
        <v>135</v>
      </c>
      <c r="F300" s="133" t="s">
        <v>99</v>
      </c>
      <c r="G300" s="133" t="s">
        <v>100</v>
      </c>
      <c r="H300" s="133" t="s">
        <v>101</v>
      </c>
      <c r="I300" s="133" t="s">
        <v>22</v>
      </c>
      <c r="J300" s="135" t="s">
        <v>23</v>
      </c>
      <c r="K300" s="135" t="s">
        <v>24</v>
      </c>
      <c r="L300" s="6" t="s">
        <v>134</v>
      </c>
      <c r="M300" s="93">
        <v>28</v>
      </c>
      <c r="N300" s="93">
        <v>60</v>
      </c>
      <c r="O300" s="6">
        <v>1</v>
      </c>
      <c r="P300" s="129">
        <v>3</v>
      </c>
      <c r="Q300" s="6">
        <v>218</v>
      </c>
      <c r="R300" s="98">
        <v>0.5</v>
      </c>
      <c r="S300" s="94">
        <f>((Table3.110[[#This Row],[Sample weight, g]]*'2.1. DM'!Q79)/100)*1000</f>
        <v>463.30916262014</v>
      </c>
      <c r="T300" s="94">
        <f>'3.2 Digest'!W300</f>
        <v>211.1091626201399</v>
      </c>
      <c r="U300" s="117">
        <v>0.34513888888888888</v>
      </c>
      <c r="V300" s="155">
        <v>41.5</v>
      </c>
      <c r="W300" s="117">
        <v>0.67291666666666672</v>
      </c>
      <c r="X300" s="97">
        <v>76.5</v>
      </c>
      <c r="Y300" s="97">
        <v>10</v>
      </c>
      <c r="Z300" s="155">
        <v>40.5</v>
      </c>
      <c r="AA300" s="117">
        <v>0.34027777777777779</v>
      </c>
      <c r="AB300" s="155">
        <v>71.5</v>
      </c>
      <c r="AC300" s="155">
        <v>12.9</v>
      </c>
      <c r="AD300" s="96"/>
      <c r="AE300" s="94">
        <f>Table3.110[[#This Row],[Gas 8h, ml]]-Table3.110[[#This Row],[Gas 0h, ml]]</f>
        <v>35</v>
      </c>
      <c r="AF300" s="94">
        <f>Table3.110[[#This Row],[Gas 24h, ml]]-Table3.110[[#This Row],[V8 Push back, ml]]</f>
        <v>31</v>
      </c>
      <c r="AG300" s="94">
        <f>Table3.110[[#This Row],[GP 8h, ml]]-(AVERAGE(AE$293,AE$294,AE$385,AE$386,AE$477,AE$478))*$AG$8</f>
        <v>33.746240428868305</v>
      </c>
      <c r="AH300" s="94">
        <f>Table3.110[[#This Row],[GP 8-24h, ml]]-(AVERAGE(AF$293,AF$294,AF$385,AF$386,AF$477,AF$478))*$AG$8</f>
        <v>29.008734798790837</v>
      </c>
      <c r="AI300" s="94">
        <f>Table3.110[[#This Row],[Net gas 8-24h, ml]]+Table3.110[[#This Row],[Net gas 8h, ml]]</f>
        <v>62.754975227659145</v>
      </c>
      <c r="AJ300" s="94">
        <f>Table3.110[[#This Row],[Net gas 8h, ml]]*Table3.110[[#This Row],[CH4 8h %]]%</f>
        <v>3.3746240428868308</v>
      </c>
      <c r="AK300" s="94">
        <f>Table3.110[[#This Row],[Net gas 8-24h, ml]]*Table3.110[[#This Row],[CH4 24h, %]]%</f>
        <v>3.742126789044018</v>
      </c>
      <c r="AL300" s="94">
        <f>Table3.110[[#This Row],[CH4 8-24h, ml]]+Table3.110[[#This Row],[CH4 8h, ml]]</f>
        <v>7.1167508319308492</v>
      </c>
      <c r="AM300" s="94">
        <f>(Table3.110[[#This Row],[Net gas 24h, ml]]/Table3.110[[#This Row],[DM Incubated, mg]])*1000</f>
        <v>135.44945857052036</v>
      </c>
      <c r="AN300" s="94">
        <f>'3.2 Digest'!X300</f>
        <v>45.56550563909849</v>
      </c>
      <c r="AO300" s="94">
        <f>Table3.110[[#This Row],[Digested feed, mg]]/Table3.110[[#This Row],[Net gas 24h, ml]]</f>
        <v>3.3640227225696346</v>
      </c>
      <c r="AP300" s="94">
        <f>Table3.110[[#This Row],[CH4 8h, ml]]/Table3.110[[#This Row],[Net gas 8h, ml]]%</f>
        <v>10</v>
      </c>
      <c r="AQ300" s="94">
        <f>Table3.110[[#This Row],[CH4 24h, ml]]/Table3.110[[#This Row],[Net gas 24h, ml]]%</f>
        <v>11.340536437331192</v>
      </c>
      <c r="AR300" s="94">
        <f>Table3.110[[#This Row],[CH4 24h, ml]]/Table3.110[[#This Row],[DM Incubated, mg]]*1000</f>
        <v>15.360695203357684</v>
      </c>
      <c r="AS300" s="94">
        <f>Table3.110[[#This Row],[CH4 24h, ml]]/Table3.110[[#This Row],[Digested feed, mg]]*1000</f>
        <v>33.711236137753062</v>
      </c>
      <c r="AT300" s="94">
        <f>Table3.110[[#This Row],[CH4 24h, ml]]/'3.2 Digest'!AA300</f>
        <v>-1.0725360512706663</v>
      </c>
      <c r="AU300" s="94">
        <f>((Table3.110[[#This Row],[CH4 24h, ml]]/28.9)*16.04)/Table3.110[[#This Row],[DM Incubated, mg]]*1000</f>
        <v>8.525451593835891</v>
      </c>
      <c r="AV300" s="94">
        <f>((Table3.110[[#This Row],[CH4 24h, ml]]/28.9)*16.04)/Table3.110[[#This Row],[Digested feed, mg]]*1000</f>
        <v>18.710319295832502</v>
      </c>
      <c r="AW300" s="303"/>
    </row>
    <row r="301" spans="1:49" s="304" customFormat="1" x14ac:dyDescent="0.35">
      <c r="A301" s="89"/>
      <c r="B301" s="90">
        <f t="shared" si="4"/>
        <v>291</v>
      </c>
      <c r="C301" s="139">
        <v>46048</v>
      </c>
      <c r="D301" s="6" t="s">
        <v>16</v>
      </c>
      <c r="E301" s="6" t="s">
        <v>137</v>
      </c>
      <c r="F301" s="133" t="s">
        <v>99</v>
      </c>
      <c r="G301" s="133" t="s">
        <v>100</v>
      </c>
      <c r="H301" s="133" t="s">
        <v>101</v>
      </c>
      <c r="I301" s="133" t="s">
        <v>22</v>
      </c>
      <c r="J301" s="135" t="s">
        <v>23</v>
      </c>
      <c r="K301" s="135" t="s">
        <v>24</v>
      </c>
      <c r="L301" s="6" t="s">
        <v>136</v>
      </c>
      <c r="M301" s="93">
        <v>28</v>
      </c>
      <c r="N301" s="93">
        <v>60</v>
      </c>
      <c r="O301" s="6">
        <v>1</v>
      </c>
      <c r="P301" s="129">
        <v>1</v>
      </c>
      <c r="Q301" s="6">
        <v>219</v>
      </c>
      <c r="R301" s="98">
        <v>0.5</v>
      </c>
      <c r="S301" s="94">
        <f>((Table3.110[[#This Row],[Sample weight, g]]*'2.1. DM'!Q81)/100)*1000</f>
        <v>471.30431427962986</v>
      </c>
      <c r="T301" s="94">
        <f>'3.2 Digest'!W301</f>
        <v>216.80431427962992</v>
      </c>
      <c r="U301" s="153">
        <v>0.34583333333333333</v>
      </c>
      <c r="V301" s="154">
        <v>41.5</v>
      </c>
      <c r="W301" s="153">
        <v>0.67291666666666672</v>
      </c>
      <c r="X301" s="95">
        <v>71</v>
      </c>
      <c r="Y301" s="95">
        <v>11.5</v>
      </c>
      <c r="Z301" s="154">
        <v>40.5</v>
      </c>
      <c r="AA301" s="153">
        <v>0.34097222222222223</v>
      </c>
      <c r="AB301" s="154">
        <v>73.5</v>
      </c>
      <c r="AC301" s="154">
        <v>14.1</v>
      </c>
      <c r="AD301" s="91"/>
      <c r="AE301" s="94">
        <f>Table3.110[[#This Row],[Gas 8h, ml]]-Table3.110[[#This Row],[Gas 0h, ml]]</f>
        <v>29.5</v>
      </c>
      <c r="AF301" s="94">
        <f>Table3.110[[#This Row],[Gas 24h, ml]]-Table3.110[[#This Row],[V8 Push back, ml]]</f>
        <v>33</v>
      </c>
      <c r="AG301" s="94">
        <f>Table3.110[[#This Row],[GP 8h, ml]]-(AVERAGE(AE$293,AE$294,AE$385,AE$386,AE$477,AE$478))*$AG$8</f>
        <v>28.246240428868305</v>
      </c>
      <c r="AH301" s="94">
        <f>Table3.110[[#This Row],[GP 8-24h, ml]]-(AVERAGE(AF$293,AF$294,AF$385,AF$386,AF$477,AF$478))*$AG$8</f>
        <v>31.008734798790837</v>
      </c>
      <c r="AI301" s="94">
        <f>Table3.110[[#This Row],[Net gas 8-24h, ml]]+Table3.110[[#This Row],[Net gas 8h, ml]]</f>
        <v>59.254975227659145</v>
      </c>
      <c r="AJ301" s="94">
        <f>Table3.110[[#This Row],[Net gas 8h, ml]]*Table3.110[[#This Row],[CH4 8h %]]%</f>
        <v>3.2483176493198553</v>
      </c>
      <c r="AK301" s="94">
        <f>Table3.110[[#This Row],[Net gas 8-24h, ml]]*Table3.110[[#This Row],[CH4 24h, %]]%</f>
        <v>4.3722316066295077</v>
      </c>
      <c r="AL301" s="94">
        <f>Table3.110[[#This Row],[CH4 8-24h, ml]]+Table3.110[[#This Row],[CH4 8h, ml]]</f>
        <v>7.6205492559493635</v>
      </c>
      <c r="AM301" s="94">
        <f>(Table3.110[[#This Row],[Net gas 24h, ml]]/Table3.110[[#This Row],[DM Incubated, mg]])*1000</f>
        <v>125.72550989317391</v>
      </c>
      <c r="AN301" s="94">
        <f>'3.2 Digest'!X301</f>
        <v>46.000918665683507</v>
      </c>
      <c r="AO301" s="94">
        <f>Table3.110[[#This Row],[Digested feed, mg]]/Table3.110[[#This Row],[Net gas 24h, ml]]</f>
        <v>3.6588373119162085</v>
      </c>
      <c r="AP301" s="94">
        <f>Table3.110[[#This Row],[CH4 8h, ml]]/Table3.110[[#This Row],[Net gas 8h, ml]]%</f>
        <v>11.500000000000002</v>
      </c>
      <c r="AQ301" s="94">
        <f>Table3.110[[#This Row],[CH4 24h, ml]]/Table3.110[[#This Row],[Net gas 24h, ml]]%</f>
        <v>12.860606601675245</v>
      </c>
      <c r="AR301" s="94">
        <f>Table3.110[[#This Row],[CH4 24h, ml]]/Table3.110[[#This Row],[DM Incubated, mg]]*1000</f>
        <v>16.169063225311383</v>
      </c>
      <c r="AS301" s="94">
        <f>Table3.110[[#This Row],[CH4 24h, ml]]/Table3.110[[#This Row],[Digested feed, mg]]*1000</f>
        <v>35.149435477195027</v>
      </c>
      <c r="AT301" s="94">
        <f>Table3.110[[#This Row],[CH4 24h, ml]]/'3.2 Digest'!AA301</f>
        <v>-0.44390540879260043</v>
      </c>
      <c r="AU301" s="94">
        <f>((Table3.110[[#This Row],[CH4 24h, ml]]/28.9)*16.04)/Table3.110[[#This Row],[DM Incubated, mg]]*1000</f>
        <v>8.9741098316261123</v>
      </c>
      <c r="AV301" s="94">
        <f>((Table3.110[[#This Row],[CH4 24h, ml]]/28.9)*16.04)/Table3.110[[#This Row],[Digested feed, mg]]*1000</f>
        <v>19.508544811564299</v>
      </c>
      <c r="AW301" s="303"/>
    </row>
    <row r="302" spans="1:49" s="304" customFormat="1" x14ac:dyDescent="0.35">
      <c r="A302" s="89"/>
      <c r="B302" s="90">
        <f t="shared" si="4"/>
        <v>292</v>
      </c>
      <c r="C302" s="140">
        <v>46048</v>
      </c>
      <c r="D302" s="6" t="s">
        <v>16</v>
      </c>
      <c r="E302" s="6" t="s">
        <v>137</v>
      </c>
      <c r="F302" s="133" t="s">
        <v>99</v>
      </c>
      <c r="G302" s="133" t="s">
        <v>100</v>
      </c>
      <c r="H302" s="133" t="s">
        <v>101</v>
      </c>
      <c r="I302" s="133" t="s">
        <v>22</v>
      </c>
      <c r="J302" s="135" t="s">
        <v>23</v>
      </c>
      <c r="K302" s="135" t="s">
        <v>24</v>
      </c>
      <c r="L302" s="6" t="s">
        <v>136</v>
      </c>
      <c r="M302" s="93">
        <v>28</v>
      </c>
      <c r="N302" s="93">
        <v>60</v>
      </c>
      <c r="O302" s="6">
        <v>1</v>
      </c>
      <c r="P302" s="6">
        <v>2</v>
      </c>
      <c r="Q302" s="6">
        <v>220</v>
      </c>
      <c r="R302" s="98">
        <v>0.50049999999999994</v>
      </c>
      <c r="S302" s="94">
        <f>((Table3.110[[#This Row],[Sample weight, g]]*'2.1. DM'!Q81)/100)*1000</f>
        <v>471.77561859390948</v>
      </c>
      <c r="T302" s="94">
        <f>'3.2 Digest'!W302</f>
        <v>249.37561859390945</v>
      </c>
      <c r="U302" s="117">
        <v>0.34652777777777777</v>
      </c>
      <c r="V302" s="155">
        <v>41.5</v>
      </c>
      <c r="W302" s="117">
        <v>0.67291666666666672</v>
      </c>
      <c r="X302" s="97">
        <v>73.5</v>
      </c>
      <c r="Y302" s="97">
        <v>11</v>
      </c>
      <c r="Z302" s="155">
        <v>40.5</v>
      </c>
      <c r="AA302" s="117">
        <v>0.34097222222222223</v>
      </c>
      <c r="AB302" s="155">
        <v>75.5</v>
      </c>
      <c r="AC302" s="155">
        <v>14.3</v>
      </c>
      <c r="AD302" s="96"/>
      <c r="AE302" s="94">
        <f>Table3.110[[#This Row],[Gas 8h, ml]]-Table3.110[[#This Row],[Gas 0h, ml]]</f>
        <v>32</v>
      </c>
      <c r="AF302" s="94">
        <f>Table3.110[[#This Row],[Gas 24h, ml]]-Table3.110[[#This Row],[V8 Push back, ml]]</f>
        <v>35</v>
      </c>
      <c r="AG302" s="94">
        <f>Table3.110[[#This Row],[GP 8h, ml]]-(AVERAGE(AE$293,AE$294,AE$385,AE$386,AE$477,AE$478))*$AG$8</f>
        <v>30.746240428868305</v>
      </c>
      <c r="AH302" s="94">
        <f>Table3.110[[#This Row],[GP 8-24h, ml]]-(AVERAGE(AF$293,AF$294,AF$385,AF$386,AF$477,AF$478))*$AG$8</f>
        <v>33.00873479879084</v>
      </c>
      <c r="AI302" s="94">
        <f>Table3.110[[#This Row],[Net gas 8-24h, ml]]+Table3.110[[#This Row],[Net gas 8h, ml]]</f>
        <v>63.754975227659145</v>
      </c>
      <c r="AJ302" s="94">
        <f>Table3.110[[#This Row],[Net gas 8h, ml]]*Table3.110[[#This Row],[CH4 8h %]]%</f>
        <v>3.3820864471755137</v>
      </c>
      <c r="AK302" s="94">
        <f>Table3.110[[#This Row],[Net gas 8-24h, ml]]*Table3.110[[#This Row],[CH4 24h, %]]%</f>
        <v>4.7202490762270903</v>
      </c>
      <c r="AL302" s="94">
        <f>Table3.110[[#This Row],[CH4 8-24h, ml]]+Table3.110[[#This Row],[CH4 8h, ml]]</f>
        <v>8.1023355234026049</v>
      </c>
      <c r="AM302" s="94">
        <f>(Table3.110[[#This Row],[Net gas 24h, ml]]/Table3.110[[#This Row],[DM Incubated, mg]])*1000</f>
        <v>135.13834270977355</v>
      </c>
      <c r="AN302" s="94">
        <f>'3.2 Digest'!X302</f>
        <v>52.85894581351068</v>
      </c>
      <c r="AO302" s="94">
        <f>Table3.110[[#This Row],[Digested feed, mg]]/Table3.110[[#This Row],[Net gas 24h, ml]]</f>
        <v>3.9114691473634449</v>
      </c>
      <c r="AP302" s="94">
        <f>Table3.110[[#This Row],[CH4 8h, ml]]/Table3.110[[#This Row],[Net gas 8h, ml]]%</f>
        <v>11</v>
      </c>
      <c r="AQ302" s="94">
        <f>Table3.110[[#This Row],[CH4 24h, ml]]/Table3.110[[#This Row],[Net gas 24h, ml]]%</f>
        <v>12.708554108083987</v>
      </c>
      <c r="AR302" s="94">
        <f>Table3.110[[#This Row],[CH4 24h, ml]]/Table3.110[[#This Row],[DM Incubated, mg]]*1000</f>
        <v>17.17412940403954</v>
      </c>
      <c r="AS302" s="94">
        <f>Table3.110[[#This Row],[CH4 24h, ml]]/Table3.110[[#This Row],[Digested feed, mg]]*1000</f>
        <v>32.490487919737994</v>
      </c>
      <c r="AT302" s="94">
        <f>Table3.110[[#This Row],[CH4 24h, ml]]/'3.2 Digest'!AA302</f>
        <v>-3.5435098180674323</v>
      </c>
      <c r="AU302" s="94">
        <f>((Table3.110[[#This Row],[CH4 24h, ml]]/28.9)*16.04)/Table3.110[[#This Row],[DM Incubated, mg]]*1000</f>
        <v>9.5319389495084508</v>
      </c>
      <c r="AV302" s="94">
        <f>((Table3.110[[#This Row],[CH4 24h, ml]]/28.9)*16.04)/Table3.110[[#This Row],[Digested feed, mg]]*1000</f>
        <v>18.032782914622747</v>
      </c>
      <c r="AW302" s="303"/>
    </row>
    <row r="303" spans="1:49" s="304" customFormat="1" x14ac:dyDescent="0.35">
      <c r="A303" s="89"/>
      <c r="B303" s="90">
        <f t="shared" si="4"/>
        <v>293</v>
      </c>
      <c r="C303" s="140">
        <v>46048</v>
      </c>
      <c r="D303" s="6" t="s">
        <v>16</v>
      </c>
      <c r="E303" s="6" t="s">
        <v>137</v>
      </c>
      <c r="F303" s="133" t="s">
        <v>99</v>
      </c>
      <c r="G303" s="133" t="s">
        <v>100</v>
      </c>
      <c r="H303" s="133" t="s">
        <v>101</v>
      </c>
      <c r="I303" s="133" t="s">
        <v>22</v>
      </c>
      <c r="J303" s="135" t="s">
        <v>23</v>
      </c>
      <c r="K303" s="135" t="s">
        <v>24</v>
      </c>
      <c r="L303" s="6" t="s">
        <v>136</v>
      </c>
      <c r="M303" s="93">
        <v>28</v>
      </c>
      <c r="N303" s="93">
        <v>60</v>
      </c>
      <c r="O303" s="6">
        <v>1</v>
      </c>
      <c r="P303" s="129">
        <v>3</v>
      </c>
      <c r="Q303" s="6">
        <v>221</v>
      </c>
      <c r="R303" s="98">
        <v>0.50039999999999996</v>
      </c>
      <c r="S303" s="94">
        <f>((Table3.110[[#This Row],[Sample weight, g]]*'2.1. DM'!Q81)/100)*1000</f>
        <v>471.68135773105359</v>
      </c>
      <c r="T303" s="94">
        <f>'3.2 Digest'!W303</f>
        <v>238.98135773105369</v>
      </c>
      <c r="U303" s="153">
        <v>0.34722222222222221</v>
      </c>
      <c r="V303" s="154">
        <v>41.5</v>
      </c>
      <c r="W303" s="153">
        <v>0.67361111111111116</v>
      </c>
      <c r="X303" s="95">
        <v>73</v>
      </c>
      <c r="Y303" s="95">
        <v>11.3</v>
      </c>
      <c r="Z303" s="154">
        <v>40.5</v>
      </c>
      <c r="AA303" s="153">
        <v>0.34166666666666667</v>
      </c>
      <c r="AB303" s="154">
        <v>75.5</v>
      </c>
      <c r="AC303" s="154">
        <v>14</v>
      </c>
      <c r="AD303" s="91" t="s">
        <v>551</v>
      </c>
      <c r="AE303" s="94">
        <f>Table3.110[[#This Row],[Gas 8h, ml]]-Table3.110[[#This Row],[Gas 0h, ml]]</f>
        <v>31.5</v>
      </c>
      <c r="AF303" s="94">
        <f>Table3.110[[#This Row],[Gas 24h, ml]]-Table3.110[[#This Row],[V8 Push back, ml]]</f>
        <v>35</v>
      </c>
      <c r="AG303" s="94">
        <f>Table3.110[[#This Row],[GP 8h, ml]]-(AVERAGE(AE$293,AE$294,AE$385,AE$386,AE$477,AE$478))*$AG$8</f>
        <v>30.246240428868305</v>
      </c>
      <c r="AH303" s="94">
        <f>Table3.110[[#This Row],[GP 8-24h, ml]]-(AVERAGE(AF$293,AF$294,AF$385,AF$386,AF$477,AF$478))*$AG$8</f>
        <v>33.00873479879084</v>
      </c>
      <c r="AI303" s="94">
        <f>Table3.110[[#This Row],[Net gas 8-24h, ml]]+Table3.110[[#This Row],[Net gas 8h, ml]]</f>
        <v>63.254975227659145</v>
      </c>
      <c r="AJ303" s="94">
        <f>Table3.110[[#This Row],[Net gas 8h, ml]]*Table3.110[[#This Row],[CH4 8h %]]%</f>
        <v>3.4178251684621186</v>
      </c>
      <c r="AK303" s="94">
        <f>Table3.110[[#This Row],[Net gas 8-24h, ml]]*Table3.110[[#This Row],[CH4 24h, %]]%</f>
        <v>4.6212228718307182</v>
      </c>
      <c r="AL303" s="94">
        <f>Table3.110[[#This Row],[CH4 8-24h, ml]]+Table3.110[[#This Row],[CH4 8h, ml]]</f>
        <v>8.0390480402928368</v>
      </c>
      <c r="AM303" s="94">
        <f>(Table3.110[[#This Row],[Net gas 24h, ml]]/Table3.110[[#This Row],[DM Incubated, mg]])*1000</f>
        <v>134.1053111192202</v>
      </c>
      <c r="AN303" s="94">
        <f>'3.2 Digest'!X303</f>
        <v>50.66584757146957</v>
      </c>
      <c r="AO303" s="94">
        <f>Table3.110[[#This Row],[Digested feed, mg]]/Table3.110[[#This Row],[Net gas 24h, ml]]</f>
        <v>3.7780642055576314</v>
      </c>
      <c r="AP303" s="94">
        <f>Table3.110[[#This Row],[CH4 8h, ml]]/Table3.110[[#This Row],[Net gas 8h, ml]]%</f>
        <v>11.3</v>
      </c>
      <c r="AQ303" s="94">
        <f>Table3.110[[#This Row],[CH4 24h, ml]]/Table3.110[[#This Row],[Net gas 24h, ml]]%</f>
        <v>12.708957692829271</v>
      </c>
      <c r="AR303" s="94">
        <f>Table3.110[[#This Row],[CH4 24h, ml]]/Table3.110[[#This Row],[DM Incubated, mg]]*1000</f>
        <v>17.043387253978764</v>
      </c>
      <c r="AS303" s="94">
        <f>Table3.110[[#This Row],[CH4 24h, ml]]/Table3.110[[#This Row],[Digested feed, mg]]*1000</f>
        <v>33.638808133895822</v>
      </c>
      <c r="AT303" s="94">
        <f>Table3.110[[#This Row],[CH4 24h, ml]]/'3.2 Digest'!AA303</f>
        <v>-1.141082497510423</v>
      </c>
      <c r="AU303" s="94">
        <f>((Table3.110[[#This Row],[CH4 24h, ml]]/28.9)*16.04)/Table3.110[[#This Row],[DM Incubated, mg]]*1000</f>
        <v>9.4593747942498041</v>
      </c>
      <c r="AV303" s="94">
        <f>((Table3.110[[#This Row],[CH4 24h, ml]]/28.9)*16.04)/Table3.110[[#This Row],[Digested feed, mg]]*1000</f>
        <v>18.670120500612075</v>
      </c>
      <c r="AW303" s="303"/>
    </row>
    <row r="304" spans="1:49" s="304" customFormat="1" x14ac:dyDescent="0.35">
      <c r="A304" s="89"/>
      <c r="B304" s="90">
        <f t="shared" si="4"/>
        <v>294</v>
      </c>
      <c r="C304" s="140">
        <v>46048</v>
      </c>
      <c r="D304" s="6" t="s">
        <v>16</v>
      </c>
      <c r="E304" s="6" t="s">
        <v>139</v>
      </c>
      <c r="F304" s="133" t="s">
        <v>79</v>
      </c>
      <c r="G304" s="133" t="s">
        <v>80</v>
      </c>
      <c r="H304" s="133" t="s">
        <v>81</v>
      </c>
      <c r="I304" s="133" t="s">
        <v>22</v>
      </c>
      <c r="J304" s="135" t="s">
        <v>23</v>
      </c>
      <c r="K304" s="135" t="s">
        <v>24</v>
      </c>
      <c r="L304" s="6" t="s">
        <v>138</v>
      </c>
      <c r="M304" s="93">
        <v>28</v>
      </c>
      <c r="N304" s="93">
        <v>60</v>
      </c>
      <c r="O304" s="6">
        <v>1</v>
      </c>
      <c r="P304" s="129">
        <v>1</v>
      </c>
      <c r="Q304" s="6">
        <v>222</v>
      </c>
      <c r="R304" s="98">
        <v>0.50029999999999997</v>
      </c>
      <c r="S304" s="94">
        <f>((Table3.110[[#This Row],[Sample weight, g]]*'2.1. DM'!Q83)/100)*1000</f>
        <v>467.21842480689094</v>
      </c>
      <c r="T304" s="94">
        <f>'3.2 Digest'!W304</f>
        <v>279.71842480689094</v>
      </c>
      <c r="U304" s="117">
        <v>0.34722222222222221</v>
      </c>
      <c r="V304" s="155">
        <v>41.5</v>
      </c>
      <c r="W304" s="117">
        <v>0.6743055555555556</v>
      </c>
      <c r="X304" s="97">
        <v>52.5</v>
      </c>
      <c r="Y304" s="97">
        <v>9</v>
      </c>
      <c r="Z304" s="155">
        <v>40.5</v>
      </c>
      <c r="AA304" s="117">
        <v>0.34166666666666667</v>
      </c>
      <c r="AB304" s="155">
        <v>55</v>
      </c>
      <c r="AC304" s="155">
        <v>5.0999999999999996</v>
      </c>
      <c r="AD304" s="96" t="s">
        <v>556</v>
      </c>
      <c r="AE304" s="94">
        <f>Table3.110[[#This Row],[Gas 8h, ml]]-Table3.110[[#This Row],[Gas 0h, ml]]</f>
        <v>11</v>
      </c>
      <c r="AF304" s="94">
        <f>Table3.110[[#This Row],[Gas 24h, ml]]-Table3.110[[#This Row],[V8 Push back, ml]]</f>
        <v>14.5</v>
      </c>
      <c r="AG304" s="94">
        <f>Table3.110[[#This Row],[GP 8h, ml]]-(AVERAGE(AE$293,AE$294,AE$385,AE$386,AE$477,AE$478))*$AG$8</f>
        <v>9.7462404288683047</v>
      </c>
      <c r="AH304" s="94">
        <f>Table3.110[[#This Row],[GP 8-24h, ml]]-(AVERAGE(AF$293,AF$294,AF$385,AF$386,AF$477,AF$478))*$AG$8</f>
        <v>12.508734798790837</v>
      </c>
      <c r="AI304" s="94">
        <f>Table3.110[[#This Row],[Net gas 8-24h, ml]]+Table3.110[[#This Row],[Net gas 8h, ml]]</f>
        <v>22.254975227659141</v>
      </c>
      <c r="AJ304" s="94">
        <f>Table3.110[[#This Row],[Net gas 8h, ml]]*Table3.110[[#This Row],[CH4 8h %]]%</f>
        <v>0.87716163859814744</v>
      </c>
      <c r="AK304" s="94">
        <f>Table3.110[[#This Row],[Net gas 8-24h, ml]]*Table3.110[[#This Row],[CH4 24h, %]]%</f>
        <v>0.63794547473833263</v>
      </c>
      <c r="AL304" s="94">
        <f>Table3.110[[#This Row],[CH4 8-24h, ml]]+Table3.110[[#This Row],[CH4 8h, ml]]</f>
        <v>1.5151071133364802</v>
      </c>
      <c r="AM304" s="94">
        <f>(Table3.110[[#This Row],[Net gas 24h, ml]]/Table3.110[[#This Row],[DM Incubated, mg]])*1000</f>
        <v>47.632914384439118</v>
      </c>
      <c r="AN304" s="94">
        <f>'3.2 Digest'!X304</f>
        <v>59.868877157938108</v>
      </c>
      <c r="AO304" s="94">
        <f>Table3.110[[#This Row],[Digested feed, mg]]/Table3.110[[#This Row],[Net gas 24h, ml]]</f>
        <v>12.568804141343128</v>
      </c>
      <c r="AP304" s="94">
        <f>Table3.110[[#This Row],[CH4 8h, ml]]/Table3.110[[#This Row],[Net gas 8h, ml]]%</f>
        <v>9</v>
      </c>
      <c r="AQ304" s="94">
        <f>Table3.110[[#This Row],[CH4 24h, ml]]/Table3.110[[#This Row],[Net gas 24h, ml]]%</f>
        <v>6.8079478760931638</v>
      </c>
      <c r="AR304" s="94">
        <f>Table3.110[[#This Row],[CH4 24h, ml]]/Table3.110[[#This Row],[DM Incubated, mg]]*1000</f>
        <v>3.2428239831566978</v>
      </c>
      <c r="AS304" s="94">
        <f>Table3.110[[#This Row],[CH4 24h, ml]]/Table3.110[[#This Row],[Digested feed, mg]]*1000</f>
        <v>5.4165438489883666</v>
      </c>
      <c r="AT304" s="94">
        <f>Table3.110[[#This Row],[CH4 24h, ml]]/'3.2 Digest'!AA304</f>
        <v>6.448740818277833E-2</v>
      </c>
      <c r="AU304" s="94">
        <f>((Table3.110[[#This Row],[CH4 24h, ml]]/28.9)*16.04)/Table3.110[[#This Row],[DM Incubated, mg]]*1000</f>
        <v>1.7998234148731291</v>
      </c>
      <c r="AV304" s="94">
        <f>((Table3.110[[#This Row],[CH4 24h, ml]]/28.9)*16.04)/Table3.110[[#This Row],[Digested feed, mg]]*1000</f>
        <v>3.0062755480198415</v>
      </c>
      <c r="AW304" s="303"/>
    </row>
    <row r="305" spans="1:49" s="304" customFormat="1" x14ac:dyDescent="0.35">
      <c r="A305" s="89"/>
      <c r="B305" s="90">
        <f t="shared" si="4"/>
        <v>295</v>
      </c>
      <c r="C305" s="140">
        <v>46048</v>
      </c>
      <c r="D305" s="6" t="s">
        <v>16</v>
      </c>
      <c r="E305" s="6" t="s">
        <v>139</v>
      </c>
      <c r="F305" s="133" t="s">
        <v>79</v>
      </c>
      <c r="G305" s="133" t="s">
        <v>80</v>
      </c>
      <c r="H305" s="133" t="s">
        <v>81</v>
      </c>
      <c r="I305" s="133" t="s">
        <v>22</v>
      </c>
      <c r="J305" s="135" t="s">
        <v>23</v>
      </c>
      <c r="K305" s="135" t="s">
        <v>24</v>
      </c>
      <c r="L305" s="6" t="s">
        <v>138</v>
      </c>
      <c r="M305" s="93">
        <v>28</v>
      </c>
      <c r="N305" s="93">
        <v>60</v>
      </c>
      <c r="O305" s="6">
        <v>1</v>
      </c>
      <c r="P305" s="6">
        <v>2</v>
      </c>
      <c r="Q305" s="6">
        <v>223</v>
      </c>
      <c r="R305" s="98">
        <v>0.5</v>
      </c>
      <c r="S305" s="94">
        <f>((Table3.110[[#This Row],[Sample weight, g]]*'2.1. DM'!Q83)/100)*1000</f>
        <v>466.93826184978116</v>
      </c>
      <c r="T305" s="94">
        <f>'3.2 Digest'!W305</f>
        <v>276.83826184978125</v>
      </c>
      <c r="U305" s="153">
        <v>0.34791666666666665</v>
      </c>
      <c r="V305" s="154">
        <v>40.5</v>
      </c>
      <c r="W305" s="153">
        <v>0.6743055555555556</v>
      </c>
      <c r="X305" s="95">
        <v>53</v>
      </c>
      <c r="Y305" s="95">
        <v>6.2</v>
      </c>
      <c r="Z305" s="154">
        <v>40</v>
      </c>
      <c r="AA305" s="153">
        <v>0.34236111111111112</v>
      </c>
      <c r="AB305" s="154">
        <v>56</v>
      </c>
      <c r="AC305" s="154">
        <v>1.9</v>
      </c>
      <c r="AD305" s="274" t="s">
        <v>557</v>
      </c>
      <c r="AE305" s="94">
        <f>Table3.110[[#This Row],[Gas 8h, ml]]-Table3.110[[#This Row],[Gas 0h, ml]]</f>
        <v>12.5</v>
      </c>
      <c r="AF305" s="94">
        <f>Table3.110[[#This Row],[Gas 24h, ml]]-Table3.110[[#This Row],[V8 Push back, ml]]</f>
        <v>16</v>
      </c>
      <c r="AG305" s="94">
        <f>Table3.110[[#This Row],[GP 8h, ml]]-(AVERAGE(AE$293,AE$294,AE$385,AE$386,AE$477,AE$478))*$AG$8</f>
        <v>11.246240428868305</v>
      </c>
      <c r="AH305" s="94">
        <f>Table3.110[[#This Row],[GP 8-24h, ml]]-(AVERAGE(AF$293,AF$294,AF$385,AF$386,AF$477,AF$478))*$AG$8</f>
        <v>14.008734798790837</v>
      </c>
      <c r="AI305" s="94">
        <f>Table3.110[[#This Row],[Net gas 8-24h, ml]]+Table3.110[[#This Row],[Net gas 8h, ml]]</f>
        <v>25.254975227659141</v>
      </c>
      <c r="AJ305" s="94">
        <f>Table3.110[[#This Row],[Net gas 8h, ml]]*Table3.110[[#This Row],[CH4 8h %]]%</f>
        <v>0.69726690658983492</v>
      </c>
      <c r="AK305" s="94">
        <f>Table3.110[[#This Row],[Net gas 8-24h, ml]]*Table3.110[[#This Row],[CH4 24h, %]]%</f>
        <v>0.2661659611770259</v>
      </c>
      <c r="AL305" s="94">
        <f>Table3.110[[#This Row],[CH4 8-24h, ml]]+Table3.110[[#This Row],[CH4 8h, ml]]</f>
        <v>0.96343286776686088</v>
      </c>
      <c r="AM305" s="94">
        <f>(Table3.110[[#This Row],[Net gas 24h, ml]]/Table3.110[[#This Row],[DM Incubated, mg]])*1000</f>
        <v>54.086326375592513</v>
      </c>
      <c r="AN305" s="94">
        <f>'3.2 Digest'!X305</f>
        <v>59.28797968988092</v>
      </c>
      <c r="AO305" s="94">
        <f>Table3.110[[#This Row],[Digested feed, mg]]/Table3.110[[#This Row],[Net gas 24h, ml]]</f>
        <v>10.961731672838434</v>
      </c>
      <c r="AP305" s="94">
        <f>Table3.110[[#This Row],[CH4 8h, ml]]/Table3.110[[#This Row],[Net gas 8h, ml]]%</f>
        <v>6.2</v>
      </c>
      <c r="AQ305" s="94">
        <f>Table3.110[[#This Row],[CH4 24h, ml]]/Table3.110[[#This Row],[Net gas 24h, ml]]%</f>
        <v>3.8148240458842868</v>
      </c>
      <c r="AR305" s="94">
        <f>Table3.110[[#This Row],[CH4 24h, ml]]/Table3.110[[#This Row],[DM Incubated, mg]]*1000</f>
        <v>2.0632981841115585</v>
      </c>
      <c r="AS305" s="94">
        <f>Table3.110[[#This Row],[CH4 24h, ml]]/Table3.110[[#This Row],[Digested feed, mg]]*1000</f>
        <v>3.4801290158715181</v>
      </c>
      <c r="AT305" s="94">
        <f>Table3.110[[#This Row],[CH4 24h, ml]]/'3.2 Digest'!AA305</f>
        <v>4.3034977563098091E-2</v>
      </c>
      <c r="AU305" s="94">
        <f>((Table3.110[[#This Row],[CH4 24h, ml]]/28.9)*16.04)/Table3.110[[#This Row],[DM Incubated, mg]]*1000</f>
        <v>1.1451661893823322</v>
      </c>
      <c r="AV305" s="94">
        <f>((Table3.110[[#This Row],[CH4 24h, ml]]/28.9)*16.04)/Table3.110[[#This Row],[Digested feed, mg]]*1000</f>
        <v>1.9315318136532578</v>
      </c>
      <c r="AW305" s="303"/>
    </row>
    <row r="306" spans="1:49" s="304" customFormat="1" x14ac:dyDescent="0.35">
      <c r="A306" s="89"/>
      <c r="B306" s="90">
        <f t="shared" si="4"/>
        <v>296</v>
      </c>
      <c r="C306" s="140">
        <v>46048</v>
      </c>
      <c r="D306" s="6" t="s">
        <v>16</v>
      </c>
      <c r="E306" s="6" t="s">
        <v>139</v>
      </c>
      <c r="F306" s="133" t="s">
        <v>79</v>
      </c>
      <c r="G306" s="133" t="s">
        <v>80</v>
      </c>
      <c r="H306" s="133" t="s">
        <v>81</v>
      </c>
      <c r="I306" s="133" t="s">
        <v>22</v>
      </c>
      <c r="J306" s="135" t="s">
        <v>23</v>
      </c>
      <c r="K306" s="135" t="s">
        <v>24</v>
      </c>
      <c r="L306" s="6" t="s">
        <v>138</v>
      </c>
      <c r="M306" s="93">
        <v>28</v>
      </c>
      <c r="N306" s="93">
        <v>60</v>
      </c>
      <c r="O306" s="6">
        <v>1</v>
      </c>
      <c r="P306" s="129">
        <v>3</v>
      </c>
      <c r="Q306" s="6">
        <v>224</v>
      </c>
      <c r="R306" s="98">
        <v>0.50039999999999996</v>
      </c>
      <c r="S306" s="94">
        <f>((Table3.110[[#This Row],[Sample weight, g]]*'2.1. DM'!Q83)/100)*1000</f>
        <v>467.31181245926098</v>
      </c>
      <c r="T306" s="94">
        <f>'3.2 Digest'!W306</f>
        <v>295.31181245926098</v>
      </c>
      <c r="U306" s="117">
        <v>0.34930555555555554</v>
      </c>
      <c r="V306" s="155">
        <v>40.5</v>
      </c>
      <c r="W306" s="117">
        <v>0.67500000000000004</v>
      </c>
      <c r="X306" s="97">
        <v>53.5</v>
      </c>
      <c r="Y306" s="97">
        <v>5.6</v>
      </c>
      <c r="Z306" s="155">
        <v>40</v>
      </c>
      <c r="AA306" s="117">
        <v>0.34305555555555556</v>
      </c>
      <c r="AB306" s="155">
        <v>54.5</v>
      </c>
      <c r="AC306" s="155">
        <v>0.9</v>
      </c>
      <c r="AD306" s="96" t="s">
        <v>558</v>
      </c>
      <c r="AE306" s="94">
        <f>Table3.110[[#This Row],[Gas 8h, ml]]-Table3.110[[#This Row],[Gas 0h, ml]]</f>
        <v>13</v>
      </c>
      <c r="AF306" s="94">
        <f>Table3.110[[#This Row],[Gas 24h, ml]]-Table3.110[[#This Row],[V8 Push back, ml]]</f>
        <v>14.5</v>
      </c>
      <c r="AG306" s="94">
        <f>Table3.110[[#This Row],[GP 8h, ml]]-(AVERAGE(AE$293,AE$294,AE$385,AE$386,AE$477,AE$478))*$AG$8</f>
        <v>11.746240428868305</v>
      </c>
      <c r="AH306" s="94">
        <f>Table3.110[[#This Row],[GP 8-24h, ml]]-(AVERAGE(AF$293,AF$294,AF$385,AF$386,AF$477,AF$478))*$AG$8</f>
        <v>12.508734798790837</v>
      </c>
      <c r="AI306" s="94">
        <f>Table3.110[[#This Row],[Net gas 8-24h, ml]]+Table3.110[[#This Row],[Net gas 8h, ml]]</f>
        <v>24.254975227659141</v>
      </c>
      <c r="AJ306" s="94">
        <f>Table3.110[[#This Row],[Net gas 8h, ml]]*Table3.110[[#This Row],[CH4 8h %]]%</f>
        <v>0.65778946401662497</v>
      </c>
      <c r="AK306" s="94">
        <f>Table3.110[[#This Row],[Net gas 8-24h, ml]]*Table3.110[[#This Row],[CH4 24h, %]]%</f>
        <v>0.11257861318911755</v>
      </c>
      <c r="AL306" s="94">
        <f>Table3.110[[#This Row],[CH4 8-24h, ml]]+Table3.110[[#This Row],[CH4 8h, ml]]</f>
        <v>0.77036807720574252</v>
      </c>
      <c r="AM306" s="94">
        <f>(Table3.110[[#This Row],[Net gas 24h, ml]]/Table3.110[[#This Row],[DM Incubated, mg]])*1000</f>
        <v>51.903193073626028</v>
      </c>
      <c r="AN306" s="94">
        <f>'3.2 Digest'!X306</f>
        <v>63.193740150749022</v>
      </c>
      <c r="AO306" s="94">
        <f>Table3.110[[#This Row],[Digested feed, mg]]/Table3.110[[#This Row],[Net gas 24h, ml]]</f>
        <v>12.175308763972778</v>
      </c>
      <c r="AP306" s="94">
        <f>Table3.110[[#This Row],[CH4 8h, ml]]/Table3.110[[#This Row],[Net gas 8h, ml]]%</f>
        <v>5.6</v>
      </c>
      <c r="AQ306" s="94">
        <f>Table3.110[[#This Row],[CH4 24h, ml]]/Table3.110[[#This Row],[Net gas 24h, ml]]%</f>
        <v>3.1761239497258025</v>
      </c>
      <c r="AR306" s="94">
        <f>Table3.110[[#This Row],[CH4 24h, ml]]/Table3.110[[#This Row],[DM Incubated, mg]]*1000</f>
        <v>1.6485097458838605</v>
      </c>
      <c r="AS306" s="94">
        <f>Table3.110[[#This Row],[CH4 24h, ml]]/Table3.110[[#This Row],[Digested feed, mg]]*1000</f>
        <v>2.6086598798414702</v>
      </c>
      <c r="AT306" s="94">
        <f>Table3.110[[#This Row],[CH4 24h, ml]]/'3.2 Digest'!AA306</f>
        <v>2.5822604969074275E-2</v>
      </c>
      <c r="AU306" s="94">
        <f>((Table3.110[[#This Row],[CH4 24h, ml]]/28.9)*16.04)/Table3.110[[#This Row],[DM Incubated, mg]]*1000</f>
        <v>0.91495142989540201</v>
      </c>
      <c r="AV306" s="94">
        <f>((Table3.110[[#This Row],[CH4 24h, ml]]/28.9)*16.04)/Table3.110[[#This Row],[Digested feed, mg]]*1000</f>
        <v>1.4478513658358885</v>
      </c>
      <c r="AW306" s="303"/>
    </row>
    <row r="307" spans="1:49" s="304" customFormat="1" x14ac:dyDescent="0.35">
      <c r="A307" s="89"/>
      <c r="B307" s="90">
        <f t="shared" si="4"/>
        <v>297</v>
      </c>
      <c r="C307" s="140">
        <v>46048</v>
      </c>
      <c r="D307" s="6" t="s">
        <v>16</v>
      </c>
      <c r="E307" s="6" t="s">
        <v>141</v>
      </c>
      <c r="F307" s="133" t="s">
        <v>142</v>
      </c>
      <c r="G307" s="133" t="s">
        <v>143</v>
      </c>
      <c r="H307" s="133" t="s">
        <v>144</v>
      </c>
      <c r="I307" s="133" t="s">
        <v>22</v>
      </c>
      <c r="J307" s="135" t="s">
        <v>23</v>
      </c>
      <c r="K307" s="135" t="s">
        <v>24</v>
      </c>
      <c r="L307" s="6" t="s">
        <v>140</v>
      </c>
      <c r="M307" s="93">
        <v>28</v>
      </c>
      <c r="N307" s="93">
        <v>60</v>
      </c>
      <c r="O307" s="6">
        <v>1</v>
      </c>
      <c r="P307" s="129">
        <v>1</v>
      </c>
      <c r="Q307" s="6">
        <v>225</v>
      </c>
      <c r="R307" s="98">
        <v>0.50049999999999994</v>
      </c>
      <c r="S307" s="94">
        <f>((Table3.110[[#This Row],[Sample weight, g]]*'2.1. DM'!Q85)/100)*1000</f>
        <v>466.50299062388405</v>
      </c>
      <c r="T307" s="94">
        <f>'3.2 Digest'!W307</f>
        <v>119.50299062388405</v>
      </c>
      <c r="U307" s="153">
        <v>0.35</v>
      </c>
      <c r="V307" s="154">
        <v>41.5</v>
      </c>
      <c r="W307" s="153">
        <v>0.67569444444444449</v>
      </c>
      <c r="X307" s="95">
        <v>80</v>
      </c>
      <c r="Y307" s="95">
        <v>13.3</v>
      </c>
      <c r="Z307" s="154">
        <v>41</v>
      </c>
      <c r="AA307" s="153">
        <v>0.34861111111111109</v>
      </c>
      <c r="AB307" s="154">
        <v>80.5</v>
      </c>
      <c r="AC307" s="154">
        <v>16.600000000000001</v>
      </c>
      <c r="AD307" s="91"/>
      <c r="AE307" s="94">
        <f>Table3.110[[#This Row],[Gas 8h, ml]]-Table3.110[[#This Row],[Gas 0h, ml]]</f>
        <v>38.5</v>
      </c>
      <c r="AF307" s="94">
        <f>Table3.110[[#This Row],[Gas 24h, ml]]-Table3.110[[#This Row],[V8 Push back, ml]]</f>
        <v>39.5</v>
      </c>
      <c r="AG307" s="94">
        <f>Table3.110[[#This Row],[GP 8h, ml]]-(AVERAGE(AE$293,AE$294,AE$385,AE$386,AE$477,AE$478))*$AG$8</f>
        <v>37.246240428868305</v>
      </c>
      <c r="AH307" s="94">
        <f>Table3.110[[#This Row],[GP 8-24h, ml]]-(AVERAGE(AF$293,AF$294,AF$385,AF$386,AF$477,AF$478))*$AG$8</f>
        <v>37.50873479879084</v>
      </c>
      <c r="AI307" s="94">
        <f>Table3.110[[#This Row],[Net gas 8-24h, ml]]+Table3.110[[#This Row],[Net gas 8h, ml]]</f>
        <v>74.754975227659145</v>
      </c>
      <c r="AJ307" s="94">
        <f>Table3.110[[#This Row],[Net gas 8h, ml]]*Table3.110[[#This Row],[CH4 8h %]]%</f>
        <v>4.9537499770394851</v>
      </c>
      <c r="AK307" s="94">
        <f>Table3.110[[#This Row],[Net gas 8-24h, ml]]*Table3.110[[#This Row],[CH4 24h, %]]%</f>
        <v>6.2264499765992802</v>
      </c>
      <c r="AL307" s="94">
        <f>Table3.110[[#This Row],[CH4 8-24h, ml]]+Table3.110[[#This Row],[CH4 8h, ml]]</f>
        <v>11.180199953638766</v>
      </c>
      <c r="AM307" s="94">
        <f>(Table3.110[[#This Row],[Net gas 24h, ml]]/Table3.110[[#This Row],[DM Incubated, mg]])*1000</f>
        <v>160.24543621399849</v>
      </c>
      <c r="AN307" s="94">
        <f>'3.2 Digest'!X307</f>
        <v>25.616768386428802</v>
      </c>
      <c r="AO307" s="94">
        <f>Table3.110[[#This Row],[Digested feed, mg]]/Table3.110[[#This Row],[Net gas 24h, ml]]</f>
        <v>1.5985958159968496</v>
      </c>
      <c r="AP307" s="94">
        <f>Table3.110[[#This Row],[CH4 8h, ml]]/Table3.110[[#This Row],[Net gas 8h, ml]]%</f>
        <v>13.3</v>
      </c>
      <c r="AQ307" s="94">
        <f>Table3.110[[#This Row],[CH4 24h, ml]]/Table3.110[[#This Row],[Net gas 24h, ml]]%</f>
        <v>14.955793804479947</v>
      </c>
      <c r="AR307" s="94">
        <f>Table3.110[[#This Row],[CH4 24h, ml]]/Table3.110[[#This Row],[DM Incubated, mg]]*1000</f>
        <v>23.965977021255053</v>
      </c>
      <c r="AS307" s="94">
        <f>Table3.110[[#This Row],[CH4 24h, ml]]/Table3.110[[#This Row],[Digested feed, mg]]*1000</f>
        <v>93.555817266754445</v>
      </c>
      <c r="AT307" s="94">
        <f>Table3.110[[#This Row],[CH4 24h, ml]]/'3.2 Digest'!AA307</f>
        <v>-0.3334259768782849</v>
      </c>
      <c r="AU307" s="94">
        <f>((Table3.110[[#This Row],[CH4 24h, ml]]/28.9)*16.04)/Table3.110[[#This Row],[DM Incubated, mg]]*1000</f>
        <v>13.301531883077198</v>
      </c>
      <c r="AV307" s="94">
        <f>((Table3.110[[#This Row],[CH4 24h, ml]]/28.9)*16.04)/Table3.110[[#This Row],[Digested feed, mg]]*1000</f>
        <v>51.925097195804199</v>
      </c>
      <c r="AW307" s="303"/>
    </row>
    <row r="308" spans="1:49" s="304" customFormat="1" x14ac:dyDescent="0.35">
      <c r="A308" s="89"/>
      <c r="B308" s="90">
        <f t="shared" si="4"/>
        <v>298</v>
      </c>
      <c r="C308" s="140">
        <v>46048</v>
      </c>
      <c r="D308" s="6" t="s">
        <v>16</v>
      </c>
      <c r="E308" s="6" t="s">
        <v>141</v>
      </c>
      <c r="F308" s="133" t="s">
        <v>142</v>
      </c>
      <c r="G308" s="133" t="s">
        <v>143</v>
      </c>
      <c r="H308" s="133" t="s">
        <v>144</v>
      </c>
      <c r="I308" s="133" t="s">
        <v>22</v>
      </c>
      <c r="J308" s="135" t="s">
        <v>23</v>
      </c>
      <c r="K308" s="135" t="s">
        <v>24</v>
      </c>
      <c r="L308" s="6" t="s">
        <v>140</v>
      </c>
      <c r="M308" s="93">
        <v>28</v>
      </c>
      <c r="N308" s="93">
        <v>60</v>
      </c>
      <c r="O308" s="6">
        <v>1</v>
      </c>
      <c r="P308" s="6">
        <v>2</v>
      </c>
      <c r="Q308" s="6">
        <v>226</v>
      </c>
      <c r="R308" s="98">
        <v>0.50060000000000004</v>
      </c>
      <c r="S308" s="94">
        <f>((Table3.110[[#This Row],[Sample weight, g]]*'2.1. DM'!Q85)/100)*1000</f>
        <v>466.59619801461815</v>
      </c>
      <c r="T308" s="94">
        <f>'3.2 Digest'!W308</f>
        <v>235.19619801461809</v>
      </c>
      <c r="U308" s="117">
        <v>0.35069444444444442</v>
      </c>
      <c r="V308" s="155">
        <v>42</v>
      </c>
      <c r="W308" s="117">
        <v>0.67569444444444449</v>
      </c>
      <c r="X308" s="97">
        <v>79.5</v>
      </c>
      <c r="Y308" s="97">
        <v>13.5</v>
      </c>
      <c r="Z308" s="155">
        <v>40.5</v>
      </c>
      <c r="AA308" s="117">
        <v>0.34861111111111109</v>
      </c>
      <c r="AB308" s="155">
        <v>84</v>
      </c>
      <c r="AC308" s="155">
        <v>18.2</v>
      </c>
      <c r="AD308" s="96"/>
      <c r="AE308" s="94">
        <f>Table3.110[[#This Row],[Gas 8h, ml]]-Table3.110[[#This Row],[Gas 0h, ml]]</f>
        <v>37.5</v>
      </c>
      <c r="AF308" s="94">
        <f>Table3.110[[#This Row],[Gas 24h, ml]]-Table3.110[[#This Row],[V8 Push back, ml]]</f>
        <v>43.5</v>
      </c>
      <c r="AG308" s="94">
        <f>Table3.110[[#This Row],[GP 8h, ml]]-(AVERAGE(AE$293,AE$294,AE$385,AE$386,AE$477,AE$478))*$AG$8</f>
        <v>36.246240428868305</v>
      </c>
      <c r="AH308" s="94">
        <f>Table3.110[[#This Row],[GP 8-24h, ml]]-(AVERAGE(AF$293,AF$294,AF$385,AF$386,AF$477,AF$478))*$AG$8</f>
        <v>41.50873479879084</v>
      </c>
      <c r="AI308" s="94">
        <f>Table3.110[[#This Row],[Net gas 8-24h, ml]]+Table3.110[[#This Row],[Net gas 8h, ml]]</f>
        <v>77.754975227659145</v>
      </c>
      <c r="AJ308" s="94">
        <f>Table3.110[[#This Row],[Net gas 8h, ml]]*Table3.110[[#This Row],[CH4 8h %]]%</f>
        <v>4.8932424578972213</v>
      </c>
      <c r="AK308" s="94">
        <f>Table3.110[[#This Row],[Net gas 8-24h, ml]]*Table3.110[[#This Row],[CH4 24h, %]]%</f>
        <v>7.5545897333799328</v>
      </c>
      <c r="AL308" s="94">
        <f>Table3.110[[#This Row],[CH4 8-24h, ml]]+Table3.110[[#This Row],[CH4 8h, ml]]</f>
        <v>12.447832191277154</v>
      </c>
      <c r="AM308" s="94">
        <f>(Table3.110[[#This Row],[Net gas 24h, ml]]/Table3.110[[#This Row],[DM Incubated, mg]])*1000</f>
        <v>166.64296785638004</v>
      </c>
      <c r="AN308" s="94">
        <f>'3.2 Digest'!X308</f>
        <v>50.406796929633266</v>
      </c>
      <c r="AO308" s="94">
        <f>Table3.110[[#This Row],[Digested feed, mg]]/Table3.110[[#This Row],[Net gas 24h, ml]]</f>
        <v>3.0248379261389524</v>
      </c>
      <c r="AP308" s="94">
        <f>Table3.110[[#This Row],[CH4 8h, ml]]/Table3.110[[#This Row],[Net gas 8h, ml]]%</f>
        <v>13.500000000000002</v>
      </c>
      <c r="AQ308" s="94">
        <f>Table3.110[[#This Row],[CH4 24h, ml]]/Table3.110[[#This Row],[Net gas 24h, ml]]%</f>
        <v>16.009049137796122</v>
      </c>
      <c r="AR308" s="94">
        <f>Table3.110[[#This Row],[CH4 24h, ml]]/Table3.110[[#This Row],[DM Incubated, mg]]*1000</f>
        <v>26.677954608809678</v>
      </c>
      <c r="AS308" s="94">
        <f>Table3.110[[#This Row],[CH4 24h, ml]]/Table3.110[[#This Row],[Digested feed, mg]]*1000</f>
        <v>52.925312128147098</v>
      </c>
      <c r="AT308" s="94">
        <f>Table3.110[[#This Row],[CH4 24h, ml]]/'3.2 Digest'!AA308</f>
        <v>1.1345834157764583</v>
      </c>
      <c r="AU308" s="94">
        <f>((Table3.110[[#This Row],[CH4 24h, ml]]/28.9)*16.04)/Table3.110[[#This Row],[DM Incubated, mg]]*1000</f>
        <v>14.80672636419748</v>
      </c>
      <c r="AV308" s="94">
        <f>((Table3.110[[#This Row],[CH4 24h, ml]]/28.9)*16.04)/Table3.110[[#This Row],[Digested feed, mg]]*1000</f>
        <v>29.374463893961227</v>
      </c>
      <c r="AW308" s="303"/>
    </row>
    <row r="309" spans="1:49" s="304" customFormat="1" x14ac:dyDescent="0.35">
      <c r="A309" s="89"/>
      <c r="B309" s="90">
        <f t="shared" si="4"/>
        <v>299</v>
      </c>
      <c r="C309" s="140">
        <v>46048</v>
      </c>
      <c r="D309" s="6" t="s">
        <v>16</v>
      </c>
      <c r="E309" s="6" t="s">
        <v>141</v>
      </c>
      <c r="F309" s="133" t="s">
        <v>142</v>
      </c>
      <c r="G309" s="133" t="s">
        <v>143</v>
      </c>
      <c r="H309" s="133" t="s">
        <v>144</v>
      </c>
      <c r="I309" s="133" t="s">
        <v>22</v>
      </c>
      <c r="J309" s="135" t="s">
        <v>23</v>
      </c>
      <c r="K309" s="135" t="s">
        <v>24</v>
      </c>
      <c r="L309" s="6" t="s">
        <v>140</v>
      </c>
      <c r="M309" s="93">
        <v>28</v>
      </c>
      <c r="N309" s="93">
        <v>60</v>
      </c>
      <c r="O309" s="6">
        <v>1</v>
      </c>
      <c r="P309" s="129">
        <v>3</v>
      </c>
      <c r="Q309" s="6">
        <v>227</v>
      </c>
      <c r="R309" s="98">
        <v>0.50039999999999996</v>
      </c>
      <c r="S309" s="94">
        <f>((Table3.110[[#This Row],[Sample weight, g]]*'2.1. DM'!Q85)/100)*1000</f>
        <v>466.40978323314999</v>
      </c>
      <c r="T309" s="94">
        <f>'3.2 Digest'!W309</f>
        <v>188.60978323314993</v>
      </c>
      <c r="U309" s="153">
        <v>0.35138888888888886</v>
      </c>
      <c r="V309" s="154">
        <v>42</v>
      </c>
      <c r="W309" s="153">
        <v>0.67638888888888893</v>
      </c>
      <c r="X309" s="95">
        <v>80.5</v>
      </c>
      <c r="Y309" s="95">
        <v>13.1</v>
      </c>
      <c r="Z309" s="154">
        <v>40.5</v>
      </c>
      <c r="AA309" s="153">
        <v>0.34861111111111109</v>
      </c>
      <c r="AB309" s="154">
        <v>80.5</v>
      </c>
      <c r="AC309" s="154">
        <v>18.5</v>
      </c>
      <c r="AD309" s="91"/>
      <c r="AE309" s="94">
        <f>Table3.110[[#This Row],[Gas 8h, ml]]-Table3.110[[#This Row],[Gas 0h, ml]]</f>
        <v>38.5</v>
      </c>
      <c r="AF309" s="94">
        <f>Table3.110[[#This Row],[Gas 24h, ml]]-Table3.110[[#This Row],[V8 Push back, ml]]</f>
        <v>40</v>
      </c>
      <c r="AG309" s="94">
        <f>Table3.110[[#This Row],[GP 8h, ml]]-(AVERAGE(AE$293,AE$294,AE$385,AE$386,AE$477,AE$478))*$AG$8</f>
        <v>37.246240428868305</v>
      </c>
      <c r="AH309" s="94">
        <f>Table3.110[[#This Row],[GP 8-24h, ml]]-(AVERAGE(AF$293,AF$294,AF$385,AF$386,AF$477,AF$478))*$AG$8</f>
        <v>38.00873479879084</v>
      </c>
      <c r="AI309" s="94">
        <f>Table3.110[[#This Row],[Net gas 8-24h, ml]]+Table3.110[[#This Row],[Net gas 8h, ml]]</f>
        <v>75.254975227659145</v>
      </c>
      <c r="AJ309" s="94">
        <f>Table3.110[[#This Row],[Net gas 8h, ml]]*Table3.110[[#This Row],[CH4 8h %]]%</f>
        <v>4.8792574961817481</v>
      </c>
      <c r="AK309" s="94">
        <f>Table3.110[[#This Row],[Net gas 8-24h, ml]]*Table3.110[[#This Row],[CH4 24h, %]]%</f>
        <v>7.031615937776305</v>
      </c>
      <c r="AL309" s="94">
        <f>Table3.110[[#This Row],[CH4 8-24h, ml]]+Table3.110[[#This Row],[CH4 8h, ml]]</f>
        <v>11.910873433958052</v>
      </c>
      <c r="AM309" s="94">
        <f>(Table3.110[[#This Row],[Net gas 24h, ml]]/Table3.110[[#This Row],[DM Incubated, mg]])*1000</f>
        <v>161.349478362122</v>
      </c>
      <c r="AN309" s="94">
        <f>'3.2 Digest'!X309</f>
        <v>40.438642158341523</v>
      </c>
      <c r="AO309" s="94">
        <f>Table3.110[[#This Row],[Digested feed, mg]]/Table3.110[[#This Row],[Net gas 24h, ml]]</f>
        <v>2.5062765971628207</v>
      </c>
      <c r="AP309" s="94">
        <f>Table3.110[[#This Row],[CH4 8h, ml]]/Table3.110[[#This Row],[Net gas 8h, ml]]%</f>
        <v>13.1</v>
      </c>
      <c r="AQ309" s="94">
        <f>Table3.110[[#This Row],[CH4 24h, ml]]/Table3.110[[#This Row],[Net gas 24h, ml]]%</f>
        <v>15.82735679325603</v>
      </c>
      <c r="AR309" s="94">
        <f>Table3.110[[#This Row],[CH4 24h, ml]]/Table3.110[[#This Row],[DM Incubated, mg]]*1000</f>
        <v>25.537357624430484</v>
      </c>
      <c r="AS309" s="94">
        <f>Table3.110[[#This Row],[CH4 24h, ml]]/Table3.110[[#This Row],[Digested feed, mg]]*1000</f>
        <v>63.150878124038925</v>
      </c>
      <c r="AT309" s="94">
        <f>Table3.110[[#This Row],[CH4 24h, ml]]/'3.2 Digest'!AA309</f>
        <v>-1.7203913941879745</v>
      </c>
      <c r="AU309" s="94">
        <f>((Table3.110[[#This Row],[CH4 24h, ml]]/28.9)*16.04)/Table3.110[[#This Row],[DM Incubated, mg]]*1000</f>
        <v>14.173675304355188</v>
      </c>
      <c r="AV309" s="94">
        <f>((Table3.110[[#This Row],[CH4 24h, ml]]/28.9)*16.04)/Table3.110[[#This Row],[Digested feed, mg]]*1000</f>
        <v>35.049829934587699</v>
      </c>
      <c r="AW309" s="303"/>
    </row>
    <row r="310" spans="1:49" s="304" customFormat="1" x14ac:dyDescent="0.35">
      <c r="A310" s="89"/>
      <c r="B310" s="90">
        <f t="shared" si="4"/>
        <v>300</v>
      </c>
      <c r="C310" s="140">
        <v>46048</v>
      </c>
      <c r="D310" s="6" t="s">
        <v>16</v>
      </c>
      <c r="E310" s="6" t="s">
        <v>146</v>
      </c>
      <c r="F310" s="133" t="s">
        <v>88</v>
      </c>
      <c r="G310" s="133" t="s">
        <v>147</v>
      </c>
      <c r="H310" s="133" t="s">
        <v>148</v>
      </c>
      <c r="I310" s="133" t="s">
        <v>22</v>
      </c>
      <c r="J310" s="135" t="s">
        <v>23</v>
      </c>
      <c r="K310" s="135" t="s">
        <v>24</v>
      </c>
      <c r="L310" s="6" t="s">
        <v>145</v>
      </c>
      <c r="M310" s="93">
        <v>28</v>
      </c>
      <c r="N310" s="93">
        <v>60</v>
      </c>
      <c r="O310" s="6">
        <v>1</v>
      </c>
      <c r="P310" s="129">
        <v>1</v>
      </c>
      <c r="Q310" s="6">
        <v>228</v>
      </c>
      <c r="R310" s="98">
        <v>0.50029999999999997</v>
      </c>
      <c r="S310" s="94">
        <f>((Table3.110[[#This Row],[Sample weight, g]]*'2.1. DM'!Q87)/100)*1000</f>
        <v>470.14250195538108</v>
      </c>
      <c r="T310" s="94">
        <f>'3.2 Digest'!W310</f>
        <v>115.94250195538103</v>
      </c>
      <c r="U310" s="117">
        <v>0.35138888888888886</v>
      </c>
      <c r="V310" s="155">
        <v>41.5</v>
      </c>
      <c r="W310" s="117">
        <v>0.67708333333333337</v>
      </c>
      <c r="X310" s="97">
        <v>63.5</v>
      </c>
      <c r="Y310" s="97">
        <v>11.8</v>
      </c>
      <c r="Z310" s="155">
        <v>41</v>
      </c>
      <c r="AA310" s="117">
        <v>0.34930555555555554</v>
      </c>
      <c r="AB310" s="155">
        <v>58.5</v>
      </c>
      <c r="AC310" s="155">
        <v>12.9</v>
      </c>
      <c r="AD310" s="96" t="s">
        <v>559</v>
      </c>
      <c r="AE310" s="94">
        <f>Table3.110[[#This Row],[Gas 8h, ml]]-Table3.110[[#This Row],[Gas 0h, ml]]</f>
        <v>22</v>
      </c>
      <c r="AF310" s="94">
        <f>Table3.110[[#This Row],[Gas 24h, ml]]-Table3.110[[#This Row],[V8 Push back, ml]]</f>
        <v>17.5</v>
      </c>
      <c r="AG310" s="94">
        <f>Table3.110[[#This Row],[GP 8h, ml]]-(AVERAGE(AE$293,AE$294,AE$385,AE$386,AE$477,AE$478))*$AG$8</f>
        <v>20.746240428868305</v>
      </c>
      <c r="AH310" s="94">
        <f>Table3.110[[#This Row],[GP 8-24h, ml]]-(AVERAGE(AF$293,AF$294,AF$385,AF$386,AF$477,AF$478))*$AG$8</f>
        <v>15.508734798790837</v>
      </c>
      <c r="AI310" s="94">
        <f>Table3.110[[#This Row],[Net gas 8-24h, ml]]+Table3.110[[#This Row],[Net gas 8h, ml]]</f>
        <v>36.254975227659145</v>
      </c>
      <c r="AJ310" s="94">
        <f>Table3.110[[#This Row],[Net gas 8h, ml]]*Table3.110[[#This Row],[CH4 8h %]]%</f>
        <v>2.44805637060646</v>
      </c>
      <c r="AK310" s="94">
        <f>Table3.110[[#This Row],[Net gas 8-24h, ml]]*Table3.110[[#This Row],[CH4 24h, %]]%</f>
        <v>2.0006267890440181</v>
      </c>
      <c r="AL310" s="94">
        <f>Table3.110[[#This Row],[CH4 8-24h, ml]]+Table3.110[[#This Row],[CH4 8h, ml]]</f>
        <v>4.4486831596504786</v>
      </c>
      <c r="AM310" s="94">
        <f>(Table3.110[[#This Row],[Net gas 24h, ml]]/Table3.110[[#This Row],[DM Incubated, mg]])*1000</f>
        <v>77.114864273853556</v>
      </c>
      <c r="AN310" s="94">
        <f>'3.2 Digest'!X310</f>
        <v>24.661140286862338</v>
      </c>
      <c r="AO310" s="94">
        <f>Table3.110[[#This Row],[Digested feed, mg]]/Table3.110[[#This Row],[Net gas 24h, ml]]</f>
        <v>3.1979749324701725</v>
      </c>
      <c r="AP310" s="94">
        <f>Table3.110[[#This Row],[CH4 8h, ml]]/Table3.110[[#This Row],[Net gas 8h, ml]]%</f>
        <v>11.8</v>
      </c>
      <c r="AQ310" s="94">
        <f>Table3.110[[#This Row],[CH4 24h, ml]]/Table3.110[[#This Row],[Net gas 24h, ml]]%</f>
        <v>12.270545302308054</v>
      </c>
      <c r="AR310" s="94">
        <f>Table3.110[[#This Row],[CH4 24h, ml]]/Table3.110[[#This Row],[DM Incubated, mg]]*1000</f>
        <v>9.4624143555365716</v>
      </c>
      <c r="AS310" s="94">
        <f>Table3.110[[#This Row],[CH4 24h, ml]]/Table3.110[[#This Row],[Digested feed, mg]]*1000</f>
        <v>38.369735727822203</v>
      </c>
      <c r="AT310" s="94">
        <f>Table3.110[[#This Row],[CH4 24h, ml]]/'3.2 Digest'!AA310</f>
        <v>-0.15206434684528647</v>
      </c>
      <c r="AU310" s="94">
        <f>((Table3.110[[#This Row],[CH4 24h, ml]]/28.9)*16.04)/Table3.110[[#This Row],[DM Incubated, mg]]*1000</f>
        <v>5.2518036769137231</v>
      </c>
      <c r="AV310" s="94">
        <f>((Table3.110[[#This Row],[CH4 24h, ml]]/28.9)*16.04)/Table3.110[[#This Row],[Digested feed, mg]]*1000</f>
        <v>21.295867165199585</v>
      </c>
      <c r="AW310" s="303"/>
    </row>
    <row r="311" spans="1:49" s="304" customFormat="1" x14ac:dyDescent="0.35">
      <c r="A311" s="89"/>
      <c r="B311" s="90">
        <f t="shared" si="4"/>
        <v>301</v>
      </c>
      <c r="C311" s="140">
        <v>46048</v>
      </c>
      <c r="D311" s="6" t="s">
        <v>16</v>
      </c>
      <c r="E311" s="6" t="s">
        <v>146</v>
      </c>
      <c r="F311" s="133" t="s">
        <v>88</v>
      </c>
      <c r="G311" s="133" t="s">
        <v>147</v>
      </c>
      <c r="H311" s="133" t="s">
        <v>148</v>
      </c>
      <c r="I311" s="133" t="s">
        <v>22</v>
      </c>
      <c r="J311" s="135" t="s">
        <v>23</v>
      </c>
      <c r="K311" s="135" t="s">
        <v>24</v>
      </c>
      <c r="L311" s="6" t="s">
        <v>145</v>
      </c>
      <c r="M311" s="93">
        <v>28</v>
      </c>
      <c r="N311" s="93">
        <v>60</v>
      </c>
      <c r="O311" s="6">
        <v>1</v>
      </c>
      <c r="P311" s="6">
        <v>2</v>
      </c>
      <c r="Q311" s="6">
        <v>229</v>
      </c>
      <c r="R311" s="98">
        <v>0.50029999999999997</v>
      </c>
      <c r="S311" s="94">
        <f>((Table3.110[[#This Row],[Sample weight, g]]*'2.1. DM'!Q87)/100)*1000</f>
        <v>470.14250195538108</v>
      </c>
      <c r="T311" s="94">
        <f>'3.2 Digest'!W311</f>
        <v>116.54250195538117</v>
      </c>
      <c r="U311" s="153">
        <v>0.35208333333333336</v>
      </c>
      <c r="V311" s="154">
        <v>41</v>
      </c>
      <c r="W311" s="153">
        <v>0.67708333333333337</v>
      </c>
      <c r="X311" s="95">
        <v>61.5</v>
      </c>
      <c r="Y311" s="95">
        <v>12.1</v>
      </c>
      <c r="Z311" s="154">
        <v>40.5</v>
      </c>
      <c r="AA311" s="153">
        <v>0.35</v>
      </c>
      <c r="AB311" s="154">
        <v>58.5</v>
      </c>
      <c r="AC311" s="154">
        <v>11.5</v>
      </c>
      <c r="AD311" s="91"/>
      <c r="AE311" s="94">
        <f>Table3.110[[#This Row],[Gas 8h, ml]]-Table3.110[[#This Row],[Gas 0h, ml]]</f>
        <v>20.5</v>
      </c>
      <c r="AF311" s="94">
        <f>Table3.110[[#This Row],[Gas 24h, ml]]-Table3.110[[#This Row],[V8 Push back, ml]]</f>
        <v>18</v>
      </c>
      <c r="AG311" s="94">
        <f>Table3.110[[#This Row],[GP 8h, ml]]-(AVERAGE(AE$293,AE$294,AE$385,AE$386,AE$477,AE$478))*$AG$8</f>
        <v>19.246240428868305</v>
      </c>
      <c r="AH311" s="94">
        <f>Table3.110[[#This Row],[GP 8-24h, ml]]-(AVERAGE(AF$293,AF$294,AF$385,AF$386,AF$477,AF$478))*$AG$8</f>
        <v>16.008734798790837</v>
      </c>
      <c r="AI311" s="94">
        <f>Table3.110[[#This Row],[Net gas 8-24h, ml]]+Table3.110[[#This Row],[Net gas 8h, ml]]</f>
        <v>35.254975227659145</v>
      </c>
      <c r="AJ311" s="94">
        <f>Table3.110[[#This Row],[Net gas 8h, ml]]*Table3.110[[#This Row],[CH4 8h %]]%</f>
        <v>2.3287950918930647</v>
      </c>
      <c r="AK311" s="94">
        <f>Table3.110[[#This Row],[Net gas 8-24h, ml]]*Table3.110[[#This Row],[CH4 24h, %]]%</f>
        <v>1.8410045018609462</v>
      </c>
      <c r="AL311" s="94">
        <f>Table3.110[[#This Row],[CH4 8-24h, ml]]+Table3.110[[#This Row],[CH4 8h, ml]]</f>
        <v>4.1697995937540107</v>
      </c>
      <c r="AM311" s="94">
        <f>(Table3.110[[#This Row],[Net gas 24h, ml]]/Table3.110[[#This Row],[DM Incubated, mg]])*1000</f>
        <v>74.987849600981249</v>
      </c>
      <c r="AN311" s="94">
        <f>'3.2 Digest'!X311</f>
        <v>24.788761167234703</v>
      </c>
      <c r="AO311" s="94">
        <f>Table3.110[[#This Row],[Digested feed, mg]]/Table3.110[[#This Row],[Net gas 24h, ml]]</f>
        <v>3.3057036972174139</v>
      </c>
      <c r="AP311" s="94">
        <f>Table3.110[[#This Row],[CH4 8h, ml]]/Table3.110[[#This Row],[Net gas 8h, ml]]%</f>
        <v>12.099999999999998</v>
      </c>
      <c r="AQ311" s="94">
        <f>Table3.110[[#This Row],[CH4 24h, ml]]/Table3.110[[#This Row],[Net gas 24h, ml]]%</f>
        <v>11.827549351056163</v>
      </c>
      <c r="AR311" s="94">
        <f>Table3.110[[#This Row],[CH4 24h, ml]]/Table3.110[[#This Row],[DM Incubated, mg]]*1000</f>
        <v>8.8692249188518293</v>
      </c>
      <c r="AS311" s="94">
        <f>Table3.110[[#This Row],[CH4 24h, ml]]/Table3.110[[#This Row],[Digested feed, mg]]*1000</f>
        <v>35.779218086037297</v>
      </c>
      <c r="AT311" s="94">
        <f>Table3.110[[#This Row],[CH4 24h, ml]]/'3.2 Digest'!AA311</f>
        <v>-0.14360636513851827</v>
      </c>
      <c r="AU311" s="94">
        <f>((Table3.110[[#This Row],[CH4 24h, ml]]/28.9)*16.04)/Table3.110[[#This Row],[DM Incubated, mg]]*1000</f>
        <v>4.9225732767606694</v>
      </c>
      <c r="AV311" s="94">
        <f>((Table3.110[[#This Row],[CH4 24h, ml]]/28.9)*16.04)/Table3.110[[#This Row],[Digested feed, mg]]*1000</f>
        <v>19.858085055364644</v>
      </c>
      <c r="AW311" s="303"/>
    </row>
    <row r="312" spans="1:49" s="304" customFormat="1" x14ac:dyDescent="0.35">
      <c r="A312" s="89"/>
      <c r="B312" s="90">
        <f t="shared" si="4"/>
        <v>302</v>
      </c>
      <c r="C312" s="140">
        <v>46048</v>
      </c>
      <c r="D312" s="6" t="s">
        <v>16</v>
      </c>
      <c r="E312" s="6" t="s">
        <v>146</v>
      </c>
      <c r="F312" s="133" t="s">
        <v>88</v>
      </c>
      <c r="G312" s="133" t="s">
        <v>147</v>
      </c>
      <c r="H312" s="133" t="s">
        <v>148</v>
      </c>
      <c r="I312" s="133" t="s">
        <v>22</v>
      </c>
      <c r="J312" s="135" t="s">
        <v>23</v>
      </c>
      <c r="K312" s="135" t="s">
        <v>24</v>
      </c>
      <c r="L312" s="6" t="s">
        <v>145</v>
      </c>
      <c r="M312" s="93">
        <v>28</v>
      </c>
      <c r="N312" s="93">
        <v>60</v>
      </c>
      <c r="O312" s="6">
        <v>1</v>
      </c>
      <c r="P312" s="129">
        <v>3</v>
      </c>
      <c r="Q312" s="6">
        <v>230</v>
      </c>
      <c r="R312" s="98">
        <v>0.50060000000000004</v>
      </c>
      <c r="S312" s="94">
        <f>((Table3.110[[#This Row],[Sample weight, g]]*'2.1. DM'!Q87)/100)*1000</f>
        <v>470.42441830674358</v>
      </c>
      <c r="T312" s="94">
        <f>'3.2 Digest'!W312</f>
        <v>0</v>
      </c>
      <c r="U312" s="117">
        <v>0.3527777777777778</v>
      </c>
      <c r="V312" s="155">
        <v>40.5</v>
      </c>
      <c r="W312" s="117">
        <v>0.67777777777777781</v>
      </c>
      <c r="X312" s="97">
        <v>62.5</v>
      </c>
      <c r="Y312" s="97">
        <v>11.6</v>
      </c>
      <c r="Z312" s="155">
        <v>40.5</v>
      </c>
      <c r="AA312" s="117">
        <v>0.35069444444444442</v>
      </c>
      <c r="AB312" s="155">
        <v>58</v>
      </c>
      <c r="AC312" s="155">
        <v>11.4</v>
      </c>
      <c r="AD312" s="96"/>
      <c r="AE312" s="94">
        <f>Table3.110[[#This Row],[Gas 8h, ml]]-Table3.110[[#This Row],[Gas 0h, ml]]</f>
        <v>22</v>
      </c>
      <c r="AF312" s="94">
        <f>Table3.110[[#This Row],[Gas 24h, ml]]-Table3.110[[#This Row],[V8 Push back, ml]]</f>
        <v>17.5</v>
      </c>
      <c r="AG312" s="94"/>
      <c r="AH312" s="94"/>
      <c r="AI312" s="94"/>
      <c r="AJ312" s="94"/>
      <c r="AK312" s="94"/>
      <c r="AL312" s="94"/>
      <c r="AM312" s="94"/>
      <c r="AN312" s="94"/>
      <c r="AO312" s="94"/>
      <c r="AP312" s="94"/>
      <c r="AQ312" s="94"/>
      <c r="AR312" s="94"/>
      <c r="AS312" s="94"/>
      <c r="AT312" s="94"/>
      <c r="AU312" s="94"/>
      <c r="AV312" s="94"/>
      <c r="AW312" s="303" t="s">
        <v>611</v>
      </c>
    </row>
    <row r="313" spans="1:49" s="304" customFormat="1" x14ac:dyDescent="0.35">
      <c r="A313" s="89"/>
      <c r="B313" s="90">
        <f t="shared" si="4"/>
        <v>303</v>
      </c>
      <c r="C313" s="140">
        <v>46048</v>
      </c>
      <c r="D313" s="6" t="s">
        <v>16</v>
      </c>
      <c r="E313" s="6" t="s">
        <v>150</v>
      </c>
      <c r="F313" s="133" t="s">
        <v>142</v>
      </c>
      <c r="G313" s="133" t="s">
        <v>151</v>
      </c>
      <c r="H313" s="133" t="s">
        <v>152</v>
      </c>
      <c r="I313" s="133" t="s">
        <v>22</v>
      </c>
      <c r="J313" s="135" t="s">
        <v>23</v>
      </c>
      <c r="K313" s="135" t="s">
        <v>24</v>
      </c>
      <c r="L313" s="6" t="s">
        <v>149</v>
      </c>
      <c r="M313" s="93">
        <v>28</v>
      </c>
      <c r="N313" s="93">
        <v>60</v>
      </c>
      <c r="O313" s="6">
        <v>1</v>
      </c>
      <c r="P313" s="129">
        <v>1</v>
      </c>
      <c r="Q313" s="6">
        <v>231</v>
      </c>
      <c r="R313" s="98">
        <v>0.50029999999999997</v>
      </c>
      <c r="S313" s="94">
        <f>((Table3.110[[#This Row],[Sample weight, g]]*'2.1. DM'!Q89)/100)*1000</f>
        <v>469.86587523742867</v>
      </c>
      <c r="T313" s="94">
        <f>'3.2 Digest'!W313</f>
        <v>332.26587523742876</v>
      </c>
      <c r="U313" s="156">
        <v>0.3527777777777778</v>
      </c>
      <c r="V313" s="154">
        <v>41</v>
      </c>
      <c r="W313" s="153">
        <v>0.67777777777777781</v>
      </c>
      <c r="X313" s="95">
        <v>89.5</v>
      </c>
      <c r="Y313" s="95">
        <v>12.1</v>
      </c>
      <c r="Z313" s="154">
        <v>40.5</v>
      </c>
      <c r="AA313" s="153">
        <v>0.35069444444444442</v>
      </c>
      <c r="AB313" s="154">
        <v>94.5</v>
      </c>
      <c r="AC313" s="154">
        <v>16.8</v>
      </c>
      <c r="AD313" s="91"/>
      <c r="AE313" s="94">
        <f>Table3.110[[#This Row],[Gas 8h, ml]]-Table3.110[[#This Row],[Gas 0h, ml]]</f>
        <v>48.5</v>
      </c>
      <c r="AF313" s="94">
        <f>Table3.110[[#This Row],[Gas 24h, ml]]-Table3.110[[#This Row],[V8 Push back, ml]]</f>
        <v>54</v>
      </c>
      <c r="AG313" s="94">
        <f>Table3.110[[#This Row],[GP 8h, ml]]-(AVERAGE(AE$293,AE$294,AE$385,AE$386,AE$477,AE$478))*$AG$8</f>
        <v>47.246240428868305</v>
      </c>
      <c r="AH313" s="94">
        <f>Table3.110[[#This Row],[GP 8-24h, ml]]-(AVERAGE(AF$293,AF$294,AF$385,AF$386,AF$477,AF$478))*$AG$8</f>
        <v>52.00873479879084</v>
      </c>
      <c r="AI313" s="94">
        <f>Table3.110[[#This Row],[Net gas 8-24h, ml]]+Table3.110[[#This Row],[Net gas 8h, ml]]</f>
        <v>99.254975227659145</v>
      </c>
      <c r="AJ313" s="94">
        <f>Table3.110[[#This Row],[Net gas 8h, ml]]*Table3.110[[#This Row],[CH4 8h %]]%</f>
        <v>5.716795091893065</v>
      </c>
      <c r="AK313" s="94">
        <f>Table3.110[[#This Row],[Net gas 8-24h, ml]]*Table3.110[[#This Row],[CH4 24h, %]]%</f>
        <v>8.7374674461968613</v>
      </c>
      <c r="AL313" s="94">
        <f>Table3.110[[#This Row],[CH4 8-24h, ml]]+Table3.110[[#This Row],[CH4 8h, ml]]</f>
        <v>14.454262538089926</v>
      </c>
      <c r="AM313" s="94">
        <f>(Table3.110[[#This Row],[Net gas 24h, ml]]/Table3.110[[#This Row],[DM Incubated, mg]])*1000</f>
        <v>211.24108061157762</v>
      </c>
      <c r="AN313" s="94">
        <f>'3.2 Digest'!X313</f>
        <v>70.715047154580219</v>
      </c>
      <c r="AO313" s="94">
        <f>Table3.110[[#This Row],[Digested feed, mg]]/Table3.110[[#This Row],[Net gas 24h, ml]]</f>
        <v>3.3475991956606426</v>
      </c>
      <c r="AP313" s="94">
        <f>Table3.110[[#This Row],[CH4 8h, ml]]/Table3.110[[#This Row],[Net gas 8h, ml]]%</f>
        <v>12.100000000000001</v>
      </c>
      <c r="AQ313" s="94">
        <f>Table3.110[[#This Row],[CH4 24h, ml]]/Table3.110[[#This Row],[Net gas 24h, ml]]%</f>
        <v>14.562758697925695</v>
      </c>
      <c r="AR313" s="94">
        <f>Table3.110[[#This Row],[CH4 24h, ml]]/Table3.110[[#This Row],[DM Incubated, mg]]*1000</f>
        <v>30.762528840354751</v>
      </c>
      <c r="AS313" s="94">
        <f>Table3.110[[#This Row],[CH4 24h, ml]]/Table3.110[[#This Row],[Digested feed, mg]]*1000</f>
        <v>43.502097613127667</v>
      </c>
      <c r="AT313" s="94">
        <f>Table3.110[[#This Row],[CH4 24h, ml]]/'3.2 Digest'!AA313</f>
        <v>0.3203661370455862</v>
      </c>
      <c r="AU313" s="94">
        <f>((Table3.110[[#This Row],[CH4 24h, ml]]/28.9)*16.04)/Table3.110[[#This Row],[DM Incubated, mg]]*1000</f>
        <v>17.073735730079243</v>
      </c>
      <c r="AV313" s="94">
        <f>((Table3.110[[#This Row],[CH4 24h, ml]]/28.9)*16.04)/Table3.110[[#This Row],[Digested feed, mg]]*1000</f>
        <v>24.144416806732451</v>
      </c>
      <c r="AW313" s="303"/>
    </row>
    <row r="314" spans="1:49" s="304" customFormat="1" x14ac:dyDescent="0.35">
      <c r="A314" s="89"/>
      <c r="B314" s="90">
        <f t="shared" si="4"/>
        <v>304</v>
      </c>
      <c r="C314" s="140">
        <v>46048</v>
      </c>
      <c r="D314" s="6" t="s">
        <v>16</v>
      </c>
      <c r="E314" s="6" t="s">
        <v>150</v>
      </c>
      <c r="F314" s="133" t="s">
        <v>142</v>
      </c>
      <c r="G314" s="133" t="s">
        <v>151</v>
      </c>
      <c r="H314" s="133" t="s">
        <v>152</v>
      </c>
      <c r="I314" s="133" t="s">
        <v>22</v>
      </c>
      <c r="J314" s="135" t="s">
        <v>23</v>
      </c>
      <c r="K314" s="135" t="s">
        <v>24</v>
      </c>
      <c r="L314" s="6" t="s">
        <v>149</v>
      </c>
      <c r="M314" s="93">
        <v>28</v>
      </c>
      <c r="N314" s="93">
        <v>60</v>
      </c>
      <c r="O314" s="6">
        <v>1</v>
      </c>
      <c r="P314" s="6">
        <v>2</v>
      </c>
      <c r="Q314" s="6">
        <v>232</v>
      </c>
      <c r="R314" s="98">
        <v>0.5</v>
      </c>
      <c r="S314" s="94">
        <f>((Table3.110[[#This Row],[Sample weight, g]]*'2.1. DM'!Q89)/100)*1000</f>
        <v>469.58412476257115</v>
      </c>
      <c r="T314" s="94">
        <f>'3.2 Digest'!W314</f>
        <v>313.48412476257113</v>
      </c>
      <c r="U314" s="117">
        <v>0.35347222222222224</v>
      </c>
      <c r="V314" s="155">
        <v>41.5</v>
      </c>
      <c r="W314" s="117">
        <v>0.67847222222222225</v>
      </c>
      <c r="X314" s="97">
        <v>90.5</v>
      </c>
      <c r="Y314" s="97">
        <v>12.5</v>
      </c>
      <c r="Z314" s="155">
        <v>40.5</v>
      </c>
      <c r="AA314" s="117">
        <v>0.35069444444444442</v>
      </c>
      <c r="AB314" s="155">
        <v>95.5</v>
      </c>
      <c r="AC314" s="155">
        <v>17.5</v>
      </c>
      <c r="AD314" s="96"/>
      <c r="AE314" s="94">
        <f>Table3.110[[#This Row],[Gas 8h, ml]]-Table3.110[[#This Row],[Gas 0h, ml]]</f>
        <v>49</v>
      </c>
      <c r="AF314" s="94">
        <f>Table3.110[[#This Row],[Gas 24h, ml]]-Table3.110[[#This Row],[V8 Push back, ml]]</f>
        <v>55</v>
      </c>
      <c r="AG314" s="94">
        <f>Table3.110[[#This Row],[GP 8h, ml]]-(AVERAGE(AE$293,AE$294,AE$385,AE$386,AE$477,AE$478))*$AG$8</f>
        <v>47.746240428868305</v>
      </c>
      <c r="AH314" s="94">
        <f>Table3.110[[#This Row],[GP 8-24h, ml]]-(AVERAGE(AF$293,AF$294,AF$385,AF$386,AF$477,AF$478))*$AG$8</f>
        <v>53.00873479879084</v>
      </c>
      <c r="AI314" s="94">
        <f>Table3.110[[#This Row],[Net gas 8-24h, ml]]+Table3.110[[#This Row],[Net gas 8h, ml]]</f>
        <v>100.75497522765914</v>
      </c>
      <c r="AJ314" s="94">
        <f>Table3.110[[#This Row],[Net gas 8h, ml]]*Table3.110[[#This Row],[CH4 8h %]]%</f>
        <v>5.9682800536085381</v>
      </c>
      <c r="AK314" s="94">
        <f>Table3.110[[#This Row],[Net gas 8-24h, ml]]*Table3.110[[#This Row],[CH4 24h, %]]%</f>
        <v>9.2765285897883967</v>
      </c>
      <c r="AL314" s="94">
        <f>Table3.110[[#This Row],[CH4 8-24h, ml]]+Table3.110[[#This Row],[CH4 8h, ml]]</f>
        <v>15.244808643396935</v>
      </c>
      <c r="AM314" s="94">
        <f>(Table3.110[[#This Row],[Net gas 24h, ml]]/Table3.110[[#This Row],[DM Incubated, mg]])*1000</f>
        <v>214.56214108303254</v>
      </c>
      <c r="AN314" s="94">
        <f>'3.2 Digest'!X314</f>
        <v>66.757820001064445</v>
      </c>
      <c r="AO314" s="94">
        <f>Table3.110[[#This Row],[Digested feed, mg]]/Table3.110[[#This Row],[Net gas 24h, ml]]</f>
        <v>3.1113513159448805</v>
      </c>
      <c r="AP314" s="94">
        <f>Table3.110[[#This Row],[CH4 8h, ml]]/Table3.110[[#This Row],[Net gas 8h, ml]]%</f>
        <v>12.5</v>
      </c>
      <c r="AQ314" s="94">
        <f>Table3.110[[#This Row],[CH4 24h, ml]]/Table3.110[[#This Row],[Net gas 24h, ml]]%</f>
        <v>15.130576538727535</v>
      </c>
      <c r="AR314" s="94">
        <f>Table3.110[[#This Row],[CH4 24h, ml]]/Table3.110[[#This Row],[DM Incubated, mg]]*1000</f>
        <v>32.464488979700796</v>
      </c>
      <c r="AS314" s="94">
        <f>Table3.110[[#This Row],[CH4 24h, ml]]/Table3.110[[#This Row],[Digested feed, mg]]*1000</f>
        <v>48.630241339790842</v>
      </c>
      <c r="AT314" s="94">
        <f>Table3.110[[#This Row],[CH4 24h, ml]]/'3.2 Digest'!AA314</f>
        <v>0.40435199045177267</v>
      </c>
      <c r="AU314" s="94">
        <f>((Table3.110[[#This Row],[CH4 24h, ml]]/28.9)*16.04)/Table3.110[[#This Row],[DM Incubated, mg]]*1000</f>
        <v>18.018353053093449</v>
      </c>
      <c r="AV314" s="94">
        <f>((Table3.110[[#This Row],[CH4 24h, ml]]/28.9)*16.04)/Table3.110[[#This Row],[Digested feed, mg]]*1000</f>
        <v>26.99062529724031</v>
      </c>
      <c r="AW314" s="303"/>
    </row>
    <row r="315" spans="1:49" s="304" customFormat="1" x14ac:dyDescent="0.35">
      <c r="A315" s="89"/>
      <c r="B315" s="90">
        <f t="shared" si="4"/>
        <v>305</v>
      </c>
      <c r="C315" s="140">
        <v>46048</v>
      </c>
      <c r="D315" s="6" t="s">
        <v>16</v>
      </c>
      <c r="E315" s="6" t="s">
        <v>150</v>
      </c>
      <c r="F315" s="133" t="s">
        <v>142</v>
      </c>
      <c r="G315" s="133" t="s">
        <v>151</v>
      </c>
      <c r="H315" s="133" t="s">
        <v>152</v>
      </c>
      <c r="I315" s="133" t="s">
        <v>22</v>
      </c>
      <c r="J315" s="135" t="s">
        <v>23</v>
      </c>
      <c r="K315" s="135" t="s">
        <v>24</v>
      </c>
      <c r="L315" s="6" t="s">
        <v>149</v>
      </c>
      <c r="M315" s="93">
        <v>28</v>
      </c>
      <c r="N315" s="93">
        <v>60</v>
      </c>
      <c r="O315" s="6">
        <v>1</v>
      </c>
      <c r="P315" s="129">
        <v>3</v>
      </c>
      <c r="Q315" s="6">
        <v>233</v>
      </c>
      <c r="R315" s="98">
        <v>0.50060000000000004</v>
      </c>
      <c r="S315" s="94">
        <f>((Table3.110[[#This Row],[Sample weight, g]]*'2.1. DM'!Q89)/100)*1000</f>
        <v>470.1476257122863</v>
      </c>
      <c r="T315" s="94">
        <f>'3.2 Digest'!W315</f>
        <v>327.34762571228634</v>
      </c>
      <c r="U315" s="153">
        <v>0.35416666666666669</v>
      </c>
      <c r="V315" s="154">
        <v>42.5</v>
      </c>
      <c r="W315" s="153">
        <v>0.67847222222222225</v>
      </c>
      <c r="X315" s="95">
        <v>90</v>
      </c>
      <c r="Y315" s="95">
        <v>12.2</v>
      </c>
      <c r="Z315" s="154">
        <v>40.5</v>
      </c>
      <c r="AA315" s="153">
        <v>0.35138888888888886</v>
      </c>
      <c r="AB315" s="154">
        <v>96</v>
      </c>
      <c r="AC315" s="154">
        <v>16.899999999999999</v>
      </c>
      <c r="AD315" s="91"/>
      <c r="AE315" s="94">
        <f>Table3.110[[#This Row],[Gas 8h, ml]]-Table3.110[[#This Row],[Gas 0h, ml]]</f>
        <v>47.5</v>
      </c>
      <c r="AF315" s="94">
        <f>Table3.110[[#This Row],[Gas 24h, ml]]-Table3.110[[#This Row],[V8 Push back, ml]]</f>
        <v>55.5</v>
      </c>
      <c r="AG315" s="94">
        <f>Table3.110[[#This Row],[GP 8h, ml]]-(AVERAGE(AE$293,AE$294,AE$385,AE$386,AE$477,AE$478))*$AG$8</f>
        <v>46.246240428868305</v>
      </c>
      <c r="AH315" s="94">
        <f>Table3.110[[#This Row],[GP 8-24h, ml]]-(AVERAGE(AF$293,AF$294,AF$385,AF$386,AF$477,AF$478))*$AG$8</f>
        <v>53.50873479879084</v>
      </c>
      <c r="AI315" s="94">
        <f>Table3.110[[#This Row],[Net gas 8-24h, ml]]+Table3.110[[#This Row],[Net gas 8h, ml]]</f>
        <v>99.754975227659145</v>
      </c>
      <c r="AJ315" s="94">
        <f>Table3.110[[#This Row],[Net gas 8h, ml]]*Table3.110[[#This Row],[CH4 8h %]]%</f>
        <v>5.6420413323219334</v>
      </c>
      <c r="AK315" s="94">
        <f>Table3.110[[#This Row],[Net gas 8-24h, ml]]*Table3.110[[#This Row],[CH4 24h, %]]%</f>
        <v>9.0429761809956517</v>
      </c>
      <c r="AL315" s="94">
        <f>Table3.110[[#This Row],[CH4 8-24h, ml]]+Table3.110[[#This Row],[CH4 8h, ml]]</f>
        <v>14.685017513317586</v>
      </c>
      <c r="AM315" s="94">
        <f>(Table3.110[[#This Row],[Net gas 24h, ml]]/Table3.110[[#This Row],[DM Incubated, mg]])*1000</f>
        <v>212.17798362062908</v>
      </c>
      <c r="AN315" s="94">
        <f>'3.2 Digest'!X315</f>
        <v>69.626561490413977</v>
      </c>
      <c r="AO315" s="94">
        <f>Table3.110[[#This Row],[Digested feed, mg]]/Table3.110[[#This Row],[Net gas 24h, ml]]</f>
        <v>3.2815167861574728</v>
      </c>
      <c r="AP315" s="94">
        <f>Table3.110[[#This Row],[CH4 8h, ml]]/Table3.110[[#This Row],[Net gas 8h, ml]]%</f>
        <v>12.2</v>
      </c>
      <c r="AQ315" s="94">
        <f>Table3.110[[#This Row],[CH4 24h, ml]]/Table3.110[[#This Row],[Net gas 24h, ml]]%</f>
        <v>14.721087825247496</v>
      </c>
      <c r="AR315" s="94">
        <f>Table3.110[[#This Row],[CH4 24h, ml]]/Table3.110[[#This Row],[DM Incubated, mg]]*1000</f>
        <v>31.234907314632057</v>
      </c>
      <c r="AS315" s="94">
        <f>Table3.110[[#This Row],[CH4 24h, ml]]/Table3.110[[#This Row],[Digested feed, mg]]*1000</f>
        <v>44.860620208758135</v>
      </c>
      <c r="AT315" s="94">
        <f>Table3.110[[#This Row],[CH4 24h, ml]]/'3.2 Digest'!AA315</f>
        <v>0.34089328144654396</v>
      </c>
      <c r="AU315" s="94">
        <f>((Table3.110[[#This Row],[CH4 24h, ml]]/28.9)*16.04)/Table3.110[[#This Row],[DM Incubated, mg]]*1000</f>
        <v>17.335913955941113</v>
      </c>
      <c r="AV315" s="94">
        <f>((Table3.110[[#This Row],[CH4 24h, ml]]/28.9)*16.04)/Table3.110[[#This Row],[Digested feed, mg]]*1000</f>
        <v>24.898420351158492</v>
      </c>
      <c r="AW315" s="303"/>
    </row>
    <row r="316" spans="1:49" s="304" customFormat="1" x14ac:dyDescent="0.35">
      <c r="A316" s="89"/>
      <c r="B316" s="90">
        <f t="shared" si="4"/>
        <v>306</v>
      </c>
      <c r="C316" s="140">
        <v>46048</v>
      </c>
      <c r="D316" s="6" t="s">
        <v>16</v>
      </c>
      <c r="E316" s="6" t="s">
        <v>154</v>
      </c>
      <c r="F316" s="133" t="s">
        <v>99</v>
      </c>
      <c r="G316" s="133" t="s">
        <v>155</v>
      </c>
      <c r="H316" s="133" t="s">
        <v>156</v>
      </c>
      <c r="I316" s="133" t="s">
        <v>22</v>
      </c>
      <c r="J316" s="135" t="s">
        <v>23</v>
      </c>
      <c r="K316" s="135" t="s">
        <v>24</v>
      </c>
      <c r="L316" s="6" t="s">
        <v>153</v>
      </c>
      <c r="M316" s="93">
        <v>28</v>
      </c>
      <c r="N316" s="93">
        <v>60</v>
      </c>
      <c r="O316" s="6">
        <v>1</v>
      </c>
      <c r="P316" s="129">
        <v>1</v>
      </c>
      <c r="Q316" s="6">
        <v>234</v>
      </c>
      <c r="R316" s="98">
        <v>0.5</v>
      </c>
      <c r="S316" s="94">
        <f>((Table3.110[[#This Row],[Sample weight, g]]*'2.1. DM'!Q91)/100)*1000</f>
        <v>466.05682828698065</v>
      </c>
      <c r="T316" s="94">
        <f>'3.2 Digest'!W316</f>
        <v>129.75682828698058</v>
      </c>
      <c r="U316" s="117">
        <v>0.35416666666666669</v>
      </c>
      <c r="V316" s="155">
        <v>41.5</v>
      </c>
      <c r="W316" s="117">
        <v>0.6791666666666667</v>
      </c>
      <c r="X316" s="97">
        <v>64.5</v>
      </c>
      <c r="Y316" s="97">
        <v>10.8</v>
      </c>
      <c r="Z316" s="155">
        <v>40</v>
      </c>
      <c r="AA316" s="117">
        <v>0.35208333333333336</v>
      </c>
      <c r="AB316" s="155">
        <v>62.5</v>
      </c>
      <c r="AC316" s="155">
        <v>14.2</v>
      </c>
      <c r="AD316" s="96"/>
      <c r="AE316" s="94">
        <f>Table3.110[[#This Row],[Gas 8h, ml]]-Table3.110[[#This Row],[Gas 0h, ml]]</f>
        <v>23</v>
      </c>
      <c r="AF316" s="94">
        <f>Table3.110[[#This Row],[Gas 24h, ml]]-Table3.110[[#This Row],[V8 Push back, ml]]</f>
        <v>22.5</v>
      </c>
      <c r="AG316" s="94">
        <f>Table3.110[[#This Row],[GP 8h, ml]]-(AVERAGE(AE$293,AE$294,AE$385,AE$386,AE$477,AE$478))*$AG$8</f>
        <v>21.746240428868305</v>
      </c>
      <c r="AH316" s="94">
        <f>Table3.110[[#This Row],[GP 8-24h, ml]]-(AVERAGE(AF$293,AF$294,AF$385,AF$386,AF$477,AF$478))*$AG$8</f>
        <v>20.508734798790837</v>
      </c>
      <c r="AI316" s="94">
        <f>Table3.110[[#This Row],[Net gas 8-24h, ml]]+Table3.110[[#This Row],[Net gas 8h, ml]]</f>
        <v>42.254975227659145</v>
      </c>
      <c r="AJ316" s="94">
        <f>Table3.110[[#This Row],[Net gas 8h, ml]]*Table3.110[[#This Row],[CH4 8h %]]%</f>
        <v>2.3485939663177771</v>
      </c>
      <c r="AK316" s="94">
        <f>Table3.110[[#This Row],[Net gas 8-24h, ml]]*Table3.110[[#This Row],[CH4 24h, %]]%</f>
        <v>2.9122403414282987</v>
      </c>
      <c r="AL316" s="94">
        <f>Table3.110[[#This Row],[CH4 8-24h, ml]]+Table3.110[[#This Row],[CH4 8h, ml]]</f>
        <v>5.2608343077460757</v>
      </c>
      <c r="AM316" s="94">
        <f>(Table3.110[[#This Row],[Net gas 24h, ml]]/Table3.110[[#This Row],[DM Incubated, mg]])*1000</f>
        <v>90.664856006873237</v>
      </c>
      <c r="AN316" s="94">
        <f>'3.2 Digest'!X316</f>
        <v>27.841417700907733</v>
      </c>
      <c r="AO316" s="94">
        <f>Table3.110[[#This Row],[Digested feed, mg]]/Table3.110[[#This Row],[Net gas 24h, ml]]</f>
        <v>3.0708059249327095</v>
      </c>
      <c r="AP316" s="94">
        <f>Table3.110[[#This Row],[CH4 8h, ml]]/Table3.110[[#This Row],[Net gas 8h, ml]]%</f>
        <v>10.8</v>
      </c>
      <c r="AQ316" s="94">
        <f>Table3.110[[#This Row],[CH4 24h, ml]]/Table3.110[[#This Row],[Net gas 24h, ml]]%</f>
        <v>12.450212736848211</v>
      </c>
      <c r="AR316" s="94">
        <f>Table3.110[[#This Row],[CH4 24h, ml]]/Table3.110[[#This Row],[DM Incubated, mg]]*1000</f>
        <v>11.287967450412824</v>
      </c>
      <c r="AS316" s="94">
        <f>Table3.110[[#This Row],[CH4 24h, ml]]/Table3.110[[#This Row],[Digested feed, mg]]*1000</f>
        <v>40.543795476495418</v>
      </c>
      <c r="AT316" s="94">
        <f>Table3.110[[#This Row],[CH4 24h, ml]]/'3.2 Digest'!AA316</f>
        <v>-0.38291422210125009</v>
      </c>
      <c r="AU316" s="94">
        <f>((Table3.110[[#This Row],[CH4 24h, ml]]/28.9)*16.04)/Table3.110[[#This Row],[DM Incubated, mg]]*1000</f>
        <v>6.2650172285336216</v>
      </c>
      <c r="AV316" s="94">
        <f>((Table3.110[[#This Row],[CH4 24h, ml]]/28.9)*16.04)/Table3.110[[#This Row],[Digested feed, mg]]*1000</f>
        <v>22.502507939203685</v>
      </c>
      <c r="AW316" s="303"/>
    </row>
    <row r="317" spans="1:49" s="304" customFormat="1" x14ac:dyDescent="0.35">
      <c r="A317" s="89"/>
      <c r="B317" s="90">
        <f t="shared" si="4"/>
        <v>307</v>
      </c>
      <c r="C317" s="140">
        <v>46048</v>
      </c>
      <c r="D317" s="6" t="s">
        <v>16</v>
      </c>
      <c r="E317" s="6" t="s">
        <v>154</v>
      </c>
      <c r="F317" s="133" t="s">
        <v>99</v>
      </c>
      <c r="G317" s="133" t="s">
        <v>155</v>
      </c>
      <c r="H317" s="133" t="s">
        <v>156</v>
      </c>
      <c r="I317" s="133" t="s">
        <v>22</v>
      </c>
      <c r="J317" s="135" t="s">
        <v>23</v>
      </c>
      <c r="K317" s="135" t="s">
        <v>24</v>
      </c>
      <c r="L317" s="6" t="s">
        <v>153</v>
      </c>
      <c r="M317" s="93">
        <v>28</v>
      </c>
      <c r="N317" s="93">
        <v>60</v>
      </c>
      <c r="O317" s="6">
        <v>1</v>
      </c>
      <c r="P317" s="129">
        <v>2</v>
      </c>
      <c r="Q317" s="6">
        <v>235</v>
      </c>
      <c r="R317" s="98">
        <v>0.50029999999999997</v>
      </c>
      <c r="S317" s="94">
        <f>((Table3.110[[#This Row],[Sample weight, g]]*'2.1. DM'!Q91)/100)*1000</f>
        <v>466.33646238395278</v>
      </c>
      <c r="T317" s="94">
        <f>'3.2 Digest'!W317</f>
        <v>136.4364623839528</v>
      </c>
      <c r="U317" s="153">
        <v>0.35486111111111113</v>
      </c>
      <c r="V317" s="154">
        <v>41.5</v>
      </c>
      <c r="W317" s="153">
        <v>0.6791666666666667</v>
      </c>
      <c r="X317" s="95">
        <v>63</v>
      </c>
      <c r="Y317" s="95">
        <v>10.5</v>
      </c>
      <c r="Z317" s="154">
        <v>39</v>
      </c>
      <c r="AA317" s="153">
        <v>0.3527777777777778</v>
      </c>
      <c r="AB317" s="154">
        <v>61.5</v>
      </c>
      <c r="AC317" s="154">
        <v>13.2</v>
      </c>
      <c r="AD317" s="91"/>
      <c r="AE317" s="94">
        <f>Table3.110[[#This Row],[Gas 8h, ml]]-Table3.110[[#This Row],[Gas 0h, ml]]</f>
        <v>21.5</v>
      </c>
      <c r="AF317" s="94">
        <f>Table3.110[[#This Row],[Gas 24h, ml]]-Table3.110[[#This Row],[V8 Push back, ml]]</f>
        <v>22.5</v>
      </c>
      <c r="AG317" s="94">
        <f>Table3.110[[#This Row],[GP 8h, ml]]-(AVERAGE(AE$293,AE$294,AE$385,AE$386,AE$477,AE$478))*$AG$8</f>
        <v>20.246240428868305</v>
      </c>
      <c r="AH317" s="94">
        <f>Table3.110[[#This Row],[GP 8-24h, ml]]-(AVERAGE(AF$293,AF$294,AF$385,AF$386,AF$477,AF$478))*$AG$8</f>
        <v>20.508734798790837</v>
      </c>
      <c r="AI317" s="94">
        <f>Table3.110[[#This Row],[Net gas 8-24h, ml]]+Table3.110[[#This Row],[Net gas 8h, ml]]</f>
        <v>40.754975227659145</v>
      </c>
      <c r="AJ317" s="94">
        <f>Table3.110[[#This Row],[Net gas 8h, ml]]*Table3.110[[#This Row],[CH4 8h %]]%</f>
        <v>2.1258552450311718</v>
      </c>
      <c r="AK317" s="94">
        <f>Table3.110[[#This Row],[Net gas 8-24h, ml]]*Table3.110[[#This Row],[CH4 24h, %]]%</f>
        <v>2.7071529934403906</v>
      </c>
      <c r="AL317" s="94">
        <f>Table3.110[[#This Row],[CH4 8-24h, ml]]+Table3.110[[#This Row],[CH4 8h, ml]]</f>
        <v>4.833008238471562</v>
      </c>
      <c r="AM317" s="94">
        <f>(Table3.110[[#This Row],[Net gas 24h, ml]]/Table3.110[[#This Row],[DM Incubated, mg]])*1000</f>
        <v>87.393928022089767</v>
      </c>
      <c r="AN317" s="94">
        <f>'3.2 Digest'!X317</f>
        <v>29.257086543582218</v>
      </c>
      <c r="AO317" s="94">
        <f>Table3.110[[#This Row],[Digested feed, mg]]/Table3.110[[#This Row],[Net gas 24h, ml]]</f>
        <v>3.347725317505716</v>
      </c>
      <c r="AP317" s="94">
        <f>Table3.110[[#This Row],[CH4 8h, ml]]/Table3.110[[#This Row],[Net gas 8h, ml]]%</f>
        <v>10.5</v>
      </c>
      <c r="AQ317" s="94">
        <f>Table3.110[[#This Row],[CH4 24h, ml]]/Table3.110[[#This Row],[Net gas 24h, ml]]%</f>
        <v>11.858695070906455</v>
      </c>
      <c r="AR317" s="94">
        <f>Table3.110[[#This Row],[CH4 24h, ml]]/Table3.110[[#This Row],[DM Incubated, mg]]*1000</f>
        <v>10.363779434627096</v>
      </c>
      <c r="AS317" s="94">
        <f>Table3.110[[#This Row],[CH4 24h, ml]]/Table3.110[[#This Row],[Digested feed, mg]]*1000</f>
        <v>35.423142421200772</v>
      </c>
      <c r="AT317" s="94">
        <f>Table3.110[[#This Row],[CH4 24h, ml]]/'3.2 Digest'!AA317</f>
        <v>-0.41998735274658244</v>
      </c>
      <c r="AU317" s="94">
        <f>((Table3.110[[#This Row],[CH4 24h, ml]]/28.9)*16.04)/Table3.110[[#This Row],[DM Incubated, mg]]*1000</f>
        <v>5.752076890360506</v>
      </c>
      <c r="AV317" s="94">
        <f>((Table3.110[[#This Row],[CH4 24h, ml]]/28.9)*16.04)/Table3.110[[#This Row],[Digested feed, mg]]*1000</f>
        <v>19.660456900901746</v>
      </c>
      <c r="AW317" s="303"/>
    </row>
    <row r="318" spans="1:49" s="304" customFormat="1" x14ac:dyDescent="0.35">
      <c r="A318" s="89"/>
      <c r="B318" s="90">
        <f t="shared" si="4"/>
        <v>308</v>
      </c>
      <c r="C318" s="140">
        <v>46048</v>
      </c>
      <c r="D318" s="6" t="s">
        <v>16</v>
      </c>
      <c r="E318" s="6" t="s">
        <v>154</v>
      </c>
      <c r="F318" s="133" t="s">
        <v>99</v>
      </c>
      <c r="G318" s="133" t="s">
        <v>155</v>
      </c>
      <c r="H318" s="133" t="s">
        <v>156</v>
      </c>
      <c r="I318" s="133" t="s">
        <v>22</v>
      </c>
      <c r="J318" s="135" t="s">
        <v>23</v>
      </c>
      <c r="K318" s="135" t="s">
        <v>24</v>
      </c>
      <c r="L318" s="6" t="s">
        <v>153</v>
      </c>
      <c r="M318" s="93">
        <v>28</v>
      </c>
      <c r="N318" s="93">
        <v>60</v>
      </c>
      <c r="O318" s="6">
        <v>1</v>
      </c>
      <c r="P318" s="129">
        <v>3</v>
      </c>
      <c r="Q318" s="6">
        <v>236</v>
      </c>
      <c r="R318" s="98">
        <v>0.50039999999999996</v>
      </c>
      <c r="S318" s="94">
        <f>((Table3.110[[#This Row],[Sample weight, g]]*'2.1. DM'!Q91)/100)*1000</f>
        <v>466.42967374961017</v>
      </c>
      <c r="T318" s="94">
        <f>'3.2 Digest'!W318</f>
        <v>132.92967374961017</v>
      </c>
      <c r="U318" s="117">
        <v>0.35555555555555557</v>
      </c>
      <c r="V318" s="155">
        <v>41.5</v>
      </c>
      <c r="W318" s="117">
        <v>0.67986111111111114</v>
      </c>
      <c r="X318" s="97">
        <v>66</v>
      </c>
      <c r="Y318" s="97">
        <v>10.199999999999999</v>
      </c>
      <c r="Z318" s="155">
        <v>40</v>
      </c>
      <c r="AA318" s="117">
        <v>0.3527777777777778</v>
      </c>
      <c r="AB318" s="155">
        <v>62</v>
      </c>
      <c r="AC318" s="155">
        <v>13.4</v>
      </c>
      <c r="AD318" s="96"/>
      <c r="AE318" s="94">
        <f>Table3.110[[#This Row],[Gas 8h, ml]]-Table3.110[[#This Row],[Gas 0h, ml]]</f>
        <v>24.5</v>
      </c>
      <c r="AF318" s="94">
        <f>Table3.110[[#This Row],[Gas 24h, ml]]-Table3.110[[#This Row],[V8 Push back, ml]]</f>
        <v>22</v>
      </c>
      <c r="AG318" s="94">
        <f>Table3.110[[#This Row],[GP 8h, ml]]-(AVERAGE(AE$293,AE$294,AE$385,AE$386,AE$477,AE$478))*$AG$8</f>
        <v>23.246240428868305</v>
      </c>
      <c r="AH318" s="94">
        <f>Table3.110[[#This Row],[GP 8-24h, ml]]-(AVERAGE(AF$293,AF$294,AF$385,AF$386,AF$477,AF$478))*$AG$8</f>
        <v>20.008734798790837</v>
      </c>
      <c r="AI318" s="94">
        <f>Table3.110[[#This Row],[Net gas 8-24h, ml]]+Table3.110[[#This Row],[Net gas 8h, ml]]</f>
        <v>43.254975227659145</v>
      </c>
      <c r="AJ318" s="94">
        <f>Table3.110[[#This Row],[Net gas 8h, ml]]*Table3.110[[#This Row],[CH4 8h %]]%</f>
        <v>2.3711165237445671</v>
      </c>
      <c r="AK318" s="94">
        <f>Table3.110[[#This Row],[Net gas 8-24h, ml]]*Table3.110[[#This Row],[CH4 24h, %]]%</f>
        <v>2.6811704630379722</v>
      </c>
      <c r="AL318" s="94">
        <f>Table3.110[[#This Row],[CH4 8-24h, ml]]+Table3.110[[#This Row],[CH4 8h, ml]]</f>
        <v>5.0522869867825388</v>
      </c>
      <c r="AM318" s="94">
        <f>(Table3.110[[#This Row],[Net gas 24h, ml]]/Table3.110[[#This Row],[DM Incubated, mg]])*1000</f>
        <v>92.736328029762902</v>
      </c>
      <c r="AN318" s="94">
        <f>'3.2 Digest'!X318</f>
        <v>28.499403282169776</v>
      </c>
      <c r="AO318" s="94">
        <f>Table3.110[[#This Row],[Digested feed, mg]]/Table3.110[[#This Row],[Net gas 24h, ml]]</f>
        <v>3.0731649492336102</v>
      </c>
      <c r="AP318" s="94">
        <f>Table3.110[[#This Row],[CH4 8h, ml]]/Table3.110[[#This Row],[Net gas 8h, ml]]%</f>
        <v>10.200000000000001</v>
      </c>
      <c r="AQ318" s="94">
        <f>Table3.110[[#This Row],[CH4 24h, ml]]/Table3.110[[#This Row],[Net gas 24h, ml]]%</f>
        <v>11.680244781534133</v>
      </c>
      <c r="AR318" s="94">
        <f>Table3.110[[#This Row],[CH4 24h, ml]]/Table3.110[[#This Row],[DM Incubated, mg]]*1000</f>
        <v>10.831830115282758</v>
      </c>
      <c r="AS318" s="94">
        <f>Table3.110[[#This Row],[CH4 24h, ml]]/Table3.110[[#This Row],[Digested feed, mg]]*1000</f>
        <v>38.007217232016679</v>
      </c>
      <c r="AT318" s="94">
        <f>Table3.110[[#This Row],[CH4 24h, ml]]/'3.2 Digest'!AA318</f>
        <v>-0.39776160901362523</v>
      </c>
      <c r="AU318" s="94">
        <f>((Table3.110[[#This Row],[CH4 24h, ml]]/28.9)*16.04)/Table3.110[[#This Row],[DM Incubated, mg]]*1000</f>
        <v>6.011853115887039</v>
      </c>
      <c r="AV318" s="94">
        <f>((Table3.110[[#This Row],[CH4 24h, ml]]/28.9)*16.04)/Table3.110[[#This Row],[Digested feed, mg]]*1000</f>
        <v>21.09466312808123</v>
      </c>
      <c r="AW318" s="303"/>
    </row>
    <row r="319" spans="1:49" s="304" customFormat="1" x14ac:dyDescent="0.35">
      <c r="A319" s="89"/>
      <c r="B319" s="90">
        <f t="shared" si="4"/>
        <v>309</v>
      </c>
      <c r="C319" s="140">
        <v>46048</v>
      </c>
      <c r="D319" s="6" t="s">
        <v>16</v>
      </c>
      <c r="E319" s="6" t="s">
        <v>158</v>
      </c>
      <c r="F319" s="133" t="s">
        <v>159</v>
      </c>
      <c r="G319" s="133" t="s">
        <v>160</v>
      </c>
      <c r="H319" s="133" t="s">
        <v>161</v>
      </c>
      <c r="I319" s="133" t="s">
        <v>22</v>
      </c>
      <c r="J319" s="135" t="s">
        <v>23</v>
      </c>
      <c r="K319" s="135" t="s">
        <v>24</v>
      </c>
      <c r="L319" s="6" t="s">
        <v>157</v>
      </c>
      <c r="M319" s="93">
        <v>28</v>
      </c>
      <c r="N319" s="93">
        <v>60</v>
      </c>
      <c r="O319" s="6">
        <v>1</v>
      </c>
      <c r="P319" s="6">
        <v>1</v>
      </c>
      <c r="Q319" s="6">
        <v>237</v>
      </c>
      <c r="R319" s="98">
        <v>0.50060000000000004</v>
      </c>
      <c r="S319" s="94">
        <f>((Table3.110[[#This Row],[Sample weight, g]]*'2.1. DM'!Q93)/100)*1000</f>
        <v>464.49615153938419</v>
      </c>
      <c r="T319" s="94">
        <f>'3.2 Digest'!W319</f>
        <v>115.69615153938418</v>
      </c>
      <c r="U319" s="153">
        <v>0.35555555555555557</v>
      </c>
      <c r="V319" s="154">
        <v>42.5</v>
      </c>
      <c r="W319" s="153">
        <v>0.68055555555555558</v>
      </c>
      <c r="X319" s="95">
        <v>56.5</v>
      </c>
      <c r="Y319" s="95">
        <v>10.1</v>
      </c>
      <c r="Z319" s="154">
        <v>40.5</v>
      </c>
      <c r="AA319" s="153">
        <v>0.35416666666666669</v>
      </c>
      <c r="AB319" s="154">
        <v>54.5</v>
      </c>
      <c r="AC319" s="154">
        <v>13.1</v>
      </c>
      <c r="AD319" s="91"/>
      <c r="AE319" s="94">
        <f>Table3.110[[#This Row],[Gas 8h, ml]]-Table3.110[[#This Row],[Gas 0h, ml]]</f>
        <v>14</v>
      </c>
      <c r="AF319" s="94">
        <f>Table3.110[[#This Row],[Gas 24h, ml]]-Table3.110[[#This Row],[V8 Push back, ml]]</f>
        <v>14</v>
      </c>
      <c r="AG319" s="94">
        <f>Table3.110[[#This Row],[GP 8h, ml]]-(AVERAGE(AE$293,AE$294,AE$385,AE$386,AE$477,AE$478))*$AG$8</f>
        <v>12.746240428868305</v>
      </c>
      <c r="AH319" s="94">
        <f>Table3.110[[#This Row],[GP 8-24h, ml]]-(AVERAGE(AF$293,AF$294,AF$385,AF$386,AF$477,AF$478))*$AG$8</f>
        <v>12.008734798790837</v>
      </c>
      <c r="AI319" s="94">
        <f>Table3.110[[#This Row],[Net gas 8-24h, ml]]+Table3.110[[#This Row],[Net gas 8h, ml]]</f>
        <v>24.754975227659141</v>
      </c>
      <c r="AJ319" s="94">
        <f>Table3.110[[#This Row],[Net gas 8h, ml]]*Table3.110[[#This Row],[CH4 8h %]]%</f>
        <v>1.2873702833156986</v>
      </c>
      <c r="AK319" s="94">
        <f>Table3.110[[#This Row],[Net gas 8-24h, ml]]*Table3.110[[#This Row],[CH4 24h, %]]%</f>
        <v>1.5731442586415996</v>
      </c>
      <c r="AL319" s="94">
        <f>Table3.110[[#This Row],[CH4 8-24h, ml]]+Table3.110[[#This Row],[CH4 8h, ml]]</f>
        <v>2.8605145419572979</v>
      </c>
      <c r="AM319" s="94">
        <f>(Table3.110[[#This Row],[Net gas 24h, ml]]/Table3.110[[#This Row],[DM Incubated, mg]])*1000</f>
        <v>53.294252590939266</v>
      </c>
      <c r="AN319" s="94">
        <f>'3.2 Digest'!X319</f>
        <v>24.907881616662738</v>
      </c>
      <c r="AO319" s="94">
        <f>Table3.110[[#This Row],[Digested feed, mg]]/Table3.110[[#This Row],[Net gas 24h, ml]]</f>
        <v>4.673652487040866</v>
      </c>
      <c r="AP319" s="94">
        <f>Table3.110[[#This Row],[CH4 8h, ml]]/Table3.110[[#This Row],[Net gas 8h, ml]]%</f>
        <v>10.099999999999998</v>
      </c>
      <c r="AQ319" s="94">
        <f>Table3.110[[#This Row],[CH4 24h, ml]]/Table3.110[[#This Row],[Net gas 24h, ml]]%</f>
        <v>11.555311672302537</v>
      </c>
      <c r="AR319" s="94">
        <f>Table3.110[[#This Row],[CH4 24h, ml]]/Table3.110[[#This Row],[DM Incubated, mg]]*1000</f>
        <v>6.1583169903072017</v>
      </c>
      <c r="AS319" s="94">
        <f>Table3.110[[#This Row],[CH4 24h, ml]]/Table3.110[[#This Row],[Digested feed, mg]]*1000</f>
        <v>24.724370723632489</v>
      </c>
      <c r="AT319" s="94">
        <f>Table3.110[[#This Row],[CH4 24h, ml]]/'3.2 Digest'!AA319</f>
        <v>-7.0262932969121394E-2</v>
      </c>
      <c r="AU319" s="94">
        <f>((Table3.110[[#This Row],[CH4 24h, ml]]/28.9)*16.04)/Table3.110[[#This Row],[DM Incubated, mg]]*1000</f>
        <v>3.4179724748971458</v>
      </c>
      <c r="AV319" s="94">
        <f>((Table3.110[[#This Row],[CH4 24h, ml]]/28.9)*16.04)/Table3.110[[#This Row],[Digested feed, mg]]*1000</f>
        <v>13.722453508894988</v>
      </c>
      <c r="AW319" s="303"/>
    </row>
    <row r="320" spans="1:49" s="304" customFormat="1" x14ac:dyDescent="0.35">
      <c r="A320" s="89"/>
      <c r="B320" s="90">
        <f t="shared" si="4"/>
        <v>310</v>
      </c>
      <c r="C320" s="140">
        <v>46048</v>
      </c>
      <c r="D320" s="6" t="s">
        <v>16</v>
      </c>
      <c r="E320" s="6" t="s">
        <v>158</v>
      </c>
      <c r="F320" s="133" t="s">
        <v>159</v>
      </c>
      <c r="G320" s="133" t="s">
        <v>160</v>
      </c>
      <c r="H320" s="133" t="s">
        <v>161</v>
      </c>
      <c r="I320" s="133" t="s">
        <v>22</v>
      </c>
      <c r="J320" s="135" t="s">
        <v>23</v>
      </c>
      <c r="K320" s="135" t="s">
        <v>24</v>
      </c>
      <c r="L320" s="6" t="s">
        <v>157</v>
      </c>
      <c r="M320" s="93">
        <v>28</v>
      </c>
      <c r="N320" s="93">
        <v>60</v>
      </c>
      <c r="O320" s="6">
        <v>1</v>
      </c>
      <c r="P320" s="129">
        <v>2</v>
      </c>
      <c r="Q320" s="6">
        <v>238</v>
      </c>
      <c r="R320" s="98">
        <v>0.50019999999999998</v>
      </c>
      <c r="S320" s="94">
        <f>((Table3.110[[#This Row],[Sample weight, g]]*'2.1. DM'!Q93)/100)*1000</f>
        <v>464.12499999999989</v>
      </c>
      <c r="T320" s="94">
        <f>'3.2 Digest'!W320</f>
        <v>99.924999999999898</v>
      </c>
      <c r="U320" s="117">
        <v>0.35625000000000001</v>
      </c>
      <c r="V320" s="155">
        <v>42</v>
      </c>
      <c r="W320" s="117">
        <v>0.68125000000000002</v>
      </c>
      <c r="X320" s="97">
        <v>56.5</v>
      </c>
      <c r="Y320" s="97">
        <v>10</v>
      </c>
      <c r="Z320" s="155">
        <v>40</v>
      </c>
      <c r="AA320" s="117">
        <v>0.35416666666666669</v>
      </c>
      <c r="AB320" s="155">
        <v>55</v>
      </c>
      <c r="AC320" s="155">
        <v>13.1</v>
      </c>
      <c r="AD320" s="96"/>
      <c r="AE320" s="94">
        <f>Table3.110[[#This Row],[Gas 8h, ml]]-Table3.110[[#This Row],[Gas 0h, ml]]</f>
        <v>14.5</v>
      </c>
      <c r="AF320" s="94">
        <f>Table3.110[[#This Row],[Gas 24h, ml]]-Table3.110[[#This Row],[V8 Push back, ml]]</f>
        <v>15</v>
      </c>
      <c r="AG320" s="94">
        <f>Table3.110[[#This Row],[GP 8h, ml]]-(AVERAGE(AE$293,AE$294,AE$385,AE$386,AE$477,AE$478))*$AG$8</f>
        <v>13.246240428868305</v>
      </c>
      <c r="AH320" s="94">
        <f>Table3.110[[#This Row],[GP 8-24h, ml]]-(AVERAGE(AF$293,AF$294,AF$385,AF$386,AF$477,AF$478))*$AG$8</f>
        <v>13.008734798790837</v>
      </c>
      <c r="AI320" s="94">
        <f>Table3.110[[#This Row],[Net gas 8-24h, ml]]+Table3.110[[#This Row],[Net gas 8h, ml]]</f>
        <v>26.254975227659141</v>
      </c>
      <c r="AJ320" s="94">
        <f>Table3.110[[#This Row],[Net gas 8h, ml]]*Table3.110[[#This Row],[CH4 8h %]]%</f>
        <v>1.3246240428868306</v>
      </c>
      <c r="AK320" s="94">
        <f>Table3.110[[#This Row],[Net gas 8-24h, ml]]*Table3.110[[#This Row],[CH4 24h, %]]%</f>
        <v>1.7041442586415996</v>
      </c>
      <c r="AL320" s="94">
        <f>Table3.110[[#This Row],[CH4 8-24h, ml]]+Table3.110[[#This Row],[CH4 8h, ml]]</f>
        <v>3.0287683015284301</v>
      </c>
      <c r="AM320" s="94">
        <f>(Table3.110[[#This Row],[Net gas 24h, ml]]/Table3.110[[#This Row],[DM Incubated, mg]])*1000</f>
        <v>56.568758906887474</v>
      </c>
      <c r="AN320" s="94">
        <f>'3.2 Digest'!X320</f>
        <v>21.52976030164286</v>
      </c>
      <c r="AO320" s="94">
        <f>Table3.110[[#This Row],[Digested feed, mg]]/Table3.110[[#This Row],[Net gas 24h, ml]]</f>
        <v>3.8059453164035255</v>
      </c>
      <c r="AP320" s="94">
        <f>Table3.110[[#This Row],[CH4 8h, ml]]/Table3.110[[#This Row],[Net gas 8h, ml]]%</f>
        <v>10</v>
      </c>
      <c r="AQ320" s="94">
        <f>Table3.110[[#This Row],[CH4 24h, ml]]/Table3.110[[#This Row],[Net gas 24h, ml]]%</f>
        <v>11.535978515560274</v>
      </c>
      <c r="AR320" s="94">
        <f>Table3.110[[#This Row],[CH4 24h, ml]]/Table3.110[[#This Row],[DM Incubated, mg]]*1000</f>
        <v>6.5257598740176261</v>
      </c>
      <c r="AS320" s="94">
        <f>Table3.110[[#This Row],[CH4 24h, ml]]/Table3.110[[#This Row],[Digested feed, mg]]*1000</f>
        <v>30.310415827154699</v>
      </c>
      <c r="AT320" s="94">
        <f>Table3.110[[#This Row],[CH4 24h, ml]]/'3.2 Digest'!AA320</f>
        <v>-6.4384788363348086E-2</v>
      </c>
      <c r="AU320" s="94">
        <f>((Table3.110[[#This Row],[CH4 24h, ml]]/28.9)*16.04)/Table3.110[[#This Row],[DM Incubated, mg]]*1000</f>
        <v>3.6219096324997482</v>
      </c>
      <c r="AV320" s="94">
        <f>((Table3.110[[#This Row],[CH4 24h, ml]]/28.9)*16.04)/Table3.110[[#This Row],[Digested feed, mg]]*1000</f>
        <v>16.822805185728765</v>
      </c>
      <c r="AW320" s="303"/>
    </row>
    <row r="321" spans="1:49" s="304" customFormat="1" x14ac:dyDescent="0.35">
      <c r="A321" s="89"/>
      <c r="B321" s="90">
        <f t="shared" si="4"/>
        <v>311</v>
      </c>
      <c r="C321" s="140">
        <v>46048</v>
      </c>
      <c r="D321" s="6" t="s">
        <v>16</v>
      </c>
      <c r="E321" s="6" t="s">
        <v>158</v>
      </c>
      <c r="F321" s="133" t="s">
        <v>159</v>
      </c>
      <c r="G321" s="133" t="s">
        <v>160</v>
      </c>
      <c r="H321" s="133" t="s">
        <v>161</v>
      </c>
      <c r="I321" s="133" t="s">
        <v>22</v>
      </c>
      <c r="J321" s="135" t="s">
        <v>23</v>
      </c>
      <c r="K321" s="135" t="s">
        <v>24</v>
      </c>
      <c r="L321" s="6" t="s">
        <v>157</v>
      </c>
      <c r="M321" s="93">
        <v>28</v>
      </c>
      <c r="N321" s="93">
        <v>60</v>
      </c>
      <c r="O321" s="6">
        <v>1</v>
      </c>
      <c r="P321" s="129">
        <v>3</v>
      </c>
      <c r="Q321" s="6">
        <v>239</v>
      </c>
      <c r="R321" s="98">
        <v>0.50049999999999994</v>
      </c>
      <c r="S321" s="94">
        <f>((Table3.110[[#This Row],[Sample weight, g]]*'2.1. DM'!Q93)/100)*1000</f>
        <v>464.40336365453805</v>
      </c>
      <c r="T321" s="94">
        <f>'3.2 Digest'!W321</f>
        <v>110.70336365453807</v>
      </c>
      <c r="U321" s="153">
        <v>0.35625000000000001</v>
      </c>
      <c r="V321" s="154">
        <v>41.5</v>
      </c>
      <c r="W321" s="153">
        <v>0.68125000000000002</v>
      </c>
      <c r="X321" s="95">
        <v>56.5</v>
      </c>
      <c r="Y321" s="95">
        <v>10</v>
      </c>
      <c r="Z321" s="154">
        <v>40</v>
      </c>
      <c r="AA321" s="153">
        <v>0.35416666666666669</v>
      </c>
      <c r="AB321" s="154">
        <v>58.5</v>
      </c>
      <c r="AC321" s="154">
        <v>12.7</v>
      </c>
      <c r="AD321" s="91"/>
      <c r="AE321" s="94">
        <f>Table3.110[[#This Row],[Gas 8h, ml]]-Table3.110[[#This Row],[Gas 0h, ml]]</f>
        <v>15</v>
      </c>
      <c r="AF321" s="94">
        <f>Table3.110[[#This Row],[Gas 24h, ml]]-Table3.110[[#This Row],[V8 Push back, ml]]</f>
        <v>18.5</v>
      </c>
      <c r="AG321" s="94">
        <f>Table3.110[[#This Row],[GP 8h, ml]]-(AVERAGE(AE$293,AE$294,AE$385,AE$386,AE$477,AE$478))*$AG$8</f>
        <v>13.746240428868305</v>
      </c>
      <c r="AH321" s="94">
        <f>Table3.110[[#This Row],[GP 8-24h, ml]]-(AVERAGE(AF$293,AF$294,AF$385,AF$386,AF$477,AF$478))*$AG$8</f>
        <v>16.508734798790837</v>
      </c>
      <c r="AI321" s="94">
        <f>Table3.110[[#This Row],[Net gas 8-24h, ml]]+Table3.110[[#This Row],[Net gas 8h, ml]]</f>
        <v>30.254975227659141</v>
      </c>
      <c r="AJ321" s="94">
        <f>Table3.110[[#This Row],[Net gas 8h, ml]]*Table3.110[[#This Row],[CH4 8h %]]%</f>
        <v>1.3746240428868306</v>
      </c>
      <c r="AK321" s="94">
        <f>Table3.110[[#This Row],[Net gas 8-24h, ml]]*Table3.110[[#This Row],[CH4 24h, %]]%</f>
        <v>2.0966093194464364</v>
      </c>
      <c r="AL321" s="94">
        <f>Table3.110[[#This Row],[CH4 8-24h, ml]]+Table3.110[[#This Row],[CH4 8h, ml]]</f>
        <v>3.4712333623332672</v>
      </c>
      <c r="AM321" s="94">
        <f>(Table3.110[[#This Row],[Net gas 24h, ml]]/Table3.110[[#This Row],[DM Incubated, mg]])*1000</f>
        <v>65.148053600587858</v>
      </c>
      <c r="AN321" s="94">
        <f>'3.2 Digest'!X321</f>
        <v>23.837760946298499</v>
      </c>
      <c r="AO321" s="94">
        <f>Table3.110[[#This Row],[Digested feed, mg]]/Table3.110[[#This Row],[Net gas 24h, ml]]</f>
        <v>3.6590135282389156</v>
      </c>
      <c r="AP321" s="94">
        <f>Table3.110[[#This Row],[CH4 8h, ml]]/Table3.110[[#This Row],[Net gas 8h, ml]]%</f>
        <v>10</v>
      </c>
      <c r="AQ321" s="94">
        <f>Table3.110[[#This Row],[CH4 24h, ml]]/Table3.110[[#This Row],[Net gas 24h, ml]]%</f>
        <v>11.473264599337238</v>
      </c>
      <c r="AR321" s="94">
        <f>Table3.110[[#This Row],[CH4 24h, ml]]/Table3.110[[#This Row],[DM Incubated, mg]]*1000</f>
        <v>7.474608570913496</v>
      </c>
      <c r="AS321" s="94">
        <f>Table3.110[[#This Row],[CH4 24h, ml]]/Table3.110[[#This Row],[Digested feed, mg]]*1000</f>
        <v>31.356168843844976</v>
      </c>
      <c r="AT321" s="94">
        <f>Table3.110[[#This Row],[CH4 24h, ml]]/'3.2 Digest'!AA321</f>
        <v>-8.1261508108095667E-2</v>
      </c>
      <c r="AU321" s="94">
        <f>((Table3.110[[#This Row],[CH4 24h, ml]]/28.9)*16.04)/Table3.110[[#This Row],[DM Incubated, mg]]*1000</f>
        <v>4.1485370753443762</v>
      </c>
      <c r="AV321" s="94">
        <f>((Table3.110[[#This Row],[CH4 24h, ml]]/28.9)*16.04)/Table3.110[[#This Row],[Digested feed, mg]]*1000</f>
        <v>17.403216202604618</v>
      </c>
      <c r="AW321" s="303"/>
    </row>
    <row r="322" spans="1:49" s="304" customFormat="1" x14ac:dyDescent="0.35">
      <c r="A322" s="89"/>
      <c r="B322" s="90">
        <f t="shared" si="4"/>
        <v>312</v>
      </c>
      <c r="C322" s="140">
        <v>46048</v>
      </c>
      <c r="D322" s="6" t="s">
        <v>16</v>
      </c>
      <c r="E322" s="6" t="s">
        <v>163</v>
      </c>
      <c r="F322" s="133" t="s">
        <v>129</v>
      </c>
      <c r="G322" s="133" t="s">
        <v>164</v>
      </c>
      <c r="H322" s="133" t="s">
        <v>165</v>
      </c>
      <c r="I322" s="133" t="s">
        <v>22</v>
      </c>
      <c r="J322" s="135" t="s">
        <v>23</v>
      </c>
      <c r="K322" s="135" t="s">
        <v>24</v>
      </c>
      <c r="L322" s="6" t="s">
        <v>162</v>
      </c>
      <c r="M322" s="93">
        <v>28</v>
      </c>
      <c r="N322" s="93">
        <v>60</v>
      </c>
      <c r="O322" s="6">
        <v>1</v>
      </c>
      <c r="P322" s="6">
        <v>1</v>
      </c>
      <c r="Q322" s="6">
        <v>240</v>
      </c>
      <c r="R322" s="98">
        <v>0.50019999999999998</v>
      </c>
      <c r="S322" s="94">
        <f>((Table3.110[[#This Row],[Sample weight, g]]*'2.1. DM'!Q95)/100)*1000</f>
        <v>466.37040295970445</v>
      </c>
      <c r="T322" s="94">
        <f>'3.2 Digest'!W322</f>
        <v>122.97040295970442</v>
      </c>
      <c r="U322" s="117">
        <v>0.35694444444444445</v>
      </c>
      <c r="V322" s="155">
        <v>40.5</v>
      </c>
      <c r="W322" s="117">
        <v>0.68125000000000002</v>
      </c>
      <c r="X322" s="97">
        <v>55</v>
      </c>
      <c r="Y322" s="97">
        <v>12.8</v>
      </c>
      <c r="Z322" s="155">
        <v>30.5</v>
      </c>
      <c r="AA322" s="117">
        <v>0.35486111111111113</v>
      </c>
      <c r="AB322" s="155">
        <v>58.5</v>
      </c>
      <c r="AC322" s="155">
        <v>14</v>
      </c>
      <c r="AD322" s="96" t="s">
        <v>560</v>
      </c>
      <c r="AE322" s="94">
        <f>Table3.110[[#This Row],[Gas 8h, ml]]-Table3.110[[#This Row],[Gas 0h, ml]]</f>
        <v>14.5</v>
      </c>
      <c r="AF322" s="94">
        <f>Table3.110[[#This Row],[Gas 24h, ml]]-Table3.110[[#This Row],[V8 Push back, ml]]</f>
        <v>28</v>
      </c>
      <c r="AG322" s="94">
        <f>Table3.110[[#This Row],[GP 8h, ml]]-(AVERAGE(AE$293,AE$294,AE$385,AE$386,AE$477,AE$478))*$AG$8</f>
        <v>13.246240428868305</v>
      </c>
      <c r="AH322" s="94">
        <f>Table3.110[[#This Row],[GP 8-24h, ml]]-(AVERAGE(AF$293,AF$294,AF$385,AF$386,AF$477,AF$478))*$AG$8</f>
        <v>26.008734798790837</v>
      </c>
      <c r="AI322" s="94">
        <f>Table3.110[[#This Row],[Net gas 8-24h, ml]]+Table3.110[[#This Row],[Net gas 8h, ml]]</f>
        <v>39.254975227659145</v>
      </c>
      <c r="AJ322" s="94">
        <f>Table3.110[[#This Row],[Net gas 8h, ml]]*Table3.110[[#This Row],[CH4 8h %]]%</f>
        <v>1.695518774895143</v>
      </c>
      <c r="AK322" s="94">
        <f>Table3.110[[#This Row],[Net gas 8-24h, ml]]*Table3.110[[#This Row],[CH4 24h, %]]%</f>
        <v>3.6412228718307174</v>
      </c>
      <c r="AL322" s="94">
        <f>Table3.110[[#This Row],[CH4 8-24h, ml]]+Table3.110[[#This Row],[CH4 8h, ml]]</f>
        <v>5.3367416467258604</v>
      </c>
      <c r="AM322" s="94">
        <f>(Table3.110[[#This Row],[Net gas 24h, ml]]/Table3.110[[#This Row],[DM Incubated, mg]])*1000</f>
        <v>84.171240238525314</v>
      </c>
      <c r="AN322" s="94">
        <f>'3.2 Digest'!X322</f>
        <v>26.367540088158076</v>
      </c>
      <c r="AO322" s="94">
        <f>Table3.110[[#This Row],[Digested feed, mg]]/Table3.110[[#This Row],[Net gas 24h, ml]]</f>
        <v>3.1326068159905294</v>
      </c>
      <c r="AP322" s="94">
        <f>Table3.110[[#This Row],[CH4 8h, ml]]/Table3.110[[#This Row],[Net gas 8h, ml]]%</f>
        <v>12.799999999999999</v>
      </c>
      <c r="AQ322" s="94">
        <f>Table3.110[[#This Row],[CH4 24h, ml]]/Table3.110[[#This Row],[Net gas 24h, ml]]%</f>
        <v>13.595070728679456</v>
      </c>
      <c r="AR322" s="94">
        <f>Table3.110[[#This Row],[CH4 24h, ml]]/Table3.110[[#This Row],[DM Incubated, mg]]*1000</f>
        <v>11.44313964363422</v>
      </c>
      <c r="AS322" s="94">
        <f>Table3.110[[#This Row],[CH4 24h, ml]]/Table3.110[[#This Row],[Digested feed, mg]]*1000</f>
        <v>43.398586312469284</v>
      </c>
      <c r="AT322" s="94">
        <f>Table3.110[[#This Row],[CH4 24h, ml]]/'3.2 Digest'!AA322</f>
        <v>-0.71095462671194232</v>
      </c>
      <c r="AU322" s="94">
        <f>((Table3.110[[#This Row],[CH4 24h, ml]]/28.9)*16.04)/Table3.110[[#This Row],[DM Incubated, mg]]*1000</f>
        <v>6.3511404804115195</v>
      </c>
      <c r="AV322" s="94">
        <f>((Table3.110[[#This Row],[CH4 24h, ml]]/28.9)*16.04)/Table3.110[[#This Row],[Digested feed, mg]]*1000</f>
        <v>24.086966244014096</v>
      </c>
      <c r="AW322" s="303"/>
    </row>
    <row r="323" spans="1:49" s="304" customFormat="1" x14ac:dyDescent="0.35">
      <c r="A323" s="89"/>
      <c r="B323" s="90">
        <f t="shared" si="4"/>
        <v>313</v>
      </c>
      <c r="C323" s="140">
        <v>46048</v>
      </c>
      <c r="D323" s="6" t="s">
        <v>16</v>
      </c>
      <c r="E323" s="6" t="s">
        <v>163</v>
      </c>
      <c r="F323" s="133" t="s">
        <v>129</v>
      </c>
      <c r="G323" s="133" t="s">
        <v>164</v>
      </c>
      <c r="H323" s="133" t="s">
        <v>165</v>
      </c>
      <c r="I323" s="133" t="s">
        <v>22</v>
      </c>
      <c r="J323" s="135" t="s">
        <v>23</v>
      </c>
      <c r="K323" s="135" t="s">
        <v>24</v>
      </c>
      <c r="L323" s="6" t="s">
        <v>162</v>
      </c>
      <c r="M323" s="93">
        <v>28</v>
      </c>
      <c r="N323" s="93">
        <v>60</v>
      </c>
      <c r="O323" s="6">
        <v>1</v>
      </c>
      <c r="P323" s="129">
        <v>2</v>
      </c>
      <c r="Q323" s="6">
        <v>241</v>
      </c>
      <c r="R323" s="98">
        <v>0.50060000000000004</v>
      </c>
      <c r="S323" s="94">
        <f>((Table3.110[[#This Row],[Sample weight, g]]*'2.1. DM'!Q95)/100)*1000</f>
        <v>466.74335010321482</v>
      </c>
      <c r="T323" s="94">
        <f>'3.2 Digest'!W323</f>
        <v>115.24335010321477</v>
      </c>
      <c r="U323" s="153">
        <v>0.35694444444444445</v>
      </c>
      <c r="V323" s="154">
        <v>41</v>
      </c>
      <c r="W323" s="153">
        <v>0.68125000000000002</v>
      </c>
      <c r="X323" s="95">
        <v>64.5</v>
      </c>
      <c r="Y323" s="95">
        <v>13.1</v>
      </c>
      <c r="Z323" s="154">
        <v>40</v>
      </c>
      <c r="AA323" s="153">
        <v>0.35555555555555557</v>
      </c>
      <c r="AB323" s="154">
        <v>72</v>
      </c>
      <c r="AC323" s="154">
        <v>14.7</v>
      </c>
      <c r="AD323" s="91"/>
      <c r="AE323" s="94">
        <f>Table3.110[[#This Row],[Gas 8h, ml]]-Table3.110[[#This Row],[Gas 0h, ml]]</f>
        <v>23.5</v>
      </c>
      <c r="AF323" s="94">
        <f>Table3.110[[#This Row],[Gas 24h, ml]]-Table3.110[[#This Row],[V8 Push back, ml]]</f>
        <v>32</v>
      </c>
      <c r="AG323" s="94">
        <f>Table3.110[[#This Row],[GP 8h, ml]]-(AVERAGE(AE$293,AE$294,AE$385,AE$386,AE$477,AE$478))*$AG$8</f>
        <v>22.246240428868305</v>
      </c>
      <c r="AH323" s="94">
        <f>Table3.110[[#This Row],[GP 8-24h, ml]]-(AVERAGE(AF$293,AF$294,AF$385,AF$386,AF$477,AF$478))*$AG$8</f>
        <v>30.008734798790837</v>
      </c>
      <c r="AI323" s="94">
        <f>Table3.110[[#This Row],[Net gas 8-24h, ml]]+Table3.110[[#This Row],[Net gas 8h, ml]]</f>
        <v>52.254975227659145</v>
      </c>
      <c r="AJ323" s="94">
        <f>Table3.110[[#This Row],[Net gas 8h, ml]]*Table3.110[[#This Row],[CH4 8h %]]%</f>
        <v>2.9142574961817482</v>
      </c>
      <c r="AK323" s="94">
        <f>Table3.110[[#This Row],[Net gas 8-24h, ml]]*Table3.110[[#This Row],[CH4 24h, %]]%</f>
        <v>4.411284015422253</v>
      </c>
      <c r="AL323" s="94">
        <f>Table3.110[[#This Row],[CH4 8-24h, ml]]+Table3.110[[#This Row],[CH4 8h, ml]]</f>
        <v>7.3255415116040012</v>
      </c>
      <c r="AM323" s="94">
        <f>(Table3.110[[#This Row],[Net gas 24h, ml]]/Table3.110[[#This Row],[DM Incubated, mg]])*1000</f>
        <v>111.95655003141141</v>
      </c>
      <c r="AN323" s="94">
        <f>'3.2 Digest'!X323</f>
        <v>24.690946336510216</v>
      </c>
      <c r="AO323" s="94">
        <f>Table3.110[[#This Row],[Digested feed, mg]]/Table3.110[[#This Row],[Net gas 24h, ml]]</f>
        <v>2.2054043581713376</v>
      </c>
      <c r="AP323" s="94">
        <f>Table3.110[[#This Row],[CH4 8h, ml]]/Table3.110[[#This Row],[Net gas 8h, ml]]%</f>
        <v>13.100000000000001</v>
      </c>
      <c r="AQ323" s="94">
        <f>Table3.110[[#This Row],[CH4 24h, ml]]/Table3.110[[#This Row],[Net gas 24h, ml]]%</f>
        <v>14.018840272507699</v>
      </c>
      <c r="AR323" s="94">
        <f>Table3.110[[#This Row],[CH4 24h, ml]]/Table3.110[[#This Row],[DM Incubated, mg]]*1000</f>
        <v>15.695009923513734</v>
      </c>
      <c r="AS323" s="94">
        <f>Table3.110[[#This Row],[CH4 24h, ml]]/Table3.110[[#This Row],[Digested feed, mg]]*1000</f>
        <v>63.565850047252766</v>
      </c>
      <c r="AT323" s="94">
        <f>Table3.110[[#This Row],[CH4 24h, ml]]/'3.2 Digest'!AA323</f>
        <v>-0.73591424871946443</v>
      </c>
      <c r="AU323" s="94">
        <f>((Table3.110[[#This Row],[CH4 24h, ml]]/28.9)*16.04)/Table3.110[[#This Row],[DM Incubated, mg]]*1000</f>
        <v>8.7110020475141958</v>
      </c>
      <c r="AV323" s="94">
        <f>((Table3.110[[#This Row],[CH4 24h, ml]]/28.9)*16.04)/Table3.110[[#This Row],[Digested feed, mg]]*1000</f>
        <v>35.280146531416406</v>
      </c>
      <c r="AW323" s="303"/>
    </row>
    <row r="324" spans="1:49" s="304" customFormat="1" x14ac:dyDescent="0.35">
      <c r="A324" s="89"/>
      <c r="B324" s="90">
        <f t="shared" si="4"/>
        <v>314</v>
      </c>
      <c r="C324" s="140">
        <v>46048</v>
      </c>
      <c r="D324" s="6" t="s">
        <v>16</v>
      </c>
      <c r="E324" s="6" t="s">
        <v>163</v>
      </c>
      <c r="F324" s="133" t="s">
        <v>129</v>
      </c>
      <c r="G324" s="133" t="s">
        <v>164</v>
      </c>
      <c r="H324" s="133" t="s">
        <v>165</v>
      </c>
      <c r="I324" s="133" t="s">
        <v>22</v>
      </c>
      <c r="J324" s="135" t="s">
        <v>23</v>
      </c>
      <c r="K324" s="135" t="s">
        <v>24</v>
      </c>
      <c r="L324" s="6" t="s">
        <v>162</v>
      </c>
      <c r="M324" s="93">
        <v>28</v>
      </c>
      <c r="N324" s="93">
        <v>60</v>
      </c>
      <c r="O324" s="6">
        <v>1</v>
      </c>
      <c r="P324" s="129">
        <v>3</v>
      </c>
      <c r="Q324" s="6">
        <v>242</v>
      </c>
      <c r="R324" s="98">
        <v>0.50060000000000004</v>
      </c>
      <c r="S324" s="94">
        <f>((Table3.110[[#This Row],[Sample weight, g]]*'2.1. DM'!Q95)/100)*1000</f>
        <v>466.74335010321482</v>
      </c>
      <c r="T324" s="94">
        <f>'3.2 Digest'!W324</f>
        <v>124.1433501032148</v>
      </c>
      <c r="U324" s="117">
        <v>0.3576388888888889</v>
      </c>
      <c r="V324" s="155">
        <v>40.5</v>
      </c>
      <c r="W324" s="117">
        <v>0.68194444444444446</v>
      </c>
      <c r="X324" s="97">
        <v>64.5</v>
      </c>
      <c r="Y324" s="97">
        <v>13.3</v>
      </c>
      <c r="Z324" s="155">
        <v>40</v>
      </c>
      <c r="AA324" s="117">
        <v>0.35555555555555557</v>
      </c>
      <c r="AB324" s="155">
        <v>71.5</v>
      </c>
      <c r="AC324" s="155">
        <v>15</v>
      </c>
      <c r="AD324" s="96"/>
      <c r="AE324" s="94">
        <f>Table3.110[[#This Row],[Gas 8h, ml]]-Table3.110[[#This Row],[Gas 0h, ml]]</f>
        <v>24</v>
      </c>
      <c r="AF324" s="94">
        <f>Table3.110[[#This Row],[Gas 24h, ml]]-Table3.110[[#This Row],[V8 Push back, ml]]</f>
        <v>31.5</v>
      </c>
      <c r="AG324" s="94">
        <f>Table3.110[[#This Row],[GP 8h, ml]]-(AVERAGE(AE$293,AE$294,AE$385,AE$386,AE$477,AE$478))*$AG$8</f>
        <v>22.746240428868305</v>
      </c>
      <c r="AH324" s="94">
        <f>Table3.110[[#This Row],[GP 8-24h, ml]]-(AVERAGE(AF$293,AF$294,AF$385,AF$386,AF$477,AF$478))*$AG$8</f>
        <v>29.508734798790837</v>
      </c>
      <c r="AI324" s="94">
        <f>Table3.110[[#This Row],[Net gas 8-24h, ml]]+Table3.110[[#This Row],[Net gas 8h, ml]]</f>
        <v>52.254975227659145</v>
      </c>
      <c r="AJ324" s="94">
        <f>Table3.110[[#This Row],[Net gas 8h, ml]]*Table3.110[[#This Row],[CH4 8h %]]%</f>
        <v>3.0252499770394845</v>
      </c>
      <c r="AK324" s="94">
        <f>Table3.110[[#This Row],[Net gas 8-24h, ml]]*Table3.110[[#This Row],[CH4 24h, %]]%</f>
        <v>4.4263102198186255</v>
      </c>
      <c r="AL324" s="94">
        <f>Table3.110[[#This Row],[CH4 8-24h, ml]]+Table3.110[[#This Row],[CH4 8h, ml]]</f>
        <v>7.45156019685811</v>
      </c>
      <c r="AM324" s="94">
        <f>(Table3.110[[#This Row],[Net gas 24h, ml]]/Table3.110[[#This Row],[DM Incubated, mg]])*1000</f>
        <v>111.95655003141141</v>
      </c>
      <c r="AN324" s="94">
        <f>'3.2 Digest'!X324</f>
        <v>26.597775860279949</v>
      </c>
      <c r="AO324" s="94">
        <f>Table3.110[[#This Row],[Digested feed, mg]]/Table3.110[[#This Row],[Net gas 24h, ml]]</f>
        <v>2.3757230687099118</v>
      </c>
      <c r="AP324" s="94">
        <f>Table3.110[[#This Row],[CH4 8h, ml]]/Table3.110[[#This Row],[Net gas 8h, ml]]%</f>
        <v>13.299999999999999</v>
      </c>
      <c r="AQ324" s="94">
        <f>Table3.110[[#This Row],[CH4 24h, ml]]/Table3.110[[#This Row],[Net gas 24h, ml]]%</f>
        <v>14.260001395836307</v>
      </c>
      <c r="AR324" s="94">
        <f>Table3.110[[#This Row],[CH4 24h, ml]]/Table3.110[[#This Row],[DM Incubated, mg]]*1000</f>
        <v>15.965005597209439</v>
      </c>
      <c r="AS324" s="94">
        <f>Table3.110[[#This Row],[CH4 24h, ml]]/Table3.110[[#This Row],[Digested feed, mg]]*1000</f>
        <v>60.023836884237149</v>
      </c>
      <c r="AT324" s="94">
        <f>Table3.110[[#This Row],[CH4 24h, ml]]/'3.2 Digest'!AA324</f>
        <v>-1.0392270259000416</v>
      </c>
      <c r="AU324" s="94">
        <f>((Table3.110[[#This Row],[CH4 24h, ml]]/28.9)*16.04)/Table3.110[[#This Row],[DM Incubated, mg]]*1000</f>
        <v>8.8608543176207419</v>
      </c>
      <c r="AV324" s="94">
        <f>((Table3.110[[#This Row],[CH4 24h, ml]]/28.9)*16.04)/Table3.110[[#This Row],[Digested feed, mg]]*1000</f>
        <v>33.314267945438196</v>
      </c>
      <c r="AW324" s="303"/>
    </row>
    <row r="325" spans="1:49" s="304" customFormat="1" x14ac:dyDescent="0.35">
      <c r="A325" s="89"/>
      <c r="B325" s="90">
        <f t="shared" si="4"/>
        <v>315</v>
      </c>
      <c r="C325" s="140">
        <v>46048</v>
      </c>
      <c r="D325" s="6" t="s">
        <v>16</v>
      </c>
      <c r="E325" s="6" t="s">
        <v>167</v>
      </c>
      <c r="F325" s="133" t="s">
        <v>88</v>
      </c>
      <c r="G325" s="133" t="s">
        <v>168</v>
      </c>
      <c r="H325" s="133" t="s">
        <v>169</v>
      </c>
      <c r="I325" s="133" t="s">
        <v>22</v>
      </c>
      <c r="J325" s="135" t="s">
        <v>23</v>
      </c>
      <c r="K325" s="135" t="s">
        <v>24</v>
      </c>
      <c r="L325" s="6" t="s">
        <v>166</v>
      </c>
      <c r="M325" s="93">
        <v>28</v>
      </c>
      <c r="N325" s="93">
        <v>60</v>
      </c>
      <c r="O325" s="6">
        <v>1</v>
      </c>
      <c r="P325" s="6">
        <v>1</v>
      </c>
      <c r="Q325" s="6">
        <v>243</v>
      </c>
      <c r="R325" s="98">
        <v>0.50049999999999994</v>
      </c>
      <c r="S325" s="94">
        <f>((Table3.110[[#This Row],[Sample weight, g]]*'2.1. DM'!Q97)/100)*1000</f>
        <v>473.55215034989499</v>
      </c>
      <c r="T325" s="94">
        <f>'3.2 Digest'!W325</f>
        <v>167.45215034989508</v>
      </c>
      <c r="U325" s="153">
        <v>0.35833333333333334</v>
      </c>
      <c r="V325" s="154">
        <v>40.5</v>
      </c>
      <c r="W325" s="153">
        <v>0.68263888888888891</v>
      </c>
      <c r="X325" s="95">
        <v>73.5</v>
      </c>
      <c r="Y325" s="95">
        <v>13</v>
      </c>
      <c r="Z325" s="154">
        <v>40</v>
      </c>
      <c r="AA325" s="153">
        <v>0.35555555555555557</v>
      </c>
      <c r="AB325" s="154">
        <v>74.5</v>
      </c>
      <c r="AC325" s="154">
        <v>17</v>
      </c>
      <c r="AD325" s="91"/>
      <c r="AE325" s="94">
        <f>Table3.110[[#This Row],[Gas 8h, ml]]-Table3.110[[#This Row],[Gas 0h, ml]]</f>
        <v>33</v>
      </c>
      <c r="AF325" s="94">
        <f>Table3.110[[#This Row],[Gas 24h, ml]]-Table3.110[[#This Row],[V8 Push back, ml]]</f>
        <v>34.5</v>
      </c>
      <c r="AG325" s="94">
        <f>Table3.110[[#This Row],[GP 8h, ml]]-(AVERAGE(AE$293,AE$294,AE$385,AE$386,AE$477,AE$478))*$AG$8</f>
        <v>31.746240428868305</v>
      </c>
      <c r="AH325" s="94">
        <f>Table3.110[[#This Row],[GP 8-24h, ml]]-(AVERAGE(AF$293,AF$294,AF$385,AF$386,AF$477,AF$478))*$AG$8</f>
        <v>32.50873479879084</v>
      </c>
      <c r="AI325" s="94">
        <f>Table3.110[[#This Row],[Net gas 8-24h, ml]]+Table3.110[[#This Row],[Net gas 8h, ml]]</f>
        <v>64.254975227659145</v>
      </c>
      <c r="AJ325" s="94">
        <f>Table3.110[[#This Row],[Net gas 8h, ml]]*Table3.110[[#This Row],[CH4 8h %]]%</f>
        <v>4.1270112557528797</v>
      </c>
      <c r="AK325" s="94">
        <f>Table3.110[[#This Row],[Net gas 8-24h, ml]]*Table3.110[[#This Row],[CH4 24h, %]]%</f>
        <v>5.5264849157944429</v>
      </c>
      <c r="AL325" s="94">
        <f>Table3.110[[#This Row],[CH4 8-24h, ml]]+Table3.110[[#This Row],[CH4 8h, ml]]</f>
        <v>9.6534961715473226</v>
      </c>
      <c r="AM325" s="94">
        <f>(Table3.110[[#This Row],[Net gas 24h, ml]]/Table3.110[[#This Row],[DM Incubated, mg]])*1000</f>
        <v>135.68722089041907</v>
      </c>
      <c r="AN325" s="94">
        <f>'3.2 Digest'!X325</f>
        <v>35.360867905714116</v>
      </c>
      <c r="AO325" s="94">
        <f>Table3.110[[#This Row],[Digested feed, mg]]/Table3.110[[#This Row],[Net gas 24h, ml]]</f>
        <v>2.6060573481913623</v>
      </c>
      <c r="AP325" s="94">
        <f>Table3.110[[#This Row],[CH4 8h, ml]]/Table3.110[[#This Row],[Net gas 8h, ml]]%</f>
        <v>13</v>
      </c>
      <c r="AQ325" s="94">
        <f>Table3.110[[#This Row],[CH4 24h, ml]]/Table3.110[[#This Row],[Net gas 24h, ml]]%</f>
        <v>15.023733395498821</v>
      </c>
      <c r="AR325" s="94">
        <f>Table3.110[[#This Row],[CH4 24h, ml]]/Table3.110[[#This Row],[DM Incubated, mg]]*1000</f>
        <v>20.385286318338146</v>
      </c>
      <c r="AS325" s="94">
        <f>Table3.110[[#This Row],[CH4 24h, ml]]/Table3.110[[#This Row],[Digested feed, mg]]*1000</f>
        <v>57.649281608961864</v>
      </c>
      <c r="AT325" s="94">
        <f>Table3.110[[#This Row],[CH4 24h, ml]]/'3.2 Digest'!AA325</f>
        <v>-3.3788390330020963</v>
      </c>
      <c r="AU325" s="94">
        <f>((Table3.110[[#This Row],[CH4 24h, ml]]/28.9)*16.04)/Table3.110[[#This Row],[DM Incubated, mg]]*1000</f>
        <v>11.314186593292174</v>
      </c>
      <c r="AV325" s="94">
        <f>((Table3.110[[#This Row],[CH4 24h, ml]]/28.9)*16.04)/Table3.110[[#This Row],[Digested feed, mg]]*1000</f>
        <v>31.996348685389211</v>
      </c>
      <c r="AW325" s="303"/>
    </row>
    <row r="326" spans="1:49" s="304" customFormat="1" x14ac:dyDescent="0.35">
      <c r="A326" s="89"/>
      <c r="B326" s="90">
        <f t="shared" si="4"/>
        <v>316</v>
      </c>
      <c r="C326" s="140">
        <v>46048</v>
      </c>
      <c r="D326" s="6" t="s">
        <v>16</v>
      </c>
      <c r="E326" s="6" t="s">
        <v>167</v>
      </c>
      <c r="F326" s="133" t="s">
        <v>88</v>
      </c>
      <c r="G326" s="133" t="s">
        <v>168</v>
      </c>
      <c r="H326" s="133" t="s">
        <v>169</v>
      </c>
      <c r="I326" s="133" t="s">
        <v>22</v>
      </c>
      <c r="J326" s="135" t="s">
        <v>23</v>
      </c>
      <c r="K326" s="135" t="s">
        <v>24</v>
      </c>
      <c r="L326" s="6" t="s">
        <v>166</v>
      </c>
      <c r="M326" s="93">
        <v>28</v>
      </c>
      <c r="N326" s="93">
        <v>60</v>
      </c>
      <c r="O326" s="6">
        <v>1</v>
      </c>
      <c r="P326" s="129">
        <v>2</v>
      </c>
      <c r="Q326" s="6">
        <v>244</v>
      </c>
      <c r="R326" s="98">
        <v>0.50019999999999998</v>
      </c>
      <c r="S326" s="94">
        <f>((Table3.110[[#This Row],[Sample weight, g]]*'2.1. DM'!Q97)/100)*1000</f>
        <v>473.26830290712786</v>
      </c>
      <c r="T326" s="94">
        <f>'3.2 Digest'!W326</f>
        <v>188.06830290712787</v>
      </c>
      <c r="U326" s="117">
        <v>0.35833333333333334</v>
      </c>
      <c r="V326" s="155">
        <v>40.5</v>
      </c>
      <c r="W326" s="117">
        <v>0.68263888888888891</v>
      </c>
      <c r="X326" s="97">
        <v>76</v>
      </c>
      <c r="Y326" s="97">
        <v>12.3</v>
      </c>
      <c r="Z326" s="155">
        <v>40</v>
      </c>
      <c r="AA326" s="117">
        <v>0.35625000000000001</v>
      </c>
      <c r="AB326" s="155">
        <v>71.5</v>
      </c>
      <c r="AC326" s="155">
        <v>17.899999999999999</v>
      </c>
      <c r="AD326" s="96"/>
      <c r="AE326" s="94">
        <f>Table3.110[[#This Row],[Gas 8h, ml]]-Table3.110[[#This Row],[Gas 0h, ml]]</f>
        <v>35.5</v>
      </c>
      <c r="AF326" s="94">
        <f>Table3.110[[#This Row],[Gas 24h, ml]]-Table3.110[[#This Row],[V8 Push back, ml]]</f>
        <v>31.5</v>
      </c>
      <c r="AG326" s="94">
        <f>Table3.110[[#This Row],[GP 8h, ml]]-(AVERAGE(AE$293,AE$294,AE$385,AE$386,AE$477,AE$478))*$AG$8</f>
        <v>34.246240428868305</v>
      </c>
      <c r="AH326" s="94">
        <f>Table3.110[[#This Row],[GP 8-24h, ml]]-(AVERAGE(AF$293,AF$294,AF$385,AF$386,AF$477,AF$478))*$AG$8</f>
        <v>29.508734798790837</v>
      </c>
      <c r="AI326" s="94">
        <f>Table3.110[[#This Row],[Net gas 8-24h, ml]]+Table3.110[[#This Row],[Net gas 8h, ml]]</f>
        <v>63.754975227659145</v>
      </c>
      <c r="AJ326" s="94">
        <f>Table3.110[[#This Row],[Net gas 8h, ml]]*Table3.110[[#This Row],[CH4 8h %]]%</f>
        <v>4.2122875727508022</v>
      </c>
      <c r="AK326" s="94">
        <f>Table3.110[[#This Row],[Net gas 8-24h, ml]]*Table3.110[[#This Row],[CH4 24h, %]]%</f>
        <v>5.2820635289835591</v>
      </c>
      <c r="AL326" s="94">
        <f>Table3.110[[#This Row],[CH4 8-24h, ml]]+Table3.110[[#This Row],[CH4 8h, ml]]</f>
        <v>9.4943511017343614</v>
      </c>
      <c r="AM326" s="94">
        <f>(Table3.110[[#This Row],[Net gas 24h, ml]]/Table3.110[[#This Row],[DM Incubated, mg]])*1000</f>
        <v>134.71211749452434</v>
      </c>
      <c r="AN326" s="94">
        <f>'3.2 Digest'!X326</f>
        <v>39.738199611486252</v>
      </c>
      <c r="AO326" s="94">
        <f>Table3.110[[#This Row],[Digested feed, mg]]/Table3.110[[#This Row],[Net gas 24h, ml]]</f>
        <v>2.9498608106357986</v>
      </c>
      <c r="AP326" s="94">
        <f>Table3.110[[#This Row],[CH4 8h, ml]]/Table3.110[[#This Row],[Net gas 8h, ml]]%</f>
        <v>12.300000000000002</v>
      </c>
      <c r="AQ326" s="94">
        <f>Table3.110[[#This Row],[CH4 24h, ml]]/Table3.110[[#This Row],[Net gas 24h, ml]]%</f>
        <v>14.891937559118333</v>
      </c>
      <c r="AR326" s="94">
        <f>Table3.110[[#This Row],[CH4 24h, ml]]/Table3.110[[#This Row],[DM Incubated, mg]]*1000</f>
        <v>20.061244421850688</v>
      </c>
      <c r="AS326" s="94">
        <f>Table3.110[[#This Row],[CH4 24h, ml]]/Table3.110[[#This Row],[Digested feed, mg]]*1000</f>
        <v>50.483526224102071</v>
      </c>
      <c r="AT326" s="94">
        <f>Table3.110[[#This Row],[CH4 24h, ml]]/'3.2 Digest'!AA326</f>
        <v>2.3109688598897891</v>
      </c>
      <c r="AU326" s="94">
        <f>((Table3.110[[#This Row],[CH4 24h, ml]]/28.9)*16.04)/Table3.110[[#This Row],[DM Incubated, mg]]*1000</f>
        <v>11.134337734480452</v>
      </c>
      <c r="AV326" s="94">
        <f>((Table3.110[[#This Row],[CH4 24h, ml]]/28.9)*16.04)/Table3.110[[#This Row],[Digested feed, mg]]*1000</f>
        <v>28.019230471785367</v>
      </c>
      <c r="AW326" s="303"/>
    </row>
    <row r="327" spans="1:49" s="304" customFormat="1" x14ac:dyDescent="0.35">
      <c r="A327" s="89"/>
      <c r="B327" s="90">
        <f t="shared" si="4"/>
        <v>317</v>
      </c>
      <c r="C327" s="140">
        <v>46048</v>
      </c>
      <c r="D327" s="6" t="s">
        <v>16</v>
      </c>
      <c r="E327" s="6" t="s">
        <v>167</v>
      </c>
      <c r="F327" s="133" t="s">
        <v>88</v>
      </c>
      <c r="G327" s="133" t="s">
        <v>168</v>
      </c>
      <c r="H327" s="133" t="s">
        <v>169</v>
      </c>
      <c r="I327" s="133" t="s">
        <v>22</v>
      </c>
      <c r="J327" s="135" t="s">
        <v>23</v>
      </c>
      <c r="K327" s="135" t="s">
        <v>24</v>
      </c>
      <c r="L327" s="6" t="s">
        <v>166</v>
      </c>
      <c r="M327" s="93">
        <v>28</v>
      </c>
      <c r="N327" s="93">
        <v>60</v>
      </c>
      <c r="O327" s="6">
        <v>1</v>
      </c>
      <c r="P327" s="129">
        <v>3</v>
      </c>
      <c r="Q327" s="6">
        <v>245</v>
      </c>
      <c r="R327" s="98">
        <v>0.50060000000000004</v>
      </c>
      <c r="S327" s="94">
        <f>((Table3.110[[#This Row],[Sample weight, g]]*'2.1. DM'!Q97)/100)*1000</f>
        <v>473.64676616415073</v>
      </c>
      <c r="T327" s="94">
        <f>'3.2 Digest'!W327</f>
        <v>184.74676616415081</v>
      </c>
      <c r="U327" s="153">
        <v>0.35833333333333334</v>
      </c>
      <c r="V327" s="154">
        <v>41</v>
      </c>
      <c r="W327" s="153">
        <v>0.68333333333333335</v>
      </c>
      <c r="X327" s="95">
        <v>75</v>
      </c>
      <c r="Y327" s="95">
        <v>12.8</v>
      </c>
      <c r="Z327" s="154">
        <v>40</v>
      </c>
      <c r="AA327" s="153">
        <v>0.35694444444444445</v>
      </c>
      <c r="AB327" s="154">
        <v>71.5</v>
      </c>
      <c r="AC327" s="154">
        <v>17.7</v>
      </c>
      <c r="AD327" s="91"/>
      <c r="AE327" s="94">
        <f>Table3.110[[#This Row],[Gas 8h, ml]]-Table3.110[[#This Row],[Gas 0h, ml]]</f>
        <v>34</v>
      </c>
      <c r="AF327" s="94">
        <f>Table3.110[[#This Row],[Gas 24h, ml]]-Table3.110[[#This Row],[V8 Push back, ml]]</f>
        <v>31.5</v>
      </c>
      <c r="AG327" s="94">
        <f>Table3.110[[#This Row],[GP 8h, ml]]-(AVERAGE(AE$293,AE$294,AE$385,AE$386,AE$477,AE$478))*$AG$8</f>
        <v>32.746240428868305</v>
      </c>
      <c r="AH327" s="94">
        <f>Table3.110[[#This Row],[GP 8-24h, ml]]-(AVERAGE(AF$293,AF$294,AF$385,AF$386,AF$477,AF$478))*$AG$8</f>
        <v>29.508734798790837</v>
      </c>
      <c r="AI327" s="94">
        <f>Table3.110[[#This Row],[Net gas 8-24h, ml]]+Table3.110[[#This Row],[Net gas 8h, ml]]</f>
        <v>62.254975227659145</v>
      </c>
      <c r="AJ327" s="94">
        <f>Table3.110[[#This Row],[Net gas 8h, ml]]*Table3.110[[#This Row],[CH4 8h %]]%</f>
        <v>4.191518774895143</v>
      </c>
      <c r="AK327" s="94">
        <f>Table3.110[[#This Row],[Net gas 8-24h, ml]]*Table3.110[[#This Row],[CH4 24h, %]]%</f>
        <v>5.223046059385978</v>
      </c>
      <c r="AL327" s="94">
        <f>Table3.110[[#This Row],[CH4 8-24h, ml]]+Table3.110[[#This Row],[CH4 8h, ml]]</f>
        <v>9.414564834281121</v>
      </c>
      <c r="AM327" s="94">
        <f>(Table3.110[[#This Row],[Net gas 24h, ml]]/Table3.110[[#This Row],[DM Incubated, mg]])*1000</f>
        <v>131.43755996020792</v>
      </c>
      <c r="AN327" s="94">
        <f>'3.2 Digest'!X327</f>
        <v>39.005178407599118</v>
      </c>
      <c r="AO327" s="94">
        <f>Table3.110[[#This Row],[Digested feed, mg]]/Table3.110[[#This Row],[Net gas 24h, ml]]</f>
        <v>2.9675823576919522</v>
      </c>
      <c r="AP327" s="94">
        <f>Table3.110[[#This Row],[CH4 8h, ml]]/Table3.110[[#This Row],[Net gas 8h, ml]]%</f>
        <v>12.799999999999999</v>
      </c>
      <c r="AQ327" s="94">
        <f>Table3.110[[#This Row],[CH4 24h, ml]]/Table3.110[[#This Row],[Net gas 24h, ml]]%</f>
        <v>15.122590282709391</v>
      </c>
      <c r="AR327" s="94">
        <f>Table3.110[[#This Row],[CH4 24h, ml]]/Table3.110[[#This Row],[DM Incubated, mg]]*1000</f>
        <v>19.876763670372736</v>
      </c>
      <c r="AS327" s="94">
        <f>Table3.110[[#This Row],[CH4 24h, ml]]/Table3.110[[#This Row],[Digested feed, mg]]*1000</f>
        <v>50.959294334365296</v>
      </c>
      <c r="AT327" s="94">
        <f>Table3.110[[#This Row],[CH4 24h, ml]]/'3.2 Digest'!AA327</f>
        <v>3.200093800391373</v>
      </c>
      <c r="AU327" s="94">
        <f>((Table3.110[[#This Row],[CH4 24h, ml]]/28.9)*16.04)/Table3.110[[#This Row],[DM Incubated, mg]]*1000</f>
        <v>11.031947725701682</v>
      </c>
      <c r="AV327" s="94">
        <f>((Table3.110[[#This Row],[CH4 24h, ml]]/28.9)*16.04)/Table3.110[[#This Row],[Digested feed, mg]]*1000</f>
        <v>28.283290004263645</v>
      </c>
      <c r="AW327" s="303"/>
    </row>
    <row r="328" spans="1:49" s="304" customFormat="1" x14ac:dyDescent="0.35">
      <c r="A328" s="89"/>
      <c r="B328" s="90">
        <f t="shared" si="4"/>
        <v>318</v>
      </c>
      <c r="C328" s="140">
        <v>46048</v>
      </c>
      <c r="D328" s="6" t="s">
        <v>16</v>
      </c>
      <c r="E328" s="6" t="s">
        <v>171</v>
      </c>
      <c r="F328" s="133" t="s">
        <v>88</v>
      </c>
      <c r="G328" s="133" t="s">
        <v>147</v>
      </c>
      <c r="H328" s="133" t="s">
        <v>148</v>
      </c>
      <c r="I328" s="133" t="s">
        <v>22</v>
      </c>
      <c r="J328" s="135" t="s">
        <v>23</v>
      </c>
      <c r="K328" s="135" t="s">
        <v>24</v>
      </c>
      <c r="L328" s="6" t="s">
        <v>170</v>
      </c>
      <c r="M328" s="93">
        <v>28</v>
      </c>
      <c r="N328" s="93">
        <v>60</v>
      </c>
      <c r="O328" s="6">
        <v>1</v>
      </c>
      <c r="P328" s="6">
        <v>1</v>
      </c>
      <c r="Q328" s="6">
        <v>246</v>
      </c>
      <c r="R328" s="98">
        <v>0.5</v>
      </c>
      <c r="S328" s="94">
        <f>((Table3.110[[#This Row],[Sample weight, g]]*'2.1. DM'!Q99)/100)*1000</f>
        <v>473.93406521830326</v>
      </c>
      <c r="T328" s="94">
        <f>'3.2 Digest'!W328</f>
        <v>178.63406521830325</v>
      </c>
      <c r="U328" s="117">
        <v>0.35902777777777778</v>
      </c>
      <c r="V328" s="155">
        <v>41.5</v>
      </c>
      <c r="W328" s="117">
        <v>0.68333333333333335</v>
      </c>
      <c r="X328" s="97">
        <v>61</v>
      </c>
      <c r="Y328" s="97">
        <v>10.199999999999999</v>
      </c>
      <c r="Z328" s="155">
        <v>40</v>
      </c>
      <c r="AA328" s="117">
        <v>0.3576388888888889</v>
      </c>
      <c r="AB328" s="155">
        <v>59.5</v>
      </c>
      <c r="AC328" s="155">
        <v>12.3</v>
      </c>
      <c r="AD328" s="96"/>
      <c r="AE328" s="94">
        <f>Table3.110[[#This Row],[Gas 8h, ml]]-Table3.110[[#This Row],[Gas 0h, ml]]</f>
        <v>19.5</v>
      </c>
      <c r="AF328" s="94">
        <f>Table3.110[[#This Row],[Gas 24h, ml]]-Table3.110[[#This Row],[V8 Push back, ml]]</f>
        <v>19.5</v>
      </c>
      <c r="AG328" s="94">
        <f>Table3.110[[#This Row],[GP 8h, ml]]-(AVERAGE(AE$293,AE$294,AE$385,AE$386,AE$477,AE$478))*$AG$8</f>
        <v>18.246240428868305</v>
      </c>
      <c r="AH328" s="94">
        <f>Table3.110[[#This Row],[GP 8-24h, ml]]-(AVERAGE(AF$293,AF$294,AF$385,AF$386,AF$477,AF$478))*$AG$8</f>
        <v>17.508734798790837</v>
      </c>
      <c r="AI328" s="94">
        <f>Table3.110[[#This Row],[Net gas 8-24h, ml]]+Table3.110[[#This Row],[Net gas 8h, ml]]</f>
        <v>35.754975227659145</v>
      </c>
      <c r="AJ328" s="94">
        <f>Table3.110[[#This Row],[Net gas 8h, ml]]*Table3.110[[#This Row],[CH4 8h %]]%</f>
        <v>1.861116523744567</v>
      </c>
      <c r="AK328" s="94">
        <f>Table3.110[[#This Row],[Net gas 8-24h, ml]]*Table3.110[[#This Row],[CH4 24h, %]]%</f>
        <v>2.153574380251273</v>
      </c>
      <c r="AL328" s="94">
        <f>Table3.110[[#This Row],[CH4 8-24h, ml]]+Table3.110[[#This Row],[CH4 8h, ml]]</f>
        <v>4.0146909039958398</v>
      </c>
      <c r="AM328" s="94">
        <f>(Table3.110[[#This Row],[Net gas 24h, ml]]/Table3.110[[#This Row],[DM Incubated, mg]])*1000</f>
        <v>75.442931520842905</v>
      </c>
      <c r="AN328" s="94">
        <f>'3.2 Digest'!X328</f>
        <v>37.691754682377791</v>
      </c>
      <c r="AO328" s="94">
        <f>Table3.110[[#This Row],[Digested feed, mg]]/Table3.110[[#This Row],[Net gas 24h, ml]]</f>
        <v>4.996061781078132</v>
      </c>
      <c r="AP328" s="94">
        <f>Table3.110[[#This Row],[CH4 8h, ml]]/Table3.110[[#This Row],[Net gas 8h, ml]]%</f>
        <v>10.199999999999999</v>
      </c>
      <c r="AQ328" s="94">
        <f>Table3.110[[#This Row],[CH4 24h, ml]]/Table3.110[[#This Row],[Net gas 24h, ml]]%</f>
        <v>11.228342009562283</v>
      </c>
      <c r="AR328" s="94">
        <f>Table3.110[[#This Row],[CH4 24h, ml]]/Table3.110[[#This Row],[DM Incubated, mg]]*1000</f>
        <v>8.4709903732001095</v>
      </c>
      <c r="AS328" s="94">
        <f>Table3.110[[#This Row],[CH4 24h, ml]]/Table3.110[[#This Row],[Digested feed, mg]]*1000</f>
        <v>22.47438582943073</v>
      </c>
      <c r="AT328" s="94">
        <f>Table3.110[[#This Row],[CH4 24h, ml]]/'3.2 Digest'!AA328</f>
        <v>-0.21149414812944903</v>
      </c>
      <c r="AU328" s="94">
        <f>((Table3.110[[#This Row],[CH4 24h, ml]]/28.9)*16.04)/Table3.110[[#This Row],[DM Incubated, mg]]*1000</f>
        <v>4.7015462140529323</v>
      </c>
      <c r="AV328" s="94">
        <f>((Table3.110[[#This Row],[CH4 24h, ml]]/28.9)*16.04)/Table3.110[[#This Row],[Digested feed, mg]]*1000</f>
        <v>12.473672965538716</v>
      </c>
      <c r="AW328" s="303"/>
    </row>
    <row r="329" spans="1:49" s="304" customFormat="1" x14ac:dyDescent="0.35">
      <c r="A329" s="89"/>
      <c r="B329" s="90">
        <f t="shared" si="4"/>
        <v>319</v>
      </c>
      <c r="C329" s="140">
        <v>46048</v>
      </c>
      <c r="D329" s="6" t="s">
        <v>16</v>
      </c>
      <c r="E329" s="6" t="s">
        <v>171</v>
      </c>
      <c r="F329" s="133" t="s">
        <v>88</v>
      </c>
      <c r="G329" s="133" t="s">
        <v>147</v>
      </c>
      <c r="H329" s="133" t="s">
        <v>148</v>
      </c>
      <c r="I329" s="133" t="s">
        <v>22</v>
      </c>
      <c r="J329" s="135" t="s">
        <v>23</v>
      </c>
      <c r="K329" s="135" t="s">
        <v>24</v>
      </c>
      <c r="L329" s="6" t="s">
        <v>170</v>
      </c>
      <c r="M329" s="93">
        <v>28</v>
      </c>
      <c r="N329" s="93">
        <v>60</v>
      </c>
      <c r="O329" s="6">
        <v>1</v>
      </c>
      <c r="P329" s="129">
        <v>2</v>
      </c>
      <c r="Q329" s="6">
        <v>247</v>
      </c>
      <c r="R329" s="98">
        <v>0.50009999999999999</v>
      </c>
      <c r="S329" s="94">
        <f>((Table3.110[[#This Row],[Sample weight, g]]*'2.1. DM'!Q99)/100)*1000</f>
        <v>474.0288520313469</v>
      </c>
      <c r="T329" s="94">
        <f>'3.2 Digest'!W329</f>
        <v>170.3288520313468</v>
      </c>
      <c r="U329" s="153">
        <v>0.35902777777777778</v>
      </c>
      <c r="V329" s="154">
        <v>41.5</v>
      </c>
      <c r="W329" s="153">
        <v>0.68402777777777779</v>
      </c>
      <c r="X329" s="95">
        <v>61.5</v>
      </c>
      <c r="Y329" s="95">
        <v>10</v>
      </c>
      <c r="Z329" s="154">
        <v>40</v>
      </c>
      <c r="AA329" s="153">
        <v>0.35833333333333334</v>
      </c>
      <c r="AB329" s="154">
        <v>59.5</v>
      </c>
      <c r="AC329" s="154">
        <v>10.9</v>
      </c>
      <c r="AD329" s="91"/>
      <c r="AE329" s="94">
        <f>Table3.110[[#This Row],[Gas 8h, ml]]-Table3.110[[#This Row],[Gas 0h, ml]]</f>
        <v>20</v>
      </c>
      <c r="AF329" s="94">
        <f>Table3.110[[#This Row],[Gas 24h, ml]]-Table3.110[[#This Row],[V8 Push back, ml]]</f>
        <v>19.5</v>
      </c>
      <c r="AG329" s="94">
        <f>Table3.110[[#This Row],[GP 8h, ml]]-(AVERAGE(AE$293,AE$294,AE$385,AE$386,AE$477,AE$478))*$AG$8</f>
        <v>18.746240428868305</v>
      </c>
      <c r="AH329" s="94">
        <f>Table3.110[[#This Row],[GP 8-24h, ml]]-(AVERAGE(AF$293,AF$294,AF$385,AF$386,AF$477,AF$478))*$AG$8</f>
        <v>17.508734798790837</v>
      </c>
      <c r="AI329" s="94">
        <f>Table3.110[[#This Row],[Net gas 8-24h, ml]]+Table3.110[[#This Row],[Net gas 8h, ml]]</f>
        <v>36.254975227659145</v>
      </c>
      <c r="AJ329" s="94">
        <f>Table3.110[[#This Row],[Net gas 8h, ml]]*Table3.110[[#This Row],[CH4 8h %]]%</f>
        <v>1.8746240428868306</v>
      </c>
      <c r="AK329" s="94">
        <f>Table3.110[[#This Row],[Net gas 8-24h, ml]]*Table3.110[[#This Row],[CH4 24h, %]]%</f>
        <v>1.9084520930682012</v>
      </c>
      <c r="AL329" s="94">
        <f>Table3.110[[#This Row],[CH4 8-24h, ml]]+Table3.110[[#This Row],[CH4 8h, ml]]</f>
        <v>3.7830761359550316</v>
      </c>
      <c r="AM329" s="94">
        <f>(Table3.110[[#This Row],[Net gas 24h, ml]]/Table3.110[[#This Row],[DM Incubated, mg]])*1000</f>
        <v>76.482634068150887</v>
      </c>
      <c r="AN329" s="94">
        <f>'3.2 Digest'!X329</f>
        <v>35.932169803892691</v>
      </c>
      <c r="AO329" s="94">
        <f>Table3.110[[#This Row],[Digested feed, mg]]/Table3.110[[#This Row],[Net gas 24h, ml]]</f>
        <v>4.6980821518091087</v>
      </c>
      <c r="AP329" s="94">
        <f>Table3.110[[#This Row],[CH4 8h, ml]]/Table3.110[[#This Row],[Net gas 8h, ml]]%</f>
        <v>10</v>
      </c>
      <c r="AQ329" s="94">
        <f>Table3.110[[#This Row],[CH4 24h, ml]]/Table3.110[[#This Row],[Net gas 24h, ml]]%</f>
        <v>10.434639969272132</v>
      </c>
      <c r="AR329" s="94">
        <f>Table3.110[[#This Row],[CH4 24h, ml]]/Table3.110[[#This Row],[DM Incubated, mg]]*1000</f>
        <v>7.9806875040274168</v>
      </c>
      <c r="AS329" s="94">
        <f>Table3.110[[#This Row],[CH4 24h, ml]]/Table3.110[[#This Row],[Digested feed, mg]]*1000</f>
        <v>22.210424662868071</v>
      </c>
      <c r="AT329" s="94">
        <f>Table3.110[[#This Row],[CH4 24h, ml]]/'3.2 Digest'!AA329</f>
        <v>-0.16932135257285921</v>
      </c>
      <c r="AU329" s="94">
        <f>((Table3.110[[#This Row],[CH4 24h, ml]]/28.9)*16.04)/Table3.110[[#This Row],[DM Incubated, mg]]*1000</f>
        <v>4.4294196389134868</v>
      </c>
      <c r="AV329" s="94">
        <f>((Table3.110[[#This Row],[CH4 24h, ml]]/28.9)*16.04)/Table3.110[[#This Row],[Digested feed, mg]]*1000</f>
        <v>12.32716995129425</v>
      </c>
      <c r="AW329" s="303"/>
    </row>
    <row r="330" spans="1:49" s="304" customFormat="1" x14ac:dyDescent="0.35">
      <c r="A330" s="89"/>
      <c r="B330" s="90">
        <f t="shared" si="4"/>
        <v>320</v>
      </c>
      <c r="C330" s="140">
        <v>46048</v>
      </c>
      <c r="D330" s="6" t="s">
        <v>16</v>
      </c>
      <c r="E330" s="6" t="s">
        <v>171</v>
      </c>
      <c r="F330" s="133" t="s">
        <v>88</v>
      </c>
      <c r="G330" s="133" t="s">
        <v>147</v>
      </c>
      <c r="H330" s="133" t="s">
        <v>148</v>
      </c>
      <c r="I330" s="133" t="s">
        <v>22</v>
      </c>
      <c r="J330" s="135" t="s">
        <v>23</v>
      </c>
      <c r="K330" s="135" t="s">
        <v>24</v>
      </c>
      <c r="L330" s="6" t="s">
        <v>170</v>
      </c>
      <c r="M330" s="93">
        <v>28</v>
      </c>
      <c r="N330" s="93">
        <v>60</v>
      </c>
      <c r="O330" s="6">
        <v>1</v>
      </c>
      <c r="P330" s="129">
        <v>3</v>
      </c>
      <c r="Q330" s="6">
        <v>248</v>
      </c>
      <c r="R330" s="98">
        <v>0.50029999999999997</v>
      </c>
      <c r="S330" s="94">
        <f>((Table3.110[[#This Row],[Sample weight, g]]*'2.1. DM'!Q99)/100)*1000</f>
        <v>474.2184256574343</v>
      </c>
      <c r="T330" s="94">
        <f>'3.2 Digest'!W330</f>
        <v>145.01842565743436</v>
      </c>
      <c r="U330" s="117">
        <v>0.35972222222222222</v>
      </c>
      <c r="V330" s="155">
        <v>41.5</v>
      </c>
      <c r="W330" s="117">
        <v>0.68472222222222223</v>
      </c>
      <c r="X330" s="97">
        <v>60.5</v>
      </c>
      <c r="Y330" s="97">
        <v>10.5</v>
      </c>
      <c r="Z330" s="155">
        <v>40</v>
      </c>
      <c r="AA330" s="117">
        <v>0.35833333333333334</v>
      </c>
      <c r="AB330" s="155">
        <v>60.5</v>
      </c>
      <c r="AC330" s="155">
        <v>10.7</v>
      </c>
      <c r="AD330" s="96"/>
      <c r="AE330" s="94">
        <f>Table3.110[[#This Row],[Gas 8h, ml]]-Table3.110[[#This Row],[Gas 0h, ml]]</f>
        <v>19</v>
      </c>
      <c r="AF330" s="94">
        <f>Table3.110[[#This Row],[Gas 24h, ml]]-Table3.110[[#This Row],[V8 Push back, ml]]</f>
        <v>20.5</v>
      </c>
      <c r="AG330" s="94">
        <f>Table3.110[[#This Row],[GP 8h, ml]]-(AVERAGE(AE$293,AE$294,AE$385,AE$386,AE$477,AE$478))*$AG$8</f>
        <v>17.746240428868305</v>
      </c>
      <c r="AH330" s="94">
        <f>Table3.110[[#This Row],[GP 8-24h, ml]]-(AVERAGE(AF$293,AF$294,AF$385,AF$386,AF$477,AF$478))*$AG$8</f>
        <v>18.508734798790837</v>
      </c>
      <c r="AI330" s="94">
        <f>Table3.110[[#This Row],[Net gas 8-24h, ml]]+Table3.110[[#This Row],[Net gas 8h, ml]]</f>
        <v>36.254975227659145</v>
      </c>
      <c r="AJ330" s="94">
        <f>Table3.110[[#This Row],[Net gas 8h, ml]]*Table3.110[[#This Row],[CH4 8h %]]%</f>
        <v>1.8633552450311719</v>
      </c>
      <c r="AK330" s="94">
        <f>Table3.110[[#This Row],[Net gas 8-24h, ml]]*Table3.110[[#This Row],[CH4 24h, %]]%</f>
        <v>1.9804346234706194</v>
      </c>
      <c r="AL330" s="94">
        <f>Table3.110[[#This Row],[CH4 8-24h, ml]]+Table3.110[[#This Row],[CH4 8h, ml]]</f>
        <v>3.8437898685017915</v>
      </c>
      <c r="AM330" s="94">
        <f>(Table3.110[[#This Row],[Net gas 24h, ml]]/Table3.110[[#This Row],[DM Incubated, mg]])*1000</f>
        <v>76.45205935934888</v>
      </c>
      <c r="AN330" s="94">
        <f>'3.2 Digest'!X330</f>
        <v>30.580512652241971</v>
      </c>
      <c r="AO330" s="94">
        <f>Table3.110[[#This Row],[Digested feed, mg]]/Table3.110[[#This Row],[Net gas 24h, ml]]</f>
        <v>3.9999593089446908</v>
      </c>
      <c r="AP330" s="94">
        <f>Table3.110[[#This Row],[CH4 8h, ml]]/Table3.110[[#This Row],[Net gas 8h, ml]]%</f>
        <v>10.5</v>
      </c>
      <c r="AQ330" s="94">
        <f>Table3.110[[#This Row],[CH4 24h, ml]]/Table3.110[[#This Row],[Net gas 24h, ml]]%</f>
        <v>10.602103144093007</v>
      </c>
      <c r="AR330" s="94">
        <f>Table3.110[[#This Row],[CH4 24h, ml]]/Table3.110[[#This Row],[DM Incubated, mg]]*1000</f>
        <v>8.105526189061381</v>
      </c>
      <c r="AS330" s="94">
        <f>Table3.110[[#This Row],[CH4 24h, ml]]/Table3.110[[#This Row],[Digested feed, mg]]*1000</f>
        <v>26.505527494703841</v>
      </c>
      <c r="AT330" s="94">
        <f>Table3.110[[#This Row],[CH4 24h, ml]]/'3.2 Digest'!AA330</f>
        <v>-0.11804528671880897</v>
      </c>
      <c r="AU330" s="94">
        <f>((Table3.110[[#This Row],[CH4 24h, ml]]/28.9)*16.04)/Table3.110[[#This Row],[DM Incubated, mg]]*1000</f>
        <v>4.4987072689461787</v>
      </c>
      <c r="AV330" s="94">
        <f>((Table3.110[[#This Row],[CH4 24h, ml]]/28.9)*16.04)/Table3.110[[#This Row],[Digested feed, mg]]*1000</f>
        <v>14.71102633270068</v>
      </c>
      <c r="AW330" s="303"/>
    </row>
    <row r="331" spans="1:49" s="304" customFormat="1" x14ac:dyDescent="0.35">
      <c r="A331" s="89"/>
      <c r="B331" s="90">
        <f t="shared" si="4"/>
        <v>321</v>
      </c>
      <c r="C331" s="140">
        <v>46048</v>
      </c>
      <c r="D331" s="6" t="s">
        <v>16</v>
      </c>
      <c r="E331" s="6" t="s">
        <v>173</v>
      </c>
      <c r="F331" s="133" t="s">
        <v>99</v>
      </c>
      <c r="G331" s="133" t="s">
        <v>100</v>
      </c>
      <c r="H331" s="133" t="s">
        <v>101</v>
      </c>
      <c r="I331" s="133" t="s">
        <v>22</v>
      </c>
      <c r="J331" s="135" t="s">
        <v>23</v>
      </c>
      <c r="K331" s="135" t="s">
        <v>24</v>
      </c>
      <c r="L331" s="6" t="s">
        <v>172</v>
      </c>
      <c r="M331" s="93">
        <v>28</v>
      </c>
      <c r="N331" s="93">
        <v>60</v>
      </c>
      <c r="O331" s="6">
        <v>1</v>
      </c>
      <c r="P331" s="6">
        <v>1</v>
      </c>
      <c r="Q331" s="6">
        <v>249</v>
      </c>
      <c r="R331" s="98">
        <v>0.50060000000000004</v>
      </c>
      <c r="S331" s="94">
        <f>((Table3.110[[#This Row],[Sample weight, g]]*'2.1. DM'!Q101)/100)*1000</f>
        <v>469.09824677746616</v>
      </c>
      <c r="T331" s="94">
        <f>'3.2 Digest'!W331</f>
        <v>239.49824677746614</v>
      </c>
      <c r="U331" s="153">
        <v>0.36041666666666666</v>
      </c>
      <c r="V331" s="154">
        <v>41</v>
      </c>
      <c r="W331" s="153">
        <v>0.68472222222222223</v>
      </c>
      <c r="X331" s="95">
        <v>74.5</v>
      </c>
      <c r="Y331" s="95">
        <v>10.4</v>
      </c>
      <c r="Z331" s="154">
        <v>40</v>
      </c>
      <c r="AA331" s="153">
        <v>0.35902777777777778</v>
      </c>
      <c r="AB331" s="154">
        <v>76.5</v>
      </c>
      <c r="AC331" s="154">
        <v>13.6</v>
      </c>
      <c r="AD331" s="91"/>
      <c r="AE331" s="94">
        <f>Table3.110[[#This Row],[Gas 8h, ml]]-Table3.110[[#This Row],[Gas 0h, ml]]</f>
        <v>33.5</v>
      </c>
      <c r="AF331" s="94">
        <f>Table3.110[[#This Row],[Gas 24h, ml]]-Table3.110[[#This Row],[V8 Push back, ml]]</f>
        <v>36.5</v>
      </c>
      <c r="AG331" s="94">
        <f>Table3.110[[#This Row],[GP 8h, ml]]-(AVERAGE(AE$293,AE$294,AE$385,AE$386,AE$477,AE$478))*$AG$8</f>
        <v>32.246240428868305</v>
      </c>
      <c r="AH331" s="94">
        <f>Table3.110[[#This Row],[GP 8-24h, ml]]-(AVERAGE(AF$293,AF$294,AF$385,AF$386,AF$477,AF$478))*$AG$8</f>
        <v>34.50873479879084</v>
      </c>
      <c r="AI331" s="94">
        <f>Table3.110[[#This Row],[Net gas 8-24h, ml]]+Table3.110[[#This Row],[Net gas 8h, ml]]</f>
        <v>66.754975227659145</v>
      </c>
      <c r="AJ331" s="94">
        <f>Table3.110[[#This Row],[Net gas 8h, ml]]*Table3.110[[#This Row],[CH4 8h %]]%</f>
        <v>3.3536090046023039</v>
      </c>
      <c r="AK331" s="94">
        <f>Table3.110[[#This Row],[Net gas 8-24h, ml]]*Table3.110[[#This Row],[CH4 24h, %]]%</f>
        <v>4.6931879326355546</v>
      </c>
      <c r="AL331" s="94">
        <f>Table3.110[[#This Row],[CH4 8-24h, ml]]+Table3.110[[#This Row],[CH4 8h, ml]]</f>
        <v>8.0467969372378576</v>
      </c>
      <c r="AM331" s="94">
        <f>(Table3.110[[#This Row],[Net gas 24h, ml]]/Table3.110[[#This Row],[DM Incubated, mg]])*1000</f>
        <v>142.30489174973786</v>
      </c>
      <c r="AN331" s="94">
        <f>'3.2 Digest'!X331</f>
        <v>51.055029180503595</v>
      </c>
      <c r="AO331" s="94">
        <f>Table3.110[[#This Row],[Digested feed, mg]]/Table3.110[[#This Row],[Net gas 24h, ml]]</f>
        <v>3.5877213040779146</v>
      </c>
      <c r="AP331" s="94">
        <f>Table3.110[[#This Row],[CH4 8h, ml]]/Table3.110[[#This Row],[Net gas 8h, ml]]%</f>
        <v>10.4</v>
      </c>
      <c r="AQ331" s="94">
        <f>Table3.110[[#This Row],[CH4 24h, ml]]/Table3.110[[#This Row],[Net gas 24h, ml]]%</f>
        <v>12.054228032884899</v>
      </c>
      <c r="AR331" s="94">
        <f>Table3.110[[#This Row],[CH4 24h, ml]]/Table3.110[[#This Row],[DM Incubated, mg]]*1000</f>
        <v>17.153756153463412</v>
      </c>
      <c r="AS331" s="94">
        <f>Table3.110[[#This Row],[CH4 24h, ml]]/Table3.110[[#This Row],[Digested feed, mg]]*1000</f>
        <v>33.598563018770967</v>
      </c>
      <c r="AT331" s="94">
        <f>Table3.110[[#This Row],[CH4 24h, ml]]/'3.2 Digest'!AA331</f>
        <v>0.59056869174513826</v>
      </c>
      <c r="AU331" s="94">
        <f>((Table3.110[[#This Row],[CH4 24h, ml]]/28.9)*16.04)/Table3.110[[#This Row],[DM Incubated, mg]]*1000</f>
        <v>9.5206314429603154</v>
      </c>
      <c r="AV331" s="94">
        <f>((Table3.110[[#This Row],[CH4 24h, ml]]/28.9)*16.04)/Table3.110[[#This Row],[Digested feed, mg]]*1000</f>
        <v>18.647783765435516</v>
      </c>
      <c r="AW331" s="303"/>
    </row>
    <row r="332" spans="1:49" s="304" customFormat="1" x14ac:dyDescent="0.35">
      <c r="A332" s="89"/>
      <c r="B332" s="90">
        <f t="shared" ref="B332:B395" si="5">B331+1</f>
        <v>322</v>
      </c>
      <c r="C332" s="140">
        <v>46048</v>
      </c>
      <c r="D332" s="6" t="s">
        <v>16</v>
      </c>
      <c r="E332" s="6" t="s">
        <v>173</v>
      </c>
      <c r="F332" s="133" t="s">
        <v>99</v>
      </c>
      <c r="G332" s="133" t="s">
        <v>100</v>
      </c>
      <c r="H332" s="133" t="s">
        <v>101</v>
      </c>
      <c r="I332" s="133" t="s">
        <v>22</v>
      </c>
      <c r="J332" s="135" t="s">
        <v>23</v>
      </c>
      <c r="K332" s="135" t="s">
        <v>24</v>
      </c>
      <c r="L332" s="6" t="s">
        <v>172</v>
      </c>
      <c r="M332" s="93">
        <v>28</v>
      </c>
      <c r="N332" s="93">
        <v>60</v>
      </c>
      <c r="O332" s="6">
        <v>1</v>
      </c>
      <c r="P332" s="129">
        <v>2</v>
      </c>
      <c r="Q332" s="6">
        <v>250</v>
      </c>
      <c r="R332" s="98">
        <v>0.50039999999999996</v>
      </c>
      <c r="S332" s="94">
        <f>((Table3.110[[#This Row],[Sample weight, g]]*'2.1. DM'!Q101)/100)*1000</f>
        <v>468.91083237603681</v>
      </c>
      <c r="T332" s="94">
        <f>'3.2 Digest'!W332</f>
        <v>226.1108323760368</v>
      </c>
      <c r="U332" s="117">
        <v>0.36041666666666666</v>
      </c>
      <c r="V332" s="155">
        <v>41</v>
      </c>
      <c r="W332" s="117">
        <v>0.68541666666666667</v>
      </c>
      <c r="X332" s="97">
        <v>75.5</v>
      </c>
      <c r="Y332" s="97">
        <v>10.6</v>
      </c>
      <c r="Z332" s="155">
        <v>40</v>
      </c>
      <c r="AA332" s="117">
        <v>0.35902777777777778</v>
      </c>
      <c r="AB332" s="155">
        <v>76</v>
      </c>
      <c r="AC332" s="155">
        <v>14.1</v>
      </c>
      <c r="AD332" s="96" t="s">
        <v>561</v>
      </c>
      <c r="AE332" s="94">
        <f>Table3.110[[#This Row],[Gas 8h, ml]]-Table3.110[[#This Row],[Gas 0h, ml]]</f>
        <v>34.5</v>
      </c>
      <c r="AF332" s="94">
        <f>Table3.110[[#This Row],[Gas 24h, ml]]-Table3.110[[#This Row],[V8 Push back, ml]]</f>
        <v>36</v>
      </c>
      <c r="AG332" s="94">
        <f>Table3.110[[#This Row],[GP 8h, ml]]-(AVERAGE(AE$293,AE$294,AE$385,AE$386,AE$477,AE$478))*$AG$8</f>
        <v>33.246240428868305</v>
      </c>
      <c r="AH332" s="94">
        <f>Table3.110[[#This Row],[GP 8-24h, ml]]-(AVERAGE(AF$293,AF$294,AF$385,AF$386,AF$477,AF$478))*$AG$8</f>
        <v>34.00873479879084</v>
      </c>
      <c r="AI332" s="94">
        <f>Table3.110[[#This Row],[Net gas 8-24h, ml]]+Table3.110[[#This Row],[Net gas 8h, ml]]</f>
        <v>67.254975227659145</v>
      </c>
      <c r="AJ332" s="94">
        <f>Table3.110[[#This Row],[Net gas 8h, ml]]*Table3.110[[#This Row],[CH4 8h %]]%</f>
        <v>3.5241014854600401</v>
      </c>
      <c r="AK332" s="94">
        <f>Table3.110[[#This Row],[Net gas 8-24h, ml]]*Table3.110[[#This Row],[CH4 24h, %]]%</f>
        <v>4.7952316066295078</v>
      </c>
      <c r="AL332" s="94">
        <f>Table3.110[[#This Row],[CH4 8-24h, ml]]+Table3.110[[#This Row],[CH4 8h, ml]]</f>
        <v>8.319333092089547</v>
      </c>
      <c r="AM332" s="94">
        <f>(Table3.110[[#This Row],[Net gas 24h, ml]]/Table3.110[[#This Row],[DM Incubated, mg]])*1000</f>
        <v>143.42806901446227</v>
      </c>
      <c r="AN332" s="94">
        <f>'3.2 Digest'!X332</f>
        <v>48.220432705787914</v>
      </c>
      <c r="AO332" s="94">
        <f>Table3.110[[#This Row],[Digested feed, mg]]/Table3.110[[#This Row],[Net gas 24h, ml]]</f>
        <v>3.3619941366515724</v>
      </c>
      <c r="AP332" s="94">
        <f>Table3.110[[#This Row],[CH4 8h, ml]]/Table3.110[[#This Row],[Net gas 8h, ml]]%</f>
        <v>10.6</v>
      </c>
      <c r="AQ332" s="94">
        <f>Table3.110[[#This Row],[CH4 24h, ml]]/Table3.110[[#This Row],[Net gas 24h, ml]]%</f>
        <v>12.36984039311363</v>
      </c>
      <c r="AR332" s="94">
        <f>Table3.110[[#This Row],[CH4 24h, ml]]/Table3.110[[#This Row],[DM Incubated, mg]]*1000</f>
        <v>17.741823216013845</v>
      </c>
      <c r="AS332" s="94">
        <f>Table3.110[[#This Row],[CH4 24h, ml]]/Table3.110[[#This Row],[Digested feed, mg]]*1000</f>
        <v>36.793164682415409</v>
      </c>
      <c r="AT332" s="94">
        <f>Table3.110[[#This Row],[CH4 24h, ml]]/'3.2 Digest'!AA332</f>
        <v>0.96475974035674872</v>
      </c>
      <c r="AU332" s="94">
        <f>((Table3.110[[#This Row],[CH4 24h, ml]]/28.9)*16.04)/Table3.110[[#This Row],[DM Incubated, mg]]*1000</f>
        <v>9.8470188368464378</v>
      </c>
      <c r="AV332" s="94">
        <f>((Table3.110[[#This Row],[CH4 24h, ml]]/28.9)*16.04)/Table3.110[[#This Row],[Digested feed, mg]]*1000</f>
        <v>20.420842958683153</v>
      </c>
      <c r="AW332" s="303"/>
    </row>
    <row r="333" spans="1:49" s="304" customFormat="1" x14ac:dyDescent="0.35">
      <c r="A333" s="89"/>
      <c r="B333" s="90">
        <f t="shared" si="5"/>
        <v>323</v>
      </c>
      <c r="C333" s="140">
        <v>46048</v>
      </c>
      <c r="D333" s="6" t="s">
        <v>16</v>
      </c>
      <c r="E333" s="6" t="s">
        <v>173</v>
      </c>
      <c r="F333" s="133" t="s">
        <v>99</v>
      </c>
      <c r="G333" s="133" t="s">
        <v>100</v>
      </c>
      <c r="H333" s="133" t="s">
        <v>101</v>
      </c>
      <c r="I333" s="133" t="s">
        <v>22</v>
      </c>
      <c r="J333" s="135" t="s">
        <v>23</v>
      </c>
      <c r="K333" s="135" t="s">
        <v>24</v>
      </c>
      <c r="L333" s="6" t="s">
        <v>172</v>
      </c>
      <c r="M333" s="93">
        <v>28</v>
      </c>
      <c r="N333" s="93">
        <v>60</v>
      </c>
      <c r="O333" s="6">
        <v>1</v>
      </c>
      <c r="P333" s="129">
        <v>3</v>
      </c>
      <c r="Q333" s="6">
        <v>251</v>
      </c>
      <c r="R333" s="98">
        <v>0.50009999999999999</v>
      </c>
      <c r="S333" s="94">
        <f>((Table3.110[[#This Row],[Sample weight, g]]*'2.1. DM'!Q101)/100)*1000</f>
        <v>468.6297107738929</v>
      </c>
      <c r="T333" s="94">
        <f>'3.2 Digest'!W333</f>
        <v>169.72971077389298</v>
      </c>
      <c r="U333" s="153">
        <v>0.36041666666666666</v>
      </c>
      <c r="V333" s="154">
        <v>41</v>
      </c>
      <c r="W333" s="153">
        <v>0.68611111111111112</v>
      </c>
      <c r="X333" s="95">
        <v>73.5</v>
      </c>
      <c r="Y333" s="95">
        <v>10.8</v>
      </c>
      <c r="Z333" s="154">
        <v>40</v>
      </c>
      <c r="AA333" s="153">
        <v>0.35902777777777778</v>
      </c>
      <c r="AB333" s="154">
        <v>75.5</v>
      </c>
      <c r="AC333" s="154">
        <v>14.3</v>
      </c>
      <c r="AD333" s="91"/>
      <c r="AE333" s="94">
        <f>Table3.110[[#This Row],[Gas 8h, ml]]-Table3.110[[#This Row],[Gas 0h, ml]]</f>
        <v>32.5</v>
      </c>
      <c r="AF333" s="94">
        <f>Table3.110[[#This Row],[Gas 24h, ml]]-Table3.110[[#This Row],[V8 Push back, ml]]</f>
        <v>35.5</v>
      </c>
      <c r="AG333" s="94">
        <f>Table3.110[[#This Row],[GP 8h, ml]]-(AVERAGE(AE$293,AE$294,AE$385,AE$386,AE$477,AE$478))*$AG$8</f>
        <v>31.246240428868305</v>
      </c>
      <c r="AH333" s="94">
        <f>Table3.110[[#This Row],[GP 8-24h, ml]]-(AVERAGE(AF$293,AF$294,AF$385,AF$386,AF$477,AF$478))*$AG$8</f>
        <v>33.50873479879084</v>
      </c>
      <c r="AI333" s="94">
        <f>Table3.110[[#This Row],[Net gas 8-24h, ml]]+Table3.110[[#This Row],[Net gas 8h, ml]]</f>
        <v>64.754975227659145</v>
      </c>
      <c r="AJ333" s="94">
        <f>Table3.110[[#This Row],[Net gas 8h, ml]]*Table3.110[[#This Row],[CH4 8h %]]%</f>
        <v>3.3745939663177773</v>
      </c>
      <c r="AK333" s="94">
        <f>Table3.110[[#This Row],[Net gas 8-24h, ml]]*Table3.110[[#This Row],[CH4 24h, %]]%</f>
        <v>4.7917490762270907</v>
      </c>
      <c r="AL333" s="94">
        <f>Table3.110[[#This Row],[CH4 8-24h, ml]]+Table3.110[[#This Row],[CH4 8h, ml]]</f>
        <v>8.1663430425448684</v>
      </c>
      <c r="AM333" s="94">
        <f>(Table3.110[[#This Row],[Net gas 24h, ml]]/Table3.110[[#This Row],[DM Incubated, mg]])*1000</f>
        <v>138.17940633922481</v>
      </c>
      <c r="AN333" s="94">
        <f>'3.2 Digest'!X333</f>
        <v>36.218299196950646</v>
      </c>
      <c r="AO333" s="94">
        <f>Table3.110[[#This Row],[Digested feed, mg]]/Table3.110[[#This Row],[Net gas 24h, ml]]</f>
        <v>2.6211068752196107</v>
      </c>
      <c r="AP333" s="94">
        <f>Table3.110[[#This Row],[CH4 8h, ml]]/Table3.110[[#This Row],[Net gas 8h, ml]]%</f>
        <v>10.8</v>
      </c>
      <c r="AQ333" s="94">
        <f>Table3.110[[#This Row],[CH4 24h, ml]]/Table3.110[[#This Row],[Net gas 24h, ml]]%</f>
        <v>12.61114379834823</v>
      </c>
      <c r="AR333" s="94">
        <f>Table3.110[[#This Row],[CH4 24h, ml]]/Table3.110[[#This Row],[DM Incubated, mg]]*1000</f>
        <v>17.426003633143551</v>
      </c>
      <c r="AS333" s="94">
        <f>Table3.110[[#This Row],[CH4 24h, ml]]/Table3.110[[#This Row],[Digested feed, mg]]*1000</f>
        <v>48.113809923495005</v>
      </c>
      <c r="AT333" s="94">
        <f>Table3.110[[#This Row],[CH4 24h, ml]]/'3.2 Digest'!AA333</f>
        <v>-0.65032803681530371</v>
      </c>
      <c r="AU333" s="94">
        <f>((Table3.110[[#This Row],[CH4 24h, ml]]/28.9)*16.04)/Table3.110[[#This Row],[DM Incubated, mg]]*1000</f>
        <v>9.6717335043468022</v>
      </c>
      <c r="AV333" s="94">
        <f>((Table3.110[[#This Row],[CH4 24h, ml]]/28.9)*16.04)/Table3.110[[#This Row],[Digested feed, mg]]*1000</f>
        <v>26.703996926396538</v>
      </c>
      <c r="AW333" s="303"/>
    </row>
    <row r="334" spans="1:49" s="304" customFormat="1" x14ac:dyDescent="0.35">
      <c r="A334" s="89"/>
      <c r="B334" s="90">
        <f t="shared" si="5"/>
        <v>324</v>
      </c>
      <c r="C334" s="140">
        <v>46048</v>
      </c>
      <c r="D334" s="6" t="s">
        <v>16</v>
      </c>
      <c r="E334" s="6" t="s">
        <v>175</v>
      </c>
      <c r="F334" s="133" t="s">
        <v>159</v>
      </c>
      <c r="G334" s="133" t="s">
        <v>160</v>
      </c>
      <c r="H334" s="133" t="s">
        <v>161</v>
      </c>
      <c r="I334" s="133" t="s">
        <v>22</v>
      </c>
      <c r="J334" s="135" t="s">
        <v>23</v>
      </c>
      <c r="K334" s="135" t="s">
        <v>24</v>
      </c>
      <c r="L334" s="6" t="s">
        <v>174</v>
      </c>
      <c r="M334" s="93">
        <v>28</v>
      </c>
      <c r="N334" s="93">
        <v>60</v>
      </c>
      <c r="O334" s="6">
        <v>1</v>
      </c>
      <c r="P334" s="6">
        <v>1</v>
      </c>
      <c r="Q334" s="6">
        <v>252</v>
      </c>
      <c r="R334" s="98">
        <v>0.50029999999999997</v>
      </c>
      <c r="S334" s="94">
        <f>((Table3.110[[#This Row],[Sample weight, g]]*'2.1. DM'!Q103)/100)*1000</f>
        <v>474.58713101979578</v>
      </c>
      <c r="T334" s="94">
        <f>'3.2 Digest'!W334</f>
        <v>82.887131019795845</v>
      </c>
      <c r="U334" s="117">
        <v>0.3611111111111111</v>
      </c>
      <c r="V334" s="155">
        <v>41</v>
      </c>
      <c r="W334" s="117">
        <v>0.68611111111111112</v>
      </c>
      <c r="X334" s="97">
        <v>61</v>
      </c>
      <c r="Y334" s="97">
        <v>10.4</v>
      </c>
      <c r="Z334" s="155">
        <v>40</v>
      </c>
      <c r="AA334" s="117">
        <v>0.35972222222222222</v>
      </c>
      <c r="AB334" s="155">
        <v>55</v>
      </c>
      <c r="AC334" s="155">
        <v>12.8</v>
      </c>
      <c r="AD334" s="96" t="s">
        <v>561</v>
      </c>
      <c r="AE334" s="94">
        <f>Table3.110[[#This Row],[Gas 8h, ml]]-Table3.110[[#This Row],[Gas 0h, ml]]</f>
        <v>20</v>
      </c>
      <c r="AF334" s="94">
        <f>Table3.110[[#This Row],[Gas 24h, ml]]-Table3.110[[#This Row],[V8 Push back, ml]]</f>
        <v>15</v>
      </c>
      <c r="AG334" s="94">
        <f>Table3.110[[#This Row],[GP 8h, ml]]-(AVERAGE(AE$293,AE$294,AE$385,AE$386,AE$477,AE$478))*$AG$8</f>
        <v>18.746240428868305</v>
      </c>
      <c r="AH334" s="94">
        <f>Table3.110[[#This Row],[GP 8-24h, ml]]-(AVERAGE(AF$293,AF$294,AF$385,AF$386,AF$477,AF$478))*$AG$8</f>
        <v>13.008734798790837</v>
      </c>
      <c r="AI334" s="94">
        <f>Table3.110[[#This Row],[Net gas 8-24h, ml]]+Table3.110[[#This Row],[Net gas 8h, ml]]</f>
        <v>31.754975227659141</v>
      </c>
      <c r="AJ334" s="94">
        <f>Table3.110[[#This Row],[Net gas 8h, ml]]*Table3.110[[#This Row],[CH4 8h %]]%</f>
        <v>1.9496090046023038</v>
      </c>
      <c r="AK334" s="94">
        <f>Table3.110[[#This Row],[Net gas 8-24h, ml]]*Table3.110[[#This Row],[CH4 24h, %]]%</f>
        <v>1.6651180542452271</v>
      </c>
      <c r="AL334" s="94">
        <f>Table3.110[[#This Row],[CH4 8-24h, ml]]+Table3.110[[#This Row],[CH4 8h, ml]]</f>
        <v>3.6147270588475306</v>
      </c>
      <c r="AM334" s="94">
        <f>(Table3.110[[#This Row],[Net gas 24h, ml]]/Table3.110[[#This Row],[DM Incubated, mg]])*1000</f>
        <v>66.910738096551114</v>
      </c>
      <c r="AN334" s="94">
        <f>'3.2 Digest'!X334</f>
        <v>17.465102949944612</v>
      </c>
      <c r="AO334" s="94">
        <f>Table3.110[[#This Row],[Digested feed, mg]]/Table3.110[[#This Row],[Net gas 24h, ml]]</f>
        <v>2.6102092798233296</v>
      </c>
      <c r="AP334" s="94">
        <f>Table3.110[[#This Row],[CH4 8h, ml]]/Table3.110[[#This Row],[Net gas 8h, ml]]%</f>
        <v>10.4</v>
      </c>
      <c r="AQ334" s="94">
        <f>Table3.110[[#This Row],[CH4 24h, ml]]/Table3.110[[#This Row],[Net gas 24h, ml]]%</f>
        <v>11.383183368693167</v>
      </c>
      <c r="AR334" s="94">
        <f>Table3.110[[#This Row],[CH4 24h, ml]]/Table3.110[[#This Row],[DM Incubated, mg]]*1000</f>
        <v>7.6165720108764496</v>
      </c>
      <c r="AS334" s="94">
        <f>Table3.110[[#This Row],[CH4 24h, ml]]/Table3.110[[#This Row],[Digested feed, mg]]*1000</f>
        <v>43.610232546041786</v>
      </c>
      <c r="AT334" s="94">
        <f>Table3.110[[#This Row],[CH4 24h, ml]]/'3.2 Digest'!AA334</f>
        <v>-7.2211032814696277E-2</v>
      </c>
      <c r="AU334" s="94">
        <f>((Table3.110[[#This Row],[CH4 24h, ml]]/28.9)*16.04)/Table3.110[[#This Row],[DM Incubated, mg]]*1000</f>
        <v>4.2273292406386931</v>
      </c>
      <c r="AV334" s="94">
        <f>((Table3.110[[#This Row],[CH4 24h, ml]]/28.9)*16.04)/Table3.110[[#This Row],[Digested feed, mg]]*1000</f>
        <v>24.204433565346374</v>
      </c>
      <c r="AW334" s="303"/>
    </row>
    <row r="335" spans="1:49" s="304" customFormat="1" x14ac:dyDescent="0.35">
      <c r="A335" s="89"/>
      <c r="B335" s="90">
        <f t="shared" si="5"/>
        <v>325</v>
      </c>
      <c r="C335" s="140">
        <v>46048</v>
      </c>
      <c r="D335" s="6" t="s">
        <v>16</v>
      </c>
      <c r="E335" s="6" t="s">
        <v>175</v>
      </c>
      <c r="F335" s="133" t="s">
        <v>159</v>
      </c>
      <c r="G335" s="133" t="s">
        <v>160</v>
      </c>
      <c r="H335" s="133" t="s">
        <v>161</v>
      </c>
      <c r="I335" s="133" t="s">
        <v>22</v>
      </c>
      <c r="J335" s="135" t="s">
        <v>23</v>
      </c>
      <c r="K335" s="135" t="s">
        <v>24</v>
      </c>
      <c r="L335" s="6" t="s">
        <v>174</v>
      </c>
      <c r="M335" s="93">
        <v>28</v>
      </c>
      <c r="N335" s="93">
        <v>60</v>
      </c>
      <c r="O335" s="6">
        <v>1</v>
      </c>
      <c r="P335" s="129">
        <v>2</v>
      </c>
      <c r="Q335" s="6">
        <v>253</v>
      </c>
      <c r="R335" s="98">
        <v>0.50049999999999994</v>
      </c>
      <c r="S335" s="94">
        <f>((Table3.110[[#This Row],[Sample weight, g]]*'2.1. DM'!Q103)/100)*1000</f>
        <v>474.77685203959186</v>
      </c>
      <c r="T335" s="94">
        <f>'3.2 Digest'!W335</f>
        <v>106.4768520395919</v>
      </c>
      <c r="U335" s="153">
        <v>0.3611111111111111</v>
      </c>
      <c r="V335" s="154">
        <v>41.5</v>
      </c>
      <c r="W335" s="153">
        <v>0.68611111111111112</v>
      </c>
      <c r="X335" s="95">
        <v>60</v>
      </c>
      <c r="Y335" s="95">
        <v>10.1</v>
      </c>
      <c r="Z335" s="154">
        <v>40</v>
      </c>
      <c r="AA335" s="153">
        <v>0.36041666666666666</v>
      </c>
      <c r="AB335" s="154">
        <v>53.5</v>
      </c>
      <c r="AC335" s="154">
        <v>12.2</v>
      </c>
      <c r="AD335" s="91"/>
      <c r="AE335" s="94">
        <f>Table3.110[[#This Row],[Gas 8h, ml]]-Table3.110[[#This Row],[Gas 0h, ml]]</f>
        <v>18.5</v>
      </c>
      <c r="AF335" s="94">
        <f>Table3.110[[#This Row],[Gas 24h, ml]]-Table3.110[[#This Row],[V8 Push back, ml]]</f>
        <v>13.5</v>
      </c>
      <c r="AG335" s="94">
        <f>Table3.110[[#This Row],[GP 8h, ml]]-(AVERAGE(AE$293,AE$294,AE$385,AE$386,AE$477,AE$478))*$AG$8</f>
        <v>17.246240428868305</v>
      </c>
      <c r="AH335" s="94">
        <f>Table3.110[[#This Row],[GP 8-24h, ml]]-(AVERAGE(AF$293,AF$294,AF$385,AF$386,AF$477,AF$478))*$AG$8</f>
        <v>11.508734798790837</v>
      </c>
      <c r="AI335" s="94">
        <f>Table3.110[[#This Row],[Net gas 8-24h, ml]]+Table3.110[[#This Row],[Net gas 8h, ml]]</f>
        <v>28.754975227659141</v>
      </c>
      <c r="AJ335" s="94">
        <f>Table3.110[[#This Row],[Net gas 8h, ml]]*Table3.110[[#This Row],[CH4 8h %]]%</f>
        <v>1.7418702833156987</v>
      </c>
      <c r="AK335" s="94">
        <f>Table3.110[[#This Row],[Net gas 8-24h, ml]]*Table3.110[[#This Row],[CH4 24h, %]]%</f>
        <v>1.404065645452482</v>
      </c>
      <c r="AL335" s="94">
        <f>Table3.110[[#This Row],[CH4 8-24h, ml]]+Table3.110[[#This Row],[CH4 8h, ml]]</f>
        <v>3.1459359287681807</v>
      </c>
      <c r="AM335" s="94">
        <f>(Table3.110[[#This Row],[Net gas 24h, ml]]/Table3.110[[#This Row],[DM Incubated, mg]])*1000</f>
        <v>60.565242606354474</v>
      </c>
      <c r="AN335" s="94">
        <f>'3.2 Digest'!X335</f>
        <v>22.426715115149033</v>
      </c>
      <c r="AO335" s="94">
        <f>Table3.110[[#This Row],[Digested feed, mg]]/Table3.110[[#This Row],[Net gas 24h, ml]]</f>
        <v>3.7029018872940225</v>
      </c>
      <c r="AP335" s="94">
        <f>Table3.110[[#This Row],[CH4 8h, ml]]/Table3.110[[#This Row],[Net gas 8h, ml]]%</f>
        <v>10.1</v>
      </c>
      <c r="AQ335" s="94">
        <f>Table3.110[[#This Row],[CH4 24h, ml]]/Table3.110[[#This Row],[Net gas 24h, ml]]%</f>
        <v>10.94049257167203</v>
      </c>
      <c r="AR335" s="94">
        <f>Table3.110[[#This Row],[CH4 24h, ml]]/Table3.110[[#This Row],[DM Incubated, mg]]*1000</f>
        <v>6.6261358683633542</v>
      </c>
      <c r="AS335" s="94">
        <f>Table3.110[[#This Row],[CH4 24h, ml]]/Table3.110[[#This Row],[Digested feed, mg]]*1000</f>
        <v>29.545726310526245</v>
      </c>
      <c r="AT335" s="94">
        <f>Table3.110[[#This Row],[CH4 24h, ml]]/'3.2 Digest'!AA335</f>
        <v>-7.6660873715616779E-2</v>
      </c>
      <c r="AU335" s="94">
        <f>((Table3.110[[#This Row],[CH4 24h, ml]]/28.9)*16.04)/Table3.110[[#This Row],[DM Incubated, mg]]*1000</f>
        <v>3.6776200459705262</v>
      </c>
      <c r="AV335" s="94">
        <f>((Table3.110[[#This Row],[CH4 24h, ml]]/28.9)*16.04)/Table3.110[[#This Row],[Digested feed, mg]]*1000</f>
        <v>16.398389274077545</v>
      </c>
      <c r="AW335" s="303"/>
    </row>
    <row r="336" spans="1:49" s="304" customFormat="1" x14ac:dyDescent="0.35">
      <c r="A336" s="89"/>
      <c r="B336" s="90">
        <f t="shared" si="5"/>
        <v>326</v>
      </c>
      <c r="C336" s="140">
        <v>46048</v>
      </c>
      <c r="D336" s="6" t="s">
        <v>16</v>
      </c>
      <c r="E336" s="6" t="s">
        <v>175</v>
      </c>
      <c r="F336" s="133" t="s">
        <v>159</v>
      </c>
      <c r="G336" s="133" t="s">
        <v>160</v>
      </c>
      <c r="H336" s="133" t="s">
        <v>161</v>
      </c>
      <c r="I336" s="133" t="s">
        <v>22</v>
      </c>
      <c r="J336" s="135" t="s">
        <v>23</v>
      </c>
      <c r="K336" s="135" t="s">
        <v>24</v>
      </c>
      <c r="L336" s="6" t="s">
        <v>174</v>
      </c>
      <c r="M336" s="93">
        <v>28</v>
      </c>
      <c r="N336" s="93">
        <v>60</v>
      </c>
      <c r="O336" s="6">
        <v>1</v>
      </c>
      <c r="P336" s="129">
        <v>3</v>
      </c>
      <c r="Q336" s="6">
        <v>254</v>
      </c>
      <c r="R336" s="98">
        <v>0.50019999999999998</v>
      </c>
      <c r="S336" s="94">
        <f>((Table3.110[[#This Row],[Sample weight, g]]*'2.1. DM'!Q103)/100)*1000</f>
        <v>474.49227050989776</v>
      </c>
      <c r="T336" s="94">
        <f>'3.2 Digest'!W336</f>
        <v>110.39227050989768</v>
      </c>
      <c r="U336" s="117">
        <v>0.3611111111111111</v>
      </c>
      <c r="V336" s="155">
        <v>41</v>
      </c>
      <c r="W336" s="117">
        <v>0.68680555555555556</v>
      </c>
      <c r="X336" s="97">
        <v>57.5</v>
      </c>
      <c r="Y336" s="97">
        <v>11.5</v>
      </c>
      <c r="Z336" s="155">
        <v>40</v>
      </c>
      <c r="AA336" s="117">
        <v>0.36041666666666666</v>
      </c>
      <c r="AB336" s="155">
        <v>54.5</v>
      </c>
      <c r="AC336" s="155">
        <v>12.5</v>
      </c>
      <c r="AD336" s="96"/>
      <c r="AE336" s="94">
        <f>Table3.110[[#This Row],[Gas 8h, ml]]-Table3.110[[#This Row],[Gas 0h, ml]]</f>
        <v>16.5</v>
      </c>
      <c r="AF336" s="94">
        <f>Table3.110[[#This Row],[Gas 24h, ml]]-Table3.110[[#This Row],[V8 Push back, ml]]</f>
        <v>14.5</v>
      </c>
      <c r="AG336" s="94">
        <f>Table3.110[[#This Row],[GP 8h, ml]]-(AVERAGE(AE$293,AE$294,AE$385,AE$386,AE$477,AE$478))*$AG$8</f>
        <v>15.246240428868305</v>
      </c>
      <c r="AH336" s="94">
        <f>Table3.110[[#This Row],[GP 8-24h, ml]]-(AVERAGE(AF$293,AF$294,AF$385,AF$386,AF$477,AF$478))*$AG$8</f>
        <v>12.508734798790837</v>
      </c>
      <c r="AI336" s="94">
        <f>Table3.110[[#This Row],[Net gas 8-24h, ml]]+Table3.110[[#This Row],[Net gas 8h, ml]]</f>
        <v>27.754975227659141</v>
      </c>
      <c r="AJ336" s="94">
        <f>Table3.110[[#This Row],[Net gas 8h, ml]]*Table3.110[[#This Row],[CH4 8h %]]%</f>
        <v>1.753317649319855</v>
      </c>
      <c r="AK336" s="94">
        <f>Table3.110[[#This Row],[Net gas 8-24h, ml]]*Table3.110[[#This Row],[CH4 24h, %]]%</f>
        <v>1.5635918498488546</v>
      </c>
      <c r="AL336" s="94">
        <f>Table3.110[[#This Row],[CH4 8-24h, ml]]+Table3.110[[#This Row],[CH4 8h, ml]]</f>
        <v>3.3169094991687098</v>
      </c>
      <c r="AM336" s="94">
        <f>(Table3.110[[#This Row],[Net gas 24h, ml]]/Table3.110[[#This Row],[DM Incubated, mg]])*1000</f>
        <v>58.49405133161212</v>
      </c>
      <c r="AN336" s="94">
        <f>'3.2 Digest'!X336</f>
        <v>23.265346428355556</v>
      </c>
      <c r="AO336" s="94">
        <f>Table3.110[[#This Row],[Digested feed, mg]]/Table3.110[[#This Row],[Net gas 24h, ml]]</f>
        <v>3.9773867425356801</v>
      </c>
      <c r="AP336" s="94">
        <f>Table3.110[[#This Row],[CH4 8h, ml]]/Table3.110[[#This Row],[Net gas 8h, ml]]%</f>
        <v>11.5</v>
      </c>
      <c r="AQ336" s="94">
        <f>Table3.110[[#This Row],[CH4 24h, ml]]/Table3.110[[#This Row],[Net gas 24h, ml]]%</f>
        <v>11.950684415899795</v>
      </c>
      <c r="AR336" s="94">
        <f>Table3.110[[#This Row],[CH4 24h, ml]]/Table3.110[[#This Row],[DM Incubated, mg]]*1000</f>
        <v>6.9904394767153955</v>
      </c>
      <c r="AS336" s="94">
        <f>Table3.110[[#This Row],[CH4 24h, ml]]/Table3.110[[#This Row],[Digested feed, mg]]*1000</f>
        <v>30.046573766877259</v>
      </c>
      <c r="AT336" s="94">
        <f>Table3.110[[#This Row],[CH4 24h, ml]]/'3.2 Digest'!AA336</f>
        <v>-8.3946208322889876E-2</v>
      </c>
      <c r="AU336" s="94">
        <f>((Table3.110[[#This Row],[CH4 24h, ml]]/28.9)*16.04)/Table3.110[[#This Row],[DM Incubated, mg]]*1000</f>
        <v>3.8798148514365036</v>
      </c>
      <c r="AV336" s="94">
        <f>((Table3.110[[#This Row],[CH4 24h, ml]]/28.9)*16.04)/Table3.110[[#This Row],[Digested feed, mg]]*1000</f>
        <v>16.67636827753326</v>
      </c>
      <c r="AW336" s="303"/>
    </row>
    <row r="337" spans="1:49" s="304" customFormat="1" x14ac:dyDescent="0.35">
      <c r="A337" s="89"/>
      <c r="B337" s="90">
        <f t="shared" si="5"/>
        <v>327</v>
      </c>
      <c r="C337" s="140">
        <v>46048</v>
      </c>
      <c r="D337" s="6" t="s">
        <v>16</v>
      </c>
      <c r="E337" s="6" t="s">
        <v>177</v>
      </c>
      <c r="F337" s="133" t="s">
        <v>159</v>
      </c>
      <c r="G337" s="133" t="s">
        <v>160</v>
      </c>
      <c r="H337" s="133" t="s">
        <v>161</v>
      </c>
      <c r="I337" s="133" t="s">
        <v>22</v>
      </c>
      <c r="J337" s="135" t="s">
        <v>23</v>
      </c>
      <c r="K337" s="135" t="s">
        <v>24</v>
      </c>
      <c r="L337" s="6" t="s">
        <v>176</v>
      </c>
      <c r="M337" s="93">
        <v>28</v>
      </c>
      <c r="N337" s="93">
        <v>60</v>
      </c>
      <c r="O337" s="6">
        <v>1</v>
      </c>
      <c r="P337" s="6">
        <v>1</v>
      </c>
      <c r="Q337" s="6">
        <v>255</v>
      </c>
      <c r="R337" s="98">
        <v>0.50029999999999997</v>
      </c>
      <c r="S337" s="94">
        <f>((Table3.110[[#This Row],[Sample weight, g]]*'2.1. DM'!Q105)/100)*1000</f>
        <v>469.66743825617431</v>
      </c>
      <c r="T337" s="94">
        <f>'3.2 Digest'!W337</f>
        <v>52.467438256174319</v>
      </c>
      <c r="U337" s="153">
        <v>0.36180555555555555</v>
      </c>
      <c r="V337" s="154">
        <v>40.5</v>
      </c>
      <c r="W337" s="153">
        <v>0.68680555555555556</v>
      </c>
      <c r="X337" s="95">
        <v>61.5</v>
      </c>
      <c r="Y337" s="95">
        <v>10.8</v>
      </c>
      <c r="Z337" s="154">
        <v>39.5</v>
      </c>
      <c r="AA337" s="153">
        <v>0.3611111111111111</v>
      </c>
      <c r="AB337" s="154">
        <v>54.5</v>
      </c>
      <c r="AC337" s="154">
        <v>12.1</v>
      </c>
      <c r="AD337" s="91"/>
      <c r="AE337" s="94"/>
      <c r="AF337" s="94"/>
      <c r="AG337" s="94"/>
      <c r="AH337" s="94"/>
      <c r="AI337" s="94"/>
      <c r="AJ337" s="94"/>
      <c r="AK337" s="94"/>
      <c r="AL337" s="94"/>
      <c r="AM337" s="94"/>
      <c r="AN337" s="94"/>
      <c r="AO337" s="94"/>
      <c r="AP337" s="94"/>
      <c r="AQ337" s="94"/>
      <c r="AR337" s="94"/>
      <c r="AS337" s="94"/>
      <c r="AT337" s="94"/>
      <c r="AU337" s="94"/>
      <c r="AV337" s="94"/>
      <c r="AW337" s="303"/>
    </row>
    <row r="338" spans="1:49" s="304" customFormat="1" x14ac:dyDescent="0.35">
      <c r="A338" s="89"/>
      <c r="B338" s="90">
        <f t="shared" si="5"/>
        <v>328</v>
      </c>
      <c r="C338" s="140">
        <v>46048</v>
      </c>
      <c r="D338" s="6" t="s">
        <v>16</v>
      </c>
      <c r="E338" s="6" t="s">
        <v>177</v>
      </c>
      <c r="F338" s="133" t="s">
        <v>159</v>
      </c>
      <c r="G338" s="133" t="s">
        <v>160</v>
      </c>
      <c r="H338" s="133" t="s">
        <v>161</v>
      </c>
      <c r="I338" s="133" t="s">
        <v>22</v>
      </c>
      <c r="J338" s="135" t="s">
        <v>23</v>
      </c>
      <c r="K338" s="135" t="s">
        <v>24</v>
      </c>
      <c r="L338" s="6" t="s">
        <v>176</v>
      </c>
      <c r="M338" s="93">
        <v>28</v>
      </c>
      <c r="N338" s="93">
        <v>60</v>
      </c>
      <c r="O338" s="6">
        <v>1</v>
      </c>
      <c r="P338" s="129">
        <v>2</v>
      </c>
      <c r="Q338" s="6">
        <v>256</v>
      </c>
      <c r="R338" s="98">
        <v>0.50060000000000004</v>
      </c>
      <c r="S338" s="94">
        <f>((Table3.110[[#This Row],[Sample weight, g]]*'2.1. DM'!Q105)/100)*1000</f>
        <v>469.94906974023763</v>
      </c>
      <c r="T338" s="94">
        <f>'3.2 Digest'!W338</f>
        <v>67.149069740237564</v>
      </c>
      <c r="U338" s="117">
        <v>0.36180555555555555</v>
      </c>
      <c r="V338" s="155">
        <v>41</v>
      </c>
      <c r="W338" s="117">
        <v>0.68819444444444444</v>
      </c>
      <c r="X338" s="97">
        <v>61</v>
      </c>
      <c r="Y338" s="97">
        <v>11.2</v>
      </c>
      <c r="Z338" s="155">
        <v>40.5</v>
      </c>
      <c r="AA338" s="117">
        <v>0.3611111111111111</v>
      </c>
      <c r="AB338" s="155">
        <v>56.5</v>
      </c>
      <c r="AC338" s="155">
        <v>12.2</v>
      </c>
      <c r="AD338" s="96"/>
      <c r="AE338" s="94"/>
      <c r="AF338" s="94"/>
      <c r="AG338" s="94"/>
      <c r="AH338" s="94"/>
      <c r="AI338" s="94"/>
      <c r="AJ338" s="94"/>
      <c r="AK338" s="94"/>
      <c r="AL338" s="94"/>
      <c r="AM338" s="94"/>
      <c r="AN338" s="94"/>
      <c r="AO338" s="94"/>
      <c r="AP338" s="94"/>
      <c r="AQ338" s="94"/>
      <c r="AR338" s="94"/>
      <c r="AS338" s="94"/>
      <c r="AT338" s="94"/>
      <c r="AU338" s="94"/>
      <c r="AV338" s="94"/>
      <c r="AW338" s="303"/>
    </row>
    <row r="339" spans="1:49" s="304" customFormat="1" x14ac:dyDescent="0.35">
      <c r="A339" s="89"/>
      <c r="B339" s="90">
        <f t="shared" si="5"/>
        <v>329</v>
      </c>
      <c r="C339" s="140">
        <v>46048</v>
      </c>
      <c r="D339" s="6" t="s">
        <v>16</v>
      </c>
      <c r="E339" s="6" t="s">
        <v>177</v>
      </c>
      <c r="F339" s="133" t="s">
        <v>159</v>
      </c>
      <c r="G339" s="133" t="s">
        <v>160</v>
      </c>
      <c r="H339" s="133" t="s">
        <v>161</v>
      </c>
      <c r="I339" s="133" t="s">
        <v>22</v>
      </c>
      <c r="J339" s="135" t="s">
        <v>23</v>
      </c>
      <c r="K339" s="135" t="s">
        <v>24</v>
      </c>
      <c r="L339" s="6" t="s">
        <v>176</v>
      </c>
      <c r="M339" s="93">
        <v>28</v>
      </c>
      <c r="N339" s="93">
        <v>60</v>
      </c>
      <c r="O339" s="6">
        <v>1</v>
      </c>
      <c r="P339" s="129">
        <v>3</v>
      </c>
      <c r="Q339" s="6">
        <v>257</v>
      </c>
      <c r="R339" s="98">
        <v>0.50049999999999994</v>
      </c>
      <c r="S339" s="94">
        <f>((Table3.110[[#This Row],[Sample weight, g]]*'2.1. DM'!Q105)/100)*1000</f>
        <v>469.85519257888313</v>
      </c>
      <c r="T339" s="94">
        <f>'3.2 Digest'!W339</f>
        <v>112.75519257888317</v>
      </c>
      <c r="U339" s="153">
        <v>0.36249999999999999</v>
      </c>
      <c r="V339" s="154">
        <v>41</v>
      </c>
      <c r="W339" s="153">
        <v>0.68888888888888888</v>
      </c>
      <c r="X339" s="95">
        <v>61.5</v>
      </c>
      <c r="Y339" s="95">
        <v>11.2</v>
      </c>
      <c r="Z339" s="154">
        <v>40</v>
      </c>
      <c r="AA339" s="153">
        <v>0.36180555555555555</v>
      </c>
      <c r="AB339" s="154">
        <v>55.5</v>
      </c>
      <c r="AC339" s="154">
        <v>12</v>
      </c>
      <c r="AD339" s="91"/>
      <c r="AE339" s="94"/>
      <c r="AF339" s="94"/>
      <c r="AG339" s="94"/>
      <c r="AH339" s="94"/>
      <c r="AI339" s="94"/>
      <c r="AJ339" s="94"/>
      <c r="AK339" s="94"/>
      <c r="AL339" s="94"/>
      <c r="AM339" s="94"/>
      <c r="AN339" s="94"/>
      <c r="AO339" s="94"/>
      <c r="AP339" s="94"/>
      <c r="AQ339" s="94"/>
      <c r="AR339" s="94"/>
      <c r="AS339" s="94"/>
      <c r="AT339" s="94"/>
      <c r="AU339" s="94"/>
      <c r="AV339" s="94"/>
      <c r="AW339" s="303"/>
    </row>
    <row r="340" spans="1:49" s="304" customFormat="1" x14ac:dyDescent="0.35">
      <c r="A340" s="89"/>
      <c r="B340" s="90">
        <f t="shared" si="5"/>
        <v>330</v>
      </c>
      <c r="C340" s="140">
        <v>46048</v>
      </c>
      <c r="D340" s="6" t="s">
        <v>16</v>
      </c>
      <c r="E340" s="6" t="s">
        <v>181</v>
      </c>
      <c r="F340" s="133" t="s">
        <v>159</v>
      </c>
      <c r="G340" s="133" t="s">
        <v>160</v>
      </c>
      <c r="H340" s="133" t="s">
        <v>161</v>
      </c>
      <c r="I340" s="133" t="s">
        <v>22</v>
      </c>
      <c r="J340" s="135" t="s">
        <v>23</v>
      </c>
      <c r="K340" s="135" t="s">
        <v>24</v>
      </c>
      <c r="L340" s="6" t="s">
        <v>180</v>
      </c>
      <c r="M340" s="93">
        <v>28</v>
      </c>
      <c r="N340" s="93">
        <v>60</v>
      </c>
      <c r="O340" s="6">
        <v>1</v>
      </c>
      <c r="P340" s="6">
        <v>1</v>
      </c>
      <c r="Q340" s="6">
        <v>258</v>
      </c>
      <c r="R340" s="98">
        <v>0.50039999999999996</v>
      </c>
      <c r="S340" s="94">
        <f>((Table3.110[[#This Row],[Sample weight, g]]*'2.1. DM'!Q107)/100)*1000</f>
        <v>477.961559971165</v>
      </c>
      <c r="T340" s="94">
        <f>'3.2 Digest'!W340</f>
        <v>145.16155997116499</v>
      </c>
      <c r="U340" s="117">
        <v>0.36249999999999999</v>
      </c>
      <c r="V340" s="155">
        <v>41.5</v>
      </c>
      <c r="W340" s="117">
        <v>0.68958333333333333</v>
      </c>
      <c r="X340" s="97">
        <v>64</v>
      </c>
      <c r="Y340" s="97">
        <v>11.9</v>
      </c>
      <c r="Z340" s="155">
        <v>40</v>
      </c>
      <c r="AA340" s="117">
        <v>0.36249999999999999</v>
      </c>
      <c r="AB340" s="155">
        <v>54.5</v>
      </c>
      <c r="AC340" s="155">
        <v>12.3</v>
      </c>
      <c r="AD340" s="96"/>
      <c r="AE340" s="94">
        <f>Table3.110[[#This Row],[Gas 8h, ml]]-Table3.110[[#This Row],[Gas 0h, ml]]</f>
        <v>22.5</v>
      </c>
      <c r="AF340" s="94">
        <f>Table3.110[[#This Row],[Gas 24h, ml]]-Table3.110[[#This Row],[V8 Push back, ml]]</f>
        <v>14.5</v>
      </c>
      <c r="AG340" s="94">
        <f>Table3.110[[#This Row],[GP 8h, ml]]-(AVERAGE(AE$293,AE$294,AE$385,AE$386,AE$477,AE$478))*$AG$8</f>
        <v>21.246240428868305</v>
      </c>
      <c r="AH340" s="94">
        <f>Table3.110[[#This Row],[GP 8-24h, ml]]-(AVERAGE(AF$293,AF$294,AF$385,AF$386,AF$477,AF$478))*$AG$8</f>
        <v>12.508734798790837</v>
      </c>
      <c r="AI340" s="94">
        <f>Table3.110[[#This Row],[Net gas 8-24h, ml]]+Table3.110[[#This Row],[Net gas 8h, ml]]</f>
        <v>33.754975227659145</v>
      </c>
      <c r="AJ340" s="94">
        <f>Table3.110[[#This Row],[Net gas 8h, ml]]*Table3.110[[#This Row],[CH4 8h %]]%</f>
        <v>2.5283026110353286</v>
      </c>
      <c r="AK340" s="94">
        <f>Table3.110[[#This Row],[Net gas 8-24h, ml]]*Table3.110[[#This Row],[CH4 24h, %]]%</f>
        <v>1.538574380251273</v>
      </c>
      <c r="AL340" s="94">
        <f>Table3.110[[#This Row],[CH4 8-24h, ml]]+Table3.110[[#This Row],[CH4 8h, ml]]</f>
        <v>4.0668769912866019</v>
      </c>
      <c r="AM340" s="94">
        <f>(Table3.110[[#This Row],[Net gas 24h, ml]]/Table3.110[[#This Row],[DM Incubated, mg]])*1000</f>
        <v>70.622782362865237</v>
      </c>
      <c r="AN340" s="94">
        <f>'3.2 Digest'!X340</f>
        <v>30.370969577537256</v>
      </c>
      <c r="AO340" s="94">
        <f>Table3.110[[#This Row],[Digested feed, mg]]/Table3.110[[#This Row],[Net gas 24h, ml]]</f>
        <v>4.3004493113127289</v>
      </c>
      <c r="AP340" s="94">
        <f>Table3.110[[#This Row],[CH4 8h, ml]]/Table3.110[[#This Row],[Net gas 8h, ml]]%</f>
        <v>11.900000000000002</v>
      </c>
      <c r="AQ340" s="94">
        <f>Table3.110[[#This Row],[CH4 24h, ml]]/Table3.110[[#This Row],[Net gas 24h, ml]]%</f>
        <v>12.048229820515953</v>
      </c>
      <c r="AR340" s="94">
        <f>Table3.110[[#This Row],[CH4 24h, ml]]/Table3.110[[#This Row],[DM Incubated, mg]]*1000</f>
        <v>8.5087951247208089</v>
      </c>
      <c r="AS340" s="94">
        <f>Table3.110[[#This Row],[CH4 24h, ml]]/Table3.110[[#This Row],[Digested feed, mg]]*1000</f>
        <v>28.01621167542185</v>
      </c>
      <c r="AT340" s="94">
        <f>Table3.110[[#This Row],[CH4 24h, ml]]/'3.2 Digest'!AA340</f>
        <v>-0.14474475988232766</v>
      </c>
      <c r="AU340" s="94">
        <f>((Table3.110[[#This Row],[CH4 24h, ml]]/28.9)*16.04)/Table3.110[[#This Row],[DM Incubated, mg]]*1000</f>
        <v>4.7225285052083654</v>
      </c>
      <c r="AV340" s="94">
        <f>((Table3.110[[#This Row],[CH4 24h, ml]]/28.9)*16.04)/Table3.110[[#This Row],[Digested feed, mg]]*1000</f>
        <v>15.549482189403681</v>
      </c>
      <c r="AW340" s="303"/>
    </row>
    <row r="341" spans="1:49" s="304" customFormat="1" x14ac:dyDescent="0.35">
      <c r="A341" s="89"/>
      <c r="B341" s="90">
        <f t="shared" si="5"/>
        <v>331</v>
      </c>
      <c r="C341" s="140">
        <v>46048</v>
      </c>
      <c r="D341" s="6" t="s">
        <v>16</v>
      </c>
      <c r="E341" s="6" t="s">
        <v>181</v>
      </c>
      <c r="F341" s="133" t="s">
        <v>159</v>
      </c>
      <c r="G341" s="133" t="s">
        <v>160</v>
      </c>
      <c r="H341" s="133" t="s">
        <v>161</v>
      </c>
      <c r="I341" s="133" t="s">
        <v>22</v>
      </c>
      <c r="J341" s="135" t="s">
        <v>23</v>
      </c>
      <c r="K341" s="135" t="s">
        <v>24</v>
      </c>
      <c r="L341" s="6" t="s">
        <v>180</v>
      </c>
      <c r="M341" s="93">
        <v>28</v>
      </c>
      <c r="N341" s="93">
        <v>60</v>
      </c>
      <c r="O341" s="6">
        <v>1</v>
      </c>
      <c r="P341" s="129">
        <v>2</v>
      </c>
      <c r="Q341" s="6">
        <v>259</v>
      </c>
      <c r="R341" s="98">
        <v>0.50009999999999999</v>
      </c>
      <c r="S341" s="94">
        <f>((Table3.110[[#This Row],[Sample weight, g]]*'2.1. DM'!Q107)/100)*1000</f>
        <v>477.67501227334066</v>
      </c>
      <c r="T341" s="94">
        <f>'3.2 Digest'!W341</f>
        <v>138.27501227334062</v>
      </c>
      <c r="U341" s="117">
        <v>0.36319444444444443</v>
      </c>
      <c r="V341" s="155">
        <v>40.5</v>
      </c>
      <c r="W341" s="117">
        <v>0.68958333333333333</v>
      </c>
      <c r="X341" s="97">
        <v>60</v>
      </c>
      <c r="Y341" s="97">
        <v>11.9</v>
      </c>
      <c r="Z341" s="155">
        <v>39.5</v>
      </c>
      <c r="AA341" s="117">
        <v>0.36249999999999999</v>
      </c>
      <c r="AB341" s="155">
        <v>53.5</v>
      </c>
      <c r="AC341" s="155">
        <v>12.6</v>
      </c>
      <c r="AD341" s="96"/>
      <c r="AE341" s="94">
        <f>Table3.110[[#This Row],[Gas 8h, ml]]-Table3.110[[#This Row],[Gas 0h, ml]]</f>
        <v>19.5</v>
      </c>
      <c r="AF341" s="94">
        <f>Table3.110[[#This Row],[Gas 24h, ml]]-Table3.110[[#This Row],[V8 Push back, ml]]</f>
        <v>14</v>
      </c>
      <c r="AG341" s="94">
        <f>Table3.110[[#This Row],[GP 8h, ml]]-(AVERAGE(AE$293,AE$294,AE$385,AE$386,AE$477,AE$478))*$AG$8</f>
        <v>18.246240428868305</v>
      </c>
      <c r="AH341" s="94">
        <f>Table3.110[[#This Row],[GP 8-24h, ml]]-(AVERAGE(AF$293,AF$294,AF$385,AF$386,AF$477,AF$478))*$AG$8</f>
        <v>12.008734798790837</v>
      </c>
      <c r="AI341" s="94">
        <f>Table3.110[[#This Row],[Net gas 8-24h, ml]]+Table3.110[[#This Row],[Net gas 8h, ml]]</f>
        <v>30.254975227659141</v>
      </c>
      <c r="AJ341" s="94">
        <f>Table3.110[[#This Row],[Net gas 8h, ml]]*Table3.110[[#This Row],[CH4 8h %]]%</f>
        <v>2.1713026110353284</v>
      </c>
      <c r="AK341" s="94">
        <f>Table3.110[[#This Row],[Net gas 8-24h, ml]]*Table3.110[[#This Row],[CH4 24h, %]]%</f>
        <v>1.5131005846476455</v>
      </c>
      <c r="AL341" s="94">
        <f>Table3.110[[#This Row],[CH4 8-24h, ml]]+Table3.110[[#This Row],[CH4 8h, ml]]</f>
        <v>3.6844031956829739</v>
      </c>
      <c r="AM341" s="94">
        <f>(Table3.110[[#This Row],[Net gas 24h, ml]]/Table3.110[[#This Row],[DM Incubated, mg]])*1000</f>
        <v>63.337990161282065</v>
      </c>
      <c r="AN341" s="94">
        <f>'3.2 Digest'!X341</f>
        <v>28.947507975195343</v>
      </c>
      <c r="AO341" s="94">
        <f>Table3.110[[#This Row],[Digested feed, mg]]/Table3.110[[#This Row],[Net gas 24h, ml]]</f>
        <v>4.5703231033198604</v>
      </c>
      <c r="AP341" s="94">
        <f>Table3.110[[#This Row],[CH4 8h, ml]]/Table3.110[[#This Row],[Net gas 8h, ml]]%</f>
        <v>11.9</v>
      </c>
      <c r="AQ341" s="94">
        <f>Table3.110[[#This Row],[CH4 24h, ml]]/Table3.110[[#This Row],[Net gas 24h, ml]]%</f>
        <v>12.177842381158809</v>
      </c>
      <c r="AR341" s="94">
        <f>Table3.110[[#This Row],[CH4 24h, ml]]/Table3.110[[#This Row],[DM Incubated, mg]]*1000</f>
        <v>7.7132006092348053</v>
      </c>
      <c r="AS341" s="94">
        <f>Table3.110[[#This Row],[CH4 24h, ml]]/Table3.110[[#This Row],[Digested feed, mg]]*1000</f>
        <v>26.645473647832219</v>
      </c>
      <c r="AT341" s="94">
        <f>Table3.110[[#This Row],[CH4 24h, ml]]/'3.2 Digest'!AA341</f>
        <v>-0.11995204203536829</v>
      </c>
      <c r="AU341" s="94">
        <f>((Table3.110[[#This Row],[CH4 24h, ml]]/28.9)*16.04)/Table3.110[[#This Row],[DM Incubated, mg]]*1000</f>
        <v>4.280959784502639</v>
      </c>
      <c r="AV341" s="94">
        <f>((Table3.110[[#This Row],[CH4 24h, ml]]/28.9)*16.04)/Table3.110[[#This Row],[Digested feed, mg]]*1000</f>
        <v>14.788698868900651</v>
      </c>
      <c r="AW341" s="303"/>
    </row>
    <row r="342" spans="1:49" s="304" customFormat="1" x14ac:dyDescent="0.35">
      <c r="A342" s="89"/>
      <c r="B342" s="90">
        <f t="shared" si="5"/>
        <v>332</v>
      </c>
      <c r="C342" s="140">
        <v>46048</v>
      </c>
      <c r="D342" s="6" t="s">
        <v>16</v>
      </c>
      <c r="E342" s="6" t="s">
        <v>181</v>
      </c>
      <c r="F342" s="133" t="s">
        <v>159</v>
      </c>
      <c r="G342" s="133" t="s">
        <v>160</v>
      </c>
      <c r="H342" s="133" t="s">
        <v>161</v>
      </c>
      <c r="I342" s="133" t="s">
        <v>22</v>
      </c>
      <c r="J342" s="135" t="s">
        <v>23</v>
      </c>
      <c r="K342" s="135" t="s">
        <v>24</v>
      </c>
      <c r="L342" s="6" t="s">
        <v>180</v>
      </c>
      <c r="M342" s="93">
        <v>28</v>
      </c>
      <c r="N342" s="93">
        <v>60</v>
      </c>
      <c r="O342" s="6">
        <v>1</v>
      </c>
      <c r="P342" s="129">
        <v>3</v>
      </c>
      <c r="Q342" s="6">
        <v>260</v>
      </c>
      <c r="R342" s="98">
        <v>0.5</v>
      </c>
      <c r="S342" s="94">
        <f>((Table3.110[[#This Row],[Sample weight, g]]*'2.1. DM'!Q107)/100)*1000</f>
        <v>477.5794963740658</v>
      </c>
      <c r="T342" s="94">
        <f>'3.2 Digest'!W342</f>
        <v>145.17949637406588</v>
      </c>
      <c r="U342" s="117">
        <v>0.36388888888888887</v>
      </c>
      <c r="V342" s="155">
        <v>41</v>
      </c>
      <c r="W342" s="117">
        <v>0.69027777777777777</v>
      </c>
      <c r="X342" s="97">
        <v>62.5</v>
      </c>
      <c r="Y342" s="97">
        <v>11.6</v>
      </c>
      <c r="Z342" s="155">
        <v>39.5</v>
      </c>
      <c r="AA342" s="117">
        <v>0.36319444444444443</v>
      </c>
      <c r="AB342" s="155">
        <v>53</v>
      </c>
      <c r="AC342" s="155">
        <v>12.7</v>
      </c>
      <c r="AD342" s="96"/>
      <c r="AE342" s="94">
        <f>Table3.110[[#This Row],[Gas 8h, ml]]-Table3.110[[#This Row],[Gas 0h, ml]]</f>
        <v>21.5</v>
      </c>
      <c r="AF342" s="94">
        <f>Table3.110[[#This Row],[Gas 24h, ml]]-Table3.110[[#This Row],[V8 Push back, ml]]</f>
        <v>13.5</v>
      </c>
      <c r="AG342" s="94">
        <f>Table3.110[[#This Row],[GP 8h, ml]]-(AVERAGE(AE$293,AE$294,AE$385,AE$386,AE$477,AE$478))*$AG$8</f>
        <v>20.246240428868305</v>
      </c>
      <c r="AH342" s="94">
        <f>Table3.110[[#This Row],[GP 8-24h, ml]]-(AVERAGE(AF$293,AF$294,AF$385,AF$386,AF$477,AF$478))*$AG$8</f>
        <v>11.508734798790837</v>
      </c>
      <c r="AI342" s="94">
        <f>Table3.110[[#This Row],[Net gas 8-24h, ml]]+Table3.110[[#This Row],[Net gas 8h, ml]]</f>
        <v>31.754975227659141</v>
      </c>
      <c r="AJ342" s="94">
        <f>Table3.110[[#This Row],[Net gas 8h, ml]]*Table3.110[[#This Row],[CH4 8h %]]%</f>
        <v>2.3485638897487231</v>
      </c>
      <c r="AK342" s="94">
        <f>Table3.110[[#This Row],[Net gas 8-24h, ml]]*Table3.110[[#This Row],[CH4 24h, %]]%</f>
        <v>1.4616093194464364</v>
      </c>
      <c r="AL342" s="94">
        <f>Table3.110[[#This Row],[CH4 8-24h, ml]]+Table3.110[[#This Row],[CH4 8h, ml]]</f>
        <v>3.8101732091951597</v>
      </c>
      <c r="AM342" s="94">
        <f>(Table3.110[[#This Row],[Net gas 24h, ml]]/Table3.110[[#This Row],[DM Incubated, mg]])*1000</f>
        <v>66.491496114789115</v>
      </c>
      <c r="AN342" s="94">
        <f>'3.2 Digest'!X342</f>
        <v>30.399022042678638</v>
      </c>
      <c r="AO342" s="94">
        <f>Table3.110[[#This Row],[Digested feed, mg]]/Table3.110[[#This Row],[Net gas 24h, ml]]</f>
        <v>4.5718661511539143</v>
      </c>
      <c r="AP342" s="94">
        <f>Table3.110[[#This Row],[CH4 8h, ml]]/Table3.110[[#This Row],[Net gas 8h, ml]]%</f>
        <v>11.6</v>
      </c>
      <c r="AQ342" s="94">
        <f>Table3.110[[#This Row],[CH4 24h, ml]]/Table3.110[[#This Row],[Net gas 24h, ml]]%</f>
        <v>11.998665348907064</v>
      </c>
      <c r="AR342" s="94">
        <f>Table3.110[[#This Row],[CH4 24h, ml]]/Table3.110[[#This Row],[DM Incubated, mg]]*1000</f>
        <v>7.9780921042950892</v>
      </c>
      <c r="AS342" s="94">
        <f>Table3.110[[#This Row],[CH4 24h, ml]]/Table3.110[[#This Row],[Digested feed, mg]]*1000</f>
        <v>26.244568305829922</v>
      </c>
      <c r="AT342" s="94">
        <f>Table3.110[[#This Row],[CH4 24h, ml]]/'3.2 Digest'!AA342</f>
        <v>-0.13585792480838396</v>
      </c>
      <c r="AU342" s="94">
        <f>((Table3.110[[#This Row],[CH4 24h, ml]]/28.9)*16.04)/Table3.110[[#This Row],[DM Incubated, mg]]*1000</f>
        <v>4.4279791471589345</v>
      </c>
      <c r="AV342" s="94">
        <f>((Table3.110[[#This Row],[CH4 24h, ml]]/28.9)*16.04)/Table3.110[[#This Row],[Digested feed, mg]]*1000</f>
        <v>14.566189468010794</v>
      </c>
      <c r="AW342" s="303"/>
    </row>
    <row r="343" spans="1:49" s="304" customFormat="1" x14ac:dyDescent="0.35">
      <c r="A343" s="89"/>
      <c r="B343" s="90">
        <f t="shared" si="5"/>
        <v>333</v>
      </c>
      <c r="C343" s="140">
        <v>46048</v>
      </c>
      <c r="D343" s="6" t="s">
        <v>16</v>
      </c>
      <c r="E343" s="6" t="s">
        <v>183</v>
      </c>
      <c r="F343" s="133" t="s">
        <v>19</v>
      </c>
      <c r="G343" s="133" t="s">
        <v>20</v>
      </c>
      <c r="H343" s="133" t="s">
        <v>21</v>
      </c>
      <c r="I343" s="133" t="s">
        <v>22</v>
      </c>
      <c r="J343" s="135" t="s">
        <v>23</v>
      </c>
      <c r="K343" s="135" t="s">
        <v>24</v>
      </c>
      <c r="L343" s="6" t="s">
        <v>182</v>
      </c>
      <c r="M343" s="93">
        <v>28</v>
      </c>
      <c r="N343" s="93">
        <v>60</v>
      </c>
      <c r="O343" s="6">
        <v>1</v>
      </c>
      <c r="P343" s="129">
        <v>1</v>
      </c>
      <c r="Q343" s="6">
        <v>261</v>
      </c>
      <c r="R343" s="98">
        <v>0.50019999999999998</v>
      </c>
      <c r="S343" s="94">
        <f>((Table3.110[[#This Row],[Sample weight, g]]*'2.1. DM'!Q109)/100)*1000</f>
        <v>479.47085312162562</v>
      </c>
      <c r="T343" s="94">
        <f>'3.2 Digest'!W343</f>
        <v>97.770853121625578</v>
      </c>
      <c r="U343" s="153">
        <v>0.36388888888888887</v>
      </c>
      <c r="V343" s="154">
        <v>40.5</v>
      </c>
      <c r="W343" s="153">
        <v>0.69097222222222221</v>
      </c>
      <c r="X343" s="95">
        <v>68</v>
      </c>
      <c r="Y343" s="95">
        <v>12.9</v>
      </c>
      <c r="Z343" s="154">
        <v>40</v>
      </c>
      <c r="AA343" s="153">
        <v>0.36319444444444443</v>
      </c>
      <c r="AB343" s="154">
        <v>68</v>
      </c>
      <c r="AC343" s="154">
        <v>16.5</v>
      </c>
      <c r="AD343" s="91"/>
      <c r="AE343" s="94">
        <f>Table3.110[[#This Row],[Gas 8h, ml]]-Table3.110[[#This Row],[Gas 0h, ml]]</f>
        <v>27.5</v>
      </c>
      <c r="AF343" s="94">
        <f>Table3.110[[#This Row],[Gas 24h, ml]]-Table3.110[[#This Row],[V8 Push back, ml]]</f>
        <v>28</v>
      </c>
      <c r="AG343" s="94">
        <f>Table3.110[[#This Row],[GP 8h, ml]]-(AVERAGE(AE$293,AE$294,AE$385,AE$386,AE$477,AE$478))*$AG$8</f>
        <v>26.246240428868305</v>
      </c>
      <c r="AH343" s="94">
        <f>Table3.110[[#This Row],[GP 8-24h, ml]]-(AVERAGE(AF$293,AF$294,AF$385,AF$386,AF$477,AF$478))*$AG$8</f>
        <v>26.008734798790837</v>
      </c>
      <c r="AI343" s="94">
        <f>Table3.110[[#This Row],[Net gas 8-24h, ml]]+Table3.110[[#This Row],[Net gas 8h, ml]]</f>
        <v>52.254975227659145</v>
      </c>
      <c r="AJ343" s="94">
        <f>Table3.110[[#This Row],[Net gas 8h, ml]]*Table3.110[[#This Row],[CH4 8h %]]%</f>
        <v>3.3857650153240115</v>
      </c>
      <c r="AK343" s="94">
        <f>Table3.110[[#This Row],[Net gas 8-24h, ml]]*Table3.110[[#This Row],[CH4 24h, %]]%</f>
        <v>4.2914412418004879</v>
      </c>
      <c r="AL343" s="94">
        <f>Table3.110[[#This Row],[CH4 8-24h, ml]]+Table3.110[[#This Row],[CH4 8h, ml]]</f>
        <v>7.6772062571244994</v>
      </c>
      <c r="AM343" s="94">
        <f>(Table3.110[[#This Row],[Net gas 24h, ml]]/Table3.110[[#This Row],[DM Incubated, mg]])*1000</f>
        <v>108.98467526743239</v>
      </c>
      <c r="AN343" s="94">
        <f>'3.2 Digest'!X343</f>
        <v>20.391407003174894</v>
      </c>
      <c r="AO343" s="94">
        <f>Table3.110[[#This Row],[Digested feed, mg]]/Table3.110[[#This Row],[Net gas 24h, ml]]</f>
        <v>1.8710343406664629</v>
      </c>
      <c r="AP343" s="94">
        <f>Table3.110[[#This Row],[CH4 8h, ml]]/Table3.110[[#This Row],[Net gas 8h, ml]]%</f>
        <v>12.9</v>
      </c>
      <c r="AQ343" s="94">
        <f>Table3.110[[#This Row],[CH4 24h, ml]]/Table3.110[[#This Row],[Net gas 24h, ml]]%</f>
        <v>14.691818766877663</v>
      </c>
      <c r="AR343" s="94">
        <f>Table3.110[[#This Row],[CH4 24h, ml]]/Table3.110[[#This Row],[DM Incubated, mg]]*1000</f>
        <v>16.011830973961313</v>
      </c>
      <c r="AS343" s="94">
        <f>Table3.110[[#This Row],[CH4 24h, ml]]/Table3.110[[#This Row],[Digested feed, mg]]*1000</f>
        <v>78.522443161809818</v>
      </c>
      <c r="AT343" s="94">
        <f>Table3.110[[#This Row],[CH4 24h, ml]]/'3.2 Digest'!AA343</f>
        <v>-0.34720359759271829</v>
      </c>
      <c r="AU343" s="94">
        <f>((Table3.110[[#This Row],[CH4 24h, ml]]/28.9)*16.04)/Table3.110[[#This Row],[DM Incubated, mg]]*1000</f>
        <v>8.8868432118456564</v>
      </c>
      <c r="AV343" s="94">
        <f>((Table3.110[[#This Row],[CH4 24h, ml]]/28.9)*16.04)/Table3.110[[#This Row],[Digested feed, mg]]*1000</f>
        <v>43.581314474582328</v>
      </c>
      <c r="AW343" s="303"/>
    </row>
    <row r="344" spans="1:49" s="304" customFormat="1" x14ac:dyDescent="0.35">
      <c r="A344" s="89"/>
      <c r="B344" s="90">
        <f t="shared" si="5"/>
        <v>334</v>
      </c>
      <c r="C344" s="140">
        <v>46048</v>
      </c>
      <c r="D344" s="6" t="s">
        <v>16</v>
      </c>
      <c r="E344" s="6" t="s">
        <v>183</v>
      </c>
      <c r="F344" s="133" t="s">
        <v>19</v>
      </c>
      <c r="G344" s="133" t="s">
        <v>20</v>
      </c>
      <c r="H344" s="133" t="s">
        <v>21</v>
      </c>
      <c r="I344" s="133" t="s">
        <v>22</v>
      </c>
      <c r="J344" s="135" t="s">
        <v>23</v>
      </c>
      <c r="K344" s="135" t="s">
        <v>24</v>
      </c>
      <c r="L344" s="6" t="s">
        <v>182</v>
      </c>
      <c r="M344" s="93">
        <v>28</v>
      </c>
      <c r="N344" s="93">
        <v>60</v>
      </c>
      <c r="O344" s="6">
        <v>1</v>
      </c>
      <c r="P344" s="129">
        <v>2</v>
      </c>
      <c r="Q344" s="6">
        <v>262</v>
      </c>
      <c r="R344" s="98">
        <v>0.50049999999999994</v>
      </c>
      <c r="S344" s="94">
        <f>((Table3.110[[#This Row],[Sample weight, g]]*'2.1. DM'!Q109)/100)*1000</f>
        <v>479.75842060650461</v>
      </c>
      <c r="T344" s="94">
        <f>'3.2 Digest'!W344</f>
        <v>105.15842060650459</v>
      </c>
      <c r="U344" s="117">
        <v>0.36458333333333331</v>
      </c>
      <c r="V344" s="155">
        <v>41</v>
      </c>
      <c r="W344" s="117">
        <v>0.69097222222222221</v>
      </c>
      <c r="X344" s="97">
        <v>68</v>
      </c>
      <c r="Y344" s="97">
        <v>13.1</v>
      </c>
      <c r="Z344" s="155">
        <v>40</v>
      </c>
      <c r="AA344" s="117">
        <v>0.36319444444444443</v>
      </c>
      <c r="AB344" s="155">
        <v>68</v>
      </c>
      <c r="AC344" s="155">
        <v>17.7</v>
      </c>
      <c r="AD344" s="96"/>
      <c r="AE344" s="94">
        <f>Table3.110[[#This Row],[Gas 8h, ml]]-Table3.110[[#This Row],[Gas 0h, ml]]</f>
        <v>27</v>
      </c>
      <c r="AF344" s="94">
        <f>Table3.110[[#This Row],[Gas 24h, ml]]-Table3.110[[#This Row],[V8 Push back, ml]]</f>
        <v>28</v>
      </c>
      <c r="AG344" s="94">
        <f>Table3.110[[#This Row],[GP 8h, ml]]-(AVERAGE(AE$293,AE$294,AE$385,AE$386,AE$477,AE$478))*$AG$8</f>
        <v>25.746240428868305</v>
      </c>
      <c r="AH344" s="94">
        <f>Table3.110[[#This Row],[GP 8-24h, ml]]-(AVERAGE(AF$293,AF$294,AF$385,AF$386,AF$477,AF$478))*$AG$8</f>
        <v>26.008734798790837</v>
      </c>
      <c r="AI344" s="94">
        <f>Table3.110[[#This Row],[Net gas 8-24h, ml]]+Table3.110[[#This Row],[Net gas 8h, ml]]</f>
        <v>51.754975227659145</v>
      </c>
      <c r="AJ344" s="94">
        <f>Table3.110[[#This Row],[Net gas 8h, ml]]*Table3.110[[#This Row],[CH4 8h %]]%</f>
        <v>3.3727574961817481</v>
      </c>
      <c r="AK344" s="94">
        <f>Table3.110[[#This Row],[Net gas 8-24h, ml]]*Table3.110[[#This Row],[CH4 24h, %]]%</f>
        <v>4.6035460593859776</v>
      </c>
      <c r="AL344" s="94">
        <f>Table3.110[[#This Row],[CH4 8-24h, ml]]+Table3.110[[#This Row],[CH4 8h, ml]]</f>
        <v>7.9763035555677257</v>
      </c>
      <c r="AM344" s="94">
        <f>(Table3.110[[#This Row],[Net gas 24h, ml]]/Table3.110[[#This Row],[DM Incubated, mg]])*1000</f>
        <v>107.87715859626007</v>
      </c>
      <c r="AN344" s="94">
        <f>'3.2 Digest'!X344</f>
        <v>21.919035933452637</v>
      </c>
      <c r="AO344" s="94">
        <f>Table3.110[[#This Row],[Digested feed, mg]]/Table3.110[[#This Row],[Net gas 24h, ml]]</f>
        <v>2.031851433488955</v>
      </c>
      <c r="AP344" s="94">
        <f>Table3.110[[#This Row],[CH4 8h, ml]]/Table3.110[[#This Row],[Net gas 8h, ml]]%</f>
        <v>13.1</v>
      </c>
      <c r="AQ344" s="94">
        <f>Table3.110[[#This Row],[CH4 24h, ml]]/Table3.110[[#This Row],[Net gas 24h, ml]]%</f>
        <v>15.411665294943452</v>
      </c>
      <c r="AR344" s="94">
        <f>Table3.110[[#This Row],[CH4 24h, ml]]/Table3.110[[#This Row],[DM Incubated, mg]]*1000</f>
        <v>16.625666612550919</v>
      </c>
      <c r="AS344" s="94">
        <f>Table3.110[[#This Row],[CH4 24h, ml]]/Table3.110[[#This Row],[Digested feed, mg]]*1000</f>
        <v>75.850355202789629</v>
      </c>
      <c r="AT344" s="94">
        <f>Table3.110[[#This Row],[CH4 24h, ml]]/'3.2 Digest'!AA344</f>
        <v>-0.40348936822504516</v>
      </c>
      <c r="AU344" s="94">
        <f>((Table3.110[[#This Row],[CH4 24h, ml]]/28.9)*16.04)/Table3.110[[#This Row],[DM Incubated, mg]]*1000</f>
        <v>9.2275326112566365</v>
      </c>
      <c r="AV344" s="94">
        <f>((Table3.110[[#This Row],[CH4 24h, ml]]/28.9)*16.04)/Table3.110[[#This Row],[Digested feed, mg]]*1000</f>
        <v>42.098259427430641</v>
      </c>
      <c r="AW344" s="303"/>
    </row>
    <row r="345" spans="1:49" s="304" customFormat="1" x14ac:dyDescent="0.35">
      <c r="A345" s="89"/>
      <c r="B345" s="90">
        <f t="shared" si="5"/>
        <v>335</v>
      </c>
      <c r="C345" s="140">
        <v>46048</v>
      </c>
      <c r="D345" s="6" t="s">
        <v>16</v>
      </c>
      <c r="E345" s="6" t="s">
        <v>183</v>
      </c>
      <c r="F345" s="133" t="s">
        <v>19</v>
      </c>
      <c r="G345" s="133" t="s">
        <v>20</v>
      </c>
      <c r="H345" s="133" t="s">
        <v>21</v>
      </c>
      <c r="I345" s="133" t="s">
        <v>22</v>
      </c>
      <c r="J345" s="135" t="s">
        <v>23</v>
      </c>
      <c r="K345" s="135" t="s">
        <v>24</v>
      </c>
      <c r="L345" s="6" t="s">
        <v>182</v>
      </c>
      <c r="M345" s="93">
        <v>28</v>
      </c>
      <c r="N345" s="93">
        <v>60</v>
      </c>
      <c r="O345" s="6">
        <v>1</v>
      </c>
      <c r="P345" s="129">
        <v>3</v>
      </c>
      <c r="Q345" s="6">
        <v>263</v>
      </c>
      <c r="R345" s="98">
        <v>0.50039999999999996</v>
      </c>
      <c r="S345" s="94">
        <f>((Table3.110[[#This Row],[Sample weight, g]]*'2.1. DM'!Q109)/100)*1000</f>
        <v>479.66256477821162</v>
      </c>
      <c r="T345" s="94">
        <f>'3.2 Digest'!W345</f>
        <v>94.962564778211686</v>
      </c>
      <c r="U345" s="153">
        <v>0.36458333333333331</v>
      </c>
      <c r="V345" s="154">
        <v>41.5</v>
      </c>
      <c r="W345" s="153">
        <v>0.69166666666666665</v>
      </c>
      <c r="X345" s="95">
        <v>58.5</v>
      </c>
      <c r="Y345" s="95">
        <v>12.9</v>
      </c>
      <c r="Z345" s="154">
        <v>33</v>
      </c>
      <c r="AA345" s="153">
        <v>0.36388888888888887</v>
      </c>
      <c r="AB345" s="154">
        <v>56</v>
      </c>
      <c r="AC345" s="154">
        <v>17.2</v>
      </c>
      <c r="AD345" s="96" t="s">
        <v>560</v>
      </c>
      <c r="AE345" s="94">
        <f>Table3.110[[#This Row],[Gas 8h, ml]]-Table3.110[[#This Row],[Gas 0h, ml]]</f>
        <v>17</v>
      </c>
      <c r="AF345" s="94">
        <f>Table3.110[[#This Row],[Gas 24h, ml]]-Table3.110[[#This Row],[V8 Push back, ml]]</f>
        <v>23</v>
      </c>
      <c r="AG345" s="94">
        <f>Table3.110[[#This Row],[GP 8h, ml]]-(AVERAGE(AE$293,AE$294,AE$385,AE$386,AE$477,AE$478))*$AG$8</f>
        <v>15.746240428868305</v>
      </c>
      <c r="AH345" s="94">
        <f>Table3.110[[#This Row],[GP 8-24h, ml]]-(AVERAGE(AF$293,AF$294,AF$385,AF$386,AF$477,AF$478))*$AG$8</f>
        <v>21.008734798790837</v>
      </c>
      <c r="AI345" s="94">
        <f>Table3.110[[#This Row],[Net gas 8-24h, ml]]+Table3.110[[#This Row],[Net gas 8h, ml]]</f>
        <v>36.754975227659145</v>
      </c>
      <c r="AJ345" s="94">
        <f>Table3.110[[#This Row],[Net gas 8h, ml]]*Table3.110[[#This Row],[CH4 8h %]]%</f>
        <v>2.0312650153240113</v>
      </c>
      <c r="AK345" s="94">
        <f>Table3.110[[#This Row],[Net gas 8-24h, ml]]*Table3.110[[#This Row],[CH4 24h, %]]%</f>
        <v>3.6135023853920236</v>
      </c>
      <c r="AL345" s="94">
        <f>Table3.110[[#This Row],[CH4 8-24h, ml]]+Table3.110[[#This Row],[CH4 8h, ml]]</f>
        <v>5.6447674007160344</v>
      </c>
      <c r="AM345" s="94">
        <f>(Table3.110[[#This Row],[Net gas 24h, ml]]/Table3.110[[#This Row],[DM Incubated, mg]])*1000</f>
        <v>76.626732888054462</v>
      </c>
      <c r="AN345" s="94">
        <f>'3.2 Digest'!X345</f>
        <v>19.79778530811986</v>
      </c>
      <c r="AO345" s="94">
        <f>Table3.110[[#This Row],[Digested feed, mg]]/Table3.110[[#This Row],[Net gas 24h, ml]]</f>
        <v>2.583665590576965</v>
      </c>
      <c r="AP345" s="94">
        <f>Table3.110[[#This Row],[CH4 8h, ml]]/Table3.110[[#This Row],[Net gas 8h, ml]]%</f>
        <v>12.9</v>
      </c>
      <c r="AQ345" s="94">
        <f>Table3.110[[#This Row],[CH4 24h, ml]]/Table3.110[[#This Row],[Net gas 24h, ml]]%</f>
        <v>15.357832145859236</v>
      </c>
      <c r="AR345" s="94">
        <f>Table3.110[[#This Row],[CH4 24h, ml]]/Table3.110[[#This Row],[DM Incubated, mg]]*1000</f>
        <v>11.76820501580332</v>
      </c>
      <c r="AS345" s="94">
        <f>Table3.110[[#This Row],[CH4 24h, ml]]/Table3.110[[#This Row],[Digested feed, mg]]*1000</f>
        <v>59.442027644257308</v>
      </c>
      <c r="AT345" s="94">
        <f>Table3.110[[#This Row],[CH4 24h, ml]]/'3.2 Digest'!AA345</f>
        <v>-0.24518911986354697</v>
      </c>
      <c r="AU345" s="94">
        <f>((Table3.110[[#This Row],[CH4 24h, ml]]/28.9)*16.04)/Table3.110[[#This Row],[DM Incubated, mg]]*1000</f>
        <v>6.5315573859337448</v>
      </c>
      <c r="AV345" s="94">
        <f>((Table3.110[[#This Row],[CH4 24h, ml]]/28.9)*16.04)/Table3.110[[#This Row],[Digested feed, mg]]*1000</f>
        <v>32.991353751345578</v>
      </c>
      <c r="AW345" s="303"/>
    </row>
    <row r="346" spans="1:49" s="304" customFormat="1" x14ac:dyDescent="0.35">
      <c r="A346" s="89"/>
      <c r="B346" s="90">
        <f t="shared" si="5"/>
        <v>336</v>
      </c>
      <c r="C346" s="140">
        <v>46048</v>
      </c>
      <c r="D346" s="6" t="s">
        <v>16</v>
      </c>
      <c r="E346" s="6" t="s">
        <v>185</v>
      </c>
      <c r="F346" s="133" t="s">
        <v>19</v>
      </c>
      <c r="G346" s="133" t="s">
        <v>20</v>
      </c>
      <c r="H346" s="133" t="s">
        <v>21</v>
      </c>
      <c r="I346" s="133" t="s">
        <v>22</v>
      </c>
      <c r="J346" s="135" t="s">
        <v>23</v>
      </c>
      <c r="K346" s="135" t="s">
        <v>24</v>
      </c>
      <c r="L346" s="6" t="s">
        <v>184</v>
      </c>
      <c r="M346" s="93">
        <v>28</v>
      </c>
      <c r="N346" s="93">
        <v>60</v>
      </c>
      <c r="O346" s="6">
        <v>1</v>
      </c>
      <c r="P346" s="129">
        <v>1</v>
      </c>
      <c r="Q346" s="6">
        <v>264</v>
      </c>
      <c r="R346" s="98">
        <v>0.50049999999999994</v>
      </c>
      <c r="S346" s="94">
        <f>((Table3.110[[#This Row],[Sample weight, g]]*'2.1. DM'!Q111)/100)*1000</f>
        <v>478.63361904246204</v>
      </c>
      <c r="T346" s="94">
        <f>'3.2 Digest'!W346</f>
        <v>126.93361904246206</v>
      </c>
      <c r="U346" s="117">
        <v>0.36527777777777776</v>
      </c>
      <c r="V346" s="155">
        <v>41.5</v>
      </c>
      <c r="W346" s="117">
        <v>0.69166666666666665</v>
      </c>
      <c r="X346" s="97">
        <v>64</v>
      </c>
      <c r="Y346" s="97">
        <v>12.2</v>
      </c>
      <c r="Z346" s="155">
        <v>40</v>
      </c>
      <c r="AA346" s="117">
        <v>0.36458333333333331</v>
      </c>
      <c r="AB346" s="155">
        <v>60.5</v>
      </c>
      <c r="AC346" s="155">
        <v>16.7</v>
      </c>
      <c r="AD346" s="96"/>
      <c r="AE346" s="94">
        <f>Table3.110[[#This Row],[Gas 8h, ml]]-Table3.110[[#This Row],[Gas 0h, ml]]</f>
        <v>22.5</v>
      </c>
      <c r="AF346" s="94">
        <f>Table3.110[[#This Row],[Gas 24h, ml]]-Table3.110[[#This Row],[V8 Push back, ml]]</f>
        <v>20.5</v>
      </c>
      <c r="AG346" s="94">
        <f>Table3.110[[#This Row],[GP 8h, ml]]-(AVERAGE(AE$293,AE$294,AE$385,AE$386,AE$477,AE$478))*$AG$8</f>
        <v>21.246240428868305</v>
      </c>
      <c r="AH346" s="94">
        <f>Table3.110[[#This Row],[GP 8-24h, ml]]-(AVERAGE(AF$293,AF$294,AF$385,AF$386,AF$477,AF$478))*$AG$8</f>
        <v>18.508734798790837</v>
      </c>
      <c r="AI346" s="94">
        <f>Table3.110[[#This Row],[Net gas 8-24h, ml]]+Table3.110[[#This Row],[Net gas 8h, ml]]</f>
        <v>39.754975227659145</v>
      </c>
      <c r="AJ346" s="94">
        <f>Table3.110[[#This Row],[Net gas 8h, ml]]*Table3.110[[#This Row],[CH4 8h %]]%</f>
        <v>2.5920413323219331</v>
      </c>
      <c r="AK346" s="94">
        <f>Table3.110[[#This Row],[Net gas 8-24h, ml]]*Table3.110[[#This Row],[CH4 24h, %]]%</f>
        <v>3.0909587113980694</v>
      </c>
      <c r="AL346" s="94">
        <f>Table3.110[[#This Row],[CH4 8-24h, ml]]+Table3.110[[#This Row],[CH4 8h, ml]]</f>
        <v>5.6830000437200026</v>
      </c>
      <c r="AM346" s="94">
        <f>(Table3.110[[#This Row],[Net gas 24h, ml]]/Table3.110[[#This Row],[DM Incubated, mg]])*1000</f>
        <v>83.059303914320893</v>
      </c>
      <c r="AN346" s="94">
        <f>'3.2 Digest'!X346</f>
        <v>26.519996505134991</v>
      </c>
      <c r="AO346" s="94">
        <f>Table3.110[[#This Row],[Digested feed, mg]]/Table3.110[[#This Row],[Net gas 24h, ml]]</f>
        <v>3.1928989595785033</v>
      </c>
      <c r="AP346" s="94">
        <f>Table3.110[[#This Row],[CH4 8h, ml]]/Table3.110[[#This Row],[Net gas 8h, ml]]%</f>
        <v>12.2</v>
      </c>
      <c r="AQ346" s="94">
        <f>Table3.110[[#This Row],[CH4 24h, ml]]/Table3.110[[#This Row],[Net gas 24h, ml]]%</f>
        <v>14.295066243095302</v>
      </c>
      <c r="AR346" s="94">
        <f>Table3.110[[#This Row],[CH4 24h, ml]]/Table3.110[[#This Row],[DM Incubated, mg]]*1000</f>
        <v>11.873382515606023</v>
      </c>
      <c r="AS346" s="94">
        <f>Table3.110[[#This Row],[CH4 24h, ml]]/Table3.110[[#This Row],[Digested feed, mg]]*1000</f>
        <v>44.771433183662047</v>
      </c>
      <c r="AT346" s="94">
        <f>Table3.110[[#This Row],[CH4 24h, ml]]/'3.2 Digest'!AA346</f>
        <v>-0.44585725948482924</v>
      </c>
      <c r="AU346" s="94">
        <f>((Table3.110[[#This Row],[CH4 24h, ml]]/28.9)*16.04)/Table3.110[[#This Row],[DM Incubated, mg]]*1000</f>
        <v>6.5899327180041736</v>
      </c>
      <c r="AV346" s="94">
        <f>((Table3.110[[#This Row],[CH4 24h, ml]]/28.9)*16.04)/Table3.110[[#This Row],[Digested feed, mg]]*1000</f>
        <v>24.848920009202054</v>
      </c>
      <c r="AW346" s="303"/>
    </row>
    <row r="347" spans="1:49" s="304" customFormat="1" x14ac:dyDescent="0.35">
      <c r="A347" s="89"/>
      <c r="B347" s="90">
        <f t="shared" si="5"/>
        <v>337</v>
      </c>
      <c r="C347" s="140">
        <v>46048</v>
      </c>
      <c r="D347" s="6" t="s">
        <v>16</v>
      </c>
      <c r="E347" s="6" t="s">
        <v>185</v>
      </c>
      <c r="F347" s="133" t="s">
        <v>19</v>
      </c>
      <c r="G347" s="133" t="s">
        <v>20</v>
      </c>
      <c r="H347" s="133" t="s">
        <v>21</v>
      </c>
      <c r="I347" s="133" t="s">
        <v>22</v>
      </c>
      <c r="J347" s="135" t="s">
        <v>23</v>
      </c>
      <c r="K347" s="135" t="s">
        <v>24</v>
      </c>
      <c r="L347" s="6" t="s">
        <v>184</v>
      </c>
      <c r="M347" s="93">
        <v>28</v>
      </c>
      <c r="N347" s="93">
        <v>60</v>
      </c>
      <c r="O347" s="6">
        <v>1</v>
      </c>
      <c r="P347" s="129">
        <v>2</v>
      </c>
      <c r="Q347" s="6">
        <v>265</v>
      </c>
      <c r="R347" s="98">
        <v>0.50039999999999996</v>
      </c>
      <c r="S347" s="94">
        <f>((Table3.110[[#This Row],[Sample weight, g]]*'2.1. DM'!Q111)/100)*1000</f>
        <v>478.53798794974625</v>
      </c>
      <c r="T347" s="94">
        <f>'3.2 Digest'!W347</f>
        <v>70.43798794974623</v>
      </c>
      <c r="U347" s="153">
        <v>0.36527777777777776</v>
      </c>
      <c r="V347" s="154">
        <v>41.5</v>
      </c>
      <c r="W347" s="153">
        <v>0.69236111111111109</v>
      </c>
      <c r="X347" s="95">
        <v>63.5</v>
      </c>
      <c r="Y347" s="95">
        <v>12.4</v>
      </c>
      <c r="Z347" s="154">
        <v>41</v>
      </c>
      <c r="AA347" s="153">
        <v>0.36458333333333331</v>
      </c>
      <c r="AB347" s="154">
        <v>61</v>
      </c>
      <c r="AC347" s="154">
        <v>17.399999999999999</v>
      </c>
      <c r="AD347" s="91"/>
      <c r="AE347" s="94">
        <f>Table3.110[[#This Row],[Gas 8h, ml]]-Table3.110[[#This Row],[Gas 0h, ml]]</f>
        <v>22</v>
      </c>
      <c r="AF347" s="94">
        <f>Table3.110[[#This Row],[Gas 24h, ml]]-Table3.110[[#This Row],[V8 Push back, ml]]</f>
        <v>20</v>
      </c>
      <c r="AG347" s="94"/>
      <c r="AH347" s="94"/>
      <c r="AI347" s="94"/>
      <c r="AJ347" s="94"/>
      <c r="AK347" s="94"/>
      <c r="AL347" s="94"/>
      <c r="AM347" s="94"/>
      <c r="AN347" s="94"/>
      <c r="AO347" s="94"/>
      <c r="AP347" s="94"/>
      <c r="AQ347" s="94"/>
      <c r="AR347" s="94"/>
      <c r="AS347" s="94"/>
      <c r="AT347" s="94"/>
      <c r="AU347" s="94"/>
      <c r="AV347" s="94"/>
      <c r="AW347" s="303" t="s">
        <v>628</v>
      </c>
    </row>
    <row r="348" spans="1:49" s="304" customFormat="1" x14ac:dyDescent="0.35">
      <c r="A348" s="89"/>
      <c r="B348" s="90">
        <f t="shared" si="5"/>
        <v>338</v>
      </c>
      <c r="C348" s="140">
        <v>46048</v>
      </c>
      <c r="D348" s="6" t="s">
        <v>16</v>
      </c>
      <c r="E348" s="6" t="s">
        <v>185</v>
      </c>
      <c r="F348" s="133" t="s">
        <v>19</v>
      </c>
      <c r="G348" s="133" t="s">
        <v>20</v>
      </c>
      <c r="H348" s="133" t="s">
        <v>21</v>
      </c>
      <c r="I348" s="133" t="s">
        <v>22</v>
      </c>
      <c r="J348" s="135" t="s">
        <v>23</v>
      </c>
      <c r="K348" s="135" t="s">
        <v>24</v>
      </c>
      <c r="L348" s="6" t="s">
        <v>184</v>
      </c>
      <c r="M348" s="93">
        <v>28</v>
      </c>
      <c r="N348" s="93">
        <v>60</v>
      </c>
      <c r="O348" s="6">
        <v>1</v>
      </c>
      <c r="P348" s="129">
        <v>3</v>
      </c>
      <c r="Q348" s="6">
        <v>266</v>
      </c>
      <c r="R348" s="98">
        <v>0.5</v>
      </c>
      <c r="S348" s="94">
        <f>((Table3.110[[#This Row],[Sample weight, g]]*'2.1. DM'!Q111)/100)*1000</f>
        <v>478.1554635788832</v>
      </c>
      <c r="T348" s="94">
        <f>'3.2 Digest'!W348</f>
        <v>0</v>
      </c>
      <c r="U348" s="117">
        <v>0.3659722222222222</v>
      </c>
      <c r="V348" s="155">
        <v>42.5</v>
      </c>
      <c r="W348" s="117">
        <v>0.69236111111111109</v>
      </c>
      <c r="X348" s="97">
        <v>65.5</v>
      </c>
      <c r="Y348" s="97">
        <v>11.8</v>
      </c>
      <c r="Z348" s="155">
        <v>40.5</v>
      </c>
      <c r="AA348" s="117">
        <v>0.36527777777777776</v>
      </c>
      <c r="AB348" s="155">
        <v>59</v>
      </c>
      <c r="AC348" s="155">
        <v>17.399999999999999</v>
      </c>
      <c r="AD348" s="96"/>
      <c r="AE348" s="94">
        <f>Table3.110[[#This Row],[Gas 8h, ml]]-Table3.110[[#This Row],[Gas 0h, ml]]</f>
        <v>23</v>
      </c>
      <c r="AF348" s="94">
        <f>Table3.110[[#This Row],[Gas 24h, ml]]-Table3.110[[#This Row],[V8 Push back, ml]]</f>
        <v>18.5</v>
      </c>
      <c r="AG348" s="94"/>
      <c r="AH348" s="94"/>
      <c r="AI348" s="94"/>
      <c r="AJ348" s="94"/>
      <c r="AK348" s="94"/>
      <c r="AL348" s="94"/>
      <c r="AM348" s="94"/>
      <c r="AN348" s="94"/>
      <c r="AO348" s="94"/>
      <c r="AP348" s="94"/>
      <c r="AQ348" s="94"/>
      <c r="AR348" s="94"/>
      <c r="AS348" s="94"/>
      <c r="AT348" s="94"/>
      <c r="AU348" s="94"/>
      <c r="AV348" s="94"/>
      <c r="AW348" s="303" t="s">
        <v>611</v>
      </c>
    </row>
    <row r="349" spans="1:49" s="304" customFormat="1" x14ac:dyDescent="0.35">
      <c r="A349" s="89"/>
      <c r="B349" s="90">
        <f t="shared" si="5"/>
        <v>339</v>
      </c>
      <c r="C349" s="140">
        <v>46048</v>
      </c>
      <c r="D349" s="92"/>
      <c r="E349" s="6" t="s">
        <v>187</v>
      </c>
      <c r="F349" s="133" t="s">
        <v>105</v>
      </c>
      <c r="G349" s="133" t="s">
        <v>188</v>
      </c>
      <c r="H349" s="133" t="s">
        <v>189</v>
      </c>
      <c r="I349" s="133" t="s">
        <v>108</v>
      </c>
      <c r="J349" s="135" t="s">
        <v>109</v>
      </c>
      <c r="K349" s="135" t="s">
        <v>110</v>
      </c>
      <c r="L349" s="6" t="s">
        <v>186</v>
      </c>
      <c r="M349" s="93">
        <v>28</v>
      </c>
      <c r="N349" s="93">
        <v>60</v>
      </c>
      <c r="O349" s="6">
        <v>1</v>
      </c>
      <c r="P349" s="129">
        <v>1</v>
      </c>
      <c r="Q349" s="6">
        <v>267</v>
      </c>
      <c r="R349" s="98">
        <v>0.50029999999999997</v>
      </c>
      <c r="S349" s="94">
        <f>((Table3.110[[#This Row],[Sample weight, g]]*'2.1. DM'!Q113)/100)*1000</f>
        <v>474.49097469269549</v>
      </c>
      <c r="T349" s="94">
        <f>'3.2 Digest'!W349</f>
        <v>226.39097469269549</v>
      </c>
      <c r="U349" s="153">
        <v>0.3659722222222222</v>
      </c>
      <c r="V349" s="154">
        <v>41</v>
      </c>
      <c r="W349" s="153">
        <v>0.69305555555555554</v>
      </c>
      <c r="X349" s="95">
        <v>78</v>
      </c>
      <c r="Y349" s="95">
        <v>13.3</v>
      </c>
      <c r="Z349" s="154">
        <v>40.5</v>
      </c>
      <c r="AA349" s="153">
        <v>0.36527777777777776</v>
      </c>
      <c r="AB349" s="154">
        <v>88.5</v>
      </c>
      <c r="AC349" s="154">
        <v>15.1</v>
      </c>
      <c r="AD349" s="91"/>
      <c r="AE349" s="94">
        <f>Table3.110[[#This Row],[Gas 8h, ml]]-Table3.110[[#This Row],[Gas 0h, ml]]</f>
        <v>37</v>
      </c>
      <c r="AF349" s="94">
        <f>Table3.110[[#This Row],[Gas 24h, ml]]-Table3.110[[#This Row],[V8 Push back, ml]]</f>
        <v>48</v>
      </c>
      <c r="AG349" s="94"/>
      <c r="AH349" s="94"/>
      <c r="AI349" s="94"/>
      <c r="AJ349" s="94"/>
      <c r="AK349" s="94"/>
      <c r="AL349" s="94"/>
      <c r="AM349" s="94"/>
      <c r="AN349" s="94"/>
      <c r="AO349" s="94"/>
      <c r="AP349" s="94"/>
      <c r="AQ349" s="94"/>
      <c r="AR349" s="94"/>
      <c r="AS349" s="94"/>
      <c r="AT349" s="94"/>
      <c r="AU349" s="94"/>
      <c r="AV349" s="94"/>
      <c r="AW349" s="303" t="s">
        <v>611</v>
      </c>
    </row>
    <row r="350" spans="1:49" s="304" customFormat="1" x14ac:dyDescent="0.35">
      <c r="A350" s="89"/>
      <c r="B350" s="90">
        <f t="shared" si="5"/>
        <v>340</v>
      </c>
      <c r="C350" s="140">
        <v>46048</v>
      </c>
      <c r="D350" s="92"/>
      <c r="E350" s="6" t="s">
        <v>187</v>
      </c>
      <c r="F350" s="133" t="s">
        <v>105</v>
      </c>
      <c r="G350" s="133" t="s">
        <v>188</v>
      </c>
      <c r="H350" s="133" t="s">
        <v>189</v>
      </c>
      <c r="I350" s="133" t="s">
        <v>108</v>
      </c>
      <c r="J350" s="135" t="s">
        <v>109</v>
      </c>
      <c r="K350" s="135" t="s">
        <v>110</v>
      </c>
      <c r="L350" s="6" t="s">
        <v>186</v>
      </c>
      <c r="M350" s="93">
        <v>28</v>
      </c>
      <c r="N350" s="93">
        <v>60</v>
      </c>
      <c r="O350" s="6">
        <v>1</v>
      </c>
      <c r="P350" s="129">
        <v>2</v>
      </c>
      <c r="Q350" s="6">
        <v>268</v>
      </c>
      <c r="R350" s="98">
        <v>0.50060000000000004</v>
      </c>
      <c r="S350" s="94">
        <f>((Table3.110[[#This Row],[Sample weight, g]]*'2.1. DM'!Q113)/100)*1000</f>
        <v>474.77549856318888</v>
      </c>
      <c r="T350" s="94">
        <f>'3.2 Digest'!W350</f>
        <v>98.975498563188978</v>
      </c>
      <c r="U350" s="117">
        <v>0.36666666666666664</v>
      </c>
      <c r="V350" s="155">
        <v>41</v>
      </c>
      <c r="W350" s="117">
        <v>0.69374999999999998</v>
      </c>
      <c r="X350" s="97">
        <v>77.5</v>
      </c>
      <c r="Y350" s="97">
        <v>13.5</v>
      </c>
      <c r="Z350" s="155">
        <v>40.5</v>
      </c>
      <c r="AA350" s="117">
        <v>0.3659722222222222</v>
      </c>
      <c r="AB350" s="155">
        <v>89.5</v>
      </c>
      <c r="AC350" s="155">
        <v>14.9</v>
      </c>
      <c r="AD350" s="103"/>
      <c r="AE350" s="94">
        <f>Table3.110[[#This Row],[Gas 8h, ml]]-Table3.110[[#This Row],[Gas 0h, ml]]</f>
        <v>36.5</v>
      </c>
      <c r="AF350" s="94">
        <f>Table3.110[[#This Row],[Gas 24h, ml]]-Table3.110[[#This Row],[V8 Push back, ml]]</f>
        <v>49</v>
      </c>
      <c r="AG350" s="94">
        <f>Table3.110[[#This Row],[GP 8h, ml]]-(AVERAGE(AE$293,AE$294,AE$385,AE$386,AE$477,AE$478))*$AG$8</f>
        <v>35.246240428868305</v>
      </c>
      <c r="AH350" s="94">
        <f>Table3.110[[#This Row],[GP 8-24h, ml]]-(AVERAGE(AF$293,AF$294,AF$385,AF$386,AF$477,AF$478))*$AG$8</f>
        <v>47.00873479879084</v>
      </c>
      <c r="AI350" s="94">
        <f>Table3.110[[#This Row],[Net gas 8-24h, ml]]+Table3.110[[#This Row],[Net gas 8h, ml]]</f>
        <v>82.254975227659145</v>
      </c>
      <c r="AJ350" s="94">
        <f>Table3.110[[#This Row],[Net gas 8h, ml]]*Table3.110[[#This Row],[CH4 8h %]]%</f>
        <v>4.7582424578972216</v>
      </c>
      <c r="AK350" s="94">
        <f>Table3.110[[#This Row],[Net gas 8-24h, ml]]*Table3.110[[#This Row],[CH4 24h, %]]%</f>
        <v>7.0043014850198348</v>
      </c>
      <c r="AL350" s="94">
        <f>Table3.110[[#This Row],[CH4 8-24h, ml]]+Table3.110[[#This Row],[CH4 8h, ml]]</f>
        <v>11.762543942917056</v>
      </c>
      <c r="AM350" s="94">
        <f>(Table3.110[[#This Row],[Net gas 24h, ml]]/Table3.110[[#This Row],[DM Incubated, mg]])*1000</f>
        <v>173.25025296500564</v>
      </c>
      <c r="AN350" s="94">
        <f>'3.2 Digest'!X350</f>
        <v>20.846799984986191</v>
      </c>
      <c r="AO350" s="94">
        <f>Table3.110[[#This Row],[Digested feed, mg]]/Table3.110[[#This Row],[Net gas 24h, ml]]</f>
        <v>1.2032767414889132</v>
      </c>
      <c r="AP350" s="94">
        <f>Table3.110[[#This Row],[CH4 8h, ml]]/Table3.110[[#This Row],[Net gas 8h, ml]]%</f>
        <v>13.500000000000002</v>
      </c>
      <c r="AQ350" s="94">
        <f>Table3.110[[#This Row],[CH4 24h, ml]]/Table3.110[[#This Row],[Net gas 24h, ml]]%</f>
        <v>14.30010028008831</v>
      </c>
      <c r="AR350" s="94">
        <f>Table3.110[[#This Row],[CH4 24h, ml]]/Table3.110[[#This Row],[DM Incubated, mg]]*1000</f>
        <v>24.774959909502478</v>
      </c>
      <c r="AS350" s="94">
        <f>Table3.110[[#This Row],[CH4 24h, ml]]/Table3.110[[#This Row],[Digested feed, mg]]*1000</f>
        <v>118.84298754410911</v>
      </c>
      <c r="AT350" s="94">
        <f>Table3.110[[#This Row],[CH4 24h, ml]]/'3.2 Digest'!AA350</f>
        <v>-0.72288334774215024</v>
      </c>
      <c r="AU350" s="94">
        <f>((Table3.110[[#This Row],[CH4 24h, ml]]/28.9)*16.04)/Table3.110[[#This Row],[DM Incubated, mg]]*1000</f>
        <v>13.750531382298263</v>
      </c>
      <c r="AV350" s="94">
        <f>((Table3.110[[#This Row],[CH4 24h, ml]]/28.9)*16.04)/Table3.110[[#This Row],[Digested feed, mg]]*1000</f>
        <v>65.959914194031498</v>
      </c>
      <c r="AW350" s="303"/>
    </row>
    <row r="351" spans="1:49" s="304" customFormat="1" x14ac:dyDescent="0.35">
      <c r="A351" s="89"/>
      <c r="B351" s="90">
        <f t="shared" si="5"/>
        <v>341</v>
      </c>
      <c r="C351" s="140">
        <v>46048</v>
      </c>
      <c r="D351" s="92"/>
      <c r="E351" s="6" t="s">
        <v>187</v>
      </c>
      <c r="F351" s="133" t="s">
        <v>105</v>
      </c>
      <c r="G351" s="133" t="s">
        <v>188</v>
      </c>
      <c r="H351" s="133" t="s">
        <v>189</v>
      </c>
      <c r="I351" s="133" t="s">
        <v>108</v>
      </c>
      <c r="J351" s="135" t="s">
        <v>109</v>
      </c>
      <c r="K351" s="135" t="s">
        <v>110</v>
      </c>
      <c r="L351" s="6" t="s">
        <v>186</v>
      </c>
      <c r="M351" s="93">
        <v>28</v>
      </c>
      <c r="N351" s="93">
        <v>60</v>
      </c>
      <c r="O351" s="6">
        <v>1</v>
      </c>
      <c r="P351" s="129">
        <v>3</v>
      </c>
      <c r="Q351" s="6">
        <v>269</v>
      </c>
      <c r="R351" s="98">
        <v>0.50009999999999999</v>
      </c>
      <c r="S351" s="94">
        <f>((Table3.110[[#This Row],[Sample weight, g]]*'2.1. DM'!Q113)/100)*1000</f>
        <v>474.30129211236658</v>
      </c>
      <c r="T351" s="94">
        <f>'3.2 Digest'!W351</f>
        <v>133.30129211236664</v>
      </c>
      <c r="U351" s="153">
        <v>0.36666666666666664</v>
      </c>
      <c r="V351" s="154">
        <v>41</v>
      </c>
      <c r="W351" s="153">
        <v>0.69374999999999998</v>
      </c>
      <c r="X351" s="95">
        <v>77</v>
      </c>
      <c r="Y351" s="95">
        <v>13.2</v>
      </c>
      <c r="Z351" s="154">
        <v>40</v>
      </c>
      <c r="AA351" s="153">
        <v>0.3659722222222222</v>
      </c>
      <c r="AB351" s="154">
        <v>89.5</v>
      </c>
      <c r="AC351" s="154">
        <v>14.4</v>
      </c>
      <c r="AD351" s="91"/>
      <c r="AE351" s="94">
        <f>Table3.110[[#This Row],[Gas 8h, ml]]-Table3.110[[#This Row],[Gas 0h, ml]]</f>
        <v>36</v>
      </c>
      <c r="AF351" s="94">
        <f>Table3.110[[#This Row],[Gas 24h, ml]]-Table3.110[[#This Row],[V8 Push back, ml]]</f>
        <v>49.5</v>
      </c>
      <c r="AG351" s="94">
        <f>Table3.110[[#This Row],[GP 8h, ml]]-(AVERAGE(AE$293,AE$294,AE$385,AE$386,AE$477,AE$478))*$AG$8</f>
        <v>34.746240428868305</v>
      </c>
      <c r="AH351" s="94">
        <f>Table3.110[[#This Row],[GP 8-24h, ml]]-(AVERAGE(AF$293,AF$294,AF$385,AF$386,AF$477,AF$478))*$AG$8</f>
        <v>47.50873479879084</v>
      </c>
      <c r="AI351" s="94">
        <f>Table3.110[[#This Row],[Net gas 8-24h, ml]]+Table3.110[[#This Row],[Net gas 8h, ml]]</f>
        <v>82.254975227659145</v>
      </c>
      <c r="AJ351" s="94">
        <f>Table3.110[[#This Row],[Net gas 8h, ml]]*Table3.110[[#This Row],[CH4 8h %]]%</f>
        <v>4.5865037366106165</v>
      </c>
      <c r="AK351" s="94">
        <f>Table3.110[[#This Row],[Net gas 8-24h, ml]]*Table3.110[[#This Row],[CH4 24h, %]]%</f>
        <v>6.8412578110258817</v>
      </c>
      <c r="AL351" s="94">
        <f>Table3.110[[#This Row],[CH4 8-24h, ml]]+Table3.110[[#This Row],[CH4 8h, ml]]</f>
        <v>11.427761547636498</v>
      </c>
      <c r="AM351" s="94">
        <f>(Table3.110[[#This Row],[Net gas 24h, ml]]/Table3.110[[#This Row],[DM Incubated, mg]])*1000</f>
        <v>173.42346857484873</v>
      </c>
      <c r="AN351" s="94">
        <f>'3.2 Digest'!X351</f>
        <v>28.104771024065915</v>
      </c>
      <c r="AO351" s="94">
        <f>Table3.110[[#This Row],[Digested feed, mg]]/Table3.110[[#This Row],[Net gas 24h, ml]]</f>
        <v>1.620586374786757</v>
      </c>
      <c r="AP351" s="94">
        <f>Table3.110[[#This Row],[CH4 8h, ml]]/Table3.110[[#This Row],[Net gas 8h, ml]]%</f>
        <v>13.200000000000001</v>
      </c>
      <c r="AQ351" s="94">
        <f>Table3.110[[#This Row],[CH4 24h, ml]]/Table3.110[[#This Row],[Net gas 24h, ml]]%</f>
        <v>13.893094631671334</v>
      </c>
      <c r="AR351" s="94">
        <f>Table3.110[[#This Row],[CH4 24h, ml]]/Table3.110[[#This Row],[DM Incubated, mg]]*1000</f>
        <v>24.09388660263053</v>
      </c>
      <c r="AS351" s="94">
        <f>Table3.110[[#This Row],[CH4 24h, ml]]/Table3.110[[#This Row],[Digested feed, mg]]*1000</f>
        <v>85.728813026084097</v>
      </c>
      <c r="AT351" s="94">
        <f>Table3.110[[#This Row],[CH4 24h, ml]]/'3.2 Digest'!AA351</f>
        <v>-2.0369821375980766</v>
      </c>
      <c r="AU351" s="94">
        <f>((Table3.110[[#This Row],[CH4 24h, ml]]/28.9)*16.04)/Table3.110[[#This Row],[DM Incubated, mg]]*1000</f>
        <v>13.372523913709125</v>
      </c>
      <c r="AV351" s="94">
        <f>((Table3.110[[#This Row],[CH4 24h, ml]]/28.9)*16.04)/Table3.110[[#This Row],[Digested feed, mg]]*1000</f>
        <v>47.580974426933878</v>
      </c>
      <c r="AW351" s="303"/>
    </row>
    <row r="352" spans="1:49" s="304" customFormat="1" x14ac:dyDescent="0.35">
      <c r="A352" s="89"/>
      <c r="B352" s="90">
        <f t="shared" si="5"/>
        <v>342</v>
      </c>
      <c r="C352" s="140">
        <v>46048</v>
      </c>
      <c r="D352" s="92"/>
      <c r="E352" s="6" t="s">
        <v>193</v>
      </c>
      <c r="F352" s="133" t="s">
        <v>105</v>
      </c>
      <c r="G352" s="133" t="s">
        <v>188</v>
      </c>
      <c r="H352" s="133" t="s">
        <v>189</v>
      </c>
      <c r="I352" s="133" t="s">
        <v>108</v>
      </c>
      <c r="J352" s="135" t="s">
        <v>109</v>
      </c>
      <c r="K352" s="135" t="s">
        <v>110</v>
      </c>
      <c r="L352" s="6" t="s">
        <v>192</v>
      </c>
      <c r="M352" s="93">
        <v>28</v>
      </c>
      <c r="N352" s="93">
        <v>60</v>
      </c>
      <c r="O352" s="6">
        <v>1</v>
      </c>
      <c r="P352" s="129">
        <v>1</v>
      </c>
      <c r="Q352" s="6">
        <v>270</v>
      </c>
      <c r="R352" s="98">
        <v>0.50019999999999998</v>
      </c>
      <c r="S352" s="94">
        <f>((Table3.110[[#This Row],[Sample weight, g]]*'2.1. DM'!Q115)/100)*1000</f>
        <v>475.56995000000012</v>
      </c>
      <c r="T352" s="94">
        <f>'3.2 Digest'!W352</f>
        <v>184.4699500000001</v>
      </c>
      <c r="U352" s="117">
        <v>0.36736111111111114</v>
      </c>
      <c r="V352" s="155">
        <v>40.5</v>
      </c>
      <c r="W352" s="117">
        <v>0.69513888888888886</v>
      </c>
      <c r="X352" s="97">
        <v>73.5</v>
      </c>
      <c r="Y352" s="97">
        <v>13.7</v>
      </c>
      <c r="Z352" s="155">
        <v>40</v>
      </c>
      <c r="AA352" s="117">
        <v>0.36666666666666664</v>
      </c>
      <c r="AB352" s="155">
        <v>90</v>
      </c>
      <c r="AC352" s="155">
        <v>14.6</v>
      </c>
      <c r="AD352" s="96"/>
      <c r="AE352" s="94">
        <f>Table3.110[[#This Row],[Gas 8h, ml]]-Table3.110[[#This Row],[Gas 0h, ml]]</f>
        <v>33</v>
      </c>
      <c r="AF352" s="94">
        <f>Table3.110[[#This Row],[Gas 24h, ml]]-Table3.110[[#This Row],[V8 Push back, ml]]</f>
        <v>50</v>
      </c>
      <c r="AG352" s="94">
        <f>Table3.110[[#This Row],[GP 8h, ml]]-(AVERAGE(AE$293,AE$294,AE$385,AE$386,AE$477,AE$478))*$AG$8</f>
        <v>31.746240428868305</v>
      </c>
      <c r="AH352" s="94">
        <f>Table3.110[[#This Row],[GP 8-24h, ml]]-(AVERAGE(AF$293,AF$294,AF$385,AF$386,AF$477,AF$478))*$AG$8</f>
        <v>48.00873479879084</v>
      </c>
      <c r="AI352" s="94">
        <f>Table3.110[[#This Row],[Net gas 8-24h, ml]]+Table3.110[[#This Row],[Net gas 8h, ml]]</f>
        <v>79.754975227659145</v>
      </c>
      <c r="AJ352" s="94">
        <f>Table3.110[[#This Row],[Net gas 8h, ml]]*Table3.110[[#This Row],[CH4 8h %]]%</f>
        <v>4.3492349387549574</v>
      </c>
      <c r="AK352" s="94">
        <f>Table3.110[[#This Row],[Net gas 8-24h, ml]]*Table3.110[[#This Row],[CH4 24h, %]]%</f>
        <v>7.0092752806234619</v>
      </c>
      <c r="AL352" s="94">
        <f>Table3.110[[#This Row],[CH4 8-24h, ml]]+Table3.110[[#This Row],[CH4 8h, ml]]</f>
        <v>11.35851021937842</v>
      </c>
      <c r="AM352" s="94">
        <f>(Table3.110[[#This Row],[Net gas 24h, ml]]/Table3.110[[#This Row],[DM Incubated, mg]])*1000</f>
        <v>167.70398387799551</v>
      </c>
      <c r="AN352" s="94">
        <f>'3.2 Digest'!X352</f>
        <v>38.78923594730913</v>
      </c>
      <c r="AO352" s="94">
        <f>Table3.110[[#This Row],[Digested feed, mg]]/Table3.110[[#This Row],[Net gas 24h, ml]]</f>
        <v>2.3129585267054993</v>
      </c>
      <c r="AP352" s="94">
        <f>Table3.110[[#This Row],[CH4 8h, ml]]/Table3.110[[#This Row],[Net gas 8h, ml]]%</f>
        <v>13.7</v>
      </c>
      <c r="AQ352" s="94">
        <f>Table3.110[[#This Row],[CH4 24h, ml]]/Table3.110[[#This Row],[Net gas 24h, ml]]%</f>
        <v>14.241757566792238</v>
      </c>
      <c r="AR352" s="94">
        <f>Table3.110[[#This Row],[CH4 24h, ml]]/Table3.110[[#This Row],[DM Incubated, mg]]*1000</f>
        <v>23.883994813756455</v>
      </c>
      <c r="AS352" s="94">
        <f>Table3.110[[#This Row],[CH4 24h, ml]]/Table3.110[[#This Row],[Digested feed, mg]]*1000</f>
        <v>61.573769708174225</v>
      </c>
      <c r="AT352" s="94">
        <f>Table3.110[[#This Row],[CH4 24h, ml]]/'3.2 Digest'!AA352</f>
        <v>1.0921759022800521</v>
      </c>
      <c r="AU352" s="94">
        <f>((Table3.110[[#This Row],[CH4 24h, ml]]/28.9)*16.04)/Table3.110[[#This Row],[DM Incubated, mg]]*1000</f>
        <v>13.256030339538185</v>
      </c>
      <c r="AV352" s="94">
        <f>((Table3.110[[#This Row],[CH4 24h, ml]]/28.9)*16.04)/Table3.110[[#This Row],[Digested feed, mg]]*1000</f>
        <v>34.17450747817005</v>
      </c>
      <c r="AW352" s="303"/>
    </row>
    <row r="353" spans="1:49" s="304" customFormat="1" x14ac:dyDescent="0.35">
      <c r="A353" s="89"/>
      <c r="B353" s="90">
        <f t="shared" si="5"/>
        <v>343</v>
      </c>
      <c r="C353" s="140">
        <v>46048</v>
      </c>
      <c r="D353" s="92"/>
      <c r="E353" s="6" t="s">
        <v>193</v>
      </c>
      <c r="F353" s="133" t="s">
        <v>105</v>
      </c>
      <c r="G353" s="133" t="s">
        <v>188</v>
      </c>
      <c r="H353" s="133" t="s">
        <v>189</v>
      </c>
      <c r="I353" s="133" t="s">
        <v>108</v>
      </c>
      <c r="J353" s="135" t="s">
        <v>109</v>
      </c>
      <c r="K353" s="135" t="s">
        <v>110</v>
      </c>
      <c r="L353" s="6" t="s">
        <v>192</v>
      </c>
      <c r="M353" s="93">
        <v>28</v>
      </c>
      <c r="N353" s="93">
        <v>60</v>
      </c>
      <c r="O353" s="6">
        <v>1</v>
      </c>
      <c r="P353" s="129">
        <v>2</v>
      </c>
      <c r="Q353" s="6">
        <v>271</v>
      </c>
      <c r="R353" s="98">
        <v>0.50039999999999996</v>
      </c>
      <c r="S353" s="94">
        <f>((Table3.110[[#This Row],[Sample weight, g]]*'2.1. DM'!Q115)/100)*1000</f>
        <v>475.7601019192324</v>
      </c>
      <c r="T353" s="94">
        <f>'3.2 Digest'!W353</f>
        <v>112.56010191923241</v>
      </c>
      <c r="U353" s="153">
        <v>0.36736111111111114</v>
      </c>
      <c r="V353" s="155">
        <v>40.5</v>
      </c>
      <c r="W353" s="153">
        <v>0.69513888888888886</v>
      </c>
      <c r="X353" s="95">
        <v>74.5</v>
      </c>
      <c r="Y353" s="95">
        <v>14</v>
      </c>
      <c r="Z353" s="154">
        <v>40</v>
      </c>
      <c r="AA353" s="153">
        <v>0.36666666666666664</v>
      </c>
      <c r="AB353" s="154">
        <v>89.5</v>
      </c>
      <c r="AC353" s="154">
        <v>14.7</v>
      </c>
      <c r="AD353" s="91"/>
      <c r="AE353" s="94">
        <f>Table3.110[[#This Row],[Gas 8h, ml]]-Table3.110[[#This Row],[Gas 0h, ml]]</f>
        <v>34</v>
      </c>
      <c r="AF353" s="94">
        <f>Table3.110[[#This Row],[Gas 24h, ml]]-Table3.110[[#This Row],[V8 Push back, ml]]</f>
        <v>49.5</v>
      </c>
      <c r="AG353" s="94">
        <f>Table3.110[[#This Row],[GP 8h, ml]]-(AVERAGE(AE$293,AE$294,AE$385,AE$386,AE$477,AE$478))*$AG$8</f>
        <v>32.746240428868305</v>
      </c>
      <c r="AH353" s="94">
        <f>Table3.110[[#This Row],[GP 8-24h, ml]]-(AVERAGE(AF$293,AF$294,AF$385,AF$386,AF$477,AF$478))*$AG$8</f>
        <v>47.50873479879084</v>
      </c>
      <c r="AI353" s="94">
        <f>Table3.110[[#This Row],[Net gas 8-24h, ml]]+Table3.110[[#This Row],[Net gas 8h, ml]]</f>
        <v>80.254975227659145</v>
      </c>
      <c r="AJ353" s="94">
        <f>Table3.110[[#This Row],[Net gas 8h, ml]]*Table3.110[[#This Row],[CH4 8h %]]%</f>
        <v>4.5844736600415628</v>
      </c>
      <c r="AK353" s="94">
        <f>Table3.110[[#This Row],[Net gas 8-24h, ml]]*Table3.110[[#This Row],[CH4 24h, %]]%</f>
        <v>6.9837840154222528</v>
      </c>
      <c r="AL353" s="94">
        <f>Table3.110[[#This Row],[CH4 8-24h, ml]]+Table3.110[[#This Row],[CH4 8h, ml]]</f>
        <v>11.568257675463816</v>
      </c>
      <c r="AM353" s="94">
        <f>(Table3.110[[#This Row],[Net gas 24h, ml]]/Table3.110[[#This Row],[DM Incubated, mg]])*1000</f>
        <v>168.68790574053571</v>
      </c>
      <c r="AN353" s="94">
        <f>'3.2 Digest'!X353</f>
        <v>23.659004078980381</v>
      </c>
      <c r="AO353" s="94">
        <f>Table3.110[[#This Row],[Digested feed, mg]]/Table3.110[[#This Row],[Net gas 24h, ml]]</f>
        <v>1.4025311402805043</v>
      </c>
      <c r="AP353" s="94">
        <f>Table3.110[[#This Row],[CH4 8h, ml]]/Table3.110[[#This Row],[Net gas 8h, ml]]%</f>
        <v>14</v>
      </c>
      <c r="AQ353" s="94">
        <f>Table3.110[[#This Row],[CH4 24h, ml]]/Table3.110[[#This Row],[Net gas 24h, ml]]%</f>
        <v>14.414380719261528</v>
      </c>
      <c r="AR353" s="94">
        <f>Table3.110[[#This Row],[CH4 24h, ml]]/Table3.110[[#This Row],[DM Incubated, mg]]*1000</f>
        <v>24.315316960789843</v>
      </c>
      <c r="AS353" s="94">
        <f>Table3.110[[#This Row],[CH4 24h, ml]]/Table3.110[[#This Row],[Digested feed, mg]]*1000</f>
        <v>102.77405117991655</v>
      </c>
      <c r="AT353" s="94">
        <f>Table3.110[[#This Row],[CH4 24h, ml]]/'3.2 Digest'!AA353</f>
        <v>-0.98472605447762174</v>
      </c>
      <c r="AU353" s="94">
        <f>((Table3.110[[#This Row],[CH4 24h, ml]]/28.9)*16.04)/Table3.110[[#This Row],[DM Incubated, mg]]*1000</f>
        <v>13.495421593462597</v>
      </c>
      <c r="AV353" s="94">
        <f>((Table3.110[[#This Row],[CH4 24h, ml]]/28.9)*16.04)/Table3.110[[#This Row],[Digested feed, mg]]*1000</f>
        <v>57.041376502624971</v>
      </c>
      <c r="AW353" s="303"/>
    </row>
    <row r="354" spans="1:49" s="304" customFormat="1" x14ac:dyDescent="0.35">
      <c r="A354" s="89"/>
      <c r="B354" s="90">
        <f t="shared" si="5"/>
        <v>344</v>
      </c>
      <c r="C354" s="140">
        <v>46048</v>
      </c>
      <c r="D354" s="92"/>
      <c r="E354" s="6" t="s">
        <v>193</v>
      </c>
      <c r="F354" s="133" t="s">
        <v>105</v>
      </c>
      <c r="G354" s="133" t="s">
        <v>188</v>
      </c>
      <c r="H354" s="133" t="s">
        <v>189</v>
      </c>
      <c r="I354" s="133" t="s">
        <v>108</v>
      </c>
      <c r="J354" s="135" t="s">
        <v>109</v>
      </c>
      <c r="K354" s="135" t="s">
        <v>110</v>
      </c>
      <c r="L354" s="6" t="s">
        <v>192</v>
      </c>
      <c r="M354" s="93">
        <v>28</v>
      </c>
      <c r="N354" s="93">
        <v>60</v>
      </c>
      <c r="O354" s="6">
        <v>1</v>
      </c>
      <c r="P354" s="129">
        <v>3</v>
      </c>
      <c r="Q354" s="6">
        <v>272</v>
      </c>
      <c r="R354" s="98">
        <v>0.50039999999999996</v>
      </c>
      <c r="S354" s="94">
        <f>((Table3.110[[#This Row],[Sample weight, g]]*'2.1. DM'!Q115)/100)*1000</f>
        <v>475.7601019192324</v>
      </c>
      <c r="T354" s="94">
        <f>'3.2 Digest'!W354</f>
        <v>158.76010191923234</v>
      </c>
      <c r="U354" s="117">
        <v>0.36805555555555558</v>
      </c>
      <c r="V354" s="155">
        <v>40.5</v>
      </c>
      <c r="W354" s="117">
        <v>0.6958333333333333</v>
      </c>
      <c r="X354" s="97">
        <v>74.5</v>
      </c>
      <c r="Y354" s="97">
        <v>13.9</v>
      </c>
      <c r="Z354" s="155">
        <v>40</v>
      </c>
      <c r="AA354" s="117">
        <v>0.36736111111111114</v>
      </c>
      <c r="AB354" s="155">
        <v>92.5</v>
      </c>
      <c r="AC354" s="155">
        <v>14.7</v>
      </c>
      <c r="AD354" s="96"/>
      <c r="AE354" s="94">
        <f>Table3.110[[#This Row],[Gas 8h, ml]]-Table3.110[[#This Row],[Gas 0h, ml]]</f>
        <v>34</v>
      </c>
      <c r="AF354" s="94">
        <f>Table3.110[[#This Row],[Gas 24h, ml]]-Table3.110[[#This Row],[V8 Push back, ml]]</f>
        <v>52.5</v>
      </c>
      <c r="AG354" s="94">
        <f>Table3.110[[#This Row],[GP 8h, ml]]-(AVERAGE(AE$293,AE$294,AE$385,AE$386,AE$477,AE$478))*$AG$8</f>
        <v>32.746240428868305</v>
      </c>
      <c r="AH354" s="94">
        <f>Table3.110[[#This Row],[GP 8-24h, ml]]-(AVERAGE(AF$293,AF$294,AF$385,AF$386,AF$477,AF$478))*$AG$8</f>
        <v>50.50873479879084</v>
      </c>
      <c r="AI354" s="94">
        <f>Table3.110[[#This Row],[Net gas 8-24h, ml]]+Table3.110[[#This Row],[Net gas 8h, ml]]</f>
        <v>83.254975227659145</v>
      </c>
      <c r="AJ354" s="94">
        <f>Table3.110[[#This Row],[Net gas 8h, ml]]*Table3.110[[#This Row],[CH4 8h %]]%</f>
        <v>4.5517274196126944</v>
      </c>
      <c r="AK354" s="94">
        <f>Table3.110[[#This Row],[Net gas 8-24h, ml]]*Table3.110[[#This Row],[CH4 24h, %]]%</f>
        <v>7.4247840154222535</v>
      </c>
      <c r="AL354" s="94">
        <f>Table3.110[[#This Row],[CH4 8-24h, ml]]+Table3.110[[#This Row],[CH4 8h, ml]]</f>
        <v>11.976511435034947</v>
      </c>
      <c r="AM354" s="94">
        <f>(Table3.110[[#This Row],[Net gas 24h, ml]]/Table3.110[[#This Row],[DM Incubated, mg]])*1000</f>
        <v>174.99360474282258</v>
      </c>
      <c r="AN354" s="94">
        <f>'3.2 Digest'!X354</f>
        <v>33.369780542502134</v>
      </c>
      <c r="AO354" s="94">
        <f>Table3.110[[#This Row],[Digested feed, mg]]/Table3.110[[#This Row],[Net gas 24h, ml]]</f>
        <v>1.906914289327525</v>
      </c>
      <c r="AP354" s="94">
        <f>Table3.110[[#This Row],[CH4 8h, ml]]/Table3.110[[#This Row],[Net gas 8h, ml]]%</f>
        <v>13.9</v>
      </c>
      <c r="AQ354" s="94">
        <f>Table3.110[[#This Row],[CH4 24h, ml]]/Table3.110[[#This Row],[Net gas 24h, ml]]%</f>
        <v>14.385340218149612</v>
      </c>
      <c r="AR354" s="94">
        <f>Table3.110[[#This Row],[CH4 24h, ml]]/Table3.110[[#This Row],[DM Incubated, mg]]*1000</f>
        <v>25.173425402259024</v>
      </c>
      <c r="AS354" s="94">
        <f>Table3.110[[#This Row],[CH4 24h, ml]]/Table3.110[[#This Row],[Digested feed, mg]]*1000</f>
        <v>75.437791298016933</v>
      </c>
      <c r="AT354" s="94">
        <f>Table3.110[[#This Row],[CH4 24h, ml]]/'3.2 Digest'!AA354</f>
        <v>4.8548627092239798</v>
      </c>
      <c r="AU354" s="94">
        <f>((Table3.110[[#This Row],[CH4 24h, ml]]/28.9)*16.04)/Table3.110[[#This Row],[DM Incubated, mg]]*1000</f>
        <v>13.971686624644802</v>
      </c>
      <c r="AV354" s="94">
        <f>((Table3.110[[#This Row],[CH4 24h, ml]]/28.9)*16.04)/Table3.110[[#This Row],[Digested feed, mg]]*1000</f>
        <v>41.869279322497981</v>
      </c>
      <c r="AW354" s="303"/>
    </row>
    <row r="355" spans="1:49" s="304" customFormat="1" x14ac:dyDescent="0.35">
      <c r="A355" s="89"/>
      <c r="B355" s="90">
        <f t="shared" si="5"/>
        <v>345</v>
      </c>
      <c r="C355" s="140">
        <v>46048</v>
      </c>
      <c r="D355" s="92"/>
      <c r="E355" s="6" t="s">
        <v>195</v>
      </c>
      <c r="F355" s="133" t="s">
        <v>105</v>
      </c>
      <c r="G355" s="133" t="s">
        <v>188</v>
      </c>
      <c r="H355" s="133" t="s">
        <v>189</v>
      </c>
      <c r="I355" s="133" t="s">
        <v>108</v>
      </c>
      <c r="J355" s="135" t="s">
        <v>109</v>
      </c>
      <c r="K355" s="135" t="s">
        <v>110</v>
      </c>
      <c r="L355" s="6" t="s">
        <v>194</v>
      </c>
      <c r="M355" s="93">
        <v>28</v>
      </c>
      <c r="N355" s="93">
        <v>60</v>
      </c>
      <c r="O355" s="6">
        <v>1</v>
      </c>
      <c r="P355" s="129">
        <v>1</v>
      </c>
      <c r="Q355" s="6">
        <v>3</v>
      </c>
      <c r="R355" s="98">
        <v>0.50009999999999999</v>
      </c>
      <c r="S355" s="94">
        <f>((Table3.110[[#This Row],[Sample weight, g]]*'2.1. DM'!Q117)/100)*1000</f>
        <v>480.19901759823972</v>
      </c>
      <c r="T355" s="94">
        <f>'3.2 Digest'!W355</f>
        <v>126.09901759823975</v>
      </c>
      <c r="U355" s="117">
        <v>0.36805555555555558</v>
      </c>
      <c r="V355" s="155">
        <v>40.5</v>
      </c>
      <c r="W355" s="117">
        <v>0.69652777777777775</v>
      </c>
      <c r="X355" s="97">
        <v>73.5</v>
      </c>
      <c r="Y355" s="97">
        <v>14</v>
      </c>
      <c r="Z355" s="155">
        <v>40</v>
      </c>
      <c r="AA355" s="117">
        <v>0.36736111111111114</v>
      </c>
      <c r="AB355" s="155">
        <v>88</v>
      </c>
      <c r="AC355" s="155">
        <v>14.7</v>
      </c>
      <c r="AD355" s="103"/>
      <c r="AE355" s="94">
        <f>Table3.110[[#This Row],[Gas 8h, ml]]-Table3.110[[#This Row],[Gas 0h, ml]]</f>
        <v>33</v>
      </c>
      <c r="AF355" s="94">
        <f>Table3.110[[#This Row],[Gas 24h, ml]]-Table3.110[[#This Row],[V8 Push back, ml]]</f>
        <v>48</v>
      </c>
      <c r="AG355" s="94">
        <f>Table3.110[[#This Row],[GP 8h, ml]]-(AVERAGE(AE$293,AE$294,AE$385,AE$386,AE$477,AE$478))*$AG$8</f>
        <v>31.746240428868305</v>
      </c>
      <c r="AH355" s="94">
        <f>Table3.110[[#This Row],[GP 8-24h, ml]]-(AVERAGE(AF$293,AF$294,AF$385,AF$386,AF$477,AF$478))*$AG$8</f>
        <v>46.00873479879084</v>
      </c>
      <c r="AI355" s="94">
        <f>Table3.110[[#This Row],[Net gas 8-24h, ml]]+Table3.110[[#This Row],[Net gas 8h, ml]]</f>
        <v>77.754975227659145</v>
      </c>
      <c r="AJ355" s="94">
        <f>Table3.110[[#This Row],[Net gas 8h, ml]]*Table3.110[[#This Row],[CH4 8h %]]%</f>
        <v>4.4444736600415631</v>
      </c>
      <c r="AK355" s="94">
        <f>Table3.110[[#This Row],[Net gas 8-24h, ml]]*Table3.110[[#This Row],[CH4 24h, %]]%</f>
        <v>6.7632840154222533</v>
      </c>
      <c r="AL355" s="94">
        <f>Table3.110[[#This Row],[CH4 8-24h, ml]]+Table3.110[[#This Row],[CH4 8h, ml]]</f>
        <v>11.207757675463817</v>
      </c>
      <c r="AM355" s="94">
        <f>(Table3.110[[#This Row],[Net gas 24h, ml]]/Table3.110[[#This Row],[DM Incubated, mg]])*1000</f>
        <v>161.92239546127755</v>
      </c>
      <c r="AN355" s="94">
        <f>'3.2 Digest'!X355</f>
        <v>26.259740852643926</v>
      </c>
      <c r="AO355" s="94">
        <f>Table3.110[[#This Row],[Digested feed, mg]]/Table3.110[[#This Row],[Net gas 24h, ml]]</f>
        <v>1.6217485405793504</v>
      </c>
      <c r="AP355" s="94">
        <f>Table3.110[[#This Row],[CH4 8h, ml]]/Table3.110[[#This Row],[Net gas 8h, ml]]%</f>
        <v>14.000000000000002</v>
      </c>
      <c r="AQ355" s="94">
        <f>Table3.110[[#This Row],[CH4 24h, ml]]/Table3.110[[#This Row],[Net gas 24h, ml]]%</f>
        <v>14.414200046554672</v>
      </c>
      <c r="AR355" s="94">
        <f>Table3.110[[#This Row],[CH4 24h, ml]]/Table3.110[[#This Row],[DM Incubated, mg]]*1000</f>
        <v>23.339818001961905</v>
      </c>
      <c r="AS355" s="94">
        <f>Table3.110[[#This Row],[CH4 24h, ml]]/Table3.110[[#This Row],[Digested feed, mg]]*1000</f>
        <v>88.880610562506618</v>
      </c>
      <c r="AT355" s="94">
        <f>Table3.110[[#This Row],[CH4 24h, ml]]/'3.2 Digest'!AA355</f>
        <v>-1.2894158555470401</v>
      </c>
      <c r="AU355" s="94">
        <f>((Table3.110[[#This Row],[CH4 24h, ml]]/28.9)*16.04)/Table3.110[[#This Row],[DM Incubated, mg]]*1000</f>
        <v>12.954002794168476</v>
      </c>
      <c r="AV355" s="94">
        <f>((Table3.110[[#This Row],[CH4 24h, ml]]/28.9)*16.04)/Table3.110[[#This Row],[Digested feed, mg]]*1000</f>
        <v>49.330276589017515</v>
      </c>
      <c r="AW355" s="303"/>
    </row>
    <row r="356" spans="1:49" s="304" customFormat="1" x14ac:dyDescent="0.35">
      <c r="A356" s="89"/>
      <c r="B356" s="90">
        <f t="shared" si="5"/>
        <v>346</v>
      </c>
      <c r="C356" s="140">
        <v>46048</v>
      </c>
      <c r="D356" s="92"/>
      <c r="E356" s="6" t="s">
        <v>195</v>
      </c>
      <c r="F356" s="133" t="s">
        <v>105</v>
      </c>
      <c r="G356" s="133" t="s">
        <v>188</v>
      </c>
      <c r="H356" s="133" t="s">
        <v>189</v>
      </c>
      <c r="I356" s="133" t="s">
        <v>108</v>
      </c>
      <c r="J356" s="135" t="s">
        <v>109</v>
      </c>
      <c r="K356" s="135" t="s">
        <v>110</v>
      </c>
      <c r="L356" s="6" t="s">
        <v>194</v>
      </c>
      <c r="M356" s="93">
        <v>28</v>
      </c>
      <c r="N356" s="93">
        <v>60</v>
      </c>
      <c r="O356" s="6">
        <v>1</v>
      </c>
      <c r="P356" s="129">
        <v>2</v>
      </c>
      <c r="Q356" s="6">
        <v>4</v>
      </c>
      <c r="R356" s="98">
        <v>0.50029999999999997</v>
      </c>
      <c r="S356" s="94">
        <f>((Table3.110[[#This Row],[Sample weight, g]]*'2.1. DM'!Q117)/100)*1000</f>
        <v>480.39105879703925</v>
      </c>
      <c r="T356" s="94">
        <f>'3.2 Digest'!W356</f>
        <v>178.1910587970392</v>
      </c>
      <c r="U356" s="117">
        <v>0.36805555555555558</v>
      </c>
      <c r="V356" s="155">
        <v>41</v>
      </c>
      <c r="W356" s="117">
        <v>0.69652777777777775</v>
      </c>
      <c r="X356" s="97">
        <v>66.5</v>
      </c>
      <c r="Y356" s="97">
        <v>13.9</v>
      </c>
      <c r="Z356" s="155">
        <v>34</v>
      </c>
      <c r="AA356" s="117">
        <v>0.36805555555555558</v>
      </c>
      <c r="AB356" s="155">
        <v>78</v>
      </c>
      <c r="AC356" s="155">
        <v>14.4</v>
      </c>
      <c r="AD356" s="96" t="s">
        <v>560</v>
      </c>
      <c r="AE356" s="94">
        <f>Table3.110[[#This Row],[Gas 8h, ml]]-Table3.110[[#This Row],[Gas 0h, ml]]</f>
        <v>25.5</v>
      </c>
      <c r="AF356" s="94">
        <f>Table3.110[[#This Row],[Gas 24h, ml]]-Table3.110[[#This Row],[V8 Push back, ml]]</f>
        <v>44</v>
      </c>
      <c r="AG356" s="94">
        <f>Table3.110[[#This Row],[GP 8h, ml]]-(AVERAGE(AE$293,AE$294,AE$385,AE$386,AE$477,AE$478))*$AG$8</f>
        <v>24.246240428868305</v>
      </c>
      <c r="AH356" s="94">
        <f>Table3.110[[#This Row],[GP 8-24h, ml]]-(AVERAGE(AF$293,AF$294,AF$385,AF$386,AF$477,AF$478))*$AG$8</f>
        <v>42.00873479879084</v>
      </c>
      <c r="AI356" s="94">
        <f>Table3.110[[#This Row],[Net gas 8-24h, ml]]+Table3.110[[#This Row],[Net gas 8h, ml]]</f>
        <v>66.254975227659145</v>
      </c>
      <c r="AJ356" s="94">
        <f>Table3.110[[#This Row],[Net gas 8h, ml]]*Table3.110[[#This Row],[CH4 8h %]]%</f>
        <v>3.3702274196126947</v>
      </c>
      <c r="AK356" s="94">
        <f>Table3.110[[#This Row],[Net gas 8-24h, ml]]*Table3.110[[#This Row],[CH4 24h, %]]%</f>
        <v>6.0492578110258819</v>
      </c>
      <c r="AL356" s="94">
        <f>Table3.110[[#This Row],[CH4 8-24h, ml]]+Table3.110[[#This Row],[CH4 8h, ml]]</f>
        <v>9.4194852306385766</v>
      </c>
      <c r="AM356" s="94">
        <f>(Table3.110[[#This Row],[Net gas 24h, ml]]/Table3.110[[#This Row],[DM Incubated, mg]])*1000</f>
        <v>137.91883511231472</v>
      </c>
      <c r="AN356" s="94">
        <f>'3.2 Digest'!X356</f>
        <v>37.09291743340362</v>
      </c>
      <c r="AO356" s="94">
        <f>Table3.110[[#This Row],[Digested feed, mg]]/Table3.110[[#This Row],[Net gas 24h, ml]]</f>
        <v>2.6894743856556547</v>
      </c>
      <c r="AP356" s="94">
        <f>Table3.110[[#This Row],[CH4 8h, ml]]/Table3.110[[#This Row],[Net gas 8h, ml]]%</f>
        <v>13.900000000000002</v>
      </c>
      <c r="AQ356" s="94">
        <f>Table3.110[[#This Row],[CH4 24h, ml]]/Table3.110[[#This Row],[Net gas 24h, ml]]%</f>
        <v>14.217023247344406</v>
      </c>
      <c r="AR356" s="94">
        <f>Table3.110[[#This Row],[CH4 24h, ml]]/Table3.110[[#This Row],[DM Incubated, mg]]*1000</f>
        <v>19.607952850384383</v>
      </c>
      <c r="AS356" s="94">
        <f>Table3.110[[#This Row],[CH4 24h, ml]]/Table3.110[[#This Row],[Digested feed, mg]]*1000</f>
        <v>52.861716486950293</v>
      </c>
      <c r="AT356" s="94">
        <f>Table3.110[[#This Row],[CH4 24h, ml]]/'3.2 Digest'!AA356</f>
        <v>1.2946265568801145</v>
      </c>
      <c r="AU356" s="94">
        <f>((Table3.110[[#This Row],[CH4 24h, ml]]/28.9)*16.04)/Table3.110[[#This Row],[DM Incubated, mg]]*1000</f>
        <v>10.88275306990192</v>
      </c>
      <c r="AV356" s="94">
        <f>((Table3.110[[#This Row],[CH4 24h, ml]]/28.9)*16.04)/Table3.110[[#This Row],[Digested feed, mg]]*1000</f>
        <v>29.339167212826393</v>
      </c>
      <c r="AW356" s="303"/>
    </row>
    <row r="357" spans="1:49" s="304" customFormat="1" x14ac:dyDescent="0.35">
      <c r="A357" s="89"/>
      <c r="B357" s="90">
        <f t="shared" si="5"/>
        <v>347</v>
      </c>
      <c r="C357" s="140">
        <v>46048</v>
      </c>
      <c r="D357" s="92"/>
      <c r="E357" s="6" t="s">
        <v>195</v>
      </c>
      <c r="F357" s="133" t="s">
        <v>105</v>
      </c>
      <c r="G357" s="133" t="s">
        <v>188</v>
      </c>
      <c r="H357" s="133" t="s">
        <v>189</v>
      </c>
      <c r="I357" s="133" t="s">
        <v>108</v>
      </c>
      <c r="J357" s="135" t="s">
        <v>109</v>
      </c>
      <c r="K357" s="135" t="s">
        <v>110</v>
      </c>
      <c r="L357" s="6" t="s">
        <v>194</v>
      </c>
      <c r="M357" s="93">
        <v>28</v>
      </c>
      <c r="N357" s="93">
        <v>60</v>
      </c>
      <c r="O357" s="6">
        <v>1</v>
      </c>
      <c r="P357" s="129">
        <v>3</v>
      </c>
      <c r="Q357" s="6">
        <v>5</v>
      </c>
      <c r="R357" s="98">
        <v>0.50009999999999999</v>
      </c>
      <c r="S357" s="94">
        <f>((Table3.110[[#This Row],[Sample weight, g]]*'2.1. DM'!Q117)/100)*1000</f>
        <v>480.19901759823972</v>
      </c>
      <c r="T357" s="94">
        <f>'3.2 Digest'!W357</f>
        <v>177.89901759823971</v>
      </c>
      <c r="U357" s="153">
        <v>0.36875000000000002</v>
      </c>
      <c r="V357" s="155">
        <v>39</v>
      </c>
      <c r="W357" s="153">
        <v>0.69722222222222219</v>
      </c>
      <c r="X357" s="95">
        <v>72.5</v>
      </c>
      <c r="Y357" s="95">
        <v>13.8</v>
      </c>
      <c r="Z357" s="154">
        <v>37.5</v>
      </c>
      <c r="AA357" s="153">
        <v>0.36805555555555558</v>
      </c>
      <c r="AB357" s="154">
        <v>85</v>
      </c>
      <c r="AC357" s="154">
        <v>14.8</v>
      </c>
      <c r="AD357" s="91"/>
      <c r="AE357" s="94">
        <f>Table3.110[[#This Row],[Gas 8h, ml]]-Table3.110[[#This Row],[Gas 0h, ml]]</f>
        <v>33.5</v>
      </c>
      <c r="AF357" s="94">
        <f>Table3.110[[#This Row],[Gas 24h, ml]]-Table3.110[[#This Row],[V8 Push back, ml]]</f>
        <v>47.5</v>
      </c>
      <c r="AG357" s="94">
        <f>Table3.110[[#This Row],[GP 8h, ml]]-(AVERAGE(AE$293,AE$294,AE$385,AE$386,AE$477,AE$478))*$AG$8</f>
        <v>32.246240428868305</v>
      </c>
      <c r="AH357" s="94">
        <f>Table3.110[[#This Row],[GP 8-24h, ml]]-(AVERAGE(AF$293,AF$294,AF$385,AF$386,AF$477,AF$478))*$AG$8</f>
        <v>45.50873479879084</v>
      </c>
      <c r="AI357" s="94">
        <f>Table3.110[[#This Row],[Net gas 8-24h, ml]]+Table3.110[[#This Row],[Net gas 8h, ml]]</f>
        <v>77.754975227659145</v>
      </c>
      <c r="AJ357" s="94">
        <f>Table3.110[[#This Row],[Net gas 8h, ml]]*Table3.110[[#This Row],[CH4 8h %]]%</f>
        <v>4.4499811791838262</v>
      </c>
      <c r="AK357" s="94">
        <f>Table3.110[[#This Row],[Net gas 8-24h, ml]]*Table3.110[[#This Row],[CH4 24h, %]]%</f>
        <v>6.7352927502210456</v>
      </c>
      <c r="AL357" s="94">
        <f>Table3.110[[#This Row],[CH4 8-24h, ml]]+Table3.110[[#This Row],[CH4 8h, ml]]</f>
        <v>11.185273929404872</v>
      </c>
      <c r="AM357" s="94">
        <f>(Table3.110[[#This Row],[Net gas 24h, ml]]/Table3.110[[#This Row],[DM Incubated, mg]])*1000</f>
        <v>161.92239546127755</v>
      </c>
      <c r="AN357" s="94">
        <f>'3.2 Digest'!X357</f>
        <v>37.046934932940573</v>
      </c>
      <c r="AO357" s="94">
        <f>Table3.110[[#This Row],[Digested feed, mg]]/Table3.110[[#This Row],[Net gas 24h, ml]]</f>
        <v>2.2879438528193003</v>
      </c>
      <c r="AP357" s="94">
        <f>Table3.110[[#This Row],[CH4 8h, ml]]/Table3.110[[#This Row],[Net gas 8h, ml]]%</f>
        <v>13.8</v>
      </c>
      <c r="AQ357" s="94">
        <f>Table3.110[[#This Row],[CH4 24h, ml]]/Table3.110[[#This Row],[Net gas 24h, ml]]%</f>
        <v>14.385283895539105</v>
      </c>
      <c r="AR357" s="94">
        <f>Table3.110[[#This Row],[CH4 24h, ml]]/Table3.110[[#This Row],[DM Incubated, mg]]*1000</f>
        <v>23.292996277562303</v>
      </c>
      <c r="AS357" s="94">
        <f>Table3.110[[#This Row],[CH4 24h, ml]]/Table3.110[[#This Row],[Digested feed, mg]]*1000</f>
        <v>62.874287224369411</v>
      </c>
      <c r="AT357" s="94">
        <f>Table3.110[[#This Row],[CH4 24h, ml]]/'3.2 Digest'!AA357</f>
        <v>1.5517743595873588</v>
      </c>
      <c r="AU357" s="94">
        <f>((Table3.110[[#This Row],[CH4 24h, ml]]/28.9)*16.04)/Table3.110[[#This Row],[DM Incubated, mg]]*1000</f>
        <v>12.92801592706226</v>
      </c>
      <c r="AV357" s="94">
        <f>((Table3.110[[#This Row],[CH4 24h, ml]]/28.9)*16.04)/Table3.110[[#This Row],[Digested feed, mg]]*1000</f>
        <v>34.896317199961423</v>
      </c>
      <c r="AW357" s="303"/>
    </row>
    <row r="358" spans="1:49" s="304" customFormat="1" x14ac:dyDescent="0.35">
      <c r="A358" s="89"/>
      <c r="B358" s="90">
        <f t="shared" si="5"/>
        <v>348</v>
      </c>
      <c r="C358" s="140">
        <v>46048</v>
      </c>
      <c r="D358" s="92"/>
      <c r="E358" s="6" t="s">
        <v>197</v>
      </c>
      <c r="F358" s="133" t="s">
        <v>105</v>
      </c>
      <c r="G358" s="133" t="s">
        <v>188</v>
      </c>
      <c r="H358" s="133" t="s">
        <v>189</v>
      </c>
      <c r="I358" s="133" t="s">
        <v>108</v>
      </c>
      <c r="J358" s="135" t="s">
        <v>109</v>
      </c>
      <c r="K358" s="135" t="s">
        <v>110</v>
      </c>
      <c r="L358" s="6" t="s">
        <v>196</v>
      </c>
      <c r="M358" s="93">
        <v>28</v>
      </c>
      <c r="N358" s="93">
        <v>60</v>
      </c>
      <c r="O358" s="6">
        <v>1</v>
      </c>
      <c r="P358" s="129">
        <v>1</v>
      </c>
      <c r="Q358" s="6">
        <v>6</v>
      </c>
      <c r="R358" s="98">
        <v>0.50039999999999996</v>
      </c>
      <c r="S358" s="94">
        <f>((Table3.110[[#This Row],[Sample weight, g]]*'2.1. DM'!Q119)/100)*1000</f>
        <v>480.18586141385839</v>
      </c>
      <c r="T358" s="94">
        <f>'3.2 Digest'!W358</f>
        <v>140.98586141385846</v>
      </c>
      <c r="U358" s="117">
        <v>0.36944444444444446</v>
      </c>
      <c r="V358" s="155">
        <v>41</v>
      </c>
      <c r="W358" s="117">
        <v>0.69791666666666663</v>
      </c>
      <c r="X358" s="97">
        <v>78.5</v>
      </c>
      <c r="Y358" s="97">
        <v>13.9</v>
      </c>
      <c r="Z358" s="155">
        <v>40.5</v>
      </c>
      <c r="AA358" s="117">
        <v>0.36944444444444446</v>
      </c>
      <c r="AB358" s="155">
        <v>92.5</v>
      </c>
      <c r="AC358" s="155">
        <v>14.9</v>
      </c>
      <c r="AD358" s="96"/>
      <c r="AE358" s="94">
        <f>Table3.110[[#This Row],[Gas 8h, ml]]-Table3.110[[#This Row],[Gas 0h, ml]]</f>
        <v>37.5</v>
      </c>
      <c r="AF358" s="94">
        <f>Table3.110[[#This Row],[Gas 24h, ml]]-Table3.110[[#This Row],[V8 Push back, ml]]</f>
        <v>52</v>
      </c>
      <c r="AG358" s="94">
        <f>Table3.110[[#This Row],[GP 8h, ml]]-(AVERAGE(AE$293,AE$294,AE$385,AE$386,AE$477,AE$478))*$AG$8</f>
        <v>36.246240428868305</v>
      </c>
      <c r="AH358" s="94">
        <f>Table3.110[[#This Row],[GP 8-24h, ml]]-(AVERAGE(AF$293,AF$294,AF$385,AF$386,AF$477,AF$478))*$AG$8</f>
        <v>50.00873479879084</v>
      </c>
      <c r="AI358" s="94">
        <f>Table3.110[[#This Row],[Net gas 8-24h, ml]]+Table3.110[[#This Row],[Net gas 8h, ml]]</f>
        <v>86.254975227659145</v>
      </c>
      <c r="AJ358" s="94">
        <f>Table3.110[[#This Row],[Net gas 8h, ml]]*Table3.110[[#This Row],[CH4 8h %]]%</f>
        <v>5.0382274196126948</v>
      </c>
      <c r="AK358" s="94">
        <f>Table3.110[[#This Row],[Net gas 8-24h, ml]]*Table3.110[[#This Row],[CH4 24h, %]]%</f>
        <v>7.4513014850198349</v>
      </c>
      <c r="AL358" s="94">
        <f>Table3.110[[#This Row],[CH4 8-24h, ml]]+Table3.110[[#This Row],[CH4 8h, ml]]</f>
        <v>12.489528904632529</v>
      </c>
      <c r="AM358" s="94">
        <f>(Table3.110[[#This Row],[Net gas 24h, ml]]/Table3.110[[#This Row],[DM Incubated, mg]])*1000</f>
        <v>179.62831094961888</v>
      </c>
      <c r="AN358" s="94">
        <f>'3.2 Digest'!X358</f>
        <v>29.360685672572689</v>
      </c>
      <c r="AO358" s="94">
        <f>Table3.110[[#This Row],[Digested feed, mg]]/Table3.110[[#This Row],[Net gas 24h, ml]]</f>
        <v>1.6345243974825108</v>
      </c>
      <c r="AP358" s="94">
        <f>Table3.110[[#This Row],[CH4 8h, ml]]/Table3.110[[#This Row],[Net gas 8h, ml]]%</f>
        <v>13.900000000000002</v>
      </c>
      <c r="AQ358" s="94">
        <f>Table3.110[[#This Row],[CH4 24h, ml]]/Table3.110[[#This Row],[Net gas 24h, ml]]%</f>
        <v>14.479777974160898</v>
      </c>
      <c r="AR358" s="94">
        <f>Table3.110[[#This Row],[CH4 24h, ml]]/Table3.110[[#This Row],[DM Incubated, mg]]*1000</f>
        <v>26.009780604240163</v>
      </c>
      <c r="AS358" s="94">
        <f>Table3.110[[#This Row],[CH4 24h, ml]]/Table3.110[[#This Row],[Digested feed, mg]]*1000</f>
        <v>88.587102134802066</v>
      </c>
      <c r="AT358" s="94">
        <f>Table3.110[[#This Row],[CH4 24h, ml]]/'3.2 Digest'!AA358</f>
        <v>-2.6227552173160986</v>
      </c>
      <c r="AU358" s="94">
        <f>((Table3.110[[#This Row],[CH4 24h, ml]]/28.9)*16.04)/Table3.110[[#This Row],[DM Incubated, mg]]*1000</f>
        <v>14.435878231557515</v>
      </c>
      <c r="AV358" s="94">
        <f>((Table3.110[[#This Row],[CH4 24h, ml]]/28.9)*16.04)/Table3.110[[#This Row],[Digested feed, mg]]*1000</f>
        <v>49.167374333641007</v>
      </c>
      <c r="AW358" s="303"/>
    </row>
    <row r="359" spans="1:49" s="304" customFormat="1" x14ac:dyDescent="0.35">
      <c r="A359" s="89"/>
      <c r="B359" s="90">
        <f t="shared" si="5"/>
        <v>349</v>
      </c>
      <c r="C359" s="140">
        <v>46048</v>
      </c>
      <c r="D359" s="92"/>
      <c r="E359" s="6" t="s">
        <v>197</v>
      </c>
      <c r="F359" s="133" t="s">
        <v>105</v>
      </c>
      <c r="G359" s="133" t="s">
        <v>188</v>
      </c>
      <c r="H359" s="133" t="s">
        <v>189</v>
      </c>
      <c r="I359" s="133" t="s">
        <v>108</v>
      </c>
      <c r="J359" s="135" t="s">
        <v>109</v>
      </c>
      <c r="K359" s="135" t="s">
        <v>110</v>
      </c>
      <c r="L359" s="6" t="s">
        <v>196</v>
      </c>
      <c r="M359" s="93">
        <v>28</v>
      </c>
      <c r="N359" s="93">
        <v>60</v>
      </c>
      <c r="O359" s="6">
        <v>1</v>
      </c>
      <c r="P359" s="129">
        <v>2</v>
      </c>
      <c r="Q359" s="6">
        <v>7</v>
      </c>
      <c r="R359" s="98">
        <v>0.50060000000000004</v>
      </c>
      <c r="S359" s="94">
        <f>((Table3.110[[#This Row],[Sample weight, g]]*'2.1. DM'!Q119)/100)*1000</f>
        <v>480.37778222177769</v>
      </c>
      <c r="T359" s="94">
        <f>'3.2 Digest'!W359</f>
        <v>248.87778222177778</v>
      </c>
      <c r="U359" s="153">
        <v>0.37013888888888891</v>
      </c>
      <c r="V359" s="155">
        <v>45</v>
      </c>
      <c r="W359" s="153">
        <v>0.69861111111111107</v>
      </c>
      <c r="X359" s="95">
        <v>87.5</v>
      </c>
      <c r="Y359" s="95">
        <v>13.9</v>
      </c>
      <c r="Z359" s="154">
        <v>45</v>
      </c>
      <c r="AA359" s="153">
        <v>0.37013888888888891</v>
      </c>
      <c r="AB359" s="154">
        <v>107</v>
      </c>
      <c r="AC359" s="154">
        <v>15.2</v>
      </c>
      <c r="AD359" s="91" t="s">
        <v>563</v>
      </c>
      <c r="AE359" s="94">
        <f>Table3.110[[#This Row],[Gas 8h, ml]]-Table3.110[[#This Row],[Gas 0h, ml]]</f>
        <v>42.5</v>
      </c>
      <c r="AF359" s="94">
        <f>Table3.110[[#This Row],[Gas 24h, ml]]-Table3.110[[#This Row],[V8 Push back, ml]]</f>
        <v>62</v>
      </c>
      <c r="AG359" s="94">
        <f>Table3.110[[#This Row],[GP 8h, ml]]-(AVERAGE(AE$293,AE$294,AE$385,AE$386,AE$477,AE$478))*$AG$8</f>
        <v>41.246240428868305</v>
      </c>
      <c r="AH359" s="94">
        <f>Table3.110[[#This Row],[GP 8-24h, ml]]-(AVERAGE(AF$293,AF$294,AF$385,AF$386,AF$477,AF$478))*$AG$8</f>
        <v>60.00873479879084</v>
      </c>
      <c r="AI359" s="94">
        <f>Table3.110[[#This Row],[Net gas 8-24h, ml]]+Table3.110[[#This Row],[Net gas 8h, ml]]</f>
        <v>101.25497522765914</v>
      </c>
      <c r="AJ359" s="94">
        <f>Table3.110[[#This Row],[Net gas 8h, ml]]*Table3.110[[#This Row],[CH4 8h %]]%</f>
        <v>5.7332274196126951</v>
      </c>
      <c r="AK359" s="94">
        <f>Table3.110[[#This Row],[Net gas 8-24h, ml]]*Table3.110[[#This Row],[CH4 24h, %]]%</f>
        <v>9.1213276894162068</v>
      </c>
      <c r="AL359" s="94">
        <f>Table3.110[[#This Row],[CH4 8-24h, ml]]+Table3.110[[#This Row],[CH4 8h, ml]]</f>
        <v>14.854555109028901</v>
      </c>
      <c r="AM359" s="94">
        <f>(Table3.110[[#This Row],[Net gas 24h, ml]]/Table3.110[[#This Row],[DM Incubated, mg]])*1000</f>
        <v>210.78196988909119</v>
      </c>
      <c r="AN359" s="94">
        <f>'3.2 Digest'!X359</f>
        <v>51.808762068616552</v>
      </c>
      <c r="AO359" s="94">
        <f>Table3.110[[#This Row],[Digested feed, mg]]/Table3.110[[#This Row],[Net gas 24h, ml]]</f>
        <v>2.4579313921336432</v>
      </c>
      <c r="AP359" s="94">
        <f>Table3.110[[#This Row],[CH4 8h, ml]]/Table3.110[[#This Row],[Net gas 8h, ml]]%</f>
        <v>13.900000000000002</v>
      </c>
      <c r="AQ359" s="94">
        <f>Table3.110[[#This Row],[CH4 24h, ml]]/Table3.110[[#This Row],[Net gas 24h, ml]]%</f>
        <v>14.67044466272427</v>
      </c>
      <c r="AR359" s="94">
        <f>Table3.110[[#This Row],[CH4 24h, ml]]/Table3.110[[#This Row],[DM Incubated, mg]]*1000</f>
        <v>30.922652251579251</v>
      </c>
      <c r="AS359" s="94">
        <f>Table3.110[[#This Row],[CH4 24h, ml]]/Table3.110[[#This Row],[Digested feed, mg]]*1000</f>
        <v>59.686143843052413</v>
      </c>
      <c r="AT359" s="94">
        <f>Table3.110[[#This Row],[CH4 24h, ml]]/'3.2 Digest'!AA359</f>
        <v>0.52066906721029016</v>
      </c>
      <c r="AU359" s="94">
        <f>((Table3.110[[#This Row],[CH4 24h, ml]]/28.9)*16.04)/Table3.110[[#This Row],[DM Incubated, mg]]*1000</f>
        <v>17.162606993610076</v>
      </c>
      <c r="AV359" s="94">
        <f>((Table3.110[[#This Row],[CH4 24h, ml]]/28.9)*16.04)/Table3.110[[#This Row],[Digested feed, mg]]*1000</f>
        <v>33.126842465140513</v>
      </c>
      <c r="AW359" s="303"/>
    </row>
    <row r="360" spans="1:49" s="304" customFormat="1" x14ac:dyDescent="0.35">
      <c r="A360" s="89"/>
      <c r="B360" s="90">
        <f t="shared" si="5"/>
        <v>350</v>
      </c>
      <c r="C360" s="140">
        <v>46048</v>
      </c>
      <c r="D360" s="92"/>
      <c r="E360" s="6" t="s">
        <v>197</v>
      </c>
      <c r="F360" s="133" t="s">
        <v>105</v>
      </c>
      <c r="G360" s="133" t="s">
        <v>188</v>
      </c>
      <c r="H360" s="133" t="s">
        <v>189</v>
      </c>
      <c r="I360" s="133" t="s">
        <v>108</v>
      </c>
      <c r="J360" s="135" t="s">
        <v>109</v>
      </c>
      <c r="K360" s="135" t="s">
        <v>110</v>
      </c>
      <c r="L360" s="6" t="s">
        <v>196</v>
      </c>
      <c r="M360" s="93">
        <v>28</v>
      </c>
      <c r="N360" s="93">
        <v>60</v>
      </c>
      <c r="O360" s="6">
        <v>1</v>
      </c>
      <c r="P360" s="129">
        <v>3</v>
      </c>
      <c r="Q360" s="6">
        <v>8</v>
      </c>
      <c r="R360" s="98">
        <v>0.50049999999999994</v>
      </c>
      <c r="S360" s="94">
        <f>((Table3.110[[#This Row],[Sample weight, g]]*'2.1. DM'!Q119)/100)*1000</f>
        <v>480.28182181781801</v>
      </c>
      <c r="T360" s="94">
        <f>'3.2 Digest'!W360</f>
        <v>193.68182181781805</v>
      </c>
      <c r="U360" s="117">
        <v>0.37083333333333335</v>
      </c>
      <c r="V360" s="155">
        <v>41</v>
      </c>
      <c r="W360" s="117">
        <v>0.69861111111111107</v>
      </c>
      <c r="X360" s="97">
        <v>81</v>
      </c>
      <c r="Y360" s="97">
        <v>13.3</v>
      </c>
      <c r="Z360" s="155">
        <v>40</v>
      </c>
      <c r="AA360" s="117">
        <v>0.37083333333333335</v>
      </c>
      <c r="AB360" s="155">
        <v>96.5</v>
      </c>
      <c r="AC360" s="155">
        <v>14.8</v>
      </c>
      <c r="AD360" s="96"/>
      <c r="AE360" s="94">
        <f>Table3.110[[#This Row],[Gas 8h, ml]]-Table3.110[[#This Row],[Gas 0h, ml]]</f>
        <v>40</v>
      </c>
      <c r="AF360" s="94">
        <f>Table3.110[[#This Row],[Gas 24h, ml]]-Table3.110[[#This Row],[V8 Push back, ml]]</f>
        <v>56.5</v>
      </c>
      <c r="AG360" s="94">
        <f>Table3.110[[#This Row],[GP 8h, ml]]-(AVERAGE(AE$293,AE$294,AE$385,AE$386,AE$477,AE$478))*$AG$8</f>
        <v>38.746240428868305</v>
      </c>
      <c r="AH360" s="94">
        <f>Table3.110[[#This Row],[GP 8-24h, ml]]-(AVERAGE(AF$293,AF$294,AF$385,AF$386,AF$477,AF$478))*$AG$8</f>
        <v>54.50873479879084</v>
      </c>
      <c r="AI360" s="94">
        <f>Table3.110[[#This Row],[Net gas 8-24h, ml]]+Table3.110[[#This Row],[Net gas 8h, ml]]</f>
        <v>93.254975227659145</v>
      </c>
      <c r="AJ360" s="94">
        <f>Table3.110[[#This Row],[Net gas 8h, ml]]*Table3.110[[#This Row],[CH4 8h %]]%</f>
        <v>5.1532499770394846</v>
      </c>
      <c r="AK360" s="94">
        <f>Table3.110[[#This Row],[Net gas 8-24h, ml]]*Table3.110[[#This Row],[CH4 24h, %]]%</f>
        <v>8.0672927502210463</v>
      </c>
      <c r="AL360" s="94">
        <f>Table3.110[[#This Row],[CH4 8-24h, ml]]+Table3.110[[#This Row],[CH4 8h, ml]]</f>
        <v>13.220542727260531</v>
      </c>
      <c r="AM360" s="94">
        <f>(Table3.110[[#This Row],[Net gas 24h, ml]]/Table3.110[[#This Row],[DM Incubated, mg]])*1000</f>
        <v>194.16719723994242</v>
      </c>
      <c r="AN360" s="94">
        <f>'3.2 Digest'!X360</f>
        <v>40.326702577405904</v>
      </c>
      <c r="AO360" s="94">
        <f>Table3.110[[#This Row],[Digested feed, mg]]/Table3.110[[#This Row],[Net gas 24h, ml]]</f>
        <v>2.0769060454414512</v>
      </c>
      <c r="AP360" s="94">
        <f>Table3.110[[#This Row],[CH4 8h, ml]]/Table3.110[[#This Row],[Net gas 8h, ml]]%</f>
        <v>13.299999999999999</v>
      </c>
      <c r="AQ360" s="94">
        <f>Table3.110[[#This Row],[CH4 24h, ml]]/Table3.110[[#This Row],[Net gas 24h, ml]]%</f>
        <v>14.17676933052185</v>
      </c>
      <c r="AR360" s="94">
        <f>Table3.110[[#This Row],[CH4 24h, ml]]/Table3.110[[#This Row],[DM Incubated, mg]]*1000</f>
        <v>27.526635668246026</v>
      </c>
      <c r="AS360" s="94">
        <f>Table3.110[[#This Row],[CH4 24h, ml]]/Table3.110[[#This Row],[Digested feed, mg]]*1000</f>
        <v>68.259078746667839</v>
      </c>
      <c r="AT360" s="94">
        <f>Table3.110[[#This Row],[CH4 24h, ml]]/'3.2 Digest'!AA360</f>
        <v>1.1494906508073108</v>
      </c>
      <c r="AU360" s="94">
        <f>((Table3.110[[#This Row],[CH4 24h, ml]]/28.9)*16.04)/Table3.110[[#This Row],[DM Incubated, mg]]*1000</f>
        <v>15.277759035247968</v>
      </c>
      <c r="AV360" s="94">
        <f>((Table3.110[[#This Row],[CH4 24h, ml]]/28.9)*16.04)/Table3.110[[#This Row],[Digested feed, mg]]*1000</f>
        <v>37.884969657320148</v>
      </c>
      <c r="AW360" s="303"/>
    </row>
    <row r="361" spans="1:49" s="304" customFormat="1" x14ac:dyDescent="0.35">
      <c r="A361" s="89"/>
      <c r="B361" s="90">
        <f t="shared" si="5"/>
        <v>351</v>
      </c>
      <c r="C361" s="140">
        <v>46048</v>
      </c>
      <c r="D361" s="92"/>
      <c r="E361" s="6" t="s">
        <v>199</v>
      </c>
      <c r="F361" s="133" t="s">
        <v>105</v>
      </c>
      <c r="G361" s="133" t="s">
        <v>188</v>
      </c>
      <c r="H361" s="133" t="s">
        <v>189</v>
      </c>
      <c r="I361" s="133" t="s">
        <v>108</v>
      </c>
      <c r="J361" s="135" t="s">
        <v>109</v>
      </c>
      <c r="K361" s="135" t="s">
        <v>110</v>
      </c>
      <c r="L361" s="6" t="s">
        <v>198</v>
      </c>
      <c r="M361" s="93">
        <v>28</v>
      </c>
      <c r="N361" s="93">
        <v>60</v>
      </c>
      <c r="O361" s="6">
        <v>1</v>
      </c>
      <c r="P361" s="129">
        <v>1</v>
      </c>
      <c r="Q361" s="6">
        <v>9</v>
      </c>
      <c r="R361" s="98">
        <v>0.50019999999999998</v>
      </c>
      <c r="S361" s="94">
        <f>((Table3.110[[#This Row],[Sample weight, g]]*'2.1. DM'!Q121)/100)*1000</f>
        <v>486.54590540945924</v>
      </c>
      <c r="T361" s="94">
        <f>'3.2 Digest'!W361</f>
        <v>163.64590540945926</v>
      </c>
      <c r="U361" s="153">
        <v>0.37152777777777779</v>
      </c>
      <c r="V361" s="155">
        <v>41.5</v>
      </c>
      <c r="W361" s="153">
        <v>0.69930555555555551</v>
      </c>
      <c r="X361" s="95">
        <v>76.5</v>
      </c>
      <c r="Y361" s="95">
        <v>13.7</v>
      </c>
      <c r="Z361" s="154">
        <v>40</v>
      </c>
      <c r="AA361" s="153">
        <v>0.37152777777777779</v>
      </c>
      <c r="AB361" s="154">
        <v>95.5</v>
      </c>
      <c r="AC361" s="154">
        <v>14.3</v>
      </c>
      <c r="AD361" s="91"/>
      <c r="AE361" s="94">
        <f>Table3.110[[#This Row],[Gas 8h, ml]]-Table3.110[[#This Row],[Gas 0h, ml]]</f>
        <v>35</v>
      </c>
      <c r="AF361" s="94">
        <f>Table3.110[[#This Row],[Gas 24h, ml]]-Table3.110[[#This Row],[V8 Push back, ml]]</f>
        <v>55.5</v>
      </c>
      <c r="AG361" s="94">
        <f>Table3.110[[#This Row],[GP 8h, ml]]-(AVERAGE(AE$293,AE$294,AE$385,AE$386,AE$477,AE$478))*$AG$8</f>
        <v>33.746240428868305</v>
      </c>
      <c r="AH361" s="94">
        <f>Table3.110[[#This Row],[GP 8-24h, ml]]-(AVERAGE(AF$293,AF$294,AF$385,AF$386,AF$477,AF$478))*$AG$8</f>
        <v>53.50873479879084</v>
      </c>
      <c r="AI361" s="94">
        <f>Table3.110[[#This Row],[Net gas 8-24h, ml]]+Table3.110[[#This Row],[Net gas 8h, ml]]</f>
        <v>87.254975227659145</v>
      </c>
      <c r="AJ361" s="94">
        <f>Table3.110[[#This Row],[Net gas 8h, ml]]*Table3.110[[#This Row],[CH4 8h %]]%</f>
        <v>4.6232349387549574</v>
      </c>
      <c r="AK361" s="94">
        <f>Table3.110[[#This Row],[Net gas 8-24h, ml]]*Table3.110[[#This Row],[CH4 24h, %]]%</f>
        <v>7.651749076227091</v>
      </c>
      <c r="AL361" s="94">
        <f>Table3.110[[#This Row],[CH4 8-24h, ml]]+Table3.110[[#This Row],[CH4 8h, ml]]</f>
        <v>12.274984014982049</v>
      </c>
      <c r="AM361" s="94">
        <f>(Table3.110[[#This Row],[Net gas 24h, ml]]/Table3.110[[#This Row],[DM Incubated, mg]])*1000</f>
        <v>179.33554523334965</v>
      </c>
      <c r="AN361" s="94">
        <f>'3.2 Digest'!X361</f>
        <v>33.634216954665533</v>
      </c>
      <c r="AO361" s="94">
        <f>Table3.110[[#This Row],[Digested feed, mg]]/Table3.110[[#This Row],[Net gas 24h, ml]]</f>
        <v>1.8754908242479769</v>
      </c>
      <c r="AP361" s="94">
        <f>Table3.110[[#This Row],[CH4 8h, ml]]/Table3.110[[#This Row],[Net gas 8h, ml]]%</f>
        <v>13.699999999999998</v>
      </c>
      <c r="AQ361" s="94">
        <f>Table3.110[[#This Row],[CH4 24h, ml]]/Table3.110[[#This Row],[Net gas 24h, ml]]%</f>
        <v>14.067947395498171</v>
      </c>
      <c r="AR361" s="94">
        <f>Table3.110[[#This Row],[CH4 24h, ml]]/Table3.110[[#This Row],[DM Incubated, mg]]*1000</f>
        <v>25.22883016485746</v>
      </c>
      <c r="AS361" s="94">
        <f>Table3.110[[#This Row],[CH4 24h, ml]]/Table3.110[[#This Row],[Digested feed, mg]]*1000</f>
        <v>75.009417340866236</v>
      </c>
      <c r="AT361" s="94">
        <f>Table3.110[[#This Row],[CH4 24h, ml]]/'3.2 Digest'!AA361</f>
        <v>2.8151443686440194</v>
      </c>
      <c r="AU361" s="94">
        <f>((Table3.110[[#This Row],[CH4 24h, ml]]/28.9)*16.04)/Table3.110[[#This Row],[DM Incubated, mg]]*1000</f>
        <v>14.00243722644684</v>
      </c>
      <c r="AV361" s="94">
        <f>((Table3.110[[#This Row],[CH4 24h, ml]]/28.9)*16.04)/Table3.110[[#This Row],[Digested feed, mg]]*1000</f>
        <v>41.631524364965209</v>
      </c>
      <c r="AW361" s="303"/>
    </row>
    <row r="362" spans="1:49" s="304" customFormat="1" x14ac:dyDescent="0.35">
      <c r="A362" s="89"/>
      <c r="B362" s="90">
        <f t="shared" si="5"/>
        <v>352</v>
      </c>
      <c r="C362" s="140">
        <v>46048</v>
      </c>
      <c r="D362" s="92"/>
      <c r="E362" s="6" t="s">
        <v>199</v>
      </c>
      <c r="F362" s="133" t="s">
        <v>105</v>
      </c>
      <c r="G362" s="133" t="s">
        <v>188</v>
      </c>
      <c r="H362" s="133" t="s">
        <v>189</v>
      </c>
      <c r="I362" s="133" t="s">
        <v>108</v>
      </c>
      <c r="J362" s="135" t="s">
        <v>109</v>
      </c>
      <c r="K362" s="135" t="s">
        <v>110</v>
      </c>
      <c r="L362" s="6" t="s">
        <v>198</v>
      </c>
      <c r="M362" s="93">
        <v>28</v>
      </c>
      <c r="N362" s="93">
        <v>60</v>
      </c>
      <c r="O362" s="6">
        <v>1</v>
      </c>
      <c r="P362" s="129">
        <v>2</v>
      </c>
      <c r="Q362" s="6">
        <v>10</v>
      </c>
      <c r="R362" s="98">
        <v>0.50060000000000004</v>
      </c>
      <c r="S362" s="94">
        <f>((Table3.110[[#This Row],[Sample weight, g]]*'2.1. DM'!Q121)/100)*1000</f>
        <v>486.93498650135012</v>
      </c>
      <c r="T362" s="94">
        <f>'3.2 Digest'!W362</f>
        <v>205.93498650135012</v>
      </c>
      <c r="U362" s="117">
        <v>0.37222222222222223</v>
      </c>
      <c r="V362" s="155">
        <v>41</v>
      </c>
      <c r="W362" s="117">
        <v>0.69930555555555551</v>
      </c>
      <c r="X362" s="97">
        <v>76.5</v>
      </c>
      <c r="Y362" s="97">
        <v>13.4</v>
      </c>
      <c r="Z362" s="155">
        <v>40.5</v>
      </c>
      <c r="AA362" s="117">
        <v>0.37152777777777779</v>
      </c>
      <c r="AB362" s="155">
        <v>97</v>
      </c>
      <c r="AC362" s="155">
        <v>14.5</v>
      </c>
      <c r="AD362" s="96"/>
      <c r="AE362" s="94">
        <f>Table3.110[[#This Row],[Gas 8h, ml]]-Table3.110[[#This Row],[Gas 0h, ml]]</f>
        <v>35.5</v>
      </c>
      <c r="AF362" s="94">
        <f>Table3.110[[#This Row],[Gas 24h, ml]]-Table3.110[[#This Row],[V8 Push back, ml]]</f>
        <v>56.5</v>
      </c>
      <c r="AG362" s="94">
        <f>Table3.110[[#This Row],[GP 8h, ml]]-(AVERAGE(AE$293,AE$294,AE$385,AE$386,AE$477,AE$478))*$AG$8</f>
        <v>34.246240428868305</v>
      </c>
      <c r="AH362" s="94">
        <f>Table3.110[[#This Row],[GP 8-24h, ml]]-(AVERAGE(AF$293,AF$294,AF$385,AF$386,AF$477,AF$478))*$AG$8</f>
        <v>54.50873479879084</v>
      </c>
      <c r="AI362" s="94">
        <f>Table3.110[[#This Row],[Net gas 8-24h, ml]]+Table3.110[[#This Row],[Net gas 8h, ml]]</f>
        <v>88.754975227659145</v>
      </c>
      <c r="AJ362" s="94">
        <f>Table3.110[[#This Row],[Net gas 8h, ml]]*Table3.110[[#This Row],[CH4 8h %]]%</f>
        <v>4.5889962174683534</v>
      </c>
      <c r="AK362" s="94">
        <f>Table3.110[[#This Row],[Net gas 8-24h, ml]]*Table3.110[[#This Row],[CH4 24h, %]]%</f>
        <v>7.9037665458246709</v>
      </c>
      <c r="AL362" s="94">
        <f>Table3.110[[#This Row],[CH4 8-24h, ml]]+Table3.110[[#This Row],[CH4 8h, ml]]</f>
        <v>12.492762763293024</v>
      </c>
      <c r="AM362" s="94">
        <f>(Table3.110[[#This Row],[Net gas 24h, ml]]/Table3.110[[#This Row],[DM Incubated, mg]])*1000</f>
        <v>182.27274212799466</v>
      </c>
      <c r="AN362" s="94">
        <f>'3.2 Digest'!X362</f>
        <v>42.292090773966009</v>
      </c>
      <c r="AO362" s="94">
        <f>Table3.110[[#This Row],[Digested feed, mg]]/Table3.110[[#This Row],[Net gas 24h, ml]]</f>
        <v>2.3202641426367454</v>
      </c>
      <c r="AP362" s="94">
        <f>Table3.110[[#This Row],[CH4 8h, ml]]/Table3.110[[#This Row],[Net gas 8h, ml]]%</f>
        <v>13.400000000000002</v>
      </c>
      <c r="AQ362" s="94">
        <f>Table3.110[[#This Row],[CH4 24h, ml]]/Table3.110[[#This Row],[Net gas 24h, ml]]%</f>
        <v>14.075563348700978</v>
      </c>
      <c r="AR362" s="94">
        <f>Table3.110[[#This Row],[CH4 24h, ml]]/Table3.110[[#This Row],[DM Incubated, mg]]*1000</f>
        <v>25.655915285640262</v>
      </c>
      <c r="AS362" s="94">
        <f>Table3.110[[#This Row],[CH4 24h, ml]]/Table3.110[[#This Row],[Digested feed, mg]]*1000</f>
        <v>60.663624843615978</v>
      </c>
      <c r="AT362" s="94">
        <f>Table3.110[[#This Row],[CH4 24h, ml]]/'3.2 Digest'!AA362</f>
        <v>0.74197423980368926</v>
      </c>
      <c r="AU362" s="94">
        <f>((Table3.110[[#This Row],[CH4 24h, ml]]/28.9)*16.04)/Table3.110[[#This Row],[DM Incubated, mg]]*1000</f>
        <v>14.239476857497227</v>
      </c>
      <c r="AV362" s="94">
        <f>((Table3.110[[#This Row],[CH4 24h, ml]]/28.9)*16.04)/Table3.110[[#This Row],[Digested feed, mg]]*1000</f>
        <v>33.669361331889284</v>
      </c>
      <c r="AW362" s="303"/>
    </row>
    <row r="363" spans="1:49" s="304" customFormat="1" x14ac:dyDescent="0.35">
      <c r="A363" s="89"/>
      <c r="B363" s="90">
        <f t="shared" si="5"/>
        <v>353</v>
      </c>
      <c r="C363" s="140">
        <v>46048</v>
      </c>
      <c r="D363" s="92"/>
      <c r="E363" s="6" t="s">
        <v>199</v>
      </c>
      <c r="F363" s="133" t="s">
        <v>105</v>
      </c>
      <c r="G363" s="133" t="s">
        <v>188</v>
      </c>
      <c r="H363" s="133" t="s">
        <v>189</v>
      </c>
      <c r="I363" s="133" t="s">
        <v>108</v>
      </c>
      <c r="J363" s="135" t="s">
        <v>109</v>
      </c>
      <c r="K363" s="135" t="s">
        <v>110</v>
      </c>
      <c r="L363" s="6" t="s">
        <v>198</v>
      </c>
      <c r="M363" s="93">
        <v>28</v>
      </c>
      <c r="N363" s="93">
        <v>60</v>
      </c>
      <c r="O363" s="6">
        <v>1</v>
      </c>
      <c r="P363" s="129">
        <v>3</v>
      </c>
      <c r="Q363" s="6">
        <v>11</v>
      </c>
      <c r="R363" s="98">
        <v>0.50019999999999998</v>
      </c>
      <c r="S363" s="94">
        <f>((Table3.110[[#This Row],[Sample weight, g]]*'2.1. DM'!Q121)/100)*1000</f>
        <v>486.54590540945924</v>
      </c>
      <c r="T363" s="94">
        <f>'3.2 Digest'!W363</f>
        <v>148.34590540945919</v>
      </c>
      <c r="U363" s="153">
        <v>0.37222222222222223</v>
      </c>
      <c r="V363" s="155">
        <v>41</v>
      </c>
      <c r="W363" s="153">
        <v>0.7</v>
      </c>
      <c r="X363" s="95">
        <v>76</v>
      </c>
      <c r="Y363" s="95">
        <v>13.6</v>
      </c>
      <c r="Z363" s="154">
        <v>40</v>
      </c>
      <c r="AA363" s="153">
        <v>0.37222222222222223</v>
      </c>
      <c r="AB363" s="154">
        <v>91.5</v>
      </c>
      <c r="AC363" s="154">
        <v>14.7</v>
      </c>
      <c r="AD363" s="91"/>
      <c r="AE363" s="94">
        <f>Table3.110[[#This Row],[Gas 8h, ml]]-Table3.110[[#This Row],[Gas 0h, ml]]</f>
        <v>35</v>
      </c>
      <c r="AF363" s="94">
        <f>Table3.110[[#This Row],[Gas 24h, ml]]-Table3.110[[#This Row],[V8 Push back, ml]]</f>
        <v>51.5</v>
      </c>
      <c r="AG363" s="94">
        <f>Table3.110[[#This Row],[GP 8h, ml]]-(AVERAGE(AE$293,AE$294,AE$385,AE$386,AE$477,AE$478))*$AG$8</f>
        <v>33.746240428868305</v>
      </c>
      <c r="AH363" s="94">
        <f>Table3.110[[#This Row],[GP 8-24h, ml]]-(AVERAGE(AF$293,AF$294,AF$385,AF$386,AF$477,AF$478))*$AG$8</f>
        <v>49.50873479879084</v>
      </c>
      <c r="AI363" s="94">
        <f>Table3.110[[#This Row],[Net gas 8-24h, ml]]+Table3.110[[#This Row],[Net gas 8h, ml]]</f>
        <v>83.254975227659145</v>
      </c>
      <c r="AJ363" s="94">
        <f>Table3.110[[#This Row],[Net gas 8h, ml]]*Table3.110[[#This Row],[CH4 8h %]]%</f>
        <v>4.5894886983260896</v>
      </c>
      <c r="AK363" s="94">
        <f>Table3.110[[#This Row],[Net gas 8-24h, ml]]*Table3.110[[#This Row],[CH4 24h, %]]%</f>
        <v>7.2777840154222533</v>
      </c>
      <c r="AL363" s="94">
        <f>Table3.110[[#This Row],[CH4 8-24h, ml]]+Table3.110[[#This Row],[CH4 8h, ml]]</f>
        <v>11.867272713748342</v>
      </c>
      <c r="AM363" s="94">
        <f>(Table3.110[[#This Row],[Net gas 24h, ml]]/Table3.110[[#This Row],[DM Incubated, mg]])*1000</f>
        <v>171.114327141639</v>
      </c>
      <c r="AN363" s="94">
        <f>'3.2 Digest'!X363</f>
        <v>30.489601034586183</v>
      </c>
      <c r="AO363" s="94">
        <f>Table3.110[[#This Row],[Digested feed, mg]]/Table3.110[[#This Row],[Net gas 24h, ml]]</f>
        <v>1.7818263113262618</v>
      </c>
      <c r="AP363" s="94">
        <f>Table3.110[[#This Row],[CH4 8h, ml]]/Table3.110[[#This Row],[Net gas 8h, ml]]%</f>
        <v>13.6</v>
      </c>
      <c r="AQ363" s="94">
        <f>Table3.110[[#This Row],[CH4 24h, ml]]/Table3.110[[#This Row],[Net gas 24h, ml]]%</f>
        <v>14.254130376349895</v>
      </c>
      <c r="AR363" s="94">
        <f>Table3.110[[#This Row],[CH4 24h, ml]]/Table3.110[[#This Row],[DM Incubated, mg]]*1000</f>
        <v>24.390859283383097</v>
      </c>
      <c r="AS363" s="94">
        <f>Table3.110[[#This Row],[CH4 24h, ml]]/Table3.110[[#This Row],[Digested feed, mg]]*1000</f>
        <v>79.997305493486394</v>
      </c>
      <c r="AT363" s="94">
        <f>Table3.110[[#This Row],[CH4 24h, ml]]/'3.2 Digest'!AA363</f>
        <v>-69.251984384884437</v>
      </c>
      <c r="AU363" s="94">
        <f>((Table3.110[[#This Row],[CH4 24h, ml]]/28.9)*16.04)/Table3.110[[#This Row],[DM Incubated, mg]]*1000</f>
        <v>13.537348889462452</v>
      </c>
      <c r="AV363" s="94">
        <f>((Table3.110[[#This Row],[CH4 24h, ml]]/28.9)*16.04)/Table3.110[[#This Row],[Digested feed, mg]]*1000</f>
        <v>44.399888585312162</v>
      </c>
      <c r="AW363" s="303"/>
    </row>
    <row r="364" spans="1:49" s="304" customFormat="1" x14ac:dyDescent="0.35">
      <c r="A364" s="89"/>
      <c r="B364" s="90">
        <f t="shared" si="5"/>
        <v>354</v>
      </c>
      <c r="C364" s="140">
        <v>46048</v>
      </c>
      <c r="D364" s="92"/>
      <c r="E364" s="6" t="s">
        <v>201</v>
      </c>
      <c r="F364" s="133" t="s">
        <v>105</v>
      </c>
      <c r="G364" s="133" t="s">
        <v>188</v>
      </c>
      <c r="H364" s="133" t="s">
        <v>189</v>
      </c>
      <c r="I364" s="133" t="s">
        <v>108</v>
      </c>
      <c r="J364" s="135" t="s">
        <v>109</v>
      </c>
      <c r="K364" s="135" t="s">
        <v>110</v>
      </c>
      <c r="L364" s="6" t="s">
        <v>200</v>
      </c>
      <c r="M364" s="93">
        <v>28</v>
      </c>
      <c r="N364" s="93">
        <v>60</v>
      </c>
      <c r="O364" s="6">
        <v>1</v>
      </c>
      <c r="P364" s="129">
        <v>1</v>
      </c>
      <c r="Q364" s="6">
        <v>12</v>
      </c>
      <c r="R364" s="98">
        <v>0.50039999999999996</v>
      </c>
      <c r="S364" s="94">
        <f>((Table3.110[[#This Row],[Sample weight, g]]*'2.1. DM'!Q123)/100)*1000</f>
        <v>485.88839999999976</v>
      </c>
      <c r="T364" s="94">
        <f>'3.2 Digest'!W364</f>
        <v>141.98839999999979</v>
      </c>
      <c r="U364" s="117">
        <v>0.37291666666666667</v>
      </c>
      <c r="V364" s="155">
        <v>40.5</v>
      </c>
      <c r="W364" s="117">
        <v>0.7006944444444444</v>
      </c>
      <c r="X364" s="97">
        <v>78.5</v>
      </c>
      <c r="Y364" s="97">
        <v>13.5</v>
      </c>
      <c r="Z364" s="155">
        <v>40.5</v>
      </c>
      <c r="AA364" s="117">
        <v>0.37430555555555556</v>
      </c>
      <c r="AB364" s="155">
        <v>92.5</v>
      </c>
      <c r="AC364" s="155">
        <v>14.5</v>
      </c>
      <c r="AD364" s="96"/>
      <c r="AE364" s="94">
        <f>Table3.110[[#This Row],[Gas 8h, ml]]-Table3.110[[#This Row],[Gas 0h, ml]]</f>
        <v>38</v>
      </c>
      <c r="AF364" s="94">
        <f>Table3.110[[#This Row],[Gas 24h, ml]]-Table3.110[[#This Row],[V8 Push back, ml]]</f>
        <v>52</v>
      </c>
      <c r="AG364" s="94">
        <f>Table3.110[[#This Row],[GP 8h, ml]]-(AVERAGE(AE$293,AE$294,AE$385,AE$386,AE$477,AE$478))*$AG$8</f>
        <v>36.746240428868305</v>
      </c>
      <c r="AH364" s="94">
        <f>Table3.110[[#This Row],[GP 8-24h, ml]]-(AVERAGE(AF$293,AF$294,AF$385,AF$386,AF$477,AF$478))*$AG$8</f>
        <v>50.00873479879084</v>
      </c>
      <c r="AI364" s="94">
        <f>Table3.110[[#This Row],[Net gas 8-24h, ml]]+Table3.110[[#This Row],[Net gas 8h, ml]]</f>
        <v>86.754975227659145</v>
      </c>
      <c r="AJ364" s="94">
        <f>Table3.110[[#This Row],[Net gas 8h, ml]]*Table3.110[[#This Row],[CH4 8h %]]%</f>
        <v>4.9607424578972212</v>
      </c>
      <c r="AK364" s="94">
        <f>Table3.110[[#This Row],[Net gas 8-24h, ml]]*Table3.110[[#This Row],[CH4 24h, %]]%</f>
        <v>7.251266545824671</v>
      </c>
      <c r="AL364" s="94">
        <f>Table3.110[[#This Row],[CH4 8-24h, ml]]+Table3.110[[#This Row],[CH4 8h, ml]]</f>
        <v>12.212009003721892</v>
      </c>
      <c r="AM364" s="94">
        <f>(Table3.110[[#This Row],[Net gas 24h, ml]]/Table3.110[[#This Row],[DM Incubated, mg]])*1000</f>
        <v>178.54917966277685</v>
      </c>
      <c r="AN364" s="94">
        <f>'3.2 Digest'!X364</f>
        <v>29.222430500501734</v>
      </c>
      <c r="AO364" s="94">
        <f>Table3.110[[#This Row],[Digested feed, mg]]/Table3.110[[#This Row],[Net gas 24h, ml]]</f>
        <v>1.6366600258647894</v>
      </c>
      <c r="AP364" s="94">
        <f>Table3.110[[#This Row],[CH4 8h, ml]]/Table3.110[[#This Row],[Net gas 8h, ml]]%</f>
        <v>13.5</v>
      </c>
      <c r="AQ364" s="94">
        <f>Table3.110[[#This Row],[CH4 24h, ml]]/Table3.110[[#This Row],[Net gas 24h, ml]]%</f>
        <v>14.076436506005098</v>
      </c>
      <c r="AR364" s="94">
        <f>Table3.110[[#This Row],[CH4 24h, ml]]/Table3.110[[#This Row],[DM Incubated, mg]]*1000</f>
        <v>25.133361907223755</v>
      </c>
      <c r="AS364" s="94">
        <f>Table3.110[[#This Row],[CH4 24h, ml]]/Table3.110[[#This Row],[Digested feed, mg]]*1000</f>
        <v>86.007089337734001</v>
      </c>
      <c r="AT364" s="94">
        <f>Table3.110[[#This Row],[CH4 24h, ml]]/'3.2 Digest'!AA364</f>
        <v>-1.1797467192416839</v>
      </c>
      <c r="AU364" s="94">
        <f>((Table3.110[[#This Row],[CH4 24h, ml]]/28.9)*16.04)/Table3.110[[#This Row],[DM Incubated, mg]]*1000</f>
        <v>13.949450691760175</v>
      </c>
      <c r="AV364" s="94">
        <f>((Table3.110[[#This Row],[CH4 24h, ml]]/28.9)*16.04)/Table3.110[[#This Row],[Digested feed, mg]]*1000</f>
        <v>47.735422594368636</v>
      </c>
      <c r="AW364" s="303"/>
    </row>
    <row r="365" spans="1:49" s="304" customFormat="1" x14ac:dyDescent="0.35">
      <c r="A365" s="89"/>
      <c r="B365" s="90">
        <f t="shared" si="5"/>
        <v>355</v>
      </c>
      <c r="C365" s="140">
        <v>46048</v>
      </c>
      <c r="D365" s="92"/>
      <c r="E365" s="6" t="s">
        <v>201</v>
      </c>
      <c r="F365" s="133" t="s">
        <v>105</v>
      </c>
      <c r="G365" s="133" t="s">
        <v>188</v>
      </c>
      <c r="H365" s="133" t="s">
        <v>189</v>
      </c>
      <c r="I365" s="133" t="s">
        <v>108</v>
      </c>
      <c r="J365" s="135" t="s">
        <v>109</v>
      </c>
      <c r="K365" s="135" t="s">
        <v>110</v>
      </c>
      <c r="L365" s="6" t="s">
        <v>200</v>
      </c>
      <c r="M365" s="93">
        <v>28</v>
      </c>
      <c r="N365" s="93">
        <v>60</v>
      </c>
      <c r="O365" s="6">
        <v>1</v>
      </c>
      <c r="P365" s="129">
        <v>2</v>
      </c>
      <c r="Q365" s="6">
        <v>13</v>
      </c>
      <c r="R365" s="98">
        <v>0.50039999999999996</v>
      </c>
      <c r="S365" s="94">
        <f>((Table3.110[[#This Row],[Sample weight, g]]*'2.1. DM'!Q123)/100)*1000</f>
        <v>485.88839999999976</v>
      </c>
      <c r="T365" s="94">
        <f>'3.2 Digest'!W365</f>
        <v>212.58839999999975</v>
      </c>
      <c r="U365" s="153">
        <v>0.37291666666666667</v>
      </c>
      <c r="V365" s="155">
        <v>41</v>
      </c>
      <c r="W365" s="153">
        <v>0.7006944444444444</v>
      </c>
      <c r="X365" s="95">
        <v>76</v>
      </c>
      <c r="Y365" s="95">
        <v>13.9</v>
      </c>
      <c r="Z365" s="154">
        <v>40.5</v>
      </c>
      <c r="AA365" s="153">
        <v>0.37430555555555556</v>
      </c>
      <c r="AB365" s="154">
        <v>91.5</v>
      </c>
      <c r="AC365" s="154">
        <v>14.4</v>
      </c>
      <c r="AD365" s="91"/>
      <c r="AE365" s="94">
        <f>Table3.110[[#This Row],[Gas 8h, ml]]-Table3.110[[#This Row],[Gas 0h, ml]]</f>
        <v>35</v>
      </c>
      <c r="AF365" s="94">
        <f>Table3.110[[#This Row],[Gas 24h, ml]]-Table3.110[[#This Row],[V8 Push back, ml]]</f>
        <v>51</v>
      </c>
      <c r="AG365" s="94">
        <f>Table3.110[[#This Row],[GP 8h, ml]]-(AVERAGE(AE$293,AE$294,AE$385,AE$386,AE$477,AE$478))*$AG$8</f>
        <v>33.746240428868305</v>
      </c>
      <c r="AH365" s="94">
        <f>Table3.110[[#This Row],[GP 8-24h, ml]]-(AVERAGE(AF$293,AF$294,AF$385,AF$386,AF$477,AF$478))*$AG$8</f>
        <v>49.00873479879084</v>
      </c>
      <c r="AI365" s="94">
        <f>Table3.110[[#This Row],[Net gas 8-24h, ml]]+Table3.110[[#This Row],[Net gas 8h, ml]]</f>
        <v>82.754975227659145</v>
      </c>
      <c r="AJ365" s="94">
        <f>Table3.110[[#This Row],[Net gas 8h, ml]]*Table3.110[[#This Row],[CH4 8h %]]%</f>
        <v>4.6907274196126947</v>
      </c>
      <c r="AK365" s="94">
        <f>Table3.110[[#This Row],[Net gas 8-24h, ml]]*Table3.110[[#This Row],[CH4 24h, %]]%</f>
        <v>7.0572578110258819</v>
      </c>
      <c r="AL365" s="94">
        <f>Table3.110[[#This Row],[CH4 8-24h, ml]]+Table3.110[[#This Row],[CH4 8h, ml]]</f>
        <v>11.747985230638577</v>
      </c>
      <c r="AM365" s="94">
        <f>(Table3.110[[#This Row],[Net gas 24h, ml]]/Table3.110[[#This Row],[DM Incubated, mg]])*1000</f>
        <v>170.3168365979908</v>
      </c>
      <c r="AN365" s="94">
        <f>'3.2 Digest'!X365</f>
        <v>43.752516009849145</v>
      </c>
      <c r="AO365" s="94">
        <f>Table3.110[[#This Row],[Digested feed, mg]]/Table3.110[[#This Row],[Net gas 24h, ml]]</f>
        <v>2.568889657874569</v>
      </c>
      <c r="AP365" s="94">
        <f>Table3.110[[#This Row],[CH4 8h, ml]]/Table3.110[[#This Row],[Net gas 8h, ml]]%</f>
        <v>13.9</v>
      </c>
      <c r="AQ365" s="94">
        <f>Table3.110[[#This Row],[CH4 24h, ml]]/Table3.110[[#This Row],[Net gas 24h, ml]]%</f>
        <v>14.196107482746312</v>
      </c>
      <c r="AR365" s="94">
        <f>Table3.110[[#This Row],[CH4 24h, ml]]/Table3.110[[#This Row],[DM Incubated, mg]]*1000</f>
        <v>24.17836118466418</v>
      </c>
      <c r="AS365" s="94">
        <f>Table3.110[[#This Row],[CH4 24h, ml]]/Table3.110[[#This Row],[Digested feed, mg]]*1000</f>
        <v>55.261647534101527</v>
      </c>
      <c r="AT365" s="94">
        <f>Table3.110[[#This Row],[CH4 24h, ml]]/'3.2 Digest'!AA365</f>
        <v>0.95489561745433538</v>
      </c>
      <c r="AU365" s="94">
        <f>((Table3.110[[#This Row],[CH4 24h, ml]]/28.9)*16.04)/Table3.110[[#This Row],[DM Incubated, mg]]*1000</f>
        <v>13.419408768235758</v>
      </c>
      <c r="AV365" s="94">
        <f>((Table3.110[[#This Row],[CH4 24h, ml]]/28.9)*16.04)/Table3.110[[#This Row],[Digested feed, mg]]*1000</f>
        <v>30.671170465293724</v>
      </c>
      <c r="AW365" s="303"/>
    </row>
    <row r="366" spans="1:49" s="304" customFormat="1" x14ac:dyDescent="0.35">
      <c r="A366" s="89"/>
      <c r="B366" s="90">
        <f t="shared" si="5"/>
        <v>356</v>
      </c>
      <c r="C366" s="140">
        <v>46048</v>
      </c>
      <c r="D366" s="92"/>
      <c r="E366" s="6" t="s">
        <v>201</v>
      </c>
      <c r="F366" s="133" t="s">
        <v>105</v>
      </c>
      <c r="G366" s="133" t="s">
        <v>188</v>
      </c>
      <c r="H366" s="133" t="s">
        <v>189</v>
      </c>
      <c r="I366" s="133" t="s">
        <v>108</v>
      </c>
      <c r="J366" s="135" t="s">
        <v>109</v>
      </c>
      <c r="K366" s="135" t="s">
        <v>110</v>
      </c>
      <c r="L366" s="6" t="s">
        <v>200</v>
      </c>
      <c r="M366" s="93">
        <v>28</v>
      </c>
      <c r="N366" s="93">
        <v>60</v>
      </c>
      <c r="O366" s="6">
        <v>1</v>
      </c>
      <c r="P366" s="129">
        <v>3</v>
      </c>
      <c r="Q366" s="6">
        <v>19</v>
      </c>
      <c r="R366" s="98">
        <v>0.50029999999999997</v>
      </c>
      <c r="S366" s="94">
        <f>((Table3.110[[#This Row],[Sample weight, g]]*'2.1. DM'!Q123)/100)*1000</f>
        <v>485.79129999999975</v>
      </c>
      <c r="T366" s="94">
        <f>'3.2 Digest'!W366</f>
        <v>192.49129999999974</v>
      </c>
      <c r="U366" s="117">
        <v>0.37361111111111112</v>
      </c>
      <c r="V366" s="155">
        <v>40.5</v>
      </c>
      <c r="W366" s="117">
        <v>0.70138888888888884</v>
      </c>
      <c r="X366" s="97">
        <v>76.5</v>
      </c>
      <c r="Y366" s="97">
        <v>14</v>
      </c>
      <c r="Z366" s="155">
        <v>40</v>
      </c>
      <c r="AA366" s="117">
        <v>0.375</v>
      </c>
      <c r="AB366" s="155">
        <v>93.5</v>
      </c>
      <c r="AC366" s="155">
        <v>14.4</v>
      </c>
      <c r="AD366" s="96"/>
      <c r="AE366" s="94">
        <f>Table3.110[[#This Row],[Gas 8h, ml]]-Table3.110[[#This Row],[Gas 0h, ml]]</f>
        <v>36</v>
      </c>
      <c r="AF366" s="94">
        <f>Table3.110[[#This Row],[Gas 24h, ml]]-Table3.110[[#This Row],[V8 Push back, ml]]</f>
        <v>53.5</v>
      </c>
      <c r="AG366" s="94">
        <f>Table3.110[[#This Row],[GP 8h, ml]]-(AVERAGE(AE$293,AE$294,AE$385,AE$386,AE$477,AE$478))*$AG$8</f>
        <v>34.746240428868305</v>
      </c>
      <c r="AH366" s="94">
        <f>Table3.110[[#This Row],[GP 8-24h, ml]]-(AVERAGE(AF$293,AF$294,AF$385,AF$386,AF$477,AF$478))*$AG$8</f>
        <v>51.50873479879084</v>
      </c>
      <c r="AI366" s="94">
        <f>Table3.110[[#This Row],[Net gas 8-24h, ml]]+Table3.110[[#This Row],[Net gas 8h, ml]]</f>
        <v>86.254975227659145</v>
      </c>
      <c r="AJ366" s="94">
        <f>Table3.110[[#This Row],[Net gas 8h, ml]]*Table3.110[[#This Row],[CH4 8h %]]%</f>
        <v>4.864473660041563</v>
      </c>
      <c r="AK366" s="94">
        <f>Table3.110[[#This Row],[Net gas 8-24h, ml]]*Table3.110[[#This Row],[CH4 24h, %]]%</f>
        <v>7.4172578110258822</v>
      </c>
      <c r="AL366" s="94">
        <f>Table3.110[[#This Row],[CH4 8-24h, ml]]+Table3.110[[#This Row],[CH4 8h, ml]]</f>
        <v>12.281731471067445</v>
      </c>
      <c r="AM366" s="94">
        <f>(Table3.110[[#This Row],[Net gas 24h, ml]]/Table3.110[[#This Row],[DM Incubated, mg]])*1000</f>
        <v>177.5556195173919</v>
      </c>
      <c r="AN366" s="94">
        <f>'3.2 Digest'!X366</f>
        <v>39.624278985646683</v>
      </c>
      <c r="AO366" s="94">
        <f>Table3.110[[#This Row],[Digested feed, mg]]/Table3.110[[#This Row],[Net gas 24h, ml]]</f>
        <v>2.2316544580987148</v>
      </c>
      <c r="AP366" s="94">
        <f>Table3.110[[#This Row],[CH4 8h, ml]]/Table3.110[[#This Row],[Net gas 8h, ml]]%</f>
        <v>14.000000000000002</v>
      </c>
      <c r="AQ366" s="94">
        <f>Table3.110[[#This Row],[CH4 24h, ml]]/Table3.110[[#This Row],[Net gas 24h, ml]]%</f>
        <v>14.238867310148036</v>
      </c>
      <c r="AR366" s="94">
        <f>Table3.110[[#This Row],[CH4 24h, ml]]/Table3.110[[#This Row],[DM Incubated, mg]]*1000</f>
        <v>25.281909064792746</v>
      </c>
      <c r="AS366" s="94">
        <f>Table3.110[[#This Row],[CH4 24h, ml]]/Table3.110[[#This Row],[Digested feed, mg]]*1000</f>
        <v>63.80408606034382</v>
      </c>
      <c r="AT366" s="94">
        <f>Table3.110[[#This Row],[CH4 24h, ml]]/'3.2 Digest'!AA366</f>
        <v>2.0935561817969295</v>
      </c>
      <c r="AU366" s="94">
        <f>((Table3.110[[#This Row],[CH4 24h, ml]]/28.9)*16.04)/Table3.110[[#This Row],[DM Incubated, mg]]*1000</f>
        <v>14.031896934230991</v>
      </c>
      <c r="AV366" s="94">
        <f>((Table3.110[[#This Row],[CH4 24h, ml]]/28.9)*16.04)/Table3.110[[#This Row],[Digested feed, mg]]*1000</f>
        <v>35.412371640412282</v>
      </c>
      <c r="AW366" s="303"/>
    </row>
    <row r="367" spans="1:49" s="304" customFormat="1" x14ac:dyDescent="0.35">
      <c r="A367" s="89"/>
      <c r="B367" s="90">
        <f t="shared" si="5"/>
        <v>357</v>
      </c>
      <c r="C367" s="140">
        <v>46048</v>
      </c>
      <c r="D367" s="92"/>
      <c r="E367" s="6" t="s">
        <v>203</v>
      </c>
      <c r="F367" s="133" t="s">
        <v>105</v>
      </c>
      <c r="G367" s="133" t="s">
        <v>188</v>
      </c>
      <c r="H367" s="133" t="s">
        <v>189</v>
      </c>
      <c r="I367" s="133" t="s">
        <v>108</v>
      </c>
      <c r="J367" s="135" t="s">
        <v>109</v>
      </c>
      <c r="K367" s="135" t="s">
        <v>110</v>
      </c>
      <c r="L367" s="6" t="s">
        <v>202</v>
      </c>
      <c r="M367" s="93">
        <v>28</v>
      </c>
      <c r="N367" s="93">
        <v>60</v>
      </c>
      <c r="O367" s="6">
        <v>1</v>
      </c>
      <c r="P367" s="129">
        <v>1</v>
      </c>
      <c r="Q367" s="6">
        <v>20</v>
      </c>
      <c r="R367" s="98">
        <v>0.50039999999999996</v>
      </c>
      <c r="S367" s="94">
        <f>((Table3.110[[#This Row],[Sample weight, g]]*'2.1. DM'!Q125)/100)*1000</f>
        <v>482.88775122487726</v>
      </c>
      <c r="T367" s="94">
        <f>'3.2 Digest'!W367</f>
        <v>126.48775122487723</v>
      </c>
      <c r="U367" s="153">
        <v>0.37361111111111112</v>
      </c>
      <c r="V367" s="155">
        <v>40.5</v>
      </c>
      <c r="W367" s="153">
        <v>0.70138888888888884</v>
      </c>
      <c r="X367" s="95">
        <v>75.5</v>
      </c>
      <c r="Y367" s="95">
        <v>13.6</v>
      </c>
      <c r="Z367" s="154">
        <v>40.5</v>
      </c>
      <c r="AA367" s="153">
        <v>0.37569444444444444</v>
      </c>
      <c r="AB367" s="154">
        <v>90</v>
      </c>
      <c r="AC367" s="154">
        <v>14.1</v>
      </c>
      <c r="AD367" s="91"/>
      <c r="AE367" s="94">
        <f>Table3.110[[#This Row],[Gas 8h, ml]]-Table3.110[[#This Row],[Gas 0h, ml]]</f>
        <v>35</v>
      </c>
      <c r="AF367" s="94">
        <f>Table3.110[[#This Row],[Gas 24h, ml]]-Table3.110[[#This Row],[V8 Push back, ml]]</f>
        <v>49.5</v>
      </c>
      <c r="AG367" s="94">
        <f>Table3.110[[#This Row],[GP 8h, ml]]-(AVERAGE(AE$293,AE$294,AE$385,AE$386,AE$477,AE$478))*$AG$8</f>
        <v>33.746240428868305</v>
      </c>
      <c r="AH367" s="94">
        <f>Table3.110[[#This Row],[GP 8-24h, ml]]-(AVERAGE(AF$293,AF$294,AF$385,AF$386,AF$477,AF$478))*$AG$8</f>
        <v>47.50873479879084</v>
      </c>
      <c r="AI367" s="94">
        <f>Table3.110[[#This Row],[Net gas 8-24h, ml]]+Table3.110[[#This Row],[Net gas 8h, ml]]</f>
        <v>81.254975227659145</v>
      </c>
      <c r="AJ367" s="94">
        <f>Table3.110[[#This Row],[Net gas 8h, ml]]*Table3.110[[#This Row],[CH4 8h %]]%</f>
        <v>4.5894886983260896</v>
      </c>
      <c r="AK367" s="94">
        <f>Table3.110[[#This Row],[Net gas 8-24h, ml]]*Table3.110[[#This Row],[CH4 24h, %]]%</f>
        <v>6.698731606629508</v>
      </c>
      <c r="AL367" s="94">
        <f>Table3.110[[#This Row],[CH4 8-24h, ml]]+Table3.110[[#This Row],[CH4 8h, ml]]</f>
        <v>11.288220304955598</v>
      </c>
      <c r="AM367" s="94">
        <f>(Table3.110[[#This Row],[Net gas 24h, ml]]/Table3.110[[#This Row],[DM Incubated, mg]])*1000</f>
        <v>168.26886791298895</v>
      </c>
      <c r="AN367" s="94">
        <f>'3.2 Digest'!X367</f>
        <v>26.194027681181094</v>
      </c>
      <c r="AO367" s="94">
        <f>Table3.110[[#This Row],[Digested feed, mg]]/Table3.110[[#This Row],[Net gas 24h, ml]]</f>
        <v>1.5566770018757063</v>
      </c>
      <c r="AP367" s="94">
        <f>Table3.110[[#This Row],[CH4 8h, ml]]/Table3.110[[#This Row],[Net gas 8h, ml]]%</f>
        <v>13.6</v>
      </c>
      <c r="AQ367" s="94">
        <f>Table3.110[[#This Row],[CH4 24h, ml]]/Table3.110[[#This Row],[Net gas 24h, ml]]%</f>
        <v>13.892343543676443</v>
      </c>
      <c r="AR367" s="94">
        <f>Table3.110[[#This Row],[CH4 24h, ml]]/Table3.110[[#This Row],[DM Incubated, mg]]*1000</f>
        <v>23.376489207527563</v>
      </c>
      <c r="AS367" s="94">
        <f>Table3.110[[#This Row],[CH4 24h, ml]]/Table3.110[[#This Row],[Digested feed, mg]]*1000</f>
        <v>89.243584423338731</v>
      </c>
      <c r="AT367" s="94">
        <f>Table3.110[[#This Row],[CH4 24h, ml]]/'3.2 Digest'!AA367</f>
        <v>-1.3712992939665796</v>
      </c>
      <c r="AU367" s="94">
        <f>((Table3.110[[#This Row],[CH4 24h, ml]]/28.9)*16.04)/Table3.110[[#This Row],[DM Incubated, mg]]*1000</f>
        <v>12.974355947707339</v>
      </c>
      <c r="AV367" s="94">
        <f>((Table3.110[[#This Row],[CH4 24h, ml]]/28.9)*16.04)/Table3.110[[#This Row],[Digested feed, mg]]*1000</f>
        <v>49.531733361603912</v>
      </c>
      <c r="AW367" s="303"/>
    </row>
    <row r="368" spans="1:49" s="304" customFormat="1" x14ac:dyDescent="0.35">
      <c r="A368" s="89"/>
      <c r="B368" s="90">
        <f t="shared" si="5"/>
        <v>358</v>
      </c>
      <c r="C368" s="140">
        <v>46048</v>
      </c>
      <c r="D368" s="92"/>
      <c r="E368" s="6" t="s">
        <v>203</v>
      </c>
      <c r="F368" s="133" t="s">
        <v>105</v>
      </c>
      <c r="G368" s="133" t="s">
        <v>188</v>
      </c>
      <c r="H368" s="133" t="s">
        <v>189</v>
      </c>
      <c r="I368" s="133" t="s">
        <v>108</v>
      </c>
      <c r="J368" s="135" t="s">
        <v>109</v>
      </c>
      <c r="K368" s="135" t="s">
        <v>110</v>
      </c>
      <c r="L368" s="6" t="s">
        <v>202</v>
      </c>
      <c r="M368" s="93">
        <v>28</v>
      </c>
      <c r="N368" s="93">
        <v>60</v>
      </c>
      <c r="O368" s="6">
        <v>1</v>
      </c>
      <c r="P368" s="129">
        <v>2</v>
      </c>
      <c r="Q368" s="6">
        <v>21</v>
      </c>
      <c r="R368" s="98">
        <v>0.50049999999999994</v>
      </c>
      <c r="S368" s="94">
        <f>((Table3.110[[#This Row],[Sample weight, g]]*'2.1. DM'!Q125)/100)*1000</f>
        <v>482.98425157484229</v>
      </c>
      <c r="T368" s="94">
        <f>'3.2 Digest'!W368</f>
        <v>123.88425157484232</v>
      </c>
      <c r="U368" s="117">
        <v>0.37361111111111112</v>
      </c>
      <c r="V368" s="155">
        <v>41</v>
      </c>
      <c r="W368" s="117">
        <v>0.70208333333333328</v>
      </c>
      <c r="X368" s="97">
        <v>77</v>
      </c>
      <c r="Y368" s="97">
        <v>13.3</v>
      </c>
      <c r="Z368" s="155">
        <v>40.5</v>
      </c>
      <c r="AA368" s="117">
        <v>0.37569444444444444</v>
      </c>
      <c r="AB368" s="155">
        <v>89.5</v>
      </c>
      <c r="AC368" s="155">
        <v>14.1</v>
      </c>
      <c r="AD368" s="96"/>
      <c r="AE368" s="94">
        <f>Table3.110[[#This Row],[Gas 8h, ml]]-Table3.110[[#This Row],[Gas 0h, ml]]</f>
        <v>36</v>
      </c>
      <c r="AF368" s="94">
        <f>Table3.110[[#This Row],[Gas 24h, ml]]-Table3.110[[#This Row],[V8 Push back, ml]]</f>
        <v>49</v>
      </c>
      <c r="AG368" s="94">
        <f>Table3.110[[#This Row],[GP 8h, ml]]-(AVERAGE(AE$293,AE$294,AE$385,AE$386,AE$477,AE$478))*$AG$8</f>
        <v>34.746240428868305</v>
      </c>
      <c r="AH368" s="94">
        <f>Table3.110[[#This Row],[GP 8-24h, ml]]-(AVERAGE(AF$293,AF$294,AF$385,AF$386,AF$477,AF$478))*$AG$8</f>
        <v>47.00873479879084</v>
      </c>
      <c r="AI368" s="94">
        <f>Table3.110[[#This Row],[Net gas 8-24h, ml]]+Table3.110[[#This Row],[Net gas 8h, ml]]</f>
        <v>81.754975227659145</v>
      </c>
      <c r="AJ368" s="94">
        <f>Table3.110[[#This Row],[Net gas 8h, ml]]*Table3.110[[#This Row],[CH4 8h %]]%</f>
        <v>4.6212499770394846</v>
      </c>
      <c r="AK368" s="94">
        <f>Table3.110[[#This Row],[Net gas 8-24h, ml]]*Table3.110[[#This Row],[CH4 24h, %]]%</f>
        <v>6.6282316066295079</v>
      </c>
      <c r="AL368" s="94">
        <f>Table3.110[[#This Row],[CH4 8-24h, ml]]+Table3.110[[#This Row],[CH4 8h, ml]]</f>
        <v>11.249481583668992</v>
      </c>
      <c r="AM368" s="94">
        <f>(Table3.110[[#This Row],[Net gas 24h, ml]]/Table3.110[[#This Row],[DM Incubated, mg]])*1000</f>
        <v>169.27047820106935</v>
      </c>
      <c r="AN368" s="94">
        <f>'3.2 Digest'!X368</f>
        <v>25.649749690781682</v>
      </c>
      <c r="AO368" s="94">
        <f>Table3.110[[#This Row],[Digested feed, mg]]/Table3.110[[#This Row],[Net gas 24h, ml]]</f>
        <v>1.5153114685665039</v>
      </c>
      <c r="AP368" s="94">
        <f>Table3.110[[#This Row],[CH4 8h, ml]]/Table3.110[[#This Row],[Net gas 8h, ml]]%</f>
        <v>13.3</v>
      </c>
      <c r="AQ368" s="94">
        <f>Table3.110[[#This Row],[CH4 24h, ml]]/Table3.110[[#This Row],[Net gas 24h, ml]]%</f>
        <v>13.759996321132876</v>
      </c>
      <c r="AR368" s="94">
        <f>Table3.110[[#This Row],[CH4 24h, ml]]/Table3.110[[#This Row],[DM Incubated, mg]]*1000</f>
        <v>23.291611573231172</v>
      </c>
      <c r="AS368" s="94">
        <f>Table3.110[[#This Row],[CH4 24h, ml]]/Table3.110[[#This Row],[Digested feed, mg]]*1000</f>
        <v>90.806389356703903</v>
      </c>
      <c r="AT368" s="94">
        <f>Table3.110[[#This Row],[CH4 24h, ml]]/'3.2 Digest'!AA368</f>
        <v>-1.2458009355248469</v>
      </c>
      <c r="AU368" s="94">
        <f>((Table3.110[[#This Row],[CH4 24h, ml]]/28.9)*16.04)/Table3.110[[#This Row],[DM Incubated, mg]]*1000</f>
        <v>12.927247392201659</v>
      </c>
      <c r="AV368" s="94">
        <f>((Table3.110[[#This Row],[CH4 24h, ml]]/28.9)*16.04)/Table3.110[[#This Row],[Digested feed, mg]]*1000</f>
        <v>50.399117137769224</v>
      </c>
      <c r="AW368" s="303"/>
    </row>
    <row r="369" spans="1:50" s="304" customFormat="1" x14ac:dyDescent="0.35">
      <c r="A369" s="89"/>
      <c r="B369" s="90">
        <f t="shared" si="5"/>
        <v>359</v>
      </c>
      <c r="C369" s="140">
        <v>46048</v>
      </c>
      <c r="D369" s="92"/>
      <c r="E369" s="6" t="s">
        <v>203</v>
      </c>
      <c r="F369" s="133" t="s">
        <v>105</v>
      </c>
      <c r="G369" s="133" t="s">
        <v>188</v>
      </c>
      <c r="H369" s="133" t="s">
        <v>189</v>
      </c>
      <c r="I369" s="133" t="s">
        <v>108</v>
      </c>
      <c r="J369" s="135" t="s">
        <v>109</v>
      </c>
      <c r="K369" s="135" t="s">
        <v>110</v>
      </c>
      <c r="L369" s="6" t="s">
        <v>202</v>
      </c>
      <c r="M369" s="93">
        <v>28</v>
      </c>
      <c r="N369" s="93">
        <v>60</v>
      </c>
      <c r="O369" s="6">
        <v>1</v>
      </c>
      <c r="P369" s="129">
        <v>3</v>
      </c>
      <c r="Q369" s="6">
        <v>17</v>
      </c>
      <c r="R369" s="98">
        <v>0.50049999999999994</v>
      </c>
      <c r="S369" s="94">
        <f>((Table3.110[[#This Row],[Sample weight, g]]*'2.1. DM'!Q125)/100)*1000</f>
        <v>482.98425157484229</v>
      </c>
      <c r="T369" s="94">
        <f>'3.2 Digest'!W369</f>
        <v>130.18425157484228</v>
      </c>
      <c r="U369" s="153">
        <v>0.37430555555555556</v>
      </c>
      <c r="V369" s="155">
        <v>40.5</v>
      </c>
      <c r="W369" s="153">
        <v>0.70208333333333328</v>
      </c>
      <c r="X369" s="95">
        <v>76</v>
      </c>
      <c r="Y369" s="95">
        <v>13.2</v>
      </c>
      <c r="Z369" s="154">
        <v>40</v>
      </c>
      <c r="AA369" s="153">
        <v>0.37638888888888888</v>
      </c>
      <c r="AB369" s="154">
        <v>91.5</v>
      </c>
      <c r="AC369" s="154">
        <v>14</v>
      </c>
      <c r="AD369" s="91"/>
      <c r="AE369" s="94">
        <f>Table3.110[[#This Row],[Gas 8h, ml]]-Table3.110[[#This Row],[Gas 0h, ml]]</f>
        <v>35.5</v>
      </c>
      <c r="AF369" s="94">
        <f>Table3.110[[#This Row],[Gas 24h, ml]]-Table3.110[[#This Row],[V8 Push back, ml]]</f>
        <v>51.5</v>
      </c>
      <c r="AG369" s="94">
        <f>Table3.110[[#This Row],[GP 8h, ml]]-(AVERAGE(AE$293,AE$294,AE$385,AE$386,AE$477,AE$478))*$AG$8</f>
        <v>34.246240428868305</v>
      </c>
      <c r="AH369" s="94">
        <f>Table3.110[[#This Row],[GP 8-24h, ml]]-(AVERAGE(AF$293,AF$294,AF$385,AF$386,AF$477,AF$478))*$AG$8</f>
        <v>49.50873479879084</v>
      </c>
      <c r="AI369" s="94">
        <f>Table3.110[[#This Row],[Net gas 8-24h, ml]]+Table3.110[[#This Row],[Net gas 8h, ml]]</f>
        <v>83.754975227659145</v>
      </c>
      <c r="AJ369" s="94">
        <f>Table3.110[[#This Row],[Net gas 8h, ml]]*Table3.110[[#This Row],[CH4 8h %]]%</f>
        <v>4.5205037366106167</v>
      </c>
      <c r="AK369" s="94">
        <f>Table3.110[[#This Row],[Net gas 8-24h, ml]]*Table3.110[[#This Row],[CH4 24h, %]]%</f>
        <v>6.9312228718307187</v>
      </c>
      <c r="AL369" s="94">
        <f>Table3.110[[#This Row],[CH4 8-24h, ml]]+Table3.110[[#This Row],[CH4 8h, ml]]</f>
        <v>11.451726608441335</v>
      </c>
      <c r="AM369" s="94">
        <f>(Table3.110[[#This Row],[Net gas 24h, ml]]/Table3.110[[#This Row],[DM Incubated, mg]])*1000</f>
        <v>173.41139996710768</v>
      </c>
      <c r="AN369" s="94">
        <f>'3.2 Digest'!X369</f>
        <v>26.954140047083747</v>
      </c>
      <c r="AO369" s="94">
        <f>Table3.110[[#This Row],[Digested feed, mg]]/Table3.110[[#This Row],[Net gas 24h, ml]]</f>
        <v>1.5543464877278166</v>
      </c>
      <c r="AP369" s="94">
        <f>Table3.110[[#This Row],[CH4 8h, ml]]/Table3.110[[#This Row],[Net gas 8h, ml]]%</f>
        <v>13.200000000000003</v>
      </c>
      <c r="AQ369" s="94">
        <f>Table3.110[[#This Row],[CH4 24h, ml]]/Table3.110[[#This Row],[Net gas 24h, ml]]%</f>
        <v>13.67289116534719</v>
      </c>
      <c r="AR369" s="94">
        <f>Table3.110[[#This Row],[CH4 24h, ml]]/Table3.110[[#This Row],[DM Incubated, mg]]*1000</f>
        <v>23.710351985807552</v>
      </c>
      <c r="AS369" s="94">
        <f>Table3.110[[#This Row],[CH4 24h, ml]]/Table3.110[[#This Row],[Digested feed, mg]]*1000</f>
        <v>87.965529393221544</v>
      </c>
      <c r="AT369" s="94">
        <f>Table3.110[[#This Row],[CH4 24h, ml]]/'3.2 Digest'!AA369</f>
        <v>-1.6090408991847687</v>
      </c>
      <c r="AU369" s="94">
        <f>((Table3.110[[#This Row],[CH4 24h, ml]]/28.9)*16.04)/Table3.110[[#This Row],[DM Incubated, mg]]*1000</f>
        <v>13.159655565825366</v>
      </c>
      <c r="AV369" s="94">
        <f>((Table3.110[[#This Row],[CH4 24h, ml]]/28.9)*16.04)/Table3.110[[#This Row],[Digested feed, mg]]*1000</f>
        <v>48.82239070821015</v>
      </c>
      <c r="AW369" s="303"/>
    </row>
    <row r="370" spans="1:50" s="304" customFormat="1" x14ac:dyDescent="0.35">
      <c r="A370" s="89"/>
      <c r="B370" s="90">
        <f t="shared" si="5"/>
        <v>360</v>
      </c>
      <c r="C370" s="140">
        <v>46048</v>
      </c>
      <c r="D370" s="92"/>
      <c r="E370" s="6" t="s">
        <v>205</v>
      </c>
      <c r="F370" s="133" t="s">
        <v>105</v>
      </c>
      <c r="G370" s="133" t="s">
        <v>188</v>
      </c>
      <c r="H370" s="133" t="s">
        <v>189</v>
      </c>
      <c r="I370" s="133" t="s">
        <v>108</v>
      </c>
      <c r="J370" s="135" t="s">
        <v>109</v>
      </c>
      <c r="K370" s="135" t="s">
        <v>110</v>
      </c>
      <c r="L370" s="6" t="s">
        <v>204</v>
      </c>
      <c r="M370" s="93">
        <v>28</v>
      </c>
      <c r="N370" s="93">
        <v>60</v>
      </c>
      <c r="O370" s="6">
        <v>1</v>
      </c>
      <c r="P370" s="129">
        <v>1</v>
      </c>
      <c r="Q370" s="6">
        <v>18</v>
      </c>
      <c r="R370" s="98">
        <v>0.50049999999999994</v>
      </c>
      <c r="S370" s="94">
        <f>((Table3.110[[#This Row],[Sample weight, g]]*'2.1. DM'!Q127)/100)*1000</f>
        <v>484.81793102684969</v>
      </c>
      <c r="T370" s="94">
        <f>'3.2 Digest'!W370</f>
        <v>111.51793102684974</v>
      </c>
      <c r="U370" s="117">
        <v>0.375</v>
      </c>
      <c r="V370" s="155">
        <v>40.5</v>
      </c>
      <c r="W370" s="117">
        <v>0.70277777777777772</v>
      </c>
      <c r="X370" s="97">
        <v>75</v>
      </c>
      <c r="Y370" s="97">
        <v>13.8</v>
      </c>
      <c r="Z370" s="155">
        <v>40.5</v>
      </c>
      <c r="AA370" s="117">
        <v>0.37708333333333333</v>
      </c>
      <c r="AB370" s="155">
        <v>85.5</v>
      </c>
      <c r="AC370" s="155">
        <v>14.7</v>
      </c>
      <c r="AD370" s="96"/>
      <c r="AE370" s="94"/>
      <c r="AF370" s="94"/>
      <c r="AG370" s="94"/>
      <c r="AH370" s="94"/>
      <c r="AI370" s="94"/>
      <c r="AJ370" s="94"/>
      <c r="AK370" s="94"/>
      <c r="AL370" s="94"/>
      <c r="AM370" s="94"/>
      <c r="AN370" s="94"/>
      <c r="AO370" s="94"/>
      <c r="AP370" s="94"/>
      <c r="AQ370" s="94"/>
      <c r="AR370" s="94"/>
      <c r="AS370" s="94"/>
      <c r="AT370" s="94"/>
      <c r="AU370" s="94"/>
      <c r="AV370" s="94"/>
      <c r="AW370" s="303" t="s">
        <v>629</v>
      </c>
    </row>
    <row r="371" spans="1:50" s="304" customFormat="1" x14ac:dyDescent="0.35">
      <c r="A371" s="89"/>
      <c r="B371" s="90">
        <f t="shared" si="5"/>
        <v>361</v>
      </c>
      <c r="C371" s="140">
        <v>46048</v>
      </c>
      <c r="D371" s="92"/>
      <c r="E371" s="6" t="s">
        <v>205</v>
      </c>
      <c r="F371" s="133" t="s">
        <v>105</v>
      </c>
      <c r="G371" s="133" t="s">
        <v>188</v>
      </c>
      <c r="H371" s="133" t="s">
        <v>189</v>
      </c>
      <c r="I371" s="133" t="s">
        <v>108</v>
      </c>
      <c r="J371" s="135" t="s">
        <v>109</v>
      </c>
      <c r="K371" s="135" t="s">
        <v>110</v>
      </c>
      <c r="L371" s="6" t="s">
        <v>204</v>
      </c>
      <c r="M371" s="93">
        <v>28</v>
      </c>
      <c r="N371" s="93">
        <v>60</v>
      </c>
      <c r="O371" s="6">
        <v>1</v>
      </c>
      <c r="P371" s="129">
        <v>2</v>
      </c>
      <c r="Q371" s="6">
        <v>14</v>
      </c>
      <c r="R371" s="98">
        <v>0.50019999999999998</v>
      </c>
      <c r="S371" s="94">
        <f>((Table3.110[[#This Row],[Sample weight, g]]*'2.1. DM'!Q127)/100)*1000</f>
        <v>484.52733086839203</v>
      </c>
      <c r="T371" s="94">
        <f>'3.2 Digest'!W371</f>
        <v>77.327330868392153</v>
      </c>
      <c r="U371" s="153">
        <v>0.375</v>
      </c>
      <c r="V371" s="155">
        <v>41.5</v>
      </c>
      <c r="W371" s="153">
        <v>0.70277777777777772</v>
      </c>
      <c r="X371" s="95">
        <v>76.5</v>
      </c>
      <c r="Y371" s="95">
        <v>13.8</v>
      </c>
      <c r="Z371" s="154">
        <v>40.5</v>
      </c>
      <c r="AA371" s="153">
        <v>0.37708333333333333</v>
      </c>
      <c r="AB371" s="154">
        <v>92.5</v>
      </c>
      <c r="AC371" s="154">
        <v>14.4</v>
      </c>
      <c r="AD371" s="91"/>
      <c r="AE371" s="94"/>
      <c r="AF371" s="94"/>
      <c r="AG371" s="94"/>
      <c r="AH371" s="94"/>
      <c r="AI371" s="94"/>
      <c r="AJ371" s="94"/>
      <c r="AK371" s="94"/>
      <c r="AL371" s="94"/>
      <c r="AM371" s="94"/>
      <c r="AN371" s="94"/>
      <c r="AO371" s="94"/>
      <c r="AP371" s="94"/>
      <c r="AQ371" s="94"/>
      <c r="AR371" s="94"/>
      <c r="AS371" s="94"/>
      <c r="AT371" s="94"/>
      <c r="AU371" s="94"/>
      <c r="AV371" s="94"/>
      <c r="AW371" s="303" t="s">
        <v>629</v>
      </c>
    </row>
    <row r="372" spans="1:50" s="304" customFormat="1" x14ac:dyDescent="0.35">
      <c r="A372" s="89"/>
      <c r="B372" s="90">
        <f t="shared" si="5"/>
        <v>362</v>
      </c>
      <c r="C372" s="140">
        <v>46048</v>
      </c>
      <c r="D372" s="92"/>
      <c r="E372" s="6" t="s">
        <v>205</v>
      </c>
      <c r="F372" s="133" t="s">
        <v>105</v>
      </c>
      <c r="G372" s="133" t="s">
        <v>188</v>
      </c>
      <c r="H372" s="133" t="s">
        <v>189</v>
      </c>
      <c r="I372" s="133" t="s">
        <v>108</v>
      </c>
      <c r="J372" s="135" t="s">
        <v>109</v>
      </c>
      <c r="K372" s="135" t="s">
        <v>110</v>
      </c>
      <c r="L372" s="6" t="s">
        <v>204</v>
      </c>
      <c r="M372" s="93">
        <v>28</v>
      </c>
      <c r="N372" s="93">
        <v>60</v>
      </c>
      <c r="O372" s="6">
        <v>1</v>
      </c>
      <c r="P372" s="129">
        <v>3</v>
      </c>
      <c r="Q372" s="6">
        <v>15</v>
      </c>
      <c r="R372" s="98">
        <v>0.50049999999999994</v>
      </c>
      <c r="S372" s="94">
        <f>((Table3.110[[#This Row],[Sample weight, g]]*'2.1. DM'!Q127)/100)*1000</f>
        <v>484.81793102684969</v>
      </c>
      <c r="T372" s="94">
        <f>'3.2 Digest'!W372</f>
        <v>148.51793102684974</v>
      </c>
      <c r="U372" s="117">
        <v>0.37569444444444444</v>
      </c>
      <c r="V372" s="155">
        <v>41</v>
      </c>
      <c r="W372" s="117">
        <v>0.70347222222222228</v>
      </c>
      <c r="X372" s="97">
        <v>77.5</v>
      </c>
      <c r="Y372" s="97">
        <v>13.6</v>
      </c>
      <c r="Z372" s="155">
        <v>40.5</v>
      </c>
      <c r="AA372" s="117">
        <v>0.37777777777777777</v>
      </c>
      <c r="AB372" s="155">
        <v>93.5</v>
      </c>
      <c r="AC372" s="155">
        <v>14.3</v>
      </c>
      <c r="AD372" s="96"/>
      <c r="AE372" s="94"/>
      <c r="AF372" s="94"/>
      <c r="AG372" s="94"/>
      <c r="AH372" s="94"/>
      <c r="AI372" s="94"/>
      <c r="AJ372" s="94"/>
      <c r="AK372" s="94"/>
      <c r="AL372" s="94"/>
      <c r="AM372" s="94"/>
      <c r="AN372" s="94"/>
      <c r="AO372" s="94"/>
      <c r="AP372" s="94"/>
      <c r="AQ372" s="94"/>
      <c r="AR372" s="94"/>
      <c r="AS372" s="94"/>
      <c r="AT372" s="94"/>
      <c r="AU372" s="94"/>
      <c r="AV372" s="94"/>
      <c r="AW372" s="303" t="s">
        <v>629</v>
      </c>
    </row>
    <row r="373" spans="1:50" s="304" customFormat="1" x14ac:dyDescent="0.35">
      <c r="A373" s="89"/>
      <c r="B373" s="90">
        <f t="shared" si="5"/>
        <v>363</v>
      </c>
      <c r="C373" s="140">
        <v>46048</v>
      </c>
      <c r="D373" s="92"/>
      <c r="E373" s="6" t="s">
        <v>207</v>
      </c>
      <c r="F373" s="133" t="s">
        <v>105</v>
      </c>
      <c r="G373" s="133" t="s">
        <v>188</v>
      </c>
      <c r="H373" s="133" t="s">
        <v>189</v>
      </c>
      <c r="I373" s="133" t="s">
        <v>108</v>
      </c>
      <c r="J373" s="135" t="s">
        <v>109</v>
      </c>
      <c r="K373" s="135" t="s">
        <v>110</v>
      </c>
      <c r="L373" s="6" t="s">
        <v>206</v>
      </c>
      <c r="M373" s="93">
        <v>28</v>
      </c>
      <c r="N373" s="93">
        <v>60</v>
      </c>
      <c r="O373" s="6">
        <v>1</v>
      </c>
      <c r="P373" s="129">
        <v>1</v>
      </c>
      <c r="Q373" s="6">
        <v>16</v>
      </c>
      <c r="R373" s="98">
        <v>0.5</v>
      </c>
      <c r="S373" s="94">
        <f>((Table3.110[[#This Row],[Sample weight, g]]*'2.1. DM'!Q129)/100)*1000</f>
        <v>488.27677696690995</v>
      </c>
      <c r="T373" s="94">
        <f>'3.2 Digest'!W373</f>
        <v>205.87677696690997</v>
      </c>
      <c r="U373" s="153">
        <v>0.37569444444444444</v>
      </c>
      <c r="V373" s="155">
        <v>41</v>
      </c>
      <c r="W373" s="153">
        <v>0.70347222222222228</v>
      </c>
      <c r="X373" s="95">
        <v>78.5</v>
      </c>
      <c r="Y373" s="95">
        <v>13.7</v>
      </c>
      <c r="Z373" s="154">
        <v>40.5</v>
      </c>
      <c r="AA373" s="153">
        <v>0.37777777777777777</v>
      </c>
      <c r="AB373" s="154">
        <v>91.5</v>
      </c>
      <c r="AC373" s="154">
        <v>14.8</v>
      </c>
      <c r="AD373" s="91"/>
      <c r="AE373" s="94">
        <f>Table3.110[[#This Row],[Gas 8h, ml]]-Table3.110[[#This Row],[Gas 0h, ml]]</f>
        <v>37.5</v>
      </c>
      <c r="AF373" s="94">
        <f>Table3.110[[#This Row],[Gas 24h, ml]]-Table3.110[[#This Row],[V8 Push back, ml]]</f>
        <v>51</v>
      </c>
      <c r="AG373" s="94"/>
      <c r="AH373" s="94"/>
      <c r="AI373" s="94"/>
      <c r="AJ373" s="94"/>
      <c r="AK373" s="94"/>
      <c r="AL373" s="94"/>
      <c r="AM373" s="94"/>
      <c r="AN373" s="94"/>
      <c r="AO373" s="94"/>
      <c r="AP373" s="94"/>
      <c r="AQ373" s="94"/>
      <c r="AR373" s="94"/>
      <c r="AS373" s="94"/>
      <c r="AT373" s="94"/>
      <c r="AU373" s="94"/>
      <c r="AV373" s="94"/>
      <c r="AW373" s="303" t="s">
        <v>629</v>
      </c>
    </row>
    <row r="374" spans="1:50" s="304" customFormat="1" x14ac:dyDescent="0.35">
      <c r="A374" s="89"/>
      <c r="B374" s="90">
        <f t="shared" si="5"/>
        <v>364</v>
      </c>
      <c r="C374" s="140">
        <v>46048</v>
      </c>
      <c r="D374" s="92"/>
      <c r="E374" s="6" t="s">
        <v>207</v>
      </c>
      <c r="F374" s="133" t="s">
        <v>105</v>
      </c>
      <c r="G374" s="133" t="s">
        <v>188</v>
      </c>
      <c r="H374" s="133" t="s">
        <v>189</v>
      </c>
      <c r="I374" s="133" t="s">
        <v>108</v>
      </c>
      <c r="J374" s="135" t="s">
        <v>109</v>
      </c>
      <c r="K374" s="135" t="s">
        <v>110</v>
      </c>
      <c r="L374" s="6" t="s">
        <v>206</v>
      </c>
      <c r="M374" s="93">
        <v>28</v>
      </c>
      <c r="N374" s="93">
        <v>60</v>
      </c>
      <c r="O374" s="6">
        <v>1</v>
      </c>
      <c r="P374" s="129">
        <v>2</v>
      </c>
      <c r="Q374" s="6">
        <v>22</v>
      </c>
      <c r="R374" s="98">
        <v>0.50019999999999998</v>
      </c>
      <c r="S374" s="94">
        <f>((Table3.110[[#This Row],[Sample weight, g]]*'2.1. DM'!Q129)/100)*1000</f>
        <v>488.47208767769672</v>
      </c>
      <c r="T374" s="94">
        <f>'3.2 Digest'!W374</f>
        <v>131.27208767769667</v>
      </c>
      <c r="U374" s="117">
        <v>0.37638888888888888</v>
      </c>
      <c r="V374" s="155">
        <v>41.5</v>
      </c>
      <c r="W374" s="117">
        <v>0.70416666666666672</v>
      </c>
      <c r="X374" s="97">
        <v>76.5</v>
      </c>
      <c r="Y374" s="97">
        <v>14</v>
      </c>
      <c r="Z374" s="155">
        <v>41</v>
      </c>
      <c r="AA374" s="117">
        <v>0.37777777777777777</v>
      </c>
      <c r="AB374" s="155">
        <v>90</v>
      </c>
      <c r="AC374" s="155">
        <v>14.6</v>
      </c>
      <c r="AD374" s="96"/>
      <c r="AE374" s="94">
        <f>Table3.110[[#This Row],[Gas 8h, ml]]-Table3.110[[#This Row],[Gas 0h, ml]]</f>
        <v>35</v>
      </c>
      <c r="AF374" s="94">
        <f>Table3.110[[#This Row],[Gas 24h, ml]]-Table3.110[[#This Row],[V8 Push back, ml]]</f>
        <v>49</v>
      </c>
      <c r="AG374" s="94"/>
      <c r="AH374" s="94"/>
      <c r="AI374" s="94"/>
      <c r="AJ374" s="94"/>
      <c r="AK374" s="94"/>
      <c r="AL374" s="94"/>
      <c r="AM374" s="94"/>
      <c r="AN374" s="94"/>
      <c r="AO374" s="94"/>
      <c r="AP374" s="94"/>
      <c r="AQ374" s="94"/>
      <c r="AR374" s="94"/>
      <c r="AS374" s="94"/>
      <c r="AT374" s="94"/>
      <c r="AU374" s="94"/>
      <c r="AV374" s="94"/>
      <c r="AW374" s="303" t="s">
        <v>629</v>
      </c>
    </row>
    <row r="375" spans="1:50" s="304" customFormat="1" x14ac:dyDescent="0.35">
      <c r="A375" s="89"/>
      <c r="B375" s="90">
        <f t="shared" si="5"/>
        <v>365</v>
      </c>
      <c r="C375" s="140">
        <v>46048</v>
      </c>
      <c r="D375" s="92"/>
      <c r="E375" s="6" t="s">
        <v>207</v>
      </c>
      <c r="F375" s="133" t="s">
        <v>105</v>
      </c>
      <c r="G375" s="133" t="s">
        <v>188</v>
      </c>
      <c r="H375" s="133" t="s">
        <v>189</v>
      </c>
      <c r="I375" s="133" t="s">
        <v>108</v>
      </c>
      <c r="J375" s="135" t="s">
        <v>109</v>
      </c>
      <c r="K375" s="135" t="s">
        <v>110</v>
      </c>
      <c r="L375" s="6" t="s">
        <v>206</v>
      </c>
      <c r="M375" s="93">
        <v>28</v>
      </c>
      <c r="N375" s="93">
        <v>60</v>
      </c>
      <c r="O375" s="6">
        <v>1</v>
      </c>
      <c r="P375" s="129">
        <v>3</v>
      </c>
      <c r="Q375" s="6">
        <v>23</v>
      </c>
      <c r="R375" s="98">
        <v>0.50060000000000004</v>
      </c>
      <c r="S375" s="94">
        <f>((Table3.110[[#This Row],[Sample weight, g]]*'2.1. DM'!Q129)/100)*1000</f>
        <v>488.86270909927032</v>
      </c>
      <c r="T375" s="94">
        <f>'3.2 Digest'!W375</f>
        <v>135.36270909927026</v>
      </c>
      <c r="U375" s="153">
        <v>0.37708333333333333</v>
      </c>
      <c r="V375" s="155">
        <v>41</v>
      </c>
      <c r="W375" s="153">
        <v>0.70416666666666672</v>
      </c>
      <c r="X375" s="95">
        <v>76.5</v>
      </c>
      <c r="Y375" s="95">
        <v>14</v>
      </c>
      <c r="Z375" s="154">
        <v>40.5</v>
      </c>
      <c r="AA375" s="153">
        <v>0.37847222222222221</v>
      </c>
      <c r="AB375" s="154">
        <v>89.5</v>
      </c>
      <c r="AC375" s="154">
        <v>18.8</v>
      </c>
      <c r="AD375" s="91"/>
      <c r="AE375" s="94">
        <f>Table3.110[[#This Row],[Gas 8h, ml]]-Table3.110[[#This Row],[Gas 0h, ml]]</f>
        <v>35.5</v>
      </c>
      <c r="AF375" s="94">
        <f>Table3.110[[#This Row],[Gas 24h, ml]]-Table3.110[[#This Row],[V8 Push back, ml]]</f>
        <v>49</v>
      </c>
      <c r="AG375" s="94"/>
      <c r="AH375" s="94"/>
      <c r="AI375" s="94"/>
      <c r="AJ375" s="94"/>
      <c r="AK375" s="94"/>
      <c r="AL375" s="94"/>
      <c r="AM375" s="94"/>
      <c r="AN375" s="94"/>
      <c r="AO375" s="94"/>
      <c r="AP375" s="94"/>
      <c r="AQ375" s="94"/>
      <c r="AR375" s="94"/>
      <c r="AS375" s="94"/>
      <c r="AT375" s="94"/>
      <c r="AU375" s="94"/>
      <c r="AV375" s="94"/>
      <c r="AW375" s="303" t="s">
        <v>629</v>
      </c>
    </row>
    <row r="376" spans="1:50" s="304" customFormat="1" x14ac:dyDescent="0.35">
      <c r="A376" s="89"/>
      <c r="B376" s="90">
        <f t="shared" si="5"/>
        <v>366</v>
      </c>
      <c r="C376" s="140">
        <v>46048</v>
      </c>
      <c r="D376" s="92"/>
      <c r="E376" s="6" t="s">
        <v>209</v>
      </c>
      <c r="F376" s="133" t="s">
        <v>105</v>
      </c>
      <c r="G376" s="133" t="s">
        <v>188</v>
      </c>
      <c r="H376" s="133" t="s">
        <v>189</v>
      </c>
      <c r="I376" s="133" t="s">
        <v>108</v>
      </c>
      <c r="J376" s="135" t="s">
        <v>109</v>
      </c>
      <c r="K376" s="135" t="s">
        <v>110</v>
      </c>
      <c r="L376" s="6" t="s">
        <v>208</v>
      </c>
      <c r="M376" s="93">
        <v>28</v>
      </c>
      <c r="N376" s="93">
        <v>60</v>
      </c>
      <c r="O376" s="6">
        <v>1</v>
      </c>
      <c r="P376" s="129">
        <v>1</v>
      </c>
      <c r="Q376" s="6">
        <v>24</v>
      </c>
      <c r="R376" s="98">
        <v>0.50039999999999996</v>
      </c>
      <c r="S376" s="94">
        <f>((Table3.110[[#This Row],[Sample weight, g]]*'2.1. DM'!Q131)/100)*1000</f>
        <v>483.0188498517403</v>
      </c>
      <c r="T376" s="94">
        <f>'3.2 Digest'!W376</f>
        <v>156.21884985174034</v>
      </c>
      <c r="U376" s="117">
        <v>0.37708333333333333</v>
      </c>
      <c r="V376" s="155">
        <v>41</v>
      </c>
      <c r="W376" s="117">
        <v>0.70486111111111116</v>
      </c>
      <c r="X376" s="97">
        <v>77.5</v>
      </c>
      <c r="Y376" s="97">
        <v>14</v>
      </c>
      <c r="Z376" s="155">
        <v>40</v>
      </c>
      <c r="AA376" s="117">
        <v>0.37847222222222221</v>
      </c>
      <c r="AB376" s="155">
        <v>91.5</v>
      </c>
      <c r="AC376" s="155">
        <v>15</v>
      </c>
      <c r="AD376" s="96"/>
      <c r="AE376" s="94">
        <f>Table3.110[[#This Row],[Gas 8h, ml]]-Table3.110[[#This Row],[Gas 0h, ml]]</f>
        <v>36.5</v>
      </c>
      <c r="AF376" s="94">
        <f>Table3.110[[#This Row],[Gas 24h, ml]]-Table3.110[[#This Row],[V8 Push back, ml]]</f>
        <v>51.5</v>
      </c>
      <c r="AG376" s="94">
        <v>36.5</v>
      </c>
      <c r="AH376" s="94">
        <v>51.5</v>
      </c>
      <c r="AI376" s="94">
        <v>35.246240428868305</v>
      </c>
      <c r="AJ376" s="94">
        <v>49.50873479879084</v>
      </c>
      <c r="AK376" s="94">
        <v>84.754975227659145</v>
      </c>
      <c r="AL376" s="94">
        <v>4.9344736600415633</v>
      </c>
      <c r="AM376" s="94">
        <v>7.4263102198186255</v>
      </c>
      <c r="AN376" s="94">
        <v>12.36078387986019</v>
      </c>
      <c r="AO376" s="94">
        <v>175.46929121642805</v>
      </c>
      <c r="AP376" s="94">
        <v>32.342184968493626</v>
      </c>
      <c r="AQ376" s="94">
        <v>1.8431820601931992</v>
      </c>
      <c r="AR376" s="94">
        <v>14.000000000000002</v>
      </c>
      <c r="AS376" s="94">
        <v>14.584139570164538</v>
      </c>
      <c r="AT376" s="94">
        <v>25.59068633378233</v>
      </c>
      <c r="AU376" s="94">
        <v>79.12479122456223</v>
      </c>
      <c r="AV376" s="94">
        <v>-10.577590020293236</v>
      </c>
      <c r="AW376" s="94"/>
      <c r="AX376" s="94"/>
    </row>
    <row r="377" spans="1:50" s="304" customFormat="1" x14ac:dyDescent="0.35">
      <c r="A377" s="89"/>
      <c r="B377" s="90">
        <f t="shared" si="5"/>
        <v>367</v>
      </c>
      <c r="C377" s="140">
        <v>46048</v>
      </c>
      <c r="D377" s="92"/>
      <c r="E377" s="6" t="s">
        <v>209</v>
      </c>
      <c r="F377" s="133" t="s">
        <v>105</v>
      </c>
      <c r="G377" s="133" t="s">
        <v>188</v>
      </c>
      <c r="H377" s="133" t="s">
        <v>189</v>
      </c>
      <c r="I377" s="133" t="s">
        <v>108</v>
      </c>
      <c r="J377" s="135" t="s">
        <v>109</v>
      </c>
      <c r="K377" s="135" t="s">
        <v>110</v>
      </c>
      <c r="L377" s="6" t="s">
        <v>208</v>
      </c>
      <c r="M377" s="93">
        <v>28</v>
      </c>
      <c r="N377" s="93">
        <v>60</v>
      </c>
      <c r="O377" s="6">
        <v>1</v>
      </c>
      <c r="P377" s="129">
        <v>2</v>
      </c>
      <c r="Q377" s="6">
        <v>25</v>
      </c>
      <c r="R377" s="98">
        <v>0.50019999999999998</v>
      </c>
      <c r="S377" s="94">
        <f>((Table3.110[[#This Row],[Sample weight, g]]*'2.1. DM'!Q131)/100)*1000</f>
        <v>482.82579675427769</v>
      </c>
      <c r="T377" s="94">
        <f>'3.2 Digest'!W377</f>
        <v>99.425796754277599</v>
      </c>
      <c r="U377" s="153">
        <v>0.37708333333333333</v>
      </c>
      <c r="V377" s="155">
        <v>40.5</v>
      </c>
      <c r="W377" s="153">
        <v>0.7055555555555556</v>
      </c>
      <c r="X377" s="95">
        <v>77.5</v>
      </c>
      <c r="Y377" s="95">
        <v>14</v>
      </c>
      <c r="Z377" s="154">
        <v>40</v>
      </c>
      <c r="AA377" s="153">
        <v>0.37916666666666665</v>
      </c>
      <c r="AB377" s="154">
        <v>92.5</v>
      </c>
      <c r="AC377" s="154">
        <v>14.9</v>
      </c>
      <c r="AD377" s="91"/>
      <c r="AE377" s="94">
        <f>Table3.110[[#This Row],[Gas 8h, ml]]-Table3.110[[#This Row],[Gas 0h, ml]]</f>
        <v>37</v>
      </c>
      <c r="AF377" s="94">
        <f>Table3.110[[#This Row],[Gas 24h, ml]]-Table3.110[[#This Row],[V8 Push back, ml]]</f>
        <v>52.5</v>
      </c>
      <c r="AG377" s="94">
        <v>37</v>
      </c>
      <c r="AH377" s="94">
        <v>52.5</v>
      </c>
      <c r="AI377" s="94">
        <v>35.746240428868305</v>
      </c>
      <c r="AJ377" s="94">
        <v>50.50873479879084</v>
      </c>
      <c r="AK377" s="94">
        <v>86.254975227659145</v>
      </c>
      <c r="AL377" s="94">
        <v>5.0044736600415627</v>
      </c>
      <c r="AM377" s="94">
        <v>7.5258014850198345</v>
      </c>
      <c r="AN377" s="94">
        <v>12.530275145061397</v>
      </c>
      <c r="AO377" s="94">
        <v>178.64616142611885</v>
      </c>
      <c r="AP377" s="94">
        <v>20.592478161409819</v>
      </c>
      <c r="AQ377" s="94">
        <v>1.1526963690135639</v>
      </c>
      <c r="AR377" s="94">
        <v>14</v>
      </c>
      <c r="AS377" s="94">
        <v>14.527017267107565</v>
      </c>
      <c r="AT377" s="94">
        <v>25.951958717397144</v>
      </c>
      <c r="AU377" s="94">
        <v>126.02639912485597</v>
      </c>
      <c r="AV377" s="94">
        <v>-0.66871313250199649</v>
      </c>
      <c r="AW377" s="94"/>
      <c r="AX377" s="94"/>
    </row>
    <row r="378" spans="1:50" s="304" customFormat="1" x14ac:dyDescent="0.35">
      <c r="A378" s="89"/>
      <c r="B378" s="90">
        <f t="shared" si="5"/>
        <v>368</v>
      </c>
      <c r="C378" s="140">
        <v>46048</v>
      </c>
      <c r="D378" s="92"/>
      <c r="E378" s="6" t="s">
        <v>209</v>
      </c>
      <c r="F378" s="133" t="s">
        <v>105</v>
      </c>
      <c r="G378" s="133" t="s">
        <v>188</v>
      </c>
      <c r="H378" s="133" t="s">
        <v>189</v>
      </c>
      <c r="I378" s="133" t="s">
        <v>108</v>
      </c>
      <c r="J378" s="135" t="s">
        <v>109</v>
      </c>
      <c r="K378" s="135" t="s">
        <v>110</v>
      </c>
      <c r="L378" s="6" t="s">
        <v>208</v>
      </c>
      <c r="M378" s="93">
        <v>28</v>
      </c>
      <c r="N378" s="93">
        <v>60</v>
      </c>
      <c r="O378" s="6">
        <v>1</v>
      </c>
      <c r="P378" s="129">
        <v>3</v>
      </c>
      <c r="Q378" s="6">
        <v>26</v>
      </c>
      <c r="R378" s="98">
        <v>0.50019999999999998</v>
      </c>
      <c r="S378" s="94">
        <f>((Table3.110[[#This Row],[Sample weight, g]]*'2.1. DM'!Q131)/100)*1000</f>
        <v>482.82579675427769</v>
      </c>
      <c r="T378" s="94">
        <f>'3.2 Digest'!W378</f>
        <v>158.32579675427769</v>
      </c>
      <c r="U378" s="117">
        <v>0.37777777777777777</v>
      </c>
      <c r="V378" s="155">
        <v>40.5</v>
      </c>
      <c r="W378" s="117">
        <v>0.7055555555555556</v>
      </c>
      <c r="X378" s="97">
        <v>77</v>
      </c>
      <c r="Y378" s="97">
        <v>14.1</v>
      </c>
      <c r="Z378" s="155">
        <v>40.5</v>
      </c>
      <c r="AA378" s="117">
        <v>0.37916666666666665</v>
      </c>
      <c r="AB378" s="155">
        <v>91.5</v>
      </c>
      <c r="AC378" s="155">
        <v>14.7</v>
      </c>
      <c r="AD378" s="96"/>
      <c r="AE378" s="94">
        <f>Table3.110[[#This Row],[Gas 8h, ml]]-Table3.110[[#This Row],[Gas 0h, ml]]</f>
        <v>36.5</v>
      </c>
      <c r="AF378" s="94">
        <f>Table3.110[[#This Row],[Gas 24h, ml]]-Table3.110[[#This Row],[V8 Push back, ml]]</f>
        <v>51</v>
      </c>
      <c r="AG378" s="94">
        <v>36.5</v>
      </c>
      <c r="AH378" s="94">
        <v>51</v>
      </c>
      <c r="AI378" s="94">
        <v>35.246240428868305</v>
      </c>
      <c r="AJ378" s="94">
        <v>49.00873479879084</v>
      </c>
      <c r="AK378" s="94">
        <v>84.254975227659145</v>
      </c>
      <c r="AL378" s="94">
        <v>4.9697199004704302</v>
      </c>
      <c r="AM378" s="94">
        <v>7.2042840154222532</v>
      </c>
      <c r="AN378" s="94">
        <v>12.174003915892683</v>
      </c>
      <c r="AO378" s="94">
        <v>174.50388068336505</v>
      </c>
      <c r="AP378" s="94">
        <v>32.791494948819746</v>
      </c>
      <c r="AQ378" s="94">
        <v>1.879126975308903</v>
      </c>
      <c r="AR378" s="94">
        <v>14.099999999999998</v>
      </c>
      <c r="AS378" s="94">
        <v>14.449003020887735</v>
      </c>
      <c r="AT378" s="94">
        <v>25.214070991505746</v>
      </c>
      <c r="AU378" s="94">
        <v>76.892105806274827</v>
      </c>
      <c r="AV378" s="94">
        <v>-24.50829122934914</v>
      </c>
      <c r="AW378" s="94"/>
      <c r="AX378" s="94"/>
    </row>
    <row r="379" spans="1:50" s="304" customFormat="1" x14ac:dyDescent="0.35">
      <c r="A379" s="89"/>
      <c r="B379" s="90">
        <f t="shared" si="5"/>
        <v>369</v>
      </c>
      <c r="C379" s="140">
        <v>46048</v>
      </c>
      <c r="D379" s="6" t="s">
        <v>16</v>
      </c>
      <c r="E379" s="6" t="s">
        <v>211</v>
      </c>
      <c r="F379" s="133" t="s">
        <v>212</v>
      </c>
      <c r="G379" s="133" t="s">
        <v>213</v>
      </c>
      <c r="H379" s="133" t="s">
        <v>214</v>
      </c>
      <c r="I379" s="133" t="s">
        <v>22</v>
      </c>
      <c r="J379" s="132" t="s">
        <v>23</v>
      </c>
      <c r="K379" s="133" t="s">
        <v>215</v>
      </c>
      <c r="L379" s="6" t="s">
        <v>210</v>
      </c>
      <c r="M379" s="93">
        <v>28</v>
      </c>
      <c r="N379" s="93">
        <v>60</v>
      </c>
      <c r="O379" s="6">
        <v>1</v>
      </c>
      <c r="P379" s="129">
        <v>1</v>
      </c>
      <c r="Q379" s="6">
        <v>27</v>
      </c>
      <c r="R379" s="98">
        <v>0.50009999999999999</v>
      </c>
      <c r="S379" s="94">
        <f>((Table3.110[[#This Row],[Sample weight, g]]*'2.1. DM'!Q133)/100)*1000</f>
        <v>458.47500208341705</v>
      </c>
      <c r="T379" s="94">
        <f>'3.2 Digest'!W379</f>
        <v>140.475002083417</v>
      </c>
      <c r="U379" s="153">
        <v>0.37847222222222221</v>
      </c>
      <c r="V379" s="155">
        <v>40.5</v>
      </c>
      <c r="W379" s="153">
        <v>0.70625000000000004</v>
      </c>
      <c r="X379" s="95">
        <v>74</v>
      </c>
      <c r="Y379" s="95">
        <v>13.9</v>
      </c>
      <c r="Z379" s="154">
        <v>40</v>
      </c>
      <c r="AA379" s="153">
        <v>0.37986111111111109</v>
      </c>
      <c r="AB379" s="154">
        <v>79</v>
      </c>
      <c r="AC379" s="154">
        <v>16.5</v>
      </c>
      <c r="AD379" s="91"/>
      <c r="AE379" s="94">
        <f>Table3.110[[#This Row],[Gas 8h, ml]]-Table3.110[[#This Row],[Gas 0h, ml]]</f>
        <v>33.5</v>
      </c>
      <c r="AF379" s="94">
        <f>Table3.110[[#This Row],[Gas 24h, ml]]-Table3.110[[#This Row],[V8 Push back, ml]]</f>
        <v>39</v>
      </c>
      <c r="AG379" s="94">
        <f>Table3.110[[#This Row],[GP 8h, ml]]-(AVERAGE(AE$293,AE$294,AE$385,AE$386,AE$477,AE$478))*$AG$8</f>
        <v>32.246240428868305</v>
      </c>
      <c r="AH379" s="94">
        <f>Table3.110[[#This Row],[GP 8-24h, ml]]-(AVERAGE(AF$293,AF$294,AF$385,AF$386,AF$477,AF$478))*$AG$8</f>
        <v>37.00873479879084</v>
      </c>
      <c r="AI379" s="94">
        <f>Table3.110[[#This Row],[Net gas 8-24h, ml]]+Table3.110[[#This Row],[Net gas 8h, ml]]</f>
        <v>69.254975227659145</v>
      </c>
      <c r="AJ379" s="94">
        <f>Table3.110[[#This Row],[Net gas 8h, ml]]*Table3.110[[#This Row],[CH4 8h %]]%</f>
        <v>4.4822274196126948</v>
      </c>
      <c r="AK379" s="94">
        <f>Table3.110[[#This Row],[Net gas 8-24h, ml]]*Table3.110[[#This Row],[CH4 24h, %]]%</f>
        <v>6.1064412418004892</v>
      </c>
      <c r="AL379" s="94">
        <f>Table3.110[[#This Row],[CH4 8-24h, ml]]+Table3.110[[#This Row],[CH4 8h, ml]]</f>
        <v>10.588668661413184</v>
      </c>
      <c r="AM379" s="94">
        <f>(Table3.110[[#This Row],[Net gas 24h, ml]]/Table3.110[[#This Row],[DM Incubated, mg]])*1000</f>
        <v>151.05507369638133</v>
      </c>
      <c r="AN379" s="94">
        <f>'3.2 Digest'!X379</f>
        <v>30.63962079613194</v>
      </c>
      <c r="AO379" s="94">
        <f>Table3.110[[#This Row],[Digested feed, mg]]/Table3.110[[#This Row],[Net gas 24h, ml]]</f>
        <v>2.0283741582700605</v>
      </c>
      <c r="AP379" s="94">
        <f>Table3.110[[#This Row],[CH4 8h, ml]]/Table3.110[[#This Row],[Net gas 8h, ml]]%</f>
        <v>13.9</v>
      </c>
      <c r="AQ379" s="94">
        <f>Table3.110[[#This Row],[CH4 24h, ml]]/Table3.110[[#This Row],[Net gas 24h, ml]]%</f>
        <v>15.289397803703592</v>
      </c>
      <c r="AR379" s="94">
        <f>Table3.110[[#This Row],[CH4 24h, ml]]/Table3.110[[#This Row],[DM Incubated, mg]]*1000</f>
        <v>23.095411120117369</v>
      </c>
      <c r="AS379" s="94">
        <f>Table3.110[[#This Row],[CH4 24h, ml]]/Table3.110[[#This Row],[Digested feed, mg]]*1000</f>
        <v>75.377601027728829</v>
      </c>
      <c r="AT379" s="94">
        <f>Table3.110[[#This Row],[CH4 24h, ml]]/'3.2 Digest'!AA379</f>
        <v>-0.42999577259474142</v>
      </c>
      <c r="AU379" s="94">
        <f>((Table3.110[[#This Row],[CH4 24h, ml]]/28.9)*16.04)/Table3.110[[#This Row],[DM Incubated, mg]]*1000</f>
        <v>12.818352746251993</v>
      </c>
      <c r="AV379" s="94">
        <f>((Table3.110[[#This Row],[CH4 24h, ml]]/28.9)*16.04)/Table3.110[[#This Row],[Digested feed, mg]]*1000</f>
        <v>41.835872681133928</v>
      </c>
      <c r="AW379" s="303"/>
    </row>
    <row r="380" spans="1:50" s="304" customFormat="1" x14ac:dyDescent="0.35">
      <c r="A380" s="89"/>
      <c r="B380" s="90">
        <f t="shared" si="5"/>
        <v>370</v>
      </c>
      <c r="C380" s="140">
        <v>46048</v>
      </c>
      <c r="D380" s="6" t="s">
        <v>16</v>
      </c>
      <c r="E380" s="6" t="s">
        <v>211</v>
      </c>
      <c r="F380" s="133" t="s">
        <v>212</v>
      </c>
      <c r="G380" s="133" t="s">
        <v>213</v>
      </c>
      <c r="H380" s="133" t="s">
        <v>214</v>
      </c>
      <c r="I380" s="133" t="s">
        <v>22</v>
      </c>
      <c r="J380" s="132" t="s">
        <v>23</v>
      </c>
      <c r="K380" s="133" t="s">
        <v>215</v>
      </c>
      <c r="L380" s="6" t="s">
        <v>210</v>
      </c>
      <c r="M380" s="93">
        <v>28</v>
      </c>
      <c r="N380" s="93">
        <v>60</v>
      </c>
      <c r="O380" s="6">
        <v>1</v>
      </c>
      <c r="P380" s="129">
        <v>2</v>
      </c>
      <c r="Q380" s="6">
        <v>28</v>
      </c>
      <c r="R380" s="98">
        <v>0.5</v>
      </c>
      <c r="S380" s="94">
        <f>((Table3.110[[#This Row],[Sample weight, g]]*'2.1. DM'!Q133)/100)*1000</f>
        <v>458.38332541833336</v>
      </c>
      <c r="T380" s="94">
        <f>'3.2 Digest'!W380</f>
        <v>68.283325418333334</v>
      </c>
      <c r="U380" s="117">
        <v>0.37847222222222221</v>
      </c>
      <c r="V380" s="155">
        <v>41</v>
      </c>
      <c r="W380" s="117">
        <v>0.70694444444444449</v>
      </c>
      <c r="X380" s="97">
        <v>73.5</v>
      </c>
      <c r="Y380" s="97">
        <v>14</v>
      </c>
      <c r="Z380" s="155">
        <v>40.5</v>
      </c>
      <c r="AA380" s="117">
        <v>0.37986111111111109</v>
      </c>
      <c r="AB380" s="155">
        <v>79</v>
      </c>
      <c r="AC380" s="155">
        <v>16.8</v>
      </c>
      <c r="AD380" s="96"/>
      <c r="AE380" s="94">
        <f>Table3.110[[#This Row],[Gas 8h, ml]]-Table3.110[[#This Row],[Gas 0h, ml]]</f>
        <v>32.5</v>
      </c>
      <c r="AF380" s="94">
        <f>Table3.110[[#This Row],[Gas 24h, ml]]-Table3.110[[#This Row],[V8 Push back, ml]]</f>
        <v>38.5</v>
      </c>
      <c r="AG380" s="94"/>
      <c r="AH380" s="94"/>
      <c r="AI380" s="94"/>
      <c r="AJ380" s="94"/>
      <c r="AK380" s="94"/>
      <c r="AL380" s="94"/>
      <c r="AM380" s="94"/>
      <c r="AN380" s="94"/>
      <c r="AO380" s="94"/>
      <c r="AP380" s="94"/>
      <c r="AQ380" s="94"/>
      <c r="AR380" s="94"/>
      <c r="AS380" s="94"/>
      <c r="AT380" s="94"/>
      <c r="AU380" s="94"/>
      <c r="AV380" s="94"/>
      <c r="AW380" s="303"/>
    </row>
    <row r="381" spans="1:50" s="304" customFormat="1" x14ac:dyDescent="0.35">
      <c r="A381" s="89"/>
      <c r="B381" s="90">
        <f t="shared" si="5"/>
        <v>371</v>
      </c>
      <c r="C381" s="140">
        <v>46048</v>
      </c>
      <c r="D381" s="6" t="s">
        <v>16</v>
      </c>
      <c r="E381" s="6" t="s">
        <v>211</v>
      </c>
      <c r="F381" s="133" t="s">
        <v>212</v>
      </c>
      <c r="G381" s="133" t="s">
        <v>213</v>
      </c>
      <c r="H381" s="133" t="s">
        <v>214</v>
      </c>
      <c r="I381" s="133" t="s">
        <v>22</v>
      </c>
      <c r="J381" s="132" t="s">
        <v>23</v>
      </c>
      <c r="K381" s="133" t="s">
        <v>215</v>
      </c>
      <c r="L381" s="6" t="s">
        <v>210</v>
      </c>
      <c r="M381" s="93">
        <v>28</v>
      </c>
      <c r="N381" s="93">
        <v>60</v>
      </c>
      <c r="O381" s="6">
        <v>1</v>
      </c>
      <c r="P381" s="129">
        <v>3</v>
      </c>
      <c r="Q381" s="6">
        <v>29</v>
      </c>
      <c r="R381" s="98">
        <v>0.50039999999999996</v>
      </c>
      <c r="S381" s="94">
        <f>((Table3.110[[#This Row],[Sample weight, g]]*'2.1. DM'!Q133)/100)*1000</f>
        <v>458.75003207866803</v>
      </c>
      <c r="T381" s="94">
        <f>'3.2 Digest'!W381</f>
        <v>170.75003207866808</v>
      </c>
      <c r="U381" s="153">
        <v>0.37916666666666665</v>
      </c>
      <c r="V381" s="154">
        <v>41</v>
      </c>
      <c r="W381" s="153">
        <v>0.70694444444444449</v>
      </c>
      <c r="X381" s="95">
        <v>73</v>
      </c>
      <c r="Y381" s="95">
        <v>14.1</v>
      </c>
      <c r="Z381" s="154">
        <v>41</v>
      </c>
      <c r="AA381" s="153">
        <v>0.38055555555555554</v>
      </c>
      <c r="AB381" s="154">
        <v>78.5</v>
      </c>
      <c r="AC381" s="154">
        <v>16.600000000000001</v>
      </c>
      <c r="AD381" s="91"/>
      <c r="AE381" s="94">
        <f>Table3.110[[#This Row],[Gas 8h, ml]]-Table3.110[[#This Row],[Gas 0h, ml]]</f>
        <v>32</v>
      </c>
      <c r="AF381" s="94">
        <f>Table3.110[[#This Row],[Gas 24h, ml]]-Table3.110[[#This Row],[V8 Push back, ml]]</f>
        <v>37.5</v>
      </c>
      <c r="AG381" s="94">
        <f>Table3.110[[#This Row],[GP 8h, ml]]-(AVERAGE(AE$293,AE$294,AE$385,AE$386,AE$477,AE$478))*$AG$8</f>
        <v>30.746240428868305</v>
      </c>
      <c r="AH381" s="94">
        <f>Table3.110[[#This Row],[GP 8-24h, ml]]-(AVERAGE(AF$293,AF$294,AF$385,AF$386,AF$477,AF$478))*$AG$8</f>
        <v>35.50873479879084</v>
      </c>
      <c r="AI381" s="94">
        <f>Table3.110[[#This Row],[Net gas 8-24h, ml]]+Table3.110[[#This Row],[Net gas 8h, ml]]</f>
        <v>66.254975227659145</v>
      </c>
      <c r="AJ381" s="94">
        <f>Table3.110[[#This Row],[Net gas 8h, ml]]*Table3.110[[#This Row],[CH4 8h %]]%</f>
        <v>4.3352199004704302</v>
      </c>
      <c r="AK381" s="94">
        <f>Table3.110[[#This Row],[Net gas 8-24h, ml]]*Table3.110[[#This Row],[CH4 24h, %]]%</f>
        <v>5.8944499765992795</v>
      </c>
      <c r="AL381" s="94">
        <f>Table3.110[[#This Row],[CH4 8-24h, ml]]+Table3.110[[#This Row],[CH4 8h, ml]]</f>
        <v>10.229669877069711</v>
      </c>
      <c r="AM381" s="94">
        <f>(Table3.110[[#This Row],[Net gas 24h, ml]]/Table3.110[[#This Row],[DM Incubated, mg]])*1000</f>
        <v>144.42500402113873</v>
      </c>
      <c r="AN381" s="94">
        <f>'3.2 Digest'!X381</f>
        <v>37.220712836786738</v>
      </c>
      <c r="AO381" s="94">
        <f>Table3.110[[#This Row],[Digested feed, mg]]/Table3.110[[#This Row],[Net gas 24h, ml]]</f>
        <v>2.5771654353798006</v>
      </c>
      <c r="AP381" s="94">
        <f>Table3.110[[#This Row],[CH4 8h, ml]]/Table3.110[[#This Row],[Net gas 8h, ml]]%</f>
        <v>14.099999999999998</v>
      </c>
      <c r="AQ381" s="94">
        <f>Table3.110[[#This Row],[CH4 24h, ml]]/Table3.110[[#This Row],[Net gas 24h, ml]]%</f>
        <v>15.439851636680078</v>
      </c>
      <c r="AR381" s="94">
        <f>Table3.110[[#This Row],[CH4 24h, ml]]/Table3.110[[#This Row],[DM Incubated, mg]]*1000</f>
        <v>22.299006347133055</v>
      </c>
      <c r="AS381" s="94">
        <f>Table3.110[[#This Row],[CH4 24h, ml]]/Table3.110[[#This Row],[Digested feed, mg]]*1000</f>
        <v>59.91020764409982</v>
      </c>
      <c r="AT381" s="94">
        <f>Table3.110[[#This Row],[CH4 24h, ml]]/'3.2 Digest'!AA381</f>
        <v>-0.7991738652530721</v>
      </c>
      <c r="AU381" s="94">
        <f>((Table3.110[[#This Row],[CH4 24h, ml]]/28.9)*16.04)/Table3.110[[#This Row],[DM Incubated, mg]]*1000</f>
        <v>12.376334318616406</v>
      </c>
      <c r="AV381" s="94">
        <f>((Table3.110[[#This Row],[CH4 24h, ml]]/28.9)*16.04)/Table3.110[[#This Row],[Digested feed, mg]]*1000</f>
        <v>33.251201751258165</v>
      </c>
      <c r="AW381" s="303"/>
    </row>
    <row r="382" spans="1:50" s="304" customFormat="1" x14ac:dyDescent="0.35">
      <c r="A382" s="89"/>
      <c r="B382" s="90">
        <f t="shared" si="5"/>
        <v>372</v>
      </c>
      <c r="C382" s="140">
        <v>46048</v>
      </c>
      <c r="D382" s="8" t="s">
        <v>120</v>
      </c>
      <c r="E382" s="6" t="s">
        <v>122</v>
      </c>
      <c r="F382" s="133" t="s">
        <v>123</v>
      </c>
      <c r="G382" s="133" t="s">
        <v>545</v>
      </c>
      <c r="H382" s="133" t="s">
        <v>125</v>
      </c>
      <c r="I382" s="133" t="s">
        <v>108</v>
      </c>
      <c r="J382" s="135" t="s">
        <v>109</v>
      </c>
      <c r="K382" s="135" t="s">
        <v>110</v>
      </c>
      <c r="L382" s="6" t="s">
        <v>121</v>
      </c>
      <c r="M382" s="93">
        <v>28</v>
      </c>
      <c r="N382" s="93">
        <v>60</v>
      </c>
      <c r="O382" s="6">
        <v>1</v>
      </c>
      <c r="P382" s="129">
        <v>1</v>
      </c>
      <c r="Q382" s="6">
        <v>30</v>
      </c>
      <c r="R382" s="98">
        <v>0.50049999999999994</v>
      </c>
      <c r="S382" s="94">
        <f>((Table3.110[[#This Row],[Sample weight, g]]*'2.1. DM'!Q135)/100)*1000</f>
        <v>468.21774999999991</v>
      </c>
      <c r="T382" s="94">
        <f>'3.2 Digest'!W382</f>
        <v>159.61774999999994</v>
      </c>
      <c r="U382" s="117">
        <v>0.37916666666666665</v>
      </c>
      <c r="V382" s="155">
        <v>41.5</v>
      </c>
      <c r="W382" s="117">
        <v>0.70763888888888893</v>
      </c>
      <c r="X382" s="97">
        <v>62</v>
      </c>
      <c r="Y382" s="97">
        <v>14</v>
      </c>
      <c r="Z382" s="155">
        <v>41</v>
      </c>
      <c r="AA382" s="117">
        <v>0.38055555555555554</v>
      </c>
      <c r="AB382" s="155">
        <v>80.5</v>
      </c>
      <c r="AC382" s="155">
        <v>16.2</v>
      </c>
      <c r="AD382" s="96"/>
      <c r="AE382" s="94">
        <f>Table3.110[[#This Row],[Gas 8h, ml]]-Table3.110[[#This Row],[Gas 0h, ml]]</f>
        <v>20.5</v>
      </c>
      <c r="AF382" s="94">
        <f>Table3.110[[#This Row],[Gas 24h, ml]]-Table3.110[[#This Row],[V8 Push back, ml]]</f>
        <v>39.5</v>
      </c>
      <c r="AG382" s="94">
        <f>Table3.110[[#This Row],[GP 8h, ml]]-(AVERAGE(AE$293,AE$294,AE$385,AE$386,AE$477,AE$478))*$AG$8</f>
        <v>19.246240428868305</v>
      </c>
      <c r="AH382" s="94">
        <f>Table3.110[[#This Row],[GP 8-24h, ml]]-(AVERAGE(AF$293,AF$294,AF$385,AF$386,AF$477,AF$478))*$AG$8</f>
        <v>37.50873479879084</v>
      </c>
      <c r="AI382" s="94">
        <f>Table3.110[[#This Row],[Net gas 8-24h, ml]]+Table3.110[[#This Row],[Net gas 8h, ml]]</f>
        <v>56.754975227659145</v>
      </c>
      <c r="AJ382" s="94">
        <f>Table3.110[[#This Row],[Net gas 8h, ml]]*Table3.110[[#This Row],[CH4 8h %]]%</f>
        <v>2.6944736600415631</v>
      </c>
      <c r="AK382" s="94">
        <f>Table3.110[[#This Row],[Net gas 8-24h, ml]]*Table3.110[[#This Row],[CH4 24h, %]]%</f>
        <v>6.0764150374041161</v>
      </c>
      <c r="AL382" s="94">
        <f>Table3.110[[#This Row],[CH4 8-24h, ml]]+Table3.110[[#This Row],[CH4 8h, ml]]</f>
        <v>8.7708886974456792</v>
      </c>
      <c r="AM382" s="94">
        <f>(Table3.110[[#This Row],[Net gas 24h, ml]]/Table3.110[[#This Row],[DM Incubated, mg]])*1000</f>
        <v>121.21491598227354</v>
      </c>
      <c r="AN382" s="94">
        <f>'3.2 Digest'!X382</f>
        <v>34.090495287716024</v>
      </c>
      <c r="AO382" s="94">
        <f>Table3.110[[#This Row],[Digested feed, mg]]/Table3.110[[#This Row],[Net gas 24h, ml]]</f>
        <v>2.8124010161176378</v>
      </c>
      <c r="AP382" s="94">
        <f>Table3.110[[#This Row],[CH4 8h, ml]]/Table3.110[[#This Row],[Net gas 8h, ml]]%</f>
        <v>14.000000000000002</v>
      </c>
      <c r="AQ382" s="94">
        <f>Table3.110[[#This Row],[CH4 24h, ml]]/Table3.110[[#This Row],[Net gas 24h, ml]]%</f>
        <v>15.453955644000082</v>
      </c>
      <c r="AR382" s="94">
        <f>Table3.110[[#This Row],[CH4 24h, ml]]/Table3.110[[#This Row],[DM Incubated, mg]]*1000</f>
        <v>18.732499349812517</v>
      </c>
      <c r="AS382" s="94">
        <f>Table3.110[[#This Row],[CH4 24h, ml]]/Table3.110[[#This Row],[Digested feed, mg]]*1000</f>
        <v>54.949331746912122</v>
      </c>
      <c r="AT382" s="94">
        <f>Table3.110[[#This Row],[CH4 24h, ml]]/'3.2 Digest'!AA382</f>
        <v>0.65498742802050258</v>
      </c>
      <c r="AU382" s="94">
        <f>((Table3.110[[#This Row],[CH4 24h, ml]]/28.9)*16.04)/Table3.110[[#This Row],[DM Incubated, mg]]*1000</f>
        <v>10.396861230830201</v>
      </c>
      <c r="AV382" s="94">
        <f>((Table3.110[[#This Row],[CH4 24h, ml]]/28.9)*16.04)/Table3.110[[#This Row],[Digested feed, mg]]*1000</f>
        <v>30.497829800016277</v>
      </c>
      <c r="AW382" s="303"/>
    </row>
    <row r="383" spans="1:50" s="304" customFormat="1" x14ac:dyDescent="0.35">
      <c r="A383" s="89"/>
      <c r="B383" s="90">
        <f t="shared" si="5"/>
        <v>373</v>
      </c>
      <c r="C383" s="140">
        <v>46048</v>
      </c>
      <c r="D383" s="8" t="s">
        <v>120</v>
      </c>
      <c r="E383" s="6" t="s">
        <v>122</v>
      </c>
      <c r="F383" s="133" t="s">
        <v>123</v>
      </c>
      <c r="G383" s="133" t="s">
        <v>545</v>
      </c>
      <c r="H383" s="133" t="s">
        <v>125</v>
      </c>
      <c r="I383" s="133" t="s">
        <v>108</v>
      </c>
      <c r="J383" s="135" t="s">
        <v>109</v>
      </c>
      <c r="K383" s="135" t="s">
        <v>110</v>
      </c>
      <c r="L383" s="6" t="s">
        <v>121</v>
      </c>
      <c r="M383" s="93">
        <v>28</v>
      </c>
      <c r="N383" s="93">
        <v>60</v>
      </c>
      <c r="O383" s="6">
        <v>1</v>
      </c>
      <c r="P383" s="129">
        <v>2</v>
      </c>
      <c r="Q383" s="6">
        <v>31</v>
      </c>
      <c r="R383" s="98">
        <v>0.50039999999999996</v>
      </c>
      <c r="S383" s="94">
        <f>((Table3.110[[#This Row],[Sample weight, g]]*'2.1. DM'!Q135)/100)*1000</f>
        <v>468.12419999999992</v>
      </c>
      <c r="T383" s="94">
        <f>'3.2 Digest'!W383</f>
        <v>86.62419999999986</v>
      </c>
      <c r="U383" s="153">
        <v>0.37986111111111109</v>
      </c>
      <c r="V383" s="154">
        <v>41</v>
      </c>
      <c r="W383" s="153">
        <v>0.70763888888888893</v>
      </c>
      <c r="X383" s="95">
        <v>62.5</v>
      </c>
      <c r="Y383" s="95">
        <v>11.9</v>
      </c>
      <c r="Z383" s="154">
        <v>40.5</v>
      </c>
      <c r="AA383" s="153">
        <v>0.38124999999999998</v>
      </c>
      <c r="AB383" s="154">
        <v>82.5</v>
      </c>
      <c r="AC383" s="154">
        <v>16.3</v>
      </c>
      <c r="AD383" s="91"/>
      <c r="AE383" s="94">
        <f>Table3.110[[#This Row],[Gas 8h, ml]]-Table3.110[[#This Row],[Gas 0h, ml]]</f>
        <v>21.5</v>
      </c>
      <c r="AF383" s="94">
        <f>Table3.110[[#This Row],[Gas 24h, ml]]-Table3.110[[#This Row],[V8 Push back, ml]]</f>
        <v>42</v>
      </c>
      <c r="AG383" s="94">
        <f>Table3.110[[#This Row],[GP 8h, ml]]-(AVERAGE(AE$293,AE$294,AE$385,AE$386,AE$477,AE$478))*$AG$8</f>
        <v>20.246240428868305</v>
      </c>
      <c r="AH383" s="94">
        <f>Table3.110[[#This Row],[GP 8-24h, ml]]-(AVERAGE(AF$293,AF$294,AF$385,AF$386,AF$477,AF$478))*$AG$8</f>
        <v>40.00873479879084</v>
      </c>
      <c r="AI383" s="94">
        <f>Table3.110[[#This Row],[Net gas 8-24h, ml]]+Table3.110[[#This Row],[Net gas 8h, ml]]</f>
        <v>60.254975227659145</v>
      </c>
      <c r="AJ383" s="94">
        <f>Table3.110[[#This Row],[Net gas 8h, ml]]*Table3.110[[#This Row],[CH4 8h %]]%</f>
        <v>2.4093026110353284</v>
      </c>
      <c r="AK383" s="94">
        <f>Table3.110[[#This Row],[Net gas 8-24h, ml]]*Table3.110[[#This Row],[CH4 24h, %]]%</f>
        <v>6.5214237722029074</v>
      </c>
      <c r="AL383" s="94">
        <f>Table3.110[[#This Row],[CH4 8-24h, ml]]+Table3.110[[#This Row],[CH4 8h, ml]]</f>
        <v>8.9307263832382358</v>
      </c>
      <c r="AM383" s="94">
        <f>(Table3.110[[#This Row],[Net gas 24h, ml]]/Table3.110[[#This Row],[DM Incubated, mg]])*1000</f>
        <v>128.7157878777879</v>
      </c>
      <c r="AN383" s="94">
        <f>'3.2 Digest'!X383</f>
        <v>18.504533625905236</v>
      </c>
      <c r="AO383" s="94">
        <f>Table3.110[[#This Row],[Digested feed, mg]]/Table3.110[[#This Row],[Net gas 24h, ml]]</f>
        <v>1.4376273440111933</v>
      </c>
      <c r="AP383" s="94">
        <f>Table3.110[[#This Row],[CH4 8h, ml]]/Table3.110[[#This Row],[Net gas 8h, ml]]%</f>
        <v>11.900000000000002</v>
      </c>
      <c r="AQ383" s="94">
        <f>Table3.110[[#This Row],[CH4 24h, ml]]/Table3.110[[#This Row],[Net gas 24h, ml]]%</f>
        <v>14.821558467986423</v>
      </c>
      <c r="AR383" s="94">
        <f>Table3.110[[#This Row],[CH4 24h, ml]]/Table3.110[[#This Row],[DM Incubated, mg]]*1000</f>
        <v>19.077685757835713</v>
      </c>
      <c r="AS383" s="94">
        <f>Table3.110[[#This Row],[CH4 24h, ml]]/Table3.110[[#This Row],[Digested feed, mg]]*1000</f>
        <v>103.09736059020747</v>
      </c>
      <c r="AT383" s="94">
        <f>Table3.110[[#This Row],[CH4 24h, ml]]/'3.2 Digest'!AA383</f>
        <v>-1.2596284188286775</v>
      </c>
      <c r="AU383" s="94">
        <f>((Table3.110[[#This Row],[CH4 24h, ml]]/28.9)*16.04)/Table3.110[[#This Row],[DM Incubated, mg]]*1000</f>
        <v>10.588445659366258</v>
      </c>
      <c r="AV383" s="94">
        <f>((Table3.110[[#This Row],[CH4 24h, ml]]/28.9)*16.04)/Table3.110[[#This Row],[Digested feed, mg]]*1000</f>
        <v>57.22081881892484</v>
      </c>
      <c r="AW383" s="303"/>
    </row>
    <row r="384" spans="1:50" s="304" customFormat="1" x14ac:dyDescent="0.35">
      <c r="A384" s="89"/>
      <c r="B384" s="90">
        <f t="shared" si="5"/>
        <v>374</v>
      </c>
      <c r="C384" s="140">
        <v>46048</v>
      </c>
      <c r="D384" s="8" t="s">
        <v>120</v>
      </c>
      <c r="E384" s="6" t="s">
        <v>122</v>
      </c>
      <c r="F384" s="133" t="s">
        <v>123</v>
      </c>
      <c r="G384" s="133" t="s">
        <v>545</v>
      </c>
      <c r="H384" s="133" t="s">
        <v>125</v>
      </c>
      <c r="I384" s="133" t="s">
        <v>108</v>
      </c>
      <c r="J384" s="135" t="s">
        <v>109</v>
      </c>
      <c r="K384" s="135" t="s">
        <v>110</v>
      </c>
      <c r="L384" s="6" t="s">
        <v>121</v>
      </c>
      <c r="M384" s="93">
        <v>28</v>
      </c>
      <c r="N384" s="93">
        <v>60</v>
      </c>
      <c r="O384" s="6">
        <v>1</v>
      </c>
      <c r="P384" s="129">
        <v>3</v>
      </c>
      <c r="Q384" s="6">
        <v>32</v>
      </c>
      <c r="R384" s="98">
        <v>0.50009999999999999</v>
      </c>
      <c r="S384" s="94">
        <f>((Table3.110[[#This Row],[Sample weight, g]]*'2.1. DM'!Q135)/100)*1000</f>
        <v>467.84354999999999</v>
      </c>
      <c r="T384" s="94">
        <f>'3.2 Digest'!W384</f>
        <v>139.9435499999999</v>
      </c>
      <c r="U384" s="117">
        <v>0.37986111111111109</v>
      </c>
      <c r="V384" s="155">
        <v>41.5</v>
      </c>
      <c r="W384" s="117">
        <v>0.70833333333333337</v>
      </c>
      <c r="X384" s="97">
        <v>62</v>
      </c>
      <c r="Y384" s="97">
        <v>13.7</v>
      </c>
      <c r="Z384" s="155">
        <v>40.5</v>
      </c>
      <c r="AA384" s="117">
        <v>0.38124999999999998</v>
      </c>
      <c r="AB384" s="155">
        <v>81.5</v>
      </c>
      <c r="AC384" s="155">
        <v>16.100000000000001</v>
      </c>
      <c r="AD384" s="96"/>
      <c r="AE384" s="94">
        <f>Table3.110[[#This Row],[Gas 8h, ml]]-Table3.110[[#This Row],[Gas 0h, ml]]</f>
        <v>20.5</v>
      </c>
      <c r="AF384" s="94">
        <f>Table3.110[[#This Row],[Gas 24h, ml]]-Table3.110[[#This Row],[V8 Push back, ml]]</f>
        <v>41</v>
      </c>
      <c r="AG384" s="94">
        <f>Table3.110[[#This Row],[GP 8h, ml]]-(AVERAGE(AE$293,AE$294,AE$385,AE$386,AE$477,AE$478))*$AG$8</f>
        <v>19.246240428868305</v>
      </c>
      <c r="AH384" s="94">
        <f>Table3.110[[#This Row],[GP 8-24h, ml]]-(AVERAGE(AF$293,AF$294,AF$385,AF$386,AF$477,AF$478))*$AG$8</f>
        <v>39.00873479879084</v>
      </c>
      <c r="AI384" s="94">
        <f>Table3.110[[#This Row],[Net gas 8-24h, ml]]+Table3.110[[#This Row],[Net gas 8h, ml]]</f>
        <v>58.254975227659145</v>
      </c>
      <c r="AJ384" s="94">
        <f>Table3.110[[#This Row],[Net gas 8h, ml]]*Table3.110[[#This Row],[CH4 8h %]]%</f>
        <v>2.6367349387549575</v>
      </c>
      <c r="AK384" s="94">
        <f>Table3.110[[#This Row],[Net gas 8-24h, ml]]*Table3.110[[#This Row],[CH4 24h, %]]%</f>
        <v>6.2804063026053258</v>
      </c>
      <c r="AL384" s="94">
        <f>Table3.110[[#This Row],[CH4 8-24h, ml]]+Table3.110[[#This Row],[CH4 8h, ml]]</f>
        <v>8.9171412413602837</v>
      </c>
      <c r="AM384" s="94">
        <f>(Table3.110[[#This Row],[Net gas 24h, ml]]/Table3.110[[#This Row],[DM Incubated, mg]])*1000</f>
        <v>124.51806854590419</v>
      </c>
      <c r="AN384" s="94">
        <f>'3.2 Digest'!X384</f>
        <v>29.912467533217011</v>
      </c>
      <c r="AO384" s="94">
        <f>Table3.110[[#This Row],[Digested feed, mg]]/Table3.110[[#This Row],[Net gas 24h, ml]]</f>
        <v>2.4022591967999922</v>
      </c>
      <c r="AP384" s="94">
        <f>Table3.110[[#This Row],[CH4 8h, ml]]/Table3.110[[#This Row],[Net gas 8h, ml]]%</f>
        <v>13.699999999999998</v>
      </c>
      <c r="AQ384" s="94">
        <f>Table3.110[[#This Row],[CH4 24h, ml]]/Table3.110[[#This Row],[Net gas 24h, ml]]%</f>
        <v>15.30708957734905</v>
      </c>
      <c r="AR384" s="94">
        <f>Table3.110[[#This Row],[CH4 24h, ml]]/Table3.110[[#This Row],[DM Incubated, mg]]*1000</f>
        <v>19.060092292306443</v>
      </c>
      <c r="AS384" s="94">
        <f>Table3.110[[#This Row],[CH4 24h, ml]]/Table3.110[[#This Row],[Digested feed, mg]]*1000</f>
        <v>63.719558646041854</v>
      </c>
      <c r="AT384" s="94">
        <f>Table3.110[[#This Row],[CH4 24h, ml]]/'3.2 Digest'!AA384</f>
        <v>1.1286455098817501</v>
      </c>
      <c r="AU384" s="94">
        <f>((Table3.110[[#This Row],[CH4 24h, ml]]/28.9)*16.04)/Table3.110[[#This Row],[DM Incubated, mg]]*1000</f>
        <v>10.578680981612296</v>
      </c>
      <c r="AV384" s="94">
        <f>((Table3.110[[#This Row],[CH4 24h, ml]]/28.9)*16.04)/Table3.110[[#This Row],[Digested feed, mg]]*1000</f>
        <v>35.365457463062675</v>
      </c>
      <c r="AW384" s="303"/>
    </row>
    <row r="385" spans="1:49" s="304" customFormat="1" x14ac:dyDescent="0.35">
      <c r="A385" s="89"/>
      <c r="B385" s="90">
        <f t="shared" si="5"/>
        <v>375</v>
      </c>
      <c r="C385" s="140">
        <v>46048</v>
      </c>
      <c r="D385" s="92"/>
      <c r="E385" s="6" t="s">
        <v>564</v>
      </c>
      <c r="F385" s="133" t="s">
        <v>538</v>
      </c>
      <c r="G385" s="133"/>
      <c r="H385" s="133" t="s">
        <v>564</v>
      </c>
      <c r="I385" s="187"/>
      <c r="J385" s="188"/>
      <c r="K385" s="133"/>
      <c r="L385" s="6" t="s">
        <v>543</v>
      </c>
      <c r="M385" s="93">
        <v>28</v>
      </c>
      <c r="N385" s="93">
        <v>60</v>
      </c>
      <c r="O385" s="6">
        <v>1</v>
      </c>
      <c r="P385" s="129">
        <v>1</v>
      </c>
      <c r="Q385" s="6">
        <v>33</v>
      </c>
      <c r="R385" s="98"/>
      <c r="S385" s="94"/>
      <c r="T385" s="94">
        <f>'3.2 Digest'!W385</f>
        <v>0</v>
      </c>
      <c r="U385" s="115">
        <v>0.38055555555555554</v>
      </c>
      <c r="V385" s="94">
        <v>40</v>
      </c>
      <c r="W385" s="115">
        <v>0.70972222222222225</v>
      </c>
      <c r="X385" s="93">
        <v>41.5</v>
      </c>
      <c r="Y385" s="93"/>
      <c r="Z385" s="94"/>
      <c r="AA385" s="115"/>
      <c r="AB385" s="94"/>
      <c r="AC385" s="94"/>
      <c r="AD385" s="93"/>
      <c r="AE385" s="94">
        <f>Table3.110[[#This Row],[Gas 8h, ml]]-Table3.110[[#This Row],[Gas 0h, ml]]</f>
        <v>1.5</v>
      </c>
      <c r="AF385" s="94"/>
      <c r="AG385" s="94"/>
      <c r="AH385" s="94"/>
      <c r="AI385" s="94"/>
      <c r="AJ385" s="94"/>
      <c r="AK385" s="94"/>
      <c r="AL385" s="94"/>
      <c r="AM385" s="94"/>
      <c r="AN385" s="94"/>
      <c r="AO385" s="94"/>
      <c r="AP385" s="94"/>
      <c r="AQ385" s="94"/>
      <c r="AR385" s="94"/>
      <c r="AS385" s="94"/>
      <c r="AT385" s="94"/>
      <c r="AU385" s="94"/>
      <c r="AV385" s="94"/>
      <c r="AW385" s="303"/>
    </row>
    <row r="386" spans="1:49" s="304" customFormat="1" x14ac:dyDescent="0.35">
      <c r="A386" s="89"/>
      <c r="B386" s="90">
        <f t="shared" si="5"/>
        <v>376</v>
      </c>
      <c r="C386" s="140">
        <v>46048</v>
      </c>
      <c r="D386" s="92"/>
      <c r="E386" s="6" t="s">
        <v>564</v>
      </c>
      <c r="F386" s="133" t="s">
        <v>538</v>
      </c>
      <c r="G386" s="133"/>
      <c r="H386" s="133" t="s">
        <v>564</v>
      </c>
      <c r="I386" s="187"/>
      <c r="J386" s="188"/>
      <c r="K386" s="133"/>
      <c r="L386" s="6" t="s">
        <v>543</v>
      </c>
      <c r="M386" s="93">
        <v>28</v>
      </c>
      <c r="N386" s="93">
        <v>60</v>
      </c>
      <c r="O386" s="6">
        <v>1</v>
      </c>
      <c r="P386" s="129">
        <v>2</v>
      </c>
      <c r="Q386" s="6">
        <v>34</v>
      </c>
      <c r="R386" s="98"/>
      <c r="S386" s="94"/>
      <c r="T386" s="94">
        <f>'3.2 Digest'!W386</f>
        <v>0</v>
      </c>
      <c r="U386" s="115">
        <v>0.38055555555555554</v>
      </c>
      <c r="V386" s="94">
        <v>40</v>
      </c>
      <c r="W386" s="115">
        <v>0.70972222222222225</v>
      </c>
      <c r="X386" s="93">
        <v>41</v>
      </c>
      <c r="Y386" s="93"/>
      <c r="Z386" s="94"/>
      <c r="AA386" s="115"/>
      <c r="AB386" s="94"/>
      <c r="AC386" s="94"/>
      <c r="AD386" s="93"/>
      <c r="AE386" s="94">
        <f>Table3.110[[#This Row],[Gas 8h, ml]]-Table3.110[[#This Row],[Gas 0h, ml]]</f>
        <v>1</v>
      </c>
      <c r="AF386" s="94"/>
      <c r="AG386" s="94"/>
      <c r="AH386" s="94"/>
      <c r="AI386" s="94"/>
      <c r="AJ386" s="94"/>
      <c r="AK386" s="94"/>
      <c r="AL386" s="94"/>
      <c r="AM386" s="94"/>
      <c r="AN386" s="94"/>
      <c r="AO386" s="94"/>
      <c r="AP386" s="94"/>
      <c r="AQ386" s="94"/>
      <c r="AR386" s="94"/>
      <c r="AS386" s="94"/>
      <c r="AT386" s="94"/>
      <c r="AU386" s="94"/>
      <c r="AV386" s="94"/>
      <c r="AW386" s="303"/>
    </row>
    <row r="387" spans="1:49" s="304" customFormat="1" x14ac:dyDescent="0.35">
      <c r="A387" s="89"/>
      <c r="B387" s="90">
        <f t="shared" si="5"/>
        <v>377</v>
      </c>
      <c r="C387" s="140">
        <v>46048</v>
      </c>
      <c r="D387" s="6" t="s">
        <v>16</v>
      </c>
      <c r="E387" s="6" t="s">
        <v>218</v>
      </c>
      <c r="F387" s="133" t="s">
        <v>219</v>
      </c>
      <c r="G387" s="133" t="s">
        <v>220</v>
      </c>
      <c r="H387" s="133" t="s">
        <v>221</v>
      </c>
      <c r="I387" s="133" t="s">
        <v>22</v>
      </c>
      <c r="J387" s="132" t="s">
        <v>23</v>
      </c>
      <c r="K387" s="133" t="s">
        <v>215</v>
      </c>
      <c r="L387" s="6" t="s">
        <v>217</v>
      </c>
      <c r="M387" s="93">
        <v>28</v>
      </c>
      <c r="N387" s="93">
        <v>60</v>
      </c>
      <c r="O387" s="6">
        <v>1</v>
      </c>
      <c r="P387" s="129">
        <v>1</v>
      </c>
      <c r="Q387" s="6">
        <v>35</v>
      </c>
      <c r="R387" s="98">
        <v>0.5</v>
      </c>
      <c r="S387" s="94">
        <f>((Table3.110[[#This Row],[Sample weight, g]]*'2.1. DM'!Q137)/100)*1000</f>
        <v>459.68312674930036</v>
      </c>
      <c r="T387" s="94">
        <f>'3.2 Digest'!W387</f>
        <v>238.78312674930027</v>
      </c>
      <c r="U387" s="153">
        <v>0.38055555555555554</v>
      </c>
      <c r="V387" s="154">
        <v>40.5</v>
      </c>
      <c r="W387" s="153">
        <v>0.7104166666666667</v>
      </c>
      <c r="X387" s="95">
        <v>61.5</v>
      </c>
      <c r="Y387" s="95">
        <v>11.7</v>
      </c>
      <c r="Z387" s="154">
        <v>40.5</v>
      </c>
      <c r="AA387" s="153">
        <v>0.38124999999999998</v>
      </c>
      <c r="AB387" s="154">
        <v>86</v>
      </c>
      <c r="AC387" s="154">
        <v>15.6</v>
      </c>
      <c r="AD387" s="91"/>
      <c r="AE387" s="94">
        <f>Table3.110[[#This Row],[Gas 8h, ml]]-Table3.110[[#This Row],[Gas 0h, ml]]</f>
        <v>21</v>
      </c>
      <c r="AF387" s="94">
        <f>Table3.110[[#This Row],[Gas 24h, ml]]-Table3.110[[#This Row],[V8 Push back, ml]]</f>
        <v>45.5</v>
      </c>
      <c r="AG387" s="94">
        <f>Table3.110[[#This Row],[GP 8h, ml]]-(AVERAGE(AE$293,AE$294,AE$385,AE$386,AE$477,AE$478))*$AG$8</f>
        <v>19.746240428868305</v>
      </c>
      <c r="AH387" s="94">
        <f>Table3.110[[#This Row],[GP 8-24h, ml]]-(AVERAGE(AF$293,AF$294,AF$385,AF$386,AF$477,AF$478))*$AG$8</f>
        <v>43.50873479879084</v>
      </c>
      <c r="AI387" s="94">
        <f>Table3.110[[#This Row],[Net gas 8-24h, ml]]+Table3.110[[#This Row],[Net gas 8h, ml]]</f>
        <v>63.254975227659145</v>
      </c>
      <c r="AJ387" s="94">
        <f>Table3.110[[#This Row],[Net gas 8h, ml]]*Table3.110[[#This Row],[CH4 8h %]]%</f>
        <v>2.3103101301775917</v>
      </c>
      <c r="AK387" s="94">
        <f>Table3.110[[#This Row],[Net gas 8-24h, ml]]*Table3.110[[#This Row],[CH4 24h, %]]%</f>
        <v>6.7873626286113709</v>
      </c>
      <c r="AL387" s="94">
        <f>Table3.110[[#This Row],[CH4 8-24h, ml]]+Table3.110[[#This Row],[CH4 8h, ml]]</f>
        <v>9.0976727587889634</v>
      </c>
      <c r="AM387" s="94">
        <f>(Table3.110[[#This Row],[Net gas 24h, ml]]/Table3.110[[#This Row],[DM Incubated, mg]])*1000</f>
        <v>137.60560600728081</v>
      </c>
      <c r="AN387" s="94">
        <f>'3.2 Digest'!X387</f>
        <v>51.945158056568516</v>
      </c>
      <c r="AO387" s="94">
        <f>Table3.110[[#This Row],[Digested feed, mg]]/Table3.110[[#This Row],[Net gas 24h, ml]]</f>
        <v>3.7749303653966009</v>
      </c>
      <c r="AP387" s="94">
        <f>Table3.110[[#This Row],[CH4 8h, ml]]/Table3.110[[#This Row],[Net gas 8h, ml]]%</f>
        <v>11.7</v>
      </c>
      <c r="AQ387" s="94">
        <f>Table3.110[[#This Row],[CH4 24h, ml]]/Table3.110[[#This Row],[Net gas 24h, ml]]%</f>
        <v>14.382541019178007</v>
      </c>
      <c r="AR387" s="94">
        <f>Table3.110[[#This Row],[CH4 24h, ml]]/Table3.110[[#This Row],[DM Incubated, mg]]*1000</f>
        <v>19.791182728685637</v>
      </c>
      <c r="AS387" s="94">
        <f>Table3.110[[#This Row],[CH4 24h, ml]]/Table3.110[[#This Row],[Digested feed, mg]]*1000</f>
        <v>38.100149213393379</v>
      </c>
      <c r="AT387" s="94">
        <f>Table3.110[[#This Row],[CH4 24h, ml]]/'3.2 Digest'!AA387</f>
        <v>-0.6555089030261031</v>
      </c>
      <c r="AU387" s="94">
        <f>((Table3.110[[#This Row],[CH4 24h, ml]]/28.9)*16.04)/Table3.110[[#This Row],[DM Incubated, mg]]*1000</f>
        <v>10.984448822426215</v>
      </c>
      <c r="AV387" s="94">
        <f>((Table3.110[[#This Row],[CH4 24h, ml]]/28.9)*16.04)/Table3.110[[#This Row],[Digested feed, mg]]*1000</f>
        <v>21.146241985565045</v>
      </c>
      <c r="AW387" s="303"/>
    </row>
    <row r="388" spans="1:49" s="304" customFormat="1" x14ac:dyDescent="0.35">
      <c r="A388" s="89"/>
      <c r="B388" s="90">
        <f t="shared" si="5"/>
        <v>378</v>
      </c>
      <c r="C388" s="140">
        <v>46048</v>
      </c>
      <c r="D388" s="6" t="s">
        <v>16</v>
      </c>
      <c r="E388" s="6" t="s">
        <v>218</v>
      </c>
      <c r="F388" s="133" t="s">
        <v>219</v>
      </c>
      <c r="G388" s="133" t="s">
        <v>220</v>
      </c>
      <c r="H388" s="133" t="s">
        <v>221</v>
      </c>
      <c r="I388" s="133" t="s">
        <v>22</v>
      </c>
      <c r="J388" s="132" t="s">
        <v>23</v>
      </c>
      <c r="K388" s="133" t="s">
        <v>215</v>
      </c>
      <c r="L388" s="6" t="s">
        <v>217</v>
      </c>
      <c r="M388" s="93">
        <v>28</v>
      </c>
      <c r="N388" s="93">
        <v>60</v>
      </c>
      <c r="O388" s="6">
        <v>1</v>
      </c>
      <c r="P388" s="129">
        <v>2</v>
      </c>
      <c r="Q388" s="6">
        <v>36</v>
      </c>
      <c r="R388" s="98">
        <v>0.50009999999999999</v>
      </c>
      <c r="S388" s="94">
        <f>((Table3.110[[#This Row],[Sample weight, g]]*'2.1. DM'!Q137)/100)*1000</f>
        <v>459.77506337465019</v>
      </c>
      <c r="T388" s="94">
        <f>'3.2 Digest'!W388</f>
        <v>190.5750633746502</v>
      </c>
      <c r="U388" s="117">
        <v>0.38055555555555554</v>
      </c>
      <c r="V388" s="155">
        <v>41.5</v>
      </c>
      <c r="W388" s="117">
        <v>0.7104166666666667</v>
      </c>
      <c r="X388" s="97">
        <v>72.5</v>
      </c>
      <c r="Y388" s="97">
        <v>11.4</v>
      </c>
      <c r="Z388" s="155">
        <v>40.5</v>
      </c>
      <c r="AA388" s="117">
        <v>0.38194444444444442</v>
      </c>
      <c r="AB388" s="155">
        <v>86.5</v>
      </c>
      <c r="AC388" s="155">
        <v>15.5</v>
      </c>
      <c r="AD388" s="96"/>
      <c r="AE388" s="94">
        <f>Table3.110[[#This Row],[Gas 8h, ml]]-Table3.110[[#This Row],[Gas 0h, ml]]</f>
        <v>31</v>
      </c>
      <c r="AF388" s="94">
        <f>Table3.110[[#This Row],[Gas 24h, ml]]-Table3.110[[#This Row],[V8 Push back, ml]]</f>
        <v>46</v>
      </c>
      <c r="AG388" s="94">
        <f>Table3.110[[#This Row],[GP 8h, ml]]-(AVERAGE(AE$293,AE$294,AE$385,AE$386,AE$477,AE$478))*$AG$8</f>
        <v>29.746240428868305</v>
      </c>
      <c r="AH388" s="94">
        <f>Table3.110[[#This Row],[GP 8-24h, ml]]-(AVERAGE(AF$293,AF$294,AF$385,AF$386,AF$477,AF$478))*$AG$8</f>
        <v>44.00873479879084</v>
      </c>
      <c r="AI388" s="94">
        <f>Table3.110[[#This Row],[Net gas 8-24h, ml]]+Table3.110[[#This Row],[Net gas 8h, ml]]</f>
        <v>73.754975227659145</v>
      </c>
      <c r="AJ388" s="94">
        <f>Table3.110[[#This Row],[Net gas 8h, ml]]*Table3.110[[#This Row],[CH4 8h %]]%</f>
        <v>3.391071408890987</v>
      </c>
      <c r="AK388" s="94">
        <f>Table3.110[[#This Row],[Net gas 8-24h, ml]]*Table3.110[[#This Row],[CH4 24h, %]]%</f>
        <v>6.8213538938125806</v>
      </c>
      <c r="AL388" s="94">
        <f>Table3.110[[#This Row],[CH4 8-24h, ml]]+Table3.110[[#This Row],[CH4 8h, ml]]</f>
        <v>10.212425302703569</v>
      </c>
      <c r="AM388" s="94">
        <f>(Table3.110[[#This Row],[Net gas 24h, ml]]/Table3.110[[#This Row],[DM Incubated, mg]])*1000</f>
        <v>160.415344595493</v>
      </c>
      <c r="AN388" s="94">
        <f>'3.2 Digest'!X388</f>
        <v>41.449630168254487</v>
      </c>
      <c r="AO388" s="94">
        <f>Table3.110[[#This Row],[Digested feed, mg]]/Table3.110[[#This Row],[Net gas 24h, ml]]</f>
        <v>2.5838943445700173</v>
      </c>
      <c r="AP388" s="94">
        <f>Table3.110[[#This Row],[CH4 8h, ml]]/Table3.110[[#This Row],[Net gas 8h, ml]]%</f>
        <v>11.400000000000002</v>
      </c>
      <c r="AQ388" s="94">
        <f>Table3.110[[#This Row],[CH4 24h, ml]]/Table3.110[[#This Row],[Net gas 24h, ml]]%</f>
        <v>13.846422253117057</v>
      </c>
      <c r="AR388" s="94">
        <f>Table3.110[[#This Row],[CH4 24h, ml]]/Table3.110[[#This Row],[DM Incubated, mg]]*1000</f>
        <v>22.211785971484755</v>
      </c>
      <c r="AS388" s="94">
        <f>Table3.110[[#This Row],[CH4 24h, ml]]/Table3.110[[#This Row],[Digested feed, mg]]*1000</f>
        <v>53.587416537425113</v>
      </c>
      <c r="AT388" s="94">
        <f>Table3.110[[#This Row],[CH4 24h, ml]]/'3.2 Digest'!AA388</f>
        <v>-0.26354134168899213</v>
      </c>
      <c r="AU388" s="94">
        <f>((Table3.110[[#This Row],[CH4 24h, ml]]/28.9)*16.04)/Table3.110[[#This Row],[DM Incubated, mg]]*1000</f>
        <v>12.327925501128563</v>
      </c>
      <c r="AV388" s="94">
        <f>((Table3.110[[#This Row],[CH4 24h, ml]]/28.9)*16.04)/Table3.110[[#This Row],[Digested feed, mg]]*1000</f>
        <v>29.741943296204109</v>
      </c>
      <c r="AW388" s="303"/>
    </row>
    <row r="389" spans="1:49" s="304" customFormat="1" x14ac:dyDescent="0.35">
      <c r="A389" s="89"/>
      <c r="B389" s="90">
        <f t="shared" si="5"/>
        <v>379</v>
      </c>
      <c r="C389" s="140">
        <v>46048</v>
      </c>
      <c r="D389" s="6" t="s">
        <v>16</v>
      </c>
      <c r="E389" s="6" t="s">
        <v>218</v>
      </c>
      <c r="F389" s="133" t="s">
        <v>219</v>
      </c>
      <c r="G389" s="133" t="s">
        <v>220</v>
      </c>
      <c r="H389" s="133" t="s">
        <v>221</v>
      </c>
      <c r="I389" s="133" t="s">
        <v>22</v>
      </c>
      <c r="J389" s="132" t="s">
        <v>23</v>
      </c>
      <c r="K389" s="133" t="s">
        <v>215</v>
      </c>
      <c r="L389" s="6" t="s">
        <v>217</v>
      </c>
      <c r="M389" s="93">
        <v>28</v>
      </c>
      <c r="N389" s="93">
        <v>60</v>
      </c>
      <c r="O389" s="6">
        <v>1</v>
      </c>
      <c r="P389" s="129">
        <v>3</v>
      </c>
      <c r="Q389" s="6">
        <v>37</v>
      </c>
      <c r="R389" s="98">
        <v>0.50049999999999994</v>
      </c>
      <c r="S389" s="94">
        <f>((Table3.110[[#This Row],[Sample weight, g]]*'2.1. DM'!Q137)/100)*1000</f>
        <v>460.14280987604957</v>
      </c>
      <c r="T389" s="94">
        <f>'3.2 Digest'!W389</f>
        <v>196.84280987604961</v>
      </c>
      <c r="U389" s="153">
        <v>0.38194444444444442</v>
      </c>
      <c r="V389" s="154">
        <v>41</v>
      </c>
      <c r="W389" s="153">
        <v>0.71180555555555558</v>
      </c>
      <c r="X389" s="95">
        <v>70</v>
      </c>
      <c r="Y389" s="95">
        <v>11.2</v>
      </c>
      <c r="Z389" s="154">
        <v>40</v>
      </c>
      <c r="AA389" s="153">
        <v>0.38194444444444442</v>
      </c>
      <c r="AB389" s="154">
        <v>97</v>
      </c>
      <c r="AC389" s="154">
        <v>15.2</v>
      </c>
      <c r="AD389" s="91"/>
      <c r="AE389" s="94">
        <f>Table3.110[[#This Row],[Gas 8h, ml]]-Table3.110[[#This Row],[Gas 0h, ml]]</f>
        <v>29</v>
      </c>
      <c r="AF389" s="94">
        <f>Table3.110[[#This Row],[Gas 24h, ml]]-Table3.110[[#This Row],[V8 Push back, ml]]</f>
        <v>57</v>
      </c>
      <c r="AG389" s="94">
        <f>Table3.110[[#This Row],[GP 8h, ml]]-(AVERAGE(AE$293,AE$294,AE$385,AE$386,AE$477,AE$478))*$AG$8</f>
        <v>27.746240428868305</v>
      </c>
      <c r="AH389" s="94">
        <f>Table3.110[[#This Row],[GP 8-24h, ml]]-(AVERAGE(AF$293,AF$294,AF$385,AF$386,AF$477,AF$478))*$AG$8</f>
        <v>55.00873479879084</v>
      </c>
      <c r="AI389" s="94">
        <f>Table3.110[[#This Row],[Net gas 8-24h, ml]]+Table3.110[[#This Row],[Net gas 8h, ml]]</f>
        <v>82.754975227659145</v>
      </c>
      <c r="AJ389" s="94">
        <f>Table3.110[[#This Row],[Net gas 8h, ml]]*Table3.110[[#This Row],[CH4 8h %]]%</f>
        <v>3.10757892803325</v>
      </c>
      <c r="AK389" s="94">
        <f>Table3.110[[#This Row],[Net gas 8-24h, ml]]*Table3.110[[#This Row],[CH4 24h, %]]%</f>
        <v>8.361327689416207</v>
      </c>
      <c r="AL389" s="94">
        <f>Table3.110[[#This Row],[CH4 8-24h, ml]]+Table3.110[[#This Row],[CH4 8h, ml]]</f>
        <v>11.468906617449457</v>
      </c>
      <c r="AM389" s="94">
        <f>(Table3.110[[#This Row],[Net gas 24h, ml]]/Table3.110[[#This Row],[DM Incubated, mg]])*1000</f>
        <v>179.84628565629694</v>
      </c>
      <c r="AN389" s="94">
        <f>'3.2 Digest'!X389</f>
        <v>42.778634295964309</v>
      </c>
      <c r="AO389" s="94">
        <f>Table3.110[[#This Row],[Digested feed, mg]]/Table3.110[[#This Row],[Net gas 24h, ml]]</f>
        <v>2.3786220627162846</v>
      </c>
      <c r="AP389" s="94">
        <f>Table3.110[[#This Row],[CH4 8h, ml]]/Table3.110[[#This Row],[Net gas 8h, ml]]%</f>
        <v>11.199999999999998</v>
      </c>
      <c r="AQ389" s="94">
        <f>Table3.110[[#This Row],[CH4 24h, ml]]/Table3.110[[#This Row],[Net gas 24h, ml]]%</f>
        <v>13.858872636839617</v>
      </c>
      <c r="AR389" s="94">
        <f>Table3.110[[#This Row],[CH4 24h, ml]]/Table3.110[[#This Row],[DM Incubated, mg]]*1000</f>
        <v>24.924667671192953</v>
      </c>
      <c r="AS389" s="94">
        <f>Table3.110[[#This Row],[CH4 24h, ml]]/Table3.110[[#This Row],[Digested feed, mg]]*1000</f>
        <v>58.264290296766944</v>
      </c>
      <c r="AT389" s="94">
        <f>Table3.110[[#This Row],[CH4 24h, ml]]/'3.2 Digest'!AA389</f>
        <v>-0.3221483357556465</v>
      </c>
      <c r="AU389" s="94">
        <f>((Table3.110[[#This Row],[CH4 24h, ml]]/28.9)*16.04)/Table3.110[[#This Row],[DM Incubated, mg]]*1000</f>
        <v>13.833621780136156</v>
      </c>
      <c r="AV389" s="94">
        <f>((Table3.110[[#This Row],[CH4 24h, ml]]/28.9)*16.04)/Table3.110[[#This Row],[Digested feed, mg]]*1000</f>
        <v>32.337689147409748</v>
      </c>
      <c r="AW389" s="303"/>
    </row>
    <row r="390" spans="1:49" s="304" customFormat="1" x14ac:dyDescent="0.35">
      <c r="A390" s="89"/>
      <c r="B390" s="90">
        <f t="shared" si="5"/>
        <v>380</v>
      </c>
      <c r="C390" s="140">
        <v>46048</v>
      </c>
      <c r="D390" s="6" t="s">
        <v>16</v>
      </c>
      <c r="E390" s="6" t="s">
        <v>223</v>
      </c>
      <c r="F390" s="133" t="s">
        <v>219</v>
      </c>
      <c r="G390" s="133" t="s">
        <v>220</v>
      </c>
      <c r="H390" s="133" t="s">
        <v>221</v>
      </c>
      <c r="I390" s="133" t="s">
        <v>22</v>
      </c>
      <c r="J390" s="132" t="s">
        <v>23</v>
      </c>
      <c r="K390" s="133" t="s">
        <v>215</v>
      </c>
      <c r="L390" s="6" t="s">
        <v>222</v>
      </c>
      <c r="M390" s="93">
        <v>28</v>
      </c>
      <c r="N390" s="93">
        <v>60</v>
      </c>
      <c r="O390" s="6">
        <v>1</v>
      </c>
      <c r="P390" s="129">
        <v>1</v>
      </c>
      <c r="Q390" s="6">
        <v>38</v>
      </c>
      <c r="R390" s="98">
        <v>0.50029999999999997</v>
      </c>
      <c r="S390" s="94">
        <f>((Table3.110[[#This Row],[Sample weight, g]]*'2.1. DM'!Q139)/100)*1000</f>
        <v>457.41856528752805</v>
      </c>
      <c r="T390" s="94">
        <f>'3.2 Digest'!W390</f>
        <v>224.01856528752799</v>
      </c>
      <c r="U390" s="117">
        <v>0.38194444444444442</v>
      </c>
      <c r="V390" s="155">
        <v>40.5</v>
      </c>
      <c r="W390" s="117">
        <v>0.71250000000000002</v>
      </c>
      <c r="X390" s="97">
        <v>80.5</v>
      </c>
      <c r="Y390" s="97">
        <v>12.4</v>
      </c>
      <c r="Z390" s="155">
        <v>40.5</v>
      </c>
      <c r="AA390" s="117">
        <v>0.38263888888888886</v>
      </c>
      <c r="AB390" s="155">
        <v>88.5</v>
      </c>
      <c r="AC390" s="155">
        <v>16.7</v>
      </c>
      <c r="AD390" s="96"/>
      <c r="AE390" s="94">
        <f>Table3.110[[#This Row],[Gas 8h, ml]]-Table3.110[[#This Row],[Gas 0h, ml]]</f>
        <v>40</v>
      </c>
      <c r="AF390" s="94">
        <f>Table3.110[[#This Row],[Gas 24h, ml]]-Table3.110[[#This Row],[V8 Push back, ml]]</f>
        <v>48</v>
      </c>
      <c r="AG390" s="94">
        <f>Table3.110[[#This Row],[GP 8h, ml]]-(AVERAGE(AE$293,AE$294,AE$385,AE$386,AE$477,AE$478))*$AG$8</f>
        <v>38.746240428868305</v>
      </c>
      <c r="AH390" s="94">
        <f>Table3.110[[#This Row],[GP 8-24h, ml]]-(AVERAGE(AF$293,AF$294,AF$385,AF$386,AF$477,AF$478))*$AG$8</f>
        <v>46.00873479879084</v>
      </c>
      <c r="AI390" s="94">
        <f>Table3.110[[#This Row],[Net gas 8-24h, ml]]+Table3.110[[#This Row],[Net gas 8h, ml]]</f>
        <v>84.754975227659145</v>
      </c>
      <c r="AJ390" s="94">
        <f>Table3.110[[#This Row],[Net gas 8h, ml]]*Table3.110[[#This Row],[CH4 8h %]]%</f>
        <v>4.8045338131796695</v>
      </c>
      <c r="AK390" s="94">
        <f>Table3.110[[#This Row],[Net gas 8-24h, ml]]*Table3.110[[#This Row],[CH4 24h, %]]%</f>
        <v>7.6834587113980692</v>
      </c>
      <c r="AL390" s="94">
        <f>Table3.110[[#This Row],[CH4 8-24h, ml]]+Table3.110[[#This Row],[CH4 8h, ml]]</f>
        <v>12.487992524577738</v>
      </c>
      <c r="AM390" s="94">
        <f>(Table3.110[[#This Row],[Net gas 24h, ml]]/Table3.110[[#This Row],[DM Incubated, mg]])*1000</f>
        <v>185.28975791435826</v>
      </c>
      <c r="AN390" s="94">
        <f>'3.2 Digest'!X390</f>
        <v>48.974524054727098</v>
      </c>
      <c r="AO390" s="94">
        <f>Table3.110[[#This Row],[Digested feed, mg]]/Table3.110[[#This Row],[Net gas 24h, ml]]</f>
        <v>2.6431317416564029</v>
      </c>
      <c r="AP390" s="94">
        <f>Table3.110[[#This Row],[CH4 8h, ml]]/Table3.110[[#This Row],[Net gas 8h, ml]]%</f>
        <v>12.399999999999999</v>
      </c>
      <c r="AQ390" s="94">
        <f>Table3.110[[#This Row],[CH4 24h, ml]]/Table3.110[[#This Row],[Net gas 24h, ml]]%</f>
        <v>14.734229455007116</v>
      </c>
      <c r="AR390" s="94">
        <f>Table3.110[[#This Row],[CH4 24h, ml]]/Table3.110[[#This Row],[DM Incubated, mg]]*1000</f>
        <v>27.30101808772875</v>
      </c>
      <c r="AS390" s="94">
        <f>Table3.110[[#This Row],[CH4 24h, ml]]/Table3.110[[#This Row],[Digested feed, mg]]*1000</f>
        <v>55.745346411577053</v>
      </c>
      <c r="AT390" s="94">
        <f>Table3.110[[#This Row],[CH4 24h, ml]]/'3.2 Digest'!AA390</f>
        <v>-1.0199826666914336</v>
      </c>
      <c r="AU390" s="94">
        <f>((Table3.110[[#This Row],[CH4 24h, ml]]/28.9)*16.04)/Table3.110[[#This Row],[DM Incubated, mg]]*1000</f>
        <v>15.152537374642533</v>
      </c>
      <c r="AV390" s="94">
        <f>((Table3.110[[#This Row],[CH4 24h, ml]]/28.9)*16.04)/Table3.110[[#This Row],[Digested feed, mg]]*1000</f>
        <v>30.939631710785324</v>
      </c>
      <c r="AW390" s="303"/>
    </row>
    <row r="391" spans="1:49" s="304" customFormat="1" x14ac:dyDescent="0.35">
      <c r="A391" s="89"/>
      <c r="B391" s="90">
        <f t="shared" si="5"/>
        <v>381</v>
      </c>
      <c r="C391" s="140">
        <v>46048</v>
      </c>
      <c r="D391" s="6" t="s">
        <v>16</v>
      </c>
      <c r="E391" s="6" t="s">
        <v>223</v>
      </c>
      <c r="F391" s="133" t="s">
        <v>219</v>
      </c>
      <c r="G391" s="133" t="s">
        <v>220</v>
      </c>
      <c r="H391" s="133" t="s">
        <v>221</v>
      </c>
      <c r="I391" s="133" t="s">
        <v>22</v>
      </c>
      <c r="J391" s="132" t="s">
        <v>23</v>
      </c>
      <c r="K391" s="133" t="s">
        <v>215</v>
      </c>
      <c r="L391" s="6" t="s">
        <v>222</v>
      </c>
      <c r="M391" s="93">
        <v>28</v>
      </c>
      <c r="N391" s="93">
        <v>60</v>
      </c>
      <c r="O391" s="6">
        <v>1</v>
      </c>
      <c r="P391" s="129">
        <v>2</v>
      </c>
      <c r="Q391" s="6">
        <v>39</v>
      </c>
      <c r="R391" s="98">
        <v>0.50029999999999997</v>
      </c>
      <c r="S391" s="94">
        <f>((Table3.110[[#This Row],[Sample weight, g]]*'2.1. DM'!Q139)/100)*1000</f>
        <v>457.41856528752805</v>
      </c>
      <c r="T391" s="94">
        <f>'3.2 Digest'!W391</f>
        <v>249.71856528752807</v>
      </c>
      <c r="U391" s="153">
        <v>0.38263888888888886</v>
      </c>
      <c r="V391" s="154">
        <v>41</v>
      </c>
      <c r="W391" s="153">
        <v>0.71250000000000002</v>
      </c>
      <c r="X391" s="95">
        <v>79</v>
      </c>
      <c r="Y391" s="95">
        <v>12.3</v>
      </c>
      <c r="Z391" s="154">
        <v>40.5</v>
      </c>
      <c r="AA391" s="153">
        <v>0.38333333333333336</v>
      </c>
      <c r="AB391" s="154">
        <v>89</v>
      </c>
      <c r="AC391" s="154">
        <v>16.5</v>
      </c>
      <c r="AD391" s="91"/>
      <c r="AE391" s="94">
        <f>Table3.110[[#This Row],[Gas 8h, ml]]-Table3.110[[#This Row],[Gas 0h, ml]]</f>
        <v>38</v>
      </c>
      <c r="AF391" s="94">
        <f>Table3.110[[#This Row],[Gas 24h, ml]]-Table3.110[[#This Row],[V8 Push back, ml]]</f>
        <v>48.5</v>
      </c>
      <c r="AG391" s="94">
        <f>Table3.110[[#This Row],[GP 8h, ml]]-(AVERAGE(AE$293,AE$294,AE$385,AE$386,AE$477,AE$478))*$AG$8</f>
        <v>36.746240428868305</v>
      </c>
      <c r="AH391" s="94">
        <f>Table3.110[[#This Row],[GP 8-24h, ml]]-(AVERAGE(AF$293,AF$294,AF$385,AF$386,AF$477,AF$478))*$AG$8</f>
        <v>46.50873479879084</v>
      </c>
      <c r="AI391" s="94">
        <f>Table3.110[[#This Row],[Net gas 8-24h, ml]]+Table3.110[[#This Row],[Net gas 8h, ml]]</f>
        <v>83.254975227659145</v>
      </c>
      <c r="AJ391" s="94">
        <f>Table3.110[[#This Row],[Net gas 8h, ml]]*Table3.110[[#This Row],[CH4 8h %]]%</f>
        <v>4.5197875727508023</v>
      </c>
      <c r="AK391" s="94">
        <f>Table3.110[[#This Row],[Net gas 8-24h, ml]]*Table3.110[[#This Row],[CH4 24h, %]]%</f>
        <v>7.6739412418004891</v>
      </c>
      <c r="AL391" s="94">
        <f>Table3.110[[#This Row],[CH4 8-24h, ml]]+Table3.110[[#This Row],[CH4 8h, ml]]</f>
        <v>12.193728814551292</v>
      </c>
      <c r="AM391" s="94">
        <f>(Table3.110[[#This Row],[Net gas 24h, ml]]/Table3.110[[#This Row],[DM Incubated, mg]])*1000</f>
        <v>182.01048568137153</v>
      </c>
      <c r="AN391" s="94">
        <f>'3.2 Digest'!X391</f>
        <v>54.593010480577639</v>
      </c>
      <c r="AO391" s="94">
        <f>Table3.110[[#This Row],[Digested feed, mg]]/Table3.110[[#This Row],[Net gas 24h, ml]]</f>
        <v>2.9994431516516267</v>
      </c>
      <c r="AP391" s="94">
        <f>Table3.110[[#This Row],[CH4 8h, ml]]/Table3.110[[#This Row],[Net gas 8h, ml]]%</f>
        <v>12.300000000000002</v>
      </c>
      <c r="AQ391" s="94">
        <f>Table3.110[[#This Row],[CH4 24h, ml]]/Table3.110[[#This Row],[Net gas 24h, ml]]%</f>
        <v>14.646246402942014</v>
      </c>
      <c r="AR391" s="94">
        <f>Table3.110[[#This Row],[CH4 24h, ml]]/Table3.110[[#This Row],[DM Incubated, mg]]*1000</f>
        <v>26.657704212085168</v>
      </c>
      <c r="AS391" s="94">
        <f>Table3.110[[#This Row],[CH4 24h, ml]]/Table3.110[[#This Row],[Digested feed, mg]]*1000</f>
        <v>48.829884956736514</v>
      </c>
      <c r="AT391" s="94">
        <f>Table3.110[[#This Row],[CH4 24h, ml]]/'3.2 Digest'!AA391</f>
        <v>105.17933958816558</v>
      </c>
      <c r="AU391" s="94">
        <f>((Table3.110[[#This Row],[CH4 24h, ml]]/28.9)*16.04)/Table3.110[[#This Row],[DM Incubated, mg]]*1000</f>
        <v>14.795487043662495</v>
      </c>
      <c r="AV391" s="94">
        <f>((Table3.110[[#This Row],[CH4 24h, ml]]/28.9)*16.04)/Table3.110[[#This Row],[Digested feed, mg]]*1000</f>
        <v>27.101430958686976</v>
      </c>
      <c r="AW391" s="303"/>
    </row>
    <row r="392" spans="1:49" s="304" customFormat="1" x14ac:dyDescent="0.35">
      <c r="A392" s="89"/>
      <c r="B392" s="90">
        <f t="shared" si="5"/>
        <v>382</v>
      </c>
      <c r="C392" s="140">
        <v>46048</v>
      </c>
      <c r="D392" s="6" t="s">
        <v>16</v>
      </c>
      <c r="E392" s="6" t="s">
        <v>223</v>
      </c>
      <c r="F392" s="133" t="s">
        <v>219</v>
      </c>
      <c r="G392" s="133" t="s">
        <v>220</v>
      </c>
      <c r="H392" s="133" t="s">
        <v>221</v>
      </c>
      <c r="I392" s="133" t="s">
        <v>22</v>
      </c>
      <c r="J392" s="132" t="s">
        <v>23</v>
      </c>
      <c r="K392" s="133" t="s">
        <v>215</v>
      </c>
      <c r="L392" s="6" t="s">
        <v>222</v>
      </c>
      <c r="M392" s="93">
        <v>28</v>
      </c>
      <c r="N392" s="93">
        <v>60</v>
      </c>
      <c r="O392" s="6">
        <v>1</v>
      </c>
      <c r="P392" s="129">
        <v>3</v>
      </c>
      <c r="Q392" s="6">
        <v>40</v>
      </c>
      <c r="R392" s="98">
        <v>0.50039999999999996</v>
      </c>
      <c r="S392" s="94">
        <f>((Table3.110[[#This Row],[Sample weight, g]]*'2.1. DM'!Q139)/100)*1000</f>
        <v>457.50999414327208</v>
      </c>
      <c r="T392" s="94">
        <f>'3.2 Digest'!W392</f>
        <v>265.30999414327204</v>
      </c>
      <c r="U392" s="117">
        <v>0.38263888888888886</v>
      </c>
      <c r="V392" s="155">
        <v>40.5</v>
      </c>
      <c r="W392" s="117">
        <v>0.71319444444444446</v>
      </c>
      <c r="X392" s="97">
        <v>79</v>
      </c>
      <c r="Y392" s="97">
        <v>12.8</v>
      </c>
      <c r="Z392" s="155">
        <v>40</v>
      </c>
      <c r="AA392" s="117">
        <v>0.38333333333333336</v>
      </c>
      <c r="AB392" s="155">
        <v>89.5</v>
      </c>
      <c r="AC392" s="155">
        <v>16.8</v>
      </c>
      <c r="AD392" s="96"/>
      <c r="AE392" s="94">
        <f>Table3.110[[#This Row],[Gas 8h, ml]]-Table3.110[[#This Row],[Gas 0h, ml]]</f>
        <v>38.5</v>
      </c>
      <c r="AF392" s="94">
        <f>Table3.110[[#This Row],[Gas 24h, ml]]-Table3.110[[#This Row],[V8 Push back, ml]]</f>
        <v>49.5</v>
      </c>
      <c r="AG392" s="94">
        <f>Table3.110[[#This Row],[GP 8h, ml]]-(AVERAGE(AE$293,AE$294,AE$385,AE$386,AE$477,AE$478))*$AG$8</f>
        <v>37.246240428868305</v>
      </c>
      <c r="AH392" s="94">
        <f>Table3.110[[#This Row],[GP 8-24h, ml]]-(AVERAGE(AF$293,AF$294,AF$385,AF$386,AF$477,AF$478))*$AG$8</f>
        <v>47.50873479879084</v>
      </c>
      <c r="AI392" s="94">
        <f>Table3.110[[#This Row],[Net gas 8-24h, ml]]+Table3.110[[#This Row],[Net gas 8h, ml]]</f>
        <v>84.754975227659145</v>
      </c>
      <c r="AJ392" s="94">
        <f>Table3.110[[#This Row],[Net gas 8h, ml]]*Table3.110[[#This Row],[CH4 8h %]]%</f>
        <v>4.7675187748951435</v>
      </c>
      <c r="AK392" s="94">
        <f>Table3.110[[#This Row],[Net gas 8-24h, ml]]*Table3.110[[#This Row],[CH4 24h, %]]%</f>
        <v>7.981467446196862</v>
      </c>
      <c r="AL392" s="94">
        <f>Table3.110[[#This Row],[CH4 8-24h, ml]]+Table3.110[[#This Row],[CH4 8h, ml]]</f>
        <v>12.748986221092006</v>
      </c>
      <c r="AM392" s="94">
        <f>(Table3.110[[#This Row],[Net gas 24h, ml]]/Table3.110[[#This Row],[DM Incubated, mg]])*1000</f>
        <v>185.25272958543854</v>
      </c>
      <c r="AN392" s="94">
        <f>'3.2 Digest'!X392</f>
        <v>57.989988752068342</v>
      </c>
      <c r="AO392" s="94">
        <f>Table3.110[[#This Row],[Digested feed, mg]]/Table3.110[[#This Row],[Net gas 24h, ml]]</f>
        <v>3.130317641302196</v>
      </c>
      <c r="AP392" s="94">
        <f>Table3.110[[#This Row],[CH4 8h, ml]]/Table3.110[[#This Row],[Net gas 8h, ml]]%</f>
        <v>12.8</v>
      </c>
      <c r="AQ392" s="94">
        <f>Table3.110[[#This Row],[CH4 24h, ml]]/Table3.110[[#This Row],[Net gas 24h, ml]]%</f>
        <v>15.042168541548309</v>
      </c>
      <c r="AR392" s="94">
        <f>Table3.110[[#This Row],[CH4 24h, ml]]/Table3.110[[#This Row],[DM Incubated, mg]]*1000</f>
        <v>27.866027812060388</v>
      </c>
      <c r="AS392" s="94">
        <f>Table3.110[[#This Row],[CH4 24h, ml]]/Table3.110[[#This Row],[Digested feed, mg]]*1000</f>
        <v>48.053169886270211</v>
      </c>
      <c r="AT392" s="94">
        <f>Table3.110[[#This Row],[CH4 24h, ml]]/'3.2 Digest'!AA392</f>
        <v>1.6800538943096321</v>
      </c>
      <c r="AU392" s="94">
        <f>((Table3.110[[#This Row],[CH4 24h, ml]]/28.9)*16.04)/Table3.110[[#This Row],[DM Incubated, mg]]*1000</f>
        <v>15.466127546901339</v>
      </c>
      <c r="AV392" s="94">
        <f>((Table3.110[[#This Row],[CH4 24h, ml]]/28.9)*16.04)/Table3.110[[#This Row],[Digested feed, mg]]*1000</f>
        <v>26.670340656601184</v>
      </c>
      <c r="AW392" s="303"/>
    </row>
    <row r="393" spans="1:49" s="304" customFormat="1" x14ac:dyDescent="0.35">
      <c r="A393" s="89"/>
      <c r="B393" s="90">
        <f t="shared" si="5"/>
        <v>383</v>
      </c>
      <c r="C393" s="140">
        <v>46048</v>
      </c>
      <c r="D393" s="6" t="s">
        <v>16</v>
      </c>
      <c r="E393" s="6" t="s">
        <v>225</v>
      </c>
      <c r="F393" s="133" t="s">
        <v>226</v>
      </c>
      <c r="G393" s="133" t="s">
        <v>227</v>
      </c>
      <c r="H393" s="133" t="s">
        <v>228</v>
      </c>
      <c r="I393" s="133" t="s">
        <v>22</v>
      </c>
      <c r="J393" s="132" t="s">
        <v>23</v>
      </c>
      <c r="K393" s="133" t="s">
        <v>215</v>
      </c>
      <c r="L393" s="6" t="s">
        <v>224</v>
      </c>
      <c r="M393" s="93">
        <v>28</v>
      </c>
      <c r="N393" s="93">
        <v>60</v>
      </c>
      <c r="O393" s="6">
        <v>1</v>
      </c>
      <c r="P393" s="129">
        <v>1</v>
      </c>
      <c r="Q393" s="6">
        <v>41</v>
      </c>
      <c r="R393" s="98">
        <v>0.50019999999999998</v>
      </c>
      <c r="S393" s="94">
        <f>((Table3.110[[#This Row],[Sample weight, g]]*'2.1. DM'!Q141)/100)*1000</f>
        <v>455.59780726613326</v>
      </c>
      <c r="T393" s="94">
        <f>'3.2 Digest'!W393</f>
        <v>201.29780726613328</v>
      </c>
      <c r="U393" s="153">
        <v>0.38263888888888886</v>
      </c>
      <c r="V393" s="154">
        <v>41</v>
      </c>
      <c r="W393" s="153">
        <v>0.71319444444444446</v>
      </c>
      <c r="X393" s="95">
        <v>74.5</v>
      </c>
      <c r="Y393" s="95">
        <v>11.6</v>
      </c>
      <c r="Z393" s="154">
        <v>40</v>
      </c>
      <c r="AA393" s="153">
        <v>0.38333333333333336</v>
      </c>
      <c r="AB393" s="154">
        <v>75</v>
      </c>
      <c r="AC393" s="154">
        <v>15</v>
      </c>
      <c r="AD393" s="91"/>
      <c r="AE393" s="94">
        <f>Table3.110[[#This Row],[Gas 8h, ml]]-Table3.110[[#This Row],[Gas 0h, ml]]</f>
        <v>33.5</v>
      </c>
      <c r="AF393" s="94">
        <f>Table3.110[[#This Row],[Gas 24h, ml]]-Table3.110[[#This Row],[V8 Push back, ml]]</f>
        <v>35</v>
      </c>
      <c r="AG393" s="94">
        <f>Table3.110[[#This Row],[GP 8h, ml]]-(AVERAGE(AE$293,AE$294,AE$385,AE$386,AE$477,AE$478))*$AG$8</f>
        <v>32.246240428868305</v>
      </c>
      <c r="AH393" s="94">
        <f>Table3.110[[#This Row],[GP 8-24h, ml]]-(AVERAGE(AF$293,AF$294,AF$385,AF$386,AF$477,AF$478))*$AG$8</f>
        <v>33.00873479879084</v>
      </c>
      <c r="AI393" s="94">
        <f>Table3.110[[#This Row],[Net gas 8-24h, ml]]+Table3.110[[#This Row],[Net gas 8h, ml]]</f>
        <v>65.254975227659145</v>
      </c>
      <c r="AJ393" s="94">
        <f>Table3.110[[#This Row],[Net gas 8h, ml]]*Table3.110[[#This Row],[CH4 8h %]]%</f>
        <v>3.740563889748723</v>
      </c>
      <c r="AK393" s="94">
        <f>Table3.110[[#This Row],[Net gas 8-24h, ml]]*Table3.110[[#This Row],[CH4 24h, %]]%</f>
        <v>4.9513102198186258</v>
      </c>
      <c r="AL393" s="94">
        <f>Table3.110[[#This Row],[CH4 8-24h, ml]]+Table3.110[[#This Row],[CH4 8h, ml]]</f>
        <v>8.6918741095673493</v>
      </c>
      <c r="AM393" s="94">
        <f>(Table3.110[[#This Row],[Net gas 24h, ml]]/Table3.110[[#This Row],[DM Incubated, mg]])*1000</f>
        <v>143.22934436236446</v>
      </c>
      <c r="AN393" s="94">
        <f>'3.2 Digest'!X393</f>
        <v>44.183225655549968</v>
      </c>
      <c r="AO393" s="94">
        <f>Table3.110[[#This Row],[Digested feed, mg]]/Table3.110[[#This Row],[Net gas 24h, ml]]</f>
        <v>3.0847886550236656</v>
      </c>
      <c r="AP393" s="94">
        <f>Table3.110[[#This Row],[CH4 8h, ml]]/Table3.110[[#This Row],[Net gas 8h, ml]]%</f>
        <v>11.599999999999998</v>
      </c>
      <c r="AQ393" s="94">
        <f>Table3.110[[#This Row],[CH4 24h, ml]]/Table3.110[[#This Row],[Net gas 24h, ml]]%</f>
        <v>13.319864239076731</v>
      </c>
      <c r="AR393" s="94">
        <f>Table3.110[[#This Row],[CH4 24h, ml]]/Table3.110[[#This Row],[DM Incubated, mg]]*1000</f>
        <v>19.077954219586641</v>
      </c>
      <c r="AS393" s="94">
        <f>Table3.110[[#This Row],[CH4 24h, ml]]/Table3.110[[#This Row],[Digested feed, mg]]*1000</f>
        <v>43.179179284729777</v>
      </c>
      <c r="AT393" s="94">
        <f>Table3.110[[#This Row],[CH4 24h, ml]]/'3.2 Digest'!AA393</f>
        <v>-0.38831270344673485</v>
      </c>
      <c r="AU393" s="94">
        <f>((Table3.110[[#This Row],[CH4 24h, ml]]/28.9)*16.04)/Table3.110[[#This Row],[DM Incubated, mg]]*1000</f>
        <v>10.588594660282691</v>
      </c>
      <c r="AV393" s="94">
        <f>((Table3.110[[#This Row],[CH4 24h, ml]]/28.9)*16.04)/Table3.110[[#This Row],[Digested feed, mg]]*1000</f>
        <v>23.965191547649329</v>
      </c>
      <c r="AW393" s="303"/>
    </row>
    <row r="394" spans="1:49" s="304" customFormat="1" x14ac:dyDescent="0.35">
      <c r="A394" s="89"/>
      <c r="B394" s="90">
        <f t="shared" si="5"/>
        <v>384</v>
      </c>
      <c r="C394" s="140">
        <v>46048</v>
      </c>
      <c r="D394" s="6" t="s">
        <v>16</v>
      </c>
      <c r="E394" s="6" t="s">
        <v>225</v>
      </c>
      <c r="F394" s="133" t="s">
        <v>226</v>
      </c>
      <c r="G394" s="133" t="s">
        <v>227</v>
      </c>
      <c r="H394" s="133" t="s">
        <v>228</v>
      </c>
      <c r="I394" s="133" t="s">
        <v>22</v>
      </c>
      <c r="J394" s="132" t="s">
        <v>23</v>
      </c>
      <c r="K394" s="133" t="s">
        <v>215</v>
      </c>
      <c r="L394" s="6" t="s">
        <v>224</v>
      </c>
      <c r="M394" s="93">
        <v>28</v>
      </c>
      <c r="N394" s="93">
        <v>60</v>
      </c>
      <c r="O394" s="6">
        <v>1</v>
      </c>
      <c r="P394" s="129">
        <v>2</v>
      </c>
      <c r="Q394" s="6">
        <v>42</v>
      </c>
      <c r="R394" s="98">
        <v>0.50039999999999996</v>
      </c>
      <c r="S394" s="94">
        <f>((Table3.110[[#This Row],[Sample weight, g]]*'2.1. DM'!Q141)/100)*1000</f>
        <v>455.7799735225372</v>
      </c>
      <c r="T394" s="94">
        <f>'3.2 Digest'!W394</f>
        <v>124.77997352253726</v>
      </c>
      <c r="U394" s="117">
        <v>0.38263888888888886</v>
      </c>
      <c r="V394" s="155">
        <v>40</v>
      </c>
      <c r="W394" s="117">
        <v>0.71388888888888891</v>
      </c>
      <c r="X394" s="97">
        <v>73.5</v>
      </c>
      <c r="Y394" s="97">
        <v>11.8</v>
      </c>
      <c r="Z394" s="155">
        <v>40</v>
      </c>
      <c r="AA394" s="117">
        <v>0.3840277777777778</v>
      </c>
      <c r="AB394" s="155">
        <v>72.5</v>
      </c>
      <c r="AC394" s="155">
        <v>15.1</v>
      </c>
      <c r="AD394" s="96"/>
      <c r="AE394" s="94">
        <f>Table3.110[[#This Row],[Gas 8h, ml]]-Table3.110[[#This Row],[Gas 0h, ml]]</f>
        <v>33.5</v>
      </c>
      <c r="AF394" s="94">
        <f>Table3.110[[#This Row],[Gas 24h, ml]]-Table3.110[[#This Row],[V8 Push back, ml]]</f>
        <v>32.5</v>
      </c>
      <c r="AG394" s="94">
        <f>Table3.110[[#This Row],[GP 8h, ml]]-(AVERAGE(AE$293,AE$294,AE$385,AE$386,AE$477,AE$478))*$AG$8</f>
        <v>32.246240428868305</v>
      </c>
      <c r="AH394" s="94">
        <f>Table3.110[[#This Row],[GP 8-24h, ml]]-(AVERAGE(AF$293,AF$294,AF$385,AF$386,AF$477,AF$478))*$AG$8</f>
        <v>30.508734798790837</v>
      </c>
      <c r="AI394" s="94">
        <f>Table3.110[[#This Row],[Net gas 8-24h, ml]]+Table3.110[[#This Row],[Net gas 8h, ml]]</f>
        <v>62.754975227659145</v>
      </c>
      <c r="AJ394" s="94">
        <f>Table3.110[[#This Row],[Net gas 8h, ml]]*Table3.110[[#This Row],[CH4 8h %]]%</f>
        <v>3.8050563706064602</v>
      </c>
      <c r="AK394" s="94">
        <f>Table3.110[[#This Row],[Net gas 8-24h, ml]]*Table3.110[[#This Row],[CH4 24h, %]]%</f>
        <v>4.6068189546174159</v>
      </c>
      <c r="AL394" s="94">
        <f>Table3.110[[#This Row],[CH4 8-24h, ml]]+Table3.110[[#This Row],[CH4 8h, ml]]</f>
        <v>8.4118753252238765</v>
      </c>
      <c r="AM394" s="94">
        <f>(Table3.110[[#This Row],[Net gas 24h, ml]]/Table3.110[[#This Row],[DM Incubated, mg]])*1000</f>
        <v>137.68699564101419</v>
      </c>
      <c r="AN394" s="94">
        <f>'3.2 Digest'!X394</f>
        <v>27.377239188059061</v>
      </c>
      <c r="AO394" s="94">
        <f>Table3.110[[#This Row],[Digested feed, mg]]/Table3.110[[#This Row],[Net gas 24h, ml]]</f>
        <v>1.9883678237441278</v>
      </c>
      <c r="AP394" s="94">
        <f>Table3.110[[#This Row],[CH4 8h, ml]]/Table3.110[[#This Row],[Net gas 8h, ml]]%</f>
        <v>11.8</v>
      </c>
      <c r="AQ394" s="94">
        <f>Table3.110[[#This Row],[CH4 24h, ml]]/Table3.110[[#This Row],[Net gas 24h, ml]]%</f>
        <v>13.404316223068728</v>
      </c>
      <c r="AR394" s="94">
        <f>Table3.110[[#This Row],[CH4 24h, ml]]/Table3.110[[#This Row],[DM Incubated, mg]]*1000</f>
        <v>18.456000293764397</v>
      </c>
      <c r="AS394" s="94">
        <f>Table3.110[[#This Row],[CH4 24h, ml]]/Table3.110[[#This Row],[Digested feed, mg]]*1000</f>
        <v>67.413664931613056</v>
      </c>
      <c r="AT394" s="94">
        <f>Table3.110[[#This Row],[CH4 24h, ml]]/'3.2 Digest'!AA394</f>
        <v>-0.1420146330584503</v>
      </c>
      <c r="AU394" s="94">
        <f>((Table3.110[[#This Row],[CH4 24h, ml]]/28.9)*16.04)/Table3.110[[#This Row],[DM Incubated, mg]]*1000</f>
        <v>10.243399471002801</v>
      </c>
      <c r="AV394" s="94">
        <f>((Table3.110[[#This Row],[CH4 24h, ml]]/28.9)*16.04)/Table3.110[[#This Row],[Digested feed, mg]]*1000</f>
        <v>37.415750363428145</v>
      </c>
      <c r="AW394" s="303"/>
    </row>
    <row r="395" spans="1:49" s="304" customFormat="1" x14ac:dyDescent="0.35">
      <c r="A395" s="89"/>
      <c r="B395" s="90">
        <f t="shared" si="5"/>
        <v>385</v>
      </c>
      <c r="C395" s="140">
        <v>46048</v>
      </c>
      <c r="D395" s="6" t="s">
        <v>16</v>
      </c>
      <c r="E395" s="6" t="s">
        <v>225</v>
      </c>
      <c r="F395" s="133" t="s">
        <v>226</v>
      </c>
      <c r="G395" s="133" t="s">
        <v>227</v>
      </c>
      <c r="H395" s="133" t="s">
        <v>228</v>
      </c>
      <c r="I395" s="133" t="s">
        <v>22</v>
      </c>
      <c r="J395" s="132" t="s">
        <v>23</v>
      </c>
      <c r="K395" s="133" t="s">
        <v>215</v>
      </c>
      <c r="L395" s="6" t="s">
        <v>224</v>
      </c>
      <c r="M395" s="93">
        <v>28</v>
      </c>
      <c r="N395" s="93">
        <v>60</v>
      </c>
      <c r="O395" s="6">
        <v>1</v>
      </c>
      <c r="P395" s="129">
        <v>3</v>
      </c>
      <c r="Q395" s="6">
        <v>43</v>
      </c>
      <c r="R395" s="98">
        <v>0.50039999999999996</v>
      </c>
      <c r="S395" s="94">
        <f>((Table3.110[[#This Row],[Sample weight, g]]*'2.1. DM'!Q141)/100)*1000</f>
        <v>455.7799735225372</v>
      </c>
      <c r="T395" s="94">
        <f>'3.2 Digest'!W395</f>
        <v>216.47997352253714</v>
      </c>
      <c r="U395" s="153">
        <v>0.38333333333333336</v>
      </c>
      <c r="V395" s="154">
        <v>40.5</v>
      </c>
      <c r="W395" s="153">
        <v>0.71458333333333335</v>
      </c>
      <c r="X395" s="95">
        <v>74</v>
      </c>
      <c r="Y395" s="95">
        <v>11.8</v>
      </c>
      <c r="Z395" s="154">
        <v>40</v>
      </c>
      <c r="AA395" s="153">
        <v>0.3840277777777778</v>
      </c>
      <c r="AB395" s="154">
        <v>75.5</v>
      </c>
      <c r="AC395" s="154">
        <v>14.8</v>
      </c>
      <c r="AD395" s="91"/>
      <c r="AE395" s="94">
        <f>Table3.110[[#This Row],[Gas 8h, ml]]-Table3.110[[#This Row],[Gas 0h, ml]]</f>
        <v>33.5</v>
      </c>
      <c r="AF395" s="94">
        <f>Table3.110[[#This Row],[Gas 24h, ml]]-Table3.110[[#This Row],[V8 Push back, ml]]</f>
        <v>35.5</v>
      </c>
      <c r="AG395" s="94">
        <f>Table3.110[[#This Row],[GP 8h, ml]]-(AVERAGE(AE$293,AE$294,AE$385,AE$386,AE$477,AE$478))*$AG$8</f>
        <v>32.246240428868305</v>
      </c>
      <c r="AH395" s="94">
        <f>Table3.110[[#This Row],[GP 8-24h, ml]]-(AVERAGE(AF$293,AF$294,AF$385,AF$386,AF$477,AF$478))*$AG$8</f>
        <v>33.50873479879084</v>
      </c>
      <c r="AI395" s="94">
        <f>Table3.110[[#This Row],[Net gas 8-24h, ml]]+Table3.110[[#This Row],[Net gas 8h, ml]]</f>
        <v>65.754975227659145</v>
      </c>
      <c r="AJ395" s="94">
        <f>Table3.110[[#This Row],[Net gas 8h, ml]]*Table3.110[[#This Row],[CH4 8h %]]%</f>
        <v>3.8050563706064602</v>
      </c>
      <c r="AK395" s="94">
        <f>Table3.110[[#This Row],[Net gas 8-24h, ml]]*Table3.110[[#This Row],[CH4 24h, %]]%</f>
        <v>4.9592927502210449</v>
      </c>
      <c r="AL395" s="94">
        <f>Table3.110[[#This Row],[CH4 8-24h, ml]]+Table3.110[[#This Row],[CH4 8h, ml]]</f>
        <v>8.7643491208275055</v>
      </c>
      <c r="AM395" s="94">
        <f>(Table3.110[[#This Row],[Net gas 24h, ml]]/Table3.110[[#This Row],[DM Incubated, mg]])*1000</f>
        <v>144.26911897744387</v>
      </c>
      <c r="AN395" s="94">
        <f>'3.2 Digest'!X395</f>
        <v>47.496596186412461</v>
      </c>
      <c r="AO395" s="94">
        <f>Table3.110[[#This Row],[Digested feed, mg]]/Table3.110[[#This Row],[Net gas 24h, ml]]</f>
        <v>3.2922219615022694</v>
      </c>
      <c r="AP395" s="94">
        <f>Table3.110[[#This Row],[CH4 8h, ml]]/Table3.110[[#This Row],[Net gas 8h, ml]]%</f>
        <v>11.8</v>
      </c>
      <c r="AQ395" s="94">
        <f>Table3.110[[#This Row],[CH4 24h, ml]]/Table3.110[[#This Row],[Net gas 24h, ml]]%</f>
        <v>13.328799973664767</v>
      </c>
      <c r="AR395" s="94">
        <f>Table3.110[[#This Row],[CH4 24h, ml]]/Table3.110[[#This Row],[DM Incubated, mg]]*1000</f>
        <v>19.229342292271934</v>
      </c>
      <c r="AS395" s="94">
        <f>Table3.110[[#This Row],[CH4 24h, ml]]/Table3.110[[#This Row],[Digested feed, mg]]*1000</f>
        <v>40.485727054632484</v>
      </c>
      <c r="AT395" s="94">
        <f>Table3.110[[#This Row],[CH4 24h, ml]]/'3.2 Digest'!AA395</f>
        <v>-0.57969830817762369</v>
      </c>
      <c r="AU395" s="94">
        <f>((Table3.110[[#This Row],[CH4 24h, ml]]/28.9)*16.04)/Table3.110[[#This Row],[DM Incubated, mg]]*1000</f>
        <v>10.672617659793833</v>
      </c>
      <c r="AV395" s="94">
        <f>((Table3.110[[#This Row],[CH4 24h, ml]]/28.9)*16.04)/Table3.110[[#This Row],[Digested feed, mg]]*1000</f>
        <v>22.47027896042578</v>
      </c>
      <c r="AW395" s="303"/>
    </row>
    <row r="396" spans="1:49" s="304" customFormat="1" x14ac:dyDescent="0.35">
      <c r="A396" s="89"/>
      <c r="B396" s="90">
        <f t="shared" ref="B396:B459" si="6">B395+1</f>
        <v>386</v>
      </c>
      <c r="C396" s="140">
        <v>46048</v>
      </c>
      <c r="D396" s="6" t="s">
        <v>16</v>
      </c>
      <c r="E396" s="6" t="s">
        <v>230</v>
      </c>
      <c r="F396" s="133" t="s">
        <v>226</v>
      </c>
      <c r="G396" s="133" t="s">
        <v>231</v>
      </c>
      <c r="H396" s="133" t="s">
        <v>232</v>
      </c>
      <c r="I396" s="133" t="s">
        <v>22</v>
      </c>
      <c r="J396" s="132" t="s">
        <v>23</v>
      </c>
      <c r="K396" s="133" t="s">
        <v>215</v>
      </c>
      <c r="L396" s="6" t="s">
        <v>229</v>
      </c>
      <c r="M396" s="93">
        <v>28</v>
      </c>
      <c r="N396" s="93">
        <v>60</v>
      </c>
      <c r="O396" s="6">
        <v>1</v>
      </c>
      <c r="P396" s="129">
        <v>1</v>
      </c>
      <c r="Q396" s="6">
        <v>44</v>
      </c>
      <c r="R396" s="98">
        <v>0.5</v>
      </c>
      <c r="S396" s="94">
        <f>((Table3.110[[#This Row],[Sample weight, g]]*'2.1. DM'!Q143)/100)*1000</f>
        <v>464.98905795494943</v>
      </c>
      <c r="T396" s="94">
        <f>'3.2 Digest'!W396</f>
        <v>230.28905795494941</v>
      </c>
      <c r="U396" s="153">
        <v>0.38333333333333336</v>
      </c>
      <c r="V396" s="154">
        <v>40.5</v>
      </c>
      <c r="W396" s="153">
        <v>0.71527777777777779</v>
      </c>
      <c r="X396" s="91">
        <v>72</v>
      </c>
      <c r="Y396" s="91">
        <v>12.7</v>
      </c>
      <c r="Z396" s="154">
        <v>40.5</v>
      </c>
      <c r="AA396" s="153">
        <v>0.38472222222222224</v>
      </c>
      <c r="AB396" s="154">
        <v>84</v>
      </c>
      <c r="AC396" s="154">
        <v>14.9</v>
      </c>
      <c r="AD396" s="91"/>
      <c r="AE396" s="94">
        <f>Table3.110[[#This Row],[Gas 8h, ml]]-Table3.110[[#This Row],[Gas 0h, ml]]</f>
        <v>31.5</v>
      </c>
      <c r="AF396" s="94">
        <f>Table3.110[[#This Row],[Gas 24h, ml]]-Table3.110[[#This Row],[V8 Push back, ml]]</f>
        <v>43.5</v>
      </c>
      <c r="AG396" s="94">
        <f>Table3.110[[#This Row],[GP 8h, ml]]-(AVERAGE(AE$293,AE$294,AE$385,AE$386,AE$477,AE$478))*$AG$8</f>
        <v>30.246240428868305</v>
      </c>
      <c r="AH396" s="94">
        <f>Table3.110[[#This Row],[GP 8-24h, ml]]-(AVERAGE(AF$293,AF$294,AF$385,AF$386,AF$477,AF$478))*$AG$8</f>
        <v>41.50873479879084</v>
      </c>
      <c r="AI396" s="94">
        <f>Table3.110[[#This Row],[Net gas 8-24h, ml]]+Table3.110[[#This Row],[Net gas 8h, ml]]</f>
        <v>71.754975227659145</v>
      </c>
      <c r="AJ396" s="94">
        <f>Table3.110[[#This Row],[Net gas 8h, ml]]*Table3.110[[#This Row],[CH4 8h %]]%</f>
        <v>3.8412725344662748</v>
      </c>
      <c r="AK396" s="94">
        <f>Table3.110[[#This Row],[Net gas 8-24h, ml]]*Table3.110[[#This Row],[CH4 24h, %]]%</f>
        <v>6.1848014850198352</v>
      </c>
      <c r="AL396" s="94">
        <f>Table3.110[[#This Row],[CH4 8-24h, ml]]+Table3.110[[#This Row],[CH4 8h, ml]]</f>
        <v>10.02607401948611</v>
      </c>
      <c r="AM396" s="94">
        <f>(Table3.110[[#This Row],[Net gas 24h, ml]]/Table3.110[[#This Row],[DM Incubated, mg]])*1000</f>
        <v>154.31540592211343</v>
      </c>
      <c r="AN396" s="94">
        <f>'3.2 Digest'!X396</f>
        <v>49.525693995418926</v>
      </c>
      <c r="AO396" s="94">
        <f>Table3.110[[#This Row],[Digested feed, mg]]/Table3.110[[#This Row],[Net gas 24h, ml]]</f>
        <v>3.2093810530113691</v>
      </c>
      <c r="AP396" s="94">
        <f>Table3.110[[#This Row],[CH4 8h, ml]]/Table3.110[[#This Row],[Net gas 8h, ml]]%</f>
        <v>12.700000000000001</v>
      </c>
      <c r="AQ396" s="94">
        <f>Table3.110[[#This Row],[CH4 24h, ml]]/Table3.110[[#This Row],[Net gas 24h, ml]]%</f>
        <v>13.97265344692279</v>
      </c>
      <c r="AR396" s="94">
        <f>Table3.110[[#This Row],[CH4 24h, ml]]/Table3.110[[#This Row],[DM Incubated, mg]]*1000</f>
        <v>21.561956884709076</v>
      </c>
      <c r="AS396" s="94">
        <f>Table3.110[[#This Row],[CH4 24h, ml]]/Table3.110[[#This Row],[Digested feed, mg]]*1000</f>
        <v>43.536910127303898</v>
      </c>
      <c r="AT396" s="94">
        <f>Table3.110[[#This Row],[CH4 24h, ml]]/'3.2 Digest'!AA396</f>
        <v>5.3515608659344922</v>
      </c>
      <c r="AU396" s="94">
        <f>((Table3.110[[#This Row],[CH4 24h, ml]]/28.9)*16.04)/Table3.110[[#This Row],[DM Incubated, mg]]*1000</f>
        <v>11.967259115250297</v>
      </c>
      <c r="AV396" s="94">
        <f>((Table3.110[[#This Row],[CH4 24h, ml]]/28.9)*16.04)/Table3.110[[#This Row],[Digested feed, mg]]*1000</f>
        <v>24.163738354392883</v>
      </c>
      <c r="AW396" s="303"/>
    </row>
    <row r="397" spans="1:49" s="304" customFormat="1" x14ac:dyDescent="0.35">
      <c r="A397" s="89"/>
      <c r="B397" s="90">
        <f t="shared" si="6"/>
        <v>387</v>
      </c>
      <c r="C397" s="140">
        <v>46048</v>
      </c>
      <c r="D397" s="6" t="s">
        <v>16</v>
      </c>
      <c r="E397" s="6" t="s">
        <v>230</v>
      </c>
      <c r="F397" s="133" t="s">
        <v>226</v>
      </c>
      <c r="G397" s="133" t="s">
        <v>231</v>
      </c>
      <c r="H397" s="133" t="s">
        <v>232</v>
      </c>
      <c r="I397" s="133" t="s">
        <v>22</v>
      </c>
      <c r="J397" s="132" t="s">
        <v>23</v>
      </c>
      <c r="K397" s="133" t="s">
        <v>215</v>
      </c>
      <c r="L397" s="6" t="s">
        <v>229</v>
      </c>
      <c r="M397" s="93">
        <v>28</v>
      </c>
      <c r="N397" s="93">
        <v>60</v>
      </c>
      <c r="O397" s="6">
        <v>1</v>
      </c>
      <c r="P397" s="129">
        <v>2</v>
      </c>
      <c r="Q397" s="6">
        <v>45</v>
      </c>
      <c r="R397" s="98">
        <v>0.50039999999999996</v>
      </c>
      <c r="S397" s="94">
        <f>((Table3.110[[#This Row],[Sample weight, g]]*'2.1. DM'!Q143)/100)*1000</f>
        <v>465.36104920131339</v>
      </c>
      <c r="T397" s="94">
        <f>'3.2 Digest'!W397</f>
        <v>192.06104920131338</v>
      </c>
      <c r="U397" s="117">
        <v>0.38333333333333336</v>
      </c>
      <c r="V397" s="155">
        <v>41.5</v>
      </c>
      <c r="W397" s="117">
        <v>0.71527777777777779</v>
      </c>
      <c r="X397" s="96">
        <v>71.5</v>
      </c>
      <c r="Y397" s="96">
        <v>12.2</v>
      </c>
      <c r="Z397" s="155">
        <v>40</v>
      </c>
      <c r="AA397" s="117">
        <v>0.38472222222222224</v>
      </c>
      <c r="AB397" s="155">
        <v>85</v>
      </c>
      <c r="AC397" s="155">
        <v>14.6</v>
      </c>
      <c r="AD397" s="96"/>
      <c r="AE397" s="94">
        <f>Table3.110[[#This Row],[Gas 8h, ml]]-Table3.110[[#This Row],[Gas 0h, ml]]</f>
        <v>30</v>
      </c>
      <c r="AF397" s="94">
        <f>Table3.110[[#This Row],[Gas 24h, ml]]-Table3.110[[#This Row],[V8 Push back, ml]]</f>
        <v>45</v>
      </c>
      <c r="AG397" s="94">
        <f>Table3.110[[#This Row],[GP 8h, ml]]-(AVERAGE(AE$293,AE$294,AE$385,AE$386,AE$477,AE$478))*$AG$8</f>
        <v>28.746240428868305</v>
      </c>
      <c r="AH397" s="94">
        <f>Table3.110[[#This Row],[GP 8-24h, ml]]-(AVERAGE(AF$293,AF$294,AF$385,AF$386,AF$477,AF$478))*$AG$8</f>
        <v>43.00873479879084</v>
      </c>
      <c r="AI397" s="94">
        <f>Table3.110[[#This Row],[Net gas 8-24h, ml]]+Table3.110[[#This Row],[Net gas 8h, ml]]</f>
        <v>71.754975227659145</v>
      </c>
      <c r="AJ397" s="94">
        <f>Table3.110[[#This Row],[Net gas 8h, ml]]*Table3.110[[#This Row],[CH4 8h %]]%</f>
        <v>3.5070413323219332</v>
      </c>
      <c r="AK397" s="94">
        <f>Table3.110[[#This Row],[Net gas 8-24h, ml]]*Table3.110[[#This Row],[CH4 24h, %]]%</f>
        <v>6.2792752806234624</v>
      </c>
      <c r="AL397" s="94">
        <f>Table3.110[[#This Row],[CH4 8-24h, ml]]+Table3.110[[#This Row],[CH4 8h, ml]]</f>
        <v>9.7863166129453951</v>
      </c>
      <c r="AM397" s="94">
        <f>(Table3.110[[#This Row],[Net gas 24h, ml]]/Table3.110[[#This Row],[DM Incubated, mg]])*1000</f>
        <v>154.19205228028918</v>
      </c>
      <c r="AN397" s="94">
        <f>'3.2 Digest'!X397</f>
        <v>41.271406262071693</v>
      </c>
      <c r="AO397" s="94">
        <f>Table3.110[[#This Row],[Digested feed, mg]]/Table3.110[[#This Row],[Net gas 24h, ml]]</f>
        <v>2.6766234479484603</v>
      </c>
      <c r="AP397" s="94">
        <f>Table3.110[[#This Row],[CH4 8h, ml]]/Table3.110[[#This Row],[Net gas 8h, ml]]%</f>
        <v>12.200000000000001</v>
      </c>
      <c r="AQ397" s="94">
        <f>Table3.110[[#This Row],[CH4 24h, ml]]/Table3.110[[#This Row],[Net gas 24h, ml]]%</f>
        <v>13.638519951956024</v>
      </c>
      <c r="AR397" s="94">
        <f>Table3.110[[#This Row],[CH4 24h, ml]]/Table3.110[[#This Row],[DM Incubated, mg]]*1000</f>
        <v>21.029513814577705</v>
      </c>
      <c r="AS397" s="94">
        <f>Table3.110[[#This Row],[CH4 24h, ml]]/Table3.110[[#This Row],[Digested feed, mg]]*1000</f>
        <v>50.954197395264842</v>
      </c>
      <c r="AT397" s="94">
        <f>Table3.110[[#This Row],[CH4 24h, ml]]/'3.2 Digest'!AA397</f>
        <v>-0.69046190830715604</v>
      </c>
      <c r="AU397" s="94">
        <f>((Table3.110[[#This Row],[CH4 24h, ml]]/28.9)*16.04)/Table3.110[[#This Row],[DM Incubated, mg]]*1000</f>
        <v>11.671743999509564</v>
      </c>
      <c r="AV397" s="94">
        <f>((Table3.110[[#This Row],[CH4 24h, ml]]/28.9)*16.04)/Table3.110[[#This Row],[Digested feed, mg]]*1000</f>
        <v>28.280461114880559</v>
      </c>
      <c r="AW397" s="303"/>
    </row>
    <row r="398" spans="1:49" s="304" customFormat="1" x14ac:dyDescent="0.35">
      <c r="A398" s="89"/>
      <c r="B398" s="90">
        <f t="shared" si="6"/>
        <v>388</v>
      </c>
      <c r="C398" s="140">
        <v>46048</v>
      </c>
      <c r="D398" s="6" t="s">
        <v>16</v>
      </c>
      <c r="E398" s="6" t="s">
        <v>230</v>
      </c>
      <c r="F398" s="133" t="s">
        <v>226</v>
      </c>
      <c r="G398" s="133" t="s">
        <v>231</v>
      </c>
      <c r="H398" s="133" t="s">
        <v>232</v>
      </c>
      <c r="I398" s="133" t="s">
        <v>22</v>
      </c>
      <c r="J398" s="132" t="s">
        <v>23</v>
      </c>
      <c r="K398" s="133" t="s">
        <v>215</v>
      </c>
      <c r="L398" s="6" t="s">
        <v>229</v>
      </c>
      <c r="M398" s="93">
        <v>28</v>
      </c>
      <c r="N398" s="93">
        <v>60</v>
      </c>
      <c r="O398" s="6">
        <v>1</v>
      </c>
      <c r="P398" s="6">
        <v>3</v>
      </c>
      <c r="Q398" s="6">
        <v>46</v>
      </c>
      <c r="R398" s="98">
        <v>0.50019999999999998</v>
      </c>
      <c r="S398" s="94">
        <f>((Table3.110[[#This Row],[Sample weight, g]]*'2.1. DM'!Q143)/100)*1000</f>
        <v>465.17505357813138</v>
      </c>
      <c r="T398" s="94">
        <f>'3.2 Digest'!W398</f>
        <v>140.57505357813136</v>
      </c>
      <c r="U398" s="153">
        <v>0.3840277777777778</v>
      </c>
      <c r="V398" s="154">
        <v>40.5</v>
      </c>
      <c r="W398" s="153">
        <v>0.71597222222222223</v>
      </c>
      <c r="X398" s="91">
        <v>73</v>
      </c>
      <c r="Y398" s="91">
        <v>13</v>
      </c>
      <c r="Z398" s="154">
        <v>40.5</v>
      </c>
      <c r="AA398" s="153">
        <v>0.38541666666666669</v>
      </c>
      <c r="AB398" s="154">
        <v>84.5</v>
      </c>
      <c r="AC398" s="154">
        <v>15</v>
      </c>
      <c r="AD398" s="91"/>
      <c r="AE398" s="94">
        <f>Table3.110[[#This Row],[Gas 8h, ml]]-Table3.110[[#This Row],[Gas 0h, ml]]</f>
        <v>32.5</v>
      </c>
      <c r="AF398" s="94">
        <f>Table3.110[[#This Row],[Gas 24h, ml]]-Table3.110[[#This Row],[V8 Push back, ml]]</f>
        <v>44</v>
      </c>
      <c r="AG398" s="94">
        <f>Table3.110[[#This Row],[GP 8h, ml]]-(AVERAGE(AE$293,AE$294,AE$385,AE$386,AE$477,AE$478))*$AG$8</f>
        <v>31.246240428868305</v>
      </c>
      <c r="AH398" s="94">
        <f>Table3.110[[#This Row],[GP 8-24h, ml]]-(AVERAGE(AF$293,AF$294,AF$385,AF$386,AF$477,AF$478))*$AG$8</f>
        <v>42.00873479879084</v>
      </c>
      <c r="AI398" s="94">
        <f>Table3.110[[#This Row],[Net gas 8-24h, ml]]+Table3.110[[#This Row],[Net gas 8h, ml]]</f>
        <v>73.254975227659145</v>
      </c>
      <c r="AJ398" s="94">
        <f>Table3.110[[#This Row],[Net gas 8h, ml]]*Table3.110[[#This Row],[CH4 8h %]]%</f>
        <v>4.0620112557528794</v>
      </c>
      <c r="AK398" s="94">
        <f>Table3.110[[#This Row],[Net gas 8-24h, ml]]*Table3.110[[#This Row],[CH4 24h, %]]%</f>
        <v>6.3013102198186255</v>
      </c>
      <c r="AL398" s="94">
        <f>Table3.110[[#This Row],[CH4 8-24h, ml]]+Table3.110[[#This Row],[CH4 8h, ml]]</f>
        <v>10.363321475571505</v>
      </c>
      <c r="AM398" s="94">
        <f>(Table3.110[[#This Row],[Net gas 24h, ml]]/Table3.110[[#This Row],[DM Incubated, mg]])*1000</f>
        <v>157.47829696408076</v>
      </c>
      <c r="AN398" s="94">
        <f>'3.2 Digest'!X398</f>
        <v>30.219817786191793</v>
      </c>
      <c r="AO398" s="94">
        <f>Table3.110[[#This Row],[Digested feed, mg]]/Table3.110[[#This Row],[Net gas 24h, ml]]</f>
        <v>1.9189830198052396</v>
      </c>
      <c r="AP398" s="94">
        <f>Table3.110[[#This Row],[CH4 8h, ml]]/Table3.110[[#This Row],[Net gas 8h, ml]]%</f>
        <v>13</v>
      </c>
      <c r="AQ398" s="94">
        <f>Table3.110[[#This Row],[CH4 24h, ml]]/Table3.110[[#This Row],[Net gas 24h, ml]]%</f>
        <v>14.146918271919077</v>
      </c>
      <c r="AR398" s="94">
        <f>Table3.110[[#This Row],[CH4 24h, ml]]/Table3.110[[#This Row],[DM Incubated, mg]]*1000</f>
        <v>22.278325967518526</v>
      </c>
      <c r="AS398" s="94">
        <f>Table3.110[[#This Row],[CH4 24h, ml]]/Table3.110[[#This Row],[Digested feed, mg]]*1000</f>
        <v>73.720914285916237</v>
      </c>
      <c r="AT398" s="94">
        <f>Table3.110[[#This Row],[CH4 24h, ml]]/'3.2 Digest'!AA398</f>
        <v>-0.29062415258331631</v>
      </c>
      <c r="AU398" s="94">
        <f>((Table3.110[[#This Row],[CH4 24h, ml]]/28.9)*16.04)/Table3.110[[#This Row],[DM Incubated, mg]]*1000</f>
        <v>12.364856350138307</v>
      </c>
      <c r="AV398" s="94">
        <f>((Table3.110[[#This Row],[CH4 24h, ml]]/28.9)*16.04)/Table3.110[[#This Row],[Digested feed, mg]]*1000</f>
        <v>40.916382877027559</v>
      </c>
      <c r="AW398" s="303"/>
    </row>
    <row r="399" spans="1:49" s="304" customFormat="1" x14ac:dyDescent="0.35">
      <c r="A399" s="89"/>
      <c r="B399" s="90">
        <f t="shared" si="6"/>
        <v>389</v>
      </c>
      <c r="C399" s="140">
        <v>46048</v>
      </c>
      <c r="D399" s="6" t="s">
        <v>16</v>
      </c>
      <c r="E399" s="6" t="s">
        <v>234</v>
      </c>
      <c r="F399" s="133" t="s">
        <v>235</v>
      </c>
      <c r="G399" s="133" t="s">
        <v>236</v>
      </c>
      <c r="H399" s="133" t="s">
        <v>237</v>
      </c>
      <c r="I399" s="133" t="s">
        <v>22</v>
      </c>
      <c r="J399" s="132" t="s">
        <v>23</v>
      </c>
      <c r="K399" s="133" t="s">
        <v>215</v>
      </c>
      <c r="L399" s="6" t="s">
        <v>233</v>
      </c>
      <c r="M399" s="93">
        <v>28</v>
      </c>
      <c r="N399" s="93">
        <v>60</v>
      </c>
      <c r="O399" s="6">
        <v>1</v>
      </c>
      <c r="P399" s="129">
        <v>1</v>
      </c>
      <c r="Q399" s="6">
        <v>47</v>
      </c>
      <c r="R399" s="98">
        <v>0.5</v>
      </c>
      <c r="S399" s="94">
        <f>((Table3.110[[#This Row],[Sample weight, g]]*'2.1. DM'!Q145)/100)*1000</f>
        <v>444.23901772157853</v>
      </c>
      <c r="T399" s="94">
        <f>'3.2 Digest'!W399</f>
        <v>199.43901772157852</v>
      </c>
      <c r="U399" s="117">
        <v>0.3840277777777778</v>
      </c>
      <c r="V399" s="155">
        <v>41</v>
      </c>
      <c r="W399" s="117">
        <v>0.71597222222222223</v>
      </c>
      <c r="X399" s="96">
        <v>83.5</v>
      </c>
      <c r="Y399" s="96">
        <v>13.6</v>
      </c>
      <c r="Z399" s="155">
        <v>40</v>
      </c>
      <c r="AA399" s="117">
        <v>0.38541666666666669</v>
      </c>
      <c r="AB399" s="155">
        <v>91.5</v>
      </c>
      <c r="AC399" s="155">
        <v>15.9</v>
      </c>
      <c r="AD399" s="96"/>
      <c r="AE399" s="94">
        <f>Table3.110[[#This Row],[Gas 8h, ml]]-Table3.110[[#This Row],[Gas 0h, ml]]</f>
        <v>42.5</v>
      </c>
      <c r="AF399" s="94">
        <f>Table3.110[[#This Row],[Gas 24h, ml]]-Table3.110[[#This Row],[V8 Push back, ml]]</f>
        <v>51.5</v>
      </c>
      <c r="AG399" s="94">
        <f>Table3.110[[#This Row],[GP 8h, ml]]-(AVERAGE(AE$293,AE$294,AE$385,AE$386,AE$477,AE$478))*$AG$8</f>
        <v>41.246240428868305</v>
      </c>
      <c r="AH399" s="94">
        <f>Table3.110[[#This Row],[GP 8-24h, ml]]-(AVERAGE(AF$293,AF$294,AF$385,AF$386,AF$477,AF$478))*$AG$8</f>
        <v>49.50873479879084</v>
      </c>
      <c r="AI399" s="94">
        <f>Table3.110[[#This Row],[Net gas 8-24h, ml]]+Table3.110[[#This Row],[Net gas 8h, ml]]</f>
        <v>90.754975227659145</v>
      </c>
      <c r="AJ399" s="94">
        <f>Table3.110[[#This Row],[Net gas 8h, ml]]*Table3.110[[#This Row],[CH4 8h %]]%</f>
        <v>5.6094886983260901</v>
      </c>
      <c r="AK399" s="94">
        <f>Table3.110[[#This Row],[Net gas 8-24h, ml]]*Table3.110[[#This Row],[CH4 24h, %]]%</f>
        <v>7.8718888330077439</v>
      </c>
      <c r="AL399" s="94">
        <f>Table3.110[[#This Row],[CH4 8-24h, ml]]+Table3.110[[#This Row],[CH4 8h, ml]]</f>
        <v>13.481377531333834</v>
      </c>
      <c r="AM399" s="94">
        <f>(Table3.110[[#This Row],[Net gas 24h, ml]]/Table3.110[[#This Row],[DM Incubated, mg]])*1000</f>
        <v>204.29312061134337</v>
      </c>
      <c r="AN399" s="94">
        <f>'3.2 Digest'!X399</f>
        <v>44.89452969360169</v>
      </c>
      <c r="AO399" s="94">
        <f>Table3.110[[#This Row],[Digested feed, mg]]/Table3.110[[#This Row],[Net gas 24h, ml]]</f>
        <v>2.1975546488915358</v>
      </c>
      <c r="AP399" s="94">
        <f>Table3.110[[#This Row],[CH4 8h, ml]]/Table3.110[[#This Row],[Net gas 8h, ml]]%</f>
        <v>13.600000000000001</v>
      </c>
      <c r="AQ399" s="94">
        <f>Table3.110[[#This Row],[CH4 24h, ml]]/Table3.110[[#This Row],[Net gas 24h, ml]]%</f>
        <v>14.854698045496411</v>
      </c>
      <c r="AR399" s="94">
        <f>Table3.110[[#This Row],[CH4 24h, ml]]/Table3.110[[#This Row],[DM Incubated, mg]]*1000</f>
        <v>30.347126194536848</v>
      </c>
      <c r="AS399" s="94">
        <f>Table3.110[[#This Row],[CH4 24h, ml]]/Table3.110[[#This Row],[Digested feed, mg]]*1000</f>
        <v>67.596489821034666</v>
      </c>
      <c r="AT399" s="94">
        <f>Table3.110[[#This Row],[CH4 24h, ml]]/'3.2 Digest'!AA399</f>
        <v>-1.7115271023164293</v>
      </c>
      <c r="AU399" s="94">
        <f>((Table3.110[[#This Row],[CH4 24h, ml]]/28.9)*16.04)/Table3.110[[#This Row],[DM Incubated, mg]]*1000</f>
        <v>16.843180074753324</v>
      </c>
      <c r="AV399" s="94">
        <f>((Table3.110[[#This Row],[CH4 24h, ml]]/28.9)*16.04)/Table3.110[[#This Row],[Digested feed, mg]]*1000</f>
        <v>37.517221340117516</v>
      </c>
      <c r="AW399" s="303"/>
    </row>
    <row r="400" spans="1:49" s="304" customFormat="1" x14ac:dyDescent="0.35">
      <c r="A400" s="89"/>
      <c r="B400" s="90">
        <f t="shared" si="6"/>
        <v>390</v>
      </c>
      <c r="C400" s="140">
        <v>46048</v>
      </c>
      <c r="D400" s="6" t="s">
        <v>16</v>
      </c>
      <c r="E400" s="6" t="s">
        <v>234</v>
      </c>
      <c r="F400" s="133" t="s">
        <v>235</v>
      </c>
      <c r="G400" s="133" t="s">
        <v>236</v>
      </c>
      <c r="H400" s="133" t="s">
        <v>237</v>
      </c>
      <c r="I400" s="133" t="s">
        <v>22</v>
      </c>
      <c r="J400" s="132" t="s">
        <v>23</v>
      </c>
      <c r="K400" s="133" t="s">
        <v>215</v>
      </c>
      <c r="L400" s="6" t="s">
        <v>233</v>
      </c>
      <c r="M400" s="93">
        <v>28</v>
      </c>
      <c r="N400" s="93">
        <v>60</v>
      </c>
      <c r="O400" s="6">
        <v>1</v>
      </c>
      <c r="P400" s="129">
        <v>2</v>
      </c>
      <c r="Q400" s="6">
        <v>48</v>
      </c>
      <c r="R400" s="98">
        <v>0.50009999999999999</v>
      </c>
      <c r="S400" s="94">
        <f>((Table3.110[[#This Row],[Sample weight, g]]*'2.1. DM'!Q145)/100)*1000</f>
        <v>444.32786552512283</v>
      </c>
      <c r="T400" s="94">
        <f>'3.2 Digest'!W400</f>
        <v>230.9278655251228</v>
      </c>
      <c r="U400" s="117">
        <v>0.38472222222222224</v>
      </c>
      <c r="V400" s="154">
        <v>40.5</v>
      </c>
      <c r="W400" s="153">
        <v>0.71666666666666667</v>
      </c>
      <c r="X400" s="91">
        <v>86</v>
      </c>
      <c r="Y400" s="91">
        <v>13.1</v>
      </c>
      <c r="Z400" s="154">
        <v>40</v>
      </c>
      <c r="AA400" s="153">
        <v>0.38611111111111113</v>
      </c>
      <c r="AB400" s="154">
        <v>91</v>
      </c>
      <c r="AC400" s="154">
        <v>16</v>
      </c>
      <c r="AD400" s="91"/>
      <c r="AE400" s="94">
        <f>Table3.110[[#This Row],[Gas 8h, ml]]-Table3.110[[#This Row],[Gas 0h, ml]]</f>
        <v>45.5</v>
      </c>
      <c r="AF400" s="94">
        <f>Table3.110[[#This Row],[Gas 24h, ml]]-Table3.110[[#This Row],[V8 Push back, ml]]</f>
        <v>51</v>
      </c>
      <c r="AG400" s="94">
        <f>Table3.110[[#This Row],[GP 8h, ml]]-(AVERAGE(AE$293,AE$294,AE$385,AE$386,AE$477,AE$478))*$AG$8</f>
        <v>44.246240428868305</v>
      </c>
      <c r="AH400" s="94">
        <f>Table3.110[[#This Row],[GP 8-24h, ml]]-(AVERAGE(AF$293,AF$294,AF$385,AF$386,AF$477,AF$478))*$AG$8</f>
        <v>49.00873479879084</v>
      </c>
      <c r="AI400" s="94">
        <f>Table3.110[[#This Row],[Net gas 8-24h, ml]]+Table3.110[[#This Row],[Net gas 8h, ml]]</f>
        <v>93.254975227659145</v>
      </c>
      <c r="AJ400" s="94">
        <f>Table3.110[[#This Row],[Net gas 8h, ml]]*Table3.110[[#This Row],[CH4 8h %]]%</f>
        <v>5.7962574961817479</v>
      </c>
      <c r="AK400" s="94">
        <f>Table3.110[[#This Row],[Net gas 8-24h, ml]]*Table3.110[[#This Row],[CH4 24h, %]]%</f>
        <v>7.8413975678065349</v>
      </c>
      <c r="AL400" s="94">
        <f>Table3.110[[#This Row],[CH4 8-24h, ml]]+Table3.110[[#This Row],[CH4 8h, ml]]</f>
        <v>13.637655063988284</v>
      </c>
      <c r="AM400" s="94">
        <f>(Table3.110[[#This Row],[Net gas 24h, ml]]/Table3.110[[#This Row],[DM Incubated, mg]])*1000</f>
        <v>209.87874599637595</v>
      </c>
      <c r="AN400" s="94">
        <f>'3.2 Digest'!X400</f>
        <v>51.972402237749336</v>
      </c>
      <c r="AO400" s="94">
        <f>Table3.110[[#This Row],[Digested feed, mg]]/Table3.110[[#This Row],[Net gas 24h, ml]]</f>
        <v>2.4763061162299285</v>
      </c>
      <c r="AP400" s="94">
        <f>Table3.110[[#This Row],[CH4 8h, ml]]/Table3.110[[#This Row],[Net gas 8h, ml]]%</f>
        <v>13.1</v>
      </c>
      <c r="AQ400" s="94">
        <f>Table3.110[[#This Row],[CH4 24h, ml]]/Table3.110[[#This Row],[Net gas 24h, ml]]%</f>
        <v>14.624050921353305</v>
      </c>
      <c r="AR400" s="94">
        <f>Table3.110[[#This Row],[CH4 24h, ml]]/Table3.110[[#This Row],[DM Incubated, mg]]*1000</f>
        <v>30.69277468760778</v>
      </c>
      <c r="AS400" s="94">
        <f>Table3.110[[#This Row],[CH4 24h, ml]]/Table3.110[[#This Row],[Digested feed, mg]]*1000</f>
        <v>59.055909225059004</v>
      </c>
      <c r="AT400" s="94">
        <f>Table3.110[[#This Row],[CH4 24h, ml]]/'3.2 Digest'!AA400</f>
        <v>2.2808753513369879</v>
      </c>
      <c r="AU400" s="94">
        <f>((Table3.110[[#This Row],[CH4 24h, ml]]/28.9)*16.04)/Table3.110[[#This Row],[DM Incubated, mg]]*1000</f>
        <v>17.035020968485426</v>
      </c>
      <c r="AV400" s="94">
        <f>((Table3.110[[#This Row],[CH4 24h, ml]]/28.9)*16.04)/Table3.110[[#This Row],[Digested feed, mg]]*1000</f>
        <v>32.777051348441049</v>
      </c>
      <c r="AW400" s="303"/>
    </row>
    <row r="401" spans="1:49" s="304" customFormat="1" x14ac:dyDescent="0.35">
      <c r="A401" s="89"/>
      <c r="B401" s="90">
        <f t="shared" si="6"/>
        <v>391</v>
      </c>
      <c r="C401" s="140">
        <v>46048</v>
      </c>
      <c r="D401" s="6" t="s">
        <v>16</v>
      </c>
      <c r="E401" s="6" t="s">
        <v>234</v>
      </c>
      <c r="F401" s="133" t="s">
        <v>235</v>
      </c>
      <c r="G401" s="133" t="s">
        <v>236</v>
      </c>
      <c r="H401" s="133" t="s">
        <v>237</v>
      </c>
      <c r="I401" s="133" t="s">
        <v>22</v>
      </c>
      <c r="J401" s="132" t="s">
        <v>23</v>
      </c>
      <c r="K401" s="133" t="s">
        <v>215</v>
      </c>
      <c r="L401" s="6" t="s">
        <v>233</v>
      </c>
      <c r="M401" s="93">
        <v>28</v>
      </c>
      <c r="N401" s="93">
        <v>60</v>
      </c>
      <c r="O401" s="6">
        <v>1</v>
      </c>
      <c r="P401" s="6">
        <v>3</v>
      </c>
      <c r="Q401" s="6">
        <v>49</v>
      </c>
      <c r="R401" s="98">
        <v>0.50019999999999998</v>
      </c>
      <c r="S401" s="94">
        <f>((Table3.110[[#This Row],[Sample weight, g]]*'2.1. DM'!Q145)/100)*1000</f>
        <v>444.41671332866719</v>
      </c>
      <c r="T401" s="94">
        <f>'3.2 Digest'!W401</f>
        <v>207.91671332866713</v>
      </c>
      <c r="U401" s="117">
        <v>0.38472222222222224</v>
      </c>
      <c r="V401" s="155">
        <v>40.5</v>
      </c>
      <c r="W401" s="117">
        <v>0.71736111111111112</v>
      </c>
      <c r="X401" s="96">
        <v>86</v>
      </c>
      <c r="Y401" s="96">
        <v>13.1</v>
      </c>
      <c r="Z401" s="155">
        <v>40</v>
      </c>
      <c r="AA401" s="117">
        <v>0.38611111111111113</v>
      </c>
      <c r="AB401" s="155">
        <v>94.5</v>
      </c>
      <c r="AC401" s="155">
        <v>15.8</v>
      </c>
      <c r="AD401" s="96"/>
      <c r="AE401" s="94">
        <f>Table3.110[[#This Row],[Gas 8h, ml]]-Table3.110[[#This Row],[Gas 0h, ml]]</f>
        <v>45.5</v>
      </c>
      <c r="AF401" s="94">
        <f>Table3.110[[#This Row],[Gas 24h, ml]]-Table3.110[[#This Row],[V8 Push back, ml]]</f>
        <v>54.5</v>
      </c>
      <c r="AG401" s="94">
        <f>Table3.110[[#This Row],[GP 8h, ml]]-(AVERAGE(AE$293,AE$294,AE$385,AE$386,AE$477,AE$478))*$AG$8</f>
        <v>44.246240428868305</v>
      </c>
      <c r="AH401" s="94">
        <f>Table3.110[[#This Row],[GP 8-24h, ml]]-(AVERAGE(AF$293,AF$294,AF$385,AF$386,AF$477,AF$478))*$AG$8</f>
        <v>52.50873479879084</v>
      </c>
      <c r="AI401" s="94">
        <f>Table3.110[[#This Row],[Net gas 8-24h, ml]]+Table3.110[[#This Row],[Net gas 8h, ml]]</f>
        <v>96.754975227659145</v>
      </c>
      <c r="AJ401" s="94">
        <f>Table3.110[[#This Row],[Net gas 8h, ml]]*Table3.110[[#This Row],[CH4 8h %]]%</f>
        <v>5.7962574961817479</v>
      </c>
      <c r="AK401" s="94">
        <f>Table3.110[[#This Row],[Net gas 8-24h, ml]]*Table3.110[[#This Row],[CH4 24h, %]]%</f>
        <v>8.2963800982089531</v>
      </c>
      <c r="AL401" s="94">
        <f>Table3.110[[#This Row],[CH4 8-24h, ml]]+Table3.110[[#This Row],[CH4 8h, ml]]</f>
        <v>14.092637594390702</v>
      </c>
      <c r="AM401" s="94">
        <f>(Table3.110[[#This Row],[Net gas 24h, ml]]/Table3.110[[#This Row],[DM Incubated, mg]])*1000</f>
        <v>217.71227842213096</v>
      </c>
      <c r="AN401" s="94">
        <f>'3.2 Digest'!X401</f>
        <v>46.78417959832732</v>
      </c>
      <c r="AO401" s="94">
        <f>Table3.110[[#This Row],[Digested feed, mg]]/Table3.110[[#This Row],[Net gas 24h, ml]]</f>
        <v>2.148899452864832</v>
      </c>
      <c r="AP401" s="94">
        <f>Table3.110[[#This Row],[CH4 8h, ml]]/Table3.110[[#This Row],[Net gas 8h, ml]]%</f>
        <v>13.1</v>
      </c>
      <c r="AQ401" s="94">
        <f>Table3.110[[#This Row],[CH4 24h, ml]]/Table3.110[[#This Row],[Net gas 24h, ml]]%</f>
        <v>14.565284690768097</v>
      </c>
      <c r="AR401" s="94">
        <f>Table3.110[[#This Row],[CH4 24h, ml]]/Table3.110[[#This Row],[DM Incubated, mg]]*1000</f>
        <v>31.710413158941055</v>
      </c>
      <c r="AS401" s="94">
        <f>Table3.110[[#This Row],[CH4 24h, ml]]/Table3.110[[#This Row],[Digested feed, mg]]*1000</f>
        <v>67.780205683193799</v>
      </c>
      <c r="AT401" s="94">
        <f>Table3.110[[#This Row],[CH4 24h, ml]]/'3.2 Digest'!AA401</f>
        <v>-3.3734190878303596</v>
      </c>
      <c r="AU401" s="94">
        <f>((Table3.110[[#This Row],[CH4 24h, ml]]/28.9)*16.04)/Table3.110[[#This Row],[DM Incubated, mg]]*1000</f>
        <v>17.599827926277321</v>
      </c>
      <c r="AV401" s="94">
        <f>((Table3.110[[#This Row],[CH4 24h, ml]]/28.9)*16.04)/Table3.110[[#This Row],[Digested feed, mg]]*1000</f>
        <v>37.619186822090967</v>
      </c>
      <c r="AW401" s="303"/>
    </row>
    <row r="402" spans="1:49" s="304" customFormat="1" x14ac:dyDescent="0.35">
      <c r="A402" s="89"/>
      <c r="B402" s="90">
        <f t="shared" si="6"/>
        <v>392</v>
      </c>
      <c r="C402" s="140">
        <v>46048</v>
      </c>
      <c r="D402" s="6" t="s">
        <v>16</v>
      </c>
      <c r="E402" s="6" t="s">
        <v>239</v>
      </c>
      <c r="F402" s="133" t="s">
        <v>240</v>
      </c>
      <c r="G402" s="133" t="s">
        <v>241</v>
      </c>
      <c r="H402" s="133" t="s">
        <v>242</v>
      </c>
      <c r="I402" s="133" t="s">
        <v>22</v>
      </c>
      <c r="J402" s="132" t="s">
        <v>23</v>
      </c>
      <c r="K402" s="133" t="s">
        <v>215</v>
      </c>
      <c r="L402" s="6" t="s">
        <v>238</v>
      </c>
      <c r="M402" s="93">
        <v>28</v>
      </c>
      <c r="N402" s="93">
        <v>60</v>
      </c>
      <c r="O402" s="6">
        <v>1</v>
      </c>
      <c r="P402" s="129">
        <v>1</v>
      </c>
      <c r="Q402" s="6">
        <v>50</v>
      </c>
      <c r="R402" s="98">
        <v>0.50019999999999998</v>
      </c>
      <c r="S402" s="94">
        <f>((Table3.110[[#This Row],[Sample weight, g]]*'2.1. DM'!Q147)/100)*1000</f>
        <v>460.04800729509282</v>
      </c>
      <c r="T402" s="94">
        <f>'3.2 Digest'!W402</f>
        <v>168.7480072950928</v>
      </c>
      <c r="U402" s="153">
        <v>0.38541666666666669</v>
      </c>
      <c r="V402" s="154">
        <v>40.5</v>
      </c>
      <c r="W402" s="153">
        <v>0.71805555555555556</v>
      </c>
      <c r="X402" s="91">
        <v>72.5</v>
      </c>
      <c r="Y402" s="91">
        <v>11.4</v>
      </c>
      <c r="Z402" s="154">
        <v>40</v>
      </c>
      <c r="AA402" s="153">
        <v>0.38680555555555557</v>
      </c>
      <c r="AB402" s="154">
        <v>85</v>
      </c>
      <c r="AC402" s="154">
        <v>15</v>
      </c>
      <c r="AD402" s="91"/>
      <c r="AE402" s="94">
        <f>Table3.110[[#This Row],[Gas 8h, ml]]-Table3.110[[#This Row],[Gas 0h, ml]]</f>
        <v>32</v>
      </c>
      <c r="AF402" s="94">
        <f>Table3.110[[#This Row],[Gas 24h, ml]]-Table3.110[[#This Row],[V8 Push back, ml]]</f>
        <v>45</v>
      </c>
      <c r="AG402" s="94">
        <f>Table3.110[[#This Row],[GP 8h, ml]]-(AVERAGE(AE$293,AE$294,AE$385,AE$386,AE$477,AE$478))*$AG$8</f>
        <v>30.746240428868305</v>
      </c>
      <c r="AH402" s="94">
        <f>Table3.110[[#This Row],[GP 8-24h, ml]]-(AVERAGE(AF$293,AF$294,AF$385,AF$386,AF$477,AF$478))*$AG$8</f>
        <v>43.00873479879084</v>
      </c>
      <c r="AI402" s="94">
        <f>Table3.110[[#This Row],[Net gas 8-24h, ml]]+Table3.110[[#This Row],[Net gas 8h, ml]]</f>
        <v>73.754975227659145</v>
      </c>
      <c r="AJ402" s="94">
        <f>Table3.110[[#This Row],[Net gas 8h, ml]]*Table3.110[[#This Row],[CH4 8h %]]%</f>
        <v>3.5050714088909869</v>
      </c>
      <c r="AK402" s="94">
        <f>Table3.110[[#This Row],[Net gas 8-24h, ml]]*Table3.110[[#This Row],[CH4 24h, %]]%</f>
        <v>6.4513102198186258</v>
      </c>
      <c r="AL402" s="94">
        <f>Table3.110[[#This Row],[CH4 8-24h, ml]]+Table3.110[[#This Row],[CH4 8h, ml]]</f>
        <v>9.9563816287096127</v>
      </c>
      <c r="AM402" s="94">
        <f>(Table3.110[[#This Row],[Net gas 24h, ml]]/Table3.110[[#This Row],[DM Incubated, mg]])*1000</f>
        <v>160.32017106499455</v>
      </c>
      <c r="AN402" s="94">
        <f>'3.2 Digest'!X402</f>
        <v>36.68052129760693</v>
      </c>
      <c r="AO402" s="94">
        <f>Table3.110[[#This Row],[Digested feed, mg]]/Table3.110[[#This Row],[Net gas 24h, ml]]</f>
        <v>2.2879542264670159</v>
      </c>
      <c r="AP402" s="94">
        <f>Table3.110[[#This Row],[CH4 8h, ml]]/Table3.110[[#This Row],[Net gas 8h, ml]]%</f>
        <v>11.4</v>
      </c>
      <c r="AQ402" s="94">
        <f>Table3.110[[#This Row],[CH4 24h, ml]]/Table3.110[[#This Row],[Net gas 24h, ml]]%</f>
        <v>13.499267809361056</v>
      </c>
      <c r="AR402" s="94">
        <f>Table3.110[[#This Row],[CH4 24h, ml]]/Table3.110[[#This Row],[DM Incubated, mg]]*1000</f>
        <v>21.642049244489389</v>
      </c>
      <c r="AS402" s="94">
        <f>Table3.110[[#This Row],[CH4 24h, ml]]/Table3.110[[#This Row],[Digested feed, mg]]*1000</f>
        <v>59.001476748099911</v>
      </c>
      <c r="AT402" s="94">
        <f>Table3.110[[#This Row],[CH4 24h, ml]]/'3.2 Digest'!AA402</f>
        <v>-0.92751814134087407</v>
      </c>
      <c r="AU402" s="94">
        <f>((Table3.110[[#This Row],[CH4 24h, ml]]/28.9)*16.04)/Table3.110[[#This Row],[DM Incubated, mg]]*1000</f>
        <v>12.011711760609336</v>
      </c>
      <c r="AV402" s="94">
        <f>((Table3.110[[#This Row],[CH4 24h, ml]]/28.9)*16.04)/Table3.110[[#This Row],[Digested feed, mg]]*1000</f>
        <v>32.746840381990403</v>
      </c>
      <c r="AW402" s="303"/>
    </row>
    <row r="403" spans="1:49" s="304" customFormat="1" x14ac:dyDescent="0.35">
      <c r="A403" s="89"/>
      <c r="B403" s="90">
        <f t="shared" si="6"/>
        <v>393</v>
      </c>
      <c r="C403" s="140">
        <v>46048</v>
      </c>
      <c r="D403" s="6" t="s">
        <v>16</v>
      </c>
      <c r="E403" s="6" t="s">
        <v>239</v>
      </c>
      <c r="F403" s="133" t="s">
        <v>240</v>
      </c>
      <c r="G403" s="133" t="s">
        <v>241</v>
      </c>
      <c r="H403" s="133" t="s">
        <v>242</v>
      </c>
      <c r="I403" s="133" t="s">
        <v>22</v>
      </c>
      <c r="J403" s="132" t="s">
        <v>23</v>
      </c>
      <c r="K403" s="133" t="s">
        <v>215</v>
      </c>
      <c r="L403" s="6" t="s">
        <v>238</v>
      </c>
      <c r="M403" s="93">
        <v>28</v>
      </c>
      <c r="N403" s="93">
        <v>60</v>
      </c>
      <c r="O403" s="6">
        <v>1</v>
      </c>
      <c r="P403" s="129">
        <v>2</v>
      </c>
      <c r="Q403" s="6">
        <v>51</v>
      </c>
      <c r="R403" s="98">
        <v>0.50039999999999996</v>
      </c>
      <c r="S403" s="94">
        <f>((Table3.110[[#This Row],[Sample weight, g]]*'2.1. DM'!Q147)/100)*1000</f>
        <v>460.23195291976094</v>
      </c>
      <c r="T403" s="94">
        <f>'3.2 Digest'!W403</f>
        <v>149.83195291976091</v>
      </c>
      <c r="U403" s="117">
        <v>0.38541666666666669</v>
      </c>
      <c r="V403" s="155">
        <v>40.5</v>
      </c>
      <c r="W403" s="117">
        <v>0.71875</v>
      </c>
      <c r="X403" s="96">
        <v>72.5</v>
      </c>
      <c r="Y403" s="96">
        <v>10.8</v>
      </c>
      <c r="Z403" s="155">
        <v>40</v>
      </c>
      <c r="AA403" s="117">
        <v>0.38680555555555557</v>
      </c>
      <c r="AB403" s="155">
        <v>89.5</v>
      </c>
      <c r="AC403" s="155">
        <v>14.5</v>
      </c>
      <c r="AD403" s="96"/>
      <c r="AE403" s="94">
        <f>Table3.110[[#This Row],[Gas 8h, ml]]-Table3.110[[#This Row],[Gas 0h, ml]]</f>
        <v>32</v>
      </c>
      <c r="AF403" s="94">
        <f>Table3.110[[#This Row],[Gas 24h, ml]]-Table3.110[[#This Row],[V8 Push back, ml]]</f>
        <v>49.5</v>
      </c>
      <c r="AG403" s="94">
        <f>Table3.110[[#This Row],[GP 8h, ml]]-(AVERAGE(AE$293,AE$294,AE$385,AE$386,AE$477,AE$478))*$AG$8</f>
        <v>30.746240428868305</v>
      </c>
      <c r="AH403" s="94">
        <f>Table3.110[[#This Row],[GP 8-24h, ml]]-(AVERAGE(AF$293,AF$294,AF$385,AF$386,AF$477,AF$478))*$AG$8</f>
        <v>47.50873479879084</v>
      </c>
      <c r="AI403" s="94">
        <f>Table3.110[[#This Row],[Net gas 8-24h, ml]]+Table3.110[[#This Row],[Net gas 8h, ml]]</f>
        <v>78.254975227659145</v>
      </c>
      <c r="AJ403" s="94">
        <f>Table3.110[[#This Row],[Net gas 8h, ml]]*Table3.110[[#This Row],[CH4 8h %]]%</f>
        <v>3.3205939663177775</v>
      </c>
      <c r="AK403" s="94">
        <f>Table3.110[[#This Row],[Net gas 8-24h, ml]]*Table3.110[[#This Row],[CH4 24h, %]]%</f>
        <v>6.8887665458246712</v>
      </c>
      <c r="AL403" s="94">
        <f>Table3.110[[#This Row],[CH4 8-24h, ml]]+Table3.110[[#This Row],[CH4 8h, ml]]</f>
        <v>10.20936051214245</v>
      </c>
      <c r="AM403" s="94">
        <f>(Table3.110[[#This Row],[Net gas 24h, ml]]/Table3.110[[#This Row],[DM Incubated, mg]])*1000</f>
        <v>170.03377260357777</v>
      </c>
      <c r="AN403" s="94">
        <f>'3.2 Digest'!X403</f>
        <v>32.555747589712297</v>
      </c>
      <c r="AO403" s="94">
        <f>Table3.110[[#This Row],[Digested feed, mg]]/Table3.110[[#This Row],[Net gas 24h, ml]]</f>
        <v>1.9146636042484229</v>
      </c>
      <c r="AP403" s="94">
        <f>Table3.110[[#This Row],[CH4 8h, ml]]/Table3.110[[#This Row],[Net gas 8h, ml]]%</f>
        <v>10.800000000000002</v>
      </c>
      <c r="AQ403" s="94">
        <f>Table3.110[[#This Row],[CH4 24h, ml]]/Table3.110[[#This Row],[Net gas 24h, ml]]%</f>
        <v>13.046276588090928</v>
      </c>
      <c r="AR403" s="94">
        <f>Table3.110[[#This Row],[CH4 24h, ml]]/Table3.110[[#This Row],[DM Incubated, mg]]*1000</f>
        <v>22.183076267028333</v>
      </c>
      <c r="AS403" s="94">
        <f>Table3.110[[#This Row],[CH4 24h, ml]]/Table3.110[[#This Row],[Digested feed, mg]]*1000</f>
        <v>68.138740189883535</v>
      </c>
      <c r="AT403" s="94">
        <f>Table3.110[[#This Row],[CH4 24h, ml]]/'3.2 Digest'!AA403</f>
        <v>-0.56883238606435704</v>
      </c>
      <c r="AU403" s="94">
        <f>((Table3.110[[#This Row],[CH4 24h, ml]]/28.9)*16.04)/Table3.110[[#This Row],[DM Incubated, mg]]*1000</f>
        <v>12.311991118447557</v>
      </c>
      <c r="AV403" s="94">
        <f>((Table3.110[[#This Row],[CH4 24h, ml]]/28.9)*16.04)/Table3.110[[#This Row],[Digested feed, mg]]*1000</f>
        <v>37.818179676322892</v>
      </c>
      <c r="AW403" s="303"/>
    </row>
    <row r="404" spans="1:49" s="304" customFormat="1" x14ac:dyDescent="0.35">
      <c r="A404" s="89"/>
      <c r="B404" s="90">
        <f t="shared" si="6"/>
        <v>394</v>
      </c>
      <c r="C404" s="140">
        <v>46048</v>
      </c>
      <c r="D404" s="6" t="s">
        <v>16</v>
      </c>
      <c r="E404" s="6" t="s">
        <v>239</v>
      </c>
      <c r="F404" s="133" t="s">
        <v>240</v>
      </c>
      <c r="G404" s="133" t="s">
        <v>241</v>
      </c>
      <c r="H404" s="133" t="s">
        <v>242</v>
      </c>
      <c r="I404" s="133" t="s">
        <v>22</v>
      </c>
      <c r="J404" s="132" t="s">
        <v>23</v>
      </c>
      <c r="K404" s="133" t="s">
        <v>215</v>
      </c>
      <c r="L404" s="6" t="s">
        <v>238</v>
      </c>
      <c r="M404" s="93">
        <v>28</v>
      </c>
      <c r="N404" s="93">
        <v>60</v>
      </c>
      <c r="O404" s="6">
        <v>1</v>
      </c>
      <c r="P404" s="6">
        <v>3</v>
      </c>
      <c r="Q404" s="6">
        <v>52</v>
      </c>
      <c r="R404" s="98">
        <v>0.50029999999999997</v>
      </c>
      <c r="S404" s="94">
        <f>((Table3.110[[#This Row],[Sample weight, g]]*'2.1. DM'!Q147)/100)*1000</f>
        <v>460.13998010742688</v>
      </c>
      <c r="T404" s="94">
        <f>'3.2 Digest'!W404</f>
        <v>152.93998010742683</v>
      </c>
      <c r="U404" s="153">
        <v>0.38611111111111113</v>
      </c>
      <c r="V404" s="154">
        <v>40.5</v>
      </c>
      <c r="W404" s="153">
        <v>0.71944444444444444</v>
      </c>
      <c r="X404" s="91">
        <v>72.5</v>
      </c>
      <c r="Y404" s="91">
        <v>10.9</v>
      </c>
      <c r="Z404" s="154">
        <v>40</v>
      </c>
      <c r="AA404" s="153">
        <v>0.38750000000000001</v>
      </c>
      <c r="AB404" s="154">
        <v>85</v>
      </c>
      <c r="AC404" s="154">
        <v>14.8</v>
      </c>
      <c r="AD404" s="91"/>
      <c r="AE404" s="94">
        <f>Table3.110[[#This Row],[Gas 8h, ml]]-Table3.110[[#This Row],[Gas 0h, ml]]</f>
        <v>32</v>
      </c>
      <c r="AF404" s="94">
        <f>Table3.110[[#This Row],[Gas 24h, ml]]-Table3.110[[#This Row],[V8 Push back, ml]]</f>
        <v>45</v>
      </c>
      <c r="AG404" s="94">
        <f>Table3.110[[#This Row],[GP 8h, ml]]-(AVERAGE(AE$293,AE$294,AE$385,AE$386,AE$477,AE$478))*$AG$8</f>
        <v>30.746240428868305</v>
      </c>
      <c r="AH404" s="94">
        <f>Table3.110[[#This Row],[GP 8-24h, ml]]-(AVERAGE(AF$293,AF$294,AF$385,AF$386,AF$477,AF$478))*$AG$8</f>
        <v>43.00873479879084</v>
      </c>
      <c r="AI404" s="94">
        <f>Table3.110[[#This Row],[Net gas 8-24h, ml]]+Table3.110[[#This Row],[Net gas 8h, ml]]</f>
        <v>73.754975227659145</v>
      </c>
      <c r="AJ404" s="94">
        <f>Table3.110[[#This Row],[Net gas 8h, ml]]*Table3.110[[#This Row],[CH4 8h %]]%</f>
        <v>3.3513402067466451</v>
      </c>
      <c r="AK404" s="94">
        <f>Table3.110[[#This Row],[Net gas 8-24h, ml]]*Table3.110[[#This Row],[CH4 24h, %]]%</f>
        <v>6.3652927502210455</v>
      </c>
      <c r="AL404" s="94">
        <f>Table3.110[[#This Row],[CH4 8-24h, ml]]+Table3.110[[#This Row],[CH4 8h, ml]]</f>
        <v>9.7166329569676897</v>
      </c>
      <c r="AM404" s="94">
        <f>(Table3.110[[#This Row],[Net gas 24h, ml]]/Table3.110[[#This Row],[DM Incubated, mg]])*1000</f>
        <v>160.28812625766597</v>
      </c>
      <c r="AN404" s="94">
        <f>'3.2 Digest'!X404</f>
        <v>33.237707375855621</v>
      </c>
      <c r="AO404" s="94">
        <f>Table3.110[[#This Row],[Digested feed, mg]]/Table3.110[[#This Row],[Net gas 24h, ml]]</f>
        <v>2.0736225540764903</v>
      </c>
      <c r="AP404" s="94">
        <f>Table3.110[[#This Row],[CH4 8h, ml]]/Table3.110[[#This Row],[Net gas 8h, ml]]%</f>
        <v>10.9</v>
      </c>
      <c r="AQ404" s="94">
        <f>Table3.110[[#This Row],[CH4 24h, ml]]/Table3.110[[#This Row],[Net gas 24h, ml]]%</f>
        <v>13.174206793474477</v>
      </c>
      <c r="AR404" s="94">
        <f>Table3.110[[#This Row],[CH4 24h, ml]]/Table3.110[[#This Row],[DM Incubated, mg]]*1000</f>
        <v>21.116689218570379</v>
      </c>
      <c r="AS404" s="94">
        <f>Table3.110[[#This Row],[CH4 24h, ml]]/Table3.110[[#This Row],[Digested feed, mg]]*1000</f>
        <v>63.532327846143389</v>
      </c>
      <c r="AT404" s="94">
        <f>Table3.110[[#This Row],[CH4 24h, ml]]/'3.2 Digest'!AA404</f>
        <v>-0.57991404495581267</v>
      </c>
      <c r="AU404" s="94">
        <f>((Table3.110[[#This Row],[CH4 24h, ml]]/28.9)*16.04)/Table3.110[[#This Row],[DM Incubated, mg]]*1000</f>
        <v>11.72012785695048</v>
      </c>
      <c r="AV404" s="94">
        <f>((Table3.110[[#This Row],[CH4 24h, ml]]/28.9)*16.04)/Table3.110[[#This Row],[Digested feed, mg]]*1000</f>
        <v>35.261541129831826</v>
      </c>
      <c r="AW404" s="303"/>
    </row>
    <row r="405" spans="1:49" s="304" customFormat="1" x14ac:dyDescent="0.35">
      <c r="A405" s="89"/>
      <c r="B405" s="90">
        <f t="shared" si="6"/>
        <v>395</v>
      </c>
      <c r="C405" s="140">
        <v>46048</v>
      </c>
      <c r="D405" s="6" t="s">
        <v>16</v>
      </c>
      <c r="E405" s="6" t="s">
        <v>244</v>
      </c>
      <c r="F405" s="133" t="s">
        <v>240</v>
      </c>
      <c r="G405" s="133" t="s">
        <v>245</v>
      </c>
      <c r="H405" s="133" t="s">
        <v>246</v>
      </c>
      <c r="I405" s="133" t="s">
        <v>22</v>
      </c>
      <c r="J405" s="132" t="s">
        <v>23</v>
      </c>
      <c r="K405" s="133" t="s">
        <v>215</v>
      </c>
      <c r="L405" s="6" t="s">
        <v>243</v>
      </c>
      <c r="M405" s="93">
        <v>28</v>
      </c>
      <c r="N405" s="93">
        <v>60</v>
      </c>
      <c r="O405" s="6">
        <v>1</v>
      </c>
      <c r="P405" s="129">
        <v>1</v>
      </c>
      <c r="Q405" s="6">
        <v>53</v>
      </c>
      <c r="R405" s="98">
        <v>0.50019999999999998</v>
      </c>
      <c r="S405" s="94">
        <f>((Table3.110[[#This Row],[Sample weight, g]]*'2.1. DM'!Q149)/100)*1000</f>
        <v>455.24781975538917</v>
      </c>
      <c r="T405" s="94">
        <f>'3.2 Digest'!W405</f>
        <v>166.24781975538912</v>
      </c>
      <c r="U405" s="117">
        <v>0.38611111111111113</v>
      </c>
      <c r="V405" s="155">
        <v>40.5</v>
      </c>
      <c r="W405" s="117">
        <v>0.72013888888888888</v>
      </c>
      <c r="X405" s="96">
        <v>76.5</v>
      </c>
      <c r="Y405" s="96">
        <v>11.2</v>
      </c>
      <c r="Z405" s="155">
        <v>40</v>
      </c>
      <c r="AA405" s="117">
        <v>0.38750000000000001</v>
      </c>
      <c r="AB405" s="155">
        <v>85.5</v>
      </c>
      <c r="AC405" s="155">
        <v>15.4</v>
      </c>
      <c r="AD405" s="96"/>
      <c r="AE405" s="94">
        <f>Table3.110[[#This Row],[Gas 8h, ml]]-Table3.110[[#This Row],[Gas 0h, ml]]</f>
        <v>36</v>
      </c>
      <c r="AF405" s="94">
        <f>Table3.110[[#This Row],[Gas 24h, ml]]-Table3.110[[#This Row],[V8 Push back, ml]]</f>
        <v>45.5</v>
      </c>
      <c r="AG405" s="94">
        <f>Table3.110[[#This Row],[GP 8h, ml]]-(AVERAGE(AE$293,AE$294,AE$385,AE$386,AE$477,AE$478))*$AG$8</f>
        <v>34.746240428868305</v>
      </c>
      <c r="AH405" s="94">
        <f>Table3.110[[#This Row],[GP 8-24h, ml]]-(AVERAGE(AF$293,AF$294,AF$385,AF$386,AF$477,AF$478))*$AG$8</f>
        <v>43.50873479879084</v>
      </c>
      <c r="AI405" s="94">
        <f>Table3.110[[#This Row],[Net gas 8-24h, ml]]+Table3.110[[#This Row],[Net gas 8h, ml]]</f>
        <v>78.254975227659145</v>
      </c>
      <c r="AJ405" s="94">
        <f>Table3.110[[#This Row],[Net gas 8h, ml]]*Table3.110[[#This Row],[CH4 8h %]]%</f>
        <v>3.8915789280332498</v>
      </c>
      <c r="AK405" s="94">
        <f>Table3.110[[#This Row],[Net gas 8-24h, ml]]*Table3.110[[#This Row],[CH4 24h, %]]%</f>
        <v>6.7003451590137892</v>
      </c>
      <c r="AL405" s="94">
        <f>Table3.110[[#This Row],[CH4 8-24h, ml]]+Table3.110[[#This Row],[CH4 8h, ml]]</f>
        <v>10.591924087047039</v>
      </c>
      <c r="AM405" s="94">
        <f>(Table3.110[[#This Row],[Net gas 24h, ml]]/Table3.110[[#This Row],[DM Incubated, mg]])*1000</f>
        <v>171.89533223839842</v>
      </c>
      <c r="AN405" s="94">
        <f>'3.2 Digest'!X405</f>
        <v>36.518092463290948</v>
      </c>
      <c r="AO405" s="94">
        <f>Table3.110[[#This Row],[Digested feed, mg]]/Table3.110[[#This Row],[Net gas 24h, ml]]</f>
        <v>2.1244377021619578</v>
      </c>
      <c r="AP405" s="94">
        <f>Table3.110[[#This Row],[CH4 8h, ml]]/Table3.110[[#This Row],[Net gas 8h, ml]]%</f>
        <v>11.2</v>
      </c>
      <c r="AQ405" s="94">
        <f>Table3.110[[#This Row],[CH4 24h, ml]]/Table3.110[[#This Row],[Net gas 24h, ml]]%</f>
        <v>13.535144642539397</v>
      </c>
      <c r="AR405" s="94">
        <f>Table3.110[[#This Row],[CH4 24h, ml]]/Table3.110[[#This Row],[DM Incubated, mg]]*1000</f>
        <v>23.266281852240883</v>
      </c>
      <c r="AS405" s="94">
        <f>Table3.110[[#This Row],[CH4 24h, ml]]/Table3.110[[#This Row],[Digested feed, mg]]*1000</f>
        <v>63.711657107032167</v>
      </c>
      <c r="AT405" s="94">
        <f>Table3.110[[#This Row],[CH4 24h, ml]]/'3.2 Digest'!AA405</f>
        <v>-1.8765930496981693</v>
      </c>
      <c r="AU405" s="94">
        <f>((Table3.110[[#This Row],[CH4 24h, ml]]/28.9)*16.04)/Table3.110[[#This Row],[DM Incubated, mg]]*1000</f>
        <v>12.913188958821582</v>
      </c>
      <c r="AV405" s="94">
        <f>((Table3.110[[#This Row],[CH4 24h, ml]]/28.9)*16.04)/Table3.110[[#This Row],[Digested feed, mg]]*1000</f>
        <v>35.361071972207469</v>
      </c>
      <c r="AW405" s="303"/>
    </row>
    <row r="406" spans="1:49" s="304" customFormat="1" x14ac:dyDescent="0.35">
      <c r="A406" s="89"/>
      <c r="B406" s="90">
        <f t="shared" si="6"/>
        <v>396</v>
      </c>
      <c r="C406" s="140">
        <v>46048</v>
      </c>
      <c r="D406" s="6" t="s">
        <v>16</v>
      </c>
      <c r="E406" s="6" t="s">
        <v>244</v>
      </c>
      <c r="F406" s="133" t="s">
        <v>240</v>
      </c>
      <c r="G406" s="133" t="s">
        <v>245</v>
      </c>
      <c r="H406" s="133" t="s">
        <v>246</v>
      </c>
      <c r="I406" s="133" t="s">
        <v>22</v>
      </c>
      <c r="J406" s="132" t="s">
        <v>23</v>
      </c>
      <c r="K406" s="133" t="s">
        <v>215</v>
      </c>
      <c r="L406" s="6" t="s">
        <v>243</v>
      </c>
      <c r="M406" s="93">
        <v>28</v>
      </c>
      <c r="N406" s="93">
        <v>60</v>
      </c>
      <c r="O406" s="6">
        <v>1</v>
      </c>
      <c r="P406" s="129">
        <v>2</v>
      </c>
      <c r="Q406" s="6">
        <v>54</v>
      </c>
      <c r="R406" s="98">
        <v>0.5</v>
      </c>
      <c r="S406" s="94">
        <f>((Table3.110[[#This Row],[Sample weight, g]]*'2.1. DM'!Q149)/100)*1000</f>
        <v>455.06579343801405</v>
      </c>
      <c r="T406" s="94">
        <f>'3.2 Digest'!W406</f>
        <v>129.66579343801413</v>
      </c>
      <c r="U406" s="153">
        <v>0.38680555555555557</v>
      </c>
      <c r="V406" s="154">
        <v>40.5</v>
      </c>
      <c r="W406" s="153">
        <v>0.72083333333333333</v>
      </c>
      <c r="X406" s="91">
        <v>75</v>
      </c>
      <c r="Y406" s="91">
        <v>10.9</v>
      </c>
      <c r="Z406" s="154">
        <v>40</v>
      </c>
      <c r="AA406" s="153">
        <v>0.38819444444444445</v>
      </c>
      <c r="AB406" s="154">
        <v>81.5</v>
      </c>
      <c r="AC406" s="154">
        <v>15.3</v>
      </c>
      <c r="AD406" s="91"/>
      <c r="AE406" s="94">
        <f>Table3.110[[#This Row],[Gas 8h, ml]]-Table3.110[[#This Row],[Gas 0h, ml]]</f>
        <v>34.5</v>
      </c>
      <c r="AF406" s="94">
        <f>Table3.110[[#This Row],[Gas 24h, ml]]-Table3.110[[#This Row],[V8 Push back, ml]]</f>
        <v>41.5</v>
      </c>
      <c r="AG406" s="94">
        <f>Table3.110[[#This Row],[GP 8h, ml]]-(AVERAGE(AE$293,AE$294,AE$385,AE$386,AE$477,AE$478))*$AG$8</f>
        <v>33.246240428868305</v>
      </c>
      <c r="AH406" s="94">
        <f>Table3.110[[#This Row],[GP 8-24h, ml]]-(AVERAGE(AF$293,AF$294,AF$385,AF$386,AF$477,AF$478))*$AG$8</f>
        <v>39.50873479879084</v>
      </c>
      <c r="AI406" s="94">
        <f>Table3.110[[#This Row],[Net gas 8-24h, ml]]+Table3.110[[#This Row],[Net gas 8h, ml]]</f>
        <v>72.754975227659145</v>
      </c>
      <c r="AJ406" s="94">
        <f>Table3.110[[#This Row],[Net gas 8h, ml]]*Table3.110[[#This Row],[CH4 8h %]]%</f>
        <v>3.6238402067466451</v>
      </c>
      <c r="AK406" s="94">
        <f>Table3.110[[#This Row],[Net gas 8-24h, ml]]*Table3.110[[#This Row],[CH4 24h, %]]%</f>
        <v>6.0448364242149983</v>
      </c>
      <c r="AL406" s="94">
        <f>Table3.110[[#This Row],[CH4 8-24h, ml]]+Table3.110[[#This Row],[CH4 8h, ml]]</f>
        <v>9.6686766309616434</v>
      </c>
      <c r="AM406" s="94">
        <f>(Table3.110[[#This Row],[Net gas 24h, ml]]/Table3.110[[#This Row],[DM Incubated, mg]])*1000</f>
        <v>159.87792595439132</v>
      </c>
      <c r="AN406" s="94">
        <f>'3.2 Digest'!X406</f>
        <v>28.493856340726325</v>
      </c>
      <c r="AO406" s="94">
        <f>Table3.110[[#This Row],[Digested feed, mg]]/Table3.110[[#This Row],[Net gas 24h, ml]]</f>
        <v>1.782225793250209</v>
      </c>
      <c r="AP406" s="94">
        <f>Table3.110[[#This Row],[CH4 8h, ml]]/Table3.110[[#This Row],[Net gas 8h, ml]]%</f>
        <v>10.899999999999999</v>
      </c>
      <c r="AQ406" s="94">
        <f>Table3.110[[#This Row],[CH4 24h, ml]]/Table3.110[[#This Row],[Net gas 24h, ml]]%</f>
        <v>13.289368322519774</v>
      </c>
      <c r="AR406" s="94">
        <f>Table3.110[[#This Row],[CH4 24h, ml]]/Table3.110[[#This Row],[DM Incubated, mg]]*1000</f>
        <v>21.2467664464845</v>
      </c>
      <c r="AS406" s="94">
        <f>Table3.110[[#This Row],[CH4 24h, ml]]/Table3.110[[#This Row],[Digested feed, mg]]*1000</f>
        <v>74.566131703683979</v>
      </c>
      <c r="AT406" s="94">
        <f>Table3.110[[#This Row],[CH4 24h, ml]]/'3.2 Digest'!AA406</f>
        <v>-0.50893487456244213</v>
      </c>
      <c r="AU406" s="94">
        <f>((Table3.110[[#This Row],[CH4 24h, ml]]/28.9)*16.04)/Table3.110[[#This Row],[DM Incubated, mg]]*1000</f>
        <v>11.79232296891389</v>
      </c>
      <c r="AV406" s="94">
        <f>((Table3.110[[#This Row],[CH4 24h, ml]]/28.9)*16.04)/Table3.110[[#This Row],[Digested feed, mg]]*1000</f>
        <v>41.38549316702737</v>
      </c>
      <c r="AW406" s="303"/>
    </row>
    <row r="407" spans="1:49" s="304" customFormat="1" x14ac:dyDescent="0.35">
      <c r="A407" s="89"/>
      <c r="B407" s="90">
        <f t="shared" si="6"/>
        <v>397</v>
      </c>
      <c r="C407" s="140">
        <v>46048</v>
      </c>
      <c r="D407" s="6" t="s">
        <v>16</v>
      </c>
      <c r="E407" s="6" t="s">
        <v>244</v>
      </c>
      <c r="F407" s="133" t="s">
        <v>240</v>
      </c>
      <c r="G407" s="133" t="s">
        <v>245</v>
      </c>
      <c r="H407" s="133" t="s">
        <v>246</v>
      </c>
      <c r="I407" s="133" t="s">
        <v>22</v>
      </c>
      <c r="J407" s="132" t="s">
        <v>23</v>
      </c>
      <c r="K407" s="133" t="s">
        <v>215</v>
      </c>
      <c r="L407" s="6" t="s">
        <v>243</v>
      </c>
      <c r="M407" s="93">
        <v>28</v>
      </c>
      <c r="N407" s="93">
        <v>60</v>
      </c>
      <c r="O407" s="6">
        <v>1</v>
      </c>
      <c r="P407" s="6">
        <v>3</v>
      </c>
      <c r="Q407" s="6">
        <v>55</v>
      </c>
      <c r="R407" s="98">
        <v>0.5</v>
      </c>
      <c r="S407" s="94">
        <f>((Table3.110[[#This Row],[Sample weight, g]]*'2.1. DM'!Q149)/100)*1000</f>
        <v>455.06579343801405</v>
      </c>
      <c r="T407" s="94">
        <f>'3.2 Digest'!W407</f>
        <v>155.2657934380141</v>
      </c>
      <c r="U407" s="117">
        <v>0.38680555555555557</v>
      </c>
      <c r="V407" s="155">
        <v>40.5</v>
      </c>
      <c r="W407" s="117">
        <v>0.72083333333333333</v>
      </c>
      <c r="X407" s="96">
        <v>77</v>
      </c>
      <c r="Y407" s="96">
        <v>11.9</v>
      </c>
      <c r="Z407" s="155">
        <v>40</v>
      </c>
      <c r="AA407" s="117">
        <v>0.38819444444444445</v>
      </c>
      <c r="AB407" s="155">
        <v>84</v>
      </c>
      <c r="AC407" s="155">
        <v>15.6</v>
      </c>
      <c r="AD407" s="96"/>
      <c r="AE407" s="94">
        <f>Table3.110[[#This Row],[Gas 8h, ml]]-Table3.110[[#This Row],[Gas 0h, ml]]</f>
        <v>36.5</v>
      </c>
      <c r="AF407" s="94">
        <f>Table3.110[[#This Row],[Gas 24h, ml]]-Table3.110[[#This Row],[V8 Push back, ml]]</f>
        <v>44</v>
      </c>
      <c r="AG407" s="94">
        <f>Table3.110[[#This Row],[GP 8h, ml]]-(AVERAGE(AE$293,AE$294,AE$385,AE$386,AE$477,AE$478))*$AG$8</f>
        <v>35.246240428868305</v>
      </c>
      <c r="AH407" s="94">
        <f>Table3.110[[#This Row],[GP 8-24h, ml]]-(AVERAGE(AF$293,AF$294,AF$385,AF$386,AF$477,AF$478))*$AG$8</f>
        <v>42.00873479879084</v>
      </c>
      <c r="AI407" s="94">
        <f>Table3.110[[#This Row],[Net gas 8-24h, ml]]+Table3.110[[#This Row],[Net gas 8h, ml]]</f>
        <v>77.254975227659145</v>
      </c>
      <c r="AJ407" s="94">
        <f>Table3.110[[#This Row],[Net gas 8h, ml]]*Table3.110[[#This Row],[CH4 8h %]]%</f>
        <v>4.1943026110353285</v>
      </c>
      <c r="AK407" s="94">
        <f>Table3.110[[#This Row],[Net gas 8-24h, ml]]*Table3.110[[#This Row],[CH4 24h, %]]%</f>
        <v>6.5533626286113709</v>
      </c>
      <c r="AL407" s="94">
        <f>Table3.110[[#This Row],[CH4 8-24h, ml]]+Table3.110[[#This Row],[CH4 8h, ml]]</f>
        <v>10.7476652396467</v>
      </c>
      <c r="AM407" s="94">
        <f>(Table3.110[[#This Row],[Net gas 24h, ml]]/Table3.110[[#This Row],[DM Incubated, mg]])*1000</f>
        <v>169.76660593185693</v>
      </c>
      <c r="AN407" s="94">
        <f>'3.2 Digest'!X407</f>
        <v>34.119416505684548</v>
      </c>
      <c r="AO407" s="94">
        <f>Table3.110[[#This Row],[Digested feed, mg]]/Table3.110[[#This Row],[Net gas 24h, ml]]</f>
        <v>2.0097837450658478</v>
      </c>
      <c r="AP407" s="94">
        <f>Table3.110[[#This Row],[CH4 8h, ml]]/Table3.110[[#This Row],[Net gas 8h, ml]]%</f>
        <v>11.900000000000002</v>
      </c>
      <c r="AQ407" s="94">
        <f>Table3.110[[#This Row],[CH4 24h, ml]]/Table3.110[[#This Row],[Net gas 24h, ml]]%</f>
        <v>13.911939273781266</v>
      </c>
      <c r="AR407" s="94">
        <f>Table3.110[[#This Row],[CH4 24h, ml]]/Table3.110[[#This Row],[DM Incubated, mg]]*1000</f>
        <v>23.617827124399483</v>
      </c>
      <c r="AS407" s="94">
        <f>Table3.110[[#This Row],[CH4 24h, ml]]/Table3.110[[#This Row],[Digested feed, mg]]*1000</f>
        <v>69.221075690038788</v>
      </c>
      <c r="AT407" s="94">
        <f>Table3.110[[#This Row],[CH4 24h, ml]]/'3.2 Digest'!AA407</f>
        <v>-1.1153637508456249</v>
      </c>
      <c r="AU407" s="94">
        <f>((Table3.110[[#This Row],[CH4 24h, ml]]/28.9)*16.04)/Table3.110[[#This Row],[DM Incubated, mg]]*1000</f>
        <v>13.10830266696774</v>
      </c>
      <c r="AV407" s="94">
        <f>((Table3.110[[#This Row],[CH4 24h, ml]]/28.9)*16.04)/Table3.110[[#This Row],[Digested feed, mg]]*1000</f>
        <v>38.418894604436744</v>
      </c>
      <c r="AW407" s="303"/>
    </row>
    <row r="408" spans="1:49" s="304" customFormat="1" x14ac:dyDescent="0.35">
      <c r="A408" s="89"/>
      <c r="B408" s="90">
        <f t="shared" si="6"/>
        <v>398</v>
      </c>
      <c r="C408" s="140">
        <v>46048</v>
      </c>
      <c r="D408" s="6" t="s">
        <v>16</v>
      </c>
      <c r="E408" s="6" t="s">
        <v>248</v>
      </c>
      <c r="F408" s="133" t="s">
        <v>226</v>
      </c>
      <c r="G408" s="133" t="s">
        <v>227</v>
      </c>
      <c r="H408" s="133" t="s">
        <v>228</v>
      </c>
      <c r="I408" s="133" t="s">
        <v>22</v>
      </c>
      <c r="J408" s="132" t="s">
        <v>23</v>
      </c>
      <c r="K408" s="133" t="s">
        <v>215</v>
      </c>
      <c r="L408" s="6" t="s">
        <v>247</v>
      </c>
      <c r="M408" s="93">
        <v>28</v>
      </c>
      <c r="N408" s="93">
        <v>60</v>
      </c>
      <c r="O408" s="6">
        <v>1</v>
      </c>
      <c r="P408" s="129">
        <v>1</v>
      </c>
      <c r="Q408" s="6">
        <v>56</v>
      </c>
      <c r="R408" s="98">
        <v>0.50009999999999999</v>
      </c>
      <c r="S408" s="94">
        <f>((Table3.110[[#This Row],[Sample weight, g]]*'2.1. DM'!Q151)/100)*1000</f>
        <v>461.60775534679186</v>
      </c>
      <c r="T408" s="94">
        <f>'3.2 Digest'!W408</f>
        <v>147.70775534679188</v>
      </c>
      <c r="U408" s="153">
        <v>0.38680555555555557</v>
      </c>
      <c r="V408" s="154">
        <v>41.5</v>
      </c>
      <c r="W408" s="153">
        <v>0.72152777777777777</v>
      </c>
      <c r="X408" s="91">
        <v>69.5</v>
      </c>
      <c r="Y408" s="91">
        <v>11.1</v>
      </c>
      <c r="Z408" s="154">
        <v>40</v>
      </c>
      <c r="AA408" s="153">
        <v>0.3888888888888889</v>
      </c>
      <c r="AB408" s="154">
        <v>75.5</v>
      </c>
      <c r="AC408" s="154">
        <v>13.8</v>
      </c>
      <c r="AD408" s="91"/>
      <c r="AE408" s="94">
        <f>Table3.110[[#This Row],[Gas 8h, ml]]-Table3.110[[#This Row],[Gas 0h, ml]]</f>
        <v>28</v>
      </c>
      <c r="AF408" s="94">
        <f>Table3.110[[#This Row],[Gas 24h, ml]]-Table3.110[[#This Row],[V8 Push back, ml]]</f>
        <v>35.5</v>
      </c>
      <c r="AG408" s="94">
        <f>Table3.110[[#This Row],[GP 8h, ml]]-(AVERAGE(AE$293,AE$294,AE$385,AE$386,AE$477,AE$478))*$AG$8</f>
        <v>26.746240428868305</v>
      </c>
      <c r="AH408" s="94">
        <f>Table3.110[[#This Row],[GP 8-24h, ml]]-(AVERAGE(AF$293,AF$294,AF$385,AF$386,AF$477,AF$478))*$AG$8</f>
        <v>33.50873479879084</v>
      </c>
      <c r="AI408" s="94">
        <f>Table3.110[[#This Row],[Net gas 8-24h, ml]]+Table3.110[[#This Row],[Net gas 8h, ml]]</f>
        <v>60.254975227659145</v>
      </c>
      <c r="AJ408" s="94">
        <f>Table3.110[[#This Row],[Net gas 8h, ml]]*Table3.110[[#This Row],[CH4 8h %]]%</f>
        <v>2.9688326876043818</v>
      </c>
      <c r="AK408" s="94">
        <f>Table3.110[[#This Row],[Net gas 8-24h, ml]]*Table3.110[[#This Row],[CH4 24h, %]]%</f>
        <v>4.6242054022331365</v>
      </c>
      <c r="AL408" s="94">
        <f>Table3.110[[#This Row],[CH4 8-24h, ml]]+Table3.110[[#This Row],[CH4 8h, ml]]</f>
        <v>7.5930380898375187</v>
      </c>
      <c r="AM408" s="94">
        <f>(Table3.110[[#This Row],[Net gas 24h, ml]]/Table3.110[[#This Row],[DM Incubated, mg]])*1000</f>
        <v>130.53284857051722</v>
      </c>
      <c r="AN408" s="94">
        <f>'3.2 Digest'!X408</f>
        <v>31.998542839867049</v>
      </c>
      <c r="AO408" s="94">
        <f>Table3.110[[#This Row],[Digested feed, mg]]/Table3.110[[#This Row],[Net gas 24h, ml]]</f>
        <v>2.4513785756066304</v>
      </c>
      <c r="AP408" s="94">
        <f>Table3.110[[#This Row],[CH4 8h, ml]]/Table3.110[[#This Row],[Net gas 8h, ml]]%</f>
        <v>11.1</v>
      </c>
      <c r="AQ408" s="94">
        <f>Table3.110[[#This Row],[CH4 24h, ml]]/Table3.110[[#This Row],[Net gas 24h, ml]]%</f>
        <v>12.601512258778671</v>
      </c>
      <c r="AR408" s="94">
        <f>Table3.110[[#This Row],[CH4 24h, ml]]/Table3.110[[#This Row],[DM Incubated, mg]]*1000</f>
        <v>16.449112914346728</v>
      </c>
      <c r="AS408" s="94">
        <f>Table3.110[[#This Row],[CH4 24h, ml]]/Table3.110[[#This Row],[Digested feed, mg]]*1000</f>
        <v>51.405818685758227</v>
      </c>
      <c r="AT408" s="94">
        <f>Table3.110[[#This Row],[CH4 24h, ml]]/'3.2 Digest'!AA408</f>
        <v>-0.24095821781817925</v>
      </c>
      <c r="AU408" s="94">
        <f>((Table3.110[[#This Row],[CH4 24h, ml]]/28.9)*16.04)/Table3.110[[#This Row],[DM Incubated, mg]]*1000</f>
        <v>9.1295422541910565</v>
      </c>
      <c r="AV408" s="94">
        <f>((Table3.110[[#This Row],[CH4 24h, ml]]/28.9)*16.04)/Table3.110[[#This Row],[Digested feed, mg]]*1000</f>
        <v>28.531118744621523</v>
      </c>
      <c r="AW408" s="303"/>
    </row>
    <row r="409" spans="1:49" s="304" customFormat="1" x14ac:dyDescent="0.35">
      <c r="A409" s="89"/>
      <c r="B409" s="90">
        <f t="shared" si="6"/>
        <v>399</v>
      </c>
      <c r="C409" s="140">
        <v>46048</v>
      </c>
      <c r="D409" s="6" t="s">
        <v>16</v>
      </c>
      <c r="E409" s="6" t="s">
        <v>248</v>
      </c>
      <c r="F409" s="133" t="s">
        <v>226</v>
      </c>
      <c r="G409" s="133" t="s">
        <v>227</v>
      </c>
      <c r="H409" s="133" t="s">
        <v>228</v>
      </c>
      <c r="I409" s="133" t="s">
        <v>22</v>
      </c>
      <c r="J409" s="132" t="s">
        <v>23</v>
      </c>
      <c r="K409" s="133" t="s">
        <v>215</v>
      </c>
      <c r="L409" s="6" t="s">
        <v>247</v>
      </c>
      <c r="M409" s="93">
        <v>28</v>
      </c>
      <c r="N409" s="93">
        <v>60</v>
      </c>
      <c r="O409" s="6">
        <v>1</v>
      </c>
      <c r="P409" s="129">
        <v>2</v>
      </c>
      <c r="Q409" s="6">
        <v>57</v>
      </c>
      <c r="R409" s="98">
        <v>0.50019999999999998</v>
      </c>
      <c r="S409" s="94">
        <f>((Table3.110[[#This Row],[Sample weight, g]]*'2.1. DM'!Q151)/100)*1000</f>
        <v>461.70005843724323</v>
      </c>
      <c r="T409" s="94">
        <f>'3.2 Digest'!W409</f>
        <v>188.50005843724324</v>
      </c>
      <c r="U409" s="117">
        <v>0.38680555555555557</v>
      </c>
      <c r="V409" s="155">
        <v>41</v>
      </c>
      <c r="W409" s="117">
        <v>0.72222222222222221</v>
      </c>
      <c r="X409" s="96">
        <v>70.5</v>
      </c>
      <c r="Y409" s="96">
        <v>11</v>
      </c>
      <c r="Z409" s="155">
        <v>40.5</v>
      </c>
      <c r="AA409" s="117">
        <v>0.3888888888888889</v>
      </c>
      <c r="AB409" s="155">
        <v>77.5</v>
      </c>
      <c r="AC409" s="155">
        <v>13.6</v>
      </c>
      <c r="AD409" s="96"/>
      <c r="AE409" s="94">
        <f>Table3.110[[#This Row],[Gas 8h, ml]]-Table3.110[[#This Row],[Gas 0h, ml]]</f>
        <v>29.5</v>
      </c>
      <c r="AF409" s="94">
        <f>Table3.110[[#This Row],[Gas 24h, ml]]-Table3.110[[#This Row],[V8 Push back, ml]]</f>
        <v>37</v>
      </c>
      <c r="AG409" s="94">
        <f>Table3.110[[#This Row],[GP 8h, ml]]-(AVERAGE(AE$293,AE$294,AE$385,AE$386,AE$477,AE$478))*$AG$8</f>
        <v>28.246240428868305</v>
      </c>
      <c r="AH409" s="94">
        <f>Table3.110[[#This Row],[GP 8-24h, ml]]-(AVERAGE(AF$293,AF$294,AF$385,AF$386,AF$477,AF$478))*$AG$8</f>
        <v>35.00873479879084</v>
      </c>
      <c r="AI409" s="94">
        <f>Table3.110[[#This Row],[Net gas 8-24h, ml]]+Table3.110[[#This Row],[Net gas 8h, ml]]</f>
        <v>63.254975227659145</v>
      </c>
      <c r="AJ409" s="94">
        <f>Table3.110[[#This Row],[Net gas 8h, ml]]*Table3.110[[#This Row],[CH4 8h %]]%</f>
        <v>3.1070864471755137</v>
      </c>
      <c r="AK409" s="94">
        <f>Table3.110[[#This Row],[Net gas 8-24h, ml]]*Table3.110[[#This Row],[CH4 24h, %]]%</f>
        <v>4.7611879326355542</v>
      </c>
      <c r="AL409" s="94">
        <f>Table3.110[[#This Row],[CH4 8-24h, ml]]+Table3.110[[#This Row],[CH4 8h, ml]]</f>
        <v>7.8682743798110675</v>
      </c>
      <c r="AM409" s="94">
        <f>(Table3.110[[#This Row],[Net gas 24h, ml]]/Table3.110[[#This Row],[DM Incubated, mg]])*1000</f>
        <v>137.00447741281172</v>
      </c>
      <c r="AN409" s="94">
        <f>'3.2 Digest'!X409</f>
        <v>40.827384574148844</v>
      </c>
      <c r="AO409" s="94">
        <f>Table3.110[[#This Row],[Digested feed, mg]]/Table3.110[[#This Row],[Net gas 24h, ml]]</f>
        <v>2.9800036717873679</v>
      </c>
      <c r="AP409" s="94">
        <f>Table3.110[[#This Row],[CH4 8h, ml]]/Table3.110[[#This Row],[Net gas 8h, ml]]%</f>
        <v>11.000000000000002</v>
      </c>
      <c r="AQ409" s="94">
        <f>Table3.110[[#This Row],[CH4 24h, ml]]/Table3.110[[#This Row],[Net gas 24h, ml]]%</f>
        <v>12.438981046933604</v>
      </c>
      <c r="AR409" s="94">
        <f>Table3.110[[#This Row],[CH4 24h, ml]]/Table3.110[[#This Row],[DM Incubated, mg]]*1000</f>
        <v>17.04196097883008</v>
      </c>
      <c r="AS409" s="94">
        <f>Table3.110[[#This Row],[CH4 24h, ml]]/Table3.110[[#This Row],[Digested feed, mg]]*1000</f>
        <v>41.741495705852145</v>
      </c>
      <c r="AT409" s="94">
        <f>Table3.110[[#This Row],[CH4 24h, ml]]/'3.2 Digest'!AA409</f>
        <v>-0.54499808664613392</v>
      </c>
      <c r="AU409" s="94">
        <f>((Table3.110[[#This Row],[CH4 24h, ml]]/28.9)*16.04)/Table3.110[[#This Row],[DM Incubated, mg]]*1000</f>
        <v>9.458583186866246</v>
      </c>
      <c r="AV409" s="94">
        <f>((Table3.110[[#This Row],[CH4 24h, ml]]/28.9)*16.04)/Table3.110[[#This Row],[Digested feed, mg]]*1000</f>
        <v>23.167252287953925</v>
      </c>
      <c r="AW409" s="303"/>
    </row>
    <row r="410" spans="1:49" s="304" customFormat="1" x14ac:dyDescent="0.35">
      <c r="A410" s="89"/>
      <c r="B410" s="90">
        <f t="shared" si="6"/>
        <v>400</v>
      </c>
      <c r="C410" s="140">
        <v>46048</v>
      </c>
      <c r="D410" s="6" t="s">
        <v>16</v>
      </c>
      <c r="E410" s="6" t="s">
        <v>248</v>
      </c>
      <c r="F410" s="133" t="s">
        <v>226</v>
      </c>
      <c r="G410" s="133" t="s">
        <v>227</v>
      </c>
      <c r="H410" s="133" t="s">
        <v>228</v>
      </c>
      <c r="I410" s="133" t="s">
        <v>22</v>
      </c>
      <c r="J410" s="132" t="s">
        <v>23</v>
      </c>
      <c r="K410" s="133" t="s">
        <v>215</v>
      </c>
      <c r="L410" s="6" t="s">
        <v>247</v>
      </c>
      <c r="M410" s="93">
        <v>28</v>
      </c>
      <c r="N410" s="93">
        <v>60</v>
      </c>
      <c r="O410" s="6">
        <v>1</v>
      </c>
      <c r="P410" s="6">
        <v>3</v>
      </c>
      <c r="Q410" s="6">
        <v>58</v>
      </c>
      <c r="R410" s="98">
        <v>0.5</v>
      </c>
      <c r="S410" s="94">
        <f>((Table3.110[[#This Row],[Sample weight, g]]*'2.1. DM'!Q151)/100)*1000</f>
        <v>461.51545225634067</v>
      </c>
      <c r="T410" s="94">
        <f>'3.2 Digest'!W410</f>
        <v>136.21545225634065</v>
      </c>
      <c r="U410" s="153">
        <v>0.38750000000000001</v>
      </c>
      <c r="V410" s="154">
        <v>41</v>
      </c>
      <c r="W410" s="153">
        <v>0.72291666666666665</v>
      </c>
      <c r="X410" s="91">
        <v>70</v>
      </c>
      <c r="Y410" s="91">
        <v>11.7</v>
      </c>
      <c r="Z410" s="154">
        <v>40.5</v>
      </c>
      <c r="AA410" s="153">
        <v>0.38958333333333334</v>
      </c>
      <c r="AB410" s="154">
        <v>77.5</v>
      </c>
      <c r="AC410" s="154">
        <v>13.8</v>
      </c>
      <c r="AD410" s="91"/>
      <c r="AE410" s="94">
        <f>Table3.110[[#This Row],[Gas 8h, ml]]-Table3.110[[#This Row],[Gas 0h, ml]]</f>
        <v>29</v>
      </c>
      <c r="AF410" s="94">
        <f>Table3.110[[#This Row],[Gas 24h, ml]]-Table3.110[[#This Row],[V8 Push back, ml]]</f>
        <v>37</v>
      </c>
      <c r="AG410" s="94">
        <f>Table3.110[[#This Row],[GP 8h, ml]]-(AVERAGE(AE$293,AE$294,AE$385,AE$386,AE$477,AE$478))*$AG$8</f>
        <v>27.746240428868305</v>
      </c>
      <c r="AH410" s="94">
        <f>Table3.110[[#This Row],[GP 8-24h, ml]]-(AVERAGE(AF$293,AF$294,AF$385,AF$386,AF$477,AF$478))*$AG$8</f>
        <v>35.00873479879084</v>
      </c>
      <c r="AI410" s="94">
        <f>Table3.110[[#This Row],[Net gas 8-24h, ml]]+Table3.110[[#This Row],[Net gas 8h, ml]]</f>
        <v>62.754975227659145</v>
      </c>
      <c r="AJ410" s="94">
        <f>Table3.110[[#This Row],[Net gas 8h, ml]]*Table3.110[[#This Row],[CH4 8h %]]%</f>
        <v>3.2463101301775916</v>
      </c>
      <c r="AK410" s="94">
        <f>Table3.110[[#This Row],[Net gas 8-24h, ml]]*Table3.110[[#This Row],[CH4 24h, %]]%</f>
        <v>4.8312054022331363</v>
      </c>
      <c r="AL410" s="94">
        <f>Table3.110[[#This Row],[CH4 8-24h, ml]]+Table3.110[[#This Row],[CH4 8h, ml]]</f>
        <v>8.0775155324107288</v>
      </c>
      <c r="AM410" s="94">
        <f>(Table3.110[[#This Row],[Net gas 24h, ml]]/Table3.110[[#This Row],[DM Incubated, mg]])*1000</f>
        <v>135.9758918598526</v>
      </c>
      <c r="AN410" s="94">
        <f>'3.2 Digest'!X410</f>
        <v>29.514819404287717</v>
      </c>
      <c r="AO410" s="94">
        <f>Table3.110[[#This Row],[Digested feed, mg]]/Table3.110[[#This Row],[Net gas 24h, ml]]</f>
        <v>2.1705920807423715</v>
      </c>
      <c r="AP410" s="94">
        <f>Table3.110[[#This Row],[CH4 8h, ml]]/Table3.110[[#This Row],[Net gas 8h, ml]]%</f>
        <v>11.7</v>
      </c>
      <c r="AQ410" s="94">
        <f>Table3.110[[#This Row],[CH4 24h, ml]]/Table3.110[[#This Row],[Net gas 24h, ml]]%</f>
        <v>12.871514175740726</v>
      </c>
      <c r="AR410" s="94">
        <f>Table3.110[[#This Row],[CH4 24h, ml]]/Table3.110[[#This Row],[DM Incubated, mg]]*1000</f>
        <v>17.502156196330812</v>
      </c>
      <c r="AS410" s="94">
        <f>Table3.110[[#This Row],[CH4 24h, ml]]/Table3.110[[#This Row],[Digested feed, mg]]*1000</f>
        <v>59.299553748203557</v>
      </c>
      <c r="AT410" s="94">
        <f>Table3.110[[#This Row],[CH4 24h, ml]]/'3.2 Digest'!AA410</f>
        <v>-0.22242759672901</v>
      </c>
      <c r="AU410" s="94">
        <f>((Table3.110[[#This Row],[CH4 24h, ml]]/28.9)*16.04)/Table3.110[[#This Row],[DM Incubated, mg]]*1000</f>
        <v>9.713999494434125</v>
      </c>
      <c r="AV410" s="94">
        <f>((Table3.110[[#This Row],[CH4 24h, ml]]/28.9)*16.04)/Table3.110[[#This Row],[Digested feed, mg]]*1000</f>
        <v>32.912278274089452</v>
      </c>
      <c r="AW410" s="303"/>
    </row>
    <row r="411" spans="1:49" s="304" customFormat="1" x14ac:dyDescent="0.35">
      <c r="A411" s="89"/>
      <c r="B411" s="90">
        <f t="shared" si="6"/>
        <v>401</v>
      </c>
      <c r="C411" s="140">
        <v>46048</v>
      </c>
      <c r="D411" s="6" t="s">
        <v>16</v>
      </c>
      <c r="E411" s="6" t="s">
        <v>250</v>
      </c>
      <c r="F411" s="133" t="s">
        <v>219</v>
      </c>
      <c r="G411" s="133" t="s">
        <v>220</v>
      </c>
      <c r="H411" s="133" t="s">
        <v>221</v>
      </c>
      <c r="I411" s="133" t="s">
        <v>22</v>
      </c>
      <c r="J411" s="132" t="s">
        <v>23</v>
      </c>
      <c r="K411" s="133" t="s">
        <v>215</v>
      </c>
      <c r="L411" s="6" t="s">
        <v>249</v>
      </c>
      <c r="M411" s="93">
        <v>28</v>
      </c>
      <c r="N411" s="93">
        <v>60</v>
      </c>
      <c r="O411" s="6">
        <v>1</v>
      </c>
      <c r="P411" s="129">
        <v>1</v>
      </c>
      <c r="Q411" s="6">
        <v>59</v>
      </c>
      <c r="R411" s="98">
        <v>0.50029999999999997</v>
      </c>
      <c r="S411" s="94">
        <f>((Table3.110[[#This Row],[Sample weight, g]]*'2.1. DM'!Q153)/100)*1000</f>
        <v>454.97732179964021</v>
      </c>
      <c r="T411" s="94">
        <f>'3.2 Digest'!W411</f>
        <v>224.47732179964029</v>
      </c>
      <c r="U411" s="117">
        <v>0.38750000000000001</v>
      </c>
      <c r="V411" s="155">
        <v>40</v>
      </c>
      <c r="W411" s="117">
        <v>0.72361111111111109</v>
      </c>
      <c r="X411" s="96">
        <v>75.5</v>
      </c>
      <c r="Y411" s="96">
        <v>13.3</v>
      </c>
      <c r="Z411" s="155">
        <v>39.5</v>
      </c>
      <c r="AA411" s="117">
        <v>0.38958333333333334</v>
      </c>
      <c r="AB411" s="155">
        <v>88</v>
      </c>
      <c r="AC411" s="155">
        <v>15.2</v>
      </c>
      <c r="AD411" s="96"/>
      <c r="AE411" s="94">
        <f>Table3.110[[#This Row],[Gas 8h, ml]]-Table3.110[[#This Row],[Gas 0h, ml]]</f>
        <v>35.5</v>
      </c>
      <c r="AF411" s="94">
        <f>Table3.110[[#This Row],[Gas 24h, ml]]-Table3.110[[#This Row],[V8 Push back, ml]]</f>
        <v>48.5</v>
      </c>
      <c r="AG411" s="94">
        <f>Table3.110[[#This Row],[GP 8h, ml]]-(AVERAGE(AE$293,AE$294,AE$385,AE$386,AE$477,AE$478))*$AG$8</f>
        <v>34.246240428868305</v>
      </c>
      <c r="AH411" s="94">
        <f>Table3.110[[#This Row],[GP 8-24h, ml]]-(AVERAGE(AF$293,AF$294,AF$385,AF$386,AF$477,AF$478))*$AG$8</f>
        <v>46.50873479879084</v>
      </c>
      <c r="AI411" s="94">
        <f>Table3.110[[#This Row],[Net gas 8-24h, ml]]+Table3.110[[#This Row],[Net gas 8h, ml]]</f>
        <v>80.754975227659145</v>
      </c>
      <c r="AJ411" s="94">
        <f>Table3.110[[#This Row],[Net gas 8h, ml]]*Table3.110[[#This Row],[CH4 8h %]]%</f>
        <v>4.554749977039485</v>
      </c>
      <c r="AK411" s="94">
        <f>Table3.110[[#This Row],[Net gas 8-24h, ml]]*Table3.110[[#This Row],[CH4 24h, %]]%</f>
        <v>7.0693276894162071</v>
      </c>
      <c r="AL411" s="94">
        <f>Table3.110[[#This Row],[CH4 8-24h, ml]]+Table3.110[[#This Row],[CH4 8h, ml]]</f>
        <v>11.624077666455692</v>
      </c>
      <c r="AM411" s="94">
        <f>(Table3.110[[#This Row],[Net gas 24h, ml]]/Table3.110[[#This Row],[DM Incubated, mg]])*1000</f>
        <v>177.49230864570757</v>
      </c>
      <c r="AN411" s="94">
        <f>'3.2 Digest'!X411</f>
        <v>49.338134241885157</v>
      </c>
      <c r="AO411" s="94">
        <f>Table3.110[[#This Row],[Digested feed, mg]]/Table3.110[[#This Row],[Net gas 24h, ml]]</f>
        <v>2.7797336469586984</v>
      </c>
      <c r="AP411" s="94">
        <f>Table3.110[[#This Row],[CH4 8h, ml]]/Table3.110[[#This Row],[Net gas 8h, ml]]%</f>
        <v>13.300000000000002</v>
      </c>
      <c r="AQ411" s="94">
        <f>Table3.110[[#This Row],[CH4 24h, ml]]/Table3.110[[#This Row],[Net gas 24h, ml]]%</f>
        <v>14.394255751655985</v>
      </c>
      <c r="AR411" s="94">
        <f>Table3.110[[#This Row],[CH4 24h, ml]]/Table3.110[[#This Row],[DM Incubated, mg]]*1000</f>
        <v>25.548696845981752</v>
      </c>
      <c r="AS411" s="94">
        <f>Table3.110[[#This Row],[CH4 24h, ml]]/Table3.110[[#This Row],[Digested feed, mg]]*1000</f>
        <v>51.78285972616375</v>
      </c>
      <c r="AT411" s="94">
        <f>Table3.110[[#This Row],[CH4 24h, ml]]/'3.2 Digest'!AA411</f>
        <v>-3.765433384187884</v>
      </c>
      <c r="AU411" s="94">
        <f>((Table3.110[[#This Row],[CH4 24h, ml]]/28.9)*16.04)/Table3.110[[#This Row],[DM Incubated, mg]]*1000</f>
        <v>14.179968768496444</v>
      </c>
      <c r="AV411" s="94">
        <f>((Table3.110[[#This Row],[CH4 24h, ml]]/28.9)*16.04)/Table3.110[[#This Row],[Digested feed, mg]]*1000</f>
        <v>28.74038304524797</v>
      </c>
      <c r="AW411" s="303"/>
    </row>
    <row r="412" spans="1:49" s="304" customFormat="1" x14ac:dyDescent="0.35">
      <c r="A412" s="89"/>
      <c r="B412" s="90">
        <f t="shared" si="6"/>
        <v>402</v>
      </c>
      <c r="C412" s="140">
        <v>46048</v>
      </c>
      <c r="D412" s="6" t="s">
        <v>16</v>
      </c>
      <c r="E412" s="6" t="s">
        <v>250</v>
      </c>
      <c r="F412" s="133" t="s">
        <v>219</v>
      </c>
      <c r="G412" s="133" t="s">
        <v>220</v>
      </c>
      <c r="H412" s="133" t="s">
        <v>221</v>
      </c>
      <c r="I412" s="133" t="s">
        <v>22</v>
      </c>
      <c r="J412" s="132" t="s">
        <v>23</v>
      </c>
      <c r="K412" s="133" t="s">
        <v>215</v>
      </c>
      <c r="L412" s="6" t="s">
        <v>249</v>
      </c>
      <c r="M412" s="93">
        <v>28</v>
      </c>
      <c r="N412" s="93">
        <v>60</v>
      </c>
      <c r="O412" s="6">
        <v>1</v>
      </c>
      <c r="P412" s="129">
        <v>2</v>
      </c>
      <c r="Q412" s="6">
        <v>60</v>
      </c>
      <c r="R412" s="98">
        <v>0.50029999999999997</v>
      </c>
      <c r="S412" s="94">
        <f>((Table3.110[[#This Row],[Sample weight, g]]*'2.1. DM'!Q153)/100)*1000</f>
        <v>454.97732179964021</v>
      </c>
      <c r="T412" s="94">
        <f>'3.2 Digest'!W412</f>
        <v>235.97732179964024</v>
      </c>
      <c r="U412" s="156">
        <v>0.38819444444444445</v>
      </c>
      <c r="V412" s="154">
        <v>41</v>
      </c>
      <c r="W412" s="153">
        <v>0.72361111111111109</v>
      </c>
      <c r="X412" s="91">
        <v>76.5</v>
      </c>
      <c r="Y412" s="91">
        <v>13.7</v>
      </c>
      <c r="Z412" s="154">
        <v>40.5</v>
      </c>
      <c r="AA412" s="153">
        <v>0.39027777777777778</v>
      </c>
      <c r="AB412" s="154">
        <v>88</v>
      </c>
      <c r="AC412" s="154">
        <v>15.1</v>
      </c>
      <c r="AD412" s="91"/>
      <c r="AE412" s="94">
        <f>Table3.110[[#This Row],[Gas 8h, ml]]-Table3.110[[#This Row],[Gas 0h, ml]]</f>
        <v>35.5</v>
      </c>
      <c r="AF412" s="94">
        <f>Table3.110[[#This Row],[Gas 24h, ml]]-Table3.110[[#This Row],[V8 Push back, ml]]</f>
        <v>47.5</v>
      </c>
      <c r="AG412" s="94">
        <f>Table3.110[[#This Row],[GP 8h, ml]]-(AVERAGE(AE$293,AE$294,AE$385,AE$386,AE$477,AE$478))*$AG$8</f>
        <v>34.246240428868305</v>
      </c>
      <c r="AH412" s="94">
        <f>Table3.110[[#This Row],[GP 8-24h, ml]]-(AVERAGE(AF$293,AF$294,AF$385,AF$386,AF$477,AF$478))*$AG$8</f>
        <v>45.50873479879084</v>
      </c>
      <c r="AI412" s="94">
        <f>Table3.110[[#This Row],[Net gas 8-24h, ml]]+Table3.110[[#This Row],[Net gas 8h, ml]]</f>
        <v>79.754975227659145</v>
      </c>
      <c r="AJ412" s="94">
        <f>Table3.110[[#This Row],[Net gas 8h, ml]]*Table3.110[[#This Row],[CH4 8h %]]%</f>
        <v>4.6917349387549567</v>
      </c>
      <c r="AK412" s="94">
        <f>Table3.110[[#This Row],[Net gas 8-24h, ml]]*Table3.110[[#This Row],[CH4 24h, %]]%</f>
        <v>6.8718189546174164</v>
      </c>
      <c r="AL412" s="94">
        <f>Table3.110[[#This Row],[CH4 8-24h, ml]]+Table3.110[[#This Row],[CH4 8h, ml]]</f>
        <v>11.563553893372372</v>
      </c>
      <c r="AM412" s="94">
        <f>(Table3.110[[#This Row],[Net gas 24h, ml]]/Table3.110[[#This Row],[DM Incubated, mg]])*1000</f>
        <v>175.29439689915156</v>
      </c>
      <c r="AN412" s="94">
        <f>'3.2 Digest'!X412</f>
        <v>51.865732750424499</v>
      </c>
      <c r="AO412" s="94">
        <f>Table3.110[[#This Row],[Digested feed, mg]]/Table3.110[[#This Row],[Net gas 24h, ml]]</f>
        <v>2.9587786984579609</v>
      </c>
      <c r="AP412" s="94">
        <f>Table3.110[[#This Row],[CH4 8h, ml]]/Table3.110[[#This Row],[Net gas 8h, ml]]%</f>
        <v>13.699999999999998</v>
      </c>
      <c r="AQ412" s="94">
        <f>Table3.110[[#This Row],[CH4 24h, ml]]/Table3.110[[#This Row],[Net gas 24h, ml]]%</f>
        <v>14.498849583194549</v>
      </c>
      <c r="AR412" s="94">
        <f>Table3.110[[#This Row],[CH4 24h, ml]]/Table3.110[[#This Row],[DM Incubated, mg]]*1000</f>
        <v>25.415670934176035</v>
      </c>
      <c r="AS412" s="94">
        <f>Table3.110[[#This Row],[CH4 24h, ml]]/Table3.110[[#This Row],[Digested feed, mg]]*1000</f>
        <v>49.002818597926819</v>
      </c>
      <c r="AT412" s="94">
        <f>Table3.110[[#This Row],[CH4 24h, ml]]/'3.2 Digest'!AA412</f>
        <v>5.6239613761390261</v>
      </c>
      <c r="AU412" s="94">
        <f>((Table3.110[[#This Row],[CH4 24h, ml]]/28.9)*16.04)/Table3.110[[#This Row],[DM Incubated, mg]]*1000</f>
        <v>14.10613708595791</v>
      </c>
      <c r="AV412" s="94">
        <f>((Table3.110[[#This Row],[CH4 24h, ml]]/28.9)*16.04)/Table3.110[[#This Row],[Digested feed, mg]]*1000</f>
        <v>27.197412121479104</v>
      </c>
      <c r="AW412" s="303"/>
    </row>
    <row r="413" spans="1:49" s="304" customFormat="1" x14ac:dyDescent="0.35">
      <c r="A413" s="89"/>
      <c r="B413" s="90">
        <f t="shared" si="6"/>
        <v>403</v>
      </c>
      <c r="C413" s="140">
        <v>46048</v>
      </c>
      <c r="D413" s="6" t="s">
        <v>16</v>
      </c>
      <c r="E413" s="6" t="s">
        <v>250</v>
      </c>
      <c r="F413" s="133" t="s">
        <v>219</v>
      </c>
      <c r="G413" s="133" t="s">
        <v>220</v>
      </c>
      <c r="H413" s="133" t="s">
        <v>221</v>
      </c>
      <c r="I413" s="133" t="s">
        <v>22</v>
      </c>
      <c r="J413" s="132" t="s">
        <v>23</v>
      </c>
      <c r="K413" s="133" t="s">
        <v>215</v>
      </c>
      <c r="L413" s="6" t="s">
        <v>249</v>
      </c>
      <c r="M413" s="93">
        <v>28</v>
      </c>
      <c r="N413" s="93">
        <v>60</v>
      </c>
      <c r="O413" s="6">
        <v>1</v>
      </c>
      <c r="P413" s="6">
        <v>3</v>
      </c>
      <c r="Q413" s="6">
        <v>61</v>
      </c>
      <c r="R413" s="98">
        <v>0.50029999999999997</v>
      </c>
      <c r="S413" s="94">
        <f>((Table3.110[[#This Row],[Sample weight, g]]*'2.1. DM'!Q153)/100)*1000</f>
        <v>454.97732179964021</v>
      </c>
      <c r="T413" s="94">
        <f>'3.2 Digest'!W413</f>
        <v>172.57732179964023</v>
      </c>
      <c r="U413" s="117">
        <v>0.38819444444444445</v>
      </c>
      <c r="V413" s="155">
        <v>41</v>
      </c>
      <c r="W413" s="117">
        <v>0.72430555555555554</v>
      </c>
      <c r="X413" s="96">
        <v>73.5</v>
      </c>
      <c r="Y413" s="96">
        <v>13.6</v>
      </c>
      <c r="Z413" s="155">
        <v>40</v>
      </c>
      <c r="AA413" s="117">
        <v>0.39027777777777778</v>
      </c>
      <c r="AB413" s="155">
        <v>88.5</v>
      </c>
      <c r="AC413" s="155">
        <v>15.8</v>
      </c>
      <c r="AD413" s="96"/>
      <c r="AE413" s="94">
        <f>Table3.110[[#This Row],[Gas 8h, ml]]-Table3.110[[#This Row],[Gas 0h, ml]]</f>
        <v>32.5</v>
      </c>
      <c r="AF413" s="94">
        <f>Table3.110[[#This Row],[Gas 24h, ml]]-Table3.110[[#This Row],[V8 Push back, ml]]</f>
        <v>48.5</v>
      </c>
      <c r="AG413" s="94">
        <f>Table3.110[[#This Row],[GP 8h, ml]]-(AVERAGE(AE$293,AE$294,AE$385,AE$386,AE$477,AE$478))*$AG$8</f>
        <v>31.246240428868305</v>
      </c>
      <c r="AH413" s="94">
        <f>Table3.110[[#This Row],[GP 8-24h, ml]]-(AVERAGE(AF$293,AF$294,AF$385,AF$386,AF$477,AF$478))*$AG$8</f>
        <v>46.50873479879084</v>
      </c>
      <c r="AI413" s="94">
        <f>Table3.110[[#This Row],[Net gas 8-24h, ml]]+Table3.110[[#This Row],[Net gas 8h, ml]]</f>
        <v>77.754975227659145</v>
      </c>
      <c r="AJ413" s="94">
        <f>Table3.110[[#This Row],[Net gas 8h, ml]]*Table3.110[[#This Row],[CH4 8h %]]%</f>
        <v>4.2494886983260898</v>
      </c>
      <c r="AK413" s="94">
        <f>Table3.110[[#This Row],[Net gas 8-24h, ml]]*Table3.110[[#This Row],[CH4 24h, %]]%</f>
        <v>7.3483800982089527</v>
      </c>
      <c r="AL413" s="94">
        <f>Table3.110[[#This Row],[CH4 8-24h, ml]]+Table3.110[[#This Row],[CH4 8h, ml]]</f>
        <v>11.597868796535042</v>
      </c>
      <c r="AM413" s="94">
        <f>(Table3.110[[#This Row],[Net gas 24h, ml]]/Table3.110[[#This Row],[DM Incubated, mg]])*1000</f>
        <v>170.89857340603967</v>
      </c>
      <c r="AN413" s="94">
        <f>'3.2 Digest'!X413</f>
        <v>37.930972277259713</v>
      </c>
      <c r="AO413" s="94">
        <f>Table3.110[[#This Row],[Digested feed, mg]]/Table3.110[[#This Row],[Net gas 24h, ml]]</f>
        <v>2.2195019842055164</v>
      </c>
      <c r="AP413" s="94">
        <f>Table3.110[[#This Row],[CH4 8h, ml]]/Table3.110[[#This Row],[Net gas 8h, ml]]%</f>
        <v>13.600000000000001</v>
      </c>
      <c r="AQ413" s="94">
        <f>Table3.110[[#This Row],[CH4 24h, ml]]/Table3.110[[#This Row],[Net gas 24h, ml]]%</f>
        <v>14.915918579586181</v>
      </c>
      <c r="AR413" s="94">
        <f>Table3.110[[#This Row],[CH4 24h, ml]]/Table3.110[[#This Row],[DM Incubated, mg]]*1000</f>
        <v>25.491092062919197</v>
      </c>
      <c r="AS413" s="94">
        <f>Table3.110[[#This Row],[CH4 24h, ml]]/Table3.110[[#This Row],[Digested feed, mg]]*1000</f>
        <v>67.203898377794971</v>
      </c>
      <c r="AT413" s="94">
        <f>Table3.110[[#This Row],[CH4 24h, ml]]/'3.2 Digest'!AA413</f>
        <v>-0.44101032771943566</v>
      </c>
      <c r="AU413" s="94">
        <f>((Table3.110[[#This Row],[CH4 24h, ml]]/28.9)*16.04)/Table3.110[[#This Row],[DM Incubated, mg]]*1000</f>
        <v>14.147997117274183</v>
      </c>
      <c r="AV413" s="94">
        <f>((Table3.110[[#This Row],[CH4 24h, ml]]/28.9)*16.04)/Table3.110[[#This Row],[Digested feed, mg]]*1000</f>
        <v>37.299326296879975</v>
      </c>
      <c r="AW413" s="303"/>
    </row>
    <row r="414" spans="1:49" s="304" customFormat="1" x14ac:dyDescent="0.35">
      <c r="A414" s="89"/>
      <c r="B414" s="90">
        <f t="shared" si="6"/>
        <v>404</v>
      </c>
      <c r="C414" s="140">
        <v>46048</v>
      </c>
      <c r="D414" s="6" t="s">
        <v>16</v>
      </c>
      <c r="E414" s="6" t="s">
        <v>252</v>
      </c>
      <c r="F414" s="133" t="s">
        <v>219</v>
      </c>
      <c r="G414" s="133" t="s">
        <v>253</v>
      </c>
      <c r="H414" s="133" t="s">
        <v>254</v>
      </c>
      <c r="I414" s="133" t="s">
        <v>22</v>
      </c>
      <c r="J414" s="132" t="s">
        <v>23</v>
      </c>
      <c r="K414" s="133" t="s">
        <v>215</v>
      </c>
      <c r="L414" s="6" t="s">
        <v>251</v>
      </c>
      <c r="M414" s="93">
        <v>28</v>
      </c>
      <c r="N414" s="93">
        <v>60</v>
      </c>
      <c r="O414" s="6">
        <v>1</v>
      </c>
      <c r="P414" s="129">
        <v>1</v>
      </c>
      <c r="Q414" s="6">
        <v>62</v>
      </c>
      <c r="R414" s="98">
        <v>0.50029999999999997</v>
      </c>
      <c r="S414" s="94">
        <f>((Table3.110[[#This Row],[Sample weight, g]]*'2.1. DM'!Q155)/100)*1000</f>
        <v>460.56109337514715</v>
      </c>
      <c r="T414" s="94">
        <f>'3.2 Digest'!W414</f>
        <v>233.56109337514718</v>
      </c>
      <c r="U414" s="153">
        <v>0.38819444444444445</v>
      </c>
      <c r="V414" s="154">
        <v>40.5</v>
      </c>
      <c r="W414" s="153">
        <v>0.72499999999999998</v>
      </c>
      <c r="X414" s="91">
        <v>80.5</v>
      </c>
      <c r="Y414" s="91">
        <v>13.6</v>
      </c>
      <c r="Z414" s="154">
        <v>40</v>
      </c>
      <c r="AA414" s="153">
        <v>0.39097222222222222</v>
      </c>
      <c r="AB414" s="154">
        <v>89</v>
      </c>
      <c r="AC414" s="154">
        <v>15.6</v>
      </c>
      <c r="AD414" s="91"/>
      <c r="AE414" s="94">
        <f>Table3.110[[#This Row],[Gas 8h, ml]]-Table3.110[[#This Row],[Gas 0h, ml]]</f>
        <v>40</v>
      </c>
      <c r="AF414" s="94">
        <f>Table3.110[[#This Row],[Gas 24h, ml]]-Table3.110[[#This Row],[V8 Push back, ml]]</f>
        <v>49</v>
      </c>
      <c r="AG414" s="94">
        <f>Table3.110[[#This Row],[GP 8h, ml]]-(AVERAGE(AE$293,AE$294,AE$385,AE$386,AE$477,AE$478))*$AG$8</f>
        <v>38.746240428868305</v>
      </c>
      <c r="AH414" s="94">
        <f>Table3.110[[#This Row],[GP 8-24h, ml]]-(AVERAGE(AF$293,AF$294,AF$385,AF$386,AF$477,AF$478))*$AG$8</f>
        <v>47.00873479879084</v>
      </c>
      <c r="AI414" s="94">
        <f>Table3.110[[#This Row],[Net gas 8-24h, ml]]+Table3.110[[#This Row],[Net gas 8h, ml]]</f>
        <v>85.754975227659145</v>
      </c>
      <c r="AJ414" s="94">
        <f>Table3.110[[#This Row],[Net gas 8h, ml]]*Table3.110[[#This Row],[CH4 8h %]]%</f>
        <v>5.2694886983260902</v>
      </c>
      <c r="AK414" s="94">
        <f>Table3.110[[#This Row],[Net gas 8-24h, ml]]*Table3.110[[#This Row],[CH4 24h, %]]%</f>
        <v>7.3333626286113711</v>
      </c>
      <c r="AL414" s="94">
        <f>Table3.110[[#This Row],[CH4 8-24h, ml]]+Table3.110[[#This Row],[CH4 8h, ml]]</f>
        <v>12.602851326937461</v>
      </c>
      <c r="AM414" s="94">
        <f>(Table3.110[[#This Row],[Net gas 24h, ml]]/Table3.110[[#This Row],[DM Incubated, mg]])*1000</f>
        <v>186.19674232405899</v>
      </c>
      <c r="AN414" s="94">
        <f>'3.2 Digest'!X414</f>
        <v>50.712293490431989</v>
      </c>
      <c r="AO414" s="94">
        <f>Table3.110[[#This Row],[Digested feed, mg]]/Table3.110[[#This Row],[Net gas 24h, ml]]</f>
        <v>2.7235865062650628</v>
      </c>
      <c r="AP414" s="94">
        <f>Table3.110[[#This Row],[CH4 8h, ml]]/Table3.110[[#This Row],[Net gas 8h, ml]]%</f>
        <v>13.600000000000001</v>
      </c>
      <c r="AQ414" s="94">
        <f>Table3.110[[#This Row],[CH4 24h, ml]]/Table3.110[[#This Row],[Net gas 24h, ml]]%</f>
        <v>14.696350029231397</v>
      </c>
      <c r="AR414" s="94">
        <f>Table3.110[[#This Row],[CH4 24h, ml]]/Table3.110[[#This Row],[DM Incubated, mg]]*1000</f>
        <v>27.36412499496975</v>
      </c>
      <c r="AS414" s="94">
        <f>Table3.110[[#This Row],[CH4 24h, ml]]/Table3.110[[#This Row],[Digested feed, mg]]*1000</f>
        <v>53.959549276020425</v>
      </c>
      <c r="AT414" s="94">
        <f>Table3.110[[#This Row],[CH4 24h, ml]]/'3.2 Digest'!AA414</f>
        <v>-6.2694140118444448</v>
      </c>
      <c r="AU414" s="94">
        <f>((Table3.110[[#This Row],[CH4 24h, ml]]/28.9)*16.04)/Table3.110[[#This Row],[DM Incubated, mg]]*1000</f>
        <v>15.187562799976289</v>
      </c>
      <c r="AV414" s="94">
        <f>((Table3.110[[#This Row],[CH4 24h, ml]]/28.9)*16.04)/Table3.110[[#This Row],[Digested feed, mg]]*1000</f>
        <v>29.948483404407181</v>
      </c>
      <c r="AW414" s="303"/>
    </row>
    <row r="415" spans="1:49" s="304" customFormat="1" x14ac:dyDescent="0.35">
      <c r="A415" s="89"/>
      <c r="B415" s="90">
        <f t="shared" si="6"/>
        <v>405</v>
      </c>
      <c r="C415" s="140">
        <v>46048</v>
      </c>
      <c r="D415" s="6" t="s">
        <v>16</v>
      </c>
      <c r="E415" s="6" t="s">
        <v>252</v>
      </c>
      <c r="F415" s="133" t="s">
        <v>219</v>
      </c>
      <c r="G415" s="133" t="s">
        <v>253</v>
      </c>
      <c r="H415" s="133" t="s">
        <v>254</v>
      </c>
      <c r="I415" s="133" t="s">
        <v>22</v>
      </c>
      <c r="J415" s="132" t="s">
        <v>23</v>
      </c>
      <c r="K415" s="133" t="s">
        <v>215</v>
      </c>
      <c r="L415" s="6" t="s">
        <v>251</v>
      </c>
      <c r="M415" s="93">
        <v>28</v>
      </c>
      <c r="N415" s="93">
        <v>60</v>
      </c>
      <c r="O415" s="6">
        <v>1</v>
      </c>
      <c r="P415" s="129">
        <v>2</v>
      </c>
      <c r="Q415" s="6">
        <v>63</v>
      </c>
      <c r="R415" s="98">
        <v>0.5</v>
      </c>
      <c r="S415" s="94">
        <f>((Table3.110[[#This Row],[Sample weight, g]]*'2.1. DM'!Q155)/100)*1000</f>
        <v>460.2849224216942</v>
      </c>
      <c r="T415" s="94">
        <f>'3.2 Digest'!W415</f>
        <v>162.38492242169417</v>
      </c>
      <c r="U415" s="117">
        <v>0.3888888888888889</v>
      </c>
      <c r="V415" s="155">
        <v>40.5</v>
      </c>
      <c r="W415" s="117">
        <v>0.72569444444444442</v>
      </c>
      <c r="X415" s="96">
        <v>80</v>
      </c>
      <c r="Y415" s="96">
        <v>13.7</v>
      </c>
      <c r="Z415" s="155">
        <v>40</v>
      </c>
      <c r="AA415" s="117">
        <v>0.39097222222222222</v>
      </c>
      <c r="AB415" s="155">
        <v>87</v>
      </c>
      <c r="AC415" s="155">
        <v>15.7</v>
      </c>
      <c r="AD415" s="96"/>
      <c r="AE415" s="94">
        <f>Table3.110[[#This Row],[Gas 8h, ml]]-Table3.110[[#This Row],[Gas 0h, ml]]</f>
        <v>39.5</v>
      </c>
      <c r="AF415" s="94">
        <f>Table3.110[[#This Row],[Gas 24h, ml]]-Table3.110[[#This Row],[V8 Push back, ml]]</f>
        <v>47</v>
      </c>
      <c r="AG415" s="94">
        <f>Table3.110[[#This Row],[GP 8h, ml]]-(AVERAGE(AE$293,AE$294,AE$385,AE$386,AE$477,AE$478))*$AG$8</f>
        <v>38.246240428868305</v>
      </c>
      <c r="AH415" s="94">
        <f>Table3.110[[#This Row],[GP 8-24h, ml]]-(AVERAGE(AF$293,AF$294,AF$385,AF$386,AF$477,AF$478))*$AG$8</f>
        <v>45.00873479879084</v>
      </c>
      <c r="AI415" s="94">
        <f>Table3.110[[#This Row],[Net gas 8-24h, ml]]+Table3.110[[#This Row],[Net gas 8h, ml]]</f>
        <v>83.254975227659145</v>
      </c>
      <c r="AJ415" s="94">
        <f>Table3.110[[#This Row],[Net gas 8h, ml]]*Table3.110[[#This Row],[CH4 8h %]]%</f>
        <v>5.2397349387549568</v>
      </c>
      <c r="AK415" s="94">
        <f>Table3.110[[#This Row],[Net gas 8-24h, ml]]*Table3.110[[#This Row],[CH4 24h, %]]%</f>
        <v>7.0663713634101617</v>
      </c>
      <c r="AL415" s="94">
        <f>Table3.110[[#This Row],[CH4 8-24h, ml]]+Table3.110[[#This Row],[CH4 8h, ml]]</f>
        <v>12.306106302165119</v>
      </c>
      <c r="AM415" s="94">
        <f>(Table3.110[[#This Row],[Net gas 24h, ml]]/Table3.110[[#This Row],[DM Incubated, mg]])*1000</f>
        <v>180.87704196268317</v>
      </c>
      <c r="AN415" s="94">
        <f>'3.2 Digest'!X415</f>
        <v>35.279218264925859</v>
      </c>
      <c r="AO415" s="94">
        <f>Table3.110[[#This Row],[Digested feed, mg]]/Table3.110[[#This Row],[Net gas 24h, ml]]</f>
        <v>1.9504530747580633</v>
      </c>
      <c r="AP415" s="94">
        <f>Table3.110[[#This Row],[CH4 8h, ml]]/Table3.110[[#This Row],[Net gas 8h, ml]]%</f>
        <v>13.699999999999998</v>
      </c>
      <c r="AQ415" s="94">
        <f>Table3.110[[#This Row],[CH4 24h, ml]]/Table3.110[[#This Row],[Net gas 24h, ml]]%</f>
        <v>14.781226309315818</v>
      </c>
      <c r="AR415" s="94">
        <f>Table3.110[[#This Row],[CH4 24h, ml]]/Table3.110[[#This Row],[DM Incubated, mg]]*1000</f>
        <v>26.735844914100333</v>
      </c>
      <c r="AS415" s="94">
        <f>Table3.110[[#This Row],[CH4 24h, ml]]/Table3.110[[#This Row],[Digested feed, mg]]*1000</f>
        <v>75.783552553035918</v>
      </c>
      <c r="AT415" s="94">
        <f>Table3.110[[#This Row],[CH4 24h, ml]]/'3.2 Digest'!AA415</f>
        <v>-0.36245734769822374</v>
      </c>
      <c r="AU415" s="94">
        <f>((Table3.110[[#This Row],[CH4 24h, ml]]/28.9)*16.04)/Table3.110[[#This Row],[DM Incubated, mg]]*1000</f>
        <v>14.838856485196171</v>
      </c>
      <c r="AV415" s="94">
        <f>((Table3.110[[#This Row],[CH4 24h, ml]]/28.9)*16.04)/Table3.110[[#This Row],[Digested feed, mg]]*1000</f>
        <v>42.061182801062145</v>
      </c>
      <c r="AW415" s="303"/>
    </row>
    <row r="416" spans="1:49" s="304" customFormat="1" x14ac:dyDescent="0.35">
      <c r="A416" s="89"/>
      <c r="B416" s="90">
        <f t="shared" si="6"/>
        <v>406</v>
      </c>
      <c r="C416" s="140">
        <v>46048</v>
      </c>
      <c r="D416" s="6" t="s">
        <v>16</v>
      </c>
      <c r="E416" s="6" t="s">
        <v>252</v>
      </c>
      <c r="F416" s="133" t="s">
        <v>219</v>
      </c>
      <c r="G416" s="133" t="s">
        <v>253</v>
      </c>
      <c r="H416" s="133" t="s">
        <v>254</v>
      </c>
      <c r="I416" s="133" t="s">
        <v>22</v>
      </c>
      <c r="J416" s="132" t="s">
        <v>23</v>
      </c>
      <c r="K416" s="133" t="s">
        <v>215</v>
      </c>
      <c r="L416" s="6" t="s">
        <v>251</v>
      </c>
      <c r="M416" s="93">
        <v>28</v>
      </c>
      <c r="N416" s="93">
        <v>60</v>
      </c>
      <c r="O416" s="6">
        <v>1</v>
      </c>
      <c r="P416" s="129">
        <v>3</v>
      </c>
      <c r="Q416" s="6">
        <v>64</v>
      </c>
      <c r="R416" s="98">
        <v>0.50019999999999998</v>
      </c>
      <c r="S416" s="94">
        <f>((Table3.110[[#This Row],[Sample weight, g]]*'2.1. DM'!Q155)/100)*1000</f>
        <v>460.46903639066289</v>
      </c>
      <c r="T416" s="94">
        <f>'3.2 Digest'!W416</f>
        <v>232.26903639066282</v>
      </c>
      <c r="U416" s="153">
        <v>0.3888888888888889</v>
      </c>
      <c r="V416" s="154">
        <v>40.5</v>
      </c>
      <c r="W416" s="153">
        <v>0.72569444444444442</v>
      </c>
      <c r="X416" s="91">
        <v>79.5</v>
      </c>
      <c r="Y416" s="91">
        <v>13.8</v>
      </c>
      <c r="Z416" s="154">
        <v>40</v>
      </c>
      <c r="AA416" s="153">
        <v>0.39166666666666666</v>
      </c>
      <c r="AB416" s="154">
        <v>88.5</v>
      </c>
      <c r="AC416" s="154">
        <v>15.8</v>
      </c>
      <c r="AD416" s="91"/>
      <c r="AE416" s="94">
        <f>Table3.110[[#This Row],[Gas 8h, ml]]-Table3.110[[#This Row],[Gas 0h, ml]]</f>
        <v>39</v>
      </c>
      <c r="AF416" s="94">
        <f>Table3.110[[#This Row],[Gas 24h, ml]]-Table3.110[[#This Row],[V8 Push back, ml]]</f>
        <v>48.5</v>
      </c>
      <c r="AG416" s="94">
        <f>Table3.110[[#This Row],[GP 8h, ml]]-(AVERAGE(AE$293,AE$294,AE$385,AE$386,AE$477,AE$478))*$AG$8</f>
        <v>37.746240428868305</v>
      </c>
      <c r="AH416" s="94">
        <f>Table3.110[[#This Row],[GP 8-24h, ml]]-(AVERAGE(AF$293,AF$294,AF$385,AF$386,AF$477,AF$478))*$AG$8</f>
        <v>46.50873479879084</v>
      </c>
      <c r="AI416" s="94">
        <f>Table3.110[[#This Row],[Net gas 8-24h, ml]]+Table3.110[[#This Row],[Net gas 8h, ml]]</f>
        <v>84.254975227659145</v>
      </c>
      <c r="AJ416" s="94">
        <f>Table3.110[[#This Row],[Net gas 8h, ml]]*Table3.110[[#This Row],[CH4 8h %]]%</f>
        <v>5.2089811791838265</v>
      </c>
      <c r="AK416" s="94">
        <f>Table3.110[[#This Row],[Net gas 8-24h, ml]]*Table3.110[[#This Row],[CH4 24h, %]]%</f>
        <v>7.3483800982089527</v>
      </c>
      <c r="AL416" s="94">
        <f>Table3.110[[#This Row],[CH4 8-24h, ml]]+Table3.110[[#This Row],[CH4 8h, ml]]</f>
        <v>12.557361277392779</v>
      </c>
      <c r="AM416" s="94">
        <f>(Table3.110[[#This Row],[Net gas 24h, ml]]/Table3.110[[#This Row],[DM Incubated, mg]])*1000</f>
        <v>182.9764187578881</v>
      </c>
      <c r="AN416" s="94">
        <f>'3.2 Digest'!X416</f>
        <v>50.441836048581834</v>
      </c>
      <c r="AO416" s="94">
        <f>Table3.110[[#This Row],[Digested feed, mg]]/Table3.110[[#This Row],[Net gas 24h, ml]]</f>
        <v>2.7567397149315611</v>
      </c>
      <c r="AP416" s="94">
        <f>Table3.110[[#This Row],[CH4 8h, ml]]/Table3.110[[#This Row],[Net gas 8h, ml]]%</f>
        <v>13.8</v>
      </c>
      <c r="AQ416" s="94">
        <f>Table3.110[[#This Row],[CH4 24h, ml]]/Table3.110[[#This Row],[Net gas 24h, ml]]%</f>
        <v>14.903999726381096</v>
      </c>
      <c r="AR416" s="94">
        <f>Table3.110[[#This Row],[CH4 24h, ml]]/Table3.110[[#This Row],[DM Incubated, mg]]*1000</f>
        <v>27.270804951017571</v>
      </c>
      <c r="AS416" s="94">
        <f>Table3.110[[#This Row],[CH4 24h, ml]]/Table3.110[[#This Row],[Digested feed, mg]]*1000</f>
        <v>54.063862633295805</v>
      </c>
      <c r="AT416" s="94">
        <f>Table3.110[[#This Row],[CH4 24h, ml]]/'3.2 Digest'!AA416</f>
        <v>-4.8861808291959514</v>
      </c>
      <c r="AU416" s="94">
        <f>((Table3.110[[#This Row],[CH4 24h, ml]]/28.9)*16.04)/Table3.110[[#This Row],[DM Incubated, mg]]*1000</f>
        <v>15.135768561049197</v>
      </c>
      <c r="AV416" s="94">
        <f>((Table3.110[[#This Row],[CH4 24h, ml]]/28.9)*16.04)/Table3.110[[#This Row],[Digested feed, mg]]*1000</f>
        <v>30.006379122424384</v>
      </c>
      <c r="AW416" s="303"/>
    </row>
    <row r="417" spans="1:49" s="304" customFormat="1" x14ac:dyDescent="0.35">
      <c r="A417" s="89"/>
      <c r="B417" s="90">
        <f t="shared" si="6"/>
        <v>407</v>
      </c>
      <c r="C417" s="140">
        <v>46048</v>
      </c>
      <c r="D417" s="6" t="s">
        <v>16</v>
      </c>
      <c r="E417" s="6" t="s">
        <v>256</v>
      </c>
      <c r="F417" s="133" t="s">
        <v>219</v>
      </c>
      <c r="G417" s="133" t="s">
        <v>253</v>
      </c>
      <c r="H417" s="133" t="s">
        <v>254</v>
      </c>
      <c r="I417" s="133" t="s">
        <v>22</v>
      </c>
      <c r="J417" s="132" t="s">
        <v>23</v>
      </c>
      <c r="K417" s="133" t="s">
        <v>215</v>
      </c>
      <c r="L417" s="6" t="s">
        <v>255</v>
      </c>
      <c r="M417" s="93">
        <v>28</v>
      </c>
      <c r="N417" s="93">
        <v>60</v>
      </c>
      <c r="O417" s="6">
        <v>1</v>
      </c>
      <c r="P417" s="129">
        <v>1</v>
      </c>
      <c r="Q417" s="6">
        <v>65</v>
      </c>
      <c r="R417" s="98">
        <v>0.50029999999999997</v>
      </c>
      <c r="S417" s="94">
        <f>((Table3.110[[#This Row],[Sample weight, g]]*'2.1. DM'!Q157)/100)*1000</f>
        <v>461.39225154969012</v>
      </c>
      <c r="T417" s="94">
        <f>'3.2 Digest'!W417</f>
        <v>197.69225154969007</v>
      </c>
      <c r="U417" s="117">
        <v>0.38958333333333334</v>
      </c>
      <c r="V417" s="155">
        <v>40</v>
      </c>
      <c r="W417" s="117">
        <v>0.72638888888888886</v>
      </c>
      <c r="X417" s="96">
        <v>78</v>
      </c>
      <c r="Y417" s="96">
        <v>11.9</v>
      </c>
      <c r="Z417" s="155">
        <v>40</v>
      </c>
      <c r="AA417" s="117">
        <v>0.39166666666666666</v>
      </c>
      <c r="AB417" s="155">
        <v>87.5</v>
      </c>
      <c r="AC417" s="155">
        <v>15.2</v>
      </c>
      <c r="AD417" s="96"/>
      <c r="AE417" s="94">
        <f>Table3.110[[#This Row],[Gas 8h, ml]]-Table3.110[[#This Row],[Gas 0h, ml]]</f>
        <v>38</v>
      </c>
      <c r="AF417" s="94">
        <f>Table3.110[[#This Row],[Gas 24h, ml]]-Table3.110[[#This Row],[V8 Push back, ml]]</f>
        <v>47.5</v>
      </c>
      <c r="AG417" s="94">
        <f>Table3.110[[#This Row],[GP 8h, ml]]-(AVERAGE(AE$293,AE$294,AE$385,AE$386,AE$477,AE$478))*$AG$8</f>
        <v>36.746240428868305</v>
      </c>
      <c r="AH417" s="94">
        <f>Table3.110[[#This Row],[GP 8-24h, ml]]-(AVERAGE(AF$293,AF$294,AF$385,AF$386,AF$477,AF$478))*$AG$8</f>
        <v>45.50873479879084</v>
      </c>
      <c r="AI417" s="94">
        <f>Table3.110[[#This Row],[Net gas 8-24h, ml]]+Table3.110[[#This Row],[Net gas 8h, ml]]</f>
        <v>82.254975227659145</v>
      </c>
      <c r="AJ417" s="94">
        <f>Table3.110[[#This Row],[Net gas 8h, ml]]*Table3.110[[#This Row],[CH4 8h %]]%</f>
        <v>4.3728026110353282</v>
      </c>
      <c r="AK417" s="94">
        <f>Table3.110[[#This Row],[Net gas 8-24h, ml]]*Table3.110[[#This Row],[CH4 24h, %]]%</f>
        <v>6.9173276894162079</v>
      </c>
      <c r="AL417" s="94">
        <f>Table3.110[[#This Row],[CH4 8-24h, ml]]+Table3.110[[#This Row],[CH4 8h, ml]]</f>
        <v>11.290130300451537</v>
      </c>
      <c r="AM417" s="94">
        <f>(Table3.110[[#This Row],[Net gas 24h, ml]]/Table3.110[[#This Row],[DM Incubated, mg]])*1000</f>
        <v>178.27558861551583</v>
      </c>
      <c r="AN417" s="94">
        <f>'3.2 Digest'!X417</f>
        <v>42.846894564374665</v>
      </c>
      <c r="AO417" s="94">
        <f>Table3.110[[#This Row],[Digested feed, mg]]/Table3.110[[#This Row],[Net gas 24h, ml]]</f>
        <v>2.4034078303778257</v>
      </c>
      <c r="AP417" s="94">
        <f>Table3.110[[#This Row],[CH4 8h, ml]]/Table3.110[[#This Row],[Net gas 8h, ml]]%</f>
        <v>11.9</v>
      </c>
      <c r="AQ417" s="94">
        <f>Table3.110[[#This Row],[CH4 24h, ml]]/Table3.110[[#This Row],[Net gas 24h, ml]]%</f>
        <v>13.725771929544155</v>
      </c>
      <c r="AR417" s="94">
        <f>Table3.110[[#This Row],[CH4 24h, ml]]/Table3.110[[#This Row],[DM Incubated, mg]]*1000</f>
        <v>24.469700699418084</v>
      </c>
      <c r="AS417" s="94">
        <f>Table3.110[[#This Row],[CH4 24h, ml]]/Table3.110[[#This Row],[Digested feed, mg]]*1000</f>
        <v>57.109624742241124</v>
      </c>
      <c r="AT417" s="94">
        <f>Table3.110[[#This Row],[CH4 24h, ml]]/'3.2 Digest'!AA417</f>
        <v>-0.74480606725313736</v>
      </c>
      <c r="AU417" s="94">
        <f>((Table3.110[[#This Row],[CH4 24h, ml]]/28.9)*16.04)/Table3.110[[#This Row],[DM Incubated, mg]]*1000</f>
        <v>13.581107239400209</v>
      </c>
      <c r="AV417" s="94">
        <f>((Table3.110[[#This Row],[CH4 24h, ml]]/28.9)*16.04)/Table3.110[[#This Row],[Digested feed, mg]]*1000</f>
        <v>31.696829787735211</v>
      </c>
      <c r="AW417" s="303"/>
    </row>
    <row r="418" spans="1:49" s="304" customFormat="1" x14ac:dyDescent="0.35">
      <c r="A418" s="89"/>
      <c r="B418" s="90">
        <f t="shared" si="6"/>
        <v>408</v>
      </c>
      <c r="C418" s="140">
        <v>46048</v>
      </c>
      <c r="D418" s="6" t="s">
        <v>16</v>
      </c>
      <c r="E418" s="6" t="s">
        <v>256</v>
      </c>
      <c r="F418" s="133" t="s">
        <v>219</v>
      </c>
      <c r="G418" s="133" t="s">
        <v>253</v>
      </c>
      <c r="H418" s="133" t="s">
        <v>254</v>
      </c>
      <c r="I418" s="133" t="s">
        <v>22</v>
      </c>
      <c r="J418" s="132" t="s">
        <v>23</v>
      </c>
      <c r="K418" s="133" t="s">
        <v>215</v>
      </c>
      <c r="L418" s="6" t="s">
        <v>255</v>
      </c>
      <c r="M418" s="93">
        <v>28</v>
      </c>
      <c r="N418" s="93">
        <v>60</v>
      </c>
      <c r="O418" s="6">
        <v>1</v>
      </c>
      <c r="P418" s="6">
        <v>2</v>
      </c>
      <c r="Q418" s="6">
        <v>66</v>
      </c>
      <c r="R418" s="98">
        <v>0.50029999999999997</v>
      </c>
      <c r="S418" s="94">
        <f>((Table3.110[[#This Row],[Sample weight, g]]*'2.1. DM'!Q157)/100)*1000</f>
        <v>461.39225154969012</v>
      </c>
      <c r="T418" s="94">
        <f>'3.2 Digest'!W418</f>
        <v>216.39225154969012</v>
      </c>
      <c r="U418" s="153">
        <v>0.38958333333333334</v>
      </c>
      <c r="V418" s="154">
        <v>40</v>
      </c>
      <c r="W418" s="153">
        <v>0.7270833333333333</v>
      </c>
      <c r="X418" s="91">
        <v>78.5</v>
      </c>
      <c r="Y418" s="91">
        <v>11.8</v>
      </c>
      <c r="Z418" s="154">
        <v>40</v>
      </c>
      <c r="AA418" s="153">
        <v>0.3923611111111111</v>
      </c>
      <c r="AB418" s="154">
        <v>85</v>
      </c>
      <c r="AC418" s="154">
        <v>15.5</v>
      </c>
      <c r="AD418" s="91"/>
      <c r="AE418" s="94">
        <f>Table3.110[[#This Row],[Gas 8h, ml]]-Table3.110[[#This Row],[Gas 0h, ml]]</f>
        <v>38.5</v>
      </c>
      <c r="AF418" s="94">
        <f>Table3.110[[#This Row],[Gas 24h, ml]]-Table3.110[[#This Row],[V8 Push back, ml]]</f>
        <v>45</v>
      </c>
      <c r="AG418" s="94">
        <f>Table3.110[[#This Row],[GP 8h, ml]]-(AVERAGE(AE$293,AE$294,AE$385,AE$386,AE$477,AE$478))*$AG$8</f>
        <v>37.246240428868305</v>
      </c>
      <c r="AH418" s="94">
        <f>Table3.110[[#This Row],[GP 8-24h, ml]]-(AVERAGE(AF$293,AF$294,AF$385,AF$386,AF$477,AF$478))*$AG$8</f>
        <v>43.00873479879084</v>
      </c>
      <c r="AI418" s="94">
        <f>Table3.110[[#This Row],[Net gas 8-24h, ml]]+Table3.110[[#This Row],[Net gas 8h, ml]]</f>
        <v>80.254975227659145</v>
      </c>
      <c r="AJ418" s="94">
        <f>Table3.110[[#This Row],[Net gas 8h, ml]]*Table3.110[[#This Row],[CH4 8h %]]%</f>
        <v>4.3950563706064605</v>
      </c>
      <c r="AK418" s="94">
        <f>Table3.110[[#This Row],[Net gas 8-24h, ml]]*Table3.110[[#This Row],[CH4 24h, %]]%</f>
        <v>6.6663538938125804</v>
      </c>
      <c r="AL418" s="94">
        <f>Table3.110[[#This Row],[CH4 8-24h, ml]]+Table3.110[[#This Row],[CH4 8h, ml]]</f>
        <v>11.061410264419042</v>
      </c>
      <c r="AM418" s="94">
        <f>(Table3.110[[#This Row],[Net gas 24h, ml]]/Table3.110[[#This Row],[DM Incubated, mg]])*1000</f>
        <v>173.9408820978347</v>
      </c>
      <c r="AN418" s="94">
        <f>'3.2 Digest'!X418</f>
        <v>46.899845158406507</v>
      </c>
      <c r="AO418" s="94">
        <f>Table3.110[[#This Row],[Digested feed, mg]]/Table3.110[[#This Row],[Net gas 24h, ml]]</f>
        <v>2.6963094927865918</v>
      </c>
      <c r="AP418" s="94">
        <f>Table3.110[[#This Row],[CH4 8h, ml]]/Table3.110[[#This Row],[Net gas 8h, ml]]%</f>
        <v>11.8</v>
      </c>
      <c r="AQ418" s="94">
        <f>Table3.110[[#This Row],[CH4 24h, ml]]/Table3.110[[#This Row],[Net gas 24h, ml]]%</f>
        <v>13.782834314061102</v>
      </c>
      <c r="AR418" s="94">
        <f>Table3.110[[#This Row],[CH4 24h, ml]]/Table3.110[[#This Row],[DM Incubated, mg]]*1000</f>
        <v>23.97398358396093</v>
      </c>
      <c r="AS418" s="94">
        <f>Table3.110[[#This Row],[CH4 24h, ml]]/Table3.110[[#This Row],[Digested feed, mg]]*1000</f>
        <v>51.117404552163514</v>
      </c>
      <c r="AT418" s="94">
        <f>Table3.110[[#This Row],[CH4 24h, ml]]/'3.2 Digest'!AA418</f>
        <v>-1.5819768747457448</v>
      </c>
      <c r="AU418" s="94">
        <f>((Table3.110[[#This Row],[CH4 24h, ml]]/28.9)*16.04)/Table3.110[[#This Row],[DM Incubated, mg]]*1000</f>
        <v>13.305975663900806</v>
      </c>
      <c r="AV418" s="94">
        <f>((Table3.110[[#This Row],[CH4 24h, ml]]/28.9)*16.04)/Table3.110[[#This Row],[Digested feed, mg]]*1000</f>
        <v>28.371043910612553</v>
      </c>
      <c r="AW418" s="303"/>
    </row>
    <row r="419" spans="1:49" s="304" customFormat="1" x14ac:dyDescent="0.35">
      <c r="A419" s="89"/>
      <c r="B419" s="90">
        <f t="shared" si="6"/>
        <v>409</v>
      </c>
      <c r="C419" s="140">
        <v>46048</v>
      </c>
      <c r="D419" s="6" t="s">
        <v>16</v>
      </c>
      <c r="E419" s="6" t="s">
        <v>256</v>
      </c>
      <c r="F419" s="133" t="s">
        <v>219</v>
      </c>
      <c r="G419" s="133" t="s">
        <v>253</v>
      </c>
      <c r="H419" s="133" t="s">
        <v>254</v>
      </c>
      <c r="I419" s="133" t="s">
        <v>22</v>
      </c>
      <c r="J419" s="132" t="s">
        <v>23</v>
      </c>
      <c r="K419" s="133" t="s">
        <v>215</v>
      </c>
      <c r="L419" s="6" t="s">
        <v>255</v>
      </c>
      <c r="M419" s="93">
        <v>28</v>
      </c>
      <c r="N419" s="93">
        <v>60</v>
      </c>
      <c r="O419" s="6">
        <v>1</v>
      </c>
      <c r="P419" s="129">
        <v>3</v>
      </c>
      <c r="Q419" s="6">
        <v>67</v>
      </c>
      <c r="R419" s="98">
        <v>0.50019999999999998</v>
      </c>
      <c r="S419" s="94">
        <f>((Table3.110[[#This Row],[Sample weight, g]]*'2.1. DM'!Q157)/100)*1000</f>
        <v>461.30002843325002</v>
      </c>
      <c r="T419" s="94">
        <f>'3.2 Digest'!W419</f>
        <v>249.40002843325004</v>
      </c>
      <c r="U419" s="117">
        <v>0.38958333333333334</v>
      </c>
      <c r="V419" s="155">
        <v>40</v>
      </c>
      <c r="W419" s="117">
        <v>0.7270833333333333</v>
      </c>
      <c r="X419" s="96">
        <v>78</v>
      </c>
      <c r="Y419" s="96">
        <v>11.6</v>
      </c>
      <c r="Z419" s="155">
        <v>40</v>
      </c>
      <c r="AA419" s="117">
        <v>0.3923611111111111</v>
      </c>
      <c r="AB419" s="155">
        <v>86</v>
      </c>
      <c r="AC419" s="155">
        <v>15.2</v>
      </c>
      <c r="AD419" s="96"/>
      <c r="AE419" s="94">
        <f>Table3.110[[#This Row],[Gas 8h, ml]]-Table3.110[[#This Row],[Gas 0h, ml]]</f>
        <v>38</v>
      </c>
      <c r="AF419" s="94">
        <f>Table3.110[[#This Row],[Gas 24h, ml]]-Table3.110[[#This Row],[V8 Push back, ml]]</f>
        <v>46</v>
      </c>
      <c r="AG419" s="94">
        <f>Table3.110[[#This Row],[GP 8h, ml]]-(AVERAGE(AE$293,AE$294,AE$385,AE$386,AE$477,AE$478))*$AG$8</f>
        <v>36.746240428868305</v>
      </c>
      <c r="AH419" s="94">
        <f>Table3.110[[#This Row],[GP 8-24h, ml]]-(AVERAGE(AF$293,AF$294,AF$385,AF$386,AF$477,AF$478))*$AG$8</f>
        <v>44.00873479879084</v>
      </c>
      <c r="AI419" s="94">
        <f>Table3.110[[#This Row],[Net gas 8-24h, ml]]+Table3.110[[#This Row],[Net gas 8h, ml]]</f>
        <v>80.754975227659145</v>
      </c>
      <c r="AJ419" s="94">
        <f>Table3.110[[#This Row],[Net gas 8h, ml]]*Table3.110[[#This Row],[CH4 8h %]]%</f>
        <v>4.2625638897487228</v>
      </c>
      <c r="AK419" s="94">
        <f>Table3.110[[#This Row],[Net gas 8-24h, ml]]*Table3.110[[#This Row],[CH4 24h, %]]%</f>
        <v>6.6893276894162073</v>
      </c>
      <c r="AL419" s="94">
        <f>Table3.110[[#This Row],[CH4 8-24h, ml]]+Table3.110[[#This Row],[CH4 8h, ml]]</f>
        <v>10.951891579164929</v>
      </c>
      <c r="AM419" s="94">
        <f>(Table3.110[[#This Row],[Net gas 24h, ml]]/Table3.110[[#This Row],[DM Incubated, mg]])*1000</f>
        <v>175.05954964263429</v>
      </c>
      <c r="AN419" s="94">
        <f>'3.2 Digest'!X419</f>
        <v>54.06460287468596</v>
      </c>
      <c r="AO419" s="94">
        <f>Table3.110[[#This Row],[Digested feed, mg]]/Table3.110[[#This Row],[Net gas 24h, ml]]</f>
        <v>3.0883549617860422</v>
      </c>
      <c r="AP419" s="94">
        <f>Table3.110[[#This Row],[CH4 8h, ml]]/Table3.110[[#This Row],[Net gas 8h, ml]]%</f>
        <v>11.599999999999998</v>
      </c>
      <c r="AQ419" s="94">
        <f>Table3.110[[#This Row],[CH4 24h, ml]]/Table3.110[[#This Row],[Net gas 24h, ml]]%</f>
        <v>13.561878445619076</v>
      </c>
      <c r="AR419" s="94">
        <f>Table3.110[[#This Row],[CH4 24h, ml]]/Table3.110[[#This Row],[DM Incubated, mg]]*1000</f>
        <v>23.741363329982246</v>
      </c>
      <c r="AS419" s="94">
        <f>Table3.110[[#This Row],[CH4 24h, ml]]/Table3.110[[#This Row],[Digested feed, mg]]*1000</f>
        <v>43.912952408087307</v>
      </c>
      <c r="AT419" s="94">
        <f>Table3.110[[#This Row],[CH4 24h, ml]]/'3.2 Digest'!AA419</f>
        <v>1.471195380501801</v>
      </c>
      <c r="AU419" s="94">
        <f>((Table3.110[[#This Row],[CH4 24h, ml]]/28.9)*16.04)/Table3.110[[#This Row],[DM Incubated, mg]]*1000</f>
        <v>13.176867398370769</v>
      </c>
      <c r="AV419" s="94">
        <f>((Table3.110[[#This Row],[CH4 24h, ml]]/28.9)*16.04)/Table3.110[[#This Row],[Digested feed, mg]]*1000</f>
        <v>24.372448326149495</v>
      </c>
      <c r="AW419" s="303"/>
    </row>
    <row r="420" spans="1:49" s="304" customFormat="1" x14ac:dyDescent="0.35">
      <c r="A420" s="89"/>
      <c r="B420" s="90">
        <f t="shared" si="6"/>
        <v>410</v>
      </c>
      <c r="C420" s="140">
        <v>46048</v>
      </c>
      <c r="D420" s="6" t="s">
        <v>16</v>
      </c>
      <c r="E420" s="6" t="s">
        <v>258</v>
      </c>
      <c r="F420" s="133" t="s">
        <v>259</v>
      </c>
      <c r="G420" s="133" t="s">
        <v>260</v>
      </c>
      <c r="H420" s="133" t="s">
        <v>261</v>
      </c>
      <c r="I420" s="133" t="s">
        <v>22</v>
      </c>
      <c r="J420" s="132" t="s">
        <v>23</v>
      </c>
      <c r="K420" s="133" t="s">
        <v>215</v>
      </c>
      <c r="L420" s="6" t="s">
        <v>257</v>
      </c>
      <c r="M420" s="93">
        <v>28</v>
      </c>
      <c r="N420" s="93">
        <v>60</v>
      </c>
      <c r="O420" s="6">
        <v>1</v>
      </c>
      <c r="P420" s="129">
        <v>1</v>
      </c>
      <c r="Q420" s="6">
        <v>68</v>
      </c>
      <c r="R420" s="98">
        <v>0.5</v>
      </c>
      <c r="S420" s="94">
        <f>((Table3.110[[#This Row],[Sample weight, g]]*'2.1. DM'!Q159)/100)*1000</f>
        <v>457.0314780565829</v>
      </c>
      <c r="T420" s="94">
        <f>'3.2 Digest'!W420</f>
        <v>70.031478056582898</v>
      </c>
      <c r="U420" s="153">
        <v>0.39027777777777778</v>
      </c>
      <c r="V420" s="154">
        <v>40.5</v>
      </c>
      <c r="W420" s="153">
        <v>0.72777777777777775</v>
      </c>
      <c r="X420" s="91">
        <v>77</v>
      </c>
      <c r="Y420" s="91">
        <v>13.7</v>
      </c>
      <c r="Z420" s="154">
        <v>40</v>
      </c>
      <c r="AA420" s="153">
        <v>0.39305555555555555</v>
      </c>
      <c r="AB420" s="154">
        <v>77.5</v>
      </c>
      <c r="AC420" s="154">
        <v>17.5</v>
      </c>
      <c r="AD420" s="91"/>
      <c r="AE420" s="94">
        <f>Table3.110[[#This Row],[Gas 8h, ml]]-Table3.110[[#This Row],[Gas 0h, ml]]</f>
        <v>36.5</v>
      </c>
      <c r="AF420" s="94">
        <f>Table3.110[[#This Row],[Gas 24h, ml]]-Table3.110[[#This Row],[V8 Push back, ml]]</f>
        <v>37.5</v>
      </c>
      <c r="AG420" s="94"/>
      <c r="AH420" s="94"/>
      <c r="AI420" s="94"/>
      <c r="AJ420" s="94"/>
      <c r="AK420" s="94"/>
      <c r="AL420" s="94"/>
      <c r="AM420" s="94"/>
      <c r="AN420" s="94"/>
      <c r="AO420" s="94"/>
      <c r="AP420" s="94"/>
      <c r="AQ420" s="94"/>
      <c r="AR420" s="94"/>
      <c r="AS420" s="94"/>
      <c r="AT420" s="94"/>
      <c r="AU420" s="94"/>
      <c r="AV420" s="94"/>
      <c r="AW420" s="303"/>
    </row>
    <row r="421" spans="1:49" s="304" customFormat="1" x14ac:dyDescent="0.35">
      <c r="A421" s="89"/>
      <c r="B421" s="90">
        <f t="shared" si="6"/>
        <v>411</v>
      </c>
      <c r="C421" s="140">
        <v>46048</v>
      </c>
      <c r="D421" s="6" t="s">
        <v>16</v>
      </c>
      <c r="E421" s="6" t="s">
        <v>258</v>
      </c>
      <c r="F421" s="133" t="s">
        <v>259</v>
      </c>
      <c r="G421" s="133" t="s">
        <v>260</v>
      </c>
      <c r="H421" s="133" t="s">
        <v>261</v>
      </c>
      <c r="I421" s="133" t="s">
        <v>22</v>
      </c>
      <c r="J421" s="132" t="s">
        <v>23</v>
      </c>
      <c r="K421" s="133" t="s">
        <v>215</v>
      </c>
      <c r="L421" s="6" t="s">
        <v>257</v>
      </c>
      <c r="M421" s="93">
        <v>28</v>
      </c>
      <c r="N421" s="93">
        <v>60</v>
      </c>
      <c r="O421" s="6">
        <v>1</v>
      </c>
      <c r="P421" s="6">
        <v>2</v>
      </c>
      <c r="Q421" s="6">
        <v>69</v>
      </c>
      <c r="R421" s="98">
        <v>0.5</v>
      </c>
      <c r="S421" s="94">
        <f>((Table3.110[[#This Row],[Sample weight, g]]*'2.1. DM'!Q159)/100)*1000</f>
        <v>457.0314780565829</v>
      </c>
      <c r="T421" s="94">
        <f>'3.2 Digest'!W421</f>
        <v>180.83147805658291</v>
      </c>
      <c r="U421" s="117">
        <v>0.39027777777777778</v>
      </c>
      <c r="V421" s="155">
        <v>40</v>
      </c>
      <c r="W421" s="117">
        <v>0.72777777777777775</v>
      </c>
      <c r="X421" s="96">
        <v>79</v>
      </c>
      <c r="Y421" s="96">
        <v>13.9</v>
      </c>
      <c r="Z421" s="155">
        <v>40</v>
      </c>
      <c r="AA421" s="117">
        <v>0.39305555555555555</v>
      </c>
      <c r="AB421" s="155">
        <v>80</v>
      </c>
      <c r="AC421" s="155">
        <v>17.8</v>
      </c>
      <c r="AD421" s="96"/>
      <c r="AE421" s="94">
        <f>Table3.110[[#This Row],[Gas 8h, ml]]-Table3.110[[#This Row],[Gas 0h, ml]]</f>
        <v>39</v>
      </c>
      <c r="AF421" s="94">
        <f>Table3.110[[#This Row],[Gas 24h, ml]]-Table3.110[[#This Row],[V8 Push back, ml]]</f>
        <v>40</v>
      </c>
      <c r="AG421" s="94">
        <f>Table3.110[[#This Row],[GP 8h, ml]]-(AVERAGE(AE$293,AE$294,AE$385,AE$386,AE$477,AE$478))*$AG$8</f>
        <v>37.746240428868305</v>
      </c>
      <c r="AH421" s="94">
        <f>Table3.110[[#This Row],[GP 8-24h, ml]]-(AVERAGE(AF$293,AF$294,AF$385,AF$386,AF$477,AF$478))*$AG$8</f>
        <v>38.00873479879084</v>
      </c>
      <c r="AI421" s="94">
        <f>Table3.110[[#This Row],[Net gas 8-24h, ml]]+Table3.110[[#This Row],[Net gas 8h, ml]]</f>
        <v>75.754975227659145</v>
      </c>
      <c r="AJ421" s="94">
        <f>Table3.110[[#This Row],[Net gas 8h, ml]]*Table3.110[[#This Row],[CH4 8h %]]%</f>
        <v>5.2467274196126947</v>
      </c>
      <c r="AK421" s="94">
        <f>Table3.110[[#This Row],[Net gas 8-24h, ml]]*Table3.110[[#This Row],[CH4 24h, %]]%</f>
        <v>6.7655547941847702</v>
      </c>
      <c r="AL421" s="94">
        <f>Table3.110[[#This Row],[CH4 8-24h, ml]]+Table3.110[[#This Row],[CH4 8h, ml]]</f>
        <v>12.012282213797466</v>
      </c>
      <c r="AM421" s="94">
        <f>(Table3.110[[#This Row],[Net gas 24h, ml]]/Table3.110[[#This Row],[DM Incubated, mg]])*1000</f>
        <v>165.75439300108837</v>
      </c>
      <c r="AN421" s="94">
        <f>'3.2 Digest'!X421</f>
        <v>39.566525882533412</v>
      </c>
      <c r="AO421" s="94">
        <f>Table3.110[[#This Row],[Digested feed, mg]]/Table3.110[[#This Row],[Net gas 24h, ml]]</f>
        <v>2.3870574508558344</v>
      </c>
      <c r="AP421" s="94">
        <f>Table3.110[[#This Row],[CH4 8h, ml]]/Table3.110[[#This Row],[Net gas 8h, ml]]%</f>
        <v>13.9</v>
      </c>
      <c r="AQ421" s="94">
        <f>Table3.110[[#This Row],[CH4 24h, ml]]/Table3.110[[#This Row],[Net gas 24h, ml]]%</f>
        <v>15.856756837023719</v>
      </c>
      <c r="AR421" s="94">
        <f>Table3.110[[#This Row],[CH4 24h, ml]]/Table3.110[[#This Row],[DM Incubated, mg]]*1000</f>
        <v>26.283271044867245</v>
      </c>
      <c r="AS421" s="94">
        <f>Table3.110[[#This Row],[CH4 24h, ml]]/Table3.110[[#This Row],[Digested feed, mg]]*1000</f>
        <v>66.428048605778542</v>
      </c>
      <c r="AT421" s="94">
        <f>Table3.110[[#This Row],[CH4 24h, ml]]/'3.2 Digest'!AA421</f>
        <v>-2.3161716908088938</v>
      </c>
      <c r="AU421" s="94">
        <f>((Table3.110[[#This Row],[CH4 24h, ml]]/28.9)*16.04)/Table3.110[[#This Row],[DM Incubated, mg]]*1000</f>
        <v>14.587670157774072</v>
      </c>
      <c r="AV421" s="94">
        <f>((Table3.110[[#This Row],[CH4 24h, ml]]/28.9)*16.04)/Table3.110[[#This Row],[Digested feed, mg]]*1000</f>
        <v>36.868716250404432</v>
      </c>
      <c r="AW421" s="303"/>
    </row>
    <row r="422" spans="1:49" s="304" customFormat="1" x14ac:dyDescent="0.35">
      <c r="A422" s="89"/>
      <c r="B422" s="90">
        <f t="shared" si="6"/>
        <v>412</v>
      </c>
      <c r="C422" s="140">
        <v>46048</v>
      </c>
      <c r="D422" s="6" t="s">
        <v>16</v>
      </c>
      <c r="E422" s="6" t="s">
        <v>258</v>
      </c>
      <c r="F422" s="133" t="s">
        <v>259</v>
      </c>
      <c r="G422" s="133" t="s">
        <v>260</v>
      </c>
      <c r="H422" s="133" t="s">
        <v>261</v>
      </c>
      <c r="I422" s="133" t="s">
        <v>22</v>
      </c>
      <c r="J422" s="132" t="s">
        <v>23</v>
      </c>
      <c r="K422" s="133" t="s">
        <v>215</v>
      </c>
      <c r="L422" s="6" t="s">
        <v>257</v>
      </c>
      <c r="M422" s="93">
        <v>28</v>
      </c>
      <c r="N422" s="93">
        <v>60</v>
      </c>
      <c r="O422" s="6">
        <v>1</v>
      </c>
      <c r="P422" s="129">
        <v>3</v>
      </c>
      <c r="Q422" s="6">
        <v>70</v>
      </c>
      <c r="R422" s="98">
        <v>0.50009999999999999</v>
      </c>
      <c r="S422" s="94">
        <f>((Table3.110[[#This Row],[Sample weight, g]]*'2.1. DM'!Q159)/100)*1000</f>
        <v>457.12288435219421</v>
      </c>
      <c r="T422" s="94">
        <f>'3.2 Digest'!W422</f>
        <v>203.42288435219416</v>
      </c>
      <c r="U422" s="153">
        <v>0.39097222222222222</v>
      </c>
      <c r="V422" s="154">
        <v>40.5</v>
      </c>
      <c r="W422" s="153">
        <v>0.72847222222222219</v>
      </c>
      <c r="X422" s="91">
        <v>77</v>
      </c>
      <c r="Y422" s="91">
        <v>14</v>
      </c>
      <c r="Z422" s="154">
        <v>40</v>
      </c>
      <c r="AA422" s="153">
        <v>0.39374999999999999</v>
      </c>
      <c r="AB422" s="154">
        <v>80.5</v>
      </c>
      <c r="AC422" s="154">
        <v>17.7</v>
      </c>
      <c r="AD422" s="91"/>
      <c r="AE422" s="94">
        <f>Table3.110[[#This Row],[Gas 8h, ml]]-Table3.110[[#This Row],[Gas 0h, ml]]</f>
        <v>36.5</v>
      </c>
      <c r="AF422" s="94">
        <f>Table3.110[[#This Row],[Gas 24h, ml]]-Table3.110[[#This Row],[V8 Push back, ml]]</f>
        <v>40.5</v>
      </c>
      <c r="AG422" s="94">
        <f>Table3.110[[#This Row],[GP 8h, ml]]-(AVERAGE(AE$293,AE$294,AE$385,AE$386,AE$477,AE$478))*$AG$8</f>
        <v>35.246240428868305</v>
      </c>
      <c r="AH422" s="94">
        <f>Table3.110[[#This Row],[GP 8-24h, ml]]-(AVERAGE(AF$293,AF$294,AF$385,AF$386,AF$477,AF$478))*$AG$8</f>
        <v>38.50873479879084</v>
      </c>
      <c r="AI422" s="94">
        <f>Table3.110[[#This Row],[Net gas 8-24h, ml]]+Table3.110[[#This Row],[Net gas 8h, ml]]</f>
        <v>73.754975227659145</v>
      </c>
      <c r="AJ422" s="94">
        <f>Table3.110[[#This Row],[Net gas 8h, ml]]*Table3.110[[#This Row],[CH4 8h %]]%</f>
        <v>4.9344736600415633</v>
      </c>
      <c r="AK422" s="94">
        <f>Table3.110[[#This Row],[Net gas 8-24h, ml]]*Table3.110[[#This Row],[CH4 24h, %]]%</f>
        <v>6.816046059385978</v>
      </c>
      <c r="AL422" s="94">
        <f>Table3.110[[#This Row],[CH4 8-24h, ml]]+Table3.110[[#This Row],[CH4 8h, ml]]</f>
        <v>11.75051971942754</v>
      </c>
      <c r="AM422" s="94">
        <f>(Table3.110[[#This Row],[Net gas 24h, ml]]/Table3.110[[#This Row],[DM Incubated, mg]])*1000</f>
        <v>161.34605759713835</v>
      </c>
      <c r="AN422" s="94">
        <f>'3.2 Digest'!X422</f>
        <v>44.500700208976035</v>
      </c>
      <c r="AO422" s="94">
        <f>Table3.110[[#This Row],[Digested feed, mg]]/Table3.110[[#This Row],[Net gas 24h, ml]]</f>
        <v>2.7580903352524988</v>
      </c>
      <c r="AP422" s="94">
        <f>Table3.110[[#This Row],[CH4 8h, ml]]/Table3.110[[#This Row],[Net gas 8h, ml]]%</f>
        <v>14.000000000000002</v>
      </c>
      <c r="AQ422" s="94">
        <f>Table3.110[[#This Row],[CH4 24h, ml]]/Table3.110[[#This Row],[Net gas 24h, ml]]%</f>
        <v>15.931833321287499</v>
      </c>
      <c r="AR422" s="94">
        <f>Table3.110[[#This Row],[CH4 24h, ml]]/Table3.110[[#This Row],[DM Incubated, mg]]*1000</f>
        <v>25.705384966844608</v>
      </c>
      <c r="AS422" s="94">
        <f>Table3.110[[#This Row],[CH4 24h, ml]]/Table3.110[[#This Row],[Digested feed, mg]]*1000</f>
        <v>57.764001119379451</v>
      </c>
      <c r="AT422" s="94">
        <f>Table3.110[[#This Row],[CH4 24h, ml]]/'3.2 Digest'!AA422</f>
        <v>3.4541944924718178</v>
      </c>
      <c r="AU422" s="94">
        <f>((Table3.110[[#This Row],[CH4 24h, ml]]/28.9)*16.04)/Table3.110[[#This Row],[DM Incubated, mg]]*1000</f>
        <v>14.266933386442476</v>
      </c>
      <c r="AV422" s="94">
        <f>((Table3.110[[#This Row],[CH4 24h, ml]]/28.9)*16.04)/Table3.110[[#This Row],[Digested feed, mg]]*1000</f>
        <v>32.060019998437589</v>
      </c>
      <c r="AW422" s="303"/>
    </row>
    <row r="423" spans="1:49" s="304" customFormat="1" x14ac:dyDescent="0.35">
      <c r="A423" s="89"/>
      <c r="B423" s="90">
        <f t="shared" si="6"/>
        <v>413</v>
      </c>
      <c r="C423" s="140">
        <v>46048</v>
      </c>
      <c r="D423" s="6" t="s">
        <v>16</v>
      </c>
      <c r="E423" s="6" t="s">
        <v>263</v>
      </c>
      <c r="F423" s="133" t="s">
        <v>264</v>
      </c>
      <c r="G423" s="133" t="s">
        <v>265</v>
      </c>
      <c r="H423" s="133" t="s">
        <v>266</v>
      </c>
      <c r="I423" s="133" t="s">
        <v>22</v>
      </c>
      <c r="J423" s="132" t="s">
        <v>23</v>
      </c>
      <c r="K423" s="133" t="s">
        <v>215</v>
      </c>
      <c r="L423" s="6" t="s">
        <v>262</v>
      </c>
      <c r="M423" s="93">
        <v>28</v>
      </c>
      <c r="N423" s="93">
        <v>60</v>
      </c>
      <c r="O423" s="6">
        <v>1</v>
      </c>
      <c r="P423" s="129">
        <v>1</v>
      </c>
      <c r="Q423" s="6">
        <v>71</v>
      </c>
      <c r="R423" s="98">
        <v>0.5</v>
      </c>
      <c r="S423" s="94">
        <f>((Table3.110[[#This Row],[Sample weight, g]]*'2.1. DM'!Q161)/100)*1000</f>
        <v>453.78425018639803</v>
      </c>
      <c r="T423" s="94">
        <f>'3.2 Digest'!W423</f>
        <v>185.28425018639797</v>
      </c>
      <c r="U423" s="117">
        <v>0.39166666666666666</v>
      </c>
      <c r="V423" s="155">
        <v>40</v>
      </c>
      <c r="W423" s="117">
        <v>0.72916666666666663</v>
      </c>
      <c r="X423" s="96">
        <v>73</v>
      </c>
      <c r="Y423" s="96">
        <v>13.3</v>
      </c>
      <c r="Z423" s="155">
        <v>40</v>
      </c>
      <c r="AA423" s="117">
        <v>0.39374999999999999</v>
      </c>
      <c r="AB423" s="155">
        <v>73.5</v>
      </c>
      <c r="AC423" s="155">
        <v>16.8</v>
      </c>
      <c r="AD423" s="96"/>
      <c r="AE423" s="94">
        <f>Table3.110[[#This Row],[Gas 8h, ml]]-Table3.110[[#This Row],[Gas 0h, ml]]</f>
        <v>33</v>
      </c>
      <c r="AF423" s="94">
        <f>Table3.110[[#This Row],[Gas 24h, ml]]-Table3.110[[#This Row],[V8 Push back, ml]]</f>
        <v>33.5</v>
      </c>
      <c r="AG423" s="94">
        <f>Table3.110[[#This Row],[GP 8h, ml]]-(AVERAGE(AE$293,AE$294,AE$385,AE$386,AE$477,AE$478))*$AG$8</f>
        <v>31.746240428868305</v>
      </c>
      <c r="AH423" s="94">
        <f>Table3.110[[#This Row],[GP 8-24h, ml]]-(AVERAGE(AF$293,AF$294,AF$385,AF$386,AF$477,AF$478))*$AG$8</f>
        <v>31.508734798790837</v>
      </c>
      <c r="AI423" s="94">
        <f>Table3.110[[#This Row],[Net gas 8-24h, ml]]+Table3.110[[#This Row],[Net gas 8h, ml]]</f>
        <v>63.254975227659145</v>
      </c>
      <c r="AJ423" s="94">
        <f>Table3.110[[#This Row],[Net gas 8h, ml]]*Table3.110[[#This Row],[CH4 8h %]]%</f>
        <v>4.2222499770394846</v>
      </c>
      <c r="AK423" s="94">
        <f>Table3.110[[#This Row],[Net gas 8-24h, ml]]*Table3.110[[#This Row],[CH4 24h, %]]%</f>
        <v>5.2934674461968605</v>
      </c>
      <c r="AL423" s="94">
        <f>Table3.110[[#This Row],[CH4 8-24h, ml]]+Table3.110[[#This Row],[CH4 8h, ml]]</f>
        <v>9.515717423236346</v>
      </c>
      <c r="AM423" s="94">
        <f>(Table3.110[[#This Row],[Net gas 24h, ml]]/Table3.110[[#This Row],[DM Incubated, mg]])*1000</f>
        <v>139.39438224591601</v>
      </c>
      <c r="AN423" s="94">
        <f>'3.2 Digest'!X423</f>
        <v>40.830912511901843</v>
      </c>
      <c r="AO423" s="94">
        <f>Table3.110[[#This Row],[Digested feed, mg]]/Table3.110[[#This Row],[Net gas 24h, ml]]</f>
        <v>2.9291648525597678</v>
      </c>
      <c r="AP423" s="94">
        <f>Table3.110[[#This Row],[CH4 8h, ml]]/Table3.110[[#This Row],[Net gas 8h, ml]]%</f>
        <v>13.3</v>
      </c>
      <c r="AQ423" s="94">
        <f>Table3.110[[#This Row],[CH4 24h, ml]]/Table3.110[[#This Row],[Net gas 24h, ml]]%</f>
        <v>15.043429214838206</v>
      </c>
      <c r="AR423" s="94">
        <f>Table3.110[[#This Row],[CH4 24h, ml]]/Table3.110[[#This Row],[DM Incubated, mg]]*1000</f>
        <v>20.969695222625369</v>
      </c>
      <c r="AS423" s="94">
        <f>Table3.110[[#This Row],[CH4 24h, ml]]/Table3.110[[#This Row],[Digested feed, mg]]*1000</f>
        <v>51.357400392442592</v>
      </c>
      <c r="AT423" s="94">
        <f>Table3.110[[#This Row],[CH4 24h, ml]]/'3.2 Digest'!AA423</f>
        <v>-0.9102405302113068</v>
      </c>
      <c r="AU423" s="94">
        <f>((Table3.110[[#This Row],[CH4 24h, ml]]/28.9)*16.04)/Table3.110[[#This Row],[DM Incubated, mg]]*1000</f>
        <v>11.638543646052282</v>
      </c>
      <c r="AV423" s="94">
        <f>((Table3.110[[#This Row],[CH4 24h, ml]]/28.9)*16.04)/Table3.110[[#This Row],[Digested feed, mg]]*1000</f>
        <v>28.504245754144609</v>
      </c>
      <c r="AW423" s="303"/>
    </row>
    <row r="424" spans="1:49" s="304" customFormat="1" x14ac:dyDescent="0.35">
      <c r="A424" s="89"/>
      <c r="B424" s="90">
        <f t="shared" si="6"/>
        <v>414</v>
      </c>
      <c r="C424" s="140">
        <v>46048</v>
      </c>
      <c r="D424" s="6" t="s">
        <v>16</v>
      </c>
      <c r="E424" s="6" t="s">
        <v>263</v>
      </c>
      <c r="F424" s="133" t="s">
        <v>264</v>
      </c>
      <c r="G424" s="133" t="s">
        <v>265</v>
      </c>
      <c r="H424" s="133" t="s">
        <v>266</v>
      </c>
      <c r="I424" s="133" t="s">
        <v>22</v>
      </c>
      <c r="J424" s="132" t="s">
        <v>23</v>
      </c>
      <c r="K424" s="133" t="s">
        <v>215</v>
      </c>
      <c r="L424" s="6" t="s">
        <v>262</v>
      </c>
      <c r="M424" s="93">
        <v>28</v>
      </c>
      <c r="N424" s="93">
        <v>60</v>
      </c>
      <c r="O424" s="6">
        <v>1</v>
      </c>
      <c r="P424" s="6">
        <v>2</v>
      </c>
      <c r="Q424" s="6">
        <v>72</v>
      </c>
      <c r="R424" s="98">
        <v>0.50039999999999996</v>
      </c>
      <c r="S424" s="94">
        <f>((Table3.110[[#This Row],[Sample weight, g]]*'2.1. DM'!Q161)/100)*1000</f>
        <v>454.14727758654715</v>
      </c>
      <c r="T424" s="94">
        <f>'3.2 Digest'!W424</f>
        <v>140.24727758654706</v>
      </c>
      <c r="U424" s="153">
        <v>0.39166666666666666</v>
      </c>
      <c r="V424" s="154">
        <v>40</v>
      </c>
      <c r="W424" s="153">
        <v>0.72916666666666663</v>
      </c>
      <c r="X424" s="91">
        <v>71.5</v>
      </c>
      <c r="Y424" s="91">
        <v>13.6</v>
      </c>
      <c r="Z424" s="154">
        <v>40</v>
      </c>
      <c r="AA424" s="153">
        <v>0.39444444444444443</v>
      </c>
      <c r="AB424" s="154">
        <v>75</v>
      </c>
      <c r="AC424" s="154">
        <v>16.3</v>
      </c>
      <c r="AD424" s="91"/>
      <c r="AE424" s="94">
        <f>Table3.110[[#This Row],[Gas 8h, ml]]-Table3.110[[#This Row],[Gas 0h, ml]]</f>
        <v>31.5</v>
      </c>
      <c r="AF424" s="94">
        <f>Table3.110[[#This Row],[Gas 24h, ml]]-Table3.110[[#This Row],[V8 Push back, ml]]</f>
        <v>35</v>
      </c>
      <c r="AG424" s="94">
        <f>Table3.110[[#This Row],[GP 8h, ml]]-(AVERAGE(AE$293,AE$294,AE$385,AE$386,AE$477,AE$478))*$AG$8</f>
        <v>30.246240428868305</v>
      </c>
      <c r="AH424" s="94">
        <f>Table3.110[[#This Row],[GP 8-24h, ml]]-(AVERAGE(AF$293,AF$294,AF$385,AF$386,AF$477,AF$478))*$AG$8</f>
        <v>33.00873479879084</v>
      </c>
      <c r="AI424" s="94">
        <f>Table3.110[[#This Row],[Net gas 8-24h, ml]]+Table3.110[[#This Row],[Net gas 8h, ml]]</f>
        <v>63.254975227659145</v>
      </c>
      <c r="AJ424" s="94">
        <f>Table3.110[[#This Row],[Net gas 8h, ml]]*Table3.110[[#This Row],[CH4 8h %]]%</f>
        <v>4.1134886983260897</v>
      </c>
      <c r="AK424" s="94">
        <f>Table3.110[[#This Row],[Net gas 8-24h, ml]]*Table3.110[[#This Row],[CH4 24h, %]]%</f>
        <v>5.3804237722029074</v>
      </c>
      <c r="AL424" s="94">
        <f>Table3.110[[#This Row],[CH4 8-24h, ml]]+Table3.110[[#This Row],[CH4 8h, ml]]</f>
        <v>9.493912470528997</v>
      </c>
      <c r="AM424" s="94">
        <f>(Table3.110[[#This Row],[Net gas 24h, ml]]/Table3.110[[#This Row],[DM Incubated, mg]])*1000</f>
        <v>139.28295588121102</v>
      </c>
      <c r="AN424" s="94">
        <f>'3.2 Digest'!X424</f>
        <v>30.881452891638229</v>
      </c>
      <c r="AO424" s="94">
        <f>Table3.110[[#This Row],[Digested feed, mg]]/Table3.110[[#This Row],[Net gas 24h, ml]]</f>
        <v>2.2171738599499431</v>
      </c>
      <c r="AP424" s="94">
        <f>Table3.110[[#This Row],[CH4 8h, ml]]/Table3.110[[#This Row],[Net gas 8h, ml]]%</f>
        <v>13.600000000000001</v>
      </c>
      <c r="AQ424" s="94">
        <f>Table3.110[[#This Row],[CH4 24h, ml]]/Table3.110[[#This Row],[Net gas 24h, ml]]%</f>
        <v>15.00895769282927</v>
      </c>
      <c r="AR424" s="94">
        <f>Table3.110[[#This Row],[CH4 24h, ml]]/Table3.110[[#This Row],[DM Incubated, mg]]*1000</f>
        <v>20.904919921533022</v>
      </c>
      <c r="AS424" s="94">
        <f>Table3.110[[#This Row],[CH4 24h, ml]]/Table3.110[[#This Row],[Digested feed, mg]]*1000</f>
        <v>67.694094558593278</v>
      </c>
      <c r="AT424" s="94">
        <f>Table3.110[[#This Row],[CH4 24h, ml]]/'3.2 Digest'!AA424</f>
        <v>-0.32706893404753135</v>
      </c>
      <c r="AU424" s="94">
        <f>((Table3.110[[#This Row],[CH4 24h, ml]]/28.9)*16.04)/Table3.110[[#This Row],[DM Incubated, mg]]*1000</f>
        <v>11.602592233266078</v>
      </c>
      <c r="AV424" s="94">
        <f>((Table3.110[[#This Row],[CH4 24h, ml]]/28.9)*16.04)/Table3.110[[#This Row],[Digested feed, mg]]*1000</f>
        <v>37.571393658125828</v>
      </c>
      <c r="AW424" s="303"/>
    </row>
    <row r="425" spans="1:49" s="304" customFormat="1" x14ac:dyDescent="0.35">
      <c r="A425" s="89"/>
      <c r="B425" s="90">
        <f t="shared" si="6"/>
        <v>415</v>
      </c>
      <c r="C425" s="140">
        <v>46048</v>
      </c>
      <c r="D425" s="6" t="s">
        <v>16</v>
      </c>
      <c r="E425" s="6" t="s">
        <v>263</v>
      </c>
      <c r="F425" s="133" t="s">
        <v>264</v>
      </c>
      <c r="G425" s="133" t="s">
        <v>265</v>
      </c>
      <c r="H425" s="133" t="s">
        <v>266</v>
      </c>
      <c r="I425" s="133" t="s">
        <v>22</v>
      </c>
      <c r="J425" s="132" t="s">
        <v>23</v>
      </c>
      <c r="K425" s="133" t="s">
        <v>215</v>
      </c>
      <c r="L425" s="6" t="s">
        <v>262</v>
      </c>
      <c r="M425" s="93">
        <v>28</v>
      </c>
      <c r="N425" s="93">
        <v>60</v>
      </c>
      <c r="O425" s="6">
        <v>1</v>
      </c>
      <c r="P425" s="129">
        <v>3</v>
      </c>
      <c r="Q425" s="6">
        <v>73</v>
      </c>
      <c r="R425" s="98">
        <v>0.50039999999999996</v>
      </c>
      <c r="S425" s="94">
        <f>((Table3.110[[#This Row],[Sample weight, g]]*'2.1. DM'!Q161)/100)*1000</f>
        <v>454.14727758654715</v>
      </c>
      <c r="T425" s="94">
        <f>'3.2 Digest'!W425</f>
        <v>195.34727758654725</v>
      </c>
      <c r="U425" s="117">
        <v>0.39166666666666666</v>
      </c>
      <c r="V425" s="155">
        <v>40.5</v>
      </c>
      <c r="W425" s="117">
        <v>0.72986111111111107</v>
      </c>
      <c r="X425" s="96">
        <v>73</v>
      </c>
      <c r="Y425" s="96">
        <v>13.4</v>
      </c>
      <c r="Z425" s="155">
        <v>40</v>
      </c>
      <c r="AA425" s="117">
        <v>0.39444444444444443</v>
      </c>
      <c r="AB425" s="155">
        <v>75.5</v>
      </c>
      <c r="AC425" s="155">
        <v>16.399999999999999</v>
      </c>
      <c r="AD425" s="96"/>
      <c r="AE425" s="94">
        <f>Table3.110[[#This Row],[Gas 8h, ml]]-Table3.110[[#This Row],[Gas 0h, ml]]</f>
        <v>32.5</v>
      </c>
      <c r="AF425" s="94">
        <f>Table3.110[[#This Row],[Gas 24h, ml]]-Table3.110[[#This Row],[V8 Push back, ml]]</f>
        <v>35.5</v>
      </c>
      <c r="AG425" s="94">
        <f>Table3.110[[#This Row],[GP 8h, ml]]-(AVERAGE(AE$293,AE$294,AE$385,AE$386,AE$477,AE$478))*$AG$8</f>
        <v>31.246240428868305</v>
      </c>
      <c r="AH425" s="94">
        <f>Table3.110[[#This Row],[GP 8-24h, ml]]-(AVERAGE(AF$293,AF$294,AF$385,AF$386,AF$477,AF$478))*$AG$8</f>
        <v>33.50873479879084</v>
      </c>
      <c r="AI425" s="94">
        <f>Table3.110[[#This Row],[Net gas 8-24h, ml]]+Table3.110[[#This Row],[Net gas 8h, ml]]</f>
        <v>64.754975227659145</v>
      </c>
      <c r="AJ425" s="94">
        <f>Table3.110[[#This Row],[Net gas 8h, ml]]*Table3.110[[#This Row],[CH4 8h %]]%</f>
        <v>4.1869962174683533</v>
      </c>
      <c r="AK425" s="94">
        <f>Table3.110[[#This Row],[Net gas 8-24h, ml]]*Table3.110[[#This Row],[CH4 24h, %]]%</f>
        <v>5.4954325070016967</v>
      </c>
      <c r="AL425" s="94">
        <f>Table3.110[[#This Row],[CH4 8-24h, ml]]+Table3.110[[#This Row],[CH4 8h, ml]]</f>
        <v>9.68242872447005</v>
      </c>
      <c r="AM425" s="94">
        <f>(Table3.110[[#This Row],[Net gas 24h, ml]]/Table3.110[[#This Row],[DM Incubated, mg]])*1000</f>
        <v>142.58584918043186</v>
      </c>
      <c r="AN425" s="94">
        <f>'3.2 Digest'!X425</f>
        <v>43.014080944109544</v>
      </c>
      <c r="AO425" s="94">
        <f>Table3.110[[#This Row],[Digested feed, mg]]/Table3.110[[#This Row],[Net gas 24h, ml]]</f>
        <v>3.0167145752085394</v>
      </c>
      <c r="AP425" s="94">
        <f>Table3.110[[#This Row],[CH4 8h, ml]]/Table3.110[[#This Row],[Net gas 8h, ml]]%</f>
        <v>13.400000000000002</v>
      </c>
      <c r="AQ425" s="94">
        <f>Table3.110[[#This Row],[CH4 24h, ml]]/Table3.110[[#This Row],[Net gas 24h, ml]]%</f>
        <v>14.952408970012767</v>
      </c>
      <c r="AR425" s="94">
        <f>Table3.110[[#This Row],[CH4 24h, ml]]/Table3.110[[#This Row],[DM Incubated, mg]]*1000</f>
        <v>21.32001930282377</v>
      </c>
      <c r="AS425" s="94">
        <f>Table3.110[[#This Row],[CH4 24h, ml]]/Table3.110[[#This Row],[Digested feed, mg]]*1000</f>
        <v>49.565209426480578</v>
      </c>
      <c r="AT425" s="94">
        <f>Table3.110[[#This Row],[CH4 24h, ml]]/'3.2 Digest'!AA425</f>
        <v>-1.5179472987187685</v>
      </c>
      <c r="AU425" s="94">
        <f>((Table3.110[[#This Row],[CH4 24h, ml]]/28.9)*16.04)/Table3.110[[#This Row],[DM Incubated, mg]]*1000</f>
        <v>11.83297957153264</v>
      </c>
      <c r="AV425" s="94">
        <f>((Table3.110[[#This Row],[CH4 24h, ml]]/28.9)*16.04)/Table3.110[[#This Row],[Digested feed, mg]]*1000</f>
        <v>27.509548761271574</v>
      </c>
      <c r="AW425" s="303"/>
    </row>
    <row r="426" spans="1:49" s="304" customFormat="1" x14ac:dyDescent="0.35">
      <c r="A426" s="89"/>
      <c r="B426" s="90">
        <f t="shared" si="6"/>
        <v>416</v>
      </c>
      <c r="C426" s="140">
        <v>46048</v>
      </c>
      <c r="D426" s="6" t="s">
        <v>16</v>
      </c>
      <c r="E426" s="6" t="s">
        <v>268</v>
      </c>
      <c r="F426" s="133" t="s">
        <v>269</v>
      </c>
      <c r="G426" s="133" t="s">
        <v>270</v>
      </c>
      <c r="H426" s="133" t="s">
        <v>271</v>
      </c>
      <c r="I426" s="133" t="s">
        <v>22</v>
      </c>
      <c r="J426" s="132" t="s">
        <v>23</v>
      </c>
      <c r="K426" s="133" t="s">
        <v>215</v>
      </c>
      <c r="L426" s="6" t="s">
        <v>267</v>
      </c>
      <c r="M426" s="93">
        <v>28</v>
      </c>
      <c r="N426" s="93">
        <v>60</v>
      </c>
      <c r="O426" s="6">
        <v>1</v>
      </c>
      <c r="P426" s="129">
        <v>1</v>
      </c>
      <c r="Q426" s="6">
        <v>74</v>
      </c>
      <c r="R426" s="98">
        <v>0.50019999999999998</v>
      </c>
      <c r="S426" s="94">
        <f>((Table3.110[[#This Row],[Sample weight, g]]*'2.1. DM'!Q163)/100)*1000</f>
        <v>456.75217804236979</v>
      </c>
      <c r="T426" s="94">
        <f>'3.2 Digest'!W426</f>
        <v>208.5521780423698</v>
      </c>
      <c r="U426" s="153">
        <v>0.39166666666666666</v>
      </c>
      <c r="V426" s="154">
        <v>40.5</v>
      </c>
      <c r="W426" s="153">
        <v>0.73055555555555551</v>
      </c>
      <c r="X426" s="91">
        <v>83</v>
      </c>
      <c r="Y426" s="91">
        <v>12.5</v>
      </c>
      <c r="Z426" s="154">
        <v>40</v>
      </c>
      <c r="AA426" s="153">
        <v>0.39513888888888887</v>
      </c>
      <c r="AB426" s="154">
        <v>90.5</v>
      </c>
      <c r="AC426" s="154">
        <v>14.8</v>
      </c>
      <c r="AD426" s="91"/>
      <c r="AE426" s="94">
        <f>Table3.110[[#This Row],[Gas 8h, ml]]-Table3.110[[#This Row],[Gas 0h, ml]]</f>
        <v>42.5</v>
      </c>
      <c r="AF426" s="94">
        <f>Table3.110[[#This Row],[Gas 24h, ml]]-Table3.110[[#This Row],[V8 Push back, ml]]</f>
        <v>50.5</v>
      </c>
      <c r="AG426" s="94">
        <f>Table3.110[[#This Row],[GP 8h, ml]]-(AVERAGE(AE$293,AE$294,AE$385,AE$386,AE$477,AE$478))*$AG$8</f>
        <v>41.246240428868305</v>
      </c>
      <c r="AH426" s="94">
        <f>Table3.110[[#This Row],[GP 8-24h, ml]]-(AVERAGE(AF$293,AF$294,AF$385,AF$386,AF$477,AF$478))*$AG$8</f>
        <v>48.50873479879084</v>
      </c>
      <c r="AI426" s="94">
        <f>Table3.110[[#This Row],[Net gas 8-24h, ml]]+Table3.110[[#This Row],[Net gas 8h, ml]]</f>
        <v>89.754975227659145</v>
      </c>
      <c r="AJ426" s="94">
        <f>Table3.110[[#This Row],[Net gas 8h, ml]]*Table3.110[[#This Row],[CH4 8h %]]%</f>
        <v>5.1557800536085381</v>
      </c>
      <c r="AK426" s="94">
        <f>Table3.110[[#This Row],[Net gas 8-24h, ml]]*Table3.110[[#This Row],[CH4 24h, %]]%</f>
        <v>7.1792927502210455</v>
      </c>
      <c r="AL426" s="94">
        <f>Table3.110[[#This Row],[CH4 8-24h, ml]]+Table3.110[[#This Row],[CH4 8h, ml]]</f>
        <v>12.335072803829583</v>
      </c>
      <c r="AM426" s="94">
        <f>(Table3.110[[#This Row],[Net gas 24h, ml]]/Table3.110[[#This Row],[DM Incubated, mg]])*1000</f>
        <v>196.50694521555886</v>
      </c>
      <c r="AN426" s="94">
        <f>'3.2 Digest'!X426</f>
        <v>45.659810301555659</v>
      </c>
      <c r="AO426" s="94">
        <f>Table3.110[[#This Row],[Digested feed, mg]]/Table3.110[[#This Row],[Net gas 24h, ml]]</f>
        <v>2.3235723425179198</v>
      </c>
      <c r="AP426" s="94">
        <f>Table3.110[[#This Row],[CH4 8h, ml]]/Table3.110[[#This Row],[Net gas 8h, ml]]%</f>
        <v>12.5</v>
      </c>
      <c r="AQ426" s="94">
        <f>Table3.110[[#This Row],[CH4 24h, ml]]/Table3.110[[#This Row],[Net gas 24h, ml]]%</f>
        <v>13.743051872659169</v>
      </c>
      <c r="AR426" s="94">
        <f>Table3.110[[#This Row],[CH4 24h, ml]]/Table3.110[[#This Row],[DM Incubated, mg]]*1000</f>
        <v>27.006051414352189</v>
      </c>
      <c r="AS426" s="94">
        <f>Table3.110[[#This Row],[CH4 24h, ml]]/Table3.110[[#This Row],[Digested feed, mg]]*1000</f>
        <v>59.146219040318869</v>
      </c>
      <c r="AT426" s="94">
        <f>Table3.110[[#This Row],[CH4 24h, ml]]/'3.2 Digest'!AA426</f>
        <v>12.578163176294447</v>
      </c>
      <c r="AU426" s="94">
        <f>((Table3.110[[#This Row],[CH4 24h, ml]]/28.9)*16.04)/Table3.110[[#This Row],[DM Incubated, mg]]*1000</f>
        <v>14.988825767688896</v>
      </c>
      <c r="AV426" s="94">
        <f>((Table3.110[[#This Row],[CH4 24h, ml]]/28.9)*16.04)/Table3.110[[#This Row],[Digested feed, mg]]*1000</f>
        <v>32.827174858363826</v>
      </c>
      <c r="AW426" s="303"/>
    </row>
    <row r="427" spans="1:49" s="304" customFormat="1" x14ac:dyDescent="0.35">
      <c r="A427" s="89"/>
      <c r="B427" s="90">
        <f t="shared" si="6"/>
        <v>417</v>
      </c>
      <c r="C427" s="140">
        <v>46048</v>
      </c>
      <c r="D427" s="6" t="s">
        <v>16</v>
      </c>
      <c r="E427" s="6" t="s">
        <v>268</v>
      </c>
      <c r="F427" s="133" t="s">
        <v>269</v>
      </c>
      <c r="G427" s="133" t="s">
        <v>270</v>
      </c>
      <c r="H427" s="133" t="s">
        <v>271</v>
      </c>
      <c r="I427" s="133" t="s">
        <v>22</v>
      </c>
      <c r="J427" s="132" t="s">
        <v>23</v>
      </c>
      <c r="K427" s="133" t="s">
        <v>215</v>
      </c>
      <c r="L427" s="6" t="s">
        <v>267</v>
      </c>
      <c r="M427" s="93">
        <v>28</v>
      </c>
      <c r="N427" s="93">
        <v>60</v>
      </c>
      <c r="O427" s="6">
        <v>1</v>
      </c>
      <c r="P427" s="6">
        <v>2</v>
      </c>
      <c r="Q427" s="6">
        <v>75</v>
      </c>
      <c r="R427" s="98">
        <v>0.50029999999999997</v>
      </c>
      <c r="S427" s="94">
        <f>((Table3.110[[#This Row],[Sample weight, g]]*'2.1. DM'!Q163)/100)*1000</f>
        <v>456.84349195241424</v>
      </c>
      <c r="T427" s="94">
        <f>'3.2 Digest'!W427</f>
        <v>231.14349195241422</v>
      </c>
      <c r="U427" s="117">
        <v>0.3923611111111111</v>
      </c>
      <c r="V427" s="155">
        <v>40.5</v>
      </c>
      <c r="W427" s="117">
        <v>0.73055555555555551</v>
      </c>
      <c r="X427" s="96">
        <v>81.5</v>
      </c>
      <c r="Y427" s="96">
        <v>12.4</v>
      </c>
      <c r="Z427" s="155">
        <v>40</v>
      </c>
      <c r="AA427" s="117">
        <v>0.39513888888888887</v>
      </c>
      <c r="AB427" s="155">
        <v>92</v>
      </c>
      <c r="AC427" s="155">
        <v>14.2</v>
      </c>
      <c r="AD427" s="96"/>
      <c r="AE427" s="94">
        <f>Table3.110[[#This Row],[Gas 8h, ml]]-Table3.110[[#This Row],[Gas 0h, ml]]</f>
        <v>41</v>
      </c>
      <c r="AF427" s="94">
        <f>Table3.110[[#This Row],[Gas 24h, ml]]-Table3.110[[#This Row],[V8 Push back, ml]]</f>
        <v>52</v>
      </c>
      <c r="AG427" s="94">
        <f>Table3.110[[#This Row],[GP 8h, ml]]-(AVERAGE(AE$293,AE$294,AE$385,AE$386,AE$477,AE$478))*$AG$8</f>
        <v>39.746240428868305</v>
      </c>
      <c r="AH427" s="94">
        <f>Table3.110[[#This Row],[GP 8-24h, ml]]-(AVERAGE(AF$293,AF$294,AF$385,AF$386,AF$477,AF$478))*$AG$8</f>
        <v>50.00873479879084</v>
      </c>
      <c r="AI427" s="94">
        <f>Table3.110[[#This Row],[Net gas 8-24h, ml]]+Table3.110[[#This Row],[Net gas 8h, ml]]</f>
        <v>89.754975227659145</v>
      </c>
      <c r="AJ427" s="94">
        <f>Table3.110[[#This Row],[Net gas 8h, ml]]*Table3.110[[#This Row],[CH4 8h %]]%</f>
        <v>4.9285338131796701</v>
      </c>
      <c r="AK427" s="94">
        <f>Table3.110[[#This Row],[Net gas 8-24h, ml]]*Table3.110[[#This Row],[CH4 24h, %]]%</f>
        <v>7.1012403414282987</v>
      </c>
      <c r="AL427" s="94">
        <f>Table3.110[[#This Row],[CH4 8-24h, ml]]+Table3.110[[#This Row],[CH4 8h, ml]]</f>
        <v>12.029774154607969</v>
      </c>
      <c r="AM427" s="94">
        <f>(Table3.110[[#This Row],[Net gas 24h, ml]]/Table3.110[[#This Row],[DM Incubated, mg]])*1000</f>
        <v>196.46766739320915</v>
      </c>
      <c r="AN427" s="94">
        <f>'3.2 Digest'!X427</f>
        <v>50.595772080406611</v>
      </c>
      <c r="AO427" s="94">
        <f>Table3.110[[#This Row],[Digested feed, mg]]/Table3.110[[#This Row],[Net gas 24h, ml]]</f>
        <v>2.5752721937266427</v>
      </c>
      <c r="AP427" s="94">
        <f>Table3.110[[#This Row],[CH4 8h, ml]]/Table3.110[[#This Row],[Net gas 8h, ml]]%</f>
        <v>12.4</v>
      </c>
      <c r="AQ427" s="94">
        <f>Table3.110[[#This Row],[CH4 24h, ml]]/Table3.110[[#This Row],[Net gas 24h, ml]]%</f>
        <v>13.402905102580698</v>
      </c>
      <c r="AR427" s="94">
        <f>Table3.110[[#This Row],[CH4 24h, ml]]/Table3.110[[#This Row],[DM Incubated, mg]]*1000</f>
        <v>26.332375017965703</v>
      </c>
      <c r="AS427" s="94">
        <f>Table3.110[[#This Row],[CH4 24h, ml]]/Table3.110[[#This Row],[Digested feed, mg]]*1000</f>
        <v>52.044615459407147</v>
      </c>
      <c r="AT427" s="94">
        <f>Table3.110[[#This Row],[CH4 24h, ml]]/'3.2 Digest'!AA427</f>
        <v>1.2059874824769099</v>
      </c>
      <c r="AU427" s="94">
        <f>((Table3.110[[#This Row],[CH4 24h, ml]]/28.9)*16.04)/Table3.110[[#This Row],[DM Incubated, mg]]*1000</f>
        <v>14.614923712393422</v>
      </c>
      <c r="AV427" s="94">
        <f>((Table3.110[[#This Row],[CH4 24h, ml]]/28.9)*16.04)/Table3.110[[#This Row],[Digested feed, mg]]*1000</f>
        <v>28.885662005843969</v>
      </c>
      <c r="AW427" s="303"/>
    </row>
    <row r="428" spans="1:49" s="304" customFormat="1" x14ac:dyDescent="0.35">
      <c r="A428" s="89"/>
      <c r="B428" s="90">
        <f t="shared" si="6"/>
        <v>418</v>
      </c>
      <c r="C428" s="140">
        <v>46048</v>
      </c>
      <c r="D428" s="6" t="s">
        <v>16</v>
      </c>
      <c r="E428" s="6" t="s">
        <v>268</v>
      </c>
      <c r="F428" s="133" t="s">
        <v>269</v>
      </c>
      <c r="G428" s="133" t="s">
        <v>270</v>
      </c>
      <c r="H428" s="133" t="s">
        <v>271</v>
      </c>
      <c r="I428" s="133" t="s">
        <v>22</v>
      </c>
      <c r="J428" s="132" t="s">
        <v>23</v>
      </c>
      <c r="K428" s="133" t="s">
        <v>215</v>
      </c>
      <c r="L428" s="6" t="s">
        <v>267</v>
      </c>
      <c r="M428" s="93">
        <v>28</v>
      </c>
      <c r="N428" s="93">
        <v>60</v>
      </c>
      <c r="O428" s="6">
        <v>1</v>
      </c>
      <c r="P428" s="129">
        <v>3</v>
      </c>
      <c r="Q428" s="6">
        <v>76</v>
      </c>
      <c r="R428" s="98">
        <v>0.50039999999999996</v>
      </c>
      <c r="S428" s="94">
        <f>((Table3.110[[#This Row],[Sample weight, g]]*'2.1. DM'!Q163)/100)*1000</f>
        <v>456.93480586245869</v>
      </c>
      <c r="T428" s="94">
        <f>'3.2 Digest'!W428</f>
        <v>223.43480586245866</v>
      </c>
      <c r="U428" s="153">
        <v>0.39305555555555555</v>
      </c>
      <c r="V428" s="154">
        <v>40</v>
      </c>
      <c r="W428" s="153">
        <v>0.73124999999999996</v>
      </c>
      <c r="X428" s="91">
        <v>82</v>
      </c>
      <c r="Y428" s="91">
        <v>12.6</v>
      </c>
      <c r="Z428" s="154">
        <v>40</v>
      </c>
      <c r="AA428" s="153">
        <v>0.39583333333333331</v>
      </c>
      <c r="AB428" s="154">
        <v>91.5</v>
      </c>
      <c r="AC428" s="154">
        <v>14.3</v>
      </c>
      <c r="AD428" s="91"/>
      <c r="AE428" s="94">
        <f>Table3.110[[#This Row],[Gas 8h, ml]]-Table3.110[[#This Row],[Gas 0h, ml]]</f>
        <v>42</v>
      </c>
      <c r="AF428" s="94">
        <f>Table3.110[[#This Row],[Gas 24h, ml]]-Table3.110[[#This Row],[V8 Push back, ml]]</f>
        <v>51.5</v>
      </c>
      <c r="AG428" s="94">
        <f>Table3.110[[#This Row],[GP 8h, ml]]-(AVERAGE(AE$293,AE$294,AE$385,AE$386,AE$477,AE$478))*$AG$8</f>
        <v>40.746240428868305</v>
      </c>
      <c r="AH428" s="94">
        <f>Table3.110[[#This Row],[GP 8-24h, ml]]-(AVERAGE(AF$293,AF$294,AF$385,AF$386,AF$477,AF$478))*$AG$8</f>
        <v>49.50873479879084</v>
      </c>
      <c r="AI428" s="94">
        <f>Table3.110[[#This Row],[Net gas 8-24h, ml]]+Table3.110[[#This Row],[Net gas 8h, ml]]</f>
        <v>90.254975227659145</v>
      </c>
      <c r="AJ428" s="94">
        <f>Table3.110[[#This Row],[Net gas 8h, ml]]*Table3.110[[#This Row],[CH4 8h %]]%</f>
        <v>5.1340262940374064</v>
      </c>
      <c r="AK428" s="94">
        <f>Table3.110[[#This Row],[Net gas 8-24h, ml]]*Table3.110[[#This Row],[CH4 24h, %]]%</f>
        <v>7.0797490762270909</v>
      </c>
      <c r="AL428" s="94">
        <f>Table3.110[[#This Row],[CH4 8-24h, ml]]+Table3.110[[#This Row],[CH4 8h, ml]]</f>
        <v>12.213775370264496</v>
      </c>
      <c r="AM428" s="94">
        <f>(Table3.110[[#This Row],[Net gas 24h, ml]]/Table3.110[[#This Row],[DM Incubated, mg]])*1000</f>
        <v>197.5226532750203</v>
      </c>
      <c r="AN428" s="94">
        <f>'3.2 Digest'!X428</f>
        <v>48.898618138911147</v>
      </c>
      <c r="AO428" s="94">
        <f>Table3.110[[#This Row],[Digested feed, mg]]/Table3.110[[#This Row],[Net gas 24h, ml]]</f>
        <v>2.4755954483269949</v>
      </c>
      <c r="AP428" s="94">
        <f>Table3.110[[#This Row],[CH4 8h, ml]]/Table3.110[[#This Row],[Net gas 8h, ml]]%</f>
        <v>12.600000000000001</v>
      </c>
      <c r="AQ428" s="94">
        <f>Table3.110[[#This Row],[CH4 24h, ml]]/Table3.110[[#This Row],[Net gas 24h, ml]]%</f>
        <v>13.532523098539965</v>
      </c>
      <c r="AR428" s="94">
        <f>Table3.110[[#This Row],[CH4 24h, ml]]/Table3.110[[#This Row],[DM Incubated, mg]]*1000</f>
        <v>26.729798679291129</v>
      </c>
      <c r="AS428" s="94">
        <f>Table3.110[[#This Row],[CH4 24h, ml]]/Table3.110[[#This Row],[Digested feed, mg]]*1000</f>
        <v>54.663709725614623</v>
      </c>
      <c r="AT428" s="94">
        <f>Table3.110[[#This Row],[CH4 24h, ml]]/'3.2 Digest'!AA428</f>
        <v>1.7746217193300824</v>
      </c>
      <c r="AU428" s="94">
        <f>((Table3.110[[#This Row],[CH4 24h, ml]]/28.9)*16.04)/Table3.110[[#This Row],[DM Incubated, mg]]*1000</f>
        <v>14.835500720270923</v>
      </c>
      <c r="AV428" s="94">
        <f>((Table3.110[[#This Row],[CH4 24h, ml]]/28.9)*16.04)/Table3.110[[#This Row],[Digested feed, mg]]*1000</f>
        <v>30.339304636638705</v>
      </c>
      <c r="AW428" s="303"/>
    </row>
    <row r="429" spans="1:49" s="304" customFormat="1" x14ac:dyDescent="0.35">
      <c r="A429" s="89"/>
      <c r="B429" s="90">
        <f t="shared" si="6"/>
        <v>419</v>
      </c>
      <c r="C429" s="140">
        <v>46048</v>
      </c>
      <c r="D429" s="6" t="s">
        <v>16</v>
      </c>
      <c r="E429" s="6" t="s">
        <v>273</v>
      </c>
      <c r="F429" s="133" t="s">
        <v>235</v>
      </c>
      <c r="G429" s="133" t="s">
        <v>274</v>
      </c>
      <c r="H429" s="133" t="s">
        <v>275</v>
      </c>
      <c r="I429" s="133" t="s">
        <v>22</v>
      </c>
      <c r="J429" s="132" t="s">
        <v>23</v>
      </c>
      <c r="K429" s="133" t="s">
        <v>215</v>
      </c>
      <c r="L429" s="6" t="s">
        <v>272</v>
      </c>
      <c r="M429" s="93">
        <v>28</v>
      </c>
      <c r="N429" s="93">
        <v>60</v>
      </c>
      <c r="O429" s="6">
        <v>1</v>
      </c>
      <c r="P429" s="129">
        <v>1</v>
      </c>
      <c r="Q429" s="6">
        <v>77</v>
      </c>
      <c r="R429" s="98">
        <v>0.50049999999999994</v>
      </c>
      <c r="S429" s="94">
        <f>((Table3.110[[#This Row],[Sample weight, g]]*'2.1. DM'!Q165)/100)*1000</f>
        <v>451.72870968903135</v>
      </c>
      <c r="T429" s="94">
        <f>'3.2 Digest'!W429</f>
        <v>114.5287096890313</v>
      </c>
      <c r="U429" s="117">
        <v>0.39305555555555555</v>
      </c>
      <c r="V429" s="155">
        <v>40.5</v>
      </c>
      <c r="W429" s="117">
        <v>0.73124999999999996</v>
      </c>
      <c r="X429" s="96">
        <v>72.5</v>
      </c>
      <c r="Y429" s="96">
        <v>13.1</v>
      </c>
      <c r="Z429" s="155">
        <v>40</v>
      </c>
      <c r="AA429" s="117">
        <v>0.39583333333333331</v>
      </c>
      <c r="AB429" s="155">
        <v>79.5</v>
      </c>
      <c r="AC429" s="155">
        <v>16.399999999999999</v>
      </c>
      <c r="AD429" s="96"/>
      <c r="AE429" s="94">
        <f>Table3.110[[#This Row],[Gas 8h, ml]]-Table3.110[[#This Row],[Gas 0h, ml]]</f>
        <v>32</v>
      </c>
      <c r="AF429" s="94">
        <f>Table3.110[[#This Row],[Gas 24h, ml]]-Table3.110[[#This Row],[V8 Push back, ml]]</f>
        <v>39.5</v>
      </c>
      <c r="AG429" s="94">
        <f>Table3.110[[#This Row],[GP 8h, ml]]-(AVERAGE(AE$293,AE$294,AE$385,AE$386,AE$477,AE$478))*$AG$8</f>
        <v>30.746240428868305</v>
      </c>
      <c r="AH429" s="94">
        <f>Table3.110[[#This Row],[GP 8-24h, ml]]-(AVERAGE(AF$293,AF$294,AF$385,AF$386,AF$477,AF$478))*$AG$8</f>
        <v>37.50873479879084</v>
      </c>
      <c r="AI429" s="94">
        <f>Table3.110[[#This Row],[Net gas 8-24h, ml]]+Table3.110[[#This Row],[Net gas 8h, ml]]</f>
        <v>68.254975227659145</v>
      </c>
      <c r="AJ429" s="94">
        <f>Table3.110[[#This Row],[Net gas 8h, ml]]*Table3.110[[#This Row],[CH4 8h %]]%</f>
        <v>4.0277574961817484</v>
      </c>
      <c r="AK429" s="94">
        <f>Table3.110[[#This Row],[Net gas 8-24h, ml]]*Table3.110[[#This Row],[CH4 24h, %]]%</f>
        <v>6.1514325070016973</v>
      </c>
      <c r="AL429" s="94">
        <f>Table3.110[[#This Row],[CH4 8-24h, ml]]+Table3.110[[#This Row],[CH4 8h, ml]]</f>
        <v>10.179190003183447</v>
      </c>
      <c r="AM429" s="94">
        <f>(Table3.110[[#This Row],[Net gas 24h, ml]]/Table3.110[[#This Row],[DM Incubated, mg]])*1000</f>
        <v>151.09727091431859</v>
      </c>
      <c r="AN429" s="94">
        <f>'3.2 Digest'!X429</f>
        <v>25.35342723022243</v>
      </c>
      <c r="AO429" s="94">
        <f>Table3.110[[#This Row],[Digested feed, mg]]/Table3.110[[#This Row],[Net gas 24h, ml]]</f>
        <v>1.6779540144440712</v>
      </c>
      <c r="AP429" s="94">
        <f>Table3.110[[#This Row],[CH4 8h, ml]]/Table3.110[[#This Row],[Net gas 8h, ml]]%</f>
        <v>13.100000000000001</v>
      </c>
      <c r="AQ429" s="94">
        <f>Table3.110[[#This Row],[CH4 24h, ml]]/Table3.110[[#This Row],[Net gas 24h, ml]]%</f>
        <v>14.913476957879704</v>
      </c>
      <c r="AR429" s="94">
        <f>Table3.110[[#This Row],[CH4 24h, ml]]/Table3.110[[#This Row],[DM Incubated, mg]]*1000</f>
        <v>22.533856681791974</v>
      </c>
      <c r="AS429" s="94">
        <f>Table3.110[[#This Row],[CH4 24h, ml]]/Table3.110[[#This Row],[Digested feed, mg]]*1000</f>
        <v>88.87893726229882</v>
      </c>
      <c r="AT429" s="94">
        <f>Table3.110[[#This Row],[CH4 24h, ml]]/'3.2 Digest'!AA429</f>
        <v>-0.23306773664896513</v>
      </c>
      <c r="AU429" s="94">
        <f>((Table3.110[[#This Row],[CH4 24h, ml]]/28.9)*16.04)/Table3.110[[#This Row],[DM Incubated, mg]]*1000</f>
        <v>12.506680317506687</v>
      </c>
      <c r="AV429" s="94">
        <f>((Table3.110[[#This Row],[CH4 24h, ml]]/28.9)*16.04)/Table3.110[[#This Row],[Digested feed, mg]]*1000</f>
        <v>49.329347878452346</v>
      </c>
      <c r="AW429" s="303"/>
    </row>
    <row r="430" spans="1:49" s="304" customFormat="1" x14ac:dyDescent="0.35">
      <c r="A430" s="89"/>
      <c r="B430" s="90">
        <f t="shared" si="6"/>
        <v>420</v>
      </c>
      <c r="C430" s="140">
        <v>46048</v>
      </c>
      <c r="D430" s="6" t="s">
        <v>16</v>
      </c>
      <c r="E430" s="6" t="s">
        <v>273</v>
      </c>
      <c r="F430" s="133" t="s">
        <v>235</v>
      </c>
      <c r="G430" s="133" t="s">
        <v>274</v>
      </c>
      <c r="H430" s="133" t="s">
        <v>275</v>
      </c>
      <c r="I430" s="133" t="s">
        <v>22</v>
      </c>
      <c r="J430" s="132" t="s">
        <v>23</v>
      </c>
      <c r="K430" s="133" t="s">
        <v>215</v>
      </c>
      <c r="L430" s="6" t="s">
        <v>272</v>
      </c>
      <c r="M430" s="93">
        <v>28</v>
      </c>
      <c r="N430" s="93">
        <v>60</v>
      </c>
      <c r="O430" s="6">
        <v>1</v>
      </c>
      <c r="P430" s="6">
        <v>2</v>
      </c>
      <c r="Q430" s="6">
        <v>78</v>
      </c>
      <c r="R430" s="98">
        <v>0.50029999999999997</v>
      </c>
      <c r="S430" s="94">
        <f>((Table3.110[[#This Row],[Sample weight, g]]*'2.1. DM'!Q165)/100)*1000</f>
        <v>451.5481987161287</v>
      </c>
      <c r="T430" s="94">
        <f>'3.2 Digest'!W430</f>
        <v>189.24819871612874</v>
      </c>
      <c r="U430" s="153">
        <v>0.39305555555555555</v>
      </c>
      <c r="V430" s="154">
        <v>40.5</v>
      </c>
      <c r="W430" s="153">
        <v>0.7319444444444444</v>
      </c>
      <c r="X430" s="91">
        <v>74</v>
      </c>
      <c r="Y430" s="91">
        <v>12.7</v>
      </c>
      <c r="Z430" s="154">
        <v>39</v>
      </c>
      <c r="AA430" s="153">
        <v>0.39652777777777776</v>
      </c>
      <c r="AB430" s="154">
        <v>81</v>
      </c>
      <c r="AC430" s="154">
        <v>17.100000000000001</v>
      </c>
      <c r="AD430" s="91"/>
      <c r="AE430" s="94">
        <f>Table3.110[[#This Row],[Gas 8h, ml]]-Table3.110[[#This Row],[Gas 0h, ml]]</f>
        <v>33.5</v>
      </c>
      <c r="AF430" s="94">
        <f>Table3.110[[#This Row],[Gas 24h, ml]]-Table3.110[[#This Row],[V8 Push back, ml]]</f>
        <v>42</v>
      </c>
      <c r="AG430" s="94">
        <f>Table3.110[[#This Row],[GP 8h, ml]]-(AVERAGE(AE$293,AE$294,AE$385,AE$386,AE$477,AE$478))*$AG$8</f>
        <v>32.246240428868305</v>
      </c>
      <c r="AH430" s="94">
        <f>Table3.110[[#This Row],[GP 8-24h, ml]]-(AVERAGE(AF$293,AF$294,AF$385,AF$386,AF$477,AF$478))*$AG$8</f>
        <v>40.00873479879084</v>
      </c>
      <c r="AI430" s="94">
        <f>Table3.110[[#This Row],[Net gas 8-24h, ml]]+Table3.110[[#This Row],[Net gas 8h, ml]]</f>
        <v>72.254975227659145</v>
      </c>
      <c r="AJ430" s="94">
        <f>Table3.110[[#This Row],[Net gas 8h, ml]]*Table3.110[[#This Row],[CH4 8h %]]%</f>
        <v>4.0952725344662744</v>
      </c>
      <c r="AK430" s="94">
        <f>Table3.110[[#This Row],[Net gas 8-24h, ml]]*Table3.110[[#This Row],[CH4 24h, %]]%</f>
        <v>6.8414936505932342</v>
      </c>
      <c r="AL430" s="94">
        <f>Table3.110[[#This Row],[CH4 8-24h, ml]]+Table3.110[[#This Row],[CH4 8h, ml]]</f>
        <v>10.936766185059508</v>
      </c>
      <c r="AM430" s="94">
        <f>(Table3.110[[#This Row],[Net gas 24h, ml]]/Table3.110[[#This Row],[DM Incubated, mg]])*1000</f>
        <v>160.0160856207581</v>
      </c>
      <c r="AN430" s="94">
        <f>'3.2 Digest'!X430</f>
        <v>41.910963049838657</v>
      </c>
      <c r="AO430" s="94">
        <f>Table3.110[[#This Row],[Digested feed, mg]]/Table3.110[[#This Row],[Net gas 24h, ml]]</f>
        <v>2.6191718718309751</v>
      </c>
      <c r="AP430" s="94">
        <f>Table3.110[[#This Row],[CH4 8h, ml]]/Table3.110[[#This Row],[Net gas 8h, ml]]%</f>
        <v>12.7</v>
      </c>
      <c r="AQ430" s="94">
        <f>Table3.110[[#This Row],[CH4 24h, ml]]/Table3.110[[#This Row],[Net gas 24h, ml]]%</f>
        <v>15.13635033518484</v>
      </c>
      <c r="AR430" s="94">
        <f>Table3.110[[#This Row],[CH4 24h, ml]]/Table3.110[[#This Row],[DM Incubated, mg]]*1000</f>
        <v>24.22059531220728</v>
      </c>
      <c r="AS430" s="94">
        <f>Table3.110[[#This Row],[CH4 24h, ml]]/Table3.110[[#This Row],[Digested feed, mg]]*1000</f>
        <v>57.790595943608409</v>
      </c>
      <c r="AT430" s="94">
        <f>Table3.110[[#This Row],[CH4 24h, ml]]/'3.2 Digest'!AA430</f>
        <v>-0.9263768624970018</v>
      </c>
      <c r="AU430" s="94">
        <f>((Table3.110[[#This Row],[CH4 24h, ml]]/28.9)*16.04)/Table3.110[[#This Row],[DM Incubated, mg]]*1000</f>
        <v>13.442849439716426</v>
      </c>
      <c r="AV430" s="94">
        <f>((Table3.110[[#This Row],[CH4 24h, ml]]/28.9)*16.04)/Table3.110[[#This Row],[Digested feed, mg]]*1000</f>
        <v>32.074780586002731</v>
      </c>
      <c r="AW430" s="303"/>
    </row>
    <row r="431" spans="1:49" s="304" customFormat="1" x14ac:dyDescent="0.35">
      <c r="A431" s="89"/>
      <c r="B431" s="90">
        <f t="shared" si="6"/>
        <v>421</v>
      </c>
      <c r="C431" s="140">
        <v>46048</v>
      </c>
      <c r="D431" s="6" t="s">
        <v>16</v>
      </c>
      <c r="E431" s="6" t="s">
        <v>273</v>
      </c>
      <c r="F431" s="133" t="s">
        <v>235</v>
      </c>
      <c r="G431" s="133" t="s">
        <v>274</v>
      </c>
      <c r="H431" s="133" t="s">
        <v>275</v>
      </c>
      <c r="I431" s="133" t="s">
        <v>22</v>
      </c>
      <c r="J431" s="132" t="s">
        <v>23</v>
      </c>
      <c r="K431" s="133" t="s">
        <v>215</v>
      </c>
      <c r="L431" s="6" t="s">
        <v>272</v>
      </c>
      <c r="M431" s="93">
        <v>28</v>
      </c>
      <c r="N431" s="93">
        <v>60</v>
      </c>
      <c r="O431" s="6">
        <v>1</v>
      </c>
      <c r="P431" s="129">
        <v>3</v>
      </c>
      <c r="Q431" s="6">
        <v>79</v>
      </c>
      <c r="R431" s="98">
        <v>0.50039999999999996</v>
      </c>
      <c r="S431" s="94">
        <f>((Table3.110[[#This Row],[Sample weight, g]]*'2.1. DM'!Q165)/100)*1000</f>
        <v>451.63845420257996</v>
      </c>
      <c r="T431" s="94">
        <f>'3.2 Digest'!W431</f>
        <v>163.43845420258009</v>
      </c>
      <c r="U431" s="117">
        <v>0.39374999999999999</v>
      </c>
      <c r="V431" s="155">
        <v>40.5</v>
      </c>
      <c r="W431" s="117">
        <v>0.73263888888888884</v>
      </c>
      <c r="X431" s="96">
        <v>74.5</v>
      </c>
      <c r="Y431" s="96">
        <v>13.1</v>
      </c>
      <c r="Z431" s="155">
        <v>40</v>
      </c>
      <c r="AA431" s="117">
        <v>0.39652777777777776</v>
      </c>
      <c r="AB431" s="155">
        <v>81</v>
      </c>
      <c r="AC431" s="155">
        <v>17.3</v>
      </c>
      <c r="AD431" s="96"/>
      <c r="AE431" s="94">
        <f>Table3.110[[#This Row],[Gas 8h, ml]]-Table3.110[[#This Row],[Gas 0h, ml]]</f>
        <v>34</v>
      </c>
      <c r="AF431" s="94">
        <f>Table3.110[[#This Row],[Gas 24h, ml]]-Table3.110[[#This Row],[V8 Push back, ml]]</f>
        <v>41</v>
      </c>
      <c r="AG431" s="94">
        <f>Table3.110[[#This Row],[GP 8h, ml]]-(AVERAGE(AE$293,AE$294,AE$385,AE$386,AE$477,AE$478))*$AG$8</f>
        <v>32.746240428868305</v>
      </c>
      <c r="AH431" s="94">
        <f>Table3.110[[#This Row],[GP 8-24h, ml]]-(AVERAGE(AF$293,AF$294,AF$385,AF$386,AF$477,AF$478))*$AG$8</f>
        <v>39.00873479879084</v>
      </c>
      <c r="AI431" s="94">
        <f>Table3.110[[#This Row],[Net gas 8-24h, ml]]+Table3.110[[#This Row],[Net gas 8h, ml]]</f>
        <v>71.754975227659145</v>
      </c>
      <c r="AJ431" s="94">
        <f>Table3.110[[#This Row],[Net gas 8h, ml]]*Table3.110[[#This Row],[CH4 8h %]]%</f>
        <v>4.289757496181748</v>
      </c>
      <c r="AK431" s="94">
        <f>Table3.110[[#This Row],[Net gas 8-24h, ml]]*Table3.110[[#This Row],[CH4 24h, %]]%</f>
        <v>6.7485111201908161</v>
      </c>
      <c r="AL431" s="94">
        <f>Table3.110[[#This Row],[CH4 8-24h, ml]]+Table3.110[[#This Row],[CH4 8h, ml]]</f>
        <v>11.038268616372564</v>
      </c>
      <c r="AM431" s="94">
        <f>(Table3.110[[#This Row],[Net gas 24h, ml]]/Table3.110[[#This Row],[DM Incubated, mg]])*1000</f>
        <v>158.87702776405712</v>
      </c>
      <c r="AN431" s="94">
        <f>'3.2 Digest'!X431</f>
        <v>36.187896022084658</v>
      </c>
      <c r="AO431" s="94">
        <f>Table3.110[[#This Row],[Digested feed, mg]]/Table3.110[[#This Row],[Net gas 24h, ml]]</f>
        <v>2.2777299230336858</v>
      </c>
      <c r="AP431" s="94">
        <f>Table3.110[[#This Row],[CH4 8h, ml]]/Table3.110[[#This Row],[Net gas 8h, ml]]%</f>
        <v>13.1</v>
      </c>
      <c r="AQ431" s="94">
        <f>Table3.110[[#This Row],[CH4 24h, ml]]/Table3.110[[#This Row],[Net gas 24h, ml]]%</f>
        <v>15.383279809310951</v>
      </c>
      <c r="AR431" s="94">
        <f>Table3.110[[#This Row],[CH4 24h, ml]]/Table3.110[[#This Row],[DM Incubated, mg]]*1000</f>
        <v>24.440497733661559</v>
      </c>
      <c r="AS431" s="94">
        <f>Table3.110[[#This Row],[CH4 24h, ml]]/Table3.110[[#This Row],[Digested feed, mg]]*1000</f>
        <v>67.537769310340863</v>
      </c>
      <c r="AT431" s="94">
        <f>Table3.110[[#This Row],[CH4 24h, ml]]/'3.2 Digest'!AA431</f>
        <v>-0.48368186104426897</v>
      </c>
      <c r="AU431" s="94">
        <f>((Table3.110[[#This Row],[CH4 24h, ml]]/28.9)*16.04)/Table3.110[[#This Row],[DM Incubated, mg]]*1000</f>
        <v>13.564899088163715</v>
      </c>
      <c r="AV431" s="94">
        <f>((Table3.110[[#This Row],[CH4 24h, ml]]/28.9)*16.04)/Table3.110[[#This Row],[Digested feed, mg]]*1000</f>
        <v>37.484630440756661</v>
      </c>
      <c r="AW431" s="303"/>
    </row>
    <row r="432" spans="1:49" s="304" customFormat="1" x14ac:dyDescent="0.35">
      <c r="A432" s="89"/>
      <c r="B432" s="90">
        <f t="shared" si="6"/>
        <v>422</v>
      </c>
      <c r="C432" s="140">
        <v>46048</v>
      </c>
      <c r="D432" s="6" t="s">
        <v>16</v>
      </c>
      <c r="E432" s="6" t="s">
        <v>277</v>
      </c>
      <c r="F432" s="133" t="s">
        <v>269</v>
      </c>
      <c r="G432" s="133" t="s">
        <v>270</v>
      </c>
      <c r="H432" s="133" t="s">
        <v>271</v>
      </c>
      <c r="I432" s="133" t="s">
        <v>22</v>
      </c>
      <c r="J432" s="132" t="s">
        <v>23</v>
      </c>
      <c r="K432" s="133" t="s">
        <v>215</v>
      </c>
      <c r="L432" s="6" t="s">
        <v>276</v>
      </c>
      <c r="M432" s="93">
        <v>28</v>
      </c>
      <c r="N432" s="93">
        <v>60</v>
      </c>
      <c r="O432" s="6">
        <v>1</v>
      </c>
      <c r="P432" s="129">
        <v>1</v>
      </c>
      <c r="Q432" s="6">
        <v>80</v>
      </c>
      <c r="R432" s="98">
        <v>0.50039999999999996</v>
      </c>
      <c r="S432" s="94">
        <f>((Table3.110[[#This Row],[Sample weight, g]]*'2.1. DM'!Q167)/100)*1000</f>
        <v>460.39702029796996</v>
      </c>
      <c r="T432" s="94">
        <f>'3.2 Digest'!W432</f>
        <v>222.09702029797</v>
      </c>
      <c r="U432" s="153">
        <v>0.39374999999999999</v>
      </c>
      <c r="V432" s="154">
        <v>40.5</v>
      </c>
      <c r="W432" s="153">
        <v>0.73263888888888884</v>
      </c>
      <c r="X432" s="91">
        <v>80.5</v>
      </c>
      <c r="Y432" s="91">
        <v>12.3</v>
      </c>
      <c r="Z432" s="154">
        <v>40</v>
      </c>
      <c r="AA432" s="153">
        <v>0.3972222222222222</v>
      </c>
      <c r="AB432" s="154">
        <v>94.5</v>
      </c>
      <c r="AC432" s="154">
        <v>14.7</v>
      </c>
      <c r="AD432" s="91"/>
      <c r="AE432" s="94">
        <f>Table3.110[[#This Row],[Gas 8h, ml]]-Table3.110[[#This Row],[Gas 0h, ml]]</f>
        <v>40</v>
      </c>
      <c r="AF432" s="94">
        <f>Table3.110[[#This Row],[Gas 24h, ml]]-Table3.110[[#This Row],[V8 Push back, ml]]</f>
        <v>54.5</v>
      </c>
      <c r="AG432" s="94">
        <f>Table3.110[[#This Row],[GP 8h, ml]]-(AVERAGE(AE$293,AE$294,AE$385,AE$386,AE$477,AE$478))*$AG$8</f>
        <v>38.746240428868305</v>
      </c>
      <c r="AH432" s="94">
        <f>Table3.110[[#This Row],[GP 8-24h, ml]]-(AVERAGE(AF$293,AF$294,AF$385,AF$386,AF$477,AF$478))*$AG$8</f>
        <v>52.50873479879084</v>
      </c>
      <c r="AI432" s="94">
        <f>Table3.110[[#This Row],[Net gas 8-24h, ml]]+Table3.110[[#This Row],[Net gas 8h, ml]]</f>
        <v>91.254975227659145</v>
      </c>
      <c r="AJ432" s="94">
        <f>Table3.110[[#This Row],[Net gas 8h, ml]]*Table3.110[[#This Row],[CH4 8h %]]%</f>
        <v>4.7657875727508019</v>
      </c>
      <c r="AK432" s="94">
        <f>Table3.110[[#This Row],[Net gas 8-24h, ml]]*Table3.110[[#This Row],[CH4 24h, %]]%</f>
        <v>7.7187840154222531</v>
      </c>
      <c r="AL432" s="94">
        <f>Table3.110[[#This Row],[CH4 8-24h, ml]]+Table3.110[[#This Row],[CH4 8h, ml]]</f>
        <v>12.484571588173054</v>
      </c>
      <c r="AM432" s="94">
        <f>(Table3.110[[#This Row],[Net gas 24h, ml]]/Table3.110[[#This Row],[DM Incubated, mg]])*1000</f>
        <v>198.2093089321011</v>
      </c>
      <c r="AN432" s="94">
        <f>'3.2 Digest'!X432</f>
        <v>48.240325307541809</v>
      </c>
      <c r="AO432" s="94">
        <f>Table3.110[[#This Row],[Digested feed, mg]]/Table3.110[[#This Row],[Net gas 24h, ml]]</f>
        <v>2.4338072498939542</v>
      </c>
      <c r="AP432" s="94">
        <f>Table3.110[[#This Row],[CH4 8h, ml]]/Table3.110[[#This Row],[Net gas 8h, ml]]%</f>
        <v>12.3</v>
      </c>
      <c r="AQ432" s="94">
        <f>Table3.110[[#This Row],[CH4 24h, ml]]/Table3.110[[#This Row],[Net gas 24h, ml]]%</f>
        <v>13.68097635994866</v>
      </c>
      <c r="AR432" s="94">
        <f>Table3.110[[#This Row],[CH4 24h, ml]]/Table3.110[[#This Row],[DM Incubated, mg]]*1000</f>
        <v>27.116968698218361</v>
      </c>
      <c r="AS432" s="94">
        <f>Table3.110[[#This Row],[CH4 24h, ml]]/Table3.110[[#This Row],[Digested feed, mg]]*1000</f>
        <v>56.212242611015185</v>
      </c>
      <c r="AT432" s="94">
        <f>Table3.110[[#This Row],[CH4 24h, ml]]/'3.2 Digest'!AA432</f>
        <v>-3.531196382220406</v>
      </c>
      <c r="AU432" s="94">
        <f>((Table3.110[[#This Row],[CH4 24h, ml]]/28.9)*16.04)/Table3.110[[#This Row],[DM Incubated, mg]]*1000</f>
        <v>15.050386779218773</v>
      </c>
      <c r="AV432" s="94">
        <f>((Table3.110[[#This Row],[CH4 24h, ml]]/28.9)*16.04)/Table3.110[[#This Row],[Digested feed, mg]]*1000</f>
        <v>31.198767179262404</v>
      </c>
      <c r="AW432" s="303"/>
    </row>
    <row r="433" spans="1:49" s="304" customFormat="1" x14ac:dyDescent="0.35">
      <c r="A433" s="89"/>
      <c r="B433" s="90">
        <f t="shared" si="6"/>
        <v>423</v>
      </c>
      <c r="C433" s="140">
        <v>46048</v>
      </c>
      <c r="D433" s="6" t="s">
        <v>16</v>
      </c>
      <c r="E433" s="6" t="s">
        <v>277</v>
      </c>
      <c r="F433" s="133" t="s">
        <v>269</v>
      </c>
      <c r="G433" s="133" t="s">
        <v>270</v>
      </c>
      <c r="H433" s="133" t="s">
        <v>271</v>
      </c>
      <c r="I433" s="133" t="s">
        <v>22</v>
      </c>
      <c r="J433" s="132" t="s">
        <v>23</v>
      </c>
      <c r="K433" s="133" t="s">
        <v>215</v>
      </c>
      <c r="L433" s="6" t="s">
        <v>276</v>
      </c>
      <c r="M433" s="93">
        <v>28</v>
      </c>
      <c r="N433" s="93">
        <v>60</v>
      </c>
      <c r="O433" s="6">
        <v>1</v>
      </c>
      <c r="P433" s="6">
        <v>2</v>
      </c>
      <c r="Q433" s="6">
        <v>81</v>
      </c>
      <c r="R433" s="98">
        <v>0.50029999999999997</v>
      </c>
      <c r="S433" s="94">
        <f>((Table3.110[[#This Row],[Sample weight, g]]*'2.1. DM'!Q167)/100)*1000</f>
        <v>460.30501449854989</v>
      </c>
      <c r="T433" s="94">
        <f>'3.2 Digest'!W433</f>
        <v>207.40501449854989</v>
      </c>
      <c r="U433" s="117">
        <v>0.39374999999999999</v>
      </c>
      <c r="V433" s="155">
        <v>40.5</v>
      </c>
      <c r="W433" s="117">
        <v>0.73333333333333328</v>
      </c>
      <c r="X433" s="96">
        <v>80</v>
      </c>
      <c r="Y433" s="96">
        <v>12.1</v>
      </c>
      <c r="Z433" s="155">
        <v>40</v>
      </c>
      <c r="AA433" s="117">
        <v>0.3972222222222222</v>
      </c>
      <c r="AB433" s="155">
        <v>94</v>
      </c>
      <c r="AC433" s="155">
        <v>14.8</v>
      </c>
      <c r="AD433" s="96"/>
      <c r="AE433" s="94">
        <f>Table3.110[[#This Row],[Gas 8h, ml]]-Table3.110[[#This Row],[Gas 0h, ml]]</f>
        <v>39.5</v>
      </c>
      <c r="AF433" s="94">
        <f>Table3.110[[#This Row],[Gas 24h, ml]]-Table3.110[[#This Row],[V8 Push back, ml]]</f>
        <v>54</v>
      </c>
      <c r="AG433" s="94">
        <f>Table3.110[[#This Row],[GP 8h, ml]]-(AVERAGE(AE$293,AE$294,AE$385,AE$386,AE$477,AE$478))*$AG$8</f>
        <v>38.246240428868305</v>
      </c>
      <c r="AH433" s="94">
        <f>Table3.110[[#This Row],[GP 8-24h, ml]]-(AVERAGE(AF$293,AF$294,AF$385,AF$386,AF$477,AF$478))*$AG$8</f>
        <v>52.00873479879084</v>
      </c>
      <c r="AI433" s="94">
        <f>Table3.110[[#This Row],[Net gas 8-24h, ml]]+Table3.110[[#This Row],[Net gas 8h, ml]]</f>
        <v>90.254975227659145</v>
      </c>
      <c r="AJ433" s="94">
        <f>Table3.110[[#This Row],[Net gas 8h, ml]]*Table3.110[[#This Row],[CH4 8h %]]%</f>
        <v>4.6277950918930646</v>
      </c>
      <c r="AK433" s="94">
        <f>Table3.110[[#This Row],[Net gas 8-24h, ml]]*Table3.110[[#This Row],[CH4 24h, %]]%</f>
        <v>7.6972927502210453</v>
      </c>
      <c r="AL433" s="94">
        <f>Table3.110[[#This Row],[CH4 8-24h, ml]]+Table3.110[[#This Row],[CH4 8h, ml]]</f>
        <v>12.32508784211411</v>
      </c>
      <c r="AM433" s="94">
        <f>(Table3.110[[#This Row],[Net gas 24h, ml]]/Table3.110[[#This Row],[DM Incubated, mg]])*1000</f>
        <v>196.07645449177153</v>
      </c>
      <c r="AN433" s="94">
        <f>'3.2 Digest'!X433</f>
        <v>45.058169684398102</v>
      </c>
      <c r="AO433" s="94">
        <f>Table3.110[[#This Row],[Digested feed, mg]]/Table3.110[[#This Row],[Net gas 24h, ml]]</f>
        <v>2.2979898224490283</v>
      </c>
      <c r="AP433" s="94">
        <f>Table3.110[[#This Row],[CH4 8h, ml]]/Table3.110[[#This Row],[Net gas 8h, ml]]%</f>
        <v>12.1</v>
      </c>
      <c r="AQ433" s="94">
        <f>Table3.110[[#This Row],[CH4 24h, ml]]/Table3.110[[#This Row],[Net gas 24h, ml]]%</f>
        <v>13.655854218590509</v>
      </c>
      <c r="AR433" s="94">
        <f>Table3.110[[#This Row],[CH4 24h, ml]]/Table3.110[[#This Row],[DM Incubated, mg]]*1000</f>
        <v>26.775914782377278</v>
      </c>
      <c r="AS433" s="94">
        <f>Table3.110[[#This Row],[CH4 24h, ml]]/Table3.110[[#This Row],[Digested feed, mg]]*1000</f>
        <v>59.425216270266617</v>
      </c>
      <c r="AT433" s="94">
        <f>Table3.110[[#This Row],[CH4 24h, ml]]/'3.2 Digest'!AA433</f>
        <v>-1.2448562360206927</v>
      </c>
      <c r="AU433" s="94">
        <f>((Table3.110[[#This Row],[CH4 24h, ml]]/28.9)*16.04)/Table3.110[[#This Row],[DM Incubated, mg]]*1000</f>
        <v>14.861095955340192</v>
      </c>
      <c r="AV433" s="94">
        <f>((Table3.110[[#This Row],[CH4 24h, ml]]/28.9)*16.04)/Table3.110[[#This Row],[Digested feed, mg]]*1000</f>
        <v>32.982023147926526</v>
      </c>
      <c r="AW433" s="303"/>
    </row>
    <row r="434" spans="1:49" s="304" customFormat="1" x14ac:dyDescent="0.35">
      <c r="A434" s="89"/>
      <c r="B434" s="90">
        <f t="shared" si="6"/>
        <v>424</v>
      </c>
      <c r="C434" s="140">
        <v>46048</v>
      </c>
      <c r="D434" s="6" t="s">
        <v>16</v>
      </c>
      <c r="E434" s="6" t="s">
        <v>277</v>
      </c>
      <c r="F434" s="133" t="s">
        <v>269</v>
      </c>
      <c r="G434" s="133" t="s">
        <v>270</v>
      </c>
      <c r="H434" s="133" t="s">
        <v>271</v>
      </c>
      <c r="I434" s="133" t="s">
        <v>22</v>
      </c>
      <c r="J434" s="132" t="s">
        <v>23</v>
      </c>
      <c r="K434" s="133" t="s">
        <v>215</v>
      </c>
      <c r="L434" s="6" t="s">
        <v>276</v>
      </c>
      <c r="M434" s="93">
        <v>28</v>
      </c>
      <c r="N434" s="93">
        <v>60</v>
      </c>
      <c r="O434" s="6">
        <v>1</v>
      </c>
      <c r="P434" s="129">
        <v>3</v>
      </c>
      <c r="Q434" s="6">
        <v>82</v>
      </c>
      <c r="R434" s="98">
        <v>0.50009999999999999</v>
      </c>
      <c r="S434" s="94">
        <f>((Table3.110[[#This Row],[Sample weight, g]]*'2.1. DM'!Q167)/100)*1000</f>
        <v>460.12100289970982</v>
      </c>
      <c r="T434" s="94">
        <f>'3.2 Digest'!W434</f>
        <v>177.32100289970975</v>
      </c>
      <c r="U434" s="153">
        <v>0.39444444444444443</v>
      </c>
      <c r="V434" s="154">
        <v>40.5</v>
      </c>
      <c r="W434" s="153">
        <v>0.73333333333333328</v>
      </c>
      <c r="X434" s="91">
        <v>79.5</v>
      </c>
      <c r="Y434" s="91">
        <v>12.3</v>
      </c>
      <c r="Z434" s="154">
        <v>40</v>
      </c>
      <c r="AA434" s="153">
        <v>0.39791666666666664</v>
      </c>
      <c r="AB434" s="154">
        <v>94.5</v>
      </c>
      <c r="AC434" s="154">
        <v>14.9</v>
      </c>
      <c r="AD434" s="91"/>
      <c r="AE434" s="94">
        <f>Table3.110[[#This Row],[Gas 8h, ml]]-Table3.110[[#This Row],[Gas 0h, ml]]</f>
        <v>39</v>
      </c>
      <c r="AF434" s="94">
        <f>Table3.110[[#This Row],[Gas 24h, ml]]-Table3.110[[#This Row],[V8 Push back, ml]]</f>
        <v>54.5</v>
      </c>
      <c r="AG434" s="94">
        <f>Table3.110[[#This Row],[GP 8h, ml]]-(AVERAGE(AE$293,AE$294,AE$385,AE$386,AE$477,AE$478))*$AG$8</f>
        <v>37.746240428868305</v>
      </c>
      <c r="AH434" s="94">
        <f>Table3.110[[#This Row],[GP 8-24h, ml]]-(AVERAGE(AF$293,AF$294,AF$385,AF$386,AF$477,AF$478))*$AG$8</f>
        <v>52.50873479879084</v>
      </c>
      <c r="AI434" s="94">
        <f>Table3.110[[#This Row],[Net gas 8-24h, ml]]+Table3.110[[#This Row],[Net gas 8h, ml]]</f>
        <v>90.254975227659145</v>
      </c>
      <c r="AJ434" s="94">
        <f>Table3.110[[#This Row],[Net gas 8h, ml]]*Table3.110[[#This Row],[CH4 8h %]]%</f>
        <v>4.6427875727508017</v>
      </c>
      <c r="AK434" s="94">
        <f>Table3.110[[#This Row],[Net gas 8-24h, ml]]*Table3.110[[#This Row],[CH4 24h, %]]%</f>
        <v>7.8238014850198345</v>
      </c>
      <c r="AL434" s="94">
        <f>Table3.110[[#This Row],[CH4 8-24h, ml]]+Table3.110[[#This Row],[CH4 8h, ml]]</f>
        <v>12.466589057770637</v>
      </c>
      <c r="AM434" s="94">
        <f>(Table3.110[[#This Row],[Net gas 24h, ml]]/Table3.110[[#This Row],[DM Incubated, mg]])*1000</f>
        <v>196.15486939058843</v>
      </c>
      <c r="AN434" s="94">
        <f>'3.2 Digest'!X434</f>
        <v>38.537906720671799</v>
      </c>
      <c r="AO434" s="94">
        <f>Table3.110[[#This Row],[Digested feed, mg]]/Table3.110[[#This Row],[Net gas 24h, ml]]</f>
        <v>1.964667348835178</v>
      </c>
      <c r="AP434" s="94">
        <f>Table3.110[[#This Row],[CH4 8h, ml]]/Table3.110[[#This Row],[Net gas 8h, ml]]%</f>
        <v>12.3</v>
      </c>
      <c r="AQ434" s="94">
        <f>Table3.110[[#This Row],[CH4 24h, ml]]/Table3.110[[#This Row],[Net gas 24h, ml]]%</f>
        <v>13.81263362637341</v>
      </c>
      <c r="AR434" s="94">
        <f>Table3.110[[#This Row],[CH4 24h, ml]]/Table3.110[[#This Row],[DM Incubated, mg]]*1000</f>
        <v>27.094153449213259</v>
      </c>
      <c r="AS434" s="94">
        <f>Table3.110[[#This Row],[CH4 24h, ml]]/Table3.110[[#This Row],[Digested feed, mg]]*1000</f>
        <v>70.305202733494369</v>
      </c>
      <c r="AT434" s="94">
        <f>Table3.110[[#This Row],[CH4 24h, ml]]/'3.2 Digest'!AA434</f>
        <v>-0.54336338052853217</v>
      </c>
      <c r="AU434" s="94">
        <f>((Table3.110[[#This Row],[CH4 24h, ml]]/28.9)*16.04)/Table3.110[[#This Row],[DM Incubated, mg]]*1000</f>
        <v>15.03772392129345</v>
      </c>
      <c r="AV434" s="94">
        <f>((Table3.110[[#This Row],[CH4 24h, ml]]/28.9)*16.04)/Table3.110[[#This Row],[Digested feed, mg]]*1000</f>
        <v>39.020603870077842</v>
      </c>
      <c r="AW434" s="303"/>
    </row>
    <row r="435" spans="1:49" s="304" customFormat="1" x14ac:dyDescent="0.35">
      <c r="A435" s="89"/>
      <c r="B435" s="90">
        <f t="shared" si="6"/>
        <v>425</v>
      </c>
      <c r="C435" s="140">
        <v>46048</v>
      </c>
      <c r="D435" s="6" t="s">
        <v>16</v>
      </c>
      <c r="E435" s="6" t="s">
        <v>279</v>
      </c>
      <c r="F435" s="133" t="s">
        <v>269</v>
      </c>
      <c r="G435" s="133" t="s">
        <v>270</v>
      </c>
      <c r="H435" s="133" t="s">
        <v>271</v>
      </c>
      <c r="I435" s="133" t="s">
        <v>22</v>
      </c>
      <c r="J435" s="132" t="s">
        <v>23</v>
      </c>
      <c r="K435" s="133" t="s">
        <v>215</v>
      </c>
      <c r="L435" s="6" t="s">
        <v>278</v>
      </c>
      <c r="M435" s="93">
        <v>28</v>
      </c>
      <c r="N435" s="93">
        <v>60</v>
      </c>
      <c r="O435" s="6">
        <v>1</v>
      </c>
      <c r="P435" s="129">
        <v>1</v>
      </c>
      <c r="Q435" s="6">
        <v>83</v>
      </c>
      <c r="R435" s="98">
        <v>0.50049999999999994</v>
      </c>
      <c r="S435" s="94">
        <f>((Table3.110[[#This Row],[Sample weight, g]]*'2.1. DM'!Q169)/100)*1000</f>
        <v>461.29756782549919</v>
      </c>
      <c r="T435" s="94">
        <f>'3.2 Digest'!W435</f>
        <v>181.69756782549922</v>
      </c>
      <c r="U435" s="117">
        <v>0.39444444444444443</v>
      </c>
      <c r="V435" s="155">
        <v>40.5</v>
      </c>
      <c r="W435" s="117">
        <v>0.73402777777777772</v>
      </c>
      <c r="X435" s="96">
        <v>79.5</v>
      </c>
      <c r="Y435" s="96">
        <v>12</v>
      </c>
      <c r="Z435" s="155">
        <v>40</v>
      </c>
      <c r="AA435" s="117">
        <v>0.39791666666666664</v>
      </c>
      <c r="AB435" s="155">
        <v>88</v>
      </c>
      <c r="AC435" s="155">
        <v>13.6</v>
      </c>
      <c r="AD435" s="96"/>
      <c r="AE435" s="94">
        <f>Table3.110[[#This Row],[Gas 8h, ml]]-Table3.110[[#This Row],[Gas 0h, ml]]</f>
        <v>39</v>
      </c>
      <c r="AF435" s="94">
        <f>Table3.110[[#This Row],[Gas 24h, ml]]-Table3.110[[#This Row],[V8 Push back, ml]]</f>
        <v>48</v>
      </c>
      <c r="AG435" s="94">
        <f>Table3.110[[#This Row],[GP 8h, ml]]-(AVERAGE(AE$293,AE$294,AE$385,AE$386,AE$477,AE$478))*$AG$8</f>
        <v>37.746240428868305</v>
      </c>
      <c r="AH435" s="94">
        <f>Table3.110[[#This Row],[GP 8-24h, ml]]-(AVERAGE(AF$293,AF$294,AF$385,AF$386,AF$477,AF$478))*$AG$8</f>
        <v>46.00873479879084</v>
      </c>
      <c r="AI435" s="94">
        <f>Table3.110[[#This Row],[Net gas 8-24h, ml]]+Table3.110[[#This Row],[Net gas 8h, ml]]</f>
        <v>83.754975227659145</v>
      </c>
      <c r="AJ435" s="94">
        <f>Table3.110[[#This Row],[Net gas 8h, ml]]*Table3.110[[#This Row],[CH4 8h %]]%</f>
        <v>4.5295488514641962</v>
      </c>
      <c r="AK435" s="94">
        <f>Table3.110[[#This Row],[Net gas 8-24h, ml]]*Table3.110[[#This Row],[CH4 24h, %]]%</f>
        <v>6.2571879326355546</v>
      </c>
      <c r="AL435" s="94">
        <f>Table3.110[[#This Row],[CH4 8-24h, ml]]+Table3.110[[#This Row],[CH4 8h, ml]]</f>
        <v>10.786736784099752</v>
      </c>
      <c r="AM435" s="94">
        <f>(Table3.110[[#This Row],[Net gas 24h, ml]]/Table3.110[[#This Row],[DM Incubated, mg]])*1000</f>
        <v>181.56387778602419</v>
      </c>
      <c r="AN435" s="94">
        <f>'3.2 Digest'!X435</f>
        <v>39.388364582540405</v>
      </c>
      <c r="AO435" s="94">
        <f>Table3.110[[#This Row],[Digested feed, mg]]/Table3.110[[#This Row],[Net gas 24h, ml]]</f>
        <v>2.1693943235206836</v>
      </c>
      <c r="AP435" s="94">
        <f>Table3.110[[#This Row],[CH4 8h, ml]]/Table3.110[[#This Row],[Net gas 8h, ml]]%</f>
        <v>11.999999999999998</v>
      </c>
      <c r="AQ435" s="94">
        <f>Table3.110[[#This Row],[CH4 24h, ml]]/Table3.110[[#This Row],[Net gas 24h, ml]]%</f>
        <v>12.878920631018888</v>
      </c>
      <c r="AR435" s="94">
        <f>Table3.110[[#This Row],[CH4 24h, ml]]/Table3.110[[#This Row],[DM Incubated, mg]]*1000</f>
        <v>23.383467714662189</v>
      </c>
      <c r="AS435" s="94">
        <f>Table3.110[[#This Row],[CH4 24h, ml]]/Table3.110[[#This Row],[Digested feed, mg]]*1000</f>
        <v>59.366434637469894</v>
      </c>
      <c r="AT435" s="94">
        <f>Table3.110[[#This Row],[CH4 24h, ml]]/'3.2 Digest'!AA435</f>
        <v>-0.37684094810128527</v>
      </c>
      <c r="AU435" s="94">
        <f>((Table3.110[[#This Row],[CH4 24h, ml]]/28.9)*16.04)/Table3.110[[#This Row],[DM Incubated, mg]]*1000</f>
        <v>12.978229139902476</v>
      </c>
      <c r="AV435" s="94">
        <f>((Table3.110[[#This Row],[CH4 24h, ml]]/28.9)*16.04)/Table3.110[[#This Row],[Digested feed, mg]]*1000</f>
        <v>32.949398324741082</v>
      </c>
      <c r="AW435" s="303"/>
    </row>
    <row r="436" spans="1:49" s="304" customFormat="1" x14ac:dyDescent="0.35">
      <c r="A436" s="89"/>
      <c r="B436" s="90">
        <f t="shared" si="6"/>
        <v>426</v>
      </c>
      <c r="C436" s="140">
        <v>46048</v>
      </c>
      <c r="D436" s="6" t="s">
        <v>16</v>
      </c>
      <c r="E436" s="6" t="s">
        <v>279</v>
      </c>
      <c r="F436" s="133" t="s">
        <v>269</v>
      </c>
      <c r="G436" s="133" t="s">
        <v>270</v>
      </c>
      <c r="H436" s="133" t="s">
        <v>271</v>
      </c>
      <c r="I436" s="133" t="s">
        <v>22</v>
      </c>
      <c r="J436" s="132" t="s">
        <v>23</v>
      </c>
      <c r="K436" s="133" t="s">
        <v>215</v>
      </c>
      <c r="L436" s="6" t="s">
        <v>278</v>
      </c>
      <c r="M436" s="93">
        <v>28</v>
      </c>
      <c r="N436" s="93">
        <v>60</v>
      </c>
      <c r="O436" s="6">
        <v>1</v>
      </c>
      <c r="P436" s="6">
        <v>2</v>
      </c>
      <c r="Q436" s="6">
        <v>84</v>
      </c>
      <c r="R436" s="98">
        <v>0.5</v>
      </c>
      <c r="S436" s="94">
        <f>((Table3.110[[#This Row],[Sample weight, g]]*'2.1. DM'!Q169)/100)*1000</f>
        <v>460.8367310944048</v>
      </c>
      <c r="T436" s="94">
        <f>'3.2 Digest'!W436</f>
        <v>256.93673109440482</v>
      </c>
      <c r="U436" s="153">
        <v>0.39444444444444443</v>
      </c>
      <c r="V436" s="154">
        <v>41</v>
      </c>
      <c r="W436" s="153">
        <v>0.73472222222222228</v>
      </c>
      <c r="X436" s="91">
        <v>79.5</v>
      </c>
      <c r="Y436" s="91">
        <v>11.9</v>
      </c>
      <c r="Z436" s="154">
        <v>40</v>
      </c>
      <c r="AA436" s="153">
        <v>0.39791666666666664</v>
      </c>
      <c r="AB436" s="154">
        <v>87</v>
      </c>
      <c r="AC436" s="154">
        <v>12.9</v>
      </c>
      <c r="AD436" s="91"/>
      <c r="AE436" s="94">
        <f>Table3.110[[#This Row],[Gas 8h, ml]]-Table3.110[[#This Row],[Gas 0h, ml]]</f>
        <v>38.5</v>
      </c>
      <c r="AF436" s="94">
        <f>Table3.110[[#This Row],[Gas 24h, ml]]-Table3.110[[#This Row],[V8 Push back, ml]]</f>
        <v>47</v>
      </c>
      <c r="AG436" s="94">
        <f>Table3.110[[#This Row],[GP 8h, ml]]-(AVERAGE(AE$293,AE$294,AE$385,AE$386,AE$477,AE$478))*$AG$8</f>
        <v>37.246240428868305</v>
      </c>
      <c r="AH436" s="94">
        <f>Table3.110[[#This Row],[GP 8-24h, ml]]-(AVERAGE(AF$293,AF$294,AF$385,AF$386,AF$477,AF$478))*$AG$8</f>
        <v>45.00873479879084</v>
      </c>
      <c r="AI436" s="94">
        <f>Table3.110[[#This Row],[Net gas 8-24h, ml]]+Table3.110[[#This Row],[Net gas 8h, ml]]</f>
        <v>82.254975227659145</v>
      </c>
      <c r="AJ436" s="94">
        <f>Table3.110[[#This Row],[Net gas 8h, ml]]*Table3.110[[#This Row],[CH4 8h %]]%</f>
        <v>4.432302611035329</v>
      </c>
      <c r="AK436" s="94">
        <f>Table3.110[[#This Row],[Net gas 8-24h, ml]]*Table3.110[[#This Row],[CH4 24h, %]]%</f>
        <v>5.8061267890440185</v>
      </c>
      <c r="AL436" s="94">
        <f>Table3.110[[#This Row],[CH4 8-24h, ml]]+Table3.110[[#This Row],[CH4 8h, ml]]</f>
        <v>10.238429400079347</v>
      </c>
      <c r="AM436" s="94">
        <f>(Table3.110[[#This Row],[Net gas 24h, ml]]/Table3.110[[#This Row],[DM Incubated, mg]])*1000</f>
        <v>178.49049278758292</v>
      </c>
      <c r="AN436" s="94">
        <f>'3.2 Digest'!X436</f>
        <v>55.75439494248343</v>
      </c>
      <c r="AO436" s="94">
        <f>Table3.110[[#This Row],[Digested feed, mg]]/Table3.110[[#This Row],[Net gas 24h, ml]]</f>
        <v>3.1236618865092916</v>
      </c>
      <c r="AP436" s="94">
        <f>Table3.110[[#This Row],[CH4 8h, ml]]/Table3.110[[#This Row],[Net gas 8h, ml]]%</f>
        <v>11.900000000000002</v>
      </c>
      <c r="AQ436" s="94">
        <f>Table3.110[[#This Row],[CH4 24h, ml]]/Table3.110[[#This Row],[Net gas 24h, ml]]%</f>
        <v>12.447185561410956</v>
      </c>
      <c r="AR436" s="94">
        <f>Table3.110[[#This Row],[CH4 24h, ml]]/Table3.110[[#This Row],[DM Incubated, mg]]*1000</f>
        <v>22.217042846747283</v>
      </c>
      <c r="AS436" s="94">
        <f>Table3.110[[#This Row],[CH4 24h, ml]]/Table3.110[[#This Row],[Digested feed, mg]]*1000</f>
        <v>39.848056587586534</v>
      </c>
      <c r="AT436" s="94">
        <f>Table3.110[[#This Row],[CH4 24h, ml]]/'3.2 Digest'!AA436</f>
        <v>1.6767032876191219</v>
      </c>
      <c r="AU436" s="94">
        <f>((Table3.110[[#This Row],[CH4 24h, ml]]/28.9)*16.04)/Table3.110[[#This Row],[DM Incubated, mg]]*1000</f>
        <v>12.330843157848665</v>
      </c>
      <c r="AV436" s="94">
        <f>((Table3.110[[#This Row],[CH4 24h, ml]]/28.9)*16.04)/Table3.110[[#This Row],[Digested feed, mg]]*1000</f>
        <v>22.116360818854258</v>
      </c>
      <c r="AW436" s="303"/>
    </row>
    <row r="437" spans="1:49" s="304" customFormat="1" x14ac:dyDescent="0.35">
      <c r="A437" s="89"/>
      <c r="B437" s="90">
        <f t="shared" si="6"/>
        <v>427</v>
      </c>
      <c r="C437" s="140">
        <v>46048</v>
      </c>
      <c r="D437" s="6" t="s">
        <v>16</v>
      </c>
      <c r="E437" s="6" t="s">
        <v>279</v>
      </c>
      <c r="F437" s="133" t="s">
        <v>269</v>
      </c>
      <c r="G437" s="133" t="s">
        <v>270</v>
      </c>
      <c r="H437" s="133" t="s">
        <v>271</v>
      </c>
      <c r="I437" s="133" t="s">
        <v>22</v>
      </c>
      <c r="J437" s="132" t="s">
        <v>23</v>
      </c>
      <c r="K437" s="133" t="s">
        <v>215</v>
      </c>
      <c r="L437" s="6" t="s">
        <v>278</v>
      </c>
      <c r="M437" s="93">
        <v>28</v>
      </c>
      <c r="N437" s="93">
        <v>60</v>
      </c>
      <c r="O437" s="6">
        <v>1</v>
      </c>
      <c r="P437" s="129">
        <v>3</v>
      </c>
      <c r="Q437" s="6">
        <v>85</v>
      </c>
      <c r="R437" s="98">
        <v>0.50049999999999994</v>
      </c>
      <c r="S437" s="94">
        <f>((Table3.110[[#This Row],[Sample weight, g]]*'2.1. DM'!Q169)/100)*1000</f>
        <v>461.29756782549919</v>
      </c>
      <c r="T437" s="94">
        <f>'3.2 Digest'!W437</f>
        <v>261.99756782549912</v>
      </c>
      <c r="U437" s="117">
        <v>0.39513888888888887</v>
      </c>
      <c r="V437" s="155">
        <v>41</v>
      </c>
      <c r="W437" s="117">
        <v>0.73472222222222228</v>
      </c>
      <c r="X437" s="96">
        <v>80</v>
      </c>
      <c r="Y437" s="96">
        <v>11.9</v>
      </c>
      <c r="Z437" s="155">
        <v>40</v>
      </c>
      <c r="AA437" s="117">
        <v>0.39861111111111114</v>
      </c>
      <c r="AB437" s="155">
        <v>85.5</v>
      </c>
      <c r="AC437" s="155">
        <v>13.4</v>
      </c>
      <c r="AD437" s="96"/>
      <c r="AE437" s="94">
        <f>Table3.110[[#This Row],[Gas 8h, ml]]-Table3.110[[#This Row],[Gas 0h, ml]]</f>
        <v>39</v>
      </c>
      <c r="AF437" s="94">
        <f>Table3.110[[#This Row],[Gas 24h, ml]]-Table3.110[[#This Row],[V8 Push back, ml]]</f>
        <v>45.5</v>
      </c>
      <c r="AG437" s="94">
        <f>Table3.110[[#This Row],[GP 8h, ml]]-(AVERAGE(AE$293,AE$294,AE$385,AE$386,AE$477,AE$478))*$AG$8</f>
        <v>37.746240428868305</v>
      </c>
      <c r="AH437" s="94">
        <f>Table3.110[[#This Row],[GP 8-24h, ml]]-(AVERAGE(AF$293,AF$294,AF$385,AF$386,AF$477,AF$478))*$AG$8</f>
        <v>43.50873479879084</v>
      </c>
      <c r="AI437" s="94">
        <f>Table3.110[[#This Row],[Net gas 8-24h, ml]]+Table3.110[[#This Row],[Net gas 8h, ml]]</f>
        <v>81.254975227659145</v>
      </c>
      <c r="AJ437" s="94">
        <f>Table3.110[[#This Row],[Net gas 8h, ml]]*Table3.110[[#This Row],[CH4 8h %]]%</f>
        <v>4.4918026110353289</v>
      </c>
      <c r="AK437" s="94">
        <f>Table3.110[[#This Row],[Net gas 8-24h, ml]]*Table3.110[[#This Row],[CH4 24h, %]]%</f>
        <v>5.8301704630379731</v>
      </c>
      <c r="AL437" s="94">
        <f>Table3.110[[#This Row],[CH4 8-24h, ml]]+Table3.110[[#This Row],[CH4 8h, ml]]</f>
        <v>10.321973074073302</v>
      </c>
      <c r="AM437" s="94">
        <f>(Table3.110[[#This Row],[Net gas 24h, ml]]/Table3.110[[#This Row],[DM Incubated, mg]])*1000</f>
        <v>176.14438248761044</v>
      </c>
      <c r="AN437" s="94">
        <f>'3.2 Digest'!X437</f>
        <v>56.795783481045412</v>
      </c>
      <c r="AO437" s="94">
        <f>Table3.110[[#This Row],[Digested feed, mg]]/Table3.110[[#This Row],[Net gas 24h, ml]]</f>
        <v>3.2243880093672752</v>
      </c>
      <c r="AP437" s="94">
        <f>Table3.110[[#This Row],[CH4 8h, ml]]/Table3.110[[#This Row],[Net gas 8h, ml]]%</f>
        <v>11.900000000000002</v>
      </c>
      <c r="AQ437" s="94">
        <f>Table3.110[[#This Row],[CH4 24h, ml]]/Table3.110[[#This Row],[Net gas 24h, ml]]%</f>
        <v>12.70318899877002</v>
      </c>
      <c r="AR437" s="94">
        <f>Table3.110[[#This Row],[CH4 24h, ml]]/Table3.110[[#This Row],[DM Incubated, mg]]*1000</f>
        <v>22.375953818117516</v>
      </c>
      <c r="AS437" s="94">
        <f>Table3.110[[#This Row],[CH4 24h, ml]]/Table3.110[[#This Row],[Digested feed, mg]]*1000</f>
        <v>39.397209522754615</v>
      </c>
      <c r="AT437" s="94">
        <f>Table3.110[[#This Row],[CH4 24h, ml]]/'3.2 Digest'!AA437</f>
        <v>1.241185802574615</v>
      </c>
      <c r="AU437" s="94">
        <f>((Table3.110[[#This Row],[CH4 24h, ml]]/28.9)*16.04)/Table3.110[[#This Row],[DM Incubated, mg]]*1000</f>
        <v>12.419041496283908</v>
      </c>
      <c r="AV437" s="94">
        <f>((Table3.110[[#This Row],[CH4 24h, ml]]/28.9)*16.04)/Table3.110[[#This Row],[Digested feed, mg]]*1000</f>
        <v>21.866132897750315</v>
      </c>
      <c r="AW437" s="303"/>
    </row>
    <row r="438" spans="1:49" s="304" customFormat="1" x14ac:dyDescent="0.35">
      <c r="A438" s="89"/>
      <c r="B438" s="90">
        <f t="shared" si="6"/>
        <v>428</v>
      </c>
      <c r="C438" s="140">
        <v>46048</v>
      </c>
      <c r="D438" s="6" t="s">
        <v>16</v>
      </c>
      <c r="E438" s="6" t="s">
        <v>281</v>
      </c>
      <c r="F438" s="133" t="s">
        <v>269</v>
      </c>
      <c r="G438" s="133" t="s">
        <v>282</v>
      </c>
      <c r="H438" s="133" t="s">
        <v>283</v>
      </c>
      <c r="I438" s="133" t="s">
        <v>22</v>
      </c>
      <c r="J438" s="132" t="s">
        <v>23</v>
      </c>
      <c r="K438" s="133" t="s">
        <v>215</v>
      </c>
      <c r="L438" s="6" t="s">
        <v>280</v>
      </c>
      <c r="M438" s="93">
        <v>28</v>
      </c>
      <c r="N438" s="93">
        <v>60</v>
      </c>
      <c r="O438" s="6">
        <v>1</v>
      </c>
      <c r="P438" s="129">
        <v>1</v>
      </c>
      <c r="Q438" s="6">
        <v>86</v>
      </c>
      <c r="R438" s="98">
        <v>0.50029999999999997</v>
      </c>
      <c r="S438" s="94">
        <f>((Table3.110[[#This Row],[Sample weight, g]]*'2.1. DM'!Q171)/100)*1000</f>
        <v>456.2367889633112</v>
      </c>
      <c r="T438" s="94">
        <f>'3.2 Digest'!W438</f>
        <v>319.03678896331121</v>
      </c>
      <c r="U438" s="153">
        <v>0.39513888888888887</v>
      </c>
      <c r="V438" s="154">
        <v>41</v>
      </c>
      <c r="W438" s="153">
        <v>0.73541666666666672</v>
      </c>
      <c r="X438" s="91">
        <v>84.5</v>
      </c>
      <c r="Y438" s="91">
        <v>12.6</v>
      </c>
      <c r="Z438" s="154">
        <v>40.5</v>
      </c>
      <c r="AA438" s="153">
        <v>0.39861111111111114</v>
      </c>
      <c r="AB438" s="154">
        <v>90</v>
      </c>
      <c r="AC438" s="154">
        <v>15</v>
      </c>
      <c r="AD438" s="91"/>
      <c r="AE438" s="94">
        <f>Table3.110[[#This Row],[Gas 8h, ml]]-Table3.110[[#This Row],[Gas 0h, ml]]</f>
        <v>43.5</v>
      </c>
      <c r="AF438" s="94">
        <f>Table3.110[[#This Row],[Gas 24h, ml]]-Table3.110[[#This Row],[V8 Push back, ml]]</f>
        <v>49.5</v>
      </c>
      <c r="AG438" s="94">
        <f>Table3.110[[#This Row],[GP 8h, ml]]-(AVERAGE(AE$293,AE$294,AE$385,AE$386,AE$477,AE$478))*$AG$8</f>
        <v>42.246240428868305</v>
      </c>
      <c r="AH438" s="94">
        <f>Table3.110[[#This Row],[GP 8-24h, ml]]-(AVERAGE(AF$293,AF$294,AF$385,AF$386,AF$477,AF$478))*$AG$8</f>
        <v>47.50873479879084</v>
      </c>
      <c r="AI438" s="94">
        <f>Table3.110[[#This Row],[Net gas 8-24h, ml]]+Table3.110[[#This Row],[Net gas 8h, ml]]</f>
        <v>89.754975227659145</v>
      </c>
      <c r="AJ438" s="94">
        <f>Table3.110[[#This Row],[Net gas 8h, ml]]*Table3.110[[#This Row],[CH4 8h %]]%</f>
        <v>5.3230262940374065</v>
      </c>
      <c r="AK438" s="94">
        <f>Table3.110[[#This Row],[Net gas 8-24h, ml]]*Table3.110[[#This Row],[CH4 24h, %]]%</f>
        <v>7.1263102198186257</v>
      </c>
      <c r="AL438" s="94">
        <f>Table3.110[[#This Row],[CH4 8-24h, ml]]+Table3.110[[#This Row],[CH4 8h, ml]]</f>
        <v>12.449336513856032</v>
      </c>
      <c r="AM438" s="94">
        <f>(Table3.110[[#This Row],[Net gas 24h, ml]]/Table3.110[[#This Row],[DM Incubated, mg]])*1000</f>
        <v>196.72892979894456</v>
      </c>
      <c r="AN438" s="94">
        <f>'3.2 Digest'!X438</f>
        <v>69.927896364571097</v>
      </c>
      <c r="AO438" s="94">
        <f>Table3.110[[#This Row],[Digested feed, mg]]/Table3.110[[#This Row],[Net gas 24h, ml]]</f>
        <v>3.5545304107553912</v>
      </c>
      <c r="AP438" s="94">
        <f>Table3.110[[#This Row],[CH4 8h, ml]]/Table3.110[[#This Row],[Net gas 8h, ml]]%</f>
        <v>12.6</v>
      </c>
      <c r="AQ438" s="94">
        <f>Table3.110[[#This Row],[CH4 24h, ml]]/Table3.110[[#This Row],[Net gas 24h, ml]]%</f>
        <v>13.870358141461121</v>
      </c>
      <c r="AR438" s="94">
        <f>Table3.110[[#This Row],[CH4 24h, ml]]/Table3.110[[#This Row],[DM Incubated, mg]]*1000</f>
        <v>27.287007130977241</v>
      </c>
      <c r="AS438" s="94">
        <f>Table3.110[[#This Row],[CH4 24h, ml]]/Table3.110[[#This Row],[Digested feed, mg]]*1000</f>
        <v>39.021633067174861</v>
      </c>
      <c r="AT438" s="94">
        <f>Table3.110[[#This Row],[CH4 24h, ml]]/'3.2 Digest'!AA438</f>
        <v>0.31499021515950076</v>
      </c>
      <c r="AU438" s="94">
        <f>((Table3.110[[#This Row],[CH4 24h, ml]]/28.9)*16.04)/Table3.110[[#This Row],[DM Incubated, mg]]*1000</f>
        <v>15.14476105124135</v>
      </c>
      <c r="AV438" s="94">
        <f>((Table3.110[[#This Row],[CH4 24h, ml]]/28.9)*16.04)/Table3.110[[#This Row],[Digested feed, mg]]*1000</f>
        <v>21.657681467040998</v>
      </c>
      <c r="AW438" s="303"/>
    </row>
    <row r="439" spans="1:49" s="304" customFormat="1" x14ac:dyDescent="0.35">
      <c r="A439" s="89"/>
      <c r="B439" s="90">
        <f t="shared" si="6"/>
        <v>429</v>
      </c>
      <c r="C439" s="140">
        <v>46048</v>
      </c>
      <c r="D439" s="6" t="s">
        <v>16</v>
      </c>
      <c r="E439" s="6" t="s">
        <v>281</v>
      </c>
      <c r="F439" s="133" t="s">
        <v>269</v>
      </c>
      <c r="G439" s="133" t="s">
        <v>282</v>
      </c>
      <c r="H439" s="133" t="s">
        <v>283</v>
      </c>
      <c r="I439" s="133" t="s">
        <v>22</v>
      </c>
      <c r="J439" s="132" t="s">
        <v>23</v>
      </c>
      <c r="K439" s="133" t="s">
        <v>215</v>
      </c>
      <c r="L439" s="6" t="s">
        <v>280</v>
      </c>
      <c r="M439" s="93">
        <v>28</v>
      </c>
      <c r="N439" s="93">
        <v>60</v>
      </c>
      <c r="O439" s="6">
        <v>1</v>
      </c>
      <c r="P439" s="6">
        <v>2</v>
      </c>
      <c r="Q439" s="6">
        <v>87</v>
      </c>
      <c r="R439" s="98">
        <v>0.50049999999999994</v>
      </c>
      <c r="S439" s="94">
        <f>((Table3.110[[#This Row],[Sample weight, g]]*'2.1. DM'!Q171)/100)*1000</f>
        <v>456.41917424772589</v>
      </c>
      <c r="T439" s="94">
        <f>'3.2 Digest'!W439</f>
        <v>280.41917424772583</v>
      </c>
      <c r="U439" s="117">
        <v>0.39513888888888887</v>
      </c>
      <c r="V439" s="155">
        <v>41.5</v>
      </c>
      <c r="W439" s="117">
        <v>0.73611111111111116</v>
      </c>
      <c r="X439" s="96">
        <v>85.5</v>
      </c>
      <c r="Y439" s="96">
        <v>12.9</v>
      </c>
      <c r="Z439" s="155">
        <v>40</v>
      </c>
      <c r="AA439" s="117">
        <v>0.39861111111111114</v>
      </c>
      <c r="AB439" s="155">
        <v>89</v>
      </c>
      <c r="AC439" s="155">
        <v>14.7</v>
      </c>
      <c r="AD439" s="96"/>
      <c r="AE439" s="94">
        <f>Table3.110[[#This Row],[Gas 8h, ml]]-Table3.110[[#This Row],[Gas 0h, ml]]</f>
        <v>44</v>
      </c>
      <c r="AF439" s="94">
        <f>Table3.110[[#This Row],[Gas 24h, ml]]-Table3.110[[#This Row],[V8 Push back, ml]]</f>
        <v>49</v>
      </c>
      <c r="AG439" s="94">
        <f>Table3.110[[#This Row],[GP 8h, ml]]-(AVERAGE(AE$293,AE$294,AE$385,AE$386,AE$477,AE$478))*$AG$8</f>
        <v>42.746240428868305</v>
      </c>
      <c r="AH439" s="94">
        <f>Table3.110[[#This Row],[GP 8-24h, ml]]-(AVERAGE(AF$293,AF$294,AF$385,AF$386,AF$477,AF$478))*$AG$8</f>
        <v>47.00873479879084</v>
      </c>
      <c r="AI439" s="94">
        <f>Table3.110[[#This Row],[Net gas 8-24h, ml]]+Table3.110[[#This Row],[Net gas 8h, ml]]</f>
        <v>89.754975227659145</v>
      </c>
      <c r="AJ439" s="94">
        <f>Table3.110[[#This Row],[Net gas 8h, ml]]*Table3.110[[#This Row],[CH4 8h %]]%</f>
        <v>5.5142650153240114</v>
      </c>
      <c r="AK439" s="94">
        <f>Table3.110[[#This Row],[Net gas 8-24h, ml]]*Table3.110[[#This Row],[CH4 24h, %]]%</f>
        <v>6.9102840154222527</v>
      </c>
      <c r="AL439" s="94">
        <f>Table3.110[[#This Row],[CH4 8-24h, ml]]+Table3.110[[#This Row],[CH4 8h, ml]]</f>
        <v>12.424549030746263</v>
      </c>
      <c r="AM439" s="94">
        <f>(Table3.110[[#This Row],[Net gas 24h, ml]]/Table3.110[[#This Row],[DM Incubated, mg]])*1000</f>
        <v>196.65031683998396</v>
      </c>
      <c r="AN439" s="94">
        <f>'3.2 Digest'!X439</f>
        <v>61.438955694601397</v>
      </c>
      <c r="AO439" s="94">
        <f>Table3.110[[#This Row],[Digested feed, mg]]/Table3.110[[#This Row],[Net gas 24h, ml]]</f>
        <v>3.1242744319906075</v>
      </c>
      <c r="AP439" s="94">
        <f>Table3.110[[#This Row],[CH4 8h, ml]]/Table3.110[[#This Row],[Net gas 8h, ml]]%</f>
        <v>12.9</v>
      </c>
      <c r="AQ439" s="94">
        <f>Table3.110[[#This Row],[CH4 24h, ml]]/Table3.110[[#This Row],[Net gas 24h, ml]]%</f>
        <v>13.842741306798867</v>
      </c>
      <c r="AR439" s="94">
        <f>Table3.110[[#This Row],[CH4 24h, ml]]/Table3.110[[#This Row],[DM Incubated, mg]]*1000</f>
        <v>27.22179463915931</v>
      </c>
      <c r="AS439" s="94">
        <f>Table3.110[[#This Row],[CH4 24h, ml]]/Table3.110[[#This Row],[Digested feed, mg]]*1000</f>
        <v>44.307059472938391</v>
      </c>
      <c r="AT439" s="94">
        <f>Table3.110[[#This Row],[CH4 24h, ml]]/'3.2 Digest'!AA439</f>
        <v>0.55340522616580456</v>
      </c>
      <c r="AU439" s="94">
        <f>((Table3.110[[#This Row],[CH4 24h, ml]]/28.9)*16.04)/Table3.110[[#This Row],[DM Incubated, mg]]*1000</f>
        <v>15.108566990038593</v>
      </c>
      <c r="AV439" s="94">
        <f>((Table3.110[[#This Row],[CH4 24h, ml]]/28.9)*16.04)/Table3.110[[#This Row],[Digested feed, mg]]*1000</f>
        <v>24.591184565603182</v>
      </c>
      <c r="AW439" s="303"/>
    </row>
    <row r="440" spans="1:49" s="304" customFormat="1" x14ac:dyDescent="0.35">
      <c r="A440" s="89"/>
      <c r="B440" s="90">
        <f t="shared" si="6"/>
        <v>430</v>
      </c>
      <c r="C440" s="140">
        <v>46048</v>
      </c>
      <c r="D440" s="6" t="s">
        <v>16</v>
      </c>
      <c r="E440" s="6" t="s">
        <v>281</v>
      </c>
      <c r="F440" s="133" t="s">
        <v>269</v>
      </c>
      <c r="G440" s="133" t="s">
        <v>282</v>
      </c>
      <c r="H440" s="133" t="s">
        <v>283</v>
      </c>
      <c r="I440" s="133" t="s">
        <v>22</v>
      </c>
      <c r="J440" s="132" t="s">
        <v>23</v>
      </c>
      <c r="K440" s="133" t="s">
        <v>215</v>
      </c>
      <c r="L440" s="6" t="s">
        <v>280</v>
      </c>
      <c r="M440" s="93">
        <v>28</v>
      </c>
      <c r="N440" s="93">
        <v>60</v>
      </c>
      <c r="O440" s="6">
        <v>1</v>
      </c>
      <c r="P440" s="129">
        <v>3</v>
      </c>
      <c r="Q440" s="6">
        <v>88</v>
      </c>
      <c r="R440" s="98">
        <v>0.50039999999999996</v>
      </c>
      <c r="S440" s="94">
        <f>((Table3.110[[#This Row],[Sample weight, g]]*'2.1. DM'!Q171)/100)*1000</f>
        <v>456.32798160551852</v>
      </c>
      <c r="T440" s="94">
        <f>'3.2 Digest'!W440</f>
        <v>312.12798160551853</v>
      </c>
      <c r="U440" s="117">
        <v>0.39583333333333331</v>
      </c>
      <c r="V440" s="155">
        <v>41</v>
      </c>
      <c r="W440" s="117">
        <v>0.7368055555555556</v>
      </c>
      <c r="X440" s="96">
        <v>88</v>
      </c>
      <c r="Y440" s="96">
        <v>12.9</v>
      </c>
      <c r="Z440" s="155">
        <v>40</v>
      </c>
      <c r="AA440" s="117">
        <v>0.39930555555555558</v>
      </c>
      <c r="AB440" s="155">
        <v>86.5</v>
      </c>
      <c r="AC440" s="155">
        <v>14.9</v>
      </c>
      <c r="AD440" s="96"/>
      <c r="AE440" s="94">
        <f>Table3.110[[#This Row],[Gas 8h, ml]]-Table3.110[[#This Row],[Gas 0h, ml]]</f>
        <v>47</v>
      </c>
      <c r="AF440" s="94">
        <f>Table3.110[[#This Row],[Gas 24h, ml]]-Table3.110[[#This Row],[V8 Push back, ml]]</f>
        <v>46.5</v>
      </c>
      <c r="AG440" s="94">
        <f>Table3.110[[#This Row],[GP 8h, ml]]-(AVERAGE(AE$293,AE$294,AE$385,AE$386,AE$477,AE$478))*$AG$8</f>
        <v>45.746240428868305</v>
      </c>
      <c r="AH440" s="94">
        <f>Table3.110[[#This Row],[GP 8-24h, ml]]-(AVERAGE(AF$293,AF$294,AF$385,AF$386,AF$477,AF$478))*$AG$8</f>
        <v>44.50873479879084</v>
      </c>
      <c r="AI440" s="94">
        <f>Table3.110[[#This Row],[Net gas 8-24h, ml]]+Table3.110[[#This Row],[Net gas 8h, ml]]</f>
        <v>90.254975227659145</v>
      </c>
      <c r="AJ440" s="94">
        <f>Table3.110[[#This Row],[Net gas 8h, ml]]*Table3.110[[#This Row],[CH4 8h %]]%</f>
        <v>5.9012650153240118</v>
      </c>
      <c r="AK440" s="94">
        <f>Table3.110[[#This Row],[Net gas 8-24h, ml]]*Table3.110[[#This Row],[CH4 24h, %]]%</f>
        <v>6.6318014850198352</v>
      </c>
      <c r="AL440" s="94">
        <f>Table3.110[[#This Row],[CH4 8-24h, ml]]+Table3.110[[#This Row],[CH4 8h, ml]]</f>
        <v>12.533066500343846</v>
      </c>
      <c r="AM440" s="94">
        <f>(Table3.110[[#This Row],[Net gas 24h, ml]]/Table3.110[[#This Row],[DM Incubated, mg]])*1000</f>
        <v>197.78531859937922</v>
      </c>
      <c r="AN440" s="94">
        <f>'3.2 Digest'!X440</f>
        <v>68.399921588710185</v>
      </c>
      <c r="AO440" s="94">
        <f>Table3.110[[#This Row],[Digested feed, mg]]/Table3.110[[#This Row],[Net gas 24h, ml]]</f>
        <v>3.4582911448173013</v>
      </c>
      <c r="AP440" s="94">
        <f>Table3.110[[#This Row],[CH4 8h, ml]]/Table3.110[[#This Row],[Net gas 8h, ml]]%</f>
        <v>12.9</v>
      </c>
      <c r="AQ440" s="94">
        <f>Table3.110[[#This Row],[CH4 24h, ml]]/Table3.110[[#This Row],[Net gas 24h, ml]]%</f>
        <v>13.886288782120255</v>
      </c>
      <c r="AR440" s="94">
        <f>Table3.110[[#This Row],[CH4 24h, ml]]/Table3.110[[#This Row],[DM Incubated, mg]]*1000</f>
        <v>27.465040509346402</v>
      </c>
      <c r="AS440" s="94">
        <f>Table3.110[[#This Row],[CH4 24h, ml]]/Table3.110[[#This Row],[Digested feed, mg]]*1000</f>
        <v>40.153614026773489</v>
      </c>
      <c r="AT440" s="94">
        <f>Table3.110[[#This Row],[CH4 24h, ml]]/'3.2 Digest'!AA440</f>
        <v>0.34384205583660216</v>
      </c>
      <c r="AU440" s="94">
        <f>((Table3.110[[#This Row],[CH4 24h, ml]]/28.9)*16.04)/Table3.110[[#This Row],[DM Incubated, mg]]*1000</f>
        <v>15.243572656398486</v>
      </c>
      <c r="AV440" s="94">
        <f>((Table3.110[[#This Row],[CH4 24h, ml]]/28.9)*16.04)/Table3.110[[#This Row],[Digested feed, mg]]*1000</f>
        <v>22.2859504840639</v>
      </c>
      <c r="AW440" s="303"/>
    </row>
    <row r="441" spans="1:49" s="304" customFormat="1" x14ac:dyDescent="0.35">
      <c r="A441" s="89"/>
      <c r="B441" s="90">
        <f t="shared" si="6"/>
        <v>431</v>
      </c>
      <c r="C441" s="140">
        <v>46048</v>
      </c>
      <c r="D441" s="6" t="s">
        <v>16</v>
      </c>
      <c r="E441" s="6" t="s">
        <v>285</v>
      </c>
      <c r="F441" s="133" t="s">
        <v>269</v>
      </c>
      <c r="G441" s="133" t="s">
        <v>282</v>
      </c>
      <c r="H441" s="133" t="s">
        <v>283</v>
      </c>
      <c r="I441" s="133" t="s">
        <v>22</v>
      </c>
      <c r="J441" s="132" t="s">
        <v>23</v>
      </c>
      <c r="K441" s="133" t="s">
        <v>215</v>
      </c>
      <c r="L441" s="6" t="s">
        <v>284</v>
      </c>
      <c r="M441" s="93">
        <v>28</v>
      </c>
      <c r="N441" s="93">
        <v>60</v>
      </c>
      <c r="O441" s="6">
        <v>1</v>
      </c>
      <c r="P441" s="129">
        <v>1</v>
      </c>
      <c r="Q441" s="6">
        <v>89</v>
      </c>
      <c r="R441" s="98">
        <v>0.5</v>
      </c>
      <c r="S441" s="94">
        <f>((Table3.110[[#This Row],[Sample weight, g]]*'2.1. DM'!Q173)/100)*1000</f>
        <v>467.03163583471684</v>
      </c>
      <c r="T441" s="94">
        <f>'3.2 Digest'!W441</f>
        <v>230.03163583471684</v>
      </c>
      <c r="U441" s="117">
        <v>0.39583333333333331</v>
      </c>
      <c r="V441" s="155">
        <v>40</v>
      </c>
      <c r="W441" s="117">
        <v>0.7368055555555556</v>
      </c>
      <c r="X441" s="96">
        <v>82.5</v>
      </c>
      <c r="Y441" s="96">
        <v>12.8</v>
      </c>
      <c r="Z441" s="155">
        <v>40</v>
      </c>
      <c r="AA441" s="117">
        <v>0.39930555555555558</v>
      </c>
      <c r="AB441" s="155">
        <v>83</v>
      </c>
      <c r="AC441" s="155">
        <v>16.8</v>
      </c>
      <c r="AD441" s="96"/>
      <c r="AE441" s="94">
        <f>Table3.110[[#This Row],[Gas 8h, ml]]-Table3.110[[#This Row],[Gas 0h, ml]]</f>
        <v>42.5</v>
      </c>
      <c r="AF441" s="94">
        <f>Table3.110[[#This Row],[Gas 24h, ml]]-Table3.110[[#This Row],[V8 Push back, ml]]</f>
        <v>43</v>
      </c>
      <c r="AG441" s="94">
        <f>Table3.110[[#This Row],[GP 8h, ml]]-(AVERAGE(AE$293,AE$294,AE$385,AE$386,AE$477,AE$478))*$AG$8</f>
        <v>41.246240428868305</v>
      </c>
      <c r="AH441" s="94">
        <f>Table3.110[[#This Row],[GP 8-24h, ml]]-(AVERAGE(AF$293,AF$294,AF$385,AF$386,AF$477,AF$478))*$AG$8</f>
        <v>41.00873479879084</v>
      </c>
      <c r="AI441" s="94">
        <f>Table3.110[[#This Row],[Net gas 8-24h, ml]]+Table3.110[[#This Row],[Net gas 8h, ml]]</f>
        <v>82.254975227659145</v>
      </c>
      <c r="AJ441" s="94">
        <f>Table3.110[[#This Row],[Net gas 8h, ml]]*Table3.110[[#This Row],[CH4 8h %]]%</f>
        <v>5.2795187748951431</v>
      </c>
      <c r="AK441" s="94">
        <f>Table3.110[[#This Row],[Net gas 8-24h, ml]]*Table3.110[[#This Row],[CH4 24h, %]]%</f>
        <v>6.8894674461968615</v>
      </c>
      <c r="AL441" s="94">
        <f>Table3.110[[#This Row],[CH4 8-24h, ml]]+Table3.110[[#This Row],[CH4 8h, ml]]</f>
        <v>12.168986221092005</v>
      </c>
      <c r="AM441" s="94">
        <f>(Table3.110[[#This Row],[Net gas 24h, ml]]/Table3.110[[#This Row],[DM Incubated, mg]])*1000</f>
        <v>176.12291955478855</v>
      </c>
      <c r="AN441" s="94">
        <f>'3.2 Digest'!X441</f>
        <v>49.253973004116872</v>
      </c>
      <c r="AO441" s="94">
        <f>Table3.110[[#This Row],[Digested feed, mg]]/Table3.110[[#This Row],[Net gas 24h, ml]]</f>
        <v>2.7965680519391385</v>
      </c>
      <c r="AP441" s="94">
        <f>Table3.110[[#This Row],[CH4 8h, ml]]/Table3.110[[#This Row],[Net gas 8h, ml]]%</f>
        <v>12.8</v>
      </c>
      <c r="AQ441" s="94">
        <f>Table3.110[[#This Row],[CH4 24h, ml]]/Table3.110[[#This Row],[Net gas 24h, ml]]%</f>
        <v>14.794225136426823</v>
      </c>
      <c r="AR441" s="94">
        <f>Table3.110[[#This Row],[CH4 24h, ml]]/Table3.110[[#This Row],[DM Incubated, mg]]*1000</f>
        <v>26.056021235783323</v>
      </c>
      <c r="AS441" s="94">
        <f>Table3.110[[#This Row],[CH4 24h, ml]]/Table3.110[[#This Row],[Digested feed, mg]]*1000</f>
        <v>52.901359314923575</v>
      </c>
      <c r="AT441" s="94">
        <f>Table3.110[[#This Row],[CH4 24h, ml]]/'3.2 Digest'!AA441</f>
        <v>1.2047812048706652</v>
      </c>
      <c r="AU441" s="94">
        <f>((Table3.110[[#This Row],[CH4 24h, ml]]/28.9)*16.04)/Table3.110[[#This Row],[DM Incubated, mg]]*1000</f>
        <v>14.461542582074896</v>
      </c>
      <c r="AV441" s="94">
        <f>((Table3.110[[#This Row],[CH4 24h, ml]]/28.9)*16.04)/Table3.110[[#This Row],[Digested feed, mg]]*1000</f>
        <v>29.361169668213638</v>
      </c>
      <c r="AW441" s="303"/>
    </row>
    <row r="442" spans="1:49" s="304" customFormat="1" x14ac:dyDescent="0.35">
      <c r="A442" s="89"/>
      <c r="B442" s="90">
        <f t="shared" si="6"/>
        <v>432</v>
      </c>
      <c r="C442" s="140">
        <v>46048</v>
      </c>
      <c r="D442" s="6" t="s">
        <v>16</v>
      </c>
      <c r="E442" s="6" t="s">
        <v>285</v>
      </c>
      <c r="F442" s="133" t="s">
        <v>269</v>
      </c>
      <c r="G442" s="133" t="s">
        <v>282</v>
      </c>
      <c r="H442" s="133" t="s">
        <v>283</v>
      </c>
      <c r="I442" s="133" t="s">
        <v>22</v>
      </c>
      <c r="J442" s="132" t="s">
        <v>23</v>
      </c>
      <c r="K442" s="133" t="s">
        <v>215</v>
      </c>
      <c r="L442" s="6" t="s">
        <v>284</v>
      </c>
      <c r="M442" s="93">
        <v>28</v>
      </c>
      <c r="N442" s="93">
        <v>60</v>
      </c>
      <c r="O442" s="6">
        <v>1</v>
      </c>
      <c r="P442" s="129">
        <v>2</v>
      </c>
      <c r="Q442" s="6">
        <v>90</v>
      </c>
      <c r="R442" s="98">
        <v>0.50019999999999998</v>
      </c>
      <c r="S442" s="94">
        <f>((Table3.110[[#This Row],[Sample weight, g]]*'2.1. DM'!Q173)/100)*1000</f>
        <v>467.21844848905067</v>
      </c>
      <c r="T442" s="94">
        <f>'3.2 Digest'!W442</f>
        <v>246.41844848905069</v>
      </c>
      <c r="U442" s="153">
        <v>0.39652777777777776</v>
      </c>
      <c r="V442" s="154">
        <v>40.5</v>
      </c>
      <c r="W442" s="153">
        <v>0.73750000000000004</v>
      </c>
      <c r="X442" s="91">
        <v>84</v>
      </c>
      <c r="Y442" s="91">
        <v>12.9</v>
      </c>
      <c r="Z442" s="154">
        <v>40</v>
      </c>
      <c r="AA442" s="153">
        <v>0.4</v>
      </c>
      <c r="AB442" s="154">
        <v>81</v>
      </c>
      <c r="AC442" s="154">
        <v>16.899999999999999</v>
      </c>
      <c r="AD442" s="91"/>
      <c r="AE442" s="94">
        <f>Table3.110[[#This Row],[Gas 8h, ml]]-Table3.110[[#This Row],[Gas 0h, ml]]</f>
        <v>43.5</v>
      </c>
      <c r="AF442" s="94">
        <f>Table3.110[[#This Row],[Gas 24h, ml]]-Table3.110[[#This Row],[V8 Push back, ml]]</f>
        <v>41</v>
      </c>
      <c r="AG442" s="94">
        <f>Table3.110[[#This Row],[GP 8h, ml]]-(AVERAGE(AE$293,AE$294,AE$385,AE$386,AE$477,AE$478))*$AG$8</f>
        <v>42.246240428868305</v>
      </c>
      <c r="AH442" s="94">
        <f>Table3.110[[#This Row],[GP 8-24h, ml]]-(AVERAGE(AF$293,AF$294,AF$385,AF$386,AF$477,AF$478))*$AG$8</f>
        <v>39.00873479879084</v>
      </c>
      <c r="AI442" s="94">
        <f>Table3.110[[#This Row],[Net gas 8-24h, ml]]+Table3.110[[#This Row],[Net gas 8h, ml]]</f>
        <v>81.254975227659145</v>
      </c>
      <c r="AJ442" s="94">
        <f>Table3.110[[#This Row],[Net gas 8h, ml]]*Table3.110[[#This Row],[CH4 8h %]]%</f>
        <v>5.4497650153240116</v>
      </c>
      <c r="AK442" s="94">
        <f>Table3.110[[#This Row],[Net gas 8-24h, ml]]*Table3.110[[#This Row],[CH4 24h, %]]%</f>
        <v>6.5924761809956509</v>
      </c>
      <c r="AL442" s="94">
        <f>Table3.110[[#This Row],[CH4 8-24h, ml]]+Table3.110[[#This Row],[CH4 8h, ml]]</f>
        <v>12.042241196319662</v>
      </c>
      <c r="AM442" s="94">
        <f>(Table3.110[[#This Row],[Net gas 24h, ml]]/Table3.110[[#This Row],[DM Incubated, mg]])*1000</f>
        <v>173.91217211227772</v>
      </c>
      <c r="AN442" s="94">
        <f>'3.2 Digest'!X442</f>
        <v>52.741592136601078</v>
      </c>
      <c r="AO442" s="94">
        <f>Table3.110[[#This Row],[Digested feed, mg]]/Table3.110[[#This Row],[Net gas 24h, ml]]</f>
        <v>3.0326567425396247</v>
      </c>
      <c r="AP442" s="94">
        <f>Table3.110[[#This Row],[CH4 8h, ml]]/Table3.110[[#This Row],[Net gas 8h, ml]]%</f>
        <v>12.9</v>
      </c>
      <c r="AQ442" s="94">
        <f>Table3.110[[#This Row],[CH4 24h, ml]]/Table3.110[[#This Row],[Net gas 24h, ml]]%</f>
        <v>14.820312433275458</v>
      </c>
      <c r="AR442" s="94">
        <f>Table3.110[[#This Row],[CH4 24h, ml]]/Table3.110[[#This Row],[DM Incubated, mg]]*1000</f>
        <v>25.774327266535312</v>
      </c>
      <c r="AS442" s="94">
        <f>Table3.110[[#This Row],[CH4 24h, ml]]/Table3.110[[#This Row],[Digested feed, mg]]*1000</f>
        <v>48.86907319706927</v>
      </c>
      <c r="AT442" s="94">
        <f>Table3.110[[#This Row],[CH4 24h, ml]]/'3.2 Digest'!AA442</f>
        <v>0.73973675840300823</v>
      </c>
      <c r="AU442" s="94">
        <f>((Table3.110[[#This Row],[CH4 24h, ml]]/28.9)*16.04)/Table3.110[[#This Row],[DM Incubated, mg]]*1000</f>
        <v>14.305197555544165</v>
      </c>
      <c r="AV442" s="94">
        <f>((Table3.110[[#This Row],[CH4 24h, ml]]/28.9)*16.04)/Table3.110[[#This Row],[Digested feed, mg]]*1000</f>
        <v>27.123181110068895</v>
      </c>
      <c r="AW442" s="303"/>
    </row>
    <row r="443" spans="1:49" s="304" customFormat="1" x14ac:dyDescent="0.35">
      <c r="A443" s="89"/>
      <c r="B443" s="90">
        <f t="shared" si="6"/>
        <v>433</v>
      </c>
      <c r="C443" s="140">
        <v>46048</v>
      </c>
      <c r="D443" s="6" t="s">
        <v>16</v>
      </c>
      <c r="E443" s="6" t="s">
        <v>285</v>
      </c>
      <c r="F443" s="133" t="s">
        <v>269</v>
      </c>
      <c r="G443" s="133" t="s">
        <v>282</v>
      </c>
      <c r="H443" s="133" t="s">
        <v>283</v>
      </c>
      <c r="I443" s="133" t="s">
        <v>22</v>
      </c>
      <c r="J443" s="132" t="s">
        <v>23</v>
      </c>
      <c r="K443" s="133" t="s">
        <v>215</v>
      </c>
      <c r="L443" s="6" t="s">
        <v>284</v>
      </c>
      <c r="M443" s="93">
        <v>28</v>
      </c>
      <c r="N443" s="93">
        <v>60</v>
      </c>
      <c r="O443" s="6">
        <v>1</v>
      </c>
      <c r="P443" s="6">
        <v>3</v>
      </c>
      <c r="Q443" s="6">
        <v>91</v>
      </c>
      <c r="R443" s="98">
        <v>0.50019999999999998</v>
      </c>
      <c r="S443" s="94">
        <f>((Table3.110[[#This Row],[Sample weight, g]]*'2.1. DM'!Q173)/100)*1000</f>
        <v>467.21844848905067</v>
      </c>
      <c r="T443" s="94">
        <f>'3.2 Digest'!W443</f>
        <v>245.3184484890507</v>
      </c>
      <c r="U443" s="117">
        <v>0.39652777777777776</v>
      </c>
      <c r="V443" s="155">
        <v>40.5</v>
      </c>
      <c r="W443" s="117">
        <v>0.73750000000000004</v>
      </c>
      <c r="X443" s="96">
        <v>85</v>
      </c>
      <c r="Y443" s="96">
        <v>13.1</v>
      </c>
      <c r="Z443" s="155">
        <v>40.5</v>
      </c>
      <c r="AA443" s="117">
        <v>0.40069444444444446</v>
      </c>
      <c r="AB443" s="155">
        <v>79.5</v>
      </c>
      <c r="AC443" s="155">
        <v>16.5</v>
      </c>
      <c r="AD443" s="96"/>
      <c r="AE443" s="94">
        <f>Table3.110[[#This Row],[Gas 8h, ml]]-Table3.110[[#This Row],[Gas 0h, ml]]</f>
        <v>44.5</v>
      </c>
      <c r="AF443" s="94">
        <f>Table3.110[[#This Row],[Gas 24h, ml]]-Table3.110[[#This Row],[V8 Push back, ml]]</f>
        <v>39</v>
      </c>
      <c r="AG443" s="94">
        <f>Table3.110[[#This Row],[GP 8h, ml]]-(AVERAGE(AE$293,AE$294,AE$385,AE$386,AE$477,AE$478))*$AG$8</f>
        <v>43.246240428868305</v>
      </c>
      <c r="AH443" s="94">
        <f>Table3.110[[#This Row],[GP 8-24h, ml]]-(AVERAGE(AF$293,AF$294,AF$385,AF$386,AF$477,AF$478))*$AG$8</f>
        <v>37.00873479879084</v>
      </c>
      <c r="AI443" s="94">
        <f>Table3.110[[#This Row],[Net gas 8-24h, ml]]+Table3.110[[#This Row],[Net gas 8h, ml]]</f>
        <v>80.254975227659145</v>
      </c>
      <c r="AJ443" s="94">
        <f>Table3.110[[#This Row],[Net gas 8h, ml]]*Table3.110[[#This Row],[CH4 8h %]]%</f>
        <v>5.6652574961817486</v>
      </c>
      <c r="AK443" s="94">
        <f>Table3.110[[#This Row],[Net gas 8-24h, ml]]*Table3.110[[#This Row],[CH4 24h, %]]%</f>
        <v>6.1064412418004892</v>
      </c>
      <c r="AL443" s="94">
        <f>Table3.110[[#This Row],[CH4 8-24h, ml]]+Table3.110[[#This Row],[CH4 8h, ml]]</f>
        <v>11.771698737982238</v>
      </c>
      <c r="AM443" s="94">
        <f>(Table3.110[[#This Row],[Net gas 24h, ml]]/Table3.110[[#This Row],[DM Incubated, mg]])*1000</f>
        <v>171.77184566918902</v>
      </c>
      <c r="AN443" s="94">
        <f>'3.2 Digest'!X443</f>
        <v>52.506156227861311</v>
      </c>
      <c r="AO443" s="94">
        <f>Table3.110[[#This Row],[Digested feed, mg]]/Table3.110[[#This Row],[Net gas 24h, ml]]</f>
        <v>3.0567381996338083</v>
      </c>
      <c r="AP443" s="94">
        <f>Table3.110[[#This Row],[CH4 8h, ml]]/Table3.110[[#This Row],[Net gas 8h, ml]]%</f>
        <v>13.100000000000001</v>
      </c>
      <c r="AQ443" s="94">
        <f>Table3.110[[#This Row],[CH4 24h, ml]]/Table3.110[[#This Row],[Net gas 24h, ml]]%</f>
        <v>14.667874115703707</v>
      </c>
      <c r="AR443" s="94">
        <f>Table3.110[[#This Row],[CH4 24h, ml]]/Table3.110[[#This Row],[DM Incubated, mg]]*1000</f>
        <v>25.195278088977492</v>
      </c>
      <c r="AS443" s="94">
        <f>Table3.110[[#This Row],[CH4 24h, ml]]/Table3.110[[#This Row],[Digested feed, mg]]*1000</f>
        <v>47.98537904705379</v>
      </c>
      <c r="AT443" s="94">
        <f>Table3.110[[#This Row],[CH4 24h, ml]]/'3.2 Digest'!AA443</f>
        <v>0.74213196479067967</v>
      </c>
      <c r="AU443" s="94">
        <f>((Table3.110[[#This Row],[CH4 24h, ml]]/28.9)*16.04)/Table3.110[[#This Row],[DM Incubated, mg]]*1000</f>
        <v>13.983815243847715</v>
      </c>
      <c r="AV443" s="94">
        <f>((Table3.110[[#This Row],[CH4 24h, ml]]/28.9)*16.04)/Table3.110[[#This Row],[Digested feed, mg]]*1000</f>
        <v>26.632715567984178</v>
      </c>
      <c r="AW443" s="303"/>
    </row>
    <row r="444" spans="1:49" s="304" customFormat="1" x14ac:dyDescent="0.35">
      <c r="A444" s="89"/>
      <c r="B444" s="90">
        <f t="shared" si="6"/>
        <v>434</v>
      </c>
      <c r="C444" s="140">
        <v>46048</v>
      </c>
      <c r="D444" s="6" t="s">
        <v>16</v>
      </c>
      <c r="E444" s="6" t="s">
        <v>287</v>
      </c>
      <c r="F444" s="133" t="s">
        <v>235</v>
      </c>
      <c r="G444" s="133" t="s">
        <v>274</v>
      </c>
      <c r="H444" s="133" t="s">
        <v>275</v>
      </c>
      <c r="I444" s="133" t="s">
        <v>22</v>
      </c>
      <c r="J444" s="132" t="s">
        <v>23</v>
      </c>
      <c r="K444" s="133" t="s">
        <v>215</v>
      </c>
      <c r="L444" s="6" t="s">
        <v>286</v>
      </c>
      <c r="M444" s="93">
        <v>28</v>
      </c>
      <c r="N444" s="93">
        <v>60</v>
      </c>
      <c r="O444" s="6">
        <v>1</v>
      </c>
      <c r="P444" s="129">
        <v>1</v>
      </c>
      <c r="Q444" s="6">
        <v>92</v>
      </c>
      <c r="R444" s="98">
        <v>0.50019999999999998</v>
      </c>
      <c r="S444" s="94">
        <f>((Table3.110[[#This Row],[Sample weight, g]]*'2.1. DM'!Q175)/100)*1000</f>
        <v>460.66510888203317</v>
      </c>
      <c r="T444" s="94">
        <f>'3.2 Digest'!W444</f>
        <v>194.76510888203313</v>
      </c>
      <c r="U444" s="153">
        <v>0.3972222222222222</v>
      </c>
      <c r="V444" s="154">
        <v>41</v>
      </c>
      <c r="W444" s="153">
        <v>0.73819444444444449</v>
      </c>
      <c r="X444" s="91">
        <v>73</v>
      </c>
      <c r="Y444" s="91">
        <v>12.1</v>
      </c>
      <c r="Z444" s="154">
        <v>39.5</v>
      </c>
      <c r="AA444" s="153">
        <v>0.40069444444444446</v>
      </c>
      <c r="AB444" s="154">
        <v>69.5</v>
      </c>
      <c r="AC444" s="154">
        <v>17.7</v>
      </c>
      <c r="AD444" s="91"/>
      <c r="AE444" s="94">
        <f>Table3.110[[#This Row],[Gas 8h, ml]]-Table3.110[[#This Row],[Gas 0h, ml]]</f>
        <v>32</v>
      </c>
      <c r="AF444" s="94">
        <f>Table3.110[[#This Row],[Gas 24h, ml]]-Table3.110[[#This Row],[V8 Push back, ml]]</f>
        <v>30</v>
      </c>
      <c r="AG444" s="94">
        <f>Table3.110[[#This Row],[GP 8h, ml]]-(AVERAGE(AE$293,AE$294,AE$385,AE$386,AE$477,AE$478))*$AG$8</f>
        <v>30.746240428868305</v>
      </c>
      <c r="AH444" s="94">
        <f>Table3.110[[#This Row],[GP 8-24h, ml]]-(AVERAGE(AF$293,AF$294,AF$385,AF$386,AF$477,AF$478))*$AG$8</f>
        <v>28.008734798790837</v>
      </c>
      <c r="AI444" s="94">
        <f>Table3.110[[#This Row],[Net gas 8-24h, ml]]+Table3.110[[#This Row],[Net gas 8h, ml]]</f>
        <v>58.754975227659145</v>
      </c>
      <c r="AJ444" s="94">
        <f>Table3.110[[#This Row],[Net gas 8h, ml]]*Table3.110[[#This Row],[CH4 8h %]]%</f>
        <v>3.7202950918930648</v>
      </c>
      <c r="AK444" s="94">
        <f>Table3.110[[#This Row],[Net gas 8-24h, ml]]*Table3.110[[#This Row],[CH4 24h, %]]%</f>
        <v>4.9575460593859777</v>
      </c>
      <c r="AL444" s="94">
        <f>Table3.110[[#This Row],[CH4 8-24h, ml]]+Table3.110[[#This Row],[CH4 8h, ml]]</f>
        <v>8.6778411512790434</v>
      </c>
      <c r="AM444" s="94">
        <f>(Table3.110[[#This Row],[Net gas 24h, ml]]/Table3.110[[#This Row],[DM Incubated, mg]])*1000</f>
        <v>127.54379286560008</v>
      </c>
      <c r="AN444" s="94">
        <f>'3.2 Digest'!X444</f>
        <v>42.279110166320081</v>
      </c>
      <c r="AO444" s="94">
        <f>Table3.110[[#This Row],[Digested feed, mg]]/Table3.110[[#This Row],[Net gas 24h, ml]]</f>
        <v>3.3148700706173844</v>
      </c>
      <c r="AP444" s="94">
        <f>Table3.110[[#This Row],[CH4 8h, ml]]/Table3.110[[#This Row],[Net gas 8h, ml]]%</f>
        <v>12.1</v>
      </c>
      <c r="AQ444" s="94">
        <f>Table3.110[[#This Row],[CH4 24h, ml]]/Table3.110[[#This Row],[Net gas 24h, ml]]%</f>
        <v>14.769542694307722</v>
      </c>
      <c r="AR444" s="94">
        <f>Table3.110[[#This Row],[CH4 24h, ml]]/Table3.110[[#This Row],[DM Incubated, mg]]*1000</f>
        <v>18.837634941224213</v>
      </c>
      <c r="AS444" s="94">
        <f>Table3.110[[#This Row],[CH4 24h, ml]]/Table3.110[[#This Row],[Digested feed, mg]]*1000</f>
        <v>44.55541960821693</v>
      </c>
      <c r="AT444" s="94">
        <f>Table3.110[[#This Row],[CH4 24h, ml]]/'3.2 Digest'!AA444</f>
        <v>-0.52007377806536725</v>
      </c>
      <c r="AU444" s="94">
        <f>((Table3.110[[#This Row],[CH4 24h, ml]]/28.9)*16.04)/Table3.110[[#This Row],[DM Incubated, mg]]*1000</f>
        <v>10.45521330301856</v>
      </c>
      <c r="AV444" s="94">
        <f>((Table3.110[[#This Row],[CH4 24h, ml]]/28.9)*16.04)/Table3.110[[#This Row],[Digested feed, mg]]*1000</f>
        <v>24.729028737570918</v>
      </c>
      <c r="AW444" s="303"/>
    </row>
    <row r="445" spans="1:49" s="304" customFormat="1" x14ac:dyDescent="0.35">
      <c r="A445" s="89"/>
      <c r="B445" s="90">
        <f t="shared" si="6"/>
        <v>435</v>
      </c>
      <c r="C445" s="140">
        <v>46048</v>
      </c>
      <c r="D445" s="6" t="s">
        <v>16</v>
      </c>
      <c r="E445" s="6" t="s">
        <v>287</v>
      </c>
      <c r="F445" s="133" t="s">
        <v>235</v>
      </c>
      <c r="G445" s="133" t="s">
        <v>274</v>
      </c>
      <c r="H445" s="133" t="s">
        <v>275</v>
      </c>
      <c r="I445" s="133" t="s">
        <v>22</v>
      </c>
      <c r="J445" s="132" t="s">
        <v>23</v>
      </c>
      <c r="K445" s="133" t="s">
        <v>215</v>
      </c>
      <c r="L445" s="6" t="s">
        <v>286</v>
      </c>
      <c r="M445" s="93">
        <v>28</v>
      </c>
      <c r="N445" s="93">
        <v>60</v>
      </c>
      <c r="O445" s="6">
        <v>1</v>
      </c>
      <c r="P445" s="129">
        <v>2</v>
      </c>
      <c r="Q445" s="6">
        <v>273</v>
      </c>
      <c r="R445" s="98">
        <v>0.50039999999999996</v>
      </c>
      <c r="S445" s="94">
        <f>((Table3.110[[#This Row],[Sample weight, g]]*'2.1. DM'!Q175)/100)*1000</f>
        <v>460.84930124863939</v>
      </c>
      <c r="T445" s="94">
        <f>'3.2 Digest'!W445</f>
        <v>201.44930124863942</v>
      </c>
      <c r="U445" s="117">
        <v>0.3972222222222222</v>
      </c>
      <c r="V445" s="155">
        <v>40.5</v>
      </c>
      <c r="W445" s="117">
        <v>0.73819444444444449</v>
      </c>
      <c r="X445" s="96">
        <v>72.5</v>
      </c>
      <c r="Y445" s="96">
        <v>12.3</v>
      </c>
      <c r="Z445" s="155">
        <v>40</v>
      </c>
      <c r="AA445" s="117">
        <v>0.40138888888888891</v>
      </c>
      <c r="AB445" s="155">
        <v>71.5</v>
      </c>
      <c r="AC445" s="155">
        <v>17.600000000000001</v>
      </c>
      <c r="AD445" s="96"/>
      <c r="AE445" s="94">
        <f>Table3.110[[#This Row],[Gas 8h, ml]]-Table3.110[[#This Row],[Gas 0h, ml]]</f>
        <v>32</v>
      </c>
      <c r="AF445" s="94">
        <f>Table3.110[[#This Row],[Gas 24h, ml]]-Table3.110[[#This Row],[V8 Push back, ml]]</f>
        <v>31.5</v>
      </c>
      <c r="AG445" s="94">
        <f>Table3.110[[#This Row],[GP 8h, ml]]-(AVERAGE(AE$293,AE$294,AE$385,AE$386,AE$477,AE$478))*$AG$8</f>
        <v>30.746240428868305</v>
      </c>
      <c r="AH445" s="94">
        <f>Table3.110[[#This Row],[GP 8-24h, ml]]-(AVERAGE(AF$293,AF$294,AF$385,AF$386,AF$477,AF$478))*$AG$8</f>
        <v>29.508734798790837</v>
      </c>
      <c r="AI445" s="94">
        <f>Table3.110[[#This Row],[Net gas 8-24h, ml]]+Table3.110[[#This Row],[Net gas 8h, ml]]</f>
        <v>60.254975227659145</v>
      </c>
      <c r="AJ445" s="94">
        <f>Table3.110[[#This Row],[Net gas 8h, ml]]*Table3.110[[#This Row],[CH4 8h %]]%</f>
        <v>3.7817875727508019</v>
      </c>
      <c r="AK445" s="94">
        <f>Table3.110[[#This Row],[Net gas 8-24h, ml]]*Table3.110[[#This Row],[CH4 24h, %]]%</f>
        <v>5.1935373245871874</v>
      </c>
      <c r="AL445" s="94">
        <f>Table3.110[[#This Row],[CH4 8-24h, ml]]+Table3.110[[#This Row],[CH4 8h, ml]]</f>
        <v>8.9753248973379893</v>
      </c>
      <c r="AM445" s="94">
        <f>(Table3.110[[#This Row],[Net gas 24h, ml]]/Table3.110[[#This Row],[DM Incubated, mg]])*1000</f>
        <v>130.74767622388154</v>
      </c>
      <c r="AN445" s="94">
        <f>'3.2 Digest'!X445</f>
        <v>43.712619440417164</v>
      </c>
      <c r="AO445" s="94">
        <f>Table3.110[[#This Row],[Digested feed, mg]]/Table3.110[[#This Row],[Net gas 24h, ml]]</f>
        <v>3.3432807911298772</v>
      </c>
      <c r="AP445" s="94">
        <f>Table3.110[[#This Row],[CH4 8h, ml]]/Table3.110[[#This Row],[Net gas 8h, ml]]%</f>
        <v>12.3</v>
      </c>
      <c r="AQ445" s="94">
        <f>Table3.110[[#This Row],[CH4 24h, ml]]/Table3.110[[#This Row],[Net gas 24h, ml]]%</f>
        <v>14.895574786026964</v>
      </c>
      <c r="AR445" s="94">
        <f>Table3.110[[#This Row],[CH4 24h, ml]]/Table3.110[[#This Row],[DM Incubated, mg]]*1000</f>
        <v>19.475617892920667</v>
      </c>
      <c r="AS445" s="94">
        <f>Table3.110[[#This Row],[CH4 24h, ml]]/Table3.110[[#This Row],[Digested feed, mg]]*1000</f>
        <v>44.553765347938175</v>
      </c>
      <c r="AT445" s="94">
        <f>Table3.110[[#This Row],[CH4 24h, ml]]/'3.2 Digest'!AA445</f>
        <v>-0.65095781265474117</v>
      </c>
      <c r="AU445" s="94">
        <f>((Table3.110[[#This Row],[CH4 24h, ml]]/28.9)*16.04)/Table3.110[[#This Row],[DM Incubated, mg]]*1000</f>
        <v>10.809304878977423</v>
      </c>
      <c r="AV445" s="94">
        <f>((Table3.110[[#This Row],[CH4 24h, ml]]/28.9)*16.04)/Table3.110[[#This Row],[Digested feed, mg]]*1000</f>
        <v>24.728110594495792</v>
      </c>
      <c r="AW445" s="303"/>
    </row>
    <row r="446" spans="1:49" s="304" customFormat="1" x14ac:dyDescent="0.35">
      <c r="A446" s="89"/>
      <c r="B446" s="90">
        <f t="shared" si="6"/>
        <v>436</v>
      </c>
      <c r="C446" s="140">
        <v>46048</v>
      </c>
      <c r="D446" s="6" t="s">
        <v>16</v>
      </c>
      <c r="E446" s="6" t="s">
        <v>287</v>
      </c>
      <c r="F446" s="133" t="s">
        <v>235</v>
      </c>
      <c r="G446" s="133" t="s">
        <v>274</v>
      </c>
      <c r="H446" s="133" t="s">
        <v>275</v>
      </c>
      <c r="I446" s="133" t="s">
        <v>22</v>
      </c>
      <c r="J446" s="132" t="s">
        <v>23</v>
      </c>
      <c r="K446" s="133" t="s">
        <v>215</v>
      </c>
      <c r="L446" s="6" t="s">
        <v>286</v>
      </c>
      <c r="M446" s="93">
        <v>28</v>
      </c>
      <c r="N446" s="93">
        <v>60</v>
      </c>
      <c r="O446" s="6">
        <v>1</v>
      </c>
      <c r="P446" s="129">
        <v>3</v>
      </c>
      <c r="Q446" s="6">
        <v>274</v>
      </c>
      <c r="R446" s="98">
        <v>0.5</v>
      </c>
      <c r="S446" s="94">
        <f>((Table3.110[[#This Row],[Sample weight, g]]*'2.1. DM'!Q175)/100)*1000</f>
        <v>460.48091651542705</v>
      </c>
      <c r="T446" s="94">
        <f>'3.2 Digest'!W446</f>
        <v>200.58091651542702</v>
      </c>
      <c r="U446" s="153">
        <v>0.3972222222222222</v>
      </c>
      <c r="V446" s="154">
        <v>40.5</v>
      </c>
      <c r="W446" s="153">
        <v>0.73888888888888893</v>
      </c>
      <c r="X446" s="91">
        <v>72</v>
      </c>
      <c r="Y446" s="91">
        <v>12.4</v>
      </c>
      <c r="Z446" s="154">
        <v>40</v>
      </c>
      <c r="AA446" s="153">
        <v>0.40208333333333335</v>
      </c>
      <c r="AB446" s="154">
        <v>72.5</v>
      </c>
      <c r="AC446" s="154">
        <v>17.2</v>
      </c>
      <c r="AD446" s="91"/>
      <c r="AE446" s="94">
        <f>Table3.110[[#This Row],[Gas 8h, ml]]-Table3.110[[#This Row],[Gas 0h, ml]]</f>
        <v>31.5</v>
      </c>
      <c r="AF446" s="94">
        <f>Table3.110[[#This Row],[Gas 24h, ml]]-Table3.110[[#This Row],[V8 Push back, ml]]</f>
        <v>32.5</v>
      </c>
      <c r="AG446" s="94">
        <f>Table3.110[[#This Row],[GP 8h, ml]]-(AVERAGE(AE$293,AE$294,AE$385,AE$386,AE$477,AE$478))*$AG$8</f>
        <v>30.246240428868305</v>
      </c>
      <c r="AH446" s="94">
        <f>Table3.110[[#This Row],[GP 8-24h, ml]]-(AVERAGE(AF$293,AF$294,AF$385,AF$386,AF$477,AF$478))*$AG$8</f>
        <v>30.508734798790837</v>
      </c>
      <c r="AI446" s="94">
        <f>Table3.110[[#This Row],[Net gas 8-24h, ml]]+Table3.110[[#This Row],[Net gas 8h, ml]]</f>
        <v>60.754975227659145</v>
      </c>
      <c r="AJ446" s="94">
        <f>Table3.110[[#This Row],[Net gas 8h, ml]]*Table3.110[[#This Row],[CH4 8h %]]%</f>
        <v>3.7505338131796697</v>
      </c>
      <c r="AK446" s="94">
        <f>Table3.110[[#This Row],[Net gas 8-24h, ml]]*Table3.110[[#This Row],[CH4 24h, %]]%</f>
        <v>5.2475023853920231</v>
      </c>
      <c r="AL446" s="94">
        <f>Table3.110[[#This Row],[CH4 8-24h, ml]]+Table3.110[[#This Row],[CH4 8h, ml]]</f>
        <v>8.9980361985716932</v>
      </c>
      <c r="AM446" s="94">
        <f>(Table3.110[[#This Row],[Net gas 24h, ml]]/Table3.110[[#This Row],[DM Incubated, mg]])*1000</f>
        <v>131.93809569223208</v>
      </c>
      <c r="AN446" s="94">
        <f>'3.2 Digest'!X446</f>
        <v>43.559007403232343</v>
      </c>
      <c r="AO446" s="94">
        <f>Table3.110[[#This Row],[Digested feed, mg]]/Table3.110[[#This Row],[Net gas 24h, ml]]</f>
        <v>3.3014731018129213</v>
      </c>
      <c r="AP446" s="94">
        <f>Table3.110[[#This Row],[CH4 8h, ml]]/Table3.110[[#This Row],[Net gas 8h, ml]]%</f>
        <v>12.4</v>
      </c>
      <c r="AQ446" s="94">
        <f>Table3.110[[#This Row],[CH4 24h, ml]]/Table3.110[[#This Row],[Net gas 24h, ml]]%</f>
        <v>14.810369298735672</v>
      </c>
      <c r="AR446" s="94">
        <f>Table3.110[[#This Row],[CH4 24h, ml]]/Table3.110[[#This Row],[DM Incubated, mg]]*1000</f>
        <v>19.540519217738833</v>
      </c>
      <c r="AS446" s="94">
        <f>Table3.110[[#This Row],[CH4 24h, ml]]/Table3.110[[#This Row],[Digested feed, mg]]*1000</f>
        <v>44.859881761880573</v>
      </c>
      <c r="AT446" s="94">
        <f>Table3.110[[#This Row],[CH4 24h, ml]]/'3.2 Digest'!AA446</f>
        <v>-0.63823058168783364</v>
      </c>
      <c r="AU446" s="94">
        <f>((Table3.110[[#This Row],[CH4 24h, ml]]/28.9)*16.04)/Table3.110[[#This Row],[DM Incubated, mg]]*1000</f>
        <v>10.845326237111795</v>
      </c>
      <c r="AV446" s="94">
        <f>((Table3.110[[#This Row],[CH4 24h, ml]]/28.9)*16.04)/Table3.110[[#This Row],[Digested feed, mg]]*1000</f>
        <v>24.898010500365547</v>
      </c>
      <c r="AW446" s="303"/>
    </row>
    <row r="447" spans="1:49" s="304" customFormat="1" x14ac:dyDescent="0.35">
      <c r="A447" s="89"/>
      <c r="B447" s="90">
        <f t="shared" si="6"/>
        <v>437</v>
      </c>
      <c r="C447" s="140">
        <v>46048</v>
      </c>
      <c r="D447" s="6" t="s">
        <v>16</v>
      </c>
      <c r="E447" s="6" t="s">
        <v>289</v>
      </c>
      <c r="F447" s="133" t="s">
        <v>290</v>
      </c>
      <c r="G447" s="133" t="s">
        <v>291</v>
      </c>
      <c r="H447" s="133" t="s">
        <v>292</v>
      </c>
      <c r="I447" s="133" t="s">
        <v>22</v>
      </c>
      <c r="J447" s="132" t="s">
        <v>23</v>
      </c>
      <c r="K447" s="133" t="s">
        <v>215</v>
      </c>
      <c r="L447" s="6" t="s">
        <v>288</v>
      </c>
      <c r="M447" s="93">
        <v>28</v>
      </c>
      <c r="N447" s="93">
        <v>60</v>
      </c>
      <c r="O447" s="6">
        <v>1</v>
      </c>
      <c r="P447" s="129">
        <v>1</v>
      </c>
      <c r="Q447" s="6">
        <v>275</v>
      </c>
      <c r="R447" s="98">
        <v>0.50009999999999999</v>
      </c>
      <c r="S447" s="94">
        <f>((Table3.110[[#This Row],[Sample weight, g]]*'2.1. DM'!Q177)/100)*1000</f>
        <v>458.08352488506898</v>
      </c>
      <c r="T447" s="94">
        <f>'3.2 Digest'!W447</f>
        <v>252.38352488506899</v>
      </c>
      <c r="U447" s="117">
        <v>0.39791666666666664</v>
      </c>
      <c r="V447" s="155">
        <v>40.5</v>
      </c>
      <c r="W447" s="117">
        <v>0.73958333333333337</v>
      </c>
      <c r="X447" s="96">
        <v>70</v>
      </c>
      <c r="Y447" s="96">
        <v>12.4</v>
      </c>
      <c r="Z447" s="155">
        <v>40</v>
      </c>
      <c r="AA447" s="117">
        <v>0.40208333333333335</v>
      </c>
      <c r="AB447" s="155">
        <v>85.5</v>
      </c>
      <c r="AC447" s="155">
        <v>16.100000000000001</v>
      </c>
      <c r="AD447" s="96"/>
      <c r="AE447" s="94">
        <f>Table3.110[[#This Row],[Gas 8h, ml]]-Table3.110[[#This Row],[Gas 0h, ml]]</f>
        <v>29.5</v>
      </c>
      <c r="AF447" s="94">
        <f>Table3.110[[#This Row],[Gas 24h, ml]]-Table3.110[[#This Row],[V8 Push back, ml]]</f>
        <v>45.5</v>
      </c>
      <c r="AG447" s="94">
        <f>Table3.110[[#This Row],[GP 8h, ml]]-(AVERAGE(AE$293,AE$294,AE$385,AE$386,AE$477,AE$478))*$AG$8</f>
        <v>28.246240428868305</v>
      </c>
      <c r="AH447" s="94">
        <f>Table3.110[[#This Row],[GP 8-24h, ml]]-(AVERAGE(AF$293,AF$294,AF$385,AF$386,AF$477,AF$478))*$AG$8</f>
        <v>43.50873479879084</v>
      </c>
      <c r="AI447" s="94">
        <f>Table3.110[[#This Row],[Net gas 8-24h, ml]]+Table3.110[[#This Row],[Net gas 8h, ml]]</f>
        <v>71.754975227659145</v>
      </c>
      <c r="AJ447" s="94">
        <f>Table3.110[[#This Row],[Net gas 8h, ml]]*Table3.110[[#This Row],[CH4 8h %]]%</f>
        <v>3.5025338131796699</v>
      </c>
      <c r="AK447" s="94">
        <f>Table3.110[[#This Row],[Net gas 8-24h, ml]]*Table3.110[[#This Row],[CH4 24h, %]]%</f>
        <v>7.0049063026053258</v>
      </c>
      <c r="AL447" s="94">
        <f>Table3.110[[#This Row],[CH4 8-24h, ml]]+Table3.110[[#This Row],[CH4 8h, ml]]</f>
        <v>10.507440115784995</v>
      </c>
      <c r="AM447" s="94">
        <f>(Table3.110[[#This Row],[Net gas 24h, ml]]/Table3.110[[#This Row],[DM Incubated, mg]])*1000</f>
        <v>156.64168504130799</v>
      </c>
      <c r="AN447" s="94">
        <f>'3.2 Digest'!X447</f>
        <v>55.095525417202204</v>
      </c>
      <c r="AO447" s="94">
        <f>Table3.110[[#This Row],[Digested feed, mg]]/Table3.110[[#This Row],[Net gas 24h, ml]]</f>
        <v>3.5172965231236479</v>
      </c>
      <c r="AP447" s="94">
        <f>Table3.110[[#This Row],[CH4 8h, ml]]/Table3.110[[#This Row],[Net gas 8h, ml]]%</f>
        <v>12.400000000000002</v>
      </c>
      <c r="AQ447" s="94">
        <f>Table3.110[[#This Row],[CH4 24h, ml]]/Table3.110[[#This Row],[Net gas 24h, ml]]%</f>
        <v>14.643500443624609</v>
      </c>
      <c r="AR447" s="94">
        <f>Table3.110[[#This Row],[CH4 24h, ml]]/Table3.110[[#This Row],[DM Incubated, mg]]*1000</f>
        <v>22.937825843924998</v>
      </c>
      <c r="AS447" s="94">
        <f>Table3.110[[#This Row],[CH4 24h, ml]]/Table3.110[[#This Row],[Digested feed, mg]]*1000</f>
        <v>41.632828927997174</v>
      </c>
      <c r="AT447" s="94">
        <f>Table3.110[[#This Row],[CH4 24h, ml]]/'3.2 Digest'!AA447</f>
        <v>-2.0076370693381631</v>
      </c>
      <c r="AU447" s="94">
        <f>((Table3.110[[#This Row],[CH4 24h, ml]]/28.9)*16.04)/Table3.110[[#This Row],[DM Incubated, mg]]*1000</f>
        <v>12.730890191576366</v>
      </c>
      <c r="AV447" s="94">
        <f>((Table3.110[[#This Row],[CH4 24h, ml]]/28.9)*16.04)/Table3.110[[#This Row],[Digested feed, mg]]*1000</f>
        <v>23.106940346196357</v>
      </c>
      <c r="AW447" s="303"/>
    </row>
    <row r="448" spans="1:49" s="304" customFormat="1" x14ac:dyDescent="0.35">
      <c r="A448" s="89"/>
      <c r="B448" s="90">
        <f t="shared" si="6"/>
        <v>438</v>
      </c>
      <c r="C448" s="140">
        <v>46048</v>
      </c>
      <c r="D448" s="6" t="s">
        <v>16</v>
      </c>
      <c r="E448" s="6" t="s">
        <v>289</v>
      </c>
      <c r="F448" s="133" t="s">
        <v>290</v>
      </c>
      <c r="G448" s="133" t="s">
        <v>291</v>
      </c>
      <c r="H448" s="133" t="s">
        <v>292</v>
      </c>
      <c r="I448" s="133" t="s">
        <v>22</v>
      </c>
      <c r="J448" s="132" t="s">
        <v>23</v>
      </c>
      <c r="K448" s="133" t="s">
        <v>215</v>
      </c>
      <c r="L448" s="6" t="s">
        <v>288</v>
      </c>
      <c r="M448" s="93">
        <v>28</v>
      </c>
      <c r="N448" s="93">
        <v>60</v>
      </c>
      <c r="O448" s="6">
        <v>1</v>
      </c>
      <c r="P448" s="129">
        <v>2</v>
      </c>
      <c r="Q448" s="6">
        <v>1</v>
      </c>
      <c r="R448" s="98">
        <v>0.50009999999999999</v>
      </c>
      <c r="S448" s="94">
        <f>((Table3.110[[#This Row],[Sample weight, g]]*'2.1. DM'!Q177)/100)*1000</f>
        <v>458.08352488506898</v>
      </c>
      <c r="T448" s="94">
        <f>'3.2 Digest'!W448</f>
        <v>256.98352488506907</v>
      </c>
      <c r="U448" s="153">
        <v>0.39791666666666664</v>
      </c>
      <c r="V448" s="154">
        <v>40.5</v>
      </c>
      <c r="W448" s="153">
        <v>0.73958333333333337</v>
      </c>
      <c r="X448" s="91">
        <v>73</v>
      </c>
      <c r="Y448" s="91">
        <v>12.2</v>
      </c>
      <c r="Z448" s="154">
        <v>40</v>
      </c>
      <c r="AA448" s="153">
        <v>0.40208333333333335</v>
      </c>
      <c r="AB448" s="154">
        <v>87</v>
      </c>
      <c r="AC448" s="154">
        <v>17.5</v>
      </c>
      <c r="AD448" s="91"/>
      <c r="AE448" s="94">
        <f>Table3.110[[#This Row],[Gas 8h, ml]]-Table3.110[[#This Row],[Gas 0h, ml]]</f>
        <v>32.5</v>
      </c>
      <c r="AF448" s="94">
        <f>Table3.110[[#This Row],[Gas 24h, ml]]-Table3.110[[#This Row],[V8 Push back, ml]]</f>
        <v>47</v>
      </c>
      <c r="AG448" s="94">
        <f>Table3.110[[#This Row],[GP 8h, ml]]-(AVERAGE(AE$293,AE$294,AE$385,AE$386,AE$477,AE$478))*$AG$8</f>
        <v>31.246240428868305</v>
      </c>
      <c r="AH448" s="94">
        <f>Table3.110[[#This Row],[GP 8-24h, ml]]-(AVERAGE(AF$293,AF$294,AF$385,AF$386,AF$477,AF$478))*$AG$8</f>
        <v>45.00873479879084</v>
      </c>
      <c r="AI448" s="94">
        <f>Table3.110[[#This Row],[Net gas 8-24h, ml]]+Table3.110[[#This Row],[Net gas 8h, ml]]</f>
        <v>76.254975227659145</v>
      </c>
      <c r="AJ448" s="94">
        <f>Table3.110[[#This Row],[Net gas 8h, ml]]*Table3.110[[#This Row],[CH4 8h %]]%</f>
        <v>3.8120413323219329</v>
      </c>
      <c r="AK448" s="94">
        <f>Table3.110[[#This Row],[Net gas 8-24h, ml]]*Table3.110[[#This Row],[CH4 24h, %]]%</f>
        <v>7.8765285897883963</v>
      </c>
      <c r="AL448" s="94">
        <f>Table3.110[[#This Row],[CH4 8-24h, ml]]+Table3.110[[#This Row],[CH4 8h, ml]]</f>
        <v>11.688569922110329</v>
      </c>
      <c r="AM448" s="94">
        <f>(Table3.110[[#This Row],[Net gas 24h, ml]]/Table3.110[[#This Row],[DM Incubated, mg]])*1000</f>
        <v>166.46522104629534</v>
      </c>
      <c r="AN448" s="94">
        <f>'3.2 Digest'!X448</f>
        <v>56.099709097712051</v>
      </c>
      <c r="AO448" s="94">
        <f>Table3.110[[#This Row],[Digested feed, mg]]/Table3.110[[#This Row],[Net gas 24h, ml]]</f>
        <v>3.3700558438035686</v>
      </c>
      <c r="AP448" s="94">
        <f>Table3.110[[#This Row],[CH4 8h, ml]]/Table3.110[[#This Row],[Net gas 8h, ml]]%</f>
        <v>12.2</v>
      </c>
      <c r="AQ448" s="94">
        <f>Table3.110[[#This Row],[CH4 24h, ml]]/Table3.110[[#This Row],[Net gas 24h, ml]]%</f>
        <v>15.328271876312483</v>
      </c>
      <c r="AR448" s="94">
        <f>Table3.110[[#This Row],[CH4 24h, ml]]/Table3.110[[#This Row],[DM Incubated, mg]]*1000</f>
        <v>25.516241661480702</v>
      </c>
      <c r="AS448" s="94">
        <f>Table3.110[[#This Row],[CH4 24h, ml]]/Table3.110[[#This Row],[Digested feed, mg]]*1000</f>
        <v>45.483732575221765</v>
      </c>
      <c r="AT448" s="94">
        <f>Table3.110[[#This Row],[CH4 24h, ml]]/'3.2 Digest'!AA448</f>
        <v>-4.05792789084418</v>
      </c>
      <c r="AU448" s="94">
        <f>((Table3.110[[#This Row],[CH4 24h, ml]]/28.9)*16.04)/Table3.110[[#This Row],[DM Incubated, mg]]*1000</f>
        <v>14.16195557958998</v>
      </c>
      <c r="AV448" s="94">
        <f>((Table3.110[[#This Row],[CH4 24h, ml]]/28.9)*16.04)/Table3.110[[#This Row],[Digested feed, mg]]*1000</f>
        <v>25.244258495036576</v>
      </c>
      <c r="AW448" s="303"/>
    </row>
    <row r="449" spans="1:49" s="304" customFormat="1" x14ac:dyDescent="0.35">
      <c r="A449" s="89"/>
      <c r="B449" s="90">
        <f t="shared" si="6"/>
        <v>439</v>
      </c>
      <c r="C449" s="140">
        <v>46048</v>
      </c>
      <c r="D449" s="6" t="s">
        <v>16</v>
      </c>
      <c r="E449" s="6" t="s">
        <v>289</v>
      </c>
      <c r="F449" s="133" t="s">
        <v>290</v>
      </c>
      <c r="G449" s="133" t="s">
        <v>291</v>
      </c>
      <c r="H449" s="133" t="s">
        <v>292</v>
      </c>
      <c r="I449" s="133" t="s">
        <v>22</v>
      </c>
      <c r="J449" s="132" t="s">
        <v>23</v>
      </c>
      <c r="K449" s="133" t="s">
        <v>215</v>
      </c>
      <c r="L449" s="6" t="s">
        <v>288</v>
      </c>
      <c r="M449" s="93">
        <v>28</v>
      </c>
      <c r="N449" s="93">
        <v>60</v>
      </c>
      <c r="O449" s="6">
        <v>1</v>
      </c>
      <c r="P449" s="129">
        <v>3</v>
      </c>
      <c r="Q449" s="6">
        <v>2</v>
      </c>
      <c r="R449" s="98">
        <v>0.50019999999999998</v>
      </c>
      <c r="S449" s="94">
        <f>((Table3.110[[#This Row],[Sample weight, g]]*'2.1. DM'!Q177)/100)*1000</f>
        <v>458.17512327036894</v>
      </c>
      <c r="T449" s="94">
        <f>'3.2 Digest'!W449</f>
        <v>234.87512327036887</v>
      </c>
      <c r="U449" s="117">
        <v>0.39861111111111114</v>
      </c>
      <c r="V449" s="155">
        <v>40.5</v>
      </c>
      <c r="W449" s="117">
        <v>0.74027777777777781</v>
      </c>
      <c r="X449" s="96">
        <v>73</v>
      </c>
      <c r="Y449" s="96">
        <v>12.6</v>
      </c>
      <c r="Z449" s="155">
        <v>40.5</v>
      </c>
      <c r="AA449" s="117">
        <v>0.40277777777777779</v>
      </c>
      <c r="AB449" s="155">
        <v>89</v>
      </c>
      <c r="AC449" s="155">
        <v>16</v>
      </c>
      <c r="AD449" s="96"/>
      <c r="AE449" s="94">
        <f>Table3.110[[#This Row],[Gas 8h, ml]]-Table3.110[[#This Row],[Gas 0h, ml]]</f>
        <v>32.5</v>
      </c>
      <c r="AF449" s="94">
        <f>Table3.110[[#This Row],[Gas 24h, ml]]-Table3.110[[#This Row],[V8 Push back, ml]]</f>
        <v>48.5</v>
      </c>
      <c r="AG449" s="94">
        <f>Table3.110[[#This Row],[GP 8h, ml]]-(AVERAGE(AE$293,AE$294,AE$385,AE$386,AE$477,AE$478))*$AG$8</f>
        <v>31.246240428868305</v>
      </c>
      <c r="AH449" s="94">
        <f>Table3.110[[#This Row],[GP 8-24h, ml]]-(AVERAGE(AF$293,AF$294,AF$385,AF$386,AF$477,AF$478))*$AG$8</f>
        <v>46.50873479879084</v>
      </c>
      <c r="AI449" s="94">
        <f>Table3.110[[#This Row],[Net gas 8-24h, ml]]+Table3.110[[#This Row],[Net gas 8h, ml]]</f>
        <v>77.754975227659145</v>
      </c>
      <c r="AJ449" s="94">
        <f>Table3.110[[#This Row],[Net gas 8h, ml]]*Table3.110[[#This Row],[CH4 8h %]]%</f>
        <v>3.9370262940374063</v>
      </c>
      <c r="AK449" s="94">
        <f>Table3.110[[#This Row],[Net gas 8-24h, ml]]*Table3.110[[#This Row],[CH4 24h, %]]%</f>
        <v>7.4413975678065345</v>
      </c>
      <c r="AL449" s="94">
        <f>Table3.110[[#This Row],[CH4 8-24h, ml]]+Table3.110[[#This Row],[CH4 8h, ml]]</f>
        <v>11.378423861843942</v>
      </c>
      <c r="AM449" s="94">
        <f>(Table3.110[[#This Row],[Net gas 24h, ml]]/Table3.110[[#This Row],[DM Incubated, mg]])*1000</f>
        <v>169.70579867509736</v>
      </c>
      <c r="AN449" s="94">
        <f>'3.2 Digest'!X449</f>
        <v>51.263176750818303</v>
      </c>
      <c r="AO449" s="94">
        <f>Table3.110[[#This Row],[Digested feed, mg]]/Table3.110[[#This Row],[Net gas 24h, ml]]</f>
        <v>3.0207086116698889</v>
      </c>
      <c r="AP449" s="94">
        <f>Table3.110[[#This Row],[CH4 8h, ml]]/Table3.110[[#This Row],[Net gas 8h, ml]]%</f>
        <v>12.6</v>
      </c>
      <c r="AQ449" s="94">
        <f>Table3.110[[#This Row],[CH4 24h, ml]]/Table3.110[[#This Row],[Net gas 24h, ml]]%</f>
        <v>14.633692350269554</v>
      </c>
      <c r="AR449" s="94">
        <f>Table3.110[[#This Row],[CH4 24h, ml]]/Table3.110[[#This Row],[DM Incubated, mg]]*1000</f>
        <v>24.83422447868157</v>
      </c>
      <c r="AS449" s="94">
        <f>Table3.110[[#This Row],[CH4 24h, ml]]/Table3.110[[#This Row],[Digested feed, mg]]*1000</f>
        <v>48.444567919379175</v>
      </c>
      <c r="AT449" s="94">
        <f>Table3.110[[#This Row],[CH4 24h, ml]]/'3.2 Digest'!AA449</f>
        <v>-0.80046021984105176</v>
      </c>
      <c r="AU449" s="94">
        <f>((Table3.110[[#This Row],[CH4 24h, ml]]/28.9)*16.04)/Table3.110[[#This Row],[DM Incubated, mg]]*1000</f>
        <v>13.783424243531224</v>
      </c>
      <c r="AV449" s="94">
        <f>((Table3.110[[#This Row],[CH4 24h, ml]]/28.9)*16.04)/Table3.110[[#This Row],[Digested feed, mg]]*1000</f>
        <v>26.887573336568927</v>
      </c>
      <c r="AW449" s="303"/>
    </row>
    <row r="450" spans="1:49" s="304" customFormat="1" x14ac:dyDescent="0.35">
      <c r="A450" s="89"/>
      <c r="B450" s="90">
        <f t="shared" si="6"/>
        <v>440</v>
      </c>
      <c r="C450" s="140">
        <v>46048</v>
      </c>
      <c r="D450" s="6" t="s">
        <v>16</v>
      </c>
      <c r="E450" s="6" t="s">
        <v>294</v>
      </c>
      <c r="F450" s="133" t="s">
        <v>240</v>
      </c>
      <c r="G450" s="133" t="s">
        <v>241</v>
      </c>
      <c r="H450" s="133" t="s">
        <v>242</v>
      </c>
      <c r="I450" s="133" t="s">
        <v>22</v>
      </c>
      <c r="J450" s="132" t="s">
        <v>23</v>
      </c>
      <c r="K450" s="133" t="s">
        <v>215</v>
      </c>
      <c r="L450" s="6" t="s">
        <v>293</v>
      </c>
      <c r="M450" s="93">
        <v>28</v>
      </c>
      <c r="N450" s="93">
        <v>60</v>
      </c>
      <c r="O450" s="6">
        <v>1</v>
      </c>
      <c r="P450" s="129">
        <v>1</v>
      </c>
      <c r="Q450" s="6">
        <v>276</v>
      </c>
      <c r="R450" s="98">
        <v>0.50029999999999997</v>
      </c>
      <c r="S450" s="94">
        <f>((Table3.110[[#This Row],[Sample weight, g]]*'2.1. DM'!Q179)/100)*1000</f>
        <v>464.01230808272004</v>
      </c>
      <c r="T450" s="94">
        <f>'3.2 Digest'!W450</f>
        <v>200.81230808272005</v>
      </c>
      <c r="U450" s="153">
        <v>0.39861111111111114</v>
      </c>
      <c r="V450" s="154">
        <v>40.5</v>
      </c>
      <c r="W450" s="153">
        <v>0.74097222222222225</v>
      </c>
      <c r="X450" s="91">
        <v>71</v>
      </c>
      <c r="Y450" s="91">
        <v>11.5</v>
      </c>
      <c r="Z450" s="154">
        <v>40</v>
      </c>
      <c r="AA450" s="153">
        <v>0.40277777777777779</v>
      </c>
      <c r="AB450" s="154">
        <v>84.5</v>
      </c>
      <c r="AC450" s="154">
        <v>15.1</v>
      </c>
      <c r="AD450" s="91"/>
      <c r="AE450" s="94">
        <f>Table3.110[[#This Row],[Gas 8h, ml]]-Table3.110[[#This Row],[Gas 0h, ml]]</f>
        <v>30.5</v>
      </c>
      <c r="AF450" s="94">
        <f>Table3.110[[#This Row],[Gas 24h, ml]]-Table3.110[[#This Row],[V8 Push back, ml]]</f>
        <v>44.5</v>
      </c>
      <c r="AG450" s="94">
        <f>Table3.110[[#This Row],[GP 8h, ml]]-(AVERAGE(AE$293,AE$294,AE$385,AE$386,AE$477,AE$478))*$AG$8</f>
        <v>29.246240428868305</v>
      </c>
      <c r="AH450" s="94">
        <f>Table3.110[[#This Row],[GP 8-24h, ml]]-(AVERAGE(AF$293,AF$294,AF$385,AF$386,AF$477,AF$478))*$AG$8</f>
        <v>42.50873479879084</v>
      </c>
      <c r="AI450" s="94">
        <f>Table3.110[[#This Row],[Net gas 8-24h, ml]]+Table3.110[[#This Row],[Net gas 8h, ml]]</f>
        <v>71.754975227659145</v>
      </c>
      <c r="AJ450" s="94">
        <f>Table3.110[[#This Row],[Net gas 8h, ml]]*Table3.110[[#This Row],[CH4 8h %]]%</f>
        <v>3.3633176493198551</v>
      </c>
      <c r="AK450" s="94">
        <f>Table3.110[[#This Row],[Net gas 8-24h, ml]]*Table3.110[[#This Row],[CH4 24h, %]]%</f>
        <v>6.418818954617417</v>
      </c>
      <c r="AL450" s="94">
        <f>Table3.110[[#This Row],[CH4 8-24h, ml]]+Table3.110[[#This Row],[CH4 8h, ml]]</f>
        <v>9.7821366039372712</v>
      </c>
      <c r="AM450" s="94">
        <f>(Table3.110[[#This Row],[Net gas 24h, ml]]/Table3.110[[#This Row],[DM Incubated, mg]])*1000</f>
        <v>154.64024116978229</v>
      </c>
      <c r="AN450" s="94">
        <f>'3.2 Digest'!X450</f>
        <v>43.277366695825016</v>
      </c>
      <c r="AO450" s="94">
        <f>Table3.110[[#This Row],[Digested feed, mg]]/Table3.110[[#This Row],[Net gas 24h, ml]]</f>
        <v>2.7985837559778521</v>
      </c>
      <c r="AP450" s="94">
        <f>Table3.110[[#This Row],[CH4 8h, ml]]/Table3.110[[#This Row],[Net gas 8h, ml]]%</f>
        <v>11.5</v>
      </c>
      <c r="AQ450" s="94">
        <f>Table3.110[[#This Row],[CH4 24h, ml]]/Table3.110[[#This Row],[Net gas 24h, ml]]%</f>
        <v>13.632694559368455</v>
      </c>
      <c r="AR450" s="94">
        <f>Table3.110[[#This Row],[CH4 24h, ml]]/Table3.110[[#This Row],[DM Incubated, mg]]*1000</f>
        <v>21.081631744547167</v>
      </c>
      <c r="AS450" s="94">
        <f>Table3.110[[#This Row],[CH4 24h, ml]]/Table3.110[[#This Row],[Digested feed, mg]]*1000</f>
        <v>48.712833876237028</v>
      </c>
      <c r="AT450" s="94">
        <f>Table3.110[[#This Row],[CH4 24h, ml]]/'3.2 Digest'!AA450</f>
        <v>10.668300505307538</v>
      </c>
      <c r="AU450" s="94">
        <f>((Table3.110[[#This Row],[CH4 24h, ml]]/28.9)*16.04)/Table3.110[[#This Row],[DM Incubated, mg]]*1000</f>
        <v>11.700670352336907</v>
      </c>
      <c r="AV450" s="94">
        <f>((Table3.110[[#This Row],[CH4 24h, ml]]/28.9)*16.04)/Table3.110[[#This Row],[Digested feed, mg]]*1000</f>
        <v>27.036465583904562</v>
      </c>
      <c r="AW450" s="303"/>
    </row>
    <row r="451" spans="1:49" s="304" customFormat="1" x14ac:dyDescent="0.35">
      <c r="A451" s="89"/>
      <c r="B451" s="90">
        <f t="shared" si="6"/>
        <v>441</v>
      </c>
      <c r="C451" s="140">
        <v>46048</v>
      </c>
      <c r="D451" s="6" t="s">
        <v>16</v>
      </c>
      <c r="E451" s="6" t="s">
        <v>294</v>
      </c>
      <c r="F451" s="133" t="s">
        <v>240</v>
      </c>
      <c r="G451" s="133" t="s">
        <v>241</v>
      </c>
      <c r="H451" s="133" t="s">
        <v>242</v>
      </c>
      <c r="I451" s="133" t="s">
        <v>22</v>
      </c>
      <c r="J451" s="132" t="s">
        <v>23</v>
      </c>
      <c r="K451" s="133" t="s">
        <v>215</v>
      </c>
      <c r="L451" s="6" t="s">
        <v>293</v>
      </c>
      <c r="M451" s="93">
        <v>28</v>
      </c>
      <c r="N451" s="93">
        <v>60</v>
      </c>
      <c r="O451" s="6">
        <v>1</v>
      </c>
      <c r="P451" s="129">
        <v>2</v>
      </c>
      <c r="Q451" s="6">
        <v>277</v>
      </c>
      <c r="R451" s="98">
        <v>0.50029999999999997</v>
      </c>
      <c r="S451" s="94">
        <f>((Table3.110[[#This Row],[Sample weight, g]]*'2.1. DM'!Q179)/100)*1000</f>
        <v>464.01230808272004</v>
      </c>
      <c r="T451" s="94">
        <f>'3.2 Digest'!W451</f>
        <v>252.21230808272006</v>
      </c>
      <c r="U451" s="117">
        <v>0.39861111111111114</v>
      </c>
      <c r="V451" s="155">
        <v>41</v>
      </c>
      <c r="W451" s="117">
        <v>0.74097222222222225</v>
      </c>
      <c r="X451" s="96">
        <v>74</v>
      </c>
      <c r="Y451" s="96">
        <v>11.3</v>
      </c>
      <c r="Z451" s="155">
        <v>40.5</v>
      </c>
      <c r="AA451" s="117">
        <v>0.40347222222222223</v>
      </c>
      <c r="AB451" s="155">
        <v>87.5</v>
      </c>
      <c r="AC451" s="155">
        <v>14.8</v>
      </c>
      <c r="AD451" s="96"/>
      <c r="AE451" s="94">
        <f>Table3.110[[#This Row],[Gas 8h, ml]]-Table3.110[[#This Row],[Gas 0h, ml]]</f>
        <v>33</v>
      </c>
      <c r="AF451" s="94">
        <f>Table3.110[[#This Row],[Gas 24h, ml]]-Table3.110[[#This Row],[V8 Push back, ml]]</f>
        <v>47</v>
      </c>
      <c r="AG451" s="94">
        <f>Table3.110[[#This Row],[GP 8h, ml]]-(AVERAGE(AE$293,AE$294,AE$385,AE$386,AE$477,AE$478))*$AG$8</f>
        <v>31.746240428868305</v>
      </c>
      <c r="AH451" s="94">
        <f>Table3.110[[#This Row],[GP 8-24h, ml]]-(AVERAGE(AF$293,AF$294,AF$385,AF$386,AF$477,AF$478))*$AG$8</f>
        <v>45.00873479879084</v>
      </c>
      <c r="AI451" s="94">
        <f>Table3.110[[#This Row],[Net gas 8-24h, ml]]+Table3.110[[#This Row],[Net gas 8h, ml]]</f>
        <v>76.754975227659145</v>
      </c>
      <c r="AJ451" s="94">
        <f>Table3.110[[#This Row],[Net gas 8h, ml]]*Table3.110[[#This Row],[CH4 8h %]]%</f>
        <v>3.5873251684621184</v>
      </c>
      <c r="AK451" s="94">
        <f>Table3.110[[#This Row],[Net gas 8-24h, ml]]*Table3.110[[#This Row],[CH4 24h, %]]%</f>
        <v>6.6612927502210448</v>
      </c>
      <c r="AL451" s="94">
        <f>Table3.110[[#This Row],[CH4 8-24h, ml]]+Table3.110[[#This Row],[CH4 8h, ml]]</f>
        <v>10.248617918683163</v>
      </c>
      <c r="AM451" s="94">
        <f>(Table3.110[[#This Row],[Net gas 24h, ml]]/Table3.110[[#This Row],[DM Incubated, mg]])*1000</f>
        <v>165.41581740537782</v>
      </c>
      <c r="AN451" s="94">
        <f>'3.2 Digest'!X451</f>
        <v>54.354659066017241</v>
      </c>
      <c r="AO451" s="94">
        <f>Table3.110[[#This Row],[Digested feed, mg]]/Table3.110[[#This Row],[Net gas 24h, ml]]</f>
        <v>3.2859408440253621</v>
      </c>
      <c r="AP451" s="94">
        <f>Table3.110[[#This Row],[CH4 8h, ml]]/Table3.110[[#This Row],[Net gas 8h, ml]]%</f>
        <v>11.299999999999999</v>
      </c>
      <c r="AQ451" s="94">
        <f>Table3.110[[#This Row],[CH4 24h, ml]]/Table3.110[[#This Row],[Net gas 24h, ml]]%</f>
        <v>13.35238255016726</v>
      </c>
      <c r="AR451" s="94">
        <f>Table3.110[[#This Row],[CH4 24h, ml]]/Table3.110[[#This Row],[DM Incubated, mg]]*1000</f>
        <v>22.086952738452208</v>
      </c>
      <c r="AS451" s="94">
        <f>Table3.110[[#This Row],[CH4 24h, ml]]/Table3.110[[#This Row],[Digested feed, mg]]*1000</f>
        <v>40.634884144202204</v>
      </c>
      <c r="AT451" s="94">
        <f>Table3.110[[#This Row],[CH4 24h, ml]]/'3.2 Digest'!AA451</f>
        <v>0.50568647521666354</v>
      </c>
      <c r="AU451" s="94">
        <f>((Table3.110[[#This Row],[CH4 24h, ml]]/28.9)*16.04)/Table3.110[[#This Row],[DM Incubated, mg]]*1000</f>
        <v>12.258640897050983</v>
      </c>
      <c r="AV451" s="94">
        <f>((Table3.110[[#This Row],[CH4 24h, ml]]/28.9)*16.04)/Table3.110[[#This Row],[Digested feed, mg]]*1000</f>
        <v>22.55306372570946</v>
      </c>
      <c r="AW451" s="303"/>
    </row>
    <row r="452" spans="1:49" s="304" customFormat="1" x14ac:dyDescent="0.35">
      <c r="A452" s="89"/>
      <c r="B452" s="90">
        <f t="shared" si="6"/>
        <v>442</v>
      </c>
      <c r="C452" s="140">
        <v>46048</v>
      </c>
      <c r="D452" s="6" t="s">
        <v>16</v>
      </c>
      <c r="E452" s="6" t="s">
        <v>294</v>
      </c>
      <c r="F452" s="133" t="s">
        <v>240</v>
      </c>
      <c r="G452" s="133" t="s">
        <v>241</v>
      </c>
      <c r="H452" s="133" t="s">
        <v>242</v>
      </c>
      <c r="I452" s="133" t="s">
        <v>22</v>
      </c>
      <c r="J452" s="132" t="s">
        <v>23</v>
      </c>
      <c r="K452" s="133" t="s">
        <v>215</v>
      </c>
      <c r="L452" s="6" t="s">
        <v>293</v>
      </c>
      <c r="M452" s="93">
        <v>28</v>
      </c>
      <c r="N452" s="93">
        <v>60</v>
      </c>
      <c r="O452" s="6">
        <v>1</v>
      </c>
      <c r="P452" s="129">
        <v>3</v>
      </c>
      <c r="Q452" s="6">
        <v>278</v>
      </c>
      <c r="R452" s="98">
        <v>0.50019999999999998</v>
      </c>
      <c r="S452" s="94">
        <f>((Table3.110[[#This Row],[Sample weight, g]]*'2.1. DM'!Q179)/100)*1000</f>
        <v>463.9195612691916</v>
      </c>
      <c r="T452" s="94">
        <f>'3.2 Digest'!W452</f>
        <v>249.21956126919162</v>
      </c>
      <c r="U452" s="153">
        <v>0.39930555555555558</v>
      </c>
      <c r="V452" s="155">
        <v>40.5</v>
      </c>
      <c r="W452" s="153">
        <v>0.7416666666666667</v>
      </c>
      <c r="X452" s="91">
        <v>70.5</v>
      </c>
      <c r="Y452" s="91">
        <v>11.5</v>
      </c>
      <c r="Z452" s="154">
        <v>40</v>
      </c>
      <c r="AA452" s="153">
        <v>0.40347222222222223</v>
      </c>
      <c r="AB452" s="154">
        <v>84.5</v>
      </c>
      <c r="AC452" s="154">
        <v>14.8</v>
      </c>
      <c r="AD452" s="91"/>
      <c r="AE452" s="94">
        <f>Table3.110[[#This Row],[Gas 8h, ml]]-Table3.110[[#This Row],[Gas 0h, ml]]</f>
        <v>30</v>
      </c>
      <c r="AF452" s="94">
        <f>Table3.110[[#This Row],[Gas 24h, ml]]-Table3.110[[#This Row],[V8 Push back, ml]]</f>
        <v>44.5</v>
      </c>
      <c r="AG452" s="94">
        <f>Table3.110[[#This Row],[GP 8h, ml]]-(AVERAGE(AE$293,AE$294,AE$385,AE$386,AE$477,AE$478))*$AG$8</f>
        <v>28.746240428868305</v>
      </c>
      <c r="AH452" s="94">
        <f>Table3.110[[#This Row],[GP 8-24h, ml]]-(AVERAGE(AF$293,AF$294,AF$385,AF$386,AF$477,AF$478))*$AG$8</f>
        <v>42.50873479879084</v>
      </c>
      <c r="AI452" s="94">
        <f>Table3.110[[#This Row],[Net gas 8-24h, ml]]+Table3.110[[#This Row],[Net gas 8h, ml]]</f>
        <v>71.254975227659145</v>
      </c>
      <c r="AJ452" s="94">
        <f>Table3.110[[#This Row],[Net gas 8h, ml]]*Table3.110[[#This Row],[CH4 8h %]]%</f>
        <v>3.305817649319855</v>
      </c>
      <c r="AK452" s="94">
        <f>Table3.110[[#This Row],[Net gas 8-24h, ml]]*Table3.110[[#This Row],[CH4 24h, %]]%</f>
        <v>6.2912927502210456</v>
      </c>
      <c r="AL452" s="94">
        <f>Table3.110[[#This Row],[CH4 8-24h, ml]]+Table3.110[[#This Row],[CH4 8h, ml]]</f>
        <v>9.5971103995409006</v>
      </c>
      <c r="AM452" s="94">
        <f>(Table3.110[[#This Row],[Net gas 24h, ml]]/Table3.110[[#This Row],[DM Incubated, mg]])*1000</f>
        <v>153.59338380282932</v>
      </c>
      <c r="AN452" s="94">
        <f>'3.2 Digest'!X452</f>
        <v>53.720425279627463</v>
      </c>
      <c r="AO452" s="94">
        <f>Table3.110[[#This Row],[Digested feed, mg]]/Table3.110[[#This Row],[Net gas 24h, ml]]</f>
        <v>3.497574176019806</v>
      </c>
      <c r="AP452" s="94">
        <f>Table3.110[[#This Row],[CH4 8h, ml]]/Table3.110[[#This Row],[Net gas 8h, ml]]%</f>
        <v>11.5</v>
      </c>
      <c r="AQ452" s="94">
        <f>Table3.110[[#This Row],[CH4 24h, ml]]/Table3.110[[#This Row],[Net gas 24h, ml]]%</f>
        <v>13.468688142656987</v>
      </c>
      <c r="AR452" s="94">
        <f>Table3.110[[#This Row],[CH4 24h, ml]]/Table3.110[[#This Row],[DM Incubated, mg]]*1000</f>
        <v>20.687013872157312</v>
      </c>
      <c r="AS452" s="94">
        <f>Table3.110[[#This Row],[CH4 24h, ml]]/Table3.110[[#This Row],[Digested feed, mg]]*1000</f>
        <v>38.508656185196848</v>
      </c>
      <c r="AT452" s="94">
        <f>Table3.110[[#This Row],[CH4 24h, ml]]/'3.2 Digest'!AA452</f>
        <v>0.50092272856105879</v>
      </c>
      <c r="AU452" s="94">
        <f>((Table3.110[[#This Row],[CH4 24h, ml]]/28.9)*16.04)/Table3.110[[#This Row],[DM Incubated, mg]]*1000</f>
        <v>11.481650605861706</v>
      </c>
      <c r="AV452" s="94">
        <f>((Table3.110[[#This Row],[CH4 24h, ml]]/28.9)*16.04)/Table3.110[[#This Row],[Digested feed, mg]]*1000</f>
        <v>21.37297042251064</v>
      </c>
      <c r="AW452" s="303"/>
    </row>
    <row r="453" spans="1:49" s="304" customFormat="1" x14ac:dyDescent="0.35">
      <c r="A453" s="89"/>
      <c r="B453" s="90">
        <f t="shared" si="6"/>
        <v>443</v>
      </c>
      <c r="C453" s="140">
        <v>46048</v>
      </c>
      <c r="D453" s="6" t="s">
        <v>16</v>
      </c>
      <c r="E453" s="6" t="s">
        <v>296</v>
      </c>
      <c r="F453" s="133" t="s">
        <v>240</v>
      </c>
      <c r="G453" s="133" t="s">
        <v>297</v>
      </c>
      <c r="H453" s="133" t="s">
        <v>298</v>
      </c>
      <c r="I453" s="133" t="s">
        <v>22</v>
      </c>
      <c r="J453" s="132" t="s">
        <v>23</v>
      </c>
      <c r="K453" s="133" t="s">
        <v>215</v>
      </c>
      <c r="L453" s="6" t="s">
        <v>295</v>
      </c>
      <c r="M453" s="93">
        <v>28</v>
      </c>
      <c r="N453" s="93">
        <v>60</v>
      </c>
      <c r="O453" s="6">
        <v>1</v>
      </c>
      <c r="P453" s="129">
        <v>1</v>
      </c>
      <c r="Q453" s="6">
        <v>279</v>
      </c>
      <c r="R453" s="98">
        <v>0.5</v>
      </c>
      <c r="S453" s="94">
        <f>((Table3.110[[#This Row],[Sample weight, g]]*'2.1. DM'!Q181)/100)*1000</f>
        <v>458.60621646293623</v>
      </c>
      <c r="T453" s="94">
        <f>'3.2 Digest'!W453</f>
        <v>279.30621646293622</v>
      </c>
      <c r="U453" s="117">
        <v>0.39930555555555558</v>
      </c>
      <c r="V453" s="155">
        <v>41</v>
      </c>
      <c r="W453" s="117">
        <v>0.74236111111111114</v>
      </c>
      <c r="X453" s="96">
        <v>78</v>
      </c>
      <c r="Y453" s="96">
        <v>11.2</v>
      </c>
      <c r="Z453" s="155">
        <v>40.5</v>
      </c>
      <c r="AA453" s="117">
        <v>0.40416666666666667</v>
      </c>
      <c r="AB453" s="155">
        <v>88</v>
      </c>
      <c r="AC453" s="155">
        <v>15.2</v>
      </c>
      <c r="AD453" s="96"/>
      <c r="AE453" s="94">
        <f>Table3.110[[#This Row],[Gas 8h, ml]]-Table3.110[[#This Row],[Gas 0h, ml]]</f>
        <v>37</v>
      </c>
      <c r="AF453" s="94">
        <f>Table3.110[[#This Row],[Gas 24h, ml]]-Table3.110[[#This Row],[V8 Push back, ml]]</f>
        <v>47.5</v>
      </c>
      <c r="AG453" s="94">
        <f>Table3.110[[#This Row],[GP 8h, ml]]-(AVERAGE(AE$293,AE$294,AE$385,AE$386,AE$477,AE$478))*$AG$8</f>
        <v>35.746240428868305</v>
      </c>
      <c r="AH453" s="94">
        <f>Table3.110[[#This Row],[GP 8-24h, ml]]-(AVERAGE(AF$293,AF$294,AF$385,AF$386,AF$477,AF$478))*$AG$8</f>
        <v>45.50873479879084</v>
      </c>
      <c r="AI453" s="94">
        <f>Table3.110[[#This Row],[Net gas 8-24h, ml]]+Table3.110[[#This Row],[Net gas 8h, ml]]</f>
        <v>81.254975227659145</v>
      </c>
      <c r="AJ453" s="94">
        <f>Table3.110[[#This Row],[Net gas 8h, ml]]*Table3.110[[#This Row],[CH4 8h %]]%</f>
        <v>4.0035789280332494</v>
      </c>
      <c r="AK453" s="94">
        <f>Table3.110[[#This Row],[Net gas 8-24h, ml]]*Table3.110[[#This Row],[CH4 24h, %]]%</f>
        <v>6.9173276894162079</v>
      </c>
      <c r="AL453" s="94">
        <f>Table3.110[[#This Row],[CH4 8-24h, ml]]+Table3.110[[#This Row],[CH4 8h, ml]]</f>
        <v>10.920906617449457</v>
      </c>
      <c r="AM453" s="94">
        <f>(Table3.110[[#This Row],[Net gas 24h, ml]]/Table3.110[[#This Row],[DM Incubated, mg]])*1000</f>
        <v>177.17809377803329</v>
      </c>
      <c r="AN453" s="94">
        <f>'3.2 Digest'!X453</f>
        <v>60.903277460371982</v>
      </c>
      <c r="AO453" s="94">
        <f>Table3.110[[#This Row],[Digested feed, mg]]/Table3.110[[#This Row],[Net gas 24h, ml]]</f>
        <v>3.4374044872991427</v>
      </c>
      <c r="AP453" s="94">
        <f>Table3.110[[#This Row],[CH4 8h, ml]]/Table3.110[[#This Row],[Net gas 8h, ml]]%</f>
        <v>11.2</v>
      </c>
      <c r="AQ453" s="94">
        <f>Table3.110[[#This Row],[CH4 24h, ml]]/Table3.110[[#This Row],[Net gas 24h, ml]]%</f>
        <v>13.440292839732463</v>
      </c>
      <c r="AR453" s="94">
        <f>Table3.110[[#This Row],[CH4 24h, ml]]/Table3.110[[#This Row],[DM Incubated, mg]]*1000</f>
        <v>23.813254651623474</v>
      </c>
      <c r="AS453" s="94">
        <f>Table3.110[[#This Row],[CH4 24h, ml]]/Table3.110[[#This Row],[Digested feed, mg]]*1000</f>
        <v>39.100120132480676</v>
      </c>
      <c r="AT453" s="94">
        <f>Table3.110[[#This Row],[CH4 24h, ml]]/'3.2 Digest'!AA453</f>
        <v>0.30312680936983077</v>
      </c>
      <c r="AU453" s="94">
        <f>((Table3.110[[#This Row],[CH4 24h, ml]]/28.9)*16.04)/Table3.110[[#This Row],[DM Incubated, mg]]*1000</f>
        <v>13.21676832567614</v>
      </c>
      <c r="AV453" s="94">
        <f>((Table3.110[[#This Row],[CH4 24h, ml]]/28.9)*16.04)/Table3.110[[#This Row],[Digested feed, mg]]*1000</f>
        <v>21.701243146193423</v>
      </c>
      <c r="AW453" s="303"/>
    </row>
    <row r="454" spans="1:49" s="304" customFormat="1" x14ac:dyDescent="0.35">
      <c r="A454" s="89"/>
      <c r="B454" s="90">
        <f t="shared" si="6"/>
        <v>444</v>
      </c>
      <c r="C454" s="140">
        <v>46048</v>
      </c>
      <c r="D454" s="6" t="s">
        <v>16</v>
      </c>
      <c r="E454" s="6" t="s">
        <v>296</v>
      </c>
      <c r="F454" s="133" t="s">
        <v>240</v>
      </c>
      <c r="G454" s="133" t="s">
        <v>297</v>
      </c>
      <c r="H454" s="133" t="s">
        <v>298</v>
      </c>
      <c r="I454" s="133" t="s">
        <v>22</v>
      </c>
      <c r="J454" s="132" t="s">
        <v>23</v>
      </c>
      <c r="K454" s="133" t="s">
        <v>215</v>
      </c>
      <c r="L454" s="6" t="s">
        <v>295</v>
      </c>
      <c r="M454" s="93">
        <v>28</v>
      </c>
      <c r="N454" s="93">
        <v>60</v>
      </c>
      <c r="O454" s="6">
        <v>1</v>
      </c>
      <c r="P454" s="129">
        <v>2</v>
      </c>
      <c r="Q454" s="6">
        <v>0</v>
      </c>
      <c r="R454" s="98">
        <v>0.50029999999999997</v>
      </c>
      <c r="S454" s="94">
        <f>((Table3.110[[#This Row],[Sample weight, g]]*'2.1. DM'!Q181)/100)*1000</f>
        <v>458.88138019281399</v>
      </c>
      <c r="T454" s="94">
        <f>'3.2 Digest'!W454</f>
        <v>277.08138019281404</v>
      </c>
      <c r="U454" s="153">
        <v>0.39930555555555558</v>
      </c>
      <c r="V454" s="155">
        <v>40.5</v>
      </c>
      <c r="W454" s="153">
        <v>0.74236111111111114</v>
      </c>
      <c r="X454" s="91">
        <v>78</v>
      </c>
      <c r="Y454" s="91">
        <v>11.5</v>
      </c>
      <c r="Z454" s="154">
        <v>40</v>
      </c>
      <c r="AA454" s="153">
        <v>0.40416666666666667</v>
      </c>
      <c r="AB454" s="154">
        <v>86.5</v>
      </c>
      <c r="AC454" s="154">
        <v>15.3</v>
      </c>
      <c r="AD454" s="91"/>
      <c r="AE454" s="94">
        <f>Table3.110[[#This Row],[Gas 8h, ml]]-Table3.110[[#This Row],[Gas 0h, ml]]</f>
        <v>37.5</v>
      </c>
      <c r="AF454" s="94">
        <f>Table3.110[[#This Row],[Gas 24h, ml]]-Table3.110[[#This Row],[V8 Push back, ml]]</f>
        <v>46.5</v>
      </c>
      <c r="AG454" s="94">
        <f>Table3.110[[#This Row],[GP 8h, ml]]-(AVERAGE(AE$293,AE$294,AE$385,AE$386,AE$477,AE$478))*$AG$8</f>
        <v>36.246240428868305</v>
      </c>
      <c r="AH454" s="94">
        <f>Table3.110[[#This Row],[GP 8-24h, ml]]-(AVERAGE(AF$293,AF$294,AF$385,AF$386,AF$477,AF$478))*$AG$8</f>
        <v>44.50873479879084</v>
      </c>
      <c r="AI454" s="94">
        <f>Table3.110[[#This Row],[Net gas 8-24h, ml]]+Table3.110[[#This Row],[Net gas 8h, ml]]</f>
        <v>80.754975227659145</v>
      </c>
      <c r="AJ454" s="94">
        <f>Table3.110[[#This Row],[Net gas 8h, ml]]*Table3.110[[#This Row],[CH4 8h %]]%</f>
        <v>4.1683176493198548</v>
      </c>
      <c r="AK454" s="94">
        <f>Table3.110[[#This Row],[Net gas 8-24h, ml]]*Table3.110[[#This Row],[CH4 24h, %]]%</f>
        <v>6.809836424214998</v>
      </c>
      <c r="AL454" s="94">
        <f>Table3.110[[#This Row],[CH4 8-24h, ml]]+Table3.110[[#This Row],[CH4 8h, ml]]</f>
        <v>10.978154073534853</v>
      </c>
      <c r="AM454" s="94">
        <f>(Table3.110[[#This Row],[Net gas 24h, ml]]/Table3.110[[#This Row],[DM Incubated, mg]])*1000</f>
        <v>175.98224446092649</v>
      </c>
      <c r="AN454" s="94">
        <f>'3.2 Digest'!X454</f>
        <v>60.381918324162385</v>
      </c>
      <c r="AO454" s="94">
        <f>Table3.110[[#This Row],[Digested feed, mg]]/Table3.110[[#This Row],[Net gas 24h, ml]]</f>
        <v>3.4311369598180712</v>
      </c>
      <c r="AP454" s="94">
        <f>Table3.110[[#This Row],[CH4 8h, ml]]/Table3.110[[#This Row],[Net gas 8h, ml]]%</f>
        <v>11.5</v>
      </c>
      <c r="AQ454" s="94">
        <f>Table3.110[[#This Row],[CH4 24h, ml]]/Table3.110[[#This Row],[Net gas 24h, ml]]%</f>
        <v>13.594399654740725</v>
      </c>
      <c r="AR454" s="94">
        <f>Table3.110[[#This Row],[CH4 24h, ml]]/Table3.110[[#This Row],[DM Incubated, mg]]*1000</f>
        <v>23.92372963340117</v>
      </c>
      <c r="AS454" s="94">
        <f>Table3.110[[#This Row],[CH4 24h, ml]]/Table3.110[[#This Row],[Digested feed, mg]]*1000</f>
        <v>39.620684962285914</v>
      </c>
      <c r="AT454" s="94">
        <f>Table3.110[[#This Row],[CH4 24h, ml]]/'3.2 Digest'!AA454</f>
        <v>0.31210602660924391</v>
      </c>
      <c r="AU454" s="94">
        <f>((Table3.110[[#This Row],[CH4 24h, ml]]/28.9)*16.04)/Table3.110[[#This Row],[DM Incubated, mg]]*1000</f>
        <v>13.278083851894628</v>
      </c>
      <c r="AV454" s="94">
        <f>((Table3.110[[#This Row],[CH4 24h, ml]]/28.9)*16.04)/Table3.110[[#This Row],[Digested feed, mg]]*1000</f>
        <v>21.990165633047265</v>
      </c>
      <c r="AW454" s="303"/>
    </row>
    <row r="455" spans="1:49" s="304" customFormat="1" x14ac:dyDescent="0.35">
      <c r="A455" s="89"/>
      <c r="B455" s="90">
        <f t="shared" si="6"/>
        <v>445</v>
      </c>
      <c r="C455" s="140">
        <v>46048</v>
      </c>
      <c r="D455" s="6" t="s">
        <v>16</v>
      </c>
      <c r="E455" s="6" t="s">
        <v>296</v>
      </c>
      <c r="F455" s="133" t="s">
        <v>240</v>
      </c>
      <c r="G455" s="133" t="s">
        <v>297</v>
      </c>
      <c r="H455" s="133" t="s">
        <v>298</v>
      </c>
      <c r="I455" s="133" t="s">
        <v>22</v>
      </c>
      <c r="J455" s="132" t="s">
        <v>23</v>
      </c>
      <c r="K455" s="133" t="s">
        <v>215</v>
      </c>
      <c r="L455" s="6" t="s">
        <v>295</v>
      </c>
      <c r="M455" s="93">
        <v>28</v>
      </c>
      <c r="N455" s="93">
        <v>60</v>
      </c>
      <c r="O455" s="6">
        <v>1</v>
      </c>
      <c r="P455" s="129">
        <v>3</v>
      </c>
      <c r="Q455" s="6">
        <v>0</v>
      </c>
      <c r="R455" s="98">
        <v>0.50009999999999999</v>
      </c>
      <c r="S455" s="94">
        <f>((Table3.110[[#This Row],[Sample weight, g]]*'2.1. DM'!Q181)/100)*1000</f>
        <v>458.69793770622886</v>
      </c>
      <c r="T455" s="94">
        <f>'3.2 Digest'!W455</f>
        <v>264.19793770622886</v>
      </c>
      <c r="U455" s="117">
        <v>0.39930555555555558</v>
      </c>
      <c r="V455" s="155">
        <v>41.5</v>
      </c>
      <c r="W455" s="117">
        <v>0.74236111111111114</v>
      </c>
      <c r="X455" s="96">
        <v>78</v>
      </c>
      <c r="Y455" s="96">
        <v>11.1</v>
      </c>
      <c r="Z455" s="155">
        <v>40</v>
      </c>
      <c r="AA455" s="117">
        <v>0.40555555555555556</v>
      </c>
      <c r="AB455" s="155">
        <v>87.5</v>
      </c>
      <c r="AC455" s="155">
        <v>14.9</v>
      </c>
      <c r="AD455" s="96"/>
      <c r="AE455" s="94">
        <f>Table3.110[[#This Row],[Gas 8h, ml]]-Table3.110[[#This Row],[Gas 0h, ml]]</f>
        <v>36.5</v>
      </c>
      <c r="AF455" s="94">
        <f>Table3.110[[#This Row],[Gas 24h, ml]]-Table3.110[[#This Row],[V8 Push back, ml]]</f>
        <v>47.5</v>
      </c>
      <c r="AG455" s="94">
        <f>Table3.110[[#This Row],[GP 8h, ml]]-(AVERAGE(AE$293,AE$294,AE$385,AE$386,AE$477,AE$478))*$AG$8</f>
        <v>35.246240428868305</v>
      </c>
      <c r="AH455" s="94">
        <f>Table3.110[[#This Row],[GP 8-24h, ml]]-(AVERAGE(AF$293,AF$294,AF$385,AF$386,AF$477,AF$478))*$AG$8</f>
        <v>45.50873479879084</v>
      </c>
      <c r="AI455" s="94">
        <f>Table3.110[[#This Row],[Net gas 8-24h, ml]]+Table3.110[[#This Row],[Net gas 8h, ml]]</f>
        <v>80.754975227659145</v>
      </c>
      <c r="AJ455" s="94">
        <f>Table3.110[[#This Row],[Net gas 8h, ml]]*Table3.110[[#This Row],[CH4 8h %]]%</f>
        <v>3.912332687604382</v>
      </c>
      <c r="AK455" s="94">
        <f>Table3.110[[#This Row],[Net gas 8-24h, ml]]*Table3.110[[#This Row],[CH4 24h, %]]%</f>
        <v>6.7808014850198353</v>
      </c>
      <c r="AL455" s="94">
        <f>Table3.110[[#This Row],[CH4 8-24h, ml]]+Table3.110[[#This Row],[CH4 8h, ml]]</f>
        <v>10.693134172624218</v>
      </c>
      <c r="AM455" s="94">
        <f>(Table3.110[[#This Row],[Net gas 24h, ml]]/Table3.110[[#This Row],[DM Incubated, mg]])*1000</f>
        <v>176.05262328294643</v>
      </c>
      <c r="AN455" s="94">
        <f>'3.2 Digest'!X455</f>
        <v>57.597367676728751</v>
      </c>
      <c r="AO455" s="94">
        <f>Table3.110[[#This Row],[Digested feed, mg]]/Table3.110[[#This Row],[Net gas 24h, ml]]</f>
        <v>3.271599513979409</v>
      </c>
      <c r="AP455" s="94">
        <f>Table3.110[[#This Row],[CH4 8h, ml]]/Table3.110[[#This Row],[Net gas 8h, ml]]%</f>
        <v>11.100000000000001</v>
      </c>
      <c r="AQ455" s="94">
        <f>Table3.110[[#This Row],[CH4 24h, ml]]/Table3.110[[#This Row],[Net gas 24h, ml]]%</f>
        <v>13.241455579026349</v>
      </c>
      <c r="AR455" s="94">
        <f>Table3.110[[#This Row],[CH4 24h, ml]]/Table3.110[[#This Row],[DM Incubated, mg]]*1000</f>
        <v>23.31192990772195</v>
      </c>
      <c r="AS455" s="94">
        <f>Table3.110[[#This Row],[CH4 24h, ml]]/Table3.110[[#This Row],[Digested feed, mg]]*1000</f>
        <v>40.473950196062077</v>
      </c>
      <c r="AT455" s="94">
        <f>Table3.110[[#This Row],[CH4 24h, ml]]/'3.2 Digest'!AA455</f>
        <v>0.34924129849631763</v>
      </c>
      <c r="AU455" s="94">
        <f>((Table3.110[[#This Row],[CH4 24h, ml]]/28.9)*16.04)/Table3.110[[#This Row],[DM Incubated, mg]]*1000</f>
        <v>12.938524419372323</v>
      </c>
      <c r="AV455" s="94">
        <f>((Table3.110[[#This Row],[CH4 24h, ml]]/28.9)*16.04)/Table3.110[[#This Row],[Digested feed, mg]]*1000</f>
        <v>22.463742600167325</v>
      </c>
      <c r="AW455" s="303"/>
    </row>
    <row r="456" spans="1:49" s="304" customFormat="1" x14ac:dyDescent="0.35">
      <c r="A456" s="89"/>
      <c r="B456" s="90">
        <f t="shared" si="6"/>
        <v>446</v>
      </c>
      <c r="C456" s="140">
        <v>46048</v>
      </c>
      <c r="D456" s="6" t="s">
        <v>16</v>
      </c>
      <c r="E456" s="6" t="s">
        <v>300</v>
      </c>
      <c r="F456" s="133" t="s">
        <v>212</v>
      </c>
      <c r="G456" s="133" t="s">
        <v>301</v>
      </c>
      <c r="H456" s="133" t="s">
        <v>302</v>
      </c>
      <c r="I456" s="133" t="s">
        <v>22</v>
      </c>
      <c r="J456" s="132" t="s">
        <v>23</v>
      </c>
      <c r="K456" s="135" t="s">
        <v>303</v>
      </c>
      <c r="L456" s="6" t="s">
        <v>299</v>
      </c>
      <c r="M456" s="93">
        <v>28</v>
      </c>
      <c r="N456" s="93">
        <v>60</v>
      </c>
      <c r="O456" s="6">
        <v>1</v>
      </c>
      <c r="P456" s="129">
        <v>1</v>
      </c>
      <c r="Q456" s="6">
        <v>0</v>
      </c>
      <c r="R456" s="98">
        <v>0.50009999999999999</v>
      </c>
      <c r="S456" s="94">
        <f>((Table3.110[[#This Row],[Sample weight, g]]*'2.1. DM'!Q183)/100)*1000</f>
        <v>458.42292770722918</v>
      </c>
      <c r="T456" s="94">
        <f>'3.2 Digest'!W456</f>
        <v>279.52292770722909</v>
      </c>
      <c r="U456" s="153">
        <v>0.4</v>
      </c>
      <c r="V456" s="155">
        <v>40.5</v>
      </c>
      <c r="W456" s="153">
        <v>0.74305555555555558</v>
      </c>
      <c r="X456" s="91">
        <v>78.5</v>
      </c>
      <c r="Y456" s="91">
        <v>12.1</v>
      </c>
      <c r="Z456" s="154">
        <v>40</v>
      </c>
      <c r="AA456" s="153">
        <v>0.40555555555555556</v>
      </c>
      <c r="AB456" s="154">
        <v>81.5</v>
      </c>
      <c r="AC456" s="154">
        <v>16.5</v>
      </c>
      <c r="AD456" s="91"/>
      <c r="AE456" s="94">
        <f>Table3.110[[#This Row],[Gas 8h, ml]]-Table3.110[[#This Row],[Gas 0h, ml]]</f>
        <v>38</v>
      </c>
      <c r="AF456" s="94">
        <f>Table3.110[[#This Row],[Gas 24h, ml]]-Table3.110[[#This Row],[V8 Push back, ml]]</f>
        <v>41.5</v>
      </c>
      <c r="AG456" s="94">
        <f>Table3.110[[#This Row],[GP 8h, ml]]-(AVERAGE(AE$293,AE$294,AE$385,AE$386,AE$477,AE$478))*$AG$8</f>
        <v>36.746240428868305</v>
      </c>
      <c r="AH456" s="94">
        <f>Table3.110[[#This Row],[GP 8-24h, ml]]-(AVERAGE(AF$293,AF$294,AF$385,AF$386,AF$477,AF$478))*$AG$8</f>
        <v>39.50873479879084</v>
      </c>
      <c r="AI456" s="94">
        <f>Table3.110[[#This Row],[Net gas 8-24h, ml]]+Table3.110[[#This Row],[Net gas 8h, ml]]</f>
        <v>76.254975227659145</v>
      </c>
      <c r="AJ456" s="94">
        <f>Table3.110[[#This Row],[Net gas 8h, ml]]*Table3.110[[#This Row],[CH4 8h %]]%</f>
        <v>4.4462950918930648</v>
      </c>
      <c r="AK456" s="94">
        <f>Table3.110[[#This Row],[Net gas 8-24h, ml]]*Table3.110[[#This Row],[CH4 24h, %]]%</f>
        <v>6.5189412418004888</v>
      </c>
      <c r="AL456" s="94">
        <f>Table3.110[[#This Row],[CH4 8-24h, ml]]+Table3.110[[#This Row],[CH4 8h, ml]]</f>
        <v>10.965236333693554</v>
      </c>
      <c r="AM456" s="94">
        <f>(Table3.110[[#This Row],[Net gas 24h, ml]]/Table3.110[[#This Row],[DM Incubated, mg]])*1000</f>
        <v>166.34197510373917</v>
      </c>
      <c r="AN456" s="94">
        <f>'3.2 Digest'!X456</f>
        <v>60.974901300256477</v>
      </c>
      <c r="AO456" s="94">
        <f>Table3.110[[#This Row],[Digested feed, mg]]/Table3.110[[#This Row],[Net gas 24h, ml]]</f>
        <v>3.6656352831105603</v>
      </c>
      <c r="AP456" s="94">
        <f>Table3.110[[#This Row],[CH4 8h, ml]]/Table3.110[[#This Row],[Net gas 8h, ml]]%</f>
        <v>12.1</v>
      </c>
      <c r="AQ456" s="94">
        <f>Table3.110[[#This Row],[CH4 24h, ml]]/Table3.110[[#This Row],[Net gas 24h, ml]]%</f>
        <v>14.379699555283903</v>
      </c>
      <c r="AR456" s="94">
        <f>Table3.110[[#This Row],[CH4 24h, ml]]/Table3.110[[#This Row],[DM Incubated, mg]]*1000</f>
        <v>23.919476254242849</v>
      </c>
      <c r="AS456" s="94">
        <f>Table3.110[[#This Row],[CH4 24h, ml]]/Table3.110[[#This Row],[Digested feed, mg]]*1000</f>
        <v>39.228396838983052</v>
      </c>
      <c r="AT456" s="94">
        <f>Table3.110[[#This Row],[CH4 24h, ml]]/'3.2 Digest'!AA456</f>
        <v>0.47557090227846216</v>
      </c>
      <c r="AU456" s="94">
        <f>((Table3.110[[#This Row],[CH4 24h, ml]]/28.9)*16.04)/Table3.110[[#This Row],[DM Incubated, mg]]*1000</f>
        <v>13.275723152873883</v>
      </c>
      <c r="AV456" s="94">
        <f>((Table3.110[[#This Row],[CH4 24h, ml]]/28.9)*16.04)/Table3.110[[#This Row],[Digested feed, mg]]*1000</f>
        <v>21.772438937622425</v>
      </c>
      <c r="AW456" s="303"/>
    </row>
    <row r="457" spans="1:49" s="304" customFormat="1" x14ac:dyDescent="0.35">
      <c r="A457" s="89"/>
      <c r="B457" s="90">
        <f t="shared" si="6"/>
        <v>447</v>
      </c>
      <c r="C457" s="140">
        <v>46048</v>
      </c>
      <c r="D457" s="6" t="s">
        <v>16</v>
      </c>
      <c r="E457" s="6" t="s">
        <v>300</v>
      </c>
      <c r="F457" s="133" t="s">
        <v>212</v>
      </c>
      <c r="G457" s="133" t="s">
        <v>301</v>
      </c>
      <c r="H457" s="133" t="s">
        <v>302</v>
      </c>
      <c r="I457" s="133" t="s">
        <v>22</v>
      </c>
      <c r="J457" s="132" t="s">
        <v>23</v>
      </c>
      <c r="K457" s="135" t="s">
        <v>303</v>
      </c>
      <c r="L457" s="6" t="s">
        <v>299</v>
      </c>
      <c r="M457" s="93">
        <v>28</v>
      </c>
      <c r="N457" s="93">
        <v>60</v>
      </c>
      <c r="O457" s="6">
        <v>1</v>
      </c>
      <c r="P457" s="129">
        <v>2</v>
      </c>
      <c r="Q457" s="6">
        <v>0</v>
      </c>
      <c r="R457" s="98">
        <v>0.50039999999999996</v>
      </c>
      <c r="S457" s="94">
        <f>((Table3.110[[#This Row],[Sample weight, g]]*'2.1. DM'!Q183)/100)*1000</f>
        <v>458.69792646410212</v>
      </c>
      <c r="T457" s="94">
        <f>'3.2 Digest'!W457</f>
        <v>268.79792646410215</v>
      </c>
      <c r="U457" s="117">
        <v>0.4</v>
      </c>
      <c r="V457" s="155">
        <v>40.5</v>
      </c>
      <c r="W457" s="117">
        <v>0.74305555555555558</v>
      </c>
      <c r="X457" s="96">
        <v>80</v>
      </c>
      <c r="Y457" s="96">
        <v>12.2</v>
      </c>
      <c r="Z457" s="155">
        <v>40.5</v>
      </c>
      <c r="AA457" s="117">
        <v>0.40555555555555556</v>
      </c>
      <c r="AB457" s="155">
        <v>86.5</v>
      </c>
      <c r="AC457" s="155">
        <v>16.100000000000001</v>
      </c>
      <c r="AD457" s="96"/>
      <c r="AE457" s="94">
        <f>Table3.110[[#This Row],[Gas 8h, ml]]-Table3.110[[#This Row],[Gas 0h, ml]]</f>
        <v>39.5</v>
      </c>
      <c r="AF457" s="94">
        <f>Table3.110[[#This Row],[Gas 24h, ml]]-Table3.110[[#This Row],[V8 Push back, ml]]</f>
        <v>46</v>
      </c>
      <c r="AG457" s="94">
        <f>Table3.110[[#This Row],[GP 8h, ml]]-(AVERAGE(AE$293,AE$294,AE$385,AE$386,AE$477,AE$478))*$AG$8</f>
        <v>38.246240428868305</v>
      </c>
      <c r="AH457" s="94">
        <f>Table3.110[[#This Row],[GP 8-24h, ml]]-(AVERAGE(AF$293,AF$294,AF$385,AF$386,AF$477,AF$478))*$AG$8</f>
        <v>44.00873479879084</v>
      </c>
      <c r="AI457" s="94">
        <f>Table3.110[[#This Row],[Net gas 8-24h, ml]]+Table3.110[[#This Row],[Net gas 8h, ml]]</f>
        <v>82.254975227659145</v>
      </c>
      <c r="AJ457" s="94">
        <f>Table3.110[[#This Row],[Net gas 8h, ml]]*Table3.110[[#This Row],[CH4 8h %]]%</f>
        <v>4.6660413323219334</v>
      </c>
      <c r="AK457" s="94">
        <f>Table3.110[[#This Row],[Net gas 8-24h, ml]]*Table3.110[[#This Row],[CH4 24h, %]]%</f>
        <v>7.0854063026053256</v>
      </c>
      <c r="AL457" s="94">
        <f>Table3.110[[#This Row],[CH4 8-24h, ml]]+Table3.110[[#This Row],[CH4 8h, ml]]</f>
        <v>11.75144763492726</v>
      </c>
      <c r="AM457" s="94">
        <f>(Table3.110[[#This Row],[Net gas 24h, ml]]/Table3.110[[#This Row],[DM Incubated, mg]])*1000</f>
        <v>179.32275356404179</v>
      </c>
      <c r="AN457" s="94">
        <f>'3.2 Digest'!X457</f>
        <v>58.6002052671451</v>
      </c>
      <c r="AO457" s="94">
        <f>Table3.110[[#This Row],[Digested feed, mg]]/Table3.110[[#This Row],[Net gas 24h, ml]]</f>
        <v>3.2678622262075141</v>
      </c>
      <c r="AP457" s="94">
        <f>Table3.110[[#This Row],[CH4 8h, ml]]/Table3.110[[#This Row],[Net gas 8h, ml]]%</f>
        <v>12.200000000000001</v>
      </c>
      <c r="AQ457" s="94">
        <f>Table3.110[[#This Row],[CH4 24h, ml]]/Table3.110[[#This Row],[Net gas 24h, ml]]%</f>
        <v>14.286610144131082</v>
      </c>
      <c r="AR457" s="94">
        <f>Table3.110[[#This Row],[CH4 24h, ml]]/Table3.110[[#This Row],[DM Incubated, mg]]*1000</f>
        <v>25.619142701415576</v>
      </c>
      <c r="AS457" s="94">
        <f>Table3.110[[#This Row],[CH4 24h, ml]]/Table3.110[[#This Row],[Digested feed, mg]]*1000</f>
        <v>43.718520412383697</v>
      </c>
      <c r="AT457" s="94">
        <f>Table3.110[[#This Row],[CH4 24h, ml]]/'3.2 Digest'!AA457</f>
        <v>0.63953536373054243</v>
      </c>
      <c r="AU457" s="94">
        <f>((Table3.110[[#This Row],[CH4 24h, ml]]/28.9)*16.04)/Table3.110[[#This Row],[DM Incubated, mg]]*1000</f>
        <v>14.219067437048645</v>
      </c>
      <c r="AV457" s="94">
        <f>((Table3.110[[#This Row],[CH4 24h, ml]]/28.9)*16.04)/Table3.110[[#This Row],[Digested feed, mg]]*1000</f>
        <v>24.264535204658632</v>
      </c>
      <c r="AW457" s="303"/>
    </row>
    <row r="458" spans="1:49" s="304" customFormat="1" x14ac:dyDescent="0.35">
      <c r="A458" s="89"/>
      <c r="B458" s="90">
        <f t="shared" si="6"/>
        <v>448</v>
      </c>
      <c r="C458" s="140">
        <v>46048</v>
      </c>
      <c r="D458" s="6" t="s">
        <v>16</v>
      </c>
      <c r="E458" s="6" t="s">
        <v>300</v>
      </c>
      <c r="F458" s="133" t="s">
        <v>212</v>
      </c>
      <c r="G458" s="133" t="s">
        <v>301</v>
      </c>
      <c r="H458" s="133" t="s">
        <v>302</v>
      </c>
      <c r="I458" s="133" t="s">
        <v>22</v>
      </c>
      <c r="J458" s="132" t="s">
        <v>23</v>
      </c>
      <c r="K458" s="135" t="s">
        <v>303</v>
      </c>
      <c r="L458" s="6" t="s">
        <v>299</v>
      </c>
      <c r="M458" s="93">
        <v>28</v>
      </c>
      <c r="N458" s="93">
        <v>60</v>
      </c>
      <c r="O458" s="6">
        <v>1</v>
      </c>
      <c r="P458" s="129">
        <v>3</v>
      </c>
      <c r="Q458" s="6">
        <v>0</v>
      </c>
      <c r="R458" s="98">
        <v>0.5</v>
      </c>
      <c r="S458" s="94">
        <f>((Table3.110[[#This Row],[Sample weight, g]]*'2.1. DM'!Q183)/100)*1000</f>
        <v>458.33126145493821</v>
      </c>
      <c r="T458" s="94">
        <f>'3.2 Digest'!W458</f>
        <v>262.33126145493827</v>
      </c>
      <c r="U458" s="153">
        <v>0.40069444444444446</v>
      </c>
      <c r="V458" s="155">
        <v>40.5</v>
      </c>
      <c r="W458" s="153">
        <v>0.74375000000000002</v>
      </c>
      <c r="X458" s="91">
        <v>80</v>
      </c>
      <c r="Y458" s="91">
        <v>12.2</v>
      </c>
      <c r="Z458" s="154">
        <v>40</v>
      </c>
      <c r="AA458" s="153">
        <v>0.40625</v>
      </c>
      <c r="AB458" s="154">
        <v>81</v>
      </c>
      <c r="AC458" s="154">
        <v>16.5</v>
      </c>
      <c r="AD458" s="91"/>
      <c r="AE458" s="94">
        <f>Table3.110[[#This Row],[Gas 8h, ml]]-Table3.110[[#This Row],[Gas 0h, ml]]</f>
        <v>39.5</v>
      </c>
      <c r="AF458" s="94">
        <f>Table3.110[[#This Row],[Gas 24h, ml]]-Table3.110[[#This Row],[V8 Push back, ml]]</f>
        <v>41</v>
      </c>
      <c r="AG458" s="94">
        <f>Table3.110[[#This Row],[GP 8h, ml]]-(AVERAGE(AE$293,AE$294,AE$385,AE$386,AE$477,AE$478))*$AG$8</f>
        <v>38.246240428868305</v>
      </c>
      <c r="AH458" s="94">
        <f>Table3.110[[#This Row],[GP 8-24h, ml]]-(AVERAGE(AF$293,AF$294,AF$385,AF$386,AF$477,AF$478))*$AG$8</f>
        <v>39.00873479879084</v>
      </c>
      <c r="AI458" s="94">
        <f>Table3.110[[#This Row],[Net gas 8-24h, ml]]+Table3.110[[#This Row],[Net gas 8h, ml]]</f>
        <v>77.254975227659145</v>
      </c>
      <c r="AJ458" s="94">
        <f>Table3.110[[#This Row],[Net gas 8h, ml]]*Table3.110[[#This Row],[CH4 8h %]]%</f>
        <v>4.6660413323219334</v>
      </c>
      <c r="AK458" s="94">
        <f>Table3.110[[#This Row],[Net gas 8-24h, ml]]*Table3.110[[#This Row],[CH4 24h, %]]%</f>
        <v>6.4364412418004893</v>
      </c>
      <c r="AL458" s="94">
        <f>Table3.110[[#This Row],[CH4 8-24h, ml]]+Table3.110[[#This Row],[CH4 8h, ml]]</f>
        <v>11.102482574122423</v>
      </c>
      <c r="AM458" s="94">
        <f>(Table3.110[[#This Row],[Net gas 24h, ml]]/Table3.110[[#This Row],[DM Incubated, mg]])*1000</f>
        <v>168.55707154344876</v>
      </c>
      <c r="AN458" s="94">
        <f>'3.2 Digest'!X458</f>
        <v>57.236170324098637</v>
      </c>
      <c r="AO458" s="94">
        <f>Table3.110[[#This Row],[Digested feed, mg]]/Table3.110[[#This Row],[Net gas 24h, ml]]</f>
        <v>3.3956552400914801</v>
      </c>
      <c r="AP458" s="94">
        <f>Table3.110[[#This Row],[CH4 8h, ml]]/Table3.110[[#This Row],[Net gas 8h, ml]]%</f>
        <v>12.200000000000001</v>
      </c>
      <c r="AQ458" s="94">
        <f>Table3.110[[#This Row],[CH4 24h, ml]]/Table3.110[[#This Row],[Net gas 24h, ml]]%</f>
        <v>14.371220159484908</v>
      </c>
      <c r="AR458" s="94">
        <f>Table3.110[[#This Row],[CH4 24h, ml]]/Table3.110[[#This Row],[DM Incubated, mg]]*1000</f>
        <v>24.223707845889507</v>
      </c>
      <c r="AS458" s="94">
        <f>Table3.110[[#This Row],[CH4 24h, ml]]/Table3.110[[#This Row],[Digested feed, mg]]*1000</f>
        <v>42.322377106510203</v>
      </c>
      <c r="AT458" s="94">
        <f>Table3.110[[#This Row],[CH4 24h, ml]]/'3.2 Digest'!AA458</f>
        <v>0.70781340083813804</v>
      </c>
      <c r="AU458" s="94">
        <f>((Table3.110[[#This Row],[CH4 24h, ml]]/28.9)*16.04)/Table3.110[[#This Row],[DM Incubated, mg]]*1000</f>
        <v>13.444576949760128</v>
      </c>
      <c r="AV458" s="94">
        <f>((Table3.110[[#This Row],[CH4 24h, ml]]/28.9)*16.04)/Table3.110[[#This Row],[Digested feed, mg]]*1000</f>
        <v>23.489651515170369</v>
      </c>
      <c r="AW458" s="303"/>
    </row>
    <row r="459" spans="1:49" s="304" customFormat="1" x14ac:dyDescent="0.35">
      <c r="A459" s="89"/>
      <c r="B459" s="90">
        <f t="shared" si="6"/>
        <v>449</v>
      </c>
      <c r="C459" s="140">
        <v>46048</v>
      </c>
      <c r="D459" s="6" t="s">
        <v>16</v>
      </c>
      <c r="E459" s="6" t="s">
        <v>305</v>
      </c>
      <c r="F459" s="133" t="s">
        <v>212</v>
      </c>
      <c r="G459" s="133" t="s">
        <v>301</v>
      </c>
      <c r="H459" s="133" t="s">
        <v>302</v>
      </c>
      <c r="I459" s="133" t="s">
        <v>22</v>
      </c>
      <c r="J459" s="132" t="s">
        <v>23</v>
      </c>
      <c r="K459" s="135" t="s">
        <v>303</v>
      </c>
      <c r="L459" s="6" t="s">
        <v>304</v>
      </c>
      <c r="M459" s="93">
        <v>28</v>
      </c>
      <c r="N459" s="93">
        <v>60</v>
      </c>
      <c r="O459" s="6">
        <v>1</v>
      </c>
      <c r="P459" s="129">
        <v>1</v>
      </c>
      <c r="Q459" s="6">
        <v>0</v>
      </c>
      <c r="R459" s="98">
        <v>0.50039999999999996</v>
      </c>
      <c r="S459" s="94">
        <f>((Table3.110[[#This Row],[Sample weight, g]]*'2.1. DM'!Q185)/100)*1000</f>
        <v>459.42747052309028</v>
      </c>
      <c r="T459" s="94">
        <f>'3.2 Digest'!W459</f>
        <v>209.22747052309029</v>
      </c>
      <c r="U459" s="117">
        <v>0.40069444444444446</v>
      </c>
      <c r="V459" s="155">
        <v>40.5</v>
      </c>
      <c r="W459" s="117">
        <v>0.74444444444444446</v>
      </c>
      <c r="X459" s="96">
        <v>78</v>
      </c>
      <c r="Y459" s="96">
        <v>13.9</v>
      </c>
      <c r="Z459" s="155">
        <v>40</v>
      </c>
      <c r="AA459" s="117">
        <v>0.40625</v>
      </c>
      <c r="AB459" s="155">
        <v>72.5</v>
      </c>
      <c r="AC459" s="155">
        <v>16.5</v>
      </c>
      <c r="AD459" s="96"/>
      <c r="AE459" s="94">
        <f>Table3.110[[#This Row],[Gas 8h, ml]]-Table3.110[[#This Row],[Gas 0h, ml]]</f>
        <v>37.5</v>
      </c>
      <c r="AF459" s="94">
        <f>Table3.110[[#This Row],[Gas 24h, ml]]-Table3.110[[#This Row],[V8 Push back, ml]]</f>
        <v>32.5</v>
      </c>
      <c r="AG459" s="94">
        <f>Table3.110[[#This Row],[GP 8h, ml]]-(AVERAGE(AE$293,AE$294,AE$385,AE$386,AE$477,AE$478))*$AG$8</f>
        <v>36.246240428868305</v>
      </c>
      <c r="AH459" s="94">
        <f>Table3.110[[#This Row],[GP 8-24h, ml]]-(AVERAGE(AF$293,AF$294,AF$385,AF$386,AF$477,AF$478))*$AG$8</f>
        <v>30.508734798790837</v>
      </c>
      <c r="AI459" s="94">
        <f>Table3.110[[#This Row],[Net gas 8-24h, ml]]+Table3.110[[#This Row],[Net gas 8h, ml]]</f>
        <v>66.754975227659145</v>
      </c>
      <c r="AJ459" s="94">
        <f>Table3.110[[#This Row],[Net gas 8h, ml]]*Table3.110[[#This Row],[CH4 8h %]]%</f>
        <v>5.0382274196126948</v>
      </c>
      <c r="AK459" s="94">
        <f>Table3.110[[#This Row],[Net gas 8-24h, ml]]*Table3.110[[#This Row],[CH4 24h, %]]%</f>
        <v>5.0339412418004885</v>
      </c>
      <c r="AL459" s="94">
        <f>Table3.110[[#This Row],[CH4 8-24h, ml]]+Table3.110[[#This Row],[CH4 8h, ml]]</f>
        <v>10.072168661413183</v>
      </c>
      <c r="AM459" s="94">
        <f>(Table3.110[[#This Row],[Net gas 24h, ml]]/Table3.110[[#This Row],[DM Incubated, mg]])*1000</f>
        <v>145.30035644506398</v>
      </c>
      <c r="AN459" s="94">
        <f>'3.2 Digest'!X459</f>
        <v>45.54091427856288</v>
      </c>
      <c r="AO459" s="94">
        <f>Table3.110[[#This Row],[Digested feed, mg]]/Table3.110[[#This Row],[Net gas 24h, ml]]</f>
        <v>3.1342603275568188</v>
      </c>
      <c r="AP459" s="94">
        <f>Table3.110[[#This Row],[CH4 8h, ml]]/Table3.110[[#This Row],[Net gas 8h, ml]]%</f>
        <v>13.900000000000002</v>
      </c>
      <c r="AQ459" s="94">
        <f>Table3.110[[#This Row],[CH4 24h, ml]]/Table3.110[[#This Row],[Net gas 24h, ml]]%</f>
        <v>15.088266645389899</v>
      </c>
      <c r="AR459" s="94">
        <f>Table3.110[[#This Row],[CH4 24h, ml]]/Table3.110[[#This Row],[DM Incubated, mg]]*1000</f>
        <v>21.923305217133219</v>
      </c>
      <c r="AS459" s="94">
        <f>Table3.110[[#This Row],[CH4 24h, ml]]/Table3.110[[#This Row],[Digested feed, mg]]*1000</f>
        <v>48.139800362886007</v>
      </c>
      <c r="AT459" s="94">
        <f>Table3.110[[#This Row],[CH4 24h, ml]]/'3.2 Digest'!AA459</f>
        <v>-1.2230495572276421</v>
      </c>
      <c r="AU459" s="94">
        <f>((Table3.110[[#This Row],[CH4 24h, ml]]/28.9)*16.04)/Table3.110[[#This Row],[DM Incubated, mg]]*1000</f>
        <v>12.167813691446948</v>
      </c>
      <c r="AV459" s="94">
        <f>((Table3.110[[#This Row],[CH4 24h, ml]]/28.9)*16.04)/Table3.110[[#This Row],[Digested feed, mg]]*1000</f>
        <v>26.71842206992012</v>
      </c>
      <c r="AW459" s="303"/>
    </row>
    <row r="460" spans="1:49" s="304" customFormat="1" x14ac:dyDescent="0.35">
      <c r="A460" s="89"/>
      <c r="B460" s="90">
        <f t="shared" ref="B460:B523" si="7">B459+1</f>
        <v>450</v>
      </c>
      <c r="C460" s="140">
        <v>46048</v>
      </c>
      <c r="D460" s="6" t="s">
        <v>16</v>
      </c>
      <c r="E460" s="6" t="s">
        <v>305</v>
      </c>
      <c r="F460" s="133" t="s">
        <v>212</v>
      </c>
      <c r="G460" s="133" t="s">
        <v>301</v>
      </c>
      <c r="H460" s="133" t="s">
        <v>302</v>
      </c>
      <c r="I460" s="133" t="s">
        <v>22</v>
      </c>
      <c r="J460" s="132" t="s">
        <v>23</v>
      </c>
      <c r="K460" s="135" t="s">
        <v>303</v>
      </c>
      <c r="L460" s="6" t="s">
        <v>304</v>
      </c>
      <c r="M460" s="93">
        <v>28</v>
      </c>
      <c r="N460" s="93">
        <v>60</v>
      </c>
      <c r="O460" s="6">
        <v>1</v>
      </c>
      <c r="P460" s="129">
        <v>2</v>
      </c>
      <c r="Q460" s="6">
        <v>0</v>
      </c>
      <c r="R460" s="98">
        <v>0.50049999999999994</v>
      </c>
      <c r="S460" s="94">
        <f>((Table3.110[[#This Row],[Sample weight, g]]*'2.1. DM'!Q185)/100)*1000</f>
        <v>459.51928256755934</v>
      </c>
      <c r="T460" s="94">
        <f>'3.2 Digest'!W460</f>
        <v>229.1192825675594</v>
      </c>
      <c r="U460" s="153">
        <v>0.40138888888888891</v>
      </c>
      <c r="V460" s="155">
        <v>40.5</v>
      </c>
      <c r="W460" s="153">
        <v>0.74444444444444446</v>
      </c>
      <c r="X460" s="91">
        <v>76</v>
      </c>
      <c r="Y460" s="91">
        <v>13.8</v>
      </c>
      <c r="Z460" s="154">
        <v>40</v>
      </c>
      <c r="AA460" s="153">
        <v>0.40694444444444444</v>
      </c>
      <c r="AB460" s="154">
        <v>68.5</v>
      </c>
      <c r="AC460" s="154">
        <v>17.2</v>
      </c>
      <c r="AD460" s="91"/>
      <c r="AE460" s="94">
        <f>Table3.110[[#This Row],[Gas 8h, ml]]-Table3.110[[#This Row],[Gas 0h, ml]]</f>
        <v>35.5</v>
      </c>
      <c r="AF460" s="94">
        <f>Table3.110[[#This Row],[Gas 24h, ml]]-Table3.110[[#This Row],[V8 Push back, ml]]</f>
        <v>28.5</v>
      </c>
      <c r="AG460" s="94">
        <f>Table3.110[[#This Row],[GP 8h, ml]]-(AVERAGE(AE$293,AE$294,AE$385,AE$386,AE$477,AE$478))*$AG$8</f>
        <v>34.246240428868305</v>
      </c>
      <c r="AH460" s="94">
        <f>Table3.110[[#This Row],[GP 8-24h, ml]]-(AVERAGE(AF$293,AF$294,AF$385,AF$386,AF$477,AF$478))*$AG$8</f>
        <v>26.508734798790837</v>
      </c>
      <c r="AI460" s="94">
        <f>Table3.110[[#This Row],[Net gas 8-24h, ml]]+Table3.110[[#This Row],[Net gas 8h, ml]]</f>
        <v>60.754975227659145</v>
      </c>
      <c r="AJ460" s="94">
        <f>Table3.110[[#This Row],[Net gas 8h, ml]]*Table3.110[[#This Row],[CH4 8h %]]%</f>
        <v>4.7259811791838269</v>
      </c>
      <c r="AK460" s="94">
        <f>Table3.110[[#This Row],[Net gas 8-24h, ml]]*Table3.110[[#This Row],[CH4 24h, %]]%</f>
        <v>4.5595023853920233</v>
      </c>
      <c r="AL460" s="94">
        <f>Table3.110[[#This Row],[CH4 8-24h, ml]]+Table3.110[[#This Row],[CH4 8h, ml]]</f>
        <v>9.2854835645758502</v>
      </c>
      <c r="AM460" s="94">
        <f>(Table3.110[[#This Row],[Net gas 24h, ml]]/Table3.110[[#This Row],[DM Incubated, mg]])*1000</f>
        <v>132.21420195512002</v>
      </c>
      <c r="AN460" s="94">
        <f>'3.2 Digest'!X460</f>
        <v>49.86064595317039</v>
      </c>
      <c r="AO460" s="94">
        <f>Table3.110[[#This Row],[Digested feed, mg]]/Table3.110[[#This Row],[Net gas 24h, ml]]</f>
        <v>3.7712019749660137</v>
      </c>
      <c r="AP460" s="94">
        <f>Table3.110[[#This Row],[CH4 8h, ml]]/Table3.110[[#This Row],[Net gas 8h, ml]]%</f>
        <v>13.800000000000004</v>
      </c>
      <c r="AQ460" s="94">
        <f>Table3.110[[#This Row],[CH4 24h, ml]]/Table3.110[[#This Row],[Net gas 24h, ml]]%</f>
        <v>15.283494939766786</v>
      </c>
      <c r="AR460" s="94">
        <f>Table3.110[[#This Row],[CH4 24h, ml]]/Table3.110[[#This Row],[DM Incubated, mg]]*1000</f>
        <v>20.206950865463806</v>
      </c>
      <c r="AS460" s="94">
        <f>Table3.110[[#This Row],[CH4 24h, ml]]/Table3.110[[#This Row],[Digested feed, mg]]*1000</f>
        <v>40.526853351323155</v>
      </c>
      <c r="AT460" s="94">
        <f>Table3.110[[#This Row],[CH4 24h, ml]]/'3.2 Digest'!AA460</f>
        <v>26.529492800823263</v>
      </c>
      <c r="AU460" s="94">
        <f>((Table3.110[[#This Row],[CH4 24h, ml]]/28.9)*16.04)/Table3.110[[#This Row],[DM Incubated, mg]]*1000</f>
        <v>11.215207331558458</v>
      </c>
      <c r="AV460" s="94">
        <f>((Table3.110[[#This Row],[CH4 24h, ml]]/28.9)*16.04)/Table3.110[[#This Row],[Digested feed, mg]]*1000</f>
        <v>22.493104766616725</v>
      </c>
      <c r="AW460" s="303"/>
    </row>
    <row r="461" spans="1:49" s="304" customFormat="1" x14ac:dyDescent="0.35">
      <c r="A461" s="89"/>
      <c r="B461" s="90">
        <f t="shared" si="7"/>
        <v>451</v>
      </c>
      <c r="C461" s="140">
        <v>46048</v>
      </c>
      <c r="D461" s="6" t="s">
        <v>16</v>
      </c>
      <c r="E461" s="6" t="s">
        <v>305</v>
      </c>
      <c r="F461" s="133" t="s">
        <v>212</v>
      </c>
      <c r="G461" s="133" t="s">
        <v>301</v>
      </c>
      <c r="H461" s="133" t="s">
        <v>302</v>
      </c>
      <c r="I461" s="133" t="s">
        <v>22</v>
      </c>
      <c r="J461" s="132" t="s">
        <v>23</v>
      </c>
      <c r="K461" s="135" t="s">
        <v>303</v>
      </c>
      <c r="L461" s="6" t="s">
        <v>304</v>
      </c>
      <c r="M461" s="93">
        <v>28</v>
      </c>
      <c r="N461" s="93">
        <v>60</v>
      </c>
      <c r="O461" s="6">
        <v>1</v>
      </c>
      <c r="P461" s="129">
        <v>3</v>
      </c>
      <c r="Q461" s="6">
        <v>0</v>
      </c>
      <c r="R461" s="98">
        <v>0.50019999999999998</v>
      </c>
      <c r="S461" s="94">
        <f>((Table3.110[[#This Row],[Sample weight, g]]*'2.1. DM'!Q185)/100)*1000</f>
        <v>459.2438464341522</v>
      </c>
      <c r="T461" s="94">
        <f>'3.2 Digest'!W461</f>
        <v>217.3438464341522</v>
      </c>
      <c r="U461" s="117">
        <v>0.40138888888888891</v>
      </c>
      <c r="V461" s="155">
        <v>40.5</v>
      </c>
      <c r="W461" s="117">
        <v>0.74513888888888891</v>
      </c>
      <c r="X461" s="96">
        <v>75</v>
      </c>
      <c r="Y461" s="96">
        <v>14.3</v>
      </c>
      <c r="Z461" s="155">
        <v>40</v>
      </c>
      <c r="AA461" s="117">
        <v>0.40694444444444444</v>
      </c>
      <c r="AB461" s="155">
        <v>74.5</v>
      </c>
      <c r="AC461" s="155">
        <v>17</v>
      </c>
      <c r="AD461" s="96"/>
      <c r="AE461" s="94">
        <f>Table3.110[[#This Row],[Gas 8h, ml]]-Table3.110[[#This Row],[Gas 0h, ml]]</f>
        <v>34.5</v>
      </c>
      <c r="AF461" s="94">
        <f>Table3.110[[#This Row],[Gas 24h, ml]]-Table3.110[[#This Row],[V8 Push back, ml]]</f>
        <v>34.5</v>
      </c>
      <c r="AG461" s="94">
        <f>Table3.110[[#This Row],[GP 8h, ml]]-(AVERAGE(AE$293,AE$294,AE$385,AE$386,AE$477,AE$478))*$AG$8</f>
        <v>33.246240428868305</v>
      </c>
      <c r="AH461" s="94">
        <f>Table3.110[[#This Row],[GP 8-24h, ml]]-(AVERAGE(AF$293,AF$294,AF$385,AF$386,AF$477,AF$478))*$AG$8</f>
        <v>32.50873479879084</v>
      </c>
      <c r="AI461" s="94">
        <f>Table3.110[[#This Row],[Net gas 8-24h, ml]]+Table3.110[[#This Row],[Net gas 8h, ml]]</f>
        <v>65.754975227659145</v>
      </c>
      <c r="AJ461" s="94">
        <f>Table3.110[[#This Row],[Net gas 8h, ml]]*Table3.110[[#This Row],[CH4 8h %]]%</f>
        <v>4.754212381328168</v>
      </c>
      <c r="AK461" s="94">
        <f>Table3.110[[#This Row],[Net gas 8-24h, ml]]*Table3.110[[#This Row],[CH4 24h, %]]%</f>
        <v>5.5264849157944429</v>
      </c>
      <c r="AL461" s="94">
        <f>Table3.110[[#This Row],[CH4 8-24h, ml]]+Table3.110[[#This Row],[CH4 8h, ml]]</f>
        <v>10.280697297122611</v>
      </c>
      <c r="AM461" s="94">
        <f>(Table3.110[[#This Row],[Net gas 24h, ml]]/Table3.110[[#This Row],[DM Incubated, mg]])*1000</f>
        <v>143.18096091699576</v>
      </c>
      <c r="AN461" s="94">
        <f>'3.2 Digest'!X461</f>
        <v>47.326458072708355</v>
      </c>
      <c r="AO461" s="94">
        <f>Table3.110[[#This Row],[Digested feed, mg]]/Table3.110[[#This Row],[Net gas 24h, ml]]</f>
        <v>3.3053597188905757</v>
      </c>
      <c r="AP461" s="94">
        <f>Table3.110[[#This Row],[CH4 8h, ml]]/Table3.110[[#This Row],[Net gas 8h, ml]]%</f>
        <v>14.3</v>
      </c>
      <c r="AQ461" s="94">
        <f>Table3.110[[#This Row],[CH4 24h, ml]]/Table3.110[[#This Row],[Net gas 24h, ml]]%</f>
        <v>15.634858444594386</v>
      </c>
      <c r="AR461" s="94">
        <f>Table3.110[[#This Row],[CH4 24h, ml]]/Table3.110[[#This Row],[DM Incubated, mg]]*1000</f>
        <v>22.386140558982294</v>
      </c>
      <c r="AS461" s="94">
        <f>Table3.110[[#This Row],[CH4 24h, ml]]/Table3.110[[#This Row],[Digested feed, mg]]*1000</f>
        <v>47.301533794458322</v>
      </c>
      <c r="AT461" s="94">
        <f>Table3.110[[#This Row],[CH4 24h, ml]]/'3.2 Digest'!AA461</f>
        <v>-2.1936400382439318</v>
      </c>
      <c r="AU461" s="94">
        <f>((Table3.110[[#This Row],[CH4 24h, ml]]/28.9)*16.04)/Table3.110[[#This Row],[DM Incubated, mg]]*1000</f>
        <v>12.424695313705053</v>
      </c>
      <c r="AV461" s="94">
        <f>((Table3.110[[#This Row],[CH4 24h, ml]]/28.9)*16.04)/Table3.110[[#This Row],[Digested feed, mg]]*1000</f>
        <v>26.253169621560954</v>
      </c>
      <c r="AW461" s="303"/>
    </row>
    <row r="462" spans="1:49" s="304" customFormat="1" x14ac:dyDescent="0.35">
      <c r="A462" s="89"/>
      <c r="B462" s="90">
        <f t="shared" si="7"/>
        <v>452</v>
      </c>
      <c r="C462" s="140">
        <v>46048</v>
      </c>
      <c r="D462" s="6" t="s">
        <v>16</v>
      </c>
      <c r="E462" s="6" t="s">
        <v>307</v>
      </c>
      <c r="F462" s="133" t="s">
        <v>212</v>
      </c>
      <c r="G462" s="133" t="s">
        <v>213</v>
      </c>
      <c r="H462" s="133" t="s">
        <v>214</v>
      </c>
      <c r="I462" s="133" t="s">
        <v>22</v>
      </c>
      <c r="J462" s="135" t="s">
        <v>23</v>
      </c>
      <c r="K462" s="135" t="s">
        <v>215</v>
      </c>
      <c r="L462" s="6" t="s">
        <v>306</v>
      </c>
      <c r="M462" s="93">
        <v>28</v>
      </c>
      <c r="N462" s="93">
        <v>60</v>
      </c>
      <c r="O462" s="6">
        <v>1</v>
      </c>
      <c r="P462" s="129">
        <v>1</v>
      </c>
      <c r="Q462" s="6">
        <v>0</v>
      </c>
      <c r="R462" s="98">
        <v>0.50049999999999994</v>
      </c>
      <c r="S462" s="94">
        <f>((Table3.110[[#This Row],[Sample weight, g]]*'2.1. DM'!Q187)/100)*1000</f>
        <v>453.99711928991366</v>
      </c>
      <c r="T462" s="94">
        <f>'3.2 Digest'!W462</f>
        <v>164.1971192899137</v>
      </c>
      <c r="U462" s="153">
        <v>0.40208333333333335</v>
      </c>
      <c r="V462" s="155">
        <v>40.5</v>
      </c>
      <c r="W462" s="153">
        <v>0.74583333333333335</v>
      </c>
      <c r="X462" s="91">
        <v>71.5</v>
      </c>
      <c r="Y462" s="91">
        <v>14.3</v>
      </c>
      <c r="Z462" s="154">
        <v>40</v>
      </c>
      <c r="AA462" s="153">
        <v>0.40763888888888888</v>
      </c>
      <c r="AB462" s="154">
        <v>71.5</v>
      </c>
      <c r="AC462" s="154">
        <v>17.399999999999999</v>
      </c>
      <c r="AD462" s="91"/>
      <c r="AE462" s="94">
        <f>Table3.110[[#This Row],[Gas 8h, ml]]-Table3.110[[#This Row],[Gas 0h, ml]]</f>
        <v>31</v>
      </c>
      <c r="AF462" s="94">
        <f>Table3.110[[#This Row],[Gas 24h, ml]]-Table3.110[[#This Row],[V8 Push back, ml]]</f>
        <v>31.5</v>
      </c>
      <c r="AG462" s="94">
        <f>Table3.110[[#This Row],[GP 8h, ml]]-(AVERAGE(AE$293,AE$294,AE$385,AE$386,AE$477,AE$478))*$AG$8</f>
        <v>29.746240428868305</v>
      </c>
      <c r="AH462" s="94">
        <f>Table3.110[[#This Row],[GP 8-24h, ml]]-(AVERAGE(AF$293,AF$294,AF$385,AF$386,AF$477,AF$478))*$AG$8</f>
        <v>29.508734798790837</v>
      </c>
      <c r="AI462" s="94">
        <f>Table3.110[[#This Row],[Net gas 8-24h, ml]]+Table3.110[[#This Row],[Net gas 8h, ml]]</f>
        <v>59.254975227659145</v>
      </c>
      <c r="AJ462" s="94">
        <f>Table3.110[[#This Row],[Net gas 8h, ml]]*Table3.110[[#This Row],[CH4 8h %]]%</f>
        <v>4.2537123813281683</v>
      </c>
      <c r="AK462" s="94">
        <f>Table3.110[[#This Row],[Net gas 8-24h, ml]]*Table3.110[[#This Row],[CH4 24h, %]]%</f>
        <v>5.1345198549896054</v>
      </c>
      <c r="AL462" s="94">
        <f>Table3.110[[#This Row],[CH4 8-24h, ml]]+Table3.110[[#This Row],[CH4 8h, ml]]</f>
        <v>9.3882322363177728</v>
      </c>
      <c r="AM462" s="94">
        <f>(Table3.110[[#This Row],[Net gas 24h, ml]]/Table3.110[[#This Row],[DM Incubated, mg]])*1000</f>
        <v>130.51839474298532</v>
      </c>
      <c r="AN462" s="94">
        <f>'3.2 Digest'!X462</f>
        <v>36.1669958493857</v>
      </c>
      <c r="AO462" s="94">
        <f>Table3.110[[#This Row],[Digested feed, mg]]/Table3.110[[#This Row],[Net gas 24h, ml]]</f>
        <v>2.7710267139436668</v>
      </c>
      <c r="AP462" s="94">
        <f>Table3.110[[#This Row],[CH4 8h, ml]]/Table3.110[[#This Row],[Net gas 8h, ml]]%</f>
        <v>14.300000000000002</v>
      </c>
      <c r="AQ462" s="94">
        <f>Table3.110[[#This Row],[CH4 24h, ml]]/Table3.110[[#This Row],[Net gas 24h, ml]]%</f>
        <v>15.843787294227939</v>
      </c>
      <c r="AR462" s="94">
        <f>Table3.110[[#This Row],[CH4 24h, ml]]/Table3.110[[#This Row],[DM Incubated, mg]]*1000</f>
        <v>20.679056842919373</v>
      </c>
      <c r="AS462" s="94">
        <f>Table3.110[[#This Row],[CH4 24h, ml]]/Table3.110[[#This Row],[Digested feed, mg]]*1000</f>
        <v>57.176595283267389</v>
      </c>
      <c r="AT462" s="94">
        <f>Table3.110[[#This Row],[CH4 24h, ml]]/'3.2 Digest'!AA462</f>
        <v>-0.98818270469161085</v>
      </c>
      <c r="AU462" s="94">
        <f>((Table3.110[[#This Row],[CH4 24h, ml]]/28.9)*16.04)/Table3.110[[#This Row],[DM Incubated, mg]]*1000</f>
        <v>11.477234316969785</v>
      </c>
      <c r="AV462" s="94">
        <f>((Table3.110[[#This Row],[CH4 24h, ml]]/28.9)*16.04)/Table3.110[[#This Row],[Digested feed, mg]]*1000</f>
        <v>31.733999596664674</v>
      </c>
      <c r="AW462" s="303"/>
    </row>
    <row r="463" spans="1:49" s="304" customFormat="1" x14ac:dyDescent="0.35">
      <c r="A463" s="89"/>
      <c r="B463" s="90">
        <f t="shared" si="7"/>
        <v>453</v>
      </c>
      <c r="C463" s="140">
        <v>46048</v>
      </c>
      <c r="D463" s="6" t="s">
        <v>16</v>
      </c>
      <c r="E463" s="6" t="s">
        <v>307</v>
      </c>
      <c r="F463" s="133" t="s">
        <v>212</v>
      </c>
      <c r="G463" s="133" t="s">
        <v>213</v>
      </c>
      <c r="H463" s="133" t="s">
        <v>214</v>
      </c>
      <c r="I463" s="133" t="s">
        <v>22</v>
      </c>
      <c r="J463" s="135" t="s">
        <v>23</v>
      </c>
      <c r="K463" s="135" t="s">
        <v>215</v>
      </c>
      <c r="L463" s="6" t="s">
        <v>306</v>
      </c>
      <c r="M463" s="93">
        <v>28</v>
      </c>
      <c r="N463" s="93">
        <v>60</v>
      </c>
      <c r="O463" s="6">
        <v>1</v>
      </c>
      <c r="P463" s="129">
        <v>2</v>
      </c>
      <c r="Q463" s="6">
        <v>0</v>
      </c>
      <c r="R463" s="98">
        <v>0.5</v>
      </c>
      <c r="S463" s="94">
        <f>((Table3.110[[#This Row],[Sample weight, g]]*'2.1. DM'!Q187)/100)*1000</f>
        <v>453.54357571419951</v>
      </c>
      <c r="T463" s="94">
        <f>'3.2 Digest'!W463</f>
        <v>185.34357571419952</v>
      </c>
      <c r="U463" s="117">
        <v>0.40208333333333335</v>
      </c>
      <c r="V463" s="155">
        <v>40</v>
      </c>
      <c r="W463" s="117">
        <v>0.74652777777777779</v>
      </c>
      <c r="X463" s="96">
        <v>72.5</v>
      </c>
      <c r="Y463" s="96">
        <v>14.8</v>
      </c>
      <c r="Z463" s="155">
        <v>40</v>
      </c>
      <c r="AA463" s="117">
        <v>0.40763888888888888</v>
      </c>
      <c r="AB463" s="155">
        <v>74</v>
      </c>
      <c r="AC463" s="155">
        <v>17.2</v>
      </c>
      <c r="AD463" s="96"/>
      <c r="AE463" s="94">
        <f>Table3.110[[#This Row],[Gas 8h, ml]]-Table3.110[[#This Row],[Gas 0h, ml]]</f>
        <v>32.5</v>
      </c>
      <c r="AF463" s="94">
        <f>Table3.110[[#This Row],[Gas 24h, ml]]-Table3.110[[#This Row],[V8 Push back, ml]]</f>
        <v>34</v>
      </c>
      <c r="AG463" s="94">
        <f>Table3.110[[#This Row],[GP 8h, ml]]-(AVERAGE(AE$293,AE$294,AE$385,AE$386,AE$477,AE$478))*$AG$8</f>
        <v>31.246240428868305</v>
      </c>
      <c r="AH463" s="94">
        <f>Table3.110[[#This Row],[GP 8-24h, ml]]-(AVERAGE(AF$293,AF$294,AF$385,AF$386,AF$477,AF$478))*$AG$8</f>
        <v>32.00873479879084</v>
      </c>
      <c r="AI463" s="94">
        <f>Table3.110[[#This Row],[Net gas 8-24h, ml]]+Table3.110[[#This Row],[Net gas 8h, ml]]</f>
        <v>63.254975227659145</v>
      </c>
      <c r="AJ463" s="94">
        <f>Table3.110[[#This Row],[Net gas 8h, ml]]*Table3.110[[#This Row],[CH4 8h %]]%</f>
        <v>4.6244435834725097</v>
      </c>
      <c r="AK463" s="94">
        <f>Table3.110[[#This Row],[Net gas 8-24h, ml]]*Table3.110[[#This Row],[CH4 24h, %]]%</f>
        <v>5.505502385392024</v>
      </c>
      <c r="AL463" s="94">
        <f>Table3.110[[#This Row],[CH4 8-24h, ml]]+Table3.110[[#This Row],[CH4 8h, ml]]</f>
        <v>10.129945968864533</v>
      </c>
      <c r="AM463" s="94">
        <f>(Table3.110[[#This Row],[Net gas 24h, ml]]/Table3.110[[#This Row],[DM Incubated, mg]])*1000</f>
        <v>139.4683523585378</v>
      </c>
      <c r="AN463" s="94">
        <f>'3.2 Digest'!X463</f>
        <v>40.86566002447222</v>
      </c>
      <c r="AO463" s="94">
        <f>Table3.110[[#This Row],[Digested feed, mg]]/Table3.110[[#This Row],[Net gas 24h, ml]]</f>
        <v>2.9301027317951647</v>
      </c>
      <c r="AP463" s="94">
        <f>Table3.110[[#This Row],[CH4 8h, ml]]/Table3.110[[#This Row],[Net gas 8h, ml]]%</f>
        <v>14.800000000000002</v>
      </c>
      <c r="AQ463" s="94">
        <f>Table3.110[[#This Row],[CH4 24h, ml]]/Table3.110[[#This Row],[Net gas 24h, ml]]%</f>
        <v>16.014465158520952</v>
      </c>
      <c r="AR463" s="94">
        <f>Table3.110[[#This Row],[CH4 24h, ml]]/Table3.110[[#This Row],[DM Incubated, mg]]*1000</f>
        <v>22.335110695621271</v>
      </c>
      <c r="AS463" s="94">
        <f>Table3.110[[#This Row],[CH4 24h, ml]]/Table3.110[[#This Row],[Digested feed, mg]]*1000</f>
        <v>54.654961359356456</v>
      </c>
      <c r="AT463" s="94">
        <f>Table3.110[[#This Row],[CH4 24h, ml]]/'3.2 Digest'!AA463</f>
        <v>-7.0331544087429361</v>
      </c>
      <c r="AU463" s="94">
        <f>((Table3.110[[#This Row],[CH4 24h, ml]]/28.9)*16.04)/Table3.110[[#This Row],[DM Incubated, mg]]*1000</f>
        <v>12.396372856670075</v>
      </c>
      <c r="AV463" s="94">
        <f>((Table3.110[[#This Row],[CH4 24h, ml]]/28.9)*16.04)/Table3.110[[#This Row],[Digested feed, mg]]*1000</f>
        <v>30.3344491420096</v>
      </c>
      <c r="AW463" s="303"/>
    </row>
    <row r="464" spans="1:49" s="304" customFormat="1" x14ac:dyDescent="0.35">
      <c r="A464" s="89"/>
      <c r="B464" s="90">
        <f t="shared" si="7"/>
        <v>454</v>
      </c>
      <c r="C464" s="140">
        <v>46048</v>
      </c>
      <c r="D464" s="6" t="s">
        <v>16</v>
      </c>
      <c r="E464" s="6" t="s">
        <v>307</v>
      </c>
      <c r="F464" s="133" t="s">
        <v>212</v>
      </c>
      <c r="G464" s="133" t="s">
        <v>213</v>
      </c>
      <c r="H464" s="133" t="s">
        <v>214</v>
      </c>
      <c r="I464" s="133" t="s">
        <v>22</v>
      </c>
      <c r="J464" s="135" t="s">
        <v>23</v>
      </c>
      <c r="K464" s="135" t="s">
        <v>215</v>
      </c>
      <c r="L464" s="6" t="s">
        <v>306</v>
      </c>
      <c r="M464" s="93">
        <v>28</v>
      </c>
      <c r="N464" s="93">
        <v>60</v>
      </c>
      <c r="O464" s="6">
        <v>1</v>
      </c>
      <c r="P464" s="129">
        <v>3</v>
      </c>
      <c r="Q464" s="6">
        <v>0</v>
      </c>
      <c r="R464" s="98">
        <v>0.50009999999999999</v>
      </c>
      <c r="S464" s="94">
        <f>((Table3.110[[#This Row],[Sample weight, g]]*'2.1. DM'!Q187)/100)*1000</f>
        <v>453.63428442934236</v>
      </c>
      <c r="T464" s="94">
        <f>'3.2 Digest'!W464</f>
        <v>176.93428442934231</v>
      </c>
      <c r="U464" s="153">
        <v>0.40277777777777779</v>
      </c>
      <c r="V464" s="155">
        <v>40</v>
      </c>
      <c r="W464" s="153">
        <v>0.74652777777777779</v>
      </c>
      <c r="X464" s="91">
        <v>72.5</v>
      </c>
      <c r="Y464" s="91">
        <v>14.9</v>
      </c>
      <c r="Z464" s="154">
        <v>39.5</v>
      </c>
      <c r="AA464" s="153">
        <v>0.40833333333333333</v>
      </c>
      <c r="AB464" s="154">
        <v>73.5</v>
      </c>
      <c r="AC464" s="154">
        <v>17.3</v>
      </c>
      <c r="AD464" s="91"/>
      <c r="AE464" s="94">
        <f>Table3.110[[#This Row],[Gas 8h, ml]]-Table3.110[[#This Row],[Gas 0h, ml]]</f>
        <v>32.5</v>
      </c>
      <c r="AF464" s="94">
        <f>Table3.110[[#This Row],[Gas 24h, ml]]-Table3.110[[#This Row],[V8 Push back, ml]]</f>
        <v>34</v>
      </c>
      <c r="AG464" s="94">
        <f>Table3.110[[#This Row],[GP 8h, ml]]-(AVERAGE(AE$293,AE$294,AE$385,AE$386,AE$477,AE$478))*$AG$8</f>
        <v>31.246240428868305</v>
      </c>
      <c r="AH464" s="94">
        <f>Table3.110[[#This Row],[GP 8-24h, ml]]-(AVERAGE(AF$293,AF$294,AF$385,AF$386,AF$477,AF$478))*$AG$8</f>
        <v>32.00873479879084</v>
      </c>
      <c r="AI464" s="94">
        <f>Table3.110[[#This Row],[Net gas 8-24h, ml]]+Table3.110[[#This Row],[Net gas 8h, ml]]</f>
        <v>63.254975227659145</v>
      </c>
      <c r="AJ464" s="94">
        <f>Table3.110[[#This Row],[Net gas 8h, ml]]*Table3.110[[#This Row],[CH4 8h %]]%</f>
        <v>4.6556898239013771</v>
      </c>
      <c r="AK464" s="94">
        <f>Table3.110[[#This Row],[Net gas 8-24h, ml]]*Table3.110[[#This Row],[CH4 24h, %]]%</f>
        <v>5.5375111201908158</v>
      </c>
      <c r="AL464" s="94">
        <f>Table3.110[[#This Row],[CH4 8-24h, ml]]+Table3.110[[#This Row],[CH4 8h, ml]]</f>
        <v>10.193200944092194</v>
      </c>
      <c r="AM464" s="94">
        <f>(Table3.110[[#This Row],[Net gas 24h, ml]]/Table3.110[[#This Row],[DM Incubated, mg]])*1000</f>
        <v>139.44046426568465</v>
      </c>
      <c r="AN464" s="94">
        <f>'3.2 Digest'!X464</f>
        <v>39.003728444361315</v>
      </c>
      <c r="AO464" s="94">
        <f>Table3.110[[#This Row],[Digested feed, mg]]/Table3.110[[#This Row],[Net gas 24h, ml]]</f>
        <v>2.7971599671416083</v>
      </c>
      <c r="AP464" s="94">
        <f>Table3.110[[#This Row],[CH4 8h, ml]]/Table3.110[[#This Row],[Net gas 8h, ml]]%</f>
        <v>14.899999999999999</v>
      </c>
      <c r="AQ464" s="94">
        <f>Table3.110[[#This Row],[CH4 24h, ml]]/Table3.110[[#This Row],[Net gas 24h, ml]]%</f>
        <v>16.114465158520954</v>
      </c>
      <c r="AR464" s="94">
        <f>Table3.110[[#This Row],[CH4 24h, ml]]/Table3.110[[#This Row],[DM Incubated, mg]]*1000</f>
        <v>22.470085030973618</v>
      </c>
      <c r="AS464" s="94">
        <f>Table3.110[[#This Row],[CH4 24h, ml]]/Table3.110[[#This Row],[Digested feed, mg]]*1000</f>
        <v>57.610095052905308</v>
      </c>
      <c r="AT464" s="94">
        <f>Table3.110[[#This Row],[CH4 24h, ml]]/'3.2 Digest'!AA464</f>
        <v>-2.1995074906032328</v>
      </c>
      <c r="AU464" s="94">
        <f>((Table3.110[[#This Row],[CH4 24h, ml]]/28.9)*16.04)/Table3.110[[#This Row],[DM Incubated, mg]]*1000</f>
        <v>12.47128594798674</v>
      </c>
      <c r="AV464" s="94">
        <f>((Table3.110[[#This Row],[CH4 24h, ml]]/28.9)*16.04)/Table3.110[[#This Row],[Digested feed, mg]]*1000</f>
        <v>31.974599468809725</v>
      </c>
      <c r="AW464" s="303"/>
    </row>
    <row r="465" spans="1:50" s="304" customFormat="1" x14ac:dyDescent="0.35">
      <c r="A465" s="89"/>
      <c r="B465" s="90">
        <f t="shared" si="7"/>
        <v>455</v>
      </c>
      <c r="C465" s="140">
        <v>46048</v>
      </c>
      <c r="D465" s="6" t="s">
        <v>16</v>
      </c>
      <c r="E465" s="6" t="s">
        <v>309</v>
      </c>
      <c r="F465" s="133" t="s">
        <v>212</v>
      </c>
      <c r="G465" s="133" t="s">
        <v>310</v>
      </c>
      <c r="H465" s="133" t="s">
        <v>311</v>
      </c>
      <c r="I465" s="133" t="s">
        <v>22</v>
      </c>
      <c r="J465" s="135" t="s">
        <v>23</v>
      </c>
      <c r="K465" s="135" t="s">
        <v>215</v>
      </c>
      <c r="L465" s="6" t="s">
        <v>308</v>
      </c>
      <c r="M465" s="93">
        <v>28</v>
      </c>
      <c r="N465" s="93">
        <v>60</v>
      </c>
      <c r="O465" s="6">
        <v>1</v>
      </c>
      <c r="P465" s="129">
        <v>1</v>
      </c>
      <c r="Q465" s="6">
        <v>0</v>
      </c>
      <c r="R465" s="98">
        <v>0.50029999999999997</v>
      </c>
      <c r="S465" s="94">
        <f>((Table3.110[[#This Row],[Sample weight, g]]*'2.1. DM'!Q189)/100)*1000</f>
        <v>463.32322088955482</v>
      </c>
      <c r="T465" s="94">
        <f>'3.2 Digest'!W465</f>
        <v>180.52322088955475</v>
      </c>
      <c r="U465" s="117">
        <v>0.40277777777777779</v>
      </c>
      <c r="V465" s="155">
        <v>40.5</v>
      </c>
      <c r="W465" s="117">
        <v>0.74722222222222223</v>
      </c>
      <c r="X465" s="96">
        <v>67</v>
      </c>
      <c r="Y465" s="96">
        <v>13.8</v>
      </c>
      <c r="Z465" s="155">
        <v>40</v>
      </c>
      <c r="AA465" s="117">
        <v>0.40902777777777777</v>
      </c>
      <c r="AB465" s="155">
        <v>74.5</v>
      </c>
      <c r="AC465" s="155">
        <v>16.5</v>
      </c>
      <c r="AD465" s="96"/>
      <c r="AE465" s="94">
        <f>Table3.110[[#This Row],[Gas 8h, ml]]-Table3.110[[#This Row],[Gas 0h, ml]]</f>
        <v>26.5</v>
      </c>
      <c r="AF465" s="94">
        <f>Table3.110[[#This Row],[Gas 24h, ml]]-Table3.110[[#This Row],[V8 Push back, ml]]</f>
        <v>34.5</v>
      </c>
      <c r="AG465" s="94">
        <f>Table3.110[[#This Row],[GP 8h, ml]]-(AVERAGE(AE$293,AE$294,AE$385,AE$386,AE$477,AE$478))*$AG$8</f>
        <v>25.246240428868305</v>
      </c>
      <c r="AH465" s="94">
        <f>Table3.110[[#This Row],[GP 8-24h, ml]]-(AVERAGE(AF$293,AF$294,AF$385,AF$386,AF$477,AF$478))*$AG$8</f>
        <v>32.50873479879084</v>
      </c>
      <c r="AI465" s="94">
        <f>Table3.110[[#This Row],[Net gas 8-24h, ml]]+Table3.110[[#This Row],[Net gas 8h, ml]]</f>
        <v>57.754975227659145</v>
      </c>
      <c r="AJ465" s="94">
        <f>Table3.110[[#This Row],[Net gas 8h, ml]]*Table3.110[[#This Row],[CH4 8h %]]%</f>
        <v>3.4839811791838264</v>
      </c>
      <c r="AK465" s="94">
        <f>Table3.110[[#This Row],[Net gas 8-24h, ml]]*Table3.110[[#This Row],[CH4 24h, %]]%</f>
        <v>5.3639412418004886</v>
      </c>
      <c r="AL465" s="94">
        <f>Table3.110[[#This Row],[CH4 8-24h, ml]]+Table3.110[[#This Row],[CH4 8h, ml]]</f>
        <v>8.8479224209843146</v>
      </c>
      <c r="AM465" s="94">
        <f>(Table3.110[[#This Row],[Net gas 24h, ml]]/Table3.110[[#This Row],[DM Incubated, mg]])*1000</f>
        <v>124.65374629135316</v>
      </c>
      <c r="AN465" s="94">
        <f>'3.2 Digest'!X465</f>
        <v>38.962696612304512</v>
      </c>
      <c r="AO465" s="94">
        <f>Table3.110[[#This Row],[Digested feed, mg]]/Table3.110[[#This Row],[Net gas 24h, ml]]</f>
        <v>3.1256739385302565</v>
      </c>
      <c r="AP465" s="94">
        <f>Table3.110[[#This Row],[CH4 8h, ml]]/Table3.110[[#This Row],[Net gas 8h, ml]]%</f>
        <v>13.8</v>
      </c>
      <c r="AQ465" s="94">
        <f>Table3.110[[#This Row],[CH4 24h, ml]]/Table3.110[[#This Row],[Net gas 24h, ml]]%</f>
        <v>15.319757970819802</v>
      </c>
      <c r="AR465" s="94">
        <f>Table3.110[[#This Row],[CH4 24h, ml]]/Table3.110[[#This Row],[DM Incubated, mg]]*1000</f>
        <v>19.096652233395069</v>
      </c>
      <c r="AS465" s="94">
        <f>Table3.110[[#This Row],[CH4 24h, ml]]/Table3.110[[#This Row],[Digested feed, mg]]*1000</f>
        <v>49.012655421196641</v>
      </c>
      <c r="AT465" s="94">
        <f>Table3.110[[#This Row],[CH4 24h, ml]]/'3.2 Digest'!AA465</f>
        <v>-3.4621917182055859</v>
      </c>
      <c r="AU465" s="94">
        <f>((Table3.110[[#This Row],[CH4 24h, ml]]/28.9)*16.04)/Table3.110[[#This Row],[DM Incubated, mg]]*1000</f>
        <v>10.598972381441417</v>
      </c>
      <c r="AV465" s="94">
        <f>((Table3.110[[#This Row],[CH4 24h, ml]]/28.9)*16.04)/Table3.110[[#This Row],[Digested feed, mg]]*1000</f>
        <v>27.202871728581112</v>
      </c>
      <c r="AW465" s="303"/>
    </row>
    <row r="466" spans="1:50" s="304" customFormat="1" x14ac:dyDescent="0.35">
      <c r="A466" s="89"/>
      <c r="B466" s="90">
        <f t="shared" si="7"/>
        <v>456</v>
      </c>
      <c r="C466" s="140">
        <v>46048</v>
      </c>
      <c r="D466" s="6" t="s">
        <v>16</v>
      </c>
      <c r="E466" s="6" t="s">
        <v>309</v>
      </c>
      <c r="F466" s="133" t="s">
        <v>212</v>
      </c>
      <c r="G466" s="133" t="s">
        <v>310</v>
      </c>
      <c r="H466" s="133" t="s">
        <v>311</v>
      </c>
      <c r="I466" s="133" t="s">
        <v>22</v>
      </c>
      <c r="J466" s="135" t="s">
        <v>23</v>
      </c>
      <c r="K466" s="135" t="s">
        <v>215</v>
      </c>
      <c r="L466" s="6" t="s">
        <v>308</v>
      </c>
      <c r="M466" s="93">
        <v>28</v>
      </c>
      <c r="N466" s="93">
        <v>60</v>
      </c>
      <c r="O466" s="6">
        <v>1</v>
      </c>
      <c r="P466" s="129">
        <v>2</v>
      </c>
      <c r="Q466" s="6">
        <v>0</v>
      </c>
      <c r="R466" s="98">
        <v>0.5</v>
      </c>
      <c r="S466" s="94">
        <f>((Table3.110[[#This Row],[Sample weight, g]]*'2.1. DM'!Q189)/100)*1000</f>
        <v>463.04539365336285</v>
      </c>
      <c r="T466" s="94">
        <f>'3.2 Digest'!W466</f>
        <v>114.64539365336282</v>
      </c>
      <c r="U466" s="153">
        <v>0.40277777777777779</v>
      </c>
      <c r="V466" s="155">
        <v>40.5</v>
      </c>
      <c r="W466" s="153">
        <v>0.74791666666666667</v>
      </c>
      <c r="X466" s="91">
        <v>69</v>
      </c>
      <c r="Y466" s="91">
        <v>12.8</v>
      </c>
      <c r="Z466" s="154">
        <v>39.5</v>
      </c>
      <c r="AA466" s="153">
        <v>0.40902777777777777</v>
      </c>
      <c r="AB466" s="154">
        <v>73.5</v>
      </c>
      <c r="AC466" s="154">
        <v>16.399999999999999</v>
      </c>
      <c r="AD466" s="91"/>
      <c r="AE466" s="94">
        <f>Table3.110[[#This Row],[Gas 8h, ml]]-Table3.110[[#This Row],[Gas 0h, ml]]</f>
        <v>28.5</v>
      </c>
      <c r="AF466" s="94">
        <f>Table3.110[[#This Row],[Gas 24h, ml]]-Table3.110[[#This Row],[V8 Push back, ml]]</f>
        <v>34</v>
      </c>
      <c r="AG466" s="94">
        <f>Table3.110[[#This Row],[GP 8h, ml]]-(AVERAGE(AE$293,AE$294,AE$385,AE$386,AE$477,AE$478))*$AG$8</f>
        <v>27.246240428868305</v>
      </c>
      <c r="AH466" s="94">
        <f>Table3.110[[#This Row],[GP 8-24h, ml]]-(AVERAGE(AF$293,AF$294,AF$385,AF$386,AF$477,AF$478))*$AG$8</f>
        <v>32.00873479879084</v>
      </c>
      <c r="AI466" s="94">
        <f>Table3.110[[#This Row],[Net gas 8-24h, ml]]+Table3.110[[#This Row],[Net gas 8h, ml]]</f>
        <v>59.254975227659145</v>
      </c>
      <c r="AJ466" s="94">
        <f>Table3.110[[#This Row],[Net gas 8h, ml]]*Table3.110[[#This Row],[CH4 8h %]]%</f>
        <v>3.4875187748951433</v>
      </c>
      <c r="AK466" s="94">
        <f>Table3.110[[#This Row],[Net gas 8-24h, ml]]*Table3.110[[#This Row],[CH4 24h, %]]%</f>
        <v>5.2494325070016972</v>
      </c>
      <c r="AL466" s="94">
        <f>Table3.110[[#This Row],[CH4 8-24h, ml]]+Table3.110[[#This Row],[CH4 8h, ml]]</f>
        <v>8.7369512818968396</v>
      </c>
      <c r="AM466" s="94">
        <f>(Table3.110[[#This Row],[Net gas 24h, ml]]/Table3.110[[#This Row],[DM Incubated, mg]])*1000</f>
        <v>127.96796175888015</v>
      </c>
      <c r="AN466" s="94">
        <f>'3.2 Digest'!X466</f>
        <v>24.75899668255564</v>
      </c>
      <c r="AO466" s="94">
        <f>Table3.110[[#This Row],[Digested feed, mg]]/Table3.110[[#This Row],[Net gas 24h, ml]]</f>
        <v>1.934780889079647</v>
      </c>
      <c r="AP466" s="94">
        <f>Table3.110[[#This Row],[CH4 8h, ml]]/Table3.110[[#This Row],[Net gas 8h, ml]]%</f>
        <v>12.8</v>
      </c>
      <c r="AQ466" s="94">
        <f>Table3.110[[#This Row],[CH4 24h, ml]]/Table3.110[[#This Row],[Net gas 24h, ml]]%</f>
        <v>14.744671225208089</v>
      </c>
      <c r="AR466" s="94">
        <f>Table3.110[[#This Row],[CH4 24h, ml]]/Table3.110[[#This Row],[DM Incubated, mg]]*1000</f>
        <v>18.868455234946893</v>
      </c>
      <c r="AS466" s="94">
        <f>Table3.110[[#This Row],[CH4 24h, ml]]/Table3.110[[#This Row],[Digested feed, mg]]*1000</f>
        <v>76.208480807467353</v>
      </c>
      <c r="AT466" s="94">
        <f>Table3.110[[#This Row],[CH4 24h, ml]]/'3.2 Digest'!AA466</f>
        <v>-0.33068451805168186</v>
      </c>
      <c r="AU466" s="94">
        <f>((Table3.110[[#This Row],[CH4 24h, ml]]/28.9)*16.04)/Table3.110[[#This Row],[DM Incubated, mg]]*1000</f>
        <v>10.472319099257723</v>
      </c>
      <c r="AV466" s="94">
        <f>((Table3.110[[#This Row],[CH4 24h, ml]]/28.9)*16.04)/Table3.110[[#This Row],[Digested feed, mg]]*1000</f>
        <v>42.297025333971497</v>
      </c>
      <c r="AW466" s="303"/>
    </row>
    <row r="467" spans="1:50" s="304" customFormat="1" x14ac:dyDescent="0.35">
      <c r="A467" s="89"/>
      <c r="B467" s="90">
        <f t="shared" si="7"/>
        <v>457</v>
      </c>
      <c r="C467" s="140">
        <v>46048</v>
      </c>
      <c r="D467" s="6" t="s">
        <v>16</v>
      </c>
      <c r="E467" s="6" t="s">
        <v>309</v>
      </c>
      <c r="F467" s="133" t="s">
        <v>212</v>
      </c>
      <c r="G467" s="133" t="s">
        <v>310</v>
      </c>
      <c r="H467" s="133" t="s">
        <v>311</v>
      </c>
      <c r="I467" s="133" t="s">
        <v>22</v>
      </c>
      <c r="J467" s="135" t="s">
        <v>23</v>
      </c>
      <c r="K467" s="135" t="s">
        <v>215</v>
      </c>
      <c r="L467" s="6" t="s">
        <v>308</v>
      </c>
      <c r="M467" s="93">
        <v>28</v>
      </c>
      <c r="N467" s="93">
        <v>60</v>
      </c>
      <c r="O467" s="6">
        <v>1</v>
      </c>
      <c r="P467" s="129">
        <v>3</v>
      </c>
      <c r="Q467" s="6">
        <v>0</v>
      </c>
      <c r="R467" s="98">
        <v>0.50029999999999997</v>
      </c>
      <c r="S467" s="94">
        <f>((Table3.110[[#This Row],[Sample weight, g]]*'2.1. DM'!Q189)/100)*1000</f>
        <v>463.32322088955482</v>
      </c>
      <c r="T467" s="94">
        <f>'3.2 Digest'!W467</f>
        <v>151.42322088955473</v>
      </c>
      <c r="U467" s="117">
        <v>0.40277777777777779</v>
      </c>
      <c r="V467" s="155">
        <v>40</v>
      </c>
      <c r="W467" s="117">
        <v>0.74791666666666667</v>
      </c>
      <c r="X467" s="96">
        <v>67.5</v>
      </c>
      <c r="Y467" s="96">
        <v>13.1</v>
      </c>
      <c r="Z467" s="155">
        <v>40</v>
      </c>
      <c r="AA467" s="117">
        <v>0.40972222222222221</v>
      </c>
      <c r="AB467" s="155">
        <v>74</v>
      </c>
      <c r="AC467" s="155">
        <v>16.399999999999999</v>
      </c>
      <c r="AD467" s="96"/>
      <c r="AE467" s="94">
        <f>Table3.110[[#This Row],[Gas 8h, ml]]-Table3.110[[#This Row],[Gas 0h, ml]]</f>
        <v>27.5</v>
      </c>
      <c r="AF467" s="94">
        <f>Table3.110[[#This Row],[Gas 24h, ml]]-Table3.110[[#This Row],[V8 Push back, ml]]</f>
        <v>34</v>
      </c>
      <c r="AG467" s="94">
        <f>Table3.110[[#This Row],[GP 8h, ml]]-(AVERAGE(AE$293,AE$294,AE$385,AE$386,AE$477,AE$478))*$AG$8</f>
        <v>26.246240428868305</v>
      </c>
      <c r="AH467" s="94">
        <f>Table3.110[[#This Row],[GP 8-24h, ml]]-(AVERAGE(AF$293,AF$294,AF$385,AF$386,AF$477,AF$478))*$AG$8</f>
        <v>32.00873479879084</v>
      </c>
      <c r="AI467" s="94">
        <f>Table3.110[[#This Row],[Net gas 8-24h, ml]]+Table3.110[[#This Row],[Net gas 8h, ml]]</f>
        <v>58.254975227659145</v>
      </c>
      <c r="AJ467" s="94">
        <f>Table3.110[[#This Row],[Net gas 8h, ml]]*Table3.110[[#This Row],[CH4 8h %]]%</f>
        <v>3.4382574961817483</v>
      </c>
      <c r="AK467" s="94">
        <f>Table3.110[[#This Row],[Net gas 8-24h, ml]]*Table3.110[[#This Row],[CH4 24h, %]]%</f>
        <v>5.2494325070016972</v>
      </c>
      <c r="AL467" s="94">
        <f>Table3.110[[#This Row],[CH4 8-24h, ml]]+Table3.110[[#This Row],[CH4 8h, ml]]</f>
        <v>8.6876900031834445</v>
      </c>
      <c r="AM467" s="94">
        <f>(Table3.110[[#This Row],[Net gas 24h, ml]]/Table3.110[[#This Row],[DM Incubated, mg]])*1000</f>
        <v>125.73290653512429</v>
      </c>
      <c r="AN467" s="94">
        <f>'3.2 Digest'!X467</f>
        <v>32.6819839935565</v>
      </c>
      <c r="AO467" s="94">
        <f>Table3.110[[#This Row],[Digested feed, mg]]/Table3.110[[#This Row],[Net gas 24h, ml]]</f>
        <v>2.5993182607630705</v>
      </c>
      <c r="AP467" s="94">
        <f>Table3.110[[#This Row],[CH4 8h, ml]]/Table3.110[[#This Row],[Net gas 8h, ml]]%</f>
        <v>13.100000000000001</v>
      </c>
      <c r="AQ467" s="94">
        <f>Table3.110[[#This Row],[CH4 24h, ml]]/Table3.110[[#This Row],[Net gas 24h, ml]]%</f>
        <v>14.91321551375165</v>
      </c>
      <c r="AR467" s="94">
        <f>Table3.110[[#This Row],[CH4 24h, ml]]/Table3.110[[#This Row],[DM Incubated, mg]]*1000</f>
        <v>18.750819323287022</v>
      </c>
      <c r="AS467" s="94">
        <f>Table3.110[[#This Row],[CH4 24h, ml]]/Table3.110[[#This Row],[Digested feed, mg]]*1000</f>
        <v>57.373564979971491</v>
      </c>
      <c r="AT467" s="94">
        <f>Table3.110[[#This Row],[CH4 24h, ml]]/'3.2 Digest'!AA467</f>
        <v>-0.66275189270248791</v>
      </c>
      <c r="AU467" s="94">
        <f>((Table3.110[[#This Row],[CH4 24h, ml]]/28.9)*16.04)/Table3.110[[#This Row],[DM Incubated, mg]]*1000</f>
        <v>10.407029133063105</v>
      </c>
      <c r="AV467" s="94">
        <f>((Table3.110[[#This Row],[CH4 24h, ml]]/28.9)*16.04)/Table3.110[[#This Row],[Digested feed, mg]]*1000</f>
        <v>31.843321186115666</v>
      </c>
      <c r="AW467" s="303"/>
    </row>
    <row r="468" spans="1:50" s="304" customFormat="1" x14ac:dyDescent="0.35">
      <c r="A468" s="89"/>
      <c r="B468" s="90">
        <f t="shared" si="7"/>
        <v>458</v>
      </c>
      <c r="C468" s="140">
        <v>46048</v>
      </c>
      <c r="D468" s="6" t="s">
        <v>16</v>
      </c>
      <c r="E468" s="6" t="s">
        <v>313</v>
      </c>
      <c r="F468" s="133" t="s">
        <v>290</v>
      </c>
      <c r="G468" s="133" t="s">
        <v>314</v>
      </c>
      <c r="H468" s="133" t="s">
        <v>315</v>
      </c>
      <c r="I468" s="133" t="s">
        <v>22</v>
      </c>
      <c r="J468" s="135" t="s">
        <v>23</v>
      </c>
      <c r="K468" s="135" t="s">
        <v>215</v>
      </c>
      <c r="L468" s="6" t="s">
        <v>312</v>
      </c>
      <c r="M468" s="93">
        <v>28</v>
      </c>
      <c r="N468" s="93">
        <v>60</v>
      </c>
      <c r="O468" s="6">
        <v>1</v>
      </c>
      <c r="P468" s="129">
        <v>1</v>
      </c>
      <c r="Q468" s="6">
        <v>0</v>
      </c>
      <c r="R468" s="98">
        <v>0.50049999999999994</v>
      </c>
      <c r="S468" s="94">
        <f>((Table3.110[[#This Row],[Sample weight, g]]*'2.1. DM'!Q191)/100)*1000</f>
        <v>449.58697595354431</v>
      </c>
      <c r="T468" s="94">
        <f>'3.2 Digest'!W468</f>
        <v>169.18697595354422</v>
      </c>
      <c r="U468" s="153">
        <v>0.40277777777777779</v>
      </c>
      <c r="V468" s="155">
        <v>41</v>
      </c>
      <c r="W468" s="153">
        <v>0.74861111111111112</v>
      </c>
      <c r="X468" s="91">
        <v>65</v>
      </c>
      <c r="Y468" s="91">
        <v>12.3</v>
      </c>
      <c r="Z468" s="154">
        <v>40.5</v>
      </c>
      <c r="AA468" s="153">
        <v>0.40972222222222221</v>
      </c>
      <c r="AB468" s="154">
        <v>77.5</v>
      </c>
      <c r="AC468" s="154">
        <v>16</v>
      </c>
      <c r="AD468" s="91"/>
      <c r="AE468" s="94">
        <f>Table3.110[[#This Row],[Gas 8h, ml]]-Table3.110[[#This Row],[Gas 0h, ml]]</f>
        <v>24</v>
      </c>
      <c r="AF468" s="94">
        <f>Table3.110[[#This Row],[Gas 24h, ml]]-Table3.110[[#This Row],[V8 Push back, ml]]</f>
        <v>37</v>
      </c>
      <c r="AG468" s="94">
        <f>Table3.110[[#This Row],[GP 8h, ml]]-(AVERAGE(AE$293,AE$294,AE$385,AE$386,AE$477,AE$478))*$AG$8</f>
        <v>22.746240428868305</v>
      </c>
      <c r="AH468" s="94">
        <f>Table3.110[[#This Row],[GP 8-24h, ml]]-(AVERAGE(AF$293,AF$294,AF$385,AF$386,AF$477,AF$478))*$AG$8</f>
        <v>35.00873479879084</v>
      </c>
      <c r="AI468" s="94">
        <f>Table3.110[[#This Row],[Net gas 8-24h, ml]]+Table3.110[[#This Row],[Net gas 8h, ml]]</f>
        <v>57.754975227659145</v>
      </c>
      <c r="AJ468" s="94">
        <f>Table3.110[[#This Row],[Net gas 8h, ml]]*Table3.110[[#This Row],[CH4 8h %]]%</f>
        <v>2.7977875727508019</v>
      </c>
      <c r="AK468" s="94">
        <f>Table3.110[[#This Row],[Net gas 8-24h, ml]]*Table3.110[[#This Row],[CH4 24h, %]]%</f>
        <v>5.6013975678065346</v>
      </c>
      <c r="AL468" s="94">
        <f>Table3.110[[#This Row],[CH4 8-24h, ml]]+Table3.110[[#This Row],[CH4 8h, ml]]</f>
        <v>8.3991851405573357</v>
      </c>
      <c r="AM468" s="94">
        <f>(Table3.110[[#This Row],[Net gas 24h, ml]]/Table3.110[[#This Row],[DM Incubated, mg]])*1000</f>
        <v>128.46229610002527</v>
      </c>
      <c r="AN468" s="94">
        <f>'3.2 Digest'!X468</f>
        <v>37.631645266126718</v>
      </c>
      <c r="AO468" s="94">
        <f>Table3.110[[#This Row],[Digested feed, mg]]/Table3.110[[#This Row],[Net gas 24h, ml]]</f>
        <v>2.9293922348099239</v>
      </c>
      <c r="AP468" s="94">
        <f>Table3.110[[#This Row],[CH4 8h, ml]]/Table3.110[[#This Row],[Net gas 8h, ml]]%</f>
        <v>12.3</v>
      </c>
      <c r="AQ468" s="94">
        <f>Table3.110[[#This Row],[CH4 24h, ml]]/Table3.110[[#This Row],[Net gas 24h, ml]]%</f>
        <v>14.54279065560905</v>
      </c>
      <c r="AR468" s="94">
        <f>Table3.110[[#This Row],[CH4 24h, ml]]/Table3.110[[#This Row],[DM Incubated, mg]]*1000</f>
        <v>18.682002793215304</v>
      </c>
      <c r="AS468" s="94">
        <f>Table3.110[[#This Row],[CH4 24h, ml]]/Table3.110[[#This Row],[Digested feed, mg]]*1000</f>
        <v>49.644395457860803</v>
      </c>
      <c r="AT468" s="94">
        <f>Table3.110[[#This Row],[CH4 24h, ml]]/'3.2 Digest'!AA468</f>
        <v>-0.33807268763504067</v>
      </c>
      <c r="AU468" s="94">
        <f>((Table3.110[[#This Row],[CH4 24h, ml]]/28.9)*16.04)/Table3.110[[#This Row],[DM Incubated, mg]]*1000</f>
        <v>10.368834768275896</v>
      </c>
      <c r="AV468" s="94">
        <f>((Table3.110[[#This Row],[CH4 24h, ml]]/28.9)*16.04)/Table3.110[[#This Row],[Digested feed, mg]]*1000</f>
        <v>27.55349837868814</v>
      </c>
      <c r="AW468" s="303"/>
    </row>
    <row r="469" spans="1:50" s="304" customFormat="1" x14ac:dyDescent="0.35">
      <c r="A469" s="89"/>
      <c r="B469" s="90">
        <f t="shared" si="7"/>
        <v>459</v>
      </c>
      <c r="C469" s="140">
        <v>46048</v>
      </c>
      <c r="D469" s="6" t="s">
        <v>16</v>
      </c>
      <c r="E469" s="6" t="s">
        <v>313</v>
      </c>
      <c r="F469" s="133" t="s">
        <v>290</v>
      </c>
      <c r="G469" s="133" t="s">
        <v>314</v>
      </c>
      <c r="H469" s="133" t="s">
        <v>315</v>
      </c>
      <c r="I469" s="133" t="s">
        <v>22</v>
      </c>
      <c r="J469" s="135" t="s">
        <v>23</v>
      </c>
      <c r="K469" s="135" t="s">
        <v>215</v>
      </c>
      <c r="L469" s="6" t="s">
        <v>312</v>
      </c>
      <c r="M469" s="93">
        <v>28</v>
      </c>
      <c r="N469" s="93">
        <v>60</v>
      </c>
      <c r="O469" s="6">
        <v>1</v>
      </c>
      <c r="P469" s="129">
        <v>2</v>
      </c>
      <c r="Q469" s="6">
        <v>0</v>
      </c>
      <c r="R469" s="98">
        <v>0.5</v>
      </c>
      <c r="S469" s="94">
        <f>((Table3.110[[#This Row],[Sample weight, g]]*'2.1. DM'!Q191)/100)*1000</f>
        <v>449.13783811542891</v>
      </c>
      <c r="T469" s="94">
        <f>'3.2 Digest'!W469</f>
        <v>215.33783811542889</v>
      </c>
      <c r="U469" s="117">
        <v>0.40347222222222223</v>
      </c>
      <c r="V469" s="155">
        <v>40.5</v>
      </c>
      <c r="W469" s="117">
        <v>0.74930555555555556</v>
      </c>
      <c r="X469" s="96">
        <v>62</v>
      </c>
      <c r="Y469" s="96">
        <v>12.9</v>
      </c>
      <c r="Z469" s="155">
        <v>40</v>
      </c>
      <c r="AA469" s="117">
        <v>0.41041666666666665</v>
      </c>
      <c r="AB469" s="155">
        <v>80</v>
      </c>
      <c r="AC469" s="155">
        <v>15.7</v>
      </c>
      <c r="AD469" s="96"/>
      <c r="AE469" s="94">
        <f>Table3.110[[#This Row],[Gas 8h, ml]]-Table3.110[[#This Row],[Gas 0h, ml]]</f>
        <v>21.5</v>
      </c>
      <c r="AF469" s="94">
        <f>Table3.110[[#This Row],[Gas 24h, ml]]-Table3.110[[#This Row],[V8 Push back, ml]]</f>
        <v>40</v>
      </c>
      <c r="AG469" s="94">
        <f>Table3.110[[#This Row],[GP 8h, ml]]-(AVERAGE(AE$293,AE$294,AE$385,AE$386,AE$477,AE$478))*$AG$8</f>
        <v>20.246240428868305</v>
      </c>
      <c r="AH469" s="94">
        <f>Table3.110[[#This Row],[GP 8-24h, ml]]-(AVERAGE(AF$293,AF$294,AF$385,AF$386,AF$477,AF$478))*$AG$8</f>
        <v>38.00873479879084</v>
      </c>
      <c r="AI469" s="94">
        <f>Table3.110[[#This Row],[Net gas 8-24h, ml]]+Table3.110[[#This Row],[Net gas 8h, ml]]</f>
        <v>58.254975227659145</v>
      </c>
      <c r="AJ469" s="94">
        <f>Table3.110[[#This Row],[Net gas 8h, ml]]*Table3.110[[#This Row],[CH4 8h %]]%</f>
        <v>2.6117650153240115</v>
      </c>
      <c r="AK469" s="94">
        <f>Table3.110[[#This Row],[Net gas 8-24h, ml]]*Table3.110[[#This Row],[CH4 24h, %]]%</f>
        <v>5.9673713634101615</v>
      </c>
      <c r="AL469" s="94">
        <f>Table3.110[[#This Row],[CH4 8-24h, ml]]+Table3.110[[#This Row],[CH4 8h, ml]]</f>
        <v>8.579136378734173</v>
      </c>
      <c r="AM469" s="94">
        <f>(Table3.110[[#This Row],[Net gas 24h, ml]]/Table3.110[[#This Row],[DM Incubated, mg]])*1000</f>
        <v>129.70400238843283</v>
      </c>
      <c r="AN469" s="94">
        <f>'3.2 Digest'!X469</f>
        <v>47.944710919699183</v>
      </c>
      <c r="AO469" s="94">
        <f>Table3.110[[#This Row],[Digested feed, mg]]/Table3.110[[#This Row],[Net gas 24h, ml]]</f>
        <v>3.6964711987927799</v>
      </c>
      <c r="AP469" s="94">
        <f>Table3.110[[#This Row],[CH4 8h, ml]]/Table3.110[[#This Row],[Net gas 8h, ml]]%</f>
        <v>12.900000000000002</v>
      </c>
      <c r="AQ469" s="94">
        <f>Table3.110[[#This Row],[CH4 24h, ml]]/Table3.110[[#This Row],[Net gas 24h, ml]]%</f>
        <v>14.726873275985612</v>
      </c>
      <c r="AR469" s="94">
        <f>Table3.110[[#This Row],[CH4 24h, ml]]/Table3.110[[#This Row],[DM Incubated, mg]]*1000</f>
        <v>19.101344065625856</v>
      </c>
      <c r="AS469" s="94">
        <f>Table3.110[[#This Row],[CH4 24h, ml]]/Table3.110[[#This Row],[Digested feed, mg]]*1000</f>
        <v>39.840357151423824</v>
      </c>
      <c r="AT469" s="94">
        <f>Table3.110[[#This Row],[CH4 24h, ml]]/'3.2 Digest'!AA469</f>
        <v>-2.042460746648818</v>
      </c>
      <c r="AU469" s="94">
        <f>((Table3.110[[#This Row],[CH4 24h, ml]]/28.9)*16.04)/Table3.110[[#This Row],[DM Incubated, mg]]*1000</f>
        <v>10.601576429503067</v>
      </c>
      <c r="AV469" s="94">
        <f>((Table3.110[[#This Row],[CH4 24h, ml]]/28.9)*16.04)/Table3.110[[#This Row],[Digested feed, mg]]*1000</f>
        <v>22.112087498575711</v>
      </c>
      <c r="AW469" s="303"/>
    </row>
    <row r="470" spans="1:50" s="304" customFormat="1" x14ac:dyDescent="0.35">
      <c r="A470" s="89"/>
      <c r="B470" s="90">
        <f t="shared" si="7"/>
        <v>460</v>
      </c>
      <c r="C470" s="140">
        <v>46048</v>
      </c>
      <c r="D470" s="6" t="s">
        <v>16</v>
      </c>
      <c r="E470" s="6" t="s">
        <v>313</v>
      </c>
      <c r="F470" s="133" t="s">
        <v>290</v>
      </c>
      <c r="G470" s="133" t="s">
        <v>314</v>
      </c>
      <c r="H470" s="133" t="s">
        <v>315</v>
      </c>
      <c r="I470" s="133" t="s">
        <v>22</v>
      </c>
      <c r="J470" s="135" t="s">
        <v>23</v>
      </c>
      <c r="K470" s="135" t="s">
        <v>215</v>
      </c>
      <c r="L470" s="6" t="s">
        <v>312</v>
      </c>
      <c r="M470" s="93">
        <v>28</v>
      </c>
      <c r="N470" s="93">
        <v>60</v>
      </c>
      <c r="O470" s="6">
        <v>1</v>
      </c>
      <c r="P470" s="129">
        <v>3</v>
      </c>
      <c r="Q470" s="6">
        <v>0</v>
      </c>
      <c r="R470" s="98">
        <v>0.50019999999999998</v>
      </c>
      <c r="S470" s="94">
        <f>((Table3.110[[#This Row],[Sample weight, g]]*'2.1. DM'!Q191)/100)*1000</f>
        <v>449.31749325067506</v>
      </c>
      <c r="T470" s="94">
        <f>'3.2 Digest'!W470</f>
        <v>190.71749325067509</v>
      </c>
      <c r="U470" s="153">
        <v>0.40347222222222223</v>
      </c>
      <c r="V470" s="155">
        <v>41</v>
      </c>
      <c r="W470" s="153">
        <v>0.74930555555555556</v>
      </c>
      <c r="X470" s="91">
        <v>63</v>
      </c>
      <c r="Y470" s="91">
        <v>12.2</v>
      </c>
      <c r="Z470" s="154">
        <v>40</v>
      </c>
      <c r="AA470" s="153">
        <v>0.41111111111111109</v>
      </c>
      <c r="AB470" s="154">
        <v>78</v>
      </c>
      <c r="AC470" s="154">
        <v>15.4</v>
      </c>
      <c r="AD470" s="91"/>
      <c r="AE470" s="94">
        <f>Table3.110[[#This Row],[Gas 8h, ml]]-Table3.110[[#This Row],[Gas 0h, ml]]</f>
        <v>22</v>
      </c>
      <c r="AF470" s="94">
        <f>Table3.110[[#This Row],[Gas 24h, ml]]-Table3.110[[#This Row],[V8 Push back, ml]]</f>
        <v>38</v>
      </c>
      <c r="AG470" s="94">
        <f>Table3.110[[#This Row],[GP 8h, ml]]-(AVERAGE(AE$293,AE$294,AE$385,AE$386,AE$477,AE$478))*$AG$8</f>
        <v>20.746240428868305</v>
      </c>
      <c r="AH470" s="94">
        <f>Table3.110[[#This Row],[GP 8-24h, ml]]-(AVERAGE(AF$293,AF$294,AF$385,AF$386,AF$477,AF$478))*$AG$8</f>
        <v>36.00873479879084</v>
      </c>
      <c r="AI470" s="94">
        <f>Table3.110[[#This Row],[Net gas 8-24h, ml]]+Table3.110[[#This Row],[Net gas 8h, ml]]</f>
        <v>56.754975227659145</v>
      </c>
      <c r="AJ470" s="94">
        <f>Table3.110[[#This Row],[Net gas 8h, ml]]*Table3.110[[#This Row],[CH4 8h %]]%</f>
        <v>2.5310413323219332</v>
      </c>
      <c r="AK470" s="94">
        <f>Table3.110[[#This Row],[Net gas 8-24h, ml]]*Table3.110[[#This Row],[CH4 24h, %]]%</f>
        <v>5.545345159013789</v>
      </c>
      <c r="AL470" s="94">
        <f>Table3.110[[#This Row],[CH4 8-24h, ml]]+Table3.110[[#This Row],[CH4 8h, ml]]</f>
        <v>8.0763864913357217</v>
      </c>
      <c r="AM470" s="94">
        <f>(Table3.110[[#This Row],[Net gas 24h, ml]]/Table3.110[[#This Row],[DM Incubated, mg]])*1000</f>
        <v>126.31374491354477</v>
      </c>
      <c r="AN470" s="94">
        <f>'3.2 Digest'!X470</f>
        <v>42.446042300933392</v>
      </c>
      <c r="AO470" s="94">
        <f>Table3.110[[#This Row],[Digested feed, mg]]/Table3.110[[#This Row],[Net gas 24h, ml]]</f>
        <v>3.3603660733822371</v>
      </c>
      <c r="AP470" s="94">
        <f>Table3.110[[#This Row],[CH4 8h, ml]]/Table3.110[[#This Row],[Net gas 8h, ml]]%</f>
        <v>12.200000000000001</v>
      </c>
      <c r="AQ470" s="94">
        <f>Table3.110[[#This Row],[CH4 24h, ml]]/Table3.110[[#This Row],[Net gas 24h, ml]]%</f>
        <v>14.230270489836723</v>
      </c>
      <c r="AR470" s="94">
        <f>Table3.110[[#This Row],[CH4 24h, ml]]/Table3.110[[#This Row],[DM Incubated, mg]]*1000</f>
        <v>17.974787567039797</v>
      </c>
      <c r="AS470" s="94">
        <f>Table3.110[[#This Row],[CH4 24h, ml]]/Table3.110[[#This Row],[Digested feed, mg]]*1000</f>
        <v>42.347381740804906</v>
      </c>
      <c r="AT470" s="94">
        <f>Table3.110[[#This Row],[CH4 24h, ml]]/'3.2 Digest'!AA470</f>
        <v>-0.53108906399831834</v>
      </c>
      <c r="AU470" s="94">
        <f>((Table3.110[[#This Row],[CH4 24h, ml]]/28.9)*16.04)/Table3.110[[#This Row],[DM Incubated, mg]]*1000</f>
        <v>9.9763180821909447</v>
      </c>
      <c r="AV470" s="94">
        <f>((Table3.110[[#This Row],[CH4 24h, ml]]/28.9)*16.04)/Table3.110[[#This Row],[Digested feed, mg]]*1000</f>
        <v>23.503529519810058</v>
      </c>
      <c r="AW470" s="303"/>
    </row>
    <row r="471" spans="1:50" s="304" customFormat="1" x14ac:dyDescent="0.35">
      <c r="A471" s="89"/>
      <c r="B471" s="90">
        <f t="shared" si="7"/>
        <v>461</v>
      </c>
      <c r="C471" s="140">
        <v>46048</v>
      </c>
      <c r="D471" s="6" t="s">
        <v>16</v>
      </c>
      <c r="E471" s="6" t="s">
        <v>317</v>
      </c>
      <c r="F471" s="133" t="s">
        <v>290</v>
      </c>
      <c r="G471" s="133" t="s">
        <v>318</v>
      </c>
      <c r="H471" s="133" t="s">
        <v>319</v>
      </c>
      <c r="I471" s="133" t="s">
        <v>22</v>
      </c>
      <c r="J471" s="135" t="s">
        <v>23</v>
      </c>
      <c r="K471" s="135" t="s">
        <v>215</v>
      </c>
      <c r="L471" s="6" t="s">
        <v>316</v>
      </c>
      <c r="M471" s="93">
        <v>28</v>
      </c>
      <c r="N471" s="93">
        <v>60</v>
      </c>
      <c r="O471" s="6">
        <v>1</v>
      </c>
      <c r="P471" s="129">
        <v>1</v>
      </c>
      <c r="Q471" s="6">
        <v>0</v>
      </c>
      <c r="R471" s="98">
        <v>0.50019999999999998</v>
      </c>
      <c r="S471" s="94">
        <f>((Table3.110[[#This Row],[Sample weight, g]]*'2.1. DM'!Q193)/100)*1000</f>
        <v>451.89522950553499</v>
      </c>
      <c r="T471" s="94">
        <f>'3.2 Digest'!W471</f>
        <v>171.19522950553505</v>
      </c>
      <c r="U471" s="117">
        <v>0.40416666666666667</v>
      </c>
      <c r="V471" s="155">
        <v>41</v>
      </c>
      <c r="W471" s="117">
        <v>0.75</v>
      </c>
      <c r="X471" s="96">
        <v>65</v>
      </c>
      <c r="Y471" s="96">
        <v>12.7</v>
      </c>
      <c r="Z471" s="155">
        <v>40</v>
      </c>
      <c r="AA471" s="117">
        <v>0.41111111111111109</v>
      </c>
      <c r="AB471" s="155">
        <v>70</v>
      </c>
      <c r="AC471" s="155">
        <v>14.9</v>
      </c>
      <c r="AD471" s="96"/>
      <c r="AE471" s="94">
        <f>Table3.110[[#This Row],[Gas 8h, ml]]-Table3.110[[#This Row],[Gas 0h, ml]]</f>
        <v>24</v>
      </c>
      <c r="AF471" s="94">
        <f>Table3.110[[#This Row],[Gas 24h, ml]]-Table3.110[[#This Row],[V8 Push back, ml]]</f>
        <v>30</v>
      </c>
      <c r="AG471" s="94">
        <f>Table3.110[[#This Row],[GP 8h, ml]]-(AVERAGE(AE$293,AE$294,AE$385,AE$386,AE$477,AE$478))*$AG$8</f>
        <v>22.746240428868305</v>
      </c>
      <c r="AH471" s="94">
        <f>Table3.110[[#This Row],[GP 8-24h, ml]]-(AVERAGE(AF$293,AF$294,AF$385,AF$386,AF$477,AF$478))*$AG$8</f>
        <v>28.008734798790837</v>
      </c>
      <c r="AI471" s="94">
        <f>Table3.110[[#This Row],[Net gas 8-24h, ml]]+Table3.110[[#This Row],[Net gas 8h, ml]]</f>
        <v>50.754975227659145</v>
      </c>
      <c r="AJ471" s="94">
        <f>Table3.110[[#This Row],[Net gas 8h, ml]]*Table3.110[[#This Row],[CH4 8h %]]%</f>
        <v>2.8887725344662747</v>
      </c>
      <c r="AK471" s="94">
        <f>Table3.110[[#This Row],[Net gas 8-24h, ml]]*Table3.110[[#This Row],[CH4 24h, %]]%</f>
        <v>4.1733014850198344</v>
      </c>
      <c r="AL471" s="94">
        <f>Table3.110[[#This Row],[CH4 8-24h, ml]]+Table3.110[[#This Row],[CH4 8h, ml]]</f>
        <v>7.0620740194861096</v>
      </c>
      <c r="AM471" s="94">
        <f>(Table3.110[[#This Row],[Net gas 24h, ml]]/Table3.110[[#This Row],[DM Incubated, mg]])*1000</f>
        <v>112.31580223406071</v>
      </c>
      <c r="AN471" s="94">
        <f>'3.2 Digest'!X471</f>
        <v>37.883831987528907</v>
      </c>
      <c r="AO471" s="94">
        <f>Table3.110[[#This Row],[Digested feed, mg]]/Table3.110[[#This Row],[Net gas 24h, ml]]</f>
        <v>3.3729743485765997</v>
      </c>
      <c r="AP471" s="94">
        <f>Table3.110[[#This Row],[CH4 8h, ml]]/Table3.110[[#This Row],[Net gas 8h, ml]]%</f>
        <v>12.7</v>
      </c>
      <c r="AQ471" s="94">
        <f>Table3.110[[#This Row],[CH4 24h, ml]]/Table3.110[[#This Row],[Net gas 24h, ml]]%</f>
        <v>13.914052736326823</v>
      </c>
      <c r="AR471" s="94">
        <f>Table3.110[[#This Row],[CH4 24h, ml]]/Table3.110[[#This Row],[DM Incubated, mg]]*1000</f>
        <v>15.627679954075751</v>
      </c>
      <c r="AS471" s="94">
        <f>Table3.110[[#This Row],[CH4 24h, ml]]/Table3.110[[#This Row],[Digested feed, mg]]*1000</f>
        <v>41.251581833696946</v>
      </c>
      <c r="AT471" s="94">
        <f>Table3.110[[#This Row],[CH4 24h, ml]]/'3.2 Digest'!AA471</f>
        <v>-0.24338053727258477</v>
      </c>
      <c r="AU471" s="94">
        <f>((Table3.110[[#This Row],[CH4 24h, ml]]/28.9)*16.04)/Table3.110[[#This Row],[DM Incubated, mg]]*1000</f>
        <v>8.6736327495977523</v>
      </c>
      <c r="AV471" s="94">
        <f>((Table3.110[[#This Row],[CH4 24h, ml]]/28.9)*16.04)/Table3.110[[#This Row],[Digested feed, mg]]*1000</f>
        <v>22.895341612889244</v>
      </c>
      <c r="AW471" s="303"/>
      <c r="AX471" s="306"/>
    </row>
    <row r="472" spans="1:50" s="304" customFormat="1" x14ac:dyDescent="0.35">
      <c r="A472" s="89"/>
      <c r="B472" s="90">
        <f t="shared" si="7"/>
        <v>462</v>
      </c>
      <c r="C472" s="140">
        <v>46048</v>
      </c>
      <c r="D472" s="6" t="s">
        <v>16</v>
      </c>
      <c r="E472" s="6" t="s">
        <v>317</v>
      </c>
      <c r="F472" s="133" t="s">
        <v>290</v>
      </c>
      <c r="G472" s="133" t="s">
        <v>318</v>
      </c>
      <c r="H472" s="133" t="s">
        <v>319</v>
      </c>
      <c r="I472" s="133" t="s">
        <v>22</v>
      </c>
      <c r="J472" s="135" t="s">
        <v>23</v>
      </c>
      <c r="K472" s="135" t="s">
        <v>215</v>
      </c>
      <c r="L472" s="6" t="s">
        <v>316</v>
      </c>
      <c r="M472" s="93">
        <v>28</v>
      </c>
      <c r="N472" s="93">
        <v>60</v>
      </c>
      <c r="O472" s="6">
        <v>1</v>
      </c>
      <c r="P472" s="129">
        <v>2</v>
      </c>
      <c r="Q472" s="6">
        <v>0</v>
      </c>
      <c r="R472" s="98">
        <v>0.50029999999999997</v>
      </c>
      <c r="S472" s="94">
        <f>((Table3.110[[#This Row],[Sample weight, g]]*'2.1. DM'!Q193)/100)*1000</f>
        <v>451.98557241427261</v>
      </c>
      <c r="T472" s="94">
        <f>'3.2 Digest'!W472</f>
        <v>187.1855724142726</v>
      </c>
      <c r="U472" s="153">
        <v>0.40416666666666667</v>
      </c>
      <c r="V472" s="155">
        <v>41.5</v>
      </c>
      <c r="W472" s="153">
        <v>0.75</v>
      </c>
      <c r="X472" s="91">
        <v>65.5</v>
      </c>
      <c r="Y472" s="91">
        <v>12</v>
      </c>
      <c r="Z472" s="154">
        <v>40</v>
      </c>
      <c r="AA472" s="153">
        <v>0.41111111111111109</v>
      </c>
      <c r="AB472" s="154">
        <v>65.5</v>
      </c>
      <c r="AC472" s="154">
        <v>15.1</v>
      </c>
      <c r="AD472" s="91"/>
      <c r="AE472" s="94">
        <f>Table3.110[[#This Row],[Gas 8h, ml]]-Table3.110[[#This Row],[Gas 0h, ml]]</f>
        <v>24</v>
      </c>
      <c r="AF472" s="94">
        <f>Table3.110[[#This Row],[Gas 24h, ml]]-Table3.110[[#This Row],[V8 Push back, ml]]</f>
        <v>25.5</v>
      </c>
      <c r="AG472" s="94">
        <f>Table3.110[[#This Row],[GP 8h, ml]]-(AVERAGE(AE$293,AE$294,AE$385,AE$386,AE$477,AE$478))*$AG$8</f>
        <v>22.746240428868305</v>
      </c>
      <c r="AH472" s="94">
        <f>Table3.110[[#This Row],[GP 8-24h, ml]]-(AVERAGE(AF$293,AF$294,AF$385,AF$386,AF$477,AF$478))*$AG$8</f>
        <v>23.508734798790837</v>
      </c>
      <c r="AI472" s="94">
        <f>Table3.110[[#This Row],[Net gas 8-24h, ml]]+Table3.110[[#This Row],[Net gas 8h, ml]]</f>
        <v>46.254975227659145</v>
      </c>
      <c r="AJ472" s="94">
        <f>Table3.110[[#This Row],[Net gas 8h, ml]]*Table3.110[[#This Row],[CH4 8h %]]%</f>
        <v>2.7295488514641963</v>
      </c>
      <c r="AK472" s="94">
        <f>Table3.110[[#This Row],[Net gas 8-24h, ml]]*Table3.110[[#This Row],[CH4 24h, %]]%</f>
        <v>3.5498189546174164</v>
      </c>
      <c r="AL472" s="94">
        <f>Table3.110[[#This Row],[CH4 8-24h, ml]]+Table3.110[[#This Row],[CH4 8h, ml]]</f>
        <v>6.2793678060816127</v>
      </c>
      <c r="AM472" s="94">
        <f>(Table3.110[[#This Row],[Net gas 24h, ml]]/Table3.110[[#This Row],[DM Incubated, mg]])*1000</f>
        <v>102.33728253888513</v>
      </c>
      <c r="AN472" s="94">
        <f>'3.2 Digest'!X472</f>
        <v>41.414059173266153</v>
      </c>
      <c r="AO472" s="94">
        <f>Table3.110[[#This Row],[Digested feed, mg]]/Table3.110[[#This Row],[Net gas 24h, ml]]</f>
        <v>4.0468202932328241</v>
      </c>
      <c r="AP472" s="94">
        <f>Table3.110[[#This Row],[CH4 8h, ml]]/Table3.110[[#This Row],[Net gas 8h, ml]]%</f>
        <v>11.999999999999998</v>
      </c>
      <c r="AQ472" s="94">
        <f>Table3.110[[#This Row],[CH4 24h, ml]]/Table3.110[[#This Row],[Net gas 24h, ml]]%</f>
        <v>13.575551116773124</v>
      </c>
      <c r="AR472" s="94">
        <f>Table3.110[[#This Row],[CH4 24h, ml]]/Table3.110[[#This Row],[DM Incubated, mg]]*1000</f>
        <v>13.892850102582889</v>
      </c>
      <c r="AS472" s="94">
        <f>Table3.110[[#This Row],[CH4 24h, ml]]/Table3.110[[#This Row],[Digested feed, mg]]*1000</f>
        <v>33.546216864322929</v>
      </c>
      <c r="AT472" s="94">
        <f>Table3.110[[#This Row],[CH4 24h, ml]]/'3.2 Digest'!AA472</f>
        <v>-0.28958214681864514</v>
      </c>
      <c r="AU472" s="94">
        <f>((Table3.110[[#This Row],[CH4 24h, ml]]/28.9)*16.04)/Table3.110[[#This Row],[DM Incubated, mg]]*1000</f>
        <v>7.7107721676619212</v>
      </c>
      <c r="AV472" s="94">
        <f>((Table3.110[[#This Row],[CH4 24h, ml]]/28.9)*16.04)/Table3.110[[#This Row],[Digested feed, mg]]*1000</f>
        <v>18.618730744074043</v>
      </c>
      <c r="AW472" s="303"/>
      <c r="AX472" s="306"/>
    </row>
    <row r="473" spans="1:50" s="304" customFormat="1" x14ac:dyDescent="0.35">
      <c r="A473" s="89"/>
      <c r="B473" s="90">
        <f t="shared" si="7"/>
        <v>463</v>
      </c>
      <c r="C473" s="140">
        <v>46048</v>
      </c>
      <c r="D473" s="6" t="s">
        <v>16</v>
      </c>
      <c r="E473" s="6" t="s">
        <v>317</v>
      </c>
      <c r="F473" s="133" t="s">
        <v>290</v>
      </c>
      <c r="G473" s="133" t="s">
        <v>318</v>
      </c>
      <c r="H473" s="133" t="s">
        <v>319</v>
      </c>
      <c r="I473" s="133" t="s">
        <v>22</v>
      </c>
      <c r="J473" s="135" t="s">
        <v>23</v>
      </c>
      <c r="K473" s="135" t="s">
        <v>215</v>
      </c>
      <c r="L473" s="6" t="s">
        <v>316</v>
      </c>
      <c r="M473" s="93">
        <v>28</v>
      </c>
      <c r="N473" s="93">
        <v>60</v>
      </c>
      <c r="O473" s="6">
        <v>1</v>
      </c>
      <c r="P473" s="129">
        <v>3</v>
      </c>
      <c r="Q473" s="6">
        <v>0</v>
      </c>
      <c r="R473" s="98">
        <v>0.50039999999999996</v>
      </c>
      <c r="S473" s="94">
        <f>((Table3.110[[#This Row],[Sample weight, g]]*'2.1. DM'!Q193)/100)*1000</f>
        <v>452.07591532301024</v>
      </c>
      <c r="T473" s="94">
        <f>'3.2 Digest'!W473</f>
        <v>181.1759153230102</v>
      </c>
      <c r="U473" s="117">
        <v>0.40486111111111112</v>
      </c>
      <c r="V473" s="155">
        <v>41</v>
      </c>
      <c r="W473" s="117">
        <v>0.75069444444444444</v>
      </c>
      <c r="X473" s="96">
        <v>65</v>
      </c>
      <c r="Y473" s="96">
        <v>12.5</v>
      </c>
      <c r="Z473" s="155">
        <v>40</v>
      </c>
      <c r="AA473" s="117">
        <v>0.41180555555555554</v>
      </c>
      <c r="AB473" s="155">
        <v>67.5</v>
      </c>
      <c r="AC473" s="155">
        <v>14.9</v>
      </c>
      <c r="AD473" s="96"/>
      <c r="AE473" s="94">
        <f>Table3.110[[#This Row],[Gas 8h, ml]]-Table3.110[[#This Row],[Gas 0h, ml]]</f>
        <v>24</v>
      </c>
      <c r="AF473" s="94">
        <f>Table3.110[[#This Row],[Gas 24h, ml]]-Table3.110[[#This Row],[V8 Push back, ml]]</f>
        <v>27.5</v>
      </c>
      <c r="AG473" s="94">
        <f>Table3.110[[#This Row],[GP 8h, ml]]-(AVERAGE(AE$293,AE$294,AE$385,AE$386,AE$477,AE$478))*$AG$8</f>
        <v>22.746240428868305</v>
      </c>
      <c r="AH473" s="94">
        <f>Table3.110[[#This Row],[GP 8-24h, ml]]-(AVERAGE(AF$293,AF$294,AF$385,AF$386,AF$477,AF$478))*$AG$8</f>
        <v>25.508734798790837</v>
      </c>
      <c r="AI473" s="94">
        <f>Table3.110[[#This Row],[Net gas 8-24h, ml]]+Table3.110[[#This Row],[Net gas 8h, ml]]</f>
        <v>48.254975227659145</v>
      </c>
      <c r="AJ473" s="94">
        <f>Table3.110[[#This Row],[Net gas 8h, ml]]*Table3.110[[#This Row],[CH4 8h %]]%</f>
        <v>2.8432800536085381</v>
      </c>
      <c r="AK473" s="94">
        <f>Table3.110[[#This Row],[Net gas 8-24h, ml]]*Table3.110[[#This Row],[CH4 24h, %]]%</f>
        <v>3.8008014850198344</v>
      </c>
      <c r="AL473" s="94">
        <f>Table3.110[[#This Row],[CH4 8-24h, ml]]+Table3.110[[#This Row],[CH4 8h, ml]]</f>
        <v>6.644081538628372</v>
      </c>
      <c r="AM473" s="94">
        <f>(Table3.110[[#This Row],[Net gas 24h, ml]]/Table3.110[[#This Row],[DM Incubated, mg]])*1000</f>
        <v>106.7408671686939</v>
      </c>
      <c r="AN473" s="94">
        <f>'3.2 Digest'!X473</f>
        <v>40.076436098914755</v>
      </c>
      <c r="AO473" s="94">
        <f>Table3.110[[#This Row],[Digested feed, mg]]/Table3.110[[#This Row],[Net gas 24h, ml]]</f>
        <v>3.7545541049032067</v>
      </c>
      <c r="AP473" s="94">
        <f>Table3.110[[#This Row],[CH4 8h, ml]]/Table3.110[[#This Row],[Net gas 8h, ml]]%</f>
        <v>12.5</v>
      </c>
      <c r="AQ473" s="94">
        <f>Table3.110[[#This Row],[CH4 24h, ml]]/Table3.110[[#This Row],[Net gas 24h, ml]]%</f>
        <v>13.768697439554519</v>
      </c>
      <c r="AR473" s="94">
        <f>Table3.110[[#This Row],[CH4 24h, ml]]/Table3.110[[#This Row],[DM Incubated, mg]]*1000</f>
        <v>14.696827044814247</v>
      </c>
      <c r="AS473" s="94">
        <f>Table3.110[[#This Row],[CH4 24h, ml]]/Table3.110[[#This Row],[Digested feed, mg]]*1000</f>
        <v>36.671991013722462</v>
      </c>
      <c r="AT473" s="94">
        <f>Table3.110[[#This Row],[CH4 24h, ml]]/'3.2 Digest'!AA473</f>
        <v>-0.27160263066873291</v>
      </c>
      <c r="AU473" s="94">
        <f>((Table3.110[[#This Row],[CH4 24h, ml]]/28.9)*16.04)/Table3.110[[#This Row],[DM Incubated, mg]]*1000</f>
        <v>8.1569932802360032</v>
      </c>
      <c r="AV473" s="94">
        <f>((Table3.110[[#This Row],[CH4 24h, ml]]/28.9)*16.04)/Table3.110[[#This Row],[Digested feed, mg]]*1000</f>
        <v>20.353589476128317</v>
      </c>
      <c r="AW473" s="303"/>
      <c r="AX473" s="306"/>
    </row>
    <row r="474" spans="1:50" s="304" customFormat="1" x14ac:dyDescent="0.35">
      <c r="A474" s="89"/>
      <c r="B474" s="90">
        <f t="shared" si="7"/>
        <v>464</v>
      </c>
      <c r="C474" s="140">
        <v>46048</v>
      </c>
      <c r="D474" s="8" t="s">
        <v>120</v>
      </c>
      <c r="E474" s="6" t="s">
        <v>122</v>
      </c>
      <c r="F474" s="133" t="s">
        <v>123</v>
      </c>
      <c r="G474" s="133" t="s">
        <v>545</v>
      </c>
      <c r="H474" s="133" t="s">
        <v>125</v>
      </c>
      <c r="I474" s="133" t="s">
        <v>108</v>
      </c>
      <c r="J474" s="135" t="s">
        <v>109</v>
      </c>
      <c r="K474" s="135" t="s">
        <v>110</v>
      </c>
      <c r="L474" s="6" t="s">
        <v>121</v>
      </c>
      <c r="M474" s="93">
        <v>28</v>
      </c>
      <c r="N474" s="93">
        <v>60</v>
      </c>
      <c r="O474" s="6">
        <v>1</v>
      </c>
      <c r="P474" s="129">
        <v>1</v>
      </c>
      <c r="Q474" s="6">
        <v>0</v>
      </c>
      <c r="R474" s="98">
        <v>0.50039999999999996</v>
      </c>
      <c r="S474" s="94">
        <f>((Table3.110[[#This Row],[Sample weight, g]]*'2.1. DM'!Q195)/100)*1000</f>
        <v>468.12419999999992</v>
      </c>
      <c r="T474" s="94">
        <f>'3.2 Digest'!W474</f>
        <v>109.32419999999991</v>
      </c>
      <c r="U474" s="153">
        <v>0.40486111111111112</v>
      </c>
      <c r="V474" s="155">
        <v>41</v>
      </c>
      <c r="W474" s="153">
        <v>0.75138888888888888</v>
      </c>
      <c r="X474" s="91">
        <v>60.5</v>
      </c>
      <c r="Y474" s="91">
        <v>13.6</v>
      </c>
      <c r="Z474" s="154">
        <v>40</v>
      </c>
      <c r="AA474" s="153">
        <v>0.41249999999999998</v>
      </c>
      <c r="AB474" s="154">
        <v>77.5</v>
      </c>
      <c r="AC474" s="154">
        <v>15.3</v>
      </c>
      <c r="AD474" s="91"/>
      <c r="AE474" s="94">
        <f>Table3.110[[#This Row],[Gas 8h, ml]]-Table3.110[[#This Row],[Gas 0h, ml]]</f>
        <v>19.5</v>
      </c>
      <c r="AF474" s="94">
        <f>Table3.110[[#This Row],[Gas 24h, ml]]-Table3.110[[#This Row],[V8 Push back, ml]]</f>
        <v>37.5</v>
      </c>
      <c r="AG474" s="94">
        <f>Table3.110[[#This Row],[GP 8h, ml]]-(AVERAGE(AE$293,AE$294,AE$385,AE$386,AE$477,AE$478))*$AG$8</f>
        <v>18.246240428868305</v>
      </c>
      <c r="AH474" s="94">
        <f>Table3.110[[#This Row],[GP 8-24h, ml]]-(AVERAGE(AF$293,AF$294,AF$385,AF$386,AF$477,AF$478))*$AG$8</f>
        <v>35.50873479879084</v>
      </c>
      <c r="AI474" s="94">
        <f>Table3.110[[#This Row],[Net gas 8-24h, ml]]+Table3.110[[#This Row],[Net gas 8h, ml]]</f>
        <v>53.754975227659145</v>
      </c>
      <c r="AJ474" s="94">
        <f>Table3.110[[#This Row],[Net gas 8h, ml]]*Table3.110[[#This Row],[CH4 8h %]]%</f>
        <v>2.4814886983260895</v>
      </c>
      <c r="AK474" s="94">
        <f>Table3.110[[#This Row],[Net gas 8-24h, ml]]*Table3.110[[#This Row],[CH4 24h, %]]%</f>
        <v>5.4328364242149982</v>
      </c>
      <c r="AL474" s="94">
        <f>Table3.110[[#This Row],[CH4 8-24h, ml]]+Table3.110[[#This Row],[CH4 8h, ml]]</f>
        <v>7.9143251225410882</v>
      </c>
      <c r="AM474" s="94">
        <f>(Table3.110[[#This Row],[Net gas 24h, ml]]/Table3.110[[#This Row],[DM Incubated, mg]])*1000</f>
        <v>114.83058390841396</v>
      </c>
      <c r="AN474" s="94">
        <f>'3.2 Digest'!X474</f>
        <v>23.353674089055836</v>
      </c>
      <c r="AO474" s="94">
        <f>Table3.110[[#This Row],[Digested feed, mg]]/Table3.110[[#This Row],[Net gas 24h, ml]]</f>
        <v>2.0337503558879533</v>
      </c>
      <c r="AP474" s="94">
        <f>Table3.110[[#This Row],[CH4 8h, ml]]/Table3.110[[#This Row],[Net gas 8h, ml]]%</f>
        <v>13.600000000000001</v>
      </c>
      <c r="AQ474" s="94">
        <f>Table3.110[[#This Row],[CH4 24h, ml]]/Table3.110[[#This Row],[Net gas 24h, ml]]%</f>
        <v>14.72296301695409</v>
      </c>
      <c r="AR474" s="94">
        <f>Table3.110[[#This Row],[CH4 24h, ml]]/Table3.110[[#This Row],[DM Incubated, mg]]*1000</f>
        <v>16.90646440098822</v>
      </c>
      <c r="AS474" s="94">
        <f>Table3.110[[#This Row],[CH4 24h, ml]]/Table3.110[[#This Row],[Digested feed, mg]]*1000</f>
        <v>72.393167501258603</v>
      </c>
      <c r="AT474" s="94">
        <f>Table3.110[[#This Row],[CH4 24h, ml]]/'3.2 Digest'!AA474</f>
        <v>-11.024191416887117</v>
      </c>
      <c r="AU474" s="94">
        <f>((Table3.110[[#This Row],[CH4 24h, ml]]/28.9)*16.04)/Table3.110[[#This Row],[DM Incubated, mg]]*1000</f>
        <v>9.3833802419325636</v>
      </c>
      <c r="AV474" s="94">
        <f>((Table3.110[[#This Row],[CH4 24h, ml]]/28.9)*16.04)/Table3.110[[#This Row],[Digested feed, mg]]*1000</f>
        <v>40.179460440144915</v>
      </c>
      <c r="AW474" s="303"/>
      <c r="AX474" s="306"/>
    </row>
    <row r="475" spans="1:50" s="304" customFormat="1" x14ac:dyDescent="0.35">
      <c r="A475" s="89"/>
      <c r="B475" s="90">
        <f t="shared" si="7"/>
        <v>465</v>
      </c>
      <c r="C475" s="140">
        <v>46048</v>
      </c>
      <c r="D475" s="8" t="s">
        <v>120</v>
      </c>
      <c r="E475" s="6" t="s">
        <v>122</v>
      </c>
      <c r="F475" s="133" t="s">
        <v>123</v>
      </c>
      <c r="G475" s="133" t="s">
        <v>545</v>
      </c>
      <c r="H475" s="133" t="s">
        <v>125</v>
      </c>
      <c r="I475" s="133" t="s">
        <v>108</v>
      </c>
      <c r="J475" s="135" t="s">
        <v>109</v>
      </c>
      <c r="K475" s="135" t="s">
        <v>110</v>
      </c>
      <c r="L475" s="6" t="s">
        <v>121</v>
      </c>
      <c r="M475" s="93">
        <v>28</v>
      </c>
      <c r="N475" s="93">
        <v>60</v>
      </c>
      <c r="O475" s="6">
        <v>1</v>
      </c>
      <c r="P475" s="129">
        <v>2</v>
      </c>
      <c r="Q475" s="6">
        <v>0</v>
      </c>
      <c r="R475" s="98">
        <v>0.50019999999999998</v>
      </c>
      <c r="S475" s="94">
        <f>((Table3.110[[#This Row],[Sample weight, g]]*'2.1. DM'!Q195)/100)*1000</f>
        <v>467.93709999999999</v>
      </c>
      <c r="T475" s="94">
        <f>'3.2 Digest'!W475</f>
        <v>175.13709999999992</v>
      </c>
      <c r="U475" s="117">
        <v>0.40486111111111112</v>
      </c>
      <c r="V475" s="155">
        <v>40.5</v>
      </c>
      <c r="W475" s="117">
        <v>0.75138888888888888</v>
      </c>
      <c r="X475" s="96">
        <v>60.5</v>
      </c>
      <c r="Y475" s="96">
        <v>15</v>
      </c>
      <c r="Z475" s="155">
        <v>40</v>
      </c>
      <c r="AA475" s="117">
        <v>0.41249999999999998</v>
      </c>
      <c r="AB475" s="155">
        <v>79.5</v>
      </c>
      <c r="AC475" s="155">
        <v>15.8</v>
      </c>
      <c r="AD475" s="96"/>
      <c r="AE475" s="94">
        <f>Table3.110[[#This Row],[Gas 8h, ml]]-Table3.110[[#This Row],[Gas 0h, ml]]</f>
        <v>20</v>
      </c>
      <c r="AF475" s="94">
        <f>Table3.110[[#This Row],[Gas 24h, ml]]-Table3.110[[#This Row],[V8 Push back, ml]]</f>
        <v>39.5</v>
      </c>
      <c r="AG475" s="94">
        <f>Table3.110[[#This Row],[GP 8h, ml]]-(AVERAGE(AE$293,AE$294,AE$385,AE$386,AE$477,AE$478))*$AG$8</f>
        <v>18.746240428868305</v>
      </c>
      <c r="AH475" s="94">
        <f>Table3.110[[#This Row],[GP 8-24h, ml]]-(AVERAGE(AF$293,AF$294,AF$385,AF$386,AF$477,AF$478))*$AG$8</f>
        <v>37.50873479879084</v>
      </c>
      <c r="AI475" s="94">
        <f>Table3.110[[#This Row],[Net gas 8-24h, ml]]+Table3.110[[#This Row],[Net gas 8h, ml]]</f>
        <v>56.254975227659145</v>
      </c>
      <c r="AJ475" s="94">
        <f>Table3.110[[#This Row],[Net gas 8h, ml]]*Table3.110[[#This Row],[CH4 8h %]]%</f>
        <v>2.8119360643302458</v>
      </c>
      <c r="AK475" s="94">
        <f>Table3.110[[#This Row],[Net gas 8-24h, ml]]*Table3.110[[#This Row],[CH4 24h, %]]%</f>
        <v>5.926380098208953</v>
      </c>
      <c r="AL475" s="94">
        <f>Table3.110[[#This Row],[CH4 8-24h, ml]]+Table3.110[[#This Row],[CH4 8h, ml]]</f>
        <v>8.7383161625391992</v>
      </c>
      <c r="AM475" s="94">
        <f>(Table3.110[[#This Row],[Net gas 24h, ml]]/Table3.110[[#This Row],[DM Incubated, mg]])*1000</f>
        <v>120.21909617266753</v>
      </c>
      <c r="AN475" s="94">
        <f>'3.2 Digest'!X475</f>
        <v>37.427487583267052</v>
      </c>
      <c r="AO475" s="94">
        <f>Table3.110[[#This Row],[Digested feed, mg]]/Table3.110[[#This Row],[Net gas 24h, ml]]</f>
        <v>3.1132730801361981</v>
      </c>
      <c r="AP475" s="94">
        <f>Table3.110[[#This Row],[CH4 8h, ml]]/Table3.110[[#This Row],[Net gas 8h, ml]]%</f>
        <v>15</v>
      </c>
      <c r="AQ475" s="94">
        <f>Table3.110[[#This Row],[CH4 24h, ml]]/Table3.110[[#This Row],[Net gas 24h, ml]]%</f>
        <v>15.53341038223903</v>
      </c>
      <c r="AR475" s="94">
        <f>Table3.110[[#This Row],[CH4 24h, ml]]/Table3.110[[#This Row],[DM Incubated, mg]]*1000</f>
        <v>18.674125566319059</v>
      </c>
      <c r="AS475" s="94">
        <f>Table3.110[[#This Row],[CH4 24h, ml]]/Table3.110[[#This Row],[Digested feed, mg]]*1000</f>
        <v>49.894146714426604</v>
      </c>
      <c r="AT475" s="94">
        <f>Table3.110[[#This Row],[CH4 24h, ml]]/'3.2 Digest'!AA475</f>
        <v>0.49158120151726759</v>
      </c>
      <c r="AU475" s="94">
        <f>((Table3.110[[#This Row],[CH4 24h, ml]]/28.9)*16.04)/Table3.110[[#This Row],[DM Incubated, mg]]*1000</f>
        <v>10.364462771064282</v>
      </c>
      <c r="AV475" s="94">
        <f>((Table3.110[[#This Row],[CH4 24h, ml]]/28.9)*16.04)/Table3.110[[#This Row],[Digested feed, mg]]*1000</f>
        <v>27.692114647038153</v>
      </c>
      <c r="AW475" s="303"/>
      <c r="AX475" s="306"/>
    </row>
    <row r="476" spans="1:50" s="304" customFormat="1" x14ac:dyDescent="0.35">
      <c r="A476" s="89"/>
      <c r="B476" s="90">
        <f t="shared" si="7"/>
        <v>466</v>
      </c>
      <c r="C476" s="140">
        <v>46048</v>
      </c>
      <c r="D476" s="8" t="s">
        <v>120</v>
      </c>
      <c r="E476" s="6" t="s">
        <v>122</v>
      </c>
      <c r="F476" s="133" t="s">
        <v>123</v>
      </c>
      <c r="G476" s="133" t="s">
        <v>545</v>
      </c>
      <c r="H476" s="133" t="s">
        <v>125</v>
      </c>
      <c r="I476" s="133" t="s">
        <v>108</v>
      </c>
      <c r="J476" s="135" t="s">
        <v>109</v>
      </c>
      <c r="K476" s="135" t="s">
        <v>110</v>
      </c>
      <c r="L476" s="6" t="s">
        <v>121</v>
      </c>
      <c r="M476" s="93">
        <v>28</v>
      </c>
      <c r="N476" s="93">
        <v>60</v>
      </c>
      <c r="O476" s="6">
        <v>1</v>
      </c>
      <c r="P476" s="129">
        <v>3</v>
      </c>
      <c r="Q476" s="6">
        <v>0</v>
      </c>
      <c r="R476" s="98">
        <v>0.50009999999999999</v>
      </c>
      <c r="S476" s="94">
        <f>((Table3.110[[#This Row],[Sample weight, g]]*'2.1. DM'!Q195)/100)*1000</f>
        <v>467.84354999999999</v>
      </c>
      <c r="T476" s="94">
        <f>'3.2 Digest'!W476</f>
        <v>77.043549999999982</v>
      </c>
      <c r="U476" s="153">
        <v>0.40486111111111112</v>
      </c>
      <c r="V476" s="155">
        <v>41</v>
      </c>
      <c r="W476" s="153">
        <v>0.75138888888888888</v>
      </c>
      <c r="X476" s="91">
        <v>60</v>
      </c>
      <c r="Y476" s="91">
        <v>14.1</v>
      </c>
      <c r="Z476" s="154">
        <v>40</v>
      </c>
      <c r="AA476" s="153">
        <v>0.41319444444444442</v>
      </c>
      <c r="AB476" s="154">
        <v>76</v>
      </c>
      <c r="AC476" s="154">
        <v>15.1</v>
      </c>
      <c r="AD476" s="91"/>
      <c r="AE476" s="94">
        <f>Table3.110[[#This Row],[Gas 8h, ml]]-Table3.110[[#This Row],[Gas 0h, ml]]</f>
        <v>19</v>
      </c>
      <c r="AF476" s="94">
        <f>Table3.110[[#This Row],[Gas 24h, ml]]-Table3.110[[#This Row],[V8 Push back, ml]]</f>
        <v>36</v>
      </c>
      <c r="AG476" s="94">
        <f>Table3.110[[#This Row],[GP 8h, ml]]-(AVERAGE(AE$293,AE$294,AE$385,AE$386,AE$477,AE$478))*$AG$8</f>
        <v>17.746240428868305</v>
      </c>
      <c r="AH476" s="94">
        <f>Table3.110[[#This Row],[GP 8-24h, ml]]-(AVERAGE(AF$293,AF$294,AF$385,AF$386,AF$477,AF$478))*$AG$8</f>
        <v>34.00873479879084</v>
      </c>
      <c r="AI476" s="94">
        <f>Table3.110[[#This Row],[Net gas 8-24h, ml]]+Table3.110[[#This Row],[Net gas 8h, ml]]</f>
        <v>51.754975227659145</v>
      </c>
      <c r="AJ476" s="94">
        <f>Table3.110[[#This Row],[Net gas 8h, ml]]*Table3.110[[#This Row],[CH4 8h %]]%</f>
        <v>2.5022199004704309</v>
      </c>
      <c r="AK476" s="94">
        <f>Table3.110[[#This Row],[Net gas 8-24h, ml]]*Table3.110[[#This Row],[CH4 24h, %]]%</f>
        <v>5.1353189546174169</v>
      </c>
      <c r="AL476" s="94">
        <f>Table3.110[[#This Row],[CH4 8-24h, ml]]+Table3.110[[#This Row],[CH4 8h, ml]]</f>
        <v>7.6375388550878478</v>
      </c>
      <c r="AM476" s="94">
        <f>(Table3.110[[#This Row],[Net gas 24h, ml]]/Table3.110[[#This Row],[DM Incubated, mg]])*1000</f>
        <v>110.62453512003991</v>
      </c>
      <c r="AN476" s="94">
        <f>'3.2 Digest'!X476</f>
        <v>16.467802110342227</v>
      </c>
      <c r="AO476" s="94">
        <f>Table3.110[[#This Row],[Digested feed, mg]]/Table3.110[[#This Row],[Net gas 24h, ml]]</f>
        <v>1.4886211356705663</v>
      </c>
      <c r="AP476" s="94">
        <f>Table3.110[[#This Row],[CH4 8h, ml]]/Table3.110[[#This Row],[Net gas 8h, ml]]%</f>
        <v>14.1</v>
      </c>
      <c r="AQ476" s="94">
        <f>Table3.110[[#This Row],[CH4 24h, ml]]/Table3.110[[#This Row],[Net gas 24h, ml]]%</f>
        <v>14.75711044492232</v>
      </c>
      <c r="AR476" s="94">
        <f>Table3.110[[#This Row],[CH4 24h, ml]]/Table3.110[[#This Row],[DM Incubated, mg]]*1000</f>
        <v>16.324984826846173</v>
      </c>
      <c r="AS476" s="94">
        <f>Table3.110[[#This Row],[CH4 24h, ml]]/Table3.110[[#This Row],[Digested feed, mg]]*1000</f>
        <v>99.132748362294436</v>
      </c>
      <c r="AT476" s="94">
        <f>Table3.110[[#This Row],[CH4 24h, ml]]/'3.2 Digest'!AA476</f>
        <v>-0.78202533826631915</v>
      </c>
      <c r="AU476" s="94">
        <f>((Table3.110[[#This Row],[CH4 24h, ml]]/28.9)*16.04)/Table3.110[[#This Row],[DM Incubated, mg]]*1000</f>
        <v>9.0606490180834811</v>
      </c>
      <c r="AV476" s="94">
        <f>((Table3.110[[#This Row],[CH4 24h, ml]]/28.9)*16.04)/Table3.110[[#This Row],[Digested feed, mg]]*1000</f>
        <v>55.02039044052605</v>
      </c>
      <c r="AW476" s="303"/>
      <c r="AX476" s="306"/>
    </row>
    <row r="477" spans="1:50" s="304" customFormat="1" x14ac:dyDescent="0.35">
      <c r="A477" s="89"/>
      <c r="B477" s="90">
        <f t="shared" si="7"/>
        <v>467</v>
      </c>
      <c r="C477" s="140">
        <v>46048</v>
      </c>
      <c r="D477" s="92"/>
      <c r="E477" s="6" t="s">
        <v>537</v>
      </c>
      <c r="F477" s="133" t="s">
        <v>538</v>
      </c>
      <c r="G477" s="133">
        <v>24</v>
      </c>
      <c r="H477" s="133" t="s">
        <v>537</v>
      </c>
      <c r="I477" s="187"/>
      <c r="J477" s="188"/>
      <c r="K477" s="133"/>
      <c r="L477" s="6" t="s">
        <v>539</v>
      </c>
      <c r="M477" s="93">
        <v>28</v>
      </c>
      <c r="N477" s="93">
        <v>60</v>
      </c>
      <c r="O477" s="6">
        <v>1</v>
      </c>
      <c r="P477" s="129">
        <v>1</v>
      </c>
      <c r="Q477" s="6">
        <v>0</v>
      </c>
      <c r="R477" s="98"/>
      <c r="S477" s="94"/>
      <c r="T477" s="94">
        <f>'3.2 Digest'!W477</f>
        <v>0</v>
      </c>
      <c r="U477" s="153">
        <v>0.40555555555555556</v>
      </c>
      <c r="V477" s="154">
        <v>40</v>
      </c>
      <c r="W477" s="153">
        <v>0.75208333333333333</v>
      </c>
      <c r="X477" s="91">
        <v>41</v>
      </c>
      <c r="Y477" s="91"/>
      <c r="Z477" s="154">
        <v>40</v>
      </c>
      <c r="AA477" s="153">
        <v>0.41388888888888886</v>
      </c>
      <c r="AB477" s="154">
        <v>42</v>
      </c>
      <c r="AC477" s="154"/>
      <c r="AD477" s="91"/>
      <c r="AE477" s="94">
        <f>Table3.110[[#This Row],[Gas 8h, ml]]-Table3.110[[#This Row],[Gas 0h, ml]]</f>
        <v>1</v>
      </c>
      <c r="AF477" s="94">
        <f>Table3.110[[#This Row],[Gas 24h, ml]]-Table3.110[[#This Row],[V8 Push back, ml]]</f>
        <v>2</v>
      </c>
      <c r="AG477" s="94"/>
      <c r="AH477" s="94"/>
      <c r="AI477" s="94"/>
      <c r="AJ477" s="94"/>
      <c r="AK477" s="94"/>
      <c r="AL477" s="94"/>
      <c r="AM477" s="94"/>
      <c r="AN477" s="94"/>
      <c r="AO477" s="94"/>
      <c r="AP477" s="94"/>
      <c r="AQ477" s="94"/>
      <c r="AR477" s="94"/>
      <c r="AS477" s="94"/>
      <c r="AT477" s="94"/>
      <c r="AU477" s="94"/>
      <c r="AV477" s="94"/>
      <c r="AW477" s="303"/>
      <c r="AX477" s="306"/>
    </row>
    <row r="478" spans="1:50" s="304" customFormat="1" x14ac:dyDescent="0.35">
      <c r="A478" s="89"/>
      <c r="B478" s="90">
        <f t="shared" si="7"/>
        <v>468</v>
      </c>
      <c r="C478" s="140">
        <v>46048</v>
      </c>
      <c r="D478" s="92"/>
      <c r="E478" s="6" t="s">
        <v>537</v>
      </c>
      <c r="F478" s="133" t="s">
        <v>538</v>
      </c>
      <c r="G478" s="133">
        <v>24</v>
      </c>
      <c r="H478" s="133" t="s">
        <v>537</v>
      </c>
      <c r="I478" s="187"/>
      <c r="J478" s="188"/>
      <c r="K478" s="133"/>
      <c r="L478" s="6" t="s">
        <v>539</v>
      </c>
      <c r="M478" s="93">
        <v>28</v>
      </c>
      <c r="N478" s="93">
        <v>60</v>
      </c>
      <c r="O478" s="6">
        <v>1</v>
      </c>
      <c r="P478" s="129">
        <v>2</v>
      </c>
      <c r="Q478" s="6">
        <v>0</v>
      </c>
      <c r="R478" s="98"/>
      <c r="S478" s="94"/>
      <c r="T478" s="94">
        <f>'3.2 Digest'!W478</f>
        <v>0</v>
      </c>
      <c r="U478" s="117">
        <v>0.40555555555555556</v>
      </c>
      <c r="V478" s="155">
        <v>40</v>
      </c>
      <c r="W478" s="117">
        <v>0.66874999999999996</v>
      </c>
      <c r="X478" s="96">
        <v>41</v>
      </c>
      <c r="Y478" s="96"/>
      <c r="Z478" s="155">
        <v>40</v>
      </c>
      <c r="AA478" s="117">
        <v>0.41458333333333336</v>
      </c>
      <c r="AB478" s="155">
        <v>42</v>
      </c>
      <c r="AC478" s="155"/>
      <c r="AD478" s="96"/>
      <c r="AE478" s="94">
        <f>Table3.110[[#This Row],[Gas 8h, ml]]-Table3.110[[#This Row],[Gas 0h, ml]]</f>
        <v>1</v>
      </c>
      <c r="AF478" s="94">
        <f>Table3.110[[#This Row],[Gas 24h, ml]]-Table3.110[[#This Row],[V8 Push back, ml]]</f>
        <v>2</v>
      </c>
      <c r="AG478" s="94"/>
      <c r="AH478" s="94"/>
      <c r="AI478" s="94"/>
      <c r="AJ478" s="94"/>
      <c r="AK478" s="94"/>
      <c r="AL478" s="94"/>
      <c r="AM478" s="94"/>
      <c r="AN478" s="94"/>
      <c r="AO478" s="94"/>
      <c r="AP478" s="94"/>
      <c r="AQ478" s="94"/>
      <c r="AR478" s="94"/>
      <c r="AS478" s="94"/>
      <c r="AT478" s="94"/>
      <c r="AU478" s="94"/>
      <c r="AV478" s="94"/>
      <c r="AW478" s="303"/>
      <c r="AX478" s="306"/>
    </row>
    <row r="479" spans="1:50" s="304" customFormat="1" x14ac:dyDescent="0.35">
      <c r="A479" s="89"/>
      <c r="B479" s="90">
        <f t="shared" si="7"/>
        <v>469</v>
      </c>
      <c r="C479" s="140">
        <v>46050</v>
      </c>
      <c r="D479" s="92"/>
      <c r="E479" s="6" t="s">
        <v>537</v>
      </c>
      <c r="F479" s="133" t="s">
        <v>538</v>
      </c>
      <c r="G479" s="133">
        <v>24</v>
      </c>
      <c r="H479" s="133" t="s">
        <v>537</v>
      </c>
      <c r="I479" s="187"/>
      <c r="J479" s="188"/>
      <c r="K479" s="133"/>
      <c r="L479" s="6" t="s">
        <v>539</v>
      </c>
      <c r="M479" s="93">
        <v>28</v>
      </c>
      <c r="N479" s="93">
        <v>61</v>
      </c>
      <c r="O479" s="6">
        <v>2</v>
      </c>
      <c r="P479" s="6">
        <v>1</v>
      </c>
      <c r="Q479" s="6">
        <v>0</v>
      </c>
      <c r="R479" s="98"/>
      <c r="S479" s="94"/>
      <c r="T479" s="94">
        <f>'3.2 Digest'!W479</f>
        <v>0</v>
      </c>
      <c r="U479" s="153">
        <v>0.32708333333333334</v>
      </c>
      <c r="V479" s="154">
        <v>39</v>
      </c>
      <c r="W479" s="153">
        <v>0.66249999999999998</v>
      </c>
      <c r="X479" s="91">
        <v>42.5</v>
      </c>
      <c r="Y479" s="91"/>
      <c r="Z479" s="154">
        <v>39</v>
      </c>
      <c r="AA479" s="153">
        <v>0.36249999999999999</v>
      </c>
      <c r="AB479" s="154">
        <v>44</v>
      </c>
      <c r="AC479" s="154"/>
      <c r="AD479" s="91"/>
      <c r="AE479" s="94">
        <f>Table3.110[[#This Row],[Gas 8h, ml]]-Table3.110[[#This Row],[Gas 0h, ml]]</f>
        <v>3.5</v>
      </c>
      <c r="AF479" s="94">
        <f>Table3.110[[#This Row],[Gas 24h, ml]]-Table3.110[[#This Row],[V8 Push back, ml]]</f>
        <v>5</v>
      </c>
      <c r="AG479" s="94"/>
      <c r="AH479" s="94"/>
      <c r="AI479" s="94"/>
      <c r="AJ479" s="94"/>
      <c r="AK479" s="94"/>
      <c r="AL479" s="94"/>
      <c r="AM479" s="94"/>
      <c r="AN479" s="94"/>
      <c r="AO479" s="94"/>
      <c r="AP479" s="94"/>
      <c r="AQ479" s="94"/>
      <c r="AR479" s="94"/>
      <c r="AS479" s="94"/>
      <c r="AT479" s="94"/>
      <c r="AU479" s="94"/>
      <c r="AV479" s="94"/>
      <c r="AW479" s="303"/>
      <c r="AX479" s="306"/>
    </row>
    <row r="480" spans="1:50" s="304" customFormat="1" x14ac:dyDescent="0.35">
      <c r="A480" s="89"/>
      <c r="B480" s="90">
        <f t="shared" si="7"/>
        <v>470</v>
      </c>
      <c r="C480" s="140">
        <v>46050</v>
      </c>
      <c r="D480" s="92"/>
      <c r="E480" s="6" t="s">
        <v>537</v>
      </c>
      <c r="F480" s="133" t="s">
        <v>538</v>
      </c>
      <c r="G480" s="133">
        <v>24</v>
      </c>
      <c r="H480" s="133" t="s">
        <v>537</v>
      </c>
      <c r="I480" s="187"/>
      <c r="J480" s="188"/>
      <c r="K480" s="133"/>
      <c r="L480" s="6" t="s">
        <v>539</v>
      </c>
      <c r="M480" s="93">
        <v>28</v>
      </c>
      <c r="N480" s="93">
        <v>61</v>
      </c>
      <c r="O480" s="6">
        <v>2</v>
      </c>
      <c r="P480" s="129">
        <v>2</v>
      </c>
      <c r="Q480" s="6">
        <v>0</v>
      </c>
      <c r="R480" s="98"/>
      <c r="S480" s="94"/>
      <c r="T480" s="94">
        <f>'3.2 Digest'!W480</f>
        <v>0</v>
      </c>
      <c r="U480" s="117">
        <v>0.32708333333333334</v>
      </c>
      <c r="V480" s="155">
        <v>39.5</v>
      </c>
      <c r="W480" s="117">
        <v>0.66249999999999998</v>
      </c>
      <c r="X480" s="96">
        <v>44</v>
      </c>
      <c r="Y480" s="96"/>
      <c r="Z480" s="155">
        <v>40</v>
      </c>
      <c r="AA480" s="117">
        <v>0.36388888888888887</v>
      </c>
      <c r="AB480" s="155">
        <v>44</v>
      </c>
      <c r="AC480" s="155"/>
      <c r="AD480" s="96"/>
      <c r="AE480" s="94">
        <f>Table3.110[[#This Row],[Gas 8h, ml]]-Table3.110[[#This Row],[Gas 0h, ml]]</f>
        <v>4.5</v>
      </c>
      <c r="AF480" s="94">
        <f>Table3.110[[#This Row],[Gas 24h, ml]]-Table3.110[[#This Row],[V8 Push back, ml]]</f>
        <v>4</v>
      </c>
      <c r="AG480" s="94"/>
      <c r="AH480" s="94"/>
      <c r="AI480" s="94"/>
      <c r="AJ480" s="94"/>
      <c r="AK480" s="94"/>
      <c r="AL480" s="94"/>
      <c r="AM480" s="94"/>
      <c r="AN480" s="94"/>
      <c r="AO480" s="94"/>
      <c r="AP480" s="94"/>
      <c r="AQ480" s="94"/>
      <c r="AR480" s="94"/>
      <c r="AS480" s="94"/>
      <c r="AT480" s="94"/>
      <c r="AU480" s="94"/>
      <c r="AV480" s="94"/>
      <c r="AW480" s="303"/>
      <c r="AX480" s="306"/>
    </row>
    <row r="481" spans="1:50" s="304" customFormat="1" x14ac:dyDescent="0.35">
      <c r="A481" s="89"/>
      <c r="B481" s="90">
        <f t="shared" si="7"/>
        <v>471</v>
      </c>
      <c r="C481" s="140">
        <v>46050</v>
      </c>
      <c r="D481" s="6" t="s">
        <v>16</v>
      </c>
      <c r="E481" s="6" t="s">
        <v>128</v>
      </c>
      <c r="F481" s="133" t="s">
        <v>129</v>
      </c>
      <c r="G481" s="133" t="s">
        <v>130</v>
      </c>
      <c r="H481" s="133" t="s">
        <v>131</v>
      </c>
      <c r="I481" s="133" t="s">
        <v>22</v>
      </c>
      <c r="J481" s="135" t="s">
        <v>23</v>
      </c>
      <c r="K481" s="135" t="s">
        <v>24</v>
      </c>
      <c r="L481" s="6" t="s">
        <v>127</v>
      </c>
      <c r="M481" s="93">
        <v>28</v>
      </c>
      <c r="N481" s="93">
        <v>61</v>
      </c>
      <c r="O481" s="6">
        <v>2</v>
      </c>
      <c r="P481" s="129">
        <v>1</v>
      </c>
      <c r="Q481" s="6">
        <v>0</v>
      </c>
      <c r="R481" s="98">
        <v>0.50019999999999998</v>
      </c>
      <c r="S481" s="94">
        <f>((Table3.110[[#This Row],[Sample weight, g]]*'2.1. DM'!Q77)/100)*1000</f>
        <v>473.12500000000023</v>
      </c>
      <c r="T481" s="94">
        <f>'3.2 Digest'!W481</f>
        <v>259.32500000000027</v>
      </c>
      <c r="U481" s="153">
        <v>0.32777777777777778</v>
      </c>
      <c r="V481" s="154">
        <v>41</v>
      </c>
      <c r="W481" s="153">
        <v>0.66249999999999998</v>
      </c>
      <c r="X481" s="91">
        <v>74.5</v>
      </c>
      <c r="Y481" s="91">
        <v>12.6</v>
      </c>
      <c r="Z481" s="154">
        <v>40.5</v>
      </c>
      <c r="AA481" s="153">
        <v>0.36458333333333331</v>
      </c>
      <c r="AB481" s="154">
        <v>83.5</v>
      </c>
      <c r="AC481" s="154">
        <v>14.8</v>
      </c>
      <c r="AD481" s="91"/>
      <c r="AE481" s="94">
        <f>Table3.110[[#This Row],[Gas 8h, ml]]-Table3.110[[#This Row],[Gas 0h, ml]]</f>
        <v>33.5</v>
      </c>
      <c r="AF481" s="94">
        <f>Table3.110[[#This Row],[Gas 24h, ml]]-Table3.110[[#This Row],[V8 Push back, ml]]</f>
        <v>43</v>
      </c>
      <c r="AG481" s="94">
        <f>Table3.110[[#This Row],[GP 8h, ml]]-(AVERAGE(AE$479,AE$480,AE$660,AE$661,AE$662,AE$663))*AG$8</f>
        <v>30.107474101643646</v>
      </c>
      <c r="AH481" s="94">
        <f>Table3.110[[#This Row],[GP 8-24h, ml]]-(AVERAGE(AF$479,AF$480,AF$660,AF$661,AF$662,AF$663))*AG$8</f>
        <v>38.685592064046816</v>
      </c>
      <c r="AI481" s="94">
        <f>Table3.110[[#This Row],[Net gas 8-24h, ml]]+Table3.110[[#This Row],[Net gas 8h, ml]]</f>
        <v>68.793066165690462</v>
      </c>
      <c r="AJ481" s="94">
        <f>Table3.110[[#This Row],[Net gas 8h, ml]]*Table3.110[[#This Row],[CH4 8h %]]%</f>
        <v>3.7935417368070996</v>
      </c>
      <c r="AK481" s="94">
        <f>Table3.110[[#This Row],[Net gas 8-24h, ml]]*Table3.110[[#This Row],[CH4 24h, %]]%</f>
        <v>5.7254676254789292</v>
      </c>
      <c r="AL481" s="94">
        <f>Table3.110[[#This Row],[CH4 8-24h, ml]]+Table3.110[[#This Row],[CH4 8h, ml]]</f>
        <v>9.5190093622860292</v>
      </c>
      <c r="AM481" s="94">
        <f>(Table3.110[[#This Row],[Net gas 24h, ml]]/Table3.110[[#This Row],[DM Incubated, mg]])*1000</f>
        <v>145.40146085218586</v>
      </c>
      <c r="AN481" s="94">
        <f>'3.2 Digest'!X481</f>
        <v>54.811096433289329</v>
      </c>
      <c r="AO481" s="94">
        <f>Table3.110[[#This Row],[Digested feed, mg]]/Table3.110[[#This Row],[Net gas 24h, ml]]</f>
        <v>3.7696386344432899</v>
      </c>
      <c r="AP481" s="94">
        <f>Table3.110[[#This Row],[CH4 8h, ml]]/Table3.110[[#This Row],[Net gas 8h, ml]]%</f>
        <v>12.600000000000001</v>
      </c>
      <c r="AQ481" s="94">
        <f>Table3.110[[#This Row],[CH4 24h, ml]]/Table3.110[[#This Row],[Net gas 24h, ml]]%</f>
        <v>13.83716396556474</v>
      </c>
      <c r="AR481" s="94">
        <f>Table3.110[[#This Row],[CH4 24h, ml]]/Table3.110[[#This Row],[DM Incubated, mg]]*1000</f>
        <v>20.11943854644338</v>
      </c>
      <c r="AS481" s="94">
        <f>Table3.110[[#This Row],[CH4 24h, ml]]/Table3.110[[#This Row],[Digested feed, mg]]*1000</f>
        <v>36.706871155060327</v>
      </c>
      <c r="AT481" s="94">
        <f>Table3.110[[#This Row],[CH4 24h, ml]]/'3.2 Digest'!AA481</f>
        <v>0.72890086609355575</v>
      </c>
      <c r="AU481" s="94">
        <f>((Table3.110[[#This Row],[CH4 24h, ml]]/28.9)*16.04)/Table3.110[[#This Row],[DM Incubated, mg]]*1000</f>
        <v>11.16663648044816</v>
      </c>
      <c r="AV481" s="94">
        <f>((Table3.110[[#This Row],[CH4 24h, ml]]/28.9)*16.04)/Table3.110[[#This Row],[Digested feed, mg]]*1000</f>
        <v>20.372948558033482</v>
      </c>
      <c r="AW481" s="303"/>
      <c r="AX481" s="306"/>
    </row>
    <row r="482" spans="1:50" s="304" customFormat="1" x14ac:dyDescent="0.35">
      <c r="A482" s="89"/>
      <c r="B482" s="90">
        <f t="shared" si="7"/>
        <v>472</v>
      </c>
      <c r="C482" s="140">
        <v>46050</v>
      </c>
      <c r="D482" s="6" t="s">
        <v>16</v>
      </c>
      <c r="E482" s="6" t="s">
        <v>128</v>
      </c>
      <c r="F482" s="133" t="s">
        <v>129</v>
      </c>
      <c r="G482" s="133" t="s">
        <v>130</v>
      </c>
      <c r="H482" s="133" t="s">
        <v>131</v>
      </c>
      <c r="I482" s="133" t="s">
        <v>22</v>
      </c>
      <c r="J482" s="135" t="s">
        <v>23</v>
      </c>
      <c r="K482" s="135" t="s">
        <v>24</v>
      </c>
      <c r="L482" s="6" t="s">
        <v>127</v>
      </c>
      <c r="M482" s="93">
        <v>28</v>
      </c>
      <c r="N482" s="93">
        <v>61</v>
      </c>
      <c r="O482" s="6">
        <v>2</v>
      </c>
      <c r="P482" s="6">
        <v>2</v>
      </c>
      <c r="Q482" s="6">
        <v>0</v>
      </c>
      <c r="R482" s="98">
        <v>0.50039999999999996</v>
      </c>
      <c r="S482" s="94">
        <f>((Table3.110[[#This Row],[Sample weight, g]]*'2.1. DM'!Q77)/100)*1000</f>
        <v>473.31417433026809</v>
      </c>
      <c r="T482" s="94">
        <f>'3.2 Digest'!W482</f>
        <v>261.71417433026807</v>
      </c>
      <c r="U482" s="117">
        <v>0.32847222222222222</v>
      </c>
      <c r="V482" s="155">
        <v>41.5</v>
      </c>
      <c r="W482" s="117">
        <v>0.66319444444444442</v>
      </c>
      <c r="X482" s="96">
        <v>76.5</v>
      </c>
      <c r="Y482" s="96">
        <v>13.1</v>
      </c>
      <c r="Z482" s="155">
        <v>40.5</v>
      </c>
      <c r="AA482" s="117">
        <v>0.36527777777777776</v>
      </c>
      <c r="AB482" s="155">
        <v>85.5</v>
      </c>
      <c r="AC482" s="155">
        <v>15.8</v>
      </c>
      <c r="AD482" s="96"/>
      <c r="AE482" s="94">
        <f>Table3.110[[#This Row],[Gas 8h, ml]]-Table3.110[[#This Row],[Gas 0h, ml]]</f>
        <v>35</v>
      </c>
      <c r="AF482" s="94">
        <f>Table3.110[[#This Row],[Gas 24h, ml]]-Table3.110[[#This Row],[V8 Push back, ml]]</f>
        <v>45</v>
      </c>
      <c r="AG482" s="94">
        <f>Table3.110[[#This Row],[GP 8h, ml]]-(AVERAGE(AE$479,AE$480,AE$660,AE$661,AE$662,AE$663))*AG$8</f>
        <v>31.607474101643646</v>
      </c>
      <c r="AH482" s="94">
        <f>Table3.110[[#This Row],[GP 8-24h, ml]]-(AVERAGE(AF$479,AF$480,AF$660,AF$661,AF$662,AF$663))*AG$8</f>
        <v>40.685592064046816</v>
      </c>
      <c r="AI482" s="94">
        <f>Table3.110[[#This Row],[Net gas 8-24h, ml]]+Table3.110[[#This Row],[Net gas 8h, ml]]</f>
        <v>72.293066165690462</v>
      </c>
      <c r="AJ482" s="94">
        <f>Table3.110[[#This Row],[Net gas 8h, ml]]*Table3.110[[#This Row],[CH4 8h %]]%</f>
        <v>4.1405791073153182</v>
      </c>
      <c r="AK482" s="94">
        <f>Table3.110[[#This Row],[Net gas 8-24h, ml]]*Table3.110[[#This Row],[CH4 24h, %]]%</f>
        <v>6.4283235461193966</v>
      </c>
      <c r="AL482" s="94">
        <f>Table3.110[[#This Row],[CH4 8-24h, ml]]+Table3.110[[#This Row],[CH4 8h, ml]]</f>
        <v>10.568902653434716</v>
      </c>
      <c r="AM482" s="94">
        <f>(Table3.110[[#This Row],[Net gas 24h, ml]]/Table3.110[[#This Row],[DM Incubated, mg]])*1000</f>
        <v>152.73801226845569</v>
      </c>
      <c r="AN482" s="94">
        <f>'3.2 Digest'!X482</f>
        <v>55.29396509212711</v>
      </c>
      <c r="AO482" s="94">
        <f>Table3.110[[#This Row],[Digested feed, mg]]/Table3.110[[#This Row],[Net gas 24h, ml]]</f>
        <v>3.620183624947352</v>
      </c>
      <c r="AP482" s="94">
        <f>Table3.110[[#This Row],[CH4 8h, ml]]/Table3.110[[#This Row],[Net gas 8h, ml]]%</f>
        <v>13.100000000000001</v>
      </c>
      <c r="AQ482" s="94">
        <f>Table3.110[[#This Row],[CH4 24h, ml]]/Table3.110[[#This Row],[Net gas 24h, ml]]%</f>
        <v>14.619524684720879</v>
      </c>
      <c r="AR482" s="94">
        <f>Table3.110[[#This Row],[CH4 24h, ml]]/Table3.110[[#This Row],[DM Incubated, mg]]*1000</f>
        <v>22.329571406538886</v>
      </c>
      <c r="AS482" s="94">
        <f>Table3.110[[#This Row],[CH4 24h, ml]]/Table3.110[[#This Row],[Digested feed, mg]]*1000</f>
        <v>40.38337885397592</v>
      </c>
      <c r="AT482" s="94">
        <f>Table3.110[[#This Row],[CH4 24h, ml]]/'3.2 Digest'!AA482</f>
        <v>0.75554706375954994</v>
      </c>
      <c r="AU482" s="94">
        <f>((Table3.110[[#This Row],[CH4 24h, ml]]/28.9)*16.04)/Table3.110[[#This Row],[DM Incubated, mg]]*1000</f>
        <v>12.3932984553939</v>
      </c>
      <c r="AV482" s="94">
        <f>((Table3.110[[#This Row],[CH4 24h, ml]]/28.9)*16.04)/Table3.110[[#This Row],[Digested feed, mg]]*1000</f>
        <v>22.413473938331272</v>
      </c>
      <c r="AW482" s="303"/>
      <c r="AX482" s="306"/>
    </row>
    <row r="483" spans="1:50" s="304" customFormat="1" x14ac:dyDescent="0.35">
      <c r="A483" s="89"/>
      <c r="B483" s="90">
        <f t="shared" si="7"/>
        <v>473</v>
      </c>
      <c r="C483" s="140">
        <v>46050</v>
      </c>
      <c r="D483" s="6" t="s">
        <v>16</v>
      </c>
      <c r="E483" s="6" t="s">
        <v>128</v>
      </c>
      <c r="F483" s="133" t="s">
        <v>129</v>
      </c>
      <c r="G483" s="133" t="s">
        <v>130</v>
      </c>
      <c r="H483" s="133" t="s">
        <v>131</v>
      </c>
      <c r="I483" s="133" t="s">
        <v>22</v>
      </c>
      <c r="J483" s="135" t="s">
        <v>23</v>
      </c>
      <c r="K483" s="135" t="s">
        <v>24</v>
      </c>
      <c r="L483" s="6" t="s">
        <v>127</v>
      </c>
      <c r="M483" s="93">
        <v>28</v>
      </c>
      <c r="N483" s="93">
        <v>61</v>
      </c>
      <c r="O483" s="6">
        <v>2</v>
      </c>
      <c r="P483" s="129">
        <v>3</v>
      </c>
      <c r="Q483" s="6">
        <v>0</v>
      </c>
      <c r="R483" s="98">
        <v>0.5</v>
      </c>
      <c r="S483" s="94">
        <f>((Table3.110[[#This Row],[Sample weight, g]]*'2.1. DM'!Q77)/100)*1000</f>
        <v>472.93582566973237</v>
      </c>
      <c r="T483" s="94">
        <f>'3.2 Digest'!W483</f>
        <v>254.13582566973238</v>
      </c>
      <c r="U483" s="153">
        <v>0.32916666666666666</v>
      </c>
      <c r="V483" s="154">
        <v>41.5</v>
      </c>
      <c r="W483" s="153">
        <v>0.66319444444444442</v>
      </c>
      <c r="X483" s="91">
        <v>75</v>
      </c>
      <c r="Y483" s="91">
        <v>13.9</v>
      </c>
      <c r="Z483" s="154">
        <v>40.5</v>
      </c>
      <c r="AA483" s="153">
        <v>0.36527777777777776</v>
      </c>
      <c r="AB483" s="154">
        <v>86.5</v>
      </c>
      <c r="AC483" s="154">
        <v>16.100000000000001</v>
      </c>
      <c r="AD483" s="91"/>
      <c r="AE483" s="94">
        <f>Table3.110[[#This Row],[Gas 8h, ml]]-Table3.110[[#This Row],[Gas 0h, ml]]</f>
        <v>33.5</v>
      </c>
      <c r="AF483" s="94">
        <f>Table3.110[[#This Row],[Gas 24h, ml]]-Table3.110[[#This Row],[V8 Push back, ml]]</f>
        <v>46</v>
      </c>
      <c r="AG483" s="94">
        <f>Table3.110[[#This Row],[GP 8h, ml]]-(AVERAGE(AE$479,AE$480,AE$660,AE$661,AE$662,AE$663))*AG$8</f>
        <v>30.107474101643646</v>
      </c>
      <c r="AH483" s="94">
        <f>Table3.110[[#This Row],[GP 8-24h, ml]]-(AVERAGE(AF$479,AF$480,AF$660,AF$661,AF$662,AF$663))*AG$8</f>
        <v>41.685592064046816</v>
      </c>
      <c r="AI483" s="94">
        <f>Table3.110[[#This Row],[Net gas 8-24h, ml]]+Table3.110[[#This Row],[Net gas 8h, ml]]</f>
        <v>71.793066165690462</v>
      </c>
      <c r="AJ483" s="94">
        <f>Table3.110[[#This Row],[Net gas 8h, ml]]*Table3.110[[#This Row],[CH4 8h %]]%</f>
        <v>4.1849389001284676</v>
      </c>
      <c r="AK483" s="94">
        <f>Table3.110[[#This Row],[Net gas 8-24h, ml]]*Table3.110[[#This Row],[CH4 24h, %]]%</f>
        <v>6.7113803223115376</v>
      </c>
      <c r="AL483" s="94">
        <f>Table3.110[[#This Row],[CH4 8-24h, ml]]+Table3.110[[#This Row],[CH4 8h, ml]]</f>
        <v>10.896319222440006</v>
      </c>
      <c r="AM483" s="94">
        <f>(Table3.110[[#This Row],[Net gas 24h, ml]]/Table3.110[[#This Row],[DM Incubated, mg]])*1000</f>
        <v>151.80297678659278</v>
      </c>
      <c r="AN483" s="94">
        <f>'3.2 Digest'!X483</f>
        <v>53.73579498018497</v>
      </c>
      <c r="AO483" s="94">
        <f>Table3.110[[#This Row],[Digested feed, mg]]/Table3.110[[#This Row],[Net gas 24h, ml]]</f>
        <v>3.5398380267422342</v>
      </c>
      <c r="AP483" s="94">
        <f>Table3.110[[#This Row],[CH4 8h, ml]]/Table3.110[[#This Row],[Net gas 8h, ml]]%</f>
        <v>13.900000000000004</v>
      </c>
      <c r="AQ483" s="94">
        <f>Table3.110[[#This Row],[CH4 24h, ml]]/Table3.110[[#This Row],[Net gas 24h, ml]]%</f>
        <v>15.177397768877157</v>
      </c>
      <c r="AR483" s="94">
        <f>Table3.110[[#This Row],[CH4 24h, ml]]/Table3.110[[#This Row],[DM Incubated, mg]]*1000</f>
        <v>23.039741611897437</v>
      </c>
      <c r="AS483" s="94">
        <f>Table3.110[[#This Row],[CH4 24h, ml]]/Table3.110[[#This Row],[Digested feed, mg]]*1000</f>
        <v>42.875966793444341</v>
      </c>
      <c r="AT483" s="94">
        <f>Table3.110[[#This Row],[CH4 24h, ml]]/'3.2 Digest'!AA483</f>
        <v>0.99142261088924422</v>
      </c>
      <c r="AU483" s="94">
        <f>((Table3.110[[#This Row],[CH4 24h, ml]]/28.9)*16.04)/Table3.110[[#This Row],[DM Incubated, mg]]*1000</f>
        <v>12.787455206049652</v>
      </c>
      <c r="AV483" s="94">
        <f>((Table3.110[[#This Row],[CH4 24h, ml]]/28.9)*16.04)/Table3.110[[#This Row],[Digested feed, mg]]*1000</f>
        <v>23.796903369095059</v>
      </c>
      <c r="AW483" s="303"/>
      <c r="AX483" s="306"/>
    </row>
    <row r="484" spans="1:50" s="304" customFormat="1" x14ac:dyDescent="0.35">
      <c r="A484" s="89"/>
      <c r="B484" s="90">
        <f t="shared" si="7"/>
        <v>474</v>
      </c>
      <c r="C484" s="140">
        <v>46050</v>
      </c>
      <c r="D484" s="6" t="s">
        <v>16</v>
      </c>
      <c r="E484" s="6" t="s">
        <v>135</v>
      </c>
      <c r="F484" s="133" t="s">
        <v>99</v>
      </c>
      <c r="G484" s="133" t="s">
        <v>100</v>
      </c>
      <c r="H484" s="133" t="s">
        <v>101</v>
      </c>
      <c r="I484" s="133" t="s">
        <v>22</v>
      </c>
      <c r="J484" s="135" t="s">
        <v>23</v>
      </c>
      <c r="K484" s="135" t="s">
        <v>24</v>
      </c>
      <c r="L484" s="6" t="s">
        <v>134</v>
      </c>
      <c r="M484" s="93">
        <v>28</v>
      </c>
      <c r="N484" s="93">
        <v>61</v>
      </c>
      <c r="O484" s="6">
        <v>2</v>
      </c>
      <c r="P484" s="129">
        <v>1</v>
      </c>
      <c r="Q484" s="6">
        <v>0</v>
      </c>
      <c r="R484" s="98">
        <v>0.5</v>
      </c>
      <c r="S484" s="94">
        <f>((Table3.110[[#This Row],[Sample weight, g]]*'2.1. DM'!Q79)/100)*1000</f>
        <v>463.30916262014</v>
      </c>
      <c r="T484" s="94">
        <f>'3.2 Digest'!W484</f>
        <v>228.6091626201401</v>
      </c>
      <c r="U484" s="117">
        <v>0.3298611111111111</v>
      </c>
      <c r="V484" s="155">
        <v>41.5</v>
      </c>
      <c r="W484" s="117">
        <v>0.66388888888888886</v>
      </c>
      <c r="X484" s="96">
        <v>81</v>
      </c>
      <c r="Y484" s="96">
        <v>11.4</v>
      </c>
      <c r="Z484" s="155">
        <v>40</v>
      </c>
      <c r="AA484" s="117">
        <v>0.36666666666666664</v>
      </c>
      <c r="AB484" s="155">
        <v>71.5</v>
      </c>
      <c r="AC484" s="155">
        <v>14.1</v>
      </c>
      <c r="AD484" s="96"/>
      <c r="AE484" s="94">
        <f>Table3.110[[#This Row],[Gas 8h, ml]]-Table3.110[[#This Row],[Gas 0h, ml]]</f>
        <v>39.5</v>
      </c>
      <c r="AF484" s="94">
        <f>Table3.110[[#This Row],[Gas 24h, ml]]-Table3.110[[#This Row],[V8 Push back, ml]]</f>
        <v>31.5</v>
      </c>
      <c r="AG484" s="94">
        <f>Table3.110[[#This Row],[GP 8h, ml]]-(AVERAGE(AE$479,AE$480,AE$660,AE$661,AE$662,AE$663))*AG$8</f>
        <v>36.107474101643646</v>
      </c>
      <c r="AH484" s="94">
        <f>Table3.110[[#This Row],[GP 8-24h, ml]]-(AVERAGE(AF$479,AF$480,AF$660,AF$661,AF$662,AF$663))*AG$8</f>
        <v>27.185592064046812</v>
      </c>
      <c r="AI484" s="94">
        <f>Table3.110[[#This Row],[Net gas 8-24h, ml]]+Table3.110[[#This Row],[Net gas 8h, ml]]</f>
        <v>63.293066165690462</v>
      </c>
      <c r="AJ484" s="94">
        <f>Table3.110[[#This Row],[Net gas 8h, ml]]*Table3.110[[#This Row],[CH4 8h %]]%</f>
        <v>4.1162520475873761</v>
      </c>
      <c r="AK484" s="94">
        <f>Table3.110[[#This Row],[Net gas 8-24h, ml]]*Table3.110[[#This Row],[CH4 24h, %]]%</f>
        <v>3.8331684810305999</v>
      </c>
      <c r="AL484" s="94">
        <f>Table3.110[[#This Row],[CH4 8-24h, ml]]+Table3.110[[#This Row],[CH4 8h, ml]]</f>
        <v>7.949420528617976</v>
      </c>
      <c r="AM484" s="94">
        <f>(Table3.110[[#This Row],[Net gas 24h, ml]]/Table3.110[[#This Row],[DM Incubated, mg]])*1000</f>
        <v>136.61086650596519</v>
      </c>
      <c r="AN484" s="94">
        <f>'3.2 Digest'!X484</f>
        <v>49.342681100303039</v>
      </c>
      <c r="AO484" s="94">
        <f>Table3.110[[#This Row],[Digested feed, mg]]/Table3.110[[#This Row],[Net gas 24h, ml]]</f>
        <v>3.6119148031425792</v>
      </c>
      <c r="AP484" s="94">
        <f>Table3.110[[#This Row],[CH4 8h, ml]]/Table3.110[[#This Row],[Net gas 8h, ml]]%</f>
        <v>11.400000000000002</v>
      </c>
      <c r="AQ484" s="94">
        <f>Table3.110[[#This Row],[CH4 24h, ml]]/Table3.110[[#This Row],[Net gas 24h, ml]]%</f>
        <v>12.559702049838679</v>
      </c>
      <c r="AR484" s="94">
        <f>Table3.110[[#This Row],[CH4 24h, ml]]/Table3.110[[#This Row],[DM Incubated, mg]]*1000</f>
        <v>17.15791780085209</v>
      </c>
      <c r="AS484" s="94">
        <f>Table3.110[[#This Row],[CH4 24h, ml]]/Table3.110[[#This Row],[Digested feed, mg]]*1000</f>
        <v>34.772974265370259</v>
      </c>
      <c r="AT484" s="94">
        <f>Table3.110[[#This Row],[CH4 24h, ml]]/'3.2 Digest'!AA484</f>
        <v>10.406029673541129</v>
      </c>
      <c r="AU484" s="94">
        <f>((Table3.110[[#This Row],[CH4 24h, ml]]/28.9)*16.04)/Table3.110[[#This Row],[DM Incubated, mg]]*1000</f>
        <v>9.5229412292618534</v>
      </c>
      <c r="AV484" s="94">
        <f>((Table3.110[[#This Row],[CH4 24h, ml]]/28.9)*16.04)/Table3.110[[#This Row],[Digested feed, mg]]*1000</f>
        <v>19.299602325831799</v>
      </c>
      <c r="AW484" s="303"/>
      <c r="AX484" s="306"/>
    </row>
    <row r="485" spans="1:50" s="304" customFormat="1" x14ac:dyDescent="0.35">
      <c r="A485" s="89"/>
      <c r="B485" s="90">
        <f t="shared" si="7"/>
        <v>475</v>
      </c>
      <c r="C485" s="140">
        <v>46050</v>
      </c>
      <c r="D485" s="6" t="s">
        <v>16</v>
      </c>
      <c r="E485" s="6" t="s">
        <v>135</v>
      </c>
      <c r="F485" s="133" t="s">
        <v>99</v>
      </c>
      <c r="G485" s="133" t="s">
        <v>100</v>
      </c>
      <c r="H485" s="133" t="s">
        <v>101</v>
      </c>
      <c r="I485" s="133" t="s">
        <v>22</v>
      </c>
      <c r="J485" s="135" t="s">
        <v>23</v>
      </c>
      <c r="K485" s="135" t="s">
        <v>24</v>
      </c>
      <c r="L485" s="6" t="s">
        <v>134</v>
      </c>
      <c r="M485" s="93">
        <v>28</v>
      </c>
      <c r="N485" s="93">
        <v>61</v>
      </c>
      <c r="O485" s="6">
        <v>2</v>
      </c>
      <c r="P485" s="6">
        <v>2</v>
      </c>
      <c r="Q485" s="6">
        <v>0</v>
      </c>
      <c r="R485" s="98">
        <v>0.50009999999999999</v>
      </c>
      <c r="S485" s="94">
        <f>((Table3.110[[#This Row],[Sample weight, g]]*'2.1. DM'!Q79)/100)*1000</f>
        <v>463.40182445266396</v>
      </c>
      <c r="T485" s="94">
        <f>'3.2 Digest'!W485</f>
        <v>261.30182445266394</v>
      </c>
      <c r="U485" s="153">
        <v>0.33055555555555555</v>
      </c>
      <c r="V485" s="154">
        <v>41.5</v>
      </c>
      <c r="W485" s="153">
        <v>0.66388888888888886</v>
      </c>
      <c r="X485" s="91">
        <v>80.5</v>
      </c>
      <c r="Y485" s="91">
        <v>11.7</v>
      </c>
      <c r="Z485" s="154">
        <v>40</v>
      </c>
      <c r="AA485" s="153">
        <v>0.36666666666666664</v>
      </c>
      <c r="AB485" s="154">
        <v>73</v>
      </c>
      <c r="AC485" s="154">
        <v>13.8</v>
      </c>
      <c r="AD485" s="91"/>
      <c r="AE485" s="94">
        <f>Table3.110[[#This Row],[Gas 8h, ml]]-Table3.110[[#This Row],[Gas 0h, ml]]</f>
        <v>39</v>
      </c>
      <c r="AF485" s="94">
        <f>Table3.110[[#This Row],[Gas 24h, ml]]-Table3.110[[#This Row],[V8 Push back, ml]]</f>
        <v>33</v>
      </c>
      <c r="AG485" s="94">
        <f>Table3.110[[#This Row],[GP 8h, ml]]-(AVERAGE(AE$479,AE$480,AE$660,AE$661,AE$662,AE$663))*AG$8</f>
        <v>35.607474101643646</v>
      </c>
      <c r="AH485" s="94">
        <f>Table3.110[[#This Row],[GP 8-24h, ml]]-(AVERAGE(AF$479,AF$480,AF$660,AF$661,AF$662,AF$663))*AG$8</f>
        <v>28.685592064046812</v>
      </c>
      <c r="AI485" s="94">
        <f>Table3.110[[#This Row],[Net gas 8-24h, ml]]+Table3.110[[#This Row],[Net gas 8h, ml]]</f>
        <v>64.293066165690462</v>
      </c>
      <c r="AJ485" s="94">
        <f>Table3.110[[#This Row],[Net gas 8h, ml]]*Table3.110[[#This Row],[CH4 8h %]]%</f>
        <v>4.1660744698923065</v>
      </c>
      <c r="AK485" s="94">
        <f>Table3.110[[#This Row],[Net gas 8-24h, ml]]*Table3.110[[#This Row],[CH4 24h, %]]%</f>
        <v>3.9586117048384604</v>
      </c>
      <c r="AL485" s="94">
        <f>Table3.110[[#This Row],[CH4 8-24h, ml]]+Table3.110[[#This Row],[CH4 8h, ml]]</f>
        <v>8.1246861747307673</v>
      </c>
      <c r="AM485" s="94">
        <f>(Table3.110[[#This Row],[Net gas 24h, ml]]/Table3.110[[#This Row],[DM Incubated, mg]])*1000</f>
        <v>138.74150418295977</v>
      </c>
      <c r="AN485" s="94">
        <f>'3.2 Digest'!X485</f>
        <v>56.387741839664606</v>
      </c>
      <c r="AO485" s="94">
        <f>Table3.110[[#This Row],[Digested feed, mg]]/Table3.110[[#This Row],[Net gas 24h, ml]]</f>
        <v>4.0642302511947364</v>
      </c>
      <c r="AP485" s="94">
        <f>Table3.110[[#This Row],[CH4 8h, ml]]/Table3.110[[#This Row],[Net gas 8h, ml]]%</f>
        <v>11.700000000000001</v>
      </c>
      <c r="AQ485" s="94">
        <f>Table3.110[[#This Row],[CH4 24h, ml]]/Table3.110[[#This Row],[Net gas 24h, ml]]%</f>
        <v>12.636955521443848</v>
      </c>
      <c r="AR485" s="94">
        <f>Table3.110[[#This Row],[CH4 24h, ml]]/Table3.110[[#This Row],[DM Incubated, mg]]*1000</f>
        <v>17.532702173382781</v>
      </c>
      <c r="AS485" s="94">
        <f>Table3.110[[#This Row],[CH4 24h, ml]]/Table3.110[[#This Row],[Digested feed, mg]]*1000</f>
        <v>31.093109249233706</v>
      </c>
      <c r="AT485" s="94">
        <f>Table3.110[[#This Row],[CH4 24h, ml]]/'3.2 Digest'!AA485</f>
        <v>0.5578235873031705</v>
      </c>
      <c r="AU485" s="94">
        <f>((Table3.110[[#This Row],[CH4 24h, ml]]/28.9)*16.04)/Table3.110[[#This Row],[DM Incubated, mg]]*1000</f>
        <v>9.7309530401750788</v>
      </c>
      <c r="AV485" s="94">
        <f>((Table3.110[[#This Row],[CH4 24h, ml]]/28.9)*16.04)/Table3.110[[#This Row],[Digested feed, mg]]*1000</f>
        <v>17.257213576391301</v>
      </c>
      <c r="AW485" s="303"/>
      <c r="AX485" s="306"/>
    </row>
    <row r="486" spans="1:50" s="304" customFormat="1" x14ac:dyDescent="0.35">
      <c r="A486" s="89"/>
      <c r="B486" s="90">
        <f t="shared" si="7"/>
        <v>476</v>
      </c>
      <c r="C486" s="140">
        <v>46050</v>
      </c>
      <c r="D486" s="6" t="s">
        <v>16</v>
      </c>
      <c r="E486" s="6" t="s">
        <v>135</v>
      </c>
      <c r="F486" s="133" t="s">
        <v>99</v>
      </c>
      <c r="G486" s="133" t="s">
        <v>100</v>
      </c>
      <c r="H486" s="133" t="s">
        <v>101</v>
      </c>
      <c r="I486" s="133" t="s">
        <v>22</v>
      </c>
      <c r="J486" s="135" t="s">
        <v>23</v>
      </c>
      <c r="K486" s="135" t="s">
        <v>24</v>
      </c>
      <c r="L486" s="6" t="s">
        <v>134</v>
      </c>
      <c r="M486" s="93">
        <v>28</v>
      </c>
      <c r="N486" s="93">
        <v>61</v>
      </c>
      <c r="O486" s="6">
        <v>2</v>
      </c>
      <c r="P486" s="129">
        <v>3</v>
      </c>
      <c r="Q486" s="6">
        <v>0</v>
      </c>
      <c r="R486" s="98">
        <v>0.50019999999999998</v>
      </c>
      <c r="S486" s="94">
        <f>((Table3.110[[#This Row],[Sample weight, g]]*'2.1. DM'!Q79)/100)*1000</f>
        <v>463.49448628518803</v>
      </c>
      <c r="T486" s="94">
        <f>'3.2 Digest'!W486</f>
        <v>242.89448628518801</v>
      </c>
      <c r="U486" s="117">
        <v>0.33124999999999999</v>
      </c>
      <c r="V486" s="155">
        <v>41.5</v>
      </c>
      <c r="W486" s="117">
        <v>0.6645833333333333</v>
      </c>
      <c r="X486" s="96">
        <v>80.5</v>
      </c>
      <c r="Y486" s="96">
        <v>11.8</v>
      </c>
      <c r="Z486" s="155">
        <v>40</v>
      </c>
      <c r="AA486" s="117">
        <v>0.36736111111111114</v>
      </c>
      <c r="AB486" s="155">
        <v>71.5</v>
      </c>
      <c r="AC486" s="155">
        <v>13.9</v>
      </c>
      <c r="AD486" s="96"/>
      <c r="AE486" s="94">
        <f>Table3.110[[#This Row],[Gas 8h, ml]]-Table3.110[[#This Row],[Gas 0h, ml]]</f>
        <v>39</v>
      </c>
      <c r="AF486" s="94">
        <f>Table3.110[[#This Row],[Gas 24h, ml]]-Table3.110[[#This Row],[V8 Push back, ml]]</f>
        <v>31.5</v>
      </c>
      <c r="AG486" s="94">
        <f>Table3.110[[#This Row],[GP 8h, ml]]-(AVERAGE(AE$479,AE$480,AE$660,AE$661,AE$662,AE$663))*AG$8</f>
        <v>35.607474101643646</v>
      </c>
      <c r="AH486" s="94">
        <f>Table3.110[[#This Row],[GP 8-24h, ml]]-(AVERAGE(AF$479,AF$480,AF$660,AF$661,AF$662,AF$663))*AG$8</f>
        <v>27.185592064046812</v>
      </c>
      <c r="AI486" s="94">
        <f>Table3.110[[#This Row],[Net gas 8-24h, ml]]+Table3.110[[#This Row],[Net gas 8h, ml]]</f>
        <v>62.793066165690462</v>
      </c>
      <c r="AJ486" s="94">
        <f>Table3.110[[#This Row],[Net gas 8h, ml]]*Table3.110[[#This Row],[CH4 8h %]]%</f>
        <v>4.2016819439939503</v>
      </c>
      <c r="AK486" s="94">
        <f>Table3.110[[#This Row],[Net gas 8-24h, ml]]*Table3.110[[#This Row],[CH4 24h, %]]%</f>
        <v>3.7787972969025074</v>
      </c>
      <c r="AL486" s="94">
        <f>Table3.110[[#This Row],[CH4 8-24h, ml]]+Table3.110[[#This Row],[CH4 8h, ml]]</f>
        <v>7.9804792408964573</v>
      </c>
      <c r="AM486" s="94">
        <f>(Table3.110[[#This Row],[Net gas 24h, ml]]/Table3.110[[#This Row],[DM Incubated, mg]])*1000</f>
        <v>135.47748252404003</v>
      </c>
      <c r="AN486" s="94">
        <f>'3.2 Digest'!X486</f>
        <v>52.405043311720235</v>
      </c>
      <c r="AO486" s="94">
        <f>Table3.110[[#This Row],[Digested feed, mg]]/Table3.110[[#This Row],[Net gas 24h, ml]]</f>
        <v>3.8681736872709562</v>
      </c>
      <c r="AP486" s="94">
        <f>Table3.110[[#This Row],[CH4 8h, ml]]/Table3.110[[#This Row],[Net gas 8h, ml]]%</f>
        <v>11.8</v>
      </c>
      <c r="AQ486" s="94">
        <f>Table3.110[[#This Row],[CH4 24h, ml]]/Table3.110[[#This Row],[Net gas 24h, ml]]%</f>
        <v>12.709172729101285</v>
      </c>
      <c r="AR486" s="94">
        <f>Table3.110[[#This Row],[CH4 24h, ml]]/Table3.110[[#This Row],[DM Incubated, mg]]*1000</f>
        <v>17.218067263018249</v>
      </c>
      <c r="AS486" s="94">
        <f>Table3.110[[#This Row],[CH4 24h, ml]]/Table3.110[[#This Row],[Digested feed, mg]]*1000</f>
        <v>32.855744743116126</v>
      </c>
      <c r="AT486" s="94">
        <f>Table3.110[[#This Row],[CH4 24h, ml]]/'3.2 Digest'!AA486</f>
        <v>1.1800215369037308</v>
      </c>
      <c r="AU486" s="94">
        <f>((Table3.110[[#This Row],[CH4 24h, ml]]/28.9)*16.04)/Table3.110[[#This Row],[DM Incubated, mg]]*1000</f>
        <v>9.5563252214122052</v>
      </c>
      <c r="AV486" s="94">
        <f>((Table3.110[[#This Row],[CH4 24h, ml]]/28.9)*16.04)/Table3.110[[#This Row],[Digested feed, mg]]*1000</f>
        <v>18.235506770919812</v>
      </c>
      <c r="AW486" s="303"/>
      <c r="AX486" s="306"/>
    </row>
    <row r="487" spans="1:50" s="304" customFormat="1" x14ac:dyDescent="0.35">
      <c r="A487" s="89"/>
      <c r="B487" s="90">
        <f t="shared" si="7"/>
        <v>477</v>
      </c>
      <c r="C487" s="140">
        <v>46050</v>
      </c>
      <c r="D487" s="6" t="s">
        <v>16</v>
      </c>
      <c r="E487" s="6" t="s">
        <v>137</v>
      </c>
      <c r="F487" s="133" t="s">
        <v>99</v>
      </c>
      <c r="G487" s="133" t="s">
        <v>100</v>
      </c>
      <c r="H487" s="133" t="s">
        <v>101</v>
      </c>
      <c r="I487" s="133" t="s">
        <v>22</v>
      </c>
      <c r="J487" s="135" t="s">
        <v>23</v>
      </c>
      <c r="K487" s="135" t="s">
        <v>24</v>
      </c>
      <c r="L487" s="6" t="s">
        <v>136</v>
      </c>
      <c r="M487" s="93">
        <v>28</v>
      </c>
      <c r="N487" s="93">
        <v>61</v>
      </c>
      <c r="O487" s="6">
        <v>2</v>
      </c>
      <c r="P487" s="129">
        <v>1</v>
      </c>
      <c r="Q487" s="6">
        <v>0</v>
      </c>
      <c r="R487" s="98">
        <v>0.5</v>
      </c>
      <c r="S487" s="94">
        <f>((Table3.110[[#This Row],[Sample weight, g]]*'2.1. DM'!Q81)/100)*1000</f>
        <v>471.30431427962986</v>
      </c>
      <c r="T487" s="94">
        <f>'3.2 Digest'!W487</f>
        <v>251.00431427962982</v>
      </c>
      <c r="U487" s="153">
        <v>0.33402777777777776</v>
      </c>
      <c r="V487" s="154">
        <v>41.5</v>
      </c>
      <c r="W487" s="153">
        <v>0.6645833333333333</v>
      </c>
      <c r="X487" s="91">
        <v>78</v>
      </c>
      <c r="Y487" s="91">
        <v>12.5</v>
      </c>
      <c r="Z487" s="154">
        <v>41</v>
      </c>
      <c r="AA487" s="153">
        <v>0.36805555555555558</v>
      </c>
      <c r="AB487" s="154">
        <v>74</v>
      </c>
      <c r="AC487" s="154">
        <v>15.1</v>
      </c>
      <c r="AD487" s="91" t="s">
        <v>565</v>
      </c>
      <c r="AE487" s="94">
        <f>Table3.110[[#This Row],[Gas 8h, ml]]-Table3.110[[#This Row],[Gas 0h, ml]]</f>
        <v>36.5</v>
      </c>
      <c r="AF487" s="94">
        <f>Table3.110[[#This Row],[Gas 24h, ml]]-Table3.110[[#This Row],[V8 Push back, ml]]</f>
        <v>33</v>
      </c>
      <c r="AG487" s="94">
        <f>Table3.110[[#This Row],[GP 8h, ml]]-(AVERAGE(AE$479,AE$480,AE$660,AE$661,AE$662,AE$663))*AG$8</f>
        <v>33.107474101643646</v>
      </c>
      <c r="AH487" s="94">
        <f>Table3.110[[#This Row],[GP 8-24h, ml]]-(AVERAGE(AF$479,AF$480,AF$660,AF$661,AF$662,AF$663))*AG$8</f>
        <v>28.685592064046812</v>
      </c>
      <c r="AI487" s="94">
        <f>Table3.110[[#This Row],[Net gas 8-24h, ml]]+Table3.110[[#This Row],[Net gas 8h, ml]]</f>
        <v>61.793066165690462</v>
      </c>
      <c r="AJ487" s="94">
        <f>Table3.110[[#This Row],[Net gas 8h, ml]]*Table3.110[[#This Row],[CH4 8h %]]%</f>
        <v>4.1384342627054558</v>
      </c>
      <c r="AK487" s="94">
        <f>Table3.110[[#This Row],[Net gas 8-24h, ml]]*Table3.110[[#This Row],[CH4 24h, %]]%</f>
        <v>4.3315244016710688</v>
      </c>
      <c r="AL487" s="94">
        <f>Table3.110[[#This Row],[CH4 8-24h, ml]]+Table3.110[[#This Row],[CH4 8h, ml]]</f>
        <v>8.4699586643765237</v>
      </c>
      <c r="AM487" s="94">
        <f>(Table3.110[[#This Row],[Net gas 24h, ml]]/Table3.110[[#This Row],[DM Incubated, mg]])*1000</f>
        <v>131.11075857673558</v>
      </c>
      <c r="AN487" s="94">
        <f>'3.2 Digest'!X487</f>
        <v>53.257376746758631</v>
      </c>
      <c r="AO487" s="94">
        <f>Table3.110[[#This Row],[Digested feed, mg]]/Table3.110[[#This Row],[Net gas 24h, ml]]</f>
        <v>4.0620142332246925</v>
      </c>
      <c r="AP487" s="94">
        <f>Table3.110[[#This Row],[CH4 8h, ml]]/Table3.110[[#This Row],[Net gas 8h, ml]]%</f>
        <v>12.5</v>
      </c>
      <c r="AQ487" s="94">
        <f>Table3.110[[#This Row],[CH4 24h, ml]]/Table3.110[[#This Row],[Net gas 24h, ml]]%</f>
        <v>13.706972626451936</v>
      </c>
      <c r="AR487" s="94">
        <f>Table3.110[[#This Row],[CH4 24h, ml]]/Table3.110[[#This Row],[DM Incubated, mg]]*1000</f>
        <v>17.971315788446628</v>
      </c>
      <c r="AS487" s="94">
        <f>Table3.110[[#This Row],[CH4 24h, ml]]/Table3.110[[#This Row],[Digested feed, mg]]*1000</f>
        <v>33.744275227638596</v>
      </c>
      <c r="AT487" s="94">
        <f>Table3.110[[#This Row],[CH4 24h, ml]]/'3.2 Digest'!AA487</f>
        <v>-5.9563118071139147</v>
      </c>
      <c r="AU487" s="94">
        <f>((Table3.110[[#This Row],[CH4 24h, ml]]/28.9)*16.04)/Table3.110[[#This Row],[DM Incubated, mg]]*1000</f>
        <v>9.9743911850063629</v>
      </c>
      <c r="AV487" s="94">
        <f>((Table3.110[[#This Row],[CH4 24h, ml]]/28.9)*16.04)/Table3.110[[#This Row],[Digested feed, mg]]*1000</f>
        <v>18.728656562329515</v>
      </c>
      <c r="AW487" s="305"/>
      <c r="AX487" s="306"/>
    </row>
    <row r="488" spans="1:50" s="304" customFormat="1" x14ac:dyDescent="0.35">
      <c r="A488" s="89"/>
      <c r="B488" s="90">
        <f t="shared" si="7"/>
        <v>478</v>
      </c>
      <c r="C488" s="140">
        <v>46050</v>
      </c>
      <c r="D488" s="6" t="s">
        <v>16</v>
      </c>
      <c r="E488" s="6" t="s">
        <v>137</v>
      </c>
      <c r="F488" s="133" t="s">
        <v>99</v>
      </c>
      <c r="G488" s="133" t="s">
        <v>100</v>
      </c>
      <c r="H488" s="133" t="s">
        <v>101</v>
      </c>
      <c r="I488" s="133" t="s">
        <v>22</v>
      </c>
      <c r="J488" s="135" t="s">
        <v>23</v>
      </c>
      <c r="K488" s="135" t="s">
        <v>24</v>
      </c>
      <c r="L488" s="6" t="s">
        <v>136</v>
      </c>
      <c r="M488" s="93">
        <v>28</v>
      </c>
      <c r="N488" s="93">
        <v>61</v>
      </c>
      <c r="O488" s="6">
        <v>2</v>
      </c>
      <c r="P488" s="6">
        <v>2</v>
      </c>
      <c r="Q488" s="6">
        <v>0</v>
      </c>
      <c r="R488" s="98">
        <v>0.50019999999999998</v>
      </c>
      <c r="S488" s="94">
        <f>((Table3.110[[#This Row],[Sample weight, g]]*'2.1. DM'!Q81)/100)*1000</f>
        <v>471.49283600534176</v>
      </c>
      <c r="T488" s="94">
        <f>'3.2 Digest'!W488</f>
        <v>248.39283600534179</v>
      </c>
      <c r="U488" s="117">
        <v>0.33402777777777776</v>
      </c>
      <c r="V488" s="155">
        <v>41.5</v>
      </c>
      <c r="W488" s="117">
        <v>0.66527777777777775</v>
      </c>
      <c r="X488" s="96">
        <v>79.5</v>
      </c>
      <c r="Y488" s="96">
        <v>12.3</v>
      </c>
      <c r="Z488" s="155">
        <v>40</v>
      </c>
      <c r="AA488" s="117">
        <v>0.36805555555555558</v>
      </c>
      <c r="AB488" s="155">
        <v>75.5</v>
      </c>
      <c r="AC488" s="155">
        <v>15.2</v>
      </c>
      <c r="AD488" s="96"/>
      <c r="AE488" s="94">
        <f>Table3.110[[#This Row],[Gas 8h, ml]]-Table3.110[[#This Row],[Gas 0h, ml]]</f>
        <v>38</v>
      </c>
      <c r="AF488" s="94">
        <f>Table3.110[[#This Row],[Gas 24h, ml]]-Table3.110[[#This Row],[V8 Push back, ml]]</f>
        <v>35.5</v>
      </c>
      <c r="AG488" s="94">
        <f>Table3.110[[#This Row],[GP 8h, ml]]-(AVERAGE(AE$479,AE$480,AE$660,AE$661,AE$662,AE$663))*AG$8</f>
        <v>34.607474101643646</v>
      </c>
      <c r="AH488" s="94">
        <f>Table3.110[[#This Row],[GP 8-24h, ml]]-(AVERAGE(AF$479,AF$480,AF$660,AF$661,AF$662,AF$663))*AG$8</f>
        <v>31.185592064046812</v>
      </c>
      <c r="AI488" s="94">
        <f>Table3.110[[#This Row],[Net gas 8-24h, ml]]+Table3.110[[#This Row],[Net gas 8h, ml]]</f>
        <v>65.793066165690462</v>
      </c>
      <c r="AJ488" s="94">
        <f>Table3.110[[#This Row],[Net gas 8h, ml]]*Table3.110[[#This Row],[CH4 8h %]]%</f>
        <v>4.2567193145021687</v>
      </c>
      <c r="AK488" s="94">
        <f>Table3.110[[#This Row],[Net gas 8-24h, ml]]*Table3.110[[#This Row],[CH4 24h, %]]%</f>
        <v>4.7402099937351156</v>
      </c>
      <c r="AL488" s="94">
        <f>Table3.110[[#This Row],[CH4 8-24h, ml]]+Table3.110[[#This Row],[CH4 8h, ml]]</f>
        <v>8.9969293082372843</v>
      </c>
      <c r="AM488" s="94">
        <f>(Table3.110[[#This Row],[Net gas 24h, ml]]/Table3.110[[#This Row],[DM Incubated, mg]])*1000</f>
        <v>139.54202724078093</v>
      </c>
      <c r="AN488" s="94">
        <f>'3.2 Digest'!X488</f>
        <v>52.682207880360586</v>
      </c>
      <c r="AO488" s="94">
        <f>Table3.110[[#This Row],[Digested feed, mg]]/Table3.110[[#This Row],[Net gas 24h, ml]]</f>
        <v>3.7753649507654776</v>
      </c>
      <c r="AP488" s="94">
        <f>Table3.110[[#This Row],[CH4 8h, ml]]/Table3.110[[#This Row],[Net gas 8h, ml]]%</f>
        <v>12.3</v>
      </c>
      <c r="AQ488" s="94">
        <f>Table3.110[[#This Row],[CH4 24h, ml]]/Table3.110[[#This Row],[Net gas 24h, ml]]%</f>
        <v>13.67458583793587</v>
      </c>
      <c r="AR488" s="94">
        <f>Table3.110[[#This Row],[CH4 24h, ml]]/Table3.110[[#This Row],[DM Incubated, mg]]*1000</f>
        <v>19.081794295036445</v>
      </c>
      <c r="AS488" s="94">
        <f>Table3.110[[#This Row],[CH4 24h, ml]]/Table3.110[[#This Row],[Digested feed, mg]]*1000</f>
        <v>36.220566796233214</v>
      </c>
      <c r="AT488" s="94">
        <f>Table3.110[[#This Row],[CH4 24h, ml]]/'3.2 Digest'!AA488</f>
        <v>-3.3696190439986737</v>
      </c>
      <c r="AU488" s="94">
        <f>((Table3.110[[#This Row],[CH4 24h, ml]]/28.9)*16.04)/Table3.110[[#This Row],[DM Incubated, mg]]*1000</f>
        <v>10.590725968594622</v>
      </c>
      <c r="AV488" s="94">
        <f>((Table3.110[[#This Row],[CH4 24h, ml]]/28.9)*16.04)/Table3.110[[#This Row],[Digested feed, mg]]*1000</f>
        <v>20.103041225314211</v>
      </c>
      <c r="AW488" s="303"/>
    </row>
    <row r="489" spans="1:50" s="304" customFormat="1" x14ac:dyDescent="0.35">
      <c r="A489" s="89"/>
      <c r="B489" s="90">
        <f t="shared" si="7"/>
        <v>479</v>
      </c>
      <c r="C489" s="140">
        <v>46050</v>
      </c>
      <c r="D489" s="6" t="s">
        <v>16</v>
      </c>
      <c r="E489" s="6" t="s">
        <v>137</v>
      </c>
      <c r="F489" s="133" t="s">
        <v>99</v>
      </c>
      <c r="G489" s="133" t="s">
        <v>100</v>
      </c>
      <c r="H489" s="133" t="s">
        <v>101</v>
      </c>
      <c r="I489" s="133" t="s">
        <v>22</v>
      </c>
      <c r="J489" s="135" t="s">
        <v>23</v>
      </c>
      <c r="K489" s="135" t="s">
        <v>24</v>
      </c>
      <c r="L489" s="6" t="s">
        <v>136</v>
      </c>
      <c r="M489" s="93">
        <v>28</v>
      </c>
      <c r="N489" s="93">
        <v>61</v>
      </c>
      <c r="O489" s="6">
        <v>2</v>
      </c>
      <c r="P489" s="129">
        <v>3</v>
      </c>
      <c r="Q489" s="6">
        <v>0</v>
      </c>
      <c r="R489" s="98">
        <v>0.50029999999999997</v>
      </c>
      <c r="S489" s="94">
        <f>((Table3.110[[#This Row],[Sample weight, g]]*'2.1. DM'!Q81)/100)*1000</f>
        <v>471.58709686819759</v>
      </c>
      <c r="T489" s="94">
        <f>'3.2 Digest'!W489</f>
        <v>234.18709686819753</v>
      </c>
      <c r="U489" s="153">
        <v>0.33402777777777776</v>
      </c>
      <c r="V489" s="154">
        <v>41</v>
      </c>
      <c r="W489" s="153">
        <v>0.66527777777777775</v>
      </c>
      <c r="X489" s="91">
        <v>78.5</v>
      </c>
      <c r="Y489" s="91">
        <v>12.3</v>
      </c>
      <c r="Z489" s="154">
        <v>40</v>
      </c>
      <c r="AA489" s="153">
        <v>0.36875000000000002</v>
      </c>
      <c r="AB489" s="154">
        <v>74</v>
      </c>
      <c r="AC489" s="154">
        <v>15.3</v>
      </c>
      <c r="AD489" s="91"/>
      <c r="AE489" s="94">
        <f>Table3.110[[#This Row],[Gas 8h, ml]]-Table3.110[[#This Row],[Gas 0h, ml]]</f>
        <v>37.5</v>
      </c>
      <c r="AF489" s="94">
        <f>Table3.110[[#This Row],[Gas 24h, ml]]-Table3.110[[#This Row],[V8 Push back, ml]]</f>
        <v>34</v>
      </c>
      <c r="AG489" s="94">
        <f>Table3.110[[#This Row],[GP 8h, ml]]-(AVERAGE(AE$479,AE$480,AE$660,AE$661,AE$662,AE$663))*AG$8</f>
        <v>34.107474101643646</v>
      </c>
      <c r="AH489" s="94">
        <f>Table3.110[[#This Row],[GP 8-24h, ml]]-(AVERAGE(AF$479,AF$480,AF$660,AF$661,AF$662,AF$663))*AG$8</f>
        <v>29.685592064046812</v>
      </c>
      <c r="AI489" s="94">
        <f>Table3.110[[#This Row],[Net gas 8-24h, ml]]+Table3.110[[#This Row],[Net gas 8h, ml]]</f>
        <v>63.793066165690462</v>
      </c>
      <c r="AJ489" s="94">
        <f>Table3.110[[#This Row],[Net gas 8h, ml]]*Table3.110[[#This Row],[CH4 8h %]]%</f>
        <v>4.195219314502169</v>
      </c>
      <c r="AK489" s="94">
        <f>Table3.110[[#This Row],[Net gas 8-24h, ml]]*Table3.110[[#This Row],[CH4 24h, %]]%</f>
        <v>4.5418955857991623</v>
      </c>
      <c r="AL489" s="94">
        <f>Table3.110[[#This Row],[CH4 8-24h, ml]]+Table3.110[[#This Row],[CH4 8h, ml]]</f>
        <v>8.7371149003013322</v>
      </c>
      <c r="AM489" s="94">
        <f>(Table3.110[[#This Row],[Net gas 24h, ml]]/Table3.110[[#This Row],[DM Incubated, mg]])*1000</f>
        <v>135.27313743174741</v>
      </c>
      <c r="AN489" s="94">
        <f>'3.2 Digest'!X489</f>
        <v>49.659352094964071</v>
      </c>
      <c r="AO489" s="94">
        <f>Table3.110[[#This Row],[Digested feed, mg]]/Table3.110[[#This Row],[Net gas 24h, ml]]</f>
        <v>3.6710431234006013</v>
      </c>
      <c r="AP489" s="94">
        <f>Table3.110[[#This Row],[CH4 8h, ml]]/Table3.110[[#This Row],[Net gas 8h, ml]]%</f>
        <v>12.3</v>
      </c>
      <c r="AQ489" s="94">
        <f>Table3.110[[#This Row],[CH4 24h, ml]]/Table3.110[[#This Row],[Net gas 24h, ml]]%</f>
        <v>13.696025956188285</v>
      </c>
      <c r="AR489" s="94">
        <f>Table3.110[[#This Row],[CH4 24h, ml]]/Table3.110[[#This Row],[DM Incubated, mg]]*1000</f>
        <v>18.527044014402374</v>
      </c>
      <c r="AS489" s="94">
        <f>Table3.110[[#This Row],[CH4 24h, ml]]/Table3.110[[#This Row],[Digested feed, mg]]*1000</f>
        <v>37.308267693410343</v>
      </c>
      <c r="AT489" s="94">
        <f>Table3.110[[#This Row],[CH4 24h, ml]]/'3.2 Digest'!AA489</f>
        <v>-0.94670245091441507</v>
      </c>
      <c r="AU489" s="94">
        <f>((Table3.110[[#This Row],[CH4 24h, ml]]/28.9)*16.04)/Table3.110[[#This Row],[DM Incubated, mg]]*1000</f>
        <v>10.282829965086993</v>
      </c>
      <c r="AV489" s="94">
        <f>((Table3.110[[#This Row],[CH4 24h, ml]]/28.9)*16.04)/Table3.110[[#This Row],[Digested feed, mg]]*1000</f>
        <v>20.706734041602143</v>
      </c>
      <c r="AW489" s="303"/>
    </row>
    <row r="490" spans="1:50" s="304" customFormat="1" x14ac:dyDescent="0.35">
      <c r="A490" s="89"/>
      <c r="B490" s="90">
        <f t="shared" si="7"/>
        <v>480</v>
      </c>
      <c r="C490" s="140">
        <v>46050</v>
      </c>
      <c r="D490" s="6" t="s">
        <v>16</v>
      </c>
      <c r="E490" s="6" t="s">
        <v>139</v>
      </c>
      <c r="F490" s="133" t="s">
        <v>79</v>
      </c>
      <c r="G490" s="133" t="s">
        <v>80</v>
      </c>
      <c r="H490" s="133" t="s">
        <v>81</v>
      </c>
      <c r="I490" s="133" t="s">
        <v>22</v>
      </c>
      <c r="J490" s="135" t="s">
        <v>23</v>
      </c>
      <c r="K490" s="135" t="s">
        <v>24</v>
      </c>
      <c r="L490" s="6" t="s">
        <v>138</v>
      </c>
      <c r="M490" s="93">
        <v>28</v>
      </c>
      <c r="N490" s="93">
        <v>61</v>
      </c>
      <c r="O490" s="6">
        <v>2</v>
      </c>
      <c r="P490" s="129">
        <v>1</v>
      </c>
      <c r="Q490" s="6">
        <v>0</v>
      </c>
      <c r="R490" s="98">
        <v>0.5</v>
      </c>
      <c r="S490" s="94">
        <f>((Table3.110[[#This Row],[Sample weight, g]]*'2.1. DM'!Q83)/100)*1000</f>
        <v>466.93826184978116</v>
      </c>
      <c r="T490" s="94">
        <f>'3.2 Digest'!W490</f>
        <v>289.63826184978114</v>
      </c>
      <c r="U490" s="117">
        <v>0.3347222222222222</v>
      </c>
      <c r="V490" s="155">
        <v>40</v>
      </c>
      <c r="W490" s="117">
        <v>0.66597222222222219</v>
      </c>
      <c r="X490" s="96">
        <v>59.5</v>
      </c>
      <c r="Y490" s="96">
        <v>9.1</v>
      </c>
      <c r="Z490" s="155">
        <v>39.5</v>
      </c>
      <c r="AA490" s="117">
        <v>0.36875000000000002</v>
      </c>
      <c r="AB490" s="155">
        <v>57</v>
      </c>
      <c r="AC490" s="155">
        <v>5.7</v>
      </c>
      <c r="AD490" s="96" t="s">
        <v>566</v>
      </c>
      <c r="AE490" s="94">
        <f>Table3.110[[#This Row],[Gas 8h, ml]]-Table3.110[[#This Row],[Gas 0h, ml]]</f>
        <v>19.5</v>
      </c>
      <c r="AF490" s="94">
        <f>Table3.110[[#This Row],[Gas 24h, ml]]-Table3.110[[#This Row],[V8 Push back, ml]]</f>
        <v>17.5</v>
      </c>
      <c r="AG490" s="94">
        <f>Table3.110[[#This Row],[GP 8h, ml]]-(AVERAGE(AE$479,AE$480,AE$660,AE$661,AE$662,AE$663))*AG$8</f>
        <v>16.107474101643646</v>
      </c>
      <c r="AH490" s="94">
        <f>Table3.110[[#This Row],[GP 8-24h, ml]]-(AVERAGE(AF$479,AF$480,AF$660,AF$661,AF$662,AF$663))*AG$8</f>
        <v>13.185592064046812</v>
      </c>
      <c r="AI490" s="94">
        <f>Table3.110[[#This Row],[Net gas 8-24h, ml]]+Table3.110[[#This Row],[Net gas 8h, ml]]</f>
        <v>29.293066165690458</v>
      </c>
      <c r="AJ490" s="94">
        <f>Table3.110[[#This Row],[Net gas 8h, ml]]*Table3.110[[#This Row],[CH4 8h %]]%</f>
        <v>1.4657801432495718</v>
      </c>
      <c r="AK490" s="94">
        <f>Table3.110[[#This Row],[Net gas 8-24h, ml]]*Table3.110[[#This Row],[CH4 24h, %]]%</f>
        <v>0.75157874765066834</v>
      </c>
      <c r="AL490" s="94">
        <f>Table3.110[[#This Row],[CH4 8-24h, ml]]+Table3.110[[#This Row],[CH4 8h, ml]]</f>
        <v>2.2173588909002402</v>
      </c>
      <c r="AM490" s="94">
        <f>(Table3.110[[#This Row],[Net gas 24h, ml]]/Table3.110[[#This Row],[DM Incubated, mg]])*1000</f>
        <v>62.734345327893351</v>
      </c>
      <c r="AN490" s="94">
        <f>'3.2 Digest'!X490</f>
        <v>62.029241446690598</v>
      </c>
      <c r="AO490" s="94">
        <f>Table3.110[[#This Row],[Digested feed, mg]]/Table3.110[[#This Row],[Net gas 24h, ml]]</f>
        <v>9.8876048076189562</v>
      </c>
      <c r="AP490" s="94">
        <f>Table3.110[[#This Row],[CH4 8h, ml]]/Table3.110[[#This Row],[Net gas 8h, ml]]%</f>
        <v>9.1000000000000014</v>
      </c>
      <c r="AQ490" s="94">
        <f>Table3.110[[#This Row],[CH4 24h, ml]]/Table3.110[[#This Row],[Net gas 24h, ml]]%</f>
        <v>7.5695691204129556</v>
      </c>
      <c r="AR490" s="94">
        <f>Table3.110[[#This Row],[CH4 24h, ml]]/Table3.110[[#This Row],[DM Incubated, mg]]*1000</f>
        <v>4.7487196318334428</v>
      </c>
      <c r="AS490" s="94">
        <f>Table3.110[[#This Row],[CH4 24h, ml]]/Table3.110[[#This Row],[Digested feed, mg]]*1000</f>
        <v>7.6556145473979464</v>
      </c>
      <c r="AT490" s="94">
        <f>Table3.110[[#This Row],[CH4 24h, ml]]/'3.2 Digest'!AA490</f>
        <v>8.0300958812827769E-2</v>
      </c>
      <c r="AU490" s="94">
        <f>((Table3.110[[#This Row],[CH4 24h, ml]]/28.9)*16.04)/Table3.110[[#This Row],[DM Incubated, mg]]*1000</f>
        <v>2.6356215534466578</v>
      </c>
      <c r="AV490" s="94">
        <f>((Table3.110[[#This Row],[CH4 24h, ml]]/28.9)*16.04)/Table3.110[[#This Row],[Digested feed, mg]]*1000</f>
        <v>4.2489985238845351</v>
      </c>
      <c r="AW490" s="303"/>
    </row>
    <row r="491" spans="1:50" s="304" customFormat="1" x14ac:dyDescent="0.35">
      <c r="A491" s="89"/>
      <c r="B491" s="90">
        <f t="shared" si="7"/>
        <v>481</v>
      </c>
      <c r="C491" s="140">
        <v>46050</v>
      </c>
      <c r="D491" s="6" t="s">
        <v>16</v>
      </c>
      <c r="E491" s="6" t="s">
        <v>139</v>
      </c>
      <c r="F491" s="133" t="s">
        <v>79</v>
      </c>
      <c r="G491" s="133" t="s">
        <v>80</v>
      </c>
      <c r="H491" s="133" t="s">
        <v>81</v>
      </c>
      <c r="I491" s="133" t="s">
        <v>22</v>
      </c>
      <c r="J491" s="135" t="s">
        <v>23</v>
      </c>
      <c r="K491" s="135" t="s">
        <v>24</v>
      </c>
      <c r="L491" s="6" t="s">
        <v>138</v>
      </c>
      <c r="M491" s="93">
        <v>28</v>
      </c>
      <c r="N491" s="93">
        <v>61</v>
      </c>
      <c r="O491" s="6">
        <v>2</v>
      </c>
      <c r="P491" s="6">
        <v>2</v>
      </c>
      <c r="Q491" s="6">
        <v>0</v>
      </c>
      <c r="R491" s="98">
        <v>0.50019999999999998</v>
      </c>
      <c r="S491" s="94">
        <f>((Table3.110[[#This Row],[Sample weight, g]]*'2.1. DM'!Q83)/100)*1000</f>
        <v>467.12503715452101</v>
      </c>
      <c r="T491" s="94">
        <f>'3.2 Digest'!W491</f>
        <v>283.22503715452092</v>
      </c>
      <c r="U491" s="153">
        <v>0.3347222222222222</v>
      </c>
      <c r="V491" s="154">
        <v>40</v>
      </c>
      <c r="W491" s="153">
        <v>0.66597222222222219</v>
      </c>
      <c r="X491" s="91">
        <v>60.5</v>
      </c>
      <c r="Y491" s="91">
        <v>7.9</v>
      </c>
      <c r="Z491" s="154">
        <v>39.5</v>
      </c>
      <c r="AA491" s="153">
        <v>0.36944444444444446</v>
      </c>
      <c r="AB491" s="154">
        <v>55.5</v>
      </c>
      <c r="AC491" s="154">
        <v>2.2000000000000002</v>
      </c>
      <c r="AD491" s="91"/>
      <c r="AE491" s="94">
        <f>Table3.110[[#This Row],[Gas 8h, ml]]-Table3.110[[#This Row],[Gas 0h, ml]]</f>
        <v>20.5</v>
      </c>
      <c r="AF491" s="94">
        <f>Table3.110[[#This Row],[Gas 24h, ml]]-Table3.110[[#This Row],[V8 Push back, ml]]</f>
        <v>16</v>
      </c>
      <c r="AG491" s="94">
        <f>Table3.110[[#This Row],[GP 8h, ml]]-(AVERAGE(AE$479,AE$480,AE$660,AE$661,AE$662,AE$663))*AG$8</f>
        <v>17.107474101643646</v>
      </c>
      <c r="AH491" s="94">
        <f>Table3.110[[#This Row],[GP 8-24h, ml]]-(AVERAGE(AF$479,AF$480,AF$660,AF$661,AF$662,AF$663))*AG$8</f>
        <v>11.685592064046812</v>
      </c>
      <c r="AI491" s="94">
        <f>Table3.110[[#This Row],[Net gas 8-24h, ml]]+Table3.110[[#This Row],[Net gas 8h, ml]]</f>
        <v>28.793066165690458</v>
      </c>
      <c r="AJ491" s="94">
        <f>Table3.110[[#This Row],[Net gas 8h, ml]]*Table3.110[[#This Row],[CH4 8h %]]%</f>
        <v>1.351490454029848</v>
      </c>
      <c r="AK491" s="94">
        <f>Table3.110[[#This Row],[Net gas 8-24h, ml]]*Table3.110[[#This Row],[CH4 24h, %]]%</f>
        <v>0.25708302540902989</v>
      </c>
      <c r="AL491" s="94">
        <f>Table3.110[[#This Row],[CH4 8-24h, ml]]+Table3.110[[#This Row],[CH4 8h, ml]]</f>
        <v>1.608573479438878</v>
      </c>
      <c r="AM491" s="94">
        <f>(Table3.110[[#This Row],[Net gas 24h, ml]]/Table3.110[[#This Row],[DM Incubated, mg]])*1000</f>
        <v>61.638884400379418</v>
      </c>
      <c r="AN491" s="94">
        <f>'3.2 Digest'!X491</f>
        <v>60.63152574303836</v>
      </c>
      <c r="AO491" s="94">
        <f>Table3.110[[#This Row],[Digested feed, mg]]/Table3.110[[#This Row],[Net gas 24h, ml]]</f>
        <v>9.8365709134516965</v>
      </c>
      <c r="AP491" s="94">
        <f>Table3.110[[#This Row],[CH4 8h, ml]]/Table3.110[[#This Row],[Net gas 8h, ml]]%</f>
        <v>7.8999999999999995</v>
      </c>
      <c r="AQ491" s="94">
        <f>Table3.110[[#This Row],[CH4 24h, ml]]/Table3.110[[#This Row],[Net gas 24h, ml]]%</f>
        <v>5.5866696175471535</v>
      </c>
      <c r="AR491" s="94">
        <f>Table3.110[[#This Row],[CH4 24h, ml]]/Table3.110[[#This Row],[DM Incubated, mg]]*1000</f>
        <v>3.4435608273910088</v>
      </c>
      <c r="AS491" s="94">
        <f>Table3.110[[#This Row],[CH4 24h, ml]]/Table3.110[[#This Row],[Digested feed, mg]]*1000</f>
        <v>5.6794889872722596</v>
      </c>
      <c r="AT491" s="94">
        <f>Table3.110[[#This Row],[CH4 24h, ml]]/'3.2 Digest'!AA491</f>
        <v>6.4475703825731173E-2</v>
      </c>
      <c r="AU491" s="94">
        <f>((Table3.110[[#This Row],[CH4 24h, ml]]/28.9)*16.04)/Table3.110[[#This Row],[DM Incubated, mg]]*1000</f>
        <v>1.9112358363789541</v>
      </c>
      <c r="AV491" s="94">
        <f>((Table3.110[[#This Row],[CH4 24h, ml]]/28.9)*16.04)/Table3.110[[#This Row],[Digested feed, mg]]*1000</f>
        <v>3.1522146489912464</v>
      </c>
      <c r="AW491" s="303"/>
    </row>
    <row r="492" spans="1:50" s="304" customFormat="1" x14ac:dyDescent="0.35">
      <c r="A492" s="89"/>
      <c r="B492" s="90">
        <f t="shared" si="7"/>
        <v>482</v>
      </c>
      <c r="C492" s="140">
        <v>46050</v>
      </c>
      <c r="D492" s="6" t="s">
        <v>16</v>
      </c>
      <c r="E492" s="6" t="s">
        <v>139</v>
      </c>
      <c r="F492" s="133" t="s">
        <v>79</v>
      </c>
      <c r="G492" s="133" t="s">
        <v>80</v>
      </c>
      <c r="H492" s="133" t="s">
        <v>81</v>
      </c>
      <c r="I492" s="133" t="s">
        <v>22</v>
      </c>
      <c r="J492" s="135" t="s">
        <v>23</v>
      </c>
      <c r="K492" s="135" t="s">
        <v>24</v>
      </c>
      <c r="L492" s="6" t="s">
        <v>138</v>
      </c>
      <c r="M492" s="93">
        <v>28</v>
      </c>
      <c r="N492" s="93">
        <v>61</v>
      </c>
      <c r="O492" s="6">
        <v>2</v>
      </c>
      <c r="P492" s="129">
        <v>3</v>
      </c>
      <c r="Q492" s="6">
        <v>0</v>
      </c>
      <c r="R492" s="98">
        <v>0.50029999999999997</v>
      </c>
      <c r="S492" s="94">
        <f>((Table3.110[[#This Row],[Sample weight, g]]*'2.1. DM'!Q83)/100)*1000</f>
        <v>467.21842480689094</v>
      </c>
      <c r="T492" s="94">
        <f>'3.2 Digest'!W492</f>
        <v>270.21842480689099</v>
      </c>
      <c r="U492" s="117">
        <v>0.3347222222222222</v>
      </c>
      <c r="V492" s="155">
        <v>41</v>
      </c>
      <c r="W492" s="117">
        <v>0.66666666666666663</v>
      </c>
      <c r="X492" s="96">
        <v>59.5</v>
      </c>
      <c r="Y492" s="96">
        <v>8.4</v>
      </c>
      <c r="Z492" s="155">
        <v>40</v>
      </c>
      <c r="AA492" s="117">
        <v>0.36944444444444446</v>
      </c>
      <c r="AB492" s="155">
        <v>56.5</v>
      </c>
      <c r="AC492" s="155">
        <v>1.1000000000000001</v>
      </c>
      <c r="AD492" s="96"/>
      <c r="AE492" s="94">
        <f>Table3.110[[#This Row],[Gas 8h, ml]]-Table3.110[[#This Row],[Gas 0h, ml]]</f>
        <v>18.5</v>
      </c>
      <c r="AF492" s="94">
        <f>Table3.110[[#This Row],[Gas 24h, ml]]-Table3.110[[#This Row],[V8 Push back, ml]]</f>
        <v>16.5</v>
      </c>
      <c r="AG492" s="94">
        <f>Table3.110[[#This Row],[GP 8h, ml]]-(AVERAGE(AE$479,AE$480,AE$660,AE$661,AE$662,AE$663))*AG$8</f>
        <v>15.107474101643646</v>
      </c>
      <c r="AH492" s="94">
        <f>Table3.110[[#This Row],[GP 8-24h, ml]]-(AVERAGE(AF$479,AF$480,AF$660,AF$661,AF$662,AF$663))*AG$8</f>
        <v>12.185592064046812</v>
      </c>
      <c r="AI492" s="94">
        <f>Table3.110[[#This Row],[Net gas 8-24h, ml]]+Table3.110[[#This Row],[Net gas 8h, ml]]</f>
        <v>27.293066165690458</v>
      </c>
      <c r="AJ492" s="94">
        <f>Table3.110[[#This Row],[Net gas 8h, ml]]*Table3.110[[#This Row],[CH4 8h %]]%</f>
        <v>1.2690278245380664</v>
      </c>
      <c r="AK492" s="94">
        <f>Table3.110[[#This Row],[Net gas 8-24h, ml]]*Table3.110[[#This Row],[CH4 24h, %]]%</f>
        <v>0.13404151270451495</v>
      </c>
      <c r="AL492" s="94">
        <f>Table3.110[[#This Row],[CH4 8-24h, ml]]+Table3.110[[#This Row],[CH4 8h, ml]]</f>
        <v>1.4030693372425813</v>
      </c>
      <c r="AM492" s="94">
        <f>(Table3.110[[#This Row],[Net gas 24h, ml]]/Table3.110[[#This Row],[DM Incubated, mg]])*1000</f>
        <v>58.41607418836518</v>
      </c>
      <c r="AN492" s="94">
        <f>'3.2 Digest'!X492</f>
        <v>57.835566933940306</v>
      </c>
      <c r="AO492" s="94">
        <f>Table3.110[[#This Row],[Digested feed, mg]]/Table3.110[[#This Row],[Net gas 24h, ml]]</f>
        <v>9.9006254250237706</v>
      </c>
      <c r="AP492" s="94">
        <f>Table3.110[[#This Row],[CH4 8h, ml]]/Table3.110[[#This Row],[Net gas 8h, ml]]%</f>
        <v>8.4</v>
      </c>
      <c r="AQ492" s="94">
        <f>Table3.110[[#This Row],[CH4 24h, ml]]/Table3.110[[#This Row],[Net gas 24h, ml]]%</f>
        <v>5.1407538043722996</v>
      </c>
      <c r="AR492" s="94">
        <f>Table3.110[[#This Row],[CH4 24h, ml]]/Table3.110[[#This Row],[DM Incubated, mg]]*1000</f>
        <v>3.003026556203328</v>
      </c>
      <c r="AS492" s="94">
        <f>Table3.110[[#This Row],[CH4 24h, ml]]/Table3.110[[#This Row],[Digested feed, mg]]*1000</f>
        <v>5.1923525875234873</v>
      </c>
      <c r="AT492" s="94">
        <f>Table3.110[[#This Row],[CH4 24h, ml]]/'3.2 Digest'!AA492</f>
        <v>7.1518224774412442E-2</v>
      </c>
      <c r="AU492" s="94">
        <f>((Table3.110[[#This Row],[CH4 24h, ml]]/28.9)*16.04)/Table3.110[[#This Row],[DM Incubated, mg]]*1000</f>
        <v>1.6667316941695982</v>
      </c>
      <c r="AV492" s="94">
        <f>((Table3.110[[#This Row],[CH4 24h, ml]]/28.9)*16.04)/Table3.110[[#This Row],[Digested feed, mg]]*1000</f>
        <v>2.8818455191652852</v>
      </c>
      <c r="AW492" s="303"/>
    </row>
    <row r="493" spans="1:50" s="304" customFormat="1" x14ac:dyDescent="0.35">
      <c r="A493" s="89"/>
      <c r="B493" s="90">
        <f t="shared" si="7"/>
        <v>483</v>
      </c>
      <c r="C493" s="140">
        <v>46050</v>
      </c>
      <c r="D493" s="6" t="s">
        <v>16</v>
      </c>
      <c r="E493" s="6" t="s">
        <v>141</v>
      </c>
      <c r="F493" s="133" t="s">
        <v>142</v>
      </c>
      <c r="G493" s="133" t="s">
        <v>143</v>
      </c>
      <c r="H493" s="133" t="s">
        <v>144</v>
      </c>
      <c r="I493" s="133" t="s">
        <v>22</v>
      </c>
      <c r="J493" s="135" t="s">
        <v>23</v>
      </c>
      <c r="K493" s="135" t="s">
        <v>24</v>
      </c>
      <c r="L493" s="6" t="s">
        <v>140</v>
      </c>
      <c r="M493" s="93">
        <v>28</v>
      </c>
      <c r="N493" s="93">
        <v>61</v>
      </c>
      <c r="O493" s="6">
        <v>2</v>
      </c>
      <c r="P493" s="129">
        <v>1</v>
      </c>
      <c r="Q493" s="6">
        <v>0</v>
      </c>
      <c r="R493" s="98">
        <v>0.50019999999999998</v>
      </c>
      <c r="S493" s="94">
        <f>((Table3.110[[#This Row],[Sample weight, g]]*'2.1. DM'!Q85)/100)*1000</f>
        <v>466.22336845168195</v>
      </c>
      <c r="T493" s="94">
        <f>'3.2 Digest'!W493</f>
        <v>211.12336845168196</v>
      </c>
      <c r="U493" s="153">
        <v>0.33541666666666664</v>
      </c>
      <c r="V493" s="154">
        <v>41</v>
      </c>
      <c r="W493" s="153">
        <v>0.66666666666666663</v>
      </c>
      <c r="X493" s="91">
        <v>87</v>
      </c>
      <c r="Y493" s="91">
        <v>14.2</v>
      </c>
      <c r="Z493" s="154">
        <v>40</v>
      </c>
      <c r="AA493" s="153">
        <v>0.37013888888888891</v>
      </c>
      <c r="AB493" s="154">
        <v>81.599999999999994</v>
      </c>
      <c r="AC493" s="154">
        <v>17.8</v>
      </c>
      <c r="AD493" s="91"/>
      <c r="AE493" s="94">
        <f>Table3.110[[#This Row],[Gas 8h, ml]]-Table3.110[[#This Row],[Gas 0h, ml]]</f>
        <v>46</v>
      </c>
      <c r="AF493" s="94">
        <f>Table3.110[[#This Row],[Gas 24h, ml]]-Table3.110[[#This Row],[V8 Push back, ml]]</f>
        <v>41.599999999999994</v>
      </c>
      <c r="AG493" s="94">
        <f>Table3.110[[#This Row],[GP 8h, ml]]-(AVERAGE(AE$479,AE$480,AE$660,AE$661,AE$662,AE$663))*AG$8</f>
        <v>42.607474101643646</v>
      </c>
      <c r="AH493" s="94">
        <f>Table3.110[[#This Row],[GP 8-24h, ml]]-(AVERAGE(AF$479,AF$480,AF$660,AF$661,AF$662,AF$663))*AG$8</f>
        <v>37.28559206404681</v>
      </c>
      <c r="AI493" s="94">
        <f>Table3.110[[#This Row],[Net gas 8-24h, ml]]+Table3.110[[#This Row],[Net gas 8h, ml]]</f>
        <v>79.893066165690456</v>
      </c>
      <c r="AJ493" s="94">
        <f>Table3.110[[#This Row],[Net gas 8h, ml]]*Table3.110[[#This Row],[CH4 8h %]]%</f>
        <v>6.0502613224333972</v>
      </c>
      <c r="AK493" s="94">
        <f>Table3.110[[#This Row],[Net gas 8-24h, ml]]*Table3.110[[#This Row],[CH4 24h, %]]%</f>
        <v>6.6368353874003327</v>
      </c>
      <c r="AL493" s="94">
        <f>Table3.110[[#This Row],[CH4 8-24h, ml]]+Table3.110[[#This Row],[CH4 8h, ml]]</f>
        <v>12.68709670983373</v>
      </c>
      <c r="AM493" s="94">
        <f>(Table3.110[[#This Row],[Net gas 24h, ml]]/Table3.110[[#This Row],[DM Incubated, mg]])*1000</f>
        <v>171.36220870054981</v>
      </c>
      <c r="AN493" s="94">
        <f>'3.2 Digest'!X493</f>
        <v>45.283737954366856</v>
      </c>
      <c r="AO493" s="94">
        <f>Table3.110[[#This Row],[Digested feed, mg]]/Table3.110[[#This Row],[Net gas 24h, ml]]</f>
        <v>2.6425743632599179</v>
      </c>
      <c r="AP493" s="94">
        <f>Table3.110[[#This Row],[CH4 8h, ml]]/Table3.110[[#This Row],[Net gas 8h, ml]]%</f>
        <v>14.2</v>
      </c>
      <c r="AQ493" s="94">
        <f>Table3.110[[#This Row],[CH4 24h, ml]]/Table3.110[[#This Row],[Net gas 24h, ml]]%</f>
        <v>15.880097383572593</v>
      </c>
      <c r="AR493" s="94">
        <f>Table3.110[[#This Row],[CH4 24h, ml]]/Table3.110[[#This Row],[DM Incubated, mg]]*1000</f>
        <v>27.21248562028822</v>
      </c>
      <c r="AS493" s="94">
        <f>Table3.110[[#This Row],[CH4 24h, ml]]/Table3.110[[#This Row],[Digested feed, mg]]*1000</f>
        <v>60.093284807253916</v>
      </c>
      <c r="AT493" s="94">
        <f>Table3.110[[#This Row],[CH4 24h, ml]]/'3.2 Digest'!AA493</f>
        <v>7.1498050766340828</v>
      </c>
      <c r="AU493" s="94">
        <f>((Table3.110[[#This Row],[CH4 24h, ml]]/28.9)*16.04)/Table3.110[[#This Row],[DM Incubated, mg]]*1000</f>
        <v>15.103400323509446</v>
      </c>
      <c r="AV493" s="94">
        <f>((Table3.110[[#This Row],[CH4 24h, ml]]/28.9)*16.04)/Table3.110[[#This Row],[Digested feed, mg]]*1000</f>
        <v>33.352812744233667</v>
      </c>
      <c r="AW493" s="303"/>
    </row>
    <row r="494" spans="1:50" s="304" customFormat="1" x14ac:dyDescent="0.35">
      <c r="A494" s="89"/>
      <c r="B494" s="90">
        <f t="shared" si="7"/>
        <v>484</v>
      </c>
      <c r="C494" s="140">
        <v>46050</v>
      </c>
      <c r="D494" s="6" t="s">
        <v>16</v>
      </c>
      <c r="E494" s="6" t="s">
        <v>141</v>
      </c>
      <c r="F494" s="133" t="s">
        <v>142</v>
      </c>
      <c r="G494" s="133" t="s">
        <v>143</v>
      </c>
      <c r="H494" s="133" t="s">
        <v>144</v>
      </c>
      <c r="I494" s="133" t="s">
        <v>22</v>
      </c>
      <c r="J494" s="135" t="s">
        <v>23</v>
      </c>
      <c r="K494" s="135" t="s">
        <v>24</v>
      </c>
      <c r="L494" s="6" t="s">
        <v>140</v>
      </c>
      <c r="M494" s="93">
        <v>28</v>
      </c>
      <c r="N494" s="93">
        <v>61</v>
      </c>
      <c r="O494" s="6">
        <v>2</v>
      </c>
      <c r="P494" s="6">
        <v>2</v>
      </c>
      <c r="Q494" s="6">
        <v>0</v>
      </c>
      <c r="R494" s="98">
        <v>0.50009999999999999</v>
      </c>
      <c r="S494" s="94">
        <f>((Table3.110[[#This Row],[Sample weight, g]]*'2.1. DM'!Q85)/100)*1000</f>
        <v>466.1301610609479</v>
      </c>
      <c r="T494" s="94">
        <f>'3.2 Digest'!W494</f>
        <v>243.63016106094798</v>
      </c>
      <c r="U494" s="117">
        <v>0.33611111111111114</v>
      </c>
      <c r="V494" s="155">
        <v>40.5</v>
      </c>
      <c r="W494" s="117">
        <v>0.66736111111111107</v>
      </c>
      <c r="X494" s="96">
        <v>85.5</v>
      </c>
      <c r="Y494" s="96">
        <v>15.1</v>
      </c>
      <c r="Z494" s="155">
        <v>40</v>
      </c>
      <c r="AA494" s="117">
        <v>0.37013888888888891</v>
      </c>
      <c r="AB494" s="155">
        <v>82.5</v>
      </c>
      <c r="AC494" s="155">
        <v>18.899999999999999</v>
      </c>
      <c r="AD494" s="96" t="s">
        <v>559</v>
      </c>
      <c r="AE494" s="94">
        <f>Table3.110[[#This Row],[Gas 8h, ml]]-Table3.110[[#This Row],[Gas 0h, ml]]</f>
        <v>45</v>
      </c>
      <c r="AF494" s="94">
        <f>Table3.110[[#This Row],[Gas 24h, ml]]-Table3.110[[#This Row],[V8 Push back, ml]]</f>
        <v>42.5</v>
      </c>
      <c r="AG494" s="94">
        <f>Table3.110[[#This Row],[GP 8h, ml]]-(AVERAGE(AE$479,AE$480,AE$660,AE$661,AE$662,AE$663))*AG$8</f>
        <v>41.607474101643646</v>
      </c>
      <c r="AH494" s="94">
        <f>Table3.110[[#This Row],[GP 8-24h, ml]]-(AVERAGE(AF$479,AF$480,AF$660,AF$661,AF$662,AF$663))*AG$8</f>
        <v>38.185592064046816</v>
      </c>
      <c r="AI494" s="94">
        <f>Table3.110[[#This Row],[Net gas 8-24h, ml]]+Table3.110[[#This Row],[Net gas 8h, ml]]</f>
        <v>79.793066165690462</v>
      </c>
      <c r="AJ494" s="94">
        <f>Table3.110[[#This Row],[Net gas 8h, ml]]*Table3.110[[#This Row],[CH4 8h %]]%</f>
        <v>6.2827285893481903</v>
      </c>
      <c r="AK494" s="94">
        <f>Table3.110[[#This Row],[Net gas 8-24h, ml]]*Table3.110[[#This Row],[CH4 24h, %]]%</f>
        <v>7.2170769001048471</v>
      </c>
      <c r="AL494" s="94">
        <f>Table3.110[[#This Row],[CH4 8-24h, ml]]+Table3.110[[#This Row],[CH4 8h, ml]]</f>
        <v>13.499805489453038</v>
      </c>
      <c r="AM494" s="94">
        <f>(Table3.110[[#This Row],[Net gas 24h, ml]]/Table3.110[[#This Row],[DM Incubated, mg]])*1000</f>
        <v>171.18194193672286</v>
      </c>
      <c r="AN494" s="94">
        <f>'3.2 Digest'!X494</f>
        <v>52.266551580019424</v>
      </c>
      <c r="AO494" s="94">
        <f>Table3.110[[#This Row],[Digested feed, mg]]/Table3.110[[#This Row],[Net gas 24h, ml]]</f>
        <v>3.0532748366261484</v>
      </c>
      <c r="AP494" s="94">
        <f>Table3.110[[#This Row],[CH4 8h, ml]]/Table3.110[[#This Row],[Net gas 8h, ml]]%</f>
        <v>15.099999999999998</v>
      </c>
      <c r="AQ494" s="94">
        <f>Table3.110[[#This Row],[CH4 24h, ml]]/Table3.110[[#This Row],[Net gas 24h, ml]]%</f>
        <v>16.918519538302569</v>
      </c>
      <c r="AR494" s="94">
        <f>Table3.110[[#This Row],[CH4 24h, ml]]/Table3.110[[#This Row],[DM Incubated, mg]]*1000</f>
        <v>28.96145029261022</v>
      </c>
      <c r="AS494" s="94">
        <f>Table3.110[[#This Row],[CH4 24h, ml]]/Table3.110[[#This Row],[Digested feed, mg]]*1000</f>
        <v>55.411060070168588</v>
      </c>
      <c r="AT494" s="94">
        <f>Table3.110[[#This Row],[CH4 24h, ml]]/'3.2 Digest'!AA494</f>
        <v>0.9433909408227148</v>
      </c>
      <c r="AU494" s="94">
        <f>((Table3.110[[#This Row],[CH4 24h, ml]]/28.9)*16.04)/Table3.110[[#This Row],[DM Incubated, mg]]*1000</f>
        <v>16.074105975552524</v>
      </c>
      <c r="AV494" s="94">
        <f>((Table3.110[[#This Row],[CH4 24h, ml]]/28.9)*16.04)/Table3.110[[#This Row],[Digested feed, mg]]*1000</f>
        <v>30.754097007802912</v>
      </c>
      <c r="AW494" s="303"/>
    </row>
    <row r="495" spans="1:50" s="304" customFormat="1" x14ac:dyDescent="0.35">
      <c r="A495" s="89"/>
      <c r="B495" s="90">
        <f t="shared" si="7"/>
        <v>485</v>
      </c>
      <c r="C495" s="140">
        <v>46050</v>
      </c>
      <c r="D495" s="6" t="s">
        <v>16</v>
      </c>
      <c r="E495" s="6" t="s">
        <v>141</v>
      </c>
      <c r="F495" s="133" t="s">
        <v>142</v>
      </c>
      <c r="G495" s="133" t="s">
        <v>143</v>
      </c>
      <c r="H495" s="133" t="s">
        <v>144</v>
      </c>
      <c r="I495" s="133" t="s">
        <v>22</v>
      </c>
      <c r="J495" s="135" t="s">
        <v>23</v>
      </c>
      <c r="K495" s="135" t="s">
        <v>24</v>
      </c>
      <c r="L495" s="6" t="s">
        <v>140</v>
      </c>
      <c r="M495" s="93">
        <v>28</v>
      </c>
      <c r="N495" s="93">
        <v>61</v>
      </c>
      <c r="O495" s="6">
        <v>2</v>
      </c>
      <c r="P495" s="129">
        <v>3</v>
      </c>
      <c r="Q495" s="6">
        <v>0</v>
      </c>
      <c r="R495" s="98">
        <v>0.50029999999999997</v>
      </c>
      <c r="S495" s="94">
        <f>((Table3.110[[#This Row],[Sample weight, g]]*'2.1. DM'!Q85)/100)*1000</f>
        <v>466.31657584241594</v>
      </c>
      <c r="T495" s="94">
        <f>'3.2 Digest'!W495</f>
        <v>192.11657584241595</v>
      </c>
      <c r="U495" s="153">
        <v>0.33611111111111114</v>
      </c>
      <c r="V495" s="154">
        <v>40.5</v>
      </c>
      <c r="W495" s="153">
        <v>0.66736111111111107</v>
      </c>
      <c r="X495" s="91">
        <v>86</v>
      </c>
      <c r="Y495" s="91">
        <v>14.7</v>
      </c>
      <c r="Z495" s="154">
        <v>40</v>
      </c>
      <c r="AA495" s="153">
        <v>0.37083333333333335</v>
      </c>
      <c r="AB495" s="154">
        <v>81.5</v>
      </c>
      <c r="AC495" s="154">
        <v>19.2</v>
      </c>
      <c r="AD495" s="91"/>
      <c r="AE495" s="94">
        <f>Table3.110[[#This Row],[Gas 8h, ml]]-Table3.110[[#This Row],[Gas 0h, ml]]</f>
        <v>45.5</v>
      </c>
      <c r="AF495" s="94">
        <f>Table3.110[[#This Row],[Gas 24h, ml]]-Table3.110[[#This Row],[V8 Push back, ml]]</f>
        <v>41.5</v>
      </c>
      <c r="AG495" s="94">
        <f>Table3.110[[#This Row],[GP 8h, ml]]-(AVERAGE(AE$479,AE$480,AE$660,AE$661,AE$662,AE$663))*AG$8</f>
        <v>42.107474101643646</v>
      </c>
      <c r="AH495" s="94">
        <f>Table3.110[[#This Row],[GP 8-24h, ml]]-(AVERAGE(AF$479,AF$480,AF$660,AF$661,AF$662,AF$663))*AG$8</f>
        <v>37.185592064046816</v>
      </c>
      <c r="AI495" s="94">
        <f>Table3.110[[#This Row],[Net gas 8-24h, ml]]+Table3.110[[#This Row],[Net gas 8h, ml]]</f>
        <v>79.293066165690462</v>
      </c>
      <c r="AJ495" s="94">
        <f>Table3.110[[#This Row],[Net gas 8h, ml]]*Table3.110[[#This Row],[CH4 8h %]]%</f>
        <v>6.1897986929416158</v>
      </c>
      <c r="AK495" s="94">
        <f>Table3.110[[#This Row],[Net gas 8-24h, ml]]*Table3.110[[#This Row],[CH4 24h, %]]%</f>
        <v>7.139633676296989</v>
      </c>
      <c r="AL495" s="94">
        <f>Table3.110[[#This Row],[CH4 8-24h, ml]]+Table3.110[[#This Row],[CH4 8h, ml]]</f>
        <v>13.329432369238605</v>
      </c>
      <c r="AM495" s="94">
        <f>(Table3.110[[#This Row],[Net gas 24h, ml]]/Table3.110[[#This Row],[DM Incubated, mg]])*1000</f>
        <v>170.04127726415251</v>
      </c>
      <c r="AN495" s="94">
        <f>'3.2 Digest'!X495</f>
        <v>41.198744757325251</v>
      </c>
      <c r="AO495" s="94">
        <f>Table3.110[[#This Row],[Digested feed, mg]]/Table3.110[[#This Row],[Net gas 24h, ml]]</f>
        <v>2.4228672837669052</v>
      </c>
      <c r="AP495" s="94">
        <f>Table3.110[[#This Row],[CH4 8h, ml]]/Table3.110[[#This Row],[Net gas 8h, ml]]%</f>
        <v>14.700000000000001</v>
      </c>
      <c r="AQ495" s="94">
        <f>Table3.110[[#This Row],[CH4 24h, ml]]/Table3.110[[#This Row],[Net gas 24h, ml]]%</f>
        <v>16.810337919567239</v>
      </c>
      <c r="AR495" s="94">
        <f>Table3.110[[#This Row],[CH4 24h, ml]]/Table3.110[[#This Row],[DM Incubated, mg]]*1000</f>
        <v>28.584513310852302</v>
      </c>
      <c r="AS495" s="94">
        <f>Table3.110[[#This Row],[CH4 24h, ml]]/Table3.110[[#This Row],[Digested feed, mg]]*1000</f>
        <v>69.382000542067232</v>
      </c>
      <c r="AT495" s="94">
        <f>Table3.110[[#This Row],[CH4 24h, ml]]/'3.2 Digest'!AA495</f>
        <v>-2.3978844769371439</v>
      </c>
      <c r="AU495" s="94">
        <f>((Table3.110[[#This Row],[CH4 24h, ml]]/28.9)*16.04)/Table3.110[[#This Row],[DM Incubated, mg]]*1000</f>
        <v>15.864899429275811</v>
      </c>
      <c r="AV495" s="94">
        <f>((Table3.110[[#This Row],[CH4 24h, ml]]/28.9)*16.04)/Table3.110[[#This Row],[Digested feed, mg]]*1000</f>
        <v>38.508210681479532</v>
      </c>
      <c r="AW495" s="303"/>
    </row>
    <row r="496" spans="1:50" s="304" customFormat="1" x14ac:dyDescent="0.35">
      <c r="A496" s="89"/>
      <c r="B496" s="90">
        <f t="shared" si="7"/>
        <v>486</v>
      </c>
      <c r="C496" s="140">
        <v>46050</v>
      </c>
      <c r="D496" s="6" t="s">
        <v>16</v>
      </c>
      <c r="E496" s="6" t="s">
        <v>146</v>
      </c>
      <c r="F496" s="133" t="s">
        <v>88</v>
      </c>
      <c r="G496" s="133" t="s">
        <v>147</v>
      </c>
      <c r="H496" s="133" t="s">
        <v>148</v>
      </c>
      <c r="I496" s="133" t="s">
        <v>22</v>
      </c>
      <c r="J496" s="135" t="s">
        <v>23</v>
      </c>
      <c r="K496" s="135" t="s">
        <v>24</v>
      </c>
      <c r="L496" s="6" t="s">
        <v>145</v>
      </c>
      <c r="M496" s="93">
        <v>28</v>
      </c>
      <c r="N496" s="93">
        <v>61</v>
      </c>
      <c r="O496" s="6">
        <v>2</v>
      </c>
      <c r="P496" s="129">
        <v>1</v>
      </c>
      <c r="Q496" s="6">
        <v>0</v>
      </c>
      <c r="R496" s="98">
        <v>0.5</v>
      </c>
      <c r="S496" s="94">
        <f>((Table3.110[[#This Row],[Sample weight, g]]*'2.1. DM'!Q87)/100)*1000</f>
        <v>469.86058560401869</v>
      </c>
      <c r="T496" s="94">
        <f>'3.2 Digest'!W496</f>
        <v>17.160585604018706</v>
      </c>
      <c r="U496" s="117">
        <v>0.33611111111111114</v>
      </c>
      <c r="V496" s="155">
        <v>41</v>
      </c>
      <c r="W496" s="117">
        <v>0.66805555555555551</v>
      </c>
      <c r="X496" s="96">
        <v>63</v>
      </c>
      <c r="Y496" s="96">
        <v>14.2</v>
      </c>
      <c r="Z496" s="155">
        <v>40.5</v>
      </c>
      <c r="AA496" s="117">
        <v>0.37152777777777779</v>
      </c>
      <c r="AB496" s="155">
        <v>61</v>
      </c>
      <c r="AC496" s="155">
        <v>13.5</v>
      </c>
      <c r="AD496" s="96"/>
      <c r="AE496" s="94">
        <f>Table3.110[[#This Row],[Gas 8h, ml]]-Table3.110[[#This Row],[Gas 0h, ml]]</f>
        <v>22</v>
      </c>
      <c r="AF496" s="94">
        <f>Table3.110[[#This Row],[Gas 24h, ml]]-Table3.110[[#This Row],[V8 Push back, ml]]</f>
        <v>20.5</v>
      </c>
      <c r="AG496" s="94"/>
      <c r="AH496" s="94"/>
      <c r="AI496" s="94"/>
      <c r="AJ496" s="94"/>
      <c r="AK496" s="94"/>
      <c r="AL496" s="94"/>
      <c r="AM496" s="94"/>
      <c r="AN496" s="94"/>
      <c r="AO496" s="94"/>
      <c r="AP496" s="94"/>
      <c r="AQ496" s="94"/>
      <c r="AR496" s="94"/>
      <c r="AS496" s="94"/>
      <c r="AT496" s="94"/>
      <c r="AU496" s="94"/>
      <c r="AV496" s="94"/>
      <c r="AW496" s="303"/>
    </row>
    <row r="497" spans="1:49" s="304" customFormat="1" x14ac:dyDescent="0.35">
      <c r="A497" s="89"/>
      <c r="B497" s="90">
        <f t="shared" si="7"/>
        <v>487</v>
      </c>
      <c r="C497" s="140">
        <v>46050</v>
      </c>
      <c r="D497" s="6" t="s">
        <v>16</v>
      </c>
      <c r="E497" s="6" t="s">
        <v>146</v>
      </c>
      <c r="F497" s="133" t="s">
        <v>88</v>
      </c>
      <c r="G497" s="133" t="s">
        <v>147</v>
      </c>
      <c r="H497" s="133" t="s">
        <v>148</v>
      </c>
      <c r="I497" s="133" t="s">
        <v>22</v>
      </c>
      <c r="J497" s="135" t="s">
        <v>23</v>
      </c>
      <c r="K497" s="135" t="s">
        <v>24</v>
      </c>
      <c r="L497" s="6" t="s">
        <v>145</v>
      </c>
      <c r="M497" s="93">
        <v>28</v>
      </c>
      <c r="N497" s="93">
        <v>61</v>
      </c>
      <c r="O497" s="6">
        <v>2</v>
      </c>
      <c r="P497" s="6">
        <v>2</v>
      </c>
      <c r="Q497" s="6">
        <v>0</v>
      </c>
      <c r="R497" s="98">
        <v>0.5</v>
      </c>
      <c r="S497" s="94">
        <f>((Table3.110[[#This Row],[Sample weight, g]]*'2.1. DM'!Q87)/100)*1000</f>
        <v>469.86058560401869</v>
      </c>
      <c r="T497" s="94">
        <f>'3.2 Digest'!W497</f>
        <v>122.86058560401869</v>
      </c>
      <c r="U497" s="153">
        <v>0.33680555555555558</v>
      </c>
      <c r="V497" s="154">
        <v>40.5</v>
      </c>
      <c r="W497" s="153">
        <v>0.66874999999999996</v>
      </c>
      <c r="X497" s="91">
        <v>65.5</v>
      </c>
      <c r="Y497" s="91">
        <v>12.6</v>
      </c>
      <c r="Z497" s="154">
        <v>40</v>
      </c>
      <c r="AA497" s="153">
        <v>0.37152777777777779</v>
      </c>
      <c r="AB497" s="154">
        <v>60.5</v>
      </c>
      <c r="AC497" s="154">
        <v>12.1</v>
      </c>
      <c r="AD497" s="91"/>
      <c r="AE497" s="94">
        <f>Table3.110[[#This Row],[Gas 8h, ml]]-Table3.110[[#This Row],[Gas 0h, ml]]</f>
        <v>25</v>
      </c>
      <c r="AF497" s="94">
        <f>Table3.110[[#This Row],[Gas 24h, ml]]-Table3.110[[#This Row],[V8 Push back, ml]]</f>
        <v>20.5</v>
      </c>
      <c r="AG497" s="94">
        <f>Table3.110[[#This Row],[GP 8h, ml]]-(AVERAGE(AE$479,AE$480,AE$660,AE$661,AE$662,AE$663))*AG$8</f>
        <v>21.607474101643646</v>
      </c>
      <c r="AH497" s="94">
        <f>Table3.110[[#This Row],[GP 8-24h, ml]]-(AVERAGE(AF$479,AF$480,AF$660,AF$661,AF$662,AF$663))*AG$8</f>
        <v>16.185592064046812</v>
      </c>
      <c r="AI497" s="94">
        <f>Table3.110[[#This Row],[Net gas 8-24h, ml]]+Table3.110[[#This Row],[Net gas 8h, ml]]</f>
        <v>37.793066165690462</v>
      </c>
      <c r="AJ497" s="94">
        <f>Table3.110[[#This Row],[Net gas 8h, ml]]*Table3.110[[#This Row],[CH4 8h %]]%</f>
        <v>2.7225417368070994</v>
      </c>
      <c r="AK497" s="94">
        <f>Table3.110[[#This Row],[Net gas 8-24h, ml]]*Table3.110[[#This Row],[CH4 24h, %]]%</f>
        <v>1.9584566397496641</v>
      </c>
      <c r="AL497" s="94">
        <f>Table3.110[[#This Row],[CH4 8-24h, ml]]+Table3.110[[#This Row],[CH4 8h, ml]]</f>
        <v>4.6809983765567633</v>
      </c>
      <c r="AM497" s="94">
        <f>(Table3.110[[#This Row],[Net gas 24h, ml]]/Table3.110[[#This Row],[DM Incubated, mg]])*1000</f>
        <v>80.434638111018472</v>
      </c>
      <c r="AN497" s="94">
        <f>'3.2 Digest'!X497</f>
        <v>26.148306405841222</v>
      </c>
      <c r="AO497" s="94">
        <f>Table3.110[[#This Row],[Digested feed, mg]]/Table3.110[[#This Row],[Net gas 24h, ml]]</f>
        <v>3.2508763661931925</v>
      </c>
      <c r="AP497" s="94">
        <f>Table3.110[[#This Row],[CH4 8h, ml]]/Table3.110[[#This Row],[Net gas 8h, ml]]%</f>
        <v>12.600000000000001</v>
      </c>
      <c r="AQ497" s="94">
        <f>Table3.110[[#This Row],[CH4 24h, ml]]/Table3.110[[#This Row],[Net gas 24h, ml]]%</f>
        <v>12.3858655871809</v>
      </c>
      <c r="AR497" s="94">
        <f>Table3.110[[#This Row],[CH4 24h, ml]]/Table3.110[[#This Row],[DM Incubated, mg]]*1000</f>
        <v>9.9625261619661316</v>
      </c>
      <c r="AS497" s="94">
        <f>Table3.110[[#This Row],[CH4 24h, ml]]/Table3.110[[#This Row],[Digested feed, mg]]*1000</f>
        <v>38.100081922478239</v>
      </c>
      <c r="AT497" s="94">
        <f>Table3.110[[#This Row],[CH4 24h, ml]]/'3.2 Digest'!AA497</f>
        <v>-0.17529329042301375</v>
      </c>
      <c r="AU497" s="94">
        <f>((Table3.110[[#This Row],[CH4 24h, ml]]/28.9)*16.04)/Table3.110[[#This Row],[DM Incubated, mg]]*1000</f>
        <v>5.5293743819355274</v>
      </c>
      <c r="AV497" s="94">
        <f>((Table3.110[[#This Row],[CH4 24h, ml]]/28.9)*16.04)/Table3.110[[#This Row],[Digested feed, mg]]*1000</f>
        <v>21.146204637942944</v>
      </c>
      <c r="AW497" s="303"/>
    </row>
    <row r="498" spans="1:49" s="304" customFormat="1" x14ac:dyDescent="0.35">
      <c r="A498" s="89"/>
      <c r="B498" s="90">
        <f t="shared" si="7"/>
        <v>488</v>
      </c>
      <c r="C498" s="140">
        <v>46050</v>
      </c>
      <c r="D498" s="6" t="s">
        <v>16</v>
      </c>
      <c r="E498" s="6" t="s">
        <v>146</v>
      </c>
      <c r="F498" s="133" t="s">
        <v>88</v>
      </c>
      <c r="G498" s="133" t="s">
        <v>147</v>
      </c>
      <c r="H498" s="133" t="s">
        <v>148</v>
      </c>
      <c r="I498" s="133" t="s">
        <v>22</v>
      </c>
      <c r="J498" s="135" t="s">
        <v>23</v>
      </c>
      <c r="K498" s="135" t="s">
        <v>24</v>
      </c>
      <c r="L498" s="6" t="s">
        <v>145</v>
      </c>
      <c r="M498" s="93">
        <v>28</v>
      </c>
      <c r="N498" s="93">
        <v>61</v>
      </c>
      <c r="O498" s="6">
        <v>2</v>
      </c>
      <c r="P498" s="129">
        <v>3</v>
      </c>
      <c r="Q498" s="6">
        <v>0</v>
      </c>
      <c r="R498" s="98">
        <v>0.50029999999999997</v>
      </c>
      <c r="S498" s="94">
        <f>((Table3.110[[#This Row],[Sample weight, g]]*'2.1. DM'!Q87)/100)*1000</f>
        <v>470.14250195538108</v>
      </c>
      <c r="T498" s="94">
        <f>'3.2 Digest'!W498</f>
        <v>109.44250195538103</v>
      </c>
      <c r="U498" s="117">
        <v>0.33680555555555558</v>
      </c>
      <c r="V498" s="155">
        <v>41</v>
      </c>
      <c r="W498" s="117">
        <v>0.66874999999999996</v>
      </c>
      <c r="X498" s="96">
        <v>65</v>
      </c>
      <c r="Y498" s="96">
        <v>12.7</v>
      </c>
      <c r="Z498" s="155">
        <v>40</v>
      </c>
      <c r="AA498" s="117">
        <v>0.37222222222222223</v>
      </c>
      <c r="AB498" s="155">
        <v>61</v>
      </c>
      <c r="AC498" s="155">
        <v>11.8</v>
      </c>
      <c r="AD498" s="96"/>
      <c r="AE498" s="94">
        <f>Table3.110[[#This Row],[Gas 8h, ml]]-Table3.110[[#This Row],[Gas 0h, ml]]</f>
        <v>24</v>
      </c>
      <c r="AF498" s="94">
        <f>Table3.110[[#This Row],[Gas 24h, ml]]-Table3.110[[#This Row],[V8 Push back, ml]]</f>
        <v>21</v>
      </c>
      <c r="AG498" s="94">
        <f>Table3.110[[#This Row],[GP 8h, ml]]-(AVERAGE(AE$479,AE$480,AE$660,AE$661,AE$662,AE$663))*AG$8</f>
        <v>20.607474101643646</v>
      </c>
      <c r="AH498" s="94">
        <f>Table3.110[[#This Row],[GP 8-24h, ml]]-(AVERAGE(AF$479,AF$480,AF$660,AF$661,AF$662,AF$663))*AG$8</f>
        <v>16.685592064046812</v>
      </c>
      <c r="AI498" s="94">
        <f>Table3.110[[#This Row],[Net gas 8-24h, ml]]+Table3.110[[#This Row],[Net gas 8h, ml]]</f>
        <v>37.293066165690462</v>
      </c>
      <c r="AJ498" s="94">
        <f>Table3.110[[#This Row],[Net gas 8h, ml]]*Table3.110[[#This Row],[CH4 8h %]]%</f>
        <v>2.6171492109087433</v>
      </c>
      <c r="AK498" s="94">
        <f>Table3.110[[#This Row],[Net gas 8-24h, ml]]*Table3.110[[#This Row],[CH4 24h, %]]%</f>
        <v>1.9688998635575239</v>
      </c>
      <c r="AL498" s="94">
        <f>Table3.110[[#This Row],[CH4 8-24h, ml]]+Table3.110[[#This Row],[CH4 8h, ml]]</f>
        <v>4.586049074466267</v>
      </c>
      <c r="AM498" s="94">
        <f>(Table3.110[[#This Row],[Net gas 24h, ml]]/Table3.110[[#This Row],[DM Incubated, mg]])*1000</f>
        <v>79.322898930821964</v>
      </c>
      <c r="AN498" s="94">
        <f>'3.2 Digest'!X498</f>
        <v>23.27858074949533</v>
      </c>
      <c r="AO498" s="94">
        <f>Table3.110[[#This Row],[Digested feed, mg]]/Table3.110[[#This Row],[Net gas 24h, ml]]</f>
        <v>2.9346608688364673</v>
      </c>
      <c r="AP498" s="94">
        <f>Table3.110[[#This Row],[CH4 8h, ml]]/Table3.110[[#This Row],[Net gas 8h, ml]]%</f>
        <v>12.700000000000001</v>
      </c>
      <c r="AQ498" s="94">
        <f>Table3.110[[#This Row],[CH4 24h, ml]]/Table3.110[[#This Row],[Net gas 24h, ml]]%</f>
        <v>12.297323727930479</v>
      </c>
      <c r="AR498" s="94">
        <f>Table3.110[[#This Row],[CH4 24h, ml]]/Table3.110[[#This Row],[DM Incubated, mg]]*1000</f>
        <v>9.754593671902283</v>
      </c>
      <c r="AS498" s="94">
        <f>Table3.110[[#This Row],[CH4 24h, ml]]/Table3.110[[#This Row],[Digested feed, mg]]*1000</f>
        <v>41.903730201050848</v>
      </c>
      <c r="AT498" s="94">
        <f>Table3.110[[#This Row],[CH4 24h, ml]]/'3.2 Digest'!AA498</f>
        <v>-0.14500305325440238</v>
      </c>
      <c r="AU498" s="94">
        <f>((Table3.110[[#This Row],[CH4 24h, ml]]/28.9)*16.04)/Table3.110[[#This Row],[DM Incubated, mg]]*1000</f>
        <v>5.4139682525021664</v>
      </c>
      <c r="AV498" s="94">
        <f>((Table3.110[[#This Row],[CH4 24h, ml]]/28.9)*16.04)/Table3.110[[#This Row],[Digested feed, mg]]*1000</f>
        <v>23.257295239614383</v>
      </c>
      <c r="AW498" s="303"/>
    </row>
    <row r="499" spans="1:49" s="304" customFormat="1" x14ac:dyDescent="0.35">
      <c r="A499" s="89"/>
      <c r="B499" s="90">
        <f t="shared" si="7"/>
        <v>489</v>
      </c>
      <c r="C499" s="140">
        <v>46050</v>
      </c>
      <c r="D499" s="6" t="s">
        <v>16</v>
      </c>
      <c r="E499" s="6" t="s">
        <v>150</v>
      </c>
      <c r="F499" s="133" t="s">
        <v>142</v>
      </c>
      <c r="G499" s="133" t="s">
        <v>151</v>
      </c>
      <c r="H499" s="133" t="s">
        <v>152</v>
      </c>
      <c r="I499" s="133" t="s">
        <v>22</v>
      </c>
      <c r="J499" s="135" t="s">
        <v>23</v>
      </c>
      <c r="K499" s="135" t="s">
        <v>24</v>
      </c>
      <c r="L499" s="6" t="s">
        <v>149</v>
      </c>
      <c r="M499" s="93">
        <v>28</v>
      </c>
      <c r="N499" s="93">
        <v>61</v>
      </c>
      <c r="O499" s="6">
        <v>2</v>
      </c>
      <c r="P499" s="129">
        <v>1</v>
      </c>
      <c r="Q499" s="6">
        <v>0</v>
      </c>
      <c r="R499" s="98">
        <v>0.5</v>
      </c>
      <c r="S499" s="94">
        <f>((Table3.110[[#This Row],[Sample weight, g]]*'2.1. DM'!Q89)/100)*1000</f>
        <v>469.58412476257115</v>
      </c>
      <c r="T499" s="94">
        <f>'3.2 Digest'!W499</f>
        <v>316.68412476257123</v>
      </c>
      <c r="U499" s="156">
        <v>0.33750000000000002</v>
      </c>
      <c r="V499" s="154">
        <v>41.5</v>
      </c>
      <c r="W499" s="153">
        <v>0.6694444444444444</v>
      </c>
      <c r="X499" s="91">
        <v>96.5</v>
      </c>
      <c r="Y499" s="91">
        <v>14</v>
      </c>
      <c r="Z499" s="154">
        <v>40.5</v>
      </c>
      <c r="AA499" s="153">
        <v>0.37291666666666667</v>
      </c>
      <c r="AB499" s="154">
        <v>93.5</v>
      </c>
      <c r="AC499" s="154">
        <v>17.899999999999999</v>
      </c>
      <c r="AD499" s="91"/>
      <c r="AE499" s="94">
        <f>Table3.110[[#This Row],[Gas 8h, ml]]-Table3.110[[#This Row],[Gas 0h, ml]]</f>
        <v>55</v>
      </c>
      <c r="AF499" s="94">
        <f>Table3.110[[#This Row],[Gas 24h, ml]]-Table3.110[[#This Row],[V8 Push back, ml]]</f>
        <v>53</v>
      </c>
      <c r="AG499" s="94">
        <f>Table3.110[[#This Row],[GP 8h, ml]]-(AVERAGE(AE$479,AE$480,AE$660,AE$661,AE$662,AE$663))*AG$8</f>
        <v>51.607474101643646</v>
      </c>
      <c r="AH499" s="94">
        <f>Table3.110[[#This Row],[GP 8-24h, ml]]-(AVERAGE(AF$479,AF$480,AF$660,AF$661,AF$662,AF$663))*AG$8</f>
        <v>48.685592064046816</v>
      </c>
      <c r="AI499" s="94">
        <f>Table3.110[[#This Row],[Net gas 8-24h, ml]]+Table3.110[[#This Row],[Net gas 8h, ml]]</f>
        <v>100.29306616569046</v>
      </c>
      <c r="AJ499" s="94">
        <f>Table3.110[[#This Row],[Net gas 8h, ml]]*Table3.110[[#This Row],[CH4 8h %]]%</f>
        <v>7.2250463742301108</v>
      </c>
      <c r="AK499" s="94">
        <f>Table3.110[[#This Row],[Net gas 8-24h, ml]]*Table3.110[[#This Row],[CH4 24h, %]]%</f>
        <v>8.7147209794643796</v>
      </c>
      <c r="AL499" s="94">
        <f>Table3.110[[#This Row],[CH4 8-24h, ml]]+Table3.110[[#This Row],[CH4 8h, ml]]</f>
        <v>15.93976735369449</v>
      </c>
      <c r="AM499" s="94">
        <f>(Table3.110[[#This Row],[Net gas 24h, ml]]/Table3.110[[#This Row],[DM Incubated, mg]])*1000</f>
        <v>213.57848546604967</v>
      </c>
      <c r="AN499" s="94">
        <f>'3.2 Digest'!X499</f>
        <v>67.439274043323223</v>
      </c>
      <c r="AO499" s="94">
        <f>Table3.110[[#This Row],[Digested feed, mg]]/Table3.110[[#This Row],[Net gas 24h, ml]]</f>
        <v>3.1575874272244215</v>
      </c>
      <c r="AP499" s="94">
        <f>Table3.110[[#This Row],[CH4 8h, ml]]/Table3.110[[#This Row],[Net gas 8h, ml]]%</f>
        <v>14</v>
      </c>
      <c r="AQ499" s="94">
        <f>Table3.110[[#This Row],[CH4 24h, ml]]/Table3.110[[#This Row],[Net gas 24h, ml]]%</f>
        <v>15.893189791765852</v>
      </c>
      <c r="AR499" s="94">
        <f>Table3.110[[#This Row],[CH4 24h, ml]]/Table3.110[[#This Row],[DM Incubated, mg]]*1000</f>
        <v>33.944434049498327</v>
      </c>
      <c r="AS499" s="94">
        <f>Table3.110[[#This Row],[CH4 24h, ml]]/Table3.110[[#This Row],[Digested feed, mg]]*1000</f>
        <v>50.333332514362922</v>
      </c>
      <c r="AT499" s="94">
        <f>Table3.110[[#This Row],[CH4 24h, ml]]/'3.2 Digest'!AA499</f>
        <v>0.40893302500174383</v>
      </c>
      <c r="AU499" s="94">
        <f>((Table3.110[[#This Row],[CH4 24h, ml]]/28.9)*16.04)/Table3.110[[#This Row],[DM Incubated, mg]]*1000</f>
        <v>18.839748171417064</v>
      </c>
      <c r="AV499" s="94">
        <f>((Table3.110[[#This Row],[CH4 24h, ml]]/28.9)*16.04)/Table3.110[[#This Row],[Digested feed, mg]]*1000</f>
        <v>27.935870364373056</v>
      </c>
      <c r="AW499" s="303"/>
    </row>
    <row r="500" spans="1:49" s="304" customFormat="1" x14ac:dyDescent="0.35">
      <c r="A500" s="89"/>
      <c r="B500" s="90">
        <f t="shared" si="7"/>
        <v>490</v>
      </c>
      <c r="C500" s="140">
        <v>46050</v>
      </c>
      <c r="D500" s="6" t="s">
        <v>16</v>
      </c>
      <c r="E500" s="6" t="s">
        <v>150</v>
      </c>
      <c r="F500" s="133" t="s">
        <v>142</v>
      </c>
      <c r="G500" s="133" t="s">
        <v>151</v>
      </c>
      <c r="H500" s="133" t="s">
        <v>152</v>
      </c>
      <c r="I500" s="133" t="s">
        <v>22</v>
      </c>
      <c r="J500" s="135" t="s">
        <v>23</v>
      </c>
      <c r="K500" s="135" t="s">
        <v>24</v>
      </c>
      <c r="L500" s="6" t="s">
        <v>149</v>
      </c>
      <c r="M500" s="93">
        <v>28</v>
      </c>
      <c r="N500" s="93">
        <v>61</v>
      </c>
      <c r="O500" s="6">
        <v>2</v>
      </c>
      <c r="P500" s="6">
        <v>2</v>
      </c>
      <c r="Q500" s="6">
        <v>0</v>
      </c>
      <c r="R500" s="98">
        <v>0.50009999999999999</v>
      </c>
      <c r="S500" s="94">
        <f>((Table3.110[[#This Row],[Sample weight, g]]*'2.1. DM'!Q89)/100)*1000</f>
        <v>469.67804158752364</v>
      </c>
      <c r="T500" s="94">
        <f>'3.2 Digest'!W500</f>
        <v>201.97804158752359</v>
      </c>
      <c r="U500" s="117">
        <v>0.33750000000000002</v>
      </c>
      <c r="V500" s="155">
        <v>42.5</v>
      </c>
      <c r="W500" s="117">
        <v>0.67013888888888884</v>
      </c>
      <c r="X500" s="96">
        <v>98.5</v>
      </c>
      <c r="Y500" s="96">
        <v>14.2</v>
      </c>
      <c r="Z500" s="155">
        <v>41</v>
      </c>
      <c r="AA500" s="117">
        <v>0.37291666666666667</v>
      </c>
      <c r="AB500" s="155">
        <v>95</v>
      </c>
      <c r="AC500" s="155">
        <v>18.3</v>
      </c>
      <c r="AD500" s="96"/>
      <c r="AE500" s="94">
        <f>Table3.110[[#This Row],[Gas 8h, ml]]-Table3.110[[#This Row],[Gas 0h, ml]]</f>
        <v>56</v>
      </c>
      <c r="AF500" s="94">
        <f>Table3.110[[#This Row],[Gas 24h, ml]]-Table3.110[[#This Row],[V8 Push back, ml]]</f>
        <v>54</v>
      </c>
      <c r="AG500" s="94"/>
      <c r="AH500" s="94"/>
      <c r="AI500" s="94"/>
      <c r="AJ500" s="94"/>
      <c r="AK500" s="94"/>
      <c r="AL500" s="94"/>
      <c r="AM500" s="94"/>
      <c r="AN500" s="94"/>
      <c r="AO500" s="94"/>
      <c r="AP500" s="94"/>
      <c r="AQ500" s="94"/>
      <c r="AR500" s="94"/>
      <c r="AS500" s="94"/>
      <c r="AT500" s="94"/>
      <c r="AU500" s="94"/>
      <c r="AV500" s="94"/>
      <c r="AW500" s="303"/>
    </row>
    <row r="501" spans="1:49" s="304" customFormat="1" x14ac:dyDescent="0.35">
      <c r="A501" s="89"/>
      <c r="B501" s="90">
        <f t="shared" si="7"/>
        <v>491</v>
      </c>
      <c r="C501" s="140">
        <v>46050</v>
      </c>
      <c r="D501" s="6" t="s">
        <v>16</v>
      </c>
      <c r="E501" s="6" t="s">
        <v>150</v>
      </c>
      <c r="F501" s="133" t="s">
        <v>142</v>
      </c>
      <c r="G501" s="133" t="s">
        <v>151</v>
      </c>
      <c r="H501" s="133" t="s">
        <v>152</v>
      </c>
      <c r="I501" s="133" t="s">
        <v>22</v>
      </c>
      <c r="J501" s="135" t="s">
        <v>23</v>
      </c>
      <c r="K501" s="135" t="s">
        <v>24</v>
      </c>
      <c r="L501" s="6" t="s">
        <v>149</v>
      </c>
      <c r="M501" s="93">
        <v>28</v>
      </c>
      <c r="N501" s="93">
        <v>61</v>
      </c>
      <c r="O501" s="6">
        <v>2</v>
      </c>
      <c r="P501" s="129">
        <v>3</v>
      </c>
      <c r="Q501" s="6">
        <v>0</v>
      </c>
      <c r="R501" s="98">
        <v>0.50019999999999998</v>
      </c>
      <c r="S501" s="94">
        <f>((Table3.110[[#This Row],[Sample weight, g]]*'2.1. DM'!Q89)/100)*1000</f>
        <v>469.77195841247618</v>
      </c>
      <c r="T501" s="94">
        <f>'3.2 Digest'!W501</f>
        <v>303.87195841247626</v>
      </c>
      <c r="U501" s="153">
        <v>0.33750000000000002</v>
      </c>
      <c r="V501" s="154">
        <v>42</v>
      </c>
      <c r="W501" s="153">
        <v>0.67013888888888884</v>
      </c>
      <c r="X501" s="91">
        <v>97</v>
      </c>
      <c r="Y501" s="91">
        <v>14.2</v>
      </c>
      <c r="Z501" s="154">
        <v>40.5</v>
      </c>
      <c r="AA501" s="153">
        <v>0.37361111111111112</v>
      </c>
      <c r="AB501" s="154">
        <v>95.5</v>
      </c>
      <c r="AC501" s="154">
        <v>18.3</v>
      </c>
      <c r="AD501" s="91"/>
      <c r="AE501" s="94">
        <f>Table3.110[[#This Row],[Gas 8h, ml]]-Table3.110[[#This Row],[Gas 0h, ml]]</f>
        <v>55</v>
      </c>
      <c r="AF501" s="94">
        <f>Table3.110[[#This Row],[Gas 24h, ml]]-Table3.110[[#This Row],[V8 Push back, ml]]</f>
        <v>55</v>
      </c>
      <c r="AG501" s="94">
        <f>Table3.110[[#This Row],[GP 8h, ml]]-(AVERAGE(AE$479,AE$480,AE$660,AE$661,AE$662,AE$663))*AG$8</f>
        <v>51.607474101643646</v>
      </c>
      <c r="AH501" s="94">
        <f>Table3.110[[#This Row],[GP 8-24h, ml]]-(AVERAGE(AF$479,AF$480,AF$660,AF$661,AF$662,AF$663))*AG$8</f>
        <v>50.685592064046816</v>
      </c>
      <c r="AI501" s="94">
        <f>Table3.110[[#This Row],[Net gas 8-24h, ml]]+Table3.110[[#This Row],[Net gas 8h, ml]]</f>
        <v>102.29306616569046</v>
      </c>
      <c r="AJ501" s="94">
        <f>Table3.110[[#This Row],[Net gas 8h, ml]]*Table3.110[[#This Row],[CH4 8h %]]%</f>
        <v>7.3282613224333968</v>
      </c>
      <c r="AK501" s="94">
        <f>Table3.110[[#This Row],[Net gas 8-24h, ml]]*Table3.110[[#This Row],[CH4 24h, %]]%</f>
        <v>9.2754633477205672</v>
      </c>
      <c r="AL501" s="94">
        <f>Table3.110[[#This Row],[CH4 8-24h, ml]]+Table3.110[[#This Row],[CH4 8h, ml]]</f>
        <v>16.603724670153966</v>
      </c>
      <c r="AM501" s="94">
        <f>(Table3.110[[#This Row],[Net gas 24h, ml]]/Table3.110[[#This Row],[DM Incubated, mg]])*1000</f>
        <v>217.7504730409506</v>
      </c>
      <c r="AN501" s="94">
        <f>'3.2 Digest'!X501</f>
        <v>64.684992999447218</v>
      </c>
      <c r="AO501" s="94">
        <f>Table3.110[[#This Row],[Digested feed, mg]]/Table3.110[[#This Row],[Net gas 24h, ml]]</f>
        <v>2.9706017211398854</v>
      </c>
      <c r="AP501" s="94">
        <f>Table3.110[[#This Row],[CH4 8h, ml]]/Table3.110[[#This Row],[Net gas 8h, ml]]%</f>
        <v>14.199999999999998</v>
      </c>
      <c r="AQ501" s="94">
        <f>Table3.110[[#This Row],[CH4 24h, ml]]/Table3.110[[#This Row],[Net gas 24h, ml]]%</f>
        <v>16.231525060808984</v>
      </c>
      <c r="AR501" s="94">
        <f>Table3.110[[#This Row],[CH4 24h, ml]]/Table3.110[[#This Row],[DM Incubated, mg]]*1000</f>
        <v>35.344222601672016</v>
      </c>
      <c r="AS501" s="94">
        <f>Table3.110[[#This Row],[CH4 24h, ml]]/Table3.110[[#This Row],[Digested feed, mg]]*1000</f>
        <v>54.640529375915776</v>
      </c>
      <c r="AT501" s="94">
        <f>Table3.110[[#This Row],[CH4 24h, ml]]/'3.2 Digest'!AA501</f>
        <v>0.49098455429408056</v>
      </c>
      <c r="AU501" s="94">
        <f>((Table3.110[[#This Row],[CH4 24h, ml]]/28.9)*16.04)/Table3.110[[#This Row],[DM Incubated, mg]]*1000</f>
        <v>19.616655035668479</v>
      </c>
      <c r="AV501" s="94">
        <f>((Table3.110[[#This Row],[CH4 24h, ml]]/28.9)*16.04)/Table3.110[[#This Row],[Digested feed, mg]]*1000</f>
        <v>30.326439141511727</v>
      </c>
      <c r="AW501" s="303"/>
    </row>
    <row r="502" spans="1:49" s="304" customFormat="1" x14ac:dyDescent="0.35">
      <c r="A502" s="89"/>
      <c r="B502" s="90">
        <f t="shared" si="7"/>
        <v>492</v>
      </c>
      <c r="C502" s="140">
        <v>46050</v>
      </c>
      <c r="D502" s="6" t="s">
        <v>16</v>
      </c>
      <c r="E502" s="19" t="s">
        <v>154</v>
      </c>
      <c r="F502" s="123" t="s">
        <v>99</v>
      </c>
      <c r="G502" s="123" t="s">
        <v>155</v>
      </c>
      <c r="H502" s="123" t="s">
        <v>156</v>
      </c>
      <c r="I502" s="133" t="s">
        <v>22</v>
      </c>
      <c r="J502" s="135" t="s">
        <v>23</v>
      </c>
      <c r="K502" s="135" t="s">
        <v>24</v>
      </c>
      <c r="L502" s="6" t="s">
        <v>153</v>
      </c>
      <c r="M502" s="93">
        <v>28</v>
      </c>
      <c r="N502" s="93">
        <v>61</v>
      </c>
      <c r="O502" s="6">
        <v>2</v>
      </c>
      <c r="P502" s="129">
        <v>1</v>
      </c>
      <c r="Q502" s="6">
        <v>0</v>
      </c>
      <c r="R502" s="98">
        <v>0.5</v>
      </c>
      <c r="S502" s="94">
        <f>((Table3.110[[#This Row],[Sample weight, g]]*'2.1. DM'!Q91)/100)*1000</f>
        <v>466.05682828698065</v>
      </c>
      <c r="T502" s="94">
        <f>'3.2 Digest'!W502</f>
        <v>143.25682828698069</v>
      </c>
      <c r="U502" s="117">
        <v>0.33819444444444446</v>
      </c>
      <c r="V502" s="155">
        <v>42.5</v>
      </c>
      <c r="W502" s="117">
        <v>0.67083333333333328</v>
      </c>
      <c r="X502" s="96">
        <v>71.5</v>
      </c>
      <c r="Y502" s="96">
        <v>12.4</v>
      </c>
      <c r="Z502" s="155">
        <v>40</v>
      </c>
      <c r="AA502" s="117">
        <v>0.37430555555555556</v>
      </c>
      <c r="AB502" s="155">
        <v>63</v>
      </c>
      <c r="AC502" s="155">
        <v>14.8</v>
      </c>
      <c r="AD502" s="96"/>
      <c r="AE502" s="94">
        <f>Table3.110[[#This Row],[Gas 8h, ml]]-Table3.110[[#This Row],[Gas 0h, ml]]</f>
        <v>29</v>
      </c>
      <c r="AF502" s="94">
        <f>Table3.110[[#This Row],[Gas 24h, ml]]-Table3.110[[#This Row],[V8 Push back, ml]]</f>
        <v>23</v>
      </c>
      <c r="AG502" s="94">
        <f>Table3.110[[#This Row],[GP 8h, ml]]-(AVERAGE(AE$479,AE$480,AE$660,AE$661,AE$662,AE$663))*AG$8</f>
        <v>25.607474101643646</v>
      </c>
      <c r="AH502" s="94">
        <f>Table3.110[[#This Row],[GP 8-24h, ml]]-(AVERAGE(AF$479,AF$480,AF$660,AF$661,AF$662,AF$663))*AG$8</f>
        <v>18.685592064046812</v>
      </c>
      <c r="AI502" s="94">
        <f>Table3.110[[#This Row],[Net gas 8-24h, ml]]+Table3.110[[#This Row],[Net gas 8h, ml]]</f>
        <v>44.293066165690462</v>
      </c>
      <c r="AJ502" s="94">
        <f>Table3.110[[#This Row],[Net gas 8h, ml]]*Table3.110[[#This Row],[CH4 8h %]]%</f>
        <v>3.1753267886038121</v>
      </c>
      <c r="AK502" s="94">
        <f>Table3.110[[#This Row],[Net gas 8-24h, ml]]*Table3.110[[#This Row],[CH4 24h, %]]%</f>
        <v>2.7654676254789288</v>
      </c>
      <c r="AL502" s="94">
        <f>Table3.110[[#This Row],[CH4 8-24h, ml]]+Table3.110[[#This Row],[CH4 8h, ml]]</f>
        <v>5.9407944140827409</v>
      </c>
      <c r="AM502" s="94">
        <f>(Table3.110[[#This Row],[Net gas 24h, ml]]/Table3.110[[#This Row],[DM Incubated, mg]])*1000</f>
        <v>95.037908420937072</v>
      </c>
      <c r="AN502" s="94">
        <f>'3.2 Digest'!X502</f>
        <v>30.738060166080949</v>
      </c>
      <c r="AO502" s="94">
        <f>Table3.110[[#This Row],[Digested feed, mg]]/Table3.110[[#This Row],[Net gas 24h, ml]]</f>
        <v>3.2342946805960309</v>
      </c>
      <c r="AP502" s="94">
        <f>Table3.110[[#This Row],[CH4 8h, ml]]/Table3.110[[#This Row],[Net gas 8h, ml]]%</f>
        <v>12.4</v>
      </c>
      <c r="AQ502" s="94">
        <f>Table3.110[[#This Row],[CH4 24h, ml]]/Table3.110[[#This Row],[Net gas 24h, ml]]%</f>
        <v>13.412470457248446</v>
      </c>
      <c r="AR502" s="94">
        <f>Table3.110[[#This Row],[CH4 24h, ml]]/Table3.110[[#This Row],[DM Incubated, mg]]*1000</f>
        <v>12.74693139014502</v>
      </c>
      <c r="AS502" s="94">
        <f>Table3.110[[#This Row],[CH4 24h, ml]]/Table3.110[[#This Row],[Digested feed, mg]]*1000</f>
        <v>41.46953750910766</v>
      </c>
      <c r="AT502" s="94">
        <f>Table3.110[[#This Row],[CH4 24h, ml]]/'3.2 Digest'!AA502</f>
        <v>-0.64762893599307791</v>
      </c>
      <c r="AU502" s="94">
        <f>((Table3.110[[#This Row],[CH4 24h, ml]]/28.9)*16.04)/Table3.110[[#This Row],[DM Incubated, mg]]*1000</f>
        <v>7.0747674566756444</v>
      </c>
      <c r="AV502" s="94">
        <f>((Table3.110[[#This Row],[CH4 24h, ml]]/28.9)*16.04)/Table3.110[[#This Row],[Digested feed, mg]]*1000</f>
        <v>23.016310783601618</v>
      </c>
      <c r="AW502" s="303"/>
    </row>
    <row r="503" spans="1:49" s="304" customFormat="1" x14ac:dyDescent="0.35">
      <c r="A503" s="89"/>
      <c r="B503" s="90">
        <f t="shared" si="7"/>
        <v>493</v>
      </c>
      <c r="C503" s="140">
        <v>46050</v>
      </c>
      <c r="D503" s="6" t="s">
        <v>16</v>
      </c>
      <c r="E503" s="6" t="s">
        <v>154</v>
      </c>
      <c r="F503" s="133" t="s">
        <v>99</v>
      </c>
      <c r="G503" s="133" t="s">
        <v>155</v>
      </c>
      <c r="H503" s="133" t="s">
        <v>156</v>
      </c>
      <c r="I503" s="133" t="s">
        <v>22</v>
      </c>
      <c r="J503" s="135" t="s">
        <v>23</v>
      </c>
      <c r="K503" s="135" t="s">
        <v>24</v>
      </c>
      <c r="L503" s="6" t="s">
        <v>153</v>
      </c>
      <c r="M503" s="93">
        <v>28</v>
      </c>
      <c r="N503" s="93">
        <v>61</v>
      </c>
      <c r="O503" s="6">
        <v>2</v>
      </c>
      <c r="P503" s="129">
        <v>2</v>
      </c>
      <c r="Q503" s="6">
        <v>0</v>
      </c>
      <c r="R503" s="98">
        <v>0.50009999999999999</v>
      </c>
      <c r="S503" s="94">
        <f>((Table3.110[[#This Row],[Sample weight, g]]*'2.1. DM'!Q91)/100)*1000</f>
        <v>466.15003965263804</v>
      </c>
      <c r="T503" s="94">
        <f>'3.2 Digest'!W503</f>
        <v>137.95003965263811</v>
      </c>
      <c r="U503" s="153">
        <v>0.33819444444444446</v>
      </c>
      <c r="V503" s="154">
        <v>41.5</v>
      </c>
      <c r="W503" s="153">
        <v>0.67152777777777772</v>
      </c>
      <c r="X503" s="91">
        <v>70</v>
      </c>
      <c r="Y503" s="91">
        <v>12.4</v>
      </c>
      <c r="Z503" s="154">
        <v>40</v>
      </c>
      <c r="AA503" s="153">
        <v>0.37430555555555556</v>
      </c>
      <c r="AB503" s="154">
        <v>62.5</v>
      </c>
      <c r="AC503" s="154">
        <v>14.2</v>
      </c>
      <c r="AD503" s="91"/>
      <c r="AE503" s="94">
        <f>Table3.110[[#This Row],[Gas 8h, ml]]-Table3.110[[#This Row],[Gas 0h, ml]]</f>
        <v>28.5</v>
      </c>
      <c r="AF503" s="94">
        <f>Table3.110[[#This Row],[Gas 24h, ml]]-Table3.110[[#This Row],[V8 Push back, ml]]</f>
        <v>22.5</v>
      </c>
      <c r="AG503" s="94">
        <f>Table3.110[[#This Row],[GP 8h, ml]]-(AVERAGE(AE$479,AE$480,AE$660,AE$661,AE$662,AE$663))*AG$8</f>
        <v>25.107474101643646</v>
      </c>
      <c r="AH503" s="94">
        <f>Table3.110[[#This Row],[GP 8-24h, ml]]-(AVERAGE(AF$479,AF$480,AF$660,AF$661,AF$662,AF$663))*AG$8</f>
        <v>18.185592064046812</v>
      </c>
      <c r="AI503" s="94">
        <f>Table3.110[[#This Row],[Net gas 8-24h, ml]]+Table3.110[[#This Row],[Net gas 8h, ml]]</f>
        <v>43.293066165690462</v>
      </c>
      <c r="AJ503" s="94">
        <f>Table3.110[[#This Row],[Net gas 8h, ml]]*Table3.110[[#This Row],[CH4 8h %]]%</f>
        <v>3.1133267886038123</v>
      </c>
      <c r="AK503" s="94">
        <f>Table3.110[[#This Row],[Net gas 8-24h, ml]]*Table3.110[[#This Row],[CH4 24h, %]]%</f>
        <v>2.5823540730946473</v>
      </c>
      <c r="AL503" s="94">
        <f>Table3.110[[#This Row],[CH4 8-24h, ml]]+Table3.110[[#This Row],[CH4 8h, ml]]</f>
        <v>5.6956808616984596</v>
      </c>
      <c r="AM503" s="94">
        <f>(Table3.110[[#This Row],[Net gas 24h, ml]]/Table3.110[[#This Row],[DM Incubated, mg]])*1000</f>
        <v>92.87367260110338</v>
      </c>
      <c r="AN503" s="94">
        <f>'3.2 Digest'!X503</f>
        <v>29.593484483115056</v>
      </c>
      <c r="AO503" s="94">
        <f>Table3.110[[#This Row],[Digested feed, mg]]/Table3.110[[#This Row],[Net gas 24h, ml]]</f>
        <v>3.1864234130398188</v>
      </c>
      <c r="AP503" s="94">
        <f>Table3.110[[#This Row],[CH4 8h, ml]]/Table3.110[[#This Row],[Net gas 8h, ml]]%</f>
        <v>12.4</v>
      </c>
      <c r="AQ503" s="94">
        <f>Table3.110[[#This Row],[CH4 24h, ml]]/Table3.110[[#This Row],[Net gas 24h, ml]]%</f>
        <v>13.156104120461345</v>
      </c>
      <c r="AR503" s="94">
        <f>Table3.110[[#This Row],[CH4 24h, ml]]/Table3.110[[#This Row],[DM Incubated, mg]]*1000</f>
        <v>12.218557067897541</v>
      </c>
      <c r="AS503" s="94">
        <f>Table3.110[[#This Row],[CH4 24h, ml]]/Table3.110[[#This Row],[Digested feed, mg]]*1000</f>
        <v>41.287997278147486</v>
      </c>
      <c r="AT503" s="94">
        <f>Table3.110[[#This Row],[CH4 24h, ml]]/'3.2 Digest'!AA503</f>
        <v>-0.51886148919025799</v>
      </c>
      <c r="AU503" s="94">
        <f>((Table3.110[[#This Row],[CH4 24h, ml]]/28.9)*16.04)/Table3.110[[#This Row],[DM Incubated, mg]]*1000</f>
        <v>6.7815105664040329</v>
      </c>
      <c r="AV503" s="94">
        <f>((Table3.110[[#This Row],[CH4 24h, ml]]/28.9)*16.04)/Table3.110[[#This Row],[Digested feed, mg]]*1000</f>
        <v>22.915552814584277</v>
      </c>
      <c r="AW503" s="303"/>
    </row>
    <row r="504" spans="1:49" s="304" customFormat="1" x14ac:dyDescent="0.35">
      <c r="A504" s="89"/>
      <c r="B504" s="90">
        <f t="shared" si="7"/>
        <v>494</v>
      </c>
      <c r="C504" s="140">
        <v>46050</v>
      </c>
      <c r="D504" s="6" t="s">
        <v>16</v>
      </c>
      <c r="E504" s="6" t="s">
        <v>154</v>
      </c>
      <c r="F504" s="133" t="s">
        <v>99</v>
      </c>
      <c r="G504" s="133" t="s">
        <v>155</v>
      </c>
      <c r="H504" s="133" t="s">
        <v>156</v>
      </c>
      <c r="I504" s="133" t="s">
        <v>22</v>
      </c>
      <c r="J504" s="135" t="s">
        <v>23</v>
      </c>
      <c r="K504" s="135" t="s">
        <v>24</v>
      </c>
      <c r="L504" s="6" t="s">
        <v>153</v>
      </c>
      <c r="M504" s="93">
        <v>28</v>
      </c>
      <c r="N504" s="93">
        <v>61</v>
      </c>
      <c r="O504" s="6">
        <v>2</v>
      </c>
      <c r="P504" s="129">
        <v>3</v>
      </c>
      <c r="Q504" s="6">
        <v>0</v>
      </c>
      <c r="R504" s="98">
        <v>0.50029999999999997</v>
      </c>
      <c r="S504" s="94">
        <f>((Table3.110[[#This Row],[Sample weight, g]]*'2.1. DM'!Q91)/100)*1000</f>
        <v>466.33646238395278</v>
      </c>
      <c r="T504" s="94">
        <f>'3.2 Digest'!W504</f>
        <v>144.53646238395282</v>
      </c>
      <c r="U504" s="117">
        <v>0.33888888888888891</v>
      </c>
      <c r="V504" s="155">
        <v>42</v>
      </c>
      <c r="W504" s="117">
        <v>0.67152777777777772</v>
      </c>
      <c r="X504" s="96">
        <v>70.5</v>
      </c>
      <c r="Y504" s="96">
        <v>12.7</v>
      </c>
      <c r="Z504" s="155">
        <v>40</v>
      </c>
      <c r="AA504" s="117">
        <v>0.375</v>
      </c>
      <c r="AB504" s="155">
        <v>63</v>
      </c>
      <c r="AC504" s="155">
        <v>14</v>
      </c>
      <c r="AD504" s="96" t="s">
        <v>559</v>
      </c>
      <c r="AE504" s="94">
        <f>Table3.110[[#This Row],[Gas 8h, ml]]-Table3.110[[#This Row],[Gas 0h, ml]]</f>
        <v>28.5</v>
      </c>
      <c r="AF504" s="94">
        <f>Table3.110[[#This Row],[Gas 24h, ml]]-Table3.110[[#This Row],[V8 Push back, ml]]</f>
        <v>23</v>
      </c>
      <c r="AG504" s="94">
        <f>Table3.110[[#This Row],[GP 8h, ml]]-(AVERAGE(AE$479,AE$480,AE$660,AE$661,AE$662,AE$663))*AG$8</f>
        <v>25.107474101643646</v>
      </c>
      <c r="AH504" s="94">
        <f>Table3.110[[#This Row],[GP 8-24h, ml]]-(AVERAGE(AF$479,AF$480,AF$660,AF$661,AF$662,AF$663))*AG$8</f>
        <v>18.685592064046812</v>
      </c>
      <c r="AI504" s="94">
        <f>Table3.110[[#This Row],[Net gas 8-24h, ml]]+Table3.110[[#This Row],[Net gas 8h, ml]]</f>
        <v>43.793066165690462</v>
      </c>
      <c r="AJ504" s="94">
        <f>Table3.110[[#This Row],[Net gas 8h, ml]]*Table3.110[[#This Row],[CH4 8h %]]%</f>
        <v>3.1886492109087432</v>
      </c>
      <c r="AK504" s="94">
        <f>Table3.110[[#This Row],[Net gas 8-24h, ml]]*Table3.110[[#This Row],[CH4 24h, %]]%</f>
        <v>2.615982888966554</v>
      </c>
      <c r="AL504" s="94">
        <f>Table3.110[[#This Row],[CH4 8-24h, ml]]+Table3.110[[#This Row],[CH4 8h, ml]]</f>
        <v>5.8046320998752972</v>
      </c>
      <c r="AM504" s="94">
        <f>(Table3.110[[#This Row],[Net gas 24h, ml]]/Table3.110[[#This Row],[DM Incubated, mg]])*1000</f>
        <v>93.908732638697131</v>
      </c>
      <c r="AN504" s="94">
        <f>'3.2 Digest'!X504</f>
        <v>30.994029856698269</v>
      </c>
      <c r="AO504" s="94">
        <f>Table3.110[[#This Row],[Digested feed, mg]]/Table3.110[[#This Row],[Net gas 24h, ml]]</f>
        <v>3.3004417146107357</v>
      </c>
      <c r="AP504" s="94">
        <f>Table3.110[[#This Row],[CH4 8h, ml]]/Table3.110[[#This Row],[Net gas 8h, ml]]%</f>
        <v>12.700000000000001</v>
      </c>
      <c r="AQ504" s="94">
        <f>Table3.110[[#This Row],[CH4 24h, ml]]/Table3.110[[#This Row],[Net gas 24h, ml]]%</f>
        <v>13.254683008295311</v>
      </c>
      <c r="AR504" s="94">
        <f>Table3.110[[#This Row],[CH4 24h, ml]]/Table3.110[[#This Row],[DM Incubated, mg]]*1000</f>
        <v>12.447304828366862</v>
      </c>
      <c r="AS504" s="94">
        <f>Table3.110[[#This Row],[CH4 24h, ml]]/Table3.110[[#This Row],[Digested feed, mg]]*1000</f>
        <v>40.160330508544099</v>
      </c>
      <c r="AT504" s="94">
        <f>Table3.110[[#This Row],[CH4 24h, ml]]/'3.2 Digest'!AA504</f>
        <v>-0.66189806046501953</v>
      </c>
      <c r="AU504" s="94">
        <f>((Table3.110[[#This Row],[CH4 24h, ml]]/28.9)*16.04)/Table3.110[[#This Row],[DM Incubated, mg]]*1000</f>
        <v>6.9084695310382163</v>
      </c>
      <c r="AV504" s="94">
        <f>((Table3.110[[#This Row],[CH4 24h, ml]]/28.9)*16.04)/Table3.110[[#This Row],[Digested feed, mg]]*1000</f>
        <v>22.289678247648698</v>
      </c>
      <c r="AW504" s="303"/>
    </row>
    <row r="505" spans="1:49" s="304" customFormat="1" x14ac:dyDescent="0.35">
      <c r="A505" s="89"/>
      <c r="B505" s="90">
        <f t="shared" si="7"/>
        <v>495</v>
      </c>
      <c r="C505" s="140">
        <v>46050</v>
      </c>
      <c r="D505" s="6" t="s">
        <v>16</v>
      </c>
      <c r="E505" s="6" t="s">
        <v>158</v>
      </c>
      <c r="F505" s="133" t="s">
        <v>159</v>
      </c>
      <c r="G505" s="133" t="s">
        <v>160</v>
      </c>
      <c r="H505" s="133" t="s">
        <v>161</v>
      </c>
      <c r="I505" s="133" t="s">
        <v>22</v>
      </c>
      <c r="J505" s="135" t="s">
        <v>23</v>
      </c>
      <c r="K505" s="135" t="s">
        <v>24</v>
      </c>
      <c r="L505" s="6" t="s">
        <v>157</v>
      </c>
      <c r="M505" s="93">
        <v>28</v>
      </c>
      <c r="N505" s="93">
        <v>61</v>
      </c>
      <c r="O505" s="6">
        <v>2</v>
      </c>
      <c r="P505" s="6">
        <v>1</v>
      </c>
      <c r="Q505" s="6">
        <v>0</v>
      </c>
      <c r="R505" s="98">
        <v>0.50009999999999999</v>
      </c>
      <c r="S505" s="94">
        <f>((Table3.110[[#This Row],[Sample weight, g]]*'2.1. DM'!Q93)/100)*1000</f>
        <v>464.03221211515387</v>
      </c>
      <c r="T505" s="94">
        <f>'3.2 Digest'!W505</f>
        <v>94.032212115153868</v>
      </c>
      <c r="U505" s="153">
        <v>0.33958333333333335</v>
      </c>
      <c r="V505" s="154">
        <v>41.5</v>
      </c>
      <c r="W505" s="153">
        <v>0.67222222222222228</v>
      </c>
      <c r="X505" s="91">
        <v>61</v>
      </c>
      <c r="Y505" s="91">
        <v>12.8</v>
      </c>
      <c r="Z505" s="154">
        <v>40.5</v>
      </c>
      <c r="AA505" s="153">
        <v>0.375</v>
      </c>
      <c r="AB505" s="154">
        <v>58</v>
      </c>
      <c r="AC505" s="154">
        <v>13.1</v>
      </c>
      <c r="AD505" s="91"/>
      <c r="AE505" s="94">
        <f>Table3.110[[#This Row],[Gas 8h, ml]]-Table3.110[[#This Row],[Gas 0h, ml]]</f>
        <v>19.5</v>
      </c>
      <c r="AF505" s="94">
        <f>Table3.110[[#This Row],[Gas 24h, ml]]-Table3.110[[#This Row],[V8 Push back, ml]]</f>
        <v>17.5</v>
      </c>
      <c r="AG505" s="94">
        <f>Table3.110[[#This Row],[GP 8h, ml]]-(AVERAGE(AE$479,AE$480,AE$660,AE$661,AE$662,AE$663))*AG$8</f>
        <v>16.107474101643646</v>
      </c>
      <c r="AH505" s="94">
        <f>Table3.110[[#This Row],[GP 8-24h, ml]]-(AVERAGE(AF$479,AF$480,AF$660,AF$661,AF$662,AF$663))*AG$8</f>
        <v>13.185592064046812</v>
      </c>
      <c r="AI505" s="94">
        <f>Table3.110[[#This Row],[Net gas 8-24h, ml]]+Table3.110[[#This Row],[Net gas 8h, ml]]</f>
        <v>29.293066165690458</v>
      </c>
      <c r="AJ505" s="94">
        <f>Table3.110[[#This Row],[Net gas 8h, ml]]*Table3.110[[#This Row],[CH4 8h %]]%</f>
        <v>2.0617566850103866</v>
      </c>
      <c r="AK505" s="94">
        <f>Table3.110[[#This Row],[Net gas 8-24h, ml]]*Table3.110[[#This Row],[CH4 24h, %]]%</f>
        <v>1.7273125603901325</v>
      </c>
      <c r="AL505" s="94">
        <f>Table3.110[[#This Row],[CH4 8-24h, ml]]+Table3.110[[#This Row],[CH4 8h, ml]]</f>
        <v>3.789069245400519</v>
      </c>
      <c r="AM505" s="94">
        <f>(Table3.110[[#This Row],[Net gas 24h, ml]]/Table3.110[[#This Row],[DM Incubated, mg]])*1000</f>
        <v>63.127225655664418</v>
      </c>
      <c r="AN505" s="94">
        <f>'3.2 Digest'!X505</f>
        <v>20.264156164188645</v>
      </c>
      <c r="AO505" s="94">
        <f>Table3.110[[#This Row],[Digested feed, mg]]/Table3.110[[#This Row],[Net gas 24h, ml]]</f>
        <v>3.2100501730777919</v>
      </c>
      <c r="AP505" s="94">
        <f>Table3.110[[#This Row],[CH4 8h, ml]]/Table3.110[[#This Row],[Net gas 8h, ml]]%</f>
        <v>12.799999999999999</v>
      </c>
      <c r="AQ505" s="94">
        <f>Table3.110[[#This Row],[CH4 24h, ml]]/Table3.110[[#This Row],[Net gas 24h, ml]]%</f>
        <v>12.935038018787093</v>
      </c>
      <c r="AR505" s="94">
        <f>Table3.110[[#This Row],[CH4 24h, ml]]/Table3.110[[#This Row],[DM Incubated, mg]]*1000</f>
        <v>8.1655306387657127</v>
      </c>
      <c r="AS505" s="94">
        <f>Table3.110[[#This Row],[CH4 24h, ml]]/Table3.110[[#This Row],[Digested feed, mg]]*1000</f>
        <v>40.295438766880686</v>
      </c>
      <c r="AT505" s="94">
        <f>Table3.110[[#This Row],[CH4 24h, ml]]/'3.2 Digest'!AA505</f>
        <v>-7.6681268738832076E-2</v>
      </c>
      <c r="AU505" s="94">
        <f>((Table3.110[[#This Row],[CH4 24h, ml]]/28.9)*16.04)/Table3.110[[#This Row],[DM Incubated, mg]]*1000</f>
        <v>4.5320107766713509</v>
      </c>
      <c r="AV505" s="94">
        <f>((Table3.110[[#This Row],[CH4 24h, ml]]/28.9)*16.04)/Table3.110[[#This Row],[Digested feed, mg]]*1000</f>
        <v>22.364665668538628</v>
      </c>
      <c r="AW505" s="303"/>
    </row>
    <row r="506" spans="1:49" s="304" customFormat="1" x14ac:dyDescent="0.35">
      <c r="A506" s="89"/>
      <c r="B506" s="90">
        <f t="shared" si="7"/>
        <v>496</v>
      </c>
      <c r="C506" s="140">
        <v>46050</v>
      </c>
      <c r="D506" s="6" t="s">
        <v>16</v>
      </c>
      <c r="E506" s="6" t="s">
        <v>158</v>
      </c>
      <c r="F506" s="133" t="s">
        <v>159</v>
      </c>
      <c r="G506" s="133" t="s">
        <v>160</v>
      </c>
      <c r="H506" s="133" t="s">
        <v>161</v>
      </c>
      <c r="I506" s="133" t="s">
        <v>22</v>
      </c>
      <c r="J506" s="135" t="s">
        <v>23</v>
      </c>
      <c r="K506" s="135" t="s">
        <v>24</v>
      </c>
      <c r="L506" s="6" t="s">
        <v>157</v>
      </c>
      <c r="M506" s="93">
        <v>28</v>
      </c>
      <c r="N506" s="93">
        <v>61</v>
      </c>
      <c r="O506" s="6">
        <v>2</v>
      </c>
      <c r="P506" s="129">
        <v>2</v>
      </c>
      <c r="Q506" s="6">
        <v>0</v>
      </c>
      <c r="R506" s="98">
        <v>0.50019999999999998</v>
      </c>
      <c r="S506" s="94">
        <f>((Table3.110[[#This Row],[Sample weight, g]]*'2.1. DM'!Q93)/100)*1000</f>
        <v>464.12499999999989</v>
      </c>
      <c r="T506" s="94">
        <f>'3.2 Digest'!W506</f>
        <v>89.824999999999932</v>
      </c>
      <c r="U506" s="117">
        <v>0.33958333333333335</v>
      </c>
      <c r="V506" s="155">
        <v>42</v>
      </c>
      <c r="W506" s="117">
        <v>0.67291666666666672</v>
      </c>
      <c r="X506" s="96">
        <v>60.5</v>
      </c>
      <c r="Y506" s="96">
        <v>12.7</v>
      </c>
      <c r="Z506" s="155">
        <v>40</v>
      </c>
      <c r="AA506" s="117">
        <v>0.37569444444444444</v>
      </c>
      <c r="AB506" s="155">
        <v>57</v>
      </c>
      <c r="AC506" s="155">
        <v>12.9</v>
      </c>
      <c r="AD506" s="96"/>
      <c r="AE506" s="94">
        <f>Table3.110[[#This Row],[Gas 8h, ml]]-Table3.110[[#This Row],[Gas 0h, ml]]</f>
        <v>18.5</v>
      </c>
      <c r="AF506" s="94">
        <f>Table3.110[[#This Row],[Gas 24h, ml]]-Table3.110[[#This Row],[V8 Push back, ml]]</f>
        <v>17</v>
      </c>
      <c r="AG506" s="94">
        <f>Table3.110[[#This Row],[GP 8h, ml]]-(AVERAGE(AE$479,AE$480,AE$660,AE$661,AE$662,AE$663))*AG$8</f>
        <v>15.107474101643646</v>
      </c>
      <c r="AH506" s="94">
        <f>Table3.110[[#This Row],[GP 8-24h, ml]]-(AVERAGE(AF$479,AF$480,AF$660,AF$661,AF$662,AF$663))*AG$8</f>
        <v>12.685592064046812</v>
      </c>
      <c r="AI506" s="94">
        <f>Table3.110[[#This Row],[Net gas 8-24h, ml]]+Table3.110[[#This Row],[Net gas 8h, ml]]</f>
        <v>27.793066165690458</v>
      </c>
      <c r="AJ506" s="94">
        <f>Table3.110[[#This Row],[Net gas 8h, ml]]*Table3.110[[#This Row],[CH4 8h %]]%</f>
        <v>1.9186492109087432</v>
      </c>
      <c r="AK506" s="94">
        <f>Table3.110[[#This Row],[Net gas 8-24h, ml]]*Table3.110[[#This Row],[CH4 24h, %]]%</f>
        <v>1.6364413762620389</v>
      </c>
      <c r="AL506" s="94">
        <f>Table3.110[[#This Row],[CH4 8-24h, ml]]+Table3.110[[#This Row],[CH4 8h, ml]]</f>
        <v>3.5550905871707821</v>
      </c>
      <c r="AM506" s="94">
        <f>(Table3.110[[#This Row],[Net gas 24h, ml]]/Table3.110[[#This Row],[DM Incubated, mg]])*1000</f>
        <v>59.882717297474741</v>
      </c>
      <c r="AN506" s="94">
        <f>'3.2 Digest'!X506</f>
        <v>19.353622407756522</v>
      </c>
      <c r="AO506" s="94">
        <f>Table3.110[[#This Row],[Digested feed, mg]]/Table3.110[[#This Row],[Net gas 24h, ml]]</f>
        <v>3.2319212088548066</v>
      </c>
      <c r="AP506" s="94">
        <f>Table3.110[[#This Row],[CH4 8h, ml]]/Table3.110[[#This Row],[Net gas 8h, ml]]%</f>
        <v>12.7</v>
      </c>
      <c r="AQ506" s="94">
        <f>Table3.110[[#This Row],[CH4 24h, ml]]/Table3.110[[#This Row],[Net gas 24h, ml]]%</f>
        <v>12.79128602068171</v>
      </c>
      <c r="AR506" s="94">
        <f>Table3.110[[#This Row],[CH4 24h, ml]]/Table3.110[[#This Row],[DM Incubated, mg]]*1000</f>
        <v>7.6597696464762359</v>
      </c>
      <c r="AS506" s="94">
        <f>Table3.110[[#This Row],[CH4 24h, ml]]/Table3.110[[#This Row],[Digested feed, mg]]*1000</f>
        <v>39.577963675711494</v>
      </c>
      <c r="AT506" s="94">
        <f>Table3.110[[#This Row],[CH4 24h, ml]]/'3.2 Digest'!AA506</f>
        <v>-6.9544791230070513E-2</v>
      </c>
      <c r="AU506" s="94">
        <f>((Table3.110[[#This Row],[CH4 24h, ml]]/28.9)*16.04)/Table3.110[[#This Row],[DM Incubated, mg]]*1000</f>
        <v>4.2513046757605126</v>
      </c>
      <c r="AV506" s="94">
        <f>((Table3.110[[#This Row],[CH4 24h, ml]]/28.9)*16.04)/Table3.110[[#This Row],[Digested feed, mg]]*1000</f>
        <v>21.966454579875858</v>
      </c>
      <c r="AW506" s="303"/>
    </row>
    <row r="507" spans="1:49" s="304" customFormat="1" x14ac:dyDescent="0.35">
      <c r="A507" s="89"/>
      <c r="B507" s="90">
        <f t="shared" si="7"/>
        <v>497</v>
      </c>
      <c r="C507" s="140">
        <v>46050</v>
      </c>
      <c r="D507" s="6" t="s">
        <v>16</v>
      </c>
      <c r="E507" s="6" t="s">
        <v>158</v>
      </c>
      <c r="F507" s="133" t="s">
        <v>159</v>
      </c>
      <c r="G507" s="133" t="s">
        <v>160</v>
      </c>
      <c r="H507" s="133" t="s">
        <v>161</v>
      </c>
      <c r="I507" s="133" t="s">
        <v>22</v>
      </c>
      <c r="J507" s="135" t="s">
        <v>23</v>
      </c>
      <c r="K507" s="135" t="s">
        <v>24</v>
      </c>
      <c r="L507" s="6" t="s">
        <v>157</v>
      </c>
      <c r="M507" s="93">
        <v>28</v>
      </c>
      <c r="N507" s="93">
        <v>61</v>
      </c>
      <c r="O507" s="6">
        <v>2</v>
      </c>
      <c r="P507" s="129">
        <v>3</v>
      </c>
      <c r="Q507" s="6">
        <v>0</v>
      </c>
      <c r="R507" s="98">
        <v>0.50009999999999999</v>
      </c>
      <c r="S507" s="94">
        <f>((Table3.110[[#This Row],[Sample weight, g]]*'2.1. DM'!Q93)/100)*1000</f>
        <v>464.03221211515387</v>
      </c>
      <c r="T507" s="94">
        <f>'3.2 Digest'!W507</f>
        <v>134.43221211515385</v>
      </c>
      <c r="U507" s="153">
        <v>0.33958333333333335</v>
      </c>
      <c r="V507" s="154">
        <v>42</v>
      </c>
      <c r="W507" s="153">
        <v>0.67361111111111116</v>
      </c>
      <c r="X507" s="91">
        <v>62</v>
      </c>
      <c r="Y507" s="91">
        <v>11.8</v>
      </c>
      <c r="Z507" s="154">
        <v>40</v>
      </c>
      <c r="AA507" s="153">
        <v>0.37638888888888888</v>
      </c>
      <c r="AB507" s="154">
        <v>56.5</v>
      </c>
      <c r="AC507" s="154">
        <v>12.9</v>
      </c>
      <c r="AD507" s="91"/>
      <c r="AE507" s="94">
        <f>Table3.110[[#This Row],[Gas 8h, ml]]-Table3.110[[#This Row],[Gas 0h, ml]]</f>
        <v>20</v>
      </c>
      <c r="AF507" s="94">
        <f>Table3.110[[#This Row],[Gas 24h, ml]]-Table3.110[[#This Row],[V8 Push back, ml]]</f>
        <v>16.5</v>
      </c>
      <c r="AG507" s="94">
        <f>Table3.110[[#This Row],[GP 8h, ml]]-(AVERAGE(AE$479,AE$480,AE$660,AE$661,AE$662,AE$663))*AG$8</f>
        <v>16.607474101643646</v>
      </c>
      <c r="AH507" s="94">
        <f>Table3.110[[#This Row],[GP 8-24h, ml]]-(AVERAGE(AF$479,AF$480,AF$660,AF$661,AF$662,AF$663))*AG$8</f>
        <v>12.185592064046812</v>
      </c>
      <c r="AI507" s="94">
        <f>Table3.110[[#This Row],[Net gas 8-24h, ml]]+Table3.110[[#This Row],[Net gas 8h, ml]]</f>
        <v>28.793066165690458</v>
      </c>
      <c r="AJ507" s="94">
        <f>Table3.110[[#This Row],[Net gas 8h, ml]]*Table3.110[[#This Row],[CH4 8h %]]%</f>
        <v>1.9596819439939503</v>
      </c>
      <c r="AK507" s="94">
        <f>Table3.110[[#This Row],[Net gas 8-24h, ml]]*Table3.110[[#This Row],[CH4 24h, %]]%</f>
        <v>1.5719413762620389</v>
      </c>
      <c r="AL507" s="94">
        <f>Table3.110[[#This Row],[CH4 8-24h, ml]]+Table3.110[[#This Row],[CH4 8h, ml]]</f>
        <v>3.5316233202559895</v>
      </c>
      <c r="AM507" s="94">
        <f>(Table3.110[[#This Row],[Net gas 24h, ml]]/Table3.110[[#This Row],[DM Incubated, mg]])*1000</f>
        <v>62.049714252477784</v>
      </c>
      <c r="AN507" s="94">
        <f>'3.2 Digest'!X507</f>
        <v>28.970448301936692</v>
      </c>
      <c r="AO507" s="94">
        <f>Table3.110[[#This Row],[Digested feed, mg]]/Table3.110[[#This Row],[Net gas 24h, ml]]</f>
        <v>4.6689092207672545</v>
      </c>
      <c r="AP507" s="94">
        <f>Table3.110[[#This Row],[CH4 8h, ml]]/Table3.110[[#This Row],[Net gas 8h, ml]]%</f>
        <v>11.8</v>
      </c>
      <c r="AQ507" s="94">
        <f>Table3.110[[#This Row],[CH4 24h, ml]]/Table3.110[[#This Row],[Net gas 24h, ml]]%</f>
        <v>12.26553400021092</v>
      </c>
      <c r="AR507" s="94">
        <f>Table3.110[[#This Row],[CH4 24h, ml]]/Table3.110[[#This Row],[DM Incubated, mg]]*1000</f>
        <v>7.6107287986713832</v>
      </c>
      <c r="AS507" s="94">
        <f>Table3.110[[#This Row],[CH4 24h, ml]]/Table3.110[[#This Row],[Digested feed, mg]]*1000</f>
        <v>26.27066284701781</v>
      </c>
      <c r="AT507" s="94">
        <f>Table3.110[[#This Row],[CH4 24h, ml]]/'3.2 Digest'!AA507</f>
        <v>-0.10669904532924407</v>
      </c>
      <c r="AU507" s="94">
        <f>((Table3.110[[#This Row],[CH4 24h, ml]]/28.9)*16.04)/Table3.110[[#This Row],[DM Incubated, mg]]*1000</f>
        <v>4.2240861567712455</v>
      </c>
      <c r="AV507" s="94">
        <f>((Table3.110[[#This Row],[CH4 24h, ml]]/28.9)*16.04)/Table3.110[[#This Row],[Digested feed, mg]]*1000</f>
        <v>14.580672389832721</v>
      </c>
      <c r="AW507" s="303"/>
    </row>
    <row r="508" spans="1:49" s="304" customFormat="1" x14ac:dyDescent="0.35">
      <c r="A508" s="89"/>
      <c r="B508" s="90">
        <f t="shared" si="7"/>
        <v>498</v>
      </c>
      <c r="C508" s="140">
        <v>46050</v>
      </c>
      <c r="D508" s="6" t="s">
        <v>16</v>
      </c>
      <c r="E508" s="6" t="s">
        <v>163</v>
      </c>
      <c r="F508" s="133" t="s">
        <v>129</v>
      </c>
      <c r="G508" s="133" t="s">
        <v>164</v>
      </c>
      <c r="H508" s="133" t="s">
        <v>165</v>
      </c>
      <c r="I508" s="133" t="s">
        <v>22</v>
      </c>
      <c r="J508" s="135" t="s">
        <v>23</v>
      </c>
      <c r="K508" s="135" t="s">
        <v>24</v>
      </c>
      <c r="L508" s="6" t="s">
        <v>162</v>
      </c>
      <c r="M508" s="93">
        <v>28</v>
      </c>
      <c r="N508" s="93">
        <v>61</v>
      </c>
      <c r="O508" s="6">
        <v>2</v>
      </c>
      <c r="P508" s="6">
        <v>1</v>
      </c>
      <c r="Q508" s="6">
        <v>0</v>
      </c>
      <c r="R508" s="98">
        <v>0.50029999999999997</v>
      </c>
      <c r="S508" s="94">
        <f>((Table3.110[[#This Row],[Sample weight, g]]*'2.1. DM'!Q95)/100)*1000</f>
        <v>466.46363974558199</v>
      </c>
      <c r="T508" s="94">
        <f>'3.2 Digest'!W508</f>
        <v>172.36363974558196</v>
      </c>
      <c r="U508" s="117">
        <v>0.34097222222222223</v>
      </c>
      <c r="V508" s="155">
        <v>41</v>
      </c>
      <c r="W508" s="117">
        <v>0.67361111111111116</v>
      </c>
      <c r="X508" s="96">
        <v>69.5</v>
      </c>
      <c r="Y508" s="96">
        <v>14.9</v>
      </c>
      <c r="Z508" s="155">
        <v>40</v>
      </c>
      <c r="AA508" s="117">
        <v>0.37638888888888888</v>
      </c>
      <c r="AB508" s="155">
        <v>72</v>
      </c>
      <c r="AC508" s="155">
        <v>16</v>
      </c>
      <c r="AD508" s="96" t="s">
        <v>567</v>
      </c>
      <c r="AE508" s="94">
        <f>Table3.110[[#This Row],[Gas 8h, ml]]-Table3.110[[#This Row],[Gas 0h, ml]]</f>
        <v>28.5</v>
      </c>
      <c r="AF508" s="94">
        <f>Table3.110[[#This Row],[Gas 24h, ml]]-Table3.110[[#This Row],[V8 Push back, ml]]</f>
        <v>32</v>
      </c>
      <c r="AG508" s="94">
        <f>Table3.110[[#This Row],[GP 8h, ml]]-(AVERAGE(AE$479,AE$480,AE$660,AE$661,AE$662,AE$663))*AG$8</f>
        <v>25.107474101643646</v>
      </c>
      <c r="AH508" s="94">
        <f>Table3.110[[#This Row],[GP 8-24h, ml]]-(AVERAGE(AF$479,AF$480,AF$660,AF$661,AF$662,AF$663))*AG$8</f>
        <v>27.685592064046812</v>
      </c>
      <c r="AI508" s="94">
        <f>Table3.110[[#This Row],[Net gas 8-24h, ml]]+Table3.110[[#This Row],[Net gas 8h, ml]]</f>
        <v>52.793066165690462</v>
      </c>
      <c r="AJ508" s="94">
        <f>Table3.110[[#This Row],[Net gas 8h, ml]]*Table3.110[[#This Row],[CH4 8h %]]%</f>
        <v>3.7410136411449031</v>
      </c>
      <c r="AK508" s="94">
        <f>Table3.110[[#This Row],[Net gas 8-24h, ml]]*Table3.110[[#This Row],[CH4 24h, %]]%</f>
        <v>4.4296947302474896</v>
      </c>
      <c r="AL508" s="94">
        <f>Table3.110[[#This Row],[CH4 8-24h, ml]]+Table3.110[[#This Row],[CH4 8h, ml]]</f>
        <v>8.1707083713923936</v>
      </c>
      <c r="AM508" s="94">
        <f>(Table3.110[[#This Row],[Net gas 24h, ml]]/Table3.110[[#This Row],[DM Incubated, mg]])*1000</f>
        <v>113.1772375537883</v>
      </c>
      <c r="AN508" s="94">
        <f>'3.2 Digest'!X508</f>
        <v>36.95114153797546</v>
      </c>
      <c r="AO508" s="94">
        <f>Table3.110[[#This Row],[Digested feed, mg]]/Table3.110[[#This Row],[Net gas 24h, ml]]</f>
        <v>3.2648916280903362</v>
      </c>
      <c r="AP508" s="94">
        <f>Table3.110[[#This Row],[CH4 8h, ml]]/Table3.110[[#This Row],[Net gas 8h, ml]]%</f>
        <v>14.9</v>
      </c>
      <c r="AQ508" s="94">
        <f>Table3.110[[#This Row],[CH4 24h, ml]]/Table3.110[[#This Row],[Net gas 24h, ml]]%</f>
        <v>15.476858922625775</v>
      </c>
      <c r="AR508" s="94">
        <f>Table3.110[[#This Row],[CH4 24h, ml]]/Table3.110[[#This Row],[DM Incubated, mg]]*1000</f>
        <v>17.516281388724856</v>
      </c>
      <c r="AS508" s="94">
        <f>Table3.110[[#This Row],[CH4 24h, ml]]/Table3.110[[#This Row],[Digested feed, mg]]*1000</f>
        <v>47.40389784906376</v>
      </c>
      <c r="AT508" s="94">
        <f>Table3.110[[#This Row],[CH4 24h, ml]]/'3.2 Digest'!AA508</f>
        <v>1.0282726768142654</v>
      </c>
      <c r="AU508" s="94">
        <f>((Table3.110[[#This Row],[CH4 24h, ml]]/28.9)*16.04)/Table3.110[[#This Row],[DM Incubated, mg]]*1000</f>
        <v>9.72183922059331</v>
      </c>
      <c r="AV508" s="94">
        <f>((Table3.110[[#This Row],[CH4 24h, ml]]/28.9)*16.04)/Table3.110[[#This Row],[Digested feed, mg]]*1000</f>
        <v>26.309983442871374</v>
      </c>
      <c r="AW508" s="303"/>
    </row>
    <row r="509" spans="1:49" s="304" customFormat="1" x14ac:dyDescent="0.35">
      <c r="A509" s="89"/>
      <c r="B509" s="90">
        <f t="shared" si="7"/>
        <v>499</v>
      </c>
      <c r="C509" s="140">
        <v>46050</v>
      </c>
      <c r="D509" s="6" t="s">
        <v>16</v>
      </c>
      <c r="E509" s="6" t="s">
        <v>163</v>
      </c>
      <c r="F509" s="133" t="s">
        <v>129</v>
      </c>
      <c r="G509" s="133" t="s">
        <v>164</v>
      </c>
      <c r="H509" s="133" t="s">
        <v>165</v>
      </c>
      <c r="I509" s="133" t="s">
        <v>22</v>
      </c>
      <c r="J509" s="135" t="s">
        <v>23</v>
      </c>
      <c r="K509" s="135" t="s">
        <v>24</v>
      </c>
      <c r="L509" s="6" t="s">
        <v>162</v>
      </c>
      <c r="M509" s="93">
        <v>28</v>
      </c>
      <c r="N509" s="93">
        <v>61</v>
      </c>
      <c r="O509" s="6">
        <v>2</v>
      </c>
      <c r="P509" s="129">
        <v>2</v>
      </c>
      <c r="Q509" s="6">
        <v>0</v>
      </c>
      <c r="R509" s="98">
        <v>0.50039999999999996</v>
      </c>
      <c r="S509" s="94">
        <f>((Table3.110[[#This Row],[Sample weight, g]]*'2.1. DM'!Q95)/100)*1000</f>
        <v>466.55687653145958</v>
      </c>
      <c r="T509" s="94">
        <f>'3.2 Digest'!W509</f>
        <v>134.45687653145961</v>
      </c>
      <c r="U509" s="153">
        <v>0.34097222222222223</v>
      </c>
      <c r="V509" s="154">
        <v>41</v>
      </c>
      <c r="W509" s="153">
        <v>0.6743055555555556</v>
      </c>
      <c r="X509" s="91">
        <v>69.5</v>
      </c>
      <c r="Y509" s="91">
        <v>15</v>
      </c>
      <c r="Z509" s="154">
        <v>40</v>
      </c>
      <c r="AA509" s="153">
        <v>0.37708333333333333</v>
      </c>
      <c r="AB509" s="154">
        <v>73</v>
      </c>
      <c r="AC509" s="154">
        <v>15.9</v>
      </c>
      <c r="AD509" s="91"/>
      <c r="AE509" s="94">
        <f>Table3.110[[#This Row],[Gas 8h, ml]]-Table3.110[[#This Row],[Gas 0h, ml]]</f>
        <v>28.5</v>
      </c>
      <c r="AF509" s="94">
        <f>Table3.110[[#This Row],[Gas 24h, ml]]-Table3.110[[#This Row],[V8 Push back, ml]]</f>
        <v>33</v>
      </c>
      <c r="AG509" s="94">
        <f>Table3.110[[#This Row],[GP 8h, ml]]-(AVERAGE(AE$479,AE$480,AE$660,AE$661,AE$662,AE$663))*AG$8</f>
        <v>25.107474101643646</v>
      </c>
      <c r="AH509" s="94">
        <f>Table3.110[[#This Row],[GP 8-24h, ml]]-(AVERAGE(AF$479,AF$480,AF$660,AF$661,AF$662,AF$663))*AG$8</f>
        <v>28.685592064046812</v>
      </c>
      <c r="AI509" s="94">
        <f>Table3.110[[#This Row],[Net gas 8-24h, ml]]+Table3.110[[#This Row],[Net gas 8h, ml]]</f>
        <v>53.793066165690462</v>
      </c>
      <c r="AJ509" s="94">
        <f>Table3.110[[#This Row],[Net gas 8h, ml]]*Table3.110[[#This Row],[CH4 8h %]]%</f>
        <v>3.7661211152465466</v>
      </c>
      <c r="AK509" s="94">
        <f>Table3.110[[#This Row],[Net gas 8-24h, ml]]*Table3.110[[#This Row],[CH4 24h, %]]%</f>
        <v>4.5610091381834428</v>
      </c>
      <c r="AL509" s="94">
        <f>Table3.110[[#This Row],[CH4 8-24h, ml]]+Table3.110[[#This Row],[CH4 8h, ml]]</f>
        <v>8.3271302534299885</v>
      </c>
      <c r="AM509" s="94">
        <f>(Table3.110[[#This Row],[Net gas 24h, ml]]/Table3.110[[#This Row],[DM Incubated, mg]])*1000</f>
        <v>115.29798160002736</v>
      </c>
      <c r="AN509" s="94">
        <f>'3.2 Digest'!X509</f>
        <v>28.818967910420092</v>
      </c>
      <c r="AO509" s="94">
        <f>Table3.110[[#This Row],[Digested feed, mg]]/Table3.110[[#This Row],[Net gas 24h, ml]]</f>
        <v>2.4995205909496381</v>
      </c>
      <c r="AP509" s="94">
        <f>Table3.110[[#This Row],[CH4 8h, ml]]/Table3.110[[#This Row],[Net gas 8h, ml]]%</f>
        <v>15</v>
      </c>
      <c r="AQ509" s="94">
        <f>Table3.110[[#This Row],[CH4 24h, ml]]/Table3.110[[#This Row],[Net gas 24h, ml]]%</f>
        <v>15.479932353700042</v>
      </c>
      <c r="AR509" s="94">
        <f>Table3.110[[#This Row],[CH4 24h, ml]]/Table3.110[[#This Row],[DM Incubated, mg]]*1000</f>
        <v>17.848049556865757</v>
      </c>
      <c r="AS509" s="94">
        <f>Table3.110[[#This Row],[CH4 24h, ml]]/Table3.110[[#This Row],[Digested feed, mg]]*1000</f>
        <v>61.931605643699783</v>
      </c>
      <c r="AT509" s="94">
        <f>Table3.110[[#This Row],[CH4 24h, ml]]/'3.2 Digest'!AA509</f>
        <v>-2.1203417700046852</v>
      </c>
      <c r="AU509" s="94">
        <f>((Table3.110[[#This Row],[CH4 24h, ml]]/28.9)*16.04)/Table3.110[[#This Row],[DM Incubated, mg]]*1000</f>
        <v>9.9059762938452156</v>
      </c>
      <c r="AV509" s="94">
        <f>((Table3.110[[#This Row],[CH4 24h, ml]]/28.9)*16.04)/Table3.110[[#This Row],[Digested feed, mg]]*1000</f>
        <v>34.373112613319876</v>
      </c>
      <c r="AW509" s="303"/>
    </row>
    <row r="510" spans="1:49" s="304" customFormat="1" x14ac:dyDescent="0.35">
      <c r="A510" s="89"/>
      <c r="B510" s="90">
        <f t="shared" si="7"/>
        <v>500</v>
      </c>
      <c r="C510" s="140">
        <v>46050</v>
      </c>
      <c r="D510" s="6" t="s">
        <v>16</v>
      </c>
      <c r="E510" s="6" t="s">
        <v>163</v>
      </c>
      <c r="F510" s="133" t="s">
        <v>129</v>
      </c>
      <c r="G510" s="133" t="s">
        <v>164</v>
      </c>
      <c r="H510" s="133" t="s">
        <v>165</v>
      </c>
      <c r="I510" s="133" t="s">
        <v>22</v>
      </c>
      <c r="J510" s="135" t="s">
        <v>23</v>
      </c>
      <c r="K510" s="135" t="s">
        <v>24</v>
      </c>
      <c r="L510" s="6" t="s">
        <v>162</v>
      </c>
      <c r="M510" s="93">
        <v>28</v>
      </c>
      <c r="N510" s="93">
        <v>61</v>
      </c>
      <c r="O510" s="6">
        <v>2</v>
      </c>
      <c r="P510" s="129">
        <v>3</v>
      </c>
      <c r="Q510" s="6">
        <v>0</v>
      </c>
      <c r="R510" s="98">
        <v>0.5</v>
      </c>
      <c r="S510" s="94">
        <f>((Table3.110[[#This Row],[Sample weight, g]]*'2.1. DM'!Q95)/100)*1000</f>
        <v>466.18392938794926</v>
      </c>
      <c r="T510" s="94">
        <f>'3.2 Digest'!W510</f>
        <v>143.98392938794922</v>
      </c>
      <c r="U510" s="117">
        <v>0.34097222222222223</v>
      </c>
      <c r="V510" s="155">
        <v>41.5</v>
      </c>
      <c r="W510" s="117">
        <v>0.67500000000000004</v>
      </c>
      <c r="X510" s="96">
        <v>68.5</v>
      </c>
      <c r="Y510" s="96">
        <v>15.1</v>
      </c>
      <c r="Z510" s="155">
        <v>40.5</v>
      </c>
      <c r="AA510" s="117">
        <v>0.37777777777777777</v>
      </c>
      <c r="AB510" s="155">
        <v>73</v>
      </c>
      <c r="AC510" s="155">
        <v>16.100000000000001</v>
      </c>
      <c r="AD510" s="96"/>
      <c r="AE510" s="94">
        <f>Table3.110[[#This Row],[Gas 8h, ml]]-Table3.110[[#This Row],[Gas 0h, ml]]</f>
        <v>27</v>
      </c>
      <c r="AF510" s="94">
        <f>Table3.110[[#This Row],[Gas 24h, ml]]-Table3.110[[#This Row],[V8 Push back, ml]]</f>
        <v>32.5</v>
      </c>
      <c r="AG510" s="94">
        <f>Table3.110[[#This Row],[GP 8h, ml]]-(AVERAGE(AE$479,AE$480,AE$660,AE$661,AE$662,AE$663))*AG$8</f>
        <v>23.607474101643646</v>
      </c>
      <c r="AH510" s="94">
        <f>Table3.110[[#This Row],[GP 8-24h, ml]]-(AVERAGE(AF$479,AF$480,AF$660,AF$661,AF$662,AF$663))*AG$8</f>
        <v>28.185592064046812</v>
      </c>
      <c r="AI510" s="94">
        <f>Table3.110[[#This Row],[Net gas 8-24h, ml]]+Table3.110[[#This Row],[Net gas 8h, ml]]</f>
        <v>51.793066165690462</v>
      </c>
      <c r="AJ510" s="94">
        <f>Table3.110[[#This Row],[Net gas 8h, ml]]*Table3.110[[#This Row],[CH4 8h %]]%</f>
        <v>3.5647285893481904</v>
      </c>
      <c r="AK510" s="94">
        <f>Table3.110[[#This Row],[Net gas 8-24h, ml]]*Table3.110[[#This Row],[CH4 24h, %]]%</f>
        <v>4.5378803223115369</v>
      </c>
      <c r="AL510" s="94">
        <f>Table3.110[[#This Row],[CH4 8-24h, ml]]+Table3.110[[#This Row],[CH4 8h, ml]]</f>
        <v>8.1026089116597273</v>
      </c>
      <c r="AM510" s="94">
        <f>(Table3.110[[#This Row],[Net gas 24h, ml]]/Table3.110[[#This Row],[DM Incubated, mg]])*1000</f>
        <v>111.10006780733377</v>
      </c>
      <c r="AN510" s="94">
        <f>'3.2 Digest'!X510</f>
        <v>30.885648412845345</v>
      </c>
      <c r="AO510" s="94">
        <f>Table3.110[[#This Row],[Digested feed, mg]]/Table3.110[[#This Row],[Net gas 24h, ml]]</f>
        <v>2.7799846590918613</v>
      </c>
      <c r="AP510" s="94">
        <f>Table3.110[[#This Row],[CH4 8h, ml]]/Table3.110[[#This Row],[Net gas 8h, ml]]%</f>
        <v>15.099999999999998</v>
      </c>
      <c r="AQ510" s="94">
        <f>Table3.110[[#This Row],[CH4 24h, ml]]/Table3.110[[#This Row],[Net gas 24h, ml]]%</f>
        <v>15.644196243834621</v>
      </c>
      <c r="AR510" s="94">
        <f>Table3.110[[#This Row],[CH4 24h, ml]]/Table3.110[[#This Row],[DM Incubated, mg]]*1000</f>
        <v>17.380712634812625</v>
      </c>
      <c r="AS510" s="94">
        <f>Table3.110[[#This Row],[CH4 24h, ml]]/Table3.110[[#This Row],[Digested feed, mg]]*1000</f>
        <v>56.274397747738355</v>
      </c>
      <c r="AT510" s="94">
        <f>Table3.110[[#This Row],[CH4 24h, ml]]/'3.2 Digest'!AA510</f>
        <v>-8.905734512139901</v>
      </c>
      <c r="AU510" s="94">
        <f>((Table3.110[[#This Row],[CH4 24h, ml]]/28.9)*16.04)/Table3.110[[#This Row],[DM Incubated, mg]]*1000</f>
        <v>9.6465962166918544</v>
      </c>
      <c r="AV510" s="94">
        <f>((Table3.110[[#This Row],[CH4 24h, ml]]/28.9)*16.04)/Table3.110[[#This Row],[Digested feed, mg]]*1000</f>
        <v>31.233264355492153</v>
      </c>
      <c r="AW510" s="303"/>
    </row>
    <row r="511" spans="1:49" s="304" customFormat="1" x14ac:dyDescent="0.35">
      <c r="A511" s="89"/>
      <c r="B511" s="90">
        <f t="shared" si="7"/>
        <v>501</v>
      </c>
      <c r="C511" s="140">
        <v>46050</v>
      </c>
      <c r="D511" s="6" t="s">
        <v>16</v>
      </c>
      <c r="E511" s="6" t="s">
        <v>167</v>
      </c>
      <c r="F511" s="133" t="s">
        <v>88</v>
      </c>
      <c r="G511" s="133" t="s">
        <v>168</v>
      </c>
      <c r="H511" s="133" t="s">
        <v>169</v>
      </c>
      <c r="I511" s="133" t="s">
        <v>22</v>
      </c>
      <c r="J511" s="135" t="s">
        <v>23</v>
      </c>
      <c r="K511" s="135" t="s">
        <v>24</v>
      </c>
      <c r="L511" s="6" t="s">
        <v>166</v>
      </c>
      <c r="M511" s="93">
        <v>28</v>
      </c>
      <c r="N511" s="93">
        <v>61</v>
      </c>
      <c r="O511" s="6">
        <v>2</v>
      </c>
      <c r="P511" s="6">
        <v>1</v>
      </c>
      <c r="Q511" s="6">
        <v>0</v>
      </c>
      <c r="R511" s="98">
        <v>0.50009999999999999</v>
      </c>
      <c r="S511" s="94">
        <f>((Table3.110[[#This Row],[Sample weight, g]]*'2.1. DM'!Q97)/100)*1000</f>
        <v>473.17368709287211</v>
      </c>
      <c r="T511" s="94">
        <f>'3.2 Digest'!W511</f>
        <v>162.07368709287209</v>
      </c>
      <c r="U511" s="153">
        <v>0.34097222222222223</v>
      </c>
      <c r="V511" s="154">
        <v>40.5</v>
      </c>
      <c r="W511" s="153">
        <v>0.67569444444444449</v>
      </c>
      <c r="X511" s="91">
        <v>79.5</v>
      </c>
      <c r="Y511" s="91">
        <v>14.4</v>
      </c>
      <c r="Z511" s="154">
        <v>40</v>
      </c>
      <c r="AA511" s="153">
        <v>0.37777777777777777</v>
      </c>
      <c r="AB511" s="154">
        <v>74.5</v>
      </c>
      <c r="AC511" s="154">
        <v>18.2</v>
      </c>
      <c r="AD511" s="91"/>
      <c r="AE511" s="94">
        <f>Table3.110[[#This Row],[Gas 8h, ml]]-Table3.110[[#This Row],[Gas 0h, ml]]</f>
        <v>39</v>
      </c>
      <c r="AF511" s="94">
        <f>Table3.110[[#This Row],[Gas 24h, ml]]-Table3.110[[#This Row],[V8 Push back, ml]]</f>
        <v>34.5</v>
      </c>
      <c r="AG511" s="94">
        <f>Table3.110[[#This Row],[GP 8h, ml]]-(AVERAGE(AE$479,AE$480,AE$660,AE$661,AE$662,AE$663))*AG$8</f>
        <v>35.607474101643646</v>
      </c>
      <c r="AH511" s="94">
        <f>Table3.110[[#This Row],[GP 8-24h, ml]]-(AVERAGE(AF$479,AF$480,AF$660,AF$661,AF$662,AF$663))*AG$8</f>
        <v>30.185592064046812</v>
      </c>
      <c r="AI511" s="94">
        <f>Table3.110[[#This Row],[Net gas 8-24h, ml]]+Table3.110[[#This Row],[Net gas 8h, ml]]</f>
        <v>65.793066165690462</v>
      </c>
      <c r="AJ511" s="94">
        <f>Table3.110[[#This Row],[Net gas 8h, ml]]*Table3.110[[#This Row],[CH4 8h %]]%</f>
        <v>5.1274762706366861</v>
      </c>
      <c r="AK511" s="94">
        <f>Table3.110[[#This Row],[Net gas 8-24h, ml]]*Table3.110[[#This Row],[CH4 24h, %]]%</f>
        <v>5.4937777556565193</v>
      </c>
      <c r="AL511" s="94">
        <f>Table3.110[[#This Row],[CH4 8-24h, ml]]+Table3.110[[#This Row],[CH4 8h, ml]]</f>
        <v>10.621254026293204</v>
      </c>
      <c r="AM511" s="94">
        <f>(Table3.110[[#This Row],[Net gas 24h, ml]]/Table3.110[[#This Row],[DM Incubated, mg]])*1000</f>
        <v>139.0463332183916</v>
      </c>
      <c r="AN511" s="94">
        <f>'3.2 Digest'!X511</f>
        <v>34.252472509330616</v>
      </c>
      <c r="AO511" s="94">
        <f>Table3.110[[#This Row],[Digested feed, mg]]/Table3.110[[#This Row],[Net gas 24h, ml]]</f>
        <v>2.4633855288749213</v>
      </c>
      <c r="AP511" s="94">
        <f>Table3.110[[#This Row],[CH4 8h, ml]]/Table3.110[[#This Row],[Net gas 8h, ml]]%</f>
        <v>14.400000000000004</v>
      </c>
      <c r="AQ511" s="94">
        <f>Table3.110[[#This Row],[CH4 24h, ml]]/Table3.110[[#This Row],[Net gas 24h, ml]]%</f>
        <v>16.143424596666598</v>
      </c>
      <c r="AR511" s="94">
        <f>Table3.110[[#This Row],[CH4 24h, ml]]/Table3.110[[#This Row],[DM Incubated, mg]]*1000</f>
        <v>22.446839957540831</v>
      </c>
      <c r="AS511" s="94">
        <f>Table3.110[[#This Row],[CH4 24h, ml]]/Table3.110[[#This Row],[Digested feed, mg]]*1000</f>
        <v>65.533487988133274</v>
      </c>
      <c r="AT511" s="94">
        <f>Table3.110[[#This Row],[CH4 24h, ml]]/'3.2 Digest'!AA511</f>
        <v>-2.2985846979037499</v>
      </c>
      <c r="AU511" s="94">
        <f>((Table3.110[[#This Row],[CH4 24h, ml]]/28.9)*16.04)/Table3.110[[#This Row],[DM Incubated, mg]]*1000</f>
        <v>12.458384530067645</v>
      </c>
      <c r="AV511" s="94">
        <f>((Table3.110[[#This Row],[CH4 24h, ml]]/28.9)*16.04)/Table3.110[[#This Row],[Digested feed, mg]]*1000</f>
        <v>36.372219630784002</v>
      </c>
      <c r="AW511" s="303"/>
    </row>
    <row r="512" spans="1:49" s="304" customFormat="1" x14ac:dyDescent="0.35">
      <c r="A512" s="89"/>
      <c r="B512" s="90">
        <f t="shared" si="7"/>
        <v>502</v>
      </c>
      <c r="C512" s="140">
        <v>46050</v>
      </c>
      <c r="D512" s="6" t="s">
        <v>16</v>
      </c>
      <c r="E512" s="6" t="s">
        <v>167</v>
      </c>
      <c r="F512" s="133" t="s">
        <v>88</v>
      </c>
      <c r="G512" s="133" t="s">
        <v>168</v>
      </c>
      <c r="H512" s="133" t="s">
        <v>169</v>
      </c>
      <c r="I512" s="133" t="s">
        <v>22</v>
      </c>
      <c r="J512" s="135" t="s">
        <v>23</v>
      </c>
      <c r="K512" s="135" t="s">
        <v>24</v>
      </c>
      <c r="L512" s="6" t="s">
        <v>166</v>
      </c>
      <c r="M512" s="93">
        <v>28</v>
      </c>
      <c r="N512" s="93">
        <v>61</v>
      </c>
      <c r="O512" s="6">
        <v>2</v>
      </c>
      <c r="P512" s="129">
        <v>2</v>
      </c>
      <c r="Q512" s="6">
        <v>0</v>
      </c>
      <c r="R512" s="98">
        <v>0.5</v>
      </c>
      <c r="S512" s="94">
        <f>((Table3.110[[#This Row],[Sample weight, g]]*'2.1. DM'!Q97)/100)*1000</f>
        <v>473.07907127861637</v>
      </c>
      <c r="T512" s="94">
        <f>'3.2 Digest'!W512</f>
        <v>198.77907127861636</v>
      </c>
      <c r="U512" s="117">
        <v>0.34166666666666667</v>
      </c>
      <c r="V512" s="155">
        <v>40.5</v>
      </c>
      <c r="W512" s="117">
        <v>0.67569444444444449</v>
      </c>
      <c r="X512" s="96">
        <v>79</v>
      </c>
      <c r="Y512" s="96">
        <v>15.2</v>
      </c>
      <c r="Z512" s="155">
        <v>40</v>
      </c>
      <c r="AA512" s="117">
        <v>0.37847222222222221</v>
      </c>
      <c r="AB512" s="155">
        <v>74.5</v>
      </c>
      <c r="AC512" s="155">
        <v>18.5</v>
      </c>
      <c r="AD512" s="96"/>
      <c r="AE512" s="94">
        <f>Table3.110[[#This Row],[Gas 8h, ml]]-Table3.110[[#This Row],[Gas 0h, ml]]</f>
        <v>38.5</v>
      </c>
      <c r="AF512" s="94">
        <f>Table3.110[[#This Row],[Gas 24h, ml]]-Table3.110[[#This Row],[V8 Push back, ml]]</f>
        <v>34.5</v>
      </c>
      <c r="AG512" s="94">
        <f>Table3.110[[#This Row],[GP 8h, ml]]-(AVERAGE(AE$479,AE$480,AE$660,AE$661,AE$662,AE$663))*AG$8</f>
        <v>35.107474101643646</v>
      </c>
      <c r="AH512" s="94">
        <f>Table3.110[[#This Row],[GP 8-24h, ml]]-(AVERAGE(AF$479,AF$480,AF$660,AF$661,AF$662,AF$663))*AG$8</f>
        <v>30.185592064046812</v>
      </c>
      <c r="AI512" s="94">
        <f>Table3.110[[#This Row],[Net gas 8-24h, ml]]+Table3.110[[#This Row],[Net gas 8h, ml]]</f>
        <v>65.293066165690462</v>
      </c>
      <c r="AJ512" s="94">
        <f>Table3.110[[#This Row],[Net gas 8h, ml]]*Table3.110[[#This Row],[CH4 8h %]]%</f>
        <v>5.336336063449834</v>
      </c>
      <c r="AK512" s="94">
        <f>Table3.110[[#This Row],[Net gas 8-24h, ml]]*Table3.110[[#This Row],[CH4 24h, %]]%</f>
        <v>5.5843345318486604</v>
      </c>
      <c r="AL512" s="94">
        <f>Table3.110[[#This Row],[CH4 8-24h, ml]]+Table3.110[[#This Row],[CH4 8h, ml]]</f>
        <v>10.920670595298494</v>
      </c>
      <c r="AM512" s="94">
        <f>(Table3.110[[#This Row],[Net gas 24h, ml]]/Table3.110[[#This Row],[DM Incubated, mg]])*1000</f>
        <v>138.01723671524795</v>
      </c>
      <c r="AN512" s="94">
        <f>'3.2 Digest'!X512</f>
        <v>42.018149469467211</v>
      </c>
      <c r="AO512" s="94">
        <f>Table3.110[[#This Row],[Digested feed, mg]]/Table3.110[[#This Row],[Net gas 24h, ml]]</f>
        <v>3.04441318124326</v>
      </c>
      <c r="AP512" s="94">
        <f>Table3.110[[#This Row],[CH4 8h, ml]]/Table3.110[[#This Row],[Net gas 8h, ml]]%</f>
        <v>15.199999999999998</v>
      </c>
      <c r="AQ512" s="94">
        <f>Table3.110[[#This Row],[CH4 24h, ml]]/Table3.110[[#This Row],[Net gas 24h, ml]]%</f>
        <v>16.725620707696184</v>
      </c>
      <c r="AR512" s="94">
        <f>Table3.110[[#This Row],[CH4 24h, ml]]/Table3.110[[#This Row],[DM Incubated, mg]]*1000</f>
        <v>23.084239524235574</v>
      </c>
      <c r="AS512" s="94">
        <f>Table3.110[[#This Row],[CH4 24h, ml]]/Table3.110[[#This Row],[Digested feed, mg]]*1000</f>
        <v>54.938734370036691</v>
      </c>
      <c r="AT512" s="94">
        <f>Table3.110[[#This Row],[CH4 24h, ml]]/'3.2 Digest'!AA512</f>
        <v>1.4116038094346244</v>
      </c>
      <c r="AU512" s="94">
        <f>((Table3.110[[#This Row],[CH4 24h, ml]]/28.9)*16.04)/Table3.110[[#This Row],[DM Incubated, mg]]*1000</f>
        <v>12.812152317257393</v>
      </c>
      <c r="AV512" s="94">
        <f>((Table3.110[[#This Row],[CH4 24h, ml]]/28.9)*16.04)/Table3.110[[#This Row],[Digested feed, mg]]*1000</f>
        <v>30.491948072504794</v>
      </c>
      <c r="AW512" s="303"/>
    </row>
    <row r="513" spans="1:49" s="304" customFormat="1" x14ac:dyDescent="0.35">
      <c r="A513" s="89"/>
      <c r="B513" s="90">
        <f t="shared" si="7"/>
        <v>503</v>
      </c>
      <c r="C513" s="140">
        <v>46050</v>
      </c>
      <c r="D513" s="6" t="s">
        <v>16</v>
      </c>
      <c r="E513" s="6" t="s">
        <v>167</v>
      </c>
      <c r="F513" s="133" t="s">
        <v>88</v>
      </c>
      <c r="G513" s="133" t="s">
        <v>168</v>
      </c>
      <c r="H513" s="133" t="s">
        <v>169</v>
      </c>
      <c r="I513" s="133" t="s">
        <v>22</v>
      </c>
      <c r="J513" s="135" t="s">
        <v>23</v>
      </c>
      <c r="K513" s="135" t="s">
        <v>24</v>
      </c>
      <c r="L513" s="6" t="s">
        <v>166</v>
      </c>
      <c r="M513" s="93">
        <v>28</v>
      </c>
      <c r="N513" s="93">
        <v>61</v>
      </c>
      <c r="O513" s="6">
        <v>2</v>
      </c>
      <c r="P513" s="129">
        <v>3</v>
      </c>
      <c r="Q513" s="6">
        <v>0</v>
      </c>
      <c r="R513" s="98">
        <v>0.50039999999999996</v>
      </c>
      <c r="S513" s="94">
        <f>((Table3.110[[#This Row],[Sample weight, g]]*'2.1. DM'!Q97)/100)*1000</f>
        <v>473.45753453563924</v>
      </c>
      <c r="T513" s="94">
        <f>'3.2 Digest'!W513</f>
        <v>164.95753453563924</v>
      </c>
      <c r="U513" s="153">
        <v>0.34166666666666667</v>
      </c>
      <c r="V513" s="154">
        <v>41</v>
      </c>
      <c r="W513" s="153">
        <v>0.67638888888888893</v>
      </c>
      <c r="X513" s="91">
        <v>78.5</v>
      </c>
      <c r="Y513" s="91">
        <v>14.9</v>
      </c>
      <c r="Z513" s="154">
        <v>40.5</v>
      </c>
      <c r="AA513" s="153">
        <v>0.37916666666666665</v>
      </c>
      <c r="AB513" s="154">
        <v>74</v>
      </c>
      <c r="AC513" s="154">
        <v>18.600000000000001</v>
      </c>
      <c r="AD513" s="91"/>
      <c r="AE513" s="94">
        <f>Table3.110[[#This Row],[Gas 8h, ml]]-Table3.110[[#This Row],[Gas 0h, ml]]</f>
        <v>37.5</v>
      </c>
      <c r="AF513" s="94">
        <f>Table3.110[[#This Row],[Gas 24h, ml]]-Table3.110[[#This Row],[V8 Push back, ml]]</f>
        <v>33.5</v>
      </c>
      <c r="AG513" s="94">
        <f>Table3.110[[#This Row],[GP 8h, ml]]-(AVERAGE(AE$479,AE$480,AE$660,AE$661,AE$662,AE$663))*AG$8</f>
        <v>34.107474101643646</v>
      </c>
      <c r="AH513" s="94">
        <f>Table3.110[[#This Row],[GP 8-24h, ml]]-(AVERAGE(AF$479,AF$480,AF$660,AF$661,AF$662,AF$663))*AG$8</f>
        <v>29.185592064046812</v>
      </c>
      <c r="AI513" s="94">
        <f>Table3.110[[#This Row],[Net gas 8-24h, ml]]+Table3.110[[#This Row],[Net gas 8h, ml]]</f>
        <v>63.293066165690462</v>
      </c>
      <c r="AJ513" s="94">
        <f>Table3.110[[#This Row],[Net gas 8h, ml]]*Table3.110[[#This Row],[CH4 8h %]]%</f>
        <v>5.0820136411449033</v>
      </c>
      <c r="AK513" s="94">
        <f>Table3.110[[#This Row],[Net gas 8-24h, ml]]*Table3.110[[#This Row],[CH4 24h, %]]%</f>
        <v>5.4285201239127074</v>
      </c>
      <c r="AL513" s="94">
        <f>Table3.110[[#This Row],[CH4 8-24h, ml]]+Table3.110[[#This Row],[CH4 8h, ml]]</f>
        <v>10.510533765057611</v>
      </c>
      <c r="AM513" s="94">
        <f>(Table3.110[[#This Row],[Net gas 24h, ml]]/Table3.110[[#This Row],[DM Incubated, mg]])*1000</f>
        <v>133.68266750209699</v>
      </c>
      <c r="AN513" s="94">
        <f>'3.2 Digest'!X513</f>
        <v>34.841041171184948</v>
      </c>
      <c r="AO513" s="94">
        <f>Table3.110[[#This Row],[Digested feed, mg]]/Table3.110[[#This Row],[Net gas 24h, ml]]</f>
        <v>2.6062496973018896</v>
      </c>
      <c r="AP513" s="94">
        <f>Table3.110[[#This Row],[CH4 8h, ml]]/Table3.110[[#This Row],[Net gas 8h, ml]]%</f>
        <v>14.899999999999999</v>
      </c>
      <c r="AQ513" s="94">
        <f>Table3.110[[#This Row],[CH4 24h, ml]]/Table3.110[[#This Row],[Net gas 24h, ml]]%</f>
        <v>16.606137767986819</v>
      </c>
      <c r="AR513" s="94">
        <f>Table3.110[[#This Row],[CH4 24h, ml]]/Table3.110[[#This Row],[DM Incubated, mg]]*1000</f>
        <v>22.199527937317971</v>
      </c>
      <c r="AS513" s="94">
        <f>Table3.110[[#This Row],[CH4 24h, ml]]/Table3.110[[#This Row],[Digested feed, mg]]*1000</f>
        <v>63.716603152715031</v>
      </c>
      <c r="AT513" s="94">
        <f>Table3.110[[#This Row],[CH4 24h, ml]]/'3.2 Digest'!AA513</f>
        <v>-2.8528519828878536</v>
      </c>
      <c r="AU513" s="94">
        <f>((Table3.110[[#This Row],[CH4 24h, ml]]/28.9)*16.04)/Table3.110[[#This Row],[DM Incubated, mg]]*1000</f>
        <v>12.321122080089282</v>
      </c>
      <c r="AV513" s="94">
        <f>((Table3.110[[#This Row],[CH4 24h, ml]]/28.9)*16.04)/Table3.110[[#This Row],[Digested feed, mg]]*1000</f>
        <v>35.363817113133187</v>
      </c>
      <c r="AW513" s="303"/>
    </row>
    <row r="514" spans="1:49" s="304" customFormat="1" x14ac:dyDescent="0.35">
      <c r="A514" s="89"/>
      <c r="B514" s="90">
        <f t="shared" si="7"/>
        <v>504</v>
      </c>
      <c r="C514" s="140">
        <v>46050</v>
      </c>
      <c r="D514" s="6" t="s">
        <v>16</v>
      </c>
      <c r="E514" s="6" t="s">
        <v>171</v>
      </c>
      <c r="F514" s="133" t="s">
        <v>88</v>
      </c>
      <c r="G514" s="133" t="s">
        <v>147</v>
      </c>
      <c r="H514" s="133" t="s">
        <v>148</v>
      </c>
      <c r="I514" s="133" t="s">
        <v>22</v>
      </c>
      <c r="J514" s="135" t="s">
        <v>23</v>
      </c>
      <c r="K514" s="135" t="s">
        <v>24</v>
      </c>
      <c r="L514" s="6" t="s">
        <v>170</v>
      </c>
      <c r="M514" s="93">
        <v>28</v>
      </c>
      <c r="N514" s="93">
        <v>61</v>
      </c>
      <c r="O514" s="6">
        <v>2</v>
      </c>
      <c r="P514" s="6">
        <v>1</v>
      </c>
      <c r="Q514" s="6">
        <v>0</v>
      </c>
      <c r="R514" s="98">
        <v>0.50029999999999997</v>
      </c>
      <c r="S514" s="94">
        <f>((Table3.110[[#This Row],[Sample weight, g]]*'2.1. DM'!Q99)/100)*1000</f>
        <v>474.2184256574343</v>
      </c>
      <c r="T514" s="94">
        <f>'3.2 Digest'!W514</f>
        <v>182.51842565743436</v>
      </c>
      <c r="U514" s="117">
        <v>0.34236111111111112</v>
      </c>
      <c r="V514" s="155">
        <v>42</v>
      </c>
      <c r="W514" s="117">
        <v>0.67708333333333337</v>
      </c>
      <c r="X514" s="96">
        <v>64.5</v>
      </c>
      <c r="Y514" s="96">
        <v>12</v>
      </c>
      <c r="Z514" s="155">
        <v>40</v>
      </c>
      <c r="AA514" s="117">
        <v>0.37916666666666665</v>
      </c>
      <c r="AB514" s="155">
        <v>63</v>
      </c>
      <c r="AC514" s="155">
        <v>12.4</v>
      </c>
      <c r="AD514" s="96" t="s">
        <v>551</v>
      </c>
      <c r="AE514" s="94">
        <f>Table3.110[[#This Row],[Gas 8h, ml]]-Table3.110[[#This Row],[Gas 0h, ml]]</f>
        <v>22.5</v>
      </c>
      <c r="AF514" s="94">
        <f>Table3.110[[#This Row],[Gas 24h, ml]]-Table3.110[[#This Row],[V8 Push back, ml]]</f>
        <v>23</v>
      </c>
      <c r="AG514" s="94">
        <f>Table3.110[[#This Row],[GP 8h, ml]]-(AVERAGE(AE$479,AE$480,AE$660,AE$661,AE$662,AE$663))*AG$8</f>
        <v>19.107474101643646</v>
      </c>
      <c r="AH514" s="94">
        <f>Table3.110[[#This Row],[GP 8-24h, ml]]-(AVERAGE(AF$479,AF$480,AF$660,AF$661,AF$662,AF$663))*AG$8</f>
        <v>18.685592064046812</v>
      </c>
      <c r="AI514" s="94">
        <f>Table3.110[[#This Row],[Net gas 8-24h, ml]]+Table3.110[[#This Row],[Net gas 8h, ml]]</f>
        <v>37.793066165690462</v>
      </c>
      <c r="AJ514" s="94">
        <f>Table3.110[[#This Row],[Net gas 8h, ml]]*Table3.110[[#This Row],[CH4 8h %]]%</f>
        <v>2.2928968921972372</v>
      </c>
      <c r="AK514" s="94">
        <f>Table3.110[[#This Row],[Net gas 8-24h, ml]]*Table3.110[[#This Row],[CH4 24h, %]]%</f>
        <v>2.3170134159418048</v>
      </c>
      <c r="AL514" s="94">
        <f>Table3.110[[#This Row],[CH4 8-24h, ml]]+Table3.110[[#This Row],[CH4 8h, ml]]</f>
        <v>4.6099103081390425</v>
      </c>
      <c r="AM514" s="94">
        <f>(Table3.110[[#This Row],[Net gas 24h, ml]]/Table3.110[[#This Row],[DM Incubated, mg]])*1000</f>
        <v>79.695482336638264</v>
      </c>
      <c r="AN514" s="94">
        <f>'3.2 Digest'!X514</f>
        <v>38.488261059109909</v>
      </c>
      <c r="AO514" s="94">
        <f>Table3.110[[#This Row],[Digested feed, mg]]/Table3.110[[#This Row],[Net gas 24h, ml]]</f>
        <v>4.8294156620488602</v>
      </c>
      <c r="AP514" s="94">
        <f>Table3.110[[#This Row],[CH4 8h, ml]]/Table3.110[[#This Row],[Net gas 8h, ml]]%</f>
        <v>11.999999999999998</v>
      </c>
      <c r="AQ514" s="94">
        <f>Table3.110[[#This Row],[CH4 24h, ml]]/Table3.110[[#This Row],[Net gas 24h, ml]]%</f>
        <v>12.197767410372329</v>
      </c>
      <c r="AR514" s="94">
        <f>Table3.110[[#This Row],[CH4 24h, ml]]/Table3.110[[#This Row],[DM Incubated, mg]]*1000</f>
        <v>9.7210695719974982</v>
      </c>
      <c r="AS514" s="94">
        <f>Table3.110[[#This Row],[CH4 24h, ml]]/Table3.110[[#This Row],[Digested feed, mg]]*1000</f>
        <v>25.257232476853062</v>
      </c>
      <c r="AT514" s="94">
        <f>Table3.110[[#This Row],[CH4 24h, ml]]/'3.2 Digest'!AA514</f>
        <v>-0.26400390062540979</v>
      </c>
      <c r="AU514" s="94">
        <f>((Table3.110[[#This Row],[CH4 24h, ml]]/28.9)*16.04)/Table3.110[[#This Row],[DM Incubated, mg]]*1000</f>
        <v>5.3953617970532832</v>
      </c>
      <c r="AV514" s="94">
        <f>((Table3.110[[#This Row],[CH4 24h, ml]]/28.9)*16.04)/Table3.110[[#This Row],[Digested feed, mg]]*1000</f>
        <v>14.01820100099388</v>
      </c>
      <c r="AW514" s="303"/>
    </row>
    <row r="515" spans="1:49" s="304" customFormat="1" x14ac:dyDescent="0.35">
      <c r="A515" s="89"/>
      <c r="B515" s="90">
        <f t="shared" si="7"/>
        <v>505</v>
      </c>
      <c r="C515" s="140">
        <v>46050</v>
      </c>
      <c r="D515" s="6" t="s">
        <v>16</v>
      </c>
      <c r="E515" s="6" t="s">
        <v>171</v>
      </c>
      <c r="F515" s="133" t="s">
        <v>88</v>
      </c>
      <c r="G515" s="133" t="s">
        <v>147</v>
      </c>
      <c r="H515" s="133" t="s">
        <v>148</v>
      </c>
      <c r="I515" s="133" t="s">
        <v>22</v>
      </c>
      <c r="J515" s="135" t="s">
        <v>23</v>
      </c>
      <c r="K515" s="135" t="s">
        <v>24</v>
      </c>
      <c r="L515" s="6" t="s">
        <v>170</v>
      </c>
      <c r="M515" s="93">
        <v>28</v>
      </c>
      <c r="N515" s="93">
        <v>61</v>
      </c>
      <c r="O515" s="6">
        <v>2</v>
      </c>
      <c r="P515" s="129">
        <v>2</v>
      </c>
      <c r="Q515" s="6">
        <v>0</v>
      </c>
      <c r="R515" s="98">
        <v>0.50009999999999999</v>
      </c>
      <c r="S515" s="94">
        <f>((Table3.110[[#This Row],[Sample weight, g]]*'2.1. DM'!Q99)/100)*1000</f>
        <v>474.0288520313469</v>
      </c>
      <c r="T515" s="94">
        <f>'3.2 Digest'!W515</f>
        <v>127.42885203134688</v>
      </c>
      <c r="U515" s="153">
        <v>0.34236111111111112</v>
      </c>
      <c r="V515" s="154">
        <v>42</v>
      </c>
      <c r="W515" s="153">
        <v>0.67777777777777781</v>
      </c>
      <c r="X515" s="91">
        <v>63.5</v>
      </c>
      <c r="Y515" s="91">
        <v>12.1</v>
      </c>
      <c r="Z515" s="154">
        <v>40</v>
      </c>
      <c r="AA515" s="153">
        <v>0.37986111111111109</v>
      </c>
      <c r="AB515" s="154">
        <v>61.5</v>
      </c>
      <c r="AC515" s="154">
        <v>11</v>
      </c>
      <c r="AD515" s="91"/>
      <c r="AE515" s="94">
        <f>Table3.110[[#This Row],[Gas 8h, ml]]-Table3.110[[#This Row],[Gas 0h, ml]]</f>
        <v>21.5</v>
      </c>
      <c r="AF515" s="94">
        <f>Table3.110[[#This Row],[Gas 24h, ml]]-Table3.110[[#This Row],[V8 Push back, ml]]</f>
        <v>21.5</v>
      </c>
      <c r="AG515" s="94">
        <f>Table3.110[[#This Row],[GP 8h, ml]]-(AVERAGE(AE$479,AE$480,AE$660,AE$661,AE$662,AE$663))*AG$8</f>
        <v>18.107474101643646</v>
      </c>
      <c r="AH515" s="94">
        <f>Table3.110[[#This Row],[GP 8-24h, ml]]-(AVERAGE(AF$479,AF$480,AF$660,AF$661,AF$662,AF$663))*AG$8</f>
        <v>17.185592064046812</v>
      </c>
      <c r="AI515" s="94">
        <f>Table3.110[[#This Row],[Net gas 8-24h, ml]]+Table3.110[[#This Row],[Net gas 8h, ml]]</f>
        <v>35.293066165690462</v>
      </c>
      <c r="AJ515" s="94">
        <f>Table3.110[[#This Row],[Net gas 8h, ml]]*Table3.110[[#This Row],[CH4 8h %]]%</f>
        <v>2.191004366298881</v>
      </c>
      <c r="AK515" s="94">
        <f>Table3.110[[#This Row],[Net gas 8-24h, ml]]*Table3.110[[#This Row],[CH4 24h, %]]%</f>
        <v>1.8904151270451492</v>
      </c>
      <c r="AL515" s="94">
        <f>Table3.110[[#This Row],[CH4 8-24h, ml]]+Table3.110[[#This Row],[CH4 8h, ml]]</f>
        <v>4.08141949334403</v>
      </c>
      <c r="AM515" s="94">
        <f>(Table3.110[[#This Row],[Net gas 24h, ml]]/Table3.110[[#This Row],[DM Incubated, mg]])*1000</f>
        <v>74.453413572717679</v>
      </c>
      <c r="AN515" s="94">
        <f>'3.2 Digest'!X515</f>
        <v>26.882087764337214</v>
      </c>
      <c r="AO515" s="94">
        <f>Table3.110[[#This Row],[Digested feed, mg]]/Table3.110[[#This Row],[Net gas 24h, ml]]</f>
        <v>3.61059170753559</v>
      </c>
      <c r="AP515" s="94">
        <f>Table3.110[[#This Row],[CH4 8h, ml]]/Table3.110[[#This Row],[Net gas 8h, ml]]%</f>
        <v>12.099999999999998</v>
      </c>
      <c r="AQ515" s="94">
        <f>Table3.110[[#This Row],[CH4 24h, ml]]/Table3.110[[#This Row],[Net gas 24h, ml]]%</f>
        <v>11.564366423089957</v>
      </c>
      <c r="AR515" s="94">
        <f>Table3.110[[#This Row],[CH4 24h, ml]]/Table3.110[[#This Row],[DM Incubated, mg]]*1000</f>
        <v>8.6100655600476639</v>
      </c>
      <c r="AS515" s="94">
        <f>Table3.110[[#This Row],[CH4 24h, ml]]/Table3.110[[#This Row],[Digested feed, mg]]*1000</f>
        <v>32.02900621234523</v>
      </c>
      <c r="AT515" s="94">
        <f>Table3.110[[#This Row],[CH4 24h, ml]]/'3.2 Digest'!AA515</f>
        <v>-0.1030026097553319</v>
      </c>
      <c r="AU515" s="94">
        <f>((Table3.110[[#This Row],[CH4 24h, ml]]/28.9)*16.04)/Table3.110[[#This Row],[DM Incubated, mg]]*1000</f>
        <v>4.7787353488984268</v>
      </c>
      <c r="AV515" s="94">
        <f>((Table3.110[[#This Row],[CH4 24h, ml]]/28.9)*16.04)/Table3.110[[#This Row],[Digested feed, mg]]*1000</f>
        <v>17.776652582907179</v>
      </c>
      <c r="AW515" s="303"/>
    </row>
    <row r="516" spans="1:49" s="304" customFormat="1" x14ac:dyDescent="0.35">
      <c r="A516" s="89"/>
      <c r="B516" s="90">
        <f t="shared" si="7"/>
        <v>506</v>
      </c>
      <c r="C516" s="140">
        <v>46050</v>
      </c>
      <c r="D516" s="6" t="s">
        <v>16</v>
      </c>
      <c r="E516" s="6" t="s">
        <v>171</v>
      </c>
      <c r="F516" s="133" t="s">
        <v>88</v>
      </c>
      <c r="G516" s="133" t="s">
        <v>147</v>
      </c>
      <c r="H516" s="133" t="s">
        <v>148</v>
      </c>
      <c r="I516" s="133" t="s">
        <v>22</v>
      </c>
      <c r="J516" s="135" t="s">
        <v>23</v>
      </c>
      <c r="K516" s="135" t="s">
        <v>24</v>
      </c>
      <c r="L516" s="6" t="s">
        <v>170</v>
      </c>
      <c r="M516" s="93">
        <v>28</v>
      </c>
      <c r="N516" s="93">
        <v>61</v>
      </c>
      <c r="O516" s="6">
        <v>2</v>
      </c>
      <c r="P516" s="129">
        <v>3</v>
      </c>
      <c r="Q516" s="6">
        <v>0</v>
      </c>
      <c r="R516" s="98">
        <v>0.50009999999999999</v>
      </c>
      <c r="S516" s="94">
        <f>((Table3.110[[#This Row],[Sample weight, g]]*'2.1. DM'!Q99)/100)*1000</f>
        <v>474.0288520313469</v>
      </c>
      <c r="T516" s="94">
        <f>'3.2 Digest'!W516</f>
        <v>90.12885203134698</v>
      </c>
      <c r="U516" s="117">
        <v>0.34305555555555556</v>
      </c>
      <c r="V516" s="155">
        <v>41.5</v>
      </c>
      <c r="W516" s="117">
        <v>0.67847222222222225</v>
      </c>
      <c r="X516" s="96">
        <v>62.5</v>
      </c>
      <c r="Y516" s="96">
        <v>12.3</v>
      </c>
      <c r="Z516" s="155">
        <v>40</v>
      </c>
      <c r="AA516" s="117">
        <v>0.38055555555555554</v>
      </c>
      <c r="AB516" s="155">
        <v>62</v>
      </c>
      <c r="AC516" s="155">
        <v>10.6</v>
      </c>
      <c r="AD516" s="96"/>
      <c r="AE516" s="94">
        <f>Table3.110[[#This Row],[Gas 8h, ml]]-Table3.110[[#This Row],[Gas 0h, ml]]</f>
        <v>21</v>
      </c>
      <c r="AF516" s="94">
        <f>Table3.110[[#This Row],[Gas 24h, ml]]-Table3.110[[#This Row],[V8 Push back, ml]]</f>
        <v>22</v>
      </c>
      <c r="AG516" s="94">
        <f>Table3.110[[#This Row],[GP 8h, ml]]-(AVERAGE(AE$479,AE$480,AE$660,AE$661,AE$662,AE$663))*AG$8</f>
        <v>17.607474101643646</v>
      </c>
      <c r="AH516" s="94">
        <f>Table3.110[[#This Row],[GP 8-24h, ml]]-(AVERAGE(AF$479,AF$480,AF$660,AF$661,AF$662,AF$663))*AG$8</f>
        <v>17.685592064046812</v>
      </c>
      <c r="AI516" s="94">
        <f>Table3.110[[#This Row],[Net gas 8-24h, ml]]+Table3.110[[#This Row],[Net gas 8h, ml]]</f>
        <v>35.293066165690462</v>
      </c>
      <c r="AJ516" s="94">
        <f>Table3.110[[#This Row],[Net gas 8h, ml]]*Table3.110[[#This Row],[CH4 8h %]]%</f>
        <v>2.1657193145021685</v>
      </c>
      <c r="AK516" s="94">
        <f>Table3.110[[#This Row],[Net gas 8-24h, ml]]*Table3.110[[#This Row],[CH4 24h, %]]%</f>
        <v>1.874672758788962</v>
      </c>
      <c r="AL516" s="94">
        <f>Table3.110[[#This Row],[CH4 8-24h, ml]]+Table3.110[[#This Row],[CH4 8h, ml]]</f>
        <v>4.0403920732911303</v>
      </c>
      <c r="AM516" s="94">
        <f>(Table3.110[[#This Row],[Net gas 24h, ml]]/Table3.110[[#This Row],[DM Incubated, mg]])*1000</f>
        <v>74.453413572717679</v>
      </c>
      <c r="AN516" s="94">
        <f>'3.2 Digest'!X516</f>
        <v>19.013368415259855</v>
      </c>
      <c r="AO516" s="94">
        <f>Table3.110[[#This Row],[Digested feed, mg]]/Table3.110[[#This Row],[Net gas 24h, ml]]</f>
        <v>2.5537268881150421</v>
      </c>
      <c r="AP516" s="94">
        <f>Table3.110[[#This Row],[CH4 8h, ml]]/Table3.110[[#This Row],[Net gas 8h, ml]]%</f>
        <v>12.299999999999999</v>
      </c>
      <c r="AQ516" s="94">
        <f>Table3.110[[#This Row],[CH4 24h, ml]]/Table3.110[[#This Row],[Net gas 24h, ml]]%</f>
        <v>11.448118603021596</v>
      </c>
      <c r="AR516" s="94">
        <f>Table3.110[[#This Row],[CH4 24h, ml]]/Table3.110[[#This Row],[DM Incubated, mg]]*1000</f>
        <v>8.5235150898028991</v>
      </c>
      <c r="AS516" s="94">
        <f>Table3.110[[#This Row],[CH4 24h, ml]]/Table3.110[[#This Row],[Digested feed, mg]]*1000</f>
        <v>44.829063970390685</v>
      </c>
      <c r="AT516" s="94">
        <f>Table3.110[[#This Row],[CH4 24h, ml]]/'3.2 Digest'!AA516</f>
        <v>-7.3931652152586708E-2</v>
      </c>
      <c r="AU516" s="94">
        <f>((Table3.110[[#This Row],[CH4 24h, ml]]/28.9)*16.04)/Table3.110[[#This Row],[DM Incubated, mg]]*1000</f>
        <v>4.7306983404996013</v>
      </c>
      <c r="AV516" s="94">
        <f>((Table3.110[[#This Row],[CH4 24h, ml]]/28.9)*16.04)/Table3.110[[#This Row],[Digested feed, mg]]*1000</f>
        <v>24.88090609290888</v>
      </c>
      <c r="AW516" s="303"/>
    </row>
    <row r="517" spans="1:49" s="304" customFormat="1" x14ac:dyDescent="0.35">
      <c r="A517" s="89"/>
      <c r="B517" s="90">
        <f t="shared" si="7"/>
        <v>507</v>
      </c>
      <c r="C517" s="140">
        <v>46050</v>
      </c>
      <c r="D517" s="6" t="s">
        <v>16</v>
      </c>
      <c r="E517" s="6" t="s">
        <v>173</v>
      </c>
      <c r="F517" s="133" t="s">
        <v>99</v>
      </c>
      <c r="G517" s="133" t="s">
        <v>100</v>
      </c>
      <c r="H517" s="133" t="s">
        <v>101</v>
      </c>
      <c r="I517" s="133" t="s">
        <v>22</v>
      </c>
      <c r="J517" s="135" t="s">
        <v>23</v>
      </c>
      <c r="K517" s="135" t="s">
        <v>24</v>
      </c>
      <c r="L517" s="6" t="s">
        <v>172</v>
      </c>
      <c r="M517" s="93">
        <v>28</v>
      </c>
      <c r="N517" s="93">
        <v>61</v>
      </c>
      <c r="O517" s="6">
        <v>2</v>
      </c>
      <c r="P517" s="6">
        <v>1</v>
      </c>
      <c r="Q517" s="6">
        <v>0</v>
      </c>
      <c r="R517" s="98">
        <v>0.50019999999999998</v>
      </c>
      <c r="S517" s="94">
        <f>((Table3.110[[#This Row],[Sample weight, g]]*'2.1. DM'!Q101)/100)*1000</f>
        <v>468.72341797460751</v>
      </c>
      <c r="T517" s="94">
        <f>'3.2 Digest'!W517</f>
        <v>212.72341797460751</v>
      </c>
      <c r="U517" s="153">
        <v>0.34305555555555556</v>
      </c>
      <c r="V517" s="154">
        <v>42</v>
      </c>
      <c r="W517" s="153">
        <v>0.67847222222222225</v>
      </c>
      <c r="X517" s="91">
        <v>80</v>
      </c>
      <c r="Y517" s="91">
        <v>12.3</v>
      </c>
      <c r="Z517" s="154">
        <v>40.5</v>
      </c>
      <c r="AA517" s="153">
        <v>0.38055555555555554</v>
      </c>
      <c r="AB517" s="154">
        <v>80.5</v>
      </c>
      <c r="AC517" s="154">
        <v>14.3</v>
      </c>
      <c r="AD517" s="91"/>
      <c r="AE517" s="94">
        <f>Table3.110[[#This Row],[Gas 8h, ml]]-Table3.110[[#This Row],[Gas 0h, ml]]</f>
        <v>38</v>
      </c>
      <c r="AF517" s="94">
        <f>Table3.110[[#This Row],[Gas 24h, ml]]-Table3.110[[#This Row],[V8 Push back, ml]]</f>
        <v>40</v>
      </c>
      <c r="AG517" s="94">
        <f>Table3.110[[#This Row],[GP 8h, ml]]-(AVERAGE(AE$479,AE$480,AE$660,AE$661,AE$662,AE$663))*AG$8</f>
        <v>34.607474101643646</v>
      </c>
      <c r="AH517" s="94">
        <f>Table3.110[[#This Row],[GP 8-24h, ml]]-(AVERAGE(AF$479,AF$480,AF$660,AF$661,AF$662,AF$663))*AG$8</f>
        <v>35.685592064046816</v>
      </c>
      <c r="AI517" s="94">
        <f>Table3.110[[#This Row],[Net gas 8-24h, ml]]+Table3.110[[#This Row],[Net gas 8h, ml]]</f>
        <v>70.293066165690462</v>
      </c>
      <c r="AJ517" s="94">
        <f>Table3.110[[#This Row],[Net gas 8h, ml]]*Table3.110[[#This Row],[CH4 8h %]]%</f>
        <v>4.2567193145021687</v>
      </c>
      <c r="AK517" s="94">
        <f>Table3.110[[#This Row],[Net gas 8-24h, ml]]*Table3.110[[#This Row],[CH4 24h, %]]%</f>
        <v>5.1030396651586951</v>
      </c>
      <c r="AL517" s="94">
        <f>Table3.110[[#This Row],[CH4 8-24h, ml]]+Table3.110[[#This Row],[CH4 8h, ml]]</f>
        <v>9.3597589796608638</v>
      </c>
      <c r="AM517" s="94">
        <f>(Table3.110[[#This Row],[Net gas 24h, ml]]/Table3.110[[#This Row],[DM Incubated, mg]])*1000</f>
        <v>149.96704553280608</v>
      </c>
      <c r="AN517" s="94">
        <f>'3.2 Digest'!X517</f>
        <v>45.383569460600647</v>
      </c>
      <c r="AO517" s="94">
        <f>Table3.110[[#This Row],[Digested feed, mg]]/Table3.110[[#This Row],[Net gas 24h, ml]]</f>
        <v>3.0262361507063735</v>
      </c>
      <c r="AP517" s="94">
        <f>Table3.110[[#This Row],[CH4 8h, ml]]/Table3.110[[#This Row],[Net gas 8h, ml]]%</f>
        <v>12.3</v>
      </c>
      <c r="AQ517" s="94">
        <f>Table3.110[[#This Row],[CH4 24h, ml]]/Table3.110[[#This Row],[Net gas 24h, ml]]%</f>
        <v>13.315337472402497</v>
      </c>
      <c r="AR517" s="94">
        <f>Table3.110[[#This Row],[CH4 24h, ml]]/Table3.110[[#This Row],[DM Incubated, mg]]*1000</f>
        <v>19.968618210084646</v>
      </c>
      <c r="AS517" s="94">
        <f>Table3.110[[#This Row],[CH4 24h, ml]]/Table3.110[[#This Row],[Digested feed, mg]]*1000</f>
        <v>43.999664300138903</v>
      </c>
      <c r="AT517" s="94">
        <f>Table3.110[[#This Row],[CH4 24h, ml]]/'3.2 Digest'!AA517</f>
        <v>2.587763848385034</v>
      </c>
      <c r="AU517" s="94">
        <f>((Table3.110[[#This Row],[CH4 24h, ml]]/28.9)*16.04)/Table3.110[[#This Row],[DM Incubated, mg]]*1000</f>
        <v>11.082928584420683</v>
      </c>
      <c r="AV517" s="94">
        <f>((Table3.110[[#This Row],[CH4 24h, ml]]/28.9)*16.04)/Table3.110[[#This Row],[Digested feed, mg]]*1000</f>
        <v>24.420574926443877</v>
      </c>
      <c r="AW517" s="303"/>
    </row>
    <row r="518" spans="1:49" s="304" customFormat="1" x14ac:dyDescent="0.35">
      <c r="A518" s="89"/>
      <c r="B518" s="90">
        <f t="shared" si="7"/>
        <v>508</v>
      </c>
      <c r="C518" s="140">
        <v>46050</v>
      </c>
      <c r="D518" s="6" t="s">
        <v>16</v>
      </c>
      <c r="E518" s="6" t="s">
        <v>173</v>
      </c>
      <c r="F518" s="133" t="s">
        <v>99</v>
      </c>
      <c r="G518" s="133" t="s">
        <v>100</v>
      </c>
      <c r="H518" s="133" t="s">
        <v>101</v>
      </c>
      <c r="I518" s="133" t="s">
        <v>22</v>
      </c>
      <c r="J518" s="135" t="s">
        <v>23</v>
      </c>
      <c r="K518" s="135" t="s">
        <v>24</v>
      </c>
      <c r="L518" s="6" t="s">
        <v>172</v>
      </c>
      <c r="M518" s="93">
        <v>28</v>
      </c>
      <c r="N518" s="93">
        <v>61</v>
      </c>
      <c r="O518" s="6">
        <v>2</v>
      </c>
      <c r="P518" s="129">
        <v>2</v>
      </c>
      <c r="Q518" s="6">
        <v>0</v>
      </c>
      <c r="R518" s="98">
        <v>0.50039999999999996</v>
      </c>
      <c r="S518" s="94">
        <f>((Table3.110[[#This Row],[Sample weight, g]]*'2.1. DM'!Q101)/100)*1000</f>
        <v>468.91083237603681</v>
      </c>
      <c r="T518" s="94">
        <f>'3.2 Digest'!W518</f>
        <v>108.51083237603677</v>
      </c>
      <c r="U518" s="117">
        <v>0.34375</v>
      </c>
      <c r="V518" s="155">
        <v>41.5</v>
      </c>
      <c r="W518" s="117">
        <v>0.6791666666666667</v>
      </c>
      <c r="X518" s="96">
        <v>78.5</v>
      </c>
      <c r="Y518" s="96">
        <v>12.1</v>
      </c>
      <c r="Z518" s="155">
        <v>40</v>
      </c>
      <c r="AA518" s="117">
        <v>0.38124999999999998</v>
      </c>
      <c r="AB518" s="155">
        <v>73.5</v>
      </c>
      <c r="AC518" s="155">
        <v>15</v>
      </c>
      <c r="AD518" s="96"/>
      <c r="AE518" s="94">
        <f>Table3.110[[#This Row],[Gas 8h, ml]]-Table3.110[[#This Row],[Gas 0h, ml]]</f>
        <v>37</v>
      </c>
      <c r="AF518" s="94">
        <f>Table3.110[[#This Row],[Gas 24h, ml]]-Table3.110[[#This Row],[V8 Push back, ml]]</f>
        <v>33.5</v>
      </c>
      <c r="AG518" s="94"/>
      <c r="AH518" s="94"/>
      <c r="AI518" s="94"/>
      <c r="AJ518" s="94"/>
      <c r="AK518" s="94"/>
      <c r="AL518" s="94"/>
      <c r="AM518" s="94"/>
      <c r="AN518" s="94"/>
      <c r="AO518" s="94"/>
      <c r="AP518" s="94"/>
      <c r="AQ518" s="94"/>
      <c r="AR518" s="94"/>
      <c r="AS518" s="94"/>
      <c r="AT518" s="94"/>
      <c r="AU518" s="94"/>
      <c r="AV518" s="94"/>
      <c r="AW518" s="303"/>
    </row>
    <row r="519" spans="1:49" s="304" customFormat="1" x14ac:dyDescent="0.35">
      <c r="A519" s="89"/>
      <c r="B519" s="90">
        <f t="shared" si="7"/>
        <v>509</v>
      </c>
      <c r="C519" s="140">
        <v>46050</v>
      </c>
      <c r="D519" s="6" t="s">
        <v>16</v>
      </c>
      <c r="E519" s="6" t="s">
        <v>173</v>
      </c>
      <c r="F519" s="133" t="s">
        <v>99</v>
      </c>
      <c r="G519" s="133" t="s">
        <v>100</v>
      </c>
      <c r="H519" s="133" t="s">
        <v>101</v>
      </c>
      <c r="I519" s="133" t="s">
        <v>22</v>
      </c>
      <c r="J519" s="135" t="s">
        <v>23</v>
      </c>
      <c r="K519" s="135" t="s">
        <v>24</v>
      </c>
      <c r="L519" s="6" t="s">
        <v>172</v>
      </c>
      <c r="M519" s="93">
        <v>28</v>
      </c>
      <c r="N519" s="93">
        <v>61</v>
      </c>
      <c r="O519" s="6">
        <v>2</v>
      </c>
      <c r="P519" s="129">
        <v>3</v>
      </c>
      <c r="Q519" s="6">
        <v>0</v>
      </c>
      <c r="R519" s="98">
        <v>0.50029999999999997</v>
      </c>
      <c r="S519" s="94">
        <f>((Table3.110[[#This Row],[Sample weight, g]]*'2.1. DM'!Q101)/100)*1000</f>
        <v>468.81712517532213</v>
      </c>
      <c r="T519" s="94">
        <f>'3.2 Digest'!W519</f>
        <v>162.31712517532213</v>
      </c>
      <c r="U519" s="153">
        <v>0.34375</v>
      </c>
      <c r="V519" s="154">
        <v>41.5</v>
      </c>
      <c r="W519" s="153">
        <v>0.67986111111111114</v>
      </c>
      <c r="X519" s="91">
        <v>79.5</v>
      </c>
      <c r="Y519" s="91">
        <v>11.9</v>
      </c>
      <c r="Z519" s="154">
        <v>40.5</v>
      </c>
      <c r="AA519" s="153">
        <v>0.38124999999999998</v>
      </c>
      <c r="AB519" s="154">
        <v>79</v>
      </c>
      <c r="AC519" s="154">
        <v>14.8</v>
      </c>
      <c r="AD519" s="91"/>
      <c r="AE519" s="94">
        <f>Table3.110[[#This Row],[Gas 8h, ml]]-Table3.110[[#This Row],[Gas 0h, ml]]</f>
        <v>38</v>
      </c>
      <c r="AF519" s="94">
        <f>Table3.110[[#This Row],[Gas 24h, ml]]-Table3.110[[#This Row],[V8 Push back, ml]]</f>
        <v>38.5</v>
      </c>
      <c r="AG519" s="94">
        <f>Table3.110[[#This Row],[GP 8h, ml]]-(AVERAGE(AE$479,AE$480,AE$660,AE$661,AE$662,AE$663))*AG$8</f>
        <v>34.607474101643646</v>
      </c>
      <c r="AH519" s="94">
        <f>Table3.110[[#This Row],[GP 8-24h, ml]]-(AVERAGE(AF$479,AF$480,AF$660,AF$661,AF$662,AF$663))*AG$8</f>
        <v>34.185592064046816</v>
      </c>
      <c r="AI519" s="94">
        <f>Table3.110[[#This Row],[Net gas 8-24h, ml]]+Table3.110[[#This Row],[Net gas 8h, ml]]</f>
        <v>68.793066165690462</v>
      </c>
      <c r="AJ519" s="94">
        <f>Table3.110[[#This Row],[Net gas 8h, ml]]*Table3.110[[#This Row],[CH4 8h %]]%</f>
        <v>4.1182894180955945</v>
      </c>
      <c r="AK519" s="94">
        <f>Table3.110[[#This Row],[Net gas 8-24h, ml]]*Table3.110[[#This Row],[CH4 24h, %]]%</f>
        <v>5.0594676254789297</v>
      </c>
      <c r="AL519" s="94">
        <f>Table3.110[[#This Row],[CH4 8-24h, ml]]+Table3.110[[#This Row],[CH4 8h, ml]]</f>
        <v>9.1777570435745233</v>
      </c>
      <c r="AM519" s="94">
        <f>(Table3.110[[#This Row],[Net gas 24h, ml]]/Table3.110[[#This Row],[DM Incubated, mg]])*1000</f>
        <v>146.73752828453979</v>
      </c>
      <c r="AN519" s="94">
        <f>'3.2 Digest'!X519</f>
        <v>34.62269538780626</v>
      </c>
      <c r="AO519" s="94">
        <f>Table3.110[[#This Row],[Digested feed, mg]]/Table3.110[[#This Row],[Net gas 24h, ml]]</f>
        <v>2.3594983364221007</v>
      </c>
      <c r="AP519" s="94">
        <f>Table3.110[[#This Row],[CH4 8h, ml]]/Table3.110[[#This Row],[Net gas 8h, ml]]%</f>
        <v>11.9</v>
      </c>
      <c r="AQ519" s="94">
        <f>Table3.110[[#This Row],[CH4 24h, ml]]/Table3.110[[#This Row],[Net gas 24h, ml]]%</f>
        <v>13.341107694588841</v>
      </c>
      <c r="AR519" s="94">
        <f>Table3.110[[#This Row],[CH4 24h, ml]]/Table3.110[[#This Row],[DM Incubated, mg]]*1000</f>
        <v>19.576411676818214</v>
      </c>
      <c r="AS519" s="94">
        <f>Table3.110[[#This Row],[CH4 24h, ml]]/Table3.110[[#This Row],[Digested feed, mg]]*1000</f>
        <v>56.542136473039648</v>
      </c>
      <c r="AT519" s="94">
        <f>Table3.110[[#This Row],[CH4 24h, ml]]/'3.2 Digest'!AA519</f>
        <v>-0.59700215247081989</v>
      </c>
      <c r="AU519" s="94">
        <f>((Table3.110[[#This Row],[CH4 24h, ml]]/28.9)*16.04)/Table3.110[[#This Row],[DM Incubated, mg]]*1000</f>
        <v>10.865247172877655</v>
      </c>
      <c r="AV519" s="94">
        <f>((Table3.110[[#This Row],[CH4 24h, ml]]/28.9)*16.04)/Table3.110[[#This Row],[Digested feed, mg]]*1000</f>
        <v>31.38186398019225</v>
      </c>
      <c r="AW519" s="303"/>
    </row>
    <row r="520" spans="1:49" s="304" customFormat="1" x14ac:dyDescent="0.35">
      <c r="A520" s="89"/>
      <c r="B520" s="90">
        <f t="shared" si="7"/>
        <v>510</v>
      </c>
      <c r="C520" s="140">
        <v>46050</v>
      </c>
      <c r="D520" s="6" t="s">
        <v>16</v>
      </c>
      <c r="E520" s="6" t="s">
        <v>175</v>
      </c>
      <c r="F520" s="133" t="s">
        <v>159</v>
      </c>
      <c r="G520" s="133" t="s">
        <v>160</v>
      </c>
      <c r="H520" s="133" t="s">
        <v>161</v>
      </c>
      <c r="I520" s="133" t="s">
        <v>22</v>
      </c>
      <c r="J520" s="135" t="s">
        <v>23</v>
      </c>
      <c r="K520" s="135" t="s">
        <v>24</v>
      </c>
      <c r="L520" s="6" t="s">
        <v>174</v>
      </c>
      <c r="M520" s="93">
        <v>28</v>
      </c>
      <c r="N520" s="93">
        <v>61</v>
      </c>
      <c r="O520" s="6">
        <v>2</v>
      </c>
      <c r="P520" s="6">
        <v>1</v>
      </c>
      <c r="Q520" s="6">
        <v>0</v>
      </c>
      <c r="R520" s="98">
        <v>0.50039999999999996</v>
      </c>
      <c r="S520" s="94">
        <f>((Table3.110[[#This Row],[Sample weight, g]]*'2.1. DM'!Q103)/100)*1000</f>
        <v>474.68199152969379</v>
      </c>
      <c r="T520" s="94">
        <f>'3.2 Digest'!W520</f>
        <v>115.08199152969377</v>
      </c>
      <c r="U520" s="117">
        <v>0.34444444444444444</v>
      </c>
      <c r="V520" s="155">
        <v>41.5</v>
      </c>
      <c r="W520" s="117">
        <v>0.68055555555555558</v>
      </c>
      <c r="X520" s="96">
        <v>66</v>
      </c>
      <c r="Y520" s="96">
        <v>11.3</v>
      </c>
      <c r="Z520" s="155">
        <v>39.5</v>
      </c>
      <c r="AA520" s="117">
        <v>0.38194444444444442</v>
      </c>
      <c r="AB520" s="155">
        <v>57.5</v>
      </c>
      <c r="AC520" s="155">
        <v>11.8</v>
      </c>
      <c r="AD520" s="96"/>
      <c r="AE520" s="94">
        <f>Table3.110[[#This Row],[Gas 8h, ml]]-Table3.110[[#This Row],[Gas 0h, ml]]</f>
        <v>24.5</v>
      </c>
      <c r="AF520" s="94">
        <f>Table3.110[[#This Row],[Gas 24h, ml]]-Table3.110[[#This Row],[V8 Push back, ml]]</f>
        <v>18</v>
      </c>
      <c r="AG520" s="94">
        <f>Table3.110[[#This Row],[GP 8h, ml]]-(AVERAGE(AE$479,AE$480,AE$660,AE$661,AE$662,AE$663))*AG$8</f>
        <v>21.107474101643646</v>
      </c>
      <c r="AH520" s="94">
        <f>Table3.110[[#This Row],[GP 8-24h, ml]]-(AVERAGE(AF$479,AF$480,AF$660,AF$661,AF$662,AF$663))*AG$8</f>
        <v>13.685592064046812</v>
      </c>
      <c r="AI520" s="94">
        <f>Table3.110[[#This Row],[Net gas 8-24h, ml]]+Table3.110[[#This Row],[Net gas 8h, ml]]</f>
        <v>34.793066165690462</v>
      </c>
      <c r="AJ520" s="94">
        <f>Table3.110[[#This Row],[Net gas 8h, ml]]*Table3.110[[#This Row],[CH4 8h %]]%</f>
        <v>2.3851445734857322</v>
      </c>
      <c r="AK520" s="94">
        <f>Table3.110[[#This Row],[Net gas 8-24h, ml]]*Table3.110[[#This Row],[CH4 24h, %]]%</f>
        <v>1.614899863557524</v>
      </c>
      <c r="AL520" s="94">
        <f>Table3.110[[#This Row],[CH4 8-24h, ml]]+Table3.110[[#This Row],[CH4 8h, ml]]</f>
        <v>4.0000444370432557</v>
      </c>
      <c r="AM520" s="94">
        <f>(Table3.110[[#This Row],[Net gas 24h, ml]]/Table3.110[[#This Row],[DM Incubated, mg]])*1000</f>
        <v>73.297632491950097</v>
      </c>
      <c r="AN520" s="94">
        <f>'3.2 Digest'!X520</f>
        <v>24.244018855409809</v>
      </c>
      <c r="AO520" s="94">
        <f>Table3.110[[#This Row],[Digested feed, mg]]/Table3.110[[#This Row],[Net gas 24h, ml]]</f>
        <v>3.3076128151986914</v>
      </c>
      <c r="AP520" s="94">
        <f>Table3.110[[#This Row],[CH4 8h, ml]]/Table3.110[[#This Row],[Net gas 8h, ml]]%</f>
        <v>11.3</v>
      </c>
      <c r="AQ520" s="94">
        <f>Table3.110[[#This Row],[CH4 24h, ml]]/Table3.110[[#This Row],[Net gas 24h, ml]]%</f>
        <v>11.496671256262291</v>
      </c>
      <c r="AR520" s="94">
        <f>Table3.110[[#This Row],[CH4 24h, ml]]/Table3.110[[#This Row],[DM Incubated, mg]]*1000</f>
        <v>8.4267878462227959</v>
      </c>
      <c r="AS520" s="94">
        <f>Table3.110[[#This Row],[CH4 24h, ml]]/Table3.110[[#This Row],[Digested feed, mg]]*1000</f>
        <v>34.758213547348575</v>
      </c>
      <c r="AT520" s="94">
        <f>Table3.110[[#This Row],[CH4 24h, ml]]/'3.2 Digest'!AA520</f>
        <v>-0.10600922920370606</v>
      </c>
      <c r="AU520" s="94">
        <f>((Table3.110[[#This Row],[CH4 24h, ml]]/28.9)*16.04)/Table3.110[[#This Row],[DM Incubated, mg]]*1000</f>
        <v>4.6770130468309228</v>
      </c>
      <c r="AV520" s="94">
        <f>((Table3.110[[#This Row],[CH4 24h, ml]]/28.9)*16.04)/Table3.110[[#This Row],[Digested feed, mg]]*1000</f>
        <v>19.29140987195402</v>
      </c>
      <c r="AW520" s="303"/>
    </row>
    <row r="521" spans="1:49" s="304" customFormat="1" x14ac:dyDescent="0.35">
      <c r="A521" s="89"/>
      <c r="B521" s="90">
        <f t="shared" si="7"/>
        <v>511</v>
      </c>
      <c r="C521" s="140">
        <v>46050</v>
      </c>
      <c r="D521" s="6" t="s">
        <v>16</v>
      </c>
      <c r="E521" s="6" t="s">
        <v>175</v>
      </c>
      <c r="F521" s="133" t="s">
        <v>159</v>
      </c>
      <c r="G521" s="133" t="s">
        <v>160</v>
      </c>
      <c r="H521" s="133" t="s">
        <v>161</v>
      </c>
      <c r="I521" s="133" t="s">
        <v>22</v>
      </c>
      <c r="J521" s="135" t="s">
        <v>23</v>
      </c>
      <c r="K521" s="135" t="s">
        <v>24</v>
      </c>
      <c r="L521" s="6" t="s">
        <v>174</v>
      </c>
      <c r="M521" s="93">
        <v>28</v>
      </c>
      <c r="N521" s="93">
        <v>61</v>
      </c>
      <c r="O521" s="6">
        <v>2</v>
      </c>
      <c r="P521" s="129">
        <v>2</v>
      </c>
      <c r="Q521" s="6">
        <v>0</v>
      </c>
      <c r="R521" s="98">
        <v>0.50019999999999998</v>
      </c>
      <c r="S521" s="94">
        <f>((Table3.110[[#This Row],[Sample weight, g]]*'2.1. DM'!Q103)/100)*1000</f>
        <v>474.49227050989776</v>
      </c>
      <c r="T521" s="94">
        <f>'3.2 Digest'!W521</f>
        <v>10.492270509897821</v>
      </c>
      <c r="U521" s="153">
        <v>0.34513888888888888</v>
      </c>
      <c r="V521" s="154">
        <v>42</v>
      </c>
      <c r="W521" s="153">
        <v>0.68055555555555558</v>
      </c>
      <c r="X521" s="91">
        <v>63.5</v>
      </c>
      <c r="Y521" s="91">
        <v>11.9</v>
      </c>
      <c r="Z521" s="154">
        <v>40</v>
      </c>
      <c r="AA521" s="153">
        <v>0.38263888888888886</v>
      </c>
      <c r="AB521" s="154">
        <v>58.5</v>
      </c>
      <c r="AC521" s="154">
        <v>12.8</v>
      </c>
      <c r="AD521" s="91"/>
      <c r="AE521" s="94"/>
      <c r="AF521" s="94"/>
      <c r="AG521" s="94"/>
      <c r="AH521" s="94"/>
      <c r="AI521" s="94"/>
      <c r="AJ521" s="94"/>
      <c r="AK521" s="94"/>
      <c r="AL521" s="94"/>
      <c r="AM521" s="94"/>
      <c r="AN521" s="94"/>
      <c r="AO521" s="94"/>
      <c r="AP521" s="94"/>
      <c r="AQ521" s="94"/>
      <c r="AR521" s="94"/>
      <c r="AS521" s="94"/>
      <c r="AT521" s="94"/>
      <c r="AU521" s="94"/>
      <c r="AV521" s="94"/>
      <c r="AW521" s="303"/>
    </row>
    <row r="522" spans="1:49" s="304" customFormat="1" x14ac:dyDescent="0.35">
      <c r="A522" s="89"/>
      <c r="B522" s="90">
        <f t="shared" si="7"/>
        <v>512</v>
      </c>
      <c r="C522" s="140">
        <v>46050</v>
      </c>
      <c r="D522" s="6" t="s">
        <v>16</v>
      </c>
      <c r="E522" s="6" t="s">
        <v>175</v>
      </c>
      <c r="F522" s="133" t="s">
        <v>159</v>
      </c>
      <c r="G522" s="133" t="s">
        <v>160</v>
      </c>
      <c r="H522" s="133" t="s">
        <v>161</v>
      </c>
      <c r="I522" s="133" t="s">
        <v>22</v>
      </c>
      <c r="J522" s="135" t="s">
        <v>23</v>
      </c>
      <c r="K522" s="135" t="s">
        <v>24</v>
      </c>
      <c r="L522" s="6" t="s">
        <v>174</v>
      </c>
      <c r="M522" s="93">
        <v>28</v>
      </c>
      <c r="N522" s="93">
        <v>61</v>
      </c>
      <c r="O522" s="6">
        <v>2</v>
      </c>
      <c r="P522" s="129">
        <v>3</v>
      </c>
      <c r="Q522" s="6">
        <v>0</v>
      </c>
      <c r="R522" s="98">
        <v>0.50029999999999997</v>
      </c>
      <c r="S522" s="94">
        <f>((Table3.110[[#This Row],[Sample weight, g]]*'2.1. DM'!Q103)/100)*1000</f>
        <v>474.58713101979578</v>
      </c>
      <c r="T522" s="94">
        <f>'3.2 Digest'!W522</f>
        <v>96.087131019795834</v>
      </c>
      <c r="U522" s="117">
        <v>0.34583333333333333</v>
      </c>
      <c r="V522" s="155">
        <v>41.5</v>
      </c>
      <c r="W522" s="117">
        <v>0.68125000000000002</v>
      </c>
      <c r="X522" s="96">
        <v>64</v>
      </c>
      <c r="Y522" s="96">
        <v>11.8</v>
      </c>
      <c r="Z522" s="155">
        <v>40</v>
      </c>
      <c r="AA522" s="117">
        <v>0.38333333333333336</v>
      </c>
      <c r="AB522" s="155">
        <v>59</v>
      </c>
      <c r="AC522" s="155">
        <v>12.9</v>
      </c>
      <c r="AD522" s="96"/>
      <c r="AE522" s="94">
        <f>Table3.110[[#This Row],[Gas 8h, ml]]-Table3.110[[#This Row],[Gas 0h, ml]]</f>
        <v>22.5</v>
      </c>
      <c r="AF522" s="94">
        <f>Table3.110[[#This Row],[Gas 24h, ml]]-Table3.110[[#This Row],[V8 Push back, ml]]</f>
        <v>19</v>
      </c>
      <c r="AG522" s="94">
        <f>Table3.110[[#This Row],[GP 8h, ml]]-(AVERAGE(AE$479,AE$480,AE$660,AE$661,AE$662,AE$663))*AG$8</f>
        <v>19.107474101643646</v>
      </c>
      <c r="AH522" s="94">
        <f>Table3.110[[#This Row],[GP 8-24h, ml]]-(AVERAGE(AF$479,AF$480,AF$660,AF$661,AF$662,AF$663))*AG$8</f>
        <v>14.685592064046812</v>
      </c>
      <c r="AI522" s="94">
        <f>Table3.110[[#This Row],[Net gas 8-24h, ml]]+Table3.110[[#This Row],[Net gas 8h, ml]]</f>
        <v>33.793066165690462</v>
      </c>
      <c r="AJ522" s="94">
        <f>Table3.110[[#This Row],[Net gas 8h, ml]]*Table3.110[[#This Row],[CH4 8h %]]%</f>
        <v>2.2546819439939503</v>
      </c>
      <c r="AK522" s="94">
        <f>Table3.110[[#This Row],[Net gas 8-24h, ml]]*Table3.110[[#This Row],[CH4 24h, %]]%</f>
        <v>1.8944413762620389</v>
      </c>
      <c r="AL522" s="94">
        <f>Table3.110[[#This Row],[CH4 8-24h, ml]]+Table3.110[[#This Row],[CH4 8h, ml]]</f>
        <v>4.1491233202559892</v>
      </c>
      <c r="AM522" s="94">
        <f>(Table3.110[[#This Row],[Net gas 24h, ml]]/Table3.110[[#This Row],[DM Incubated, mg]])*1000</f>
        <v>71.205188587974803</v>
      </c>
      <c r="AN522" s="94">
        <f>'3.2 Digest'!X522</f>
        <v>20.246467874786912</v>
      </c>
      <c r="AO522" s="94">
        <f>Table3.110[[#This Row],[Digested feed, mg]]/Table3.110[[#This Row],[Net gas 24h, ml]]</f>
        <v>2.8433978304505407</v>
      </c>
      <c r="AP522" s="94">
        <f>Table3.110[[#This Row],[CH4 8h, ml]]/Table3.110[[#This Row],[Net gas 8h, ml]]%</f>
        <v>11.8</v>
      </c>
      <c r="AQ522" s="94">
        <f>Table3.110[[#This Row],[CH4 24h, ml]]/Table3.110[[#This Row],[Net gas 24h, ml]]%</f>
        <v>12.278031534375904</v>
      </c>
      <c r="AR522" s="94">
        <f>Table3.110[[#This Row],[CH4 24h, ml]]/Table3.110[[#This Row],[DM Incubated, mg]]*1000</f>
        <v>8.7425955089433778</v>
      </c>
      <c r="AS522" s="94">
        <f>Table3.110[[#This Row],[CH4 24h, ml]]/Table3.110[[#This Row],[Digested feed, mg]]*1000</f>
        <v>43.180843014255352</v>
      </c>
      <c r="AT522" s="94">
        <f>Table3.110[[#This Row],[CH4 24h, ml]]/'3.2 Digest'!AA522</f>
        <v>-9.2200722440697339E-2</v>
      </c>
      <c r="AU522" s="94">
        <f>((Table3.110[[#This Row],[CH4 24h, ml]]/28.9)*16.04)/Table3.110[[#This Row],[DM Incubated, mg]]*1000</f>
        <v>4.8522917634412384</v>
      </c>
      <c r="AV522" s="94">
        <f>((Table3.110[[#This Row],[CH4 24h, ml]]/28.9)*16.04)/Table3.110[[#This Row],[Digested feed, mg]]*1000</f>
        <v>23.966114946320268</v>
      </c>
      <c r="AW522" s="303"/>
    </row>
    <row r="523" spans="1:49" s="304" customFormat="1" x14ac:dyDescent="0.35">
      <c r="A523" s="89"/>
      <c r="B523" s="90">
        <f t="shared" si="7"/>
        <v>513</v>
      </c>
      <c r="C523" s="140">
        <v>46050</v>
      </c>
      <c r="D523" s="6" t="s">
        <v>16</v>
      </c>
      <c r="E523" s="6" t="s">
        <v>177</v>
      </c>
      <c r="F523" s="133" t="s">
        <v>159</v>
      </c>
      <c r="G523" s="133" t="s">
        <v>160</v>
      </c>
      <c r="H523" s="133" t="s">
        <v>161</v>
      </c>
      <c r="I523" s="133" t="s">
        <v>22</v>
      </c>
      <c r="J523" s="135" t="s">
        <v>23</v>
      </c>
      <c r="K523" s="135" t="s">
        <v>24</v>
      </c>
      <c r="L523" s="6" t="s">
        <v>176</v>
      </c>
      <c r="M523" s="93">
        <v>28</v>
      </c>
      <c r="N523" s="93">
        <v>61</v>
      </c>
      <c r="O523" s="6">
        <v>2</v>
      </c>
      <c r="P523" s="6">
        <v>1</v>
      </c>
      <c r="Q523" s="6">
        <v>0</v>
      </c>
      <c r="R523" s="98">
        <v>0.50029999999999997</v>
      </c>
      <c r="S523" s="94">
        <f>((Table3.110[[#This Row],[Sample weight, g]]*'2.1. DM'!Q105)/100)*1000</f>
        <v>469.66743825617431</v>
      </c>
      <c r="T523" s="94">
        <f>'3.2 Digest'!W523</f>
        <v>107.96743825617426</v>
      </c>
      <c r="U523" s="153">
        <v>0.34583333333333333</v>
      </c>
      <c r="V523" s="154">
        <v>40.5</v>
      </c>
      <c r="W523" s="153">
        <v>0.68194444444444446</v>
      </c>
      <c r="X523" s="91">
        <v>62.5</v>
      </c>
      <c r="Y523" s="91">
        <v>13.1</v>
      </c>
      <c r="Z523" s="154">
        <v>40</v>
      </c>
      <c r="AA523" s="153">
        <v>0.38333333333333336</v>
      </c>
      <c r="AB523" s="154">
        <v>59.5</v>
      </c>
      <c r="AC523" s="154">
        <v>13.5</v>
      </c>
      <c r="AD523" s="91"/>
      <c r="AE523" s="94"/>
      <c r="AF523" s="94"/>
      <c r="AG523" s="94"/>
      <c r="AH523" s="94"/>
      <c r="AI523" s="94"/>
      <c r="AJ523" s="94"/>
      <c r="AK523" s="94"/>
      <c r="AL523" s="94"/>
      <c r="AM523" s="94"/>
      <c r="AN523" s="94"/>
      <c r="AO523" s="94"/>
      <c r="AP523" s="94"/>
      <c r="AQ523" s="94"/>
      <c r="AR523" s="94"/>
      <c r="AS523" s="94"/>
      <c r="AT523" s="94"/>
      <c r="AU523" s="94"/>
      <c r="AV523" s="94"/>
      <c r="AW523" s="303"/>
    </row>
    <row r="524" spans="1:49" s="304" customFormat="1" x14ac:dyDescent="0.35">
      <c r="A524" s="89"/>
      <c r="B524" s="90">
        <f t="shared" ref="B524:B587" si="8">B523+1</f>
        <v>514</v>
      </c>
      <c r="C524" s="140">
        <v>46050</v>
      </c>
      <c r="D524" s="6" t="s">
        <v>16</v>
      </c>
      <c r="E524" s="6" t="s">
        <v>177</v>
      </c>
      <c r="F524" s="133" t="s">
        <v>159</v>
      </c>
      <c r="G524" s="133" t="s">
        <v>160</v>
      </c>
      <c r="H524" s="133" t="s">
        <v>161</v>
      </c>
      <c r="I524" s="133" t="s">
        <v>22</v>
      </c>
      <c r="J524" s="135" t="s">
        <v>23</v>
      </c>
      <c r="K524" s="135" t="s">
        <v>24</v>
      </c>
      <c r="L524" s="6" t="s">
        <v>176</v>
      </c>
      <c r="M524" s="93">
        <v>28</v>
      </c>
      <c r="N524" s="93">
        <v>61</v>
      </c>
      <c r="O524" s="6">
        <v>2</v>
      </c>
      <c r="P524" s="129">
        <v>2</v>
      </c>
      <c r="Q524" s="6">
        <v>0</v>
      </c>
      <c r="R524" s="98">
        <v>0.50019999999999998</v>
      </c>
      <c r="S524" s="94">
        <f>((Table3.110[[#This Row],[Sample weight, g]]*'2.1. DM'!Q105)/100)*1000</f>
        <v>469.57356109481992</v>
      </c>
      <c r="T524" s="94">
        <f>'3.2 Digest'!W524</f>
        <v>36.573561094819866</v>
      </c>
      <c r="U524" s="117">
        <v>0.34652777777777777</v>
      </c>
      <c r="V524" s="155">
        <v>40.5</v>
      </c>
      <c r="W524" s="117">
        <v>0.68194444444444446</v>
      </c>
      <c r="X524" s="96">
        <v>68</v>
      </c>
      <c r="Y524" s="96">
        <v>14.3</v>
      </c>
      <c r="Z524" s="155">
        <v>40</v>
      </c>
      <c r="AA524" s="117">
        <v>0.38541666666666669</v>
      </c>
      <c r="AB524" s="155">
        <v>57.5</v>
      </c>
      <c r="AC524" s="155">
        <v>13.3</v>
      </c>
      <c r="AD524" s="96" t="s">
        <v>568</v>
      </c>
      <c r="AE524" s="94"/>
      <c r="AF524" s="94"/>
      <c r="AG524" s="94"/>
      <c r="AH524" s="94"/>
      <c r="AI524" s="94"/>
      <c r="AJ524" s="94"/>
      <c r="AK524" s="94"/>
      <c r="AL524" s="94"/>
      <c r="AM524" s="94"/>
      <c r="AN524" s="94"/>
      <c r="AO524" s="94"/>
      <c r="AP524" s="94"/>
      <c r="AQ524" s="94"/>
      <c r="AR524" s="94"/>
      <c r="AS524" s="94"/>
      <c r="AT524" s="94"/>
      <c r="AU524" s="94"/>
      <c r="AV524" s="94"/>
      <c r="AW524" s="303"/>
    </row>
    <row r="525" spans="1:49" s="304" customFormat="1" x14ac:dyDescent="0.35">
      <c r="A525" s="89"/>
      <c r="B525" s="90">
        <f t="shared" si="8"/>
        <v>515</v>
      </c>
      <c r="C525" s="140">
        <v>46050</v>
      </c>
      <c r="D525" s="6" t="s">
        <v>16</v>
      </c>
      <c r="E525" s="6" t="s">
        <v>177</v>
      </c>
      <c r="F525" s="133" t="s">
        <v>159</v>
      </c>
      <c r="G525" s="133" t="s">
        <v>160</v>
      </c>
      <c r="H525" s="133" t="s">
        <v>161</v>
      </c>
      <c r="I525" s="133" t="s">
        <v>22</v>
      </c>
      <c r="J525" s="135" t="s">
        <v>23</v>
      </c>
      <c r="K525" s="135" t="s">
        <v>24</v>
      </c>
      <c r="L525" s="6" t="s">
        <v>176</v>
      </c>
      <c r="M525" s="93">
        <v>28</v>
      </c>
      <c r="N525" s="93">
        <v>61</v>
      </c>
      <c r="O525" s="6">
        <v>2</v>
      </c>
      <c r="P525" s="129">
        <v>3</v>
      </c>
      <c r="Q525" s="6">
        <v>0</v>
      </c>
      <c r="R525" s="98">
        <v>0.50009999999999999</v>
      </c>
      <c r="S525" s="94">
        <f>((Table3.110[[#This Row],[Sample weight, g]]*'2.1. DM'!Q105)/100)*1000</f>
        <v>469.47968393346548</v>
      </c>
      <c r="T525" s="94">
        <f>'3.2 Digest'!W525</f>
        <v>65.879683933465515</v>
      </c>
      <c r="U525" s="153">
        <v>0.34652777777777777</v>
      </c>
      <c r="V525" s="154">
        <v>41.5</v>
      </c>
      <c r="W525" s="153">
        <v>0.68263888888888891</v>
      </c>
      <c r="X525" s="91">
        <v>64</v>
      </c>
      <c r="Y525" s="91">
        <v>12.9</v>
      </c>
      <c r="Z525" s="154">
        <v>40</v>
      </c>
      <c r="AA525" s="153">
        <v>0.38541666666666669</v>
      </c>
      <c r="AB525" s="154">
        <v>58.5</v>
      </c>
      <c r="AC525" s="154">
        <v>13.3</v>
      </c>
      <c r="AD525" s="91"/>
      <c r="AE525" s="94"/>
      <c r="AF525" s="94"/>
      <c r="AG525" s="94"/>
      <c r="AH525" s="94"/>
      <c r="AI525" s="94"/>
      <c r="AJ525" s="94"/>
      <c r="AK525" s="94"/>
      <c r="AL525" s="94"/>
      <c r="AM525" s="94"/>
      <c r="AN525" s="94"/>
      <c r="AO525" s="94"/>
      <c r="AP525" s="94"/>
      <c r="AQ525" s="94"/>
      <c r="AR525" s="94"/>
      <c r="AS525" s="94"/>
      <c r="AT525" s="94"/>
      <c r="AU525" s="94"/>
      <c r="AV525" s="94"/>
      <c r="AW525" s="303"/>
    </row>
    <row r="526" spans="1:49" s="304" customFormat="1" x14ac:dyDescent="0.35">
      <c r="A526" s="89"/>
      <c r="B526" s="90">
        <f t="shared" si="8"/>
        <v>516</v>
      </c>
      <c r="C526" s="140">
        <v>46050</v>
      </c>
      <c r="D526" s="6" t="s">
        <v>16</v>
      </c>
      <c r="E526" s="6" t="s">
        <v>181</v>
      </c>
      <c r="F526" s="133" t="s">
        <v>159</v>
      </c>
      <c r="G526" s="133" t="s">
        <v>160</v>
      </c>
      <c r="H526" s="133" t="s">
        <v>161</v>
      </c>
      <c r="I526" s="133" t="s">
        <v>22</v>
      </c>
      <c r="J526" s="135" t="s">
        <v>23</v>
      </c>
      <c r="K526" s="135" t="s">
        <v>24</v>
      </c>
      <c r="L526" s="6" t="s">
        <v>180</v>
      </c>
      <c r="M526" s="93">
        <v>28</v>
      </c>
      <c r="N526" s="93">
        <v>61</v>
      </c>
      <c r="O526" s="6">
        <v>2</v>
      </c>
      <c r="P526" s="6">
        <v>1</v>
      </c>
      <c r="Q526" s="6">
        <v>0</v>
      </c>
      <c r="R526" s="98">
        <v>0.50029999999999997</v>
      </c>
      <c r="S526" s="94">
        <f>((Table3.110[[#This Row],[Sample weight, g]]*'2.1. DM'!Q107)/100)*1000</f>
        <v>477.86604407189026</v>
      </c>
      <c r="T526" s="94">
        <f>'3.2 Digest'!W526</f>
        <v>150.76604407189029</v>
      </c>
      <c r="U526" s="117">
        <v>0.34722222222222221</v>
      </c>
      <c r="V526" s="155">
        <v>41.5</v>
      </c>
      <c r="W526" s="117">
        <v>0.68263888888888891</v>
      </c>
      <c r="X526" s="96">
        <v>66</v>
      </c>
      <c r="Y526" s="96">
        <v>12.9</v>
      </c>
      <c r="Z526" s="155">
        <v>40</v>
      </c>
      <c r="AA526" s="117">
        <v>0.38680555555555557</v>
      </c>
      <c r="AB526" s="155">
        <v>58.5</v>
      </c>
      <c r="AC526" s="155">
        <v>13</v>
      </c>
      <c r="AD526" s="96"/>
      <c r="AE526" s="94">
        <f>Table3.110[[#This Row],[Gas 8h, ml]]-Table3.110[[#This Row],[Gas 0h, ml]]</f>
        <v>24.5</v>
      </c>
      <c r="AF526" s="94">
        <f>Table3.110[[#This Row],[Gas 24h, ml]]-Table3.110[[#This Row],[V8 Push back, ml]]</f>
        <v>18.5</v>
      </c>
      <c r="AG526" s="94">
        <f>Table3.110[[#This Row],[GP 8h, ml]]-(AVERAGE(AE$479,AE$480,AE$660,AE$661,AE$662,AE$663))*AG$8</f>
        <v>21.107474101643646</v>
      </c>
      <c r="AH526" s="94">
        <f>Table3.110[[#This Row],[GP 8-24h, ml]]-(AVERAGE(AF$479,AF$480,AF$660,AF$661,AF$662,AF$663))*AG$8</f>
        <v>14.185592064046812</v>
      </c>
      <c r="AI526" s="94">
        <f>Table3.110[[#This Row],[Net gas 8-24h, ml]]+Table3.110[[#This Row],[Net gas 8h, ml]]</f>
        <v>35.293066165690462</v>
      </c>
      <c r="AJ526" s="94">
        <f>Table3.110[[#This Row],[Net gas 8h, ml]]*Table3.110[[#This Row],[CH4 8h %]]%</f>
        <v>2.7228641591120306</v>
      </c>
      <c r="AK526" s="94">
        <f>Table3.110[[#This Row],[Net gas 8-24h, ml]]*Table3.110[[#This Row],[CH4 24h, %]]%</f>
        <v>1.8441269683260857</v>
      </c>
      <c r="AL526" s="94">
        <f>Table3.110[[#This Row],[CH4 8-24h, ml]]+Table3.110[[#This Row],[CH4 8h, ml]]</f>
        <v>4.5669911274381167</v>
      </c>
      <c r="AM526" s="94">
        <f>(Table3.110[[#This Row],[Net gas 24h, ml]]/Table3.110[[#This Row],[DM Incubated, mg]])*1000</f>
        <v>73.855563925318293</v>
      </c>
      <c r="AN526" s="94">
        <f>'3.2 Digest'!X526</f>
        <v>31.549855015270563</v>
      </c>
      <c r="AO526" s="94">
        <f>Table3.110[[#This Row],[Digested feed, mg]]/Table3.110[[#This Row],[Net gas 24h, ml]]</f>
        <v>4.2718318483321482</v>
      </c>
      <c r="AP526" s="94">
        <f>Table3.110[[#This Row],[CH4 8h, ml]]/Table3.110[[#This Row],[Net gas 8h, ml]]%</f>
        <v>12.9</v>
      </c>
      <c r="AQ526" s="94">
        <f>Table3.110[[#This Row],[CH4 24h, ml]]/Table3.110[[#This Row],[Net gas 24h, ml]]%</f>
        <v>12.94019370829797</v>
      </c>
      <c r="AR526" s="94">
        <f>Table3.110[[#This Row],[CH4 24h, ml]]/Table3.110[[#This Row],[DM Incubated, mg]]*1000</f>
        <v>9.5570530362920252</v>
      </c>
      <c r="AS526" s="94">
        <f>Table3.110[[#This Row],[CH4 24h, ml]]/Table3.110[[#This Row],[Digested feed, mg]]*1000</f>
        <v>30.29190793956511</v>
      </c>
      <c r="AT526" s="94">
        <f>Table3.110[[#This Row],[CH4 24h, ml]]/'3.2 Digest'!AA526</f>
        <v>-0.17614070868971257</v>
      </c>
      <c r="AU526" s="94">
        <f>((Table3.110[[#This Row],[CH4 24h, ml]]/28.9)*16.04)/Table3.110[[#This Row],[DM Incubated, mg]]*1000</f>
        <v>5.3043297820804174</v>
      </c>
      <c r="AV526" s="94">
        <f>((Table3.110[[#This Row],[CH4 24h, ml]]/28.9)*16.04)/Table3.110[[#This Row],[Digested feed, mg]]*1000</f>
        <v>16.812532987910881</v>
      </c>
      <c r="AW526" s="303"/>
    </row>
    <row r="527" spans="1:49" s="304" customFormat="1" x14ac:dyDescent="0.35">
      <c r="A527" s="89"/>
      <c r="B527" s="90">
        <f t="shared" si="8"/>
        <v>517</v>
      </c>
      <c r="C527" s="140">
        <v>46050</v>
      </c>
      <c r="D527" s="6" t="s">
        <v>16</v>
      </c>
      <c r="E527" s="6" t="s">
        <v>181</v>
      </c>
      <c r="F527" s="133" t="s">
        <v>159</v>
      </c>
      <c r="G527" s="133" t="s">
        <v>160</v>
      </c>
      <c r="H527" s="133" t="s">
        <v>161</v>
      </c>
      <c r="I527" s="133" t="s">
        <v>22</v>
      </c>
      <c r="J527" s="135" t="s">
        <v>23</v>
      </c>
      <c r="K527" s="135" t="s">
        <v>24</v>
      </c>
      <c r="L527" s="6" t="s">
        <v>180</v>
      </c>
      <c r="M527" s="93">
        <v>28</v>
      </c>
      <c r="N527" s="93">
        <v>61</v>
      </c>
      <c r="O527" s="6">
        <v>2</v>
      </c>
      <c r="P527" s="129">
        <v>2</v>
      </c>
      <c r="Q527" s="6">
        <v>0</v>
      </c>
      <c r="R527" s="98">
        <v>0.50019999999999998</v>
      </c>
      <c r="S527" s="94">
        <f>((Table3.110[[#This Row],[Sample weight, g]]*'2.1. DM'!Q107)/100)*1000</f>
        <v>477.7705281726154</v>
      </c>
      <c r="T527" s="94">
        <f>'3.2 Digest'!W527</f>
        <v>164.17052817261543</v>
      </c>
      <c r="U527" s="117">
        <v>0.34722222222222221</v>
      </c>
      <c r="V527" s="155">
        <v>41.5</v>
      </c>
      <c r="W527" s="117">
        <v>0.68333333333333335</v>
      </c>
      <c r="X527" s="96">
        <v>64.5</v>
      </c>
      <c r="Y527" s="96">
        <v>13.3</v>
      </c>
      <c r="Z527" s="155">
        <v>40</v>
      </c>
      <c r="AA527" s="117">
        <v>0.38680555555555557</v>
      </c>
      <c r="AB527" s="155">
        <v>52.5</v>
      </c>
      <c r="AC527" s="155">
        <v>13.2</v>
      </c>
      <c r="AD527" s="96"/>
      <c r="AE527" s="94">
        <f>Table3.110[[#This Row],[Gas 8h, ml]]-Table3.110[[#This Row],[Gas 0h, ml]]</f>
        <v>23</v>
      </c>
      <c r="AF527" s="94">
        <f>Table3.110[[#This Row],[Gas 24h, ml]]-Table3.110[[#This Row],[V8 Push back, ml]]</f>
        <v>12.5</v>
      </c>
      <c r="AG527" s="94">
        <f>Table3.110[[#This Row],[GP 8h, ml]]-(AVERAGE(AE$479,AE$480,AE$660,AE$661,AE$662,AE$663))*AG$8</f>
        <v>19.607474101643646</v>
      </c>
      <c r="AH527" s="94">
        <f>Table3.110[[#This Row],[GP 8-24h, ml]]-(AVERAGE(AF$479,AF$480,AF$660,AF$661,AF$662,AF$663))*AG$8</f>
        <v>8.1855920640468121</v>
      </c>
      <c r="AI527" s="94">
        <f>Table3.110[[#This Row],[Net gas 8-24h, ml]]+Table3.110[[#This Row],[Net gas 8h, ml]]</f>
        <v>27.793066165690458</v>
      </c>
      <c r="AJ527" s="94">
        <f>Table3.110[[#This Row],[Net gas 8h, ml]]*Table3.110[[#This Row],[CH4 8h %]]%</f>
        <v>2.607794055518605</v>
      </c>
      <c r="AK527" s="94">
        <f>Table3.110[[#This Row],[Net gas 8-24h, ml]]*Table3.110[[#This Row],[CH4 24h, %]]%</f>
        <v>1.0804981524541792</v>
      </c>
      <c r="AL527" s="94">
        <f>Table3.110[[#This Row],[CH4 8-24h, ml]]+Table3.110[[#This Row],[CH4 8h, ml]]</f>
        <v>3.6882922079727845</v>
      </c>
      <c r="AM527" s="94">
        <f>(Table3.110[[#This Row],[Net gas 24h, ml]]/Table3.110[[#This Row],[DM Incubated, mg]])*1000</f>
        <v>58.172416519691659</v>
      </c>
      <c r="AN527" s="94">
        <f>'3.2 Digest'!X527</f>
        <v>34.361794730314905</v>
      </c>
      <c r="AO527" s="94">
        <f>Table3.110[[#This Row],[Digested feed, mg]]/Table3.110[[#This Row],[Net gas 24h, ml]]</f>
        <v>5.906887969607256</v>
      </c>
      <c r="AP527" s="94">
        <f>Table3.110[[#This Row],[CH4 8h, ml]]/Table3.110[[#This Row],[Net gas 8h, ml]]%</f>
        <v>13.3</v>
      </c>
      <c r="AQ527" s="94">
        <f>Table3.110[[#This Row],[CH4 24h, ml]]/Table3.110[[#This Row],[Net gas 24h, ml]]%</f>
        <v>13.270548078375924</v>
      </c>
      <c r="AR527" s="94">
        <f>Table3.110[[#This Row],[CH4 24h, ml]]/Table3.110[[#This Row],[DM Incubated, mg]]*1000</f>
        <v>7.7197985025987794</v>
      </c>
      <c r="AS527" s="94">
        <f>Table3.110[[#This Row],[CH4 24h, ml]]/Table3.110[[#This Row],[Digested feed, mg]]*1000</f>
        <v>22.466226118824245</v>
      </c>
      <c r="AT527" s="94">
        <f>Table3.110[[#This Row],[CH4 24h, ml]]/'3.2 Digest'!AA527</f>
        <v>-0.17770667876812996</v>
      </c>
      <c r="AU527" s="94">
        <f>((Table3.110[[#This Row],[CH4 24h, ml]]/28.9)*16.04)/Table3.110[[#This Row],[DM Incubated, mg]]*1000</f>
        <v>4.2846217294700493</v>
      </c>
      <c r="AV527" s="94">
        <f>((Table3.110[[#This Row],[CH4 24h, ml]]/28.9)*16.04)/Table3.110[[#This Row],[Digested feed, mg]]*1000</f>
        <v>12.469144184980651</v>
      </c>
      <c r="AW527" s="303"/>
    </row>
    <row r="528" spans="1:49" s="304" customFormat="1" x14ac:dyDescent="0.35">
      <c r="A528" s="89"/>
      <c r="B528" s="90">
        <f t="shared" si="8"/>
        <v>518</v>
      </c>
      <c r="C528" s="140">
        <v>46050</v>
      </c>
      <c r="D528" s="6" t="s">
        <v>16</v>
      </c>
      <c r="E528" s="6" t="s">
        <v>181</v>
      </c>
      <c r="F528" s="133" t="s">
        <v>159</v>
      </c>
      <c r="G528" s="133" t="s">
        <v>160</v>
      </c>
      <c r="H528" s="133" t="s">
        <v>161</v>
      </c>
      <c r="I528" s="133" t="s">
        <v>22</v>
      </c>
      <c r="J528" s="135" t="s">
        <v>23</v>
      </c>
      <c r="K528" s="135" t="s">
        <v>24</v>
      </c>
      <c r="L528" s="6" t="s">
        <v>180</v>
      </c>
      <c r="M528" s="93">
        <v>28</v>
      </c>
      <c r="N528" s="93">
        <v>61</v>
      </c>
      <c r="O528" s="6">
        <v>2</v>
      </c>
      <c r="P528" s="129">
        <v>3</v>
      </c>
      <c r="Q528" s="6">
        <v>0</v>
      </c>
      <c r="R528" s="98">
        <v>0.50039999999999996</v>
      </c>
      <c r="S528" s="94">
        <f>((Table3.110[[#This Row],[Sample weight, g]]*'2.1. DM'!Q107)/100)*1000</f>
        <v>477.961559971165</v>
      </c>
      <c r="T528" s="94">
        <f>'3.2 Digest'!W528</f>
        <v>113.46155997116495</v>
      </c>
      <c r="U528" s="117">
        <v>0.34722222222222221</v>
      </c>
      <c r="V528" s="155">
        <v>40.5</v>
      </c>
      <c r="W528" s="117">
        <v>0.68333333333333335</v>
      </c>
      <c r="X528" s="96">
        <v>65.5</v>
      </c>
      <c r="Y528" s="96">
        <v>13.2</v>
      </c>
      <c r="Z528" s="155">
        <v>40</v>
      </c>
      <c r="AA528" s="117">
        <v>0.38680555555555557</v>
      </c>
      <c r="AB528" s="155">
        <v>57.5</v>
      </c>
      <c r="AC528" s="155">
        <v>13.3</v>
      </c>
      <c r="AD528" s="96"/>
      <c r="AE528" s="94">
        <f>Table3.110[[#This Row],[Gas 8h, ml]]-Table3.110[[#This Row],[Gas 0h, ml]]</f>
        <v>25</v>
      </c>
      <c r="AF528" s="94">
        <f>Table3.110[[#This Row],[Gas 24h, ml]]-Table3.110[[#This Row],[V8 Push back, ml]]</f>
        <v>17.5</v>
      </c>
      <c r="AG528" s="94">
        <f>Table3.110[[#This Row],[GP 8h, ml]]-(AVERAGE(AE$479,AE$480,AE$660,AE$661,AE$662,AE$663))*AG$8</f>
        <v>21.607474101643646</v>
      </c>
      <c r="AH528" s="94">
        <f>Table3.110[[#This Row],[GP 8-24h, ml]]-(AVERAGE(AF$479,AF$480,AF$660,AF$661,AF$662,AF$663))*AG$8</f>
        <v>13.185592064046812</v>
      </c>
      <c r="AI528" s="94">
        <f>Table3.110[[#This Row],[Net gas 8-24h, ml]]+Table3.110[[#This Row],[Net gas 8h, ml]]</f>
        <v>34.793066165690462</v>
      </c>
      <c r="AJ528" s="94">
        <f>Table3.110[[#This Row],[Net gas 8h, ml]]*Table3.110[[#This Row],[CH4 8h %]]%</f>
        <v>2.8521865814169614</v>
      </c>
      <c r="AK528" s="94">
        <f>Table3.110[[#This Row],[Net gas 8-24h, ml]]*Table3.110[[#This Row],[CH4 24h, %]]%</f>
        <v>1.7536837445182261</v>
      </c>
      <c r="AL528" s="94">
        <f>Table3.110[[#This Row],[CH4 8-24h, ml]]+Table3.110[[#This Row],[CH4 8h, ml]]</f>
        <v>4.6058703259351876</v>
      </c>
      <c r="AM528" s="94">
        <f>(Table3.110[[#This Row],[Net gas 24h, ml]]/Table3.110[[#This Row],[DM Incubated, mg]])*1000</f>
        <v>72.794695388870807</v>
      </c>
      <c r="AN528" s="94"/>
      <c r="AO528" s="94">
        <f>Table3.110[[#This Row],[Digested feed, mg]]/Table3.110[[#This Row],[Net gas 24h, ml]]</f>
        <v>3.2610394102905969</v>
      </c>
      <c r="AP528" s="94">
        <f>Table3.110[[#This Row],[CH4 8h, ml]]/Table3.110[[#This Row],[Net gas 8h, ml]]%</f>
        <v>13.200000000000001</v>
      </c>
      <c r="AQ528" s="94">
        <f>Table3.110[[#This Row],[CH4 24h, ml]]/Table3.110[[#This Row],[Net gas 24h, ml]]%</f>
        <v>13.237897183310189</v>
      </c>
      <c r="AR528" s="94">
        <f>Table3.110[[#This Row],[CH4 24h, ml]]/Table3.110[[#This Row],[DM Incubated, mg]]*1000</f>
        <v>9.6364869304825582</v>
      </c>
      <c r="AS528" s="94">
        <f>Table3.110[[#This Row],[CH4 24h, ml]]/Table3.110[[#This Row],[Digested feed, mg]]*1000</f>
        <v>40.594103651542611</v>
      </c>
      <c r="AT528" s="94">
        <f>Table3.110[[#This Row],[CH4 24h, ml]]/'3.2 Digest'!AA528</f>
        <v>-0.11429406125176496</v>
      </c>
      <c r="AU528" s="94">
        <f>((Table3.110[[#This Row],[CH4 24h, ml]]/28.9)*16.04)/Table3.110[[#This Row],[DM Incubated, mg]]*1000</f>
        <v>5.348416967644992</v>
      </c>
      <c r="AV528" s="94">
        <f>((Table3.110[[#This Row],[CH4 24h, ml]]/28.9)*16.04)/Table3.110[[#This Row],[Digested feed, mg]]*1000</f>
        <v>22.530429846738528</v>
      </c>
      <c r="AW528" s="303"/>
    </row>
    <row r="529" spans="1:49" s="304" customFormat="1" x14ac:dyDescent="0.35">
      <c r="A529" s="89"/>
      <c r="B529" s="90">
        <f t="shared" si="8"/>
        <v>519</v>
      </c>
      <c r="C529" s="140">
        <v>46050</v>
      </c>
      <c r="D529" s="6" t="s">
        <v>16</v>
      </c>
      <c r="E529" s="6" t="s">
        <v>183</v>
      </c>
      <c r="F529" s="133" t="s">
        <v>19</v>
      </c>
      <c r="G529" s="133" t="s">
        <v>20</v>
      </c>
      <c r="H529" s="133" t="s">
        <v>21</v>
      </c>
      <c r="I529" s="133" t="s">
        <v>22</v>
      </c>
      <c r="J529" s="135" t="s">
        <v>23</v>
      </c>
      <c r="K529" s="135" t="s">
        <v>24</v>
      </c>
      <c r="L529" s="6" t="s">
        <v>182</v>
      </c>
      <c r="M529" s="93">
        <v>28</v>
      </c>
      <c r="N529" s="93">
        <v>61</v>
      </c>
      <c r="O529" s="6">
        <v>2</v>
      </c>
      <c r="P529" s="129">
        <v>1</v>
      </c>
      <c r="Q529" s="6">
        <v>0</v>
      </c>
      <c r="R529" s="98">
        <v>0.5</v>
      </c>
      <c r="S529" s="94">
        <f>((Table3.110[[#This Row],[Sample weight, g]]*'2.1. DM'!Q109)/100)*1000</f>
        <v>479.27914146503963</v>
      </c>
      <c r="T529" s="94">
        <f>'3.2 Digest'!W529</f>
        <v>118.67914146503972</v>
      </c>
      <c r="U529" s="153">
        <v>0.34791666666666665</v>
      </c>
      <c r="V529" s="154">
        <v>41.5</v>
      </c>
      <c r="W529" s="153">
        <v>0.68472222222222223</v>
      </c>
      <c r="X529" s="91">
        <v>75</v>
      </c>
      <c r="Y529" s="91">
        <v>14</v>
      </c>
      <c r="Z529" s="154">
        <v>40</v>
      </c>
      <c r="AA529" s="153">
        <v>0.38750000000000001</v>
      </c>
      <c r="AB529" s="154">
        <v>68.5</v>
      </c>
      <c r="AC529" s="154">
        <v>18</v>
      </c>
      <c r="AD529" s="91"/>
      <c r="AE529" s="94">
        <f>Table3.110[[#This Row],[Gas 8h, ml]]-Table3.110[[#This Row],[Gas 0h, ml]]</f>
        <v>33.5</v>
      </c>
      <c r="AF529" s="94">
        <f>Table3.110[[#This Row],[Gas 24h, ml]]-Table3.110[[#This Row],[V8 Push back, ml]]</f>
        <v>28.5</v>
      </c>
      <c r="AG529" s="94">
        <f>Table3.110[[#This Row],[GP 8h, ml]]-(AVERAGE(AE$479,AE$480,AE$660,AE$661,AE$662,AE$663))*AG$8</f>
        <v>30.107474101643646</v>
      </c>
      <c r="AH529" s="94">
        <f>Table3.110[[#This Row],[GP 8-24h, ml]]-(AVERAGE(AF$479,AF$480,AF$660,AF$661,AF$662,AF$663))*AG$8</f>
        <v>24.185592064046812</v>
      </c>
      <c r="AI529" s="94">
        <f>Table3.110[[#This Row],[Net gas 8-24h, ml]]+Table3.110[[#This Row],[Net gas 8h, ml]]</f>
        <v>54.293066165690462</v>
      </c>
      <c r="AJ529" s="94">
        <f>Table3.110[[#This Row],[Net gas 8h, ml]]*Table3.110[[#This Row],[CH4 8h %]]%</f>
        <v>4.215046374230111</v>
      </c>
      <c r="AK529" s="94">
        <f>Table3.110[[#This Row],[Net gas 8-24h, ml]]*Table3.110[[#This Row],[CH4 24h, %]]%</f>
        <v>4.353406571528426</v>
      </c>
      <c r="AL529" s="94">
        <f>Table3.110[[#This Row],[CH4 8-24h, ml]]+Table3.110[[#This Row],[CH4 8h, ml]]</f>
        <v>8.568452945758537</v>
      </c>
      <c r="AM529" s="94">
        <f>(Table3.110[[#This Row],[Net gas 24h, ml]]/Table3.110[[#This Row],[DM Incubated, mg]])*1000</f>
        <v>113.28067814453551</v>
      </c>
      <c r="AN529" s="94">
        <f>'3.2 Digest'!X529</f>
        <v>24.762008440898654</v>
      </c>
      <c r="AO529" s="94">
        <f>Table3.110[[#This Row],[Digested feed, mg]]/Table3.110[[#This Row],[Net gas 24h, ml]]</f>
        <v>2.1858986763218926</v>
      </c>
      <c r="AP529" s="94">
        <f>Table3.110[[#This Row],[CH4 8h, ml]]/Table3.110[[#This Row],[Net gas 8h, ml]]%</f>
        <v>14.000000000000002</v>
      </c>
      <c r="AQ529" s="94">
        <f>Table3.110[[#This Row],[CH4 24h, ml]]/Table3.110[[#This Row],[Net gas 24h, ml]]%</f>
        <v>15.781854941862205</v>
      </c>
      <c r="AR529" s="94">
        <f>Table3.110[[#This Row],[CH4 24h, ml]]/Table3.110[[#This Row],[DM Incubated, mg]]*1000</f>
        <v>17.877792301928398</v>
      </c>
      <c r="AS529" s="94">
        <f>Table3.110[[#This Row],[CH4 24h, ml]]/Table3.110[[#This Row],[Digested feed, mg]]*1000</f>
        <v>72.198474306309478</v>
      </c>
      <c r="AT529" s="94">
        <f>Table3.110[[#This Row],[CH4 24h, ml]]/'3.2 Digest'!AA529</f>
        <v>-0.55612296957314522</v>
      </c>
      <c r="AU529" s="94">
        <f>((Table3.110[[#This Row],[CH4 24h, ml]]/28.9)*16.04)/Table3.110[[#This Row],[DM Incubated, mg]]*1000</f>
        <v>9.9224840319353476</v>
      </c>
      <c r="AV529" s="94">
        <f>((Table3.110[[#This Row],[CH4 24h, ml]]/28.9)*16.04)/Table3.110[[#This Row],[Digested feed, mg]]*1000</f>
        <v>40.071402348553768</v>
      </c>
      <c r="AW529" s="303"/>
    </row>
    <row r="530" spans="1:49" s="304" customFormat="1" x14ac:dyDescent="0.35">
      <c r="A530" s="89"/>
      <c r="B530" s="90">
        <f t="shared" si="8"/>
        <v>520</v>
      </c>
      <c r="C530" s="140">
        <v>46050</v>
      </c>
      <c r="D530" s="6" t="s">
        <v>16</v>
      </c>
      <c r="E530" s="6" t="s">
        <v>183</v>
      </c>
      <c r="F530" s="133" t="s">
        <v>19</v>
      </c>
      <c r="G530" s="133" t="s">
        <v>20</v>
      </c>
      <c r="H530" s="133" t="s">
        <v>21</v>
      </c>
      <c r="I530" s="133" t="s">
        <v>22</v>
      </c>
      <c r="J530" s="135" t="s">
        <v>23</v>
      </c>
      <c r="K530" s="135" t="s">
        <v>24</v>
      </c>
      <c r="L530" s="6" t="s">
        <v>182</v>
      </c>
      <c r="M530" s="93">
        <v>28</v>
      </c>
      <c r="N530" s="93">
        <v>61</v>
      </c>
      <c r="O530" s="6">
        <v>2</v>
      </c>
      <c r="P530" s="129">
        <v>2</v>
      </c>
      <c r="Q530" s="6">
        <v>0</v>
      </c>
      <c r="R530" s="98">
        <v>0.50039999999999996</v>
      </c>
      <c r="S530" s="94">
        <f>((Table3.110[[#This Row],[Sample weight, g]]*'2.1. DM'!Q109)/100)*1000</f>
        <v>479.66256477821162</v>
      </c>
      <c r="T530" s="94">
        <f>'3.2 Digest'!W530</f>
        <v>136.86256477821161</v>
      </c>
      <c r="U530" s="117">
        <v>0.34930555555555554</v>
      </c>
      <c r="V530" s="155">
        <v>41</v>
      </c>
      <c r="W530" s="117">
        <v>0.68541666666666667</v>
      </c>
      <c r="X530" s="96">
        <v>74</v>
      </c>
      <c r="Y530" s="96">
        <v>14.5</v>
      </c>
      <c r="Z530" s="155">
        <v>40</v>
      </c>
      <c r="AA530" s="117">
        <v>0.38819444444444445</v>
      </c>
      <c r="AB530" s="155">
        <v>67.5</v>
      </c>
      <c r="AC530" s="155">
        <v>18.600000000000001</v>
      </c>
      <c r="AD530" s="96"/>
      <c r="AE530" s="94">
        <f>Table3.110[[#This Row],[Gas 8h, ml]]-Table3.110[[#This Row],[Gas 0h, ml]]</f>
        <v>33</v>
      </c>
      <c r="AF530" s="94">
        <f>Table3.110[[#This Row],[Gas 24h, ml]]-Table3.110[[#This Row],[V8 Push back, ml]]</f>
        <v>27.5</v>
      </c>
      <c r="AG530" s="94">
        <f>Table3.110[[#This Row],[GP 8h, ml]]-(AVERAGE(AE$479,AE$480,AE$660,AE$661,AE$662,AE$663))*AG$8</f>
        <v>29.607474101643646</v>
      </c>
      <c r="AH530" s="94">
        <f>Table3.110[[#This Row],[GP 8-24h, ml]]-(AVERAGE(AF$479,AF$480,AF$660,AF$661,AF$662,AF$663))*AG$8</f>
        <v>23.185592064046812</v>
      </c>
      <c r="AI530" s="94">
        <f>Table3.110[[#This Row],[Net gas 8-24h, ml]]+Table3.110[[#This Row],[Net gas 8h, ml]]</f>
        <v>52.793066165690462</v>
      </c>
      <c r="AJ530" s="94">
        <f>Table3.110[[#This Row],[Net gas 8h, ml]]*Table3.110[[#This Row],[CH4 8h %]]%</f>
        <v>4.2930837447383281</v>
      </c>
      <c r="AK530" s="94">
        <f>Table3.110[[#This Row],[Net gas 8-24h, ml]]*Table3.110[[#This Row],[CH4 24h, %]]%</f>
        <v>4.3125201239127078</v>
      </c>
      <c r="AL530" s="94">
        <f>Table3.110[[#This Row],[CH4 8-24h, ml]]+Table3.110[[#This Row],[CH4 8h, ml]]</f>
        <v>8.6056038686510359</v>
      </c>
      <c r="AM530" s="94">
        <f>(Table3.110[[#This Row],[Net gas 24h, ml]]/Table3.110[[#This Row],[DM Incubated, mg]])*1000</f>
        <v>110.06292765436291</v>
      </c>
      <c r="AN530" s="94">
        <f>'3.2 Digest'!X530</f>
        <v>28.533092809003076</v>
      </c>
      <c r="AO530" s="94">
        <f>Table3.110[[#This Row],[Digested feed, mg]]/Table3.110[[#This Row],[Net gas 24h, ml]]</f>
        <v>2.5924344751765305</v>
      </c>
      <c r="AP530" s="94">
        <f>Table3.110[[#This Row],[CH4 8h, ml]]/Table3.110[[#This Row],[Net gas 8h, ml]]%</f>
        <v>14.5</v>
      </c>
      <c r="AQ530" s="94">
        <f>Table3.110[[#This Row],[CH4 24h, ml]]/Table3.110[[#This Row],[Net gas 24h, ml]]%</f>
        <v>16.300632817276501</v>
      </c>
      <c r="AR530" s="94">
        <f>Table3.110[[#This Row],[CH4 24h, ml]]/Table3.110[[#This Row],[DM Incubated, mg]]*1000</f>
        <v>17.940953704882372</v>
      </c>
      <c r="AS530" s="94">
        <f>Table3.110[[#This Row],[CH4 24h, ml]]/Table3.110[[#This Row],[Digested feed, mg]]*1000</f>
        <v>62.877704232684671</v>
      </c>
      <c r="AT530" s="94">
        <f>Table3.110[[#This Row],[CH4 24h, ml]]/'3.2 Digest'!AA530</f>
        <v>-0.89427300730698667</v>
      </c>
      <c r="AU530" s="94">
        <f>((Table3.110[[#This Row],[CH4 24h, ml]]/28.9)*16.04)/Table3.110[[#This Row],[DM Incubated, mg]]*1000</f>
        <v>9.9575397033326389</v>
      </c>
      <c r="AV530" s="94">
        <f>((Table3.110[[#This Row],[CH4 24h, ml]]/28.9)*16.04)/Table3.110[[#This Row],[Digested feed, mg]]*1000</f>
        <v>34.898213698694192</v>
      </c>
      <c r="AW530" s="303"/>
    </row>
    <row r="531" spans="1:49" s="304" customFormat="1" x14ac:dyDescent="0.35">
      <c r="A531" s="89"/>
      <c r="B531" s="90">
        <f t="shared" si="8"/>
        <v>521</v>
      </c>
      <c r="C531" s="140">
        <v>46050</v>
      </c>
      <c r="D531" s="6" t="s">
        <v>16</v>
      </c>
      <c r="E531" s="6" t="s">
        <v>183</v>
      </c>
      <c r="F531" s="133" t="s">
        <v>19</v>
      </c>
      <c r="G531" s="133" t="s">
        <v>20</v>
      </c>
      <c r="H531" s="133" t="s">
        <v>21</v>
      </c>
      <c r="I531" s="133" t="s">
        <v>22</v>
      </c>
      <c r="J531" s="135" t="s">
        <v>23</v>
      </c>
      <c r="K531" s="135" t="s">
        <v>24</v>
      </c>
      <c r="L531" s="6" t="s">
        <v>182</v>
      </c>
      <c r="M531" s="93">
        <v>28</v>
      </c>
      <c r="N531" s="93">
        <v>61</v>
      </c>
      <c r="O531" s="6">
        <v>2</v>
      </c>
      <c r="P531" s="129">
        <v>3</v>
      </c>
      <c r="Q531" s="6">
        <v>0</v>
      </c>
      <c r="R531" s="98">
        <v>0.50009999999999999</v>
      </c>
      <c r="S531" s="94">
        <f>((Table3.110[[#This Row],[Sample weight, g]]*'2.1. DM'!Q109)/100)*1000</f>
        <v>479.37499729333268</v>
      </c>
      <c r="T531" s="94">
        <f>'3.2 Digest'!W531</f>
        <v>86.074997293332729</v>
      </c>
      <c r="U531" s="153">
        <v>0.35</v>
      </c>
      <c r="V531" s="154">
        <v>41</v>
      </c>
      <c r="W531" s="153">
        <v>0.68541666666666667</v>
      </c>
      <c r="X531" s="91">
        <v>73.5</v>
      </c>
      <c r="Y531" s="91">
        <v>14.9</v>
      </c>
      <c r="Z531" s="154">
        <v>40</v>
      </c>
      <c r="AA531" s="153">
        <v>0.38819444444444445</v>
      </c>
      <c r="AB531" s="154">
        <v>68</v>
      </c>
      <c r="AC531" s="154">
        <v>18.5</v>
      </c>
      <c r="AD531" s="91"/>
      <c r="AE531" s="94">
        <f>Table3.110[[#This Row],[Gas 8h, ml]]-Table3.110[[#This Row],[Gas 0h, ml]]</f>
        <v>32.5</v>
      </c>
      <c r="AF531" s="94">
        <f>Table3.110[[#This Row],[Gas 24h, ml]]-Table3.110[[#This Row],[V8 Push back, ml]]</f>
        <v>28</v>
      </c>
      <c r="AG531" s="94">
        <f>Table3.110[[#This Row],[GP 8h, ml]]-(AVERAGE(AE$479,AE$480,AE$660,AE$661,AE$662,AE$663))*AG$8</f>
        <v>29.107474101643646</v>
      </c>
      <c r="AH531" s="94">
        <f>Table3.110[[#This Row],[GP 8-24h, ml]]-(AVERAGE(AF$479,AF$480,AF$660,AF$661,AF$662,AF$663))*AG$8</f>
        <v>23.685592064046812</v>
      </c>
      <c r="AI531" s="94">
        <f>Table3.110[[#This Row],[Net gas 8-24h, ml]]+Table3.110[[#This Row],[Net gas 8h, ml]]</f>
        <v>52.793066165690462</v>
      </c>
      <c r="AJ531" s="94">
        <f>Table3.110[[#This Row],[Net gas 8h, ml]]*Table3.110[[#This Row],[CH4 8h %]]%</f>
        <v>4.3370136411449032</v>
      </c>
      <c r="AK531" s="94">
        <f>Table3.110[[#This Row],[Net gas 8-24h, ml]]*Table3.110[[#This Row],[CH4 24h, %]]%</f>
        <v>4.3818345318486598</v>
      </c>
      <c r="AL531" s="94">
        <f>Table3.110[[#This Row],[CH4 8-24h, ml]]+Table3.110[[#This Row],[CH4 8h, ml]]</f>
        <v>8.7188481729935638</v>
      </c>
      <c r="AM531" s="94">
        <f>(Table3.110[[#This Row],[Net gas 24h, ml]]/Table3.110[[#This Row],[DM Incubated, mg]])*1000</f>
        <v>110.12895220604516</v>
      </c>
      <c r="AN531" s="94">
        <f>'3.2 Digest'!X531</f>
        <v>17.955670983954732</v>
      </c>
      <c r="AO531" s="94">
        <f>Table3.110[[#This Row],[Digested feed, mg]]/Table3.110[[#This Row],[Net gas 24h, ml]]</f>
        <v>1.6304223934102877</v>
      </c>
      <c r="AP531" s="94">
        <f>Table3.110[[#This Row],[CH4 8h, ml]]/Table3.110[[#This Row],[Net gas 8h, ml]]%</f>
        <v>14.899999999999999</v>
      </c>
      <c r="AQ531" s="94">
        <f>Table3.110[[#This Row],[CH4 24h, ml]]/Table3.110[[#This Row],[Net gas 24h, ml]]%</f>
        <v>16.515138835902341</v>
      </c>
      <c r="AR531" s="94">
        <f>Table3.110[[#This Row],[CH4 24h, ml]]/Table3.110[[#This Row],[DM Incubated, mg]]*1000</f>
        <v>18.187949355352892</v>
      </c>
      <c r="AS531" s="94">
        <f>Table3.110[[#This Row],[CH4 24h, ml]]/Table3.110[[#This Row],[Digested feed, mg]]*1000</f>
        <v>101.2936212275538</v>
      </c>
      <c r="AT531" s="94">
        <f>Table3.110[[#This Row],[CH4 24h, ml]]/'3.2 Digest'!AA531</f>
        <v>-0.3373160383489644</v>
      </c>
      <c r="AU531" s="94">
        <f>((Table3.110[[#This Row],[CH4 24h, ml]]/28.9)*16.04)/Table3.110[[#This Row],[DM Incubated, mg]]*1000</f>
        <v>10.094626562624926</v>
      </c>
      <c r="AV531" s="94">
        <f>((Table3.110[[#This Row],[CH4 24h, ml]]/28.9)*16.04)/Table3.110[[#This Row],[Digested feed, mg]]*1000</f>
        <v>56.219712266088685</v>
      </c>
      <c r="AW531" s="303"/>
    </row>
    <row r="532" spans="1:49" s="304" customFormat="1" x14ac:dyDescent="0.35">
      <c r="A532" s="89"/>
      <c r="B532" s="90">
        <f t="shared" si="8"/>
        <v>522</v>
      </c>
      <c r="C532" s="140">
        <v>46050</v>
      </c>
      <c r="D532" s="6" t="s">
        <v>16</v>
      </c>
      <c r="E532" s="6" t="s">
        <v>185</v>
      </c>
      <c r="F532" s="133" t="s">
        <v>19</v>
      </c>
      <c r="G532" s="133" t="s">
        <v>20</v>
      </c>
      <c r="H532" s="133" t="s">
        <v>21</v>
      </c>
      <c r="I532" s="133" t="s">
        <v>22</v>
      </c>
      <c r="J532" s="135" t="s">
        <v>23</v>
      </c>
      <c r="K532" s="135" t="s">
        <v>24</v>
      </c>
      <c r="L532" s="6" t="s">
        <v>184</v>
      </c>
      <c r="M532" s="93">
        <v>28</v>
      </c>
      <c r="N532" s="93">
        <v>61</v>
      </c>
      <c r="O532" s="6">
        <v>2</v>
      </c>
      <c r="P532" s="129">
        <v>1</v>
      </c>
      <c r="Q532" s="6">
        <v>0</v>
      </c>
      <c r="R532" s="98">
        <v>0.50029999999999997</v>
      </c>
      <c r="S532" s="94">
        <f>((Table3.110[[#This Row],[Sample weight, g]]*'2.1. DM'!Q111)/100)*1000</f>
        <v>478.44235685703057</v>
      </c>
      <c r="T532" s="94">
        <f>'3.2 Digest'!W532</f>
        <v>116.34235685703061</v>
      </c>
      <c r="U532" s="117">
        <v>0.35</v>
      </c>
      <c r="V532" s="155">
        <v>41</v>
      </c>
      <c r="W532" s="117">
        <v>0.68611111111111112</v>
      </c>
      <c r="X532" s="96">
        <v>79</v>
      </c>
      <c r="Y532" s="96">
        <v>14.9</v>
      </c>
      <c r="Z532" s="155">
        <v>40</v>
      </c>
      <c r="AA532" s="117">
        <v>0.3888888888888889</v>
      </c>
      <c r="AB532" s="155">
        <v>62</v>
      </c>
      <c r="AC532" s="155">
        <v>17.399999999999999</v>
      </c>
      <c r="AD532" s="96"/>
      <c r="AE532" s="94">
        <f>Table3.110[[#This Row],[Gas 8h, ml]]-Table3.110[[#This Row],[Gas 0h, ml]]</f>
        <v>38</v>
      </c>
      <c r="AF532" s="94">
        <f>Table3.110[[#This Row],[Gas 24h, ml]]-Table3.110[[#This Row],[V8 Push back, ml]]</f>
        <v>22</v>
      </c>
      <c r="AG532" s="94">
        <f>Table3.110[[#This Row],[GP 8h, ml]]-(AVERAGE(AE$479,AE$480,AE$660,AE$661,AE$662,AE$663))*AG$8</f>
        <v>34.607474101643646</v>
      </c>
      <c r="AH532" s="94">
        <f>Table3.110[[#This Row],[GP 8-24h, ml]]-(AVERAGE(AF$479,AF$480,AF$660,AF$661,AF$662,AF$663))*AG$8</f>
        <v>17.685592064046812</v>
      </c>
      <c r="AI532" s="94">
        <f>Table3.110[[#This Row],[Net gas 8-24h, ml]]+Table3.110[[#This Row],[Net gas 8h, ml]]</f>
        <v>52.293066165690462</v>
      </c>
      <c r="AJ532" s="94">
        <f>Table3.110[[#This Row],[Net gas 8h, ml]]*Table3.110[[#This Row],[CH4 8h %]]%</f>
        <v>5.1565136411449028</v>
      </c>
      <c r="AK532" s="94">
        <f>Table3.110[[#This Row],[Net gas 8-24h, ml]]*Table3.110[[#This Row],[CH4 24h, %]]%</f>
        <v>3.077293019144145</v>
      </c>
      <c r="AL532" s="94">
        <f>Table3.110[[#This Row],[CH4 8-24h, ml]]+Table3.110[[#This Row],[CH4 8h, ml]]</f>
        <v>8.2338066602890478</v>
      </c>
      <c r="AM532" s="94">
        <f>(Table3.110[[#This Row],[Net gas 24h, ml]]/Table3.110[[#This Row],[DM Incubated, mg]])*1000</f>
        <v>109.2985715337006</v>
      </c>
      <c r="AN532" s="94">
        <f>'3.2 Digest'!X532</f>
        <v>24.316901543020435</v>
      </c>
      <c r="AO532" s="94">
        <f>Table3.110[[#This Row],[Digested feed, mg]]/Table3.110[[#This Row],[Net gas 24h, ml]]</f>
        <v>2.2248142131960691</v>
      </c>
      <c r="AP532" s="94">
        <f>Table3.110[[#This Row],[CH4 8h, ml]]/Table3.110[[#This Row],[Net gas 8h, ml]]%</f>
        <v>14.899999999999999</v>
      </c>
      <c r="AQ532" s="94">
        <f>Table3.110[[#This Row],[CH4 24h, ml]]/Table3.110[[#This Row],[Net gas 24h, ml]]%</f>
        <v>15.745503685326559</v>
      </c>
      <c r="AR532" s="94">
        <f>Table3.110[[#This Row],[CH4 24h, ml]]/Table3.110[[#This Row],[DM Incubated, mg]]*1000</f>
        <v>17.209610608848109</v>
      </c>
      <c r="AS532" s="94">
        <f>Table3.110[[#This Row],[CH4 24h, ml]]/Table3.110[[#This Row],[Digested feed, mg]]*1000</f>
        <v>70.772218156172542</v>
      </c>
      <c r="AT532" s="94">
        <f>Table3.110[[#This Row],[CH4 24h, ml]]/'3.2 Digest'!AA532</f>
        <v>-0.51057249069476351</v>
      </c>
      <c r="AU532" s="94">
        <f>((Table3.110[[#This Row],[CH4 24h, ml]]/28.9)*16.04)/Table3.110[[#This Row],[DM Incubated, mg]]*1000</f>
        <v>9.5516316320388821</v>
      </c>
      <c r="AV532" s="94">
        <f>((Table3.110[[#This Row],[CH4 24h, ml]]/28.9)*16.04)/Table3.110[[#This Row],[Digested feed, mg]]*1000</f>
        <v>39.279805509515839</v>
      </c>
      <c r="AW532" s="303"/>
    </row>
    <row r="533" spans="1:49" s="304" customFormat="1" x14ac:dyDescent="0.35">
      <c r="A533" s="89"/>
      <c r="B533" s="90">
        <f t="shared" si="8"/>
        <v>523</v>
      </c>
      <c r="C533" s="140">
        <v>46050</v>
      </c>
      <c r="D533" s="6" t="s">
        <v>16</v>
      </c>
      <c r="E533" s="6" t="s">
        <v>185</v>
      </c>
      <c r="F533" s="133" t="s">
        <v>19</v>
      </c>
      <c r="G533" s="133" t="s">
        <v>20</v>
      </c>
      <c r="H533" s="133" t="s">
        <v>21</v>
      </c>
      <c r="I533" s="133" t="s">
        <v>22</v>
      </c>
      <c r="J533" s="135" t="s">
        <v>23</v>
      </c>
      <c r="K533" s="135" t="s">
        <v>24</v>
      </c>
      <c r="L533" s="6" t="s">
        <v>184</v>
      </c>
      <c r="M533" s="93">
        <v>28</v>
      </c>
      <c r="N533" s="93">
        <v>61</v>
      </c>
      <c r="O533" s="6">
        <v>2</v>
      </c>
      <c r="P533" s="129">
        <v>2</v>
      </c>
      <c r="Q533" s="6">
        <v>0</v>
      </c>
      <c r="R533" s="98">
        <v>0.50019999999999998</v>
      </c>
      <c r="S533" s="94">
        <f>((Table3.110[[#This Row],[Sample weight, g]]*'2.1. DM'!Q111)/100)*1000</f>
        <v>478.34672576431473</v>
      </c>
      <c r="T533" s="94">
        <f>'3.2 Digest'!W533</f>
        <v>147.14672576431479</v>
      </c>
      <c r="U533" s="153">
        <v>0.35</v>
      </c>
      <c r="V533" s="154">
        <v>41.5</v>
      </c>
      <c r="W533" s="153">
        <v>0.68680555555555556</v>
      </c>
      <c r="X533" s="91">
        <v>67.5</v>
      </c>
      <c r="Y533" s="91">
        <v>14.7</v>
      </c>
      <c r="Z533" s="154">
        <v>40</v>
      </c>
      <c r="AA533" s="153">
        <v>0.3888888888888889</v>
      </c>
      <c r="AB533" s="154">
        <v>61.5</v>
      </c>
      <c r="AC533" s="154">
        <v>17.600000000000001</v>
      </c>
      <c r="AD533" s="91"/>
      <c r="AE533" s="94">
        <f>Table3.110[[#This Row],[Gas 8h, ml]]-Table3.110[[#This Row],[Gas 0h, ml]]</f>
        <v>26</v>
      </c>
      <c r="AF533" s="94">
        <f>Table3.110[[#This Row],[Gas 24h, ml]]-Table3.110[[#This Row],[V8 Push back, ml]]</f>
        <v>21.5</v>
      </c>
      <c r="AG533" s="94">
        <f>Table3.110[[#This Row],[GP 8h, ml]]-(AVERAGE(AE$479,AE$480,AE$660,AE$661,AE$662,AE$663))*AG$8</f>
        <v>22.607474101643646</v>
      </c>
      <c r="AH533" s="94">
        <f>Table3.110[[#This Row],[GP 8-24h, ml]]-(AVERAGE(AF$479,AF$480,AF$660,AF$661,AF$662,AF$663))*AG$8</f>
        <v>17.185592064046812</v>
      </c>
      <c r="AI533" s="94">
        <f>Table3.110[[#This Row],[Net gas 8-24h, ml]]+Table3.110[[#This Row],[Net gas 8h, ml]]</f>
        <v>39.793066165690462</v>
      </c>
      <c r="AJ533" s="94">
        <f>Table3.110[[#This Row],[Net gas 8h, ml]]*Table3.110[[#This Row],[CH4 8h %]]%</f>
        <v>3.323298692941616</v>
      </c>
      <c r="AK533" s="94">
        <f>Table3.110[[#This Row],[Net gas 8-24h, ml]]*Table3.110[[#This Row],[CH4 24h, %]]%</f>
        <v>3.0246642032722391</v>
      </c>
      <c r="AL533" s="94">
        <f>Table3.110[[#This Row],[CH4 8-24h, ml]]+Table3.110[[#This Row],[CH4 8h, ml]]</f>
        <v>6.347962896213855</v>
      </c>
      <c r="AM533" s="94">
        <f>(Table3.110[[#This Row],[Net gas 24h, ml]]/Table3.110[[#This Row],[DM Incubated, mg]])*1000</f>
        <v>83.188749963968249</v>
      </c>
      <c r="AN533" s="94">
        <f>'3.2 Digest'!X533</f>
        <v>30.761520428346188</v>
      </c>
      <c r="AO533" s="94">
        <f>Table3.110[[#This Row],[Digested feed, mg]]/Table3.110[[#This Row],[Net gas 24h, ml]]</f>
        <v>3.6977981327607408</v>
      </c>
      <c r="AP533" s="94">
        <f>Table3.110[[#This Row],[CH4 8h, ml]]/Table3.110[[#This Row],[Net gas 8h, ml]]%</f>
        <v>14.7</v>
      </c>
      <c r="AQ533" s="94">
        <f>Table3.110[[#This Row],[CH4 24h, ml]]/Table3.110[[#This Row],[Net gas 24h, ml]]%</f>
        <v>15.952434702523783</v>
      </c>
      <c r="AR533" s="94">
        <f>Table3.110[[#This Row],[CH4 24h, ml]]/Table3.110[[#This Row],[DM Incubated, mg]]*1000</f>
        <v>13.27063101784781</v>
      </c>
      <c r="AS533" s="94">
        <f>Table3.110[[#This Row],[CH4 24h, ml]]/Table3.110[[#This Row],[Digested feed, mg]]*1000</f>
        <v>43.140361181949778</v>
      </c>
      <c r="AT533" s="94">
        <f>Table3.110[[#This Row],[CH4 24h, ml]]/'3.2 Digest'!AA533</f>
        <v>-1.0176077818350999</v>
      </c>
      <c r="AU533" s="94">
        <f>((Table3.110[[#This Row],[CH4 24h, ml]]/28.9)*16.04)/Table3.110[[#This Row],[DM Incubated, mg]]*1000</f>
        <v>7.3654298105978846</v>
      </c>
      <c r="AV533" s="94">
        <f>((Table3.110[[#This Row],[CH4 24h, ml]]/28.9)*16.04)/Table3.110[[#This Row],[Digested feed, mg]]*1000</f>
        <v>23.943646829012955</v>
      </c>
      <c r="AW533" s="303"/>
    </row>
    <row r="534" spans="1:49" s="304" customFormat="1" x14ac:dyDescent="0.35">
      <c r="A534" s="89"/>
      <c r="B534" s="90">
        <f t="shared" si="8"/>
        <v>524</v>
      </c>
      <c r="C534" s="140">
        <v>46050</v>
      </c>
      <c r="D534" s="6" t="s">
        <v>16</v>
      </c>
      <c r="E534" s="6" t="s">
        <v>185</v>
      </c>
      <c r="F534" s="133" t="s">
        <v>19</v>
      </c>
      <c r="G534" s="133" t="s">
        <v>20</v>
      </c>
      <c r="H534" s="133" t="s">
        <v>21</v>
      </c>
      <c r="I534" s="133" t="s">
        <v>22</v>
      </c>
      <c r="J534" s="135" t="s">
        <v>23</v>
      </c>
      <c r="K534" s="135" t="s">
        <v>24</v>
      </c>
      <c r="L534" s="6" t="s">
        <v>184</v>
      </c>
      <c r="M534" s="93">
        <v>28</v>
      </c>
      <c r="N534" s="93">
        <v>61</v>
      </c>
      <c r="O534" s="6">
        <v>2</v>
      </c>
      <c r="P534" s="129">
        <v>3</v>
      </c>
      <c r="Q534" s="6">
        <v>0</v>
      </c>
      <c r="R534" s="98">
        <v>0.50049999999999994</v>
      </c>
      <c r="S534" s="94">
        <f>((Table3.110[[#This Row],[Sample weight, g]]*'2.1. DM'!Q111)/100)*1000</f>
        <v>478.63361904246204</v>
      </c>
      <c r="T534" s="94">
        <f>'3.2 Digest'!W534</f>
        <v>136.13361904246204</v>
      </c>
      <c r="U534" s="117">
        <v>0.35069444444444442</v>
      </c>
      <c r="V534" s="155">
        <v>42</v>
      </c>
      <c r="W534" s="117">
        <v>0.6875</v>
      </c>
      <c r="X534" s="96">
        <v>68</v>
      </c>
      <c r="Y534" s="96">
        <v>14.8</v>
      </c>
      <c r="Z534" s="155">
        <v>40</v>
      </c>
      <c r="AA534" s="117">
        <v>0.38958333333333334</v>
      </c>
      <c r="AB534" s="155">
        <v>63</v>
      </c>
      <c r="AC534" s="155">
        <v>17.399999999999999</v>
      </c>
      <c r="AD534" s="96"/>
      <c r="AE534" s="94">
        <f>Table3.110[[#This Row],[Gas 8h, ml]]-Table3.110[[#This Row],[Gas 0h, ml]]</f>
        <v>26</v>
      </c>
      <c r="AF534" s="94">
        <f>Table3.110[[#This Row],[Gas 24h, ml]]-Table3.110[[#This Row],[V8 Push back, ml]]</f>
        <v>23</v>
      </c>
      <c r="AG534" s="94">
        <f>Table3.110[[#This Row],[GP 8h, ml]]-(AVERAGE(AE$479,AE$480,AE$660,AE$661,AE$662,AE$663))*AG$8</f>
        <v>22.607474101643646</v>
      </c>
      <c r="AH534" s="94">
        <f>Table3.110[[#This Row],[GP 8-24h, ml]]-(AVERAGE(AF$479,AF$480,AF$660,AF$661,AF$662,AF$663))*AG$8</f>
        <v>18.685592064046812</v>
      </c>
      <c r="AI534" s="94">
        <f>Table3.110[[#This Row],[Net gas 8-24h, ml]]+Table3.110[[#This Row],[Net gas 8h, ml]]</f>
        <v>41.293066165690462</v>
      </c>
      <c r="AJ534" s="94">
        <f>Table3.110[[#This Row],[Net gas 8h, ml]]*Table3.110[[#This Row],[CH4 8h %]]%</f>
        <v>3.3459061670432599</v>
      </c>
      <c r="AK534" s="94">
        <f>Table3.110[[#This Row],[Net gas 8-24h, ml]]*Table3.110[[#This Row],[CH4 24h, %]]%</f>
        <v>3.2512930191441449</v>
      </c>
      <c r="AL534" s="94">
        <f>Table3.110[[#This Row],[CH4 8-24h, ml]]+Table3.110[[#This Row],[CH4 8h, ml]]</f>
        <v>6.5971991861874049</v>
      </c>
      <c r="AM534" s="94">
        <f>(Table3.110[[#This Row],[Net gas 24h, ml]]/Table3.110[[#This Row],[DM Incubated, mg]])*1000</f>
        <v>86.272807681792074</v>
      </c>
      <c r="AN534" s="94">
        <f>'3.2 Digest'!X534</f>
        <v>28.442134782509903</v>
      </c>
      <c r="AO534" s="94">
        <f>Table3.110[[#This Row],[Digested feed, mg]]/Table3.110[[#This Row],[Net gas 24h, ml]]</f>
        <v>3.2967670285422543</v>
      </c>
      <c r="AP534" s="94">
        <f>Table3.110[[#This Row],[CH4 8h, ml]]/Table3.110[[#This Row],[Net gas 8h, ml]]%</f>
        <v>14.8</v>
      </c>
      <c r="AQ534" s="94">
        <f>Table3.110[[#This Row],[CH4 24h, ml]]/Table3.110[[#This Row],[Net gas 24h, ml]]%</f>
        <v>15.976530199321644</v>
      </c>
      <c r="AR534" s="94">
        <f>Table3.110[[#This Row],[CH4 24h, ml]]/Table3.110[[#This Row],[DM Incubated, mg]]*1000</f>
        <v>13.783401173084195</v>
      </c>
      <c r="AS534" s="94">
        <f>Table3.110[[#This Row],[CH4 24h, ml]]/Table3.110[[#This Row],[Digested feed, mg]]*1000</f>
        <v>48.461204753027559</v>
      </c>
      <c r="AT534" s="94">
        <f>Table3.110[[#This Row],[CH4 24h, ml]]/'3.2 Digest'!AA534</f>
        <v>-0.67339372853034696</v>
      </c>
      <c r="AU534" s="94">
        <f>((Table3.110[[#This Row],[CH4 24h, ml]]/28.9)*16.04)/Table3.110[[#This Row],[DM Incubated, mg]]*1000</f>
        <v>7.6500261182100511</v>
      </c>
      <c r="AV534" s="94">
        <f>((Table3.110[[#This Row],[CH4 24h, ml]]/28.9)*16.04)/Table3.110[[#This Row],[Digested feed, mg]]*1000</f>
        <v>26.896807067078271</v>
      </c>
      <c r="AW534" s="303"/>
    </row>
    <row r="535" spans="1:49" s="304" customFormat="1" x14ac:dyDescent="0.35">
      <c r="A535" s="89"/>
      <c r="B535" s="90">
        <f t="shared" si="8"/>
        <v>525</v>
      </c>
      <c r="C535" s="140">
        <v>46050</v>
      </c>
      <c r="D535" s="92"/>
      <c r="E535" s="6" t="s">
        <v>187</v>
      </c>
      <c r="F535" s="133" t="s">
        <v>105</v>
      </c>
      <c r="G535" s="133" t="s">
        <v>188</v>
      </c>
      <c r="H535" s="133" t="s">
        <v>189</v>
      </c>
      <c r="I535" s="133" t="s">
        <v>108</v>
      </c>
      <c r="J535" s="135" t="s">
        <v>109</v>
      </c>
      <c r="K535" s="135" t="s">
        <v>110</v>
      </c>
      <c r="L535" s="6" t="s">
        <v>186</v>
      </c>
      <c r="M535" s="93">
        <v>28</v>
      </c>
      <c r="N535" s="93">
        <v>61</v>
      </c>
      <c r="O535" s="6">
        <v>2</v>
      </c>
      <c r="P535" s="129">
        <v>1</v>
      </c>
      <c r="Q535" s="6">
        <v>0</v>
      </c>
      <c r="R535" s="98">
        <v>0.50019999999999998</v>
      </c>
      <c r="S535" s="94">
        <f>((Table3.110[[#This Row],[Sample weight, g]]*'2.1. DM'!Q113)/100)*1000</f>
        <v>474.39613340253106</v>
      </c>
      <c r="T535" s="94">
        <f>'3.2 Digest'!W535</f>
        <v>88.696133402531018</v>
      </c>
      <c r="U535" s="153">
        <v>0.35069444444444442</v>
      </c>
      <c r="V535" s="154">
        <v>41.5</v>
      </c>
      <c r="W535" s="153">
        <v>0.68819444444444444</v>
      </c>
      <c r="X535" s="91">
        <v>83</v>
      </c>
      <c r="Y535" s="91">
        <v>15.1</v>
      </c>
      <c r="Z535" s="154">
        <v>40</v>
      </c>
      <c r="AA535" s="153">
        <v>0.39027777777777778</v>
      </c>
      <c r="AB535" s="154">
        <v>100</v>
      </c>
      <c r="AC535" s="154">
        <v>16.2</v>
      </c>
      <c r="AD535" s="91"/>
      <c r="AE535" s="94">
        <f>Table3.110[[#This Row],[Gas 8h, ml]]-Table3.110[[#This Row],[Gas 0h, ml]]</f>
        <v>41.5</v>
      </c>
      <c r="AF535" s="94">
        <f>Table3.110[[#This Row],[Gas 24h, ml]]-Table3.110[[#This Row],[V8 Push back, ml]]</f>
        <v>60</v>
      </c>
      <c r="AG535" s="94">
        <f>Table3.110[[#This Row],[GP 8h, ml]]-(AVERAGE(AE$479,AE$480,AE$660,AE$661,AE$662,AE$663))*AG$8</f>
        <v>38.107474101643646</v>
      </c>
      <c r="AH535" s="94">
        <f>Table3.110[[#This Row],[GP 8-24h, ml]]-(AVERAGE(AF$479,AF$480,AF$660,AF$661,AF$662,AF$663))*AG$8</f>
        <v>55.685592064046816</v>
      </c>
      <c r="AI535" s="94">
        <f>Table3.110[[#This Row],[Net gas 8-24h, ml]]+Table3.110[[#This Row],[Net gas 8h, ml]]</f>
        <v>93.793066165690462</v>
      </c>
      <c r="AJ535" s="94">
        <f>Table3.110[[#This Row],[Net gas 8h, ml]]*Table3.110[[#This Row],[CH4 8h %]]%</f>
        <v>5.7542285893481901</v>
      </c>
      <c r="AK535" s="94">
        <f>Table3.110[[#This Row],[Net gas 8-24h, ml]]*Table3.110[[#This Row],[CH4 24h, %]]%</f>
        <v>9.0210659143755851</v>
      </c>
      <c r="AL535" s="94">
        <f>Table3.110[[#This Row],[CH4 8-24h, ml]]+Table3.110[[#This Row],[CH4 8h, ml]]</f>
        <v>14.775294503723774</v>
      </c>
      <c r="AM535" s="94">
        <f>(Table3.110[[#This Row],[Net gas 24h, ml]]/Table3.110[[#This Row],[DM Incubated, mg]])*1000</f>
        <v>197.71043556568341</v>
      </c>
      <c r="AN535" s="94">
        <f>'3.2 Digest'!X535</f>
        <v>18.696639191886337</v>
      </c>
      <c r="AO535" s="94">
        <f>Table3.110[[#This Row],[Digested feed, mg]]/Table3.110[[#This Row],[Net gas 24h, ml]]</f>
        <v>0.94565768055651955</v>
      </c>
      <c r="AP535" s="94">
        <f>Table3.110[[#This Row],[CH4 8h, ml]]/Table3.110[[#This Row],[Net gas 8h, ml]]%</f>
        <v>15.1</v>
      </c>
      <c r="AQ535" s="94">
        <f>Table3.110[[#This Row],[CH4 24h, ml]]/Table3.110[[#This Row],[Net gas 24h, ml]]%</f>
        <v>15.75307760770122</v>
      </c>
      <c r="AR535" s="94">
        <f>Table3.110[[#This Row],[CH4 24h, ml]]/Table3.110[[#This Row],[DM Incubated, mg]]*1000</f>
        <v>31.14547835318622</v>
      </c>
      <c r="AS535" s="94">
        <f>Table3.110[[#This Row],[CH4 24h, ml]]/Table3.110[[#This Row],[Digested feed, mg]]*1000</f>
        <v>166.58329892092172</v>
      </c>
      <c r="AT535" s="94">
        <f>Table3.110[[#This Row],[CH4 24h, ml]]/'3.2 Digest'!AA535</f>
        <v>-0.7604304439342795</v>
      </c>
      <c r="AU535" s="94">
        <f>((Table3.110[[#This Row],[CH4 24h, ml]]/28.9)*16.04)/Table3.110[[#This Row],[DM Incubated, mg]]*1000</f>
        <v>17.28627933512481</v>
      </c>
      <c r="AV535" s="94">
        <f>((Table3.110[[#This Row],[CH4 24h, ml]]/28.9)*16.04)/Table3.110[[#This Row],[Digested feed, mg]]*1000</f>
        <v>92.456612965106743</v>
      </c>
      <c r="AW535" s="303"/>
    </row>
    <row r="536" spans="1:49" s="304" customFormat="1" x14ac:dyDescent="0.35">
      <c r="A536" s="89"/>
      <c r="B536" s="90">
        <f t="shared" si="8"/>
        <v>526</v>
      </c>
      <c r="C536" s="140">
        <v>46050</v>
      </c>
      <c r="D536" s="92"/>
      <c r="E536" s="6" t="s">
        <v>187</v>
      </c>
      <c r="F536" s="133" t="s">
        <v>105</v>
      </c>
      <c r="G536" s="133" t="s">
        <v>188</v>
      </c>
      <c r="H536" s="133" t="s">
        <v>189</v>
      </c>
      <c r="I536" s="133" t="s">
        <v>108</v>
      </c>
      <c r="J536" s="135" t="s">
        <v>109</v>
      </c>
      <c r="K536" s="135" t="s">
        <v>110</v>
      </c>
      <c r="L536" s="6" t="s">
        <v>186</v>
      </c>
      <c r="M536" s="93">
        <v>28</v>
      </c>
      <c r="N536" s="93">
        <v>61</v>
      </c>
      <c r="O536" s="6">
        <v>2</v>
      </c>
      <c r="P536" s="129">
        <v>2</v>
      </c>
      <c r="Q536" s="6">
        <v>0</v>
      </c>
      <c r="R536" s="98">
        <v>0.50009999999999999</v>
      </c>
      <c r="S536" s="94">
        <f>((Table3.110[[#This Row],[Sample weight, g]]*'2.1. DM'!Q113)/100)*1000</f>
        <v>474.30129211236658</v>
      </c>
      <c r="T536" s="94">
        <f>'3.2 Digest'!W536</f>
        <v>245.30129211236661</v>
      </c>
      <c r="U536" s="117">
        <v>0.35069444444444442</v>
      </c>
      <c r="V536" s="155">
        <v>41</v>
      </c>
      <c r="W536" s="117">
        <v>0.68888888888888888</v>
      </c>
      <c r="X536" s="96">
        <v>85.5</v>
      </c>
      <c r="Y536" s="96">
        <v>14.4</v>
      </c>
      <c r="Z536" s="155">
        <v>40</v>
      </c>
      <c r="AA536" s="117">
        <v>0.39027777777777778</v>
      </c>
      <c r="AB536" s="155">
        <v>102</v>
      </c>
      <c r="AC536" s="155">
        <v>16</v>
      </c>
      <c r="AD536" s="96"/>
      <c r="AE536" s="94">
        <f>Table3.110[[#This Row],[Gas 8h, ml]]-Table3.110[[#This Row],[Gas 0h, ml]]</f>
        <v>44.5</v>
      </c>
      <c r="AF536" s="94">
        <f>Table3.110[[#This Row],[Gas 24h, ml]]-Table3.110[[#This Row],[V8 Push back, ml]]</f>
        <v>62</v>
      </c>
      <c r="AG536" s="94"/>
      <c r="AH536" s="94"/>
      <c r="AI536" s="94"/>
      <c r="AJ536" s="94"/>
      <c r="AK536" s="94"/>
      <c r="AL536" s="94"/>
      <c r="AM536" s="94"/>
      <c r="AN536" s="94"/>
      <c r="AO536" s="94"/>
      <c r="AP536" s="94"/>
      <c r="AQ536" s="94"/>
      <c r="AR536" s="94"/>
      <c r="AS536" s="94"/>
      <c r="AT536" s="94"/>
      <c r="AU536" s="94"/>
      <c r="AV536" s="94"/>
      <c r="AW536" s="303"/>
    </row>
    <row r="537" spans="1:49" s="304" customFormat="1" x14ac:dyDescent="0.35">
      <c r="A537" s="89"/>
      <c r="B537" s="90">
        <f t="shared" si="8"/>
        <v>527</v>
      </c>
      <c r="C537" s="140">
        <v>46050</v>
      </c>
      <c r="D537" s="92"/>
      <c r="E537" s="6" t="s">
        <v>187</v>
      </c>
      <c r="F537" s="133" t="s">
        <v>105</v>
      </c>
      <c r="G537" s="133" t="s">
        <v>188</v>
      </c>
      <c r="H537" s="133" t="s">
        <v>189</v>
      </c>
      <c r="I537" s="133" t="s">
        <v>108</v>
      </c>
      <c r="J537" s="135" t="s">
        <v>109</v>
      </c>
      <c r="K537" s="135" t="s">
        <v>110</v>
      </c>
      <c r="L537" s="6" t="s">
        <v>186</v>
      </c>
      <c r="M537" s="93">
        <v>28</v>
      </c>
      <c r="N537" s="93">
        <v>61</v>
      </c>
      <c r="O537" s="6">
        <v>2</v>
      </c>
      <c r="P537" s="129">
        <v>3</v>
      </c>
      <c r="Q537" s="6">
        <v>0</v>
      </c>
      <c r="R537" s="98">
        <v>0.5</v>
      </c>
      <c r="S537" s="94">
        <f>((Table3.110[[#This Row],[Sample weight, g]]*'2.1. DM'!Q113)/100)*1000</f>
        <v>474.20645082220221</v>
      </c>
      <c r="T537" s="94">
        <f>'3.2 Digest'!W537</f>
        <v>99.006450822202225</v>
      </c>
      <c r="U537" s="153">
        <v>0.35138888888888886</v>
      </c>
      <c r="V537" s="154">
        <v>40.5</v>
      </c>
      <c r="W537" s="153">
        <v>0.68888888888888888</v>
      </c>
      <c r="X537" s="91">
        <v>84</v>
      </c>
      <c r="Y537" s="91">
        <v>14.8</v>
      </c>
      <c r="Z537" s="154">
        <v>40</v>
      </c>
      <c r="AA537" s="153">
        <v>0.39097222222222222</v>
      </c>
      <c r="AB537" s="154">
        <v>102.5</v>
      </c>
      <c r="AC537" s="154">
        <v>16.100000000000001</v>
      </c>
      <c r="AD537" s="91"/>
      <c r="AE537" s="94">
        <f>Table3.110[[#This Row],[Gas 8h, ml]]-Table3.110[[#This Row],[Gas 0h, ml]]</f>
        <v>43.5</v>
      </c>
      <c r="AF537" s="94">
        <f>Table3.110[[#This Row],[Gas 24h, ml]]-Table3.110[[#This Row],[V8 Push back, ml]]</f>
        <v>62.5</v>
      </c>
      <c r="AG537" s="94">
        <f>Table3.110[[#This Row],[GP 8h, ml]]-(AVERAGE(AE$479,AE$480,AE$660,AE$661,AE$662,AE$663))*AG$8</f>
        <v>40.107474101643646</v>
      </c>
      <c r="AH537" s="94">
        <f>Table3.110[[#This Row],[GP 8-24h, ml]]-(AVERAGE(AF$479,AF$480,AF$660,AF$661,AF$662,AF$663))*AG$8</f>
        <v>58.185592064046816</v>
      </c>
      <c r="AI537" s="94">
        <f>Table3.110[[#This Row],[Net gas 8-24h, ml]]+Table3.110[[#This Row],[Net gas 8h, ml]]</f>
        <v>98.293066165690462</v>
      </c>
      <c r="AJ537" s="94">
        <f>Table3.110[[#This Row],[Net gas 8h, ml]]*Table3.110[[#This Row],[CH4 8h %]]%</f>
        <v>5.9359061670432602</v>
      </c>
      <c r="AK537" s="94">
        <f>Table3.110[[#This Row],[Net gas 8-24h, ml]]*Table3.110[[#This Row],[CH4 24h, %]]%</f>
        <v>9.367880322311537</v>
      </c>
      <c r="AL537" s="94">
        <f>Table3.110[[#This Row],[CH4 8-24h, ml]]+Table3.110[[#This Row],[CH4 8h, ml]]</f>
        <v>15.303786489354797</v>
      </c>
      <c r="AM537" s="94">
        <f>(Table3.110[[#This Row],[Net gas 24h, ml]]/Table3.110[[#This Row],[DM Incubated, mg]])*1000</f>
        <v>207.27905745538715</v>
      </c>
      <c r="AN537" s="94">
        <f>'3.2 Digest'!X537</f>
        <v>20.878343314507852</v>
      </c>
      <c r="AO537" s="94">
        <f>Table3.110[[#This Row],[Digested feed, mg]]/Table3.110[[#This Row],[Net gas 24h, ml]]</f>
        <v>1.007257731235174</v>
      </c>
      <c r="AP537" s="94">
        <f>Table3.110[[#This Row],[CH4 8h, ml]]/Table3.110[[#This Row],[Net gas 8h, ml]]%</f>
        <v>14.8</v>
      </c>
      <c r="AQ537" s="94">
        <f>Table3.110[[#This Row],[CH4 24h, ml]]/Table3.110[[#This Row],[Net gas 24h, ml]]%</f>
        <v>15.569548378476201</v>
      </c>
      <c r="AR537" s="94">
        <f>Table3.110[[#This Row],[CH4 24h, ml]]/Table3.110[[#This Row],[DM Incubated, mg]]*1000</f>
        <v>32.272413128965979</v>
      </c>
      <c r="AS537" s="94">
        <f>Table3.110[[#This Row],[CH4 24h, ml]]/Table3.110[[#This Row],[Digested feed, mg]]*1000</f>
        <v>154.57362992273752</v>
      </c>
      <c r="AT537" s="94">
        <f>Table3.110[[#This Row],[CH4 24h, ml]]/'3.2 Digest'!AA537</f>
        <v>-0.94320115477975952</v>
      </c>
      <c r="AU537" s="94">
        <f>((Table3.110[[#This Row],[CH4 24h, ml]]/28.9)*16.04)/Table3.110[[#This Row],[DM Incubated, mg]]*1000</f>
        <v>17.911747632824024</v>
      </c>
      <c r="AV537" s="94">
        <f>((Table3.110[[#This Row],[CH4 24h, ml]]/28.9)*16.04)/Table3.110[[#This Row],[Digested feed, mg]]*1000</f>
        <v>85.791038891374043</v>
      </c>
      <c r="AW537" s="303"/>
    </row>
    <row r="538" spans="1:49" s="304" customFormat="1" x14ac:dyDescent="0.35">
      <c r="A538" s="89"/>
      <c r="B538" s="90">
        <f t="shared" si="8"/>
        <v>528</v>
      </c>
      <c r="C538" s="140">
        <v>46050</v>
      </c>
      <c r="D538" s="92"/>
      <c r="E538" s="6" t="s">
        <v>193</v>
      </c>
      <c r="F538" s="133" t="s">
        <v>105</v>
      </c>
      <c r="G538" s="133" t="s">
        <v>188</v>
      </c>
      <c r="H538" s="133" t="s">
        <v>189</v>
      </c>
      <c r="I538" s="133" t="s">
        <v>108</v>
      </c>
      <c r="J538" s="135" t="s">
        <v>109</v>
      </c>
      <c r="K538" s="135" t="s">
        <v>110</v>
      </c>
      <c r="L538" s="6" t="s">
        <v>192</v>
      </c>
      <c r="M538" s="93">
        <v>28</v>
      </c>
      <c r="N538" s="93">
        <v>61</v>
      </c>
      <c r="O538" s="6">
        <v>2</v>
      </c>
      <c r="P538" s="129">
        <v>1</v>
      </c>
      <c r="Q538" s="6">
        <v>0</v>
      </c>
      <c r="R538" s="98">
        <v>0.50029999999999997</v>
      </c>
      <c r="S538" s="94">
        <f>((Table3.110[[#This Row],[Sample weight, g]]*'2.1. DM'!Q115)/100)*1000</f>
        <v>475.66502595961629</v>
      </c>
      <c r="T538" s="94">
        <f>'3.2 Digest'!W538</f>
        <v>226.26502595961634</v>
      </c>
      <c r="U538" s="117">
        <v>0.35138888888888886</v>
      </c>
      <c r="V538" s="155">
        <v>41</v>
      </c>
      <c r="W538" s="117">
        <v>0.68958333333333333</v>
      </c>
      <c r="X538" s="96">
        <v>82</v>
      </c>
      <c r="Y538" s="96">
        <v>14.5</v>
      </c>
      <c r="Z538" s="155">
        <v>40</v>
      </c>
      <c r="AA538" s="117">
        <v>0.39097222222222222</v>
      </c>
      <c r="AB538" s="155">
        <v>105.5</v>
      </c>
      <c r="AC538" s="155">
        <v>16</v>
      </c>
      <c r="AD538" s="96"/>
      <c r="AE538" s="94">
        <f>Table3.110[[#This Row],[Gas 8h, ml]]-Table3.110[[#This Row],[Gas 0h, ml]]</f>
        <v>41</v>
      </c>
      <c r="AF538" s="94">
        <f>Table3.110[[#This Row],[Gas 24h, ml]]-Table3.110[[#This Row],[V8 Push back, ml]]</f>
        <v>65.5</v>
      </c>
      <c r="AG538" s="94">
        <f>Table3.110[[#This Row],[GP 8h, ml]]-(AVERAGE(AE$479,AE$480,AE$660,AE$661,AE$662,AE$663))*AG$8</f>
        <v>37.607474101643646</v>
      </c>
      <c r="AH538" s="94">
        <f>Table3.110[[#This Row],[GP 8-24h, ml]]-(AVERAGE(AF$479,AF$480,AF$660,AF$661,AF$662,AF$663))*AG$8</f>
        <v>61.185592064046816</v>
      </c>
      <c r="AI538" s="94">
        <f>Table3.110[[#This Row],[Net gas 8-24h, ml]]+Table3.110[[#This Row],[Net gas 8h, ml]]</f>
        <v>98.793066165690462</v>
      </c>
      <c r="AJ538" s="94">
        <f>Table3.110[[#This Row],[Net gas 8h, ml]]*Table3.110[[#This Row],[CH4 8h %]]%</f>
        <v>5.4530837447383282</v>
      </c>
      <c r="AK538" s="94">
        <f>Table3.110[[#This Row],[Net gas 8-24h, ml]]*Table3.110[[#This Row],[CH4 24h, %]]%</f>
        <v>9.7896947302474899</v>
      </c>
      <c r="AL538" s="94">
        <f>Table3.110[[#This Row],[CH4 8-24h, ml]]+Table3.110[[#This Row],[CH4 8h, ml]]</f>
        <v>15.242778474985819</v>
      </c>
      <c r="AM538" s="94">
        <f>(Table3.110[[#This Row],[Net gas 24h, ml]]/Table3.110[[#This Row],[DM Incubated, mg]])*1000</f>
        <v>207.69461863710353</v>
      </c>
      <c r="AN538" s="94">
        <f>'3.2 Digest'!X538</f>
        <v>47.568144305574009</v>
      </c>
      <c r="AO538" s="94">
        <f>Table3.110[[#This Row],[Digested feed, mg]]/Table3.110[[#This Row],[Net gas 24h, ml]]</f>
        <v>2.2902925755957075</v>
      </c>
      <c r="AP538" s="94">
        <f>Table3.110[[#This Row],[CH4 8h, ml]]/Table3.110[[#This Row],[Net gas 8h, ml]]%</f>
        <v>14.5</v>
      </c>
      <c r="AQ538" s="94">
        <f>Table3.110[[#This Row],[CH4 24h, ml]]/Table3.110[[#This Row],[Net gas 24h, ml]]%</f>
        <v>15.428996251033897</v>
      </c>
      <c r="AR538" s="94">
        <f>Table3.110[[#This Row],[CH4 24h, ml]]/Table3.110[[#This Row],[DM Incubated, mg]]*1000</f>
        <v>32.045194923117862</v>
      </c>
      <c r="AS538" s="94">
        <f>Table3.110[[#This Row],[CH4 24h, ml]]/Table3.110[[#This Row],[Digested feed, mg]]*1000</f>
        <v>67.36692252962834</v>
      </c>
      <c r="AT538" s="94">
        <f>Table3.110[[#This Row],[CH4 24h, ml]]/'3.2 Digest'!AA538</f>
        <v>0.65559132889704952</v>
      </c>
      <c r="AU538" s="94">
        <f>((Table3.110[[#This Row],[CH4 24h, ml]]/28.9)*16.04)/Table3.110[[#This Row],[DM Incubated, mg]]*1000</f>
        <v>17.785637597467488</v>
      </c>
      <c r="AV538" s="94">
        <f>((Table3.110[[#This Row],[CH4 24h, ml]]/28.9)*16.04)/Table3.110[[#This Row],[Digested feed, mg]]*1000</f>
        <v>37.389807521634552</v>
      </c>
      <c r="AW538" s="303"/>
    </row>
    <row r="539" spans="1:49" s="304" customFormat="1" x14ac:dyDescent="0.35">
      <c r="A539" s="89"/>
      <c r="B539" s="90">
        <f t="shared" si="8"/>
        <v>529</v>
      </c>
      <c r="C539" s="140">
        <v>46050</v>
      </c>
      <c r="D539" s="92"/>
      <c r="E539" s="6" t="s">
        <v>193</v>
      </c>
      <c r="F539" s="133" t="s">
        <v>105</v>
      </c>
      <c r="G539" s="133" t="s">
        <v>188</v>
      </c>
      <c r="H539" s="133" t="s">
        <v>189</v>
      </c>
      <c r="I539" s="133" t="s">
        <v>108</v>
      </c>
      <c r="J539" s="135" t="s">
        <v>109</v>
      </c>
      <c r="K539" s="135" t="s">
        <v>110</v>
      </c>
      <c r="L539" s="6" t="s">
        <v>192</v>
      </c>
      <c r="M539" s="93">
        <v>28</v>
      </c>
      <c r="N539" s="93">
        <v>61</v>
      </c>
      <c r="O539" s="6">
        <v>2</v>
      </c>
      <c r="P539" s="129">
        <v>2</v>
      </c>
      <c r="Q539" s="6">
        <v>0</v>
      </c>
      <c r="R539" s="98">
        <v>0.50019999999999998</v>
      </c>
      <c r="S539" s="94">
        <f>((Table3.110[[#This Row],[Sample weight, g]]*'2.1. DM'!Q115)/100)*1000</f>
        <v>475.56995000000012</v>
      </c>
      <c r="T539" s="94">
        <f>'3.2 Digest'!W539</f>
        <v>215.06995000000006</v>
      </c>
      <c r="U539" s="153">
        <v>0.35208333333333336</v>
      </c>
      <c r="V539" s="155">
        <v>40.5</v>
      </c>
      <c r="W539" s="153">
        <v>0.68958333333333333</v>
      </c>
      <c r="X539" s="91">
        <v>80.5</v>
      </c>
      <c r="Y539" s="91">
        <v>15.1</v>
      </c>
      <c r="Z539" s="154">
        <v>40</v>
      </c>
      <c r="AA539" s="153">
        <v>0.39166666666666666</v>
      </c>
      <c r="AB539" s="154">
        <v>99.5</v>
      </c>
      <c r="AC539" s="154">
        <v>15.9</v>
      </c>
      <c r="AD539" s="91"/>
      <c r="AE539" s="94">
        <f>Table3.110[[#This Row],[Gas 8h, ml]]-Table3.110[[#This Row],[Gas 0h, ml]]</f>
        <v>40</v>
      </c>
      <c r="AF539" s="94">
        <f>Table3.110[[#This Row],[Gas 24h, ml]]-Table3.110[[#This Row],[V8 Push back, ml]]</f>
        <v>59.5</v>
      </c>
      <c r="AG539" s="94">
        <f>Table3.110[[#This Row],[GP 8h, ml]]-(AVERAGE(AE$479,AE$480,AE$660,AE$661,AE$662,AE$663))*AG$8</f>
        <v>36.607474101643646</v>
      </c>
      <c r="AH539" s="94">
        <f>Table3.110[[#This Row],[GP 8-24h, ml]]-(AVERAGE(AF$479,AF$480,AF$660,AF$661,AF$662,AF$663))*AG$8</f>
        <v>55.185592064046816</v>
      </c>
      <c r="AI539" s="94">
        <f>Table3.110[[#This Row],[Net gas 8-24h, ml]]+Table3.110[[#This Row],[Net gas 8h, ml]]</f>
        <v>91.793066165690462</v>
      </c>
      <c r="AJ539" s="94">
        <f>Table3.110[[#This Row],[Net gas 8h, ml]]*Table3.110[[#This Row],[CH4 8h %]]%</f>
        <v>5.5277285893481904</v>
      </c>
      <c r="AK539" s="94">
        <f>Table3.110[[#This Row],[Net gas 8-24h, ml]]*Table3.110[[#This Row],[CH4 24h, %]]%</f>
        <v>8.7745091381834435</v>
      </c>
      <c r="AL539" s="94">
        <f>Table3.110[[#This Row],[CH4 8-24h, ml]]+Table3.110[[#This Row],[CH4 8h, ml]]</f>
        <v>14.302237727531633</v>
      </c>
      <c r="AM539" s="94">
        <f>(Table3.110[[#This Row],[Net gas 24h, ml]]/Table3.110[[#This Row],[DM Incubated, mg]])*1000</f>
        <v>193.01696031401991</v>
      </c>
      <c r="AN539" s="94">
        <f>'3.2 Digest'!X539</f>
        <v>45.223620626156048</v>
      </c>
      <c r="AO539" s="94">
        <f>Table3.110[[#This Row],[Digested feed, mg]]/Table3.110[[#This Row],[Net gas 24h, ml]]</f>
        <v>2.3429868832553158</v>
      </c>
      <c r="AP539" s="94">
        <f>Table3.110[[#This Row],[CH4 8h, ml]]/Table3.110[[#This Row],[Net gas 8h, ml]]%</f>
        <v>15.1</v>
      </c>
      <c r="AQ539" s="94">
        <f>Table3.110[[#This Row],[CH4 24h, ml]]/Table3.110[[#This Row],[Net gas 24h, ml]]%</f>
        <v>15.580956519869893</v>
      </c>
      <c r="AR539" s="94">
        <f>Table3.110[[#This Row],[CH4 24h, ml]]/Table3.110[[#This Row],[DM Incubated, mg]]*1000</f>
        <v>30.073888662501972</v>
      </c>
      <c r="AS539" s="94">
        <f>Table3.110[[#This Row],[CH4 24h, ml]]/Table3.110[[#This Row],[Digested feed, mg]]*1000</f>
        <v>66.500400114156477</v>
      </c>
      <c r="AT539" s="94">
        <f>Table3.110[[#This Row],[CH4 24h, ml]]/'3.2 Digest'!AA539</f>
        <v>0.72166018058499248</v>
      </c>
      <c r="AU539" s="94">
        <f>((Table3.110[[#This Row],[CH4 24h, ml]]/28.9)*16.04)/Table3.110[[#This Row],[DM Incubated, mg]]*1000</f>
        <v>16.691528517181023</v>
      </c>
      <c r="AV539" s="94">
        <f>((Table3.110[[#This Row],[CH4 24h, ml]]/28.9)*16.04)/Table3.110[[#This Row],[Digested feed, mg]]*1000</f>
        <v>36.908872589310377</v>
      </c>
      <c r="AW539" s="303"/>
    </row>
    <row r="540" spans="1:49" s="304" customFormat="1" x14ac:dyDescent="0.35">
      <c r="A540" s="89"/>
      <c r="B540" s="90">
        <f t="shared" si="8"/>
        <v>530</v>
      </c>
      <c r="C540" s="140">
        <v>46050</v>
      </c>
      <c r="D540" s="92"/>
      <c r="E540" s="6" t="s">
        <v>193</v>
      </c>
      <c r="F540" s="133" t="s">
        <v>105</v>
      </c>
      <c r="G540" s="133" t="s">
        <v>188</v>
      </c>
      <c r="H540" s="133" t="s">
        <v>189</v>
      </c>
      <c r="I540" s="133" t="s">
        <v>108</v>
      </c>
      <c r="J540" s="135" t="s">
        <v>109</v>
      </c>
      <c r="K540" s="135" t="s">
        <v>110</v>
      </c>
      <c r="L540" s="6" t="s">
        <v>192</v>
      </c>
      <c r="M540" s="93">
        <v>28</v>
      </c>
      <c r="N540" s="93">
        <v>61</v>
      </c>
      <c r="O540" s="6">
        <v>2</v>
      </c>
      <c r="P540" s="129">
        <v>3</v>
      </c>
      <c r="Q540" s="6">
        <v>0</v>
      </c>
      <c r="R540" s="98">
        <v>0.50019999999999998</v>
      </c>
      <c r="S540" s="94">
        <f>((Table3.110[[#This Row],[Sample weight, g]]*'2.1. DM'!Q115)/100)*1000</f>
        <v>475.56995000000012</v>
      </c>
      <c r="T540" s="94">
        <f>'3.2 Digest'!W540</f>
        <v>164.06995000000012</v>
      </c>
      <c r="U540" s="117">
        <v>0.3527777777777778</v>
      </c>
      <c r="V540" s="155">
        <v>40.5</v>
      </c>
      <c r="W540" s="117">
        <v>0.69027777777777777</v>
      </c>
      <c r="X540" s="96">
        <v>82.5</v>
      </c>
      <c r="Y540" s="96">
        <v>14.5</v>
      </c>
      <c r="Z540" s="155">
        <v>40</v>
      </c>
      <c r="AA540" s="117">
        <v>0.3923611111111111</v>
      </c>
      <c r="AB540" s="155">
        <v>101</v>
      </c>
      <c r="AC540" s="155">
        <v>16</v>
      </c>
      <c r="AD540" s="96"/>
      <c r="AE540" s="94">
        <f>Table3.110[[#This Row],[Gas 8h, ml]]-Table3.110[[#This Row],[Gas 0h, ml]]</f>
        <v>42</v>
      </c>
      <c r="AF540" s="94">
        <f>Table3.110[[#This Row],[Gas 24h, ml]]-Table3.110[[#This Row],[V8 Push back, ml]]</f>
        <v>61</v>
      </c>
      <c r="AG540" s="94">
        <f>Table3.110[[#This Row],[GP 8h, ml]]-(AVERAGE(AE$479,AE$480,AE$660,AE$661,AE$662,AE$663))*AG$8</f>
        <v>38.607474101643646</v>
      </c>
      <c r="AH540" s="94">
        <f>Table3.110[[#This Row],[GP 8-24h, ml]]-(AVERAGE(AF$479,AF$480,AF$660,AF$661,AF$662,AF$663))*AG$8</f>
        <v>56.685592064046816</v>
      </c>
      <c r="AI540" s="94">
        <f>Table3.110[[#This Row],[Net gas 8-24h, ml]]+Table3.110[[#This Row],[Net gas 8h, ml]]</f>
        <v>95.293066165690462</v>
      </c>
      <c r="AJ540" s="94">
        <f>Table3.110[[#This Row],[Net gas 8h, ml]]*Table3.110[[#This Row],[CH4 8h %]]%</f>
        <v>5.5980837447383287</v>
      </c>
      <c r="AK540" s="94">
        <f>Table3.110[[#This Row],[Net gas 8-24h, ml]]*Table3.110[[#This Row],[CH4 24h, %]]%</f>
        <v>9.0696947302474911</v>
      </c>
      <c r="AL540" s="94">
        <f>Table3.110[[#This Row],[CH4 8-24h, ml]]+Table3.110[[#This Row],[CH4 8h, ml]]</f>
        <v>14.66777847498582</v>
      </c>
      <c r="AM540" s="94">
        <f>(Table3.110[[#This Row],[Net gas 24h, ml]]/Table3.110[[#This Row],[DM Incubated, mg]])*1000</f>
        <v>200.37655063296248</v>
      </c>
      <c r="AN540" s="94">
        <f>'3.2 Digest'!X540</f>
        <v>34.499646161411185</v>
      </c>
      <c r="AO540" s="94">
        <f>Table3.110[[#This Row],[Digested feed, mg]]/Table3.110[[#This Row],[Net gas 24h, ml]]</f>
        <v>1.721740695327445</v>
      </c>
      <c r="AP540" s="94">
        <f>Table3.110[[#This Row],[CH4 8h, ml]]/Table3.110[[#This Row],[Net gas 8h, ml]]%</f>
        <v>14.5</v>
      </c>
      <c r="AQ540" s="94">
        <f>Table3.110[[#This Row],[CH4 24h, ml]]/Table3.110[[#This Row],[Net gas 24h, ml]]%</f>
        <v>15.392283053923645</v>
      </c>
      <c r="AR540" s="94">
        <f>Table3.110[[#This Row],[CH4 24h, ml]]/Table3.110[[#This Row],[DM Incubated, mg]]*1000</f>
        <v>30.842525847114217</v>
      </c>
      <c r="AS540" s="94">
        <f>Table3.110[[#This Row],[CH4 24h, ml]]/Table3.110[[#This Row],[Digested feed, mg]]*1000</f>
        <v>89.399542542591192</v>
      </c>
      <c r="AT540" s="94">
        <f>Table3.110[[#This Row],[CH4 24h, ml]]/'3.2 Digest'!AA540</f>
        <v>3.5594458891755187</v>
      </c>
      <c r="AU540" s="94">
        <f>((Table3.110[[#This Row],[CH4 24h, ml]]/28.9)*16.04)/Table3.110[[#This Row],[DM Incubated, mg]]*1000</f>
        <v>17.118135452862006</v>
      </c>
      <c r="AV540" s="94">
        <f>((Table3.110[[#This Row],[CH4 24h, ml]]/28.9)*16.04)/Table3.110[[#This Row],[Digested feed, mg]]*1000</f>
        <v>49.61829281602639</v>
      </c>
      <c r="AW540" s="303"/>
    </row>
    <row r="541" spans="1:49" s="304" customFormat="1" x14ac:dyDescent="0.35">
      <c r="A541" s="89"/>
      <c r="B541" s="90">
        <f t="shared" si="8"/>
        <v>531</v>
      </c>
      <c r="C541" s="140">
        <v>46050</v>
      </c>
      <c r="D541" s="92"/>
      <c r="E541" s="6" t="s">
        <v>195</v>
      </c>
      <c r="F541" s="133" t="s">
        <v>105</v>
      </c>
      <c r="G541" s="133" t="s">
        <v>188</v>
      </c>
      <c r="H541" s="133" t="s">
        <v>189</v>
      </c>
      <c r="I541" s="133" t="s">
        <v>108</v>
      </c>
      <c r="J541" s="135" t="s">
        <v>109</v>
      </c>
      <c r="K541" s="135" t="s">
        <v>110</v>
      </c>
      <c r="L541" s="6" t="s">
        <v>194</v>
      </c>
      <c r="M541" s="93">
        <v>28</v>
      </c>
      <c r="N541" s="93">
        <v>61</v>
      </c>
      <c r="O541" s="6">
        <v>2</v>
      </c>
      <c r="P541" s="129">
        <v>1</v>
      </c>
      <c r="Q541" s="6">
        <v>0</v>
      </c>
      <c r="R541" s="98">
        <v>0.50009999999999999</v>
      </c>
      <c r="S541" s="94">
        <f>((Table3.110[[#This Row],[Sample weight, g]]*'2.1. DM'!Q117)/100)*1000</f>
        <v>480.19901759823972</v>
      </c>
      <c r="T541" s="94">
        <f>'3.2 Digest'!W541</f>
        <v>205.49901759823979</v>
      </c>
      <c r="U541" s="153">
        <v>0.3527777777777778</v>
      </c>
      <c r="V541" s="155">
        <v>40.5</v>
      </c>
      <c r="W541" s="153">
        <v>0.69027777777777777</v>
      </c>
      <c r="X541" s="91">
        <v>79.5</v>
      </c>
      <c r="Y541" s="91">
        <v>15</v>
      </c>
      <c r="Z541" s="154">
        <v>40</v>
      </c>
      <c r="AA541" s="153">
        <v>0.39305555555555555</v>
      </c>
      <c r="AB541" s="154">
        <v>100</v>
      </c>
      <c r="AC541" s="154">
        <v>16.100000000000001</v>
      </c>
      <c r="AD541" s="91" t="s">
        <v>569</v>
      </c>
      <c r="AE541" s="94">
        <f>Table3.110[[#This Row],[Gas 8h, ml]]-Table3.110[[#This Row],[Gas 0h, ml]]</f>
        <v>39</v>
      </c>
      <c r="AF541" s="94">
        <f>Table3.110[[#This Row],[Gas 24h, ml]]-Table3.110[[#This Row],[V8 Push back, ml]]</f>
        <v>60</v>
      </c>
      <c r="AG541" s="94">
        <f>Table3.110[[#This Row],[GP 8h, ml]]-(AVERAGE(AE$479,AE$480,AE$660,AE$661,AE$662,AE$663))*AG$8</f>
        <v>35.607474101643646</v>
      </c>
      <c r="AH541" s="94">
        <f>Table3.110[[#This Row],[GP 8-24h, ml]]-(AVERAGE(AF$479,AF$480,AF$660,AF$661,AF$662,AF$663))*AG$8</f>
        <v>55.685592064046816</v>
      </c>
      <c r="AI541" s="94">
        <f>Table3.110[[#This Row],[Net gas 8-24h, ml]]+Table3.110[[#This Row],[Net gas 8h, ml]]</f>
        <v>91.293066165690462</v>
      </c>
      <c r="AJ541" s="94">
        <f>Table3.110[[#This Row],[Net gas 8h, ml]]*Table3.110[[#This Row],[CH4 8h %]]%</f>
        <v>5.3411211152465468</v>
      </c>
      <c r="AK541" s="94">
        <f>Table3.110[[#This Row],[Net gas 8-24h, ml]]*Table3.110[[#This Row],[CH4 24h, %]]%</f>
        <v>8.9653803223115371</v>
      </c>
      <c r="AL541" s="94">
        <f>Table3.110[[#This Row],[CH4 8-24h, ml]]+Table3.110[[#This Row],[CH4 8h, ml]]</f>
        <v>14.306501437558083</v>
      </c>
      <c r="AM541" s="94">
        <f>(Table3.110[[#This Row],[Net gas 24h, ml]]/Table3.110[[#This Row],[DM Incubated, mg]])*1000</f>
        <v>190.11506233873877</v>
      </c>
      <c r="AN541" s="94">
        <f>'3.2 Digest'!X541</f>
        <v>42.794551856033017</v>
      </c>
      <c r="AO541" s="94">
        <f>Table3.110[[#This Row],[Digested feed, mg]]/Table3.110[[#This Row],[Net gas 24h, ml]]</f>
        <v>2.2509816597163423</v>
      </c>
      <c r="AP541" s="94">
        <f>Table3.110[[#This Row],[CH4 8h, ml]]/Table3.110[[#This Row],[Net gas 8h, ml]]%</f>
        <v>15</v>
      </c>
      <c r="AQ541" s="94">
        <f>Table3.110[[#This Row],[CH4 24h, ml]]/Table3.110[[#This Row],[Net gas 24h, ml]]%</f>
        <v>15.67096170435638</v>
      </c>
      <c r="AR541" s="94">
        <f>Table3.110[[#This Row],[CH4 24h, ml]]/Table3.110[[#This Row],[DM Incubated, mg]]*1000</f>
        <v>29.792858613317009</v>
      </c>
      <c r="AS541" s="94">
        <f>Table3.110[[#This Row],[CH4 24h, ml]]/Table3.110[[#This Row],[Digested feed, mg]]*1000</f>
        <v>69.618344675145678</v>
      </c>
      <c r="AT541" s="94">
        <f>Table3.110[[#This Row],[CH4 24h, ml]]/'3.2 Digest'!AA541</f>
        <v>0.91240663604291083</v>
      </c>
      <c r="AU541" s="94">
        <f>((Table3.110[[#This Row],[CH4 24h, ml]]/28.9)*16.04)/Table3.110[[#This Row],[DM Incubated, mg]]*1000</f>
        <v>16.535551977771796</v>
      </c>
      <c r="AV541" s="94">
        <f>((Table3.110[[#This Row],[CH4 24h, ml]]/28.9)*16.04)/Table3.110[[#This Row],[Digested feed, mg]]*1000</f>
        <v>38.639385764336907</v>
      </c>
      <c r="AW541" s="303"/>
    </row>
    <row r="542" spans="1:49" s="304" customFormat="1" x14ac:dyDescent="0.35">
      <c r="A542" s="89"/>
      <c r="B542" s="90">
        <f t="shared" si="8"/>
        <v>532</v>
      </c>
      <c r="C542" s="140">
        <v>46050</v>
      </c>
      <c r="D542" s="92"/>
      <c r="E542" s="6" t="s">
        <v>195</v>
      </c>
      <c r="F542" s="133" t="s">
        <v>105</v>
      </c>
      <c r="G542" s="133" t="s">
        <v>188</v>
      </c>
      <c r="H542" s="133" t="s">
        <v>189</v>
      </c>
      <c r="I542" s="133" t="s">
        <v>108</v>
      </c>
      <c r="J542" s="135" t="s">
        <v>109</v>
      </c>
      <c r="K542" s="135" t="s">
        <v>110</v>
      </c>
      <c r="L542" s="6" t="s">
        <v>194</v>
      </c>
      <c r="M542" s="93">
        <v>28</v>
      </c>
      <c r="N542" s="93">
        <v>61</v>
      </c>
      <c r="O542" s="6">
        <v>2</v>
      </c>
      <c r="P542" s="129">
        <v>2</v>
      </c>
      <c r="Q542" s="6">
        <v>0</v>
      </c>
      <c r="R542" s="98">
        <v>0.50029999999999997</v>
      </c>
      <c r="S542" s="94">
        <f>((Table3.110[[#This Row],[Sample weight, g]]*'2.1. DM'!Q117)/100)*1000</f>
        <v>480.39105879703925</v>
      </c>
      <c r="T542" s="94">
        <f>'3.2 Digest'!W542</f>
        <v>117.59105879703935</v>
      </c>
      <c r="U542" s="117">
        <v>0.3527777777777778</v>
      </c>
      <c r="V542" s="155">
        <v>40.5</v>
      </c>
      <c r="W542" s="117">
        <v>0.69097222222222221</v>
      </c>
      <c r="X542" s="96">
        <v>81</v>
      </c>
      <c r="Y542" s="96">
        <v>14.7</v>
      </c>
      <c r="Z542" s="155">
        <v>40</v>
      </c>
      <c r="AA542" s="117">
        <v>0.39305555555555555</v>
      </c>
      <c r="AB542" s="155">
        <v>96</v>
      </c>
      <c r="AC542" s="155">
        <v>16.100000000000001</v>
      </c>
      <c r="AD542" s="96"/>
      <c r="AE542" s="94">
        <f>Table3.110[[#This Row],[Gas 8h, ml]]-Table3.110[[#This Row],[Gas 0h, ml]]</f>
        <v>40.5</v>
      </c>
      <c r="AF542" s="94">
        <f>Table3.110[[#This Row],[Gas 24h, ml]]-Table3.110[[#This Row],[V8 Push back, ml]]</f>
        <v>56</v>
      </c>
      <c r="AG542" s="94">
        <f>Table3.110[[#This Row],[GP 8h, ml]]-(AVERAGE(AE$479,AE$480,AE$660,AE$661,AE$662,AE$663))*AG$8</f>
        <v>37.107474101643646</v>
      </c>
      <c r="AH542" s="94">
        <f>Table3.110[[#This Row],[GP 8-24h, ml]]-(AVERAGE(AF$479,AF$480,AF$660,AF$661,AF$662,AF$663))*AG$8</f>
        <v>51.685592064046816</v>
      </c>
      <c r="AI542" s="94">
        <f>Table3.110[[#This Row],[Net gas 8-24h, ml]]+Table3.110[[#This Row],[Net gas 8h, ml]]</f>
        <v>88.793066165690462</v>
      </c>
      <c r="AJ542" s="94">
        <f>Table3.110[[#This Row],[Net gas 8h, ml]]*Table3.110[[#This Row],[CH4 8h %]]%</f>
        <v>5.4547986929416155</v>
      </c>
      <c r="AK542" s="94">
        <f>Table3.110[[#This Row],[Net gas 8-24h, ml]]*Table3.110[[#This Row],[CH4 24h, %]]%</f>
        <v>8.321380322311537</v>
      </c>
      <c r="AL542" s="94">
        <f>Table3.110[[#This Row],[CH4 8-24h, ml]]+Table3.110[[#This Row],[CH4 8h, ml]]</f>
        <v>13.776179015253152</v>
      </c>
      <c r="AM542" s="94">
        <f>(Table3.110[[#This Row],[Net gas 24h, ml]]/Table3.110[[#This Row],[DM Incubated, mg]])*1000</f>
        <v>184.83496838604714</v>
      </c>
      <c r="AN542" s="94">
        <f>'3.2 Digest'!X542</f>
        <v>24.478194721505105</v>
      </c>
      <c r="AO542" s="94">
        <f>Table3.110[[#This Row],[Digested feed, mg]]/Table3.110[[#This Row],[Net gas 24h, ml]]</f>
        <v>1.3243270434834518</v>
      </c>
      <c r="AP542" s="94">
        <f>Table3.110[[#This Row],[CH4 8h, ml]]/Table3.110[[#This Row],[Net gas 8h, ml]]%</f>
        <v>14.7</v>
      </c>
      <c r="AQ542" s="94">
        <f>Table3.110[[#This Row],[CH4 24h, ml]]/Table3.110[[#This Row],[Net gas 24h, ml]]%</f>
        <v>15.514926570444588</v>
      </c>
      <c r="AR542" s="94">
        <f>Table3.110[[#This Row],[CH4 24h, ml]]/Table3.110[[#This Row],[DM Incubated, mg]]*1000</f>
        <v>28.67700962159968</v>
      </c>
      <c r="AS542" s="94">
        <f>Table3.110[[#This Row],[CH4 24h, ml]]/Table3.110[[#This Row],[Digested feed, mg]]*1000</f>
        <v>117.15328662046201</v>
      </c>
      <c r="AT542" s="94">
        <f>Table3.110[[#This Row],[CH4 24h, ml]]/'3.2 Digest'!AA542</f>
        <v>-1.217181826201883</v>
      </c>
      <c r="AU542" s="94">
        <f>((Table3.110[[#This Row],[CH4 24h, ml]]/28.9)*16.04)/Table3.110[[#This Row],[DM Incubated, mg]]*1000</f>
        <v>15.916236482022796</v>
      </c>
      <c r="AV542" s="94">
        <f>((Table3.110[[#This Row],[CH4 24h, ml]]/28.9)*16.04)/Table3.110[[#This Row],[Digested feed, mg]]*1000</f>
        <v>65.022100947827354</v>
      </c>
      <c r="AW542" s="303"/>
    </row>
    <row r="543" spans="1:49" s="304" customFormat="1" x14ac:dyDescent="0.35">
      <c r="A543" s="89"/>
      <c r="B543" s="90">
        <f t="shared" si="8"/>
        <v>533</v>
      </c>
      <c r="C543" s="140">
        <v>46050</v>
      </c>
      <c r="D543" s="92"/>
      <c r="E543" s="6" t="s">
        <v>195</v>
      </c>
      <c r="F543" s="133" t="s">
        <v>105</v>
      </c>
      <c r="G543" s="133" t="s">
        <v>188</v>
      </c>
      <c r="H543" s="133" t="s">
        <v>189</v>
      </c>
      <c r="I543" s="133" t="s">
        <v>108</v>
      </c>
      <c r="J543" s="135" t="s">
        <v>109</v>
      </c>
      <c r="K543" s="135" t="s">
        <v>110</v>
      </c>
      <c r="L543" s="6" t="s">
        <v>194</v>
      </c>
      <c r="M543" s="93">
        <v>28</v>
      </c>
      <c r="N543" s="93">
        <v>61</v>
      </c>
      <c r="O543" s="6">
        <v>2</v>
      </c>
      <c r="P543" s="129">
        <v>3</v>
      </c>
      <c r="Q543" s="6">
        <v>0</v>
      </c>
      <c r="R543" s="98">
        <v>0.50009999999999999</v>
      </c>
      <c r="S543" s="94">
        <f>((Table3.110[[#This Row],[Sample weight, g]]*'2.1. DM'!Q117)/100)*1000</f>
        <v>480.19901759823972</v>
      </c>
      <c r="T543" s="94">
        <f>'3.2 Digest'!W543</f>
        <v>201.0990175982397</v>
      </c>
      <c r="U543" s="153">
        <v>0.35347222222222224</v>
      </c>
      <c r="V543" s="155">
        <v>40.5</v>
      </c>
      <c r="W543" s="153">
        <v>0.69166666666666665</v>
      </c>
      <c r="X543" s="91">
        <v>80</v>
      </c>
      <c r="Y543" s="91">
        <v>15.1</v>
      </c>
      <c r="Z543" s="154">
        <v>40</v>
      </c>
      <c r="AA543" s="153">
        <v>0.39374999999999999</v>
      </c>
      <c r="AB543" s="154">
        <v>97.5</v>
      </c>
      <c r="AC543" s="154">
        <v>15.1</v>
      </c>
      <c r="AD543" s="91"/>
      <c r="AE543" s="94">
        <f>Table3.110[[#This Row],[Gas 8h, ml]]-Table3.110[[#This Row],[Gas 0h, ml]]</f>
        <v>39.5</v>
      </c>
      <c r="AF543" s="94">
        <f>Table3.110[[#This Row],[Gas 24h, ml]]-Table3.110[[#This Row],[V8 Push back, ml]]</f>
        <v>57.5</v>
      </c>
      <c r="AG543" s="94">
        <f>Table3.110[[#This Row],[GP 8h, ml]]-(AVERAGE(AE$479,AE$480,AE$660,AE$661,AE$662,AE$663))*AG$8</f>
        <v>36.107474101643646</v>
      </c>
      <c r="AH543" s="94">
        <f>Table3.110[[#This Row],[GP 8-24h, ml]]-(AVERAGE(AF$479,AF$480,AF$660,AF$661,AF$662,AF$663))*AG$8</f>
        <v>53.185592064046816</v>
      </c>
      <c r="AI543" s="94">
        <f>Table3.110[[#This Row],[Net gas 8-24h, ml]]+Table3.110[[#This Row],[Net gas 8h, ml]]</f>
        <v>89.293066165690462</v>
      </c>
      <c r="AJ543" s="94">
        <f>Table3.110[[#This Row],[Net gas 8h, ml]]*Table3.110[[#This Row],[CH4 8h %]]%</f>
        <v>5.4522285893481905</v>
      </c>
      <c r="AK543" s="94">
        <f>Table3.110[[#This Row],[Net gas 8-24h, ml]]*Table3.110[[#This Row],[CH4 24h, %]]%</f>
        <v>8.0310244016710683</v>
      </c>
      <c r="AL543" s="94">
        <f>Table3.110[[#This Row],[CH4 8-24h, ml]]+Table3.110[[#This Row],[CH4 8h, ml]]</f>
        <v>13.48325299101926</v>
      </c>
      <c r="AM543" s="94">
        <f>(Table3.110[[#This Row],[Net gas 24h, ml]]/Table3.110[[#This Row],[DM Incubated, mg]])*1000</f>
        <v>185.95012253939643</v>
      </c>
      <c r="AN543" s="94">
        <f>'3.2 Digest'!X543</f>
        <v>41.878265100177678</v>
      </c>
      <c r="AO543" s="94">
        <f>Table3.110[[#This Row],[Digested feed, mg]]/Table3.110[[#This Row],[Net gas 24h, ml]]</f>
        <v>2.2521235548691352</v>
      </c>
      <c r="AP543" s="94">
        <f>Table3.110[[#This Row],[CH4 8h, ml]]/Table3.110[[#This Row],[Net gas 8h, ml]]%</f>
        <v>15.100000000000001</v>
      </c>
      <c r="AQ543" s="94">
        <f>Table3.110[[#This Row],[CH4 24h, ml]]/Table3.110[[#This Row],[Net gas 24h, ml]]%</f>
        <v>15.1</v>
      </c>
      <c r="AR543" s="94">
        <f>Table3.110[[#This Row],[CH4 24h, ml]]/Table3.110[[#This Row],[DM Incubated, mg]]*1000</f>
        <v>28.07846850344886</v>
      </c>
      <c r="AS543" s="94">
        <f>Table3.110[[#This Row],[CH4 24h, ml]]/Table3.110[[#This Row],[Digested feed, mg]]*1000</f>
        <v>67.047831222907405</v>
      </c>
      <c r="AT543" s="94">
        <f>Table3.110[[#This Row],[CH4 24h, ml]]/'3.2 Digest'!AA543</f>
        <v>0.94095237952817345</v>
      </c>
      <c r="AU543" s="94">
        <f>((Table3.110[[#This Row],[CH4 24h, ml]]/28.9)*16.04)/Table3.110[[#This Row],[DM Incubated, mg]]*1000</f>
        <v>15.584035806066426</v>
      </c>
      <c r="AV543" s="94">
        <f>((Table3.110[[#This Row],[CH4 24h, ml]]/28.9)*16.04)/Table3.110[[#This Row],[Digested feed, mg]]*1000</f>
        <v>37.212706325793583</v>
      </c>
      <c r="AW543" s="303"/>
    </row>
    <row r="544" spans="1:49" s="304" customFormat="1" x14ac:dyDescent="0.35">
      <c r="A544" s="89"/>
      <c r="B544" s="90">
        <f t="shared" si="8"/>
        <v>534</v>
      </c>
      <c r="C544" s="140">
        <v>46050</v>
      </c>
      <c r="D544" s="92"/>
      <c r="E544" s="6" t="s">
        <v>197</v>
      </c>
      <c r="F544" s="133" t="s">
        <v>105</v>
      </c>
      <c r="G544" s="133" t="s">
        <v>188</v>
      </c>
      <c r="H544" s="133" t="s">
        <v>189</v>
      </c>
      <c r="I544" s="133" t="s">
        <v>108</v>
      </c>
      <c r="J544" s="135" t="s">
        <v>109</v>
      </c>
      <c r="K544" s="135" t="s">
        <v>110</v>
      </c>
      <c r="L544" s="6" t="s">
        <v>196</v>
      </c>
      <c r="M544" s="93">
        <v>28</v>
      </c>
      <c r="N544" s="93">
        <v>61</v>
      </c>
      <c r="O544" s="6">
        <v>2</v>
      </c>
      <c r="P544" s="129">
        <v>1</v>
      </c>
      <c r="Q544" s="6">
        <v>0</v>
      </c>
      <c r="R544" s="98">
        <v>0.50009999999999999</v>
      </c>
      <c r="S544" s="94">
        <f>((Table3.110[[#This Row],[Sample weight, g]]*'2.1. DM'!Q119)/100)*1000</f>
        <v>479.89798020197964</v>
      </c>
      <c r="T544" s="94">
        <f>'3.2 Digest'!W544</f>
        <v>18.297980201979499</v>
      </c>
      <c r="U544" s="117">
        <v>0.35347222222222224</v>
      </c>
      <c r="V544" s="155">
        <v>40.5</v>
      </c>
      <c r="W544" s="117">
        <v>0.69166666666666665</v>
      </c>
      <c r="X544" s="96">
        <v>88.5</v>
      </c>
      <c r="Y544" s="96">
        <v>14.1</v>
      </c>
      <c r="Z544" s="155">
        <v>40</v>
      </c>
      <c r="AA544" s="117">
        <v>0.39374999999999999</v>
      </c>
      <c r="AB544" s="155">
        <v>105</v>
      </c>
      <c r="AC544" s="155">
        <v>16</v>
      </c>
      <c r="AD544" s="96" t="s">
        <v>569</v>
      </c>
      <c r="AE544" s="94">
        <f>Table3.110[[#This Row],[Gas 8h, ml]]-Table3.110[[#This Row],[Gas 0h, ml]]</f>
        <v>48</v>
      </c>
      <c r="AF544" s="94">
        <f>Table3.110[[#This Row],[Gas 24h, ml]]-Table3.110[[#This Row],[V8 Push back, ml]]</f>
        <v>65</v>
      </c>
      <c r="AG544" s="94"/>
      <c r="AH544" s="94"/>
      <c r="AI544" s="94"/>
      <c r="AJ544" s="94"/>
      <c r="AK544" s="94"/>
      <c r="AL544" s="94"/>
      <c r="AM544" s="94"/>
      <c r="AN544" s="94"/>
      <c r="AO544" s="94"/>
      <c r="AP544" s="94"/>
      <c r="AQ544" s="94"/>
      <c r="AR544" s="94"/>
      <c r="AS544" s="94"/>
      <c r="AT544" s="94"/>
      <c r="AU544" s="94"/>
      <c r="AV544" s="94"/>
      <c r="AW544" s="303"/>
    </row>
    <row r="545" spans="1:49" s="304" customFormat="1" x14ac:dyDescent="0.35">
      <c r="A545" s="89"/>
      <c r="B545" s="90">
        <f t="shared" si="8"/>
        <v>535</v>
      </c>
      <c r="C545" s="140">
        <v>46050</v>
      </c>
      <c r="D545" s="92"/>
      <c r="E545" s="6" t="s">
        <v>197</v>
      </c>
      <c r="F545" s="133" t="s">
        <v>105</v>
      </c>
      <c r="G545" s="133" t="s">
        <v>188</v>
      </c>
      <c r="H545" s="133" t="s">
        <v>189</v>
      </c>
      <c r="I545" s="133" t="s">
        <v>108</v>
      </c>
      <c r="J545" s="135" t="s">
        <v>109</v>
      </c>
      <c r="K545" s="135" t="s">
        <v>110</v>
      </c>
      <c r="L545" s="6" t="s">
        <v>196</v>
      </c>
      <c r="M545" s="93">
        <v>28</v>
      </c>
      <c r="N545" s="93">
        <v>61</v>
      </c>
      <c r="O545" s="6">
        <v>2</v>
      </c>
      <c r="P545" s="129">
        <v>2</v>
      </c>
      <c r="Q545" s="6">
        <v>0</v>
      </c>
      <c r="R545" s="98">
        <v>0.5</v>
      </c>
      <c r="S545" s="94">
        <f>((Table3.110[[#This Row],[Sample weight, g]]*'2.1. DM'!Q119)/100)*1000</f>
        <v>479.80201979802007</v>
      </c>
      <c r="T545" s="94">
        <f>'3.2 Digest'!W545</f>
        <v>203.90201979802004</v>
      </c>
      <c r="U545" s="153">
        <v>0.35416666666666669</v>
      </c>
      <c r="V545" s="155">
        <v>40.5</v>
      </c>
      <c r="W545" s="153">
        <v>0.69236111111111109</v>
      </c>
      <c r="X545" s="91">
        <v>87.5</v>
      </c>
      <c r="Y545" s="91">
        <v>14.5</v>
      </c>
      <c r="Z545" s="154">
        <v>40</v>
      </c>
      <c r="AA545" s="153">
        <v>0.39444444444444443</v>
      </c>
      <c r="AB545" s="154">
        <v>104.5</v>
      </c>
      <c r="AC545" s="154">
        <v>16.3</v>
      </c>
      <c r="AD545" s="91"/>
      <c r="AE545" s="94">
        <f>Table3.110[[#This Row],[Gas 8h, ml]]-Table3.110[[#This Row],[Gas 0h, ml]]</f>
        <v>47</v>
      </c>
      <c r="AF545" s="94">
        <f>Table3.110[[#This Row],[Gas 24h, ml]]-Table3.110[[#This Row],[V8 Push back, ml]]</f>
        <v>64.5</v>
      </c>
      <c r="AG545" s="94">
        <f>Table3.110[[#This Row],[GP 8h, ml]]-(AVERAGE(AE$479,AE$480,AE$660,AE$661,AE$662,AE$663))*AG$8</f>
        <v>43.607474101643646</v>
      </c>
      <c r="AH545" s="94">
        <f>Table3.110[[#This Row],[GP 8-24h, ml]]-(AVERAGE(AF$479,AF$480,AF$660,AF$661,AF$662,AF$663))*AG$8</f>
        <v>60.185592064046816</v>
      </c>
      <c r="AI545" s="94">
        <f>Table3.110[[#This Row],[Net gas 8-24h, ml]]+Table3.110[[#This Row],[Net gas 8h, ml]]</f>
        <v>103.79306616569046</v>
      </c>
      <c r="AJ545" s="94">
        <f>Table3.110[[#This Row],[Net gas 8h, ml]]*Table3.110[[#This Row],[CH4 8h %]]%</f>
        <v>6.3230837447383283</v>
      </c>
      <c r="AK545" s="94">
        <f>Table3.110[[#This Row],[Net gas 8-24h, ml]]*Table3.110[[#This Row],[CH4 24h, %]]%</f>
        <v>9.8102515064396307</v>
      </c>
      <c r="AL545" s="94">
        <f>Table3.110[[#This Row],[CH4 8-24h, ml]]+Table3.110[[#This Row],[CH4 8h, ml]]</f>
        <v>16.133335251177961</v>
      </c>
      <c r="AM545" s="94">
        <f>(Table3.110[[#This Row],[Net gas 24h, ml]]/Table3.110[[#This Row],[DM Incubated, mg]])*1000</f>
        <v>216.32477956091915</v>
      </c>
      <c r="AN545" s="94">
        <f>'3.2 Digest'!X545</f>
        <v>42.49711576534331</v>
      </c>
      <c r="AO545" s="94">
        <f>Table3.110[[#This Row],[Digested feed, mg]]/Table3.110[[#This Row],[Net gas 24h, ml]]</f>
        <v>1.9645052153341367</v>
      </c>
      <c r="AP545" s="94">
        <f>Table3.110[[#This Row],[CH4 8h, ml]]/Table3.110[[#This Row],[Net gas 8h, ml]]%</f>
        <v>14.5</v>
      </c>
      <c r="AQ545" s="94">
        <f>Table3.110[[#This Row],[CH4 24h, ml]]/Table3.110[[#This Row],[Net gas 24h, ml]]%</f>
        <v>15.543750509714636</v>
      </c>
      <c r="AR545" s="94">
        <f>Table3.110[[#This Row],[CH4 24h, ml]]/Table3.110[[#This Row],[DM Incubated, mg]]*1000</f>
        <v>33.624984025639442</v>
      </c>
      <c r="AS545" s="94">
        <f>Table3.110[[#This Row],[CH4 24h, ml]]/Table3.110[[#This Row],[Digested feed, mg]]*1000</f>
        <v>79.122979101233113</v>
      </c>
      <c r="AT545" s="94">
        <f>Table3.110[[#This Row],[CH4 24h, ml]]/'3.2 Digest'!AA545</f>
        <v>1.0960101359959202</v>
      </c>
      <c r="AU545" s="94">
        <f>((Table3.110[[#This Row],[CH4 24h, ml]]/28.9)*16.04)/Table3.110[[#This Row],[DM Incubated, mg]]*1000</f>
        <v>18.662447881358361</v>
      </c>
      <c r="AV545" s="94">
        <f>((Table3.110[[#This Row],[CH4 24h, ml]]/28.9)*16.04)/Table3.110[[#This Row],[Digested feed, mg]]*1000</f>
        <v>43.914622310857418</v>
      </c>
      <c r="AW545" s="303"/>
    </row>
    <row r="546" spans="1:49" s="304" customFormat="1" x14ac:dyDescent="0.35">
      <c r="A546" s="89"/>
      <c r="B546" s="90">
        <f t="shared" si="8"/>
        <v>536</v>
      </c>
      <c r="C546" s="140">
        <v>46050</v>
      </c>
      <c r="D546" s="92"/>
      <c r="E546" s="6" t="s">
        <v>197</v>
      </c>
      <c r="F546" s="133" t="s">
        <v>105</v>
      </c>
      <c r="G546" s="133" t="s">
        <v>188</v>
      </c>
      <c r="H546" s="133" t="s">
        <v>189</v>
      </c>
      <c r="I546" s="133" t="s">
        <v>108</v>
      </c>
      <c r="J546" s="135" t="s">
        <v>109</v>
      </c>
      <c r="K546" s="135" t="s">
        <v>110</v>
      </c>
      <c r="L546" s="6" t="s">
        <v>196</v>
      </c>
      <c r="M546" s="93">
        <v>28</v>
      </c>
      <c r="N546" s="93">
        <v>61</v>
      </c>
      <c r="O546" s="6">
        <v>2</v>
      </c>
      <c r="P546" s="129">
        <v>3</v>
      </c>
      <c r="Q546" s="6">
        <v>0</v>
      </c>
      <c r="R546" s="98">
        <v>0.50029999999999997</v>
      </c>
      <c r="S546" s="94">
        <f>((Table3.110[[#This Row],[Sample weight, g]]*'2.1. DM'!Q119)/100)*1000</f>
        <v>480.08990100989882</v>
      </c>
      <c r="T546" s="94">
        <f>'3.2 Digest'!W546</f>
        <v>218.9899010098988</v>
      </c>
      <c r="U546" s="117">
        <v>0.35416666666666669</v>
      </c>
      <c r="V546" s="155">
        <v>40.5</v>
      </c>
      <c r="W546" s="117">
        <v>0.69305555555555554</v>
      </c>
      <c r="X546" s="96">
        <v>88</v>
      </c>
      <c r="Y546" s="96">
        <v>13.9</v>
      </c>
      <c r="Z546" s="155">
        <v>40</v>
      </c>
      <c r="AA546" s="117">
        <v>0.39513888888888887</v>
      </c>
      <c r="AB546" s="155">
        <v>105</v>
      </c>
      <c r="AC546" s="155">
        <v>16.100000000000001</v>
      </c>
      <c r="AD546" s="96"/>
      <c r="AE546" s="94">
        <f>Table3.110[[#This Row],[Gas 8h, ml]]-Table3.110[[#This Row],[Gas 0h, ml]]</f>
        <v>47.5</v>
      </c>
      <c r="AF546" s="94">
        <f>Table3.110[[#This Row],[Gas 24h, ml]]-Table3.110[[#This Row],[V8 Push back, ml]]</f>
        <v>65</v>
      </c>
      <c r="AG546" s="94">
        <f>Table3.110[[#This Row],[GP 8h, ml]]-(AVERAGE(AE$479,AE$480,AE$660,AE$661,AE$662,AE$663))*AG$8</f>
        <v>44.107474101643646</v>
      </c>
      <c r="AH546" s="94">
        <f>Table3.110[[#This Row],[GP 8-24h, ml]]-(AVERAGE(AF$479,AF$480,AF$660,AF$661,AF$662,AF$663))*AG$8</f>
        <v>60.685592064046816</v>
      </c>
      <c r="AI546" s="94">
        <f>Table3.110[[#This Row],[Net gas 8-24h, ml]]+Table3.110[[#This Row],[Net gas 8h, ml]]</f>
        <v>104.79306616569046</v>
      </c>
      <c r="AJ546" s="94">
        <f>Table3.110[[#This Row],[Net gas 8h, ml]]*Table3.110[[#This Row],[CH4 8h %]]%</f>
        <v>6.1309389001284673</v>
      </c>
      <c r="AK546" s="94">
        <f>Table3.110[[#This Row],[Net gas 8-24h, ml]]*Table3.110[[#This Row],[CH4 24h, %]]%</f>
        <v>9.7703803223115369</v>
      </c>
      <c r="AL546" s="94">
        <f>Table3.110[[#This Row],[CH4 8-24h, ml]]+Table3.110[[#This Row],[CH4 8h, ml]]</f>
        <v>15.901319222440005</v>
      </c>
      <c r="AM546" s="94">
        <f>(Table3.110[[#This Row],[Net gas 24h, ml]]/Table3.110[[#This Row],[DM Incubated, mg]])*1000</f>
        <v>218.27800573445049</v>
      </c>
      <c r="AN546" s="94">
        <f>'3.2 Digest'!X546</f>
        <v>45.614352759606064</v>
      </c>
      <c r="AO546" s="94">
        <f>Table3.110[[#This Row],[Digested feed, mg]]/Table3.110[[#This Row],[Net gas 24h, ml]]</f>
        <v>2.0897365543598982</v>
      </c>
      <c r="AP546" s="94">
        <f>Table3.110[[#This Row],[CH4 8h, ml]]/Table3.110[[#This Row],[Net gas 8h, ml]]%</f>
        <v>13.900000000000002</v>
      </c>
      <c r="AQ546" s="94">
        <f>Table3.110[[#This Row],[CH4 24h, ml]]/Table3.110[[#This Row],[Net gas 24h, ml]]%</f>
        <v>15.174018476850467</v>
      </c>
      <c r="AR546" s="94">
        <f>Table3.110[[#This Row],[CH4 24h, ml]]/Table3.110[[#This Row],[DM Incubated, mg]]*1000</f>
        <v>33.121544921046237</v>
      </c>
      <c r="AS546" s="94">
        <f>Table3.110[[#This Row],[CH4 24h, ml]]/Table3.110[[#This Row],[Digested feed, mg]]*1000</f>
        <v>72.612112015709954</v>
      </c>
      <c r="AT546" s="94">
        <f>Table3.110[[#This Row],[CH4 24h, ml]]/'3.2 Digest'!AA546</f>
        <v>0.82206699146641193</v>
      </c>
      <c r="AU546" s="94">
        <f>((Table3.110[[#This Row],[CH4 24h, ml]]/28.9)*16.04)/Table3.110[[#This Row],[DM Incubated, mg]]*1000</f>
        <v>18.383030468290023</v>
      </c>
      <c r="AV546" s="94">
        <f>((Table3.110[[#This Row],[CH4 24h, ml]]/28.9)*16.04)/Table3.110[[#This Row],[Digested feed, mg]]*1000</f>
        <v>40.300978433632793</v>
      </c>
      <c r="AW546" s="303"/>
    </row>
    <row r="547" spans="1:49" s="304" customFormat="1" x14ac:dyDescent="0.35">
      <c r="A547" s="89"/>
      <c r="B547" s="90">
        <f t="shared" si="8"/>
        <v>537</v>
      </c>
      <c r="C547" s="140">
        <v>46050</v>
      </c>
      <c r="D547" s="92"/>
      <c r="E547" s="6" t="s">
        <v>199</v>
      </c>
      <c r="F547" s="133" t="s">
        <v>105</v>
      </c>
      <c r="G547" s="133" t="s">
        <v>188</v>
      </c>
      <c r="H547" s="133" t="s">
        <v>189</v>
      </c>
      <c r="I547" s="133" t="s">
        <v>108</v>
      </c>
      <c r="J547" s="135" t="s">
        <v>109</v>
      </c>
      <c r="K547" s="135" t="s">
        <v>110</v>
      </c>
      <c r="L547" s="6" t="s">
        <v>198</v>
      </c>
      <c r="M547" s="93">
        <v>28</v>
      </c>
      <c r="N547" s="93">
        <v>61</v>
      </c>
      <c r="O547" s="6">
        <v>2</v>
      </c>
      <c r="P547" s="129">
        <v>1</v>
      </c>
      <c r="Q547" s="6">
        <v>0</v>
      </c>
      <c r="R547" s="98">
        <v>0.50009999999999999</v>
      </c>
      <c r="S547" s="94">
        <f>((Table3.110[[#This Row],[Sample weight, g]]*'2.1. DM'!Q121)/100)*1000</f>
        <v>486.44863513648653</v>
      </c>
      <c r="T547" s="94">
        <f>'3.2 Digest'!W547</f>
        <v>168.74863513648654</v>
      </c>
      <c r="U547" s="153">
        <v>0.35486111111111113</v>
      </c>
      <c r="V547" s="155">
        <v>40.5</v>
      </c>
      <c r="W547" s="153">
        <v>0.69305555555555554</v>
      </c>
      <c r="X547" s="91">
        <v>83.5</v>
      </c>
      <c r="Y547" s="91">
        <v>14.4</v>
      </c>
      <c r="Z547" s="154">
        <v>40</v>
      </c>
      <c r="AA547" s="153">
        <v>0.39583333333333331</v>
      </c>
      <c r="AB547" s="154">
        <v>105</v>
      </c>
      <c r="AC547" s="154">
        <v>16.2</v>
      </c>
      <c r="AD547" s="91" t="s">
        <v>569</v>
      </c>
      <c r="AE547" s="94">
        <f>Table3.110[[#This Row],[Gas 8h, ml]]-Table3.110[[#This Row],[Gas 0h, ml]]</f>
        <v>43</v>
      </c>
      <c r="AF547" s="94">
        <f>Table3.110[[#This Row],[Gas 24h, ml]]-Table3.110[[#This Row],[V8 Push back, ml]]</f>
        <v>65</v>
      </c>
      <c r="AG547" s="94">
        <f>Table3.110[[#This Row],[GP 8h, ml]]-(AVERAGE(AE$479,AE$480,AE$660,AE$661,AE$662,AE$663))*AG$8</f>
        <v>39.607474101643646</v>
      </c>
      <c r="AH547" s="94">
        <f>Table3.110[[#This Row],[GP 8-24h, ml]]-(AVERAGE(AF$479,AF$480,AF$660,AF$661,AF$662,AF$663))*AG$8</f>
        <v>60.685592064046816</v>
      </c>
      <c r="AI547" s="94">
        <f>Table3.110[[#This Row],[Net gas 8-24h, ml]]+Table3.110[[#This Row],[Net gas 8h, ml]]</f>
        <v>100.29306616569046</v>
      </c>
      <c r="AJ547" s="94">
        <f>Table3.110[[#This Row],[Net gas 8h, ml]]*Table3.110[[#This Row],[CH4 8h %]]%</f>
        <v>5.7034762706366857</v>
      </c>
      <c r="AK547" s="94">
        <f>Table3.110[[#This Row],[Net gas 8-24h, ml]]*Table3.110[[#This Row],[CH4 24h, %]]%</f>
        <v>9.8310659143755839</v>
      </c>
      <c r="AL547" s="94">
        <f>Table3.110[[#This Row],[CH4 8-24h, ml]]+Table3.110[[#This Row],[CH4 8h, ml]]</f>
        <v>15.53454218501227</v>
      </c>
      <c r="AM547" s="94">
        <f>(Table3.110[[#This Row],[Net gas 24h, ml]]/Table3.110[[#This Row],[DM Incubated, mg]])*1000</f>
        <v>206.17401082346646</v>
      </c>
      <c r="AN547" s="94">
        <f>'3.2 Digest'!X547</f>
        <v>34.689918513007953</v>
      </c>
      <c r="AO547" s="94">
        <f>Table3.110[[#This Row],[Digested feed, mg]]/Table3.110[[#This Row],[Net gas 24h, ml]]</f>
        <v>1.682555350912327</v>
      </c>
      <c r="AP547" s="94">
        <f>Table3.110[[#This Row],[CH4 8h, ml]]/Table3.110[[#This Row],[Net gas 8h, ml]]%</f>
        <v>14.400000000000002</v>
      </c>
      <c r="AQ547" s="94">
        <f>Table3.110[[#This Row],[CH4 24h, ml]]/Table3.110[[#This Row],[Net gas 24h, ml]]%</f>
        <v>15.489148730729029</v>
      </c>
      <c r="AR547" s="94">
        <f>Table3.110[[#This Row],[CH4 24h, ml]]/Table3.110[[#This Row],[DM Incubated, mg]]*1000</f>
        <v>31.934599180556091</v>
      </c>
      <c r="AS547" s="94">
        <f>Table3.110[[#This Row],[CH4 24h, ml]]/Table3.110[[#This Row],[Digested feed, mg]]*1000</f>
        <v>92.0572908482945</v>
      </c>
      <c r="AT547" s="94">
        <f>Table3.110[[#This Row],[CH4 24h, ml]]/'3.2 Digest'!AA547</f>
        <v>2.6411610745488194</v>
      </c>
      <c r="AU547" s="94">
        <f>((Table3.110[[#This Row],[CH4 24h, ml]]/28.9)*16.04)/Table3.110[[#This Row],[DM Incubated, mg]]*1000</f>
        <v>17.724255046924558</v>
      </c>
      <c r="AV547" s="94">
        <f>((Table3.110[[#This Row],[CH4 24h, ml]]/28.9)*16.04)/Table3.110[[#This Row],[Digested feed, mg]]*1000</f>
        <v>51.093389107496336</v>
      </c>
      <c r="AW547" s="303"/>
    </row>
    <row r="548" spans="1:49" s="304" customFormat="1" x14ac:dyDescent="0.35">
      <c r="A548" s="89"/>
      <c r="B548" s="90">
        <f t="shared" si="8"/>
        <v>538</v>
      </c>
      <c r="C548" s="140">
        <v>46050</v>
      </c>
      <c r="D548" s="92"/>
      <c r="E548" s="6" t="s">
        <v>199</v>
      </c>
      <c r="F548" s="133" t="s">
        <v>105</v>
      </c>
      <c r="G548" s="133" t="s">
        <v>188</v>
      </c>
      <c r="H548" s="133" t="s">
        <v>189</v>
      </c>
      <c r="I548" s="133" t="s">
        <v>108</v>
      </c>
      <c r="J548" s="135" t="s">
        <v>109</v>
      </c>
      <c r="K548" s="135" t="s">
        <v>110</v>
      </c>
      <c r="L548" s="6" t="s">
        <v>198</v>
      </c>
      <c r="M548" s="93">
        <v>28</v>
      </c>
      <c r="N548" s="93">
        <v>61</v>
      </c>
      <c r="O548" s="6">
        <v>2</v>
      </c>
      <c r="P548" s="129">
        <v>2</v>
      </c>
      <c r="Q548" s="6">
        <v>0</v>
      </c>
      <c r="R548" s="98">
        <v>0.50009999999999999</v>
      </c>
      <c r="S548" s="94">
        <f>((Table3.110[[#This Row],[Sample weight, g]]*'2.1. DM'!Q121)/100)*1000</f>
        <v>486.44863513648653</v>
      </c>
      <c r="T548" s="94">
        <f>'3.2 Digest'!W548</f>
        <v>47.248635136486484</v>
      </c>
      <c r="U548" s="117">
        <v>0.35486111111111113</v>
      </c>
      <c r="V548" s="155">
        <v>40.5</v>
      </c>
      <c r="W548" s="117">
        <v>0.69374999999999998</v>
      </c>
      <c r="X548" s="96">
        <v>83</v>
      </c>
      <c r="Y548" s="96">
        <v>14.4</v>
      </c>
      <c r="Z548" s="155">
        <v>40</v>
      </c>
      <c r="AA548" s="117">
        <v>0.39583333333333331</v>
      </c>
      <c r="AB548" s="155">
        <v>105</v>
      </c>
      <c r="AC548" s="155">
        <v>16.2</v>
      </c>
      <c r="AD548" s="96"/>
      <c r="AE548" s="94">
        <f>Table3.110[[#This Row],[Gas 8h, ml]]-Table3.110[[#This Row],[Gas 0h, ml]]</f>
        <v>42.5</v>
      </c>
      <c r="AF548" s="94">
        <f>Table3.110[[#This Row],[Gas 24h, ml]]-Table3.110[[#This Row],[V8 Push back, ml]]</f>
        <v>65</v>
      </c>
      <c r="AG548" s="94"/>
      <c r="AH548" s="94"/>
      <c r="AI548" s="94"/>
      <c r="AJ548" s="94"/>
      <c r="AK548" s="94"/>
      <c r="AL548" s="94"/>
      <c r="AM548" s="94"/>
      <c r="AN548" s="94"/>
      <c r="AO548" s="94"/>
      <c r="AP548" s="94"/>
      <c r="AQ548" s="94"/>
      <c r="AR548" s="94"/>
      <c r="AS548" s="94"/>
      <c r="AT548" s="94"/>
      <c r="AU548" s="94"/>
      <c r="AV548" s="94"/>
      <c r="AW548" s="303"/>
    </row>
    <row r="549" spans="1:49" s="304" customFormat="1" x14ac:dyDescent="0.35">
      <c r="A549" s="89"/>
      <c r="B549" s="90">
        <f t="shared" si="8"/>
        <v>539</v>
      </c>
      <c r="C549" s="140">
        <v>46050</v>
      </c>
      <c r="D549" s="92"/>
      <c r="E549" s="6" t="s">
        <v>199</v>
      </c>
      <c r="F549" s="133" t="s">
        <v>105</v>
      </c>
      <c r="G549" s="133" t="s">
        <v>188</v>
      </c>
      <c r="H549" s="133" t="s">
        <v>189</v>
      </c>
      <c r="I549" s="133" t="s">
        <v>108</v>
      </c>
      <c r="J549" s="135" t="s">
        <v>109</v>
      </c>
      <c r="K549" s="135" t="s">
        <v>110</v>
      </c>
      <c r="L549" s="6" t="s">
        <v>198</v>
      </c>
      <c r="M549" s="93">
        <v>28</v>
      </c>
      <c r="N549" s="93">
        <v>61</v>
      </c>
      <c r="O549" s="6">
        <v>2</v>
      </c>
      <c r="P549" s="129">
        <v>3</v>
      </c>
      <c r="Q549" s="6">
        <v>0</v>
      </c>
      <c r="R549" s="98">
        <v>0.50029999999999997</v>
      </c>
      <c r="S549" s="94">
        <f>((Table3.110[[#This Row],[Sample weight, g]]*'2.1. DM'!Q121)/100)*1000</f>
        <v>486.64317568243195</v>
      </c>
      <c r="T549" s="94">
        <f>'3.2 Digest'!W549</f>
        <v>220.54317568243192</v>
      </c>
      <c r="U549" s="153">
        <v>0.35625000000000001</v>
      </c>
      <c r="V549" s="155">
        <v>40.5</v>
      </c>
      <c r="W549" s="153">
        <v>0.69374999999999998</v>
      </c>
      <c r="X549" s="91">
        <v>82.5</v>
      </c>
      <c r="Y549" s="91">
        <v>14.5</v>
      </c>
      <c r="Z549" s="154">
        <v>40</v>
      </c>
      <c r="AA549" s="153">
        <v>0.39583333333333331</v>
      </c>
      <c r="AB549" s="154">
        <v>97.5</v>
      </c>
      <c r="AC549" s="154">
        <v>16.2</v>
      </c>
      <c r="AD549" s="91"/>
      <c r="AE549" s="94">
        <f>Table3.110[[#This Row],[Gas 8h, ml]]-Table3.110[[#This Row],[Gas 0h, ml]]</f>
        <v>42</v>
      </c>
      <c r="AF549" s="94">
        <f>Table3.110[[#This Row],[Gas 24h, ml]]-Table3.110[[#This Row],[V8 Push back, ml]]</f>
        <v>57.5</v>
      </c>
      <c r="AG549" s="94">
        <f>Table3.110[[#This Row],[GP 8h, ml]]-(AVERAGE(AE$479,AE$480,AE$660,AE$661,AE$662,AE$663))*AG$8</f>
        <v>38.607474101643646</v>
      </c>
      <c r="AH549" s="94">
        <f>Table3.110[[#This Row],[GP 8-24h, ml]]-(AVERAGE(AF$479,AF$480,AF$660,AF$661,AF$662,AF$663))*AG$8</f>
        <v>53.185592064046816</v>
      </c>
      <c r="AI549" s="94">
        <f>Table3.110[[#This Row],[Net gas 8-24h, ml]]+Table3.110[[#This Row],[Net gas 8h, ml]]</f>
        <v>91.793066165690462</v>
      </c>
      <c r="AJ549" s="94">
        <f>Table3.110[[#This Row],[Net gas 8h, ml]]*Table3.110[[#This Row],[CH4 8h %]]%</f>
        <v>5.5980837447383287</v>
      </c>
      <c r="AK549" s="94">
        <f>Table3.110[[#This Row],[Net gas 8-24h, ml]]*Table3.110[[#This Row],[CH4 24h, %]]%</f>
        <v>8.616065914375584</v>
      </c>
      <c r="AL549" s="94">
        <f>Table3.110[[#This Row],[CH4 8-24h, ml]]+Table3.110[[#This Row],[CH4 8h, ml]]</f>
        <v>14.214149659113913</v>
      </c>
      <c r="AM549" s="94">
        <f>(Table3.110[[#This Row],[Net gas 24h, ml]]/Table3.110[[#This Row],[DM Incubated, mg]])*1000</f>
        <v>188.62499414887867</v>
      </c>
      <c r="AN549" s="94">
        <f>'3.2 Digest'!X549</f>
        <v>45.319278416502748</v>
      </c>
      <c r="AO549" s="94">
        <f>Table3.110[[#This Row],[Digested feed, mg]]/Table3.110[[#This Row],[Net gas 24h, ml]]</f>
        <v>2.4026125816991661</v>
      </c>
      <c r="AP549" s="94">
        <f>Table3.110[[#This Row],[CH4 8h, ml]]/Table3.110[[#This Row],[Net gas 8h, ml]]%</f>
        <v>14.5</v>
      </c>
      <c r="AQ549" s="94">
        <f>Table3.110[[#This Row],[CH4 24h, ml]]/Table3.110[[#This Row],[Net gas 24h, ml]]%</f>
        <v>15.484992769995019</v>
      </c>
      <c r="AR549" s="94">
        <f>Table3.110[[#This Row],[CH4 24h, ml]]/Table3.110[[#This Row],[DM Incubated, mg]]*1000</f>
        <v>29.208566706357391</v>
      </c>
      <c r="AS549" s="94">
        <f>Table3.110[[#This Row],[CH4 24h, ml]]/Table3.110[[#This Row],[Digested feed, mg]]*1000</f>
        <v>64.450643803104469</v>
      </c>
      <c r="AT549" s="94">
        <f>Table3.110[[#This Row],[CH4 24h, ml]]/'3.2 Digest'!AA549</f>
        <v>0.67048922594237204</v>
      </c>
      <c r="AU549" s="94">
        <f>((Table3.110[[#This Row],[CH4 24h, ml]]/28.9)*16.04)/Table3.110[[#This Row],[DM Incubated, mg]]*1000</f>
        <v>16.211259860552683</v>
      </c>
      <c r="AV549" s="94">
        <f>((Table3.110[[#This Row],[CH4 24h, ml]]/28.9)*16.04)/Table3.110[[#This Row],[Digested feed, mg]]*1000</f>
        <v>35.771222373764559</v>
      </c>
      <c r="AW549" s="303"/>
    </row>
    <row r="550" spans="1:49" s="304" customFormat="1" x14ac:dyDescent="0.35">
      <c r="A550" s="89"/>
      <c r="B550" s="90">
        <f t="shared" si="8"/>
        <v>540</v>
      </c>
      <c r="C550" s="140">
        <v>46050</v>
      </c>
      <c r="D550" s="92"/>
      <c r="E550" s="6" t="s">
        <v>201</v>
      </c>
      <c r="F550" s="133" t="s">
        <v>105</v>
      </c>
      <c r="G550" s="133" t="s">
        <v>188</v>
      </c>
      <c r="H550" s="133" t="s">
        <v>189</v>
      </c>
      <c r="I550" s="133" t="s">
        <v>108</v>
      </c>
      <c r="J550" s="135" t="s">
        <v>109</v>
      </c>
      <c r="K550" s="135" t="s">
        <v>110</v>
      </c>
      <c r="L550" s="6" t="s">
        <v>200</v>
      </c>
      <c r="M550" s="93">
        <v>28</v>
      </c>
      <c r="N550" s="93">
        <v>61</v>
      </c>
      <c r="O550" s="6">
        <v>2</v>
      </c>
      <c r="P550" s="129">
        <v>1</v>
      </c>
      <c r="Q550" s="6">
        <v>0</v>
      </c>
      <c r="R550" s="98">
        <v>0.5</v>
      </c>
      <c r="S550" s="94">
        <f>((Table3.110[[#This Row],[Sample weight, g]]*'2.1. DM'!Q123)/100)*1000</f>
        <v>485.49999999999983</v>
      </c>
      <c r="T550" s="94">
        <f>'3.2 Digest'!W550</f>
        <v>211.19999999999982</v>
      </c>
      <c r="U550" s="117">
        <v>0.35694444444444445</v>
      </c>
      <c r="V550" s="155">
        <v>40.5</v>
      </c>
      <c r="W550" s="117">
        <v>0.69444444444444442</v>
      </c>
      <c r="X550" s="96">
        <v>83.5</v>
      </c>
      <c r="Y550" s="96">
        <v>14.7</v>
      </c>
      <c r="Z550" s="155">
        <v>40</v>
      </c>
      <c r="AA550" s="117">
        <v>0.39652777777777776</v>
      </c>
      <c r="AB550" s="155">
        <v>103</v>
      </c>
      <c r="AC550" s="155">
        <v>15.6</v>
      </c>
      <c r="AD550" s="96"/>
      <c r="AE550" s="94">
        <f>Table3.110[[#This Row],[Gas 8h, ml]]-Table3.110[[#This Row],[Gas 0h, ml]]</f>
        <v>43</v>
      </c>
      <c r="AF550" s="94">
        <f>Table3.110[[#This Row],[Gas 24h, ml]]-Table3.110[[#This Row],[V8 Push back, ml]]</f>
        <v>63</v>
      </c>
      <c r="AG550" s="94">
        <f>Table3.110[[#This Row],[GP 8h, ml]]-(AVERAGE(AE$479,AE$480,AE$660,AE$661,AE$662,AE$663))*AG$8</f>
        <v>39.607474101643646</v>
      </c>
      <c r="AH550" s="94">
        <f>Table3.110[[#This Row],[GP 8-24h, ml]]-(AVERAGE(AF$479,AF$480,AF$660,AF$661,AF$662,AF$663))*AG$8</f>
        <v>58.685592064046816</v>
      </c>
      <c r="AI550" s="94">
        <f>Table3.110[[#This Row],[Net gas 8-24h, ml]]+Table3.110[[#This Row],[Net gas 8h, ml]]</f>
        <v>98.293066165690462</v>
      </c>
      <c r="AJ550" s="94">
        <f>Table3.110[[#This Row],[Net gas 8h, ml]]*Table3.110[[#This Row],[CH4 8h %]]%</f>
        <v>5.8222986929416161</v>
      </c>
      <c r="AK550" s="94">
        <f>Table3.110[[#This Row],[Net gas 8-24h, ml]]*Table3.110[[#This Row],[CH4 24h, %]]%</f>
        <v>9.1549523619913025</v>
      </c>
      <c r="AL550" s="94">
        <f>Table3.110[[#This Row],[CH4 8-24h, ml]]+Table3.110[[#This Row],[CH4 8h, ml]]</f>
        <v>14.977251054932918</v>
      </c>
      <c r="AM550" s="94">
        <f>(Table3.110[[#This Row],[Net gas 24h, ml]]/Table3.110[[#This Row],[DM Incubated, mg]])*1000</f>
        <v>202.45739683973326</v>
      </c>
      <c r="AN550" s="94">
        <f>'3.2 Digest'!X550</f>
        <v>43.501544799176081</v>
      </c>
      <c r="AO550" s="94">
        <f>Table3.110[[#This Row],[Digested feed, mg]]/Table3.110[[#This Row],[Net gas 24h, ml]]</f>
        <v>2.1486764859281591</v>
      </c>
      <c r="AP550" s="94">
        <f>Table3.110[[#This Row],[CH4 8h, ml]]/Table3.110[[#This Row],[Net gas 8h, ml]]%</f>
        <v>14.7</v>
      </c>
      <c r="AQ550" s="94">
        <f>Table3.110[[#This Row],[CH4 24h, ml]]/Table3.110[[#This Row],[Net gas 24h, ml]]%</f>
        <v>15.237342407943705</v>
      </c>
      <c r="AR550" s="94">
        <f>Table3.110[[#This Row],[CH4 24h, ml]]/Table3.110[[#This Row],[DM Incubated, mg]]*1000</f>
        <v>30.849126786679552</v>
      </c>
      <c r="AS550" s="94">
        <f>Table3.110[[#This Row],[CH4 24h, ml]]/Table3.110[[#This Row],[Digested feed, mg]]*1000</f>
        <v>70.915014464644557</v>
      </c>
      <c r="AT550" s="94">
        <f>Table3.110[[#This Row],[CH4 24h, ml]]/'3.2 Digest'!AA550</f>
        <v>1.2573665014686333</v>
      </c>
      <c r="AU550" s="94">
        <f>((Table3.110[[#This Row],[CH4 24h, ml]]/28.9)*16.04)/Table3.110[[#This Row],[DM Incubated, mg]]*1000</f>
        <v>17.121799088523876</v>
      </c>
      <c r="AV550" s="94">
        <f>((Table3.110[[#This Row],[CH4 24h, ml]]/28.9)*16.04)/Table3.110[[#This Row],[Digested feed, mg]]*1000</f>
        <v>39.359059931242179</v>
      </c>
      <c r="AW550" s="303"/>
    </row>
    <row r="551" spans="1:49" s="304" customFormat="1" x14ac:dyDescent="0.35">
      <c r="A551" s="89"/>
      <c r="B551" s="90">
        <f t="shared" si="8"/>
        <v>541</v>
      </c>
      <c r="C551" s="140">
        <v>46050</v>
      </c>
      <c r="D551" s="92"/>
      <c r="E551" s="6" t="s">
        <v>201</v>
      </c>
      <c r="F551" s="133" t="s">
        <v>105</v>
      </c>
      <c r="G551" s="133" t="s">
        <v>188</v>
      </c>
      <c r="H551" s="133" t="s">
        <v>189</v>
      </c>
      <c r="I551" s="133" t="s">
        <v>108</v>
      </c>
      <c r="J551" s="135" t="s">
        <v>109</v>
      </c>
      <c r="K551" s="135" t="s">
        <v>110</v>
      </c>
      <c r="L551" s="6" t="s">
        <v>200</v>
      </c>
      <c r="M551" s="93">
        <v>28</v>
      </c>
      <c r="N551" s="93">
        <v>61</v>
      </c>
      <c r="O551" s="6">
        <v>2</v>
      </c>
      <c r="P551" s="129">
        <v>2</v>
      </c>
      <c r="Q551" s="6">
        <v>0</v>
      </c>
      <c r="R551" s="98">
        <v>0.50049999999999994</v>
      </c>
      <c r="S551" s="94">
        <f>((Table3.110[[#This Row],[Sample weight, g]]*'2.1. DM'!Q123)/100)*1000</f>
        <v>485.98549999999972</v>
      </c>
      <c r="T551" s="94">
        <f>'3.2 Digest'!W551</f>
        <v>78.385499999999752</v>
      </c>
      <c r="U551" s="153">
        <v>0.35694444444444445</v>
      </c>
      <c r="V551" s="155">
        <v>40</v>
      </c>
      <c r="W551" s="153">
        <v>0.69513888888888886</v>
      </c>
      <c r="X551" s="91">
        <v>83</v>
      </c>
      <c r="Y551" s="91">
        <v>14.6</v>
      </c>
      <c r="Z551" s="154">
        <v>39.5</v>
      </c>
      <c r="AA551" s="153">
        <v>0.3972222222222222</v>
      </c>
      <c r="AB551" s="154">
        <v>99.5</v>
      </c>
      <c r="AC551" s="154">
        <v>15.8</v>
      </c>
      <c r="AD551" s="91"/>
      <c r="AE551" s="94">
        <f>Table3.110[[#This Row],[Gas 8h, ml]]-Table3.110[[#This Row],[Gas 0h, ml]]</f>
        <v>43</v>
      </c>
      <c r="AF551" s="94">
        <f>Table3.110[[#This Row],[Gas 24h, ml]]-Table3.110[[#This Row],[V8 Push back, ml]]</f>
        <v>60</v>
      </c>
      <c r="AG551" s="94"/>
      <c r="AH551" s="94"/>
      <c r="AI551" s="94"/>
      <c r="AJ551" s="94"/>
      <c r="AK551" s="94"/>
      <c r="AL551" s="94"/>
      <c r="AM551" s="94"/>
      <c r="AN551" s="94"/>
      <c r="AO551" s="94"/>
      <c r="AP551" s="94"/>
      <c r="AQ551" s="94"/>
      <c r="AR551" s="94"/>
      <c r="AS551" s="94"/>
      <c r="AT551" s="94"/>
      <c r="AU551" s="94"/>
      <c r="AV551" s="94"/>
      <c r="AW551" s="303"/>
    </row>
    <row r="552" spans="1:49" s="304" customFormat="1" x14ac:dyDescent="0.35">
      <c r="A552" s="89"/>
      <c r="B552" s="90">
        <f t="shared" si="8"/>
        <v>542</v>
      </c>
      <c r="C552" s="140">
        <v>46050</v>
      </c>
      <c r="D552" s="92"/>
      <c r="E552" s="6" t="s">
        <v>201</v>
      </c>
      <c r="F552" s="133" t="s">
        <v>105</v>
      </c>
      <c r="G552" s="133" t="s">
        <v>188</v>
      </c>
      <c r="H552" s="133" t="s">
        <v>189</v>
      </c>
      <c r="I552" s="133" t="s">
        <v>108</v>
      </c>
      <c r="J552" s="135" t="s">
        <v>109</v>
      </c>
      <c r="K552" s="135" t="s">
        <v>110</v>
      </c>
      <c r="L552" s="6" t="s">
        <v>200</v>
      </c>
      <c r="M552" s="93">
        <v>28</v>
      </c>
      <c r="N552" s="93">
        <v>61</v>
      </c>
      <c r="O552" s="6">
        <v>2</v>
      </c>
      <c r="P552" s="129">
        <v>3</v>
      </c>
      <c r="Q552" s="6">
        <v>0</v>
      </c>
      <c r="R552" s="98">
        <v>0.50029999999999997</v>
      </c>
      <c r="S552" s="94">
        <f>((Table3.110[[#This Row],[Sample weight, g]]*'2.1. DM'!Q123)/100)*1000</f>
        <v>485.79129999999975</v>
      </c>
      <c r="T552" s="94">
        <f>'3.2 Digest'!W552</f>
        <v>62.091299999999762</v>
      </c>
      <c r="U552" s="117">
        <v>0.3576388888888889</v>
      </c>
      <c r="V552" s="155">
        <v>40.5</v>
      </c>
      <c r="W552" s="117">
        <v>0.6958333333333333</v>
      </c>
      <c r="X552" s="96">
        <v>84.5</v>
      </c>
      <c r="Y552" s="96">
        <v>14.6</v>
      </c>
      <c r="Z552" s="155">
        <v>40</v>
      </c>
      <c r="AA552" s="117">
        <v>0.39791666666666664</v>
      </c>
      <c r="AB552" s="155">
        <v>102.2</v>
      </c>
      <c r="AC552" s="155">
        <v>15.9</v>
      </c>
      <c r="AD552" s="96" t="s">
        <v>569</v>
      </c>
      <c r="AE552" s="94">
        <f>Table3.110[[#This Row],[Gas 8h, ml]]-Table3.110[[#This Row],[Gas 0h, ml]]</f>
        <v>44</v>
      </c>
      <c r="AF552" s="94">
        <f>Table3.110[[#This Row],[Gas 24h, ml]]-Table3.110[[#This Row],[V8 Push back, ml]]</f>
        <v>62.2</v>
      </c>
      <c r="AG552" s="94"/>
      <c r="AH552" s="94"/>
      <c r="AI552" s="94"/>
      <c r="AJ552" s="94"/>
      <c r="AK552" s="94"/>
      <c r="AL552" s="94"/>
      <c r="AM552" s="94"/>
      <c r="AN552" s="94"/>
      <c r="AO552" s="94"/>
      <c r="AP552" s="94"/>
      <c r="AQ552" s="94"/>
      <c r="AR552" s="94"/>
      <c r="AS552" s="94"/>
      <c r="AT552" s="94"/>
      <c r="AU552" s="94"/>
      <c r="AV552" s="94"/>
      <c r="AW552" s="303"/>
    </row>
    <row r="553" spans="1:49" s="304" customFormat="1" x14ac:dyDescent="0.35">
      <c r="A553" s="89"/>
      <c r="B553" s="90">
        <f t="shared" si="8"/>
        <v>543</v>
      </c>
      <c r="C553" s="140">
        <v>46050</v>
      </c>
      <c r="D553" s="92"/>
      <c r="E553" s="6" t="s">
        <v>203</v>
      </c>
      <c r="F553" s="133" t="s">
        <v>105</v>
      </c>
      <c r="G553" s="133" t="s">
        <v>188</v>
      </c>
      <c r="H553" s="133" t="s">
        <v>189</v>
      </c>
      <c r="I553" s="133" t="s">
        <v>108</v>
      </c>
      <c r="J553" s="135" t="s">
        <v>109</v>
      </c>
      <c r="K553" s="135" t="s">
        <v>110</v>
      </c>
      <c r="L553" s="6" t="s">
        <v>202</v>
      </c>
      <c r="M553" s="93">
        <v>28</v>
      </c>
      <c r="N553" s="93">
        <v>61</v>
      </c>
      <c r="O553" s="6">
        <v>2</v>
      </c>
      <c r="P553" s="129">
        <v>1</v>
      </c>
      <c r="Q553" s="6">
        <v>0</v>
      </c>
      <c r="R553" s="98">
        <v>0.50019999999999998</v>
      </c>
      <c r="S553" s="94">
        <f>((Table3.110[[#This Row],[Sample weight, g]]*'2.1. DM'!Q125)/100)*1000</f>
        <v>482.69475052494732</v>
      </c>
      <c r="T553" s="94">
        <f>'3.2 Digest'!W553</f>
        <v>48.894750524947256</v>
      </c>
      <c r="U553" s="153">
        <v>0.3576388888888889</v>
      </c>
      <c r="V553" s="155">
        <v>40.5</v>
      </c>
      <c r="W553" s="153">
        <v>0.6958333333333333</v>
      </c>
      <c r="X553" s="91">
        <v>85</v>
      </c>
      <c r="Y553" s="91">
        <v>13.9</v>
      </c>
      <c r="Z553" s="154">
        <v>40</v>
      </c>
      <c r="AA553" s="153">
        <v>0.39861111111111114</v>
      </c>
      <c r="AB553" s="154">
        <v>101.5</v>
      </c>
      <c r="AC553" s="154">
        <v>15.5</v>
      </c>
      <c r="AD553" s="91"/>
      <c r="AE553" s="94">
        <f>Table3.110[[#This Row],[Gas 8h, ml]]-Table3.110[[#This Row],[Gas 0h, ml]]</f>
        <v>44.5</v>
      </c>
      <c r="AF553" s="94">
        <f>Table3.110[[#This Row],[Gas 24h, ml]]-Table3.110[[#This Row],[V8 Push back, ml]]</f>
        <v>61.5</v>
      </c>
      <c r="AG553" s="94">
        <f>Table3.110[[#This Row],[GP 8h, ml]]-(AVERAGE(AE$479,AE$480,AE$660,AE$661,AE$662,AE$663))*AG$8</f>
        <v>41.107474101643646</v>
      </c>
      <c r="AH553" s="94">
        <f>Table3.110[[#This Row],[GP 8-24h, ml]]-(AVERAGE(AF$479,AF$480,AF$660,AF$661,AF$662,AF$663))*AG$8</f>
        <v>57.185592064046816</v>
      </c>
      <c r="AI553" s="94">
        <f>Table3.110[[#This Row],[Net gas 8-24h, ml]]+Table3.110[[#This Row],[Net gas 8h, ml]]</f>
        <v>98.293066165690462</v>
      </c>
      <c r="AJ553" s="94">
        <f>Table3.110[[#This Row],[Net gas 8h, ml]]*Table3.110[[#This Row],[CH4 8h %]]%</f>
        <v>5.7139389001284675</v>
      </c>
      <c r="AK553" s="94">
        <f>Table3.110[[#This Row],[Net gas 8-24h, ml]]*Table3.110[[#This Row],[CH4 24h, %]]%</f>
        <v>8.8637667699272562</v>
      </c>
      <c r="AL553" s="94">
        <f>Table3.110[[#This Row],[CH4 8-24h, ml]]+Table3.110[[#This Row],[CH4 8h, ml]]</f>
        <v>14.577705670055725</v>
      </c>
      <c r="AM553" s="94">
        <f>(Table3.110[[#This Row],[Net gas 24h, ml]]/Table3.110[[#This Row],[DM Incubated, mg]])*1000</f>
        <v>203.63400691387952</v>
      </c>
      <c r="AN553" s="94">
        <f>'3.2 Digest'!X553</f>
        <v>10.129538486128659</v>
      </c>
      <c r="AO553" s="94">
        <f>Table3.110[[#This Row],[Digested feed, mg]]/Table3.110[[#This Row],[Net gas 24h, ml]]</f>
        <v>0.49743845046533036</v>
      </c>
      <c r="AP553" s="94">
        <f>Table3.110[[#This Row],[CH4 8h, ml]]/Table3.110[[#This Row],[Net gas 8h, ml]]%</f>
        <v>13.9</v>
      </c>
      <c r="AQ553" s="94">
        <f>Table3.110[[#This Row],[CH4 24h, ml]]/Table3.110[[#This Row],[Net gas 24h, ml]]%</f>
        <v>14.83085861365074</v>
      </c>
      <c r="AR553" s="94">
        <f>Table3.110[[#This Row],[CH4 24h, ml]]/Table3.110[[#This Row],[DM Incubated, mg]]*1000</f>
        <v>30.20067165470924</v>
      </c>
      <c r="AS553" s="94">
        <f>Table3.110[[#This Row],[CH4 24h, ml]]/Table3.110[[#This Row],[Digested feed, mg]]*1000</f>
        <v>298.14459657827348</v>
      </c>
      <c r="AT553" s="94">
        <f>Table3.110[[#This Row],[CH4 24h, ml]]/'3.2 Digest'!AA553</f>
        <v>-0.45857238717238163</v>
      </c>
      <c r="AU553" s="94">
        <f>((Table3.110[[#This Row],[CH4 24h, ml]]/28.9)*16.04)/Table3.110[[#This Row],[DM Incubated, mg]]*1000</f>
        <v>16.761895271333433</v>
      </c>
      <c r="AV553" s="94">
        <f>((Table3.110[[#This Row],[CH4 24h, ml]]/28.9)*16.04)/Table3.110[[#This Row],[Digested feed, mg]]*1000</f>
        <v>165.47540931195525</v>
      </c>
      <c r="AW553" s="303"/>
    </row>
    <row r="554" spans="1:49" s="304" customFormat="1" x14ac:dyDescent="0.35">
      <c r="A554" s="89"/>
      <c r="B554" s="90">
        <f t="shared" si="8"/>
        <v>544</v>
      </c>
      <c r="C554" s="140">
        <v>46050</v>
      </c>
      <c r="D554" s="92"/>
      <c r="E554" s="6" t="s">
        <v>203</v>
      </c>
      <c r="F554" s="133" t="s">
        <v>105</v>
      </c>
      <c r="G554" s="133" t="s">
        <v>188</v>
      </c>
      <c r="H554" s="133" t="s">
        <v>189</v>
      </c>
      <c r="I554" s="133" t="s">
        <v>108</v>
      </c>
      <c r="J554" s="135" t="s">
        <v>109</v>
      </c>
      <c r="K554" s="135" t="s">
        <v>110</v>
      </c>
      <c r="L554" s="6" t="s">
        <v>202</v>
      </c>
      <c r="M554" s="93">
        <v>28</v>
      </c>
      <c r="N554" s="93">
        <v>61</v>
      </c>
      <c r="O554" s="6">
        <v>2</v>
      </c>
      <c r="P554" s="129">
        <v>2</v>
      </c>
      <c r="Q554" s="6">
        <v>0</v>
      </c>
      <c r="R554" s="98">
        <v>0.50039999999999996</v>
      </c>
      <c r="S554" s="94">
        <f>((Table3.110[[#This Row],[Sample weight, g]]*'2.1. DM'!Q125)/100)*1000</f>
        <v>482.88775122487726</v>
      </c>
      <c r="T554" s="94">
        <f>'3.2 Digest'!W554</f>
        <v>206.38775122487732</v>
      </c>
      <c r="U554" s="117">
        <v>0.35833333333333334</v>
      </c>
      <c r="V554" s="155">
        <v>40.5</v>
      </c>
      <c r="W554" s="117">
        <v>0.69652777777777775</v>
      </c>
      <c r="X554" s="96">
        <v>84</v>
      </c>
      <c r="Y554" s="96">
        <v>14.3</v>
      </c>
      <c r="Z554" s="155">
        <v>40</v>
      </c>
      <c r="AA554" s="117">
        <v>0.39930555555555558</v>
      </c>
      <c r="AB554" s="155">
        <v>102</v>
      </c>
      <c r="AC554" s="155">
        <v>15.6</v>
      </c>
      <c r="AD554" s="96" t="s">
        <v>569</v>
      </c>
      <c r="AE554" s="94">
        <f>Table3.110[[#This Row],[Gas 8h, ml]]-Table3.110[[#This Row],[Gas 0h, ml]]</f>
        <v>43.5</v>
      </c>
      <c r="AF554" s="94">
        <f>Table3.110[[#This Row],[Gas 24h, ml]]-Table3.110[[#This Row],[V8 Push back, ml]]</f>
        <v>62</v>
      </c>
      <c r="AG554" s="94"/>
      <c r="AH554" s="94"/>
      <c r="AI554" s="94"/>
      <c r="AJ554" s="94"/>
      <c r="AK554" s="94"/>
      <c r="AL554" s="94"/>
      <c r="AM554" s="94"/>
      <c r="AN554" s="94"/>
      <c r="AO554" s="94"/>
      <c r="AP554" s="94"/>
      <c r="AQ554" s="94"/>
      <c r="AR554" s="94"/>
      <c r="AS554" s="94"/>
      <c r="AT554" s="94"/>
      <c r="AU554" s="94"/>
      <c r="AV554" s="94"/>
      <c r="AW554" s="303"/>
    </row>
    <row r="555" spans="1:49" s="304" customFormat="1" x14ac:dyDescent="0.35">
      <c r="A555" s="89"/>
      <c r="B555" s="90">
        <f t="shared" si="8"/>
        <v>545</v>
      </c>
      <c r="C555" s="140">
        <v>46050</v>
      </c>
      <c r="D555" s="92"/>
      <c r="E555" s="6" t="s">
        <v>203</v>
      </c>
      <c r="F555" s="133" t="s">
        <v>105</v>
      </c>
      <c r="G555" s="133" t="s">
        <v>188</v>
      </c>
      <c r="H555" s="133" t="s">
        <v>189</v>
      </c>
      <c r="I555" s="133" t="s">
        <v>108</v>
      </c>
      <c r="J555" s="135" t="s">
        <v>109</v>
      </c>
      <c r="K555" s="135" t="s">
        <v>110</v>
      </c>
      <c r="L555" s="6" t="s">
        <v>202</v>
      </c>
      <c r="M555" s="93">
        <v>28</v>
      </c>
      <c r="N555" s="93">
        <v>61</v>
      </c>
      <c r="O555" s="6">
        <v>2</v>
      </c>
      <c r="P555" s="129">
        <v>3</v>
      </c>
      <c r="Q555" s="6">
        <v>0</v>
      </c>
      <c r="R555" s="98">
        <v>0.50019999999999998</v>
      </c>
      <c r="S555" s="94">
        <f>((Table3.110[[#This Row],[Sample weight, g]]*'2.1. DM'!Q125)/100)*1000</f>
        <v>482.69475052494732</v>
      </c>
      <c r="T555" s="94">
        <f>'3.2 Digest'!W555</f>
        <v>71.694750524947267</v>
      </c>
      <c r="U555" s="153">
        <v>0.35833333333333334</v>
      </c>
      <c r="V555" s="155">
        <v>40.5</v>
      </c>
      <c r="W555" s="153">
        <v>0.69722222222222219</v>
      </c>
      <c r="X555" s="91">
        <v>84</v>
      </c>
      <c r="Y555" s="91">
        <v>13.9</v>
      </c>
      <c r="Z555" s="154">
        <v>40</v>
      </c>
      <c r="AA555" s="153">
        <v>0.4</v>
      </c>
      <c r="AB555" s="154">
        <v>105</v>
      </c>
      <c r="AC555" s="154">
        <v>15.4</v>
      </c>
      <c r="AD555" s="91"/>
      <c r="AE555" s="94">
        <f>Table3.110[[#This Row],[Gas 8h, ml]]-Table3.110[[#This Row],[Gas 0h, ml]]</f>
        <v>43.5</v>
      </c>
      <c r="AF555" s="94">
        <f>Table3.110[[#This Row],[Gas 24h, ml]]-Table3.110[[#This Row],[V8 Push back, ml]]</f>
        <v>65</v>
      </c>
      <c r="AG555" s="94">
        <f>Table3.110[[#This Row],[GP 8h, ml]]-(AVERAGE(AE$479,AE$480,AE$660,AE$661,AE$662,AE$663))*AG$8</f>
        <v>40.107474101643646</v>
      </c>
      <c r="AH555" s="94">
        <f>Table3.110[[#This Row],[GP 8-24h, ml]]-(AVERAGE(AF$479,AF$480,AF$660,AF$661,AF$662,AF$663))*AG$8</f>
        <v>60.685592064046816</v>
      </c>
      <c r="AI555" s="94">
        <f>Table3.110[[#This Row],[Net gas 8-24h, ml]]+Table3.110[[#This Row],[Net gas 8h, ml]]</f>
        <v>100.79306616569046</v>
      </c>
      <c r="AJ555" s="94">
        <f>Table3.110[[#This Row],[Net gas 8h, ml]]*Table3.110[[#This Row],[CH4 8h %]]%</f>
        <v>5.5749389001284673</v>
      </c>
      <c r="AK555" s="94">
        <f>Table3.110[[#This Row],[Net gas 8-24h, ml]]*Table3.110[[#This Row],[CH4 24h, %]]%</f>
        <v>9.3455811778632096</v>
      </c>
      <c r="AL555" s="94">
        <f>Table3.110[[#This Row],[CH4 8-24h, ml]]+Table3.110[[#This Row],[CH4 8h, ml]]</f>
        <v>14.920520077991677</v>
      </c>
      <c r="AM555" s="94">
        <f>(Table3.110[[#This Row],[Net gas 24h, ml]]/Table3.110[[#This Row],[DM Incubated, mg]])*1000</f>
        <v>208.81326357097214</v>
      </c>
      <c r="AN555" s="94">
        <f>'3.2 Digest'!X555</f>
        <v>14.853020557397139</v>
      </c>
      <c r="AO555" s="94">
        <f>Table3.110[[#This Row],[Digested feed, mg]]/Table3.110[[#This Row],[Net gas 24h, ml]]</f>
        <v>0.71130637505451599</v>
      </c>
      <c r="AP555" s="94">
        <f>Table3.110[[#This Row],[CH4 8h, ml]]/Table3.110[[#This Row],[Net gas 8h, ml]]%</f>
        <v>13.9</v>
      </c>
      <c r="AQ555" s="94">
        <f>Table3.110[[#This Row],[CH4 24h, ml]]/Table3.110[[#This Row],[Net gas 24h, ml]]%</f>
        <v>14.803121529673794</v>
      </c>
      <c r="AR555" s="94">
        <f>Table3.110[[#This Row],[CH4 24h, ml]]/Table3.110[[#This Row],[DM Incubated, mg]]*1000</f>
        <v>30.91088117648906</v>
      </c>
      <c r="AS555" s="94">
        <f>Table3.110[[#This Row],[CH4 24h, ml]]/Table3.110[[#This Row],[Digested feed, mg]]*1000</f>
        <v>208.11175112186015</v>
      </c>
      <c r="AT555" s="94">
        <f>Table3.110[[#This Row],[CH4 24h, ml]]/'3.2 Digest'!AA555</f>
        <v>-0.60011817748211771</v>
      </c>
      <c r="AU555" s="94">
        <f>((Table3.110[[#This Row],[CH4 24h, ml]]/28.9)*16.04)/Table3.110[[#This Row],[DM Incubated, mg]]*1000</f>
        <v>17.156073843283199</v>
      </c>
      <c r="AV555" s="94">
        <f>((Table3.110[[#This Row],[CH4 24h, ml]]/28.9)*16.04)/Table3.110[[#This Row],[Digested feed, mg]]*1000</f>
        <v>115.50562242195971</v>
      </c>
      <c r="AW555" s="303"/>
    </row>
    <row r="556" spans="1:49" s="304" customFormat="1" x14ac:dyDescent="0.35">
      <c r="A556" s="89"/>
      <c r="B556" s="90">
        <f t="shared" si="8"/>
        <v>546</v>
      </c>
      <c r="C556" s="140">
        <v>46050</v>
      </c>
      <c r="D556" s="92"/>
      <c r="E556" s="6" t="s">
        <v>205</v>
      </c>
      <c r="F556" s="133" t="s">
        <v>105</v>
      </c>
      <c r="G556" s="133" t="s">
        <v>188</v>
      </c>
      <c r="H556" s="133" t="s">
        <v>189</v>
      </c>
      <c r="I556" s="133" t="s">
        <v>108</v>
      </c>
      <c r="J556" s="135" t="s">
        <v>109</v>
      </c>
      <c r="K556" s="135" t="s">
        <v>110</v>
      </c>
      <c r="L556" s="6" t="s">
        <v>204</v>
      </c>
      <c r="M556" s="93">
        <v>28</v>
      </c>
      <c r="N556" s="93">
        <v>61</v>
      </c>
      <c r="O556" s="6">
        <v>2</v>
      </c>
      <c r="P556" s="129">
        <v>1</v>
      </c>
      <c r="Q556" s="6">
        <v>0</v>
      </c>
      <c r="R556" s="98">
        <v>0.50009999999999999</v>
      </c>
      <c r="S556" s="94">
        <f>((Table3.110[[#This Row],[Sample weight, g]]*'2.1. DM'!Q127)/100)*1000</f>
        <v>484.4304641489062</v>
      </c>
      <c r="T556" s="94">
        <f>'3.2 Digest'!W556</f>
        <v>0</v>
      </c>
      <c r="U556" s="117"/>
      <c r="V556" s="155"/>
      <c r="W556" s="117"/>
      <c r="X556" s="96"/>
      <c r="Y556" s="96"/>
      <c r="Z556" s="155"/>
      <c r="AA556" s="117"/>
      <c r="AB556" s="155"/>
      <c r="AC556" s="155"/>
      <c r="AD556" s="96" t="s">
        <v>570</v>
      </c>
      <c r="AE556" s="94"/>
      <c r="AF556" s="94"/>
      <c r="AG556" s="94"/>
      <c r="AH556" s="94"/>
      <c r="AI556" s="94"/>
      <c r="AJ556" s="94"/>
      <c r="AK556" s="94"/>
      <c r="AL556" s="94"/>
      <c r="AM556" s="94"/>
      <c r="AN556" s="94"/>
      <c r="AO556" s="94"/>
      <c r="AP556" s="94"/>
      <c r="AQ556" s="94"/>
      <c r="AR556" s="94"/>
      <c r="AS556" s="94"/>
      <c r="AT556" s="94"/>
      <c r="AU556" s="94"/>
      <c r="AV556" s="94"/>
      <c r="AW556" s="303"/>
    </row>
    <row r="557" spans="1:49" s="304" customFormat="1" x14ac:dyDescent="0.35">
      <c r="A557" s="89"/>
      <c r="B557" s="90">
        <f t="shared" si="8"/>
        <v>547</v>
      </c>
      <c r="C557" s="140">
        <v>46050</v>
      </c>
      <c r="D557" s="92"/>
      <c r="E557" s="6" t="s">
        <v>205</v>
      </c>
      <c r="F557" s="133" t="s">
        <v>105</v>
      </c>
      <c r="G557" s="133" t="s">
        <v>188</v>
      </c>
      <c r="H557" s="133" t="s">
        <v>189</v>
      </c>
      <c r="I557" s="133" t="s">
        <v>108</v>
      </c>
      <c r="J557" s="135" t="s">
        <v>109</v>
      </c>
      <c r="K557" s="135" t="s">
        <v>110</v>
      </c>
      <c r="L557" s="6" t="s">
        <v>204</v>
      </c>
      <c r="M557" s="93">
        <v>28</v>
      </c>
      <c r="N557" s="93">
        <v>61</v>
      </c>
      <c r="O557" s="6">
        <v>2</v>
      </c>
      <c r="P557" s="129">
        <v>2</v>
      </c>
      <c r="Q557" s="6">
        <v>0</v>
      </c>
      <c r="R557" s="98">
        <v>0.50009999999999999</v>
      </c>
      <c r="S557" s="94">
        <f>((Table3.110[[#This Row],[Sample weight, g]]*'2.1. DM'!Q127)/100)*1000</f>
        <v>484.4304641489062</v>
      </c>
      <c r="T557" s="94">
        <f>'3.2 Digest'!W557</f>
        <v>222.63046414890619</v>
      </c>
      <c r="U557" s="153">
        <v>0.36180555555555555</v>
      </c>
      <c r="V557" s="155">
        <v>41</v>
      </c>
      <c r="W557" s="153">
        <v>0.69722222222222219</v>
      </c>
      <c r="X557" s="91">
        <v>84</v>
      </c>
      <c r="Y557" s="91">
        <v>13.7</v>
      </c>
      <c r="Z557" s="154">
        <v>40</v>
      </c>
      <c r="AA557" s="153">
        <v>0.40069444444444446</v>
      </c>
      <c r="AB557" s="154">
        <v>102</v>
      </c>
      <c r="AC557" s="154">
        <v>16</v>
      </c>
      <c r="AD557" s="91"/>
      <c r="AE557" s="94"/>
      <c r="AF557" s="94"/>
      <c r="AG557" s="94"/>
      <c r="AH557" s="94"/>
      <c r="AI557" s="94"/>
      <c r="AJ557" s="94"/>
      <c r="AK557" s="94"/>
      <c r="AL557" s="94"/>
      <c r="AM557" s="94"/>
      <c r="AN557" s="94"/>
      <c r="AO557" s="94"/>
      <c r="AP557" s="94"/>
      <c r="AQ557" s="94"/>
      <c r="AR557" s="94"/>
      <c r="AS557" s="94"/>
      <c r="AT557" s="94"/>
      <c r="AU557" s="94"/>
      <c r="AV557" s="94"/>
      <c r="AW557" s="303"/>
    </row>
    <row r="558" spans="1:49" s="304" customFormat="1" x14ac:dyDescent="0.35">
      <c r="A558" s="89"/>
      <c r="B558" s="90">
        <f t="shared" si="8"/>
        <v>548</v>
      </c>
      <c r="C558" s="140">
        <v>46050</v>
      </c>
      <c r="D558" s="92"/>
      <c r="E558" s="6" t="s">
        <v>205</v>
      </c>
      <c r="F558" s="133" t="s">
        <v>105</v>
      </c>
      <c r="G558" s="133" t="s">
        <v>188</v>
      </c>
      <c r="H558" s="133" t="s">
        <v>189</v>
      </c>
      <c r="I558" s="133" t="s">
        <v>108</v>
      </c>
      <c r="J558" s="135" t="s">
        <v>109</v>
      </c>
      <c r="K558" s="135" t="s">
        <v>110</v>
      </c>
      <c r="L558" s="6" t="s">
        <v>204</v>
      </c>
      <c r="M558" s="93">
        <v>28</v>
      </c>
      <c r="N558" s="93">
        <v>61</v>
      </c>
      <c r="O558" s="6">
        <v>2</v>
      </c>
      <c r="P558" s="129">
        <v>3</v>
      </c>
      <c r="Q558" s="6">
        <v>0</v>
      </c>
      <c r="R558" s="98">
        <v>0.5</v>
      </c>
      <c r="S558" s="94">
        <f>((Table3.110[[#This Row],[Sample weight, g]]*'2.1. DM'!Q127)/100)*1000</f>
        <v>484.33359742942031</v>
      </c>
      <c r="T558" s="94">
        <f>'3.2 Digest'!W558</f>
        <v>223.03359742942035</v>
      </c>
      <c r="U558" s="117">
        <v>0.36180555555555555</v>
      </c>
      <c r="V558" s="155">
        <v>40.5</v>
      </c>
      <c r="W558" s="117">
        <v>0.69791666666666663</v>
      </c>
      <c r="X558" s="96">
        <v>83.5</v>
      </c>
      <c r="Y558" s="96">
        <v>14.4</v>
      </c>
      <c r="Z558" s="155">
        <v>40</v>
      </c>
      <c r="AA558" s="117">
        <v>0.40069444444444446</v>
      </c>
      <c r="AB558" s="155">
        <v>105</v>
      </c>
      <c r="AC558" s="155">
        <v>15.9</v>
      </c>
      <c r="AD558" s="96"/>
      <c r="AE558" s="94"/>
      <c r="AF558" s="94"/>
      <c r="AG558" s="94"/>
      <c r="AH558" s="94"/>
      <c r="AI558" s="94"/>
      <c r="AJ558" s="94"/>
      <c r="AK558" s="94"/>
      <c r="AL558" s="94"/>
      <c r="AM558" s="94"/>
      <c r="AN558" s="94"/>
      <c r="AO558" s="94"/>
      <c r="AP558" s="94"/>
      <c r="AQ558" s="94"/>
      <c r="AR558" s="94"/>
      <c r="AS558" s="94"/>
      <c r="AT558" s="94"/>
      <c r="AU558" s="94"/>
      <c r="AV558" s="94"/>
      <c r="AW558" s="303"/>
    </row>
    <row r="559" spans="1:49" s="304" customFormat="1" x14ac:dyDescent="0.35">
      <c r="A559" s="89"/>
      <c r="B559" s="90">
        <f t="shared" si="8"/>
        <v>549</v>
      </c>
      <c r="C559" s="140">
        <v>46050</v>
      </c>
      <c r="D559" s="92"/>
      <c r="E559" s="6" t="s">
        <v>207</v>
      </c>
      <c r="F559" s="133" t="s">
        <v>105</v>
      </c>
      <c r="G559" s="133" t="s">
        <v>188</v>
      </c>
      <c r="H559" s="133" t="s">
        <v>189</v>
      </c>
      <c r="I559" s="133" t="s">
        <v>108</v>
      </c>
      <c r="J559" s="135" t="s">
        <v>109</v>
      </c>
      <c r="K559" s="135" t="s">
        <v>110</v>
      </c>
      <c r="L559" s="6" t="s">
        <v>206</v>
      </c>
      <c r="M559" s="93">
        <v>28</v>
      </c>
      <c r="N559" s="93">
        <v>61</v>
      </c>
      <c r="O559" s="6">
        <v>2</v>
      </c>
      <c r="P559" s="129">
        <v>1</v>
      </c>
      <c r="Q559" s="6">
        <v>0</v>
      </c>
      <c r="R559" s="98">
        <v>0.50019999999999998</v>
      </c>
      <c r="S559" s="94">
        <f>((Table3.110[[#This Row],[Sample weight, g]]*'2.1. DM'!Q129)/100)*1000</f>
        <v>488.47208767769672</v>
      </c>
      <c r="T559" s="94">
        <f>'3.2 Digest'!W559</f>
        <v>37.872087677696584</v>
      </c>
      <c r="U559" s="153">
        <v>0.36180555555555555</v>
      </c>
      <c r="V559" s="155">
        <v>40.5</v>
      </c>
      <c r="W559" s="153">
        <v>0.69791666666666663</v>
      </c>
      <c r="X559" s="91">
        <v>84</v>
      </c>
      <c r="Y559" s="91">
        <v>14.4</v>
      </c>
      <c r="Z559" s="154">
        <v>40</v>
      </c>
      <c r="AA559" s="153">
        <v>0.40138888888888891</v>
      </c>
      <c r="AB559" s="154">
        <v>98.5</v>
      </c>
      <c r="AC559" s="154">
        <v>16.100000000000001</v>
      </c>
      <c r="AD559" s="91" t="s">
        <v>569</v>
      </c>
      <c r="AE559" s="94">
        <f>Table3.110[[#This Row],[Gas 8h, ml]]-Table3.110[[#This Row],[Gas 0h, ml]]</f>
        <v>43.5</v>
      </c>
      <c r="AF559" s="94">
        <f>Table3.110[[#This Row],[Gas 24h, ml]]-Table3.110[[#This Row],[V8 Push back, ml]]</f>
        <v>58.5</v>
      </c>
      <c r="AG559" s="94"/>
      <c r="AH559" s="94"/>
      <c r="AI559" s="94"/>
      <c r="AJ559" s="94"/>
      <c r="AK559" s="94"/>
      <c r="AL559" s="94"/>
      <c r="AM559" s="94"/>
      <c r="AN559" s="94"/>
      <c r="AO559" s="94"/>
      <c r="AP559" s="94"/>
      <c r="AQ559" s="94"/>
      <c r="AR559" s="94"/>
      <c r="AS559" s="94"/>
      <c r="AT559" s="94"/>
      <c r="AU559" s="94"/>
      <c r="AV559" s="94"/>
      <c r="AW559" s="303"/>
    </row>
    <row r="560" spans="1:49" s="304" customFormat="1" x14ac:dyDescent="0.35">
      <c r="A560" s="89"/>
      <c r="B560" s="90">
        <f t="shared" si="8"/>
        <v>550</v>
      </c>
      <c r="C560" s="140">
        <v>46050</v>
      </c>
      <c r="D560" s="92"/>
      <c r="E560" s="6" t="s">
        <v>207</v>
      </c>
      <c r="F560" s="133" t="s">
        <v>105</v>
      </c>
      <c r="G560" s="133" t="s">
        <v>188</v>
      </c>
      <c r="H560" s="133" t="s">
        <v>189</v>
      </c>
      <c r="I560" s="133" t="s">
        <v>108</v>
      </c>
      <c r="J560" s="135" t="s">
        <v>109</v>
      </c>
      <c r="K560" s="135" t="s">
        <v>110</v>
      </c>
      <c r="L560" s="6" t="s">
        <v>206</v>
      </c>
      <c r="M560" s="93">
        <v>28</v>
      </c>
      <c r="N560" s="93">
        <v>61</v>
      </c>
      <c r="O560" s="6">
        <v>2</v>
      </c>
      <c r="P560" s="129">
        <v>2</v>
      </c>
      <c r="Q560" s="6">
        <v>0</v>
      </c>
      <c r="R560" s="98">
        <v>0.50029999999999997</v>
      </c>
      <c r="S560" s="94">
        <f>((Table3.110[[#This Row],[Sample weight, g]]*'2.1. DM'!Q129)/100)*1000</f>
        <v>488.56974303309011</v>
      </c>
      <c r="T560" s="94">
        <f>'3.2 Digest'!W560</f>
        <v>236.56974303309011</v>
      </c>
      <c r="U560" s="117">
        <v>0.36249999999999999</v>
      </c>
      <c r="V560" s="155">
        <v>40.5</v>
      </c>
      <c r="W560" s="117">
        <v>0.69861111111111107</v>
      </c>
      <c r="X560" s="96">
        <v>82.5</v>
      </c>
      <c r="Y560" s="96">
        <v>14.7</v>
      </c>
      <c r="Z560" s="155">
        <v>40</v>
      </c>
      <c r="AA560" s="117">
        <v>0.40138888888888891</v>
      </c>
      <c r="AB560" s="155">
        <v>99</v>
      </c>
      <c r="AC560" s="155">
        <v>16</v>
      </c>
      <c r="AD560" s="96"/>
      <c r="AE560" s="94">
        <f>Table3.110[[#This Row],[Gas 8h, ml]]-Table3.110[[#This Row],[Gas 0h, ml]]</f>
        <v>42</v>
      </c>
      <c r="AF560" s="94">
        <f>Table3.110[[#This Row],[Gas 24h, ml]]-Table3.110[[#This Row],[V8 Push back, ml]]</f>
        <v>59</v>
      </c>
      <c r="AG560" s="94"/>
      <c r="AH560" s="94"/>
      <c r="AI560" s="94"/>
      <c r="AJ560" s="94"/>
      <c r="AK560" s="94"/>
      <c r="AL560" s="94"/>
      <c r="AM560" s="94"/>
      <c r="AN560" s="94"/>
      <c r="AO560" s="94"/>
      <c r="AP560" s="94"/>
      <c r="AQ560" s="94"/>
      <c r="AR560" s="94"/>
      <c r="AS560" s="94"/>
      <c r="AT560" s="94"/>
      <c r="AU560" s="94"/>
      <c r="AV560" s="94"/>
      <c r="AW560" s="303"/>
    </row>
    <row r="561" spans="1:49" s="304" customFormat="1" x14ac:dyDescent="0.35">
      <c r="A561" s="89"/>
      <c r="B561" s="90">
        <f t="shared" si="8"/>
        <v>551</v>
      </c>
      <c r="C561" s="140">
        <v>46050</v>
      </c>
      <c r="D561" s="92"/>
      <c r="E561" s="6" t="s">
        <v>207</v>
      </c>
      <c r="F561" s="133" t="s">
        <v>105</v>
      </c>
      <c r="G561" s="133" t="s">
        <v>188</v>
      </c>
      <c r="H561" s="133" t="s">
        <v>189</v>
      </c>
      <c r="I561" s="133" t="s">
        <v>108</v>
      </c>
      <c r="J561" s="135" t="s">
        <v>109</v>
      </c>
      <c r="K561" s="135" t="s">
        <v>110</v>
      </c>
      <c r="L561" s="6" t="s">
        <v>206</v>
      </c>
      <c r="M561" s="93">
        <v>28</v>
      </c>
      <c r="N561" s="93">
        <v>61</v>
      </c>
      <c r="O561" s="6">
        <v>2</v>
      </c>
      <c r="P561" s="129">
        <v>3</v>
      </c>
      <c r="Q561" s="6">
        <v>0</v>
      </c>
      <c r="R561" s="98">
        <v>0.50049999999999994</v>
      </c>
      <c r="S561" s="94">
        <f>((Table3.110[[#This Row],[Sample weight, g]]*'2.1. DM'!Q129)/100)*1000</f>
        <v>488.76505374387688</v>
      </c>
      <c r="T561" s="94">
        <f>'3.2 Digest'!W561</f>
        <v>257.16505374387685</v>
      </c>
      <c r="U561" s="153">
        <v>0.36249999999999999</v>
      </c>
      <c r="V561" s="155">
        <v>40</v>
      </c>
      <c r="W561" s="153">
        <v>0.69930555555555551</v>
      </c>
      <c r="X561" s="91">
        <v>84</v>
      </c>
      <c r="Y561" s="91">
        <v>14.6</v>
      </c>
      <c r="Z561" s="154">
        <v>40</v>
      </c>
      <c r="AA561" s="153">
        <v>0.40208333333333335</v>
      </c>
      <c r="AB561" s="154">
        <v>98.5</v>
      </c>
      <c r="AC561" s="154">
        <v>16.100000000000001</v>
      </c>
      <c r="AD561" s="91"/>
      <c r="AE561" s="94">
        <f>Table3.110[[#This Row],[Gas 8h, ml]]-Table3.110[[#This Row],[Gas 0h, ml]]</f>
        <v>44</v>
      </c>
      <c r="AF561" s="94">
        <f>Table3.110[[#This Row],[Gas 24h, ml]]-Table3.110[[#This Row],[V8 Push back, ml]]</f>
        <v>58.5</v>
      </c>
      <c r="AG561" s="94"/>
      <c r="AH561" s="94"/>
      <c r="AI561" s="94"/>
      <c r="AJ561" s="94"/>
      <c r="AK561" s="94"/>
      <c r="AL561" s="94"/>
      <c r="AM561" s="94"/>
      <c r="AN561" s="94"/>
      <c r="AO561" s="94"/>
      <c r="AP561" s="94"/>
      <c r="AQ561" s="94"/>
      <c r="AR561" s="94"/>
      <c r="AS561" s="94"/>
      <c r="AT561" s="94"/>
      <c r="AU561" s="94"/>
      <c r="AV561" s="94"/>
      <c r="AW561" s="303"/>
    </row>
    <row r="562" spans="1:49" s="304" customFormat="1" x14ac:dyDescent="0.35">
      <c r="A562" s="89"/>
      <c r="B562" s="90">
        <f t="shared" si="8"/>
        <v>552</v>
      </c>
      <c r="C562" s="140">
        <v>46050</v>
      </c>
      <c r="D562" s="92"/>
      <c r="E562" s="6" t="s">
        <v>209</v>
      </c>
      <c r="F562" s="133" t="s">
        <v>105</v>
      </c>
      <c r="G562" s="133" t="s">
        <v>188</v>
      </c>
      <c r="H562" s="133" t="s">
        <v>189</v>
      </c>
      <c r="I562" s="133" t="s">
        <v>108</v>
      </c>
      <c r="J562" s="135" t="s">
        <v>109</v>
      </c>
      <c r="K562" s="135" t="s">
        <v>110</v>
      </c>
      <c r="L562" s="6" t="s">
        <v>208</v>
      </c>
      <c r="M562" s="93">
        <v>28</v>
      </c>
      <c r="N562" s="93">
        <v>61</v>
      </c>
      <c r="O562" s="6">
        <v>2</v>
      </c>
      <c r="P562" s="129">
        <v>1</v>
      </c>
      <c r="Q562" s="6">
        <v>0</v>
      </c>
      <c r="R562" s="98">
        <v>0.50009999999999999</v>
      </c>
      <c r="S562" s="94">
        <f>((Table3.110[[#This Row],[Sample weight, g]]*'2.1. DM'!Q131)/100)*1000</f>
        <v>482.72927020554636</v>
      </c>
      <c r="T562" s="94">
        <f>'3.2 Digest'!W562</f>
        <v>251.22927020554633</v>
      </c>
      <c r="U562" s="117">
        <v>0.36319444444444443</v>
      </c>
      <c r="V562" s="155">
        <v>40.5</v>
      </c>
      <c r="W562" s="117">
        <v>0.69930555555555551</v>
      </c>
      <c r="X562" s="96">
        <v>85.5</v>
      </c>
      <c r="Y562" s="96">
        <v>14.9</v>
      </c>
      <c r="Z562" s="155">
        <v>40</v>
      </c>
      <c r="AA562" s="117">
        <v>0.40208333333333335</v>
      </c>
      <c r="AB562" s="155">
        <v>100.5</v>
      </c>
      <c r="AC562" s="155">
        <v>16.2</v>
      </c>
      <c r="AD562" s="96"/>
      <c r="AE562" s="94">
        <f>Table3.110[[#This Row],[Gas 8h, ml]]-Table3.110[[#This Row],[Gas 0h, ml]]</f>
        <v>45</v>
      </c>
      <c r="AF562" s="94">
        <f>Table3.110[[#This Row],[Gas 24h, ml]]-Table3.110[[#This Row],[V8 Push back, ml]]</f>
        <v>60.5</v>
      </c>
      <c r="AG562" s="94">
        <v>45</v>
      </c>
      <c r="AH562" s="94">
        <v>60.5</v>
      </c>
      <c r="AI562" s="94">
        <v>41.607474101643646</v>
      </c>
      <c r="AJ562" s="94">
        <v>56.185592064046816</v>
      </c>
      <c r="AK562" s="94">
        <v>97.793066165690462</v>
      </c>
      <c r="AL562" s="94">
        <v>6.199513641144903</v>
      </c>
      <c r="AM562" s="94">
        <v>9.1020659143755847</v>
      </c>
      <c r="AN562" s="94">
        <v>15.301579555520487</v>
      </c>
      <c r="AO562" s="94">
        <v>202.58366790986204</v>
      </c>
      <c r="AP562" s="94">
        <v>52.043512940197886</v>
      </c>
      <c r="AQ562" s="94">
        <v>2.5689885802321548</v>
      </c>
      <c r="AR562" s="94">
        <v>14.899999999999999</v>
      </c>
      <c r="AS562" s="94">
        <v>15.646896201817697</v>
      </c>
      <c r="AT562" s="94">
        <v>31.69805623969118</v>
      </c>
      <c r="AU562" s="94">
        <v>60.906834394739555</v>
      </c>
      <c r="AV562" s="94">
        <v>0.54086825640778735</v>
      </c>
      <c r="AW562" s="303"/>
    </row>
    <row r="563" spans="1:49" s="304" customFormat="1" x14ac:dyDescent="0.35">
      <c r="A563" s="89"/>
      <c r="B563" s="90">
        <f t="shared" si="8"/>
        <v>553</v>
      </c>
      <c r="C563" s="140">
        <v>46050</v>
      </c>
      <c r="D563" s="92"/>
      <c r="E563" s="6" t="s">
        <v>209</v>
      </c>
      <c r="F563" s="133" t="s">
        <v>105</v>
      </c>
      <c r="G563" s="133" t="s">
        <v>188</v>
      </c>
      <c r="H563" s="133" t="s">
        <v>189</v>
      </c>
      <c r="I563" s="133" t="s">
        <v>108</v>
      </c>
      <c r="J563" s="135" t="s">
        <v>109</v>
      </c>
      <c r="K563" s="135" t="s">
        <v>110</v>
      </c>
      <c r="L563" s="6" t="s">
        <v>208</v>
      </c>
      <c r="M563" s="93">
        <v>28</v>
      </c>
      <c r="N563" s="93">
        <v>61</v>
      </c>
      <c r="O563" s="6">
        <v>2</v>
      </c>
      <c r="P563" s="129">
        <v>2</v>
      </c>
      <c r="Q563" s="6">
        <v>0</v>
      </c>
      <c r="R563" s="98">
        <v>0.50019999999999998</v>
      </c>
      <c r="S563" s="94">
        <f>((Table3.110[[#This Row],[Sample weight, g]]*'2.1. DM'!Q131)/100)*1000</f>
        <v>482.82579675427769</v>
      </c>
      <c r="T563" s="94">
        <f>'3.2 Digest'!W563</f>
        <v>210.92579675427766</v>
      </c>
      <c r="U563" s="153">
        <v>0.36388888888888887</v>
      </c>
      <c r="V563" s="155">
        <v>40.5</v>
      </c>
      <c r="W563" s="153">
        <v>0.7</v>
      </c>
      <c r="X563" s="91">
        <v>87</v>
      </c>
      <c r="Y563" s="91">
        <v>14.5</v>
      </c>
      <c r="Z563" s="154">
        <v>40</v>
      </c>
      <c r="AA563" s="153">
        <v>0.40277777777777779</v>
      </c>
      <c r="AB563" s="154">
        <v>99</v>
      </c>
      <c r="AC563" s="154">
        <v>16.2</v>
      </c>
      <c r="AD563" s="91"/>
      <c r="AE563" s="94">
        <f>Table3.110[[#This Row],[Gas 8h, ml]]-Table3.110[[#This Row],[Gas 0h, ml]]</f>
        <v>46.5</v>
      </c>
      <c r="AF563" s="94">
        <f>Table3.110[[#This Row],[Gas 24h, ml]]-Table3.110[[#This Row],[V8 Push back, ml]]</f>
        <v>59</v>
      </c>
      <c r="AG563" s="94">
        <v>46.5</v>
      </c>
      <c r="AH563" s="94">
        <v>59</v>
      </c>
      <c r="AI563" s="94">
        <v>43.107474101643646</v>
      </c>
      <c r="AJ563" s="94">
        <v>54.685592064046816</v>
      </c>
      <c r="AK563" s="94">
        <v>97.793066165690462</v>
      </c>
      <c r="AL563" s="94">
        <v>6.2505837447383286</v>
      </c>
      <c r="AM563" s="94">
        <v>8.8590659143755843</v>
      </c>
      <c r="AN563" s="94">
        <v>15.109649659113913</v>
      </c>
      <c r="AO563" s="94">
        <v>202.54316737649341</v>
      </c>
      <c r="AP563" s="94">
        <v>43.685693302262216</v>
      </c>
      <c r="AQ563" s="94">
        <v>2.1568584054508197</v>
      </c>
      <c r="AR563" s="94">
        <v>14.5</v>
      </c>
      <c r="AS563" s="94">
        <v>15.450634949428506</v>
      </c>
      <c r="AT563" s="94">
        <v>31.294205406351963</v>
      </c>
      <c r="AU563" s="94">
        <v>71.634906168998427</v>
      </c>
      <c r="AV563" s="94">
        <v>0.95671015999673137</v>
      </c>
      <c r="AW563" s="303"/>
    </row>
    <row r="564" spans="1:49" s="304" customFormat="1" x14ac:dyDescent="0.35">
      <c r="A564" s="89"/>
      <c r="B564" s="90">
        <f t="shared" si="8"/>
        <v>554</v>
      </c>
      <c r="C564" s="140">
        <v>46050</v>
      </c>
      <c r="D564" s="92"/>
      <c r="E564" s="6" t="s">
        <v>209</v>
      </c>
      <c r="F564" s="133" t="s">
        <v>105</v>
      </c>
      <c r="G564" s="133" t="s">
        <v>188</v>
      </c>
      <c r="H564" s="133" t="s">
        <v>189</v>
      </c>
      <c r="I564" s="133" t="s">
        <v>108</v>
      </c>
      <c r="J564" s="135" t="s">
        <v>109</v>
      </c>
      <c r="K564" s="135" t="s">
        <v>110</v>
      </c>
      <c r="L564" s="6" t="s">
        <v>208</v>
      </c>
      <c r="M564" s="93">
        <v>28</v>
      </c>
      <c r="N564" s="93">
        <v>61</v>
      </c>
      <c r="O564" s="6">
        <v>2</v>
      </c>
      <c r="P564" s="129">
        <v>3</v>
      </c>
      <c r="Q564" s="6">
        <v>0</v>
      </c>
      <c r="R564" s="98">
        <v>0.50039999999999996</v>
      </c>
      <c r="S564" s="94">
        <f>((Table3.110[[#This Row],[Sample weight, g]]*'2.1. DM'!Q131)/100)*1000</f>
        <v>483.0188498517403</v>
      </c>
      <c r="T564" s="94">
        <f>'3.2 Digest'!W564</f>
        <v>65.318849851740254</v>
      </c>
      <c r="U564" s="117">
        <v>0.36388888888888887</v>
      </c>
      <c r="V564" s="155">
        <v>40.5</v>
      </c>
      <c r="W564" s="117">
        <v>0.7006944444444444</v>
      </c>
      <c r="X564" s="96">
        <v>86</v>
      </c>
      <c r="Y564" s="96">
        <v>14.8</v>
      </c>
      <c r="Z564" s="155">
        <v>40</v>
      </c>
      <c r="AA564" s="117">
        <v>0.40277777777777779</v>
      </c>
      <c r="AB564" s="155">
        <v>101</v>
      </c>
      <c r="AC564" s="155">
        <v>16.2</v>
      </c>
      <c r="AD564" s="96"/>
      <c r="AE564" s="94">
        <f>Table3.110[[#This Row],[Gas 8h, ml]]-Table3.110[[#This Row],[Gas 0h, ml]]</f>
        <v>45.5</v>
      </c>
      <c r="AF564" s="94">
        <f>Table3.110[[#This Row],[Gas 24h, ml]]-Table3.110[[#This Row],[V8 Push back, ml]]</f>
        <v>61</v>
      </c>
      <c r="AG564" s="94">
        <v>45.5</v>
      </c>
      <c r="AH564" s="94">
        <v>61</v>
      </c>
      <c r="AI564" s="94">
        <v>42.107474101643646</v>
      </c>
      <c r="AJ564" s="94">
        <v>56.685592064046816</v>
      </c>
      <c r="AK564" s="94">
        <v>98.793066165690462</v>
      </c>
      <c r="AL564" s="94">
        <v>6.2319061670432605</v>
      </c>
      <c r="AM564" s="94">
        <v>9.1830659143755842</v>
      </c>
      <c r="AN564" s="94">
        <v>15.414972081418846</v>
      </c>
      <c r="AO564" s="94">
        <v>204.53252744901033</v>
      </c>
      <c r="AP564" s="94">
        <v>13.523043639350613</v>
      </c>
      <c r="AQ564" s="94">
        <v>0.66116836319454808</v>
      </c>
      <c r="AR564" s="94">
        <v>14.800000000000002</v>
      </c>
      <c r="AS564" s="94">
        <v>15.603293510058364</v>
      </c>
      <c r="AT564" s="94">
        <v>31.91381058140977</v>
      </c>
      <c r="AU564" s="94">
        <v>235.99576716992902</v>
      </c>
      <c r="AV564" s="94">
        <v>-0.52595024467723528</v>
      </c>
      <c r="AW564" s="303"/>
    </row>
    <row r="565" spans="1:49" s="304" customFormat="1" x14ac:dyDescent="0.35">
      <c r="A565" s="89"/>
      <c r="B565" s="90">
        <f t="shared" si="8"/>
        <v>555</v>
      </c>
      <c r="C565" s="140">
        <v>46055</v>
      </c>
      <c r="D565" s="6" t="s">
        <v>16</v>
      </c>
      <c r="E565" s="6" t="s">
        <v>211</v>
      </c>
      <c r="F565" s="133" t="s">
        <v>212</v>
      </c>
      <c r="G565" s="133" t="s">
        <v>213</v>
      </c>
      <c r="H565" s="133" t="s">
        <v>214</v>
      </c>
      <c r="I565" s="133" t="s">
        <v>22</v>
      </c>
      <c r="J565" s="132" t="s">
        <v>23</v>
      </c>
      <c r="K565" s="133" t="s">
        <v>215</v>
      </c>
      <c r="L565" s="6" t="s">
        <v>210</v>
      </c>
      <c r="M565" s="93">
        <v>28</v>
      </c>
      <c r="N565" s="93">
        <v>62</v>
      </c>
      <c r="O565" s="6">
        <v>2</v>
      </c>
      <c r="P565" s="129">
        <v>1</v>
      </c>
      <c r="Q565" s="6">
        <v>0</v>
      </c>
      <c r="R565" s="98">
        <v>0.5</v>
      </c>
      <c r="S565" s="94">
        <f>((Table3.110[[#This Row],[Sample weight, g]]*'2.1. DM'!Q133)/100)*1000</f>
        <v>458.38332541833336</v>
      </c>
      <c r="T565" s="94">
        <f>'3.2 Digest'!W565</f>
        <v>199.58332541833335</v>
      </c>
      <c r="U565" s="117">
        <v>0.3347222222222222</v>
      </c>
      <c r="V565" s="155">
        <v>40</v>
      </c>
      <c r="W565" s="117">
        <v>0.66666666666666663</v>
      </c>
      <c r="X565" s="96">
        <v>72.5</v>
      </c>
      <c r="Y565" s="96">
        <v>13.1</v>
      </c>
      <c r="Z565" s="155">
        <v>39.5</v>
      </c>
      <c r="AA565" s="117">
        <v>0.34097222222222223</v>
      </c>
      <c r="AB565" s="155">
        <v>77</v>
      </c>
      <c r="AC565" s="155">
        <v>16.8</v>
      </c>
      <c r="AD565" s="96"/>
      <c r="AE565" s="94">
        <f>Table3.110[[#This Row],[Gas 8h, ml]]-Table3.110[[#This Row],[Gas 0h, ml]]</f>
        <v>32.5</v>
      </c>
      <c r="AF565" s="94">
        <f>Table3.110[[#This Row],[Gas 24h, ml]]-Table3.110[[#This Row],[V8 Push back, ml]]</f>
        <v>37.5</v>
      </c>
      <c r="AG565" s="94">
        <f>Table3.110[[#This Row],[GP 8h, ml]]-(AVERAGE(AE$658,AE$659))*$AG$8</f>
        <v>31.836244932930278</v>
      </c>
      <c r="AH565" s="94">
        <f>Table3.110[[#This Row],[GP 8-24h, ml]]-(AVERAGE(AF$658,AF$659))*$AG$8</f>
        <v>35.50873479879084</v>
      </c>
      <c r="AI565" s="94">
        <f>Table3.110[[#This Row],[Net gas 8-24h, ml]]+Table3.110[[#This Row],[Net gas 8h, ml]]</f>
        <v>67.344979731721111</v>
      </c>
      <c r="AJ565" s="94">
        <f>Table3.110[[#This Row],[Net gas 8h, ml]]*Table3.110[[#This Row],[CH4 8h %]]%</f>
        <v>4.1705480862138664</v>
      </c>
      <c r="AK565" s="94">
        <f>Table3.110[[#This Row],[Net gas 8-24h, ml]]*Table3.110[[#This Row],[CH4 24h, %]]%</f>
        <v>5.9654674461968611</v>
      </c>
      <c r="AL565" s="94">
        <f>Table3.110[[#This Row],[CH4 8-24h, ml]]+Table3.110[[#This Row],[CH4 8h, ml]]</f>
        <v>10.136015532410728</v>
      </c>
      <c r="AM565" s="94">
        <f>(Table3.110[[#This Row],[Net gas 24h, ml]]/Table3.110[[#This Row],[DM Incubated, mg]])*1000</f>
        <v>146.91847629985278</v>
      </c>
      <c r="AN565" s="94">
        <f>'3.2 Digest'!X565</f>
        <v>43.540703675507409</v>
      </c>
      <c r="AO565" s="94">
        <f>Table3.110[[#This Row],[Digested feed, mg]]/Table3.110[[#This Row],[Net gas 24h, ml]]</f>
        <v>2.9635961910361193</v>
      </c>
      <c r="AP565" s="94">
        <f>Table3.110[[#This Row],[CH4 8h, ml]]/Table3.110[[#This Row],[Net gas 8h, ml]]%</f>
        <v>13.1</v>
      </c>
      <c r="AQ565" s="94">
        <f>Table3.110[[#This Row],[CH4 24h, ml]]/Table3.110[[#This Row],[Net gas 24h, ml]]%</f>
        <v>15.050885118369736</v>
      </c>
      <c r="AR565" s="94">
        <f>Table3.110[[#This Row],[CH4 24h, ml]]/Table3.110[[#This Row],[DM Incubated, mg]]*1000</f>
        <v>22.11253108555011</v>
      </c>
      <c r="AS565" s="94">
        <f>Table3.110[[#This Row],[CH4 24h, ml]]/Table3.110[[#This Row],[Digested feed, mg]]*1000</f>
        <v>50.785883596063442</v>
      </c>
      <c r="AT565" s="94">
        <f>Table3.110[[#This Row],[CH4 24h, ml]]/'3.2 Digest'!AA565</f>
        <v>-7.0160049340283699</v>
      </c>
      <c r="AU565" s="94">
        <f>((Table3.110[[#This Row],[CH4 24h, ml]]/28.9)*16.04)/Table3.110[[#This Row],[DM Incubated, mg]]*1000</f>
        <v>12.272837322222275</v>
      </c>
      <c r="AV565" s="94">
        <f>((Table3.110[[#This Row],[CH4 24h, ml]]/28.9)*16.04)/Table3.110[[#This Row],[Digested feed, mg]]*1000</f>
        <v>28.187044044320338</v>
      </c>
      <c r="AW565" s="303"/>
    </row>
    <row r="566" spans="1:49" s="304" customFormat="1" x14ac:dyDescent="0.35">
      <c r="A566" s="89"/>
      <c r="B566" s="90">
        <f t="shared" si="8"/>
        <v>556</v>
      </c>
      <c r="C566" s="140">
        <v>46055</v>
      </c>
      <c r="D566" s="6" t="s">
        <v>16</v>
      </c>
      <c r="E566" s="6" t="s">
        <v>211</v>
      </c>
      <c r="F566" s="133" t="s">
        <v>212</v>
      </c>
      <c r="G566" s="133" t="s">
        <v>213</v>
      </c>
      <c r="H566" s="133" t="s">
        <v>214</v>
      </c>
      <c r="I566" s="133" t="s">
        <v>22</v>
      </c>
      <c r="J566" s="132" t="s">
        <v>23</v>
      </c>
      <c r="K566" s="133" t="s">
        <v>215</v>
      </c>
      <c r="L566" s="6" t="s">
        <v>210</v>
      </c>
      <c r="M566" s="93">
        <v>28</v>
      </c>
      <c r="N566" s="93">
        <v>62</v>
      </c>
      <c r="O566" s="6">
        <v>2</v>
      </c>
      <c r="P566" s="129">
        <v>2</v>
      </c>
      <c r="Q566" s="6">
        <v>0</v>
      </c>
      <c r="R566" s="98">
        <v>0.50049999999999994</v>
      </c>
      <c r="S566" s="94">
        <f>((Table3.110[[#This Row],[Sample weight, g]]*'2.1. DM'!Q133)/100)*1000</f>
        <v>458.84170874375161</v>
      </c>
      <c r="T566" s="94">
        <f>'3.2 Digest'!W566</f>
        <v>229.14170874375159</v>
      </c>
      <c r="U566" s="117">
        <v>0.33541666666666664</v>
      </c>
      <c r="V566" s="155">
        <v>40.5</v>
      </c>
      <c r="W566" s="117">
        <v>0.66736111111111107</v>
      </c>
      <c r="X566" s="96">
        <v>61</v>
      </c>
      <c r="Y566" s="96">
        <v>14.2</v>
      </c>
      <c r="Z566" s="155">
        <v>40</v>
      </c>
      <c r="AA566" s="117">
        <v>0.34236111111111112</v>
      </c>
      <c r="AB566" s="155">
        <v>55</v>
      </c>
      <c r="AC566" s="155">
        <v>16.600000000000001</v>
      </c>
      <c r="AD566" s="96" t="s">
        <v>571</v>
      </c>
      <c r="AE566" s="94">
        <f>Table3.110[[#This Row],[Gas 8h, ml]]-Table3.110[[#This Row],[Gas 0h, ml]]</f>
        <v>20.5</v>
      </c>
      <c r="AF566" s="94">
        <f>Table3.110[[#This Row],[Gas 24h, ml]]-Table3.110[[#This Row],[V8 Push back, ml]]</f>
        <v>15</v>
      </c>
      <c r="AG566" s="94">
        <f>Table3.110[[#This Row],[GP 8h, ml]]-(AVERAGE(AE$658,AE$659))*$AG$8</f>
        <v>19.836244932930278</v>
      </c>
      <c r="AH566" s="94">
        <f>Table3.110[[#This Row],[GP 8-24h, ml]]-(AVERAGE(AF$658,AF$659))*$AG$8</f>
        <v>13.008734798790837</v>
      </c>
      <c r="AI566" s="94">
        <f>Table3.110[[#This Row],[Net gas 8-24h, ml]]+Table3.110[[#This Row],[Net gas 8h, ml]]</f>
        <v>32.844979731721111</v>
      </c>
      <c r="AJ566" s="94">
        <f>Table3.110[[#This Row],[Net gas 8h, ml]]*Table3.110[[#This Row],[CH4 8h %]]%</f>
        <v>2.8167467804760991</v>
      </c>
      <c r="AK566" s="94">
        <f>Table3.110[[#This Row],[Net gas 8-24h, ml]]*Table3.110[[#This Row],[CH4 24h, %]]%</f>
        <v>2.1594499765992792</v>
      </c>
      <c r="AL566" s="94">
        <f>Table3.110[[#This Row],[CH4 8-24h, ml]]+Table3.110[[#This Row],[CH4 8h, ml]]</f>
        <v>4.9761967570753782</v>
      </c>
      <c r="AM566" s="94">
        <f>(Table3.110[[#This Row],[Net gas 24h, ml]]/Table3.110[[#This Row],[DM Incubated, mg]])*1000</f>
        <v>71.582376026029451</v>
      </c>
      <c r="AN566" s="94">
        <f>'3.2 Digest'!X566</f>
        <v>49.939162978690739</v>
      </c>
      <c r="AO566" s="94">
        <f>Table3.110[[#This Row],[Digested feed, mg]]/Table3.110[[#This Row],[Net gas 24h, ml]]</f>
        <v>6.976460652903083</v>
      </c>
      <c r="AP566" s="94">
        <f>Table3.110[[#This Row],[CH4 8h, ml]]/Table3.110[[#This Row],[Net gas 8h, ml]]%</f>
        <v>14.199999999999998</v>
      </c>
      <c r="AQ566" s="94">
        <f>Table3.110[[#This Row],[CH4 24h, ml]]/Table3.110[[#This Row],[Net gas 24h, ml]]%</f>
        <v>15.150555115945021</v>
      </c>
      <c r="AR566" s="94">
        <f>Table3.110[[#This Row],[CH4 24h, ml]]/Table3.110[[#This Row],[DM Incubated, mg]]*1000</f>
        <v>10.845127333126607</v>
      </c>
      <c r="AS566" s="94">
        <f>Table3.110[[#This Row],[CH4 24h, ml]]/Table3.110[[#This Row],[Digested feed, mg]]*1000</f>
        <v>21.716678226573944</v>
      </c>
      <c r="AT566" s="94">
        <f>Table3.110[[#This Row],[CH4 24h, ml]]/'3.2 Digest'!AA566</f>
        <v>0.49505046302710182</v>
      </c>
      <c r="AU566" s="94">
        <f>((Table3.110[[#This Row],[CH4 24h, ml]]/28.9)*16.04)/Table3.110[[#This Row],[DM Incubated, mg]]*1000</f>
        <v>6.0192333018460475</v>
      </c>
      <c r="AV566" s="94">
        <f>((Table3.110[[#This Row],[CH4 24h, ml]]/28.9)*16.04)/Table3.110[[#This Row],[Digested feed, mg]]*1000</f>
        <v>12.053132136825123</v>
      </c>
      <c r="AW566" s="303"/>
    </row>
    <row r="567" spans="1:49" s="304" customFormat="1" x14ac:dyDescent="0.35">
      <c r="A567" s="89"/>
      <c r="B567" s="90">
        <f t="shared" si="8"/>
        <v>557</v>
      </c>
      <c r="C567" s="140">
        <v>46055</v>
      </c>
      <c r="D567" s="6" t="s">
        <v>16</v>
      </c>
      <c r="E567" s="6" t="s">
        <v>211</v>
      </c>
      <c r="F567" s="133" t="s">
        <v>212</v>
      </c>
      <c r="G567" s="133" t="s">
        <v>213</v>
      </c>
      <c r="H567" s="133" t="s">
        <v>214</v>
      </c>
      <c r="I567" s="133" t="s">
        <v>22</v>
      </c>
      <c r="J567" s="132" t="s">
        <v>23</v>
      </c>
      <c r="K567" s="133" t="s">
        <v>215</v>
      </c>
      <c r="L567" s="6" t="s">
        <v>210</v>
      </c>
      <c r="M567" s="93">
        <v>28</v>
      </c>
      <c r="N567" s="93">
        <v>62</v>
      </c>
      <c r="O567" s="6">
        <v>2</v>
      </c>
      <c r="P567" s="129">
        <v>3</v>
      </c>
      <c r="Q567" s="6">
        <v>0</v>
      </c>
      <c r="R567" s="98">
        <v>0.50019999999999998</v>
      </c>
      <c r="S567" s="94">
        <f>((Table3.110[[#This Row],[Sample weight, g]]*'2.1. DM'!Q133)/100)*1000</f>
        <v>458.56667874850064</v>
      </c>
      <c r="T567" s="94">
        <f>'3.2 Digest'!W567</f>
        <v>187.16667874850054</v>
      </c>
      <c r="U567" s="117">
        <v>0.33541666666666664</v>
      </c>
      <c r="V567" s="155">
        <v>40.5</v>
      </c>
      <c r="W567" s="117">
        <v>0.66805555555555551</v>
      </c>
      <c r="X567" s="96">
        <v>74.5</v>
      </c>
      <c r="Y567" s="96">
        <v>13.4</v>
      </c>
      <c r="Z567" s="155">
        <v>40</v>
      </c>
      <c r="AA567" s="117">
        <v>0.34375</v>
      </c>
      <c r="AB567" s="155">
        <v>80.5</v>
      </c>
      <c r="AC567" s="155">
        <v>16.600000000000001</v>
      </c>
      <c r="AD567" s="96"/>
      <c r="AE567" s="94">
        <f>Table3.110[[#This Row],[Gas 8h, ml]]-Table3.110[[#This Row],[Gas 0h, ml]]</f>
        <v>34</v>
      </c>
      <c r="AF567" s="94">
        <f>Table3.110[[#This Row],[Gas 24h, ml]]-Table3.110[[#This Row],[V8 Push back, ml]]</f>
        <v>40.5</v>
      </c>
      <c r="AG567" s="94">
        <f>Table3.110[[#This Row],[GP 8h, ml]]-(AVERAGE(AE$658,AE$659))*$AG$8</f>
        <v>33.336244932930278</v>
      </c>
      <c r="AH567" s="94">
        <f>Table3.110[[#This Row],[GP 8-24h, ml]]-(AVERAGE(AF$658,AF$659))*$AG$8</f>
        <v>38.50873479879084</v>
      </c>
      <c r="AI567" s="94">
        <f>Table3.110[[#This Row],[Net gas 8-24h, ml]]+Table3.110[[#This Row],[Net gas 8h, ml]]</f>
        <v>71.844979731721111</v>
      </c>
      <c r="AJ567" s="94">
        <f>Table3.110[[#This Row],[Net gas 8h, ml]]*Table3.110[[#This Row],[CH4 8h %]]%</f>
        <v>4.4670568210126573</v>
      </c>
      <c r="AK567" s="94">
        <f>Table3.110[[#This Row],[Net gas 8-24h, ml]]*Table3.110[[#This Row],[CH4 24h, %]]%</f>
        <v>6.3924499765992797</v>
      </c>
      <c r="AL567" s="94">
        <f>Table3.110[[#This Row],[CH4 8-24h, ml]]+Table3.110[[#This Row],[CH4 8h, ml]]</f>
        <v>10.859506797611937</v>
      </c>
      <c r="AM567" s="94">
        <f>(Table3.110[[#This Row],[Net gas 24h, ml]]/Table3.110[[#This Row],[DM Incubated, mg]])*1000</f>
        <v>156.67291816273519</v>
      </c>
      <c r="AN567" s="94">
        <f>'3.2 Digest'!X567</f>
        <v>40.815586352525081</v>
      </c>
      <c r="AO567" s="94">
        <f>Table3.110[[#This Row],[Digested feed, mg]]/Table3.110[[#This Row],[Net gas 24h, ml]]</f>
        <v>2.6051462391305042</v>
      </c>
      <c r="AP567" s="94">
        <f>Table3.110[[#This Row],[CH4 8h, ml]]/Table3.110[[#This Row],[Net gas 8h, ml]]%</f>
        <v>13.4</v>
      </c>
      <c r="AQ567" s="94">
        <f>Table3.110[[#This Row],[CH4 24h, ml]]/Table3.110[[#This Row],[Net gas 24h, ml]]%</f>
        <v>15.115192234951985</v>
      </c>
      <c r="AR567" s="94">
        <f>Table3.110[[#This Row],[CH4 24h, ml]]/Table3.110[[#This Row],[DM Incubated, mg]]*1000</f>
        <v>23.681412760406424</v>
      </c>
      <c r="AS567" s="94">
        <f>Table3.110[[#This Row],[CH4 24h, ml]]/Table3.110[[#This Row],[Digested feed, mg]]*1000</f>
        <v>58.020513428055558</v>
      </c>
      <c r="AT567" s="94">
        <f>Table3.110[[#This Row],[CH4 24h, ml]]/'3.2 Digest'!AA567</f>
        <v>-1.712552355936499</v>
      </c>
      <c r="AU567" s="94">
        <f>((Table3.110[[#This Row],[CH4 24h, ml]]/28.9)*16.04)/Table3.110[[#This Row],[DM Incubated, mg]]*1000</f>
        <v>13.143593795049105</v>
      </c>
      <c r="AV567" s="94">
        <f>((Table3.110[[#This Row],[CH4 24h, ml]]/28.9)*16.04)/Table3.110[[#This Row],[Digested feed, mg]]*1000</f>
        <v>32.202388767682052</v>
      </c>
      <c r="AW567" s="303"/>
    </row>
    <row r="568" spans="1:49" s="304" customFormat="1" x14ac:dyDescent="0.35">
      <c r="A568" s="89"/>
      <c r="B568" s="90">
        <f t="shared" si="8"/>
        <v>558</v>
      </c>
      <c r="C568" s="140">
        <v>46055</v>
      </c>
      <c r="D568" s="6" t="s">
        <v>16</v>
      </c>
      <c r="E568" s="6" t="s">
        <v>218</v>
      </c>
      <c r="F568" s="133" t="s">
        <v>219</v>
      </c>
      <c r="G568" s="133" t="s">
        <v>220</v>
      </c>
      <c r="H568" s="133" t="s">
        <v>221</v>
      </c>
      <c r="I568" s="133" t="s">
        <v>22</v>
      </c>
      <c r="J568" s="135" t="s">
        <v>23</v>
      </c>
      <c r="K568" s="135" t="s">
        <v>215</v>
      </c>
      <c r="L568" s="6" t="s">
        <v>217</v>
      </c>
      <c r="M568" s="93">
        <v>28</v>
      </c>
      <c r="N568" s="93">
        <v>62</v>
      </c>
      <c r="O568" s="6">
        <v>2</v>
      </c>
      <c r="P568" s="129">
        <v>1</v>
      </c>
      <c r="Q568" s="6">
        <v>0</v>
      </c>
      <c r="R568" s="98">
        <v>0.50039999999999996</v>
      </c>
      <c r="S568" s="94">
        <f>((Table3.110[[#This Row],[Sample weight, g]]*'2.1. DM'!Q135)/100)*1000</f>
        <v>468.12419999999992</v>
      </c>
      <c r="T568" s="94">
        <f>'3.2 Digest'!W568</f>
        <v>281.22419999999988</v>
      </c>
      <c r="U568" s="117">
        <v>0.33611111111111114</v>
      </c>
      <c r="V568" s="155">
        <v>41</v>
      </c>
      <c r="W568" s="117">
        <v>0.66874999999999996</v>
      </c>
      <c r="X568" s="96">
        <v>71.5</v>
      </c>
      <c r="Y568" s="96">
        <v>10.5</v>
      </c>
      <c r="Z568" s="155">
        <v>40</v>
      </c>
      <c r="AA568" s="117">
        <v>0.34375</v>
      </c>
      <c r="AB568" s="155">
        <v>91</v>
      </c>
      <c r="AC568" s="155">
        <v>14.8</v>
      </c>
      <c r="AD568" s="96"/>
      <c r="AE568" s="94">
        <f>Table3.110[[#This Row],[Gas 8h, ml]]-Table3.110[[#This Row],[Gas 0h, ml]]</f>
        <v>30.5</v>
      </c>
      <c r="AF568" s="94">
        <f>Table3.110[[#This Row],[Gas 24h, ml]]-Table3.110[[#This Row],[V8 Push back, ml]]</f>
        <v>51</v>
      </c>
      <c r="AG568" s="94">
        <f>Table3.110[[#This Row],[GP 8h, ml]]-(AVERAGE(AE$658,AE$659))*$AG$8</f>
        <v>29.836244932930278</v>
      </c>
      <c r="AH568" s="94">
        <f>Table3.110[[#This Row],[GP 8-24h, ml]]-(AVERAGE(AF$658,AF$659))*$AG$8</f>
        <v>49.00873479879084</v>
      </c>
      <c r="AI568" s="94">
        <f>Table3.110[[#This Row],[Net gas 8-24h, ml]]+Table3.110[[#This Row],[Net gas 8h, ml]]</f>
        <v>78.844979731721111</v>
      </c>
      <c r="AJ568" s="94">
        <f>Table3.110[[#This Row],[Net gas 8h, ml]]*Table3.110[[#This Row],[CH4 8h %]]%</f>
        <v>3.1328057179576789</v>
      </c>
      <c r="AK568" s="94">
        <f>Table3.110[[#This Row],[Net gas 8-24h, ml]]*Table3.110[[#This Row],[CH4 24h, %]]%</f>
        <v>7.2532927502210454</v>
      </c>
      <c r="AL568" s="94">
        <f>Table3.110[[#This Row],[CH4 8-24h, ml]]+Table3.110[[#This Row],[CH4 8h, ml]]</f>
        <v>10.386098468178725</v>
      </c>
      <c r="AM568" s="94">
        <f>(Table3.110[[#This Row],[Net gas 24h, ml]]/Table3.110[[#This Row],[DM Incubated, mg]])*1000</f>
        <v>168.427480851708</v>
      </c>
      <c r="AN568" s="94">
        <f>'3.2 Digest'!X568</f>
        <v>60.074698124984764</v>
      </c>
      <c r="AO568" s="94">
        <f>Table3.110[[#This Row],[Digested feed, mg]]/Table3.110[[#This Row],[Net gas 24h, ml]]</f>
        <v>3.5667990651642851</v>
      </c>
      <c r="AP568" s="94">
        <f>Table3.110[[#This Row],[CH4 8h, ml]]/Table3.110[[#This Row],[Net gas 8h, ml]]%</f>
        <v>10.499999999999998</v>
      </c>
      <c r="AQ568" s="94">
        <f>Table3.110[[#This Row],[CH4 24h, ml]]/Table3.110[[#This Row],[Net gas 24h, ml]]%</f>
        <v>13.172808850377779</v>
      </c>
      <c r="AR568" s="94">
        <f>Table3.110[[#This Row],[CH4 24h, ml]]/Table3.110[[#This Row],[DM Incubated, mg]]*1000</f>
        <v>22.186630104102132</v>
      </c>
      <c r="AS568" s="94">
        <f>Table3.110[[#This Row],[CH4 24h, ml]]/Table3.110[[#This Row],[Digested feed, mg]]*1000</f>
        <v>36.931737980510675</v>
      </c>
      <c r="AT568" s="94">
        <f>Table3.110[[#This Row],[CH4 24h, ml]]/'3.2 Digest'!AA568</f>
        <v>1.9282347426992703</v>
      </c>
      <c r="AU568" s="94">
        <f>((Table3.110[[#This Row],[CH4 24h, ml]]/28.9)*16.04)/Table3.110[[#This Row],[DM Incubated, mg]]*1000</f>
        <v>12.313963559508588</v>
      </c>
      <c r="AV568" s="94">
        <f>((Table3.110[[#This Row],[CH4 24h, ml]]/28.9)*16.04)/Table3.110[[#This Row],[Digested feed, mg]]*1000</f>
        <v>20.497753536587929</v>
      </c>
      <c r="AW568" s="303"/>
    </row>
    <row r="569" spans="1:49" s="304" customFormat="1" x14ac:dyDescent="0.35">
      <c r="A569" s="89"/>
      <c r="B569" s="90">
        <f t="shared" si="8"/>
        <v>559</v>
      </c>
      <c r="C569" s="140">
        <v>46055</v>
      </c>
      <c r="D569" s="6" t="s">
        <v>16</v>
      </c>
      <c r="E569" s="6" t="s">
        <v>218</v>
      </c>
      <c r="F569" s="133" t="s">
        <v>219</v>
      </c>
      <c r="G569" s="133" t="s">
        <v>220</v>
      </c>
      <c r="H569" s="133" t="s">
        <v>221</v>
      </c>
      <c r="I569" s="133" t="s">
        <v>22</v>
      </c>
      <c r="J569" s="135" t="s">
        <v>23</v>
      </c>
      <c r="K569" s="135" t="s">
        <v>215</v>
      </c>
      <c r="L569" s="6" t="s">
        <v>217</v>
      </c>
      <c r="M569" s="93">
        <v>28</v>
      </c>
      <c r="N569" s="93">
        <v>62</v>
      </c>
      <c r="O569" s="6">
        <v>2</v>
      </c>
      <c r="P569" s="129">
        <v>2</v>
      </c>
      <c r="Q569" s="6">
        <v>0</v>
      </c>
      <c r="R569" s="98">
        <v>0.50029999999999997</v>
      </c>
      <c r="S569" s="94">
        <f>((Table3.110[[#This Row],[Sample weight, g]]*'2.1. DM'!Q137)/100)*1000</f>
        <v>459.95893662534985</v>
      </c>
      <c r="T569" s="94">
        <f>'3.2 Digest'!W569</f>
        <v>238.65893662534981</v>
      </c>
      <c r="U569" s="117">
        <v>0.33611111111111114</v>
      </c>
      <c r="V569" s="155">
        <v>41</v>
      </c>
      <c r="W569" s="117">
        <v>0.66874999999999996</v>
      </c>
      <c r="X569" s="96">
        <v>69.5</v>
      </c>
      <c r="Y569" s="96">
        <v>11.3</v>
      </c>
      <c r="Z569" s="155">
        <v>40.5</v>
      </c>
      <c r="AA569" s="117">
        <v>0.34444444444444444</v>
      </c>
      <c r="AB569" s="155">
        <v>85</v>
      </c>
      <c r="AC569" s="155">
        <v>14.9</v>
      </c>
      <c r="AD569" s="96" t="s">
        <v>569</v>
      </c>
      <c r="AE569" s="94">
        <f>Table3.110[[#This Row],[Gas 8h, ml]]-Table3.110[[#This Row],[Gas 0h, ml]]</f>
        <v>28.5</v>
      </c>
      <c r="AF569" s="94">
        <f>Table3.110[[#This Row],[Gas 24h, ml]]-Table3.110[[#This Row],[V8 Push back, ml]]</f>
        <v>44.5</v>
      </c>
      <c r="AG569" s="94">
        <f>Table3.110[[#This Row],[GP 8h, ml]]-(AVERAGE(AE$658,AE$659))*$AG$8</f>
        <v>27.836244932930278</v>
      </c>
      <c r="AH569" s="94">
        <f>Table3.110[[#This Row],[GP 8-24h, ml]]-(AVERAGE(AF$658,AF$659))*$AG$8</f>
        <v>42.50873479879084</v>
      </c>
      <c r="AI569" s="94">
        <f>Table3.110[[#This Row],[Net gas 8-24h, ml]]+Table3.110[[#This Row],[Net gas 8h, ml]]</f>
        <v>70.344979731721111</v>
      </c>
      <c r="AJ569" s="94">
        <f>Table3.110[[#This Row],[Net gas 8h, ml]]*Table3.110[[#This Row],[CH4 8h %]]%</f>
        <v>3.1454956774211213</v>
      </c>
      <c r="AK569" s="94">
        <f>Table3.110[[#This Row],[Net gas 8-24h, ml]]*Table3.110[[#This Row],[CH4 24h, %]]%</f>
        <v>6.3338014850198352</v>
      </c>
      <c r="AL569" s="94">
        <f>Table3.110[[#This Row],[CH4 8-24h, ml]]+Table3.110[[#This Row],[CH4 8h, ml]]</f>
        <v>9.4792971624409574</v>
      </c>
      <c r="AM569" s="94">
        <f>(Table3.110[[#This Row],[Net gas 24h, ml]]/Table3.110[[#This Row],[DM Incubated, mg]])*1000</f>
        <v>152.93752144013496</v>
      </c>
      <c r="AN569" s="94">
        <f>'3.2 Digest'!X569</f>
        <v>51.887009387480298</v>
      </c>
      <c r="AO569" s="94">
        <f>Table3.110[[#This Row],[Digested feed, mg]]/Table3.110[[#This Row],[Net gas 24h, ml]]</f>
        <v>3.3926932317777014</v>
      </c>
      <c r="AP569" s="94">
        <f>Table3.110[[#This Row],[CH4 8h, ml]]/Table3.110[[#This Row],[Net gas 8h, ml]]%</f>
        <v>11.3</v>
      </c>
      <c r="AQ569" s="94">
        <f>Table3.110[[#This Row],[CH4 24h, ml]]/Table3.110[[#This Row],[Net gas 24h, ml]]%</f>
        <v>13.475442311011708</v>
      </c>
      <c r="AR569" s="94">
        <f>Table3.110[[#This Row],[CH4 24h, ml]]/Table3.110[[#This Row],[DM Incubated, mg]]*1000</f>
        <v>20.609007473556545</v>
      </c>
      <c r="AS569" s="94">
        <f>Table3.110[[#This Row],[CH4 24h, ml]]/Table3.110[[#This Row],[Digested feed, mg]]*1000</f>
        <v>39.719011977840552</v>
      </c>
      <c r="AT569" s="94">
        <f>Table3.110[[#This Row],[CH4 24h, ml]]/'3.2 Digest'!AA569</f>
        <v>-0.67629113348038727</v>
      </c>
      <c r="AU569" s="94">
        <f>((Table3.110[[#This Row],[CH4 24h, ml]]/28.9)*16.04)/Table3.110[[#This Row],[DM Incubated, mg]]*1000</f>
        <v>11.438355705046611</v>
      </c>
      <c r="AV569" s="94">
        <f>((Table3.110[[#This Row],[CH4 24h, ml]]/28.9)*16.04)/Table3.110[[#This Row],[Digested feed, mg]]*1000</f>
        <v>22.044738827839531</v>
      </c>
      <c r="AW569" s="303"/>
    </row>
    <row r="570" spans="1:49" s="304" customFormat="1" x14ac:dyDescent="0.35">
      <c r="A570" s="89"/>
      <c r="B570" s="90">
        <f t="shared" si="8"/>
        <v>560</v>
      </c>
      <c r="C570" s="140">
        <v>46055</v>
      </c>
      <c r="D570" s="6" t="s">
        <v>16</v>
      </c>
      <c r="E570" s="6" t="s">
        <v>218</v>
      </c>
      <c r="F570" s="133" t="s">
        <v>219</v>
      </c>
      <c r="G570" s="133" t="s">
        <v>220</v>
      </c>
      <c r="H570" s="133" t="s">
        <v>221</v>
      </c>
      <c r="I570" s="133" t="s">
        <v>22</v>
      </c>
      <c r="J570" s="135" t="s">
        <v>23</v>
      </c>
      <c r="K570" s="135" t="s">
        <v>215</v>
      </c>
      <c r="L570" s="6" t="s">
        <v>217</v>
      </c>
      <c r="M570" s="93">
        <v>28</v>
      </c>
      <c r="N570" s="93">
        <v>62</v>
      </c>
      <c r="O570" s="6">
        <v>2</v>
      </c>
      <c r="P570" s="129">
        <v>3</v>
      </c>
      <c r="Q570" s="6">
        <v>0</v>
      </c>
      <c r="R570" s="98">
        <v>0.5</v>
      </c>
      <c r="S570" s="94">
        <f>((Table3.110[[#This Row],[Sample weight, g]]*'2.1. DM'!Q137)/100)*1000</f>
        <v>459.68312674930036</v>
      </c>
      <c r="T570" s="94">
        <f>'3.2 Digest'!W570</f>
        <v>277.28312674930032</v>
      </c>
      <c r="U570" s="117">
        <v>0.33680555555555558</v>
      </c>
      <c r="V570" s="155">
        <v>41</v>
      </c>
      <c r="W570" s="117">
        <v>0.6694444444444444</v>
      </c>
      <c r="X570" s="96">
        <v>70</v>
      </c>
      <c r="Y570" s="96">
        <v>10.9</v>
      </c>
      <c r="Z570" s="155">
        <v>40.5</v>
      </c>
      <c r="AA570" s="117">
        <v>0.34513888888888888</v>
      </c>
      <c r="AB570" s="155">
        <v>89.5</v>
      </c>
      <c r="AC570" s="155">
        <v>15</v>
      </c>
      <c r="AD570" s="96"/>
      <c r="AE570" s="94">
        <f>Table3.110[[#This Row],[Gas 8h, ml]]-Table3.110[[#This Row],[Gas 0h, ml]]</f>
        <v>29</v>
      </c>
      <c r="AF570" s="94">
        <f>Table3.110[[#This Row],[Gas 24h, ml]]-Table3.110[[#This Row],[V8 Push back, ml]]</f>
        <v>49</v>
      </c>
      <c r="AG570" s="94">
        <f>Table3.110[[#This Row],[GP 8h, ml]]-(AVERAGE(AE$658,AE$659))*$AG$8</f>
        <v>28.336244932930278</v>
      </c>
      <c r="AH570" s="94">
        <f>Table3.110[[#This Row],[GP 8-24h, ml]]-(AVERAGE(AF$658,AF$659))*$AG$8</f>
        <v>47.00873479879084</v>
      </c>
      <c r="AI570" s="94">
        <f>Table3.110[[#This Row],[Net gas 8-24h, ml]]+Table3.110[[#This Row],[Net gas 8h, ml]]</f>
        <v>75.344979731721111</v>
      </c>
      <c r="AJ570" s="94">
        <f>Table3.110[[#This Row],[Net gas 8h, ml]]*Table3.110[[#This Row],[CH4 8h %]]%</f>
        <v>3.0886506976894004</v>
      </c>
      <c r="AK570" s="94">
        <f>Table3.110[[#This Row],[Net gas 8-24h, ml]]*Table3.110[[#This Row],[CH4 24h, %]]%</f>
        <v>7.0513102198186255</v>
      </c>
      <c r="AL570" s="94">
        <f>Table3.110[[#This Row],[CH4 8-24h, ml]]+Table3.110[[#This Row],[CH4 8h, ml]]</f>
        <v>10.139960917508025</v>
      </c>
      <c r="AM570" s="94">
        <f>(Table3.110[[#This Row],[Net gas 24h, ml]]/Table3.110[[#This Row],[DM Incubated, mg]])*1000</f>
        <v>163.90634188496628</v>
      </c>
      <c r="AN570" s="94">
        <f>'3.2 Digest'!X570</f>
        <v>60.320492664183334</v>
      </c>
      <c r="AO570" s="94">
        <f>Table3.110[[#This Row],[Digested feed, mg]]/Table3.110[[#This Row],[Net gas 24h, ml]]</f>
        <v>3.6801805208072929</v>
      </c>
      <c r="AP570" s="94">
        <f>Table3.110[[#This Row],[CH4 8h, ml]]/Table3.110[[#This Row],[Net gas 8h, ml]]%</f>
        <v>10.9</v>
      </c>
      <c r="AQ570" s="94">
        <f>Table3.110[[#This Row],[CH4 24h, ml]]/Table3.110[[#This Row],[Net gas 24h, ml]]%</f>
        <v>13.458044522160758</v>
      </c>
      <c r="AR570" s="94">
        <f>Table3.110[[#This Row],[CH4 24h, ml]]/Table3.110[[#This Row],[DM Incubated, mg]]*1000</f>
        <v>22.058588465523787</v>
      </c>
      <c r="AS570" s="94">
        <f>Table3.110[[#This Row],[CH4 24h, ml]]/Table3.110[[#This Row],[Digested feed, mg]]*1000</f>
        <v>36.568979282593915</v>
      </c>
      <c r="AT570" s="94">
        <f>Table3.110[[#This Row],[CH4 24h, ml]]/'3.2 Digest'!AA570</f>
        <v>1.6988272212513917</v>
      </c>
      <c r="AU570" s="94">
        <f>((Table3.110[[#This Row],[CH4 24h, ml]]/28.9)*16.04)/Table3.110[[#This Row],[DM Incubated, mg]]*1000</f>
        <v>12.242898234844342</v>
      </c>
      <c r="AV570" s="94">
        <f>((Table3.110[[#This Row],[CH4 24h, ml]]/28.9)*16.04)/Table3.110[[#This Row],[Digested feed, mg]]*1000</f>
        <v>20.296416183142085</v>
      </c>
      <c r="AW570" s="303"/>
    </row>
    <row r="571" spans="1:49" s="304" customFormat="1" x14ac:dyDescent="0.35">
      <c r="A571" s="89"/>
      <c r="B571" s="90">
        <f t="shared" si="8"/>
        <v>561</v>
      </c>
      <c r="C571" s="140">
        <v>46055</v>
      </c>
      <c r="D571" s="6" t="s">
        <v>16</v>
      </c>
      <c r="E571" s="6" t="s">
        <v>223</v>
      </c>
      <c r="F571" s="133" t="s">
        <v>219</v>
      </c>
      <c r="G571" s="133" t="s">
        <v>220</v>
      </c>
      <c r="H571" s="133" t="s">
        <v>221</v>
      </c>
      <c r="I571" s="133" t="s">
        <v>22</v>
      </c>
      <c r="J571" s="135" t="s">
        <v>23</v>
      </c>
      <c r="K571" s="135" t="s">
        <v>215</v>
      </c>
      <c r="L571" s="6" t="s">
        <v>222</v>
      </c>
      <c r="M571" s="93">
        <v>28</v>
      </c>
      <c r="N571" s="93">
        <v>62</v>
      </c>
      <c r="O571" s="6">
        <v>2</v>
      </c>
      <c r="P571" s="129">
        <v>1</v>
      </c>
      <c r="Q571" s="6">
        <v>0</v>
      </c>
      <c r="R571" s="98">
        <v>0.5</v>
      </c>
      <c r="S571" s="94">
        <f>((Table3.110[[#This Row],[Sample weight, g]]*'2.1. DM'!Q139)/100)*1000</f>
        <v>457.14427872029592</v>
      </c>
      <c r="T571" s="94">
        <f>'3.2 Digest'!W571</f>
        <v>290.94427872029587</v>
      </c>
      <c r="U571" s="117">
        <v>0.33750000000000002</v>
      </c>
      <c r="V571" s="155">
        <v>41</v>
      </c>
      <c r="W571" s="117">
        <v>0.67013888888888884</v>
      </c>
      <c r="X571" s="96">
        <v>81</v>
      </c>
      <c r="Y571" s="96">
        <v>12</v>
      </c>
      <c r="Z571" s="155">
        <v>40</v>
      </c>
      <c r="AA571" s="117">
        <v>0.34513888888888888</v>
      </c>
      <c r="AB571" s="155">
        <v>91</v>
      </c>
      <c r="AC571" s="155">
        <v>16.8</v>
      </c>
      <c r="AD571" s="96"/>
      <c r="AE571" s="94">
        <f>Table3.110[[#This Row],[Gas 8h, ml]]-Table3.110[[#This Row],[Gas 0h, ml]]</f>
        <v>40</v>
      </c>
      <c r="AF571" s="94">
        <f>Table3.110[[#This Row],[Gas 24h, ml]]-Table3.110[[#This Row],[V8 Push back, ml]]</f>
        <v>51</v>
      </c>
      <c r="AG571" s="94">
        <f>Table3.110[[#This Row],[GP 8h, ml]]-(AVERAGE(AE$658,AE$659))*$AG$8</f>
        <v>39.336244932930278</v>
      </c>
      <c r="AH571" s="94">
        <f>Table3.110[[#This Row],[GP 8-24h, ml]]-(AVERAGE(AF$658,AF$659))*$AG$8</f>
        <v>49.00873479879084</v>
      </c>
      <c r="AI571" s="94">
        <f>Table3.110[[#This Row],[Net gas 8-24h, ml]]+Table3.110[[#This Row],[Net gas 8h, ml]]</f>
        <v>88.344979731721111</v>
      </c>
      <c r="AJ571" s="94">
        <f>Table3.110[[#This Row],[Net gas 8h, ml]]*Table3.110[[#This Row],[CH4 8h %]]%</f>
        <v>4.7203493919516335</v>
      </c>
      <c r="AK571" s="94">
        <f>Table3.110[[#This Row],[Net gas 8-24h, ml]]*Table3.110[[#This Row],[CH4 24h, %]]%</f>
        <v>8.2334674461968618</v>
      </c>
      <c r="AL571" s="94">
        <f>Table3.110[[#This Row],[CH4 8-24h, ml]]+Table3.110[[#This Row],[CH4 8h, ml]]</f>
        <v>12.953816838148494</v>
      </c>
      <c r="AM571" s="94">
        <f>(Table3.110[[#This Row],[Net gas 24h, ml]]/Table3.110[[#This Row],[DM Incubated, mg]])*1000</f>
        <v>193.2540422009198</v>
      </c>
      <c r="AN571" s="94">
        <f>'3.2 Digest'!X571</f>
        <v>63.643863056702578</v>
      </c>
      <c r="AO571" s="94">
        <f>Table3.110[[#This Row],[Digested feed, mg]]/Table3.110[[#This Row],[Net gas 24h, ml]]</f>
        <v>3.2932746105529929</v>
      </c>
      <c r="AP571" s="94">
        <f>Table3.110[[#This Row],[CH4 8h, ml]]/Table3.110[[#This Row],[Net gas 8h, ml]]%</f>
        <v>12.000000000000002</v>
      </c>
      <c r="AQ571" s="94">
        <f>Table3.110[[#This Row],[CH4 24h, ml]]/Table3.110[[#This Row],[Net gas 24h, ml]]%</f>
        <v>14.662765080127471</v>
      </c>
      <c r="AR571" s="94">
        <f>Table3.110[[#This Row],[CH4 24h, ml]]/Table3.110[[#This Row],[DM Incubated, mg]]*1000</f>
        <v>28.336386215771274</v>
      </c>
      <c r="AS571" s="94">
        <f>Table3.110[[#This Row],[CH4 24h, ml]]/Table3.110[[#This Row],[Digested feed, mg]]*1000</f>
        <v>44.523359920068614</v>
      </c>
      <c r="AT571" s="94">
        <f>Table3.110[[#This Row],[CH4 24h, ml]]/'3.2 Digest'!AA571</f>
        <v>0.64686434083819255</v>
      </c>
      <c r="AU571" s="94">
        <f>((Table3.110[[#This Row],[CH4 24h, ml]]/28.9)*16.04)/Table3.110[[#This Row],[DM Incubated, mg]]*1000</f>
        <v>15.727184598649524</v>
      </c>
      <c r="AV571" s="94">
        <f>((Table3.110[[#This Row],[CH4 24h, ml]]/28.9)*16.04)/Table3.110[[#This Row],[Digested feed, mg]]*1000</f>
        <v>24.711235055982723</v>
      </c>
      <c r="AW571" s="303"/>
    </row>
    <row r="572" spans="1:49" s="304" customFormat="1" x14ac:dyDescent="0.35">
      <c r="A572" s="89"/>
      <c r="B572" s="90">
        <f t="shared" si="8"/>
        <v>562</v>
      </c>
      <c r="C572" s="140">
        <v>46055</v>
      </c>
      <c r="D572" s="6" t="s">
        <v>16</v>
      </c>
      <c r="E572" s="6" t="s">
        <v>223</v>
      </c>
      <c r="F572" s="133" t="s">
        <v>219</v>
      </c>
      <c r="G572" s="133" t="s">
        <v>220</v>
      </c>
      <c r="H572" s="133" t="s">
        <v>221</v>
      </c>
      <c r="I572" s="133" t="s">
        <v>22</v>
      </c>
      <c r="J572" s="135" t="s">
        <v>23</v>
      </c>
      <c r="K572" s="135" t="s">
        <v>215</v>
      </c>
      <c r="L572" s="6" t="s">
        <v>222</v>
      </c>
      <c r="M572" s="93">
        <v>28</v>
      </c>
      <c r="N572" s="93">
        <v>62</v>
      </c>
      <c r="O572" s="6">
        <v>2</v>
      </c>
      <c r="P572" s="129">
        <v>2</v>
      </c>
      <c r="Q572" s="6">
        <v>0</v>
      </c>
      <c r="R572" s="98">
        <v>0.50019999999999998</v>
      </c>
      <c r="S572" s="94">
        <f>((Table3.110[[#This Row],[Sample weight, g]]*'2.1. DM'!Q139)/100)*1000</f>
        <v>457.32713643178403</v>
      </c>
      <c r="T572" s="94">
        <f>'3.2 Digest'!W572</f>
        <v>277.92713643178399</v>
      </c>
      <c r="U572" s="117">
        <v>0.33750000000000002</v>
      </c>
      <c r="V572" s="155">
        <v>41</v>
      </c>
      <c r="W572" s="117">
        <v>0.67013888888888884</v>
      </c>
      <c r="X572" s="96">
        <v>81.5</v>
      </c>
      <c r="Y572" s="96">
        <v>12</v>
      </c>
      <c r="Z572" s="155">
        <v>40.5</v>
      </c>
      <c r="AA572" s="117">
        <v>0.34583333333333333</v>
      </c>
      <c r="AB572" s="155">
        <v>87</v>
      </c>
      <c r="AC572" s="155">
        <v>17.100000000000001</v>
      </c>
      <c r="AD572" s="96"/>
      <c r="AE572" s="94">
        <f>Table3.110[[#This Row],[Gas 8h, ml]]-Table3.110[[#This Row],[Gas 0h, ml]]</f>
        <v>40.5</v>
      </c>
      <c r="AF572" s="94">
        <f>Table3.110[[#This Row],[Gas 24h, ml]]-Table3.110[[#This Row],[V8 Push back, ml]]</f>
        <v>46.5</v>
      </c>
      <c r="AG572" s="94">
        <f>Table3.110[[#This Row],[GP 8h, ml]]-(AVERAGE(AE$658,AE$659))*$AG$8</f>
        <v>39.836244932930278</v>
      </c>
      <c r="AH572" s="94">
        <f>Table3.110[[#This Row],[GP 8-24h, ml]]-(AVERAGE(AF$658,AF$659))*$AG$8</f>
        <v>44.50873479879084</v>
      </c>
      <c r="AI572" s="94">
        <f>Table3.110[[#This Row],[Net gas 8-24h, ml]]+Table3.110[[#This Row],[Net gas 8h, ml]]</f>
        <v>84.344979731721111</v>
      </c>
      <c r="AJ572" s="94">
        <f>Table3.110[[#This Row],[Net gas 8h, ml]]*Table3.110[[#This Row],[CH4 8h %]]%</f>
        <v>4.7803493919516331</v>
      </c>
      <c r="AK572" s="94">
        <f>Table3.110[[#This Row],[Net gas 8-24h, ml]]*Table3.110[[#This Row],[CH4 24h, %]]%</f>
        <v>7.6109936505932341</v>
      </c>
      <c r="AL572" s="94">
        <f>Table3.110[[#This Row],[CH4 8-24h, ml]]+Table3.110[[#This Row],[CH4 8h, ml]]</f>
        <v>12.391343042544868</v>
      </c>
      <c r="AM572" s="94">
        <f>(Table3.110[[#This Row],[Net gas 24h, ml]]/Table3.110[[#This Row],[DM Incubated, mg]])*1000</f>
        <v>184.43029729179912</v>
      </c>
      <c r="AN572" s="94">
        <f>'3.2 Digest'!X572</f>
        <v>60.772063210651019</v>
      </c>
      <c r="AO572" s="94">
        <f>Table3.110[[#This Row],[Digested feed, mg]]/Table3.110[[#This Row],[Net gas 24h, ml]]</f>
        <v>3.2951236376580573</v>
      </c>
      <c r="AP572" s="94">
        <f>Table3.110[[#This Row],[CH4 8h, ml]]/Table3.110[[#This Row],[Net gas 8h, ml]]%</f>
        <v>12</v>
      </c>
      <c r="AQ572" s="94">
        <f>Table3.110[[#This Row],[CH4 24h, ml]]/Table3.110[[#This Row],[Net gas 24h, ml]]%</f>
        <v>14.691263287937735</v>
      </c>
      <c r="AR572" s="94">
        <f>Table3.110[[#This Row],[CH4 24h, ml]]/Table3.110[[#This Row],[DM Incubated, mg]]*1000</f>
        <v>27.095140557864511</v>
      </c>
      <c r="AS572" s="94">
        <f>Table3.110[[#This Row],[CH4 24h, ml]]/Table3.110[[#This Row],[Digested feed, mg]]*1000</f>
        <v>44.584862067206849</v>
      </c>
      <c r="AT572" s="94">
        <f>Table3.110[[#This Row],[CH4 24h, ml]]/'3.2 Digest'!AA572</f>
        <v>0.90392931796938603</v>
      </c>
      <c r="AU572" s="94">
        <f>((Table3.110[[#This Row],[CH4 24h, ml]]/28.9)*16.04)/Table3.110[[#This Row],[DM Incubated, mg]]*1000</f>
        <v>15.038271783672899</v>
      </c>
      <c r="AV572" s="94">
        <f>((Table3.110[[#This Row],[CH4 24h, ml]]/28.9)*16.04)/Table3.110[[#This Row],[Digested feed, mg]]*1000</f>
        <v>24.745369811695426</v>
      </c>
      <c r="AW572" s="303"/>
    </row>
    <row r="573" spans="1:49" s="304" customFormat="1" x14ac:dyDescent="0.35">
      <c r="A573" s="89"/>
      <c r="B573" s="90">
        <f t="shared" si="8"/>
        <v>563</v>
      </c>
      <c r="C573" s="140">
        <v>46055</v>
      </c>
      <c r="D573" s="6" t="s">
        <v>16</v>
      </c>
      <c r="E573" s="6" t="s">
        <v>223</v>
      </c>
      <c r="F573" s="133" t="s">
        <v>219</v>
      </c>
      <c r="G573" s="133" t="s">
        <v>220</v>
      </c>
      <c r="H573" s="133" t="s">
        <v>221</v>
      </c>
      <c r="I573" s="133" t="s">
        <v>22</v>
      </c>
      <c r="J573" s="135" t="s">
        <v>23</v>
      </c>
      <c r="K573" s="135" t="s">
        <v>215</v>
      </c>
      <c r="L573" s="6" t="s">
        <v>222</v>
      </c>
      <c r="M573" s="93">
        <v>28</v>
      </c>
      <c r="N573" s="93">
        <v>62</v>
      </c>
      <c r="O573" s="6">
        <v>2</v>
      </c>
      <c r="P573" s="129">
        <v>3</v>
      </c>
      <c r="Q573" s="6">
        <v>0</v>
      </c>
      <c r="R573" s="98">
        <v>0.50009999999999999</v>
      </c>
      <c r="S573" s="94">
        <f>((Table3.110[[#This Row],[Sample weight, g]]*'2.1. DM'!Q139)/100)*1000</f>
        <v>457.23570757603994</v>
      </c>
      <c r="T573" s="94">
        <f>'3.2 Digest'!W573</f>
        <v>278.53570757603995</v>
      </c>
      <c r="U573" s="117">
        <v>0.33750000000000002</v>
      </c>
      <c r="V573" s="155">
        <v>41</v>
      </c>
      <c r="W573" s="117">
        <v>0.67083333333333328</v>
      </c>
      <c r="X573" s="96">
        <v>82</v>
      </c>
      <c r="Y573" s="96">
        <v>12</v>
      </c>
      <c r="Z573" s="155">
        <v>40.5</v>
      </c>
      <c r="AA573" s="117">
        <v>0.34583333333333333</v>
      </c>
      <c r="AB573" s="155">
        <v>89.5</v>
      </c>
      <c r="AC573" s="155">
        <v>17.2</v>
      </c>
      <c r="AD573" s="96"/>
      <c r="AE573" s="94">
        <f>Table3.110[[#This Row],[Gas 8h, ml]]-Table3.110[[#This Row],[Gas 0h, ml]]</f>
        <v>41</v>
      </c>
      <c r="AF573" s="94">
        <f>Table3.110[[#This Row],[Gas 24h, ml]]-Table3.110[[#This Row],[V8 Push back, ml]]</f>
        <v>49</v>
      </c>
      <c r="AG573" s="94">
        <f>Table3.110[[#This Row],[GP 8h, ml]]-(AVERAGE(AE$658,AE$659))*$AG$8</f>
        <v>40.336244932930278</v>
      </c>
      <c r="AH573" s="94">
        <f>Table3.110[[#This Row],[GP 8-24h, ml]]-(AVERAGE(AF$658,AF$659))*$AG$8</f>
        <v>47.00873479879084</v>
      </c>
      <c r="AI573" s="94">
        <f>Table3.110[[#This Row],[Net gas 8-24h, ml]]+Table3.110[[#This Row],[Net gas 8h, ml]]</f>
        <v>87.344979731721111</v>
      </c>
      <c r="AJ573" s="94">
        <f>Table3.110[[#This Row],[Net gas 8h, ml]]*Table3.110[[#This Row],[CH4 8h %]]%</f>
        <v>4.8403493919516327</v>
      </c>
      <c r="AK573" s="94">
        <f>Table3.110[[#This Row],[Net gas 8-24h, ml]]*Table3.110[[#This Row],[CH4 24h, %]]%</f>
        <v>8.085502385392024</v>
      </c>
      <c r="AL573" s="94">
        <f>Table3.110[[#This Row],[CH4 8-24h, ml]]+Table3.110[[#This Row],[CH4 8h, ml]]</f>
        <v>12.925851777343656</v>
      </c>
      <c r="AM573" s="94">
        <f>(Table3.110[[#This Row],[Net gas 24h, ml]]/Table3.110[[#This Row],[DM Incubated, mg]])*1000</f>
        <v>191.0283433347019</v>
      </c>
      <c r="AN573" s="94">
        <f>'3.2 Digest'!X573</f>
        <v>60.917313097144422</v>
      </c>
      <c r="AO573" s="94">
        <f>Table3.110[[#This Row],[Digested feed, mg]]/Table3.110[[#This Row],[Net gas 24h, ml]]</f>
        <v>3.1889149030838233</v>
      </c>
      <c r="AP573" s="94">
        <f>Table3.110[[#This Row],[CH4 8h, ml]]/Table3.110[[#This Row],[Net gas 8h, ml]]%</f>
        <v>11.999999999999998</v>
      </c>
      <c r="AQ573" s="94">
        <f>Table3.110[[#This Row],[CH4 24h, ml]]/Table3.110[[#This Row],[Net gas 24h, ml]]%</f>
        <v>14.798620157729992</v>
      </c>
      <c r="AR573" s="94">
        <f>Table3.110[[#This Row],[CH4 24h, ml]]/Table3.110[[#This Row],[DM Incubated, mg]]*1000</f>
        <v>28.26955892370685</v>
      </c>
      <c r="AS573" s="94">
        <f>Table3.110[[#This Row],[CH4 24h, ml]]/Table3.110[[#This Row],[Digested feed, mg]]*1000</f>
        <v>46.406444221572244</v>
      </c>
      <c r="AT573" s="94">
        <f>Table3.110[[#This Row],[CH4 24h, ml]]/'3.2 Digest'!AA573</f>
        <v>0.92144387061029265</v>
      </c>
      <c r="AU573" s="94">
        <f>((Table3.110[[#This Row],[CH4 24h, ml]]/28.9)*16.04)/Table3.110[[#This Row],[DM Incubated, mg]]*1000</f>
        <v>15.690094295372246</v>
      </c>
      <c r="AV573" s="94">
        <f>((Table3.110[[#This Row],[CH4 24h, ml]]/28.9)*16.04)/Table3.110[[#This Row],[Digested feed, mg]]*1000</f>
        <v>25.75637942263041</v>
      </c>
      <c r="AW573" s="303"/>
    </row>
    <row r="574" spans="1:49" s="304" customFormat="1" x14ac:dyDescent="0.35">
      <c r="A574" s="89"/>
      <c r="B574" s="90">
        <f t="shared" si="8"/>
        <v>564</v>
      </c>
      <c r="C574" s="140">
        <v>46055</v>
      </c>
      <c r="D574" s="6" t="s">
        <v>16</v>
      </c>
      <c r="E574" s="6" t="s">
        <v>225</v>
      </c>
      <c r="F574" s="133" t="s">
        <v>226</v>
      </c>
      <c r="G574" s="133" t="s">
        <v>227</v>
      </c>
      <c r="H574" s="133" t="s">
        <v>228</v>
      </c>
      <c r="I574" s="133" t="s">
        <v>22</v>
      </c>
      <c r="J574" s="135" t="s">
        <v>23</v>
      </c>
      <c r="K574" s="135" t="s">
        <v>215</v>
      </c>
      <c r="L574" s="6" t="s">
        <v>224</v>
      </c>
      <c r="M574" s="93">
        <v>28</v>
      </c>
      <c r="N574" s="93">
        <v>62</v>
      </c>
      <c r="O574" s="6">
        <v>2</v>
      </c>
      <c r="P574" s="129">
        <v>1</v>
      </c>
      <c r="Q574" s="6">
        <v>0</v>
      </c>
      <c r="R574" s="98">
        <v>0.50009999999999999</v>
      </c>
      <c r="S574" s="94">
        <f>((Table3.110[[#This Row],[Sample weight, g]]*'2.1. DM'!Q141)/100)*1000</f>
        <v>455.50672413793137</v>
      </c>
      <c r="T574" s="94">
        <f>'3.2 Digest'!W574</f>
        <v>173.90672413793129</v>
      </c>
      <c r="U574" s="117">
        <v>0.33819444444444446</v>
      </c>
      <c r="V574" s="155">
        <v>42</v>
      </c>
      <c r="W574" s="117">
        <v>0.67083333333333328</v>
      </c>
      <c r="X574" s="96">
        <v>75</v>
      </c>
      <c r="Y574" s="96">
        <v>11.4</v>
      </c>
      <c r="Z574" s="155">
        <v>41</v>
      </c>
      <c r="AA574" s="117">
        <v>0.34652777777777777</v>
      </c>
      <c r="AB574" s="155">
        <v>77</v>
      </c>
      <c r="AC574" s="155">
        <v>14.6</v>
      </c>
      <c r="AD574" s="96"/>
      <c r="AE574" s="94">
        <f>Table3.110[[#This Row],[Gas 8h, ml]]-Table3.110[[#This Row],[Gas 0h, ml]]</f>
        <v>33</v>
      </c>
      <c r="AF574" s="94">
        <f>Table3.110[[#This Row],[Gas 24h, ml]]-Table3.110[[#This Row],[V8 Push back, ml]]</f>
        <v>36</v>
      </c>
      <c r="AG574" s="94">
        <f>Table3.110[[#This Row],[GP 8h, ml]]-(AVERAGE(AE$658,AE$659))*$AG$8</f>
        <v>32.336244932930278</v>
      </c>
      <c r="AH574" s="94">
        <f>Table3.110[[#This Row],[GP 8-24h, ml]]-(AVERAGE(AF$658,AF$659))*$AG$8</f>
        <v>34.00873479879084</v>
      </c>
      <c r="AI574" s="94">
        <f>Table3.110[[#This Row],[Net gas 8-24h, ml]]+Table3.110[[#This Row],[Net gas 8h, ml]]</f>
        <v>66.344979731721111</v>
      </c>
      <c r="AJ574" s="94">
        <f>Table3.110[[#This Row],[Net gas 8h, ml]]*Table3.110[[#This Row],[CH4 8h %]]%</f>
        <v>3.6863319223540518</v>
      </c>
      <c r="AK574" s="94">
        <f>Table3.110[[#This Row],[Net gas 8-24h, ml]]*Table3.110[[#This Row],[CH4 24h, %]]%</f>
        <v>4.9652752806234624</v>
      </c>
      <c r="AL574" s="94">
        <f>Table3.110[[#This Row],[CH4 8-24h, ml]]+Table3.110[[#This Row],[CH4 8h, ml]]</f>
        <v>8.6516072029775142</v>
      </c>
      <c r="AM574" s="94">
        <f>(Table3.110[[#This Row],[Net gas 24h, ml]]/Table3.110[[#This Row],[DM Incubated, mg]])*1000</f>
        <v>145.65093381943419</v>
      </c>
      <c r="AN574" s="94">
        <f>'3.2 Digest'!X574</f>
        <v>38.178739176037027</v>
      </c>
      <c r="AO574" s="94">
        <f>Table3.110[[#This Row],[Digested feed, mg]]/Table3.110[[#This Row],[Net gas 24h, ml]]</f>
        <v>2.6212491863160876</v>
      </c>
      <c r="AP574" s="94">
        <f>Table3.110[[#This Row],[CH4 8h, ml]]/Table3.110[[#This Row],[Net gas 8h, ml]]%</f>
        <v>11.4</v>
      </c>
      <c r="AQ574" s="94">
        <f>Table3.110[[#This Row],[CH4 24h, ml]]/Table3.110[[#This Row],[Net gas 24h, ml]]%</f>
        <v>13.040334382438548</v>
      </c>
      <c r="AR574" s="94">
        <f>Table3.110[[#This Row],[CH4 24h, ml]]/Table3.110[[#This Row],[DM Incubated, mg]]*1000</f>
        <v>18.993368801198493</v>
      </c>
      <c r="AS574" s="94">
        <f>Table3.110[[#This Row],[CH4 24h, ml]]/Table3.110[[#This Row],[Digested feed, mg]]*1000</f>
        <v>49.748549090693196</v>
      </c>
      <c r="AT574" s="94">
        <f>Table3.110[[#This Row],[CH4 24h, ml]]/'3.2 Digest'!AA574</f>
        <v>-0.24337052185974201</v>
      </c>
      <c r="AU574" s="94">
        <f>((Table3.110[[#This Row],[CH4 24h, ml]]/28.9)*16.04)/Table3.110[[#This Row],[DM Incubated, mg]]*1000</f>
        <v>10.541648289661724</v>
      </c>
      <c r="AV574" s="94">
        <f>((Table3.110[[#This Row],[CH4 24h, ml]]/28.9)*16.04)/Table3.110[[#This Row],[Digested feed, mg]]*1000</f>
        <v>27.611305446876084</v>
      </c>
      <c r="AW574" s="303"/>
    </row>
    <row r="575" spans="1:49" s="304" customFormat="1" x14ac:dyDescent="0.35">
      <c r="A575" s="89"/>
      <c r="B575" s="90">
        <f t="shared" si="8"/>
        <v>565</v>
      </c>
      <c r="C575" s="140">
        <v>46055</v>
      </c>
      <c r="D575" s="6" t="s">
        <v>16</v>
      </c>
      <c r="E575" s="6" t="s">
        <v>225</v>
      </c>
      <c r="F575" s="133" t="s">
        <v>226</v>
      </c>
      <c r="G575" s="133" t="s">
        <v>227</v>
      </c>
      <c r="H575" s="133" t="s">
        <v>228</v>
      </c>
      <c r="I575" s="133" t="s">
        <v>22</v>
      </c>
      <c r="J575" s="135" t="s">
        <v>23</v>
      </c>
      <c r="K575" s="135" t="s">
        <v>215</v>
      </c>
      <c r="L575" s="6" t="s">
        <v>224</v>
      </c>
      <c r="M575" s="93">
        <v>28</v>
      </c>
      <c r="N575" s="93">
        <v>62</v>
      </c>
      <c r="O575" s="6">
        <v>2</v>
      </c>
      <c r="P575" s="129">
        <v>2</v>
      </c>
      <c r="Q575" s="6">
        <v>0</v>
      </c>
      <c r="R575" s="98">
        <v>0.50060000000000004</v>
      </c>
      <c r="S575" s="94">
        <f>((Table3.110[[#This Row],[Sample weight, g]]*'2.1. DM'!Q141)/100)*1000</f>
        <v>455.96213977894109</v>
      </c>
      <c r="T575" s="94">
        <f>'3.2 Digest'!W575</f>
        <v>182.06213977894117</v>
      </c>
      <c r="U575" s="117">
        <v>0.33819444444444446</v>
      </c>
      <c r="V575" s="155">
        <v>41</v>
      </c>
      <c r="W575" s="117">
        <v>0.67152777777777772</v>
      </c>
      <c r="X575" s="96">
        <v>76.5</v>
      </c>
      <c r="Y575" s="96">
        <v>11.4</v>
      </c>
      <c r="Z575" s="155">
        <v>40.5</v>
      </c>
      <c r="AA575" s="117">
        <v>0.34652777777777777</v>
      </c>
      <c r="AB575" s="155">
        <v>85</v>
      </c>
      <c r="AC575" s="155">
        <v>14.3</v>
      </c>
      <c r="AD575" s="96"/>
      <c r="AE575" s="94">
        <f>Table3.110[[#This Row],[Gas 8h, ml]]-Table3.110[[#This Row],[Gas 0h, ml]]</f>
        <v>35.5</v>
      </c>
      <c r="AF575" s="94">
        <f>Table3.110[[#This Row],[Gas 24h, ml]]-Table3.110[[#This Row],[V8 Push back, ml]]</f>
        <v>44.5</v>
      </c>
      <c r="AG575" s="94">
        <f>Table3.110[[#This Row],[GP 8h, ml]]-(AVERAGE(AE$658,AE$659))*$AG$8</f>
        <v>34.836244932930278</v>
      </c>
      <c r="AH575" s="94">
        <f>Table3.110[[#This Row],[GP 8-24h, ml]]-(AVERAGE(AF$658,AF$659))*$AG$8</f>
        <v>42.50873479879084</v>
      </c>
      <c r="AI575" s="94">
        <f>Table3.110[[#This Row],[Net gas 8-24h, ml]]+Table3.110[[#This Row],[Net gas 8h, ml]]</f>
        <v>77.344979731721111</v>
      </c>
      <c r="AJ575" s="94">
        <f>Table3.110[[#This Row],[Net gas 8h, ml]]*Table3.110[[#This Row],[CH4 8h %]]%</f>
        <v>3.971331922354052</v>
      </c>
      <c r="AK575" s="94">
        <f>Table3.110[[#This Row],[Net gas 8-24h, ml]]*Table3.110[[#This Row],[CH4 24h, %]]%</f>
        <v>6.0787490762270906</v>
      </c>
      <c r="AL575" s="94">
        <f>Table3.110[[#This Row],[CH4 8-24h, ml]]+Table3.110[[#This Row],[CH4 8h, ml]]</f>
        <v>10.050080998581143</v>
      </c>
      <c r="AM575" s="94">
        <f>(Table3.110[[#This Row],[Net gas 24h, ml]]/Table3.110[[#This Row],[DM Incubated, mg]])*1000</f>
        <v>169.6302674805838</v>
      </c>
      <c r="AN575" s="94">
        <f>'3.2 Digest'!X575</f>
        <v>39.929223041897352</v>
      </c>
      <c r="AO575" s="94">
        <f>Table3.110[[#This Row],[Digested feed, mg]]/Table3.110[[#This Row],[Net gas 24h, ml]]</f>
        <v>2.3538973106004053</v>
      </c>
      <c r="AP575" s="94">
        <f>Table3.110[[#This Row],[CH4 8h, ml]]/Table3.110[[#This Row],[Net gas 8h, ml]]%</f>
        <v>11.4</v>
      </c>
      <c r="AQ575" s="94">
        <f>Table3.110[[#This Row],[CH4 24h, ml]]/Table3.110[[#This Row],[Net gas 24h, ml]]%</f>
        <v>12.993837523056914</v>
      </c>
      <c r="AR575" s="94">
        <f>Table3.110[[#This Row],[CH4 24h, ml]]/Table3.110[[#This Row],[DM Incubated, mg]]*1000</f>
        <v>22.041481346353905</v>
      </c>
      <c r="AS575" s="94">
        <f>Table3.110[[#This Row],[CH4 24h, ml]]/Table3.110[[#This Row],[Digested feed, mg]]*1000</f>
        <v>55.201378006343845</v>
      </c>
      <c r="AT575" s="94">
        <f>Table3.110[[#This Row],[CH4 24h, ml]]/'3.2 Digest'!AA575</f>
        <v>-0.31692716731899512</v>
      </c>
      <c r="AU575" s="94">
        <f>((Table3.110[[#This Row],[CH4 24h, ml]]/28.9)*16.04)/Table3.110[[#This Row],[DM Incubated, mg]]*1000</f>
        <v>12.23340348773414</v>
      </c>
      <c r="AV575" s="94">
        <f>((Table3.110[[#This Row],[CH4 24h, ml]]/28.9)*16.04)/Table3.110[[#This Row],[Digested feed, mg]]*1000</f>
        <v>30.637719834662811</v>
      </c>
      <c r="AW575" s="303"/>
    </row>
    <row r="576" spans="1:49" s="304" customFormat="1" x14ac:dyDescent="0.35">
      <c r="A576" s="89"/>
      <c r="B576" s="90">
        <f t="shared" si="8"/>
        <v>566</v>
      </c>
      <c r="C576" s="140">
        <v>46055</v>
      </c>
      <c r="D576" s="6" t="s">
        <v>16</v>
      </c>
      <c r="E576" s="6" t="s">
        <v>225</v>
      </c>
      <c r="F576" s="133" t="s">
        <v>226</v>
      </c>
      <c r="G576" s="133" t="s">
        <v>227</v>
      </c>
      <c r="H576" s="133" t="s">
        <v>228</v>
      </c>
      <c r="I576" s="133" t="s">
        <v>22</v>
      </c>
      <c r="J576" s="135" t="s">
        <v>23</v>
      </c>
      <c r="K576" s="135" t="s">
        <v>215</v>
      </c>
      <c r="L576" s="6" t="s">
        <v>224</v>
      </c>
      <c r="M576" s="93">
        <v>28</v>
      </c>
      <c r="N576" s="93">
        <v>62</v>
      </c>
      <c r="O576" s="6">
        <v>2</v>
      </c>
      <c r="P576" s="129">
        <v>3</v>
      </c>
      <c r="Q576" s="6">
        <v>0</v>
      </c>
      <c r="R576" s="98">
        <v>0.50029999999999997</v>
      </c>
      <c r="S576" s="94">
        <f>((Table3.110[[#This Row],[Sample weight, g]]*'2.1. DM'!Q141)/100)*1000</f>
        <v>455.68889039433526</v>
      </c>
      <c r="T576" s="94">
        <f>'3.2 Digest'!W576</f>
        <v>179.88889039433531</v>
      </c>
      <c r="U576" s="117">
        <v>0.33888888888888891</v>
      </c>
      <c r="V576" s="155">
        <v>41.5</v>
      </c>
      <c r="W576" s="117">
        <v>0.67222222222222228</v>
      </c>
      <c r="X576" s="96">
        <v>75</v>
      </c>
      <c r="Y576" s="96">
        <v>11.2</v>
      </c>
      <c r="Z576" s="155">
        <v>40.5</v>
      </c>
      <c r="AA576" s="117">
        <v>0.34722222222222221</v>
      </c>
      <c r="AB576" s="155">
        <v>76.5</v>
      </c>
      <c r="AC576" s="155">
        <v>14.4</v>
      </c>
      <c r="AD576" s="96"/>
      <c r="AE576" s="94">
        <f>Table3.110[[#This Row],[Gas 8h, ml]]-Table3.110[[#This Row],[Gas 0h, ml]]</f>
        <v>33.5</v>
      </c>
      <c r="AF576" s="94">
        <f>Table3.110[[#This Row],[Gas 24h, ml]]-Table3.110[[#This Row],[V8 Push back, ml]]</f>
        <v>36</v>
      </c>
      <c r="AG576" s="94">
        <f>Table3.110[[#This Row],[GP 8h, ml]]-(AVERAGE(AE$658,AE$659))*$AG$8</f>
        <v>32.836244932930278</v>
      </c>
      <c r="AH576" s="94">
        <f>Table3.110[[#This Row],[GP 8-24h, ml]]-(AVERAGE(AF$658,AF$659))*$AG$8</f>
        <v>34.00873479879084</v>
      </c>
      <c r="AI576" s="94">
        <f>Table3.110[[#This Row],[Net gas 8-24h, ml]]+Table3.110[[#This Row],[Net gas 8h, ml]]</f>
        <v>66.844979731721111</v>
      </c>
      <c r="AJ576" s="94">
        <f>Table3.110[[#This Row],[Net gas 8h, ml]]*Table3.110[[#This Row],[CH4 8h %]]%</f>
        <v>3.6776594324881908</v>
      </c>
      <c r="AK576" s="94">
        <f>Table3.110[[#This Row],[Net gas 8-24h, ml]]*Table3.110[[#This Row],[CH4 24h, %]]%</f>
        <v>4.8972578110258818</v>
      </c>
      <c r="AL576" s="94">
        <f>Table3.110[[#This Row],[CH4 8-24h, ml]]+Table3.110[[#This Row],[CH4 8h, ml]]</f>
        <v>8.5749172435140721</v>
      </c>
      <c r="AM576" s="94">
        <f>(Table3.110[[#This Row],[Net gas 24h, ml]]/Table3.110[[#This Row],[DM Incubated, mg]])*1000</f>
        <v>146.68994820978867</v>
      </c>
      <c r="AN576" s="94">
        <f>'3.2 Digest'!X576</f>
        <v>39.476251053359348</v>
      </c>
      <c r="AO576" s="94">
        <f>Table3.110[[#This Row],[Digested feed, mg]]/Table3.110[[#This Row],[Net gas 24h, ml]]</f>
        <v>2.691135386925243</v>
      </c>
      <c r="AP576" s="94">
        <f>Table3.110[[#This Row],[CH4 8h, ml]]/Table3.110[[#This Row],[Net gas 8h, ml]]%</f>
        <v>11.2</v>
      </c>
      <c r="AQ576" s="94">
        <f>Table3.110[[#This Row],[CH4 24h, ml]]/Table3.110[[#This Row],[Net gas 24h, ml]]%</f>
        <v>12.828064692261201</v>
      </c>
      <c r="AR576" s="94">
        <f>Table3.110[[#This Row],[CH4 24h, ml]]/Table3.110[[#This Row],[DM Incubated, mg]]*1000</f>
        <v>18.817481453396145</v>
      </c>
      <c r="AS576" s="94">
        <f>Table3.110[[#This Row],[CH4 24h, ml]]/Table3.110[[#This Row],[Digested feed, mg]]*1000</f>
        <v>47.667853332782002</v>
      </c>
      <c r="AT576" s="94">
        <f>Table3.110[[#This Row],[CH4 24h, ml]]/'3.2 Digest'!AA576</f>
        <v>-0.26219623729526687</v>
      </c>
      <c r="AU576" s="94">
        <f>((Table3.110[[#This Row],[CH4 24h, ml]]/28.9)*16.04)/Table3.110[[#This Row],[DM Incubated, mg]]*1000</f>
        <v>10.444027768597723</v>
      </c>
      <c r="AV576" s="94">
        <f>((Table3.110[[#This Row],[CH4 24h, ml]]/28.9)*16.04)/Table3.110[[#This Row],[Digested feed, mg]]*1000</f>
        <v>26.456483303038869</v>
      </c>
      <c r="AW576" s="303"/>
    </row>
    <row r="577" spans="1:49" s="304" customFormat="1" x14ac:dyDescent="0.35">
      <c r="A577" s="89"/>
      <c r="B577" s="90">
        <f t="shared" si="8"/>
        <v>567</v>
      </c>
      <c r="C577" s="140">
        <v>46055</v>
      </c>
      <c r="D577" s="6" t="s">
        <v>16</v>
      </c>
      <c r="E577" s="6" t="s">
        <v>230</v>
      </c>
      <c r="F577" s="133" t="s">
        <v>226</v>
      </c>
      <c r="G577" s="133" t="s">
        <v>231</v>
      </c>
      <c r="H577" s="133" t="s">
        <v>232</v>
      </c>
      <c r="I577" s="133" t="s">
        <v>22</v>
      </c>
      <c r="J577" s="135" t="s">
        <v>23</v>
      </c>
      <c r="K577" s="135" t="s">
        <v>215</v>
      </c>
      <c r="L577" s="6" t="s">
        <v>229</v>
      </c>
      <c r="M577" s="93">
        <v>28</v>
      </c>
      <c r="N577" s="93">
        <v>62</v>
      </c>
      <c r="O577" s="6">
        <v>2</v>
      </c>
      <c r="P577" s="129">
        <v>1</v>
      </c>
      <c r="Q577" s="6">
        <v>0</v>
      </c>
      <c r="R577" s="112">
        <v>0.50019999999999998</v>
      </c>
      <c r="S577" s="94">
        <f>((Table3.110[[#This Row],[Sample weight, g]]*'2.1. DM'!Q143)/100)*1000</f>
        <v>465.17505357813138</v>
      </c>
      <c r="T577" s="94">
        <f>'3.2 Digest'!W577</f>
        <v>206.5750535781313</v>
      </c>
      <c r="U577" s="117">
        <v>0.33888888888888891</v>
      </c>
      <c r="V577" s="155">
        <v>41</v>
      </c>
      <c r="W577" s="117">
        <v>0.67222222222222228</v>
      </c>
      <c r="X577" s="96">
        <v>74.5</v>
      </c>
      <c r="Y577" s="96">
        <v>11.8</v>
      </c>
      <c r="Z577" s="155">
        <v>40.5</v>
      </c>
      <c r="AA577" s="117">
        <v>0.34791666666666665</v>
      </c>
      <c r="AB577" s="155">
        <v>84</v>
      </c>
      <c r="AC577" s="155">
        <v>14.6</v>
      </c>
      <c r="AD577" s="96"/>
      <c r="AE577" s="94">
        <f>Table3.110[[#This Row],[Gas 8h, ml]]-Table3.110[[#This Row],[Gas 0h, ml]]</f>
        <v>33.5</v>
      </c>
      <c r="AF577" s="94">
        <f>Table3.110[[#This Row],[Gas 24h, ml]]-Table3.110[[#This Row],[V8 Push back, ml]]</f>
        <v>43.5</v>
      </c>
      <c r="AG577" s="94">
        <f>Table3.110[[#This Row],[GP 8h, ml]]-(AVERAGE(AE$658,AE$659))*$AG$8</f>
        <v>32.836244932930278</v>
      </c>
      <c r="AH577" s="94">
        <f>Table3.110[[#This Row],[GP 8-24h, ml]]-(AVERAGE(AF$658,AF$659))*$AG$8</f>
        <v>41.50873479879084</v>
      </c>
      <c r="AI577" s="94">
        <f>Table3.110[[#This Row],[Net gas 8-24h, ml]]+Table3.110[[#This Row],[Net gas 8h, ml]]</f>
        <v>74.344979731721111</v>
      </c>
      <c r="AJ577" s="94">
        <f>Table3.110[[#This Row],[Net gas 8h, ml]]*Table3.110[[#This Row],[CH4 8h %]]%</f>
        <v>3.8746769020857732</v>
      </c>
      <c r="AK577" s="94">
        <f>Table3.110[[#This Row],[Net gas 8-24h, ml]]*Table3.110[[#This Row],[CH4 24h, %]]%</f>
        <v>6.0602752806234621</v>
      </c>
      <c r="AL577" s="94">
        <f>Table3.110[[#This Row],[CH4 8-24h, ml]]+Table3.110[[#This Row],[CH4 8h, ml]]</f>
        <v>9.9349521827092353</v>
      </c>
      <c r="AM577" s="94">
        <f>(Table3.110[[#This Row],[Net gas 24h, ml]]/Table3.110[[#This Row],[DM Incubated, mg]])*1000</f>
        <v>159.82151054717733</v>
      </c>
      <c r="AN577" s="94">
        <f>'3.2 Digest'!X577</f>
        <v>44.408024890662951</v>
      </c>
      <c r="AO577" s="94">
        <f>Table3.110[[#This Row],[Digested feed, mg]]/Table3.110[[#This Row],[Net gas 24h, ml]]</f>
        <v>2.7786012495204298</v>
      </c>
      <c r="AP577" s="94">
        <f>Table3.110[[#This Row],[CH4 8h, ml]]/Table3.110[[#This Row],[Net gas 8h, ml]]%</f>
        <v>11.800000000000002</v>
      </c>
      <c r="AQ577" s="94">
        <f>Table3.110[[#This Row],[CH4 24h, ml]]/Table3.110[[#This Row],[Net gas 24h, ml]]%</f>
        <v>13.363312786633587</v>
      </c>
      <c r="AR577" s="94">
        <f>Table3.110[[#This Row],[CH4 24h, ml]]/Table3.110[[#This Row],[DM Incubated, mg]]*1000</f>
        <v>21.357448354741898</v>
      </c>
      <c r="AS577" s="94">
        <f>Table3.110[[#This Row],[CH4 24h, ml]]/Table3.110[[#This Row],[Digested feed, mg]]*1000</f>
        <v>48.093668672106212</v>
      </c>
      <c r="AT577" s="94">
        <f>Table3.110[[#This Row],[CH4 24h, ml]]/'3.2 Digest'!AA577</f>
        <v>-1.2302256546564168</v>
      </c>
      <c r="AU577" s="94">
        <f>((Table3.110[[#This Row],[CH4 24h, ml]]/28.9)*16.04)/Table3.110[[#This Row],[DM Incubated, mg]]*1000</f>
        <v>11.85375334290865</v>
      </c>
      <c r="AV577" s="94">
        <f>((Table3.110[[#This Row],[CH4 24h, ml]]/28.9)*16.04)/Table3.110[[#This Row],[Digested feed, mg]]*1000</f>
        <v>26.692818183411195</v>
      </c>
      <c r="AW577" s="303"/>
    </row>
    <row r="578" spans="1:49" s="304" customFormat="1" x14ac:dyDescent="0.35">
      <c r="A578" s="89"/>
      <c r="B578" s="90">
        <f t="shared" si="8"/>
        <v>568</v>
      </c>
      <c r="C578" s="140">
        <v>46055</v>
      </c>
      <c r="D578" s="6" t="s">
        <v>16</v>
      </c>
      <c r="E578" s="6" t="s">
        <v>230</v>
      </c>
      <c r="F578" s="133" t="s">
        <v>226</v>
      </c>
      <c r="G578" s="133" t="s">
        <v>231</v>
      </c>
      <c r="H578" s="133" t="s">
        <v>232</v>
      </c>
      <c r="I578" s="133" t="s">
        <v>22</v>
      </c>
      <c r="J578" s="135" t="s">
        <v>23</v>
      </c>
      <c r="K578" s="135" t="s">
        <v>215</v>
      </c>
      <c r="L578" s="6" t="s">
        <v>229</v>
      </c>
      <c r="M578" s="93">
        <v>28</v>
      </c>
      <c r="N578" s="93">
        <v>62</v>
      </c>
      <c r="O578" s="6">
        <v>2</v>
      </c>
      <c r="P578" s="129">
        <v>2</v>
      </c>
      <c r="Q578" s="6">
        <v>0</v>
      </c>
      <c r="R578" s="112">
        <v>0.5</v>
      </c>
      <c r="S578" s="94">
        <f>((Table3.110[[#This Row],[Sample weight, g]]*'2.1. DM'!Q143)/100)*1000</f>
        <v>464.98905795494943</v>
      </c>
      <c r="T578" s="94">
        <f>'3.2 Digest'!W578</f>
        <v>210.78905795494944</v>
      </c>
      <c r="U578" s="117">
        <v>0.33958333333333335</v>
      </c>
      <c r="V578" s="155">
        <v>41.5</v>
      </c>
      <c r="W578" s="117">
        <v>0.67291666666666672</v>
      </c>
      <c r="X578" s="96">
        <v>72.5</v>
      </c>
      <c r="Y578" s="96">
        <v>11.7</v>
      </c>
      <c r="Z578" s="155">
        <v>40.5</v>
      </c>
      <c r="AA578" s="117">
        <v>0.34791666666666665</v>
      </c>
      <c r="AB578" s="155">
        <v>85</v>
      </c>
      <c r="AC578" s="155">
        <v>14.5</v>
      </c>
      <c r="AD578" s="96"/>
      <c r="AE578" s="94">
        <f>Table3.110[[#This Row],[Gas 8h, ml]]-Table3.110[[#This Row],[Gas 0h, ml]]</f>
        <v>31</v>
      </c>
      <c r="AF578" s="94">
        <f>Table3.110[[#This Row],[Gas 24h, ml]]-Table3.110[[#This Row],[V8 Push back, ml]]</f>
        <v>44.5</v>
      </c>
      <c r="AG578" s="94">
        <f>Table3.110[[#This Row],[GP 8h, ml]]-(AVERAGE(AE$658,AE$659))*$AG$8</f>
        <v>30.336244932930278</v>
      </c>
      <c r="AH578" s="94">
        <f>Table3.110[[#This Row],[GP 8-24h, ml]]-(AVERAGE(AF$658,AF$659))*$AG$8</f>
        <v>42.50873479879084</v>
      </c>
      <c r="AI578" s="94">
        <f>Table3.110[[#This Row],[Net gas 8-24h, ml]]+Table3.110[[#This Row],[Net gas 8h, ml]]</f>
        <v>72.844979731721111</v>
      </c>
      <c r="AJ578" s="94">
        <f>Table3.110[[#This Row],[Net gas 8h, ml]]*Table3.110[[#This Row],[CH4 8h %]]%</f>
        <v>3.5493406571528423</v>
      </c>
      <c r="AK578" s="94">
        <f>Table3.110[[#This Row],[Net gas 8-24h, ml]]*Table3.110[[#This Row],[CH4 24h, %]]%</f>
        <v>6.1637665458246715</v>
      </c>
      <c r="AL578" s="94">
        <f>Table3.110[[#This Row],[CH4 8-24h, ml]]+Table3.110[[#This Row],[CH4 8h, ml]]</f>
        <v>9.7131072029775147</v>
      </c>
      <c r="AM578" s="94">
        <f>(Table3.110[[#This Row],[Net gas 24h, ml]]/Table3.110[[#This Row],[DM Incubated, mg]])*1000</f>
        <v>156.65955679064325</v>
      </c>
      <c r="AN578" s="94">
        <f>'3.2 Digest'!X578</f>
        <v>45.3320469264401</v>
      </c>
      <c r="AO578" s="94">
        <f>Table3.110[[#This Row],[Digested feed, mg]]/Table3.110[[#This Row],[Net gas 24h, ml]]</f>
        <v>2.8936662311014296</v>
      </c>
      <c r="AP578" s="94">
        <f>Table3.110[[#This Row],[CH4 8h, ml]]/Table3.110[[#This Row],[Net gas 8h, ml]]%</f>
        <v>11.7</v>
      </c>
      <c r="AQ578" s="94">
        <f>Table3.110[[#This Row],[CH4 24h, ml]]/Table3.110[[#This Row],[Net gas 24h, ml]]%</f>
        <v>13.333941801823084</v>
      </c>
      <c r="AR578" s="94">
        <f>Table3.110[[#This Row],[CH4 24h, ml]]/Table3.110[[#This Row],[DM Incubated, mg]]*1000</f>
        <v>20.888894129458354</v>
      </c>
      <c r="AS578" s="94">
        <f>Table3.110[[#This Row],[CH4 24h, ml]]/Table3.110[[#This Row],[Digested feed, mg]]*1000</f>
        <v>46.079750520320808</v>
      </c>
      <c r="AT578" s="94">
        <f>Table3.110[[#This Row],[CH4 24h, ml]]/'3.2 Digest'!AA578</f>
        <v>-1.5468369706722687</v>
      </c>
      <c r="AU578" s="94">
        <f>((Table3.110[[#This Row],[CH4 24h, ml]]/28.9)*16.04)/Table3.110[[#This Row],[DM Incubated, mg]]*1000</f>
        <v>11.593697641401802</v>
      </c>
      <c r="AV578" s="94">
        <f>((Table3.110[[#This Row],[CH4 24h, ml]]/28.9)*16.04)/Table3.110[[#This Row],[Digested feed, mg]]*1000</f>
        <v>25.575058766295705</v>
      </c>
      <c r="AW578" s="303"/>
    </row>
    <row r="579" spans="1:49" s="304" customFormat="1" x14ac:dyDescent="0.35">
      <c r="A579" s="89"/>
      <c r="B579" s="90">
        <f t="shared" si="8"/>
        <v>569</v>
      </c>
      <c r="C579" s="140">
        <v>46055</v>
      </c>
      <c r="D579" s="6" t="s">
        <v>16</v>
      </c>
      <c r="E579" s="6" t="s">
        <v>230</v>
      </c>
      <c r="F579" s="133" t="s">
        <v>226</v>
      </c>
      <c r="G579" s="133" t="s">
        <v>231</v>
      </c>
      <c r="H579" s="133" t="s">
        <v>232</v>
      </c>
      <c r="I579" s="133" t="s">
        <v>22</v>
      </c>
      <c r="J579" s="135" t="s">
        <v>23</v>
      </c>
      <c r="K579" s="135" t="s">
        <v>215</v>
      </c>
      <c r="L579" s="6" t="s">
        <v>229</v>
      </c>
      <c r="M579" s="93">
        <v>28</v>
      </c>
      <c r="N579" s="93">
        <v>62</v>
      </c>
      <c r="O579" s="6">
        <v>2</v>
      </c>
      <c r="P579" s="129">
        <v>3</v>
      </c>
      <c r="Q579" s="6">
        <v>0</v>
      </c>
      <c r="R579" s="112">
        <v>0.50019999999999998</v>
      </c>
      <c r="S579" s="94">
        <f>((Table3.110[[#This Row],[Sample weight, g]]*'2.1. DM'!Q143)/100)*1000</f>
        <v>465.17505357813138</v>
      </c>
      <c r="T579" s="94">
        <f>'3.2 Digest'!W579</f>
        <v>206.77505357813129</v>
      </c>
      <c r="U579" s="117">
        <v>0.33958333333333335</v>
      </c>
      <c r="V579" s="155">
        <v>41.5</v>
      </c>
      <c r="W579" s="117">
        <v>0.67291666666666672</v>
      </c>
      <c r="X579" s="96">
        <v>73</v>
      </c>
      <c r="Y579" s="96">
        <v>11.5</v>
      </c>
      <c r="Z579" s="155">
        <v>40.5</v>
      </c>
      <c r="AA579" s="117">
        <v>0.34861111111111109</v>
      </c>
      <c r="AB579" s="155">
        <v>87</v>
      </c>
      <c r="AC579" s="155">
        <v>14.4</v>
      </c>
      <c r="AD579" s="96"/>
      <c r="AE579" s="94">
        <f>Table3.110[[#This Row],[Gas 8h, ml]]-Table3.110[[#This Row],[Gas 0h, ml]]</f>
        <v>31.5</v>
      </c>
      <c r="AF579" s="94">
        <f>Table3.110[[#This Row],[Gas 24h, ml]]-Table3.110[[#This Row],[V8 Push back, ml]]</f>
        <v>46.5</v>
      </c>
      <c r="AG579" s="94">
        <f>Table3.110[[#This Row],[GP 8h, ml]]-(AVERAGE(AE$658,AE$659))*$AG$8</f>
        <v>30.836244932930278</v>
      </c>
      <c r="AH579" s="94">
        <f>Table3.110[[#This Row],[GP 8-24h, ml]]-(AVERAGE(AF$658,AF$659))*$AG$8</f>
        <v>44.50873479879084</v>
      </c>
      <c r="AI579" s="94">
        <f>Table3.110[[#This Row],[Net gas 8-24h, ml]]+Table3.110[[#This Row],[Net gas 8h, ml]]</f>
        <v>75.344979731721111</v>
      </c>
      <c r="AJ579" s="94">
        <f>Table3.110[[#This Row],[Net gas 8h, ml]]*Table3.110[[#This Row],[CH4 8h %]]%</f>
        <v>3.5461681672869823</v>
      </c>
      <c r="AK579" s="94">
        <f>Table3.110[[#This Row],[Net gas 8-24h, ml]]*Table3.110[[#This Row],[CH4 24h, %]]%</f>
        <v>6.4092578110258813</v>
      </c>
      <c r="AL579" s="94">
        <f>Table3.110[[#This Row],[CH4 8-24h, ml]]+Table3.110[[#This Row],[CH4 8h, ml]]</f>
        <v>9.9554259783128636</v>
      </c>
      <c r="AM579" s="94">
        <f>(Table3.110[[#This Row],[Net gas 24h, ml]]/Table3.110[[#This Row],[DM Incubated, mg]])*1000</f>
        <v>161.97123889633963</v>
      </c>
      <c r="AN579" s="94">
        <f>'3.2 Digest'!X579</f>
        <v>44.451019457646197</v>
      </c>
      <c r="AO579" s="94">
        <f>Table3.110[[#This Row],[Digested feed, mg]]/Table3.110[[#This Row],[Net gas 24h, ml]]</f>
        <v>2.7443773203521959</v>
      </c>
      <c r="AP579" s="94">
        <f>Table3.110[[#This Row],[CH4 8h, ml]]/Table3.110[[#This Row],[Net gas 8h, ml]]%</f>
        <v>11.5</v>
      </c>
      <c r="AQ579" s="94">
        <f>Table3.110[[#This Row],[CH4 24h, ml]]/Table3.110[[#This Row],[Net gas 24h, ml]]%</f>
        <v>13.213124502469691</v>
      </c>
      <c r="AR579" s="94">
        <f>Table3.110[[#This Row],[CH4 24h, ml]]/Table3.110[[#This Row],[DM Incubated, mg]]*1000</f>
        <v>21.401461453565968</v>
      </c>
      <c r="AS579" s="94">
        <f>Table3.110[[#This Row],[CH4 24h, ml]]/Table3.110[[#This Row],[Digested feed, mg]]*1000</f>
        <v>48.146165632843818</v>
      </c>
      <c r="AT579" s="94">
        <f>Table3.110[[#This Row],[CH4 24h, ml]]/'3.2 Digest'!AA579</f>
        <v>-1.2456536445384427</v>
      </c>
      <c r="AU579" s="94">
        <f>((Table3.110[[#This Row],[CH4 24h, ml]]/28.9)*16.04)/Table3.110[[#This Row],[DM Incubated, mg]]*1000</f>
        <v>11.87818137422831</v>
      </c>
      <c r="AV579" s="94">
        <f>((Table3.110[[#This Row],[CH4 24h, ml]]/28.9)*16.04)/Table3.110[[#This Row],[Digested feed, mg]]*1000</f>
        <v>26.721954904872486</v>
      </c>
      <c r="AW579" s="303"/>
    </row>
    <row r="580" spans="1:49" s="304" customFormat="1" x14ac:dyDescent="0.35">
      <c r="A580" s="89"/>
      <c r="B580" s="90">
        <f t="shared" si="8"/>
        <v>570</v>
      </c>
      <c r="C580" s="140">
        <v>46055</v>
      </c>
      <c r="D580" s="6" t="s">
        <v>16</v>
      </c>
      <c r="E580" s="6" t="s">
        <v>234</v>
      </c>
      <c r="F580" s="133" t="s">
        <v>235</v>
      </c>
      <c r="G580" s="133" t="s">
        <v>236</v>
      </c>
      <c r="H580" s="133" t="s">
        <v>237</v>
      </c>
      <c r="I580" s="133" t="s">
        <v>22</v>
      </c>
      <c r="J580" s="135" t="s">
        <v>23</v>
      </c>
      <c r="K580" s="135" t="s">
        <v>215</v>
      </c>
      <c r="L580" s="6" t="s">
        <v>233</v>
      </c>
      <c r="M580" s="93">
        <v>28</v>
      </c>
      <c r="N580" s="93">
        <v>62</v>
      </c>
      <c r="O580" s="6">
        <v>2</v>
      </c>
      <c r="P580" s="129">
        <v>1</v>
      </c>
      <c r="Q580" s="6">
        <v>0</v>
      </c>
      <c r="R580" s="112">
        <v>0.50009999999999999</v>
      </c>
      <c r="S580" s="94">
        <f>((Table3.110[[#This Row],[Sample weight, g]]*'2.1. DM'!Q145)/100)*1000</f>
        <v>444.32786552512283</v>
      </c>
      <c r="T580" s="94">
        <f>'3.2 Digest'!W580</f>
        <v>174.32786552512283</v>
      </c>
      <c r="U580" s="117">
        <v>0.34027777777777779</v>
      </c>
      <c r="V580" s="155">
        <v>41.5</v>
      </c>
      <c r="W580" s="117">
        <v>0.67361111111111116</v>
      </c>
      <c r="X580" s="96">
        <v>88</v>
      </c>
      <c r="Y580" s="96">
        <v>12.6</v>
      </c>
      <c r="Z580" s="155">
        <v>40.5</v>
      </c>
      <c r="AA580" s="117">
        <v>0.34861111111111109</v>
      </c>
      <c r="AB580" s="155">
        <v>95.5</v>
      </c>
      <c r="AC580" s="155">
        <v>16.2</v>
      </c>
      <c r="AD580" s="96"/>
      <c r="AE580" s="94">
        <f>Table3.110[[#This Row],[Gas 8h, ml]]-Table3.110[[#This Row],[Gas 0h, ml]]</f>
        <v>46.5</v>
      </c>
      <c r="AF580" s="94">
        <f>Table3.110[[#This Row],[Gas 24h, ml]]-Table3.110[[#This Row],[V8 Push back, ml]]</f>
        <v>55</v>
      </c>
      <c r="AG580" s="94">
        <f>Table3.110[[#This Row],[GP 8h, ml]]-(AVERAGE(AE$658,AE$659))*$AG$8</f>
        <v>45.836244932930278</v>
      </c>
      <c r="AH580" s="94">
        <f>Table3.110[[#This Row],[GP 8-24h, ml]]-(AVERAGE(AF$658,AF$659))*$AG$8</f>
        <v>53.00873479879084</v>
      </c>
      <c r="AI580" s="94">
        <f>Table3.110[[#This Row],[Net gas 8-24h, ml]]+Table3.110[[#This Row],[Net gas 8h, ml]]</f>
        <v>98.844979731721111</v>
      </c>
      <c r="AJ580" s="94">
        <f>Table3.110[[#This Row],[Net gas 8h, ml]]*Table3.110[[#This Row],[CH4 8h %]]%</f>
        <v>5.7753668615492151</v>
      </c>
      <c r="AK580" s="94">
        <f>Table3.110[[#This Row],[Net gas 8-24h, ml]]*Table3.110[[#This Row],[CH4 24h, %]]%</f>
        <v>8.5874150374041172</v>
      </c>
      <c r="AL580" s="94">
        <f>Table3.110[[#This Row],[CH4 8-24h, ml]]+Table3.110[[#This Row],[CH4 8h, ml]]</f>
        <v>14.362781898953333</v>
      </c>
      <c r="AM580" s="94">
        <f>(Table3.110[[#This Row],[Net gas 24h, ml]]/Table3.110[[#This Row],[DM Incubated, mg]])*1000</f>
        <v>222.45955610932148</v>
      </c>
      <c r="AN580" s="94">
        <f>'3.2 Digest'!X580</f>
        <v>39.234060938108357</v>
      </c>
      <c r="AO580" s="94">
        <f>Table3.110[[#This Row],[Digested feed, mg]]/Table3.110[[#This Row],[Net gas 24h, ml]]</f>
        <v>1.7636491605165248</v>
      </c>
      <c r="AP580" s="94">
        <f>Table3.110[[#This Row],[CH4 8h, ml]]/Table3.110[[#This Row],[Net gas 8h, ml]]%</f>
        <v>12.600000000000001</v>
      </c>
      <c r="AQ580" s="94">
        <f>Table3.110[[#This Row],[CH4 24h, ml]]/Table3.110[[#This Row],[Net gas 24h, ml]]%</f>
        <v>14.530613429165449</v>
      </c>
      <c r="AR580" s="94">
        <f>Table3.110[[#This Row],[CH4 24h, ml]]/Table3.110[[#This Row],[DM Incubated, mg]]*1000</f>
        <v>32.324738134482907</v>
      </c>
      <c r="AS580" s="94">
        <f>Table3.110[[#This Row],[CH4 24h, ml]]/Table3.110[[#This Row],[Digested feed, mg]]*1000</f>
        <v>82.389478329748002</v>
      </c>
      <c r="AT580" s="94">
        <f>Table3.110[[#This Row],[CH4 24h, ml]]/'3.2 Digest'!AA580</f>
        <v>-0.75761114526550488</v>
      </c>
      <c r="AU580" s="94">
        <f>((Table3.110[[#This Row],[CH4 24h, ml]]/28.9)*16.04)/Table3.110[[#This Row],[DM Incubated, mg]]*1000</f>
        <v>17.940788916162834</v>
      </c>
      <c r="AV580" s="94">
        <f>((Table3.110[[#This Row],[CH4 24h, ml]]/28.9)*16.04)/Table3.110[[#This Row],[Digested feed, mg]]*1000</f>
        <v>45.727585896510668</v>
      </c>
      <c r="AW580" s="303"/>
    </row>
    <row r="581" spans="1:49" s="304" customFormat="1" x14ac:dyDescent="0.35">
      <c r="A581" s="89"/>
      <c r="B581" s="90">
        <f t="shared" si="8"/>
        <v>571</v>
      </c>
      <c r="C581" s="140">
        <v>46055</v>
      </c>
      <c r="D581" s="6" t="s">
        <v>16</v>
      </c>
      <c r="E581" s="6" t="s">
        <v>234</v>
      </c>
      <c r="F581" s="133" t="s">
        <v>235</v>
      </c>
      <c r="G581" s="133" t="s">
        <v>236</v>
      </c>
      <c r="H581" s="133" t="s">
        <v>237</v>
      </c>
      <c r="I581" s="133" t="s">
        <v>22</v>
      </c>
      <c r="J581" s="135" t="s">
        <v>23</v>
      </c>
      <c r="K581" s="135" t="s">
        <v>215</v>
      </c>
      <c r="L581" s="6" t="s">
        <v>233</v>
      </c>
      <c r="M581" s="93">
        <v>28</v>
      </c>
      <c r="N581" s="93">
        <v>62</v>
      </c>
      <c r="O581" s="6">
        <v>2</v>
      </c>
      <c r="P581" s="129">
        <v>2</v>
      </c>
      <c r="Q581" s="6">
        <v>0</v>
      </c>
      <c r="R581" s="112">
        <v>0.50039999999999996</v>
      </c>
      <c r="S581" s="94">
        <f>((Table3.110[[#This Row],[Sample weight, g]]*'2.1. DM'!Q145)/100)*1000</f>
        <v>444.59440893575572</v>
      </c>
      <c r="T581" s="94">
        <f>'3.2 Digest'!W581</f>
        <v>194.19440893575577</v>
      </c>
      <c r="U581" s="117">
        <v>0.34027777777777779</v>
      </c>
      <c r="V581" s="155">
        <v>40</v>
      </c>
      <c r="W581" s="117">
        <v>0.6743055555555556</v>
      </c>
      <c r="X581" s="96">
        <v>83</v>
      </c>
      <c r="Y581" s="96">
        <v>13</v>
      </c>
      <c r="Z581" s="155">
        <v>39.5</v>
      </c>
      <c r="AA581" s="117">
        <v>0.34930555555555554</v>
      </c>
      <c r="AB581" s="155">
        <v>92.5</v>
      </c>
      <c r="AC581" s="155">
        <v>16.3</v>
      </c>
      <c r="AD581" s="96"/>
      <c r="AE581" s="94">
        <f>Table3.110[[#This Row],[Gas 8h, ml]]-Table3.110[[#This Row],[Gas 0h, ml]]</f>
        <v>43</v>
      </c>
      <c r="AF581" s="94">
        <f>Table3.110[[#This Row],[Gas 24h, ml]]-Table3.110[[#This Row],[V8 Push back, ml]]</f>
        <v>53</v>
      </c>
      <c r="AG581" s="94">
        <f>Table3.110[[#This Row],[GP 8h, ml]]-(AVERAGE(AE$658,AE$659))*$AG$8</f>
        <v>42.336244932930278</v>
      </c>
      <c r="AH581" s="94">
        <f>Table3.110[[#This Row],[GP 8-24h, ml]]-(AVERAGE(AF$658,AF$659))*$AG$8</f>
        <v>51.00873479879084</v>
      </c>
      <c r="AI581" s="94">
        <f>Table3.110[[#This Row],[Net gas 8-24h, ml]]+Table3.110[[#This Row],[Net gas 8h, ml]]</f>
        <v>93.344979731721111</v>
      </c>
      <c r="AJ581" s="94">
        <f>Table3.110[[#This Row],[Net gas 8h, ml]]*Table3.110[[#This Row],[CH4 8h %]]%</f>
        <v>5.5037118412809365</v>
      </c>
      <c r="AK581" s="94">
        <f>Table3.110[[#This Row],[Net gas 8-24h, ml]]*Table3.110[[#This Row],[CH4 24h, %]]%</f>
        <v>8.3144237722029075</v>
      </c>
      <c r="AL581" s="94">
        <f>Table3.110[[#This Row],[CH4 8-24h, ml]]+Table3.110[[#This Row],[CH4 8h, ml]]</f>
        <v>13.818135613483843</v>
      </c>
      <c r="AM581" s="94">
        <f>(Table3.110[[#This Row],[Net gas 24h, ml]]/Table3.110[[#This Row],[DM Incubated, mg]])*1000</f>
        <v>209.95536123624427</v>
      </c>
      <c r="AN581" s="94">
        <f>'3.2 Digest'!X581</f>
        <v>43.679003836464581</v>
      </c>
      <c r="AO581" s="94">
        <f>Table3.110[[#This Row],[Digested feed, mg]]/Table3.110[[#This Row],[Net gas 24h, ml]]</f>
        <v>2.0803947838853443</v>
      </c>
      <c r="AP581" s="94">
        <f>Table3.110[[#This Row],[CH4 8h, ml]]/Table3.110[[#This Row],[Net gas 8h, ml]]%</f>
        <v>13</v>
      </c>
      <c r="AQ581" s="94">
        <f>Table3.110[[#This Row],[CH4 24h, ml]]/Table3.110[[#This Row],[Net gas 24h, ml]]%</f>
        <v>14.803298102584591</v>
      </c>
      <c r="AR581" s="94">
        <f>Table3.110[[#This Row],[CH4 24h, ml]]/Table3.110[[#This Row],[DM Incubated, mg]]*1000</f>
        <v>31.08031800615958</v>
      </c>
      <c r="AS581" s="94">
        <f>Table3.110[[#This Row],[CH4 24h, ml]]/Table3.110[[#This Row],[Digested feed, mg]]*1000</f>
        <v>71.156196974008751</v>
      </c>
      <c r="AT581" s="94">
        <f>Table3.110[[#This Row],[CH4 24h, ml]]/'3.2 Digest'!AA581</f>
        <v>-1.3472725521391262</v>
      </c>
      <c r="AU581" s="94">
        <f>((Table3.110[[#This Row],[CH4 24h, ml]]/28.9)*16.04)/Table3.110[[#This Row],[DM Incubated, mg]]*1000</f>
        <v>17.250114215183377</v>
      </c>
      <c r="AV581" s="94">
        <f>((Table3.110[[#This Row],[CH4 24h, ml]]/28.9)*16.04)/Table3.110[[#This Row],[Digested feed, mg]]*1000</f>
        <v>39.492920396647072</v>
      </c>
      <c r="AW581" s="303"/>
    </row>
    <row r="582" spans="1:49" s="304" customFormat="1" x14ac:dyDescent="0.35">
      <c r="A582" s="89"/>
      <c r="B582" s="90">
        <f t="shared" si="8"/>
        <v>572</v>
      </c>
      <c r="C582" s="140">
        <v>46055</v>
      </c>
      <c r="D582" s="6" t="s">
        <v>16</v>
      </c>
      <c r="E582" s="6" t="s">
        <v>234</v>
      </c>
      <c r="F582" s="133" t="s">
        <v>235</v>
      </c>
      <c r="G582" s="133" t="s">
        <v>236</v>
      </c>
      <c r="H582" s="133" t="s">
        <v>237</v>
      </c>
      <c r="I582" s="133" t="s">
        <v>22</v>
      </c>
      <c r="J582" s="135" t="s">
        <v>23</v>
      </c>
      <c r="K582" s="135" t="s">
        <v>215</v>
      </c>
      <c r="L582" s="6" t="s">
        <v>233</v>
      </c>
      <c r="M582" s="93">
        <v>28</v>
      </c>
      <c r="N582" s="93">
        <v>62</v>
      </c>
      <c r="O582" s="6">
        <v>2</v>
      </c>
      <c r="P582" s="129">
        <v>3</v>
      </c>
      <c r="Q582" s="6">
        <v>0</v>
      </c>
      <c r="R582" s="112">
        <v>0.50029999999999997</v>
      </c>
      <c r="S582" s="94">
        <f>((Table3.110[[#This Row],[Sample weight, g]]*'2.1. DM'!Q145)/100)*1000</f>
        <v>444.50556113221148</v>
      </c>
      <c r="T582" s="94">
        <f>'3.2 Digest'!W582</f>
        <v>138.10556113221151</v>
      </c>
      <c r="U582" s="117">
        <v>0.34027777777777779</v>
      </c>
      <c r="V582" s="155">
        <v>41</v>
      </c>
      <c r="W582" s="117">
        <v>0.6743055555555556</v>
      </c>
      <c r="X582" s="96">
        <v>84</v>
      </c>
      <c r="Y582" s="96">
        <v>13.3</v>
      </c>
      <c r="Z582" s="155">
        <v>40</v>
      </c>
      <c r="AA582" s="117">
        <v>0.35</v>
      </c>
      <c r="AB582" s="155">
        <v>91.5</v>
      </c>
      <c r="AC582" s="155">
        <v>16.399999999999999</v>
      </c>
      <c r="AD582" s="96"/>
      <c r="AE582" s="94">
        <f>Table3.110[[#This Row],[Gas 8h, ml]]-Table3.110[[#This Row],[Gas 0h, ml]]</f>
        <v>43</v>
      </c>
      <c r="AF582" s="94">
        <f>Table3.110[[#This Row],[Gas 24h, ml]]-Table3.110[[#This Row],[V8 Push back, ml]]</f>
        <v>51.5</v>
      </c>
      <c r="AG582" s="94">
        <f>Table3.110[[#This Row],[GP 8h, ml]]-(AVERAGE(AE$658,AE$659))*$AG$8</f>
        <v>42.336244932930278</v>
      </c>
      <c r="AH582" s="94">
        <f>Table3.110[[#This Row],[GP 8-24h, ml]]-(AVERAGE(AF$658,AF$659))*$AG$8</f>
        <v>49.50873479879084</v>
      </c>
      <c r="AI582" s="94">
        <f>Table3.110[[#This Row],[Net gas 8-24h, ml]]+Table3.110[[#This Row],[Net gas 8h, ml]]</f>
        <v>91.844979731721111</v>
      </c>
      <c r="AJ582" s="94">
        <f>Table3.110[[#This Row],[Net gas 8h, ml]]*Table3.110[[#This Row],[CH4 8h %]]%</f>
        <v>5.6307205760797272</v>
      </c>
      <c r="AK582" s="94">
        <f>Table3.110[[#This Row],[Net gas 8-24h, ml]]*Table3.110[[#This Row],[CH4 24h, %]]%</f>
        <v>8.1194325070016973</v>
      </c>
      <c r="AL582" s="94">
        <f>Table3.110[[#This Row],[CH4 8-24h, ml]]+Table3.110[[#This Row],[CH4 8h, ml]]</f>
        <v>13.750153083081425</v>
      </c>
      <c r="AM582" s="94">
        <f>(Table3.110[[#This Row],[Net gas 24h, ml]]/Table3.110[[#This Row],[DM Incubated, mg]])*1000</f>
        <v>206.62279116999215</v>
      </c>
      <c r="AN582" s="94">
        <f>'3.2 Digest'!X582</f>
        <v>31.069478811567464</v>
      </c>
      <c r="AO582" s="94">
        <f>Table3.110[[#This Row],[Digested feed, mg]]/Table3.110[[#This Row],[Net gas 24h, ml]]</f>
        <v>1.5036811106673158</v>
      </c>
      <c r="AP582" s="94">
        <f>Table3.110[[#This Row],[CH4 8h, ml]]/Table3.110[[#This Row],[Net gas 8h, ml]]%</f>
        <v>13.3</v>
      </c>
      <c r="AQ582" s="94">
        <f>Table3.110[[#This Row],[CH4 24h, ml]]/Table3.110[[#This Row],[Net gas 24h, ml]]%</f>
        <v>14.971044822749787</v>
      </c>
      <c r="AR582" s="94">
        <f>Table3.110[[#This Row],[CH4 24h, ml]]/Table3.110[[#This Row],[DM Incubated, mg]]*1000</f>
        <v>30.933590680076215</v>
      </c>
      <c r="AS582" s="94">
        <f>Table3.110[[#This Row],[CH4 24h, ml]]/Table3.110[[#This Row],[Digested feed, mg]]*1000</f>
        <v>99.562631441887419</v>
      </c>
      <c r="AT582" s="94">
        <f>Table3.110[[#This Row],[CH4 24h, ml]]/'3.2 Digest'!AA582</f>
        <v>-0.3935212861494814</v>
      </c>
      <c r="AU582" s="94">
        <f>((Table3.110[[#This Row],[CH4 24h, ml]]/28.9)*16.04)/Table3.110[[#This Row],[DM Incubated, mg]]*1000</f>
        <v>17.168678010672057</v>
      </c>
      <c r="AV582" s="94">
        <f>((Table3.110[[#This Row],[CH4 24h, ml]]/28.9)*16.04)/Table3.110[[#This Row],[Digested feed, mg]]*1000</f>
        <v>55.258982987123673</v>
      </c>
      <c r="AW582" s="303"/>
    </row>
    <row r="583" spans="1:49" s="304" customFormat="1" x14ac:dyDescent="0.35">
      <c r="A583" s="89"/>
      <c r="B583" s="90">
        <f t="shared" si="8"/>
        <v>573</v>
      </c>
      <c r="C583" s="140">
        <v>46055</v>
      </c>
      <c r="D583" s="6" t="s">
        <v>16</v>
      </c>
      <c r="E583" s="6" t="s">
        <v>239</v>
      </c>
      <c r="F583" s="133" t="s">
        <v>240</v>
      </c>
      <c r="G583" s="133" t="s">
        <v>241</v>
      </c>
      <c r="H583" s="133" t="s">
        <v>242</v>
      </c>
      <c r="I583" s="133" t="s">
        <v>22</v>
      </c>
      <c r="J583" s="135" t="s">
        <v>23</v>
      </c>
      <c r="K583" s="135" t="s">
        <v>215</v>
      </c>
      <c r="L583" s="6" t="s">
        <v>238</v>
      </c>
      <c r="M583" s="93">
        <v>28</v>
      </c>
      <c r="N583" s="93">
        <v>62</v>
      </c>
      <c r="O583" s="6">
        <v>2</v>
      </c>
      <c r="P583" s="129">
        <v>1</v>
      </c>
      <c r="Q583" s="6">
        <v>0</v>
      </c>
      <c r="R583" s="112">
        <v>0.50019999999999998</v>
      </c>
      <c r="S583" s="94">
        <f>((Table3.110[[#This Row],[Sample weight, g]]*'2.1. DM'!Q147)/100)*1000</f>
        <v>460.04800729509282</v>
      </c>
      <c r="T583" s="94">
        <f>'3.2 Digest'!W583</f>
        <v>174.94800729509291</v>
      </c>
      <c r="U583" s="117">
        <v>0.34097222222222223</v>
      </c>
      <c r="V583" s="155">
        <v>40.5</v>
      </c>
      <c r="W583" s="117">
        <v>0.67500000000000004</v>
      </c>
      <c r="X583" s="96">
        <v>66</v>
      </c>
      <c r="Y583" s="96">
        <v>10.5</v>
      </c>
      <c r="Z583" s="155">
        <v>35.5</v>
      </c>
      <c r="AA583" s="117">
        <v>0.35</v>
      </c>
      <c r="AB583" s="155">
        <v>85</v>
      </c>
      <c r="AC583" s="155">
        <v>14.2</v>
      </c>
      <c r="AD583" s="96" t="s">
        <v>572</v>
      </c>
      <c r="AE583" s="94">
        <f>Table3.110[[#This Row],[Gas 8h, ml]]-Table3.110[[#This Row],[Gas 0h, ml]]</f>
        <v>25.5</v>
      </c>
      <c r="AF583" s="94">
        <f>Table3.110[[#This Row],[Gas 24h, ml]]-Table3.110[[#This Row],[V8 Push back, ml]]</f>
        <v>49.5</v>
      </c>
      <c r="AG583" s="94">
        <f>Table3.110[[#This Row],[GP 8h, ml]]-(AVERAGE(AE$658,AE$659))*$AG$8</f>
        <v>24.836244932930278</v>
      </c>
      <c r="AH583" s="94">
        <f>Table3.110[[#This Row],[GP 8-24h, ml]]-(AVERAGE(AF$658,AF$659))*$AG$8</f>
        <v>47.50873479879084</v>
      </c>
      <c r="AI583" s="94">
        <f>Table3.110[[#This Row],[Net gas 8-24h, ml]]+Table3.110[[#This Row],[Net gas 8h, ml]]</f>
        <v>72.344979731721111</v>
      </c>
      <c r="AJ583" s="94">
        <f>Table3.110[[#This Row],[Net gas 8h, ml]]*Table3.110[[#This Row],[CH4 8h %]]%</f>
        <v>2.607805717957679</v>
      </c>
      <c r="AK583" s="94">
        <f>Table3.110[[#This Row],[Net gas 8-24h, ml]]*Table3.110[[#This Row],[CH4 24h, %]]%</f>
        <v>6.7462403414282983</v>
      </c>
      <c r="AL583" s="94">
        <f>Table3.110[[#This Row],[CH4 8-24h, ml]]+Table3.110[[#This Row],[CH4 8h, ml]]</f>
        <v>9.3540460593859773</v>
      </c>
      <c r="AM583" s="94">
        <f>(Table3.110[[#This Row],[Net gas 24h, ml]]/Table3.110[[#This Row],[DM Incubated, mg]])*1000</f>
        <v>157.25528332810757</v>
      </c>
      <c r="AN583" s="94">
        <f>'3.2 Digest'!X583</f>
        <v>38.028206735145012</v>
      </c>
      <c r="AO583" s="94">
        <f>Table3.110[[#This Row],[Digested feed, mg]]/Table3.110[[#This Row],[Net gas 24h, ml]]</f>
        <v>2.4182466833753695</v>
      </c>
      <c r="AP583" s="94">
        <f>Table3.110[[#This Row],[CH4 8h, ml]]/Table3.110[[#This Row],[Net gas 8h, ml]]%</f>
        <v>10.5</v>
      </c>
      <c r="AQ583" s="94">
        <f>Table3.110[[#This Row],[CH4 24h, ml]]/Table3.110[[#This Row],[Net gas 24h, ml]]%</f>
        <v>12.929779086363483</v>
      </c>
      <c r="AR583" s="94">
        <f>Table3.110[[#This Row],[CH4 24h, ml]]/Table3.110[[#This Row],[DM Incubated, mg]]*1000</f>
        <v>20.33276073595929</v>
      </c>
      <c r="AS583" s="94">
        <f>Table3.110[[#This Row],[CH4 24h, ml]]/Table3.110[[#This Row],[Digested feed, mg]]*1000</f>
        <v>53.467577047665792</v>
      </c>
      <c r="AT583" s="94">
        <f>Table3.110[[#This Row],[CH4 24h, ml]]/'3.2 Digest'!AA583</f>
        <v>-1.116558024994017</v>
      </c>
      <c r="AU583" s="94">
        <f>((Table3.110[[#This Row],[CH4 24h, ml]]/28.9)*16.04)/Table3.110[[#This Row],[DM Incubated, mg]]*1000</f>
        <v>11.285033986324814</v>
      </c>
      <c r="AV583" s="94">
        <f>((Table3.110[[#This Row],[CH4 24h, ml]]/28.9)*16.04)/Table3.110[[#This Row],[Digested feed, mg]]*1000</f>
        <v>29.67543030604012</v>
      </c>
      <c r="AW583" s="303"/>
    </row>
    <row r="584" spans="1:49" s="304" customFormat="1" x14ac:dyDescent="0.35">
      <c r="A584" s="89"/>
      <c r="B584" s="90">
        <f t="shared" si="8"/>
        <v>574</v>
      </c>
      <c r="C584" s="140">
        <v>46055</v>
      </c>
      <c r="D584" s="6" t="s">
        <v>16</v>
      </c>
      <c r="E584" s="6" t="s">
        <v>239</v>
      </c>
      <c r="F584" s="133" t="s">
        <v>240</v>
      </c>
      <c r="G584" s="133" t="s">
        <v>241</v>
      </c>
      <c r="H584" s="133" t="s">
        <v>242</v>
      </c>
      <c r="I584" s="133" t="s">
        <v>22</v>
      </c>
      <c r="J584" s="135" t="s">
        <v>23</v>
      </c>
      <c r="K584" s="135" t="s">
        <v>215</v>
      </c>
      <c r="L584" s="6" t="s">
        <v>238</v>
      </c>
      <c r="M584" s="93">
        <v>28</v>
      </c>
      <c r="N584" s="93">
        <v>62</v>
      </c>
      <c r="O584" s="6">
        <v>2</v>
      </c>
      <c r="P584" s="129">
        <v>2</v>
      </c>
      <c r="Q584" s="6">
        <v>0</v>
      </c>
      <c r="R584" s="112">
        <v>0.50009999999999999</v>
      </c>
      <c r="S584" s="94">
        <f>((Table3.110[[#This Row],[Sample weight, g]]*'2.1. DM'!Q147)/100)*1000</f>
        <v>459.95603448275875</v>
      </c>
      <c r="T584" s="94">
        <f>'3.2 Digest'!W584</f>
        <v>49.056034482758719</v>
      </c>
      <c r="U584" s="117">
        <v>0.34097222222222223</v>
      </c>
      <c r="V584" s="155">
        <v>41</v>
      </c>
      <c r="W584" s="117">
        <v>0.67569444444444449</v>
      </c>
      <c r="X584" s="96">
        <v>71</v>
      </c>
      <c r="Y584" s="96">
        <v>10.5</v>
      </c>
      <c r="Z584" s="155">
        <v>40</v>
      </c>
      <c r="AA584" s="117">
        <v>0.35069444444444442</v>
      </c>
      <c r="AB584" s="155">
        <v>92</v>
      </c>
      <c r="AC584" s="155">
        <v>14.1</v>
      </c>
      <c r="AD584" s="96"/>
      <c r="AE584" s="94">
        <f>Table3.110[[#This Row],[Gas 8h, ml]]-Table3.110[[#This Row],[Gas 0h, ml]]</f>
        <v>30</v>
      </c>
      <c r="AF584" s="94">
        <f>Table3.110[[#This Row],[Gas 24h, ml]]-Table3.110[[#This Row],[V8 Push back, ml]]</f>
        <v>52</v>
      </c>
      <c r="AG584" s="94"/>
      <c r="AH584" s="94"/>
      <c r="AI584" s="94"/>
      <c r="AJ584" s="94"/>
      <c r="AK584" s="94"/>
      <c r="AL584" s="94"/>
      <c r="AM584" s="94"/>
      <c r="AN584" s="94"/>
      <c r="AO584" s="94"/>
      <c r="AP584" s="94"/>
      <c r="AQ584" s="94"/>
      <c r="AR584" s="94"/>
      <c r="AS584" s="94"/>
      <c r="AT584" s="94"/>
      <c r="AU584" s="94"/>
      <c r="AV584" s="94"/>
      <c r="AW584" s="303" t="s">
        <v>630</v>
      </c>
    </row>
    <row r="585" spans="1:49" s="304" customFormat="1" x14ac:dyDescent="0.35">
      <c r="A585" s="89"/>
      <c r="B585" s="90">
        <f t="shared" si="8"/>
        <v>575</v>
      </c>
      <c r="C585" s="140">
        <v>46055</v>
      </c>
      <c r="D585" s="6" t="s">
        <v>16</v>
      </c>
      <c r="E585" s="6" t="s">
        <v>239</v>
      </c>
      <c r="F585" s="133" t="s">
        <v>240</v>
      </c>
      <c r="G585" s="133" t="s">
        <v>241</v>
      </c>
      <c r="H585" s="133" t="s">
        <v>242</v>
      </c>
      <c r="I585" s="133" t="s">
        <v>22</v>
      </c>
      <c r="J585" s="135" t="s">
        <v>23</v>
      </c>
      <c r="K585" s="135" t="s">
        <v>215</v>
      </c>
      <c r="L585" s="6" t="s">
        <v>238</v>
      </c>
      <c r="M585" s="93">
        <v>28</v>
      </c>
      <c r="N585" s="93">
        <v>62</v>
      </c>
      <c r="O585" s="6">
        <v>2</v>
      </c>
      <c r="P585" s="129">
        <v>3</v>
      </c>
      <c r="Q585" s="6">
        <v>0</v>
      </c>
      <c r="R585" s="112">
        <v>0.50009999999999999</v>
      </c>
      <c r="S585" s="94">
        <f>((Table3.110[[#This Row],[Sample weight, g]]*'2.1. DM'!Q147)/100)*1000</f>
        <v>459.95603448275875</v>
      </c>
      <c r="T585" s="94">
        <f>'3.2 Digest'!W585</f>
        <v>179.95603448275875</v>
      </c>
      <c r="U585" s="117">
        <v>0.34236111111111112</v>
      </c>
      <c r="V585" s="155">
        <v>40.5</v>
      </c>
      <c r="W585" s="117">
        <v>0.67638888888888893</v>
      </c>
      <c r="X585" s="96">
        <v>71.5</v>
      </c>
      <c r="Y585" s="96">
        <v>10.6</v>
      </c>
      <c r="Z585" s="155">
        <v>40</v>
      </c>
      <c r="AA585" s="117">
        <v>0.35138888888888886</v>
      </c>
      <c r="AB585" s="155">
        <v>92</v>
      </c>
      <c r="AC585" s="155">
        <v>14.3</v>
      </c>
      <c r="AD585" s="96" t="s">
        <v>573</v>
      </c>
      <c r="AE585" s="94">
        <f>Table3.110[[#This Row],[Gas 8h, ml]]-Table3.110[[#This Row],[Gas 0h, ml]]</f>
        <v>31</v>
      </c>
      <c r="AF585" s="94">
        <f>Table3.110[[#This Row],[Gas 24h, ml]]-Table3.110[[#This Row],[V8 Push back, ml]]</f>
        <v>52</v>
      </c>
      <c r="AG585" s="94">
        <f>Table3.110[[#This Row],[GP 8h, ml]]-(AVERAGE(AE$658,AE$659))*$AG$8</f>
        <v>30.336244932930278</v>
      </c>
      <c r="AH585" s="94">
        <f>Table3.110[[#This Row],[GP 8-24h, ml]]-(AVERAGE(AF$658,AF$659))*$AG$8</f>
        <v>50.00873479879084</v>
      </c>
      <c r="AI585" s="94">
        <f>Table3.110[[#This Row],[Net gas 8-24h, ml]]+Table3.110[[#This Row],[Net gas 8h, ml]]</f>
        <v>80.344979731721111</v>
      </c>
      <c r="AJ585" s="94">
        <f>Table3.110[[#This Row],[Net gas 8h, ml]]*Table3.110[[#This Row],[CH4 8h %]]%</f>
        <v>3.2156419628906092</v>
      </c>
      <c r="AK585" s="94">
        <f>Table3.110[[#This Row],[Net gas 8-24h, ml]]*Table3.110[[#This Row],[CH4 24h, %]]%</f>
        <v>7.1512490762270913</v>
      </c>
      <c r="AL585" s="94">
        <f>Table3.110[[#This Row],[CH4 8-24h, ml]]+Table3.110[[#This Row],[CH4 8h, ml]]</f>
        <v>10.3668910391177</v>
      </c>
      <c r="AM585" s="94">
        <f>(Table3.110[[#This Row],[Net gas 24h, ml]]/Table3.110[[#This Row],[DM Incubated, mg]])*1000</f>
        <v>174.67969481490258</v>
      </c>
      <c r="AN585" s="94">
        <f>'3.2 Digest'!X585</f>
        <v>39.124616483209621</v>
      </c>
      <c r="AO585" s="94">
        <f>Table3.110[[#This Row],[Digested feed, mg]]/Table3.110[[#This Row],[Net gas 24h, ml]]</f>
        <v>2.239791895942318</v>
      </c>
      <c r="AP585" s="94">
        <f>Table3.110[[#This Row],[CH4 8h, ml]]/Table3.110[[#This Row],[Net gas 8h, ml]]%</f>
        <v>10.6</v>
      </c>
      <c r="AQ585" s="94">
        <f>Table3.110[[#This Row],[CH4 24h, ml]]/Table3.110[[#This Row],[Net gas 24h, ml]]%</f>
        <v>12.902972996861351</v>
      </c>
      <c r="AR585" s="94">
        <f>Table3.110[[#This Row],[CH4 24h, ml]]/Table3.110[[#This Row],[DM Incubated, mg]]*1000</f>
        <v>22.538873852966699</v>
      </c>
      <c r="AS585" s="94">
        <f>Table3.110[[#This Row],[CH4 24h, ml]]/Table3.110[[#This Row],[Digested feed, mg]]*1000</f>
        <v>57.607910003767799</v>
      </c>
      <c r="AT585" s="94">
        <f>Table3.110[[#This Row],[CH4 24h, ml]]/'3.2 Digest'!AA585</f>
        <v>-1.6047450428315448</v>
      </c>
      <c r="AU585" s="94">
        <f>((Table3.110[[#This Row],[CH4 24h, ml]]/28.9)*16.04)/Table3.110[[#This Row],[DM Incubated, mg]]*1000</f>
        <v>12.509464934310927</v>
      </c>
      <c r="AV585" s="94">
        <f>((Table3.110[[#This Row],[CH4 24h, ml]]/28.9)*16.04)/Table3.110[[#This Row],[Digested feed, mg]]*1000</f>
        <v>31.973386728734788</v>
      </c>
      <c r="AW585" s="303"/>
    </row>
    <row r="586" spans="1:49" s="304" customFormat="1" x14ac:dyDescent="0.35">
      <c r="A586" s="89"/>
      <c r="B586" s="90">
        <f t="shared" si="8"/>
        <v>576</v>
      </c>
      <c r="C586" s="140">
        <v>46055</v>
      </c>
      <c r="D586" s="6" t="s">
        <v>16</v>
      </c>
      <c r="E586" s="6" t="s">
        <v>244</v>
      </c>
      <c r="F586" s="133" t="s">
        <v>240</v>
      </c>
      <c r="G586" s="133" t="s">
        <v>245</v>
      </c>
      <c r="H586" s="133" t="s">
        <v>246</v>
      </c>
      <c r="I586" s="133" t="s">
        <v>22</v>
      </c>
      <c r="J586" s="135" t="s">
        <v>23</v>
      </c>
      <c r="K586" s="135" t="s">
        <v>215</v>
      </c>
      <c r="L586" s="6" t="s">
        <v>243</v>
      </c>
      <c r="M586" s="93">
        <v>28</v>
      </c>
      <c r="N586" s="93">
        <v>62</v>
      </c>
      <c r="O586" s="6">
        <v>2</v>
      </c>
      <c r="P586" s="129">
        <v>1</v>
      </c>
      <c r="Q586" s="6">
        <v>0</v>
      </c>
      <c r="R586" s="112">
        <v>0.50019999999999998</v>
      </c>
      <c r="S586" s="94">
        <f>((Table3.110[[#This Row],[Sample weight, g]]*'2.1. DM'!Q149)/100)*1000</f>
        <v>455.24781975538917</v>
      </c>
      <c r="T586" s="94">
        <f>'3.2 Digest'!W586</f>
        <v>164.04781975538924</v>
      </c>
      <c r="U586" s="117">
        <v>0.34166666666666667</v>
      </c>
      <c r="V586" s="155">
        <v>41</v>
      </c>
      <c r="W586" s="117">
        <v>0.67708333333333337</v>
      </c>
      <c r="X586" s="96">
        <v>77.5</v>
      </c>
      <c r="Y586" s="96">
        <v>10.4</v>
      </c>
      <c r="Z586" s="155">
        <v>40</v>
      </c>
      <c r="AA586" s="117">
        <v>0.35208333333333336</v>
      </c>
      <c r="AB586" s="155">
        <v>89.5</v>
      </c>
      <c r="AC586" s="155">
        <v>14.9</v>
      </c>
      <c r="AD586" s="96"/>
      <c r="AE586" s="94">
        <f>Table3.110[[#This Row],[Gas 8h, ml]]-Table3.110[[#This Row],[Gas 0h, ml]]</f>
        <v>36.5</v>
      </c>
      <c r="AF586" s="94">
        <f>Table3.110[[#This Row],[Gas 24h, ml]]-Table3.110[[#This Row],[V8 Push back, ml]]</f>
        <v>49.5</v>
      </c>
      <c r="AG586" s="94">
        <f>Table3.110[[#This Row],[GP 8h, ml]]-(AVERAGE(AE$658,AE$659))*$AG$8</f>
        <v>35.836244932930278</v>
      </c>
      <c r="AH586" s="94">
        <f>Table3.110[[#This Row],[GP 8-24h, ml]]-(AVERAGE(AF$658,AF$659))*$AG$8</f>
        <v>47.50873479879084</v>
      </c>
      <c r="AI586" s="94">
        <f>Table3.110[[#This Row],[Net gas 8-24h, ml]]+Table3.110[[#This Row],[Net gas 8h, ml]]</f>
        <v>83.344979731721111</v>
      </c>
      <c r="AJ586" s="94">
        <f>Table3.110[[#This Row],[Net gas 8h, ml]]*Table3.110[[#This Row],[CH4 8h %]]%</f>
        <v>3.7269694730247491</v>
      </c>
      <c r="AK586" s="94">
        <f>Table3.110[[#This Row],[Net gas 8-24h, ml]]*Table3.110[[#This Row],[CH4 24h, %]]%</f>
        <v>7.0788014850198353</v>
      </c>
      <c r="AL586" s="94">
        <f>Table3.110[[#This Row],[CH4 8-24h, ml]]+Table3.110[[#This Row],[CH4 8h, ml]]</f>
        <v>10.805770958044585</v>
      </c>
      <c r="AM586" s="94">
        <f>(Table3.110[[#This Row],[Net gas 24h, ml]]/Table3.110[[#This Row],[DM Incubated, mg]])*1000</f>
        <v>183.07606563937748</v>
      </c>
      <c r="AN586" s="94">
        <f>'3.2 Digest'!X586</f>
        <v>36.034839187925023</v>
      </c>
      <c r="AO586" s="94">
        <f>Table3.110[[#This Row],[Digested feed, mg]]/Table3.110[[#This Row],[Net gas 24h, ml]]</f>
        <v>1.9682987539674524</v>
      </c>
      <c r="AP586" s="94">
        <f>Table3.110[[#This Row],[CH4 8h, ml]]/Table3.110[[#This Row],[Net gas 8h, ml]]%</f>
        <v>10.4</v>
      </c>
      <c r="AQ586" s="94">
        <f>Table3.110[[#This Row],[CH4 24h, ml]]/Table3.110[[#This Row],[Net gas 24h, ml]]%</f>
        <v>12.965113187173657</v>
      </c>
      <c r="AR586" s="94">
        <f>Table3.110[[#This Row],[CH4 24h, ml]]/Table3.110[[#This Row],[DM Incubated, mg]]*1000</f>
        <v>23.736019128769627</v>
      </c>
      <c r="AS586" s="94">
        <f>Table3.110[[#This Row],[CH4 24h, ml]]/Table3.110[[#This Row],[Digested feed, mg]]*1000</f>
        <v>65.869640780090876</v>
      </c>
      <c r="AT586" s="94">
        <f>Table3.110[[#This Row],[CH4 24h, ml]]/'3.2 Digest'!AA586</f>
        <v>-1.6757178818839824</v>
      </c>
      <c r="AU586" s="94">
        <f>((Table3.110[[#This Row],[CH4 24h, ml]]/28.9)*16.04)/Table3.110[[#This Row],[DM Incubated, mg]]*1000</f>
        <v>13.173901274237535</v>
      </c>
      <c r="AV586" s="94">
        <f>((Table3.110[[#This Row],[CH4 24h, ml]]/28.9)*16.04)/Table3.110[[#This Row],[Digested feed, mg]]*1000</f>
        <v>36.558790246112721</v>
      </c>
      <c r="AW586" s="303"/>
    </row>
    <row r="587" spans="1:49" s="304" customFormat="1" x14ac:dyDescent="0.35">
      <c r="A587" s="89"/>
      <c r="B587" s="90">
        <f t="shared" si="8"/>
        <v>577</v>
      </c>
      <c r="C587" s="140">
        <v>46055</v>
      </c>
      <c r="D587" s="6" t="s">
        <v>16</v>
      </c>
      <c r="E587" s="6" t="s">
        <v>244</v>
      </c>
      <c r="F587" s="133" t="s">
        <v>240</v>
      </c>
      <c r="G587" s="133" t="s">
        <v>245</v>
      </c>
      <c r="H587" s="133" t="s">
        <v>246</v>
      </c>
      <c r="I587" s="133" t="s">
        <v>22</v>
      </c>
      <c r="J587" s="135" t="s">
        <v>23</v>
      </c>
      <c r="K587" s="135" t="s">
        <v>215</v>
      </c>
      <c r="L587" s="6" t="s">
        <v>243</v>
      </c>
      <c r="M587" s="93">
        <v>28</v>
      </c>
      <c r="N587" s="93">
        <v>62</v>
      </c>
      <c r="O587" s="6">
        <v>2</v>
      </c>
      <c r="P587" s="129">
        <v>2</v>
      </c>
      <c r="Q587" s="6">
        <v>0</v>
      </c>
      <c r="R587" s="112">
        <v>0.5</v>
      </c>
      <c r="S587" s="94">
        <f>((Table3.110[[#This Row],[Sample weight, g]]*'2.1. DM'!Q149)/100)*1000</f>
        <v>455.06579343801405</v>
      </c>
      <c r="T587" s="94">
        <f>'3.2 Digest'!W587</f>
        <v>64.16579343801402</v>
      </c>
      <c r="U587" s="117">
        <v>0.34236111111111112</v>
      </c>
      <c r="V587" s="155">
        <v>40.5</v>
      </c>
      <c r="W587" s="117">
        <v>0.67777777777777781</v>
      </c>
      <c r="X587" s="96">
        <v>75</v>
      </c>
      <c r="Y587" s="96">
        <v>10.5</v>
      </c>
      <c r="Z587" s="155">
        <v>40</v>
      </c>
      <c r="AA587" s="117">
        <v>0.35069444444444442</v>
      </c>
      <c r="AB587" s="155">
        <v>87.5</v>
      </c>
      <c r="AC587" s="155">
        <v>15</v>
      </c>
      <c r="AD587" s="96"/>
      <c r="AE587" s="94">
        <f>Table3.110[[#This Row],[Gas 8h, ml]]-Table3.110[[#This Row],[Gas 0h, ml]]</f>
        <v>34.5</v>
      </c>
      <c r="AF587" s="94">
        <f>Table3.110[[#This Row],[Gas 24h, ml]]-Table3.110[[#This Row],[V8 Push back, ml]]</f>
        <v>47.5</v>
      </c>
      <c r="AG587" s="94">
        <f>Table3.110[[#This Row],[GP 8h, ml]]-(AVERAGE(AE$658,AE$659))*$AG$8</f>
        <v>33.836244932930278</v>
      </c>
      <c r="AH587" s="94">
        <f>Table3.110[[#This Row],[GP 8-24h, ml]]-(AVERAGE(AF$658,AF$659))*$AG$8</f>
        <v>45.50873479879084</v>
      </c>
      <c r="AI587" s="94">
        <f>Table3.110[[#This Row],[Net gas 8-24h, ml]]+Table3.110[[#This Row],[Net gas 8h, ml]]</f>
        <v>79.344979731721111</v>
      </c>
      <c r="AJ587" s="94">
        <f>Table3.110[[#This Row],[Net gas 8h, ml]]*Table3.110[[#This Row],[CH4 8h %]]%</f>
        <v>3.5528057179576789</v>
      </c>
      <c r="AK587" s="94">
        <f>Table3.110[[#This Row],[Net gas 8-24h, ml]]*Table3.110[[#This Row],[CH4 24h, %]]%</f>
        <v>6.8263102198186258</v>
      </c>
      <c r="AL587" s="94">
        <f>Table3.110[[#This Row],[CH4 8-24h, ml]]+Table3.110[[#This Row],[CH4 8h, ml]]</f>
        <v>10.379115937776305</v>
      </c>
      <c r="AM587" s="94">
        <f>(Table3.110[[#This Row],[Net gas 24h, ml]]/Table3.110[[#This Row],[DM Incubated, mg]])*1000</f>
        <v>174.35935830788597</v>
      </c>
      <c r="AN587" s="94">
        <f>'3.2 Digest'!X587</f>
        <v>14.100333262415218</v>
      </c>
      <c r="AO587" s="94">
        <f>Table3.110[[#This Row],[Digested feed, mg]]/Table3.110[[#This Row],[Net gas 24h, ml]]</f>
        <v>0.80869380337570818</v>
      </c>
      <c r="AP587" s="94">
        <f>Table3.110[[#This Row],[CH4 8h, ml]]/Table3.110[[#This Row],[Net gas 8h, ml]]%</f>
        <v>10.5</v>
      </c>
      <c r="AQ587" s="94">
        <f>Table3.110[[#This Row],[CH4 24h, ml]]/Table3.110[[#This Row],[Net gas 24h, ml]]%</f>
        <v>13.080998914953238</v>
      </c>
      <c r="AR587" s="94">
        <f>Table3.110[[#This Row],[CH4 24h, ml]]/Table3.110[[#This Row],[DM Incubated, mg]]*1000</f>
        <v>22.80794576837399</v>
      </c>
      <c r="AS587" s="94">
        <f>Table3.110[[#This Row],[CH4 24h, ml]]/Table3.110[[#This Row],[Digested feed, mg]]*1000</f>
        <v>161.75465745316194</v>
      </c>
      <c r="AT587" s="94">
        <f>Table3.110[[#This Row],[CH4 24h, ml]]/'3.2 Digest'!AA587</f>
        <v>-0.24164997680390021</v>
      </c>
      <c r="AU587" s="94">
        <f>((Table3.110[[#This Row],[CH4 24h, ml]]/28.9)*16.04)/Table3.110[[#This Row],[DM Incubated, mg]]*1000</f>
        <v>12.658804502585426</v>
      </c>
      <c r="AV587" s="94">
        <f>((Table3.110[[#This Row],[CH4 24h, ml]]/28.9)*16.04)/Table3.110[[#This Row],[Digested feed, mg]]*1000</f>
        <v>89.776633409990225</v>
      </c>
      <c r="AW587" s="303"/>
    </row>
    <row r="588" spans="1:49" s="304" customFormat="1" x14ac:dyDescent="0.35">
      <c r="A588" s="89"/>
      <c r="B588" s="90">
        <f t="shared" ref="B588:B651" si="9">B587+1</f>
        <v>578</v>
      </c>
      <c r="C588" s="140">
        <v>46055</v>
      </c>
      <c r="D588" s="6" t="s">
        <v>16</v>
      </c>
      <c r="E588" s="6" t="s">
        <v>244</v>
      </c>
      <c r="F588" s="133" t="s">
        <v>240</v>
      </c>
      <c r="G588" s="133" t="s">
        <v>245</v>
      </c>
      <c r="H588" s="133" t="s">
        <v>246</v>
      </c>
      <c r="I588" s="133" t="s">
        <v>22</v>
      </c>
      <c r="J588" s="135" t="s">
        <v>23</v>
      </c>
      <c r="K588" s="135" t="s">
        <v>215</v>
      </c>
      <c r="L588" s="6" t="s">
        <v>243</v>
      </c>
      <c r="M588" s="93">
        <v>28</v>
      </c>
      <c r="N588" s="93">
        <v>62</v>
      </c>
      <c r="O588" s="6">
        <v>2</v>
      </c>
      <c r="P588" s="129">
        <v>3</v>
      </c>
      <c r="Q588" s="6">
        <v>0</v>
      </c>
      <c r="R588" s="112">
        <v>0.5</v>
      </c>
      <c r="S588" s="94">
        <f>((Table3.110[[#This Row],[Sample weight, g]]*'2.1. DM'!Q149)/100)*1000</f>
        <v>455.06579343801405</v>
      </c>
      <c r="T588" s="94">
        <f>'3.2 Digest'!W588</f>
        <v>134.56579343801405</v>
      </c>
      <c r="U588" s="117">
        <v>0.34236111111111112</v>
      </c>
      <c r="V588" s="155">
        <v>41</v>
      </c>
      <c r="W588" s="117">
        <v>0.67847222222222225</v>
      </c>
      <c r="X588" s="96">
        <v>78</v>
      </c>
      <c r="Y588" s="96">
        <v>10.3</v>
      </c>
      <c r="Z588" s="155">
        <v>40</v>
      </c>
      <c r="AA588" s="117">
        <v>0.35208333333333336</v>
      </c>
      <c r="AB588" s="155">
        <v>90.5</v>
      </c>
      <c r="AC588" s="155">
        <v>14.9</v>
      </c>
      <c r="AD588" s="96"/>
      <c r="AE588" s="94">
        <f>Table3.110[[#This Row],[Gas 8h, ml]]-Table3.110[[#This Row],[Gas 0h, ml]]</f>
        <v>37</v>
      </c>
      <c r="AF588" s="94">
        <f>Table3.110[[#This Row],[Gas 24h, ml]]-Table3.110[[#This Row],[V8 Push back, ml]]</f>
        <v>50.5</v>
      </c>
      <c r="AG588" s="94">
        <f>Table3.110[[#This Row],[GP 8h, ml]]-(AVERAGE(AE$658,AE$659))*$AG$8</f>
        <v>36.336244932930278</v>
      </c>
      <c r="AH588" s="94">
        <f>Table3.110[[#This Row],[GP 8-24h, ml]]-(AVERAGE(AF$658,AF$659))*$AG$8</f>
        <v>48.50873479879084</v>
      </c>
      <c r="AI588" s="94">
        <f>Table3.110[[#This Row],[Net gas 8-24h, ml]]+Table3.110[[#This Row],[Net gas 8h, ml]]</f>
        <v>84.844979731721111</v>
      </c>
      <c r="AJ588" s="94">
        <f>Table3.110[[#This Row],[Net gas 8h, ml]]*Table3.110[[#This Row],[CH4 8h %]]%</f>
        <v>3.7426332280918189</v>
      </c>
      <c r="AK588" s="94">
        <f>Table3.110[[#This Row],[Net gas 8-24h, ml]]*Table3.110[[#This Row],[CH4 24h, %]]%</f>
        <v>7.2278014850198344</v>
      </c>
      <c r="AL588" s="94">
        <f>Table3.110[[#This Row],[CH4 8-24h, ml]]+Table3.110[[#This Row],[CH4 8h, ml]]</f>
        <v>10.970434713111654</v>
      </c>
      <c r="AM588" s="94">
        <f>(Table3.110[[#This Row],[Net gas 24h, ml]]/Table3.110[[#This Row],[DM Incubated, mg]])*1000</f>
        <v>186.44552272478839</v>
      </c>
      <c r="AN588" s="94">
        <f>'3.2 Digest'!X588</f>
        <v>29.570623716050342</v>
      </c>
      <c r="AO588" s="94">
        <f>Table3.110[[#This Row],[Digested feed, mg]]/Table3.110[[#This Row],[Net gas 24h, ml]]</f>
        <v>1.5860195130402484</v>
      </c>
      <c r="AP588" s="94">
        <f>Table3.110[[#This Row],[CH4 8h, ml]]/Table3.110[[#This Row],[Net gas 8h, ml]]%</f>
        <v>10.3</v>
      </c>
      <c r="AQ588" s="94">
        <f>Table3.110[[#This Row],[CH4 24h, ml]]/Table3.110[[#This Row],[Net gas 24h, ml]]%</f>
        <v>12.929975053090999</v>
      </c>
      <c r="AR588" s="94">
        <f>Table3.110[[#This Row],[CH4 24h, ml]]/Table3.110[[#This Row],[DM Incubated, mg]]*1000</f>
        <v>24.107359575920249</v>
      </c>
      <c r="AS588" s="94">
        <f>Table3.110[[#This Row],[CH4 24h, ml]]/Table3.110[[#This Row],[Digested feed, mg]]*1000</f>
        <v>81.524690880413374</v>
      </c>
      <c r="AT588" s="94">
        <f>Table3.110[[#This Row],[CH4 24h, ml]]/'3.2 Digest'!AA588</f>
        <v>-0.63759541110318441</v>
      </c>
      <c r="AU588" s="94">
        <f>((Table3.110[[#This Row],[CH4 24h, ml]]/28.9)*16.04)/Table3.110[[#This Row],[DM Incubated, mg]]*1000</f>
        <v>13.380001646981343</v>
      </c>
      <c r="AV588" s="94">
        <f>((Table3.110[[#This Row],[CH4 24h, ml]]/28.9)*16.04)/Table3.110[[#This Row],[Digested feed, mg]]*1000</f>
        <v>45.247613900409362</v>
      </c>
      <c r="AW588" s="303"/>
    </row>
    <row r="589" spans="1:49" s="304" customFormat="1" x14ac:dyDescent="0.35">
      <c r="A589" s="89"/>
      <c r="B589" s="90">
        <f t="shared" si="9"/>
        <v>579</v>
      </c>
      <c r="C589" s="140">
        <v>46055</v>
      </c>
      <c r="D589" s="6" t="s">
        <v>16</v>
      </c>
      <c r="E589" s="6" t="s">
        <v>248</v>
      </c>
      <c r="F589" s="133" t="s">
        <v>226</v>
      </c>
      <c r="G589" s="133" t="s">
        <v>227</v>
      </c>
      <c r="H589" s="133" t="s">
        <v>228</v>
      </c>
      <c r="I589" s="133" t="s">
        <v>22</v>
      </c>
      <c r="J589" s="135" t="s">
        <v>23</v>
      </c>
      <c r="K589" s="135" t="s">
        <v>215</v>
      </c>
      <c r="L589" s="6" t="s">
        <v>247</v>
      </c>
      <c r="M589" s="93">
        <v>28</v>
      </c>
      <c r="N589" s="93">
        <v>62</v>
      </c>
      <c r="O589" s="6">
        <v>2</v>
      </c>
      <c r="P589" s="129">
        <v>1</v>
      </c>
      <c r="Q589" s="6">
        <v>0</v>
      </c>
      <c r="R589" s="112">
        <v>0.50049999999999994</v>
      </c>
      <c r="S589" s="94">
        <f>((Table3.110[[#This Row],[Sample weight, g]]*'2.1. DM'!Q151)/100)*1000</f>
        <v>461.97696770859693</v>
      </c>
      <c r="T589" s="94">
        <f>'3.2 Digest'!W589</f>
        <v>81.976967708596931</v>
      </c>
      <c r="U589" s="117">
        <v>0.34305555555555556</v>
      </c>
      <c r="V589" s="155">
        <v>41.5</v>
      </c>
      <c r="W589" s="117">
        <v>0.67847222222222225</v>
      </c>
      <c r="X589" s="96">
        <v>71.5</v>
      </c>
      <c r="Y589" s="96">
        <v>11</v>
      </c>
      <c r="Z589" s="155">
        <v>40.5</v>
      </c>
      <c r="AA589" s="117">
        <v>0.3527777777777778</v>
      </c>
      <c r="AB589" s="155">
        <v>80</v>
      </c>
      <c r="AC589" s="155">
        <v>13.5</v>
      </c>
      <c r="AD589" s="96"/>
      <c r="AE589" s="94">
        <f>Table3.110[[#This Row],[Gas 8h, ml]]-Table3.110[[#This Row],[Gas 0h, ml]]</f>
        <v>30</v>
      </c>
      <c r="AF589" s="94">
        <f>Table3.110[[#This Row],[Gas 24h, ml]]-Table3.110[[#This Row],[V8 Push back, ml]]</f>
        <v>39.5</v>
      </c>
      <c r="AG589" s="94">
        <f>Table3.110[[#This Row],[GP 8h, ml]]-(AVERAGE(AE$658,AE$659))*$AG$8</f>
        <v>29.336244932930278</v>
      </c>
      <c r="AH589" s="94">
        <f>Table3.110[[#This Row],[GP 8-24h, ml]]-(AVERAGE(AF$658,AF$659))*$AG$8</f>
        <v>37.50873479879084</v>
      </c>
      <c r="AI589" s="94">
        <f>Table3.110[[#This Row],[Net gas 8-24h, ml]]+Table3.110[[#This Row],[Net gas 8h, ml]]</f>
        <v>66.844979731721111</v>
      </c>
      <c r="AJ589" s="94">
        <f>Table3.110[[#This Row],[Net gas 8h, ml]]*Table3.110[[#This Row],[CH4 8h %]]%</f>
        <v>3.2269869426223305</v>
      </c>
      <c r="AK589" s="94">
        <f>Table3.110[[#This Row],[Net gas 8-24h, ml]]*Table3.110[[#This Row],[CH4 24h, %]]%</f>
        <v>5.0636791978367635</v>
      </c>
      <c r="AL589" s="94">
        <f>Table3.110[[#This Row],[CH4 8-24h, ml]]+Table3.110[[#This Row],[CH4 8h, ml]]</f>
        <v>8.2906661404590949</v>
      </c>
      <c r="AM589" s="94">
        <f>(Table3.110[[#This Row],[Net gas 24h, ml]]/Table3.110[[#This Row],[DM Incubated, mg]])*1000</f>
        <v>144.69331677566484</v>
      </c>
      <c r="AN589" s="94">
        <f>'3.2 Digest'!X589</f>
        <v>17.744817044711603</v>
      </c>
      <c r="AO589" s="94">
        <f>Table3.110[[#This Row],[Digested feed, mg]]/Table3.110[[#This Row],[Net gas 24h, ml]]</f>
        <v>1.2263743371246019</v>
      </c>
      <c r="AP589" s="94">
        <f>Table3.110[[#This Row],[CH4 8h, ml]]/Table3.110[[#This Row],[Net gas 8h, ml]]%</f>
        <v>11</v>
      </c>
      <c r="AQ589" s="94">
        <f>Table3.110[[#This Row],[CH4 24h, ml]]/Table3.110[[#This Row],[Net gas 24h, ml]]%</f>
        <v>12.402825423439811</v>
      </c>
      <c r="AR589" s="94">
        <f>Table3.110[[#This Row],[CH4 24h, ml]]/Table3.110[[#This Row],[DM Incubated, mg]]*1000</f>
        <v>17.946059479070463</v>
      </c>
      <c r="AS589" s="94">
        <f>Table3.110[[#This Row],[CH4 24h, ml]]/Table3.110[[#This Row],[Digested feed, mg]]*1000</f>
        <v>101.13409134538716</v>
      </c>
      <c r="AT589" s="94">
        <f>Table3.110[[#This Row],[CH4 24h, ml]]/'3.2 Digest'!AA589</f>
        <v>-0.14033440977979608</v>
      </c>
      <c r="AU589" s="94">
        <f>((Table3.110[[#This Row],[CH4 24h, ml]]/28.9)*16.04)/Table3.110[[#This Row],[DM Incubated, mg]]*1000</f>
        <v>9.960373496342223</v>
      </c>
      <c r="AV589" s="94">
        <f>((Table3.110[[#This Row],[CH4 24h, ml]]/28.9)*16.04)/Table3.110[[#This Row],[Digested feed, mg]]*1000</f>
        <v>56.131170421453632</v>
      </c>
      <c r="AW589" s="303"/>
    </row>
    <row r="590" spans="1:49" s="304" customFormat="1" x14ac:dyDescent="0.35">
      <c r="A590" s="89"/>
      <c r="B590" s="90">
        <f t="shared" si="9"/>
        <v>580</v>
      </c>
      <c r="C590" s="140">
        <v>46055</v>
      </c>
      <c r="D590" s="6" t="s">
        <v>16</v>
      </c>
      <c r="E590" s="6" t="s">
        <v>248</v>
      </c>
      <c r="F590" s="133" t="s">
        <v>226</v>
      </c>
      <c r="G590" s="133" t="s">
        <v>227</v>
      </c>
      <c r="H590" s="133" t="s">
        <v>228</v>
      </c>
      <c r="I590" s="133" t="s">
        <v>22</v>
      </c>
      <c r="J590" s="135" t="s">
        <v>23</v>
      </c>
      <c r="K590" s="135" t="s">
        <v>215</v>
      </c>
      <c r="L590" s="6" t="s">
        <v>247</v>
      </c>
      <c r="M590" s="93">
        <v>28</v>
      </c>
      <c r="N590" s="93">
        <v>62</v>
      </c>
      <c r="O590" s="6">
        <v>2</v>
      </c>
      <c r="P590" s="129">
        <v>2</v>
      </c>
      <c r="Q590" s="6">
        <v>0</v>
      </c>
      <c r="R590" s="112">
        <v>0.5</v>
      </c>
      <c r="S590" s="94">
        <f>((Table3.110[[#This Row],[Sample weight, g]]*'2.1. DM'!Q151)/100)*1000</f>
        <v>461.51545225634067</v>
      </c>
      <c r="T590" s="94">
        <f>'3.2 Digest'!W590</f>
        <v>204.11545225634069</v>
      </c>
      <c r="U590" s="117">
        <v>0.34375</v>
      </c>
      <c r="V590" s="155">
        <v>41.5</v>
      </c>
      <c r="W590" s="117">
        <v>0.67847222222222225</v>
      </c>
      <c r="X590" s="96">
        <v>71.5</v>
      </c>
      <c r="Y590" s="96">
        <v>11.2</v>
      </c>
      <c r="Z590" s="155">
        <v>40.5</v>
      </c>
      <c r="AA590" s="117">
        <v>0.3527777777777778</v>
      </c>
      <c r="AB590" s="155">
        <v>78.5</v>
      </c>
      <c r="AC590" s="155">
        <v>13.4</v>
      </c>
      <c r="AD590" s="96"/>
      <c r="AE590" s="94">
        <f>Table3.110[[#This Row],[Gas 8h, ml]]-Table3.110[[#This Row],[Gas 0h, ml]]</f>
        <v>30</v>
      </c>
      <c r="AF590" s="94">
        <f>Table3.110[[#This Row],[Gas 24h, ml]]-Table3.110[[#This Row],[V8 Push back, ml]]</f>
        <v>38</v>
      </c>
      <c r="AG590" s="94">
        <f>Table3.110[[#This Row],[GP 8h, ml]]-(AVERAGE(AE$658,AE$659))*$AG$8</f>
        <v>29.336244932930278</v>
      </c>
      <c r="AH590" s="94">
        <f>Table3.110[[#This Row],[GP 8-24h, ml]]-(AVERAGE(AF$658,AF$659))*$AG$8</f>
        <v>36.00873479879084</v>
      </c>
      <c r="AI590" s="94">
        <f>Table3.110[[#This Row],[Net gas 8-24h, ml]]+Table3.110[[#This Row],[Net gas 8h, ml]]</f>
        <v>65.344979731721111</v>
      </c>
      <c r="AJ590" s="94">
        <f>Table3.110[[#This Row],[Net gas 8h, ml]]*Table3.110[[#This Row],[CH4 8h %]]%</f>
        <v>3.2856594324881909</v>
      </c>
      <c r="AK590" s="94">
        <f>Table3.110[[#This Row],[Net gas 8-24h, ml]]*Table3.110[[#This Row],[CH4 24h, %]]%</f>
        <v>4.8251704630379733</v>
      </c>
      <c r="AL590" s="94">
        <f>Table3.110[[#This Row],[CH4 8-24h, ml]]+Table3.110[[#This Row],[CH4 8h, ml]]</f>
        <v>8.1108298955261642</v>
      </c>
      <c r="AM590" s="94">
        <f>(Table3.110[[#This Row],[Net gas 24h, ml]]/Table3.110[[#This Row],[DM Incubated, mg]])*1000</f>
        <v>141.58784806066771</v>
      </c>
      <c r="AN590" s="94">
        <f>'3.2 Digest'!X590</f>
        <v>44.227219534779159</v>
      </c>
      <c r="AO590" s="94">
        <f>Table3.110[[#This Row],[Digested feed, mg]]/Table3.110[[#This Row],[Net gas 24h, ml]]</f>
        <v>3.1236592787135682</v>
      </c>
      <c r="AP590" s="94">
        <f>Table3.110[[#This Row],[CH4 8h, ml]]/Table3.110[[#This Row],[Net gas 8h, ml]]%</f>
        <v>11.2</v>
      </c>
      <c r="AQ590" s="94">
        <f>Table3.110[[#This Row],[CH4 24h, ml]]/Table3.110[[#This Row],[Net gas 24h, ml]]%</f>
        <v>12.412322918800811</v>
      </c>
      <c r="AR590" s="94">
        <f>Table3.110[[#This Row],[CH4 24h, ml]]/Table3.110[[#This Row],[DM Incubated, mg]]*1000</f>
        <v>17.574340915071129</v>
      </c>
      <c r="AS590" s="94">
        <f>Table3.110[[#This Row],[CH4 24h, ml]]/Table3.110[[#This Row],[Digested feed, mg]]*1000</f>
        <v>39.736481515079454</v>
      </c>
      <c r="AT590" s="94">
        <f>Table3.110[[#This Row],[CH4 24h, ml]]/'3.2 Digest'!AA590</f>
        <v>-1.0316340531135642</v>
      </c>
      <c r="AU590" s="94">
        <f>((Table3.110[[#This Row],[CH4 24h, ml]]/28.9)*16.04)/Table3.110[[#This Row],[DM Incubated, mg]]*1000</f>
        <v>9.7540632622055661</v>
      </c>
      <c r="AV590" s="94">
        <f>((Table3.110[[#This Row],[CH4 24h, ml]]/28.9)*16.04)/Table3.110[[#This Row],[Digested feed, mg]]*1000</f>
        <v>22.054434723248246</v>
      </c>
      <c r="AW590" s="303"/>
    </row>
    <row r="591" spans="1:49" s="304" customFormat="1" x14ac:dyDescent="0.35">
      <c r="A591" s="89"/>
      <c r="B591" s="90">
        <f t="shared" si="9"/>
        <v>581</v>
      </c>
      <c r="C591" s="140">
        <v>46055</v>
      </c>
      <c r="D591" s="6" t="s">
        <v>16</v>
      </c>
      <c r="E591" s="6" t="s">
        <v>248</v>
      </c>
      <c r="F591" s="133" t="s">
        <v>226</v>
      </c>
      <c r="G591" s="133" t="s">
        <v>227</v>
      </c>
      <c r="H591" s="133" t="s">
        <v>228</v>
      </c>
      <c r="I591" s="133" t="s">
        <v>22</v>
      </c>
      <c r="J591" s="135" t="s">
        <v>23</v>
      </c>
      <c r="K591" s="135" t="s">
        <v>215</v>
      </c>
      <c r="L591" s="6" t="s">
        <v>247</v>
      </c>
      <c r="M591" s="93">
        <v>28</v>
      </c>
      <c r="N591" s="93">
        <v>62</v>
      </c>
      <c r="O591" s="6">
        <v>2</v>
      </c>
      <c r="P591" s="129">
        <v>3</v>
      </c>
      <c r="Q591" s="6">
        <v>0</v>
      </c>
      <c r="R591" s="112">
        <v>0.50019999999999998</v>
      </c>
      <c r="S591" s="94">
        <f>((Table3.110[[#This Row],[Sample weight, g]]*'2.1. DM'!Q151)/100)*1000</f>
        <v>461.70005843724323</v>
      </c>
      <c r="T591" s="94">
        <f>'3.2 Digest'!W591</f>
        <v>114.70005843724323</v>
      </c>
      <c r="U591" s="117">
        <v>0.34375</v>
      </c>
      <c r="V591" s="155">
        <v>41.5</v>
      </c>
      <c r="W591" s="117">
        <v>0.6791666666666667</v>
      </c>
      <c r="X591" s="96">
        <v>68.5</v>
      </c>
      <c r="Y591" s="96">
        <v>11.5</v>
      </c>
      <c r="Z591" s="155">
        <v>40.5</v>
      </c>
      <c r="AA591" s="117">
        <v>0.35347222222222224</v>
      </c>
      <c r="AB591" s="155">
        <v>79.5</v>
      </c>
      <c r="AC591" s="155">
        <v>13.1</v>
      </c>
      <c r="AD591" s="96"/>
      <c r="AE591" s="94">
        <f>Table3.110[[#This Row],[Gas 8h, ml]]-Table3.110[[#This Row],[Gas 0h, ml]]</f>
        <v>27</v>
      </c>
      <c r="AF591" s="94">
        <f>Table3.110[[#This Row],[Gas 24h, ml]]-Table3.110[[#This Row],[V8 Push back, ml]]</f>
        <v>39</v>
      </c>
      <c r="AG591" s="94">
        <f>Table3.110[[#This Row],[GP 8h, ml]]-(AVERAGE(AE$658,AE$659))*$AG$8</f>
        <v>26.336244932930278</v>
      </c>
      <c r="AH591" s="94">
        <f>Table3.110[[#This Row],[GP 8-24h, ml]]-(AVERAGE(AF$658,AF$659))*$AG$8</f>
        <v>37.00873479879084</v>
      </c>
      <c r="AI591" s="94">
        <f>Table3.110[[#This Row],[Net gas 8-24h, ml]]+Table3.110[[#This Row],[Net gas 8h, ml]]</f>
        <v>63.344979731721118</v>
      </c>
      <c r="AJ591" s="94">
        <f>Table3.110[[#This Row],[Net gas 8h, ml]]*Table3.110[[#This Row],[CH4 8h %]]%</f>
        <v>3.0286681672869822</v>
      </c>
      <c r="AK591" s="94">
        <f>Table3.110[[#This Row],[Net gas 8-24h, ml]]*Table3.110[[#This Row],[CH4 24h, %]]%</f>
        <v>4.8481442586416001</v>
      </c>
      <c r="AL591" s="94">
        <f>Table3.110[[#This Row],[CH4 8-24h, ml]]+Table3.110[[#This Row],[CH4 8h, ml]]</f>
        <v>7.8768124259285823</v>
      </c>
      <c r="AM591" s="94">
        <f>(Table3.110[[#This Row],[Net gas 24h, ml]]/Table3.110[[#This Row],[DM Incubated, mg]])*1000</f>
        <v>137.19941891740373</v>
      </c>
      <c r="AN591" s="94">
        <f>'3.2 Digest'!X591</f>
        <v>24.842981139200763</v>
      </c>
      <c r="AO591" s="94">
        <f>Table3.110[[#This Row],[Digested feed, mg]]/Table3.110[[#This Row],[Net gas 24h, ml]]</f>
        <v>1.810720579957896</v>
      </c>
      <c r="AP591" s="94">
        <f>Table3.110[[#This Row],[CH4 8h, ml]]/Table3.110[[#This Row],[Net gas 8h, ml]]%</f>
        <v>11.500000000000002</v>
      </c>
      <c r="AQ591" s="94">
        <f>Table3.110[[#This Row],[CH4 24h, ml]]/Table3.110[[#This Row],[Net gas 24h, ml]]%</f>
        <v>12.434785612511813</v>
      </c>
      <c r="AR591" s="94">
        <f>Table3.110[[#This Row],[CH4 24h, ml]]/Table3.110[[#This Row],[DM Incubated, mg]]*1000</f>
        <v>17.060453603991132</v>
      </c>
      <c r="AS591" s="94">
        <f>Table3.110[[#This Row],[CH4 24h, ml]]/Table3.110[[#This Row],[Digested feed, mg]]*1000</f>
        <v>68.673133503574334</v>
      </c>
      <c r="AT591" s="94">
        <f>Table3.110[[#This Row],[CH4 24h, ml]]/'3.2 Digest'!AA591</f>
        <v>-0.17368786968103497</v>
      </c>
      <c r="AU591" s="94">
        <f>((Table3.110[[#This Row],[CH4 24h, ml]]/28.9)*16.04)/Table3.110[[#This Row],[DM Incubated, mg]]*1000</f>
        <v>9.4688469137722393</v>
      </c>
      <c r="AV591" s="94">
        <f>((Table3.110[[#This Row],[CH4 24h, ml]]/28.9)*16.04)/Table3.110[[#This Row],[Digested feed, mg]]*1000</f>
        <v>38.114777210980357</v>
      </c>
      <c r="AW591" s="303"/>
    </row>
    <row r="592" spans="1:49" s="304" customFormat="1" x14ac:dyDescent="0.35">
      <c r="A592" s="89"/>
      <c r="B592" s="90">
        <f t="shared" si="9"/>
        <v>582</v>
      </c>
      <c r="C592" s="140">
        <v>46055</v>
      </c>
      <c r="D592" s="6" t="s">
        <v>16</v>
      </c>
      <c r="E592" s="6" t="s">
        <v>250</v>
      </c>
      <c r="F592" s="133" t="s">
        <v>219</v>
      </c>
      <c r="G592" s="133" t="s">
        <v>220</v>
      </c>
      <c r="H592" s="133" t="s">
        <v>221</v>
      </c>
      <c r="I592" s="133" t="s">
        <v>22</v>
      </c>
      <c r="J592" s="135" t="s">
        <v>23</v>
      </c>
      <c r="K592" s="135" t="s">
        <v>215</v>
      </c>
      <c r="L592" s="6" t="s">
        <v>249</v>
      </c>
      <c r="M592" s="93">
        <v>28</v>
      </c>
      <c r="N592" s="93">
        <v>62</v>
      </c>
      <c r="O592" s="6">
        <v>2</v>
      </c>
      <c r="P592" s="129">
        <v>1</v>
      </c>
      <c r="Q592" s="6">
        <v>0</v>
      </c>
      <c r="R592" s="112">
        <v>0.5</v>
      </c>
      <c r="S592" s="94">
        <f>((Table3.110[[#This Row],[Sample weight, g]]*'2.1. DM'!Q153)/100)*1000</f>
        <v>454.70449910018016</v>
      </c>
      <c r="T592" s="94">
        <f>'3.2 Digest'!W592</f>
        <v>84.804499100180124</v>
      </c>
      <c r="U592" s="117">
        <v>0.34444444444444444</v>
      </c>
      <c r="V592" s="155">
        <v>40</v>
      </c>
      <c r="W592" s="117">
        <v>0.6791666666666667</v>
      </c>
      <c r="X592" s="96">
        <v>77</v>
      </c>
      <c r="Y592" s="96">
        <v>12.9</v>
      </c>
      <c r="Z592" s="155">
        <v>40</v>
      </c>
      <c r="AA592" s="117">
        <v>0.35347222222222224</v>
      </c>
      <c r="AB592" s="155">
        <v>80.5</v>
      </c>
      <c r="AC592" s="155">
        <v>16.100000000000001</v>
      </c>
      <c r="AD592" s="96"/>
      <c r="AE592" s="94">
        <f>Table3.110[[#This Row],[Gas 8h, ml]]-Table3.110[[#This Row],[Gas 0h, ml]]</f>
        <v>37</v>
      </c>
      <c r="AF592" s="94">
        <f>Table3.110[[#This Row],[Gas 24h, ml]]-Table3.110[[#This Row],[V8 Push back, ml]]</f>
        <v>40.5</v>
      </c>
      <c r="AG592" s="94">
        <f>Table3.110[[#This Row],[GP 8h, ml]]-(AVERAGE(AE$658,AE$659))*$AG$8</f>
        <v>36.336244932930278</v>
      </c>
      <c r="AH592" s="94">
        <f>Table3.110[[#This Row],[GP 8-24h, ml]]-(AVERAGE(AF$658,AF$659))*$AG$8</f>
        <v>38.50873479879084</v>
      </c>
      <c r="AI592" s="94"/>
      <c r="AJ592" s="94"/>
      <c r="AK592" s="94"/>
      <c r="AL592" s="94"/>
      <c r="AM592" s="94"/>
      <c r="AN592" s="94"/>
      <c r="AO592" s="94"/>
      <c r="AP592" s="94"/>
      <c r="AQ592" s="94"/>
      <c r="AR592" s="94"/>
      <c r="AS592" s="94"/>
      <c r="AT592" s="94"/>
      <c r="AU592" s="94"/>
      <c r="AV592" s="94"/>
      <c r="AW592" s="303" t="s">
        <v>631</v>
      </c>
    </row>
    <row r="593" spans="1:49" s="304" customFormat="1" x14ac:dyDescent="0.35">
      <c r="A593" s="89"/>
      <c r="B593" s="90">
        <f t="shared" si="9"/>
        <v>583</v>
      </c>
      <c r="C593" s="140">
        <v>46055</v>
      </c>
      <c r="D593" s="6" t="s">
        <v>16</v>
      </c>
      <c r="E593" s="6" t="s">
        <v>250</v>
      </c>
      <c r="F593" s="133" t="s">
        <v>219</v>
      </c>
      <c r="G593" s="133" t="s">
        <v>220</v>
      </c>
      <c r="H593" s="133" t="s">
        <v>221</v>
      </c>
      <c r="I593" s="133" t="s">
        <v>22</v>
      </c>
      <c r="J593" s="135" t="s">
        <v>23</v>
      </c>
      <c r="K593" s="135" t="s">
        <v>215</v>
      </c>
      <c r="L593" s="6" t="s">
        <v>249</v>
      </c>
      <c r="M593" s="93">
        <v>28</v>
      </c>
      <c r="N593" s="93">
        <v>62</v>
      </c>
      <c r="O593" s="6">
        <v>2</v>
      </c>
      <c r="P593" s="129">
        <v>2</v>
      </c>
      <c r="Q593" s="6">
        <v>0</v>
      </c>
      <c r="R593" s="112">
        <v>0.50060000000000004</v>
      </c>
      <c r="S593" s="94">
        <f>((Table3.110[[#This Row],[Sample weight, g]]*'2.1. DM'!Q153)/100)*1000</f>
        <v>455.25014449910043</v>
      </c>
      <c r="T593" s="94">
        <f>'3.2 Digest'!W593</f>
        <v>122.15014449910035</v>
      </c>
      <c r="U593" s="117">
        <v>0.34513888888888888</v>
      </c>
      <c r="V593" s="155">
        <v>41.5</v>
      </c>
      <c r="W593" s="117">
        <v>0.67986111111111114</v>
      </c>
      <c r="X593" s="96">
        <v>76.5</v>
      </c>
      <c r="Y593" s="96">
        <v>12.5</v>
      </c>
      <c r="Z593" s="155">
        <v>40</v>
      </c>
      <c r="AA593" s="117">
        <v>0.35416666666666669</v>
      </c>
      <c r="AB593" s="155">
        <v>88.5</v>
      </c>
      <c r="AC593" s="155">
        <v>16.2</v>
      </c>
      <c r="AD593" s="101"/>
      <c r="AE593" s="94">
        <f>Table3.110[[#This Row],[Gas 8h, ml]]-Table3.110[[#This Row],[Gas 0h, ml]]</f>
        <v>35</v>
      </c>
      <c r="AF593" s="94">
        <f>Table3.110[[#This Row],[Gas 24h, ml]]-Table3.110[[#This Row],[V8 Push back, ml]]</f>
        <v>48.5</v>
      </c>
      <c r="AG593" s="94">
        <f>Table3.110[[#This Row],[GP 8h, ml]]-(AVERAGE(AE$658,AE$659))*$AG$8</f>
        <v>34.336244932930278</v>
      </c>
      <c r="AH593" s="94">
        <f>Table3.110[[#This Row],[GP 8-24h, ml]]-(AVERAGE(AF$658,AF$659))*$AG$8</f>
        <v>46.50873479879084</v>
      </c>
      <c r="AI593" s="94">
        <f>Table3.110[[#This Row],[Net gas 8-24h, ml]]+Table3.110[[#This Row],[Net gas 8h, ml]]</f>
        <v>80.844979731721111</v>
      </c>
      <c r="AJ593" s="94">
        <f>Table3.110[[#This Row],[Net gas 8h, ml]]*Table3.110[[#This Row],[CH4 8h %]]%</f>
        <v>4.2920306166162847</v>
      </c>
      <c r="AK593" s="94">
        <f>Table3.110[[#This Row],[Net gas 8-24h, ml]]*Table3.110[[#This Row],[CH4 24h, %]]%</f>
        <v>7.5344150374041163</v>
      </c>
      <c r="AL593" s="94">
        <f>Table3.110[[#This Row],[CH4 8-24h, ml]]+Table3.110[[#This Row],[CH4 8h, ml]]</f>
        <v>11.8264456540204</v>
      </c>
      <c r="AM593" s="94">
        <f>(Table3.110[[#This Row],[Net gas 24h, ml]]/Table3.110[[#This Row],[DM Incubated, mg]])*1000</f>
        <v>177.58364430762055</v>
      </c>
      <c r="AN593" s="94">
        <f>'3.2 Digest'!X593</f>
        <v>26.831434536610395</v>
      </c>
      <c r="AO593" s="94">
        <f>Table3.110[[#This Row],[Digested feed, mg]]/Table3.110[[#This Row],[Net gas 24h, ml]]</f>
        <v>1.5109181164303311</v>
      </c>
      <c r="AP593" s="94">
        <f>Table3.110[[#This Row],[CH4 8h, ml]]/Table3.110[[#This Row],[Net gas 8h, ml]]%</f>
        <v>12.5</v>
      </c>
      <c r="AQ593" s="94">
        <f>Table3.110[[#This Row],[CH4 24h, ml]]/Table3.110[[#This Row],[Net gas 24h, ml]]%</f>
        <v>14.628546748685821</v>
      </c>
      <c r="AR593" s="94">
        <f>Table3.110[[#This Row],[CH4 24h, ml]]/Table3.110[[#This Row],[DM Incubated, mg]]*1000</f>
        <v>25.977906425560221</v>
      </c>
      <c r="AS593" s="94">
        <f>Table3.110[[#This Row],[CH4 24h, ml]]/Table3.110[[#This Row],[Digested feed, mg]]*1000</f>
        <v>96.818924795520843</v>
      </c>
      <c r="AT593" s="94">
        <f>Table3.110[[#This Row],[CH4 24h, ml]]/'3.2 Digest'!AA593</f>
        <v>-0.24192971283950349</v>
      </c>
      <c r="AU593" s="94">
        <f>((Table3.110[[#This Row],[CH4 24h, ml]]/28.9)*16.04)/Table3.110[[#This Row],[DM Incubated, mg]]*1000</f>
        <v>14.41818751093377</v>
      </c>
      <c r="AV593" s="94">
        <f>((Table3.110[[#This Row],[CH4 24h, ml]]/28.9)*16.04)/Table3.110[[#This Row],[Digested feed, mg]]*1000</f>
        <v>53.736178329417108</v>
      </c>
      <c r="AW593" s="303"/>
    </row>
    <row r="594" spans="1:49" s="304" customFormat="1" x14ac:dyDescent="0.35">
      <c r="A594" s="89"/>
      <c r="B594" s="90">
        <f t="shared" si="9"/>
        <v>584</v>
      </c>
      <c r="C594" s="140">
        <v>46055</v>
      </c>
      <c r="D594" s="6" t="s">
        <v>16</v>
      </c>
      <c r="E594" s="6" t="s">
        <v>250</v>
      </c>
      <c r="F594" s="133" t="s">
        <v>219</v>
      </c>
      <c r="G594" s="133" t="s">
        <v>220</v>
      </c>
      <c r="H594" s="133" t="s">
        <v>221</v>
      </c>
      <c r="I594" s="133" t="s">
        <v>22</v>
      </c>
      <c r="J594" s="135" t="s">
        <v>23</v>
      </c>
      <c r="K594" s="135" t="s">
        <v>215</v>
      </c>
      <c r="L594" s="6" t="s">
        <v>249</v>
      </c>
      <c r="M594" s="93">
        <v>28</v>
      </c>
      <c r="N594" s="93">
        <v>62</v>
      </c>
      <c r="O594" s="6">
        <v>2</v>
      </c>
      <c r="P594" s="129">
        <v>3</v>
      </c>
      <c r="Q594" s="6">
        <v>0</v>
      </c>
      <c r="R594" s="112">
        <v>0.50049999999999994</v>
      </c>
      <c r="S594" s="94">
        <f>((Table3.110[[#This Row],[Sample weight, g]]*'2.1. DM'!Q153)/100)*1000</f>
        <v>455.15920359928032</v>
      </c>
      <c r="T594" s="94">
        <f>'3.2 Digest'!W594</f>
        <v>105.65920359928026</v>
      </c>
      <c r="U594" s="117">
        <v>0.34513888888888888</v>
      </c>
      <c r="V594" s="155">
        <v>41.5</v>
      </c>
      <c r="W594" s="117">
        <v>0.68055555555555558</v>
      </c>
      <c r="X594" s="96">
        <v>76.5</v>
      </c>
      <c r="Y594" s="96">
        <v>12.3</v>
      </c>
      <c r="Z594" s="155">
        <v>40</v>
      </c>
      <c r="AA594" s="117">
        <v>0.35416666666666669</v>
      </c>
      <c r="AB594" s="155">
        <v>86.5</v>
      </c>
      <c r="AC594" s="155">
        <v>16.3</v>
      </c>
      <c r="AD594" s="96"/>
      <c r="AE594" s="94">
        <f>Table3.110[[#This Row],[Gas 8h, ml]]-Table3.110[[#This Row],[Gas 0h, ml]]</f>
        <v>35</v>
      </c>
      <c r="AF594" s="94">
        <f>Table3.110[[#This Row],[Gas 24h, ml]]-Table3.110[[#This Row],[V8 Push back, ml]]</f>
        <v>46.5</v>
      </c>
      <c r="AG594" s="94">
        <f>Table3.110[[#This Row],[GP 8h, ml]]-(AVERAGE(AE$658,AE$659))*$AG$8</f>
        <v>34.336244932930278</v>
      </c>
      <c r="AH594" s="94">
        <f>Table3.110[[#This Row],[GP 8-24h, ml]]-(AVERAGE(AF$658,AF$659))*$AG$8</f>
        <v>44.50873479879084</v>
      </c>
      <c r="AI594" s="94"/>
      <c r="AJ594" s="94"/>
      <c r="AK594" s="94"/>
      <c r="AL594" s="94"/>
      <c r="AM594" s="94"/>
      <c r="AN594" s="94"/>
      <c r="AO594" s="94"/>
      <c r="AP594" s="94"/>
      <c r="AQ594" s="94"/>
      <c r="AR594" s="94"/>
      <c r="AS594" s="94"/>
      <c r="AT594" s="94"/>
      <c r="AU594" s="94"/>
      <c r="AV594" s="94"/>
      <c r="AW594" s="303" t="s">
        <v>632</v>
      </c>
    </row>
    <row r="595" spans="1:49" s="304" customFormat="1" x14ac:dyDescent="0.35">
      <c r="A595" s="89"/>
      <c r="B595" s="90">
        <f t="shared" si="9"/>
        <v>585</v>
      </c>
      <c r="C595" s="140">
        <v>46055</v>
      </c>
      <c r="D595" s="6" t="s">
        <v>16</v>
      </c>
      <c r="E595" s="6" t="s">
        <v>252</v>
      </c>
      <c r="F595" s="133" t="s">
        <v>219</v>
      </c>
      <c r="G595" s="133" t="s">
        <v>253</v>
      </c>
      <c r="H595" s="133" t="s">
        <v>254</v>
      </c>
      <c r="I595" s="133" t="s">
        <v>22</v>
      </c>
      <c r="J595" s="135" t="s">
        <v>23</v>
      </c>
      <c r="K595" s="135" t="s">
        <v>215</v>
      </c>
      <c r="L595" s="6" t="s">
        <v>251</v>
      </c>
      <c r="M595" s="93">
        <v>28</v>
      </c>
      <c r="N595" s="93">
        <v>62</v>
      </c>
      <c r="O595" s="6">
        <v>2</v>
      </c>
      <c r="P595" s="129">
        <v>1</v>
      </c>
      <c r="Q595" s="6">
        <v>0</v>
      </c>
      <c r="R595" s="112">
        <v>0.50049999999999994</v>
      </c>
      <c r="S595" s="94">
        <f>((Table3.110[[#This Row],[Sample weight, g]]*'2.1. DM'!Q155)/100)*1000</f>
        <v>460.74520734411584</v>
      </c>
      <c r="T595" s="94">
        <f>'3.2 Digest'!W595</f>
        <v>171.44520734411583</v>
      </c>
      <c r="U595" s="117">
        <v>0.34513888888888888</v>
      </c>
      <c r="V595" s="155">
        <v>40.5</v>
      </c>
      <c r="W595" s="117">
        <v>0.68125000000000002</v>
      </c>
      <c r="X595" s="96">
        <v>82.5</v>
      </c>
      <c r="Y595" s="96">
        <v>12.5</v>
      </c>
      <c r="Z595" s="155">
        <v>40</v>
      </c>
      <c r="AA595" s="117">
        <v>0.35486111111111113</v>
      </c>
      <c r="AB595" s="155">
        <v>89</v>
      </c>
      <c r="AC595" s="155">
        <v>15.9</v>
      </c>
      <c r="AD595" s="96"/>
      <c r="AE595" s="94">
        <f>Table3.110[[#This Row],[Gas 8h, ml]]-Table3.110[[#This Row],[Gas 0h, ml]]</f>
        <v>42</v>
      </c>
      <c r="AF595" s="94">
        <f>Table3.110[[#This Row],[Gas 24h, ml]]-Table3.110[[#This Row],[V8 Push back, ml]]</f>
        <v>49</v>
      </c>
      <c r="AG595" s="94">
        <f>Table3.110[[#This Row],[GP 8h, ml]]-(AVERAGE(AE$658,AE$659))*$AG$8</f>
        <v>41.336244932930278</v>
      </c>
      <c r="AH595" s="94">
        <f>Table3.110[[#This Row],[GP 8-24h, ml]]-(AVERAGE(AF$658,AF$659))*$AG$8</f>
        <v>47.00873479879084</v>
      </c>
      <c r="AI595" s="94">
        <f>Table3.110[[#This Row],[Net gas 8-24h, ml]]+Table3.110[[#This Row],[Net gas 8h, ml]]</f>
        <v>88.344979731721111</v>
      </c>
      <c r="AJ595" s="94">
        <f>Table3.110[[#This Row],[Net gas 8h, ml]]*Table3.110[[#This Row],[CH4 8h %]]%</f>
        <v>5.1670306166162847</v>
      </c>
      <c r="AK595" s="94">
        <f>Table3.110[[#This Row],[Net gas 8-24h, ml]]*Table3.110[[#This Row],[CH4 24h, %]]%</f>
        <v>7.4743888330077439</v>
      </c>
      <c r="AL595" s="94">
        <f>Table3.110[[#This Row],[CH4 8-24h, ml]]+Table3.110[[#This Row],[CH4 8h, ml]]</f>
        <v>12.641419449624028</v>
      </c>
      <c r="AM595" s="94">
        <f>(Table3.110[[#This Row],[Net gas 24h, ml]]/Table3.110[[#This Row],[DM Incubated, mg]])*1000</f>
        <v>191.7436759482971</v>
      </c>
      <c r="AN595" s="94">
        <f>'3.2 Digest'!X595</f>
        <v>37.210415781073749</v>
      </c>
      <c r="AO595" s="94">
        <f>Table3.110[[#This Row],[Digested feed, mg]]/Table3.110[[#This Row],[Net gas 24h, ml]]</f>
        <v>1.9406332749721238</v>
      </c>
      <c r="AP595" s="94">
        <f>Table3.110[[#This Row],[CH4 8h, ml]]/Table3.110[[#This Row],[Net gas 8h, ml]]%</f>
        <v>12.5</v>
      </c>
      <c r="AQ595" s="94">
        <f>Table3.110[[#This Row],[CH4 24h, ml]]/Table3.110[[#This Row],[Net gas 24h, ml]]%</f>
        <v>14.309154281332644</v>
      </c>
      <c r="AR595" s="94">
        <f>Table3.110[[#This Row],[CH4 24h, ml]]/Table3.110[[#This Row],[DM Incubated, mg]]*1000</f>
        <v>27.436898416140345</v>
      </c>
      <c r="AS595" s="94">
        <f>Table3.110[[#This Row],[CH4 24h, ml]]/Table3.110[[#This Row],[Digested feed, mg]]*1000</f>
        <v>73.734458054874835</v>
      </c>
      <c r="AT595" s="94">
        <f>Table3.110[[#This Row],[CH4 24h, ml]]/'3.2 Digest'!AA595</f>
        <v>-0.4220151270018645</v>
      </c>
      <c r="AU595" s="94">
        <f>((Table3.110[[#This Row],[CH4 24h, ml]]/28.9)*16.04)/Table3.110[[#This Row],[DM Incubated, mg]]*1000</f>
        <v>15.227953307781702</v>
      </c>
      <c r="AV595" s="94">
        <f>((Table3.110[[#This Row],[CH4 24h, ml]]/28.9)*16.04)/Table3.110[[#This Row],[Digested feed, mg]]*1000</f>
        <v>40.923899903120841</v>
      </c>
      <c r="AW595" s="303"/>
    </row>
    <row r="596" spans="1:49" s="304" customFormat="1" x14ac:dyDescent="0.35">
      <c r="A596" s="89"/>
      <c r="B596" s="90">
        <f t="shared" si="9"/>
        <v>586</v>
      </c>
      <c r="C596" s="140">
        <v>46055</v>
      </c>
      <c r="D596" s="6" t="s">
        <v>16</v>
      </c>
      <c r="E596" s="6" t="s">
        <v>252</v>
      </c>
      <c r="F596" s="133" t="s">
        <v>219</v>
      </c>
      <c r="G596" s="133" t="s">
        <v>253</v>
      </c>
      <c r="H596" s="133" t="s">
        <v>254</v>
      </c>
      <c r="I596" s="133" t="s">
        <v>22</v>
      </c>
      <c r="J596" s="135" t="s">
        <v>23</v>
      </c>
      <c r="K596" s="135" t="s">
        <v>215</v>
      </c>
      <c r="L596" s="6" t="s">
        <v>251</v>
      </c>
      <c r="M596" s="93">
        <v>28</v>
      </c>
      <c r="N596" s="93">
        <v>62</v>
      </c>
      <c r="O596" s="6">
        <v>2</v>
      </c>
      <c r="P596" s="129">
        <v>2</v>
      </c>
      <c r="Q596" s="6">
        <v>0</v>
      </c>
      <c r="R596" s="112">
        <v>0.50049999999999994</v>
      </c>
      <c r="S596" s="94">
        <f>((Table3.110[[#This Row],[Sample weight, g]]*'2.1. DM'!Q155)/100)*1000</f>
        <v>460.74520734411584</v>
      </c>
      <c r="T596" s="94">
        <f>'3.2 Digest'!W596</f>
        <v>161.14520734411587</v>
      </c>
      <c r="U596" s="117">
        <v>0.34583333333333333</v>
      </c>
      <c r="V596" s="155">
        <v>40.5</v>
      </c>
      <c r="W596" s="117">
        <v>0.68125000000000002</v>
      </c>
      <c r="X596" s="96">
        <v>82.5</v>
      </c>
      <c r="Y596" s="96">
        <v>12.7</v>
      </c>
      <c r="Z596" s="155">
        <v>40</v>
      </c>
      <c r="AA596" s="117">
        <v>0.35555555555555557</v>
      </c>
      <c r="AB596" s="155">
        <v>91.5</v>
      </c>
      <c r="AC596" s="155">
        <v>15.6</v>
      </c>
      <c r="AD596" s="96"/>
      <c r="AE596" s="94">
        <f>Table3.110[[#This Row],[Gas 8h, ml]]-Table3.110[[#This Row],[Gas 0h, ml]]</f>
        <v>42</v>
      </c>
      <c r="AF596" s="94">
        <f>Table3.110[[#This Row],[Gas 24h, ml]]-Table3.110[[#This Row],[V8 Push back, ml]]</f>
        <v>51.5</v>
      </c>
      <c r="AG596" s="94">
        <f>Table3.110[[#This Row],[GP 8h, ml]]-(AVERAGE(AE$658,AE$659))*$AG$8</f>
        <v>41.336244932930278</v>
      </c>
      <c r="AH596" s="94">
        <f>Table3.110[[#This Row],[GP 8-24h, ml]]-(AVERAGE(AF$658,AF$659))*$AG$8</f>
        <v>49.50873479879084</v>
      </c>
      <c r="AI596" s="94">
        <f>Table3.110[[#This Row],[Net gas 8-24h, ml]]+Table3.110[[#This Row],[Net gas 8h, ml]]</f>
        <v>90.844979731721111</v>
      </c>
      <c r="AJ596" s="94">
        <f>Table3.110[[#This Row],[Net gas 8h, ml]]*Table3.110[[#This Row],[CH4 8h %]]%</f>
        <v>5.2497031064821451</v>
      </c>
      <c r="AK596" s="94">
        <f>Table3.110[[#This Row],[Net gas 8-24h, ml]]*Table3.110[[#This Row],[CH4 24h, %]]%</f>
        <v>7.7233626286113708</v>
      </c>
      <c r="AL596" s="94">
        <f>Table3.110[[#This Row],[CH4 8-24h, ml]]+Table3.110[[#This Row],[CH4 8h, ml]]</f>
        <v>12.973065735093517</v>
      </c>
      <c r="AM596" s="94">
        <f>(Table3.110[[#This Row],[Net gas 24h, ml]]/Table3.110[[#This Row],[DM Incubated, mg]])*1000</f>
        <v>197.16966836265297</v>
      </c>
      <c r="AN596" s="94">
        <f>'3.2 Digest'!X596</f>
        <v>34.974906906359131</v>
      </c>
      <c r="AO596" s="94">
        <f>Table3.110[[#This Row],[Digested feed, mg]]/Table3.110[[#This Row],[Net gas 24h, ml]]</f>
        <v>1.7738482392753228</v>
      </c>
      <c r="AP596" s="94">
        <f>Table3.110[[#This Row],[CH4 8h, ml]]/Table3.110[[#This Row],[Net gas 8h, ml]]%</f>
        <v>12.7</v>
      </c>
      <c r="AQ596" s="94">
        <f>Table3.110[[#This Row],[CH4 24h, ml]]/Table3.110[[#This Row],[Net gas 24h, ml]]%</f>
        <v>14.280443204902387</v>
      </c>
      <c r="AR596" s="94">
        <f>Table3.110[[#This Row],[CH4 24h, ml]]/Table3.110[[#This Row],[DM Incubated, mg]]*1000</f>
        <v>28.156702507823049</v>
      </c>
      <c r="AS596" s="94">
        <f>Table3.110[[#This Row],[CH4 24h, ml]]/Table3.110[[#This Row],[Digested feed, mg]]*1000</f>
        <v>80.505439466097911</v>
      </c>
      <c r="AT596" s="94">
        <f>Table3.110[[#This Row],[CH4 24h, ml]]/'3.2 Digest'!AA596</f>
        <v>-0.37514246564520176</v>
      </c>
      <c r="AU596" s="94">
        <f>((Table3.110[[#This Row],[CH4 24h, ml]]/28.9)*16.04)/Table3.110[[#This Row],[DM Incubated, mg]]*1000</f>
        <v>15.627457032023589</v>
      </c>
      <c r="AV596" s="94">
        <f>((Table3.110[[#This Row],[CH4 24h, ml]]/28.9)*16.04)/Table3.110[[#This Row],[Digested feed, mg]]*1000</f>
        <v>44.681911731356763</v>
      </c>
      <c r="AW596" s="303"/>
    </row>
    <row r="597" spans="1:49" s="304" customFormat="1" x14ac:dyDescent="0.35">
      <c r="A597" s="89"/>
      <c r="B597" s="90">
        <f t="shared" si="9"/>
        <v>587</v>
      </c>
      <c r="C597" s="140">
        <v>46055</v>
      </c>
      <c r="D597" s="6" t="s">
        <v>16</v>
      </c>
      <c r="E597" s="6" t="s">
        <v>252</v>
      </c>
      <c r="F597" s="133" t="s">
        <v>219</v>
      </c>
      <c r="G597" s="133" t="s">
        <v>253</v>
      </c>
      <c r="H597" s="133" t="s">
        <v>254</v>
      </c>
      <c r="I597" s="133" t="s">
        <v>22</v>
      </c>
      <c r="J597" s="135" t="s">
        <v>23</v>
      </c>
      <c r="K597" s="135" t="s">
        <v>215</v>
      </c>
      <c r="L597" s="6" t="s">
        <v>251</v>
      </c>
      <c r="M597" s="93">
        <v>28</v>
      </c>
      <c r="N597" s="93">
        <v>62</v>
      </c>
      <c r="O597" s="6">
        <v>2</v>
      </c>
      <c r="P597" s="129">
        <v>3</v>
      </c>
      <c r="Q597" s="6">
        <v>0</v>
      </c>
      <c r="R597" s="112">
        <v>0.50019999999999998</v>
      </c>
      <c r="S597" s="94">
        <f>((Table3.110[[#This Row],[Sample weight, g]]*'2.1. DM'!Q155)/100)*1000</f>
        <v>460.46903639066289</v>
      </c>
      <c r="T597" s="94">
        <f>'3.2 Digest'!W597</f>
        <v>156.46903639066295</v>
      </c>
      <c r="U597" s="117">
        <v>0.34583333333333333</v>
      </c>
      <c r="V597" s="155">
        <v>40.5</v>
      </c>
      <c r="W597" s="117">
        <v>0.68194444444444446</v>
      </c>
      <c r="X597" s="96">
        <v>82.5</v>
      </c>
      <c r="Y597" s="96">
        <v>12.6</v>
      </c>
      <c r="Z597" s="155">
        <v>40</v>
      </c>
      <c r="AA597" s="117">
        <v>0.35625000000000001</v>
      </c>
      <c r="AB597" s="155">
        <v>88</v>
      </c>
      <c r="AC597" s="155">
        <v>15.8</v>
      </c>
      <c r="AD597" s="96"/>
      <c r="AE597" s="94">
        <f>Table3.110[[#This Row],[Gas 8h, ml]]-Table3.110[[#This Row],[Gas 0h, ml]]</f>
        <v>42</v>
      </c>
      <c r="AF597" s="94">
        <f>Table3.110[[#This Row],[Gas 24h, ml]]-Table3.110[[#This Row],[V8 Push back, ml]]</f>
        <v>48</v>
      </c>
      <c r="AG597" s="94">
        <f>Table3.110[[#This Row],[GP 8h, ml]]-(AVERAGE(AE$658,AE$659))*$AG$8</f>
        <v>41.336244932930278</v>
      </c>
      <c r="AH597" s="94">
        <f>Table3.110[[#This Row],[GP 8-24h, ml]]-(AVERAGE(AF$658,AF$659))*$AG$8</f>
        <v>46.00873479879084</v>
      </c>
      <c r="AI597" s="94">
        <f>Table3.110[[#This Row],[Net gas 8-24h, ml]]+Table3.110[[#This Row],[Net gas 8h, ml]]</f>
        <v>87.344979731721111</v>
      </c>
      <c r="AJ597" s="94">
        <f>Table3.110[[#This Row],[Net gas 8h, ml]]*Table3.110[[#This Row],[CH4 8h %]]%</f>
        <v>5.2083668615492149</v>
      </c>
      <c r="AK597" s="94">
        <f>Table3.110[[#This Row],[Net gas 8-24h, ml]]*Table3.110[[#This Row],[CH4 24h, %]]%</f>
        <v>7.2693800982089529</v>
      </c>
      <c r="AL597" s="94">
        <f>Table3.110[[#This Row],[CH4 8-24h, ml]]+Table3.110[[#This Row],[CH4 8h, ml]]</f>
        <v>12.477746959758168</v>
      </c>
      <c r="AM597" s="94">
        <f>(Table3.110[[#This Row],[Net gas 24h, ml]]/Table3.110[[#This Row],[DM Incubated, mg]])*1000</f>
        <v>189.68697747054907</v>
      </c>
      <c r="AN597" s="94">
        <f>'3.2 Digest'!X597</f>
        <v>33.98036002966208</v>
      </c>
      <c r="AO597" s="94">
        <f>Table3.110[[#This Row],[Digested feed, mg]]/Table3.110[[#This Row],[Net gas 24h, ml]]</f>
        <v>1.7913912954271145</v>
      </c>
      <c r="AP597" s="94">
        <f>Table3.110[[#This Row],[CH4 8h, ml]]/Table3.110[[#This Row],[Net gas 8h, ml]]%</f>
        <v>12.6</v>
      </c>
      <c r="AQ597" s="94">
        <f>Table3.110[[#This Row],[CH4 24h, ml]]/Table3.110[[#This Row],[Net gas 24h, ml]]%</f>
        <v>14.2855914536627</v>
      </c>
      <c r="AR597" s="94">
        <f>Table3.110[[#This Row],[CH4 24h, ml]]/Table3.110[[#This Row],[DM Incubated, mg]]*1000</f>
        <v>27.097906642243846</v>
      </c>
      <c r="AS597" s="94">
        <f>Table3.110[[#This Row],[CH4 24h, ml]]/Table3.110[[#This Row],[Digested feed, mg]]*1000</f>
        <v>79.745790269995922</v>
      </c>
      <c r="AT597" s="94">
        <f>Table3.110[[#This Row],[CH4 24h, ml]]/'3.2 Digest'!AA597</f>
        <v>-0.34054887193271749</v>
      </c>
      <c r="AU597" s="94">
        <f>((Table3.110[[#This Row],[CH4 24h, ml]]/28.9)*16.04)/Table3.110[[#This Row],[DM Incubated, mg]]*1000</f>
        <v>15.03980700835956</v>
      </c>
      <c r="AV597" s="94">
        <f>((Table3.110[[#This Row],[CH4 24h, ml]]/28.9)*16.04)/Table3.110[[#This Row],[Digested feed, mg]]*1000</f>
        <v>44.260293284800511</v>
      </c>
      <c r="AW597" s="303"/>
    </row>
    <row r="598" spans="1:49" s="304" customFormat="1" x14ac:dyDescent="0.35">
      <c r="A598" s="89"/>
      <c r="B598" s="90">
        <f t="shared" si="9"/>
        <v>588</v>
      </c>
      <c r="C598" s="140">
        <v>46055</v>
      </c>
      <c r="D598" s="6" t="s">
        <v>16</v>
      </c>
      <c r="E598" s="6" t="s">
        <v>256</v>
      </c>
      <c r="F598" s="133" t="s">
        <v>219</v>
      </c>
      <c r="G598" s="133" t="s">
        <v>253</v>
      </c>
      <c r="H598" s="133" t="s">
        <v>254</v>
      </c>
      <c r="I598" s="133" t="s">
        <v>22</v>
      </c>
      <c r="J598" s="135" t="s">
        <v>23</v>
      </c>
      <c r="K598" s="135" t="s">
        <v>215</v>
      </c>
      <c r="L598" s="6" t="s">
        <v>255</v>
      </c>
      <c r="M598" s="93">
        <v>28</v>
      </c>
      <c r="N598" s="93">
        <v>62</v>
      </c>
      <c r="O598" s="6">
        <v>2</v>
      </c>
      <c r="P598" s="129">
        <v>1</v>
      </c>
      <c r="Q598" s="6">
        <v>0</v>
      </c>
      <c r="R598" s="112">
        <v>0.50060000000000004</v>
      </c>
      <c r="S598" s="94">
        <f>((Table3.110[[#This Row],[Sample weight, g]]*'2.1. DM'!Q157)/100)*1000</f>
        <v>461.6689208990104</v>
      </c>
      <c r="T598" s="94">
        <f>'3.2 Digest'!W598</f>
        <v>132.76892089901042</v>
      </c>
      <c r="U598" s="117">
        <v>0.34652777777777777</v>
      </c>
      <c r="V598" s="155">
        <v>41</v>
      </c>
      <c r="W598" s="117">
        <v>0.68263888888888891</v>
      </c>
      <c r="X598" s="96">
        <v>81.5</v>
      </c>
      <c r="Y598" s="96">
        <v>11.6</v>
      </c>
      <c r="Z598" s="155">
        <v>40.5</v>
      </c>
      <c r="AA598" s="117">
        <v>0.35625000000000001</v>
      </c>
      <c r="AB598" s="155">
        <v>89</v>
      </c>
      <c r="AC598" s="155">
        <v>15.2</v>
      </c>
      <c r="AD598" s="96"/>
      <c r="AE598" s="94">
        <f>Table3.110[[#This Row],[Gas 8h, ml]]-Table3.110[[#This Row],[Gas 0h, ml]]</f>
        <v>40.5</v>
      </c>
      <c r="AF598" s="94">
        <f>Table3.110[[#This Row],[Gas 24h, ml]]-Table3.110[[#This Row],[V8 Push back, ml]]</f>
        <v>48.5</v>
      </c>
      <c r="AG598" s="94">
        <f>Table3.110[[#This Row],[GP 8h, ml]]-(AVERAGE(AE$658,AE$659))*$AG$8</f>
        <v>39.836244932930278</v>
      </c>
      <c r="AH598" s="94">
        <f>Table3.110[[#This Row],[GP 8-24h, ml]]-(AVERAGE(AF$658,AF$659))*$AG$8</f>
        <v>46.50873479879084</v>
      </c>
      <c r="AI598" s="94">
        <f>Table3.110[[#This Row],[Net gas 8-24h, ml]]+Table3.110[[#This Row],[Net gas 8h, ml]]</f>
        <v>86.344979731721111</v>
      </c>
      <c r="AJ598" s="94">
        <f>Table3.110[[#This Row],[Net gas 8h, ml]]*Table3.110[[#This Row],[CH4 8h %]]%</f>
        <v>4.6210044122199117</v>
      </c>
      <c r="AK598" s="94">
        <f>Table3.110[[#This Row],[Net gas 8-24h, ml]]*Table3.110[[#This Row],[CH4 24h, %]]%</f>
        <v>7.0693276894162071</v>
      </c>
      <c r="AL598" s="94">
        <f>Table3.110[[#This Row],[CH4 8-24h, ml]]+Table3.110[[#This Row],[CH4 8h, ml]]</f>
        <v>11.69033210163612</v>
      </c>
      <c r="AM598" s="94">
        <f>(Table3.110[[#This Row],[Net gas 24h, ml]]/Table3.110[[#This Row],[DM Incubated, mg]])*1000</f>
        <v>187.02792374150087</v>
      </c>
      <c r="AN598" s="94">
        <f>'3.2 Digest'!X598</f>
        <v>28.758470602800983</v>
      </c>
      <c r="AO598" s="94">
        <f>Table3.110[[#This Row],[Digested feed, mg]]/Table3.110[[#This Row],[Net gas 24h, ml]]</f>
        <v>1.5376565182079052</v>
      </c>
      <c r="AP598" s="94">
        <f>Table3.110[[#This Row],[CH4 8h, ml]]/Table3.110[[#This Row],[Net gas 8h, ml]]%</f>
        <v>11.6</v>
      </c>
      <c r="AQ598" s="94">
        <f>Table3.110[[#This Row],[CH4 24h, ml]]/Table3.110[[#This Row],[Net gas 24h, ml]]%</f>
        <v>13.539098784849639</v>
      </c>
      <c r="AR598" s="94">
        <f>Table3.110[[#This Row],[CH4 24h, ml]]/Table3.110[[#This Row],[DM Incubated, mg]]*1000</f>
        <v>25.321895350615051</v>
      </c>
      <c r="AS598" s="94">
        <f>Table3.110[[#This Row],[CH4 24h, ml]]/Table3.110[[#This Row],[Digested feed, mg]]*1000</f>
        <v>88.05021553597075</v>
      </c>
      <c r="AT598" s="94">
        <f>Table3.110[[#This Row],[CH4 24h, ml]]/'3.2 Digest'!AA598</f>
        <v>-0.26846296014790971</v>
      </c>
      <c r="AU598" s="94">
        <f>((Table3.110[[#This Row],[CH4 24h, ml]]/28.9)*16.04)/Table3.110[[#This Row],[DM Incubated, mg]]*1000</f>
        <v>14.054090014666624</v>
      </c>
      <c r="AV598" s="94">
        <f>((Table3.110[[#This Row],[CH4 24h, ml]]/28.9)*16.04)/Table3.110[[#This Row],[Digested feed, mg]]*1000</f>
        <v>48.86939298259415</v>
      </c>
      <c r="AW598" s="303"/>
    </row>
    <row r="599" spans="1:49" s="304" customFormat="1" x14ac:dyDescent="0.35">
      <c r="A599" s="89"/>
      <c r="B599" s="90">
        <f t="shared" si="9"/>
        <v>589</v>
      </c>
      <c r="C599" s="140">
        <v>46055</v>
      </c>
      <c r="D599" s="6" t="s">
        <v>16</v>
      </c>
      <c r="E599" s="6" t="s">
        <v>256</v>
      </c>
      <c r="F599" s="133" t="s">
        <v>219</v>
      </c>
      <c r="G599" s="133" t="s">
        <v>253</v>
      </c>
      <c r="H599" s="133" t="s">
        <v>254</v>
      </c>
      <c r="I599" s="133" t="s">
        <v>22</v>
      </c>
      <c r="J599" s="135" t="s">
        <v>23</v>
      </c>
      <c r="K599" s="135" t="s">
        <v>215</v>
      </c>
      <c r="L599" s="6" t="s">
        <v>255</v>
      </c>
      <c r="M599" s="93">
        <v>28</v>
      </c>
      <c r="N599" s="93">
        <v>62</v>
      </c>
      <c r="O599" s="6">
        <v>2</v>
      </c>
      <c r="P599" s="129">
        <v>2</v>
      </c>
      <c r="Q599" s="6">
        <v>0</v>
      </c>
      <c r="R599" s="112">
        <v>0.50039999999999996</v>
      </c>
      <c r="S599" s="94">
        <f>((Table3.110[[#This Row],[Sample weight, g]]*'2.1. DM'!Q157)/100)*1000</f>
        <v>461.48447466613015</v>
      </c>
      <c r="T599" s="94">
        <f>'3.2 Digest'!W599</f>
        <v>225.58447466613015</v>
      </c>
      <c r="U599" s="117">
        <v>0.34652777777777777</v>
      </c>
      <c r="V599" s="155">
        <v>40.5</v>
      </c>
      <c r="W599" s="117">
        <v>0.68263888888888891</v>
      </c>
      <c r="X599" s="96">
        <v>81.5</v>
      </c>
      <c r="Y599" s="96">
        <v>11.3</v>
      </c>
      <c r="Z599" s="155">
        <v>40</v>
      </c>
      <c r="AA599" s="117">
        <v>0.35694444444444445</v>
      </c>
      <c r="AB599" s="155">
        <v>86</v>
      </c>
      <c r="AC599" s="155">
        <v>15.5</v>
      </c>
      <c r="AD599" s="96"/>
      <c r="AE599" s="94">
        <f>Table3.110[[#This Row],[Gas 8h, ml]]-Table3.110[[#This Row],[Gas 0h, ml]]</f>
        <v>41</v>
      </c>
      <c r="AF599" s="94">
        <f>Table3.110[[#This Row],[Gas 24h, ml]]-Table3.110[[#This Row],[V8 Push back, ml]]</f>
        <v>46</v>
      </c>
      <c r="AG599" s="94">
        <f>Table3.110[[#This Row],[GP 8h, ml]]-(AVERAGE(AE$658,AE$659))*$AG$8</f>
        <v>40.336244932930278</v>
      </c>
      <c r="AH599" s="94">
        <f>Table3.110[[#This Row],[GP 8-24h, ml]]-(AVERAGE(AF$658,AF$659))*$AG$8</f>
        <v>44.00873479879084</v>
      </c>
      <c r="AI599" s="94">
        <f>Table3.110[[#This Row],[Net gas 8-24h, ml]]+Table3.110[[#This Row],[Net gas 8h, ml]]</f>
        <v>84.344979731721111</v>
      </c>
      <c r="AJ599" s="94">
        <f>Table3.110[[#This Row],[Net gas 8h, ml]]*Table3.110[[#This Row],[CH4 8h %]]%</f>
        <v>4.5579956774211219</v>
      </c>
      <c r="AK599" s="94">
        <f>Table3.110[[#This Row],[Net gas 8-24h, ml]]*Table3.110[[#This Row],[CH4 24h, %]]%</f>
        <v>6.8213538938125806</v>
      </c>
      <c r="AL599" s="94">
        <f>Table3.110[[#This Row],[CH4 8-24h, ml]]+Table3.110[[#This Row],[CH4 8h, ml]]</f>
        <v>11.379349571233703</v>
      </c>
      <c r="AM599" s="94">
        <f>(Table3.110[[#This Row],[Net gas 24h, ml]]/Table3.110[[#This Row],[DM Incubated, mg]])*1000</f>
        <v>182.76883484052658</v>
      </c>
      <c r="AN599" s="94">
        <f>'3.2 Digest'!X599</f>
        <v>48.882354022707609</v>
      </c>
      <c r="AO599" s="94">
        <f>Table3.110[[#This Row],[Digested feed, mg]]/Table3.110[[#This Row],[Net gas 24h, ml]]</f>
        <v>2.6745453657544789</v>
      </c>
      <c r="AP599" s="94">
        <f>Table3.110[[#This Row],[CH4 8h, ml]]/Table3.110[[#This Row],[Net gas 8h, ml]]%</f>
        <v>11.300000000000002</v>
      </c>
      <c r="AQ599" s="94">
        <f>Table3.110[[#This Row],[CH4 24h, ml]]/Table3.110[[#This Row],[Net gas 24h, ml]]%</f>
        <v>13.491436725017161</v>
      </c>
      <c r="AR599" s="94">
        <f>Table3.110[[#This Row],[CH4 24h, ml]]/Table3.110[[#This Row],[DM Incubated, mg]]*1000</f>
        <v>24.658141705560762</v>
      </c>
      <c r="AS599" s="94">
        <f>Table3.110[[#This Row],[CH4 24h, ml]]/Table3.110[[#This Row],[Digested feed, mg]]*1000</f>
        <v>50.443850748485168</v>
      </c>
      <c r="AT599" s="94">
        <f>Table3.110[[#This Row],[CH4 24h, ml]]/'3.2 Digest'!AA599</f>
        <v>-3.7962002886963102</v>
      </c>
      <c r="AU599" s="94">
        <f>((Table3.110[[#This Row],[CH4 24h, ml]]/28.9)*16.04)/Table3.110[[#This Row],[DM Incubated, mg]]*1000</f>
        <v>13.685695258034416</v>
      </c>
      <c r="AV599" s="94">
        <f>((Table3.110[[#This Row],[CH4 24h, ml]]/28.9)*16.04)/Table3.110[[#This Row],[Digested feed, mg]]*1000</f>
        <v>27.997209896391077</v>
      </c>
      <c r="AW599" s="303"/>
    </row>
    <row r="600" spans="1:49" s="304" customFormat="1" x14ac:dyDescent="0.35">
      <c r="A600" s="89"/>
      <c r="B600" s="90">
        <f t="shared" si="9"/>
        <v>590</v>
      </c>
      <c r="C600" s="140">
        <v>46055</v>
      </c>
      <c r="D600" s="6" t="s">
        <v>16</v>
      </c>
      <c r="E600" s="6" t="s">
        <v>256</v>
      </c>
      <c r="F600" s="133" t="s">
        <v>219</v>
      </c>
      <c r="G600" s="133" t="s">
        <v>253</v>
      </c>
      <c r="H600" s="133" t="s">
        <v>254</v>
      </c>
      <c r="I600" s="133" t="s">
        <v>22</v>
      </c>
      <c r="J600" s="135" t="s">
        <v>23</v>
      </c>
      <c r="K600" s="135" t="s">
        <v>215</v>
      </c>
      <c r="L600" s="6" t="s">
        <v>255</v>
      </c>
      <c r="M600" s="93">
        <v>28</v>
      </c>
      <c r="N600" s="93">
        <v>62</v>
      </c>
      <c r="O600" s="6">
        <v>2</v>
      </c>
      <c r="P600" s="129">
        <v>3</v>
      </c>
      <c r="Q600" s="6">
        <v>0</v>
      </c>
      <c r="R600" s="112">
        <v>0.50019999999999998</v>
      </c>
      <c r="S600" s="94">
        <f>((Table3.110[[#This Row],[Sample weight, g]]*'2.1. DM'!Q157)/100)*1000</f>
        <v>461.30002843325002</v>
      </c>
      <c r="T600" s="94">
        <f>'3.2 Digest'!W600</f>
        <v>257.50002843325001</v>
      </c>
      <c r="U600" s="117">
        <v>0.34652777777777777</v>
      </c>
      <c r="V600" s="155">
        <v>41</v>
      </c>
      <c r="W600" s="117">
        <v>0.68333333333333335</v>
      </c>
      <c r="X600" s="96">
        <v>80</v>
      </c>
      <c r="Y600" s="96">
        <v>11.5</v>
      </c>
      <c r="Z600" s="155">
        <v>40</v>
      </c>
      <c r="AA600" s="117">
        <v>0.3576388888888889</v>
      </c>
      <c r="AB600" s="155">
        <v>86.5</v>
      </c>
      <c r="AC600" s="155">
        <v>15.4</v>
      </c>
      <c r="AD600" s="96"/>
      <c r="AE600" s="94">
        <f>Table3.110[[#This Row],[Gas 8h, ml]]-Table3.110[[#This Row],[Gas 0h, ml]]</f>
        <v>39</v>
      </c>
      <c r="AF600" s="94">
        <f>Table3.110[[#This Row],[Gas 24h, ml]]-Table3.110[[#This Row],[V8 Push back, ml]]</f>
        <v>46.5</v>
      </c>
      <c r="AG600" s="94">
        <f>Table3.110[[#This Row],[GP 8h, ml]]-(AVERAGE(AE$658,AE$659))*$AG$8</f>
        <v>38.336244932930278</v>
      </c>
      <c r="AH600" s="94">
        <f>Table3.110[[#This Row],[GP 8-24h, ml]]-(AVERAGE(AF$658,AF$659))*$AG$8</f>
        <v>44.50873479879084</v>
      </c>
      <c r="AI600" s="94">
        <f>Table3.110[[#This Row],[Net gas 8-24h, ml]]+Table3.110[[#This Row],[Net gas 8h, ml]]</f>
        <v>82.844979731721111</v>
      </c>
      <c r="AJ600" s="94">
        <f>Table3.110[[#This Row],[Net gas 8h, ml]]*Table3.110[[#This Row],[CH4 8h %]]%</f>
        <v>4.4086681672869821</v>
      </c>
      <c r="AK600" s="94">
        <f>Table3.110[[#This Row],[Net gas 8-24h, ml]]*Table3.110[[#This Row],[CH4 24h, %]]%</f>
        <v>6.8543451590137892</v>
      </c>
      <c r="AL600" s="94">
        <f>Table3.110[[#This Row],[CH4 8-24h, ml]]+Table3.110[[#This Row],[CH4 8h, ml]]</f>
        <v>11.263013326300772</v>
      </c>
      <c r="AM600" s="94">
        <f>(Table3.110[[#This Row],[Net gas 24h, ml]]/Table3.110[[#This Row],[DM Incubated, mg]])*1000</f>
        <v>179.59023330888166</v>
      </c>
      <c r="AN600" s="94">
        <f>'3.2 Digest'!X600</f>
        <v>55.820509985186398</v>
      </c>
      <c r="AO600" s="94">
        <f>Table3.110[[#This Row],[Digested feed, mg]]/Table3.110[[#This Row],[Net gas 24h, ml]]</f>
        <v>3.1082152384745405</v>
      </c>
      <c r="AP600" s="94">
        <f>Table3.110[[#This Row],[CH4 8h, ml]]/Table3.110[[#This Row],[Net gas 8h, ml]]%</f>
        <v>11.5</v>
      </c>
      <c r="AQ600" s="94">
        <f>Table3.110[[#This Row],[CH4 24h, ml]]/Table3.110[[#This Row],[Net gas 24h, ml]]%</f>
        <v>13.595287684026308</v>
      </c>
      <c r="AR600" s="94">
        <f>Table3.110[[#This Row],[CH4 24h, ml]]/Table3.110[[#This Row],[DM Incubated, mg]]*1000</f>
        <v>24.415808870756504</v>
      </c>
      <c r="AS600" s="94">
        <f>Table3.110[[#This Row],[CH4 24h, ml]]/Table3.110[[#This Row],[Digested feed, mg]]*1000</f>
        <v>43.739852748095544</v>
      </c>
      <c r="AT600" s="94">
        <f>Table3.110[[#This Row],[CH4 24h, ml]]/'3.2 Digest'!AA600</f>
        <v>1.0255688023349974</v>
      </c>
      <c r="AU600" s="94">
        <f>((Table3.110[[#This Row],[CH4 24h, ml]]/28.9)*16.04)/Table3.110[[#This Row],[DM Incubated, mg]]*1000</f>
        <v>13.551196342108453</v>
      </c>
      <c r="AV600" s="94">
        <f>((Table3.110[[#This Row],[CH4 24h, ml]]/28.9)*16.04)/Table3.110[[#This Row],[Digested feed, mg]]*1000</f>
        <v>24.276375020050263</v>
      </c>
      <c r="AW600" s="303"/>
    </row>
    <row r="601" spans="1:49" s="304" customFormat="1" x14ac:dyDescent="0.35">
      <c r="A601" s="89"/>
      <c r="B601" s="90">
        <f t="shared" si="9"/>
        <v>591</v>
      </c>
      <c r="C601" s="140">
        <v>46055</v>
      </c>
      <c r="D601" s="6" t="s">
        <v>16</v>
      </c>
      <c r="E601" s="6" t="s">
        <v>258</v>
      </c>
      <c r="F601" s="133" t="s">
        <v>259</v>
      </c>
      <c r="G601" s="133" t="s">
        <v>260</v>
      </c>
      <c r="H601" s="133" t="s">
        <v>261</v>
      </c>
      <c r="I601" s="133" t="s">
        <v>22</v>
      </c>
      <c r="J601" s="135" t="s">
        <v>23</v>
      </c>
      <c r="K601" s="135" t="s">
        <v>215</v>
      </c>
      <c r="L601" s="6" t="s">
        <v>257</v>
      </c>
      <c r="M601" s="93">
        <v>28</v>
      </c>
      <c r="N601" s="93">
        <v>62</v>
      </c>
      <c r="O601" s="6">
        <v>2</v>
      </c>
      <c r="P601" s="129">
        <v>1</v>
      </c>
      <c r="Q601" s="6">
        <v>0</v>
      </c>
      <c r="R601" s="112">
        <v>0.50029999999999997</v>
      </c>
      <c r="S601" s="94">
        <f>((Table3.110[[#This Row],[Sample weight, g]]*'2.1. DM'!Q159)/100)*1000</f>
        <v>457.30569694341682</v>
      </c>
      <c r="T601" s="94">
        <f>'3.2 Digest'!W601</f>
        <v>75.805696943416876</v>
      </c>
      <c r="U601" s="117">
        <v>0.34722222222222221</v>
      </c>
      <c r="V601" s="155">
        <v>40</v>
      </c>
      <c r="W601" s="117">
        <v>0.68333333333333335</v>
      </c>
      <c r="X601" s="96">
        <v>78.5</v>
      </c>
      <c r="Y601" s="96">
        <v>13.3</v>
      </c>
      <c r="Z601" s="155">
        <v>39.5</v>
      </c>
      <c r="AA601" s="117">
        <v>0.35833333333333334</v>
      </c>
      <c r="AB601" s="155">
        <v>84.5</v>
      </c>
      <c r="AC601" s="155">
        <v>16.899999999999999</v>
      </c>
      <c r="AD601" s="96"/>
      <c r="AE601" s="94">
        <f>Table3.110[[#This Row],[Gas 8h, ml]]-Table3.110[[#This Row],[Gas 0h, ml]]</f>
        <v>38.5</v>
      </c>
      <c r="AF601" s="94">
        <f>Table3.110[[#This Row],[Gas 24h, ml]]-Table3.110[[#This Row],[V8 Push back, ml]]</f>
        <v>45</v>
      </c>
      <c r="AG601" s="94"/>
      <c r="AH601" s="94"/>
      <c r="AI601" s="94"/>
      <c r="AJ601" s="94"/>
      <c r="AK601" s="94"/>
      <c r="AL601" s="94"/>
      <c r="AM601" s="94"/>
      <c r="AN601" s="94"/>
      <c r="AO601" s="94"/>
      <c r="AP601" s="94"/>
      <c r="AQ601" s="94"/>
      <c r="AR601" s="94"/>
      <c r="AS601" s="94"/>
      <c r="AT601" s="94"/>
      <c r="AU601" s="94"/>
      <c r="AV601" s="94"/>
      <c r="AW601" s="303" t="s">
        <v>633</v>
      </c>
    </row>
    <row r="602" spans="1:49" s="304" customFormat="1" x14ac:dyDescent="0.35">
      <c r="A602" s="89"/>
      <c r="B602" s="90">
        <f t="shared" si="9"/>
        <v>592</v>
      </c>
      <c r="C602" s="140">
        <v>46055</v>
      </c>
      <c r="D602" s="6" t="s">
        <v>16</v>
      </c>
      <c r="E602" s="6" t="s">
        <v>258</v>
      </c>
      <c r="F602" s="133" t="s">
        <v>259</v>
      </c>
      <c r="G602" s="133" t="s">
        <v>260</v>
      </c>
      <c r="H602" s="133" t="s">
        <v>261</v>
      </c>
      <c r="I602" s="133" t="s">
        <v>22</v>
      </c>
      <c r="J602" s="135" t="s">
        <v>23</v>
      </c>
      <c r="K602" s="135" t="s">
        <v>215</v>
      </c>
      <c r="L602" s="6" t="s">
        <v>257</v>
      </c>
      <c r="M602" s="93">
        <v>28</v>
      </c>
      <c r="N602" s="93">
        <v>62</v>
      </c>
      <c r="O602" s="6">
        <v>2</v>
      </c>
      <c r="P602" s="129">
        <v>2</v>
      </c>
      <c r="Q602" s="6">
        <v>0</v>
      </c>
      <c r="R602" s="112">
        <v>0.50060000000000004</v>
      </c>
      <c r="S602" s="94">
        <f>((Table3.110[[#This Row],[Sample weight, g]]*'2.1. DM'!Q159)/100)*1000</f>
        <v>457.5799158302508</v>
      </c>
      <c r="T602" s="94">
        <f>'3.2 Digest'!W602</f>
        <v>115.57991583025074</v>
      </c>
      <c r="U602" s="117">
        <v>0.34722222222222221</v>
      </c>
      <c r="V602" s="155">
        <v>41</v>
      </c>
      <c r="W602" s="117">
        <v>0.68402777777777779</v>
      </c>
      <c r="X602" s="96">
        <v>77.5</v>
      </c>
      <c r="Y602" s="96">
        <v>14</v>
      </c>
      <c r="Z602" s="155">
        <v>40.5</v>
      </c>
      <c r="AA602" s="117">
        <v>0.3576388888888889</v>
      </c>
      <c r="AB602" s="155">
        <v>84.5</v>
      </c>
      <c r="AC602" s="155">
        <v>17.100000000000001</v>
      </c>
      <c r="AD602" s="96"/>
      <c r="AE602" s="94">
        <f>Table3.110[[#This Row],[Gas 8h, ml]]-Table3.110[[#This Row],[Gas 0h, ml]]</f>
        <v>36.5</v>
      </c>
      <c r="AF602" s="94">
        <f>Table3.110[[#This Row],[Gas 24h, ml]]-Table3.110[[#This Row],[V8 Push back, ml]]</f>
        <v>44</v>
      </c>
      <c r="AG602" s="94">
        <f>Table3.110[[#This Row],[GP 8h, ml]]-(AVERAGE(AE$658,AE$659))*$AG$8</f>
        <v>35.836244932930278</v>
      </c>
      <c r="AH602" s="94">
        <f>Table3.110[[#This Row],[GP 8-24h, ml]]-(AVERAGE(AF$658,AF$659))*$AG$8</f>
        <v>42.00873479879084</v>
      </c>
      <c r="AI602" s="94">
        <f>Table3.110[[#This Row],[Net gas 8-24h, ml]]+Table3.110[[#This Row],[Net gas 8h, ml]]</f>
        <v>77.844979731721111</v>
      </c>
      <c r="AJ602" s="94">
        <f>Table3.110[[#This Row],[Net gas 8h, ml]]*Table3.110[[#This Row],[CH4 8h %]]%</f>
        <v>5.017074290610239</v>
      </c>
      <c r="AK602" s="94">
        <f>Table3.110[[#This Row],[Net gas 8-24h, ml]]*Table3.110[[#This Row],[CH4 24h, %]]%</f>
        <v>7.1834936505932339</v>
      </c>
      <c r="AL602" s="94">
        <f>Table3.110[[#This Row],[CH4 8-24h, ml]]+Table3.110[[#This Row],[CH4 8h, ml]]</f>
        <v>12.200567941203474</v>
      </c>
      <c r="AM602" s="94">
        <f>(Table3.110[[#This Row],[Net gas 24h, ml]]/Table3.110[[#This Row],[DM Incubated, mg]])*1000</f>
        <v>170.12324413425392</v>
      </c>
      <c r="AN602" s="94">
        <f>'3.2 Digest'!X602</f>
        <v>25.258957360604008</v>
      </c>
      <c r="AO602" s="94">
        <f>Table3.110[[#This Row],[Digested feed, mg]]/Table3.110[[#This Row],[Net gas 24h, ml]]</f>
        <v>1.4847446325835831</v>
      </c>
      <c r="AP602" s="94">
        <f>Table3.110[[#This Row],[CH4 8h, ml]]/Table3.110[[#This Row],[Net gas 8h, ml]]%</f>
        <v>14</v>
      </c>
      <c r="AQ602" s="94">
        <f>Table3.110[[#This Row],[CH4 24h, ml]]/Table3.110[[#This Row],[Net gas 24h, ml]]%</f>
        <v>15.672902714151334</v>
      </c>
      <c r="AR602" s="94">
        <f>Table3.110[[#This Row],[CH4 24h, ml]]/Table3.110[[#This Row],[DM Incubated, mg]]*1000</f>
        <v>26.66325054731978</v>
      </c>
      <c r="AS602" s="94">
        <f>Table3.110[[#This Row],[CH4 24h, ml]]/Table3.110[[#This Row],[Digested feed, mg]]*1000</f>
        <v>105.5595849292894</v>
      </c>
      <c r="AT602" s="94">
        <f>Table3.110[[#This Row],[CH4 24h, ml]]/'3.2 Digest'!AA602</f>
        <v>-0.4054824500975871</v>
      </c>
      <c r="AU602" s="94">
        <f>((Table3.110[[#This Row],[CH4 24h, ml]]/28.9)*16.04)/Table3.110[[#This Row],[DM Incubated, mg]]*1000</f>
        <v>14.798565355675063</v>
      </c>
      <c r="AV602" s="94">
        <f>((Table3.110[[#This Row],[CH4 24h, ml]]/28.9)*16.04)/Table3.110[[#This Row],[Digested feed, mg]]*1000</f>
        <v>58.587395926152325</v>
      </c>
      <c r="AW602" s="303"/>
    </row>
    <row r="603" spans="1:49" s="304" customFormat="1" x14ac:dyDescent="0.35">
      <c r="A603" s="89"/>
      <c r="B603" s="90">
        <f t="shared" si="9"/>
        <v>593</v>
      </c>
      <c r="C603" s="140">
        <v>46055</v>
      </c>
      <c r="D603" s="6" t="s">
        <v>16</v>
      </c>
      <c r="E603" s="6" t="s">
        <v>258</v>
      </c>
      <c r="F603" s="133" t="s">
        <v>259</v>
      </c>
      <c r="G603" s="133" t="s">
        <v>260</v>
      </c>
      <c r="H603" s="133" t="s">
        <v>261</v>
      </c>
      <c r="I603" s="133" t="s">
        <v>22</v>
      </c>
      <c r="J603" s="135" t="s">
        <v>23</v>
      </c>
      <c r="K603" s="135" t="s">
        <v>215</v>
      </c>
      <c r="L603" s="6" t="s">
        <v>257</v>
      </c>
      <c r="M603" s="93">
        <v>28</v>
      </c>
      <c r="N603" s="93">
        <v>62</v>
      </c>
      <c r="O603" s="6">
        <v>2</v>
      </c>
      <c r="P603" s="129">
        <v>3</v>
      </c>
      <c r="Q603" s="6">
        <v>0</v>
      </c>
      <c r="R603" s="112">
        <v>0.50060000000000004</v>
      </c>
      <c r="S603" s="94">
        <f>((Table3.110[[#This Row],[Sample weight, g]]*'2.1. DM'!Q159)/100)*1000</f>
        <v>457.5799158302508</v>
      </c>
      <c r="T603" s="94">
        <f>'3.2 Digest'!W603</f>
        <v>135.17991583025076</v>
      </c>
      <c r="U603" s="117">
        <v>0.34722222222222221</v>
      </c>
      <c r="V603" s="155">
        <v>41</v>
      </c>
      <c r="W603" s="117">
        <v>0.68472222222222223</v>
      </c>
      <c r="X603" s="96">
        <v>76.5</v>
      </c>
      <c r="Y603" s="96">
        <v>13.8</v>
      </c>
      <c r="Z603" s="155">
        <v>40</v>
      </c>
      <c r="AA603" s="117">
        <v>0.35833333333333334</v>
      </c>
      <c r="AB603" s="155">
        <v>83</v>
      </c>
      <c r="AC603" s="155">
        <v>16.8</v>
      </c>
      <c r="AD603" s="96"/>
      <c r="AE603" s="94">
        <f>Table3.110[[#This Row],[Gas 8h, ml]]-Table3.110[[#This Row],[Gas 0h, ml]]</f>
        <v>35.5</v>
      </c>
      <c r="AF603" s="94">
        <f>Table3.110[[#This Row],[Gas 24h, ml]]-Table3.110[[#This Row],[V8 Push back, ml]]</f>
        <v>43</v>
      </c>
      <c r="AG603" s="94">
        <f>Table3.110[[#This Row],[GP 8h, ml]]-(AVERAGE(AE$658,AE$659))*$AG$8</f>
        <v>34.836244932930278</v>
      </c>
      <c r="AH603" s="94">
        <f>Table3.110[[#This Row],[GP 8-24h, ml]]-(AVERAGE(AF$658,AF$659))*$AG$8</f>
        <v>41.00873479879084</v>
      </c>
      <c r="AI603" s="94">
        <f>Table3.110[[#This Row],[Net gas 8-24h, ml]]+Table3.110[[#This Row],[Net gas 8h, ml]]</f>
        <v>75.844979731721111</v>
      </c>
      <c r="AJ603" s="94">
        <f>Table3.110[[#This Row],[Net gas 8h, ml]]*Table3.110[[#This Row],[CH4 8h %]]%</f>
        <v>4.8074018007443788</v>
      </c>
      <c r="AK603" s="94">
        <f>Table3.110[[#This Row],[Net gas 8-24h, ml]]*Table3.110[[#This Row],[CH4 24h, %]]%</f>
        <v>6.8894674461968615</v>
      </c>
      <c r="AL603" s="94">
        <f>Table3.110[[#This Row],[CH4 8-24h, ml]]+Table3.110[[#This Row],[CH4 8h, ml]]</f>
        <v>11.69686924694124</v>
      </c>
      <c r="AM603" s="94">
        <f>(Table3.110[[#This Row],[Net gas 24h, ml]]/Table3.110[[#This Row],[DM Incubated, mg]])*1000</f>
        <v>165.75242292727168</v>
      </c>
      <c r="AN603" s="94">
        <f>'3.2 Digest'!X603</f>
        <v>29.542362143446589</v>
      </c>
      <c r="AO603" s="94">
        <f>Table3.110[[#This Row],[Digested feed, mg]]/Table3.110[[#This Row],[Net gas 24h, ml]]</f>
        <v>1.7823185701731243</v>
      </c>
      <c r="AP603" s="94">
        <f>Table3.110[[#This Row],[CH4 8h, ml]]/Table3.110[[#This Row],[Net gas 8h, ml]]%</f>
        <v>13.800000000000002</v>
      </c>
      <c r="AQ603" s="94">
        <f>Table3.110[[#This Row],[CH4 24h, ml]]/Table3.110[[#This Row],[Net gas 24h, ml]]%</f>
        <v>15.422074458079376</v>
      </c>
      <c r="AR603" s="94">
        <f>Table3.110[[#This Row],[CH4 24h, ml]]/Table3.110[[#This Row],[DM Incubated, mg]]*1000</f>
        <v>25.562462079914468</v>
      </c>
      <c r="AS603" s="94">
        <f>Table3.110[[#This Row],[CH4 24h, ml]]/Table3.110[[#This Row],[Digested feed, mg]]*1000</f>
        <v>86.528158973181561</v>
      </c>
      <c r="AT603" s="94">
        <f>Table3.110[[#This Row],[CH4 24h, ml]]/'3.2 Digest'!AA603</f>
        <v>-0.5167917525504282</v>
      </c>
      <c r="AU603" s="94">
        <f>((Table3.110[[#This Row],[CH4 24h, ml]]/28.9)*16.04)/Table3.110[[#This Row],[DM Incubated, mg]]*1000</f>
        <v>14.187608711481941</v>
      </c>
      <c r="AV603" s="94">
        <f>((Table3.110[[#This Row],[CH4 24h, ml]]/28.9)*16.04)/Table3.110[[#This Row],[Digested feed, mg]]*1000</f>
        <v>48.024625257087614</v>
      </c>
      <c r="AW603" s="303"/>
    </row>
    <row r="604" spans="1:49" s="304" customFormat="1" x14ac:dyDescent="0.35">
      <c r="A604" s="89"/>
      <c r="B604" s="90">
        <f t="shared" si="9"/>
        <v>594</v>
      </c>
      <c r="C604" s="140">
        <v>46055</v>
      </c>
      <c r="D604" s="6" t="s">
        <v>16</v>
      </c>
      <c r="E604" s="6" t="s">
        <v>263</v>
      </c>
      <c r="F604" s="133" t="s">
        <v>264</v>
      </c>
      <c r="G604" s="133" t="s">
        <v>265</v>
      </c>
      <c r="H604" s="133" t="s">
        <v>266</v>
      </c>
      <c r="I604" s="133" t="s">
        <v>22</v>
      </c>
      <c r="J604" s="135" t="s">
        <v>23</v>
      </c>
      <c r="K604" s="135" t="s">
        <v>215</v>
      </c>
      <c r="L604" s="6" t="s">
        <v>262</v>
      </c>
      <c r="M604" s="93">
        <v>28</v>
      </c>
      <c r="N604" s="93">
        <v>62</v>
      </c>
      <c r="O604" s="6">
        <v>2</v>
      </c>
      <c r="P604" s="129">
        <v>1</v>
      </c>
      <c r="Q604" s="6">
        <v>0</v>
      </c>
      <c r="R604" s="112">
        <v>0.5</v>
      </c>
      <c r="S604" s="94">
        <f>((Table3.110[[#This Row],[Sample weight, g]]*'2.1. DM'!Q161)/100)*1000</f>
        <v>453.78425018639803</v>
      </c>
      <c r="T604" s="94">
        <f>'3.2 Digest'!W604</f>
        <v>135.28425018639803</v>
      </c>
      <c r="U604" s="117">
        <v>0.34791666666666665</v>
      </c>
      <c r="V604" s="155">
        <v>41</v>
      </c>
      <c r="W604" s="117">
        <v>0.68472222222222223</v>
      </c>
      <c r="X604" s="96">
        <v>72.5</v>
      </c>
      <c r="Y604" s="96">
        <v>13.1</v>
      </c>
      <c r="Z604" s="155">
        <v>40.5</v>
      </c>
      <c r="AA604" s="117">
        <v>0.35902777777777778</v>
      </c>
      <c r="AB604" s="155">
        <v>83</v>
      </c>
      <c r="AC604" s="155">
        <v>15.5</v>
      </c>
      <c r="AD604" s="96"/>
      <c r="AE604" s="94">
        <f>Table3.110[[#This Row],[Gas 8h, ml]]-Table3.110[[#This Row],[Gas 0h, ml]]</f>
        <v>31.5</v>
      </c>
      <c r="AF604" s="94">
        <f>Table3.110[[#This Row],[Gas 24h, ml]]-Table3.110[[#This Row],[V8 Push back, ml]]</f>
        <v>42.5</v>
      </c>
      <c r="AG604" s="94">
        <f>Table3.110[[#This Row],[GP 8h, ml]]-(AVERAGE(AE$658,AE$659))*$AG$8</f>
        <v>30.836244932930278</v>
      </c>
      <c r="AH604" s="94">
        <f>Table3.110[[#This Row],[GP 8-24h, ml]]-(AVERAGE(AF$658,AF$659))*$AG$8</f>
        <v>40.50873479879084</v>
      </c>
      <c r="AI604" s="94">
        <f>Table3.110[[#This Row],[Net gas 8-24h, ml]]+Table3.110[[#This Row],[Net gas 8h, ml]]</f>
        <v>71.344979731721111</v>
      </c>
      <c r="AJ604" s="94">
        <f>Table3.110[[#This Row],[Net gas 8h, ml]]*Table3.110[[#This Row],[CH4 8h %]]%</f>
        <v>4.0395480862138662</v>
      </c>
      <c r="AK604" s="94">
        <f>Table3.110[[#This Row],[Net gas 8-24h, ml]]*Table3.110[[#This Row],[CH4 24h, %]]%</f>
        <v>6.2788538938125802</v>
      </c>
      <c r="AL604" s="94">
        <f>Table3.110[[#This Row],[CH4 8-24h, ml]]+Table3.110[[#This Row],[CH4 8h, ml]]</f>
        <v>10.318401980026447</v>
      </c>
      <c r="AM604" s="94">
        <f>(Table3.110[[#This Row],[Net gas 24h, ml]]/Table3.110[[#This Row],[DM Incubated, mg]])*1000</f>
        <v>157.222247582227</v>
      </c>
      <c r="AN604" s="94">
        <f>'3.2 Digest'!X604</f>
        <v>29.812460465701086</v>
      </c>
      <c r="AO604" s="94">
        <f>Table3.110[[#This Row],[Digested feed, mg]]/Table3.110[[#This Row],[Net gas 24h, ml]]</f>
        <v>1.8961985930209537</v>
      </c>
      <c r="AP604" s="94">
        <f>Table3.110[[#This Row],[CH4 8h, ml]]/Table3.110[[#This Row],[Net gas 8h, ml]]%</f>
        <v>13.1</v>
      </c>
      <c r="AQ604" s="94">
        <f>Table3.110[[#This Row],[CH4 24h, ml]]/Table3.110[[#This Row],[Net gas 24h, ml]]%</f>
        <v>14.462688221128923</v>
      </c>
      <c r="AR604" s="94">
        <f>Table3.110[[#This Row],[CH4 24h, ml]]/Table3.110[[#This Row],[DM Incubated, mg]]*1000</f>
        <v>22.738563482068898</v>
      </c>
      <c r="AS604" s="94">
        <f>Table3.110[[#This Row],[CH4 24h, ml]]/Table3.110[[#This Row],[Digested feed, mg]]*1000</f>
        <v>76.272012195133541</v>
      </c>
      <c r="AT604" s="94">
        <f>Table3.110[[#This Row],[CH4 24h, ml]]/'3.2 Digest'!AA604</f>
        <v>-0.3326070809473658</v>
      </c>
      <c r="AU604" s="94">
        <f>((Table3.110[[#This Row],[CH4 24h, ml]]/28.9)*16.04)/Table3.110[[#This Row],[DM Incubated, mg]]*1000</f>
        <v>12.620296133300522</v>
      </c>
      <c r="AV604" s="94">
        <f>((Table3.110[[#This Row],[CH4 24h, ml]]/28.9)*16.04)/Table3.110[[#This Row],[Digested feed, mg]]*1000</f>
        <v>42.332286353285191</v>
      </c>
      <c r="AW604" s="303"/>
    </row>
    <row r="605" spans="1:49" s="304" customFormat="1" x14ac:dyDescent="0.35">
      <c r="A605" s="89"/>
      <c r="B605" s="90">
        <f t="shared" si="9"/>
        <v>595</v>
      </c>
      <c r="C605" s="140">
        <v>46055</v>
      </c>
      <c r="D605" s="6" t="s">
        <v>16</v>
      </c>
      <c r="E605" s="6" t="s">
        <v>263</v>
      </c>
      <c r="F605" s="133" t="s">
        <v>264</v>
      </c>
      <c r="G605" s="133" t="s">
        <v>265</v>
      </c>
      <c r="H605" s="133" t="s">
        <v>266</v>
      </c>
      <c r="I605" s="133" t="s">
        <v>22</v>
      </c>
      <c r="J605" s="135" t="s">
        <v>23</v>
      </c>
      <c r="K605" s="135" t="s">
        <v>215</v>
      </c>
      <c r="L605" s="6" t="s">
        <v>262</v>
      </c>
      <c r="M605" s="93">
        <v>28</v>
      </c>
      <c r="N605" s="93">
        <v>62</v>
      </c>
      <c r="O605" s="6">
        <v>2</v>
      </c>
      <c r="P605" s="129">
        <v>2</v>
      </c>
      <c r="Q605" s="6">
        <v>0</v>
      </c>
      <c r="R605" s="112">
        <v>0.50009999999999999</v>
      </c>
      <c r="S605" s="94">
        <f>((Table3.110[[#This Row],[Sample weight, g]]*'2.1. DM'!Q161)/100)*1000</f>
        <v>453.87500703643531</v>
      </c>
      <c r="T605" s="94">
        <f>'3.2 Digest'!W605</f>
        <v>111.27500703643528</v>
      </c>
      <c r="U605" s="117">
        <v>0.34861111111111109</v>
      </c>
      <c r="V605" s="155">
        <v>41</v>
      </c>
      <c r="W605" s="117">
        <v>0.68541666666666667</v>
      </c>
      <c r="X605" s="96">
        <v>73</v>
      </c>
      <c r="Y605" s="96">
        <v>12.9</v>
      </c>
      <c r="Z605" s="155">
        <v>40</v>
      </c>
      <c r="AA605" s="117">
        <v>0.35972222222222222</v>
      </c>
      <c r="AB605" s="155">
        <v>81.5</v>
      </c>
      <c r="AC605" s="155">
        <v>15.5</v>
      </c>
      <c r="AD605" s="96"/>
      <c r="AE605" s="94">
        <f>Table3.110[[#This Row],[Gas 8h, ml]]-Table3.110[[#This Row],[Gas 0h, ml]]</f>
        <v>32</v>
      </c>
      <c r="AF605" s="94">
        <f>Table3.110[[#This Row],[Gas 24h, ml]]-Table3.110[[#This Row],[V8 Push back, ml]]</f>
        <v>41.5</v>
      </c>
      <c r="AG605" s="94">
        <f>Table3.110[[#This Row],[GP 8h, ml]]-(AVERAGE(AE$658,AE$659))*$AG$8</f>
        <v>31.336244932930278</v>
      </c>
      <c r="AH605" s="94">
        <f>Table3.110[[#This Row],[GP 8-24h, ml]]-(AVERAGE(AF$658,AF$659))*$AG$8</f>
        <v>39.50873479879084</v>
      </c>
      <c r="AI605" s="94">
        <f>Table3.110[[#This Row],[Net gas 8-24h, ml]]+Table3.110[[#This Row],[Net gas 8h, ml]]</f>
        <v>70.844979731721111</v>
      </c>
      <c r="AJ605" s="94">
        <f>Table3.110[[#This Row],[Net gas 8h, ml]]*Table3.110[[#This Row],[CH4 8h %]]%</f>
        <v>4.0423755963480064</v>
      </c>
      <c r="AK605" s="94">
        <f>Table3.110[[#This Row],[Net gas 8-24h, ml]]*Table3.110[[#This Row],[CH4 24h, %]]%</f>
        <v>6.1238538938125799</v>
      </c>
      <c r="AL605" s="94">
        <f>Table3.110[[#This Row],[CH4 8-24h, ml]]+Table3.110[[#This Row],[CH4 8h, ml]]</f>
        <v>10.166229490160585</v>
      </c>
      <c r="AM605" s="94">
        <f>(Table3.110[[#This Row],[Net gas 24h, ml]]/Table3.110[[#This Row],[DM Incubated, mg]])*1000</f>
        <v>156.0891845406988</v>
      </c>
      <c r="AN605" s="94">
        <f>'3.2 Digest'!X605</f>
        <v>24.516663246782954</v>
      </c>
      <c r="AO605" s="94">
        <f>Table3.110[[#This Row],[Digested feed, mg]]/Table3.110[[#This Row],[Net gas 24h, ml]]</f>
        <v>1.5706830245109304</v>
      </c>
      <c r="AP605" s="94">
        <f>Table3.110[[#This Row],[CH4 8h, ml]]/Table3.110[[#This Row],[Net gas 8h, ml]]%</f>
        <v>12.9</v>
      </c>
      <c r="AQ605" s="94">
        <f>Table3.110[[#This Row],[CH4 24h, ml]]/Table3.110[[#This Row],[Net gas 24h, ml]]%</f>
        <v>14.349964568637764</v>
      </c>
      <c r="AR605" s="94">
        <f>Table3.110[[#This Row],[CH4 24h, ml]]/Table3.110[[#This Row],[DM Incubated, mg]]*1000</f>
        <v>22.398742677065894</v>
      </c>
      <c r="AS605" s="94">
        <f>Table3.110[[#This Row],[CH4 24h, ml]]/Table3.110[[#This Row],[Digested feed, mg]]*1000</f>
        <v>91.361301705708371</v>
      </c>
      <c r="AT605" s="94">
        <f>Table3.110[[#This Row],[CH4 24h, ml]]/'3.2 Digest'!AA605</f>
        <v>-0.24850995023346023</v>
      </c>
      <c r="AU605" s="94">
        <f>((Table3.110[[#This Row],[CH4 24h, ml]]/28.9)*16.04)/Table3.110[[#This Row],[DM Incubated, mg]]*1000</f>
        <v>12.431689707271174</v>
      </c>
      <c r="AV605" s="94">
        <f>((Table3.110[[#This Row],[CH4 24h, ml]]/28.9)*16.04)/Table3.110[[#This Row],[Digested feed, mg]]*1000</f>
        <v>50.707103092026379</v>
      </c>
      <c r="AW605" s="303"/>
    </row>
    <row r="606" spans="1:49" s="304" customFormat="1" x14ac:dyDescent="0.35">
      <c r="A606" s="89"/>
      <c r="B606" s="90">
        <f t="shared" si="9"/>
        <v>596</v>
      </c>
      <c r="C606" s="140">
        <v>46055</v>
      </c>
      <c r="D606" s="6" t="s">
        <v>16</v>
      </c>
      <c r="E606" s="6" t="s">
        <v>263</v>
      </c>
      <c r="F606" s="133" t="s">
        <v>264</v>
      </c>
      <c r="G606" s="133" t="s">
        <v>265</v>
      </c>
      <c r="H606" s="133" t="s">
        <v>266</v>
      </c>
      <c r="I606" s="133" t="s">
        <v>22</v>
      </c>
      <c r="J606" s="135" t="s">
        <v>23</v>
      </c>
      <c r="K606" s="135" t="s">
        <v>215</v>
      </c>
      <c r="L606" s="6" t="s">
        <v>262</v>
      </c>
      <c r="M606" s="93">
        <v>28</v>
      </c>
      <c r="N606" s="93">
        <v>62</v>
      </c>
      <c r="O606" s="6">
        <v>2</v>
      </c>
      <c r="P606" s="129">
        <v>3</v>
      </c>
      <c r="Q606" s="6">
        <v>0</v>
      </c>
      <c r="R606" s="112">
        <v>0.50039999999999996</v>
      </c>
      <c r="S606" s="94">
        <f>((Table3.110[[#This Row],[Sample weight, g]]*'2.1. DM'!Q161)/100)*1000</f>
        <v>454.14727758654715</v>
      </c>
      <c r="T606" s="94">
        <f>'3.2 Digest'!W606</f>
        <v>162.74727758654717</v>
      </c>
      <c r="U606" s="117">
        <v>0.34861111111111109</v>
      </c>
      <c r="V606" s="155">
        <v>41</v>
      </c>
      <c r="W606" s="117">
        <v>0.68541666666666667</v>
      </c>
      <c r="X606" s="96">
        <v>73</v>
      </c>
      <c r="Y606" s="96">
        <v>13.2</v>
      </c>
      <c r="Z606" s="155">
        <v>40.5</v>
      </c>
      <c r="AA606" s="117">
        <v>0.35972222222222222</v>
      </c>
      <c r="AB606" s="155">
        <v>84</v>
      </c>
      <c r="AC606" s="155">
        <v>15.6</v>
      </c>
      <c r="AD606" s="101"/>
      <c r="AE606" s="94">
        <f>Table3.110[[#This Row],[Gas 8h, ml]]-Table3.110[[#This Row],[Gas 0h, ml]]</f>
        <v>32</v>
      </c>
      <c r="AF606" s="94">
        <f>Table3.110[[#This Row],[Gas 24h, ml]]-Table3.110[[#This Row],[V8 Push back, ml]]</f>
        <v>43.5</v>
      </c>
      <c r="AG606" s="94">
        <f>Table3.110[[#This Row],[GP 8h, ml]]-(AVERAGE(AE$658,AE$659))*$AG$8</f>
        <v>31.336244932930278</v>
      </c>
      <c r="AH606" s="94">
        <f>Table3.110[[#This Row],[GP 8-24h, ml]]-(AVERAGE(AF$658,AF$659))*$AG$8</f>
        <v>41.50873479879084</v>
      </c>
      <c r="AI606" s="94">
        <f>Table3.110[[#This Row],[Net gas 8-24h, ml]]+Table3.110[[#This Row],[Net gas 8h, ml]]</f>
        <v>72.844979731721111</v>
      </c>
      <c r="AJ606" s="94">
        <f>Table3.110[[#This Row],[Net gas 8h, ml]]*Table3.110[[#This Row],[CH4 8h %]]%</f>
        <v>4.1363843311467967</v>
      </c>
      <c r="AK606" s="94">
        <f>Table3.110[[#This Row],[Net gas 8-24h, ml]]*Table3.110[[#This Row],[CH4 24h, %]]%</f>
        <v>6.4753626286113715</v>
      </c>
      <c r="AL606" s="94">
        <f>Table3.110[[#This Row],[CH4 8-24h, ml]]+Table3.110[[#This Row],[CH4 8h, ml]]</f>
        <v>10.611746959758168</v>
      </c>
      <c r="AM606" s="94">
        <f>(Table3.110[[#This Row],[Net gas 24h, ml]]/Table3.110[[#This Row],[DM Incubated, mg]])*1000</f>
        <v>160.39946362518708</v>
      </c>
      <c r="AN606" s="94">
        <f>'3.2 Digest'!X606</f>
        <v>35.835792840469537</v>
      </c>
      <c r="AO606" s="94">
        <f>Table3.110[[#This Row],[Digested feed, mg]]/Table3.110[[#This Row],[Net gas 24h, ml]]</f>
        <v>2.2341591443353392</v>
      </c>
      <c r="AP606" s="94">
        <f>Table3.110[[#This Row],[CH4 8h, ml]]/Table3.110[[#This Row],[Net gas 8h, ml]]%</f>
        <v>13.2</v>
      </c>
      <c r="AQ606" s="94">
        <f>Table3.110[[#This Row],[CH4 24h, ml]]/Table3.110[[#This Row],[Net gas 24h, ml]]%</f>
        <v>14.567574867670903</v>
      </c>
      <c r="AR606" s="94">
        <f>Table3.110[[#This Row],[CH4 24h, ml]]/Table3.110[[#This Row],[DM Incubated, mg]]*1000</f>
        <v>23.366311950941686</v>
      </c>
      <c r="AS606" s="94">
        <f>Table3.110[[#This Row],[CH4 24h, ml]]/Table3.110[[#This Row],[Digested feed, mg]]*1000</f>
        <v>65.203836998839876</v>
      </c>
      <c r="AT606" s="94">
        <f>Table3.110[[#This Row],[CH4 24h, ml]]/'3.2 Digest'!AA606</f>
        <v>-0.53652334706279659</v>
      </c>
      <c r="AU606" s="94">
        <f>((Table3.110[[#This Row],[CH4 24h, ml]]/28.9)*16.04)/Table3.110[[#This Row],[DM Incubated, mg]]*1000</f>
        <v>12.968707394225074</v>
      </c>
      <c r="AV606" s="94">
        <f>((Table3.110[[#This Row],[CH4 24h, ml]]/28.9)*16.04)/Table3.110[[#This Row],[Digested feed, mg]]*1000</f>
        <v>36.189257628421849</v>
      </c>
      <c r="AW606" s="303"/>
    </row>
    <row r="607" spans="1:49" s="304" customFormat="1" x14ac:dyDescent="0.35">
      <c r="A607" s="89"/>
      <c r="B607" s="90">
        <f t="shared" si="9"/>
        <v>597</v>
      </c>
      <c r="C607" s="140">
        <v>46055</v>
      </c>
      <c r="D607" s="6" t="s">
        <v>16</v>
      </c>
      <c r="E607" s="6" t="s">
        <v>268</v>
      </c>
      <c r="F607" s="133" t="s">
        <v>269</v>
      </c>
      <c r="G607" s="133" t="s">
        <v>270</v>
      </c>
      <c r="H607" s="133" t="s">
        <v>271</v>
      </c>
      <c r="I607" s="133" t="s">
        <v>22</v>
      </c>
      <c r="J607" s="135" t="s">
        <v>23</v>
      </c>
      <c r="K607" s="135" t="s">
        <v>215</v>
      </c>
      <c r="L607" s="6" t="s">
        <v>267</v>
      </c>
      <c r="M607" s="93">
        <v>28</v>
      </c>
      <c r="N607" s="93">
        <v>62</v>
      </c>
      <c r="O607" s="6">
        <v>2</v>
      </c>
      <c r="P607" s="129">
        <v>1</v>
      </c>
      <c r="Q607" s="6">
        <v>0</v>
      </c>
      <c r="R607" s="112">
        <v>0.50029999999999997</v>
      </c>
      <c r="S607" s="94">
        <f>((Table3.110[[#This Row],[Sample weight, g]]*'2.1. DM'!Q163)/100)*1000</f>
        <v>456.84349195241424</v>
      </c>
      <c r="T607" s="94">
        <f>'3.2 Digest'!W607</f>
        <v>238.84349195241427</v>
      </c>
      <c r="U607" s="117">
        <v>0.34861111111111109</v>
      </c>
      <c r="V607" s="155">
        <v>41</v>
      </c>
      <c r="W607" s="117">
        <v>0.68611111111111112</v>
      </c>
      <c r="X607" s="96">
        <v>86.5</v>
      </c>
      <c r="Y607" s="96">
        <v>11.9</v>
      </c>
      <c r="Z607" s="155">
        <v>40</v>
      </c>
      <c r="AA607" s="117">
        <v>0.36041666666666666</v>
      </c>
      <c r="AB607" s="155">
        <v>95</v>
      </c>
      <c r="AC607" s="155">
        <v>14.1</v>
      </c>
      <c r="AD607" s="96"/>
      <c r="AE607" s="94">
        <f>Table3.110[[#This Row],[Gas 8h, ml]]-Table3.110[[#This Row],[Gas 0h, ml]]</f>
        <v>45.5</v>
      </c>
      <c r="AF607" s="94">
        <f>Table3.110[[#This Row],[Gas 24h, ml]]-Table3.110[[#This Row],[V8 Push back, ml]]</f>
        <v>55</v>
      </c>
      <c r="AG607" s="94">
        <f>Table3.110[[#This Row],[GP 8h, ml]]-(AVERAGE(AE$658,AE$659))*$AG$8</f>
        <v>44.836244932930278</v>
      </c>
      <c r="AH607" s="94">
        <f>Table3.110[[#This Row],[GP 8-24h, ml]]-(AVERAGE(AF$658,AF$659))*$AG$8</f>
        <v>53.00873479879084</v>
      </c>
      <c r="AI607" s="94">
        <f>Table3.110[[#This Row],[Net gas 8-24h, ml]]+Table3.110[[#This Row],[Net gas 8h, ml]]</f>
        <v>97.844979731721111</v>
      </c>
      <c r="AJ607" s="94">
        <f>Table3.110[[#This Row],[Net gas 8h, ml]]*Table3.110[[#This Row],[CH4 8h %]]%</f>
        <v>5.3355131470187036</v>
      </c>
      <c r="AK607" s="94">
        <f>Table3.110[[#This Row],[Net gas 8-24h, ml]]*Table3.110[[#This Row],[CH4 24h, %]]%</f>
        <v>7.474231606629508</v>
      </c>
      <c r="AL607" s="94">
        <f>Table3.110[[#This Row],[CH4 8-24h, ml]]+Table3.110[[#This Row],[CH4 8h, ml]]</f>
        <v>12.809744753648211</v>
      </c>
      <c r="AM607" s="94">
        <f>(Table3.110[[#This Row],[Net gas 24h, ml]]/Table3.110[[#This Row],[DM Incubated, mg]])*1000</f>
        <v>214.17614884598783</v>
      </c>
      <c r="AN607" s="94">
        <f>'3.2 Digest'!X607</f>
        <v>52.281250835306345</v>
      </c>
      <c r="AO607" s="94">
        <f>Table3.110[[#This Row],[Digested feed, mg]]/Table3.110[[#This Row],[Net gas 24h, ml]]</f>
        <v>2.4410398224548029</v>
      </c>
      <c r="AP607" s="94">
        <f>Table3.110[[#This Row],[CH4 8h, ml]]/Table3.110[[#This Row],[Net gas 8h, ml]]%</f>
        <v>11.9</v>
      </c>
      <c r="AQ607" s="94">
        <f>Table3.110[[#This Row],[CH4 24h, ml]]/Table3.110[[#This Row],[Net gas 24h, ml]]%</f>
        <v>13.091877364348129</v>
      </c>
      <c r="AR607" s="94">
        <f>Table3.110[[#This Row],[CH4 24h, ml]]/Table3.110[[#This Row],[DM Incubated, mg]]*1000</f>
        <v>28.039678750600434</v>
      </c>
      <c r="AS607" s="94">
        <f>Table3.110[[#This Row],[CH4 24h, ml]]/Table3.110[[#This Row],[Digested feed, mg]]*1000</f>
        <v>53.632379299664343</v>
      </c>
      <c r="AT607" s="94">
        <f>Table3.110[[#This Row],[CH4 24h, ml]]/'3.2 Digest'!AA607</f>
        <v>0.98186503576334694</v>
      </c>
      <c r="AU607" s="94">
        <f>((Table3.110[[#This Row],[CH4 24h, ml]]/28.9)*16.04)/Table3.110[[#This Row],[DM Incubated, mg]]*1000</f>
        <v>15.56250682213256</v>
      </c>
      <c r="AV607" s="94">
        <f>((Table3.110[[#This Row],[CH4 24h, ml]]/28.9)*16.04)/Table3.110[[#This Row],[Digested feed, mg]]*1000</f>
        <v>29.766898407149345</v>
      </c>
      <c r="AW607" s="303"/>
    </row>
    <row r="608" spans="1:49" s="304" customFormat="1" x14ac:dyDescent="0.35">
      <c r="A608" s="89"/>
      <c r="B608" s="90">
        <f t="shared" si="9"/>
        <v>598</v>
      </c>
      <c r="C608" s="140">
        <v>46055</v>
      </c>
      <c r="D608" s="6" t="s">
        <v>16</v>
      </c>
      <c r="E608" s="6" t="s">
        <v>268</v>
      </c>
      <c r="F608" s="133" t="s">
        <v>269</v>
      </c>
      <c r="G608" s="133" t="s">
        <v>270</v>
      </c>
      <c r="H608" s="133" t="s">
        <v>271</v>
      </c>
      <c r="I608" s="133" t="s">
        <v>22</v>
      </c>
      <c r="J608" s="135" t="s">
        <v>23</v>
      </c>
      <c r="K608" s="135" t="s">
        <v>215</v>
      </c>
      <c r="L608" s="6" t="s">
        <v>267</v>
      </c>
      <c r="M608" s="93">
        <v>28</v>
      </c>
      <c r="N608" s="93">
        <v>62</v>
      </c>
      <c r="O608" s="6">
        <v>2</v>
      </c>
      <c r="P608" s="129">
        <v>2</v>
      </c>
      <c r="Q608" s="6">
        <v>0</v>
      </c>
      <c r="R608" s="112">
        <v>0.50009999999999999</v>
      </c>
      <c r="S608" s="94">
        <f>((Table3.110[[#This Row],[Sample weight, g]]*'2.1. DM'!Q163)/100)*1000</f>
        <v>456.66086413232534</v>
      </c>
      <c r="T608" s="94">
        <f>'3.2 Digest'!W608</f>
        <v>47.860864132325275</v>
      </c>
      <c r="U608" s="117">
        <v>0.34930555555555554</v>
      </c>
      <c r="V608" s="155">
        <v>41</v>
      </c>
      <c r="W608" s="117">
        <v>0.68611111111111112</v>
      </c>
      <c r="X608" s="96">
        <v>87.5</v>
      </c>
      <c r="Y608" s="96">
        <v>11.9</v>
      </c>
      <c r="Z608" s="155">
        <v>40.5</v>
      </c>
      <c r="AA608" s="117">
        <v>0.36041666666666666</v>
      </c>
      <c r="AB608" s="155">
        <v>95</v>
      </c>
      <c r="AC608" s="155">
        <v>14.1</v>
      </c>
      <c r="AD608" s="96"/>
      <c r="AE608" s="94">
        <f>Table3.110[[#This Row],[Gas 8h, ml]]-Table3.110[[#This Row],[Gas 0h, ml]]</f>
        <v>46.5</v>
      </c>
      <c r="AF608" s="94">
        <f>Table3.110[[#This Row],[Gas 24h, ml]]-Table3.110[[#This Row],[V8 Push back, ml]]</f>
        <v>54.5</v>
      </c>
      <c r="AG608" s="94"/>
      <c r="AH608" s="94"/>
      <c r="AI608" s="94"/>
      <c r="AJ608" s="94"/>
      <c r="AK608" s="94"/>
      <c r="AL608" s="94"/>
      <c r="AM608" s="94"/>
      <c r="AN608" s="94"/>
      <c r="AO608" s="94"/>
      <c r="AP608" s="94"/>
      <c r="AQ608" s="94"/>
      <c r="AR608" s="94"/>
      <c r="AS608" s="94"/>
      <c r="AT608" s="94"/>
      <c r="AU608" s="94"/>
      <c r="AV608" s="94"/>
      <c r="AW608" s="303" t="s">
        <v>634</v>
      </c>
    </row>
    <row r="609" spans="1:49" s="304" customFormat="1" x14ac:dyDescent="0.35">
      <c r="A609" s="89"/>
      <c r="B609" s="90">
        <f t="shared" si="9"/>
        <v>599</v>
      </c>
      <c r="C609" s="140">
        <v>46055</v>
      </c>
      <c r="D609" s="6" t="s">
        <v>16</v>
      </c>
      <c r="E609" s="6" t="s">
        <v>268</v>
      </c>
      <c r="F609" s="133" t="s">
        <v>269</v>
      </c>
      <c r="G609" s="133" t="s">
        <v>270</v>
      </c>
      <c r="H609" s="133" t="s">
        <v>271</v>
      </c>
      <c r="I609" s="133" t="s">
        <v>22</v>
      </c>
      <c r="J609" s="135" t="s">
        <v>23</v>
      </c>
      <c r="K609" s="135" t="s">
        <v>215</v>
      </c>
      <c r="L609" s="6" t="s">
        <v>267</v>
      </c>
      <c r="M609" s="93">
        <v>28</v>
      </c>
      <c r="N609" s="93">
        <v>62</v>
      </c>
      <c r="O609" s="6">
        <v>2</v>
      </c>
      <c r="P609" s="129">
        <v>3</v>
      </c>
      <c r="Q609" s="6">
        <v>0</v>
      </c>
      <c r="R609" s="112">
        <v>0.50060000000000004</v>
      </c>
      <c r="S609" s="94">
        <f>((Table3.110[[#This Row],[Sample weight, g]]*'2.1. DM'!Q163)/100)*1000</f>
        <v>457.11743368254764</v>
      </c>
      <c r="T609" s="94">
        <f>'3.2 Digest'!W609</f>
        <v>200.31743368254763</v>
      </c>
      <c r="U609" s="117">
        <v>0.34930555555555554</v>
      </c>
      <c r="V609" s="155">
        <v>40.5</v>
      </c>
      <c r="W609" s="117">
        <v>0.68680555555555556</v>
      </c>
      <c r="X609" s="96">
        <v>83.5</v>
      </c>
      <c r="Y609" s="96">
        <v>11.7</v>
      </c>
      <c r="Z609" s="155">
        <v>40</v>
      </c>
      <c r="AA609" s="117">
        <v>0.3611111111111111</v>
      </c>
      <c r="AB609" s="155">
        <v>94</v>
      </c>
      <c r="AC609" s="155">
        <v>14.1</v>
      </c>
      <c r="AD609" s="96"/>
      <c r="AE609" s="94">
        <f>Table3.110[[#This Row],[Gas 8h, ml]]-Table3.110[[#This Row],[Gas 0h, ml]]</f>
        <v>43</v>
      </c>
      <c r="AF609" s="94">
        <f>Table3.110[[#This Row],[Gas 24h, ml]]-Table3.110[[#This Row],[V8 Push back, ml]]</f>
        <v>54</v>
      </c>
      <c r="AG609" s="94">
        <f>Table3.110[[#This Row],[GP 8h, ml]]-(AVERAGE(AE$658,AE$659))*$AG$8</f>
        <v>42.336244932930278</v>
      </c>
      <c r="AH609" s="94">
        <f>Table3.110[[#This Row],[GP 8-24h, ml]]-(AVERAGE(AF$658,AF$659))*$AG$8</f>
        <v>52.00873479879084</v>
      </c>
      <c r="AI609" s="94">
        <f>Table3.110[[#This Row],[Net gas 8-24h, ml]]+Table3.110[[#This Row],[Net gas 8h, ml]]</f>
        <v>94.344979731721111</v>
      </c>
      <c r="AJ609" s="94">
        <f>Table3.110[[#This Row],[Net gas 8h, ml]]*Table3.110[[#This Row],[CH4 8h %]]%</f>
        <v>4.9533406571528422</v>
      </c>
      <c r="AK609" s="94">
        <f>Table3.110[[#This Row],[Net gas 8-24h, ml]]*Table3.110[[#This Row],[CH4 24h, %]]%</f>
        <v>7.333231606629508</v>
      </c>
      <c r="AL609" s="94">
        <f>Table3.110[[#This Row],[CH4 8-24h, ml]]+Table3.110[[#This Row],[CH4 8h, ml]]</f>
        <v>12.28657226378235</v>
      </c>
      <c r="AM609" s="94">
        <f>(Table3.110[[#This Row],[Net gas 24h, ml]]/Table3.110[[#This Row],[DM Incubated, mg]])*1000</f>
        <v>206.39112136169467</v>
      </c>
      <c r="AN609" s="94">
        <f>'3.2 Digest'!X609</f>
        <v>43.821875719940536</v>
      </c>
      <c r="AO609" s="94">
        <f>Table3.110[[#This Row],[Digested feed, mg]]/Table3.110[[#This Row],[Net gas 24h, ml]]</f>
        <v>2.1232442282797583</v>
      </c>
      <c r="AP609" s="94">
        <f>Table3.110[[#This Row],[CH4 8h, ml]]/Table3.110[[#This Row],[Net gas 8h, ml]]%</f>
        <v>11.7</v>
      </c>
      <c r="AQ609" s="94">
        <f>Table3.110[[#This Row],[CH4 24h, ml]]/Table3.110[[#This Row],[Net gas 24h, ml]]%</f>
        <v>13.023027084981504</v>
      </c>
      <c r="AR609" s="94">
        <f>Table3.110[[#This Row],[CH4 24h, ml]]/Table3.110[[#This Row],[DM Incubated, mg]]*1000</f>
        <v>26.878371635930545</v>
      </c>
      <c r="AS609" s="94">
        <f>Table3.110[[#This Row],[CH4 24h, ml]]/Table3.110[[#This Row],[Digested feed, mg]]*1000</f>
        <v>61.335511532428349</v>
      </c>
      <c r="AT609" s="94">
        <f>Table3.110[[#This Row],[CH4 24h, ml]]/'3.2 Digest'!AA609</f>
        <v>-5.187639481699744</v>
      </c>
      <c r="AU609" s="94">
        <f>((Table3.110[[#This Row],[CH4 24h, ml]]/28.9)*16.04)/Table3.110[[#This Row],[DM Incubated, mg]]*1000</f>
        <v>14.917961281672177</v>
      </c>
      <c r="AV609" s="94">
        <f>((Table3.110[[#This Row],[CH4 24h, ml]]/28.9)*16.04)/Table3.110[[#This Row],[Digested feed, mg]]*1000</f>
        <v>34.042270068517325</v>
      </c>
      <c r="AW609" s="303"/>
    </row>
    <row r="610" spans="1:49" s="304" customFormat="1" x14ac:dyDescent="0.35">
      <c r="A610" s="89"/>
      <c r="B610" s="90">
        <f t="shared" si="9"/>
        <v>600</v>
      </c>
      <c r="C610" s="140">
        <v>46055</v>
      </c>
      <c r="D610" s="6" t="s">
        <v>16</v>
      </c>
      <c r="E610" s="6" t="s">
        <v>273</v>
      </c>
      <c r="F610" s="133" t="s">
        <v>235</v>
      </c>
      <c r="G610" s="133" t="s">
        <v>274</v>
      </c>
      <c r="H610" s="133" t="s">
        <v>275</v>
      </c>
      <c r="I610" s="133" t="s">
        <v>22</v>
      </c>
      <c r="J610" s="135" t="s">
        <v>23</v>
      </c>
      <c r="K610" s="135" t="s">
        <v>215</v>
      </c>
      <c r="L610" s="6" t="s">
        <v>272</v>
      </c>
      <c r="M610" s="93">
        <v>28</v>
      </c>
      <c r="N610" s="93">
        <v>62</v>
      </c>
      <c r="O610" s="6">
        <v>2</v>
      </c>
      <c r="P610" s="129">
        <v>1</v>
      </c>
      <c r="Q610" s="6">
        <v>0</v>
      </c>
      <c r="R610" s="112">
        <v>0.50019999999999998</v>
      </c>
      <c r="S610" s="258">
        <f>((Table3.110[[#This Row],[Sample weight, g]]*'2.1. DM'!Q165)/100)*1000</f>
        <v>451.45794322967731</v>
      </c>
      <c r="T610" s="94">
        <f>'3.2 Digest'!W610</f>
        <v>170.25794322967732</v>
      </c>
      <c r="U610" s="117">
        <v>0.34930555555555554</v>
      </c>
      <c r="V610" s="155">
        <v>41.5</v>
      </c>
      <c r="W610" s="117">
        <v>0.6875</v>
      </c>
      <c r="X610" s="96">
        <v>76.5</v>
      </c>
      <c r="Y610" s="96">
        <v>12.2</v>
      </c>
      <c r="Z610" s="155">
        <v>40.5</v>
      </c>
      <c r="AA610" s="117">
        <v>0.3611111111111111</v>
      </c>
      <c r="AB610" s="155">
        <v>82.5</v>
      </c>
      <c r="AC610" s="155">
        <v>17.2</v>
      </c>
      <c r="AD610" s="96"/>
      <c r="AE610" s="94">
        <f>Table3.110[[#This Row],[Gas 8h, ml]]-Table3.110[[#This Row],[Gas 0h, ml]]</f>
        <v>35</v>
      </c>
      <c r="AF610" s="94">
        <f>Table3.110[[#This Row],[Gas 24h, ml]]-Table3.110[[#This Row],[V8 Push back, ml]]</f>
        <v>42</v>
      </c>
      <c r="AG610" s="94">
        <f>Table3.110[[#This Row],[GP 8h, ml]]-(AVERAGE(AE$658,AE$659))*$AG$8</f>
        <v>34.336244932930278</v>
      </c>
      <c r="AH610" s="94">
        <f>Table3.110[[#This Row],[GP 8-24h, ml]]-(AVERAGE(AF$658,AF$659))*$AG$8</f>
        <v>40.00873479879084</v>
      </c>
      <c r="AI610" s="94">
        <f>Table3.110[[#This Row],[Net gas 8-24h, ml]]+Table3.110[[#This Row],[Net gas 8h, ml]]</f>
        <v>74.344979731721111</v>
      </c>
      <c r="AJ610" s="94">
        <f>Table3.110[[#This Row],[Net gas 8h, ml]]*Table3.110[[#This Row],[CH4 8h %]]%</f>
        <v>4.189021881817494</v>
      </c>
      <c r="AK610" s="94">
        <f>Table3.110[[#This Row],[Net gas 8-24h, ml]]*Table3.110[[#This Row],[CH4 24h, %]]%</f>
        <v>6.8815023853920243</v>
      </c>
      <c r="AL610" s="94">
        <f>Table3.110[[#This Row],[CH4 8-24h, ml]]+Table3.110[[#This Row],[CH4 8h, ml]]</f>
        <v>11.070524267209517</v>
      </c>
      <c r="AM610" s="94">
        <f>(Table3.110[[#This Row],[Net gas 24h, ml]]/Table3.110[[#This Row],[DM Incubated, mg]])*1000</f>
        <v>164.67753164307138</v>
      </c>
      <c r="AN610" s="94">
        <f>'3.2 Digest'!X610</f>
        <v>37.712913413743905</v>
      </c>
      <c r="AO610" s="94">
        <f>Table3.110[[#This Row],[Digested feed, mg]]/Table3.110[[#This Row],[Net gas 24h, ml]]</f>
        <v>2.2901067946223757</v>
      </c>
      <c r="AP610" s="94">
        <f>Table3.110[[#This Row],[CH4 8h, ml]]/Table3.110[[#This Row],[Net gas 8h, ml]]%</f>
        <v>12.200000000000001</v>
      </c>
      <c r="AQ610" s="94">
        <f>Table3.110[[#This Row],[CH4 24h, ml]]/Table3.110[[#This Row],[Net gas 24h, ml]]%</f>
        <v>14.89074892098734</v>
      </c>
      <c r="AR610" s="94">
        <f>Table3.110[[#This Row],[CH4 24h, ml]]/Table3.110[[#This Row],[DM Incubated, mg]]*1000</f>
        <v>24.521717766249235</v>
      </c>
      <c r="AS610" s="94">
        <f>Table3.110[[#This Row],[CH4 24h, ml]]/Table3.110[[#This Row],[Digested feed, mg]]*1000</f>
        <v>65.022072140713121</v>
      </c>
      <c r="AT610" s="94">
        <f>Table3.110[[#This Row],[CH4 24h, ml]]/'3.2 Digest'!AA610</f>
        <v>-0.55669694541313985</v>
      </c>
      <c r="AU610" s="94">
        <f>((Table3.110[[#This Row],[CH4 24h, ml]]/28.9)*16.04)/Table3.110[[#This Row],[DM Incubated, mg]]*1000</f>
        <v>13.609977611440753</v>
      </c>
      <c r="AV610" s="94">
        <f>((Table3.110[[#This Row],[CH4 24h, ml]]/28.9)*16.04)/Table3.110[[#This Row],[Digested feed, mg]]*1000</f>
        <v>36.088374987440773</v>
      </c>
      <c r="AW610" s="303"/>
    </row>
    <row r="611" spans="1:49" s="304" customFormat="1" x14ac:dyDescent="0.35">
      <c r="A611" s="89"/>
      <c r="B611" s="90">
        <f t="shared" si="9"/>
        <v>601</v>
      </c>
      <c r="C611" s="140">
        <v>46055</v>
      </c>
      <c r="D611" s="6" t="s">
        <v>16</v>
      </c>
      <c r="E611" s="6" t="s">
        <v>273</v>
      </c>
      <c r="F611" s="133" t="s">
        <v>235</v>
      </c>
      <c r="G611" s="133" t="s">
        <v>274</v>
      </c>
      <c r="H611" s="133" t="s">
        <v>275</v>
      </c>
      <c r="I611" s="133" t="s">
        <v>22</v>
      </c>
      <c r="J611" s="135" t="s">
        <v>23</v>
      </c>
      <c r="K611" s="135" t="s">
        <v>215</v>
      </c>
      <c r="L611" s="6" t="s">
        <v>272</v>
      </c>
      <c r="M611" s="93">
        <v>28</v>
      </c>
      <c r="N611" s="93">
        <v>62</v>
      </c>
      <c r="O611" s="6">
        <v>2</v>
      </c>
      <c r="P611" s="129">
        <v>2</v>
      </c>
      <c r="Q611" s="6">
        <v>0</v>
      </c>
      <c r="R611" s="112">
        <v>0.50039999999999996</v>
      </c>
      <c r="S611" s="94">
        <f>((Table3.110[[#This Row],[Sample weight, g]]*'2.1. DM'!Q165)/100)*1000</f>
        <v>451.63845420257996</v>
      </c>
      <c r="T611" s="94">
        <f>'3.2 Digest'!W611</f>
        <v>160.83845420258001</v>
      </c>
      <c r="U611" s="117">
        <v>0.35</v>
      </c>
      <c r="V611" s="155">
        <v>40.5</v>
      </c>
      <c r="W611" s="117">
        <v>0.6875</v>
      </c>
      <c r="X611" s="96">
        <v>74.5</v>
      </c>
      <c r="Y611" s="96">
        <v>12.4</v>
      </c>
      <c r="Z611" s="155">
        <v>40</v>
      </c>
      <c r="AA611" s="117">
        <v>0.36180555555555555</v>
      </c>
      <c r="AB611" s="155">
        <v>82.5</v>
      </c>
      <c r="AC611" s="155">
        <v>17.3</v>
      </c>
      <c r="AD611" s="96"/>
      <c r="AE611" s="94">
        <f>Table3.110[[#This Row],[Gas 8h, ml]]-Table3.110[[#This Row],[Gas 0h, ml]]</f>
        <v>34</v>
      </c>
      <c r="AF611" s="94">
        <f>Table3.110[[#This Row],[Gas 24h, ml]]-Table3.110[[#This Row],[V8 Push back, ml]]</f>
        <v>42.5</v>
      </c>
      <c r="AG611" s="94">
        <f>Table3.110[[#This Row],[GP 8h, ml]]-(AVERAGE(AE$658,AE$659))*$AG$8</f>
        <v>33.336244932930278</v>
      </c>
      <c r="AH611" s="94">
        <f>Table3.110[[#This Row],[GP 8-24h, ml]]-(AVERAGE(AF$658,AF$659))*$AG$8</f>
        <v>40.50873479879084</v>
      </c>
      <c r="AI611" s="94">
        <f>Table3.110[[#This Row],[Net gas 8-24h, ml]]+Table3.110[[#This Row],[Net gas 8h, ml]]</f>
        <v>73.844979731721111</v>
      </c>
      <c r="AJ611" s="94">
        <f>Table3.110[[#This Row],[Net gas 8h, ml]]*Table3.110[[#This Row],[CH4 8h %]]%</f>
        <v>4.1336943716833545</v>
      </c>
      <c r="AK611" s="94">
        <f>Table3.110[[#This Row],[Net gas 8-24h, ml]]*Table3.110[[#This Row],[CH4 24h, %]]%</f>
        <v>7.0080111201908162</v>
      </c>
      <c r="AL611" s="94">
        <f>Table3.110[[#This Row],[CH4 8-24h, ml]]+Table3.110[[#This Row],[CH4 8h, ml]]</f>
        <v>11.14170549187417</v>
      </c>
      <c r="AM611" s="94">
        <f>(Table3.110[[#This Row],[Net gas 24h, ml]]/Table3.110[[#This Row],[DM Incubated, mg]])*1000</f>
        <v>163.5046330634157</v>
      </c>
      <c r="AN611" s="94">
        <f>'3.2 Digest'!X611</f>
        <v>35.612214306808518</v>
      </c>
      <c r="AO611" s="94">
        <f>Table3.110[[#This Row],[Digested feed, mg]]/Table3.110[[#This Row],[Net gas 24h, ml]]</f>
        <v>2.1780553639110782</v>
      </c>
      <c r="AP611" s="94">
        <f>Table3.110[[#This Row],[CH4 8h, ml]]/Table3.110[[#This Row],[Net gas 8h, ml]]%</f>
        <v>12.4</v>
      </c>
      <c r="AQ611" s="94">
        <f>Table3.110[[#This Row],[CH4 24h, ml]]/Table3.110[[#This Row],[Net gas 24h, ml]]%</f>
        <v>15.087966077520772</v>
      </c>
      <c r="AR611" s="94">
        <f>Table3.110[[#This Row],[CH4 24h, ml]]/Table3.110[[#This Row],[DM Incubated, mg]]*1000</f>
        <v>24.669523571782971</v>
      </c>
      <c r="AS611" s="94">
        <f>Table3.110[[#This Row],[CH4 24h, ml]]/Table3.110[[#This Row],[Digested feed, mg]]*1000</f>
        <v>69.272647185734058</v>
      </c>
      <c r="AT611" s="94">
        <f>Table3.110[[#This Row],[CH4 24h, ml]]/'3.2 Digest'!AA611</f>
        <v>-0.46560787392280267</v>
      </c>
      <c r="AU611" s="94">
        <f>((Table3.110[[#This Row],[CH4 24h, ml]]/28.9)*16.04)/Table3.110[[#This Row],[DM Incubated, mg]]*1000</f>
        <v>13.692012390705843</v>
      </c>
      <c r="AV611" s="94">
        <f>((Table3.110[[#This Row],[CH4 24h, ml]]/28.9)*16.04)/Table3.110[[#This Row],[Digested feed, mg]]*1000</f>
        <v>38.447517676788038</v>
      </c>
      <c r="AW611" s="303"/>
    </row>
    <row r="612" spans="1:49" s="304" customFormat="1" x14ac:dyDescent="0.35">
      <c r="A612" s="89"/>
      <c r="B612" s="90">
        <f t="shared" si="9"/>
        <v>602</v>
      </c>
      <c r="C612" s="140">
        <v>46055</v>
      </c>
      <c r="D612" s="6" t="s">
        <v>16</v>
      </c>
      <c r="E612" s="6" t="s">
        <v>273</v>
      </c>
      <c r="F612" s="133" t="s">
        <v>235</v>
      </c>
      <c r="G612" s="133" t="s">
        <v>274</v>
      </c>
      <c r="H612" s="133" t="s">
        <v>275</v>
      </c>
      <c r="I612" s="133" t="s">
        <v>22</v>
      </c>
      <c r="J612" s="135" t="s">
        <v>23</v>
      </c>
      <c r="K612" s="135" t="s">
        <v>215</v>
      </c>
      <c r="L612" s="6" t="s">
        <v>272</v>
      </c>
      <c r="M612" s="93">
        <v>28</v>
      </c>
      <c r="N612" s="93">
        <v>62</v>
      </c>
      <c r="O612" s="6">
        <v>2</v>
      </c>
      <c r="P612" s="129">
        <v>3</v>
      </c>
      <c r="Q612" s="6">
        <v>0</v>
      </c>
      <c r="R612" s="112">
        <v>0.50009999999999999</v>
      </c>
      <c r="S612" s="94">
        <f>((Table3.110[[#This Row],[Sample weight, g]]*'2.1. DM'!Q165)/100)*1000</f>
        <v>451.36768774322599</v>
      </c>
      <c r="T612" s="94">
        <f>'3.2 Digest'!W612</f>
        <v>186.66768774322594</v>
      </c>
      <c r="U612" s="117">
        <v>0.35</v>
      </c>
      <c r="V612" s="155">
        <v>40</v>
      </c>
      <c r="W612" s="117">
        <v>0.68819444444444444</v>
      </c>
      <c r="X612" s="96">
        <v>74</v>
      </c>
      <c r="Y612" s="96">
        <v>12.5</v>
      </c>
      <c r="Z612" s="155">
        <v>40</v>
      </c>
      <c r="AA612" s="117">
        <v>0.36249999999999999</v>
      </c>
      <c r="AB612" s="155">
        <v>81.5</v>
      </c>
      <c r="AC612" s="155">
        <v>17.3</v>
      </c>
      <c r="AD612" s="96"/>
      <c r="AE612" s="94">
        <f>Table3.110[[#This Row],[Gas 8h, ml]]-Table3.110[[#This Row],[Gas 0h, ml]]</f>
        <v>34</v>
      </c>
      <c r="AF612" s="94">
        <f>Table3.110[[#This Row],[Gas 24h, ml]]-Table3.110[[#This Row],[V8 Push back, ml]]</f>
        <v>41.5</v>
      </c>
      <c r="AG612" s="94">
        <f>Table3.110[[#This Row],[GP 8h, ml]]-(AVERAGE(AE$658,AE$659))*$AG$8</f>
        <v>33.336244932930278</v>
      </c>
      <c r="AH612" s="94">
        <f>Table3.110[[#This Row],[GP 8-24h, ml]]-(AVERAGE(AF$658,AF$659))*$AG$8</f>
        <v>39.50873479879084</v>
      </c>
      <c r="AI612" s="94">
        <f>Table3.110[[#This Row],[Net gas 8-24h, ml]]+Table3.110[[#This Row],[Net gas 8h, ml]]</f>
        <v>72.844979731721111</v>
      </c>
      <c r="AJ612" s="94">
        <f>Table3.110[[#This Row],[Net gas 8h, ml]]*Table3.110[[#This Row],[CH4 8h %]]%</f>
        <v>4.1670306166162847</v>
      </c>
      <c r="AK612" s="94">
        <f>Table3.110[[#This Row],[Net gas 8-24h, ml]]*Table3.110[[#This Row],[CH4 24h, %]]%</f>
        <v>6.8350111201908161</v>
      </c>
      <c r="AL612" s="94">
        <f>Table3.110[[#This Row],[CH4 8-24h, ml]]+Table3.110[[#This Row],[CH4 8h, ml]]</f>
        <v>11.002041736807101</v>
      </c>
      <c r="AM612" s="94">
        <f>(Table3.110[[#This Row],[Net gas 24h, ml]]/Table3.110[[#This Row],[DM Incubated, mg]])*1000</f>
        <v>161.38722755263146</v>
      </c>
      <c r="AN612" s="94">
        <f>'3.2 Digest'!X612</f>
        <v>41.356014799494787</v>
      </c>
      <c r="AO612" s="94">
        <f>Table3.110[[#This Row],[Digested feed, mg]]/Table3.110[[#This Row],[Net gas 24h, ml]]</f>
        <v>2.5625333198073434</v>
      </c>
      <c r="AP612" s="94">
        <f>Table3.110[[#This Row],[CH4 8h, ml]]/Table3.110[[#This Row],[Net gas 8h, ml]]%</f>
        <v>12.5</v>
      </c>
      <c r="AQ612" s="94">
        <f>Table3.110[[#This Row],[CH4 24h, ml]]/Table3.110[[#This Row],[Net gas 24h, ml]]%</f>
        <v>15.103363028346269</v>
      </c>
      <c r="AR612" s="94">
        <f>Table3.110[[#This Row],[CH4 24h, ml]]/Table3.110[[#This Row],[DM Incubated, mg]]*1000</f>
        <v>24.374898858657208</v>
      </c>
      <c r="AS612" s="94">
        <f>Table3.110[[#This Row],[CH4 24h, ml]]/Table3.110[[#This Row],[Digested feed, mg]]*1000</f>
        <v>58.93918690384784</v>
      </c>
      <c r="AT612" s="94">
        <f>Table3.110[[#This Row],[CH4 24h, ml]]/'3.2 Digest'!AA612</f>
        <v>-0.85458819850463352</v>
      </c>
      <c r="AU612" s="94">
        <f>((Table3.110[[#This Row],[CH4 24h, ml]]/28.9)*16.04)/Table3.110[[#This Row],[DM Incubated, mg]]*1000</f>
        <v>13.528490577607668</v>
      </c>
      <c r="AV612" s="94">
        <f>((Table3.110[[#This Row],[CH4 24h, ml]]/28.9)*16.04)/Table3.110[[#This Row],[Digested feed, mg]]*1000</f>
        <v>32.712268440751537</v>
      </c>
      <c r="AW612" s="303"/>
    </row>
    <row r="613" spans="1:49" s="304" customFormat="1" x14ac:dyDescent="0.35">
      <c r="A613" s="89"/>
      <c r="B613" s="90">
        <f t="shared" si="9"/>
        <v>603</v>
      </c>
      <c r="C613" s="140">
        <v>46055</v>
      </c>
      <c r="D613" s="6" t="s">
        <v>16</v>
      </c>
      <c r="E613" s="6" t="s">
        <v>277</v>
      </c>
      <c r="F613" s="133" t="s">
        <v>269</v>
      </c>
      <c r="G613" s="133" t="s">
        <v>270</v>
      </c>
      <c r="H613" s="133" t="s">
        <v>271</v>
      </c>
      <c r="I613" s="133" t="s">
        <v>22</v>
      </c>
      <c r="J613" s="135" t="s">
        <v>23</v>
      </c>
      <c r="K613" s="135" t="s">
        <v>215</v>
      </c>
      <c r="L613" s="6" t="s">
        <v>276</v>
      </c>
      <c r="M613" s="93">
        <v>28</v>
      </c>
      <c r="N613" s="93">
        <v>62</v>
      </c>
      <c r="O613" s="6">
        <v>2</v>
      </c>
      <c r="P613" s="129">
        <v>1</v>
      </c>
      <c r="Q613" s="6">
        <v>0</v>
      </c>
      <c r="R613" s="112">
        <v>0.50049999999999994</v>
      </c>
      <c r="S613" s="94">
        <f>((Table3.110[[#This Row],[Sample weight, g]]*'2.1. DM'!Q167)/100)*1000</f>
        <v>460.48902609739002</v>
      </c>
      <c r="T613" s="94">
        <f>'3.2 Digest'!W613</f>
        <v>39.589026097390104</v>
      </c>
      <c r="U613" s="117">
        <v>0.35069444444444442</v>
      </c>
      <c r="V613" s="155">
        <v>41</v>
      </c>
      <c r="W613" s="117">
        <v>0.68819444444444444</v>
      </c>
      <c r="X613" s="96">
        <v>78.5</v>
      </c>
      <c r="Y613" s="96">
        <v>12.5</v>
      </c>
      <c r="Z613" s="155">
        <v>40</v>
      </c>
      <c r="AA613" s="117">
        <v>0.36249999999999999</v>
      </c>
      <c r="AB613" s="155">
        <v>98</v>
      </c>
      <c r="AC613" s="155">
        <v>14.3</v>
      </c>
      <c r="AD613" s="96"/>
      <c r="AE613" s="94">
        <f>Table3.110[[#This Row],[Gas 8h, ml]]-Table3.110[[#This Row],[Gas 0h, ml]]</f>
        <v>37.5</v>
      </c>
      <c r="AF613" s="94">
        <f>Table3.110[[#This Row],[Gas 24h, ml]]-Table3.110[[#This Row],[V8 Push back, ml]]</f>
        <v>58</v>
      </c>
      <c r="AG613" s="94"/>
      <c r="AH613" s="94"/>
      <c r="AI613" s="94"/>
      <c r="AJ613" s="94"/>
      <c r="AK613" s="94"/>
      <c r="AL613" s="94"/>
      <c r="AM613" s="94"/>
      <c r="AN613" s="94"/>
      <c r="AO613" s="94"/>
      <c r="AP613" s="94"/>
      <c r="AQ613" s="94"/>
      <c r="AR613" s="94"/>
      <c r="AS613" s="94"/>
      <c r="AT613" s="94"/>
      <c r="AU613" s="94"/>
      <c r="AV613" s="94"/>
      <c r="AW613" s="303" t="s">
        <v>635</v>
      </c>
    </row>
    <row r="614" spans="1:49" s="304" customFormat="1" x14ac:dyDescent="0.35">
      <c r="A614" s="89"/>
      <c r="B614" s="90">
        <f t="shared" si="9"/>
        <v>604</v>
      </c>
      <c r="C614" s="140">
        <v>46055</v>
      </c>
      <c r="D614" s="6" t="s">
        <v>16</v>
      </c>
      <c r="E614" s="6" t="s">
        <v>277</v>
      </c>
      <c r="F614" s="133" t="s">
        <v>269</v>
      </c>
      <c r="G614" s="133" t="s">
        <v>270</v>
      </c>
      <c r="H614" s="133" t="s">
        <v>271</v>
      </c>
      <c r="I614" s="133" t="s">
        <v>22</v>
      </c>
      <c r="J614" s="135" t="s">
        <v>23</v>
      </c>
      <c r="K614" s="135" t="s">
        <v>215</v>
      </c>
      <c r="L614" s="6" t="s">
        <v>276</v>
      </c>
      <c r="M614" s="93">
        <v>28</v>
      </c>
      <c r="N614" s="93">
        <v>62</v>
      </c>
      <c r="O614" s="6">
        <v>2</v>
      </c>
      <c r="P614" s="129">
        <v>2</v>
      </c>
      <c r="Q614" s="6">
        <v>0</v>
      </c>
      <c r="R614" s="112">
        <v>0.50009999999999999</v>
      </c>
      <c r="S614" s="94">
        <f>((Table3.110[[#This Row],[Sample weight, g]]*'2.1. DM'!Q167)/100)*1000</f>
        <v>460.12100289970982</v>
      </c>
      <c r="T614" s="94">
        <f>'3.2 Digest'!W614</f>
        <v>180.42100289970989</v>
      </c>
      <c r="U614" s="117">
        <v>0.35069444444444442</v>
      </c>
      <c r="V614" s="155">
        <v>40.5</v>
      </c>
      <c r="W614" s="117">
        <v>0.68888888888888888</v>
      </c>
      <c r="X614" s="96">
        <v>78.5</v>
      </c>
      <c r="Y614" s="96">
        <v>11.9</v>
      </c>
      <c r="Z614" s="155">
        <v>40</v>
      </c>
      <c r="AA614" s="117">
        <v>0.36319444444444443</v>
      </c>
      <c r="AB614" s="155">
        <v>96</v>
      </c>
      <c r="AC614" s="155">
        <v>14.3</v>
      </c>
      <c r="AD614" s="96"/>
      <c r="AE614" s="94">
        <f>Table3.110[[#This Row],[Gas 8h, ml]]-Table3.110[[#This Row],[Gas 0h, ml]]</f>
        <v>38</v>
      </c>
      <c r="AF614" s="94">
        <f>Table3.110[[#This Row],[Gas 24h, ml]]-Table3.110[[#This Row],[V8 Push back, ml]]</f>
        <v>56</v>
      </c>
      <c r="AG614" s="94">
        <f>Table3.110[[#This Row],[GP 8h, ml]]-(AVERAGE(AE$658,AE$659))*$AG$8</f>
        <v>37.336244932930278</v>
      </c>
      <c r="AH614" s="94">
        <f>Table3.110[[#This Row],[GP 8-24h, ml]]-(AVERAGE(AF$658,AF$659))*$AG$8</f>
        <v>54.00873479879084</v>
      </c>
      <c r="AI614" s="94">
        <f>Table3.110[[#This Row],[Net gas 8-24h, ml]]+Table3.110[[#This Row],[Net gas 8h, ml]]</f>
        <v>91.344979731721111</v>
      </c>
      <c r="AJ614" s="94">
        <f>Table3.110[[#This Row],[Net gas 8h, ml]]*Table3.110[[#This Row],[CH4 8h %]]%</f>
        <v>4.4430131470187035</v>
      </c>
      <c r="AK614" s="94">
        <f>Table3.110[[#This Row],[Net gas 8-24h, ml]]*Table3.110[[#This Row],[CH4 24h, %]]%</f>
        <v>7.7232490762270913</v>
      </c>
      <c r="AL614" s="94">
        <f>Table3.110[[#This Row],[CH4 8-24h, ml]]+Table3.110[[#This Row],[CH4 8h, ml]]</f>
        <v>12.166262223245795</v>
      </c>
      <c r="AM614" s="94">
        <f>(Table3.110[[#This Row],[Net gas 24h, ml]]/Table3.110[[#This Row],[DM Incubated, mg]])*1000</f>
        <v>198.52382124714944</v>
      </c>
      <c r="AN614" s="94">
        <f>'3.2 Digest'!X614</f>
        <v>39.21164253809021</v>
      </c>
      <c r="AO614" s="94">
        <f>Table3.110[[#This Row],[Digested feed, mg]]/Table3.110[[#This Row],[Net gas 24h, ml]]</f>
        <v>1.9751605772928493</v>
      </c>
      <c r="AP614" s="94">
        <f>Table3.110[[#This Row],[CH4 8h, ml]]/Table3.110[[#This Row],[Net gas 8h, ml]]%</f>
        <v>11.9</v>
      </c>
      <c r="AQ614" s="94">
        <f>Table3.110[[#This Row],[CH4 24h, ml]]/Table3.110[[#This Row],[Net gas 24h, ml]]%</f>
        <v>13.319026682120827</v>
      </c>
      <c r="AR614" s="94">
        <f>Table3.110[[#This Row],[CH4 24h, ml]]/Table3.110[[#This Row],[DM Incubated, mg]]*1000</f>
        <v>26.441440722273683</v>
      </c>
      <c r="AS614" s="94">
        <f>Table3.110[[#This Row],[CH4 24h, ml]]/Table3.110[[#This Row],[Digested feed, mg]]*1000</f>
        <v>67.432627175942585</v>
      </c>
      <c r="AT614" s="94">
        <f>Table3.110[[#This Row],[CH4 24h, ml]]/'3.2 Digest'!AA614</f>
        <v>-0.56336524931015042</v>
      </c>
      <c r="AU614" s="94">
        <f>((Table3.110[[#This Row],[CH4 24h, ml]]/28.9)*16.04)/Table3.110[[#This Row],[DM Incubated, mg]]*1000</f>
        <v>14.675457065234252</v>
      </c>
      <c r="AV614" s="94">
        <f>((Table3.110[[#This Row],[CH4 24h, ml]]/28.9)*16.04)/Table3.110[[#This Row],[Digested feed, mg]]*1000</f>
        <v>37.42627473709755</v>
      </c>
      <c r="AW614" s="303"/>
    </row>
    <row r="615" spans="1:49" s="304" customFormat="1" x14ac:dyDescent="0.35">
      <c r="A615" s="89"/>
      <c r="B615" s="90">
        <f t="shared" si="9"/>
        <v>605</v>
      </c>
      <c r="C615" s="140">
        <v>46055</v>
      </c>
      <c r="D615" s="6" t="s">
        <v>16</v>
      </c>
      <c r="E615" s="6" t="s">
        <v>277</v>
      </c>
      <c r="F615" s="133" t="s">
        <v>269</v>
      </c>
      <c r="G615" s="133" t="s">
        <v>270</v>
      </c>
      <c r="H615" s="133" t="s">
        <v>271</v>
      </c>
      <c r="I615" s="133" t="s">
        <v>22</v>
      </c>
      <c r="J615" s="135" t="s">
        <v>23</v>
      </c>
      <c r="K615" s="135" t="s">
        <v>215</v>
      </c>
      <c r="L615" s="6" t="s">
        <v>276</v>
      </c>
      <c r="M615" s="93">
        <v>28</v>
      </c>
      <c r="N615" s="93">
        <v>62</v>
      </c>
      <c r="O615" s="6">
        <v>2</v>
      </c>
      <c r="P615" s="129">
        <v>3</v>
      </c>
      <c r="Q615" s="6">
        <v>0</v>
      </c>
      <c r="R615" s="112">
        <v>0.50009999999999999</v>
      </c>
      <c r="S615" s="94">
        <f>((Table3.110[[#This Row],[Sample weight, g]]*'2.1. DM'!Q167)/100)*1000</f>
        <v>460.12100289970982</v>
      </c>
      <c r="T615" s="94">
        <f>'3.2 Digest'!W615</f>
        <v>152.12100289970988</v>
      </c>
      <c r="U615" s="117">
        <v>0.35069444444444442</v>
      </c>
      <c r="V615" s="155">
        <v>40</v>
      </c>
      <c r="W615" s="117">
        <v>0.68888888888888888</v>
      </c>
      <c r="X615" s="96">
        <v>77</v>
      </c>
      <c r="Y615" s="96">
        <v>11.7</v>
      </c>
      <c r="Z615" s="155">
        <v>39</v>
      </c>
      <c r="AA615" s="117">
        <v>0.36388888888888887</v>
      </c>
      <c r="AB615" s="155">
        <v>98.5</v>
      </c>
      <c r="AC615" s="155">
        <v>14</v>
      </c>
      <c r="AD615" s="96"/>
      <c r="AE615" s="94">
        <f>Table3.110[[#This Row],[Gas 8h, ml]]-Table3.110[[#This Row],[Gas 0h, ml]]</f>
        <v>37</v>
      </c>
      <c r="AF615" s="94">
        <f>Table3.110[[#This Row],[Gas 24h, ml]]-Table3.110[[#This Row],[V8 Push back, ml]]</f>
        <v>59.5</v>
      </c>
      <c r="AG615" s="94">
        <f>Table3.110[[#This Row],[GP 8h, ml]]-(AVERAGE(AE$658,AE$659))*$AG$8</f>
        <v>36.336244932930278</v>
      </c>
      <c r="AH615" s="94">
        <f>Table3.110[[#This Row],[GP 8-24h, ml]]-(AVERAGE(AF$658,AF$659))*$AG$8</f>
        <v>57.50873479879084</v>
      </c>
      <c r="AI615" s="94">
        <f>Table3.110[[#This Row],[Net gas 8-24h, ml]]+Table3.110[[#This Row],[Net gas 8h, ml]]</f>
        <v>93.844979731721111</v>
      </c>
      <c r="AJ615" s="94">
        <f>Table3.110[[#This Row],[Net gas 8h, ml]]*Table3.110[[#This Row],[CH4 8h %]]%</f>
        <v>4.2513406571528423</v>
      </c>
      <c r="AK615" s="94">
        <f>Table3.110[[#This Row],[Net gas 8-24h, ml]]*Table3.110[[#This Row],[CH4 24h, %]]%</f>
        <v>8.0512228718307188</v>
      </c>
      <c r="AL615" s="94">
        <f>Table3.110[[#This Row],[CH4 8-24h, ml]]+Table3.110[[#This Row],[CH4 8h, ml]]</f>
        <v>12.302563528983562</v>
      </c>
      <c r="AM615" s="94">
        <f>(Table3.110[[#This Row],[Net gas 24h, ml]]/Table3.110[[#This Row],[DM Incubated, mg]])*1000</f>
        <v>203.95717461342667</v>
      </c>
      <c r="AN615" s="94">
        <f>'3.2 Digest'!X615</f>
        <v>33.061086527464361</v>
      </c>
      <c r="AO615" s="94">
        <f>Table3.110[[#This Row],[Digested feed, mg]]/Table3.110[[#This Row],[Net gas 24h, ml]]</f>
        <v>1.6209817865013672</v>
      </c>
      <c r="AP615" s="94">
        <f>Table3.110[[#This Row],[CH4 8h, ml]]/Table3.110[[#This Row],[Net gas 8h, ml]]%</f>
        <v>11.7</v>
      </c>
      <c r="AQ615" s="94">
        <f>Table3.110[[#This Row],[CH4 24h, ml]]/Table3.110[[#This Row],[Net gas 24h, ml]]%</f>
        <v>13.109453019387352</v>
      </c>
      <c r="AR615" s="94">
        <f>Table3.110[[#This Row],[CH4 24h, ml]]/Table3.110[[#This Row],[DM Incubated, mg]]*1000</f>
        <v>26.737669985616996</v>
      </c>
      <c r="AS615" s="94">
        <f>Table3.110[[#This Row],[CH4 24h, ml]]/Table3.110[[#This Row],[Digested feed, mg]]*1000</f>
        <v>80.873536819201604</v>
      </c>
      <c r="AT615" s="94">
        <f>Table3.110[[#This Row],[CH4 24h, ml]]/'3.2 Digest'!AA615</f>
        <v>-0.36292114171278755</v>
      </c>
      <c r="AU615" s="94">
        <f>((Table3.110[[#This Row],[CH4 24h, ml]]/28.9)*16.04)/Table3.110[[#This Row],[DM Incubated, mg]]*1000</f>
        <v>14.839869431463551</v>
      </c>
      <c r="AV615" s="94">
        <f>((Table3.110[[#This Row],[CH4 24h, ml]]/28.9)*16.04)/Table3.110[[#This Row],[Digested feed, mg]]*1000</f>
        <v>44.886212130795634</v>
      </c>
      <c r="AW615" s="303"/>
    </row>
    <row r="616" spans="1:49" s="304" customFormat="1" x14ac:dyDescent="0.35">
      <c r="A616" s="89"/>
      <c r="B616" s="90">
        <f t="shared" si="9"/>
        <v>606</v>
      </c>
      <c r="C616" s="140">
        <v>46055</v>
      </c>
      <c r="D616" s="6" t="s">
        <v>16</v>
      </c>
      <c r="E616" s="6" t="s">
        <v>279</v>
      </c>
      <c r="F616" s="133" t="s">
        <v>269</v>
      </c>
      <c r="G616" s="133" t="s">
        <v>270</v>
      </c>
      <c r="H616" s="133" t="s">
        <v>271</v>
      </c>
      <c r="I616" s="133" t="s">
        <v>22</v>
      </c>
      <c r="J616" s="135" t="s">
        <v>23</v>
      </c>
      <c r="K616" s="135" t="s">
        <v>215</v>
      </c>
      <c r="L616" s="6" t="s">
        <v>278</v>
      </c>
      <c r="M616" s="93">
        <v>28</v>
      </c>
      <c r="N616" s="93">
        <v>62</v>
      </c>
      <c r="O616" s="6">
        <v>2</v>
      </c>
      <c r="P616" s="129">
        <v>1</v>
      </c>
      <c r="Q616" s="6">
        <v>0</v>
      </c>
      <c r="R616" s="112">
        <v>0.50060000000000004</v>
      </c>
      <c r="S616" s="94">
        <f>((Table3.110[[#This Row],[Sample weight, g]]*'2.1. DM'!Q169)/100)*1000</f>
        <v>461.38973517171809</v>
      </c>
      <c r="T616" s="94">
        <f>'3.2 Digest'!W616</f>
        <v>218.38973517171809</v>
      </c>
      <c r="U616" s="117">
        <v>0.35208333333333336</v>
      </c>
      <c r="V616" s="155">
        <v>40.5</v>
      </c>
      <c r="W616" s="117">
        <v>0.68888888888888888</v>
      </c>
      <c r="X616" s="96">
        <v>79</v>
      </c>
      <c r="Y616" s="96">
        <v>12</v>
      </c>
      <c r="Z616" s="155">
        <v>40</v>
      </c>
      <c r="AA616" s="117">
        <v>0.36388888888888887</v>
      </c>
      <c r="AB616" s="155">
        <v>89</v>
      </c>
      <c r="AC616" s="155">
        <v>13.3</v>
      </c>
      <c r="AD616" s="96"/>
      <c r="AE616" s="94">
        <f>Table3.110[[#This Row],[Gas 8h, ml]]-Table3.110[[#This Row],[Gas 0h, ml]]</f>
        <v>38.5</v>
      </c>
      <c r="AF616" s="94">
        <f>Table3.110[[#This Row],[Gas 24h, ml]]-Table3.110[[#This Row],[V8 Push back, ml]]</f>
        <v>49</v>
      </c>
      <c r="AG616" s="94">
        <f>Table3.110[[#This Row],[GP 8h, ml]]-(AVERAGE(AE$658,AE$659))*$AG$8</f>
        <v>37.836244932930278</v>
      </c>
      <c r="AH616" s="94">
        <f>Table3.110[[#This Row],[GP 8-24h, ml]]-(AVERAGE(AF$658,AF$659))*$AG$8</f>
        <v>47.00873479879084</v>
      </c>
      <c r="AI616" s="94">
        <f>Table3.110[[#This Row],[Net gas 8-24h, ml]]+Table3.110[[#This Row],[Net gas 8h, ml]]</f>
        <v>84.844979731721111</v>
      </c>
      <c r="AJ616" s="94">
        <f>Table3.110[[#This Row],[Net gas 8h, ml]]*Table3.110[[#This Row],[CH4 8h %]]%</f>
        <v>4.5403493919516329</v>
      </c>
      <c r="AK616" s="94">
        <f>Table3.110[[#This Row],[Net gas 8-24h, ml]]*Table3.110[[#This Row],[CH4 24h, %]]%</f>
        <v>6.2521617282391819</v>
      </c>
      <c r="AL616" s="94">
        <f>Table3.110[[#This Row],[CH4 8-24h, ml]]+Table3.110[[#This Row],[CH4 8h, ml]]</f>
        <v>10.792511120190815</v>
      </c>
      <c r="AM616" s="94">
        <f>(Table3.110[[#This Row],[Net gas 24h, ml]]/Table3.110[[#This Row],[DM Incubated, mg]])*1000</f>
        <v>183.89004623205122</v>
      </c>
      <c r="AN616" s="94">
        <f>'3.2 Digest'!X616</f>
        <v>47.333028570832575</v>
      </c>
      <c r="AO616" s="94">
        <f>Table3.110[[#This Row],[Digested feed, mg]]/Table3.110[[#This Row],[Net gas 24h, ml]]</f>
        <v>2.5739853537859756</v>
      </c>
      <c r="AP616" s="94">
        <f>Table3.110[[#This Row],[CH4 8h, ml]]/Table3.110[[#This Row],[Net gas 8h, ml]]%</f>
        <v>11.999999999999998</v>
      </c>
      <c r="AQ616" s="94">
        <f>Table3.110[[#This Row],[CH4 24h, ml]]/Table3.110[[#This Row],[Net gas 24h, ml]]%</f>
        <v>12.720270727056114</v>
      </c>
      <c r="AR616" s="94">
        <f>Table3.110[[#This Row],[CH4 24h, ml]]/Table3.110[[#This Row],[DM Incubated, mg]]*1000</f>
        <v>23.39131172082557</v>
      </c>
      <c r="AS616" s="94">
        <f>Table3.110[[#This Row],[CH4 24h, ml]]/Table3.110[[#This Row],[Digested feed, mg]]*1000</f>
        <v>49.418582387605127</v>
      </c>
      <c r="AT616" s="94">
        <f>Table3.110[[#This Row],[CH4 24h, ml]]/'3.2 Digest'!AA616</f>
        <v>-0.91736251171419003</v>
      </c>
      <c r="AU616" s="94">
        <f>((Table3.110[[#This Row],[CH4 24h, ml]]/28.9)*16.04)/Table3.110[[#This Row],[DM Incubated, mg]]*1000</f>
        <v>12.982582699032598</v>
      </c>
      <c r="AV616" s="94">
        <f>((Table3.110[[#This Row],[CH4 24h, ml]]/28.9)*16.04)/Table3.110[[#This Row],[Digested feed, mg]]*1000</f>
        <v>27.428168217895713</v>
      </c>
      <c r="AW616" s="303"/>
    </row>
    <row r="617" spans="1:49" s="304" customFormat="1" x14ac:dyDescent="0.35">
      <c r="A617" s="89"/>
      <c r="B617" s="90">
        <f t="shared" si="9"/>
        <v>607</v>
      </c>
      <c r="C617" s="140">
        <v>46055</v>
      </c>
      <c r="D617" s="6" t="s">
        <v>16</v>
      </c>
      <c r="E617" s="6" t="s">
        <v>279</v>
      </c>
      <c r="F617" s="133" t="s">
        <v>269</v>
      </c>
      <c r="G617" s="133" t="s">
        <v>270</v>
      </c>
      <c r="H617" s="133" t="s">
        <v>271</v>
      </c>
      <c r="I617" s="133" t="s">
        <v>22</v>
      </c>
      <c r="J617" s="135" t="s">
        <v>23</v>
      </c>
      <c r="K617" s="135" t="s">
        <v>215</v>
      </c>
      <c r="L617" s="6" t="s">
        <v>278</v>
      </c>
      <c r="M617" s="93">
        <v>28</v>
      </c>
      <c r="N617" s="93">
        <v>62</v>
      </c>
      <c r="O617" s="6">
        <v>2</v>
      </c>
      <c r="P617" s="129">
        <v>2</v>
      </c>
      <c r="Q617" s="6">
        <v>0</v>
      </c>
      <c r="R617" s="112">
        <v>0.50060000000000004</v>
      </c>
      <c r="S617" s="94">
        <f>((Table3.110[[#This Row],[Sample weight, g]]*'2.1. DM'!Q169)/100)*1000</f>
        <v>461.38973517171809</v>
      </c>
      <c r="T617" s="94">
        <f>'3.2 Digest'!W617</f>
        <v>219.48973517171808</v>
      </c>
      <c r="U617" s="117">
        <v>0.35208333333333336</v>
      </c>
      <c r="V617" s="155">
        <v>41</v>
      </c>
      <c r="W617" s="117">
        <v>0.68958333333333333</v>
      </c>
      <c r="X617" s="96">
        <v>77.5</v>
      </c>
      <c r="Y617" s="96">
        <v>12.1</v>
      </c>
      <c r="Z617" s="155">
        <v>40</v>
      </c>
      <c r="AA617" s="117">
        <v>0.36458333333333331</v>
      </c>
      <c r="AB617" s="155">
        <v>86.5</v>
      </c>
      <c r="AC617" s="155">
        <v>13.2</v>
      </c>
      <c r="AD617" s="96"/>
      <c r="AE617" s="94">
        <f>Table3.110[[#This Row],[Gas 8h, ml]]-Table3.110[[#This Row],[Gas 0h, ml]]</f>
        <v>36.5</v>
      </c>
      <c r="AF617" s="94">
        <f>Table3.110[[#This Row],[Gas 24h, ml]]-Table3.110[[#This Row],[V8 Push back, ml]]</f>
        <v>46.5</v>
      </c>
      <c r="AG617" s="94">
        <f>Table3.110[[#This Row],[GP 8h, ml]]-(AVERAGE(AE$658,AE$659))*$AG$8</f>
        <v>35.836244932930278</v>
      </c>
      <c r="AH617" s="94">
        <f>Table3.110[[#This Row],[GP 8-24h, ml]]-(AVERAGE(AF$658,AF$659))*$AG$8</f>
        <v>44.50873479879084</v>
      </c>
      <c r="AI617" s="94">
        <f>Table3.110[[#This Row],[Net gas 8-24h, ml]]+Table3.110[[#This Row],[Net gas 8h, ml]]</f>
        <v>80.344979731721111</v>
      </c>
      <c r="AJ617" s="94">
        <f>Table3.110[[#This Row],[Net gas 8h, ml]]*Table3.110[[#This Row],[CH4 8h %]]%</f>
        <v>4.3361856368845633</v>
      </c>
      <c r="AK617" s="94">
        <f>Table3.110[[#This Row],[Net gas 8-24h, ml]]*Table3.110[[#This Row],[CH4 24h, %]]%</f>
        <v>5.8751529934403912</v>
      </c>
      <c r="AL617" s="94">
        <f>Table3.110[[#This Row],[CH4 8-24h, ml]]+Table3.110[[#This Row],[CH4 8h, ml]]</f>
        <v>10.211338630324954</v>
      </c>
      <c r="AM617" s="94">
        <f>(Table3.110[[#This Row],[Net gas 24h, ml]]/Table3.110[[#This Row],[DM Incubated, mg]])*1000</f>
        <v>174.13690337479801</v>
      </c>
      <c r="AN617" s="94">
        <f>'3.2 Digest'!X617</f>
        <v>47.571438729565436</v>
      </c>
      <c r="AO617" s="94">
        <f>Table3.110[[#This Row],[Digested feed, mg]]/Table3.110[[#This Row],[Net gas 24h, ml]]</f>
        <v>2.7318413160923489</v>
      </c>
      <c r="AP617" s="94">
        <f>Table3.110[[#This Row],[CH4 8h, ml]]/Table3.110[[#This Row],[Net gas 8h, ml]]%</f>
        <v>12.1</v>
      </c>
      <c r="AQ617" s="94">
        <f>Table3.110[[#This Row],[CH4 24h, ml]]/Table3.110[[#This Row],[Net gas 24h, ml]]%</f>
        <v>12.709367361123874</v>
      </c>
      <c r="AR617" s="94">
        <f>Table3.110[[#This Row],[CH4 24h, ml]]/Table3.110[[#This Row],[DM Incubated, mg]]*1000</f>
        <v>22.131698761188396</v>
      </c>
      <c r="AS617" s="94">
        <f>Table3.110[[#This Row],[CH4 24h, ml]]/Table3.110[[#This Row],[Digested feed, mg]]*1000</f>
        <v>46.523080554706119</v>
      </c>
      <c r="AT617" s="94">
        <f>Table3.110[[#This Row],[CH4 24h, ml]]/'3.2 Digest'!AA617</f>
        <v>-0.9069661412786425</v>
      </c>
      <c r="AU617" s="94">
        <f>((Table3.110[[#This Row],[CH4 24h, ml]]/28.9)*16.04)/Table3.110[[#This Row],[DM Incubated, mg]]*1000</f>
        <v>12.283475713822208</v>
      </c>
      <c r="AV617" s="94">
        <f>((Table3.110[[#This Row],[CH4 24h, ml]]/28.9)*16.04)/Table3.110[[#This Row],[Digested feed, mg]]*1000</f>
        <v>25.821114605449349</v>
      </c>
      <c r="AW617" s="303"/>
    </row>
    <row r="618" spans="1:49" s="304" customFormat="1" x14ac:dyDescent="0.35">
      <c r="A618" s="89"/>
      <c r="B618" s="90">
        <f t="shared" si="9"/>
        <v>608</v>
      </c>
      <c r="C618" s="140">
        <v>46055</v>
      </c>
      <c r="D618" s="6" t="s">
        <v>16</v>
      </c>
      <c r="E618" s="6" t="s">
        <v>279</v>
      </c>
      <c r="F618" s="133" t="s">
        <v>269</v>
      </c>
      <c r="G618" s="133" t="s">
        <v>270</v>
      </c>
      <c r="H618" s="133" t="s">
        <v>271</v>
      </c>
      <c r="I618" s="133" t="s">
        <v>22</v>
      </c>
      <c r="J618" s="135" t="s">
        <v>23</v>
      </c>
      <c r="K618" s="135" t="s">
        <v>215</v>
      </c>
      <c r="L618" s="6" t="s">
        <v>278</v>
      </c>
      <c r="M618" s="93">
        <v>28</v>
      </c>
      <c r="N618" s="93">
        <v>62</v>
      </c>
      <c r="O618" s="6">
        <v>2</v>
      </c>
      <c r="P618" s="129">
        <v>3</v>
      </c>
      <c r="Q618" s="6">
        <v>0</v>
      </c>
      <c r="R618" s="112">
        <v>0.50039999999999996</v>
      </c>
      <c r="S618" s="94">
        <f>((Table3.110[[#This Row],[Sample weight, g]]*'2.1. DM'!Q169)/100)*1000</f>
        <v>461.20540047928034</v>
      </c>
      <c r="T618" s="94">
        <f>'3.2 Digest'!W618</f>
        <v>142.90540047928033</v>
      </c>
      <c r="U618" s="117">
        <v>0.3527777777777778</v>
      </c>
      <c r="V618" s="155">
        <v>40.5</v>
      </c>
      <c r="W618" s="117">
        <v>0.69027777777777777</v>
      </c>
      <c r="X618" s="96">
        <v>76.5</v>
      </c>
      <c r="Y618" s="96">
        <v>12.1</v>
      </c>
      <c r="Z618" s="155">
        <v>39</v>
      </c>
      <c r="AA618" s="117">
        <v>0.36527777777777776</v>
      </c>
      <c r="AB618" s="155">
        <v>82</v>
      </c>
      <c r="AC618" s="155">
        <v>13.5</v>
      </c>
      <c r="AD618" s="96"/>
      <c r="AE618" s="94">
        <f>Table3.110[[#This Row],[Gas 8h, ml]]-Table3.110[[#This Row],[Gas 0h, ml]]</f>
        <v>36</v>
      </c>
      <c r="AF618" s="94">
        <f>Table3.110[[#This Row],[Gas 24h, ml]]-Table3.110[[#This Row],[V8 Push back, ml]]</f>
        <v>43</v>
      </c>
      <c r="AG618" s="94">
        <f>Table3.110[[#This Row],[GP 8h, ml]]-(AVERAGE(AE$658,AE$659))*$AG$8</f>
        <v>35.336244932930278</v>
      </c>
      <c r="AH618" s="94">
        <f>Table3.110[[#This Row],[GP 8-24h, ml]]-(AVERAGE(AF$658,AF$659))*$AG$8</f>
        <v>41.00873479879084</v>
      </c>
      <c r="AI618" s="94">
        <f>Table3.110[[#This Row],[Net gas 8-24h, ml]]+Table3.110[[#This Row],[Net gas 8h, ml]]</f>
        <v>76.344979731721111</v>
      </c>
      <c r="AJ618" s="94">
        <f>Table3.110[[#This Row],[Net gas 8h, ml]]*Table3.110[[#This Row],[CH4 8h %]]%</f>
        <v>4.275685636884563</v>
      </c>
      <c r="AK618" s="94">
        <f>Table3.110[[#This Row],[Net gas 8-24h, ml]]*Table3.110[[#This Row],[CH4 24h, %]]%</f>
        <v>5.5361791978367636</v>
      </c>
      <c r="AL618" s="94">
        <f>Table3.110[[#This Row],[CH4 8-24h, ml]]+Table3.110[[#This Row],[CH4 8h, ml]]</f>
        <v>9.8118648347213266</v>
      </c>
      <c r="AM618" s="94">
        <f>(Table3.110[[#This Row],[Net gas 24h, ml]]/Table3.110[[#This Row],[DM Incubated, mg]])*1000</f>
        <v>165.53357712720648</v>
      </c>
      <c r="AN618" s="94">
        <f>'3.2 Digest'!X618</f>
        <v>30.985196689105194</v>
      </c>
      <c r="AO618" s="94">
        <f>Table3.110[[#This Row],[Digested feed, mg]]/Table3.110[[#This Row],[Net gas 24h, ml]]</f>
        <v>1.8718375586902352</v>
      </c>
      <c r="AP618" s="94">
        <f>Table3.110[[#This Row],[CH4 8h, ml]]/Table3.110[[#This Row],[Net gas 8h, ml]]%</f>
        <v>12.099999999999998</v>
      </c>
      <c r="AQ618" s="94">
        <f>Table3.110[[#This Row],[CH4 24h, ml]]/Table3.110[[#This Row],[Net gas 24h, ml]]%</f>
        <v>12.852010530621081</v>
      </c>
      <c r="AR618" s="94">
        <f>Table3.110[[#This Row],[CH4 24h, ml]]/Table3.110[[#This Row],[DM Incubated, mg]]*1000</f>
        <v>21.274392764102348</v>
      </c>
      <c r="AS618" s="94">
        <f>Table3.110[[#This Row],[CH4 24h, ml]]/Table3.110[[#This Row],[Digested feed, mg]]*1000</f>
        <v>68.659860311884685</v>
      </c>
      <c r="AT618" s="94">
        <f>Table3.110[[#This Row],[CH4 24h, ml]]/'3.2 Digest'!AA618</f>
        <v>-0.21120544946087857</v>
      </c>
      <c r="AU618" s="94">
        <f>((Table3.110[[#This Row],[CH4 24h, ml]]/28.9)*16.04)/Table3.110[[#This Row],[DM Incubated, mg]]*1000</f>
        <v>11.807656053155764</v>
      </c>
      <c r="AV618" s="94">
        <f>((Table3.110[[#This Row],[CH4 24h, ml]]/28.9)*16.04)/Table3.110[[#This Row],[Digested feed, mg]]*1000</f>
        <v>38.107410359952603</v>
      </c>
      <c r="AW618" s="303"/>
    </row>
    <row r="619" spans="1:49" s="304" customFormat="1" x14ac:dyDescent="0.35">
      <c r="A619" s="89"/>
      <c r="B619" s="90">
        <f t="shared" si="9"/>
        <v>609</v>
      </c>
      <c r="C619" s="140">
        <v>46055</v>
      </c>
      <c r="D619" s="6" t="s">
        <v>16</v>
      </c>
      <c r="E619" s="6" t="s">
        <v>281</v>
      </c>
      <c r="F619" s="133" t="s">
        <v>269</v>
      </c>
      <c r="G619" s="133" t="s">
        <v>282</v>
      </c>
      <c r="H619" s="133" t="s">
        <v>283</v>
      </c>
      <c r="I619" s="133" t="s">
        <v>22</v>
      </c>
      <c r="J619" s="135" t="s">
        <v>23</v>
      </c>
      <c r="K619" s="135" t="s">
        <v>215</v>
      </c>
      <c r="L619" s="6" t="s">
        <v>280</v>
      </c>
      <c r="M619" s="93">
        <v>28</v>
      </c>
      <c r="N619" s="93">
        <v>62</v>
      </c>
      <c r="O619" s="6">
        <v>2</v>
      </c>
      <c r="P619" s="129">
        <v>1</v>
      </c>
      <c r="Q619" s="6">
        <v>0</v>
      </c>
      <c r="R619" s="112">
        <v>0.5</v>
      </c>
      <c r="S619" s="94">
        <f>((Table3.110[[#This Row],[Sample weight, g]]*'2.1. DM'!Q171)/100)*1000</f>
        <v>455.96321103668919</v>
      </c>
      <c r="T619" s="94">
        <f>'3.2 Digest'!W619</f>
        <v>240.0632110366891</v>
      </c>
      <c r="U619" s="117">
        <v>0.3527777777777778</v>
      </c>
      <c r="V619" s="155">
        <v>41.5</v>
      </c>
      <c r="W619" s="117">
        <v>0.69097222222222221</v>
      </c>
      <c r="X619" s="96">
        <v>82.5</v>
      </c>
      <c r="Y619" s="96">
        <v>12.5</v>
      </c>
      <c r="Z619" s="155">
        <v>40.5</v>
      </c>
      <c r="AA619" s="117">
        <v>0.36527777777777776</v>
      </c>
      <c r="AB619" s="155">
        <v>92</v>
      </c>
      <c r="AC619" s="155">
        <v>14.8</v>
      </c>
      <c r="AD619" s="96"/>
      <c r="AE619" s="94">
        <f>Table3.110[[#This Row],[Gas 8h, ml]]-Table3.110[[#This Row],[Gas 0h, ml]]</f>
        <v>41</v>
      </c>
      <c r="AF619" s="94">
        <f>Table3.110[[#This Row],[Gas 24h, ml]]-Table3.110[[#This Row],[V8 Push back, ml]]</f>
        <v>51.5</v>
      </c>
      <c r="AG619" s="94">
        <f>Table3.110[[#This Row],[GP 8h, ml]]-(AVERAGE(AE$658,AE$659))*$AG$8</f>
        <v>40.336244932930278</v>
      </c>
      <c r="AH619" s="94">
        <f>Table3.110[[#This Row],[GP 8-24h, ml]]-(AVERAGE(AF$658,AF$659))*$AG$8</f>
        <v>49.50873479879084</v>
      </c>
      <c r="AI619" s="94">
        <f>Table3.110[[#This Row],[Net gas 8-24h, ml]]+Table3.110[[#This Row],[Net gas 8h, ml]]</f>
        <v>89.844979731721111</v>
      </c>
      <c r="AJ619" s="94">
        <f>Table3.110[[#This Row],[Net gas 8h, ml]]*Table3.110[[#This Row],[CH4 8h %]]%</f>
        <v>5.0420306166162847</v>
      </c>
      <c r="AK619" s="94">
        <f>Table3.110[[#This Row],[Net gas 8-24h, ml]]*Table3.110[[#This Row],[CH4 24h, %]]%</f>
        <v>7.3272927502210452</v>
      </c>
      <c r="AL619" s="94">
        <f>Table3.110[[#This Row],[CH4 8-24h, ml]]+Table3.110[[#This Row],[CH4 8h, ml]]</f>
        <v>12.36932336683733</v>
      </c>
      <c r="AM619" s="94">
        <f>(Table3.110[[#This Row],[Net gas 24h, ml]]/Table3.110[[#This Row],[DM Incubated, mg]])*1000</f>
        <v>197.04436138048803</v>
      </c>
      <c r="AN619" s="94">
        <f>'3.2 Digest'!X619</f>
        <v>52.649688664766501</v>
      </c>
      <c r="AO619" s="94">
        <f>Table3.110[[#This Row],[Digested feed, mg]]/Table3.110[[#This Row],[Net gas 24h, ml]]</f>
        <v>2.6719713416767705</v>
      </c>
      <c r="AP619" s="94">
        <f>Table3.110[[#This Row],[CH4 8h, ml]]/Table3.110[[#This Row],[Net gas 8h, ml]]%</f>
        <v>12.5</v>
      </c>
      <c r="AQ619" s="94">
        <f>Table3.110[[#This Row],[CH4 24h, ml]]/Table3.110[[#This Row],[Net gas 24h, ml]]%</f>
        <v>13.767406263290809</v>
      </c>
      <c r="AR619" s="94">
        <f>Table3.110[[#This Row],[CH4 24h, ml]]/Table3.110[[#This Row],[DM Incubated, mg]]*1000</f>
        <v>27.127897750158684</v>
      </c>
      <c r="AS619" s="94">
        <f>Table3.110[[#This Row],[CH4 24h, ml]]/Table3.110[[#This Row],[Digested feed, mg]]*1000</f>
        <v>51.525276669513985</v>
      </c>
      <c r="AT619" s="94">
        <f>Table3.110[[#This Row],[CH4 24h, ml]]/'3.2 Digest'!AA619</f>
        <v>2.5902895577888243</v>
      </c>
      <c r="AU619" s="94">
        <f>((Table3.110[[#This Row],[CH4 24h, ml]]/28.9)*16.04)/Table3.110[[#This Row],[DM Incubated, mg]]*1000</f>
        <v>15.056452592129595</v>
      </c>
      <c r="AV619" s="94">
        <f>((Table3.110[[#This Row],[CH4 24h, ml]]/28.9)*16.04)/Table3.110[[#This Row],[Digested feed, mg]]*1000</f>
        <v>28.597419992353096</v>
      </c>
      <c r="AW619" s="303"/>
    </row>
    <row r="620" spans="1:49" s="304" customFormat="1" x14ac:dyDescent="0.35">
      <c r="A620" s="89"/>
      <c r="B620" s="90">
        <f t="shared" si="9"/>
        <v>610</v>
      </c>
      <c r="C620" s="140">
        <v>46055</v>
      </c>
      <c r="D620" s="6" t="s">
        <v>16</v>
      </c>
      <c r="E620" s="6" t="s">
        <v>281</v>
      </c>
      <c r="F620" s="133" t="s">
        <v>269</v>
      </c>
      <c r="G620" s="133" t="s">
        <v>282</v>
      </c>
      <c r="H620" s="133" t="s">
        <v>283</v>
      </c>
      <c r="I620" s="133" t="s">
        <v>22</v>
      </c>
      <c r="J620" s="135" t="s">
        <v>23</v>
      </c>
      <c r="K620" s="135" t="s">
        <v>215</v>
      </c>
      <c r="L620" s="6" t="s">
        <v>280</v>
      </c>
      <c r="M620" s="93">
        <v>28</v>
      </c>
      <c r="N620" s="93">
        <v>62</v>
      </c>
      <c r="O620" s="6">
        <v>2</v>
      </c>
      <c r="P620" s="129">
        <v>2</v>
      </c>
      <c r="Q620" s="6">
        <v>0</v>
      </c>
      <c r="R620" s="112">
        <v>0.50049999999999994</v>
      </c>
      <c r="S620" s="94">
        <f>((Table3.110[[#This Row],[Sample weight, g]]*'2.1. DM'!Q171)/100)*1000</f>
        <v>456.41917424772589</v>
      </c>
      <c r="T620" s="94">
        <f>'3.2 Digest'!W620</f>
        <v>273.01917424772591</v>
      </c>
      <c r="U620" s="117">
        <v>0.3527777777777778</v>
      </c>
      <c r="V620" s="155">
        <v>41</v>
      </c>
      <c r="W620" s="117">
        <v>0.69097222222222221</v>
      </c>
      <c r="X620" s="96">
        <v>82</v>
      </c>
      <c r="Y620" s="96">
        <v>12.7</v>
      </c>
      <c r="Z620" s="155">
        <v>40.5</v>
      </c>
      <c r="AA620" s="117">
        <v>0.3659722222222222</v>
      </c>
      <c r="AB620" s="155">
        <v>93.5</v>
      </c>
      <c r="AC620" s="155">
        <v>14.9</v>
      </c>
      <c r="AD620" s="96"/>
      <c r="AE620" s="94">
        <f>Table3.110[[#This Row],[Gas 8h, ml]]-Table3.110[[#This Row],[Gas 0h, ml]]</f>
        <v>41</v>
      </c>
      <c r="AF620" s="94">
        <f>Table3.110[[#This Row],[Gas 24h, ml]]-Table3.110[[#This Row],[V8 Push back, ml]]</f>
        <v>53</v>
      </c>
      <c r="AG620" s="94">
        <f>Table3.110[[#This Row],[GP 8h, ml]]-(AVERAGE(AE$658,AE$659))*$AG$8</f>
        <v>40.336244932930278</v>
      </c>
      <c r="AH620" s="94">
        <f>Table3.110[[#This Row],[GP 8-24h, ml]]-(AVERAGE(AF$658,AF$659))*$AG$8</f>
        <v>51.00873479879084</v>
      </c>
      <c r="AI620" s="94">
        <f>Table3.110[[#This Row],[Net gas 8-24h, ml]]+Table3.110[[#This Row],[Net gas 8h, ml]]</f>
        <v>91.344979731721111</v>
      </c>
      <c r="AJ620" s="94">
        <f>Table3.110[[#This Row],[Net gas 8h, ml]]*Table3.110[[#This Row],[CH4 8h %]]%</f>
        <v>5.1227031064821453</v>
      </c>
      <c r="AK620" s="94">
        <f>Table3.110[[#This Row],[Net gas 8-24h, ml]]*Table3.110[[#This Row],[CH4 24h, %]]%</f>
        <v>7.6003014850198349</v>
      </c>
      <c r="AL620" s="94">
        <f>Table3.110[[#This Row],[CH4 8-24h, ml]]+Table3.110[[#This Row],[CH4 8h, ml]]</f>
        <v>12.723004591501979</v>
      </c>
      <c r="AM620" s="94">
        <f>(Table3.110[[#This Row],[Net gas 24h, ml]]/Table3.110[[#This Row],[DM Incubated, mg]])*1000</f>
        <v>200.13396650628607</v>
      </c>
      <c r="AN620" s="94">
        <f>'3.2 Digest'!X620</f>
        <v>59.81763905903351</v>
      </c>
      <c r="AO620" s="94">
        <f>Table3.110[[#This Row],[Digested feed, mg]]/Table3.110[[#This Row],[Net gas 24h, ml]]</f>
        <v>2.9888799039594653</v>
      </c>
      <c r="AP620" s="94">
        <f>Table3.110[[#This Row],[CH4 8h, ml]]/Table3.110[[#This Row],[Net gas 8h, ml]]%</f>
        <v>12.700000000000001</v>
      </c>
      <c r="AQ620" s="94">
        <f>Table3.110[[#This Row],[CH4 24h, ml]]/Table3.110[[#This Row],[Net gas 24h, ml]]%</f>
        <v>13.928520898323324</v>
      </c>
      <c r="AR620" s="94">
        <f>Table3.110[[#This Row],[CH4 24h, ml]]/Table3.110[[#This Row],[DM Incubated, mg]]*1000</f>
        <v>27.875701349471456</v>
      </c>
      <c r="AS620" s="94">
        <f>Table3.110[[#This Row],[CH4 24h, ml]]/Table3.110[[#This Row],[Digested feed, mg]]*1000</f>
        <v>46.601139376231757</v>
      </c>
      <c r="AT620" s="94">
        <f>Table3.110[[#This Row],[CH4 24h, ml]]/'3.2 Digest'!AA620</f>
        <v>0.66298425234909075</v>
      </c>
      <c r="AU620" s="94">
        <f>((Table3.110[[#This Row],[CH4 24h, ml]]/28.9)*16.04)/Table3.110[[#This Row],[DM Incubated, mg]]*1000</f>
        <v>15.471496527526718</v>
      </c>
      <c r="AV620" s="94">
        <f>((Table3.110[[#This Row],[CH4 24h, ml]]/28.9)*16.04)/Table3.110[[#This Row],[Digested feed, mg]]*1000</f>
        <v>25.864438601894719</v>
      </c>
      <c r="AW620" s="303"/>
    </row>
    <row r="621" spans="1:49" s="304" customFormat="1" x14ac:dyDescent="0.35">
      <c r="A621" s="89"/>
      <c r="B621" s="90">
        <f t="shared" si="9"/>
        <v>611</v>
      </c>
      <c r="C621" s="140">
        <v>46055</v>
      </c>
      <c r="D621" s="6" t="s">
        <v>16</v>
      </c>
      <c r="E621" s="6" t="s">
        <v>281</v>
      </c>
      <c r="F621" s="133" t="s">
        <v>269</v>
      </c>
      <c r="G621" s="133" t="s">
        <v>282</v>
      </c>
      <c r="H621" s="133" t="s">
        <v>283</v>
      </c>
      <c r="I621" s="133" t="s">
        <v>22</v>
      </c>
      <c r="J621" s="135" t="s">
        <v>23</v>
      </c>
      <c r="K621" s="135" t="s">
        <v>215</v>
      </c>
      <c r="L621" s="6" t="s">
        <v>280</v>
      </c>
      <c r="M621" s="93">
        <v>28</v>
      </c>
      <c r="N621" s="93">
        <v>62</v>
      </c>
      <c r="O621" s="6">
        <v>2</v>
      </c>
      <c r="P621" s="129">
        <v>3</v>
      </c>
      <c r="Q621" s="6">
        <v>0</v>
      </c>
      <c r="R621" s="112">
        <v>0.50009999999999999</v>
      </c>
      <c r="S621" s="94">
        <f>((Table3.110[[#This Row],[Sample weight, g]]*'2.1. DM'!Q171)/100)*1000</f>
        <v>456.05440367889656</v>
      </c>
      <c r="T621" s="94">
        <f>'3.2 Digest'!W621</f>
        <v>206.75440367889661</v>
      </c>
      <c r="U621" s="117">
        <v>0.35347222222222224</v>
      </c>
      <c r="V621" s="155">
        <v>41.5</v>
      </c>
      <c r="W621" s="117">
        <v>0.69166666666666665</v>
      </c>
      <c r="X621" s="96">
        <v>83.5</v>
      </c>
      <c r="Y621" s="96">
        <v>12.7</v>
      </c>
      <c r="Z621" s="155">
        <v>40.5</v>
      </c>
      <c r="AA621" s="117">
        <v>0.36666666666666664</v>
      </c>
      <c r="AB621" s="155">
        <v>90.5</v>
      </c>
      <c r="AC621" s="155">
        <v>15.3</v>
      </c>
      <c r="AD621" s="96"/>
      <c r="AE621" s="94">
        <f>Table3.110[[#This Row],[Gas 8h, ml]]-Table3.110[[#This Row],[Gas 0h, ml]]</f>
        <v>42</v>
      </c>
      <c r="AF621" s="94">
        <f>Table3.110[[#This Row],[Gas 24h, ml]]-Table3.110[[#This Row],[V8 Push back, ml]]</f>
        <v>50</v>
      </c>
      <c r="AG621" s="94">
        <f>Table3.110[[#This Row],[GP 8h, ml]]-(AVERAGE(AE$658,AE$659))*$AG$8</f>
        <v>41.336244932930278</v>
      </c>
      <c r="AH621" s="94">
        <f>Table3.110[[#This Row],[GP 8-24h, ml]]-(AVERAGE(AF$658,AF$659))*$AG$8</f>
        <v>48.00873479879084</v>
      </c>
      <c r="AI621" s="94">
        <f>Table3.110[[#This Row],[Net gas 8-24h, ml]]+Table3.110[[#This Row],[Net gas 8h, ml]]</f>
        <v>89.344979731721111</v>
      </c>
      <c r="AJ621" s="94">
        <f>Table3.110[[#This Row],[Net gas 8h, ml]]*Table3.110[[#This Row],[CH4 8h %]]%</f>
        <v>5.2497031064821451</v>
      </c>
      <c r="AK621" s="94">
        <f>Table3.110[[#This Row],[Net gas 8-24h, ml]]*Table3.110[[#This Row],[CH4 24h, %]]%</f>
        <v>7.3453364242149988</v>
      </c>
      <c r="AL621" s="94">
        <f>Table3.110[[#This Row],[CH4 8-24h, ml]]+Table3.110[[#This Row],[CH4 8h, ml]]</f>
        <v>12.595039530697143</v>
      </c>
      <c r="AM621" s="94">
        <f>(Table3.110[[#This Row],[Net gas 24h, ml]]/Table3.110[[#This Row],[DM Incubated, mg]])*1000</f>
        <v>195.90859996306062</v>
      </c>
      <c r="AN621" s="94">
        <f>'3.2 Digest'!X621</f>
        <v>45.33546919206384</v>
      </c>
      <c r="AO621" s="94">
        <f>Table3.110[[#This Row],[Digested feed, mg]]/Table3.110[[#This Row],[Net gas 24h, ml]]</f>
        <v>2.3141132753034848</v>
      </c>
      <c r="AP621" s="94">
        <f>Table3.110[[#This Row],[CH4 8h, ml]]/Table3.110[[#This Row],[Net gas 8h, ml]]%</f>
        <v>12.7</v>
      </c>
      <c r="AQ621" s="94">
        <f>Table3.110[[#This Row],[CH4 24h, ml]]/Table3.110[[#This Row],[Net gas 24h, ml]]%</f>
        <v>14.097087008712355</v>
      </c>
      <c r="AR621" s="94">
        <f>Table3.110[[#This Row],[CH4 24h, ml]]/Table3.110[[#This Row],[DM Incubated, mg]]*1000</f>
        <v>27.617405794342876</v>
      </c>
      <c r="AS621" s="94">
        <f>Table3.110[[#This Row],[CH4 24h, ml]]/Table3.110[[#This Row],[Digested feed, mg]]*1000</f>
        <v>60.917877958517778</v>
      </c>
      <c r="AT621" s="94">
        <f>Table3.110[[#This Row],[CH4 24h, ml]]/'3.2 Digest'!AA621</f>
        <v>-1.2678550803640793</v>
      </c>
      <c r="AU621" s="94">
        <f>((Table3.110[[#This Row],[CH4 24h, ml]]/28.9)*16.04)/Table3.110[[#This Row],[DM Incubated, mg]]*1000</f>
        <v>15.328138025649125</v>
      </c>
      <c r="AV621" s="94">
        <f>((Table3.110[[#This Row],[CH4 24h, ml]]/28.9)*16.04)/Table3.110[[#This Row],[Digested feed, mg]]*1000</f>
        <v>33.810476209502603</v>
      </c>
      <c r="AW621" s="303"/>
    </row>
    <row r="622" spans="1:49" s="304" customFormat="1" x14ac:dyDescent="0.35">
      <c r="A622" s="89"/>
      <c r="B622" s="90">
        <f t="shared" si="9"/>
        <v>612</v>
      </c>
      <c r="C622" s="140">
        <v>46055</v>
      </c>
      <c r="D622" s="6" t="s">
        <v>16</v>
      </c>
      <c r="E622" s="6" t="s">
        <v>285</v>
      </c>
      <c r="F622" s="133" t="s">
        <v>269</v>
      </c>
      <c r="G622" s="133" t="s">
        <v>282</v>
      </c>
      <c r="H622" s="133" t="s">
        <v>283</v>
      </c>
      <c r="I622" s="133" t="s">
        <v>22</v>
      </c>
      <c r="J622" s="135" t="s">
        <v>23</v>
      </c>
      <c r="K622" s="135" t="s">
        <v>215</v>
      </c>
      <c r="L622" s="6" t="s">
        <v>284</v>
      </c>
      <c r="M622" s="93">
        <v>28</v>
      </c>
      <c r="N622" s="93">
        <v>62</v>
      </c>
      <c r="O622" s="6">
        <v>2</v>
      </c>
      <c r="P622" s="129">
        <v>1</v>
      </c>
      <c r="Q622" s="6">
        <v>0</v>
      </c>
      <c r="R622" s="112">
        <v>0.50060000000000004</v>
      </c>
      <c r="S622" s="94">
        <f>((Table3.110[[#This Row],[Sample weight, g]]*'2.1. DM'!Q173)/100)*1000</f>
        <v>467.59207379771863</v>
      </c>
      <c r="T622" s="94">
        <f>'3.2 Digest'!W622</f>
        <v>206.39207379771864</v>
      </c>
      <c r="U622" s="117">
        <v>0.35416666666666669</v>
      </c>
      <c r="V622" s="155">
        <v>41</v>
      </c>
      <c r="W622" s="117">
        <v>0.69166666666666665</v>
      </c>
      <c r="X622" s="96">
        <v>84.5</v>
      </c>
      <c r="Y622" s="96">
        <v>12.7</v>
      </c>
      <c r="Z622" s="155">
        <v>40</v>
      </c>
      <c r="AA622" s="117">
        <v>0.36666666666666664</v>
      </c>
      <c r="AB622" s="155">
        <v>84.5</v>
      </c>
      <c r="AC622" s="155">
        <v>16.3</v>
      </c>
      <c r="AD622" s="96"/>
      <c r="AE622" s="94">
        <f>Table3.110[[#This Row],[Gas 8h, ml]]-Table3.110[[#This Row],[Gas 0h, ml]]</f>
        <v>43.5</v>
      </c>
      <c r="AF622" s="94">
        <f>Table3.110[[#This Row],[Gas 24h, ml]]-Table3.110[[#This Row],[V8 Push back, ml]]</f>
        <v>44.5</v>
      </c>
      <c r="AG622" s="94">
        <f>Table3.110[[#This Row],[GP 8h, ml]]-(AVERAGE(AE$658,AE$659))*$AG$8</f>
        <v>42.836244932930278</v>
      </c>
      <c r="AH622" s="94">
        <f>Table3.110[[#This Row],[GP 8-24h, ml]]-(AVERAGE(AF$658,AF$659))*$AG$8</f>
        <v>42.50873479879084</v>
      </c>
      <c r="AI622" s="94">
        <f>Table3.110[[#This Row],[Net gas 8-24h, ml]]+Table3.110[[#This Row],[Net gas 8h, ml]]</f>
        <v>85.344979731721111</v>
      </c>
      <c r="AJ622" s="94">
        <f>Table3.110[[#This Row],[Net gas 8h, ml]]*Table3.110[[#This Row],[CH4 8h %]]%</f>
        <v>5.4402031064821452</v>
      </c>
      <c r="AK622" s="94">
        <f>Table3.110[[#This Row],[Net gas 8-24h, ml]]*Table3.110[[#This Row],[CH4 24h, %]]%</f>
        <v>6.9289237722029071</v>
      </c>
      <c r="AL622" s="94">
        <f>Table3.110[[#This Row],[CH4 8-24h, ml]]+Table3.110[[#This Row],[CH4 8h, ml]]</f>
        <v>12.369126878685051</v>
      </c>
      <c r="AM622" s="94">
        <f>(Table3.110[[#This Row],[Net gas 24h, ml]]/Table3.110[[#This Row],[DM Incubated, mg]])*1000</f>
        <v>182.52015916044277</v>
      </c>
      <c r="AN622" s="94">
        <f>'3.2 Digest'!X622</f>
        <v>44.139343963089566</v>
      </c>
      <c r="AO622" s="94">
        <f>Table3.110[[#This Row],[Digested feed, mg]]/Table3.110[[#This Row],[Net gas 24h, ml]]</f>
        <v>2.418327058562844</v>
      </c>
      <c r="AP622" s="94">
        <f>Table3.110[[#This Row],[CH4 8h, ml]]/Table3.110[[#This Row],[Net gas 8h, ml]]%</f>
        <v>12.7</v>
      </c>
      <c r="AQ622" s="94">
        <f>Table3.110[[#This Row],[CH4 24h, ml]]/Table3.110[[#This Row],[Net gas 24h, ml]]%</f>
        <v>14.493092525848573</v>
      </c>
      <c r="AR622" s="94">
        <f>Table3.110[[#This Row],[CH4 24h, ml]]/Table3.110[[#This Row],[DM Incubated, mg]]*1000</f>
        <v>26.452815545449052</v>
      </c>
      <c r="AS622" s="94">
        <f>Table3.110[[#This Row],[CH4 24h, ml]]/Table3.110[[#This Row],[Digested feed, mg]]*1000</f>
        <v>59.930241753410655</v>
      </c>
      <c r="AT622" s="94">
        <f>Table3.110[[#This Row],[CH4 24h, ml]]/'3.2 Digest'!AA622</f>
        <v>11.896518468075909</v>
      </c>
      <c r="AU622" s="94">
        <f>((Table3.110[[#This Row],[CH4 24h, ml]]/28.9)*16.04)/Table3.110[[#This Row],[DM Incubated, mg]]*1000</f>
        <v>14.681770288892832</v>
      </c>
      <c r="AV622" s="94">
        <f>((Table3.110[[#This Row],[CH4 24h, ml]]/28.9)*16.04)/Table3.110[[#This Row],[Digested feed, mg]]*1000</f>
        <v>33.262321028536576</v>
      </c>
      <c r="AW622" s="303"/>
    </row>
    <row r="623" spans="1:49" s="304" customFormat="1" x14ac:dyDescent="0.35">
      <c r="A623" s="89"/>
      <c r="B623" s="90">
        <f t="shared" si="9"/>
        <v>613</v>
      </c>
      <c r="C623" s="140">
        <v>46055</v>
      </c>
      <c r="D623" s="6" t="s">
        <v>16</v>
      </c>
      <c r="E623" s="6" t="s">
        <v>285</v>
      </c>
      <c r="F623" s="133" t="s">
        <v>269</v>
      </c>
      <c r="G623" s="133" t="s">
        <v>282</v>
      </c>
      <c r="H623" s="133" t="s">
        <v>283</v>
      </c>
      <c r="I623" s="133" t="s">
        <v>22</v>
      </c>
      <c r="J623" s="135" t="s">
        <v>23</v>
      </c>
      <c r="K623" s="135" t="s">
        <v>215</v>
      </c>
      <c r="L623" s="6" t="s">
        <v>284</v>
      </c>
      <c r="M623" s="93">
        <v>28</v>
      </c>
      <c r="N623" s="93">
        <v>62</v>
      </c>
      <c r="O623" s="6">
        <v>2</v>
      </c>
      <c r="P623" s="129">
        <v>2</v>
      </c>
      <c r="Q623" s="6">
        <v>0</v>
      </c>
      <c r="R623" s="112">
        <v>0.50039999999999996</v>
      </c>
      <c r="S623" s="94">
        <f>((Table3.110[[#This Row],[Sample weight, g]]*'2.1. DM'!Q173)/100)*1000</f>
        <v>467.40526114338462</v>
      </c>
      <c r="T623" s="94">
        <f>'3.2 Digest'!W623</f>
        <v>198.20526114338463</v>
      </c>
      <c r="U623" s="117">
        <v>0.35416666666666669</v>
      </c>
      <c r="V623" s="155">
        <v>41</v>
      </c>
      <c r="W623" s="117">
        <v>0.69236111111111109</v>
      </c>
      <c r="X623" s="96">
        <v>83.5</v>
      </c>
      <c r="Y623" s="96">
        <v>12.7</v>
      </c>
      <c r="Z623" s="155">
        <v>40</v>
      </c>
      <c r="AA623" s="117">
        <v>0.36736111111111114</v>
      </c>
      <c r="AB623" s="155">
        <v>84</v>
      </c>
      <c r="AC623" s="155">
        <v>16.399999999999999</v>
      </c>
      <c r="AD623" s="96"/>
      <c r="AE623" s="94">
        <f>Table3.110[[#This Row],[Gas 8h, ml]]-Table3.110[[#This Row],[Gas 0h, ml]]</f>
        <v>42.5</v>
      </c>
      <c r="AF623" s="94">
        <f>Table3.110[[#This Row],[Gas 24h, ml]]-Table3.110[[#This Row],[V8 Push back, ml]]</f>
        <v>44</v>
      </c>
      <c r="AG623" s="94">
        <f>Table3.110[[#This Row],[GP 8h, ml]]-(AVERAGE(AE$658,AE$659))*$AG$8</f>
        <v>41.836244932930278</v>
      </c>
      <c r="AH623" s="94">
        <f>Table3.110[[#This Row],[GP 8-24h, ml]]-(AVERAGE(AF$658,AF$659))*$AG$8</f>
        <v>42.00873479879084</v>
      </c>
      <c r="AI623" s="94">
        <f>Table3.110[[#This Row],[Net gas 8-24h, ml]]+Table3.110[[#This Row],[Net gas 8h, ml]]</f>
        <v>83.844979731721111</v>
      </c>
      <c r="AJ623" s="94">
        <f>Table3.110[[#This Row],[Net gas 8h, ml]]*Table3.110[[#This Row],[CH4 8h %]]%</f>
        <v>5.3132031064821454</v>
      </c>
      <c r="AK623" s="94">
        <f>Table3.110[[#This Row],[Net gas 8-24h, ml]]*Table3.110[[#This Row],[CH4 24h, %]]%</f>
        <v>6.8894325070016968</v>
      </c>
      <c r="AL623" s="94">
        <f>Table3.110[[#This Row],[CH4 8-24h, ml]]+Table3.110[[#This Row],[CH4 8h, ml]]</f>
        <v>12.202635613483842</v>
      </c>
      <c r="AM623" s="94">
        <f>(Table3.110[[#This Row],[Net gas 24h, ml]]/Table3.110[[#This Row],[DM Incubated, mg]])*1000</f>
        <v>179.38390236904121</v>
      </c>
      <c r="AN623" s="94">
        <f>'3.2 Digest'!X623</f>
        <v>42.405440764301055</v>
      </c>
      <c r="AO623" s="94">
        <f>Table3.110[[#This Row],[Digested feed, mg]]/Table3.110[[#This Row],[Net gas 24h, ml]]</f>
        <v>2.3639490614415108</v>
      </c>
      <c r="AP623" s="94">
        <f>Table3.110[[#This Row],[CH4 8h, ml]]/Table3.110[[#This Row],[Net gas 8h, ml]]%</f>
        <v>12.700000000000001</v>
      </c>
      <c r="AQ623" s="94">
        <f>Table3.110[[#This Row],[CH4 24h, ml]]/Table3.110[[#This Row],[Net gas 24h, ml]]%</f>
        <v>14.553805907674652</v>
      </c>
      <c r="AR623" s="94">
        <f>Table3.110[[#This Row],[CH4 24h, ml]]/Table3.110[[#This Row],[DM Incubated, mg]]*1000</f>
        <v>26.107184980402849</v>
      </c>
      <c r="AS623" s="94">
        <f>Table3.110[[#This Row],[CH4 24h, ml]]/Table3.110[[#This Row],[Digested feed, mg]]*1000</f>
        <v>61.565649383324264</v>
      </c>
      <c r="AT623" s="94">
        <f>Table3.110[[#This Row],[CH4 24h, ml]]/'3.2 Digest'!AA623</f>
        <v>-6.0052938090995545</v>
      </c>
      <c r="AU623" s="94">
        <f>((Table3.110[[#This Row],[CH4 24h, ml]]/28.9)*16.04)/Table3.110[[#This Row],[DM Incubated, mg]]*1000</f>
        <v>14.489939345524625</v>
      </c>
      <c r="AV623" s="94">
        <f>((Table3.110[[#This Row],[CH4 24h, ml]]/28.9)*16.04)/Table3.110[[#This Row],[Digested feed, mg]]*1000</f>
        <v>34.170000557388271</v>
      </c>
      <c r="AW623" s="303"/>
    </row>
    <row r="624" spans="1:49" s="304" customFormat="1" x14ac:dyDescent="0.35">
      <c r="A624" s="89"/>
      <c r="B624" s="90">
        <f t="shared" si="9"/>
        <v>614</v>
      </c>
      <c r="C624" s="140">
        <v>46055</v>
      </c>
      <c r="D624" s="6" t="s">
        <v>16</v>
      </c>
      <c r="E624" s="6" t="s">
        <v>285</v>
      </c>
      <c r="F624" s="133" t="s">
        <v>269</v>
      </c>
      <c r="G624" s="133" t="s">
        <v>282</v>
      </c>
      <c r="H624" s="133" t="s">
        <v>283</v>
      </c>
      <c r="I624" s="133" t="s">
        <v>22</v>
      </c>
      <c r="J624" s="135" t="s">
        <v>23</v>
      </c>
      <c r="K624" s="135" t="s">
        <v>215</v>
      </c>
      <c r="L624" s="6" t="s">
        <v>284</v>
      </c>
      <c r="M624" s="93">
        <v>28</v>
      </c>
      <c r="N624" s="93">
        <v>62</v>
      </c>
      <c r="O624" s="6">
        <v>2</v>
      </c>
      <c r="P624" s="129">
        <v>3</v>
      </c>
      <c r="Q624" s="6">
        <v>0</v>
      </c>
      <c r="R624" s="112">
        <v>0.50009999999999999</v>
      </c>
      <c r="S624" s="94">
        <f>((Table3.110[[#This Row],[Sample weight, g]]*'2.1. DM'!Q173)/100)*1000</f>
        <v>467.12504216188375</v>
      </c>
      <c r="T624" s="94">
        <f>'3.2 Digest'!W624</f>
        <v>162.52504216188379</v>
      </c>
      <c r="U624" s="117">
        <v>0.35416666666666669</v>
      </c>
      <c r="V624" s="155">
        <v>40.5</v>
      </c>
      <c r="W624" s="117">
        <v>0.69236111111111109</v>
      </c>
      <c r="X624" s="96">
        <v>83.5</v>
      </c>
      <c r="Y624" s="96">
        <v>12.6</v>
      </c>
      <c r="Z624" s="155">
        <v>40</v>
      </c>
      <c r="AA624" s="117">
        <v>0.36736111111111114</v>
      </c>
      <c r="AB624" s="155">
        <v>85</v>
      </c>
      <c r="AC624" s="155">
        <v>16.2</v>
      </c>
      <c r="AD624" s="96"/>
      <c r="AE624" s="94">
        <f>Table3.110[[#This Row],[Gas 8h, ml]]-Table3.110[[#This Row],[Gas 0h, ml]]</f>
        <v>43</v>
      </c>
      <c r="AF624" s="94">
        <f>Table3.110[[#This Row],[Gas 24h, ml]]-Table3.110[[#This Row],[V8 Push back, ml]]</f>
        <v>45</v>
      </c>
      <c r="AG624" s="94">
        <f>Table3.110[[#This Row],[GP 8h, ml]]-(AVERAGE(AE$658,AE$659))*$AG$8</f>
        <v>42.336244932930278</v>
      </c>
      <c r="AH624" s="94">
        <f>Table3.110[[#This Row],[GP 8-24h, ml]]-(AVERAGE(AF$658,AF$659))*$AG$8</f>
        <v>43.00873479879084</v>
      </c>
      <c r="AI624" s="94">
        <f>Table3.110[[#This Row],[Net gas 8-24h, ml]]+Table3.110[[#This Row],[Net gas 8h, ml]]</f>
        <v>85.344979731721111</v>
      </c>
      <c r="AJ624" s="94">
        <f>Table3.110[[#This Row],[Net gas 8h, ml]]*Table3.110[[#This Row],[CH4 8h %]]%</f>
        <v>5.3343668615492152</v>
      </c>
      <c r="AK624" s="94">
        <f>Table3.110[[#This Row],[Net gas 8-24h, ml]]*Table3.110[[#This Row],[CH4 24h, %]]%</f>
        <v>6.9674150374041162</v>
      </c>
      <c r="AL624" s="94">
        <f>Table3.110[[#This Row],[CH4 8-24h, ml]]+Table3.110[[#This Row],[CH4 8h, ml]]</f>
        <v>12.301781898953331</v>
      </c>
      <c r="AM624" s="94">
        <f>(Table3.110[[#This Row],[Net gas 24h, ml]]/Table3.110[[#This Row],[DM Incubated, mg]])*1000</f>
        <v>182.70264282287079</v>
      </c>
      <c r="AN624" s="94">
        <f>'3.2 Digest'!X624</f>
        <v>34.792620282078602</v>
      </c>
      <c r="AO624" s="94">
        <f>Table3.110[[#This Row],[Digested feed, mg]]/Table3.110[[#This Row],[Net gas 24h, ml]]</f>
        <v>1.9043304324727177</v>
      </c>
      <c r="AP624" s="94">
        <f>Table3.110[[#This Row],[CH4 8h, ml]]/Table3.110[[#This Row],[Net gas 8h, ml]]%</f>
        <v>12.6</v>
      </c>
      <c r="AQ624" s="94">
        <f>Table3.110[[#This Row],[CH4 24h, ml]]/Table3.110[[#This Row],[Net gas 24h, ml]]%</f>
        <v>14.414183397340466</v>
      </c>
      <c r="AR624" s="94">
        <f>Table3.110[[#This Row],[CH4 24h, ml]]/Table3.110[[#This Row],[DM Incubated, mg]]*1000</f>
        <v>26.335094008276496</v>
      </c>
      <c r="AS624" s="94">
        <f>Table3.110[[#This Row],[CH4 24h, ml]]/Table3.110[[#This Row],[Digested feed, mg]]*1000</f>
        <v>75.691608722673564</v>
      </c>
      <c r="AT624" s="94">
        <f>Table3.110[[#This Row],[CH4 24h, ml]]/'3.2 Digest'!AA624</f>
        <v>-0.79271635227394155</v>
      </c>
      <c r="AU624" s="94">
        <f>((Table3.110[[#This Row],[CH4 24h, ml]]/28.9)*16.04)/Table3.110[[#This Row],[DM Incubated, mg]]*1000</f>
        <v>14.616432799057266</v>
      </c>
      <c r="AV624" s="94">
        <f>((Table3.110[[#This Row],[CH4 24h, ml]]/28.9)*16.04)/Table3.110[[#This Row],[Digested feed, mg]]*1000</f>
        <v>42.010152384487334</v>
      </c>
      <c r="AW624" s="303"/>
    </row>
    <row r="625" spans="1:49" s="304" customFormat="1" x14ac:dyDescent="0.35">
      <c r="A625" s="89"/>
      <c r="B625" s="90">
        <f t="shared" si="9"/>
        <v>615</v>
      </c>
      <c r="C625" s="140">
        <v>46055</v>
      </c>
      <c r="D625" s="6" t="s">
        <v>16</v>
      </c>
      <c r="E625" s="6" t="s">
        <v>287</v>
      </c>
      <c r="F625" s="133" t="s">
        <v>235</v>
      </c>
      <c r="G625" s="133" t="s">
        <v>274</v>
      </c>
      <c r="H625" s="133" t="s">
        <v>275</v>
      </c>
      <c r="I625" s="133" t="s">
        <v>22</v>
      </c>
      <c r="J625" s="135" t="s">
        <v>23</v>
      </c>
      <c r="K625" s="135" t="s">
        <v>215</v>
      </c>
      <c r="L625" s="6" t="s">
        <v>286</v>
      </c>
      <c r="M625" s="93">
        <v>28</v>
      </c>
      <c r="N625" s="93">
        <v>62</v>
      </c>
      <c r="O625" s="6">
        <v>2</v>
      </c>
      <c r="P625" s="129">
        <v>1</v>
      </c>
      <c r="Q625" s="6">
        <v>0</v>
      </c>
      <c r="R625" s="112">
        <v>0.5</v>
      </c>
      <c r="S625" s="94">
        <f>((Table3.110[[#This Row],[Sample weight, g]]*'2.1. DM'!Q175)/100)*1000</f>
        <v>460.48091651542705</v>
      </c>
      <c r="T625" s="94">
        <f>'3.2 Digest'!W625</f>
        <v>120.28091651542712</v>
      </c>
      <c r="U625" s="117">
        <v>0.35416666666666669</v>
      </c>
      <c r="V625" s="155">
        <v>41</v>
      </c>
      <c r="W625" s="117">
        <v>0.69305555555555554</v>
      </c>
      <c r="X625" s="96">
        <v>73</v>
      </c>
      <c r="Y625" s="96">
        <v>12.2</v>
      </c>
      <c r="Z625" s="155">
        <v>40</v>
      </c>
      <c r="AA625" s="117">
        <v>0.36805555555555558</v>
      </c>
      <c r="AB625" s="155">
        <v>70.5</v>
      </c>
      <c r="AC625" s="155">
        <v>17.2</v>
      </c>
      <c r="AD625" s="96"/>
      <c r="AE625" s="94">
        <f>Table3.110[[#This Row],[Gas 8h, ml]]-Table3.110[[#This Row],[Gas 0h, ml]]</f>
        <v>32</v>
      </c>
      <c r="AF625" s="94">
        <f>Table3.110[[#This Row],[Gas 24h, ml]]-Table3.110[[#This Row],[V8 Push back, ml]]</f>
        <v>30.5</v>
      </c>
      <c r="AG625" s="94">
        <f>Table3.110[[#This Row],[GP 8h, ml]]-(AVERAGE(AE$658,AE$659))*$AG$8</f>
        <v>31.336244932930278</v>
      </c>
      <c r="AH625" s="94">
        <f>Table3.110[[#This Row],[GP 8-24h, ml]]-(AVERAGE(AF$658,AF$659))*$AG$8</f>
        <v>28.508734798790837</v>
      </c>
      <c r="AI625" s="94">
        <f>Table3.110[[#This Row],[Net gas 8-24h, ml]]+Table3.110[[#This Row],[Net gas 8h, ml]]</f>
        <v>59.844979731721111</v>
      </c>
      <c r="AJ625" s="94">
        <f>Table3.110[[#This Row],[Net gas 8h, ml]]*Table3.110[[#This Row],[CH4 8h %]]%</f>
        <v>3.8230218818174939</v>
      </c>
      <c r="AK625" s="94">
        <f>Table3.110[[#This Row],[Net gas 8-24h, ml]]*Table3.110[[#This Row],[CH4 24h, %]]%</f>
        <v>4.9035023853920237</v>
      </c>
      <c r="AL625" s="94">
        <f>Table3.110[[#This Row],[CH4 8-24h, ml]]+Table3.110[[#This Row],[CH4 8h, ml]]</f>
        <v>8.726524267209518</v>
      </c>
      <c r="AM625" s="94">
        <f>(Table3.110[[#This Row],[Net gas 24h, ml]]/Table3.110[[#This Row],[DM Incubated, mg]])*1000</f>
        <v>129.96191065762912</v>
      </c>
      <c r="AN625" s="94">
        <f>'3.2 Digest'!X625</f>
        <v>26.120716885646978</v>
      </c>
      <c r="AO625" s="94">
        <f>Table3.110[[#This Row],[Digested feed, mg]]/Table3.110[[#This Row],[Net gas 24h, ml]]</f>
        <v>2.0098747974288589</v>
      </c>
      <c r="AP625" s="94">
        <f>Table3.110[[#This Row],[CH4 8h, ml]]/Table3.110[[#This Row],[Net gas 8h, ml]]%</f>
        <v>12.2</v>
      </c>
      <c r="AQ625" s="94">
        <f>Table3.110[[#This Row],[CH4 24h, ml]]/Table3.110[[#This Row],[Net gas 24h, ml]]%</f>
        <v>14.581881899416841</v>
      </c>
      <c r="AR625" s="94">
        <f>Table3.110[[#This Row],[CH4 24h, ml]]/Table3.110[[#This Row],[DM Incubated, mg]]*1000</f>
        <v>18.95089232632111</v>
      </c>
      <c r="AS625" s="94">
        <f>Table3.110[[#This Row],[CH4 24h, ml]]/Table3.110[[#This Row],[Digested feed, mg]]*1000</f>
        <v>72.551195318587887</v>
      </c>
      <c r="AT625" s="94">
        <f>Table3.110[[#This Row],[CH4 24h, ml]]/'3.2 Digest'!AA625</f>
        <v>-0.17682631595365816</v>
      </c>
      <c r="AU625" s="94">
        <f>((Table3.110[[#This Row],[CH4 24h, ml]]/28.9)*16.04)/Table3.110[[#This Row],[DM Incubated, mg]]*1000</f>
        <v>10.518073111217667</v>
      </c>
      <c r="AV625" s="94">
        <f>((Table3.110[[#This Row],[CH4 24h, ml]]/28.9)*16.04)/Table3.110[[#This Row],[Digested feed, mg]]*1000</f>
        <v>40.267168612807957</v>
      </c>
      <c r="AW625" s="303"/>
    </row>
    <row r="626" spans="1:49" s="304" customFormat="1" x14ac:dyDescent="0.35">
      <c r="A626" s="89"/>
      <c r="B626" s="90">
        <f t="shared" si="9"/>
        <v>616</v>
      </c>
      <c r="C626" s="140">
        <v>46055</v>
      </c>
      <c r="D626" s="6" t="s">
        <v>16</v>
      </c>
      <c r="E626" s="6" t="s">
        <v>287</v>
      </c>
      <c r="F626" s="133" t="s">
        <v>235</v>
      </c>
      <c r="G626" s="133" t="s">
        <v>274</v>
      </c>
      <c r="H626" s="133" t="s">
        <v>275</v>
      </c>
      <c r="I626" s="133" t="s">
        <v>22</v>
      </c>
      <c r="J626" s="135" t="s">
        <v>23</v>
      </c>
      <c r="K626" s="135" t="s">
        <v>215</v>
      </c>
      <c r="L626" s="6" t="s">
        <v>286</v>
      </c>
      <c r="M626" s="93">
        <v>28</v>
      </c>
      <c r="N626" s="93">
        <v>62</v>
      </c>
      <c r="O626" s="6">
        <v>2</v>
      </c>
      <c r="P626" s="129">
        <v>2</v>
      </c>
      <c r="Q626" s="6">
        <v>0</v>
      </c>
      <c r="R626" s="112">
        <v>0.50049999999999994</v>
      </c>
      <c r="S626" s="94">
        <f>((Table3.110[[#This Row],[Sample weight, g]]*'2.1. DM'!Q175)/100)*1000</f>
        <v>460.94139743194239</v>
      </c>
      <c r="T626" s="94">
        <f>'3.2 Digest'!W626</f>
        <v>130.34139743194237</v>
      </c>
      <c r="U626" s="117">
        <v>0.35486111111111113</v>
      </c>
      <c r="V626" s="155">
        <v>40.5</v>
      </c>
      <c r="W626" s="117">
        <v>0.69305555555555554</v>
      </c>
      <c r="X626" s="96">
        <v>72.5</v>
      </c>
      <c r="Y626" s="96">
        <v>12.2</v>
      </c>
      <c r="Z626" s="155">
        <v>40</v>
      </c>
      <c r="AA626" s="117">
        <v>0.36805555555555558</v>
      </c>
      <c r="AB626" s="155">
        <v>78.5</v>
      </c>
      <c r="AC626" s="155">
        <v>17.100000000000001</v>
      </c>
      <c r="AD626" s="96"/>
      <c r="AE626" s="94">
        <f>Table3.110[[#This Row],[Gas 8h, ml]]-Table3.110[[#This Row],[Gas 0h, ml]]</f>
        <v>32</v>
      </c>
      <c r="AF626" s="94">
        <f>Table3.110[[#This Row],[Gas 24h, ml]]-Table3.110[[#This Row],[V8 Push back, ml]]</f>
        <v>38.5</v>
      </c>
      <c r="AG626" s="94">
        <f>Table3.110[[#This Row],[GP 8h, ml]]-(AVERAGE(AE$658,AE$659))*$AG$8</f>
        <v>31.336244932930278</v>
      </c>
      <c r="AH626" s="94">
        <f>Table3.110[[#This Row],[GP 8-24h, ml]]-(AVERAGE(AF$658,AF$659))*$AG$8</f>
        <v>36.50873479879084</v>
      </c>
      <c r="AI626" s="94">
        <f>Table3.110[[#This Row],[Net gas 8-24h, ml]]+Table3.110[[#This Row],[Net gas 8h, ml]]</f>
        <v>67.844979731721111</v>
      </c>
      <c r="AJ626" s="94">
        <f>Table3.110[[#This Row],[Net gas 8h, ml]]*Table3.110[[#This Row],[CH4 8h %]]%</f>
        <v>3.8230218818174939</v>
      </c>
      <c r="AK626" s="94">
        <f>Table3.110[[#This Row],[Net gas 8-24h, ml]]*Table3.110[[#This Row],[CH4 24h, %]]%</f>
        <v>6.2429936505932337</v>
      </c>
      <c r="AL626" s="94">
        <f>Table3.110[[#This Row],[CH4 8-24h, ml]]+Table3.110[[#This Row],[CH4 8h, ml]]</f>
        <v>10.066015532410727</v>
      </c>
      <c r="AM626" s="94">
        <f>(Table3.110[[#This Row],[Net gas 24h, ml]]/Table3.110[[#This Row],[DM Incubated, mg]])*1000</f>
        <v>147.18786403154073</v>
      </c>
      <c r="AN626" s="94">
        <f>'3.2 Digest'!X626</f>
        <v>28.277216617582535</v>
      </c>
      <c r="AO626" s="94">
        <f>Table3.110[[#This Row],[Digested feed, mg]]/Table3.110[[#This Row],[Net gas 24h, ml]]</f>
        <v>1.9211649549804624</v>
      </c>
      <c r="AP626" s="94">
        <f>Table3.110[[#This Row],[CH4 8h, ml]]/Table3.110[[#This Row],[Net gas 8h, ml]]%</f>
        <v>12.2</v>
      </c>
      <c r="AQ626" s="94">
        <f>Table3.110[[#This Row],[CH4 24h, ml]]/Table3.110[[#This Row],[Net gas 24h, ml]]%</f>
        <v>14.836787588727562</v>
      </c>
      <c r="AR626" s="94">
        <f>Table3.110[[#This Row],[CH4 24h, ml]]/Table3.110[[#This Row],[DM Incubated, mg]]*1000</f>
        <v>21.837950742744834</v>
      </c>
      <c r="AS626" s="94">
        <f>Table3.110[[#This Row],[CH4 24h, ml]]/Table3.110[[#This Row],[Digested feed, mg]]*1000</f>
        <v>77.228077423879753</v>
      </c>
      <c r="AT626" s="94">
        <f>Table3.110[[#This Row],[CH4 24h, ml]]/'3.2 Digest'!AA626</f>
        <v>-0.22373225724117149</v>
      </c>
      <c r="AU626" s="94">
        <f>((Table3.110[[#This Row],[CH4 24h, ml]]/28.9)*16.04)/Table3.110[[#This Row],[DM Incubated, mg]]*1000</f>
        <v>12.120440481440383</v>
      </c>
      <c r="AV626" s="94">
        <f>((Table3.110[[#This Row],[CH4 24h, ml]]/28.9)*16.04)/Table3.110[[#This Row],[Digested feed, mg]]*1000</f>
        <v>42.862919096160255</v>
      </c>
      <c r="AW626" s="303"/>
    </row>
    <row r="627" spans="1:49" s="304" customFormat="1" x14ac:dyDescent="0.35">
      <c r="A627" s="89"/>
      <c r="B627" s="90">
        <f t="shared" si="9"/>
        <v>617</v>
      </c>
      <c r="C627" s="140">
        <v>46055</v>
      </c>
      <c r="D627" s="6" t="s">
        <v>16</v>
      </c>
      <c r="E627" s="6" t="s">
        <v>287</v>
      </c>
      <c r="F627" s="133" t="s">
        <v>235</v>
      </c>
      <c r="G627" s="133" t="s">
        <v>274</v>
      </c>
      <c r="H627" s="133" t="s">
        <v>275</v>
      </c>
      <c r="I627" s="133" t="s">
        <v>22</v>
      </c>
      <c r="J627" s="135" t="s">
        <v>23</v>
      </c>
      <c r="K627" s="135" t="s">
        <v>215</v>
      </c>
      <c r="L627" s="6" t="s">
        <v>286</v>
      </c>
      <c r="M627" s="93">
        <v>28</v>
      </c>
      <c r="N627" s="93">
        <v>62</v>
      </c>
      <c r="O627" s="6">
        <v>2</v>
      </c>
      <c r="P627" s="129">
        <v>3</v>
      </c>
      <c r="Q627" s="6">
        <v>0</v>
      </c>
      <c r="R627" s="112">
        <v>0.50029999999999997</v>
      </c>
      <c r="S627" s="94">
        <f>((Table3.110[[#This Row],[Sample weight, g]]*'2.1. DM'!Q175)/100)*1000</f>
        <v>460.75720506533628</v>
      </c>
      <c r="T627" s="94">
        <f>'3.2 Digest'!W627</f>
        <v>15.557205065336348</v>
      </c>
      <c r="U627" s="117">
        <v>0.35486111111111113</v>
      </c>
      <c r="V627" s="155">
        <v>41.5</v>
      </c>
      <c r="W627" s="117">
        <v>0.69374999999999998</v>
      </c>
      <c r="X627" s="96">
        <v>72</v>
      </c>
      <c r="Y627" s="96">
        <v>12.2</v>
      </c>
      <c r="Z627" s="155">
        <v>40.5</v>
      </c>
      <c r="AA627" s="117">
        <v>0.36875000000000002</v>
      </c>
      <c r="AB627" s="155">
        <v>80</v>
      </c>
      <c r="AC627" s="155">
        <v>16.8</v>
      </c>
      <c r="AD627" s="96"/>
      <c r="AE627" s="94">
        <f>Table3.110[[#This Row],[Gas 8h, ml]]-Table3.110[[#This Row],[Gas 0h, ml]]</f>
        <v>30.5</v>
      </c>
      <c r="AF627" s="94">
        <f>Table3.110[[#This Row],[Gas 24h, ml]]-Table3.110[[#This Row],[V8 Push back, ml]]</f>
        <v>39.5</v>
      </c>
      <c r="AG627" s="94"/>
      <c r="AH627" s="94"/>
      <c r="AI627" s="94"/>
      <c r="AJ627" s="94"/>
      <c r="AK627" s="94"/>
      <c r="AL627" s="94"/>
      <c r="AM627" s="94"/>
      <c r="AN627" s="94"/>
      <c r="AO627" s="94"/>
      <c r="AP627" s="94"/>
      <c r="AQ627" s="94"/>
      <c r="AR627" s="94"/>
      <c r="AS627" s="94"/>
      <c r="AT627" s="94"/>
      <c r="AU627" s="94"/>
      <c r="AV627" s="94"/>
      <c r="AW627" s="303" t="s">
        <v>636</v>
      </c>
    </row>
    <row r="628" spans="1:49" s="304" customFormat="1" x14ac:dyDescent="0.35">
      <c r="A628" s="89"/>
      <c r="B628" s="90">
        <f t="shared" si="9"/>
        <v>618</v>
      </c>
      <c r="C628" s="140">
        <v>46055</v>
      </c>
      <c r="D628" s="6" t="s">
        <v>16</v>
      </c>
      <c r="E628" s="6" t="s">
        <v>289</v>
      </c>
      <c r="F628" s="133" t="s">
        <v>290</v>
      </c>
      <c r="G628" s="133" t="s">
        <v>291</v>
      </c>
      <c r="H628" s="133" t="s">
        <v>292</v>
      </c>
      <c r="I628" s="133" t="s">
        <v>22</v>
      </c>
      <c r="J628" s="135" t="s">
        <v>23</v>
      </c>
      <c r="K628" s="135" t="s">
        <v>215</v>
      </c>
      <c r="L628" s="6" t="s">
        <v>288</v>
      </c>
      <c r="M628" s="93">
        <v>28</v>
      </c>
      <c r="N628" s="93">
        <v>62</v>
      </c>
      <c r="O628" s="6">
        <v>2</v>
      </c>
      <c r="P628" s="129">
        <v>1</v>
      </c>
      <c r="Q628" s="6">
        <v>0</v>
      </c>
      <c r="R628" s="112">
        <v>0.50019999999999998</v>
      </c>
      <c r="S628" s="94">
        <f>((Table3.110[[#This Row],[Sample weight, g]]*'2.1. DM'!Q177)/100)*1000</f>
        <v>458.17512327036894</v>
      </c>
      <c r="T628" s="94">
        <f>'3.2 Digest'!W628</f>
        <v>221.27512327036894</v>
      </c>
      <c r="U628" s="117">
        <v>0.35486111111111113</v>
      </c>
      <c r="V628" s="155">
        <v>40.5</v>
      </c>
      <c r="W628" s="117">
        <v>0.69374999999999998</v>
      </c>
      <c r="X628" s="96">
        <v>72.5</v>
      </c>
      <c r="Y628" s="96">
        <v>12.2</v>
      </c>
      <c r="Z628" s="155">
        <v>40</v>
      </c>
      <c r="AA628" s="117">
        <v>0.36875000000000002</v>
      </c>
      <c r="AB628" s="155">
        <v>91</v>
      </c>
      <c r="AC628" s="155">
        <v>15.6</v>
      </c>
      <c r="AD628" s="96"/>
      <c r="AE628" s="94">
        <f>Table3.110[[#This Row],[Gas 8h, ml]]-Table3.110[[#This Row],[Gas 0h, ml]]</f>
        <v>32</v>
      </c>
      <c r="AF628" s="94">
        <f>Table3.110[[#This Row],[Gas 24h, ml]]-Table3.110[[#This Row],[V8 Push back, ml]]</f>
        <v>51</v>
      </c>
      <c r="AG628" s="94">
        <f>Table3.110[[#This Row],[GP 8h, ml]]-(AVERAGE(AE$658,AE$659))*$AG$8</f>
        <v>31.336244932930278</v>
      </c>
      <c r="AH628" s="94">
        <f>Table3.110[[#This Row],[GP 8-24h, ml]]-(AVERAGE(AF$658,AF$659))*$AG$8</f>
        <v>49.00873479879084</v>
      </c>
      <c r="AI628" s="94">
        <f>Table3.110[[#This Row],[Net gas 8-24h, ml]]+Table3.110[[#This Row],[Net gas 8h, ml]]</f>
        <v>80.344979731721111</v>
      </c>
      <c r="AJ628" s="94">
        <f>Table3.110[[#This Row],[Net gas 8h, ml]]*Table3.110[[#This Row],[CH4 8h %]]%</f>
        <v>3.8230218818174939</v>
      </c>
      <c r="AK628" s="94">
        <f>Table3.110[[#This Row],[Net gas 8-24h, ml]]*Table3.110[[#This Row],[CH4 24h, %]]%</f>
        <v>7.6453626286113714</v>
      </c>
      <c r="AL628" s="94">
        <f>Table3.110[[#This Row],[CH4 8-24h, ml]]+Table3.110[[#This Row],[CH4 8h, ml]]</f>
        <v>11.468384510428866</v>
      </c>
      <c r="AM628" s="94">
        <f>(Table3.110[[#This Row],[Net gas 24h, ml]]/Table3.110[[#This Row],[DM Incubated, mg]])*1000</f>
        <v>175.35866888239931</v>
      </c>
      <c r="AN628" s="94">
        <f>'3.2 Digest'!X628</f>
        <v>48.294879410071026</v>
      </c>
      <c r="AO628" s="94">
        <f>Table3.110[[#This Row],[Digested feed, mg]]/Table3.110[[#This Row],[Net gas 24h, ml]]</f>
        <v>2.7540628426222256</v>
      </c>
      <c r="AP628" s="94">
        <f>Table3.110[[#This Row],[CH4 8h, ml]]/Table3.110[[#This Row],[Net gas 8h, ml]]%</f>
        <v>12.2</v>
      </c>
      <c r="AQ628" s="94">
        <f>Table3.110[[#This Row],[CH4 24h, ml]]/Table3.110[[#This Row],[Net gas 24h, ml]]%</f>
        <v>14.273927940143617</v>
      </c>
      <c r="AR628" s="94">
        <f>Table3.110[[#This Row],[CH4 24h, ml]]/Table3.110[[#This Row],[DM Incubated, mg]]*1000</f>
        <v>25.030570033068724</v>
      </c>
      <c r="AS628" s="94">
        <f>Table3.110[[#This Row],[CH4 24h, ml]]/Table3.110[[#This Row],[Digested feed, mg]]*1000</f>
        <v>51.828621043930077</v>
      </c>
      <c r="AT628" s="94">
        <f>Table3.110[[#This Row],[CH4 24h, ml]]/'3.2 Digest'!AA628</f>
        <v>-0.54170091126354936</v>
      </c>
      <c r="AU628" s="94">
        <f>((Table3.110[[#This Row],[CH4 24h, ml]]/28.9)*16.04)/Table3.110[[#This Row],[DM Incubated, mg]]*1000</f>
        <v>13.892399423198004</v>
      </c>
      <c r="AV628" s="94">
        <f>((Table3.110[[#This Row],[CH4 24h, ml]]/28.9)*16.04)/Table3.110[[#This Row],[Digested feed, mg]]*1000</f>
        <v>28.765781368326589</v>
      </c>
      <c r="AW628" s="303"/>
    </row>
    <row r="629" spans="1:49" s="304" customFormat="1" x14ac:dyDescent="0.35">
      <c r="A629" s="89"/>
      <c r="B629" s="90">
        <f t="shared" si="9"/>
        <v>619</v>
      </c>
      <c r="C629" s="140">
        <v>46055</v>
      </c>
      <c r="D629" s="6" t="s">
        <v>16</v>
      </c>
      <c r="E629" s="6" t="s">
        <v>289</v>
      </c>
      <c r="F629" s="133" t="s">
        <v>290</v>
      </c>
      <c r="G629" s="133" t="s">
        <v>291</v>
      </c>
      <c r="H629" s="133" t="s">
        <v>292</v>
      </c>
      <c r="I629" s="133" t="s">
        <v>22</v>
      </c>
      <c r="J629" s="135" t="s">
        <v>23</v>
      </c>
      <c r="K629" s="135" t="s">
        <v>215</v>
      </c>
      <c r="L629" s="6" t="s">
        <v>288</v>
      </c>
      <c r="M629" s="93">
        <v>28</v>
      </c>
      <c r="N629" s="93">
        <v>62</v>
      </c>
      <c r="O629" s="6">
        <v>2</v>
      </c>
      <c r="P629" s="129">
        <v>2</v>
      </c>
      <c r="Q629" s="6">
        <v>0</v>
      </c>
      <c r="R629" s="112">
        <v>0.50009999999999999</v>
      </c>
      <c r="S629" s="94">
        <f>((Table3.110[[#This Row],[Sample weight, g]]*'2.1. DM'!Q177)/100)*1000</f>
        <v>458.08352488506898</v>
      </c>
      <c r="T629" s="94">
        <f>'3.2 Digest'!W629</f>
        <v>111.98352488506902</v>
      </c>
      <c r="U629" s="117">
        <v>0.35555555555555557</v>
      </c>
      <c r="V629" s="155">
        <v>40.5</v>
      </c>
      <c r="W629" s="117">
        <v>0.69444444444444442</v>
      </c>
      <c r="X629" s="96">
        <v>71.5</v>
      </c>
      <c r="Y629" s="96">
        <v>12.3</v>
      </c>
      <c r="Z629" s="155">
        <v>40</v>
      </c>
      <c r="AA629" s="117">
        <v>0.36875000000000002</v>
      </c>
      <c r="AB629" s="155">
        <v>88.5</v>
      </c>
      <c r="AC629" s="155">
        <v>15.2</v>
      </c>
      <c r="AD629" s="96"/>
      <c r="AE629" s="94">
        <f>Table3.110[[#This Row],[Gas 8h, ml]]-Table3.110[[#This Row],[Gas 0h, ml]]</f>
        <v>31</v>
      </c>
      <c r="AF629" s="94">
        <f>Table3.110[[#This Row],[Gas 24h, ml]]-Table3.110[[#This Row],[V8 Push back, ml]]</f>
        <v>48.5</v>
      </c>
      <c r="AG629" s="94"/>
      <c r="AH629" s="94"/>
      <c r="AI629" s="94"/>
      <c r="AJ629" s="94"/>
      <c r="AK629" s="94"/>
      <c r="AL629" s="94"/>
      <c r="AM629" s="94"/>
      <c r="AN629" s="94"/>
      <c r="AO629" s="94"/>
      <c r="AP629" s="94"/>
      <c r="AQ629" s="94"/>
      <c r="AR629" s="94"/>
      <c r="AS629" s="94"/>
      <c r="AT629" s="94"/>
      <c r="AU629" s="94"/>
      <c r="AV629" s="94"/>
      <c r="AW629" s="303" t="s">
        <v>637</v>
      </c>
    </row>
    <row r="630" spans="1:49" s="304" customFormat="1" x14ac:dyDescent="0.35">
      <c r="A630" s="89"/>
      <c r="B630" s="90">
        <f t="shared" si="9"/>
        <v>620</v>
      </c>
      <c r="C630" s="140">
        <v>46055</v>
      </c>
      <c r="D630" s="6" t="s">
        <v>16</v>
      </c>
      <c r="E630" s="6" t="s">
        <v>289</v>
      </c>
      <c r="F630" s="133" t="s">
        <v>290</v>
      </c>
      <c r="G630" s="133" t="s">
        <v>291</v>
      </c>
      <c r="H630" s="133" t="s">
        <v>292</v>
      </c>
      <c r="I630" s="133" t="s">
        <v>22</v>
      </c>
      <c r="J630" s="135" t="s">
        <v>23</v>
      </c>
      <c r="K630" s="135" t="s">
        <v>215</v>
      </c>
      <c r="L630" s="6" t="s">
        <v>288</v>
      </c>
      <c r="M630" s="93">
        <v>28</v>
      </c>
      <c r="N630" s="93">
        <v>62</v>
      </c>
      <c r="O630" s="6">
        <v>2</v>
      </c>
      <c r="P630" s="129">
        <v>3</v>
      </c>
      <c r="Q630" s="6">
        <v>0</v>
      </c>
      <c r="R630" s="112">
        <v>0.50019999999999998</v>
      </c>
      <c r="S630" s="94">
        <f>((Table3.110[[#This Row],[Sample weight, g]]*'2.1. DM'!Q177)/100)*1000</f>
        <v>458.17512327036894</v>
      </c>
      <c r="T630" s="94">
        <f>'3.2 Digest'!W630</f>
        <v>183.77512327036897</v>
      </c>
      <c r="U630" s="117">
        <v>0.35555555555555557</v>
      </c>
      <c r="V630" s="155">
        <v>40.5</v>
      </c>
      <c r="W630" s="117">
        <v>0.69444444444444442</v>
      </c>
      <c r="X630" s="96">
        <v>72.5</v>
      </c>
      <c r="Y630" s="96">
        <v>12.4</v>
      </c>
      <c r="Z630" s="155">
        <v>40.5</v>
      </c>
      <c r="AA630" s="117">
        <v>0.36944444444444446</v>
      </c>
      <c r="AB630" s="155">
        <v>87</v>
      </c>
      <c r="AC630" s="155">
        <v>15.9</v>
      </c>
      <c r="AD630" s="96"/>
      <c r="AE630" s="94">
        <f>Table3.110[[#This Row],[Gas 8h, ml]]-Table3.110[[#This Row],[Gas 0h, ml]]</f>
        <v>32</v>
      </c>
      <c r="AF630" s="94">
        <f>Table3.110[[#This Row],[Gas 24h, ml]]-Table3.110[[#This Row],[V8 Push back, ml]]</f>
        <v>46.5</v>
      </c>
      <c r="AG630" s="94">
        <f>Table3.110[[#This Row],[GP 8h, ml]]-(AVERAGE(AE$658,AE$659))*$AG$8</f>
        <v>31.336244932930278</v>
      </c>
      <c r="AH630" s="94">
        <f>Table3.110[[#This Row],[GP 8-24h, ml]]-(AVERAGE(AF$658,AF$659))*$AG$8</f>
        <v>44.50873479879084</v>
      </c>
      <c r="AI630" s="94">
        <f>Table3.110[[#This Row],[Net gas 8-24h, ml]]+Table3.110[[#This Row],[Net gas 8h, ml]]</f>
        <v>75.844979731721111</v>
      </c>
      <c r="AJ630" s="94">
        <f>Table3.110[[#This Row],[Net gas 8h, ml]]*Table3.110[[#This Row],[CH4 8h %]]%</f>
        <v>3.8856943716833543</v>
      </c>
      <c r="AK630" s="94">
        <f>Table3.110[[#This Row],[Net gas 8-24h, ml]]*Table3.110[[#This Row],[CH4 24h, %]]%</f>
        <v>7.076888833007744</v>
      </c>
      <c r="AL630" s="94">
        <f>Table3.110[[#This Row],[CH4 8-24h, ml]]+Table3.110[[#This Row],[CH4 8h, ml]]</f>
        <v>10.962583204691098</v>
      </c>
      <c r="AM630" s="94">
        <f>(Table3.110[[#This Row],[Net gas 24h, ml]]/Table3.110[[#This Row],[DM Incubated, mg]])*1000</f>
        <v>165.53709679904426</v>
      </c>
      <c r="AN630" s="94">
        <f>'3.2 Digest'!X630</f>
        <v>40.110236007275176</v>
      </c>
      <c r="AO630" s="94">
        <f>Table3.110[[#This Row],[Digested feed, mg]]/Table3.110[[#This Row],[Net gas 24h, ml]]</f>
        <v>2.4230360917811358</v>
      </c>
      <c r="AP630" s="94">
        <f>Table3.110[[#This Row],[CH4 8h, ml]]/Table3.110[[#This Row],[Net gas 8h, ml]]%</f>
        <v>12.399999999999999</v>
      </c>
      <c r="AQ630" s="94">
        <f>Table3.110[[#This Row],[CH4 24h, ml]]/Table3.110[[#This Row],[Net gas 24h, ml]]%</f>
        <v>14.453933857544628</v>
      </c>
      <c r="AR630" s="94">
        <f>Table3.110[[#This Row],[CH4 24h, ml]]/Table3.110[[#This Row],[DM Incubated, mg]]*1000</f>
        <v>23.926622481033487</v>
      </c>
      <c r="AS630" s="94">
        <f>Table3.110[[#This Row],[CH4 24h, ml]]/Table3.110[[#This Row],[Digested feed, mg]]*1000</f>
        <v>59.652160801780582</v>
      </c>
      <c r="AT630" s="94">
        <f>Table3.110[[#This Row],[CH4 24h, ml]]/'3.2 Digest'!AA630</f>
        <v>-0.27167524038009389</v>
      </c>
      <c r="AU630" s="94">
        <f>((Table3.110[[#This Row],[CH4 24h, ml]]/28.9)*16.04)/Table3.110[[#This Row],[DM Incubated, mg]]*1000</f>
        <v>13.279689432379831</v>
      </c>
      <c r="AV630" s="94">
        <f>((Table3.110[[#This Row],[CH4 24h, ml]]/28.9)*16.04)/Table3.110[[#This Row],[Digested feed, mg]]*1000</f>
        <v>33.107981289292752</v>
      </c>
      <c r="AW630" s="303"/>
    </row>
    <row r="631" spans="1:49" s="304" customFormat="1" x14ac:dyDescent="0.35">
      <c r="A631" s="89"/>
      <c r="B631" s="90">
        <f t="shared" si="9"/>
        <v>621</v>
      </c>
      <c r="C631" s="140">
        <v>46055</v>
      </c>
      <c r="D631" s="6" t="s">
        <v>16</v>
      </c>
      <c r="E631" s="6" t="s">
        <v>294</v>
      </c>
      <c r="F631" s="133" t="s">
        <v>240</v>
      </c>
      <c r="G631" s="133" t="s">
        <v>241</v>
      </c>
      <c r="H631" s="133" t="s">
        <v>242</v>
      </c>
      <c r="I631" s="133" t="s">
        <v>22</v>
      </c>
      <c r="J631" s="135" t="s">
        <v>23</v>
      </c>
      <c r="K631" s="135" t="s">
        <v>215</v>
      </c>
      <c r="L631" s="6" t="s">
        <v>293</v>
      </c>
      <c r="M631" s="93">
        <v>28</v>
      </c>
      <c r="N631" s="93">
        <v>62</v>
      </c>
      <c r="O631" s="6">
        <v>2</v>
      </c>
      <c r="P631" s="129">
        <v>1</v>
      </c>
      <c r="Q631" s="6">
        <v>0</v>
      </c>
      <c r="R631" s="112">
        <v>0.50009999999999999</v>
      </c>
      <c r="S631" s="94">
        <f>((Table3.110[[#This Row],[Sample weight, g]]*'2.1. DM'!Q179)/100)*1000</f>
        <v>463.82681445566323</v>
      </c>
      <c r="T631" s="94">
        <f>'3.2 Digest'!W631</f>
        <v>189.42681445566313</v>
      </c>
      <c r="U631" s="117">
        <v>0.35555555555555557</v>
      </c>
      <c r="V631" s="155">
        <v>41</v>
      </c>
      <c r="W631" s="117">
        <v>0.69444444444444442</v>
      </c>
      <c r="X631" s="96">
        <v>70.5</v>
      </c>
      <c r="Y631" s="96">
        <v>11.3</v>
      </c>
      <c r="Z631" s="155">
        <v>40.5</v>
      </c>
      <c r="AA631" s="117">
        <v>0.36944444444444446</v>
      </c>
      <c r="AB631" s="155">
        <v>89.5</v>
      </c>
      <c r="AC631" s="155">
        <v>14.5</v>
      </c>
      <c r="AD631" s="96"/>
      <c r="AE631" s="94">
        <f>Table3.110[[#This Row],[Gas 8h, ml]]-Table3.110[[#This Row],[Gas 0h, ml]]</f>
        <v>29.5</v>
      </c>
      <c r="AF631" s="94">
        <f>Table3.110[[#This Row],[Gas 24h, ml]]-Table3.110[[#This Row],[V8 Push back, ml]]</f>
        <v>49</v>
      </c>
      <c r="AG631" s="94">
        <f>Table3.110[[#This Row],[GP 8h, ml]]-(AVERAGE(AE$658,AE$659))*$AG$8</f>
        <v>28.836244932930278</v>
      </c>
      <c r="AH631" s="94">
        <f>Table3.110[[#This Row],[GP 8-24h, ml]]-(AVERAGE(AF$658,AF$659))*$AG$8</f>
        <v>47.00873479879084</v>
      </c>
      <c r="AI631" s="94">
        <f>Table3.110[[#This Row],[Net gas 8-24h, ml]]+Table3.110[[#This Row],[Net gas 8h, ml]]</f>
        <v>75.844979731721111</v>
      </c>
      <c r="AJ631" s="94">
        <f>Table3.110[[#This Row],[Net gas 8h, ml]]*Table3.110[[#This Row],[CH4 8h %]]%</f>
        <v>3.2584956774211213</v>
      </c>
      <c r="AK631" s="94">
        <f>Table3.110[[#This Row],[Net gas 8-24h, ml]]*Table3.110[[#This Row],[CH4 24h, %]]%</f>
        <v>6.8162665458246714</v>
      </c>
      <c r="AL631" s="94">
        <f>Table3.110[[#This Row],[CH4 8-24h, ml]]+Table3.110[[#This Row],[CH4 8h, ml]]</f>
        <v>10.074762223245793</v>
      </c>
      <c r="AM631" s="94">
        <f>(Table3.110[[#This Row],[Net gas 24h, ml]]/Table3.110[[#This Row],[DM Incubated, mg]])*1000</f>
        <v>163.52004103240793</v>
      </c>
      <c r="AN631" s="94">
        <f>'3.2 Digest'!X631</f>
        <v>40.839987804062211</v>
      </c>
      <c r="AO631" s="94">
        <f>Table3.110[[#This Row],[Digested feed, mg]]/Table3.110[[#This Row],[Net gas 24h, ml]]</f>
        <v>2.4975524434933432</v>
      </c>
      <c r="AP631" s="94">
        <f>Table3.110[[#This Row],[CH4 8h, ml]]/Table3.110[[#This Row],[Net gas 8h, ml]]%</f>
        <v>11.3</v>
      </c>
      <c r="AQ631" s="94">
        <f>Table3.110[[#This Row],[CH4 24h, ml]]/Table3.110[[#This Row],[Net gas 24h, ml]]%</f>
        <v>13.283360690295186</v>
      </c>
      <c r="AR631" s="94">
        <f>Table3.110[[#This Row],[CH4 24h, ml]]/Table3.110[[#This Row],[DM Incubated, mg]]*1000</f>
        <v>21.720956851253433</v>
      </c>
      <c r="AS631" s="94">
        <f>Table3.110[[#This Row],[CH4 24h, ml]]/Table3.110[[#This Row],[Digested feed, mg]]*1000</f>
        <v>53.185512580130897</v>
      </c>
      <c r="AT631" s="94">
        <f>Table3.110[[#This Row],[CH4 24h, ml]]/'3.2 Digest'!AA631</f>
        <v>-3.015784347433208</v>
      </c>
      <c r="AU631" s="94">
        <f>((Table3.110[[#This Row],[CH4 24h, ml]]/28.9)*16.04)/Table3.110[[#This Row],[DM Incubated, mg]]*1000</f>
        <v>12.055506847546887</v>
      </c>
      <c r="AV631" s="94">
        <f>((Table3.110[[#This Row],[CH4 24h, ml]]/28.9)*16.04)/Table3.110[[#This Row],[Digested feed, mg]]*1000</f>
        <v>29.518879646550158</v>
      </c>
      <c r="AW631" s="303"/>
    </row>
    <row r="632" spans="1:49" s="304" customFormat="1" x14ac:dyDescent="0.35">
      <c r="A632" s="89"/>
      <c r="B632" s="90">
        <f t="shared" si="9"/>
        <v>622</v>
      </c>
      <c r="C632" s="140">
        <v>46055</v>
      </c>
      <c r="D632" s="6" t="s">
        <v>16</v>
      </c>
      <c r="E632" s="6" t="s">
        <v>294</v>
      </c>
      <c r="F632" s="133" t="s">
        <v>240</v>
      </c>
      <c r="G632" s="133" t="s">
        <v>241</v>
      </c>
      <c r="H632" s="133" t="s">
        <v>242</v>
      </c>
      <c r="I632" s="133" t="s">
        <v>22</v>
      </c>
      <c r="J632" s="135" t="s">
        <v>23</v>
      </c>
      <c r="K632" s="135" t="s">
        <v>215</v>
      </c>
      <c r="L632" s="6" t="s">
        <v>293</v>
      </c>
      <c r="M632" s="93">
        <v>28</v>
      </c>
      <c r="N632" s="93">
        <v>62</v>
      </c>
      <c r="O632" s="6">
        <v>2</v>
      </c>
      <c r="P632" s="129">
        <v>2</v>
      </c>
      <c r="Q632" s="6">
        <v>0</v>
      </c>
      <c r="R632" s="112">
        <v>0.50019999999999998</v>
      </c>
      <c r="S632" s="94">
        <f>((Table3.110[[#This Row],[Sample weight, g]]*'2.1. DM'!Q179)/100)*1000</f>
        <v>463.9195612691916</v>
      </c>
      <c r="T632" s="94">
        <f>'3.2 Digest'!W632</f>
        <v>192.21956126919156</v>
      </c>
      <c r="U632" s="117">
        <v>0.35625000000000001</v>
      </c>
      <c r="V632" s="155">
        <v>40</v>
      </c>
      <c r="W632" s="117">
        <v>0.69513888888888886</v>
      </c>
      <c r="X632" s="96">
        <v>68</v>
      </c>
      <c r="Y632" s="96">
        <v>10.9</v>
      </c>
      <c r="Z632" s="155">
        <v>39</v>
      </c>
      <c r="AA632" s="117">
        <v>0.37013888888888891</v>
      </c>
      <c r="AB632" s="155">
        <v>86.5</v>
      </c>
      <c r="AC632" s="155">
        <v>14.2</v>
      </c>
      <c r="AD632" s="96"/>
      <c r="AE632" s="94">
        <f>Table3.110[[#This Row],[Gas 8h, ml]]-Table3.110[[#This Row],[Gas 0h, ml]]</f>
        <v>28</v>
      </c>
      <c r="AF632" s="94">
        <f>Table3.110[[#This Row],[Gas 24h, ml]]-Table3.110[[#This Row],[V8 Push back, ml]]</f>
        <v>47.5</v>
      </c>
      <c r="AG632" s="94">
        <f>Table3.110[[#This Row],[GP 8h, ml]]-(AVERAGE(AE$658,AE$659))*$AG$8</f>
        <v>27.336244932930278</v>
      </c>
      <c r="AH632" s="94">
        <f>Table3.110[[#This Row],[GP 8-24h, ml]]-(AVERAGE(AF$658,AF$659))*$AG$8</f>
        <v>45.50873479879084</v>
      </c>
      <c r="AI632" s="94">
        <f>Table3.110[[#This Row],[Net gas 8-24h, ml]]+Table3.110[[#This Row],[Net gas 8h, ml]]</f>
        <v>72.844979731721111</v>
      </c>
      <c r="AJ632" s="94">
        <f>Table3.110[[#This Row],[Net gas 8h, ml]]*Table3.110[[#This Row],[CH4 8h %]]%</f>
        <v>2.9796506976894004</v>
      </c>
      <c r="AK632" s="94">
        <f>Table3.110[[#This Row],[Net gas 8-24h, ml]]*Table3.110[[#This Row],[CH4 24h, %]]%</f>
        <v>6.4622403414282985</v>
      </c>
      <c r="AL632" s="94">
        <f>Table3.110[[#This Row],[CH4 8-24h, ml]]+Table3.110[[#This Row],[CH4 8h, ml]]</f>
        <v>9.4418910391176993</v>
      </c>
      <c r="AM632" s="94">
        <f>(Table3.110[[#This Row],[Net gas 24h, ml]]/Table3.110[[#This Row],[DM Incubated, mg]])*1000</f>
        <v>157.02071180708947</v>
      </c>
      <c r="AN632" s="94">
        <f>'3.2 Digest'!X632</f>
        <v>41.43381252200642</v>
      </c>
      <c r="AO632" s="94">
        <f>Table3.110[[#This Row],[Digested feed, mg]]/Table3.110[[#This Row],[Net gas 24h, ml]]</f>
        <v>2.6387482291451243</v>
      </c>
      <c r="AP632" s="94">
        <f>Table3.110[[#This Row],[CH4 8h, ml]]/Table3.110[[#This Row],[Net gas 8h, ml]]%</f>
        <v>10.9</v>
      </c>
      <c r="AQ632" s="94">
        <f>Table3.110[[#This Row],[CH4 24h, ml]]/Table3.110[[#This Row],[Net gas 24h, ml]]%</f>
        <v>12.96162216516635</v>
      </c>
      <c r="AR632" s="94">
        <f>Table3.110[[#This Row],[CH4 24h, ml]]/Table3.110[[#This Row],[DM Incubated, mg]]*1000</f>
        <v>20.352431385489684</v>
      </c>
      <c r="AS632" s="94">
        <f>Table3.110[[#This Row],[CH4 24h, ml]]/Table3.110[[#This Row],[Digested feed, mg]]*1000</f>
        <v>49.120344343596315</v>
      </c>
      <c r="AT632" s="94">
        <f>Table3.110[[#This Row],[CH4 24h, ml]]/'3.2 Digest'!AA632</f>
        <v>-4.0991379126534886</v>
      </c>
      <c r="AU632" s="94">
        <f>((Table3.110[[#This Row],[CH4 24h, ml]]/28.9)*16.04)/Table3.110[[#This Row],[DM Incubated, mg]]*1000</f>
        <v>11.295951537136835</v>
      </c>
      <c r="AV632" s="94">
        <f>((Table3.110[[#This Row],[CH4 24h, ml]]/28.9)*16.04)/Table3.110[[#This Row],[Digested feed, mg]]*1000</f>
        <v>27.262640943643078</v>
      </c>
      <c r="AW632" s="303"/>
    </row>
    <row r="633" spans="1:49" s="304" customFormat="1" x14ac:dyDescent="0.35">
      <c r="A633" s="89"/>
      <c r="B633" s="90">
        <f t="shared" si="9"/>
        <v>623</v>
      </c>
      <c r="C633" s="140">
        <v>46055</v>
      </c>
      <c r="D633" s="6" t="s">
        <v>16</v>
      </c>
      <c r="E633" s="6" t="s">
        <v>294</v>
      </c>
      <c r="F633" s="133" t="s">
        <v>240</v>
      </c>
      <c r="G633" s="133" t="s">
        <v>241</v>
      </c>
      <c r="H633" s="133" t="s">
        <v>242</v>
      </c>
      <c r="I633" s="133" t="s">
        <v>22</v>
      </c>
      <c r="J633" s="135" t="s">
        <v>23</v>
      </c>
      <c r="K633" s="135" t="s">
        <v>215</v>
      </c>
      <c r="L633" s="6" t="s">
        <v>293</v>
      </c>
      <c r="M633" s="93">
        <v>28</v>
      </c>
      <c r="N633" s="93">
        <v>62</v>
      </c>
      <c r="O633" s="6">
        <v>2</v>
      </c>
      <c r="P633" s="129">
        <v>3</v>
      </c>
      <c r="Q633" s="6">
        <v>0</v>
      </c>
      <c r="R633" s="112">
        <v>0.50060000000000004</v>
      </c>
      <c r="S633" s="94">
        <f>((Table3.110[[#This Row],[Sample weight, g]]*'2.1. DM'!Q179)/100)*1000</f>
        <v>464.29054852330535</v>
      </c>
      <c r="T633" s="94">
        <f>'3.2 Digest'!W633</f>
        <v>81.490548523305335</v>
      </c>
      <c r="U633" s="117">
        <v>0.35625000000000001</v>
      </c>
      <c r="V633" s="155">
        <v>41.5</v>
      </c>
      <c r="W633" s="117">
        <v>0.69513888888888886</v>
      </c>
      <c r="X633" s="96">
        <v>70</v>
      </c>
      <c r="Y633" s="96">
        <v>11</v>
      </c>
      <c r="Z633" s="155">
        <v>40.5</v>
      </c>
      <c r="AA633" s="117">
        <v>0.37152777777777779</v>
      </c>
      <c r="AB633" s="155">
        <v>88.5</v>
      </c>
      <c r="AC633" s="155">
        <v>14.4</v>
      </c>
      <c r="AD633" s="96"/>
      <c r="AE633" s="94">
        <f>Table3.110[[#This Row],[Gas 8h, ml]]-Table3.110[[#This Row],[Gas 0h, ml]]</f>
        <v>28.5</v>
      </c>
      <c r="AF633" s="94">
        <f>Table3.110[[#This Row],[Gas 24h, ml]]-Table3.110[[#This Row],[V8 Push back, ml]]</f>
        <v>48</v>
      </c>
      <c r="AG633" s="94"/>
      <c r="AH633" s="94"/>
      <c r="AI633" s="94"/>
      <c r="AJ633" s="94"/>
      <c r="AK633" s="94"/>
      <c r="AL633" s="94"/>
      <c r="AM633" s="94"/>
      <c r="AN633" s="94"/>
      <c r="AO633" s="94"/>
      <c r="AP633" s="94"/>
      <c r="AQ633" s="94"/>
      <c r="AR633" s="94"/>
      <c r="AS633" s="94"/>
      <c r="AT633" s="94"/>
      <c r="AU633" s="94"/>
      <c r="AV633" s="94"/>
      <c r="AW633" s="303" t="s">
        <v>638</v>
      </c>
    </row>
    <row r="634" spans="1:49" s="304" customFormat="1" x14ac:dyDescent="0.35">
      <c r="A634" s="89"/>
      <c r="B634" s="90">
        <f t="shared" si="9"/>
        <v>624</v>
      </c>
      <c r="C634" s="140">
        <v>46055</v>
      </c>
      <c r="D634" s="6" t="s">
        <v>16</v>
      </c>
      <c r="E634" s="6" t="s">
        <v>296</v>
      </c>
      <c r="F634" s="133" t="s">
        <v>240</v>
      </c>
      <c r="G634" s="133" t="s">
        <v>297</v>
      </c>
      <c r="H634" s="133" t="s">
        <v>298</v>
      </c>
      <c r="I634" s="133" t="s">
        <v>22</v>
      </c>
      <c r="J634" s="135" t="s">
        <v>23</v>
      </c>
      <c r="K634" s="135" t="s">
        <v>215</v>
      </c>
      <c r="L634" s="6" t="s">
        <v>295</v>
      </c>
      <c r="M634" s="93">
        <v>28</v>
      </c>
      <c r="N634" s="93">
        <v>62</v>
      </c>
      <c r="O634" s="6">
        <v>2</v>
      </c>
      <c r="P634" s="129">
        <v>1</v>
      </c>
      <c r="Q634" s="6">
        <v>0</v>
      </c>
      <c r="R634" s="112">
        <v>0.50039999999999996</v>
      </c>
      <c r="S634" s="94">
        <f>((Table3.110[[#This Row],[Sample weight, g]]*'2.1. DM'!Q181)/100)*1000</f>
        <v>458.97310143610656</v>
      </c>
      <c r="T634" s="94">
        <f>'3.2 Digest'!W634</f>
        <v>158.47310143610656</v>
      </c>
      <c r="U634" s="117">
        <v>0.3576388888888889</v>
      </c>
      <c r="V634" s="155">
        <v>39.5</v>
      </c>
      <c r="W634" s="117">
        <v>0.6958333333333333</v>
      </c>
      <c r="X634" s="96">
        <v>79.5</v>
      </c>
      <c r="Y634" s="96">
        <v>11</v>
      </c>
      <c r="Z634" s="155">
        <v>39.5</v>
      </c>
      <c r="AA634" s="117">
        <v>0.37152777777777779</v>
      </c>
      <c r="AB634" s="155">
        <v>89</v>
      </c>
      <c r="AC634" s="155">
        <v>15.4</v>
      </c>
      <c r="AD634" s="96" t="s">
        <v>559</v>
      </c>
      <c r="AE634" s="94">
        <f>Table3.110[[#This Row],[Gas 8h, ml]]-Table3.110[[#This Row],[Gas 0h, ml]]</f>
        <v>40</v>
      </c>
      <c r="AF634" s="94">
        <f>Table3.110[[#This Row],[Gas 24h, ml]]-Table3.110[[#This Row],[V8 Push back, ml]]</f>
        <v>49.5</v>
      </c>
      <c r="AG634" s="94"/>
      <c r="AH634" s="94"/>
      <c r="AI634" s="94"/>
      <c r="AJ634" s="94"/>
      <c r="AK634" s="94"/>
      <c r="AL634" s="94"/>
      <c r="AM634" s="94"/>
      <c r="AN634" s="94"/>
      <c r="AO634" s="94"/>
      <c r="AP634" s="94"/>
      <c r="AQ634" s="94"/>
      <c r="AR634" s="94"/>
      <c r="AS634" s="94"/>
      <c r="AT634" s="94"/>
      <c r="AU634" s="94"/>
      <c r="AV634" s="94"/>
      <c r="AW634" s="303" t="s">
        <v>639</v>
      </c>
    </row>
    <row r="635" spans="1:49" s="304" customFormat="1" x14ac:dyDescent="0.35">
      <c r="A635" s="89"/>
      <c r="B635" s="90">
        <f t="shared" si="9"/>
        <v>625</v>
      </c>
      <c r="C635" s="140">
        <v>46055</v>
      </c>
      <c r="D635" s="6" t="s">
        <v>16</v>
      </c>
      <c r="E635" s="6" t="s">
        <v>296</v>
      </c>
      <c r="F635" s="133" t="s">
        <v>240</v>
      </c>
      <c r="G635" s="133" t="s">
        <v>297</v>
      </c>
      <c r="H635" s="133" t="s">
        <v>298</v>
      </c>
      <c r="I635" s="133" t="s">
        <v>22</v>
      </c>
      <c r="J635" s="135" t="s">
        <v>23</v>
      </c>
      <c r="K635" s="135" t="s">
        <v>215</v>
      </c>
      <c r="L635" s="6" t="s">
        <v>295</v>
      </c>
      <c r="M635" s="93">
        <v>28</v>
      </c>
      <c r="N635" s="93">
        <v>62</v>
      </c>
      <c r="O635" s="6">
        <v>2</v>
      </c>
      <c r="P635" s="129">
        <v>2</v>
      </c>
      <c r="Q635" s="6">
        <v>0</v>
      </c>
      <c r="R635" s="112">
        <v>0.50049999999999994</v>
      </c>
      <c r="S635" s="94">
        <f>((Table3.110[[#This Row],[Sample weight, g]]*'2.1. DM'!Q181)/100)*1000</f>
        <v>459.06482267939913</v>
      </c>
      <c r="T635" s="94">
        <f>'3.2 Digest'!W635</f>
        <v>211.86482267939905</v>
      </c>
      <c r="U635" s="117">
        <v>0.3576388888888889</v>
      </c>
      <c r="V635" s="155">
        <v>41.5</v>
      </c>
      <c r="W635" s="117">
        <v>0.6958333333333333</v>
      </c>
      <c r="X635" s="96">
        <v>80.5</v>
      </c>
      <c r="Y635" s="96">
        <v>10.8</v>
      </c>
      <c r="Z635" s="155">
        <v>40</v>
      </c>
      <c r="AA635" s="117">
        <v>0.37152777777777779</v>
      </c>
      <c r="AB635" s="155">
        <v>87</v>
      </c>
      <c r="AC635" s="155">
        <v>15.5</v>
      </c>
      <c r="AD635" s="96"/>
      <c r="AE635" s="94">
        <f>Table3.110[[#This Row],[Gas 8h, ml]]-Table3.110[[#This Row],[Gas 0h, ml]]</f>
        <v>39</v>
      </c>
      <c r="AF635" s="94">
        <f>Table3.110[[#This Row],[Gas 24h, ml]]-Table3.110[[#This Row],[V8 Push back, ml]]</f>
        <v>47</v>
      </c>
      <c r="AG635" s="94">
        <f>Table3.110[[#This Row],[GP 8h, ml]]-(AVERAGE(AE$658,AE$659))*$AG$8</f>
        <v>38.336244932930278</v>
      </c>
      <c r="AH635" s="94">
        <f>Table3.110[[#This Row],[GP 8-24h, ml]]-(AVERAGE(AF$658,AF$659))*$AG$8</f>
        <v>45.00873479879084</v>
      </c>
      <c r="AI635" s="94">
        <f>Table3.110[[#This Row],[Net gas 8-24h, ml]]+Table3.110[[#This Row],[Net gas 8h, ml]]</f>
        <v>83.344979731721111</v>
      </c>
      <c r="AJ635" s="94">
        <f>Table3.110[[#This Row],[Net gas 8h, ml]]*Table3.110[[#This Row],[CH4 8h %]]%</f>
        <v>4.1403144527564706</v>
      </c>
      <c r="AK635" s="94">
        <f>Table3.110[[#This Row],[Net gas 8-24h, ml]]*Table3.110[[#This Row],[CH4 24h, %]]%</f>
        <v>6.97635389381258</v>
      </c>
      <c r="AL635" s="94">
        <f>Table3.110[[#This Row],[CH4 8-24h, ml]]+Table3.110[[#This Row],[CH4 8h, ml]]</f>
        <v>11.11666834656905</v>
      </c>
      <c r="AM635" s="94">
        <f>(Table3.110[[#This Row],[Net gas 24h, ml]]/Table3.110[[#This Row],[DM Incubated, mg]])*1000</f>
        <v>181.55383643918941</v>
      </c>
      <c r="AN635" s="94">
        <f>'3.2 Digest'!X635</f>
        <v>46.151395666263198</v>
      </c>
      <c r="AO635" s="94">
        <f>Table3.110[[#This Row],[Digested feed, mg]]/Table3.110[[#This Row],[Net gas 24h, ml]]</f>
        <v>2.5420226072568504</v>
      </c>
      <c r="AP635" s="94">
        <f>Table3.110[[#This Row],[CH4 8h, ml]]/Table3.110[[#This Row],[Net gas 8h, ml]]%</f>
        <v>10.8</v>
      </c>
      <c r="AQ635" s="94">
        <f>Table3.110[[#This Row],[CH4 24h, ml]]/Table3.110[[#This Row],[Net gas 24h, ml]]%</f>
        <v>13.338137920667156</v>
      </c>
      <c r="AR635" s="94">
        <f>Table3.110[[#This Row],[CH4 24h, ml]]/Table3.110[[#This Row],[DM Incubated, mg]]*1000</f>
        <v>24.215901104521549</v>
      </c>
      <c r="AS635" s="94">
        <f>Table3.110[[#This Row],[CH4 24h, ml]]/Table3.110[[#This Row],[Digested feed, mg]]*1000</f>
        <v>52.470571593620164</v>
      </c>
      <c r="AT635" s="94">
        <f>Table3.110[[#This Row],[CH4 24h, ml]]/'3.2 Digest'!AA635</f>
        <v>0.93499296364555584</v>
      </c>
      <c r="AU635" s="94">
        <f>((Table3.110[[#This Row],[CH4 24h, ml]]/28.9)*16.04)/Table3.110[[#This Row],[DM Incubated, mg]]*1000</f>
        <v>13.44024407323618</v>
      </c>
      <c r="AV635" s="94">
        <f>((Table3.110[[#This Row],[CH4 24h, ml]]/28.9)*16.04)/Table3.110[[#This Row],[Digested feed, mg]]*1000</f>
        <v>29.12207502981548</v>
      </c>
      <c r="AW635" s="303"/>
    </row>
    <row r="636" spans="1:49" s="304" customFormat="1" x14ac:dyDescent="0.35">
      <c r="A636" s="89"/>
      <c r="B636" s="90">
        <f t="shared" si="9"/>
        <v>626</v>
      </c>
      <c r="C636" s="140">
        <v>46055</v>
      </c>
      <c r="D636" s="6" t="s">
        <v>16</v>
      </c>
      <c r="E636" s="6" t="s">
        <v>296</v>
      </c>
      <c r="F636" s="133" t="s">
        <v>240</v>
      </c>
      <c r="G636" s="133" t="s">
        <v>297</v>
      </c>
      <c r="H636" s="133" t="s">
        <v>298</v>
      </c>
      <c r="I636" s="133" t="s">
        <v>22</v>
      </c>
      <c r="J636" s="135" t="s">
        <v>23</v>
      </c>
      <c r="K636" s="135" t="s">
        <v>215</v>
      </c>
      <c r="L636" s="6" t="s">
        <v>295</v>
      </c>
      <c r="M636" s="93">
        <v>28</v>
      </c>
      <c r="N636" s="93">
        <v>62</v>
      </c>
      <c r="O636" s="6">
        <v>2</v>
      </c>
      <c r="P636" s="129">
        <v>3</v>
      </c>
      <c r="Q636" s="6">
        <v>0</v>
      </c>
      <c r="R636" s="112">
        <v>0.50009999999999999</v>
      </c>
      <c r="S636" s="94">
        <f>((Table3.110[[#This Row],[Sample weight, g]]*'2.1. DM'!Q181)/100)*1000</f>
        <v>458.69793770622886</v>
      </c>
      <c r="T636" s="94">
        <f>'3.2 Digest'!W636</f>
        <v>267.19793770622886</v>
      </c>
      <c r="U636" s="117">
        <v>0.35833333333333334</v>
      </c>
      <c r="V636" s="155">
        <v>41</v>
      </c>
      <c r="W636" s="117">
        <v>0.69652777777777775</v>
      </c>
      <c r="X636" s="96">
        <v>80.5</v>
      </c>
      <c r="Y636" s="96">
        <v>10.7</v>
      </c>
      <c r="Z636" s="155">
        <v>40.5</v>
      </c>
      <c r="AA636" s="117">
        <v>0.37222222222222223</v>
      </c>
      <c r="AB636" s="155">
        <v>88.5</v>
      </c>
      <c r="AC636" s="155">
        <v>15.2</v>
      </c>
      <c r="AD636" s="96"/>
      <c r="AE636" s="94">
        <f>Table3.110[[#This Row],[Gas 8h, ml]]-Table3.110[[#This Row],[Gas 0h, ml]]</f>
        <v>39.5</v>
      </c>
      <c r="AF636" s="94">
        <f>Table3.110[[#This Row],[Gas 24h, ml]]-Table3.110[[#This Row],[V8 Push back, ml]]</f>
        <v>48</v>
      </c>
      <c r="AG636" s="94">
        <f>Table3.110[[#This Row],[GP 8h, ml]]-(AVERAGE(AE$658,AE$659))*$AG$8</f>
        <v>38.836244932930278</v>
      </c>
      <c r="AH636" s="94">
        <f>Table3.110[[#This Row],[GP 8-24h, ml]]-(AVERAGE(AF$658,AF$659))*$AG$8</f>
        <v>46.00873479879084</v>
      </c>
      <c r="AI636" s="94">
        <f>Table3.110[[#This Row],[Net gas 8-24h, ml]]+Table3.110[[#This Row],[Net gas 8h, ml]]</f>
        <v>84.844979731721111</v>
      </c>
      <c r="AJ636" s="94">
        <f>Table3.110[[#This Row],[Net gas 8h, ml]]*Table3.110[[#This Row],[CH4 8h %]]%</f>
        <v>4.1554782078235393</v>
      </c>
      <c r="AK636" s="94">
        <f>Table3.110[[#This Row],[Net gas 8-24h, ml]]*Table3.110[[#This Row],[CH4 24h, %]]%</f>
        <v>6.9933276894162075</v>
      </c>
      <c r="AL636" s="94">
        <f>Table3.110[[#This Row],[CH4 8-24h, ml]]+Table3.110[[#This Row],[CH4 8h, ml]]</f>
        <v>11.148805897239747</v>
      </c>
      <c r="AM636" s="94">
        <f>(Table3.110[[#This Row],[Net gas 24h, ml]]/Table3.110[[#This Row],[DM Incubated, mg]])*1000</f>
        <v>184.96917635164891</v>
      </c>
      <c r="AN636" s="94">
        <f>'3.2 Digest'!X636</f>
        <v>58.251392853951444</v>
      </c>
      <c r="AO636" s="94">
        <f>Table3.110[[#This Row],[Digested feed, mg]]/Table3.110[[#This Row],[Net gas 24h, ml]]</f>
        <v>3.1492486479589692</v>
      </c>
      <c r="AP636" s="94">
        <f>Table3.110[[#This Row],[CH4 8h, ml]]/Table3.110[[#This Row],[Net gas 8h, ml]]%</f>
        <v>10.7</v>
      </c>
      <c r="AQ636" s="94">
        <f>Table3.110[[#This Row],[CH4 24h, ml]]/Table3.110[[#This Row],[Net gas 24h, ml]]%</f>
        <v>13.140206919127269</v>
      </c>
      <c r="AR636" s="94">
        <f>Table3.110[[#This Row],[CH4 24h, ml]]/Table3.110[[#This Row],[DM Incubated, mg]]*1000</f>
        <v>24.305332509212093</v>
      </c>
      <c r="AS636" s="94">
        <f>Table3.110[[#This Row],[CH4 24h, ml]]/Table3.110[[#This Row],[Digested feed, mg]]*1000</f>
        <v>41.724895008348895</v>
      </c>
      <c r="AT636" s="94">
        <f>Table3.110[[#This Row],[CH4 24h, ml]]/'3.2 Digest'!AA636</f>
        <v>0.35182675612828646</v>
      </c>
      <c r="AU636" s="94">
        <f>((Table3.110[[#This Row],[CH4 24h, ml]]/28.9)*16.04)/Table3.110[[#This Row],[DM Incubated, mg]]*1000</f>
        <v>13.489880050095568</v>
      </c>
      <c r="AV636" s="94">
        <f>((Table3.110[[#This Row],[CH4 24h, ml]]/28.9)*16.04)/Table3.110[[#This Row],[Digested feed, mg]]*1000</f>
        <v>23.158038613630318</v>
      </c>
      <c r="AW636" s="303"/>
    </row>
    <row r="637" spans="1:49" s="304" customFormat="1" x14ac:dyDescent="0.35">
      <c r="A637" s="89"/>
      <c r="B637" s="90">
        <f t="shared" si="9"/>
        <v>627</v>
      </c>
      <c r="C637" s="140">
        <v>46055</v>
      </c>
      <c r="D637" s="6" t="s">
        <v>16</v>
      </c>
      <c r="E637" s="6" t="s">
        <v>300</v>
      </c>
      <c r="F637" s="133" t="s">
        <v>212</v>
      </c>
      <c r="G637" s="133" t="s">
        <v>301</v>
      </c>
      <c r="H637" s="133" t="s">
        <v>302</v>
      </c>
      <c r="I637" s="133" t="s">
        <v>22</v>
      </c>
      <c r="J637" s="135" t="s">
        <v>23</v>
      </c>
      <c r="K637" s="135" t="s">
        <v>303</v>
      </c>
      <c r="L637" s="6" t="s">
        <v>299</v>
      </c>
      <c r="M637" s="93">
        <v>28</v>
      </c>
      <c r="N637" s="93">
        <v>62</v>
      </c>
      <c r="O637" s="6">
        <v>2</v>
      </c>
      <c r="P637" s="129">
        <v>1</v>
      </c>
      <c r="Q637" s="6">
        <v>0</v>
      </c>
      <c r="R637" s="113">
        <v>0.50039999999999996</v>
      </c>
      <c r="S637" s="94">
        <f>((Table3.110[[#This Row],[Sample weight, g]]*'2.1. DM'!Q183)/100)*1000</f>
        <v>458.69792646410212</v>
      </c>
      <c r="T637" s="94">
        <f>'3.2 Digest'!W637</f>
        <v>179.19792646410207</v>
      </c>
      <c r="U637" s="117">
        <v>0.35833333333333334</v>
      </c>
      <c r="V637" s="155">
        <v>41</v>
      </c>
      <c r="W637" s="117">
        <v>0.69652777777777775</v>
      </c>
      <c r="X637" s="96">
        <v>82</v>
      </c>
      <c r="Y637" s="96">
        <v>11.9</v>
      </c>
      <c r="Z637" s="155">
        <v>40</v>
      </c>
      <c r="AA637" s="117">
        <v>0.37291666666666667</v>
      </c>
      <c r="AB637" s="155">
        <v>88</v>
      </c>
      <c r="AC637" s="155">
        <v>16.2</v>
      </c>
      <c r="AD637" s="96"/>
      <c r="AE637" s="94">
        <f>Table3.110[[#This Row],[Gas 8h, ml]]-Table3.110[[#This Row],[Gas 0h, ml]]</f>
        <v>41</v>
      </c>
      <c r="AF637" s="94">
        <f>Table3.110[[#This Row],[Gas 24h, ml]]-Table3.110[[#This Row],[V8 Push back, ml]]</f>
        <v>48</v>
      </c>
      <c r="AG637" s="94">
        <f>Table3.110[[#This Row],[GP 8h, ml]]-(AVERAGE(AE$658,AE$659))*$AG$8</f>
        <v>40.336244932930278</v>
      </c>
      <c r="AH637" s="94">
        <f>Table3.110[[#This Row],[GP 8-24h, ml]]-(AVERAGE(AF$658,AF$659))*$AG$8</f>
        <v>46.00873479879084</v>
      </c>
      <c r="AI637" s="94">
        <f>Table3.110[[#This Row],[Net gas 8-24h, ml]]+Table3.110[[#This Row],[Net gas 8h, ml]]</f>
        <v>86.344979731721111</v>
      </c>
      <c r="AJ637" s="94">
        <f>Table3.110[[#This Row],[Net gas 8h, ml]]*Table3.110[[#This Row],[CH4 8h %]]%</f>
        <v>4.8000131470187037</v>
      </c>
      <c r="AK637" s="94">
        <f>Table3.110[[#This Row],[Net gas 8-24h, ml]]*Table3.110[[#This Row],[CH4 24h, %]]%</f>
        <v>7.4534150374041159</v>
      </c>
      <c r="AL637" s="94">
        <f>Table3.110[[#This Row],[CH4 8-24h, ml]]+Table3.110[[#This Row],[CH4 8h, ml]]</f>
        <v>12.25342818442282</v>
      </c>
      <c r="AM637" s="94">
        <f>(Table3.110[[#This Row],[Net gas 24h, ml]]/Table3.110[[#This Row],[DM Incubated, mg]])*1000</f>
        <v>188.23930685127809</v>
      </c>
      <c r="AN637" s="94">
        <f>'3.2 Digest'!X637</f>
        <v>39.066652828683793</v>
      </c>
      <c r="AO637" s="94">
        <f>Table3.110[[#This Row],[Digested feed, mg]]/Table3.110[[#This Row],[Net gas 24h, ml]]</f>
        <v>2.0753716894818957</v>
      </c>
      <c r="AP637" s="94">
        <f>Table3.110[[#This Row],[CH4 8h, ml]]/Table3.110[[#This Row],[Net gas 8h, ml]]%</f>
        <v>11.900000000000002</v>
      </c>
      <c r="AQ637" s="94">
        <f>Table3.110[[#This Row],[CH4 24h, ml]]/Table3.110[[#This Row],[Net gas 24h, ml]]%</f>
        <v>14.191245654923931</v>
      </c>
      <c r="AR637" s="94">
        <f>Table3.110[[#This Row],[CH4 24h, ml]]/Table3.110[[#This Row],[DM Incubated, mg]]*1000</f>
        <v>26.713502454390923</v>
      </c>
      <c r="AS637" s="94">
        <f>Table3.110[[#This Row],[CH4 24h, ml]]/Table3.110[[#This Row],[Digested feed, mg]]*1000</f>
        <v>68.3792967151185</v>
      </c>
      <c r="AT637" s="94">
        <f>Table3.110[[#This Row],[CH4 24h, ml]]/'3.2 Digest'!AA637</f>
        <v>-0.6084749009122522</v>
      </c>
      <c r="AU637" s="94">
        <f>((Table3.110[[#This Row],[CH4 24h, ml]]/28.9)*16.04)/Table3.110[[#This Row],[DM Incubated, mg]]*1000</f>
        <v>14.826456033509706</v>
      </c>
      <c r="AV637" s="94">
        <f>((Table3.110[[#This Row],[CH4 24h, ml]]/28.9)*16.04)/Table3.110[[#This Row],[Digested feed, mg]]*1000</f>
        <v>37.95169270970591</v>
      </c>
      <c r="AW637" s="303"/>
    </row>
    <row r="638" spans="1:49" s="304" customFormat="1" x14ac:dyDescent="0.35">
      <c r="A638" s="89"/>
      <c r="B638" s="90">
        <f t="shared" si="9"/>
        <v>628</v>
      </c>
      <c r="C638" s="140">
        <v>46055</v>
      </c>
      <c r="D638" s="6" t="s">
        <v>16</v>
      </c>
      <c r="E638" s="6" t="s">
        <v>300</v>
      </c>
      <c r="F638" s="133" t="s">
        <v>212</v>
      </c>
      <c r="G638" s="133" t="s">
        <v>301</v>
      </c>
      <c r="H638" s="133" t="s">
        <v>302</v>
      </c>
      <c r="I638" s="133" t="s">
        <v>22</v>
      </c>
      <c r="J638" s="135" t="s">
        <v>23</v>
      </c>
      <c r="K638" s="135" t="s">
        <v>303</v>
      </c>
      <c r="L638" s="6" t="s">
        <v>299</v>
      </c>
      <c r="M638" s="93">
        <v>28</v>
      </c>
      <c r="N638" s="93">
        <v>62</v>
      </c>
      <c r="O638" s="6">
        <v>2</v>
      </c>
      <c r="P638" s="129">
        <v>2</v>
      </c>
      <c r="Q638" s="6">
        <v>0</v>
      </c>
      <c r="R638" s="113">
        <v>0.50049999999999994</v>
      </c>
      <c r="S638" s="94">
        <f>((Table3.110[[#This Row],[Sample weight, g]]*'2.1. DM'!Q183)/100)*1000</f>
        <v>458.78959271639309</v>
      </c>
      <c r="T638" s="94">
        <f>'3.2 Digest'!W638</f>
        <v>209.08959271639316</v>
      </c>
      <c r="U638" s="117">
        <v>0.35833333333333334</v>
      </c>
      <c r="V638" s="155">
        <v>40.5</v>
      </c>
      <c r="W638" s="117">
        <v>0.69652777777777775</v>
      </c>
      <c r="X638" s="96">
        <v>81</v>
      </c>
      <c r="Y638" s="96">
        <v>12</v>
      </c>
      <c r="Z638" s="155">
        <v>40</v>
      </c>
      <c r="AA638" s="117">
        <v>0.37291666666666667</v>
      </c>
      <c r="AB638" s="155">
        <v>87.5</v>
      </c>
      <c r="AC638" s="155">
        <v>16.3</v>
      </c>
      <c r="AD638" s="96"/>
      <c r="AE638" s="94">
        <f>Table3.110[[#This Row],[Gas 8h, ml]]-Table3.110[[#This Row],[Gas 0h, ml]]</f>
        <v>40.5</v>
      </c>
      <c r="AF638" s="94">
        <f>Table3.110[[#This Row],[Gas 24h, ml]]-Table3.110[[#This Row],[V8 Push back, ml]]</f>
        <v>47.5</v>
      </c>
      <c r="AG638" s="94">
        <f>Table3.110[[#This Row],[GP 8h, ml]]-(AVERAGE(AE$658,AE$659))*$AG$8</f>
        <v>39.836244932930278</v>
      </c>
      <c r="AH638" s="94">
        <f>Table3.110[[#This Row],[GP 8-24h, ml]]-(AVERAGE(AF$658,AF$659))*$AG$8</f>
        <v>45.50873479879084</v>
      </c>
      <c r="AI638" s="94">
        <f>Table3.110[[#This Row],[Net gas 8-24h, ml]]+Table3.110[[#This Row],[Net gas 8h, ml]]</f>
        <v>85.344979731721111</v>
      </c>
      <c r="AJ638" s="94">
        <f>Table3.110[[#This Row],[Net gas 8h, ml]]*Table3.110[[#This Row],[CH4 8h %]]%</f>
        <v>4.7803493919516331</v>
      </c>
      <c r="AK638" s="94">
        <f>Table3.110[[#This Row],[Net gas 8-24h, ml]]*Table3.110[[#This Row],[CH4 24h, %]]%</f>
        <v>7.417923772202907</v>
      </c>
      <c r="AL638" s="94">
        <f>Table3.110[[#This Row],[CH4 8-24h, ml]]+Table3.110[[#This Row],[CH4 8h, ml]]</f>
        <v>12.198273164154539</v>
      </c>
      <c r="AM638" s="94">
        <f>(Table3.110[[#This Row],[Net gas 24h, ml]]/Table3.110[[#This Row],[DM Incubated, mg]])*1000</f>
        <v>186.02204820386643</v>
      </c>
      <c r="AN638" s="94">
        <f>'3.2 Digest'!X638</f>
        <v>45.574179544574953</v>
      </c>
      <c r="AO638" s="94">
        <f>Table3.110[[#This Row],[Digested feed, mg]]/Table3.110[[#This Row],[Net gas 24h, ml]]</f>
        <v>2.449934294596575</v>
      </c>
      <c r="AP638" s="94">
        <f>Table3.110[[#This Row],[CH4 8h, ml]]/Table3.110[[#This Row],[Net gas 8h, ml]]%</f>
        <v>12</v>
      </c>
      <c r="AQ638" s="94">
        <f>Table3.110[[#This Row],[CH4 24h, ml]]/Table3.110[[#This Row],[Net gas 24h, ml]]%</f>
        <v>14.292900651566587</v>
      </c>
      <c r="AR638" s="94">
        <f>Table3.110[[#This Row],[CH4 24h, ml]]/Table3.110[[#This Row],[DM Incubated, mg]]*1000</f>
        <v>26.587946539787936</v>
      </c>
      <c r="AS638" s="94">
        <f>Table3.110[[#This Row],[CH4 24h, ml]]/Table3.110[[#This Row],[Digested feed, mg]]*1000</f>
        <v>58.339934597797715</v>
      </c>
      <c r="AT638" s="94">
        <f>Table3.110[[#This Row],[CH4 24h, ml]]/'3.2 Digest'!AA638</f>
        <v>-1.6692792665031377</v>
      </c>
      <c r="AU638" s="94">
        <f>((Table3.110[[#This Row],[CH4 24h, ml]]/28.9)*16.04)/Table3.110[[#This Row],[DM Incubated, mg]]*1000</f>
        <v>14.756770328657387</v>
      </c>
      <c r="AV638" s="94">
        <f>((Table3.110[[#This Row],[CH4 24h, ml]]/28.9)*16.04)/Table3.110[[#This Row],[Digested feed, mg]]*1000</f>
        <v>32.379673043206765</v>
      </c>
      <c r="AW638" s="303"/>
    </row>
    <row r="639" spans="1:49" s="304" customFormat="1" x14ac:dyDescent="0.35">
      <c r="A639" s="89"/>
      <c r="B639" s="90">
        <f t="shared" si="9"/>
        <v>629</v>
      </c>
      <c r="C639" s="140">
        <v>46055</v>
      </c>
      <c r="D639" s="6" t="s">
        <v>16</v>
      </c>
      <c r="E639" s="6" t="s">
        <v>300</v>
      </c>
      <c r="F639" s="133" t="s">
        <v>212</v>
      </c>
      <c r="G639" s="133" t="s">
        <v>301</v>
      </c>
      <c r="H639" s="133" t="s">
        <v>302</v>
      </c>
      <c r="I639" s="133" t="s">
        <v>22</v>
      </c>
      <c r="J639" s="135" t="s">
        <v>23</v>
      </c>
      <c r="K639" s="135" t="s">
        <v>303</v>
      </c>
      <c r="L639" s="6" t="s">
        <v>299</v>
      </c>
      <c r="M639" s="93">
        <v>28</v>
      </c>
      <c r="N639" s="93">
        <v>62</v>
      </c>
      <c r="O639" s="6">
        <v>2</v>
      </c>
      <c r="P639" s="129">
        <v>3</v>
      </c>
      <c r="Q639" s="6">
        <v>0</v>
      </c>
      <c r="R639" s="112">
        <v>0.50019999999999998</v>
      </c>
      <c r="S639" s="94">
        <f>((Table3.110[[#This Row],[Sample weight, g]]*'2.1. DM'!Q183)/100)*1000</f>
        <v>458.5145939595202</v>
      </c>
      <c r="T639" s="94">
        <f>'3.2 Digest'!W639</f>
        <v>188.11459395952022</v>
      </c>
      <c r="U639" s="117">
        <v>0.35902777777777778</v>
      </c>
      <c r="V639" s="155">
        <v>41.5</v>
      </c>
      <c r="W639" s="117">
        <v>0.69722222222222219</v>
      </c>
      <c r="X639" s="96">
        <v>79.5</v>
      </c>
      <c r="Y639" s="96">
        <v>11.9</v>
      </c>
      <c r="Z639" s="155">
        <v>41</v>
      </c>
      <c r="AA639" s="117">
        <v>0.37361111111111112</v>
      </c>
      <c r="AB639" s="155">
        <v>88</v>
      </c>
      <c r="AC639" s="155">
        <v>16.100000000000001</v>
      </c>
      <c r="AD639" s="96"/>
      <c r="AE639" s="94">
        <f>Table3.110[[#This Row],[Gas 8h, ml]]-Table3.110[[#This Row],[Gas 0h, ml]]</f>
        <v>38</v>
      </c>
      <c r="AF639" s="94">
        <f>Table3.110[[#This Row],[Gas 24h, ml]]-Table3.110[[#This Row],[V8 Push back, ml]]</f>
        <v>47</v>
      </c>
      <c r="AG639" s="94">
        <f>Table3.110[[#This Row],[GP 8h, ml]]-(AVERAGE(AE$658,AE$659))*$AG$8</f>
        <v>37.336244932930278</v>
      </c>
      <c r="AH639" s="94">
        <f>Table3.110[[#This Row],[GP 8-24h, ml]]-(AVERAGE(AF$658,AF$659))*$AG$8</f>
        <v>45.00873479879084</v>
      </c>
      <c r="AI639" s="94">
        <f>Table3.110[[#This Row],[Net gas 8-24h, ml]]+Table3.110[[#This Row],[Net gas 8h, ml]]</f>
        <v>82.344979731721111</v>
      </c>
      <c r="AJ639" s="94">
        <f>Table3.110[[#This Row],[Net gas 8h, ml]]*Table3.110[[#This Row],[CH4 8h %]]%</f>
        <v>4.4430131470187035</v>
      </c>
      <c r="AK639" s="94">
        <f>Table3.110[[#This Row],[Net gas 8-24h, ml]]*Table3.110[[#This Row],[CH4 24h, %]]%</f>
        <v>7.2464063026053251</v>
      </c>
      <c r="AL639" s="94">
        <f>Table3.110[[#This Row],[CH4 8-24h, ml]]+Table3.110[[#This Row],[CH4 8h, ml]]</f>
        <v>11.68941944962403</v>
      </c>
      <c r="AM639" s="94">
        <f>(Table3.110[[#This Row],[Net gas 24h, ml]]/Table3.110[[#This Row],[DM Incubated, mg]])*1000</f>
        <v>179.59074981807646</v>
      </c>
      <c r="AN639" s="94">
        <f>'3.2 Digest'!X639</f>
        <v>41.026958888058388</v>
      </c>
      <c r="AO639" s="94">
        <f>Table3.110[[#This Row],[Digested feed, mg]]/Table3.110[[#This Row],[Net gas 24h, ml]]</f>
        <v>2.2844694913083368</v>
      </c>
      <c r="AP639" s="94">
        <f>Table3.110[[#This Row],[CH4 8h, ml]]/Table3.110[[#This Row],[Net gas 8h, ml]]%</f>
        <v>11.9</v>
      </c>
      <c r="AQ639" s="94">
        <f>Table3.110[[#This Row],[CH4 24h, ml]]/Table3.110[[#This Row],[Net gas 24h, ml]]%</f>
        <v>14.195667407664692</v>
      </c>
      <c r="AR639" s="94">
        <f>Table3.110[[#This Row],[CH4 24h, ml]]/Table3.110[[#This Row],[DM Incubated, mg]]*1000</f>
        <v>25.49410553910532</v>
      </c>
      <c r="AS639" s="94">
        <f>Table3.110[[#This Row],[CH4 24h, ml]]/Table3.110[[#This Row],[Digested feed, mg]]*1000</f>
        <v>62.139886138443032</v>
      </c>
      <c r="AT639" s="94">
        <f>Table3.110[[#This Row],[CH4 24h, ml]]/'3.2 Digest'!AA639</f>
        <v>-0.71833483760323313</v>
      </c>
      <c r="AU639" s="94">
        <f>((Table3.110[[#This Row],[CH4 24h, ml]]/28.9)*16.04)/Table3.110[[#This Row],[DM Incubated, mg]]*1000</f>
        <v>14.149669648693747</v>
      </c>
      <c r="AV639" s="94">
        <f>((Table3.110[[#This Row],[CH4 24h, ml]]/28.9)*16.04)/Table3.110[[#This Row],[Digested feed, mg]]*1000</f>
        <v>34.488711891371146</v>
      </c>
      <c r="AW639" s="303"/>
    </row>
    <row r="640" spans="1:49" s="304" customFormat="1" x14ac:dyDescent="0.35">
      <c r="A640" s="89"/>
      <c r="B640" s="90">
        <f t="shared" si="9"/>
        <v>630</v>
      </c>
      <c r="C640" s="140">
        <v>46055</v>
      </c>
      <c r="D640" s="6" t="s">
        <v>16</v>
      </c>
      <c r="E640" s="6" t="s">
        <v>305</v>
      </c>
      <c r="F640" s="133" t="s">
        <v>212</v>
      </c>
      <c r="G640" s="133" t="s">
        <v>301</v>
      </c>
      <c r="H640" s="133" t="s">
        <v>302</v>
      </c>
      <c r="I640" s="133" t="s">
        <v>22</v>
      </c>
      <c r="J640" s="135" t="s">
        <v>23</v>
      </c>
      <c r="K640" s="135" t="s">
        <v>303</v>
      </c>
      <c r="L640" s="6" t="s">
        <v>304</v>
      </c>
      <c r="M640" s="93">
        <v>28</v>
      </c>
      <c r="N640" s="93">
        <v>62</v>
      </c>
      <c r="O640" s="6">
        <v>2</v>
      </c>
      <c r="P640" s="129">
        <v>1</v>
      </c>
      <c r="Q640" s="6">
        <v>0</v>
      </c>
      <c r="R640" s="112">
        <v>0.50049999999999994</v>
      </c>
      <c r="S640" s="94">
        <f>((Table3.110[[#This Row],[Sample weight, g]]*'2.1. DM'!Q185)/100)*1000</f>
        <v>459.51928256755934</v>
      </c>
      <c r="T640" s="94">
        <f>'3.2 Digest'!W640</f>
        <v>116.01928256755934</v>
      </c>
      <c r="U640" s="117">
        <v>0.35972222222222222</v>
      </c>
      <c r="V640" s="155">
        <v>40</v>
      </c>
      <c r="W640" s="117">
        <v>0.69861111111111107</v>
      </c>
      <c r="X640" s="96">
        <v>77.5</v>
      </c>
      <c r="Y640" s="96">
        <v>13.5</v>
      </c>
      <c r="Z640" s="155">
        <v>40</v>
      </c>
      <c r="AA640" s="117">
        <v>0.37361111111111112</v>
      </c>
      <c r="AB640" s="155">
        <v>78.5</v>
      </c>
      <c r="AC640" s="155">
        <v>16.3</v>
      </c>
      <c r="AD640" s="96"/>
      <c r="AE640" s="94">
        <f>Table3.110[[#This Row],[Gas 8h, ml]]-Table3.110[[#This Row],[Gas 0h, ml]]</f>
        <v>37.5</v>
      </c>
      <c r="AF640" s="94">
        <f>Table3.110[[#This Row],[Gas 24h, ml]]-Table3.110[[#This Row],[V8 Push back, ml]]</f>
        <v>38.5</v>
      </c>
      <c r="AG640" s="94"/>
      <c r="AH640" s="94"/>
      <c r="AI640" s="94"/>
      <c r="AJ640" s="94"/>
      <c r="AK640" s="94"/>
      <c r="AL640" s="94"/>
      <c r="AM640" s="94"/>
      <c r="AN640" s="94"/>
      <c r="AO640" s="94"/>
      <c r="AP640" s="94"/>
      <c r="AQ640" s="94"/>
      <c r="AR640" s="94"/>
      <c r="AS640" s="94"/>
      <c r="AT640" s="94"/>
      <c r="AU640" s="94"/>
      <c r="AV640" s="94"/>
      <c r="AW640" s="303" t="s">
        <v>640</v>
      </c>
    </row>
    <row r="641" spans="1:49" s="304" customFormat="1" x14ac:dyDescent="0.35">
      <c r="A641" s="89"/>
      <c r="B641" s="90">
        <f t="shared" si="9"/>
        <v>631</v>
      </c>
      <c r="C641" s="140">
        <v>46055</v>
      </c>
      <c r="D641" s="6" t="s">
        <v>16</v>
      </c>
      <c r="E641" s="6" t="s">
        <v>305</v>
      </c>
      <c r="F641" s="133" t="s">
        <v>212</v>
      </c>
      <c r="G641" s="133" t="s">
        <v>301</v>
      </c>
      <c r="H641" s="133" t="s">
        <v>302</v>
      </c>
      <c r="I641" s="133" t="s">
        <v>22</v>
      </c>
      <c r="J641" s="135" t="s">
        <v>23</v>
      </c>
      <c r="K641" s="135" t="s">
        <v>303</v>
      </c>
      <c r="L641" s="6" t="s">
        <v>304</v>
      </c>
      <c r="M641" s="93">
        <v>28</v>
      </c>
      <c r="N641" s="93">
        <v>62</v>
      </c>
      <c r="O641" s="6">
        <v>2</v>
      </c>
      <c r="P641" s="129">
        <v>2</v>
      </c>
      <c r="Q641" s="6">
        <v>0</v>
      </c>
      <c r="R641" s="112">
        <v>0.5</v>
      </c>
      <c r="S641" s="94">
        <f>((Table3.110[[#This Row],[Sample weight, g]]*'2.1. DM'!Q185)/100)*1000</f>
        <v>459.06022234521413</v>
      </c>
      <c r="T641" s="94">
        <f>'3.2 Digest'!W641</f>
        <v>219.56022234521407</v>
      </c>
      <c r="U641" s="117">
        <v>0.35972222222222222</v>
      </c>
      <c r="V641" s="155">
        <v>40</v>
      </c>
      <c r="W641" s="117">
        <v>0.69861111111111107</v>
      </c>
      <c r="X641" s="96">
        <v>76</v>
      </c>
      <c r="Y641" s="96">
        <v>13.6</v>
      </c>
      <c r="Z641" s="155">
        <v>40</v>
      </c>
      <c r="AA641" s="117">
        <v>0.37430555555555556</v>
      </c>
      <c r="AB641" s="155">
        <v>80</v>
      </c>
      <c r="AC641" s="155">
        <v>16.3</v>
      </c>
      <c r="AD641" s="101"/>
      <c r="AE641" s="94">
        <f>Table3.110[[#This Row],[Gas 8h, ml]]-Table3.110[[#This Row],[Gas 0h, ml]]</f>
        <v>36</v>
      </c>
      <c r="AF641" s="94">
        <f>Table3.110[[#This Row],[Gas 24h, ml]]-Table3.110[[#This Row],[V8 Push back, ml]]</f>
        <v>40</v>
      </c>
      <c r="AG641" s="94">
        <f>Table3.110[[#This Row],[GP 8h, ml]]-(AVERAGE(AE$658,AE$659))*$AG$8</f>
        <v>35.336244932930278</v>
      </c>
      <c r="AH641" s="94">
        <f>Table3.110[[#This Row],[GP 8-24h, ml]]-(AVERAGE(AF$658,AF$659))*$AG$8</f>
        <v>38.00873479879084</v>
      </c>
      <c r="AI641" s="94">
        <f>Table3.110[[#This Row],[Net gas 8-24h, ml]]+Table3.110[[#This Row],[Net gas 8h, ml]]</f>
        <v>73.344979731721111</v>
      </c>
      <c r="AJ641" s="94">
        <f>Table3.110[[#This Row],[Net gas 8h, ml]]*Table3.110[[#This Row],[CH4 8h %]]%</f>
        <v>4.805729310878518</v>
      </c>
      <c r="AK641" s="94">
        <f>Table3.110[[#This Row],[Net gas 8-24h, ml]]*Table3.110[[#This Row],[CH4 24h, %]]%</f>
        <v>6.1954237722029069</v>
      </c>
      <c r="AL641" s="94">
        <f>Table3.110[[#This Row],[CH4 8-24h, ml]]+Table3.110[[#This Row],[CH4 8h, ml]]</f>
        <v>11.001153083081425</v>
      </c>
      <c r="AM641" s="94">
        <f>(Table3.110[[#This Row],[Net gas 24h, ml]]/Table3.110[[#This Row],[DM Incubated, mg]])*1000</f>
        <v>159.77202153787474</v>
      </c>
      <c r="AN641" s="94">
        <f>'3.2 Digest'!X641</f>
        <v>47.828195878863227</v>
      </c>
      <c r="AO641" s="94">
        <f>Table3.110[[#This Row],[Digested feed, mg]]/Table3.110[[#This Row],[Net gas 24h, ml]]</f>
        <v>2.9935276163183131</v>
      </c>
      <c r="AP641" s="94">
        <f>Table3.110[[#This Row],[CH4 8h, ml]]/Table3.110[[#This Row],[Net gas 8h, ml]]%</f>
        <v>13.600000000000001</v>
      </c>
      <c r="AQ641" s="94">
        <f>Table3.110[[#This Row],[CH4 24h, ml]]/Table3.110[[#This Row],[Net gas 24h, ml]]%</f>
        <v>14.999190296760712</v>
      </c>
      <c r="AR641" s="94">
        <f>Table3.110[[#This Row],[CH4 24h, ml]]/Table3.110[[#This Row],[DM Incubated, mg]]*1000</f>
        <v>23.964509551447343</v>
      </c>
      <c r="AS641" s="94">
        <f>Table3.110[[#This Row],[CH4 24h, ml]]/Table3.110[[#This Row],[Digested feed, mg]]*1000</f>
        <v>50.105401450105724</v>
      </c>
      <c r="AT641" s="94">
        <f>Table3.110[[#This Row],[CH4 24h, ml]]/'3.2 Digest'!AA641</f>
        <v>-2.9818202758204291</v>
      </c>
      <c r="AU641" s="94">
        <f>((Table3.110[[#This Row],[CH4 24h, ml]]/28.9)*16.04)/Table3.110[[#This Row],[DM Incubated, mg]]*1000</f>
        <v>13.300717411945168</v>
      </c>
      <c r="AV641" s="94">
        <f>((Table3.110[[#This Row],[CH4 24h, ml]]/28.9)*16.04)/Table3.110[[#This Row],[Digested feed, mg]]*1000</f>
        <v>27.809364680266295</v>
      </c>
      <c r="AW641" s="303"/>
    </row>
    <row r="642" spans="1:49" s="304" customFormat="1" x14ac:dyDescent="0.35">
      <c r="A642" s="89"/>
      <c r="B642" s="90">
        <f t="shared" si="9"/>
        <v>632</v>
      </c>
      <c r="C642" s="140">
        <v>46055</v>
      </c>
      <c r="D642" s="6" t="s">
        <v>16</v>
      </c>
      <c r="E642" s="6" t="s">
        <v>305</v>
      </c>
      <c r="F642" s="133" t="s">
        <v>212</v>
      </c>
      <c r="G642" s="133" t="s">
        <v>301</v>
      </c>
      <c r="H642" s="133" t="s">
        <v>302</v>
      </c>
      <c r="I642" s="133" t="s">
        <v>22</v>
      </c>
      <c r="J642" s="135" t="s">
        <v>23</v>
      </c>
      <c r="K642" s="135" t="s">
        <v>303</v>
      </c>
      <c r="L642" s="6" t="s">
        <v>304</v>
      </c>
      <c r="M642" s="93">
        <v>28</v>
      </c>
      <c r="N642" s="93">
        <v>62</v>
      </c>
      <c r="O642" s="6">
        <v>2</v>
      </c>
      <c r="P642" s="129">
        <v>3</v>
      </c>
      <c r="Q642" s="6">
        <v>0</v>
      </c>
      <c r="R642" s="112">
        <v>0.50060000000000004</v>
      </c>
      <c r="S642" s="94">
        <f>((Table3.110[[#This Row],[Sample weight, g]]*'2.1. DM'!Q185)/100)*1000</f>
        <v>459.61109461202841</v>
      </c>
      <c r="T642" s="94">
        <f>'3.2 Digest'!W642</f>
        <v>0</v>
      </c>
      <c r="U642" s="117">
        <v>0.36041666666666666</v>
      </c>
      <c r="V642" s="155">
        <v>40.5</v>
      </c>
      <c r="W642" s="117">
        <v>0.69930555555555551</v>
      </c>
      <c r="X642" s="96">
        <v>76.5</v>
      </c>
      <c r="Y642" s="96">
        <v>13.4</v>
      </c>
      <c r="Z642" s="155">
        <v>40</v>
      </c>
      <c r="AA642" s="117">
        <v>0.37430555555555556</v>
      </c>
      <c r="AB642" s="155">
        <v>77</v>
      </c>
      <c r="AC642" s="155">
        <v>16.5</v>
      </c>
      <c r="AD642" s="96"/>
      <c r="AE642" s="94">
        <f>Table3.110[[#This Row],[Gas 8h, ml]]-Table3.110[[#This Row],[Gas 0h, ml]]</f>
        <v>36</v>
      </c>
      <c r="AF642" s="94">
        <f>Table3.110[[#This Row],[Gas 24h, ml]]-Table3.110[[#This Row],[V8 Push back, ml]]</f>
        <v>37</v>
      </c>
      <c r="AG642" s="94"/>
      <c r="AH642" s="94"/>
      <c r="AI642" s="94"/>
      <c r="AJ642" s="94"/>
      <c r="AK642" s="94"/>
      <c r="AL642" s="94"/>
      <c r="AM642" s="94"/>
      <c r="AN642" s="94"/>
      <c r="AO642" s="94"/>
      <c r="AP642" s="94"/>
      <c r="AQ642" s="94"/>
      <c r="AR642" s="94"/>
      <c r="AS642" s="94"/>
      <c r="AT642" s="94"/>
      <c r="AU642" s="94"/>
      <c r="AV642" s="94"/>
      <c r="AW642" s="303" t="s">
        <v>611</v>
      </c>
    </row>
    <row r="643" spans="1:49" s="304" customFormat="1" x14ac:dyDescent="0.35">
      <c r="A643" s="89"/>
      <c r="B643" s="90">
        <f t="shared" si="9"/>
        <v>633</v>
      </c>
      <c r="C643" s="140">
        <v>46055</v>
      </c>
      <c r="D643" s="6" t="s">
        <v>16</v>
      </c>
      <c r="E643" s="6" t="s">
        <v>307</v>
      </c>
      <c r="F643" s="133" t="s">
        <v>212</v>
      </c>
      <c r="G643" s="133" t="s">
        <v>213</v>
      </c>
      <c r="H643" s="133" t="s">
        <v>214</v>
      </c>
      <c r="I643" s="133" t="s">
        <v>22</v>
      </c>
      <c r="J643" s="135" t="s">
        <v>23</v>
      </c>
      <c r="K643" s="135" t="s">
        <v>215</v>
      </c>
      <c r="L643" s="6" t="s">
        <v>306</v>
      </c>
      <c r="M643" s="93">
        <v>28</v>
      </c>
      <c r="N643" s="93">
        <v>62</v>
      </c>
      <c r="O643" s="6">
        <v>2</v>
      </c>
      <c r="P643" s="129">
        <v>1</v>
      </c>
      <c r="Q643" s="6">
        <v>0</v>
      </c>
      <c r="R643" s="112">
        <v>0.50039999999999996</v>
      </c>
      <c r="S643" s="94">
        <f>((Table3.110[[#This Row],[Sample weight, g]]*'2.1. DM'!Q187)/100)*1000</f>
        <v>453.9064105747708</v>
      </c>
      <c r="T643" s="94">
        <f>'3.2 Digest'!W643</f>
        <v>0</v>
      </c>
      <c r="U643" s="117">
        <v>0.36041666666666666</v>
      </c>
      <c r="V643" s="155">
        <v>40.5</v>
      </c>
      <c r="W643" s="117">
        <v>0.69930555555555551</v>
      </c>
      <c r="X643" s="96">
        <v>74</v>
      </c>
      <c r="Y643" s="96">
        <v>14.5</v>
      </c>
      <c r="Z643" s="155">
        <v>40</v>
      </c>
      <c r="AA643" s="117">
        <v>0.375</v>
      </c>
      <c r="AB643" s="155">
        <v>77.5</v>
      </c>
      <c r="AC643" s="155">
        <v>16.8</v>
      </c>
      <c r="AD643" s="96" t="s">
        <v>574</v>
      </c>
      <c r="AE643" s="94">
        <f>Table3.110[[#This Row],[Gas 8h, ml]]-Table3.110[[#This Row],[Gas 0h, ml]]</f>
        <v>33.5</v>
      </c>
      <c r="AF643" s="94">
        <f>Table3.110[[#This Row],[Gas 24h, ml]]-Table3.110[[#This Row],[V8 Push back, ml]]</f>
        <v>37.5</v>
      </c>
      <c r="AG643" s="94"/>
      <c r="AH643" s="94"/>
      <c r="AI643" s="94"/>
      <c r="AJ643" s="94"/>
      <c r="AK643" s="94"/>
      <c r="AL643" s="94"/>
      <c r="AM643" s="94"/>
      <c r="AN643" s="94"/>
      <c r="AO643" s="94"/>
      <c r="AP643" s="94"/>
      <c r="AQ643" s="94"/>
      <c r="AR643" s="94"/>
      <c r="AS643" s="94"/>
      <c r="AT643" s="94"/>
      <c r="AU643" s="94"/>
      <c r="AV643" s="94"/>
      <c r="AW643" s="303" t="s">
        <v>641</v>
      </c>
    </row>
    <row r="644" spans="1:49" s="304" customFormat="1" x14ac:dyDescent="0.35">
      <c r="A644" s="89"/>
      <c r="B644" s="90">
        <f t="shared" si="9"/>
        <v>634</v>
      </c>
      <c r="C644" s="140">
        <v>46055</v>
      </c>
      <c r="D644" s="6" t="s">
        <v>16</v>
      </c>
      <c r="E644" s="6" t="s">
        <v>307</v>
      </c>
      <c r="F644" s="133" t="s">
        <v>212</v>
      </c>
      <c r="G644" s="133" t="s">
        <v>213</v>
      </c>
      <c r="H644" s="133" t="s">
        <v>214</v>
      </c>
      <c r="I644" s="133" t="s">
        <v>22</v>
      </c>
      <c r="J644" s="135" t="s">
        <v>23</v>
      </c>
      <c r="K644" s="135" t="s">
        <v>215</v>
      </c>
      <c r="L644" s="6" t="s">
        <v>306</v>
      </c>
      <c r="M644" s="93">
        <v>28</v>
      </c>
      <c r="N644" s="93">
        <v>62</v>
      </c>
      <c r="O644" s="6">
        <v>2</v>
      </c>
      <c r="P644" s="129">
        <v>2</v>
      </c>
      <c r="Q644" s="6">
        <v>0</v>
      </c>
      <c r="R644" s="112">
        <v>0.50049999999999994</v>
      </c>
      <c r="S644" s="94">
        <f>((Table3.110[[#This Row],[Sample weight, g]]*'2.1. DM'!Q187)/100)*1000</f>
        <v>453.99711928991366</v>
      </c>
      <c r="T644" s="94">
        <f>'3.2 Digest'!W644</f>
        <v>158.49711928991354</v>
      </c>
      <c r="U644" s="117">
        <v>0.36041666666666666</v>
      </c>
      <c r="V644" s="155">
        <v>40.5</v>
      </c>
      <c r="W644" s="117">
        <v>0.69930555555555551</v>
      </c>
      <c r="X644" s="96">
        <v>73</v>
      </c>
      <c r="Y644" s="96">
        <v>14.2</v>
      </c>
      <c r="Z644" s="155">
        <v>40</v>
      </c>
      <c r="AA644" s="117">
        <v>0.37569444444444444</v>
      </c>
      <c r="AB644" s="155">
        <v>79</v>
      </c>
      <c r="AC644" s="155">
        <v>16.8</v>
      </c>
      <c r="AD644" s="96"/>
      <c r="AE644" s="94">
        <f>Table3.110[[#This Row],[Gas 8h, ml]]-Table3.110[[#This Row],[Gas 0h, ml]]</f>
        <v>32.5</v>
      </c>
      <c r="AF644" s="94">
        <f>Table3.110[[#This Row],[Gas 24h, ml]]-Table3.110[[#This Row],[V8 Push back, ml]]</f>
        <v>39</v>
      </c>
      <c r="AG644" s="94">
        <f>Table3.110[[#This Row],[GP 8h, ml]]-(AVERAGE(AE$658,AE$659))*$AG$8</f>
        <v>31.836244932930278</v>
      </c>
      <c r="AH644" s="94">
        <f>Table3.110[[#This Row],[GP 8-24h, ml]]-(AVERAGE(AF$658,AF$659))*$AG$8</f>
        <v>37.00873479879084</v>
      </c>
      <c r="AI644" s="94">
        <f>Table3.110[[#This Row],[Net gas 8-24h, ml]]+Table3.110[[#This Row],[Net gas 8h, ml]]</f>
        <v>68.844979731721111</v>
      </c>
      <c r="AJ644" s="94">
        <f>Table3.110[[#This Row],[Net gas 8h, ml]]*Table3.110[[#This Row],[CH4 8h %]]%</f>
        <v>4.5207467804760988</v>
      </c>
      <c r="AK644" s="94">
        <f>Table3.110[[#This Row],[Net gas 8-24h, ml]]*Table3.110[[#This Row],[CH4 24h, %]]%</f>
        <v>6.2174674461968618</v>
      </c>
      <c r="AL644" s="94">
        <f>Table3.110[[#This Row],[CH4 8-24h, ml]]+Table3.110[[#This Row],[CH4 8h, ml]]</f>
        <v>10.738214226672961</v>
      </c>
      <c r="AM644" s="94">
        <f>(Table3.110[[#This Row],[Net gas 24h, ml]]/Table3.110[[#This Row],[DM Incubated, mg]])*1000</f>
        <v>151.64188671373057</v>
      </c>
      <c r="AN644" s="94">
        <f>'3.2 Digest'!X644</f>
        <v>34.911481274994699</v>
      </c>
      <c r="AO644" s="94">
        <f>Table3.110[[#This Row],[Digested feed, mg]]/Table3.110[[#This Row],[Net gas 24h, ml]]</f>
        <v>2.3022320568261301</v>
      </c>
      <c r="AP644" s="94">
        <f>Table3.110[[#This Row],[CH4 8h, ml]]/Table3.110[[#This Row],[Net gas 8h, ml]]%</f>
        <v>14.199999999999998</v>
      </c>
      <c r="AQ644" s="94">
        <f>Table3.110[[#This Row],[CH4 24h, ml]]/Table3.110[[#This Row],[Net gas 24h, ml]]%</f>
        <v>15.597672144749293</v>
      </c>
      <c r="AR644" s="94">
        <f>Table3.110[[#This Row],[CH4 24h, ml]]/Table3.110[[#This Row],[DM Incubated, mg]]*1000</f>
        <v>23.652604323719832</v>
      </c>
      <c r="AS644" s="94">
        <f>Table3.110[[#This Row],[CH4 24h, ml]]/Table3.110[[#This Row],[Digested feed, mg]]*1000</f>
        <v>67.750217005718909</v>
      </c>
      <c r="AT644" s="94">
        <f>Table3.110[[#This Row],[CH4 24h, ml]]/'3.2 Digest'!AA644</f>
        <v>-0.92139985814026193</v>
      </c>
      <c r="AU644" s="94">
        <f>((Table3.110[[#This Row],[CH4 24h, ml]]/28.9)*16.04)/Table3.110[[#This Row],[DM Incubated, mg]]*1000</f>
        <v>13.127604614272185</v>
      </c>
      <c r="AV644" s="94">
        <f>((Table3.110[[#This Row],[CH4 24h, ml]]/28.9)*16.04)/Table3.110[[#This Row],[Digested feed, mg]]*1000</f>
        <v>37.60254258725714</v>
      </c>
      <c r="AW644" s="303"/>
    </row>
    <row r="645" spans="1:49" s="304" customFormat="1" x14ac:dyDescent="0.35">
      <c r="A645" s="89"/>
      <c r="B645" s="90">
        <f t="shared" si="9"/>
        <v>635</v>
      </c>
      <c r="C645" s="140">
        <v>46055</v>
      </c>
      <c r="D645" s="6" t="s">
        <v>16</v>
      </c>
      <c r="E645" s="6" t="s">
        <v>307</v>
      </c>
      <c r="F645" s="133" t="s">
        <v>212</v>
      </c>
      <c r="G645" s="133" t="s">
        <v>213</v>
      </c>
      <c r="H645" s="133" t="s">
        <v>214</v>
      </c>
      <c r="I645" s="133" t="s">
        <v>22</v>
      </c>
      <c r="J645" s="135" t="s">
        <v>23</v>
      </c>
      <c r="K645" s="135" t="s">
        <v>215</v>
      </c>
      <c r="L645" s="6" t="s">
        <v>306</v>
      </c>
      <c r="M645" s="93">
        <v>28</v>
      </c>
      <c r="N645" s="93">
        <v>62</v>
      </c>
      <c r="O645" s="6">
        <v>2</v>
      </c>
      <c r="P645" s="129">
        <v>3</v>
      </c>
      <c r="Q645" s="6">
        <v>0</v>
      </c>
      <c r="R645" s="112">
        <v>0.50019999999999998</v>
      </c>
      <c r="S645" s="94">
        <f>((Table3.110[[#This Row],[Sample weight, g]]*'2.1. DM'!Q187)/100)*1000</f>
        <v>453.72499314448515</v>
      </c>
      <c r="T645" s="94">
        <f>'3.2 Digest'!W645</f>
        <v>39.9249931444852</v>
      </c>
      <c r="U645" s="117">
        <v>0.36041666666666666</v>
      </c>
      <c r="V645" s="155">
        <v>41</v>
      </c>
      <c r="W645" s="117">
        <v>0.7</v>
      </c>
      <c r="X645" s="96">
        <v>73</v>
      </c>
      <c r="Y645" s="96">
        <v>14.2</v>
      </c>
      <c r="Z645" s="155">
        <v>40</v>
      </c>
      <c r="AA645" s="117">
        <v>0.37569444444444444</v>
      </c>
      <c r="AB645" s="155">
        <v>77</v>
      </c>
      <c r="AC645" s="155">
        <v>16.8</v>
      </c>
      <c r="AD645" s="96"/>
      <c r="AE645" s="94">
        <f>Table3.110[[#This Row],[Gas 8h, ml]]-Table3.110[[#This Row],[Gas 0h, ml]]</f>
        <v>32</v>
      </c>
      <c r="AF645" s="94">
        <f>Table3.110[[#This Row],[Gas 24h, ml]]-Table3.110[[#This Row],[V8 Push back, ml]]</f>
        <v>37</v>
      </c>
      <c r="AG645" s="94"/>
      <c r="AH645" s="94"/>
      <c r="AI645" s="94"/>
      <c r="AJ645" s="94"/>
      <c r="AK645" s="94"/>
      <c r="AL645" s="94"/>
      <c r="AM645" s="94"/>
      <c r="AN645" s="94"/>
      <c r="AO645" s="94"/>
      <c r="AP645" s="94"/>
      <c r="AQ645" s="94"/>
      <c r="AR645" s="94"/>
      <c r="AS645" s="94"/>
      <c r="AT645" s="94"/>
      <c r="AU645" s="94"/>
      <c r="AV645" s="94"/>
      <c r="AW645" s="303" t="s">
        <v>642</v>
      </c>
    </row>
    <row r="646" spans="1:49" s="304" customFormat="1" x14ac:dyDescent="0.35">
      <c r="A646" s="89"/>
      <c r="B646" s="90">
        <f t="shared" si="9"/>
        <v>636</v>
      </c>
      <c r="C646" s="140">
        <v>46055</v>
      </c>
      <c r="D646" s="6" t="s">
        <v>16</v>
      </c>
      <c r="E646" s="6" t="s">
        <v>309</v>
      </c>
      <c r="F646" s="133" t="s">
        <v>212</v>
      </c>
      <c r="G646" s="133" t="s">
        <v>310</v>
      </c>
      <c r="H646" s="133" t="s">
        <v>311</v>
      </c>
      <c r="I646" s="133" t="s">
        <v>22</v>
      </c>
      <c r="J646" s="135" t="s">
        <v>23</v>
      </c>
      <c r="K646" s="135" t="s">
        <v>215</v>
      </c>
      <c r="L646" s="6" t="s">
        <v>308</v>
      </c>
      <c r="M646" s="93">
        <v>28</v>
      </c>
      <c r="N646" s="93">
        <v>62</v>
      </c>
      <c r="O646" s="6">
        <v>2</v>
      </c>
      <c r="P646" s="129">
        <v>1</v>
      </c>
      <c r="Q646" s="6">
        <v>0</v>
      </c>
      <c r="R646" s="112">
        <v>0.50049999999999994</v>
      </c>
      <c r="S646" s="94">
        <f>((Table3.110[[#This Row],[Sample weight, g]]*'2.1. DM'!Q189)/100)*1000</f>
        <v>463.50843904701611</v>
      </c>
      <c r="T646" s="94">
        <f>'3.2 Digest'!W646</f>
        <v>168.40843904701609</v>
      </c>
      <c r="U646" s="117">
        <v>0.3611111111111111</v>
      </c>
      <c r="V646" s="155">
        <v>41</v>
      </c>
      <c r="W646" s="117">
        <v>0.7</v>
      </c>
      <c r="X646" s="96">
        <v>69.5</v>
      </c>
      <c r="Y646" s="96">
        <v>12.7</v>
      </c>
      <c r="Z646" s="155">
        <v>40.5</v>
      </c>
      <c r="AA646" s="117">
        <v>0.37638888888888888</v>
      </c>
      <c r="AB646" s="155">
        <v>75</v>
      </c>
      <c r="AC646" s="155">
        <v>16.100000000000001</v>
      </c>
      <c r="AD646" s="96"/>
      <c r="AE646" s="94">
        <f>Table3.110[[#This Row],[Gas 8h, ml]]-Table3.110[[#This Row],[Gas 0h, ml]]</f>
        <v>28.5</v>
      </c>
      <c r="AF646" s="94">
        <f>Table3.110[[#This Row],[Gas 24h, ml]]-Table3.110[[#This Row],[V8 Push back, ml]]</f>
        <v>34.5</v>
      </c>
      <c r="AG646" s="94">
        <f>Table3.110[[#This Row],[GP 8h, ml]]-(AVERAGE(AE$658,AE$659))*$AG$8</f>
        <v>27.836244932930278</v>
      </c>
      <c r="AH646" s="94">
        <f>Table3.110[[#This Row],[GP 8-24h, ml]]-(AVERAGE(AF$658,AF$659))*$AG$8</f>
        <v>32.50873479879084</v>
      </c>
      <c r="AI646" s="94">
        <f>Table3.110[[#This Row],[Net gas 8-24h, ml]]+Table3.110[[#This Row],[Net gas 8h, ml]]</f>
        <v>60.344979731721118</v>
      </c>
      <c r="AJ646" s="94">
        <f>Table3.110[[#This Row],[Net gas 8h, ml]]*Table3.110[[#This Row],[CH4 8h %]]%</f>
        <v>3.5352031064821454</v>
      </c>
      <c r="AK646" s="94">
        <f>Table3.110[[#This Row],[Net gas 8-24h, ml]]*Table3.110[[#This Row],[CH4 24h, %]]%</f>
        <v>5.233906302605325</v>
      </c>
      <c r="AL646" s="94">
        <f>Table3.110[[#This Row],[CH4 8-24h, ml]]+Table3.110[[#This Row],[CH4 8h, ml]]</f>
        <v>8.7691094090874699</v>
      </c>
      <c r="AM646" s="94">
        <f>(Table3.110[[#This Row],[Net gas 24h, ml]]/Table3.110[[#This Row],[DM Incubated, mg]])*1000</f>
        <v>130.19176059834373</v>
      </c>
      <c r="AN646" s="94">
        <f>'3.2 Digest'!X646</f>
        <v>36.333413776298798</v>
      </c>
      <c r="AO646" s="94">
        <f>Table3.110[[#This Row],[Digested feed, mg]]/Table3.110[[#This Row],[Net gas 24h, ml]]</f>
        <v>2.7907613822345856</v>
      </c>
      <c r="AP646" s="94">
        <f>Table3.110[[#This Row],[CH4 8h, ml]]/Table3.110[[#This Row],[Net gas 8h, ml]]%</f>
        <v>12.700000000000001</v>
      </c>
      <c r="AQ646" s="94">
        <f>Table3.110[[#This Row],[CH4 24h, ml]]/Table3.110[[#This Row],[Net gas 24h, ml]]%</f>
        <v>14.531630382631274</v>
      </c>
      <c r="AR646" s="94">
        <f>Table3.110[[#This Row],[CH4 24h, ml]]/Table3.110[[#This Row],[DM Incubated, mg]]*1000</f>
        <v>18.918985438791488</v>
      </c>
      <c r="AS646" s="94">
        <f>Table3.110[[#This Row],[CH4 24h, ml]]/Table3.110[[#This Row],[Digested feed, mg]]*1000</f>
        <v>52.070486839672675</v>
      </c>
      <c r="AT646" s="94">
        <f>Table3.110[[#This Row],[CH4 24h, ml]]/'3.2 Digest'!AA646</f>
        <v>-1.2575200485845479</v>
      </c>
      <c r="AU646" s="94">
        <f>((Table3.110[[#This Row],[CH4 24h, ml]]/28.9)*16.04)/Table3.110[[#This Row],[DM Incubated, mg]]*1000</f>
        <v>10.50036423661645</v>
      </c>
      <c r="AV646" s="94">
        <f>((Table3.110[[#This Row],[CH4 24h, ml]]/28.9)*16.04)/Table3.110[[#This Row],[Digested feed, mg]]*1000</f>
        <v>28.900021069493068</v>
      </c>
      <c r="AW646" s="303"/>
    </row>
    <row r="647" spans="1:49" s="304" customFormat="1" x14ac:dyDescent="0.35">
      <c r="A647" s="89"/>
      <c r="B647" s="90">
        <f t="shared" si="9"/>
        <v>637</v>
      </c>
      <c r="C647" s="140">
        <v>46055</v>
      </c>
      <c r="D647" s="6" t="s">
        <v>16</v>
      </c>
      <c r="E647" s="6" t="s">
        <v>309</v>
      </c>
      <c r="F647" s="133" t="s">
        <v>212</v>
      </c>
      <c r="G647" s="133" t="s">
        <v>310</v>
      </c>
      <c r="H647" s="133" t="s">
        <v>311</v>
      </c>
      <c r="I647" s="133" t="s">
        <v>22</v>
      </c>
      <c r="J647" s="135" t="s">
        <v>23</v>
      </c>
      <c r="K647" s="135" t="s">
        <v>215</v>
      </c>
      <c r="L647" s="6" t="s">
        <v>308</v>
      </c>
      <c r="M647" s="93">
        <v>28</v>
      </c>
      <c r="N647" s="93">
        <v>62</v>
      </c>
      <c r="O647" s="6">
        <v>2</v>
      </c>
      <c r="P647" s="129">
        <v>2</v>
      </c>
      <c r="Q647" s="6">
        <v>0</v>
      </c>
      <c r="R647" s="112">
        <v>0.50009999999999999</v>
      </c>
      <c r="S647" s="94">
        <f>((Table3.110[[#This Row],[Sample weight, g]]*'2.1. DM'!Q189)/100)*1000</f>
        <v>463.13800273209341</v>
      </c>
      <c r="T647" s="94">
        <f>'3.2 Digest'!W647</f>
        <v>83.038002732093446</v>
      </c>
      <c r="U647" s="117">
        <v>0.3611111111111111</v>
      </c>
      <c r="V647" s="155">
        <v>41.5</v>
      </c>
      <c r="W647" s="117">
        <v>0.7006944444444444</v>
      </c>
      <c r="X647" s="96">
        <v>68.5</v>
      </c>
      <c r="Y647" s="96">
        <v>12.8</v>
      </c>
      <c r="Z647" s="155">
        <v>40</v>
      </c>
      <c r="AA647" s="117">
        <v>0.37638888888888888</v>
      </c>
      <c r="AB647" s="155">
        <v>75</v>
      </c>
      <c r="AC647" s="155">
        <v>16</v>
      </c>
      <c r="AD647" s="96"/>
      <c r="AE647" s="94">
        <f>Table3.110[[#This Row],[Gas 8h, ml]]-Table3.110[[#This Row],[Gas 0h, ml]]</f>
        <v>27</v>
      </c>
      <c r="AF647" s="94">
        <f>Table3.110[[#This Row],[Gas 24h, ml]]-Table3.110[[#This Row],[V8 Push back, ml]]</f>
        <v>35</v>
      </c>
      <c r="AG647" s="94"/>
      <c r="AH647" s="94"/>
      <c r="AI647" s="94"/>
      <c r="AJ647" s="94"/>
      <c r="AK647" s="94"/>
      <c r="AL647" s="94"/>
      <c r="AM647" s="94"/>
      <c r="AN647" s="94"/>
      <c r="AO647" s="94"/>
      <c r="AP647" s="94"/>
      <c r="AQ647" s="94"/>
      <c r="AR647" s="94"/>
      <c r="AS647" s="94"/>
      <c r="AT647" s="94"/>
      <c r="AU647" s="94"/>
      <c r="AV647" s="94"/>
      <c r="AW647" s="303" t="s">
        <v>643</v>
      </c>
    </row>
    <row r="648" spans="1:49" s="304" customFormat="1" x14ac:dyDescent="0.35">
      <c r="A648" s="89"/>
      <c r="B648" s="90">
        <f t="shared" si="9"/>
        <v>638</v>
      </c>
      <c r="C648" s="140">
        <v>46055</v>
      </c>
      <c r="D648" s="6" t="s">
        <v>16</v>
      </c>
      <c r="E648" s="6" t="s">
        <v>309</v>
      </c>
      <c r="F648" s="133" t="s">
        <v>212</v>
      </c>
      <c r="G648" s="133" t="s">
        <v>310</v>
      </c>
      <c r="H648" s="133" t="s">
        <v>311</v>
      </c>
      <c r="I648" s="133" t="s">
        <v>22</v>
      </c>
      <c r="J648" s="135" t="s">
        <v>23</v>
      </c>
      <c r="K648" s="135" t="s">
        <v>215</v>
      </c>
      <c r="L648" s="6" t="s">
        <v>308</v>
      </c>
      <c r="M648" s="93">
        <v>28</v>
      </c>
      <c r="N648" s="93">
        <v>62</v>
      </c>
      <c r="O648" s="6">
        <v>2</v>
      </c>
      <c r="P648" s="129">
        <v>3</v>
      </c>
      <c r="Q648" s="6">
        <v>0</v>
      </c>
      <c r="R648" s="112">
        <v>0.50049999999999994</v>
      </c>
      <c r="S648" s="94">
        <f>((Table3.110[[#This Row],[Sample weight, g]]*'2.1. DM'!Q189)/100)*1000</f>
        <v>463.50843904701611</v>
      </c>
      <c r="T648" s="94">
        <f>'3.2 Digest'!W648</f>
        <v>0</v>
      </c>
      <c r="U648" s="117">
        <v>0.36180555555555555</v>
      </c>
      <c r="V648" s="155">
        <v>40.5</v>
      </c>
      <c r="W648" s="117">
        <v>0.7006944444444444</v>
      </c>
      <c r="X648" s="96">
        <v>69.5</v>
      </c>
      <c r="Y648" s="96">
        <v>12.7</v>
      </c>
      <c r="Z648" s="155">
        <v>40</v>
      </c>
      <c r="AA648" s="117">
        <v>0.37708333333333333</v>
      </c>
      <c r="AB648" s="155">
        <v>74</v>
      </c>
      <c r="AC648" s="155">
        <v>16</v>
      </c>
      <c r="AD648" s="96"/>
      <c r="AE648" s="94">
        <f>Table3.110[[#This Row],[Gas 8h, ml]]-Table3.110[[#This Row],[Gas 0h, ml]]</f>
        <v>29</v>
      </c>
      <c r="AF648" s="94">
        <f>Table3.110[[#This Row],[Gas 24h, ml]]-Table3.110[[#This Row],[V8 Push back, ml]]</f>
        <v>34</v>
      </c>
      <c r="AG648" s="94"/>
      <c r="AH648" s="94"/>
      <c r="AI648" s="94"/>
      <c r="AJ648" s="94"/>
      <c r="AK648" s="94"/>
      <c r="AL648" s="94"/>
      <c r="AM648" s="94"/>
      <c r="AN648" s="94"/>
      <c r="AO648" s="94"/>
      <c r="AP648" s="94"/>
      <c r="AQ648" s="94"/>
      <c r="AR648" s="94"/>
      <c r="AS648" s="94"/>
      <c r="AT648" s="94"/>
      <c r="AU648" s="94"/>
      <c r="AV648" s="94"/>
      <c r="AW648" s="303" t="s">
        <v>641</v>
      </c>
    </row>
    <row r="649" spans="1:49" s="304" customFormat="1" x14ac:dyDescent="0.35">
      <c r="A649" s="89"/>
      <c r="B649" s="90">
        <f t="shared" si="9"/>
        <v>639</v>
      </c>
      <c r="C649" s="140">
        <v>46055</v>
      </c>
      <c r="D649" s="6" t="s">
        <v>16</v>
      </c>
      <c r="E649" s="6" t="s">
        <v>313</v>
      </c>
      <c r="F649" s="133" t="s">
        <v>290</v>
      </c>
      <c r="G649" s="133" t="s">
        <v>314</v>
      </c>
      <c r="H649" s="133" t="s">
        <v>315</v>
      </c>
      <c r="I649" s="133" t="s">
        <v>22</v>
      </c>
      <c r="J649" s="135" t="s">
        <v>23</v>
      </c>
      <c r="K649" s="135" t="s">
        <v>215</v>
      </c>
      <c r="L649" s="6" t="s">
        <v>312</v>
      </c>
      <c r="M649" s="93">
        <v>28</v>
      </c>
      <c r="N649" s="93">
        <v>62</v>
      </c>
      <c r="O649" s="6">
        <v>2</v>
      </c>
      <c r="P649" s="129">
        <v>1</v>
      </c>
      <c r="Q649" s="6">
        <v>0</v>
      </c>
      <c r="R649" s="112">
        <v>0.50009999999999999</v>
      </c>
      <c r="S649" s="94">
        <f>((Table3.110[[#This Row],[Sample weight, g]]*'2.1. DM'!Q191)/100)*1000</f>
        <v>449.22766568305201</v>
      </c>
      <c r="T649" s="94">
        <f>'3.2 Digest'!W649</f>
        <v>0</v>
      </c>
      <c r="U649" s="117">
        <v>0.36180555555555555</v>
      </c>
      <c r="V649" s="155">
        <v>41</v>
      </c>
      <c r="W649" s="117">
        <v>0.70138888888888884</v>
      </c>
      <c r="X649" s="96">
        <v>63</v>
      </c>
      <c r="Y649" s="96">
        <v>12.8</v>
      </c>
      <c r="Z649" s="155">
        <v>40.5</v>
      </c>
      <c r="AA649" s="117">
        <v>0.37708333333333333</v>
      </c>
      <c r="AB649" s="155">
        <v>83</v>
      </c>
      <c r="AC649" s="155">
        <v>15.2</v>
      </c>
      <c r="AD649" s="96"/>
      <c r="AE649" s="94">
        <f>Table3.110[[#This Row],[Gas 8h, ml]]-Table3.110[[#This Row],[Gas 0h, ml]]</f>
        <v>22</v>
      </c>
      <c r="AF649" s="94">
        <f>Table3.110[[#This Row],[Gas 24h, ml]]-Table3.110[[#This Row],[V8 Push back, ml]]</f>
        <v>42.5</v>
      </c>
      <c r="AG649" s="94"/>
      <c r="AH649" s="94"/>
      <c r="AI649" s="94"/>
      <c r="AJ649" s="94"/>
      <c r="AK649" s="94"/>
      <c r="AL649" s="94"/>
      <c r="AM649" s="94"/>
      <c r="AN649" s="94"/>
      <c r="AO649" s="94"/>
      <c r="AP649" s="94"/>
      <c r="AQ649" s="94"/>
      <c r="AR649" s="94"/>
      <c r="AS649" s="94"/>
      <c r="AT649" s="94"/>
      <c r="AU649" s="94"/>
      <c r="AV649" s="94"/>
      <c r="AW649" s="303" t="s">
        <v>641</v>
      </c>
    </row>
    <row r="650" spans="1:49" s="304" customFormat="1" x14ac:dyDescent="0.35">
      <c r="A650" s="89"/>
      <c r="B650" s="90">
        <f t="shared" si="9"/>
        <v>640</v>
      </c>
      <c r="C650" s="140">
        <v>46055</v>
      </c>
      <c r="D650" s="6" t="s">
        <v>16</v>
      </c>
      <c r="E650" s="6" t="s">
        <v>313</v>
      </c>
      <c r="F650" s="133" t="s">
        <v>290</v>
      </c>
      <c r="G650" s="133" t="s">
        <v>314</v>
      </c>
      <c r="H650" s="133" t="s">
        <v>315</v>
      </c>
      <c r="I650" s="133" t="s">
        <v>22</v>
      </c>
      <c r="J650" s="135" t="s">
        <v>23</v>
      </c>
      <c r="K650" s="135" t="s">
        <v>215</v>
      </c>
      <c r="L650" s="6" t="s">
        <v>312</v>
      </c>
      <c r="M650" s="93">
        <v>28</v>
      </c>
      <c r="N650" s="93">
        <v>62</v>
      </c>
      <c r="O650" s="6">
        <v>2</v>
      </c>
      <c r="P650" s="129">
        <v>2</v>
      </c>
      <c r="Q650" s="6">
        <v>0</v>
      </c>
      <c r="R650" s="112">
        <v>0.50049999999999994</v>
      </c>
      <c r="S650" s="94">
        <f>((Table3.110[[#This Row],[Sample weight, g]]*'2.1. DM'!Q191)/100)*1000</f>
        <v>449.58697595354431</v>
      </c>
      <c r="T650" s="94">
        <f>'3.2 Digest'!W650</f>
        <v>167.58697595354431</v>
      </c>
      <c r="U650" s="117">
        <v>0.36249999999999999</v>
      </c>
      <c r="V650" s="155">
        <v>41.5</v>
      </c>
      <c r="W650" s="117">
        <v>0.70138888888888884</v>
      </c>
      <c r="X650" s="96">
        <v>64</v>
      </c>
      <c r="Y650" s="96">
        <v>12.6</v>
      </c>
      <c r="Z650" s="155">
        <v>40.5</v>
      </c>
      <c r="AA650" s="117">
        <v>0.37777777777777777</v>
      </c>
      <c r="AB650" s="155">
        <v>83</v>
      </c>
      <c r="AC650" s="155">
        <v>15.2</v>
      </c>
      <c r="AD650" s="96"/>
      <c r="AE650" s="94">
        <f>Table3.110[[#This Row],[Gas 8h, ml]]-Table3.110[[#This Row],[Gas 0h, ml]]</f>
        <v>22.5</v>
      </c>
      <c r="AF650" s="94">
        <f>Table3.110[[#This Row],[Gas 24h, ml]]-Table3.110[[#This Row],[V8 Push back, ml]]</f>
        <v>42.5</v>
      </c>
      <c r="AG650" s="94">
        <f>Table3.110[[#This Row],[GP 8h, ml]]-(AVERAGE(AE$658,AE$659))*$AG$8</f>
        <v>21.836244932930278</v>
      </c>
      <c r="AH650" s="94">
        <f>Table3.110[[#This Row],[GP 8-24h, ml]]-(AVERAGE(AF$658,AF$659))*$AG$8</f>
        <v>40.50873479879084</v>
      </c>
      <c r="AI650" s="94">
        <f>Table3.110[[#This Row],[Net gas 8-24h, ml]]+Table3.110[[#This Row],[Net gas 8h, ml]]</f>
        <v>62.344979731721118</v>
      </c>
      <c r="AJ650" s="94">
        <f>Table3.110[[#This Row],[Net gas 8h, ml]]*Table3.110[[#This Row],[CH4 8h %]]%</f>
        <v>2.7513668615492151</v>
      </c>
      <c r="AK650" s="94">
        <f>Table3.110[[#This Row],[Net gas 8-24h, ml]]*Table3.110[[#This Row],[CH4 24h, %]]%</f>
        <v>6.1573276894162072</v>
      </c>
      <c r="AL650" s="94">
        <f>Table3.110[[#This Row],[CH4 8-24h, ml]]+Table3.110[[#This Row],[CH4 8h, ml]]</f>
        <v>8.9086945509654214</v>
      </c>
      <c r="AM650" s="94">
        <f>(Table3.110[[#This Row],[Net gas 24h, ml]]/Table3.110[[#This Row],[DM Incubated, mg]])*1000</f>
        <v>138.67167659715128</v>
      </c>
      <c r="AN650" s="94">
        <f>'3.2 Digest'!X650</f>
        <v>37.275763070783668</v>
      </c>
      <c r="AO650" s="94">
        <f>Table3.110[[#This Row],[Digested feed, mg]]/Table3.110[[#This Row],[Net gas 24h, ml]]</f>
        <v>2.6880588729789268</v>
      </c>
      <c r="AP650" s="94">
        <f>Table3.110[[#This Row],[CH4 8h, ml]]/Table3.110[[#This Row],[Net gas 8h, ml]]%</f>
        <v>12.600000000000001</v>
      </c>
      <c r="AQ650" s="94">
        <f>Table3.110[[#This Row],[CH4 24h, ml]]/Table3.110[[#This Row],[Net gas 24h, ml]]%</f>
        <v>14.289353512184524</v>
      </c>
      <c r="AR650" s="94">
        <f>Table3.110[[#This Row],[CH4 24h, ml]]/Table3.110[[#This Row],[DM Incubated, mg]]*1000</f>
        <v>19.8152860902402</v>
      </c>
      <c r="AS650" s="94">
        <f>Table3.110[[#This Row],[CH4 24h, ml]]/Table3.110[[#This Row],[Digested feed, mg]]*1000</f>
        <v>53.158633004004692</v>
      </c>
      <c r="AT650" s="94">
        <f>Table3.110[[#This Row],[CH4 24h, ml]]/'3.2 Digest'!AA650</f>
        <v>-0.34858553824791294</v>
      </c>
      <c r="AU650" s="94">
        <f>((Table3.110[[#This Row],[CH4 24h, ml]]/28.9)*16.04)/Table3.110[[#This Row],[DM Incubated, mg]]*1000</f>
        <v>10.997826605102173</v>
      </c>
      <c r="AV650" s="94">
        <f>((Table3.110[[#This Row],[CH4 24h, ml]]/28.9)*16.04)/Table3.110[[#This Row],[Digested feed, mg]]*1000</f>
        <v>29.503961016755543</v>
      </c>
      <c r="AW650" s="303"/>
    </row>
    <row r="651" spans="1:49" s="304" customFormat="1" x14ac:dyDescent="0.35">
      <c r="A651" s="89"/>
      <c r="B651" s="90">
        <f t="shared" si="9"/>
        <v>641</v>
      </c>
      <c r="C651" s="140">
        <v>46055</v>
      </c>
      <c r="D651" s="6" t="s">
        <v>16</v>
      </c>
      <c r="E651" s="6" t="s">
        <v>313</v>
      </c>
      <c r="F651" s="133" t="s">
        <v>290</v>
      </c>
      <c r="G651" s="133" t="s">
        <v>314</v>
      </c>
      <c r="H651" s="133" t="s">
        <v>315</v>
      </c>
      <c r="I651" s="133" t="s">
        <v>22</v>
      </c>
      <c r="J651" s="135" t="s">
        <v>23</v>
      </c>
      <c r="K651" s="135" t="s">
        <v>215</v>
      </c>
      <c r="L651" s="6" t="s">
        <v>312</v>
      </c>
      <c r="M651" s="93">
        <v>28</v>
      </c>
      <c r="N651" s="93">
        <v>62</v>
      </c>
      <c r="O651" s="6">
        <v>2</v>
      </c>
      <c r="P651" s="129">
        <v>3</v>
      </c>
      <c r="Q651" s="6">
        <v>0</v>
      </c>
      <c r="R651" s="112">
        <v>0.50049999999999994</v>
      </c>
      <c r="S651" s="94">
        <f>((Table3.110[[#This Row],[Sample weight, g]]*'2.1. DM'!Q191)/100)*1000</f>
        <v>449.58697595354431</v>
      </c>
      <c r="T651" s="94">
        <f>'3.2 Digest'!W651</f>
        <v>77.686975953544277</v>
      </c>
      <c r="U651" s="117">
        <v>0.36249999999999999</v>
      </c>
      <c r="V651" s="155">
        <v>41.5</v>
      </c>
      <c r="W651" s="117">
        <v>0.70208333333333328</v>
      </c>
      <c r="X651" s="96">
        <v>62.5</v>
      </c>
      <c r="Y651" s="96">
        <v>12.6</v>
      </c>
      <c r="Z651" s="155">
        <v>40.5</v>
      </c>
      <c r="AA651" s="117">
        <v>0.37847222222222221</v>
      </c>
      <c r="AB651" s="155">
        <v>82</v>
      </c>
      <c r="AC651" s="155">
        <v>15</v>
      </c>
      <c r="AD651" s="96"/>
      <c r="AE651" s="94">
        <f>Table3.110[[#This Row],[Gas 8h, ml]]-Table3.110[[#This Row],[Gas 0h, ml]]</f>
        <v>21</v>
      </c>
      <c r="AF651" s="94">
        <f>Table3.110[[#This Row],[Gas 24h, ml]]-Table3.110[[#This Row],[V8 Push back, ml]]</f>
        <v>41.5</v>
      </c>
      <c r="AG651" s="94"/>
      <c r="AH651" s="94"/>
      <c r="AI651" s="94"/>
      <c r="AJ651" s="94"/>
      <c r="AK651" s="94"/>
      <c r="AL651" s="94"/>
      <c r="AM651" s="94"/>
      <c r="AN651" s="94"/>
      <c r="AO651" s="94"/>
      <c r="AP651" s="94"/>
      <c r="AQ651" s="94"/>
      <c r="AR651" s="94"/>
      <c r="AS651" s="94"/>
      <c r="AT651" s="94"/>
      <c r="AU651" s="94"/>
      <c r="AV651" s="94"/>
      <c r="AW651" s="303" t="s">
        <v>644</v>
      </c>
    </row>
    <row r="652" spans="1:49" s="304" customFormat="1" x14ac:dyDescent="0.35">
      <c r="A652" s="89"/>
      <c r="B652" s="90">
        <f t="shared" ref="B652:B715" si="10">B651+1</f>
        <v>642</v>
      </c>
      <c r="C652" s="140">
        <v>46055</v>
      </c>
      <c r="D652" s="6" t="s">
        <v>16</v>
      </c>
      <c r="E652" s="6" t="s">
        <v>317</v>
      </c>
      <c r="F652" s="133" t="s">
        <v>290</v>
      </c>
      <c r="G652" s="133" t="s">
        <v>318</v>
      </c>
      <c r="H652" s="133" t="s">
        <v>319</v>
      </c>
      <c r="I652" s="133" t="s">
        <v>22</v>
      </c>
      <c r="J652" s="135" t="s">
        <v>23</v>
      </c>
      <c r="K652" s="135" t="s">
        <v>215</v>
      </c>
      <c r="L652" s="6" t="s">
        <v>316</v>
      </c>
      <c r="M652" s="93">
        <v>28</v>
      </c>
      <c r="N652" s="93">
        <v>62</v>
      </c>
      <c r="O652" s="6">
        <v>2</v>
      </c>
      <c r="P652" s="129">
        <v>1</v>
      </c>
      <c r="Q652" s="6">
        <v>0</v>
      </c>
      <c r="R652" s="112">
        <v>0.50009999999999999</v>
      </c>
      <c r="S652" s="94">
        <f>((Table3.110[[#This Row],[Sample weight, g]]*'2.1. DM'!Q193)/100)*1000</f>
        <v>451.80488659679742</v>
      </c>
      <c r="T652" s="94">
        <f>'3.2 Digest'!W652</f>
        <v>6.204886596797337</v>
      </c>
      <c r="U652" s="117">
        <v>0.36249999999999999</v>
      </c>
      <c r="V652" s="155">
        <v>41.5</v>
      </c>
      <c r="W652" s="117">
        <v>0.70208333333333328</v>
      </c>
      <c r="X652" s="96">
        <v>65.5</v>
      </c>
      <c r="Y652" s="96">
        <v>12.5</v>
      </c>
      <c r="Z652" s="155">
        <v>40.5</v>
      </c>
      <c r="AA652" s="117">
        <v>0.37847222222222221</v>
      </c>
      <c r="AB652" s="155">
        <v>70</v>
      </c>
      <c r="AC652" s="155">
        <v>14.6</v>
      </c>
      <c r="AD652" s="96"/>
      <c r="AE652" s="94">
        <f>Table3.110[[#This Row],[Gas 8h, ml]]-Table3.110[[#This Row],[Gas 0h, ml]]</f>
        <v>24</v>
      </c>
      <c r="AF652" s="94">
        <f>Table3.110[[#This Row],[Gas 24h, ml]]-Table3.110[[#This Row],[V8 Push back, ml]]</f>
        <v>29.5</v>
      </c>
      <c r="AG652" s="94"/>
      <c r="AH652" s="94"/>
      <c r="AI652" s="94"/>
      <c r="AJ652" s="94"/>
      <c r="AK652" s="94"/>
      <c r="AL652" s="94"/>
      <c r="AM652" s="94"/>
      <c r="AN652" s="94"/>
      <c r="AO652" s="94"/>
      <c r="AP652" s="94"/>
      <c r="AQ652" s="94"/>
      <c r="AR652" s="94"/>
      <c r="AS652" s="94"/>
      <c r="AT652" s="94"/>
      <c r="AU652" s="94"/>
      <c r="AV652" s="94"/>
      <c r="AW652" s="303" t="s">
        <v>645</v>
      </c>
    </row>
    <row r="653" spans="1:49" s="304" customFormat="1" x14ac:dyDescent="0.35">
      <c r="A653" s="89"/>
      <c r="B653" s="90">
        <f t="shared" si="10"/>
        <v>643</v>
      </c>
      <c r="C653" s="140">
        <v>46055</v>
      </c>
      <c r="D653" s="6" t="s">
        <v>16</v>
      </c>
      <c r="E653" s="6" t="s">
        <v>317</v>
      </c>
      <c r="F653" s="133" t="s">
        <v>290</v>
      </c>
      <c r="G653" s="133" t="s">
        <v>318</v>
      </c>
      <c r="H653" s="133" t="s">
        <v>319</v>
      </c>
      <c r="I653" s="133" t="s">
        <v>22</v>
      </c>
      <c r="J653" s="135" t="s">
        <v>23</v>
      </c>
      <c r="K653" s="135" t="s">
        <v>215</v>
      </c>
      <c r="L653" s="6" t="s">
        <v>316</v>
      </c>
      <c r="M653" s="93">
        <v>28</v>
      </c>
      <c r="N653" s="93">
        <v>62</v>
      </c>
      <c r="O653" s="6">
        <v>2</v>
      </c>
      <c r="P653" s="129">
        <v>2</v>
      </c>
      <c r="Q653" s="6">
        <v>0</v>
      </c>
      <c r="R653" s="112">
        <v>0.50049999999999994</v>
      </c>
      <c r="S653" s="94">
        <f>((Table3.110[[#This Row],[Sample weight, g]]*'2.1. DM'!Q193)/100)*1000</f>
        <v>452.1662582317478</v>
      </c>
      <c r="T653" s="94">
        <f>'3.2 Digest'!W653</f>
        <v>101.66625823174775</v>
      </c>
      <c r="U653" s="117">
        <v>0.36249999999999999</v>
      </c>
      <c r="V653" s="155">
        <v>41.5</v>
      </c>
      <c r="W653" s="117">
        <v>0.70277777777777772</v>
      </c>
      <c r="X653" s="96">
        <v>66</v>
      </c>
      <c r="Y653" s="96">
        <v>12.3</v>
      </c>
      <c r="Z653" s="155">
        <v>40</v>
      </c>
      <c r="AA653" s="117">
        <v>0.37916666666666665</v>
      </c>
      <c r="AB653" s="155">
        <v>70</v>
      </c>
      <c r="AC653" s="155">
        <v>14.5</v>
      </c>
      <c r="AD653" s="96"/>
      <c r="AE653" s="94">
        <f>Table3.110[[#This Row],[Gas 8h, ml]]-Table3.110[[#This Row],[Gas 0h, ml]]</f>
        <v>24.5</v>
      </c>
      <c r="AF653" s="94">
        <f>Table3.110[[#This Row],[Gas 24h, ml]]-Table3.110[[#This Row],[V8 Push back, ml]]</f>
        <v>30</v>
      </c>
      <c r="AG653" s="94">
        <f>Table3.110[[#This Row],[GP 8h, ml]]-(AVERAGE(AE$658,AE$659))*$AG$8</f>
        <v>23.836244932930278</v>
      </c>
      <c r="AH653" s="94">
        <f>Table3.110[[#This Row],[GP 8-24h, ml]]-(AVERAGE(AF$658,AF$659))*$AG$8</f>
        <v>28.008734798790837</v>
      </c>
      <c r="AI653" s="94">
        <f>Table3.110[[#This Row],[Net gas 8-24h, ml]]+Table3.110[[#This Row],[Net gas 8h, ml]]</f>
        <v>51.844979731721111</v>
      </c>
      <c r="AJ653" s="94">
        <f>Table3.110[[#This Row],[Net gas 8h, ml]]*Table3.110[[#This Row],[CH4 8h %]]%</f>
        <v>2.9318581267504245</v>
      </c>
      <c r="AK653" s="94">
        <f>Table3.110[[#This Row],[Net gas 8-24h, ml]]*Table3.110[[#This Row],[CH4 24h, %]]%</f>
        <v>4.0612665458246706</v>
      </c>
      <c r="AL653" s="94">
        <f>Table3.110[[#This Row],[CH4 8-24h, ml]]+Table3.110[[#This Row],[CH4 8h, ml]]</f>
        <v>6.9931246725750951</v>
      </c>
      <c r="AM653" s="94">
        <f>(Table3.110[[#This Row],[Net gas 24h, ml]]/Table3.110[[#This Row],[DM Incubated, mg]])*1000</f>
        <v>114.65910776816327</v>
      </c>
      <c r="AN653" s="94">
        <f>'3.2 Digest'!X653</f>
        <v>22.484264666126627</v>
      </c>
      <c r="AO653" s="94">
        <f>Table3.110[[#This Row],[Digested feed, mg]]/Table3.110[[#This Row],[Net gas 24h, ml]]</f>
        <v>1.960966302963828</v>
      </c>
      <c r="AP653" s="94">
        <f>Table3.110[[#This Row],[CH4 8h, ml]]/Table3.110[[#This Row],[Net gas 8h, ml]]%</f>
        <v>12.3</v>
      </c>
      <c r="AQ653" s="94">
        <f>Table3.110[[#This Row],[CH4 24h, ml]]/Table3.110[[#This Row],[Net gas 24h, ml]]%</f>
        <v>13.488528125118322</v>
      </c>
      <c r="AR653" s="94">
        <f>Table3.110[[#This Row],[CH4 24h, ml]]/Table3.110[[#This Row],[DM Incubated, mg]]*1000</f>
        <v>15.465825999318428</v>
      </c>
      <c r="AS653" s="94">
        <f>Table3.110[[#This Row],[CH4 24h, ml]]/Table3.110[[#This Row],[Digested feed, mg]]*1000</f>
        <v>68.785109181792663</v>
      </c>
      <c r="AT653" s="94">
        <f>Table3.110[[#This Row],[CH4 24h, ml]]/'3.2 Digest'!AA653</f>
        <v>-0.1146379682343575</v>
      </c>
      <c r="AU653" s="94">
        <f>((Table3.110[[#This Row],[CH4 24h, ml]]/28.9)*16.04)/Table3.110[[#This Row],[DM Incubated, mg]]*1000</f>
        <v>8.5838010044660056</v>
      </c>
      <c r="AV653" s="94">
        <f>((Table3.110[[#This Row],[CH4 24h, ml]]/28.9)*16.04)/Table3.110[[#This Row],[Digested feed, mg]]*1000</f>
        <v>38.176925649686993</v>
      </c>
      <c r="AW653" s="303"/>
    </row>
    <row r="654" spans="1:49" s="304" customFormat="1" x14ac:dyDescent="0.35">
      <c r="A654" s="89"/>
      <c r="B654" s="90">
        <f t="shared" si="10"/>
        <v>644</v>
      </c>
      <c r="C654" s="140">
        <v>46055</v>
      </c>
      <c r="D654" s="6" t="s">
        <v>16</v>
      </c>
      <c r="E654" s="6" t="s">
        <v>317</v>
      </c>
      <c r="F654" s="133" t="s">
        <v>290</v>
      </c>
      <c r="G654" s="133" t="s">
        <v>318</v>
      </c>
      <c r="H654" s="133" t="s">
        <v>319</v>
      </c>
      <c r="I654" s="133" t="s">
        <v>22</v>
      </c>
      <c r="J654" s="135" t="s">
        <v>23</v>
      </c>
      <c r="K654" s="135" t="s">
        <v>215</v>
      </c>
      <c r="L654" s="6" t="s">
        <v>316</v>
      </c>
      <c r="M654" s="93">
        <v>28</v>
      </c>
      <c r="N654" s="93">
        <v>62</v>
      </c>
      <c r="O654" s="6">
        <v>2</v>
      </c>
      <c r="P654" s="129">
        <v>3</v>
      </c>
      <c r="Q654" s="6">
        <v>0</v>
      </c>
      <c r="R654" s="112">
        <v>0.50019999999999998</v>
      </c>
      <c r="S654" s="94">
        <f>((Table3.110[[#This Row],[Sample weight, g]]*'2.1. DM'!Q193)/100)*1000</f>
        <v>451.89522950553499</v>
      </c>
      <c r="T654" s="94">
        <f>'3.2 Digest'!W654</f>
        <v>41.895229505534928</v>
      </c>
      <c r="U654" s="117">
        <v>0.36319444444444443</v>
      </c>
      <c r="V654" s="155">
        <v>40</v>
      </c>
      <c r="W654" s="117">
        <v>0.70277777777777772</v>
      </c>
      <c r="X654" s="96">
        <v>65</v>
      </c>
      <c r="Y654" s="96">
        <v>12.3</v>
      </c>
      <c r="Z654" s="155">
        <v>40</v>
      </c>
      <c r="AA654" s="117">
        <v>0.37916666666666665</v>
      </c>
      <c r="AB654" s="155">
        <v>68.5</v>
      </c>
      <c r="AC654" s="155">
        <v>14.5</v>
      </c>
      <c r="AD654" s="101"/>
      <c r="AE654" s="94">
        <f>Table3.110[[#This Row],[Gas 8h, ml]]-Table3.110[[#This Row],[Gas 0h, ml]]</f>
        <v>25</v>
      </c>
      <c r="AF654" s="94">
        <f>Table3.110[[#This Row],[Gas 24h, ml]]-Table3.110[[#This Row],[V8 Push back, ml]]</f>
        <v>28.5</v>
      </c>
      <c r="AG654" s="94"/>
      <c r="AH654" s="94"/>
      <c r="AI654" s="94"/>
      <c r="AJ654" s="94"/>
      <c r="AK654" s="94"/>
      <c r="AL654" s="94"/>
      <c r="AM654" s="94"/>
      <c r="AN654" s="94"/>
      <c r="AO654" s="94"/>
      <c r="AP654" s="94"/>
      <c r="AQ654" s="94"/>
      <c r="AR654" s="94"/>
      <c r="AS654" s="94"/>
      <c r="AT654" s="94"/>
      <c r="AU654" s="94"/>
      <c r="AV654" s="94"/>
      <c r="AW654" s="303" t="s">
        <v>646</v>
      </c>
    </row>
    <row r="655" spans="1:49" s="304" customFormat="1" x14ac:dyDescent="0.35">
      <c r="A655" s="89"/>
      <c r="B655" s="90">
        <f t="shared" si="10"/>
        <v>645</v>
      </c>
      <c r="C655" s="140">
        <v>46050</v>
      </c>
      <c r="D655" s="8" t="s">
        <v>120</v>
      </c>
      <c r="E655" s="6" t="s">
        <v>122</v>
      </c>
      <c r="F655" s="133" t="s">
        <v>123</v>
      </c>
      <c r="G655" s="133" t="s">
        <v>545</v>
      </c>
      <c r="H655" s="133" t="s">
        <v>125</v>
      </c>
      <c r="I655" s="133" t="s">
        <v>108</v>
      </c>
      <c r="J655" s="135" t="s">
        <v>109</v>
      </c>
      <c r="K655" s="135" t="s">
        <v>110</v>
      </c>
      <c r="L655" s="6" t="s">
        <v>121</v>
      </c>
      <c r="M655" s="93">
        <v>28</v>
      </c>
      <c r="N655" s="93">
        <v>61</v>
      </c>
      <c r="O655" s="6">
        <v>2</v>
      </c>
      <c r="P655" s="129">
        <v>1</v>
      </c>
      <c r="Q655" s="6">
        <v>0</v>
      </c>
      <c r="R655" s="111">
        <v>0.50029999999999997</v>
      </c>
      <c r="S655" s="94">
        <f>((Table3.110[[#This Row],[Sample weight, g]]*'2.1. DM'!Q195)/100)*1000</f>
        <v>468.03064999999998</v>
      </c>
      <c r="T655" s="94">
        <f>'3.2 Digest'!W655</f>
        <v>179.93064999999996</v>
      </c>
      <c r="U655" s="153">
        <v>0.36458333333333331</v>
      </c>
      <c r="V655" s="154">
        <v>41</v>
      </c>
      <c r="W655" s="153">
        <v>0.70138888888888884</v>
      </c>
      <c r="X655" s="91">
        <v>70.5</v>
      </c>
      <c r="Y655" s="91">
        <v>15.4</v>
      </c>
      <c r="Z655" s="154">
        <v>40</v>
      </c>
      <c r="AA655" s="153">
        <v>0.40347222222222223</v>
      </c>
      <c r="AB655" s="154">
        <v>89.5</v>
      </c>
      <c r="AC655" s="154">
        <v>16.5</v>
      </c>
      <c r="AD655" s="102"/>
      <c r="AE655" s="94">
        <f>Table3.110[[#This Row],[Gas 8h, ml]]-Table3.110[[#This Row],[Gas 0h, ml]]</f>
        <v>29.5</v>
      </c>
      <c r="AF655" s="94">
        <f>Table3.110[[#This Row],[Gas 24h, ml]]-Table3.110[[#This Row],[V8 Push back, ml]]</f>
        <v>49.5</v>
      </c>
      <c r="AG655" s="94">
        <f>Table3.110[[#This Row],[GP 8h, ml]]-(AVERAGE(AE$479,AE$480,AE$660,AE$661,AE$662,AE$663))*AG$8</f>
        <v>26.107474101643646</v>
      </c>
      <c r="AH655" s="94">
        <f>Table3.110[[#This Row],[GP 8-24h, ml]]-(AVERAGE(AF$479,AF$480,AF$660,AF$661,AF$662,AF$663))*AG$8</f>
        <v>45.185592064046816</v>
      </c>
      <c r="AI655" s="94">
        <f>Table3.110[[#This Row],[Net gas 8-24h, ml]]+Table3.110[[#This Row],[Net gas 8h, ml]]</f>
        <v>71.293066165690462</v>
      </c>
      <c r="AJ655" s="94">
        <f>Table3.110[[#This Row],[Net gas 8h, ml]]*Table3.110[[#This Row],[CH4 8h %]]%</f>
        <v>4.0205510116531213</v>
      </c>
      <c r="AK655" s="94">
        <f>Table3.110[[#This Row],[Net gas 8-24h, ml]]*Table3.110[[#This Row],[CH4 24h, %]]%</f>
        <v>7.4556226905677248</v>
      </c>
      <c r="AL655" s="94">
        <f>Table3.110[[#This Row],[CH4 8-24h, ml]]+Table3.110[[#This Row],[CH4 8h, ml]]</f>
        <v>11.476173702220846</v>
      </c>
      <c r="AM655" s="94">
        <f>(Table3.110[[#This Row],[Net gas 24h, ml]]/Table3.110[[#This Row],[DM Incubated, mg]])*1000</f>
        <v>152.32563543795789</v>
      </c>
      <c r="AN655" s="94">
        <f>'3.2 Digest'!X655</f>
        <v>38.444202318801125</v>
      </c>
      <c r="AO655" s="94">
        <f>Table3.110[[#This Row],[Digested feed, mg]]/Table3.110[[#This Row],[Net gas 24h, ml]]</f>
        <v>2.5238169667415842</v>
      </c>
      <c r="AP655" s="94">
        <f>Table3.110[[#This Row],[CH4 8h, ml]]/Table3.110[[#This Row],[Net gas 8h, ml]]%</f>
        <v>15.399999999999999</v>
      </c>
      <c r="AQ655" s="94">
        <f>Table3.110[[#This Row],[CH4 24h, ml]]/Table3.110[[#This Row],[Net gas 24h, ml]]%</f>
        <v>16.097180720982532</v>
      </c>
      <c r="AR655" s="94">
        <f>Table3.110[[#This Row],[CH4 24h, ml]]/Table3.110[[#This Row],[DM Incubated, mg]]*1000</f>
        <v>24.520132820833094</v>
      </c>
      <c r="AS655" s="94">
        <f>Table3.110[[#This Row],[CH4 24h, ml]]/Table3.110[[#This Row],[Digested feed, mg]]*1000</f>
        <v>63.781094006056499</v>
      </c>
      <c r="AT655" s="94">
        <f>Table3.110[[#This Row],[CH4 24h, ml]]/'3.2 Digest'!AA655</f>
        <v>0.60047075776033043</v>
      </c>
      <c r="AU655" s="94">
        <f>((Table3.110[[#This Row],[CH4 24h, ml]]/28.9)*16.04)/Table3.110[[#This Row],[DM Incubated, mg]]*1000</f>
        <v>13.609097939313591</v>
      </c>
      <c r="AV655" s="94">
        <f>((Table3.110[[#This Row],[CH4 24h, ml]]/28.9)*16.04)/Table3.110[[#This Row],[Digested feed, mg]]*1000</f>
        <v>35.399610652496399</v>
      </c>
      <c r="AW655" s="303"/>
    </row>
    <row r="656" spans="1:49" s="304" customFormat="1" x14ac:dyDescent="0.35">
      <c r="A656" s="89"/>
      <c r="B656" s="90">
        <f t="shared" si="10"/>
        <v>646</v>
      </c>
      <c r="C656" s="140">
        <v>46050</v>
      </c>
      <c r="D656" s="8" t="s">
        <v>120</v>
      </c>
      <c r="E656" s="6" t="s">
        <v>122</v>
      </c>
      <c r="F656" s="133" t="s">
        <v>123</v>
      </c>
      <c r="G656" s="133" t="s">
        <v>545</v>
      </c>
      <c r="H656" s="133" t="s">
        <v>125</v>
      </c>
      <c r="I656" s="133" t="s">
        <v>108</v>
      </c>
      <c r="J656" s="135" t="s">
        <v>109</v>
      </c>
      <c r="K656" s="135" t="s">
        <v>110</v>
      </c>
      <c r="L656" s="6" t="s">
        <v>121</v>
      </c>
      <c r="M656" s="93">
        <v>28</v>
      </c>
      <c r="N656" s="93">
        <v>61</v>
      </c>
      <c r="O656" s="6">
        <v>2</v>
      </c>
      <c r="P656" s="129">
        <v>2</v>
      </c>
      <c r="Q656" s="6">
        <v>0</v>
      </c>
      <c r="R656" s="112">
        <v>0.5</v>
      </c>
      <c r="S656" s="94">
        <f>((Table3.110[[#This Row],[Sample weight, g]]*'2.1. DM'!Q195)/100)*1000</f>
        <v>467.75</v>
      </c>
      <c r="T656" s="94">
        <f>'3.2 Digest'!W656</f>
        <v>157.14999999999992</v>
      </c>
      <c r="U656" s="117">
        <v>0.36458333333333331</v>
      </c>
      <c r="V656" s="155">
        <v>40.5</v>
      </c>
      <c r="W656" s="117">
        <v>0.70208333333333328</v>
      </c>
      <c r="X656" s="96">
        <v>65</v>
      </c>
      <c r="Y656" s="96">
        <v>17</v>
      </c>
      <c r="Z656" s="155">
        <v>40</v>
      </c>
      <c r="AA656" s="117">
        <v>0.40416666666666667</v>
      </c>
      <c r="AB656" s="155">
        <v>89</v>
      </c>
      <c r="AC656" s="155">
        <v>16.5</v>
      </c>
      <c r="AD656" s="96"/>
      <c r="AE656" s="94">
        <f>Table3.110[[#This Row],[Gas 8h, ml]]-Table3.110[[#This Row],[Gas 0h, ml]]</f>
        <v>24.5</v>
      </c>
      <c r="AF656" s="94">
        <f>Table3.110[[#This Row],[Gas 24h, ml]]-Table3.110[[#This Row],[V8 Push back, ml]]</f>
        <v>49</v>
      </c>
      <c r="AG656" s="94">
        <f>Table3.110[[#This Row],[GP 8h, ml]]-(AVERAGE(AE$479,AE$480,AE$660,AE$661,AE$662,AE$663))*AG$8</f>
        <v>21.107474101643646</v>
      </c>
      <c r="AH656" s="94">
        <f>Table3.110[[#This Row],[GP 8-24h, ml]]-(AVERAGE(AF$479,AF$480,AF$660,AF$661,AF$662,AF$663))*AG$8</f>
        <v>44.685592064046816</v>
      </c>
      <c r="AI656" s="94">
        <f>Table3.110[[#This Row],[Net gas 8-24h, ml]]+Table3.110[[#This Row],[Net gas 8h, ml]]</f>
        <v>65.793066165690462</v>
      </c>
      <c r="AJ656" s="94">
        <f>Table3.110[[#This Row],[Net gas 8h, ml]]*Table3.110[[#This Row],[CH4 8h %]]%</f>
        <v>3.5882705972794202</v>
      </c>
      <c r="AK656" s="94">
        <f>Table3.110[[#This Row],[Net gas 8-24h, ml]]*Table3.110[[#This Row],[CH4 24h, %]]%</f>
        <v>7.3731226905677252</v>
      </c>
      <c r="AL656" s="94">
        <f>Table3.110[[#This Row],[CH4 8-24h, ml]]+Table3.110[[#This Row],[CH4 8h, ml]]</f>
        <v>10.961393287847145</v>
      </c>
      <c r="AM656" s="94">
        <f>(Table3.110[[#This Row],[Net gas 24h, ml]]/Table3.110[[#This Row],[DM Incubated, mg]])*1000</f>
        <v>140.65861286090959</v>
      </c>
      <c r="AN656" s="94">
        <f>'3.2 Digest'!X656</f>
        <v>33.59700694815605</v>
      </c>
      <c r="AO656" s="94">
        <f>Table3.110[[#This Row],[Digested feed, mg]]/Table3.110[[#This Row],[Net gas 24h, ml]]</f>
        <v>2.388549571534484</v>
      </c>
      <c r="AP656" s="94">
        <f>Table3.110[[#This Row],[CH4 8h, ml]]/Table3.110[[#This Row],[Net gas 8h, ml]]%</f>
        <v>17</v>
      </c>
      <c r="AQ656" s="94">
        <f>Table3.110[[#This Row],[CH4 24h, ml]]/Table3.110[[#This Row],[Net gas 24h, ml]]%</f>
        <v>16.660408043975998</v>
      </c>
      <c r="AR656" s="94">
        <f>Table3.110[[#This Row],[CH4 24h, ml]]/Table3.110[[#This Row],[DM Incubated, mg]]*1000</f>
        <v>23.434298851624039</v>
      </c>
      <c r="AS656" s="94">
        <f>Table3.110[[#This Row],[CH4 24h, ml]]/Table3.110[[#This Row],[Digested feed, mg]]*1000</f>
        <v>69.751150415826586</v>
      </c>
      <c r="AT656" s="94">
        <f>Table3.110[[#This Row],[CH4 24h, ml]]/'3.2 Digest'!AA656</f>
        <v>0.86022628803394896</v>
      </c>
      <c r="AU656" s="94">
        <f>((Table3.110[[#This Row],[CH4 24h, ml]]/28.9)*16.04)/Table3.110[[#This Row],[DM Incubated, mg]]*1000</f>
        <v>13.006441300347737</v>
      </c>
      <c r="AV656" s="94">
        <f>((Table3.110[[#This Row],[CH4 24h, ml]]/28.9)*16.04)/Table3.110[[#This Row],[Digested feed, mg]]*1000</f>
        <v>38.713095248091996</v>
      </c>
      <c r="AW656" s="303"/>
    </row>
    <row r="657" spans="1:49" s="304" customFormat="1" x14ac:dyDescent="0.35">
      <c r="A657" s="89"/>
      <c r="B657" s="90">
        <f t="shared" si="10"/>
        <v>647</v>
      </c>
      <c r="C657" s="140">
        <v>46050</v>
      </c>
      <c r="D657" s="8" t="s">
        <v>120</v>
      </c>
      <c r="E657" s="6" t="s">
        <v>122</v>
      </c>
      <c r="F657" s="133" t="s">
        <v>123</v>
      </c>
      <c r="G657" s="133" t="s">
        <v>545</v>
      </c>
      <c r="H657" s="133" t="s">
        <v>125</v>
      </c>
      <c r="I657" s="133" t="s">
        <v>108</v>
      </c>
      <c r="J657" s="135" t="s">
        <v>109</v>
      </c>
      <c r="K657" s="135" t="s">
        <v>110</v>
      </c>
      <c r="L657" s="6" t="s">
        <v>121</v>
      </c>
      <c r="M657" s="93">
        <v>28</v>
      </c>
      <c r="N657" s="93">
        <v>61</v>
      </c>
      <c r="O657" s="6">
        <v>2</v>
      </c>
      <c r="P657" s="129">
        <v>3</v>
      </c>
      <c r="Q657" s="6">
        <v>0</v>
      </c>
      <c r="R657" s="111">
        <v>0.50009999999999999</v>
      </c>
      <c r="S657" s="94">
        <f>((Table3.110[[#This Row],[Sample weight, g]]*'2.1. DM'!Q195)/100)*1000</f>
        <v>467.84354999999999</v>
      </c>
      <c r="T657" s="94">
        <f>'3.2 Digest'!W657</f>
        <v>105.74355000000003</v>
      </c>
      <c r="U657" s="153">
        <v>0.36458333333333331</v>
      </c>
      <c r="V657" s="154">
        <v>41</v>
      </c>
      <c r="W657" s="153">
        <v>0.70208333333333328</v>
      </c>
      <c r="X657" s="91">
        <v>69</v>
      </c>
      <c r="Y657" s="91">
        <v>15.6</v>
      </c>
      <c r="Z657" s="154">
        <v>40</v>
      </c>
      <c r="AA657" s="153">
        <v>0.40416666666666667</v>
      </c>
      <c r="AB657" s="116">
        <v>87.5</v>
      </c>
      <c r="AC657" s="154">
        <v>16.7</v>
      </c>
      <c r="AD657" s="102"/>
      <c r="AE657" s="94">
        <f>Table3.110[[#This Row],[Gas 8h, ml]]-Table3.110[[#This Row],[Gas 0h, ml]]</f>
        <v>28</v>
      </c>
      <c r="AF657" s="94">
        <f>Table3.110[[#This Row],[Gas 24h, ml]]-Table3.110[[#This Row],[V8 Push back, ml]]</f>
        <v>47.5</v>
      </c>
      <c r="AG657" s="94">
        <f>Table3.110[[#This Row],[GP 8h, ml]]-(AVERAGE(AE$479,AE$480,AE$660,AE$661,AE$662,AE$663))*AG$8</f>
        <v>24.607474101643646</v>
      </c>
      <c r="AH657" s="94">
        <f>Table3.110[[#This Row],[GP 8-24h, ml]]-(AVERAGE(AF$479,AF$480,AF$660,AF$661,AF$662,AF$663))*AG$8</f>
        <v>43.185592064046816</v>
      </c>
      <c r="AI657" s="94">
        <f>Table3.110[[#This Row],[Net gas 8-24h, ml]]+Table3.110[[#This Row],[Net gas 8h, ml]]</f>
        <v>67.793066165690462</v>
      </c>
      <c r="AJ657" s="94">
        <f>Table3.110[[#This Row],[Net gas 8h, ml]]*Table3.110[[#This Row],[CH4 8h %]]%</f>
        <v>3.838765959856409</v>
      </c>
      <c r="AK657" s="94">
        <f>Table3.110[[#This Row],[Net gas 8-24h, ml]]*Table3.110[[#This Row],[CH4 24h, %]]%</f>
        <v>7.2119938746958177</v>
      </c>
      <c r="AL657" s="94">
        <f>Table3.110[[#This Row],[CH4 8-24h, ml]]+Table3.110[[#This Row],[CH4 8h, ml]]</f>
        <v>11.050759834552228</v>
      </c>
      <c r="AM657" s="94">
        <f>(Table3.110[[#This Row],[Net gas 24h, ml]]/Table3.110[[#This Row],[DM Incubated, mg]])*1000</f>
        <v>144.90542012536127</v>
      </c>
      <c r="AN657" s="94">
        <f>'3.2 Digest'!X657</f>
        <v>22.602331484531536</v>
      </c>
      <c r="AO657" s="94">
        <f>Table3.110[[#This Row],[Digested feed, mg]]/Table3.110[[#This Row],[Net gas 24h, ml]]</f>
        <v>1.5597988995151248</v>
      </c>
      <c r="AP657" s="94">
        <f>Table3.110[[#This Row],[CH4 8h, ml]]/Table3.110[[#This Row],[Net gas 8h, ml]]%</f>
        <v>15.600000000000001</v>
      </c>
      <c r="AQ657" s="94">
        <f>Table3.110[[#This Row],[CH4 24h, ml]]/Table3.110[[#This Row],[Net gas 24h, ml]]%</f>
        <v>16.300722860865275</v>
      </c>
      <c r="AR657" s="94">
        <f>Table3.110[[#This Row],[CH4 24h, ml]]/Table3.110[[#This Row],[DM Incubated, mg]]*1000</f>
        <v>23.620630945007637</v>
      </c>
      <c r="AS657" s="94">
        <f>Table3.110[[#This Row],[CH4 24h, ml]]/Table3.110[[#This Row],[Digested feed, mg]]*1000</f>
        <v>104.50528504624845</v>
      </c>
      <c r="AT657" s="94">
        <f>Table3.110[[#This Row],[CH4 24h, ml]]/'3.2 Digest'!AA657</f>
        <v>-6.4805673666654879</v>
      </c>
      <c r="AU657" s="94">
        <f>((Table3.110[[#This Row],[CH4 24h, ml]]/28.9)*16.04)/Table3.110[[#This Row],[DM Incubated, mg]]*1000</f>
        <v>13.109858835914272</v>
      </c>
      <c r="AV657" s="94">
        <f>((Table3.110[[#This Row],[CH4 24h, ml]]/28.9)*16.04)/Table3.110[[#This Row],[Digested feed, mg]]*1000</f>
        <v>58.002241250582173</v>
      </c>
      <c r="AW657" s="303"/>
    </row>
    <row r="658" spans="1:49" s="304" customFormat="1" x14ac:dyDescent="0.35">
      <c r="A658" s="89"/>
      <c r="B658" s="90">
        <f t="shared" si="10"/>
        <v>648</v>
      </c>
      <c r="C658" s="140">
        <v>46055</v>
      </c>
      <c r="D658" s="92"/>
      <c r="E658" s="6" t="s">
        <v>537</v>
      </c>
      <c r="F658" s="133" t="s">
        <v>538</v>
      </c>
      <c r="G658" s="133">
        <v>24</v>
      </c>
      <c r="H658" s="133" t="s">
        <v>537</v>
      </c>
      <c r="I658" s="133"/>
      <c r="J658" s="135"/>
      <c r="K658" s="135"/>
      <c r="L658" s="6" t="s">
        <v>539</v>
      </c>
      <c r="M658" s="93">
        <v>28</v>
      </c>
      <c r="N658" s="93">
        <v>62</v>
      </c>
      <c r="O658" s="6">
        <v>2</v>
      </c>
      <c r="P658" s="6">
        <v>1</v>
      </c>
      <c r="Q658" s="6">
        <v>0</v>
      </c>
      <c r="R658" s="98"/>
      <c r="S658" s="94"/>
      <c r="T658" s="94">
        <f>'3.2 Digest'!W658</f>
        <v>0</v>
      </c>
      <c r="U658" s="153">
        <v>0.33333333333333331</v>
      </c>
      <c r="V658" s="154">
        <v>39.5</v>
      </c>
      <c r="W658" s="153">
        <v>0.66666666666666663</v>
      </c>
      <c r="X658" s="91">
        <v>40.5</v>
      </c>
      <c r="Y658" s="91"/>
      <c r="Z658" s="154">
        <v>39.5</v>
      </c>
      <c r="AA658" s="153">
        <v>0.33958333333333335</v>
      </c>
      <c r="AB658" s="154">
        <v>42</v>
      </c>
      <c r="AC658" s="154"/>
      <c r="AD658" s="91"/>
      <c r="AE658" s="94">
        <f>Table3.110[[#This Row],[Gas 8h, ml]]-Table3.110[[#This Row],[Gas 0h, ml]]</f>
        <v>1</v>
      </c>
      <c r="AF658" s="94">
        <f>Table3.110[[#This Row],[Gas 24h, ml]]-Table3.110[[#This Row],[V8 Push back, ml]]</f>
        <v>2.5</v>
      </c>
      <c r="AG658" s="94"/>
      <c r="AH658" s="94"/>
      <c r="AI658" s="94"/>
      <c r="AJ658" s="94"/>
      <c r="AK658" s="94"/>
      <c r="AL658" s="94"/>
      <c r="AM658" s="94"/>
      <c r="AN658" s="94"/>
      <c r="AO658" s="94"/>
      <c r="AP658" s="94"/>
      <c r="AQ658" s="94"/>
      <c r="AR658" s="94"/>
      <c r="AS658" s="94"/>
      <c r="AT658" s="94"/>
      <c r="AU658" s="94"/>
      <c r="AV658" s="94"/>
      <c r="AW658" s="303"/>
    </row>
    <row r="659" spans="1:49" s="304" customFormat="1" x14ac:dyDescent="0.35">
      <c r="A659" s="89"/>
      <c r="B659" s="90">
        <f t="shared" si="10"/>
        <v>649</v>
      </c>
      <c r="C659" s="140">
        <v>46055</v>
      </c>
      <c r="D659" s="92"/>
      <c r="E659" s="6" t="s">
        <v>537</v>
      </c>
      <c r="F659" s="133" t="s">
        <v>538</v>
      </c>
      <c r="G659" s="133">
        <v>24</v>
      </c>
      <c r="H659" s="133" t="s">
        <v>537</v>
      </c>
      <c r="I659" s="133"/>
      <c r="J659" s="135"/>
      <c r="K659" s="135"/>
      <c r="L659" s="6" t="s">
        <v>539</v>
      </c>
      <c r="M659" s="93">
        <v>28</v>
      </c>
      <c r="N659" s="93">
        <v>62</v>
      </c>
      <c r="O659" s="6">
        <v>2</v>
      </c>
      <c r="P659" s="129">
        <v>2</v>
      </c>
      <c r="Q659" s="6">
        <v>0</v>
      </c>
      <c r="R659" s="98"/>
      <c r="S659" s="94"/>
      <c r="T659" s="94">
        <f>'3.2 Digest'!W659</f>
        <v>0</v>
      </c>
      <c r="U659" s="117">
        <v>0.33402777777777776</v>
      </c>
      <c r="V659" s="155">
        <v>39.5</v>
      </c>
      <c r="W659" s="117">
        <v>0.66666666666666663</v>
      </c>
      <c r="X659" s="96">
        <v>40</v>
      </c>
      <c r="Y659" s="96"/>
      <c r="Z659" s="155">
        <v>39</v>
      </c>
      <c r="AA659" s="117">
        <v>0.34027777777777779</v>
      </c>
      <c r="AB659" s="155">
        <v>41</v>
      </c>
      <c r="AC659" s="155"/>
      <c r="AD659" s="96"/>
      <c r="AE659" s="94">
        <f>Table3.110[[#This Row],[Gas 8h, ml]]-Table3.110[[#This Row],[Gas 0h, ml]]</f>
        <v>0.5</v>
      </c>
      <c r="AF659" s="94">
        <f>Table3.110[[#This Row],[Gas 24h, ml]]-Table3.110[[#This Row],[V8 Push back, ml]]</f>
        <v>2</v>
      </c>
      <c r="AG659" s="94"/>
      <c r="AH659" s="94"/>
      <c r="AI659" s="94"/>
      <c r="AJ659" s="94"/>
      <c r="AK659" s="94"/>
      <c r="AL659" s="94"/>
      <c r="AM659" s="94"/>
      <c r="AN659" s="94"/>
      <c r="AO659" s="94"/>
      <c r="AP659" s="94"/>
      <c r="AQ659" s="94"/>
      <c r="AR659" s="94"/>
      <c r="AS659" s="94"/>
      <c r="AT659" s="94"/>
      <c r="AU659" s="94"/>
      <c r="AV659" s="94"/>
      <c r="AW659" s="303"/>
    </row>
    <row r="660" spans="1:49" s="304" customFormat="1" x14ac:dyDescent="0.35">
      <c r="A660" s="89"/>
      <c r="B660" s="90">
        <f t="shared" si="10"/>
        <v>650</v>
      </c>
      <c r="C660" s="140">
        <v>46050</v>
      </c>
      <c r="D660" s="92"/>
      <c r="E660" s="6"/>
      <c r="F660" s="133" t="s">
        <v>554</v>
      </c>
      <c r="G660" s="133" t="s">
        <v>542</v>
      </c>
      <c r="H660" s="133" t="s">
        <v>575</v>
      </c>
      <c r="I660" s="133"/>
      <c r="J660" s="135"/>
      <c r="K660" s="135"/>
      <c r="L660" s="6"/>
      <c r="M660" s="93">
        <v>28</v>
      </c>
      <c r="N660" s="93">
        <v>61</v>
      </c>
      <c r="O660" s="6">
        <v>2</v>
      </c>
      <c r="P660" s="129">
        <v>1</v>
      </c>
      <c r="Q660" s="25">
        <v>276</v>
      </c>
      <c r="R660" s="98"/>
      <c r="S660" s="94"/>
      <c r="T660" s="94">
        <f>'3.2 Digest'!W660</f>
        <v>0</v>
      </c>
      <c r="U660" s="117">
        <v>0.36527777777777776</v>
      </c>
      <c r="V660" s="155">
        <v>39.5</v>
      </c>
      <c r="W660" s="117">
        <v>0.70277777777777772</v>
      </c>
      <c r="X660" s="96">
        <v>43.5</v>
      </c>
      <c r="Y660" s="96"/>
      <c r="Z660" s="155"/>
      <c r="AA660" s="117"/>
      <c r="AB660" s="155"/>
      <c r="AC660" s="155"/>
      <c r="AD660" s="96"/>
      <c r="AE660" s="94">
        <f>Table3.110[[#This Row],[Gas 8h, ml]]-Table3.110[[#This Row],[Gas 0h, ml]]</f>
        <v>4</v>
      </c>
      <c r="AF660" s="94"/>
      <c r="AG660" s="94"/>
      <c r="AH660" s="94"/>
      <c r="AI660" s="94"/>
      <c r="AJ660" s="94"/>
      <c r="AK660" s="94"/>
      <c r="AL660" s="94"/>
      <c r="AM660" s="94"/>
      <c r="AN660" s="94"/>
      <c r="AO660" s="94"/>
      <c r="AP660" s="94"/>
      <c r="AQ660" s="94"/>
      <c r="AR660" s="94"/>
      <c r="AS660" s="94"/>
      <c r="AT660" s="94"/>
      <c r="AU660" s="94"/>
      <c r="AV660" s="94"/>
      <c r="AW660" s="303"/>
    </row>
    <row r="661" spans="1:49" s="304" customFormat="1" x14ac:dyDescent="0.35">
      <c r="A661" s="89"/>
      <c r="B661" s="90">
        <f t="shared" si="10"/>
        <v>651</v>
      </c>
      <c r="C661" s="140">
        <v>46050</v>
      </c>
      <c r="D661" s="92"/>
      <c r="E661" s="6"/>
      <c r="F661" s="133" t="s">
        <v>554</v>
      </c>
      <c r="G661" s="133" t="s">
        <v>542</v>
      </c>
      <c r="H661" s="133" t="s">
        <v>575</v>
      </c>
      <c r="I661" s="133"/>
      <c r="J661" s="135"/>
      <c r="K661" s="135"/>
      <c r="L661" s="6"/>
      <c r="M661" s="93">
        <v>28</v>
      </c>
      <c r="N661" s="93">
        <v>61</v>
      </c>
      <c r="O661" s="6">
        <v>2</v>
      </c>
      <c r="P661" s="129">
        <v>2</v>
      </c>
      <c r="Q661" s="8">
        <v>277</v>
      </c>
      <c r="R661" s="98"/>
      <c r="S661" s="94"/>
      <c r="T661" s="94">
        <f>'3.2 Digest'!W661</f>
        <v>0</v>
      </c>
      <c r="U661" s="153">
        <v>0.3659722222222222</v>
      </c>
      <c r="V661" s="154">
        <v>39.5</v>
      </c>
      <c r="W661" s="153">
        <v>0.70277777777777772</v>
      </c>
      <c r="X661" s="91">
        <v>43.5</v>
      </c>
      <c r="Y661" s="91"/>
      <c r="Z661" s="154"/>
      <c r="AA661" s="153"/>
      <c r="AB661" s="154"/>
      <c r="AC661" s="154"/>
      <c r="AD661" s="91" t="s">
        <v>559</v>
      </c>
      <c r="AE661" s="94">
        <f>Table3.110[[#This Row],[Gas 8h, ml]]-Table3.110[[#This Row],[Gas 0h, ml]]</f>
        <v>4</v>
      </c>
      <c r="AF661" s="94"/>
      <c r="AG661" s="94"/>
      <c r="AH661" s="94"/>
      <c r="AI661" s="94"/>
      <c r="AJ661" s="94"/>
      <c r="AK661" s="94"/>
      <c r="AL661" s="94"/>
      <c r="AM661" s="94"/>
      <c r="AN661" s="94"/>
      <c r="AO661" s="94"/>
      <c r="AP661" s="94"/>
      <c r="AQ661" s="94"/>
      <c r="AR661" s="94"/>
      <c r="AS661" s="94"/>
      <c r="AT661" s="94"/>
      <c r="AU661" s="94"/>
      <c r="AV661" s="94"/>
      <c r="AW661" s="303"/>
    </row>
    <row r="662" spans="1:49" s="304" customFormat="1" x14ac:dyDescent="0.35">
      <c r="A662" s="89"/>
      <c r="B662" s="90">
        <f t="shared" si="10"/>
        <v>652</v>
      </c>
      <c r="C662" s="140">
        <v>46050</v>
      </c>
      <c r="D662" s="92"/>
      <c r="E662" s="6"/>
      <c r="F662" s="133" t="s">
        <v>554</v>
      </c>
      <c r="G662" s="133" t="s">
        <v>576</v>
      </c>
      <c r="H662" s="133" t="s">
        <v>577</v>
      </c>
      <c r="I662" s="133"/>
      <c r="J662" s="135"/>
      <c r="K662" s="135"/>
      <c r="L662" s="6"/>
      <c r="M662" s="93">
        <v>28</v>
      </c>
      <c r="N662" s="93">
        <v>61</v>
      </c>
      <c r="O662" s="6">
        <v>2</v>
      </c>
      <c r="P662" s="129">
        <v>1</v>
      </c>
      <c r="Q662" s="25">
        <v>278</v>
      </c>
      <c r="R662" s="98"/>
      <c r="S662" s="94"/>
      <c r="T662" s="94">
        <f>'3.2 Digest'!W662</f>
        <v>0</v>
      </c>
      <c r="U662" s="117">
        <v>0.3659722222222222</v>
      </c>
      <c r="V662" s="155">
        <v>40</v>
      </c>
      <c r="W662" s="117">
        <v>0.70347222222222228</v>
      </c>
      <c r="X662" s="96">
        <v>43</v>
      </c>
      <c r="Y662" s="96"/>
      <c r="Z662" s="155">
        <v>39.5</v>
      </c>
      <c r="AA662" s="117">
        <v>0.40486111111111112</v>
      </c>
      <c r="AB662" s="155">
        <v>45</v>
      </c>
      <c r="AC662" s="155"/>
      <c r="AD662" s="96"/>
      <c r="AE662" s="94">
        <f>Table3.110[[#This Row],[Gas 8h, ml]]-Table3.110[[#This Row],[Gas 0h, ml]]</f>
        <v>3</v>
      </c>
      <c r="AF662" s="94">
        <f>Table3.110[[#This Row],[Gas 24h, ml]]-Table3.110[[#This Row],[V8 Push back, ml]]</f>
        <v>5.5</v>
      </c>
      <c r="AG662" s="94"/>
      <c r="AH662" s="94"/>
      <c r="AI662" s="94"/>
      <c r="AJ662" s="94"/>
      <c r="AK662" s="94"/>
      <c r="AL662" s="94"/>
      <c r="AM662" s="94"/>
      <c r="AN662" s="94"/>
      <c r="AO662" s="94"/>
      <c r="AP662" s="94"/>
      <c r="AQ662" s="94"/>
      <c r="AR662" s="94"/>
      <c r="AS662" s="94"/>
      <c r="AT662" s="94"/>
      <c r="AU662" s="94"/>
      <c r="AV662" s="94"/>
      <c r="AW662" s="303"/>
    </row>
    <row r="663" spans="1:49" s="304" customFormat="1" x14ac:dyDescent="0.35">
      <c r="A663" s="89"/>
      <c r="B663" s="90">
        <f t="shared" si="10"/>
        <v>653</v>
      </c>
      <c r="C663" s="140">
        <v>46050</v>
      </c>
      <c r="D663" s="92"/>
      <c r="E663" s="6"/>
      <c r="F663" s="133" t="s">
        <v>554</v>
      </c>
      <c r="G663" s="133" t="s">
        <v>576</v>
      </c>
      <c r="H663" s="133" t="s">
        <v>577</v>
      </c>
      <c r="I663" s="187"/>
      <c r="J663" s="188"/>
      <c r="K663" s="133"/>
      <c r="L663" s="6"/>
      <c r="M663" s="93">
        <v>28</v>
      </c>
      <c r="N663" s="93">
        <v>61</v>
      </c>
      <c r="O663" s="6">
        <v>2</v>
      </c>
      <c r="P663" s="129">
        <v>2</v>
      </c>
      <c r="Q663" s="8">
        <v>279</v>
      </c>
      <c r="R663" s="98"/>
      <c r="S663" s="94"/>
      <c r="T663" s="94">
        <f>'3.2 Digest'!W663</f>
        <v>0</v>
      </c>
      <c r="U663" s="153">
        <v>0.36666666666666664</v>
      </c>
      <c r="V663" s="154">
        <v>39.5</v>
      </c>
      <c r="W663" s="153">
        <v>0.70347222222222228</v>
      </c>
      <c r="X663" s="91">
        <v>43.5</v>
      </c>
      <c r="Y663" s="91"/>
      <c r="Z663" s="154">
        <v>39</v>
      </c>
      <c r="AA663" s="153">
        <v>0.40555555555555556</v>
      </c>
      <c r="AB663" s="154">
        <v>44</v>
      </c>
      <c r="AC663" s="154"/>
      <c r="AD663" s="91"/>
      <c r="AE663" s="94">
        <f>Table3.110[[#This Row],[Gas 8h, ml]]-Table3.110[[#This Row],[Gas 0h, ml]]</f>
        <v>4</v>
      </c>
      <c r="AF663" s="94">
        <f>Table3.110[[#This Row],[Gas 24h, ml]]-Table3.110[[#This Row],[V8 Push back, ml]]</f>
        <v>5</v>
      </c>
      <c r="AG663" s="94"/>
      <c r="AH663" s="94"/>
      <c r="AI663" s="94"/>
      <c r="AJ663" s="94"/>
      <c r="AK663" s="94"/>
      <c r="AL663" s="94"/>
      <c r="AM663" s="94"/>
      <c r="AN663" s="94"/>
      <c r="AO663" s="94"/>
      <c r="AP663" s="94"/>
      <c r="AQ663" s="94"/>
      <c r="AR663" s="94"/>
      <c r="AS663" s="94"/>
      <c r="AT663" s="94"/>
      <c r="AU663" s="94"/>
      <c r="AV663" s="94"/>
      <c r="AW663" s="303"/>
    </row>
    <row r="664" spans="1:49" s="304" customFormat="1" x14ac:dyDescent="0.35">
      <c r="A664" s="89"/>
      <c r="B664" s="90">
        <f t="shared" si="10"/>
        <v>654</v>
      </c>
      <c r="C664" s="139">
        <v>46076</v>
      </c>
      <c r="D664" s="92"/>
      <c r="E664" s="320" t="s">
        <v>537</v>
      </c>
      <c r="F664" s="242"/>
      <c r="G664" s="242"/>
      <c r="H664" s="320" t="s">
        <v>537</v>
      </c>
      <c r="I664" s="242"/>
      <c r="J664" s="243"/>
      <c r="K664" s="243"/>
      <c r="L664" s="320" t="s">
        <v>539</v>
      </c>
      <c r="M664" s="256">
        <v>28</v>
      </c>
      <c r="N664" s="256">
        <v>69</v>
      </c>
      <c r="O664" s="256">
        <v>3</v>
      </c>
      <c r="P664" s="257">
        <v>1</v>
      </c>
      <c r="Q664" s="96">
        <v>73</v>
      </c>
      <c r="R664" s="93"/>
      <c r="S664" s="94"/>
      <c r="T664" s="94">
        <f>'3.2 Digest'!W664</f>
        <v>0</v>
      </c>
      <c r="U664" s="153">
        <v>0.34027777777777779</v>
      </c>
      <c r="V664" s="154">
        <v>40</v>
      </c>
      <c r="W664" s="153">
        <v>0.68541666666666667</v>
      </c>
      <c r="X664" s="95">
        <v>42.5</v>
      </c>
      <c r="Y664" s="95"/>
      <c r="Z664" s="154">
        <v>39.5</v>
      </c>
      <c r="AA664" s="153">
        <v>0.36458333333333331</v>
      </c>
      <c r="AB664" s="154">
        <v>43</v>
      </c>
      <c r="AC664" s="154"/>
      <c r="AD664" s="91"/>
      <c r="AE664" s="94">
        <f>Table3.110[[#This Row],[Gas 8h, ml]]-Table3.110[[#This Row],[Gas 0h, ml]]</f>
        <v>2.5</v>
      </c>
      <c r="AF664" s="94">
        <f>Table3.110[[#This Row],[Gas 24h, ml]]-Table3.110[[#This Row],[V8 Push back, ml]]</f>
        <v>3.5</v>
      </c>
      <c r="AG664" s="94"/>
      <c r="AH664" s="94"/>
      <c r="AI664" s="94"/>
      <c r="AJ664" s="94"/>
      <c r="AK664" s="94"/>
      <c r="AL664" s="94"/>
      <c r="AM664" s="94"/>
      <c r="AN664" s="94"/>
      <c r="AO664" s="94"/>
      <c r="AP664" s="94"/>
      <c r="AQ664" s="94"/>
      <c r="AR664" s="94"/>
      <c r="AS664" s="94"/>
      <c r="AT664" s="94"/>
      <c r="AU664" s="94"/>
      <c r="AV664" s="94"/>
      <c r="AW664" s="303"/>
    </row>
    <row r="665" spans="1:49" s="304" customFormat="1" x14ac:dyDescent="0.35">
      <c r="A665" s="89"/>
      <c r="B665" s="90">
        <f t="shared" si="10"/>
        <v>655</v>
      </c>
      <c r="C665" s="140">
        <v>46076</v>
      </c>
      <c r="D665" s="92"/>
      <c r="E665" s="320" t="s">
        <v>537</v>
      </c>
      <c r="F665" s="242"/>
      <c r="G665" s="242"/>
      <c r="H665" s="320" t="s">
        <v>537</v>
      </c>
      <c r="I665" s="242"/>
      <c r="J665" s="243"/>
      <c r="K665" s="243"/>
      <c r="L665" s="320" t="s">
        <v>539</v>
      </c>
      <c r="M665" s="256">
        <v>28</v>
      </c>
      <c r="N665" s="256">
        <v>69</v>
      </c>
      <c r="O665" s="256">
        <v>3</v>
      </c>
      <c r="P665" s="257">
        <v>2</v>
      </c>
      <c r="Q665" s="96">
        <v>74</v>
      </c>
      <c r="R665" s="93"/>
      <c r="S665" s="94"/>
      <c r="T665" s="94">
        <f>'3.2 Digest'!W665</f>
        <v>0</v>
      </c>
      <c r="U665" s="117">
        <v>0.34027777777777779</v>
      </c>
      <c r="V665" s="155">
        <v>39.5</v>
      </c>
      <c r="W665" s="117">
        <v>0.68611111111111112</v>
      </c>
      <c r="X665" s="97">
        <v>41.5</v>
      </c>
      <c r="Y665" s="97"/>
      <c r="Z665" s="155">
        <v>39.5</v>
      </c>
      <c r="AA665" s="117">
        <v>0.36458333333333331</v>
      </c>
      <c r="AB665" s="155">
        <v>42</v>
      </c>
      <c r="AC665" s="155"/>
      <c r="AD665" s="96"/>
      <c r="AE665" s="94">
        <f>Table3.110[[#This Row],[Gas 8h, ml]]-Table3.110[[#This Row],[Gas 0h, ml]]</f>
        <v>2</v>
      </c>
      <c r="AF665" s="94">
        <f>Table3.110[[#This Row],[Gas 24h, ml]]-Table3.110[[#This Row],[V8 Push back, ml]]</f>
        <v>2.5</v>
      </c>
      <c r="AG665" s="94"/>
      <c r="AH665" s="94"/>
      <c r="AI665" s="94"/>
      <c r="AJ665" s="94"/>
      <c r="AK665" s="94"/>
      <c r="AL665" s="94"/>
      <c r="AM665" s="94"/>
      <c r="AN665" s="94"/>
      <c r="AO665" s="94"/>
      <c r="AP665" s="94"/>
      <c r="AQ665" s="94"/>
      <c r="AR665" s="94"/>
      <c r="AS665" s="94"/>
      <c r="AT665" s="94"/>
      <c r="AU665" s="94"/>
      <c r="AV665" s="94"/>
      <c r="AW665" s="303"/>
    </row>
    <row r="666" spans="1:49" s="304" customFormat="1" x14ac:dyDescent="0.35">
      <c r="A666" s="89"/>
      <c r="B666" s="90">
        <f t="shared" si="10"/>
        <v>656</v>
      </c>
      <c r="C666" s="139">
        <v>46076</v>
      </c>
      <c r="D666" s="92" t="s">
        <v>16</v>
      </c>
      <c r="E666" s="6" t="s">
        <v>128</v>
      </c>
      <c r="F666" s="242" t="s">
        <v>129</v>
      </c>
      <c r="G666" s="242" t="s">
        <v>130</v>
      </c>
      <c r="H666" s="6" t="str">
        <f>'[2]1. Information samples'!$K$16</f>
        <v>Erythrina berteroana</v>
      </c>
      <c r="I666" s="6" t="s">
        <v>22</v>
      </c>
      <c r="J666" s="129" t="s">
        <v>23</v>
      </c>
      <c r="K666" s="129" t="s">
        <v>24</v>
      </c>
      <c r="L666" s="6" t="s">
        <v>127</v>
      </c>
      <c r="M666" s="256">
        <v>28</v>
      </c>
      <c r="N666" s="256">
        <v>69</v>
      </c>
      <c r="O666" s="256">
        <v>3</v>
      </c>
      <c r="P666" s="257">
        <v>1</v>
      </c>
      <c r="Q666" s="96">
        <v>75</v>
      </c>
      <c r="R666" s="98">
        <v>0.50009999999999999</v>
      </c>
      <c r="S666" s="94">
        <f>((Table3.110[[#This Row],[Sample weight, g]]*'2.1. DM'!Q77)/100)*1000</f>
        <v>473.0304128348663</v>
      </c>
      <c r="T666" s="94">
        <f>'3.2 Digest'!W666</f>
        <v>258.73041283486634</v>
      </c>
      <c r="U666" s="153">
        <v>0.34097222222222223</v>
      </c>
      <c r="V666" s="154">
        <v>41</v>
      </c>
      <c r="W666" s="153">
        <v>0.68611111111111112</v>
      </c>
      <c r="X666" s="95">
        <v>69.5</v>
      </c>
      <c r="Y666" s="95">
        <v>13.3</v>
      </c>
      <c r="Z666" s="154">
        <v>40</v>
      </c>
      <c r="AA666" s="153">
        <v>0.36527777777777776</v>
      </c>
      <c r="AB666" s="154">
        <v>79.5</v>
      </c>
      <c r="AC666" s="154">
        <v>15</v>
      </c>
      <c r="AD666" s="91"/>
      <c r="AE666" s="94">
        <f>Table3.110[[#This Row],[Gas 8h, ml]]-Table3.110[[#This Row],[Gas 0h, ml]]</f>
        <v>28.5</v>
      </c>
      <c r="AF666" s="94">
        <f>Table3.110[[#This Row],[Gas 24h, ml]]-Table3.110[[#This Row],[V8 Push back, ml]]</f>
        <v>39.5</v>
      </c>
      <c r="AG666" s="94">
        <f>Table3.110[[#This Row],[GP 8h, ml]]-(AVERAGE(AE$479,AE$480,AE$660,AE$661,AE$662,AE$663))*AG$8</f>
        <v>25.107474101643646</v>
      </c>
      <c r="AH666" s="94">
        <f>Table3.110[[#This Row],[GP 8-24h, ml]]-(AVERAGE(AF$479,AF$480,AF$660,AF$661,AF$662,AF$663))*AG$8</f>
        <v>35.185592064046816</v>
      </c>
      <c r="AI666" s="94">
        <f>Table3.110[[#This Row],[Net gas 8-24h, ml]]+Table3.110[[#This Row],[Net gas 8h, ml]]</f>
        <v>60.293066165690462</v>
      </c>
      <c r="AJ666" s="94">
        <f>Table3.110[[#This Row],[Net gas 8h, ml]]*Table3.110[[#This Row],[CH4 8h %]]%</f>
        <v>3.339294055518605</v>
      </c>
      <c r="AK666" s="94">
        <f>Table3.110[[#This Row],[Net gas 8-24h, ml]]*Table3.110[[#This Row],[CH4 24h, %]]%</f>
        <v>5.2778388096070223</v>
      </c>
      <c r="AL666" s="94">
        <f>Table3.110[[#This Row],[CH4 8-24h, ml]]+Table3.110[[#This Row],[CH4 8h, ml]]</f>
        <v>8.6171328651256278</v>
      </c>
      <c r="AM666" s="94">
        <f>(Table3.110[[#This Row],[Net gas 24h, ml]]/Table3.110[[#This Row],[DM Incubated, mg]])*1000</f>
        <v>127.4612890202022</v>
      </c>
      <c r="AN666" s="94">
        <f>'3.2 Digest'!X666</f>
        <v>54.696359010892706</v>
      </c>
      <c r="AO666" s="94">
        <f>Table3.110[[#This Row],[Digested feed, mg]]/Table3.110[[#This Row],[Net gas 24h, ml]]</f>
        <v>4.291213389676571</v>
      </c>
      <c r="AP666" s="94">
        <f>Table3.110[[#This Row],[CH4 8h, ml]]/Table3.110[[#This Row],[Net gas 8h, ml]]%</f>
        <v>13.3</v>
      </c>
      <c r="AQ666" s="94">
        <f>Table3.110[[#This Row],[CH4 24h, ml]]/Table3.110[[#This Row],[Net gas 24h, ml]]%</f>
        <v>14.2920793602452</v>
      </c>
      <c r="AR666" s="94">
        <f>Table3.110[[#This Row],[CH4 24h, ml]]/Table3.110[[#This Row],[DM Incubated, mg]]*1000</f>
        <v>18.216868580358799</v>
      </c>
      <c r="AS666" s="94">
        <f>Table3.110[[#This Row],[CH4 24h, ml]]/Table3.110[[#This Row],[Digested feed, mg]]*1000</f>
        <v>33.305450142907937</v>
      </c>
      <c r="AT666" s="94">
        <f>Table3.110[[#This Row],[CH4 24h, ml]]/'3.2 Digest'!AA666</f>
        <v>0.67118660800652674</v>
      </c>
      <c r="AU666" s="94">
        <f>((Table3.110[[#This Row],[CH4 24h, ml]]/28.9)*16.04)/Table3.110[[#This Row],[DM Incubated, mg]]*1000</f>
        <v>10.110677232835821</v>
      </c>
      <c r="AV666" s="94">
        <f>((Table3.110[[#This Row],[CH4 24h, ml]]/28.9)*16.04)/Table3.110[[#This Row],[Digested feed, mg]]*1000</f>
        <v>18.48510104817451</v>
      </c>
      <c r="AW666" s="303"/>
    </row>
    <row r="667" spans="1:49" s="304" customFormat="1" x14ac:dyDescent="0.35">
      <c r="A667" s="89"/>
      <c r="B667" s="90">
        <f t="shared" si="10"/>
        <v>657</v>
      </c>
      <c r="C667" s="140">
        <v>46076</v>
      </c>
      <c r="D667" s="92" t="s">
        <v>16</v>
      </c>
      <c r="E667" s="6" t="s">
        <v>128</v>
      </c>
      <c r="F667" s="242" t="s">
        <v>129</v>
      </c>
      <c r="G667" s="242" t="s">
        <v>130</v>
      </c>
      <c r="H667" s="6" t="str">
        <f>'[2]1. Information samples'!$K$16</f>
        <v>Erythrina berteroana</v>
      </c>
      <c r="I667" s="6" t="s">
        <v>22</v>
      </c>
      <c r="J667" s="129" t="s">
        <v>23</v>
      </c>
      <c r="K667" s="129" t="s">
        <v>24</v>
      </c>
      <c r="L667" s="6" t="s">
        <v>127</v>
      </c>
      <c r="M667" s="256">
        <v>28</v>
      </c>
      <c r="N667" s="256">
        <v>69</v>
      </c>
      <c r="O667" s="256">
        <v>3</v>
      </c>
      <c r="P667" s="257">
        <v>2</v>
      </c>
      <c r="Q667" s="96">
        <v>76</v>
      </c>
      <c r="R667" s="98">
        <v>0.5</v>
      </c>
      <c r="S667" s="94">
        <f>((Table3.110[[#This Row],[Sample weight, g]]*'2.1. DM'!Q77)/100)*1000</f>
        <v>472.93582566973237</v>
      </c>
      <c r="T667" s="94">
        <f>'3.2 Digest'!W667</f>
        <v>249.9358256697324</v>
      </c>
      <c r="U667" s="117">
        <v>0.34097222222222223</v>
      </c>
      <c r="V667" s="155">
        <v>41</v>
      </c>
      <c r="W667" s="117">
        <v>0.68611111111111112</v>
      </c>
      <c r="X667" s="97">
        <v>70</v>
      </c>
      <c r="Y667" s="97">
        <v>13.1</v>
      </c>
      <c r="Z667" s="155">
        <v>41</v>
      </c>
      <c r="AA667" s="117">
        <v>0.36527777777777776</v>
      </c>
      <c r="AB667" s="155">
        <v>81</v>
      </c>
      <c r="AC667" s="155">
        <v>15</v>
      </c>
      <c r="AD667" s="96"/>
      <c r="AE667" s="94">
        <f>Table3.110[[#This Row],[Gas 8h, ml]]-Table3.110[[#This Row],[Gas 0h, ml]]</f>
        <v>29</v>
      </c>
      <c r="AF667" s="94">
        <f>Table3.110[[#This Row],[Gas 24h, ml]]-Table3.110[[#This Row],[V8 Push back, ml]]</f>
        <v>40</v>
      </c>
      <c r="AG667" s="94">
        <f>Table3.110[[#This Row],[GP 8h, ml]]-(AVERAGE(AE$479,AE$480,AE$660,AE$661,AE$662,AE$663))*AG$8</f>
        <v>25.607474101643646</v>
      </c>
      <c r="AH667" s="94">
        <f>Table3.110[[#This Row],[GP 8-24h, ml]]-(AVERAGE(AF$479,AF$480,AF$660,AF$661,AF$662,AF$663))*AG$8</f>
        <v>35.685592064046816</v>
      </c>
      <c r="AI667" s="94">
        <f>Table3.110[[#This Row],[Net gas 8-24h, ml]]+Table3.110[[#This Row],[Net gas 8h, ml]]</f>
        <v>61.293066165690462</v>
      </c>
      <c r="AJ667" s="94">
        <f>Table3.110[[#This Row],[Net gas 8h, ml]]*Table3.110[[#This Row],[CH4 8h %]]%</f>
        <v>3.3545791073153177</v>
      </c>
      <c r="AK667" s="94">
        <f>Table3.110[[#This Row],[Net gas 8-24h, ml]]*Table3.110[[#This Row],[CH4 24h, %]]%</f>
        <v>5.3528388096070225</v>
      </c>
      <c r="AL667" s="94">
        <f>Table3.110[[#This Row],[CH4 8-24h, ml]]+Table3.110[[#This Row],[CH4 8h, ml]]</f>
        <v>8.7074179169223402</v>
      </c>
      <c r="AM667" s="94">
        <f>(Table3.110[[#This Row],[Net gas 24h, ml]]/Table3.110[[#This Row],[DM Incubated, mg]])*1000</f>
        <v>129.6012330613616</v>
      </c>
      <c r="AN667" s="94">
        <f>'3.2 Digest'!X667</f>
        <v>52.847725231175723</v>
      </c>
      <c r="AO667" s="94">
        <f>Table3.110[[#This Row],[Digested feed, mg]]/Table3.110[[#This Row],[Net gas 24h, ml]]</f>
        <v>4.0777177795950594</v>
      </c>
      <c r="AP667" s="94">
        <f>Table3.110[[#This Row],[CH4 8h, ml]]/Table3.110[[#This Row],[Net gas 8h, ml]]%</f>
        <v>13.1</v>
      </c>
      <c r="AQ667" s="94">
        <f>Table3.110[[#This Row],[CH4 24h, ml]]/Table3.110[[#This Row],[Net gas 24h, ml]]%</f>
        <v>14.206203836146843</v>
      </c>
      <c r="AR667" s="94">
        <f>Table3.110[[#This Row],[CH4 24h, ml]]/Table3.110[[#This Row],[DM Incubated, mg]]*1000</f>
        <v>18.41141534285676</v>
      </c>
      <c r="AS667" s="94">
        <f>Table3.110[[#This Row],[CH4 24h, ml]]/Table3.110[[#This Row],[Digested feed, mg]]*1000</f>
        <v>34.838614646738989</v>
      </c>
      <c r="AT667" s="94">
        <f>Table3.110[[#This Row],[CH4 24h, ml]]/'3.2 Digest'!AA667</f>
        <v>0.93809720411744257</v>
      </c>
      <c r="AU667" s="94">
        <f>((Table3.110[[#This Row],[CH4 24h, ml]]/28.9)*16.04)/Table3.110[[#This Row],[DM Incubated, mg]]*1000</f>
        <v>10.218654051883126</v>
      </c>
      <c r="AV667" s="94">
        <f>((Table3.110[[#This Row],[CH4 24h, ml]]/28.9)*16.04)/Table3.110[[#This Row],[Digested feed, mg]]*1000</f>
        <v>19.336033873138174</v>
      </c>
      <c r="AW667" s="303"/>
    </row>
    <row r="668" spans="1:49" s="304" customFormat="1" x14ac:dyDescent="0.35">
      <c r="A668" s="89"/>
      <c r="B668" s="90">
        <f t="shared" si="10"/>
        <v>658</v>
      </c>
      <c r="C668" s="140">
        <v>46076</v>
      </c>
      <c r="D668" s="92" t="s">
        <v>16</v>
      </c>
      <c r="E668" s="6" t="s">
        <v>135</v>
      </c>
      <c r="F668" s="242" t="s">
        <v>99</v>
      </c>
      <c r="G668" s="242" t="s">
        <v>100</v>
      </c>
      <c r="H668" s="6" t="str">
        <f>'[2]1. Information samples'!$K$17</f>
        <v>Leucaena leucocephala</v>
      </c>
      <c r="I668" s="6" t="s">
        <v>22</v>
      </c>
      <c r="J668" s="129" t="s">
        <v>23</v>
      </c>
      <c r="K668" s="129" t="s">
        <v>24</v>
      </c>
      <c r="L668" s="6" t="s">
        <v>134</v>
      </c>
      <c r="M668" s="256">
        <v>28</v>
      </c>
      <c r="N668" s="256">
        <v>69</v>
      </c>
      <c r="O668" s="256">
        <v>3</v>
      </c>
      <c r="P668" s="257">
        <v>1</v>
      </c>
      <c r="Q668" s="96">
        <v>77</v>
      </c>
      <c r="R668" s="98">
        <v>0.50039999999999996</v>
      </c>
      <c r="S668" s="94">
        <f>((Table3.110[[#This Row],[Sample weight, g]]*'2.1. DM'!Q79)/100)*1000</f>
        <v>463.67980995023606</v>
      </c>
      <c r="T668" s="94">
        <f>'3.2 Digest'!W668</f>
        <v>255.27980995023603</v>
      </c>
      <c r="U668" s="117">
        <v>0.34166666666666667</v>
      </c>
      <c r="V668" s="155">
        <v>41.5</v>
      </c>
      <c r="W668" s="117">
        <v>0.68680555555555556</v>
      </c>
      <c r="X668" s="97">
        <v>77.5</v>
      </c>
      <c r="Y668" s="97">
        <v>10.7</v>
      </c>
      <c r="Z668" s="155">
        <v>40</v>
      </c>
      <c r="AA668" s="117">
        <v>0.36666666666666664</v>
      </c>
      <c r="AB668" s="155">
        <v>64</v>
      </c>
      <c r="AC668" s="155">
        <v>13.7</v>
      </c>
      <c r="AD668" s="96"/>
      <c r="AE668" s="94">
        <f>Table3.110[[#This Row],[Gas 8h, ml]]-Table3.110[[#This Row],[Gas 0h, ml]]</f>
        <v>36</v>
      </c>
      <c r="AF668" s="94">
        <f>Table3.110[[#This Row],[Gas 24h, ml]]-Table3.110[[#This Row],[V8 Push back, ml]]</f>
        <v>24</v>
      </c>
      <c r="AG668" s="94">
        <f>Table3.110[[#This Row],[GP 8h, ml]]-(AVERAGE(AE$479,AE$480,AE$660,AE$661,AE$662,AE$663))*AG$8</f>
        <v>32.607474101643646</v>
      </c>
      <c r="AH668" s="94">
        <f>Table3.110[[#This Row],[GP 8-24h, ml]]-(AVERAGE(AF$479,AF$480,AF$660,AF$661,AF$662,AF$663))*AG$8</f>
        <v>19.685592064046812</v>
      </c>
      <c r="AI668" s="94">
        <f>Table3.110[[#This Row],[Net gas 8-24h, ml]]+Table3.110[[#This Row],[Net gas 8h, ml]]</f>
        <v>52.293066165690462</v>
      </c>
      <c r="AJ668" s="94">
        <f>Table3.110[[#This Row],[Net gas 8h, ml]]*Table3.110[[#This Row],[CH4 8h %]]%</f>
        <v>3.4889997288758701</v>
      </c>
      <c r="AK668" s="94">
        <f>Table3.110[[#This Row],[Net gas 8-24h, ml]]*Table3.110[[#This Row],[CH4 24h, %]]%</f>
        <v>2.6969261127744129</v>
      </c>
      <c r="AL668" s="94">
        <f>Table3.110[[#This Row],[CH4 8-24h, ml]]+Table3.110[[#This Row],[CH4 8h, ml]]</f>
        <v>6.1859258416502829</v>
      </c>
      <c r="AM668" s="94">
        <f>(Table3.110[[#This Row],[Net gas 24h, ml]]/Table3.110[[#This Row],[DM Incubated, mg]])*1000</f>
        <v>112.77839803139749</v>
      </c>
      <c r="AN668" s="94">
        <f>'3.2 Digest'!X668</f>
        <v>55.05519206834424</v>
      </c>
      <c r="AO668" s="94">
        <f>Table3.110[[#This Row],[Digested feed, mg]]/Table3.110[[#This Row],[Net gas 24h, ml]]</f>
        <v>4.8817143202386051</v>
      </c>
      <c r="AP668" s="94">
        <f>Table3.110[[#This Row],[CH4 8h, ml]]/Table3.110[[#This Row],[Net gas 8h, ml]]%</f>
        <v>10.7</v>
      </c>
      <c r="AQ668" s="94">
        <f>Table3.110[[#This Row],[CH4 24h, ml]]/Table3.110[[#This Row],[Net gas 24h, ml]]%</f>
        <v>11.829342387478659</v>
      </c>
      <c r="AR668" s="94">
        <f>Table3.110[[#This Row],[CH4 24h, ml]]/Table3.110[[#This Row],[DM Incubated, mg]]*1000</f>
        <v>13.3409428422475</v>
      </c>
      <c r="AS668" s="94">
        <f>Table3.110[[#This Row],[CH4 24h, ml]]/Table3.110[[#This Row],[Digested feed, mg]]*1000</f>
        <v>24.231943148407076</v>
      </c>
      <c r="AT668" s="94">
        <f>Table3.110[[#This Row],[CH4 24h, ml]]/'3.2 Digest'!AA668</f>
        <v>0.517453605034501</v>
      </c>
      <c r="AU668" s="94">
        <f>((Table3.110[[#This Row],[CH4 24h, ml]]/28.9)*16.04)/Table3.110[[#This Row],[DM Incubated, mg]]*1000</f>
        <v>7.4044540896072624</v>
      </c>
      <c r="AV668" s="94">
        <f>((Table3.110[[#This Row],[CH4 24h, ml]]/28.9)*16.04)/Table3.110[[#This Row],[Digested feed, mg]]*1000</f>
        <v>13.44914768513666</v>
      </c>
      <c r="AW668" s="303"/>
    </row>
    <row r="669" spans="1:49" s="304" customFormat="1" x14ac:dyDescent="0.35">
      <c r="A669" s="89"/>
      <c r="B669" s="90">
        <f t="shared" si="10"/>
        <v>659</v>
      </c>
      <c r="C669" s="139">
        <v>46076</v>
      </c>
      <c r="D669" s="92" t="s">
        <v>16</v>
      </c>
      <c r="E669" s="6" t="s">
        <v>135</v>
      </c>
      <c r="F669" s="242" t="s">
        <v>99</v>
      </c>
      <c r="G669" s="242" t="s">
        <v>100</v>
      </c>
      <c r="H669" s="6" t="str">
        <f>'[2]1. Information samples'!$K$17</f>
        <v>Leucaena leucocephala</v>
      </c>
      <c r="I669" s="6" t="s">
        <v>22</v>
      </c>
      <c r="J669" s="129" t="s">
        <v>23</v>
      </c>
      <c r="K669" s="129" t="s">
        <v>24</v>
      </c>
      <c r="L669" s="6" t="s">
        <v>134</v>
      </c>
      <c r="M669" s="256">
        <v>28</v>
      </c>
      <c r="N669" s="256">
        <v>69</v>
      </c>
      <c r="O669" s="256">
        <v>3</v>
      </c>
      <c r="P669" s="257">
        <v>2</v>
      </c>
      <c r="Q669" s="96">
        <v>78</v>
      </c>
      <c r="R669" s="98">
        <v>0.50009999999999999</v>
      </c>
      <c r="S669" s="94">
        <f>((Table3.110[[#This Row],[Sample weight, g]]*'2.1. DM'!Q79)/100)*1000</f>
        <v>463.40182445266396</v>
      </c>
      <c r="T669" s="94">
        <f>'3.2 Digest'!W669</f>
        <v>219.0018244526639</v>
      </c>
      <c r="U669" s="153">
        <v>0.34166666666666667</v>
      </c>
      <c r="V669" s="154">
        <v>41</v>
      </c>
      <c r="W669" s="153">
        <v>0.68680555555555556</v>
      </c>
      <c r="X669" s="95">
        <v>76</v>
      </c>
      <c r="Y669" s="95">
        <v>10.8</v>
      </c>
      <c r="Z669" s="154">
        <v>40</v>
      </c>
      <c r="AA669" s="153">
        <v>0.36736111111111114</v>
      </c>
      <c r="AB669" s="154">
        <v>68.5</v>
      </c>
      <c r="AC669" s="154">
        <v>13.6</v>
      </c>
      <c r="AD669" s="91"/>
      <c r="AE669" s="94">
        <f>Table3.110[[#This Row],[Gas 8h, ml]]-Table3.110[[#This Row],[Gas 0h, ml]]</f>
        <v>35</v>
      </c>
      <c r="AF669" s="94">
        <f>Table3.110[[#This Row],[Gas 24h, ml]]-Table3.110[[#This Row],[V8 Push back, ml]]</f>
        <v>28.5</v>
      </c>
      <c r="AG669" s="94">
        <f>Table3.110[[#This Row],[GP 8h, ml]]-(AVERAGE(AE$479,AE$480,AE$660,AE$661,AE$662,AE$663))*AG$8</f>
        <v>31.607474101643646</v>
      </c>
      <c r="AH669" s="94">
        <f>Table3.110[[#This Row],[GP 8-24h, ml]]-(AVERAGE(AF$479,AF$480,AF$660,AF$661,AF$662,AF$663))*AG$8</f>
        <v>24.185592064046812</v>
      </c>
      <c r="AI669" s="94">
        <f>Table3.110[[#This Row],[Net gas 8-24h, ml]]+Table3.110[[#This Row],[Net gas 8h, ml]]</f>
        <v>55.793066165690462</v>
      </c>
      <c r="AJ669" s="94">
        <f>Table3.110[[#This Row],[Net gas 8h, ml]]*Table3.110[[#This Row],[CH4 8h %]]%</f>
        <v>3.4136072029775142</v>
      </c>
      <c r="AK669" s="94">
        <f>Table3.110[[#This Row],[Net gas 8-24h, ml]]*Table3.110[[#This Row],[CH4 24h, %]]%</f>
        <v>3.2892405207103668</v>
      </c>
      <c r="AL669" s="94">
        <f>Table3.110[[#This Row],[CH4 8-24h, ml]]+Table3.110[[#This Row],[CH4 8h, ml]]</f>
        <v>6.7028477236878814</v>
      </c>
      <c r="AM669" s="94">
        <f>(Table3.110[[#This Row],[Net gas 24h, ml]]/Table3.110[[#This Row],[DM Incubated, mg]])*1000</f>
        <v>120.39889189385285</v>
      </c>
      <c r="AN669" s="94">
        <f>'3.2 Digest'!X669</f>
        <v>47.259594782850215</v>
      </c>
      <c r="AO669" s="94">
        <f>Table3.110[[#This Row],[Digested feed, mg]]/Table3.110[[#This Row],[Net gas 24h, ml]]</f>
        <v>3.9252516397339976</v>
      </c>
      <c r="AP669" s="94">
        <f>Table3.110[[#This Row],[CH4 8h, ml]]/Table3.110[[#This Row],[Net gas 8h, ml]]%</f>
        <v>10.8</v>
      </c>
      <c r="AQ669" s="94">
        <f>Table3.110[[#This Row],[CH4 24h, ml]]/Table3.110[[#This Row],[Net gas 24h, ml]]%</f>
        <v>12.01376476385474</v>
      </c>
      <c r="AR669" s="94">
        <f>Table3.110[[#This Row],[CH4 24h, ml]]/Table3.110[[#This Row],[DM Incubated, mg]]*1000</f>
        <v>14.464439650415255</v>
      </c>
      <c r="AS669" s="94">
        <f>Table3.110[[#This Row],[CH4 24h, ml]]/Table3.110[[#This Row],[Digested feed, mg]]*1000</f>
        <v>30.606355633976314</v>
      </c>
      <c r="AT669" s="94">
        <f>Table3.110[[#This Row],[CH4 24h, ml]]/'3.2 Digest'!AA669</f>
        <v>-2.0208928915093773</v>
      </c>
      <c r="AU669" s="94">
        <f>((Table3.110[[#This Row],[CH4 24h, ml]]/28.9)*16.04)/Table3.110[[#This Row],[DM Incubated, mg]]*1000</f>
        <v>8.0280142558014056</v>
      </c>
      <c r="AV669" s="94">
        <f>((Table3.110[[#This Row],[CH4 24h, ml]]/28.9)*16.04)/Table3.110[[#This Row],[Digested feed, mg]]*1000</f>
        <v>16.987056898580622</v>
      </c>
      <c r="AW669" s="303"/>
    </row>
    <row r="670" spans="1:49" s="304" customFormat="1" x14ac:dyDescent="0.35">
      <c r="A670" s="89"/>
      <c r="B670" s="90">
        <f t="shared" si="10"/>
        <v>660</v>
      </c>
      <c r="C670" s="139">
        <v>46076</v>
      </c>
      <c r="D670" s="92" t="s">
        <v>16</v>
      </c>
      <c r="E670" s="6" t="s">
        <v>137</v>
      </c>
      <c r="F670" s="242" t="s">
        <v>99</v>
      </c>
      <c r="G670" s="242" t="s">
        <v>100</v>
      </c>
      <c r="H670" s="6" t="str">
        <f>'[2]1. Information samples'!$K$18</f>
        <v>Leucaena leucocephala</v>
      </c>
      <c r="I670" s="6" t="s">
        <v>22</v>
      </c>
      <c r="J670" s="129" t="s">
        <v>23</v>
      </c>
      <c r="K670" s="129" t="s">
        <v>24</v>
      </c>
      <c r="L670" s="6" t="s">
        <v>136</v>
      </c>
      <c r="M670" s="256">
        <v>28</v>
      </c>
      <c r="N670" s="256">
        <v>69</v>
      </c>
      <c r="O670" s="256">
        <v>3</v>
      </c>
      <c r="P670" s="257">
        <v>1</v>
      </c>
      <c r="Q670" s="96">
        <v>79</v>
      </c>
      <c r="R670" s="98">
        <v>0.5</v>
      </c>
      <c r="S670" s="94">
        <f>((Table3.110[[#This Row],[Sample weight, g]]*'2.1. DM'!Q81)/100)*1000</f>
        <v>471.30431427962986</v>
      </c>
      <c r="T670" s="94">
        <f>'3.2 Digest'!W670</f>
        <v>174.20431427962995</v>
      </c>
      <c r="U670" s="153">
        <v>0.34166666666666667</v>
      </c>
      <c r="V670" s="154">
        <v>41.5</v>
      </c>
      <c r="W670" s="153">
        <v>0.6875</v>
      </c>
      <c r="X670" s="95">
        <v>75</v>
      </c>
      <c r="Y670" s="95">
        <v>11.3</v>
      </c>
      <c r="Z670" s="154">
        <v>40</v>
      </c>
      <c r="AA670" s="153">
        <v>0.36736111111111114</v>
      </c>
      <c r="AB670" s="154">
        <v>72</v>
      </c>
      <c r="AC670" s="154">
        <v>14.7</v>
      </c>
      <c r="AD670" s="91"/>
      <c r="AE670" s="94">
        <f>Table3.110[[#This Row],[Gas 8h, ml]]-Table3.110[[#This Row],[Gas 0h, ml]]</f>
        <v>33.5</v>
      </c>
      <c r="AF670" s="94">
        <f>Table3.110[[#This Row],[Gas 24h, ml]]-Table3.110[[#This Row],[V8 Push back, ml]]</f>
        <v>32</v>
      </c>
      <c r="AG670" s="94">
        <f>Table3.110[[#This Row],[GP 8h, ml]]-(AVERAGE(AE$479,AE$480,AE$660,AE$661,AE$662,AE$663))*AG$8</f>
        <v>30.107474101643646</v>
      </c>
      <c r="AH670" s="94">
        <f>Table3.110[[#This Row],[GP 8-24h, ml]]-(AVERAGE(AF$479,AF$480,AF$660,AF$661,AF$662,AF$663))*AG$8</f>
        <v>27.685592064046812</v>
      </c>
      <c r="AI670" s="94">
        <f>Table3.110[[#This Row],[Net gas 8-24h, ml]]+Table3.110[[#This Row],[Net gas 8h, ml]]</f>
        <v>57.793066165690462</v>
      </c>
      <c r="AJ670" s="94">
        <f>Table3.110[[#This Row],[Net gas 8h, ml]]*Table3.110[[#This Row],[CH4 8h %]]%</f>
        <v>3.4021445734857321</v>
      </c>
      <c r="AK670" s="94">
        <f>Table3.110[[#This Row],[Net gas 8-24h, ml]]*Table3.110[[#This Row],[CH4 24h, %]]%</f>
        <v>4.0697820334148815</v>
      </c>
      <c r="AL670" s="94">
        <f>Table3.110[[#This Row],[CH4 8-24h, ml]]+Table3.110[[#This Row],[CH4 8h, ml]]</f>
        <v>7.4719266069006132</v>
      </c>
      <c r="AM670" s="94">
        <f>(Table3.110[[#This Row],[Net gas 24h, ml]]/Table3.110[[#This Row],[DM Incubated, mg]])*1000</f>
        <v>122.6236731017939</v>
      </c>
      <c r="AN670" s="94">
        <f>'3.2 Digest'!X670</f>
        <v>36.962172634870619</v>
      </c>
      <c r="AO670" s="94">
        <f>Table3.110[[#This Row],[Digested feed, mg]]/Table3.110[[#This Row],[Net gas 24h, ml]]</f>
        <v>3.0142770722735666</v>
      </c>
      <c r="AP670" s="94">
        <f>Table3.110[[#This Row],[CH4 8h, ml]]/Table3.110[[#This Row],[Net gas 8h, ml]]%</f>
        <v>11.3</v>
      </c>
      <c r="AQ670" s="94">
        <f>Table3.110[[#This Row],[CH4 24h, ml]]/Table3.110[[#This Row],[Net gas 24h, ml]]%</f>
        <v>12.928759629189583</v>
      </c>
      <c r="AR670" s="94">
        <f>Table3.110[[#This Row],[CH4 24h, ml]]/Table3.110[[#This Row],[DM Incubated, mg]]*1000</f>
        <v>15.853719943814136</v>
      </c>
      <c r="AS670" s="94">
        <f>Table3.110[[#This Row],[CH4 24h, ml]]/Table3.110[[#This Row],[Digested feed, mg]]*1000</f>
        <v>42.891742594312547</v>
      </c>
      <c r="AT670" s="94">
        <f>Table3.110[[#This Row],[CH4 24h, ml]]/'3.2 Digest'!AA670</f>
        <v>-0.20315574486308474</v>
      </c>
      <c r="AU670" s="94">
        <f>((Table3.110[[#This Row],[CH4 24h, ml]]/28.9)*16.04)/Table3.110[[#This Row],[DM Incubated, mg]]*1000</f>
        <v>8.7990888546290229</v>
      </c>
      <c r="AV670" s="94">
        <f>((Table3.110[[#This Row],[CH4 24h, ml]]/28.9)*16.04)/Table3.110[[#This Row],[Digested feed, mg]]*1000</f>
        <v>23.805659211514644</v>
      </c>
      <c r="AW670" s="303"/>
    </row>
    <row r="671" spans="1:49" s="304" customFormat="1" x14ac:dyDescent="0.35">
      <c r="A671" s="89"/>
      <c r="B671" s="90">
        <f t="shared" si="10"/>
        <v>661</v>
      </c>
      <c r="C671" s="140">
        <v>46076</v>
      </c>
      <c r="D671" s="92" t="s">
        <v>16</v>
      </c>
      <c r="E671" s="6" t="s">
        <v>137</v>
      </c>
      <c r="F671" s="242" t="s">
        <v>99</v>
      </c>
      <c r="G671" s="242" t="s">
        <v>100</v>
      </c>
      <c r="H671" s="6" t="str">
        <f>'[2]1. Information samples'!$K$18</f>
        <v>Leucaena leucocephala</v>
      </c>
      <c r="I671" s="6" t="s">
        <v>22</v>
      </c>
      <c r="J671" s="129" t="s">
        <v>23</v>
      </c>
      <c r="K671" s="129" t="s">
        <v>24</v>
      </c>
      <c r="L671" s="6" t="s">
        <v>136</v>
      </c>
      <c r="M671" s="256">
        <v>28</v>
      </c>
      <c r="N671" s="256">
        <v>69</v>
      </c>
      <c r="O671" s="256">
        <v>3</v>
      </c>
      <c r="P671" s="257">
        <v>2</v>
      </c>
      <c r="Q671" s="96">
        <v>80</v>
      </c>
      <c r="R671" s="98">
        <v>0.50039999999999996</v>
      </c>
      <c r="S671" s="94">
        <f>((Table3.110[[#This Row],[Sample weight, g]]*'2.1. DM'!Q81)/100)*1000</f>
        <v>471.68135773105359</v>
      </c>
      <c r="T671" s="94">
        <f>'3.2 Digest'!W671</f>
        <v>212.2813577310535</v>
      </c>
      <c r="U671" s="117">
        <v>0.34166666666666667</v>
      </c>
      <c r="V671" s="155">
        <v>41</v>
      </c>
      <c r="W671" s="117">
        <v>0.6875</v>
      </c>
      <c r="X671" s="97">
        <v>75.5</v>
      </c>
      <c r="Y671" s="97">
        <v>11.2</v>
      </c>
      <c r="Z671" s="155">
        <v>40</v>
      </c>
      <c r="AA671" s="117">
        <v>0.36736111111111114</v>
      </c>
      <c r="AB671" s="155">
        <v>73</v>
      </c>
      <c r="AC671" s="155">
        <v>14.7</v>
      </c>
      <c r="AD671" s="96"/>
      <c r="AE671" s="94">
        <f>Table3.110[[#This Row],[Gas 8h, ml]]-Table3.110[[#This Row],[Gas 0h, ml]]</f>
        <v>34.5</v>
      </c>
      <c r="AF671" s="94">
        <f>Table3.110[[#This Row],[Gas 24h, ml]]-Table3.110[[#This Row],[V8 Push back, ml]]</f>
        <v>33</v>
      </c>
      <c r="AG671" s="94">
        <f>Table3.110[[#This Row],[GP 8h, ml]]-(AVERAGE(AE$479,AE$480,AE$660,AE$661,AE$662,AE$663))*AG$8</f>
        <v>31.107474101643646</v>
      </c>
      <c r="AH671" s="94">
        <f>Table3.110[[#This Row],[GP 8-24h, ml]]-(AVERAGE(AF$479,AF$480,AF$660,AF$661,AF$662,AF$663))*AG$8</f>
        <v>28.685592064046812</v>
      </c>
      <c r="AI671" s="94">
        <f>Table3.110[[#This Row],[Net gas 8-24h, ml]]+Table3.110[[#This Row],[Net gas 8h, ml]]</f>
        <v>59.793066165690462</v>
      </c>
      <c r="AJ671" s="94">
        <f>Table3.110[[#This Row],[Net gas 8h, ml]]*Table3.110[[#This Row],[CH4 8h %]]%</f>
        <v>3.4840370993840879</v>
      </c>
      <c r="AK671" s="94">
        <f>Table3.110[[#This Row],[Net gas 8-24h, ml]]*Table3.110[[#This Row],[CH4 24h, %]]%</f>
        <v>4.2167820334148809</v>
      </c>
      <c r="AL671" s="94">
        <f>Table3.110[[#This Row],[CH4 8-24h, ml]]+Table3.110[[#This Row],[CH4 8h, ml]]</f>
        <v>7.7008191327989692</v>
      </c>
      <c r="AM671" s="94">
        <f>(Table3.110[[#This Row],[Net gas 24h, ml]]/Table3.110[[#This Row],[DM Incubated, mg]])*1000</f>
        <v>126.76580319670735</v>
      </c>
      <c r="AN671" s="94">
        <f>'3.2 Digest'!X671</f>
        <v>45.005246497804876</v>
      </c>
      <c r="AO671" s="94">
        <f>Table3.110[[#This Row],[Digested feed, mg]]/Table3.110[[#This Row],[Net gas 24h, ml]]</f>
        <v>3.5502671353699791</v>
      </c>
      <c r="AP671" s="94">
        <f>Table3.110[[#This Row],[CH4 8h, ml]]/Table3.110[[#This Row],[Net gas 8h, ml]]%</f>
        <v>11.2</v>
      </c>
      <c r="AQ671" s="94">
        <f>Table3.110[[#This Row],[CH4 24h, ml]]/Table3.110[[#This Row],[Net gas 24h, ml]]%</f>
        <v>12.879117306778515</v>
      </c>
      <c r="AR671" s="94">
        <f>Table3.110[[#This Row],[CH4 24h, ml]]/Table3.110[[#This Row],[DM Incubated, mg]]*1000</f>
        <v>16.326316498583932</v>
      </c>
      <c r="AS671" s="94">
        <f>Table3.110[[#This Row],[CH4 24h, ml]]/Table3.110[[#This Row],[Digested feed, mg]]*1000</f>
        <v>36.276473898171496</v>
      </c>
      <c r="AT671" s="94">
        <f>Table3.110[[#This Row],[CH4 24h, ml]]/'3.2 Digest'!AA671</f>
        <v>-0.39843920705968222</v>
      </c>
      <c r="AU671" s="94">
        <f>((Table3.110[[#This Row],[CH4 24h, ml]]/28.9)*16.04)/Table3.110[[#This Row],[DM Incubated, mg]]*1000</f>
        <v>9.0613881189372396</v>
      </c>
      <c r="AV671" s="94">
        <f>((Table3.110[[#This Row],[CH4 24h, ml]]/28.9)*16.04)/Table3.110[[#This Row],[Digested feed, mg]]*1000</f>
        <v>20.134070634140858</v>
      </c>
      <c r="AW671" s="303"/>
    </row>
    <row r="672" spans="1:49" s="304" customFormat="1" x14ac:dyDescent="0.35">
      <c r="A672" s="89"/>
      <c r="B672" s="90">
        <f t="shared" si="10"/>
        <v>662</v>
      </c>
      <c r="C672" s="140">
        <v>46076</v>
      </c>
      <c r="D672" s="92" t="s">
        <v>16</v>
      </c>
      <c r="E672" s="6" t="s">
        <v>139</v>
      </c>
      <c r="F672" s="242" t="s">
        <v>79</v>
      </c>
      <c r="G672" s="242" t="s">
        <v>80</v>
      </c>
      <c r="H672" s="6" t="str">
        <f>'[2]1. Information samples'!$K$19</f>
        <v>Prosopis juliflora</v>
      </c>
      <c r="I672" s="6" t="s">
        <v>22</v>
      </c>
      <c r="J672" s="129" t="s">
        <v>23</v>
      </c>
      <c r="K672" s="129" t="s">
        <v>24</v>
      </c>
      <c r="L672" s="6" t="s">
        <v>138</v>
      </c>
      <c r="M672" s="256">
        <v>28</v>
      </c>
      <c r="N672" s="256">
        <v>69</v>
      </c>
      <c r="O672" s="256">
        <v>3</v>
      </c>
      <c r="P672" s="257">
        <v>1</v>
      </c>
      <c r="Q672" s="96">
        <v>81</v>
      </c>
      <c r="R672" s="98">
        <v>0.50029999999999997</v>
      </c>
      <c r="S672" s="94">
        <f>((Table3.110[[#This Row],[Sample weight, g]]*'2.1. DM'!Q83)/100)*1000</f>
        <v>467.21842480689094</v>
      </c>
      <c r="T672" s="94">
        <f>'3.2 Digest'!W672</f>
        <v>304.21842480689099</v>
      </c>
      <c r="U672" s="117">
        <v>0.34236111111111112</v>
      </c>
      <c r="V672" s="155">
        <v>40.5</v>
      </c>
      <c r="W672" s="117">
        <v>0.6875</v>
      </c>
      <c r="X672" s="97">
        <v>55.5</v>
      </c>
      <c r="Y672" s="97">
        <v>13.3</v>
      </c>
      <c r="Z672" s="155">
        <v>40</v>
      </c>
      <c r="AA672" s="117">
        <v>0.36805555555555558</v>
      </c>
      <c r="AB672" s="155">
        <v>54.5</v>
      </c>
      <c r="AC672" s="155">
        <v>3.8</v>
      </c>
      <c r="AD672" s="96"/>
      <c r="AE672" s="94">
        <f>Table3.110[[#This Row],[Gas 8h, ml]]-Table3.110[[#This Row],[Gas 0h, ml]]</f>
        <v>15</v>
      </c>
      <c r="AF672" s="94">
        <f>Table3.110[[#This Row],[Gas 24h, ml]]-Table3.110[[#This Row],[V8 Push back, ml]]</f>
        <v>14.5</v>
      </c>
      <c r="AG672" s="94">
        <f>Table3.110[[#This Row],[GP 8h, ml]]-(AVERAGE(AE$479,AE$480,AE$660,AE$661,AE$662,AE$663))*AG$8</f>
        <v>11.607474101643646</v>
      </c>
      <c r="AH672" s="94">
        <f>Table3.110[[#This Row],[GP 8-24h, ml]]-(AVERAGE(AF$479,AF$480,AF$660,AF$661,AF$662,AF$663))*AG$8</f>
        <v>10.185592064046812</v>
      </c>
      <c r="AI672" s="94">
        <f>Table3.110[[#This Row],[Net gas 8-24h, ml]]+Table3.110[[#This Row],[Net gas 8h, ml]]</f>
        <v>21.793066165690458</v>
      </c>
      <c r="AJ672" s="94">
        <f>Table3.110[[#This Row],[Net gas 8h, ml]]*Table3.110[[#This Row],[CH4 8h %]]%</f>
        <v>1.5437940555186049</v>
      </c>
      <c r="AK672" s="94">
        <f>Table3.110[[#This Row],[Net gas 8-24h, ml]]*Table3.110[[#This Row],[CH4 24h, %]]%</f>
        <v>0.38705249843377887</v>
      </c>
      <c r="AL672" s="94">
        <f>Table3.110[[#This Row],[CH4 8-24h, ml]]+Table3.110[[#This Row],[CH4 8h, ml]]</f>
        <v>1.9308465539523838</v>
      </c>
      <c r="AM672" s="94">
        <f>(Table3.110[[#This Row],[Net gas 24h, ml]]/Table3.110[[#This Row],[DM Incubated, mg]])*1000</f>
        <v>46.644278154693687</v>
      </c>
      <c r="AN672" s="94">
        <f>'3.2 Digest'!X672</f>
        <v>65.11267720930087</v>
      </c>
      <c r="AO672" s="94">
        <f>Table3.110[[#This Row],[Digested feed, mg]]/Table3.110[[#This Row],[Net gas 24h, ml]]</f>
        <v>13.959413626974257</v>
      </c>
      <c r="AP672" s="94">
        <f>Table3.110[[#This Row],[CH4 8h, ml]]/Table3.110[[#This Row],[Net gas 8h, ml]]%</f>
        <v>13.3</v>
      </c>
      <c r="AQ672" s="94">
        <f>Table3.110[[#This Row],[CH4 24h, ml]]/Table3.110[[#This Row],[Net gas 24h, ml]]%</f>
        <v>8.859912319231972</v>
      </c>
      <c r="AR672" s="94">
        <f>Table3.110[[#This Row],[CH4 24h, ml]]/Table3.110[[#This Row],[DM Incubated, mg]]*1000</f>
        <v>4.1326421464445344</v>
      </c>
      <c r="AS672" s="94">
        <f>Table3.110[[#This Row],[CH4 24h, ml]]/Table3.110[[#This Row],[Digested feed, mg]]*1000</f>
        <v>6.3469086567588047</v>
      </c>
      <c r="AT672" s="94">
        <f>Table3.110[[#This Row],[CH4 24h, ml]]/'3.2 Digest'!AA672</f>
        <v>5.7652144206011044E-2</v>
      </c>
      <c r="AU672" s="94">
        <f>((Table3.110[[#This Row],[CH4 24h, ml]]/28.9)*16.04)/Table3.110[[#This Row],[DM Incubated, mg]]*1000</f>
        <v>2.2936878902757898</v>
      </c>
      <c r="AV672" s="94">
        <f>((Table3.110[[#This Row],[CH4 24h, ml]]/28.9)*16.04)/Table3.110[[#This Row],[Digested feed, mg]]*1000</f>
        <v>3.522644112609385</v>
      </c>
      <c r="AW672" s="303"/>
    </row>
    <row r="673" spans="1:49" s="304" customFormat="1" x14ac:dyDescent="0.35">
      <c r="A673" s="89"/>
      <c r="B673" s="90">
        <f t="shared" si="10"/>
        <v>663</v>
      </c>
      <c r="C673" s="140">
        <v>46076</v>
      </c>
      <c r="D673" s="92" t="s">
        <v>16</v>
      </c>
      <c r="E673" s="6" t="s">
        <v>139</v>
      </c>
      <c r="F673" s="242" t="s">
        <v>79</v>
      </c>
      <c r="G673" s="242" t="s">
        <v>80</v>
      </c>
      <c r="H673" s="6" t="str">
        <f>'[2]1. Information samples'!$K$19</f>
        <v>Prosopis juliflora</v>
      </c>
      <c r="I673" s="6" t="s">
        <v>22</v>
      </c>
      <c r="J673" s="129" t="s">
        <v>23</v>
      </c>
      <c r="K673" s="129" t="s">
        <v>24</v>
      </c>
      <c r="L673" s="6" t="s">
        <v>138</v>
      </c>
      <c r="M673" s="256">
        <v>28</v>
      </c>
      <c r="N673" s="256">
        <v>69</v>
      </c>
      <c r="O673" s="256">
        <v>3</v>
      </c>
      <c r="P673" s="257">
        <v>2</v>
      </c>
      <c r="Q673" s="96">
        <v>82</v>
      </c>
      <c r="R673" s="98">
        <v>0.50009999999999999</v>
      </c>
      <c r="S673" s="94">
        <f>((Table3.110[[#This Row],[Sample weight, g]]*'2.1. DM'!Q83)/100)*1000</f>
        <v>467.03164950215108</v>
      </c>
      <c r="T673" s="94">
        <f>'3.2 Digest'!W673</f>
        <v>278.63164950215105</v>
      </c>
      <c r="U673" s="153">
        <v>0.34236111111111112</v>
      </c>
      <c r="V673" s="154">
        <v>41</v>
      </c>
      <c r="W673" s="153">
        <v>0.68819444444444444</v>
      </c>
      <c r="X673" s="95">
        <v>55.5</v>
      </c>
      <c r="Y673" s="95">
        <v>6.7</v>
      </c>
      <c r="Z673" s="154">
        <v>40</v>
      </c>
      <c r="AA673" s="153">
        <v>0.36875000000000002</v>
      </c>
      <c r="AB673" s="154">
        <v>54.5</v>
      </c>
      <c r="AC673" s="154">
        <v>0.8</v>
      </c>
      <c r="AD673" s="274"/>
      <c r="AE673" s="94">
        <f>Table3.110[[#This Row],[Gas 8h, ml]]-Table3.110[[#This Row],[Gas 0h, ml]]</f>
        <v>14.5</v>
      </c>
      <c r="AF673" s="94">
        <f>Table3.110[[#This Row],[Gas 24h, ml]]-Table3.110[[#This Row],[V8 Push back, ml]]</f>
        <v>14.5</v>
      </c>
      <c r="AG673" s="94">
        <f>Table3.110[[#This Row],[GP 8h, ml]]-(AVERAGE(AE$479,AE$480,AE$660,AE$661,AE$662,AE$663))*AG$8</f>
        <v>11.107474101643646</v>
      </c>
      <c r="AH673" s="94">
        <f>Table3.110[[#This Row],[GP 8-24h, ml]]-(AVERAGE(AF$479,AF$480,AF$660,AF$661,AF$662,AF$663))*AG$8</f>
        <v>10.185592064046812</v>
      </c>
      <c r="AI673" s="94">
        <f>Table3.110[[#This Row],[Net gas 8-24h, ml]]+Table3.110[[#This Row],[Net gas 8h, ml]]</f>
        <v>21.293066165690458</v>
      </c>
      <c r="AJ673" s="94">
        <f>Table3.110[[#This Row],[Net gas 8h, ml]]*Table3.110[[#This Row],[CH4 8h %]]%</f>
        <v>0.74420076481012432</v>
      </c>
      <c r="AK673" s="94">
        <f>Table3.110[[#This Row],[Net gas 8-24h, ml]]*Table3.110[[#This Row],[CH4 24h, %]]%</f>
        <v>8.1484736512374492E-2</v>
      </c>
      <c r="AL673" s="94">
        <f>Table3.110[[#This Row],[CH4 8-24h, ml]]+Table3.110[[#This Row],[CH4 8h, ml]]</f>
        <v>0.82568550132249885</v>
      </c>
      <c r="AM673" s="94">
        <f>(Table3.110[[#This Row],[Net gas 24h, ml]]/Table3.110[[#This Row],[DM Incubated, mg]])*1000</f>
        <v>45.592340879656781</v>
      </c>
      <c r="AN673" s="94">
        <f>'3.2 Digest'!X673</f>
        <v>59.660121492658647</v>
      </c>
      <c r="AO673" s="94">
        <f>Table3.110[[#This Row],[Digested feed, mg]]/Table3.110[[#This Row],[Net gas 24h, ml]]</f>
        <v>13.085557868181077</v>
      </c>
      <c r="AP673" s="94">
        <f>Table3.110[[#This Row],[CH4 8h, ml]]/Table3.110[[#This Row],[Net gas 8h, ml]]%</f>
        <v>6.7</v>
      </c>
      <c r="AQ673" s="94">
        <f>Table3.110[[#This Row],[CH4 24h, ml]]/Table3.110[[#This Row],[Net gas 24h, ml]]%</f>
        <v>3.8777200751525718</v>
      </c>
      <c r="AR673" s="94">
        <f>Table3.110[[#This Row],[CH4 24h, ml]]/Table3.110[[#This Row],[DM Incubated, mg]]*1000</f>
        <v>1.7679433550224435</v>
      </c>
      <c r="AS673" s="94">
        <f>Table3.110[[#This Row],[CH4 24h, ml]]/Table3.110[[#This Row],[Digested feed, mg]]*1000</f>
        <v>2.9633586234650795</v>
      </c>
      <c r="AT673" s="94">
        <f>Table3.110[[#This Row],[CH4 24h, ml]]/'3.2 Digest'!AA673</f>
        <v>3.5749144396937681E-2</v>
      </c>
      <c r="AU673" s="94">
        <f>((Table3.110[[#This Row],[CH4 24h, ml]]/28.9)*16.04)/Table3.110[[#This Row],[DM Incubated, mg]]*1000</f>
        <v>0.98123914929273315</v>
      </c>
      <c r="AV673" s="94">
        <f>((Table3.110[[#This Row],[CH4 24h, ml]]/28.9)*16.04)/Table3.110[[#This Row],[Digested feed, mg]]*1000</f>
        <v>1.6447153052034558</v>
      </c>
      <c r="AW673" s="303"/>
    </row>
    <row r="674" spans="1:49" s="304" customFormat="1" x14ac:dyDescent="0.35">
      <c r="A674" s="89"/>
      <c r="B674" s="90">
        <f t="shared" si="10"/>
        <v>664</v>
      </c>
      <c r="C674" s="140">
        <v>46076</v>
      </c>
      <c r="D674" s="92" t="s">
        <v>16</v>
      </c>
      <c r="E674" s="6" t="s">
        <v>141</v>
      </c>
      <c r="F674" s="242" t="s">
        <v>142</v>
      </c>
      <c r="G674" s="242" t="s">
        <v>143</v>
      </c>
      <c r="H674" s="6" t="str">
        <f>'[2]1. Information samples'!$K$20</f>
        <v>Senna cobanensis</v>
      </c>
      <c r="I674" s="6" t="s">
        <v>22</v>
      </c>
      <c r="J674" s="129" t="s">
        <v>23</v>
      </c>
      <c r="K674" s="129" t="s">
        <v>24</v>
      </c>
      <c r="L674" s="6" t="s">
        <v>140</v>
      </c>
      <c r="M674" s="256">
        <v>28</v>
      </c>
      <c r="N674" s="256">
        <v>69</v>
      </c>
      <c r="O674" s="256">
        <v>3</v>
      </c>
      <c r="P674" s="257">
        <v>1</v>
      </c>
      <c r="Q674" s="96">
        <v>83</v>
      </c>
      <c r="R674" s="98">
        <v>0.5</v>
      </c>
      <c r="S674" s="94">
        <f>((Table3.110[[#This Row],[Sample weight, g]]*'2.1. DM'!Q85)/100)*1000</f>
        <v>466.03695367021385</v>
      </c>
      <c r="T674" s="94">
        <f>'3.2 Digest'!W674</f>
        <v>217.43695367021391</v>
      </c>
      <c r="U674" s="153">
        <v>0.34236111111111112</v>
      </c>
      <c r="V674" s="154">
        <v>40.5</v>
      </c>
      <c r="W674" s="153">
        <v>0.68819444444444444</v>
      </c>
      <c r="X674" s="95">
        <v>83</v>
      </c>
      <c r="Y674" s="95">
        <v>13</v>
      </c>
      <c r="Z674" s="154">
        <v>40</v>
      </c>
      <c r="AA674" s="153">
        <v>0.36875000000000002</v>
      </c>
      <c r="AB674" s="154">
        <v>78.5</v>
      </c>
      <c r="AC674" s="154">
        <v>18.100000000000001</v>
      </c>
      <c r="AD674" s="91"/>
      <c r="AE674" s="94">
        <f>Table3.110[[#This Row],[Gas 8h, ml]]-Table3.110[[#This Row],[Gas 0h, ml]]</f>
        <v>42.5</v>
      </c>
      <c r="AF674" s="94">
        <f>Table3.110[[#This Row],[Gas 24h, ml]]-Table3.110[[#This Row],[V8 Push back, ml]]</f>
        <v>38.5</v>
      </c>
      <c r="AG674" s="94">
        <f>Table3.110[[#This Row],[GP 8h, ml]]-(AVERAGE(AE$479,AE$480,AE$660,AE$661,AE$662,AE$663))*AG$8</f>
        <v>39.107474101643646</v>
      </c>
      <c r="AH674" s="94">
        <f>Table3.110[[#This Row],[GP 8-24h, ml]]-(AVERAGE(AF$479,AF$480,AF$660,AF$661,AF$662,AF$663))*AG$8</f>
        <v>34.185592064046816</v>
      </c>
      <c r="AI674" s="94">
        <f>Table3.110[[#This Row],[Net gas 8-24h, ml]]+Table3.110[[#This Row],[Net gas 8h, ml]]</f>
        <v>73.293066165690462</v>
      </c>
      <c r="AJ674" s="94">
        <f>Table3.110[[#This Row],[Net gas 8h, ml]]*Table3.110[[#This Row],[CH4 8h %]]%</f>
        <v>5.0839716332136744</v>
      </c>
      <c r="AK674" s="94">
        <f>Table3.110[[#This Row],[Net gas 8-24h, ml]]*Table3.110[[#This Row],[CH4 24h, %]]%</f>
        <v>6.1875921635924742</v>
      </c>
      <c r="AL674" s="94">
        <f>Table3.110[[#This Row],[CH4 8-24h, ml]]+Table3.110[[#This Row],[CH4 8h, ml]]</f>
        <v>11.271563796806149</v>
      </c>
      <c r="AM674" s="94">
        <f>(Table3.110[[#This Row],[Net gas 24h, ml]]/Table3.110[[#This Row],[DM Incubated, mg]])*1000</f>
        <v>157.26878649532057</v>
      </c>
      <c r="AN674" s="94">
        <f>'3.2 Digest'!X674</f>
        <v>46.656590632527582</v>
      </c>
      <c r="AO674" s="94">
        <f>Table3.110[[#This Row],[Digested feed, mg]]/Table3.110[[#This Row],[Net gas 24h, ml]]</f>
        <v>2.9666783646172421</v>
      </c>
      <c r="AP674" s="94">
        <f>Table3.110[[#This Row],[CH4 8h, ml]]/Table3.110[[#This Row],[Net gas 8h, ml]]%</f>
        <v>13</v>
      </c>
      <c r="AQ674" s="94">
        <f>Table3.110[[#This Row],[CH4 24h, ml]]/Table3.110[[#This Row],[Net gas 24h, ml]]%</f>
        <v>15.378758710032697</v>
      </c>
      <c r="AR674" s="94">
        <f>Table3.110[[#This Row],[CH4 24h, ml]]/Table3.110[[#This Row],[DM Incubated, mg]]*1000</f>
        <v>24.185987201311836</v>
      </c>
      <c r="AS674" s="94">
        <f>Table3.110[[#This Row],[CH4 24h, ml]]/Table3.110[[#This Row],[Digested feed, mg]]*1000</f>
        <v>51.838308100571076</v>
      </c>
      <c r="AT674" s="94">
        <f>Table3.110[[#This Row],[CH4 24h, ml]]/'3.2 Digest'!AA674</f>
        <v>2.6590242256522645</v>
      </c>
      <c r="AU674" s="94">
        <f>((Table3.110[[#This Row],[CH4 24h, ml]]/28.9)*16.04)/Table3.110[[#This Row],[DM Incubated, mg]]*1000</f>
        <v>13.423641339413212</v>
      </c>
      <c r="AV674" s="94">
        <f>((Table3.110[[#This Row],[CH4 24h, ml]]/28.9)*16.04)/Table3.110[[#This Row],[Digested feed, mg]]*1000</f>
        <v>28.771157852358485</v>
      </c>
      <c r="AW674" s="303"/>
    </row>
    <row r="675" spans="1:49" s="304" customFormat="1" x14ac:dyDescent="0.35">
      <c r="A675" s="89"/>
      <c r="B675" s="90">
        <f t="shared" si="10"/>
        <v>665</v>
      </c>
      <c r="C675" s="140">
        <v>46076</v>
      </c>
      <c r="D675" s="92" t="s">
        <v>16</v>
      </c>
      <c r="E675" s="6" t="s">
        <v>141</v>
      </c>
      <c r="F675" s="242" t="s">
        <v>142</v>
      </c>
      <c r="G675" s="242" t="s">
        <v>143</v>
      </c>
      <c r="H675" s="6" t="str">
        <f>'[2]1. Information samples'!$K$20</f>
        <v>Senna cobanensis</v>
      </c>
      <c r="I675" s="6" t="s">
        <v>22</v>
      </c>
      <c r="J675" s="129" t="s">
        <v>23</v>
      </c>
      <c r="K675" s="129" t="s">
        <v>24</v>
      </c>
      <c r="L675" s="6" t="s">
        <v>140</v>
      </c>
      <c r="M675" s="256">
        <v>28</v>
      </c>
      <c r="N675" s="256">
        <v>69</v>
      </c>
      <c r="O675" s="256">
        <v>3</v>
      </c>
      <c r="P675" s="257">
        <v>2</v>
      </c>
      <c r="Q675" s="96">
        <v>84</v>
      </c>
      <c r="R675" s="98">
        <v>0.50019999999999998</v>
      </c>
      <c r="S675" s="94">
        <f>((Table3.110[[#This Row],[Sample weight, g]]*'2.1. DM'!Q85)/100)*1000</f>
        <v>466.22336845168195</v>
      </c>
      <c r="T675" s="94">
        <f>'3.2 Digest'!W675</f>
        <v>255.82336845168192</v>
      </c>
      <c r="U675" s="117">
        <v>0.34305555555555556</v>
      </c>
      <c r="V675" s="155">
        <v>41</v>
      </c>
      <c r="W675" s="117">
        <v>0.68888888888888888</v>
      </c>
      <c r="X675" s="97">
        <v>83.5</v>
      </c>
      <c r="Y675" s="97">
        <v>13.8</v>
      </c>
      <c r="Z675" s="155">
        <v>41</v>
      </c>
      <c r="AA675" s="117">
        <v>0.36944444444444446</v>
      </c>
      <c r="AB675" s="155">
        <v>84</v>
      </c>
      <c r="AC675" s="155">
        <v>18.2</v>
      </c>
      <c r="AD675" s="96"/>
      <c r="AE675" s="94">
        <f>Table3.110[[#This Row],[Gas 8h, ml]]-Table3.110[[#This Row],[Gas 0h, ml]]</f>
        <v>42.5</v>
      </c>
      <c r="AF675" s="94">
        <f>Table3.110[[#This Row],[Gas 24h, ml]]-Table3.110[[#This Row],[V8 Push back, ml]]</f>
        <v>43</v>
      </c>
      <c r="AG675" s="94">
        <f>Table3.110[[#This Row],[GP 8h, ml]]-(AVERAGE(AE$479,AE$480,AE$660,AE$661,AE$662,AE$663))*AG$8</f>
        <v>39.107474101643646</v>
      </c>
      <c r="AH675" s="94">
        <f>Table3.110[[#This Row],[GP 8-24h, ml]]-(AVERAGE(AF$479,AF$480,AF$660,AF$661,AF$662,AF$663))*AG$8</f>
        <v>38.685592064046816</v>
      </c>
      <c r="AI675" s="94">
        <f>Table3.110[[#This Row],[Net gas 8-24h, ml]]+Table3.110[[#This Row],[Net gas 8h, ml]]</f>
        <v>77.793066165690462</v>
      </c>
      <c r="AJ675" s="94">
        <f>Table3.110[[#This Row],[Net gas 8h, ml]]*Table3.110[[#This Row],[CH4 8h %]]%</f>
        <v>5.3968314260268233</v>
      </c>
      <c r="AK675" s="94">
        <f>Table3.110[[#This Row],[Net gas 8-24h, ml]]*Table3.110[[#This Row],[CH4 24h, %]]%</f>
        <v>7.0407777556565199</v>
      </c>
      <c r="AL675" s="94">
        <f>Table3.110[[#This Row],[CH4 8-24h, ml]]+Table3.110[[#This Row],[CH4 8h, ml]]</f>
        <v>12.437609181683342</v>
      </c>
      <c r="AM675" s="94">
        <f>(Table3.110[[#This Row],[Net gas 24h, ml]]/Table3.110[[#This Row],[DM Incubated, mg]])*1000</f>
        <v>166.8579299747235</v>
      </c>
      <c r="AN675" s="94">
        <f>'3.2 Digest'!X675</f>
        <v>54.871416956482889</v>
      </c>
      <c r="AO675" s="94">
        <f>Table3.110[[#This Row],[Digested feed, mg]]/Table3.110[[#This Row],[Net gas 24h, ml]]</f>
        <v>3.28851118821833</v>
      </c>
      <c r="AP675" s="94">
        <f>Table3.110[[#This Row],[CH4 8h, ml]]/Table3.110[[#This Row],[Net gas 8h, ml]]%</f>
        <v>13.8</v>
      </c>
      <c r="AQ675" s="94">
        <f>Table3.110[[#This Row],[CH4 24h, ml]]/Table3.110[[#This Row],[Net gas 24h, ml]]%</f>
        <v>15.98806911041742</v>
      </c>
      <c r="AR675" s="94">
        <f>Table3.110[[#This Row],[CH4 24h, ml]]/Table3.110[[#This Row],[DM Incubated, mg]]*1000</f>
        <v>26.677361160570698</v>
      </c>
      <c r="AS675" s="94">
        <f>Table3.110[[#This Row],[CH4 24h, ml]]/Table3.110[[#This Row],[Digested feed, mg]]*1000</f>
        <v>48.61795565025745</v>
      </c>
      <c r="AT675" s="94">
        <f>Table3.110[[#This Row],[CH4 24h, ml]]/'3.2 Digest'!AA675</f>
        <v>0.6550910914761835</v>
      </c>
      <c r="AU675" s="94">
        <f>((Table3.110[[#This Row],[CH4 24h, ml]]/28.9)*16.04)/Table3.110[[#This Row],[DM Incubated, mg]]*1000</f>
        <v>14.806396990157578</v>
      </c>
      <c r="AV675" s="94">
        <f>((Table3.110[[#This Row],[CH4 24h, ml]]/28.9)*16.04)/Table3.110[[#This Row],[Digested feed, mg]]*1000</f>
        <v>26.983806526994105</v>
      </c>
      <c r="AW675" s="303"/>
    </row>
    <row r="676" spans="1:49" s="304" customFormat="1" x14ac:dyDescent="0.35">
      <c r="A676" s="89"/>
      <c r="B676" s="90">
        <f t="shared" si="10"/>
        <v>666</v>
      </c>
      <c r="C676" s="140">
        <v>46076</v>
      </c>
      <c r="D676" s="92" t="s">
        <v>16</v>
      </c>
      <c r="E676" s="6" t="s">
        <v>146</v>
      </c>
      <c r="F676" s="242" t="s">
        <v>88</v>
      </c>
      <c r="G676" s="242" t="s">
        <v>147</v>
      </c>
      <c r="H676" s="6" t="str">
        <f>'[2]1. Information samples'!$K$21</f>
        <v>Acacia angustissima</v>
      </c>
      <c r="I676" s="6" t="s">
        <v>22</v>
      </c>
      <c r="J676" s="129" t="s">
        <v>23</v>
      </c>
      <c r="K676" s="129" t="s">
        <v>24</v>
      </c>
      <c r="L676" s="6" t="s">
        <v>145</v>
      </c>
      <c r="M676" s="256">
        <v>28</v>
      </c>
      <c r="N676" s="256">
        <v>69</v>
      </c>
      <c r="O676" s="256">
        <v>3</v>
      </c>
      <c r="P676" s="257">
        <v>1</v>
      </c>
      <c r="Q676" s="96">
        <v>85</v>
      </c>
      <c r="R676" s="98">
        <v>0.50039999999999996</v>
      </c>
      <c r="S676" s="94">
        <f>((Table3.110[[#This Row],[Sample weight, g]]*'2.1. DM'!Q87)/100)*1000</f>
        <v>470.23647407250184</v>
      </c>
      <c r="T676" s="94">
        <f>'3.2 Digest'!W676</f>
        <v>133.73647407250184</v>
      </c>
      <c r="U676" s="117">
        <v>0.34305555555555556</v>
      </c>
      <c r="V676" s="155">
        <v>40.5</v>
      </c>
      <c r="W676" s="117">
        <v>0.68958333333333333</v>
      </c>
      <c r="X676" s="97">
        <v>63</v>
      </c>
      <c r="Y676" s="97">
        <v>12</v>
      </c>
      <c r="Z676" s="155">
        <v>39.5</v>
      </c>
      <c r="AA676" s="117">
        <v>0.37083333333333335</v>
      </c>
      <c r="AB676" s="155">
        <v>56.5</v>
      </c>
      <c r="AC676" s="155">
        <v>12.9</v>
      </c>
      <c r="AD676" s="96"/>
      <c r="AE676" s="94">
        <f>Table3.110[[#This Row],[Gas 8h, ml]]-Table3.110[[#This Row],[Gas 0h, ml]]</f>
        <v>22.5</v>
      </c>
      <c r="AF676" s="94">
        <f>Table3.110[[#This Row],[Gas 24h, ml]]-Table3.110[[#This Row],[V8 Push back, ml]]</f>
        <v>17</v>
      </c>
      <c r="AG676" s="94">
        <f>Table3.110[[#This Row],[GP 8h, ml]]-(AVERAGE(AE$479,AE$480,AE$660,AE$661,AE$662,AE$663))*AG$8</f>
        <v>19.107474101643646</v>
      </c>
      <c r="AH676" s="94">
        <f>Table3.110[[#This Row],[GP 8-24h, ml]]-(AVERAGE(AF$479,AF$480,AF$660,AF$661,AF$662,AF$663))*AG$8</f>
        <v>12.685592064046812</v>
      </c>
      <c r="AI676" s="94">
        <f>Table3.110[[#This Row],[Net gas 8-24h, ml]]+Table3.110[[#This Row],[Net gas 8h, ml]]</f>
        <v>31.793066165690458</v>
      </c>
      <c r="AJ676" s="94">
        <f>Table3.110[[#This Row],[Net gas 8h, ml]]*Table3.110[[#This Row],[CH4 8h %]]%</f>
        <v>2.2928968921972372</v>
      </c>
      <c r="AK676" s="94">
        <f>Table3.110[[#This Row],[Net gas 8-24h, ml]]*Table3.110[[#This Row],[CH4 24h, %]]%</f>
        <v>1.6364413762620389</v>
      </c>
      <c r="AL676" s="94">
        <f>Table3.110[[#This Row],[CH4 8-24h, ml]]+Table3.110[[#This Row],[CH4 8h, ml]]</f>
        <v>3.9293382684592761</v>
      </c>
      <c r="AM676" s="94">
        <f>(Table3.110[[#This Row],[Net gas 24h, ml]]/Table3.110[[#This Row],[DM Incubated, mg]])*1000</f>
        <v>67.610804177620111</v>
      </c>
      <c r="AN676" s="94">
        <f>'3.2 Digest'!X676</f>
        <v>28.440259623901937</v>
      </c>
      <c r="AO676" s="94">
        <f>Table3.110[[#This Row],[Digested feed, mg]]/Table3.110[[#This Row],[Net gas 24h, ml]]</f>
        <v>4.2064666986043573</v>
      </c>
      <c r="AP676" s="94">
        <f>Table3.110[[#This Row],[CH4 8h, ml]]/Table3.110[[#This Row],[Net gas 8h, ml]]%</f>
        <v>11.999999999999998</v>
      </c>
      <c r="AQ676" s="94">
        <f>Table3.110[[#This Row],[CH4 24h, ml]]/Table3.110[[#This Row],[Net gas 24h, ml]]%</f>
        <v>12.359104491468106</v>
      </c>
      <c r="AR676" s="94">
        <f>Table3.110[[#This Row],[CH4 24h, ml]]/Table3.110[[#This Row],[DM Incubated, mg]]*1000</f>
        <v>8.3560899358339533</v>
      </c>
      <c r="AS676" s="94">
        <f>Table3.110[[#This Row],[CH4 24h, ml]]/Table3.110[[#This Row],[Digested feed, mg]]*1000</f>
        <v>29.381201319313124</v>
      </c>
      <c r="AT676" s="94">
        <f>Table3.110[[#This Row],[CH4 24h, ml]]/'3.2 Digest'!AA676</f>
        <v>-0.17255422896742212</v>
      </c>
      <c r="AU676" s="94">
        <f>((Table3.110[[#This Row],[CH4 24h, ml]]/28.9)*16.04)/Table3.110[[#This Row],[DM Incubated, mg]]*1000</f>
        <v>4.6377744834178749</v>
      </c>
      <c r="AV676" s="94">
        <f>((Table3.110[[#This Row],[CH4 24h, ml]]/28.9)*16.04)/Table3.110[[#This Row],[Digested feed, mg]]*1000</f>
        <v>16.307075057501123</v>
      </c>
      <c r="AW676" s="303"/>
    </row>
    <row r="677" spans="1:49" s="304" customFormat="1" x14ac:dyDescent="0.35">
      <c r="A677" s="89"/>
      <c r="B677" s="90">
        <f t="shared" si="10"/>
        <v>667</v>
      </c>
      <c r="C677" s="140">
        <v>46076</v>
      </c>
      <c r="D677" s="92" t="s">
        <v>16</v>
      </c>
      <c r="E677" s="6" t="s">
        <v>146</v>
      </c>
      <c r="F677" s="242" t="s">
        <v>88</v>
      </c>
      <c r="G677" s="242" t="s">
        <v>147</v>
      </c>
      <c r="H677" s="6" t="str">
        <f>'[2]1. Information samples'!$K$21</f>
        <v>Acacia angustissima</v>
      </c>
      <c r="I677" s="6" t="s">
        <v>22</v>
      </c>
      <c r="J677" s="129" t="s">
        <v>23</v>
      </c>
      <c r="K677" s="129" t="s">
        <v>24</v>
      </c>
      <c r="L677" s="6" t="s">
        <v>145</v>
      </c>
      <c r="M677" s="256">
        <v>28</v>
      </c>
      <c r="N677" s="256">
        <v>69</v>
      </c>
      <c r="O677" s="256">
        <v>3</v>
      </c>
      <c r="P677" s="257">
        <v>2</v>
      </c>
      <c r="Q677" s="96">
        <v>86</v>
      </c>
      <c r="R677" s="98">
        <v>0.50009999999999999</v>
      </c>
      <c r="S677" s="94">
        <f>((Table3.110[[#This Row],[Sample weight, g]]*'2.1. DM'!Q87)/100)*1000</f>
        <v>469.95455772113945</v>
      </c>
      <c r="T677" s="94">
        <f>'3.2 Digest'!W677</f>
        <v>134.65455772113938</v>
      </c>
      <c r="U677" s="153">
        <v>0.34305555555555556</v>
      </c>
      <c r="V677" s="154">
        <v>41</v>
      </c>
      <c r="W677" s="153">
        <v>0.69027777777777777</v>
      </c>
      <c r="X677" s="95">
        <v>63</v>
      </c>
      <c r="Y677" s="95">
        <v>12</v>
      </c>
      <c r="Z677" s="154">
        <v>40</v>
      </c>
      <c r="AA677" s="153">
        <v>0.37083333333333335</v>
      </c>
      <c r="AB677" s="154">
        <v>56.5</v>
      </c>
      <c r="AC677" s="154">
        <v>11.8</v>
      </c>
      <c r="AD677" s="91"/>
      <c r="AE677" s="94">
        <f>Table3.110[[#This Row],[Gas 8h, ml]]-Table3.110[[#This Row],[Gas 0h, ml]]</f>
        <v>22</v>
      </c>
      <c r="AF677" s="94">
        <f>Table3.110[[#This Row],[Gas 24h, ml]]-Table3.110[[#This Row],[V8 Push back, ml]]</f>
        <v>16.5</v>
      </c>
      <c r="AG677" s="94">
        <f>Table3.110[[#This Row],[GP 8h, ml]]-(AVERAGE(AE$479,AE$480,AE$660,AE$661,AE$662,AE$663))*AG$8</f>
        <v>18.607474101643646</v>
      </c>
      <c r="AH677" s="94">
        <f>Table3.110[[#This Row],[GP 8-24h, ml]]-(AVERAGE(AF$479,AF$480,AF$660,AF$661,AF$662,AF$663))*AG$8</f>
        <v>12.185592064046812</v>
      </c>
      <c r="AI677" s="94">
        <f>Table3.110[[#This Row],[Net gas 8-24h, ml]]+Table3.110[[#This Row],[Net gas 8h, ml]]</f>
        <v>30.793066165690458</v>
      </c>
      <c r="AJ677" s="94">
        <f>Table3.110[[#This Row],[Net gas 8h, ml]]*Table3.110[[#This Row],[CH4 8h %]]%</f>
        <v>2.2328968921972376</v>
      </c>
      <c r="AK677" s="94">
        <f>Table3.110[[#This Row],[Net gas 8-24h, ml]]*Table3.110[[#This Row],[CH4 24h, %]]%</f>
        <v>1.437899863557524</v>
      </c>
      <c r="AL677" s="94">
        <f>Table3.110[[#This Row],[CH4 8-24h, ml]]+Table3.110[[#This Row],[CH4 8h, ml]]</f>
        <v>3.6707967557547616</v>
      </c>
      <c r="AM677" s="94">
        <f>(Table3.110[[#This Row],[Net gas 24h, ml]]/Table3.110[[#This Row],[DM Incubated, mg]])*1000</f>
        <v>65.523497239838193</v>
      </c>
      <c r="AN677" s="94">
        <f>'3.2 Digest'!X677</f>
        <v>28.652676202161743</v>
      </c>
      <c r="AO677" s="94">
        <f>Table3.110[[#This Row],[Digested feed, mg]]/Table3.110[[#This Row],[Net gas 24h, ml]]</f>
        <v>4.3728856683707287</v>
      </c>
      <c r="AP677" s="94">
        <f>Table3.110[[#This Row],[CH4 8h, ml]]/Table3.110[[#This Row],[Net gas 8h, ml]]%</f>
        <v>12.000000000000002</v>
      </c>
      <c r="AQ677" s="94">
        <f>Table3.110[[#This Row],[CH4 24h, ml]]/Table3.110[[#This Row],[Net gas 24h, ml]]%</f>
        <v>11.920854961318378</v>
      </c>
      <c r="AR677" s="94">
        <f>Table3.110[[#This Row],[CH4 24h, ml]]/Table3.110[[#This Row],[DM Incubated, mg]]*1000</f>
        <v>7.8109610715445612</v>
      </c>
      <c r="AS677" s="94">
        <f>Table3.110[[#This Row],[CH4 24h, ml]]/Table3.110[[#This Row],[Digested feed, mg]]*1000</f>
        <v>27.260842988744113</v>
      </c>
      <c r="AT677" s="94">
        <f>Table3.110[[#This Row],[CH4 24h, ml]]/'3.2 Digest'!AA677</f>
        <v>-0.16382233763125159</v>
      </c>
      <c r="AU677" s="94">
        <f>((Table3.110[[#This Row],[CH4 24h, ml]]/28.9)*16.04)/Table3.110[[#This Row],[DM Incubated, mg]]*1000</f>
        <v>4.3352185324420329</v>
      </c>
      <c r="AV677" s="94">
        <f>((Table3.110[[#This Row],[CH4 24h, ml]]/28.9)*16.04)/Table3.110[[#This Row],[Digested feed, mg]]*1000</f>
        <v>15.130239499635138</v>
      </c>
      <c r="AW677" s="303"/>
    </row>
    <row r="678" spans="1:49" s="304" customFormat="1" x14ac:dyDescent="0.35">
      <c r="A678" s="89"/>
      <c r="B678" s="90">
        <f t="shared" si="10"/>
        <v>668</v>
      </c>
      <c r="C678" s="140">
        <v>46076</v>
      </c>
      <c r="D678" s="92" t="s">
        <v>16</v>
      </c>
      <c r="E678" s="6" t="s">
        <v>150</v>
      </c>
      <c r="F678" s="242" t="s">
        <v>142</v>
      </c>
      <c r="G678" s="242" t="s">
        <v>151</v>
      </c>
      <c r="H678" s="6" t="str">
        <f>'[2]1. Information samples'!$K$22</f>
        <v>Senna pallida</v>
      </c>
      <c r="I678" s="6" t="s">
        <v>22</v>
      </c>
      <c r="J678" s="129" t="s">
        <v>23</v>
      </c>
      <c r="K678" s="129" t="s">
        <v>24</v>
      </c>
      <c r="L678" s="6" t="s">
        <v>149</v>
      </c>
      <c r="M678" s="256">
        <v>28</v>
      </c>
      <c r="N678" s="256">
        <v>69</v>
      </c>
      <c r="O678" s="256">
        <v>3</v>
      </c>
      <c r="P678" s="257">
        <v>1</v>
      </c>
      <c r="Q678" s="96">
        <v>87</v>
      </c>
      <c r="R678" s="98">
        <v>0.50009999999999999</v>
      </c>
      <c r="S678" s="94">
        <f>((Table3.110[[#This Row],[Sample weight, g]]*'2.1. DM'!Q89)/100)*1000</f>
        <v>469.67804158752364</v>
      </c>
      <c r="T678" s="94">
        <f>'3.2 Digest'!W678</f>
        <v>317.37804158752363</v>
      </c>
      <c r="U678" s="156">
        <v>0.34375</v>
      </c>
      <c r="V678" s="154">
        <v>41.5</v>
      </c>
      <c r="W678" s="153">
        <v>0.69097222222222221</v>
      </c>
      <c r="X678" s="95">
        <v>93</v>
      </c>
      <c r="Y678" s="95">
        <v>12.7</v>
      </c>
      <c r="Z678" s="154">
        <v>41</v>
      </c>
      <c r="AA678" s="153">
        <v>0.37152777777777779</v>
      </c>
      <c r="AB678" s="154">
        <v>91</v>
      </c>
      <c r="AC678" s="154">
        <v>17.600000000000001</v>
      </c>
      <c r="AD678" s="91"/>
      <c r="AE678" s="94">
        <f>Table3.110[[#This Row],[Gas 8h, ml]]-Table3.110[[#This Row],[Gas 0h, ml]]</f>
        <v>51.5</v>
      </c>
      <c r="AF678" s="94">
        <f>Table3.110[[#This Row],[Gas 24h, ml]]-Table3.110[[#This Row],[V8 Push back, ml]]</f>
        <v>50</v>
      </c>
      <c r="AG678" s="94">
        <f>Table3.110[[#This Row],[GP 8h, ml]]-(AVERAGE(AE$479,AE$480,AE$660,AE$661,AE$662,AE$663))*AG$8</f>
        <v>48.107474101643646</v>
      </c>
      <c r="AH678" s="94">
        <f>Table3.110[[#This Row],[GP 8-24h, ml]]-(AVERAGE(AF$479,AF$480,AF$660,AF$661,AF$662,AF$663))*AG$8</f>
        <v>45.685592064046816</v>
      </c>
      <c r="AI678" s="94">
        <f>Table3.110[[#This Row],[Net gas 8-24h, ml]]+Table3.110[[#This Row],[Net gas 8h, ml]]</f>
        <v>93.793066165690462</v>
      </c>
      <c r="AJ678" s="94">
        <f>Table3.110[[#This Row],[Net gas 8h, ml]]*Table3.110[[#This Row],[CH4 8h %]]%</f>
        <v>6.109649210908743</v>
      </c>
      <c r="AK678" s="94">
        <f>Table3.110[[#This Row],[Net gas 8-24h, ml]]*Table3.110[[#This Row],[CH4 24h, %]]%</f>
        <v>8.0406642032722395</v>
      </c>
      <c r="AL678" s="94">
        <f>Table3.110[[#This Row],[CH4 8-24h, ml]]+Table3.110[[#This Row],[CH4 8h, ml]]</f>
        <v>14.150313414180982</v>
      </c>
      <c r="AM678" s="94">
        <f>(Table3.110[[#This Row],[Net gas 24h, ml]]/Table3.110[[#This Row],[DM Incubated, mg]])*1000</f>
        <v>199.69651093048236</v>
      </c>
      <c r="AN678" s="94">
        <f>'3.2 Digest'!X678</f>
        <v>67.573531969852766</v>
      </c>
      <c r="AO678" s="94">
        <f>Table3.110[[#This Row],[Digested feed, mg]]/Table3.110[[#This Row],[Net gas 24h, ml]]</f>
        <v>3.3838113472786824</v>
      </c>
      <c r="AP678" s="94">
        <f>Table3.110[[#This Row],[CH4 8h, ml]]/Table3.110[[#This Row],[Net gas 8h, ml]]%</f>
        <v>12.700000000000001</v>
      </c>
      <c r="AQ678" s="94">
        <f>Table3.110[[#This Row],[CH4 24h, ml]]/Table3.110[[#This Row],[Net gas 24h, ml]]%</f>
        <v>15.086737210599019</v>
      </c>
      <c r="AR678" s="94">
        <f>Table3.110[[#This Row],[CH4 24h, ml]]/Table3.110[[#This Row],[DM Incubated, mg]]*1000</f>
        <v>30.12768782281702</v>
      </c>
      <c r="AS678" s="94">
        <f>Table3.110[[#This Row],[CH4 24h, ml]]/Table3.110[[#This Row],[Digested feed, mg]]*1000</f>
        <v>44.585042315470766</v>
      </c>
      <c r="AT678" s="94">
        <f>Table3.110[[#This Row],[CH4 24h, ml]]/'3.2 Digest'!AA678</f>
        <v>0.36069648151230932</v>
      </c>
      <c r="AU678" s="94">
        <f>((Table3.110[[#This Row],[CH4 24h, ml]]/28.9)*16.04)/Table3.110[[#This Row],[DM Incubated, mg]]*1000</f>
        <v>16.721387981937198</v>
      </c>
      <c r="AV678" s="94">
        <f>((Table3.110[[#This Row],[CH4 24h, ml]]/28.9)*16.04)/Table3.110[[#This Row],[Digested feed, mg]]*1000</f>
        <v>24.745469852600387</v>
      </c>
      <c r="AW678" s="303"/>
    </row>
    <row r="679" spans="1:49" s="304" customFormat="1" x14ac:dyDescent="0.35">
      <c r="A679" s="89"/>
      <c r="B679" s="90">
        <f t="shared" si="10"/>
        <v>669</v>
      </c>
      <c r="C679" s="140">
        <v>46076</v>
      </c>
      <c r="D679" s="92" t="s">
        <v>16</v>
      </c>
      <c r="E679" s="6" t="s">
        <v>150</v>
      </c>
      <c r="F679" s="242" t="s">
        <v>142</v>
      </c>
      <c r="G679" s="242" t="s">
        <v>151</v>
      </c>
      <c r="H679" s="6" t="str">
        <f>'[2]1. Information samples'!$K$22</f>
        <v>Senna pallida</v>
      </c>
      <c r="I679" s="6" t="s">
        <v>22</v>
      </c>
      <c r="J679" s="129" t="s">
        <v>23</v>
      </c>
      <c r="K679" s="129" t="s">
        <v>24</v>
      </c>
      <c r="L679" s="6" t="s">
        <v>149</v>
      </c>
      <c r="M679" s="256">
        <v>28</v>
      </c>
      <c r="N679" s="256">
        <v>69</v>
      </c>
      <c r="O679" s="256">
        <v>3</v>
      </c>
      <c r="P679" s="257">
        <v>2</v>
      </c>
      <c r="Q679" s="96">
        <v>88</v>
      </c>
      <c r="R679" s="98">
        <v>0.50039999999999996</v>
      </c>
      <c r="S679" s="94">
        <f>((Table3.110[[#This Row],[Sample weight, g]]*'2.1. DM'!Q89)/100)*1000</f>
        <v>469.95979206238121</v>
      </c>
      <c r="T679" s="94">
        <f>'3.2 Digest'!W679</f>
        <v>295.6597920623812</v>
      </c>
      <c r="U679" s="117">
        <v>0.34375</v>
      </c>
      <c r="V679" s="155">
        <v>41.5</v>
      </c>
      <c r="W679" s="117">
        <v>0.69097222222222221</v>
      </c>
      <c r="X679" s="97">
        <v>94.5</v>
      </c>
      <c r="Y679" s="97">
        <v>12.8</v>
      </c>
      <c r="Z679" s="155">
        <v>41.5</v>
      </c>
      <c r="AA679" s="117">
        <v>0.37152777777777779</v>
      </c>
      <c r="AB679" s="155">
        <v>84</v>
      </c>
      <c r="AC679" s="155">
        <v>17.899999999999999</v>
      </c>
      <c r="AD679" s="96"/>
      <c r="AE679" s="94">
        <f>Table3.110[[#This Row],[Gas 8h, ml]]-Table3.110[[#This Row],[Gas 0h, ml]]</f>
        <v>53</v>
      </c>
      <c r="AF679" s="94">
        <f>Table3.110[[#This Row],[Gas 24h, ml]]-Table3.110[[#This Row],[V8 Push back, ml]]</f>
        <v>42.5</v>
      </c>
      <c r="AG679" s="94">
        <f>Table3.110[[#This Row],[GP 8h, ml]]-(AVERAGE(AE$479,AE$480,AE$660,AE$661,AE$662,AE$663))*AG$8</f>
        <v>49.607474101643646</v>
      </c>
      <c r="AH679" s="94">
        <f>Table3.110[[#This Row],[GP 8-24h, ml]]-(AVERAGE(AF$479,AF$480,AF$660,AF$661,AF$662,AF$663))*AG$8</f>
        <v>38.185592064046816</v>
      </c>
      <c r="AI679" s="94">
        <f>Table3.110[[#This Row],[Net gas 8-24h, ml]]+Table3.110[[#This Row],[Net gas 8h, ml]]</f>
        <v>87.793066165690462</v>
      </c>
      <c r="AJ679" s="94">
        <f>Table3.110[[#This Row],[Net gas 8h, ml]]*Table3.110[[#This Row],[CH4 8h %]]%</f>
        <v>6.3497566850103873</v>
      </c>
      <c r="AK679" s="94">
        <f>Table3.110[[#This Row],[Net gas 8-24h, ml]]*Table3.110[[#This Row],[CH4 24h, %]]%</f>
        <v>6.8352209794643795</v>
      </c>
      <c r="AL679" s="94">
        <f>Table3.110[[#This Row],[CH4 8-24h, ml]]+Table3.110[[#This Row],[CH4 8h, ml]]</f>
        <v>13.184977664474767</v>
      </c>
      <c r="AM679" s="94">
        <f>(Table3.110[[#This Row],[Net gas 24h, ml]]/Table3.110[[#This Row],[DM Incubated, mg]])*1000</f>
        <v>186.80973914899735</v>
      </c>
      <c r="AN679" s="94">
        <f>'3.2 Digest'!X679</f>
        <v>62.911720759110409</v>
      </c>
      <c r="AO679" s="94">
        <f>Table3.110[[#This Row],[Digested feed, mg]]/Table3.110[[#This Row],[Net gas 24h, ml]]</f>
        <v>3.3676895565349905</v>
      </c>
      <c r="AP679" s="94">
        <f>Table3.110[[#This Row],[CH4 8h, ml]]/Table3.110[[#This Row],[Net gas 8h, ml]]%</f>
        <v>12.8</v>
      </c>
      <c r="AQ679" s="94">
        <f>Table3.110[[#This Row],[CH4 24h, ml]]/Table3.110[[#This Row],[Net gas 24h, ml]]%</f>
        <v>15.018244880058031</v>
      </c>
      <c r="AR679" s="94">
        <f>Table3.110[[#This Row],[CH4 24h, ml]]/Table3.110[[#This Row],[DM Incubated, mg]]*1000</f>
        <v>28.055544085194054</v>
      </c>
      <c r="AS679" s="94">
        <f>Table3.110[[#This Row],[CH4 24h, ml]]/Table3.110[[#This Row],[Digested feed, mg]]*1000</f>
        <v>44.595098888836638</v>
      </c>
      <c r="AT679" s="94">
        <f>Table3.110[[#This Row],[CH4 24h, ml]]/'3.2 Digest'!AA679</f>
        <v>0.43237987153492302</v>
      </c>
      <c r="AU679" s="94">
        <f>((Table3.110[[#This Row],[CH4 24h, ml]]/28.9)*16.04)/Table3.110[[#This Row],[DM Incubated, mg]]*1000</f>
        <v>15.571312357318776</v>
      </c>
      <c r="AV679" s="94">
        <f>((Table3.110[[#This Row],[CH4 24h, ml]]/28.9)*16.04)/Table3.110[[#This Row],[Digested feed, mg]]*1000</f>
        <v>24.751051424807599</v>
      </c>
      <c r="AW679" s="303"/>
    </row>
    <row r="680" spans="1:49" s="304" customFormat="1" x14ac:dyDescent="0.35">
      <c r="A680" s="89"/>
      <c r="B680" s="90">
        <f t="shared" si="10"/>
        <v>670</v>
      </c>
      <c r="C680" s="140">
        <v>46076</v>
      </c>
      <c r="D680" s="92" t="s">
        <v>16</v>
      </c>
      <c r="E680" s="6" t="s">
        <v>154</v>
      </c>
      <c r="F680" s="242" t="s">
        <v>99</v>
      </c>
      <c r="G680" s="242" t="s">
        <v>155</v>
      </c>
      <c r="H680" s="6" t="str">
        <f>'[2]1. Information samples'!$K$23</f>
        <v>Leucaena diversifolia</v>
      </c>
      <c r="I680" s="6" t="s">
        <v>22</v>
      </c>
      <c r="J680" s="129" t="s">
        <v>23</v>
      </c>
      <c r="K680" s="129" t="s">
        <v>24</v>
      </c>
      <c r="L680" s="6" t="s">
        <v>153</v>
      </c>
      <c r="M680" s="256">
        <v>28</v>
      </c>
      <c r="N680" s="256">
        <v>69</v>
      </c>
      <c r="O680" s="256">
        <v>3</v>
      </c>
      <c r="P680" s="257">
        <v>1</v>
      </c>
      <c r="Q680" s="96">
        <v>89</v>
      </c>
      <c r="R680" s="98">
        <v>0.50029999999999997</v>
      </c>
      <c r="S680" s="94">
        <f>((Table3.110[[#This Row],[Sample weight, g]]*'2.1. DM'!Q91)/100)*1000</f>
        <v>466.33646238395278</v>
      </c>
      <c r="T680" s="94">
        <f>'3.2 Digest'!W680</f>
        <v>196.33646238395278</v>
      </c>
      <c r="U680" s="117">
        <v>0.34444444444444444</v>
      </c>
      <c r="V680" s="155">
        <v>42</v>
      </c>
      <c r="W680" s="117">
        <v>0.69097222222222221</v>
      </c>
      <c r="X680" s="97">
        <v>68</v>
      </c>
      <c r="Y680" s="97">
        <v>10.9</v>
      </c>
      <c r="Z680" s="155">
        <v>40</v>
      </c>
      <c r="AA680" s="117">
        <v>0.37222222222222223</v>
      </c>
      <c r="AB680" s="155">
        <v>61</v>
      </c>
      <c r="AC680" s="155">
        <v>14.3</v>
      </c>
      <c r="AD680" s="96"/>
      <c r="AE680" s="94">
        <f>Table3.110[[#This Row],[Gas 8h, ml]]-Table3.110[[#This Row],[Gas 0h, ml]]</f>
        <v>26</v>
      </c>
      <c r="AF680" s="94">
        <f>Table3.110[[#This Row],[Gas 24h, ml]]-Table3.110[[#This Row],[V8 Push back, ml]]</f>
        <v>21</v>
      </c>
      <c r="AG680" s="94">
        <f>Table3.110[[#This Row],[GP 8h, ml]]-(AVERAGE(AE$479,AE$480,AE$660,AE$661,AE$662,AE$663))*AG$8</f>
        <v>22.607474101643646</v>
      </c>
      <c r="AH680" s="94">
        <f>Table3.110[[#This Row],[GP 8-24h, ml]]-(AVERAGE(AF$479,AF$480,AF$660,AF$661,AF$662,AF$663))*AG$8</f>
        <v>16.685592064046812</v>
      </c>
      <c r="AI680" s="94">
        <f>Table3.110[[#This Row],[Net gas 8-24h, ml]]+Table3.110[[#This Row],[Net gas 8h, ml]]</f>
        <v>39.293066165690462</v>
      </c>
      <c r="AJ680" s="94">
        <f>Table3.110[[#This Row],[Net gas 8h, ml]]*Table3.110[[#This Row],[CH4 8h %]]%</f>
        <v>2.4642146770791573</v>
      </c>
      <c r="AK680" s="94">
        <f>Table3.110[[#This Row],[Net gas 8-24h, ml]]*Table3.110[[#This Row],[CH4 24h, %]]%</f>
        <v>2.3860396651586946</v>
      </c>
      <c r="AL680" s="94">
        <f>Table3.110[[#This Row],[CH4 8-24h, ml]]+Table3.110[[#This Row],[CH4 8h, ml]]</f>
        <v>4.8502543422378519</v>
      </c>
      <c r="AM680" s="94">
        <f>(Table3.110[[#This Row],[Net gas 24h, ml]]/Table3.110[[#This Row],[DM Incubated, mg]])*1000</f>
        <v>84.259047565830187</v>
      </c>
      <c r="AN680" s="94">
        <f>'3.2 Digest'!X680</f>
        <v>42.101889562798419</v>
      </c>
      <c r="AO680" s="94">
        <f>Table3.110[[#This Row],[Digested feed, mg]]/Table3.110[[#This Row],[Net gas 24h, ml]]</f>
        <v>4.9967203260759518</v>
      </c>
      <c r="AP680" s="94">
        <f>Table3.110[[#This Row],[CH4 8h, ml]]/Table3.110[[#This Row],[Net gas 8h, ml]]%</f>
        <v>10.9</v>
      </c>
      <c r="AQ680" s="94">
        <f>Table3.110[[#This Row],[CH4 24h, ml]]/Table3.110[[#This Row],[Net gas 24h, ml]]%</f>
        <v>12.343791960101475</v>
      </c>
      <c r="AR680" s="94">
        <f>Table3.110[[#This Row],[CH4 24h, ml]]/Table3.110[[#This Row],[DM Incubated, mg]]*1000</f>
        <v>10.400761539089025</v>
      </c>
      <c r="AS680" s="94">
        <f>Table3.110[[#This Row],[CH4 24h, ml]]/Table3.110[[#This Row],[Digested feed, mg]]*1000</f>
        <v>24.703787994064822</v>
      </c>
      <c r="AT680" s="94">
        <f>Table3.110[[#This Row],[CH4 24h, ml]]/'3.2 Digest'!AA680</f>
        <v>0.55501704144961206</v>
      </c>
      <c r="AU680" s="94">
        <f>((Table3.110[[#This Row],[CH4 24h, ml]]/28.9)*16.04)/Table3.110[[#This Row],[DM Incubated, mg]]*1000</f>
        <v>5.7726025981656743</v>
      </c>
      <c r="AV680" s="94">
        <f>((Table3.110[[#This Row],[CH4 24h, ml]]/28.9)*16.04)/Table3.110[[#This Row],[Digested feed, mg]]*1000</f>
        <v>13.711029737882345</v>
      </c>
      <c r="AW680" s="303"/>
    </row>
    <row r="681" spans="1:49" s="304" customFormat="1" x14ac:dyDescent="0.35">
      <c r="A681" s="89"/>
      <c r="B681" s="90">
        <f t="shared" si="10"/>
        <v>671</v>
      </c>
      <c r="C681" s="140">
        <v>46076</v>
      </c>
      <c r="D681" s="92" t="s">
        <v>16</v>
      </c>
      <c r="E681" s="6" t="s">
        <v>154</v>
      </c>
      <c r="F681" s="242" t="s">
        <v>99</v>
      </c>
      <c r="G681" s="242" t="s">
        <v>155</v>
      </c>
      <c r="H681" s="6" t="str">
        <f>'[2]1. Information samples'!$K$23</f>
        <v>Leucaena diversifolia</v>
      </c>
      <c r="I681" s="6" t="s">
        <v>22</v>
      </c>
      <c r="J681" s="129" t="s">
        <v>23</v>
      </c>
      <c r="K681" s="129" t="s">
        <v>24</v>
      </c>
      <c r="L681" s="6" t="s">
        <v>153</v>
      </c>
      <c r="M681" s="256">
        <v>28</v>
      </c>
      <c r="N681" s="256">
        <v>69</v>
      </c>
      <c r="O681" s="256">
        <v>3</v>
      </c>
      <c r="P681" s="257">
        <v>2</v>
      </c>
      <c r="Q681" s="96">
        <v>90</v>
      </c>
      <c r="R681" s="98">
        <v>0.50039999999999996</v>
      </c>
      <c r="S681" s="94">
        <f>((Table3.110[[#This Row],[Sample weight, g]]*'2.1. DM'!Q91)/100)*1000</f>
        <v>466.42967374961017</v>
      </c>
      <c r="T681" s="94">
        <f>'3.2 Digest'!W681</f>
        <v>175.42967374961012</v>
      </c>
      <c r="U681" s="153">
        <v>0.34444444444444444</v>
      </c>
      <c r="V681" s="154">
        <v>41.5</v>
      </c>
      <c r="W681" s="153">
        <v>0.69166666666666665</v>
      </c>
      <c r="X681" s="95">
        <v>67.5</v>
      </c>
      <c r="Y681" s="95">
        <v>10.7</v>
      </c>
      <c r="Z681" s="154">
        <v>40</v>
      </c>
      <c r="AA681" s="153">
        <v>0.37291666666666667</v>
      </c>
      <c r="AB681" s="154">
        <v>60.5</v>
      </c>
      <c r="AC681" s="154">
        <v>13.5</v>
      </c>
      <c r="AD681" s="91"/>
      <c r="AE681" s="94">
        <f>Table3.110[[#This Row],[Gas 8h, ml]]-Table3.110[[#This Row],[Gas 0h, ml]]</f>
        <v>26</v>
      </c>
      <c r="AF681" s="94">
        <f>Table3.110[[#This Row],[Gas 24h, ml]]-Table3.110[[#This Row],[V8 Push back, ml]]</f>
        <v>20.5</v>
      </c>
      <c r="AG681" s="94">
        <f>Table3.110[[#This Row],[GP 8h, ml]]-(AVERAGE(AE$479,AE$480,AE$660,AE$661,AE$662,AE$663))*AG$8</f>
        <v>22.607474101643646</v>
      </c>
      <c r="AH681" s="94">
        <f>Table3.110[[#This Row],[GP 8-24h, ml]]-(AVERAGE(AF$479,AF$480,AF$660,AF$661,AF$662,AF$663))*AG$8</f>
        <v>16.185592064046812</v>
      </c>
      <c r="AI681" s="94">
        <f>Table3.110[[#This Row],[Net gas 8-24h, ml]]+Table3.110[[#This Row],[Net gas 8h, ml]]</f>
        <v>38.793066165690462</v>
      </c>
      <c r="AJ681" s="94">
        <f>Table3.110[[#This Row],[Net gas 8h, ml]]*Table3.110[[#This Row],[CH4 8h %]]%</f>
        <v>2.4189997288758702</v>
      </c>
      <c r="AK681" s="94">
        <f>Table3.110[[#This Row],[Net gas 8-24h, ml]]*Table3.110[[#This Row],[CH4 24h, %]]%</f>
        <v>2.1850549286463199</v>
      </c>
      <c r="AL681" s="94">
        <f>Table3.110[[#This Row],[CH4 8-24h, ml]]+Table3.110[[#This Row],[CH4 8h, ml]]</f>
        <v>4.6040546575221901</v>
      </c>
      <c r="AM681" s="94">
        <f>(Table3.110[[#This Row],[Net gas 24h, ml]]/Table3.110[[#This Row],[DM Incubated, mg]])*1000</f>
        <v>83.170236262702801</v>
      </c>
      <c r="AN681" s="94">
        <f>'3.2 Digest'!X681</f>
        <v>37.611173478594907</v>
      </c>
      <c r="AO681" s="94">
        <f>Table3.110[[#This Row],[Digested feed, mg]]/Table3.110[[#This Row],[Net gas 24h, ml]]</f>
        <v>4.5221914916528156</v>
      </c>
      <c r="AP681" s="94">
        <f>Table3.110[[#This Row],[CH4 8h, ml]]/Table3.110[[#This Row],[Net gas 8h, ml]]%</f>
        <v>10.700000000000001</v>
      </c>
      <c r="AQ681" s="94">
        <f>Table3.110[[#This Row],[CH4 24h, ml]]/Table3.110[[#This Row],[Net gas 24h, ml]]%</f>
        <v>11.868241189952984</v>
      </c>
      <c r="AR681" s="94">
        <f>Table3.110[[#This Row],[CH4 24h, ml]]/Table3.110[[#This Row],[DM Incubated, mg]]*1000</f>
        <v>9.8708442379113066</v>
      </c>
      <c r="AS681" s="94">
        <f>Table3.110[[#This Row],[CH4 24h, ml]]/Table3.110[[#This Row],[Digested feed, mg]]*1000</f>
        <v>26.244446330633515</v>
      </c>
      <c r="AT681" s="94">
        <f>Table3.110[[#This Row],[CH4 24h, ml]]/'3.2 Digest'!AA681</f>
        <v>2.7726893115032185</v>
      </c>
      <c r="AU681" s="94">
        <f>((Table3.110[[#This Row],[CH4 24h, ml]]/28.9)*16.04)/Table3.110[[#This Row],[DM Incubated, mg]]*1000</f>
        <v>5.4784893278926425</v>
      </c>
      <c r="AV681" s="94">
        <f>((Table3.110[[#This Row],[CH4 24h, ml]]/28.9)*16.04)/Table3.110[[#This Row],[Digested feed, mg]]*1000</f>
        <v>14.566121769666491</v>
      </c>
      <c r="AW681" s="303"/>
    </row>
    <row r="682" spans="1:49" s="304" customFormat="1" x14ac:dyDescent="0.35">
      <c r="A682" s="89"/>
      <c r="B682" s="90">
        <f t="shared" si="10"/>
        <v>672</v>
      </c>
      <c r="C682" s="140">
        <v>46076</v>
      </c>
      <c r="D682" s="92" t="s">
        <v>16</v>
      </c>
      <c r="E682" s="6" t="s">
        <v>158</v>
      </c>
      <c r="F682" s="242" t="s">
        <v>159</v>
      </c>
      <c r="G682" s="242" t="s">
        <v>160</v>
      </c>
      <c r="H682" s="6" t="str">
        <f>'[2]1. Information samples'!$K$24</f>
        <v>Calliandra calothyrsus</v>
      </c>
      <c r="I682" s="6" t="s">
        <v>22</v>
      </c>
      <c r="J682" s="129" t="s">
        <v>23</v>
      </c>
      <c r="K682" s="129" t="s">
        <v>24</v>
      </c>
      <c r="L682" s="6" t="s">
        <v>157</v>
      </c>
      <c r="M682" s="256">
        <v>28</v>
      </c>
      <c r="N682" s="256">
        <v>69</v>
      </c>
      <c r="O682" s="256">
        <v>3</v>
      </c>
      <c r="P682" s="257">
        <v>1</v>
      </c>
      <c r="Q682" s="96">
        <v>91</v>
      </c>
      <c r="R682" s="98">
        <v>0.50009999999999999</v>
      </c>
      <c r="S682" s="94">
        <f>((Table3.110[[#This Row],[Sample weight, g]]*'2.1. DM'!Q93)/100)*1000</f>
        <v>464.03221211515387</v>
      </c>
      <c r="T682" s="94">
        <f>'3.2 Digest'!W682</f>
        <v>129.13221211515389</v>
      </c>
      <c r="U682" s="153">
        <v>0.34513888888888888</v>
      </c>
      <c r="V682" s="154">
        <v>42</v>
      </c>
      <c r="W682" s="153">
        <v>0.69166666666666665</v>
      </c>
      <c r="X682" s="95">
        <v>54.5</v>
      </c>
      <c r="Y682" s="95">
        <v>10.9</v>
      </c>
      <c r="Z682" s="154">
        <v>40</v>
      </c>
      <c r="AA682" s="153">
        <v>0.37361111111111112</v>
      </c>
      <c r="AB682" s="154">
        <v>53.5</v>
      </c>
      <c r="AC682" s="154">
        <v>13.7</v>
      </c>
      <c r="AD682" s="91" t="s">
        <v>578</v>
      </c>
      <c r="AE682" s="94">
        <f>Table3.110[[#This Row],[Gas 8h, ml]]-Table3.110[[#This Row],[Gas 0h, ml]]</f>
        <v>12.5</v>
      </c>
      <c r="AF682" s="94">
        <f>Table3.110[[#This Row],[Gas 24h, ml]]-Table3.110[[#This Row],[V8 Push back, ml]]</f>
        <v>13.5</v>
      </c>
      <c r="AG682" s="94">
        <f>Table3.110[[#This Row],[GP 8h, ml]]-(AVERAGE(AE$479,AE$480,AE$660,AE$661,AE$662,AE$663))*AG$8</f>
        <v>9.1074741016436462</v>
      </c>
      <c r="AH682" s="94">
        <f>Table3.110[[#This Row],[GP 8-24h, ml]]-(AVERAGE(AF$479,AF$480,AF$660,AF$661,AF$662,AF$663))*AG$8</f>
        <v>9.1855920640468121</v>
      </c>
      <c r="AI682" s="94">
        <f>Table3.110[[#This Row],[Net gas 8-24h, ml]]+Table3.110[[#This Row],[Net gas 8h, ml]]</f>
        <v>18.293066165690458</v>
      </c>
      <c r="AJ682" s="94">
        <f>Table3.110[[#This Row],[Net gas 8h, ml]]*Table3.110[[#This Row],[CH4 8h %]]%</f>
        <v>0.99271467707915739</v>
      </c>
      <c r="AK682" s="94">
        <f>Table3.110[[#This Row],[Net gas 8-24h, ml]]*Table3.110[[#This Row],[CH4 24h, %]]%</f>
        <v>1.2584261127744132</v>
      </c>
      <c r="AL682" s="94">
        <f>Table3.110[[#This Row],[CH4 8-24h, ml]]+Table3.110[[#This Row],[CH4 8h, ml]]</f>
        <v>2.2511407898535705</v>
      </c>
      <c r="AM682" s="94">
        <f>(Table3.110[[#This Row],[Net gas 24h, ml]]/Table3.110[[#This Row],[DM Incubated, mg]])*1000</f>
        <v>39.421974785558348</v>
      </c>
      <c r="AN682" s="94">
        <f>'3.2 Digest'!X682</f>
        <v>27.828286214558862</v>
      </c>
      <c r="AO682" s="94">
        <f>Table3.110[[#This Row],[Digested feed, mg]]/Table3.110[[#This Row],[Net gas 24h, ml]]</f>
        <v>7.0590797051479361</v>
      </c>
      <c r="AP682" s="94">
        <f>Table3.110[[#This Row],[CH4 8h, ml]]/Table3.110[[#This Row],[Net gas 8h, ml]]%</f>
        <v>10.899999999999999</v>
      </c>
      <c r="AQ682" s="94">
        <f>Table3.110[[#This Row],[CH4 24h, ml]]/Table3.110[[#This Row],[Net gas 24h, ml]]%</f>
        <v>12.305978502803949</v>
      </c>
      <c r="AR682" s="94">
        <f>Table3.110[[#This Row],[CH4 24h, ml]]/Table3.110[[#This Row],[DM Incubated, mg]]*1000</f>
        <v>4.8512597424916031</v>
      </c>
      <c r="AS682" s="94">
        <f>Table3.110[[#This Row],[CH4 24h, ml]]/Table3.110[[#This Row],[Digested feed, mg]]*1000</f>
        <v>17.432836880747551</v>
      </c>
      <c r="AT682" s="94">
        <f>Table3.110[[#This Row],[CH4 24h, ml]]/'3.2 Digest'!AA682</f>
        <v>-6.3881785732522678E-2</v>
      </c>
      <c r="AU682" s="94">
        <f>((Table3.110[[#This Row],[CH4 24h, ml]]/28.9)*16.04)/Table3.110[[#This Row],[DM Incubated, mg]]*1000</f>
        <v>2.6925330889122945</v>
      </c>
      <c r="AV682" s="94">
        <f>((Table3.110[[#This Row],[CH4 24h, ml]]/28.9)*16.04)/Table3.110[[#This Row],[Digested feed, mg]]*1000</f>
        <v>9.675526074989298</v>
      </c>
      <c r="AW682" s="303"/>
    </row>
    <row r="683" spans="1:49" s="304" customFormat="1" x14ac:dyDescent="0.35">
      <c r="A683" s="89"/>
      <c r="B683" s="90">
        <f t="shared" si="10"/>
        <v>673</v>
      </c>
      <c r="C683" s="140">
        <v>46076</v>
      </c>
      <c r="D683" s="92" t="s">
        <v>16</v>
      </c>
      <c r="E683" s="6" t="s">
        <v>158</v>
      </c>
      <c r="F683" s="242" t="s">
        <v>159</v>
      </c>
      <c r="G683" s="242" t="s">
        <v>160</v>
      </c>
      <c r="H683" s="6" t="str">
        <f>'[2]1. Information samples'!$K$24</f>
        <v>Calliandra calothyrsus</v>
      </c>
      <c r="I683" s="6" t="s">
        <v>22</v>
      </c>
      <c r="J683" s="129" t="s">
        <v>23</v>
      </c>
      <c r="K683" s="129" t="s">
        <v>24</v>
      </c>
      <c r="L683" s="6" t="s">
        <v>157</v>
      </c>
      <c r="M683" s="256">
        <v>28</v>
      </c>
      <c r="N683" s="256">
        <v>69</v>
      </c>
      <c r="O683" s="256">
        <v>3</v>
      </c>
      <c r="P683" s="257">
        <v>2</v>
      </c>
      <c r="Q683" s="96">
        <v>92</v>
      </c>
      <c r="R683" s="98">
        <v>0.5</v>
      </c>
      <c r="S683" s="94">
        <f>((Table3.110[[#This Row],[Sample weight, g]]*'2.1. DM'!Q93)/100)*1000</f>
        <v>463.93942423030779</v>
      </c>
      <c r="T683" s="94">
        <f>'3.2 Digest'!W683</f>
        <v>160.03942423030787</v>
      </c>
      <c r="U683" s="117">
        <v>0.34513888888888888</v>
      </c>
      <c r="V683" s="155">
        <v>42.5</v>
      </c>
      <c r="W683" s="117">
        <v>0.69236111111111109</v>
      </c>
      <c r="X683" s="97">
        <v>56</v>
      </c>
      <c r="Y683" s="97">
        <v>10.5</v>
      </c>
      <c r="Z683" s="155">
        <v>40</v>
      </c>
      <c r="AA683" s="117">
        <v>0.37430555555555556</v>
      </c>
      <c r="AB683" s="155">
        <v>52.5</v>
      </c>
      <c r="AC683" s="155">
        <v>13.9</v>
      </c>
      <c r="AD683" s="91" t="s">
        <v>578</v>
      </c>
      <c r="AE683" s="94">
        <f>Table3.110[[#This Row],[Gas 8h, ml]]-Table3.110[[#This Row],[Gas 0h, ml]]</f>
        <v>13.5</v>
      </c>
      <c r="AF683" s="94">
        <f>Table3.110[[#This Row],[Gas 24h, ml]]-Table3.110[[#This Row],[V8 Push back, ml]]</f>
        <v>12.5</v>
      </c>
      <c r="AG683" s="94">
        <f>Table3.110[[#This Row],[GP 8h, ml]]-(AVERAGE(AE$479,AE$480,AE$660,AE$661,AE$662,AE$663))*AG$8</f>
        <v>10.107474101643646</v>
      </c>
      <c r="AH683" s="94">
        <f>Table3.110[[#This Row],[GP 8-24h, ml]]-(AVERAGE(AF$479,AF$480,AF$660,AF$661,AF$662,AF$663))*AG$8</f>
        <v>8.1855920640468121</v>
      </c>
      <c r="AI683" s="94">
        <f>Table3.110[[#This Row],[Net gas 8-24h, ml]]+Table3.110[[#This Row],[Net gas 8h, ml]]</f>
        <v>18.293066165690458</v>
      </c>
      <c r="AJ683" s="94">
        <f>Table3.110[[#This Row],[Net gas 8h, ml]]*Table3.110[[#This Row],[CH4 8h %]]%</f>
        <v>1.0612847806725829</v>
      </c>
      <c r="AK683" s="94">
        <f>Table3.110[[#This Row],[Net gas 8-24h, ml]]*Table3.110[[#This Row],[CH4 24h, %]]%</f>
        <v>1.137797296902507</v>
      </c>
      <c r="AL683" s="94">
        <f>Table3.110[[#This Row],[CH4 8-24h, ml]]+Table3.110[[#This Row],[CH4 8h, ml]]</f>
        <v>2.1990820775750901</v>
      </c>
      <c r="AM683" s="94">
        <f>(Table3.110[[#This Row],[Net gas 24h, ml]]/Table3.110[[#This Row],[DM Incubated, mg]])*1000</f>
        <v>39.429859180515464</v>
      </c>
      <c r="AN683" s="94">
        <f>'3.2 Digest'!X683</f>
        <v>34.495758685698902</v>
      </c>
      <c r="AO683" s="94">
        <f>Table3.110[[#This Row],[Digested feed, mg]]/Table3.110[[#This Row],[Net gas 24h, ml]]</f>
        <v>8.7486385705240419</v>
      </c>
      <c r="AP683" s="94">
        <f>Table3.110[[#This Row],[CH4 8h, ml]]/Table3.110[[#This Row],[Net gas 8h, ml]]%</f>
        <v>10.500000000000002</v>
      </c>
      <c r="AQ683" s="94">
        <f>Table3.110[[#This Row],[CH4 24h, ml]]/Table3.110[[#This Row],[Net gas 24h, ml]]%</f>
        <v>12.021396837778767</v>
      </c>
      <c r="AR683" s="94">
        <f>Table3.110[[#This Row],[CH4 24h, ml]]/Table3.110[[#This Row],[DM Incubated, mg]]*1000</f>
        <v>4.7400198446671062</v>
      </c>
      <c r="AS683" s="94">
        <f>Table3.110[[#This Row],[CH4 24h, ml]]/Table3.110[[#This Row],[Digested feed, mg]]*1000</f>
        <v>13.740877212920099</v>
      </c>
      <c r="AT683" s="94">
        <f>Table3.110[[#This Row],[CH4 24h, ml]]/'3.2 Digest'!AA683</f>
        <v>-9.6682908314685637E-2</v>
      </c>
      <c r="AU683" s="94">
        <f>((Table3.110[[#This Row],[CH4 24h, ml]]/28.9)*16.04)/Table3.110[[#This Row],[DM Incubated, mg]]*1000</f>
        <v>2.630793021053992</v>
      </c>
      <c r="AV683" s="94">
        <f>((Table3.110[[#This Row],[CH4 24h, ml]]/28.9)*16.04)/Table3.110[[#This Row],[Digested feed, mg]]*1000</f>
        <v>7.6264245846103238</v>
      </c>
      <c r="AW683" s="303"/>
    </row>
    <row r="684" spans="1:49" s="304" customFormat="1" x14ac:dyDescent="0.35">
      <c r="A684" s="89"/>
      <c r="B684" s="90">
        <f t="shared" si="10"/>
        <v>674</v>
      </c>
      <c r="C684" s="140">
        <v>46076</v>
      </c>
      <c r="D684" s="92" t="s">
        <v>16</v>
      </c>
      <c r="E684" s="6" t="s">
        <v>163</v>
      </c>
      <c r="F684" s="242" t="s">
        <v>129</v>
      </c>
      <c r="G684" s="242" t="s">
        <v>164</v>
      </c>
      <c r="H684" s="6" t="str">
        <f>'[2]1. Information samples'!$K$25</f>
        <v>Erythrina fusca</v>
      </c>
      <c r="I684" s="6" t="s">
        <v>22</v>
      </c>
      <c r="J684" s="129" t="s">
        <v>23</v>
      </c>
      <c r="K684" s="129" t="s">
        <v>24</v>
      </c>
      <c r="L684" s="6" t="s">
        <v>162</v>
      </c>
      <c r="M684" s="256">
        <v>28</v>
      </c>
      <c r="N684" s="256">
        <v>69</v>
      </c>
      <c r="O684" s="256">
        <v>3</v>
      </c>
      <c r="P684" s="257">
        <v>1</v>
      </c>
      <c r="Q684" s="96">
        <v>93</v>
      </c>
      <c r="R684" s="98">
        <v>0.50009999999999999</v>
      </c>
      <c r="S684" s="94">
        <f>((Table3.110[[#This Row],[Sample weight, g]]*'2.1. DM'!Q95)/100)*1000</f>
        <v>466.2771661738268</v>
      </c>
      <c r="T684" s="94">
        <f>'3.2 Digest'!W684</f>
        <v>156.7771661738268</v>
      </c>
      <c r="U684" s="117">
        <v>0.34583333333333333</v>
      </c>
      <c r="V684" s="155">
        <v>41</v>
      </c>
      <c r="W684" s="117">
        <v>0.69236111111111109</v>
      </c>
      <c r="X684" s="97">
        <v>60.5</v>
      </c>
      <c r="Y684" s="97">
        <v>13.8</v>
      </c>
      <c r="Z684" s="155">
        <v>40</v>
      </c>
      <c r="AA684" s="117">
        <v>0.375</v>
      </c>
      <c r="AB684" s="155">
        <v>69.5</v>
      </c>
      <c r="AC684" s="155">
        <v>15.5</v>
      </c>
      <c r="AD684" s="96"/>
      <c r="AE684" s="94">
        <f>Table3.110[[#This Row],[Gas 8h, ml]]-Table3.110[[#This Row],[Gas 0h, ml]]</f>
        <v>19.5</v>
      </c>
      <c r="AF684" s="94">
        <f>Table3.110[[#This Row],[Gas 24h, ml]]-Table3.110[[#This Row],[V8 Push back, ml]]</f>
        <v>29.5</v>
      </c>
      <c r="AG684" s="94">
        <f>Table3.110[[#This Row],[GP 8h, ml]]-(AVERAGE(AE$479,AE$480,AE$660,AE$661,AE$662,AE$663))*AG$8</f>
        <v>16.107474101643646</v>
      </c>
      <c r="AH684" s="94">
        <f>Table3.110[[#This Row],[GP 8-24h, ml]]-(AVERAGE(AF$479,AF$480,AF$660,AF$661,AF$662,AF$663))*AG$8</f>
        <v>25.185592064046812</v>
      </c>
      <c r="AI684" s="94">
        <f>Table3.110[[#This Row],[Net gas 8-24h, ml]]+Table3.110[[#This Row],[Net gas 8h, ml]]</f>
        <v>41.293066165690462</v>
      </c>
      <c r="AJ684" s="94">
        <f>Table3.110[[#This Row],[Net gas 8h, ml]]*Table3.110[[#This Row],[CH4 8h %]]%</f>
        <v>2.2228314260268234</v>
      </c>
      <c r="AK684" s="94">
        <f>Table3.110[[#This Row],[Net gas 8-24h, ml]]*Table3.110[[#This Row],[CH4 24h, %]]%</f>
        <v>3.9037667699272558</v>
      </c>
      <c r="AL684" s="94">
        <f>Table3.110[[#This Row],[CH4 8-24h, ml]]+Table3.110[[#This Row],[CH4 8h, ml]]</f>
        <v>6.1265981959540792</v>
      </c>
      <c r="AM684" s="94">
        <f>(Table3.110[[#This Row],[Net gas 24h, ml]]/Table3.110[[#This Row],[DM Incubated, mg]])*1000</f>
        <v>88.559057061560083</v>
      </c>
      <c r="AN684" s="94">
        <f>'3.2 Digest'!X684</f>
        <v>33.623170411776229</v>
      </c>
      <c r="AO684" s="94">
        <f>Table3.110[[#This Row],[Digested feed, mg]]/Table3.110[[#This Row],[Net gas 24h, ml]]</f>
        <v>3.7966947173346415</v>
      </c>
      <c r="AP684" s="94">
        <f>Table3.110[[#This Row],[CH4 8h, ml]]/Table3.110[[#This Row],[Net gas 8h, ml]]%</f>
        <v>13.800000000000002</v>
      </c>
      <c r="AQ684" s="94">
        <f>Table3.110[[#This Row],[CH4 24h, ml]]/Table3.110[[#This Row],[Net gas 24h, ml]]%</f>
        <v>14.836869152246535</v>
      </c>
      <c r="AR684" s="94">
        <f>Table3.110[[#This Row],[CH4 24h, ml]]/Table3.110[[#This Row],[DM Incubated, mg]]*1000</f>
        <v>13.139391418687016</v>
      </c>
      <c r="AS684" s="94">
        <f>Table3.110[[#This Row],[CH4 24h, ml]]/Table3.110[[#This Row],[Digested feed, mg]]*1000</f>
        <v>39.078383322487213</v>
      </c>
      <c r="AT684" s="94">
        <f>Table3.110[[#This Row],[CH4 24h, ml]]/'3.2 Digest'!AA684</f>
        <v>1.9845956109763354</v>
      </c>
      <c r="AU684" s="94">
        <f>((Table3.110[[#This Row],[CH4 24h, ml]]/28.9)*16.04)/Table3.110[[#This Row],[DM Incubated, mg]]*1000</f>
        <v>7.2925895624823438</v>
      </c>
      <c r="AV684" s="94">
        <f>((Table3.110[[#This Row],[CH4 24h, ml]]/28.9)*16.04)/Table3.110[[#This Row],[Digested feed, mg]]*1000</f>
        <v>21.689178840577675</v>
      </c>
      <c r="AW684" s="303"/>
    </row>
    <row r="685" spans="1:49" s="304" customFormat="1" x14ac:dyDescent="0.35">
      <c r="A685" s="89"/>
      <c r="B685" s="90">
        <f t="shared" si="10"/>
        <v>675</v>
      </c>
      <c r="C685" s="140">
        <v>46076</v>
      </c>
      <c r="D685" s="92" t="s">
        <v>16</v>
      </c>
      <c r="E685" s="6" t="s">
        <v>163</v>
      </c>
      <c r="F685" s="242" t="s">
        <v>129</v>
      </c>
      <c r="G685" s="242" t="s">
        <v>164</v>
      </c>
      <c r="H685" s="6" t="str">
        <f>'[2]1. Information samples'!$K$25</f>
        <v>Erythrina fusca</v>
      </c>
      <c r="I685" s="6" t="s">
        <v>22</v>
      </c>
      <c r="J685" s="129" t="s">
        <v>23</v>
      </c>
      <c r="K685" s="129" t="s">
        <v>24</v>
      </c>
      <c r="L685" s="6" t="s">
        <v>162</v>
      </c>
      <c r="M685" s="256">
        <v>28</v>
      </c>
      <c r="N685" s="256">
        <v>69</v>
      </c>
      <c r="O685" s="256">
        <v>3</v>
      </c>
      <c r="P685" s="257">
        <v>2</v>
      </c>
      <c r="Q685" s="96">
        <v>94</v>
      </c>
      <c r="R685" s="98">
        <v>0.5</v>
      </c>
      <c r="S685" s="94">
        <f>((Table3.110[[#This Row],[Sample weight, g]]*'2.1. DM'!Q95)/100)*1000</f>
        <v>466.18392938794926</v>
      </c>
      <c r="T685" s="94">
        <f>'3.2 Digest'!W685</f>
        <v>146.38392938794919</v>
      </c>
      <c r="U685" s="153">
        <v>0.34583333333333333</v>
      </c>
      <c r="V685" s="154">
        <v>41</v>
      </c>
      <c r="W685" s="153">
        <v>0.69305555555555554</v>
      </c>
      <c r="X685" s="95">
        <v>66.5</v>
      </c>
      <c r="Y685" s="95">
        <v>13.9</v>
      </c>
      <c r="Z685" s="154">
        <v>40</v>
      </c>
      <c r="AA685" s="153">
        <v>0.375</v>
      </c>
      <c r="AB685" s="154">
        <v>69</v>
      </c>
      <c r="AC685" s="154">
        <v>15.8</v>
      </c>
      <c r="AD685" s="91"/>
      <c r="AE685" s="94">
        <f>Table3.110[[#This Row],[Gas 8h, ml]]-Table3.110[[#This Row],[Gas 0h, ml]]</f>
        <v>25.5</v>
      </c>
      <c r="AF685" s="94">
        <f>Table3.110[[#This Row],[Gas 24h, ml]]-Table3.110[[#This Row],[V8 Push back, ml]]</f>
        <v>29</v>
      </c>
      <c r="AG685" s="94">
        <f>Table3.110[[#This Row],[GP 8h, ml]]-(AVERAGE(AE$479,AE$480,AE$660,AE$661,AE$662,AE$663))*AG$8</f>
        <v>22.107474101643646</v>
      </c>
      <c r="AH685" s="94">
        <f>Table3.110[[#This Row],[GP 8-24h, ml]]-(AVERAGE(AF$479,AF$480,AF$660,AF$661,AF$662,AF$663))*AG$8</f>
        <v>24.685592064046812</v>
      </c>
      <c r="AI685" s="94">
        <f>Table3.110[[#This Row],[Net gas 8-24h, ml]]+Table3.110[[#This Row],[Net gas 8h, ml]]</f>
        <v>46.793066165690462</v>
      </c>
      <c r="AJ685" s="94">
        <f>Table3.110[[#This Row],[Net gas 8h, ml]]*Table3.110[[#This Row],[CH4 8h %]]%</f>
        <v>3.072938900128467</v>
      </c>
      <c r="AK685" s="94">
        <f>Table3.110[[#This Row],[Net gas 8-24h, ml]]*Table3.110[[#This Row],[CH4 24h, %]]%</f>
        <v>3.9003235461193961</v>
      </c>
      <c r="AL685" s="94">
        <f>Table3.110[[#This Row],[CH4 8-24h, ml]]+Table3.110[[#This Row],[CH4 8h, ml]]</f>
        <v>6.9732624462478636</v>
      </c>
      <c r="AM685" s="94">
        <f>(Table3.110[[#This Row],[Net gas 24h, ml]]/Table3.110[[#This Row],[DM Incubated, mg]])*1000</f>
        <v>100.37468736239978</v>
      </c>
      <c r="AN685" s="94">
        <f>'3.2 Digest'!X685</f>
        <v>31.400466674202171</v>
      </c>
      <c r="AO685" s="94">
        <f>Table3.110[[#This Row],[Digested feed, mg]]/Table3.110[[#This Row],[Net gas 24h, ml]]</f>
        <v>3.1283252281356289</v>
      </c>
      <c r="AP685" s="94">
        <f>Table3.110[[#This Row],[CH4 8h, ml]]/Table3.110[[#This Row],[Net gas 8h, ml]]%</f>
        <v>13.900000000000002</v>
      </c>
      <c r="AQ685" s="94">
        <f>Table3.110[[#This Row],[CH4 24h, ml]]/Table3.110[[#This Row],[Net gas 24h, ml]]%</f>
        <v>14.902341345950926</v>
      </c>
      <c r="AR685" s="94">
        <f>Table3.110[[#This Row],[CH4 24h, ml]]/Table3.110[[#This Row],[DM Incubated, mg]]*1000</f>
        <v>14.958178535675881</v>
      </c>
      <c r="AS685" s="94">
        <f>Table3.110[[#This Row],[CH4 24h, ml]]/Table3.110[[#This Row],[Digested feed, mg]]*1000</f>
        <v>47.63680327071426</v>
      </c>
      <c r="AT685" s="94">
        <f>Table3.110[[#This Row],[CH4 24h, ml]]/'3.2 Digest'!AA685</f>
        <v>-44.089014292878787</v>
      </c>
      <c r="AU685" s="94">
        <f>((Table3.110[[#This Row],[CH4 24h, ml]]/28.9)*16.04)/Table3.110[[#This Row],[DM Incubated, mg]]*1000</f>
        <v>8.3020478793163015</v>
      </c>
      <c r="AV685" s="94">
        <f>((Table3.110[[#This Row],[CH4 24h, ml]]/28.9)*16.04)/Table3.110[[#This Row],[Digested feed, mg]]*1000</f>
        <v>26.439249981392965</v>
      </c>
      <c r="AW685" s="303"/>
    </row>
    <row r="686" spans="1:49" s="304" customFormat="1" x14ac:dyDescent="0.35">
      <c r="A686" s="89"/>
      <c r="B686" s="90">
        <f t="shared" si="10"/>
        <v>676</v>
      </c>
      <c r="C686" s="140">
        <v>46076</v>
      </c>
      <c r="D686" s="92" t="s">
        <v>16</v>
      </c>
      <c r="E686" s="6" t="s">
        <v>167</v>
      </c>
      <c r="F686" s="242" t="s">
        <v>88</v>
      </c>
      <c r="G686" s="242" t="s">
        <v>168</v>
      </c>
      <c r="H686" s="6" t="str">
        <f>'[2]1. Information samples'!$K$26</f>
        <v>Acacia farnesiana</v>
      </c>
      <c r="I686" s="6" t="s">
        <v>22</v>
      </c>
      <c r="J686" s="129" t="s">
        <v>23</v>
      </c>
      <c r="K686" s="129" t="s">
        <v>24</v>
      </c>
      <c r="L686" s="6" t="s">
        <v>166</v>
      </c>
      <c r="M686" s="256">
        <v>28</v>
      </c>
      <c r="N686" s="256">
        <v>69</v>
      </c>
      <c r="O686" s="256">
        <v>3</v>
      </c>
      <c r="P686" s="257">
        <v>1</v>
      </c>
      <c r="Q686" s="96">
        <v>95</v>
      </c>
      <c r="R686" s="98">
        <v>0.50009999999999999</v>
      </c>
      <c r="S686" s="94">
        <f>((Table3.110[[#This Row],[Sample weight, g]]*'2.1. DM'!Q97)/100)*1000</f>
        <v>473.17368709287211</v>
      </c>
      <c r="T686" s="94">
        <f>'3.2 Digest'!W686</f>
        <v>222.57368709287218</v>
      </c>
      <c r="U686" s="153">
        <v>0.34583333333333333</v>
      </c>
      <c r="V686" s="154">
        <v>40.5</v>
      </c>
      <c r="W686" s="153">
        <v>0.69374999999999998</v>
      </c>
      <c r="X686" s="95">
        <v>77.5</v>
      </c>
      <c r="Y686" s="95">
        <v>13.1</v>
      </c>
      <c r="Z686" s="154">
        <v>40</v>
      </c>
      <c r="AA686" s="153">
        <v>0.37569444444444444</v>
      </c>
      <c r="AB686" s="154">
        <v>73</v>
      </c>
      <c r="AC686" s="154">
        <v>18</v>
      </c>
      <c r="AD686" s="91"/>
      <c r="AE686" s="94">
        <f>Table3.110[[#This Row],[Gas 8h, ml]]-Table3.110[[#This Row],[Gas 0h, ml]]</f>
        <v>37</v>
      </c>
      <c r="AF686" s="94">
        <f>Table3.110[[#This Row],[Gas 24h, ml]]-Table3.110[[#This Row],[V8 Push back, ml]]</f>
        <v>33</v>
      </c>
      <c r="AG686" s="94">
        <f>Table3.110[[#This Row],[GP 8h, ml]]-(AVERAGE(AE$479,AE$480,AE$660,AE$661,AE$662,AE$663))*AG$8</f>
        <v>33.607474101643646</v>
      </c>
      <c r="AH686" s="94">
        <f>Table3.110[[#This Row],[GP 8-24h, ml]]-(AVERAGE(AF$479,AF$480,AF$660,AF$661,AF$662,AF$663))*AG$8</f>
        <v>28.685592064046812</v>
      </c>
      <c r="AI686" s="94">
        <f>Table3.110[[#This Row],[Net gas 8-24h, ml]]+Table3.110[[#This Row],[Net gas 8h, ml]]</f>
        <v>62.293066165690462</v>
      </c>
      <c r="AJ686" s="94">
        <f>Table3.110[[#This Row],[Net gas 8h, ml]]*Table3.110[[#This Row],[CH4 8h %]]%</f>
        <v>4.4025791073153178</v>
      </c>
      <c r="AK686" s="94">
        <f>Table3.110[[#This Row],[Net gas 8-24h, ml]]*Table3.110[[#This Row],[CH4 24h, %]]%</f>
        <v>5.1634065715284256</v>
      </c>
      <c r="AL686" s="94">
        <f>Table3.110[[#This Row],[CH4 8-24h, ml]]+Table3.110[[#This Row],[CH4 8h, ml]]</f>
        <v>9.5659856788437434</v>
      </c>
      <c r="AM686" s="94">
        <f>(Table3.110[[#This Row],[Net gas 24h, ml]]/Table3.110[[#This Row],[DM Incubated, mg]])*1000</f>
        <v>131.64947220208359</v>
      </c>
      <c r="AN686" s="94">
        <f>'3.2 Digest'!X686</f>
        <v>47.038475123234512</v>
      </c>
      <c r="AO686" s="94">
        <f>Table3.110[[#This Row],[Digested feed, mg]]/Table3.110[[#This Row],[Net gas 24h, ml]]</f>
        <v>3.5730090167797917</v>
      </c>
      <c r="AP686" s="94">
        <f>Table3.110[[#This Row],[CH4 8h, ml]]/Table3.110[[#This Row],[Net gas 8h, ml]]%</f>
        <v>13.1</v>
      </c>
      <c r="AQ686" s="94">
        <f>Table3.110[[#This Row],[CH4 24h, ml]]/Table3.110[[#This Row],[Net gas 24h, ml]]%</f>
        <v>15.356421296392151</v>
      </c>
      <c r="AR686" s="94">
        <f>Table3.110[[#This Row],[CH4 24h, ml]]/Table3.110[[#This Row],[DM Incubated, mg]]*1000</f>
        <v>20.216647585828625</v>
      </c>
      <c r="AS686" s="94">
        <f>Table3.110[[#This Row],[CH4 24h, ml]]/Table3.110[[#This Row],[Digested feed, mg]]*1000</f>
        <v>42.978960378421526</v>
      </c>
      <c r="AT686" s="94">
        <f>Table3.110[[#This Row],[CH4 24h, ml]]/'3.2 Digest'!AA686</f>
        <v>0.60833163182702044</v>
      </c>
      <c r="AU686" s="94">
        <f>((Table3.110[[#This Row],[CH4 24h, ml]]/28.9)*16.04)/Table3.110[[#This Row],[DM Incubated, mg]]*1000</f>
        <v>11.220589179124262</v>
      </c>
      <c r="AV686" s="94">
        <f>((Table3.110[[#This Row],[CH4 24h, ml]]/28.9)*16.04)/Table3.110[[#This Row],[Digested feed, mg]]*1000</f>
        <v>23.854066590653328</v>
      </c>
      <c r="AW686" s="303"/>
    </row>
    <row r="687" spans="1:49" s="304" customFormat="1" x14ac:dyDescent="0.35">
      <c r="A687" s="89"/>
      <c r="B687" s="90">
        <f t="shared" si="10"/>
        <v>677</v>
      </c>
      <c r="C687" s="140">
        <v>46076</v>
      </c>
      <c r="D687" s="92" t="s">
        <v>16</v>
      </c>
      <c r="E687" s="6" t="s">
        <v>167</v>
      </c>
      <c r="F687" s="242" t="s">
        <v>88</v>
      </c>
      <c r="G687" s="242" t="s">
        <v>168</v>
      </c>
      <c r="H687" s="6" t="str">
        <f>'[2]1. Information samples'!$K$26</f>
        <v>Acacia farnesiana</v>
      </c>
      <c r="I687" s="6" t="s">
        <v>22</v>
      </c>
      <c r="J687" s="129" t="s">
        <v>23</v>
      </c>
      <c r="K687" s="129" t="s">
        <v>24</v>
      </c>
      <c r="L687" s="6" t="s">
        <v>166</v>
      </c>
      <c r="M687" s="256">
        <v>28</v>
      </c>
      <c r="N687" s="256">
        <v>69</v>
      </c>
      <c r="O687" s="256">
        <v>3</v>
      </c>
      <c r="P687" s="257">
        <v>2</v>
      </c>
      <c r="Q687" s="96">
        <v>96</v>
      </c>
      <c r="R687" s="98">
        <v>0.5</v>
      </c>
      <c r="S687" s="94">
        <f>((Table3.110[[#This Row],[Sample weight, g]]*'2.1. DM'!Q97)/100)*1000</f>
        <v>473.07907127861637</v>
      </c>
      <c r="T687" s="94">
        <f>'3.2 Digest'!W687</f>
        <v>186.77907127861636</v>
      </c>
      <c r="U687" s="117">
        <v>0.34583333333333333</v>
      </c>
      <c r="V687" s="155">
        <v>41</v>
      </c>
      <c r="W687" s="117">
        <v>0.69374999999999998</v>
      </c>
      <c r="X687" s="97">
        <v>77.5</v>
      </c>
      <c r="Y687" s="97">
        <v>13.6</v>
      </c>
      <c r="Z687" s="155">
        <v>40</v>
      </c>
      <c r="AA687" s="117">
        <v>0.37638888888888888</v>
      </c>
      <c r="AB687" s="155">
        <v>74</v>
      </c>
      <c r="AC687" s="155">
        <v>18.399999999999999</v>
      </c>
      <c r="AD687" s="96"/>
      <c r="AE687" s="94">
        <f>Table3.110[[#This Row],[Gas 8h, ml]]-Table3.110[[#This Row],[Gas 0h, ml]]</f>
        <v>36.5</v>
      </c>
      <c r="AF687" s="94">
        <f>Table3.110[[#This Row],[Gas 24h, ml]]-Table3.110[[#This Row],[V8 Push back, ml]]</f>
        <v>34</v>
      </c>
      <c r="AG687" s="94">
        <f>Table3.110[[#This Row],[GP 8h, ml]]-(AVERAGE(AE$479,AE$480,AE$660,AE$661,AE$662,AE$663))*AG$8</f>
        <v>33.107474101643646</v>
      </c>
      <c r="AH687" s="94">
        <f>Table3.110[[#This Row],[GP 8-24h, ml]]-(AVERAGE(AF$479,AF$480,AF$660,AF$661,AF$662,AF$663))*AG$8</f>
        <v>29.685592064046812</v>
      </c>
      <c r="AI687" s="94">
        <f>Table3.110[[#This Row],[Net gas 8-24h, ml]]+Table3.110[[#This Row],[Net gas 8h, ml]]</f>
        <v>62.793066165690462</v>
      </c>
      <c r="AJ687" s="94">
        <f>Table3.110[[#This Row],[Net gas 8h, ml]]*Table3.110[[#This Row],[CH4 8h %]]%</f>
        <v>4.502616477823536</v>
      </c>
      <c r="AK687" s="94">
        <f>Table3.110[[#This Row],[Net gas 8-24h, ml]]*Table3.110[[#This Row],[CH4 24h, %]]%</f>
        <v>5.4621489397846137</v>
      </c>
      <c r="AL687" s="94">
        <f>Table3.110[[#This Row],[CH4 8-24h, ml]]+Table3.110[[#This Row],[CH4 8h, ml]]</f>
        <v>9.9647654176081488</v>
      </c>
      <c r="AM687" s="94">
        <f>(Table3.110[[#This Row],[Net gas 24h, ml]]/Table3.110[[#This Row],[DM Incubated, mg]])*1000</f>
        <v>132.73270786631133</v>
      </c>
      <c r="AN687" s="94">
        <f>'3.2 Digest'!X687</f>
        <v>39.481575621977626</v>
      </c>
      <c r="AO687" s="94">
        <f>Table3.110[[#This Row],[Digested feed, mg]]/Table3.110[[#This Row],[Net gas 24h, ml]]</f>
        <v>2.9745174536590899</v>
      </c>
      <c r="AP687" s="94">
        <f>Table3.110[[#This Row],[CH4 8h, ml]]/Table3.110[[#This Row],[Net gas 8h, ml]]%</f>
        <v>13.6</v>
      </c>
      <c r="AQ687" s="94">
        <f>Table3.110[[#This Row],[CH4 24h, ml]]/Table3.110[[#This Row],[Net gas 24h, ml]]%</f>
        <v>15.869212997680949</v>
      </c>
      <c r="AR687" s="94">
        <f>Table3.110[[#This Row],[CH4 24h, ml]]/Table3.110[[#This Row],[DM Incubated, mg]]*1000</f>
        <v>21.063636128894561</v>
      </c>
      <c r="AS687" s="94">
        <f>Table3.110[[#This Row],[CH4 24h, ml]]/Table3.110[[#This Row],[Digested feed, mg]]*1000</f>
        <v>53.350545911773025</v>
      </c>
      <c r="AT687" s="94">
        <f>Table3.110[[#This Row],[CH4 24h, ml]]/'3.2 Digest'!AA687</f>
        <v>2.693156160583551</v>
      </c>
      <c r="AU687" s="94">
        <f>((Table3.110[[#This Row],[CH4 24h, ml]]/28.9)*16.04)/Table3.110[[#This Row],[DM Incubated, mg]]*1000</f>
        <v>11.690682474306877</v>
      </c>
      <c r="AV687" s="94">
        <f>((Table3.110[[#This Row],[CH4 24h, ml]]/28.9)*16.04)/Table3.110[[#This Row],[Digested feed, mg]]*1000</f>
        <v>29.610476000859492</v>
      </c>
      <c r="AW687" s="303"/>
    </row>
    <row r="688" spans="1:49" s="304" customFormat="1" x14ac:dyDescent="0.35">
      <c r="A688" s="89"/>
      <c r="B688" s="90">
        <f t="shared" si="10"/>
        <v>678</v>
      </c>
      <c r="C688" s="140">
        <v>46076</v>
      </c>
      <c r="D688" s="92" t="s">
        <v>16</v>
      </c>
      <c r="E688" s="6" t="s">
        <v>171</v>
      </c>
      <c r="F688" s="242" t="s">
        <v>88</v>
      </c>
      <c r="G688" s="242" t="s">
        <v>147</v>
      </c>
      <c r="H688" s="6" t="str">
        <f>'[2]1. Information samples'!$K$27</f>
        <v>Acacia angustissima</v>
      </c>
      <c r="I688" s="6" t="s">
        <v>22</v>
      </c>
      <c r="J688" s="129" t="s">
        <v>23</v>
      </c>
      <c r="K688" s="129" t="s">
        <v>24</v>
      </c>
      <c r="L688" s="6" t="s">
        <v>170</v>
      </c>
      <c r="M688" s="256">
        <v>28</v>
      </c>
      <c r="N688" s="256">
        <v>69</v>
      </c>
      <c r="O688" s="256">
        <v>3</v>
      </c>
      <c r="P688" s="257">
        <v>1</v>
      </c>
      <c r="Q688" s="96">
        <v>97</v>
      </c>
      <c r="R688" s="98">
        <v>0.50009999999999999</v>
      </c>
      <c r="S688" s="94">
        <f>((Table3.110[[#This Row],[Sample weight, g]]*'2.1. DM'!Q99)/100)*1000</f>
        <v>474.0288520313469</v>
      </c>
      <c r="T688" s="94">
        <f>'3.2 Digest'!W688</f>
        <v>200.0288520313469</v>
      </c>
      <c r="U688" s="117">
        <v>0.34652777777777777</v>
      </c>
      <c r="V688" s="155">
        <v>42</v>
      </c>
      <c r="W688" s="117">
        <v>0.69444444444444442</v>
      </c>
      <c r="X688" s="97">
        <v>62</v>
      </c>
      <c r="Y688" s="97">
        <v>10.3</v>
      </c>
      <c r="Z688" s="155">
        <v>40</v>
      </c>
      <c r="AA688" s="117">
        <v>0.37708333333333333</v>
      </c>
      <c r="AB688" s="155">
        <v>58.5</v>
      </c>
      <c r="AC688" s="155">
        <v>11.7</v>
      </c>
      <c r="AD688" s="96"/>
      <c r="AE688" s="94">
        <f>Table3.110[[#This Row],[Gas 8h, ml]]-Table3.110[[#This Row],[Gas 0h, ml]]</f>
        <v>20</v>
      </c>
      <c r="AF688" s="94">
        <f>Table3.110[[#This Row],[Gas 24h, ml]]-Table3.110[[#This Row],[V8 Push back, ml]]</f>
        <v>18.5</v>
      </c>
      <c r="AG688" s="94">
        <f>Table3.110[[#This Row],[GP 8h, ml]]-(AVERAGE(AE$479,AE$480,AE$660,AE$661,AE$662,AE$663))*AG$8</f>
        <v>16.607474101643646</v>
      </c>
      <c r="AH688" s="94">
        <f>Table3.110[[#This Row],[GP 8-24h, ml]]-(AVERAGE(AF$479,AF$480,AF$660,AF$661,AF$662,AF$663))*AG$8</f>
        <v>14.185592064046812</v>
      </c>
      <c r="AI688" s="94">
        <f>Table3.110[[#This Row],[Net gas 8-24h, ml]]+Table3.110[[#This Row],[Net gas 8h, ml]]</f>
        <v>30.793066165690458</v>
      </c>
      <c r="AJ688" s="94">
        <f>Table3.110[[#This Row],[Net gas 8h, ml]]*Table3.110[[#This Row],[CH4 8h %]]%</f>
        <v>1.7105698324692957</v>
      </c>
      <c r="AK688" s="94">
        <f>Table3.110[[#This Row],[Net gas 8-24h, ml]]*Table3.110[[#This Row],[CH4 24h, %]]%</f>
        <v>1.6597142714934769</v>
      </c>
      <c r="AL688" s="94">
        <f>Table3.110[[#This Row],[CH4 8-24h, ml]]+Table3.110[[#This Row],[CH4 8h, ml]]</f>
        <v>3.3702841039627724</v>
      </c>
      <c r="AM688" s="94">
        <f>(Table3.110[[#This Row],[Net gas 24h, ml]]/Table3.110[[#This Row],[DM Incubated, mg]])*1000</f>
        <v>64.960320524232884</v>
      </c>
      <c r="AN688" s="94">
        <f>'3.2 Digest'!X688</f>
        <v>42.197611215892664</v>
      </c>
      <c r="AO688" s="94">
        <f>Table3.110[[#This Row],[Digested feed, mg]]/Table3.110[[#This Row],[Net gas 24h, ml]]</f>
        <v>6.4959056352179196</v>
      </c>
      <c r="AP688" s="94">
        <f>Table3.110[[#This Row],[CH4 8h, ml]]/Table3.110[[#This Row],[Net gas 8h, ml]]%</f>
        <v>10.3</v>
      </c>
      <c r="AQ688" s="94">
        <f>Table3.110[[#This Row],[CH4 24h, ml]]/Table3.110[[#This Row],[Net gas 24h, ml]]%</f>
        <v>10.944944832151638</v>
      </c>
      <c r="AR688" s="94">
        <f>Table3.110[[#This Row],[CH4 24h, ml]]/Table3.110[[#This Row],[DM Incubated, mg]]*1000</f>
        <v>7.1098712441661673</v>
      </c>
      <c r="AS688" s="94">
        <f>Table3.110[[#This Row],[CH4 24h, ml]]/Table3.110[[#This Row],[Digested feed, mg]]*1000</f>
        <v>16.848989881892681</v>
      </c>
      <c r="AT688" s="94">
        <f>Table3.110[[#This Row],[CH4 24h, ml]]/'3.2 Digest'!AA688</f>
        <v>-0.32474567177526897</v>
      </c>
      <c r="AU688" s="94">
        <f>((Table3.110[[#This Row],[CH4 24h, ml]]/28.9)*16.04)/Table3.110[[#This Row],[DM Incubated, mg]]*1000</f>
        <v>3.946101548665236</v>
      </c>
      <c r="AV688" s="94">
        <f>((Table3.110[[#This Row],[CH4 24h, ml]]/28.9)*16.04)/Table3.110[[#This Row],[Digested feed, mg]]*1000</f>
        <v>9.3514808894656962</v>
      </c>
      <c r="AW688" s="303"/>
    </row>
    <row r="689" spans="1:49" s="304" customFormat="1" x14ac:dyDescent="0.35">
      <c r="A689" s="89"/>
      <c r="B689" s="90">
        <f t="shared" si="10"/>
        <v>679</v>
      </c>
      <c r="C689" s="140">
        <v>46076</v>
      </c>
      <c r="D689" s="92" t="s">
        <v>16</v>
      </c>
      <c r="E689" s="6" t="s">
        <v>171</v>
      </c>
      <c r="F689" s="242" t="s">
        <v>88</v>
      </c>
      <c r="G689" s="242" t="s">
        <v>147</v>
      </c>
      <c r="H689" s="6" t="str">
        <f>'[2]1. Information samples'!$K$27</f>
        <v>Acacia angustissima</v>
      </c>
      <c r="I689" s="6" t="s">
        <v>22</v>
      </c>
      <c r="J689" s="129" t="s">
        <v>23</v>
      </c>
      <c r="K689" s="129" t="s">
        <v>24</v>
      </c>
      <c r="L689" s="6" t="s">
        <v>170</v>
      </c>
      <c r="M689" s="256">
        <v>28</v>
      </c>
      <c r="N689" s="256">
        <v>69</v>
      </c>
      <c r="O689" s="256">
        <v>3</v>
      </c>
      <c r="P689" s="257">
        <v>2</v>
      </c>
      <c r="Q689" s="96">
        <v>98</v>
      </c>
      <c r="R689" s="98">
        <v>0.50009999999999999</v>
      </c>
      <c r="S689" s="94">
        <f>((Table3.110[[#This Row],[Sample weight, g]]*'2.1. DM'!Q99)/100)*1000</f>
        <v>474.0288520313469</v>
      </c>
      <c r="T689" s="94">
        <f>'3.2 Digest'!W689</f>
        <v>186.32885203134697</v>
      </c>
      <c r="U689" s="153">
        <v>0.34652777777777777</v>
      </c>
      <c r="V689" s="154">
        <v>42</v>
      </c>
      <c r="W689" s="153">
        <v>0.69444444444444442</v>
      </c>
      <c r="X689" s="95">
        <v>62</v>
      </c>
      <c r="Y689" s="95">
        <v>10.1</v>
      </c>
      <c r="Z689" s="154">
        <v>40</v>
      </c>
      <c r="AA689" s="153">
        <v>0.37708333333333333</v>
      </c>
      <c r="AB689" s="154">
        <v>60</v>
      </c>
      <c r="AC689" s="154">
        <v>10.9</v>
      </c>
      <c r="AD689" s="91" t="s">
        <v>578</v>
      </c>
      <c r="AE689" s="94">
        <f>Table3.110[[#This Row],[Gas 8h, ml]]-Table3.110[[#This Row],[Gas 0h, ml]]</f>
        <v>20</v>
      </c>
      <c r="AF689" s="94">
        <f>Table3.110[[#This Row],[Gas 24h, ml]]-Table3.110[[#This Row],[V8 Push back, ml]]</f>
        <v>20</v>
      </c>
      <c r="AG689" s="94">
        <f>Table3.110[[#This Row],[GP 8h, ml]]-(AVERAGE(AE$479,AE$480,AE$660,AE$661,AE$662,AE$663))*AG$8</f>
        <v>16.607474101643646</v>
      </c>
      <c r="AH689" s="94">
        <f>Table3.110[[#This Row],[GP 8-24h, ml]]-(AVERAGE(AF$479,AF$480,AF$660,AF$661,AF$662,AF$663))*AG$8</f>
        <v>15.685592064046812</v>
      </c>
      <c r="AI689" s="94">
        <f>Table3.110[[#This Row],[Net gas 8-24h, ml]]+Table3.110[[#This Row],[Net gas 8h, ml]]</f>
        <v>32.293066165690462</v>
      </c>
      <c r="AJ689" s="94">
        <f>Table3.110[[#This Row],[Net gas 8h, ml]]*Table3.110[[#This Row],[CH4 8h %]]%</f>
        <v>1.6773548842660082</v>
      </c>
      <c r="AK689" s="94">
        <f>Table3.110[[#This Row],[Net gas 8-24h, ml]]*Table3.110[[#This Row],[CH4 24h, %]]%</f>
        <v>1.7097295349811026</v>
      </c>
      <c r="AL689" s="94">
        <f>Table3.110[[#This Row],[CH4 8-24h, ml]]+Table3.110[[#This Row],[CH4 8h, ml]]</f>
        <v>3.3870844192471106</v>
      </c>
      <c r="AM689" s="94">
        <f>(Table3.110[[#This Row],[Net gas 24h, ml]]/Table3.110[[#This Row],[DM Incubated, mg]])*1000</f>
        <v>68.124684873727816</v>
      </c>
      <c r="AN689" s="94">
        <f>'3.2 Digest'!X689</f>
        <v>39.307491776687314</v>
      </c>
      <c r="AO689" s="94">
        <f>Table3.110[[#This Row],[Digested feed, mg]]/Table3.110[[#This Row],[Net gas 24h, ml]]</f>
        <v>5.7699337398103969</v>
      </c>
      <c r="AP689" s="94">
        <f>Table3.110[[#This Row],[CH4 8h, ml]]/Table3.110[[#This Row],[Net gas 8h, ml]]%</f>
        <v>10.1</v>
      </c>
      <c r="AQ689" s="94">
        <f>Table3.110[[#This Row],[CH4 24h, ml]]/Table3.110[[#This Row],[Net gas 24h, ml]]%</f>
        <v>10.488581052875352</v>
      </c>
      <c r="AR689" s="94">
        <f>Table3.110[[#This Row],[CH4 24h, ml]]/Table3.110[[#This Row],[DM Incubated, mg]]*1000</f>
        <v>7.1453127899968569</v>
      </c>
      <c r="AS689" s="94">
        <f>Table3.110[[#This Row],[CH4 24h, ml]]/Table3.110[[#This Row],[Digested feed, mg]]*1000</f>
        <v>18.177992202073384</v>
      </c>
      <c r="AT689" s="94">
        <f>Table3.110[[#This Row],[CH4 24h, ml]]/'3.2 Digest'!AA689</f>
        <v>-0.2130625323251141</v>
      </c>
      <c r="AU689" s="94">
        <f>((Table3.110[[#This Row],[CH4 24h, ml]]/28.9)*16.04)/Table3.110[[#This Row],[DM Incubated, mg]]*1000</f>
        <v>3.9657722197768019</v>
      </c>
      <c r="AV689" s="94">
        <f>((Table3.110[[#This Row],[CH4 24h, ml]]/28.9)*16.04)/Table3.110[[#This Row],[Digested feed, mg]]*1000</f>
        <v>10.089100170285711</v>
      </c>
      <c r="AW689" s="303"/>
    </row>
    <row r="690" spans="1:49" s="304" customFormat="1" x14ac:dyDescent="0.35">
      <c r="A690" s="89"/>
      <c r="B690" s="90">
        <f t="shared" si="10"/>
        <v>680</v>
      </c>
      <c r="C690" s="140">
        <v>46076</v>
      </c>
      <c r="D690" s="92" t="s">
        <v>16</v>
      </c>
      <c r="E690" s="6" t="s">
        <v>173</v>
      </c>
      <c r="F690" s="242" t="s">
        <v>99</v>
      </c>
      <c r="G690" s="242" t="s">
        <v>100</v>
      </c>
      <c r="H690" s="6" t="str">
        <f>'[2]1. Information samples'!$K$28</f>
        <v>Leucaena leucocephala</v>
      </c>
      <c r="I690" s="6" t="s">
        <v>22</v>
      </c>
      <c r="J690" s="129" t="s">
        <v>23</v>
      </c>
      <c r="K690" s="129" t="s">
        <v>24</v>
      </c>
      <c r="L690" s="6" t="s">
        <v>172</v>
      </c>
      <c r="M690" s="256">
        <v>28</v>
      </c>
      <c r="N690" s="256">
        <v>69</v>
      </c>
      <c r="O690" s="256">
        <v>3</v>
      </c>
      <c r="P690" s="257">
        <v>1</v>
      </c>
      <c r="Q690" s="96">
        <v>99</v>
      </c>
      <c r="R690" s="98">
        <v>0.50019999999999998</v>
      </c>
      <c r="S690" s="94">
        <f>((Table3.110[[#This Row],[Sample weight, g]]*'2.1. DM'!Q101)/100)*1000</f>
        <v>468.72341797460751</v>
      </c>
      <c r="T690" s="94">
        <f>'3.2 Digest'!W690</f>
        <v>243.12341797460761</v>
      </c>
      <c r="U690" s="153">
        <v>0.34652777777777777</v>
      </c>
      <c r="V690" s="154">
        <v>42</v>
      </c>
      <c r="W690" s="153">
        <v>0.69513888888888886</v>
      </c>
      <c r="X690" s="95">
        <v>76</v>
      </c>
      <c r="Y690" s="95">
        <v>11.1</v>
      </c>
      <c r="Z690" s="154">
        <v>40.5</v>
      </c>
      <c r="AA690" s="153">
        <v>0.37847222222222221</v>
      </c>
      <c r="AB690" s="154">
        <v>74</v>
      </c>
      <c r="AC690" s="154">
        <v>14.1</v>
      </c>
      <c r="AD690" s="91"/>
      <c r="AE690" s="94">
        <f>Table3.110[[#This Row],[Gas 8h, ml]]-Table3.110[[#This Row],[Gas 0h, ml]]</f>
        <v>34</v>
      </c>
      <c r="AF690" s="94">
        <f>Table3.110[[#This Row],[Gas 24h, ml]]-Table3.110[[#This Row],[V8 Push back, ml]]</f>
        <v>33.5</v>
      </c>
      <c r="AG690" s="94">
        <f>Table3.110[[#This Row],[GP 8h, ml]]-(AVERAGE(AE$479,AE$480,AE$660,AE$661,AE$662,AE$663))*AG$8</f>
        <v>30.607474101643646</v>
      </c>
      <c r="AH690" s="94">
        <f>Table3.110[[#This Row],[GP 8-24h, ml]]-(AVERAGE(AF$479,AF$480,AF$660,AF$661,AF$662,AF$663))*AG$8</f>
        <v>29.185592064046812</v>
      </c>
      <c r="AI690" s="94">
        <f>Table3.110[[#This Row],[Net gas 8-24h, ml]]+Table3.110[[#This Row],[Net gas 8h, ml]]</f>
        <v>59.793066165690462</v>
      </c>
      <c r="AJ690" s="94">
        <f>Table3.110[[#This Row],[Net gas 8h, ml]]*Table3.110[[#This Row],[CH4 8h %]]%</f>
        <v>3.3974296252824447</v>
      </c>
      <c r="AK690" s="94">
        <f>Table3.110[[#This Row],[Net gas 8-24h, ml]]*Table3.110[[#This Row],[CH4 24h, %]]%</f>
        <v>4.1151684810306</v>
      </c>
      <c r="AL690" s="94">
        <f>Table3.110[[#This Row],[CH4 8-24h, ml]]+Table3.110[[#This Row],[CH4 8h, ml]]</f>
        <v>7.5125981063130443</v>
      </c>
      <c r="AM690" s="94">
        <f>(Table3.110[[#This Row],[Net gas 24h, ml]]/Table3.110[[#This Row],[DM Incubated, mg]])*1000</f>
        <v>127.56577519438056</v>
      </c>
      <c r="AN690" s="94">
        <f>'3.2 Digest'!X690</f>
        <v>51.86927058715434</v>
      </c>
      <c r="AO690" s="94">
        <f>Table3.110[[#This Row],[Digested feed, mg]]/Table3.110[[#This Row],[Net gas 24h, ml]]</f>
        <v>4.0660804599131417</v>
      </c>
      <c r="AP690" s="94">
        <f>Table3.110[[#This Row],[CH4 8h, ml]]/Table3.110[[#This Row],[Net gas 8h, ml]]%</f>
        <v>11.100000000000001</v>
      </c>
      <c r="AQ690" s="94">
        <f>Table3.110[[#This Row],[CH4 24h, ml]]/Table3.110[[#This Row],[Net gas 24h, ml]]%</f>
        <v>12.564329926642577</v>
      </c>
      <c r="AR690" s="94">
        <f>Table3.110[[#This Row],[CH4 24h, ml]]/Table3.110[[#This Row],[DM Incubated, mg]]*1000</f>
        <v>16.027784868901151</v>
      </c>
      <c r="AS690" s="94">
        <f>Table3.110[[#This Row],[CH4 24h, ml]]/Table3.110[[#This Row],[Digested feed, mg]]*1000</f>
        <v>30.900347522663072</v>
      </c>
      <c r="AT690" s="94">
        <f>Table3.110[[#This Row],[CH4 24h, ml]]/'3.2 Digest'!AA690</f>
        <v>0.49876438288596636</v>
      </c>
      <c r="AU690" s="94">
        <f>((Table3.110[[#This Row],[CH4 24h, ml]]/28.9)*16.04)/Table3.110[[#This Row],[DM Incubated, mg]]*1000</f>
        <v>8.8956978995562093</v>
      </c>
      <c r="AV690" s="94">
        <f>((Table3.110[[#This Row],[CH4 24h, ml]]/28.9)*16.04)/Table3.110[[#This Row],[Digested feed, mg]]*1000</f>
        <v>17.150227483166631</v>
      </c>
      <c r="AW690" s="303"/>
    </row>
    <row r="691" spans="1:49" s="304" customFormat="1" x14ac:dyDescent="0.35">
      <c r="A691" s="89"/>
      <c r="B691" s="90">
        <f t="shared" si="10"/>
        <v>681</v>
      </c>
      <c r="C691" s="140">
        <v>46076</v>
      </c>
      <c r="D691" s="92" t="s">
        <v>16</v>
      </c>
      <c r="E691" s="6" t="s">
        <v>173</v>
      </c>
      <c r="F691" s="242" t="s">
        <v>99</v>
      </c>
      <c r="G691" s="242" t="s">
        <v>100</v>
      </c>
      <c r="H691" s="6" t="str">
        <f>'[2]1. Information samples'!$K$28</f>
        <v>Leucaena leucocephala</v>
      </c>
      <c r="I691" s="6" t="s">
        <v>22</v>
      </c>
      <c r="J691" s="129" t="s">
        <v>23</v>
      </c>
      <c r="K691" s="129" t="s">
        <v>24</v>
      </c>
      <c r="L691" s="6" t="s">
        <v>172</v>
      </c>
      <c r="M691" s="256">
        <v>28</v>
      </c>
      <c r="N691" s="256">
        <v>69</v>
      </c>
      <c r="O691" s="256">
        <v>3</v>
      </c>
      <c r="P691" s="257">
        <v>2</v>
      </c>
      <c r="Q691" s="96">
        <v>100</v>
      </c>
      <c r="R691" s="98">
        <v>0.5</v>
      </c>
      <c r="S691" s="94">
        <f>((Table3.110[[#This Row],[Sample weight, g]]*'2.1. DM'!Q101)/100)*1000</f>
        <v>468.53600357317833</v>
      </c>
      <c r="T691" s="94">
        <f>'3.2 Digest'!W691</f>
        <v>271.23600357317832</v>
      </c>
      <c r="U691" s="117">
        <v>0.34861111111111109</v>
      </c>
      <c r="V691" s="155">
        <v>41</v>
      </c>
      <c r="W691" s="117">
        <v>0.69513888888888886</v>
      </c>
      <c r="X691" s="97">
        <v>76.5</v>
      </c>
      <c r="Y691" s="97">
        <v>10.9</v>
      </c>
      <c r="Z691" s="155">
        <v>39.5</v>
      </c>
      <c r="AA691" s="117">
        <v>0.37916666666666665</v>
      </c>
      <c r="AB691" s="155">
        <v>75</v>
      </c>
      <c r="AC691" s="155">
        <v>14.2</v>
      </c>
      <c r="AD691" s="96" t="s">
        <v>579</v>
      </c>
      <c r="AE691" s="94">
        <f>Table3.110[[#This Row],[Gas 8h, ml]]-Table3.110[[#This Row],[Gas 0h, ml]]</f>
        <v>35.5</v>
      </c>
      <c r="AF691" s="94">
        <f>Table3.110[[#This Row],[Gas 24h, ml]]-Table3.110[[#This Row],[V8 Push back, ml]]</f>
        <v>35.5</v>
      </c>
      <c r="AG691" s="94">
        <f>Table3.110[[#This Row],[GP 8h, ml]]-(AVERAGE(AE$479,AE$480,AE$660,AE$661,AE$662,AE$663))*AG$8</f>
        <v>32.107474101643646</v>
      </c>
      <c r="AH691" s="94">
        <f>Table3.110[[#This Row],[GP 8-24h, ml]]-(AVERAGE(AF$479,AF$480,AF$660,AF$661,AF$662,AF$663))*AG$8</f>
        <v>31.185592064046812</v>
      </c>
      <c r="AI691" s="94">
        <f>Table3.110[[#This Row],[Net gas 8-24h, ml]]+Table3.110[[#This Row],[Net gas 8h, ml]]</f>
        <v>63.293066165690462</v>
      </c>
      <c r="AJ691" s="94">
        <f>Table3.110[[#This Row],[Net gas 8h, ml]]*Table3.110[[#This Row],[CH4 8h %]]%</f>
        <v>3.4997146770791576</v>
      </c>
      <c r="AK691" s="94">
        <f>Table3.110[[#This Row],[Net gas 8-24h, ml]]*Table3.110[[#This Row],[CH4 24h, %]]%</f>
        <v>4.4283540730946473</v>
      </c>
      <c r="AL691" s="94">
        <f>Table3.110[[#This Row],[CH4 8-24h, ml]]+Table3.110[[#This Row],[CH4 8h, ml]]</f>
        <v>7.9280687501738054</v>
      </c>
      <c r="AM691" s="94">
        <f>(Table3.110[[#This Row],[Net gas 24h, ml]]/Table3.110[[#This Row],[DM Incubated, mg]])*1000</f>
        <v>135.0868784533119</v>
      </c>
      <c r="AN691" s="94">
        <f>'3.2 Digest'!X691</f>
        <v>57.890109085462271</v>
      </c>
      <c r="AO691" s="94">
        <f>Table3.110[[#This Row],[Digested feed, mg]]/Table3.110[[#This Row],[Net gas 24h, ml]]</f>
        <v>4.2853983857114564</v>
      </c>
      <c r="AP691" s="94">
        <f>Table3.110[[#This Row],[CH4 8h, ml]]/Table3.110[[#This Row],[Net gas 8h, ml]]%</f>
        <v>10.9</v>
      </c>
      <c r="AQ691" s="94">
        <f>Table3.110[[#This Row],[CH4 24h, ml]]/Table3.110[[#This Row],[Net gas 24h, ml]]%</f>
        <v>12.525967266966452</v>
      </c>
      <c r="AR691" s="94">
        <f>Table3.110[[#This Row],[CH4 24h, ml]]/Table3.110[[#This Row],[DM Incubated, mg]]*1000</f>
        <v>16.920938177028606</v>
      </c>
      <c r="AS691" s="94">
        <f>Table3.110[[#This Row],[CH4 24h, ml]]/Table3.110[[#This Row],[Digested feed, mg]]*1000</f>
        <v>29.229411456192786</v>
      </c>
      <c r="AT691" s="94">
        <f>Table3.110[[#This Row],[CH4 24h, ml]]/'3.2 Digest'!AA691</f>
        <v>0.30863464122597123</v>
      </c>
      <c r="AU691" s="94">
        <f>((Table3.110[[#This Row],[CH4 24h, ml]]/28.9)*16.04)/Table3.110[[#This Row],[DM Incubated, mg]]*1000</f>
        <v>9.3914134380463281</v>
      </c>
      <c r="AV691" s="94">
        <f>((Table3.110[[#This Row],[CH4 24h, ml]]/28.9)*16.04)/Table3.110[[#This Row],[Digested feed, mg]]*1000</f>
        <v>16.222829057347138</v>
      </c>
      <c r="AW691" s="303"/>
    </row>
    <row r="692" spans="1:49" s="304" customFormat="1" x14ac:dyDescent="0.35">
      <c r="A692" s="89"/>
      <c r="B692" s="90">
        <f t="shared" si="10"/>
        <v>682</v>
      </c>
      <c r="C692" s="140">
        <v>46076</v>
      </c>
      <c r="D692" s="92" t="s">
        <v>16</v>
      </c>
      <c r="E692" s="6" t="s">
        <v>175</v>
      </c>
      <c r="F692" s="242" t="s">
        <v>159</v>
      </c>
      <c r="G692" s="242" t="s">
        <v>160</v>
      </c>
      <c r="H692" s="6" t="str">
        <f>'[2]1. Information samples'!$K$29</f>
        <v>Calliandra calothyrsus</v>
      </c>
      <c r="I692" s="6" t="s">
        <v>22</v>
      </c>
      <c r="J692" s="129" t="s">
        <v>23</v>
      </c>
      <c r="K692" s="129" t="s">
        <v>24</v>
      </c>
      <c r="L692" s="6" t="s">
        <v>174</v>
      </c>
      <c r="M692" s="256">
        <v>28</v>
      </c>
      <c r="N692" s="256">
        <v>69</v>
      </c>
      <c r="O692" s="256">
        <v>3</v>
      </c>
      <c r="P692" s="257">
        <v>1</v>
      </c>
      <c r="Q692" s="96">
        <v>101</v>
      </c>
      <c r="R692" s="98">
        <v>0.50029999999999997</v>
      </c>
      <c r="S692" s="94">
        <f>((Table3.110[[#This Row],[Sample weight, g]]*'2.1. DM'!Q103)/100)*1000</f>
        <v>474.58713101979578</v>
      </c>
      <c r="T692" s="94">
        <f>'3.2 Digest'!W692</f>
        <v>144.88713101979579</v>
      </c>
      <c r="U692" s="117">
        <v>0.34861111111111109</v>
      </c>
      <c r="V692" s="155">
        <v>41</v>
      </c>
      <c r="W692" s="117">
        <v>0.6958333333333333</v>
      </c>
      <c r="X692" s="97">
        <v>61.5</v>
      </c>
      <c r="Y692" s="97">
        <v>10.5</v>
      </c>
      <c r="Z692" s="155">
        <v>40</v>
      </c>
      <c r="AA692" s="117">
        <v>0.37916666666666665</v>
      </c>
      <c r="AB692" s="155">
        <v>53.5</v>
      </c>
      <c r="AC692" s="155">
        <v>12.6</v>
      </c>
      <c r="AD692" s="91" t="s">
        <v>578</v>
      </c>
      <c r="AE692" s="94">
        <f>Table3.110[[#This Row],[Gas 8h, ml]]-Table3.110[[#This Row],[Gas 0h, ml]]</f>
        <v>20.5</v>
      </c>
      <c r="AF692" s="94">
        <f>Table3.110[[#This Row],[Gas 24h, ml]]-Table3.110[[#This Row],[V8 Push back, ml]]</f>
        <v>13.5</v>
      </c>
      <c r="AG692" s="94">
        <f>Table3.110[[#This Row],[GP 8h, ml]]-(AVERAGE(AE$479,AE$480,AE$660,AE$661,AE$662,AE$663))*AG$8</f>
        <v>17.107474101643646</v>
      </c>
      <c r="AH692" s="94">
        <f>Table3.110[[#This Row],[GP 8-24h, ml]]-(AVERAGE(AF$479,AF$480,AF$660,AF$661,AF$662,AF$663))*AG$8</f>
        <v>9.1855920640468121</v>
      </c>
      <c r="AI692" s="94">
        <f>Table3.110[[#This Row],[Net gas 8-24h, ml]]+Table3.110[[#This Row],[Net gas 8h, ml]]</f>
        <v>26.293066165690458</v>
      </c>
      <c r="AJ692" s="94">
        <f>Table3.110[[#This Row],[Net gas 8h, ml]]*Table3.110[[#This Row],[CH4 8h %]]%</f>
        <v>1.7962847806725828</v>
      </c>
      <c r="AK692" s="94">
        <f>Table3.110[[#This Row],[Net gas 8-24h, ml]]*Table3.110[[#This Row],[CH4 24h, %]]%</f>
        <v>1.1573846000698984</v>
      </c>
      <c r="AL692" s="94">
        <f>Table3.110[[#This Row],[CH4 8-24h, ml]]+Table3.110[[#This Row],[CH4 8h, ml]]</f>
        <v>2.9536693807424812</v>
      </c>
      <c r="AM692" s="94">
        <f>(Table3.110[[#This Row],[Net gas 24h, ml]]/Table3.110[[#This Row],[DM Incubated, mg]])*1000</f>
        <v>55.401978787734407</v>
      </c>
      <c r="AN692" s="94">
        <f>'3.2 Digest'!X692</f>
        <v>30.529089718143311</v>
      </c>
      <c r="AO692" s="94">
        <f>Table3.110[[#This Row],[Digested feed, mg]]/Table3.110[[#This Row],[Net gas 24h, ml]]</f>
        <v>5.5104691901189318</v>
      </c>
      <c r="AP692" s="94">
        <f>Table3.110[[#This Row],[CH4 8h, ml]]/Table3.110[[#This Row],[Net gas 8h, ml]]%</f>
        <v>10.5</v>
      </c>
      <c r="AQ692" s="94">
        <f>Table3.110[[#This Row],[CH4 24h, ml]]/Table3.110[[#This Row],[Net gas 24h, ml]]%</f>
        <v>11.233643737589999</v>
      </c>
      <c r="AR692" s="94">
        <f>Table3.110[[#This Row],[CH4 24h, ml]]/Table3.110[[#This Row],[DM Incubated, mg]]*1000</f>
        <v>6.2236609205892668</v>
      </c>
      <c r="AS692" s="94">
        <f>Table3.110[[#This Row],[CH4 24h, ml]]/Table3.110[[#This Row],[Digested feed, mg]]*1000</f>
        <v>20.386002262263887</v>
      </c>
      <c r="AT692" s="94">
        <f>Table3.110[[#This Row],[CH4 24h, ml]]/'3.2 Digest'!AA692</f>
        <v>-0.11228116303157111</v>
      </c>
      <c r="AU692" s="94">
        <f>((Table3.110[[#This Row],[CH4 24h, ml]]/28.9)*16.04)/Table3.110[[#This Row],[DM Incubated, mg]]*1000</f>
        <v>3.4542394867215163</v>
      </c>
      <c r="AV692" s="94">
        <f>((Table3.110[[#This Row],[CH4 24h, ml]]/28.9)*16.04)/Table3.110[[#This Row],[Digested feed, mg]]*1000</f>
        <v>11.314583954557534</v>
      </c>
      <c r="AW692" s="303"/>
    </row>
    <row r="693" spans="1:49" s="304" customFormat="1" x14ac:dyDescent="0.35">
      <c r="A693" s="89"/>
      <c r="B693" s="90">
        <f t="shared" si="10"/>
        <v>683</v>
      </c>
      <c r="C693" s="140">
        <v>46076</v>
      </c>
      <c r="D693" s="92" t="s">
        <v>16</v>
      </c>
      <c r="E693" s="6" t="s">
        <v>175</v>
      </c>
      <c r="F693" s="242" t="s">
        <v>159</v>
      </c>
      <c r="G693" s="242" t="s">
        <v>160</v>
      </c>
      <c r="H693" s="6" t="str">
        <f>'[2]1. Information samples'!$K$29</f>
        <v>Calliandra calothyrsus</v>
      </c>
      <c r="I693" s="6" t="s">
        <v>22</v>
      </c>
      <c r="J693" s="129" t="s">
        <v>23</v>
      </c>
      <c r="K693" s="129" t="s">
        <v>24</v>
      </c>
      <c r="L693" s="6" t="s">
        <v>174</v>
      </c>
      <c r="M693" s="256">
        <v>28</v>
      </c>
      <c r="N693" s="256">
        <v>69</v>
      </c>
      <c r="O693" s="256">
        <v>3</v>
      </c>
      <c r="P693" s="257">
        <v>2</v>
      </c>
      <c r="Q693" s="96">
        <v>102</v>
      </c>
      <c r="R693" s="98">
        <v>0.5</v>
      </c>
      <c r="S693" s="94">
        <f>((Table3.110[[#This Row],[Sample weight, g]]*'2.1. DM'!Q103)/100)*1000</f>
        <v>474.30254949010174</v>
      </c>
      <c r="T693" s="94">
        <f>'3.2 Digest'!W693</f>
        <v>96.602549490101694</v>
      </c>
      <c r="U693" s="153">
        <v>0.34930555555555554</v>
      </c>
      <c r="V693" s="154">
        <v>41.5</v>
      </c>
      <c r="W693" s="153">
        <v>0.69652777777777775</v>
      </c>
      <c r="X693" s="95">
        <v>60.5</v>
      </c>
      <c r="Y693" s="95">
        <v>10.6</v>
      </c>
      <c r="Z693" s="154">
        <v>40</v>
      </c>
      <c r="AA693" s="153">
        <v>0.37986111111111109</v>
      </c>
      <c r="AB693" s="154">
        <v>53.5</v>
      </c>
      <c r="AC693" s="154">
        <v>12.1</v>
      </c>
      <c r="AD693" s="91" t="s">
        <v>578</v>
      </c>
      <c r="AE693" s="94">
        <f>Table3.110[[#This Row],[Gas 8h, ml]]-Table3.110[[#This Row],[Gas 0h, ml]]</f>
        <v>19</v>
      </c>
      <c r="AF693" s="94">
        <f>Table3.110[[#This Row],[Gas 24h, ml]]-Table3.110[[#This Row],[V8 Push back, ml]]</f>
        <v>13.5</v>
      </c>
      <c r="AG693" s="94">
        <f>Table3.110[[#This Row],[GP 8h, ml]]-(AVERAGE(AE$479,AE$480,AE$660,AE$661,AE$662,AE$663))*AG$8</f>
        <v>15.607474101643646</v>
      </c>
      <c r="AH693" s="94">
        <f>Table3.110[[#This Row],[GP 8-24h, ml]]-(AVERAGE(AF$479,AF$480,AF$660,AF$661,AF$662,AF$663))*AG$8</f>
        <v>9.1855920640468121</v>
      </c>
      <c r="AI693" s="94">
        <f>Table3.110[[#This Row],[Net gas 8-24h, ml]]+Table3.110[[#This Row],[Net gas 8h, ml]]</f>
        <v>24.793066165690458</v>
      </c>
      <c r="AJ693" s="94">
        <f>Table3.110[[#This Row],[Net gas 8h, ml]]*Table3.110[[#This Row],[CH4 8h %]]%</f>
        <v>1.6543922547742265</v>
      </c>
      <c r="AK693" s="94">
        <f>Table3.110[[#This Row],[Net gas 8-24h, ml]]*Table3.110[[#This Row],[CH4 24h, %]]%</f>
        <v>1.1114566397496641</v>
      </c>
      <c r="AL693" s="94">
        <f>Table3.110[[#This Row],[CH4 8-24h, ml]]+Table3.110[[#This Row],[CH4 8h, ml]]</f>
        <v>2.7658488945238906</v>
      </c>
      <c r="AM693" s="94">
        <f>(Table3.110[[#This Row],[Net gas 24h, ml]]/Table3.110[[#This Row],[DM Incubated, mg]])*1000</f>
        <v>52.272681629782952</v>
      </c>
      <c r="AN693" s="94">
        <f>'3.2 Digest'!X693</f>
        <v>20.367284467257054</v>
      </c>
      <c r="AO693" s="94">
        <f>Table3.110[[#This Row],[Digested feed, mg]]/Table3.110[[#This Row],[Net gas 24h, ml]]</f>
        <v>3.8963534741735089</v>
      </c>
      <c r="AP693" s="94">
        <f>Table3.110[[#This Row],[CH4 8h, ml]]/Table3.110[[#This Row],[Net gas 8h, ml]]%</f>
        <v>10.6</v>
      </c>
      <c r="AQ693" s="94">
        <f>Table3.110[[#This Row],[CH4 24h, ml]]/Table3.110[[#This Row],[Net gas 24h, ml]]%</f>
        <v>11.15573554331643</v>
      </c>
      <c r="AR693" s="94">
        <f>Table3.110[[#This Row],[CH4 24h, ml]]/Table3.110[[#This Row],[DM Incubated, mg]]*1000</f>
        <v>5.8314021240183349</v>
      </c>
      <c r="AS693" s="94">
        <f>Table3.110[[#This Row],[CH4 24h, ml]]/Table3.110[[#This Row],[Digested feed, mg]]*1000</f>
        <v>28.631220491828646</v>
      </c>
      <c r="AT693" s="94">
        <f>Table3.110[[#This Row],[CH4 24h, ml]]/'3.2 Digest'!AA693</f>
        <v>-6.176344255358935E-2</v>
      </c>
      <c r="AU693" s="94">
        <f>((Table3.110[[#This Row],[CH4 24h, ml]]/28.9)*16.04)/Table3.110[[#This Row],[DM Incubated, mg]]*1000</f>
        <v>3.2365290681402796</v>
      </c>
      <c r="AV693" s="94">
        <f>((Table3.110[[#This Row],[CH4 24h, ml]]/28.9)*16.04)/Table3.110[[#This Row],[Digested feed, mg]]*1000</f>
        <v>15.890822722800399</v>
      </c>
      <c r="AW693" s="303"/>
    </row>
    <row r="694" spans="1:49" s="304" customFormat="1" x14ac:dyDescent="0.35">
      <c r="A694" s="89"/>
      <c r="B694" s="90">
        <f t="shared" si="10"/>
        <v>684</v>
      </c>
      <c r="C694" s="140">
        <v>46076</v>
      </c>
      <c r="D694" s="92" t="s">
        <v>16</v>
      </c>
      <c r="E694" s="6" t="s">
        <v>177</v>
      </c>
      <c r="F694" s="242" t="s">
        <v>159</v>
      </c>
      <c r="G694" s="242" t="s">
        <v>160</v>
      </c>
      <c r="H694" s="6" t="str">
        <f>'[2]1. Information samples'!$K$30</f>
        <v>Calliandra calothyrsus</v>
      </c>
      <c r="I694" s="6" t="s">
        <v>22</v>
      </c>
      <c r="J694" s="129" t="s">
        <v>23</v>
      </c>
      <c r="K694" s="129" t="s">
        <v>24</v>
      </c>
      <c r="L694" s="6" t="s">
        <v>176</v>
      </c>
      <c r="M694" s="256">
        <v>28</v>
      </c>
      <c r="N694" s="256">
        <v>69</v>
      </c>
      <c r="O694" s="256">
        <v>3</v>
      </c>
      <c r="P694" s="257">
        <v>1</v>
      </c>
      <c r="Q694" s="96">
        <v>103</v>
      </c>
      <c r="R694" s="98">
        <v>0.50029999999999997</v>
      </c>
      <c r="S694" s="94">
        <f>((Table3.110[[#This Row],[Sample weight, g]]*'2.1. DM'!Q105)/100)*1000</f>
        <v>469.66743825617431</v>
      </c>
      <c r="T694" s="94">
        <f>'3.2 Digest'!W694</f>
        <v>38.867438256174353</v>
      </c>
      <c r="U694" s="153">
        <v>0.34930555555555554</v>
      </c>
      <c r="V694" s="154">
        <v>41.5</v>
      </c>
      <c r="W694" s="153">
        <v>0.69652777777777775</v>
      </c>
      <c r="X694" s="95">
        <v>63.5</v>
      </c>
      <c r="Y694" s="95">
        <v>11.2</v>
      </c>
      <c r="Z694" s="154">
        <v>40</v>
      </c>
      <c r="AA694" s="153">
        <v>0.38055555555555554</v>
      </c>
      <c r="AB694" s="154">
        <v>55.5</v>
      </c>
      <c r="AC694" s="154">
        <v>12.3</v>
      </c>
      <c r="AD694" s="91"/>
      <c r="AE694" s="94"/>
      <c r="AF694" s="94"/>
      <c r="AG694" s="94"/>
      <c r="AH694" s="94"/>
      <c r="AI694" s="94"/>
      <c r="AJ694" s="94"/>
      <c r="AK694" s="94"/>
      <c r="AL694" s="94"/>
      <c r="AM694" s="94"/>
      <c r="AN694" s="94"/>
      <c r="AO694" s="94"/>
      <c r="AP694" s="94"/>
      <c r="AQ694" s="94"/>
      <c r="AR694" s="94"/>
      <c r="AS694" s="94"/>
      <c r="AT694" s="94"/>
      <c r="AU694" s="94"/>
      <c r="AV694" s="94"/>
      <c r="AW694" s="303" t="s">
        <v>647</v>
      </c>
    </row>
    <row r="695" spans="1:49" s="304" customFormat="1" x14ac:dyDescent="0.35">
      <c r="A695" s="89"/>
      <c r="B695" s="90">
        <f t="shared" si="10"/>
        <v>685</v>
      </c>
      <c r="C695" s="140">
        <v>46076</v>
      </c>
      <c r="D695" s="92" t="s">
        <v>16</v>
      </c>
      <c r="E695" s="6" t="s">
        <v>177</v>
      </c>
      <c r="F695" s="242" t="s">
        <v>159</v>
      </c>
      <c r="G695" s="242" t="s">
        <v>160</v>
      </c>
      <c r="H695" s="6" t="str">
        <f>'[2]1. Information samples'!$K$30</f>
        <v>Calliandra calothyrsus</v>
      </c>
      <c r="I695" s="6" t="s">
        <v>22</v>
      </c>
      <c r="J695" s="129" t="s">
        <v>23</v>
      </c>
      <c r="K695" s="129" t="s">
        <v>24</v>
      </c>
      <c r="L695" s="6" t="s">
        <v>176</v>
      </c>
      <c r="M695" s="256">
        <v>28</v>
      </c>
      <c r="N695" s="256">
        <v>69</v>
      </c>
      <c r="O695" s="256">
        <v>3</v>
      </c>
      <c r="P695" s="257">
        <v>2</v>
      </c>
      <c r="Q695" s="96">
        <v>104</v>
      </c>
      <c r="R695" s="98">
        <v>0.5</v>
      </c>
      <c r="S695" s="94">
        <f>((Table3.110[[#This Row],[Sample weight, g]]*'2.1. DM'!Q105)/100)*1000</f>
        <v>469.38580677211104</v>
      </c>
      <c r="T695" s="94">
        <f>'3.2 Digest'!W695</f>
        <v>144.78580677211102</v>
      </c>
      <c r="U695" s="117">
        <v>0.35</v>
      </c>
      <c r="V695" s="155">
        <v>42</v>
      </c>
      <c r="W695" s="117">
        <v>0.69722222222222219</v>
      </c>
      <c r="X695" s="97">
        <v>62</v>
      </c>
      <c r="Y695" s="97">
        <v>11.8</v>
      </c>
      <c r="Z695" s="155">
        <v>40</v>
      </c>
      <c r="AA695" s="117">
        <v>0.38055555555555554</v>
      </c>
      <c r="AB695" s="155">
        <v>55.5</v>
      </c>
      <c r="AC695" s="155">
        <v>12.3</v>
      </c>
      <c r="AD695" s="91" t="s">
        <v>578</v>
      </c>
      <c r="AE695" s="94"/>
      <c r="AF695" s="94"/>
      <c r="AG695" s="94"/>
      <c r="AH695" s="94"/>
      <c r="AI695" s="94"/>
      <c r="AJ695" s="94"/>
      <c r="AK695" s="94"/>
      <c r="AL695" s="94"/>
      <c r="AM695" s="94"/>
      <c r="AN695" s="94"/>
      <c r="AO695" s="94"/>
      <c r="AP695" s="94"/>
      <c r="AQ695" s="94"/>
      <c r="AR695" s="94"/>
      <c r="AS695" s="94"/>
      <c r="AT695" s="94"/>
      <c r="AU695" s="94"/>
      <c r="AV695" s="94"/>
      <c r="AW695" s="303"/>
    </row>
    <row r="696" spans="1:49" s="304" customFormat="1" x14ac:dyDescent="0.35">
      <c r="A696" s="89"/>
      <c r="B696" s="90">
        <f t="shared" si="10"/>
        <v>686</v>
      </c>
      <c r="C696" s="140">
        <v>46076</v>
      </c>
      <c r="D696" s="92" t="s">
        <v>16</v>
      </c>
      <c r="E696" s="6" t="s">
        <v>181</v>
      </c>
      <c r="F696" s="242" t="s">
        <v>159</v>
      </c>
      <c r="G696" s="242" t="s">
        <v>160</v>
      </c>
      <c r="H696" s="6" t="str">
        <f>'[2]1. Information samples'!$K$31</f>
        <v>Calliandra calothyrsus</v>
      </c>
      <c r="I696" s="6" t="s">
        <v>22</v>
      </c>
      <c r="J696" s="129" t="s">
        <v>23</v>
      </c>
      <c r="K696" s="129" t="s">
        <v>24</v>
      </c>
      <c r="L696" s="6" t="s">
        <v>180</v>
      </c>
      <c r="M696" s="256">
        <v>28</v>
      </c>
      <c r="N696" s="256">
        <v>69</v>
      </c>
      <c r="O696" s="256">
        <v>3</v>
      </c>
      <c r="P696" s="257">
        <v>1</v>
      </c>
      <c r="Q696" s="96">
        <v>105</v>
      </c>
      <c r="R696" s="98">
        <v>0.5</v>
      </c>
      <c r="S696" s="94">
        <f>((Table3.110[[#This Row],[Sample weight, g]]*'2.1. DM'!Q107)/100)*1000</f>
        <v>477.5794963740658</v>
      </c>
      <c r="T696" s="94">
        <f>'3.2 Digest'!W696</f>
        <v>30.779496374065843</v>
      </c>
      <c r="U696" s="117">
        <v>0.35</v>
      </c>
      <c r="V696" s="155">
        <v>41</v>
      </c>
      <c r="W696" s="117">
        <v>0.69722222222222219</v>
      </c>
      <c r="X696" s="97">
        <v>62</v>
      </c>
      <c r="Y696" s="97">
        <v>12.4</v>
      </c>
      <c r="Z696" s="155">
        <v>40</v>
      </c>
      <c r="AA696" s="117">
        <v>0.38124999999999998</v>
      </c>
      <c r="AB696" s="155">
        <v>53</v>
      </c>
      <c r="AC696" s="155">
        <v>12.7</v>
      </c>
      <c r="AD696" s="96"/>
      <c r="AE696" s="94"/>
      <c r="AF696" s="94"/>
      <c r="AG696" s="94"/>
      <c r="AH696" s="94"/>
      <c r="AI696" s="94"/>
      <c r="AJ696" s="94"/>
      <c r="AK696" s="94"/>
      <c r="AL696" s="94"/>
      <c r="AM696" s="94"/>
      <c r="AN696" s="94"/>
      <c r="AO696" s="94"/>
      <c r="AP696" s="94"/>
      <c r="AQ696" s="94"/>
      <c r="AR696" s="94"/>
      <c r="AS696" s="94"/>
      <c r="AT696" s="94"/>
      <c r="AU696" s="94"/>
      <c r="AV696" s="94"/>
      <c r="AW696" s="303" t="s">
        <v>648</v>
      </c>
    </row>
    <row r="697" spans="1:49" s="304" customFormat="1" x14ac:dyDescent="0.35">
      <c r="A697" s="89"/>
      <c r="B697" s="90">
        <f t="shared" si="10"/>
        <v>687</v>
      </c>
      <c r="C697" s="140">
        <v>46076</v>
      </c>
      <c r="D697" s="92" t="s">
        <v>16</v>
      </c>
      <c r="E697" s="6" t="s">
        <v>181</v>
      </c>
      <c r="F697" s="242" t="s">
        <v>159</v>
      </c>
      <c r="G697" s="242" t="s">
        <v>160</v>
      </c>
      <c r="H697" s="6" t="str">
        <f>'[2]1. Information samples'!$K$31</f>
        <v>Calliandra calothyrsus</v>
      </c>
      <c r="I697" s="6" t="s">
        <v>22</v>
      </c>
      <c r="J697" s="129" t="s">
        <v>23</v>
      </c>
      <c r="K697" s="129" t="s">
        <v>24</v>
      </c>
      <c r="L697" s="6" t="s">
        <v>180</v>
      </c>
      <c r="M697" s="256">
        <v>28</v>
      </c>
      <c r="N697" s="256">
        <v>69</v>
      </c>
      <c r="O697" s="256">
        <v>3</v>
      </c>
      <c r="P697" s="257">
        <v>2</v>
      </c>
      <c r="Q697" s="96">
        <v>106</v>
      </c>
      <c r="R697" s="98">
        <v>0.50029999999999997</v>
      </c>
      <c r="S697" s="94">
        <f>((Table3.110[[#This Row],[Sample weight, g]]*'2.1. DM'!Q107)/100)*1000</f>
        <v>477.86604407189026</v>
      </c>
      <c r="T697" s="94">
        <f>'3.2 Digest'!W697</f>
        <v>147.56604407189025</v>
      </c>
      <c r="U697" s="117">
        <v>0.35</v>
      </c>
      <c r="V697" s="155">
        <v>41.5</v>
      </c>
      <c r="W697" s="117">
        <v>0.69791666666666663</v>
      </c>
      <c r="X697" s="97">
        <v>62.5</v>
      </c>
      <c r="Y697" s="97">
        <v>12.1</v>
      </c>
      <c r="Z697" s="155">
        <v>40</v>
      </c>
      <c r="AA697" s="117">
        <v>0.38124999999999998</v>
      </c>
      <c r="AB697" s="155">
        <v>53.5</v>
      </c>
      <c r="AC697" s="155">
        <v>13.3</v>
      </c>
      <c r="AD697" s="96"/>
      <c r="AE697" s="94">
        <f>Table3.110[[#This Row],[Gas 8h, ml]]-Table3.110[[#This Row],[Gas 0h, ml]]</f>
        <v>21</v>
      </c>
      <c r="AF697" s="94">
        <f>Table3.110[[#This Row],[Gas 24h, ml]]-Table3.110[[#This Row],[V8 Push back, ml]]</f>
        <v>13.5</v>
      </c>
      <c r="AG697" s="94">
        <f>Table3.110[[#This Row],[GP 8h, ml]]-(AVERAGE(AE$479,AE$480,AE$660,AE$661,AE$662,AE$663))*AG$8</f>
        <v>17.607474101643646</v>
      </c>
      <c r="AH697" s="94">
        <f>Table3.110[[#This Row],[GP 8-24h, ml]]-(AVERAGE(AF$479,AF$480,AF$660,AF$661,AF$662,AF$663))*AG$8</f>
        <v>9.1855920640468121</v>
      </c>
      <c r="AI697" s="94">
        <f>Table3.110[[#This Row],[Net gas 8-24h, ml]]+Table3.110[[#This Row],[Net gas 8h, ml]]</f>
        <v>26.793066165690458</v>
      </c>
      <c r="AJ697" s="94">
        <f>Table3.110[[#This Row],[Net gas 8h, ml]]*Table3.110[[#This Row],[CH4 8h %]]%</f>
        <v>2.1305043662988812</v>
      </c>
      <c r="AK697" s="94">
        <f>Table3.110[[#This Row],[Net gas 8-24h, ml]]*Table3.110[[#This Row],[CH4 24h, %]]%</f>
        <v>1.221683744518226</v>
      </c>
      <c r="AL697" s="94">
        <f>Table3.110[[#This Row],[CH4 8-24h, ml]]+Table3.110[[#This Row],[CH4 8h, ml]]</f>
        <v>3.3521881108171074</v>
      </c>
      <c r="AM697" s="94">
        <f>(Table3.110[[#This Row],[Net gas 24h, ml]]/Table3.110[[#This Row],[DM Incubated, mg]])*1000</f>
        <v>56.068152357901589</v>
      </c>
      <c r="AN697" s="94">
        <f>'3.2 Digest'!X697</f>
        <v>30.880211285673688</v>
      </c>
      <c r="AO697" s="94">
        <f>Table3.110[[#This Row],[Digested feed, mg]]/Table3.110[[#This Row],[Net gas 24h, ml]]</f>
        <v>5.5076206343585339</v>
      </c>
      <c r="AP697" s="94">
        <f>Table3.110[[#This Row],[CH4 8h, ml]]/Table3.110[[#This Row],[Net gas 8h, ml]]%</f>
        <v>12.1</v>
      </c>
      <c r="AQ697" s="94">
        <f>Table3.110[[#This Row],[CH4 24h, ml]]/Table3.110[[#This Row],[Net gas 24h, ml]]%</f>
        <v>12.511401606993797</v>
      </c>
      <c r="AR697" s="94">
        <f>Table3.110[[#This Row],[CH4 24h, ml]]/Table3.110[[#This Row],[DM Incubated, mg]]*1000</f>
        <v>7.0149117151182301</v>
      </c>
      <c r="AS697" s="94">
        <f>Table3.110[[#This Row],[CH4 24h, ml]]/Table3.110[[#This Row],[Digested feed, mg]]*1000</f>
        <v>22.716527585329935</v>
      </c>
      <c r="AT697" s="94">
        <f>Table3.110[[#This Row],[CH4 24h, ml]]/'3.2 Digest'!AA697</f>
        <v>-0.12342357351936777</v>
      </c>
      <c r="AU697" s="94">
        <f>((Table3.110[[#This Row],[CH4 24h, ml]]/28.9)*16.04)/Table3.110[[#This Row],[DM Incubated, mg]]*1000</f>
        <v>3.8933973671452042</v>
      </c>
      <c r="AV697" s="94">
        <f>((Table3.110[[#This Row],[CH4 24h, ml]]/28.9)*16.04)/Table3.110[[#This Row],[Digested feed, mg]]*1000</f>
        <v>12.60806582936651</v>
      </c>
      <c r="AW697" s="303"/>
    </row>
    <row r="698" spans="1:49" s="304" customFormat="1" x14ac:dyDescent="0.35">
      <c r="A698" s="89"/>
      <c r="B698" s="90">
        <f t="shared" si="10"/>
        <v>688</v>
      </c>
      <c r="C698" s="140">
        <v>46076</v>
      </c>
      <c r="D698" s="92" t="s">
        <v>16</v>
      </c>
      <c r="E698" s="6" t="s">
        <v>183</v>
      </c>
      <c r="F698" s="242" t="s">
        <v>19</v>
      </c>
      <c r="G698" s="242" t="s">
        <v>20</v>
      </c>
      <c r="H698" s="6" t="str">
        <f>'[2]1. Information samples'!$K$32</f>
        <v>Dendrolobium triangulare</v>
      </c>
      <c r="I698" s="6" t="s">
        <v>22</v>
      </c>
      <c r="J698" s="129" t="s">
        <v>23</v>
      </c>
      <c r="K698" s="129" t="s">
        <v>24</v>
      </c>
      <c r="L698" s="6" t="s">
        <v>182</v>
      </c>
      <c r="M698" s="256">
        <v>28</v>
      </c>
      <c r="N698" s="256">
        <v>69</v>
      </c>
      <c r="O698" s="256">
        <v>3</v>
      </c>
      <c r="P698" s="257">
        <v>1</v>
      </c>
      <c r="Q698" s="96">
        <v>107</v>
      </c>
      <c r="R698" s="98">
        <v>0.50029999999999997</v>
      </c>
      <c r="S698" s="94">
        <f>((Table3.110[[#This Row],[Sample weight, g]]*'2.1. DM'!Q109)/100)*1000</f>
        <v>479.56670894991868</v>
      </c>
      <c r="T698" s="94">
        <f>'3.2 Digest'!W698</f>
        <v>122.06670894991873</v>
      </c>
      <c r="U698" s="153">
        <v>0.35069444444444442</v>
      </c>
      <c r="V698" s="154">
        <v>41.5</v>
      </c>
      <c r="W698" s="153">
        <v>0.69861111111111107</v>
      </c>
      <c r="X698" s="95">
        <v>69.5</v>
      </c>
      <c r="Y698" s="95">
        <v>13.7</v>
      </c>
      <c r="Z698" s="154">
        <v>40</v>
      </c>
      <c r="AA698" s="153">
        <v>0.38124999999999998</v>
      </c>
      <c r="AB698" s="154">
        <v>66</v>
      </c>
      <c r="AC698" s="154">
        <v>18</v>
      </c>
      <c r="AD698" s="91" t="s">
        <v>559</v>
      </c>
      <c r="AE698" s="94">
        <f>Table3.110[[#This Row],[Gas 8h, ml]]-Table3.110[[#This Row],[Gas 0h, ml]]</f>
        <v>28</v>
      </c>
      <c r="AF698" s="94">
        <f>Table3.110[[#This Row],[Gas 24h, ml]]-Table3.110[[#This Row],[V8 Push back, ml]]</f>
        <v>26</v>
      </c>
      <c r="AG698" s="94">
        <f>Table3.110[[#This Row],[GP 8h, ml]]-(AVERAGE(AE$479,AE$480,AE$660,AE$661,AE$662,AE$663))*AG$8</f>
        <v>24.607474101643646</v>
      </c>
      <c r="AH698" s="94">
        <f>Table3.110[[#This Row],[GP 8-24h, ml]]-(AVERAGE(AF$479,AF$480,AF$660,AF$661,AF$662,AF$663))*AG$8</f>
        <v>21.685592064046812</v>
      </c>
      <c r="AI698" s="94">
        <f>Table3.110[[#This Row],[Net gas 8-24h, ml]]+Table3.110[[#This Row],[Net gas 8h, ml]]</f>
        <v>46.293066165690462</v>
      </c>
      <c r="AJ698" s="94">
        <f>Table3.110[[#This Row],[Net gas 8h, ml]]*Table3.110[[#This Row],[CH4 8h %]]%</f>
        <v>3.3712239519251792</v>
      </c>
      <c r="AK698" s="94">
        <f>Table3.110[[#This Row],[Net gas 8-24h, ml]]*Table3.110[[#This Row],[CH4 24h, %]]%</f>
        <v>3.9034065715284259</v>
      </c>
      <c r="AL698" s="94">
        <f>Table3.110[[#This Row],[CH4 8-24h, ml]]+Table3.110[[#This Row],[CH4 8h, ml]]</f>
        <v>7.2746305234536051</v>
      </c>
      <c r="AM698" s="94">
        <f>(Table3.110[[#This Row],[Net gas 24h, ml]]/Table3.110[[#This Row],[DM Incubated, mg]])*1000</f>
        <v>96.531025406362943</v>
      </c>
      <c r="AN698" s="94">
        <f>'3.2 Digest'!X698</f>
        <v>25.453541013554009</v>
      </c>
      <c r="AO698" s="94">
        <f>Table3.110[[#This Row],[Digested feed, mg]]/Table3.110[[#This Row],[Net gas 24h, ml]]</f>
        <v>2.6368248867556536</v>
      </c>
      <c r="AP698" s="94">
        <f>Table3.110[[#This Row],[CH4 8h, ml]]/Table3.110[[#This Row],[Net gas 8h, ml]]%</f>
        <v>13.7</v>
      </c>
      <c r="AQ698" s="94">
        <f>Table3.110[[#This Row],[CH4 24h, ml]]/Table3.110[[#This Row],[Net gas 24h, ml]]%</f>
        <v>15.714298330157073</v>
      </c>
      <c r="AR698" s="94">
        <f>Table3.110[[#This Row],[CH4 24h, ml]]/Table3.110[[#This Row],[DM Incubated, mg]]*1000</f>
        <v>15.169173313515591</v>
      </c>
      <c r="AS698" s="94">
        <f>Table3.110[[#This Row],[CH4 24h, ml]]/Table3.110[[#This Row],[Digested feed, mg]]*1000</f>
        <v>59.59553252507385</v>
      </c>
      <c r="AT698" s="94">
        <f>Table3.110[[#This Row],[CH4 24h, ml]]/'3.2 Digest'!AA698</f>
        <v>-0.50705816241553481</v>
      </c>
      <c r="AU698" s="94">
        <f>((Table3.110[[#This Row],[CH4 24h, ml]]/28.9)*16.04)/Table3.110[[#This Row],[DM Incubated, mg]]*1000</f>
        <v>8.4191536314460222</v>
      </c>
      <c r="AV698" s="94">
        <f>((Table3.110[[#This Row],[CH4 24h, ml]]/28.9)*16.04)/Table3.110[[#This Row],[Digested feed, mg]]*1000</f>
        <v>33.076551615992543</v>
      </c>
      <c r="AW698" s="303"/>
    </row>
    <row r="699" spans="1:49" s="304" customFormat="1" x14ac:dyDescent="0.35">
      <c r="A699" s="89"/>
      <c r="B699" s="90">
        <f t="shared" si="10"/>
        <v>689</v>
      </c>
      <c r="C699" s="140">
        <v>46076</v>
      </c>
      <c r="D699" s="92" t="s">
        <v>16</v>
      </c>
      <c r="E699" s="6" t="s">
        <v>183</v>
      </c>
      <c r="F699" s="242" t="s">
        <v>19</v>
      </c>
      <c r="G699" s="242" t="s">
        <v>20</v>
      </c>
      <c r="H699" s="6" t="str">
        <f>'[2]1. Information samples'!$K$32</f>
        <v>Dendrolobium triangulare</v>
      </c>
      <c r="I699" s="6" t="s">
        <v>22</v>
      </c>
      <c r="J699" s="129" t="s">
        <v>23</v>
      </c>
      <c r="K699" s="129" t="s">
        <v>24</v>
      </c>
      <c r="L699" s="6" t="s">
        <v>182</v>
      </c>
      <c r="M699" s="256">
        <v>28</v>
      </c>
      <c r="N699" s="256">
        <v>69</v>
      </c>
      <c r="O699" s="256">
        <v>3</v>
      </c>
      <c r="P699" s="257">
        <v>2</v>
      </c>
      <c r="Q699" s="96">
        <v>108</v>
      </c>
      <c r="R699" s="98">
        <v>0.50009999999999999</v>
      </c>
      <c r="S699" s="94">
        <f>((Table3.110[[#This Row],[Sample weight, g]]*'2.1. DM'!Q109)/100)*1000</f>
        <v>479.37499729333268</v>
      </c>
      <c r="T699" s="94">
        <f>'3.2 Digest'!W699</f>
        <v>0</v>
      </c>
      <c r="U699" s="117">
        <v>0.35069444444444442</v>
      </c>
      <c r="V699" s="155">
        <v>41</v>
      </c>
      <c r="W699" s="117">
        <v>0.69930555555555551</v>
      </c>
      <c r="X699" s="97">
        <v>70.5</v>
      </c>
      <c r="Y699" s="97">
        <v>13.7</v>
      </c>
      <c r="Z699" s="155">
        <v>40</v>
      </c>
      <c r="AA699" s="117">
        <v>0.38194444444444442</v>
      </c>
      <c r="AB699" s="155">
        <v>65.5</v>
      </c>
      <c r="AC699" s="155">
        <v>18.8</v>
      </c>
      <c r="AD699" s="96"/>
      <c r="AE699" s="94">
        <f>Table3.110[[#This Row],[Gas 8h, ml]]-Table3.110[[#This Row],[Gas 0h, ml]]</f>
        <v>29.5</v>
      </c>
      <c r="AF699" s="94">
        <f>Table3.110[[#This Row],[Gas 24h, ml]]-Table3.110[[#This Row],[V8 Push back, ml]]</f>
        <v>25.5</v>
      </c>
      <c r="AG699" s="94"/>
      <c r="AH699" s="94"/>
      <c r="AI699" s="94"/>
      <c r="AJ699" s="94"/>
      <c r="AK699" s="94"/>
      <c r="AL699" s="94"/>
      <c r="AM699" s="94"/>
      <c r="AN699" s="94"/>
      <c r="AO699" s="94"/>
      <c r="AP699" s="94"/>
      <c r="AQ699" s="94"/>
      <c r="AR699" s="94"/>
      <c r="AS699" s="94"/>
      <c r="AT699" s="94"/>
      <c r="AU699" s="94"/>
      <c r="AV699" s="94"/>
      <c r="AW699" s="303" t="s">
        <v>649</v>
      </c>
    </row>
    <row r="700" spans="1:49" s="304" customFormat="1" x14ac:dyDescent="0.35">
      <c r="A700" s="89"/>
      <c r="B700" s="90">
        <f t="shared" si="10"/>
        <v>690</v>
      </c>
      <c r="C700" s="140">
        <v>46076</v>
      </c>
      <c r="D700" s="92" t="s">
        <v>16</v>
      </c>
      <c r="E700" s="6" t="s">
        <v>185</v>
      </c>
      <c r="F700" s="242" t="s">
        <v>19</v>
      </c>
      <c r="G700" s="242" t="s">
        <v>20</v>
      </c>
      <c r="H700" s="6" t="str">
        <f>'[2]1. Information samples'!$K$33</f>
        <v>Dendrolobium triangulare</v>
      </c>
      <c r="I700" s="6" t="s">
        <v>22</v>
      </c>
      <c r="J700" s="129" t="s">
        <v>23</v>
      </c>
      <c r="K700" s="129" t="s">
        <v>24</v>
      </c>
      <c r="L700" s="6" t="s">
        <v>184</v>
      </c>
      <c r="M700" s="256">
        <v>28</v>
      </c>
      <c r="N700" s="256">
        <v>69</v>
      </c>
      <c r="O700" s="256">
        <v>3</v>
      </c>
      <c r="P700" s="257">
        <v>1</v>
      </c>
      <c r="Q700" s="96">
        <v>109</v>
      </c>
      <c r="R700" s="98">
        <v>0.50039999999999996</v>
      </c>
      <c r="S700" s="94">
        <f>((Table3.110[[#This Row],[Sample weight, g]]*'2.1. DM'!Q111)/100)*1000</f>
        <v>478.53798794974625</v>
      </c>
      <c r="T700" s="94">
        <f>'3.2 Digest'!W700</f>
        <v>100.63798794974622</v>
      </c>
      <c r="U700" s="117">
        <v>0.35069444444444442</v>
      </c>
      <c r="V700" s="155">
        <v>42</v>
      </c>
      <c r="W700" s="117">
        <v>0.70416666666666672</v>
      </c>
      <c r="X700" s="97">
        <v>65</v>
      </c>
      <c r="Y700" s="97">
        <v>12.8</v>
      </c>
      <c r="Z700" s="155">
        <v>41</v>
      </c>
      <c r="AA700" s="117">
        <v>0.38194444444444442</v>
      </c>
      <c r="AB700" s="155">
        <v>59.5</v>
      </c>
      <c r="AC700" s="155">
        <v>18.2</v>
      </c>
      <c r="AD700" s="96"/>
      <c r="AE700" s="94">
        <f>Table3.110[[#This Row],[Gas 8h, ml]]-Table3.110[[#This Row],[Gas 0h, ml]]</f>
        <v>23</v>
      </c>
      <c r="AF700" s="94">
        <f>Table3.110[[#This Row],[Gas 24h, ml]]-Table3.110[[#This Row],[V8 Push back, ml]]</f>
        <v>18.5</v>
      </c>
      <c r="AG700" s="94">
        <f>Table3.110[[#This Row],[GP 8h, ml]]-(AVERAGE(AE$479,AE$480,AE$660,AE$661,AE$662,AE$663))*AG$8</f>
        <v>19.607474101643646</v>
      </c>
      <c r="AH700" s="94">
        <f>Table3.110[[#This Row],[GP 8-24h, ml]]-(AVERAGE(AF$479,AF$480,AF$660,AF$661,AF$662,AF$663))*AG$8</f>
        <v>14.185592064046812</v>
      </c>
      <c r="AI700" s="94">
        <f>Table3.110[[#This Row],[Net gas 8-24h, ml]]+Table3.110[[#This Row],[Net gas 8h, ml]]</f>
        <v>33.793066165690462</v>
      </c>
      <c r="AJ700" s="94">
        <f>Table3.110[[#This Row],[Net gas 8h, ml]]*Table3.110[[#This Row],[CH4 8h %]]%</f>
        <v>2.509756685010387</v>
      </c>
      <c r="AK700" s="94">
        <f>Table3.110[[#This Row],[Net gas 8-24h, ml]]*Table3.110[[#This Row],[CH4 24h, %]]%</f>
        <v>2.5817777556565198</v>
      </c>
      <c r="AL700" s="94">
        <f>Table3.110[[#This Row],[CH4 8-24h, ml]]+Table3.110[[#This Row],[CH4 8h, ml]]</f>
        <v>5.0915344406669067</v>
      </c>
      <c r="AM700" s="94">
        <f>(Table3.110[[#This Row],[Net gas 24h, ml]]/Table3.110[[#This Row],[DM Incubated, mg]])*1000</f>
        <v>70.617311512663534</v>
      </c>
      <c r="AN700" s="94">
        <f>'3.2 Digest'!X700</f>
        <v>21.030302814813258</v>
      </c>
      <c r="AO700" s="94">
        <f>Table3.110[[#This Row],[Digested feed, mg]]/Table3.110[[#This Row],[Net gas 24h, ml]]</f>
        <v>2.978066194298826</v>
      </c>
      <c r="AP700" s="94">
        <f>Table3.110[[#This Row],[CH4 8h, ml]]/Table3.110[[#This Row],[Net gas 8h, ml]]%</f>
        <v>12.8</v>
      </c>
      <c r="AQ700" s="94">
        <f>Table3.110[[#This Row],[CH4 24h, ml]]/Table3.110[[#This Row],[Net gas 24h, ml]]%</f>
        <v>15.066802212331526</v>
      </c>
      <c r="AR700" s="94">
        <f>Table3.110[[#This Row],[CH4 24h, ml]]/Table3.110[[#This Row],[DM Incubated, mg]]*1000</f>
        <v>10.639770653279035</v>
      </c>
      <c r="AS700" s="94">
        <f>Table3.110[[#This Row],[CH4 24h, ml]]/Table3.110[[#This Row],[Digested feed, mg]]*1000</f>
        <v>50.592569907194232</v>
      </c>
      <c r="AT700" s="94">
        <f>Table3.110[[#This Row],[CH4 24h, ml]]/'3.2 Digest'!AA700</f>
        <v>-0.24051266042350608</v>
      </c>
      <c r="AU700" s="94">
        <f>((Table3.110[[#This Row],[CH4 24h, ml]]/28.9)*16.04)/Table3.110[[#This Row],[DM Incubated, mg]]*1000</f>
        <v>5.9052567916469103</v>
      </c>
      <c r="AV700" s="94">
        <f>((Table3.110[[#This Row],[CH4 24h, ml]]/28.9)*16.04)/Table3.110[[#This Row],[Digested feed, mg]]*1000</f>
        <v>28.079751602470434</v>
      </c>
      <c r="AW700" s="303"/>
    </row>
    <row r="701" spans="1:49" s="304" customFormat="1" x14ac:dyDescent="0.35">
      <c r="A701" s="89"/>
      <c r="B701" s="90">
        <f t="shared" si="10"/>
        <v>691</v>
      </c>
      <c r="C701" s="140">
        <v>46076</v>
      </c>
      <c r="D701" s="92" t="s">
        <v>16</v>
      </c>
      <c r="E701" s="6" t="s">
        <v>185</v>
      </c>
      <c r="F701" s="242" t="s">
        <v>19</v>
      </c>
      <c r="G701" s="242" t="s">
        <v>20</v>
      </c>
      <c r="H701" s="6" t="str">
        <f>'[2]1. Information samples'!$K$33</f>
        <v>Dendrolobium triangulare</v>
      </c>
      <c r="I701" s="6" t="s">
        <v>22</v>
      </c>
      <c r="J701" s="129" t="s">
        <v>23</v>
      </c>
      <c r="K701" s="129" t="s">
        <v>24</v>
      </c>
      <c r="L701" s="6" t="s">
        <v>184</v>
      </c>
      <c r="M701" s="256">
        <v>28</v>
      </c>
      <c r="N701" s="256">
        <v>69</v>
      </c>
      <c r="O701" s="256">
        <v>3</v>
      </c>
      <c r="P701" s="257">
        <v>2</v>
      </c>
      <c r="Q701" s="96">
        <v>110</v>
      </c>
      <c r="R701" s="98">
        <v>0.50039999999999996</v>
      </c>
      <c r="S701" s="94">
        <f>((Table3.110[[#This Row],[Sample weight, g]]*'2.1. DM'!Q111)/100)*1000</f>
        <v>478.53798794974625</v>
      </c>
      <c r="T701" s="94">
        <f>'3.2 Digest'!W701</f>
        <v>58.537987949746309</v>
      </c>
      <c r="U701" s="153">
        <v>0.35069444444444442</v>
      </c>
      <c r="V701" s="154">
        <v>42.5</v>
      </c>
      <c r="W701" s="153">
        <v>0.70416666666666672</v>
      </c>
      <c r="X701" s="95">
        <v>66.5</v>
      </c>
      <c r="Y701" s="95">
        <v>12</v>
      </c>
      <c r="Z701" s="154">
        <v>40.5</v>
      </c>
      <c r="AA701" s="153">
        <v>0.38263888888888886</v>
      </c>
      <c r="AB701" s="154">
        <v>57.5</v>
      </c>
      <c r="AC701" s="154">
        <v>18.3</v>
      </c>
      <c r="AD701" s="91"/>
      <c r="AE701" s="94">
        <f>Table3.110[[#This Row],[Gas 8h, ml]]-Table3.110[[#This Row],[Gas 0h, ml]]</f>
        <v>24</v>
      </c>
      <c r="AF701" s="94">
        <f>Table3.110[[#This Row],[Gas 24h, ml]]-Table3.110[[#This Row],[V8 Push back, ml]]</f>
        <v>17</v>
      </c>
      <c r="AG701" s="94"/>
      <c r="AH701" s="94"/>
      <c r="AI701" s="94"/>
      <c r="AJ701" s="94"/>
      <c r="AK701" s="94"/>
      <c r="AL701" s="94"/>
      <c r="AM701" s="94"/>
      <c r="AN701" s="94"/>
      <c r="AO701" s="94"/>
      <c r="AP701" s="94"/>
      <c r="AQ701" s="94"/>
      <c r="AR701" s="94"/>
      <c r="AS701" s="94"/>
      <c r="AT701" s="94"/>
      <c r="AU701" s="94"/>
      <c r="AV701" s="94"/>
      <c r="AW701" s="303" t="s">
        <v>650</v>
      </c>
    </row>
    <row r="702" spans="1:49" s="304" customFormat="1" x14ac:dyDescent="0.35">
      <c r="A702" s="89"/>
      <c r="B702" s="90">
        <f t="shared" si="10"/>
        <v>692</v>
      </c>
      <c r="C702" s="140">
        <v>46076</v>
      </c>
      <c r="D702" s="92"/>
      <c r="E702" s="6" t="s">
        <v>187</v>
      </c>
      <c r="F702" s="242" t="s">
        <v>105</v>
      </c>
      <c r="G702" s="242" t="s">
        <v>188</v>
      </c>
      <c r="H702" s="6" t="str">
        <f>'[2]1. Information samples'!$K$34</f>
        <v>Urochloa humidicola</v>
      </c>
      <c r="I702" s="133" t="s">
        <v>108</v>
      </c>
      <c r="J702" s="135" t="s">
        <v>109</v>
      </c>
      <c r="K702" s="135" t="s">
        <v>110</v>
      </c>
      <c r="L702" s="6" t="s">
        <v>186</v>
      </c>
      <c r="M702" s="256">
        <v>28</v>
      </c>
      <c r="N702" s="256">
        <v>69</v>
      </c>
      <c r="O702" s="256">
        <v>3</v>
      </c>
      <c r="P702" s="257">
        <v>1</v>
      </c>
      <c r="Q702" s="96">
        <v>111</v>
      </c>
      <c r="R702" s="98">
        <v>0.50019999999999998</v>
      </c>
      <c r="S702" s="94">
        <f>((Table3.110[[#This Row],[Sample weight, g]]*'2.1. DM'!Q113)/100)*1000</f>
        <v>474.39613340253106</v>
      </c>
      <c r="T702" s="94">
        <f>'3.2 Digest'!W702</f>
        <v>228.79613340253113</v>
      </c>
      <c r="U702" s="153">
        <v>0.35138888888888886</v>
      </c>
      <c r="V702" s="154">
        <v>41</v>
      </c>
      <c r="W702" s="153">
        <v>0.70486111111111116</v>
      </c>
      <c r="X702" s="95">
        <v>80.5</v>
      </c>
      <c r="Y702" s="95">
        <v>13.6</v>
      </c>
      <c r="Z702" s="154">
        <v>40</v>
      </c>
      <c r="AA702" s="153">
        <v>0.38333333333333336</v>
      </c>
      <c r="AB702" s="154">
        <v>97.5</v>
      </c>
      <c r="AC702" s="154">
        <v>15.1</v>
      </c>
      <c r="AD702" s="91"/>
      <c r="AE702" s="94">
        <f>Table3.110[[#This Row],[Gas 8h, ml]]-Table3.110[[#This Row],[Gas 0h, ml]]</f>
        <v>39.5</v>
      </c>
      <c r="AF702" s="94">
        <f>Table3.110[[#This Row],[Gas 24h, ml]]-Table3.110[[#This Row],[V8 Push back, ml]]</f>
        <v>57.5</v>
      </c>
      <c r="AG702" s="94"/>
      <c r="AH702" s="94"/>
      <c r="AI702" s="94"/>
      <c r="AJ702" s="94"/>
      <c r="AK702" s="94"/>
      <c r="AL702" s="94"/>
      <c r="AM702" s="94"/>
      <c r="AN702" s="94"/>
      <c r="AO702" s="94"/>
      <c r="AP702" s="94"/>
      <c r="AQ702" s="94"/>
      <c r="AR702" s="94"/>
      <c r="AS702" s="94"/>
      <c r="AT702" s="94"/>
      <c r="AU702" s="94"/>
      <c r="AV702" s="94"/>
      <c r="AW702" s="303" t="s">
        <v>611</v>
      </c>
    </row>
    <row r="703" spans="1:49" s="304" customFormat="1" x14ac:dyDescent="0.35">
      <c r="A703" s="89"/>
      <c r="B703" s="90">
        <f t="shared" si="10"/>
        <v>693</v>
      </c>
      <c r="C703" s="140">
        <v>46076</v>
      </c>
      <c r="D703" s="92"/>
      <c r="E703" s="6" t="s">
        <v>187</v>
      </c>
      <c r="F703" s="242" t="s">
        <v>105</v>
      </c>
      <c r="G703" s="242" t="s">
        <v>188</v>
      </c>
      <c r="H703" s="6" t="str">
        <f>'[2]1. Information samples'!$K$34</f>
        <v>Urochloa humidicola</v>
      </c>
      <c r="I703" s="133" t="s">
        <v>108</v>
      </c>
      <c r="J703" s="135" t="s">
        <v>109</v>
      </c>
      <c r="K703" s="135" t="s">
        <v>110</v>
      </c>
      <c r="L703" s="6" t="s">
        <v>186</v>
      </c>
      <c r="M703" s="256">
        <v>28</v>
      </c>
      <c r="N703" s="256">
        <v>69</v>
      </c>
      <c r="O703" s="256">
        <v>3</v>
      </c>
      <c r="P703" s="257">
        <v>2</v>
      </c>
      <c r="Q703" s="96">
        <v>112</v>
      </c>
      <c r="R703" s="98">
        <v>0.50029999999999997</v>
      </c>
      <c r="S703" s="94">
        <f>((Table3.110[[#This Row],[Sample weight, g]]*'2.1. DM'!Q113)/100)*1000</f>
        <v>474.49097469269549</v>
      </c>
      <c r="T703" s="94">
        <f>'3.2 Digest'!W703</f>
        <v>104.99097469269554</v>
      </c>
      <c r="U703" s="153">
        <v>0.35138888888888886</v>
      </c>
      <c r="V703" s="154">
        <v>40.5</v>
      </c>
      <c r="W703" s="153">
        <v>0.7055555555555556</v>
      </c>
      <c r="X703" s="95">
        <v>81.5</v>
      </c>
      <c r="Y703" s="95">
        <v>13.7</v>
      </c>
      <c r="Z703" s="154">
        <v>40</v>
      </c>
      <c r="AA703" s="153">
        <v>0.38333333333333336</v>
      </c>
      <c r="AB703" s="154">
        <v>94.5</v>
      </c>
      <c r="AC703" s="154">
        <v>15</v>
      </c>
      <c r="AD703" s="91"/>
      <c r="AE703" s="94">
        <f>Table3.110[[#This Row],[Gas 8h, ml]]-Table3.110[[#This Row],[Gas 0h, ml]]</f>
        <v>41</v>
      </c>
      <c r="AF703" s="94">
        <f>Table3.110[[#This Row],[Gas 24h, ml]]-Table3.110[[#This Row],[V8 Push back, ml]]</f>
        <v>54.5</v>
      </c>
      <c r="AG703" s="94">
        <f>Table3.110[[#This Row],[GP 8h, ml]]-(AVERAGE(AE$479,AE$480,AE$660,AE$661,AE$662,AE$663))*AG$8</f>
        <v>37.607474101643646</v>
      </c>
      <c r="AH703" s="94">
        <f>Table3.110[[#This Row],[GP 8-24h, ml]]-(AVERAGE(AF$479,AF$480,AF$660,AF$661,AF$662,AF$663))*AG$8</f>
        <v>50.185592064046816</v>
      </c>
      <c r="AI703" s="94">
        <f>Table3.110[[#This Row],[Net gas 8-24h, ml]]+Table3.110[[#This Row],[Net gas 8h, ml]]</f>
        <v>87.793066165690462</v>
      </c>
      <c r="AJ703" s="94">
        <f>Table3.110[[#This Row],[Net gas 8h, ml]]*Table3.110[[#This Row],[CH4 8h %]]%</f>
        <v>5.1522239519251789</v>
      </c>
      <c r="AK703" s="94">
        <f>Table3.110[[#This Row],[Net gas 8-24h, ml]]*Table3.110[[#This Row],[CH4 24h, %]]%</f>
        <v>7.5278388096070223</v>
      </c>
      <c r="AL703" s="94">
        <f>Table3.110[[#This Row],[CH4 8-24h, ml]]+Table3.110[[#This Row],[CH4 8h, ml]]</f>
        <v>12.680062761532202</v>
      </c>
      <c r="AM703" s="94">
        <f>(Table3.110[[#This Row],[Net gas 24h, ml]]/Table3.110[[#This Row],[DM Incubated, mg]])*1000</f>
        <v>185.02578731355158</v>
      </c>
      <c r="AN703" s="94">
        <f>'3.2 Digest'!X703</f>
        <v>22.127075180026985</v>
      </c>
      <c r="AO703" s="94">
        <f>Table3.110[[#This Row],[Digested feed, mg]]/Table3.110[[#This Row],[Net gas 24h, ml]]</f>
        <v>1.1958914214768139</v>
      </c>
      <c r="AP703" s="94">
        <f>Table3.110[[#This Row],[CH4 8h, ml]]/Table3.110[[#This Row],[Net gas 8h, ml]]%</f>
        <v>13.7</v>
      </c>
      <c r="AQ703" s="94">
        <f>Table3.110[[#This Row],[CH4 24h, ml]]/Table3.110[[#This Row],[Net gas 24h, ml]]%</f>
        <v>14.443125539779327</v>
      </c>
      <c r="AR703" s="94">
        <f>Table3.110[[#This Row],[CH4 24h, ml]]/Table3.110[[#This Row],[DM Incubated, mg]]*1000</f>
        <v>26.723506742661346</v>
      </c>
      <c r="AS703" s="94">
        <f>Table3.110[[#This Row],[CH4 24h, ml]]/Table3.110[[#This Row],[Digested feed, mg]]*1000</f>
        <v>120.77288356114654</v>
      </c>
      <c r="AT703" s="94">
        <f>Table3.110[[#This Row],[CH4 24h, ml]]/'3.2 Digest'!AA703</f>
        <v>-0.88110753711840162</v>
      </c>
      <c r="AU703" s="94">
        <f>((Table3.110[[#This Row],[CH4 24h, ml]]/28.9)*16.04)/Table3.110[[#This Row],[DM Incubated, mg]]*1000</f>
        <v>14.832008586584362</v>
      </c>
      <c r="AV703" s="94">
        <f>((Table3.110[[#This Row],[CH4 24h, ml]]/28.9)*16.04)/Table3.110[[#This Row],[Digested feed, mg]]*1000</f>
        <v>67.031039872691721</v>
      </c>
      <c r="AW703" s="303"/>
    </row>
    <row r="704" spans="1:49" s="304" customFormat="1" x14ac:dyDescent="0.35">
      <c r="A704" s="89"/>
      <c r="B704" s="90">
        <f t="shared" si="10"/>
        <v>694</v>
      </c>
      <c r="C704" s="140">
        <v>46076</v>
      </c>
      <c r="D704" s="92"/>
      <c r="E704" s="6" t="s">
        <v>193</v>
      </c>
      <c r="F704" s="242" t="s">
        <v>105</v>
      </c>
      <c r="G704" s="242" t="s">
        <v>188</v>
      </c>
      <c r="H704" s="6" t="str">
        <f>'[2]1. Information samples'!$K$35</f>
        <v>Urochloa humidicola</v>
      </c>
      <c r="I704" s="133" t="s">
        <v>108</v>
      </c>
      <c r="J704" s="135" t="s">
        <v>109</v>
      </c>
      <c r="K704" s="135" t="s">
        <v>110</v>
      </c>
      <c r="L704" s="6" t="s">
        <v>192</v>
      </c>
      <c r="M704" s="256">
        <v>28</v>
      </c>
      <c r="N704" s="256">
        <v>69</v>
      </c>
      <c r="O704" s="256">
        <v>3</v>
      </c>
      <c r="P704" s="257">
        <v>1</v>
      </c>
      <c r="Q704" s="96">
        <v>113</v>
      </c>
      <c r="R704" s="98">
        <v>0.50019999999999998</v>
      </c>
      <c r="S704" s="94">
        <f>((Table3.110[[#This Row],[Sample weight, g]]*'2.1. DM'!Q115)/100)*1000</f>
        <v>475.56995000000012</v>
      </c>
      <c r="T704" s="94">
        <f>'3.2 Digest'!W704</f>
        <v>24.769950000000165</v>
      </c>
      <c r="U704" s="117">
        <v>0.35138888888888886</v>
      </c>
      <c r="V704" s="155">
        <v>41</v>
      </c>
      <c r="W704" s="117">
        <v>0.7055555555555556</v>
      </c>
      <c r="X704" s="97">
        <v>76</v>
      </c>
      <c r="Y704" s="97">
        <v>14</v>
      </c>
      <c r="Z704" s="155">
        <v>40.5</v>
      </c>
      <c r="AA704" s="117">
        <v>0.3840277777777778</v>
      </c>
      <c r="AB704" s="155">
        <v>91.5</v>
      </c>
      <c r="AC704" s="155">
        <v>14.7</v>
      </c>
      <c r="AD704" s="96"/>
      <c r="AE704" s="94"/>
      <c r="AF704" s="94"/>
      <c r="AG704" s="94"/>
      <c r="AH704" s="94"/>
      <c r="AI704" s="94"/>
      <c r="AJ704" s="94"/>
      <c r="AK704" s="94"/>
      <c r="AL704" s="94"/>
      <c r="AM704" s="94"/>
      <c r="AN704" s="94"/>
      <c r="AO704" s="94"/>
      <c r="AP704" s="94"/>
      <c r="AQ704" s="94"/>
      <c r="AR704" s="94"/>
      <c r="AS704" s="94"/>
      <c r="AT704" s="94"/>
      <c r="AU704" s="94"/>
      <c r="AV704" s="94"/>
      <c r="AW704" s="303" t="s">
        <v>651</v>
      </c>
    </row>
    <row r="705" spans="1:50" s="304" customFormat="1" x14ac:dyDescent="0.35">
      <c r="A705" s="89"/>
      <c r="B705" s="90">
        <f t="shared" si="10"/>
        <v>695</v>
      </c>
      <c r="C705" s="140">
        <v>46076</v>
      </c>
      <c r="D705" s="92"/>
      <c r="E705" s="6" t="s">
        <v>193</v>
      </c>
      <c r="F705" s="242" t="s">
        <v>105</v>
      </c>
      <c r="G705" s="242" t="s">
        <v>188</v>
      </c>
      <c r="H705" s="6" t="str">
        <f>'[2]1. Information samples'!$K$35</f>
        <v>Urochloa humidicola</v>
      </c>
      <c r="I705" s="133" t="s">
        <v>108</v>
      </c>
      <c r="J705" s="135" t="s">
        <v>109</v>
      </c>
      <c r="K705" s="135" t="s">
        <v>110</v>
      </c>
      <c r="L705" s="6" t="s">
        <v>192</v>
      </c>
      <c r="M705" s="256">
        <v>28</v>
      </c>
      <c r="N705" s="256">
        <v>69</v>
      </c>
      <c r="O705" s="256">
        <v>3</v>
      </c>
      <c r="P705" s="257">
        <v>2</v>
      </c>
      <c r="Q705" s="96">
        <v>114</v>
      </c>
      <c r="R705" s="98">
        <v>0.50019999999999998</v>
      </c>
      <c r="S705" s="94">
        <f>((Table3.110[[#This Row],[Sample weight, g]]*'2.1. DM'!Q115)/100)*1000</f>
        <v>475.56995000000012</v>
      </c>
      <c r="T705" s="94">
        <f>'3.2 Digest'!W705</f>
        <v>46.069950000000119</v>
      </c>
      <c r="U705" s="153">
        <v>0.35208333333333336</v>
      </c>
      <c r="V705" s="155">
        <v>41.5</v>
      </c>
      <c r="W705" s="153">
        <v>0.70625000000000004</v>
      </c>
      <c r="X705" s="95">
        <v>78</v>
      </c>
      <c r="Y705" s="95">
        <v>13.7</v>
      </c>
      <c r="Z705" s="154">
        <v>41</v>
      </c>
      <c r="AA705" s="153">
        <v>0.3840277777777778</v>
      </c>
      <c r="AB705" s="154">
        <v>92</v>
      </c>
      <c r="AC705" s="154">
        <v>14.9</v>
      </c>
      <c r="AD705" s="91" t="s">
        <v>580</v>
      </c>
      <c r="AE705" s="94"/>
      <c r="AF705" s="94"/>
      <c r="AG705" s="94"/>
      <c r="AH705" s="94"/>
      <c r="AI705" s="94"/>
      <c r="AJ705" s="94"/>
      <c r="AK705" s="94"/>
      <c r="AL705" s="94"/>
      <c r="AM705" s="94"/>
      <c r="AN705" s="94"/>
      <c r="AO705" s="94"/>
      <c r="AP705" s="94"/>
      <c r="AQ705" s="94"/>
      <c r="AR705" s="94"/>
      <c r="AS705" s="94"/>
      <c r="AT705" s="94"/>
      <c r="AU705" s="94"/>
      <c r="AV705" s="94"/>
      <c r="AW705" s="303" t="s">
        <v>652</v>
      </c>
    </row>
    <row r="706" spans="1:50" s="304" customFormat="1" x14ac:dyDescent="0.35">
      <c r="A706" s="89"/>
      <c r="B706" s="90">
        <f t="shared" si="10"/>
        <v>696</v>
      </c>
      <c r="C706" s="140">
        <v>46076</v>
      </c>
      <c r="D706" s="92"/>
      <c r="E706" s="6" t="s">
        <v>195</v>
      </c>
      <c r="F706" s="242" t="s">
        <v>105</v>
      </c>
      <c r="G706" s="242" t="s">
        <v>188</v>
      </c>
      <c r="H706" s="6" t="str">
        <f>'[2]1. Information samples'!$K$36</f>
        <v>Urochloa humidicola</v>
      </c>
      <c r="I706" s="133" t="s">
        <v>108</v>
      </c>
      <c r="J706" s="135" t="s">
        <v>109</v>
      </c>
      <c r="K706" s="135" t="s">
        <v>110</v>
      </c>
      <c r="L706" s="6" t="s">
        <v>194</v>
      </c>
      <c r="M706" s="256">
        <v>28</v>
      </c>
      <c r="N706" s="256">
        <v>69</v>
      </c>
      <c r="O706" s="256">
        <v>3</v>
      </c>
      <c r="P706" s="257">
        <v>1</v>
      </c>
      <c r="Q706" s="96">
        <v>115</v>
      </c>
      <c r="R706" s="98">
        <v>0.50019999999999998</v>
      </c>
      <c r="S706" s="94">
        <f>((Table3.110[[#This Row],[Sample weight, g]]*'2.1. DM'!Q117)/100)*1000</f>
        <v>480.29503819763954</v>
      </c>
      <c r="T706" s="94">
        <f>'3.2 Digest'!W706</f>
        <v>138.59503819763955</v>
      </c>
      <c r="U706" s="117">
        <v>0.35208333333333336</v>
      </c>
      <c r="V706" s="155">
        <v>40.5</v>
      </c>
      <c r="W706" s="117">
        <v>0.70625000000000004</v>
      </c>
      <c r="X706" s="97">
        <v>76.5</v>
      </c>
      <c r="Y706" s="97">
        <v>13.8</v>
      </c>
      <c r="Z706" s="155">
        <v>40</v>
      </c>
      <c r="AA706" s="117">
        <v>0.38472222222222224</v>
      </c>
      <c r="AB706" s="155">
        <v>91.5</v>
      </c>
      <c r="AC706" s="155">
        <v>14.8</v>
      </c>
      <c r="AD706" s="103"/>
      <c r="AE706" s="94">
        <f>Table3.110[[#This Row],[Gas 8h, ml]]-Table3.110[[#This Row],[Gas 0h, ml]]</f>
        <v>36</v>
      </c>
      <c r="AF706" s="94">
        <f>Table3.110[[#This Row],[Gas 24h, ml]]-Table3.110[[#This Row],[V8 Push back, ml]]</f>
        <v>51.5</v>
      </c>
      <c r="AG706" s="94">
        <f>Table3.110[[#This Row],[GP 8h, ml]]-(AVERAGE(AE$479,AE$480,AE$660,AE$661,AE$662,AE$663))*AG$8</f>
        <v>32.607474101643646</v>
      </c>
      <c r="AH706" s="94">
        <f>Table3.110[[#This Row],[GP 8-24h, ml]]-(AVERAGE(AF$479,AF$480,AF$660,AF$661,AF$662,AF$663))*AG$8</f>
        <v>47.185592064046816</v>
      </c>
      <c r="AI706" s="94">
        <f>Table3.110[[#This Row],[Net gas 8-24h, ml]]+Table3.110[[#This Row],[Net gas 8h, ml]]</f>
        <v>79.793066165690462</v>
      </c>
      <c r="AJ706" s="94">
        <f>Table3.110[[#This Row],[Net gas 8h, ml]]*Table3.110[[#This Row],[CH4 8h %]]%</f>
        <v>4.499831426026824</v>
      </c>
      <c r="AK706" s="94">
        <f>Table3.110[[#This Row],[Net gas 8-24h, ml]]*Table3.110[[#This Row],[CH4 24h, %]]%</f>
        <v>6.9834676254789301</v>
      </c>
      <c r="AL706" s="94">
        <f>Table3.110[[#This Row],[CH4 8-24h, ml]]+Table3.110[[#This Row],[CH4 8h, ml]]</f>
        <v>11.483299051505753</v>
      </c>
      <c r="AM706" s="94">
        <f>(Table3.110[[#This Row],[Net gas 24h, ml]]/Table3.110[[#This Row],[DM Incubated, mg]])*1000</f>
        <v>166.13343844883929</v>
      </c>
      <c r="AN706" s="94">
        <f>'3.2 Digest'!X706</f>
        <v>28.856229437166959</v>
      </c>
      <c r="AO706" s="94">
        <f>Table3.110[[#This Row],[Digested feed, mg]]/Table3.110[[#This Row],[Net gas 24h, ml]]</f>
        <v>1.7369308494781575</v>
      </c>
      <c r="AP706" s="94">
        <f>Table3.110[[#This Row],[CH4 8h, ml]]/Table3.110[[#This Row],[Net gas 8h, ml]]%</f>
        <v>13.800000000000002</v>
      </c>
      <c r="AQ706" s="94">
        <f>Table3.110[[#This Row],[CH4 24h, ml]]/Table3.110[[#This Row],[Net gas 24h, ml]]%</f>
        <v>14.391349528617761</v>
      </c>
      <c r="AR706" s="94">
        <f>Table3.110[[#This Row],[CH4 24h, ml]]/Table3.110[[#This Row],[DM Incubated, mg]]*1000</f>
        <v>23.908843811083511</v>
      </c>
      <c r="AS706" s="94">
        <f>Table3.110[[#This Row],[CH4 24h, ml]]/Table3.110[[#This Row],[Digested feed, mg]]*1000</f>
        <v>82.855051673136501</v>
      </c>
      <c r="AT706" s="94">
        <f>Table3.110[[#This Row],[CH4 24h, ml]]/'3.2 Digest'!AA706</f>
        <v>-2.3604233141476616</v>
      </c>
      <c r="AU706" s="94">
        <f>((Table3.110[[#This Row],[CH4 24h, ml]]/28.9)*16.04)/Table3.110[[#This Row],[DM Incubated, mg]]*1000</f>
        <v>13.269821962968148</v>
      </c>
      <c r="AV706" s="94">
        <f>((Table3.110[[#This Row],[CH4 24h, ml]]/28.9)*16.04)/Table3.110[[#This Row],[Digested feed, mg]]*1000</f>
        <v>45.98598715699341</v>
      </c>
      <c r="AW706" s="303"/>
    </row>
    <row r="707" spans="1:50" s="304" customFormat="1" x14ac:dyDescent="0.35">
      <c r="A707" s="89"/>
      <c r="B707" s="90">
        <f t="shared" si="10"/>
        <v>697</v>
      </c>
      <c r="C707" s="140">
        <v>46076</v>
      </c>
      <c r="D707" s="92"/>
      <c r="E707" s="6" t="s">
        <v>195</v>
      </c>
      <c r="F707" s="242" t="s">
        <v>105</v>
      </c>
      <c r="G707" s="242" t="s">
        <v>188</v>
      </c>
      <c r="H707" s="6" t="str">
        <f>'[2]1. Information samples'!$K$36</f>
        <v>Urochloa humidicola</v>
      </c>
      <c r="I707" s="133" t="s">
        <v>108</v>
      </c>
      <c r="J707" s="135" t="s">
        <v>109</v>
      </c>
      <c r="K707" s="135" t="s">
        <v>110</v>
      </c>
      <c r="L707" s="6" t="s">
        <v>194</v>
      </c>
      <c r="M707" s="256">
        <v>28</v>
      </c>
      <c r="N707" s="256">
        <v>69</v>
      </c>
      <c r="O707" s="256">
        <v>3</v>
      </c>
      <c r="P707" s="257">
        <v>2</v>
      </c>
      <c r="Q707" s="96">
        <v>116</v>
      </c>
      <c r="R707" s="98">
        <v>0.5</v>
      </c>
      <c r="S707" s="94">
        <f>((Table3.110[[#This Row],[Sample weight, g]]*'2.1. DM'!Q117)/100)*1000</f>
        <v>480.10299699884001</v>
      </c>
      <c r="T707" s="94">
        <f>'3.2 Digest'!W707</f>
        <v>185.30299699884006</v>
      </c>
      <c r="U707" s="117">
        <v>0.35208333333333336</v>
      </c>
      <c r="V707" s="155">
        <v>40</v>
      </c>
      <c r="W707" s="117">
        <v>0.70694444444444449</v>
      </c>
      <c r="X707" s="97">
        <v>74</v>
      </c>
      <c r="Y707" s="97">
        <v>14.5</v>
      </c>
      <c r="Z707" s="155">
        <v>40</v>
      </c>
      <c r="AA707" s="117">
        <v>0.38472222222222224</v>
      </c>
      <c r="AB707" s="155">
        <v>92.5</v>
      </c>
      <c r="AC707" s="155">
        <v>14.9</v>
      </c>
      <c r="AD707" s="96"/>
      <c r="AE707" s="94">
        <f>Table3.110[[#This Row],[Gas 8h, ml]]-Table3.110[[#This Row],[Gas 0h, ml]]</f>
        <v>34</v>
      </c>
      <c r="AF707" s="94">
        <f>Table3.110[[#This Row],[Gas 24h, ml]]-Table3.110[[#This Row],[V8 Push back, ml]]</f>
        <v>52.5</v>
      </c>
      <c r="AG707" s="94">
        <f>Table3.110[[#This Row],[GP 8h, ml]]-(AVERAGE(AE$479,AE$480,AE$660,AE$661,AE$662,AE$663))*AG$8</f>
        <v>30.607474101643646</v>
      </c>
      <c r="AH707" s="94">
        <f>Table3.110[[#This Row],[GP 8-24h, ml]]-(AVERAGE(AF$479,AF$480,AF$660,AF$661,AF$662,AF$663))*AG$8</f>
        <v>48.185592064046816</v>
      </c>
      <c r="AI707" s="94">
        <f>Table3.110[[#This Row],[Net gas 8-24h, ml]]+Table3.110[[#This Row],[Net gas 8h, ml]]</f>
        <v>78.793066165690462</v>
      </c>
      <c r="AJ707" s="94">
        <f>Table3.110[[#This Row],[Net gas 8h, ml]]*Table3.110[[#This Row],[CH4 8h %]]%</f>
        <v>4.4380837447383286</v>
      </c>
      <c r="AK707" s="94">
        <f>Table3.110[[#This Row],[Net gas 8-24h, ml]]*Table3.110[[#This Row],[CH4 24h, %]]%</f>
        <v>7.1796532175429748</v>
      </c>
      <c r="AL707" s="94">
        <f>Table3.110[[#This Row],[CH4 8-24h, ml]]+Table3.110[[#This Row],[CH4 8h, ml]]</f>
        <v>11.617736962281302</v>
      </c>
      <c r="AM707" s="94">
        <f>(Table3.110[[#This Row],[Net gas 24h, ml]]/Table3.110[[#This Row],[DM Incubated, mg]])*1000</f>
        <v>164.1170054305677</v>
      </c>
      <c r="AN707" s="94">
        <f>'3.2 Digest'!X707</f>
        <v>38.596509115165503</v>
      </c>
      <c r="AO707" s="94">
        <f>Table3.110[[#This Row],[Digested feed, mg]]/Table3.110[[#This Row],[Net gas 24h, ml]]</f>
        <v>2.3517678143045551</v>
      </c>
      <c r="AP707" s="94">
        <f>Table3.110[[#This Row],[CH4 8h, ml]]/Table3.110[[#This Row],[Net gas 8h, ml]]%</f>
        <v>14.5</v>
      </c>
      <c r="AQ707" s="94">
        <f>Table3.110[[#This Row],[CH4 24h, ml]]/Table3.110[[#This Row],[Net gas 24h, ml]]%</f>
        <v>14.744618438697227</v>
      </c>
      <c r="AR707" s="94">
        <f>Table3.110[[#This Row],[CH4 24h, ml]]/Table3.110[[#This Row],[DM Incubated, mg]]*1000</f>
        <v>24.198426243753218</v>
      </c>
      <c r="AS707" s="94">
        <f>Table3.110[[#This Row],[CH4 24h, ml]]/Table3.110[[#This Row],[Digested feed, mg]]*1000</f>
        <v>62.695893484950098</v>
      </c>
      <c r="AT707" s="94">
        <f>Table3.110[[#This Row],[CH4 24h, ml]]/'3.2 Digest'!AA707</f>
        <v>1.223936806732653</v>
      </c>
      <c r="AU707" s="94">
        <f>((Table3.110[[#This Row],[CH4 24h, ml]]/28.9)*16.04)/Table3.110[[#This Row],[DM Incubated, mg]]*1000</f>
        <v>13.430545223176527</v>
      </c>
      <c r="AV707" s="94">
        <f>((Table3.110[[#This Row],[CH4 24h, ml]]/28.9)*16.04)/Table3.110[[#This Row],[Digested feed, mg]]*1000</f>
        <v>34.797305588186831</v>
      </c>
      <c r="AW707" s="303"/>
    </row>
    <row r="708" spans="1:50" s="304" customFormat="1" x14ac:dyDescent="0.35">
      <c r="A708" s="89"/>
      <c r="B708" s="90">
        <f t="shared" si="10"/>
        <v>698</v>
      </c>
      <c r="C708" s="140">
        <v>46076</v>
      </c>
      <c r="D708" s="92"/>
      <c r="E708" s="6" t="s">
        <v>197</v>
      </c>
      <c r="F708" s="242" t="s">
        <v>105</v>
      </c>
      <c r="G708" s="242" t="s">
        <v>188</v>
      </c>
      <c r="H708" s="6" t="str">
        <f>'[2]1. Information samples'!$K$37</f>
        <v>Urochloa humidicola</v>
      </c>
      <c r="I708" s="133" t="s">
        <v>108</v>
      </c>
      <c r="J708" s="135" t="s">
        <v>109</v>
      </c>
      <c r="K708" s="135" t="s">
        <v>110</v>
      </c>
      <c r="L708" s="6" t="s">
        <v>196</v>
      </c>
      <c r="M708" s="256">
        <v>28</v>
      </c>
      <c r="N708" s="256">
        <v>69</v>
      </c>
      <c r="O708" s="256">
        <v>3</v>
      </c>
      <c r="P708" s="257">
        <v>1</v>
      </c>
      <c r="Q708" s="96">
        <v>117</v>
      </c>
      <c r="R708" s="98">
        <v>0.50009999999999999</v>
      </c>
      <c r="S708" s="94">
        <f>((Table3.110[[#This Row],[Sample weight, g]]*'2.1. DM'!Q119)/100)*1000</f>
        <v>479.89798020197964</v>
      </c>
      <c r="T708" s="94">
        <f>'3.2 Digest'!W708</f>
        <v>168.79798020197961</v>
      </c>
      <c r="U708" s="117">
        <v>0.35208333333333336</v>
      </c>
      <c r="V708" s="155">
        <v>41</v>
      </c>
      <c r="W708" s="117">
        <v>0.70763888888888893</v>
      </c>
      <c r="X708" s="97">
        <v>83.5</v>
      </c>
      <c r="Y708" s="97">
        <v>13.9</v>
      </c>
      <c r="Z708" s="155">
        <v>40</v>
      </c>
      <c r="AA708" s="117">
        <v>0.38541666666666669</v>
      </c>
      <c r="AB708" s="155">
        <v>100</v>
      </c>
      <c r="AC708" s="155">
        <v>15.2</v>
      </c>
      <c r="AD708" s="96"/>
      <c r="AE708" s="94">
        <f>Table3.110[[#This Row],[Gas 8h, ml]]-Table3.110[[#This Row],[Gas 0h, ml]]</f>
        <v>42.5</v>
      </c>
      <c r="AF708" s="94">
        <f>Table3.110[[#This Row],[Gas 24h, ml]]-Table3.110[[#This Row],[V8 Push back, ml]]</f>
        <v>60</v>
      </c>
      <c r="AG708" s="94">
        <f>Table3.110[[#This Row],[GP 8h, ml]]-(AVERAGE(AE$479,AE$480,AE$660,AE$661,AE$662,AE$663))*AG$8</f>
        <v>39.107474101643646</v>
      </c>
      <c r="AH708" s="94">
        <f>Table3.110[[#This Row],[GP 8-24h, ml]]-(AVERAGE(AF$479,AF$480,AF$660,AF$661,AF$662,AF$663))*AG$8</f>
        <v>55.685592064046816</v>
      </c>
      <c r="AI708" s="94">
        <f>Table3.110[[#This Row],[Net gas 8-24h, ml]]+Table3.110[[#This Row],[Net gas 8h, ml]]</f>
        <v>94.793066165690462</v>
      </c>
      <c r="AJ708" s="94">
        <f>Table3.110[[#This Row],[Net gas 8h, ml]]*Table3.110[[#This Row],[CH4 8h %]]%</f>
        <v>5.435938900128467</v>
      </c>
      <c r="AK708" s="94">
        <f>Table3.110[[#This Row],[Net gas 8-24h, ml]]*Table3.110[[#This Row],[CH4 24h, %]]%</f>
        <v>8.4642099937351158</v>
      </c>
      <c r="AL708" s="94">
        <f>Table3.110[[#This Row],[CH4 8-24h, ml]]+Table3.110[[#This Row],[CH4 8h, ml]]</f>
        <v>13.900148893863584</v>
      </c>
      <c r="AM708" s="94">
        <f>(Table3.110[[#This Row],[Net gas 24h, ml]]/Table3.110[[#This Row],[DM Incubated, mg]])*1000</f>
        <v>197.52753726071927</v>
      </c>
      <c r="AN708" s="94">
        <f>'3.2 Digest'!X708</f>
        <v>35.173721742053566</v>
      </c>
      <c r="AO708" s="94">
        <f>Table3.110[[#This Row],[Digested feed, mg]]/Table3.110[[#This Row],[Net gas 24h, ml]]</f>
        <v>1.7806996548348237</v>
      </c>
      <c r="AP708" s="94">
        <f>Table3.110[[#This Row],[CH4 8h, ml]]/Table3.110[[#This Row],[Net gas 8h, ml]]%</f>
        <v>13.9</v>
      </c>
      <c r="AQ708" s="94">
        <f>Table3.110[[#This Row],[CH4 24h, ml]]/Table3.110[[#This Row],[Net gas 24h, ml]]%</f>
        <v>14.663676844851995</v>
      </c>
      <c r="AR708" s="94">
        <f>Table3.110[[#This Row],[CH4 24h, ml]]/Table3.110[[#This Row],[DM Incubated, mg]]*1000</f>
        <v>28.964799743506493</v>
      </c>
      <c r="AS708" s="94">
        <f>Table3.110[[#This Row],[CH4 24h, ml]]/Table3.110[[#This Row],[Digested feed, mg]]*1000</f>
        <v>82.347838980247261</v>
      </c>
      <c r="AT708" s="94">
        <f>Table3.110[[#This Row],[CH4 24h, ml]]/'3.2 Digest'!AA708</f>
        <v>3.6019481091277026</v>
      </c>
      <c r="AU708" s="94">
        <f>((Table3.110[[#This Row],[CH4 24h, ml]]/28.9)*16.04)/Table3.110[[#This Row],[DM Incubated, mg]]*1000</f>
        <v>16.075964978748935</v>
      </c>
      <c r="AV708" s="94">
        <f>((Table3.110[[#This Row],[CH4 24h, ml]]/28.9)*16.04)/Table3.110[[#This Row],[Digested feed, mg]]*1000</f>
        <v>45.704475337133779</v>
      </c>
      <c r="AW708" s="303"/>
    </row>
    <row r="709" spans="1:50" s="304" customFormat="1" x14ac:dyDescent="0.35">
      <c r="A709" s="89"/>
      <c r="B709" s="90">
        <f t="shared" si="10"/>
        <v>699</v>
      </c>
      <c r="C709" s="140">
        <v>46076</v>
      </c>
      <c r="D709" s="92"/>
      <c r="E709" s="6" t="s">
        <v>197</v>
      </c>
      <c r="F709" s="242" t="s">
        <v>105</v>
      </c>
      <c r="G709" s="242" t="s">
        <v>188</v>
      </c>
      <c r="H709" s="6" t="str">
        <f>'[2]1. Information samples'!$K$37</f>
        <v>Urochloa humidicola</v>
      </c>
      <c r="I709" s="133" t="s">
        <v>108</v>
      </c>
      <c r="J709" s="135" t="s">
        <v>109</v>
      </c>
      <c r="K709" s="135" t="s">
        <v>110</v>
      </c>
      <c r="L709" s="6" t="s">
        <v>196</v>
      </c>
      <c r="M709" s="256">
        <v>28</v>
      </c>
      <c r="N709" s="256">
        <v>69</v>
      </c>
      <c r="O709" s="256">
        <v>3</v>
      </c>
      <c r="P709" s="257">
        <v>2</v>
      </c>
      <c r="Q709" s="96">
        <v>118</v>
      </c>
      <c r="R709" s="98">
        <v>0.50009999999999999</v>
      </c>
      <c r="S709" s="94">
        <f>((Table3.110[[#This Row],[Sample weight, g]]*'2.1. DM'!Q119)/100)*1000</f>
        <v>479.89798020197964</v>
      </c>
      <c r="T709" s="94">
        <f>'3.2 Digest'!W709</f>
        <v>44.097980201979567</v>
      </c>
      <c r="U709" s="153">
        <v>0.3527777777777778</v>
      </c>
      <c r="V709" s="155">
        <v>40.5</v>
      </c>
      <c r="W709" s="153">
        <v>0.70833333333333337</v>
      </c>
      <c r="X709" s="95">
        <v>81</v>
      </c>
      <c r="Y709" s="95">
        <v>13.5</v>
      </c>
      <c r="Z709" s="154">
        <v>40</v>
      </c>
      <c r="AA709" s="153">
        <v>0.38611111111111113</v>
      </c>
      <c r="AB709" s="154">
        <v>100.5</v>
      </c>
      <c r="AC709" s="154">
        <v>15</v>
      </c>
      <c r="AD709" s="91"/>
      <c r="AE709" s="94">
        <f>Table3.110[[#This Row],[Gas 8h, ml]]-Table3.110[[#This Row],[Gas 0h, ml]]</f>
        <v>40.5</v>
      </c>
      <c r="AF709" s="94">
        <f>Table3.110[[#This Row],[Gas 24h, ml]]-Table3.110[[#This Row],[V8 Push back, ml]]</f>
        <v>60.5</v>
      </c>
      <c r="AG709" s="94"/>
      <c r="AH709" s="94"/>
      <c r="AI709" s="94"/>
      <c r="AJ709" s="94"/>
      <c r="AK709" s="94"/>
      <c r="AL709" s="94"/>
      <c r="AM709" s="94"/>
      <c r="AN709" s="94"/>
      <c r="AO709" s="94"/>
      <c r="AP709" s="94"/>
      <c r="AQ709" s="94"/>
      <c r="AR709" s="94"/>
      <c r="AS709" s="94"/>
      <c r="AT709" s="94"/>
      <c r="AU709" s="94"/>
      <c r="AV709" s="94"/>
      <c r="AW709" s="303" t="s">
        <v>653</v>
      </c>
    </row>
    <row r="710" spans="1:50" s="304" customFormat="1" x14ac:dyDescent="0.35">
      <c r="A710" s="89"/>
      <c r="B710" s="90">
        <f t="shared" si="10"/>
        <v>700</v>
      </c>
      <c r="C710" s="140">
        <v>46076</v>
      </c>
      <c r="D710" s="92"/>
      <c r="E710" s="6" t="s">
        <v>199</v>
      </c>
      <c r="F710" s="242" t="s">
        <v>105</v>
      </c>
      <c r="G710" s="242" t="s">
        <v>188</v>
      </c>
      <c r="H710" s="6" t="str">
        <f>'[2]1. Information samples'!$K$38</f>
        <v>Urochloa humidicola</v>
      </c>
      <c r="I710" s="133" t="s">
        <v>108</v>
      </c>
      <c r="J710" s="135" t="s">
        <v>109</v>
      </c>
      <c r="K710" s="135" t="s">
        <v>110</v>
      </c>
      <c r="L710" s="6" t="s">
        <v>198</v>
      </c>
      <c r="M710" s="256">
        <v>28</v>
      </c>
      <c r="N710" s="256">
        <v>69</v>
      </c>
      <c r="O710" s="256">
        <v>3</v>
      </c>
      <c r="P710" s="257">
        <v>1</v>
      </c>
      <c r="Q710" s="96">
        <v>119</v>
      </c>
      <c r="R710" s="98">
        <v>0.5</v>
      </c>
      <c r="S710" s="94">
        <f>((Table3.110[[#This Row],[Sample weight, g]]*'2.1. DM'!Q121)/100)*1000</f>
        <v>486.35136486351382</v>
      </c>
      <c r="T710" s="94">
        <f>'3.2 Digest'!W710</f>
        <v>180.45136486351379</v>
      </c>
      <c r="U710" s="153">
        <v>0.3527777777777778</v>
      </c>
      <c r="V710" s="155">
        <v>40</v>
      </c>
      <c r="W710" s="153">
        <v>0.70902777777777781</v>
      </c>
      <c r="X710" s="95">
        <v>76.5</v>
      </c>
      <c r="Y710" s="95">
        <v>14.1</v>
      </c>
      <c r="Z710" s="154">
        <v>39.5</v>
      </c>
      <c r="AA710" s="153">
        <v>0.38680555555555557</v>
      </c>
      <c r="AB710" s="154">
        <v>84</v>
      </c>
      <c r="AC710" s="154">
        <v>15</v>
      </c>
      <c r="AD710" s="91"/>
      <c r="AE710" s="94">
        <f>Table3.110[[#This Row],[Gas 8h, ml]]-Table3.110[[#This Row],[Gas 0h, ml]]</f>
        <v>36.5</v>
      </c>
      <c r="AF710" s="94">
        <f>Table3.110[[#This Row],[Gas 24h, ml]]-Table3.110[[#This Row],[V8 Push back, ml]]</f>
        <v>44.5</v>
      </c>
      <c r="AG710" s="94">
        <f>Table3.110[[#This Row],[GP 8h, ml]]-(AVERAGE(AE$479,AE$480,AE$660,AE$661,AE$662,AE$663))*AG$8</f>
        <v>33.107474101643646</v>
      </c>
      <c r="AH710" s="94">
        <f>Table3.110[[#This Row],[GP 8-24h, ml]]-(AVERAGE(AF$479,AF$480,AF$660,AF$661,AF$662,AF$663))*AG$8</f>
        <v>40.185592064046816</v>
      </c>
      <c r="AI710" s="94">
        <f>Table3.110[[#This Row],[Net gas 8-24h, ml]]+Table3.110[[#This Row],[Net gas 8h, ml]]</f>
        <v>73.293066165690462</v>
      </c>
      <c r="AJ710" s="94">
        <f>Table3.110[[#This Row],[Net gas 8h, ml]]*Table3.110[[#This Row],[CH4 8h %]]%</f>
        <v>4.6681538483317535</v>
      </c>
      <c r="AK710" s="94">
        <f>Table3.110[[#This Row],[Net gas 8-24h, ml]]*Table3.110[[#This Row],[CH4 24h, %]]%</f>
        <v>6.0278388096070223</v>
      </c>
      <c r="AL710" s="94">
        <f>Table3.110[[#This Row],[CH4 8-24h, ml]]+Table3.110[[#This Row],[CH4 8h, ml]]</f>
        <v>10.695992657938776</v>
      </c>
      <c r="AM710" s="94">
        <f>(Table3.110[[#This Row],[Net gas 24h, ml]]/Table3.110[[#This Row],[DM Incubated, mg]])*1000</f>
        <v>150.69982621773644</v>
      </c>
      <c r="AN710" s="94">
        <f>'3.2 Digest'!X710</f>
        <v>37.103085937500012</v>
      </c>
      <c r="AO710" s="94">
        <f>Table3.110[[#This Row],[Digested feed, mg]]/Table3.110[[#This Row],[Net gas 24h, ml]]</f>
        <v>2.4620523373326364</v>
      </c>
      <c r="AP710" s="94">
        <f>Table3.110[[#This Row],[CH4 8h, ml]]/Table3.110[[#This Row],[Net gas 8h, ml]]%</f>
        <v>14.099999999999998</v>
      </c>
      <c r="AQ710" s="94">
        <f>Table3.110[[#This Row],[CH4 24h, ml]]/Table3.110[[#This Row],[Net gas 24h, ml]]%</f>
        <v>14.593457768240736</v>
      </c>
      <c r="AR710" s="94">
        <f>Table3.110[[#This Row],[CH4 24h, ml]]/Table3.110[[#This Row],[DM Incubated, mg]]*1000</f>
        <v>21.992315495897543</v>
      </c>
      <c r="AS710" s="94">
        <f>Table3.110[[#This Row],[CH4 24h, ml]]/Table3.110[[#This Row],[Digested feed, mg]]*1000</f>
        <v>59.273548116573117</v>
      </c>
      <c r="AT710" s="94">
        <f>Table3.110[[#This Row],[CH4 24h, ml]]/'3.2 Digest'!AA710</f>
        <v>1.1428169701824471</v>
      </c>
      <c r="AU710" s="94">
        <f>((Table3.110[[#This Row],[CH4 24h, ml]]/28.9)*16.04)/Table3.110[[#This Row],[DM Incubated, mg]]*1000</f>
        <v>12.20611559011061</v>
      </c>
      <c r="AV710" s="94">
        <f>((Table3.110[[#This Row],[CH4 24h, ml]]/28.9)*16.04)/Table3.110[[#This Row],[Digested feed, mg]]*1000</f>
        <v>32.897844698610129</v>
      </c>
      <c r="AW710" s="303"/>
    </row>
    <row r="711" spans="1:50" s="304" customFormat="1" x14ac:dyDescent="0.35">
      <c r="A711" s="89"/>
      <c r="B711" s="90">
        <f t="shared" si="10"/>
        <v>701</v>
      </c>
      <c r="C711" s="140">
        <v>46076</v>
      </c>
      <c r="D711" s="92"/>
      <c r="E711" s="6" t="s">
        <v>199</v>
      </c>
      <c r="F711" s="242" t="s">
        <v>105</v>
      </c>
      <c r="G711" s="242" t="s">
        <v>188</v>
      </c>
      <c r="H711" s="6" t="str">
        <f>'[2]1. Information samples'!$K$38</f>
        <v>Urochloa humidicola</v>
      </c>
      <c r="I711" s="133" t="s">
        <v>108</v>
      </c>
      <c r="J711" s="135" t="s">
        <v>109</v>
      </c>
      <c r="K711" s="135" t="s">
        <v>110</v>
      </c>
      <c r="L711" s="6" t="s">
        <v>198</v>
      </c>
      <c r="M711" s="256">
        <v>28</v>
      </c>
      <c r="N711" s="256">
        <v>69</v>
      </c>
      <c r="O711" s="256">
        <v>3</v>
      </c>
      <c r="P711" s="257">
        <v>2</v>
      </c>
      <c r="Q711" s="96">
        <v>120</v>
      </c>
      <c r="R711" s="98">
        <v>0.50029999999999997</v>
      </c>
      <c r="S711" s="94">
        <f>((Table3.110[[#This Row],[Sample weight, g]]*'2.1. DM'!Q121)/100)*1000</f>
        <v>486.64317568243195</v>
      </c>
      <c r="T711" s="94">
        <f>'3.2 Digest'!W711</f>
        <v>142.34317568243199</v>
      </c>
      <c r="U711" s="117">
        <v>0.3527777777777778</v>
      </c>
      <c r="V711" s="155">
        <v>41</v>
      </c>
      <c r="W711" s="117">
        <v>0.70902777777777781</v>
      </c>
      <c r="X711" s="97">
        <v>78.5</v>
      </c>
      <c r="Y711" s="97">
        <v>13.9</v>
      </c>
      <c r="Z711" s="155">
        <v>40.5</v>
      </c>
      <c r="AA711" s="117">
        <v>0.38750000000000001</v>
      </c>
      <c r="AB711" s="155">
        <v>93.5</v>
      </c>
      <c r="AC711" s="155">
        <v>15.2</v>
      </c>
      <c r="AD711" s="96"/>
      <c r="AE711" s="94">
        <f>Table3.110[[#This Row],[Gas 8h, ml]]-Table3.110[[#This Row],[Gas 0h, ml]]</f>
        <v>37.5</v>
      </c>
      <c r="AF711" s="94">
        <f>Table3.110[[#This Row],[Gas 24h, ml]]-Table3.110[[#This Row],[V8 Push back, ml]]</f>
        <v>53</v>
      </c>
      <c r="AG711" s="94">
        <f>Table3.110[[#This Row],[GP 8h, ml]]-(AVERAGE(AE$479,AE$480,AE$660,AE$661,AE$662,AE$663))*AG$8</f>
        <v>34.107474101643646</v>
      </c>
      <c r="AH711" s="94">
        <f>Table3.110[[#This Row],[GP 8-24h, ml]]-(AVERAGE(AF$479,AF$480,AF$660,AF$661,AF$662,AF$663))*AG$8</f>
        <v>48.685592064046816</v>
      </c>
      <c r="AI711" s="94">
        <f>Table3.110[[#This Row],[Net gas 8-24h, ml]]+Table3.110[[#This Row],[Net gas 8h, ml]]</f>
        <v>82.793066165690462</v>
      </c>
      <c r="AJ711" s="94">
        <f>Table3.110[[#This Row],[Net gas 8h, ml]]*Table3.110[[#This Row],[CH4 8h %]]%</f>
        <v>4.7409389001284676</v>
      </c>
      <c r="AK711" s="94">
        <f>Table3.110[[#This Row],[Net gas 8-24h, ml]]*Table3.110[[#This Row],[CH4 24h, %]]%</f>
        <v>7.4002099937351158</v>
      </c>
      <c r="AL711" s="94">
        <f>Table3.110[[#This Row],[CH4 8-24h, ml]]+Table3.110[[#This Row],[CH4 8h, ml]]</f>
        <v>12.141148893863583</v>
      </c>
      <c r="AM711" s="94">
        <f>(Table3.110[[#This Row],[Net gas 24h, ml]]/Table3.110[[#This Row],[DM Incubated, mg]])*1000</f>
        <v>170.13095077227305</v>
      </c>
      <c r="AN711" s="94">
        <f>'3.2 Digest'!X711</f>
        <v>29.250009615940996</v>
      </c>
      <c r="AO711" s="94">
        <f>Table3.110[[#This Row],[Digested feed, mg]]/Table3.110[[#This Row],[Net gas 24h, ml]]</f>
        <v>1.7192644538319946</v>
      </c>
      <c r="AP711" s="94">
        <f>Table3.110[[#This Row],[CH4 8h, ml]]/Table3.110[[#This Row],[Net gas 8h, ml]]%</f>
        <v>13.900000000000002</v>
      </c>
      <c r="AQ711" s="94">
        <f>Table3.110[[#This Row],[CH4 24h, ml]]/Table3.110[[#This Row],[Net gas 24h, ml]]%</f>
        <v>14.664451331668266</v>
      </c>
      <c r="AR711" s="94">
        <f>Table3.110[[#This Row],[CH4 24h, ml]]/Table3.110[[#This Row],[DM Incubated, mg]]*1000</f>
        <v>24.948770476104482</v>
      </c>
      <c r="AS711" s="94">
        <f>Table3.110[[#This Row],[CH4 24h, ml]]/Table3.110[[#This Row],[Digested feed, mg]]*1000</f>
        <v>85.294913757934694</v>
      </c>
      <c r="AT711" s="94">
        <f>Table3.110[[#This Row],[CH4 24h, ml]]/'3.2 Digest'!AA711</f>
        <v>-6.2016223153335837</v>
      </c>
      <c r="AU711" s="94">
        <f>((Table3.110[[#This Row],[CH4 24h, ml]]/28.9)*16.04)/Table3.110[[#This Row],[DM Incubated, mg]]*1000</f>
        <v>13.846999253865599</v>
      </c>
      <c r="AV711" s="94">
        <f>((Table3.110[[#This Row],[CH4 24h, ml]]/28.9)*16.04)/Table3.110[[#This Row],[Digested feed, mg]]*1000</f>
        <v>47.340152826203202</v>
      </c>
      <c r="AW711" s="303"/>
    </row>
    <row r="712" spans="1:50" s="304" customFormat="1" x14ac:dyDescent="0.35">
      <c r="A712" s="89"/>
      <c r="B712" s="90">
        <f t="shared" si="10"/>
        <v>702</v>
      </c>
      <c r="C712" s="140">
        <v>46076</v>
      </c>
      <c r="D712" s="92"/>
      <c r="E712" s="6" t="s">
        <v>201</v>
      </c>
      <c r="F712" s="242" t="s">
        <v>105</v>
      </c>
      <c r="G712" s="242" t="s">
        <v>188</v>
      </c>
      <c r="H712" s="6" t="str">
        <f>'[2]1. Information samples'!$K$39</f>
        <v>Urochloa humidicola</v>
      </c>
      <c r="I712" s="133" t="s">
        <v>108</v>
      </c>
      <c r="J712" s="135" t="s">
        <v>109</v>
      </c>
      <c r="K712" s="135" t="s">
        <v>110</v>
      </c>
      <c r="L712" s="6" t="s">
        <v>200</v>
      </c>
      <c r="M712" s="256">
        <v>28</v>
      </c>
      <c r="N712" s="256">
        <v>69</v>
      </c>
      <c r="O712" s="256">
        <v>3</v>
      </c>
      <c r="P712" s="257">
        <v>1</v>
      </c>
      <c r="Q712" s="96">
        <v>121</v>
      </c>
      <c r="R712" s="98">
        <v>0.50039999999999996</v>
      </c>
      <c r="S712" s="94">
        <f>((Table3.110[[#This Row],[Sample weight, g]]*'2.1. DM'!Q123)/100)*1000</f>
        <v>485.88839999999976</v>
      </c>
      <c r="T712" s="94">
        <f>'3.2 Digest'!W712</f>
        <v>209.08839999999981</v>
      </c>
      <c r="U712" s="117">
        <v>0.3527777777777778</v>
      </c>
      <c r="V712" s="155">
        <v>40.5</v>
      </c>
      <c r="W712" s="117">
        <v>0.70972222222222225</v>
      </c>
      <c r="X712" s="97">
        <v>77.5</v>
      </c>
      <c r="Y712" s="97">
        <v>13.9</v>
      </c>
      <c r="Z712" s="155">
        <v>40</v>
      </c>
      <c r="AA712" s="117">
        <v>0.38750000000000001</v>
      </c>
      <c r="AB712" s="155">
        <v>95</v>
      </c>
      <c r="AC712" s="155">
        <v>14.8</v>
      </c>
      <c r="AD712" s="96"/>
      <c r="AE712" s="94">
        <f>Table3.110[[#This Row],[Gas 8h, ml]]-Table3.110[[#This Row],[Gas 0h, ml]]</f>
        <v>37</v>
      </c>
      <c r="AF712" s="94">
        <f>Table3.110[[#This Row],[Gas 24h, ml]]-Table3.110[[#This Row],[V8 Push back, ml]]</f>
        <v>55</v>
      </c>
      <c r="AG712" s="94">
        <f>Table3.110[[#This Row],[GP 8h, ml]]-(AVERAGE(AE$479,AE$480,AE$660,AE$661,AE$662,AE$663))*AG$8</f>
        <v>33.607474101643646</v>
      </c>
      <c r="AH712" s="94">
        <f>Table3.110[[#This Row],[GP 8-24h, ml]]-(AVERAGE(AF$479,AF$480,AF$660,AF$661,AF$662,AF$663))*AG$8</f>
        <v>50.685592064046816</v>
      </c>
      <c r="AI712" s="94">
        <f>Table3.110[[#This Row],[Net gas 8-24h, ml]]+Table3.110[[#This Row],[Net gas 8h, ml]]</f>
        <v>84.293066165690462</v>
      </c>
      <c r="AJ712" s="94">
        <f>Table3.110[[#This Row],[Net gas 8h, ml]]*Table3.110[[#This Row],[CH4 8h %]]%</f>
        <v>4.6714389001284671</v>
      </c>
      <c r="AK712" s="94">
        <f>Table3.110[[#This Row],[Net gas 8-24h, ml]]*Table3.110[[#This Row],[CH4 24h, %]]%</f>
        <v>7.5014676254789299</v>
      </c>
      <c r="AL712" s="94">
        <f>Table3.110[[#This Row],[CH4 8-24h, ml]]+Table3.110[[#This Row],[CH4 8h, ml]]</f>
        <v>12.172906525607397</v>
      </c>
      <c r="AM712" s="94">
        <f>(Table3.110[[#This Row],[Net gas 24h, ml]]/Table3.110[[#This Row],[DM Incubated, mg]])*1000</f>
        <v>173.48235966466888</v>
      </c>
      <c r="AN712" s="94">
        <f>'3.2 Digest'!X712</f>
        <v>43.032185991680379</v>
      </c>
      <c r="AO712" s="94">
        <f>Table3.110[[#This Row],[Digested feed, mg]]/Table3.110[[#This Row],[Net gas 24h, ml]]</f>
        <v>2.4804934677427166</v>
      </c>
      <c r="AP712" s="94">
        <f>Table3.110[[#This Row],[CH4 8h, ml]]/Table3.110[[#This Row],[Net gas 8h, ml]]%</f>
        <v>13.9</v>
      </c>
      <c r="AQ712" s="94">
        <f>Table3.110[[#This Row],[CH4 24h, ml]]/Table3.110[[#This Row],[Net gas 24h, ml]]%</f>
        <v>14.441171829815458</v>
      </c>
      <c r="AR712" s="94">
        <f>Table3.110[[#This Row],[CH4 24h, ml]]/Table3.110[[#This Row],[DM Incubated, mg]]*1000</f>
        <v>25.0528856535933</v>
      </c>
      <c r="AS712" s="94">
        <f>Table3.110[[#This Row],[CH4 24h, ml]]/Table3.110[[#This Row],[Digested feed, mg]]*1000</f>
        <v>58.218947228097818</v>
      </c>
      <c r="AT712" s="94">
        <f>Table3.110[[#This Row],[CH4 24h, ml]]/'3.2 Digest'!AA712</f>
        <v>1.0888292393872745</v>
      </c>
      <c r="AU712" s="94">
        <f>((Table3.110[[#This Row],[CH4 24h, ml]]/28.9)*16.04)/Table3.110[[#This Row],[DM Incubated, mg]]*1000</f>
        <v>13.904784978672543</v>
      </c>
      <c r="AV712" s="94">
        <f>((Table3.110[[#This Row],[CH4 24h, ml]]/28.9)*16.04)/Table3.110[[#This Row],[Digested feed, mg]]*1000</f>
        <v>32.312522959816228</v>
      </c>
      <c r="AW712" s="303"/>
    </row>
    <row r="713" spans="1:50" s="304" customFormat="1" x14ac:dyDescent="0.35">
      <c r="A713" s="89"/>
      <c r="B713" s="90">
        <f t="shared" si="10"/>
        <v>703</v>
      </c>
      <c r="C713" s="140">
        <v>46076</v>
      </c>
      <c r="D713" s="92"/>
      <c r="E713" s="6" t="s">
        <v>201</v>
      </c>
      <c r="F713" s="242" t="s">
        <v>105</v>
      </c>
      <c r="G713" s="242" t="s">
        <v>188</v>
      </c>
      <c r="H713" s="6" t="str">
        <f>'[2]1. Information samples'!$K$39</f>
        <v>Urochloa humidicola</v>
      </c>
      <c r="I713" s="133" t="s">
        <v>108</v>
      </c>
      <c r="J713" s="135" t="s">
        <v>109</v>
      </c>
      <c r="K713" s="135" t="s">
        <v>110</v>
      </c>
      <c r="L713" s="6" t="s">
        <v>200</v>
      </c>
      <c r="M713" s="256">
        <v>28</v>
      </c>
      <c r="N713" s="256">
        <v>69</v>
      </c>
      <c r="O713" s="256">
        <v>3</v>
      </c>
      <c r="P713" s="257">
        <v>2</v>
      </c>
      <c r="Q713" s="96">
        <v>122</v>
      </c>
      <c r="R713" s="98">
        <v>0.50009999999999999</v>
      </c>
      <c r="S713" s="94">
        <f>((Table3.110[[#This Row],[Sample weight, g]]*'2.1. DM'!Q123)/100)*1000</f>
        <v>485.59709999999984</v>
      </c>
      <c r="T713" s="94">
        <f>'3.2 Digest'!W713</f>
        <v>88.29709999999983</v>
      </c>
      <c r="U713" s="153">
        <v>0.35347222222222224</v>
      </c>
      <c r="V713" s="155">
        <v>40.5</v>
      </c>
      <c r="W713" s="153">
        <v>0.7104166666666667</v>
      </c>
      <c r="X713" s="95">
        <v>80.5</v>
      </c>
      <c r="Y713" s="95">
        <v>13.8</v>
      </c>
      <c r="Z713" s="154">
        <v>40</v>
      </c>
      <c r="AA713" s="153">
        <v>0.38819444444444445</v>
      </c>
      <c r="AB713" s="154">
        <v>95.5</v>
      </c>
      <c r="AC713" s="154">
        <v>14.8</v>
      </c>
      <c r="AD713" s="91" t="s">
        <v>559</v>
      </c>
      <c r="AE713" s="94">
        <f>Table3.110[[#This Row],[Gas 8h, ml]]-Table3.110[[#This Row],[Gas 0h, ml]]</f>
        <v>40</v>
      </c>
      <c r="AF713" s="94">
        <f>Table3.110[[#This Row],[Gas 24h, ml]]-Table3.110[[#This Row],[V8 Push back, ml]]</f>
        <v>55.5</v>
      </c>
      <c r="AG713" s="94"/>
      <c r="AH713" s="94"/>
      <c r="AI713" s="94"/>
      <c r="AJ713" s="94"/>
      <c r="AK713" s="94"/>
      <c r="AL713" s="94"/>
      <c r="AM713" s="94"/>
      <c r="AN713" s="94"/>
      <c r="AO713" s="94"/>
      <c r="AP713" s="94"/>
      <c r="AQ713" s="94"/>
      <c r="AR713" s="94"/>
      <c r="AS713" s="94"/>
      <c r="AT713" s="94"/>
      <c r="AU713" s="94"/>
      <c r="AV713" s="94"/>
      <c r="AW713" s="303" t="s">
        <v>654</v>
      </c>
    </row>
    <row r="714" spans="1:50" s="304" customFormat="1" x14ac:dyDescent="0.35">
      <c r="A714" s="89"/>
      <c r="B714" s="90">
        <f t="shared" si="10"/>
        <v>704</v>
      </c>
      <c r="C714" s="140">
        <v>46076</v>
      </c>
      <c r="D714" s="92"/>
      <c r="E714" s="6" t="s">
        <v>203</v>
      </c>
      <c r="F714" s="242" t="s">
        <v>105</v>
      </c>
      <c r="G714" s="242" t="s">
        <v>188</v>
      </c>
      <c r="H714" s="6" t="str">
        <f>'[2]1. Information samples'!$K$40</f>
        <v>Urochloa humidicola</v>
      </c>
      <c r="I714" s="133" t="s">
        <v>108</v>
      </c>
      <c r="J714" s="135" t="s">
        <v>109</v>
      </c>
      <c r="K714" s="135" t="s">
        <v>110</v>
      </c>
      <c r="L714" s="6" t="s">
        <v>202</v>
      </c>
      <c r="M714" s="256">
        <v>28</v>
      </c>
      <c r="N714" s="256">
        <v>69</v>
      </c>
      <c r="O714" s="256">
        <v>3</v>
      </c>
      <c r="P714" s="257">
        <v>1</v>
      </c>
      <c r="Q714" s="96">
        <v>123</v>
      </c>
      <c r="R714" s="98">
        <v>0.50009999999999999</v>
      </c>
      <c r="S714" s="94">
        <f>((Table3.110[[#This Row],[Sample weight, g]]*'2.1. DM'!Q125)/100)*1000</f>
        <v>482.5982501749823</v>
      </c>
      <c r="T714" s="94">
        <f>'3.2 Digest'!W714</f>
        <v>145.69825017498232</v>
      </c>
      <c r="U714" s="153">
        <v>0.35347222222222224</v>
      </c>
      <c r="V714" s="155">
        <v>40.5</v>
      </c>
      <c r="W714" s="153">
        <v>0.7104166666666667</v>
      </c>
      <c r="X714" s="95">
        <v>80.5</v>
      </c>
      <c r="Y714" s="95">
        <v>13.9</v>
      </c>
      <c r="Z714" s="154">
        <v>40</v>
      </c>
      <c r="AA714" s="153">
        <v>0.3888888888888889</v>
      </c>
      <c r="AB714" s="154">
        <v>97.5</v>
      </c>
      <c r="AC714" s="154">
        <v>14.7</v>
      </c>
      <c r="AD714" s="91"/>
      <c r="AE714" s="94">
        <f>Table3.110[[#This Row],[Gas 8h, ml]]-Table3.110[[#This Row],[Gas 0h, ml]]</f>
        <v>40</v>
      </c>
      <c r="AF714" s="94">
        <f>Table3.110[[#This Row],[Gas 24h, ml]]-Table3.110[[#This Row],[V8 Push back, ml]]</f>
        <v>57.5</v>
      </c>
      <c r="AG714" s="94"/>
      <c r="AH714" s="94"/>
      <c r="AI714" s="94"/>
      <c r="AJ714" s="94"/>
      <c r="AK714" s="94"/>
      <c r="AL714" s="94"/>
      <c r="AM714" s="94"/>
      <c r="AN714" s="94"/>
      <c r="AO714" s="94"/>
      <c r="AP714" s="94"/>
      <c r="AQ714" s="94"/>
      <c r="AR714" s="94"/>
      <c r="AS714" s="94"/>
      <c r="AT714" s="94"/>
      <c r="AU714" s="94"/>
      <c r="AV714" s="94"/>
      <c r="AW714" s="303" t="s">
        <v>649</v>
      </c>
    </row>
    <row r="715" spans="1:50" s="304" customFormat="1" x14ac:dyDescent="0.35">
      <c r="A715" s="89"/>
      <c r="B715" s="90">
        <f t="shared" si="10"/>
        <v>705</v>
      </c>
      <c r="C715" s="140">
        <v>46076</v>
      </c>
      <c r="D715" s="92"/>
      <c r="E715" s="6" t="s">
        <v>203</v>
      </c>
      <c r="F715" s="242" t="s">
        <v>105</v>
      </c>
      <c r="G715" s="242" t="s">
        <v>188</v>
      </c>
      <c r="H715" s="6" t="str">
        <f>'[2]1. Information samples'!$K$40</f>
        <v>Urochloa humidicola</v>
      </c>
      <c r="I715" s="133" t="s">
        <v>108</v>
      </c>
      <c r="J715" s="135" t="s">
        <v>109</v>
      </c>
      <c r="K715" s="135" t="s">
        <v>110</v>
      </c>
      <c r="L715" s="6" t="s">
        <v>202</v>
      </c>
      <c r="M715" s="256">
        <v>28</v>
      </c>
      <c r="N715" s="256">
        <v>69</v>
      </c>
      <c r="O715" s="256">
        <v>3</v>
      </c>
      <c r="P715" s="257">
        <v>2</v>
      </c>
      <c r="Q715" s="96">
        <v>124</v>
      </c>
      <c r="R715" s="98">
        <v>0.50009999999999999</v>
      </c>
      <c r="S715" s="94">
        <f>((Table3.110[[#This Row],[Sample weight, g]]*'2.1. DM'!Q125)/100)*1000</f>
        <v>482.5982501749823</v>
      </c>
      <c r="T715" s="94">
        <f>'3.2 Digest'!W715</f>
        <v>206.09825017498224</v>
      </c>
      <c r="U715" s="117">
        <v>0.35347222222222224</v>
      </c>
      <c r="V715" s="155">
        <v>40</v>
      </c>
      <c r="W715" s="117">
        <v>0.71111111111111114</v>
      </c>
      <c r="X715" s="97">
        <v>80.5</v>
      </c>
      <c r="Y715" s="97">
        <v>13.4</v>
      </c>
      <c r="Z715" s="155">
        <v>39.5</v>
      </c>
      <c r="AA715" s="117">
        <v>0.3888888888888889</v>
      </c>
      <c r="AB715" s="155">
        <v>95.5</v>
      </c>
      <c r="AC715" s="155">
        <v>14.6</v>
      </c>
      <c r="AD715" s="96"/>
      <c r="AE715" s="94">
        <f>Table3.110[[#This Row],[Gas 8h, ml]]-Table3.110[[#This Row],[Gas 0h, ml]]</f>
        <v>40.5</v>
      </c>
      <c r="AF715" s="94">
        <f>Table3.110[[#This Row],[Gas 24h, ml]]-Table3.110[[#This Row],[V8 Push back, ml]]</f>
        <v>56</v>
      </c>
      <c r="AG715" s="94"/>
      <c r="AH715" s="94"/>
      <c r="AI715" s="94"/>
      <c r="AJ715" s="94"/>
      <c r="AK715" s="94"/>
      <c r="AL715" s="94"/>
      <c r="AM715" s="94"/>
      <c r="AN715" s="94"/>
      <c r="AO715" s="94"/>
      <c r="AP715" s="94"/>
      <c r="AQ715" s="94"/>
      <c r="AR715" s="94"/>
      <c r="AS715" s="94"/>
      <c r="AT715" s="94"/>
      <c r="AU715" s="94"/>
      <c r="AV715" s="94"/>
      <c r="AW715" s="303" t="s">
        <v>649</v>
      </c>
    </row>
    <row r="716" spans="1:50" s="304" customFormat="1" x14ac:dyDescent="0.35">
      <c r="A716" s="89"/>
      <c r="B716" s="90">
        <f t="shared" ref="B716:B779" si="11">B715+1</f>
        <v>706</v>
      </c>
      <c r="C716" s="140">
        <v>46076</v>
      </c>
      <c r="D716" s="92"/>
      <c r="E716" s="6" t="s">
        <v>205</v>
      </c>
      <c r="F716" s="133" t="s">
        <v>105</v>
      </c>
      <c r="G716" s="133" t="s">
        <v>188</v>
      </c>
      <c r="H716" s="133" t="s">
        <v>189</v>
      </c>
      <c r="I716" s="133" t="s">
        <v>108</v>
      </c>
      <c r="J716" s="135" t="s">
        <v>109</v>
      </c>
      <c r="K716" s="135" t="s">
        <v>110</v>
      </c>
      <c r="L716" s="6" t="s">
        <v>204</v>
      </c>
      <c r="M716" s="256">
        <v>28</v>
      </c>
      <c r="N716" s="256">
        <v>69</v>
      </c>
      <c r="O716" s="256">
        <v>3</v>
      </c>
      <c r="P716" s="257">
        <v>1</v>
      </c>
      <c r="Q716" s="96">
        <v>125</v>
      </c>
      <c r="R716" s="98">
        <v>0.50029999999999997</v>
      </c>
      <c r="S716" s="94">
        <f>((Table3.110[[#This Row],[Sample weight, g]]*'2.1. DM'!Q127)/100)*1000</f>
        <v>484.62419758787797</v>
      </c>
      <c r="T716" s="94">
        <f>'3.2 Digest'!W716</f>
        <v>51.124197587878086</v>
      </c>
      <c r="U716" s="117">
        <v>0.35416666666666669</v>
      </c>
      <c r="V716" s="155">
        <v>40.5</v>
      </c>
      <c r="W716" s="117">
        <v>0.71111111111111114</v>
      </c>
      <c r="X716" s="97">
        <v>79.5</v>
      </c>
      <c r="Y716" s="97">
        <v>13.7</v>
      </c>
      <c r="Z716" s="155">
        <v>40</v>
      </c>
      <c r="AA716" s="117">
        <v>0.39027777777777778</v>
      </c>
      <c r="AB716" s="155">
        <v>97</v>
      </c>
      <c r="AC716" s="155">
        <v>15.1</v>
      </c>
      <c r="AD716" s="96"/>
      <c r="AE716" s="94"/>
      <c r="AF716" s="94"/>
      <c r="AG716" s="94"/>
      <c r="AH716" s="94"/>
      <c r="AI716" s="94"/>
      <c r="AJ716" s="94"/>
      <c r="AK716" s="94"/>
      <c r="AL716" s="94"/>
      <c r="AM716" s="94"/>
      <c r="AN716" s="94"/>
      <c r="AO716" s="94"/>
      <c r="AP716" s="94"/>
      <c r="AQ716" s="94"/>
      <c r="AR716" s="94"/>
      <c r="AS716" s="94"/>
      <c r="AT716" s="94"/>
      <c r="AU716" s="94"/>
      <c r="AV716" s="94"/>
      <c r="AW716" s="303" t="s">
        <v>629</v>
      </c>
    </row>
    <row r="717" spans="1:50" s="304" customFormat="1" x14ac:dyDescent="0.35">
      <c r="A717" s="89"/>
      <c r="B717" s="90">
        <f t="shared" si="11"/>
        <v>707</v>
      </c>
      <c r="C717" s="140">
        <v>46076</v>
      </c>
      <c r="D717" s="92"/>
      <c r="E717" s="6" t="s">
        <v>205</v>
      </c>
      <c r="F717" s="133" t="s">
        <v>105</v>
      </c>
      <c r="G717" s="133" t="s">
        <v>188</v>
      </c>
      <c r="H717" s="133" t="s">
        <v>189</v>
      </c>
      <c r="I717" s="133" t="s">
        <v>108</v>
      </c>
      <c r="J717" s="135" t="s">
        <v>109</v>
      </c>
      <c r="K717" s="135" t="s">
        <v>110</v>
      </c>
      <c r="L717" s="6" t="s">
        <v>204</v>
      </c>
      <c r="M717" s="256">
        <v>28</v>
      </c>
      <c r="N717" s="256">
        <v>69</v>
      </c>
      <c r="O717" s="256">
        <v>3</v>
      </c>
      <c r="P717" s="257">
        <v>2</v>
      </c>
      <c r="Q717" s="96">
        <v>126</v>
      </c>
      <c r="R717" s="98">
        <v>0.50009999999999999</v>
      </c>
      <c r="S717" s="94">
        <f>((Table3.110[[#This Row],[Sample weight, g]]*'2.1. DM'!Q127)/100)*1000</f>
        <v>484.4304641489062</v>
      </c>
      <c r="T717" s="94">
        <f>'3.2 Digest'!W717</f>
        <v>147.83046414890617</v>
      </c>
      <c r="U717" s="153">
        <v>0.35416666666666669</v>
      </c>
      <c r="V717" s="155">
        <v>40.5</v>
      </c>
      <c r="W717" s="153">
        <v>0.71180555555555558</v>
      </c>
      <c r="X717" s="95">
        <v>79</v>
      </c>
      <c r="Y717" s="95">
        <v>13.7</v>
      </c>
      <c r="Z717" s="154">
        <v>40</v>
      </c>
      <c r="AA717" s="153">
        <v>0.38958333333333334</v>
      </c>
      <c r="AB717" s="154">
        <v>98</v>
      </c>
      <c r="AC717" s="154">
        <v>14.8</v>
      </c>
      <c r="AD717" s="91"/>
      <c r="AE717" s="94"/>
      <c r="AF717" s="94"/>
      <c r="AG717" s="94"/>
      <c r="AH717" s="94"/>
      <c r="AI717" s="94"/>
      <c r="AJ717" s="94"/>
      <c r="AK717" s="94"/>
      <c r="AL717" s="94"/>
      <c r="AM717" s="94"/>
      <c r="AN717" s="94"/>
      <c r="AO717" s="94"/>
      <c r="AP717" s="94"/>
      <c r="AQ717" s="94"/>
      <c r="AR717" s="94"/>
      <c r="AS717" s="94"/>
      <c r="AT717" s="94"/>
      <c r="AU717" s="94"/>
      <c r="AV717" s="94"/>
      <c r="AW717" s="303" t="s">
        <v>629</v>
      </c>
    </row>
    <row r="718" spans="1:50" s="304" customFormat="1" x14ac:dyDescent="0.35">
      <c r="A718" s="89"/>
      <c r="B718" s="90">
        <f t="shared" si="11"/>
        <v>708</v>
      </c>
      <c r="C718" s="140">
        <v>46076</v>
      </c>
      <c r="D718" s="92"/>
      <c r="E718" s="6" t="s">
        <v>207</v>
      </c>
      <c r="F718" s="242" t="s">
        <v>105</v>
      </c>
      <c r="G718" s="242" t="s">
        <v>188</v>
      </c>
      <c r="H718" s="6" t="str">
        <f>'[2]1. Information samples'!$K$42</f>
        <v>Urochloa humidicola</v>
      </c>
      <c r="I718" s="133" t="s">
        <v>108</v>
      </c>
      <c r="J718" s="135" t="s">
        <v>109</v>
      </c>
      <c r="K718" s="135" t="s">
        <v>110</v>
      </c>
      <c r="L718" s="6" t="s">
        <v>206</v>
      </c>
      <c r="M718" s="256">
        <v>28</v>
      </c>
      <c r="N718" s="256">
        <v>69</v>
      </c>
      <c r="O718" s="256">
        <v>3</v>
      </c>
      <c r="P718" s="257">
        <v>1</v>
      </c>
      <c r="Q718" s="96">
        <v>127</v>
      </c>
      <c r="R718" s="98">
        <v>0.50019999999999998</v>
      </c>
      <c r="S718" s="94">
        <f>((Table3.110[[#This Row],[Sample weight, g]]*'2.1. DM'!Q129)/100)*1000</f>
        <v>488.47208767769672</v>
      </c>
      <c r="T718" s="94">
        <f>'3.2 Digest'!W718</f>
        <v>80.472087677696663</v>
      </c>
      <c r="U718" s="153">
        <v>0.35416666666666669</v>
      </c>
      <c r="V718" s="155">
        <v>40</v>
      </c>
      <c r="W718" s="153">
        <v>0.71180555555555558</v>
      </c>
      <c r="X718" s="95">
        <v>80</v>
      </c>
      <c r="Y718" s="95">
        <v>13.3</v>
      </c>
      <c r="Z718" s="154">
        <v>39.5</v>
      </c>
      <c r="AA718" s="153">
        <v>0.38958333333333334</v>
      </c>
      <c r="AB718" s="154">
        <v>91.5</v>
      </c>
      <c r="AC718" s="154">
        <v>14.9</v>
      </c>
      <c r="AD718" s="91"/>
      <c r="AE718" s="94">
        <f>Table3.110[[#This Row],[Gas 8h, ml]]-Table3.110[[#This Row],[Gas 0h, ml]]</f>
        <v>40</v>
      </c>
      <c r="AF718" s="94">
        <f>Table3.110[[#This Row],[Gas 24h, ml]]-Table3.110[[#This Row],[V8 Push back, ml]]</f>
        <v>52</v>
      </c>
      <c r="AG718" s="94"/>
      <c r="AH718" s="94"/>
      <c r="AI718" s="94"/>
      <c r="AJ718" s="94"/>
      <c r="AK718" s="94"/>
      <c r="AL718" s="94"/>
      <c r="AM718" s="94"/>
      <c r="AN718" s="94"/>
      <c r="AO718" s="94"/>
      <c r="AP718" s="94"/>
      <c r="AQ718" s="94"/>
      <c r="AR718" s="94"/>
      <c r="AS718" s="94"/>
      <c r="AT718" s="94"/>
      <c r="AU718" s="94"/>
      <c r="AV718" s="94"/>
      <c r="AW718" s="303" t="s">
        <v>629</v>
      </c>
    </row>
    <row r="719" spans="1:50" s="304" customFormat="1" x14ac:dyDescent="0.35">
      <c r="A719" s="89"/>
      <c r="B719" s="90">
        <f t="shared" si="11"/>
        <v>709</v>
      </c>
      <c r="C719" s="140">
        <v>46076</v>
      </c>
      <c r="D719" s="92"/>
      <c r="E719" s="6" t="s">
        <v>207</v>
      </c>
      <c r="F719" s="242" t="s">
        <v>105</v>
      </c>
      <c r="G719" s="242" t="s">
        <v>188</v>
      </c>
      <c r="H719" s="6" t="str">
        <f>'[2]1. Information samples'!$K$42</f>
        <v>Urochloa humidicola</v>
      </c>
      <c r="I719" s="133" t="s">
        <v>108</v>
      </c>
      <c r="J719" s="135" t="s">
        <v>109</v>
      </c>
      <c r="K719" s="135" t="s">
        <v>110</v>
      </c>
      <c r="L719" s="6" t="s">
        <v>206</v>
      </c>
      <c r="M719" s="256">
        <v>28</v>
      </c>
      <c r="N719" s="256">
        <v>69</v>
      </c>
      <c r="O719" s="256">
        <v>3</v>
      </c>
      <c r="P719" s="257">
        <v>2</v>
      </c>
      <c r="Q719" s="96">
        <v>128</v>
      </c>
      <c r="R719" s="98">
        <v>0.50019999999999998</v>
      </c>
      <c r="S719" s="94">
        <f>((Table3.110[[#This Row],[Sample weight, g]]*'2.1. DM'!Q129)/100)*1000</f>
        <v>488.47208767769672</v>
      </c>
      <c r="T719" s="94">
        <f>'3.2 Digest'!W719</f>
        <v>182.07208767769674</v>
      </c>
      <c r="U719" s="117">
        <v>0.35486111111111113</v>
      </c>
      <c r="V719" s="155">
        <v>41</v>
      </c>
      <c r="W719" s="117">
        <v>0.71250000000000002</v>
      </c>
      <c r="X719" s="97">
        <v>78.5</v>
      </c>
      <c r="Y719" s="97">
        <v>13.6</v>
      </c>
      <c r="Z719" s="155">
        <v>40</v>
      </c>
      <c r="AA719" s="117">
        <v>0.39027777777777778</v>
      </c>
      <c r="AB719" s="155">
        <v>93</v>
      </c>
      <c r="AC719" s="155">
        <v>14.9</v>
      </c>
      <c r="AD719" s="96"/>
      <c r="AE719" s="94">
        <f>Table3.110[[#This Row],[Gas 8h, ml]]-Table3.110[[#This Row],[Gas 0h, ml]]</f>
        <v>37.5</v>
      </c>
      <c r="AF719" s="94">
        <f>Table3.110[[#This Row],[Gas 24h, ml]]-Table3.110[[#This Row],[V8 Push back, ml]]</f>
        <v>53</v>
      </c>
      <c r="AG719" s="94"/>
      <c r="AH719" s="94"/>
      <c r="AI719" s="94"/>
      <c r="AJ719" s="94"/>
      <c r="AK719" s="94"/>
      <c r="AL719" s="94"/>
      <c r="AM719" s="94"/>
      <c r="AN719" s="94"/>
      <c r="AO719" s="94"/>
      <c r="AP719" s="94"/>
      <c r="AQ719" s="94"/>
      <c r="AR719" s="94"/>
      <c r="AS719" s="94"/>
      <c r="AT719" s="94"/>
      <c r="AU719" s="94"/>
      <c r="AV719" s="94"/>
      <c r="AW719" s="303" t="s">
        <v>629</v>
      </c>
    </row>
    <row r="720" spans="1:50" s="304" customFormat="1" x14ac:dyDescent="0.35">
      <c r="A720" s="89"/>
      <c r="B720" s="90">
        <f t="shared" si="11"/>
        <v>710</v>
      </c>
      <c r="C720" s="140">
        <v>46076</v>
      </c>
      <c r="D720" s="92"/>
      <c r="E720" s="6" t="s">
        <v>209</v>
      </c>
      <c r="F720" s="242" t="s">
        <v>105</v>
      </c>
      <c r="G720" s="242" t="s">
        <v>188</v>
      </c>
      <c r="H720" s="6" t="str">
        <f>'[2]1. Information samples'!$K$43</f>
        <v>Urochloa humidicola</v>
      </c>
      <c r="I720" s="133" t="s">
        <v>108</v>
      </c>
      <c r="J720" s="135" t="s">
        <v>109</v>
      </c>
      <c r="K720" s="135" t="s">
        <v>110</v>
      </c>
      <c r="L720" s="6" t="s">
        <v>208</v>
      </c>
      <c r="M720" s="256">
        <v>28</v>
      </c>
      <c r="N720" s="256">
        <v>69</v>
      </c>
      <c r="O720" s="256">
        <v>3</v>
      </c>
      <c r="P720" s="257">
        <v>1</v>
      </c>
      <c r="Q720" s="96">
        <v>129</v>
      </c>
      <c r="R720" s="98">
        <v>0.50029999999999997</v>
      </c>
      <c r="S720" s="94">
        <f>((Table3.110[[#This Row],[Sample weight, g]]*'2.1. DM'!Q131)/100)*1000</f>
        <v>482.92232330300902</v>
      </c>
      <c r="T720" s="94">
        <f>'3.2 Digest'!W720</f>
        <v>201.52232330300905</v>
      </c>
      <c r="U720" s="117">
        <v>0.35486111111111113</v>
      </c>
      <c r="V720" s="155">
        <v>41</v>
      </c>
      <c r="W720" s="117">
        <v>0.71319444444444446</v>
      </c>
      <c r="X720" s="97">
        <v>81.5</v>
      </c>
      <c r="Y720" s="97">
        <v>13.9</v>
      </c>
      <c r="Z720" s="155">
        <v>40</v>
      </c>
      <c r="AA720" s="117">
        <v>0.39097222222222222</v>
      </c>
      <c r="AB720" s="155">
        <v>95.5</v>
      </c>
      <c r="AC720" s="155">
        <v>15.2</v>
      </c>
      <c r="AD720" s="96"/>
      <c r="AE720" s="94"/>
      <c r="AF720" s="94"/>
      <c r="AG720" s="94"/>
      <c r="AH720" s="94"/>
      <c r="AI720" s="94"/>
      <c r="AJ720" s="94"/>
      <c r="AK720" s="94"/>
      <c r="AL720" s="94"/>
      <c r="AM720" s="94"/>
      <c r="AN720" s="94"/>
      <c r="AO720" s="94"/>
      <c r="AP720" s="94"/>
      <c r="AQ720" s="94"/>
      <c r="AR720" s="94"/>
      <c r="AS720" s="94"/>
      <c r="AT720" s="94"/>
      <c r="AU720" s="94"/>
      <c r="AV720" s="94"/>
      <c r="AW720" s="94"/>
      <c r="AX720" s="94"/>
    </row>
    <row r="721" spans="1:50" s="304" customFormat="1" x14ac:dyDescent="0.35">
      <c r="A721" s="89"/>
      <c r="B721" s="90">
        <f t="shared" si="11"/>
        <v>711</v>
      </c>
      <c r="C721" s="140">
        <v>46076</v>
      </c>
      <c r="D721" s="92"/>
      <c r="E721" s="6" t="s">
        <v>209</v>
      </c>
      <c r="F721" s="242" t="s">
        <v>105</v>
      </c>
      <c r="G721" s="242" t="s">
        <v>188</v>
      </c>
      <c r="H721" s="6" t="str">
        <f>'[2]1. Information samples'!$K$43</f>
        <v>Urochloa humidicola</v>
      </c>
      <c r="I721" s="133" t="s">
        <v>108</v>
      </c>
      <c r="J721" s="135" t="s">
        <v>109</v>
      </c>
      <c r="K721" s="135" t="s">
        <v>110</v>
      </c>
      <c r="L721" s="6" t="s">
        <v>208</v>
      </c>
      <c r="M721" s="256">
        <v>28</v>
      </c>
      <c r="N721" s="256">
        <v>69</v>
      </c>
      <c r="O721" s="256">
        <v>3</v>
      </c>
      <c r="P721" s="257">
        <v>2</v>
      </c>
      <c r="Q721" s="96">
        <v>130</v>
      </c>
      <c r="R721" s="98">
        <v>0.50009999999999999</v>
      </c>
      <c r="S721" s="94">
        <f>((Table3.110[[#This Row],[Sample weight, g]]*'2.1. DM'!Q131)/100)*1000</f>
        <v>482.72927020554636</v>
      </c>
      <c r="T721" s="94">
        <f>'3.2 Digest'!W721</f>
        <v>55.429270205546345</v>
      </c>
      <c r="U721" s="153">
        <v>0.35486111111111113</v>
      </c>
      <c r="V721" s="155">
        <v>40.5</v>
      </c>
      <c r="W721" s="153">
        <v>0.71319444444444446</v>
      </c>
      <c r="X721" s="95">
        <v>80</v>
      </c>
      <c r="Y721" s="95">
        <v>13.7</v>
      </c>
      <c r="Z721" s="154">
        <v>40</v>
      </c>
      <c r="AA721" s="153">
        <v>0.39097222222222222</v>
      </c>
      <c r="AB721" s="154">
        <v>95.5</v>
      </c>
      <c r="AC721" s="154">
        <v>15.1</v>
      </c>
      <c r="AD721" s="91"/>
      <c r="AE721" s="94">
        <v>39.5</v>
      </c>
      <c r="AF721" s="94">
        <v>55.5</v>
      </c>
      <c r="AG721" s="94">
        <v>36.107474101643646</v>
      </c>
      <c r="AH721" s="94">
        <v>51.185592064046816</v>
      </c>
      <c r="AI721" s="94">
        <v>87.293066165690462</v>
      </c>
      <c r="AJ721" s="94">
        <v>4.9467239519251791</v>
      </c>
      <c r="AK721" s="94">
        <v>7.7290244016710687</v>
      </c>
      <c r="AL721" s="94">
        <v>12.675748353596248</v>
      </c>
      <c r="AM721" s="94">
        <v>180.83234548532977</v>
      </c>
      <c r="AN721" s="94">
        <v>11.482475504736751</v>
      </c>
      <c r="AO721" s="94">
        <v>0.63497907268300524</v>
      </c>
      <c r="AP721" s="94">
        <v>13.7</v>
      </c>
      <c r="AQ721" s="94">
        <v>14.520910892895529</v>
      </c>
      <c r="AR721" s="94">
        <v>26.258503753457727</v>
      </c>
      <c r="AS721" s="94">
        <v>228.68329867218586</v>
      </c>
      <c r="AT721" s="94">
        <v>-0.39170966785314121</v>
      </c>
      <c r="AU721" s="94">
        <v>14.573923882541935</v>
      </c>
      <c r="AV721" s="94">
        <v>126.92318722151768</v>
      </c>
      <c r="AW721" s="94"/>
      <c r="AX721" s="94"/>
    </row>
    <row r="722" spans="1:50" s="304" customFormat="1" x14ac:dyDescent="0.35">
      <c r="A722" s="89"/>
      <c r="B722" s="90">
        <f t="shared" si="11"/>
        <v>712</v>
      </c>
      <c r="C722" s="140">
        <v>46076</v>
      </c>
      <c r="D722" s="92" t="s">
        <v>16</v>
      </c>
      <c r="E722" s="6" t="s">
        <v>211</v>
      </c>
      <c r="F722" s="242" t="s">
        <v>212</v>
      </c>
      <c r="G722" s="242" t="s">
        <v>213</v>
      </c>
      <c r="H722" s="6" t="str">
        <f>'[2]1. Information samples'!$K$44</f>
        <v>Desmodium scorpiurus</v>
      </c>
      <c r="I722" s="6" t="s">
        <v>22</v>
      </c>
      <c r="J722" s="129" t="s">
        <v>23</v>
      </c>
      <c r="K722" s="129" t="s">
        <v>24</v>
      </c>
      <c r="L722" s="6" t="s">
        <v>210</v>
      </c>
      <c r="M722" s="256">
        <v>28</v>
      </c>
      <c r="N722" s="256">
        <v>69</v>
      </c>
      <c r="O722" s="256">
        <v>3</v>
      </c>
      <c r="P722" s="257">
        <v>1</v>
      </c>
      <c r="Q722" s="96">
        <v>131</v>
      </c>
      <c r="R722" s="98">
        <v>0.50009999999999999</v>
      </c>
      <c r="S722" s="94">
        <f>((Table3.110[[#This Row],[Sample weight, g]]*'2.1. DM'!Q133)/100)*1000</f>
        <v>458.47500208341705</v>
      </c>
      <c r="T722" s="94">
        <f>'3.2 Digest'!W722</f>
        <v>148.57500208341696</v>
      </c>
      <c r="U722" s="153">
        <v>0.35555555555555557</v>
      </c>
      <c r="V722" s="155">
        <v>40.5</v>
      </c>
      <c r="W722" s="153">
        <v>0.71388888888888891</v>
      </c>
      <c r="X722" s="95">
        <v>76.5</v>
      </c>
      <c r="Y722" s="95">
        <v>13.9</v>
      </c>
      <c r="Z722" s="154">
        <v>39.5</v>
      </c>
      <c r="AA722" s="153">
        <v>0.39166666666666666</v>
      </c>
      <c r="AB722" s="154">
        <v>76</v>
      </c>
      <c r="AC722" s="154">
        <v>16.8</v>
      </c>
      <c r="AD722" s="91"/>
      <c r="AE722" s="94">
        <f>Table3.110[[#This Row],[Gas 8h, ml]]-Table3.110[[#This Row],[Gas 0h, ml]]</f>
        <v>36</v>
      </c>
      <c r="AF722" s="94">
        <f>Table3.110[[#This Row],[Gas 24h, ml]]-Table3.110[[#This Row],[V8 Push back, ml]]</f>
        <v>36.5</v>
      </c>
      <c r="AG722" s="94">
        <f>Table3.110[[#This Row],[GP 8h, ml]]-(AVERAGE(AE$479,AE$480,AE$660,AE$661,AE$662,AE$663))*AG$8</f>
        <v>32.607474101643646</v>
      </c>
      <c r="AH722" s="94">
        <f>Table3.110[[#This Row],[GP 8-24h, ml]]-(AVERAGE(AF$479,AF$480,AF$660,AF$661,AF$662,AF$663))*AG$8</f>
        <v>32.185592064046816</v>
      </c>
      <c r="AI722" s="94">
        <f>Table3.110[[#This Row],[Net gas 8-24h, ml]]+Table3.110[[#This Row],[Net gas 8h, ml]]</f>
        <v>64.793066165690462</v>
      </c>
      <c r="AJ722" s="94">
        <f>Table3.110[[#This Row],[Net gas 8h, ml]]*Table3.110[[#This Row],[CH4 8h %]]%</f>
        <v>4.5324389001284668</v>
      </c>
      <c r="AK722" s="94">
        <f>Table3.110[[#This Row],[Net gas 8-24h, ml]]*Table3.110[[#This Row],[CH4 24h, %]]%</f>
        <v>5.4071794667598656</v>
      </c>
      <c r="AL722" s="94">
        <f>Table3.110[[#This Row],[CH4 8-24h, ml]]+Table3.110[[#This Row],[CH4 8h, ml]]</f>
        <v>9.9396183668883324</v>
      </c>
      <c r="AM722" s="94">
        <f>(Table3.110[[#This Row],[Net gas 24h, ml]]/Table3.110[[#This Row],[DM Incubated, mg]])*1000</f>
        <v>141.32300751677997</v>
      </c>
      <c r="AN722" s="94">
        <f>'3.2 Digest'!X722</f>
        <v>32.406347436230462</v>
      </c>
      <c r="AO722" s="94">
        <f>Table3.110[[#This Row],[Digested feed, mg]]/Table3.110[[#This Row],[Net gas 24h, ml]]</f>
        <v>2.2930694729506582</v>
      </c>
      <c r="AP722" s="94">
        <f>Table3.110[[#This Row],[CH4 8h, ml]]/Table3.110[[#This Row],[Net gas 8h, ml]]%</f>
        <v>13.9</v>
      </c>
      <c r="AQ722" s="94">
        <f>Table3.110[[#This Row],[CH4 24h, ml]]/Table3.110[[#This Row],[Net gas 24h, ml]]%</f>
        <v>15.340558728106014</v>
      </c>
      <c r="AR722" s="94">
        <f>Table3.110[[#This Row],[CH4 24h, ml]]/Table3.110[[#This Row],[DM Incubated, mg]]*1000</f>
        <v>21.679738964437309</v>
      </c>
      <c r="AS722" s="94">
        <f>Table3.110[[#This Row],[CH4 24h, ml]]/Table3.110[[#This Row],[Digested feed, mg]]*1000</f>
        <v>66.899668366201766</v>
      </c>
      <c r="AT722" s="94">
        <f>Table3.110[[#This Row],[CH4 24h, ml]]/'3.2 Digest'!AA722</f>
        <v>-0.46337162001324461</v>
      </c>
      <c r="AU722" s="94">
        <f>((Table3.110[[#This Row],[CH4 24h, ml]]/28.9)*16.04)/Table3.110[[#This Row],[DM Incubated, mg]]*1000</f>
        <v>12.03263020725171</v>
      </c>
      <c r="AV722" s="94">
        <f>((Table3.110[[#This Row],[CH4 24h, ml]]/28.9)*16.04)/Table3.110[[#This Row],[Digested feed, mg]]*1000</f>
        <v>37.130473376950746</v>
      </c>
      <c r="AW722" s="303"/>
    </row>
    <row r="723" spans="1:50" s="304" customFormat="1" x14ac:dyDescent="0.35">
      <c r="A723" s="89"/>
      <c r="B723" s="90">
        <f t="shared" si="11"/>
        <v>713</v>
      </c>
      <c r="C723" s="140">
        <v>46076</v>
      </c>
      <c r="D723" s="92" t="s">
        <v>16</v>
      </c>
      <c r="E723" s="6" t="s">
        <v>211</v>
      </c>
      <c r="F723" s="242" t="s">
        <v>212</v>
      </c>
      <c r="G723" s="242" t="s">
        <v>213</v>
      </c>
      <c r="H723" s="6" t="str">
        <f>'[2]1. Information samples'!$K$44</f>
        <v>Desmodium scorpiurus</v>
      </c>
      <c r="I723" s="6" t="s">
        <v>22</v>
      </c>
      <c r="J723" s="129" t="s">
        <v>23</v>
      </c>
      <c r="K723" s="129" t="s">
        <v>24</v>
      </c>
      <c r="L723" s="6" t="s">
        <v>210</v>
      </c>
      <c r="M723" s="256">
        <v>28</v>
      </c>
      <c r="N723" s="256">
        <v>69</v>
      </c>
      <c r="O723" s="256">
        <v>3</v>
      </c>
      <c r="P723" s="257">
        <v>2</v>
      </c>
      <c r="Q723" s="96">
        <v>132</v>
      </c>
      <c r="R723" s="98">
        <v>0.5</v>
      </c>
      <c r="S723" s="94">
        <f>((Table3.110[[#This Row],[Sample weight, g]]*'2.1. DM'!Q133)/100)*1000</f>
        <v>458.38332541833336</v>
      </c>
      <c r="T723" s="94">
        <f>'3.2 Digest'!W723</f>
        <v>30.183325418333425</v>
      </c>
      <c r="U723" s="117">
        <v>0.35555555555555557</v>
      </c>
      <c r="V723" s="155">
        <v>42</v>
      </c>
      <c r="W723" s="117">
        <v>0.71388888888888891</v>
      </c>
      <c r="X723" s="97">
        <v>76</v>
      </c>
      <c r="Y723" s="97">
        <v>14.3</v>
      </c>
      <c r="Z723" s="155">
        <v>40</v>
      </c>
      <c r="AA723" s="117">
        <v>0.3923611111111111</v>
      </c>
      <c r="AB723" s="155">
        <v>78</v>
      </c>
      <c r="AC723" s="155">
        <v>16.600000000000001</v>
      </c>
      <c r="AD723" s="96"/>
      <c r="AE723" s="94">
        <f>Table3.110[[#This Row],[Gas 8h, ml]]-Table3.110[[#This Row],[Gas 0h, ml]]</f>
        <v>34</v>
      </c>
      <c r="AF723" s="94">
        <f>Table3.110[[#This Row],[Gas 24h, ml]]-Table3.110[[#This Row],[V8 Push back, ml]]</f>
        <v>38</v>
      </c>
      <c r="AG723" s="94"/>
      <c r="AH723" s="94"/>
      <c r="AI723" s="94"/>
      <c r="AJ723" s="94"/>
      <c r="AK723" s="94"/>
      <c r="AL723" s="94"/>
      <c r="AM723" s="94"/>
      <c r="AN723" s="94"/>
      <c r="AO723" s="94"/>
      <c r="AP723" s="94"/>
      <c r="AQ723" s="94"/>
      <c r="AR723" s="94"/>
      <c r="AS723" s="94"/>
      <c r="AT723" s="94"/>
      <c r="AU723" s="94"/>
      <c r="AV723" s="94"/>
      <c r="AW723" s="303" t="s">
        <v>655</v>
      </c>
    </row>
    <row r="724" spans="1:50" s="304" customFormat="1" x14ac:dyDescent="0.35">
      <c r="A724" s="89"/>
      <c r="B724" s="90">
        <f t="shared" si="11"/>
        <v>714</v>
      </c>
      <c r="C724" s="140">
        <v>46076</v>
      </c>
      <c r="D724" s="8" t="s">
        <v>120</v>
      </c>
      <c r="E724" s="6" t="s">
        <v>122</v>
      </c>
      <c r="F724" s="133" t="s">
        <v>123</v>
      </c>
      <c r="G724" s="133" t="s">
        <v>545</v>
      </c>
      <c r="H724" s="133" t="s">
        <v>125</v>
      </c>
      <c r="I724" s="133" t="s">
        <v>108</v>
      </c>
      <c r="J724" s="135" t="s">
        <v>109</v>
      </c>
      <c r="K724" s="135" t="s">
        <v>110</v>
      </c>
      <c r="L724" s="6" t="s">
        <v>121</v>
      </c>
      <c r="M724" s="256">
        <v>28</v>
      </c>
      <c r="N724" s="256">
        <v>69</v>
      </c>
      <c r="O724" s="256">
        <v>3</v>
      </c>
      <c r="P724" s="257">
        <v>1</v>
      </c>
      <c r="Q724" s="96">
        <v>133</v>
      </c>
      <c r="R724" s="98">
        <v>0.5</v>
      </c>
      <c r="S724" s="94">
        <f>((Table3.110[[#This Row],[Sample weight, g]]*'2.1. DM'!Q135)/100)*1000</f>
        <v>467.75</v>
      </c>
      <c r="T724" s="94">
        <f>'3.2 Digest'!W724</f>
        <v>45.449999999999989</v>
      </c>
      <c r="U724" s="117">
        <v>0.35555555555555557</v>
      </c>
      <c r="V724" s="155">
        <v>41</v>
      </c>
      <c r="W724" s="117">
        <v>0.71458333333333335</v>
      </c>
      <c r="X724" s="97">
        <v>65</v>
      </c>
      <c r="Y724" s="97">
        <v>14.4</v>
      </c>
      <c r="Z724" s="155">
        <v>40</v>
      </c>
      <c r="AA724" s="117">
        <v>0.3923611111111111</v>
      </c>
      <c r="AB724" s="155">
        <v>84</v>
      </c>
      <c r="AC724" s="155">
        <v>15.8</v>
      </c>
      <c r="AD724" s="96"/>
      <c r="AE724" s="94">
        <f>Table3.110[[#This Row],[Gas 8h, ml]]-Table3.110[[#This Row],[Gas 0h, ml]]</f>
        <v>24</v>
      </c>
      <c r="AF724" s="94">
        <f>Table3.110[[#This Row],[Gas 24h, ml]]-Table3.110[[#This Row],[V8 Push back, ml]]</f>
        <v>44</v>
      </c>
      <c r="AG724" s="94"/>
      <c r="AH724" s="94"/>
      <c r="AI724" s="94"/>
      <c r="AJ724" s="94"/>
      <c r="AK724" s="94"/>
      <c r="AL724" s="94"/>
      <c r="AM724" s="94"/>
      <c r="AN724" s="94"/>
      <c r="AO724" s="94"/>
      <c r="AP724" s="94"/>
      <c r="AQ724" s="94"/>
      <c r="AR724" s="94"/>
      <c r="AS724" s="94"/>
      <c r="AT724" s="94"/>
      <c r="AU724" s="94"/>
      <c r="AV724" s="94"/>
      <c r="AW724" s="303" t="s">
        <v>656</v>
      </c>
    </row>
    <row r="725" spans="1:50" s="304" customFormat="1" x14ac:dyDescent="0.35">
      <c r="A725" s="89"/>
      <c r="B725" s="90">
        <f t="shared" si="11"/>
        <v>715</v>
      </c>
      <c r="C725" s="140">
        <v>46076</v>
      </c>
      <c r="D725" s="8" t="s">
        <v>120</v>
      </c>
      <c r="E725" s="6" t="s">
        <v>122</v>
      </c>
      <c r="F725" s="133" t="s">
        <v>123</v>
      </c>
      <c r="G725" s="133" t="s">
        <v>545</v>
      </c>
      <c r="H725" s="133" t="s">
        <v>125</v>
      </c>
      <c r="I725" s="133" t="s">
        <v>108</v>
      </c>
      <c r="J725" s="135" t="s">
        <v>109</v>
      </c>
      <c r="K725" s="135" t="s">
        <v>110</v>
      </c>
      <c r="L725" s="6" t="s">
        <v>121</v>
      </c>
      <c r="M725" s="256">
        <v>28</v>
      </c>
      <c r="N725" s="256">
        <v>69</v>
      </c>
      <c r="O725" s="256">
        <v>3</v>
      </c>
      <c r="P725" s="257">
        <v>2</v>
      </c>
      <c r="Q725" s="96">
        <v>134</v>
      </c>
      <c r="R725" s="98">
        <v>0.5</v>
      </c>
      <c r="S725" s="94">
        <f>((Table3.110[[#This Row],[Sample weight, g]]*'2.1. DM'!Q135)/100)*1000</f>
        <v>467.75</v>
      </c>
      <c r="T725" s="94">
        <f>'3.2 Digest'!W725</f>
        <v>113.25000000000006</v>
      </c>
      <c r="U725" s="153">
        <v>0.35555555555555557</v>
      </c>
      <c r="V725" s="154">
        <v>41</v>
      </c>
      <c r="W725" s="153">
        <v>0.71527777777777779</v>
      </c>
      <c r="X725" s="95">
        <v>64.5</v>
      </c>
      <c r="Y725" s="95">
        <v>14.5</v>
      </c>
      <c r="Z725" s="154">
        <v>40.5</v>
      </c>
      <c r="AA725" s="153">
        <v>0.39305555555555555</v>
      </c>
      <c r="AB725" s="154">
        <v>83</v>
      </c>
      <c r="AC725" s="154">
        <v>16</v>
      </c>
      <c r="AD725" s="91"/>
      <c r="AE725" s="94">
        <f>Table3.110[[#This Row],[Gas 8h, ml]]-Table3.110[[#This Row],[Gas 0h, ml]]</f>
        <v>23.5</v>
      </c>
      <c r="AF725" s="94">
        <f>Table3.110[[#This Row],[Gas 24h, ml]]-Table3.110[[#This Row],[V8 Push back, ml]]</f>
        <v>42.5</v>
      </c>
      <c r="AG725" s="94">
        <f>Table3.110[[#This Row],[GP 8h, ml]]-(AVERAGE(AE$479,AE$480,AE$660,AE$661,AE$662,AE$663))*AG$8</f>
        <v>20.107474101643646</v>
      </c>
      <c r="AH725" s="94">
        <f>Table3.110[[#This Row],[GP 8-24h, ml]]-(AVERAGE(AF$479,AF$480,AF$660,AF$661,AF$662,AF$663))*AG$8</f>
        <v>38.185592064046816</v>
      </c>
      <c r="AI725" s="94">
        <f>Table3.110[[#This Row],[Net gas 8-24h, ml]]+Table3.110[[#This Row],[Net gas 8h, ml]]</f>
        <v>58.293066165690462</v>
      </c>
      <c r="AJ725" s="94">
        <f>Table3.110[[#This Row],[Net gas 8h, ml]]*Table3.110[[#This Row],[CH4 8h %]]%</f>
        <v>2.9155837447383286</v>
      </c>
      <c r="AK725" s="94">
        <f>Table3.110[[#This Row],[Net gas 8-24h, ml]]*Table3.110[[#This Row],[CH4 24h, %]]%</f>
        <v>6.1096947302474902</v>
      </c>
      <c r="AL725" s="94">
        <f>Table3.110[[#This Row],[CH4 8-24h, ml]]+Table3.110[[#This Row],[CH4 8h, ml]]</f>
        <v>9.0252784749858179</v>
      </c>
      <c r="AM725" s="94">
        <f>(Table3.110[[#This Row],[Net gas 24h, ml]]/Table3.110[[#This Row],[DM Incubated, mg]])*1000</f>
        <v>124.62440655412178</v>
      </c>
      <c r="AN725" s="94">
        <f>'3.2 Digest'!X725</f>
        <v>24.211651523249611</v>
      </c>
      <c r="AO725" s="94">
        <f>Table3.110[[#This Row],[Digested feed, mg]]/Table3.110[[#This Row],[Net gas 24h, ml]]</f>
        <v>1.9427696542518738</v>
      </c>
      <c r="AP725" s="94">
        <f>Table3.110[[#This Row],[CH4 8h, ml]]/Table3.110[[#This Row],[Net gas 8h, ml]]%</f>
        <v>14.5</v>
      </c>
      <c r="AQ725" s="94">
        <f>Table3.110[[#This Row],[CH4 24h, ml]]/Table3.110[[#This Row],[Net gas 24h, ml]]%</f>
        <v>15.48259350320094</v>
      </c>
      <c r="AR725" s="94">
        <f>Table3.110[[#This Row],[CH4 24h, ml]]/Table3.110[[#This Row],[DM Incubated, mg]]*1000</f>
        <v>19.295090272551189</v>
      </c>
      <c r="AS725" s="94">
        <f>Table3.110[[#This Row],[CH4 24h, ml]]/Table3.110[[#This Row],[Digested feed, mg]]*1000</f>
        <v>79.69340816764516</v>
      </c>
      <c r="AT725" s="94">
        <f>Table3.110[[#This Row],[CH4 24h, ml]]/'3.2 Digest'!AA725</f>
        <v>22.038194608673884</v>
      </c>
      <c r="AU725" s="94">
        <f>((Table3.110[[#This Row],[CH4 24h, ml]]/28.9)*16.04)/Table3.110[[#This Row],[DM Incubated, mg]]*1000</f>
        <v>10.709108926357128</v>
      </c>
      <c r="AV725" s="94">
        <f>((Table3.110[[#This Row],[CH4 24h, ml]]/28.9)*16.04)/Table3.110[[#This Row],[Digested feed, mg]]*1000</f>
        <v>44.231220311731079</v>
      </c>
      <c r="AW725" s="303"/>
    </row>
    <row r="726" spans="1:50" s="304" customFormat="1" x14ac:dyDescent="0.35">
      <c r="A726" s="89"/>
      <c r="B726" s="90">
        <f t="shared" si="11"/>
        <v>716</v>
      </c>
      <c r="C726" s="140">
        <v>46076</v>
      </c>
      <c r="D726" s="92" t="s">
        <v>16</v>
      </c>
      <c r="E726" s="6" t="s">
        <v>564</v>
      </c>
      <c r="F726" s="242" t="s">
        <v>538</v>
      </c>
      <c r="G726" s="242">
        <v>8</v>
      </c>
      <c r="H726" s="6" t="s">
        <v>564</v>
      </c>
      <c r="I726" s="6"/>
      <c r="J726" s="129"/>
      <c r="K726" s="129"/>
      <c r="L726" s="6" t="s">
        <v>543</v>
      </c>
      <c r="M726" s="256">
        <v>28</v>
      </c>
      <c r="N726" s="256">
        <v>69</v>
      </c>
      <c r="O726" s="256">
        <v>3</v>
      </c>
      <c r="P726" s="257">
        <v>1</v>
      </c>
      <c r="Q726" s="96">
        <v>135</v>
      </c>
      <c r="R726" s="98"/>
      <c r="S726" s="94"/>
      <c r="T726" s="94">
        <f>'3.2 Digest'!W726</f>
        <v>0</v>
      </c>
      <c r="U726" s="115">
        <v>0.35625000000000001</v>
      </c>
      <c r="V726" s="94">
        <v>40</v>
      </c>
      <c r="W726" s="115">
        <v>0.71527777777777779</v>
      </c>
      <c r="X726" s="93">
        <v>42</v>
      </c>
      <c r="Y726" s="93"/>
      <c r="Z726" s="94"/>
      <c r="AA726" s="115"/>
      <c r="AB726" s="94"/>
      <c r="AC726" s="94"/>
      <c r="AD726" s="93"/>
      <c r="AE726" s="94">
        <f>Table3.110[[#This Row],[Gas 8h, ml]]-Table3.110[[#This Row],[Gas 0h, ml]]</f>
        <v>2</v>
      </c>
      <c r="AF726" s="94"/>
      <c r="AG726" s="94"/>
      <c r="AH726" s="94"/>
      <c r="AI726" s="94"/>
      <c r="AJ726" s="94"/>
      <c r="AK726" s="94"/>
      <c r="AL726" s="94"/>
      <c r="AM726" s="94"/>
      <c r="AN726" s="94"/>
      <c r="AO726" s="94"/>
      <c r="AP726" s="94"/>
      <c r="AQ726" s="94"/>
      <c r="AR726" s="94"/>
      <c r="AS726" s="94"/>
      <c r="AT726" s="94"/>
      <c r="AU726" s="94"/>
      <c r="AV726" s="94"/>
      <c r="AW726" s="303"/>
    </row>
    <row r="727" spans="1:50" s="304" customFormat="1" x14ac:dyDescent="0.35">
      <c r="A727" s="89"/>
      <c r="B727" s="90">
        <f t="shared" si="11"/>
        <v>717</v>
      </c>
      <c r="C727" s="140">
        <v>46076</v>
      </c>
      <c r="D727" s="92" t="s">
        <v>16</v>
      </c>
      <c r="E727" s="6" t="s">
        <v>564</v>
      </c>
      <c r="F727" s="242" t="s">
        <v>538</v>
      </c>
      <c r="G727" s="242">
        <v>8</v>
      </c>
      <c r="H727" s="6" t="s">
        <v>564</v>
      </c>
      <c r="I727" s="6"/>
      <c r="J727" s="129"/>
      <c r="K727" s="129"/>
      <c r="L727" s="6" t="s">
        <v>543</v>
      </c>
      <c r="M727" s="256">
        <v>28</v>
      </c>
      <c r="N727" s="256">
        <v>69</v>
      </c>
      <c r="O727" s="256">
        <v>3</v>
      </c>
      <c r="P727" s="257">
        <v>2</v>
      </c>
      <c r="Q727" s="96">
        <v>136</v>
      </c>
      <c r="R727" s="98"/>
      <c r="S727" s="94"/>
      <c r="T727" s="94">
        <f>'3.2 Digest'!W727</f>
        <v>0</v>
      </c>
      <c r="U727" s="115">
        <v>0.35625000000000001</v>
      </c>
      <c r="V727" s="94">
        <v>39.5</v>
      </c>
      <c r="W727" s="115">
        <v>0.71597222222222223</v>
      </c>
      <c r="X727" s="93">
        <v>41.5</v>
      </c>
      <c r="Y727" s="93"/>
      <c r="Z727" s="94"/>
      <c r="AA727" s="115"/>
      <c r="AB727" s="94"/>
      <c r="AC727" s="94"/>
      <c r="AD727" s="93"/>
      <c r="AE727" s="94">
        <f>Table3.110[[#This Row],[Gas 8h, ml]]-Table3.110[[#This Row],[Gas 0h, ml]]</f>
        <v>2</v>
      </c>
      <c r="AF727" s="94"/>
      <c r="AG727" s="94"/>
      <c r="AH727" s="94"/>
      <c r="AI727" s="94"/>
      <c r="AJ727" s="94"/>
      <c r="AK727" s="94"/>
      <c r="AL727" s="94"/>
      <c r="AM727" s="94"/>
      <c r="AN727" s="94"/>
      <c r="AO727" s="94"/>
      <c r="AP727" s="94"/>
      <c r="AQ727" s="94"/>
      <c r="AR727" s="94"/>
      <c r="AS727" s="94"/>
      <c r="AT727" s="94"/>
      <c r="AU727" s="94"/>
      <c r="AV727" s="94"/>
      <c r="AW727" s="303"/>
    </row>
    <row r="728" spans="1:50" s="304" customFormat="1" x14ac:dyDescent="0.35">
      <c r="A728" s="89"/>
      <c r="B728" s="90">
        <f t="shared" si="11"/>
        <v>718</v>
      </c>
      <c r="C728" s="140">
        <v>46076</v>
      </c>
      <c r="D728" s="92" t="s">
        <v>16</v>
      </c>
      <c r="E728" s="6" t="s">
        <v>218</v>
      </c>
      <c r="F728" s="242" t="s">
        <v>219</v>
      </c>
      <c r="G728" s="242" t="s">
        <v>220</v>
      </c>
      <c r="H728" s="6" t="str">
        <f>'[2]1. Information samples'!$K$46</f>
        <v>Vigna radiata</v>
      </c>
      <c r="I728" s="6" t="s">
        <v>22</v>
      </c>
      <c r="J728" s="129" t="s">
        <v>23</v>
      </c>
      <c r="K728" s="129" t="s">
        <v>24</v>
      </c>
      <c r="L728" s="6" t="s">
        <v>217</v>
      </c>
      <c r="M728" s="256">
        <v>28</v>
      </c>
      <c r="N728" s="256">
        <v>69</v>
      </c>
      <c r="O728" s="256">
        <v>3</v>
      </c>
      <c r="P728" s="257">
        <v>1</v>
      </c>
      <c r="Q728" s="96">
        <v>137</v>
      </c>
      <c r="R728" s="98">
        <v>0.50019999999999998</v>
      </c>
      <c r="S728" s="94">
        <f>((Table3.110[[#This Row],[Sample weight, g]]*'2.1. DM'!Q137)/100)*1000</f>
        <v>459.86700000000008</v>
      </c>
      <c r="T728" s="94">
        <f>'3.2 Digest'!W728</f>
        <v>254.36700000000005</v>
      </c>
      <c r="U728" s="153">
        <v>0.3576388888888889</v>
      </c>
      <c r="V728" s="154">
        <v>41.5</v>
      </c>
      <c r="W728" s="153">
        <v>0.71597222222222223</v>
      </c>
      <c r="X728" s="95">
        <v>72.5</v>
      </c>
      <c r="Y728" s="95">
        <v>11.2</v>
      </c>
      <c r="Z728" s="154">
        <v>38.5</v>
      </c>
      <c r="AA728" s="153">
        <v>0.39305555555555555</v>
      </c>
      <c r="AB728" s="154">
        <v>81</v>
      </c>
      <c r="AC728" s="154">
        <v>16.100000000000001</v>
      </c>
      <c r="AD728" s="91"/>
      <c r="AE728" s="94">
        <f>Table3.110[[#This Row],[Gas 8h, ml]]-Table3.110[[#This Row],[Gas 0h, ml]]</f>
        <v>31</v>
      </c>
      <c r="AF728" s="94">
        <f>Table3.110[[#This Row],[Gas 24h, ml]]-Table3.110[[#This Row],[V8 Push back, ml]]</f>
        <v>42.5</v>
      </c>
      <c r="AG728" s="94">
        <f>Table3.110[[#This Row],[GP 8h, ml]]-(AVERAGE(AE$479,AE$480,AE$660,AE$661,AE$662,AE$663))*AG$8</f>
        <v>27.607474101643646</v>
      </c>
      <c r="AH728" s="94">
        <f>Table3.110[[#This Row],[GP 8-24h, ml]]-(AVERAGE(AF$479,AF$480,AF$660,AF$661,AF$662,AF$663))*AG$8</f>
        <v>38.185592064046816</v>
      </c>
      <c r="AI728" s="94">
        <f>Table3.110[[#This Row],[Net gas 8-24h, ml]]+Table3.110[[#This Row],[Net gas 8h, ml]]</f>
        <v>65.793066165690462</v>
      </c>
      <c r="AJ728" s="94">
        <f>Table3.110[[#This Row],[Net gas 8h, ml]]*Table3.110[[#This Row],[CH4 8h %]]%</f>
        <v>3.092037099384088</v>
      </c>
      <c r="AK728" s="94">
        <f>Table3.110[[#This Row],[Net gas 8-24h, ml]]*Table3.110[[#This Row],[CH4 24h, %]]%</f>
        <v>6.1478803223115372</v>
      </c>
      <c r="AL728" s="94">
        <f>Table3.110[[#This Row],[CH4 8-24h, ml]]+Table3.110[[#This Row],[CH4 8h, ml]]</f>
        <v>9.2399174216956261</v>
      </c>
      <c r="AM728" s="94">
        <f>(Table3.110[[#This Row],[Net gas 24h, ml]]/Table3.110[[#This Row],[DM Incubated, mg]])*1000</f>
        <v>143.06977053298118</v>
      </c>
      <c r="AN728" s="94">
        <f>'3.2 Digest'!X728</f>
        <v>55.313166632961277</v>
      </c>
      <c r="AO728" s="94">
        <f>Table3.110[[#This Row],[Digested feed, mg]]/Table3.110[[#This Row],[Net gas 24h, ml]]</f>
        <v>3.8661672851575726</v>
      </c>
      <c r="AP728" s="94">
        <f>Table3.110[[#This Row],[CH4 8h, ml]]/Table3.110[[#This Row],[Net gas 8h, ml]]%</f>
        <v>11.199999999999998</v>
      </c>
      <c r="AQ728" s="94">
        <f>Table3.110[[#This Row],[CH4 24h, ml]]/Table3.110[[#This Row],[Net gas 24h, ml]]%</f>
        <v>14.043907603312196</v>
      </c>
      <c r="AR728" s="94">
        <f>Table3.110[[#This Row],[CH4 24h, ml]]/Table3.110[[#This Row],[DM Incubated, mg]]*1000</f>
        <v>20.092586381922651</v>
      </c>
      <c r="AS728" s="94">
        <f>Table3.110[[#This Row],[CH4 24h, ml]]/Table3.110[[#This Row],[Digested feed, mg]]*1000</f>
        <v>36.325142104501069</v>
      </c>
      <c r="AT728" s="94">
        <f>Table3.110[[#This Row],[CH4 24h, ml]]/'3.2 Digest'!AA728</f>
        <v>-1.5667789515242474</v>
      </c>
      <c r="AU728" s="94">
        <f>((Table3.110[[#This Row],[CH4 24h, ml]]/28.9)*16.04)/Table3.110[[#This Row],[DM Incubated, mg]]*1000</f>
        <v>11.151733064568838</v>
      </c>
      <c r="AV728" s="94">
        <f>((Table3.110[[#This Row],[CH4 24h, ml]]/28.9)*16.04)/Table3.110[[#This Row],[Digested feed, mg]]*1000</f>
        <v>20.161082330664264</v>
      </c>
      <c r="AW728" s="303"/>
    </row>
    <row r="729" spans="1:50" s="304" customFormat="1" x14ac:dyDescent="0.35">
      <c r="A729" s="89"/>
      <c r="B729" s="90">
        <f t="shared" si="11"/>
        <v>719</v>
      </c>
      <c r="C729" s="140">
        <v>46076</v>
      </c>
      <c r="D729" s="92" t="s">
        <v>16</v>
      </c>
      <c r="E729" s="6" t="s">
        <v>218</v>
      </c>
      <c r="F729" s="242" t="s">
        <v>219</v>
      </c>
      <c r="G729" s="242" t="s">
        <v>220</v>
      </c>
      <c r="H729" s="6" t="str">
        <f>'[2]1. Information samples'!$K$46</f>
        <v>Vigna radiata</v>
      </c>
      <c r="I729" s="6" t="s">
        <v>22</v>
      </c>
      <c r="J729" s="129" t="s">
        <v>23</v>
      </c>
      <c r="K729" s="129" t="s">
        <v>24</v>
      </c>
      <c r="L729" s="6" t="s">
        <v>217</v>
      </c>
      <c r="M729" s="256">
        <v>28</v>
      </c>
      <c r="N729" s="256">
        <v>69</v>
      </c>
      <c r="O729" s="256">
        <v>3</v>
      </c>
      <c r="P729" s="257">
        <v>2</v>
      </c>
      <c r="Q729" s="96">
        <v>138</v>
      </c>
      <c r="R729" s="98">
        <v>0.50009999999999999</v>
      </c>
      <c r="S729" s="94">
        <f>((Table3.110[[#This Row],[Sample weight, g]]*'2.1. DM'!Q137)/100)*1000</f>
        <v>459.77506337465019</v>
      </c>
      <c r="T729" s="94">
        <f>'3.2 Digest'!W729</f>
        <v>217.57506337465011</v>
      </c>
      <c r="U729" s="117">
        <v>0.3576388888888889</v>
      </c>
      <c r="V729" s="155">
        <v>40.5</v>
      </c>
      <c r="W729" s="117">
        <v>0.71736111111111112</v>
      </c>
      <c r="X729" s="97">
        <v>74</v>
      </c>
      <c r="Y729" s="97">
        <v>11.6</v>
      </c>
      <c r="Z729" s="155">
        <v>40</v>
      </c>
      <c r="AA729" s="117">
        <v>0.39374999999999999</v>
      </c>
      <c r="AB729" s="155">
        <v>86</v>
      </c>
      <c r="AC729" s="155">
        <v>15.9</v>
      </c>
      <c r="AD729" s="96"/>
      <c r="AE729" s="94">
        <f>Table3.110[[#This Row],[Gas 8h, ml]]-Table3.110[[#This Row],[Gas 0h, ml]]</f>
        <v>33.5</v>
      </c>
      <c r="AF729" s="94">
        <f>Table3.110[[#This Row],[Gas 24h, ml]]-Table3.110[[#This Row],[V8 Push back, ml]]</f>
        <v>46</v>
      </c>
      <c r="AG729" s="94">
        <f>Table3.110[[#This Row],[GP 8h, ml]]-(AVERAGE(AE$479,AE$480,AE$660,AE$661,AE$662,AE$663))*AG$8</f>
        <v>30.107474101643646</v>
      </c>
      <c r="AH729" s="94">
        <f>Table3.110[[#This Row],[GP 8-24h, ml]]-(AVERAGE(AF$479,AF$480,AF$660,AF$661,AF$662,AF$663))*AG$8</f>
        <v>41.685592064046816</v>
      </c>
      <c r="AI729" s="94">
        <f>Table3.110[[#This Row],[Net gas 8-24h, ml]]+Table3.110[[#This Row],[Net gas 8h, ml]]</f>
        <v>71.793066165690462</v>
      </c>
      <c r="AJ729" s="94">
        <f>Table3.110[[#This Row],[Net gas 8h, ml]]*Table3.110[[#This Row],[CH4 8h %]]%</f>
        <v>3.4924669957906627</v>
      </c>
      <c r="AK729" s="94">
        <f>Table3.110[[#This Row],[Net gas 8-24h, ml]]*Table3.110[[#This Row],[CH4 24h, %]]%</f>
        <v>6.6280091381834438</v>
      </c>
      <c r="AL729" s="94">
        <f>Table3.110[[#This Row],[CH4 8-24h, ml]]+Table3.110[[#This Row],[CH4 8h, ml]]</f>
        <v>10.120476133974107</v>
      </c>
      <c r="AM729" s="94">
        <f>(Table3.110[[#This Row],[Net gas 24h, ml]]/Table3.110[[#This Row],[DM Incubated, mg]])*1000</f>
        <v>156.14823831189273</v>
      </c>
      <c r="AN729" s="94">
        <f>'3.2 Digest'!X729</f>
        <v>47.322066964157621</v>
      </c>
      <c r="AO729" s="94">
        <f>Table3.110[[#This Row],[Digested feed, mg]]/Table3.110[[#This Row],[Net gas 24h, ml]]</f>
        <v>3.0305860300284557</v>
      </c>
      <c r="AP729" s="94">
        <f>Table3.110[[#This Row],[CH4 8h, ml]]/Table3.110[[#This Row],[Net gas 8h, ml]]%</f>
        <v>11.6</v>
      </c>
      <c r="AQ729" s="94">
        <f>Table3.110[[#This Row],[CH4 24h, ml]]/Table3.110[[#This Row],[Net gas 24h, ml]]%</f>
        <v>14.096732002805348</v>
      </c>
      <c r="AR729" s="94">
        <f>Table3.110[[#This Row],[CH4 24h, ml]]/Table3.110[[#This Row],[DM Incubated, mg]]*1000</f>
        <v>22.011798681929346</v>
      </c>
      <c r="AS729" s="94">
        <f>Table3.110[[#This Row],[CH4 24h, ml]]/Table3.110[[#This Row],[Digested feed, mg]]*1000</f>
        <v>46.514871589614593</v>
      </c>
      <c r="AT729" s="94">
        <f>Table3.110[[#This Row],[CH4 24h, ml]]/'3.2 Digest'!AA729</f>
        <v>-0.40751772991191498</v>
      </c>
      <c r="AU729" s="94">
        <f>((Table3.110[[#This Row],[CH4 24h, ml]]/28.9)*16.04)/Table3.110[[#This Row],[DM Incubated, mg]]*1000</f>
        <v>12.216929095437601</v>
      </c>
      <c r="AV729" s="94">
        <f>((Table3.110[[#This Row],[CH4 24h, ml]]/28.9)*16.04)/Table3.110[[#This Row],[Digested feed, mg]]*1000</f>
        <v>25.816558487799927</v>
      </c>
      <c r="AW729" s="303"/>
    </row>
    <row r="730" spans="1:50" s="304" customFormat="1" x14ac:dyDescent="0.35">
      <c r="A730" s="89"/>
      <c r="B730" s="90">
        <f t="shared" si="11"/>
        <v>720</v>
      </c>
      <c r="C730" s="140">
        <v>46076</v>
      </c>
      <c r="D730" s="92" t="s">
        <v>16</v>
      </c>
      <c r="E730" s="6" t="s">
        <v>223</v>
      </c>
      <c r="F730" s="242" t="s">
        <v>219</v>
      </c>
      <c r="G730" s="242" t="s">
        <v>220</v>
      </c>
      <c r="H730" s="6" t="str">
        <f>'[2]1. Information samples'!$K$47</f>
        <v>Vigna radiata</v>
      </c>
      <c r="I730" s="6" t="s">
        <v>22</v>
      </c>
      <c r="J730" s="129" t="s">
        <v>23</v>
      </c>
      <c r="K730" s="129" t="s">
        <v>24</v>
      </c>
      <c r="L730" s="6" t="s">
        <v>222</v>
      </c>
      <c r="M730" s="256">
        <v>28</v>
      </c>
      <c r="N730" s="256">
        <v>69</v>
      </c>
      <c r="O730" s="256">
        <v>3</v>
      </c>
      <c r="P730" s="257">
        <v>1</v>
      </c>
      <c r="Q730" s="96">
        <v>139</v>
      </c>
      <c r="R730" s="98">
        <v>0.50019999999999998</v>
      </c>
      <c r="S730" s="94">
        <f>((Table3.110[[#This Row],[Sample weight, g]]*'2.1. DM'!Q139)/100)*1000</f>
        <v>457.32713643178403</v>
      </c>
      <c r="T730" s="94">
        <f>'3.2 Digest'!W730</f>
        <v>280.52713643178407</v>
      </c>
      <c r="U730" s="117">
        <v>0.3576388888888889</v>
      </c>
      <c r="V730" s="155">
        <v>41</v>
      </c>
      <c r="W730" s="117">
        <v>0.71736111111111112</v>
      </c>
      <c r="X730" s="97">
        <v>85.5</v>
      </c>
      <c r="Y730" s="97">
        <v>12.6</v>
      </c>
      <c r="Z730" s="155">
        <v>40</v>
      </c>
      <c r="AA730" s="117">
        <v>0.39444444444444443</v>
      </c>
      <c r="AB730" s="155">
        <v>89</v>
      </c>
      <c r="AC730" s="155">
        <v>16.8</v>
      </c>
      <c r="AD730" s="96"/>
      <c r="AE730" s="94">
        <f>Table3.110[[#This Row],[Gas 8h, ml]]-Table3.110[[#This Row],[Gas 0h, ml]]</f>
        <v>44.5</v>
      </c>
      <c r="AF730" s="94">
        <f>Table3.110[[#This Row],[Gas 24h, ml]]-Table3.110[[#This Row],[V8 Push back, ml]]</f>
        <v>49</v>
      </c>
      <c r="AG730" s="94">
        <f>Table3.110[[#This Row],[GP 8h, ml]]-AVERAGE(AE$664,AE$665,AE$726,AE$727,AE$788,AE$789)*$AG$8</f>
        <v>42.656235924806332</v>
      </c>
      <c r="AH730" s="94">
        <f>Table3.110[[#This Row],[GP 8-24h, ml]]-AVERAGE(AF$664,AF$665,AF$726,AF$727,AF$788,AF$789)*$AG$8</f>
        <v>46.676857265255975</v>
      </c>
      <c r="AI730" s="94">
        <f>Table3.110[[#This Row],[Net gas 8-24h, ml]]+Table3.110[[#This Row],[Net gas 8h, ml]]</f>
        <v>89.3330931900623</v>
      </c>
      <c r="AJ730" s="94">
        <f>Table3.110[[#This Row],[Net gas 8h, ml]]*Table3.110[[#This Row],[CH4 8h %]]%</f>
        <v>5.3746857265255974</v>
      </c>
      <c r="AK730" s="94">
        <f>Table3.110[[#This Row],[Net gas 8-24h, ml]]*Table3.110[[#This Row],[CH4 24h, %]]%</f>
        <v>7.841712020563004</v>
      </c>
      <c r="AL730" s="94">
        <f>Table3.110[[#This Row],[CH4 8-24h, ml]]+Table3.110[[#This Row],[CH4 8h, ml]]</f>
        <v>13.216397747088601</v>
      </c>
      <c r="AM730" s="94">
        <f>(Table3.110[[#This Row],[Net gas 24h, ml]]/Table3.110[[#This Row],[DM Incubated, mg]])*1000</f>
        <v>195.33739870996575</v>
      </c>
      <c r="AN730" s="94">
        <f>'3.2 Digest'!X730</f>
        <v>61.340584033685076</v>
      </c>
      <c r="AO730" s="94">
        <f>Table3.110[[#This Row],[Digested feed, mg]]/Table3.110[[#This Row],[Net gas 24h, ml]]</f>
        <v>3.1402375806571849</v>
      </c>
      <c r="AP730" s="94">
        <f>Table3.110[[#This Row],[CH4 8h, ml]]/Table3.110[[#This Row],[Net gas 8h, ml]]%</f>
        <v>12.6</v>
      </c>
      <c r="AQ730" s="94">
        <f>Table3.110[[#This Row],[CH4 24h, ml]]/Table3.110[[#This Row],[Net gas 24h, ml]]%</f>
        <v>14.794514860209539</v>
      </c>
      <c r="AR730" s="94">
        <f>Table3.110[[#This Row],[CH4 24h, ml]]/Table3.110[[#This Row],[DM Incubated, mg]]*1000</f>
        <v>28.899220479692637</v>
      </c>
      <c r="AS730" s="94">
        <f>Table3.110[[#This Row],[CH4 24h, ml]]/Table3.110[[#This Row],[Digested feed, mg]]*1000</f>
        <v>47.11272469108328</v>
      </c>
      <c r="AT730" s="94">
        <f>Table3.110[[#This Row],[CH4 24h, ml]]/'3.2 Digest'!AA730</f>
        <v>0.88351318981493965</v>
      </c>
      <c r="AU730" s="94">
        <f>((Table3.110[[#This Row],[CH4 24h, ml]]/28.9)*16.04)/Table3.110[[#This Row],[DM Incubated, mg]]*1000</f>
        <v>16.039567352742903</v>
      </c>
      <c r="AV730" s="94">
        <f>((Table3.110[[#This Row],[CH4 24h, ml]]/28.9)*16.04)/Table3.110[[#This Row],[Digested feed, mg]]*1000</f>
        <v>26.148377302594319</v>
      </c>
      <c r="AW730" s="303"/>
    </row>
    <row r="731" spans="1:50" s="304" customFormat="1" x14ac:dyDescent="0.35">
      <c r="A731" s="89"/>
      <c r="B731" s="90">
        <f t="shared" si="11"/>
        <v>721</v>
      </c>
      <c r="C731" s="140">
        <v>46076</v>
      </c>
      <c r="D731" s="92" t="s">
        <v>16</v>
      </c>
      <c r="E731" s="6" t="s">
        <v>223</v>
      </c>
      <c r="F731" s="242" t="s">
        <v>219</v>
      </c>
      <c r="G731" s="242" t="s">
        <v>220</v>
      </c>
      <c r="H731" s="6" t="str">
        <f>'[2]1. Information samples'!$K$47</f>
        <v>Vigna radiata</v>
      </c>
      <c r="I731" s="6" t="s">
        <v>22</v>
      </c>
      <c r="J731" s="129" t="s">
        <v>23</v>
      </c>
      <c r="K731" s="129" t="s">
        <v>24</v>
      </c>
      <c r="L731" s="6" t="s">
        <v>222</v>
      </c>
      <c r="M731" s="256">
        <v>28</v>
      </c>
      <c r="N731" s="256">
        <v>69</v>
      </c>
      <c r="O731" s="256">
        <v>3</v>
      </c>
      <c r="P731" s="257">
        <v>2</v>
      </c>
      <c r="Q731" s="96">
        <v>140</v>
      </c>
      <c r="R731" s="98">
        <v>0.50009999999999999</v>
      </c>
      <c r="S731" s="94">
        <f>((Table3.110[[#This Row],[Sample weight, g]]*'2.1. DM'!Q139)/100)*1000</f>
        <v>457.23570757603994</v>
      </c>
      <c r="T731" s="94">
        <f>'3.2 Digest'!W731</f>
        <v>198.13570757603992</v>
      </c>
      <c r="U731" s="153">
        <v>0.3576388888888889</v>
      </c>
      <c r="V731" s="154">
        <v>40.5</v>
      </c>
      <c r="W731" s="153">
        <v>0.71805555555555556</v>
      </c>
      <c r="X731" s="95">
        <v>83.5</v>
      </c>
      <c r="Y731" s="95">
        <v>12.9</v>
      </c>
      <c r="Z731" s="154">
        <v>40</v>
      </c>
      <c r="AA731" s="153">
        <v>0.39444444444444443</v>
      </c>
      <c r="AB731" s="154">
        <v>89.5</v>
      </c>
      <c r="AC731" s="154">
        <v>16.8</v>
      </c>
      <c r="AD731" s="91"/>
      <c r="AE731" s="94">
        <f>Table3.110[[#This Row],[Gas 8h, ml]]-Table3.110[[#This Row],[Gas 0h, ml]]</f>
        <v>43</v>
      </c>
      <c r="AF731" s="94">
        <f>Table3.110[[#This Row],[Gas 24h, ml]]-Table3.110[[#This Row],[V8 Push back, ml]]</f>
        <v>49.5</v>
      </c>
      <c r="AG731" s="94">
        <f>Table3.110[[#This Row],[GP 8h, ml]]-AVERAGE(AE$664,AE$665,AE$726,AE$727,AE$788,AE$789)*$AG$8</f>
        <v>41.156235924806332</v>
      </c>
      <c r="AH731" s="94">
        <f>Table3.110[[#This Row],[GP 8-24h, ml]]-AVERAGE(AF$664,AF$665,AF$726,AF$727,AF$788,AF$789)*$AG$8</f>
        <v>47.176857265255975</v>
      </c>
      <c r="AI731" s="94">
        <f>Table3.110[[#This Row],[Net gas 8-24h, ml]]+Table3.110[[#This Row],[Net gas 8h, ml]]</f>
        <v>88.3330931900623</v>
      </c>
      <c r="AJ731" s="94">
        <f>Table3.110[[#This Row],[Net gas 8h, ml]]*Table3.110[[#This Row],[CH4 8h %]]%</f>
        <v>5.3091544343000168</v>
      </c>
      <c r="AK731" s="94">
        <f>Table3.110[[#This Row],[Net gas 8-24h, ml]]*Table3.110[[#This Row],[CH4 24h, %]]%</f>
        <v>7.9257120205630045</v>
      </c>
      <c r="AL731" s="94">
        <f>Table3.110[[#This Row],[CH4 8-24h, ml]]+Table3.110[[#This Row],[CH4 8h, ml]]</f>
        <v>13.23486645486302</v>
      </c>
      <c r="AM731" s="94">
        <f>(Table3.110[[#This Row],[Net gas 24h, ml]]/Table3.110[[#This Row],[DM Incubated, mg]])*1000</f>
        <v>193.18940259138049</v>
      </c>
      <c r="AN731" s="94">
        <f>'3.2 Digest'!X731</f>
        <v>43.333384574538997</v>
      </c>
      <c r="AO731" s="94">
        <f>Table3.110[[#This Row],[Digested feed, mg]]/Table3.110[[#This Row],[Net gas 24h, ml]]</f>
        <v>2.243051844111474</v>
      </c>
      <c r="AP731" s="94">
        <f>Table3.110[[#This Row],[CH4 8h, ml]]/Table3.110[[#This Row],[Net gas 8h, ml]]%</f>
        <v>12.899999999999999</v>
      </c>
      <c r="AQ731" s="94">
        <f>Table3.110[[#This Row],[CH4 24h, ml]]/Table3.110[[#This Row],[Net gas 24h, ml]]%</f>
        <v>14.982908417331386</v>
      </c>
      <c r="AR731" s="94">
        <f>Table3.110[[#This Row],[CH4 24h, ml]]/Table3.110[[#This Row],[DM Incubated, mg]]*1000</f>
        <v>28.945391262256162</v>
      </c>
      <c r="AS731" s="94">
        <f>Table3.110[[#This Row],[CH4 24h, ml]]/Table3.110[[#This Row],[Digested feed, mg]]*1000</f>
        <v>66.796977772337087</v>
      </c>
      <c r="AT731" s="94">
        <f>Table3.110[[#This Row],[CH4 24h, ml]]/'3.2 Digest'!AA731</f>
        <v>-0.53685828148744907</v>
      </c>
      <c r="AU731" s="94">
        <f>((Table3.110[[#This Row],[CH4 24h, ml]]/28.9)*16.04)/Table3.110[[#This Row],[DM Incubated, mg]]*1000</f>
        <v>16.065192935868126</v>
      </c>
      <c r="AV731" s="94">
        <f>((Table3.110[[#This Row],[CH4 24h, ml]]/28.9)*16.04)/Table3.110[[#This Row],[Digested feed, mg]]*1000</f>
        <v>37.073478320701973</v>
      </c>
      <c r="AW731" s="303"/>
    </row>
    <row r="732" spans="1:50" s="304" customFormat="1" x14ac:dyDescent="0.35">
      <c r="A732" s="89"/>
      <c r="B732" s="90">
        <f t="shared" si="11"/>
        <v>722</v>
      </c>
      <c r="C732" s="140">
        <v>46076</v>
      </c>
      <c r="D732" s="92" t="s">
        <v>16</v>
      </c>
      <c r="E732" s="6" t="s">
        <v>225</v>
      </c>
      <c r="F732" s="242" t="s">
        <v>226</v>
      </c>
      <c r="G732" s="242" t="s">
        <v>227</v>
      </c>
      <c r="H732" s="6" t="str">
        <f>'[2]1. Information samples'!$K$48</f>
        <v>Macroptilium atropurpureum</v>
      </c>
      <c r="I732" s="6" t="s">
        <v>22</v>
      </c>
      <c r="J732" s="129" t="s">
        <v>23</v>
      </c>
      <c r="K732" s="129" t="s">
        <v>24</v>
      </c>
      <c r="L732" s="6" t="s">
        <v>224</v>
      </c>
      <c r="M732" s="256">
        <v>28</v>
      </c>
      <c r="N732" s="256">
        <v>69</v>
      </c>
      <c r="O732" s="256">
        <v>3</v>
      </c>
      <c r="P732" s="257">
        <v>1</v>
      </c>
      <c r="Q732" s="96">
        <v>141</v>
      </c>
      <c r="R732" s="98">
        <v>0.50029999999999997</v>
      </c>
      <c r="S732" s="94">
        <f>((Table3.110[[#This Row],[Sample weight, g]]*'2.1. DM'!Q141)/100)*1000</f>
        <v>455.68889039433526</v>
      </c>
      <c r="T732" s="94">
        <f>'3.2 Digest'!W732</f>
        <v>155.58889039433535</v>
      </c>
      <c r="U732" s="153">
        <v>0.3576388888888889</v>
      </c>
      <c r="V732" s="154">
        <v>41</v>
      </c>
      <c r="W732" s="153">
        <v>0.71875</v>
      </c>
      <c r="X732" s="95">
        <v>78.5</v>
      </c>
      <c r="Y732" s="95">
        <v>11.8</v>
      </c>
      <c r="Z732" s="154">
        <v>40</v>
      </c>
      <c r="AA732" s="153">
        <v>0.39513888888888887</v>
      </c>
      <c r="AB732" s="154">
        <v>75</v>
      </c>
      <c r="AC732" s="154">
        <v>15.6</v>
      </c>
      <c r="AD732" s="91"/>
      <c r="AE732" s="94">
        <f>Table3.110[[#This Row],[Gas 8h, ml]]-Table3.110[[#This Row],[Gas 0h, ml]]</f>
        <v>37.5</v>
      </c>
      <c r="AF732" s="94">
        <f>Table3.110[[#This Row],[Gas 24h, ml]]-Table3.110[[#This Row],[V8 Push back, ml]]</f>
        <v>35</v>
      </c>
      <c r="AG732" s="94">
        <f>Table3.110[[#This Row],[GP 8h, ml]]-AVERAGE(AE$664,AE$665,AE$726,AE$727,AE$788,AE$789)*$AG$8</f>
        <v>35.656235924806332</v>
      </c>
      <c r="AH732" s="94">
        <f>Table3.110[[#This Row],[GP 8-24h, ml]]-AVERAGE(AF$664,AF$665,AF$726,AF$727,AF$788,AF$789)*$AG$8</f>
        <v>32.676857265255975</v>
      </c>
      <c r="AI732" s="94">
        <f>Table3.110[[#This Row],[Net gas 8-24h, ml]]+Table3.110[[#This Row],[Net gas 8h, ml]]</f>
        <v>68.3330931900623</v>
      </c>
      <c r="AJ732" s="94">
        <f>Table3.110[[#This Row],[Net gas 8h, ml]]*Table3.110[[#This Row],[CH4 8h %]]%</f>
        <v>4.2074358391271476</v>
      </c>
      <c r="AK732" s="94">
        <f>Table3.110[[#This Row],[Net gas 8-24h, ml]]*Table3.110[[#This Row],[CH4 24h, %]]%</f>
        <v>5.097589733379932</v>
      </c>
      <c r="AL732" s="94">
        <f>Table3.110[[#This Row],[CH4 8-24h, ml]]+Table3.110[[#This Row],[CH4 8h, ml]]</f>
        <v>9.3050255725070805</v>
      </c>
      <c r="AM732" s="94">
        <f>(Table3.110[[#This Row],[Net gas 24h, ml]]/Table3.110[[#This Row],[DM Incubated, mg]])*1000</f>
        <v>149.9555829217814</v>
      </c>
      <c r="AN732" s="94">
        <f>'3.2 Digest'!X732</f>
        <v>34.143665486269555</v>
      </c>
      <c r="AO732" s="94">
        <f>Table3.110[[#This Row],[Digested feed, mg]]/Table3.110[[#This Row],[Net gas 24h, ml]]</f>
        <v>2.2769185928928897</v>
      </c>
      <c r="AP732" s="94">
        <f>Table3.110[[#This Row],[CH4 8h, ml]]/Table3.110[[#This Row],[Net gas 8h, ml]]%</f>
        <v>11.8</v>
      </c>
      <c r="AQ732" s="94">
        <f>Table3.110[[#This Row],[CH4 24h, ml]]/Table3.110[[#This Row],[Net gas 24h, ml]]%</f>
        <v>13.617158448580684</v>
      </c>
      <c r="AR732" s="94">
        <f>Table3.110[[#This Row],[CH4 24h, ml]]/Table3.110[[#This Row],[DM Incubated, mg]]*1000</f>
        <v>20.419689328951769</v>
      </c>
      <c r="AS732" s="94">
        <f>Table3.110[[#This Row],[CH4 24h, ml]]/Table3.110[[#This Row],[Digested feed, mg]]*1000</f>
        <v>59.805205557567596</v>
      </c>
      <c r="AT732" s="94">
        <f>Table3.110[[#This Row],[CH4 24h, ml]]/'3.2 Digest'!AA732</f>
        <v>-0.20958960371871979</v>
      </c>
      <c r="AU732" s="94">
        <f>((Table3.110[[#This Row],[CH4 24h, ml]]/28.9)*16.04)/Table3.110[[#This Row],[DM Incubated, mg]]*1000</f>
        <v>11.333280859390532</v>
      </c>
      <c r="AV732" s="94">
        <f>((Table3.110[[#This Row],[CH4 24h, ml]]/28.9)*16.04)/Table3.110[[#This Row],[Digested feed, mg]]*1000</f>
        <v>33.192923776587691</v>
      </c>
      <c r="AW732" s="303"/>
    </row>
    <row r="733" spans="1:50" s="304" customFormat="1" x14ac:dyDescent="0.35">
      <c r="A733" s="89"/>
      <c r="B733" s="90">
        <f t="shared" si="11"/>
        <v>723</v>
      </c>
      <c r="C733" s="140">
        <v>46076</v>
      </c>
      <c r="D733" s="92" t="s">
        <v>16</v>
      </c>
      <c r="E733" s="6" t="s">
        <v>225</v>
      </c>
      <c r="F733" s="242" t="s">
        <v>226</v>
      </c>
      <c r="G733" s="242" t="s">
        <v>227</v>
      </c>
      <c r="H733" s="6" t="str">
        <f>'[2]1. Information samples'!$K$48</f>
        <v>Macroptilium atropurpureum</v>
      </c>
      <c r="I733" s="6" t="s">
        <v>22</v>
      </c>
      <c r="J733" s="129" t="s">
        <v>23</v>
      </c>
      <c r="K733" s="129" t="s">
        <v>24</v>
      </c>
      <c r="L733" s="6" t="s">
        <v>224</v>
      </c>
      <c r="M733" s="256">
        <v>28</v>
      </c>
      <c r="N733" s="256">
        <v>69</v>
      </c>
      <c r="O733" s="256">
        <v>3</v>
      </c>
      <c r="P733" s="257">
        <v>2</v>
      </c>
      <c r="Q733" s="96">
        <v>142</v>
      </c>
      <c r="R733" s="98">
        <v>0.50029999999999997</v>
      </c>
      <c r="S733" s="94">
        <f>((Table3.110[[#This Row],[Sample weight, g]]*'2.1. DM'!Q141)/100)*1000</f>
        <v>455.68889039433526</v>
      </c>
      <c r="T733" s="94">
        <f>'3.2 Digest'!W733</f>
        <v>150.88889039433519</v>
      </c>
      <c r="U733" s="117">
        <v>0.3576388888888889</v>
      </c>
      <c r="V733" s="155">
        <v>41.5</v>
      </c>
      <c r="W733" s="117">
        <v>0.71875</v>
      </c>
      <c r="X733" s="97">
        <v>78</v>
      </c>
      <c r="Y733" s="97">
        <v>11.6</v>
      </c>
      <c r="Z733" s="155">
        <v>40.5</v>
      </c>
      <c r="AA733" s="117">
        <v>0.39513888888888887</v>
      </c>
      <c r="AB733" s="155">
        <v>75.5</v>
      </c>
      <c r="AC733" s="155">
        <v>15.2</v>
      </c>
      <c r="AD733" s="96"/>
      <c r="AE733" s="94">
        <f>Table3.110[[#This Row],[Gas 8h, ml]]-Table3.110[[#This Row],[Gas 0h, ml]]</f>
        <v>36.5</v>
      </c>
      <c r="AF733" s="94">
        <f>Table3.110[[#This Row],[Gas 24h, ml]]-Table3.110[[#This Row],[V8 Push back, ml]]</f>
        <v>35</v>
      </c>
      <c r="AG733" s="94">
        <f>Table3.110[[#This Row],[GP 8h, ml]]-AVERAGE(AE$664,AE$665,AE$726,AE$727,AE$788,AE$789)*$AG$8</f>
        <v>34.656235924806332</v>
      </c>
      <c r="AH733" s="94">
        <f>Table3.110[[#This Row],[GP 8-24h, ml]]-AVERAGE(AF$664,AF$665,AF$726,AF$727,AF$788,AF$789)*$AG$8</f>
        <v>32.676857265255975</v>
      </c>
      <c r="AI733" s="94">
        <f>Table3.110[[#This Row],[Net gas 8-24h, ml]]+Table3.110[[#This Row],[Net gas 8h, ml]]</f>
        <v>67.3330931900623</v>
      </c>
      <c r="AJ733" s="94">
        <f>Table3.110[[#This Row],[Net gas 8h, ml]]*Table3.110[[#This Row],[CH4 8h %]]%</f>
        <v>4.0201233672775345</v>
      </c>
      <c r="AK733" s="94">
        <f>Table3.110[[#This Row],[Net gas 8-24h, ml]]*Table3.110[[#This Row],[CH4 24h, %]]%</f>
        <v>4.9668823043189079</v>
      </c>
      <c r="AL733" s="94">
        <f>Table3.110[[#This Row],[CH4 8-24h, ml]]+Table3.110[[#This Row],[CH4 8h, ml]]</f>
        <v>8.9870056715964424</v>
      </c>
      <c r="AM733" s="94">
        <f>(Table3.110[[#This Row],[Net gas 24h, ml]]/Table3.110[[#This Row],[DM Incubated, mg]])*1000</f>
        <v>147.76110326454281</v>
      </c>
      <c r="AN733" s="94">
        <f>'3.2 Digest'!X733</f>
        <v>33.112260047367378</v>
      </c>
      <c r="AO733" s="94">
        <f>Table3.110[[#This Row],[Digested feed, mg]]/Table3.110[[#This Row],[Net gas 24h, ml]]</f>
        <v>2.2409321070163593</v>
      </c>
      <c r="AP733" s="94">
        <f>Table3.110[[#This Row],[CH4 8h, ml]]/Table3.110[[#This Row],[Net gas 8h, ml]]%</f>
        <v>11.6</v>
      </c>
      <c r="AQ733" s="94">
        <f>Table3.110[[#This Row],[CH4 24h, ml]]/Table3.110[[#This Row],[Net gas 24h, ml]]%</f>
        <v>13.347085728304007</v>
      </c>
      <c r="AR733" s="94">
        <f>Table3.110[[#This Row],[CH4 24h, ml]]/Table3.110[[#This Row],[DM Incubated, mg]]*1000</f>
        <v>19.721801125806337</v>
      </c>
      <c r="AS733" s="94">
        <f>Table3.110[[#This Row],[CH4 24h, ml]]/Table3.110[[#This Row],[Digested feed, mg]]*1000</f>
        <v>59.560419909707548</v>
      </c>
      <c r="AT733" s="94">
        <f>Table3.110[[#This Row],[CH4 24h, ml]]/'3.2 Digest'!AA733</f>
        <v>-0.19261502302871608</v>
      </c>
      <c r="AU733" s="94">
        <f>((Table3.110[[#This Row],[CH4 24h, ml]]/28.9)*16.04)/Table3.110[[#This Row],[DM Incubated, mg]]*1000</f>
        <v>10.945940832454452</v>
      </c>
      <c r="AV733" s="94">
        <f>((Table3.110[[#This Row],[CH4 24h, ml]]/28.9)*16.04)/Table3.110[[#This Row],[Digested feed, mg]]*1000</f>
        <v>33.057063506979553</v>
      </c>
      <c r="AW733" s="303"/>
    </row>
    <row r="734" spans="1:50" s="304" customFormat="1" x14ac:dyDescent="0.35">
      <c r="A734" s="89"/>
      <c r="B734" s="90">
        <f t="shared" si="11"/>
        <v>724</v>
      </c>
      <c r="C734" s="140">
        <v>46076</v>
      </c>
      <c r="D734" s="92" t="s">
        <v>16</v>
      </c>
      <c r="E734" s="6" t="s">
        <v>230</v>
      </c>
      <c r="F734" s="242" t="s">
        <v>226</v>
      </c>
      <c r="G734" s="242" t="s">
        <v>231</v>
      </c>
      <c r="H734" s="6" t="str">
        <f>'[2]1. Information samples'!$K$49</f>
        <v>Macroptilium bracteatum</v>
      </c>
      <c r="I734" s="6" t="s">
        <v>22</v>
      </c>
      <c r="J734" s="129" t="s">
        <v>23</v>
      </c>
      <c r="K734" s="129" t="s">
        <v>24</v>
      </c>
      <c r="L734" s="6" t="s">
        <v>229</v>
      </c>
      <c r="M734" s="256">
        <v>28</v>
      </c>
      <c r="N734" s="256">
        <v>69</v>
      </c>
      <c r="O734" s="256">
        <v>3</v>
      </c>
      <c r="P734" s="257">
        <v>1</v>
      </c>
      <c r="Q734" s="96">
        <v>143</v>
      </c>
      <c r="R734" s="98">
        <v>0.5</v>
      </c>
      <c r="S734" s="94">
        <f>((Table3.110[[#This Row],[Sample weight, g]]*'2.1. DM'!Q143)/100)*1000</f>
        <v>464.98905795494943</v>
      </c>
      <c r="T734" s="94">
        <f>'3.2 Digest'!W734</f>
        <v>154.88905795494952</v>
      </c>
      <c r="U734" s="153">
        <v>0.35833333333333334</v>
      </c>
      <c r="V734" s="154">
        <v>41</v>
      </c>
      <c r="W734" s="153">
        <v>0.71944444444444444</v>
      </c>
      <c r="X734" s="91">
        <v>76</v>
      </c>
      <c r="Y734" s="91">
        <v>12.5</v>
      </c>
      <c r="Z734" s="154">
        <v>40.5</v>
      </c>
      <c r="AA734" s="153">
        <v>0.39583333333333331</v>
      </c>
      <c r="AB734" s="154">
        <v>82.5</v>
      </c>
      <c r="AC734" s="154">
        <v>15.2</v>
      </c>
      <c r="AD734" s="91"/>
      <c r="AE734" s="94">
        <f>Table3.110[[#This Row],[Gas 8h, ml]]-Table3.110[[#This Row],[Gas 0h, ml]]</f>
        <v>35</v>
      </c>
      <c r="AF734" s="94">
        <f>Table3.110[[#This Row],[Gas 24h, ml]]-Table3.110[[#This Row],[V8 Push back, ml]]</f>
        <v>42</v>
      </c>
      <c r="AG734" s="94">
        <f>Table3.110[[#This Row],[GP 8h, ml]]-AVERAGE(AE$664,AE$665,AE$726,AE$727,AE$788,AE$789)*$AG$8</f>
        <v>33.156235924806332</v>
      </c>
      <c r="AH734" s="94">
        <f>Table3.110[[#This Row],[GP 8-24h, ml]]-AVERAGE(AF$664,AF$665,AF$726,AF$727,AF$788,AF$789)*$AG$8</f>
        <v>39.676857265255975</v>
      </c>
      <c r="AI734" s="94">
        <f>Table3.110[[#This Row],[Net gas 8-24h, ml]]+Table3.110[[#This Row],[Net gas 8h, ml]]</f>
        <v>72.8330931900623</v>
      </c>
      <c r="AJ734" s="94">
        <f>Table3.110[[#This Row],[Net gas 8h, ml]]*Table3.110[[#This Row],[CH4 8h %]]%</f>
        <v>4.1445294906007915</v>
      </c>
      <c r="AK734" s="94">
        <f>Table3.110[[#This Row],[Net gas 8-24h, ml]]*Table3.110[[#This Row],[CH4 24h, %]]%</f>
        <v>6.0308823043189079</v>
      </c>
      <c r="AL734" s="94">
        <f>Table3.110[[#This Row],[CH4 8-24h, ml]]+Table3.110[[#This Row],[CH4 8h, ml]]</f>
        <v>10.1754117949197</v>
      </c>
      <c r="AM734" s="94">
        <f>(Table3.110[[#This Row],[Net gas 24h, ml]]/Table3.110[[#This Row],[DM Incubated, mg]])*1000</f>
        <v>156.63399373393159</v>
      </c>
      <c r="AN734" s="94">
        <f>'3.2 Digest'!X734</f>
        <v>33.310258662034151</v>
      </c>
      <c r="AO734" s="94">
        <f>Table3.110[[#This Row],[Digested feed, mg]]/Table3.110[[#This Row],[Net gas 24h, ml]]</f>
        <v>2.1266302331929978</v>
      </c>
      <c r="AP734" s="94">
        <f>Table3.110[[#This Row],[CH4 8h, ml]]/Table3.110[[#This Row],[Net gas 8h, ml]]%</f>
        <v>12.5</v>
      </c>
      <c r="AQ734" s="94">
        <f>Table3.110[[#This Row],[CH4 24h, ml]]/Table3.110[[#This Row],[Net gas 24h, ml]]%</f>
        <v>13.970863173923364</v>
      </c>
      <c r="AR734" s="94">
        <f>Table3.110[[#This Row],[CH4 24h, ml]]/Table3.110[[#This Row],[DM Incubated, mg]]*1000</f>
        <v>21.883120948419279</v>
      </c>
      <c r="AS734" s="94">
        <f>Table3.110[[#This Row],[CH4 24h, ml]]/Table3.110[[#This Row],[Digested feed, mg]]*1000</f>
        <v>65.694839450048732</v>
      </c>
      <c r="AT734" s="94">
        <f>Table3.110[[#This Row],[CH4 24h, ml]]/'3.2 Digest'!AA734</f>
        <v>-0.34317547964116174</v>
      </c>
      <c r="AU734" s="94">
        <f>((Table3.110[[#This Row],[CH4 24h, ml]]/28.9)*16.04)/Table3.110[[#This Row],[DM Incubated, mg]]*1000</f>
        <v>12.145510727081151</v>
      </c>
      <c r="AV734" s="94">
        <f>((Table3.110[[#This Row],[CH4 24h, ml]]/28.9)*16.04)/Table3.110[[#This Row],[Digested feed, mg]]*1000</f>
        <v>36.461772483694865</v>
      </c>
      <c r="AW734" s="303"/>
    </row>
    <row r="735" spans="1:50" s="304" customFormat="1" x14ac:dyDescent="0.35">
      <c r="A735" s="89"/>
      <c r="B735" s="90">
        <f t="shared" si="11"/>
        <v>725</v>
      </c>
      <c r="C735" s="140">
        <v>46076</v>
      </c>
      <c r="D735" s="92" t="s">
        <v>16</v>
      </c>
      <c r="E735" s="6" t="s">
        <v>230</v>
      </c>
      <c r="F735" s="242" t="s">
        <v>226</v>
      </c>
      <c r="G735" s="242" t="s">
        <v>231</v>
      </c>
      <c r="H735" s="6" t="str">
        <f>'[2]1. Information samples'!$K$49</f>
        <v>Macroptilium bracteatum</v>
      </c>
      <c r="I735" s="6" t="s">
        <v>22</v>
      </c>
      <c r="J735" s="129" t="s">
        <v>23</v>
      </c>
      <c r="K735" s="129" t="s">
        <v>24</v>
      </c>
      <c r="L735" s="6" t="s">
        <v>229</v>
      </c>
      <c r="M735" s="256">
        <v>28</v>
      </c>
      <c r="N735" s="256">
        <v>69</v>
      </c>
      <c r="O735" s="256">
        <v>3</v>
      </c>
      <c r="P735" s="257">
        <v>2</v>
      </c>
      <c r="Q735" s="96">
        <v>144</v>
      </c>
      <c r="R735" s="98">
        <v>0.50009999999999999</v>
      </c>
      <c r="S735" s="94">
        <f>((Table3.110[[#This Row],[Sample weight, g]]*'2.1. DM'!Q143)/100)*1000</f>
        <v>465.08205576654046</v>
      </c>
      <c r="T735" s="94">
        <f>'3.2 Digest'!W735</f>
        <v>181.78205576654045</v>
      </c>
      <c r="U735" s="117">
        <v>0.35833333333333334</v>
      </c>
      <c r="V735" s="155">
        <v>40.5</v>
      </c>
      <c r="W735" s="117">
        <v>0.71944444444444444</v>
      </c>
      <c r="X735" s="96">
        <v>74.5</v>
      </c>
      <c r="Y735" s="96">
        <v>12.1</v>
      </c>
      <c r="Z735" s="155">
        <v>38.5</v>
      </c>
      <c r="AA735" s="117">
        <v>0.39583333333333331</v>
      </c>
      <c r="AB735" s="155">
        <v>77.5</v>
      </c>
      <c r="AC735" s="155">
        <v>15</v>
      </c>
      <c r="AD735" s="96"/>
      <c r="AE735" s="94">
        <f>Table3.110[[#This Row],[Gas 8h, ml]]-Table3.110[[#This Row],[Gas 0h, ml]]</f>
        <v>34</v>
      </c>
      <c r="AF735" s="94">
        <f>Table3.110[[#This Row],[Gas 24h, ml]]-Table3.110[[#This Row],[V8 Push back, ml]]</f>
        <v>39</v>
      </c>
      <c r="AG735" s="94">
        <f>Table3.110[[#This Row],[GP 8h, ml]]-AVERAGE(AE$664,AE$665,AE$726,AE$727,AE$788,AE$789)*$AG$8</f>
        <v>32.156235924806332</v>
      </c>
      <c r="AH735" s="94">
        <f>Table3.110[[#This Row],[GP 8-24h, ml]]-AVERAGE(AF$664,AF$665,AF$726,AF$727,AF$788,AF$789)*$AG$8</f>
        <v>36.676857265255975</v>
      </c>
      <c r="AI735" s="94">
        <f>Table3.110[[#This Row],[Net gas 8-24h, ml]]+Table3.110[[#This Row],[Net gas 8h, ml]]</f>
        <v>68.8330931900623</v>
      </c>
      <c r="AJ735" s="94">
        <f>Table3.110[[#This Row],[Net gas 8h, ml]]*Table3.110[[#This Row],[CH4 8h %]]%</f>
        <v>3.8909045469015662</v>
      </c>
      <c r="AK735" s="94">
        <f>Table3.110[[#This Row],[Net gas 8-24h, ml]]*Table3.110[[#This Row],[CH4 24h, %]]%</f>
        <v>5.5015285897883963</v>
      </c>
      <c r="AL735" s="94">
        <f>Table3.110[[#This Row],[CH4 8-24h, ml]]+Table3.110[[#This Row],[CH4 8h, ml]]</f>
        <v>9.3924331366899629</v>
      </c>
      <c r="AM735" s="94">
        <f>(Table3.110[[#This Row],[Net gas 24h, ml]]/Table3.110[[#This Row],[DM Incubated, mg]])*1000</f>
        <v>148.00204036385094</v>
      </c>
      <c r="AN735" s="94">
        <f>'3.2 Digest'!X735</f>
        <v>39.086017942990793</v>
      </c>
      <c r="AO735" s="94">
        <f>Table3.110[[#This Row],[Digested feed, mg]]/Table3.110[[#This Row],[Net gas 24h, ml]]</f>
        <v>2.6409107500748643</v>
      </c>
      <c r="AP735" s="94">
        <f>Table3.110[[#This Row],[CH4 8h, ml]]/Table3.110[[#This Row],[Net gas 8h, ml]]%</f>
        <v>12.1</v>
      </c>
      <c r="AQ735" s="94">
        <f>Table3.110[[#This Row],[CH4 24h, ml]]/Table3.110[[#This Row],[Net gas 24h, ml]]%</f>
        <v>13.645228917369044</v>
      </c>
      <c r="AR735" s="94">
        <f>Table3.110[[#This Row],[CH4 24h, ml]]/Table3.110[[#This Row],[DM Incubated, mg]]*1000</f>
        <v>20.195217210024396</v>
      </c>
      <c r="AS735" s="94">
        <f>Table3.110[[#This Row],[CH4 24h, ml]]/Table3.110[[#This Row],[Digested feed, mg]]*1000</f>
        <v>51.668648465239613</v>
      </c>
      <c r="AT735" s="94">
        <f>Table3.110[[#This Row],[CH4 24h, ml]]/'3.2 Digest'!AA735</f>
        <v>-0.50984408692797856</v>
      </c>
      <c r="AU735" s="94">
        <f>((Table3.110[[#This Row],[CH4 24h, ml]]/28.9)*16.04)/Table3.110[[#This Row],[DM Incubated, mg]]*1000</f>
        <v>11.208694949785166</v>
      </c>
      <c r="AV735" s="94">
        <f>((Table3.110[[#This Row],[CH4 24h, ml]]/28.9)*16.04)/Table3.110[[#This Row],[Digested feed, mg]]*1000</f>
        <v>28.67699381946171</v>
      </c>
      <c r="AW735" s="303"/>
    </row>
    <row r="736" spans="1:50" s="304" customFormat="1" x14ac:dyDescent="0.35">
      <c r="A736" s="89"/>
      <c r="B736" s="90">
        <f t="shared" si="11"/>
        <v>726</v>
      </c>
      <c r="C736" s="140">
        <v>46076</v>
      </c>
      <c r="D736" s="92" t="s">
        <v>16</v>
      </c>
      <c r="E736" s="6" t="s">
        <v>234</v>
      </c>
      <c r="F736" s="242" t="s">
        <v>235</v>
      </c>
      <c r="G736" s="242" t="s">
        <v>236</v>
      </c>
      <c r="H736" s="6" t="str">
        <f>'[2]1. Information samples'!$K$50</f>
        <v>Zornia latifolia</v>
      </c>
      <c r="I736" s="6" t="s">
        <v>22</v>
      </c>
      <c r="J736" s="129" t="s">
        <v>23</v>
      </c>
      <c r="K736" s="129" t="s">
        <v>24</v>
      </c>
      <c r="L736" s="6" t="s">
        <v>233</v>
      </c>
      <c r="M736" s="256">
        <v>28</v>
      </c>
      <c r="N736" s="256">
        <v>69</v>
      </c>
      <c r="O736" s="256">
        <v>3</v>
      </c>
      <c r="P736" s="257">
        <v>1</v>
      </c>
      <c r="Q736" s="96">
        <v>145</v>
      </c>
      <c r="R736" s="98">
        <v>0.50019999999999998</v>
      </c>
      <c r="S736" s="94">
        <f>((Table3.110[[#This Row],[Sample weight, g]]*'2.1. DM'!Q145)/100)*1000</f>
        <v>444.41671332866719</v>
      </c>
      <c r="T736" s="94">
        <f>'3.2 Digest'!W736</f>
        <v>96.616713328667174</v>
      </c>
      <c r="U736" s="117">
        <v>0.35902777777777778</v>
      </c>
      <c r="V736" s="155">
        <v>41.5</v>
      </c>
      <c r="W736" s="117">
        <v>0.72013888888888888</v>
      </c>
      <c r="X736" s="96">
        <v>92.5</v>
      </c>
      <c r="Y736" s="96">
        <v>13.2</v>
      </c>
      <c r="Z736" s="155">
        <v>40.5</v>
      </c>
      <c r="AA736" s="117">
        <v>0.39652777777777776</v>
      </c>
      <c r="AB736" s="155">
        <v>92.5</v>
      </c>
      <c r="AC736" s="155">
        <v>15.9</v>
      </c>
      <c r="AD736" s="96"/>
      <c r="AE736" s="94">
        <f>Table3.110[[#This Row],[Gas 8h, ml]]-Table3.110[[#This Row],[Gas 0h, ml]]</f>
        <v>51</v>
      </c>
      <c r="AF736" s="94">
        <f>Table3.110[[#This Row],[Gas 24h, ml]]-Table3.110[[#This Row],[V8 Push back, ml]]</f>
        <v>52</v>
      </c>
      <c r="AG736" s="94">
        <f>Table3.110[[#This Row],[GP 8h, ml]]-AVERAGE(AE$664,AE$665,AE$726,AE$727,AE$788,AE$789)*$AG$8</f>
        <v>49.156235924806332</v>
      </c>
      <c r="AH736" s="94">
        <f>Table3.110[[#This Row],[GP 8-24h, ml]]-AVERAGE(AF$664,AF$665,AF$726,AF$727,AF$788,AF$789)*$AG$8</f>
        <v>49.676857265255975</v>
      </c>
      <c r="AI736" s="94">
        <f>Table3.110[[#This Row],[Net gas 8-24h, ml]]+Table3.110[[#This Row],[Net gas 8h, ml]]</f>
        <v>98.8330931900623</v>
      </c>
      <c r="AJ736" s="94">
        <f>Table3.110[[#This Row],[Net gas 8h, ml]]*Table3.110[[#This Row],[CH4 8h %]]%</f>
        <v>6.4886231420744362</v>
      </c>
      <c r="AK736" s="94">
        <f>Table3.110[[#This Row],[Net gas 8-24h, ml]]*Table3.110[[#This Row],[CH4 24h, %]]%</f>
        <v>7.8986203051757</v>
      </c>
      <c r="AL736" s="94">
        <f>Table3.110[[#This Row],[CH4 8-24h, ml]]+Table3.110[[#This Row],[CH4 8h, ml]]</f>
        <v>14.387243447250135</v>
      </c>
      <c r="AM736" s="94">
        <f>(Table3.110[[#This Row],[Net gas 24h, ml]]/Table3.110[[#This Row],[DM Incubated, mg]])*1000</f>
        <v>222.38833560017477</v>
      </c>
      <c r="AN736" s="94">
        <f>'3.2 Digest'!X736</f>
        <v>21.740116973776939</v>
      </c>
      <c r="AO736" s="94">
        <f>Table3.110[[#This Row],[Digested feed, mg]]/Table3.110[[#This Row],[Net gas 24h, ml]]</f>
        <v>0.97757451689655317</v>
      </c>
      <c r="AP736" s="94">
        <f>Table3.110[[#This Row],[CH4 8h, ml]]/Table3.110[[#This Row],[Net gas 8h, ml]]%</f>
        <v>13.200000000000001</v>
      </c>
      <c r="AQ736" s="94">
        <f>Table3.110[[#This Row],[CH4 24h, ml]]/Table3.110[[#This Row],[Net gas 24h, ml]]%</f>
        <v>14.557111371170539</v>
      </c>
      <c r="AR736" s="94">
        <f>Table3.110[[#This Row],[CH4 24h, ml]]/Table3.110[[#This Row],[DM Incubated, mg]]*1000</f>
        <v>32.373317689809944</v>
      </c>
      <c r="AS736" s="94">
        <f>Table3.110[[#This Row],[CH4 24h, ml]]/Table3.110[[#This Row],[Digested feed, mg]]*1000</f>
        <v>148.91050369627189</v>
      </c>
      <c r="AT736" s="94">
        <f>Table3.110[[#This Row],[CH4 24h, ml]]/'3.2 Digest'!AA736</f>
        <v>-0.27041212643538665</v>
      </c>
      <c r="AU736" s="94">
        <f>((Table3.110[[#This Row],[CH4 24h, ml]]/28.9)*16.04)/Table3.110[[#This Row],[DM Incubated, mg]]*1000</f>
        <v>17.96775140984607</v>
      </c>
      <c r="AV736" s="94">
        <f>((Table3.110[[#This Row],[CH4 24h, ml]]/28.9)*16.04)/Table3.110[[#This Row],[Digested feed, mg]]*1000</f>
        <v>82.647905857723231</v>
      </c>
      <c r="AW736" s="303"/>
    </row>
    <row r="737" spans="1:49" s="304" customFormat="1" x14ac:dyDescent="0.35">
      <c r="A737" s="89"/>
      <c r="B737" s="90">
        <f t="shared" si="11"/>
        <v>727</v>
      </c>
      <c r="C737" s="140">
        <v>46076</v>
      </c>
      <c r="D737" s="92" t="s">
        <v>16</v>
      </c>
      <c r="E737" s="6" t="s">
        <v>234</v>
      </c>
      <c r="F737" s="242" t="s">
        <v>235</v>
      </c>
      <c r="G737" s="242" t="s">
        <v>236</v>
      </c>
      <c r="H737" s="6" t="str">
        <f>'[2]1. Information samples'!$K$50</f>
        <v>Zornia latifolia</v>
      </c>
      <c r="I737" s="6" t="s">
        <v>22</v>
      </c>
      <c r="J737" s="129" t="s">
        <v>23</v>
      </c>
      <c r="K737" s="129" t="s">
        <v>24</v>
      </c>
      <c r="L737" s="6" t="s">
        <v>233</v>
      </c>
      <c r="M737" s="256">
        <v>28</v>
      </c>
      <c r="N737" s="256">
        <v>69</v>
      </c>
      <c r="O737" s="256">
        <v>3</v>
      </c>
      <c r="P737" s="257">
        <v>2</v>
      </c>
      <c r="Q737" s="96">
        <v>146</v>
      </c>
      <c r="R737" s="98">
        <v>0.5</v>
      </c>
      <c r="S737" s="94">
        <f>((Table3.110[[#This Row],[Sample weight, g]]*'2.1. DM'!Q145)/100)*1000</f>
        <v>444.23901772157853</v>
      </c>
      <c r="T737" s="94">
        <f>'3.2 Digest'!W737</f>
        <v>200.13901772157854</v>
      </c>
      <c r="U737" s="117">
        <v>0.35902777777777778</v>
      </c>
      <c r="V737" s="154">
        <v>40.5</v>
      </c>
      <c r="W737" s="153">
        <v>0.72083333333333333</v>
      </c>
      <c r="X737" s="91">
        <v>98</v>
      </c>
      <c r="Y737" s="91">
        <v>13.7</v>
      </c>
      <c r="Z737" s="154">
        <v>40</v>
      </c>
      <c r="AA737" s="153">
        <v>0.3972222222222222</v>
      </c>
      <c r="AB737" s="154">
        <v>91.5</v>
      </c>
      <c r="AC737" s="154">
        <v>16</v>
      </c>
      <c r="AD737" s="91"/>
      <c r="AE737" s="94">
        <f>Table3.110[[#This Row],[Gas 8h, ml]]-Table3.110[[#This Row],[Gas 0h, ml]]</f>
        <v>57.5</v>
      </c>
      <c r="AF737" s="94">
        <f>Table3.110[[#This Row],[Gas 24h, ml]]-Table3.110[[#This Row],[V8 Push back, ml]]</f>
        <v>51.5</v>
      </c>
      <c r="AG737" s="94">
        <f>Table3.110[[#This Row],[GP 8h, ml]]-AVERAGE(AE$664,AE$665,AE$726,AE$727,AE$788,AE$789)*$AG$8</f>
        <v>55.656235924806332</v>
      </c>
      <c r="AH737" s="94">
        <f>Table3.110[[#This Row],[GP 8-24h, ml]]-AVERAGE(AF$664,AF$665,AF$726,AF$727,AF$788,AF$789)*$AG$8</f>
        <v>49.176857265255975</v>
      </c>
      <c r="AI737" s="94">
        <f>Table3.110[[#This Row],[Net gas 8-24h, ml]]+Table3.110[[#This Row],[Net gas 8h, ml]]</f>
        <v>104.8330931900623</v>
      </c>
      <c r="AJ737" s="94">
        <f>Table3.110[[#This Row],[Net gas 8h, ml]]*Table3.110[[#This Row],[CH4 8h %]]%</f>
        <v>7.6249043216984669</v>
      </c>
      <c r="AK737" s="94">
        <f>Table3.110[[#This Row],[Net gas 8-24h, ml]]*Table3.110[[#This Row],[CH4 24h, %]]%</f>
        <v>7.8682971624409559</v>
      </c>
      <c r="AL737" s="94">
        <f>Table3.110[[#This Row],[CH4 8-24h, ml]]+Table3.110[[#This Row],[CH4 8h, ml]]</f>
        <v>15.493201484139423</v>
      </c>
      <c r="AM737" s="94">
        <f>(Table3.110[[#This Row],[Net gas 24h, ml]]/Table3.110[[#This Row],[DM Incubated, mg]])*1000</f>
        <v>235.9835336565713</v>
      </c>
      <c r="AN737" s="94">
        <f>'3.2 Digest'!X737</f>
        <v>45.052102525360183</v>
      </c>
      <c r="AO737" s="94">
        <f>Table3.110[[#This Row],[Digested feed, mg]]/Table3.110[[#This Row],[Net gas 24h, ml]]</f>
        <v>1.9091205995298326</v>
      </c>
      <c r="AP737" s="94">
        <f>Table3.110[[#This Row],[CH4 8h, ml]]/Table3.110[[#This Row],[Net gas 8h, ml]]%</f>
        <v>13.7</v>
      </c>
      <c r="AQ737" s="94">
        <f>Table3.110[[#This Row],[CH4 24h, ml]]/Table3.110[[#This Row],[Net gas 24h, ml]]%</f>
        <v>14.778922392426466</v>
      </c>
      <c r="AR737" s="94">
        <f>Table3.110[[#This Row],[CH4 24h, ml]]/Table3.110[[#This Row],[DM Incubated, mg]]*1000</f>
        <v>34.87582329801026</v>
      </c>
      <c r="AS737" s="94">
        <f>Table3.110[[#This Row],[CH4 24h, ml]]/Table3.110[[#This Row],[Digested feed, mg]]*1000</f>
        <v>77.412199083002591</v>
      </c>
      <c r="AT737" s="94">
        <f>Table3.110[[#This Row],[CH4 24h, ml]]/'3.2 Digest'!AA737</f>
        <v>-2.0471067140817554</v>
      </c>
      <c r="AU737" s="94">
        <f>((Table3.110[[#This Row],[CH4 24h, ml]]/28.9)*16.04)/Table3.110[[#This Row],[DM Incubated, mg]]*1000</f>
        <v>19.356685318342027</v>
      </c>
      <c r="AV737" s="94">
        <f>((Table3.110[[#This Row],[CH4 24h, ml]]/28.9)*16.04)/Table3.110[[#This Row],[Digested feed, mg]]*1000</f>
        <v>42.965109802469264</v>
      </c>
      <c r="AW737" s="303"/>
    </row>
    <row r="738" spans="1:49" s="304" customFormat="1" x14ac:dyDescent="0.35">
      <c r="A738" s="89"/>
      <c r="B738" s="90">
        <f t="shared" si="11"/>
        <v>728</v>
      </c>
      <c r="C738" s="140">
        <v>46076</v>
      </c>
      <c r="D738" s="92" t="s">
        <v>16</v>
      </c>
      <c r="E738" s="6" t="s">
        <v>239</v>
      </c>
      <c r="F738" s="242" t="s">
        <v>240</v>
      </c>
      <c r="G738" s="242" t="s">
        <v>241</v>
      </c>
      <c r="H738" s="6" t="str">
        <f>'[2]1. Information samples'!$K$51</f>
        <v>Stylosanthes seabrana</v>
      </c>
      <c r="I738" s="6" t="s">
        <v>22</v>
      </c>
      <c r="J738" s="129" t="s">
        <v>23</v>
      </c>
      <c r="K738" s="129" t="s">
        <v>24</v>
      </c>
      <c r="L738" s="6" t="s">
        <v>238</v>
      </c>
      <c r="M738" s="256">
        <v>28</v>
      </c>
      <c r="N738" s="256">
        <v>69</v>
      </c>
      <c r="O738" s="256">
        <v>3</v>
      </c>
      <c r="P738" s="257">
        <v>1</v>
      </c>
      <c r="Q738" s="96">
        <v>147</v>
      </c>
      <c r="R738" s="98">
        <v>0.50039999999999996</v>
      </c>
      <c r="S738" s="94">
        <f>((Table3.110[[#This Row],[Sample weight, g]]*'2.1. DM'!Q147)/100)*1000</f>
        <v>460.23195291976094</v>
      </c>
      <c r="T738" s="94">
        <f>'3.2 Digest'!W738</f>
        <v>47.13195291976092</v>
      </c>
      <c r="U738" s="153">
        <v>0.35902777777777778</v>
      </c>
      <c r="V738" s="154">
        <v>41</v>
      </c>
      <c r="W738" s="153">
        <v>0.72083333333333333</v>
      </c>
      <c r="X738" s="91">
        <v>76.5</v>
      </c>
      <c r="Y738" s="91">
        <v>11.4</v>
      </c>
      <c r="Z738" s="154">
        <v>40</v>
      </c>
      <c r="AA738" s="153">
        <v>0.3972222222222222</v>
      </c>
      <c r="AB738" s="154">
        <v>89</v>
      </c>
      <c r="AC738" s="154">
        <v>14.9</v>
      </c>
      <c r="AD738" s="91"/>
      <c r="AE738" s="94">
        <f>Table3.110[[#This Row],[Gas 8h, ml]]-Table3.110[[#This Row],[Gas 0h, ml]]</f>
        <v>35.5</v>
      </c>
      <c r="AF738" s="94">
        <f>Table3.110[[#This Row],[Gas 24h, ml]]-Table3.110[[#This Row],[V8 Push back, ml]]</f>
        <v>49</v>
      </c>
      <c r="AG738" s="94"/>
      <c r="AH738" s="94"/>
      <c r="AI738" s="94"/>
      <c r="AJ738" s="94"/>
      <c r="AK738" s="94"/>
      <c r="AL738" s="94"/>
      <c r="AM738" s="94"/>
      <c r="AN738" s="94"/>
      <c r="AO738" s="94"/>
      <c r="AP738" s="94"/>
      <c r="AQ738" s="94"/>
      <c r="AR738" s="94"/>
      <c r="AS738" s="94"/>
      <c r="AT738" s="94"/>
      <c r="AU738" s="94"/>
      <c r="AV738" s="94"/>
      <c r="AW738" s="303" t="s">
        <v>657</v>
      </c>
    </row>
    <row r="739" spans="1:49" s="304" customFormat="1" x14ac:dyDescent="0.35">
      <c r="A739" s="89"/>
      <c r="B739" s="90">
        <f t="shared" si="11"/>
        <v>729</v>
      </c>
      <c r="C739" s="140">
        <v>46076</v>
      </c>
      <c r="D739" s="92" t="s">
        <v>16</v>
      </c>
      <c r="E739" s="6" t="s">
        <v>239</v>
      </c>
      <c r="F739" s="242" t="s">
        <v>240</v>
      </c>
      <c r="G739" s="242" t="s">
        <v>241</v>
      </c>
      <c r="H739" s="6" t="str">
        <f>'[2]1. Information samples'!$K$51</f>
        <v>Stylosanthes seabrana</v>
      </c>
      <c r="I739" s="6" t="s">
        <v>22</v>
      </c>
      <c r="J739" s="129" t="s">
        <v>23</v>
      </c>
      <c r="K739" s="129" t="s">
        <v>24</v>
      </c>
      <c r="L739" s="6" t="s">
        <v>238</v>
      </c>
      <c r="M739" s="256">
        <v>28</v>
      </c>
      <c r="N739" s="256">
        <v>69</v>
      </c>
      <c r="O739" s="256">
        <v>3</v>
      </c>
      <c r="P739" s="257">
        <v>2</v>
      </c>
      <c r="Q739" s="96">
        <v>148</v>
      </c>
      <c r="R739" s="98">
        <v>0.50009999999999999</v>
      </c>
      <c r="S739" s="94">
        <f>((Table3.110[[#This Row],[Sample weight, g]]*'2.1. DM'!Q147)/100)*1000</f>
        <v>459.95603448275875</v>
      </c>
      <c r="T739" s="94">
        <f>'3.2 Digest'!W739</f>
        <v>167.05603448275883</v>
      </c>
      <c r="U739" s="117">
        <v>0.35972222222222222</v>
      </c>
      <c r="V739" s="155">
        <v>41.5</v>
      </c>
      <c r="W739" s="117">
        <v>0.72152777777777777</v>
      </c>
      <c r="X739" s="96">
        <v>74.5</v>
      </c>
      <c r="Y739" s="96">
        <v>11</v>
      </c>
      <c r="Z739" s="155">
        <v>40</v>
      </c>
      <c r="AA739" s="117">
        <v>0.39791666666666664</v>
      </c>
      <c r="AB739" s="155">
        <v>88</v>
      </c>
      <c r="AC739" s="155">
        <v>14.7</v>
      </c>
      <c r="AD739" s="96"/>
      <c r="AE739" s="94">
        <f>Table3.110[[#This Row],[Gas 8h, ml]]-Table3.110[[#This Row],[Gas 0h, ml]]</f>
        <v>33</v>
      </c>
      <c r="AF739" s="94">
        <f>Table3.110[[#This Row],[Gas 24h, ml]]-Table3.110[[#This Row],[V8 Push back, ml]]</f>
        <v>48</v>
      </c>
      <c r="AG739" s="94">
        <f>Table3.110[[#This Row],[GP 8h, ml]]-AVERAGE(AE$664,AE$665,AE$726,AE$727,AE$788,AE$789)*$AG$8</f>
        <v>31.156235924806332</v>
      </c>
      <c r="AH739" s="94">
        <f>Table3.110[[#This Row],[GP 8-24h, ml]]-AVERAGE(AF$664,AF$665,AF$726,AF$727,AF$788,AF$789)*$AG$8</f>
        <v>45.676857265255975</v>
      </c>
      <c r="AI739" s="94">
        <f>Table3.110[[#This Row],[Net gas 8-24h, ml]]+Table3.110[[#This Row],[Net gas 8h, ml]]</f>
        <v>76.8330931900623</v>
      </c>
      <c r="AJ739" s="94">
        <f>Table3.110[[#This Row],[Net gas 8h, ml]]*Table3.110[[#This Row],[CH4 8h %]]%</f>
        <v>3.4271859517286964</v>
      </c>
      <c r="AK739" s="94">
        <f>Table3.110[[#This Row],[Net gas 8-24h, ml]]*Table3.110[[#This Row],[CH4 24h, %]]%</f>
        <v>6.7144980179926277</v>
      </c>
      <c r="AL739" s="94">
        <f>Table3.110[[#This Row],[CH4 8-24h, ml]]+Table3.110[[#This Row],[CH4 8h, ml]]</f>
        <v>10.141683969721324</v>
      </c>
      <c r="AM739" s="94">
        <f>(Table3.110[[#This Row],[Net gas 24h, ml]]/Table3.110[[#This Row],[DM Incubated, mg]])*1000</f>
        <v>167.04442909736923</v>
      </c>
      <c r="AN739" s="94">
        <f>'3.2 Digest'!X739</f>
        <v>36.320000599757506</v>
      </c>
      <c r="AO739" s="94">
        <f>Table3.110[[#This Row],[Digested feed, mg]]/Table3.110[[#This Row],[Net gas 24h, ml]]</f>
        <v>2.1742718865881363</v>
      </c>
      <c r="AP739" s="94">
        <f>Table3.110[[#This Row],[CH4 8h, ml]]/Table3.110[[#This Row],[Net gas 8h, ml]]%</f>
        <v>11</v>
      </c>
      <c r="AQ739" s="94">
        <f>Table3.110[[#This Row],[CH4 24h, ml]]/Table3.110[[#This Row],[Net gas 24h, ml]]%</f>
        <v>13.199629936326792</v>
      </c>
      <c r="AR739" s="94">
        <f>Table3.110[[#This Row],[CH4 24h, ml]]/Table3.110[[#This Row],[DM Incubated, mg]]*1000</f>
        <v>22.049246470102524</v>
      </c>
      <c r="AS739" s="94">
        <f>Table3.110[[#This Row],[CH4 24h, ml]]/Table3.110[[#This Row],[Digested feed, mg]]*1000</f>
        <v>60.708276723568495</v>
      </c>
      <c r="AT739" s="94">
        <f>Table3.110[[#This Row],[CH4 24h, ml]]/'3.2 Digest'!AA739</f>
        <v>-0.89236742917528844</v>
      </c>
      <c r="AU739" s="94">
        <f>((Table3.110[[#This Row],[CH4 24h, ml]]/28.9)*16.04)/Table3.110[[#This Row],[DM Incubated, mg]]*1000</f>
        <v>12.237713265759325</v>
      </c>
      <c r="AV739" s="94">
        <f>((Table3.110[[#This Row],[CH4 24h, ml]]/28.9)*16.04)/Table3.110[[#This Row],[Digested feed, mg]]*1000</f>
        <v>33.694143897786809</v>
      </c>
      <c r="AW739" s="303"/>
    </row>
    <row r="740" spans="1:49" s="304" customFormat="1" x14ac:dyDescent="0.35">
      <c r="A740" s="89"/>
      <c r="B740" s="90">
        <f t="shared" si="11"/>
        <v>730</v>
      </c>
      <c r="C740" s="140">
        <v>46076</v>
      </c>
      <c r="D740" s="92" t="s">
        <v>16</v>
      </c>
      <c r="E740" s="6" t="s">
        <v>244</v>
      </c>
      <c r="F740" s="242" t="s">
        <v>240</v>
      </c>
      <c r="G740" s="242" t="s">
        <v>245</v>
      </c>
      <c r="H740" s="6" t="str">
        <f>'[2]1. Information samples'!$K$52</f>
        <v>Stylosanthes angustifolia</v>
      </c>
      <c r="I740" s="6" t="s">
        <v>22</v>
      </c>
      <c r="J740" s="129" t="s">
        <v>23</v>
      </c>
      <c r="K740" s="129" t="s">
        <v>24</v>
      </c>
      <c r="L740" s="6" t="s">
        <v>243</v>
      </c>
      <c r="M740" s="256">
        <v>28</v>
      </c>
      <c r="N740" s="256">
        <v>69</v>
      </c>
      <c r="O740" s="256">
        <v>3</v>
      </c>
      <c r="P740" s="257">
        <v>1</v>
      </c>
      <c r="Q740" s="96">
        <v>149</v>
      </c>
      <c r="R740" s="98">
        <v>0.50009999999999999</v>
      </c>
      <c r="S740" s="94">
        <f>((Table3.110[[#This Row],[Sample weight, g]]*'2.1. DM'!Q149)/100)*1000</f>
        <v>455.15680659670164</v>
      </c>
      <c r="T740" s="94">
        <f>'3.2 Digest'!W740</f>
        <v>171.05680659670162</v>
      </c>
      <c r="U740" s="117">
        <v>0.35972222222222222</v>
      </c>
      <c r="V740" s="155">
        <v>40.5</v>
      </c>
      <c r="W740" s="117">
        <v>0.72152777777777777</v>
      </c>
      <c r="X740" s="96">
        <v>81</v>
      </c>
      <c r="Y740" s="96">
        <v>11.4</v>
      </c>
      <c r="Z740" s="155">
        <v>39.5</v>
      </c>
      <c r="AA740" s="117">
        <v>0.39861111111111114</v>
      </c>
      <c r="AB740" s="155">
        <v>82.5</v>
      </c>
      <c r="AC740" s="155">
        <v>15.7</v>
      </c>
      <c r="AD740" s="96"/>
      <c r="AE740" s="94">
        <f>Table3.110[[#This Row],[Gas 8h, ml]]-Table3.110[[#This Row],[Gas 0h, ml]]</f>
        <v>40.5</v>
      </c>
      <c r="AF740" s="94">
        <f>Table3.110[[#This Row],[Gas 24h, ml]]-Table3.110[[#This Row],[V8 Push back, ml]]</f>
        <v>43</v>
      </c>
      <c r="AG740" s="94">
        <f>Table3.110[[#This Row],[GP 8h, ml]]-AVERAGE(AE$664,AE$665,AE$726,AE$727,AE$788,AE$789)*$AG$8</f>
        <v>38.656235924806332</v>
      </c>
      <c r="AH740" s="94">
        <f>Table3.110[[#This Row],[GP 8-24h, ml]]-AVERAGE(AF$664,AF$665,AF$726,AF$727,AF$788,AF$789)*$AG$8</f>
        <v>40.676857265255975</v>
      </c>
      <c r="AI740" s="94">
        <f>Table3.110[[#This Row],[Net gas 8-24h, ml]]+Table3.110[[#This Row],[Net gas 8h, ml]]</f>
        <v>79.3330931900623</v>
      </c>
      <c r="AJ740" s="94">
        <f>Table3.110[[#This Row],[Net gas 8h, ml]]*Table3.110[[#This Row],[CH4 8h %]]%</f>
        <v>4.4068108954279221</v>
      </c>
      <c r="AK740" s="94">
        <f>Table3.110[[#This Row],[Net gas 8-24h, ml]]*Table3.110[[#This Row],[CH4 24h, %]]%</f>
        <v>6.3862665906451879</v>
      </c>
      <c r="AL740" s="94">
        <f>Table3.110[[#This Row],[CH4 8-24h, ml]]+Table3.110[[#This Row],[CH4 8h, ml]]</f>
        <v>10.793077486073109</v>
      </c>
      <c r="AM740" s="94">
        <f>(Table3.110[[#This Row],[Net gas 24h, ml]]/Table3.110[[#This Row],[DM Incubated, mg]])*1000</f>
        <v>174.29837814192362</v>
      </c>
      <c r="AN740" s="94">
        <f>'3.2 Digest'!X740</f>
        <v>37.581950685463219</v>
      </c>
      <c r="AO740" s="94">
        <f>Table3.110[[#This Row],[Digested feed, mg]]/Table3.110[[#This Row],[Net gas 24h, ml]]</f>
        <v>2.1561847612180225</v>
      </c>
      <c r="AP740" s="94">
        <f>Table3.110[[#This Row],[CH4 8h, ml]]/Table3.110[[#This Row],[Net gas 8h, ml]]%</f>
        <v>11.4</v>
      </c>
      <c r="AQ740" s="94">
        <f>Table3.110[[#This Row],[CH4 24h, ml]]/Table3.110[[#This Row],[Net gas 24h, ml]]%</f>
        <v>13.604760702088836</v>
      </c>
      <c r="AR740" s="94">
        <f>Table3.110[[#This Row],[CH4 24h, ml]]/Table3.110[[#This Row],[DM Incubated, mg]]*1000</f>
        <v>23.712877253830619</v>
      </c>
      <c r="AS740" s="94">
        <f>Table3.110[[#This Row],[CH4 24h, ml]]/Table3.110[[#This Row],[Digested feed, mg]]*1000</f>
        <v>63.096451411721986</v>
      </c>
      <c r="AT740" s="94">
        <f>Table3.110[[#This Row],[CH4 24h, ml]]/'3.2 Digest'!AA740</f>
        <v>-2.7861750143192063</v>
      </c>
      <c r="AU740" s="94">
        <f>((Table3.110[[#This Row],[CH4 24h, ml]]/28.9)*16.04)/Table3.110[[#This Row],[DM Incubated, mg]]*1000</f>
        <v>13.161057133267928</v>
      </c>
      <c r="AV740" s="94">
        <f>((Table3.110[[#This Row],[CH4 24h, ml]]/28.9)*16.04)/Table3.110[[#This Row],[Digested feed, mg]]*1000</f>
        <v>35.019622167613171</v>
      </c>
      <c r="AW740" s="303"/>
    </row>
    <row r="741" spans="1:49" s="304" customFormat="1" x14ac:dyDescent="0.35">
      <c r="A741" s="89"/>
      <c r="B741" s="90">
        <f t="shared" si="11"/>
        <v>731</v>
      </c>
      <c r="C741" s="140">
        <v>46076</v>
      </c>
      <c r="D741" s="92" t="s">
        <v>16</v>
      </c>
      <c r="E741" s="6" t="s">
        <v>244</v>
      </c>
      <c r="F741" s="242" t="s">
        <v>240</v>
      </c>
      <c r="G741" s="242" t="s">
        <v>245</v>
      </c>
      <c r="H741" s="6" t="str">
        <f>'[2]1. Information samples'!$K$52</f>
        <v>Stylosanthes angustifolia</v>
      </c>
      <c r="I741" s="6" t="s">
        <v>22</v>
      </c>
      <c r="J741" s="129" t="s">
        <v>23</v>
      </c>
      <c r="K741" s="129" t="s">
        <v>24</v>
      </c>
      <c r="L741" s="6" t="s">
        <v>243</v>
      </c>
      <c r="M741" s="256">
        <v>28</v>
      </c>
      <c r="N741" s="256">
        <v>69</v>
      </c>
      <c r="O741" s="256">
        <v>3</v>
      </c>
      <c r="P741" s="257">
        <v>2</v>
      </c>
      <c r="Q741" s="96">
        <v>150</v>
      </c>
      <c r="R741" s="98">
        <v>0.50019999999999998</v>
      </c>
      <c r="S741" s="94">
        <f>((Table3.110[[#This Row],[Sample weight, g]]*'2.1. DM'!Q149)/100)*1000</f>
        <v>455.24781975538917</v>
      </c>
      <c r="T741" s="94">
        <f>'3.2 Digest'!W741</f>
        <v>103.84781975538914</v>
      </c>
      <c r="U741" s="153">
        <v>0.35972222222222222</v>
      </c>
      <c r="V741" s="154">
        <v>40.5</v>
      </c>
      <c r="W741" s="153">
        <v>0.72222222222222221</v>
      </c>
      <c r="X741" s="91">
        <v>81.5</v>
      </c>
      <c r="Y741" s="91">
        <v>11.4</v>
      </c>
      <c r="Z741" s="154">
        <v>40</v>
      </c>
      <c r="AA741" s="153">
        <v>0.39861111111111114</v>
      </c>
      <c r="AB741" s="154">
        <v>84</v>
      </c>
      <c r="AC741" s="154">
        <v>15.4</v>
      </c>
      <c r="AD741" s="91"/>
      <c r="AE741" s="94">
        <f>Table3.110[[#This Row],[Gas 8h, ml]]-Table3.110[[#This Row],[Gas 0h, ml]]</f>
        <v>41</v>
      </c>
      <c r="AF741" s="94">
        <f>Table3.110[[#This Row],[Gas 24h, ml]]-Table3.110[[#This Row],[V8 Push back, ml]]</f>
        <v>44</v>
      </c>
      <c r="AG741" s="94">
        <f>Table3.110[[#This Row],[GP 8h, ml]]-AVERAGE(AE$664,AE$665,AE$726,AE$727,AE$788,AE$789)*$AG$8</f>
        <v>39.156235924806332</v>
      </c>
      <c r="AH741" s="94">
        <f>Table3.110[[#This Row],[GP 8-24h, ml]]-AVERAGE(AF$664,AF$665,AF$726,AF$727,AF$788,AF$789)*$AG$8</f>
        <v>41.676857265255975</v>
      </c>
      <c r="AI741" s="94">
        <f>Table3.110[[#This Row],[Net gas 8-24h, ml]]+Table3.110[[#This Row],[Net gas 8h, ml]]</f>
        <v>80.8330931900623</v>
      </c>
      <c r="AJ741" s="94">
        <f>Table3.110[[#This Row],[Net gas 8h, ml]]*Table3.110[[#This Row],[CH4 8h %]]%</f>
        <v>4.4638108954279216</v>
      </c>
      <c r="AK741" s="94">
        <f>Table3.110[[#This Row],[Net gas 8-24h, ml]]*Table3.110[[#This Row],[CH4 24h, %]]%</f>
        <v>6.4182360188494201</v>
      </c>
      <c r="AL741" s="94">
        <f>Table3.110[[#This Row],[CH4 8-24h, ml]]+Table3.110[[#This Row],[CH4 8h, ml]]</f>
        <v>10.882046914277343</v>
      </c>
      <c r="AM741" s="94">
        <f>(Table3.110[[#This Row],[Net gas 24h, ml]]/Table3.110[[#This Row],[DM Incubated, mg]])*1000</f>
        <v>177.55844110026715</v>
      </c>
      <c r="AN741" s="94">
        <f>'3.2 Digest'!X741</f>
        <v>22.811272289274878</v>
      </c>
      <c r="AO741" s="94">
        <f>Table3.110[[#This Row],[Digested feed, mg]]/Table3.110[[#This Row],[Net gas 24h, ml]]</f>
        <v>1.284719112643784</v>
      </c>
      <c r="AP741" s="94">
        <f>Table3.110[[#This Row],[CH4 8h, ml]]/Table3.110[[#This Row],[Net gas 8h, ml]]%</f>
        <v>11.4</v>
      </c>
      <c r="AQ741" s="94">
        <f>Table3.110[[#This Row],[CH4 24h, ml]]/Table3.110[[#This Row],[Net gas 24h, ml]]%</f>
        <v>13.462366074115783</v>
      </c>
      <c r="AR741" s="94">
        <f>Table3.110[[#This Row],[CH4 24h, ml]]/Table3.110[[#This Row],[DM Incubated, mg]]*1000</f>
        <v>23.903567336411218</v>
      </c>
      <c r="AS741" s="94">
        <f>Table3.110[[#This Row],[CH4 24h, ml]]/Table3.110[[#This Row],[Digested feed, mg]]*1000</f>
        <v>104.78840037190693</v>
      </c>
      <c r="AT741" s="94">
        <f>Table3.110[[#This Row],[CH4 24h, ml]]/'3.2 Digest'!AA741</f>
        <v>-0.38243526858835003</v>
      </c>
      <c r="AU741" s="94">
        <f>((Table3.110[[#This Row],[CH4 24h, ml]]/28.9)*16.04)/Table3.110[[#This Row],[DM Incubated, mg]]*1000</f>
        <v>13.266893428236539</v>
      </c>
      <c r="AV741" s="94">
        <f>((Table3.110[[#This Row],[CH4 24h, ml]]/28.9)*16.04)/Table3.110[[#This Row],[Digested feed, mg]]*1000</f>
        <v>58.159375154511665</v>
      </c>
      <c r="AW741" s="303"/>
    </row>
    <row r="742" spans="1:49" s="304" customFormat="1" x14ac:dyDescent="0.35">
      <c r="A742" s="89"/>
      <c r="B742" s="90">
        <f t="shared" si="11"/>
        <v>732</v>
      </c>
      <c r="C742" s="140">
        <v>46076</v>
      </c>
      <c r="D742" s="92" t="s">
        <v>16</v>
      </c>
      <c r="E742" s="6" t="s">
        <v>248</v>
      </c>
      <c r="F742" s="242" t="s">
        <v>226</v>
      </c>
      <c r="G742" s="242" t="s">
        <v>227</v>
      </c>
      <c r="H742" s="6" t="str">
        <f>'[2]1. Information samples'!$K$53</f>
        <v>Macroptilium atropurpureum</v>
      </c>
      <c r="I742" s="6" t="s">
        <v>22</v>
      </c>
      <c r="J742" s="129" t="s">
        <v>23</v>
      </c>
      <c r="K742" s="129" t="s">
        <v>24</v>
      </c>
      <c r="L742" s="6" t="s">
        <v>247</v>
      </c>
      <c r="M742" s="256">
        <v>28</v>
      </c>
      <c r="N742" s="256">
        <v>69</v>
      </c>
      <c r="O742" s="256">
        <v>3</v>
      </c>
      <c r="P742" s="257">
        <v>1</v>
      </c>
      <c r="Q742" s="96">
        <v>151</v>
      </c>
      <c r="R742" s="98">
        <v>0.50009999999999999</v>
      </c>
      <c r="S742" s="94">
        <f>((Table3.110[[#This Row],[Sample weight, g]]*'2.1. DM'!Q151)/100)*1000</f>
        <v>461.60775534679186</v>
      </c>
      <c r="T742" s="94">
        <f>'3.2 Digest'!W742</f>
        <v>163.50775534679184</v>
      </c>
      <c r="U742" s="153">
        <v>0.35972222222222222</v>
      </c>
      <c r="V742" s="154">
        <v>42</v>
      </c>
      <c r="W742" s="153">
        <v>0.72291666666666665</v>
      </c>
      <c r="X742" s="91">
        <v>75</v>
      </c>
      <c r="Y742" s="91">
        <v>11.4</v>
      </c>
      <c r="Z742" s="154">
        <v>40.5</v>
      </c>
      <c r="AA742" s="153">
        <v>0.39930555555555558</v>
      </c>
      <c r="AB742" s="154">
        <v>77.5</v>
      </c>
      <c r="AC742" s="154">
        <v>14.5</v>
      </c>
      <c r="AD742" s="91"/>
      <c r="AE742" s="94">
        <f>Table3.110[[#This Row],[Gas 8h, ml]]-Table3.110[[#This Row],[Gas 0h, ml]]</f>
        <v>33</v>
      </c>
      <c r="AF742" s="94">
        <f>Table3.110[[#This Row],[Gas 24h, ml]]-Table3.110[[#This Row],[V8 Push back, ml]]</f>
        <v>37</v>
      </c>
      <c r="AG742" s="94">
        <f>Table3.110[[#This Row],[GP 8h, ml]]-AVERAGE(AE$664,AE$665,AE$726,AE$727,AE$788,AE$789)*$AG$8</f>
        <v>31.156235924806332</v>
      </c>
      <c r="AH742" s="94">
        <f>Table3.110[[#This Row],[GP 8-24h, ml]]-AVERAGE(AF$664,AF$665,AF$726,AF$727,AF$788,AF$789)*$AG$8</f>
        <v>34.676857265255975</v>
      </c>
      <c r="AI742" s="94">
        <f>Table3.110[[#This Row],[Net gas 8-24h, ml]]+Table3.110[[#This Row],[Net gas 8h, ml]]</f>
        <v>65.8330931900623</v>
      </c>
      <c r="AJ742" s="94">
        <f>Table3.110[[#This Row],[Net gas 8h, ml]]*Table3.110[[#This Row],[CH4 8h %]]%</f>
        <v>3.5518108954279217</v>
      </c>
      <c r="AK742" s="94">
        <f>Table3.110[[#This Row],[Net gas 8-24h, ml]]*Table3.110[[#This Row],[CH4 24h, %]]%</f>
        <v>5.028144303462116</v>
      </c>
      <c r="AL742" s="94">
        <f>Table3.110[[#This Row],[CH4 8-24h, ml]]+Table3.110[[#This Row],[CH4 8h, ml]]</f>
        <v>8.5799551988900369</v>
      </c>
      <c r="AM742" s="94">
        <f>(Table3.110[[#This Row],[Net gas 24h, ml]]/Table3.110[[#This Row],[DM Incubated, mg]])*1000</f>
        <v>142.61695655568849</v>
      </c>
      <c r="AN742" s="94">
        <f>'3.2 Digest'!X742</f>
        <v>35.421362282779114</v>
      </c>
      <c r="AO742" s="94">
        <f>Table3.110[[#This Row],[Digested feed, mg]]/Table3.110[[#This Row],[Net gas 24h, ml]]</f>
        <v>2.4836711663348336</v>
      </c>
      <c r="AP742" s="94">
        <f>Table3.110[[#This Row],[CH4 8h, ml]]/Table3.110[[#This Row],[Net gas 8h, ml]]%</f>
        <v>11.4</v>
      </c>
      <c r="AQ742" s="94">
        <f>Table3.110[[#This Row],[CH4 24h, ml]]/Table3.110[[#This Row],[Net gas 24h, ml]]%</f>
        <v>13.032890880760267</v>
      </c>
      <c r="AR742" s="94">
        <f>Table3.110[[#This Row],[CH4 24h, ml]]/Table3.110[[#This Row],[DM Incubated, mg]]*1000</f>
        <v>18.587112325364156</v>
      </c>
      <c r="AS742" s="94">
        <f>Table3.110[[#This Row],[CH4 24h, ml]]/Table3.110[[#This Row],[Digested feed, mg]]*1000</f>
        <v>52.474301177288979</v>
      </c>
      <c r="AT742" s="94">
        <f>Table3.110[[#This Row],[CH4 24h, ml]]/'3.2 Digest'!AA742</f>
        <v>-0.34468362675208436</v>
      </c>
      <c r="AU742" s="94">
        <f>((Table3.110[[#This Row],[CH4 24h, ml]]/28.9)*16.04)/Table3.110[[#This Row],[DM Incubated, mg]]*1000</f>
        <v>10.316168916914917</v>
      </c>
      <c r="AV742" s="94">
        <f>((Table3.110[[#This Row],[CH4 24h, ml]]/28.9)*16.04)/Table3.110[[#This Row],[Digested feed, mg]]*1000</f>
        <v>29.124145013277342</v>
      </c>
      <c r="AW742" s="303"/>
    </row>
    <row r="743" spans="1:49" s="304" customFormat="1" x14ac:dyDescent="0.35">
      <c r="A743" s="89"/>
      <c r="B743" s="90">
        <f t="shared" si="11"/>
        <v>733</v>
      </c>
      <c r="C743" s="140">
        <v>46076</v>
      </c>
      <c r="D743" s="92" t="s">
        <v>16</v>
      </c>
      <c r="E743" s="6" t="s">
        <v>248</v>
      </c>
      <c r="F743" s="242" t="s">
        <v>226</v>
      </c>
      <c r="G743" s="242" t="s">
        <v>227</v>
      </c>
      <c r="H743" s="6" t="str">
        <f>'[2]1. Information samples'!$K$53</f>
        <v>Macroptilium atropurpureum</v>
      </c>
      <c r="I743" s="6" t="s">
        <v>22</v>
      </c>
      <c r="J743" s="129" t="s">
        <v>23</v>
      </c>
      <c r="K743" s="129" t="s">
        <v>24</v>
      </c>
      <c r="L743" s="6" t="s">
        <v>247</v>
      </c>
      <c r="M743" s="256">
        <v>28</v>
      </c>
      <c r="N743" s="256">
        <v>69</v>
      </c>
      <c r="O743" s="256">
        <v>3</v>
      </c>
      <c r="P743" s="257">
        <v>2</v>
      </c>
      <c r="Q743" s="96">
        <v>152</v>
      </c>
      <c r="R743" s="98">
        <v>0.50009999999999999</v>
      </c>
      <c r="S743" s="94">
        <f>((Table3.110[[#This Row],[Sample weight, g]]*'2.1. DM'!Q151)/100)*1000</f>
        <v>461.60775534679186</v>
      </c>
      <c r="T743" s="94">
        <f>'3.2 Digest'!W743</f>
        <v>207.00775534679181</v>
      </c>
      <c r="U743" s="117">
        <v>0.36041666666666666</v>
      </c>
      <c r="V743" s="155">
        <v>40.5</v>
      </c>
      <c r="W743" s="117">
        <v>0.72291666666666665</v>
      </c>
      <c r="X743" s="96">
        <v>73</v>
      </c>
      <c r="Y743" s="96">
        <v>11.9</v>
      </c>
      <c r="Z743" s="155">
        <v>40</v>
      </c>
      <c r="AA743" s="117">
        <v>0.39930555555555558</v>
      </c>
      <c r="AB743" s="155">
        <v>77</v>
      </c>
      <c r="AC743" s="155">
        <v>14.4</v>
      </c>
      <c r="AD743" s="96"/>
      <c r="AE743" s="94">
        <f>Table3.110[[#This Row],[Gas 8h, ml]]-Table3.110[[#This Row],[Gas 0h, ml]]</f>
        <v>32.5</v>
      </c>
      <c r="AF743" s="94">
        <f>Table3.110[[#This Row],[Gas 24h, ml]]-Table3.110[[#This Row],[V8 Push back, ml]]</f>
        <v>37</v>
      </c>
      <c r="AG743" s="94">
        <f>Table3.110[[#This Row],[GP 8h, ml]]-AVERAGE(AE$664,AE$665,AE$726,AE$727,AE$788,AE$789)*$AG$8</f>
        <v>30.656235924806332</v>
      </c>
      <c r="AH743" s="94">
        <f>Table3.110[[#This Row],[GP 8-24h, ml]]-AVERAGE(AF$664,AF$665,AF$726,AF$727,AF$788,AF$789)*$AG$8</f>
        <v>34.676857265255975</v>
      </c>
      <c r="AI743" s="94">
        <f>Table3.110[[#This Row],[Net gas 8-24h, ml]]+Table3.110[[#This Row],[Net gas 8h, ml]]</f>
        <v>65.3330931900623</v>
      </c>
      <c r="AJ743" s="94">
        <f>Table3.110[[#This Row],[Net gas 8h, ml]]*Table3.110[[#This Row],[CH4 8h %]]%</f>
        <v>3.6480920750519537</v>
      </c>
      <c r="AK743" s="94">
        <f>Table3.110[[#This Row],[Net gas 8-24h, ml]]*Table3.110[[#This Row],[CH4 24h, %]]%</f>
        <v>4.9934674461968607</v>
      </c>
      <c r="AL743" s="94">
        <f>Table3.110[[#This Row],[CH4 8-24h, ml]]+Table3.110[[#This Row],[CH4 8h, ml]]</f>
        <v>8.6415595212488139</v>
      </c>
      <c r="AM743" s="94">
        <f>(Table3.110[[#This Row],[Net gas 24h, ml]]/Table3.110[[#This Row],[DM Incubated, mg]])*1000</f>
        <v>141.53378584590621</v>
      </c>
      <c r="AN743" s="94">
        <f>'3.2 Digest'!X743</f>
        <v>44.844947457885141</v>
      </c>
      <c r="AO743" s="94">
        <f>Table3.110[[#This Row],[Digested feed, mg]]/Table3.110[[#This Row],[Net gas 24h, ml]]</f>
        <v>3.1684976975539771</v>
      </c>
      <c r="AP743" s="94">
        <f>Table3.110[[#This Row],[CH4 8h, ml]]/Table3.110[[#This Row],[Net gas 8h, ml]]%</f>
        <v>11.900000000000002</v>
      </c>
      <c r="AQ743" s="94">
        <f>Table3.110[[#This Row],[CH4 24h, ml]]/Table3.110[[#This Row],[Net gas 24h, ml]]%</f>
        <v>13.226925435949306</v>
      </c>
      <c r="AR743" s="94">
        <f>Table3.110[[#This Row],[CH4 24h, ml]]/Table3.110[[#This Row],[DM Incubated, mg]]*1000</f>
        <v>18.720568320514186</v>
      </c>
      <c r="AS743" s="94">
        <f>Table3.110[[#This Row],[CH4 24h, ml]]/Table3.110[[#This Row],[Digested feed, mg]]*1000</f>
        <v>41.745100355162805</v>
      </c>
      <c r="AT743" s="94">
        <f>Table3.110[[#This Row],[CH4 24h, ml]]/'3.2 Digest'!AA743</f>
        <v>-1.2960796167266431</v>
      </c>
      <c r="AU743" s="94">
        <f>((Table3.110[[#This Row],[CH4 24h, ml]]/28.9)*16.04)/Table3.110[[#This Row],[DM Incubated, mg]]*1000</f>
        <v>10.390239303150432</v>
      </c>
      <c r="AV743" s="94">
        <f>((Table3.110[[#This Row],[CH4 24h, ml]]/28.9)*16.04)/Table3.110[[#This Row],[Digested feed, mg]]*1000</f>
        <v>23.169252930685516</v>
      </c>
      <c r="AW743" s="303"/>
    </row>
    <row r="744" spans="1:49" s="304" customFormat="1" x14ac:dyDescent="0.35">
      <c r="A744" s="89"/>
      <c r="B744" s="90">
        <f t="shared" si="11"/>
        <v>734</v>
      </c>
      <c r="C744" s="140">
        <v>46076</v>
      </c>
      <c r="D744" s="92" t="s">
        <v>16</v>
      </c>
      <c r="E744" s="6" t="s">
        <v>250</v>
      </c>
      <c r="F744" s="242" t="s">
        <v>219</v>
      </c>
      <c r="G744" s="242" t="s">
        <v>220</v>
      </c>
      <c r="H744" s="6" t="str">
        <f>'[2]1. Information samples'!$K$54</f>
        <v>Vigna radiata</v>
      </c>
      <c r="I744" s="6" t="s">
        <v>22</v>
      </c>
      <c r="J744" s="129" t="s">
        <v>23</v>
      </c>
      <c r="K744" s="129" t="s">
        <v>24</v>
      </c>
      <c r="L744" s="6" t="s">
        <v>249</v>
      </c>
      <c r="M744" s="256">
        <v>28</v>
      </c>
      <c r="N744" s="256">
        <v>69</v>
      </c>
      <c r="O744" s="256">
        <v>3</v>
      </c>
      <c r="P744" s="257">
        <v>1</v>
      </c>
      <c r="Q744" s="96">
        <v>153</v>
      </c>
      <c r="R744" s="98">
        <v>0.50019999999999998</v>
      </c>
      <c r="S744" s="94">
        <f>((Table3.110[[#This Row],[Sample weight, g]]*'2.1. DM'!Q153)/100)*1000</f>
        <v>454.88638089982027</v>
      </c>
      <c r="T744" s="94">
        <f>'3.2 Digest'!W744</f>
        <v>206.08638089982026</v>
      </c>
      <c r="U744" s="117">
        <v>0.3611111111111111</v>
      </c>
      <c r="V744" s="155">
        <v>40</v>
      </c>
      <c r="W744" s="117">
        <v>0.72361111111111109</v>
      </c>
      <c r="X744" s="96">
        <v>78</v>
      </c>
      <c r="Y744" s="96">
        <v>13.8</v>
      </c>
      <c r="Z744" s="155">
        <v>39.5</v>
      </c>
      <c r="AA744" s="117">
        <v>0.4</v>
      </c>
      <c r="AB744" s="155">
        <v>89</v>
      </c>
      <c r="AC744" s="155">
        <v>15.9</v>
      </c>
      <c r="AD744" s="96"/>
      <c r="AE744" s="94">
        <f>Table3.110[[#This Row],[Gas 8h, ml]]-Table3.110[[#This Row],[Gas 0h, ml]]</f>
        <v>38</v>
      </c>
      <c r="AF744" s="94">
        <f>Table3.110[[#This Row],[Gas 24h, ml]]-Table3.110[[#This Row],[V8 Push back, ml]]</f>
        <v>49.5</v>
      </c>
      <c r="AG744" s="94">
        <f>Table3.110[[#This Row],[GP 8h, ml]]-AVERAGE(AE$664,AE$665,AE$726,AE$727,AE$788,AE$789)*$AG$8</f>
        <v>36.156235924806332</v>
      </c>
      <c r="AH744" s="94">
        <f>Table3.110[[#This Row],[GP 8-24h, ml]]-AVERAGE(AF$664,AF$665,AF$726,AF$727,AF$788,AF$789)*$AG$8</f>
        <v>47.176857265255975</v>
      </c>
      <c r="AI744" s="94">
        <f>Table3.110[[#This Row],[Net gas 8-24h, ml]]+Table3.110[[#This Row],[Net gas 8h, ml]]</f>
        <v>83.3330931900623</v>
      </c>
      <c r="AJ744" s="94">
        <f>Table3.110[[#This Row],[Net gas 8h, ml]]*Table3.110[[#This Row],[CH4 8h %]]%</f>
        <v>4.9895605576232738</v>
      </c>
      <c r="AK744" s="94">
        <f>Table3.110[[#This Row],[Net gas 8-24h, ml]]*Table3.110[[#This Row],[CH4 24h, %]]%</f>
        <v>7.5011203051757001</v>
      </c>
      <c r="AL744" s="94">
        <f>Table3.110[[#This Row],[CH4 8-24h, ml]]+Table3.110[[#This Row],[CH4 8h, ml]]</f>
        <v>12.490680862798975</v>
      </c>
      <c r="AM744" s="94">
        <f>(Table3.110[[#This Row],[Net gas 24h, ml]]/Table3.110[[#This Row],[DM Incubated, mg]])*1000</f>
        <v>183.19540150931616</v>
      </c>
      <c r="AN744" s="94">
        <f>'3.2 Digest'!X744</f>
        <v>45.305023309811226</v>
      </c>
      <c r="AO744" s="94">
        <f>Table3.110[[#This Row],[Digested feed, mg]]/Table3.110[[#This Row],[Net gas 24h, ml]]</f>
        <v>2.4730436974154779</v>
      </c>
      <c r="AP744" s="94">
        <f>Table3.110[[#This Row],[CH4 8h, ml]]/Table3.110[[#This Row],[Net gas 8h, ml]]%</f>
        <v>13.8</v>
      </c>
      <c r="AQ744" s="94">
        <f>Table3.110[[#This Row],[CH4 24h, ml]]/Table3.110[[#This Row],[Net gas 24h, ml]]%</f>
        <v>14.988860229045862</v>
      </c>
      <c r="AR744" s="94">
        <f>Table3.110[[#This Row],[CH4 24h, ml]]/Table3.110[[#This Row],[DM Incubated, mg]]*1000</f>
        <v>27.458902678270778</v>
      </c>
      <c r="AS744" s="94">
        <f>Table3.110[[#This Row],[CH4 24h, ml]]/Table3.110[[#This Row],[Digested feed, mg]]*1000</f>
        <v>60.608958283714848</v>
      </c>
      <c r="AT744" s="94">
        <f>Table3.110[[#This Row],[CH4 24h, ml]]/'3.2 Digest'!AA744</f>
        <v>-1.105991901342444</v>
      </c>
      <c r="AU744" s="94">
        <f>((Table3.110[[#This Row],[CH4 24h, ml]]/28.9)*16.04)/Table3.110[[#This Row],[DM Incubated, mg]]*1000</f>
        <v>15.240166053960666</v>
      </c>
      <c r="AV744" s="94">
        <f>((Table3.110[[#This Row],[CH4 24h, ml]]/28.9)*16.04)/Table3.110[[#This Row],[Digested feed, mg]]*1000</f>
        <v>33.639020445355925</v>
      </c>
      <c r="AW744" s="303"/>
    </row>
    <row r="745" spans="1:49" s="304" customFormat="1" x14ac:dyDescent="0.35">
      <c r="A745" s="89"/>
      <c r="B745" s="90">
        <f t="shared" si="11"/>
        <v>735</v>
      </c>
      <c r="C745" s="140">
        <v>46076</v>
      </c>
      <c r="D745" s="92" t="s">
        <v>16</v>
      </c>
      <c r="E745" s="6" t="s">
        <v>250</v>
      </c>
      <c r="F745" s="242" t="s">
        <v>219</v>
      </c>
      <c r="G745" s="242" t="s">
        <v>220</v>
      </c>
      <c r="H745" s="6" t="str">
        <f>'[2]1. Information samples'!$K$54</f>
        <v>Vigna radiata</v>
      </c>
      <c r="I745" s="6" t="s">
        <v>22</v>
      </c>
      <c r="J745" s="129" t="s">
        <v>23</v>
      </c>
      <c r="K745" s="129" t="s">
        <v>24</v>
      </c>
      <c r="L745" s="6" t="s">
        <v>249</v>
      </c>
      <c r="M745" s="256">
        <v>28</v>
      </c>
      <c r="N745" s="256">
        <v>69</v>
      </c>
      <c r="O745" s="256">
        <v>3</v>
      </c>
      <c r="P745" s="257">
        <v>2</v>
      </c>
      <c r="Q745" s="96">
        <v>154</v>
      </c>
      <c r="R745" s="98">
        <v>0.50019999999999998</v>
      </c>
      <c r="S745" s="94">
        <f>((Table3.110[[#This Row],[Sample weight, g]]*'2.1. DM'!Q153)/100)*1000</f>
        <v>454.88638089982027</v>
      </c>
      <c r="T745" s="94">
        <f>'3.2 Digest'!W745</f>
        <v>153.38638089982027</v>
      </c>
      <c r="U745" s="156">
        <v>0.3611111111111111</v>
      </c>
      <c r="V745" s="154">
        <v>41</v>
      </c>
      <c r="W745" s="153">
        <v>0.72430555555555554</v>
      </c>
      <c r="X745" s="91">
        <v>80.5</v>
      </c>
      <c r="Y745" s="91">
        <v>13.5</v>
      </c>
      <c r="Z745" s="154">
        <v>40.5</v>
      </c>
      <c r="AA745" s="153">
        <v>0.4</v>
      </c>
      <c r="AB745" s="154">
        <v>90</v>
      </c>
      <c r="AC745" s="154">
        <v>15.8</v>
      </c>
      <c r="AD745" s="91"/>
      <c r="AE745" s="94">
        <f>Table3.110[[#This Row],[Gas 8h, ml]]-Table3.110[[#This Row],[Gas 0h, ml]]</f>
        <v>39.5</v>
      </c>
      <c r="AF745" s="94">
        <f>Table3.110[[#This Row],[Gas 24h, ml]]-Table3.110[[#This Row],[V8 Push back, ml]]</f>
        <v>49.5</v>
      </c>
      <c r="AG745" s="94">
        <f>Table3.110[[#This Row],[GP 8h, ml]]-AVERAGE(AE$664,AE$665,AE$726,AE$727,AE$788,AE$789)*$AG$8</f>
        <v>37.656235924806332</v>
      </c>
      <c r="AH745" s="94">
        <f>Table3.110[[#This Row],[GP 8-24h, ml]]-AVERAGE(AF$664,AF$665,AF$726,AF$727,AF$788,AF$789)*$AG$8</f>
        <v>47.176857265255975</v>
      </c>
      <c r="AI745" s="94">
        <f>Table3.110[[#This Row],[Net gas 8-24h, ml]]+Table3.110[[#This Row],[Net gas 8h, ml]]</f>
        <v>84.8330931900623</v>
      </c>
      <c r="AJ745" s="94">
        <f>Table3.110[[#This Row],[Net gas 8h, ml]]*Table3.110[[#This Row],[CH4 8h %]]%</f>
        <v>5.0835918498488555</v>
      </c>
      <c r="AK745" s="94">
        <f>Table3.110[[#This Row],[Net gas 8-24h, ml]]*Table3.110[[#This Row],[CH4 24h, %]]%</f>
        <v>7.4539434479104445</v>
      </c>
      <c r="AL745" s="94">
        <f>Table3.110[[#This Row],[CH4 8-24h, ml]]+Table3.110[[#This Row],[CH4 8h, ml]]</f>
        <v>12.5375352977593</v>
      </c>
      <c r="AM745" s="94">
        <f>(Table3.110[[#This Row],[Net gas 24h, ml]]/Table3.110[[#This Row],[DM Incubated, mg]])*1000</f>
        <v>186.49292823903011</v>
      </c>
      <c r="AN745" s="94">
        <f>'3.2 Digest'!X745</f>
        <v>33.719712732749542</v>
      </c>
      <c r="AO745" s="94">
        <f>Table3.110[[#This Row],[Digested feed, mg]]/Table3.110[[#This Row],[Net gas 24h, ml]]</f>
        <v>1.8080960522819718</v>
      </c>
      <c r="AP745" s="94">
        <f>Table3.110[[#This Row],[CH4 8h, ml]]/Table3.110[[#This Row],[Net gas 8h, ml]]%</f>
        <v>13.500000000000002</v>
      </c>
      <c r="AQ745" s="94">
        <f>Table3.110[[#This Row],[CH4 24h, ml]]/Table3.110[[#This Row],[Net gas 24h, ml]]%</f>
        <v>14.779061833416677</v>
      </c>
      <c r="AR745" s="94">
        <f>Table3.110[[#This Row],[CH4 24h, ml]]/Table3.110[[#This Row],[DM Incubated, mg]]*1000</f>
        <v>27.561905179395652</v>
      </c>
      <c r="AS745" s="94">
        <f>Table3.110[[#This Row],[CH4 24h, ml]]/Table3.110[[#This Row],[Digested feed, mg]]*1000</f>
        <v>81.738256188128048</v>
      </c>
      <c r="AT745" s="94">
        <f>Table3.110[[#This Row],[CH4 24h, ml]]/'3.2 Digest'!AA745</f>
        <v>-0.359576538840438</v>
      </c>
      <c r="AU745" s="94">
        <f>((Table3.110[[#This Row],[CH4 24h, ml]]/28.9)*16.04)/Table3.110[[#This Row],[DM Incubated, mg]]*1000</f>
        <v>15.297334224135165</v>
      </c>
      <c r="AV745" s="94">
        <f>((Table3.110[[#This Row],[CH4 24h, ml]]/28.9)*16.04)/Table3.110[[#This Row],[Digested feed, mg]]*1000</f>
        <v>45.366146341092517</v>
      </c>
      <c r="AW745" s="303"/>
    </row>
    <row r="746" spans="1:49" s="304" customFormat="1" x14ac:dyDescent="0.35">
      <c r="A746" s="89"/>
      <c r="B746" s="90">
        <f t="shared" si="11"/>
        <v>736</v>
      </c>
      <c r="C746" s="140">
        <v>46076</v>
      </c>
      <c r="D746" s="92" t="s">
        <v>16</v>
      </c>
      <c r="E746" s="6" t="s">
        <v>252</v>
      </c>
      <c r="F746" s="242" t="s">
        <v>219</v>
      </c>
      <c r="G746" s="242" t="s">
        <v>253</v>
      </c>
      <c r="H746" s="6" t="str">
        <f>'[2]1. Information samples'!$K$55</f>
        <v>Vigna unguiculata</v>
      </c>
      <c r="I746" s="6" t="s">
        <v>22</v>
      </c>
      <c r="J746" s="129" t="s">
        <v>23</v>
      </c>
      <c r="K746" s="129" t="s">
        <v>24</v>
      </c>
      <c r="L746" s="6" t="s">
        <v>251</v>
      </c>
      <c r="M746" s="256">
        <v>28</v>
      </c>
      <c r="N746" s="256">
        <v>69</v>
      </c>
      <c r="O746" s="256">
        <v>3</v>
      </c>
      <c r="P746" s="257">
        <v>1</v>
      </c>
      <c r="Q746" s="96">
        <v>155</v>
      </c>
      <c r="R746" s="98">
        <v>0.50029999999999997</v>
      </c>
      <c r="S746" s="262">
        <f>((Table3.110[[#This Row],[Sample weight, g]]*'2.1. DM'!Q155)/100)*1000</f>
        <v>460.56109337514715</v>
      </c>
      <c r="T746" s="94">
        <f>'3.2 Digest'!W746</f>
        <v>157.86109337514716</v>
      </c>
      <c r="U746" s="153">
        <v>0.3611111111111111</v>
      </c>
      <c r="V746" s="154">
        <v>41</v>
      </c>
      <c r="W746" s="153">
        <v>0.72499999999999998</v>
      </c>
      <c r="X746" s="91">
        <v>86</v>
      </c>
      <c r="Y746" s="91">
        <v>13.3</v>
      </c>
      <c r="Z746" s="154">
        <v>40.5</v>
      </c>
      <c r="AA746" s="153">
        <v>0.40069444444444446</v>
      </c>
      <c r="AB746" s="154">
        <v>88</v>
      </c>
      <c r="AC746" s="154">
        <v>16.399999999999999</v>
      </c>
      <c r="AD746" s="91"/>
      <c r="AE746" s="94">
        <f>Table3.110[[#This Row],[Gas 8h, ml]]-Table3.110[[#This Row],[Gas 0h, ml]]</f>
        <v>45</v>
      </c>
      <c r="AF746" s="94">
        <f>Table3.110[[#This Row],[Gas 24h, ml]]-Table3.110[[#This Row],[V8 Push back, ml]]</f>
        <v>47.5</v>
      </c>
      <c r="AG746" s="94">
        <f>Table3.110[[#This Row],[GP 8h, ml]]-AVERAGE(AE$664,AE$665,AE$726,AE$727,AE$788,AE$789)*$AG$8</f>
        <v>43.156235924806332</v>
      </c>
      <c r="AH746" s="94">
        <f>Table3.110[[#This Row],[GP 8-24h, ml]]-AVERAGE(AF$664,AF$665,AF$726,AF$727,AF$788,AF$789)*$AG$8</f>
        <v>45.176857265255975</v>
      </c>
      <c r="AI746" s="94">
        <f>Table3.110[[#This Row],[Net gas 8-24h, ml]]+Table3.110[[#This Row],[Net gas 8h, ml]]</f>
        <v>88.3330931900623</v>
      </c>
      <c r="AJ746" s="94">
        <f>Table3.110[[#This Row],[Net gas 8h, ml]]*Table3.110[[#This Row],[CH4 8h %]]%</f>
        <v>5.7397793779992421</v>
      </c>
      <c r="AK746" s="94">
        <f>Table3.110[[#This Row],[Net gas 8-24h, ml]]*Table3.110[[#This Row],[CH4 24h, %]]%</f>
        <v>7.4090045915019793</v>
      </c>
      <c r="AL746" s="94">
        <f>Table3.110[[#This Row],[CH4 8-24h, ml]]+Table3.110[[#This Row],[CH4 8h, ml]]</f>
        <v>13.148783969501221</v>
      </c>
      <c r="AM746" s="94">
        <f>(Table3.110[[#This Row],[Net gas 24h, ml]]/Table3.110[[#This Row],[DM Incubated, mg]])*1000</f>
        <v>191.79451860062164</v>
      </c>
      <c r="AN746" s="94">
        <f>'3.2 Digest'!X746</f>
        <v>34.275820438562839</v>
      </c>
      <c r="AO746" s="94">
        <f>Table3.110[[#This Row],[Digested feed, mg]]/Table3.110[[#This Row],[Net gas 24h, ml]]</f>
        <v>1.7871115759015099</v>
      </c>
      <c r="AP746" s="94">
        <f>Table3.110[[#This Row],[CH4 8h, ml]]/Table3.110[[#This Row],[Net gas 8h, ml]]%</f>
        <v>13.3</v>
      </c>
      <c r="AQ746" s="94">
        <f>Table3.110[[#This Row],[CH4 24h, ml]]/Table3.110[[#This Row],[Net gas 24h, ml]]%</f>
        <v>14.885456282176806</v>
      </c>
      <c r="AR746" s="94">
        <f>Table3.110[[#This Row],[CH4 24h, ml]]/Table3.110[[#This Row],[DM Incubated, mg]]*1000</f>
        <v>28.549489217906995</v>
      </c>
      <c r="AS746" s="94">
        <f>Table3.110[[#This Row],[CH4 24h, ml]]/Table3.110[[#This Row],[Digested feed, mg]]*1000</f>
        <v>83.293379567908758</v>
      </c>
      <c r="AT746" s="94">
        <f>Table3.110[[#This Row],[CH4 24h, ml]]/'3.2 Digest'!AA746</f>
        <v>-0.36495410917786386</v>
      </c>
      <c r="AU746" s="94">
        <f>((Table3.110[[#This Row],[CH4 24h, ml]]/28.9)*16.04)/Table3.110[[#This Row],[DM Incubated, mg]]*1000</f>
        <v>15.845460451737999</v>
      </c>
      <c r="AV746" s="94">
        <f>((Table3.110[[#This Row],[CH4 24h, ml]]/28.9)*16.04)/Table3.110[[#This Row],[Digested feed, mg]]*1000</f>
        <v>46.229266722119604</v>
      </c>
      <c r="AW746" s="303"/>
    </row>
    <row r="747" spans="1:49" s="304" customFormat="1" x14ac:dyDescent="0.35">
      <c r="A747" s="89"/>
      <c r="B747" s="90">
        <f t="shared" si="11"/>
        <v>737</v>
      </c>
      <c r="C747" s="140">
        <v>46076</v>
      </c>
      <c r="D747" s="92" t="s">
        <v>16</v>
      </c>
      <c r="E747" s="6" t="s">
        <v>252</v>
      </c>
      <c r="F747" s="242" t="s">
        <v>219</v>
      </c>
      <c r="G747" s="242" t="s">
        <v>253</v>
      </c>
      <c r="H747" s="6" t="str">
        <f>'[2]1. Information samples'!$K$55</f>
        <v>Vigna unguiculata</v>
      </c>
      <c r="I747" s="6" t="s">
        <v>22</v>
      </c>
      <c r="J747" s="129" t="s">
        <v>23</v>
      </c>
      <c r="K747" s="129" t="s">
        <v>24</v>
      </c>
      <c r="L747" s="6" t="s">
        <v>251</v>
      </c>
      <c r="M747" s="256">
        <v>28</v>
      </c>
      <c r="N747" s="256">
        <v>69</v>
      </c>
      <c r="O747" s="256">
        <v>3</v>
      </c>
      <c r="P747" s="257">
        <v>2</v>
      </c>
      <c r="Q747" s="96">
        <v>156</v>
      </c>
      <c r="R747" s="98">
        <v>0.5</v>
      </c>
      <c r="S747" s="262">
        <f>((Table3.110[[#This Row],[Sample weight, g]]*'2.1. DM'!Q155)/100)*1000</f>
        <v>460.2849224216942</v>
      </c>
      <c r="T747" s="94">
        <f>'3.2 Digest'!W747</f>
        <v>99.284922421694205</v>
      </c>
      <c r="U747" s="117">
        <v>0.3611111111111111</v>
      </c>
      <c r="V747" s="155">
        <v>40.5</v>
      </c>
      <c r="W747" s="117">
        <v>0.72569444444444442</v>
      </c>
      <c r="X747" s="96">
        <v>85.5</v>
      </c>
      <c r="Y747" s="96">
        <v>13.2</v>
      </c>
      <c r="Z747" s="155">
        <v>40.5</v>
      </c>
      <c r="AA747" s="117">
        <v>0.40069444444444446</v>
      </c>
      <c r="AB747" s="155">
        <v>88</v>
      </c>
      <c r="AC747" s="155">
        <v>16.100000000000001</v>
      </c>
      <c r="AD747" s="96"/>
      <c r="AE747" s="94">
        <f>Table3.110[[#This Row],[Gas 8h, ml]]-Table3.110[[#This Row],[Gas 0h, ml]]</f>
        <v>45</v>
      </c>
      <c r="AF747" s="94">
        <f>Table3.110[[#This Row],[Gas 24h, ml]]-Table3.110[[#This Row],[V8 Push back, ml]]</f>
        <v>47.5</v>
      </c>
      <c r="AG747" s="94">
        <f>Table3.110[[#This Row],[GP 8h, ml]]-AVERAGE(AE$664,AE$665,AE$726,AE$727,AE$788,AE$789)*$AG$8</f>
        <v>43.156235924806332</v>
      </c>
      <c r="AH747" s="94">
        <f>Table3.110[[#This Row],[GP 8-24h, ml]]-AVERAGE(AF$664,AF$665,AF$726,AF$727,AF$788,AF$789)*$AG$8</f>
        <v>45.176857265255975</v>
      </c>
      <c r="AI747" s="94">
        <f>Table3.110[[#This Row],[Net gas 8-24h, ml]]+Table3.110[[#This Row],[Net gas 8h, ml]]</f>
        <v>88.3330931900623</v>
      </c>
      <c r="AJ747" s="94">
        <f>Table3.110[[#This Row],[Net gas 8h, ml]]*Table3.110[[#This Row],[CH4 8h %]]%</f>
        <v>5.6966231420744364</v>
      </c>
      <c r="AK747" s="94">
        <f>Table3.110[[#This Row],[Net gas 8-24h, ml]]*Table3.110[[#This Row],[CH4 24h, %]]%</f>
        <v>7.273474019706212</v>
      </c>
      <c r="AL747" s="94">
        <f>Table3.110[[#This Row],[CH4 8-24h, ml]]+Table3.110[[#This Row],[CH4 8h, ml]]</f>
        <v>12.970097161780648</v>
      </c>
      <c r="AM747" s="94">
        <f>(Table3.110[[#This Row],[Net gas 24h, ml]]/Table3.110[[#This Row],[DM Incubated, mg]])*1000</f>
        <v>191.90959531178197</v>
      </c>
      <c r="AN747" s="94">
        <f>'3.2 Digest'!X747</f>
        <v>21.570318206237793</v>
      </c>
      <c r="AO747" s="94">
        <f>Table3.110[[#This Row],[Digested feed, mg]]/Table3.110[[#This Row],[Net gas 24h, ml]]</f>
        <v>1.1239833094949743</v>
      </c>
      <c r="AP747" s="94">
        <f>Table3.110[[#This Row],[CH4 8h, ml]]/Table3.110[[#This Row],[Net gas 8h, ml]]%</f>
        <v>13.200000000000003</v>
      </c>
      <c r="AQ747" s="94">
        <f>Table3.110[[#This Row],[CH4 24h, ml]]/Table3.110[[#This Row],[Net gas 24h, ml]]%</f>
        <v>14.683168780100885</v>
      </c>
      <c r="AR747" s="94">
        <f>Table3.110[[#This Row],[CH4 24h, ml]]/Table3.110[[#This Row],[DM Incubated, mg]]*1000</f>
        <v>28.178409784837523</v>
      </c>
      <c r="AS747" s="94">
        <f>Table3.110[[#This Row],[CH4 24h, ml]]/Table3.110[[#This Row],[Digested feed, mg]]*1000</f>
        <v>130.63511402761216</v>
      </c>
      <c r="AT747" s="94">
        <f>Table3.110[[#This Row],[CH4 24h, ml]]/'3.2 Digest'!AA747</f>
        <v>-0.20810414429816698</v>
      </c>
      <c r="AU747" s="94">
        <f>((Table3.110[[#This Row],[CH4 24h, ml]]/28.9)*16.04)/Table3.110[[#This Row],[DM Incubated, mg]]*1000</f>
        <v>15.639504946325047</v>
      </c>
      <c r="AV747" s="94">
        <f>((Table3.110[[#This Row],[CH4 24h, ml]]/28.9)*16.04)/Table3.110[[#This Row],[Digested feed, mg]]*1000</f>
        <v>72.504748408404808</v>
      </c>
      <c r="AW747" s="303"/>
    </row>
    <row r="748" spans="1:49" s="304" customFormat="1" x14ac:dyDescent="0.35">
      <c r="A748" s="89"/>
      <c r="B748" s="90">
        <f t="shared" si="11"/>
        <v>738</v>
      </c>
      <c r="C748" s="140">
        <v>46076</v>
      </c>
      <c r="D748" s="92" t="s">
        <v>16</v>
      </c>
      <c r="E748" s="6" t="s">
        <v>256</v>
      </c>
      <c r="F748" s="242" t="s">
        <v>219</v>
      </c>
      <c r="G748" s="242" t="s">
        <v>253</v>
      </c>
      <c r="H748" s="6" t="str">
        <f>'[2]1. Information samples'!$K$56</f>
        <v>Vigna unguiculata</v>
      </c>
      <c r="I748" s="6" t="s">
        <v>22</v>
      </c>
      <c r="J748" s="129" t="s">
        <v>23</v>
      </c>
      <c r="K748" s="129" t="s">
        <v>24</v>
      </c>
      <c r="L748" s="6" t="s">
        <v>255</v>
      </c>
      <c r="M748" s="256">
        <v>28</v>
      </c>
      <c r="N748" s="256">
        <v>69</v>
      </c>
      <c r="O748" s="256">
        <v>3</v>
      </c>
      <c r="P748" s="257">
        <v>1</v>
      </c>
      <c r="Q748" s="96">
        <v>157</v>
      </c>
      <c r="R748" s="98">
        <v>0.50049999999999994</v>
      </c>
      <c r="S748" s="262">
        <f>((Table3.110[[#This Row],[Sample weight, g]]*'2.1. DM'!Q157)/100)*1000</f>
        <v>461.57669778257019</v>
      </c>
      <c r="T748" s="94">
        <f>'3.2 Digest'!W748</f>
        <v>236.07669778257016</v>
      </c>
      <c r="U748" s="117">
        <v>0.3611111111111111</v>
      </c>
      <c r="V748" s="155">
        <v>41</v>
      </c>
      <c r="W748" s="117">
        <v>0.72569444444444442</v>
      </c>
      <c r="X748" s="96">
        <v>84.5</v>
      </c>
      <c r="Y748" s="96">
        <v>12.2</v>
      </c>
      <c r="Z748" s="155">
        <v>40</v>
      </c>
      <c r="AA748" s="117">
        <v>0.40138888888888891</v>
      </c>
      <c r="AB748" s="155">
        <v>89.5</v>
      </c>
      <c r="AC748" s="155">
        <v>15.7</v>
      </c>
      <c r="AD748" s="96" t="s">
        <v>581</v>
      </c>
      <c r="AE748" s="94">
        <f>Table3.110[[#This Row],[Gas 8h, ml]]-Table3.110[[#This Row],[Gas 0h, ml]]</f>
        <v>43.5</v>
      </c>
      <c r="AF748" s="94">
        <f>Table3.110[[#This Row],[Gas 24h, ml]]-Table3.110[[#This Row],[V8 Push back, ml]]</f>
        <v>49.5</v>
      </c>
      <c r="AG748" s="94">
        <f>Table3.110[[#This Row],[GP 8h, ml]]-AVERAGE(AE$664,AE$665,AE$726,AE$727,AE$788,AE$789)*$AG$8</f>
        <v>41.656235924806332</v>
      </c>
      <c r="AH748" s="94">
        <f>Table3.110[[#This Row],[GP 8-24h, ml]]-AVERAGE(AF$664,AF$665,AF$726,AF$727,AF$788,AF$789)*$AG$8</f>
        <v>47.176857265255975</v>
      </c>
      <c r="AI748" s="94">
        <f>Table3.110[[#This Row],[Net gas 8-24h, ml]]+Table3.110[[#This Row],[Net gas 8h, ml]]</f>
        <v>88.8330931900623</v>
      </c>
      <c r="AJ748" s="94">
        <f>Table3.110[[#This Row],[Net gas 8h, ml]]*Table3.110[[#This Row],[CH4 8h %]]%</f>
        <v>5.082060782826372</v>
      </c>
      <c r="AK748" s="94">
        <f>Table3.110[[#This Row],[Net gas 8-24h, ml]]*Table3.110[[#This Row],[CH4 24h, %]]%</f>
        <v>7.4067665906451881</v>
      </c>
      <c r="AL748" s="94">
        <f>Table3.110[[#This Row],[CH4 8-24h, ml]]+Table3.110[[#This Row],[CH4 8h, ml]]</f>
        <v>12.48882737347156</v>
      </c>
      <c r="AM748" s="94">
        <f>(Table3.110[[#This Row],[Net gas 24h, ml]]/Table3.110[[#This Row],[DM Incubated, mg]])*1000</f>
        <v>192.455757876902</v>
      </c>
      <c r="AN748" s="94">
        <f>'3.2 Digest'!X748</f>
        <v>51.145714009543909</v>
      </c>
      <c r="AO748" s="94">
        <f>Table3.110[[#This Row],[Digested feed, mg]]/Table3.110[[#This Row],[Net gas 24h, ml]]</f>
        <v>2.6575309865375703</v>
      </c>
      <c r="AP748" s="94">
        <f>Table3.110[[#This Row],[CH4 8h, ml]]/Table3.110[[#This Row],[Net gas 8h, ml]]%</f>
        <v>12.199999999999998</v>
      </c>
      <c r="AQ748" s="94">
        <f>Table3.110[[#This Row],[CH4 24h, ml]]/Table3.110[[#This Row],[Net gas 24h, ml]]%</f>
        <v>14.058755498641894</v>
      </c>
      <c r="AR748" s="94">
        <f>Table3.110[[#This Row],[CH4 24h, ml]]/Table3.110[[#This Row],[DM Incubated, mg]]*1000</f>
        <v>27.056884442971889</v>
      </c>
      <c r="AS748" s="94">
        <f>Table3.110[[#This Row],[CH4 24h, ml]]/Table3.110[[#This Row],[Digested feed, mg]]*1000</f>
        <v>52.901567544688127</v>
      </c>
      <c r="AT748" s="94">
        <f>Table3.110[[#This Row],[CH4 24h, ml]]/'3.2 Digest'!AA748</f>
        <v>7.990760952021815</v>
      </c>
      <c r="AU748" s="94">
        <f>((Table3.110[[#This Row],[CH4 24h, ml]]/28.9)*16.04)/Table3.110[[#This Row],[DM Incubated, mg]]*1000</f>
        <v>15.017038978036991</v>
      </c>
      <c r="AV748" s="94">
        <f>((Table3.110[[#This Row],[CH4 24h, ml]]/28.9)*16.04)/Table3.110[[#This Row],[Digested feed, mg]]*1000</f>
        <v>29.361285239335551</v>
      </c>
      <c r="AW748" s="303"/>
    </row>
    <row r="749" spans="1:49" s="304" customFormat="1" x14ac:dyDescent="0.35">
      <c r="A749" s="89"/>
      <c r="B749" s="90">
        <f t="shared" si="11"/>
        <v>739</v>
      </c>
      <c r="C749" s="140">
        <v>46076</v>
      </c>
      <c r="D749" s="92" t="s">
        <v>16</v>
      </c>
      <c r="E749" s="6" t="s">
        <v>256</v>
      </c>
      <c r="F749" s="242" t="s">
        <v>219</v>
      </c>
      <c r="G749" s="242" t="s">
        <v>253</v>
      </c>
      <c r="H749" s="6" t="str">
        <f>'[2]1. Information samples'!$K$56</f>
        <v>Vigna unguiculata</v>
      </c>
      <c r="I749" s="6" t="s">
        <v>22</v>
      </c>
      <c r="J749" s="129" t="s">
        <v>23</v>
      </c>
      <c r="K749" s="129" t="s">
        <v>24</v>
      </c>
      <c r="L749" s="6" t="s">
        <v>255</v>
      </c>
      <c r="M749" s="256">
        <v>28</v>
      </c>
      <c r="N749" s="256">
        <v>69</v>
      </c>
      <c r="O749" s="256">
        <v>3</v>
      </c>
      <c r="P749" s="257">
        <v>2</v>
      </c>
      <c r="Q749" s="96">
        <v>158</v>
      </c>
      <c r="R749" s="98">
        <v>0.5</v>
      </c>
      <c r="S749" s="262">
        <f>((Table3.110[[#This Row],[Sample weight, g]]*'2.1. DM'!Q157)/100)*1000</f>
        <v>461.11558220036989</v>
      </c>
      <c r="T749" s="94">
        <f>'3.2 Digest'!W749</f>
        <v>329.41558220036984</v>
      </c>
      <c r="U749" s="153">
        <v>0.36180555555555555</v>
      </c>
      <c r="V749" s="154">
        <v>40.5</v>
      </c>
      <c r="W749" s="153">
        <v>0.72638888888888886</v>
      </c>
      <c r="X749" s="91">
        <v>84</v>
      </c>
      <c r="Y749" s="91">
        <v>12.1</v>
      </c>
      <c r="Z749" s="154">
        <v>40.5</v>
      </c>
      <c r="AA749" s="153">
        <v>0.40138888888888891</v>
      </c>
      <c r="AB749" s="154">
        <v>88</v>
      </c>
      <c r="AC749" s="154">
        <v>15.6</v>
      </c>
      <c r="AD749" s="91"/>
      <c r="AE749" s="94">
        <f>Table3.110[[#This Row],[Gas 8h, ml]]-Table3.110[[#This Row],[Gas 0h, ml]]</f>
        <v>43.5</v>
      </c>
      <c r="AF749" s="94">
        <f>Table3.110[[#This Row],[Gas 24h, ml]]-Table3.110[[#This Row],[V8 Push back, ml]]</f>
        <v>47.5</v>
      </c>
      <c r="AG749" s="94">
        <f>Table3.110[[#This Row],[GP 8h, ml]]-AVERAGE(AE$664,AE$665,AE$726,AE$727,AE$788,AE$789)*$AG$8</f>
        <v>41.656235924806332</v>
      </c>
      <c r="AH749" s="94">
        <f>Table3.110[[#This Row],[GP 8-24h, ml]]-AVERAGE(AF$664,AF$665,AF$726,AF$727,AF$788,AF$789)*$AG$8</f>
        <v>45.176857265255975</v>
      </c>
      <c r="AI749" s="94">
        <f>Table3.110[[#This Row],[Net gas 8-24h, ml]]+Table3.110[[#This Row],[Net gas 8h, ml]]</f>
        <v>86.8330931900623</v>
      </c>
      <c r="AJ749" s="94">
        <f>Table3.110[[#This Row],[Net gas 8h, ml]]*Table3.110[[#This Row],[CH4 8h %]]%</f>
        <v>5.0404045469015664</v>
      </c>
      <c r="AK749" s="94">
        <f>Table3.110[[#This Row],[Net gas 8-24h, ml]]*Table3.110[[#This Row],[CH4 24h, %]]%</f>
        <v>7.0475897333799322</v>
      </c>
      <c r="AL749" s="94">
        <f>Table3.110[[#This Row],[CH4 8-24h, ml]]+Table3.110[[#This Row],[CH4 8h, ml]]</f>
        <v>12.087994280281499</v>
      </c>
      <c r="AM749" s="94">
        <f>(Table3.110[[#This Row],[Net gas 24h, ml]]/Table3.110[[#This Row],[DM Incubated, mg]])*1000</f>
        <v>188.31090629318717</v>
      </c>
      <c r="AN749" s="94"/>
      <c r="AO749" s="94">
        <f>Table3.110[[#This Row],[Digested feed, mg]]/Table3.110[[#This Row],[Net gas 24h, ml]]</f>
        <v>3.7936640294425228</v>
      </c>
      <c r="AP749" s="94">
        <f>Table3.110[[#This Row],[CH4 8h, ml]]/Table3.110[[#This Row],[Net gas 8h, ml]]%</f>
        <v>12.1</v>
      </c>
      <c r="AQ749" s="94">
        <f>Table3.110[[#This Row],[CH4 24h, ml]]/Table3.110[[#This Row],[Net gas 24h, ml]]%</f>
        <v>13.920953217482435</v>
      </c>
      <c r="AR749" s="94">
        <f>Table3.110[[#This Row],[CH4 24h, ml]]/Table3.110[[#This Row],[DM Incubated, mg]]*1000</f>
        <v>26.214673168491775</v>
      </c>
      <c r="AS749" s="94">
        <f>Table3.110[[#This Row],[CH4 24h, ml]]/Table3.110[[#This Row],[Digested feed, mg]]*1000</f>
        <v>36.695271667291301</v>
      </c>
      <c r="AT749" s="94">
        <f>Table3.110[[#This Row],[CH4 24h, ml]]/'3.2 Digest'!AA749</f>
        <v>0.28474662899328407</v>
      </c>
      <c r="AU749" s="94">
        <f>((Table3.110[[#This Row],[CH4 24h, ml]]/28.9)*16.04)/Table3.110[[#This Row],[DM Incubated, mg]]*1000</f>
        <v>14.549597149571213</v>
      </c>
      <c r="AV749" s="94">
        <f>((Table3.110[[#This Row],[CH4 24h, ml]]/28.9)*16.04)/Table3.110[[#This Row],[Digested feed, mg]]*1000</f>
        <v>20.366510641638492</v>
      </c>
      <c r="AW749" s="303" t="s">
        <v>658</v>
      </c>
    </row>
    <row r="750" spans="1:49" s="304" customFormat="1" x14ac:dyDescent="0.35">
      <c r="A750" s="89"/>
      <c r="B750" s="90">
        <f t="shared" si="11"/>
        <v>740</v>
      </c>
      <c r="C750" s="140">
        <v>46076</v>
      </c>
      <c r="D750" s="92" t="s">
        <v>16</v>
      </c>
      <c r="E750" s="6" t="s">
        <v>258</v>
      </c>
      <c r="F750" s="242" t="s">
        <v>259</v>
      </c>
      <c r="G750" s="242" t="s">
        <v>260</v>
      </c>
      <c r="H750" s="6" t="str">
        <f>'[2]1. Information samples'!$K$57</f>
        <v>Chamaecrista mimosoides</v>
      </c>
      <c r="I750" s="6" t="s">
        <v>22</v>
      </c>
      <c r="J750" s="129" t="s">
        <v>23</v>
      </c>
      <c r="K750" s="129" t="s">
        <v>24</v>
      </c>
      <c r="L750" s="6" t="s">
        <v>257</v>
      </c>
      <c r="M750" s="256">
        <v>28</v>
      </c>
      <c r="N750" s="256">
        <v>69</v>
      </c>
      <c r="O750" s="256">
        <v>3</v>
      </c>
      <c r="P750" s="257">
        <v>1</v>
      </c>
      <c r="Q750" s="96">
        <v>159</v>
      </c>
      <c r="R750" s="98">
        <v>0.50039999999999996</v>
      </c>
      <c r="S750" s="262">
        <f>((Table3.110[[#This Row],[Sample weight, g]]*'2.1. DM'!Q159)/100)*1000</f>
        <v>457.39710323902813</v>
      </c>
      <c r="T750" s="94">
        <f>'3.2 Digest'!W750</f>
        <v>136.59710323902806</v>
      </c>
      <c r="U750" s="153">
        <v>0.36180555555555555</v>
      </c>
      <c r="V750" s="154">
        <v>41</v>
      </c>
      <c r="W750" s="153">
        <v>0.7270833333333333</v>
      </c>
      <c r="X750" s="91">
        <v>82.5</v>
      </c>
      <c r="Y750" s="91">
        <v>14.2</v>
      </c>
      <c r="Z750" s="154">
        <v>40.5</v>
      </c>
      <c r="AA750" s="153">
        <v>0.40208333333333335</v>
      </c>
      <c r="AB750" s="154">
        <v>78.8</v>
      </c>
      <c r="AC750" s="154">
        <v>18.2</v>
      </c>
      <c r="AD750" s="91"/>
      <c r="AE750" s="94">
        <f>Table3.110[[#This Row],[Gas 8h, ml]]-Table3.110[[#This Row],[Gas 0h, ml]]</f>
        <v>41.5</v>
      </c>
      <c r="AF750" s="94">
        <f>Table3.110[[#This Row],[Gas 24h, ml]]-Table3.110[[#This Row],[V8 Push back, ml]]</f>
        <v>38.299999999999997</v>
      </c>
      <c r="AG750" s="94">
        <f>Table3.110[[#This Row],[GP 8h, ml]]-AVERAGE(AE$664,AE$665,AE$726,AE$727,AE$788,AE$789)*$AG$8</f>
        <v>39.656235924806332</v>
      </c>
      <c r="AH750" s="94">
        <f>Table3.110[[#This Row],[GP 8-24h, ml]]-AVERAGE(AF$664,AF$665,AF$726,AF$727,AF$788,AF$789)*$AG$8</f>
        <v>35.976857265255973</v>
      </c>
      <c r="AI750" s="94">
        <f>Table3.110[[#This Row],[Net gas 8-24h, ml]]+Table3.110[[#This Row],[Net gas 8h, ml]]</f>
        <v>75.633093190062311</v>
      </c>
      <c r="AJ750" s="94">
        <f>Table3.110[[#This Row],[Net gas 8h, ml]]*Table3.110[[#This Row],[CH4 8h %]]%</f>
        <v>5.6311855013224985</v>
      </c>
      <c r="AK750" s="94">
        <f>Table3.110[[#This Row],[Net gas 8-24h, ml]]*Table3.110[[#This Row],[CH4 24h, %]]%</f>
        <v>6.5477880222765865</v>
      </c>
      <c r="AL750" s="94">
        <f>Table3.110[[#This Row],[CH4 8-24h, ml]]+Table3.110[[#This Row],[CH4 8h, ml]]</f>
        <v>12.178973523599085</v>
      </c>
      <c r="AM750" s="94">
        <f>(Table3.110[[#This Row],[Net gas 24h, ml]]/Table3.110[[#This Row],[DM Incubated, mg]])*1000</f>
        <v>165.35542672761028</v>
      </c>
      <c r="AN750" s="94">
        <f>'3.2 Digest'!X750</f>
        <v>29.864007067758951</v>
      </c>
      <c r="AO750" s="94">
        <f>Table3.110[[#This Row],[Digested feed, mg]]/Table3.110[[#This Row],[Net gas 24h, ml]]</f>
        <v>1.8060494087656329</v>
      </c>
      <c r="AP750" s="94">
        <f>Table3.110[[#This Row],[CH4 8h, ml]]/Table3.110[[#This Row],[Net gas 8h, ml]]%</f>
        <v>14.199999999999998</v>
      </c>
      <c r="AQ750" s="94">
        <f>Table3.110[[#This Row],[CH4 24h, ml]]/Table3.110[[#This Row],[Net gas 24h, ml]]%</f>
        <v>16.102704530401677</v>
      </c>
      <c r="AR750" s="94">
        <f>Table3.110[[#This Row],[CH4 24h, ml]]/Table3.110[[#This Row],[DM Incubated, mg]]*1000</f>
        <v>26.626695790931922</v>
      </c>
      <c r="AS750" s="94">
        <f>Table3.110[[#This Row],[CH4 24h, ml]]/Table3.110[[#This Row],[Digested feed, mg]]*1000</f>
        <v>89.159822827921801</v>
      </c>
      <c r="AT750" s="94">
        <f>Table3.110[[#This Row],[CH4 24h, ml]]/'3.2 Digest'!AA750</f>
        <v>-0.55173913402872599</v>
      </c>
      <c r="AU750" s="94">
        <f>((Table3.110[[#This Row],[CH4 24h, ml]]/28.9)*16.04)/Table3.110[[#This Row],[DM Incubated, mg]]*1000</f>
        <v>14.778276833444568</v>
      </c>
      <c r="AV750" s="94">
        <f>((Table3.110[[#This Row],[CH4 24h, ml]]/28.9)*16.04)/Table3.110[[#This Row],[Digested feed, mg]]*1000</f>
        <v>49.485244226984967</v>
      </c>
      <c r="AW750" s="303"/>
    </row>
    <row r="751" spans="1:49" s="304" customFormat="1" x14ac:dyDescent="0.35">
      <c r="A751" s="89"/>
      <c r="B751" s="90">
        <f t="shared" si="11"/>
        <v>741</v>
      </c>
      <c r="C751" s="140">
        <v>46076</v>
      </c>
      <c r="D751" s="92" t="s">
        <v>16</v>
      </c>
      <c r="E751" s="6" t="s">
        <v>258</v>
      </c>
      <c r="F751" s="242" t="s">
        <v>259</v>
      </c>
      <c r="G751" s="242" t="s">
        <v>260</v>
      </c>
      <c r="H751" s="6" t="str">
        <f>'[2]1. Information samples'!$K$57</f>
        <v>Chamaecrista mimosoides</v>
      </c>
      <c r="I751" s="6" t="s">
        <v>22</v>
      </c>
      <c r="J751" s="129" t="s">
        <v>23</v>
      </c>
      <c r="K751" s="129" t="s">
        <v>24</v>
      </c>
      <c r="L751" s="6" t="s">
        <v>257</v>
      </c>
      <c r="M751" s="256">
        <v>28</v>
      </c>
      <c r="N751" s="256">
        <v>69</v>
      </c>
      <c r="O751" s="256">
        <v>3</v>
      </c>
      <c r="P751" s="257">
        <v>2</v>
      </c>
      <c r="Q751" s="96">
        <v>160</v>
      </c>
      <c r="R751" s="98">
        <v>0.50029999999999997</v>
      </c>
      <c r="S751" s="262">
        <f>((Table3.110[[#This Row],[Sample weight, g]]*'2.1. DM'!Q159)/100)*1000</f>
        <v>457.30569694341682</v>
      </c>
      <c r="T751" s="94">
        <f>'3.2 Digest'!W751</f>
        <v>185.40569694341679</v>
      </c>
      <c r="U751" s="117">
        <v>0.36180555555555555</v>
      </c>
      <c r="V751" s="155">
        <v>40</v>
      </c>
      <c r="W751" s="117">
        <v>0.72777777777777775</v>
      </c>
      <c r="X751" s="96">
        <v>80.5</v>
      </c>
      <c r="Y751" s="96">
        <v>14.4</v>
      </c>
      <c r="Z751" s="155">
        <v>40</v>
      </c>
      <c r="AA751" s="117">
        <v>0.40208333333333335</v>
      </c>
      <c r="AB751" s="155">
        <v>78.5</v>
      </c>
      <c r="AC751" s="155">
        <v>18</v>
      </c>
      <c r="AD751" s="96"/>
      <c r="AE751" s="94">
        <f>Table3.110[[#This Row],[Gas 8h, ml]]-Table3.110[[#This Row],[Gas 0h, ml]]</f>
        <v>40.5</v>
      </c>
      <c r="AF751" s="94">
        <f>Table3.110[[#This Row],[Gas 24h, ml]]-Table3.110[[#This Row],[V8 Push back, ml]]</f>
        <v>38.5</v>
      </c>
      <c r="AG751" s="94">
        <f>Table3.110[[#This Row],[GP 8h, ml]]-AVERAGE(AE$664,AE$665,AE$726,AE$727,AE$788,AE$789)*$AG$8</f>
        <v>38.656235924806332</v>
      </c>
      <c r="AH751" s="94">
        <f>Table3.110[[#This Row],[GP 8-24h, ml]]-AVERAGE(AF$664,AF$665,AF$726,AF$727,AF$788,AF$789)*$AG$8</f>
        <v>36.176857265255975</v>
      </c>
      <c r="AI751" s="94">
        <f>Table3.110[[#This Row],[Net gas 8-24h, ml]]+Table3.110[[#This Row],[Net gas 8h, ml]]</f>
        <v>74.8330931900623</v>
      </c>
      <c r="AJ751" s="94">
        <f>Table3.110[[#This Row],[Net gas 8h, ml]]*Table3.110[[#This Row],[CH4 8h %]]%</f>
        <v>5.5664979731721127</v>
      </c>
      <c r="AK751" s="94">
        <f>Table3.110[[#This Row],[Net gas 8-24h, ml]]*Table3.110[[#This Row],[CH4 24h, %]]%</f>
        <v>6.5118343077460752</v>
      </c>
      <c r="AL751" s="94">
        <f>Table3.110[[#This Row],[CH4 8-24h, ml]]+Table3.110[[#This Row],[CH4 8h, ml]]</f>
        <v>12.078332280918188</v>
      </c>
      <c r="AM751" s="94">
        <f>(Table3.110[[#This Row],[Net gas 24h, ml]]/Table3.110[[#This Row],[DM Incubated, mg]])*1000</f>
        <v>163.63910113134131</v>
      </c>
      <c r="AN751" s="94">
        <f>'3.2 Digest'!X751</f>
        <v>40.543054281337184</v>
      </c>
      <c r="AO751" s="94">
        <f>Table3.110[[#This Row],[Digested feed, mg]]/Table3.110[[#This Row],[Net gas 24h, ml]]</f>
        <v>2.4775896470365111</v>
      </c>
      <c r="AP751" s="94">
        <f>Table3.110[[#This Row],[CH4 8h, ml]]/Table3.110[[#This Row],[Net gas 8h, ml]]%</f>
        <v>14.400000000000002</v>
      </c>
      <c r="AQ751" s="94">
        <f>Table3.110[[#This Row],[CH4 24h, ml]]/Table3.110[[#This Row],[Net gas 24h, ml]]%</f>
        <v>16.14036219275534</v>
      </c>
      <c r="AR751" s="94">
        <f>Table3.110[[#This Row],[CH4 24h, ml]]/Table3.110[[#This Row],[DM Incubated, mg]]*1000</f>
        <v>26.41194361156769</v>
      </c>
      <c r="AS751" s="94">
        <f>Table3.110[[#This Row],[CH4 24h, ml]]/Table3.110[[#This Row],[Digested feed, mg]]*1000</f>
        <v>65.14542152717307</v>
      </c>
      <c r="AT751" s="94">
        <f>Table3.110[[#This Row],[CH4 24h, ml]]/'3.2 Digest'!AA751</f>
        <v>-3.464225955555873</v>
      </c>
      <c r="AU751" s="94">
        <f>((Table3.110[[#This Row],[CH4 24h, ml]]/28.9)*16.04)/Table3.110[[#This Row],[DM Incubated, mg]]*1000</f>
        <v>14.659085658461789</v>
      </c>
      <c r="AV751" s="94">
        <f>((Table3.110[[#This Row],[CH4 24h, ml]]/28.9)*16.04)/Table3.110[[#This Row],[Digested feed, mg]]*1000</f>
        <v>36.156836030998463</v>
      </c>
      <c r="AW751" s="303"/>
    </row>
    <row r="752" spans="1:49" s="304" customFormat="1" x14ac:dyDescent="0.35">
      <c r="A752" s="89"/>
      <c r="B752" s="90">
        <f t="shared" si="11"/>
        <v>742</v>
      </c>
      <c r="C752" s="140">
        <v>46076</v>
      </c>
      <c r="D752" s="92" t="s">
        <v>16</v>
      </c>
      <c r="E752" s="6" t="s">
        <v>263</v>
      </c>
      <c r="F752" s="242" t="s">
        <v>264</v>
      </c>
      <c r="G752" s="242" t="s">
        <v>265</v>
      </c>
      <c r="H752" s="6" t="str">
        <f>'[2]1. Information samples'!$K$58</f>
        <v>Tephrosia purpurea</v>
      </c>
      <c r="I752" s="6" t="s">
        <v>22</v>
      </c>
      <c r="J752" s="129" t="s">
        <v>23</v>
      </c>
      <c r="K752" s="129" t="s">
        <v>24</v>
      </c>
      <c r="L752" s="6" t="s">
        <v>262</v>
      </c>
      <c r="M752" s="256">
        <v>28</v>
      </c>
      <c r="N752" s="256">
        <v>69</v>
      </c>
      <c r="O752" s="256">
        <v>3</v>
      </c>
      <c r="P752" s="257">
        <v>1</v>
      </c>
      <c r="Q752" s="96">
        <v>161</v>
      </c>
      <c r="R752" s="98">
        <v>0.5</v>
      </c>
      <c r="S752" s="262">
        <f>((Table3.110[[#This Row],[Sample weight, g]]*'2.1. DM'!Q161)/100)*1000</f>
        <v>453.78425018639803</v>
      </c>
      <c r="T752" s="94">
        <f>'3.2 Digest'!W752</f>
        <v>191.48425018639807</v>
      </c>
      <c r="U752" s="117">
        <v>0.36180555555555555</v>
      </c>
      <c r="V752" s="155">
        <v>40</v>
      </c>
      <c r="W752" s="117">
        <v>0.72777777777777775</v>
      </c>
      <c r="X752" s="96">
        <v>76.5</v>
      </c>
      <c r="Y752" s="96">
        <v>13.9</v>
      </c>
      <c r="Z752" s="155">
        <v>40</v>
      </c>
      <c r="AA752" s="117">
        <v>0.40277777777777779</v>
      </c>
      <c r="AB752" s="155">
        <v>79</v>
      </c>
      <c r="AC752" s="155">
        <v>16.3</v>
      </c>
      <c r="AD752" s="96"/>
      <c r="AE752" s="94">
        <f>Table3.110[[#This Row],[Gas 8h, ml]]-Table3.110[[#This Row],[Gas 0h, ml]]</f>
        <v>36.5</v>
      </c>
      <c r="AF752" s="94">
        <f>Table3.110[[#This Row],[Gas 24h, ml]]-Table3.110[[#This Row],[V8 Push back, ml]]</f>
        <v>39</v>
      </c>
      <c r="AG752" s="94">
        <f>Table3.110[[#This Row],[GP 8h, ml]]-AVERAGE(AE$664,AE$665,AE$726,AE$727,AE$788,AE$789)*$AG$8</f>
        <v>34.656235924806332</v>
      </c>
      <c r="AH752" s="94">
        <f>Table3.110[[#This Row],[GP 8-24h, ml]]-AVERAGE(AF$664,AF$665,AF$726,AF$727,AF$788,AF$789)*$AG$8</f>
        <v>36.676857265255975</v>
      </c>
      <c r="AI752" s="94">
        <f>Table3.110[[#This Row],[Net gas 8-24h, ml]]+Table3.110[[#This Row],[Net gas 8h, ml]]</f>
        <v>71.3330931900623</v>
      </c>
      <c r="AJ752" s="94">
        <f>Table3.110[[#This Row],[Net gas 8h, ml]]*Table3.110[[#This Row],[CH4 8h %]]%</f>
        <v>4.8172167935480807</v>
      </c>
      <c r="AK752" s="94">
        <f>Table3.110[[#This Row],[Net gas 8-24h, ml]]*Table3.110[[#This Row],[CH4 24h, %]]%</f>
        <v>5.978327734236724</v>
      </c>
      <c r="AL752" s="94">
        <f>Table3.110[[#This Row],[CH4 8-24h, ml]]+Table3.110[[#This Row],[CH4 8h, ml]]</f>
        <v>10.795544527784806</v>
      </c>
      <c r="AM752" s="94">
        <f>(Table3.110[[#This Row],[Net gas 24h, ml]]/Table3.110[[#This Row],[DM Incubated, mg]])*1000</f>
        <v>157.19605332437445</v>
      </c>
      <c r="AN752" s="94">
        <f>'3.2 Digest'!X752</f>
        <v>42.197200565630766</v>
      </c>
      <c r="AO752" s="94">
        <f>Table3.110[[#This Row],[Digested feed, mg]]/Table3.110[[#This Row],[Net gas 24h, ml]]</f>
        <v>2.6843676843817916</v>
      </c>
      <c r="AP752" s="94">
        <f>Table3.110[[#This Row],[CH4 8h, ml]]/Table3.110[[#This Row],[Net gas 8h, ml]]%</f>
        <v>13.9</v>
      </c>
      <c r="AQ752" s="94">
        <f>Table3.110[[#This Row],[CH4 24h, ml]]/Table3.110[[#This Row],[Net gas 24h, ml]]%</f>
        <v>15.13399187530084</v>
      </c>
      <c r="AR752" s="94">
        <f>Table3.110[[#This Row],[CH4 24h, ml]]/Table3.110[[#This Row],[DM Incubated, mg]]*1000</f>
        <v>23.790037938404407</v>
      </c>
      <c r="AS752" s="94">
        <f>Table3.110[[#This Row],[CH4 24h, ml]]/Table3.110[[#This Row],[Digested feed, mg]]*1000</f>
        <v>56.378237464835941</v>
      </c>
      <c r="AT752" s="94">
        <f>Table3.110[[#This Row],[CH4 24h, ml]]/'3.2 Digest'!AA752</f>
        <v>-1.3659113713269242</v>
      </c>
      <c r="AU752" s="94">
        <f>((Table3.110[[#This Row],[CH4 24h, ml]]/28.9)*16.04)/Table3.110[[#This Row],[DM Incubated, mg]]*1000</f>
        <v>13.203882648166319</v>
      </c>
      <c r="AV752" s="94">
        <f>((Table3.110[[#This Row],[CH4 24h, ml]]/28.9)*16.04)/Table3.110[[#This Row],[Digested feed, mg]]*1000</f>
        <v>31.29089719501621</v>
      </c>
      <c r="AW752" s="303"/>
    </row>
    <row r="753" spans="1:49" s="304" customFormat="1" x14ac:dyDescent="0.35">
      <c r="A753" s="89"/>
      <c r="B753" s="90">
        <f t="shared" si="11"/>
        <v>743</v>
      </c>
      <c r="C753" s="140">
        <v>46076</v>
      </c>
      <c r="D753" s="92" t="s">
        <v>16</v>
      </c>
      <c r="E753" s="6" t="s">
        <v>263</v>
      </c>
      <c r="F753" s="242" t="s">
        <v>264</v>
      </c>
      <c r="G753" s="242" t="s">
        <v>265</v>
      </c>
      <c r="H753" s="6" t="str">
        <f>'[2]1. Information samples'!$K$58</f>
        <v>Tephrosia purpurea</v>
      </c>
      <c r="I753" s="6" t="s">
        <v>22</v>
      </c>
      <c r="J753" s="129" t="s">
        <v>23</v>
      </c>
      <c r="K753" s="129" t="s">
        <v>24</v>
      </c>
      <c r="L753" s="6" t="s">
        <v>262</v>
      </c>
      <c r="M753" s="256">
        <v>28</v>
      </c>
      <c r="N753" s="256">
        <v>69</v>
      </c>
      <c r="O753" s="256">
        <v>3</v>
      </c>
      <c r="P753" s="257">
        <v>2</v>
      </c>
      <c r="Q753" s="96">
        <v>162</v>
      </c>
      <c r="R753" s="98">
        <v>0.50019999999999998</v>
      </c>
      <c r="S753" s="262">
        <f>((Table3.110[[#This Row],[Sample weight, g]]*'2.1. DM'!Q161)/100)*1000</f>
        <v>453.96576388647253</v>
      </c>
      <c r="T753" s="94">
        <f>'3.2 Digest'!W753</f>
        <v>134.36576388647251</v>
      </c>
      <c r="U753" s="153">
        <v>0.36249999999999999</v>
      </c>
      <c r="V753" s="154">
        <v>41</v>
      </c>
      <c r="W753" s="153">
        <v>0.72847222222222219</v>
      </c>
      <c r="X753" s="91">
        <v>77.5</v>
      </c>
      <c r="Y753" s="91">
        <v>13.6</v>
      </c>
      <c r="Z753" s="154">
        <v>40</v>
      </c>
      <c r="AA753" s="153">
        <v>0.40277777777777779</v>
      </c>
      <c r="AB753" s="154">
        <v>76</v>
      </c>
      <c r="AC753" s="154">
        <v>16.7</v>
      </c>
      <c r="AD753" s="91"/>
      <c r="AE753" s="94">
        <f>Table3.110[[#This Row],[Gas 8h, ml]]-Table3.110[[#This Row],[Gas 0h, ml]]</f>
        <v>36.5</v>
      </c>
      <c r="AF753" s="94">
        <f>Table3.110[[#This Row],[Gas 24h, ml]]-Table3.110[[#This Row],[V8 Push back, ml]]</f>
        <v>36</v>
      </c>
      <c r="AG753" s="94">
        <f>Table3.110[[#This Row],[GP 8h, ml]]-AVERAGE(AE$664,AE$665,AE$726,AE$727,AE$788,AE$789)*$AG$8</f>
        <v>34.656235924806332</v>
      </c>
      <c r="AH753" s="94">
        <f>Table3.110[[#This Row],[GP 8-24h, ml]]-AVERAGE(AF$664,AF$665,AF$726,AF$727,AF$788,AF$789)*$AG$8</f>
        <v>33.676857265255975</v>
      </c>
      <c r="AI753" s="94">
        <f>Table3.110[[#This Row],[Net gas 8-24h, ml]]+Table3.110[[#This Row],[Net gas 8h, ml]]</f>
        <v>68.3330931900623</v>
      </c>
      <c r="AJ753" s="94">
        <f>Table3.110[[#This Row],[Net gas 8h, ml]]*Table3.110[[#This Row],[CH4 8h %]]%</f>
        <v>4.7132480857736612</v>
      </c>
      <c r="AK753" s="94">
        <f>Table3.110[[#This Row],[Net gas 8-24h, ml]]*Table3.110[[#This Row],[CH4 24h, %]]%</f>
        <v>5.624035163297747</v>
      </c>
      <c r="AL753" s="94">
        <f>Table3.110[[#This Row],[CH4 8-24h, ml]]+Table3.110[[#This Row],[CH4 8h, ml]]</f>
        <v>10.337283249071408</v>
      </c>
      <c r="AM753" s="94">
        <f>(Table3.110[[#This Row],[Net gas 24h, ml]]/Table3.110[[#This Row],[DM Incubated, mg]])*1000</f>
        <v>150.52477218777889</v>
      </c>
      <c r="AN753" s="94">
        <f>'3.2 Digest'!X753</f>
        <v>29.598215234590818</v>
      </c>
      <c r="AO753" s="94">
        <f>Table3.110[[#This Row],[Digested feed, mg]]/Table3.110[[#This Row],[Net gas 24h, ml]]</f>
        <v>1.9663351622726388</v>
      </c>
      <c r="AP753" s="94">
        <f>Table3.110[[#This Row],[CH4 8h, ml]]/Table3.110[[#This Row],[Net gas 8h, ml]]%</f>
        <v>13.6</v>
      </c>
      <c r="AQ753" s="94">
        <f>Table3.110[[#This Row],[CH4 24h, ml]]/Table3.110[[#This Row],[Net gas 24h, ml]]%</f>
        <v>15.127784747456394</v>
      </c>
      <c r="AR753" s="94">
        <f>Table3.110[[#This Row],[CH4 24h, ml]]/Table3.110[[#This Row],[DM Incubated, mg]]*1000</f>
        <v>22.771063528166302</v>
      </c>
      <c r="AS753" s="94">
        <f>Table3.110[[#This Row],[CH4 24h, ml]]/Table3.110[[#This Row],[Digested feed, mg]]*1000</f>
        <v>76.933907493024208</v>
      </c>
      <c r="AT753" s="94">
        <f>Table3.110[[#This Row],[CH4 24h, ml]]/'3.2 Digest'!AA753</f>
        <v>-0.32897459766295317</v>
      </c>
      <c r="AU753" s="94">
        <f>((Table3.110[[#This Row],[CH4 24h, ml]]/28.9)*16.04)/Table3.110[[#This Row],[DM Incubated, mg]]*1000</f>
        <v>12.638334221169117</v>
      </c>
      <c r="AV753" s="94">
        <f>((Table3.110[[#This Row],[CH4 24h, ml]]/28.9)*16.04)/Table3.110[[#This Row],[Digested feed, mg]]*1000</f>
        <v>42.699649695090258</v>
      </c>
      <c r="AW753" s="303"/>
    </row>
    <row r="754" spans="1:49" s="304" customFormat="1" x14ac:dyDescent="0.35">
      <c r="A754" s="89"/>
      <c r="B754" s="90">
        <f t="shared" si="11"/>
        <v>744</v>
      </c>
      <c r="C754" s="140">
        <v>46076</v>
      </c>
      <c r="D754" s="92" t="s">
        <v>16</v>
      </c>
      <c r="E754" s="6" t="s">
        <v>268</v>
      </c>
      <c r="F754" s="242" t="s">
        <v>269</v>
      </c>
      <c r="G754" s="242" t="s">
        <v>270</v>
      </c>
      <c r="H754" s="6" t="str">
        <f>'[2]1. Information samples'!$K$59</f>
        <v>Crotalaria retusa</v>
      </c>
      <c r="I754" s="6" t="s">
        <v>22</v>
      </c>
      <c r="J754" s="129" t="s">
        <v>23</v>
      </c>
      <c r="K754" s="129" t="s">
        <v>24</v>
      </c>
      <c r="L754" s="6" t="s">
        <v>267</v>
      </c>
      <c r="M754" s="256">
        <v>28</v>
      </c>
      <c r="N754" s="256">
        <v>69</v>
      </c>
      <c r="O754" s="256">
        <v>3</v>
      </c>
      <c r="P754" s="257">
        <v>1</v>
      </c>
      <c r="Q754" s="96">
        <v>163</v>
      </c>
      <c r="R754" s="98">
        <v>0.50019999999999998</v>
      </c>
      <c r="S754" s="262">
        <f>((Table3.110[[#This Row],[Sample weight, g]]*'2.1. DM'!Q163)/100)*1000</f>
        <v>456.75217804236979</v>
      </c>
      <c r="T754" s="94">
        <f>'3.2 Digest'!W754</f>
        <v>246.85217804236981</v>
      </c>
      <c r="U754" s="153">
        <v>0.36249999999999999</v>
      </c>
      <c r="V754" s="154">
        <v>41</v>
      </c>
      <c r="W754" s="153">
        <v>0.72847222222222219</v>
      </c>
      <c r="X754" s="91">
        <v>90.5</v>
      </c>
      <c r="Y754" s="91">
        <v>12.5</v>
      </c>
      <c r="Z754" s="154">
        <v>40</v>
      </c>
      <c r="AA754" s="153">
        <v>0.40347222222222223</v>
      </c>
      <c r="AB754" s="154">
        <v>91.5</v>
      </c>
      <c r="AC754" s="154">
        <v>14.2</v>
      </c>
      <c r="AD754" s="91"/>
      <c r="AE754" s="94">
        <f>Table3.110[[#This Row],[Gas 8h, ml]]-Table3.110[[#This Row],[Gas 0h, ml]]</f>
        <v>49.5</v>
      </c>
      <c r="AF754" s="94">
        <f>Table3.110[[#This Row],[Gas 24h, ml]]-Table3.110[[#This Row],[V8 Push back, ml]]</f>
        <v>51.5</v>
      </c>
      <c r="AG754" s="94">
        <f>Table3.110[[#This Row],[GP 8h, ml]]-AVERAGE(AE$664,AE$665,AE$726,AE$727,AE$788,AE$789)*$AG$8</f>
        <v>47.656235924806332</v>
      </c>
      <c r="AH754" s="94">
        <f>Table3.110[[#This Row],[GP 8-24h, ml]]-AVERAGE(AF$664,AF$665,AF$726,AF$727,AF$788,AF$789)*$AG$8</f>
        <v>49.176857265255975</v>
      </c>
      <c r="AI754" s="94">
        <f>Table3.110[[#This Row],[Net gas 8-24h, ml]]+Table3.110[[#This Row],[Net gas 8h, ml]]</f>
        <v>96.8330931900623</v>
      </c>
      <c r="AJ754" s="94">
        <f>Table3.110[[#This Row],[Net gas 8h, ml]]*Table3.110[[#This Row],[CH4 8h %]]%</f>
        <v>5.9570294906007915</v>
      </c>
      <c r="AK754" s="94">
        <f>Table3.110[[#This Row],[Net gas 8-24h, ml]]*Table3.110[[#This Row],[CH4 24h, %]]%</f>
        <v>6.9831137316663483</v>
      </c>
      <c r="AL754" s="94">
        <f>Table3.110[[#This Row],[CH4 8-24h, ml]]+Table3.110[[#This Row],[CH4 8h, ml]]</f>
        <v>12.940143222267139</v>
      </c>
      <c r="AM754" s="94">
        <f>(Table3.110[[#This Row],[Net gas 24h, ml]]/Table3.110[[#This Row],[DM Incubated, mg]])*1000</f>
        <v>212.00357183864321</v>
      </c>
      <c r="AN754" s="94">
        <f>'3.2 Digest'!X754</f>
        <v>54.045101459695942</v>
      </c>
      <c r="AO754" s="94">
        <f>Table3.110[[#This Row],[Digested feed, mg]]/Table3.110[[#This Row],[Net gas 24h, ml]]</f>
        <v>2.5492542880753866</v>
      </c>
      <c r="AP754" s="94">
        <f>Table3.110[[#This Row],[CH4 8h, ml]]/Table3.110[[#This Row],[Net gas 8h, ml]]%</f>
        <v>12.5</v>
      </c>
      <c r="AQ754" s="94">
        <f>Table3.110[[#This Row],[CH4 24h, ml]]/Table3.110[[#This Row],[Net gas 24h, ml]]%</f>
        <v>13.363348000118567</v>
      </c>
      <c r="AR754" s="94">
        <f>Table3.110[[#This Row],[CH4 24h, ml]]/Table3.110[[#This Row],[DM Incubated, mg]]*1000</f>
        <v>28.330775077479259</v>
      </c>
      <c r="AS754" s="94">
        <f>Table3.110[[#This Row],[CH4 24h, ml]]/Table3.110[[#This Row],[Digested feed, mg]]*1000</f>
        <v>52.420615952783237</v>
      </c>
      <c r="AT754" s="94">
        <f>Table3.110[[#This Row],[CH4 24h, ml]]/'3.2 Digest'!AA754</f>
        <v>0.79580480095318629</v>
      </c>
      <c r="AU754" s="94">
        <f>((Table3.110[[#This Row],[CH4 24h, ml]]/28.9)*16.04)/Table3.110[[#This Row],[DM Incubated, mg]]*1000</f>
        <v>15.724070319818939</v>
      </c>
      <c r="AV754" s="94">
        <f>((Table3.110[[#This Row],[CH4 24h, ml]]/28.9)*16.04)/Table3.110[[#This Row],[Digested feed, mg]]*1000</f>
        <v>29.094348784866543</v>
      </c>
      <c r="AW754" s="303"/>
    </row>
    <row r="755" spans="1:49" s="304" customFormat="1" x14ac:dyDescent="0.35">
      <c r="A755" s="89"/>
      <c r="B755" s="90">
        <f t="shared" si="11"/>
        <v>745</v>
      </c>
      <c r="C755" s="140">
        <v>46076</v>
      </c>
      <c r="D755" s="92" t="s">
        <v>16</v>
      </c>
      <c r="E755" s="6" t="s">
        <v>268</v>
      </c>
      <c r="F755" s="242" t="s">
        <v>269</v>
      </c>
      <c r="G755" s="242" t="s">
        <v>270</v>
      </c>
      <c r="H755" s="6" t="str">
        <f>'[2]1. Information samples'!$K$59</f>
        <v>Crotalaria retusa</v>
      </c>
      <c r="I755" s="6" t="s">
        <v>22</v>
      </c>
      <c r="J755" s="129" t="s">
        <v>23</v>
      </c>
      <c r="K755" s="129" t="s">
        <v>24</v>
      </c>
      <c r="L755" s="6" t="s">
        <v>267</v>
      </c>
      <c r="M755" s="256">
        <v>28</v>
      </c>
      <c r="N755" s="256">
        <v>69</v>
      </c>
      <c r="O755" s="256">
        <v>3</v>
      </c>
      <c r="P755" s="257">
        <v>2</v>
      </c>
      <c r="Q755" s="96">
        <v>164</v>
      </c>
      <c r="R755" s="98">
        <v>0.50049999999999994</v>
      </c>
      <c r="S755" s="262">
        <f>((Table3.110[[#This Row],[Sample weight, g]]*'2.1. DM'!Q163)/100)*1000</f>
        <v>457.02611977250314</v>
      </c>
      <c r="T755" s="94">
        <f>'3.2 Digest'!W755</f>
        <v>306.42611977250317</v>
      </c>
      <c r="U755" s="117">
        <v>0.36249999999999999</v>
      </c>
      <c r="V755" s="155">
        <v>40.5</v>
      </c>
      <c r="W755" s="117">
        <v>0.72916666666666663</v>
      </c>
      <c r="X755" s="96">
        <v>89.5</v>
      </c>
      <c r="Y755" s="96">
        <v>12.3</v>
      </c>
      <c r="Z755" s="155">
        <v>40</v>
      </c>
      <c r="AA755" s="117">
        <v>0.40416666666666667</v>
      </c>
      <c r="AB755" s="155">
        <v>87</v>
      </c>
      <c r="AC755" s="155">
        <v>14.3</v>
      </c>
      <c r="AD755" s="96"/>
      <c r="AE755" s="94">
        <f>Table3.110[[#This Row],[Gas 8h, ml]]-Table3.110[[#This Row],[Gas 0h, ml]]</f>
        <v>49</v>
      </c>
      <c r="AF755" s="94">
        <f>Table3.110[[#This Row],[Gas 24h, ml]]-Table3.110[[#This Row],[V8 Push back, ml]]</f>
        <v>47</v>
      </c>
      <c r="AG755" s="94">
        <f>Table3.110[[#This Row],[GP 8h, ml]]-AVERAGE(AE$664,AE$665,AE$726,AE$727,AE$788,AE$789)*$AG$8</f>
        <v>47.156235924806332</v>
      </c>
      <c r="AH755" s="94">
        <f>Table3.110[[#This Row],[GP 8-24h, ml]]-AVERAGE(AF$664,AF$665,AF$726,AF$727,AF$788,AF$789)*$AG$8</f>
        <v>44.676857265255975</v>
      </c>
      <c r="AI755" s="94">
        <f>Table3.110[[#This Row],[Net gas 8-24h, ml]]+Table3.110[[#This Row],[Net gas 8h, ml]]</f>
        <v>91.8330931900623</v>
      </c>
      <c r="AJ755" s="94">
        <f>Table3.110[[#This Row],[Net gas 8h, ml]]*Table3.110[[#This Row],[CH4 8h %]]%</f>
        <v>5.8002170187511792</v>
      </c>
      <c r="AK755" s="94">
        <f>Table3.110[[#This Row],[Net gas 8-24h, ml]]*Table3.110[[#This Row],[CH4 24h, %]]%</f>
        <v>6.388790588931605</v>
      </c>
      <c r="AL755" s="94">
        <f>Table3.110[[#This Row],[CH4 8-24h, ml]]+Table3.110[[#This Row],[CH4 8h, ml]]</f>
        <v>12.189007607682784</v>
      </c>
      <c r="AM755" s="94">
        <f>(Table3.110[[#This Row],[Net gas 24h, ml]]/Table3.110[[#This Row],[DM Incubated, mg]])*1000</f>
        <v>200.93620302440189</v>
      </c>
      <c r="AN755" s="94">
        <f>'3.2 Digest'!X755</f>
        <v>67.047835236426948</v>
      </c>
      <c r="AO755" s="94">
        <f>Table3.110[[#This Row],[Digested feed, mg]]/Table3.110[[#This Row],[Net gas 24h, ml]]</f>
        <v>3.3367722803184745</v>
      </c>
      <c r="AP755" s="94">
        <f>Table3.110[[#This Row],[CH4 8h, ml]]/Table3.110[[#This Row],[Net gas 8h, ml]]%</f>
        <v>12.3</v>
      </c>
      <c r="AQ755" s="94">
        <f>Table3.110[[#This Row],[CH4 24h, ml]]/Table3.110[[#This Row],[Net gas 24h, ml]]%</f>
        <v>13.273001250710148</v>
      </c>
      <c r="AR755" s="94">
        <f>Table3.110[[#This Row],[CH4 24h, ml]]/Table3.110[[#This Row],[DM Incubated, mg]]*1000</f>
        <v>26.670264740558341</v>
      </c>
      <c r="AS755" s="94">
        <f>Table3.110[[#This Row],[CH4 24h, ml]]/Table3.110[[#This Row],[Digested feed, mg]]*1000</f>
        <v>39.777965457814574</v>
      </c>
      <c r="AT755" s="94">
        <f>Table3.110[[#This Row],[CH4 24h, ml]]/'3.2 Digest'!AA755</f>
        <v>0.3050746403196356</v>
      </c>
      <c r="AU755" s="94">
        <f>((Table3.110[[#This Row],[CH4 24h, ml]]/28.9)*16.04)/Table3.110[[#This Row],[DM Incubated, mg]]*1000</f>
        <v>14.802458354275288</v>
      </c>
      <c r="AV755" s="94">
        <f>((Table3.110[[#This Row],[CH4 24h, ml]]/28.9)*16.04)/Table3.110[[#This Row],[Digested feed, mg]]*1000</f>
        <v>22.077459029181515</v>
      </c>
      <c r="AW755" s="303"/>
    </row>
    <row r="756" spans="1:49" s="304" customFormat="1" x14ac:dyDescent="0.35">
      <c r="A756" s="89"/>
      <c r="B756" s="90">
        <f t="shared" si="11"/>
        <v>746</v>
      </c>
      <c r="C756" s="140">
        <v>46076</v>
      </c>
      <c r="D756" s="92" t="s">
        <v>16</v>
      </c>
      <c r="E756" s="6" t="s">
        <v>273</v>
      </c>
      <c r="F756" s="242" t="s">
        <v>235</v>
      </c>
      <c r="G756" s="242" t="s">
        <v>274</v>
      </c>
      <c r="H756" s="6" t="str">
        <f>'[2]1. Information samples'!$K$60</f>
        <v>Zornia brasiliensis</v>
      </c>
      <c r="I756" s="6" t="s">
        <v>22</v>
      </c>
      <c r="J756" s="129" t="s">
        <v>23</v>
      </c>
      <c r="K756" s="129" t="s">
        <v>24</v>
      </c>
      <c r="L756" s="6" t="s">
        <v>272</v>
      </c>
      <c r="M756" s="256">
        <v>28</v>
      </c>
      <c r="N756" s="256">
        <v>69</v>
      </c>
      <c r="O756" s="256">
        <v>3</v>
      </c>
      <c r="P756" s="257">
        <v>1</v>
      </c>
      <c r="Q756" s="96">
        <v>165</v>
      </c>
      <c r="R756" s="98">
        <v>0.5</v>
      </c>
      <c r="S756" s="262">
        <f>((Table3.110[[#This Row],[Sample weight, g]]*'2.1. DM'!Q165)/100)*1000</f>
        <v>451.27743225677466</v>
      </c>
      <c r="T756" s="94">
        <f>'3.2 Digest'!W756</f>
        <v>204.27743225677466</v>
      </c>
      <c r="U756" s="117">
        <v>0.36319444444444443</v>
      </c>
      <c r="V756" s="155">
        <v>41</v>
      </c>
      <c r="W756" s="117">
        <v>0.72916666666666663</v>
      </c>
      <c r="X756" s="96">
        <v>78.5</v>
      </c>
      <c r="Y756" s="96">
        <v>12.6</v>
      </c>
      <c r="Z756" s="155">
        <v>40</v>
      </c>
      <c r="AA756" s="117">
        <v>0.40416666666666667</v>
      </c>
      <c r="AB756" s="155">
        <v>74.5</v>
      </c>
      <c r="AC756" s="155">
        <v>17.8</v>
      </c>
      <c r="AD756" s="96"/>
      <c r="AE756" s="94">
        <f>Table3.110[[#This Row],[Gas 8h, ml]]-Table3.110[[#This Row],[Gas 0h, ml]]</f>
        <v>37.5</v>
      </c>
      <c r="AF756" s="94">
        <f>Table3.110[[#This Row],[Gas 24h, ml]]-Table3.110[[#This Row],[V8 Push back, ml]]</f>
        <v>34.5</v>
      </c>
      <c r="AG756" s="94">
        <f>Table3.110[[#This Row],[GP 8h, ml]]-AVERAGE(AE$664,AE$665,AE$726,AE$727,AE$788,AE$789)*$AG$8</f>
        <v>35.656235924806332</v>
      </c>
      <c r="AH756" s="94">
        <f>Table3.110[[#This Row],[GP 8-24h, ml]]-AVERAGE(AF$664,AF$665,AF$726,AF$727,AF$788,AF$789)*$AG$8</f>
        <v>32.176857265255975</v>
      </c>
      <c r="AI756" s="94">
        <f>Table3.110[[#This Row],[Net gas 8-24h, ml]]+Table3.110[[#This Row],[Net gas 8h, ml]]</f>
        <v>67.8330931900623</v>
      </c>
      <c r="AJ756" s="94">
        <f>Table3.110[[#This Row],[Net gas 8h, ml]]*Table3.110[[#This Row],[CH4 8h %]]%</f>
        <v>4.4926857265255977</v>
      </c>
      <c r="AK756" s="94">
        <f>Table3.110[[#This Row],[Net gas 8-24h, ml]]*Table3.110[[#This Row],[CH4 24h, %]]%</f>
        <v>5.7274805932155646</v>
      </c>
      <c r="AL756" s="94">
        <f>Table3.110[[#This Row],[CH4 8-24h, ml]]+Table3.110[[#This Row],[CH4 8h, ml]]</f>
        <v>10.220166319741162</v>
      </c>
      <c r="AM756" s="94">
        <f>(Table3.110[[#This Row],[Net gas 24h, ml]]/Table3.110[[#This Row],[DM Incubated, mg]])*1000</f>
        <v>150.31350637420221</v>
      </c>
      <c r="AN756" s="94">
        <f>'3.2 Digest'!X756</f>
        <v>45.266485238406915</v>
      </c>
      <c r="AO756" s="94">
        <f>Table3.110[[#This Row],[Digested feed, mg]]/Table3.110[[#This Row],[Net gas 24h, ml]]</f>
        <v>3.0114715789888491</v>
      </c>
      <c r="AP756" s="94">
        <f>Table3.110[[#This Row],[CH4 8h, ml]]/Table3.110[[#This Row],[Net gas 8h, ml]]%</f>
        <v>12.6</v>
      </c>
      <c r="AQ756" s="94">
        <f>Table3.110[[#This Row],[CH4 24h, ml]]/Table3.110[[#This Row],[Net gas 24h, ml]]%</f>
        <v>15.066637593991423</v>
      </c>
      <c r="AR756" s="94">
        <f>Table3.110[[#This Row],[CH4 24h, ml]]/Table3.110[[#This Row],[DM Incubated, mg]]*1000</f>
        <v>22.647191260222243</v>
      </c>
      <c r="AS756" s="94">
        <f>Table3.110[[#This Row],[CH4 24h, ml]]/Table3.110[[#This Row],[Digested feed, mg]]*1000</f>
        <v>50.030814499834307</v>
      </c>
      <c r="AT756" s="94">
        <f>Table3.110[[#This Row],[CH4 24h, ml]]/'3.2 Digest'!AA756</f>
        <v>-1.9112154756033037</v>
      </c>
      <c r="AU756" s="94">
        <f>((Table3.110[[#This Row],[CH4 24h, ml]]/28.9)*16.04)/Table3.110[[#This Row],[DM Incubated, mg]]*1000</f>
        <v>12.569582969341342</v>
      </c>
      <c r="AV756" s="94">
        <f>((Table3.110[[#This Row],[CH4 24h, ml]]/28.9)*16.04)/Table3.110[[#This Row],[Digested feed, mg]]*1000</f>
        <v>27.76796763243399</v>
      </c>
      <c r="AW756" s="303"/>
    </row>
    <row r="757" spans="1:49" s="304" customFormat="1" x14ac:dyDescent="0.35">
      <c r="A757" s="89"/>
      <c r="B757" s="90">
        <f t="shared" si="11"/>
        <v>747</v>
      </c>
      <c r="C757" s="140">
        <v>46076</v>
      </c>
      <c r="D757" s="92" t="s">
        <v>16</v>
      </c>
      <c r="E757" s="6" t="s">
        <v>273</v>
      </c>
      <c r="F757" s="242" t="s">
        <v>235</v>
      </c>
      <c r="G757" s="242" t="s">
        <v>274</v>
      </c>
      <c r="H757" s="6" t="str">
        <f>'[2]1. Information samples'!$K$60</f>
        <v>Zornia brasiliensis</v>
      </c>
      <c r="I757" s="6" t="s">
        <v>22</v>
      </c>
      <c r="J757" s="129" t="s">
        <v>23</v>
      </c>
      <c r="K757" s="129" t="s">
        <v>24</v>
      </c>
      <c r="L757" s="6" t="s">
        <v>272</v>
      </c>
      <c r="M757" s="256">
        <v>28</v>
      </c>
      <c r="N757" s="256">
        <v>69</v>
      </c>
      <c r="O757" s="256">
        <v>3</v>
      </c>
      <c r="P757" s="257">
        <v>2</v>
      </c>
      <c r="Q757" s="96">
        <v>166</v>
      </c>
      <c r="R757" s="98">
        <v>0.50019999999999998</v>
      </c>
      <c r="S757" s="262">
        <f>((Table3.110[[#This Row],[Sample weight, g]]*'2.1. DM'!Q165)/100)*1000</f>
        <v>451.45794322967731</v>
      </c>
      <c r="T757" s="94">
        <f>'3.2 Digest'!W757</f>
        <v>162.05794322967733</v>
      </c>
      <c r="U757" s="153">
        <v>0.36319444444444443</v>
      </c>
      <c r="V757" s="154">
        <v>40</v>
      </c>
      <c r="W757" s="153">
        <v>0.72986111111111107</v>
      </c>
      <c r="X757" s="91">
        <v>77.5</v>
      </c>
      <c r="Y757" s="91">
        <v>13</v>
      </c>
      <c r="Z757" s="154">
        <v>39</v>
      </c>
      <c r="AA757" s="153">
        <v>0.40486111111111112</v>
      </c>
      <c r="AB757" s="154">
        <v>75</v>
      </c>
      <c r="AC757" s="154">
        <v>17.899999999999999</v>
      </c>
      <c r="AD757" s="91"/>
      <c r="AE757" s="94">
        <f>Table3.110[[#This Row],[Gas 8h, ml]]-Table3.110[[#This Row],[Gas 0h, ml]]</f>
        <v>37.5</v>
      </c>
      <c r="AF757" s="94">
        <f>Table3.110[[#This Row],[Gas 24h, ml]]-Table3.110[[#This Row],[V8 Push back, ml]]</f>
        <v>36</v>
      </c>
      <c r="AG757" s="94">
        <f>Table3.110[[#This Row],[GP 8h, ml]]-AVERAGE(AE$664,AE$665,AE$726,AE$727,AE$788,AE$789)*$AG$8</f>
        <v>35.656235924806332</v>
      </c>
      <c r="AH757" s="94">
        <f>Table3.110[[#This Row],[GP 8-24h, ml]]-AVERAGE(AF$664,AF$665,AF$726,AF$727,AF$788,AF$789)*$AG$8</f>
        <v>33.676857265255975</v>
      </c>
      <c r="AI757" s="94">
        <f>Table3.110[[#This Row],[Net gas 8-24h, ml]]+Table3.110[[#This Row],[Net gas 8h, ml]]</f>
        <v>69.3330931900623</v>
      </c>
      <c r="AJ757" s="94">
        <f>Table3.110[[#This Row],[Net gas 8h, ml]]*Table3.110[[#This Row],[CH4 8h %]]%</f>
        <v>4.6353106702248237</v>
      </c>
      <c r="AK757" s="94">
        <f>Table3.110[[#This Row],[Net gas 8-24h, ml]]*Table3.110[[#This Row],[CH4 24h, %]]%</f>
        <v>6.0281574504808191</v>
      </c>
      <c r="AL757" s="94">
        <f>Table3.110[[#This Row],[CH4 8-24h, ml]]+Table3.110[[#This Row],[CH4 8h, ml]]</f>
        <v>10.663468120705643</v>
      </c>
      <c r="AM757" s="94">
        <f>(Table3.110[[#This Row],[Net gas 24h, ml]]/Table3.110[[#This Row],[DM Incubated, mg]])*1000</f>
        <v>153.57597364233192</v>
      </c>
      <c r="AN757" s="94">
        <f>'3.2 Digest'!X757</f>
        <v>35.896575895937012</v>
      </c>
      <c r="AO757" s="94">
        <f>Table3.110[[#This Row],[Digested feed, mg]]/Table3.110[[#This Row],[Net gas 24h, ml]]</f>
        <v>2.3373822769659083</v>
      </c>
      <c r="AP757" s="94">
        <f>Table3.110[[#This Row],[CH4 8h, ml]]/Table3.110[[#This Row],[Net gas 8h, ml]]%</f>
        <v>13</v>
      </c>
      <c r="AQ757" s="94">
        <f>Table3.110[[#This Row],[CH4 24h, ml]]/Table3.110[[#This Row],[Net gas 24h, ml]]%</f>
        <v>15.380055367606282</v>
      </c>
      <c r="AR757" s="94">
        <f>Table3.110[[#This Row],[CH4 24h, ml]]/Table3.110[[#This Row],[DM Incubated, mg]]*1000</f>
        <v>23.620069777531079</v>
      </c>
      <c r="AS757" s="94">
        <f>Table3.110[[#This Row],[CH4 24h, ml]]/Table3.110[[#This Row],[Digested feed, mg]]*1000</f>
        <v>65.800342199782193</v>
      </c>
      <c r="AT757" s="94">
        <f>Table3.110[[#This Row],[CH4 24h, ml]]/'3.2 Digest'!AA757</f>
        <v>-0.45605351066635202</v>
      </c>
      <c r="AU757" s="94">
        <f>((Table3.110[[#This Row],[CH4 24h, ml]]/28.9)*16.04)/Table3.110[[#This Row],[DM Incubated, mg]]*1000</f>
        <v>13.109547378256003</v>
      </c>
      <c r="AV757" s="94">
        <f>((Table3.110[[#This Row],[CH4 24h, ml]]/28.9)*16.04)/Table3.110[[#This Row],[Digested feed, mg]]*1000</f>
        <v>36.520328335104018</v>
      </c>
      <c r="AW757" s="303"/>
    </row>
    <row r="758" spans="1:49" s="304" customFormat="1" x14ac:dyDescent="0.35">
      <c r="A758" s="89"/>
      <c r="B758" s="90">
        <f t="shared" si="11"/>
        <v>748</v>
      </c>
      <c r="C758" s="140">
        <v>46076</v>
      </c>
      <c r="D758" s="92" t="s">
        <v>16</v>
      </c>
      <c r="E758" s="6" t="s">
        <v>277</v>
      </c>
      <c r="F758" s="242" t="s">
        <v>269</v>
      </c>
      <c r="G758" s="242" t="s">
        <v>270</v>
      </c>
      <c r="H758" s="6" t="str">
        <f>'[2]1. Information samples'!$K$61</f>
        <v>Crotalaria retusa</v>
      </c>
      <c r="I758" s="6" t="s">
        <v>22</v>
      </c>
      <c r="J758" s="129" t="s">
        <v>23</v>
      </c>
      <c r="K758" s="129" t="s">
        <v>24</v>
      </c>
      <c r="L758" s="6" t="s">
        <v>276</v>
      </c>
      <c r="M758" s="256">
        <v>28</v>
      </c>
      <c r="N758" s="256">
        <v>69</v>
      </c>
      <c r="O758" s="256">
        <v>3</v>
      </c>
      <c r="P758" s="257">
        <v>1</v>
      </c>
      <c r="Q758" s="96">
        <v>167</v>
      </c>
      <c r="R758" s="98">
        <v>0.5</v>
      </c>
      <c r="S758" s="262">
        <f>((Table3.110[[#This Row],[Sample weight, g]]*'2.1. DM'!Q167)/100)*1000</f>
        <v>460.02899710028976</v>
      </c>
      <c r="T758" s="94">
        <f>'3.2 Digest'!W758</f>
        <v>225.72899710028969</v>
      </c>
      <c r="U758" s="153">
        <v>0.36458333333333331</v>
      </c>
      <c r="V758" s="154">
        <v>41.5</v>
      </c>
      <c r="W758" s="153">
        <v>0.73055555555555551</v>
      </c>
      <c r="X758" s="91">
        <v>84</v>
      </c>
      <c r="Y758" s="91">
        <v>12.4</v>
      </c>
      <c r="Z758" s="154">
        <v>40.5</v>
      </c>
      <c r="AA758" s="153">
        <v>0.40555555555555556</v>
      </c>
      <c r="AB758" s="154">
        <v>88</v>
      </c>
      <c r="AC758" s="154">
        <v>15.1</v>
      </c>
      <c r="AD758" s="91"/>
      <c r="AE758" s="94">
        <f>Table3.110[[#This Row],[Gas 8h, ml]]-Table3.110[[#This Row],[Gas 0h, ml]]</f>
        <v>42.5</v>
      </c>
      <c r="AF758" s="94">
        <f>Table3.110[[#This Row],[Gas 24h, ml]]-Table3.110[[#This Row],[V8 Push back, ml]]</f>
        <v>47.5</v>
      </c>
      <c r="AG758" s="94">
        <f>Table3.110[[#This Row],[GP 8h, ml]]-AVERAGE(AE$664,AE$665,AE$726,AE$727,AE$788,AE$789)*$AG$8</f>
        <v>40.656235924806332</v>
      </c>
      <c r="AH758" s="94">
        <f>Table3.110[[#This Row],[GP 8-24h, ml]]-AVERAGE(AF$664,AF$665,AF$726,AF$727,AF$788,AF$789)*$AG$8</f>
        <v>45.176857265255975</v>
      </c>
      <c r="AI758" s="94">
        <f>Table3.110[[#This Row],[Net gas 8-24h, ml]]+Table3.110[[#This Row],[Net gas 8h, ml]]</f>
        <v>85.8330931900623</v>
      </c>
      <c r="AJ758" s="94">
        <f>Table3.110[[#This Row],[Net gas 8h, ml]]*Table3.110[[#This Row],[CH4 8h %]]%</f>
        <v>5.0413732546759853</v>
      </c>
      <c r="AK758" s="94">
        <f>Table3.110[[#This Row],[Net gas 8-24h, ml]]*Table3.110[[#This Row],[CH4 24h, %]]%</f>
        <v>6.8217054470536524</v>
      </c>
      <c r="AL758" s="94">
        <f>Table3.110[[#This Row],[CH4 8-24h, ml]]+Table3.110[[#This Row],[CH4 8h, ml]]</f>
        <v>11.863078701729638</v>
      </c>
      <c r="AM758" s="94">
        <f>(Table3.110[[#This Row],[Net gas 24h, ml]]/Table3.110[[#This Row],[DM Incubated, mg]])*1000</f>
        <v>186.58191925095113</v>
      </c>
      <c r="AN758" s="94">
        <f>'3.2 Digest'!X758</f>
        <v>49.068427973699904</v>
      </c>
      <c r="AO758" s="94">
        <f>Table3.110[[#This Row],[Digested feed, mg]]/Table3.110[[#This Row],[Net gas 24h, ml]]</f>
        <v>2.6298597511853905</v>
      </c>
      <c r="AP758" s="94">
        <f>Table3.110[[#This Row],[CH4 8h, ml]]/Table3.110[[#This Row],[Net gas 8h, ml]]%</f>
        <v>12.4</v>
      </c>
      <c r="AQ758" s="94">
        <f>Table3.110[[#This Row],[CH4 24h, ml]]/Table3.110[[#This Row],[Net gas 24h, ml]]%</f>
        <v>13.821101233601047</v>
      </c>
      <c r="AR758" s="94">
        <f>Table3.110[[#This Row],[CH4 24h, ml]]/Table3.110[[#This Row],[DM Incubated, mg]]*1000</f>
        <v>25.787675943269718</v>
      </c>
      <c r="AS758" s="94">
        <f>Table3.110[[#This Row],[CH4 24h, ml]]/Table3.110[[#This Row],[Digested feed, mg]]*1000</f>
        <v>52.55451826802279</v>
      </c>
      <c r="AT758" s="94">
        <f>Table3.110[[#This Row],[CH4 24h, ml]]/'3.2 Digest'!AA758</f>
        <v>-6.3133595417032815</v>
      </c>
      <c r="AU758" s="94">
        <f>((Table3.110[[#This Row],[CH4 24h, ml]]/28.9)*16.04)/Table3.110[[#This Row],[DM Incubated, mg]]*1000</f>
        <v>14.312606302077727</v>
      </c>
      <c r="AV758" s="94">
        <f>((Table3.110[[#This Row],[CH4 24h, ml]]/28.9)*16.04)/Table3.110[[#This Row],[Digested feed, mg]]*1000</f>
        <v>29.168666886473549</v>
      </c>
      <c r="AW758" s="303"/>
    </row>
    <row r="759" spans="1:49" s="304" customFormat="1" x14ac:dyDescent="0.35">
      <c r="A759" s="89"/>
      <c r="B759" s="90">
        <f t="shared" si="11"/>
        <v>749</v>
      </c>
      <c r="C759" s="140">
        <v>46076</v>
      </c>
      <c r="D759" s="92" t="s">
        <v>16</v>
      </c>
      <c r="E759" s="6" t="s">
        <v>277</v>
      </c>
      <c r="F759" s="242" t="s">
        <v>269</v>
      </c>
      <c r="G759" s="242" t="s">
        <v>270</v>
      </c>
      <c r="H759" s="6" t="str">
        <f>'[2]1. Information samples'!$K$61</f>
        <v>Crotalaria retusa</v>
      </c>
      <c r="I759" s="6" t="s">
        <v>22</v>
      </c>
      <c r="J759" s="129" t="s">
        <v>23</v>
      </c>
      <c r="K759" s="129" t="s">
        <v>24</v>
      </c>
      <c r="L759" s="6" t="s">
        <v>276</v>
      </c>
      <c r="M759" s="256">
        <v>28</v>
      </c>
      <c r="N759" s="256">
        <v>69</v>
      </c>
      <c r="O759" s="256">
        <v>3</v>
      </c>
      <c r="P759" s="257">
        <v>2</v>
      </c>
      <c r="Q759" s="96">
        <v>168</v>
      </c>
      <c r="R759" s="98">
        <v>0.50049999999999994</v>
      </c>
      <c r="S759" s="262">
        <f>((Table3.110[[#This Row],[Sample weight, g]]*'2.1. DM'!Q167)/100)*1000</f>
        <v>460.48902609739002</v>
      </c>
      <c r="T759" s="94">
        <f>'3.2 Digest'!W759</f>
        <v>260.08902609738999</v>
      </c>
      <c r="U759" s="117">
        <v>0.36388888888888887</v>
      </c>
      <c r="V759" s="155">
        <v>40.5</v>
      </c>
      <c r="W759" s="117">
        <v>0.73055555555555551</v>
      </c>
      <c r="X759" s="96">
        <v>83.5</v>
      </c>
      <c r="Y759" s="96">
        <v>12.4</v>
      </c>
      <c r="Z759" s="155">
        <v>39.5</v>
      </c>
      <c r="AA759" s="117">
        <v>0.40625</v>
      </c>
      <c r="AB759" s="155">
        <v>91.5</v>
      </c>
      <c r="AC759" s="155">
        <v>14.7</v>
      </c>
      <c r="AD759" s="96"/>
      <c r="AE759" s="94">
        <f>Table3.110[[#This Row],[Gas 8h, ml]]-Table3.110[[#This Row],[Gas 0h, ml]]</f>
        <v>43</v>
      </c>
      <c r="AF759" s="94">
        <f>Table3.110[[#This Row],[Gas 24h, ml]]-Table3.110[[#This Row],[V8 Push back, ml]]</f>
        <v>52</v>
      </c>
      <c r="AG759" s="94">
        <f>Table3.110[[#This Row],[GP 8h, ml]]-AVERAGE(AE$664,AE$665,AE$726,AE$727,AE$788,AE$789)*$AG$8</f>
        <v>41.156235924806332</v>
      </c>
      <c r="AH759" s="94">
        <f>Table3.110[[#This Row],[GP 8-24h, ml]]-AVERAGE(AF$664,AF$665,AF$726,AF$727,AF$788,AF$789)*$AG$8</f>
        <v>49.676857265255975</v>
      </c>
      <c r="AI759" s="94">
        <f>Table3.110[[#This Row],[Net gas 8-24h, ml]]+Table3.110[[#This Row],[Net gas 8h, ml]]</f>
        <v>90.8330931900623</v>
      </c>
      <c r="AJ759" s="94">
        <f>Table3.110[[#This Row],[Net gas 8h, ml]]*Table3.110[[#This Row],[CH4 8h %]]%</f>
        <v>5.1033732546759847</v>
      </c>
      <c r="AK759" s="94">
        <f>Table3.110[[#This Row],[Net gas 8-24h, ml]]*Table3.110[[#This Row],[CH4 24h, %]]%</f>
        <v>7.3024980179926278</v>
      </c>
      <c r="AL759" s="94">
        <f>Table3.110[[#This Row],[CH4 8-24h, ml]]+Table3.110[[#This Row],[CH4 8h, ml]]</f>
        <v>12.405871272668612</v>
      </c>
      <c r="AM759" s="94">
        <f>(Table3.110[[#This Row],[Net gas 24h, ml]]/Table3.110[[#This Row],[DM Incubated, mg]])*1000</f>
        <v>197.25354577907308</v>
      </c>
      <c r="AN759" s="94">
        <f>'3.2 Digest'!X759</f>
        <v>56.481047616188597</v>
      </c>
      <c r="AO759" s="94">
        <f>Table3.110[[#This Row],[Digested feed, mg]]/Table3.110[[#This Row],[Net gas 24h, ml]]</f>
        <v>2.8633729950511619</v>
      </c>
      <c r="AP759" s="94">
        <f>Table3.110[[#This Row],[CH4 8h, ml]]/Table3.110[[#This Row],[Net gas 8h, ml]]%</f>
        <v>12.399999999999999</v>
      </c>
      <c r="AQ759" s="94">
        <f>Table3.110[[#This Row],[CH4 24h, ml]]/Table3.110[[#This Row],[Net gas 24h, ml]]%</f>
        <v>13.657876041620799</v>
      </c>
      <c r="AR759" s="94">
        <f>Table3.110[[#This Row],[CH4 24h, ml]]/Table3.110[[#This Row],[DM Incubated, mg]]*1000</f>
        <v>26.940644770207538</v>
      </c>
      <c r="AS759" s="94">
        <f>Table3.110[[#This Row],[CH4 24h, ml]]/Table3.110[[#This Row],[Digested feed, mg]]*1000</f>
        <v>47.698557139520567</v>
      </c>
      <c r="AT759" s="94">
        <f>Table3.110[[#This Row],[CH4 24h, ml]]/'3.2 Digest'!AA759</f>
        <v>0.95809260333516666</v>
      </c>
      <c r="AU759" s="94">
        <f>((Table3.110[[#This Row],[CH4 24h, ml]]/28.9)*16.04)/Table3.110[[#This Row],[DM Incubated, mg]]*1000</f>
        <v>14.952523948585775</v>
      </c>
      <c r="AV759" s="94">
        <f>((Table3.110[[#This Row],[CH4 24h, ml]]/28.9)*16.04)/Table3.110[[#This Row],[Digested feed, mg]]*1000</f>
        <v>26.473524446986502</v>
      </c>
      <c r="AW759" s="303"/>
    </row>
    <row r="760" spans="1:49" s="304" customFormat="1" x14ac:dyDescent="0.35">
      <c r="A760" s="89"/>
      <c r="B760" s="90">
        <f t="shared" si="11"/>
        <v>750</v>
      </c>
      <c r="C760" s="140">
        <v>46076</v>
      </c>
      <c r="D760" s="92" t="s">
        <v>16</v>
      </c>
      <c r="E760" s="6" t="s">
        <v>279</v>
      </c>
      <c r="F760" s="242" t="s">
        <v>269</v>
      </c>
      <c r="G760" s="242" t="s">
        <v>270</v>
      </c>
      <c r="H760" s="6" t="str">
        <f>'[2]1. Information samples'!$K$62</f>
        <v>Crotalaria retusa</v>
      </c>
      <c r="I760" s="6" t="s">
        <v>22</v>
      </c>
      <c r="J760" s="129" t="s">
        <v>23</v>
      </c>
      <c r="K760" s="129" t="s">
        <v>24</v>
      </c>
      <c r="L760" s="6" t="s">
        <v>278</v>
      </c>
      <c r="M760" s="256">
        <v>28</v>
      </c>
      <c r="N760" s="256">
        <v>69</v>
      </c>
      <c r="O760" s="256">
        <v>3</v>
      </c>
      <c r="P760" s="257">
        <v>1</v>
      </c>
      <c r="Q760" s="96">
        <v>169</v>
      </c>
      <c r="R760" s="98">
        <v>0.50019999999999998</v>
      </c>
      <c r="S760" s="262">
        <f>((Table3.110[[#This Row],[Sample weight, g]]*'2.1. DM'!Q169)/100)*1000</f>
        <v>461.02106578684254</v>
      </c>
      <c r="T760" s="94">
        <f>'3.2 Digest'!W760</f>
        <v>180.3210657868425</v>
      </c>
      <c r="U760" s="117">
        <v>0.36458333333333331</v>
      </c>
      <c r="V760" s="155">
        <v>40.5</v>
      </c>
      <c r="W760" s="117">
        <v>0.73124999999999996</v>
      </c>
      <c r="X760" s="96">
        <v>82</v>
      </c>
      <c r="Y760" s="96">
        <v>12.7</v>
      </c>
      <c r="Z760" s="155">
        <v>40</v>
      </c>
      <c r="AA760" s="117">
        <v>0.40763888888888888</v>
      </c>
      <c r="AB760" s="155">
        <v>80</v>
      </c>
      <c r="AC760" s="155">
        <v>13.9</v>
      </c>
      <c r="AD760" s="96"/>
      <c r="AE760" s="94">
        <f>Table3.110[[#This Row],[Gas 8h, ml]]-Table3.110[[#This Row],[Gas 0h, ml]]</f>
        <v>41.5</v>
      </c>
      <c r="AF760" s="94">
        <f>Table3.110[[#This Row],[Gas 24h, ml]]-Table3.110[[#This Row],[V8 Push back, ml]]</f>
        <v>40</v>
      </c>
      <c r="AG760" s="94"/>
      <c r="AH760" s="94"/>
      <c r="AI760" s="94"/>
      <c r="AJ760" s="94"/>
      <c r="AK760" s="94"/>
      <c r="AL760" s="94"/>
      <c r="AM760" s="94"/>
      <c r="AN760" s="94"/>
      <c r="AO760" s="94"/>
      <c r="AP760" s="94"/>
      <c r="AQ760" s="94"/>
      <c r="AR760" s="94"/>
      <c r="AS760" s="94"/>
      <c r="AT760" s="94"/>
      <c r="AU760" s="94"/>
      <c r="AV760" s="94"/>
      <c r="AW760" s="303" t="s">
        <v>649</v>
      </c>
    </row>
    <row r="761" spans="1:49" s="304" customFormat="1" x14ac:dyDescent="0.35">
      <c r="A761" s="89"/>
      <c r="B761" s="90">
        <f t="shared" si="11"/>
        <v>751</v>
      </c>
      <c r="C761" s="140">
        <v>46076</v>
      </c>
      <c r="D761" s="92" t="s">
        <v>16</v>
      </c>
      <c r="E761" s="6" t="s">
        <v>279</v>
      </c>
      <c r="F761" s="242" t="s">
        <v>269</v>
      </c>
      <c r="G761" s="242" t="s">
        <v>270</v>
      </c>
      <c r="H761" s="6" t="str">
        <f>'[2]1. Information samples'!$K$62</f>
        <v>Crotalaria retusa</v>
      </c>
      <c r="I761" s="6" t="s">
        <v>22</v>
      </c>
      <c r="J761" s="129" t="s">
        <v>23</v>
      </c>
      <c r="K761" s="129" t="s">
        <v>24</v>
      </c>
      <c r="L761" s="6" t="s">
        <v>278</v>
      </c>
      <c r="M761" s="256">
        <v>28</v>
      </c>
      <c r="N761" s="256">
        <v>69</v>
      </c>
      <c r="O761" s="256">
        <v>3</v>
      </c>
      <c r="P761" s="257">
        <v>2</v>
      </c>
      <c r="Q761" s="96">
        <v>170</v>
      </c>
      <c r="R761" s="98">
        <v>0.50009999999999999</v>
      </c>
      <c r="S761" s="262">
        <f>((Table3.110[[#This Row],[Sample weight, g]]*'2.1. DM'!Q169)/100)*1000</f>
        <v>460.9288984406237</v>
      </c>
      <c r="T761" s="94">
        <f>'3.2 Digest'!W761</f>
        <v>181.02889844062366</v>
      </c>
      <c r="U761" s="153">
        <v>0.36458333333333331</v>
      </c>
      <c r="V761" s="154">
        <v>40.5</v>
      </c>
      <c r="W761" s="153">
        <v>0.7319444444444444</v>
      </c>
      <c r="X761" s="91">
        <v>82.5</v>
      </c>
      <c r="Y761" s="91">
        <v>12.6</v>
      </c>
      <c r="Z761" s="154">
        <v>40.5</v>
      </c>
      <c r="AA761" s="153">
        <v>0.40833333333333333</v>
      </c>
      <c r="AB761" s="154">
        <v>85</v>
      </c>
      <c r="AC761" s="154">
        <v>13.4</v>
      </c>
      <c r="AD761" s="91"/>
      <c r="AE761" s="94">
        <f>Table3.110[[#This Row],[Gas 8h, ml]]-Table3.110[[#This Row],[Gas 0h, ml]]</f>
        <v>42</v>
      </c>
      <c r="AF761" s="94">
        <f>Table3.110[[#This Row],[Gas 24h, ml]]-Table3.110[[#This Row],[V8 Push back, ml]]</f>
        <v>44.5</v>
      </c>
      <c r="AG761" s="94"/>
      <c r="AH761" s="94"/>
      <c r="AI761" s="94"/>
      <c r="AJ761" s="94"/>
      <c r="AK761" s="94"/>
      <c r="AL761" s="94"/>
      <c r="AM761" s="94"/>
      <c r="AN761" s="94"/>
      <c r="AO761" s="94"/>
      <c r="AP761" s="94"/>
      <c r="AQ761" s="94"/>
      <c r="AR761" s="94"/>
      <c r="AS761" s="94"/>
      <c r="AT761" s="94"/>
      <c r="AU761" s="94"/>
      <c r="AV761" s="94"/>
      <c r="AW761" s="303" t="s">
        <v>649</v>
      </c>
    </row>
    <row r="762" spans="1:49" s="304" customFormat="1" x14ac:dyDescent="0.35">
      <c r="A762" s="89"/>
      <c r="B762" s="90">
        <f t="shared" si="11"/>
        <v>752</v>
      </c>
      <c r="C762" s="140">
        <v>46076</v>
      </c>
      <c r="D762" s="92" t="s">
        <v>16</v>
      </c>
      <c r="E762" s="6" t="s">
        <v>281</v>
      </c>
      <c r="F762" s="242" t="s">
        <v>269</v>
      </c>
      <c r="G762" s="242" t="s">
        <v>282</v>
      </c>
      <c r="H762" s="6" t="str">
        <f>'[2]1. Information samples'!$K$63</f>
        <v>Crotalaria pumila</v>
      </c>
      <c r="I762" s="6" t="s">
        <v>22</v>
      </c>
      <c r="J762" s="129" t="s">
        <v>23</v>
      </c>
      <c r="K762" s="129" t="s">
        <v>24</v>
      </c>
      <c r="L762" s="6" t="s">
        <v>280</v>
      </c>
      <c r="M762" s="256">
        <v>28</v>
      </c>
      <c r="N762" s="256">
        <v>69</v>
      </c>
      <c r="O762" s="256">
        <v>3</v>
      </c>
      <c r="P762" s="257">
        <v>1</v>
      </c>
      <c r="Q762" s="96">
        <v>171</v>
      </c>
      <c r="R762" s="98">
        <v>0.50009999999999999</v>
      </c>
      <c r="S762" s="262">
        <f>((Table3.110[[#This Row],[Sample weight, g]]*'2.1. DM'!Q171)/100)*1000</f>
        <v>456.05440367889656</v>
      </c>
      <c r="T762" s="94">
        <f>'3.2 Digest'!W762</f>
        <v>270.25440367889649</v>
      </c>
      <c r="U762" s="153">
        <v>0.36458333333333331</v>
      </c>
      <c r="V762" s="154">
        <v>40.5</v>
      </c>
      <c r="W762" s="153">
        <v>0.7319444444444444</v>
      </c>
      <c r="X762" s="91">
        <v>87.5</v>
      </c>
      <c r="Y762" s="91">
        <v>13</v>
      </c>
      <c r="Z762" s="154">
        <v>40</v>
      </c>
      <c r="AA762" s="153">
        <v>0.40833333333333333</v>
      </c>
      <c r="AB762" s="154">
        <v>85</v>
      </c>
      <c r="AC762" s="154">
        <v>15.2</v>
      </c>
      <c r="AD762" s="91"/>
      <c r="AE762" s="94">
        <f>Table3.110[[#This Row],[Gas 8h, ml]]-Table3.110[[#This Row],[Gas 0h, ml]]</f>
        <v>47</v>
      </c>
      <c r="AF762" s="94">
        <f>Table3.110[[#This Row],[Gas 24h, ml]]-Table3.110[[#This Row],[V8 Push back, ml]]</f>
        <v>45</v>
      </c>
      <c r="AG762" s="94">
        <f>Table3.110[[#This Row],[GP 8h, ml]]-AVERAGE(AE$664,AE$665,AE$726,AE$727,AE$788,AE$789)*$AG$8</f>
        <v>45.156235924806332</v>
      </c>
      <c r="AH762" s="94">
        <f>Table3.110[[#This Row],[GP 8-24h, ml]]-AVERAGE(AF$664,AF$665,AF$726,AF$727,AF$788,AF$789)*$AG$8</f>
        <v>42.676857265255975</v>
      </c>
      <c r="AI762" s="94">
        <f>Table3.110[[#This Row],[Net gas 8-24h, ml]]+Table3.110[[#This Row],[Net gas 8h, ml]]</f>
        <v>87.8330931900623</v>
      </c>
      <c r="AJ762" s="94">
        <f>Table3.110[[#This Row],[Net gas 8h, ml]]*Table3.110[[#This Row],[CH4 8h %]]%</f>
        <v>5.8703106702248231</v>
      </c>
      <c r="AK762" s="94">
        <f>Table3.110[[#This Row],[Net gas 8-24h, ml]]*Table3.110[[#This Row],[CH4 24h, %]]%</f>
        <v>6.4868823043189083</v>
      </c>
      <c r="AL762" s="94">
        <f>Table3.110[[#This Row],[CH4 8-24h, ml]]+Table3.110[[#This Row],[CH4 8h, ml]]</f>
        <v>12.357192974543732</v>
      </c>
      <c r="AM762" s="94">
        <f>(Table3.110[[#This Row],[Net gas 24h, ml]]/Table3.110[[#This Row],[DM Incubated, mg]])*1000</f>
        <v>192.59345481927355</v>
      </c>
      <c r="AN762" s="94">
        <f>'3.2 Digest'!X762</f>
        <v>59.259246594005035</v>
      </c>
      <c r="AO762" s="94">
        <f>Table3.110[[#This Row],[Digested feed, mg]]/Table3.110[[#This Row],[Net gas 24h, ml]]</f>
        <v>3.0769086441495594</v>
      </c>
      <c r="AP762" s="94">
        <f>Table3.110[[#This Row],[CH4 8h, ml]]/Table3.110[[#This Row],[Net gas 8h, ml]]%</f>
        <v>13</v>
      </c>
      <c r="AQ762" s="94">
        <f>Table3.110[[#This Row],[CH4 24h, ml]]/Table3.110[[#This Row],[Net gas 24h, ml]]%</f>
        <v>14.068948873067654</v>
      </c>
      <c r="AR762" s="94">
        <f>Table3.110[[#This Row],[CH4 24h, ml]]/Table3.110[[#This Row],[DM Incubated, mg]]*1000</f>
        <v>27.095874691398247</v>
      </c>
      <c r="AS762" s="94">
        <f>Table3.110[[#This Row],[CH4 24h, ml]]/Table3.110[[#This Row],[Digested feed, mg]]*1000</f>
        <v>45.724298314213463</v>
      </c>
      <c r="AT762" s="94">
        <f>Table3.110[[#This Row],[CH4 24h, ml]]/'3.2 Digest'!AA762</f>
        <v>0.68394432118900428</v>
      </c>
      <c r="AU762" s="94">
        <f>((Table3.110[[#This Row],[CH4 24h, ml]]/28.9)*16.04)/Table3.110[[#This Row],[DM Incubated, mg]]*1000</f>
        <v>15.038679240485394</v>
      </c>
      <c r="AV762" s="94">
        <f>((Table3.110[[#This Row],[CH4 24h, ml]]/28.9)*16.04)/Table3.110[[#This Row],[Digested feed, mg]]*1000</f>
        <v>25.377776642213977</v>
      </c>
      <c r="AW762" s="303"/>
    </row>
    <row r="763" spans="1:49" s="304" customFormat="1" x14ac:dyDescent="0.35">
      <c r="A763" s="89"/>
      <c r="B763" s="90">
        <f t="shared" si="11"/>
        <v>753</v>
      </c>
      <c r="C763" s="140">
        <v>46076</v>
      </c>
      <c r="D763" s="92" t="s">
        <v>16</v>
      </c>
      <c r="E763" s="6" t="s">
        <v>281</v>
      </c>
      <c r="F763" s="242" t="s">
        <v>269</v>
      </c>
      <c r="G763" s="242" t="s">
        <v>282</v>
      </c>
      <c r="H763" s="6" t="str">
        <f>'[2]1. Information samples'!$K$63</f>
        <v>Crotalaria pumila</v>
      </c>
      <c r="I763" s="6" t="s">
        <v>22</v>
      </c>
      <c r="J763" s="129" t="s">
        <v>23</v>
      </c>
      <c r="K763" s="129" t="s">
        <v>24</v>
      </c>
      <c r="L763" s="6" t="s">
        <v>280</v>
      </c>
      <c r="M763" s="256">
        <v>28</v>
      </c>
      <c r="N763" s="256">
        <v>69</v>
      </c>
      <c r="O763" s="256">
        <v>3</v>
      </c>
      <c r="P763" s="257">
        <v>2</v>
      </c>
      <c r="Q763" s="96">
        <v>172</v>
      </c>
      <c r="R763" s="98">
        <v>0.50019999999999998</v>
      </c>
      <c r="S763" s="94">
        <f>((Table3.110[[#This Row],[Sample weight, g]]*'2.1. DM'!Q171)/100)*1000</f>
        <v>456.14559632110388</v>
      </c>
      <c r="T763" s="94">
        <f>'3.2 Digest'!W763</f>
        <v>283.64559632110388</v>
      </c>
      <c r="U763" s="117">
        <v>0.36458333333333331</v>
      </c>
      <c r="V763" s="155">
        <v>40.5</v>
      </c>
      <c r="W763" s="117">
        <v>0.73263888888888884</v>
      </c>
      <c r="X763" s="96">
        <v>86.5</v>
      </c>
      <c r="Y763" s="96">
        <v>13.3</v>
      </c>
      <c r="Z763" s="155">
        <v>40</v>
      </c>
      <c r="AA763" s="117">
        <v>0.40902777777777777</v>
      </c>
      <c r="AB763" s="155">
        <v>87.5</v>
      </c>
      <c r="AC763" s="155">
        <v>15.5</v>
      </c>
      <c r="AD763" s="96"/>
      <c r="AE763" s="94">
        <f>Table3.110[[#This Row],[Gas 8h, ml]]-Table3.110[[#This Row],[Gas 0h, ml]]</f>
        <v>46</v>
      </c>
      <c r="AF763" s="94">
        <f>Table3.110[[#This Row],[Gas 24h, ml]]-Table3.110[[#This Row],[V8 Push back, ml]]</f>
        <v>47.5</v>
      </c>
      <c r="AG763" s="94">
        <f>Table3.110[[#This Row],[GP 8h, ml]]-AVERAGE(AE$664,AE$665,AE$726,AE$727,AE$788,AE$789)*$AG$8</f>
        <v>44.156235924806332</v>
      </c>
      <c r="AH763" s="94">
        <f>Table3.110[[#This Row],[GP 8-24h, ml]]-AVERAGE(AF$664,AF$665,AF$726,AF$727,AF$788,AF$789)*$AG$8</f>
        <v>45.176857265255975</v>
      </c>
      <c r="AI763" s="94">
        <f>Table3.110[[#This Row],[Net gas 8-24h, ml]]+Table3.110[[#This Row],[Net gas 8h, ml]]</f>
        <v>89.3330931900623</v>
      </c>
      <c r="AJ763" s="94">
        <f>Table3.110[[#This Row],[Net gas 8h, ml]]*Table3.110[[#This Row],[CH4 8h %]]%</f>
        <v>5.8727793779992421</v>
      </c>
      <c r="AK763" s="94">
        <f>Table3.110[[#This Row],[Net gas 8-24h, ml]]*Table3.110[[#This Row],[CH4 24h, %]]%</f>
        <v>7.0024128761146764</v>
      </c>
      <c r="AL763" s="94">
        <f>Table3.110[[#This Row],[CH4 8-24h, ml]]+Table3.110[[#This Row],[CH4 8h, ml]]</f>
        <v>12.875192254113919</v>
      </c>
      <c r="AM763" s="94">
        <f>(Table3.110[[#This Row],[Net gas 24h, ml]]/Table3.110[[#This Row],[DM Incubated, mg]])*1000</f>
        <v>195.84337525244075</v>
      </c>
      <c r="AN763" s="94">
        <f>'3.2 Digest'!X763</f>
        <v>62.183127187625296</v>
      </c>
      <c r="AO763" s="94">
        <f>Table3.110[[#This Row],[Digested feed, mg]]/Table3.110[[#This Row],[Net gas 24h, ml]]</f>
        <v>3.1751458075858672</v>
      </c>
      <c r="AP763" s="94">
        <f>Table3.110[[#This Row],[CH4 8h, ml]]/Table3.110[[#This Row],[Net gas 8h, ml]]%</f>
        <v>13.3</v>
      </c>
      <c r="AQ763" s="94">
        <f>Table3.110[[#This Row],[CH4 24h, ml]]/Table3.110[[#This Row],[Net gas 24h, ml]]%</f>
        <v>14.412567386109718</v>
      </c>
      <c r="AR763" s="94">
        <f>Table3.110[[#This Row],[CH4 24h, ml]]/Table3.110[[#This Row],[DM Incubated, mg]]*1000</f>
        <v>28.22605842948974</v>
      </c>
      <c r="AS763" s="94">
        <f>Table3.110[[#This Row],[CH4 24h, ml]]/Table3.110[[#This Row],[Digested feed, mg]]*1000</f>
        <v>45.391828468714976</v>
      </c>
      <c r="AT763" s="94">
        <f>Table3.110[[#This Row],[CH4 24h, ml]]/'3.2 Digest'!AA763</f>
        <v>0.53763867987790337</v>
      </c>
      <c r="AU763" s="94">
        <f>((Table3.110[[#This Row],[CH4 24h, ml]]/28.9)*16.04)/Table3.110[[#This Row],[DM Incubated, mg]]*1000</f>
        <v>15.665950768478043</v>
      </c>
      <c r="AV763" s="94">
        <f>((Table3.110[[#This Row],[CH4 24h, ml]]/28.9)*16.04)/Table3.110[[#This Row],[Digested feed, mg]]*1000</f>
        <v>25.193250125888866</v>
      </c>
      <c r="AW763" s="303"/>
    </row>
    <row r="764" spans="1:49" s="304" customFormat="1" x14ac:dyDescent="0.35">
      <c r="A764" s="89"/>
      <c r="B764" s="90">
        <f t="shared" si="11"/>
        <v>754</v>
      </c>
      <c r="C764" s="140">
        <v>46076</v>
      </c>
      <c r="D764" s="92" t="s">
        <v>16</v>
      </c>
      <c r="E764" s="6" t="s">
        <v>285</v>
      </c>
      <c r="F764" s="242" t="s">
        <v>269</v>
      </c>
      <c r="G764" s="242" t="s">
        <v>282</v>
      </c>
      <c r="H764" s="6" t="str">
        <f>'[2]1. Information samples'!$K$64</f>
        <v>Crotalaria pumila</v>
      </c>
      <c r="I764" s="6" t="s">
        <v>22</v>
      </c>
      <c r="J764" s="129" t="s">
        <v>23</v>
      </c>
      <c r="K764" s="129" t="s">
        <v>24</v>
      </c>
      <c r="L764" s="6" t="s">
        <v>284</v>
      </c>
      <c r="M764" s="256">
        <v>28</v>
      </c>
      <c r="N764" s="256">
        <v>69</v>
      </c>
      <c r="O764" s="256">
        <v>3</v>
      </c>
      <c r="P764" s="257">
        <v>1</v>
      </c>
      <c r="Q764" s="96">
        <v>173</v>
      </c>
      <c r="R764" s="98">
        <v>0.50009999999999999</v>
      </c>
      <c r="S764" s="94">
        <f>((Table3.110[[#This Row],[Sample weight, g]]*'2.1. DM'!Q173)/100)*1000</f>
        <v>467.12504216188375</v>
      </c>
      <c r="T764" s="94">
        <f>'3.2 Digest'!W764</f>
        <v>266.72504216188372</v>
      </c>
      <c r="U764" s="117">
        <v>0.36527777777777776</v>
      </c>
      <c r="V764" s="155">
        <v>41</v>
      </c>
      <c r="W764" s="117">
        <v>0.73263888888888884</v>
      </c>
      <c r="X764" s="96">
        <v>90</v>
      </c>
      <c r="Y764" s="96">
        <v>13</v>
      </c>
      <c r="Z764" s="155">
        <v>40.5</v>
      </c>
      <c r="AA764" s="117">
        <v>0.40902777777777777</v>
      </c>
      <c r="AB764" s="155">
        <v>83</v>
      </c>
      <c r="AC764" s="155">
        <v>16.8</v>
      </c>
      <c r="AD764" s="96"/>
      <c r="AE764" s="94">
        <f>Table3.110[[#This Row],[Gas 8h, ml]]-Table3.110[[#This Row],[Gas 0h, ml]]</f>
        <v>49</v>
      </c>
      <c r="AF764" s="94">
        <f>Table3.110[[#This Row],[Gas 24h, ml]]-Table3.110[[#This Row],[V8 Push back, ml]]</f>
        <v>42.5</v>
      </c>
      <c r="AG764" s="94">
        <f>Table3.110[[#This Row],[GP 8h, ml]]-AVERAGE(AE$664,AE$665,AE$726,AE$727,AE$788,AE$789)*$AG$8</f>
        <v>47.156235924806332</v>
      </c>
      <c r="AH764" s="94">
        <f>Table3.110[[#This Row],[GP 8-24h, ml]]-AVERAGE(AF$664,AF$665,AF$726,AF$727,AF$788,AF$789)*$AG$8</f>
        <v>40.176857265255975</v>
      </c>
      <c r="AI764" s="94">
        <f>Table3.110[[#This Row],[Net gas 8-24h, ml]]+Table3.110[[#This Row],[Net gas 8h, ml]]</f>
        <v>87.3330931900623</v>
      </c>
      <c r="AJ764" s="94">
        <f>Table3.110[[#This Row],[Net gas 8h, ml]]*Table3.110[[#This Row],[CH4 8h %]]%</f>
        <v>6.1303106702248229</v>
      </c>
      <c r="AK764" s="94">
        <f>Table3.110[[#This Row],[Net gas 8-24h, ml]]*Table3.110[[#This Row],[CH4 24h, %]]%</f>
        <v>6.7497120205630043</v>
      </c>
      <c r="AL764" s="94">
        <f>Table3.110[[#This Row],[CH4 8-24h, ml]]+Table3.110[[#This Row],[CH4 8h, ml]]</f>
        <v>12.880022690787827</v>
      </c>
      <c r="AM764" s="94">
        <f>(Table3.110[[#This Row],[Net gas 24h, ml]]/Table3.110[[#This Row],[DM Incubated, mg]])*1000</f>
        <v>186.95870550180592</v>
      </c>
      <c r="AN764" s="94">
        <f>'3.2 Digest'!X764</f>
        <v>57.099281367460762</v>
      </c>
      <c r="AO764" s="94">
        <f>Table3.110[[#This Row],[Digested feed, mg]]/Table3.110[[#This Row],[Net gas 24h, ml]]</f>
        <v>3.0541119341944318</v>
      </c>
      <c r="AP764" s="94">
        <f>Table3.110[[#This Row],[CH4 8h, ml]]/Table3.110[[#This Row],[Net gas 8h, ml]]%</f>
        <v>12.999999999999998</v>
      </c>
      <c r="AQ764" s="94">
        <f>Table3.110[[#This Row],[CH4 24h, ml]]/Table3.110[[#This Row],[Net gas 24h, ml]]%</f>
        <v>14.748158138355569</v>
      </c>
      <c r="AR764" s="94">
        <f>Table3.110[[#This Row],[CH4 24h, ml]]/Table3.110[[#This Row],[DM Incubated, mg]]*1000</f>
        <v>27.572965540828815</v>
      </c>
      <c r="AS764" s="94">
        <f>Table3.110[[#This Row],[CH4 24h, ml]]/Table3.110[[#This Row],[Digested feed, mg]]*1000</f>
        <v>48.289514124326359</v>
      </c>
      <c r="AT764" s="94">
        <f>Table3.110[[#This Row],[CH4 24h, ml]]/'3.2 Digest'!AA764</f>
        <v>0.53669042450521931</v>
      </c>
      <c r="AU764" s="94">
        <f>((Table3.110[[#This Row],[CH4 24h, ml]]/28.9)*16.04)/Table3.110[[#This Row],[DM Incubated, mg]]*1000</f>
        <v>15.303472916086305</v>
      </c>
      <c r="AV764" s="94">
        <f>((Table3.110[[#This Row],[CH4 24h, ml]]/28.9)*16.04)/Table3.110[[#This Row],[Digested feed, mg]]*1000</f>
        <v>26.801515797723003</v>
      </c>
      <c r="AW764" s="303"/>
    </row>
    <row r="765" spans="1:49" s="304" customFormat="1" x14ac:dyDescent="0.35">
      <c r="A765" s="89"/>
      <c r="B765" s="90">
        <f t="shared" si="11"/>
        <v>755</v>
      </c>
      <c r="C765" s="140">
        <v>46076</v>
      </c>
      <c r="D765" s="92" t="s">
        <v>16</v>
      </c>
      <c r="E765" s="6" t="s">
        <v>285</v>
      </c>
      <c r="F765" s="242" t="s">
        <v>269</v>
      </c>
      <c r="G765" s="242" t="s">
        <v>282</v>
      </c>
      <c r="H765" s="6" t="str">
        <f>'[2]1. Information samples'!$K$64</f>
        <v>Crotalaria pumila</v>
      </c>
      <c r="I765" s="6" t="s">
        <v>22</v>
      </c>
      <c r="J765" s="129" t="s">
        <v>23</v>
      </c>
      <c r="K765" s="129" t="s">
        <v>24</v>
      </c>
      <c r="L765" s="6" t="s">
        <v>284</v>
      </c>
      <c r="M765" s="256">
        <v>28</v>
      </c>
      <c r="N765" s="256">
        <v>69</v>
      </c>
      <c r="O765" s="256">
        <v>3</v>
      </c>
      <c r="P765" s="257">
        <v>2</v>
      </c>
      <c r="Q765" s="96">
        <v>174</v>
      </c>
      <c r="R765" s="98">
        <v>0.50049999999999994</v>
      </c>
      <c r="S765" s="94">
        <f>((Table3.110[[#This Row],[Sample weight, g]]*'2.1. DM'!Q173)/100)*1000</f>
        <v>467.49866747055154</v>
      </c>
      <c r="T765" s="94">
        <f>'3.2 Digest'!W765</f>
        <v>204.69866747055153</v>
      </c>
      <c r="U765" s="153">
        <v>0.36527777777777776</v>
      </c>
      <c r="V765" s="154">
        <v>40.5</v>
      </c>
      <c r="W765" s="153">
        <v>0.73333333333333328</v>
      </c>
      <c r="X765" s="91">
        <v>88.5</v>
      </c>
      <c r="Y765" s="91">
        <v>13.4</v>
      </c>
      <c r="Z765" s="154">
        <v>40.5</v>
      </c>
      <c r="AA765" s="153">
        <v>0.40972222222222221</v>
      </c>
      <c r="AB765" s="154">
        <v>83</v>
      </c>
      <c r="AC765" s="154">
        <v>17.100000000000001</v>
      </c>
      <c r="AD765" s="91"/>
      <c r="AE765" s="94">
        <f>Table3.110[[#This Row],[Gas 8h, ml]]-Table3.110[[#This Row],[Gas 0h, ml]]</f>
        <v>48</v>
      </c>
      <c r="AF765" s="94">
        <f>Table3.110[[#This Row],[Gas 24h, ml]]-Table3.110[[#This Row],[V8 Push back, ml]]</f>
        <v>42.5</v>
      </c>
      <c r="AG765" s="94">
        <f>Table3.110[[#This Row],[GP 8h, ml]]-AVERAGE(AE$664,AE$665,AE$726,AE$727,AE$788,AE$789)*$AG$8</f>
        <v>46.156235924806332</v>
      </c>
      <c r="AH765" s="94">
        <f>Table3.110[[#This Row],[GP 8-24h, ml]]-AVERAGE(AF$664,AF$665,AF$726,AF$727,AF$788,AF$789)*$AG$8</f>
        <v>40.176857265255975</v>
      </c>
      <c r="AI765" s="94">
        <f>Table3.110[[#This Row],[Net gas 8-24h, ml]]+Table3.110[[#This Row],[Net gas 8h, ml]]</f>
        <v>86.3330931900623</v>
      </c>
      <c r="AJ765" s="94">
        <f>Table3.110[[#This Row],[Net gas 8h, ml]]*Table3.110[[#This Row],[CH4 8h %]]%</f>
        <v>6.1849356139240488</v>
      </c>
      <c r="AK765" s="94">
        <f>Table3.110[[#This Row],[Net gas 8-24h, ml]]*Table3.110[[#This Row],[CH4 24h, %]]%</f>
        <v>6.870242592358772</v>
      </c>
      <c r="AL765" s="94">
        <f>Table3.110[[#This Row],[CH4 8-24h, ml]]+Table3.110[[#This Row],[CH4 8h, ml]]</f>
        <v>13.055178206282822</v>
      </c>
      <c r="AM765" s="94">
        <f>(Table3.110[[#This Row],[Net gas 24h, ml]]/Table3.110[[#This Row],[DM Incubated, mg]])*1000</f>
        <v>184.67024442481551</v>
      </c>
      <c r="AN765" s="94">
        <f>'3.2 Digest'!X765</f>
        <v>43.785936028030669</v>
      </c>
      <c r="AO765" s="94">
        <f>Table3.110[[#This Row],[Digested feed, mg]]/Table3.110[[#This Row],[Net gas 24h, ml]]</f>
        <v>2.3710336315635931</v>
      </c>
      <c r="AP765" s="94">
        <f>Table3.110[[#This Row],[CH4 8h, ml]]/Table3.110[[#This Row],[Net gas 8h, ml]]%</f>
        <v>13.4</v>
      </c>
      <c r="AQ765" s="94">
        <f>Table3.110[[#This Row],[CH4 24h, ml]]/Table3.110[[#This Row],[Net gas 24h, ml]]%</f>
        <v>15.121870100891494</v>
      </c>
      <c r="AR765" s="94">
        <f>Table3.110[[#This Row],[CH4 24h, ml]]/Table3.110[[#This Row],[DM Incubated, mg]]*1000</f>
        <v>27.925594476919418</v>
      </c>
      <c r="AS765" s="94">
        <f>Table3.110[[#This Row],[CH4 24h, ml]]/Table3.110[[#This Row],[Digested feed, mg]]*1000</f>
        <v>63.777543682158921</v>
      </c>
      <c r="AT765" s="94">
        <f>Table3.110[[#This Row],[CH4 24h, ml]]/'3.2 Digest'!AA765</f>
        <v>31.561332330214164</v>
      </c>
      <c r="AU765" s="94">
        <f>((Table3.110[[#This Row],[CH4 24h, ml]]/28.9)*16.04)/Table3.110[[#This Row],[DM Incubated, mg]]*1000</f>
        <v>15.499188076463234</v>
      </c>
      <c r="AV765" s="94">
        <f>((Table3.110[[#This Row],[CH4 24h, ml]]/28.9)*16.04)/Table3.110[[#This Row],[Digested feed, mg]]*1000</f>
        <v>35.397640161308964</v>
      </c>
      <c r="AW765" s="303"/>
    </row>
    <row r="766" spans="1:49" s="304" customFormat="1" x14ac:dyDescent="0.35">
      <c r="A766" s="89"/>
      <c r="B766" s="90">
        <f t="shared" si="11"/>
        <v>756</v>
      </c>
      <c r="C766" s="140">
        <v>46076</v>
      </c>
      <c r="D766" s="92" t="s">
        <v>16</v>
      </c>
      <c r="E766" s="6" t="s">
        <v>287</v>
      </c>
      <c r="F766" s="242" t="s">
        <v>235</v>
      </c>
      <c r="G766" s="242" t="s">
        <v>274</v>
      </c>
      <c r="H766" s="6" t="str">
        <f>'[2]1. Information samples'!$K$65</f>
        <v>Zornia brasiliensis</v>
      </c>
      <c r="I766" s="6" t="s">
        <v>22</v>
      </c>
      <c r="J766" s="129" t="s">
        <v>23</v>
      </c>
      <c r="K766" s="129" t="s">
        <v>24</v>
      </c>
      <c r="L766" s="6" t="s">
        <v>286</v>
      </c>
      <c r="M766" s="256">
        <v>28</v>
      </c>
      <c r="N766" s="256">
        <v>69</v>
      </c>
      <c r="O766" s="256">
        <v>3</v>
      </c>
      <c r="P766" s="257">
        <v>1</v>
      </c>
      <c r="Q766" s="96">
        <v>175</v>
      </c>
      <c r="R766" s="98">
        <v>0.50039999999999996</v>
      </c>
      <c r="S766" s="94">
        <f>((Table3.110[[#This Row],[Sample weight, g]]*'2.1. DM'!Q175)/100)*1000</f>
        <v>460.84930124863939</v>
      </c>
      <c r="T766" s="94">
        <f>'3.2 Digest'!W766</f>
        <v>180.54930124863938</v>
      </c>
      <c r="U766" s="153">
        <v>0.36527777777777776</v>
      </c>
      <c r="V766" s="154">
        <v>40.5</v>
      </c>
      <c r="W766" s="153">
        <v>0.73402777777777772</v>
      </c>
      <c r="X766" s="91">
        <v>77.5</v>
      </c>
      <c r="Y766" s="91">
        <v>12.4</v>
      </c>
      <c r="Z766" s="154">
        <v>40</v>
      </c>
      <c r="AA766" s="153">
        <v>0.41041666666666665</v>
      </c>
      <c r="AB766" s="154">
        <v>71.5</v>
      </c>
      <c r="AC766" s="154">
        <v>18</v>
      </c>
      <c r="AD766" s="91"/>
      <c r="AE766" s="94">
        <f>Table3.110[[#This Row],[Gas 8h, ml]]-Table3.110[[#This Row],[Gas 0h, ml]]</f>
        <v>37</v>
      </c>
      <c r="AF766" s="94">
        <f>Table3.110[[#This Row],[Gas 24h, ml]]-Table3.110[[#This Row],[V8 Push back, ml]]</f>
        <v>31.5</v>
      </c>
      <c r="AG766" s="94">
        <f>Table3.110[[#This Row],[GP 8h, ml]]-AVERAGE(AE$664,AE$665,AE$726,AE$727,AE$788,AE$789)*$AG$8</f>
        <v>35.156235924806332</v>
      </c>
      <c r="AH766" s="94">
        <f>Table3.110[[#This Row],[GP 8-24h, ml]]-AVERAGE(AF$664,AF$665,AF$726,AF$727,AF$788,AF$789)*$AG$8</f>
        <v>29.176857265255975</v>
      </c>
      <c r="AI766" s="94">
        <f>Table3.110[[#This Row],[Net gas 8-24h, ml]]+Table3.110[[#This Row],[Net gas 8h, ml]]</f>
        <v>64.3330931900623</v>
      </c>
      <c r="AJ766" s="94">
        <f>Table3.110[[#This Row],[Net gas 8h, ml]]*Table3.110[[#This Row],[CH4 8h %]]%</f>
        <v>4.3593732546759849</v>
      </c>
      <c r="AK766" s="94">
        <f>Table3.110[[#This Row],[Net gas 8-24h, ml]]*Table3.110[[#This Row],[CH4 24h, %]]%</f>
        <v>5.2518343077460754</v>
      </c>
      <c r="AL766" s="94">
        <f>Table3.110[[#This Row],[CH4 8-24h, ml]]+Table3.110[[#This Row],[CH4 8h, ml]]</f>
        <v>9.6112075624220594</v>
      </c>
      <c r="AM766" s="94">
        <f>(Table3.110[[#This Row],[Net gas 24h, ml]]/Table3.110[[#This Row],[DM Incubated, mg]])*1000</f>
        <v>139.59681183362159</v>
      </c>
      <c r="AN766" s="94">
        <f>'3.2 Digest'!X766</f>
        <v>39.17751437605601</v>
      </c>
      <c r="AO766" s="94">
        <f>Table3.110[[#This Row],[Digested feed, mg]]/Table3.110[[#This Row],[Net gas 24h, ml]]</f>
        <v>2.8064762985239033</v>
      </c>
      <c r="AP766" s="94">
        <f>Table3.110[[#This Row],[CH4 8h, ml]]/Table3.110[[#This Row],[Net gas 8h, ml]]%</f>
        <v>12.399999999999999</v>
      </c>
      <c r="AQ766" s="94">
        <f>Table3.110[[#This Row],[CH4 24h, ml]]/Table3.110[[#This Row],[Net gas 24h, ml]]%</f>
        <v>14.939756641309341</v>
      </c>
      <c r="AR766" s="94">
        <f>Table3.110[[#This Row],[CH4 24h, ml]]/Table3.110[[#This Row],[DM Incubated, mg]]*1000</f>
        <v>20.855423966969582</v>
      </c>
      <c r="AS766" s="94">
        <f>Table3.110[[#This Row],[CH4 24h, ml]]/Table3.110[[#This Row],[Digested feed, mg]]*1000</f>
        <v>53.233147378323011</v>
      </c>
      <c r="AT766" s="94">
        <f>Table3.110[[#This Row],[CH4 24h, ml]]/'3.2 Digest'!AA766</f>
        <v>-0.41868271006622454</v>
      </c>
      <c r="AU766" s="94">
        <f>((Table3.110[[#This Row],[CH4 24h, ml]]/28.9)*16.04)/Table3.110[[#This Row],[DM Incubated, mg]]*1000</f>
        <v>11.575121122151977</v>
      </c>
      <c r="AV766" s="94">
        <f>((Table3.110[[#This Row],[CH4 24h, ml]]/28.9)*16.04)/Table3.110[[#This Row],[Digested feed, mg]]*1000</f>
        <v>29.545317783678243</v>
      </c>
      <c r="AW766" s="303"/>
    </row>
    <row r="767" spans="1:49" s="304" customFormat="1" x14ac:dyDescent="0.35">
      <c r="A767" s="89"/>
      <c r="B767" s="90">
        <f t="shared" si="11"/>
        <v>757</v>
      </c>
      <c r="C767" s="140">
        <v>46076</v>
      </c>
      <c r="D767" s="92" t="s">
        <v>16</v>
      </c>
      <c r="E767" s="6" t="s">
        <v>287</v>
      </c>
      <c r="F767" s="242" t="s">
        <v>235</v>
      </c>
      <c r="G767" s="242" t="s">
        <v>274</v>
      </c>
      <c r="H767" s="6" t="str">
        <f>'[2]1. Information samples'!$K$65</f>
        <v>Zornia brasiliensis</v>
      </c>
      <c r="I767" s="6" t="s">
        <v>22</v>
      </c>
      <c r="J767" s="129" t="s">
        <v>23</v>
      </c>
      <c r="K767" s="129" t="s">
        <v>24</v>
      </c>
      <c r="L767" s="6" t="s">
        <v>286</v>
      </c>
      <c r="M767" s="256">
        <v>28</v>
      </c>
      <c r="N767" s="256">
        <v>69</v>
      </c>
      <c r="O767" s="256">
        <v>3</v>
      </c>
      <c r="P767" s="257">
        <v>2</v>
      </c>
      <c r="Q767" s="96">
        <v>176</v>
      </c>
      <c r="R767" s="98">
        <v>0.5</v>
      </c>
      <c r="S767" s="94">
        <f>((Table3.110[[#This Row],[Sample weight, g]]*'2.1. DM'!Q175)/100)*1000</f>
        <v>460.48091651542705</v>
      </c>
      <c r="T767" s="94">
        <f>'3.2 Digest'!W767</f>
        <v>109.38091651542709</v>
      </c>
      <c r="U767" s="117">
        <v>0.36527777777777776</v>
      </c>
      <c r="V767" s="155">
        <v>40.5</v>
      </c>
      <c r="W767" s="117">
        <v>0.73402777777777772</v>
      </c>
      <c r="X767" s="96">
        <v>77.5</v>
      </c>
      <c r="Y767" s="96">
        <v>12.7</v>
      </c>
      <c r="Z767" s="155">
        <v>39.5</v>
      </c>
      <c r="AA767" s="117">
        <v>0.41111111111111109</v>
      </c>
      <c r="AB767" s="155">
        <v>72.5</v>
      </c>
      <c r="AC767" s="155">
        <v>18</v>
      </c>
      <c r="AD767" s="96"/>
      <c r="AE767" s="94">
        <f>Table3.110[[#This Row],[Gas 8h, ml]]-Table3.110[[#This Row],[Gas 0h, ml]]</f>
        <v>37</v>
      </c>
      <c r="AF767" s="94">
        <f>Table3.110[[#This Row],[Gas 24h, ml]]-Table3.110[[#This Row],[V8 Push back, ml]]</f>
        <v>33</v>
      </c>
      <c r="AG767" s="94">
        <f>Table3.110[[#This Row],[GP 8h, ml]]-AVERAGE(AE$664,AE$665,AE$726,AE$727,AE$788,AE$789)*$AG$8</f>
        <v>35.156235924806332</v>
      </c>
      <c r="AH767" s="94">
        <f>Table3.110[[#This Row],[GP 8-24h, ml]]-AVERAGE(AF$664,AF$665,AF$726,AF$727,AF$788,AF$789)*$AG$8</f>
        <v>30.676857265255975</v>
      </c>
      <c r="AI767" s="94">
        <f>Table3.110[[#This Row],[Net gas 8-24h, ml]]+Table3.110[[#This Row],[Net gas 8h, ml]]</f>
        <v>65.8330931900623</v>
      </c>
      <c r="AJ767" s="94">
        <f>Table3.110[[#This Row],[Net gas 8h, ml]]*Table3.110[[#This Row],[CH4 8h %]]%</f>
        <v>4.4648419624504045</v>
      </c>
      <c r="AK767" s="94">
        <f>Table3.110[[#This Row],[Net gas 8-24h, ml]]*Table3.110[[#This Row],[CH4 24h, %]]%</f>
        <v>5.521834307746075</v>
      </c>
      <c r="AL767" s="94">
        <f>Table3.110[[#This Row],[CH4 8-24h, ml]]+Table3.110[[#This Row],[CH4 8h, ml]]</f>
        <v>9.9866762701964795</v>
      </c>
      <c r="AM767" s="94">
        <f>(Table3.110[[#This Row],[Net gas 24h, ml]]/Table3.110[[#This Row],[DM Incubated, mg]])*1000</f>
        <v>142.96595326520281</v>
      </c>
      <c r="AN767" s="94">
        <f>'3.2 Digest'!X767</f>
        <v>23.753626391977221</v>
      </c>
      <c r="AO767" s="94">
        <f>Table3.110[[#This Row],[Digested feed, mg]]/Table3.110[[#This Row],[Net gas 24h, ml]]</f>
        <v>1.6614883368709532</v>
      </c>
      <c r="AP767" s="94">
        <f>Table3.110[[#This Row],[CH4 8h, ml]]/Table3.110[[#This Row],[Net gas 8h, ml]]%</f>
        <v>12.700000000000001</v>
      </c>
      <c r="AQ767" s="94">
        <f>Table3.110[[#This Row],[CH4 24h, ml]]/Table3.110[[#This Row],[Net gas 24h, ml]]%</f>
        <v>15.169690175979758</v>
      </c>
      <c r="AR767" s="94">
        <f>Table3.110[[#This Row],[CH4 24h, ml]]/Table3.110[[#This Row],[DM Incubated, mg]]*1000</f>
        <v>21.687492167467283</v>
      </c>
      <c r="AS767" s="94">
        <f>Table3.110[[#This Row],[CH4 24h, ml]]/Table3.110[[#This Row],[Digested feed, mg]]*1000</f>
        <v>91.301815603162908</v>
      </c>
      <c r="AT767" s="94">
        <f>Table3.110[[#This Row],[CH4 24h, ml]]/'3.2 Digest'!AA767</f>
        <v>-0.18447378004837342</v>
      </c>
      <c r="AU767" s="94">
        <f>((Table3.110[[#This Row],[CH4 24h, ml]]/28.9)*16.04)/Table3.110[[#This Row],[DM Incubated, mg]]*1000</f>
        <v>12.036933369071805</v>
      </c>
      <c r="AV767" s="94">
        <f>((Table3.110[[#This Row],[CH4 24h, ml]]/28.9)*16.04)/Table3.110[[#This Row],[Digested feed, mg]]*1000</f>
        <v>50.67408727594232</v>
      </c>
      <c r="AW767" s="303"/>
    </row>
    <row r="768" spans="1:49" s="304" customFormat="1" x14ac:dyDescent="0.35">
      <c r="A768" s="89"/>
      <c r="B768" s="90">
        <f t="shared" si="11"/>
        <v>758</v>
      </c>
      <c r="C768" s="140">
        <v>46076</v>
      </c>
      <c r="D768" s="92" t="s">
        <v>16</v>
      </c>
      <c r="E768" s="6" t="s">
        <v>289</v>
      </c>
      <c r="F768" s="242" t="s">
        <v>290</v>
      </c>
      <c r="G768" s="242" t="s">
        <v>291</v>
      </c>
      <c r="H768" s="6" t="str">
        <f>'[2]1. Information samples'!$K$66</f>
        <v>Indigofera spicata</v>
      </c>
      <c r="I768" s="6" t="s">
        <v>22</v>
      </c>
      <c r="J768" s="129" t="s">
        <v>23</v>
      </c>
      <c r="K768" s="129" t="s">
        <v>24</v>
      </c>
      <c r="L768" s="6" t="s">
        <v>288</v>
      </c>
      <c r="M768" s="256">
        <v>28</v>
      </c>
      <c r="N768" s="256">
        <v>69</v>
      </c>
      <c r="O768" s="256">
        <v>3</v>
      </c>
      <c r="P768" s="257">
        <v>1</v>
      </c>
      <c r="Q768" s="96">
        <v>177</v>
      </c>
      <c r="R768" s="98">
        <v>0.5</v>
      </c>
      <c r="S768" s="94">
        <f>((Table3.110[[#This Row],[Sample weight, g]]*'2.1. DM'!Q177)/100)*1000</f>
        <v>457.99192649976902</v>
      </c>
      <c r="T768" s="94">
        <f>'3.2 Digest'!W768</f>
        <v>233.79192649976895</v>
      </c>
      <c r="U768" s="117">
        <v>0.3659722222222222</v>
      </c>
      <c r="V768" s="155">
        <v>41</v>
      </c>
      <c r="W768" s="117">
        <v>0.73472222222222228</v>
      </c>
      <c r="X768" s="96">
        <v>76.5</v>
      </c>
      <c r="Y768" s="96">
        <v>12.7</v>
      </c>
      <c r="Z768" s="155">
        <v>40.5</v>
      </c>
      <c r="AA768" s="117">
        <v>0.41180555555555554</v>
      </c>
      <c r="AB768" s="155">
        <v>85.5</v>
      </c>
      <c r="AC768" s="155">
        <v>16.3</v>
      </c>
      <c r="AD768" s="96"/>
      <c r="AE768" s="94">
        <f>Table3.110[[#This Row],[Gas 8h, ml]]-Table3.110[[#This Row],[Gas 0h, ml]]</f>
        <v>35.5</v>
      </c>
      <c r="AF768" s="94">
        <f>Table3.110[[#This Row],[Gas 24h, ml]]-Table3.110[[#This Row],[V8 Push back, ml]]</f>
        <v>45</v>
      </c>
      <c r="AG768" s="94">
        <f>Table3.110[[#This Row],[GP 8h, ml]]-AVERAGE(AE$664,AE$665,AE$726,AE$727,AE$788,AE$789)*$AG$8</f>
        <v>33.656235924806332</v>
      </c>
      <c r="AH768" s="94">
        <f>Table3.110[[#This Row],[GP 8-24h, ml]]-AVERAGE(AF$664,AF$665,AF$726,AF$727,AF$788,AF$789)*$AG$8</f>
        <v>42.676857265255975</v>
      </c>
      <c r="AI768" s="94">
        <f>Table3.110[[#This Row],[Net gas 8-24h, ml]]+Table3.110[[#This Row],[Net gas 8h, ml]]</f>
        <v>76.3330931900623</v>
      </c>
      <c r="AJ768" s="94">
        <f>Table3.110[[#This Row],[Net gas 8h, ml]]*Table3.110[[#This Row],[CH4 8h %]]%</f>
        <v>4.2743419624504044</v>
      </c>
      <c r="AK768" s="94">
        <f>Table3.110[[#This Row],[Net gas 8-24h, ml]]*Table3.110[[#This Row],[CH4 24h, %]]%</f>
        <v>6.9563277342367247</v>
      </c>
      <c r="AL768" s="94">
        <f>Table3.110[[#This Row],[CH4 8-24h, ml]]+Table3.110[[#This Row],[CH4 8h, ml]]</f>
        <v>11.23066969668713</v>
      </c>
      <c r="AM768" s="94">
        <f>(Table3.110[[#This Row],[Net gas 24h, ml]]/Table3.110[[#This Row],[DM Incubated, mg]])*1000</f>
        <v>166.66908033388836</v>
      </c>
      <c r="AN768" s="94">
        <f>'3.2 Digest'!X768</f>
        <v>51.047172007274867</v>
      </c>
      <c r="AO768" s="94">
        <f>Table3.110[[#This Row],[Digested feed, mg]]/Table3.110[[#This Row],[Net gas 24h, ml]]</f>
        <v>3.0627859651599443</v>
      </c>
      <c r="AP768" s="94">
        <f>Table3.110[[#This Row],[CH4 8h, ml]]/Table3.110[[#This Row],[Net gas 8h, ml]]%</f>
        <v>12.700000000000001</v>
      </c>
      <c r="AQ768" s="94">
        <f>Table3.110[[#This Row],[CH4 24h, ml]]/Table3.110[[#This Row],[Net gas 24h, ml]]%</f>
        <v>14.712714010846918</v>
      </c>
      <c r="AR768" s="94">
        <f>Table3.110[[#This Row],[CH4 24h, ml]]/Table3.110[[#This Row],[DM Incubated, mg]]*1000</f>
        <v>24.521545134033698</v>
      </c>
      <c r="AS768" s="94">
        <f>Table3.110[[#This Row],[CH4 24h, ml]]/Table3.110[[#This Row],[Digested feed, mg]]*1000</f>
        <v>48.037029613587748</v>
      </c>
      <c r="AT768" s="94">
        <f>Table3.110[[#This Row],[CH4 24h, ml]]/'3.2 Digest'!AA768</f>
        <v>-0.76289816888108297</v>
      </c>
      <c r="AU768" s="94">
        <f>((Table3.110[[#This Row],[CH4 24h, ml]]/28.9)*16.04)/Table3.110[[#This Row],[DM Incubated, mg]]*1000</f>
        <v>13.60988179757441</v>
      </c>
      <c r="AV768" s="94">
        <f>((Table3.110[[#This Row],[CH4 24h, ml]]/28.9)*16.04)/Table3.110[[#This Row],[Digested feed, mg]]*1000</f>
        <v>26.661382526018937</v>
      </c>
      <c r="AW768" s="303"/>
    </row>
    <row r="769" spans="1:49" s="304" customFormat="1" x14ac:dyDescent="0.35">
      <c r="A769" s="89"/>
      <c r="B769" s="90">
        <f t="shared" si="11"/>
        <v>759</v>
      </c>
      <c r="C769" s="140">
        <v>46076</v>
      </c>
      <c r="D769" s="92" t="s">
        <v>16</v>
      </c>
      <c r="E769" s="6" t="s">
        <v>289</v>
      </c>
      <c r="F769" s="242" t="s">
        <v>290</v>
      </c>
      <c r="G769" s="242" t="s">
        <v>291</v>
      </c>
      <c r="H769" s="6" t="str">
        <f>'[2]1. Information samples'!$K$66</f>
        <v>Indigofera spicata</v>
      </c>
      <c r="I769" s="6" t="s">
        <v>22</v>
      </c>
      <c r="J769" s="129" t="s">
        <v>23</v>
      </c>
      <c r="K769" s="129" t="s">
        <v>24</v>
      </c>
      <c r="L769" s="6" t="s">
        <v>288</v>
      </c>
      <c r="M769" s="256">
        <v>28</v>
      </c>
      <c r="N769" s="256">
        <v>69</v>
      </c>
      <c r="O769" s="256">
        <v>3</v>
      </c>
      <c r="P769" s="257">
        <v>2</v>
      </c>
      <c r="Q769" s="96">
        <v>178</v>
      </c>
      <c r="R769" s="98">
        <v>0.5</v>
      </c>
      <c r="S769" s="94">
        <f>((Table3.110[[#This Row],[Sample weight, g]]*'2.1. DM'!Q177)/100)*1000</f>
        <v>457.99192649976902</v>
      </c>
      <c r="T769" s="94">
        <f>'3.2 Digest'!W769</f>
        <v>247.49192649976899</v>
      </c>
      <c r="U769" s="153">
        <v>0.3659722222222222</v>
      </c>
      <c r="V769" s="154">
        <v>40.5</v>
      </c>
      <c r="W769" s="153">
        <v>0.73472222222222228</v>
      </c>
      <c r="X769" s="91">
        <v>75.5</v>
      </c>
      <c r="Y769" s="91">
        <v>12.5</v>
      </c>
      <c r="Z769" s="154">
        <v>40</v>
      </c>
      <c r="AA769" s="153">
        <v>0.41180555555555554</v>
      </c>
      <c r="AB769" s="154">
        <v>85</v>
      </c>
      <c r="AC769" s="154">
        <v>16</v>
      </c>
      <c r="AD769" s="91"/>
      <c r="AE769" s="94">
        <f>Table3.110[[#This Row],[Gas 8h, ml]]-Table3.110[[#This Row],[Gas 0h, ml]]</f>
        <v>35</v>
      </c>
      <c r="AF769" s="94">
        <f>Table3.110[[#This Row],[Gas 24h, ml]]-Table3.110[[#This Row],[V8 Push back, ml]]</f>
        <v>45</v>
      </c>
      <c r="AG769" s="94">
        <f>Table3.110[[#This Row],[GP 8h, ml]]-AVERAGE(AE$664,AE$665,AE$726,AE$727,AE$788,AE$789)*$AG$8</f>
        <v>33.156235924806332</v>
      </c>
      <c r="AH769" s="94">
        <f>Table3.110[[#This Row],[GP 8-24h, ml]]-AVERAGE(AF$664,AF$665,AF$726,AF$727,AF$788,AF$789)*$AG$8</f>
        <v>42.676857265255975</v>
      </c>
      <c r="AI769" s="94">
        <f>Table3.110[[#This Row],[Net gas 8-24h, ml]]+Table3.110[[#This Row],[Net gas 8h, ml]]</f>
        <v>75.8330931900623</v>
      </c>
      <c r="AJ769" s="94">
        <f>Table3.110[[#This Row],[Net gas 8h, ml]]*Table3.110[[#This Row],[CH4 8h %]]%</f>
        <v>4.1445294906007915</v>
      </c>
      <c r="AK769" s="94">
        <f>Table3.110[[#This Row],[Net gas 8-24h, ml]]*Table3.110[[#This Row],[CH4 24h, %]]%</f>
        <v>6.8282971624409559</v>
      </c>
      <c r="AL769" s="94">
        <f>Table3.110[[#This Row],[CH4 8-24h, ml]]+Table3.110[[#This Row],[CH4 8h, ml]]</f>
        <v>10.972826653041746</v>
      </c>
      <c r="AM769" s="94">
        <f>(Table3.110[[#This Row],[Net gas 24h, ml]]/Table3.110[[#This Row],[DM Incubated, mg]])*1000</f>
        <v>165.57735803253411</v>
      </c>
      <c r="AN769" s="94">
        <f>'3.2 Digest'!X769</f>
        <v>54.038491112985554</v>
      </c>
      <c r="AO769" s="94">
        <f>Table3.110[[#This Row],[Digested feed, mg]]/Table3.110[[#This Row],[Net gas 24h, ml]]</f>
        <v>3.2636401350459758</v>
      </c>
      <c r="AP769" s="94">
        <f>Table3.110[[#This Row],[CH4 8h, ml]]/Table3.110[[#This Row],[Net gas 8h, ml]]%</f>
        <v>12.5</v>
      </c>
      <c r="AQ769" s="94">
        <f>Table3.110[[#This Row],[CH4 24h, ml]]/Table3.110[[#This Row],[Net gas 24h, ml]]%</f>
        <v>14.469707342070683</v>
      </c>
      <c r="AR769" s="94">
        <f>Table3.110[[#This Row],[CH4 24h, ml]]/Table3.110[[#This Row],[DM Incubated, mg]]*1000</f>
        <v>23.958559132040246</v>
      </c>
      <c r="AS769" s="94">
        <f>Table3.110[[#This Row],[CH4 24h, ml]]/Table3.110[[#This Row],[Digested feed, mg]]*1000</f>
        <v>44.33609939616349</v>
      </c>
      <c r="AT769" s="94">
        <f>Table3.110[[#This Row],[CH4 24h, ml]]/'3.2 Digest'!AA769</f>
        <v>-1.4230285460824958</v>
      </c>
      <c r="AU769" s="94">
        <f>((Table3.110[[#This Row],[CH4 24h, ml]]/28.9)*16.04)/Table3.110[[#This Row],[DM Incubated, mg]]*1000</f>
        <v>13.297414826225797</v>
      </c>
      <c r="AV769" s="94">
        <f>((Table3.110[[#This Row],[CH4 24h, ml]]/28.9)*16.04)/Table3.110[[#This Row],[Digested feed, mg]]*1000</f>
        <v>24.607302225413921</v>
      </c>
      <c r="AW769" s="303"/>
    </row>
    <row r="770" spans="1:49" s="304" customFormat="1" x14ac:dyDescent="0.35">
      <c r="A770" s="89"/>
      <c r="B770" s="90">
        <f t="shared" si="11"/>
        <v>760</v>
      </c>
      <c r="C770" s="140">
        <v>46076</v>
      </c>
      <c r="D770" s="92" t="s">
        <v>16</v>
      </c>
      <c r="E770" s="6" t="s">
        <v>294</v>
      </c>
      <c r="F770" s="242" t="s">
        <v>240</v>
      </c>
      <c r="G770" s="242" t="s">
        <v>241</v>
      </c>
      <c r="H770" s="6" t="str">
        <f>'[2]1. Information samples'!$K$67</f>
        <v>Stylosanthes seabrana</v>
      </c>
      <c r="I770" s="6" t="s">
        <v>22</v>
      </c>
      <c r="J770" s="129" t="s">
        <v>23</v>
      </c>
      <c r="K770" s="129" t="s">
        <v>24</v>
      </c>
      <c r="L770" s="6" t="s">
        <v>293</v>
      </c>
      <c r="M770" s="256">
        <v>28</v>
      </c>
      <c r="N770" s="256">
        <v>69</v>
      </c>
      <c r="O770" s="256">
        <v>3</v>
      </c>
      <c r="P770" s="257">
        <v>1</v>
      </c>
      <c r="Q770" s="96">
        <v>179</v>
      </c>
      <c r="R770" s="98">
        <v>0.50029999999999997</v>
      </c>
      <c r="S770" s="94">
        <f>((Table3.110[[#This Row],[Sample weight, g]]*'2.1. DM'!Q179)/100)*1000</f>
        <v>464.01230808272004</v>
      </c>
      <c r="T770" s="94">
        <f>'3.2 Digest'!W770</f>
        <v>149.91230808272002</v>
      </c>
      <c r="U770" s="153">
        <v>0.3659722222222222</v>
      </c>
      <c r="V770" s="154">
        <v>40.5</v>
      </c>
      <c r="W770" s="153">
        <v>0.73541666666666672</v>
      </c>
      <c r="X770" s="91">
        <v>74.5</v>
      </c>
      <c r="Y770" s="91">
        <v>11.3</v>
      </c>
      <c r="Z770" s="154">
        <v>40</v>
      </c>
      <c r="AA770" s="153">
        <v>0.41249999999999998</v>
      </c>
      <c r="AB770" s="154">
        <v>84</v>
      </c>
      <c r="AC770" s="154">
        <v>14.8</v>
      </c>
      <c r="AD770" s="91"/>
      <c r="AE770" s="94">
        <f>Table3.110[[#This Row],[Gas 8h, ml]]-Table3.110[[#This Row],[Gas 0h, ml]]</f>
        <v>34</v>
      </c>
      <c r="AF770" s="94">
        <f>Table3.110[[#This Row],[Gas 24h, ml]]-Table3.110[[#This Row],[V8 Push back, ml]]</f>
        <v>44</v>
      </c>
      <c r="AG770" s="94">
        <f>Table3.110[[#This Row],[GP 8h, ml]]-AVERAGE(AE$664,AE$665,AE$726,AE$727,AE$788,AE$789)*$AG$8</f>
        <v>32.156235924806332</v>
      </c>
      <c r="AH770" s="94">
        <f>Table3.110[[#This Row],[GP 8-24h, ml]]-AVERAGE(AF$664,AF$665,AF$726,AF$727,AF$788,AF$789)*$AG$8</f>
        <v>41.676857265255975</v>
      </c>
      <c r="AI770" s="94">
        <f>Table3.110[[#This Row],[Net gas 8-24h, ml]]+Table3.110[[#This Row],[Net gas 8h, ml]]</f>
        <v>73.8330931900623</v>
      </c>
      <c r="AJ770" s="94">
        <f>Table3.110[[#This Row],[Net gas 8h, ml]]*Table3.110[[#This Row],[CH4 8h %]]%</f>
        <v>3.6336546595031156</v>
      </c>
      <c r="AK770" s="94">
        <f>Table3.110[[#This Row],[Net gas 8-24h, ml]]*Table3.110[[#This Row],[CH4 24h, %]]%</f>
        <v>6.1681748752578853</v>
      </c>
      <c r="AL770" s="94">
        <f>Table3.110[[#This Row],[CH4 8-24h, ml]]+Table3.110[[#This Row],[CH4 8h, ml]]</f>
        <v>9.8018295347610014</v>
      </c>
      <c r="AM770" s="94">
        <f>(Table3.110[[#This Row],[Net gas 24h, ml]]/Table3.110[[#This Row],[DM Incubated, mg]])*1000</f>
        <v>159.11882487586942</v>
      </c>
      <c r="AN770" s="94">
        <f>'3.2 Digest'!X770</f>
        <v>32.307830087988734</v>
      </c>
      <c r="AO770" s="94">
        <f>Table3.110[[#This Row],[Digested feed, mg]]/Table3.110[[#This Row],[Net gas 24h, ml]]</f>
        <v>2.030421611848408</v>
      </c>
      <c r="AP770" s="94">
        <f>Table3.110[[#This Row],[CH4 8h, ml]]/Table3.110[[#This Row],[Net gas 8h, ml]]%</f>
        <v>11.3</v>
      </c>
      <c r="AQ770" s="94">
        <f>Table3.110[[#This Row],[CH4 24h, ml]]/Table3.110[[#This Row],[Net gas 24h, ml]]%</f>
        <v>13.2756588018451</v>
      </c>
      <c r="AR770" s="94">
        <f>Table3.110[[#This Row],[CH4 24h, ml]]/Table3.110[[#This Row],[DM Incubated, mg]]*1000</f>
        <v>21.12407228002585</v>
      </c>
      <c r="AS770" s="94">
        <f>Table3.110[[#This Row],[CH4 24h, ml]]/Table3.110[[#This Row],[Digested feed, mg]]*1000</f>
        <v>65.383754410294685</v>
      </c>
      <c r="AT770" s="94">
        <f>Table3.110[[#This Row],[CH4 24h, ml]]/'3.2 Digest'!AA770</f>
        <v>-0.5372441684743855</v>
      </c>
      <c r="AU770" s="94">
        <f>((Table3.110[[#This Row],[CH4 24h, ml]]/28.9)*16.04)/Table3.110[[#This Row],[DM Incubated, mg]]*1000</f>
        <v>11.724225583792894</v>
      </c>
      <c r="AV770" s="94">
        <f>((Table3.110[[#This Row],[CH4 24h, ml]]/28.9)*16.04)/Table3.110[[#This Row],[Digested feed, mg]]*1000</f>
        <v>36.289114904537264</v>
      </c>
      <c r="AW770" s="303"/>
    </row>
    <row r="771" spans="1:49" s="304" customFormat="1" x14ac:dyDescent="0.35">
      <c r="A771" s="89"/>
      <c r="B771" s="90">
        <f t="shared" si="11"/>
        <v>761</v>
      </c>
      <c r="C771" s="140">
        <v>46076</v>
      </c>
      <c r="D771" s="92" t="s">
        <v>16</v>
      </c>
      <c r="E771" s="6" t="s">
        <v>294</v>
      </c>
      <c r="F771" s="242" t="s">
        <v>240</v>
      </c>
      <c r="G771" s="242" t="s">
        <v>241</v>
      </c>
      <c r="H771" s="6" t="str">
        <f>'[2]1. Information samples'!$K$67</f>
        <v>Stylosanthes seabrana</v>
      </c>
      <c r="I771" s="6" t="s">
        <v>22</v>
      </c>
      <c r="J771" s="129" t="s">
        <v>23</v>
      </c>
      <c r="K771" s="129" t="s">
        <v>24</v>
      </c>
      <c r="L771" s="6" t="s">
        <v>293</v>
      </c>
      <c r="M771" s="256">
        <v>28</v>
      </c>
      <c r="N771" s="256">
        <v>69</v>
      </c>
      <c r="O771" s="256">
        <v>3</v>
      </c>
      <c r="P771" s="257">
        <v>2</v>
      </c>
      <c r="Q771" s="96">
        <v>180</v>
      </c>
      <c r="R771" s="98">
        <v>0.50009999999999999</v>
      </c>
      <c r="S771" s="94">
        <f>((Table3.110[[#This Row],[Sample weight, g]]*'2.1. DM'!Q179)/100)*1000</f>
        <v>463.82681445566323</v>
      </c>
      <c r="T771" s="94">
        <f>'3.2 Digest'!W771</f>
        <v>138.4268144556633</v>
      </c>
      <c r="U771" s="117">
        <v>0.3659722222222222</v>
      </c>
      <c r="V771" s="155">
        <v>41</v>
      </c>
      <c r="W771" s="117">
        <v>0.73541666666666672</v>
      </c>
      <c r="X771" s="96">
        <v>72</v>
      </c>
      <c r="Y771" s="96">
        <v>11.2</v>
      </c>
      <c r="Z771" s="155">
        <v>40</v>
      </c>
      <c r="AA771" s="117">
        <v>0.41249999999999998</v>
      </c>
      <c r="AB771" s="155">
        <v>82</v>
      </c>
      <c r="AC771" s="155">
        <v>14.7</v>
      </c>
      <c r="AD771" s="96"/>
      <c r="AE771" s="94">
        <f>Table3.110[[#This Row],[Gas 8h, ml]]-Table3.110[[#This Row],[Gas 0h, ml]]</f>
        <v>31</v>
      </c>
      <c r="AF771" s="94">
        <f>Table3.110[[#This Row],[Gas 24h, ml]]-Table3.110[[#This Row],[V8 Push back, ml]]</f>
        <v>42</v>
      </c>
      <c r="AG771" s="94">
        <f>Table3.110[[#This Row],[GP 8h, ml]]-AVERAGE(AE$664,AE$665,AE$726,AE$727,AE$788,AE$789)*$AG$8</f>
        <v>29.156235924806332</v>
      </c>
      <c r="AH771" s="94">
        <f>Table3.110[[#This Row],[GP 8-24h, ml]]-AVERAGE(AF$664,AF$665,AF$726,AF$727,AF$788,AF$789)*$AG$8</f>
        <v>39.676857265255975</v>
      </c>
      <c r="AI771" s="94">
        <f>Table3.110[[#This Row],[Net gas 8-24h, ml]]+Table3.110[[#This Row],[Net gas 8h, ml]]</f>
        <v>68.8330931900623</v>
      </c>
      <c r="AJ771" s="94">
        <f>Table3.110[[#This Row],[Net gas 8h, ml]]*Table3.110[[#This Row],[CH4 8h %]]%</f>
        <v>3.2654984235783089</v>
      </c>
      <c r="AK771" s="94">
        <f>Table3.110[[#This Row],[Net gas 8-24h, ml]]*Table3.110[[#This Row],[CH4 24h, %]]%</f>
        <v>5.832498017992628</v>
      </c>
      <c r="AL771" s="94">
        <f>Table3.110[[#This Row],[CH4 8-24h, ml]]+Table3.110[[#This Row],[CH4 8h, ml]]</f>
        <v>9.0979964415709365</v>
      </c>
      <c r="AM771" s="94">
        <f>(Table3.110[[#This Row],[Net gas 24h, ml]]/Table3.110[[#This Row],[DM Incubated, mg]])*1000</f>
        <v>148.4025740746431</v>
      </c>
      <c r="AN771" s="94">
        <f>'3.2 Digest'!X771</f>
        <v>29.844504487761863</v>
      </c>
      <c r="AO771" s="94">
        <f>Table3.110[[#This Row],[Digested feed, mg]]/Table3.110[[#This Row],[Net gas 24h, ml]]</f>
        <v>2.01105032536368</v>
      </c>
      <c r="AP771" s="94">
        <f>Table3.110[[#This Row],[CH4 8h, ml]]/Table3.110[[#This Row],[Net gas 8h, ml]]%</f>
        <v>11.199999999999998</v>
      </c>
      <c r="AQ771" s="94">
        <f>Table3.110[[#This Row],[CH4 24h, ml]]/Table3.110[[#This Row],[Net gas 24h, ml]]%</f>
        <v>13.217474357064706</v>
      </c>
      <c r="AR771" s="94">
        <f>Table3.110[[#This Row],[CH4 24h, ml]]/Table3.110[[#This Row],[DM Incubated, mg]]*1000</f>
        <v>19.615072173539904</v>
      </c>
      <c r="AS771" s="94">
        <f>Table3.110[[#This Row],[CH4 24h, ml]]/Table3.110[[#This Row],[Digested feed, mg]]*1000</f>
        <v>65.724234696485993</v>
      </c>
      <c r="AT771" s="94">
        <f>Table3.110[[#This Row],[CH4 24h, ml]]/'3.2 Digest'!AA771</f>
        <v>-0.40350209674020654</v>
      </c>
      <c r="AU771" s="94">
        <f>((Table3.110[[#This Row],[CH4 24h, ml]]/28.9)*16.04)/Table3.110[[#This Row],[DM Incubated, mg]]*1000</f>
        <v>10.886704417424916</v>
      </c>
      <c r="AV771" s="94">
        <f>((Table3.110[[#This Row],[CH4 24h, ml]]/28.9)*16.04)/Table3.110[[#This Row],[Digested feed, mg]]*1000</f>
        <v>36.478087354035829</v>
      </c>
      <c r="AW771" s="303"/>
    </row>
    <row r="772" spans="1:49" s="304" customFormat="1" x14ac:dyDescent="0.35">
      <c r="A772" s="89"/>
      <c r="B772" s="90">
        <f t="shared" si="11"/>
        <v>762</v>
      </c>
      <c r="C772" s="140">
        <v>46076</v>
      </c>
      <c r="D772" s="92" t="s">
        <v>16</v>
      </c>
      <c r="E772" s="6" t="s">
        <v>296</v>
      </c>
      <c r="F772" s="242" t="s">
        <v>240</v>
      </c>
      <c r="G772" s="242" t="s">
        <v>297</v>
      </c>
      <c r="H772" s="6" t="str">
        <f>'[2]1. Information samples'!$K$68</f>
        <v>Stylosanthes sympodialis</v>
      </c>
      <c r="I772" s="6" t="s">
        <v>22</v>
      </c>
      <c r="J772" s="129" t="s">
        <v>23</v>
      </c>
      <c r="K772" s="129" t="s">
        <v>24</v>
      </c>
      <c r="L772" s="6" t="s">
        <v>295</v>
      </c>
      <c r="M772" s="256">
        <v>28</v>
      </c>
      <c r="N772" s="256">
        <v>69</v>
      </c>
      <c r="O772" s="256">
        <v>3</v>
      </c>
      <c r="P772" s="257">
        <v>1</v>
      </c>
      <c r="Q772" s="96">
        <v>181</v>
      </c>
      <c r="R772" s="98">
        <v>0.5</v>
      </c>
      <c r="S772" s="94">
        <f>((Table3.110[[#This Row],[Sample weight, g]]*'2.1. DM'!Q181)/100)*1000</f>
        <v>458.60621646293623</v>
      </c>
      <c r="T772" s="94">
        <f>'3.2 Digest'!W772</f>
        <v>244.1062164629362</v>
      </c>
      <c r="U772" s="117">
        <v>0.36666666666666664</v>
      </c>
      <c r="V772" s="155">
        <v>40.5</v>
      </c>
      <c r="W772" s="117">
        <v>0.73611111111111116</v>
      </c>
      <c r="X772" s="96">
        <v>84.5</v>
      </c>
      <c r="Y772" s="96">
        <v>11.5</v>
      </c>
      <c r="Z772" s="155">
        <v>40.5</v>
      </c>
      <c r="AA772" s="117">
        <v>0.41388888888888886</v>
      </c>
      <c r="AB772" s="155">
        <v>86.5</v>
      </c>
      <c r="AC772" s="155">
        <v>15.7</v>
      </c>
      <c r="AD772" s="96"/>
      <c r="AE772" s="94">
        <f>Table3.110[[#This Row],[Gas 8h, ml]]-Table3.110[[#This Row],[Gas 0h, ml]]</f>
        <v>44</v>
      </c>
      <c r="AF772" s="94">
        <f>Table3.110[[#This Row],[Gas 24h, ml]]-Table3.110[[#This Row],[V8 Push back, ml]]</f>
        <v>46</v>
      </c>
      <c r="AG772" s="94">
        <f>Table3.110[[#This Row],[GP 8h, ml]]-AVERAGE(AE$664,AE$665,AE$726,AE$727,AE$788,AE$789)*$AG$8</f>
        <v>42.156235924806332</v>
      </c>
      <c r="AH772" s="94">
        <f>Table3.110[[#This Row],[GP 8-24h, ml]]-AVERAGE(AF$664,AF$665,AF$726,AF$727,AF$788,AF$789)*$AG$8</f>
        <v>43.676857265255975</v>
      </c>
      <c r="AI772" s="94">
        <f>Table3.110[[#This Row],[Net gas 8-24h, ml]]+Table3.110[[#This Row],[Net gas 8h, ml]]</f>
        <v>85.8330931900623</v>
      </c>
      <c r="AJ772" s="94">
        <f>Table3.110[[#This Row],[Net gas 8h, ml]]*Table3.110[[#This Row],[CH4 8h %]]%</f>
        <v>4.8479671313527284</v>
      </c>
      <c r="AK772" s="94">
        <f>Table3.110[[#This Row],[Net gas 8-24h, ml]]*Table3.110[[#This Row],[CH4 24h, %]]%</f>
        <v>6.857266590645188</v>
      </c>
      <c r="AL772" s="94">
        <f>Table3.110[[#This Row],[CH4 8-24h, ml]]+Table3.110[[#This Row],[CH4 8h, ml]]</f>
        <v>11.705233721997917</v>
      </c>
      <c r="AM772" s="94">
        <f>(Table3.110[[#This Row],[Net gas 24h, ml]]/Table3.110[[#This Row],[DM Incubated, mg]])*1000</f>
        <v>187.16077128666481</v>
      </c>
      <c r="AN772" s="94">
        <f>'3.2 Digest'!X772</f>
        <v>53.227847268543172</v>
      </c>
      <c r="AO772" s="94">
        <f>Table3.110[[#This Row],[Digested feed, mg]]/Table3.110[[#This Row],[Net gas 24h, ml]]</f>
        <v>2.8439638767579525</v>
      </c>
      <c r="AP772" s="94">
        <f>Table3.110[[#This Row],[CH4 8h, ml]]/Table3.110[[#This Row],[Net gas 8h, ml]]%</f>
        <v>11.500000000000002</v>
      </c>
      <c r="AQ772" s="94">
        <f>Table3.110[[#This Row],[CH4 24h, ml]]/Table3.110[[#This Row],[Net gas 24h, ml]]%</f>
        <v>13.637203655329925</v>
      </c>
      <c r="AR772" s="94">
        <f>Table3.110[[#This Row],[CH4 24h, ml]]/Table3.110[[#This Row],[DM Incubated, mg]]*1000</f>
        <v>25.523495543248735</v>
      </c>
      <c r="AS772" s="94">
        <f>Table3.110[[#This Row],[CH4 24h, ml]]/Table3.110[[#This Row],[Digested feed, mg]]*1000</f>
        <v>47.951395468763813</v>
      </c>
      <c r="AT772" s="94">
        <f>Table3.110[[#This Row],[CH4 24h, ml]]/'3.2 Digest'!AA772</f>
        <v>0.49876353790888006</v>
      </c>
      <c r="AU772" s="94">
        <f>((Table3.110[[#This Row],[CH4 24h, ml]]/28.9)*16.04)/Table3.110[[#This Row],[DM Incubated, mg]]*1000</f>
        <v>14.165981609470926</v>
      </c>
      <c r="AV772" s="94">
        <f>((Table3.110[[#This Row],[CH4 24h, ml]]/28.9)*16.04)/Table3.110[[#This Row],[Digested feed, mg]]*1000</f>
        <v>26.613854094082065</v>
      </c>
      <c r="AW772" s="303"/>
    </row>
    <row r="773" spans="1:49" s="304" customFormat="1" x14ac:dyDescent="0.35">
      <c r="A773" s="89"/>
      <c r="B773" s="90">
        <f t="shared" si="11"/>
        <v>763</v>
      </c>
      <c r="C773" s="140">
        <v>46076</v>
      </c>
      <c r="D773" s="92" t="s">
        <v>16</v>
      </c>
      <c r="E773" s="6" t="s">
        <v>296</v>
      </c>
      <c r="F773" s="242" t="s">
        <v>240</v>
      </c>
      <c r="G773" s="242" t="s">
        <v>297</v>
      </c>
      <c r="H773" s="6" t="str">
        <f>'[2]1. Information samples'!$K$68</f>
        <v>Stylosanthes sympodialis</v>
      </c>
      <c r="I773" s="6" t="s">
        <v>22</v>
      </c>
      <c r="J773" s="129" t="s">
        <v>23</v>
      </c>
      <c r="K773" s="129" t="s">
        <v>24</v>
      </c>
      <c r="L773" s="6" t="s">
        <v>295</v>
      </c>
      <c r="M773" s="256">
        <v>28</v>
      </c>
      <c r="N773" s="256">
        <v>69</v>
      </c>
      <c r="O773" s="256">
        <v>3</v>
      </c>
      <c r="P773" s="257">
        <v>2</v>
      </c>
      <c r="Q773" s="96">
        <v>182</v>
      </c>
      <c r="R773" s="98">
        <v>0.50019999999999998</v>
      </c>
      <c r="S773" s="94">
        <f>((Table3.110[[#This Row],[Sample weight, g]]*'2.1. DM'!Q181)/100)*1000</f>
        <v>458.78965894952137</v>
      </c>
      <c r="T773" s="94">
        <f>'3.2 Digest'!W773</f>
        <v>224.28965894952134</v>
      </c>
      <c r="U773" s="153">
        <v>0.36666666666666664</v>
      </c>
      <c r="V773" s="155">
        <v>40.5</v>
      </c>
      <c r="W773" s="153">
        <v>0.7368055555555556</v>
      </c>
      <c r="X773" s="91">
        <v>83.5</v>
      </c>
      <c r="Y773" s="91">
        <v>11.4</v>
      </c>
      <c r="Z773" s="154">
        <v>40</v>
      </c>
      <c r="AA773" s="153">
        <v>0.41388888888888886</v>
      </c>
      <c r="AB773" s="154">
        <v>84.5</v>
      </c>
      <c r="AC773" s="154">
        <v>15.6</v>
      </c>
      <c r="AD773" s="91"/>
      <c r="AE773" s="94">
        <f>Table3.110[[#This Row],[Gas 8h, ml]]-Table3.110[[#This Row],[Gas 0h, ml]]</f>
        <v>43</v>
      </c>
      <c r="AF773" s="94">
        <f>Table3.110[[#This Row],[Gas 24h, ml]]-Table3.110[[#This Row],[V8 Push back, ml]]</f>
        <v>44.5</v>
      </c>
      <c r="AG773" s="94">
        <f>Table3.110[[#This Row],[GP 8h, ml]]-AVERAGE(AE$664,AE$665,AE$726,AE$727,AE$788,AE$789)*$AG$8</f>
        <v>41.156235924806332</v>
      </c>
      <c r="AH773" s="94">
        <f>Table3.110[[#This Row],[GP 8-24h, ml]]-AVERAGE(AF$664,AF$665,AF$726,AF$727,AF$788,AF$789)*$AG$8</f>
        <v>42.176857265255975</v>
      </c>
      <c r="AI773" s="94">
        <f>Table3.110[[#This Row],[Net gas 8-24h, ml]]+Table3.110[[#This Row],[Net gas 8h, ml]]</f>
        <v>83.3330931900623</v>
      </c>
      <c r="AJ773" s="94">
        <f>Table3.110[[#This Row],[Net gas 8h, ml]]*Table3.110[[#This Row],[CH4 8h %]]%</f>
        <v>4.6918108954279223</v>
      </c>
      <c r="AK773" s="94">
        <f>Table3.110[[#This Row],[Net gas 8-24h, ml]]*Table3.110[[#This Row],[CH4 24h, %]]%</f>
        <v>6.5795897333799322</v>
      </c>
      <c r="AL773" s="94">
        <f>Table3.110[[#This Row],[CH4 8-24h, ml]]+Table3.110[[#This Row],[CH4 8h, ml]]</f>
        <v>11.271400628807854</v>
      </c>
      <c r="AM773" s="94">
        <f>(Table3.110[[#This Row],[Net gas 24h, ml]]/Table3.110[[#This Row],[DM Incubated, mg]])*1000</f>
        <v>181.63681670783055</v>
      </c>
      <c r="AN773" s="94">
        <f>'3.2 Digest'!X773</f>
        <v>48.887252485827929</v>
      </c>
      <c r="AO773" s="94">
        <f>Table3.110[[#This Row],[Digested feed, mg]]/Table3.110[[#This Row],[Net gas 24h, ml]]</f>
        <v>2.6914836634945467</v>
      </c>
      <c r="AP773" s="94">
        <f>Table3.110[[#This Row],[CH4 8h, ml]]/Table3.110[[#This Row],[Net gas 8h, ml]]%</f>
        <v>11.4</v>
      </c>
      <c r="AQ773" s="94">
        <f>Table3.110[[#This Row],[CH4 24h, ml]]/Table3.110[[#This Row],[Net gas 24h, ml]]%</f>
        <v>13.525719731896379</v>
      </c>
      <c r="AR773" s="94">
        <f>Table3.110[[#This Row],[CH4 24h, ml]]/Table3.110[[#This Row],[DM Incubated, mg]]*1000</f>
        <v>24.567686757839493</v>
      </c>
      <c r="AS773" s="94">
        <f>Table3.110[[#This Row],[CH4 24h, ml]]/Table3.110[[#This Row],[Digested feed, mg]]*1000</f>
        <v>50.253768638279467</v>
      </c>
      <c r="AT773" s="94">
        <f>Table3.110[[#This Row],[CH4 24h, ml]]/'3.2 Digest'!AA773</f>
        <v>0.68870190098305084</v>
      </c>
      <c r="AU773" s="94">
        <f>((Table3.110[[#This Row],[CH4 24h, ml]]/28.9)*16.04)/Table3.110[[#This Row],[DM Incubated, mg]]*1000</f>
        <v>13.635491197084619</v>
      </c>
      <c r="AV773" s="94">
        <f>((Table3.110[[#This Row],[CH4 24h, ml]]/28.9)*16.04)/Table3.110[[#This Row],[Digested feed, mg]]*1000</f>
        <v>27.891711036609092</v>
      </c>
      <c r="AW773" s="303"/>
    </row>
    <row r="774" spans="1:49" s="304" customFormat="1" x14ac:dyDescent="0.35">
      <c r="A774" s="89"/>
      <c r="B774" s="90">
        <f t="shared" si="11"/>
        <v>764</v>
      </c>
      <c r="C774" s="140">
        <v>46076</v>
      </c>
      <c r="D774" s="92" t="s">
        <v>16</v>
      </c>
      <c r="E774" s="6" t="s">
        <v>300</v>
      </c>
      <c r="F774" s="242" t="s">
        <v>212</v>
      </c>
      <c r="G774" s="242" t="s">
        <v>301</v>
      </c>
      <c r="H774" s="6" t="str">
        <f>'[2]1. Information samples'!$K$69</f>
        <v>Desmodium tortuosum</v>
      </c>
      <c r="I774" s="6" t="s">
        <v>22</v>
      </c>
      <c r="J774" s="129" t="s">
        <v>23</v>
      </c>
      <c r="K774" s="129" t="s">
        <v>24</v>
      </c>
      <c r="L774" s="6" t="s">
        <v>299</v>
      </c>
      <c r="M774" s="256">
        <v>28</v>
      </c>
      <c r="N774" s="256">
        <v>69</v>
      </c>
      <c r="O774" s="256">
        <v>3</v>
      </c>
      <c r="P774" s="257">
        <v>1</v>
      </c>
      <c r="Q774" s="96">
        <v>183</v>
      </c>
      <c r="R774" s="98">
        <v>0.50029999999999997</v>
      </c>
      <c r="S774" s="94">
        <f>((Table3.110[[#This Row],[Sample weight, g]]*'2.1. DM'!Q183)/100)*1000</f>
        <v>458.6062602118111</v>
      </c>
      <c r="T774" s="94">
        <f>'3.2 Digest'!W774</f>
        <v>190.10626021181116</v>
      </c>
      <c r="U774" s="153">
        <v>0.36666666666666664</v>
      </c>
      <c r="V774" s="155">
        <v>40.5</v>
      </c>
      <c r="W774" s="153">
        <v>0.73750000000000004</v>
      </c>
      <c r="X774" s="91">
        <v>86.5</v>
      </c>
      <c r="Y774" s="91">
        <v>12.5</v>
      </c>
      <c r="Z774" s="154">
        <v>40</v>
      </c>
      <c r="AA774" s="153">
        <v>0.41388888888888886</v>
      </c>
      <c r="AB774" s="154">
        <v>85</v>
      </c>
      <c r="AC774" s="154">
        <v>16.2</v>
      </c>
      <c r="AD774" s="91"/>
      <c r="AE774" s="94">
        <f>Table3.110[[#This Row],[Gas 8h, ml]]-Table3.110[[#This Row],[Gas 0h, ml]]</f>
        <v>46</v>
      </c>
      <c r="AF774" s="94">
        <f>Table3.110[[#This Row],[Gas 24h, ml]]-Table3.110[[#This Row],[V8 Push back, ml]]</f>
        <v>45</v>
      </c>
      <c r="AG774" s="94">
        <f>Table3.110[[#This Row],[GP 8h, ml]]-AVERAGE(AE$664,AE$665,AE$726,AE$727,AE$788,AE$789)*$AG$8</f>
        <v>44.156235924806332</v>
      </c>
      <c r="AH774" s="94">
        <f>Table3.110[[#This Row],[GP 8-24h, ml]]-AVERAGE(AF$664,AF$665,AF$726,AF$727,AF$788,AF$789)*$AG$8</f>
        <v>42.676857265255975</v>
      </c>
      <c r="AI774" s="94">
        <f>Table3.110[[#This Row],[Net gas 8-24h, ml]]+Table3.110[[#This Row],[Net gas 8h, ml]]</f>
        <v>86.8330931900623</v>
      </c>
      <c r="AJ774" s="94">
        <f>Table3.110[[#This Row],[Net gas 8h, ml]]*Table3.110[[#This Row],[CH4 8h %]]%</f>
        <v>5.5195294906007915</v>
      </c>
      <c r="AK774" s="94">
        <f>Table3.110[[#This Row],[Net gas 8-24h, ml]]*Table3.110[[#This Row],[CH4 24h, %]]%</f>
        <v>6.9136508769714684</v>
      </c>
      <c r="AL774" s="94">
        <f>Table3.110[[#This Row],[CH4 8-24h, ml]]+Table3.110[[#This Row],[CH4 8h, ml]]</f>
        <v>12.433180367572259</v>
      </c>
      <c r="AM774" s="94">
        <f>(Table3.110[[#This Row],[Net gas 24h, ml]]/Table3.110[[#This Row],[DM Incubated, mg]])*1000</f>
        <v>189.34127316525883</v>
      </c>
      <c r="AN774" s="94">
        <f>'3.2 Digest'!X774</f>
        <v>41.453045173000689</v>
      </c>
      <c r="AO774" s="94">
        <f>Table3.110[[#This Row],[Digested feed, mg]]/Table3.110[[#This Row],[Net gas 24h, ml]]</f>
        <v>2.1893295888435316</v>
      </c>
      <c r="AP774" s="94">
        <f>Table3.110[[#This Row],[CH4 8h, ml]]/Table3.110[[#This Row],[Net gas 8h, ml]]%</f>
        <v>12.5</v>
      </c>
      <c r="AQ774" s="94">
        <f>Table3.110[[#This Row],[CH4 24h, ml]]/Table3.110[[#This Row],[Net gas 24h, ml]]%</f>
        <v>14.318481480739402</v>
      </c>
      <c r="AR774" s="94">
        <f>Table3.110[[#This Row],[CH4 24h, ml]]/Table3.110[[#This Row],[DM Incubated, mg]]*1000</f>
        <v>27.110795133563791</v>
      </c>
      <c r="AS774" s="94">
        <f>Table3.110[[#This Row],[CH4 24h, ml]]/Table3.110[[#This Row],[Digested feed, mg]]*1000</f>
        <v>65.40121484542145</v>
      </c>
      <c r="AT774" s="94">
        <f>Table3.110[[#This Row],[CH4 24h, ml]]/'3.2 Digest'!AA774</f>
        <v>-0.80563057258461623</v>
      </c>
      <c r="AU774" s="94">
        <f>((Table3.110[[#This Row],[CH4 24h, ml]]/28.9)*16.04)/Table3.110[[#This Row],[DM Incubated, mg]]*1000</f>
        <v>15.046960344026409</v>
      </c>
      <c r="AV774" s="94">
        <f>((Table3.110[[#This Row],[CH4 24h, ml]]/28.9)*16.04)/Table3.110[[#This Row],[Digested feed, mg]]*1000</f>
        <v>36.298805748116273</v>
      </c>
      <c r="AW774" s="303"/>
    </row>
    <row r="775" spans="1:49" s="304" customFormat="1" x14ac:dyDescent="0.35">
      <c r="A775" s="89"/>
      <c r="B775" s="90">
        <f t="shared" si="11"/>
        <v>765</v>
      </c>
      <c r="C775" s="140">
        <v>46076</v>
      </c>
      <c r="D775" s="92" t="s">
        <v>16</v>
      </c>
      <c r="E775" s="6" t="s">
        <v>300</v>
      </c>
      <c r="F775" s="242" t="s">
        <v>212</v>
      </c>
      <c r="G775" s="242" t="s">
        <v>301</v>
      </c>
      <c r="H775" s="6" t="str">
        <f>'[2]1. Information samples'!$K$69</f>
        <v>Desmodium tortuosum</v>
      </c>
      <c r="I775" s="6" t="s">
        <v>22</v>
      </c>
      <c r="J775" s="129" t="s">
        <v>23</v>
      </c>
      <c r="K775" s="129" t="s">
        <v>24</v>
      </c>
      <c r="L775" s="6" t="s">
        <v>299</v>
      </c>
      <c r="M775" s="256">
        <v>28</v>
      </c>
      <c r="N775" s="256">
        <v>69</v>
      </c>
      <c r="O775" s="256">
        <v>3</v>
      </c>
      <c r="P775" s="257">
        <v>2</v>
      </c>
      <c r="Q775" s="96">
        <v>184</v>
      </c>
      <c r="R775" s="98">
        <v>0.50039999999999996</v>
      </c>
      <c r="S775" s="94">
        <f>((Table3.110[[#This Row],[Sample weight, g]]*'2.1. DM'!Q183)/100)*1000</f>
        <v>458.69792646410212</v>
      </c>
      <c r="T775" s="94">
        <f>'3.2 Digest'!W775</f>
        <v>175.99792646410219</v>
      </c>
      <c r="U775" s="117">
        <v>0.36736111111111114</v>
      </c>
      <c r="V775" s="155">
        <v>41</v>
      </c>
      <c r="W775" s="117">
        <v>0.73750000000000004</v>
      </c>
      <c r="X775" s="96">
        <v>85</v>
      </c>
      <c r="Y775" s="96">
        <v>12.1</v>
      </c>
      <c r="Z775" s="155">
        <v>40.5</v>
      </c>
      <c r="AA775" s="117">
        <v>0.41458333333333336</v>
      </c>
      <c r="AB775" s="155">
        <v>85.5</v>
      </c>
      <c r="AC775" s="155">
        <v>16.7</v>
      </c>
      <c r="AD775" s="96"/>
      <c r="AE775" s="94">
        <f>Table3.110[[#This Row],[Gas 8h, ml]]-Table3.110[[#This Row],[Gas 0h, ml]]</f>
        <v>44</v>
      </c>
      <c r="AF775" s="94">
        <f>Table3.110[[#This Row],[Gas 24h, ml]]-Table3.110[[#This Row],[V8 Push back, ml]]</f>
        <v>45</v>
      </c>
      <c r="AG775" s="94">
        <f>Table3.110[[#This Row],[GP 8h, ml]]-AVERAGE(AE$664,AE$665,AE$726,AE$727,AE$788,AE$789)*$AG$8</f>
        <v>42.156235924806332</v>
      </c>
      <c r="AH775" s="94">
        <f>Table3.110[[#This Row],[GP 8-24h, ml]]-AVERAGE(AF$664,AF$665,AF$726,AF$727,AF$788,AF$789)*$AG$8</f>
        <v>42.676857265255975</v>
      </c>
      <c r="AI775" s="94">
        <f>Table3.110[[#This Row],[Net gas 8-24h, ml]]+Table3.110[[#This Row],[Net gas 8h, ml]]</f>
        <v>84.8330931900623</v>
      </c>
      <c r="AJ775" s="94">
        <f>Table3.110[[#This Row],[Net gas 8h, ml]]*Table3.110[[#This Row],[CH4 8h %]]%</f>
        <v>5.1009045469015657</v>
      </c>
      <c r="AK775" s="94">
        <f>Table3.110[[#This Row],[Net gas 8-24h, ml]]*Table3.110[[#This Row],[CH4 24h, %]]%</f>
        <v>7.1270351632977471</v>
      </c>
      <c r="AL775" s="94">
        <f>Table3.110[[#This Row],[CH4 8-24h, ml]]+Table3.110[[#This Row],[CH4 8h, ml]]</f>
        <v>12.227939710199312</v>
      </c>
      <c r="AM775" s="94">
        <f>(Table3.110[[#This Row],[Net gas 24h, ml]]/Table3.110[[#This Row],[DM Incubated, mg]])*1000</f>
        <v>184.94326722599948</v>
      </c>
      <c r="AN775" s="94">
        <f>'3.2 Digest'!X775</f>
        <v>38.369025955881639</v>
      </c>
      <c r="AO775" s="94">
        <f>Table3.110[[#This Row],[Digested feed, mg]]/Table3.110[[#This Row],[Net gas 24h, ml]]</f>
        <v>2.0746376189512716</v>
      </c>
      <c r="AP775" s="94">
        <f>Table3.110[[#This Row],[CH4 8h, ml]]/Table3.110[[#This Row],[Net gas 8h, ml]]%</f>
        <v>12.1</v>
      </c>
      <c r="AQ775" s="94">
        <f>Table3.110[[#This Row],[CH4 24h, ml]]/Table3.110[[#This Row],[Net gas 24h, ml]]%</f>
        <v>14.414115117556202</v>
      </c>
      <c r="AR775" s="94">
        <f>Table3.110[[#This Row],[CH4 24h, ml]]/Table3.110[[#This Row],[DM Incubated, mg]]*1000</f>
        <v>26.657935440125158</v>
      </c>
      <c r="AS775" s="94">
        <f>Table3.110[[#This Row],[CH4 24h, ml]]/Table3.110[[#This Row],[Digested feed, mg]]*1000</f>
        <v>69.477748720485138</v>
      </c>
      <c r="AT775" s="94">
        <f>Table3.110[[#This Row],[CH4 24h, ml]]/'3.2 Digest'!AA775</f>
        <v>-0.56838722501203487</v>
      </c>
      <c r="AU775" s="94">
        <f>((Table3.110[[#This Row],[CH4 24h, ml]]/28.9)*16.04)/Table3.110[[#This Row],[DM Incubated, mg]]*1000</f>
        <v>14.795615379225175</v>
      </c>
      <c r="AV775" s="94">
        <f>((Table3.110[[#This Row],[CH4 24h, ml]]/28.9)*16.04)/Table3.110[[#This Row],[Digested feed, mg]]*1000</f>
        <v>38.561352577044346</v>
      </c>
      <c r="AW775" s="303"/>
    </row>
    <row r="776" spans="1:49" s="304" customFormat="1" x14ac:dyDescent="0.35">
      <c r="A776" s="89"/>
      <c r="B776" s="90">
        <f t="shared" si="11"/>
        <v>766</v>
      </c>
      <c r="C776" s="140">
        <v>46076</v>
      </c>
      <c r="D776" s="92" t="s">
        <v>16</v>
      </c>
      <c r="E776" s="6" t="s">
        <v>305</v>
      </c>
      <c r="F776" s="242" t="s">
        <v>212</v>
      </c>
      <c r="G776" s="242" t="s">
        <v>301</v>
      </c>
      <c r="H776" s="6" t="str">
        <f>'[2]1. Information samples'!$K$70</f>
        <v>Desmodium tortuosum</v>
      </c>
      <c r="I776" s="6" t="s">
        <v>22</v>
      </c>
      <c r="J776" s="129" t="s">
        <v>23</v>
      </c>
      <c r="K776" s="129" t="s">
        <v>24</v>
      </c>
      <c r="L776" s="6" t="s">
        <v>304</v>
      </c>
      <c r="M776" s="256">
        <v>28</v>
      </c>
      <c r="N776" s="256">
        <v>69</v>
      </c>
      <c r="O776" s="256">
        <v>3</v>
      </c>
      <c r="P776" s="257">
        <v>1</v>
      </c>
      <c r="Q776" s="96">
        <v>185</v>
      </c>
      <c r="R776" s="98">
        <v>0.50009999999999999</v>
      </c>
      <c r="S776" s="262">
        <f>((Table3.110[[#This Row],[Sample weight, g]]*'2.1. DM'!Q185)/100)*1000</f>
        <v>459.15203438968319</v>
      </c>
      <c r="T776" s="94">
        <f>'3.2 Digest'!W776</f>
        <v>188.35203438968313</v>
      </c>
      <c r="U776" s="117">
        <v>0.36736111111111114</v>
      </c>
      <c r="V776" s="155">
        <v>40.5</v>
      </c>
      <c r="W776" s="117">
        <v>0.73819444444444449</v>
      </c>
      <c r="X776" s="96">
        <v>83.5</v>
      </c>
      <c r="Y776" s="96">
        <v>14.4</v>
      </c>
      <c r="Z776" s="155">
        <v>40</v>
      </c>
      <c r="AA776" s="117">
        <v>0.41458333333333336</v>
      </c>
      <c r="AB776" s="155">
        <v>74</v>
      </c>
      <c r="AC776" s="155">
        <v>17.2</v>
      </c>
      <c r="AD776" s="96"/>
      <c r="AE776" s="94">
        <f>Table3.110[[#This Row],[Gas 8h, ml]]-Table3.110[[#This Row],[Gas 0h, ml]]</f>
        <v>43</v>
      </c>
      <c r="AF776" s="94">
        <f>Table3.110[[#This Row],[Gas 24h, ml]]-Table3.110[[#This Row],[V8 Push back, ml]]</f>
        <v>34</v>
      </c>
      <c r="AG776" s="94">
        <f>Table3.110[[#This Row],[GP 8h, ml]]-AVERAGE(AE$664,AE$665,AE$726,AE$727,AE$788,AE$789)*$AG$8</f>
        <v>41.156235924806332</v>
      </c>
      <c r="AH776" s="94">
        <f>Table3.110[[#This Row],[GP 8-24h, ml]]-AVERAGE(AF$664,AF$665,AF$726,AF$727,AF$788,AF$789)*$AG$8</f>
        <v>31.676857265255975</v>
      </c>
      <c r="AI776" s="94">
        <f>Table3.110[[#This Row],[Net gas 8-24h, ml]]+Table3.110[[#This Row],[Net gas 8h, ml]]</f>
        <v>72.8330931900623</v>
      </c>
      <c r="AJ776" s="94">
        <f>Table3.110[[#This Row],[Net gas 8h, ml]]*Table3.110[[#This Row],[CH4 8h %]]%</f>
        <v>5.9264979731721121</v>
      </c>
      <c r="AK776" s="94">
        <f>Table3.110[[#This Row],[Net gas 8-24h, ml]]*Table3.110[[#This Row],[CH4 24h, %]]%</f>
        <v>5.4484194496240272</v>
      </c>
      <c r="AL776" s="94">
        <f>Table3.110[[#This Row],[CH4 8-24h, ml]]+Table3.110[[#This Row],[CH4 8h, ml]]</f>
        <v>11.374917422796139</v>
      </c>
      <c r="AM776" s="94">
        <f>(Table3.110[[#This Row],[Net gas 24h, ml]]/Table3.110[[#This Row],[DM Incubated, mg]])*1000</f>
        <v>158.62522157148655</v>
      </c>
      <c r="AN776" s="94">
        <f>'3.2 Digest'!X776</f>
        <v>41.021714003738552</v>
      </c>
      <c r="AO776" s="94">
        <f>Table3.110[[#This Row],[Digested feed, mg]]/Table3.110[[#This Row],[Net gas 24h, ml]]</f>
        <v>2.5860776487711057</v>
      </c>
      <c r="AP776" s="94">
        <f>Table3.110[[#This Row],[CH4 8h, ml]]/Table3.110[[#This Row],[Net gas 8h, ml]]%</f>
        <v>14.4</v>
      </c>
      <c r="AQ776" s="94">
        <f>Table3.110[[#This Row],[CH4 24h, ml]]/Table3.110[[#This Row],[Net gas 24h, ml]]%</f>
        <v>15.617787086307887</v>
      </c>
      <c r="AR776" s="94">
        <f>Table3.110[[#This Row],[CH4 24h, ml]]/Table3.110[[#This Row],[DM Incubated, mg]]*1000</f>
        <v>24.773749370218898</v>
      </c>
      <c r="AS776" s="94">
        <f>Table3.110[[#This Row],[CH4 24h, ml]]/Table3.110[[#This Row],[Digested feed, mg]]*1000</f>
        <v>60.391794862499211</v>
      </c>
      <c r="AT776" s="94">
        <f>Table3.110[[#This Row],[CH4 24h, ml]]/'3.2 Digest'!AA776</f>
        <v>-0.66067850955562824</v>
      </c>
      <c r="AU776" s="94">
        <f>((Table3.110[[#This Row],[CH4 24h, ml]]/28.9)*16.04)/Table3.110[[#This Row],[DM Incubated, mg]]*1000</f>
        <v>13.749859512052286</v>
      </c>
      <c r="AV776" s="94">
        <f>((Table3.110[[#This Row],[CH4 24h, ml]]/28.9)*16.04)/Table3.110[[#This Row],[Digested feed, mg]]*1000</f>
        <v>33.518490989428621</v>
      </c>
      <c r="AW776" s="303"/>
    </row>
    <row r="777" spans="1:49" s="304" customFormat="1" x14ac:dyDescent="0.35">
      <c r="A777" s="89"/>
      <c r="B777" s="90">
        <f t="shared" si="11"/>
        <v>767</v>
      </c>
      <c r="C777" s="140">
        <v>46076</v>
      </c>
      <c r="D777" s="92" t="s">
        <v>16</v>
      </c>
      <c r="E777" s="6" t="s">
        <v>305</v>
      </c>
      <c r="F777" s="242" t="s">
        <v>212</v>
      </c>
      <c r="G777" s="242" t="s">
        <v>301</v>
      </c>
      <c r="H777" s="6" t="str">
        <f>'[2]1. Information samples'!$K$70</f>
        <v>Desmodium tortuosum</v>
      </c>
      <c r="I777" s="6" t="s">
        <v>22</v>
      </c>
      <c r="J777" s="129" t="s">
        <v>23</v>
      </c>
      <c r="K777" s="129" t="s">
        <v>24</v>
      </c>
      <c r="L777" s="6" t="s">
        <v>304</v>
      </c>
      <c r="M777" s="256">
        <v>28</v>
      </c>
      <c r="N777" s="256">
        <v>69</v>
      </c>
      <c r="O777" s="256">
        <v>3</v>
      </c>
      <c r="P777" s="257">
        <v>2</v>
      </c>
      <c r="Q777" s="96">
        <v>186</v>
      </c>
      <c r="R777" s="98">
        <v>0.5</v>
      </c>
      <c r="S777" s="94">
        <f>((Table3.110[[#This Row],[Sample weight, g]]*'2.1. DM'!Q185)/100)*1000</f>
        <v>459.06022234521413</v>
      </c>
      <c r="T777" s="94">
        <f>'3.2 Digest'!W777</f>
        <v>224.16022234521412</v>
      </c>
      <c r="U777" s="153">
        <v>0.36736111111111114</v>
      </c>
      <c r="V777" s="155">
        <v>41</v>
      </c>
      <c r="W777" s="153">
        <v>0.73888888888888893</v>
      </c>
      <c r="X777" s="91">
        <v>83.5</v>
      </c>
      <c r="Y777" s="91">
        <v>14.4</v>
      </c>
      <c r="Z777" s="154">
        <v>40.5</v>
      </c>
      <c r="AA777" s="153">
        <v>0.41597222222222224</v>
      </c>
      <c r="AB777" s="154">
        <v>75.5</v>
      </c>
      <c r="AC777" s="154">
        <v>17</v>
      </c>
      <c r="AD777" s="91"/>
      <c r="AE777" s="94">
        <f>Table3.110[[#This Row],[Gas 8h, ml]]-Table3.110[[#This Row],[Gas 0h, ml]]</f>
        <v>42.5</v>
      </c>
      <c r="AF777" s="94">
        <f>Table3.110[[#This Row],[Gas 24h, ml]]-Table3.110[[#This Row],[V8 Push back, ml]]</f>
        <v>35</v>
      </c>
      <c r="AG777" s="94">
        <f>Table3.110[[#This Row],[GP 8h, ml]]-AVERAGE(AE$664,AE$665,AE$726,AE$727,AE$788,AE$789)*$AG$8</f>
        <v>40.656235924806332</v>
      </c>
      <c r="AH777" s="94">
        <f>Table3.110[[#This Row],[GP 8-24h, ml]]-AVERAGE(AF$664,AF$665,AF$726,AF$727,AF$788,AF$789)*$AG$8</f>
        <v>32.676857265255975</v>
      </c>
      <c r="AI777" s="94">
        <f>Table3.110[[#This Row],[Net gas 8-24h, ml]]+Table3.110[[#This Row],[Net gas 8h, ml]]</f>
        <v>73.3330931900623</v>
      </c>
      <c r="AJ777" s="94">
        <f>Table3.110[[#This Row],[Net gas 8h, ml]]*Table3.110[[#This Row],[CH4 8h %]]%</f>
        <v>5.8544979731721121</v>
      </c>
      <c r="AK777" s="94">
        <f>Table3.110[[#This Row],[Net gas 8-24h, ml]]*Table3.110[[#This Row],[CH4 24h, %]]%</f>
        <v>5.5550657350935166</v>
      </c>
      <c r="AL777" s="94">
        <f>Table3.110[[#This Row],[CH4 8-24h, ml]]+Table3.110[[#This Row],[CH4 8h, ml]]</f>
        <v>11.40956370826563</v>
      </c>
      <c r="AM777" s="94">
        <f>(Table3.110[[#This Row],[Net gas 24h, ml]]/Table3.110[[#This Row],[DM Incubated, mg]])*1000</f>
        <v>159.74612833022957</v>
      </c>
      <c r="AN777" s="94">
        <f>'3.2 Digest'!X777</f>
        <v>48.830243056137675</v>
      </c>
      <c r="AO777" s="94">
        <f>Table3.110[[#This Row],[Digested feed, mg]]/Table3.110[[#This Row],[Net gas 24h, ml]]</f>
        <v>3.0567403145567993</v>
      </c>
      <c r="AP777" s="94">
        <f>Table3.110[[#This Row],[CH4 8h, ml]]/Table3.110[[#This Row],[Net gas 8h, ml]]%</f>
        <v>14.4</v>
      </c>
      <c r="AQ777" s="94">
        <f>Table3.110[[#This Row],[CH4 24h, ml]]/Table3.110[[#This Row],[Net gas 24h, ml]]%</f>
        <v>15.558546915094249</v>
      </c>
      <c r="AR777" s="94">
        <f>Table3.110[[#This Row],[CH4 24h, ml]]/Table3.110[[#This Row],[DM Incubated, mg]]*1000</f>
        <v>24.854176321305435</v>
      </c>
      <c r="AS777" s="94">
        <f>Table3.110[[#This Row],[CH4 24h, ml]]/Table3.110[[#This Row],[Digested feed, mg]]*1000</f>
        <v>50.899145213616563</v>
      </c>
      <c r="AT777" s="94">
        <f>Table3.110[[#This Row],[CH4 24h, ml]]/'3.2 Digest'!AA777</f>
        <v>-6.7198915043128391</v>
      </c>
      <c r="AU777" s="94">
        <f>((Table3.110[[#This Row],[CH4 24h, ml]]/28.9)*16.04)/Table3.110[[#This Row],[DM Incubated, mg]]*1000</f>
        <v>13.79449786137506</v>
      </c>
      <c r="AV777" s="94">
        <f>((Table3.110[[#This Row],[CH4 24h, ml]]/28.9)*16.04)/Table3.110[[#This Row],[Digested feed, mg]]*1000</f>
        <v>28.249906201605871</v>
      </c>
      <c r="AW777" s="303"/>
    </row>
    <row r="778" spans="1:49" s="304" customFormat="1" x14ac:dyDescent="0.35">
      <c r="A778" s="89"/>
      <c r="B778" s="90">
        <f t="shared" si="11"/>
        <v>768</v>
      </c>
      <c r="C778" s="140">
        <v>46076</v>
      </c>
      <c r="D778" s="92" t="s">
        <v>16</v>
      </c>
      <c r="E778" s="6" t="s">
        <v>307</v>
      </c>
      <c r="F778" s="242" t="s">
        <v>212</v>
      </c>
      <c r="G778" s="242" t="s">
        <v>213</v>
      </c>
      <c r="H778" s="6" t="str">
        <f>'[2]1. Information samples'!$K$71</f>
        <v>Desmodium scorpiurus</v>
      </c>
      <c r="I778" s="6" t="s">
        <v>22</v>
      </c>
      <c r="J778" s="129" t="s">
        <v>23</v>
      </c>
      <c r="K778" s="129" t="s">
        <v>24</v>
      </c>
      <c r="L778" s="6" t="s">
        <v>306</v>
      </c>
      <c r="M778" s="256">
        <v>28</v>
      </c>
      <c r="N778" s="256">
        <v>69</v>
      </c>
      <c r="O778" s="256">
        <v>3</v>
      </c>
      <c r="P778" s="257">
        <v>1</v>
      </c>
      <c r="Q778" s="96">
        <v>187</v>
      </c>
      <c r="R778" s="98">
        <v>0.5</v>
      </c>
      <c r="S778" s="94">
        <f>((Table3.110[[#This Row],[Sample weight, g]]*'2.1. DM'!Q187)/100)*1000</f>
        <v>453.54357571419951</v>
      </c>
      <c r="T778" s="94">
        <f>'3.2 Digest'!W778</f>
        <v>69.84357571419946</v>
      </c>
      <c r="U778" s="153">
        <v>0.36736111111111114</v>
      </c>
      <c r="V778" s="155">
        <v>40.5</v>
      </c>
      <c r="W778" s="153">
        <v>0.73958333333333337</v>
      </c>
      <c r="X778" s="91">
        <v>78</v>
      </c>
      <c r="Y778" s="91">
        <v>14.7</v>
      </c>
      <c r="Z778" s="154">
        <v>40</v>
      </c>
      <c r="AA778" s="153">
        <v>0.41666666666666669</v>
      </c>
      <c r="AB778" s="154">
        <v>74</v>
      </c>
      <c r="AC778" s="154">
        <v>17.8</v>
      </c>
      <c r="AD778" s="91"/>
      <c r="AE778" s="94">
        <f>Table3.110[[#This Row],[Gas 8h, ml]]-Table3.110[[#This Row],[Gas 0h, ml]]</f>
        <v>37.5</v>
      </c>
      <c r="AF778" s="94">
        <f>Table3.110[[#This Row],[Gas 24h, ml]]-Table3.110[[#This Row],[V8 Push back, ml]]</f>
        <v>34</v>
      </c>
      <c r="AG778" s="94">
        <f>Table3.110[[#This Row],[GP 8h, ml]]-AVERAGE(AE$664,AE$665,AE$726,AE$727,AE$788,AE$789)*$AG$8</f>
        <v>35.656235924806332</v>
      </c>
      <c r="AH778" s="94">
        <f>Table3.110[[#This Row],[GP 8-24h, ml]]-AVERAGE(AF$664,AF$665,AF$726,AF$727,AF$788,AF$789)*$AG$8</f>
        <v>31.676857265255975</v>
      </c>
      <c r="AI778" s="94">
        <f>Table3.110[[#This Row],[Net gas 8-24h, ml]]+Table3.110[[#This Row],[Net gas 8h, ml]]</f>
        <v>67.3330931900623</v>
      </c>
      <c r="AJ778" s="94">
        <f>Table3.110[[#This Row],[Net gas 8h, ml]]*Table3.110[[#This Row],[CH4 8h %]]%</f>
        <v>5.2414666809465302</v>
      </c>
      <c r="AK778" s="94">
        <f>Table3.110[[#This Row],[Net gas 8-24h, ml]]*Table3.110[[#This Row],[CH4 24h, %]]%</f>
        <v>5.6384805932155642</v>
      </c>
      <c r="AL778" s="94">
        <f>Table3.110[[#This Row],[CH4 8-24h, ml]]+Table3.110[[#This Row],[CH4 8h, ml]]</f>
        <v>10.879947274162095</v>
      </c>
      <c r="AM778" s="94">
        <f>(Table3.110[[#This Row],[Net gas 24h, ml]]/Table3.110[[#This Row],[DM Incubated, mg]])*1000</f>
        <v>148.46003073471434</v>
      </c>
      <c r="AN778" s="94">
        <f>'3.2 Digest'!X778</f>
        <v>15.399529274384738</v>
      </c>
      <c r="AO778" s="94">
        <f>Table3.110[[#This Row],[Digested feed, mg]]/Table3.110[[#This Row],[Net gas 24h, ml]]</f>
        <v>1.0372845268975062</v>
      </c>
      <c r="AP778" s="94">
        <f>Table3.110[[#This Row],[CH4 8h, ml]]/Table3.110[[#This Row],[Net gas 8h, ml]]%</f>
        <v>14.699999999999998</v>
      </c>
      <c r="AQ778" s="94">
        <f>Table3.110[[#This Row],[CH4 24h, ml]]/Table3.110[[#This Row],[Net gas 24h, ml]]%</f>
        <v>16.158395164545727</v>
      </c>
      <c r="AR778" s="94">
        <f>Table3.110[[#This Row],[CH4 24h, ml]]/Table3.110[[#This Row],[DM Incubated, mg]]*1000</f>
        <v>23.988758427521184</v>
      </c>
      <c r="AS778" s="94">
        <f>Table3.110[[#This Row],[CH4 24h, ml]]/Table3.110[[#This Row],[Digested feed, mg]]*1000</f>
        <v>155.77592016025838</v>
      </c>
      <c r="AT778" s="94">
        <f>Table3.110[[#This Row],[CH4 24h, ml]]/'3.2 Digest'!AA778</f>
        <v>-0.2411044100245652</v>
      </c>
      <c r="AU778" s="94">
        <f>((Table3.110[[#This Row],[CH4 24h, ml]]/28.9)*16.04)/Table3.110[[#This Row],[DM Incubated, mg]]*1000</f>
        <v>13.314175957696879</v>
      </c>
      <c r="AV778" s="94">
        <f>((Table3.110[[#This Row],[CH4 24h, ml]]/28.9)*16.04)/Table3.110[[#This Row],[Digested feed, mg]]*1000</f>
        <v>86.458330774067278</v>
      </c>
      <c r="AW778" s="303"/>
    </row>
    <row r="779" spans="1:49" s="304" customFormat="1" x14ac:dyDescent="0.35">
      <c r="A779" s="89"/>
      <c r="B779" s="90">
        <f t="shared" si="11"/>
        <v>769</v>
      </c>
      <c r="C779" s="140">
        <v>46076</v>
      </c>
      <c r="D779" s="92" t="s">
        <v>16</v>
      </c>
      <c r="E779" s="6" t="s">
        <v>307</v>
      </c>
      <c r="F779" s="242" t="s">
        <v>212</v>
      </c>
      <c r="G779" s="242" t="s">
        <v>213</v>
      </c>
      <c r="H779" s="6" t="str">
        <f>'[2]1. Information samples'!$K$71</f>
        <v>Desmodium scorpiurus</v>
      </c>
      <c r="I779" s="6" t="s">
        <v>22</v>
      </c>
      <c r="J779" s="129" t="s">
        <v>23</v>
      </c>
      <c r="K779" s="129" t="s">
        <v>24</v>
      </c>
      <c r="L779" s="6" t="s">
        <v>306</v>
      </c>
      <c r="M779" s="256">
        <v>28</v>
      </c>
      <c r="N779" s="256">
        <v>69</v>
      </c>
      <c r="O779" s="256">
        <v>3</v>
      </c>
      <c r="P779" s="257">
        <v>2</v>
      </c>
      <c r="Q779" s="96">
        <v>188</v>
      </c>
      <c r="R779" s="98">
        <v>0.5</v>
      </c>
      <c r="S779" s="94">
        <f>((Table3.110[[#This Row],[Sample weight, g]]*'2.1. DM'!Q187)/100)*1000</f>
        <v>453.54357571419951</v>
      </c>
      <c r="T779" s="94">
        <f>'3.2 Digest'!W779</f>
        <v>181.44357571419948</v>
      </c>
      <c r="U779" s="117">
        <v>0.36805555555555558</v>
      </c>
      <c r="V779" s="155">
        <v>41</v>
      </c>
      <c r="W779" s="117">
        <v>0.74027777777777781</v>
      </c>
      <c r="X779" s="96">
        <v>78.5</v>
      </c>
      <c r="Y779" s="96">
        <v>15.2</v>
      </c>
      <c r="Z779" s="155">
        <v>40.5</v>
      </c>
      <c r="AA779" s="117">
        <v>0.41666666666666669</v>
      </c>
      <c r="AB779" s="155">
        <v>78</v>
      </c>
      <c r="AC779" s="155">
        <v>17.2</v>
      </c>
      <c r="AD779" s="96"/>
      <c r="AE779" s="94">
        <f>Table3.110[[#This Row],[Gas 8h, ml]]-Table3.110[[#This Row],[Gas 0h, ml]]</f>
        <v>37.5</v>
      </c>
      <c r="AF779" s="94">
        <f>Table3.110[[#This Row],[Gas 24h, ml]]-Table3.110[[#This Row],[V8 Push back, ml]]</f>
        <v>37.5</v>
      </c>
      <c r="AG779" s="94">
        <f>Table3.110[[#This Row],[GP 8h, ml]]-AVERAGE(AE$664,AE$665,AE$726,AE$727,AE$788,AE$789)*$AG$8</f>
        <v>35.656235924806332</v>
      </c>
      <c r="AH779" s="94">
        <f>Table3.110[[#This Row],[GP 8-24h, ml]]-AVERAGE(AF$664,AF$665,AF$726,AF$727,AF$788,AF$789)*$AG$8</f>
        <v>35.176857265255975</v>
      </c>
      <c r="AI779" s="94">
        <f>Table3.110[[#This Row],[Net gas 8-24h, ml]]+Table3.110[[#This Row],[Net gas 8h, ml]]</f>
        <v>70.8330931900623</v>
      </c>
      <c r="AJ779" s="94">
        <f>Table3.110[[#This Row],[Net gas 8h, ml]]*Table3.110[[#This Row],[CH4 8h %]]%</f>
        <v>5.4197478605705625</v>
      </c>
      <c r="AK779" s="94">
        <f>Table3.110[[#This Row],[Net gas 8-24h, ml]]*Table3.110[[#This Row],[CH4 24h, %]]%</f>
        <v>6.0504194496240276</v>
      </c>
      <c r="AL779" s="94">
        <f>Table3.110[[#This Row],[CH4 8-24h, ml]]+Table3.110[[#This Row],[CH4 8h, ml]]</f>
        <v>11.47016731019459</v>
      </c>
      <c r="AM779" s="94">
        <f>(Table3.110[[#This Row],[Net gas 24h, ml]]/Table3.110[[#This Row],[DM Incubated, mg]])*1000</f>
        <v>156.17704005292265</v>
      </c>
      <c r="AN779" s="94">
        <f>'3.2 Digest'!X779</f>
        <v>40.005764700443287</v>
      </c>
      <c r="AO779" s="94">
        <f>Table3.110[[#This Row],[Digested feed, mg]]/Table3.110[[#This Row],[Net gas 24h, ml]]</f>
        <v>2.5615650473902436</v>
      </c>
      <c r="AP779" s="94">
        <f>Table3.110[[#This Row],[CH4 8h, ml]]/Table3.110[[#This Row],[Net gas 8h, ml]]%</f>
        <v>15.2</v>
      </c>
      <c r="AQ779" s="94">
        <f>Table3.110[[#This Row],[CH4 24h, ml]]/Table3.110[[#This Row],[Net gas 24h, ml]]%</f>
        <v>16.193232278332616</v>
      </c>
      <c r="AR779" s="94">
        <f>Table3.110[[#This Row],[CH4 24h, ml]]/Table3.110[[#This Row],[DM Incubated, mg]]*1000</f>
        <v>25.290110861194329</v>
      </c>
      <c r="AS779" s="94">
        <f>Table3.110[[#This Row],[CH4 24h, ml]]/Table3.110[[#This Row],[Digested feed, mg]]*1000</f>
        <v>63.216166596395801</v>
      </c>
      <c r="AT779" s="94">
        <f>Table3.110[[#This Row],[CH4 24h, ml]]/'3.2 Digest'!AA779</f>
        <v>-3.9343425807533094</v>
      </c>
      <c r="AU779" s="94">
        <f>((Table3.110[[#This Row],[CH4 24h, ml]]/28.9)*16.04)/Table3.110[[#This Row],[DM Incubated, mg]]*1000</f>
        <v>14.036449073133461</v>
      </c>
      <c r="AV779" s="94">
        <f>((Table3.110[[#This Row],[CH4 24h, ml]]/28.9)*16.04)/Table3.110[[#This Row],[Digested feed, mg]]*1000</f>
        <v>35.0860661663041</v>
      </c>
      <c r="AW779" s="303"/>
    </row>
    <row r="780" spans="1:49" s="304" customFormat="1" x14ac:dyDescent="0.35">
      <c r="A780" s="89"/>
      <c r="B780" s="90">
        <f t="shared" ref="B780:B843" si="12">B779+1</f>
        <v>770</v>
      </c>
      <c r="C780" s="140">
        <v>46076</v>
      </c>
      <c r="D780" s="92" t="s">
        <v>16</v>
      </c>
      <c r="E780" s="6" t="s">
        <v>309</v>
      </c>
      <c r="F780" s="242" t="s">
        <v>212</v>
      </c>
      <c r="G780" s="242" t="s">
        <v>310</v>
      </c>
      <c r="H780" s="6" t="str">
        <f>'[2]1. Information samples'!$K$72</f>
        <v>Desmodium incanum</v>
      </c>
      <c r="I780" s="6" t="s">
        <v>22</v>
      </c>
      <c r="J780" s="129" t="s">
        <v>23</v>
      </c>
      <c r="K780" s="129" t="s">
        <v>24</v>
      </c>
      <c r="L780" s="6" t="s">
        <v>308</v>
      </c>
      <c r="M780" s="256">
        <v>28</v>
      </c>
      <c r="N780" s="256">
        <v>69</v>
      </c>
      <c r="O780" s="256">
        <v>3</v>
      </c>
      <c r="P780" s="257">
        <v>1</v>
      </c>
      <c r="Q780" s="96">
        <v>189</v>
      </c>
      <c r="R780" s="98">
        <v>0.50009999999999999</v>
      </c>
      <c r="S780" s="94">
        <f>((Table3.110[[#This Row],[Sample weight, g]]*'2.1. DM'!Q189)/100)*1000</f>
        <v>463.13800273209341</v>
      </c>
      <c r="T780" s="94">
        <f>'3.2 Digest'!W780</f>
        <v>131.63800273209353</v>
      </c>
      <c r="U780" s="117">
        <v>0.36805555555555558</v>
      </c>
      <c r="V780" s="155">
        <v>40</v>
      </c>
      <c r="W780" s="117">
        <v>0.74097222222222225</v>
      </c>
      <c r="X780" s="96">
        <v>73.5</v>
      </c>
      <c r="Y780" s="96">
        <v>13.1</v>
      </c>
      <c r="Z780" s="155">
        <v>39</v>
      </c>
      <c r="AA780" s="117">
        <v>0.41666666666666669</v>
      </c>
      <c r="AB780" s="155">
        <v>77.5</v>
      </c>
      <c r="AC780" s="155">
        <v>16.600000000000001</v>
      </c>
      <c r="AD780" s="96"/>
      <c r="AE780" s="94">
        <f>Table3.110[[#This Row],[Gas 8h, ml]]-Table3.110[[#This Row],[Gas 0h, ml]]</f>
        <v>33.5</v>
      </c>
      <c r="AF780" s="94">
        <f>Table3.110[[#This Row],[Gas 24h, ml]]-Table3.110[[#This Row],[V8 Push back, ml]]</f>
        <v>38.5</v>
      </c>
      <c r="AG780" s="94">
        <f>Table3.110[[#This Row],[GP 8h, ml]]-AVERAGE(AE$664,AE$665,AE$726,AE$727,AE$788,AE$789)*$AG$8</f>
        <v>31.656235924806332</v>
      </c>
      <c r="AH780" s="94">
        <f>Table3.110[[#This Row],[GP 8-24h, ml]]-AVERAGE(AF$664,AF$665,AF$726,AF$727,AF$788,AF$789)*$AG$8</f>
        <v>36.176857265255975</v>
      </c>
      <c r="AI780" s="94">
        <f>Table3.110[[#This Row],[Net gas 8-24h, ml]]+Table3.110[[#This Row],[Net gas 8h, ml]]</f>
        <v>67.8330931900623</v>
      </c>
      <c r="AJ780" s="94">
        <f>Table3.110[[#This Row],[Net gas 8h, ml]]*Table3.110[[#This Row],[CH4 8h %]]%</f>
        <v>4.1469669061496299</v>
      </c>
      <c r="AK780" s="94">
        <f>Table3.110[[#This Row],[Net gas 8-24h, ml]]*Table3.110[[#This Row],[CH4 24h, %]]%</f>
        <v>6.005358306032492</v>
      </c>
      <c r="AL780" s="94">
        <f>Table3.110[[#This Row],[CH4 8-24h, ml]]+Table3.110[[#This Row],[CH4 8h, ml]]</f>
        <v>10.152325212182122</v>
      </c>
      <c r="AM780" s="94">
        <f>(Table3.110[[#This Row],[Net gas 24h, ml]]/Table3.110[[#This Row],[DM Incubated, mg]])*1000</f>
        <v>146.46410527727951</v>
      </c>
      <c r="AN780" s="94">
        <f>'3.2 Digest'!X780</f>
        <v>28.423062231030254</v>
      </c>
      <c r="AO780" s="94">
        <f>Table3.110[[#This Row],[Digested feed, mg]]/Table3.110[[#This Row],[Net gas 24h, ml]]</f>
        <v>1.9406162470470798</v>
      </c>
      <c r="AP780" s="94">
        <f>Table3.110[[#This Row],[CH4 8h, ml]]/Table3.110[[#This Row],[Net gas 8h, ml]]%</f>
        <v>13.100000000000001</v>
      </c>
      <c r="AQ780" s="94">
        <f>Table3.110[[#This Row],[CH4 24h, ml]]/Table3.110[[#This Row],[Net gas 24h, ml]]%</f>
        <v>14.966625779155034</v>
      </c>
      <c r="AR780" s="94">
        <f>Table3.110[[#This Row],[CH4 24h, ml]]/Table3.110[[#This Row],[DM Incubated, mg]]*1000</f>
        <v>21.920734537638083</v>
      </c>
      <c r="AS780" s="94">
        <f>Table3.110[[#This Row],[CH4 24h, ml]]/Table3.110[[#This Row],[Digested feed, mg]]*1000</f>
        <v>77.123057183144056</v>
      </c>
      <c r="AT780" s="94">
        <f>Table3.110[[#This Row],[CH4 24h, ml]]/'3.2 Digest'!AA780</f>
        <v>-0.50099313224026476</v>
      </c>
      <c r="AU780" s="94">
        <f>((Table3.110[[#This Row],[CH4 24h, ml]]/28.9)*16.04)/Table3.110[[#This Row],[DM Incubated, mg]]*1000</f>
        <v>12.166386919851725</v>
      </c>
      <c r="AV780" s="94">
        <f>((Table3.110[[#This Row],[CH4 24h, ml]]/28.9)*16.04)/Table3.110[[#This Row],[Digested feed, mg]]*1000</f>
        <v>42.804631045592757</v>
      </c>
      <c r="AW780" s="303"/>
    </row>
    <row r="781" spans="1:49" s="304" customFormat="1" x14ac:dyDescent="0.35">
      <c r="A781" s="89"/>
      <c r="B781" s="90">
        <f t="shared" si="12"/>
        <v>771</v>
      </c>
      <c r="C781" s="140">
        <v>46076</v>
      </c>
      <c r="D781" s="92" t="s">
        <v>16</v>
      </c>
      <c r="E781" s="6" t="s">
        <v>309</v>
      </c>
      <c r="F781" s="242" t="s">
        <v>212</v>
      </c>
      <c r="G781" s="242" t="s">
        <v>310</v>
      </c>
      <c r="H781" s="6" t="str">
        <f>'[2]1. Information samples'!$K$72</f>
        <v>Desmodium incanum</v>
      </c>
      <c r="I781" s="6" t="s">
        <v>22</v>
      </c>
      <c r="J781" s="129" t="s">
        <v>23</v>
      </c>
      <c r="K781" s="129" t="s">
        <v>24</v>
      </c>
      <c r="L781" s="6" t="s">
        <v>308</v>
      </c>
      <c r="M781" s="256">
        <v>28</v>
      </c>
      <c r="N781" s="256">
        <v>69</v>
      </c>
      <c r="O781" s="256">
        <v>3</v>
      </c>
      <c r="P781" s="257">
        <v>2</v>
      </c>
      <c r="Q781" s="96">
        <v>190</v>
      </c>
      <c r="R781" s="98">
        <v>0.50019999999999998</v>
      </c>
      <c r="S781" s="94">
        <f>((Table3.110[[#This Row],[Sample weight, g]]*'2.1. DM'!Q189)/100)*1000</f>
        <v>463.23061181082414</v>
      </c>
      <c r="T781" s="94">
        <f>'3.2 Digest'!W781</f>
        <v>121.83061181082411</v>
      </c>
      <c r="U781" s="153">
        <v>0.36805555555555558</v>
      </c>
      <c r="V781" s="155">
        <v>40</v>
      </c>
      <c r="W781" s="153">
        <v>0.74097222222222225</v>
      </c>
      <c r="X781" s="91">
        <v>73</v>
      </c>
      <c r="Y781" s="91">
        <v>13</v>
      </c>
      <c r="Z781" s="154">
        <v>40</v>
      </c>
      <c r="AA781" s="153">
        <v>0.41666666666666669</v>
      </c>
      <c r="AB781" s="154">
        <v>74.5</v>
      </c>
      <c r="AC781" s="154">
        <v>16.5</v>
      </c>
      <c r="AD781" s="91"/>
      <c r="AE781" s="94">
        <f>Table3.110[[#This Row],[Gas 8h, ml]]-Table3.110[[#This Row],[Gas 0h, ml]]</f>
        <v>33</v>
      </c>
      <c r="AF781" s="94">
        <f>Table3.110[[#This Row],[Gas 24h, ml]]-Table3.110[[#This Row],[V8 Push back, ml]]</f>
        <v>34.5</v>
      </c>
      <c r="AG781" s="94">
        <f>Table3.110[[#This Row],[GP 8h, ml]]-AVERAGE(AE$664,AE$665,AE$726,AE$727,AE$788,AE$789)*$AG$8</f>
        <v>31.156235924806332</v>
      </c>
      <c r="AH781" s="94">
        <f>Table3.110[[#This Row],[GP 8-24h, ml]]-AVERAGE(AF$664,AF$665,AF$726,AF$727,AF$788,AF$789)*$AG$8</f>
        <v>32.176857265255975</v>
      </c>
      <c r="AI781" s="94">
        <f>Table3.110[[#This Row],[Net gas 8-24h, ml]]+Table3.110[[#This Row],[Net gas 8h, ml]]</f>
        <v>63.333093190062307</v>
      </c>
      <c r="AJ781" s="94">
        <f>Table3.110[[#This Row],[Net gas 8h, ml]]*Table3.110[[#This Row],[CH4 8h %]]%</f>
        <v>4.0503106702248228</v>
      </c>
      <c r="AK781" s="94">
        <f>Table3.110[[#This Row],[Net gas 8-24h, ml]]*Table3.110[[#This Row],[CH4 24h, %]]%</f>
        <v>5.3091814487672364</v>
      </c>
      <c r="AL781" s="94">
        <f>Table3.110[[#This Row],[CH4 8-24h, ml]]+Table3.110[[#This Row],[CH4 8h, ml]]</f>
        <v>9.3594921189920584</v>
      </c>
      <c r="AM781" s="94">
        <f>(Table3.110[[#This Row],[Net gas 24h, ml]]/Table3.110[[#This Row],[DM Incubated, mg]])*1000</f>
        <v>136.7204402629732</v>
      </c>
      <c r="AN781" s="94">
        <f>'3.2 Digest'!X781</f>
        <v>26.300207435465804</v>
      </c>
      <c r="AO781" s="94">
        <f>Table3.110[[#This Row],[Digested feed, mg]]/Table3.110[[#This Row],[Net gas 24h, ml]]</f>
        <v>1.9236485330853972</v>
      </c>
      <c r="AP781" s="94">
        <f>Table3.110[[#This Row],[CH4 8h, ml]]/Table3.110[[#This Row],[Net gas 8h, ml]]%</f>
        <v>13</v>
      </c>
      <c r="AQ781" s="94">
        <f>Table3.110[[#This Row],[CH4 24h, ml]]/Table3.110[[#This Row],[Net gas 24h, ml]]%</f>
        <v>14.778201486076588</v>
      </c>
      <c r="AR781" s="94">
        <f>Table3.110[[#This Row],[CH4 24h, ml]]/Table3.110[[#This Row],[DM Incubated, mg]]*1000</f>
        <v>20.204822134713158</v>
      </c>
      <c r="AS781" s="94">
        <f>Table3.110[[#This Row],[CH4 24h, ml]]/Table3.110[[#This Row],[Digested feed, mg]]*1000</f>
        <v>76.823812832240151</v>
      </c>
      <c r="AT781" s="94">
        <f>Table3.110[[#This Row],[CH4 24h, ml]]/'3.2 Digest'!AA781</f>
        <v>-0.39274037283875224</v>
      </c>
      <c r="AU781" s="94">
        <f>((Table3.110[[#This Row],[CH4 24h, ml]]/28.9)*16.04)/Table3.110[[#This Row],[DM Incubated, mg]]*1000</f>
        <v>11.214025849162597</v>
      </c>
      <c r="AV781" s="94">
        <f>((Table3.110[[#This Row],[CH4 24h, ml]]/28.9)*16.04)/Table3.110[[#This Row],[Digested feed, mg]]*1000</f>
        <v>42.638545253603183</v>
      </c>
      <c r="AW781" s="303"/>
    </row>
    <row r="782" spans="1:49" s="304" customFormat="1" x14ac:dyDescent="0.35">
      <c r="A782" s="89"/>
      <c r="B782" s="90">
        <f t="shared" si="12"/>
        <v>772</v>
      </c>
      <c r="C782" s="140">
        <v>46076</v>
      </c>
      <c r="D782" s="92" t="s">
        <v>16</v>
      </c>
      <c r="E782" s="6" t="s">
        <v>313</v>
      </c>
      <c r="F782" s="242" t="s">
        <v>290</v>
      </c>
      <c r="G782" s="242" t="s">
        <v>314</v>
      </c>
      <c r="H782" s="6" t="str">
        <f>'[2]1. Information samples'!$K$73</f>
        <v>Indigofera jamaicensis</v>
      </c>
      <c r="I782" s="6" t="s">
        <v>22</v>
      </c>
      <c r="J782" s="129" t="s">
        <v>23</v>
      </c>
      <c r="K782" s="129" t="s">
        <v>24</v>
      </c>
      <c r="L782" s="6" t="s">
        <v>312</v>
      </c>
      <c r="M782" s="256">
        <v>28</v>
      </c>
      <c r="N782" s="256">
        <v>69</v>
      </c>
      <c r="O782" s="256">
        <v>3</v>
      </c>
      <c r="P782" s="257">
        <v>1</v>
      </c>
      <c r="Q782" s="96">
        <v>191</v>
      </c>
      <c r="R782" s="98">
        <v>0.50009999999999999</v>
      </c>
      <c r="S782" s="94">
        <f>((Table3.110[[#This Row],[Sample weight, g]]*'2.1. DM'!Q191)/100)*1000</f>
        <v>449.22766568305201</v>
      </c>
      <c r="T782" s="94">
        <f>'3.2 Digest'!W782</f>
        <v>126.72766568305201</v>
      </c>
      <c r="U782" s="153">
        <v>0.36805555555555558</v>
      </c>
      <c r="V782" s="155">
        <v>40.5</v>
      </c>
      <c r="W782" s="153">
        <v>0.7416666666666667</v>
      </c>
      <c r="X782" s="91">
        <v>68</v>
      </c>
      <c r="Y782" s="91">
        <v>12.1</v>
      </c>
      <c r="Z782" s="154">
        <v>40</v>
      </c>
      <c r="AA782" s="153">
        <v>0.41736111111111113</v>
      </c>
      <c r="AB782" s="154">
        <v>81.5</v>
      </c>
      <c r="AC782" s="154">
        <v>15.9</v>
      </c>
      <c r="AD782" s="91"/>
      <c r="AE782" s="94">
        <f>Table3.110[[#This Row],[Gas 8h, ml]]-Table3.110[[#This Row],[Gas 0h, ml]]</f>
        <v>27.5</v>
      </c>
      <c r="AF782" s="94">
        <f>Table3.110[[#This Row],[Gas 24h, ml]]-Table3.110[[#This Row],[V8 Push back, ml]]</f>
        <v>41.5</v>
      </c>
      <c r="AG782" s="94">
        <f>Table3.110[[#This Row],[GP 8h, ml]]-AVERAGE(AE$664,AE$665,AE$726,AE$727,AE$788,AE$789)*$AG$8</f>
        <v>25.656235924806332</v>
      </c>
      <c r="AH782" s="94">
        <f>Table3.110[[#This Row],[GP 8-24h, ml]]-AVERAGE(AF$664,AF$665,AF$726,AF$727,AF$788,AF$789)*$AG$8</f>
        <v>39.176857265255975</v>
      </c>
      <c r="AI782" s="94">
        <f>Table3.110[[#This Row],[Net gas 8-24h, ml]]+Table3.110[[#This Row],[Net gas 8h, ml]]</f>
        <v>64.8330931900623</v>
      </c>
      <c r="AJ782" s="94">
        <f>Table3.110[[#This Row],[Net gas 8h, ml]]*Table3.110[[#This Row],[CH4 8h %]]%</f>
        <v>3.104404546901566</v>
      </c>
      <c r="AK782" s="94">
        <f>Table3.110[[#This Row],[Net gas 8-24h, ml]]*Table3.110[[#This Row],[CH4 24h, %]]%</f>
        <v>6.2291203051756998</v>
      </c>
      <c r="AL782" s="94">
        <f>Table3.110[[#This Row],[CH4 8-24h, ml]]+Table3.110[[#This Row],[CH4 8h, ml]]</f>
        <v>9.3335248520772662</v>
      </c>
      <c r="AM782" s="94">
        <f>(Table3.110[[#This Row],[Net gas 24h, ml]]/Table3.110[[#This Row],[DM Incubated, mg]])*1000</f>
        <v>144.32123874535506</v>
      </c>
      <c r="AN782" s="94">
        <f>'3.2 Digest'!X782</f>
        <v>28.21012047206893</v>
      </c>
      <c r="AO782" s="94">
        <f>Table3.110[[#This Row],[Digested feed, mg]]/Table3.110[[#This Row],[Net gas 24h, ml]]</f>
        <v>1.9546756054279544</v>
      </c>
      <c r="AP782" s="94">
        <f>Table3.110[[#This Row],[CH4 8h, ml]]/Table3.110[[#This Row],[Net gas 8h, ml]]%</f>
        <v>12.1</v>
      </c>
      <c r="AQ782" s="94">
        <f>Table3.110[[#This Row],[CH4 24h, ml]]/Table3.110[[#This Row],[Net gas 24h, ml]]%</f>
        <v>14.396235614912666</v>
      </c>
      <c r="AR782" s="94">
        <f>Table3.110[[#This Row],[CH4 24h, ml]]/Table3.110[[#This Row],[DM Incubated, mg]]*1000</f>
        <v>20.776825572141945</v>
      </c>
      <c r="AS782" s="94">
        <f>Table3.110[[#This Row],[CH4 24h, ml]]/Table3.110[[#This Row],[Digested feed, mg]]*1000</f>
        <v>73.650254676201214</v>
      </c>
      <c r="AT782" s="94">
        <f>Table3.110[[#This Row],[CH4 24h, ml]]/'3.2 Digest'!AA782</f>
        <v>-0.21356410121075611</v>
      </c>
      <c r="AU782" s="94">
        <f>((Table3.110[[#This Row],[CH4 24h, ml]]/28.9)*16.04)/Table3.110[[#This Row],[DM Incubated, mg]]*1000</f>
        <v>11.531497653188815</v>
      </c>
      <c r="AV782" s="94">
        <f>((Table3.110[[#This Row],[CH4 24h, ml]]/28.9)*16.04)/Table3.110[[#This Row],[Digested feed, mg]]*1000</f>
        <v>40.877165571151124</v>
      </c>
      <c r="AW782" s="303"/>
    </row>
    <row r="783" spans="1:49" s="304" customFormat="1" x14ac:dyDescent="0.35">
      <c r="A783" s="89"/>
      <c r="B783" s="90">
        <f t="shared" si="12"/>
        <v>773</v>
      </c>
      <c r="C783" s="140">
        <v>46076</v>
      </c>
      <c r="D783" s="92" t="s">
        <v>16</v>
      </c>
      <c r="E783" s="6" t="s">
        <v>313</v>
      </c>
      <c r="F783" s="242" t="s">
        <v>290</v>
      </c>
      <c r="G783" s="242" t="s">
        <v>314</v>
      </c>
      <c r="H783" s="6" t="str">
        <f>'[2]1. Information samples'!$K$73</f>
        <v>Indigofera jamaicensis</v>
      </c>
      <c r="I783" s="6" t="s">
        <v>22</v>
      </c>
      <c r="J783" s="129" t="s">
        <v>23</v>
      </c>
      <c r="K783" s="129" t="s">
        <v>24</v>
      </c>
      <c r="L783" s="6" t="s">
        <v>312</v>
      </c>
      <c r="M783" s="256">
        <v>28</v>
      </c>
      <c r="N783" s="256">
        <v>69</v>
      </c>
      <c r="O783" s="256">
        <v>3</v>
      </c>
      <c r="P783" s="257">
        <v>2</v>
      </c>
      <c r="Q783" s="96">
        <v>192</v>
      </c>
      <c r="R783" s="98">
        <v>0.50019999999999998</v>
      </c>
      <c r="S783" s="94">
        <f>((Table3.110[[#This Row],[Sample weight, g]]*'2.1. DM'!Q191)/100)*1000</f>
        <v>449.31749325067506</v>
      </c>
      <c r="T783" s="94">
        <f>'3.2 Digest'!W783</f>
        <v>194.31749325067506</v>
      </c>
      <c r="U783" s="117">
        <v>0.36875000000000002</v>
      </c>
      <c r="V783" s="155">
        <v>41</v>
      </c>
      <c r="W783" s="117">
        <v>0.74236111111111114</v>
      </c>
      <c r="X783" s="96">
        <v>69.5</v>
      </c>
      <c r="Y783" s="96">
        <v>12.4</v>
      </c>
      <c r="Z783" s="155">
        <v>40.5</v>
      </c>
      <c r="AA783" s="117">
        <v>0.41736111111111113</v>
      </c>
      <c r="AB783" s="155">
        <v>81.5</v>
      </c>
      <c r="AC783" s="155">
        <v>15.9</v>
      </c>
      <c r="AD783" s="96"/>
      <c r="AE783" s="94">
        <f>Table3.110[[#This Row],[Gas 8h, ml]]-Table3.110[[#This Row],[Gas 0h, ml]]</f>
        <v>28.5</v>
      </c>
      <c r="AF783" s="94">
        <f>Table3.110[[#This Row],[Gas 24h, ml]]-Table3.110[[#This Row],[V8 Push back, ml]]</f>
        <v>41</v>
      </c>
      <c r="AG783" s="94">
        <f>Table3.110[[#This Row],[GP 8h, ml]]-AVERAGE(AE$664,AE$665,AE$726,AE$727,AE$788,AE$789)*$AG$8</f>
        <v>26.656235924806332</v>
      </c>
      <c r="AH783" s="94">
        <f>Table3.110[[#This Row],[GP 8-24h, ml]]-AVERAGE(AF$664,AF$665,AF$726,AF$727,AF$788,AF$789)*$AG$8</f>
        <v>38.676857265255975</v>
      </c>
      <c r="AI783" s="94">
        <f>Table3.110[[#This Row],[Net gas 8-24h, ml]]+Table3.110[[#This Row],[Net gas 8h, ml]]</f>
        <v>65.3330931900623</v>
      </c>
      <c r="AJ783" s="94">
        <f>Table3.110[[#This Row],[Net gas 8h, ml]]*Table3.110[[#This Row],[CH4 8h %]]%</f>
        <v>3.3053732546759851</v>
      </c>
      <c r="AK783" s="94">
        <f>Table3.110[[#This Row],[Net gas 8-24h, ml]]*Table3.110[[#This Row],[CH4 24h, %]]%</f>
        <v>6.1496203051757004</v>
      </c>
      <c r="AL783" s="94">
        <f>Table3.110[[#This Row],[CH4 8-24h, ml]]+Table3.110[[#This Row],[CH4 8h, ml]]</f>
        <v>9.454993559851685</v>
      </c>
      <c r="AM783" s="94">
        <f>(Table3.110[[#This Row],[Net gas 24h, ml]]/Table3.110[[#This Row],[DM Incubated, mg]])*1000</f>
        <v>145.40518491144712</v>
      </c>
      <c r="AN783" s="94">
        <f>'3.2 Digest'!X783</f>
        <v>43.247257489319466</v>
      </c>
      <c r="AO783" s="94">
        <f>Table3.110[[#This Row],[Digested feed, mg]]/Table3.110[[#This Row],[Net gas 24h, ml]]</f>
        <v>2.9742582780426559</v>
      </c>
      <c r="AP783" s="94">
        <f>Table3.110[[#This Row],[CH4 8h, ml]]/Table3.110[[#This Row],[Net gas 8h, ml]]%</f>
        <v>12.4</v>
      </c>
      <c r="AQ783" s="94">
        <f>Table3.110[[#This Row],[CH4 24h, ml]]/Table3.110[[#This Row],[Net gas 24h, ml]]%</f>
        <v>14.47198211225956</v>
      </c>
      <c r="AR783" s="94">
        <f>Table3.110[[#This Row],[CH4 24h, ml]]/Table3.110[[#This Row],[DM Incubated, mg]]*1000</f>
        <v>21.043012350682567</v>
      </c>
      <c r="AS783" s="94">
        <f>Table3.110[[#This Row],[CH4 24h, ml]]/Table3.110[[#This Row],[Digested feed, mg]]*1000</f>
        <v>48.657449217165826</v>
      </c>
      <c r="AT783" s="94">
        <f>Table3.110[[#This Row],[CH4 24h, ml]]/'3.2 Digest'!AA783</f>
        <v>-0.69504615110427825</v>
      </c>
      <c r="AU783" s="94">
        <f>((Table3.110[[#This Row],[CH4 24h, ml]]/28.9)*16.04)/Table3.110[[#This Row],[DM Incubated, mg]]*1000</f>
        <v>11.679235920586448</v>
      </c>
      <c r="AV783" s="94">
        <f>((Table3.110[[#This Row],[CH4 24h, ml]]/28.9)*16.04)/Table3.110[[#This Row],[Digested feed, mg]]*1000</f>
        <v>27.005726139907956</v>
      </c>
      <c r="AW783" s="303"/>
    </row>
    <row r="784" spans="1:49" x14ac:dyDescent="0.35">
      <c r="B784" s="90">
        <f t="shared" si="12"/>
        <v>774</v>
      </c>
      <c r="C784" s="140">
        <v>46076</v>
      </c>
      <c r="D784" s="92" t="s">
        <v>16</v>
      </c>
      <c r="E784" s="6" t="s">
        <v>317</v>
      </c>
      <c r="F784" s="242" t="s">
        <v>290</v>
      </c>
      <c r="G784" s="242" t="s">
        <v>318</v>
      </c>
      <c r="H784" s="6" t="str">
        <f>'[2]1. Information samples'!$K$74</f>
        <v>Indigofera atriceps</v>
      </c>
      <c r="I784" s="6" t="s">
        <v>22</v>
      </c>
      <c r="J784" s="129" t="s">
        <v>23</v>
      </c>
      <c r="K784" s="129" t="s">
        <v>24</v>
      </c>
      <c r="L784" s="6" t="s">
        <v>316</v>
      </c>
      <c r="M784" s="256">
        <v>28</v>
      </c>
      <c r="N784" s="256">
        <v>69</v>
      </c>
      <c r="O784" s="256">
        <v>3</v>
      </c>
      <c r="P784" s="257">
        <v>1</v>
      </c>
      <c r="Q784" s="96">
        <v>193</v>
      </c>
      <c r="R784" s="98">
        <v>0.50009999999999999</v>
      </c>
      <c r="S784" s="94">
        <f>((Table3.110[[#This Row],[Sample weight, g]]*'2.1. DM'!Q193)/100)*1000</f>
        <v>451.80488659679742</v>
      </c>
      <c r="T784" s="94">
        <f>'3.2 Digest'!W784</f>
        <v>85.104886596797371</v>
      </c>
      <c r="U784" s="117">
        <v>0.36875000000000002</v>
      </c>
      <c r="V784" s="155">
        <v>40.5</v>
      </c>
      <c r="W784" s="117">
        <v>0.74305555555555558</v>
      </c>
      <c r="X784" s="96">
        <v>67.5</v>
      </c>
      <c r="Y784" s="96">
        <v>13.2</v>
      </c>
      <c r="Z784" s="155">
        <v>39.5</v>
      </c>
      <c r="AA784" s="117">
        <v>0.41736111111111113</v>
      </c>
      <c r="AB784" s="155">
        <v>69</v>
      </c>
      <c r="AC784" s="155">
        <v>14.9</v>
      </c>
      <c r="AD784" s="96"/>
      <c r="AE784" s="94">
        <f>Table3.110[[#This Row],[Gas 8h, ml]]-Table3.110[[#This Row],[Gas 0h, ml]]</f>
        <v>27</v>
      </c>
      <c r="AF784" s="94">
        <f>Table3.110[[#This Row],[Gas 24h, ml]]-Table3.110[[#This Row],[V8 Push back, ml]]</f>
        <v>29.5</v>
      </c>
      <c r="AG784" s="94">
        <f>Table3.110[[#This Row],[GP 8h, ml]]-AVERAGE(AE$664,AE$665,AE$726,AE$727,AE$788,AE$789)*$AG$8</f>
        <v>25.156235924806332</v>
      </c>
      <c r="AH784" s="94">
        <f>Table3.110[[#This Row],[GP 8-24h, ml]]-AVERAGE(AF$664,AF$665,AF$726,AF$727,AF$788,AF$789)*$AG$8</f>
        <v>27.176857265255975</v>
      </c>
      <c r="AI784" s="94">
        <f>Table3.110[[#This Row],[Net gas 8-24h, ml]]+Table3.110[[#This Row],[Net gas 8h, ml]]</f>
        <v>52.333093190062307</v>
      </c>
      <c r="AJ784" s="94">
        <f>Table3.110[[#This Row],[Net gas 8h, ml]]*Table3.110[[#This Row],[CH4 8h %]]%</f>
        <v>3.3206231420744361</v>
      </c>
      <c r="AK784" s="94">
        <f>Table3.110[[#This Row],[Net gas 8-24h, ml]]*Table3.110[[#This Row],[CH4 24h, %]]%</f>
        <v>4.0493517325231405</v>
      </c>
      <c r="AL784" s="94">
        <f>Table3.110[[#This Row],[CH4 8-24h, ml]]+Table3.110[[#This Row],[CH4 8h, ml]]</f>
        <v>7.3699748745975766</v>
      </c>
      <c r="AM784" s="94">
        <f>(Table3.110[[#This Row],[Net gas 24h, ml]]/Table3.110[[#This Row],[DM Incubated, mg]])*1000</f>
        <v>115.83118010134702</v>
      </c>
      <c r="AN784" s="94">
        <f>'3.2 Digest'!X784</f>
        <v>18.836645888858484</v>
      </c>
      <c r="AO784" s="94">
        <f>Table3.110[[#This Row],[Digested feed, mg]]/Table3.110[[#This Row],[Net gas 24h, ml]]</f>
        <v>1.6262154863981593</v>
      </c>
      <c r="AP784" s="94">
        <f>Table3.110[[#This Row],[CH4 8h, ml]]/Table3.110[[#This Row],[Net gas 8h, ml]]%</f>
        <v>13.200000000000001</v>
      </c>
      <c r="AQ784" s="94">
        <f>Table3.110[[#This Row],[CH4 24h, ml]]/Table3.110[[#This Row],[Net gas 24h, ml]]%</f>
        <v>14.082819159630878</v>
      </c>
      <c r="AR784" s="94">
        <f>Table3.110[[#This Row],[CH4 24h, ml]]/Table3.110[[#This Row],[DM Incubated, mg]]*1000</f>
        <v>16.312295624139047</v>
      </c>
      <c r="AS784" s="94">
        <f>Table3.110[[#This Row],[CH4 24h, ml]]/Table3.110[[#This Row],[Digested feed, mg]]*1000</f>
        <v>86.598727397574848</v>
      </c>
      <c r="AT784" s="94">
        <f>Table3.110[[#This Row],[CH4 24h, ml]]/'3.2 Digest'!AA784</f>
        <v>-0.10746849964809733</v>
      </c>
      <c r="AU784" s="94">
        <f>((Table3.110[[#This Row],[CH4 24h, ml]]/28.9)*16.04)/Table3.110[[#This Row],[DM Incubated, mg]]*1000</f>
        <v>9.0536062910446446</v>
      </c>
      <c r="AV784" s="94">
        <f>((Table3.110[[#This Row],[CH4 24h, ml]]/28.9)*16.04)/Table3.110[[#This Row],[Digested feed, mg]]*1000</f>
        <v>48.063791953532878</v>
      </c>
      <c r="AW784" s="64"/>
    </row>
    <row r="785" spans="2:49" x14ac:dyDescent="0.35">
      <c r="B785" s="90">
        <f t="shared" si="12"/>
        <v>775</v>
      </c>
      <c r="C785" s="140">
        <v>46076</v>
      </c>
      <c r="D785" s="92" t="s">
        <v>16</v>
      </c>
      <c r="E785" s="6" t="s">
        <v>317</v>
      </c>
      <c r="F785" s="242" t="s">
        <v>290</v>
      </c>
      <c r="G785" s="242" t="s">
        <v>318</v>
      </c>
      <c r="H785" s="6" t="str">
        <f>'[2]1. Information samples'!$K$74</f>
        <v>Indigofera atriceps</v>
      </c>
      <c r="I785" s="6" t="s">
        <v>22</v>
      </c>
      <c r="J785" s="129" t="s">
        <v>23</v>
      </c>
      <c r="K785" s="129" t="s">
        <v>24</v>
      </c>
      <c r="L785" s="6" t="s">
        <v>316</v>
      </c>
      <c r="M785" s="256">
        <v>28</v>
      </c>
      <c r="N785" s="256">
        <v>69</v>
      </c>
      <c r="O785" s="256">
        <v>3</v>
      </c>
      <c r="P785" s="257">
        <v>2</v>
      </c>
      <c r="Q785" s="96">
        <v>194</v>
      </c>
      <c r="R785" s="98">
        <v>0.50009999999999999</v>
      </c>
      <c r="S785" s="94">
        <f>((Table3.110[[#This Row],[Sample weight, g]]*'2.1. DM'!Q193)/100)*1000</f>
        <v>451.80488659679742</v>
      </c>
      <c r="T785" s="94">
        <f>'3.2 Digest'!W785</f>
        <v>154.20488659679745</v>
      </c>
      <c r="U785" s="153">
        <v>0.36875000000000002</v>
      </c>
      <c r="V785" s="155">
        <v>41</v>
      </c>
      <c r="W785" s="153">
        <v>0.74375000000000002</v>
      </c>
      <c r="X785" s="91">
        <v>63.5</v>
      </c>
      <c r="Y785" s="91">
        <v>13</v>
      </c>
      <c r="Z785" s="154">
        <v>40</v>
      </c>
      <c r="AA785" s="153">
        <v>0.41805555555555557</v>
      </c>
      <c r="AB785" s="154">
        <v>68</v>
      </c>
      <c r="AC785" s="154">
        <v>14.7</v>
      </c>
      <c r="AD785" s="91"/>
      <c r="AE785" s="94">
        <f>Table3.110[[#This Row],[Gas 8h, ml]]-Table3.110[[#This Row],[Gas 0h, ml]]</f>
        <v>22.5</v>
      </c>
      <c r="AF785" s="94">
        <f>Table3.110[[#This Row],[Gas 24h, ml]]-Table3.110[[#This Row],[V8 Push back, ml]]</f>
        <v>28</v>
      </c>
      <c r="AG785" s="94">
        <f>Table3.110[[#This Row],[GP 8h, ml]]-AVERAGE(AE$664,AE$665,AE$726,AE$727,AE$788,AE$789)*$AG$8</f>
        <v>20.656235924806332</v>
      </c>
      <c r="AH785" s="94">
        <f>Table3.110[[#This Row],[GP 8-24h, ml]]-AVERAGE(AF$664,AF$665,AF$726,AF$727,AF$788,AF$789)*$AG$8</f>
        <v>25.676857265255975</v>
      </c>
      <c r="AI785" s="94">
        <f>Table3.110[[#This Row],[Net gas 8-24h, ml]]+Table3.110[[#This Row],[Net gas 8h, ml]]</f>
        <v>46.333093190062307</v>
      </c>
      <c r="AJ785" s="94">
        <f>Table3.110[[#This Row],[Net gas 8h, ml]]*Table3.110[[#This Row],[CH4 8h %]]%</f>
        <v>2.6853106702248231</v>
      </c>
      <c r="AK785" s="94">
        <f>Table3.110[[#This Row],[Net gas 8-24h, ml]]*Table3.110[[#This Row],[CH4 24h, %]]%</f>
        <v>3.7744980179926282</v>
      </c>
      <c r="AL785" s="94">
        <f>Table3.110[[#This Row],[CH4 8-24h, ml]]+Table3.110[[#This Row],[CH4 8h, ml]]</f>
        <v>6.4598086882174517</v>
      </c>
      <c r="AM785" s="94">
        <f>(Table3.110[[#This Row],[Net gas 24h, ml]]/Table3.110[[#This Row],[DM Incubated, mg]])*1000</f>
        <v>102.55111125305552</v>
      </c>
      <c r="AN785" s="94">
        <f>'3.2 Digest'!X785</f>
        <v>34.130858512474205</v>
      </c>
      <c r="AO785" s="94">
        <f>Table3.110[[#This Row],[Digested feed, mg]]/Table3.110[[#This Row],[Net gas 24h, ml]]</f>
        <v>3.3281802698610221</v>
      </c>
      <c r="AP785" s="94">
        <f>Table3.110[[#This Row],[CH4 8h, ml]]/Table3.110[[#This Row],[Net gas 8h, ml]]%</f>
        <v>13</v>
      </c>
      <c r="AQ785" s="94">
        <f>Table3.110[[#This Row],[CH4 24h, ml]]/Table3.110[[#This Row],[Net gas 24h, ml]]%</f>
        <v>13.942105401249091</v>
      </c>
      <c r="AR785" s="94">
        <f>Table3.110[[#This Row],[CH4 24h, ml]]/Table3.110[[#This Row],[DM Incubated, mg]]*1000</f>
        <v>14.29778402105322</v>
      </c>
      <c r="AS785" s="94">
        <f>Table3.110[[#This Row],[CH4 24h, ml]]/Table3.110[[#This Row],[Digested feed, mg]]*1000</f>
        <v>41.891076416456507</v>
      </c>
      <c r="AT785" s="94">
        <f>Table3.110[[#This Row],[CH4 24h, ml]]/'3.2 Digest'!AA785</f>
        <v>-0.1754829724426025</v>
      </c>
      <c r="AU785" s="94">
        <f>((Table3.110[[#This Row],[CH4 24h, ml]]/28.9)*16.04)/Table3.110[[#This Row],[DM Incubated, mg]]*1000</f>
        <v>7.9355174981900909</v>
      </c>
      <c r="AV785" s="94">
        <f>((Table3.110[[#This Row],[CH4 24h, ml]]/28.9)*16.04)/Table3.110[[#This Row],[Digested feed, mg]]*1000</f>
        <v>23.250272170240912</v>
      </c>
      <c r="AW785" s="64"/>
    </row>
    <row r="786" spans="2:49" x14ac:dyDescent="0.35">
      <c r="B786" s="90">
        <f t="shared" si="12"/>
        <v>776</v>
      </c>
      <c r="C786" s="140">
        <v>46076</v>
      </c>
      <c r="D786" s="8" t="s">
        <v>120</v>
      </c>
      <c r="E786" s="6" t="s">
        <v>122</v>
      </c>
      <c r="F786" s="133" t="s">
        <v>123</v>
      </c>
      <c r="G786" s="133" t="s">
        <v>545</v>
      </c>
      <c r="H786" s="133" t="s">
        <v>125</v>
      </c>
      <c r="I786" s="133" t="s">
        <v>108</v>
      </c>
      <c r="J786" s="135" t="s">
        <v>109</v>
      </c>
      <c r="K786" s="135" t="s">
        <v>110</v>
      </c>
      <c r="L786" s="6" t="s">
        <v>121</v>
      </c>
      <c r="M786" s="256">
        <v>28</v>
      </c>
      <c r="N786" s="256">
        <v>69</v>
      </c>
      <c r="O786" s="256">
        <v>3</v>
      </c>
      <c r="P786" s="257">
        <v>1</v>
      </c>
      <c r="Q786" s="96">
        <v>195</v>
      </c>
      <c r="R786" s="98">
        <v>0.50019999999999998</v>
      </c>
      <c r="S786" s="94">
        <f>((Table3.110[[#This Row],[Sample weight, g]]*'2.1. DM'!Q195)/100)*1000</f>
        <v>467.93709999999999</v>
      </c>
      <c r="T786" s="94">
        <f>'3.2 Digest'!W786</f>
        <v>198.13710000000003</v>
      </c>
      <c r="U786" s="153">
        <v>0.36944444444444446</v>
      </c>
      <c r="V786" s="155">
        <v>40.5</v>
      </c>
      <c r="W786" s="153">
        <v>0.74444444444444446</v>
      </c>
      <c r="X786" s="91">
        <v>75</v>
      </c>
      <c r="Y786" s="91">
        <v>14.1</v>
      </c>
      <c r="Z786" s="154">
        <v>40</v>
      </c>
      <c r="AA786" s="153">
        <v>0.41875000000000001</v>
      </c>
      <c r="AB786" s="154">
        <v>80</v>
      </c>
      <c r="AC786" s="154">
        <v>16.5</v>
      </c>
      <c r="AD786" s="91"/>
      <c r="AE786" s="94">
        <f>Table3.110[[#This Row],[Gas 8h, ml]]-Table3.110[[#This Row],[Gas 0h, ml]]</f>
        <v>34.5</v>
      </c>
      <c r="AF786" s="94">
        <f>Table3.110[[#This Row],[Gas 24h, ml]]-Table3.110[[#This Row],[V8 Push back, ml]]</f>
        <v>40</v>
      </c>
      <c r="AG786" s="94">
        <f>Table3.110[[#This Row],[GP 8h, ml]]-AVERAGE(AE$664,AE$665,AE$726,AE$727,AE$788,AE$789)*$AG$8</f>
        <v>32.656235924806332</v>
      </c>
      <c r="AH786" s="94">
        <f>Table3.110[[#This Row],[GP 8-24h, ml]]-AVERAGE(AF$664,AF$665,AF$726,AF$727,AF$788,AF$789)*$AG$8</f>
        <v>37.676857265255975</v>
      </c>
      <c r="AI786" s="94">
        <f>Table3.110[[#This Row],[Net gas 8-24h, ml]]+Table3.110[[#This Row],[Net gas 8h, ml]]</f>
        <v>70.3330931900623</v>
      </c>
      <c r="AJ786" s="94">
        <f>Table3.110[[#This Row],[Net gas 8h, ml]]*Table3.110[[#This Row],[CH4 8h %]]%</f>
        <v>4.6045292653976926</v>
      </c>
      <c r="AK786" s="94">
        <f>Table3.110[[#This Row],[Net gas 8-24h, ml]]*Table3.110[[#This Row],[CH4 24h, %]]%</f>
        <v>6.2166814487672362</v>
      </c>
      <c r="AL786" s="94">
        <f>Table3.110[[#This Row],[CH4 8-24h, ml]]+Table3.110[[#This Row],[CH4 8h, ml]]</f>
        <v>10.821210714164929</v>
      </c>
      <c r="AM786" s="94">
        <f>(Table3.110[[#This Row],[Net gas 24h, ml]]/Table3.110[[#This Row],[DM Incubated, mg]])*1000</f>
        <v>150.3045883518582</v>
      </c>
      <c r="AN786" s="94">
        <f>'3.2 Digest'!X786</f>
        <v>42.342678107805519</v>
      </c>
      <c r="AO786" s="94">
        <f>Table3.110[[#This Row],[Digested feed, mg]]/Table3.110[[#This Row],[Net gas 24h, ml]]</f>
        <v>2.8171247845529956</v>
      </c>
      <c r="AP786" s="94">
        <f>Table3.110[[#This Row],[CH4 8h, ml]]/Table3.110[[#This Row],[Net gas 8h, ml]]%</f>
        <v>14.1</v>
      </c>
      <c r="AQ786" s="94">
        <f>Table3.110[[#This Row],[CH4 24h, ml]]/Table3.110[[#This Row],[Net gas 24h, ml]]%</f>
        <v>15.385660182643452</v>
      </c>
      <c r="AR786" s="94">
        <f>Table3.110[[#This Row],[CH4 24h, ml]]/Table3.110[[#This Row],[DM Incubated, mg]]*1000</f>
        <v>23.125353202737994</v>
      </c>
      <c r="AS786" s="94">
        <f>Table3.110[[#This Row],[CH4 24h, ml]]/Table3.110[[#This Row],[Digested feed, mg]]*1000</f>
        <v>54.614762778727084</v>
      </c>
      <c r="AT786" s="94">
        <f>Table3.110[[#This Row],[CH4 24h, ml]]/'3.2 Digest'!AA786</f>
        <v>0.44651548464613861</v>
      </c>
      <c r="AU786" s="94">
        <f>((Table3.110[[#This Row],[CH4 24h, ml]]/28.9)*16.04)/Table3.110[[#This Row],[DM Incubated, mg]]*1000</f>
        <v>12.834971120135551</v>
      </c>
      <c r="AV786" s="94">
        <f>((Table3.110[[#This Row],[CH4 24h, ml]]/28.9)*16.04)/Table3.110[[#This Row],[Digested feed, mg]]*1000</f>
        <v>30.312138234283132</v>
      </c>
      <c r="AW786" s="64"/>
    </row>
    <row r="787" spans="2:49" x14ac:dyDescent="0.35">
      <c r="B787" s="90">
        <f t="shared" si="12"/>
        <v>777</v>
      </c>
      <c r="C787" s="140">
        <v>46076</v>
      </c>
      <c r="D787" s="8" t="s">
        <v>120</v>
      </c>
      <c r="E787" s="6" t="s">
        <v>122</v>
      </c>
      <c r="F787" s="133" t="s">
        <v>123</v>
      </c>
      <c r="G787" s="133" t="s">
        <v>545</v>
      </c>
      <c r="H787" s="133" t="s">
        <v>125</v>
      </c>
      <c r="I787" s="133" t="s">
        <v>108</v>
      </c>
      <c r="J787" s="135" t="s">
        <v>109</v>
      </c>
      <c r="K787" s="135" t="s">
        <v>110</v>
      </c>
      <c r="L787" s="6" t="s">
        <v>121</v>
      </c>
      <c r="M787" s="256">
        <v>28</v>
      </c>
      <c r="N787" s="256">
        <v>69</v>
      </c>
      <c r="O787" s="256">
        <v>3</v>
      </c>
      <c r="P787" s="257">
        <v>2</v>
      </c>
      <c r="Q787" s="96">
        <v>196</v>
      </c>
      <c r="R787" s="98">
        <v>0.5</v>
      </c>
      <c r="S787" s="94">
        <f>((Table3.110[[#This Row],[Sample weight, g]]*'2.1. DM'!Q195)/100)*1000</f>
        <v>467.75</v>
      </c>
      <c r="T787" s="94">
        <f>'3.2 Digest'!W787</f>
        <v>31.549999999999955</v>
      </c>
      <c r="U787" s="117">
        <v>0.36944444444444446</v>
      </c>
      <c r="V787" s="155">
        <v>41</v>
      </c>
      <c r="W787" s="117">
        <v>0.74444444444444446</v>
      </c>
      <c r="X787" s="96">
        <v>65.5</v>
      </c>
      <c r="Y787" s="96">
        <v>14.2</v>
      </c>
      <c r="Z787" s="155">
        <v>40</v>
      </c>
      <c r="AA787" s="117">
        <v>0.41944444444444445</v>
      </c>
      <c r="AB787" s="155">
        <v>80</v>
      </c>
      <c r="AC787" s="155">
        <v>16</v>
      </c>
      <c r="AD787" s="96"/>
      <c r="AE787" s="94">
        <f>Table3.110[[#This Row],[Gas 8h, ml]]-Table3.110[[#This Row],[Gas 0h, ml]]</f>
        <v>24.5</v>
      </c>
      <c r="AF787" s="94">
        <f>Table3.110[[#This Row],[Gas 24h, ml]]-Table3.110[[#This Row],[V8 Push back, ml]]</f>
        <v>40</v>
      </c>
      <c r="AG787" s="94"/>
      <c r="AH787" s="94"/>
      <c r="AI787" s="94"/>
      <c r="AJ787" s="94"/>
      <c r="AK787" s="94"/>
      <c r="AL787" s="94"/>
      <c r="AM787" s="94"/>
      <c r="AN787" s="94"/>
      <c r="AO787" s="94"/>
      <c r="AP787" s="94"/>
      <c r="AQ787" s="94"/>
      <c r="AR787" s="94"/>
      <c r="AS787" s="94"/>
      <c r="AT787" s="94"/>
      <c r="AU787" s="94"/>
      <c r="AV787" s="94"/>
      <c r="AW787" s="64" t="s">
        <v>659</v>
      </c>
    </row>
    <row r="788" spans="2:49" x14ac:dyDescent="0.35">
      <c r="B788" s="90">
        <f t="shared" si="12"/>
        <v>778</v>
      </c>
      <c r="C788" s="140">
        <v>46076</v>
      </c>
      <c r="D788" s="92"/>
      <c r="E788" s="6" t="s">
        <v>537</v>
      </c>
      <c r="F788" s="242" t="s">
        <v>538</v>
      </c>
      <c r="G788" s="242">
        <v>24</v>
      </c>
      <c r="H788" s="6" t="s">
        <v>537</v>
      </c>
      <c r="I788" s="242"/>
      <c r="J788" s="243"/>
      <c r="K788" s="243"/>
      <c r="L788" s="6" t="s">
        <v>539</v>
      </c>
      <c r="M788" s="256">
        <v>28</v>
      </c>
      <c r="N788" s="256">
        <v>69</v>
      </c>
      <c r="O788" s="256">
        <v>3</v>
      </c>
      <c r="P788" s="257">
        <v>1</v>
      </c>
      <c r="Q788" s="96">
        <v>197</v>
      </c>
      <c r="R788" s="98"/>
      <c r="S788" s="94"/>
      <c r="T788" s="94">
        <f>'3.2 Digest'!W788</f>
        <v>0</v>
      </c>
      <c r="U788" s="153">
        <v>0.36944444444444446</v>
      </c>
      <c r="V788" s="154">
        <v>39</v>
      </c>
      <c r="W788" s="153">
        <v>0.74583333333333335</v>
      </c>
      <c r="X788" s="91">
        <v>41</v>
      </c>
      <c r="Y788" s="91"/>
      <c r="Z788" s="154">
        <v>39</v>
      </c>
      <c r="AA788" s="153">
        <v>0.4201388888888889</v>
      </c>
      <c r="AB788" s="154">
        <v>41.5</v>
      </c>
      <c r="AC788" s="154"/>
      <c r="AD788" s="91"/>
      <c r="AE788" s="94">
        <f>Table3.110[[#This Row],[Gas 8h, ml]]-Table3.110[[#This Row],[Gas 0h, ml]]</f>
        <v>2</v>
      </c>
      <c r="AF788" s="94">
        <f>Table3.110[[#This Row],[Gas 24h, ml]]-Table3.110[[#This Row],[V8 Push back, ml]]</f>
        <v>2.5</v>
      </c>
      <c r="AG788" s="94"/>
      <c r="AH788" s="94"/>
      <c r="AI788" s="94"/>
      <c r="AJ788" s="94"/>
      <c r="AK788" s="94"/>
      <c r="AL788" s="94"/>
      <c r="AM788" s="94"/>
      <c r="AN788" s="94"/>
      <c r="AO788" s="94"/>
      <c r="AP788" s="94"/>
      <c r="AQ788" s="94"/>
      <c r="AR788" s="94"/>
      <c r="AS788" s="94"/>
      <c r="AT788" s="94"/>
      <c r="AU788" s="94"/>
      <c r="AV788" s="94"/>
      <c r="AW788" s="64"/>
    </row>
    <row r="789" spans="2:49" x14ac:dyDescent="0.35">
      <c r="B789" s="90">
        <f t="shared" si="12"/>
        <v>779</v>
      </c>
      <c r="C789" s="140">
        <v>46076</v>
      </c>
      <c r="D789" s="92"/>
      <c r="E789" s="6" t="s">
        <v>537</v>
      </c>
      <c r="F789" s="242" t="s">
        <v>538</v>
      </c>
      <c r="G789" s="242">
        <v>24</v>
      </c>
      <c r="H789" s="6" t="s">
        <v>537</v>
      </c>
      <c r="I789" s="242"/>
      <c r="J789" s="243"/>
      <c r="K789" s="243"/>
      <c r="L789" s="6" t="s">
        <v>539</v>
      </c>
      <c r="M789" s="256">
        <v>28</v>
      </c>
      <c r="N789" s="256">
        <v>69</v>
      </c>
      <c r="O789" s="256">
        <v>3</v>
      </c>
      <c r="P789" s="257">
        <v>2</v>
      </c>
      <c r="Q789" s="96">
        <v>198</v>
      </c>
      <c r="R789" s="98"/>
      <c r="S789" s="94"/>
      <c r="T789" s="94">
        <f>'3.2 Digest'!W789</f>
        <v>0</v>
      </c>
      <c r="U789" s="117">
        <v>0.36944444444444446</v>
      </c>
      <c r="V789" s="155">
        <v>40</v>
      </c>
      <c r="W789" s="117">
        <v>0.74583333333333335</v>
      </c>
      <c r="X789" s="96">
        <v>42</v>
      </c>
      <c r="Y789" s="96"/>
      <c r="Z789" s="155">
        <v>40</v>
      </c>
      <c r="AA789" s="117">
        <v>0.4201388888888889</v>
      </c>
      <c r="AB789" s="155">
        <v>42</v>
      </c>
      <c r="AC789" s="155"/>
      <c r="AD789" s="96"/>
      <c r="AE789" s="94">
        <f>Table3.110[[#This Row],[Gas 8h, ml]]-Table3.110[[#This Row],[Gas 0h, ml]]</f>
        <v>2</v>
      </c>
      <c r="AF789" s="94">
        <f>Table3.110[[#This Row],[Gas 24h, ml]]-Table3.110[[#This Row],[V8 Push back, ml]]</f>
        <v>2</v>
      </c>
      <c r="AG789" s="94"/>
      <c r="AH789" s="94"/>
      <c r="AI789" s="94"/>
      <c r="AJ789" s="94"/>
      <c r="AK789" s="94"/>
      <c r="AL789" s="94"/>
      <c r="AM789" s="94"/>
      <c r="AN789" s="94"/>
      <c r="AO789" s="94"/>
      <c r="AP789" s="94"/>
      <c r="AQ789" s="94"/>
      <c r="AR789" s="94"/>
      <c r="AS789" s="94"/>
      <c r="AT789" s="94"/>
      <c r="AU789" s="94"/>
      <c r="AV789" s="94"/>
      <c r="AW789" s="64"/>
    </row>
    <row r="790" spans="2:49" x14ac:dyDescent="0.35">
      <c r="B790" s="90">
        <f t="shared" si="12"/>
        <v>780</v>
      </c>
      <c r="C790" s="139">
        <v>46055</v>
      </c>
      <c r="D790" s="92"/>
      <c r="E790" s="320" t="s">
        <v>537</v>
      </c>
      <c r="F790" s="6" t="s">
        <v>538</v>
      </c>
      <c r="G790" s="6">
        <v>24</v>
      </c>
      <c r="H790" s="320" t="s">
        <v>537</v>
      </c>
      <c r="I790" s="277"/>
      <c r="J790" s="278"/>
      <c r="K790" s="320"/>
      <c r="L790" s="320" t="s">
        <v>539</v>
      </c>
      <c r="M790" s="93">
        <v>29</v>
      </c>
      <c r="N790" s="93">
        <v>62</v>
      </c>
      <c r="O790" s="6">
        <v>1</v>
      </c>
      <c r="P790" s="6">
        <v>1</v>
      </c>
      <c r="Q790" s="6">
        <v>161</v>
      </c>
      <c r="R790" s="93"/>
      <c r="S790" s="94"/>
      <c r="T790" s="94"/>
      <c r="U790" s="153">
        <v>0.38541666666666669</v>
      </c>
      <c r="V790" s="154">
        <v>40</v>
      </c>
      <c r="W790" s="153"/>
      <c r="X790" s="95">
        <v>40</v>
      </c>
      <c r="Y790" s="95"/>
      <c r="Z790" s="154">
        <v>39.5</v>
      </c>
      <c r="AA790" s="153">
        <v>0.40486111111111112</v>
      </c>
      <c r="AB790" s="154">
        <v>41</v>
      </c>
      <c r="AC790" s="154"/>
      <c r="AD790" s="91"/>
      <c r="AE790" s="94">
        <f>Table3.110[[#This Row],[Gas 8h, ml]]-Table3.110[[#This Row],[Gas 0h, ml]]</f>
        <v>0</v>
      </c>
      <c r="AF790" s="94">
        <f>Table3.110[[#This Row],[Gas 24h, ml]]-Table3.110[[#This Row],[V8 Push back, ml]]</f>
        <v>1.5</v>
      </c>
      <c r="AG790" s="94"/>
      <c r="AH790" s="94"/>
      <c r="AI790" s="94"/>
      <c r="AJ790" s="94"/>
      <c r="AK790" s="94"/>
      <c r="AL790" s="94"/>
      <c r="AM790" s="94"/>
      <c r="AN790" s="94"/>
      <c r="AO790" s="94"/>
      <c r="AP790" s="94"/>
      <c r="AQ790" s="94"/>
      <c r="AR790" s="94"/>
      <c r="AS790" s="94"/>
      <c r="AT790" s="94"/>
      <c r="AU790" s="94"/>
      <c r="AV790" s="94"/>
      <c r="AW790" s="64"/>
    </row>
    <row r="791" spans="2:49" x14ac:dyDescent="0.35">
      <c r="B791" s="90">
        <f t="shared" si="12"/>
        <v>781</v>
      </c>
      <c r="C791" s="140">
        <v>46055</v>
      </c>
      <c r="D791" s="92"/>
      <c r="E791" s="320" t="s">
        <v>537</v>
      </c>
      <c r="F791" s="6" t="s">
        <v>538</v>
      </c>
      <c r="G791" s="6">
        <v>24</v>
      </c>
      <c r="H791" s="320" t="s">
        <v>537</v>
      </c>
      <c r="I791" s="277"/>
      <c r="J791" s="278"/>
      <c r="K791" s="320"/>
      <c r="L791" s="320" t="s">
        <v>539</v>
      </c>
      <c r="M791" s="93">
        <v>29</v>
      </c>
      <c r="N791" s="93">
        <v>62</v>
      </c>
      <c r="O791" s="6">
        <v>1</v>
      </c>
      <c r="P791" s="129">
        <v>2</v>
      </c>
      <c r="Q791" s="6">
        <v>162</v>
      </c>
      <c r="R791" s="93"/>
      <c r="S791" s="94"/>
      <c r="T791" s="94"/>
      <c r="U791" s="117">
        <v>0.38541666666666669</v>
      </c>
      <c r="V791" s="155">
        <v>40</v>
      </c>
      <c r="W791" s="117"/>
      <c r="X791" s="97">
        <v>40.5</v>
      </c>
      <c r="Y791" s="97"/>
      <c r="Z791" s="155">
        <v>40</v>
      </c>
      <c r="AA791" s="117">
        <v>0.40486111111111112</v>
      </c>
      <c r="AB791" s="155">
        <v>41</v>
      </c>
      <c r="AC791" s="155"/>
      <c r="AD791" s="96"/>
      <c r="AE791" s="94">
        <f>Table3.110[[#This Row],[Gas 8h, ml]]-Table3.110[[#This Row],[Gas 0h, ml]]</f>
        <v>0.5</v>
      </c>
      <c r="AF791" s="94">
        <f>Table3.110[[#This Row],[Gas 24h, ml]]-Table3.110[[#This Row],[V8 Push back, ml]]</f>
        <v>1</v>
      </c>
      <c r="AG791" s="94"/>
      <c r="AH791" s="94"/>
      <c r="AI791" s="94"/>
      <c r="AJ791" s="94"/>
      <c r="AK791" s="94"/>
      <c r="AL791" s="94"/>
      <c r="AM791" s="94"/>
      <c r="AN791" s="94"/>
      <c r="AO791" s="94"/>
      <c r="AP791" s="94"/>
      <c r="AQ791" s="94"/>
      <c r="AR791" s="94"/>
      <c r="AS791" s="94"/>
      <c r="AT791" s="94"/>
      <c r="AU791" s="94"/>
      <c r="AV791" s="94"/>
      <c r="AW791" s="64"/>
    </row>
    <row r="792" spans="2:49" x14ac:dyDescent="0.35">
      <c r="B792" s="90">
        <f t="shared" si="12"/>
        <v>782</v>
      </c>
      <c r="C792" s="139">
        <v>46055</v>
      </c>
      <c r="D792" s="6" t="s">
        <v>16</v>
      </c>
      <c r="E792" s="6" t="s">
        <v>322</v>
      </c>
      <c r="F792" s="6" t="s">
        <v>290</v>
      </c>
      <c r="G792" s="6" t="s">
        <v>318</v>
      </c>
      <c r="H792" s="6" t="s">
        <v>319</v>
      </c>
      <c r="I792" s="6" t="s">
        <v>22</v>
      </c>
      <c r="J792" s="129" t="s">
        <v>23</v>
      </c>
      <c r="K792" s="129" t="s">
        <v>215</v>
      </c>
      <c r="L792" s="6" t="s">
        <v>321</v>
      </c>
      <c r="M792" s="93">
        <v>29</v>
      </c>
      <c r="N792" s="93">
        <v>62</v>
      </c>
      <c r="O792" s="6">
        <v>1</v>
      </c>
      <c r="P792" s="129">
        <v>1</v>
      </c>
      <c r="Q792" s="6">
        <v>93</v>
      </c>
      <c r="R792" s="98">
        <v>0.50039999999999996</v>
      </c>
      <c r="S792" s="94">
        <f>((Table3.110[[#This Row],[Sample weight, g]]*'2.1. DM'!Q197)/100)*1000</f>
        <v>448.04098141757436</v>
      </c>
      <c r="T792" s="94"/>
      <c r="U792" s="153">
        <v>0.36319444444444443</v>
      </c>
      <c r="V792" s="154">
        <v>41</v>
      </c>
      <c r="W792" s="153">
        <v>0.70486111111111116</v>
      </c>
      <c r="X792" s="95">
        <v>71</v>
      </c>
      <c r="Y792" s="95">
        <v>12.9</v>
      </c>
      <c r="Z792" s="154">
        <v>40.5</v>
      </c>
      <c r="AA792" s="153">
        <v>0.37986111111111109</v>
      </c>
      <c r="AB792" s="154">
        <v>70.5</v>
      </c>
      <c r="AC792" s="154">
        <v>14.8</v>
      </c>
      <c r="AD792" s="91"/>
      <c r="AE792" s="94">
        <f>Table3.110[[#This Row],[Gas 8h, ml]]-Table3.110[[#This Row],[Gas 0h, ml]]</f>
        <v>30</v>
      </c>
      <c r="AF792" s="94">
        <f>Table3.110[[#This Row],[Gas 24h, ml]]-Table3.110[[#This Row],[V8 Push back, ml]]</f>
        <v>30</v>
      </c>
      <c r="AG792" s="94"/>
      <c r="AH792" s="94"/>
      <c r="AI792" s="94"/>
      <c r="AJ792" s="94"/>
      <c r="AK792" s="94"/>
      <c r="AL792" s="94"/>
      <c r="AM792" s="94"/>
      <c r="AN792" s="94"/>
      <c r="AO792" s="94"/>
      <c r="AP792" s="94"/>
      <c r="AQ792" s="94"/>
      <c r="AR792" s="94"/>
      <c r="AS792" s="94"/>
      <c r="AT792" s="94"/>
      <c r="AU792" s="94"/>
      <c r="AV792" s="94"/>
      <c r="AW792" s="64"/>
    </row>
    <row r="793" spans="2:49" x14ac:dyDescent="0.35">
      <c r="B793" s="90">
        <f t="shared" si="12"/>
        <v>783</v>
      </c>
      <c r="C793" s="140">
        <v>46055</v>
      </c>
      <c r="D793" s="6" t="s">
        <v>16</v>
      </c>
      <c r="E793" s="6" t="s">
        <v>322</v>
      </c>
      <c r="F793" s="6" t="s">
        <v>290</v>
      </c>
      <c r="G793" s="6" t="s">
        <v>318</v>
      </c>
      <c r="H793" s="6" t="s">
        <v>319</v>
      </c>
      <c r="I793" s="6" t="s">
        <v>22</v>
      </c>
      <c r="J793" s="129" t="s">
        <v>23</v>
      </c>
      <c r="K793" s="129" t="s">
        <v>215</v>
      </c>
      <c r="L793" s="6" t="s">
        <v>321</v>
      </c>
      <c r="M793" s="93">
        <v>29</v>
      </c>
      <c r="N793" s="93">
        <v>62</v>
      </c>
      <c r="O793" s="6">
        <v>1</v>
      </c>
      <c r="P793" s="6">
        <v>2</v>
      </c>
      <c r="Q793" s="6">
        <v>94</v>
      </c>
      <c r="R793" s="98">
        <v>0.50049999999999994</v>
      </c>
      <c r="S793" s="94">
        <f>((Table3.110[[#This Row],[Sample weight, g]]*'2.1. DM'!Q197)/100)*1000</f>
        <v>448.13051798460424</v>
      </c>
      <c r="T793" s="94">
        <f>'3.2 Digest'!W793</f>
        <v>122.83051798460423</v>
      </c>
      <c r="U793" s="117">
        <v>0.36388888888888887</v>
      </c>
      <c r="V793" s="155">
        <v>40.5</v>
      </c>
      <c r="W793" s="117">
        <v>0.7055555555555556</v>
      </c>
      <c r="X793" s="97">
        <v>70.5</v>
      </c>
      <c r="Y793" s="97">
        <v>12.9</v>
      </c>
      <c r="Z793" s="155">
        <v>40</v>
      </c>
      <c r="AA793" s="117">
        <v>0.38055555555555554</v>
      </c>
      <c r="AB793" s="155">
        <v>70</v>
      </c>
      <c r="AC793" s="155">
        <v>14.5</v>
      </c>
      <c r="AD793" s="96"/>
      <c r="AE793" s="94">
        <f>Table3.110[[#This Row],[Gas 8h, ml]]-Table3.110[[#This Row],[Gas 0h, ml]]</f>
        <v>30</v>
      </c>
      <c r="AF793" s="94">
        <f>Table3.110[[#This Row],[Gas 24h, ml]]-Table3.110[[#This Row],[V8 Push back, ml]]</f>
        <v>30</v>
      </c>
      <c r="AG793" s="94">
        <f>Table3.110[[#This Row],[GP 8h, ml]]-(AVERAGE(AE$790,AE$791,AE$840,AE$841,AE$860,AE$861))*$AG$8</f>
        <v>28.81999099187605</v>
      </c>
      <c r="AH793" s="94">
        <f>Table3.110[[#This Row],[GP 8-24h, ml]]-(AVERAGE(AF$790,AF$791,AF$840,AF$841,AF$860,AF$861))*$AG$8</f>
        <v>27.123728042697874</v>
      </c>
      <c r="AI793" s="94">
        <f>Table3.110[[#This Row],[Net gas 8-24h, ml]]+Table3.110[[#This Row],[Net gas 8h, ml]]</f>
        <v>55.943719034573924</v>
      </c>
      <c r="AJ793" s="94">
        <f>Table3.110[[#This Row],[Net gas 8h, ml]]*Table3.110[[#This Row],[CH4 8h %]]%</f>
        <v>3.7177788379520105</v>
      </c>
      <c r="AK793" s="94">
        <f>Table3.110[[#This Row],[Net gas 8-24h, ml]]*Table3.110[[#This Row],[CH4 24h, %]]%</f>
        <v>3.9329405661911916</v>
      </c>
      <c r="AL793" s="94">
        <f>Table3.110[[#This Row],[CH4 8-24h, ml]]+Table3.110[[#This Row],[CH4 8h, ml]]</f>
        <v>7.6507194041432021</v>
      </c>
      <c r="AM793" s="94">
        <f>(Table3.110[[#This Row],[Net gas 24h, ml]]/Table3.110[[#This Row],[DM Incubated, mg]])*1000</f>
        <v>124.83800319195377</v>
      </c>
      <c r="AN793" s="94">
        <f>'3.2 Digest'!X793</f>
        <v>27.409540983063362</v>
      </c>
      <c r="AO793" s="94">
        <f>Table3.110[[#This Row],[Digested feed, mg]]/Table3.110[[#This Row],[Net gas 24h, ml]]</f>
        <v>2.1956087314948336</v>
      </c>
      <c r="AP793" s="94">
        <f>Table3.110[[#This Row],[CH4 8h, ml]]/Table3.110[[#This Row],[Net gas 8h, ml]]%</f>
        <v>12.9</v>
      </c>
      <c r="AQ793" s="94">
        <f>Table3.110[[#This Row],[CH4 24h, ml]]/Table3.110[[#This Row],[Net gas 24h, ml]]%</f>
        <v>13.675743293746633</v>
      </c>
      <c r="AR793" s="94">
        <f>Table3.110[[#This Row],[CH4 24h, ml]]/Table3.110[[#This Row],[DM Incubated, mg]]*1000</f>
        <v>17.072524849570826</v>
      </c>
      <c r="AS793" s="94">
        <f>Table3.110[[#This Row],[CH4 24h, ml]]/Table3.110[[#This Row],[Digested feed, mg]]*1000</f>
        <v>62.286795901179502</v>
      </c>
      <c r="AT793" s="94">
        <f>Table3.110[[#This Row],[CH4 24h, ml]]/'3.2 Digest'!AA793</f>
        <v>-0.20293249247268508</v>
      </c>
      <c r="AU793" s="94">
        <f>((Table3.110[[#This Row],[CH4 24h, ml]]/28.9)*16.04)/Table3.110[[#This Row],[DM Incubated, mg]]*1000</f>
        <v>9.4755466639140504</v>
      </c>
      <c r="AV793" s="94">
        <f>((Table3.110[[#This Row],[CH4 24h, ml]]/28.9)*16.04)/Table3.110[[#This Row],[Digested feed, mg]]*1000</f>
        <v>34.570249351381293</v>
      </c>
      <c r="AW793" s="64"/>
    </row>
    <row r="794" spans="2:49" x14ac:dyDescent="0.35">
      <c r="B794" s="90">
        <f t="shared" si="12"/>
        <v>784</v>
      </c>
      <c r="C794" s="139">
        <v>46055</v>
      </c>
      <c r="D794" s="6" t="s">
        <v>16</v>
      </c>
      <c r="E794" s="6" t="s">
        <v>322</v>
      </c>
      <c r="F794" s="6" t="s">
        <v>290</v>
      </c>
      <c r="G794" s="6" t="s">
        <v>318</v>
      </c>
      <c r="H794" s="6" t="s">
        <v>319</v>
      </c>
      <c r="I794" s="6" t="s">
        <v>22</v>
      </c>
      <c r="J794" s="129" t="s">
        <v>23</v>
      </c>
      <c r="K794" s="129" t="s">
        <v>215</v>
      </c>
      <c r="L794" s="6" t="s">
        <v>321</v>
      </c>
      <c r="M794" s="93">
        <v>29</v>
      </c>
      <c r="N794" s="93">
        <v>62</v>
      </c>
      <c r="O794" s="6">
        <v>1</v>
      </c>
      <c r="P794" s="129">
        <v>3</v>
      </c>
      <c r="Q794" s="6">
        <v>95</v>
      </c>
      <c r="R794" s="98">
        <v>0.50060000000000004</v>
      </c>
      <c r="S794" s="94">
        <f>((Table3.110[[#This Row],[Sample weight, g]]*'2.1. DM'!Q197)/100)*1000</f>
        <v>448.22005455163423</v>
      </c>
      <c r="T794" s="94">
        <f>'3.2 Digest'!W794</f>
        <v>73.120054551634155</v>
      </c>
      <c r="U794" s="153">
        <v>0.36458333333333331</v>
      </c>
      <c r="V794" s="154">
        <v>41</v>
      </c>
      <c r="W794" s="153">
        <v>0.7055555555555556</v>
      </c>
      <c r="X794" s="95">
        <v>71</v>
      </c>
      <c r="Y794" s="95">
        <v>12.7</v>
      </c>
      <c r="Z794" s="154">
        <v>40</v>
      </c>
      <c r="AA794" s="153">
        <v>0.38055555555555554</v>
      </c>
      <c r="AB794" s="154">
        <v>69</v>
      </c>
      <c r="AC794" s="154">
        <v>15.2</v>
      </c>
      <c r="AD794" s="91"/>
      <c r="AE794" s="94">
        <f>Table3.110[[#This Row],[Gas 8h, ml]]-Table3.110[[#This Row],[Gas 0h, ml]]</f>
        <v>30</v>
      </c>
      <c r="AF794" s="94">
        <f>Table3.110[[#This Row],[Gas 24h, ml]]-Table3.110[[#This Row],[V8 Push back, ml]]</f>
        <v>29</v>
      </c>
      <c r="AG794" s="94"/>
      <c r="AH794" s="94"/>
      <c r="AI794" s="94"/>
      <c r="AJ794" s="94"/>
      <c r="AK794" s="94"/>
      <c r="AL794" s="94"/>
      <c r="AM794" s="94"/>
      <c r="AN794" s="94"/>
      <c r="AO794" s="94"/>
      <c r="AP794" s="94"/>
      <c r="AQ794" s="94"/>
      <c r="AR794" s="94"/>
      <c r="AS794" s="94"/>
      <c r="AT794" s="94"/>
      <c r="AU794" s="94"/>
      <c r="AV794" s="94"/>
      <c r="AW794" s="64" t="s">
        <v>660</v>
      </c>
    </row>
    <row r="795" spans="2:49" x14ac:dyDescent="0.35">
      <c r="B795" s="90">
        <f t="shared" si="12"/>
        <v>785</v>
      </c>
      <c r="C795" s="140">
        <v>46055</v>
      </c>
      <c r="D795" s="6" t="s">
        <v>16</v>
      </c>
      <c r="E795" s="6" t="s">
        <v>326</v>
      </c>
      <c r="F795" s="6" t="s">
        <v>290</v>
      </c>
      <c r="G795" s="6" t="s">
        <v>318</v>
      </c>
      <c r="H795" s="6" t="s">
        <v>319</v>
      </c>
      <c r="I795" s="6" t="s">
        <v>22</v>
      </c>
      <c r="J795" s="129" t="s">
        <v>23</v>
      </c>
      <c r="K795" s="129" t="s">
        <v>215</v>
      </c>
      <c r="L795" s="6" t="s">
        <v>325</v>
      </c>
      <c r="M795" s="93">
        <v>29</v>
      </c>
      <c r="N795" s="93">
        <v>62</v>
      </c>
      <c r="O795" s="6">
        <v>1</v>
      </c>
      <c r="P795" s="129">
        <v>1</v>
      </c>
      <c r="Q795" s="6">
        <v>96</v>
      </c>
      <c r="R795" s="98">
        <v>0.5</v>
      </c>
      <c r="S795" s="94">
        <f>((Table3.110[[#This Row],[Sample weight, g]]*'2.1. DM'!Q199)/100)*1000</f>
        <v>464.70529911615881</v>
      </c>
      <c r="T795" s="94">
        <f>'3.2 Digest'!W795</f>
        <v>124.30529911615878</v>
      </c>
      <c r="U795" s="117">
        <v>0.36458333333333331</v>
      </c>
      <c r="V795" s="155">
        <v>41.5</v>
      </c>
      <c r="W795" s="117">
        <v>0.70625000000000004</v>
      </c>
      <c r="X795" s="97">
        <v>67</v>
      </c>
      <c r="Y795" s="97">
        <v>11.4</v>
      </c>
      <c r="Z795" s="155">
        <v>40</v>
      </c>
      <c r="AA795" s="117">
        <v>0.38124999999999998</v>
      </c>
      <c r="AB795" s="155">
        <v>70.5</v>
      </c>
      <c r="AC795" s="155">
        <v>13.9</v>
      </c>
      <c r="AD795" s="96"/>
      <c r="AE795" s="94">
        <f>Table3.110[[#This Row],[Gas 8h, ml]]-Table3.110[[#This Row],[Gas 0h, ml]]</f>
        <v>25.5</v>
      </c>
      <c r="AF795" s="94">
        <f>Table3.110[[#This Row],[Gas 24h, ml]]-Table3.110[[#This Row],[V8 Push back, ml]]</f>
        <v>30.5</v>
      </c>
      <c r="AG795" s="94">
        <f>Table3.110[[#This Row],[GP 8h, ml]]-(AVERAGE(AE$790,AE$791,AE$840,AE$841,AE$860,AE$861))*$AG$8</f>
        <v>24.31999099187605</v>
      </c>
      <c r="AH795" s="94">
        <f>Table3.110[[#This Row],[GP 8-24h, ml]]-(AVERAGE(AF$790,AF$791,AF$840,AF$841,AF$860,AF$861))*$AG$8</f>
        <v>27.623728042697874</v>
      </c>
      <c r="AI795" s="94">
        <f>Table3.110[[#This Row],[Net gas 8-24h, ml]]+Table3.110[[#This Row],[Net gas 8h, ml]]</f>
        <v>51.943719034573924</v>
      </c>
      <c r="AJ795" s="94">
        <f>Table3.110[[#This Row],[Net gas 8h, ml]]*Table3.110[[#This Row],[CH4 8h %]]%</f>
        <v>2.7724789730738699</v>
      </c>
      <c r="AK795" s="94">
        <f>Table3.110[[#This Row],[Net gas 8-24h, ml]]*Table3.110[[#This Row],[CH4 24h, %]]%</f>
        <v>3.8396981979350047</v>
      </c>
      <c r="AL795" s="94">
        <f>Table3.110[[#This Row],[CH4 8-24h, ml]]+Table3.110[[#This Row],[CH4 8h, ml]]</f>
        <v>6.6121771710088746</v>
      </c>
      <c r="AM795" s="94">
        <f>(Table3.110[[#This Row],[Net gas 24h, ml]]/Table3.110[[#This Row],[DM Incubated, mg]])*1000</f>
        <v>111.77776352748228</v>
      </c>
      <c r="AN795" s="94">
        <f>'3.2 Digest'!X795</f>
        <v>26.749275154077196</v>
      </c>
      <c r="AO795" s="94">
        <f>Table3.110[[#This Row],[Digested feed, mg]]/Table3.110[[#This Row],[Net gas 24h, ml]]</f>
        <v>2.393076611118675</v>
      </c>
      <c r="AP795" s="94">
        <f>Table3.110[[#This Row],[CH4 8h, ml]]/Table3.110[[#This Row],[Net gas 8h, ml]]%</f>
        <v>11.4</v>
      </c>
      <c r="AQ795" s="94">
        <f>Table3.110[[#This Row],[CH4 24h, ml]]/Table3.110[[#This Row],[Net gas 24h, ml]]%</f>
        <v>12.729502804001743</v>
      </c>
      <c r="AR795" s="94">
        <f>Table3.110[[#This Row],[CH4 24h, ml]]/Table3.110[[#This Row],[DM Incubated, mg]]*1000</f>
        <v>14.228753542481295</v>
      </c>
      <c r="AS795" s="94">
        <f>Table3.110[[#This Row],[CH4 24h, ml]]/Table3.110[[#This Row],[Digested feed, mg]]*1000</f>
        <v>53.193043402196679</v>
      </c>
      <c r="AT795" s="94">
        <f>Table3.110[[#This Row],[CH4 24h, ml]]/'3.2 Digest'!AA795</f>
        <v>-0.15698393348379855</v>
      </c>
      <c r="AU795" s="94">
        <f>((Table3.110[[#This Row],[CH4 24h, ml]]/28.9)*16.04)/Table3.110[[#This Row],[DM Incubated, mg]]*1000</f>
        <v>7.8972043882837362</v>
      </c>
      <c r="AV795" s="94">
        <f>((Table3.110[[#This Row],[CH4 24h, ml]]/28.9)*16.04)/Table3.110[[#This Row],[Digested feed, mg]]*1000</f>
        <v>29.523059383087709</v>
      </c>
      <c r="AW795" s="64"/>
    </row>
    <row r="796" spans="2:49" x14ac:dyDescent="0.35">
      <c r="B796" s="90">
        <f t="shared" si="12"/>
        <v>786</v>
      </c>
      <c r="C796" s="139">
        <v>46055</v>
      </c>
      <c r="D796" s="6" t="s">
        <v>16</v>
      </c>
      <c r="E796" s="6" t="s">
        <v>326</v>
      </c>
      <c r="F796" s="6" t="s">
        <v>290</v>
      </c>
      <c r="G796" s="6" t="s">
        <v>318</v>
      </c>
      <c r="H796" s="6" t="s">
        <v>319</v>
      </c>
      <c r="I796" s="6" t="s">
        <v>22</v>
      </c>
      <c r="J796" s="129" t="s">
        <v>23</v>
      </c>
      <c r="K796" s="129" t="s">
        <v>215</v>
      </c>
      <c r="L796" s="6" t="s">
        <v>325</v>
      </c>
      <c r="M796" s="93">
        <v>29</v>
      </c>
      <c r="N796" s="93">
        <v>62</v>
      </c>
      <c r="O796" s="6">
        <v>1</v>
      </c>
      <c r="P796" s="6">
        <v>2</v>
      </c>
      <c r="Q796" s="6">
        <v>97</v>
      </c>
      <c r="R796" s="98">
        <v>0.50009999999999999</v>
      </c>
      <c r="S796" s="94">
        <f>((Table3.110[[#This Row],[Sample weight, g]]*'2.1. DM'!Q199)/100)*1000</f>
        <v>464.79824017598202</v>
      </c>
      <c r="T796" s="94">
        <f>'3.2 Digest'!W796</f>
        <v>112.29824017598196</v>
      </c>
      <c r="U796" s="153">
        <v>0.36527777777777776</v>
      </c>
      <c r="V796" s="154">
        <v>41</v>
      </c>
      <c r="W796" s="153">
        <v>0.70694444444444449</v>
      </c>
      <c r="X796" s="95">
        <v>67.5</v>
      </c>
      <c r="Y796" s="95">
        <v>11</v>
      </c>
      <c r="Z796" s="154">
        <v>40</v>
      </c>
      <c r="AA796" s="153">
        <v>0.38124999999999998</v>
      </c>
      <c r="AB796" s="154">
        <v>71</v>
      </c>
      <c r="AC796" s="154">
        <v>13.6</v>
      </c>
      <c r="AD796" s="91" t="s">
        <v>582</v>
      </c>
      <c r="AE796" s="94">
        <f>Table3.110[[#This Row],[Gas 8h, ml]]-Table3.110[[#This Row],[Gas 0h, ml]]</f>
        <v>26.5</v>
      </c>
      <c r="AF796" s="94">
        <f>Table3.110[[#This Row],[Gas 24h, ml]]-Table3.110[[#This Row],[V8 Push back, ml]]</f>
        <v>31</v>
      </c>
      <c r="AG796" s="94">
        <f>Table3.110[[#This Row],[GP 8h, ml]]-(AVERAGE(AE$790,AE$791,AE$840,AE$841,AE$860,AE$861))*$AG$8</f>
        <v>25.31999099187605</v>
      </c>
      <c r="AH796" s="94">
        <f>Table3.110[[#This Row],[GP 8-24h, ml]]-(AVERAGE(AF$790,AF$791,AF$840,AF$841,AF$860,AF$861))*$AG$8</f>
        <v>28.123728042697874</v>
      </c>
      <c r="AI796" s="94">
        <f>Table3.110[[#This Row],[Net gas 8-24h, ml]]+Table3.110[[#This Row],[Net gas 8h, ml]]</f>
        <v>53.443719034573924</v>
      </c>
      <c r="AJ796" s="94">
        <f>Table3.110[[#This Row],[Net gas 8h, ml]]*Table3.110[[#This Row],[CH4 8h %]]%</f>
        <v>2.7851990091063654</v>
      </c>
      <c r="AK796" s="94">
        <f>Table3.110[[#This Row],[Net gas 8-24h, ml]]*Table3.110[[#This Row],[CH4 24h, %]]%</f>
        <v>3.8248270138069111</v>
      </c>
      <c r="AL796" s="94">
        <f>Table3.110[[#This Row],[CH4 8-24h, ml]]+Table3.110[[#This Row],[CH4 8h, ml]]</f>
        <v>6.6100260229132761</v>
      </c>
      <c r="AM796" s="94">
        <f>(Table3.110[[#This Row],[Net gas 24h, ml]]/Table3.110[[#This Row],[DM Incubated, mg]])*1000</f>
        <v>114.98261915608599</v>
      </c>
      <c r="AN796" s="94">
        <f>'3.2 Digest'!X796</f>
        <v>24.160642289321828</v>
      </c>
      <c r="AO796" s="94">
        <f>Table3.110[[#This Row],[Digested feed, mg]]/Table3.110[[#This Row],[Net gas 24h, ml]]</f>
        <v>2.1012429936497075</v>
      </c>
      <c r="AP796" s="94">
        <f>Table3.110[[#This Row],[CH4 8h, ml]]/Table3.110[[#This Row],[Net gas 8h, ml]]%</f>
        <v>11</v>
      </c>
      <c r="AQ796" s="94">
        <f>Table3.110[[#This Row],[CH4 24h, ml]]/Table3.110[[#This Row],[Net gas 24h, ml]]%</f>
        <v>12.368199935032786</v>
      </c>
      <c r="AR796" s="94">
        <f>Table3.110[[#This Row],[CH4 24h, ml]]/Table3.110[[#This Row],[DM Incubated, mg]]*1000</f>
        <v>14.221280227762021</v>
      </c>
      <c r="AS796" s="94">
        <f>Table3.110[[#This Row],[CH4 24h, ml]]/Table3.110[[#This Row],[Digested feed, mg]]*1000</f>
        <v>58.861350031440743</v>
      </c>
      <c r="AT796" s="94">
        <f>Table3.110[[#This Row],[CH4 24h, ml]]/'3.2 Digest'!AA796</f>
        <v>-0.14021367661243642</v>
      </c>
      <c r="AU796" s="94">
        <f>((Table3.110[[#This Row],[CH4 24h, ml]]/28.9)*16.04)/Table3.110[[#This Row],[DM Incubated, mg]]*1000</f>
        <v>7.8930565693184356</v>
      </c>
      <c r="AV796" s="94">
        <f>((Table3.110[[#This Row],[CH4 24h, ml]]/28.9)*16.04)/Table3.110[[#This Row],[Digested feed, mg]]*1000</f>
        <v>32.669067629906898</v>
      </c>
      <c r="AW796" s="64"/>
    </row>
    <row r="797" spans="2:49" x14ac:dyDescent="0.35">
      <c r="B797" s="90">
        <f t="shared" si="12"/>
        <v>787</v>
      </c>
      <c r="C797" s="140">
        <v>46055</v>
      </c>
      <c r="D797" s="6" t="s">
        <v>16</v>
      </c>
      <c r="E797" s="6" t="s">
        <v>326</v>
      </c>
      <c r="F797" s="6" t="s">
        <v>290</v>
      </c>
      <c r="G797" s="6" t="s">
        <v>318</v>
      </c>
      <c r="H797" s="6" t="s">
        <v>319</v>
      </c>
      <c r="I797" s="6" t="s">
        <v>22</v>
      </c>
      <c r="J797" s="129" t="s">
        <v>23</v>
      </c>
      <c r="K797" s="129" t="s">
        <v>215</v>
      </c>
      <c r="L797" s="6" t="s">
        <v>325</v>
      </c>
      <c r="M797" s="93">
        <v>29</v>
      </c>
      <c r="N797" s="93">
        <v>62</v>
      </c>
      <c r="O797" s="6">
        <v>1</v>
      </c>
      <c r="P797" s="129">
        <v>3</v>
      </c>
      <c r="Q797" s="6">
        <v>98</v>
      </c>
      <c r="R797" s="98">
        <v>0.5</v>
      </c>
      <c r="S797" s="94">
        <f>((Table3.110[[#This Row],[Sample weight, g]]*'2.1. DM'!Q199)/100)*1000</f>
        <v>464.70529911615881</v>
      </c>
      <c r="T797" s="94">
        <f>'3.2 Digest'!W797</f>
        <v>115.9052991161588</v>
      </c>
      <c r="U797" s="117">
        <v>0.36527777777777776</v>
      </c>
      <c r="V797" s="155">
        <v>42.5</v>
      </c>
      <c r="W797" s="117">
        <v>0.70694444444444449</v>
      </c>
      <c r="X797" s="97">
        <v>68.5</v>
      </c>
      <c r="Y797" s="97">
        <v>10.8</v>
      </c>
      <c r="Z797" s="155">
        <v>41</v>
      </c>
      <c r="AA797" s="117">
        <v>0.38194444444444442</v>
      </c>
      <c r="AB797" s="155">
        <v>72.5</v>
      </c>
      <c r="AC797" s="155">
        <v>13.4</v>
      </c>
      <c r="AD797" s="96"/>
      <c r="AE797" s="94">
        <f>Table3.110[[#This Row],[Gas 8h, ml]]-Table3.110[[#This Row],[Gas 0h, ml]]</f>
        <v>26</v>
      </c>
      <c r="AF797" s="94">
        <f>Table3.110[[#This Row],[Gas 24h, ml]]-Table3.110[[#This Row],[V8 Push back, ml]]</f>
        <v>31.5</v>
      </c>
      <c r="AG797" s="94">
        <f>Table3.110[[#This Row],[GP 8h, ml]]-(AVERAGE(AE$790,AE$791,AE$840,AE$841,AE$860,AE$861))*$AG$8</f>
        <v>24.81999099187605</v>
      </c>
      <c r="AH797" s="94">
        <f>Table3.110[[#This Row],[GP 8-24h, ml]]-(AVERAGE(AF$790,AF$791,AF$840,AF$841,AF$860,AF$861))*$AG$8</f>
        <v>28.623728042697874</v>
      </c>
      <c r="AI797" s="94">
        <f>Table3.110[[#This Row],[Net gas 8-24h, ml]]+Table3.110[[#This Row],[Net gas 8h, ml]]</f>
        <v>53.443719034573924</v>
      </c>
      <c r="AJ797" s="94">
        <f>Table3.110[[#This Row],[Net gas 8h, ml]]*Table3.110[[#This Row],[CH4 8h %]]%</f>
        <v>2.6805590271226136</v>
      </c>
      <c r="AK797" s="94">
        <f>Table3.110[[#This Row],[Net gas 8-24h, ml]]*Table3.110[[#This Row],[CH4 24h, %]]%</f>
        <v>3.8355795577215153</v>
      </c>
      <c r="AL797" s="94">
        <f>Table3.110[[#This Row],[CH4 8-24h, ml]]+Table3.110[[#This Row],[CH4 8h, ml]]</f>
        <v>6.5161385848441284</v>
      </c>
      <c r="AM797" s="94">
        <f>(Table3.110[[#This Row],[Net gas 24h, ml]]/Table3.110[[#This Row],[DM Incubated, mg]])*1000</f>
        <v>115.0056156799172</v>
      </c>
      <c r="AN797" s="94">
        <f>'3.2 Digest'!X797</f>
        <v>24.941677948713654</v>
      </c>
      <c r="AO797" s="94">
        <f>Table3.110[[#This Row],[Digested feed, mg]]/Table3.110[[#This Row],[Net gas 24h, ml]]</f>
        <v>2.1687356570596648</v>
      </c>
      <c r="AP797" s="94">
        <f>Table3.110[[#This Row],[CH4 8h, ml]]/Table3.110[[#This Row],[Net gas 8h, ml]]%</f>
        <v>10.8</v>
      </c>
      <c r="AQ797" s="94">
        <f>Table3.110[[#This Row],[CH4 24h, ml]]/Table3.110[[#This Row],[Net gas 24h, ml]]%</f>
        <v>12.192524589519481</v>
      </c>
      <c r="AR797" s="94">
        <f>Table3.110[[#This Row],[CH4 24h, ml]]/Table3.110[[#This Row],[DM Incubated, mg]]*1000</f>
        <v>14.022087971102176</v>
      </c>
      <c r="AS797" s="94">
        <f>Table3.110[[#This Row],[CH4 24h, ml]]/Table3.110[[#This Row],[Digested feed, mg]]*1000</f>
        <v>56.219505359403264</v>
      </c>
      <c r="AT797" s="94">
        <f>Table3.110[[#This Row],[CH4 24h, ml]]/'3.2 Digest'!AA797</f>
        <v>-0.14281269997824816</v>
      </c>
      <c r="AU797" s="94">
        <f>((Table3.110[[#This Row],[CH4 24h, ml]]/28.9)*16.04)/Table3.110[[#This Row],[DM Incubated, mg]]*1000</f>
        <v>7.7825014206394076</v>
      </c>
      <c r="AV797" s="94">
        <f>((Table3.110[[#This Row],[CH4 24h, ml]]/28.9)*16.04)/Table3.110[[#This Row],[Digested feed, mg]]*1000</f>
        <v>31.202798130270878</v>
      </c>
      <c r="AW797" s="64"/>
    </row>
    <row r="798" spans="2:49" x14ac:dyDescent="0.35">
      <c r="B798" s="90">
        <f t="shared" si="12"/>
        <v>788</v>
      </c>
      <c r="C798" s="139">
        <v>46055</v>
      </c>
      <c r="D798" s="6" t="s">
        <v>16</v>
      </c>
      <c r="E798" s="6" t="s">
        <v>328</v>
      </c>
      <c r="F798" s="6" t="s">
        <v>264</v>
      </c>
      <c r="G798" s="6" t="s">
        <v>329</v>
      </c>
      <c r="H798" s="6" t="s">
        <v>330</v>
      </c>
      <c r="I798" s="6" t="s">
        <v>22</v>
      </c>
      <c r="J798" s="129" t="s">
        <v>23</v>
      </c>
      <c r="K798" s="129" t="s">
        <v>215</v>
      </c>
      <c r="L798" s="6" t="s">
        <v>327</v>
      </c>
      <c r="M798" s="93">
        <v>29</v>
      </c>
      <c r="N798" s="93">
        <v>62</v>
      </c>
      <c r="O798" s="6">
        <v>1</v>
      </c>
      <c r="P798" s="129">
        <v>1</v>
      </c>
      <c r="Q798" s="6">
        <v>99</v>
      </c>
      <c r="R798" s="98">
        <v>0.50029999999999997</v>
      </c>
      <c r="S798" s="94">
        <f>((Table3.110[[#This Row],[Sample weight, g]]*'2.1. DM'!Q201)/100)*1000</f>
        <v>452.98581236429101</v>
      </c>
      <c r="T798" s="94">
        <f>'3.2 Digest'!W798</f>
        <v>177.18581236429094</v>
      </c>
      <c r="U798" s="153">
        <v>0.3659722222222222</v>
      </c>
      <c r="V798" s="154">
        <v>40</v>
      </c>
      <c r="W798" s="153">
        <v>0.70694444444444449</v>
      </c>
      <c r="X798" s="95">
        <v>51.5</v>
      </c>
      <c r="Y798" s="95">
        <v>12.4</v>
      </c>
      <c r="Z798" s="154">
        <v>39</v>
      </c>
      <c r="AA798" s="153">
        <v>0.38263888888888886</v>
      </c>
      <c r="AB798" s="154">
        <v>55</v>
      </c>
      <c r="AC798" s="154">
        <v>16.600000000000001</v>
      </c>
      <c r="AD798" s="91" t="s">
        <v>583</v>
      </c>
      <c r="AE798" s="94">
        <f>Table3.110[[#This Row],[Gas 8h, ml]]-Table3.110[[#This Row],[Gas 0h, ml]]</f>
        <v>11.5</v>
      </c>
      <c r="AF798" s="94">
        <f>Table3.110[[#This Row],[Gas 24h, ml]]-Table3.110[[#This Row],[V8 Push back, ml]]</f>
        <v>16</v>
      </c>
      <c r="AG798" s="94">
        <f>Table3.110[[#This Row],[GP 8h, ml]]-(AVERAGE(AE$790,AE$791,AE$840,AE$841,AE$860,AE$861))*$AG$8</f>
        <v>10.31999099187605</v>
      </c>
      <c r="AH798" s="94">
        <f>Table3.110[[#This Row],[GP 8-24h, ml]]-(AVERAGE(AF$790,AF$791,AF$840,AF$841,AF$860,AF$861))*$AG$8</f>
        <v>13.123728042697875</v>
      </c>
      <c r="AI798" s="94">
        <f>Table3.110[[#This Row],[Net gas 8-24h, ml]]+Table3.110[[#This Row],[Net gas 8h, ml]]</f>
        <v>23.443719034573924</v>
      </c>
      <c r="AJ798" s="94">
        <f>Table3.110[[#This Row],[Net gas 8h, ml]]*Table3.110[[#This Row],[CH4 8h %]]%</f>
        <v>1.2796788829926302</v>
      </c>
      <c r="AK798" s="94">
        <f>Table3.110[[#This Row],[Net gas 8-24h, ml]]*Table3.110[[#This Row],[CH4 24h, %]]%</f>
        <v>2.1785388550878473</v>
      </c>
      <c r="AL798" s="94">
        <f>Table3.110[[#This Row],[CH4 8-24h, ml]]+Table3.110[[#This Row],[CH4 8h, ml]]</f>
        <v>3.4582177380804775</v>
      </c>
      <c r="AM798" s="94">
        <f>(Table3.110[[#This Row],[Net gas 24h, ml]]/Table3.110[[#This Row],[DM Incubated, mg]])*1000</f>
        <v>51.75376003988508</v>
      </c>
      <c r="AN798" s="94">
        <f>'3.2 Digest'!X798</f>
        <v>39.115090920728043</v>
      </c>
      <c r="AO798" s="94">
        <f>Table3.110[[#This Row],[Digested feed, mg]]/Table3.110[[#This Row],[Net gas 24h, ml]]</f>
        <v>7.5579225336638736</v>
      </c>
      <c r="AP798" s="94">
        <f>Table3.110[[#This Row],[CH4 8h, ml]]/Table3.110[[#This Row],[Net gas 8h, ml]]%</f>
        <v>12.4</v>
      </c>
      <c r="AQ798" s="94">
        <f>Table3.110[[#This Row],[CH4 24h, ml]]/Table3.110[[#This Row],[Net gas 24h, ml]]%</f>
        <v>14.751148198715514</v>
      </c>
      <c r="AR798" s="94">
        <f>Table3.110[[#This Row],[CH4 24h, ml]]/Table3.110[[#This Row],[DM Incubated, mg]]*1000</f>
        <v>7.6342738418910576</v>
      </c>
      <c r="AS798" s="94">
        <f>Table3.110[[#This Row],[CH4 24h, ml]]/Table3.110[[#This Row],[Digested feed, mg]]*1000</f>
        <v>19.517464135166996</v>
      </c>
      <c r="AT798" s="94">
        <f>Table3.110[[#This Row],[CH4 24h, ml]]/'3.2 Digest'!AA798</f>
        <v>-0.19530573345910726</v>
      </c>
      <c r="AU798" s="94">
        <f>((Table3.110[[#This Row],[CH4 24h, ml]]/28.9)*16.04)/Table3.110[[#This Row],[DM Incubated, mg]]*1000</f>
        <v>4.2371540631118529</v>
      </c>
      <c r="AV798" s="94">
        <f>((Table3.110[[#This Row],[CH4 24h, ml]]/28.9)*16.04)/Table3.110[[#This Row],[Digested feed, mg]]*1000</f>
        <v>10.832530267407567</v>
      </c>
      <c r="AW798" s="64"/>
    </row>
    <row r="799" spans="2:49" x14ac:dyDescent="0.35">
      <c r="B799" s="90">
        <f t="shared" si="12"/>
        <v>789</v>
      </c>
      <c r="C799" s="140">
        <v>46055</v>
      </c>
      <c r="D799" s="6" t="s">
        <v>16</v>
      </c>
      <c r="E799" s="6" t="s">
        <v>328</v>
      </c>
      <c r="F799" s="6" t="s">
        <v>264</v>
      </c>
      <c r="G799" s="6" t="s">
        <v>329</v>
      </c>
      <c r="H799" s="6" t="s">
        <v>330</v>
      </c>
      <c r="I799" s="6" t="s">
        <v>22</v>
      </c>
      <c r="J799" s="129" t="s">
        <v>23</v>
      </c>
      <c r="K799" s="129" t="s">
        <v>215</v>
      </c>
      <c r="L799" s="6" t="s">
        <v>327</v>
      </c>
      <c r="M799" s="93">
        <v>29</v>
      </c>
      <c r="N799" s="93">
        <v>62</v>
      </c>
      <c r="O799" s="6">
        <v>1</v>
      </c>
      <c r="P799" s="6">
        <v>2</v>
      </c>
      <c r="Q799" s="6">
        <v>100</v>
      </c>
      <c r="R799" s="98">
        <v>0.50049999999999994</v>
      </c>
      <c r="S799" s="94">
        <f>((Table3.110[[#This Row],[Sample weight, g]]*'2.1. DM'!Q201)/100)*1000</f>
        <v>453.16689803783254</v>
      </c>
      <c r="T799" s="94">
        <f>'3.2 Digest'!W799</f>
        <v>178.76689803783256</v>
      </c>
      <c r="U799" s="117">
        <v>0.3659722222222222</v>
      </c>
      <c r="V799" s="155">
        <v>40.5</v>
      </c>
      <c r="W799" s="117">
        <v>0.70763888888888893</v>
      </c>
      <c r="X799" s="97">
        <v>74</v>
      </c>
      <c r="Y799" s="97">
        <v>12.9</v>
      </c>
      <c r="Z799" s="155">
        <v>40</v>
      </c>
      <c r="AA799" s="117">
        <v>0.38263888888888886</v>
      </c>
      <c r="AB799" s="155">
        <v>83</v>
      </c>
      <c r="AC799" s="155">
        <v>17.2</v>
      </c>
      <c r="AD799" s="96"/>
      <c r="AE799" s="94">
        <f>Table3.110[[#This Row],[Gas 8h, ml]]-Table3.110[[#This Row],[Gas 0h, ml]]</f>
        <v>33.5</v>
      </c>
      <c r="AF799" s="94">
        <f>Table3.110[[#This Row],[Gas 24h, ml]]-Table3.110[[#This Row],[V8 Push back, ml]]</f>
        <v>43</v>
      </c>
      <c r="AG799" s="94">
        <f>Table3.110[[#This Row],[GP 8h, ml]]-(AVERAGE(AE$790,AE$791,AE$840,AE$841,AE$860,AE$861))*$AG$8</f>
        <v>32.319990991876054</v>
      </c>
      <c r="AH799" s="94">
        <f>Table3.110[[#This Row],[GP 8-24h, ml]]-(AVERAGE(AF$790,AF$791,AF$840,AF$841,AF$860,AF$861))*$AG$8</f>
        <v>40.123728042697877</v>
      </c>
      <c r="AI799" s="94">
        <f>Table3.110[[#This Row],[Net gas 8-24h, ml]]+Table3.110[[#This Row],[Net gas 8h, ml]]</f>
        <v>72.443719034573931</v>
      </c>
      <c r="AJ799" s="94">
        <f>Table3.110[[#This Row],[Net gas 8h, ml]]*Table3.110[[#This Row],[CH4 8h %]]%</f>
        <v>4.1692788379520112</v>
      </c>
      <c r="AK799" s="94">
        <f>Table3.110[[#This Row],[Net gas 8-24h, ml]]*Table3.110[[#This Row],[CH4 24h, %]]%</f>
        <v>6.9012812233440339</v>
      </c>
      <c r="AL799" s="94">
        <f>Table3.110[[#This Row],[CH4 8-24h, ml]]+Table3.110[[#This Row],[CH4 8h, ml]]</f>
        <v>11.070560061296046</v>
      </c>
      <c r="AM799" s="94">
        <f>(Table3.110[[#This Row],[Net gas 24h, ml]]/Table3.110[[#This Row],[DM Incubated, mg]])*1000</f>
        <v>159.86101224129126</v>
      </c>
      <c r="AN799" s="94">
        <f>'3.2 Digest'!X799</f>
        <v>39.44835750622461</v>
      </c>
      <c r="AO799" s="94">
        <f>Table3.110[[#This Row],[Digested feed, mg]]/Table3.110[[#This Row],[Net gas 24h, ml]]</f>
        <v>2.4676659401281658</v>
      </c>
      <c r="AP799" s="94">
        <f>Table3.110[[#This Row],[CH4 8h, ml]]/Table3.110[[#This Row],[Net gas 8h, ml]]%</f>
        <v>12.900000000000002</v>
      </c>
      <c r="AQ799" s="94">
        <f>Table3.110[[#This Row],[CH4 24h, ml]]/Table3.110[[#This Row],[Net gas 24h, ml]]%</f>
        <v>15.281600957030651</v>
      </c>
      <c r="AR799" s="94">
        <f>Table3.110[[#This Row],[CH4 24h, ml]]/Table3.110[[#This Row],[DM Incubated, mg]]*1000</f>
        <v>24.429321976584049</v>
      </c>
      <c r="AS799" s="94">
        <f>Table3.110[[#This Row],[CH4 24h, ml]]/Table3.110[[#This Row],[Digested feed, mg]]*1000</f>
        <v>61.927348870556429</v>
      </c>
      <c r="AT799" s="94">
        <f>Table3.110[[#This Row],[CH4 24h, ml]]/'3.2 Digest'!AA799</f>
        <v>-0.64882800659058359</v>
      </c>
      <c r="AU799" s="94">
        <f>((Table3.110[[#This Row],[CH4 24h, ml]]/28.9)*16.04)/Table3.110[[#This Row],[DM Incubated, mg]]*1000</f>
        <v>13.5586963496335</v>
      </c>
      <c r="AV799" s="94">
        <f>((Table3.110[[#This Row],[CH4 24h, ml]]/28.9)*16.04)/Table3.110[[#This Row],[Digested feed, mg]]*1000</f>
        <v>34.370750030578719</v>
      </c>
      <c r="AW799" s="64"/>
    </row>
    <row r="800" spans="2:49" x14ac:dyDescent="0.35">
      <c r="B800" s="90">
        <f t="shared" si="12"/>
        <v>790</v>
      </c>
      <c r="C800" s="140">
        <v>46055</v>
      </c>
      <c r="D800" s="6" t="s">
        <v>16</v>
      </c>
      <c r="E800" s="6" t="s">
        <v>328</v>
      </c>
      <c r="F800" s="6" t="s">
        <v>264</v>
      </c>
      <c r="G800" s="6" t="s">
        <v>329</v>
      </c>
      <c r="H800" s="6" t="s">
        <v>330</v>
      </c>
      <c r="I800" s="6" t="s">
        <v>22</v>
      </c>
      <c r="J800" s="129" t="s">
        <v>23</v>
      </c>
      <c r="K800" s="129" t="s">
        <v>215</v>
      </c>
      <c r="L800" s="6" t="s">
        <v>327</v>
      </c>
      <c r="M800" s="93">
        <v>29</v>
      </c>
      <c r="N800" s="93">
        <v>62</v>
      </c>
      <c r="O800" s="6">
        <v>1</v>
      </c>
      <c r="P800" s="129">
        <v>3</v>
      </c>
      <c r="Q800" s="6">
        <v>101</v>
      </c>
      <c r="R800" s="98">
        <v>0.50019999999999998</v>
      </c>
      <c r="S800" s="94">
        <f>((Table3.110[[#This Row],[Sample weight, g]]*'2.1. DM'!Q201)/100)*1000</f>
        <v>452.89526952752016</v>
      </c>
      <c r="T800" s="94">
        <f>'3.2 Digest'!W800</f>
        <v>195.39526952752021</v>
      </c>
      <c r="U800" s="153">
        <v>0.36666666666666664</v>
      </c>
      <c r="V800" s="154">
        <v>41</v>
      </c>
      <c r="W800" s="153">
        <v>0.70763888888888893</v>
      </c>
      <c r="X800" s="95">
        <v>74</v>
      </c>
      <c r="Y800" s="95">
        <v>13</v>
      </c>
      <c r="Z800" s="154">
        <v>40</v>
      </c>
      <c r="AA800" s="153">
        <v>0.38333333333333336</v>
      </c>
      <c r="AB800" s="154">
        <v>82</v>
      </c>
      <c r="AC800" s="154">
        <v>17.399999999999999</v>
      </c>
      <c r="AD800" s="91"/>
      <c r="AE800" s="94">
        <f>Table3.110[[#This Row],[Gas 8h, ml]]-Table3.110[[#This Row],[Gas 0h, ml]]</f>
        <v>33</v>
      </c>
      <c r="AF800" s="94">
        <f>Table3.110[[#This Row],[Gas 24h, ml]]-Table3.110[[#This Row],[V8 Push back, ml]]</f>
        <v>42</v>
      </c>
      <c r="AG800" s="94">
        <f>Table3.110[[#This Row],[GP 8h, ml]]-(AVERAGE(AE$790,AE$791,AE$840,AE$841,AE$860,AE$861))*$AG$8</f>
        <v>31.81999099187605</v>
      </c>
      <c r="AH800" s="94">
        <f>Table3.110[[#This Row],[GP 8-24h, ml]]-(AVERAGE(AF$790,AF$791,AF$840,AF$841,AF$860,AF$861))*$AG$8</f>
        <v>39.123728042697877</v>
      </c>
      <c r="AI800" s="94">
        <f>Table3.110[[#This Row],[Net gas 8-24h, ml]]+Table3.110[[#This Row],[Net gas 8h, ml]]</f>
        <v>70.943719034573931</v>
      </c>
      <c r="AJ800" s="94">
        <f>Table3.110[[#This Row],[Net gas 8h, ml]]*Table3.110[[#This Row],[CH4 8h %]]%</f>
        <v>4.1365988289438871</v>
      </c>
      <c r="AK800" s="94">
        <f>Table3.110[[#This Row],[Net gas 8-24h, ml]]*Table3.110[[#This Row],[CH4 24h, %]]%</f>
        <v>6.8075286794294305</v>
      </c>
      <c r="AL800" s="94">
        <f>Table3.110[[#This Row],[CH4 8-24h, ml]]+Table3.110[[#This Row],[CH4 8h, ml]]</f>
        <v>10.944127508373317</v>
      </c>
      <c r="AM800" s="94">
        <f>(Table3.110[[#This Row],[Net gas 24h, ml]]/Table3.110[[#This Row],[DM Incubated, mg]])*1000</f>
        <v>156.64486650210648</v>
      </c>
      <c r="AN800" s="94">
        <f>'3.2 Digest'!X800</f>
        <v>43.143588081934475</v>
      </c>
      <c r="AO800" s="94">
        <f>Table3.110[[#This Row],[Digested feed, mg]]/Table3.110[[#This Row],[Net gas 24h, ml]]</f>
        <v>2.7542292987529406</v>
      </c>
      <c r="AP800" s="94">
        <f>Table3.110[[#This Row],[CH4 8h, ml]]/Table3.110[[#This Row],[Net gas 8h, ml]]%</f>
        <v>13.000000000000002</v>
      </c>
      <c r="AQ800" s="94">
        <f>Table3.110[[#This Row],[CH4 24h, ml]]/Table3.110[[#This Row],[Net gas 24h, ml]]%</f>
        <v>15.426492517314708</v>
      </c>
      <c r="AR800" s="94">
        <f>Table3.110[[#This Row],[CH4 24h, ml]]/Table3.110[[#This Row],[DM Incubated, mg]]*1000</f>
        <v>24.164808609705066</v>
      </c>
      <c r="AS800" s="94">
        <f>Table3.110[[#This Row],[CH4 24h, ml]]/Table3.110[[#This Row],[Digested feed, mg]]*1000</f>
        <v>56.010196842722976</v>
      </c>
      <c r="AT800" s="94">
        <f>Table3.110[[#This Row],[CH4 24h, ml]]/'3.2 Digest'!AA800</f>
        <v>-1.103401714909884</v>
      </c>
      <c r="AU800" s="94">
        <f>((Table3.110[[#This Row],[CH4 24h, ml]]/28.9)*16.04)/Table3.110[[#This Row],[DM Incubated, mg]]*1000</f>
        <v>13.411886854659837</v>
      </c>
      <c r="AV800" s="94">
        <f>((Table3.110[[#This Row],[CH4 24h, ml]]/28.9)*16.04)/Table3.110[[#This Row],[Digested feed, mg]]*1000</f>
        <v>31.086628282258701</v>
      </c>
      <c r="AW800" s="64"/>
    </row>
    <row r="801" spans="2:49" x14ac:dyDescent="0.35">
      <c r="B801" s="90">
        <f t="shared" si="12"/>
        <v>791</v>
      </c>
      <c r="C801" s="140">
        <v>46055</v>
      </c>
      <c r="D801" s="6" t="s">
        <v>16</v>
      </c>
      <c r="E801" s="6" t="s">
        <v>332</v>
      </c>
      <c r="F801" s="6" t="s">
        <v>333</v>
      </c>
      <c r="G801" s="6" t="s">
        <v>334</v>
      </c>
      <c r="H801" s="6" t="s">
        <v>335</v>
      </c>
      <c r="I801" s="6" t="s">
        <v>22</v>
      </c>
      <c r="J801" s="129" t="s">
        <v>23</v>
      </c>
      <c r="K801" s="129" t="s">
        <v>303</v>
      </c>
      <c r="L801" s="6" t="s">
        <v>331</v>
      </c>
      <c r="M801" s="93">
        <v>29</v>
      </c>
      <c r="N801" s="93">
        <v>62</v>
      </c>
      <c r="O801" s="6">
        <v>1</v>
      </c>
      <c r="P801" s="129">
        <v>1</v>
      </c>
      <c r="Q801" s="6">
        <v>102</v>
      </c>
      <c r="R801" s="98">
        <v>0.50019999999999998</v>
      </c>
      <c r="S801" s="94">
        <f>((Table3.110[[#This Row],[Sample weight, g]]*'2.1. DM'!Q203)/100)*1000</f>
        <v>455.35000954786028</v>
      </c>
      <c r="T801" s="94">
        <f>'3.2 Digest'!W801</f>
        <v>103.65000954786029</v>
      </c>
      <c r="U801" s="117">
        <v>0.36666666666666664</v>
      </c>
      <c r="V801" s="155">
        <v>41</v>
      </c>
      <c r="W801" s="117">
        <v>0.70763888888888893</v>
      </c>
      <c r="X801" s="97">
        <v>75.5</v>
      </c>
      <c r="Y801" s="97">
        <v>13.4</v>
      </c>
      <c r="Z801" s="155">
        <v>40</v>
      </c>
      <c r="AA801" s="117">
        <v>0.38333333333333336</v>
      </c>
      <c r="AB801" s="155">
        <v>84</v>
      </c>
      <c r="AC801" s="155">
        <v>15.6</v>
      </c>
      <c r="AD801" s="96"/>
      <c r="AE801" s="94">
        <f>Table3.110[[#This Row],[Gas 8h, ml]]-Table3.110[[#This Row],[Gas 0h, ml]]</f>
        <v>34.5</v>
      </c>
      <c r="AF801" s="94">
        <f>Table3.110[[#This Row],[Gas 24h, ml]]-Table3.110[[#This Row],[V8 Push back, ml]]</f>
        <v>44</v>
      </c>
      <c r="AG801" s="94">
        <f>Table3.110[[#This Row],[GP 8h, ml]]-(AVERAGE(AE$790,AE$791,AE$840,AE$841,AE$860,AE$861))*$AG$8</f>
        <v>33.319990991876054</v>
      </c>
      <c r="AH801" s="94">
        <f>Table3.110[[#This Row],[GP 8-24h, ml]]-(AVERAGE(AF$790,AF$791,AF$840,AF$841,AF$860,AF$861))*$AG$8</f>
        <v>41.123728042697877</v>
      </c>
      <c r="AI801" s="94">
        <f>Table3.110[[#This Row],[Net gas 8-24h, ml]]+Table3.110[[#This Row],[Net gas 8h, ml]]</f>
        <v>74.443719034573931</v>
      </c>
      <c r="AJ801" s="94">
        <f>Table3.110[[#This Row],[Net gas 8h, ml]]*Table3.110[[#This Row],[CH4 8h %]]%</f>
        <v>4.4648787929113913</v>
      </c>
      <c r="AK801" s="94">
        <f>Table3.110[[#This Row],[Net gas 8-24h, ml]]*Table3.110[[#This Row],[CH4 24h, %]]%</f>
        <v>6.4153015746608686</v>
      </c>
      <c r="AL801" s="94">
        <f>Table3.110[[#This Row],[CH4 8-24h, ml]]+Table3.110[[#This Row],[CH4 8h, ml]]</f>
        <v>10.88018036757226</v>
      </c>
      <c r="AM801" s="94">
        <f>(Table3.110[[#This Row],[Net gas 24h, ml]]/Table3.110[[#This Row],[DM Incubated, mg]])*1000</f>
        <v>163.48680679394914</v>
      </c>
      <c r="AN801" s="94">
        <f>'3.2 Digest'!X801</f>
        <v>22.762711622819456</v>
      </c>
      <c r="AO801" s="94">
        <f>Table3.110[[#This Row],[Digested feed, mg]]/Table3.110[[#This Row],[Net gas 24h, ml]]</f>
        <v>1.3923271283601786</v>
      </c>
      <c r="AP801" s="94">
        <f>Table3.110[[#This Row],[CH4 8h, ml]]/Table3.110[[#This Row],[Net gas 8h, ml]]%</f>
        <v>13.4</v>
      </c>
      <c r="AQ801" s="94">
        <f>Table3.110[[#This Row],[CH4 24h, ml]]/Table3.110[[#This Row],[Net gas 24h, ml]]%</f>
        <v>14.615310074069745</v>
      </c>
      <c r="AR801" s="94">
        <f>Table3.110[[#This Row],[CH4 24h, ml]]/Table3.110[[#This Row],[DM Incubated, mg]]*1000</f>
        <v>23.894103743130991</v>
      </c>
      <c r="AS801" s="94">
        <f>Table3.110[[#This Row],[CH4 24h, ml]]/Table3.110[[#This Row],[Digested feed, mg]]*1000</f>
        <v>104.97037496700226</v>
      </c>
      <c r="AT801" s="94">
        <f>Table3.110[[#This Row],[CH4 24h, ml]]/'3.2 Digest'!AA801</f>
        <v>-0.24555247132621966</v>
      </c>
      <c r="AU801" s="94">
        <f>((Table3.110[[#This Row],[CH4 24h, ml]]/28.9)*16.04)/Table3.110[[#This Row],[DM Incubated, mg]]*1000</f>
        <v>13.261640970236023</v>
      </c>
      <c r="AV801" s="94">
        <f>((Table3.110[[#This Row],[CH4 24h, ml]]/28.9)*16.04)/Table3.110[[#This Row],[Digested feed, mg]]*1000</f>
        <v>58.260374203138973</v>
      </c>
      <c r="AW801" s="64"/>
    </row>
    <row r="802" spans="2:49" x14ac:dyDescent="0.35">
      <c r="B802" s="90">
        <f t="shared" si="12"/>
        <v>792</v>
      </c>
      <c r="C802" s="140">
        <v>46055</v>
      </c>
      <c r="D802" s="6" t="s">
        <v>16</v>
      </c>
      <c r="E802" s="6" t="s">
        <v>332</v>
      </c>
      <c r="F802" s="6" t="s">
        <v>333</v>
      </c>
      <c r="G802" s="6" t="s">
        <v>334</v>
      </c>
      <c r="H802" s="6" t="s">
        <v>335</v>
      </c>
      <c r="I802" s="6" t="s">
        <v>22</v>
      </c>
      <c r="J802" s="129" t="s">
        <v>23</v>
      </c>
      <c r="K802" s="129" t="s">
        <v>303</v>
      </c>
      <c r="L802" s="6" t="s">
        <v>331</v>
      </c>
      <c r="M802" s="93">
        <v>29</v>
      </c>
      <c r="N802" s="93">
        <v>62</v>
      </c>
      <c r="O802" s="6">
        <v>1</v>
      </c>
      <c r="P802" s="6">
        <v>2</v>
      </c>
      <c r="Q802" s="6">
        <v>103</v>
      </c>
      <c r="R802" s="98">
        <v>0.50060000000000004</v>
      </c>
      <c r="S802" s="94">
        <f>((Table3.110[[#This Row],[Sample weight, g]]*'2.1. DM'!Q203)/100)*1000</f>
        <v>455.71414390175704</v>
      </c>
      <c r="T802" s="94">
        <f>'3.2 Digest'!W802</f>
        <v>78.714143901757041</v>
      </c>
      <c r="U802" s="153">
        <v>0.36736111111111114</v>
      </c>
      <c r="V802" s="154">
        <v>40.5</v>
      </c>
      <c r="W802" s="153">
        <v>0.70833333333333337</v>
      </c>
      <c r="X802" s="95">
        <v>74.5</v>
      </c>
      <c r="Y802" s="95">
        <v>13.5</v>
      </c>
      <c r="Z802" s="154">
        <v>40</v>
      </c>
      <c r="AA802" s="153">
        <v>0.3840277777777778</v>
      </c>
      <c r="AB802" s="154">
        <v>84</v>
      </c>
      <c r="AC802" s="154">
        <v>15.2</v>
      </c>
      <c r="AD802" s="91"/>
      <c r="AE802" s="94">
        <f>Table3.110[[#This Row],[Gas 8h, ml]]-Table3.110[[#This Row],[Gas 0h, ml]]</f>
        <v>34</v>
      </c>
      <c r="AF802" s="94">
        <f>Table3.110[[#This Row],[Gas 24h, ml]]-Table3.110[[#This Row],[V8 Push back, ml]]</f>
        <v>44</v>
      </c>
      <c r="AG802" s="94">
        <f>Table3.110[[#This Row],[GP 8h, ml]]-(AVERAGE(AE$790,AE$791,AE$840,AE$841,AE$860,AE$861))*$AG$8</f>
        <v>32.819990991876054</v>
      </c>
      <c r="AH802" s="94">
        <f>Table3.110[[#This Row],[GP 8-24h, ml]]-(AVERAGE(AF$790,AF$791,AF$840,AF$841,AF$860,AF$861))*$AG$8</f>
        <v>41.123728042697877</v>
      </c>
      <c r="AI802" s="94">
        <f>Table3.110[[#This Row],[Net gas 8-24h, ml]]+Table3.110[[#This Row],[Net gas 8h, ml]]</f>
        <v>73.943719034573931</v>
      </c>
      <c r="AJ802" s="94">
        <f>Table3.110[[#This Row],[Net gas 8h, ml]]*Table3.110[[#This Row],[CH4 8h %]]%</f>
        <v>4.4306987839032672</v>
      </c>
      <c r="AK802" s="94">
        <f>Table3.110[[#This Row],[Net gas 8-24h, ml]]*Table3.110[[#This Row],[CH4 24h, %]]%</f>
        <v>6.2508066624900769</v>
      </c>
      <c r="AL802" s="94">
        <f>Table3.110[[#This Row],[CH4 8-24h, ml]]+Table3.110[[#This Row],[CH4 8h, ml]]</f>
        <v>10.681505446393345</v>
      </c>
      <c r="AM802" s="94">
        <f>(Table3.110[[#This Row],[Net gas 24h, ml]]/Table3.110[[#This Row],[DM Incubated, mg]])*1000</f>
        <v>162.2589950829236</v>
      </c>
      <c r="AN802" s="94">
        <f>'3.2 Digest'!X802</f>
        <v>17.272701529037082</v>
      </c>
      <c r="AO802" s="94">
        <f>Table3.110[[#This Row],[Digested feed, mg]]/Table3.110[[#This Row],[Net gas 24h, ml]]</f>
        <v>1.0645142674654029</v>
      </c>
      <c r="AP802" s="94">
        <f>Table3.110[[#This Row],[CH4 8h, ml]]/Table3.110[[#This Row],[Net gas 8h, ml]]%</f>
        <v>13.5</v>
      </c>
      <c r="AQ802" s="94">
        <f>Table3.110[[#This Row],[CH4 24h, ml]]/Table3.110[[#This Row],[Net gas 24h, ml]]%</f>
        <v>14.445453360817549</v>
      </c>
      <c r="AR802" s="94">
        <f>Table3.110[[#This Row],[CH4 24h, ml]]/Table3.110[[#This Row],[DM Incubated, mg]]*1000</f>
        <v>23.439047458434967</v>
      </c>
      <c r="AS802" s="94">
        <f>Table3.110[[#This Row],[CH4 24h, ml]]/Table3.110[[#This Row],[Digested feed, mg]]*1000</f>
        <v>135.69995069405709</v>
      </c>
      <c r="AT802" s="94">
        <f>Table3.110[[#This Row],[CH4 24h, ml]]/'3.2 Digest'!AA802</f>
        <v>-0.19575230417475772</v>
      </c>
      <c r="AU802" s="94">
        <f>((Table3.110[[#This Row],[CH4 24h, ml]]/28.9)*16.04)/Table3.110[[#This Row],[DM Incubated, mg]]*1000</f>
        <v>13.009076859283628</v>
      </c>
      <c r="AV802" s="94">
        <f>((Table3.110[[#This Row],[CH4 24h, ml]]/28.9)*16.04)/Table3.110[[#This Row],[Digested feed, mg]]*1000</f>
        <v>75.315820385213698</v>
      </c>
      <c r="AW802" s="64"/>
    </row>
    <row r="803" spans="2:49" x14ac:dyDescent="0.35">
      <c r="B803" s="90">
        <f t="shared" si="12"/>
        <v>793</v>
      </c>
      <c r="C803" s="140">
        <v>46055</v>
      </c>
      <c r="D803" s="6" t="s">
        <v>16</v>
      </c>
      <c r="E803" s="6" t="s">
        <v>332</v>
      </c>
      <c r="F803" s="6" t="s">
        <v>333</v>
      </c>
      <c r="G803" s="6" t="s">
        <v>334</v>
      </c>
      <c r="H803" s="6" t="s">
        <v>335</v>
      </c>
      <c r="I803" s="6" t="s">
        <v>22</v>
      </c>
      <c r="J803" s="129" t="s">
        <v>23</v>
      </c>
      <c r="K803" s="129" t="s">
        <v>303</v>
      </c>
      <c r="L803" s="6" t="s">
        <v>331</v>
      </c>
      <c r="M803" s="93">
        <v>29</v>
      </c>
      <c r="N803" s="93">
        <v>62</v>
      </c>
      <c r="O803" s="6">
        <v>1</v>
      </c>
      <c r="P803" s="129">
        <v>3</v>
      </c>
      <c r="Q803" s="6">
        <v>104</v>
      </c>
      <c r="R803" s="98">
        <v>0.5</v>
      </c>
      <c r="S803" s="94">
        <f>((Table3.110[[#This Row],[Sample weight, g]]*'2.1. DM'!Q203)/100)*1000</f>
        <v>455.16794237091193</v>
      </c>
      <c r="T803" s="94">
        <f>'3.2 Digest'!W803</f>
        <v>98.367942370911919</v>
      </c>
      <c r="U803" s="117">
        <v>0.36805555555555558</v>
      </c>
      <c r="V803" s="155">
        <v>41</v>
      </c>
      <c r="W803" s="117">
        <v>0.70833333333333337</v>
      </c>
      <c r="X803" s="97">
        <v>72</v>
      </c>
      <c r="Y803" s="97">
        <v>13.9</v>
      </c>
      <c r="Z803" s="155">
        <v>40.5</v>
      </c>
      <c r="AA803" s="117">
        <v>0.38472222222222224</v>
      </c>
      <c r="AB803" s="155">
        <v>85</v>
      </c>
      <c r="AC803" s="155">
        <v>15.1</v>
      </c>
      <c r="AD803" s="96"/>
      <c r="AE803" s="94">
        <f>Table3.110[[#This Row],[Gas 8h, ml]]-Table3.110[[#This Row],[Gas 0h, ml]]</f>
        <v>31</v>
      </c>
      <c r="AF803" s="94">
        <f>Table3.110[[#This Row],[Gas 24h, ml]]-Table3.110[[#This Row],[V8 Push back, ml]]</f>
        <v>44.5</v>
      </c>
      <c r="AG803" s="94">
        <f>Table3.110[[#This Row],[GP 8h, ml]]-(AVERAGE(AE$790,AE$791,AE$840,AE$841,AE$860,AE$861))*$AG$8</f>
        <v>29.81999099187605</v>
      </c>
      <c r="AH803" s="94">
        <f>Table3.110[[#This Row],[GP 8-24h, ml]]-(AVERAGE(AF$790,AF$791,AF$840,AF$841,AF$860,AF$861))*$AG$8</f>
        <v>41.623728042697877</v>
      </c>
      <c r="AI803" s="94">
        <f>Table3.110[[#This Row],[Net gas 8-24h, ml]]+Table3.110[[#This Row],[Net gas 8h, ml]]</f>
        <v>71.443719034573931</v>
      </c>
      <c r="AJ803" s="94">
        <f>Table3.110[[#This Row],[Net gas 8h, ml]]*Table3.110[[#This Row],[CH4 8h %]]%</f>
        <v>4.1449787478707716</v>
      </c>
      <c r="AK803" s="94">
        <f>Table3.110[[#This Row],[Net gas 8-24h, ml]]*Table3.110[[#This Row],[CH4 24h, %]]%</f>
        <v>6.2851829344473789</v>
      </c>
      <c r="AL803" s="94">
        <f>Table3.110[[#This Row],[CH4 8-24h, ml]]+Table3.110[[#This Row],[CH4 8h, ml]]</f>
        <v>10.43016168231815</v>
      </c>
      <c r="AM803" s="94">
        <f>(Table3.110[[#This Row],[Net gas 24h, ml]]/Table3.110[[#This Row],[DM Incubated, mg]])*1000</f>
        <v>156.96122767880507</v>
      </c>
      <c r="AN803" s="94">
        <f>'3.2 Digest'!X803</f>
        <v>21.6113511550321</v>
      </c>
      <c r="AO803" s="94">
        <f>Table3.110[[#This Row],[Digested feed, mg]]/Table3.110[[#This Row],[Net gas 24h, ml]]</f>
        <v>1.3768592075016208</v>
      </c>
      <c r="AP803" s="94">
        <f>Table3.110[[#This Row],[CH4 8h, ml]]/Table3.110[[#This Row],[Net gas 8h, ml]]%</f>
        <v>13.900000000000002</v>
      </c>
      <c r="AQ803" s="94">
        <f>Table3.110[[#This Row],[CH4 24h, ml]]/Table3.110[[#This Row],[Net gas 24h, ml]]%</f>
        <v>14.59913036899809</v>
      </c>
      <c r="AR803" s="94">
        <f>Table3.110[[#This Row],[CH4 24h, ml]]/Table3.110[[#This Row],[DM Incubated, mg]]*1000</f>
        <v>22.914974257608666</v>
      </c>
      <c r="AS803" s="94">
        <f>Table3.110[[#This Row],[CH4 24h, ml]]/Table3.110[[#This Row],[Digested feed, mg]]*1000</f>
        <v>106.03212216221391</v>
      </c>
      <c r="AT803" s="94">
        <f>Table3.110[[#This Row],[CH4 24h, ml]]/'3.2 Digest'!AA803</f>
        <v>-0.22449685738025196</v>
      </c>
      <c r="AU803" s="94">
        <f>((Table3.110[[#This Row],[CH4 24h, ml]]/28.9)*16.04)/Table3.110[[#This Row],[DM Incubated, mg]]*1000</f>
        <v>12.718207165814633</v>
      </c>
      <c r="AV803" s="94">
        <f>((Table3.110[[#This Row],[CH4 24h, ml]]/28.9)*16.04)/Table3.110[[#This Row],[Digested feed, mg]]*1000</f>
        <v>58.849662265810068</v>
      </c>
      <c r="AW803" s="64"/>
    </row>
    <row r="804" spans="2:49" x14ac:dyDescent="0.35">
      <c r="B804" s="90">
        <f t="shared" si="12"/>
        <v>794</v>
      </c>
      <c r="C804" s="140">
        <v>46055</v>
      </c>
      <c r="D804" s="6" t="s">
        <v>16</v>
      </c>
      <c r="E804" s="6" t="s">
        <v>337</v>
      </c>
      <c r="F804" s="6" t="s">
        <v>264</v>
      </c>
      <c r="G804" s="6" t="s">
        <v>265</v>
      </c>
      <c r="H804" s="6" t="s">
        <v>266</v>
      </c>
      <c r="I804" s="6" t="s">
        <v>22</v>
      </c>
      <c r="J804" s="129" t="s">
        <v>23</v>
      </c>
      <c r="K804" s="129" t="s">
        <v>215</v>
      </c>
      <c r="L804" s="6" t="s">
        <v>336</v>
      </c>
      <c r="M804" s="93">
        <v>29</v>
      </c>
      <c r="N804" s="93">
        <v>62</v>
      </c>
      <c r="O804" s="6">
        <v>1</v>
      </c>
      <c r="P804" s="129">
        <v>1</v>
      </c>
      <c r="Q804" s="6">
        <v>105</v>
      </c>
      <c r="R804" s="98">
        <v>0.50009999999999999</v>
      </c>
      <c r="S804" s="94">
        <f>((Table3.110[[#This Row],[Sample weight, g]]*'2.1. DM'!Q205)/100)*1000</f>
        <v>460.97305769423059</v>
      </c>
      <c r="T804" s="94">
        <f>'3.2 Digest'!W804</f>
        <v>235.37305769423057</v>
      </c>
      <c r="U804" s="153">
        <v>0.36805555555555558</v>
      </c>
      <c r="V804" s="154">
        <v>41.5</v>
      </c>
      <c r="W804" s="153">
        <v>0.70902777777777781</v>
      </c>
      <c r="X804" s="95">
        <v>78.5</v>
      </c>
      <c r="Y804" s="95">
        <v>13.4</v>
      </c>
      <c r="Z804" s="154">
        <v>40</v>
      </c>
      <c r="AA804" s="153">
        <v>0.38472222222222224</v>
      </c>
      <c r="AB804" s="154">
        <v>84.5</v>
      </c>
      <c r="AC804" s="154">
        <v>18</v>
      </c>
      <c r="AD804" s="91"/>
      <c r="AE804" s="94">
        <f>Table3.110[[#This Row],[Gas 8h, ml]]-Table3.110[[#This Row],[Gas 0h, ml]]</f>
        <v>37</v>
      </c>
      <c r="AF804" s="94">
        <f>Table3.110[[#This Row],[Gas 24h, ml]]-Table3.110[[#This Row],[V8 Push back, ml]]</f>
        <v>44.5</v>
      </c>
      <c r="AG804" s="94">
        <f>Table3.110[[#This Row],[GP 8h, ml]]-(AVERAGE(AE$790,AE$791,AE$840,AE$841,AE$860,AE$861))*$AG$8</f>
        <v>35.819990991876054</v>
      </c>
      <c r="AH804" s="94">
        <f>Table3.110[[#This Row],[GP 8-24h, ml]]-(AVERAGE(AF$790,AF$791,AF$840,AF$841,AF$860,AF$861))*$AG$8</f>
        <v>41.623728042697877</v>
      </c>
      <c r="AI804" s="94">
        <f>Table3.110[[#This Row],[Net gas 8-24h, ml]]+Table3.110[[#This Row],[Net gas 8h, ml]]</f>
        <v>77.443719034573931</v>
      </c>
      <c r="AJ804" s="94">
        <f>Table3.110[[#This Row],[Net gas 8h, ml]]*Table3.110[[#This Row],[CH4 8h %]]%</f>
        <v>4.7998787929113913</v>
      </c>
      <c r="AK804" s="94">
        <f>Table3.110[[#This Row],[Net gas 8-24h, ml]]*Table3.110[[#This Row],[CH4 24h, %]]%</f>
        <v>7.4922710476856178</v>
      </c>
      <c r="AL804" s="94">
        <f>Table3.110[[#This Row],[CH4 8-24h, ml]]+Table3.110[[#This Row],[CH4 8h, ml]]</f>
        <v>12.292149840597009</v>
      </c>
      <c r="AM804" s="94">
        <f>(Table3.110[[#This Row],[Net gas 24h, ml]]/Table3.110[[#This Row],[DM Incubated, mg]])*1000</f>
        <v>168.00053222620954</v>
      </c>
      <c r="AN804" s="94">
        <f>'3.2 Digest'!X804</f>
        <v>51.060046518023739</v>
      </c>
      <c r="AO804" s="94">
        <f>Table3.110[[#This Row],[Digested feed, mg]]/Table3.110[[#This Row],[Net gas 24h, ml]]</f>
        <v>3.0392788547403149</v>
      </c>
      <c r="AP804" s="94">
        <f>Table3.110[[#This Row],[CH4 8h, ml]]/Table3.110[[#This Row],[Net gas 8h, ml]]%</f>
        <v>13.4</v>
      </c>
      <c r="AQ804" s="94">
        <f>Table3.110[[#This Row],[CH4 24h, ml]]/Table3.110[[#This Row],[Net gas 24h, ml]]%</f>
        <v>15.8723651108611</v>
      </c>
      <c r="AR804" s="94">
        <f>Table3.110[[#This Row],[CH4 24h, ml]]/Table3.110[[#This Row],[DM Incubated, mg]]*1000</f>
        <v>26.665657863133841</v>
      </c>
      <c r="AS804" s="94">
        <f>Table3.110[[#This Row],[CH4 24h, ml]]/Table3.110[[#This Row],[Digested feed, mg]]*1000</f>
        <v>52.224115882309469</v>
      </c>
      <c r="AT804" s="94">
        <f>Table3.110[[#This Row],[CH4 24h, ml]]/'3.2 Digest'!AA804</f>
        <v>-3.1438862599323061</v>
      </c>
      <c r="AU804" s="94">
        <f>((Table3.110[[#This Row],[CH4 24h, ml]]/28.9)*16.04)/Table3.110[[#This Row],[DM Incubated, mg]]*1000</f>
        <v>14.799901457600926</v>
      </c>
      <c r="AV804" s="94">
        <f>((Table3.110[[#This Row],[CH4 24h, ml]]/28.9)*16.04)/Table3.110[[#This Row],[Digested feed, mg]]*1000</f>
        <v>28.985287846098402</v>
      </c>
      <c r="AW804" s="64"/>
    </row>
    <row r="805" spans="2:49" x14ac:dyDescent="0.35">
      <c r="B805" s="90">
        <f t="shared" si="12"/>
        <v>795</v>
      </c>
      <c r="C805" s="140">
        <v>46055</v>
      </c>
      <c r="D805" s="6" t="s">
        <v>16</v>
      </c>
      <c r="E805" s="6" t="s">
        <v>337</v>
      </c>
      <c r="F805" s="6" t="s">
        <v>264</v>
      </c>
      <c r="G805" s="6" t="s">
        <v>265</v>
      </c>
      <c r="H805" s="6" t="s">
        <v>266</v>
      </c>
      <c r="I805" s="6" t="s">
        <v>22</v>
      </c>
      <c r="J805" s="129" t="s">
        <v>23</v>
      </c>
      <c r="K805" s="129" t="s">
        <v>215</v>
      </c>
      <c r="L805" s="6" t="s">
        <v>336</v>
      </c>
      <c r="M805" s="93">
        <v>29</v>
      </c>
      <c r="N805" s="93">
        <v>62</v>
      </c>
      <c r="O805" s="6">
        <v>1</v>
      </c>
      <c r="P805" s="6">
        <v>2</v>
      </c>
      <c r="Q805" s="6">
        <v>106</v>
      </c>
      <c r="R805" s="98">
        <v>0.50049999999999994</v>
      </c>
      <c r="S805" s="94">
        <f>((Table3.110[[#This Row],[Sample weight, g]]*'2.1. DM'!Q205)/100)*1000</f>
        <v>461.34176239944497</v>
      </c>
      <c r="T805" s="94">
        <f>'3.2 Digest'!W805</f>
        <v>198.74176239944501</v>
      </c>
      <c r="U805" s="117">
        <v>0.36875000000000002</v>
      </c>
      <c r="V805" s="155">
        <v>41.5</v>
      </c>
      <c r="W805" s="117">
        <v>0.70902777777777781</v>
      </c>
      <c r="X805" s="97">
        <v>77.5</v>
      </c>
      <c r="Y805" s="97">
        <v>13.6</v>
      </c>
      <c r="Z805" s="155">
        <v>40.5</v>
      </c>
      <c r="AA805" s="117">
        <v>0.38541666666666669</v>
      </c>
      <c r="AB805" s="155">
        <v>83.5</v>
      </c>
      <c r="AC805" s="155">
        <v>18.3</v>
      </c>
      <c r="AD805" s="96"/>
      <c r="AE805" s="94">
        <f>Table3.110[[#This Row],[Gas 8h, ml]]-Table3.110[[#This Row],[Gas 0h, ml]]</f>
        <v>36</v>
      </c>
      <c r="AF805" s="94">
        <f>Table3.110[[#This Row],[Gas 24h, ml]]-Table3.110[[#This Row],[V8 Push back, ml]]</f>
        <v>43</v>
      </c>
      <c r="AG805" s="94">
        <f>Table3.110[[#This Row],[GP 8h, ml]]-(AVERAGE(AE$790,AE$791,AE$840,AE$841,AE$860,AE$861))*$AG$8</f>
        <v>34.819990991876054</v>
      </c>
      <c r="AH805" s="94">
        <f>Table3.110[[#This Row],[GP 8-24h, ml]]-(AVERAGE(AF$790,AF$791,AF$840,AF$841,AF$860,AF$861))*$AG$8</f>
        <v>40.123728042697877</v>
      </c>
      <c r="AI805" s="94">
        <f>Table3.110[[#This Row],[Net gas 8-24h, ml]]+Table3.110[[#This Row],[Net gas 8h, ml]]</f>
        <v>74.943719034573931</v>
      </c>
      <c r="AJ805" s="94">
        <f>Table3.110[[#This Row],[Net gas 8h, ml]]*Table3.110[[#This Row],[CH4 8h %]]%</f>
        <v>4.7355187748951435</v>
      </c>
      <c r="AK805" s="94">
        <f>Table3.110[[#This Row],[Net gas 8-24h, ml]]*Table3.110[[#This Row],[CH4 24h, %]]%</f>
        <v>7.342642231813711</v>
      </c>
      <c r="AL805" s="94">
        <f>Table3.110[[#This Row],[CH4 8-24h, ml]]+Table3.110[[#This Row],[CH4 8h, ml]]</f>
        <v>12.078161006708854</v>
      </c>
      <c r="AM805" s="94">
        <f>(Table3.110[[#This Row],[Net gas 24h, ml]]/Table3.110[[#This Row],[DM Incubated, mg]])*1000</f>
        <v>162.44728993271843</v>
      </c>
      <c r="AN805" s="94">
        <f>'3.2 Digest'!X805</f>
        <v>43.079074689832183</v>
      </c>
      <c r="AO805" s="94">
        <f>Table3.110[[#This Row],[Digested feed, mg]]/Table3.110[[#This Row],[Net gas 24h, ml]]</f>
        <v>2.651880170341681</v>
      </c>
      <c r="AP805" s="94">
        <f>Table3.110[[#This Row],[CH4 8h, ml]]/Table3.110[[#This Row],[Net gas 8h, ml]]%</f>
        <v>13.6</v>
      </c>
      <c r="AQ805" s="94">
        <f>Table3.110[[#This Row],[CH4 24h, ml]]/Table3.110[[#This Row],[Net gas 24h, ml]]%</f>
        <v>16.116308561010712</v>
      </c>
      <c r="AR805" s="94">
        <f>Table3.110[[#This Row],[CH4 24h, ml]]/Table3.110[[#This Row],[DM Incubated, mg]]*1000</f>
        <v>26.180506494556592</v>
      </c>
      <c r="AS805" s="94">
        <f>Table3.110[[#This Row],[CH4 24h, ml]]/Table3.110[[#This Row],[Digested feed, mg]]*1000</f>
        <v>60.773140284593666</v>
      </c>
      <c r="AT805" s="94">
        <f>Table3.110[[#This Row],[CH4 24h, ml]]/'3.2 Digest'!AA805</f>
        <v>-0.57914532391630147</v>
      </c>
      <c r="AU805" s="94">
        <f>((Table3.110[[#This Row],[CH4 24h, ml]]/28.9)*16.04)/Table3.110[[#This Row],[DM Incubated, mg]]*1000</f>
        <v>14.530634054418261</v>
      </c>
      <c r="AV805" s="94">
        <f>((Table3.110[[#This Row],[CH4 24h, ml]]/28.9)*16.04)/Table3.110[[#This Row],[Digested feed, mg]]*1000</f>
        <v>33.73014429636271</v>
      </c>
      <c r="AW805" s="64"/>
    </row>
    <row r="806" spans="2:49" x14ac:dyDescent="0.35">
      <c r="B806" s="90">
        <f t="shared" si="12"/>
        <v>796</v>
      </c>
      <c r="C806" s="140">
        <v>46055</v>
      </c>
      <c r="D806" s="6" t="s">
        <v>16</v>
      </c>
      <c r="E806" s="6" t="s">
        <v>337</v>
      </c>
      <c r="F806" s="6" t="s">
        <v>264</v>
      </c>
      <c r="G806" s="6" t="s">
        <v>265</v>
      </c>
      <c r="H806" s="6" t="s">
        <v>266</v>
      </c>
      <c r="I806" s="6" t="s">
        <v>22</v>
      </c>
      <c r="J806" s="129" t="s">
        <v>23</v>
      </c>
      <c r="K806" s="129" t="s">
        <v>215</v>
      </c>
      <c r="L806" s="6" t="s">
        <v>336</v>
      </c>
      <c r="M806" s="93">
        <v>29</v>
      </c>
      <c r="N806" s="93">
        <v>62</v>
      </c>
      <c r="O806" s="6">
        <v>1</v>
      </c>
      <c r="P806" s="129">
        <v>3</v>
      </c>
      <c r="Q806" s="6">
        <v>107</v>
      </c>
      <c r="R806" s="98">
        <v>0.50060000000000004</v>
      </c>
      <c r="S806" s="94">
        <f>((Table3.110[[#This Row],[Sample weight, g]]*'2.1. DM'!Q205)/100)*1000</f>
        <v>461.43393857574853</v>
      </c>
      <c r="T806" s="94">
        <f>'3.2 Digest'!W806</f>
        <v>247.33393857574845</v>
      </c>
      <c r="U806" s="153">
        <v>0.36944444444444446</v>
      </c>
      <c r="V806" s="154">
        <v>40.5</v>
      </c>
      <c r="W806" s="153">
        <v>0.70902777777777781</v>
      </c>
      <c r="X806" s="95">
        <v>77.5</v>
      </c>
      <c r="Y806" s="95">
        <v>13.9</v>
      </c>
      <c r="Z806" s="154">
        <v>41</v>
      </c>
      <c r="AA806" s="153">
        <v>0.38541666666666669</v>
      </c>
      <c r="AB806" s="154">
        <v>84</v>
      </c>
      <c r="AC806" s="154">
        <v>18.399999999999999</v>
      </c>
      <c r="AD806" s="91"/>
      <c r="AE806" s="94">
        <f>Table3.110[[#This Row],[Gas 8h, ml]]-Table3.110[[#This Row],[Gas 0h, ml]]</f>
        <v>37</v>
      </c>
      <c r="AF806" s="94">
        <f>Table3.110[[#This Row],[Gas 24h, ml]]-Table3.110[[#This Row],[V8 Push back, ml]]</f>
        <v>43</v>
      </c>
      <c r="AG806" s="94">
        <f>Table3.110[[#This Row],[GP 8h, ml]]-(AVERAGE(AE$790,AE$791,AE$840,AE$841,AE$860,AE$861))*$AG$8</f>
        <v>35.819990991876054</v>
      </c>
      <c r="AH806" s="94">
        <f>Table3.110[[#This Row],[GP 8-24h, ml]]-(AVERAGE(AF$790,AF$791,AF$840,AF$841,AF$860,AF$861))*$AG$8</f>
        <v>40.123728042697877</v>
      </c>
      <c r="AI806" s="94">
        <f>Table3.110[[#This Row],[Net gas 8-24h, ml]]+Table3.110[[#This Row],[Net gas 8h, ml]]</f>
        <v>75.943719034573931</v>
      </c>
      <c r="AJ806" s="94">
        <f>Table3.110[[#This Row],[Net gas 8h, ml]]*Table3.110[[#This Row],[CH4 8h %]]%</f>
        <v>4.9789787478707721</v>
      </c>
      <c r="AK806" s="94">
        <f>Table3.110[[#This Row],[Net gas 8-24h, ml]]*Table3.110[[#This Row],[CH4 24h, %]]%</f>
        <v>7.3827659598564095</v>
      </c>
      <c r="AL806" s="94">
        <f>Table3.110[[#This Row],[CH4 8-24h, ml]]+Table3.110[[#This Row],[CH4 8h, ml]]</f>
        <v>12.361744707727182</v>
      </c>
      <c r="AM806" s="94">
        <f>(Table3.110[[#This Row],[Net gas 24h, ml]]/Table3.110[[#This Row],[DM Incubated, mg]])*1000</f>
        <v>164.58199687040812</v>
      </c>
      <c r="AN806" s="94">
        <f>'3.2 Digest'!X806</f>
        <v>53.60115888726429</v>
      </c>
      <c r="AO806" s="94">
        <f>Table3.110[[#This Row],[Digested feed, mg]]/Table3.110[[#This Row],[Net gas 24h, ml]]</f>
        <v>3.2568057203407155</v>
      </c>
      <c r="AP806" s="94">
        <f>Table3.110[[#This Row],[CH4 8h, ml]]/Table3.110[[#This Row],[Net gas 8h, ml]]%</f>
        <v>13.900000000000002</v>
      </c>
      <c r="AQ806" s="94">
        <f>Table3.110[[#This Row],[CH4 24h, ml]]/Table3.110[[#This Row],[Net gas 24h, ml]]%</f>
        <v>16.277507692373359</v>
      </c>
      <c r="AR806" s="94">
        <f>Table3.110[[#This Row],[CH4 24h, ml]]/Table3.110[[#This Row],[DM Incubated, mg]]*1000</f>
        <v>26.78984720084236</v>
      </c>
      <c r="AS806" s="94">
        <f>Table3.110[[#This Row],[CH4 24h, ml]]/Table3.110[[#This Row],[Digested feed, mg]]*1000</f>
        <v>49.979977591879397</v>
      </c>
      <c r="AT806" s="94">
        <f>Table3.110[[#This Row],[CH4 24h, ml]]/'3.2 Digest'!AA806</f>
        <v>8.3218295412609162</v>
      </c>
      <c r="AU806" s="94">
        <f>((Table3.110[[#This Row],[CH4 24h, ml]]/28.9)*16.04)/Table3.110[[#This Row],[DM Incubated, mg]]*1000</f>
        <v>14.868828688633613</v>
      </c>
      <c r="AV806" s="94">
        <f>((Table3.110[[#This Row],[CH4 24h, ml]]/28.9)*16.04)/Table3.110[[#This Row],[Digested feed, mg]]*1000</f>
        <v>27.739752268987729</v>
      </c>
      <c r="AW806" s="64"/>
    </row>
    <row r="807" spans="2:49" x14ac:dyDescent="0.35">
      <c r="B807" s="90">
        <f t="shared" si="12"/>
        <v>797</v>
      </c>
      <c r="C807" s="140">
        <v>46055</v>
      </c>
      <c r="D807" s="6" t="s">
        <v>16</v>
      </c>
      <c r="E807" s="6" t="s">
        <v>339</v>
      </c>
      <c r="F807" s="6" t="s">
        <v>219</v>
      </c>
      <c r="G807" s="6" t="s">
        <v>253</v>
      </c>
      <c r="H807" s="6" t="s">
        <v>254</v>
      </c>
      <c r="I807" s="6" t="s">
        <v>22</v>
      </c>
      <c r="J807" s="129" t="s">
        <v>23</v>
      </c>
      <c r="K807" s="129" t="s">
        <v>215</v>
      </c>
      <c r="L807" s="6" t="s">
        <v>338</v>
      </c>
      <c r="M807" s="93">
        <v>29</v>
      </c>
      <c r="N807" s="93">
        <v>62</v>
      </c>
      <c r="O807" s="6">
        <v>1</v>
      </c>
      <c r="P807" s="129">
        <v>1</v>
      </c>
      <c r="Q807" s="6">
        <v>108</v>
      </c>
      <c r="R807" s="98">
        <v>0.50060000000000004</v>
      </c>
      <c r="S807" s="94">
        <f>((Table3.110[[#This Row],[Sample weight, g]]*'2.1. DM'!Q207)/100)*1000</f>
        <v>453.57327964407091</v>
      </c>
      <c r="T807" s="94">
        <f>'3.2 Digest'!W807</f>
        <v>250.97327964407091</v>
      </c>
      <c r="U807" s="117">
        <v>0.36944444444444446</v>
      </c>
      <c r="V807" s="155">
        <v>40.5</v>
      </c>
      <c r="W807" s="117">
        <v>0.70972222222222225</v>
      </c>
      <c r="X807" s="97">
        <v>80.5</v>
      </c>
      <c r="Y807" s="97">
        <v>12.9</v>
      </c>
      <c r="Z807" s="155">
        <v>40</v>
      </c>
      <c r="AA807" s="117">
        <v>0.38611111111111113</v>
      </c>
      <c r="AB807" s="155">
        <v>85</v>
      </c>
      <c r="AC807" s="155">
        <v>15.6</v>
      </c>
      <c r="AD807" s="96"/>
      <c r="AE807" s="94">
        <f>Table3.110[[#This Row],[Gas 8h, ml]]-Table3.110[[#This Row],[Gas 0h, ml]]</f>
        <v>40</v>
      </c>
      <c r="AF807" s="94">
        <f>Table3.110[[#This Row],[Gas 24h, ml]]-Table3.110[[#This Row],[V8 Push back, ml]]</f>
        <v>45</v>
      </c>
      <c r="AG807" s="94">
        <f>Table3.110[[#This Row],[GP 8h, ml]]-(AVERAGE(AE$790,AE$791,AE$840,AE$841,AE$860,AE$861))*$AG$8</f>
        <v>38.819990991876054</v>
      </c>
      <c r="AH807" s="94">
        <f>Table3.110[[#This Row],[GP 8-24h, ml]]-(AVERAGE(AF$790,AF$791,AF$840,AF$841,AF$860,AF$861))*$AG$8</f>
        <v>42.123728042697877</v>
      </c>
      <c r="AI807" s="94">
        <f>Table3.110[[#This Row],[Net gas 8-24h, ml]]+Table3.110[[#This Row],[Net gas 8h, ml]]</f>
        <v>80.943719034573931</v>
      </c>
      <c r="AJ807" s="94">
        <f>Table3.110[[#This Row],[Net gas 8h, ml]]*Table3.110[[#This Row],[CH4 8h %]]%</f>
        <v>5.007778837952011</v>
      </c>
      <c r="AK807" s="94">
        <f>Table3.110[[#This Row],[Net gas 8-24h, ml]]*Table3.110[[#This Row],[CH4 24h, %]]%</f>
        <v>6.5713015746608692</v>
      </c>
      <c r="AL807" s="94">
        <f>Table3.110[[#This Row],[CH4 8-24h, ml]]+Table3.110[[#This Row],[CH4 8h, ml]]</f>
        <v>11.57908041261288</v>
      </c>
      <c r="AM807" s="94">
        <f>(Table3.110[[#This Row],[Net gas 24h, ml]]/Table3.110[[#This Row],[DM Incubated, mg]])*1000</f>
        <v>178.45786484180081</v>
      </c>
      <c r="AN807" s="94">
        <f>'3.2 Digest'!X807</f>
        <v>55.332465757465975</v>
      </c>
      <c r="AO807" s="94">
        <f>Table3.110[[#This Row],[Digested feed, mg]]/Table3.110[[#This Row],[Net gas 24h, ml]]</f>
        <v>3.1005899239306181</v>
      </c>
      <c r="AP807" s="94">
        <f>Table3.110[[#This Row],[CH4 8h, ml]]/Table3.110[[#This Row],[Net gas 8h, ml]]%</f>
        <v>12.9</v>
      </c>
      <c r="AQ807" s="94">
        <f>Table3.110[[#This Row],[CH4 24h, ml]]/Table3.110[[#This Row],[Net gas 24h, ml]]%</f>
        <v>14.305100569529111</v>
      </c>
      <c r="AR807" s="94">
        <f>Table3.110[[#This Row],[CH4 24h, ml]]/Table3.110[[#This Row],[DM Incubated, mg]]*1000</f>
        <v>25.528577039853943</v>
      </c>
      <c r="AS807" s="94">
        <f>Table3.110[[#This Row],[CH4 24h, ml]]/Table3.110[[#This Row],[Digested feed, mg]]*1000</f>
        <v>46.13670598333924</v>
      </c>
      <c r="AT807" s="94">
        <f>Table3.110[[#This Row],[CH4 24h, ml]]/'3.2 Digest'!AA807</f>
        <v>1.6262533295677559</v>
      </c>
      <c r="AU807" s="94">
        <f>((Table3.110[[#This Row],[CH4 24h, ml]]/28.9)*16.04)/Table3.110[[#This Row],[DM Incubated, mg]]*1000</f>
        <v>14.168801928001981</v>
      </c>
      <c r="AV807" s="94">
        <f>((Table3.110[[#This Row],[CH4 24h, ml]]/28.9)*16.04)/Table3.110[[#This Row],[Digested feed, mg]]*1000</f>
        <v>25.606670033659569</v>
      </c>
      <c r="AW807" s="64"/>
    </row>
    <row r="808" spans="2:49" x14ac:dyDescent="0.35">
      <c r="B808" s="90">
        <f t="shared" si="12"/>
        <v>798</v>
      </c>
      <c r="C808" s="140">
        <v>46055</v>
      </c>
      <c r="D808" s="6" t="s">
        <v>16</v>
      </c>
      <c r="E808" s="6" t="s">
        <v>339</v>
      </c>
      <c r="F808" s="6" t="s">
        <v>219</v>
      </c>
      <c r="G808" s="6" t="s">
        <v>253</v>
      </c>
      <c r="H808" s="6" t="s">
        <v>254</v>
      </c>
      <c r="I808" s="6" t="s">
        <v>22</v>
      </c>
      <c r="J808" s="129" t="s">
        <v>23</v>
      </c>
      <c r="K808" s="129" t="s">
        <v>215</v>
      </c>
      <c r="L808" s="6" t="s">
        <v>338</v>
      </c>
      <c r="M808" s="93">
        <v>29</v>
      </c>
      <c r="N808" s="93">
        <v>62</v>
      </c>
      <c r="O808" s="6">
        <v>1</v>
      </c>
      <c r="P808" s="6">
        <v>2</v>
      </c>
      <c r="Q808" s="6">
        <v>109</v>
      </c>
      <c r="R808" s="98">
        <v>0.5</v>
      </c>
      <c r="S808" s="94">
        <f>((Table3.110[[#This Row],[Sample weight, g]]*'2.1. DM'!Q207)/100)*1000</f>
        <v>453.02964407118543</v>
      </c>
      <c r="T808" s="94">
        <f>'3.2 Digest'!W808</f>
        <v>291.1296440711854</v>
      </c>
      <c r="U808" s="153">
        <v>0.36944444444444446</v>
      </c>
      <c r="V808" s="154">
        <v>40.5</v>
      </c>
      <c r="W808" s="153">
        <v>0.70972222222222225</v>
      </c>
      <c r="X808" s="95">
        <v>77.5</v>
      </c>
      <c r="Y808" s="95">
        <v>12.9</v>
      </c>
      <c r="Z808" s="154">
        <v>40.5</v>
      </c>
      <c r="AA808" s="153">
        <v>0.38611111111111113</v>
      </c>
      <c r="AB808" s="154">
        <v>83.5</v>
      </c>
      <c r="AC808" s="154">
        <v>15.3</v>
      </c>
      <c r="AD808" s="91"/>
      <c r="AE808" s="94">
        <f>Table3.110[[#This Row],[Gas 8h, ml]]-Table3.110[[#This Row],[Gas 0h, ml]]</f>
        <v>37</v>
      </c>
      <c r="AF808" s="94">
        <f>Table3.110[[#This Row],[Gas 24h, ml]]-Table3.110[[#This Row],[V8 Push back, ml]]</f>
        <v>43</v>
      </c>
      <c r="AG808" s="94">
        <f>Table3.110[[#This Row],[GP 8h, ml]]-(AVERAGE(AE$790,AE$791,AE$840,AE$841,AE$860,AE$861))*$AG$8</f>
        <v>35.819990991876054</v>
      </c>
      <c r="AH808" s="94">
        <f>Table3.110[[#This Row],[GP 8-24h, ml]]-(AVERAGE(AF$790,AF$791,AF$840,AF$841,AF$860,AF$861))*$AG$8</f>
        <v>40.123728042697877</v>
      </c>
      <c r="AI808" s="94">
        <f>Table3.110[[#This Row],[Net gas 8-24h, ml]]+Table3.110[[#This Row],[Net gas 8h, ml]]</f>
        <v>75.943719034573931</v>
      </c>
      <c r="AJ808" s="94">
        <f>Table3.110[[#This Row],[Net gas 8h, ml]]*Table3.110[[#This Row],[CH4 8h %]]%</f>
        <v>4.6207788379520114</v>
      </c>
      <c r="AK808" s="94">
        <f>Table3.110[[#This Row],[Net gas 8-24h, ml]]*Table3.110[[#This Row],[CH4 24h, %]]%</f>
        <v>6.1389303905327752</v>
      </c>
      <c r="AL808" s="94">
        <f>Table3.110[[#This Row],[CH4 8-24h, ml]]+Table3.110[[#This Row],[CH4 8h, ml]]</f>
        <v>10.759709228484788</v>
      </c>
      <c r="AM808" s="94">
        <f>(Table3.110[[#This Row],[Net gas 24h, ml]]/Table3.110[[#This Row],[DM Incubated, mg]])*1000</f>
        <v>167.63520892827214</v>
      </c>
      <c r="AN808" s="94">
        <f>'3.2 Digest'!X808</f>
        <v>64.262824272364753</v>
      </c>
      <c r="AO808" s="94">
        <f>Table3.110[[#This Row],[Digested feed, mg]]/Table3.110[[#This Row],[Net gas 24h, ml]]</f>
        <v>3.8334920619129345</v>
      </c>
      <c r="AP808" s="94">
        <f>Table3.110[[#This Row],[CH4 8h, ml]]/Table3.110[[#This Row],[Net gas 8h, ml]]%</f>
        <v>12.9</v>
      </c>
      <c r="AQ808" s="94">
        <f>Table3.110[[#This Row],[CH4 24h, ml]]/Table3.110[[#This Row],[Net gas 24h, ml]]%</f>
        <v>14.168004102599125</v>
      </c>
      <c r="AR808" s="94">
        <f>Table3.110[[#This Row],[CH4 24h, ml]]/Table3.110[[#This Row],[DM Incubated, mg]]*1000</f>
        <v>23.750563278358211</v>
      </c>
      <c r="AS808" s="94">
        <f>Table3.110[[#This Row],[CH4 24h, ml]]/Table3.110[[#This Row],[Digested feed, mg]]*1000</f>
        <v>36.958480345800453</v>
      </c>
      <c r="AT808" s="94">
        <f>Table3.110[[#This Row],[CH4 24h, ml]]/'3.2 Digest'!AA808</f>
        <v>0.41883635047697226</v>
      </c>
      <c r="AU808" s="94">
        <f>((Table3.110[[#This Row],[CH4 24h, ml]]/28.9)*16.04)/Table3.110[[#This Row],[DM Incubated, mg]]*1000</f>
        <v>13.181973528888088</v>
      </c>
      <c r="AV808" s="94">
        <f>((Table3.110[[#This Row],[CH4 24h, ml]]/28.9)*16.04)/Table3.110[[#This Row],[Digested feed, mg]]*1000</f>
        <v>20.512596011994436</v>
      </c>
      <c r="AW808" s="64"/>
    </row>
    <row r="809" spans="2:49" x14ac:dyDescent="0.35">
      <c r="B809" s="90">
        <f t="shared" si="12"/>
        <v>799</v>
      </c>
      <c r="C809" s="140">
        <v>46055</v>
      </c>
      <c r="D809" s="6" t="s">
        <v>16</v>
      </c>
      <c r="E809" s="6" t="s">
        <v>339</v>
      </c>
      <c r="F809" s="6" t="s">
        <v>219</v>
      </c>
      <c r="G809" s="6" t="s">
        <v>253</v>
      </c>
      <c r="H809" s="6" t="s">
        <v>254</v>
      </c>
      <c r="I809" s="6" t="s">
        <v>22</v>
      </c>
      <c r="J809" s="129" t="s">
        <v>23</v>
      </c>
      <c r="K809" s="129" t="s">
        <v>215</v>
      </c>
      <c r="L809" s="6" t="s">
        <v>338</v>
      </c>
      <c r="M809" s="93">
        <v>29</v>
      </c>
      <c r="N809" s="93">
        <v>62</v>
      </c>
      <c r="O809" s="6">
        <v>1</v>
      </c>
      <c r="P809" s="129">
        <v>3</v>
      </c>
      <c r="Q809" s="6">
        <v>110</v>
      </c>
      <c r="R809" s="98">
        <v>0.50029999999999997</v>
      </c>
      <c r="S809" s="94">
        <f>((Table3.110[[#This Row],[Sample weight, g]]*'2.1. DM'!Q207)/100)*1000</f>
        <v>453.30146185762817</v>
      </c>
      <c r="T809" s="94">
        <f>'3.2 Digest'!W809</f>
        <v>257.10146185762812</v>
      </c>
      <c r="U809" s="117">
        <v>0.37013888888888891</v>
      </c>
      <c r="V809" s="155">
        <v>40.5</v>
      </c>
      <c r="W809" s="117">
        <v>0.7104166666666667</v>
      </c>
      <c r="X809" s="97">
        <v>77</v>
      </c>
      <c r="Y809" s="97">
        <v>12.9</v>
      </c>
      <c r="Z809" s="155">
        <v>40</v>
      </c>
      <c r="AA809" s="117">
        <v>0.38680555555555557</v>
      </c>
      <c r="AB809" s="155">
        <v>83.5</v>
      </c>
      <c r="AC809" s="155">
        <v>15.2</v>
      </c>
      <c r="AD809" s="96"/>
      <c r="AE809" s="94">
        <f>Table3.110[[#This Row],[Gas 8h, ml]]-Table3.110[[#This Row],[Gas 0h, ml]]</f>
        <v>36.5</v>
      </c>
      <c r="AF809" s="94">
        <f>Table3.110[[#This Row],[Gas 24h, ml]]-Table3.110[[#This Row],[V8 Push back, ml]]</f>
        <v>43.5</v>
      </c>
      <c r="AG809" s="94">
        <f>Table3.110[[#This Row],[GP 8h, ml]]-(AVERAGE(AE$790,AE$791,AE$840,AE$841,AE$860,AE$861))*$AG$8</f>
        <v>35.319990991876054</v>
      </c>
      <c r="AH809" s="94">
        <f>Table3.110[[#This Row],[GP 8-24h, ml]]-(AVERAGE(AF$790,AF$791,AF$840,AF$841,AF$860,AF$861))*$AG$8</f>
        <v>40.623728042697877</v>
      </c>
      <c r="AI809" s="94">
        <f>Table3.110[[#This Row],[Net gas 8-24h, ml]]+Table3.110[[#This Row],[Net gas 8h, ml]]</f>
        <v>75.943719034573931</v>
      </c>
      <c r="AJ809" s="94">
        <f>Table3.110[[#This Row],[Net gas 8h, ml]]*Table3.110[[#This Row],[CH4 8h %]]%</f>
        <v>4.5562788379520107</v>
      </c>
      <c r="AK809" s="94">
        <f>Table3.110[[#This Row],[Net gas 8-24h, ml]]*Table3.110[[#This Row],[CH4 24h, %]]%</f>
        <v>6.1748066624900773</v>
      </c>
      <c r="AL809" s="94">
        <f>Table3.110[[#This Row],[CH4 8-24h, ml]]+Table3.110[[#This Row],[CH4 8h, ml]]</f>
        <v>10.731085500442088</v>
      </c>
      <c r="AM809" s="94">
        <f>(Table3.110[[#This Row],[Net gas 24h, ml]]/Table3.110[[#This Row],[DM Incubated, mg]])*1000</f>
        <v>167.53468811540287</v>
      </c>
      <c r="AN809" s="94">
        <f>'3.2 Digest'!X809</f>
        <v>56.717545274181781</v>
      </c>
      <c r="AO809" s="94">
        <f>Table3.110[[#This Row],[Digested feed, mg]]/Table3.110[[#This Row],[Net gas 24h, ml]]</f>
        <v>3.3854210081623841</v>
      </c>
      <c r="AP809" s="94">
        <f>Table3.110[[#This Row],[CH4 8h, ml]]/Table3.110[[#This Row],[Net gas 8h, ml]]%</f>
        <v>12.899999999999999</v>
      </c>
      <c r="AQ809" s="94">
        <f>Table3.110[[#This Row],[CH4 24h, ml]]/Table3.110[[#This Row],[Net gas 24h, ml]]%</f>
        <v>14.130313391100431</v>
      </c>
      <c r="AR809" s="94">
        <f>Table3.110[[#This Row],[CH4 24h, ml]]/Table3.110[[#This Row],[DM Incubated, mg]]*1000</f>
        <v>23.673176469509116</v>
      </c>
      <c r="AS809" s="94">
        <f>Table3.110[[#This Row],[CH4 24h, ml]]/Table3.110[[#This Row],[Digested feed, mg]]*1000</f>
        <v>41.738718336749514</v>
      </c>
      <c r="AT809" s="94">
        <f>Table3.110[[#This Row],[CH4 24h, ml]]/'3.2 Digest'!AA809</f>
        <v>1.0730896730019426</v>
      </c>
      <c r="AU809" s="94">
        <f>((Table3.110[[#This Row],[CH4 24h, ml]]/28.9)*16.04)/Table3.110[[#This Row],[DM Incubated, mg]]*1000</f>
        <v>13.139022511104717</v>
      </c>
      <c r="AV809" s="94">
        <f>((Table3.110[[#This Row],[CH4 24h, ml]]/28.9)*16.04)/Table3.110[[#This Row],[Digested feed, mg]]*1000</f>
        <v>23.165710800050594</v>
      </c>
      <c r="AW809" s="64"/>
    </row>
    <row r="810" spans="2:49" x14ac:dyDescent="0.35">
      <c r="B810" s="90">
        <f t="shared" si="12"/>
        <v>800</v>
      </c>
      <c r="C810" s="140">
        <v>46055</v>
      </c>
      <c r="D810" s="6" t="s">
        <v>16</v>
      </c>
      <c r="E810" s="6" t="s">
        <v>341</v>
      </c>
      <c r="F810" s="6" t="s">
        <v>333</v>
      </c>
      <c r="G810" s="6" t="s">
        <v>334</v>
      </c>
      <c r="H810" s="6" t="s">
        <v>335</v>
      </c>
      <c r="I810" s="6" t="s">
        <v>22</v>
      </c>
      <c r="J810" s="129" t="s">
        <v>23</v>
      </c>
      <c r="K810" s="129" t="s">
        <v>303</v>
      </c>
      <c r="L810" s="6" t="s">
        <v>340</v>
      </c>
      <c r="M810" s="93">
        <v>29</v>
      </c>
      <c r="N810" s="93">
        <v>62</v>
      </c>
      <c r="O810" s="6">
        <v>1</v>
      </c>
      <c r="P810" s="129">
        <v>1</v>
      </c>
      <c r="Q810" s="6">
        <v>111</v>
      </c>
      <c r="R810" s="98">
        <v>0.5</v>
      </c>
      <c r="S810" s="94">
        <f>((Table3.110[[#This Row],[Sample weight, g]]*'2.1. DM'!Q209)/100)*1000</f>
        <v>462.39566355139465</v>
      </c>
      <c r="T810" s="94">
        <f>'3.2 Digest'!W810</f>
        <v>261.59566355139464</v>
      </c>
      <c r="U810" s="156">
        <v>0.37013888888888891</v>
      </c>
      <c r="V810" s="154">
        <v>41</v>
      </c>
      <c r="W810" s="153">
        <v>0.71111111111111114</v>
      </c>
      <c r="X810" s="95">
        <v>81</v>
      </c>
      <c r="Y810" s="95">
        <v>13.2</v>
      </c>
      <c r="Z810" s="154">
        <v>40.5</v>
      </c>
      <c r="AA810" s="153">
        <v>0.38680555555555557</v>
      </c>
      <c r="AB810" s="154">
        <v>85</v>
      </c>
      <c r="AC810" s="154">
        <v>15.6</v>
      </c>
      <c r="AD810" s="91"/>
      <c r="AE810" s="94">
        <f>Table3.110[[#This Row],[Gas 8h, ml]]-Table3.110[[#This Row],[Gas 0h, ml]]</f>
        <v>40</v>
      </c>
      <c r="AF810" s="94">
        <f>Table3.110[[#This Row],[Gas 24h, ml]]-Table3.110[[#This Row],[V8 Push back, ml]]</f>
        <v>44.5</v>
      </c>
      <c r="AG810" s="94">
        <f>Table3.110[[#This Row],[GP 8h, ml]]-(AVERAGE(AE$790,AE$791,AE$840,AE$841,AE$860,AE$861))*$AG$8</f>
        <v>38.819990991876054</v>
      </c>
      <c r="AH810" s="94">
        <f>Table3.110[[#This Row],[GP 8-24h, ml]]-(AVERAGE(AF$790,AF$791,AF$840,AF$841,AF$860,AF$861))*$AG$8</f>
        <v>41.623728042697877</v>
      </c>
      <c r="AI810" s="94">
        <f>Table3.110[[#This Row],[Net gas 8-24h, ml]]+Table3.110[[#This Row],[Net gas 8h, ml]]</f>
        <v>80.443719034573931</v>
      </c>
      <c r="AJ810" s="94">
        <f>Table3.110[[#This Row],[Net gas 8h, ml]]*Table3.110[[#This Row],[CH4 8h %]]%</f>
        <v>5.1242388109276398</v>
      </c>
      <c r="AK810" s="94">
        <f>Table3.110[[#This Row],[Net gas 8-24h, ml]]*Table3.110[[#This Row],[CH4 24h, %]]%</f>
        <v>6.4933015746608689</v>
      </c>
      <c r="AL810" s="94">
        <f>Table3.110[[#This Row],[CH4 8-24h, ml]]+Table3.110[[#This Row],[CH4 8h, ml]]</f>
        <v>11.617540385588509</v>
      </c>
      <c r="AM810" s="94">
        <f>(Table3.110[[#This Row],[Net gas 24h, ml]]/Table3.110[[#This Row],[DM Incubated, mg]])*1000</f>
        <v>173.97161213998436</v>
      </c>
      <c r="AN810" s="94">
        <f>'3.2 Digest'!X810</f>
        <v>56.573987208753017</v>
      </c>
      <c r="AO810" s="94">
        <f>Table3.110[[#This Row],[Digested feed, mg]]/Table3.110[[#This Row],[Net gas 24h, ml]]</f>
        <v>3.2519091197034706</v>
      </c>
      <c r="AP810" s="94">
        <f>Table3.110[[#This Row],[CH4 8h, ml]]/Table3.110[[#This Row],[Net gas 8h, ml]]%</f>
        <v>13.200000000000003</v>
      </c>
      <c r="AQ810" s="94">
        <f>Table3.110[[#This Row],[CH4 24h, ml]]/Table3.110[[#This Row],[Net gas 24h, ml]]%</f>
        <v>14.441824079012809</v>
      </c>
      <c r="AR810" s="94">
        <f>Table3.110[[#This Row],[CH4 24h, ml]]/Table3.110[[#This Row],[DM Incubated, mg]]*1000</f>
        <v>25.124674172679033</v>
      </c>
      <c r="AS810" s="94">
        <f>Table3.110[[#This Row],[CH4 24h, ml]]/Table3.110[[#This Row],[Digested feed, mg]]*1000</f>
        <v>44.410294222274288</v>
      </c>
      <c r="AT810" s="94">
        <f>Table3.110[[#This Row],[CH4 24h, ml]]/'3.2 Digest'!AA810</f>
        <v>2.5403054293862835</v>
      </c>
      <c r="AU810" s="94">
        <f>((Table3.110[[#This Row],[CH4 24h, ml]]/28.9)*16.04)/Table3.110[[#This Row],[DM Incubated, mg]]*1000</f>
        <v>13.944628848781027</v>
      </c>
      <c r="AV810" s="94">
        <f>((Table3.110[[#This Row],[CH4 24h, ml]]/28.9)*16.04)/Table3.110[[#This Row],[Digested feed, mg]]*1000</f>
        <v>24.648481637552923</v>
      </c>
      <c r="AW810" s="64"/>
    </row>
    <row r="811" spans="2:49" x14ac:dyDescent="0.35">
      <c r="B811" s="90">
        <f t="shared" si="12"/>
        <v>801</v>
      </c>
      <c r="C811" s="140">
        <v>46055</v>
      </c>
      <c r="D811" s="6" t="s">
        <v>16</v>
      </c>
      <c r="E811" s="6" t="s">
        <v>341</v>
      </c>
      <c r="F811" s="6" t="s">
        <v>333</v>
      </c>
      <c r="G811" s="6" t="s">
        <v>334</v>
      </c>
      <c r="H811" s="6" t="s">
        <v>335</v>
      </c>
      <c r="I811" s="6" t="s">
        <v>22</v>
      </c>
      <c r="J811" s="129" t="s">
        <v>23</v>
      </c>
      <c r="K811" s="129" t="s">
        <v>303</v>
      </c>
      <c r="L811" s="6" t="s">
        <v>340</v>
      </c>
      <c r="M811" s="93">
        <v>29</v>
      </c>
      <c r="N811" s="93">
        <v>62</v>
      </c>
      <c r="O811" s="6">
        <v>1</v>
      </c>
      <c r="P811" s="6">
        <v>2</v>
      </c>
      <c r="Q811" s="6">
        <v>112</v>
      </c>
      <c r="R811" s="98">
        <v>0.50049999999999994</v>
      </c>
      <c r="S811" s="94">
        <f>((Table3.110[[#This Row],[Sample weight, g]]*'2.1. DM'!Q209)/100)*1000</f>
        <v>462.85805921494597</v>
      </c>
      <c r="T811" s="94">
        <f>'3.2 Digest'!W811</f>
        <v>234.25805921494594</v>
      </c>
      <c r="U811" s="117">
        <v>0.37013888888888891</v>
      </c>
      <c r="V811" s="155">
        <v>41</v>
      </c>
      <c r="W811" s="117">
        <v>0.71111111111111114</v>
      </c>
      <c r="X811" s="97">
        <v>81.5</v>
      </c>
      <c r="Y811" s="97">
        <v>13.1</v>
      </c>
      <c r="Z811" s="155">
        <v>40.5</v>
      </c>
      <c r="AA811" s="117">
        <v>0.38750000000000001</v>
      </c>
      <c r="AB811" s="155">
        <v>85</v>
      </c>
      <c r="AC811" s="155">
        <v>15.5</v>
      </c>
      <c r="AD811" s="96"/>
      <c r="AE811" s="94">
        <f>Table3.110[[#This Row],[Gas 8h, ml]]-Table3.110[[#This Row],[Gas 0h, ml]]</f>
        <v>40.5</v>
      </c>
      <c r="AF811" s="94">
        <f>Table3.110[[#This Row],[Gas 24h, ml]]-Table3.110[[#This Row],[V8 Push back, ml]]</f>
        <v>44.5</v>
      </c>
      <c r="AG811" s="94">
        <f>Table3.110[[#This Row],[GP 8h, ml]]-(AVERAGE(AE$790,AE$791,AE$840,AE$841,AE$860,AE$861))*$AG$8</f>
        <v>39.319990991876054</v>
      </c>
      <c r="AH811" s="94">
        <f>Table3.110[[#This Row],[GP 8-24h, ml]]-(AVERAGE(AF$790,AF$791,AF$840,AF$841,AF$860,AF$861))*$AG$8</f>
        <v>41.623728042697877</v>
      </c>
      <c r="AI811" s="94">
        <f>Table3.110[[#This Row],[Net gas 8-24h, ml]]+Table3.110[[#This Row],[Net gas 8h, ml]]</f>
        <v>80.943719034573931</v>
      </c>
      <c r="AJ811" s="94">
        <f>Table3.110[[#This Row],[Net gas 8h, ml]]*Table3.110[[#This Row],[CH4 8h %]]%</f>
        <v>5.1509188199357636</v>
      </c>
      <c r="AK811" s="94">
        <f>Table3.110[[#This Row],[Net gas 8-24h, ml]]*Table3.110[[#This Row],[CH4 24h, %]]%</f>
        <v>6.4516778466181712</v>
      </c>
      <c r="AL811" s="94">
        <f>Table3.110[[#This Row],[CH4 8-24h, ml]]+Table3.110[[#This Row],[CH4 8h, ml]]</f>
        <v>11.602596666553936</v>
      </c>
      <c r="AM811" s="94">
        <f>(Table3.110[[#This Row],[Net gas 24h, ml]]/Table3.110[[#This Row],[DM Incubated, mg]])*1000</f>
        <v>174.87805910058614</v>
      </c>
      <c r="AN811" s="94">
        <f>'3.2 Digest'!X811</f>
        <v>50.611208890317542</v>
      </c>
      <c r="AO811" s="94">
        <f>Table3.110[[#This Row],[Digested feed, mg]]/Table3.110[[#This Row],[Net gas 24h, ml]]</f>
        <v>2.8940856932319359</v>
      </c>
      <c r="AP811" s="94">
        <f>Table3.110[[#This Row],[CH4 8h, ml]]/Table3.110[[#This Row],[Net gas 8h, ml]]%</f>
        <v>13.100000000000001</v>
      </c>
      <c r="AQ811" s="94">
        <f>Table3.110[[#This Row],[CH4 24h, ml]]/Table3.110[[#This Row],[Net gas 24h, ml]]%</f>
        <v>14.334153168324345</v>
      </c>
      <c r="AR811" s="94">
        <f>Table3.110[[#This Row],[CH4 24h, ml]]/Table3.110[[#This Row],[DM Incubated, mg]]*1000</f>
        <v>25.067288849270792</v>
      </c>
      <c r="AS811" s="94">
        <f>Table3.110[[#This Row],[CH4 24h, ml]]/Table3.110[[#This Row],[Digested feed, mg]]*1000</f>
        <v>49.529124869543338</v>
      </c>
      <c r="AT811" s="94">
        <f>Table3.110[[#This Row],[CH4 24h, ml]]/'3.2 Digest'!AA811</f>
        <v>-1.3602659631252192</v>
      </c>
      <c r="AU811" s="94">
        <f>((Table3.110[[#This Row],[CH4 24h, ml]]/28.9)*16.04)/Table3.110[[#This Row],[DM Incubated, mg]]*1000</f>
        <v>13.912779001463791</v>
      </c>
      <c r="AV811" s="94">
        <f>((Table3.110[[#This Row],[CH4 24h, ml]]/28.9)*16.04)/Table3.110[[#This Row],[Digested feed, mg]]*1000</f>
        <v>27.489521207871114</v>
      </c>
      <c r="AW811" s="64"/>
    </row>
    <row r="812" spans="2:49" x14ac:dyDescent="0.35">
      <c r="B812" s="90">
        <f t="shared" si="12"/>
        <v>802</v>
      </c>
      <c r="C812" s="140">
        <v>46055</v>
      </c>
      <c r="D812" s="6" t="s">
        <v>16</v>
      </c>
      <c r="E812" s="6" t="s">
        <v>341</v>
      </c>
      <c r="F812" s="6" t="s">
        <v>333</v>
      </c>
      <c r="G812" s="6" t="s">
        <v>334</v>
      </c>
      <c r="H812" s="6" t="s">
        <v>335</v>
      </c>
      <c r="I812" s="6" t="s">
        <v>22</v>
      </c>
      <c r="J812" s="129" t="s">
        <v>23</v>
      </c>
      <c r="K812" s="129" t="s">
        <v>303</v>
      </c>
      <c r="L812" s="6" t="s">
        <v>340</v>
      </c>
      <c r="M812" s="93">
        <v>29</v>
      </c>
      <c r="N812" s="93">
        <v>62</v>
      </c>
      <c r="O812" s="6">
        <v>1</v>
      </c>
      <c r="P812" s="129">
        <v>3</v>
      </c>
      <c r="Q812" s="6">
        <v>113</v>
      </c>
      <c r="R812" s="98">
        <v>0.50060000000000004</v>
      </c>
      <c r="S812" s="94">
        <f>((Table3.110[[#This Row],[Sample weight, g]]*'2.1. DM'!Q209)/100)*1000</f>
        <v>462.95053834765639</v>
      </c>
      <c r="T812" s="94">
        <f>'3.2 Digest'!W812</f>
        <v>216.25053834765637</v>
      </c>
      <c r="U812" s="153">
        <v>0.37083333333333335</v>
      </c>
      <c r="V812" s="154">
        <v>41</v>
      </c>
      <c r="W812" s="153">
        <v>0.71111111111111114</v>
      </c>
      <c r="X812" s="95">
        <v>79</v>
      </c>
      <c r="Y812" s="95">
        <v>13.5</v>
      </c>
      <c r="Z812" s="154">
        <v>40.5</v>
      </c>
      <c r="AA812" s="153">
        <v>0.38750000000000001</v>
      </c>
      <c r="AB812" s="154">
        <v>85.5</v>
      </c>
      <c r="AC812" s="154">
        <v>15.8</v>
      </c>
      <c r="AD812" s="91"/>
      <c r="AE812" s="94">
        <f>Table3.110[[#This Row],[Gas 8h, ml]]-Table3.110[[#This Row],[Gas 0h, ml]]</f>
        <v>38</v>
      </c>
      <c r="AF812" s="94">
        <f>Table3.110[[#This Row],[Gas 24h, ml]]-Table3.110[[#This Row],[V8 Push back, ml]]</f>
        <v>45</v>
      </c>
      <c r="AG812" s="94">
        <f>Table3.110[[#This Row],[GP 8h, ml]]-(AVERAGE(AE$790,AE$791,AE$840,AE$841,AE$860,AE$861))*$AG$8</f>
        <v>36.819990991876054</v>
      </c>
      <c r="AH812" s="94">
        <f>Table3.110[[#This Row],[GP 8-24h, ml]]-(AVERAGE(AF$790,AF$791,AF$840,AF$841,AF$860,AF$861))*$AG$8</f>
        <v>42.123728042697877</v>
      </c>
      <c r="AI812" s="94">
        <f>Table3.110[[#This Row],[Net gas 8-24h, ml]]+Table3.110[[#This Row],[Net gas 8h, ml]]</f>
        <v>78.943719034573931</v>
      </c>
      <c r="AJ812" s="94">
        <f>Table3.110[[#This Row],[Net gas 8h, ml]]*Table3.110[[#This Row],[CH4 8h %]]%</f>
        <v>4.9706987839032672</v>
      </c>
      <c r="AK812" s="94">
        <f>Table3.110[[#This Row],[Net gas 8-24h, ml]]*Table3.110[[#This Row],[CH4 24h, %]]%</f>
        <v>6.6555490307462648</v>
      </c>
      <c r="AL812" s="94">
        <f>Table3.110[[#This Row],[CH4 8-24h, ml]]+Table3.110[[#This Row],[CH4 8h, ml]]</f>
        <v>11.626247814649531</v>
      </c>
      <c r="AM812" s="94">
        <f>(Table3.110[[#This Row],[Net gas 24h, ml]]/Table3.110[[#This Row],[DM Incubated, mg]])*1000</f>
        <v>170.52300946951382</v>
      </c>
      <c r="AN812" s="94">
        <f>'3.2 Digest'!X812</f>
        <v>46.711369884024478</v>
      </c>
      <c r="AO812" s="94">
        <f>Table3.110[[#This Row],[Digested feed, mg]]/Table3.110[[#This Row],[Net gas 24h, ml]]</f>
        <v>2.7393001114242921</v>
      </c>
      <c r="AP812" s="94">
        <f>Table3.110[[#This Row],[CH4 8h, ml]]/Table3.110[[#This Row],[Net gas 8h, ml]]%</f>
        <v>13.5</v>
      </c>
      <c r="AQ812" s="94">
        <f>Table3.110[[#This Row],[CH4 24h, ml]]/Table3.110[[#This Row],[Net gas 24h, ml]]%</f>
        <v>14.72726134115589</v>
      </c>
      <c r="AR812" s="94">
        <f>Table3.110[[#This Row],[CH4 24h, ml]]/Table3.110[[#This Row],[DM Incubated, mg]]*1000</f>
        <v>25.113369251379307</v>
      </c>
      <c r="AS812" s="94">
        <f>Table3.110[[#This Row],[CH4 24h, ml]]/Table3.110[[#This Row],[Digested feed, mg]]*1000</f>
        <v>53.762861833705728</v>
      </c>
      <c r="AT812" s="94">
        <f>Table3.110[[#This Row],[CH4 24h, ml]]/'3.2 Digest'!AA812</f>
        <v>-0.67992241223807182</v>
      </c>
      <c r="AU812" s="94">
        <f>((Table3.110[[#This Row],[CH4 24h, ml]]/28.9)*16.04)/Table3.110[[#This Row],[DM Incubated, mg]]*1000</f>
        <v>13.938354421872807</v>
      </c>
      <c r="AV812" s="94">
        <f>((Table3.110[[#This Row],[CH4 24h, ml]]/28.9)*16.04)/Table3.110[[#This Row],[Digested feed, mg]]*1000</f>
        <v>29.839318471025599</v>
      </c>
      <c r="AW812" s="64"/>
    </row>
    <row r="813" spans="2:49" x14ac:dyDescent="0.35">
      <c r="B813" s="90">
        <f t="shared" si="12"/>
        <v>803</v>
      </c>
      <c r="C813" s="140">
        <v>46055</v>
      </c>
      <c r="D813" s="6" t="s">
        <v>16</v>
      </c>
      <c r="E813" s="6" t="s">
        <v>343</v>
      </c>
      <c r="F813" s="6" t="s">
        <v>212</v>
      </c>
      <c r="G813" s="6" t="s">
        <v>301</v>
      </c>
      <c r="H813" s="6" t="s">
        <v>302</v>
      </c>
      <c r="I813" s="6" t="s">
        <v>22</v>
      </c>
      <c r="J813" s="129" t="s">
        <v>23</v>
      </c>
      <c r="K813" s="129" t="s">
        <v>303</v>
      </c>
      <c r="L813" s="6" t="s">
        <v>342</v>
      </c>
      <c r="M813" s="93">
        <v>29</v>
      </c>
      <c r="N813" s="93">
        <v>62</v>
      </c>
      <c r="O813" s="6">
        <v>1</v>
      </c>
      <c r="P813" s="129">
        <v>1</v>
      </c>
      <c r="Q813" s="6">
        <v>114</v>
      </c>
      <c r="R813" s="98">
        <v>0.50049999999999994</v>
      </c>
      <c r="S813" s="94">
        <f>((Table3.110[[#This Row],[Sample weight, g]]*'2.1. DM'!Q211)/100)*1000</f>
        <v>463.29153796740684</v>
      </c>
      <c r="T813" s="94">
        <f>'3.2 Digest'!W813</f>
        <v>127.59153796740685</v>
      </c>
      <c r="U813" s="117">
        <v>0.37083333333333335</v>
      </c>
      <c r="V813" s="155">
        <v>41</v>
      </c>
      <c r="W813" s="117">
        <v>0.71180555555555558</v>
      </c>
      <c r="X813" s="97">
        <v>77.5</v>
      </c>
      <c r="Y813" s="97">
        <v>13.5</v>
      </c>
      <c r="Z813" s="155">
        <v>40.5</v>
      </c>
      <c r="AA813" s="117">
        <v>0.38819444444444445</v>
      </c>
      <c r="AB813" s="155">
        <v>77.5</v>
      </c>
      <c r="AC813" s="155">
        <v>16.7</v>
      </c>
      <c r="AD813" s="96"/>
      <c r="AE813" s="94">
        <f>Table3.110[[#This Row],[Gas 8h, ml]]-Table3.110[[#This Row],[Gas 0h, ml]]</f>
        <v>36.5</v>
      </c>
      <c r="AF813" s="94">
        <f>Table3.110[[#This Row],[Gas 24h, ml]]-Table3.110[[#This Row],[V8 Push back, ml]]</f>
        <v>37</v>
      </c>
      <c r="AG813" s="94">
        <f>Table3.110[[#This Row],[GP 8h, ml]]-(AVERAGE(AE$790,AE$791,AE$840,AE$841,AE$860,AE$861))*$AG$8</f>
        <v>35.319990991876054</v>
      </c>
      <c r="AH813" s="94">
        <f>Table3.110[[#This Row],[GP 8-24h, ml]]-(AVERAGE(AF$790,AF$791,AF$840,AF$841,AF$860,AF$861))*$AG$8</f>
        <v>34.123728042697877</v>
      </c>
      <c r="AI813" s="94">
        <f>Table3.110[[#This Row],[Net gas 8-24h, ml]]+Table3.110[[#This Row],[Net gas 8h, ml]]</f>
        <v>69.443719034573931</v>
      </c>
      <c r="AJ813" s="94">
        <f>Table3.110[[#This Row],[Net gas 8h, ml]]*Table3.110[[#This Row],[CH4 8h %]]%</f>
        <v>4.7681987839032676</v>
      </c>
      <c r="AK813" s="94">
        <f>Table3.110[[#This Row],[Net gas 8-24h, ml]]*Table3.110[[#This Row],[CH4 24h, %]]%</f>
        <v>5.6986625831305444</v>
      </c>
      <c r="AL813" s="94">
        <f>Table3.110[[#This Row],[CH4 8-24h, ml]]+Table3.110[[#This Row],[CH4 8h, ml]]</f>
        <v>10.466861367033811</v>
      </c>
      <c r="AM813" s="94">
        <f>(Table3.110[[#This Row],[Net gas 24h, ml]]/Table3.110[[#This Row],[DM Incubated, mg]])*1000</f>
        <v>149.89205142671824</v>
      </c>
      <c r="AN813" s="94">
        <f>'3.2 Digest'!X813</f>
        <v>27.540226296208132</v>
      </c>
      <c r="AO813" s="94">
        <f>Table3.110[[#This Row],[Digested feed, mg]]/Table3.110[[#This Row],[Net gas 24h, ml]]</f>
        <v>1.8373373393766954</v>
      </c>
      <c r="AP813" s="94">
        <f>Table3.110[[#This Row],[CH4 8h, ml]]/Table3.110[[#This Row],[Net gas 8h, ml]]%</f>
        <v>13.5</v>
      </c>
      <c r="AQ813" s="94">
        <f>Table3.110[[#This Row],[CH4 24h, ml]]/Table3.110[[#This Row],[Net gas 24h, ml]]%</f>
        <v>15.072437813739031</v>
      </c>
      <c r="AR813" s="94">
        <f>Table3.110[[#This Row],[CH4 24h, ml]]/Table3.110[[#This Row],[DM Incubated, mg]]*1000</f>
        <v>22.592386239029835</v>
      </c>
      <c r="AS813" s="94">
        <f>Table3.110[[#This Row],[CH4 24h, ml]]/Table3.110[[#This Row],[Digested feed, mg]]*1000</f>
        <v>82.034134346021929</v>
      </c>
      <c r="AT813" s="94">
        <f>Table3.110[[#This Row],[CH4 24h, ml]]/'3.2 Digest'!AA813</f>
        <v>-0.4929876089141727</v>
      </c>
      <c r="AU813" s="94">
        <f>((Table3.110[[#This Row],[CH4 24h, ml]]/28.9)*16.04)/Table3.110[[#This Row],[DM Incubated, mg]]*1000</f>
        <v>12.539165234395799</v>
      </c>
      <c r="AV813" s="94">
        <f>((Table3.110[[#This Row],[CH4 24h, ml]]/28.9)*16.04)/Table3.110[[#This Row],[Digested feed, mg]]*1000</f>
        <v>45.530363837722895</v>
      </c>
      <c r="AW813" s="64"/>
    </row>
    <row r="814" spans="2:49" x14ac:dyDescent="0.35">
      <c r="B814" s="90">
        <f t="shared" si="12"/>
        <v>804</v>
      </c>
      <c r="C814" s="140">
        <v>46055</v>
      </c>
      <c r="D814" s="6" t="s">
        <v>16</v>
      </c>
      <c r="E814" s="6" t="s">
        <v>343</v>
      </c>
      <c r="F814" s="6" t="s">
        <v>212</v>
      </c>
      <c r="G814" s="6" t="s">
        <v>301</v>
      </c>
      <c r="H814" s="6" t="s">
        <v>302</v>
      </c>
      <c r="I814" s="6" t="s">
        <v>22</v>
      </c>
      <c r="J814" s="129" t="s">
        <v>23</v>
      </c>
      <c r="K814" s="129" t="s">
        <v>303</v>
      </c>
      <c r="L814" s="6" t="s">
        <v>342</v>
      </c>
      <c r="M814" s="93">
        <v>29</v>
      </c>
      <c r="N814" s="93">
        <v>62</v>
      </c>
      <c r="O814" s="6">
        <v>1</v>
      </c>
      <c r="P814" s="129">
        <v>2</v>
      </c>
      <c r="Q814" s="6">
        <v>115</v>
      </c>
      <c r="R814" s="98">
        <v>0.50060000000000004</v>
      </c>
      <c r="S814" s="94">
        <f>((Table3.110[[#This Row],[Sample weight, g]]*'2.1. DM'!Q211)/100)*1000</f>
        <v>463.38410370925857</v>
      </c>
      <c r="T814" s="94">
        <f>'3.2 Digest'!W814</f>
        <v>194.48410370925865</v>
      </c>
      <c r="U814" s="153">
        <v>0.37083333333333335</v>
      </c>
      <c r="V814" s="154">
        <v>41</v>
      </c>
      <c r="W814" s="153">
        <v>0.71180555555555558</v>
      </c>
      <c r="X814" s="95">
        <v>78</v>
      </c>
      <c r="Y814" s="95">
        <v>13.6</v>
      </c>
      <c r="Z814" s="154">
        <v>40</v>
      </c>
      <c r="AA814" s="153">
        <v>0.38819444444444445</v>
      </c>
      <c r="AB814" s="154">
        <v>76.5</v>
      </c>
      <c r="AC814" s="154">
        <v>16.899999999999999</v>
      </c>
      <c r="AD814" s="91"/>
      <c r="AE814" s="94">
        <f>Table3.110[[#This Row],[Gas 8h, ml]]-Table3.110[[#This Row],[Gas 0h, ml]]</f>
        <v>37</v>
      </c>
      <c r="AF814" s="94">
        <f>Table3.110[[#This Row],[Gas 24h, ml]]-Table3.110[[#This Row],[V8 Push back, ml]]</f>
        <v>36.5</v>
      </c>
      <c r="AG814" s="94">
        <f>Table3.110[[#This Row],[GP 8h, ml]]-(AVERAGE(AE$790,AE$791,AE$840,AE$841,AE$860,AE$861))*$AG$8</f>
        <v>35.819990991876054</v>
      </c>
      <c r="AH814" s="94">
        <f>Table3.110[[#This Row],[GP 8-24h, ml]]-(AVERAGE(AF$790,AF$791,AF$840,AF$841,AF$860,AF$861))*$AG$8</f>
        <v>33.623728042697877</v>
      </c>
      <c r="AI814" s="94">
        <f>Table3.110[[#This Row],[Net gas 8-24h, ml]]+Table3.110[[#This Row],[Net gas 8h, ml]]</f>
        <v>69.443719034573931</v>
      </c>
      <c r="AJ814" s="94">
        <f>Table3.110[[#This Row],[Net gas 8h, ml]]*Table3.110[[#This Row],[CH4 8h %]]%</f>
        <v>4.8715187748951436</v>
      </c>
      <c r="AK814" s="94">
        <f>Table3.110[[#This Row],[Net gas 8-24h, ml]]*Table3.110[[#This Row],[CH4 24h, %]]%</f>
        <v>5.6824100392159407</v>
      </c>
      <c r="AL814" s="94">
        <f>Table3.110[[#This Row],[CH4 8-24h, ml]]+Table3.110[[#This Row],[CH4 8h, ml]]</f>
        <v>10.553928814111085</v>
      </c>
      <c r="AM814" s="94">
        <f>(Table3.110[[#This Row],[Net gas 24h, ml]]/Table3.110[[#This Row],[DM Incubated, mg]])*1000</f>
        <v>149.86210894740805</v>
      </c>
      <c r="AN814" s="94">
        <f>'3.2 Digest'!X814</f>
        <v>41.970387450166818</v>
      </c>
      <c r="AO814" s="94">
        <f>Table3.110[[#This Row],[Digested feed, mg]]/Table3.110[[#This Row],[Net gas 24h, ml]]</f>
        <v>2.8006003482104824</v>
      </c>
      <c r="AP814" s="94">
        <f>Table3.110[[#This Row],[CH4 8h, ml]]/Table3.110[[#This Row],[Net gas 8h, ml]]%</f>
        <v>13.6</v>
      </c>
      <c r="AQ814" s="94">
        <f>Table3.110[[#This Row],[CH4 24h, ml]]/Table3.110[[#This Row],[Net gas 24h, ml]]%</f>
        <v>15.197816247221152</v>
      </c>
      <c r="AR814" s="94">
        <f>Table3.110[[#This Row],[CH4 24h, ml]]/Table3.110[[#This Row],[DM Incubated, mg]]*1000</f>
        <v>22.775767942037444</v>
      </c>
      <c r="AS814" s="94">
        <f>Table3.110[[#This Row],[CH4 24h, ml]]/Table3.110[[#This Row],[Digested feed, mg]]*1000</f>
        <v>54.266279931487546</v>
      </c>
      <c r="AT814" s="94">
        <f>Table3.110[[#This Row],[CH4 24h, ml]]/'3.2 Digest'!AA814</f>
        <v>3.6250080610138031</v>
      </c>
      <c r="AU814" s="94">
        <f>((Table3.110[[#This Row],[CH4 24h, ml]]/28.9)*16.04)/Table3.110[[#This Row],[DM Incubated, mg]]*1000</f>
        <v>12.640945252258845</v>
      </c>
      <c r="AV814" s="94">
        <f>((Table3.110[[#This Row],[CH4 24h, ml]]/28.9)*16.04)/Table3.110[[#This Row],[Digested feed, mg]]*1000</f>
        <v>30.118724224950181</v>
      </c>
      <c r="AW814" s="64"/>
    </row>
    <row r="815" spans="2:49" x14ac:dyDescent="0.35">
      <c r="B815" s="90">
        <f t="shared" si="12"/>
        <v>805</v>
      </c>
      <c r="C815" s="140">
        <v>46055</v>
      </c>
      <c r="D815" s="6" t="s">
        <v>16</v>
      </c>
      <c r="E815" s="6" t="s">
        <v>343</v>
      </c>
      <c r="F815" s="6" t="s">
        <v>212</v>
      </c>
      <c r="G815" s="6" t="s">
        <v>301</v>
      </c>
      <c r="H815" s="6" t="s">
        <v>302</v>
      </c>
      <c r="I815" s="6" t="s">
        <v>22</v>
      </c>
      <c r="J815" s="129" t="s">
        <v>23</v>
      </c>
      <c r="K815" s="129" t="s">
        <v>303</v>
      </c>
      <c r="L815" s="6" t="s">
        <v>342</v>
      </c>
      <c r="M815" s="93">
        <v>29</v>
      </c>
      <c r="N815" s="93">
        <v>62</v>
      </c>
      <c r="O815" s="6">
        <v>1</v>
      </c>
      <c r="P815" s="129">
        <v>3</v>
      </c>
      <c r="Q815" s="6">
        <v>116</v>
      </c>
      <c r="R815" s="98">
        <v>0.50019999999999998</v>
      </c>
      <c r="S815" s="94">
        <f>((Table3.110[[#This Row],[Sample weight, g]]*'2.1. DM'!Q211)/100)*1000</f>
        <v>463.01384074185205</v>
      </c>
      <c r="T815" s="94">
        <f>'3.2 Digest'!W815</f>
        <v>179.81384074185206</v>
      </c>
      <c r="U815" s="117">
        <v>0.37152777777777779</v>
      </c>
      <c r="V815" s="155">
        <v>40.5</v>
      </c>
      <c r="W815" s="117">
        <v>0.71250000000000002</v>
      </c>
      <c r="X815" s="97">
        <v>77</v>
      </c>
      <c r="Y815" s="97">
        <v>13.6</v>
      </c>
      <c r="Z815" s="155">
        <v>40</v>
      </c>
      <c r="AA815" s="117">
        <v>0.3888888888888889</v>
      </c>
      <c r="AB815" s="155">
        <v>77.5</v>
      </c>
      <c r="AC815" s="155">
        <v>17</v>
      </c>
      <c r="AD815" s="96"/>
      <c r="AE815" s="94">
        <f>Table3.110[[#This Row],[Gas 8h, ml]]-Table3.110[[#This Row],[Gas 0h, ml]]</f>
        <v>36.5</v>
      </c>
      <c r="AF815" s="94">
        <f>Table3.110[[#This Row],[Gas 24h, ml]]-Table3.110[[#This Row],[V8 Push back, ml]]</f>
        <v>37.5</v>
      </c>
      <c r="AG815" s="94">
        <f>Table3.110[[#This Row],[GP 8h, ml]]-(AVERAGE(AE$790,AE$791,AE$840,AE$841,AE$860,AE$861))*$AG$8</f>
        <v>35.319990991876054</v>
      </c>
      <c r="AH815" s="94">
        <f>Table3.110[[#This Row],[GP 8-24h, ml]]-(AVERAGE(AF$790,AF$791,AF$840,AF$841,AF$860,AF$861))*$AG$8</f>
        <v>34.623728042697877</v>
      </c>
      <c r="AI815" s="94">
        <f>Table3.110[[#This Row],[Net gas 8-24h, ml]]+Table3.110[[#This Row],[Net gas 8h, ml]]</f>
        <v>69.943719034573931</v>
      </c>
      <c r="AJ815" s="94">
        <f>Table3.110[[#This Row],[Net gas 8h, ml]]*Table3.110[[#This Row],[CH4 8h %]]%</f>
        <v>4.803518774895144</v>
      </c>
      <c r="AK815" s="94">
        <f>Table3.110[[#This Row],[Net gas 8-24h, ml]]*Table3.110[[#This Row],[CH4 24h, %]]%</f>
        <v>5.8860337672586391</v>
      </c>
      <c r="AL815" s="94">
        <f>Table3.110[[#This Row],[CH4 8-24h, ml]]+Table3.110[[#This Row],[CH4 8h, ml]]</f>
        <v>10.689552542153784</v>
      </c>
      <c r="AM815" s="94">
        <f>(Table3.110[[#This Row],[Net gas 24h, ml]]/Table3.110[[#This Row],[DM Incubated, mg]])*1000</f>
        <v>151.06183202322504</v>
      </c>
      <c r="AN815" s="94">
        <f>'3.2 Digest'!X815</f>
        <v>38.835521731650601</v>
      </c>
      <c r="AO815" s="94">
        <f>Table3.110[[#This Row],[Digested feed, mg]]/Table3.110[[#This Row],[Net gas 24h, ml]]</f>
        <v>2.5708361411689897</v>
      </c>
      <c r="AP815" s="94">
        <f>Table3.110[[#This Row],[CH4 8h, ml]]/Table3.110[[#This Row],[Net gas 8h, ml]]%</f>
        <v>13.600000000000001</v>
      </c>
      <c r="AQ815" s="94">
        <f>Table3.110[[#This Row],[CH4 24h, ml]]/Table3.110[[#This Row],[Net gas 24h, ml]]%</f>
        <v>15.283077150744335</v>
      </c>
      <c r="AR815" s="94">
        <f>Table3.110[[#This Row],[CH4 24h, ml]]/Table3.110[[#This Row],[DM Incubated, mg]]*1000</f>
        <v>23.086896333437295</v>
      </c>
      <c r="AS815" s="94">
        <f>Table3.110[[#This Row],[CH4 24h, ml]]/Table3.110[[#This Row],[Digested feed, mg]]*1000</f>
        <v>59.447885090781931</v>
      </c>
      <c r="AT815" s="94">
        <f>Table3.110[[#This Row],[CH4 24h, ml]]/'3.2 Digest'!AA815</f>
        <v>-4.5809483892423444</v>
      </c>
      <c r="AU815" s="94">
        <f>((Table3.110[[#This Row],[CH4 24h, ml]]/28.9)*16.04)/Table3.110[[#This Row],[DM Incubated, mg]]*1000</f>
        <v>12.813626892329902</v>
      </c>
      <c r="AV815" s="94">
        <f>((Table3.110[[#This Row],[CH4 24h, ml]]/28.9)*16.04)/Table3.110[[#This Row],[Digested feed, mg]]*1000</f>
        <v>32.994604735506648</v>
      </c>
      <c r="AW815" s="64"/>
    </row>
    <row r="816" spans="2:49" x14ac:dyDescent="0.35">
      <c r="B816" s="90">
        <f t="shared" si="12"/>
        <v>806</v>
      </c>
      <c r="C816" s="140">
        <v>46055</v>
      </c>
      <c r="D816" s="6" t="s">
        <v>16</v>
      </c>
      <c r="E816" s="6" t="s">
        <v>345</v>
      </c>
      <c r="F816" s="6" t="s">
        <v>346</v>
      </c>
      <c r="G816" s="6" t="s">
        <v>347</v>
      </c>
      <c r="H816" s="6" t="s">
        <v>348</v>
      </c>
      <c r="I816" s="6" t="s">
        <v>22</v>
      </c>
      <c r="J816" s="129" t="s">
        <v>23</v>
      </c>
      <c r="K816" s="129" t="s">
        <v>303</v>
      </c>
      <c r="L816" s="6" t="s">
        <v>344</v>
      </c>
      <c r="M816" s="93">
        <v>29</v>
      </c>
      <c r="N816" s="93">
        <v>62</v>
      </c>
      <c r="O816" s="6">
        <v>1</v>
      </c>
      <c r="P816" s="6">
        <v>1</v>
      </c>
      <c r="Q816" s="6">
        <v>117</v>
      </c>
      <c r="R816" s="98">
        <v>0.50029999999999997</v>
      </c>
      <c r="S816" s="94">
        <f>((Table3.110[[#This Row],[Sample weight, g]]*'2.1. DM'!Q213)/100)*1000</f>
        <v>464.31598983951358</v>
      </c>
      <c r="T816" s="94">
        <f>'3.2 Digest'!W816</f>
        <v>86.9159898395136</v>
      </c>
      <c r="U816" s="153">
        <v>0.37152777777777779</v>
      </c>
      <c r="V816" s="154">
        <v>40.5</v>
      </c>
      <c r="W816" s="153">
        <v>0.71250000000000002</v>
      </c>
      <c r="X816" s="95">
        <v>66</v>
      </c>
      <c r="Y816" s="95">
        <v>12.8</v>
      </c>
      <c r="Z816" s="154">
        <v>40</v>
      </c>
      <c r="AA816" s="153">
        <v>0.3888888888888889</v>
      </c>
      <c r="AB816" s="154">
        <v>75.5</v>
      </c>
      <c r="AC816" s="154">
        <v>15.2</v>
      </c>
      <c r="AD816" s="91"/>
      <c r="AE816" s="94">
        <f>Table3.110[[#This Row],[Gas 8h, ml]]-Table3.110[[#This Row],[Gas 0h, ml]]</f>
        <v>25.5</v>
      </c>
      <c r="AF816" s="94">
        <f>Table3.110[[#This Row],[Gas 24h, ml]]-Table3.110[[#This Row],[V8 Push back, ml]]</f>
        <v>35.5</v>
      </c>
      <c r="AG816" s="94">
        <f>Table3.110[[#This Row],[GP 8h, ml]]-(AVERAGE(AE$790,AE$791,AE$840,AE$841,AE$860,AE$861))*$AG$8</f>
        <v>24.31999099187605</v>
      </c>
      <c r="AH816" s="94">
        <f>Table3.110[[#This Row],[GP 8-24h, ml]]-(AVERAGE(AF$790,AF$791,AF$840,AF$841,AF$860,AF$861))*$AG$8</f>
        <v>32.623728042697877</v>
      </c>
      <c r="AI816" s="94">
        <f>Table3.110[[#This Row],[Net gas 8-24h, ml]]+Table3.110[[#This Row],[Net gas 8h, ml]]</f>
        <v>56.943719034573931</v>
      </c>
      <c r="AJ816" s="94">
        <f>Table3.110[[#This Row],[Net gas 8h, ml]]*Table3.110[[#This Row],[CH4 8h %]]%</f>
        <v>3.1129588469601344</v>
      </c>
      <c r="AK816" s="94">
        <f>Table3.110[[#This Row],[Net gas 8-24h, ml]]*Table3.110[[#This Row],[CH4 24h, %]]%</f>
        <v>4.9588066624900771</v>
      </c>
      <c r="AL816" s="94">
        <f>Table3.110[[#This Row],[CH4 8-24h, ml]]+Table3.110[[#This Row],[CH4 8h, ml]]</f>
        <v>8.071765509450211</v>
      </c>
      <c r="AM816" s="94">
        <f>(Table3.110[[#This Row],[Net gas 24h, ml]]/Table3.110[[#This Row],[DM Incubated, mg]])*1000</f>
        <v>122.64001300979531</v>
      </c>
      <c r="AN816" s="94">
        <f>'3.2 Digest'!X816</f>
        <v>18.719146387690692</v>
      </c>
      <c r="AO816" s="94">
        <f>Table3.110[[#This Row],[Digested feed, mg]]/Table3.110[[#This Row],[Net gas 24h, ml]]</f>
        <v>1.5263490216847571</v>
      </c>
      <c r="AP816" s="94">
        <f>Table3.110[[#This Row],[CH4 8h, ml]]/Table3.110[[#This Row],[Net gas 8h, ml]]%</f>
        <v>12.799999999999999</v>
      </c>
      <c r="AQ816" s="94">
        <f>Table3.110[[#This Row],[CH4 24h, ml]]/Table3.110[[#This Row],[Net gas 24h, ml]]%</f>
        <v>14.174988297742477</v>
      </c>
      <c r="AR816" s="94">
        <f>Table3.110[[#This Row],[CH4 24h, ml]]/Table3.110[[#This Row],[DM Incubated, mg]]*1000</f>
        <v>17.384207492488336</v>
      </c>
      <c r="AS816" s="94">
        <f>Table3.110[[#This Row],[CH4 24h, ml]]/Table3.110[[#This Row],[Digested feed, mg]]*1000</f>
        <v>92.868590973356646</v>
      </c>
      <c r="AT816" s="94">
        <f>Table3.110[[#This Row],[CH4 24h, ml]]/'3.2 Digest'!AA816</f>
        <v>-0.1873025340220803</v>
      </c>
      <c r="AU816" s="94">
        <f>((Table3.110[[#This Row],[CH4 24h, ml]]/28.9)*16.04)/Table3.110[[#This Row],[DM Incubated, mg]]*1000</f>
        <v>9.6485359231665395</v>
      </c>
      <c r="AV816" s="94">
        <f>((Table3.110[[#This Row],[CH4 24h, ml]]/28.9)*16.04)/Table3.110[[#This Row],[Digested feed, mg]]*1000</f>
        <v>51.543674713240165</v>
      </c>
      <c r="AW816" s="64"/>
    </row>
    <row r="817" spans="2:49" x14ac:dyDescent="0.35">
      <c r="B817" s="90">
        <f t="shared" si="12"/>
        <v>807</v>
      </c>
      <c r="C817" s="140">
        <v>46055</v>
      </c>
      <c r="D817" s="6" t="s">
        <v>16</v>
      </c>
      <c r="E817" s="6" t="s">
        <v>345</v>
      </c>
      <c r="F817" s="6" t="s">
        <v>346</v>
      </c>
      <c r="G817" s="6" t="s">
        <v>347</v>
      </c>
      <c r="H817" s="6" t="s">
        <v>348</v>
      </c>
      <c r="I817" s="6" t="s">
        <v>22</v>
      </c>
      <c r="J817" s="129" t="s">
        <v>23</v>
      </c>
      <c r="K817" s="129" t="s">
        <v>303</v>
      </c>
      <c r="L817" s="6" t="s">
        <v>344</v>
      </c>
      <c r="M817" s="93">
        <v>29</v>
      </c>
      <c r="N817" s="93">
        <v>62</v>
      </c>
      <c r="O817" s="6">
        <v>1</v>
      </c>
      <c r="P817" s="129">
        <v>2</v>
      </c>
      <c r="Q817" s="6">
        <v>118</v>
      </c>
      <c r="R817" s="98">
        <v>0.50039999999999996</v>
      </c>
      <c r="S817" s="94">
        <f>((Table3.110[[#This Row],[Sample weight, g]]*'2.1. DM'!Q213)/100)*1000</f>
        <v>464.40879735297335</v>
      </c>
      <c r="T817" s="94">
        <f>'3.2 Digest'!W817</f>
        <v>198.40879735297347</v>
      </c>
      <c r="U817" s="117">
        <v>0.37152777777777779</v>
      </c>
      <c r="V817" s="155">
        <v>41</v>
      </c>
      <c r="W817" s="117">
        <v>0.71319444444444446</v>
      </c>
      <c r="X817" s="97">
        <v>66.5</v>
      </c>
      <c r="Y817" s="97">
        <v>12.2</v>
      </c>
      <c r="Z817" s="155">
        <v>39.5</v>
      </c>
      <c r="AA817" s="117">
        <v>0.38958333333333334</v>
      </c>
      <c r="AB817" s="155">
        <v>74</v>
      </c>
      <c r="AC817" s="155">
        <v>15.1</v>
      </c>
      <c r="AD817" s="96"/>
      <c r="AE817" s="94">
        <f>Table3.110[[#This Row],[Gas 8h, ml]]-Table3.110[[#This Row],[Gas 0h, ml]]</f>
        <v>25.5</v>
      </c>
      <c r="AF817" s="94">
        <f>Table3.110[[#This Row],[Gas 24h, ml]]-Table3.110[[#This Row],[V8 Push back, ml]]</f>
        <v>34.5</v>
      </c>
      <c r="AG817" s="94">
        <f>Table3.110[[#This Row],[GP 8h, ml]]-(AVERAGE(AE$790,AE$791,AE$840,AE$841,AE$860,AE$861))*$AG$8</f>
        <v>24.31999099187605</v>
      </c>
      <c r="AH817" s="94">
        <f>Table3.110[[#This Row],[GP 8-24h, ml]]-(AVERAGE(AF$790,AF$791,AF$840,AF$841,AF$860,AF$861))*$AG$8</f>
        <v>31.623728042697874</v>
      </c>
      <c r="AI817" s="94">
        <f>Table3.110[[#This Row],[Net gas 8-24h, ml]]+Table3.110[[#This Row],[Net gas 8h, ml]]</f>
        <v>55.943719034573924</v>
      </c>
      <c r="AJ817" s="94">
        <f>Table3.110[[#This Row],[Net gas 8h, ml]]*Table3.110[[#This Row],[CH4 8h %]]%</f>
        <v>2.9670389010088782</v>
      </c>
      <c r="AK817" s="94">
        <f>Table3.110[[#This Row],[Net gas 8-24h, ml]]*Table3.110[[#This Row],[CH4 24h, %]]%</f>
        <v>4.7751829344473791</v>
      </c>
      <c r="AL817" s="94">
        <f>Table3.110[[#This Row],[CH4 8-24h, ml]]+Table3.110[[#This Row],[CH4 8h, ml]]</f>
        <v>7.7422218354562578</v>
      </c>
      <c r="AM817" s="94">
        <f>(Table3.110[[#This Row],[Net gas 24h, ml]]/Table3.110[[#This Row],[DM Incubated, mg]])*1000</f>
        <v>120.46222929763746</v>
      </c>
      <c r="AN817" s="94">
        <f>'3.2 Digest'!X817</f>
        <v>42.722876587148953</v>
      </c>
      <c r="AO817" s="94">
        <f>Table3.110[[#This Row],[Digested feed, mg]]/Table3.110[[#This Row],[Net gas 24h, ml]]</f>
        <v>3.5465786110922357</v>
      </c>
      <c r="AP817" s="94">
        <f>Table3.110[[#This Row],[CH4 8h, ml]]/Table3.110[[#This Row],[Net gas 8h, ml]]%</f>
        <v>12.200000000000001</v>
      </c>
      <c r="AQ817" s="94">
        <f>Table3.110[[#This Row],[CH4 24h, ml]]/Table3.110[[#This Row],[Net gas 24h, ml]]%</f>
        <v>13.839304874728594</v>
      </c>
      <c r="AR817" s="94">
        <f>Table3.110[[#This Row],[CH4 24h, ml]]/Table3.110[[#This Row],[DM Incubated, mg]]*1000</f>
        <v>16.671135171394681</v>
      </c>
      <c r="AS817" s="94">
        <f>Table3.110[[#This Row],[CH4 24h, ml]]/Table3.110[[#This Row],[Digested feed, mg]]*1000</f>
        <v>39.021565267001144</v>
      </c>
      <c r="AT817" s="94">
        <f>Table3.110[[#This Row],[CH4 24h, ml]]/'3.2 Digest'!AA817</f>
        <v>-9.2579727546002299</v>
      </c>
      <c r="AU817" s="94">
        <f>((Table3.110[[#This Row],[CH4 24h, ml]]/28.9)*16.04)/Table3.110[[#This Row],[DM Incubated, mg]]*1000</f>
        <v>9.2527684480681884</v>
      </c>
      <c r="AV817" s="94">
        <f>((Table3.110[[#This Row],[CH4 24h, ml]]/28.9)*16.04)/Table3.110[[#This Row],[Digested feed, mg]]*1000</f>
        <v>21.65764383677157</v>
      </c>
      <c r="AW817" s="64"/>
    </row>
    <row r="818" spans="2:49" x14ac:dyDescent="0.35">
      <c r="B818" s="90">
        <f t="shared" si="12"/>
        <v>808</v>
      </c>
      <c r="C818" s="140">
        <v>46055</v>
      </c>
      <c r="D818" s="6" t="s">
        <v>16</v>
      </c>
      <c r="E818" s="6" t="s">
        <v>345</v>
      </c>
      <c r="F818" s="6" t="s">
        <v>346</v>
      </c>
      <c r="G818" s="6" t="s">
        <v>347</v>
      </c>
      <c r="H818" s="6" t="s">
        <v>348</v>
      </c>
      <c r="I818" s="6" t="s">
        <v>22</v>
      </c>
      <c r="J818" s="129" t="s">
        <v>23</v>
      </c>
      <c r="K818" s="129" t="s">
        <v>303</v>
      </c>
      <c r="L818" s="6" t="s">
        <v>344</v>
      </c>
      <c r="M818" s="93">
        <v>29</v>
      </c>
      <c r="N818" s="93">
        <v>62</v>
      </c>
      <c r="O818" s="6">
        <v>1</v>
      </c>
      <c r="P818" s="129">
        <v>3</v>
      </c>
      <c r="Q818" s="6">
        <v>119</v>
      </c>
      <c r="R818" s="98">
        <v>0.50029999999999997</v>
      </c>
      <c r="S818" s="94">
        <f>((Table3.110[[#This Row],[Sample weight, g]]*'2.1. DM'!Q213)/100)*1000</f>
        <v>464.31598983951358</v>
      </c>
      <c r="T818" s="94">
        <f>'3.2 Digest'!W818</f>
        <v>150.91598983951354</v>
      </c>
      <c r="U818" s="153">
        <v>0.37222222222222223</v>
      </c>
      <c r="V818" s="154">
        <v>41</v>
      </c>
      <c r="W818" s="153">
        <v>0.71319444444444446</v>
      </c>
      <c r="X818" s="95">
        <v>67.5</v>
      </c>
      <c r="Y818" s="95">
        <v>12.3</v>
      </c>
      <c r="Z818" s="154">
        <v>40</v>
      </c>
      <c r="AA818" s="153">
        <v>0.38958333333333334</v>
      </c>
      <c r="AB818" s="154">
        <v>73.5</v>
      </c>
      <c r="AC818" s="154">
        <v>15</v>
      </c>
      <c r="AD818" s="91"/>
      <c r="AE818" s="94">
        <f>Table3.110[[#This Row],[Gas 8h, ml]]-Table3.110[[#This Row],[Gas 0h, ml]]</f>
        <v>26.5</v>
      </c>
      <c r="AF818" s="94">
        <f>Table3.110[[#This Row],[Gas 24h, ml]]-Table3.110[[#This Row],[V8 Push back, ml]]</f>
        <v>33.5</v>
      </c>
      <c r="AG818" s="94">
        <f>Table3.110[[#This Row],[GP 8h, ml]]-(AVERAGE(AE$790,AE$791,AE$840,AE$841,AE$860,AE$861))*$AG$8</f>
        <v>25.31999099187605</v>
      </c>
      <c r="AH818" s="94">
        <f>Table3.110[[#This Row],[GP 8-24h, ml]]-(AVERAGE(AF$790,AF$791,AF$840,AF$841,AF$860,AF$861))*$AG$8</f>
        <v>30.623728042697874</v>
      </c>
      <c r="AI818" s="94">
        <f>Table3.110[[#This Row],[Net gas 8-24h, ml]]+Table3.110[[#This Row],[Net gas 8h, ml]]</f>
        <v>55.943719034573924</v>
      </c>
      <c r="AJ818" s="94">
        <f>Table3.110[[#This Row],[Net gas 8h, ml]]*Table3.110[[#This Row],[CH4 8h %]]%</f>
        <v>3.1143588920007543</v>
      </c>
      <c r="AK818" s="94">
        <f>Table3.110[[#This Row],[Net gas 8-24h, ml]]*Table3.110[[#This Row],[CH4 24h, %]]%</f>
        <v>4.5935592064046809</v>
      </c>
      <c r="AL818" s="94">
        <f>Table3.110[[#This Row],[CH4 8-24h, ml]]+Table3.110[[#This Row],[CH4 8h, ml]]</f>
        <v>7.7079180984054352</v>
      </c>
      <c r="AM818" s="94">
        <f>(Table3.110[[#This Row],[Net gas 24h, ml]]/Table3.110[[#This Row],[DM Incubated, mg]])*1000</f>
        <v>120.48630729669755</v>
      </c>
      <c r="AN818" s="94">
        <f>'3.2 Digest'!X818</f>
        <v>32.50286295151632</v>
      </c>
      <c r="AO818" s="94">
        <f>Table3.110[[#This Row],[Digested feed, mg]]/Table3.110[[#This Row],[Net gas 24h, ml]]</f>
        <v>2.6976395642600299</v>
      </c>
      <c r="AP818" s="94">
        <f>Table3.110[[#This Row],[CH4 8h, ml]]/Table3.110[[#This Row],[Net gas 8h, ml]]%</f>
        <v>12.3</v>
      </c>
      <c r="AQ818" s="94">
        <f>Table3.110[[#This Row],[CH4 24h, ml]]/Table3.110[[#This Row],[Net gas 24h, ml]]%</f>
        <v>13.777986575475692</v>
      </c>
      <c r="AR818" s="94">
        <f>Table3.110[[#This Row],[CH4 24h, ml]]/Table3.110[[#This Row],[DM Incubated, mg]]*1000</f>
        <v>16.600587244625377</v>
      </c>
      <c r="AS818" s="94">
        <f>Table3.110[[#This Row],[CH4 24h, ml]]/Table3.110[[#This Row],[Digested feed, mg]]*1000</f>
        <v>51.074230812799613</v>
      </c>
      <c r="AT818" s="94">
        <f>Table3.110[[#This Row],[CH4 24h, ml]]/'3.2 Digest'!AA818</f>
        <v>-0.40937303975801254</v>
      </c>
      <c r="AU818" s="94">
        <f>((Table3.110[[#This Row],[CH4 24h, ml]]/28.9)*16.04)/Table3.110[[#This Row],[DM Incubated, mg]]*1000</f>
        <v>9.21361312815886</v>
      </c>
      <c r="AV818" s="94">
        <f>((Table3.110[[#This Row],[CH4 24h, ml]]/28.9)*16.04)/Table3.110[[#This Row],[Digested feed, mg]]*1000</f>
        <v>28.347081738315076</v>
      </c>
      <c r="AW818" s="64"/>
    </row>
    <row r="819" spans="2:49" x14ac:dyDescent="0.35">
      <c r="B819" s="90">
        <f t="shared" si="12"/>
        <v>809</v>
      </c>
      <c r="C819" s="140">
        <v>46055</v>
      </c>
      <c r="D819" s="6" t="s">
        <v>16</v>
      </c>
      <c r="E819" s="6" t="s">
        <v>350</v>
      </c>
      <c r="F819" s="6" t="s">
        <v>212</v>
      </c>
      <c r="G819" s="6" t="s">
        <v>351</v>
      </c>
      <c r="H819" s="6" t="s">
        <v>352</v>
      </c>
      <c r="I819" s="6" t="s">
        <v>22</v>
      </c>
      <c r="J819" s="129" t="s">
        <v>23</v>
      </c>
      <c r="K819" s="129" t="s">
        <v>215</v>
      </c>
      <c r="L819" s="6" t="s">
        <v>349</v>
      </c>
      <c r="M819" s="93">
        <v>29</v>
      </c>
      <c r="N819" s="93">
        <v>62</v>
      </c>
      <c r="O819" s="6">
        <v>1</v>
      </c>
      <c r="P819" s="6">
        <v>1</v>
      </c>
      <c r="Q819" s="6">
        <v>120</v>
      </c>
      <c r="R819" s="98">
        <v>0.50060000000000004</v>
      </c>
      <c r="S819" s="94">
        <f>((Table3.110[[#This Row],[Sample weight, g]]*'2.1. DM'!Q215)/100)*1000</f>
        <v>464.38701810282868</v>
      </c>
      <c r="T819" s="94">
        <f>'3.2 Digest'!W819</f>
        <v>202.08701810282861</v>
      </c>
      <c r="U819" s="117">
        <v>0.37291666666666667</v>
      </c>
      <c r="V819" s="155">
        <v>40.5</v>
      </c>
      <c r="W819" s="117">
        <v>0.71319444444444446</v>
      </c>
      <c r="X819" s="97">
        <v>76</v>
      </c>
      <c r="Y819" s="97">
        <v>12.7</v>
      </c>
      <c r="Z819" s="155">
        <v>40</v>
      </c>
      <c r="AA819" s="117">
        <v>0.39027777777777778</v>
      </c>
      <c r="AB819" s="155">
        <v>81</v>
      </c>
      <c r="AC819" s="155">
        <v>16</v>
      </c>
      <c r="AD819" s="96"/>
      <c r="AE819" s="94">
        <f>Table3.110[[#This Row],[Gas 8h, ml]]-Table3.110[[#This Row],[Gas 0h, ml]]</f>
        <v>35.5</v>
      </c>
      <c r="AF819" s="94">
        <f>Table3.110[[#This Row],[Gas 24h, ml]]-Table3.110[[#This Row],[V8 Push back, ml]]</f>
        <v>41</v>
      </c>
      <c r="AG819" s="94">
        <f>Table3.110[[#This Row],[GP 8h, ml]]-(AVERAGE(AE$790,AE$791,AE$840,AE$841,AE$860,AE$861))*$AG$8</f>
        <v>34.319990991876054</v>
      </c>
      <c r="AH819" s="94">
        <f>Table3.110[[#This Row],[GP 8-24h, ml]]-(AVERAGE(AF$790,AF$791,AF$840,AF$841,AF$860,AF$861))*$AG$8</f>
        <v>38.123728042697877</v>
      </c>
      <c r="AI819" s="94">
        <f>Table3.110[[#This Row],[Net gas 8-24h, ml]]+Table3.110[[#This Row],[Net gas 8h, ml]]</f>
        <v>72.443719034573931</v>
      </c>
      <c r="AJ819" s="94">
        <f>Table3.110[[#This Row],[Net gas 8h, ml]]*Table3.110[[#This Row],[CH4 8h %]]%</f>
        <v>4.358638855968259</v>
      </c>
      <c r="AK819" s="94">
        <f>Table3.110[[#This Row],[Net gas 8-24h, ml]]*Table3.110[[#This Row],[CH4 24h, %]]%</f>
        <v>6.0997964868316608</v>
      </c>
      <c r="AL819" s="94">
        <f>Table3.110[[#This Row],[CH4 8-24h, ml]]+Table3.110[[#This Row],[CH4 8h, ml]]</f>
        <v>10.45843534279992</v>
      </c>
      <c r="AM819" s="94">
        <f>(Table3.110[[#This Row],[Net gas 24h, ml]]/Table3.110[[#This Row],[DM Incubated, mg]])*1000</f>
        <v>155.99858783850158</v>
      </c>
      <c r="AN819" s="94">
        <f>'3.2 Digest'!X819</f>
        <v>43.51693958380222</v>
      </c>
      <c r="AO819" s="94">
        <f>Table3.110[[#This Row],[Digested feed, mg]]/Table3.110[[#This Row],[Net gas 24h, ml]]</f>
        <v>2.7895726613149461</v>
      </c>
      <c r="AP819" s="94">
        <f>Table3.110[[#This Row],[CH4 8h, ml]]/Table3.110[[#This Row],[Net gas 8h, ml]]%</f>
        <v>12.700000000000001</v>
      </c>
      <c r="AQ819" s="94">
        <f>Table3.110[[#This Row],[CH4 24h, ml]]/Table3.110[[#This Row],[Net gas 24h, ml]]%</f>
        <v>14.436635062604402</v>
      </c>
      <c r="AR819" s="94">
        <f>Table3.110[[#This Row],[CH4 24h, ml]]/Table3.110[[#This Row],[DM Incubated, mg]]*1000</f>
        <v>22.520946829060843</v>
      </c>
      <c r="AS819" s="94">
        <f>Table3.110[[#This Row],[CH4 24h, ml]]/Table3.110[[#This Row],[Digested feed, mg]]*1000</f>
        <v>51.752138464818749</v>
      </c>
      <c r="AT819" s="94">
        <f>Table3.110[[#This Row],[CH4 24h, ml]]/'3.2 Digest'!AA819</f>
        <v>2.6269618458970756</v>
      </c>
      <c r="AU819" s="94">
        <f>((Table3.110[[#This Row],[CH4 24h, ml]]/28.9)*16.04)/Table3.110[[#This Row],[DM Incubated, mg]]*1000</f>
        <v>12.499515125887056</v>
      </c>
      <c r="AV819" s="94">
        <f>((Table3.110[[#This Row],[CH4 24h, ml]]/28.9)*16.04)/Table3.110[[#This Row],[Digested feed, mg]]*1000</f>
        <v>28.723332213691791</v>
      </c>
      <c r="AW819" s="64"/>
    </row>
    <row r="820" spans="2:49" x14ac:dyDescent="0.35">
      <c r="B820" s="90">
        <f t="shared" si="12"/>
        <v>810</v>
      </c>
      <c r="C820" s="140">
        <v>46055</v>
      </c>
      <c r="D820" s="6" t="s">
        <v>16</v>
      </c>
      <c r="E820" s="6" t="s">
        <v>350</v>
      </c>
      <c r="F820" s="6" t="s">
        <v>212</v>
      </c>
      <c r="G820" s="6" t="s">
        <v>351</v>
      </c>
      <c r="H820" s="6" t="s">
        <v>352</v>
      </c>
      <c r="I820" s="6" t="s">
        <v>22</v>
      </c>
      <c r="J820" s="129" t="s">
        <v>23</v>
      </c>
      <c r="K820" s="129" t="s">
        <v>215</v>
      </c>
      <c r="L820" s="6" t="s">
        <v>349</v>
      </c>
      <c r="M820" s="93">
        <v>29</v>
      </c>
      <c r="N820" s="93">
        <v>62</v>
      </c>
      <c r="O820" s="6">
        <v>1</v>
      </c>
      <c r="P820" s="129">
        <v>2</v>
      </c>
      <c r="Q820" s="6">
        <v>121</v>
      </c>
      <c r="R820" s="98">
        <v>0.50060000000000004</v>
      </c>
      <c r="S820" s="94">
        <f>((Table3.110[[#This Row],[Sample weight, g]]*'2.1. DM'!Q215)/100)*1000</f>
        <v>464.38701810282868</v>
      </c>
      <c r="T820" s="94">
        <f>'3.2 Digest'!W820</f>
        <v>201.88701810282873</v>
      </c>
      <c r="U820" s="153">
        <v>0.37291666666666667</v>
      </c>
      <c r="V820" s="154">
        <v>40.5</v>
      </c>
      <c r="W820" s="153">
        <v>0.71527777777777779</v>
      </c>
      <c r="X820" s="95">
        <v>76.5</v>
      </c>
      <c r="Y820" s="95">
        <v>12.9</v>
      </c>
      <c r="Z820" s="154">
        <v>40</v>
      </c>
      <c r="AA820" s="153">
        <v>0.39027777777777778</v>
      </c>
      <c r="AB820" s="154">
        <v>81</v>
      </c>
      <c r="AC820" s="154">
        <v>15.9</v>
      </c>
      <c r="AD820" s="91"/>
      <c r="AE820" s="94">
        <f>Table3.110[[#This Row],[Gas 8h, ml]]-Table3.110[[#This Row],[Gas 0h, ml]]</f>
        <v>36</v>
      </c>
      <c r="AF820" s="94">
        <f>Table3.110[[#This Row],[Gas 24h, ml]]-Table3.110[[#This Row],[V8 Push back, ml]]</f>
        <v>41</v>
      </c>
      <c r="AG820" s="94">
        <f>Table3.110[[#This Row],[GP 8h, ml]]-(AVERAGE(AE$790,AE$791,AE$840,AE$841,AE$860,AE$861))*$AG$8</f>
        <v>34.819990991876054</v>
      </c>
      <c r="AH820" s="94">
        <f>Table3.110[[#This Row],[GP 8-24h, ml]]-(AVERAGE(AF$790,AF$791,AF$840,AF$841,AF$860,AF$861))*$AG$8</f>
        <v>38.123728042697877</v>
      </c>
      <c r="AI820" s="94">
        <f>Table3.110[[#This Row],[Net gas 8-24h, ml]]+Table3.110[[#This Row],[Net gas 8h, ml]]</f>
        <v>72.943719034573931</v>
      </c>
      <c r="AJ820" s="94">
        <f>Table3.110[[#This Row],[Net gas 8h, ml]]*Table3.110[[#This Row],[CH4 8h %]]%</f>
        <v>4.4917788379520109</v>
      </c>
      <c r="AK820" s="94">
        <f>Table3.110[[#This Row],[Net gas 8-24h, ml]]*Table3.110[[#This Row],[CH4 24h, %]]%</f>
        <v>6.0616727587889629</v>
      </c>
      <c r="AL820" s="94">
        <f>Table3.110[[#This Row],[CH4 8-24h, ml]]+Table3.110[[#This Row],[CH4 8h, ml]]</f>
        <v>10.553451596740974</v>
      </c>
      <c r="AM820" s="94">
        <f>(Table3.110[[#This Row],[Net gas 24h, ml]]/Table3.110[[#This Row],[DM Incubated, mg]])*1000</f>
        <v>157.07527598978248</v>
      </c>
      <c r="AN820" s="94">
        <f>'3.2 Digest'!X820</f>
        <v>43.473872057751009</v>
      </c>
      <c r="AO820" s="94">
        <f>Table3.110[[#This Row],[Digested feed, mg]]/Table3.110[[#This Row],[Net gas 24h, ml]]</f>
        <v>2.7677094172719401</v>
      </c>
      <c r="AP820" s="94">
        <f>Table3.110[[#This Row],[CH4 8h, ml]]/Table3.110[[#This Row],[Net gas 8h, ml]]%</f>
        <v>12.9</v>
      </c>
      <c r="AQ820" s="94">
        <f>Table3.110[[#This Row],[CH4 24h, ml]]/Table3.110[[#This Row],[Net gas 24h, ml]]%</f>
        <v>14.46793738572452</v>
      </c>
      <c r="AR820" s="94">
        <f>Table3.110[[#This Row],[CH4 24h, ml]]/Table3.110[[#This Row],[DM Incubated, mg]]*1000</f>
        <v>22.725552578655709</v>
      </c>
      <c r="AS820" s="94">
        <f>Table3.110[[#This Row],[CH4 24h, ml]]/Table3.110[[#This Row],[Digested feed, mg]]*1000</f>
        <v>52.274047612936165</v>
      </c>
      <c r="AT820" s="94">
        <f>Table3.110[[#This Row],[CH4 24h, ml]]/'3.2 Digest'!AA820</f>
        <v>2.7004893764450228</v>
      </c>
      <c r="AU820" s="94">
        <f>((Table3.110[[#This Row],[CH4 24h, ml]]/28.9)*16.04)/Table3.110[[#This Row],[DM Incubated, mg]]*1000</f>
        <v>12.613074856804069</v>
      </c>
      <c r="AV820" s="94">
        <f>((Table3.110[[#This Row],[CH4 24h, ml]]/28.9)*16.04)/Table3.110[[#This Row],[Digested feed, mg]]*1000</f>
        <v>29.013000820466988</v>
      </c>
      <c r="AW820" s="64"/>
    </row>
    <row r="821" spans="2:49" x14ac:dyDescent="0.35">
      <c r="B821" s="90">
        <f t="shared" si="12"/>
        <v>811</v>
      </c>
      <c r="C821" s="140">
        <v>46055</v>
      </c>
      <c r="D821" s="6" t="s">
        <v>16</v>
      </c>
      <c r="E821" s="6" t="s">
        <v>350</v>
      </c>
      <c r="F821" s="6" t="s">
        <v>212</v>
      </c>
      <c r="G821" s="6" t="s">
        <v>351</v>
      </c>
      <c r="H821" s="6" t="s">
        <v>352</v>
      </c>
      <c r="I821" s="6" t="s">
        <v>22</v>
      </c>
      <c r="J821" s="129" t="s">
        <v>23</v>
      </c>
      <c r="K821" s="129" t="s">
        <v>215</v>
      </c>
      <c r="L821" s="6" t="s">
        <v>349</v>
      </c>
      <c r="M821" s="93">
        <v>29</v>
      </c>
      <c r="N821" s="93">
        <v>62</v>
      </c>
      <c r="O821" s="6">
        <v>1</v>
      </c>
      <c r="P821" s="129">
        <v>3</v>
      </c>
      <c r="Q821" s="6">
        <v>122</v>
      </c>
      <c r="R821" s="98">
        <v>0.50039999999999996</v>
      </c>
      <c r="S821" s="94">
        <f>((Table3.110[[#This Row],[Sample weight, g]]*'2.1. DM'!Q215)/100)*1000</f>
        <v>464.2014859341898</v>
      </c>
      <c r="T821" s="94">
        <f>'3.2 Digest'!W821</f>
        <v>194.70148593418975</v>
      </c>
      <c r="U821" s="117">
        <v>0.37361111111111112</v>
      </c>
      <c r="V821" s="155">
        <v>41</v>
      </c>
      <c r="W821" s="117">
        <v>0.71527777777777779</v>
      </c>
      <c r="X821" s="97">
        <v>76.5</v>
      </c>
      <c r="Y821" s="97">
        <v>12.9</v>
      </c>
      <c r="Z821" s="155">
        <v>40</v>
      </c>
      <c r="AA821" s="117">
        <v>0.39097222222222222</v>
      </c>
      <c r="AB821" s="155">
        <v>82.5</v>
      </c>
      <c r="AC821" s="155">
        <v>15.8</v>
      </c>
      <c r="AD821" s="96"/>
      <c r="AE821" s="94">
        <f>Table3.110[[#This Row],[Gas 8h, ml]]-Table3.110[[#This Row],[Gas 0h, ml]]</f>
        <v>35.5</v>
      </c>
      <c r="AF821" s="94">
        <f>Table3.110[[#This Row],[Gas 24h, ml]]-Table3.110[[#This Row],[V8 Push back, ml]]</f>
        <v>42.5</v>
      </c>
      <c r="AG821" s="94">
        <f>Table3.110[[#This Row],[GP 8h, ml]]-(AVERAGE(AE$790,AE$791,AE$840,AE$841,AE$860,AE$861))*$AG$8</f>
        <v>34.319990991876054</v>
      </c>
      <c r="AH821" s="94">
        <f>Table3.110[[#This Row],[GP 8-24h, ml]]-(AVERAGE(AF$790,AF$791,AF$840,AF$841,AF$860,AF$861))*$AG$8</f>
        <v>39.623728042697877</v>
      </c>
      <c r="AI821" s="94">
        <f>Table3.110[[#This Row],[Net gas 8-24h, ml]]+Table3.110[[#This Row],[Net gas 8h, ml]]</f>
        <v>73.943719034573931</v>
      </c>
      <c r="AJ821" s="94">
        <f>Table3.110[[#This Row],[Net gas 8h, ml]]*Table3.110[[#This Row],[CH4 8h %]]%</f>
        <v>4.4272788379520112</v>
      </c>
      <c r="AK821" s="94">
        <f>Table3.110[[#This Row],[Net gas 8-24h, ml]]*Table3.110[[#This Row],[CH4 24h, %]]%</f>
        <v>6.2605490307462643</v>
      </c>
      <c r="AL821" s="94">
        <f>Table3.110[[#This Row],[CH4 8-24h, ml]]+Table3.110[[#This Row],[CH4 8h, ml]]</f>
        <v>10.687827868698275</v>
      </c>
      <c r="AM821" s="94">
        <f>(Table3.110[[#This Row],[Net gas 24h, ml]]/Table3.110[[#This Row],[DM Incubated, mg]])*1000</f>
        <v>159.29229284082254</v>
      </c>
      <c r="AN821" s="94">
        <f>'3.2 Digest'!X821</f>
        <v>41.943313805288582</v>
      </c>
      <c r="AO821" s="94">
        <f>Table3.110[[#This Row],[Digested feed, mg]]/Table3.110[[#This Row],[Net gas 24h, ml]]</f>
        <v>2.6331037777955557</v>
      </c>
      <c r="AP821" s="94">
        <f>Table3.110[[#This Row],[CH4 8h, ml]]/Table3.110[[#This Row],[Net gas 8h, ml]]%</f>
        <v>12.9</v>
      </c>
      <c r="AQ821" s="94">
        <f>Table3.110[[#This Row],[CH4 24h, ml]]/Table3.110[[#This Row],[Net gas 24h, ml]]%</f>
        <v>14.454003677717315</v>
      </c>
      <c r="AR821" s="94">
        <f>Table3.110[[#This Row],[CH4 24h, ml]]/Table3.110[[#This Row],[DM Incubated, mg]]*1000</f>
        <v>23.024113865532726</v>
      </c>
      <c r="AS821" s="94">
        <f>Table3.110[[#This Row],[CH4 24h, ml]]/Table3.110[[#This Row],[Digested feed, mg]]*1000</f>
        <v>54.893406783299149</v>
      </c>
      <c r="AT821" s="94">
        <f>Table3.110[[#This Row],[CH4 24h, ml]]/'3.2 Digest'!AA821</f>
        <v>8.1830510063281903</v>
      </c>
      <c r="AU821" s="94">
        <f>((Table3.110[[#This Row],[CH4 24h, ml]]/28.9)*16.04)/Table3.110[[#This Row],[DM Incubated, mg]]*1000</f>
        <v>12.778781536441</v>
      </c>
      <c r="AV821" s="94">
        <f>((Table3.110[[#This Row],[CH4 24h, ml]]/28.9)*16.04)/Table3.110[[#This Row],[Digested feed, mg]]*1000</f>
        <v>30.466790477651152</v>
      </c>
      <c r="AW821" s="64"/>
    </row>
    <row r="822" spans="2:49" x14ac:dyDescent="0.35">
      <c r="B822" s="90">
        <f t="shared" si="12"/>
        <v>812</v>
      </c>
      <c r="C822" s="140">
        <v>46055</v>
      </c>
      <c r="D822" s="6" t="s">
        <v>16</v>
      </c>
      <c r="E822" s="6" t="s">
        <v>354</v>
      </c>
      <c r="F822" s="6" t="s">
        <v>226</v>
      </c>
      <c r="G822" s="6" t="s">
        <v>227</v>
      </c>
      <c r="H822" s="6" t="s">
        <v>228</v>
      </c>
      <c r="I822" s="6" t="s">
        <v>22</v>
      </c>
      <c r="J822" s="129" t="s">
        <v>23</v>
      </c>
      <c r="K822" s="129" t="s">
        <v>215</v>
      </c>
      <c r="L822" s="6" t="s">
        <v>353</v>
      </c>
      <c r="M822" s="93">
        <v>29</v>
      </c>
      <c r="N822" s="93">
        <v>62</v>
      </c>
      <c r="O822" s="6">
        <v>1</v>
      </c>
      <c r="P822" s="6">
        <v>1</v>
      </c>
      <c r="Q822" s="6">
        <v>123</v>
      </c>
      <c r="R822" s="98">
        <v>0.50009999999999999</v>
      </c>
      <c r="S822" s="94">
        <f>((Table3.110[[#This Row],[Sample weight, g]]*'2.1. DM'!Q217)/100)*1000</f>
        <v>461.58081709145438</v>
      </c>
      <c r="T822" s="94">
        <f>'3.2 Digest'!W822</f>
        <v>269.88081709145439</v>
      </c>
      <c r="U822" s="153">
        <v>0.37361111111111112</v>
      </c>
      <c r="V822" s="154">
        <v>41</v>
      </c>
      <c r="W822" s="153">
        <v>0.71527777777777779</v>
      </c>
      <c r="X822" s="95">
        <v>76</v>
      </c>
      <c r="Y822" s="95">
        <v>12.2</v>
      </c>
      <c r="Z822" s="154">
        <v>40</v>
      </c>
      <c r="AA822" s="153">
        <v>0.39097222222222222</v>
      </c>
      <c r="AB822" s="154">
        <v>78</v>
      </c>
      <c r="AC822" s="154">
        <v>15.3</v>
      </c>
      <c r="AD822" s="91"/>
      <c r="AE822" s="94">
        <f>Table3.110[[#This Row],[Gas 8h, ml]]-Table3.110[[#This Row],[Gas 0h, ml]]</f>
        <v>35</v>
      </c>
      <c r="AF822" s="94">
        <f>Table3.110[[#This Row],[Gas 24h, ml]]-Table3.110[[#This Row],[V8 Push back, ml]]</f>
        <v>38</v>
      </c>
      <c r="AG822" s="94">
        <f>Table3.110[[#This Row],[GP 8h, ml]]-(AVERAGE(AE$790,AE$791,AE$840,AE$841,AE$860,AE$861))*$AG$8</f>
        <v>33.819990991876054</v>
      </c>
      <c r="AH822" s="94">
        <f>Table3.110[[#This Row],[GP 8-24h, ml]]-(AVERAGE(AF$790,AF$791,AF$840,AF$841,AF$860,AF$861))*$AG$8</f>
        <v>35.123728042697877</v>
      </c>
      <c r="AI822" s="94">
        <f>Table3.110[[#This Row],[Net gas 8-24h, ml]]+Table3.110[[#This Row],[Net gas 8h, ml]]</f>
        <v>68.943719034573931</v>
      </c>
      <c r="AJ822" s="94">
        <f>Table3.110[[#This Row],[Net gas 8h, ml]]*Table3.110[[#This Row],[CH4 8h %]]%</f>
        <v>4.1260389010088785</v>
      </c>
      <c r="AK822" s="94">
        <f>Table3.110[[#This Row],[Net gas 8-24h, ml]]*Table3.110[[#This Row],[CH4 24h, %]]%</f>
        <v>5.3739303905327747</v>
      </c>
      <c r="AL822" s="94">
        <f>Table3.110[[#This Row],[CH4 8-24h, ml]]+Table3.110[[#This Row],[CH4 8h, ml]]</f>
        <v>9.4999692915416531</v>
      </c>
      <c r="AM822" s="94">
        <f>(Table3.110[[#This Row],[Net gas 24h, ml]]/Table3.110[[#This Row],[DM Incubated, mg]])*1000</f>
        <v>149.36435068729017</v>
      </c>
      <c r="AN822" s="94">
        <f>'3.2 Digest'!X822</f>
        <v>58.468811332335349</v>
      </c>
      <c r="AO822" s="94">
        <f>Table3.110[[#This Row],[Digested feed, mg]]/Table3.110[[#This Row],[Net gas 24h, ml]]</f>
        <v>3.9145091223772601</v>
      </c>
      <c r="AP822" s="94">
        <f>Table3.110[[#This Row],[CH4 8h, ml]]/Table3.110[[#This Row],[Net gas 8h, ml]]%</f>
        <v>12.2</v>
      </c>
      <c r="AQ822" s="94">
        <f>Table3.110[[#This Row],[CH4 24h, ml]]/Table3.110[[#This Row],[Net gas 24h, ml]]%</f>
        <v>13.779310754584625</v>
      </c>
      <c r="AR822" s="94">
        <f>Table3.110[[#This Row],[CH4 24h, ml]]/Table3.110[[#This Row],[DM Incubated, mg]]*1000</f>
        <v>20.581378037769269</v>
      </c>
      <c r="AS822" s="94">
        <f>Table3.110[[#This Row],[CH4 24h, ml]]/Table3.110[[#This Row],[Digested feed, mg]]*1000</f>
        <v>35.200609639189004</v>
      </c>
      <c r="AT822" s="94">
        <f>Table3.110[[#This Row],[CH4 24h, ml]]/'3.2 Digest'!AA822</f>
        <v>1.1582112222651066</v>
      </c>
      <c r="AU822" s="94">
        <f>((Table3.110[[#This Row],[CH4 24h, ml]]/28.9)*16.04)/Table3.110[[#This Row],[DM Incubated, mg]]*1000</f>
        <v>11.42302089016675</v>
      </c>
      <c r="AV822" s="94">
        <f>((Table3.110[[#This Row],[CH4 24h, ml]]/28.9)*16.04)/Table3.110[[#This Row],[Digested feed, mg]]*1000</f>
        <v>19.536947356837079</v>
      </c>
      <c r="AW822" s="64"/>
    </row>
    <row r="823" spans="2:49" x14ac:dyDescent="0.35">
      <c r="B823" s="90">
        <f t="shared" si="12"/>
        <v>813</v>
      </c>
      <c r="C823" s="140">
        <v>46055</v>
      </c>
      <c r="D823" s="6" t="s">
        <v>16</v>
      </c>
      <c r="E823" s="6" t="s">
        <v>354</v>
      </c>
      <c r="F823" s="6" t="s">
        <v>226</v>
      </c>
      <c r="G823" s="6" t="s">
        <v>227</v>
      </c>
      <c r="H823" s="6" t="s">
        <v>228</v>
      </c>
      <c r="I823" s="6" t="s">
        <v>22</v>
      </c>
      <c r="J823" s="129" t="s">
        <v>23</v>
      </c>
      <c r="K823" s="129" t="s">
        <v>215</v>
      </c>
      <c r="L823" s="6" t="s">
        <v>353</v>
      </c>
      <c r="M823" s="93">
        <v>29</v>
      </c>
      <c r="N823" s="93">
        <v>62</v>
      </c>
      <c r="O823" s="6">
        <v>1</v>
      </c>
      <c r="P823" s="129">
        <v>2</v>
      </c>
      <c r="Q823" s="6">
        <v>124</v>
      </c>
      <c r="R823" s="98">
        <v>0.5</v>
      </c>
      <c r="S823" s="94">
        <f>((Table3.110[[#This Row],[Sample weight, g]]*'2.1. DM'!Q217)/100)*1000</f>
        <v>461.48851938757684</v>
      </c>
      <c r="T823" s="94">
        <f>'3.2 Digest'!W823</f>
        <v>218.38851938757685</v>
      </c>
      <c r="U823" s="117">
        <v>0.37361111111111112</v>
      </c>
      <c r="V823" s="155">
        <v>40.5</v>
      </c>
      <c r="W823" s="117">
        <v>0.71527777777777779</v>
      </c>
      <c r="X823" s="97">
        <v>74.5</v>
      </c>
      <c r="Y823" s="97">
        <v>12.2</v>
      </c>
      <c r="Z823" s="155">
        <v>40</v>
      </c>
      <c r="AA823" s="117">
        <v>0.39166666666666666</v>
      </c>
      <c r="AB823" s="155">
        <v>74</v>
      </c>
      <c r="AC823" s="155">
        <v>15.2</v>
      </c>
      <c r="AD823" s="96"/>
      <c r="AE823" s="94">
        <f>Table3.110[[#This Row],[Gas 8h, ml]]-Table3.110[[#This Row],[Gas 0h, ml]]</f>
        <v>34</v>
      </c>
      <c r="AF823" s="94">
        <f>Table3.110[[#This Row],[Gas 24h, ml]]-Table3.110[[#This Row],[V8 Push back, ml]]</f>
        <v>34</v>
      </c>
      <c r="AG823" s="94">
        <f>Table3.110[[#This Row],[GP 8h, ml]]-(AVERAGE(AE$790,AE$791,AE$840,AE$841,AE$860,AE$861))*$AG$8</f>
        <v>32.819990991876054</v>
      </c>
      <c r="AH823" s="94">
        <f>Table3.110[[#This Row],[GP 8-24h, ml]]-(AVERAGE(AF$790,AF$791,AF$840,AF$841,AF$860,AF$861))*$AG$8</f>
        <v>31.123728042697874</v>
      </c>
      <c r="AI823" s="94">
        <f>Table3.110[[#This Row],[Net gas 8-24h, ml]]+Table3.110[[#This Row],[Net gas 8h, ml]]</f>
        <v>63.943719034573931</v>
      </c>
      <c r="AJ823" s="94">
        <f>Table3.110[[#This Row],[Net gas 8h, ml]]*Table3.110[[#This Row],[CH4 8h %]]%</f>
        <v>4.0040389010088786</v>
      </c>
      <c r="AK823" s="94">
        <f>Table3.110[[#This Row],[Net gas 8-24h, ml]]*Table3.110[[#This Row],[CH4 24h, %]]%</f>
        <v>4.7308066624900764</v>
      </c>
      <c r="AL823" s="94">
        <f>Table3.110[[#This Row],[CH4 8-24h, ml]]+Table3.110[[#This Row],[CH4 8h, ml]]</f>
        <v>8.7348455634989541</v>
      </c>
      <c r="AM823" s="94">
        <f>(Table3.110[[#This Row],[Net gas 24h, ml]]/Table3.110[[#This Row],[DM Incubated, mg]])*1000</f>
        <v>138.55971784396959</v>
      </c>
      <c r="AN823" s="94">
        <f>'3.2 Digest'!X823</f>
        <v>47.322633221166932</v>
      </c>
      <c r="AO823" s="94">
        <f>Table3.110[[#This Row],[Digested feed, mg]]/Table3.110[[#This Row],[Net gas 24h, ml]]</f>
        <v>3.4153240175082038</v>
      </c>
      <c r="AP823" s="94">
        <f>Table3.110[[#This Row],[CH4 8h, ml]]/Table3.110[[#This Row],[Net gas 8h, ml]]%</f>
        <v>12.200000000000001</v>
      </c>
      <c r="AQ823" s="94">
        <f>Table3.110[[#This Row],[CH4 24h, ml]]/Table3.110[[#This Row],[Net gas 24h, ml]]%</f>
        <v>13.660208845181625</v>
      </c>
      <c r="AR823" s="94">
        <f>Table3.110[[#This Row],[CH4 24h, ml]]/Table3.110[[#This Row],[DM Incubated, mg]]*1000</f>
        <v>18.927546832780632</v>
      </c>
      <c r="AS823" s="94">
        <f>Table3.110[[#This Row],[CH4 24h, ml]]/Table3.110[[#This Row],[Digested feed, mg]]*1000</f>
        <v>39.996816627512885</v>
      </c>
      <c r="AT823" s="94">
        <f>Table3.110[[#This Row],[CH4 24h, ml]]/'3.2 Digest'!AA823</f>
        <v>-0.53149512430882717</v>
      </c>
      <c r="AU823" s="94">
        <f>((Table3.110[[#This Row],[CH4 24h, ml]]/28.9)*16.04)/Table3.110[[#This Row],[DM Incubated, mg]]*1000</f>
        <v>10.505115958401431</v>
      </c>
      <c r="AV823" s="94">
        <f>((Table3.110[[#This Row],[CH4 24h, ml]]/28.9)*16.04)/Table3.110[[#This Row],[Digested feed, mg]]*1000</f>
        <v>22.198925214716496</v>
      </c>
      <c r="AW823" s="64"/>
    </row>
    <row r="824" spans="2:49" x14ac:dyDescent="0.35">
      <c r="B824" s="90">
        <f t="shared" si="12"/>
        <v>814</v>
      </c>
      <c r="C824" s="140">
        <v>46055</v>
      </c>
      <c r="D824" s="6" t="s">
        <v>16</v>
      </c>
      <c r="E824" s="6" t="s">
        <v>354</v>
      </c>
      <c r="F824" s="6" t="s">
        <v>226</v>
      </c>
      <c r="G824" s="6" t="s">
        <v>227</v>
      </c>
      <c r="H824" s="6" t="s">
        <v>228</v>
      </c>
      <c r="I824" s="6" t="s">
        <v>22</v>
      </c>
      <c r="J824" s="129" t="s">
        <v>23</v>
      </c>
      <c r="K824" s="129" t="s">
        <v>215</v>
      </c>
      <c r="L824" s="6" t="s">
        <v>353</v>
      </c>
      <c r="M824" s="93">
        <v>29</v>
      </c>
      <c r="N824" s="93">
        <v>62</v>
      </c>
      <c r="O824" s="6">
        <v>1</v>
      </c>
      <c r="P824" s="129">
        <v>3</v>
      </c>
      <c r="Q824" s="6">
        <v>125</v>
      </c>
      <c r="R824" s="98">
        <v>0.50039999999999996</v>
      </c>
      <c r="S824" s="94">
        <f>((Table3.110[[#This Row],[Sample weight, g]]*'2.1. DM'!Q217)/100)*1000</f>
        <v>461.85771020308692</v>
      </c>
      <c r="T824" s="94">
        <f>'3.2 Digest'!W824</f>
        <v>290.65771020308694</v>
      </c>
      <c r="U824" s="153">
        <v>0.37430555555555556</v>
      </c>
      <c r="V824" s="154">
        <v>41.5</v>
      </c>
      <c r="W824" s="153">
        <v>0.71597222222222223</v>
      </c>
      <c r="X824" s="95">
        <v>75</v>
      </c>
      <c r="Y824" s="95">
        <v>12.5</v>
      </c>
      <c r="Z824" s="154">
        <v>41</v>
      </c>
      <c r="AA824" s="153">
        <v>0.39166666666666666</v>
      </c>
      <c r="AB824" s="154">
        <v>76</v>
      </c>
      <c r="AC824" s="154">
        <v>15.1</v>
      </c>
      <c r="AD824" s="91" t="s">
        <v>584</v>
      </c>
      <c r="AE824" s="94">
        <f>Table3.110[[#This Row],[Gas 8h, ml]]-Table3.110[[#This Row],[Gas 0h, ml]]</f>
        <v>33.5</v>
      </c>
      <c r="AF824" s="94">
        <f>Table3.110[[#This Row],[Gas 24h, ml]]-Table3.110[[#This Row],[V8 Push back, ml]]</f>
        <v>35</v>
      </c>
      <c r="AG824" s="94">
        <f>Table3.110[[#This Row],[GP 8h, ml]]-(AVERAGE(AE$790,AE$791,AE$840,AE$841,AE$860,AE$861))*$AG$8</f>
        <v>32.319990991876054</v>
      </c>
      <c r="AH824" s="94">
        <f>Table3.110[[#This Row],[GP 8-24h, ml]]-(AVERAGE(AF$790,AF$791,AF$840,AF$841,AF$860,AF$861))*$AG$8</f>
        <v>32.123728042697877</v>
      </c>
      <c r="AI824" s="94">
        <f>Table3.110[[#This Row],[Net gas 8-24h, ml]]+Table3.110[[#This Row],[Net gas 8h, ml]]</f>
        <v>64.443719034573931</v>
      </c>
      <c r="AJ824" s="94">
        <f>Table3.110[[#This Row],[Net gas 8h, ml]]*Table3.110[[#This Row],[CH4 8h %]]%</f>
        <v>4.0399988739845067</v>
      </c>
      <c r="AK824" s="94">
        <f>Table3.110[[#This Row],[Net gas 8-24h, ml]]*Table3.110[[#This Row],[CH4 24h, %]]%</f>
        <v>4.850682934447379</v>
      </c>
      <c r="AL824" s="94">
        <f>Table3.110[[#This Row],[CH4 8-24h, ml]]+Table3.110[[#This Row],[CH4 8h, ml]]</f>
        <v>8.8906818084318857</v>
      </c>
      <c r="AM824" s="94">
        <f>(Table3.110[[#This Row],[Net gas 24h, ml]]/Table3.110[[#This Row],[DM Incubated, mg]])*1000</f>
        <v>139.53154318077077</v>
      </c>
      <c r="AN824" s="94">
        <f>'3.2 Digest'!X824</f>
        <v>62.932306591846142</v>
      </c>
      <c r="AO824" s="94">
        <f>Table3.110[[#This Row],[Digested feed, mg]]/Table3.110[[#This Row],[Net gas 24h, ml]]</f>
        <v>4.510256617051378</v>
      </c>
      <c r="AP824" s="94">
        <f>Table3.110[[#This Row],[CH4 8h, ml]]/Table3.110[[#This Row],[Net gas 8h, ml]]%</f>
        <v>12.5</v>
      </c>
      <c r="AQ824" s="94">
        <f>Table3.110[[#This Row],[CH4 24h, ml]]/Table3.110[[#This Row],[Net gas 24h, ml]]%</f>
        <v>13.796040858011395</v>
      </c>
      <c r="AR824" s="94">
        <f>Table3.110[[#This Row],[CH4 24h, ml]]/Table3.110[[#This Row],[DM Incubated, mg]]*1000</f>
        <v>19.249828707032947</v>
      </c>
      <c r="AS824" s="94">
        <f>Table3.110[[#This Row],[CH4 24h, ml]]/Table3.110[[#This Row],[Digested feed, mg]]*1000</f>
        <v>30.58815058516711</v>
      </c>
      <c r="AT824" s="94">
        <f>Table3.110[[#This Row],[CH4 24h, ml]]/'3.2 Digest'!AA824</f>
        <v>0.49206554976799088</v>
      </c>
      <c r="AU824" s="94">
        <f>((Table3.110[[#This Row],[CH4 24h, ml]]/28.9)*16.04)/Table3.110[[#This Row],[DM Incubated, mg]]*1000</f>
        <v>10.683987974422436</v>
      </c>
      <c r="AV824" s="94">
        <f>((Table3.110[[#This Row],[CH4 24h, ml]]/28.9)*16.04)/Table3.110[[#This Row],[Digested feed, mg]]*1000</f>
        <v>16.97695278152527</v>
      </c>
      <c r="AW824" s="64"/>
    </row>
    <row r="825" spans="2:49" x14ac:dyDescent="0.35">
      <c r="B825" s="90">
        <f t="shared" si="12"/>
        <v>815</v>
      </c>
      <c r="C825" s="140">
        <v>46055</v>
      </c>
      <c r="D825" s="6" t="s">
        <v>16</v>
      </c>
      <c r="E825" s="6" t="s">
        <v>356</v>
      </c>
      <c r="F825" s="6" t="s">
        <v>219</v>
      </c>
      <c r="G825" s="6" t="s">
        <v>253</v>
      </c>
      <c r="H825" s="6" t="s">
        <v>254</v>
      </c>
      <c r="I825" s="6" t="s">
        <v>22</v>
      </c>
      <c r="J825" s="129" t="s">
        <v>23</v>
      </c>
      <c r="K825" s="129" t="s">
        <v>215</v>
      </c>
      <c r="L825" s="6" t="s">
        <v>355</v>
      </c>
      <c r="M825" s="93">
        <v>29</v>
      </c>
      <c r="N825" s="93">
        <v>62</v>
      </c>
      <c r="O825" s="6">
        <v>1</v>
      </c>
      <c r="P825" s="6">
        <v>1</v>
      </c>
      <c r="Q825" s="6">
        <v>126</v>
      </c>
      <c r="R825" s="98">
        <v>0.50009999999999999</v>
      </c>
      <c r="S825" s="94">
        <f>((Table3.110[[#This Row],[Sample weight, g]]*'2.1. DM'!Q219)/100)*1000</f>
        <v>450.45244128935502</v>
      </c>
      <c r="T825" s="94">
        <f>'3.2 Digest'!W825</f>
        <v>208.55244128935502</v>
      </c>
      <c r="U825" s="117">
        <v>0.37430555555555556</v>
      </c>
      <c r="V825" s="155">
        <v>40.5</v>
      </c>
      <c r="W825" s="117">
        <v>0.71597222222222223</v>
      </c>
      <c r="X825" s="97">
        <v>67.5</v>
      </c>
      <c r="Y825" s="97">
        <v>12.6</v>
      </c>
      <c r="Z825" s="155">
        <v>40</v>
      </c>
      <c r="AA825" s="117">
        <v>0.39166666666666666</v>
      </c>
      <c r="AB825" s="155">
        <v>81</v>
      </c>
      <c r="AC825" s="155">
        <v>14.6</v>
      </c>
      <c r="AD825" s="96"/>
      <c r="AE825" s="94">
        <f>Table3.110[[#This Row],[Gas 8h, ml]]-Table3.110[[#This Row],[Gas 0h, ml]]</f>
        <v>27</v>
      </c>
      <c r="AF825" s="94">
        <f>Table3.110[[#This Row],[Gas 24h, ml]]-Table3.110[[#This Row],[V8 Push back, ml]]</f>
        <v>41</v>
      </c>
      <c r="AG825" s="94">
        <f>Table3.110[[#This Row],[GP 8h, ml]]-(AVERAGE(AE$790,AE$791,AE$840,AE$841,AE$860,AE$861))*$AG$8</f>
        <v>25.81999099187605</v>
      </c>
      <c r="AH825" s="94">
        <f>Table3.110[[#This Row],[GP 8-24h, ml]]-(AVERAGE(AF$790,AF$791,AF$840,AF$841,AF$860,AF$861))*$AG$8</f>
        <v>38.123728042697877</v>
      </c>
      <c r="AI825" s="94">
        <f>Table3.110[[#This Row],[Net gas 8-24h, ml]]+Table3.110[[#This Row],[Net gas 8h, ml]]</f>
        <v>63.943719034573931</v>
      </c>
      <c r="AJ825" s="94">
        <f>Table3.110[[#This Row],[Net gas 8h, ml]]*Table3.110[[#This Row],[CH4 8h %]]%</f>
        <v>3.2533188649763822</v>
      </c>
      <c r="AK825" s="94">
        <f>Table3.110[[#This Row],[Net gas 8-24h, ml]]*Table3.110[[#This Row],[CH4 24h, %]]%</f>
        <v>5.5660642942338896</v>
      </c>
      <c r="AL825" s="94">
        <f>Table3.110[[#This Row],[CH4 8-24h, ml]]+Table3.110[[#This Row],[CH4 8h, ml]]</f>
        <v>8.8193831592102718</v>
      </c>
      <c r="AM825" s="94">
        <f>(Table3.110[[#This Row],[Net gas 24h, ml]]/Table3.110[[#This Row],[DM Incubated, mg]])*1000</f>
        <v>141.95442886610687</v>
      </c>
      <c r="AN825" s="94">
        <f>'3.2 Digest'!X825</f>
        <v>46.298437342775586</v>
      </c>
      <c r="AO825" s="94">
        <f>Table3.110[[#This Row],[Digested feed, mg]]/Table3.110[[#This Row],[Net gas 24h, ml]]</f>
        <v>3.2615000259304927</v>
      </c>
      <c r="AP825" s="94">
        <f>Table3.110[[#This Row],[CH4 8h, ml]]/Table3.110[[#This Row],[Net gas 8h, ml]]%</f>
        <v>12.6</v>
      </c>
      <c r="AQ825" s="94">
        <f>Table3.110[[#This Row],[CH4 24h, ml]]/Table3.110[[#This Row],[Net gas 24h, ml]]%</f>
        <v>13.79241509934962</v>
      </c>
      <c r="AR825" s="94">
        <f>Table3.110[[#This Row],[CH4 24h, ml]]/Table3.110[[#This Row],[DM Incubated, mg]]*1000</f>
        <v>19.57894408112444</v>
      </c>
      <c r="AS825" s="94">
        <f>Table3.110[[#This Row],[CH4 24h, ml]]/Table3.110[[#This Row],[Digested feed, mg]]*1000</f>
        <v>42.288563512780293</v>
      </c>
      <c r="AT825" s="94">
        <f>Table3.110[[#This Row],[CH4 24h, ml]]/'3.2 Digest'!AA825</f>
        <v>-1.0692976623432469</v>
      </c>
      <c r="AU825" s="94">
        <f>((Table3.110[[#This Row],[CH4 24h, ml]]/28.9)*16.04)/Table3.110[[#This Row],[DM Incubated, mg]]*1000</f>
        <v>10.866652701080831</v>
      </c>
      <c r="AV825" s="94">
        <f>((Table3.110[[#This Row],[CH4 24h, ml]]/28.9)*16.04)/Table3.110[[#This Row],[Digested feed, mg]]*1000</f>
        <v>23.470884385639998</v>
      </c>
      <c r="AW825" s="64"/>
    </row>
    <row r="826" spans="2:49" x14ac:dyDescent="0.35">
      <c r="B826" s="90">
        <f t="shared" si="12"/>
        <v>816</v>
      </c>
      <c r="C826" s="140">
        <v>46055</v>
      </c>
      <c r="D826" s="6" t="s">
        <v>16</v>
      </c>
      <c r="E826" s="6" t="s">
        <v>356</v>
      </c>
      <c r="F826" s="6" t="s">
        <v>219</v>
      </c>
      <c r="G826" s="6" t="s">
        <v>253</v>
      </c>
      <c r="H826" s="6" t="s">
        <v>254</v>
      </c>
      <c r="I826" s="6" t="s">
        <v>22</v>
      </c>
      <c r="J826" s="129" t="s">
        <v>23</v>
      </c>
      <c r="K826" s="129" t="s">
        <v>215</v>
      </c>
      <c r="L826" s="6" t="s">
        <v>355</v>
      </c>
      <c r="M826" s="93">
        <v>29</v>
      </c>
      <c r="N826" s="93">
        <v>62</v>
      </c>
      <c r="O826" s="6">
        <v>1</v>
      </c>
      <c r="P826" s="129">
        <v>2</v>
      </c>
      <c r="Q826" s="6">
        <v>127</v>
      </c>
      <c r="R826" s="98">
        <v>0.50039999999999996</v>
      </c>
      <c r="S826" s="94">
        <f>((Table3.110[[#This Row],[Sample weight, g]]*'2.1. DM'!Q219)/100)*1000</f>
        <v>450.72265871064434</v>
      </c>
      <c r="T826" s="94">
        <f>'3.2 Digest'!W826</f>
        <v>183.02265871064429</v>
      </c>
      <c r="U826" s="153">
        <v>0.37430555555555556</v>
      </c>
      <c r="V826" s="154">
        <v>40.5</v>
      </c>
      <c r="W826" s="153">
        <v>0.71597222222222223</v>
      </c>
      <c r="X826" s="95">
        <v>65.5</v>
      </c>
      <c r="Y826" s="95">
        <v>12.7</v>
      </c>
      <c r="Z826" s="154">
        <v>40</v>
      </c>
      <c r="AA826" s="153">
        <v>0.3923611111111111</v>
      </c>
      <c r="AB826" s="154">
        <v>79.5</v>
      </c>
      <c r="AC826" s="154">
        <v>14.1</v>
      </c>
      <c r="AD826" s="91"/>
      <c r="AE826" s="94">
        <f>Table3.110[[#This Row],[Gas 8h, ml]]-Table3.110[[#This Row],[Gas 0h, ml]]</f>
        <v>25</v>
      </c>
      <c r="AF826" s="94">
        <f>Table3.110[[#This Row],[Gas 24h, ml]]-Table3.110[[#This Row],[V8 Push back, ml]]</f>
        <v>39.5</v>
      </c>
      <c r="AG826" s="94">
        <f>Table3.110[[#This Row],[GP 8h, ml]]-(AVERAGE(AE$790,AE$791,AE$840,AE$841,AE$860,AE$861))*$AG$8</f>
        <v>23.81999099187605</v>
      </c>
      <c r="AH826" s="94">
        <f>Table3.110[[#This Row],[GP 8-24h, ml]]-(AVERAGE(AF$790,AF$791,AF$840,AF$841,AF$860,AF$861))*$AG$8</f>
        <v>36.623728042697877</v>
      </c>
      <c r="AI826" s="94">
        <f>Table3.110[[#This Row],[Net gas 8-24h, ml]]+Table3.110[[#This Row],[Net gas 8h, ml]]</f>
        <v>60.443719034573931</v>
      </c>
      <c r="AJ826" s="94">
        <f>Table3.110[[#This Row],[Net gas 8h, ml]]*Table3.110[[#This Row],[CH4 8h %]]%</f>
        <v>3.0251388559682586</v>
      </c>
      <c r="AK826" s="94">
        <f>Table3.110[[#This Row],[Net gas 8-24h, ml]]*Table3.110[[#This Row],[CH4 24h, %]]%</f>
        <v>5.1639456540204005</v>
      </c>
      <c r="AL826" s="94">
        <f>Table3.110[[#This Row],[CH4 8-24h, ml]]+Table3.110[[#This Row],[CH4 8h, ml]]</f>
        <v>8.1890845099886587</v>
      </c>
      <c r="AM826" s="94">
        <f>(Table3.110[[#This Row],[Net gas 24h, ml]]/Table3.110[[#This Row],[DM Incubated, mg]])*1000</f>
        <v>134.10401688586438</v>
      </c>
      <c r="AN826" s="94">
        <f>'3.2 Digest'!X826</f>
        <v>40.606491635944465</v>
      </c>
      <c r="AO826" s="94">
        <f>Table3.110[[#This Row],[Digested feed, mg]]/Table3.110[[#This Row],[Net gas 24h, ml]]</f>
        <v>3.0279847374373996</v>
      </c>
      <c r="AP826" s="94">
        <f>Table3.110[[#This Row],[CH4 8h, ml]]/Table3.110[[#This Row],[Net gas 8h, ml]]%</f>
        <v>12.700000000000001</v>
      </c>
      <c r="AQ826" s="94">
        <f>Table3.110[[#This Row],[CH4 24h, ml]]/Table3.110[[#This Row],[Net gas 24h, ml]]%</f>
        <v>13.548280352015544</v>
      </c>
      <c r="AR826" s="94">
        <f>Table3.110[[#This Row],[CH4 24h, ml]]/Table3.110[[#This Row],[DM Incubated, mg]]*1000</f>
        <v>18.168788171011169</v>
      </c>
      <c r="AS826" s="94">
        <f>Table3.110[[#This Row],[CH4 24h, ml]]/Table3.110[[#This Row],[Digested feed, mg]]*1000</f>
        <v>44.743555621358681</v>
      </c>
      <c r="AT826" s="94">
        <f>Table3.110[[#This Row],[CH4 24h, ml]]/'3.2 Digest'!AA826</f>
        <v>-0.4152416297417863</v>
      </c>
      <c r="AU826" s="94">
        <f>((Table3.110[[#This Row],[CH4 24h, ml]]/28.9)*16.04)/Table3.110[[#This Row],[DM Incubated, mg]]*1000</f>
        <v>10.083991773806892</v>
      </c>
      <c r="AV826" s="94">
        <f>((Table3.110[[#This Row],[CH4 24h, ml]]/28.9)*16.04)/Table3.110[[#This Row],[Digested feed, mg]]*1000</f>
        <v>24.833447479812918</v>
      </c>
      <c r="AW826" s="64"/>
    </row>
    <row r="827" spans="2:49" x14ac:dyDescent="0.35">
      <c r="B827" s="90">
        <f t="shared" si="12"/>
        <v>817</v>
      </c>
      <c r="C827" s="140">
        <v>46055</v>
      </c>
      <c r="D827" s="6" t="s">
        <v>16</v>
      </c>
      <c r="E827" s="6" t="s">
        <v>356</v>
      </c>
      <c r="F827" s="6" t="s">
        <v>219</v>
      </c>
      <c r="G827" s="6" t="s">
        <v>253</v>
      </c>
      <c r="H827" s="6" t="s">
        <v>254</v>
      </c>
      <c r="I827" s="6" t="s">
        <v>22</v>
      </c>
      <c r="J827" s="129" t="s">
        <v>23</v>
      </c>
      <c r="K827" s="129" t="s">
        <v>215</v>
      </c>
      <c r="L827" s="6" t="s">
        <v>355</v>
      </c>
      <c r="M827" s="93">
        <v>29</v>
      </c>
      <c r="N827" s="93">
        <v>62</v>
      </c>
      <c r="O827" s="6">
        <v>1</v>
      </c>
      <c r="P827" s="129">
        <v>3</v>
      </c>
      <c r="Q827" s="6">
        <v>128</v>
      </c>
      <c r="R827" s="98">
        <v>0.50009999999999999</v>
      </c>
      <c r="S827" s="94">
        <f>((Table3.110[[#This Row],[Sample weight, g]]*'2.1. DM'!Q219)/100)*1000</f>
        <v>450.45244128935502</v>
      </c>
      <c r="T827" s="94">
        <f>'3.2 Digest'!W827</f>
        <v>146.25244128935498</v>
      </c>
      <c r="U827" s="117">
        <v>0.375</v>
      </c>
      <c r="V827" s="155">
        <v>40.5</v>
      </c>
      <c r="W827" s="117">
        <v>0.71666666666666667</v>
      </c>
      <c r="X827" s="97">
        <v>66</v>
      </c>
      <c r="Y827" s="97">
        <v>12.7</v>
      </c>
      <c r="Z827" s="155">
        <v>40</v>
      </c>
      <c r="AA827" s="117">
        <v>0.3923611111111111</v>
      </c>
      <c r="AB827" s="155">
        <v>79</v>
      </c>
      <c r="AC827" s="155">
        <v>14.4</v>
      </c>
      <c r="AD827" s="96"/>
      <c r="AE827" s="94"/>
      <c r="AF827" s="94"/>
      <c r="AG827" s="94"/>
      <c r="AH827" s="94"/>
      <c r="AI827" s="94"/>
      <c r="AJ827" s="94"/>
      <c r="AK827" s="94"/>
      <c r="AL827" s="94"/>
      <c r="AM827" s="94"/>
      <c r="AN827" s="94"/>
      <c r="AO827" s="94"/>
      <c r="AP827" s="94"/>
      <c r="AQ827" s="94"/>
      <c r="AR827" s="94"/>
      <c r="AS827" s="94"/>
      <c r="AT827" s="94"/>
      <c r="AU827" s="94"/>
      <c r="AV827" s="94"/>
      <c r="AW827" s="64" t="s">
        <v>661</v>
      </c>
    </row>
    <row r="828" spans="2:49" x14ac:dyDescent="0.35">
      <c r="B828" s="90">
        <f t="shared" si="12"/>
        <v>818</v>
      </c>
      <c r="C828" s="140">
        <v>46055</v>
      </c>
      <c r="D828" s="6" t="s">
        <v>16</v>
      </c>
      <c r="E828" s="6" t="s">
        <v>358</v>
      </c>
      <c r="F828" s="6" t="s">
        <v>212</v>
      </c>
      <c r="G828" s="6" t="s">
        <v>359</v>
      </c>
      <c r="H828" s="6" t="s">
        <v>360</v>
      </c>
      <c r="I828" s="6" t="s">
        <v>22</v>
      </c>
      <c r="J828" s="129" t="s">
        <v>23</v>
      </c>
      <c r="K828" s="129" t="s">
        <v>215</v>
      </c>
      <c r="L828" s="6" t="s">
        <v>357</v>
      </c>
      <c r="M828" s="93">
        <v>29</v>
      </c>
      <c r="N828" s="93">
        <v>62</v>
      </c>
      <c r="O828" s="6">
        <v>1</v>
      </c>
      <c r="P828" s="6">
        <v>1</v>
      </c>
      <c r="Q828" s="6">
        <v>129</v>
      </c>
      <c r="R828" s="98">
        <v>0.50019999999999998</v>
      </c>
      <c r="S828" s="94">
        <f>((Table3.110[[#This Row],[Sample weight, g]]*'2.1. DM'!Q221)/100)*1000</f>
        <v>459.56281371862826</v>
      </c>
      <c r="T828" s="94">
        <f>'3.2 Digest'!W828</f>
        <v>203.16281371862817</v>
      </c>
      <c r="U828" s="153">
        <v>0.375</v>
      </c>
      <c r="V828" s="154">
        <v>41</v>
      </c>
      <c r="W828" s="153">
        <v>0.71666666666666667</v>
      </c>
      <c r="X828" s="95">
        <v>76</v>
      </c>
      <c r="Y828" s="95">
        <v>13.4</v>
      </c>
      <c r="Z828" s="154">
        <v>40</v>
      </c>
      <c r="AA828" s="153">
        <v>0.39305555555555555</v>
      </c>
      <c r="AB828" s="154">
        <v>79</v>
      </c>
      <c r="AC828" s="154">
        <v>16.3</v>
      </c>
      <c r="AD828" s="91"/>
      <c r="AE828" s="94">
        <f>Table3.110[[#This Row],[Gas 8h, ml]]-Table3.110[[#This Row],[Gas 0h, ml]]</f>
        <v>35</v>
      </c>
      <c r="AF828" s="94">
        <f>Table3.110[[#This Row],[Gas 24h, ml]]-Table3.110[[#This Row],[V8 Push back, ml]]</f>
        <v>39</v>
      </c>
      <c r="AG828" s="94">
        <f>Table3.110[[#This Row],[GP 8h, ml]]-(AVERAGE(AE$790,AE$791,AE$840,AE$841,AE$860,AE$861))*$AG$8</f>
        <v>33.819990991876054</v>
      </c>
      <c r="AH828" s="94">
        <f>Table3.110[[#This Row],[GP 8-24h, ml]]-(AVERAGE(AF$790,AF$791,AF$840,AF$841,AF$860,AF$861))*$AG$8</f>
        <v>36.123728042697877</v>
      </c>
      <c r="AI828" s="94">
        <f>Table3.110[[#This Row],[Net gas 8-24h, ml]]+Table3.110[[#This Row],[Net gas 8h, ml]]</f>
        <v>69.943719034573931</v>
      </c>
      <c r="AJ828" s="94">
        <f>Table3.110[[#This Row],[Net gas 8h, ml]]*Table3.110[[#This Row],[CH4 8h %]]%</f>
        <v>4.5318787929113915</v>
      </c>
      <c r="AK828" s="94">
        <f>Table3.110[[#This Row],[Net gas 8-24h, ml]]*Table3.110[[#This Row],[CH4 24h, %]]%</f>
        <v>5.8881676709597546</v>
      </c>
      <c r="AL828" s="94">
        <f>Table3.110[[#This Row],[CH4 8-24h, ml]]+Table3.110[[#This Row],[CH4 8h, ml]]</f>
        <v>10.420046463871145</v>
      </c>
      <c r="AM828" s="94">
        <f>(Table3.110[[#This Row],[Net gas 24h, ml]]/Table3.110[[#This Row],[DM Incubated, mg]])*1000</f>
        <v>152.19621115253605</v>
      </c>
      <c r="AN828" s="94">
        <f>'3.2 Digest'!X828</f>
        <v>44.207844423856393</v>
      </c>
      <c r="AO828" s="94">
        <f>Table3.110[[#This Row],[Digested feed, mg]]/Table3.110[[#This Row],[Net gas 24h, ml]]</f>
        <v>2.9046612980102275</v>
      </c>
      <c r="AP828" s="94">
        <f>Table3.110[[#This Row],[CH4 8h, ml]]/Table3.110[[#This Row],[Net gas 8h, ml]]%</f>
        <v>13.4</v>
      </c>
      <c r="AQ828" s="94">
        <f>Table3.110[[#This Row],[CH4 24h, ml]]/Table3.110[[#This Row],[Net gas 24h, ml]]%</f>
        <v>14.897758666107539</v>
      </c>
      <c r="AR828" s="94">
        <f>Table3.110[[#This Row],[CH4 24h, ml]]/Table3.110[[#This Row],[DM Incubated, mg]]*1000</f>
        <v>22.673824236464263</v>
      </c>
      <c r="AS828" s="94">
        <f>Table3.110[[#This Row],[CH4 24h, ml]]/Table3.110[[#This Row],[Digested feed, mg]]*1000</f>
        <v>51.289142304863255</v>
      </c>
      <c r="AT828" s="94">
        <f>Table3.110[[#This Row],[CH4 24h, ml]]/'3.2 Digest'!AA828</f>
        <v>-5.1462890541134785</v>
      </c>
      <c r="AU828" s="94">
        <f>((Table3.110[[#This Row],[CH4 24h, ml]]/28.9)*16.04)/Table3.110[[#This Row],[DM Incubated, mg]]*1000</f>
        <v>12.5843647319338</v>
      </c>
      <c r="AV828" s="94">
        <f>((Table3.110[[#This Row],[CH4 24h, ml]]/28.9)*16.04)/Table3.110[[#This Row],[Digested feed, mg]]*1000</f>
        <v>28.466361334602304</v>
      </c>
      <c r="AW828" s="64"/>
    </row>
    <row r="829" spans="2:49" x14ac:dyDescent="0.35">
      <c r="B829" s="90">
        <f t="shared" si="12"/>
        <v>819</v>
      </c>
      <c r="C829" s="140">
        <v>46055</v>
      </c>
      <c r="D829" s="6" t="s">
        <v>16</v>
      </c>
      <c r="E829" s="6" t="s">
        <v>358</v>
      </c>
      <c r="F829" s="6" t="s">
        <v>212</v>
      </c>
      <c r="G829" s="6" t="s">
        <v>359</v>
      </c>
      <c r="H829" s="6" t="s">
        <v>360</v>
      </c>
      <c r="I829" s="6" t="s">
        <v>22</v>
      </c>
      <c r="J829" s="129" t="s">
        <v>23</v>
      </c>
      <c r="K829" s="129" t="s">
        <v>215</v>
      </c>
      <c r="L829" s="6" t="s">
        <v>357</v>
      </c>
      <c r="M829" s="93">
        <v>29</v>
      </c>
      <c r="N829" s="93">
        <v>62</v>
      </c>
      <c r="O829" s="6">
        <v>1</v>
      </c>
      <c r="P829" s="129">
        <v>2</v>
      </c>
      <c r="Q829" s="6">
        <v>130</v>
      </c>
      <c r="R829" s="98">
        <v>0.5</v>
      </c>
      <c r="S829" s="94">
        <f>((Table3.110[[#This Row],[Sample weight, g]]*'2.1. DM'!Q221)/100)*1000</f>
        <v>459.37906209379082</v>
      </c>
      <c r="T829" s="94">
        <f>'3.2 Digest'!W829</f>
        <v>183.77906209379086</v>
      </c>
      <c r="U829" s="117">
        <v>0.375</v>
      </c>
      <c r="V829" s="155">
        <v>41</v>
      </c>
      <c r="W829" s="117">
        <v>0.71736111111111112</v>
      </c>
      <c r="X829" s="97">
        <v>76.5</v>
      </c>
      <c r="Y829" s="97">
        <v>13.4</v>
      </c>
      <c r="Z829" s="155">
        <v>40.5</v>
      </c>
      <c r="AA829" s="117">
        <v>0.39374999999999999</v>
      </c>
      <c r="AB829" s="155">
        <v>79</v>
      </c>
      <c r="AC829" s="155">
        <v>16.3</v>
      </c>
      <c r="AD829" s="96"/>
      <c r="AE829" s="94">
        <f>Table3.110[[#This Row],[Gas 8h, ml]]-Table3.110[[#This Row],[Gas 0h, ml]]</f>
        <v>35.5</v>
      </c>
      <c r="AF829" s="94">
        <f>Table3.110[[#This Row],[Gas 24h, ml]]-Table3.110[[#This Row],[V8 Push back, ml]]</f>
        <v>38.5</v>
      </c>
      <c r="AG829" s="94">
        <f>Table3.110[[#This Row],[GP 8h, ml]]-(AVERAGE(AE$790,AE$791,AE$840,AE$841,AE$860,AE$861))*$AG$8</f>
        <v>34.319990991876054</v>
      </c>
      <c r="AH829" s="94">
        <f>Table3.110[[#This Row],[GP 8-24h, ml]]-(AVERAGE(AF$790,AF$791,AF$840,AF$841,AF$860,AF$861))*$AG$8</f>
        <v>35.623728042697877</v>
      </c>
      <c r="AI829" s="94">
        <f>Table3.110[[#This Row],[Net gas 8-24h, ml]]+Table3.110[[#This Row],[Net gas 8h, ml]]</f>
        <v>69.943719034573931</v>
      </c>
      <c r="AJ829" s="94">
        <f>Table3.110[[#This Row],[Net gas 8h, ml]]*Table3.110[[#This Row],[CH4 8h %]]%</f>
        <v>4.5988787929113917</v>
      </c>
      <c r="AK829" s="94">
        <f>Table3.110[[#This Row],[Net gas 8-24h, ml]]*Table3.110[[#This Row],[CH4 24h, %]]%</f>
        <v>5.8066676709597544</v>
      </c>
      <c r="AL829" s="94">
        <f>Table3.110[[#This Row],[CH4 8-24h, ml]]+Table3.110[[#This Row],[CH4 8h, ml]]</f>
        <v>10.405546463871147</v>
      </c>
      <c r="AM829" s="94">
        <f>(Table3.110[[#This Row],[Net gas 24h, ml]]/Table3.110[[#This Row],[DM Incubated, mg]])*1000</f>
        <v>152.25708963699702</v>
      </c>
      <c r="AN829" s="94">
        <f>'3.2 Digest'!X829</f>
        <v>40.005972683245396</v>
      </c>
      <c r="AO829" s="94">
        <f>Table3.110[[#This Row],[Digested feed, mg]]/Table3.110[[#This Row],[Net gas 24h, ml]]</f>
        <v>2.6275277413107943</v>
      </c>
      <c r="AP829" s="94">
        <f>Table3.110[[#This Row],[CH4 8h, ml]]/Table3.110[[#This Row],[Net gas 8h, ml]]%</f>
        <v>13.400000000000002</v>
      </c>
      <c r="AQ829" s="94">
        <f>Table3.110[[#This Row],[CH4 24h, ml]]/Table3.110[[#This Row],[Net gas 24h, ml]]%</f>
        <v>14.877027712420574</v>
      </c>
      <c r="AR829" s="94">
        <f>Table3.110[[#This Row],[CH4 24h, ml]]/Table3.110[[#This Row],[DM Incubated, mg]]*1000</f>
        <v>22.651329419421078</v>
      </c>
      <c r="AS829" s="94">
        <f>Table3.110[[#This Row],[CH4 24h, ml]]/Table3.110[[#This Row],[Digested feed, mg]]*1000</f>
        <v>56.619869234944296</v>
      </c>
      <c r="AT829" s="94">
        <f>Table3.110[[#This Row],[CH4 24h, ml]]/'3.2 Digest'!AA829</f>
        <v>-1.0717914554217256</v>
      </c>
      <c r="AU829" s="94">
        <f>((Table3.110[[#This Row],[CH4 24h, ml]]/28.9)*16.04)/Table3.110[[#This Row],[DM Incubated, mg]]*1000</f>
        <v>12.571879719291147</v>
      </c>
      <c r="AV829" s="94">
        <f>((Table3.110[[#This Row],[CH4 24h, ml]]/28.9)*16.04)/Table3.110[[#This Row],[Digested feed, mg]]*1000</f>
        <v>31.425007007906807</v>
      </c>
      <c r="AW829" s="64"/>
    </row>
    <row r="830" spans="2:49" x14ac:dyDescent="0.35">
      <c r="B830" s="90">
        <f t="shared" si="12"/>
        <v>820</v>
      </c>
      <c r="C830" s="140">
        <v>46055</v>
      </c>
      <c r="D830" s="6" t="s">
        <v>16</v>
      </c>
      <c r="E830" s="6" t="s">
        <v>358</v>
      </c>
      <c r="F830" s="6" t="s">
        <v>212</v>
      </c>
      <c r="G830" s="6" t="s">
        <v>359</v>
      </c>
      <c r="H830" s="6" t="s">
        <v>360</v>
      </c>
      <c r="I830" s="6" t="s">
        <v>22</v>
      </c>
      <c r="J830" s="129" t="s">
        <v>23</v>
      </c>
      <c r="K830" s="129" t="s">
        <v>215</v>
      </c>
      <c r="L830" s="6" t="s">
        <v>357</v>
      </c>
      <c r="M830" s="93">
        <v>29</v>
      </c>
      <c r="N830" s="93">
        <v>62</v>
      </c>
      <c r="O830" s="6">
        <v>1</v>
      </c>
      <c r="P830" s="129">
        <v>3</v>
      </c>
      <c r="Q830" s="6">
        <v>131</v>
      </c>
      <c r="R830" s="98">
        <v>0.5</v>
      </c>
      <c r="S830" s="94">
        <f>((Table3.110[[#This Row],[Sample weight, g]]*'2.1. DM'!Q221)/100)*1000</f>
        <v>459.37906209379082</v>
      </c>
      <c r="T830" s="94">
        <f>'3.2 Digest'!W830</f>
        <v>138.57906209379087</v>
      </c>
      <c r="U830" s="153">
        <v>0.37569444444444444</v>
      </c>
      <c r="V830" s="154">
        <v>40.5</v>
      </c>
      <c r="W830" s="153">
        <v>0.71736111111111112</v>
      </c>
      <c r="X830" s="95">
        <v>75</v>
      </c>
      <c r="Y830" s="95">
        <v>13.4</v>
      </c>
      <c r="Z830" s="154">
        <v>40</v>
      </c>
      <c r="AA830" s="153">
        <v>0.39374999999999999</v>
      </c>
      <c r="AB830" s="154">
        <v>76.5</v>
      </c>
      <c r="AC830" s="154">
        <v>16.2</v>
      </c>
      <c r="AD830" s="91"/>
      <c r="AE830" s="94">
        <f>Table3.110[[#This Row],[Gas 8h, ml]]-Table3.110[[#This Row],[Gas 0h, ml]]</f>
        <v>34.5</v>
      </c>
      <c r="AF830" s="94">
        <f>Table3.110[[#This Row],[Gas 24h, ml]]-Table3.110[[#This Row],[V8 Push back, ml]]</f>
        <v>36.5</v>
      </c>
      <c r="AG830" s="94">
        <f>Table3.110[[#This Row],[GP 8h, ml]]-(AVERAGE(AE$790,AE$791,AE$840,AE$841,AE$860,AE$861))*$AG$8</f>
        <v>33.319990991876054</v>
      </c>
      <c r="AH830" s="94">
        <f>Table3.110[[#This Row],[GP 8-24h, ml]]-(AVERAGE(AF$790,AF$791,AF$840,AF$841,AF$860,AF$861))*$AG$8</f>
        <v>33.623728042697877</v>
      </c>
      <c r="AI830" s="94">
        <f>Table3.110[[#This Row],[Net gas 8-24h, ml]]+Table3.110[[#This Row],[Net gas 8h, ml]]</f>
        <v>66.943719034573931</v>
      </c>
      <c r="AJ830" s="94">
        <f>Table3.110[[#This Row],[Net gas 8h, ml]]*Table3.110[[#This Row],[CH4 8h %]]%</f>
        <v>4.4648787929113913</v>
      </c>
      <c r="AK830" s="94">
        <f>Table3.110[[#This Row],[Net gas 8-24h, ml]]*Table3.110[[#This Row],[CH4 24h, %]]%</f>
        <v>5.4470439429170563</v>
      </c>
      <c r="AL830" s="94">
        <f>Table3.110[[#This Row],[CH4 8-24h, ml]]+Table3.110[[#This Row],[CH4 8h, ml]]</f>
        <v>9.9119227358284476</v>
      </c>
      <c r="AM830" s="94">
        <f>(Table3.110[[#This Row],[Net gas 24h, ml]]/Table3.110[[#This Row],[DM Incubated, mg]])*1000</f>
        <v>145.72653513952736</v>
      </c>
      <c r="AN830" s="94">
        <f>'3.2 Digest'!X830</f>
        <v>30.166603907057777</v>
      </c>
      <c r="AO830" s="94">
        <f>Table3.110[[#This Row],[Digested feed, mg]]/Table3.110[[#This Row],[Net gas 24h, ml]]</f>
        <v>2.0700831099960246</v>
      </c>
      <c r="AP830" s="94">
        <f>Table3.110[[#This Row],[CH4 8h, ml]]/Table3.110[[#This Row],[Net gas 8h, ml]]%</f>
        <v>13.4</v>
      </c>
      <c r="AQ830" s="94">
        <f>Table3.110[[#This Row],[CH4 24h, ml]]/Table3.110[[#This Row],[Net gas 24h, ml]]%</f>
        <v>14.806352080184414</v>
      </c>
      <c r="AR830" s="94">
        <f>Table3.110[[#This Row],[CH4 24h, ml]]/Table3.110[[#This Row],[DM Incubated, mg]]*1000</f>
        <v>21.576783867012082</v>
      </c>
      <c r="AS830" s="94">
        <f>Table3.110[[#This Row],[CH4 24h, ml]]/Table3.110[[#This Row],[Digested feed, mg]]*1000</f>
        <v>71.525399191401789</v>
      </c>
      <c r="AT830" s="94">
        <f>Table3.110[[#This Row],[CH4 24h, ml]]/'3.2 Digest'!AA830</f>
        <v>-0.35781312432059198</v>
      </c>
      <c r="AU830" s="94">
        <f>((Table3.110[[#This Row],[CH4 24h, ml]]/28.9)*16.04)/Table3.110[[#This Row],[DM Incubated, mg]]*1000</f>
        <v>11.975488346950652</v>
      </c>
      <c r="AV830" s="94">
        <f>((Table3.110[[#This Row],[CH4 24h, ml]]/28.9)*16.04)/Table3.110[[#This Row],[Digested feed, mg]]*1000</f>
        <v>39.697834014881828</v>
      </c>
      <c r="AW830" s="64"/>
    </row>
    <row r="831" spans="2:49" x14ac:dyDescent="0.35">
      <c r="B831" s="90">
        <f t="shared" si="12"/>
        <v>821</v>
      </c>
      <c r="C831" s="140">
        <v>46055</v>
      </c>
      <c r="D831" s="6" t="s">
        <v>16</v>
      </c>
      <c r="E831" s="6" t="s">
        <v>362</v>
      </c>
      <c r="F831" s="6" t="s">
        <v>219</v>
      </c>
      <c r="G831" s="6" t="s">
        <v>253</v>
      </c>
      <c r="H831" s="6" t="s">
        <v>254</v>
      </c>
      <c r="I831" s="6" t="s">
        <v>22</v>
      </c>
      <c r="J831" s="129" t="s">
        <v>23</v>
      </c>
      <c r="K831" s="129" t="s">
        <v>215</v>
      </c>
      <c r="L831" s="6" t="s">
        <v>361</v>
      </c>
      <c r="M831" s="93">
        <v>29</v>
      </c>
      <c r="N831" s="93">
        <v>62</v>
      </c>
      <c r="O831" s="6">
        <v>1</v>
      </c>
      <c r="P831" s="6">
        <v>1</v>
      </c>
      <c r="Q831" s="6">
        <v>132</v>
      </c>
      <c r="R831" s="98">
        <v>0.50009999999999999</v>
      </c>
      <c r="S831" s="94">
        <f>((Table3.110[[#This Row],[Sample weight, g]]*'2.1. DM'!Q223)/100)*1000</f>
        <v>459.0373334176229</v>
      </c>
      <c r="T831" s="94">
        <f>'3.2 Digest'!W831</f>
        <v>206.53733341762296</v>
      </c>
      <c r="U831" s="117">
        <v>0.37569444444444444</v>
      </c>
      <c r="V831" s="155">
        <v>41</v>
      </c>
      <c r="W831" s="117">
        <v>0.71805555555555556</v>
      </c>
      <c r="X831" s="97">
        <v>75</v>
      </c>
      <c r="Y831" s="97">
        <v>12.9</v>
      </c>
      <c r="Z831" s="155">
        <v>40</v>
      </c>
      <c r="AA831" s="117">
        <v>0.39444444444444443</v>
      </c>
      <c r="AB831" s="155">
        <v>82.5</v>
      </c>
      <c r="AC831" s="155">
        <v>15.4</v>
      </c>
      <c r="AD831" s="96"/>
      <c r="AE831" s="94">
        <f>Table3.110[[#This Row],[Gas 8h, ml]]-Table3.110[[#This Row],[Gas 0h, ml]]</f>
        <v>34</v>
      </c>
      <c r="AF831" s="94">
        <f>Table3.110[[#This Row],[Gas 24h, ml]]-Table3.110[[#This Row],[V8 Push back, ml]]</f>
        <v>42.5</v>
      </c>
      <c r="AG831" s="94">
        <f>Table3.110[[#This Row],[GP 8h, ml]]-(AVERAGE(AE$790,AE$791,AE$840,AE$841,AE$860,AE$861))*$AG$8</f>
        <v>32.819990991876054</v>
      </c>
      <c r="AH831" s="94">
        <f>Table3.110[[#This Row],[GP 8-24h, ml]]-(AVERAGE(AF$790,AF$791,AF$840,AF$841,AF$860,AF$861))*$AG$8</f>
        <v>39.623728042697877</v>
      </c>
      <c r="AI831" s="94">
        <f>Table3.110[[#This Row],[Net gas 8-24h, ml]]+Table3.110[[#This Row],[Net gas 8h, ml]]</f>
        <v>72.443719034573931</v>
      </c>
      <c r="AJ831" s="94">
        <f>Table3.110[[#This Row],[Net gas 8h, ml]]*Table3.110[[#This Row],[CH4 8h %]]%</f>
        <v>4.2337788379520109</v>
      </c>
      <c r="AK831" s="94">
        <f>Table3.110[[#This Row],[Net gas 8-24h, ml]]*Table3.110[[#This Row],[CH4 24h, %]]%</f>
        <v>6.1020541185754729</v>
      </c>
      <c r="AL831" s="94">
        <f>Table3.110[[#This Row],[CH4 8-24h, ml]]+Table3.110[[#This Row],[CH4 8h, ml]]</f>
        <v>10.335832956527483</v>
      </c>
      <c r="AM831" s="94">
        <f>(Table3.110[[#This Row],[Net gas 24h, ml]]/Table3.110[[#This Row],[DM Incubated, mg]])*1000</f>
        <v>157.81661699543312</v>
      </c>
      <c r="AN831" s="94">
        <f>'3.2 Digest'!X831</f>
        <v>44.993580779130106</v>
      </c>
      <c r="AO831" s="94">
        <f>Table3.110[[#This Row],[Digested feed, mg]]/Table3.110[[#This Row],[Net gas 24h, ml]]</f>
        <v>2.8510040093200151</v>
      </c>
      <c r="AP831" s="94">
        <f>Table3.110[[#This Row],[CH4 8h, ml]]/Table3.110[[#This Row],[Net gas 8h, ml]]%</f>
        <v>12.9</v>
      </c>
      <c r="AQ831" s="94">
        <f>Table3.110[[#This Row],[CH4 24h, ml]]/Table3.110[[#This Row],[Net gas 24h, ml]]%</f>
        <v>14.267396945199188</v>
      </c>
      <c r="AR831" s="94">
        <f>Table3.110[[#This Row],[CH4 24h, ml]]/Table3.110[[#This Row],[DM Incubated, mg]]*1000</f>
        <v>22.516323192223126</v>
      </c>
      <c r="AS831" s="94">
        <f>Table3.110[[#This Row],[CH4 24h, ml]]/Table3.110[[#This Row],[Digested feed, mg]]*1000</f>
        <v>50.043412420882788</v>
      </c>
      <c r="AT831" s="94">
        <f>Table3.110[[#This Row],[CH4 24h, ml]]/'3.2 Digest'!AA831</f>
        <v>-0.60308212455905541</v>
      </c>
      <c r="AU831" s="94">
        <f>((Table3.110[[#This Row],[CH4 24h, ml]]/28.9)*16.04)/Table3.110[[#This Row],[DM Incubated, mg]]*1000</f>
        <v>12.496948927448409</v>
      </c>
      <c r="AV831" s="94">
        <f>((Table3.110[[#This Row],[CH4 24h, ml]]/28.9)*16.04)/Table3.110[[#This Row],[Digested feed, mg]]*1000</f>
        <v>27.77495969657301</v>
      </c>
      <c r="AW831" s="64"/>
    </row>
    <row r="832" spans="2:49" x14ac:dyDescent="0.35">
      <c r="B832" s="90">
        <f t="shared" si="12"/>
        <v>822</v>
      </c>
      <c r="C832" s="140">
        <v>46055</v>
      </c>
      <c r="D832" s="6" t="s">
        <v>16</v>
      </c>
      <c r="E832" s="6" t="s">
        <v>362</v>
      </c>
      <c r="F832" s="6" t="s">
        <v>219</v>
      </c>
      <c r="G832" s="6" t="s">
        <v>253</v>
      </c>
      <c r="H832" s="6" t="s">
        <v>254</v>
      </c>
      <c r="I832" s="6" t="s">
        <v>22</v>
      </c>
      <c r="J832" s="129" t="s">
        <v>23</v>
      </c>
      <c r="K832" s="129" t="s">
        <v>215</v>
      </c>
      <c r="L832" s="6" t="s">
        <v>361</v>
      </c>
      <c r="M832" s="93">
        <v>29</v>
      </c>
      <c r="N832" s="93">
        <v>62</v>
      </c>
      <c r="O832" s="6">
        <v>1</v>
      </c>
      <c r="P832" s="129">
        <v>2</v>
      </c>
      <c r="Q832" s="6">
        <v>133</v>
      </c>
      <c r="R832" s="98">
        <v>0.50039999999999996</v>
      </c>
      <c r="S832" s="94">
        <f>((Table3.110[[#This Row],[Sample weight, g]]*'2.1. DM'!Q223)/100)*1000</f>
        <v>459.31270074420809</v>
      </c>
      <c r="T832" s="94">
        <f>'3.2 Digest'!W832</f>
        <v>221.11270074420813</v>
      </c>
      <c r="U832" s="153">
        <v>0.37638888888888888</v>
      </c>
      <c r="V832" s="154">
        <v>41</v>
      </c>
      <c r="W832" s="153">
        <v>0.71805555555555556</v>
      </c>
      <c r="X832" s="95">
        <v>74.5</v>
      </c>
      <c r="Y832" s="95">
        <v>12.7</v>
      </c>
      <c r="Z832" s="154">
        <v>40</v>
      </c>
      <c r="AA832" s="153">
        <v>0.39513888888888887</v>
      </c>
      <c r="AB832" s="154">
        <v>80.5</v>
      </c>
      <c r="AC832" s="154">
        <v>15.2</v>
      </c>
      <c r="AD832" s="91"/>
      <c r="AE832" s="94">
        <f>Table3.110[[#This Row],[Gas 8h, ml]]-Table3.110[[#This Row],[Gas 0h, ml]]</f>
        <v>33.5</v>
      </c>
      <c r="AF832" s="94">
        <f>Table3.110[[#This Row],[Gas 24h, ml]]-Table3.110[[#This Row],[V8 Push back, ml]]</f>
        <v>40.5</v>
      </c>
      <c r="AG832" s="94">
        <f>Table3.110[[#This Row],[GP 8h, ml]]-(AVERAGE(AE$790,AE$791,AE$840,AE$841,AE$860,AE$861))*$AG$8</f>
        <v>32.319990991876054</v>
      </c>
      <c r="AH832" s="94">
        <f>Table3.110[[#This Row],[GP 8-24h, ml]]-(AVERAGE(AF$790,AF$791,AF$840,AF$841,AF$860,AF$861))*$AG$8</f>
        <v>37.623728042697877</v>
      </c>
      <c r="AI832" s="94">
        <f>Table3.110[[#This Row],[Net gas 8-24h, ml]]+Table3.110[[#This Row],[Net gas 8h, ml]]</f>
        <v>69.943719034573931</v>
      </c>
      <c r="AJ832" s="94">
        <f>Table3.110[[#This Row],[Net gas 8h, ml]]*Table3.110[[#This Row],[CH4 8h %]]%</f>
        <v>4.1046388559682585</v>
      </c>
      <c r="AK832" s="94">
        <f>Table3.110[[#This Row],[Net gas 8-24h, ml]]*Table3.110[[#This Row],[CH4 24h, %]]%</f>
        <v>5.7188066624900769</v>
      </c>
      <c r="AL832" s="94">
        <f>Table3.110[[#This Row],[CH4 8-24h, ml]]+Table3.110[[#This Row],[CH4 8h, ml]]</f>
        <v>9.8234455184583354</v>
      </c>
      <c r="AM832" s="94">
        <f>(Table3.110[[#This Row],[Net gas 24h, ml]]/Table3.110[[#This Row],[DM Incubated, mg]])*1000</f>
        <v>152.27908769177645</v>
      </c>
      <c r="AN832" s="94">
        <f>'3.2 Digest'!X832</f>
        <v>48.13990564291975</v>
      </c>
      <c r="AO832" s="94">
        <f>Table3.110[[#This Row],[Digested feed, mg]]/Table3.110[[#This Row],[Net gas 24h, ml]]</f>
        <v>3.1612945922264979</v>
      </c>
      <c r="AP832" s="94">
        <f>Table3.110[[#This Row],[CH4 8h, ml]]/Table3.110[[#This Row],[Net gas 8h, ml]]%</f>
        <v>12.7</v>
      </c>
      <c r="AQ832" s="94">
        <f>Table3.110[[#This Row],[CH4 24h, ml]]/Table3.110[[#This Row],[Net gas 24h, ml]]%</f>
        <v>14.044785799283137</v>
      </c>
      <c r="AR832" s="94">
        <f>Table3.110[[#This Row],[CH4 24h, ml]]/Table3.110[[#This Row],[DM Incubated, mg]]*1000</f>
        <v>21.387271683412532</v>
      </c>
      <c r="AS832" s="94">
        <f>Table3.110[[#This Row],[CH4 24h, ml]]/Table3.110[[#This Row],[Digested feed, mg]]*1000</f>
        <v>44.42732364714989</v>
      </c>
      <c r="AT832" s="94">
        <f>Table3.110[[#This Row],[CH4 24h, ml]]/'3.2 Digest'!AA832</f>
        <v>-0.9411118840953473</v>
      </c>
      <c r="AU832" s="94">
        <f>((Table3.110[[#This Row],[CH4 24h, ml]]/28.9)*16.04)/Table3.110[[#This Row],[DM Incubated, mg]]*1000</f>
        <v>11.870305806295399</v>
      </c>
      <c r="AV832" s="94">
        <f>((Table3.110[[#This Row],[CH4 24h, ml]]/28.9)*16.04)/Table3.110[[#This Row],[Digested feed, mg]]*1000</f>
        <v>24.657933262985612</v>
      </c>
      <c r="AW832" s="64"/>
    </row>
    <row r="833" spans="2:49" x14ac:dyDescent="0.35">
      <c r="B833" s="90">
        <f t="shared" si="12"/>
        <v>823</v>
      </c>
      <c r="C833" s="140">
        <v>46055</v>
      </c>
      <c r="D833" s="6" t="s">
        <v>16</v>
      </c>
      <c r="E833" s="6" t="s">
        <v>362</v>
      </c>
      <c r="F833" s="6" t="s">
        <v>219</v>
      </c>
      <c r="G833" s="6" t="s">
        <v>253</v>
      </c>
      <c r="H833" s="6" t="s">
        <v>254</v>
      </c>
      <c r="I833" s="6" t="s">
        <v>22</v>
      </c>
      <c r="J833" s="129" t="s">
        <v>23</v>
      </c>
      <c r="K833" s="129" t="s">
        <v>215</v>
      </c>
      <c r="L833" s="6" t="s">
        <v>361</v>
      </c>
      <c r="M833" s="93">
        <v>29</v>
      </c>
      <c r="N833" s="93">
        <v>62</v>
      </c>
      <c r="O833" s="6">
        <v>1</v>
      </c>
      <c r="P833" s="129">
        <v>3</v>
      </c>
      <c r="Q833" s="6">
        <v>134</v>
      </c>
      <c r="R833" s="98">
        <v>0.5</v>
      </c>
      <c r="S833" s="94">
        <f>((Table3.110[[#This Row],[Sample weight, g]]*'2.1. DM'!Q223)/100)*1000</f>
        <v>458.9455443087611</v>
      </c>
      <c r="T833" s="94">
        <f>'3.2 Digest'!W833</f>
        <v>253.04554430876112</v>
      </c>
      <c r="U833" s="117">
        <v>0.37638888888888888</v>
      </c>
      <c r="V833" s="155">
        <v>41</v>
      </c>
      <c r="W833" s="117">
        <v>0.71875</v>
      </c>
      <c r="X833" s="97">
        <v>74.5</v>
      </c>
      <c r="Y833" s="97">
        <v>12.5</v>
      </c>
      <c r="Z833" s="155">
        <v>40</v>
      </c>
      <c r="AA833" s="117">
        <v>0.39513888888888887</v>
      </c>
      <c r="AB833" s="155">
        <v>85</v>
      </c>
      <c r="AC833" s="155">
        <v>15.1</v>
      </c>
      <c r="AD833" s="96"/>
      <c r="AE833" s="94">
        <f>Table3.110[[#This Row],[Gas 8h, ml]]-Table3.110[[#This Row],[Gas 0h, ml]]</f>
        <v>33.5</v>
      </c>
      <c r="AF833" s="94">
        <f>Table3.110[[#This Row],[Gas 24h, ml]]-Table3.110[[#This Row],[V8 Push back, ml]]</f>
        <v>45</v>
      </c>
      <c r="AG833" s="94">
        <f>Table3.110[[#This Row],[GP 8h, ml]]-(AVERAGE(AE$790,AE$791,AE$840,AE$841,AE$860,AE$861))*$AG$8</f>
        <v>32.319990991876054</v>
      </c>
      <c r="AH833" s="94">
        <f>Table3.110[[#This Row],[GP 8-24h, ml]]-(AVERAGE(AF$790,AF$791,AF$840,AF$841,AF$860,AF$861))*$AG$8</f>
        <v>42.123728042697877</v>
      </c>
      <c r="AI833" s="94">
        <f>Table3.110[[#This Row],[Net gas 8-24h, ml]]+Table3.110[[#This Row],[Net gas 8h, ml]]</f>
        <v>74.443719034573931</v>
      </c>
      <c r="AJ833" s="94">
        <f>Table3.110[[#This Row],[Net gas 8h, ml]]*Table3.110[[#This Row],[CH4 8h %]]%</f>
        <v>4.0399988739845067</v>
      </c>
      <c r="AK833" s="94">
        <f>Table3.110[[#This Row],[Net gas 8-24h, ml]]*Table3.110[[#This Row],[CH4 24h, %]]%</f>
        <v>6.3606829344473796</v>
      </c>
      <c r="AL833" s="94">
        <f>Table3.110[[#This Row],[CH4 8-24h, ml]]+Table3.110[[#This Row],[CH4 8h, ml]]</f>
        <v>10.400681808431887</v>
      </c>
      <c r="AM833" s="94">
        <f>(Table3.110[[#This Row],[Net gas 24h, ml]]/Table3.110[[#This Row],[DM Incubated, mg]])*1000</f>
        <v>162.20599580435413</v>
      </c>
      <c r="AN833" s="94">
        <f>'3.2 Digest'!X833</f>
        <v>55.136289576551967</v>
      </c>
      <c r="AO833" s="94">
        <f>Table3.110[[#This Row],[Digested feed, mg]]/Table3.110[[#This Row],[Net gas 24h, ml]]</f>
        <v>3.3991523743089602</v>
      </c>
      <c r="AP833" s="94">
        <f>Table3.110[[#This Row],[CH4 8h, ml]]/Table3.110[[#This Row],[Net gas 8h, ml]]%</f>
        <v>12.5</v>
      </c>
      <c r="AQ833" s="94">
        <f>Table3.110[[#This Row],[CH4 24h, ml]]/Table3.110[[#This Row],[Net gas 24h, ml]]%</f>
        <v>13.971201255543795</v>
      </c>
      <c r="AR833" s="94">
        <f>Table3.110[[#This Row],[CH4 24h, ml]]/Table3.110[[#This Row],[DM Incubated, mg]]*1000</f>
        <v>22.662126122385239</v>
      </c>
      <c r="AS833" s="94">
        <f>Table3.110[[#This Row],[CH4 24h, ml]]/Table3.110[[#This Row],[Digested feed, mg]]*1000</f>
        <v>41.102015199845539</v>
      </c>
      <c r="AT833" s="94">
        <f>Table3.110[[#This Row],[CH4 24h, ml]]/'3.2 Digest'!AA833</f>
        <v>2.3314949072213857</v>
      </c>
      <c r="AU833" s="94">
        <f>((Table3.110[[#This Row],[CH4 24h, ml]]/28.9)*16.04)/Table3.110[[#This Row],[DM Incubated, mg]]*1000</f>
        <v>12.577872076230424</v>
      </c>
      <c r="AV833" s="94">
        <f>((Table3.110[[#This Row],[CH4 24h, ml]]/28.9)*16.04)/Table3.110[[#This Row],[Digested feed, mg]]*1000</f>
        <v>22.812329543443681</v>
      </c>
      <c r="AW833" s="64"/>
    </row>
    <row r="834" spans="2:49" x14ac:dyDescent="0.35">
      <c r="B834" s="90">
        <f t="shared" si="12"/>
        <v>824</v>
      </c>
      <c r="C834" s="140">
        <v>46055</v>
      </c>
      <c r="D834" s="6" t="s">
        <v>16</v>
      </c>
      <c r="E834" s="6" t="s">
        <v>364</v>
      </c>
      <c r="F834" s="6" t="s">
        <v>219</v>
      </c>
      <c r="G834" s="6" t="s">
        <v>365</v>
      </c>
      <c r="H834" s="6" t="s">
        <v>366</v>
      </c>
      <c r="I834" s="6" t="s">
        <v>22</v>
      </c>
      <c r="J834" s="129" t="s">
        <v>23</v>
      </c>
      <c r="K834" s="129" t="s">
        <v>215</v>
      </c>
      <c r="L834" s="6" t="s">
        <v>363</v>
      </c>
      <c r="M834" s="93">
        <v>29</v>
      </c>
      <c r="N834" s="93">
        <v>62</v>
      </c>
      <c r="O834" s="6">
        <v>1</v>
      </c>
      <c r="P834" s="6">
        <v>1</v>
      </c>
      <c r="Q834" s="6">
        <v>135</v>
      </c>
      <c r="R834" s="98">
        <v>0.50060000000000004</v>
      </c>
      <c r="S834" s="94">
        <f>((Table3.110[[#This Row],[Sample weight, g]]*'2.1. DM'!Q225)/100)*1000</f>
        <v>453.82357463907198</v>
      </c>
      <c r="T834" s="94">
        <f>'3.2 Digest'!W834</f>
        <v>253.52357463907205</v>
      </c>
      <c r="U834" s="153">
        <v>0.37708333333333333</v>
      </c>
      <c r="V834" s="154">
        <v>41</v>
      </c>
      <c r="W834" s="153">
        <v>0.71875</v>
      </c>
      <c r="X834" s="95">
        <v>80</v>
      </c>
      <c r="Y834" s="95">
        <v>12.7</v>
      </c>
      <c r="Z834" s="154">
        <v>40</v>
      </c>
      <c r="AA834" s="153">
        <v>0.39583333333333331</v>
      </c>
      <c r="AB834" s="154">
        <v>85.5</v>
      </c>
      <c r="AC834" s="154">
        <v>16.7</v>
      </c>
      <c r="AD834" s="91"/>
      <c r="AE834" s="94">
        <f>Table3.110[[#This Row],[Gas 8h, ml]]-Table3.110[[#This Row],[Gas 0h, ml]]</f>
        <v>39</v>
      </c>
      <c r="AF834" s="94">
        <f>Table3.110[[#This Row],[Gas 24h, ml]]-Table3.110[[#This Row],[V8 Push back, ml]]</f>
        <v>45.5</v>
      </c>
      <c r="AG834" s="94">
        <f>Table3.110[[#This Row],[GP 8h, ml]]-(AVERAGE(AE$790,AE$791,AE$840,AE$841,AE$860,AE$861))*$AG$8</f>
        <v>37.819990991876054</v>
      </c>
      <c r="AH834" s="94">
        <f>Table3.110[[#This Row],[GP 8-24h, ml]]-(AVERAGE(AF$790,AF$791,AF$840,AF$841,AF$860,AF$861))*$AG$8</f>
        <v>42.623728042697877</v>
      </c>
      <c r="AI834" s="94">
        <f>Table3.110[[#This Row],[Net gas 8-24h, ml]]+Table3.110[[#This Row],[Net gas 8h, ml]]</f>
        <v>80.443719034573931</v>
      </c>
      <c r="AJ834" s="94">
        <f>Table3.110[[#This Row],[Net gas 8h, ml]]*Table3.110[[#This Row],[CH4 8h %]]%</f>
        <v>4.8031388559682586</v>
      </c>
      <c r="AK834" s="94">
        <f>Table3.110[[#This Row],[Net gas 8-24h, ml]]*Table3.110[[#This Row],[CH4 24h, %]]%</f>
        <v>7.1181625831305446</v>
      </c>
      <c r="AL834" s="94">
        <f>Table3.110[[#This Row],[CH4 8-24h, ml]]+Table3.110[[#This Row],[CH4 8h, ml]]</f>
        <v>11.921301439098803</v>
      </c>
      <c r="AM834" s="94">
        <f>(Table3.110[[#This Row],[Net gas 24h, ml]]/Table3.110[[#This Row],[DM Incubated, mg]])*1000</f>
        <v>177.25769116016329</v>
      </c>
      <c r="AN834" s="94">
        <f>'3.2 Digest'!X834</f>
        <v>55.863905889133356</v>
      </c>
      <c r="AO834" s="94">
        <f>Table3.110[[#This Row],[Digested feed, mg]]/Table3.110[[#This Row],[Net gas 24h, ml]]</f>
        <v>3.1515645681437241</v>
      </c>
      <c r="AP834" s="94">
        <f>Table3.110[[#This Row],[CH4 8h, ml]]/Table3.110[[#This Row],[Net gas 8h, ml]]%</f>
        <v>12.700000000000001</v>
      </c>
      <c r="AQ834" s="94">
        <f>Table3.110[[#This Row],[CH4 24h, ml]]/Table3.110[[#This Row],[Net gas 24h, ml]]%</f>
        <v>14.81943100365007</v>
      </c>
      <c r="AR834" s="94">
        <f>Table3.110[[#This Row],[CH4 24h, ml]]/Table3.110[[#This Row],[DM Incubated, mg]]*1000</f>
        <v>26.268581240143529</v>
      </c>
      <c r="AS834" s="94">
        <f>Table3.110[[#This Row],[CH4 24h, ml]]/Table3.110[[#This Row],[Digested feed, mg]]*1000</f>
        <v>47.022457205687964</v>
      </c>
      <c r="AT834" s="94">
        <f>Table3.110[[#This Row],[CH4 24h, ml]]/'3.2 Digest'!AA834</f>
        <v>-2.3154733349687611</v>
      </c>
      <c r="AU834" s="94">
        <f>((Table3.110[[#This Row],[CH4 24h, ml]]/28.9)*16.04)/Table3.110[[#This Row],[DM Incubated, mg]]*1000</f>
        <v>14.579517062003536</v>
      </c>
      <c r="AV834" s="94">
        <f>((Table3.110[[#This Row],[CH4 24h, ml]]/28.9)*16.04)/Table3.110[[#This Row],[Digested feed, mg]]*1000</f>
        <v>26.098277286478716</v>
      </c>
      <c r="AW834" s="64"/>
    </row>
    <row r="835" spans="2:49" x14ac:dyDescent="0.35">
      <c r="B835" s="90">
        <f t="shared" si="12"/>
        <v>825</v>
      </c>
      <c r="C835" s="140">
        <v>46055</v>
      </c>
      <c r="D835" s="6" t="s">
        <v>16</v>
      </c>
      <c r="E835" s="6" t="s">
        <v>364</v>
      </c>
      <c r="F835" s="6" t="s">
        <v>219</v>
      </c>
      <c r="G835" s="6" t="s">
        <v>365</v>
      </c>
      <c r="H835" s="6" t="s">
        <v>366</v>
      </c>
      <c r="I835" s="6" t="s">
        <v>22</v>
      </c>
      <c r="J835" s="129" t="s">
        <v>23</v>
      </c>
      <c r="K835" s="129" t="s">
        <v>215</v>
      </c>
      <c r="L835" s="6" t="s">
        <v>363</v>
      </c>
      <c r="M835" s="93">
        <v>29</v>
      </c>
      <c r="N835" s="93">
        <v>62</v>
      </c>
      <c r="O835" s="6">
        <v>1</v>
      </c>
      <c r="P835" s="129">
        <v>2</v>
      </c>
      <c r="Q835" s="6">
        <v>136</v>
      </c>
      <c r="R835" s="98">
        <v>0.50019999999999998</v>
      </c>
      <c r="S835" s="94">
        <f>((Table3.110[[#This Row],[Sample weight, g]]*'2.1. DM'!Q225)/100)*1000</f>
        <v>453.46095092781417</v>
      </c>
      <c r="T835" s="94">
        <f>'3.2 Digest'!W835</f>
        <v>188.16095092781421</v>
      </c>
      <c r="U835" s="117">
        <v>0.37708333333333333</v>
      </c>
      <c r="V835" s="155">
        <v>41.5</v>
      </c>
      <c r="W835" s="117">
        <v>0.71875</v>
      </c>
      <c r="X835" s="97">
        <v>79.5</v>
      </c>
      <c r="Y835" s="97">
        <v>12.7</v>
      </c>
      <c r="Z835" s="155">
        <v>40.5</v>
      </c>
      <c r="AA835" s="117">
        <v>0.39583333333333331</v>
      </c>
      <c r="AB835" s="155">
        <v>82</v>
      </c>
      <c r="AC835" s="155">
        <v>17.2</v>
      </c>
      <c r="AD835" s="96"/>
      <c r="AE835" s="94">
        <f>Table3.110[[#This Row],[Gas 8h, ml]]-Table3.110[[#This Row],[Gas 0h, ml]]</f>
        <v>38</v>
      </c>
      <c r="AF835" s="94">
        <f>Table3.110[[#This Row],[Gas 24h, ml]]-Table3.110[[#This Row],[V8 Push back, ml]]</f>
        <v>41.5</v>
      </c>
      <c r="AG835" s="94">
        <f>Table3.110[[#This Row],[GP 8h, ml]]-(AVERAGE(AE$790,AE$791,AE$840,AE$841,AE$860,AE$861))*$AG$8</f>
        <v>36.819990991876054</v>
      </c>
      <c r="AH835" s="94">
        <f>Table3.110[[#This Row],[GP 8-24h, ml]]-(AVERAGE(AF$790,AF$791,AF$840,AF$841,AF$860,AF$861))*$AG$8</f>
        <v>38.623728042697877</v>
      </c>
      <c r="AI835" s="94">
        <f>Table3.110[[#This Row],[Net gas 8-24h, ml]]+Table3.110[[#This Row],[Net gas 8h, ml]]</f>
        <v>75.443719034573931</v>
      </c>
      <c r="AJ835" s="94">
        <f>Table3.110[[#This Row],[Net gas 8h, ml]]*Table3.110[[#This Row],[CH4 8h %]]%</f>
        <v>4.6761388559682588</v>
      </c>
      <c r="AK835" s="94">
        <f>Table3.110[[#This Row],[Net gas 8-24h, ml]]*Table3.110[[#This Row],[CH4 24h, %]]%</f>
        <v>6.6432812233440339</v>
      </c>
      <c r="AL835" s="94">
        <f>Table3.110[[#This Row],[CH4 8-24h, ml]]+Table3.110[[#This Row],[CH4 8h, ml]]</f>
        <v>11.319420079312293</v>
      </c>
      <c r="AM835" s="94">
        <f>(Table3.110[[#This Row],[Net gas 24h, ml]]/Table3.110[[#This Row],[DM Incubated, mg]])*1000</f>
        <v>166.37313285788022</v>
      </c>
      <c r="AN835" s="94">
        <f>'3.2 Digest'!X835</f>
        <v>41.494411049688665</v>
      </c>
      <c r="AO835" s="94">
        <f>Table3.110[[#This Row],[Digested feed, mg]]/Table3.110[[#This Row],[Net gas 24h, ml]]</f>
        <v>2.4940572036432198</v>
      </c>
      <c r="AP835" s="94">
        <f>Table3.110[[#This Row],[CH4 8h, ml]]/Table3.110[[#This Row],[Net gas 8h, ml]]%</f>
        <v>12.7</v>
      </c>
      <c r="AQ835" s="94">
        <f>Table3.110[[#This Row],[CH4 24h, ml]]/Table3.110[[#This Row],[Net gas 24h, ml]]%</f>
        <v>15.003793853435157</v>
      </c>
      <c r="AR835" s="94">
        <f>Table3.110[[#This Row],[CH4 24h, ml]]/Table3.110[[#This Row],[DM Incubated, mg]]*1000</f>
        <v>24.962281881498143</v>
      </c>
      <c r="AS835" s="94">
        <f>Table3.110[[#This Row],[CH4 24h, ml]]/Table3.110[[#This Row],[Digested feed, mg]]*1000</f>
        <v>60.158178535432988</v>
      </c>
      <c r="AT835" s="94">
        <f>Table3.110[[#This Row],[CH4 24h, ml]]/'3.2 Digest'!AA835</f>
        <v>-0.28742622941696078</v>
      </c>
      <c r="AU835" s="94">
        <f>((Table3.110[[#This Row],[CH4 24h, ml]]/28.9)*16.04)/Table3.110[[#This Row],[DM Incubated, mg]]*1000</f>
        <v>13.854498317620422</v>
      </c>
      <c r="AV835" s="94">
        <f>((Table3.110[[#This Row],[CH4 24h, ml]]/28.9)*16.04)/Table3.110[[#This Row],[Digested feed, mg]]*1000</f>
        <v>33.388829886101909</v>
      </c>
      <c r="AW835" s="64"/>
    </row>
    <row r="836" spans="2:49" x14ac:dyDescent="0.35">
      <c r="B836" s="90">
        <f t="shared" si="12"/>
        <v>826</v>
      </c>
      <c r="C836" s="140">
        <v>46055</v>
      </c>
      <c r="D836" s="6" t="s">
        <v>16</v>
      </c>
      <c r="E836" s="6" t="s">
        <v>364</v>
      </c>
      <c r="F836" s="6" t="s">
        <v>219</v>
      </c>
      <c r="G836" s="6" t="s">
        <v>365</v>
      </c>
      <c r="H836" s="6" t="s">
        <v>366</v>
      </c>
      <c r="I836" s="6" t="s">
        <v>22</v>
      </c>
      <c r="J836" s="129" t="s">
        <v>23</v>
      </c>
      <c r="K836" s="129" t="s">
        <v>215</v>
      </c>
      <c r="L836" s="6" t="s">
        <v>363</v>
      </c>
      <c r="M836" s="93">
        <v>29</v>
      </c>
      <c r="N836" s="93">
        <v>62</v>
      </c>
      <c r="O836" s="6">
        <v>1</v>
      </c>
      <c r="P836" s="129">
        <v>3</v>
      </c>
      <c r="Q836" s="6">
        <v>137</v>
      </c>
      <c r="R836" s="98">
        <v>0.50029999999999997</v>
      </c>
      <c r="S836" s="94">
        <f>((Table3.110[[#This Row],[Sample weight, g]]*'2.1. DM'!Q225)/100)*1000</f>
        <v>453.55160685562856</v>
      </c>
      <c r="T836" s="94">
        <f>'3.2 Digest'!W836</f>
        <v>227.15160685562864</v>
      </c>
      <c r="U836" s="153">
        <v>0.37708333333333333</v>
      </c>
      <c r="V836" s="154">
        <v>41.5</v>
      </c>
      <c r="W836" s="153">
        <v>0.71944444444444444</v>
      </c>
      <c r="X836" s="95">
        <v>80.5</v>
      </c>
      <c r="Y836" s="95">
        <v>13.1</v>
      </c>
      <c r="Z836" s="154">
        <v>40.5</v>
      </c>
      <c r="AA836" s="153">
        <v>0.39652777777777776</v>
      </c>
      <c r="AB836" s="154">
        <v>85.5</v>
      </c>
      <c r="AC836" s="154">
        <v>17.2</v>
      </c>
      <c r="AD836" s="91"/>
      <c r="AE836" s="94">
        <f>Table3.110[[#This Row],[Gas 8h, ml]]-Table3.110[[#This Row],[Gas 0h, ml]]</f>
        <v>39</v>
      </c>
      <c r="AF836" s="94">
        <f>Table3.110[[#This Row],[Gas 24h, ml]]-Table3.110[[#This Row],[V8 Push back, ml]]</f>
        <v>45</v>
      </c>
      <c r="AG836" s="94">
        <f>Table3.110[[#This Row],[GP 8h, ml]]-(AVERAGE(AE$790,AE$791,AE$840,AE$841,AE$860,AE$861))*$AG$8</f>
        <v>37.819990991876054</v>
      </c>
      <c r="AH836" s="94">
        <f>Table3.110[[#This Row],[GP 8-24h, ml]]-(AVERAGE(AF$790,AF$791,AF$840,AF$841,AF$860,AF$861))*$AG$8</f>
        <v>42.123728042697877</v>
      </c>
      <c r="AI836" s="94">
        <f>Table3.110[[#This Row],[Net gas 8-24h, ml]]+Table3.110[[#This Row],[Net gas 8h, ml]]</f>
        <v>79.943719034573931</v>
      </c>
      <c r="AJ836" s="94">
        <f>Table3.110[[#This Row],[Net gas 8h, ml]]*Table3.110[[#This Row],[CH4 8h %]]%</f>
        <v>4.9544188199357633</v>
      </c>
      <c r="AK836" s="94">
        <f>Table3.110[[#This Row],[Net gas 8-24h, ml]]*Table3.110[[#This Row],[CH4 24h, %]]%</f>
        <v>7.2452812233440342</v>
      </c>
      <c r="AL836" s="94">
        <f>Table3.110[[#This Row],[CH4 8-24h, ml]]+Table3.110[[#This Row],[CH4 8h, ml]]</f>
        <v>12.199700043279798</v>
      </c>
      <c r="AM836" s="94">
        <f>(Table3.110[[#This Row],[Net gas 24h, ml]]/Table3.110[[#This Row],[DM Incubated, mg]])*1000</f>
        <v>176.26157161873107</v>
      </c>
      <c r="AN836" s="94">
        <f>'3.2 Digest'!X836</f>
        <v>50.082857920054501</v>
      </c>
      <c r="AO836" s="94">
        <f>Table3.110[[#This Row],[Digested feed, mg]]/Table3.110[[#This Row],[Net gas 24h, ml]]</f>
        <v>2.8413940406924336</v>
      </c>
      <c r="AP836" s="94">
        <f>Table3.110[[#This Row],[CH4 8h, ml]]/Table3.110[[#This Row],[Net gas 8h, ml]]%</f>
        <v>13.100000000000001</v>
      </c>
      <c r="AQ836" s="94">
        <f>Table3.110[[#This Row],[CH4 24h, ml]]/Table3.110[[#This Row],[Net gas 24h, ml]]%</f>
        <v>15.260360902153788</v>
      </c>
      <c r="AR836" s="94">
        <f>Table3.110[[#This Row],[CH4 24h, ml]]/Table3.110[[#This Row],[DM Incubated, mg]]*1000</f>
        <v>26.898151960826635</v>
      </c>
      <c r="AS836" s="94">
        <f>Table3.110[[#This Row],[CH4 24h, ml]]/Table3.110[[#This Row],[Digested feed, mg]]*1000</f>
        <v>53.707302414257597</v>
      </c>
      <c r="AT836" s="94">
        <f>Table3.110[[#This Row],[CH4 24h, ml]]/'3.2 Digest'!AA836</f>
        <v>-0.64476569893394298</v>
      </c>
      <c r="AU836" s="94">
        <f>((Table3.110[[#This Row],[CH4 24h, ml]]/28.9)*16.04)/Table3.110[[#This Row],[DM Incubated, mg]]*1000</f>
        <v>14.928939704209663</v>
      </c>
      <c r="AV836" s="94">
        <f>((Table3.110[[#This Row],[CH4 24h, ml]]/28.9)*16.04)/Table3.110[[#This Row],[Digested feed, mg]]*1000</f>
        <v>29.80848203199626</v>
      </c>
      <c r="AW836" s="64"/>
    </row>
    <row r="837" spans="2:49" x14ac:dyDescent="0.35">
      <c r="B837" s="90">
        <f t="shared" si="12"/>
        <v>827</v>
      </c>
      <c r="C837" s="140">
        <v>46055</v>
      </c>
      <c r="D837" s="6" t="s">
        <v>16</v>
      </c>
      <c r="E837" s="6" t="s">
        <v>368</v>
      </c>
      <c r="F837" s="6" t="s">
        <v>219</v>
      </c>
      <c r="G837" s="6" t="s">
        <v>365</v>
      </c>
      <c r="H837" s="6" t="s">
        <v>366</v>
      </c>
      <c r="I837" s="6" t="s">
        <v>22</v>
      </c>
      <c r="J837" s="129" t="s">
        <v>23</v>
      </c>
      <c r="K837" s="129" t="s">
        <v>215</v>
      </c>
      <c r="L837" s="6" t="s">
        <v>367</v>
      </c>
      <c r="M837" s="93">
        <v>29</v>
      </c>
      <c r="N837" s="93">
        <v>62</v>
      </c>
      <c r="O837" s="6">
        <v>1</v>
      </c>
      <c r="P837" s="6">
        <v>1</v>
      </c>
      <c r="Q837" s="6">
        <v>138</v>
      </c>
      <c r="R837" s="98">
        <v>0.50009999999999999</v>
      </c>
      <c r="S837" s="94">
        <f>((Table3.110[[#This Row],[Sample weight, g]]*'2.1. DM'!Q227)/100)*1000</f>
        <v>455.44553544645538</v>
      </c>
      <c r="T837" s="94">
        <f>'3.2 Digest'!W837</f>
        <v>218.94553544645544</v>
      </c>
      <c r="U837" s="117">
        <v>0.37708333333333333</v>
      </c>
      <c r="V837" s="155">
        <v>40.5</v>
      </c>
      <c r="W837" s="117">
        <v>0.71944444444444444</v>
      </c>
      <c r="X837" s="97">
        <v>75.5</v>
      </c>
      <c r="Y837" s="97">
        <v>12.8</v>
      </c>
      <c r="Z837" s="155">
        <v>40.5</v>
      </c>
      <c r="AA837" s="117">
        <v>0.3972222222222222</v>
      </c>
      <c r="AB837" s="155">
        <v>87</v>
      </c>
      <c r="AC837" s="155">
        <v>16.3</v>
      </c>
      <c r="AD837" s="96" t="s">
        <v>585</v>
      </c>
      <c r="AE837" s="94">
        <f>Table3.110[[#This Row],[Gas 8h, ml]]-Table3.110[[#This Row],[Gas 0h, ml]]</f>
        <v>35</v>
      </c>
      <c r="AF837" s="94">
        <f>Table3.110[[#This Row],[Gas 24h, ml]]-Table3.110[[#This Row],[V8 Push back, ml]]</f>
        <v>46.5</v>
      </c>
      <c r="AG837" s="94">
        <f>Table3.110[[#This Row],[GP 8h, ml]]-(AVERAGE(AE$790,AE$791,AE$840,AE$841,AE$860,AE$861))*$AG$8</f>
        <v>33.819990991876054</v>
      </c>
      <c r="AH837" s="94">
        <f>Table3.110[[#This Row],[GP 8-24h, ml]]-(AVERAGE(AF$790,AF$791,AF$840,AF$841,AF$860,AF$861))*$AG$8</f>
        <v>43.623728042697877</v>
      </c>
      <c r="AI837" s="94">
        <f>Table3.110[[#This Row],[Net gas 8-24h, ml]]+Table3.110[[#This Row],[Net gas 8h, ml]]</f>
        <v>77.443719034573931</v>
      </c>
      <c r="AJ837" s="94">
        <f>Table3.110[[#This Row],[Net gas 8h, ml]]*Table3.110[[#This Row],[CH4 8h %]]%</f>
        <v>4.328958846960135</v>
      </c>
      <c r="AK837" s="94">
        <f>Table3.110[[#This Row],[Net gas 8-24h, ml]]*Table3.110[[#This Row],[CH4 24h, %]]%</f>
        <v>7.1106676709597538</v>
      </c>
      <c r="AL837" s="94">
        <f>Table3.110[[#This Row],[CH4 8-24h, ml]]+Table3.110[[#This Row],[CH4 8h, ml]]</f>
        <v>11.439626517919889</v>
      </c>
      <c r="AM837" s="94">
        <f>(Table3.110[[#This Row],[Net gas 24h, ml]]/Table3.110[[#This Row],[DM Incubated, mg]])*1000</f>
        <v>170.03947345462262</v>
      </c>
      <c r="AN837" s="94">
        <f>'3.2 Digest'!X837</f>
        <v>48.072825048516883</v>
      </c>
      <c r="AO837" s="94">
        <f>Table3.110[[#This Row],[Digested feed, mg]]/Table3.110[[#This Row],[Net gas 24h, ml]]</f>
        <v>2.8271567814132159</v>
      </c>
      <c r="AP837" s="94">
        <f>Table3.110[[#This Row],[CH4 8h, ml]]/Table3.110[[#This Row],[Net gas 8h, ml]]%</f>
        <v>12.8</v>
      </c>
      <c r="AQ837" s="94">
        <f>Table3.110[[#This Row],[CH4 24h, ml]]/Table3.110[[#This Row],[Net gas 24h, ml]]%</f>
        <v>14.771535588073693</v>
      </c>
      <c r="AR837" s="94">
        <f>Table3.110[[#This Row],[CH4 24h, ml]]/Table3.110[[#This Row],[DM Incubated, mg]]*1000</f>
        <v>25.117441335122699</v>
      </c>
      <c r="AS837" s="94">
        <f>Table3.110[[#This Row],[CH4 24h, ml]]/Table3.110[[#This Row],[Digested feed, mg]]*1000</f>
        <v>52.248731606210463</v>
      </c>
      <c r="AT837" s="94">
        <f>Table3.110[[#This Row],[CH4 24h, ml]]/'3.2 Digest'!AA837</f>
        <v>-1.887680721723183</v>
      </c>
      <c r="AU837" s="94">
        <f>((Table3.110[[#This Row],[CH4 24h, ml]]/28.9)*16.04)/Table3.110[[#This Row],[DM Incubated, mg]]*1000</f>
        <v>13.940614498801663</v>
      </c>
      <c r="AV837" s="94">
        <f>((Table3.110[[#This Row],[CH4 24h, ml]]/28.9)*16.04)/Table3.110[[#This Row],[Digested feed, mg]]*1000</f>
        <v>28.998949998741029</v>
      </c>
      <c r="AW837" s="64"/>
    </row>
    <row r="838" spans="2:49" x14ac:dyDescent="0.35">
      <c r="B838" s="90">
        <f t="shared" si="12"/>
        <v>828</v>
      </c>
      <c r="C838" s="140">
        <v>46055</v>
      </c>
      <c r="D838" s="6" t="s">
        <v>16</v>
      </c>
      <c r="E838" s="6" t="s">
        <v>368</v>
      </c>
      <c r="F838" s="6" t="s">
        <v>219</v>
      </c>
      <c r="G838" s="6" t="s">
        <v>365</v>
      </c>
      <c r="H838" s="6" t="s">
        <v>366</v>
      </c>
      <c r="I838" s="6" t="s">
        <v>22</v>
      </c>
      <c r="J838" s="129" t="s">
        <v>23</v>
      </c>
      <c r="K838" s="129" t="s">
        <v>215</v>
      </c>
      <c r="L838" s="6" t="s">
        <v>367</v>
      </c>
      <c r="M838" s="93">
        <v>29</v>
      </c>
      <c r="N838" s="93">
        <v>62</v>
      </c>
      <c r="O838" s="6">
        <v>1</v>
      </c>
      <c r="P838" s="129">
        <v>2</v>
      </c>
      <c r="Q838" s="6">
        <v>139</v>
      </c>
      <c r="R838" s="98">
        <v>0.50060000000000004</v>
      </c>
      <c r="S838" s="94">
        <f>((Table3.110[[#This Row],[Sample weight, g]]*'2.1. DM'!Q227)/100)*1000</f>
        <v>455.90088991100896</v>
      </c>
      <c r="T838" s="94">
        <f>'3.2 Digest'!W838</f>
        <v>206.20088991100903</v>
      </c>
      <c r="U838" s="117">
        <v>0.37777777777777777</v>
      </c>
      <c r="V838" s="155">
        <v>41.5</v>
      </c>
      <c r="W838" s="117">
        <v>0.72013888888888888</v>
      </c>
      <c r="X838" s="97">
        <v>75.5</v>
      </c>
      <c r="Y838" s="97">
        <v>12.9</v>
      </c>
      <c r="Z838" s="155">
        <v>40</v>
      </c>
      <c r="AA838" s="117">
        <v>0.3972222222222222</v>
      </c>
      <c r="AB838" s="155">
        <v>76.3</v>
      </c>
      <c r="AC838" s="155">
        <v>16.600000000000001</v>
      </c>
      <c r="AD838" s="96"/>
      <c r="AE838" s="94">
        <f>Table3.110[[#This Row],[Gas 8h, ml]]-Table3.110[[#This Row],[Gas 0h, ml]]</f>
        <v>34</v>
      </c>
      <c r="AF838" s="94">
        <f>Table3.110[[#This Row],[Gas 24h, ml]]-Table3.110[[#This Row],[V8 Push back, ml]]</f>
        <v>36.299999999999997</v>
      </c>
      <c r="AG838" s="94">
        <f>Table3.110[[#This Row],[GP 8h, ml]]-(AVERAGE(AE$790,AE$791,AE$840,AE$841,AE$860,AE$861))*$AG$8</f>
        <v>32.819990991876054</v>
      </c>
      <c r="AH838" s="94">
        <f>Table3.110[[#This Row],[GP 8-24h, ml]]-(AVERAGE(AF$790,AF$791,AF$840,AF$841,AF$860,AF$861))*$AG$8</f>
        <v>33.423728042697874</v>
      </c>
      <c r="AI838" s="94">
        <f>Table3.110[[#This Row],[Net gas 8-24h, ml]]+Table3.110[[#This Row],[Net gas 8h, ml]]</f>
        <v>66.243719034573928</v>
      </c>
      <c r="AJ838" s="94">
        <f>Table3.110[[#This Row],[Net gas 8h, ml]]*Table3.110[[#This Row],[CH4 8h %]]%</f>
        <v>4.2337788379520109</v>
      </c>
      <c r="AK838" s="94">
        <f>Table3.110[[#This Row],[Net gas 8-24h, ml]]*Table3.110[[#This Row],[CH4 24h, %]]%</f>
        <v>5.5483388550878479</v>
      </c>
      <c r="AL838" s="94">
        <f>Table3.110[[#This Row],[CH4 8-24h, ml]]+Table3.110[[#This Row],[CH4 8h, ml]]</f>
        <v>9.7821176930398579</v>
      </c>
      <c r="AM838" s="94">
        <f>(Table3.110[[#This Row],[Net gas 24h, ml]]/Table3.110[[#This Row],[DM Incubated, mg]])*1000</f>
        <v>145.30289477501256</v>
      </c>
      <c r="AN838" s="94">
        <f>'3.2 Digest'!X838</f>
        <v>45.229323845202209</v>
      </c>
      <c r="AO838" s="94">
        <f>Table3.110[[#This Row],[Digested feed, mg]]/Table3.110[[#This Row],[Net gas 24h, ml]]</f>
        <v>3.1127613744540619</v>
      </c>
      <c r="AP838" s="94">
        <f>Table3.110[[#This Row],[CH4 8h, ml]]/Table3.110[[#This Row],[Net gas 8h, ml]]%</f>
        <v>12.9</v>
      </c>
      <c r="AQ838" s="94">
        <f>Table3.110[[#This Row],[CH4 24h, ml]]/Table3.110[[#This Row],[Net gas 24h, ml]]%</f>
        <v>14.766860670872621</v>
      </c>
      <c r="AR838" s="94">
        <f>Table3.110[[#This Row],[CH4 24h, ml]]/Table3.110[[#This Row],[DM Incubated, mg]]*1000</f>
        <v>21.456676022170761</v>
      </c>
      <c r="AS838" s="94">
        <f>Table3.110[[#This Row],[CH4 24h, ml]]/Table3.110[[#This Row],[Digested feed, mg]]*1000</f>
        <v>47.439745275888804</v>
      </c>
      <c r="AT838" s="94">
        <f>Table3.110[[#This Row],[CH4 24h, ml]]/'3.2 Digest'!AA838</f>
        <v>-0.82424733715467513</v>
      </c>
      <c r="AU838" s="94">
        <f>((Table3.110[[#This Row],[CH4 24h, ml]]/28.9)*16.04)/Table3.110[[#This Row],[DM Incubated, mg]]*1000</f>
        <v>11.908826415073323</v>
      </c>
      <c r="AV838" s="94">
        <f>((Table3.110[[#This Row],[CH4 24h, ml]]/28.9)*16.04)/Table3.110[[#This Row],[Digested feed, mg]]*1000</f>
        <v>26.329879384956968</v>
      </c>
      <c r="AW838" s="64"/>
    </row>
    <row r="839" spans="2:49" x14ac:dyDescent="0.35">
      <c r="B839" s="90">
        <f t="shared" si="12"/>
        <v>829</v>
      </c>
      <c r="C839" s="140">
        <v>46055</v>
      </c>
      <c r="D839" s="6" t="s">
        <v>16</v>
      </c>
      <c r="E839" s="6" t="s">
        <v>368</v>
      </c>
      <c r="F839" s="6" t="s">
        <v>219</v>
      </c>
      <c r="G839" s="6" t="s">
        <v>365</v>
      </c>
      <c r="H839" s="6" t="s">
        <v>366</v>
      </c>
      <c r="I839" s="6" t="s">
        <v>22</v>
      </c>
      <c r="J839" s="129" t="s">
        <v>23</v>
      </c>
      <c r="K839" s="129" t="s">
        <v>215</v>
      </c>
      <c r="L839" s="6" t="s">
        <v>367</v>
      </c>
      <c r="M839" s="93">
        <v>29</v>
      </c>
      <c r="N839" s="93">
        <v>62</v>
      </c>
      <c r="O839" s="6">
        <v>1</v>
      </c>
      <c r="P839" s="129">
        <v>3</v>
      </c>
      <c r="Q839" s="6">
        <v>140</v>
      </c>
      <c r="R839" s="98">
        <v>0.50009999999999999</v>
      </c>
      <c r="S839" s="94">
        <f>((Table3.110[[#This Row],[Sample weight, g]]*'2.1. DM'!Q227)/100)*1000</f>
        <v>455.44553544645538</v>
      </c>
      <c r="T839" s="94">
        <f>'3.2 Digest'!W839</f>
        <v>165.94553544645538</v>
      </c>
      <c r="U839" s="117">
        <v>0.37777777777777777</v>
      </c>
      <c r="V839" s="155">
        <v>41</v>
      </c>
      <c r="W839" s="117">
        <v>0.72013888888888888</v>
      </c>
      <c r="X839" s="97">
        <v>74.5</v>
      </c>
      <c r="Y839" s="97">
        <v>12.9</v>
      </c>
      <c r="Z839" s="155">
        <v>40</v>
      </c>
      <c r="AA839" s="117">
        <v>0.39791666666666664</v>
      </c>
      <c r="AB839" s="155">
        <v>83</v>
      </c>
      <c r="AC839" s="155">
        <v>16.399999999999999</v>
      </c>
      <c r="AD839" s="96"/>
      <c r="AE839" s="94">
        <f>Table3.110[[#This Row],[Gas 8h, ml]]-Table3.110[[#This Row],[Gas 0h, ml]]</f>
        <v>33.5</v>
      </c>
      <c r="AF839" s="94">
        <f>Table3.110[[#This Row],[Gas 24h, ml]]-Table3.110[[#This Row],[V8 Push back, ml]]</f>
        <v>43</v>
      </c>
      <c r="AG839" s="94">
        <f>Table3.110[[#This Row],[GP 8h, ml]]-(AVERAGE(AE$790,AE$791,AE$840,AE$841,AE$860,AE$861))*$AG$8</f>
        <v>32.319990991876054</v>
      </c>
      <c r="AH839" s="94">
        <f>Table3.110[[#This Row],[GP 8-24h, ml]]-(AVERAGE(AF$790,AF$791,AF$840,AF$841,AF$860,AF$861))*$AG$8</f>
        <v>40.123728042697877</v>
      </c>
      <c r="AI839" s="94">
        <f>Table3.110[[#This Row],[Net gas 8-24h, ml]]+Table3.110[[#This Row],[Net gas 8h, ml]]</f>
        <v>72.443719034573931</v>
      </c>
      <c r="AJ839" s="94">
        <f>Table3.110[[#This Row],[Net gas 8h, ml]]*Table3.110[[#This Row],[CH4 8h %]]%</f>
        <v>4.1692788379520112</v>
      </c>
      <c r="AK839" s="94">
        <f>Table3.110[[#This Row],[Net gas 8-24h, ml]]*Table3.110[[#This Row],[CH4 24h, %]]%</f>
        <v>6.5802913990024514</v>
      </c>
      <c r="AL839" s="94">
        <f>Table3.110[[#This Row],[CH4 8-24h, ml]]+Table3.110[[#This Row],[CH4 8h, ml]]</f>
        <v>10.749570236954462</v>
      </c>
      <c r="AM839" s="94">
        <f>(Table3.110[[#This Row],[Net gas 24h, ml]]/Table3.110[[#This Row],[DM Incubated, mg]])*1000</f>
        <v>159.06121236551414</v>
      </c>
      <c r="AN839" s="94">
        <f>'3.2 Digest'!X839</f>
        <v>36.435868294061876</v>
      </c>
      <c r="AO839" s="94">
        <f>Table3.110[[#This Row],[Digested feed, mg]]/Table3.110[[#This Row],[Net gas 24h, ml]]</f>
        <v>2.2906821689711636</v>
      </c>
      <c r="AP839" s="94">
        <f>Table3.110[[#This Row],[CH4 8h, ml]]/Table3.110[[#This Row],[Net gas 8h, ml]]%</f>
        <v>12.900000000000002</v>
      </c>
      <c r="AQ839" s="94">
        <f>Table3.110[[#This Row],[CH4 24h, ml]]/Table3.110[[#This Row],[Net gas 24h, ml]]%</f>
        <v>14.838512406885412</v>
      </c>
      <c r="AR839" s="94">
        <f>Table3.110[[#This Row],[CH4 24h, ml]]/Table3.110[[#This Row],[DM Incubated, mg]]*1000</f>
        <v>23.602317731399168</v>
      </c>
      <c r="AS839" s="94">
        <f>Table3.110[[#This Row],[CH4 24h, ml]]/Table3.110[[#This Row],[Digested feed, mg]]*1000</f>
        <v>64.777700756058962</v>
      </c>
      <c r="AT839" s="94">
        <f>Table3.110[[#This Row],[CH4 24h, ml]]/'3.2 Digest'!AA839</f>
        <v>-0.36038056005438607</v>
      </c>
      <c r="AU839" s="94">
        <f>((Table3.110[[#This Row],[CH4 24h, ml]]/28.9)*16.04)/Table3.110[[#This Row],[DM Incubated, mg]]*1000</f>
        <v>13.099694685523966</v>
      </c>
      <c r="AV839" s="94">
        <f>((Table3.110[[#This Row],[CH4 24h, ml]]/28.9)*16.04)/Table3.110[[#This Row],[Digested feed, mg]]*1000</f>
        <v>35.952744641079086</v>
      </c>
      <c r="AW839" s="64"/>
    </row>
    <row r="840" spans="2:49" x14ac:dyDescent="0.35">
      <c r="B840" s="90">
        <f t="shared" si="12"/>
        <v>830</v>
      </c>
      <c r="C840" s="322">
        <v>46055</v>
      </c>
      <c r="D840" s="6"/>
      <c r="E840" s="6" t="s">
        <v>541</v>
      </c>
      <c r="F840" s="6" t="s">
        <v>538</v>
      </c>
      <c r="G840" s="6" t="s">
        <v>542</v>
      </c>
      <c r="H840" s="6" t="s">
        <v>541</v>
      </c>
      <c r="I840" s="277"/>
      <c r="J840" s="278"/>
      <c r="K840" s="6"/>
      <c r="L840" s="6" t="s">
        <v>543</v>
      </c>
      <c r="M840" s="93">
        <v>29</v>
      </c>
      <c r="N840" s="93">
        <v>62</v>
      </c>
      <c r="O840" s="6">
        <v>1</v>
      </c>
      <c r="P840" s="129">
        <v>1</v>
      </c>
      <c r="Q840" s="6">
        <v>141</v>
      </c>
      <c r="R840" s="98"/>
      <c r="S840" s="94"/>
      <c r="T840" s="94"/>
      <c r="U840" s="153">
        <v>0.37777777777777777</v>
      </c>
      <c r="V840" s="154">
        <v>40</v>
      </c>
      <c r="W840" s="153">
        <v>0.70416666666666672</v>
      </c>
      <c r="X840" s="95">
        <v>40.5</v>
      </c>
      <c r="Y840" s="95"/>
      <c r="Z840" s="154"/>
      <c r="AA840" s="153"/>
      <c r="AB840" s="154"/>
      <c r="AC840" s="154"/>
      <c r="AD840" s="91"/>
      <c r="AE840" s="94">
        <f>Table3.110[[#This Row],[Gas 8h, ml]]-Table3.110[[#This Row],[Gas 0h, ml]]</f>
        <v>0.5</v>
      </c>
      <c r="AF840" s="94"/>
      <c r="AG840" s="94"/>
      <c r="AH840" s="94"/>
      <c r="AI840" s="94"/>
      <c r="AJ840" s="94"/>
      <c r="AK840" s="94"/>
      <c r="AL840" s="94"/>
      <c r="AM840" s="94"/>
      <c r="AN840" s="94"/>
      <c r="AO840" s="94"/>
      <c r="AP840" s="94"/>
      <c r="AQ840" s="94"/>
      <c r="AR840" s="94"/>
      <c r="AS840" s="94"/>
      <c r="AT840" s="94"/>
      <c r="AU840" s="94"/>
      <c r="AV840" s="94"/>
      <c r="AW840" s="64"/>
    </row>
    <row r="841" spans="2:49" x14ac:dyDescent="0.35">
      <c r="B841" s="90">
        <f t="shared" si="12"/>
        <v>831</v>
      </c>
      <c r="C841" s="322">
        <v>46055</v>
      </c>
      <c r="D841" s="6"/>
      <c r="E841" s="6" t="s">
        <v>541</v>
      </c>
      <c r="F841" s="6" t="s">
        <v>538</v>
      </c>
      <c r="G841" s="6" t="s">
        <v>542</v>
      </c>
      <c r="H841" s="6" t="s">
        <v>541</v>
      </c>
      <c r="I841" s="277"/>
      <c r="J841" s="278"/>
      <c r="K841" s="6"/>
      <c r="L841" s="6" t="s">
        <v>543</v>
      </c>
      <c r="M841" s="93">
        <v>29</v>
      </c>
      <c r="N841" s="93">
        <v>62</v>
      </c>
      <c r="O841" s="6">
        <v>1</v>
      </c>
      <c r="P841" s="6">
        <v>2</v>
      </c>
      <c r="Q841" s="6">
        <v>142</v>
      </c>
      <c r="R841" s="98"/>
      <c r="S841" s="94"/>
      <c r="T841" s="94"/>
      <c r="U841" s="117">
        <v>0.37847222222222221</v>
      </c>
      <c r="V841" s="155">
        <v>40</v>
      </c>
      <c r="W841" s="117">
        <v>0.70416666666666672</v>
      </c>
      <c r="X841" s="97">
        <v>40</v>
      </c>
      <c r="Y841" s="97"/>
      <c r="Z841" s="155"/>
      <c r="AA841" s="117"/>
      <c r="AB841" s="155"/>
      <c r="AC841" s="155"/>
      <c r="AD841" s="96"/>
      <c r="AE841" s="94">
        <f>Table3.110[[#This Row],[Gas 8h, ml]]-Table3.110[[#This Row],[Gas 0h, ml]]</f>
        <v>0</v>
      </c>
      <c r="AF841" s="94"/>
      <c r="AG841" s="94"/>
      <c r="AH841" s="94"/>
      <c r="AI841" s="94"/>
      <c r="AJ841" s="94"/>
      <c r="AK841" s="94"/>
      <c r="AL841" s="94"/>
      <c r="AM841" s="94"/>
      <c r="AN841" s="94"/>
      <c r="AO841" s="94"/>
      <c r="AP841" s="94"/>
      <c r="AQ841" s="94"/>
      <c r="AR841" s="94"/>
      <c r="AS841" s="94"/>
      <c r="AT841" s="94"/>
      <c r="AU841" s="94"/>
      <c r="AV841" s="94"/>
      <c r="AW841" s="64"/>
    </row>
    <row r="842" spans="2:49" x14ac:dyDescent="0.35">
      <c r="B842" s="90">
        <f t="shared" si="12"/>
        <v>832</v>
      </c>
      <c r="C842" s="140">
        <v>46055</v>
      </c>
      <c r="D842" s="6" t="s">
        <v>16</v>
      </c>
      <c r="E842" s="6" t="s">
        <v>370</v>
      </c>
      <c r="F842" s="6" t="s">
        <v>219</v>
      </c>
      <c r="G842" s="6" t="s">
        <v>365</v>
      </c>
      <c r="H842" s="6" t="s">
        <v>366</v>
      </c>
      <c r="I842" s="6" t="s">
        <v>22</v>
      </c>
      <c r="J842" s="129" t="s">
        <v>23</v>
      </c>
      <c r="K842" s="129" t="s">
        <v>215</v>
      </c>
      <c r="L842" s="6" t="s">
        <v>369</v>
      </c>
      <c r="M842" s="93">
        <v>29</v>
      </c>
      <c r="N842" s="93">
        <v>62</v>
      </c>
      <c r="O842" s="6">
        <v>1</v>
      </c>
      <c r="P842" s="129">
        <v>1</v>
      </c>
      <c r="Q842" s="6">
        <v>143</v>
      </c>
      <c r="R842" s="98">
        <v>0.50029999999999997</v>
      </c>
      <c r="S842" s="94">
        <f>((Table3.110[[#This Row],[Sample weight, g]]*'2.1. DM'!Q229)/100)*1000</f>
        <v>458.14788605697112</v>
      </c>
      <c r="T842" s="94">
        <f>'3.2 Digest'!W842</f>
        <v>186.24788605697108</v>
      </c>
      <c r="U842" s="153">
        <v>0.37847222222222221</v>
      </c>
      <c r="V842" s="154">
        <v>41.5</v>
      </c>
      <c r="W842" s="153">
        <v>0.72083333333333333</v>
      </c>
      <c r="X842" s="95">
        <v>79</v>
      </c>
      <c r="Y842" s="95">
        <v>13.2</v>
      </c>
      <c r="Z842" s="154">
        <v>40</v>
      </c>
      <c r="AA842" s="153">
        <v>0.39791666666666664</v>
      </c>
      <c r="AB842" s="154">
        <v>84.5</v>
      </c>
      <c r="AC842" s="154">
        <v>17.100000000000001</v>
      </c>
      <c r="AD842" s="91"/>
      <c r="AE842" s="94">
        <f>Table3.110[[#This Row],[Gas 8h, ml]]-Table3.110[[#This Row],[Gas 0h, ml]]</f>
        <v>37.5</v>
      </c>
      <c r="AF842" s="94">
        <f>Table3.110[[#This Row],[Gas 24h, ml]]-Table3.110[[#This Row],[V8 Push back, ml]]</f>
        <v>44.5</v>
      </c>
      <c r="AG842" s="94">
        <f>Table3.110[[#This Row],[GP 8h, ml]]-(AVERAGE(AE$790,AE$791,AE$840,AE$841,AE$860,AE$861))*$AG$8</f>
        <v>36.319990991876054</v>
      </c>
      <c r="AH842" s="94">
        <f>Table3.110[[#This Row],[GP 8-24h, ml]]-(AVERAGE(AF$790,AF$791,AF$840,AF$841,AF$860,AF$861))*$AG$8</f>
        <v>41.623728042697877</v>
      </c>
      <c r="AI842" s="94">
        <f>Table3.110[[#This Row],[Net gas 8-24h, ml]]+Table3.110[[#This Row],[Net gas 8h, ml]]</f>
        <v>77.943719034573931</v>
      </c>
      <c r="AJ842" s="94">
        <f>Table3.110[[#This Row],[Net gas 8h, ml]]*Table3.110[[#This Row],[CH4 8h %]]%</f>
        <v>4.7942388109276397</v>
      </c>
      <c r="AK842" s="94">
        <f>Table3.110[[#This Row],[Net gas 8-24h, ml]]*Table3.110[[#This Row],[CH4 24h, %]]%</f>
        <v>7.1176574953013372</v>
      </c>
      <c r="AL842" s="94">
        <f>Table3.110[[#This Row],[CH4 8-24h, ml]]+Table3.110[[#This Row],[CH4 8h, ml]]</f>
        <v>11.911896306228977</v>
      </c>
      <c r="AM842" s="94">
        <f>(Table3.110[[#This Row],[Net gas 24h, ml]]/Table3.110[[#This Row],[DM Incubated, mg]])*1000</f>
        <v>170.12785916223032</v>
      </c>
      <c r="AN842" s="94">
        <f>'3.2 Digest'!X842</f>
        <v>40.652350851142202</v>
      </c>
      <c r="AO842" s="94">
        <f>Table3.110[[#This Row],[Digested feed, mg]]/Table3.110[[#This Row],[Net gas 24h, ml]]</f>
        <v>2.3895175693933215</v>
      </c>
      <c r="AP842" s="94">
        <f>Table3.110[[#This Row],[CH4 8h, ml]]/Table3.110[[#This Row],[Net gas 8h, ml]]%</f>
        <v>13.200000000000001</v>
      </c>
      <c r="AQ842" s="94">
        <f>Table3.110[[#This Row],[CH4 24h, ml]]/Table3.110[[#This Row],[Net gas 24h, ml]]%</f>
        <v>15.282689168251197</v>
      </c>
      <c r="AR842" s="94">
        <f>Table3.110[[#This Row],[CH4 24h, ml]]/Table3.110[[#This Row],[DM Incubated, mg]]*1000</f>
        <v>26.000111904363827</v>
      </c>
      <c r="AS842" s="94">
        <f>Table3.110[[#This Row],[CH4 24h, ml]]/Table3.110[[#This Row],[Digested feed, mg]]*1000</f>
        <v>63.95721615108836</v>
      </c>
      <c r="AT842" s="94">
        <f>Table3.110[[#This Row],[CH4 24h, ml]]/'3.2 Digest'!AA842</f>
        <v>-1.2723139373668348</v>
      </c>
      <c r="AU842" s="94">
        <f>((Table3.110[[#This Row],[CH4 24h, ml]]/28.9)*16.04)/Table3.110[[#This Row],[DM Incubated, mg]]*1000</f>
        <v>14.430511935847605</v>
      </c>
      <c r="AV842" s="94">
        <f>((Table3.110[[#This Row],[CH4 24h, ml]]/28.9)*16.04)/Table3.110[[#This Row],[Digested feed, mg]]*1000</f>
        <v>35.497361490085034</v>
      </c>
      <c r="AW842" s="64"/>
    </row>
    <row r="843" spans="2:49" x14ac:dyDescent="0.35">
      <c r="B843" s="90">
        <f t="shared" si="12"/>
        <v>833</v>
      </c>
      <c r="C843" s="140">
        <v>46055</v>
      </c>
      <c r="D843" s="6" t="s">
        <v>16</v>
      </c>
      <c r="E843" s="6" t="s">
        <v>370</v>
      </c>
      <c r="F843" s="6" t="s">
        <v>219</v>
      </c>
      <c r="G843" s="6" t="s">
        <v>365</v>
      </c>
      <c r="H843" s="6" t="s">
        <v>366</v>
      </c>
      <c r="I843" s="6" t="s">
        <v>22</v>
      </c>
      <c r="J843" s="129" t="s">
        <v>23</v>
      </c>
      <c r="K843" s="129" t="s">
        <v>215</v>
      </c>
      <c r="L843" s="6" t="s">
        <v>369</v>
      </c>
      <c r="M843" s="93">
        <v>29</v>
      </c>
      <c r="N843" s="93">
        <v>62</v>
      </c>
      <c r="O843" s="6">
        <v>1</v>
      </c>
      <c r="P843" s="129">
        <v>2</v>
      </c>
      <c r="Q843" s="6">
        <v>144</v>
      </c>
      <c r="R843" s="98">
        <v>0.50039999999999996</v>
      </c>
      <c r="S843" s="94">
        <f>((Table3.110[[#This Row],[Sample weight, g]]*'2.1. DM'!Q229)/100)*1000</f>
        <v>458.23946068940307</v>
      </c>
      <c r="T843" s="94">
        <f>'3.2 Digest'!W843</f>
        <v>143.53946068940309</v>
      </c>
      <c r="U843" s="117">
        <v>0.37916666666666665</v>
      </c>
      <c r="V843" s="155">
        <v>40.5</v>
      </c>
      <c r="W843" s="117">
        <v>0.72083333333333333</v>
      </c>
      <c r="X843" s="97">
        <v>77</v>
      </c>
      <c r="Y843" s="97">
        <v>13.2</v>
      </c>
      <c r="Z843" s="155">
        <v>40</v>
      </c>
      <c r="AA843" s="117">
        <v>0.39861111111111114</v>
      </c>
      <c r="AB843" s="155">
        <v>76.5</v>
      </c>
      <c r="AC843" s="155">
        <v>17.7</v>
      </c>
      <c r="AD843" s="96"/>
      <c r="AE843" s="94">
        <f>Table3.110[[#This Row],[Gas 8h, ml]]-Table3.110[[#This Row],[Gas 0h, ml]]</f>
        <v>36.5</v>
      </c>
      <c r="AF843" s="94">
        <f>Table3.110[[#This Row],[Gas 24h, ml]]-Table3.110[[#This Row],[V8 Push back, ml]]</f>
        <v>36.5</v>
      </c>
      <c r="AG843" s="94">
        <f>Table3.110[[#This Row],[GP 8h, ml]]-(AVERAGE(AE$790,AE$791,AE$840,AE$841,AE$860,AE$861))*$AG$8</f>
        <v>35.319990991876054</v>
      </c>
      <c r="AH843" s="94">
        <f>Table3.110[[#This Row],[GP 8-24h, ml]]-(AVERAGE(AF$790,AF$791,AF$840,AF$841,AF$860,AF$861))*$AG$8</f>
        <v>33.623728042697877</v>
      </c>
      <c r="AI843" s="94">
        <f>Table3.110[[#This Row],[Net gas 8-24h, ml]]+Table3.110[[#This Row],[Net gas 8h, ml]]</f>
        <v>68.943719034573931</v>
      </c>
      <c r="AJ843" s="94">
        <f>Table3.110[[#This Row],[Net gas 8h, ml]]*Table3.110[[#This Row],[CH4 8h %]]%</f>
        <v>4.6622388109276391</v>
      </c>
      <c r="AK843" s="94">
        <f>Table3.110[[#This Row],[Net gas 8-24h, ml]]*Table3.110[[#This Row],[CH4 24h, %]]%</f>
        <v>5.9513998635575236</v>
      </c>
      <c r="AL843" s="94">
        <f>Table3.110[[#This Row],[CH4 8-24h, ml]]+Table3.110[[#This Row],[CH4 8h, ml]]</f>
        <v>10.613638674485163</v>
      </c>
      <c r="AM843" s="94">
        <f>(Table3.110[[#This Row],[Net gas 24h, ml]]/Table3.110[[#This Row],[DM Incubated, mg]])*1000</f>
        <v>150.45347454549386</v>
      </c>
      <c r="AN843" s="94">
        <f>'3.2 Digest'!X843</f>
        <v>31.324116101536447</v>
      </c>
      <c r="AO843" s="94">
        <f>Table3.110[[#This Row],[Digested feed, mg]]/Table3.110[[#This Row],[Net gas 24h, ml]]</f>
        <v>2.0819802398159117</v>
      </c>
      <c r="AP843" s="94">
        <f>Table3.110[[#This Row],[CH4 8h, ml]]/Table3.110[[#This Row],[Net gas 8h, ml]]%</f>
        <v>13.2</v>
      </c>
      <c r="AQ843" s="94">
        <f>Table3.110[[#This Row],[CH4 24h, ml]]/Table3.110[[#This Row],[Net gas 24h, ml]]%</f>
        <v>15.39464192403463</v>
      </c>
      <c r="AR843" s="94">
        <f>Table3.110[[#This Row],[CH4 24h, ml]]/Table3.110[[#This Row],[DM Incubated, mg]]*1000</f>
        <v>23.161773668547365</v>
      </c>
      <c r="AS843" s="94">
        <f>Table3.110[[#This Row],[CH4 24h, ml]]/Table3.110[[#This Row],[Digested feed, mg]]*1000</f>
        <v>73.942305645493647</v>
      </c>
      <c r="AT843" s="94">
        <f>Table3.110[[#This Row],[CH4 24h, ml]]/'3.2 Digest'!AA843</f>
        <v>-0.399731573429422</v>
      </c>
      <c r="AU843" s="94">
        <f>((Table3.110[[#This Row],[CH4 24h, ml]]/28.9)*16.04)/Table3.110[[#This Row],[DM Incubated, mg]]*1000</f>
        <v>12.85518510877162</v>
      </c>
      <c r="AV843" s="94">
        <f>((Table3.110[[#This Row],[CH4 24h, ml]]/28.9)*16.04)/Table3.110[[#This Row],[Digested feed, mg]]*1000</f>
        <v>41.039258911893363</v>
      </c>
      <c r="AW843" s="64"/>
    </row>
    <row r="844" spans="2:49" x14ac:dyDescent="0.35">
      <c r="B844" s="90">
        <f t="shared" ref="B844:B907" si="13">B843+1</f>
        <v>834</v>
      </c>
      <c r="C844" s="140">
        <v>46055</v>
      </c>
      <c r="D844" s="6" t="s">
        <v>16</v>
      </c>
      <c r="E844" s="6" t="s">
        <v>370</v>
      </c>
      <c r="F844" s="6" t="s">
        <v>219</v>
      </c>
      <c r="G844" s="6" t="s">
        <v>365</v>
      </c>
      <c r="H844" s="6" t="s">
        <v>366</v>
      </c>
      <c r="I844" s="6" t="s">
        <v>22</v>
      </c>
      <c r="J844" s="129" t="s">
        <v>23</v>
      </c>
      <c r="K844" s="129" t="s">
        <v>215</v>
      </c>
      <c r="L844" s="6" t="s">
        <v>369</v>
      </c>
      <c r="M844" s="93">
        <v>29</v>
      </c>
      <c r="N844" s="93">
        <v>62</v>
      </c>
      <c r="O844" s="6">
        <v>1</v>
      </c>
      <c r="P844" s="129">
        <v>3</v>
      </c>
      <c r="Q844" s="6">
        <v>145</v>
      </c>
      <c r="R844" s="98">
        <v>0.50019999999999998</v>
      </c>
      <c r="S844" s="94">
        <f>((Table3.110[[#This Row],[Sample weight, g]]*'2.1. DM'!Q229)/100)*1000</f>
        <v>458.05631142453916</v>
      </c>
      <c r="T844" s="94">
        <f>'3.2 Digest'!W844</f>
        <v>167.95631142453914</v>
      </c>
      <c r="U844" s="153">
        <v>0.37916666666666665</v>
      </c>
      <c r="V844" s="154">
        <v>40.5</v>
      </c>
      <c r="W844" s="153">
        <v>0.72152777777777777</v>
      </c>
      <c r="X844" s="95">
        <v>77</v>
      </c>
      <c r="Y844" s="95">
        <v>13.3</v>
      </c>
      <c r="Z844" s="154">
        <v>40</v>
      </c>
      <c r="AA844" s="153">
        <v>0.39861111111111114</v>
      </c>
      <c r="AB844" s="154">
        <v>80.5</v>
      </c>
      <c r="AC844" s="154">
        <v>17.5</v>
      </c>
      <c r="AD844" s="91"/>
      <c r="AE844" s="94">
        <f>Table3.110[[#This Row],[Gas 8h, ml]]-Table3.110[[#This Row],[Gas 0h, ml]]</f>
        <v>36.5</v>
      </c>
      <c r="AF844" s="94">
        <f>Table3.110[[#This Row],[Gas 24h, ml]]-Table3.110[[#This Row],[V8 Push back, ml]]</f>
        <v>40.5</v>
      </c>
      <c r="AG844" s="94">
        <f>Table3.110[[#This Row],[GP 8h, ml]]-(AVERAGE(AE$790,AE$791,AE$840,AE$841,AE$860,AE$861))*$AG$8</f>
        <v>35.319990991876054</v>
      </c>
      <c r="AH844" s="94">
        <f>Table3.110[[#This Row],[GP 8-24h, ml]]-(AVERAGE(AF$790,AF$791,AF$840,AF$841,AF$860,AF$861))*$AG$8</f>
        <v>37.623728042697877</v>
      </c>
      <c r="AI844" s="94">
        <f>Table3.110[[#This Row],[Net gas 8-24h, ml]]+Table3.110[[#This Row],[Net gas 8h, ml]]</f>
        <v>72.943719034573931</v>
      </c>
      <c r="AJ844" s="94">
        <f>Table3.110[[#This Row],[Net gas 8h, ml]]*Table3.110[[#This Row],[CH4 8h %]]%</f>
        <v>4.6975588019195156</v>
      </c>
      <c r="AK844" s="94">
        <f>Table3.110[[#This Row],[Net gas 8-24h, ml]]*Table3.110[[#This Row],[CH4 24h, %]]%</f>
        <v>6.5841524074721285</v>
      </c>
      <c r="AL844" s="94">
        <f>Table3.110[[#This Row],[CH4 8-24h, ml]]+Table3.110[[#This Row],[CH4 8h, ml]]</f>
        <v>11.281711209391645</v>
      </c>
      <c r="AM844" s="94">
        <f>(Table3.110[[#This Row],[Net gas 24h, ml]]/Table3.110[[#This Row],[DM Incubated, mg]])*1000</f>
        <v>159.24618265322337</v>
      </c>
      <c r="AN844" s="94">
        <f>'3.2 Digest'!X844</f>
        <v>36.667175461942847</v>
      </c>
      <c r="AO844" s="94">
        <f>Table3.110[[#This Row],[Digested feed, mg]]/Table3.110[[#This Row],[Net gas 24h, ml]]</f>
        <v>2.3025465886230871</v>
      </c>
      <c r="AP844" s="94">
        <f>Table3.110[[#This Row],[CH4 8h, ml]]/Table3.110[[#This Row],[Net gas 8h, ml]]%</f>
        <v>13.3</v>
      </c>
      <c r="AQ844" s="94">
        <f>Table3.110[[#This Row],[CH4 24h, ml]]/Table3.110[[#This Row],[Net gas 24h, ml]]%</f>
        <v>15.466323020964053</v>
      </c>
      <c r="AR844" s="94">
        <f>Table3.110[[#This Row],[CH4 24h, ml]]/Table3.110[[#This Row],[DM Incubated, mg]]*1000</f>
        <v>24.629529007701947</v>
      </c>
      <c r="AS844" s="94">
        <f>Table3.110[[#This Row],[CH4 24h, ml]]/Table3.110[[#This Row],[Digested feed, mg]]*1000</f>
        <v>67.170510674499965</v>
      </c>
      <c r="AT844" s="94">
        <f>Table3.110[[#This Row],[CH4 24h, ml]]/'3.2 Digest'!AA844</f>
        <v>-0.67530746737053859</v>
      </c>
      <c r="AU844" s="94">
        <f>((Table3.110[[#This Row],[CH4 24h, ml]]/28.9)*16.04)/Table3.110[[#This Row],[DM Incubated, mg]]*1000</f>
        <v>13.669814715693398</v>
      </c>
      <c r="AV844" s="94">
        <f>((Table3.110[[#This Row],[CH4 24h, ml]]/28.9)*16.04)/Table3.110[[#This Row],[Digested feed, mg]]*1000</f>
        <v>37.280795543909321</v>
      </c>
      <c r="AW844" s="64"/>
    </row>
    <row r="845" spans="2:49" x14ac:dyDescent="0.35">
      <c r="B845" s="90">
        <f t="shared" si="13"/>
        <v>835</v>
      </c>
      <c r="C845" s="140">
        <v>46055</v>
      </c>
      <c r="D845" s="6" t="s">
        <v>16</v>
      </c>
      <c r="E845" s="6" t="s">
        <v>372</v>
      </c>
      <c r="F845" s="6" t="s">
        <v>219</v>
      </c>
      <c r="G845" s="6" t="s">
        <v>220</v>
      </c>
      <c r="H845" s="6" t="s">
        <v>221</v>
      </c>
      <c r="I845" s="6" t="s">
        <v>22</v>
      </c>
      <c r="J845" s="129" t="s">
        <v>23</v>
      </c>
      <c r="K845" s="129" t="s">
        <v>215</v>
      </c>
      <c r="L845" s="6" t="s">
        <v>371</v>
      </c>
      <c r="M845" s="93">
        <v>29</v>
      </c>
      <c r="N845" s="93">
        <v>62</v>
      </c>
      <c r="O845" s="6">
        <v>1</v>
      </c>
      <c r="P845" s="129">
        <v>1</v>
      </c>
      <c r="Q845" s="6">
        <v>146</v>
      </c>
      <c r="R845" s="98">
        <v>0.50019999999999998</v>
      </c>
      <c r="S845" s="94">
        <f>((Table3.110[[#This Row],[Sample weight, g]]*'2.1. DM'!Q231)/100)*1000</f>
        <v>447.89214433130559</v>
      </c>
      <c r="T845" s="94">
        <f>'3.2 Digest'!W845</f>
        <v>167.19214433130554</v>
      </c>
      <c r="U845" s="117">
        <v>0.37986111111111109</v>
      </c>
      <c r="V845" s="155">
        <v>40.5</v>
      </c>
      <c r="W845" s="117">
        <v>0.72152777777777777</v>
      </c>
      <c r="X845" s="97">
        <v>69.5</v>
      </c>
      <c r="Y845" s="97">
        <v>13.6</v>
      </c>
      <c r="Z845" s="155">
        <v>40</v>
      </c>
      <c r="AA845" s="117">
        <v>0.39930555555555558</v>
      </c>
      <c r="AB845" s="155">
        <v>76.5</v>
      </c>
      <c r="AC845" s="155">
        <v>17</v>
      </c>
      <c r="AD845" s="96"/>
      <c r="AE845" s="94">
        <f>Table3.110[[#This Row],[Gas 8h, ml]]-Table3.110[[#This Row],[Gas 0h, ml]]</f>
        <v>29</v>
      </c>
      <c r="AF845" s="94">
        <f>Table3.110[[#This Row],[Gas 24h, ml]]-Table3.110[[#This Row],[V8 Push back, ml]]</f>
        <v>36.5</v>
      </c>
      <c r="AG845" s="94">
        <f>Table3.110[[#This Row],[GP 8h, ml]]-(AVERAGE(AE$790,AE$791,AE$840,AE$841,AE$860,AE$861))*$AG$8</f>
        <v>27.81999099187605</v>
      </c>
      <c r="AH845" s="94">
        <f>Table3.110[[#This Row],[GP 8-24h, ml]]-(AVERAGE(AF$790,AF$791,AF$840,AF$841,AF$860,AF$861))*$AG$8</f>
        <v>33.623728042697877</v>
      </c>
      <c r="AI845" s="94">
        <f>Table3.110[[#This Row],[Net gas 8-24h, ml]]+Table3.110[[#This Row],[Net gas 8h, ml]]</f>
        <v>61.443719034573931</v>
      </c>
      <c r="AJ845" s="94">
        <f>Table3.110[[#This Row],[Net gas 8h, ml]]*Table3.110[[#This Row],[CH4 8h %]]%</f>
        <v>3.7835187748951431</v>
      </c>
      <c r="AK845" s="94">
        <f>Table3.110[[#This Row],[Net gas 8-24h, ml]]*Table3.110[[#This Row],[CH4 24h, %]]%</f>
        <v>5.7160337672586392</v>
      </c>
      <c r="AL845" s="94">
        <f>Table3.110[[#This Row],[CH4 8-24h, ml]]+Table3.110[[#This Row],[CH4 8h, ml]]</f>
        <v>9.4995525421537828</v>
      </c>
      <c r="AM845" s="94">
        <f>(Table3.110[[#This Row],[Net gas 24h, ml]]/Table3.110[[#This Row],[DM Incubated, mg]])*1000</f>
        <v>137.18418555053745</v>
      </c>
      <c r="AN845" s="94">
        <f>'3.2 Digest'!X845</f>
        <v>37.328661921704438</v>
      </c>
      <c r="AO845" s="94">
        <f>Table3.110[[#This Row],[Digested feed, mg]]/Table3.110[[#This Row],[Net gas 24h, ml]]</f>
        <v>2.7210615984561048</v>
      </c>
      <c r="AP845" s="94">
        <f>Table3.110[[#This Row],[CH4 8h, ml]]/Table3.110[[#This Row],[Net gas 8h, ml]]%</f>
        <v>13.600000000000001</v>
      </c>
      <c r="AQ845" s="94">
        <f>Table3.110[[#This Row],[CH4 24h, ml]]/Table3.110[[#This Row],[Net gas 24h, ml]]%</f>
        <v>15.460575452485964</v>
      </c>
      <c r="AR845" s="94">
        <f>Table3.110[[#This Row],[CH4 24h, ml]]/Table3.110[[#This Row],[DM Incubated, mg]]*1000</f>
        <v>21.209464515919191</v>
      </c>
      <c r="AS845" s="94">
        <f>Table3.110[[#This Row],[CH4 24h, ml]]/Table3.110[[#This Row],[Digested feed, mg]]*1000</f>
        <v>56.818175160966931</v>
      </c>
      <c r="AT845" s="94">
        <f>Table3.110[[#This Row],[CH4 24h, ml]]/'3.2 Digest'!AA845</f>
        <v>-0.23713521778944374</v>
      </c>
      <c r="AU845" s="94">
        <f>((Table3.110[[#This Row],[CH4 24h, ml]]/28.9)*16.04)/Table3.110[[#This Row],[DM Incubated, mg]]*1000</f>
        <v>11.771619752088021</v>
      </c>
      <c r="AV845" s="94">
        <f>((Table3.110[[#This Row],[CH4 24h, ml]]/28.9)*16.04)/Table3.110[[#This Row],[Digested feed, mg]]*1000</f>
        <v>31.535070227747728</v>
      </c>
      <c r="AW845" s="64"/>
    </row>
    <row r="846" spans="2:49" x14ac:dyDescent="0.35">
      <c r="B846" s="90">
        <f t="shared" si="13"/>
        <v>836</v>
      </c>
      <c r="C846" s="140">
        <v>46055</v>
      </c>
      <c r="D846" s="6" t="s">
        <v>16</v>
      </c>
      <c r="E846" s="6" t="s">
        <v>372</v>
      </c>
      <c r="F846" s="6" t="s">
        <v>219</v>
      </c>
      <c r="G846" s="6" t="s">
        <v>220</v>
      </c>
      <c r="H846" s="6" t="s">
        <v>221</v>
      </c>
      <c r="I846" s="6" t="s">
        <v>22</v>
      </c>
      <c r="J846" s="129" t="s">
        <v>23</v>
      </c>
      <c r="K846" s="129" t="s">
        <v>215</v>
      </c>
      <c r="L846" s="6" t="s">
        <v>371</v>
      </c>
      <c r="M846" s="93">
        <v>29</v>
      </c>
      <c r="N846" s="93">
        <v>62</v>
      </c>
      <c r="O846" s="6">
        <v>1</v>
      </c>
      <c r="P846" s="129">
        <v>2</v>
      </c>
      <c r="Q846" s="6">
        <v>147</v>
      </c>
      <c r="R846" s="98">
        <v>0.50009999999999999</v>
      </c>
      <c r="S846" s="94">
        <f>((Table3.110[[#This Row],[Sample weight, g]]*'2.1. DM'!Q231)/100)*1000</f>
        <v>447.80260171948413</v>
      </c>
      <c r="T846" s="94">
        <f>'3.2 Digest'!W846</f>
        <v>171.60260171948414</v>
      </c>
      <c r="U846" s="153">
        <v>0.38055555555555554</v>
      </c>
      <c r="V846" s="154">
        <v>41</v>
      </c>
      <c r="W846" s="153">
        <v>0.72152777777777777</v>
      </c>
      <c r="X846" s="95">
        <v>69.5</v>
      </c>
      <c r="Y846" s="95">
        <v>13.4</v>
      </c>
      <c r="Z846" s="154">
        <v>40</v>
      </c>
      <c r="AA846" s="153">
        <v>0.39930555555555558</v>
      </c>
      <c r="AB846" s="154">
        <v>79</v>
      </c>
      <c r="AC846" s="154">
        <v>16.600000000000001</v>
      </c>
      <c r="AD846" s="91"/>
      <c r="AE846" s="94">
        <f>Table3.110[[#This Row],[Gas 8h, ml]]-Table3.110[[#This Row],[Gas 0h, ml]]</f>
        <v>28.5</v>
      </c>
      <c r="AF846" s="94">
        <f>Table3.110[[#This Row],[Gas 24h, ml]]-Table3.110[[#This Row],[V8 Push back, ml]]</f>
        <v>39</v>
      </c>
      <c r="AG846" s="94">
        <f>Table3.110[[#This Row],[GP 8h, ml]]-(AVERAGE(AE$790,AE$791,AE$840,AE$841,AE$860,AE$861))*$AG$8</f>
        <v>27.31999099187605</v>
      </c>
      <c r="AH846" s="94">
        <f>Table3.110[[#This Row],[GP 8-24h, ml]]-(AVERAGE(AF$790,AF$791,AF$840,AF$841,AF$860,AF$861))*$AG$8</f>
        <v>36.123728042697877</v>
      </c>
      <c r="AI846" s="94">
        <f>Table3.110[[#This Row],[Net gas 8-24h, ml]]+Table3.110[[#This Row],[Net gas 8h, ml]]</f>
        <v>63.443719034573931</v>
      </c>
      <c r="AJ846" s="94">
        <f>Table3.110[[#This Row],[Net gas 8h, ml]]*Table3.110[[#This Row],[CH4 8h %]]%</f>
        <v>3.6608787929113911</v>
      </c>
      <c r="AK846" s="94">
        <f>Table3.110[[#This Row],[Net gas 8-24h, ml]]*Table3.110[[#This Row],[CH4 24h, %]]%</f>
        <v>5.9965388550878478</v>
      </c>
      <c r="AL846" s="94">
        <f>Table3.110[[#This Row],[CH4 8-24h, ml]]+Table3.110[[#This Row],[CH4 8h, ml]]</f>
        <v>9.6574176479992389</v>
      </c>
      <c r="AM846" s="94">
        <f>(Table3.110[[#This Row],[Net gas 24h, ml]]/Table3.110[[#This Row],[DM Incubated, mg]])*1000</f>
        <v>141.67787054153121</v>
      </c>
      <c r="AN846" s="94">
        <f>'3.2 Digest'!X846</f>
        <v>38.321037229475664</v>
      </c>
      <c r="AO846" s="94">
        <f>Table3.110[[#This Row],[Digested feed, mg]]/Table3.110[[#This Row],[Net gas 24h, ml]]</f>
        <v>2.7048004803433505</v>
      </c>
      <c r="AP846" s="94">
        <f>Table3.110[[#This Row],[CH4 8h, ml]]/Table3.110[[#This Row],[Net gas 8h, ml]]%</f>
        <v>13.4</v>
      </c>
      <c r="AQ846" s="94">
        <f>Table3.110[[#This Row],[CH4 24h, ml]]/Table3.110[[#This Row],[Net gas 24h, ml]]%</f>
        <v>15.222023227762525</v>
      </c>
      <c r="AR846" s="94">
        <f>Table3.110[[#This Row],[CH4 24h, ml]]/Table3.110[[#This Row],[DM Incubated, mg]]*1000</f>
        <v>21.5662383624312</v>
      </c>
      <c r="AS846" s="94">
        <f>Table3.110[[#This Row],[CH4 24h, ml]]/Table3.110[[#This Row],[Digested feed, mg]]*1000</f>
        <v>56.277804364446965</v>
      </c>
      <c r="AT846" s="94">
        <f>Table3.110[[#This Row],[CH4 24h, ml]]/'3.2 Digest'!AA846</f>
        <v>-0.25520464600608411</v>
      </c>
      <c r="AU846" s="94">
        <f>((Table3.110[[#This Row],[CH4 24h, ml]]/28.9)*16.04)/Table3.110[[#This Row],[DM Incubated, mg]]*1000</f>
        <v>11.969635409460087</v>
      </c>
      <c r="AV846" s="94">
        <f>((Table3.110[[#This Row],[CH4 24h, ml]]/28.9)*16.04)/Table3.110[[#This Row],[Digested feed, mg]]*1000</f>
        <v>31.235155086703436</v>
      </c>
      <c r="AW846" s="64"/>
    </row>
    <row r="847" spans="2:49" x14ac:dyDescent="0.35">
      <c r="B847" s="90">
        <f t="shared" si="13"/>
        <v>837</v>
      </c>
      <c r="C847" s="140">
        <v>46055</v>
      </c>
      <c r="D847" s="6" t="s">
        <v>16</v>
      </c>
      <c r="E847" s="6" t="s">
        <v>372</v>
      </c>
      <c r="F847" s="6" t="s">
        <v>219</v>
      </c>
      <c r="G847" s="6" t="s">
        <v>220</v>
      </c>
      <c r="H847" s="6" t="s">
        <v>221</v>
      </c>
      <c r="I847" s="6" t="s">
        <v>22</v>
      </c>
      <c r="J847" s="129" t="s">
        <v>23</v>
      </c>
      <c r="K847" s="129" t="s">
        <v>215</v>
      </c>
      <c r="L847" s="6" t="s">
        <v>371</v>
      </c>
      <c r="M847" s="93">
        <v>29</v>
      </c>
      <c r="N847" s="93">
        <v>62</v>
      </c>
      <c r="O847" s="6">
        <v>1</v>
      </c>
      <c r="P847" s="129">
        <v>3</v>
      </c>
      <c r="Q847" s="6">
        <v>148</v>
      </c>
      <c r="R847" s="98">
        <v>0.50009999999999999</v>
      </c>
      <c r="S847" s="94">
        <f>((Table3.110[[#This Row],[Sample weight, g]]*'2.1. DM'!Q231)/100)*1000</f>
        <v>447.80260171948413</v>
      </c>
      <c r="T847" s="94">
        <f>'3.2 Digest'!W847</f>
        <v>224.20260171948411</v>
      </c>
      <c r="U847" s="117">
        <v>0.38055555555555554</v>
      </c>
      <c r="V847" s="155">
        <v>41</v>
      </c>
      <c r="W847" s="117">
        <v>0.72222222222222221</v>
      </c>
      <c r="X847" s="97">
        <v>70</v>
      </c>
      <c r="Y847" s="97">
        <v>13.4</v>
      </c>
      <c r="Z847" s="155">
        <v>40</v>
      </c>
      <c r="AA847" s="117">
        <v>0.4</v>
      </c>
      <c r="AB847" s="155">
        <v>81</v>
      </c>
      <c r="AC847" s="155">
        <v>16.7</v>
      </c>
      <c r="AD847" s="96"/>
      <c r="AE847" s="94">
        <f>Table3.110[[#This Row],[Gas 8h, ml]]-Table3.110[[#This Row],[Gas 0h, ml]]</f>
        <v>29</v>
      </c>
      <c r="AF847" s="94">
        <f>Table3.110[[#This Row],[Gas 24h, ml]]-Table3.110[[#This Row],[V8 Push back, ml]]</f>
        <v>41</v>
      </c>
      <c r="AG847" s="94">
        <f>Table3.110[[#This Row],[GP 8h, ml]]-(AVERAGE(AE$790,AE$791,AE$840,AE$841,AE$860,AE$861))*$AG$8</f>
        <v>27.81999099187605</v>
      </c>
      <c r="AH847" s="94">
        <f>Table3.110[[#This Row],[GP 8-24h, ml]]-(AVERAGE(AF$790,AF$791,AF$840,AF$841,AF$860,AF$861))*$AG$8</f>
        <v>38.123728042697877</v>
      </c>
      <c r="AI847" s="94">
        <f>Table3.110[[#This Row],[Net gas 8-24h, ml]]+Table3.110[[#This Row],[Net gas 8h, ml]]</f>
        <v>65.943719034573931</v>
      </c>
      <c r="AJ847" s="94">
        <f>Table3.110[[#This Row],[Net gas 8h, ml]]*Table3.110[[#This Row],[CH4 8h %]]%</f>
        <v>3.7278787929113908</v>
      </c>
      <c r="AK847" s="94">
        <f>Table3.110[[#This Row],[Net gas 8-24h, ml]]*Table3.110[[#This Row],[CH4 24h, %]]%</f>
        <v>6.3666625831305446</v>
      </c>
      <c r="AL847" s="94">
        <f>Table3.110[[#This Row],[CH4 8-24h, ml]]+Table3.110[[#This Row],[CH4 8h, ml]]</f>
        <v>10.094541376041935</v>
      </c>
      <c r="AM847" s="94">
        <f>(Table3.110[[#This Row],[Net gas 24h, ml]]/Table3.110[[#This Row],[DM Incubated, mg]])*1000</f>
        <v>147.26068759172347</v>
      </c>
      <c r="AN847" s="94">
        <f>'3.2 Digest'!X847</f>
        <v>50.067284303080214</v>
      </c>
      <c r="AO847" s="94">
        <f>Table3.110[[#This Row],[Digested feed, mg]]/Table3.110[[#This Row],[Net gas 24h, ml]]</f>
        <v>3.3999083612790462</v>
      </c>
      <c r="AP847" s="94">
        <f>Table3.110[[#This Row],[CH4 8h, ml]]/Table3.110[[#This Row],[Net gas 8h, ml]]%</f>
        <v>13.400000000000002</v>
      </c>
      <c r="AQ847" s="94">
        <f>Table3.110[[#This Row],[CH4 24h, ml]]/Table3.110[[#This Row],[Net gas 24h, ml]]%</f>
        <v>15.307813274452146</v>
      </c>
      <c r="AR847" s="94">
        <f>Table3.110[[#This Row],[CH4 24h, ml]]/Table3.110[[#This Row],[DM Incubated, mg]]*1000</f>
        <v>22.542391083215353</v>
      </c>
      <c r="AS847" s="94">
        <f>Table3.110[[#This Row],[CH4 24h, ml]]/Table3.110[[#This Row],[Digested feed, mg]]*1000</f>
        <v>45.024193736484541</v>
      </c>
      <c r="AT847" s="94">
        <f>Table3.110[[#This Row],[CH4 24h, ml]]/'3.2 Digest'!AA847</f>
        <v>-0.87089342848613316</v>
      </c>
      <c r="AU847" s="94">
        <f>((Table3.110[[#This Row],[CH4 24h, ml]]/28.9)*16.04)/Table3.110[[#This Row],[DM Incubated, mg]]*1000</f>
        <v>12.511417057950666</v>
      </c>
      <c r="AV847" s="94">
        <f>((Table3.110[[#This Row],[CH4 24h, ml]]/28.9)*16.04)/Table3.110[[#This Row],[Digested feed, mg]]*1000</f>
        <v>24.98920648903848</v>
      </c>
      <c r="AW847" s="64"/>
    </row>
    <row r="848" spans="2:49" x14ac:dyDescent="0.35">
      <c r="B848" s="90">
        <f t="shared" si="13"/>
        <v>838</v>
      </c>
      <c r="C848" s="140">
        <v>46055</v>
      </c>
      <c r="D848" s="6" t="s">
        <v>16</v>
      </c>
      <c r="E848" s="6" t="s">
        <v>374</v>
      </c>
      <c r="F848" s="6" t="s">
        <v>219</v>
      </c>
      <c r="G848" s="6" t="s">
        <v>253</v>
      </c>
      <c r="H848" s="6" t="s">
        <v>254</v>
      </c>
      <c r="I848" s="6" t="s">
        <v>22</v>
      </c>
      <c r="J848" s="129" t="s">
        <v>23</v>
      </c>
      <c r="K848" s="129" t="s">
        <v>215</v>
      </c>
      <c r="L848" s="6" t="s">
        <v>373</v>
      </c>
      <c r="M848" s="93">
        <v>29</v>
      </c>
      <c r="N848" s="93">
        <v>62</v>
      </c>
      <c r="O848" s="6">
        <v>1</v>
      </c>
      <c r="P848" s="129">
        <v>1</v>
      </c>
      <c r="Q848" s="6">
        <v>149</v>
      </c>
      <c r="R848" s="98">
        <v>0.5</v>
      </c>
      <c r="S848" s="94">
        <f>((Table3.110[[#This Row],[Sample weight, g]]*'2.1. DM'!Q233)/100)*1000</f>
        <v>452.41191689683649</v>
      </c>
      <c r="T848" s="94">
        <f>'3.2 Digest'!W848</f>
        <v>248.91191689683649</v>
      </c>
      <c r="U848" s="153">
        <v>0.38124999999999998</v>
      </c>
      <c r="V848" s="154">
        <v>40.5</v>
      </c>
      <c r="W848" s="153">
        <v>0.72222222222222221</v>
      </c>
      <c r="X848" s="95">
        <v>79</v>
      </c>
      <c r="Y848" s="95">
        <v>13.4</v>
      </c>
      <c r="Z848" s="154">
        <v>40</v>
      </c>
      <c r="AA848" s="153">
        <v>0.4</v>
      </c>
      <c r="AB848" s="154">
        <v>80</v>
      </c>
      <c r="AC848" s="154">
        <v>16</v>
      </c>
      <c r="AD848" s="91"/>
      <c r="AE848" s="94">
        <f>Table3.110[[#This Row],[Gas 8h, ml]]-Table3.110[[#This Row],[Gas 0h, ml]]</f>
        <v>38.5</v>
      </c>
      <c r="AF848" s="94">
        <f>Table3.110[[#This Row],[Gas 24h, ml]]-Table3.110[[#This Row],[V8 Push back, ml]]</f>
        <v>40</v>
      </c>
      <c r="AG848" s="94">
        <f>Table3.110[[#This Row],[GP 8h, ml]]-(AVERAGE(AE$790,AE$791,AE$840,AE$841,AE$860,AE$861))*$AG$8</f>
        <v>37.319990991876054</v>
      </c>
      <c r="AH848" s="94">
        <f>Table3.110[[#This Row],[GP 8-24h, ml]]-(AVERAGE(AF$790,AF$791,AF$840,AF$841,AF$860,AF$861))*$AG$8</f>
        <v>37.123728042697877</v>
      </c>
      <c r="AI848" s="94">
        <f>Table3.110[[#This Row],[Net gas 8-24h, ml]]+Table3.110[[#This Row],[Net gas 8h, ml]]</f>
        <v>74.443719034573931</v>
      </c>
      <c r="AJ848" s="94">
        <f>Table3.110[[#This Row],[Net gas 8h, ml]]*Table3.110[[#This Row],[CH4 8h %]]%</f>
        <v>5.0008787929113918</v>
      </c>
      <c r="AK848" s="94">
        <f>Table3.110[[#This Row],[Net gas 8-24h, ml]]*Table3.110[[#This Row],[CH4 24h, %]]%</f>
        <v>5.9397964868316606</v>
      </c>
      <c r="AL848" s="94">
        <f>Table3.110[[#This Row],[CH4 8-24h, ml]]+Table3.110[[#This Row],[CH4 8h, ml]]</f>
        <v>10.940675279743052</v>
      </c>
      <c r="AM848" s="94">
        <f>(Table3.110[[#This Row],[Net gas 24h, ml]]/Table3.110[[#This Row],[DM Incubated, mg]])*1000</f>
        <v>164.54853697310836</v>
      </c>
      <c r="AN848" s="94">
        <f>'3.2 Digest'!X848</f>
        <v>55.018868336661406</v>
      </c>
      <c r="AO848" s="94">
        <f>Table3.110[[#This Row],[Digested feed, mg]]/Table3.110[[#This Row],[Net gas 24h, ml]]</f>
        <v>3.3436254948686028</v>
      </c>
      <c r="AP848" s="94">
        <f>Table3.110[[#This Row],[CH4 8h, ml]]/Table3.110[[#This Row],[Net gas 8h, ml]]%</f>
        <v>13.4</v>
      </c>
      <c r="AQ848" s="94">
        <f>Table3.110[[#This Row],[CH4 24h, ml]]/Table3.110[[#This Row],[Net gas 24h, ml]]%</f>
        <v>14.696572688236962</v>
      </c>
      <c r="AR848" s="94">
        <f>Table3.110[[#This Row],[CH4 24h, ml]]/Table3.110[[#This Row],[DM Incubated, mg]]*1000</f>
        <v>24.182995343683345</v>
      </c>
      <c r="AS848" s="94">
        <f>Table3.110[[#This Row],[CH4 24h, ml]]/Table3.110[[#This Row],[Digested feed, mg]]*1000</f>
        <v>43.954003553303167</v>
      </c>
      <c r="AT848" s="94">
        <f>Table3.110[[#This Row],[CH4 24h, ml]]/'3.2 Digest'!AA848</f>
        <v>1.4559317843782675</v>
      </c>
      <c r="AU848" s="94">
        <f>((Table3.110[[#This Row],[CH4 24h, ml]]/28.9)*16.04)/Table3.110[[#This Row],[DM Incubated, mg]]*1000</f>
        <v>13.421980806667158</v>
      </c>
      <c r="AV848" s="94">
        <f>((Table3.110[[#This Row],[CH4 24h, ml]]/28.9)*16.04)/Table3.110[[#This Row],[Digested feed, mg]]*1000</f>
        <v>24.39523242197172</v>
      </c>
      <c r="AW848" s="64"/>
    </row>
    <row r="849" spans="2:49" x14ac:dyDescent="0.35">
      <c r="B849" s="90">
        <f t="shared" si="13"/>
        <v>839</v>
      </c>
      <c r="C849" s="140">
        <v>46055</v>
      </c>
      <c r="D849" s="6" t="s">
        <v>16</v>
      </c>
      <c r="E849" s="6" t="s">
        <v>374</v>
      </c>
      <c r="F849" s="6" t="s">
        <v>219</v>
      </c>
      <c r="G849" s="6" t="s">
        <v>253</v>
      </c>
      <c r="H849" s="6" t="s">
        <v>254</v>
      </c>
      <c r="I849" s="6" t="s">
        <v>22</v>
      </c>
      <c r="J849" s="129" t="s">
        <v>23</v>
      </c>
      <c r="K849" s="129" t="s">
        <v>215</v>
      </c>
      <c r="L849" s="6" t="s">
        <v>373</v>
      </c>
      <c r="M849" s="93">
        <v>29</v>
      </c>
      <c r="N849" s="93">
        <v>62</v>
      </c>
      <c r="O849" s="6">
        <v>1</v>
      </c>
      <c r="P849" s="129">
        <v>2</v>
      </c>
      <c r="Q849" s="6">
        <v>150</v>
      </c>
      <c r="R849" s="98">
        <v>0.5</v>
      </c>
      <c r="S849" s="94">
        <f>((Table3.110[[#This Row],[Sample weight, g]]*'2.1. DM'!Q233)/100)*1000</f>
        <v>452.41191689683649</v>
      </c>
      <c r="T849" s="94">
        <f>'3.2 Digest'!W849</f>
        <v>242.81191689683646</v>
      </c>
      <c r="U849" s="117">
        <v>0.38194444444444442</v>
      </c>
      <c r="V849" s="155">
        <v>40.5</v>
      </c>
      <c r="W849" s="117">
        <v>0.72222222222222221</v>
      </c>
      <c r="X849" s="97">
        <v>81.5</v>
      </c>
      <c r="Y849" s="97">
        <v>14</v>
      </c>
      <c r="Z849" s="155">
        <v>40.5</v>
      </c>
      <c r="AA849" s="117">
        <v>0.4</v>
      </c>
      <c r="AB849" s="155">
        <v>85</v>
      </c>
      <c r="AC849" s="155">
        <v>15.6</v>
      </c>
      <c r="AD849" s="103"/>
      <c r="AE849" s="94">
        <f>Table3.110[[#This Row],[Gas 8h, ml]]-Table3.110[[#This Row],[Gas 0h, ml]]</f>
        <v>41</v>
      </c>
      <c r="AF849" s="94">
        <f>Table3.110[[#This Row],[Gas 24h, ml]]-Table3.110[[#This Row],[V8 Push back, ml]]</f>
        <v>44.5</v>
      </c>
      <c r="AG849" s="94">
        <f>Table3.110[[#This Row],[GP 8h, ml]]-(AVERAGE(AE$790,AE$791,AE$840,AE$841,AE$860,AE$861))*$AG$8</f>
        <v>39.819990991876054</v>
      </c>
      <c r="AH849" s="94">
        <f>Table3.110[[#This Row],[GP 8-24h, ml]]-(AVERAGE(AF$790,AF$791,AF$840,AF$841,AF$860,AF$861))*$AG$8</f>
        <v>41.623728042697877</v>
      </c>
      <c r="AI849" s="94">
        <f>Table3.110[[#This Row],[Net gas 8-24h, ml]]+Table3.110[[#This Row],[Net gas 8h, ml]]</f>
        <v>81.443719034573931</v>
      </c>
      <c r="AJ849" s="94">
        <f>Table3.110[[#This Row],[Net gas 8h, ml]]*Table3.110[[#This Row],[CH4 8h %]]%</f>
        <v>5.5747987388626479</v>
      </c>
      <c r="AK849" s="94">
        <f>Table3.110[[#This Row],[Net gas 8-24h, ml]]*Table3.110[[#This Row],[CH4 24h, %]]%</f>
        <v>6.4933015746608689</v>
      </c>
      <c r="AL849" s="94">
        <f>Table3.110[[#This Row],[CH4 8-24h, ml]]+Table3.110[[#This Row],[CH4 8h, ml]]</f>
        <v>12.068100313523516</v>
      </c>
      <c r="AM849" s="94">
        <f>(Table3.110[[#This Row],[Net gas 24h, ml]]/Table3.110[[#This Row],[DM Incubated, mg]])*1000</f>
        <v>180.02116211528875</v>
      </c>
      <c r="AN849" s="94">
        <f>'3.2 Digest'!X849</f>
        <v>53.670539574271402</v>
      </c>
      <c r="AO849" s="94">
        <f>Table3.110[[#This Row],[Digested feed, mg]]/Table3.110[[#This Row],[Net gas 24h, ml]]</f>
        <v>2.9813461341783718</v>
      </c>
      <c r="AP849" s="94">
        <f>Table3.110[[#This Row],[CH4 8h, ml]]/Table3.110[[#This Row],[Net gas 8h, ml]]%</f>
        <v>14.000000000000002</v>
      </c>
      <c r="AQ849" s="94">
        <f>Table3.110[[#This Row],[CH4 24h, ml]]/Table3.110[[#This Row],[Net gas 24h, ml]]%</f>
        <v>14.817717629520882</v>
      </c>
      <c r="AR849" s="94">
        <f>Table3.110[[#This Row],[CH4 24h, ml]]/Table3.110[[#This Row],[DM Incubated, mg]]*1000</f>
        <v>26.675027475625505</v>
      </c>
      <c r="AS849" s="94">
        <f>Table3.110[[#This Row],[CH4 24h, ml]]/Table3.110[[#This Row],[Digested feed, mg]]*1000</f>
        <v>49.701433388258664</v>
      </c>
      <c r="AT849" s="94">
        <f>Table3.110[[#This Row],[CH4 24h, ml]]/'3.2 Digest'!AA849</f>
        <v>2.5447988148806</v>
      </c>
      <c r="AU849" s="94">
        <f>((Table3.110[[#This Row],[CH4 24h, ml]]/28.9)*16.04)/Table3.110[[#This Row],[DM Incubated, mg]]*1000</f>
        <v>14.805101754637823</v>
      </c>
      <c r="AV849" s="94">
        <f>((Table3.110[[#This Row],[CH4 24h, ml]]/28.9)*16.04)/Table3.110[[#This Row],[Digested feed, mg]]*1000</f>
        <v>27.585155416874358</v>
      </c>
      <c r="AW849" s="64"/>
    </row>
    <row r="850" spans="2:49" x14ac:dyDescent="0.35">
      <c r="B850" s="90">
        <f t="shared" si="13"/>
        <v>840</v>
      </c>
      <c r="C850" s="140">
        <v>46055</v>
      </c>
      <c r="D850" s="6" t="s">
        <v>16</v>
      </c>
      <c r="E850" s="6" t="s">
        <v>374</v>
      </c>
      <c r="F850" s="6" t="s">
        <v>219</v>
      </c>
      <c r="G850" s="6" t="s">
        <v>253</v>
      </c>
      <c r="H850" s="6" t="s">
        <v>254</v>
      </c>
      <c r="I850" s="6" t="s">
        <v>22</v>
      </c>
      <c r="J850" s="129" t="s">
        <v>23</v>
      </c>
      <c r="K850" s="129" t="s">
        <v>215</v>
      </c>
      <c r="L850" s="6" t="s">
        <v>373</v>
      </c>
      <c r="M850" s="93">
        <v>29</v>
      </c>
      <c r="N850" s="93">
        <v>62</v>
      </c>
      <c r="O850" s="6">
        <v>1</v>
      </c>
      <c r="P850" s="129">
        <v>3</v>
      </c>
      <c r="Q850" s="6">
        <v>151</v>
      </c>
      <c r="R850" s="98">
        <v>0.50049999999999994</v>
      </c>
      <c r="S850" s="94">
        <f>((Table3.110[[#This Row],[Sample weight, g]]*'2.1. DM'!Q233)/100)*1000</f>
        <v>452.86432881373321</v>
      </c>
      <c r="T850" s="94">
        <f>'3.2 Digest'!W850</f>
        <v>206.66432881373322</v>
      </c>
      <c r="U850" s="153">
        <v>0.38263888888888886</v>
      </c>
      <c r="V850" s="154">
        <v>40.5</v>
      </c>
      <c r="W850" s="153">
        <v>0.72291666666666665</v>
      </c>
      <c r="X850" s="95">
        <v>82</v>
      </c>
      <c r="Y850" s="95">
        <v>13.7</v>
      </c>
      <c r="Z850" s="154">
        <v>40</v>
      </c>
      <c r="AA850" s="153">
        <v>0.40069444444444446</v>
      </c>
      <c r="AB850" s="154">
        <v>85</v>
      </c>
      <c r="AC850" s="154">
        <v>15.7</v>
      </c>
      <c r="AD850" s="91"/>
      <c r="AE850" s="94">
        <f>Table3.110[[#This Row],[Gas 8h, ml]]-Table3.110[[#This Row],[Gas 0h, ml]]</f>
        <v>41.5</v>
      </c>
      <c r="AF850" s="94">
        <f>Table3.110[[#This Row],[Gas 24h, ml]]-Table3.110[[#This Row],[V8 Push back, ml]]</f>
        <v>45</v>
      </c>
      <c r="AG850" s="94">
        <f>Table3.110[[#This Row],[GP 8h, ml]]-(AVERAGE(AE$790,AE$791,AE$840,AE$841,AE$860,AE$861))*$AG$8</f>
        <v>40.319990991876054</v>
      </c>
      <c r="AH850" s="94">
        <f>Table3.110[[#This Row],[GP 8-24h, ml]]-(AVERAGE(AF$790,AF$791,AF$840,AF$841,AF$860,AF$861))*$AG$8</f>
        <v>42.123728042697877</v>
      </c>
      <c r="AI850" s="94">
        <f>Table3.110[[#This Row],[Net gas 8-24h, ml]]+Table3.110[[#This Row],[Net gas 8h, ml]]</f>
        <v>82.443719034573931</v>
      </c>
      <c r="AJ850" s="94">
        <f>Table3.110[[#This Row],[Net gas 8h, ml]]*Table3.110[[#This Row],[CH4 8h %]]%</f>
        <v>5.5238387658870183</v>
      </c>
      <c r="AK850" s="94">
        <f>Table3.110[[#This Row],[Net gas 8-24h, ml]]*Table3.110[[#This Row],[CH4 24h, %]]%</f>
        <v>6.6134253027035665</v>
      </c>
      <c r="AL850" s="94">
        <f>Table3.110[[#This Row],[CH4 8-24h, ml]]+Table3.110[[#This Row],[CH4 8h, ml]]</f>
        <v>12.137264068590586</v>
      </c>
      <c r="AM850" s="94">
        <f>(Table3.110[[#This Row],[Net gas 24h, ml]]/Table3.110[[#This Row],[DM Incubated, mg]])*1000</f>
        <v>182.04948764795228</v>
      </c>
      <c r="AN850" s="94">
        <f>'3.2 Digest'!X850</f>
        <v>45.634932067863517</v>
      </c>
      <c r="AO850" s="94">
        <f>Table3.110[[#This Row],[Digested feed, mg]]/Table3.110[[#This Row],[Net gas 24h, ml]]</f>
        <v>2.5067322439331687</v>
      </c>
      <c r="AP850" s="94">
        <f>Table3.110[[#This Row],[CH4 8h, ml]]/Table3.110[[#This Row],[Net gas 8h, ml]]%</f>
        <v>13.699999999999998</v>
      </c>
      <c r="AQ850" s="94">
        <f>Table3.110[[#This Row],[CH4 24h, ml]]/Table3.110[[#This Row],[Net gas 24h, ml]]%</f>
        <v>14.721878404709829</v>
      </c>
      <c r="AR850" s="94">
        <f>Table3.110[[#This Row],[CH4 24h, ml]]/Table3.110[[#This Row],[DM Incubated, mg]]*1000</f>
        <v>26.801104207928773</v>
      </c>
      <c r="AS850" s="94">
        <f>Table3.110[[#This Row],[CH4 24h, ml]]/Table3.110[[#This Row],[Digested feed, mg]]*1000</f>
        <v>58.729361463873694</v>
      </c>
      <c r="AT850" s="94">
        <f>Table3.110[[#This Row],[CH4 24h, ml]]/'3.2 Digest'!AA850</f>
        <v>-1.0303537661183564</v>
      </c>
      <c r="AU850" s="94">
        <f>((Table3.110[[#This Row],[CH4 24h, ml]]/28.9)*16.04)/Table3.110[[#This Row],[DM Incubated, mg]]*1000</f>
        <v>14.875076522324484</v>
      </c>
      <c r="AV850" s="94">
        <f>((Table3.110[[#This Row],[CH4 24h, ml]]/28.9)*16.04)/Table3.110[[#This Row],[Digested feed, mg]]*1000</f>
        <v>32.595811691367956</v>
      </c>
      <c r="AW850" s="64"/>
    </row>
    <row r="851" spans="2:49" x14ac:dyDescent="0.35">
      <c r="B851" s="90">
        <f t="shared" si="13"/>
        <v>841</v>
      </c>
      <c r="C851" s="140">
        <v>46055</v>
      </c>
      <c r="D851" s="6" t="s">
        <v>16</v>
      </c>
      <c r="E851" s="6" t="s">
        <v>376</v>
      </c>
      <c r="F851" s="6" t="s">
        <v>219</v>
      </c>
      <c r="G851" s="6" t="s">
        <v>253</v>
      </c>
      <c r="H851" s="6" t="s">
        <v>254</v>
      </c>
      <c r="I851" s="6" t="s">
        <v>22</v>
      </c>
      <c r="J851" s="129" t="s">
        <v>23</v>
      </c>
      <c r="K851" s="129" t="s">
        <v>215</v>
      </c>
      <c r="L851" s="6" t="s">
        <v>375</v>
      </c>
      <c r="M851" s="93">
        <v>29</v>
      </c>
      <c r="N851" s="93">
        <v>62</v>
      </c>
      <c r="O851" s="6">
        <v>1</v>
      </c>
      <c r="P851" s="129">
        <v>1</v>
      </c>
      <c r="Q851" s="6">
        <v>152</v>
      </c>
      <c r="R851" s="98">
        <v>0.50070000000000003</v>
      </c>
      <c r="S851" s="94">
        <f>((Table3.110[[#This Row],[Sample weight, g]]*'2.1. DM'!Q235)/100)*1000</f>
        <v>448.08957496614278</v>
      </c>
      <c r="T851" s="94">
        <f>'3.2 Digest'!W851</f>
        <v>198.88957496614279</v>
      </c>
      <c r="U851" s="117">
        <v>0.38263888888888886</v>
      </c>
      <c r="V851" s="155">
        <v>41</v>
      </c>
      <c r="W851" s="117">
        <v>0.72291666666666665</v>
      </c>
      <c r="X851" s="97">
        <v>73</v>
      </c>
      <c r="Y851" s="97">
        <v>12.3</v>
      </c>
      <c r="Z851" s="155">
        <v>40</v>
      </c>
      <c r="AA851" s="117">
        <v>0.40069444444444446</v>
      </c>
      <c r="AB851" s="155">
        <v>82</v>
      </c>
      <c r="AC851" s="155">
        <v>14.5</v>
      </c>
      <c r="AD851" s="96" t="s">
        <v>582</v>
      </c>
      <c r="AE851" s="94">
        <f>Table3.110[[#This Row],[Gas 8h, ml]]-Table3.110[[#This Row],[Gas 0h, ml]]</f>
        <v>32</v>
      </c>
      <c r="AF851" s="94">
        <f>Table3.110[[#This Row],[Gas 24h, ml]]-Table3.110[[#This Row],[V8 Push back, ml]]</f>
        <v>42</v>
      </c>
      <c r="AG851" s="94">
        <f>Table3.110[[#This Row],[GP 8h, ml]]-(AVERAGE(AE$790,AE$791,AE$840,AE$841,AE$860,AE$861))*$AG$8</f>
        <v>30.81999099187605</v>
      </c>
      <c r="AH851" s="94">
        <f>Table3.110[[#This Row],[GP 8-24h, ml]]-(AVERAGE(AF$790,AF$791,AF$840,AF$841,AF$860,AF$861))*$AG$8</f>
        <v>39.123728042697877</v>
      </c>
      <c r="AI851" s="94">
        <f>Table3.110[[#This Row],[Net gas 8-24h, ml]]+Table3.110[[#This Row],[Net gas 8h, ml]]</f>
        <v>69.943719034573931</v>
      </c>
      <c r="AJ851" s="94">
        <f>Table3.110[[#This Row],[Net gas 8h, ml]]*Table3.110[[#This Row],[CH4 8h %]]%</f>
        <v>3.7908588920007547</v>
      </c>
      <c r="AK851" s="94">
        <f>Table3.110[[#This Row],[Net gas 8-24h, ml]]*Table3.110[[#This Row],[CH4 24h, %]]%</f>
        <v>5.6729405661911914</v>
      </c>
      <c r="AL851" s="94">
        <f>Table3.110[[#This Row],[CH4 8-24h, ml]]+Table3.110[[#This Row],[CH4 8h, ml]]</f>
        <v>9.4637994581919465</v>
      </c>
      <c r="AM851" s="94">
        <f>(Table3.110[[#This Row],[Net gas 24h, ml]]/Table3.110[[#This Row],[DM Incubated, mg]])*1000</f>
        <v>156.09316293479671</v>
      </c>
      <c r="AN851" s="94">
        <f>'3.2 Digest'!X851</f>
        <v>44.38611966841021</v>
      </c>
      <c r="AO851" s="94">
        <f>Table3.110[[#This Row],[Digested feed, mg]]/Table3.110[[#This Row],[Net gas 24h, ml]]</f>
        <v>2.8435659085818634</v>
      </c>
      <c r="AP851" s="94">
        <f>Table3.110[[#This Row],[CH4 8h, ml]]/Table3.110[[#This Row],[Net gas 8h, ml]]%</f>
        <v>12.3</v>
      </c>
      <c r="AQ851" s="94">
        <f>Table3.110[[#This Row],[CH4 24h, ml]]/Table3.110[[#This Row],[Net gas 24h, ml]]%</f>
        <v>13.530592294518812</v>
      </c>
      <c r="AR851" s="94">
        <f>Table3.110[[#This Row],[CH4 24h, ml]]/Table3.110[[#This Row],[DM Incubated, mg]]*1000</f>
        <v>21.120329476326294</v>
      </c>
      <c r="AS851" s="94">
        <f>Table3.110[[#This Row],[CH4 24h, ml]]/Table3.110[[#This Row],[Digested feed, mg]]*1000</f>
        <v>47.583185090535693</v>
      </c>
      <c r="AT851" s="94">
        <f>Table3.110[[#This Row],[CH4 24h, ml]]/'3.2 Digest'!AA851</f>
        <v>-0.31218231555831177</v>
      </c>
      <c r="AU851" s="94">
        <f>((Table3.110[[#This Row],[CH4 24h, ml]]/28.9)*16.04)/Table3.110[[#This Row],[DM Incubated, mg]]*1000</f>
        <v>11.722148262985254</v>
      </c>
      <c r="AV851" s="94">
        <f>((Table3.110[[#This Row],[CH4 24h, ml]]/28.9)*16.04)/Table3.110[[#This Row],[Digested feed, mg]]*1000</f>
        <v>26.409490963743686</v>
      </c>
      <c r="AW851" s="64"/>
    </row>
    <row r="852" spans="2:49" x14ac:dyDescent="0.35">
      <c r="B852" s="90">
        <f t="shared" si="13"/>
        <v>842</v>
      </c>
      <c r="C852" s="140">
        <v>46055</v>
      </c>
      <c r="D852" s="6" t="s">
        <v>16</v>
      </c>
      <c r="E852" s="6" t="s">
        <v>376</v>
      </c>
      <c r="F852" s="6" t="s">
        <v>219</v>
      </c>
      <c r="G852" s="6" t="s">
        <v>253</v>
      </c>
      <c r="H852" s="6" t="s">
        <v>254</v>
      </c>
      <c r="I852" s="6" t="s">
        <v>22</v>
      </c>
      <c r="J852" s="129" t="s">
        <v>23</v>
      </c>
      <c r="K852" s="129" t="s">
        <v>215</v>
      </c>
      <c r="L852" s="6" t="s">
        <v>375</v>
      </c>
      <c r="M852" s="93">
        <v>29</v>
      </c>
      <c r="N852" s="93">
        <v>62</v>
      </c>
      <c r="O852" s="6">
        <v>1</v>
      </c>
      <c r="P852" s="129">
        <v>2</v>
      </c>
      <c r="Q852" s="6">
        <v>153</v>
      </c>
      <c r="R852" s="98">
        <v>0.50039999999999996</v>
      </c>
      <c r="S852" s="94">
        <f>((Table3.110[[#This Row],[Sample weight, g]]*'2.1. DM'!Q235)/100)*1000</f>
        <v>447.82109709018931</v>
      </c>
      <c r="T852" s="94">
        <f>'3.2 Digest'!W852</f>
        <v>211.62109709018935</v>
      </c>
      <c r="U852" s="153">
        <v>0.38263888888888886</v>
      </c>
      <c r="V852" s="155">
        <v>41</v>
      </c>
      <c r="W852" s="153">
        <v>0.72361111111111109</v>
      </c>
      <c r="X852" s="95">
        <v>72</v>
      </c>
      <c r="Y852" s="95">
        <v>11.8</v>
      </c>
      <c r="Z852" s="154">
        <v>40.5</v>
      </c>
      <c r="AA852" s="153">
        <v>0.40138888888888891</v>
      </c>
      <c r="AB852" s="154">
        <v>83.5</v>
      </c>
      <c r="AC852" s="154">
        <v>14</v>
      </c>
      <c r="AD852" s="91"/>
      <c r="AE852" s="94">
        <f>Table3.110[[#This Row],[Gas 8h, ml]]-Table3.110[[#This Row],[Gas 0h, ml]]</f>
        <v>31</v>
      </c>
      <c r="AF852" s="94">
        <f>Table3.110[[#This Row],[Gas 24h, ml]]-Table3.110[[#This Row],[V8 Push back, ml]]</f>
        <v>43</v>
      </c>
      <c r="AG852" s="94">
        <f>Table3.110[[#This Row],[GP 8h, ml]]-(AVERAGE(AE$790,AE$791,AE$840,AE$841,AE$860,AE$861))*$AG$8</f>
        <v>29.81999099187605</v>
      </c>
      <c r="AH852" s="94">
        <f>Table3.110[[#This Row],[GP 8-24h, ml]]-(AVERAGE(AF$790,AF$791,AF$840,AF$841,AF$860,AF$861))*$AG$8</f>
        <v>40.123728042697877</v>
      </c>
      <c r="AI852" s="94">
        <f>Table3.110[[#This Row],[Net gas 8-24h, ml]]+Table3.110[[#This Row],[Net gas 8h, ml]]</f>
        <v>69.943719034573931</v>
      </c>
      <c r="AJ852" s="94">
        <f>Table3.110[[#This Row],[Net gas 8h, ml]]*Table3.110[[#This Row],[CH4 8h %]]%</f>
        <v>3.5187589370413743</v>
      </c>
      <c r="AK852" s="94">
        <f>Table3.110[[#This Row],[Net gas 8-24h, ml]]*Table3.110[[#This Row],[CH4 24h, %]]%</f>
        <v>5.617321925977703</v>
      </c>
      <c r="AL852" s="94">
        <f>Table3.110[[#This Row],[CH4 8-24h, ml]]+Table3.110[[#This Row],[CH4 8h, ml]]</f>
        <v>9.1360808630190782</v>
      </c>
      <c r="AM852" s="94">
        <f>(Table3.110[[#This Row],[Net gas 24h, ml]]/Table3.110[[#This Row],[DM Incubated, mg]])*1000</f>
        <v>156.18674396773127</v>
      </c>
      <c r="AN852" s="94">
        <f>'3.2 Digest'!X852</f>
        <v>47.255722980726325</v>
      </c>
      <c r="AO852" s="94">
        <f>Table3.110[[#This Row],[Digested feed, mg]]/Table3.110[[#This Row],[Net gas 24h, ml]]</f>
        <v>3.0255911468702825</v>
      </c>
      <c r="AP852" s="94">
        <f>Table3.110[[#This Row],[CH4 8h, ml]]/Table3.110[[#This Row],[Net gas 8h, ml]]%</f>
        <v>11.8</v>
      </c>
      <c r="AQ852" s="94">
        <f>Table3.110[[#This Row],[CH4 24h, ml]]/Table3.110[[#This Row],[Net gas 24h, ml]]%</f>
        <v>13.062046155285246</v>
      </c>
      <c r="AR852" s="94">
        <f>Table3.110[[#This Row],[CH4 24h, ml]]/Table3.110[[#This Row],[DM Incubated, mg]]*1000</f>
        <v>20.401184585502254</v>
      </c>
      <c r="AS852" s="94">
        <f>Table3.110[[#This Row],[CH4 24h, ml]]/Table3.110[[#This Row],[Digested feed, mg]]*1000</f>
        <v>43.171881200131168</v>
      </c>
      <c r="AT852" s="94">
        <f>Table3.110[[#This Row],[CH4 24h, ml]]/'3.2 Digest'!AA852</f>
        <v>-0.38727149402555072</v>
      </c>
      <c r="AU852" s="94">
        <f>((Table3.110[[#This Row],[CH4 24h, ml]]/28.9)*16.04)/Table3.110[[#This Row],[DM Incubated, mg]]*1000</f>
        <v>11.323010406624782</v>
      </c>
      <c r="AV852" s="94">
        <f>((Table3.110[[#This Row],[CH4 24h, ml]]/28.9)*16.04)/Table3.110[[#This Row],[Digested feed, mg]]*1000</f>
        <v>23.961140984432667</v>
      </c>
      <c r="AW852" s="64"/>
    </row>
    <row r="853" spans="2:49" x14ac:dyDescent="0.35">
      <c r="B853" s="90">
        <f t="shared" si="13"/>
        <v>843</v>
      </c>
      <c r="C853" s="140">
        <v>46055</v>
      </c>
      <c r="D853" s="6" t="s">
        <v>16</v>
      </c>
      <c r="E853" s="6" t="s">
        <v>376</v>
      </c>
      <c r="F853" s="6" t="s">
        <v>219</v>
      </c>
      <c r="G853" s="6" t="s">
        <v>253</v>
      </c>
      <c r="H853" s="6" t="s">
        <v>254</v>
      </c>
      <c r="I853" s="6" t="s">
        <v>22</v>
      </c>
      <c r="J853" s="129" t="s">
        <v>23</v>
      </c>
      <c r="K853" s="129" t="s">
        <v>215</v>
      </c>
      <c r="L853" s="6" t="s">
        <v>375</v>
      </c>
      <c r="M853" s="93">
        <v>29</v>
      </c>
      <c r="N853" s="93">
        <v>62</v>
      </c>
      <c r="O853" s="6">
        <v>1</v>
      </c>
      <c r="P853" s="129">
        <v>3</v>
      </c>
      <c r="Q853" s="6">
        <v>154</v>
      </c>
      <c r="R853" s="98">
        <v>0.50060000000000004</v>
      </c>
      <c r="S853" s="94">
        <f>((Table3.110[[#This Row],[Sample weight, g]]*'2.1. DM'!Q235)/100)*1000</f>
        <v>448.00008234082497</v>
      </c>
      <c r="T853" s="94">
        <f>'3.2 Digest'!W853</f>
        <v>197.90008234082487</v>
      </c>
      <c r="U853" s="117">
        <v>0.38263888888888886</v>
      </c>
      <c r="V853" s="155">
        <v>42</v>
      </c>
      <c r="W853" s="117">
        <v>0.72361111111111109</v>
      </c>
      <c r="X853" s="97">
        <v>73.5</v>
      </c>
      <c r="Y853" s="97">
        <v>11.8</v>
      </c>
      <c r="Z853" s="155">
        <v>41</v>
      </c>
      <c r="AA853" s="117">
        <v>0.40138888888888891</v>
      </c>
      <c r="AB853" s="155">
        <v>85</v>
      </c>
      <c r="AC853" s="155">
        <v>13.8</v>
      </c>
      <c r="AD853" s="96"/>
      <c r="AE853" s="94">
        <f>Table3.110[[#This Row],[Gas 8h, ml]]-Table3.110[[#This Row],[Gas 0h, ml]]</f>
        <v>31.5</v>
      </c>
      <c r="AF853" s="94">
        <f>Table3.110[[#This Row],[Gas 24h, ml]]-Table3.110[[#This Row],[V8 Push back, ml]]</f>
        <v>44</v>
      </c>
      <c r="AG853" s="94">
        <f>Table3.110[[#This Row],[GP 8h, ml]]-(AVERAGE(AE$790,AE$791,AE$840,AE$841,AE$860,AE$861))*$AG$8</f>
        <v>30.31999099187605</v>
      </c>
      <c r="AH853" s="94">
        <f>Table3.110[[#This Row],[GP 8-24h, ml]]-(AVERAGE(AF$790,AF$791,AF$840,AF$841,AF$860,AF$861))*$AG$8</f>
        <v>41.123728042697877</v>
      </c>
      <c r="AI853" s="94">
        <f>Table3.110[[#This Row],[Net gas 8-24h, ml]]+Table3.110[[#This Row],[Net gas 8h, ml]]</f>
        <v>71.443719034573931</v>
      </c>
      <c r="AJ853" s="94">
        <f>Table3.110[[#This Row],[Net gas 8h, ml]]*Table3.110[[#This Row],[CH4 8h %]]%</f>
        <v>3.577758937041374</v>
      </c>
      <c r="AK853" s="94">
        <f>Table3.110[[#This Row],[Net gas 8-24h, ml]]*Table3.110[[#This Row],[CH4 24h, %]]%</f>
        <v>5.6750744698923077</v>
      </c>
      <c r="AL853" s="94">
        <f>Table3.110[[#This Row],[CH4 8-24h, ml]]+Table3.110[[#This Row],[CH4 8h, ml]]</f>
        <v>9.2528334069336822</v>
      </c>
      <c r="AM853" s="94">
        <f>(Table3.110[[#This Row],[Net gas 24h, ml]]/Table3.110[[#This Row],[DM Incubated, mg]])*1000</f>
        <v>159.4725578202499</v>
      </c>
      <c r="AN853" s="94">
        <f>'3.2 Digest'!X853</f>
        <v>44.174117403458077</v>
      </c>
      <c r="AO853" s="94">
        <f>Table3.110[[#This Row],[Digested feed, mg]]/Table3.110[[#This Row],[Net gas 24h, ml]]</f>
        <v>2.7700137257000099</v>
      </c>
      <c r="AP853" s="94">
        <f>Table3.110[[#This Row],[CH4 8h, ml]]/Table3.110[[#This Row],[Net gas 8h, ml]]%</f>
        <v>11.8</v>
      </c>
      <c r="AQ853" s="94">
        <f>Table3.110[[#This Row],[CH4 24h, ml]]/Table3.110[[#This Row],[Net gas 24h, ml]]%</f>
        <v>12.951220249964782</v>
      </c>
      <c r="AR853" s="94">
        <f>Table3.110[[#This Row],[CH4 24h, ml]]/Table3.110[[#This Row],[DM Incubated, mg]]*1000</f>
        <v>20.653642201553001</v>
      </c>
      <c r="AS853" s="94">
        <f>Table3.110[[#This Row],[CH4 24h, ml]]/Table3.110[[#This Row],[Digested feed, mg]]*1000</f>
        <v>46.755076084295858</v>
      </c>
      <c r="AT853" s="94">
        <f>Table3.110[[#This Row],[CH4 24h, ml]]/'3.2 Digest'!AA853</f>
        <v>-0.30030218461343211</v>
      </c>
      <c r="AU853" s="94">
        <f>((Table3.110[[#This Row],[CH4 24h, ml]]/28.9)*16.04)/Table3.110[[#This Row],[DM Incubated, mg]]*1000</f>
        <v>11.463128751311769</v>
      </c>
      <c r="AV853" s="94">
        <f>((Table3.110[[#This Row],[CH4 24h, ml]]/28.9)*16.04)/Table3.110[[#This Row],[Digested feed, mg]]*1000</f>
        <v>25.949876138135142</v>
      </c>
      <c r="AW853" s="64"/>
    </row>
    <row r="854" spans="2:49" x14ac:dyDescent="0.35">
      <c r="B854" s="90">
        <f t="shared" si="13"/>
        <v>844</v>
      </c>
      <c r="C854" s="140">
        <v>46055</v>
      </c>
      <c r="D854" s="6" t="s">
        <v>16</v>
      </c>
      <c r="E854" s="6" t="s">
        <v>378</v>
      </c>
      <c r="F854" s="6" t="s">
        <v>212</v>
      </c>
      <c r="G854" s="6" t="s">
        <v>379</v>
      </c>
      <c r="H854" s="6" t="s">
        <v>380</v>
      </c>
      <c r="I854" s="6" t="s">
        <v>22</v>
      </c>
      <c r="J854" s="129" t="s">
        <v>23</v>
      </c>
      <c r="K854" s="129" t="s">
        <v>215</v>
      </c>
      <c r="L854" s="6" t="s">
        <v>377</v>
      </c>
      <c r="M854" s="93">
        <v>29</v>
      </c>
      <c r="N854" s="93">
        <v>62</v>
      </c>
      <c r="O854" s="6">
        <v>1</v>
      </c>
      <c r="P854" s="129">
        <v>1</v>
      </c>
      <c r="Q854" s="6">
        <v>155</v>
      </c>
      <c r="R854" s="98">
        <v>0.50039999999999996</v>
      </c>
      <c r="S854" s="94">
        <f>((Table3.110[[#This Row],[Sample weight, g]]*'2.1. DM'!Q237)/100)*1000</f>
        <v>469.33761372450664</v>
      </c>
      <c r="T854" s="94">
        <f>'3.2 Digest'!W854</f>
        <v>38.737613724506559</v>
      </c>
      <c r="U854" s="117">
        <v>0.38333333333333336</v>
      </c>
      <c r="V854" s="155">
        <v>41.5</v>
      </c>
      <c r="W854" s="117">
        <v>0.72430555555555554</v>
      </c>
      <c r="X854" s="97">
        <v>58</v>
      </c>
      <c r="Y854" s="97">
        <v>11.6</v>
      </c>
      <c r="Z854" s="155">
        <v>40.5</v>
      </c>
      <c r="AA854" s="117">
        <v>0.40208333333333335</v>
      </c>
      <c r="AB854" s="155">
        <v>52</v>
      </c>
      <c r="AC854" s="155">
        <v>14</v>
      </c>
      <c r="AD854" s="103"/>
      <c r="AE854" s="94"/>
      <c r="AF854" s="94"/>
      <c r="AG854" s="94"/>
      <c r="AH854" s="94"/>
      <c r="AI854" s="94"/>
      <c r="AJ854" s="94"/>
      <c r="AK854" s="94"/>
      <c r="AL854" s="94"/>
      <c r="AM854" s="94"/>
      <c r="AN854" s="94"/>
      <c r="AO854" s="94"/>
      <c r="AP854" s="94"/>
      <c r="AQ854" s="94"/>
      <c r="AR854" s="94"/>
      <c r="AS854" s="94"/>
      <c r="AT854" s="94"/>
      <c r="AU854" s="94"/>
      <c r="AV854" s="94"/>
      <c r="AW854" s="64" t="s">
        <v>629</v>
      </c>
    </row>
    <row r="855" spans="2:49" x14ac:dyDescent="0.35">
      <c r="B855" s="90">
        <f t="shared" si="13"/>
        <v>845</v>
      </c>
      <c r="C855" s="140">
        <v>46055</v>
      </c>
      <c r="D855" s="6" t="s">
        <v>16</v>
      </c>
      <c r="E855" s="6" t="s">
        <v>378</v>
      </c>
      <c r="F855" s="6" t="s">
        <v>212</v>
      </c>
      <c r="G855" s="6" t="s">
        <v>379</v>
      </c>
      <c r="H855" s="6" t="s">
        <v>380</v>
      </c>
      <c r="I855" s="6" t="s">
        <v>22</v>
      </c>
      <c r="J855" s="129" t="s">
        <v>23</v>
      </c>
      <c r="K855" s="129" t="s">
        <v>215</v>
      </c>
      <c r="L855" s="6" t="s">
        <v>377</v>
      </c>
      <c r="M855" s="93">
        <v>29</v>
      </c>
      <c r="N855" s="93">
        <v>62</v>
      </c>
      <c r="O855" s="6">
        <v>1</v>
      </c>
      <c r="P855" s="129">
        <v>2</v>
      </c>
      <c r="Q855" s="6">
        <v>156</v>
      </c>
      <c r="R855" s="98">
        <v>0.50019999999999998</v>
      </c>
      <c r="S855" s="94">
        <f>((Table3.110[[#This Row],[Sample weight, g]]*'2.1. DM'!Q237)/100)*1000</f>
        <v>469.15002874699894</v>
      </c>
      <c r="T855" s="94">
        <f>'3.2 Digest'!W855</f>
        <v>4.1500287469988848</v>
      </c>
      <c r="U855" s="117">
        <v>0.3840277777777778</v>
      </c>
      <c r="V855" s="155">
        <v>41.5</v>
      </c>
      <c r="W855" s="117">
        <v>0.72430555555555554</v>
      </c>
      <c r="X855" s="97">
        <v>54.5</v>
      </c>
      <c r="Y855" s="97">
        <v>11.3</v>
      </c>
      <c r="Z855" s="155">
        <v>38</v>
      </c>
      <c r="AA855" s="117">
        <v>0.40208333333333335</v>
      </c>
      <c r="AB855" s="155">
        <v>49</v>
      </c>
      <c r="AC855" s="155">
        <v>13.9</v>
      </c>
      <c r="AD855" s="96"/>
      <c r="AE855" s="94"/>
      <c r="AF855" s="94"/>
      <c r="AG855" s="94"/>
      <c r="AH855" s="94"/>
      <c r="AI855" s="94"/>
      <c r="AJ855" s="94"/>
      <c r="AK855" s="94"/>
      <c r="AL855" s="94"/>
      <c r="AM855" s="94"/>
      <c r="AN855" s="94"/>
      <c r="AO855" s="94"/>
      <c r="AP855" s="94"/>
      <c r="AQ855" s="94"/>
      <c r="AR855" s="94"/>
      <c r="AS855" s="94"/>
      <c r="AT855" s="94"/>
      <c r="AU855" s="94"/>
      <c r="AV855" s="94"/>
      <c r="AW855" s="303" t="s">
        <v>629</v>
      </c>
    </row>
    <row r="856" spans="2:49" x14ac:dyDescent="0.35">
      <c r="B856" s="90">
        <f t="shared" si="13"/>
        <v>846</v>
      </c>
      <c r="C856" s="140">
        <v>46055</v>
      </c>
      <c r="D856" s="6" t="s">
        <v>16</v>
      </c>
      <c r="E856" s="6" t="s">
        <v>378</v>
      </c>
      <c r="F856" s="6" t="s">
        <v>212</v>
      </c>
      <c r="G856" s="6" t="s">
        <v>379</v>
      </c>
      <c r="H856" s="6" t="s">
        <v>380</v>
      </c>
      <c r="I856" s="6" t="s">
        <v>22</v>
      </c>
      <c r="J856" s="129" t="s">
        <v>23</v>
      </c>
      <c r="K856" s="129" t="s">
        <v>215</v>
      </c>
      <c r="L856" s="6" t="s">
        <v>377</v>
      </c>
      <c r="M856" s="93">
        <v>29</v>
      </c>
      <c r="N856" s="93">
        <v>62</v>
      </c>
      <c r="O856" s="6">
        <v>1</v>
      </c>
      <c r="P856" s="129">
        <v>3</v>
      </c>
      <c r="Q856" s="6">
        <v>157</v>
      </c>
      <c r="R856" s="98">
        <v>0.50029999999999997</v>
      </c>
      <c r="S856" s="94">
        <f>((Table3.110[[#This Row],[Sample weight, g]]*'2.1. DM'!Q237)/100)*1000</f>
        <v>469.24382123575276</v>
      </c>
      <c r="T856" s="94">
        <f>'3.2 Digest'!W856</f>
        <v>19.043821235752716</v>
      </c>
      <c r="U856" s="153">
        <v>0.38472222222222224</v>
      </c>
      <c r="V856" s="155">
        <v>41.5</v>
      </c>
      <c r="W856" s="153">
        <v>0.72430555555555554</v>
      </c>
      <c r="X856" s="95">
        <v>58</v>
      </c>
      <c r="Y856" s="95">
        <v>11.8</v>
      </c>
      <c r="Z856" s="154">
        <v>40.5</v>
      </c>
      <c r="AA856" s="153">
        <v>0.40277777777777779</v>
      </c>
      <c r="AB856" s="154">
        <v>51.5</v>
      </c>
      <c r="AC856" s="154">
        <v>14.5</v>
      </c>
      <c r="AD856" s="91"/>
      <c r="AE856" s="94"/>
      <c r="AF856" s="94"/>
      <c r="AG856" s="94"/>
      <c r="AH856" s="94"/>
      <c r="AI856" s="94"/>
      <c r="AJ856" s="94"/>
      <c r="AK856" s="94"/>
      <c r="AL856" s="94"/>
      <c r="AM856" s="94"/>
      <c r="AN856" s="94"/>
      <c r="AO856" s="94"/>
      <c r="AP856" s="94"/>
      <c r="AQ856" s="94"/>
      <c r="AR856" s="94"/>
      <c r="AS856" s="94"/>
      <c r="AT856" s="94"/>
      <c r="AU856" s="94"/>
      <c r="AV856" s="94"/>
      <c r="AW856" s="64" t="s">
        <v>629</v>
      </c>
    </row>
    <row r="857" spans="2:49" x14ac:dyDescent="0.35">
      <c r="B857" s="90">
        <f t="shared" si="13"/>
        <v>847</v>
      </c>
      <c r="C857" s="140">
        <v>46055</v>
      </c>
      <c r="D857" s="8" t="s">
        <v>120</v>
      </c>
      <c r="E857" s="6" t="s">
        <v>122</v>
      </c>
      <c r="F857" s="6" t="s">
        <v>123</v>
      </c>
      <c r="G857" s="6" t="s">
        <v>545</v>
      </c>
      <c r="H857" s="6" t="s">
        <v>125</v>
      </c>
      <c r="I857" s="6" t="s">
        <v>108</v>
      </c>
      <c r="J857" s="129" t="s">
        <v>109</v>
      </c>
      <c r="K857" s="129" t="s">
        <v>110</v>
      </c>
      <c r="L857" s="6" t="s">
        <v>121</v>
      </c>
      <c r="M857" s="93">
        <v>29</v>
      </c>
      <c r="N857" s="93">
        <v>62</v>
      </c>
      <c r="O857" s="6">
        <v>1</v>
      </c>
      <c r="P857" s="129">
        <v>1</v>
      </c>
      <c r="Q857" s="6">
        <v>158</v>
      </c>
      <c r="R857" s="98">
        <v>0.50049999999999994</v>
      </c>
      <c r="S857" s="94">
        <f>((Table3.110[[#This Row],[Sample weight, g]]*'2.1. DM'!Q239)/100)*1000</f>
        <v>468.21774999999991</v>
      </c>
      <c r="T857" s="94">
        <f>'3.2 Digest'!W857</f>
        <v>145.9177499999999</v>
      </c>
      <c r="U857" s="117">
        <v>0.38472222222222224</v>
      </c>
      <c r="V857" s="155">
        <v>41.5</v>
      </c>
      <c r="W857" s="117">
        <v>0.72499999999999998</v>
      </c>
      <c r="X857" s="97">
        <v>58.5</v>
      </c>
      <c r="Y857" s="97">
        <v>13.9</v>
      </c>
      <c r="Z857" s="155">
        <v>40.5</v>
      </c>
      <c r="AA857" s="117">
        <v>0.40347222222222223</v>
      </c>
      <c r="AB857" s="155">
        <v>73.5</v>
      </c>
      <c r="AC857" s="155">
        <v>15.8</v>
      </c>
      <c r="AD857" s="96"/>
      <c r="AE857" s="94">
        <f>Table3.110[[#This Row],[Gas 8h, ml]]-Table3.110[[#This Row],[Gas 0h, ml]]</f>
        <v>17</v>
      </c>
      <c r="AF857" s="94">
        <f>Table3.110[[#This Row],[Gas 24h, ml]]-Table3.110[[#This Row],[V8 Push back, ml]]</f>
        <v>33</v>
      </c>
      <c r="AG857" s="94">
        <f>Table3.110[[#This Row],[GP 8h, ml]]-(AVERAGE(AE$790,AE$791,AE$840,AE$841,AE$860,AE$861))*$AG$8</f>
        <v>15.81999099187605</v>
      </c>
      <c r="AH857" s="94">
        <f>Table3.110[[#This Row],[GP 8-24h, ml]]-(AVERAGE(AF$790,AF$791,AF$840,AF$841,AF$860,AF$861))*$AG$8</f>
        <v>30.123728042697874</v>
      </c>
      <c r="AI857" s="94">
        <f>Table3.110[[#This Row],[Net gas 8-24h, ml]]+Table3.110[[#This Row],[Net gas 8h, ml]]</f>
        <v>45.943719034573924</v>
      </c>
      <c r="AJ857" s="94">
        <f>Table3.110[[#This Row],[Net gas 8h, ml]]*Table3.110[[#This Row],[CH4 8h %]]%</f>
        <v>2.1989787478707714</v>
      </c>
      <c r="AK857" s="94">
        <f>Table3.110[[#This Row],[Net gas 8-24h, ml]]*Table3.110[[#This Row],[CH4 24h, %]]%</f>
        <v>4.759549030746264</v>
      </c>
      <c r="AL857" s="94">
        <f>Table3.110[[#This Row],[CH4 8-24h, ml]]+Table3.110[[#This Row],[CH4 8h, ml]]</f>
        <v>6.9585277786170359</v>
      </c>
      <c r="AM857" s="94">
        <f>(Table3.110[[#This Row],[Net gas 24h, ml]]/Table3.110[[#This Row],[DM Incubated, mg]])*1000</f>
        <v>98.124684582278078</v>
      </c>
      <c r="AN857" s="94">
        <f>'3.2 Digest'!X857</f>
        <v>31.164506258039115</v>
      </c>
      <c r="AO857" s="94">
        <f>Table3.110[[#This Row],[Digested feed, mg]]/Table3.110[[#This Row],[Net gas 24h, ml]]</f>
        <v>3.1760108468840484</v>
      </c>
      <c r="AP857" s="94">
        <f>Table3.110[[#This Row],[CH4 8h, ml]]/Table3.110[[#This Row],[Net gas 8h, ml]]%</f>
        <v>13.900000000000002</v>
      </c>
      <c r="AQ857" s="94">
        <f>Table3.110[[#This Row],[CH4 24h, ml]]/Table3.110[[#This Row],[Net gas 24h, ml]]%</f>
        <v>15.145765133598676</v>
      </c>
      <c r="AR857" s="94">
        <f>Table3.110[[#This Row],[CH4 24h, ml]]/Table3.110[[#This Row],[DM Incubated, mg]]*1000</f>
        <v>14.861734264916349</v>
      </c>
      <c r="AS857" s="94">
        <f>Table3.110[[#This Row],[CH4 24h, ml]]/Table3.110[[#This Row],[Digested feed, mg]]*1000</f>
        <v>47.688014505548786</v>
      </c>
      <c r="AT857" s="94">
        <f>Table3.110[[#This Row],[CH4 24h, ml]]/'3.2 Digest'!AA857</f>
        <v>0.72894694442137553</v>
      </c>
      <c r="AU857" s="94">
        <f>((Table3.110[[#This Row],[CH4 24h, ml]]/28.9)*16.04)/Table3.110[[#This Row],[DM Incubated, mg]]*1000</f>
        <v>8.2485196404587615</v>
      </c>
      <c r="AV857" s="94">
        <f>((Table3.110[[#This Row],[CH4 24h, ml]]/28.9)*16.04)/Table3.110[[#This Row],[Digested feed, mg]]*1000</f>
        <v>26.467673102733645</v>
      </c>
      <c r="AW857" s="64"/>
    </row>
    <row r="858" spans="2:49" x14ac:dyDescent="0.35">
      <c r="B858" s="90">
        <f t="shared" si="13"/>
        <v>848</v>
      </c>
      <c r="C858" s="140">
        <v>46055</v>
      </c>
      <c r="D858" s="8" t="s">
        <v>120</v>
      </c>
      <c r="E858" s="6" t="s">
        <v>122</v>
      </c>
      <c r="F858" s="6" t="s">
        <v>123</v>
      </c>
      <c r="G858" s="6" t="s">
        <v>545</v>
      </c>
      <c r="H858" s="6" t="s">
        <v>125</v>
      </c>
      <c r="I858" s="6" t="s">
        <v>108</v>
      </c>
      <c r="J858" s="129" t="s">
        <v>109</v>
      </c>
      <c r="K858" s="129" t="s">
        <v>110</v>
      </c>
      <c r="L858" s="6" t="s">
        <v>121</v>
      </c>
      <c r="M858" s="93">
        <v>29</v>
      </c>
      <c r="N858" s="93">
        <v>62</v>
      </c>
      <c r="O858" s="6">
        <v>1</v>
      </c>
      <c r="P858" s="129">
        <v>2</v>
      </c>
      <c r="Q858" s="6">
        <v>159</v>
      </c>
      <c r="R858" s="98">
        <v>0.50070000000000003</v>
      </c>
      <c r="S858" s="94">
        <f>((Table3.110[[#This Row],[Sample weight, g]]*'2.1. DM'!Q239)/100)*1000</f>
        <v>468.40485000000001</v>
      </c>
      <c r="T858" s="94">
        <f>'3.2 Digest'!W858</f>
        <v>118.40485000000001</v>
      </c>
      <c r="U858" s="153">
        <v>0.38541666666666669</v>
      </c>
      <c r="V858" s="155">
        <v>40</v>
      </c>
      <c r="W858" s="153">
        <v>0.72499999999999998</v>
      </c>
      <c r="X858" s="95">
        <v>58.5</v>
      </c>
      <c r="Y858" s="95">
        <v>15</v>
      </c>
      <c r="Z858" s="154">
        <v>39.5</v>
      </c>
      <c r="AA858" s="153">
        <v>0.40347222222222223</v>
      </c>
      <c r="AB858" s="154">
        <v>74</v>
      </c>
      <c r="AC858" s="154">
        <v>15.5</v>
      </c>
      <c r="AD858" s="180" t="s">
        <v>582</v>
      </c>
      <c r="AE858" s="94">
        <f>Table3.110[[#This Row],[Gas 8h, ml]]-Table3.110[[#This Row],[Gas 0h, ml]]</f>
        <v>18.5</v>
      </c>
      <c r="AF858" s="94">
        <f>Table3.110[[#This Row],[Gas 24h, ml]]-Table3.110[[#This Row],[V8 Push back, ml]]</f>
        <v>34.5</v>
      </c>
      <c r="AG858" s="94">
        <f>Table3.110[[#This Row],[GP 8h, ml]]-(AVERAGE(AE$790,AE$791,AE$840,AE$841,AE$860,AE$861))*$AG$8</f>
        <v>17.31999099187605</v>
      </c>
      <c r="AH858" s="94">
        <f>Table3.110[[#This Row],[GP 8-24h, ml]]-(AVERAGE(AF$790,AF$791,AF$840,AF$841,AF$860,AF$861))*$AG$8</f>
        <v>31.623728042697874</v>
      </c>
      <c r="AI858" s="94">
        <f>Table3.110[[#This Row],[Net gas 8-24h, ml]]+Table3.110[[#This Row],[Net gas 8h, ml]]</f>
        <v>48.943719034573924</v>
      </c>
      <c r="AJ858" s="94">
        <f>Table3.110[[#This Row],[Net gas 8h, ml]]*Table3.110[[#This Row],[CH4 8h %]]%</f>
        <v>2.5979986487814073</v>
      </c>
      <c r="AK858" s="94">
        <f>Table3.110[[#This Row],[Net gas 8-24h, ml]]*Table3.110[[#This Row],[CH4 24h, %]]%</f>
        <v>4.9016778466181705</v>
      </c>
      <c r="AL858" s="94">
        <f>Table3.110[[#This Row],[CH4 8-24h, ml]]+Table3.110[[#This Row],[CH4 8h, ml]]</f>
        <v>7.4996764953995783</v>
      </c>
      <c r="AM858" s="94">
        <f>(Table3.110[[#This Row],[Net gas 24h, ml]]/Table3.110[[#This Row],[DM Incubated, mg]])*1000</f>
        <v>104.49020550187284</v>
      </c>
      <c r="AN858" s="94">
        <f>'3.2 Digest'!X858</f>
        <v>25.278314261690504</v>
      </c>
      <c r="AO858" s="94">
        <f>Table3.110[[#This Row],[Digested feed, mg]]/Table3.110[[#This Row],[Net gas 24h, ml]]</f>
        <v>2.4192041866773271</v>
      </c>
      <c r="AP858" s="94">
        <f>Table3.110[[#This Row],[CH4 8h, ml]]/Table3.110[[#This Row],[Net gas 8h, ml]]%</f>
        <v>14.999999999999998</v>
      </c>
      <c r="AQ858" s="94">
        <f>Table3.110[[#This Row],[CH4 24h, ml]]/Table3.110[[#This Row],[Net gas 24h, ml]]%</f>
        <v>15.323062168818423</v>
      </c>
      <c r="AR858" s="94">
        <f>Table3.110[[#This Row],[CH4 24h, ml]]/Table3.110[[#This Row],[DM Incubated, mg]]*1000</f>
        <v>16.011099149378104</v>
      </c>
      <c r="AS858" s="94">
        <f>Table3.110[[#This Row],[CH4 24h, ml]]/Table3.110[[#This Row],[Digested feed, mg]]*1000</f>
        <v>63.339267736073126</v>
      </c>
      <c r="AT858" s="94">
        <f>Table3.110[[#This Row],[CH4 24h, ml]]/'3.2 Digest'!AA858</f>
        <v>4.140749299074348</v>
      </c>
      <c r="AU858" s="94">
        <f>((Table3.110[[#This Row],[CH4 24h, ml]]/28.9)*16.04)/Table3.110[[#This Row],[DM Incubated, mg]]*1000</f>
        <v>8.8864370365406486</v>
      </c>
      <c r="AV858" s="94">
        <f>((Table3.110[[#This Row],[CH4 24h, ml]]/28.9)*16.04)/Table3.110[[#This Row],[Digested feed, mg]]*1000</f>
        <v>35.154389428602521</v>
      </c>
      <c r="AW858" s="64"/>
    </row>
    <row r="859" spans="2:49" x14ac:dyDescent="0.35">
      <c r="B859" s="90">
        <f t="shared" si="13"/>
        <v>849</v>
      </c>
      <c r="C859" s="140">
        <v>46055</v>
      </c>
      <c r="D859" s="8" t="s">
        <v>120</v>
      </c>
      <c r="E859" s="6" t="s">
        <v>122</v>
      </c>
      <c r="F859" s="6" t="s">
        <v>123</v>
      </c>
      <c r="G859" s="6" t="s">
        <v>545</v>
      </c>
      <c r="H859" s="6" t="s">
        <v>125</v>
      </c>
      <c r="I859" s="6" t="s">
        <v>108</v>
      </c>
      <c r="J859" s="129" t="s">
        <v>109</v>
      </c>
      <c r="K859" s="129" t="s">
        <v>110</v>
      </c>
      <c r="L859" s="6" t="s">
        <v>121</v>
      </c>
      <c r="M859" s="93">
        <v>29</v>
      </c>
      <c r="N859" s="93">
        <v>62</v>
      </c>
      <c r="O859" s="6">
        <v>1</v>
      </c>
      <c r="P859" s="129">
        <v>3</v>
      </c>
      <c r="Q859" s="6">
        <v>160</v>
      </c>
      <c r="R859" s="98">
        <v>0.5</v>
      </c>
      <c r="S859" s="94">
        <f>((Table3.110[[#This Row],[Sample weight, g]]*'2.1. DM'!Q239)/100)*1000</f>
        <v>467.75</v>
      </c>
      <c r="T859" s="94">
        <f>'3.2 Digest'!W859</f>
        <v>25.549999999999955</v>
      </c>
      <c r="U859" s="117">
        <v>0.38541666666666669</v>
      </c>
      <c r="V859" s="155">
        <v>41</v>
      </c>
      <c r="W859" s="117">
        <v>0.72569444444444442</v>
      </c>
      <c r="X859" s="97">
        <v>58</v>
      </c>
      <c r="Y859" s="97">
        <v>14.7</v>
      </c>
      <c r="Z859" s="155">
        <v>40</v>
      </c>
      <c r="AA859" s="117">
        <v>0.40416666666666667</v>
      </c>
      <c r="AB859" s="155">
        <v>67.5</v>
      </c>
      <c r="AC859" s="155">
        <v>15.9</v>
      </c>
      <c r="AD859" s="96"/>
      <c r="AE859" s="94">
        <f>Table3.110[[#This Row],[Gas 8h, ml]]-Table3.110[[#This Row],[Gas 0h, ml]]</f>
        <v>17</v>
      </c>
      <c r="AF859" s="94">
        <f>Table3.110[[#This Row],[Gas 24h, ml]]-Table3.110[[#This Row],[V8 Push back, ml]]</f>
        <v>27.5</v>
      </c>
      <c r="AG859" s="94">
        <f>Table3.110[[#This Row],[GP 8h, ml]]-(AVERAGE(AE$790,AE$791,AE$840,AE$841,AE$860,AE$861))*$AG$8</f>
        <v>15.81999099187605</v>
      </c>
      <c r="AH859" s="94">
        <f>Table3.110[[#This Row],[GP 8-24h, ml]]-(AVERAGE(AF$790,AF$791,AF$840,AF$841,AF$860,AF$861))*$AG$8</f>
        <v>24.623728042697874</v>
      </c>
      <c r="AI859" s="94">
        <f>Table3.110[[#This Row],[Net gas 8-24h, ml]]+Table3.110[[#This Row],[Net gas 8h, ml]]</f>
        <v>40.443719034573924</v>
      </c>
      <c r="AJ859" s="94">
        <f>Table3.110[[#This Row],[Net gas 8h, ml]]*Table3.110[[#This Row],[CH4 8h %]]%</f>
        <v>2.3255386758057792</v>
      </c>
      <c r="AK859" s="94">
        <f>Table3.110[[#This Row],[Net gas 8-24h, ml]]*Table3.110[[#This Row],[CH4 24h, %]]%</f>
        <v>3.915172758788962</v>
      </c>
      <c r="AL859" s="94">
        <f>Table3.110[[#This Row],[CH4 8-24h, ml]]+Table3.110[[#This Row],[CH4 8h, ml]]</f>
        <v>6.2407114345947416</v>
      </c>
      <c r="AM859" s="94">
        <f>(Table3.110[[#This Row],[Net gas 24h, ml]]/Table3.110[[#This Row],[DM Incubated, mg]])*1000</f>
        <v>86.464391308549267</v>
      </c>
      <c r="AN859" s="94">
        <f>'3.2 Digest'!X859</f>
        <v>5.4623196151790392</v>
      </c>
      <c r="AO859" s="94">
        <f>Table3.110[[#This Row],[Digested feed, mg]]/Table3.110[[#This Row],[Net gas 24h, ml]]</f>
        <v>0.63174210013075582</v>
      </c>
      <c r="AP859" s="94">
        <f>Table3.110[[#This Row],[CH4 8h, ml]]/Table3.110[[#This Row],[Net gas 8h, ml]]%</f>
        <v>14.699999999999998</v>
      </c>
      <c r="AQ859" s="94">
        <f>Table3.110[[#This Row],[CH4 24h, ml]]/Table3.110[[#This Row],[Net gas 24h, ml]]%</f>
        <v>15.430607232880279</v>
      </c>
      <c r="AR859" s="94">
        <f>Table3.110[[#This Row],[CH4 24h, ml]]/Table3.110[[#This Row],[DM Incubated, mg]]*1000</f>
        <v>13.341980619122911</v>
      </c>
      <c r="AS859" s="94">
        <f>Table3.110[[#This Row],[CH4 24h, ml]]/Table3.110[[#This Row],[Digested feed, mg]]*1000</f>
        <v>244.25485066907055</v>
      </c>
      <c r="AT859" s="94">
        <f>Table3.110[[#This Row],[CH4 24h, ml]]/'3.2 Digest'!AA859</f>
        <v>-0.25758020003624821</v>
      </c>
      <c r="AU859" s="94">
        <f>((Table3.110[[#This Row],[CH4 24h, ml]]/28.9)*16.04)/Table3.110[[#This Row],[DM Incubated, mg]]*1000</f>
        <v>7.4050300737277333</v>
      </c>
      <c r="AV859" s="94">
        <f>((Table3.110[[#This Row],[CH4 24h, ml]]/28.9)*16.04)/Table3.110[[#This Row],[Digested feed, mg]]*1000</f>
        <v>135.56566798380248</v>
      </c>
      <c r="AW859" s="64"/>
    </row>
    <row r="860" spans="2:49" x14ac:dyDescent="0.35">
      <c r="B860" s="90">
        <f t="shared" si="13"/>
        <v>850</v>
      </c>
      <c r="C860" s="140">
        <v>46055</v>
      </c>
      <c r="D860" s="6"/>
      <c r="E860" s="6" t="s">
        <v>537</v>
      </c>
      <c r="F860" s="6" t="s">
        <v>538</v>
      </c>
      <c r="G860" s="6">
        <v>24</v>
      </c>
      <c r="H860" s="6" t="s">
        <v>537</v>
      </c>
      <c r="I860" s="277"/>
      <c r="J860" s="278"/>
      <c r="K860" s="6"/>
      <c r="L860" s="6" t="s">
        <v>539</v>
      </c>
      <c r="M860" s="93">
        <v>29</v>
      </c>
      <c r="N860" s="93">
        <v>62</v>
      </c>
      <c r="O860" s="6">
        <v>1</v>
      </c>
      <c r="P860" s="129">
        <v>1</v>
      </c>
      <c r="Q860" s="6">
        <v>161</v>
      </c>
      <c r="R860" s="98"/>
      <c r="S860" s="94"/>
      <c r="T860" s="94"/>
      <c r="U860" s="115">
        <v>0.3659722222222222</v>
      </c>
      <c r="V860" s="94">
        <v>40</v>
      </c>
      <c r="W860" s="115">
        <v>0.70347222222222228</v>
      </c>
      <c r="X860" s="93">
        <v>43</v>
      </c>
      <c r="Y860" s="93"/>
      <c r="Z860" s="94">
        <v>39.5</v>
      </c>
      <c r="AA860" s="115">
        <v>0.40486111111111112</v>
      </c>
      <c r="AB860" s="94">
        <v>45</v>
      </c>
      <c r="AC860" s="94"/>
      <c r="AD860" s="93"/>
      <c r="AE860" s="94">
        <f>Table3.110[[#This Row],[Gas 8h, ml]]-Table3.110[[#This Row],[Gas 0h, ml]]</f>
        <v>3</v>
      </c>
      <c r="AF860" s="94">
        <f>Table3.110[[#This Row],[Gas 24h, ml]]-Table3.110[[#This Row],[V8 Push back, ml]]</f>
        <v>5.5</v>
      </c>
      <c r="AG860" s="94"/>
      <c r="AH860" s="94"/>
      <c r="AI860" s="94"/>
      <c r="AJ860" s="94"/>
      <c r="AK860" s="94"/>
      <c r="AL860" s="94"/>
      <c r="AM860" s="94"/>
      <c r="AN860" s="94"/>
      <c r="AO860" s="94"/>
      <c r="AP860" s="94"/>
      <c r="AQ860" s="94"/>
      <c r="AR860" s="94"/>
      <c r="AS860" s="94"/>
      <c r="AT860" s="94"/>
      <c r="AU860" s="94"/>
      <c r="AV860" s="94"/>
      <c r="AW860" s="64"/>
    </row>
    <row r="861" spans="2:49" x14ac:dyDescent="0.35">
      <c r="B861" s="90">
        <f t="shared" si="13"/>
        <v>851</v>
      </c>
      <c r="C861" s="140">
        <v>46055</v>
      </c>
      <c r="D861" s="6"/>
      <c r="E861" s="6" t="s">
        <v>537</v>
      </c>
      <c r="F861" s="6" t="s">
        <v>538</v>
      </c>
      <c r="G861" s="6">
        <v>24</v>
      </c>
      <c r="H861" s="6" t="s">
        <v>537</v>
      </c>
      <c r="I861" s="277"/>
      <c r="J861" s="278"/>
      <c r="K861" s="6"/>
      <c r="L861" s="6" t="s">
        <v>539</v>
      </c>
      <c r="M861" s="93">
        <v>29</v>
      </c>
      <c r="N861" s="93">
        <v>62</v>
      </c>
      <c r="O861" s="6">
        <v>1</v>
      </c>
      <c r="P861" s="129">
        <v>2</v>
      </c>
      <c r="Q861" s="6">
        <v>162</v>
      </c>
      <c r="R861" s="98"/>
      <c r="S861" s="94"/>
      <c r="T861" s="94"/>
      <c r="U861" s="115">
        <v>0.36666666666666664</v>
      </c>
      <c r="V861" s="94">
        <v>39.5</v>
      </c>
      <c r="W861" s="115">
        <v>0.70347222222222228</v>
      </c>
      <c r="X861" s="93">
        <v>43.5</v>
      </c>
      <c r="Y861" s="93"/>
      <c r="Z861" s="94">
        <v>39</v>
      </c>
      <c r="AA861" s="115">
        <v>0.40555555555555556</v>
      </c>
      <c r="AB861" s="94">
        <v>44</v>
      </c>
      <c r="AC861" s="94"/>
      <c r="AD861" s="93"/>
      <c r="AE861" s="94">
        <f>Table3.110[[#This Row],[Gas 8h, ml]]-Table3.110[[#This Row],[Gas 0h, ml]]</f>
        <v>4</v>
      </c>
      <c r="AF861" s="94">
        <f>Table3.110[[#This Row],[Gas 24h, ml]]-Table3.110[[#This Row],[V8 Push back, ml]]</f>
        <v>5</v>
      </c>
      <c r="AG861" s="94"/>
      <c r="AH861" s="94"/>
      <c r="AI861" s="94"/>
      <c r="AJ861" s="94"/>
      <c r="AK861" s="94"/>
      <c r="AL861" s="94"/>
      <c r="AM861" s="94"/>
      <c r="AN861" s="94"/>
      <c r="AO861" s="94"/>
      <c r="AP861" s="94"/>
      <c r="AQ861" s="94"/>
      <c r="AR861" s="94"/>
      <c r="AS861" s="94"/>
      <c r="AT861" s="94"/>
      <c r="AU861" s="94"/>
      <c r="AV861" s="94"/>
      <c r="AW861" s="64"/>
    </row>
    <row r="862" spans="2:49" x14ac:dyDescent="0.35">
      <c r="B862" s="90">
        <f t="shared" si="13"/>
        <v>852</v>
      </c>
      <c r="C862" s="140">
        <v>46057</v>
      </c>
      <c r="D862" s="6"/>
      <c r="E862" s="6" t="s">
        <v>537</v>
      </c>
      <c r="F862" s="6" t="s">
        <v>538</v>
      </c>
      <c r="G862" s="6">
        <v>24</v>
      </c>
      <c r="H862" s="6" t="s">
        <v>537</v>
      </c>
      <c r="I862" s="277"/>
      <c r="J862" s="278"/>
      <c r="K862" s="6"/>
      <c r="L862" s="6" t="s">
        <v>539</v>
      </c>
      <c r="M862" s="93">
        <v>29</v>
      </c>
      <c r="N862" s="93">
        <v>63</v>
      </c>
      <c r="O862" s="6">
        <v>2</v>
      </c>
      <c r="P862" s="129">
        <v>1</v>
      </c>
      <c r="Q862" s="6">
        <v>163</v>
      </c>
      <c r="R862" s="98"/>
      <c r="S862" s="94"/>
      <c r="T862" s="94"/>
      <c r="U862" s="153">
        <v>0.3298611111111111</v>
      </c>
      <c r="V862" s="154">
        <v>39</v>
      </c>
      <c r="W862" s="153">
        <v>0.66319444444444442</v>
      </c>
      <c r="X862" s="91">
        <v>42</v>
      </c>
      <c r="Y862" s="91"/>
      <c r="Z862" s="154">
        <v>39</v>
      </c>
      <c r="AA862" s="153">
        <v>0.33194444444444443</v>
      </c>
      <c r="AB862" s="154">
        <v>43.5</v>
      </c>
      <c r="AC862" s="154"/>
      <c r="AD862" s="91"/>
      <c r="AE862" s="94">
        <f>Table3.110[[#This Row],[Gas 8h, ml]]-Table3.110[[#This Row],[Gas 0h, ml]]</f>
        <v>3</v>
      </c>
      <c r="AF862" s="94">
        <f>Table3.110[[#This Row],[Gas 24h, ml]]-Table3.110[[#This Row],[V8 Push back, ml]]</f>
        <v>4.5</v>
      </c>
      <c r="AG862" s="94"/>
      <c r="AH862" s="94"/>
      <c r="AI862" s="94"/>
      <c r="AJ862" s="94"/>
      <c r="AK862" s="94"/>
      <c r="AL862" s="94"/>
      <c r="AM862" s="94"/>
      <c r="AN862" s="94"/>
      <c r="AO862" s="94"/>
      <c r="AP862" s="94"/>
      <c r="AQ862" s="94"/>
      <c r="AR862" s="94"/>
      <c r="AS862" s="94"/>
      <c r="AT862" s="94"/>
      <c r="AU862" s="94"/>
      <c r="AV862" s="94"/>
      <c r="AW862" s="64"/>
    </row>
    <row r="863" spans="2:49" x14ac:dyDescent="0.35">
      <c r="B863" s="90">
        <f t="shared" si="13"/>
        <v>853</v>
      </c>
      <c r="C863" s="140">
        <v>46057</v>
      </c>
      <c r="D863" s="6"/>
      <c r="E863" s="6" t="s">
        <v>537</v>
      </c>
      <c r="F863" s="6" t="s">
        <v>538</v>
      </c>
      <c r="G863" s="6">
        <v>24</v>
      </c>
      <c r="H863" s="6" t="s">
        <v>537</v>
      </c>
      <c r="I863" s="277"/>
      <c r="J863" s="278"/>
      <c r="K863" s="6"/>
      <c r="L863" s="6" t="s">
        <v>539</v>
      </c>
      <c r="M863" s="93">
        <v>29</v>
      </c>
      <c r="N863" s="93">
        <v>63</v>
      </c>
      <c r="O863" s="6">
        <v>2</v>
      </c>
      <c r="P863" s="6">
        <v>2</v>
      </c>
      <c r="Q863" s="6">
        <v>164</v>
      </c>
      <c r="R863" s="98"/>
      <c r="S863" s="94"/>
      <c r="T863" s="94"/>
      <c r="U863" s="117">
        <v>0.33055555555555555</v>
      </c>
      <c r="V863" s="155">
        <v>39</v>
      </c>
      <c r="W863" s="117">
        <v>0.66319444444444442</v>
      </c>
      <c r="X863" s="96">
        <v>42.5</v>
      </c>
      <c r="Y863" s="96"/>
      <c r="Z863" s="155">
        <v>39</v>
      </c>
      <c r="AA863" s="117">
        <v>0.33263888888888887</v>
      </c>
      <c r="AB863" s="155">
        <v>43.5</v>
      </c>
      <c r="AC863" s="155"/>
      <c r="AD863" s="96"/>
      <c r="AE863" s="94">
        <f>Table3.110[[#This Row],[Gas 8h, ml]]-Table3.110[[#This Row],[Gas 0h, ml]]</f>
        <v>3.5</v>
      </c>
      <c r="AF863" s="94">
        <f>Table3.110[[#This Row],[Gas 24h, ml]]-Table3.110[[#This Row],[V8 Push back, ml]]</f>
        <v>4.5</v>
      </c>
      <c r="AG863" s="94"/>
      <c r="AH863" s="94"/>
      <c r="AI863" s="94"/>
      <c r="AJ863" s="94"/>
      <c r="AK863" s="94"/>
      <c r="AL863" s="94"/>
      <c r="AM863" s="94"/>
      <c r="AN863" s="94"/>
      <c r="AO863" s="94"/>
      <c r="AP863" s="94"/>
      <c r="AQ863" s="94"/>
      <c r="AR863" s="94"/>
      <c r="AS863" s="94"/>
      <c r="AT863" s="94"/>
      <c r="AU863" s="94"/>
      <c r="AV863" s="94"/>
      <c r="AW863" s="64"/>
    </row>
    <row r="864" spans="2:49" x14ac:dyDescent="0.35">
      <c r="B864" s="90">
        <f t="shared" si="13"/>
        <v>854</v>
      </c>
      <c r="C864" s="140">
        <v>46057</v>
      </c>
      <c r="D864" s="6" t="s">
        <v>16</v>
      </c>
      <c r="E864" s="6" t="s">
        <v>322</v>
      </c>
      <c r="F864" s="6" t="s">
        <v>290</v>
      </c>
      <c r="G864" s="6" t="s">
        <v>318</v>
      </c>
      <c r="H864" s="6" t="s">
        <v>319</v>
      </c>
      <c r="I864" s="6" t="s">
        <v>22</v>
      </c>
      <c r="J864" s="129" t="s">
        <v>23</v>
      </c>
      <c r="K864" s="129" t="s">
        <v>215</v>
      </c>
      <c r="L864" s="6" t="s">
        <v>321</v>
      </c>
      <c r="M864" s="93">
        <v>29</v>
      </c>
      <c r="N864" s="93">
        <v>63</v>
      </c>
      <c r="O864" s="6">
        <v>2</v>
      </c>
      <c r="P864" s="129">
        <v>1</v>
      </c>
      <c r="Q864" s="6">
        <v>165</v>
      </c>
      <c r="R864" s="98">
        <v>0.50019999999999998</v>
      </c>
      <c r="S864" s="94">
        <f>((Table3.110[[#This Row],[Sample weight, g]]*'2.1. DM'!Q197)/100)*1000</f>
        <v>447.86190828351459</v>
      </c>
      <c r="T864" s="94">
        <f>'3.2 Digest'!W864</f>
        <v>174.56190828351458</v>
      </c>
      <c r="U864" s="153">
        <v>0.33055555555555555</v>
      </c>
      <c r="V864" s="154">
        <v>40</v>
      </c>
      <c r="W864" s="153">
        <v>0.66319444444444442</v>
      </c>
      <c r="X864" s="91">
        <v>79</v>
      </c>
      <c r="Y864" s="91">
        <v>14.5</v>
      </c>
      <c r="Z864" s="154">
        <v>39</v>
      </c>
      <c r="AA864" s="153">
        <v>0.33333333333333331</v>
      </c>
      <c r="AB864" s="154">
        <v>74</v>
      </c>
      <c r="AC864" s="154">
        <v>12.4</v>
      </c>
      <c r="AD864" s="91"/>
      <c r="AE864" s="94">
        <f>Table3.110[[#This Row],[Gas 8h, ml]]-Table3.110[[#This Row],[Gas 0h, ml]]</f>
        <v>39</v>
      </c>
      <c r="AF864" s="94">
        <f>Table3.110[[#This Row],[Gas 24h, ml]]-Table3.110[[#This Row],[V8 Push back, ml]]</f>
        <v>35</v>
      </c>
      <c r="AG864" s="94">
        <f>Table3.110[[#This Row],[GP 8h, ml]]-(AVERAGE(AE$862,AE$863,AE$912,AE$913,AE$932,AE$933))*$AG$8</f>
        <v>35.754975227659145</v>
      </c>
      <c r="AH864" s="94">
        <f>Table3.110[[#This Row],[GP 8-24h, ml]]-(AVERAGE(AF$862,AF$863,AF$912,AF$913,AF$932,AF$933))*$AG$8</f>
        <v>30.685592064046812</v>
      </c>
      <c r="AI864" s="94">
        <f>Table3.110[[#This Row],[Net gas 8-24h, ml]]+Table3.110[[#This Row],[Net gas 8h, ml]]</f>
        <v>66.44056729170596</v>
      </c>
      <c r="AJ864" s="94">
        <f>Table3.110[[#This Row],[Net gas 8h, ml]]*Table3.110[[#This Row],[CH4 8h %]]%</f>
        <v>5.1844714080105758</v>
      </c>
      <c r="AK864" s="94">
        <f>Table3.110[[#This Row],[Net gas 8-24h, ml]]*Table3.110[[#This Row],[CH4 24h, %]]%</f>
        <v>3.8050134159418048</v>
      </c>
      <c r="AL864" s="94">
        <f>Table3.110[[#This Row],[CH4 8-24h, ml]]+Table3.110[[#This Row],[CH4 8h, ml]]</f>
        <v>8.989484823952381</v>
      </c>
      <c r="AM864" s="94">
        <f>(Table3.110[[#This Row],[Net gas 24h, ml]]/Table3.110[[#This Row],[DM Incubated, mg]])*1000</f>
        <v>148.3505653480278</v>
      </c>
      <c r="AN864" s="94">
        <f>'3.2 Digest'!X864</f>
        <v>38.97672587350516</v>
      </c>
      <c r="AO864" s="94">
        <f>Table3.110[[#This Row],[Digested feed, mg]]/Table3.110[[#This Row],[Net gas 24h, ml]]</f>
        <v>2.6273392205864838</v>
      </c>
      <c r="AP864" s="94">
        <f>Table3.110[[#This Row],[CH4 8h, ml]]/Table3.110[[#This Row],[Net gas 8h, ml]]%</f>
        <v>14.499999999999998</v>
      </c>
      <c r="AQ864" s="94">
        <f>Table3.110[[#This Row],[CH4 24h, ml]]/Table3.110[[#This Row],[Net gas 24h, ml]]%</f>
        <v>13.530114492376669</v>
      </c>
      <c r="AR864" s="94">
        <f>Table3.110[[#This Row],[CH4 24h, ml]]/Table3.110[[#This Row],[DM Incubated, mg]]*1000</f>
        <v>20.072001341676227</v>
      </c>
      <c r="AS864" s="94">
        <f>Table3.110[[#This Row],[CH4 24h, ml]]/Table3.110[[#This Row],[Digested feed, mg]]*1000</f>
        <v>51.497402339072259</v>
      </c>
      <c r="AT864" s="94">
        <f>Table3.110[[#This Row],[CH4 24h, ml]]/'3.2 Digest'!AA864</f>
        <v>-0.57045724428138977</v>
      </c>
      <c r="AU864" s="94">
        <f>((Table3.110[[#This Row],[CH4 24h, ml]]/28.9)*16.04)/Table3.110[[#This Row],[DM Incubated, mg]]*1000</f>
        <v>11.140308011089505</v>
      </c>
      <c r="AV864" s="94">
        <f>((Table3.110[[#This Row],[CH4 24h, ml]]/28.9)*16.04)/Table3.110[[#This Row],[Digested feed, mg]]*1000</f>
        <v>28.58194925670308</v>
      </c>
      <c r="AW864" s="64"/>
    </row>
    <row r="865" spans="2:49" x14ac:dyDescent="0.35">
      <c r="B865" s="90">
        <f t="shared" si="13"/>
        <v>855</v>
      </c>
      <c r="C865" s="140">
        <v>46057</v>
      </c>
      <c r="D865" s="6" t="s">
        <v>16</v>
      </c>
      <c r="E865" s="6" t="s">
        <v>322</v>
      </c>
      <c r="F865" s="6" t="s">
        <v>290</v>
      </c>
      <c r="G865" s="6" t="s">
        <v>318</v>
      </c>
      <c r="H865" s="6" t="s">
        <v>319</v>
      </c>
      <c r="I865" s="6" t="s">
        <v>22</v>
      </c>
      <c r="J865" s="129" t="s">
        <v>23</v>
      </c>
      <c r="K865" s="129" t="s">
        <v>215</v>
      </c>
      <c r="L865" s="6" t="s">
        <v>321</v>
      </c>
      <c r="M865" s="93">
        <v>29</v>
      </c>
      <c r="N865" s="93">
        <v>63</v>
      </c>
      <c r="O865" s="6">
        <v>2</v>
      </c>
      <c r="P865" s="129">
        <v>2</v>
      </c>
      <c r="Q865" s="6">
        <v>166</v>
      </c>
      <c r="R865" s="98">
        <v>0.5</v>
      </c>
      <c r="S865" s="94">
        <f>((Table3.110[[#This Row],[Sample weight, g]]*'2.1. DM'!Q197)/100)*1000</f>
        <v>447.68283514945477</v>
      </c>
      <c r="T865" s="94">
        <f>'3.2 Digest'!W865</f>
        <v>179.68283514945477</v>
      </c>
      <c r="U865" s="117">
        <v>0.33055555555555555</v>
      </c>
      <c r="V865" s="155">
        <v>40</v>
      </c>
      <c r="W865" s="117">
        <v>0.66319444444444442</v>
      </c>
      <c r="X865" s="96">
        <v>79.5</v>
      </c>
      <c r="Y865" s="96">
        <v>14.5</v>
      </c>
      <c r="Z865" s="155">
        <v>39.5</v>
      </c>
      <c r="AA865" s="117">
        <v>0.33402777777777776</v>
      </c>
      <c r="AB865" s="155">
        <v>75.5</v>
      </c>
      <c r="AC865" s="155">
        <v>14.6</v>
      </c>
      <c r="AD865" s="96"/>
      <c r="AE865" s="94">
        <f>Table3.110[[#This Row],[Gas 8h, ml]]-Table3.110[[#This Row],[Gas 0h, ml]]</f>
        <v>39.5</v>
      </c>
      <c r="AF865" s="94">
        <f>Table3.110[[#This Row],[Gas 24h, ml]]-Table3.110[[#This Row],[V8 Push back, ml]]</f>
        <v>36</v>
      </c>
      <c r="AG865" s="94">
        <f>Table3.110[[#This Row],[GP 8h, ml]]-(AVERAGE(AE$862,AE$863,AE$912,AE$913,AE$932,AE$933))*$AG$8</f>
        <v>36.254975227659145</v>
      </c>
      <c r="AH865" s="94">
        <f>Table3.110[[#This Row],[GP 8-24h, ml]]-(AVERAGE(AF$862,AF$863,AF$912,AF$913,AF$932,AF$933))*$AG$8</f>
        <v>31.685592064046812</v>
      </c>
      <c r="AI865" s="94">
        <f>Table3.110[[#This Row],[Net gas 8-24h, ml]]+Table3.110[[#This Row],[Net gas 8h, ml]]</f>
        <v>67.94056729170596</v>
      </c>
      <c r="AJ865" s="94">
        <f>Table3.110[[#This Row],[Net gas 8h, ml]]*Table3.110[[#This Row],[CH4 8h %]]%</f>
        <v>5.2569714080105756</v>
      </c>
      <c r="AK865" s="94">
        <f>Table3.110[[#This Row],[Net gas 8-24h, ml]]*Table3.110[[#This Row],[CH4 24h, %]]%</f>
        <v>4.6260964413508345</v>
      </c>
      <c r="AL865" s="94">
        <f>Table3.110[[#This Row],[CH4 8-24h, ml]]+Table3.110[[#This Row],[CH4 8h, ml]]</f>
        <v>9.8830678493614101</v>
      </c>
      <c r="AM865" s="94">
        <f>(Table3.110[[#This Row],[Net gas 24h, ml]]/Table3.110[[#This Row],[DM Incubated, mg]])*1000</f>
        <v>151.76049193180395</v>
      </c>
      <c r="AN865" s="94">
        <f>'3.2 Digest'!X865</f>
        <v>40.136190410219619</v>
      </c>
      <c r="AO865" s="94">
        <f>Table3.110[[#This Row],[Digested feed, mg]]/Table3.110[[#This Row],[Net gas 24h, ml]]</f>
        <v>2.6447061352605172</v>
      </c>
      <c r="AP865" s="94">
        <f>Table3.110[[#This Row],[CH4 8h, ml]]/Table3.110[[#This Row],[Net gas 8h, ml]]%</f>
        <v>14.499999999999998</v>
      </c>
      <c r="AQ865" s="94">
        <f>Table3.110[[#This Row],[CH4 24h, ml]]/Table3.110[[#This Row],[Net gas 24h, ml]]%</f>
        <v>14.546637220334064</v>
      </c>
      <c r="AR865" s="94">
        <f>Table3.110[[#This Row],[CH4 24h, ml]]/Table3.110[[#This Row],[DM Incubated, mg]]*1000</f>
        <v>22.076048205113871</v>
      </c>
      <c r="AS865" s="94">
        <f>Table3.110[[#This Row],[CH4 24h, ml]]/Table3.110[[#This Row],[Digested feed, mg]]*1000</f>
        <v>55.002848998575587</v>
      </c>
      <c r="AT865" s="94">
        <f>Table3.110[[#This Row],[CH4 24h, ml]]/'3.2 Digest'!AA865</f>
        <v>-0.72889715447699377</v>
      </c>
      <c r="AU865" s="94">
        <f>((Table3.110[[#This Row],[CH4 24h, ml]]/28.9)*16.04)/Table3.110[[#This Row],[DM Incubated, mg]]*1000</f>
        <v>12.252588692388459</v>
      </c>
      <c r="AV865" s="94">
        <f>((Table3.110[[#This Row],[CH4 24h, ml]]/28.9)*16.04)/Table3.110[[#This Row],[Digested feed, mg]]*1000</f>
        <v>30.527532800593509</v>
      </c>
      <c r="AW865" s="64"/>
    </row>
    <row r="866" spans="2:49" x14ac:dyDescent="0.35">
      <c r="B866" s="90">
        <f t="shared" si="13"/>
        <v>856</v>
      </c>
      <c r="C866" s="140">
        <v>46057</v>
      </c>
      <c r="D866" s="6" t="s">
        <v>16</v>
      </c>
      <c r="E866" s="6" t="s">
        <v>322</v>
      </c>
      <c r="F866" s="6" t="s">
        <v>290</v>
      </c>
      <c r="G866" s="6" t="s">
        <v>318</v>
      </c>
      <c r="H866" s="6" t="s">
        <v>319</v>
      </c>
      <c r="I866" s="6" t="s">
        <v>22</v>
      </c>
      <c r="J866" s="129" t="s">
        <v>23</v>
      </c>
      <c r="K866" s="129" t="s">
        <v>215</v>
      </c>
      <c r="L866" s="6" t="s">
        <v>321</v>
      </c>
      <c r="M866" s="93">
        <v>29</v>
      </c>
      <c r="N866" s="93">
        <v>63</v>
      </c>
      <c r="O866" s="6">
        <v>2</v>
      </c>
      <c r="P866" s="6">
        <v>3</v>
      </c>
      <c r="Q866" s="6">
        <v>167</v>
      </c>
      <c r="R866" s="98">
        <v>0.50029999999999997</v>
      </c>
      <c r="S866" s="94">
        <f>((Table3.110[[#This Row],[Sample weight, g]]*'2.1. DM'!Q197)/100)*1000</f>
        <v>447.95144485054442</v>
      </c>
      <c r="T866" s="94">
        <f>'3.2 Digest'!W866</f>
        <v>193.65144485054435</v>
      </c>
      <c r="U866" s="153">
        <v>0.33194444444444443</v>
      </c>
      <c r="V866" s="154">
        <v>40</v>
      </c>
      <c r="W866" s="153">
        <v>0.66388888888888886</v>
      </c>
      <c r="X866" s="91">
        <v>79.5</v>
      </c>
      <c r="Y866" s="91">
        <v>14.5</v>
      </c>
      <c r="Z866" s="154">
        <v>39</v>
      </c>
      <c r="AA866" s="153">
        <v>0.33402777777777776</v>
      </c>
      <c r="AB866" s="154">
        <v>74.5</v>
      </c>
      <c r="AC866" s="154">
        <v>15.1</v>
      </c>
      <c r="AD866" s="91"/>
      <c r="AE866" s="94">
        <f>Table3.110[[#This Row],[Gas 8h, ml]]-Table3.110[[#This Row],[Gas 0h, ml]]</f>
        <v>39.5</v>
      </c>
      <c r="AF866" s="94">
        <f>Table3.110[[#This Row],[Gas 24h, ml]]-Table3.110[[#This Row],[V8 Push back, ml]]</f>
        <v>35.5</v>
      </c>
      <c r="AG866" s="94">
        <f>Table3.110[[#This Row],[GP 8h, ml]]-(AVERAGE(AE$862,AE$863,AE$912,AE$913,AE$932,AE$933))*$AG$8</f>
        <v>36.254975227659145</v>
      </c>
      <c r="AH866" s="94">
        <f>Table3.110[[#This Row],[GP 8-24h, ml]]-(AVERAGE(AF$862,AF$863,AF$912,AF$913,AF$932,AF$933))*$AG$8</f>
        <v>31.185592064046812</v>
      </c>
      <c r="AI866" s="94">
        <f>Table3.110[[#This Row],[Net gas 8-24h, ml]]+Table3.110[[#This Row],[Net gas 8h, ml]]</f>
        <v>67.44056729170596</v>
      </c>
      <c r="AJ866" s="94">
        <f>Table3.110[[#This Row],[Net gas 8h, ml]]*Table3.110[[#This Row],[CH4 8h %]]%</f>
        <v>5.2569714080105756</v>
      </c>
      <c r="AK866" s="94">
        <f>Table3.110[[#This Row],[Net gas 8-24h, ml]]*Table3.110[[#This Row],[CH4 24h, %]]%</f>
        <v>4.7090244016710683</v>
      </c>
      <c r="AL866" s="94">
        <f>Table3.110[[#This Row],[CH4 8-24h, ml]]+Table3.110[[#This Row],[CH4 8h, ml]]</f>
        <v>9.9659958096816439</v>
      </c>
      <c r="AM866" s="94">
        <f>(Table3.110[[#This Row],[Net gas 24h, ml]]/Table3.110[[#This Row],[DM Incubated, mg]])*1000</f>
        <v>150.55329783389132</v>
      </c>
      <c r="AN866" s="94">
        <f>'3.2 Digest'!X866</f>
        <v>43.230454344254802</v>
      </c>
      <c r="AO866" s="94">
        <f>Table3.110[[#This Row],[Digested feed, mg]]/Table3.110[[#This Row],[Net gas 24h, ml]]</f>
        <v>2.8714385514126626</v>
      </c>
      <c r="AP866" s="94">
        <f>Table3.110[[#This Row],[CH4 8h, ml]]/Table3.110[[#This Row],[Net gas 8h, ml]]%</f>
        <v>14.499999999999998</v>
      </c>
      <c r="AQ866" s="94">
        <f>Table3.110[[#This Row],[CH4 24h, ml]]/Table3.110[[#This Row],[Net gas 24h, ml]]%</f>
        <v>14.777449552841013</v>
      </c>
      <c r="AR866" s="94">
        <f>Table3.110[[#This Row],[CH4 24h, ml]]/Table3.110[[#This Row],[DM Incubated, mg]]*1000</f>
        <v>22.247937637541771</v>
      </c>
      <c r="AS866" s="94">
        <f>Table3.110[[#This Row],[CH4 24h, ml]]/Table3.110[[#This Row],[Digested feed, mg]]*1000</f>
        <v>51.463575793989897</v>
      </c>
      <c r="AT866" s="94">
        <f>Table3.110[[#This Row],[CH4 24h, ml]]/'3.2 Digest'!AA866</f>
        <v>-1.2960938425973396</v>
      </c>
      <c r="AU866" s="94">
        <f>((Table3.110[[#This Row],[CH4 24h, ml]]/28.9)*16.04)/Table3.110[[#This Row],[DM Incubated, mg]]*1000</f>
        <v>12.347990301251556</v>
      </c>
      <c r="AV866" s="94">
        <f>((Table3.110[[#This Row],[CH4 24h, ml]]/28.9)*16.04)/Table3.110[[#This Row],[Digested feed, mg]]*1000</f>
        <v>28.563174938948027</v>
      </c>
      <c r="AW866" s="64"/>
    </row>
    <row r="867" spans="2:49" x14ac:dyDescent="0.35">
      <c r="B867" s="90">
        <f t="shared" si="13"/>
        <v>857</v>
      </c>
      <c r="C867" s="140">
        <v>46057</v>
      </c>
      <c r="D867" s="6" t="s">
        <v>16</v>
      </c>
      <c r="E867" s="6" t="s">
        <v>326</v>
      </c>
      <c r="F867" s="6" t="s">
        <v>290</v>
      </c>
      <c r="G867" s="6" t="s">
        <v>318</v>
      </c>
      <c r="H867" s="6" t="s">
        <v>319</v>
      </c>
      <c r="I867" s="6" t="s">
        <v>22</v>
      </c>
      <c r="J867" s="129" t="s">
        <v>23</v>
      </c>
      <c r="K867" s="129" t="s">
        <v>215</v>
      </c>
      <c r="L867" s="6" t="s">
        <v>325</v>
      </c>
      <c r="M867" s="93">
        <v>29</v>
      </c>
      <c r="N867" s="93">
        <v>63</v>
      </c>
      <c r="O867" s="6">
        <v>2</v>
      </c>
      <c r="P867" s="129">
        <v>1</v>
      </c>
      <c r="Q867" s="6">
        <v>168</v>
      </c>
      <c r="R867" s="98">
        <v>0.5</v>
      </c>
      <c r="S867" s="94">
        <f>((Table3.110[[#This Row],[Sample weight, g]]*'2.1. DM'!Q199)/100)*1000</f>
        <v>464.70529911615881</v>
      </c>
      <c r="T867" s="94">
        <f>'3.2 Digest'!W867</f>
        <v>208.20529911615887</v>
      </c>
      <c r="U867" s="117">
        <v>0.33194444444444443</v>
      </c>
      <c r="V867" s="155">
        <v>40</v>
      </c>
      <c r="W867" s="117">
        <v>0.6645833333333333</v>
      </c>
      <c r="X867" s="96">
        <v>74.5</v>
      </c>
      <c r="Y867" s="96">
        <v>13.1</v>
      </c>
      <c r="Z867" s="155">
        <v>39</v>
      </c>
      <c r="AA867" s="117">
        <v>0.3347222222222222</v>
      </c>
      <c r="AB867" s="155">
        <v>72.5</v>
      </c>
      <c r="AC867" s="155">
        <v>14.6</v>
      </c>
      <c r="AD867" s="96" t="s">
        <v>569</v>
      </c>
      <c r="AE867" s="94">
        <f>Table3.110[[#This Row],[Gas 8h, ml]]-Table3.110[[#This Row],[Gas 0h, ml]]</f>
        <v>34.5</v>
      </c>
      <c r="AF867" s="94">
        <f>Table3.110[[#This Row],[Gas 24h, ml]]-Table3.110[[#This Row],[V8 Push back, ml]]</f>
        <v>33.5</v>
      </c>
      <c r="AG867" s="94">
        <f>Table3.110[[#This Row],[GP 8h, ml]]-(AVERAGE(AE$862,AE$863,AE$912,AE$913,AE$932,AE$933))*$AG$8</f>
        <v>31.254975227659141</v>
      </c>
      <c r="AH867" s="94">
        <f>Table3.110[[#This Row],[GP 8-24h, ml]]-(AVERAGE(AF$862,AF$863,AF$912,AF$913,AF$932,AF$933))*$AG$8</f>
        <v>29.185592064046812</v>
      </c>
      <c r="AI867" s="94">
        <f>Table3.110[[#This Row],[Net gas 8-24h, ml]]+Table3.110[[#This Row],[Net gas 8h, ml]]</f>
        <v>60.440567291705953</v>
      </c>
      <c r="AJ867" s="94">
        <f>Table3.110[[#This Row],[Net gas 8h, ml]]*Table3.110[[#This Row],[CH4 8h %]]%</f>
        <v>4.0944017548233473</v>
      </c>
      <c r="AK867" s="94">
        <f>Table3.110[[#This Row],[Net gas 8-24h, ml]]*Table3.110[[#This Row],[CH4 24h, %]]%</f>
        <v>4.2610964413508343</v>
      </c>
      <c r="AL867" s="94">
        <f>Table3.110[[#This Row],[CH4 8-24h, ml]]+Table3.110[[#This Row],[CH4 8h, ml]]</f>
        <v>8.3554981961741817</v>
      </c>
      <c r="AM867" s="94">
        <f>(Table3.110[[#This Row],[Net gas 24h, ml]]/Table3.110[[#This Row],[DM Incubated, mg]])*1000</f>
        <v>130.06214348461322</v>
      </c>
      <c r="AN867" s="94">
        <f>'3.2 Digest'!X867</f>
        <v>44.803728193363121</v>
      </c>
      <c r="AO867" s="94">
        <f>Table3.110[[#This Row],[Digested feed, mg]]/Table3.110[[#This Row],[Net gas 24h, ml]]</f>
        <v>3.4447939264251439</v>
      </c>
      <c r="AP867" s="94">
        <f>Table3.110[[#This Row],[CH4 8h, ml]]/Table3.110[[#This Row],[Net gas 8h, ml]]%</f>
        <v>13.099999999999998</v>
      </c>
      <c r="AQ867" s="94">
        <f>Table3.110[[#This Row],[CH4 24h, ml]]/Table3.110[[#This Row],[Net gas 24h, ml]]%</f>
        <v>13.824321263974598</v>
      </c>
      <c r="AR867" s="94">
        <f>Table3.110[[#This Row],[CH4 24h, ml]]/Table3.110[[#This Row],[DM Incubated, mg]]*1000</f>
        <v>17.980208558124538</v>
      </c>
      <c r="AS867" s="94">
        <f>Table3.110[[#This Row],[CH4 24h, ml]]/Table3.110[[#This Row],[Digested feed, mg]]*1000</f>
        <v>40.131054452714018</v>
      </c>
      <c r="AT867" s="94">
        <f>Table3.110[[#This Row],[CH4 24h, ml]]/'3.2 Digest'!AA867</f>
        <v>-1.178311544048896</v>
      </c>
      <c r="AU867" s="94">
        <f>((Table3.110[[#This Row],[CH4 24h, ml]]/28.9)*16.04)/Table3.110[[#This Row],[DM Incubated, mg]]*1000</f>
        <v>9.97932682603175</v>
      </c>
      <c r="AV867" s="94">
        <f>((Table3.110[[#This Row],[CH4 24h, ml]]/28.9)*16.04)/Table3.110[[#This Row],[Digested feed, mg]]*1000</f>
        <v>22.273429530156847</v>
      </c>
      <c r="AW867" s="64"/>
    </row>
    <row r="868" spans="2:49" x14ac:dyDescent="0.35">
      <c r="B868" s="90">
        <f t="shared" si="13"/>
        <v>858</v>
      </c>
      <c r="C868" s="140">
        <v>46057</v>
      </c>
      <c r="D868" s="6" t="s">
        <v>16</v>
      </c>
      <c r="E868" s="6" t="s">
        <v>326</v>
      </c>
      <c r="F868" s="6" t="s">
        <v>290</v>
      </c>
      <c r="G868" s="6" t="s">
        <v>318</v>
      </c>
      <c r="H868" s="6" t="s">
        <v>319</v>
      </c>
      <c r="I868" s="6" t="s">
        <v>22</v>
      </c>
      <c r="J868" s="129" t="s">
        <v>23</v>
      </c>
      <c r="K868" s="129" t="s">
        <v>215</v>
      </c>
      <c r="L868" s="6" t="s">
        <v>325</v>
      </c>
      <c r="M868" s="93">
        <v>29</v>
      </c>
      <c r="N868" s="93">
        <v>63</v>
      </c>
      <c r="O868" s="6">
        <v>2</v>
      </c>
      <c r="P868" s="129">
        <v>2</v>
      </c>
      <c r="Q868" s="6">
        <v>169</v>
      </c>
      <c r="R868" s="98">
        <v>0.50019999999999998</v>
      </c>
      <c r="S868" s="94">
        <f>((Table3.110[[#This Row],[Sample weight, g]]*'2.1. DM'!Q199)/100)*1000</f>
        <v>464.89118123580528</v>
      </c>
      <c r="T868" s="94">
        <f>'3.2 Digest'!W868</f>
        <v>209.39118123580533</v>
      </c>
      <c r="U868" s="117">
        <v>0.33194444444444443</v>
      </c>
      <c r="V868" s="154">
        <v>39.5</v>
      </c>
      <c r="W868" s="153">
        <v>0.6645833333333333</v>
      </c>
      <c r="X868" s="91">
        <v>73</v>
      </c>
      <c r="Y868" s="91">
        <v>13</v>
      </c>
      <c r="Z868" s="154">
        <v>39</v>
      </c>
      <c r="AA868" s="153">
        <v>0.33541666666666664</v>
      </c>
      <c r="AB868" s="154">
        <v>72.5</v>
      </c>
      <c r="AC868" s="154">
        <v>14.3</v>
      </c>
      <c r="AD868" s="91"/>
      <c r="AE868" s="94">
        <f>Table3.110[[#This Row],[Gas 8h, ml]]-Table3.110[[#This Row],[Gas 0h, ml]]</f>
        <v>33.5</v>
      </c>
      <c r="AF868" s="94">
        <f>Table3.110[[#This Row],[Gas 24h, ml]]-Table3.110[[#This Row],[V8 Push back, ml]]</f>
        <v>33.5</v>
      </c>
      <c r="AG868" s="94">
        <f>Table3.110[[#This Row],[GP 8h, ml]]-(AVERAGE(AE$862,AE$863,AE$912,AE$913,AE$932,AE$933))*$AG$8</f>
        <v>30.254975227659141</v>
      </c>
      <c r="AH868" s="94">
        <f>Table3.110[[#This Row],[GP 8-24h, ml]]-(AVERAGE(AF$862,AF$863,AF$912,AF$913,AF$932,AF$933))*$AG$8</f>
        <v>29.185592064046812</v>
      </c>
      <c r="AI868" s="94">
        <f>Table3.110[[#This Row],[Net gas 8-24h, ml]]+Table3.110[[#This Row],[Net gas 8h, ml]]</f>
        <v>59.440567291705953</v>
      </c>
      <c r="AJ868" s="94">
        <f>Table3.110[[#This Row],[Net gas 8h, ml]]*Table3.110[[#This Row],[CH4 8h %]]%</f>
        <v>3.9331467795956887</v>
      </c>
      <c r="AK868" s="94">
        <f>Table3.110[[#This Row],[Net gas 8-24h, ml]]*Table3.110[[#This Row],[CH4 24h, %]]%</f>
        <v>4.1735396651586942</v>
      </c>
      <c r="AL868" s="94">
        <f>Table3.110[[#This Row],[CH4 8-24h, ml]]+Table3.110[[#This Row],[CH4 8h, ml]]</f>
        <v>8.1066864447543825</v>
      </c>
      <c r="AM868" s="94">
        <f>(Table3.110[[#This Row],[Net gas 24h, ml]]/Table3.110[[#This Row],[DM Incubated, mg]])*1000</f>
        <v>127.8590984102925</v>
      </c>
      <c r="AN868" s="94">
        <f>'3.2 Digest'!X868</f>
        <v>45.040901976068355</v>
      </c>
      <c r="AO868" s="94">
        <f>Table3.110[[#This Row],[Digested feed, mg]]/Table3.110[[#This Row],[Net gas 24h, ml]]</f>
        <v>3.5226982307926722</v>
      </c>
      <c r="AP868" s="94">
        <f>Table3.110[[#This Row],[CH4 8h, ml]]/Table3.110[[#This Row],[Net gas 8h, ml]]%</f>
        <v>13</v>
      </c>
      <c r="AQ868" s="94">
        <f>Table3.110[[#This Row],[CH4 24h, ml]]/Table3.110[[#This Row],[Net gas 24h, ml]]%</f>
        <v>13.638305982126033</v>
      </c>
      <c r="AR868" s="94">
        <f>Table3.110[[#This Row],[CH4 24h, ml]]/Table3.110[[#This Row],[DM Incubated, mg]]*1000</f>
        <v>17.43781506718333</v>
      </c>
      <c r="AS868" s="94">
        <f>Table3.110[[#This Row],[CH4 24h, ml]]/Table3.110[[#This Row],[Digested feed, mg]]*1000</f>
        <v>38.715510352009808</v>
      </c>
      <c r="AT868" s="94">
        <f>Table3.110[[#This Row],[CH4 24h, ml]]/'3.2 Digest'!AA868</f>
        <v>-1.2225590948757499</v>
      </c>
      <c r="AU868" s="94">
        <f>((Table3.110[[#This Row],[CH4 24h, ml]]/28.9)*16.04)/Table3.110[[#This Row],[DM Incubated, mg]]*1000</f>
        <v>9.6782890545889479</v>
      </c>
      <c r="AV868" s="94">
        <f>((Table3.110[[#This Row],[CH4 24h, ml]]/28.9)*16.04)/Table3.110[[#This Row],[Digested feed, mg]]*1000</f>
        <v>21.487778063883638</v>
      </c>
      <c r="AW868" s="64"/>
    </row>
    <row r="869" spans="2:49" x14ac:dyDescent="0.35">
      <c r="B869" s="90">
        <f t="shared" si="13"/>
        <v>859</v>
      </c>
      <c r="C869" s="140">
        <v>46057</v>
      </c>
      <c r="D869" s="6" t="s">
        <v>16</v>
      </c>
      <c r="E869" s="6" t="s">
        <v>326</v>
      </c>
      <c r="F869" s="6" t="s">
        <v>290</v>
      </c>
      <c r="G869" s="6" t="s">
        <v>318</v>
      </c>
      <c r="H869" s="6" t="s">
        <v>319</v>
      </c>
      <c r="I869" s="6" t="s">
        <v>22</v>
      </c>
      <c r="J869" s="129" t="s">
        <v>23</v>
      </c>
      <c r="K869" s="129" t="s">
        <v>215</v>
      </c>
      <c r="L869" s="6" t="s">
        <v>325</v>
      </c>
      <c r="M869" s="93">
        <v>29</v>
      </c>
      <c r="N869" s="93">
        <v>63</v>
      </c>
      <c r="O869" s="6">
        <v>2</v>
      </c>
      <c r="P869" s="6">
        <v>3</v>
      </c>
      <c r="Q869" s="6">
        <v>170</v>
      </c>
      <c r="R869" s="98">
        <v>0.50039999999999996</v>
      </c>
      <c r="S869" s="94">
        <f>((Table3.110[[#This Row],[Sample weight, g]]*'2.1. DM'!Q199)/100)*1000</f>
        <v>465.07706335545174</v>
      </c>
      <c r="T869" s="94">
        <f>'3.2 Digest'!W869</f>
        <v>138.8770633554517</v>
      </c>
      <c r="U869" s="117">
        <v>0.33263888888888887</v>
      </c>
      <c r="V869" s="155">
        <v>40</v>
      </c>
      <c r="W869" s="117">
        <v>0.66527777777777775</v>
      </c>
      <c r="X869" s="96">
        <v>76.5</v>
      </c>
      <c r="Y869" s="96">
        <v>12.7</v>
      </c>
      <c r="Z869" s="155">
        <v>39.5</v>
      </c>
      <c r="AA869" s="117">
        <v>0.33541666666666664</v>
      </c>
      <c r="AB869" s="155">
        <v>73.5</v>
      </c>
      <c r="AC869" s="155">
        <v>14.2</v>
      </c>
      <c r="AD869" s="96" t="s">
        <v>569</v>
      </c>
      <c r="AE869" s="94">
        <f>Table3.110[[#This Row],[Gas 8h, ml]]-Table3.110[[#This Row],[Gas 0h, ml]]</f>
        <v>36.5</v>
      </c>
      <c r="AF869" s="94">
        <f>Table3.110[[#This Row],[Gas 24h, ml]]-Table3.110[[#This Row],[V8 Push back, ml]]</f>
        <v>34</v>
      </c>
      <c r="AG869" s="94">
        <f>Table3.110[[#This Row],[GP 8h, ml]]-(AVERAGE(AE$862,AE$863,AE$912,AE$913,AE$932,AE$933))*$AG$8</f>
        <v>33.254975227659145</v>
      </c>
      <c r="AH869" s="94">
        <f>Table3.110[[#This Row],[GP 8-24h, ml]]-(AVERAGE(AF$862,AF$863,AF$912,AF$913,AF$932,AF$933))*$AG$8</f>
        <v>29.685592064046812</v>
      </c>
      <c r="AI869" s="94">
        <f>Table3.110[[#This Row],[Net gas 8-24h, ml]]+Table3.110[[#This Row],[Net gas 8h, ml]]</f>
        <v>62.94056729170596</v>
      </c>
      <c r="AJ869" s="94">
        <f>Table3.110[[#This Row],[Net gas 8h, ml]]*Table3.110[[#This Row],[CH4 8h %]]%</f>
        <v>4.223381853912711</v>
      </c>
      <c r="AK869" s="94">
        <f>Table3.110[[#This Row],[Net gas 8-24h, ml]]*Table3.110[[#This Row],[CH4 24h, %]]%</f>
        <v>4.2153540730946473</v>
      </c>
      <c r="AL869" s="94">
        <f>Table3.110[[#This Row],[CH4 8-24h, ml]]+Table3.110[[#This Row],[CH4 8h, ml]]</f>
        <v>8.4387359270073574</v>
      </c>
      <c r="AM869" s="94">
        <f>(Table3.110[[#This Row],[Net gas 24h, ml]]/Table3.110[[#This Row],[DM Incubated, mg]])*1000</f>
        <v>135.33363016787044</v>
      </c>
      <c r="AN869" s="94">
        <f>'3.2 Digest'!X869</f>
        <v>29.861086322657442</v>
      </c>
      <c r="AO869" s="94">
        <f>Table3.110[[#This Row],[Digested feed, mg]]/Table3.110[[#This Row],[Net gas 24h, ml]]</f>
        <v>2.206479371433189</v>
      </c>
      <c r="AP869" s="94">
        <f>Table3.110[[#This Row],[CH4 8h, ml]]/Table3.110[[#This Row],[Net gas 8h, ml]]%</f>
        <v>12.7</v>
      </c>
      <c r="AQ869" s="94">
        <f>Table3.110[[#This Row],[CH4 24h, ml]]/Table3.110[[#This Row],[Net gas 24h, ml]]%</f>
        <v>13.407467218871696</v>
      </c>
      <c r="AR869" s="94">
        <f>Table3.110[[#This Row],[CH4 24h, ml]]/Table3.110[[#This Row],[DM Incubated, mg]]*1000</f>
        <v>18.144812100866286</v>
      </c>
      <c r="AS869" s="94">
        <f>Table3.110[[#This Row],[CH4 24h, ml]]/Table3.110[[#This Row],[Digested feed, mg]]*1000</f>
        <v>60.764072360953264</v>
      </c>
      <c r="AT869" s="94">
        <f>Table3.110[[#This Row],[CH4 24h, ml]]/'3.2 Digest'!AA869</f>
        <v>-0.23387276492135625</v>
      </c>
      <c r="AU869" s="94">
        <f>((Table3.110[[#This Row],[CH4 24h, ml]]/28.9)*16.04)/Table3.110[[#This Row],[DM Incubated, mg]]*1000</f>
        <v>10.070684640065581</v>
      </c>
      <c r="AV869" s="94">
        <f>((Table3.110[[#This Row],[CH4 24h, ml]]/28.9)*16.04)/Table3.110[[#This Row],[Digested feed, mg]]*1000</f>
        <v>33.725111441857798</v>
      </c>
      <c r="AW869" s="64"/>
    </row>
    <row r="870" spans="2:49" x14ac:dyDescent="0.35">
      <c r="B870" s="90">
        <f t="shared" si="13"/>
        <v>860</v>
      </c>
      <c r="C870" s="140">
        <v>46057</v>
      </c>
      <c r="D870" s="6" t="s">
        <v>16</v>
      </c>
      <c r="E870" s="6" t="s">
        <v>328</v>
      </c>
      <c r="F870" s="6" t="s">
        <v>264</v>
      </c>
      <c r="G870" s="6" t="s">
        <v>329</v>
      </c>
      <c r="H870" s="6" t="s">
        <v>330</v>
      </c>
      <c r="I870" s="6" t="s">
        <v>22</v>
      </c>
      <c r="J870" s="129" t="s">
        <v>23</v>
      </c>
      <c r="K870" s="129" t="s">
        <v>215</v>
      </c>
      <c r="L870" s="6" t="s">
        <v>327</v>
      </c>
      <c r="M870" s="93">
        <v>29</v>
      </c>
      <c r="N870" s="93">
        <v>63</v>
      </c>
      <c r="O870" s="6">
        <v>2</v>
      </c>
      <c r="P870" s="129">
        <v>1</v>
      </c>
      <c r="Q870" s="6">
        <v>171</v>
      </c>
      <c r="R870" s="98">
        <v>0.50039999999999996</v>
      </c>
      <c r="S870" s="94">
        <f>((Table3.110[[#This Row],[Sample weight, g]]*'2.1. DM'!Q201)/100)*1000</f>
        <v>453.0763552010618</v>
      </c>
      <c r="T870" s="94">
        <f>'3.2 Digest'!W870</f>
        <v>205.37635520106187</v>
      </c>
      <c r="U870" s="153">
        <v>0.33263888888888887</v>
      </c>
      <c r="V870" s="154">
        <v>40.5</v>
      </c>
      <c r="W870" s="153">
        <v>0.66527777777777775</v>
      </c>
      <c r="X870" s="91">
        <v>85.5</v>
      </c>
      <c r="Y870" s="91">
        <v>14.6</v>
      </c>
      <c r="Z870" s="154">
        <v>39.5</v>
      </c>
      <c r="AA870" s="153">
        <v>0.33611111111111114</v>
      </c>
      <c r="AB870" s="154">
        <v>84</v>
      </c>
      <c r="AC870" s="154">
        <v>17.899999999999999</v>
      </c>
      <c r="AD870" s="91" t="s">
        <v>569</v>
      </c>
      <c r="AE870" s="94">
        <f>Table3.110[[#This Row],[Gas 8h, ml]]-Table3.110[[#This Row],[Gas 0h, ml]]</f>
        <v>45</v>
      </c>
      <c r="AF870" s="94">
        <f>Table3.110[[#This Row],[Gas 24h, ml]]-Table3.110[[#This Row],[V8 Push back, ml]]</f>
        <v>44.5</v>
      </c>
      <c r="AG870" s="94">
        <f>Table3.110[[#This Row],[GP 8h, ml]]-(AVERAGE(AE$862,AE$863,AE$912,AE$913,AE$932,AE$933))*$AG$8</f>
        <v>41.754975227659145</v>
      </c>
      <c r="AH870" s="94">
        <f>Table3.110[[#This Row],[GP 8-24h, ml]]-(AVERAGE(AF$862,AF$863,AF$912,AF$913,AF$932,AF$933))*$AG$8</f>
        <v>40.185592064046816</v>
      </c>
      <c r="AI870" s="94">
        <f>Table3.110[[#This Row],[Net gas 8-24h, ml]]+Table3.110[[#This Row],[Net gas 8h, ml]]</f>
        <v>81.94056729170596</v>
      </c>
      <c r="AJ870" s="94">
        <f>Table3.110[[#This Row],[Net gas 8h, ml]]*Table3.110[[#This Row],[CH4 8h %]]%</f>
        <v>6.0962263832382346</v>
      </c>
      <c r="AK870" s="94">
        <f>Table3.110[[#This Row],[Net gas 8-24h, ml]]*Table3.110[[#This Row],[CH4 24h, %]]%</f>
        <v>7.19322097946438</v>
      </c>
      <c r="AL870" s="94">
        <f>Table3.110[[#This Row],[CH4 8-24h, ml]]+Table3.110[[#This Row],[CH4 8h, ml]]</f>
        <v>13.289447362702614</v>
      </c>
      <c r="AM870" s="94">
        <f>(Table3.110[[#This Row],[Net gas 24h, ml]]/Table3.110[[#This Row],[DM Incubated, mg]])*1000</f>
        <v>180.85377078515424</v>
      </c>
      <c r="AN870" s="94">
        <f>'3.2 Digest'!X870</f>
        <v>45.329303293684781</v>
      </c>
      <c r="AO870" s="94">
        <f>Table3.110[[#This Row],[Digested feed, mg]]/Table3.110[[#This Row],[Net gas 24h, ml]]</f>
        <v>2.5064063136142103</v>
      </c>
      <c r="AP870" s="94">
        <f>Table3.110[[#This Row],[CH4 8h, ml]]/Table3.110[[#This Row],[Net gas 8h, ml]]%</f>
        <v>14.599999999999998</v>
      </c>
      <c r="AQ870" s="94">
        <f>Table3.110[[#This Row],[CH4 24h, ml]]/Table3.110[[#This Row],[Net gas 24h, ml]]%</f>
        <v>16.218398043782855</v>
      </c>
      <c r="AR870" s="94">
        <f>Table3.110[[#This Row],[CH4 24h, ml]]/Table3.110[[#This Row],[DM Incubated, mg]]*1000</f>
        <v>29.331584423126987</v>
      </c>
      <c r="AS870" s="94">
        <f>Table3.110[[#This Row],[CH4 24h, ml]]/Table3.110[[#This Row],[Digested feed, mg]]*1000</f>
        <v>64.707776850418583</v>
      </c>
      <c r="AT870" s="94">
        <f>Table3.110[[#This Row],[CH4 24h, ml]]/'3.2 Digest'!AA870</f>
        <v>-2.3343624833947487</v>
      </c>
      <c r="AU870" s="94">
        <f>((Table3.110[[#This Row],[CH4 24h, ml]]/28.9)*16.04)/Table3.110[[#This Row],[DM Incubated, mg]]*1000</f>
        <v>16.279536821694009</v>
      </c>
      <c r="AV870" s="94">
        <f>((Table3.110[[#This Row],[CH4 24h, ml]]/28.9)*16.04)/Table3.110[[#This Row],[Digested feed, mg]]*1000</f>
        <v>35.913935663692527</v>
      </c>
      <c r="AW870" s="64"/>
    </row>
    <row r="871" spans="2:49" x14ac:dyDescent="0.35">
      <c r="B871" s="90">
        <f t="shared" si="13"/>
        <v>861</v>
      </c>
      <c r="C871" s="140">
        <v>46057</v>
      </c>
      <c r="D871" s="6" t="s">
        <v>16</v>
      </c>
      <c r="E871" s="6" t="s">
        <v>328</v>
      </c>
      <c r="F871" s="6" t="s">
        <v>264</v>
      </c>
      <c r="G871" s="6" t="s">
        <v>329</v>
      </c>
      <c r="H871" s="6" t="s">
        <v>330</v>
      </c>
      <c r="I871" s="6" t="s">
        <v>22</v>
      </c>
      <c r="J871" s="129" t="s">
        <v>23</v>
      </c>
      <c r="K871" s="129" t="s">
        <v>215</v>
      </c>
      <c r="L871" s="6" t="s">
        <v>327</v>
      </c>
      <c r="M871" s="93">
        <v>29</v>
      </c>
      <c r="N871" s="93">
        <v>63</v>
      </c>
      <c r="O871" s="6">
        <v>2</v>
      </c>
      <c r="P871" s="129">
        <v>2</v>
      </c>
      <c r="Q871" s="6">
        <v>172</v>
      </c>
      <c r="R871" s="98">
        <v>0.50009999999999999</v>
      </c>
      <c r="S871" s="94">
        <f>((Table3.110[[#This Row],[Sample weight, g]]*'2.1. DM'!Q201)/100)*1000</f>
        <v>452.80472669074948</v>
      </c>
      <c r="T871" s="94">
        <f>'3.2 Digest'!W871</f>
        <v>177.80472669074948</v>
      </c>
      <c r="U871" s="117">
        <v>0.33263888888888887</v>
      </c>
      <c r="V871" s="155">
        <v>41</v>
      </c>
      <c r="W871" s="117">
        <v>0.66527777777777775</v>
      </c>
      <c r="X871" s="96">
        <v>86</v>
      </c>
      <c r="Y871" s="96">
        <v>14.4</v>
      </c>
      <c r="Z871" s="155">
        <v>40.5</v>
      </c>
      <c r="AA871" s="117">
        <v>0.33680555555555558</v>
      </c>
      <c r="AB871" s="155">
        <v>82</v>
      </c>
      <c r="AC871" s="155">
        <v>18.399999999999999</v>
      </c>
      <c r="AD871" s="96"/>
      <c r="AE871" s="94">
        <f>Table3.110[[#This Row],[Gas 8h, ml]]-Table3.110[[#This Row],[Gas 0h, ml]]</f>
        <v>45</v>
      </c>
      <c r="AF871" s="94">
        <f>Table3.110[[#This Row],[Gas 24h, ml]]-Table3.110[[#This Row],[V8 Push back, ml]]</f>
        <v>41.5</v>
      </c>
      <c r="AG871" s="94">
        <f>Table3.110[[#This Row],[GP 8h, ml]]-(AVERAGE(AE$862,AE$863,AE$912,AE$913,AE$932,AE$933))*$AG$8</f>
        <v>41.754975227659145</v>
      </c>
      <c r="AH871" s="94">
        <f>Table3.110[[#This Row],[GP 8-24h, ml]]-(AVERAGE(AF$862,AF$863,AF$912,AF$913,AF$932,AF$933))*$AG$8</f>
        <v>37.185592064046816</v>
      </c>
      <c r="AI871" s="94">
        <f>Table3.110[[#This Row],[Net gas 8-24h, ml]]+Table3.110[[#This Row],[Net gas 8h, ml]]</f>
        <v>78.94056729170596</v>
      </c>
      <c r="AJ871" s="94">
        <f>Table3.110[[#This Row],[Net gas 8h, ml]]*Table3.110[[#This Row],[CH4 8h %]]%</f>
        <v>6.0127164327829172</v>
      </c>
      <c r="AK871" s="94">
        <f>Table3.110[[#This Row],[Net gas 8-24h, ml]]*Table3.110[[#This Row],[CH4 24h, %]]%</f>
        <v>6.8421489397846136</v>
      </c>
      <c r="AL871" s="94">
        <f>Table3.110[[#This Row],[CH4 8-24h, ml]]+Table3.110[[#This Row],[CH4 8h, ml]]</f>
        <v>12.854865372567531</v>
      </c>
      <c r="AM871" s="94">
        <f>(Table3.110[[#This Row],[Net gas 24h, ml]]/Table3.110[[#This Row],[DM Incubated, mg]])*1000</f>
        <v>174.33688881436908</v>
      </c>
      <c r="AN871" s="94">
        <f>'3.2 Digest'!X871</f>
        <v>39.267418427852277</v>
      </c>
      <c r="AO871" s="94">
        <f>Table3.110[[#This Row],[Digested feed, mg]]/Table3.110[[#This Row],[Net gas 24h, ml]]</f>
        <v>2.2523872425911851</v>
      </c>
      <c r="AP871" s="94">
        <f>Table3.110[[#This Row],[CH4 8h, ml]]/Table3.110[[#This Row],[Net gas 8h, ml]]%</f>
        <v>14.4</v>
      </c>
      <c r="AQ871" s="94">
        <f>Table3.110[[#This Row],[CH4 24h, ml]]/Table3.110[[#This Row],[Net gas 24h, ml]]%</f>
        <v>16.28423232007626</v>
      </c>
      <c r="AR871" s="94">
        <f>Table3.110[[#This Row],[CH4 24h, ml]]/Table3.110[[#This Row],[DM Incubated, mg]]*1000</f>
        <v>28.3894239941249</v>
      </c>
      <c r="AS871" s="94">
        <f>Table3.110[[#This Row],[CH4 24h, ml]]/Table3.110[[#This Row],[Digested feed, mg]]*1000</f>
        <v>72.297658289622518</v>
      </c>
      <c r="AT871" s="94">
        <f>Table3.110[[#This Row],[CH4 24h, ml]]/'3.2 Digest'!AA871</f>
        <v>-0.73826778272240634</v>
      </c>
      <c r="AU871" s="94">
        <f>((Table3.110[[#This Row],[CH4 24h, ml]]/28.9)*16.04)/Table3.110[[#This Row],[DM Incubated, mg]]*1000</f>
        <v>15.756621483244409</v>
      </c>
      <c r="AV871" s="94">
        <f>((Table3.110[[#This Row],[CH4 24h, ml]]/28.9)*16.04)/Table3.110[[#This Row],[Digested feed, mg]]*1000</f>
        <v>40.126451175278383</v>
      </c>
      <c r="AW871" s="64"/>
    </row>
    <row r="872" spans="2:49" x14ac:dyDescent="0.35">
      <c r="B872" s="90">
        <f t="shared" si="13"/>
        <v>862</v>
      </c>
      <c r="C872" s="140">
        <v>46057</v>
      </c>
      <c r="D872" s="6" t="s">
        <v>16</v>
      </c>
      <c r="E872" s="6" t="s">
        <v>328</v>
      </c>
      <c r="F872" s="6" t="s">
        <v>264</v>
      </c>
      <c r="G872" s="6" t="s">
        <v>329</v>
      </c>
      <c r="H872" s="6" t="s">
        <v>330</v>
      </c>
      <c r="I872" s="6" t="s">
        <v>22</v>
      </c>
      <c r="J872" s="129" t="s">
        <v>23</v>
      </c>
      <c r="K872" s="129" t="s">
        <v>215</v>
      </c>
      <c r="L872" s="6" t="s">
        <v>327</v>
      </c>
      <c r="M872" s="93">
        <v>29</v>
      </c>
      <c r="N872" s="93">
        <v>63</v>
      </c>
      <c r="O872" s="6">
        <v>2</v>
      </c>
      <c r="P872" s="6">
        <v>3</v>
      </c>
      <c r="Q872" s="6">
        <v>173</v>
      </c>
      <c r="R872" s="98">
        <v>0.50049999999999994</v>
      </c>
      <c r="S872" s="94">
        <f>((Table3.110[[#This Row],[Sample weight, g]]*'2.1. DM'!Q201)/100)*1000</f>
        <v>453.16689803783254</v>
      </c>
      <c r="T872" s="94">
        <f>'3.2 Digest'!W872</f>
        <v>214.46689803783252</v>
      </c>
      <c r="U872" s="153">
        <v>0.33333333333333331</v>
      </c>
      <c r="V872" s="154">
        <v>40.5</v>
      </c>
      <c r="W872" s="153">
        <v>0.66597222222222219</v>
      </c>
      <c r="X872" s="91">
        <v>83</v>
      </c>
      <c r="Y872" s="91">
        <v>14.9</v>
      </c>
      <c r="Z872" s="154">
        <v>40</v>
      </c>
      <c r="AA872" s="153">
        <v>0.33680555555555558</v>
      </c>
      <c r="AB872" s="154">
        <v>85</v>
      </c>
      <c r="AC872" s="154">
        <v>18.600000000000001</v>
      </c>
      <c r="AD872" s="91"/>
      <c r="AE872" s="94">
        <f>Table3.110[[#This Row],[Gas 8h, ml]]-Table3.110[[#This Row],[Gas 0h, ml]]</f>
        <v>42.5</v>
      </c>
      <c r="AF872" s="94">
        <f>Table3.110[[#This Row],[Gas 24h, ml]]-Table3.110[[#This Row],[V8 Push back, ml]]</f>
        <v>45</v>
      </c>
      <c r="AG872" s="94">
        <f>Table3.110[[#This Row],[GP 8h, ml]]-(AVERAGE(AE$862,AE$863,AE$912,AE$913,AE$932,AE$933))*$AG$8</f>
        <v>39.254975227659145</v>
      </c>
      <c r="AH872" s="94">
        <f>Table3.110[[#This Row],[GP 8-24h, ml]]-(AVERAGE(AF$862,AF$863,AF$912,AF$913,AF$932,AF$933))*$AG$8</f>
        <v>40.685592064046816</v>
      </c>
      <c r="AI872" s="94">
        <f>Table3.110[[#This Row],[Net gas 8-24h, ml]]+Table3.110[[#This Row],[Net gas 8h, ml]]</f>
        <v>79.94056729170596</v>
      </c>
      <c r="AJ872" s="94">
        <f>Table3.110[[#This Row],[Net gas 8h, ml]]*Table3.110[[#This Row],[CH4 8h %]]%</f>
        <v>5.848991308921212</v>
      </c>
      <c r="AK872" s="94">
        <f>Table3.110[[#This Row],[Net gas 8-24h, ml]]*Table3.110[[#This Row],[CH4 24h, %]]%</f>
        <v>7.5675201239127086</v>
      </c>
      <c r="AL872" s="94">
        <f>Table3.110[[#This Row],[CH4 8-24h, ml]]+Table3.110[[#This Row],[CH4 8h, ml]]</f>
        <v>13.416511432833921</v>
      </c>
      <c r="AM872" s="94">
        <f>(Table3.110[[#This Row],[Net gas 24h, ml]]/Table3.110[[#This Row],[DM Incubated, mg]])*1000</f>
        <v>176.40425114420458</v>
      </c>
      <c r="AN872" s="94">
        <f>'3.2 Digest'!X872</f>
        <v>47.326249769445383</v>
      </c>
      <c r="AO872" s="94">
        <f>Table3.110[[#This Row],[Digested feed, mg]]/Table3.110[[#This Row],[Net gas 24h, ml]]</f>
        <v>2.68282932312996</v>
      </c>
      <c r="AP872" s="94">
        <f>Table3.110[[#This Row],[CH4 8h, ml]]/Table3.110[[#This Row],[Net gas 8h, ml]]%</f>
        <v>14.899999999999999</v>
      </c>
      <c r="AQ872" s="94">
        <f>Table3.110[[#This Row],[CH4 24h, ml]]/Table3.110[[#This Row],[Net gas 24h, ml]]%</f>
        <v>16.783107610278268</v>
      </c>
      <c r="AR872" s="94">
        <f>Table3.110[[#This Row],[CH4 24h, ml]]/Table3.110[[#This Row],[DM Incubated, mg]]*1000</f>
        <v>29.606115298637384</v>
      </c>
      <c r="AS872" s="94">
        <f>Table3.110[[#This Row],[CH4 24h, ml]]/Table3.110[[#This Row],[Digested feed, mg]]*1000</f>
        <v>62.557492813959627</v>
      </c>
      <c r="AT872" s="94">
        <f>Table3.110[[#This Row],[CH4 24h, ml]]/'3.2 Digest'!AA872</f>
        <v>-7.3220685908271657</v>
      </c>
      <c r="AU872" s="94">
        <f>((Table3.110[[#This Row],[CH4 24h, ml]]/28.9)*16.04)/Table3.110[[#This Row],[DM Incubated, mg]]*1000</f>
        <v>16.431906207271407</v>
      </c>
      <c r="AV872" s="94">
        <f>((Table3.110[[#This Row],[CH4 24h, ml]]/28.9)*16.04)/Table3.110[[#This Row],[Digested feed, mg]]*1000</f>
        <v>34.720490821311849</v>
      </c>
      <c r="AW872" s="64"/>
    </row>
    <row r="873" spans="2:49" x14ac:dyDescent="0.35">
      <c r="B873" s="90">
        <f t="shared" si="13"/>
        <v>863</v>
      </c>
      <c r="C873" s="140">
        <v>46057</v>
      </c>
      <c r="D873" s="6" t="s">
        <v>16</v>
      </c>
      <c r="E873" s="6" t="s">
        <v>332</v>
      </c>
      <c r="F873" s="6" t="s">
        <v>333</v>
      </c>
      <c r="G873" s="6" t="s">
        <v>334</v>
      </c>
      <c r="H873" s="6" t="s">
        <v>335</v>
      </c>
      <c r="I873" s="6" t="s">
        <v>22</v>
      </c>
      <c r="J873" s="129" t="s">
        <v>23</v>
      </c>
      <c r="K873" s="129" t="s">
        <v>303</v>
      </c>
      <c r="L873" s="6" t="s">
        <v>331</v>
      </c>
      <c r="M873" s="93">
        <v>29</v>
      </c>
      <c r="N873" s="93">
        <v>63</v>
      </c>
      <c r="O873" s="6">
        <v>2</v>
      </c>
      <c r="P873" s="129">
        <v>1</v>
      </c>
      <c r="Q873" s="6">
        <v>174</v>
      </c>
      <c r="R873" s="98">
        <v>0.50039999999999996</v>
      </c>
      <c r="S873" s="94">
        <f>((Table3.110[[#This Row],[Sample weight, g]]*'2.1. DM'!Q203)/100)*1000</f>
        <v>455.53207672480863</v>
      </c>
      <c r="T873" s="94">
        <f>'3.2 Digest'!W873</f>
        <v>181.03207672480869</v>
      </c>
      <c r="U873" s="117">
        <v>0.33333333333333331</v>
      </c>
      <c r="V873" s="155">
        <v>40.5</v>
      </c>
      <c r="W873" s="117">
        <v>0.66597222222222219</v>
      </c>
      <c r="X873" s="96">
        <v>85.5</v>
      </c>
      <c r="Y873" s="96">
        <v>14.7</v>
      </c>
      <c r="Z873" s="155">
        <v>39.5</v>
      </c>
      <c r="AA873" s="117">
        <v>0.33750000000000002</v>
      </c>
      <c r="AB873" s="155">
        <v>83</v>
      </c>
      <c r="AC873" s="155">
        <v>16.5</v>
      </c>
      <c r="AD873" s="96"/>
      <c r="AE873" s="94">
        <f>Table3.110[[#This Row],[Gas 8h, ml]]-Table3.110[[#This Row],[Gas 0h, ml]]</f>
        <v>45</v>
      </c>
      <c r="AF873" s="94">
        <f>Table3.110[[#This Row],[Gas 24h, ml]]-Table3.110[[#This Row],[V8 Push back, ml]]</f>
        <v>43.5</v>
      </c>
      <c r="AG873" s="94">
        <f>Table3.110[[#This Row],[GP 8h, ml]]-(AVERAGE(AE$862,AE$863,AE$912,AE$913,AE$932,AE$933))*$AG$8</f>
        <v>41.754975227659145</v>
      </c>
      <c r="AH873" s="94">
        <f>Table3.110[[#This Row],[GP 8-24h, ml]]-(AVERAGE(AF$862,AF$863,AF$912,AF$913,AF$932,AF$933))*$AG$8</f>
        <v>39.185592064046816</v>
      </c>
      <c r="AI873" s="94">
        <f>Table3.110[[#This Row],[Net gas 8-24h, ml]]+Table3.110[[#This Row],[Net gas 8h, ml]]</f>
        <v>80.94056729170596</v>
      </c>
      <c r="AJ873" s="94">
        <f>Table3.110[[#This Row],[Net gas 8h, ml]]*Table3.110[[#This Row],[CH4 8h %]]%</f>
        <v>6.1379813584658942</v>
      </c>
      <c r="AK873" s="94">
        <f>Table3.110[[#This Row],[Net gas 8-24h, ml]]*Table3.110[[#This Row],[CH4 24h, %]]%</f>
        <v>6.4656226905677245</v>
      </c>
      <c r="AL873" s="94">
        <f>Table3.110[[#This Row],[CH4 8-24h, ml]]+Table3.110[[#This Row],[CH4 8h, ml]]</f>
        <v>12.603604049033619</v>
      </c>
      <c r="AM873" s="94">
        <f>(Table3.110[[#This Row],[Net gas 24h, ml]]/Table3.110[[#This Row],[DM Incubated, mg]])*1000</f>
        <v>177.68357362154092</v>
      </c>
      <c r="AN873" s="94">
        <f>'3.2 Digest'!X873</f>
        <v>39.740796746168968</v>
      </c>
      <c r="AO873" s="94">
        <f>Table3.110[[#This Row],[Digested feed, mg]]/Table3.110[[#This Row],[Net gas 24h, ml]]</f>
        <v>2.236604990330469</v>
      </c>
      <c r="AP873" s="94">
        <f>Table3.110[[#This Row],[CH4 8h, ml]]/Table3.110[[#This Row],[Net gas 8h, ml]]%</f>
        <v>14.7</v>
      </c>
      <c r="AQ873" s="94">
        <f>Table3.110[[#This Row],[CH4 24h, ml]]/Table3.110[[#This Row],[Net gas 24h, ml]]%</f>
        <v>15.571430335558224</v>
      </c>
      <c r="AR873" s="94">
        <f>Table3.110[[#This Row],[CH4 24h, ml]]/Table3.110[[#This Row],[DM Incubated, mg]]*1000</f>
        <v>27.667873884208554</v>
      </c>
      <c r="AS873" s="94">
        <f>Table3.110[[#This Row],[CH4 24h, ml]]/Table3.110[[#This Row],[Digested feed, mg]]*1000</f>
        <v>69.620833374146542</v>
      </c>
      <c r="AT873" s="94">
        <f>Table3.110[[#This Row],[CH4 24h, ml]]/'3.2 Digest'!AA873</f>
        <v>-1.00128847790084</v>
      </c>
      <c r="AU873" s="94">
        <f>((Table3.110[[#This Row],[CH4 24h, ml]]/28.9)*16.04)/Table3.110[[#This Row],[DM Incubated, mg]]*1000</f>
        <v>15.356148688674917</v>
      </c>
      <c r="AV873" s="94">
        <f>((Table3.110[[#This Row],[CH4 24h, ml]]/28.9)*16.04)/Table3.110[[#This Row],[Digested feed, mg]]*1000</f>
        <v>38.640767035339465</v>
      </c>
      <c r="AW873" s="64"/>
    </row>
    <row r="874" spans="2:49" x14ac:dyDescent="0.35">
      <c r="B874" s="90">
        <f t="shared" si="13"/>
        <v>864</v>
      </c>
      <c r="C874" s="140">
        <v>46057</v>
      </c>
      <c r="D874" s="6" t="s">
        <v>16</v>
      </c>
      <c r="E874" s="6" t="s">
        <v>332</v>
      </c>
      <c r="F874" s="6" t="s">
        <v>333</v>
      </c>
      <c r="G874" s="6" t="s">
        <v>334</v>
      </c>
      <c r="H874" s="6" t="s">
        <v>335</v>
      </c>
      <c r="I874" s="6" t="s">
        <v>22</v>
      </c>
      <c r="J874" s="129" t="s">
        <v>23</v>
      </c>
      <c r="K874" s="129" t="s">
        <v>303</v>
      </c>
      <c r="L874" s="6" t="s">
        <v>331</v>
      </c>
      <c r="M874" s="93">
        <v>29</v>
      </c>
      <c r="N874" s="93">
        <v>63</v>
      </c>
      <c r="O874" s="6">
        <v>2</v>
      </c>
      <c r="P874" s="129">
        <v>2</v>
      </c>
      <c r="Q874" s="6">
        <v>175</v>
      </c>
      <c r="R874" s="98">
        <v>0.50049999999999994</v>
      </c>
      <c r="S874" s="94">
        <f>((Table3.110[[#This Row],[Sample weight, g]]*'2.1. DM'!Q203)/100)*1000</f>
        <v>455.62311031328278</v>
      </c>
      <c r="T874" s="94">
        <f>'3.2 Digest'!W874</f>
        <v>101.92311031328279</v>
      </c>
      <c r="U874" s="153">
        <v>0.33402777777777776</v>
      </c>
      <c r="V874" s="154">
        <v>39.5</v>
      </c>
      <c r="W874" s="153">
        <v>0.66666666666666663</v>
      </c>
      <c r="X874" s="91">
        <v>82.5</v>
      </c>
      <c r="Y874" s="91">
        <v>14.8</v>
      </c>
      <c r="Z874" s="154">
        <v>38.5</v>
      </c>
      <c r="AA874" s="153">
        <v>0.33819444444444446</v>
      </c>
      <c r="AB874" s="154">
        <v>86</v>
      </c>
      <c r="AC874" s="154">
        <v>16.3</v>
      </c>
      <c r="AD874" s="91"/>
      <c r="AE874" s="94">
        <f>Table3.110[[#This Row],[Gas 8h, ml]]-Table3.110[[#This Row],[Gas 0h, ml]]</f>
        <v>43</v>
      </c>
      <c r="AF874" s="94">
        <f>Table3.110[[#This Row],[Gas 24h, ml]]-Table3.110[[#This Row],[V8 Push back, ml]]</f>
        <v>47.5</v>
      </c>
      <c r="AG874" s="94">
        <f>Table3.110[[#This Row],[GP 8h, ml]]-(AVERAGE(AE$862,AE$863,AE$912,AE$913,AE$932,AE$933))*$AG$8</f>
        <v>39.754975227659145</v>
      </c>
      <c r="AH874" s="94">
        <f>Table3.110[[#This Row],[GP 8-24h, ml]]-(AVERAGE(AF$862,AF$863,AF$912,AF$913,AF$932,AF$933))*$AG$8</f>
        <v>43.185592064046816</v>
      </c>
      <c r="AI874" s="94">
        <f>Table3.110[[#This Row],[Net gas 8-24h, ml]]+Table3.110[[#This Row],[Net gas 8h, ml]]</f>
        <v>82.94056729170596</v>
      </c>
      <c r="AJ874" s="94">
        <f>Table3.110[[#This Row],[Net gas 8h, ml]]*Table3.110[[#This Row],[CH4 8h %]]%</f>
        <v>5.8837363336935544</v>
      </c>
      <c r="AK874" s="94">
        <f>Table3.110[[#This Row],[Net gas 8-24h, ml]]*Table3.110[[#This Row],[CH4 24h, %]]%</f>
        <v>7.0392515064396308</v>
      </c>
      <c r="AL874" s="94">
        <f>Table3.110[[#This Row],[CH4 8-24h, ml]]+Table3.110[[#This Row],[CH4 8h, ml]]</f>
        <v>12.922987840133185</v>
      </c>
      <c r="AM874" s="94">
        <f>(Table3.110[[#This Row],[Net gas 24h, ml]]/Table3.110[[#This Row],[DM Incubated, mg]])*1000</f>
        <v>182.03766537363896</v>
      </c>
      <c r="AN874" s="94">
        <f>'3.2 Digest'!X874</f>
        <v>22.370048403207925</v>
      </c>
      <c r="AO874" s="94">
        <f>Table3.110[[#This Row],[Digested feed, mg]]/Table3.110[[#This Row],[Net gas 24h, ml]]</f>
        <v>1.2288692209544976</v>
      </c>
      <c r="AP874" s="94">
        <f>Table3.110[[#This Row],[CH4 8h, ml]]/Table3.110[[#This Row],[Net gas 8h, ml]]%</f>
        <v>14.800000000000002</v>
      </c>
      <c r="AQ874" s="94">
        <f>Table3.110[[#This Row],[CH4 24h, ml]]/Table3.110[[#This Row],[Net gas 24h, ml]]%</f>
        <v>15.581021763068508</v>
      </c>
      <c r="AR874" s="94">
        <f>Table3.110[[#This Row],[CH4 24h, ml]]/Table3.110[[#This Row],[DM Incubated, mg]]*1000</f>
        <v>28.363328258848508</v>
      </c>
      <c r="AS874" s="94">
        <f>Table3.110[[#This Row],[CH4 24h, ml]]/Table3.110[[#This Row],[Digested feed, mg]]*1000</f>
        <v>126.79153727169017</v>
      </c>
      <c r="AT874" s="94">
        <f>Table3.110[[#This Row],[CH4 24h, ml]]/'3.2 Digest'!AA874</f>
        <v>-0.28690571605508774</v>
      </c>
      <c r="AU874" s="94">
        <f>((Table3.110[[#This Row],[CH4 24h, ml]]/28.9)*16.04)/Table3.110[[#This Row],[DM Incubated, mg]]*1000</f>
        <v>15.742137898682701</v>
      </c>
      <c r="AV874" s="94">
        <f>((Table3.110[[#This Row],[CH4 24h, ml]]/28.9)*16.04)/Table3.110[[#This Row],[Digested feed, mg]]*1000</f>
        <v>70.371496811000355</v>
      </c>
      <c r="AW874" s="64"/>
    </row>
    <row r="875" spans="2:49" x14ac:dyDescent="0.35">
      <c r="B875" s="90">
        <f t="shared" si="13"/>
        <v>865</v>
      </c>
      <c r="C875" s="140">
        <v>46057</v>
      </c>
      <c r="D875" s="6" t="s">
        <v>16</v>
      </c>
      <c r="E875" s="6" t="s">
        <v>332</v>
      </c>
      <c r="F875" s="6" t="s">
        <v>333</v>
      </c>
      <c r="G875" s="6" t="s">
        <v>334</v>
      </c>
      <c r="H875" s="6" t="s">
        <v>335</v>
      </c>
      <c r="I875" s="6" t="s">
        <v>22</v>
      </c>
      <c r="J875" s="129" t="s">
        <v>23</v>
      </c>
      <c r="K875" s="129" t="s">
        <v>303</v>
      </c>
      <c r="L875" s="6" t="s">
        <v>331</v>
      </c>
      <c r="M875" s="93">
        <v>29</v>
      </c>
      <c r="N875" s="93">
        <v>63</v>
      </c>
      <c r="O875" s="6">
        <v>2</v>
      </c>
      <c r="P875" s="6">
        <v>3</v>
      </c>
      <c r="Q875" s="6">
        <v>176</v>
      </c>
      <c r="R875" s="98">
        <v>0.50019999999999998</v>
      </c>
      <c r="S875" s="94">
        <f>((Table3.110[[#This Row],[Sample weight, g]]*'2.1. DM'!Q203)/100)*1000</f>
        <v>455.35000954786028</v>
      </c>
      <c r="T875" s="94">
        <f>'3.2 Digest'!W875</f>
        <v>145.85000954786028</v>
      </c>
      <c r="U875" s="117">
        <v>0.33750000000000002</v>
      </c>
      <c r="V875" s="155">
        <v>41</v>
      </c>
      <c r="W875" s="117">
        <v>0.66666666666666663</v>
      </c>
      <c r="X875" s="96">
        <v>85.5</v>
      </c>
      <c r="Y875" s="96">
        <v>14.6</v>
      </c>
      <c r="Z875" s="155">
        <v>39.5</v>
      </c>
      <c r="AA875" s="117">
        <v>0.33819444444444446</v>
      </c>
      <c r="AB875" s="155">
        <v>88</v>
      </c>
      <c r="AC875" s="155">
        <v>16.2</v>
      </c>
      <c r="AD875" s="96"/>
      <c r="AE875" s="94">
        <f>Table3.110[[#This Row],[Gas 8h, ml]]-Table3.110[[#This Row],[Gas 0h, ml]]</f>
        <v>44.5</v>
      </c>
      <c r="AF875" s="94">
        <f>Table3.110[[#This Row],[Gas 24h, ml]]-Table3.110[[#This Row],[V8 Push back, ml]]</f>
        <v>48.5</v>
      </c>
      <c r="AG875" s="94">
        <f>Table3.110[[#This Row],[GP 8h, ml]]-(AVERAGE(AE$862,AE$863,AE$912,AE$913,AE$932,AE$933))*$AG$8</f>
        <v>41.254975227659145</v>
      </c>
      <c r="AH875" s="94">
        <f>Table3.110[[#This Row],[GP 8-24h, ml]]-(AVERAGE(AF$862,AF$863,AF$912,AF$913,AF$932,AF$933))*$AG$8</f>
        <v>44.185592064046816</v>
      </c>
      <c r="AI875" s="94">
        <f>Table3.110[[#This Row],[Net gas 8-24h, ml]]+Table3.110[[#This Row],[Net gas 8h, ml]]</f>
        <v>85.44056729170596</v>
      </c>
      <c r="AJ875" s="94">
        <f>Table3.110[[#This Row],[Net gas 8h, ml]]*Table3.110[[#This Row],[CH4 8h %]]%</f>
        <v>6.0232263832382351</v>
      </c>
      <c r="AK875" s="94">
        <f>Table3.110[[#This Row],[Net gas 8-24h, ml]]*Table3.110[[#This Row],[CH4 24h, %]]%</f>
        <v>7.1580659143755847</v>
      </c>
      <c r="AL875" s="94">
        <f>Table3.110[[#This Row],[CH4 8-24h, ml]]+Table3.110[[#This Row],[CH4 8h, ml]]</f>
        <v>13.181292297613819</v>
      </c>
      <c r="AM875" s="94">
        <f>(Table3.110[[#This Row],[Net gas 24h, ml]]/Table3.110[[#This Row],[DM Incubated, mg]])*1000</f>
        <v>187.63712638667596</v>
      </c>
      <c r="AN875" s="94">
        <f>'3.2 Digest'!X875</f>
        <v>32.03030778294746</v>
      </c>
      <c r="AO875" s="94">
        <f>Table3.110[[#This Row],[Digested feed, mg]]/Table3.110[[#This Row],[Net gas 24h, ml]]</f>
        <v>1.7070346577862492</v>
      </c>
      <c r="AP875" s="94">
        <f>Table3.110[[#This Row],[CH4 8h, ml]]/Table3.110[[#This Row],[Net gas 8h, ml]]%</f>
        <v>14.6</v>
      </c>
      <c r="AQ875" s="94">
        <f>Table3.110[[#This Row],[CH4 24h, ml]]/Table3.110[[#This Row],[Net gas 24h, ml]]%</f>
        <v>15.427440050358113</v>
      </c>
      <c r="AR875" s="94">
        <f>Table3.110[[#This Row],[CH4 24h, ml]]/Table3.110[[#This Row],[DM Incubated, mg]]*1000</f>
        <v>28.947605185519116</v>
      </c>
      <c r="AS875" s="94">
        <f>Table3.110[[#This Row],[CH4 24h, ml]]/Table3.110[[#This Row],[Digested feed, mg]]*1000</f>
        <v>90.375669761532748</v>
      </c>
      <c r="AT875" s="94">
        <f>Table3.110[[#This Row],[CH4 24h, ml]]/'3.2 Digest'!AA875</f>
        <v>-0.48831272434599904</v>
      </c>
      <c r="AU875" s="94">
        <f>((Table3.110[[#This Row],[CH4 24h, ml]]/28.9)*16.04)/Table3.110[[#This Row],[DM Incubated, mg]]*1000</f>
        <v>16.066421701582236</v>
      </c>
      <c r="AV875" s="94">
        <f>((Table3.110[[#This Row],[CH4 24h, ml]]/28.9)*16.04)/Table3.110[[#This Row],[Digested feed, mg]]*1000</f>
        <v>50.160060310553128</v>
      </c>
      <c r="AW875" s="64"/>
    </row>
    <row r="876" spans="2:49" x14ac:dyDescent="0.35">
      <c r="B876" s="90">
        <f t="shared" si="13"/>
        <v>866</v>
      </c>
      <c r="C876" s="140">
        <v>46057</v>
      </c>
      <c r="D876" s="6" t="s">
        <v>16</v>
      </c>
      <c r="E876" s="6" t="s">
        <v>337</v>
      </c>
      <c r="F876" s="6" t="s">
        <v>264</v>
      </c>
      <c r="G876" s="6" t="s">
        <v>265</v>
      </c>
      <c r="H876" s="6" t="s">
        <v>266</v>
      </c>
      <c r="I876" s="6" t="s">
        <v>22</v>
      </c>
      <c r="J876" s="129" t="s">
        <v>23</v>
      </c>
      <c r="K876" s="129" t="s">
        <v>215</v>
      </c>
      <c r="L876" s="6" t="s">
        <v>336</v>
      </c>
      <c r="M876" s="93">
        <v>29</v>
      </c>
      <c r="N876" s="93">
        <v>63</v>
      </c>
      <c r="O876" s="6">
        <v>2</v>
      </c>
      <c r="P876" s="129">
        <v>1</v>
      </c>
      <c r="Q876" s="6">
        <v>177</v>
      </c>
      <c r="R876" s="98">
        <v>0.50029999999999997</v>
      </c>
      <c r="S876" s="94">
        <f>((Table3.110[[#This Row],[Sample weight, g]]*'2.1. DM'!Q205)/100)*1000</f>
        <v>461.15741004683775</v>
      </c>
      <c r="T876" s="94">
        <f>'3.2 Digest'!W876</f>
        <v>277.55741004683773</v>
      </c>
      <c r="U876" s="153">
        <v>0.33819444444444446</v>
      </c>
      <c r="V876" s="154">
        <v>41.5</v>
      </c>
      <c r="W876" s="153">
        <v>0.66736111111111107</v>
      </c>
      <c r="X876" s="91">
        <v>90</v>
      </c>
      <c r="Y876" s="91">
        <v>15.2</v>
      </c>
      <c r="Z876" s="154">
        <v>40.5</v>
      </c>
      <c r="AA876" s="153">
        <v>0.33888888888888891</v>
      </c>
      <c r="AB876" s="154">
        <v>85.5</v>
      </c>
      <c r="AC876" s="154">
        <v>18.2</v>
      </c>
      <c r="AD876" s="91"/>
      <c r="AE876" s="94">
        <f>Table3.110[[#This Row],[Gas 8h, ml]]-Table3.110[[#This Row],[Gas 0h, ml]]</f>
        <v>48.5</v>
      </c>
      <c r="AF876" s="94">
        <f>Table3.110[[#This Row],[Gas 24h, ml]]-Table3.110[[#This Row],[V8 Push back, ml]]</f>
        <v>45</v>
      </c>
      <c r="AG876" s="94">
        <f>Table3.110[[#This Row],[GP 8h, ml]]-(AVERAGE(AE$862,AE$863,AE$912,AE$913,AE$932,AE$933))*$AG$8</f>
        <v>45.254975227659145</v>
      </c>
      <c r="AH876" s="94">
        <f>Table3.110[[#This Row],[GP 8-24h, ml]]-(AVERAGE(AF$862,AF$863,AF$912,AF$913,AF$932,AF$933))*$AG$8</f>
        <v>40.685592064046816</v>
      </c>
      <c r="AI876" s="94">
        <f>Table3.110[[#This Row],[Net gas 8-24h, ml]]+Table3.110[[#This Row],[Net gas 8h, ml]]</f>
        <v>85.94056729170596</v>
      </c>
      <c r="AJ876" s="94">
        <f>Table3.110[[#This Row],[Net gas 8h, ml]]*Table3.110[[#This Row],[CH4 8h %]]%</f>
        <v>6.8787562346041895</v>
      </c>
      <c r="AK876" s="94">
        <f>Table3.110[[#This Row],[Net gas 8-24h, ml]]*Table3.110[[#This Row],[CH4 24h, %]]%</f>
        <v>7.4047777556565206</v>
      </c>
      <c r="AL876" s="94">
        <f>Table3.110[[#This Row],[CH4 8-24h, ml]]+Table3.110[[#This Row],[CH4 8h, ml]]</f>
        <v>14.283533990260711</v>
      </c>
      <c r="AM876" s="94">
        <f>(Table3.110[[#This Row],[Net gas 24h, ml]]/Table3.110[[#This Row],[DM Incubated, mg]])*1000</f>
        <v>186.35842213394631</v>
      </c>
      <c r="AN876" s="94">
        <f>'3.2 Digest'!X876</f>
        <v>60.187130034112954</v>
      </c>
      <c r="AO876" s="94">
        <f>Table3.110[[#This Row],[Digested feed, mg]]/Table3.110[[#This Row],[Net gas 24h, ml]]</f>
        <v>3.2296436804371029</v>
      </c>
      <c r="AP876" s="94">
        <f>Table3.110[[#This Row],[CH4 8h, ml]]/Table3.110[[#This Row],[Net gas 8h, ml]]%</f>
        <v>15.2</v>
      </c>
      <c r="AQ876" s="94">
        <f>Table3.110[[#This Row],[CH4 24h, ml]]/Table3.110[[#This Row],[Net gas 24h, ml]]%</f>
        <v>16.620246340448816</v>
      </c>
      <c r="AR876" s="94">
        <f>Table3.110[[#This Row],[CH4 24h, ml]]/Table3.110[[#This Row],[DM Incubated, mg]]*1000</f>
        <v>30.973228834835368</v>
      </c>
      <c r="AS876" s="94">
        <f>Table3.110[[#This Row],[CH4 24h, ml]]/Table3.110[[#This Row],[Digested feed, mg]]*1000</f>
        <v>51.461548037396547</v>
      </c>
      <c r="AT876" s="94">
        <f>Table3.110[[#This Row],[CH4 24h, ml]]/'3.2 Digest'!AA876</f>
        <v>0.92337294294495209</v>
      </c>
      <c r="AU876" s="94">
        <f>((Table3.110[[#This Row],[CH4 24h, ml]]/28.9)*16.04)/Table3.110[[#This Row],[DM Incubated, mg]]*1000</f>
        <v>17.190677872344612</v>
      </c>
      <c r="AV876" s="94">
        <f>((Table3.110[[#This Row],[CH4 24h, ml]]/28.9)*16.04)/Table3.110[[#This Row],[Digested feed, mg]]*1000</f>
        <v>28.562049498956423</v>
      </c>
      <c r="AW876" s="64"/>
    </row>
    <row r="877" spans="2:49" x14ac:dyDescent="0.35">
      <c r="B877" s="90">
        <f t="shared" si="13"/>
        <v>867</v>
      </c>
      <c r="C877" s="140">
        <v>46057</v>
      </c>
      <c r="D877" s="6" t="s">
        <v>16</v>
      </c>
      <c r="E877" s="6" t="s">
        <v>337</v>
      </c>
      <c r="F877" s="6" t="s">
        <v>264</v>
      </c>
      <c r="G877" s="6" t="s">
        <v>265</v>
      </c>
      <c r="H877" s="6" t="s">
        <v>266</v>
      </c>
      <c r="I877" s="6" t="s">
        <v>22</v>
      </c>
      <c r="J877" s="129" t="s">
        <v>23</v>
      </c>
      <c r="K877" s="129" t="s">
        <v>215</v>
      </c>
      <c r="L877" s="6" t="s">
        <v>336</v>
      </c>
      <c r="M877" s="93">
        <v>29</v>
      </c>
      <c r="N877" s="93">
        <v>63</v>
      </c>
      <c r="O877" s="6">
        <v>2</v>
      </c>
      <c r="P877" s="129">
        <v>2</v>
      </c>
      <c r="Q877" s="6">
        <v>178</v>
      </c>
      <c r="R877" s="98">
        <v>0.50019999999999998</v>
      </c>
      <c r="S877" s="94">
        <f>((Table3.110[[#This Row],[Sample weight, g]]*'2.1. DM'!Q205)/100)*1000</f>
        <v>461.0652338705342</v>
      </c>
      <c r="T877" s="94">
        <f>'3.2 Digest'!W877</f>
        <v>272.66523387053417</v>
      </c>
      <c r="U877" s="117">
        <v>0.33888888888888891</v>
      </c>
      <c r="V877" s="155">
        <v>40.5</v>
      </c>
      <c r="W877" s="117">
        <v>0.66736111111111107</v>
      </c>
      <c r="X877" s="96">
        <v>91</v>
      </c>
      <c r="Y877" s="96">
        <v>15.3</v>
      </c>
      <c r="Z877" s="155">
        <v>40.5</v>
      </c>
      <c r="AA877" s="117">
        <v>0.33888888888888891</v>
      </c>
      <c r="AB877" s="155">
        <v>85</v>
      </c>
      <c r="AC877" s="155">
        <v>18.3</v>
      </c>
      <c r="AD877" s="96"/>
      <c r="AE877" s="94">
        <f>Table3.110[[#This Row],[Gas 8h, ml]]-Table3.110[[#This Row],[Gas 0h, ml]]</f>
        <v>50.5</v>
      </c>
      <c r="AF877" s="94">
        <f>Table3.110[[#This Row],[Gas 24h, ml]]-Table3.110[[#This Row],[V8 Push back, ml]]</f>
        <v>44.5</v>
      </c>
      <c r="AG877" s="94">
        <f>Table3.110[[#This Row],[GP 8h, ml]]-(AVERAGE(AE$862,AE$863,AE$912,AE$913,AE$932,AE$933))*$AG$8</f>
        <v>47.254975227659145</v>
      </c>
      <c r="AH877" s="94">
        <f>Table3.110[[#This Row],[GP 8-24h, ml]]-(AVERAGE(AF$862,AF$863,AF$912,AF$913,AF$932,AF$933))*$AG$8</f>
        <v>40.185592064046816</v>
      </c>
      <c r="AI877" s="94">
        <f>Table3.110[[#This Row],[Net gas 8-24h, ml]]+Table3.110[[#This Row],[Net gas 8h, ml]]</f>
        <v>87.44056729170596</v>
      </c>
      <c r="AJ877" s="94">
        <f>Table3.110[[#This Row],[Net gas 8h, ml]]*Table3.110[[#This Row],[CH4 8h %]]%</f>
        <v>7.230011209831849</v>
      </c>
      <c r="AK877" s="94">
        <f>Table3.110[[#This Row],[Net gas 8-24h, ml]]*Table3.110[[#This Row],[CH4 24h, %]]%</f>
        <v>7.3539633477205673</v>
      </c>
      <c r="AL877" s="94">
        <f>Table3.110[[#This Row],[CH4 8-24h, ml]]+Table3.110[[#This Row],[CH4 8h, ml]]</f>
        <v>14.583974557552416</v>
      </c>
      <c r="AM877" s="94">
        <f>(Table3.110[[#This Row],[Net gas 24h, ml]]/Table3.110[[#This Row],[DM Incubated, mg]])*1000</f>
        <v>189.64901464736988</v>
      </c>
      <c r="AN877" s="94">
        <f>'3.2 Digest'!X877</f>
        <v>59.13810320972884</v>
      </c>
      <c r="AO877" s="94">
        <f>Table3.110[[#This Row],[Digested feed, mg]]/Table3.110[[#This Row],[Net gas 24h, ml]]</f>
        <v>3.1182921419174896</v>
      </c>
      <c r="AP877" s="94">
        <f>Table3.110[[#This Row],[CH4 8h, ml]]/Table3.110[[#This Row],[Net gas 8h, ml]]%</f>
        <v>15.299999999999999</v>
      </c>
      <c r="AQ877" s="94">
        <f>Table3.110[[#This Row],[CH4 24h, ml]]/Table3.110[[#This Row],[Net gas 24h, ml]]%</f>
        <v>16.678728202779805</v>
      </c>
      <c r="AR877" s="94">
        <f>Table3.110[[#This Row],[CH4 24h, ml]]/Table3.110[[#This Row],[DM Incubated, mg]]*1000</f>
        <v>31.631043692284887</v>
      </c>
      <c r="AS877" s="94">
        <f>Table3.110[[#This Row],[CH4 24h, ml]]/Table3.110[[#This Row],[Digested feed, mg]]*1000</f>
        <v>53.486740317165342</v>
      </c>
      <c r="AT877" s="94">
        <f>Table3.110[[#This Row],[CH4 24h, ml]]/'3.2 Digest'!AA877</f>
        <v>1.1013786927676263</v>
      </c>
      <c r="AU877" s="94">
        <f>((Table3.110[[#This Row],[CH4 24h, ml]]/28.9)*16.04)/Table3.110[[#This Row],[DM Incubated, mg]]*1000</f>
        <v>17.555776499108983</v>
      </c>
      <c r="AV877" s="94">
        <f>((Table3.110[[#This Row],[CH4 24h, ml]]/28.9)*16.04)/Table3.110[[#This Row],[Digested feed, mg]]*1000</f>
        <v>29.686066252156824</v>
      </c>
      <c r="AW877" s="64"/>
    </row>
    <row r="878" spans="2:49" x14ac:dyDescent="0.35">
      <c r="B878" s="90">
        <f t="shared" si="13"/>
        <v>868</v>
      </c>
      <c r="C878" s="140">
        <v>46057</v>
      </c>
      <c r="D878" s="6" t="s">
        <v>16</v>
      </c>
      <c r="E878" s="6" t="s">
        <v>337</v>
      </c>
      <c r="F878" s="6" t="s">
        <v>264</v>
      </c>
      <c r="G878" s="6" t="s">
        <v>265</v>
      </c>
      <c r="H878" s="6" t="s">
        <v>266</v>
      </c>
      <c r="I878" s="6" t="s">
        <v>22</v>
      </c>
      <c r="J878" s="129" t="s">
        <v>23</v>
      </c>
      <c r="K878" s="129" t="s">
        <v>215</v>
      </c>
      <c r="L878" s="6" t="s">
        <v>336</v>
      </c>
      <c r="M878" s="93">
        <v>29</v>
      </c>
      <c r="N878" s="93">
        <v>63</v>
      </c>
      <c r="O878" s="6">
        <v>2</v>
      </c>
      <c r="P878" s="6">
        <v>3</v>
      </c>
      <c r="Q878" s="6">
        <v>179</v>
      </c>
      <c r="R878" s="98">
        <v>0.5</v>
      </c>
      <c r="S878" s="94">
        <f>((Table3.110[[#This Row],[Sample weight, g]]*'2.1. DM'!Q205)/100)*1000</f>
        <v>460.88088151792704</v>
      </c>
      <c r="T878" s="94">
        <f>'3.2 Digest'!W878</f>
        <v>267.08088151792708</v>
      </c>
      <c r="U878" s="153">
        <v>0.33888888888888891</v>
      </c>
      <c r="V878" s="154">
        <v>40.5</v>
      </c>
      <c r="W878" s="153">
        <v>0.66736111111111107</v>
      </c>
      <c r="X878" s="91">
        <v>85.5</v>
      </c>
      <c r="Y878" s="91">
        <v>15.5</v>
      </c>
      <c r="Z878" s="154">
        <v>41</v>
      </c>
      <c r="AA878" s="153">
        <v>0.34027777777777779</v>
      </c>
      <c r="AB878" s="154">
        <v>59</v>
      </c>
      <c r="AC878" s="154">
        <v>18.8</v>
      </c>
      <c r="AD878" s="91" t="s">
        <v>586</v>
      </c>
      <c r="AE878" s="94">
        <f>Table3.110[[#This Row],[Gas 8h, ml]]-Table3.110[[#This Row],[Gas 0h, ml]]</f>
        <v>45</v>
      </c>
      <c r="AF878" s="94">
        <f>Table3.110[[#This Row],[Gas 24h, ml]]-Table3.110[[#This Row],[V8 Push back, ml]]</f>
        <v>18</v>
      </c>
      <c r="AG878" s="94">
        <f>Table3.110[[#This Row],[GP 8h, ml]]-(AVERAGE(AE$862,AE$863,AE$912,AE$913,AE$932,AE$933))*$AG$8</f>
        <v>41.754975227659145</v>
      </c>
      <c r="AH878" s="94">
        <f>Table3.110[[#This Row],[GP 8-24h, ml]]-(AVERAGE(AF$862,AF$863,AF$912,AF$913,AF$932,AF$933))*$AG$8</f>
        <v>13.685592064046812</v>
      </c>
      <c r="AI878" s="94">
        <f>Table3.110[[#This Row],[Net gas 8-24h, ml]]+Table3.110[[#This Row],[Net gas 8h, ml]]</f>
        <v>55.44056729170596</v>
      </c>
      <c r="AJ878" s="94">
        <f>Table3.110[[#This Row],[Net gas 8h, ml]]*Table3.110[[#This Row],[CH4 8h %]]%</f>
        <v>6.4720211602871673</v>
      </c>
      <c r="AK878" s="94">
        <f>Table3.110[[#This Row],[Net gas 8-24h, ml]]*Table3.110[[#This Row],[CH4 24h, %]]%</f>
        <v>2.5728913080408007</v>
      </c>
      <c r="AL878" s="94">
        <f>Table3.110[[#This Row],[CH4 8-24h, ml]]+Table3.110[[#This Row],[CH4 8h, ml]]</f>
        <v>9.0449124683279685</v>
      </c>
      <c r="AM878" s="94">
        <f>(Table3.110[[#This Row],[Net gas 24h, ml]]/Table3.110[[#This Row],[DM Incubated, mg]])*1000</f>
        <v>120.29261684518252</v>
      </c>
      <c r="AN878" s="94">
        <f>'3.2 Digest'!X878</f>
        <v>57.950089107251969</v>
      </c>
      <c r="AO878" s="94">
        <f>Table3.110[[#This Row],[Digested feed, mg]]/Table3.110[[#This Row],[Net gas 24h, ml]]</f>
        <v>4.8174269233692169</v>
      </c>
      <c r="AP878" s="94">
        <f>Table3.110[[#This Row],[CH4 8h, ml]]/Table3.110[[#This Row],[Net gas 8h, ml]]%</f>
        <v>15.499999999999998</v>
      </c>
      <c r="AQ878" s="94">
        <f>Table3.110[[#This Row],[CH4 24h, ml]]/Table3.110[[#This Row],[Net gas 24h, ml]]%</f>
        <v>16.314610239713598</v>
      </c>
      <c r="AR878" s="94">
        <f>Table3.110[[#This Row],[CH4 24h, ml]]/Table3.110[[#This Row],[DM Incubated, mg]]*1000</f>
        <v>19.625271585443592</v>
      </c>
      <c r="AS878" s="94">
        <f>Table3.110[[#This Row],[CH4 24h, ml]]/Table3.110[[#This Row],[Digested feed, mg]]*1000</f>
        <v>33.865817788686812</v>
      </c>
      <c r="AT878" s="94">
        <f>Table3.110[[#This Row],[CH4 24h, ml]]/'3.2 Digest'!AA878</f>
        <v>0.84380815775910589</v>
      </c>
      <c r="AU878" s="94">
        <f>((Table3.110[[#This Row],[CH4 24h, ml]]/28.9)*16.04)/Table3.110[[#This Row],[DM Incubated, mg]]*1000</f>
        <v>10.892365267491877</v>
      </c>
      <c r="AV878" s="94">
        <f>((Table3.110[[#This Row],[CH4 24h, ml]]/28.9)*16.04)/Table3.110[[#This Row],[Digested feed, mg]]*1000</f>
        <v>18.796114786523752</v>
      </c>
      <c r="AW878" s="64"/>
    </row>
    <row r="879" spans="2:49" x14ac:dyDescent="0.35">
      <c r="B879" s="90">
        <f t="shared" si="13"/>
        <v>869</v>
      </c>
      <c r="C879" s="140">
        <v>46057</v>
      </c>
      <c r="D879" s="6" t="s">
        <v>16</v>
      </c>
      <c r="E879" s="6" t="s">
        <v>339</v>
      </c>
      <c r="F879" s="6" t="s">
        <v>219</v>
      </c>
      <c r="G879" s="6" t="s">
        <v>253</v>
      </c>
      <c r="H879" s="6" t="s">
        <v>254</v>
      </c>
      <c r="I879" s="6" t="s">
        <v>22</v>
      </c>
      <c r="J879" s="129" t="s">
        <v>23</v>
      </c>
      <c r="K879" s="129" t="s">
        <v>215</v>
      </c>
      <c r="L879" s="6" t="s">
        <v>338</v>
      </c>
      <c r="M879" s="93">
        <v>29</v>
      </c>
      <c r="N879" s="93">
        <v>63</v>
      </c>
      <c r="O879" s="6">
        <v>2</v>
      </c>
      <c r="P879" s="129">
        <v>1</v>
      </c>
      <c r="Q879" s="6">
        <v>180</v>
      </c>
      <c r="R879" s="98">
        <v>0.50029999999999997</v>
      </c>
      <c r="S879" s="94">
        <f>((Table3.110[[#This Row],[Sample weight, g]]*'2.1. DM'!Q207)/100)*1000</f>
        <v>453.30146185762817</v>
      </c>
      <c r="T879" s="94">
        <f>'3.2 Digest'!W879</f>
        <v>324.60146185762824</v>
      </c>
      <c r="U879" s="117">
        <v>0.33888888888888891</v>
      </c>
      <c r="V879" s="155">
        <v>40.5</v>
      </c>
      <c r="W879" s="117">
        <v>0.66805555555555551</v>
      </c>
      <c r="X879" s="96">
        <v>93.5</v>
      </c>
      <c r="Y879" s="96">
        <v>14.4</v>
      </c>
      <c r="Z879" s="155">
        <v>41</v>
      </c>
      <c r="AA879" s="117">
        <v>0.34027777777777779</v>
      </c>
      <c r="AB879" s="155">
        <v>82</v>
      </c>
      <c r="AC879" s="155">
        <v>17.5</v>
      </c>
      <c r="AD879" s="96"/>
      <c r="AE879" s="94">
        <f>Table3.110[[#This Row],[Gas 8h, ml]]-Table3.110[[#This Row],[Gas 0h, ml]]</f>
        <v>53</v>
      </c>
      <c r="AF879" s="94">
        <f>Table3.110[[#This Row],[Gas 24h, ml]]-Table3.110[[#This Row],[V8 Push back, ml]]</f>
        <v>41</v>
      </c>
      <c r="AG879" s="94">
        <f>Table3.110[[#This Row],[GP 8h, ml]]-(AVERAGE(AE$862,AE$863,AE$912,AE$913,AE$932,AE$933))*$AG$8</f>
        <v>49.754975227659145</v>
      </c>
      <c r="AH879" s="94">
        <f>Table3.110[[#This Row],[GP 8-24h, ml]]-(AVERAGE(AF$862,AF$863,AF$912,AF$913,AF$932,AF$933))*$AG$8</f>
        <v>36.685592064046816</v>
      </c>
      <c r="AI879" s="94">
        <f>Table3.110[[#This Row],[Net gas 8-24h, ml]]+Table3.110[[#This Row],[Net gas 8h, ml]]</f>
        <v>86.44056729170596</v>
      </c>
      <c r="AJ879" s="94">
        <f>Table3.110[[#This Row],[Net gas 8h, ml]]*Table3.110[[#This Row],[CH4 8h %]]%</f>
        <v>7.1647164327829174</v>
      </c>
      <c r="AK879" s="94">
        <f>Table3.110[[#This Row],[Net gas 8-24h, ml]]*Table3.110[[#This Row],[CH4 24h, %]]%</f>
        <v>6.419978611208192</v>
      </c>
      <c r="AL879" s="94">
        <f>Table3.110[[#This Row],[CH4 8-24h, ml]]+Table3.110[[#This Row],[CH4 8h, ml]]</f>
        <v>13.584695043991109</v>
      </c>
      <c r="AM879" s="94">
        <f>(Table3.110[[#This Row],[Net gas 24h, ml]]/Table3.110[[#This Row],[DM Incubated, mg]])*1000</f>
        <v>190.69112845450078</v>
      </c>
      <c r="AN879" s="94">
        <f>'3.2 Digest'!X879</f>
        <v>71.608298046825695</v>
      </c>
      <c r="AO879" s="94">
        <f>Table3.110[[#This Row],[Digested feed, mg]]/Table3.110[[#This Row],[Net gas 24h, ml]]</f>
        <v>3.7551981902457272</v>
      </c>
      <c r="AP879" s="94">
        <f>Table3.110[[#This Row],[CH4 8h, ml]]/Table3.110[[#This Row],[Net gas 8h, ml]]%</f>
        <v>14.400000000000002</v>
      </c>
      <c r="AQ879" s="94">
        <f>Table3.110[[#This Row],[CH4 24h, ml]]/Table3.110[[#This Row],[Net gas 24h, ml]]%</f>
        <v>15.715647721454243</v>
      </c>
      <c r="AR879" s="94">
        <f>Table3.110[[#This Row],[CH4 24h, ml]]/Table3.110[[#This Row],[DM Incubated, mg]]*1000</f>
        <v>29.968345983975134</v>
      </c>
      <c r="AS879" s="94">
        <f>Table3.110[[#This Row],[CH4 24h, ml]]/Table3.110[[#This Row],[Digested feed, mg]]*1000</f>
        <v>41.850381591779225</v>
      </c>
      <c r="AT879" s="94">
        <f>Table3.110[[#This Row],[CH4 24h, ml]]/'3.2 Digest'!AA879</f>
        <v>0.33162991906540951</v>
      </c>
      <c r="AU879" s="94">
        <f>((Table3.110[[#This Row],[CH4 24h, ml]]/28.9)*16.04)/Table3.110[[#This Row],[DM Incubated, mg]]*1000</f>
        <v>16.632950504600732</v>
      </c>
      <c r="AV879" s="94">
        <f>((Table3.110[[#This Row],[CH4 24h, ml]]/28.9)*16.04)/Table3.110[[#This Row],[Digested feed, mg]]*1000</f>
        <v>23.227685838482305</v>
      </c>
      <c r="AW879" s="64"/>
    </row>
    <row r="880" spans="2:49" x14ac:dyDescent="0.35">
      <c r="B880" s="90">
        <f t="shared" si="13"/>
        <v>870</v>
      </c>
      <c r="C880" s="140">
        <v>46057</v>
      </c>
      <c r="D880" s="6" t="s">
        <v>16</v>
      </c>
      <c r="E880" s="6" t="s">
        <v>339</v>
      </c>
      <c r="F880" s="6" t="s">
        <v>219</v>
      </c>
      <c r="G880" s="6" t="s">
        <v>253</v>
      </c>
      <c r="H880" s="6" t="s">
        <v>254</v>
      </c>
      <c r="I880" s="6" t="s">
        <v>22</v>
      </c>
      <c r="J880" s="129" t="s">
        <v>23</v>
      </c>
      <c r="K880" s="129" t="s">
        <v>215</v>
      </c>
      <c r="L880" s="6" t="s">
        <v>338</v>
      </c>
      <c r="M880" s="93">
        <v>29</v>
      </c>
      <c r="N880" s="93">
        <v>63</v>
      </c>
      <c r="O880" s="6">
        <v>2</v>
      </c>
      <c r="P880" s="129">
        <v>2</v>
      </c>
      <c r="Q880" s="6">
        <v>181</v>
      </c>
      <c r="R880" s="98">
        <v>0.50039999999999996</v>
      </c>
      <c r="S880" s="94">
        <f>((Table3.110[[#This Row],[Sample weight, g]]*'2.1. DM'!Q207)/100)*1000</f>
        <v>453.39206778644228</v>
      </c>
      <c r="T880" s="94">
        <f>'3.2 Digest'!W880</f>
        <v>272.69206778644229</v>
      </c>
      <c r="U880" s="156">
        <v>0.33958333333333335</v>
      </c>
      <c r="V880" s="154">
        <v>40</v>
      </c>
      <c r="W880" s="153">
        <v>0.66805555555555551</v>
      </c>
      <c r="X880" s="91">
        <v>91.5</v>
      </c>
      <c r="Y880" s="91">
        <v>14.4</v>
      </c>
      <c r="Z880" s="154">
        <v>40</v>
      </c>
      <c r="AA880" s="153">
        <v>0.34027777777777779</v>
      </c>
      <c r="AB880" s="154">
        <v>87</v>
      </c>
      <c r="AC880" s="154">
        <v>17.2</v>
      </c>
      <c r="AD880" s="91"/>
      <c r="AE880" s="94">
        <f>Table3.110[[#This Row],[Gas 8h, ml]]-Table3.110[[#This Row],[Gas 0h, ml]]</f>
        <v>51.5</v>
      </c>
      <c r="AF880" s="94">
        <f>Table3.110[[#This Row],[Gas 24h, ml]]-Table3.110[[#This Row],[V8 Push back, ml]]</f>
        <v>47</v>
      </c>
      <c r="AG880" s="94">
        <f>Table3.110[[#This Row],[GP 8h, ml]]-(AVERAGE(AE$862,AE$863,AE$912,AE$913,AE$932,AE$933))*$AG$8</f>
        <v>48.254975227659145</v>
      </c>
      <c r="AH880" s="94">
        <f>Table3.110[[#This Row],[GP 8-24h, ml]]-(AVERAGE(AF$862,AF$863,AF$912,AF$913,AF$932,AF$933))*$AG$8</f>
        <v>42.685592064046816</v>
      </c>
      <c r="AI880" s="94">
        <f>Table3.110[[#This Row],[Net gas 8-24h, ml]]+Table3.110[[#This Row],[Net gas 8h, ml]]</f>
        <v>90.94056729170596</v>
      </c>
      <c r="AJ880" s="94">
        <f>Table3.110[[#This Row],[Net gas 8h, ml]]*Table3.110[[#This Row],[CH4 8h %]]%</f>
        <v>6.9487164327829181</v>
      </c>
      <c r="AK880" s="94">
        <f>Table3.110[[#This Row],[Net gas 8-24h, ml]]*Table3.110[[#This Row],[CH4 24h, %]]%</f>
        <v>7.341921835016052</v>
      </c>
      <c r="AL880" s="94">
        <f>Table3.110[[#This Row],[CH4 8-24h, ml]]+Table3.110[[#This Row],[CH4 8h, ml]]</f>
        <v>14.29063826779897</v>
      </c>
      <c r="AM880" s="94">
        <f>(Table3.110[[#This Row],[Net gas 24h, ml]]/Table3.110[[#This Row],[DM Incubated, mg]])*1000</f>
        <v>200.57820538347173</v>
      </c>
      <c r="AN880" s="94">
        <f>'3.2 Digest'!X880</f>
        <v>60.14486956460965</v>
      </c>
      <c r="AO880" s="94">
        <f>Table3.110[[#This Row],[Digested feed, mg]]/Table3.110[[#This Row],[Net gas 24h, ml]]</f>
        <v>2.9985745185835517</v>
      </c>
      <c r="AP880" s="94">
        <f>Table3.110[[#This Row],[CH4 8h, ml]]/Table3.110[[#This Row],[Net gas 8h, ml]]%</f>
        <v>14.400000000000002</v>
      </c>
      <c r="AQ880" s="94">
        <f>Table3.110[[#This Row],[CH4 24h, ml]]/Table3.110[[#This Row],[Net gas 24h, ml]]%</f>
        <v>15.7142611855054</v>
      </c>
      <c r="AR880" s="94">
        <f>Table3.110[[#This Row],[CH4 24h, ml]]/Table3.110[[#This Row],[DM Incubated, mg]]*1000</f>
        <v>31.519383075158203</v>
      </c>
      <c r="AS880" s="94">
        <f>Table3.110[[#This Row],[CH4 24h, ml]]/Table3.110[[#This Row],[Digested feed, mg]]*1000</f>
        <v>52.405771769608741</v>
      </c>
      <c r="AT880" s="94">
        <f>Table3.110[[#This Row],[CH4 24h, ml]]/'3.2 Digest'!AA880</f>
        <v>0.83440122310283893</v>
      </c>
      <c r="AU880" s="94">
        <f>((Table3.110[[#This Row],[CH4 24h, ml]]/28.9)*16.04)/Table3.110[[#This Row],[DM Incubated, mg]]*1000</f>
        <v>17.493802924759084</v>
      </c>
      <c r="AV880" s="94">
        <f>((Table3.110[[#This Row],[CH4 24h, ml]]/28.9)*16.04)/Table3.110[[#This Row],[Digested feed, mg]]*1000</f>
        <v>29.086110006384917</v>
      </c>
      <c r="AW880" s="64"/>
    </row>
    <row r="881" spans="2:49" x14ac:dyDescent="0.35">
      <c r="B881" s="90">
        <f t="shared" si="13"/>
        <v>871</v>
      </c>
      <c r="C881" s="140">
        <v>46057</v>
      </c>
      <c r="D881" s="6" t="s">
        <v>16</v>
      </c>
      <c r="E881" s="6" t="s">
        <v>339</v>
      </c>
      <c r="F881" s="6" t="s">
        <v>219</v>
      </c>
      <c r="G881" s="6" t="s">
        <v>253</v>
      </c>
      <c r="H881" s="6" t="s">
        <v>254</v>
      </c>
      <c r="I881" s="6" t="s">
        <v>22</v>
      </c>
      <c r="J881" s="129" t="s">
        <v>23</v>
      </c>
      <c r="K881" s="129" t="s">
        <v>215</v>
      </c>
      <c r="L881" s="6" t="s">
        <v>338</v>
      </c>
      <c r="M881" s="93">
        <v>29</v>
      </c>
      <c r="N881" s="93">
        <v>63</v>
      </c>
      <c r="O881" s="6">
        <v>2</v>
      </c>
      <c r="P881" s="6">
        <v>3</v>
      </c>
      <c r="Q881" s="6">
        <v>182</v>
      </c>
      <c r="R881" s="98">
        <v>0.50039999999999996</v>
      </c>
      <c r="S881" s="94">
        <f>((Table3.110[[#This Row],[Sample weight, g]]*'2.1. DM'!Q207)/100)*1000</f>
        <v>453.39206778644228</v>
      </c>
      <c r="T881" s="94">
        <f>'3.2 Digest'!W881</f>
        <v>184.89206778644223</v>
      </c>
      <c r="U881" s="117">
        <v>0.33958333333333335</v>
      </c>
      <c r="V881" s="155">
        <v>40.5</v>
      </c>
      <c r="W881" s="117">
        <v>0.66874999999999996</v>
      </c>
      <c r="X881" s="96">
        <v>93.5</v>
      </c>
      <c r="Y881" s="96">
        <v>14.5</v>
      </c>
      <c r="Z881" s="155">
        <v>40.5</v>
      </c>
      <c r="AA881" s="117">
        <v>0.34097222222222223</v>
      </c>
      <c r="AB881" s="155">
        <v>88</v>
      </c>
      <c r="AC881" s="155">
        <v>17.3</v>
      </c>
      <c r="AD881" s="96"/>
      <c r="AE881" s="94"/>
      <c r="AF881" s="94"/>
      <c r="AG881" s="94"/>
      <c r="AH881" s="94"/>
      <c r="AI881" s="94"/>
      <c r="AJ881" s="94"/>
      <c r="AK881" s="94"/>
      <c r="AL881" s="94"/>
      <c r="AM881" s="94"/>
      <c r="AN881" s="94"/>
      <c r="AO881" s="94"/>
      <c r="AP881" s="94"/>
      <c r="AQ881" s="94"/>
      <c r="AR881" s="94"/>
      <c r="AS881" s="94"/>
      <c r="AT881" s="94"/>
      <c r="AU881" s="94"/>
      <c r="AV881" s="94"/>
      <c r="AW881" s="64" t="s">
        <v>662</v>
      </c>
    </row>
    <row r="882" spans="2:49" x14ac:dyDescent="0.35">
      <c r="B882" s="90">
        <f t="shared" si="13"/>
        <v>872</v>
      </c>
      <c r="C882" s="140">
        <v>46057</v>
      </c>
      <c r="D882" s="6" t="s">
        <v>16</v>
      </c>
      <c r="E882" s="6" t="s">
        <v>341</v>
      </c>
      <c r="F882" s="6" t="s">
        <v>333</v>
      </c>
      <c r="G882" s="6" t="s">
        <v>334</v>
      </c>
      <c r="H882" s="6" t="s">
        <v>335</v>
      </c>
      <c r="I882" s="6" t="s">
        <v>22</v>
      </c>
      <c r="J882" s="129" t="s">
        <v>23</v>
      </c>
      <c r="K882" s="129" t="s">
        <v>303</v>
      </c>
      <c r="L882" s="6" t="s">
        <v>340</v>
      </c>
      <c r="M882" s="93">
        <v>29</v>
      </c>
      <c r="N882" s="93">
        <v>63</v>
      </c>
      <c r="O882" s="6">
        <v>2</v>
      </c>
      <c r="P882" s="129">
        <v>1</v>
      </c>
      <c r="Q882" s="6">
        <v>183</v>
      </c>
      <c r="R882" s="98">
        <v>0.50019999999999998</v>
      </c>
      <c r="S882" s="94">
        <f>((Table3.110[[#This Row],[Sample weight, g]]*'2.1. DM'!Q209)/100)*1000</f>
        <v>462.58062181681515</v>
      </c>
      <c r="T882" s="94">
        <f>'3.2 Digest'!W882</f>
        <v>261.48062181681507</v>
      </c>
      <c r="U882" s="153">
        <v>0.33958333333333335</v>
      </c>
      <c r="V882" s="154">
        <v>40.5</v>
      </c>
      <c r="W882" s="153">
        <v>0.66874999999999996</v>
      </c>
      <c r="X882" s="91">
        <v>93.5</v>
      </c>
      <c r="Y882" s="91">
        <v>14.5</v>
      </c>
      <c r="Z882" s="154">
        <v>40</v>
      </c>
      <c r="AA882" s="153">
        <v>0.34097222222222223</v>
      </c>
      <c r="AB882" s="154">
        <v>89</v>
      </c>
      <c r="AC882" s="154">
        <v>16.8</v>
      </c>
      <c r="AD882" s="91"/>
      <c r="AE882" s="94">
        <f>Table3.110[[#This Row],[Gas 8h, ml]]-Table3.110[[#This Row],[Gas 0h, ml]]</f>
        <v>53</v>
      </c>
      <c r="AF882" s="94">
        <f>Table3.110[[#This Row],[Gas 24h, ml]]-Table3.110[[#This Row],[V8 Push back, ml]]</f>
        <v>49</v>
      </c>
      <c r="AG882" s="94">
        <f>Table3.110[[#This Row],[GP 8h, ml]]-(AVERAGE(AE$862,AE$863,AE$912,AE$913,AE$932,AE$933))*$AG$8</f>
        <v>49.754975227659145</v>
      </c>
      <c r="AH882" s="94">
        <f>Table3.110[[#This Row],[GP 8-24h, ml]]-(AVERAGE(AF$862,AF$863,AF$912,AF$913,AF$932,AF$933))*$AG$8</f>
        <v>44.685592064046816</v>
      </c>
      <c r="AI882" s="94">
        <f>Table3.110[[#This Row],[Net gas 8-24h, ml]]+Table3.110[[#This Row],[Net gas 8h, ml]]</f>
        <v>94.44056729170596</v>
      </c>
      <c r="AJ882" s="94">
        <f>Table3.110[[#This Row],[Net gas 8h, ml]]*Table3.110[[#This Row],[CH4 8h %]]%</f>
        <v>7.2144714080105752</v>
      </c>
      <c r="AK882" s="94">
        <f>Table3.110[[#This Row],[Net gas 8-24h, ml]]*Table3.110[[#This Row],[CH4 24h, %]]%</f>
        <v>7.5071794667598652</v>
      </c>
      <c r="AL882" s="94">
        <f>Table3.110[[#This Row],[CH4 8-24h, ml]]+Table3.110[[#This Row],[CH4 8h, ml]]</f>
        <v>14.72165087477044</v>
      </c>
      <c r="AM882" s="94">
        <f>(Table3.110[[#This Row],[Net gas 24h, ml]]/Table3.110[[#This Row],[DM Incubated, mg]])*1000</f>
        <v>204.16023248182029</v>
      </c>
      <c r="AN882" s="94">
        <f>'3.2 Digest'!X882</f>
        <v>56.526497108727355</v>
      </c>
      <c r="AO882" s="94">
        <f>Table3.110[[#This Row],[Digested feed, mg]]/Table3.110[[#This Row],[Net gas 24h, ml]]</f>
        <v>2.7687320112040354</v>
      </c>
      <c r="AP882" s="94">
        <f>Table3.110[[#This Row],[CH4 8h, ml]]/Table3.110[[#This Row],[Net gas 8h, ml]]%</f>
        <v>14.499999999999998</v>
      </c>
      <c r="AQ882" s="94">
        <f>Table3.110[[#This Row],[CH4 24h, ml]]/Table3.110[[#This Row],[Net gas 24h, ml]]%</f>
        <v>15.588270270866255</v>
      </c>
      <c r="AR882" s="94">
        <f>Table3.110[[#This Row],[CH4 24h, ml]]/Table3.110[[#This Row],[DM Incubated, mg]]*1000</f>
        <v>31.825048824895013</v>
      </c>
      <c r="AS882" s="94">
        <f>Table3.110[[#This Row],[CH4 24h, ml]]/Table3.110[[#This Row],[Digested feed, mg]]*1000</f>
        <v>56.301116206936186</v>
      </c>
      <c r="AT882" s="94">
        <f>Table3.110[[#This Row],[CH4 24h, ml]]/'3.2 Digest'!AA882</f>
        <v>3.2942245888912405</v>
      </c>
      <c r="AU882" s="94">
        <f>((Table3.110[[#This Row],[CH4 24h, ml]]/28.9)*16.04)/Table3.110[[#This Row],[DM Incubated, mg]]*1000</f>
        <v>17.663452704197788</v>
      </c>
      <c r="AV882" s="94">
        <f>((Table3.110[[#This Row],[CH4 24h, ml]]/28.9)*16.04)/Table3.110[[#This Row],[Digested feed, mg]]*1000</f>
        <v>31.24809356260403</v>
      </c>
      <c r="AW882" s="64"/>
    </row>
    <row r="883" spans="2:49" x14ac:dyDescent="0.35">
      <c r="B883" s="90">
        <f t="shared" si="13"/>
        <v>873</v>
      </c>
      <c r="C883" s="140">
        <v>46057</v>
      </c>
      <c r="D883" s="6" t="s">
        <v>16</v>
      </c>
      <c r="E883" s="6" t="s">
        <v>341</v>
      </c>
      <c r="F883" s="6" t="s">
        <v>333</v>
      </c>
      <c r="G883" s="6" t="s">
        <v>334</v>
      </c>
      <c r="H883" s="6" t="s">
        <v>335</v>
      </c>
      <c r="I883" s="6" t="s">
        <v>22</v>
      </c>
      <c r="J883" s="129" t="s">
        <v>23</v>
      </c>
      <c r="K883" s="129" t="s">
        <v>303</v>
      </c>
      <c r="L883" s="6" t="s">
        <v>340</v>
      </c>
      <c r="M883" s="93">
        <v>29</v>
      </c>
      <c r="N883" s="93">
        <v>63</v>
      </c>
      <c r="O883" s="6">
        <v>2</v>
      </c>
      <c r="P883" s="129">
        <v>2</v>
      </c>
      <c r="Q883" s="6">
        <v>184</v>
      </c>
      <c r="R883" s="98">
        <v>0.5</v>
      </c>
      <c r="S883" s="94">
        <f>((Table3.110[[#This Row],[Sample weight, g]]*'2.1. DM'!Q209)/100)*1000</f>
        <v>462.39566355139465</v>
      </c>
      <c r="T883" s="94">
        <f>'3.2 Digest'!W883</f>
        <v>251.09566355139461</v>
      </c>
      <c r="U883" s="117">
        <v>0.33958333333333335</v>
      </c>
      <c r="V883" s="155">
        <v>41</v>
      </c>
      <c r="W883" s="117">
        <v>0.6694444444444444</v>
      </c>
      <c r="X883" s="96">
        <v>95.5</v>
      </c>
      <c r="Y883" s="96">
        <v>14.6</v>
      </c>
      <c r="Z883" s="155">
        <v>40.5</v>
      </c>
      <c r="AA883" s="117">
        <v>0.34166666666666667</v>
      </c>
      <c r="AB883" s="155">
        <v>89</v>
      </c>
      <c r="AC883" s="155">
        <v>16.8</v>
      </c>
      <c r="AD883" s="96"/>
      <c r="AE883" s="94">
        <f>Table3.110[[#This Row],[Gas 8h, ml]]-Table3.110[[#This Row],[Gas 0h, ml]]</f>
        <v>54.5</v>
      </c>
      <c r="AF883" s="94">
        <f>Table3.110[[#This Row],[Gas 24h, ml]]-Table3.110[[#This Row],[V8 Push back, ml]]</f>
        <v>48.5</v>
      </c>
      <c r="AG883" s="94">
        <f>Table3.110[[#This Row],[GP 8h, ml]]-(AVERAGE(AE$862,AE$863,AE$912,AE$913,AE$932,AE$933))*$AG$8</f>
        <v>51.254975227659145</v>
      </c>
      <c r="AH883" s="94">
        <f>Table3.110[[#This Row],[GP 8-24h, ml]]-(AVERAGE(AF$862,AF$863,AF$912,AF$913,AF$932,AF$933))*$AG$8</f>
        <v>44.185592064046816</v>
      </c>
      <c r="AI883" s="94">
        <f>Table3.110[[#This Row],[Net gas 8-24h, ml]]+Table3.110[[#This Row],[Net gas 8h, ml]]</f>
        <v>95.44056729170596</v>
      </c>
      <c r="AJ883" s="94">
        <f>Table3.110[[#This Row],[Net gas 8h, ml]]*Table3.110[[#This Row],[CH4 8h %]]%</f>
        <v>7.4832263832382351</v>
      </c>
      <c r="AK883" s="94">
        <f>Table3.110[[#This Row],[Net gas 8-24h, ml]]*Table3.110[[#This Row],[CH4 24h, %]]%</f>
        <v>7.4231794667598656</v>
      </c>
      <c r="AL883" s="94">
        <f>Table3.110[[#This Row],[CH4 8-24h, ml]]+Table3.110[[#This Row],[CH4 8h, ml]]</f>
        <v>14.906405849998102</v>
      </c>
      <c r="AM883" s="94">
        <f>(Table3.110[[#This Row],[Net gas 24h, ml]]/Table3.110[[#This Row],[DM Incubated, mg]])*1000</f>
        <v>206.40454661421771</v>
      </c>
      <c r="AN883" s="94">
        <f>'3.2 Digest'!X883</f>
        <v>54.303204667378047</v>
      </c>
      <c r="AO883" s="94">
        <f>Table3.110[[#This Row],[Digested feed, mg]]/Table3.110[[#This Row],[Net gas 24h, ml]]</f>
        <v>2.6309112642210319</v>
      </c>
      <c r="AP883" s="94">
        <f>Table3.110[[#This Row],[CH4 8h, ml]]/Table3.110[[#This Row],[Net gas 8h, ml]]%</f>
        <v>14.599999999999998</v>
      </c>
      <c r="AQ883" s="94">
        <f>Table3.110[[#This Row],[CH4 24h, ml]]/Table3.110[[#This Row],[Net gas 24h, ml]]%</f>
        <v>15.618521843481863</v>
      </c>
      <c r="AR883" s="94">
        <f>Table3.110[[#This Row],[CH4 24h, ml]]/Table3.110[[#This Row],[DM Incubated, mg]]*1000</f>
        <v>32.237339198881294</v>
      </c>
      <c r="AS883" s="94">
        <f>Table3.110[[#This Row],[CH4 24h, ml]]/Table3.110[[#This Row],[Digested feed, mg]]*1000</f>
        <v>59.365445181999483</v>
      </c>
      <c r="AT883" s="94">
        <f>Table3.110[[#This Row],[CH4 24h, ml]]/'3.2 Digest'!AA883</f>
        <v>-35.776126499200011</v>
      </c>
      <c r="AU883" s="94">
        <f>((Table3.110[[#This Row],[CH4 24h, ml]]/28.9)*16.04)/Table3.110[[#This Row],[DM Incubated, mg]]*1000</f>
        <v>17.892280994811625</v>
      </c>
      <c r="AV883" s="94">
        <f>((Table3.110[[#This Row],[CH4 24h, ml]]/28.9)*16.04)/Table3.110[[#This Row],[Digested feed, mg]]*1000</f>
        <v>32.948849159836392</v>
      </c>
      <c r="AW883" s="64"/>
    </row>
    <row r="884" spans="2:49" x14ac:dyDescent="0.35">
      <c r="B884" s="90">
        <f t="shared" si="13"/>
        <v>874</v>
      </c>
      <c r="C884" s="140">
        <v>46057</v>
      </c>
      <c r="D884" s="6" t="s">
        <v>16</v>
      </c>
      <c r="E884" s="6" t="s">
        <v>341</v>
      </c>
      <c r="F884" s="6" t="s">
        <v>333</v>
      </c>
      <c r="G884" s="6" t="s">
        <v>334</v>
      </c>
      <c r="H884" s="6" t="s">
        <v>335</v>
      </c>
      <c r="I884" s="6" t="s">
        <v>22</v>
      </c>
      <c r="J884" s="129" t="s">
        <v>23</v>
      </c>
      <c r="K884" s="129" t="s">
        <v>303</v>
      </c>
      <c r="L884" s="6" t="s">
        <v>340</v>
      </c>
      <c r="M884" s="93">
        <v>29</v>
      </c>
      <c r="N884" s="93">
        <v>63</v>
      </c>
      <c r="O884" s="6">
        <v>2</v>
      </c>
      <c r="P884" s="129">
        <v>3</v>
      </c>
      <c r="Q884" s="6">
        <v>185</v>
      </c>
      <c r="R884" s="98">
        <v>0.50009999999999999</v>
      </c>
      <c r="S884" s="94">
        <f>((Table3.110[[#This Row],[Sample weight, g]]*'2.1. DM'!Q209)/100)*1000</f>
        <v>462.48814268410496</v>
      </c>
      <c r="T884" s="94">
        <f>'3.2 Digest'!W884</f>
        <v>276.78814268410497</v>
      </c>
      <c r="U884" s="153">
        <v>0.33958333333333335</v>
      </c>
      <c r="V884" s="154">
        <v>41</v>
      </c>
      <c r="W884" s="153">
        <v>0.6694444444444444</v>
      </c>
      <c r="X884" s="91">
        <v>94</v>
      </c>
      <c r="Y884" s="91">
        <v>14.4</v>
      </c>
      <c r="Z884" s="154">
        <v>40.5</v>
      </c>
      <c r="AA884" s="153">
        <v>0.34166666666666667</v>
      </c>
      <c r="AB884" s="154">
        <v>90.5</v>
      </c>
      <c r="AC884" s="154">
        <v>16.899999999999999</v>
      </c>
      <c r="AD884" s="91"/>
      <c r="AE884" s="94">
        <f>Table3.110[[#This Row],[Gas 8h, ml]]-Table3.110[[#This Row],[Gas 0h, ml]]</f>
        <v>53</v>
      </c>
      <c r="AF884" s="94">
        <f>Table3.110[[#This Row],[Gas 24h, ml]]-Table3.110[[#This Row],[V8 Push back, ml]]</f>
        <v>50</v>
      </c>
      <c r="AG884" s="94">
        <f>Table3.110[[#This Row],[GP 8h, ml]]-(AVERAGE(AE$862,AE$863,AE$912,AE$913,AE$932,AE$933))*$AG$8</f>
        <v>49.754975227659145</v>
      </c>
      <c r="AH884" s="94">
        <f>Table3.110[[#This Row],[GP 8-24h, ml]]-(AVERAGE(AF$862,AF$863,AF$912,AF$913,AF$932,AF$933))*$AG$8</f>
        <v>45.685592064046816</v>
      </c>
      <c r="AI884" s="94">
        <f>Table3.110[[#This Row],[Net gas 8-24h, ml]]+Table3.110[[#This Row],[Net gas 8h, ml]]</f>
        <v>95.44056729170596</v>
      </c>
      <c r="AJ884" s="94">
        <f>Table3.110[[#This Row],[Net gas 8h, ml]]*Table3.110[[#This Row],[CH4 8h %]]%</f>
        <v>7.1647164327829174</v>
      </c>
      <c r="AK884" s="94">
        <f>Table3.110[[#This Row],[Net gas 8-24h, ml]]*Table3.110[[#This Row],[CH4 24h, %]]%</f>
        <v>7.7208650588239109</v>
      </c>
      <c r="AL884" s="94">
        <f>Table3.110[[#This Row],[CH4 8-24h, ml]]+Table3.110[[#This Row],[CH4 8h, ml]]</f>
        <v>14.885581491606828</v>
      </c>
      <c r="AM884" s="94">
        <f>(Table3.110[[#This Row],[Net gas 24h, ml]]/Table3.110[[#This Row],[DM Incubated, mg]])*1000</f>
        <v>206.36327395942581</v>
      </c>
      <c r="AN884" s="94">
        <f>'3.2 Digest'!X884</f>
        <v>59.84761924440528</v>
      </c>
      <c r="AO884" s="94">
        <f>Table3.110[[#This Row],[Digested feed, mg]]/Table3.110[[#This Row],[Net gas 24h, ml]]</f>
        <v>2.9001099903160217</v>
      </c>
      <c r="AP884" s="94">
        <f>Table3.110[[#This Row],[CH4 8h, ml]]/Table3.110[[#This Row],[Net gas 8h, ml]]%</f>
        <v>14.400000000000002</v>
      </c>
      <c r="AQ884" s="94">
        <f>Table3.110[[#This Row],[CH4 24h, ml]]/Table3.110[[#This Row],[Net gas 24h, ml]]%</f>
        <v>15.596702653820484</v>
      </c>
      <c r="AR884" s="94">
        <f>Table3.110[[#This Row],[CH4 24h, ml]]/Table3.110[[#This Row],[DM Incubated, mg]]*1000</f>
        <v>32.185866226140597</v>
      </c>
      <c r="AS884" s="94">
        <f>Table3.110[[#This Row],[CH4 24h, ml]]/Table3.110[[#This Row],[Digested feed, mg]]*1000</f>
        <v>53.779693549212354</v>
      </c>
      <c r="AT884" s="94">
        <f>Table3.110[[#This Row],[CH4 24h, ml]]/'3.2 Digest'!AA884</f>
        <v>1.2650337214225829</v>
      </c>
      <c r="AU884" s="94">
        <f>((Table3.110[[#This Row],[CH4 24h, ml]]/28.9)*16.04)/Table3.110[[#This Row],[DM Incubated, mg]]*1000</f>
        <v>17.863712604404679</v>
      </c>
      <c r="AV884" s="94">
        <f>((Table3.110[[#This Row],[CH4 24h, ml]]/28.9)*16.04)/Table3.110[[#This Row],[Digested feed, mg]]*1000</f>
        <v>29.848660364337931</v>
      </c>
      <c r="AW884" s="64"/>
    </row>
    <row r="885" spans="2:49" x14ac:dyDescent="0.35">
      <c r="B885" s="90">
        <f t="shared" si="13"/>
        <v>875</v>
      </c>
      <c r="C885" s="140">
        <v>46057</v>
      </c>
      <c r="D885" s="6" t="s">
        <v>16</v>
      </c>
      <c r="E885" s="6" t="s">
        <v>343</v>
      </c>
      <c r="F885" s="6" t="s">
        <v>212</v>
      </c>
      <c r="G885" s="6" t="s">
        <v>301</v>
      </c>
      <c r="H885" s="6" t="s">
        <v>302</v>
      </c>
      <c r="I885" s="6" t="s">
        <v>22</v>
      </c>
      <c r="J885" s="129" t="s">
        <v>23</v>
      </c>
      <c r="K885" s="129" t="s">
        <v>303</v>
      </c>
      <c r="L885" s="6" t="s">
        <v>342</v>
      </c>
      <c r="M885" s="93">
        <v>29</v>
      </c>
      <c r="N885" s="93">
        <v>63</v>
      </c>
      <c r="O885" s="6">
        <v>2</v>
      </c>
      <c r="P885" s="129">
        <v>1</v>
      </c>
      <c r="Q885" s="6">
        <v>186</v>
      </c>
      <c r="R885" s="98">
        <v>0.50019999999999998</v>
      </c>
      <c r="S885" s="94">
        <f>((Table3.110[[#This Row],[Sample weight, g]]*'2.1. DM'!Q211)/100)*1000</f>
        <v>463.01384074185205</v>
      </c>
      <c r="T885" s="94">
        <f>'3.2 Digest'!W885</f>
        <v>184.91384074185203</v>
      </c>
      <c r="U885" s="117">
        <v>0.34027777777777779</v>
      </c>
      <c r="V885" s="155">
        <v>41</v>
      </c>
      <c r="W885" s="117">
        <v>0.67013888888888884</v>
      </c>
      <c r="X885" s="96">
        <v>90</v>
      </c>
      <c r="Y885" s="96">
        <v>14.6</v>
      </c>
      <c r="Z885" s="155">
        <v>40.5</v>
      </c>
      <c r="AA885" s="117">
        <v>0.34236111111111112</v>
      </c>
      <c r="AB885" s="155">
        <v>83</v>
      </c>
      <c r="AC885" s="155">
        <v>17.7</v>
      </c>
      <c r="AD885" s="96"/>
      <c r="AE885" s="94">
        <f>Table3.110[[#This Row],[Gas 8h, ml]]-Table3.110[[#This Row],[Gas 0h, ml]]</f>
        <v>49</v>
      </c>
      <c r="AF885" s="94">
        <f>Table3.110[[#This Row],[Gas 24h, ml]]-Table3.110[[#This Row],[V8 Push back, ml]]</f>
        <v>42.5</v>
      </c>
      <c r="AG885" s="94">
        <f>Table3.110[[#This Row],[GP 8h, ml]]-(AVERAGE(AE$862,AE$863,AE$912,AE$913,AE$932,AE$933))*$AG$8</f>
        <v>45.754975227659145</v>
      </c>
      <c r="AH885" s="94">
        <f>Table3.110[[#This Row],[GP 8-24h, ml]]-(AVERAGE(AF$862,AF$863,AF$912,AF$913,AF$932,AF$933))*$AG$8</f>
        <v>38.185592064046816</v>
      </c>
      <c r="AI885" s="94">
        <f>Table3.110[[#This Row],[Net gas 8-24h, ml]]+Table3.110[[#This Row],[Net gas 8h, ml]]</f>
        <v>83.94056729170596</v>
      </c>
      <c r="AJ885" s="94">
        <f>Table3.110[[#This Row],[Net gas 8h, ml]]*Table3.110[[#This Row],[CH4 8h %]]%</f>
        <v>6.6802263832382351</v>
      </c>
      <c r="AK885" s="94">
        <f>Table3.110[[#This Row],[Net gas 8-24h, ml]]*Table3.110[[#This Row],[CH4 24h, %]]%</f>
        <v>6.7588497953362863</v>
      </c>
      <c r="AL885" s="94">
        <f>Table3.110[[#This Row],[CH4 8-24h, ml]]+Table3.110[[#This Row],[CH4 8h, ml]]</f>
        <v>13.439076178574521</v>
      </c>
      <c r="AM885" s="94">
        <f>(Table3.110[[#This Row],[Net gas 24h, ml]]/Table3.110[[#This Row],[DM Incubated, mg]])*1000</f>
        <v>181.2917021167539</v>
      </c>
      <c r="AN885" s="94">
        <f>'3.2 Digest'!X885</f>
        <v>39.937000683517056</v>
      </c>
      <c r="AO885" s="94">
        <f>Table3.110[[#This Row],[Digested feed, mg]]/Table3.110[[#This Row],[Net gas 24h, ml]]</f>
        <v>2.2029138795220304</v>
      </c>
      <c r="AP885" s="94">
        <f>Table3.110[[#This Row],[CH4 8h, ml]]/Table3.110[[#This Row],[Net gas 8h, ml]]%</f>
        <v>14.6</v>
      </c>
      <c r="AQ885" s="94">
        <f>Table3.110[[#This Row],[CH4 24h, ml]]/Table3.110[[#This Row],[Net gas 24h, ml]]%</f>
        <v>16.010227965069298</v>
      </c>
      <c r="AR885" s="94">
        <f>Table3.110[[#This Row],[CH4 24h, ml]]/Table3.110[[#This Row],[DM Incubated, mg]]*1000</f>
        <v>29.025214790646661</v>
      </c>
      <c r="AS885" s="94">
        <f>Table3.110[[#This Row],[CH4 24h, ml]]/Table3.110[[#This Row],[Digested feed, mg]]*1000</f>
        <v>72.677502801621387</v>
      </c>
      <c r="AT885" s="94">
        <f>Table3.110[[#This Row],[CH4 24h, ml]]/'3.2 Digest'!AA885</f>
        <v>-27.392564904248928</v>
      </c>
      <c r="AU885" s="94">
        <f>((Table3.110[[#This Row],[CH4 24h, ml]]/28.9)*16.04)/Table3.110[[#This Row],[DM Incubated, mg]]*1000</f>
        <v>16.109496375154755</v>
      </c>
      <c r="AV885" s="94">
        <f>((Table3.110[[#This Row],[CH4 24h, ml]]/28.9)*16.04)/Table3.110[[#This Row],[Digested feed, mg]]*1000</f>
        <v>40.337271451142108</v>
      </c>
      <c r="AW885" s="64"/>
    </row>
    <row r="886" spans="2:49" x14ac:dyDescent="0.35">
      <c r="B886" s="90">
        <f t="shared" si="13"/>
        <v>876</v>
      </c>
      <c r="C886" s="140">
        <v>46057</v>
      </c>
      <c r="D886" s="6" t="s">
        <v>16</v>
      </c>
      <c r="E886" s="6" t="s">
        <v>343</v>
      </c>
      <c r="F886" s="6" t="s">
        <v>212</v>
      </c>
      <c r="G886" s="6" t="s">
        <v>301</v>
      </c>
      <c r="H886" s="6" t="s">
        <v>302</v>
      </c>
      <c r="I886" s="6" t="s">
        <v>22</v>
      </c>
      <c r="J886" s="129" t="s">
        <v>23</v>
      </c>
      <c r="K886" s="129" t="s">
        <v>303</v>
      </c>
      <c r="L886" s="6" t="s">
        <v>342</v>
      </c>
      <c r="M886" s="93">
        <v>29</v>
      </c>
      <c r="N886" s="93">
        <v>63</v>
      </c>
      <c r="O886" s="6">
        <v>2</v>
      </c>
      <c r="P886" s="6">
        <v>2</v>
      </c>
      <c r="Q886" s="6">
        <v>187</v>
      </c>
      <c r="R886" s="98">
        <v>0.50029999999999997</v>
      </c>
      <c r="S886" s="94">
        <f>((Table3.110[[#This Row],[Sample weight, g]]*'2.1. DM'!Q211)/100)*1000</f>
        <v>463.10640648370361</v>
      </c>
      <c r="T886" s="94">
        <f>'3.2 Digest'!W886</f>
        <v>204.50640648370364</v>
      </c>
      <c r="U886" s="153">
        <v>0.34027777777777779</v>
      </c>
      <c r="V886" s="154">
        <v>40.5</v>
      </c>
      <c r="W886" s="153">
        <v>0.67013888888888884</v>
      </c>
      <c r="X886" s="91">
        <v>88</v>
      </c>
      <c r="Y886" s="91">
        <v>14.8</v>
      </c>
      <c r="Z886" s="154">
        <v>40</v>
      </c>
      <c r="AA886" s="153">
        <v>0.34305555555555556</v>
      </c>
      <c r="AB886" s="154">
        <v>83</v>
      </c>
      <c r="AC886" s="154">
        <v>17.8</v>
      </c>
      <c r="AD886" s="91"/>
      <c r="AE886" s="94">
        <f>Table3.110[[#This Row],[Gas 8h, ml]]-Table3.110[[#This Row],[Gas 0h, ml]]</f>
        <v>47.5</v>
      </c>
      <c r="AF886" s="94">
        <f>Table3.110[[#This Row],[Gas 24h, ml]]-Table3.110[[#This Row],[V8 Push back, ml]]</f>
        <v>43</v>
      </c>
      <c r="AG886" s="94">
        <f>Table3.110[[#This Row],[GP 8h, ml]]-(AVERAGE(AE$862,AE$863,AE$912,AE$913,AE$932,AE$933))*$AG$8</f>
        <v>44.254975227659145</v>
      </c>
      <c r="AH886" s="94">
        <f>Table3.110[[#This Row],[GP 8-24h, ml]]-(AVERAGE(AF$862,AF$863,AF$912,AF$913,AF$932,AF$933))*$AG$8</f>
        <v>38.685592064046816</v>
      </c>
      <c r="AI886" s="94">
        <f>Table3.110[[#This Row],[Net gas 8-24h, ml]]+Table3.110[[#This Row],[Net gas 8h, ml]]</f>
        <v>82.94056729170596</v>
      </c>
      <c r="AJ886" s="94">
        <f>Table3.110[[#This Row],[Net gas 8h, ml]]*Table3.110[[#This Row],[CH4 8h %]]%</f>
        <v>6.5497363336935539</v>
      </c>
      <c r="AK886" s="94">
        <f>Table3.110[[#This Row],[Net gas 8-24h, ml]]*Table3.110[[#This Row],[CH4 24h, %]]%</f>
        <v>6.8860353874003337</v>
      </c>
      <c r="AL886" s="94">
        <f>Table3.110[[#This Row],[CH4 8-24h, ml]]+Table3.110[[#This Row],[CH4 8h, ml]]</f>
        <v>13.435771721093888</v>
      </c>
      <c r="AM886" s="94">
        <f>(Table3.110[[#This Row],[Net gas 24h, ml]]/Table3.110[[#This Row],[DM Incubated, mg]])*1000</f>
        <v>179.09613456108511</v>
      </c>
      <c r="AN886" s="94">
        <f>'3.2 Digest'!X886</f>
        <v>44.159701446691187</v>
      </c>
      <c r="AO886" s="94">
        <f>Table3.110[[#This Row],[Digested feed, mg]]/Table3.110[[#This Row],[Net gas 24h, ml]]</f>
        <v>2.4656981880102746</v>
      </c>
      <c r="AP886" s="94">
        <f>Table3.110[[#This Row],[CH4 8h, ml]]/Table3.110[[#This Row],[Net gas 8h, ml]]%</f>
        <v>14.8</v>
      </c>
      <c r="AQ886" s="94">
        <f>Table3.110[[#This Row],[CH4 24h, ml]]/Table3.110[[#This Row],[Net gas 24h, ml]]%</f>
        <v>16.19927637321268</v>
      </c>
      <c r="AR886" s="94">
        <f>Table3.110[[#This Row],[CH4 24h, ml]]/Table3.110[[#This Row],[DM Incubated, mg]]*1000</f>
        <v>29.01227781129105</v>
      </c>
      <c r="AS886" s="94">
        <f>Table3.110[[#This Row],[CH4 24h, ml]]/Table3.110[[#This Row],[Digested feed, mg]]*1000</f>
        <v>65.698537039056205</v>
      </c>
      <c r="AT886" s="94">
        <f>Table3.110[[#This Row],[CH4 24h, ml]]/'3.2 Digest'!AA886</f>
        <v>2.0436702401835123</v>
      </c>
      <c r="AU886" s="94">
        <f>((Table3.110[[#This Row],[CH4 24h, ml]]/28.9)*16.04)/Table3.110[[#This Row],[DM Incubated, mg]]*1000</f>
        <v>16.102316127789219</v>
      </c>
      <c r="AV886" s="94">
        <f>((Table3.110[[#This Row],[CH4 24h, ml]]/28.9)*16.04)/Table3.110[[#This Row],[Digested feed, mg]]*1000</f>
        <v>36.46382470956614</v>
      </c>
      <c r="AW886" s="64"/>
    </row>
    <row r="887" spans="2:49" x14ac:dyDescent="0.35">
      <c r="B887" s="90">
        <f t="shared" si="13"/>
        <v>877</v>
      </c>
      <c r="C887" s="140">
        <v>46057</v>
      </c>
      <c r="D887" s="6" t="s">
        <v>16</v>
      </c>
      <c r="E887" s="6" t="s">
        <v>343</v>
      </c>
      <c r="F887" s="6" t="s">
        <v>212</v>
      </c>
      <c r="G887" s="6" t="s">
        <v>301</v>
      </c>
      <c r="H887" s="6" t="s">
        <v>302</v>
      </c>
      <c r="I887" s="6" t="s">
        <v>22</v>
      </c>
      <c r="J887" s="129" t="s">
        <v>23</v>
      </c>
      <c r="K887" s="129" t="s">
        <v>303</v>
      </c>
      <c r="L887" s="6" t="s">
        <v>342</v>
      </c>
      <c r="M887" s="93">
        <v>29</v>
      </c>
      <c r="N887" s="93">
        <v>63</v>
      </c>
      <c r="O887" s="6">
        <v>2</v>
      </c>
      <c r="P887" s="129">
        <v>3</v>
      </c>
      <c r="Q887" s="6">
        <v>188</v>
      </c>
      <c r="R887" s="98">
        <v>0.50049999999999994</v>
      </c>
      <c r="S887" s="94">
        <f>((Table3.110[[#This Row],[Sample weight, g]]*'2.1. DM'!Q211)/100)*1000</f>
        <v>463.29153796740684</v>
      </c>
      <c r="T887" s="94">
        <f>'3.2 Digest'!W887</f>
        <v>157.19153796740682</v>
      </c>
      <c r="U887" s="117">
        <v>0.34166666666666667</v>
      </c>
      <c r="V887" s="155">
        <v>41</v>
      </c>
      <c r="W887" s="117">
        <v>0.67083333333333328</v>
      </c>
      <c r="X887" s="96">
        <v>89.5</v>
      </c>
      <c r="Y887" s="96">
        <v>14.8</v>
      </c>
      <c r="Z887" s="155">
        <v>40</v>
      </c>
      <c r="AA887" s="117">
        <v>0.34305555555555556</v>
      </c>
      <c r="AB887" s="155">
        <v>84</v>
      </c>
      <c r="AC887" s="155">
        <v>17.8</v>
      </c>
      <c r="AD887" s="96" t="s">
        <v>573</v>
      </c>
      <c r="AE887" s="94">
        <f>Table3.110[[#This Row],[Gas 8h, ml]]-Table3.110[[#This Row],[Gas 0h, ml]]</f>
        <v>48.5</v>
      </c>
      <c r="AF887" s="94">
        <f>Table3.110[[#This Row],[Gas 24h, ml]]-Table3.110[[#This Row],[V8 Push back, ml]]</f>
        <v>44</v>
      </c>
      <c r="AG887" s="94">
        <f>Table3.110[[#This Row],[GP 8h, ml]]-(AVERAGE(AE$862,AE$863,AE$912,AE$913,AE$932,AE$933))*$AG$8</f>
        <v>45.254975227659145</v>
      </c>
      <c r="AH887" s="94">
        <f>Table3.110[[#This Row],[GP 8-24h, ml]]-(AVERAGE(AF$862,AF$863,AF$912,AF$913,AF$932,AF$933))*$AG$8</f>
        <v>39.685592064046816</v>
      </c>
      <c r="AI887" s="94">
        <f>Table3.110[[#This Row],[Net gas 8-24h, ml]]+Table3.110[[#This Row],[Net gas 8h, ml]]</f>
        <v>84.94056729170596</v>
      </c>
      <c r="AJ887" s="94">
        <f>Table3.110[[#This Row],[Net gas 8h, ml]]*Table3.110[[#This Row],[CH4 8h %]]%</f>
        <v>6.6977363336935545</v>
      </c>
      <c r="AK887" s="94">
        <f>Table3.110[[#This Row],[Net gas 8-24h, ml]]*Table3.110[[#This Row],[CH4 24h, %]]%</f>
        <v>7.0640353874003337</v>
      </c>
      <c r="AL887" s="94">
        <f>Table3.110[[#This Row],[CH4 8-24h, ml]]+Table3.110[[#This Row],[CH4 8h, ml]]</f>
        <v>13.761771721093888</v>
      </c>
      <c r="AM887" s="94">
        <f>(Table3.110[[#This Row],[Net gas 24h, ml]]/Table3.110[[#This Row],[DM Incubated, mg]])*1000</f>
        <v>183.34150384952994</v>
      </c>
      <c r="AN887" s="94">
        <f>'3.2 Digest'!X887</f>
        <v>33.929291835773924</v>
      </c>
      <c r="AO887" s="94">
        <f>Table3.110[[#This Row],[Digested feed, mg]]/Table3.110[[#This Row],[Net gas 24h, ml]]</f>
        <v>1.8506061706366284</v>
      </c>
      <c r="AP887" s="94">
        <f>Table3.110[[#This Row],[CH4 8h, ml]]/Table3.110[[#This Row],[Net gas 8h, ml]]%</f>
        <v>14.800000000000002</v>
      </c>
      <c r="AQ887" s="94">
        <f>Table3.110[[#This Row],[CH4 24h, ml]]/Table3.110[[#This Row],[Net gas 24h, ml]]%</f>
        <v>16.201647999162422</v>
      </c>
      <c r="AR887" s="94">
        <f>Table3.110[[#This Row],[CH4 24h, ml]]/Table3.110[[#This Row],[DM Incubated, mg]]*1000</f>
        <v>29.704345090071659</v>
      </c>
      <c r="AS887" s="94">
        <f>Table3.110[[#This Row],[CH4 24h, ml]]/Table3.110[[#This Row],[Digested feed, mg]]*1000</f>
        <v>87.547789779544928</v>
      </c>
      <c r="AT887" s="94">
        <f>Table3.110[[#This Row],[CH4 24h, ml]]/'3.2 Digest'!AA887</f>
        <v>-1.3054196867705716</v>
      </c>
      <c r="AU887" s="94">
        <f>((Table3.110[[#This Row],[CH4 24h, ml]]/28.9)*16.04)/Table3.110[[#This Row],[DM Incubated, mg]]*1000</f>
        <v>16.48642544099479</v>
      </c>
      <c r="AV887" s="94">
        <f>((Table3.110[[#This Row],[CH4 24h, ml]]/28.9)*16.04)/Table3.110[[#This Row],[Digested feed, mg]]*1000</f>
        <v>48.590537995290681</v>
      </c>
      <c r="AW887" s="64"/>
    </row>
    <row r="888" spans="2:49" x14ac:dyDescent="0.35">
      <c r="B888" s="90">
        <f t="shared" si="13"/>
        <v>878</v>
      </c>
      <c r="C888" s="140">
        <v>46057</v>
      </c>
      <c r="D888" s="6" t="s">
        <v>16</v>
      </c>
      <c r="E888" s="6" t="s">
        <v>345</v>
      </c>
      <c r="F888" s="6" t="s">
        <v>346</v>
      </c>
      <c r="G888" s="6" t="s">
        <v>347</v>
      </c>
      <c r="H888" s="6" t="s">
        <v>348</v>
      </c>
      <c r="I888" s="6" t="s">
        <v>22</v>
      </c>
      <c r="J888" s="129" t="s">
        <v>23</v>
      </c>
      <c r="K888" s="129" t="s">
        <v>303</v>
      </c>
      <c r="L888" s="6" t="s">
        <v>344</v>
      </c>
      <c r="M888" s="93">
        <v>29</v>
      </c>
      <c r="N888" s="93">
        <v>63</v>
      </c>
      <c r="O888" s="6">
        <v>2</v>
      </c>
      <c r="P888" s="129">
        <v>1</v>
      </c>
      <c r="Q888" s="6">
        <v>189</v>
      </c>
      <c r="R888" s="98">
        <v>0.50009999999999999</v>
      </c>
      <c r="S888" s="94">
        <f>((Table3.110[[#This Row],[Sample weight, g]]*'2.1. DM'!Q213)/100)*1000</f>
        <v>464.13037481259397</v>
      </c>
      <c r="T888" s="94">
        <f>'3.2 Digest'!W888</f>
        <v>140.030374812594</v>
      </c>
      <c r="U888" s="153">
        <v>0.34166666666666667</v>
      </c>
      <c r="V888" s="154">
        <v>41</v>
      </c>
      <c r="W888" s="153">
        <v>0.67083333333333328</v>
      </c>
      <c r="X888" s="91">
        <v>75</v>
      </c>
      <c r="Y888" s="91">
        <v>13.8</v>
      </c>
      <c r="Z888" s="154">
        <v>40</v>
      </c>
      <c r="AA888" s="153">
        <v>0.34375</v>
      </c>
      <c r="AB888" s="154">
        <v>79</v>
      </c>
      <c r="AC888" s="154">
        <v>16.399999999999999</v>
      </c>
      <c r="AD888" s="91"/>
      <c r="AE888" s="94">
        <f>Table3.110[[#This Row],[Gas 8h, ml]]-Table3.110[[#This Row],[Gas 0h, ml]]</f>
        <v>34</v>
      </c>
      <c r="AF888" s="94">
        <f>Table3.110[[#This Row],[Gas 24h, ml]]-Table3.110[[#This Row],[V8 Push back, ml]]</f>
        <v>39</v>
      </c>
      <c r="AG888" s="94">
        <f>Table3.110[[#This Row],[GP 8h, ml]]-(AVERAGE(AE$862,AE$863,AE$912,AE$913,AE$932,AE$933))*$AG$8</f>
        <v>30.754975227659141</v>
      </c>
      <c r="AH888" s="94">
        <f>Table3.110[[#This Row],[GP 8-24h, ml]]-(AVERAGE(AF$862,AF$863,AF$912,AF$913,AF$932,AF$933))*$AG$8</f>
        <v>34.685592064046816</v>
      </c>
      <c r="AI888" s="94">
        <f>Table3.110[[#This Row],[Net gas 8-24h, ml]]+Table3.110[[#This Row],[Net gas 8h, ml]]</f>
        <v>65.44056729170596</v>
      </c>
      <c r="AJ888" s="94">
        <f>Table3.110[[#This Row],[Net gas 8h, ml]]*Table3.110[[#This Row],[CH4 8h %]]%</f>
        <v>4.2441865814169617</v>
      </c>
      <c r="AK888" s="94">
        <f>Table3.110[[#This Row],[Net gas 8-24h, ml]]*Table3.110[[#This Row],[CH4 24h, %]]%</f>
        <v>5.6884370985036767</v>
      </c>
      <c r="AL888" s="94">
        <f>Table3.110[[#This Row],[CH4 8-24h, ml]]+Table3.110[[#This Row],[CH4 8h, ml]]</f>
        <v>9.9326236799206384</v>
      </c>
      <c r="AM888" s="94">
        <f>(Table3.110[[#This Row],[Net gas 24h, ml]]/Table3.110[[#This Row],[DM Incubated, mg]])*1000</f>
        <v>140.99608826103977</v>
      </c>
      <c r="AN888" s="94">
        <f>'3.2 Digest'!X888</f>
        <v>30.170482780648715</v>
      </c>
      <c r="AO888" s="94">
        <f>Table3.110[[#This Row],[Digested feed, mg]]/Table3.110[[#This Row],[Net gas 24h, ml]]</f>
        <v>2.1398099162007367</v>
      </c>
      <c r="AP888" s="94">
        <f>Table3.110[[#This Row],[CH4 8h, ml]]/Table3.110[[#This Row],[Net gas 8h, ml]]%</f>
        <v>13.8</v>
      </c>
      <c r="AQ888" s="94">
        <f>Table3.110[[#This Row],[CH4 24h, ml]]/Table3.110[[#This Row],[Net gas 24h, ml]]%</f>
        <v>15.178083092778314</v>
      </c>
      <c r="AR888" s="94">
        <f>Table3.110[[#This Row],[CH4 24h, ml]]/Table3.110[[#This Row],[DM Incubated, mg]]*1000</f>
        <v>21.400503433827666</v>
      </c>
      <c r="AS888" s="94">
        <f>Table3.110[[#This Row],[CH4 24h, ml]]/Table3.110[[#This Row],[Digested feed, mg]]*1000</f>
        <v>70.931922400505655</v>
      </c>
      <c r="AT888" s="94">
        <f>Table3.110[[#This Row],[CH4 24h, ml]]/'3.2 Digest'!AA888</f>
        <v>-0.43308195833406582</v>
      </c>
      <c r="AU888" s="94">
        <f>((Table3.110[[#This Row],[CH4 24h, ml]]/28.9)*16.04)/Table3.110[[#This Row],[DM Incubated, mg]]*1000</f>
        <v>11.877649656698816</v>
      </c>
      <c r="AV888" s="94">
        <f>((Table3.110[[#This Row],[CH4 24h, ml]]/28.9)*16.04)/Table3.110[[#This Row],[Digested feed, mg]]*1000</f>
        <v>39.368444128169919</v>
      </c>
      <c r="AW888" s="64"/>
    </row>
    <row r="889" spans="2:49" x14ac:dyDescent="0.35">
      <c r="B889" s="90">
        <f t="shared" si="13"/>
        <v>879</v>
      </c>
      <c r="C889" s="140">
        <v>46057</v>
      </c>
      <c r="D889" s="6" t="s">
        <v>16</v>
      </c>
      <c r="E889" s="6" t="s">
        <v>345</v>
      </c>
      <c r="F889" s="6" t="s">
        <v>346</v>
      </c>
      <c r="G889" s="6" t="s">
        <v>347</v>
      </c>
      <c r="H889" s="6" t="s">
        <v>348</v>
      </c>
      <c r="I889" s="6" t="s">
        <v>22</v>
      </c>
      <c r="J889" s="129" t="s">
        <v>23</v>
      </c>
      <c r="K889" s="129" t="s">
        <v>303</v>
      </c>
      <c r="L889" s="6" t="s">
        <v>344</v>
      </c>
      <c r="M889" s="93">
        <v>29</v>
      </c>
      <c r="N889" s="93">
        <v>63</v>
      </c>
      <c r="O889" s="6">
        <v>2</v>
      </c>
      <c r="P889" s="6">
        <v>2</v>
      </c>
      <c r="Q889" s="6">
        <v>190</v>
      </c>
      <c r="R889" s="98">
        <v>0.50039999999999996</v>
      </c>
      <c r="S889" s="94">
        <f>((Table3.110[[#This Row],[Sample weight, g]]*'2.1. DM'!Q213)/100)*1000</f>
        <v>464.40879735297335</v>
      </c>
      <c r="T889" s="94">
        <f>'3.2 Digest'!W889</f>
        <v>169.80879735297339</v>
      </c>
      <c r="U889" s="117">
        <v>0.34166666666666667</v>
      </c>
      <c r="V889" s="155">
        <v>41</v>
      </c>
      <c r="W889" s="117">
        <v>0.67083333333333328</v>
      </c>
      <c r="X889" s="96">
        <v>75</v>
      </c>
      <c r="Y889" s="96">
        <v>13.6</v>
      </c>
      <c r="Z889" s="155">
        <v>40.5</v>
      </c>
      <c r="AA889" s="117">
        <v>0.34375</v>
      </c>
      <c r="AB889" s="155">
        <v>80</v>
      </c>
      <c r="AC889" s="155">
        <v>16.2</v>
      </c>
      <c r="AD889" s="96"/>
      <c r="AE889" s="94">
        <f>Table3.110[[#This Row],[Gas 8h, ml]]-Table3.110[[#This Row],[Gas 0h, ml]]</f>
        <v>34</v>
      </c>
      <c r="AF889" s="94">
        <f>Table3.110[[#This Row],[Gas 24h, ml]]-Table3.110[[#This Row],[V8 Push back, ml]]</f>
        <v>39.5</v>
      </c>
      <c r="AG889" s="94">
        <f>Table3.110[[#This Row],[GP 8h, ml]]-(AVERAGE(AE$862,AE$863,AE$912,AE$913,AE$932,AE$933))*$AG$8</f>
        <v>30.754975227659141</v>
      </c>
      <c r="AH889" s="94">
        <f>Table3.110[[#This Row],[GP 8-24h, ml]]-(AVERAGE(AF$862,AF$863,AF$912,AF$913,AF$932,AF$933))*$AG$8</f>
        <v>35.185592064046816</v>
      </c>
      <c r="AI889" s="94">
        <f>Table3.110[[#This Row],[Net gas 8-24h, ml]]+Table3.110[[#This Row],[Net gas 8h, ml]]</f>
        <v>65.94056729170596</v>
      </c>
      <c r="AJ889" s="94">
        <f>Table3.110[[#This Row],[Net gas 8h, ml]]*Table3.110[[#This Row],[CH4 8h %]]%</f>
        <v>4.1826766309616437</v>
      </c>
      <c r="AK889" s="94">
        <f>Table3.110[[#This Row],[Net gas 8-24h, ml]]*Table3.110[[#This Row],[CH4 24h, %]]%</f>
        <v>5.7000659143755845</v>
      </c>
      <c r="AL889" s="94">
        <f>Table3.110[[#This Row],[CH4 8-24h, ml]]+Table3.110[[#This Row],[CH4 8h, ml]]</f>
        <v>9.8827425453372282</v>
      </c>
      <c r="AM889" s="94">
        <f>(Table3.110[[#This Row],[Net gas 24h, ml]]/Table3.110[[#This Row],[DM Incubated, mg]])*1000</f>
        <v>141.98819589024262</v>
      </c>
      <c r="AN889" s="94">
        <f>'3.2 Digest'!X889</f>
        <v>36.564509182609306</v>
      </c>
      <c r="AO889" s="94">
        <f>Table3.110[[#This Row],[Digested feed, mg]]/Table3.110[[#This Row],[Net gas 24h, ml]]</f>
        <v>2.5751795037154923</v>
      </c>
      <c r="AP889" s="94">
        <f>Table3.110[[#This Row],[CH4 8h, ml]]/Table3.110[[#This Row],[Net gas 8h, ml]]%</f>
        <v>13.600000000000001</v>
      </c>
      <c r="AQ889" s="94">
        <f>Table3.110[[#This Row],[CH4 24h, ml]]/Table3.110[[#This Row],[Net gas 24h, ml]]%</f>
        <v>14.987348382397499</v>
      </c>
      <c r="AR889" s="94">
        <f>Table3.110[[#This Row],[CH4 24h, ml]]/Table3.110[[#This Row],[DM Incubated, mg]]*1000</f>
        <v>21.280265579951671</v>
      </c>
      <c r="AS889" s="94">
        <f>Table3.110[[#This Row],[CH4 24h, ml]]/Table3.110[[#This Row],[Digested feed, mg]]*1000</f>
        <v>58.19923760954768</v>
      </c>
      <c r="AT889" s="94">
        <f>Table3.110[[#This Row],[CH4 24h, ml]]/'3.2 Digest'!AA889</f>
        <v>-0.84626496339116808</v>
      </c>
      <c r="AU889" s="94">
        <f>((Table3.110[[#This Row],[CH4 24h, ml]]/28.9)*16.04)/Table3.110[[#This Row],[DM Incubated, mg]]*1000</f>
        <v>11.81091556755795</v>
      </c>
      <c r="AV889" s="94">
        <f>((Table3.110[[#This Row],[CH4 24h, ml]]/28.9)*16.04)/Table3.110[[#This Row],[Digested feed, mg]]*1000</f>
        <v>32.301583780524034</v>
      </c>
      <c r="AW889" s="64"/>
    </row>
    <row r="890" spans="2:49" x14ac:dyDescent="0.35">
      <c r="B890" s="90">
        <f t="shared" si="13"/>
        <v>880</v>
      </c>
      <c r="C890" s="140">
        <v>46057</v>
      </c>
      <c r="D890" s="6" t="s">
        <v>16</v>
      </c>
      <c r="E890" s="6" t="s">
        <v>345</v>
      </c>
      <c r="F890" s="6" t="s">
        <v>346</v>
      </c>
      <c r="G890" s="6" t="s">
        <v>347</v>
      </c>
      <c r="H890" s="6" t="s">
        <v>348</v>
      </c>
      <c r="I890" s="6" t="s">
        <v>22</v>
      </c>
      <c r="J890" s="129" t="s">
        <v>23</v>
      </c>
      <c r="K890" s="129" t="s">
        <v>303</v>
      </c>
      <c r="L890" s="6" t="s">
        <v>344</v>
      </c>
      <c r="M890" s="93">
        <v>29</v>
      </c>
      <c r="N890" s="93">
        <v>63</v>
      </c>
      <c r="O890" s="6">
        <v>2</v>
      </c>
      <c r="P890" s="129">
        <v>3</v>
      </c>
      <c r="Q890" s="6">
        <v>191</v>
      </c>
      <c r="R890" s="98">
        <v>0.50009999999999999</v>
      </c>
      <c r="S890" s="94">
        <f>((Table3.110[[#This Row],[Sample weight, g]]*'2.1. DM'!Q213)/100)*1000</f>
        <v>464.13037481259397</v>
      </c>
      <c r="T890" s="94">
        <f>'3.2 Digest'!W890</f>
        <v>180.13037481259403</v>
      </c>
      <c r="U890" s="153">
        <v>0.34236111111111112</v>
      </c>
      <c r="V890" s="154">
        <v>41</v>
      </c>
      <c r="W890" s="153">
        <v>0.67152777777777772</v>
      </c>
      <c r="X890" s="91">
        <v>75</v>
      </c>
      <c r="Y890" s="91">
        <v>13.6</v>
      </c>
      <c r="Z890" s="154">
        <v>40</v>
      </c>
      <c r="AA890" s="153">
        <v>0.34513888888888888</v>
      </c>
      <c r="AB890" s="154">
        <v>82</v>
      </c>
      <c r="AC890" s="154">
        <v>16.399999999999999</v>
      </c>
      <c r="AD890" s="91"/>
      <c r="AE890" s="94">
        <f>Table3.110[[#This Row],[Gas 8h, ml]]-Table3.110[[#This Row],[Gas 0h, ml]]</f>
        <v>34</v>
      </c>
      <c r="AF890" s="94">
        <f>Table3.110[[#This Row],[Gas 24h, ml]]-Table3.110[[#This Row],[V8 Push back, ml]]</f>
        <v>42</v>
      </c>
      <c r="AG890" s="94">
        <f>Table3.110[[#This Row],[GP 8h, ml]]-(AVERAGE(AE$862,AE$863,AE$912,AE$913,AE$932,AE$933))*$AG$8</f>
        <v>30.754975227659141</v>
      </c>
      <c r="AH890" s="94">
        <f>Table3.110[[#This Row],[GP 8-24h, ml]]-(AVERAGE(AF$862,AF$863,AF$912,AF$913,AF$932,AF$933))*$AG$8</f>
        <v>37.685592064046816</v>
      </c>
      <c r="AI890" s="94">
        <f>Table3.110[[#This Row],[Net gas 8-24h, ml]]+Table3.110[[#This Row],[Net gas 8h, ml]]</f>
        <v>68.44056729170596</v>
      </c>
      <c r="AJ890" s="94">
        <f>Table3.110[[#This Row],[Net gas 8h, ml]]*Table3.110[[#This Row],[CH4 8h %]]%</f>
        <v>4.1826766309616437</v>
      </c>
      <c r="AK890" s="94">
        <f>Table3.110[[#This Row],[Net gas 8-24h, ml]]*Table3.110[[#This Row],[CH4 24h, %]]%</f>
        <v>6.1804370985036767</v>
      </c>
      <c r="AL890" s="94">
        <f>Table3.110[[#This Row],[CH4 8-24h, ml]]+Table3.110[[#This Row],[CH4 8h, ml]]</f>
        <v>10.36311372946532</v>
      </c>
      <c r="AM890" s="94">
        <f>(Table3.110[[#This Row],[Net gas 24h, ml]]/Table3.110[[#This Row],[DM Incubated, mg]])*1000</f>
        <v>147.45978933040271</v>
      </c>
      <c r="AN890" s="94">
        <f>'3.2 Digest'!X890</f>
        <v>38.81029654336389</v>
      </c>
      <c r="AO890" s="94">
        <f>Table3.110[[#This Row],[Digested feed, mg]]/Table3.110[[#This Row],[Net gas 24h, ml]]</f>
        <v>2.6319240465212115</v>
      </c>
      <c r="AP890" s="94">
        <f>Table3.110[[#This Row],[CH4 8h, ml]]/Table3.110[[#This Row],[Net gas 8h, ml]]%</f>
        <v>13.600000000000001</v>
      </c>
      <c r="AQ890" s="94">
        <f>Table3.110[[#This Row],[CH4 24h, ml]]/Table3.110[[#This Row],[Net gas 24h, ml]]%</f>
        <v>15.141770647949006</v>
      </c>
      <c r="AR890" s="94">
        <f>Table3.110[[#This Row],[CH4 24h, ml]]/Table3.110[[#This Row],[DM Incubated, mg]]*1000</f>
        <v>22.328023098358358</v>
      </c>
      <c r="AS890" s="94">
        <f>Table3.110[[#This Row],[CH4 24h, ml]]/Table3.110[[#This Row],[Digested feed, mg]]*1000</f>
        <v>57.531183956326124</v>
      </c>
      <c r="AT890" s="94">
        <f>Table3.110[[#This Row],[CH4 24h, ml]]/'3.2 Digest'!AA890</f>
        <v>-1.3416134137966693</v>
      </c>
      <c r="AU890" s="94">
        <f>((Table3.110[[#This Row],[CH4 24h, ml]]/28.9)*16.04)/Table3.110[[#This Row],[DM Incubated, mg]]*1000</f>
        <v>12.39243911756637</v>
      </c>
      <c r="AV890" s="94">
        <f>((Table3.110[[#This Row],[CH4 24h, ml]]/28.9)*16.04)/Table3.110[[#This Row],[Digested feed, mg]]*1000</f>
        <v>31.930802444964392</v>
      </c>
      <c r="AW890" s="64"/>
    </row>
    <row r="891" spans="2:49" x14ac:dyDescent="0.35">
      <c r="B891" s="90">
        <f t="shared" si="13"/>
        <v>881</v>
      </c>
      <c r="C891" s="140">
        <v>46057</v>
      </c>
      <c r="D891" s="6" t="s">
        <v>16</v>
      </c>
      <c r="E891" s="6" t="s">
        <v>350</v>
      </c>
      <c r="F891" s="6" t="s">
        <v>212</v>
      </c>
      <c r="G891" s="6" t="s">
        <v>351</v>
      </c>
      <c r="H891" s="6" t="s">
        <v>352</v>
      </c>
      <c r="I891" s="6" t="s">
        <v>22</v>
      </c>
      <c r="J891" s="129" t="s">
        <v>23</v>
      </c>
      <c r="K891" s="129" t="s">
        <v>215</v>
      </c>
      <c r="L891" s="6" t="s">
        <v>349</v>
      </c>
      <c r="M891" s="93">
        <v>29</v>
      </c>
      <c r="N891" s="93">
        <v>63</v>
      </c>
      <c r="O891" s="6">
        <v>2</v>
      </c>
      <c r="P891" s="129">
        <v>1</v>
      </c>
      <c r="Q891" s="6">
        <v>192</v>
      </c>
      <c r="R891" s="98">
        <v>0.50049999999999994</v>
      </c>
      <c r="S891" s="94">
        <f>((Table3.110[[#This Row],[Sample weight, g]]*'2.1. DM'!Q215)/100)*1000</f>
        <v>464.29425201850916</v>
      </c>
      <c r="T891" s="94">
        <f>'3.2 Digest'!W891</f>
        <v>204.29425201850916</v>
      </c>
      <c r="U891" s="117">
        <v>0.34236111111111112</v>
      </c>
      <c r="V891" s="155">
        <v>41</v>
      </c>
      <c r="W891" s="117">
        <v>0.67152777777777772</v>
      </c>
      <c r="X891" s="96">
        <v>81</v>
      </c>
      <c r="Y891" s="96">
        <v>14.2</v>
      </c>
      <c r="Z891" s="155">
        <v>40</v>
      </c>
      <c r="AA891" s="117">
        <v>0.34513888888888888</v>
      </c>
      <c r="AB891" s="155">
        <v>90</v>
      </c>
      <c r="AC891" s="155">
        <v>17.3</v>
      </c>
      <c r="AD891" s="96"/>
      <c r="AE891" s="94">
        <f>Table3.110[[#This Row],[Gas 8h, ml]]-Table3.110[[#This Row],[Gas 0h, ml]]</f>
        <v>40</v>
      </c>
      <c r="AF891" s="94">
        <f>Table3.110[[#This Row],[Gas 24h, ml]]-Table3.110[[#This Row],[V8 Push back, ml]]</f>
        <v>50</v>
      </c>
      <c r="AG891" s="94">
        <f>Table3.110[[#This Row],[GP 8h, ml]]-(AVERAGE(AE$862,AE$863,AE$912,AE$913,AE$932,AE$933))*$AG$8</f>
        <v>36.754975227659145</v>
      </c>
      <c r="AH891" s="94">
        <f>Table3.110[[#This Row],[GP 8-24h, ml]]-(AVERAGE(AF$862,AF$863,AF$912,AF$913,AF$932,AF$933))*$AG$8</f>
        <v>45.685592064046816</v>
      </c>
      <c r="AI891" s="94">
        <f>Table3.110[[#This Row],[Net gas 8-24h, ml]]+Table3.110[[#This Row],[Net gas 8h, ml]]</f>
        <v>82.44056729170596</v>
      </c>
      <c r="AJ891" s="94">
        <f>Table3.110[[#This Row],[Net gas 8h, ml]]*Table3.110[[#This Row],[CH4 8h %]]%</f>
        <v>5.2192064823275981</v>
      </c>
      <c r="AK891" s="94">
        <f>Table3.110[[#This Row],[Net gas 8-24h, ml]]*Table3.110[[#This Row],[CH4 24h, %]]%</f>
        <v>7.9036074270801002</v>
      </c>
      <c r="AL891" s="94">
        <f>Table3.110[[#This Row],[CH4 8-24h, ml]]+Table3.110[[#This Row],[CH4 8h, ml]]</f>
        <v>13.122813909407698</v>
      </c>
      <c r="AM891" s="94">
        <f>(Table3.110[[#This Row],[Net gas 24h, ml]]/Table3.110[[#This Row],[DM Incubated, mg]])*1000</f>
        <v>177.56103361886861</v>
      </c>
      <c r="AN891" s="94">
        <f>'3.2 Digest'!X891</f>
        <v>44.001029762988523</v>
      </c>
      <c r="AO891" s="94">
        <f>Table3.110[[#This Row],[Digested feed, mg]]/Table3.110[[#This Row],[Net gas 24h, ml]]</f>
        <v>2.4780791633279122</v>
      </c>
      <c r="AP891" s="94">
        <f>Table3.110[[#This Row],[CH4 8h, ml]]/Table3.110[[#This Row],[Net gas 8h, ml]]%</f>
        <v>14.2</v>
      </c>
      <c r="AQ891" s="94">
        <f>Table3.110[[#This Row],[CH4 24h, ml]]/Table3.110[[#This Row],[Net gas 24h, ml]]%</f>
        <v>15.917908307173835</v>
      </c>
      <c r="AR891" s="94">
        <f>Table3.110[[#This Row],[CH4 24h, ml]]/Table3.110[[#This Row],[DM Incubated, mg]]*1000</f>
        <v>28.264002520721611</v>
      </c>
      <c r="AS891" s="94">
        <f>Table3.110[[#This Row],[CH4 24h, ml]]/Table3.110[[#This Row],[Digested feed, mg]]*1000</f>
        <v>64.234866031467021</v>
      </c>
      <c r="AT891" s="94">
        <f>Table3.110[[#This Row],[CH4 24h, ml]]/'3.2 Digest'!AA891</f>
        <v>2.731573133278673</v>
      </c>
      <c r="AU891" s="94">
        <f>((Table3.110[[#This Row],[CH4 24h, ml]]/28.9)*16.04)/Table3.110[[#This Row],[DM Incubated, mg]]*1000</f>
        <v>15.687010395583901</v>
      </c>
      <c r="AV891" s="94">
        <f>((Table3.110[[#This Row],[CH4 24h, ml]]/28.9)*16.04)/Table3.110[[#This Row],[Digested feed, mg]]*1000</f>
        <v>35.651461977326342</v>
      </c>
      <c r="AW891" s="64"/>
    </row>
    <row r="892" spans="2:49" x14ac:dyDescent="0.35">
      <c r="B892" s="90">
        <f t="shared" si="13"/>
        <v>882</v>
      </c>
      <c r="C892" s="140">
        <v>46057</v>
      </c>
      <c r="D892" s="6" t="s">
        <v>16</v>
      </c>
      <c r="E892" s="6" t="s">
        <v>350</v>
      </c>
      <c r="F892" s="6" t="s">
        <v>212</v>
      </c>
      <c r="G892" s="6" t="s">
        <v>351</v>
      </c>
      <c r="H892" s="6" t="s">
        <v>352</v>
      </c>
      <c r="I892" s="6" t="s">
        <v>22</v>
      </c>
      <c r="J892" s="129" t="s">
        <v>23</v>
      </c>
      <c r="K892" s="129" t="s">
        <v>215</v>
      </c>
      <c r="L892" s="6" t="s">
        <v>349</v>
      </c>
      <c r="M892" s="93">
        <v>29</v>
      </c>
      <c r="N892" s="93">
        <v>63</v>
      </c>
      <c r="O892" s="6">
        <v>2</v>
      </c>
      <c r="P892" s="6">
        <v>2</v>
      </c>
      <c r="Q892" s="6">
        <v>193</v>
      </c>
      <c r="R892" s="98">
        <v>0.50039999999999996</v>
      </c>
      <c r="S892" s="94">
        <f>((Table3.110[[#This Row],[Sample weight, g]]*'2.1. DM'!Q215)/100)*1000</f>
        <v>464.2014859341898</v>
      </c>
      <c r="T892" s="94">
        <f>'3.2 Digest'!W892</f>
        <v>209.2014859341898</v>
      </c>
      <c r="U892" s="153">
        <v>0.34305555555555556</v>
      </c>
      <c r="V892" s="154">
        <v>41</v>
      </c>
      <c r="W892" s="153">
        <v>0.67222222222222228</v>
      </c>
      <c r="X892" s="91">
        <v>91</v>
      </c>
      <c r="Y892" s="91">
        <v>14.2</v>
      </c>
      <c r="Z892" s="154">
        <v>40</v>
      </c>
      <c r="AA892" s="153">
        <v>0.34583333333333333</v>
      </c>
      <c r="AB892" s="154">
        <v>89</v>
      </c>
      <c r="AC892" s="154">
        <v>17.5</v>
      </c>
      <c r="AD892" s="91"/>
      <c r="AE892" s="94">
        <f>Table3.110[[#This Row],[Gas 8h, ml]]-Table3.110[[#This Row],[Gas 0h, ml]]</f>
        <v>50</v>
      </c>
      <c r="AF892" s="94">
        <f>Table3.110[[#This Row],[Gas 24h, ml]]-Table3.110[[#This Row],[V8 Push back, ml]]</f>
        <v>49</v>
      </c>
      <c r="AG892" s="94">
        <f>Table3.110[[#This Row],[GP 8h, ml]]-(AVERAGE(AE$862,AE$863,AE$912,AE$913,AE$932,AE$933))*$AG$8</f>
        <v>46.754975227659145</v>
      </c>
      <c r="AH892" s="94">
        <f>Table3.110[[#This Row],[GP 8-24h, ml]]-(AVERAGE(AF$862,AF$863,AF$912,AF$913,AF$932,AF$933))*$AG$8</f>
        <v>44.685592064046816</v>
      </c>
      <c r="AI892" s="94">
        <f>Table3.110[[#This Row],[Net gas 8-24h, ml]]+Table3.110[[#This Row],[Net gas 8h, ml]]</f>
        <v>91.44056729170596</v>
      </c>
      <c r="AJ892" s="94">
        <f>Table3.110[[#This Row],[Net gas 8h, ml]]*Table3.110[[#This Row],[CH4 8h %]]%</f>
        <v>6.639206482327598</v>
      </c>
      <c r="AK892" s="94">
        <f>Table3.110[[#This Row],[Net gas 8-24h, ml]]*Table3.110[[#This Row],[CH4 24h, %]]%</f>
        <v>7.8199786112081924</v>
      </c>
      <c r="AL892" s="94">
        <f>Table3.110[[#This Row],[CH4 8-24h, ml]]+Table3.110[[#This Row],[CH4 8h, ml]]</f>
        <v>14.45918509353579</v>
      </c>
      <c r="AM892" s="94">
        <f>(Table3.110[[#This Row],[Net gas 24h, ml]]/Table3.110[[#This Row],[DM Incubated, mg]])*1000</f>
        <v>196.98465011951632</v>
      </c>
      <c r="AN892" s="94">
        <f>'3.2 Digest'!X892</f>
        <v>45.066957403890875</v>
      </c>
      <c r="AO892" s="94">
        <f>Table3.110[[#This Row],[Digested feed, mg]]/Table3.110[[#This Row],[Net gas 24h, ml]]</f>
        <v>2.2878410767817408</v>
      </c>
      <c r="AP892" s="94">
        <f>Table3.110[[#This Row],[CH4 8h, ml]]/Table3.110[[#This Row],[Net gas 8h, ml]]%</f>
        <v>14.2</v>
      </c>
      <c r="AQ892" s="94">
        <f>Table3.110[[#This Row],[CH4 24h, ml]]/Table3.110[[#This Row],[Net gas 24h, ml]]%</f>
        <v>15.812659000035861</v>
      </c>
      <c r="AR892" s="94">
        <f>Table3.110[[#This Row],[CH4 24h, ml]]/Table3.110[[#This Row],[DM Incubated, mg]]*1000</f>
        <v>31.14851100581285</v>
      </c>
      <c r="AS892" s="94">
        <f>Table3.110[[#This Row],[CH4 24h, ml]]/Table3.110[[#This Row],[Digested feed, mg]]*1000</f>
        <v>69.116072617592835</v>
      </c>
      <c r="AT892" s="94">
        <f>Table3.110[[#This Row],[CH4 24h, ml]]/'3.2 Digest'!AA892</f>
        <v>2.1854362535524121</v>
      </c>
      <c r="AU892" s="94">
        <f>((Table3.110[[#This Row],[CH4 24h, ml]]/28.9)*16.04)/Table3.110[[#This Row],[DM Incubated, mg]]*1000</f>
        <v>17.287962509800625</v>
      </c>
      <c r="AV892" s="94">
        <f>((Table3.110[[#This Row],[CH4 24h, ml]]/28.9)*16.04)/Table3.110[[#This Row],[Digested feed, mg]]*1000</f>
        <v>38.360616082567098</v>
      </c>
      <c r="AW892" s="64"/>
    </row>
    <row r="893" spans="2:49" x14ac:dyDescent="0.35">
      <c r="B893" s="90">
        <f t="shared" si="13"/>
        <v>883</v>
      </c>
      <c r="C893" s="140">
        <v>46057</v>
      </c>
      <c r="D893" s="6" t="s">
        <v>16</v>
      </c>
      <c r="E893" s="6" t="s">
        <v>350</v>
      </c>
      <c r="F893" s="6" t="s">
        <v>212</v>
      </c>
      <c r="G893" s="6" t="s">
        <v>351</v>
      </c>
      <c r="H893" s="6" t="s">
        <v>352</v>
      </c>
      <c r="I893" s="6" t="s">
        <v>22</v>
      </c>
      <c r="J893" s="129" t="s">
        <v>23</v>
      </c>
      <c r="K893" s="129" t="s">
        <v>215</v>
      </c>
      <c r="L893" s="6" t="s">
        <v>349</v>
      </c>
      <c r="M893" s="93">
        <v>29</v>
      </c>
      <c r="N893" s="93">
        <v>63</v>
      </c>
      <c r="O893" s="6">
        <v>2</v>
      </c>
      <c r="P893" s="129">
        <v>3</v>
      </c>
      <c r="Q893" s="6">
        <v>194</v>
      </c>
      <c r="R893" s="98">
        <v>0.50029999999999997</v>
      </c>
      <c r="S893" s="94">
        <f>((Table3.110[[#This Row],[Sample weight, g]]*'2.1. DM'!Q215)/100)*1000</f>
        <v>464.1087198498704</v>
      </c>
      <c r="T893" s="94">
        <f>'3.2 Digest'!W893</f>
        <v>179.00871984987037</v>
      </c>
      <c r="U893" s="117">
        <v>0.34375</v>
      </c>
      <c r="V893" s="155">
        <v>41</v>
      </c>
      <c r="W893" s="117">
        <v>0.67222222222222228</v>
      </c>
      <c r="X893" s="96">
        <v>90</v>
      </c>
      <c r="Y893" s="96">
        <v>14.2</v>
      </c>
      <c r="Z893" s="155">
        <v>40</v>
      </c>
      <c r="AA893" s="117">
        <v>0.34583333333333333</v>
      </c>
      <c r="AB893" s="155">
        <v>88.5</v>
      </c>
      <c r="AC893" s="155">
        <v>17.399999999999999</v>
      </c>
      <c r="AD893" s="96"/>
      <c r="AE893" s="94">
        <f>Table3.110[[#This Row],[Gas 8h, ml]]-Table3.110[[#This Row],[Gas 0h, ml]]</f>
        <v>49</v>
      </c>
      <c r="AF893" s="94">
        <f>Table3.110[[#This Row],[Gas 24h, ml]]-Table3.110[[#This Row],[V8 Push back, ml]]</f>
        <v>48.5</v>
      </c>
      <c r="AG893" s="94">
        <f>Table3.110[[#This Row],[GP 8h, ml]]-(AVERAGE(AE$862,AE$863,AE$912,AE$913,AE$932,AE$933))*$AG$8</f>
        <v>45.754975227659145</v>
      </c>
      <c r="AH893" s="94">
        <f>Table3.110[[#This Row],[GP 8-24h, ml]]-(AVERAGE(AF$862,AF$863,AF$912,AF$913,AF$932,AF$933))*$AG$8</f>
        <v>44.185592064046816</v>
      </c>
      <c r="AI893" s="94">
        <f>Table3.110[[#This Row],[Net gas 8-24h, ml]]+Table3.110[[#This Row],[Net gas 8h, ml]]</f>
        <v>89.94056729170596</v>
      </c>
      <c r="AJ893" s="94">
        <f>Table3.110[[#This Row],[Net gas 8h, ml]]*Table3.110[[#This Row],[CH4 8h %]]%</f>
        <v>6.4972064823275977</v>
      </c>
      <c r="AK893" s="94">
        <f>Table3.110[[#This Row],[Net gas 8-24h, ml]]*Table3.110[[#This Row],[CH4 24h, %]]%</f>
        <v>7.6882930191441456</v>
      </c>
      <c r="AL893" s="94">
        <f>Table3.110[[#This Row],[CH4 8-24h, ml]]+Table3.110[[#This Row],[CH4 8h, ml]]</f>
        <v>14.185499501471742</v>
      </c>
      <c r="AM893" s="94">
        <f>(Table3.110[[#This Row],[Net gas 24h, ml]]/Table3.110[[#This Row],[DM Incubated, mg]])*1000</f>
        <v>193.79202209516743</v>
      </c>
      <c r="AN893" s="94">
        <f>'3.2 Digest'!X893</f>
        <v>38.570428047069662</v>
      </c>
      <c r="AO893" s="94">
        <f>Table3.110[[#This Row],[Digested feed, mg]]/Table3.110[[#This Row],[Net gas 24h, ml]]</f>
        <v>1.9903000974998075</v>
      </c>
      <c r="AP893" s="94">
        <f>Table3.110[[#This Row],[CH4 8h, ml]]/Table3.110[[#This Row],[Net gas 8h, ml]]%</f>
        <v>14.199999999999998</v>
      </c>
      <c r="AQ893" s="94">
        <f>Table3.110[[#This Row],[CH4 24h, ml]]/Table3.110[[#This Row],[Net gas 24h, ml]]%</f>
        <v>15.772081418458971</v>
      </c>
      <c r="AR893" s="94">
        <f>Table3.110[[#This Row],[CH4 24h, ml]]/Table3.110[[#This Row],[DM Incubated, mg]]*1000</f>
        <v>30.565035507327806</v>
      </c>
      <c r="AS893" s="94">
        <f>Table3.110[[#This Row],[CH4 24h, ml]]/Table3.110[[#This Row],[Digested feed, mg]]*1000</f>
        <v>79.244740219184436</v>
      </c>
      <c r="AT893" s="94">
        <f>Table3.110[[#This Row],[CH4 24h, ml]]/'3.2 Digest'!AA893</f>
        <v>-3.2038297228776798</v>
      </c>
      <c r="AU893" s="94">
        <f>((Table3.110[[#This Row],[CH4 24h, ml]]/28.9)*16.04)/Table3.110[[#This Row],[DM Incubated, mg]]*1000</f>
        <v>16.964123513409618</v>
      </c>
      <c r="AV893" s="94">
        <f>((Table3.110[[#This Row],[CH4 24h, ml]]/28.9)*16.04)/Table3.110[[#This Row],[Digested feed, mg]]*1000</f>
        <v>43.982201837914133</v>
      </c>
      <c r="AW893" s="64"/>
    </row>
    <row r="894" spans="2:49" x14ac:dyDescent="0.35">
      <c r="B894" s="90">
        <f t="shared" si="13"/>
        <v>884</v>
      </c>
      <c r="C894" s="140">
        <v>46057</v>
      </c>
      <c r="D894" s="6" t="s">
        <v>16</v>
      </c>
      <c r="E894" s="6" t="s">
        <v>354</v>
      </c>
      <c r="F894" s="6" t="s">
        <v>226</v>
      </c>
      <c r="G894" s="6" t="s">
        <v>227</v>
      </c>
      <c r="H894" s="6" t="s">
        <v>228</v>
      </c>
      <c r="I894" s="6" t="s">
        <v>22</v>
      </c>
      <c r="J894" s="129" t="s">
        <v>23</v>
      </c>
      <c r="K894" s="129" t="s">
        <v>215</v>
      </c>
      <c r="L894" s="6" t="s">
        <v>353</v>
      </c>
      <c r="M894" s="93">
        <v>29</v>
      </c>
      <c r="N894" s="93">
        <v>63</v>
      </c>
      <c r="O894" s="6">
        <v>2</v>
      </c>
      <c r="P894" s="129">
        <v>1</v>
      </c>
      <c r="Q894" s="6">
        <v>195</v>
      </c>
      <c r="R894" s="98">
        <v>0.50039999999999996</v>
      </c>
      <c r="S894" s="94">
        <f>((Table3.110[[#This Row],[Sample weight, g]]*'2.1. DM'!Q217)/100)*1000</f>
        <v>461.85771020308692</v>
      </c>
      <c r="T894" s="94">
        <f>'3.2 Digest'!W894</f>
        <v>276.25771020308684</v>
      </c>
      <c r="U894" s="153">
        <v>0.34375</v>
      </c>
      <c r="V894" s="154">
        <v>41</v>
      </c>
      <c r="W894" s="153">
        <v>0.67291666666666672</v>
      </c>
      <c r="X894" s="91">
        <v>90.5</v>
      </c>
      <c r="Y894" s="91">
        <v>13.7</v>
      </c>
      <c r="Z894" s="154">
        <v>40</v>
      </c>
      <c r="AA894" s="153">
        <v>0.34583333333333333</v>
      </c>
      <c r="AB894" s="154">
        <v>79</v>
      </c>
      <c r="AC894" s="154">
        <v>17</v>
      </c>
      <c r="AD894" s="91"/>
      <c r="AE894" s="94">
        <f>Table3.110[[#This Row],[Gas 8h, ml]]-Table3.110[[#This Row],[Gas 0h, ml]]</f>
        <v>49.5</v>
      </c>
      <c r="AF894" s="94">
        <f>Table3.110[[#This Row],[Gas 24h, ml]]-Table3.110[[#This Row],[V8 Push back, ml]]</f>
        <v>39</v>
      </c>
      <c r="AG894" s="94">
        <f>Table3.110[[#This Row],[GP 8h, ml]]-(AVERAGE(AE$862,AE$863,AE$912,AE$913,AE$932,AE$933))*$AG$8</f>
        <v>46.254975227659145</v>
      </c>
      <c r="AH894" s="94">
        <f>Table3.110[[#This Row],[GP 8-24h, ml]]-(AVERAGE(AF$862,AF$863,AF$912,AF$913,AF$932,AF$933))*$AG$8</f>
        <v>34.685592064046816</v>
      </c>
      <c r="AI894" s="94">
        <f>Table3.110[[#This Row],[Net gas 8-24h, ml]]+Table3.110[[#This Row],[Net gas 8h, ml]]</f>
        <v>80.94056729170596</v>
      </c>
      <c r="AJ894" s="94">
        <f>Table3.110[[#This Row],[Net gas 8h, ml]]*Table3.110[[#This Row],[CH4 8h %]]%</f>
        <v>6.3369316061893022</v>
      </c>
      <c r="AK894" s="94">
        <f>Table3.110[[#This Row],[Net gas 8-24h, ml]]*Table3.110[[#This Row],[CH4 24h, %]]%</f>
        <v>5.896550650887959</v>
      </c>
      <c r="AL894" s="94">
        <f>Table3.110[[#This Row],[CH4 8-24h, ml]]+Table3.110[[#This Row],[CH4 8h, ml]]</f>
        <v>12.233482257077261</v>
      </c>
      <c r="AM894" s="94">
        <f>(Table3.110[[#This Row],[Net gas 24h, ml]]/Table3.110[[#This Row],[DM Incubated, mg]])*1000</f>
        <v>175.25000774830625</v>
      </c>
      <c r="AN894" s="94">
        <f>'3.2 Digest'!X894</f>
        <v>59.814463221066831</v>
      </c>
      <c r="AO894" s="94">
        <f>Table3.110[[#This Row],[Digested feed, mg]]/Table3.110[[#This Row],[Net gas 24h, ml]]</f>
        <v>3.413093328188165</v>
      </c>
      <c r="AP894" s="94">
        <f>Table3.110[[#This Row],[CH4 8h, ml]]/Table3.110[[#This Row],[Net gas 8h, ml]]%</f>
        <v>13.7</v>
      </c>
      <c r="AQ894" s="94">
        <f>Table3.110[[#This Row],[CH4 24h, ml]]/Table3.110[[#This Row],[Net gas 24h, ml]]%</f>
        <v>15.114154331274172</v>
      </c>
      <c r="AR894" s="94">
        <f>Table3.110[[#This Row],[CH4 24h, ml]]/Table3.110[[#This Row],[DM Incubated, mg]]*1000</f>
        <v>26.487556636648947</v>
      </c>
      <c r="AS894" s="94">
        <f>Table3.110[[#This Row],[CH4 24h, ml]]/Table3.110[[#This Row],[Digested feed, mg]]*1000</f>
        <v>44.28286272294082</v>
      </c>
      <c r="AT894" s="94">
        <f>Table3.110[[#This Row],[CH4 24h, ml]]/'3.2 Digest'!AA894</f>
        <v>1.0945606149585074</v>
      </c>
      <c r="AU894" s="94">
        <f>((Table3.110[[#This Row],[CH4 24h, ml]]/28.9)*16.04)/Table3.110[[#This Row],[DM Incubated, mg]]*1000</f>
        <v>14.701052195565712</v>
      </c>
      <c r="AV894" s="94">
        <f>((Table3.110[[#This Row],[CH4 24h, ml]]/28.9)*16.04)/Table3.110[[#This Row],[Digested feed, mg]]*1000</f>
        <v>24.577754950725627</v>
      </c>
      <c r="AW894" s="64"/>
    </row>
    <row r="895" spans="2:49" x14ac:dyDescent="0.35">
      <c r="B895" s="90">
        <f t="shared" si="13"/>
        <v>885</v>
      </c>
      <c r="C895" s="140">
        <v>46057</v>
      </c>
      <c r="D895" s="6" t="s">
        <v>16</v>
      </c>
      <c r="E895" s="6" t="s">
        <v>354</v>
      </c>
      <c r="F895" s="6" t="s">
        <v>226</v>
      </c>
      <c r="G895" s="6" t="s">
        <v>227</v>
      </c>
      <c r="H895" s="6" t="s">
        <v>228</v>
      </c>
      <c r="I895" s="6" t="s">
        <v>22</v>
      </c>
      <c r="J895" s="129" t="s">
        <v>23</v>
      </c>
      <c r="K895" s="129" t="s">
        <v>215</v>
      </c>
      <c r="L895" s="6" t="s">
        <v>353</v>
      </c>
      <c r="M895" s="93">
        <v>29</v>
      </c>
      <c r="N895" s="93">
        <v>63</v>
      </c>
      <c r="O895" s="6">
        <v>2</v>
      </c>
      <c r="P895" s="6">
        <v>2</v>
      </c>
      <c r="Q895" s="6">
        <v>196</v>
      </c>
      <c r="R895" s="98">
        <v>0.5</v>
      </c>
      <c r="S895" s="94">
        <f>((Table3.110[[#This Row],[Sample weight, g]]*'2.1. DM'!Q217)/100)*1000</f>
        <v>461.48851938757684</v>
      </c>
      <c r="T895" s="94">
        <f>'3.2 Digest'!W895</f>
        <v>216.18851938757689</v>
      </c>
      <c r="U895" s="117">
        <v>0.34375</v>
      </c>
      <c r="V895" s="155">
        <v>41</v>
      </c>
      <c r="W895" s="117">
        <v>0.67291666666666672</v>
      </c>
      <c r="X895" s="96">
        <v>89</v>
      </c>
      <c r="Y895" s="96">
        <v>13.7</v>
      </c>
      <c r="Z895" s="155">
        <v>40.5</v>
      </c>
      <c r="AA895" s="117">
        <v>0.34652777777777777</v>
      </c>
      <c r="AB895" s="155">
        <v>79</v>
      </c>
      <c r="AC895" s="155">
        <v>16.899999999999999</v>
      </c>
      <c r="AD895" s="96"/>
      <c r="AE895" s="94">
        <f>Table3.110[[#This Row],[Gas 8h, ml]]-Table3.110[[#This Row],[Gas 0h, ml]]</f>
        <v>48</v>
      </c>
      <c r="AF895" s="94">
        <f>Table3.110[[#This Row],[Gas 24h, ml]]-Table3.110[[#This Row],[V8 Push back, ml]]</f>
        <v>38.5</v>
      </c>
      <c r="AG895" s="94">
        <f>Table3.110[[#This Row],[GP 8h, ml]]-(AVERAGE(AE$862,AE$863,AE$912,AE$913,AE$932,AE$933))*$AG$8</f>
        <v>44.754975227659145</v>
      </c>
      <c r="AH895" s="94">
        <f>Table3.110[[#This Row],[GP 8-24h, ml]]-(AVERAGE(AF$862,AF$863,AF$912,AF$913,AF$932,AF$933))*$AG$8</f>
        <v>34.185592064046816</v>
      </c>
      <c r="AI895" s="94">
        <f>Table3.110[[#This Row],[Net gas 8-24h, ml]]+Table3.110[[#This Row],[Net gas 8h, ml]]</f>
        <v>78.94056729170596</v>
      </c>
      <c r="AJ895" s="94">
        <f>Table3.110[[#This Row],[Net gas 8h, ml]]*Table3.110[[#This Row],[CH4 8h %]]%</f>
        <v>6.1314316061893024</v>
      </c>
      <c r="AK895" s="94">
        <f>Table3.110[[#This Row],[Net gas 8-24h, ml]]*Table3.110[[#This Row],[CH4 24h, %]]%</f>
        <v>5.7773650588239116</v>
      </c>
      <c r="AL895" s="94">
        <f>Table3.110[[#This Row],[CH4 8-24h, ml]]+Table3.110[[#This Row],[CH4 8h, ml]]</f>
        <v>11.908796665013213</v>
      </c>
      <c r="AM895" s="94">
        <f>(Table3.110[[#This Row],[Net gas 24h, ml]]/Table3.110[[#This Row],[DM Incubated, mg]])*1000</f>
        <v>171.05640546912167</v>
      </c>
      <c r="AN895" s="94">
        <f>'3.2 Digest'!X895</f>
        <v>46.845914969774789</v>
      </c>
      <c r="AO895" s="94">
        <f>Table3.110[[#This Row],[Digested feed, mg]]/Table3.110[[#This Row],[Net gas 24h, ml]]</f>
        <v>2.7386238382187451</v>
      </c>
      <c r="AP895" s="94">
        <f>Table3.110[[#This Row],[CH4 8h, ml]]/Table3.110[[#This Row],[Net gas 8h, ml]]%</f>
        <v>13.7</v>
      </c>
      <c r="AQ895" s="94">
        <f>Table3.110[[#This Row],[CH4 24h, ml]]/Table3.110[[#This Row],[Net gas 24h, ml]]%</f>
        <v>15.085775379605655</v>
      </c>
      <c r="AR895" s="94">
        <f>Table3.110[[#This Row],[CH4 24h, ml]]/Table3.110[[#This Row],[DM Incubated, mg]]*1000</f>
        <v>25.805185101499177</v>
      </c>
      <c r="AS895" s="94">
        <f>Table3.110[[#This Row],[CH4 24h, ml]]/Table3.110[[#This Row],[Digested feed, mg]]*1000</f>
        <v>55.085240875642647</v>
      </c>
      <c r="AT895" s="94">
        <f>Table3.110[[#This Row],[CH4 24h, ml]]/'3.2 Digest'!AA895</f>
        <v>-0.68096241774171751</v>
      </c>
      <c r="AU895" s="94">
        <f>((Table3.110[[#This Row],[CH4 24h, ml]]/28.9)*16.04)/Table3.110[[#This Row],[DM Incubated, mg]]*1000</f>
        <v>14.322324187821689</v>
      </c>
      <c r="AV895" s="94">
        <f>((Table3.110[[#This Row],[CH4 24h, ml]]/28.9)*16.04)/Table3.110[[#This Row],[Digested feed, mg]]*1000</f>
        <v>30.573261717830729</v>
      </c>
      <c r="AW895" s="64"/>
    </row>
    <row r="896" spans="2:49" x14ac:dyDescent="0.35">
      <c r="B896" s="90">
        <f t="shared" si="13"/>
        <v>886</v>
      </c>
      <c r="C896" s="140">
        <v>46057</v>
      </c>
      <c r="D896" s="6" t="s">
        <v>16</v>
      </c>
      <c r="E896" s="6" t="s">
        <v>354</v>
      </c>
      <c r="F896" s="6" t="s">
        <v>226</v>
      </c>
      <c r="G896" s="6" t="s">
        <v>227</v>
      </c>
      <c r="H896" s="6" t="s">
        <v>228</v>
      </c>
      <c r="I896" s="6" t="s">
        <v>22</v>
      </c>
      <c r="J896" s="129" t="s">
        <v>23</v>
      </c>
      <c r="K896" s="129" t="s">
        <v>215</v>
      </c>
      <c r="L896" s="6" t="s">
        <v>353</v>
      </c>
      <c r="M896" s="93">
        <v>29</v>
      </c>
      <c r="N896" s="93">
        <v>63</v>
      </c>
      <c r="O896" s="6">
        <v>2</v>
      </c>
      <c r="P896" s="129">
        <v>3</v>
      </c>
      <c r="Q896" s="6">
        <v>197</v>
      </c>
      <c r="R896" s="98">
        <v>0.50049999999999994</v>
      </c>
      <c r="S896" s="94">
        <f>((Table3.110[[#This Row],[Sample weight, g]]*'2.1. DM'!Q217)/100)*1000</f>
        <v>461.9500079069644</v>
      </c>
      <c r="T896" s="94">
        <f>'3.2 Digest'!W896</f>
        <v>269.05000790696431</v>
      </c>
      <c r="U896" s="153">
        <v>0.34375</v>
      </c>
      <c r="V896" s="154">
        <v>40.5</v>
      </c>
      <c r="W896" s="153">
        <v>0.67361111111111116</v>
      </c>
      <c r="X896" s="91">
        <v>87.5</v>
      </c>
      <c r="Y896" s="91">
        <v>13.6</v>
      </c>
      <c r="Z896" s="154">
        <v>40</v>
      </c>
      <c r="AA896" s="153">
        <v>0.34652777777777777</v>
      </c>
      <c r="AB896" s="154">
        <v>79.5</v>
      </c>
      <c r="AC896" s="154">
        <v>16.7</v>
      </c>
      <c r="AD896" s="91"/>
      <c r="AE896" s="94">
        <f>Table3.110[[#This Row],[Gas 8h, ml]]-Table3.110[[#This Row],[Gas 0h, ml]]</f>
        <v>47</v>
      </c>
      <c r="AF896" s="94">
        <f>Table3.110[[#This Row],[Gas 24h, ml]]-Table3.110[[#This Row],[V8 Push back, ml]]</f>
        <v>39.5</v>
      </c>
      <c r="AG896" s="94">
        <f>Table3.110[[#This Row],[GP 8h, ml]]-(AVERAGE(AE$862,AE$863,AE$912,AE$913,AE$932,AE$933))*$AG$8</f>
        <v>43.754975227659145</v>
      </c>
      <c r="AH896" s="94">
        <f>Table3.110[[#This Row],[GP 8-24h, ml]]-(AVERAGE(AF$862,AF$863,AF$912,AF$913,AF$932,AF$933))*$AG$8</f>
        <v>35.185592064046816</v>
      </c>
      <c r="AI896" s="94">
        <f>Table3.110[[#This Row],[Net gas 8-24h, ml]]+Table3.110[[#This Row],[Net gas 8h, ml]]</f>
        <v>78.94056729170596</v>
      </c>
      <c r="AJ896" s="94">
        <f>Table3.110[[#This Row],[Net gas 8h, ml]]*Table3.110[[#This Row],[CH4 8h %]]%</f>
        <v>5.9506766309616443</v>
      </c>
      <c r="AK896" s="94">
        <f>Table3.110[[#This Row],[Net gas 8-24h, ml]]*Table3.110[[#This Row],[CH4 24h, %]]%</f>
        <v>5.8759938746958174</v>
      </c>
      <c r="AL896" s="94">
        <f>Table3.110[[#This Row],[CH4 8-24h, ml]]+Table3.110[[#This Row],[CH4 8h, ml]]</f>
        <v>11.826670505657461</v>
      </c>
      <c r="AM896" s="94">
        <f>(Table3.110[[#This Row],[Net gas 24h, ml]]/Table3.110[[#This Row],[DM Incubated, mg]])*1000</f>
        <v>170.8855199491725</v>
      </c>
      <c r="AN896" s="94">
        <f>'3.2 Digest'!X896</f>
        <v>58.242234722756045</v>
      </c>
      <c r="AO896" s="94">
        <f>Table3.110[[#This Row],[Digested feed, mg]]/Table3.110[[#This Row],[Net gas 24h, ml]]</f>
        <v>3.4082603804043421</v>
      </c>
      <c r="AP896" s="94">
        <f>Table3.110[[#This Row],[CH4 8h, ml]]/Table3.110[[#This Row],[Net gas 8h, ml]]%</f>
        <v>13.600000000000001</v>
      </c>
      <c r="AQ896" s="94">
        <f>Table3.110[[#This Row],[CH4 24h, ml]]/Table3.110[[#This Row],[Net gas 24h, ml]]%</f>
        <v>14.981739948681685</v>
      </c>
      <c r="AR896" s="94">
        <f>Table3.110[[#This Row],[CH4 24h, ml]]/Table3.110[[#This Row],[DM Incubated, mg]]*1000</f>
        <v>25.60162420873759</v>
      </c>
      <c r="AS896" s="94">
        <f>Table3.110[[#This Row],[CH4 24h, ml]]/Table3.110[[#This Row],[Digested feed, mg]]*1000</f>
        <v>43.957146099572107</v>
      </c>
      <c r="AT896" s="94">
        <f>Table3.110[[#This Row],[CH4 24h, ml]]/'3.2 Digest'!AA896</f>
        <v>1.5356385763792439</v>
      </c>
      <c r="AU896" s="94">
        <f>((Table3.110[[#This Row],[CH4 24h, ml]]/28.9)*16.04)/Table3.110[[#This Row],[DM Incubated, mg]]*1000</f>
        <v>14.209344370524255</v>
      </c>
      <c r="AV896" s="94">
        <f>((Table3.110[[#This Row],[CH4 24h, ml]]/28.9)*16.04)/Table3.110[[#This Row],[Digested feed, mg]]*1000</f>
        <v>24.3969765895203</v>
      </c>
      <c r="AW896" s="64"/>
    </row>
    <row r="897" spans="2:49" x14ac:dyDescent="0.35">
      <c r="B897" s="90">
        <f t="shared" si="13"/>
        <v>887</v>
      </c>
      <c r="C897" s="140">
        <v>46057</v>
      </c>
      <c r="D897" s="6" t="s">
        <v>16</v>
      </c>
      <c r="E897" s="6" t="s">
        <v>356</v>
      </c>
      <c r="F897" s="6" t="s">
        <v>219</v>
      </c>
      <c r="G897" s="6" t="s">
        <v>253</v>
      </c>
      <c r="H897" s="6" t="s">
        <v>254</v>
      </c>
      <c r="I897" s="6" t="s">
        <v>22</v>
      </c>
      <c r="J897" s="129" t="s">
        <v>23</v>
      </c>
      <c r="K897" s="129" t="s">
        <v>215</v>
      </c>
      <c r="L897" s="6" t="s">
        <v>355</v>
      </c>
      <c r="M897" s="93">
        <v>29</v>
      </c>
      <c r="N897" s="93">
        <v>63</v>
      </c>
      <c r="O897" s="6">
        <v>2</v>
      </c>
      <c r="P897" s="129">
        <v>1</v>
      </c>
      <c r="Q897" s="6">
        <v>198</v>
      </c>
      <c r="R897" s="98">
        <v>0.50029999999999997</v>
      </c>
      <c r="S897" s="94">
        <f>((Table3.110[[#This Row],[Sample weight, g]]*'2.1. DM'!Q219)/100)*1000</f>
        <v>450.6325862368812</v>
      </c>
      <c r="T897" s="94">
        <f>'3.2 Digest'!W897</f>
        <v>138.03258623688123</v>
      </c>
      <c r="U897" s="117">
        <v>0.34444444444444444</v>
      </c>
      <c r="V897" s="155">
        <v>40</v>
      </c>
      <c r="W897" s="117">
        <v>0.6743055555555556</v>
      </c>
      <c r="X897" s="96">
        <v>79</v>
      </c>
      <c r="Y897" s="96">
        <v>13.8</v>
      </c>
      <c r="Z897" s="155">
        <v>40.5</v>
      </c>
      <c r="AA897" s="117">
        <v>0.34722222222222221</v>
      </c>
      <c r="AB897" s="155">
        <v>90</v>
      </c>
      <c r="AC897" s="155">
        <v>16.600000000000001</v>
      </c>
      <c r="AD897" s="96"/>
      <c r="AE897" s="94"/>
      <c r="AF897" s="94"/>
      <c r="AG897" s="94"/>
      <c r="AH897" s="94"/>
      <c r="AI897" s="94"/>
      <c r="AJ897" s="94"/>
      <c r="AK897" s="94"/>
      <c r="AL897" s="94"/>
      <c r="AM897" s="94"/>
      <c r="AN897" s="94"/>
      <c r="AO897" s="94"/>
      <c r="AP897" s="94"/>
      <c r="AQ897" s="94"/>
      <c r="AR897" s="94"/>
      <c r="AS897" s="94"/>
      <c r="AT897" s="94"/>
      <c r="AU897" s="94"/>
      <c r="AV897" s="94"/>
      <c r="AW897" s="64" t="s">
        <v>661</v>
      </c>
    </row>
    <row r="898" spans="2:49" x14ac:dyDescent="0.35">
      <c r="B898" s="90">
        <f t="shared" si="13"/>
        <v>888</v>
      </c>
      <c r="C898" s="140">
        <v>46057</v>
      </c>
      <c r="D898" s="6" t="s">
        <v>16</v>
      </c>
      <c r="E898" s="6" t="s">
        <v>356</v>
      </c>
      <c r="F898" s="6" t="s">
        <v>219</v>
      </c>
      <c r="G898" s="6" t="s">
        <v>253</v>
      </c>
      <c r="H898" s="6" t="s">
        <v>254</v>
      </c>
      <c r="I898" s="6" t="s">
        <v>22</v>
      </c>
      <c r="J898" s="129" t="s">
        <v>23</v>
      </c>
      <c r="K898" s="129" t="s">
        <v>215</v>
      </c>
      <c r="L898" s="6" t="s">
        <v>355</v>
      </c>
      <c r="M898" s="93">
        <v>29</v>
      </c>
      <c r="N898" s="93">
        <v>63</v>
      </c>
      <c r="O898" s="6">
        <v>2</v>
      </c>
      <c r="P898" s="6">
        <v>2</v>
      </c>
      <c r="Q898" s="6">
        <v>199</v>
      </c>
      <c r="R898" s="98">
        <v>0.50019999999999998</v>
      </c>
      <c r="S898" s="94">
        <f>((Table3.110[[#This Row],[Sample weight, g]]*'2.1. DM'!Q219)/100)*1000</f>
        <v>450.54251376311811</v>
      </c>
      <c r="T898" s="94">
        <f>'3.2 Digest'!W898</f>
        <v>219.04251376311808</v>
      </c>
      <c r="U898" s="153">
        <v>0.34444444444444444</v>
      </c>
      <c r="V898" s="154">
        <v>40</v>
      </c>
      <c r="W898" s="153">
        <v>0.6743055555555556</v>
      </c>
      <c r="X898" s="91">
        <v>78</v>
      </c>
      <c r="Y898" s="91">
        <v>13.9</v>
      </c>
      <c r="Z898" s="154">
        <v>40</v>
      </c>
      <c r="AA898" s="153">
        <v>0.34722222222222221</v>
      </c>
      <c r="AB898" s="154">
        <v>89</v>
      </c>
      <c r="AC898" s="154">
        <v>16.2</v>
      </c>
      <c r="AD898" s="91"/>
      <c r="AE898" s="94">
        <f>Table3.110[[#This Row],[Gas 8h, ml]]-Table3.110[[#This Row],[Gas 0h, ml]]</f>
        <v>38</v>
      </c>
      <c r="AF898" s="94">
        <f>Table3.110[[#This Row],[Gas 24h, ml]]-Table3.110[[#This Row],[V8 Push back, ml]]</f>
        <v>49</v>
      </c>
      <c r="AG898" s="94">
        <f>Table3.110[[#This Row],[GP 8h, ml]]-(AVERAGE(AE$862,AE$863,AE$912,AE$913,AE$932,AE$933))*$AG$8</f>
        <v>34.754975227659145</v>
      </c>
      <c r="AH898" s="94">
        <f>Table3.110[[#This Row],[GP 8-24h, ml]]-(AVERAGE(AF$862,AF$863,AF$912,AF$913,AF$932,AF$933))*$AG$8</f>
        <v>44.685592064046816</v>
      </c>
      <c r="AI898" s="94">
        <f>Table3.110[[#This Row],[Net gas 8-24h, ml]]+Table3.110[[#This Row],[Net gas 8h, ml]]</f>
        <v>79.44056729170596</v>
      </c>
      <c r="AJ898" s="94">
        <f>Table3.110[[#This Row],[Net gas 8h, ml]]*Table3.110[[#This Row],[CH4 8h %]]%</f>
        <v>4.8309415566446212</v>
      </c>
      <c r="AK898" s="94">
        <f>Table3.110[[#This Row],[Net gas 8-24h, ml]]*Table3.110[[#This Row],[CH4 24h, %]]%</f>
        <v>7.2390659143755842</v>
      </c>
      <c r="AL898" s="94">
        <f>Table3.110[[#This Row],[CH4 8-24h, ml]]+Table3.110[[#This Row],[CH4 8h, ml]]</f>
        <v>12.070007471020205</v>
      </c>
      <c r="AM898" s="94">
        <f>(Table3.110[[#This Row],[Net gas 24h, ml]]/Table3.110[[#This Row],[DM Incubated, mg]])*1000</f>
        <v>176.32202259490535</v>
      </c>
      <c r="AN898" s="94">
        <f>'3.2 Digest'!X898</f>
        <v>48.617501583498537</v>
      </c>
      <c r="AO898" s="94">
        <f>Table3.110[[#This Row],[Digested feed, mg]]/Table3.110[[#This Row],[Net gas 24h, ml]]</f>
        <v>2.7573130609552852</v>
      </c>
      <c r="AP898" s="94">
        <f>Table3.110[[#This Row],[CH4 8h, ml]]/Table3.110[[#This Row],[Net gas 8h, ml]]%</f>
        <v>13.9</v>
      </c>
      <c r="AQ898" s="94">
        <f>Table3.110[[#This Row],[CH4 24h, ml]]/Table3.110[[#This Row],[Net gas 24h, ml]]%</f>
        <v>15.193757902935292</v>
      </c>
      <c r="AR898" s="94">
        <f>Table3.110[[#This Row],[CH4 24h, ml]]/Table3.110[[#This Row],[DM Incubated, mg]]*1000</f>
        <v>26.789941242628782</v>
      </c>
      <c r="AS898" s="94">
        <f>Table3.110[[#This Row],[CH4 24h, ml]]/Table3.110[[#This Row],[Digested feed, mg]]*1000</f>
        <v>55.103492302289894</v>
      </c>
      <c r="AT898" s="94">
        <f>Table3.110[[#This Row],[CH4 24h, ml]]/'3.2 Digest'!AA898</f>
        <v>-3.3779062298741618</v>
      </c>
      <c r="AU898" s="94">
        <f>((Table3.110[[#This Row],[CH4 24h, ml]]/28.9)*16.04)/Table3.110[[#This Row],[DM Incubated, mg]]*1000</f>
        <v>14.8688808834521</v>
      </c>
      <c r="AV898" s="94">
        <f>((Table3.110[[#This Row],[CH4 24h, ml]]/28.9)*16.04)/Table3.110[[#This Row],[Digested feed, mg]]*1000</f>
        <v>30.583391575388575</v>
      </c>
      <c r="AW898" s="64"/>
    </row>
    <row r="899" spans="2:49" x14ac:dyDescent="0.35">
      <c r="B899" s="90">
        <f t="shared" si="13"/>
        <v>889</v>
      </c>
      <c r="C899" s="140">
        <v>46057</v>
      </c>
      <c r="D899" s="6" t="s">
        <v>16</v>
      </c>
      <c r="E899" s="6" t="s">
        <v>356</v>
      </c>
      <c r="F899" s="6" t="s">
        <v>219</v>
      </c>
      <c r="G899" s="6" t="s">
        <v>253</v>
      </c>
      <c r="H899" s="6" t="s">
        <v>254</v>
      </c>
      <c r="I899" s="6" t="s">
        <v>22</v>
      </c>
      <c r="J899" s="129" t="s">
        <v>23</v>
      </c>
      <c r="K899" s="129" t="s">
        <v>215</v>
      </c>
      <c r="L899" s="6" t="s">
        <v>355</v>
      </c>
      <c r="M899" s="93">
        <v>29</v>
      </c>
      <c r="N899" s="93">
        <v>63</v>
      </c>
      <c r="O899" s="6">
        <v>2</v>
      </c>
      <c r="P899" s="129">
        <v>3</v>
      </c>
      <c r="Q899" s="6">
        <v>200</v>
      </c>
      <c r="R899" s="98">
        <v>0.50039999999999996</v>
      </c>
      <c r="S899" s="94">
        <f>((Table3.110[[#This Row],[Sample weight, g]]*'2.1. DM'!Q219)/100)*1000</f>
        <v>450.72265871064434</v>
      </c>
      <c r="T899" s="94">
        <f>'3.2 Digest'!W899</f>
        <v>234.92265871064436</v>
      </c>
      <c r="U899" s="117">
        <v>0.34513888888888888</v>
      </c>
      <c r="V899" s="155">
        <v>40</v>
      </c>
      <c r="W899" s="117">
        <v>0.67500000000000004</v>
      </c>
      <c r="X899" s="96">
        <v>78.5</v>
      </c>
      <c r="Y899" s="96">
        <v>13.8</v>
      </c>
      <c r="Z899" s="155">
        <v>40</v>
      </c>
      <c r="AA899" s="117">
        <v>0.34791666666666665</v>
      </c>
      <c r="AB899" s="155">
        <v>89.5</v>
      </c>
      <c r="AC899" s="155">
        <v>16.3</v>
      </c>
      <c r="AD899" s="96"/>
      <c r="AE899" s="94">
        <f>Table3.110[[#This Row],[Gas 8h, ml]]-Table3.110[[#This Row],[Gas 0h, ml]]</f>
        <v>38.5</v>
      </c>
      <c r="AF899" s="94">
        <f>Table3.110[[#This Row],[Gas 24h, ml]]-Table3.110[[#This Row],[V8 Push back, ml]]</f>
        <v>49.5</v>
      </c>
      <c r="AG899" s="94">
        <f>Table3.110[[#This Row],[GP 8h, ml]]-(AVERAGE(AE$862,AE$863,AE$912,AE$913,AE$932,AE$933))*$AG$8</f>
        <v>35.254975227659145</v>
      </c>
      <c r="AH899" s="94">
        <f>Table3.110[[#This Row],[GP 8-24h, ml]]-(AVERAGE(AF$862,AF$863,AF$912,AF$913,AF$932,AF$933))*$AG$8</f>
        <v>45.185592064046816</v>
      </c>
      <c r="AI899" s="94">
        <f>Table3.110[[#This Row],[Net gas 8-24h, ml]]+Table3.110[[#This Row],[Net gas 8h, ml]]</f>
        <v>80.44056729170596</v>
      </c>
      <c r="AJ899" s="94">
        <f>Table3.110[[#This Row],[Net gas 8h, ml]]*Table3.110[[#This Row],[CH4 8h %]]%</f>
        <v>4.8651865814169621</v>
      </c>
      <c r="AK899" s="94">
        <f>Table3.110[[#This Row],[Net gas 8-24h, ml]]*Table3.110[[#This Row],[CH4 24h, %]]%</f>
        <v>7.3652515064396313</v>
      </c>
      <c r="AL899" s="94">
        <f>Table3.110[[#This Row],[CH4 8-24h, ml]]+Table3.110[[#This Row],[CH4 8h, ml]]</f>
        <v>12.230438087856594</v>
      </c>
      <c r="AM899" s="94">
        <f>(Table3.110[[#This Row],[Net gas 24h, ml]]/Table3.110[[#This Row],[DM Incubated, mg]])*1000</f>
        <v>178.47020942283561</v>
      </c>
      <c r="AN899" s="94">
        <f>'3.2 Digest'!X899</f>
        <v>52.121333190275756</v>
      </c>
      <c r="AO899" s="94">
        <f>Table3.110[[#This Row],[Digested feed, mg]]/Table3.110[[#This Row],[Net gas 24h, ml]]</f>
        <v>2.920450049273418</v>
      </c>
      <c r="AP899" s="94">
        <f>Table3.110[[#This Row],[CH4 8h, ml]]/Table3.110[[#This Row],[Net gas 8h, ml]]%</f>
        <v>13.799999999999999</v>
      </c>
      <c r="AQ899" s="94">
        <f>Table3.110[[#This Row],[CH4 24h, ml]]/Table3.110[[#This Row],[Net gas 24h, ml]]%</f>
        <v>15.204316055485659</v>
      </c>
      <c r="AR899" s="94">
        <f>Table3.110[[#This Row],[CH4 24h, ml]]/Table3.110[[#This Row],[DM Incubated, mg]]*1000</f>
        <v>27.135174705535071</v>
      </c>
      <c r="AS899" s="94">
        <f>Table3.110[[#This Row],[CH4 24h, ml]]/Table3.110[[#This Row],[Digested feed, mg]]*1000</f>
        <v>52.061551469672828</v>
      </c>
      <c r="AT899" s="94">
        <f>Table3.110[[#This Row],[CH4 24h, ml]]/'3.2 Digest'!AA899</f>
        <v>3.5048700172062945</v>
      </c>
      <c r="AU899" s="94">
        <f>((Table3.110[[#This Row],[CH4 24h, ml]]/28.9)*16.04)/Table3.110[[#This Row],[DM Incubated, mg]]*1000</f>
        <v>15.060491428262372</v>
      </c>
      <c r="AV899" s="94">
        <f>((Table3.110[[#This Row],[CH4 24h, ml]]/28.9)*16.04)/Table3.110[[#This Row],[Digested feed, mg]]*1000</f>
        <v>28.895061784551974</v>
      </c>
      <c r="AW899" s="64"/>
    </row>
    <row r="900" spans="2:49" x14ac:dyDescent="0.35">
      <c r="B900" s="90">
        <f t="shared" si="13"/>
        <v>890</v>
      </c>
      <c r="C900" s="140">
        <v>46057</v>
      </c>
      <c r="D900" s="6" t="s">
        <v>16</v>
      </c>
      <c r="E900" s="6" t="s">
        <v>358</v>
      </c>
      <c r="F900" s="6" t="s">
        <v>212</v>
      </c>
      <c r="G900" s="6" t="s">
        <v>359</v>
      </c>
      <c r="H900" s="6" t="s">
        <v>360</v>
      </c>
      <c r="I900" s="6" t="s">
        <v>22</v>
      </c>
      <c r="J900" s="129" t="s">
        <v>23</v>
      </c>
      <c r="K900" s="129" t="s">
        <v>215</v>
      </c>
      <c r="L900" s="6" t="s">
        <v>357</v>
      </c>
      <c r="M900" s="93">
        <v>29</v>
      </c>
      <c r="N900" s="93">
        <v>63</v>
      </c>
      <c r="O900" s="6">
        <v>2</v>
      </c>
      <c r="P900" s="129">
        <v>1</v>
      </c>
      <c r="Q900" s="6">
        <v>201</v>
      </c>
      <c r="R900" s="98">
        <v>0.50009999999999999</v>
      </c>
      <c r="S900" s="94">
        <f>((Table3.110[[#This Row],[Sample weight, g]]*'2.1. DM'!Q221)/100)*1000</f>
        <v>459.47093790620954</v>
      </c>
      <c r="T900" s="94">
        <f>'3.2 Digest'!W900</f>
        <v>214.37093790620955</v>
      </c>
      <c r="U900" s="153">
        <v>0.34513888888888888</v>
      </c>
      <c r="V900" s="154">
        <v>41</v>
      </c>
      <c r="W900" s="153">
        <v>0.67500000000000004</v>
      </c>
      <c r="X900" s="91">
        <v>91.5</v>
      </c>
      <c r="Y900" s="91">
        <v>14.5</v>
      </c>
      <c r="Z900" s="154">
        <v>40</v>
      </c>
      <c r="AA900" s="153">
        <v>0.34791666666666665</v>
      </c>
      <c r="AB900" s="154">
        <v>84.5</v>
      </c>
      <c r="AC900" s="154">
        <v>17.399999999999999</v>
      </c>
      <c r="AD900" s="91"/>
      <c r="AE900" s="94">
        <f>Table3.110[[#This Row],[Gas 8h, ml]]-Table3.110[[#This Row],[Gas 0h, ml]]</f>
        <v>50.5</v>
      </c>
      <c r="AF900" s="94">
        <f>Table3.110[[#This Row],[Gas 24h, ml]]-Table3.110[[#This Row],[V8 Push back, ml]]</f>
        <v>44.5</v>
      </c>
      <c r="AG900" s="94">
        <f>Table3.110[[#This Row],[GP 8h, ml]]-(AVERAGE(AE$862,AE$863,AE$912,AE$913,AE$932,AE$933))*$AG$8</f>
        <v>47.254975227659145</v>
      </c>
      <c r="AH900" s="94">
        <f>Table3.110[[#This Row],[GP 8-24h, ml]]-(AVERAGE(AF$862,AF$863,AF$912,AF$913,AF$932,AF$933))*$AG$8</f>
        <v>40.185592064046816</v>
      </c>
      <c r="AI900" s="94">
        <f>Table3.110[[#This Row],[Net gas 8-24h, ml]]+Table3.110[[#This Row],[Net gas 8h, ml]]</f>
        <v>87.44056729170596</v>
      </c>
      <c r="AJ900" s="94">
        <f>Table3.110[[#This Row],[Net gas 8h, ml]]*Table3.110[[#This Row],[CH4 8h %]]%</f>
        <v>6.8519714080105754</v>
      </c>
      <c r="AK900" s="94">
        <f>Table3.110[[#This Row],[Net gas 8-24h, ml]]*Table3.110[[#This Row],[CH4 24h, %]]%</f>
        <v>6.992293019144145</v>
      </c>
      <c r="AL900" s="94">
        <f>Table3.110[[#This Row],[CH4 8-24h, ml]]+Table3.110[[#This Row],[CH4 8h, ml]]</f>
        <v>13.844264427154719</v>
      </c>
      <c r="AM900" s="94">
        <f>(Table3.110[[#This Row],[Net gas 24h, ml]]/Table3.110[[#This Row],[DM Incubated, mg]])*1000</f>
        <v>190.30706858233316</v>
      </c>
      <c r="AN900" s="94">
        <f>'3.2 Digest'!X900</f>
        <v>46.656038547963277</v>
      </c>
      <c r="AO900" s="94">
        <f>Table3.110[[#This Row],[Digested feed, mg]]/Table3.110[[#This Row],[Net gas 24h, ml]]</f>
        <v>2.4516187914364478</v>
      </c>
      <c r="AP900" s="94">
        <f>Table3.110[[#This Row],[CH4 8h, ml]]/Table3.110[[#This Row],[Net gas 8h, ml]]%</f>
        <v>14.499999999999998</v>
      </c>
      <c r="AQ900" s="94">
        <f>Table3.110[[#This Row],[CH4 24h, ml]]/Table3.110[[#This Row],[Net gas 24h, ml]]%</f>
        <v>15.832770596020476</v>
      </c>
      <c r="AR900" s="94">
        <f>Table3.110[[#This Row],[CH4 24h, ml]]/Table3.110[[#This Row],[DM Incubated, mg]]*1000</f>
        <v>30.130881596652166</v>
      </c>
      <c r="AS900" s="94">
        <f>Table3.110[[#This Row],[CH4 24h, ml]]/Table3.110[[#This Row],[Digested feed, mg]]*1000</f>
        <v>64.580882849016547</v>
      </c>
      <c r="AT900" s="94">
        <f>Table3.110[[#This Row],[CH4 24h, ml]]/'3.2 Digest'!AA900</f>
        <v>5.645787209009109</v>
      </c>
      <c r="AU900" s="94">
        <f>((Table3.110[[#This Row],[CH4 24h, ml]]/28.9)*16.04)/Table3.110[[#This Row],[DM Incubated, mg]]*1000</f>
        <v>16.723160581671305</v>
      </c>
      <c r="AV900" s="94">
        <f>((Table3.110[[#This Row],[CH4 24h, ml]]/28.9)*16.04)/Table3.110[[#This Row],[Digested feed, mg]]*1000</f>
        <v>35.843507297516453</v>
      </c>
      <c r="AW900" s="64"/>
    </row>
    <row r="901" spans="2:49" x14ac:dyDescent="0.35">
      <c r="B901" s="90">
        <f t="shared" si="13"/>
        <v>891</v>
      </c>
      <c r="C901" s="140">
        <v>46057</v>
      </c>
      <c r="D901" s="6" t="s">
        <v>16</v>
      </c>
      <c r="E901" s="6" t="s">
        <v>358</v>
      </c>
      <c r="F901" s="6" t="s">
        <v>212</v>
      </c>
      <c r="G901" s="6" t="s">
        <v>359</v>
      </c>
      <c r="H901" s="6" t="s">
        <v>360</v>
      </c>
      <c r="I901" s="6" t="s">
        <v>22</v>
      </c>
      <c r="J901" s="129" t="s">
        <v>23</v>
      </c>
      <c r="K901" s="129" t="s">
        <v>215</v>
      </c>
      <c r="L901" s="6" t="s">
        <v>357</v>
      </c>
      <c r="M901" s="93">
        <v>29</v>
      </c>
      <c r="N901" s="93">
        <v>63</v>
      </c>
      <c r="O901" s="6">
        <v>2</v>
      </c>
      <c r="P901" s="6">
        <v>2</v>
      </c>
      <c r="Q901" s="6">
        <v>202</v>
      </c>
      <c r="R901" s="98">
        <v>0.50039999999999996</v>
      </c>
      <c r="S901" s="94">
        <f>((Table3.110[[#This Row],[Sample weight, g]]*'2.1. DM'!Q221)/100)*1000</f>
        <v>459.74656534346582</v>
      </c>
      <c r="T901" s="94">
        <f>'3.2 Digest'!W901</f>
        <v>191.34656534346584</v>
      </c>
      <c r="U901" s="117">
        <v>0.34513888888888888</v>
      </c>
      <c r="V901" s="155">
        <v>40</v>
      </c>
      <c r="W901" s="117">
        <v>0.67569444444444449</v>
      </c>
      <c r="X901" s="96">
        <v>88.5</v>
      </c>
      <c r="Y901" s="96">
        <v>14.5</v>
      </c>
      <c r="Z901" s="155">
        <v>37.5</v>
      </c>
      <c r="AA901" s="117">
        <v>0.34861111111111109</v>
      </c>
      <c r="AB901" s="155">
        <v>81</v>
      </c>
      <c r="AC901" s="155">
        <v>17.399999999999999</v>
      </c>
      <c r="AD901" s="96" t="s">
        <v>587</v>
      </c>
      <c r="AE901" s="94">
        <f>Table3.110[[#This Row],[Gas 8h, ml]]-Table3.110[[#This Row],[Gas 0h, ml]]</f>
        <v>48.5</v>
      </c>
      <c r="AF901" s="94">
        <f>Table3.110[[#This Row],[Gas 24h, ml]]-Table3.110[[#This Row],[V8 Push back, ml]]</f>
        <v>43.5</v>
      </c>
      <c r="AG901" s="94">
        <f>Table3.110[[#This Row],[GP 8h, ml]]-(AVERAGE(AE$862,AE$863,AE$912,AE$913,AE$932,AE$933))*$AG$8</f>
        <v>45.254975227659145</v>
      </c>
      <c r="AH901" s="94">
        <f>Table3.110[[#This Row],[GP 8-24h, ml]]-(AVERAGE(AF$862,AF$863,AF$912,AF$913,AF$932,AF$933))*$AG$8</f>
        <v>39.185592064046816</v>
      </c>
      <c r="AI901" s="94">
        <f>Table3.110[[#This Row],[Net gas 8-24h, ml]]+Table3.110[[#This Row],[Net gas 8h, ml]]</f>
        <v>84.44056729170596</v>
      </c>
      <c r="AJ901" s="94">
        <f>Table3.110[[#This Row],[Net gas 8h, ml]]*Table3.110[[#This Row],[CH4 8h %]]%</f>
        <v>6.5619714080105753</v>
      </c>
      <c r="AK901" s="94">
        <f>Table3.110[[#This Row],[Net gas 8-24h, ml]]*Table3.110[[#This Row],[CH4 24h, %]]%</f>
        <v>6.8182930191441455</v>
      </c>
      <c r="AL901" s="94">
        <f>Table3.110[[#This Row],[CH4 8-24h, ml]]+Table3.110[[#This Row],[CH4 8h, ml]]</f>
        <v>13.380264427154721</v>
      </c>
      <c r="AM901" s="94">
        <f>(Table3.110[[#This Row],[Net gas 24h, ml]]/Table3.110[[#This Row],[DM Incubated, mg]])*1000</f>
        <v>183.6676413854716</v>
      </c>
      <c r="AN901" s="94">
        <f>'3.2 Digest'!X901</f>
        <v>41.620009754834236</v>
      </c>
      <c r="AO901" s="94">
        <f>Table3.110[[#This Row],[Digested feed, mg]]/Table3.110[[#This Row],[Net gas 24h, ml]]</f>
        <v>2.2660502111792487</v>
      </c>
      <c r="AP901" s="94">
        <f>Table3.110[[#This Row],[CH4 8h, ml]]/Table3.110[[#This Row],[Net gas 8h, ml]]%</f>
        <v>14.499999999999998</v>
      </c>
      <c r="AQ901" s="94">
        <f>Table3.110[[#This Row],[CH4 24h, ml]]/Table3.110[[#This Row],[Net gas 24h, ml]]%</f>
        <v>15.845777517021698</v>
      </c>
      <c r="AR901" s="94">
        <f>Table3.110[[#This Row],[CH4 24h, ml]]/Table3.110[[#This Row],[DM Incubated, mg]]*1000</f>
        <v>29.103565824703097</v>
      </c>
      <c r="AS901" s="94">
        <f>Table3.110[[#This Row],[CH4 24h, ml]]/Table3.110[[#This Row],[Digested feed, mg]]*1000</f>
        <v>69.926859691143306</v>
      </c>
      <c r="AT901" s="94">
        <f>Table3.110[[#This Row],[CH4 24h, ml]]/'3.2 Digest'!AA901</f>
        <v>-1.9801980501146814</v>
      </c>
      <c r="AU901" s="94">
        <f>((Table3.110[[#This Row],[CH4 24h, ml]]/28.9)*16.04)/Table3.110[[#This Row],[DM Incubated, mg]]*1000</f>
        <v>16.152982554610297</v>
      </c>
      <c r="AV901" s="94">
        <f>((Table3.110[[#This Row],[CH4 24h, ml]]/28.9)*16.04)/Table3.110[[#This Row],[Digested feed, mg]]*1000</f>
        <v>38.81061693584563</v>
      </c>
      <c r="AW901" s="64"/>
    </row>
    <row r="902" spans="2:49" x14ac:dyDescent="0.35">
      <c r="B902" s="90">
        <f t="shared" si="13"/>
        <v>892</v>
      </c>
      <c r="C902" s="140">
        <v>46057</v>
      </c>
      <c r="D902" s="6" t="s">
        <v>16</v>
      </c>
      <c r="E902" s="6" t="s">
        <v>358</v>
      </c>
      <c r="F902" s="6" t="s">
        <v>212</v>
      </c>
      <c r="G902" s="6" t="s">
        <v>359</v>
      </c>
      <c r="H902" s="6" t="s">
        <v>360</v>
      </c>
      <c r="I902" s="6" t="s">
        <v>22</v>
      </c>
      <c r="J902" s="129" t="s">
        <v>23</v>
      </c>
      <c r="K902" s="129" t="s">
        <v>215</v>
      </c>
      <c r="L902" s="6" t="s">
        <v>357</v>
      </c>
      <c r="M902" s="93">
        <v>29</v>
      </c>
      <c r="N902" s="93">
        <v>63</v>
      </c>
      <c r="O902" s="6">
        <v>2</v>
      </c>
      <c r="P902" s="129">
        <v>3</v>
      </c>
      <c r="Q902" s="6">
        <v>203</v>
      </c>
      <c r="R902" s="98">
        <v>0.50009999999999999</v>
      </c>
      <c r="S902" s="94">
        <f>((Table3.110[[#This Row],[Sample weight, g]]*'2.1. DM'!Q221)/100)*1000</f>
        <v>459.47093790620954</v>
      </c>
      <c r="T902" s="94">
        <f>'3.2 Digest'!W902</f>
        <v>202.57093790620962</v>
      </c>
      <c r="U902" s="153">
        <v>0.34583333333333333</v>
      </c>
      <c r="V902" s="154">
        <v>40</v>
      </c>
      <c r="W902" s="153">
        <v>0.67569444444444449</v>
      </c>
      <c r="X902" s="91">
        <v>90.5</v>
      </c>
      <c r="Y902" s="91">
        <v>14.6</v>
      </c>
      <c r="Z902" s="154">
        <v>40</v>
      </c>
      <c r="AA902" s="153">
        <v>0.34861111111111109</v>
      </c>
      <c r="AB902" s="154">
        <v>86</v>
      </c>
      <c r="AC902" s="154">
        <v>17.5</v>
      </c>
      <c r="AD902" s="91"/>
      <c r="AE902" s="94">
        <f>Table3.110[[#This Row],[Gas 8h, ml]]-Table3.110[[#This Row],[Gas 0h, ml]]</f>
        <v>50.5</v>
      </c>
      <c r="AF902" s="94">
        <f>Table3.110[[#This Row],[Gas 24h, ml]]-Table3.110[[#This Row],[V8 Push back, ml]]</f>
        <v>46</v>
      </c>
      <c r="AG902" s="94">
        <f>Table3.110[[#This Row],[GP 8h, ml]]-(AVERAGE(AE$862,AE$863,AE$912,AE$913,AE$932,AE$933))*$AG$8</f>
        <v>47.254975227659145</v>
      </c>
      <c r="AH902" s="94">
        <f>Table3.110[[#This Row],[GP 8-24h, ml]]-(AVERAGE(AF$862,AF$863,AF$912,AF$913,AF$932,AF$933))*$AG$8</f>
        <v>41.685592064046816</v>
      </c>
      <c r="AI902" s="94">
        <f>Table3.110[[#This Row],[Net gas 8-24h, ml]]+Table3.110[[#This Row],[Net gas 8h, ml]]</f>
        <v>88.94056729170596</v>
      </c>
      <c r="AJ902" s="94">
        <f>Table3.110[[#This Row],[Net gas 8h, ml]]*Table3.110[[#This Row],[CH4 8h %]]%</f>
        <v>6.8992263832382346</v>
      </c>
      <c r="AK902" s="94">
        <f>Table3.110[[#This Row],[Net gas 8-24h, ml]]*Table3.110[[#This Row],[CH4 24h, %]]%</f>
        <v>7.294978611208192</v>
      </c>
      <c r="AL902" s="94">
        <f>Table3.110[[#This Row],[CH4 8-24h, ml]]+Table3.110[[#This Row],[CH4 8h, ml]]</f>
        <v>14.194204994446427</v>
      </c>
      <c r="AM902" s="94">
        <f>(Table3.110[[#This Row],[Net gas 24h, ml]]/Table3.110[[#This Row],[DM Incubated, mg]])*1000</f>
        <v>193.57169290620322</v>
      </c>
      <c r="AN902" s="94">
        <f>'3.2 Digest'!X902</f>
        <v>44.087867413185513</v>
      </c>
      <c r="AO902" s="94">
        <f>Table3.110[[#This Row],[Digested feed, mg]]/Table3.110[[#This Row],[Net gas 24h, ml]]</f>
        <v>2.2775988963711065</v>
      </c>
      <c r="AP902" s="94">
        <f>Table3.110[[#This Row],[CH4 8h, ml]]/Table3.110[[#This Row],[Net gas 8h, ml]]%</f>
        <v>14.599999999999998</v>
      </c>
      <c r="AQ902" s="94">
        <f>Table3.110[[#This Row],[CH4 24h, ml]]/Table3.110[[#This Row],[Net gas 24h, ml]]%</f>
        <v>15.959202225338277</v>
      </c>
      <c r="AR902" s="94">
        <f>Table3.110[[#This Row],[CH4 24h, ml]]/Table3.110[[#This Row],[DM Incubated, mg]]*1000</f>
        <v>30.892497921911765</v>
      </c>
      <c r="AS902" s="94">
        <f>Table3.110[[#This Row],[CH4 24h, ml]]/Table3.110[[#This Row],[Digested feed, mg]]*1000</f>
        <v>70.070293108966823</v>
      </c>
      <c r="AT902" s="94">
        <f>Table3.110[[#This Row],[CH4 24h, ml]]/'3.2 Digest'!AA902</f>
        <v>-6.3249356909547982</v>
      </c>
      <c r="AU902" s="94">
        <f>((Table3.110[[#This Row],[CH4 24h, ml]]/28.9)*16.04)/Table3.110[[#This Row],[DM Incubated, mg]]*1000</f>
        <v>17.145870818943415</v>
      </c>
      <c r="AV902" s="94">
        <f>((Table3.110[[#This Row],[CH4 24h, ml]]/28.9)*16.04)/Table3.110[[#This Row],[Digested feed, mg]]*1000</f>
        <v>38.890224964284698</v>
      </c>
      <c r="AW902" s="64"/>
    </row>
    <row r="903" spans="2:49" x14ac:dyDescent="0.35">
      <c r="B903" s="90">
        <f t="shared" si="13"/>
        <v>893</v>
      </c>
      <c r="C903" s="140">
        <v>46057</v>
      </c>
      <c r="D903" s="6" t="s">
        <v>16</v>
      </c>
      <c r="E903" s="6" t="s">
        <v>362</v>
      </c>
      <c r="F903" s="6" t="s">
        <v>219</v>
      </c>
      <c r="G903" s="6" t="s">
        <v>253</v>
      </c>
      <c r="H903" s="6" t="s">
        <v>254</v>
      </c>
      <c r="I903" s="6" t="s">
        <v>22</v>
      </c>
      <c r="J903" s="129" t="s">
        <v>23</v>
      </c>
      <c r="K903" s="129" t="s">
        <v>215</v>
      </c>
      <c r="L903" s="6" t="s">
        <v>361</v>
      </c>
      <c r="M903" s="93">
        <v>29</v>
      </c>
      <c r="N903" s="93">
        <v>63</v>
      </c>
      <c r="O903" s="6">
        <v>2</v>
      </c>
      <c r="P903" s="129">
        <v>1</v>
      </c>
      <c r="Q903" s="6">
        <v>204</v>
      </c>
      <c r="R903" s="98">
        <v>0.50019999999999998</v>
      </c>
      <c r="S903" s="94">
        <f>((Table3.110[[#This Row],[Sample weight, g]]*'2.1. DM'!Q223)/100)*1000</f>
        <v>459.12912252648465</v>
      </c>
      <c r="T903" s="94">
        <f>'3.2 Digest'!W903</f>
        <v>203.7291225264847</v>
      </c>
      <c r="U903" s="117">
        <v>0.34583333333333333</v>
      </c>
      <c r="V903" s="155">
        <v>41</v>
      </c>
      <c r="W903" s="117">
        <v>0.67638888888888893</v>
      </c>
      <c r="X903" s="96">
        <v>86.5</v>
      </c>
      <c r="Y903" s="96">
        <v>13.4</v>
      </c>
      <c r="Z903" s="155">
        <v>40</v>
      </c>
      <c r="AA903" s="117">
        <v>0.34930555555555554</v>
      </c>
      <c r="AB903" s="155">
        <v>92</v>
      </c>
      <c r="AC903" s="155">
        <v>16.399999999999999</v>
      </c>
      <c r="AD903" s="96"/>
      <c r="AE903" s="94">
        <f>Table3.110[[#This Row],[Gas 8h, ml]]-Table3.110[[#This Row],[Gas 0h, ml]]</f>
        <v>45.5</v>
      </c>
      <c r="AF903" s="94">
        <f>Table3.110[[#This Row],[Gas 24h, ml]]-Table3.110[[#This Row],[V8 Push back, ml]]</f>
        <v>52</v>
      </c>
      <c r="AG903" s="94">
        <f>Table3.110[[#This Row],[GP 8h, ml]]-(AVERAGE(AE$862,AE$863,AE$912,AE$913,AE$932,AE$933))*$AG$8</f>
        <v>42.254975227659145</v>
      </c>
      <c r="AH903" s="94">
        <f>Table3.110[[#This Row],[GP 8-24h, ml]]-(AVERAGE(AF$862,AF$863,AF$912,AF$913,AF$932,AF$933))*$AG$8</f>
        <v>47.685592064046816</v>
      </c>
      <c r="AI903" s="94">
        <f>Table3.110[[#This Row],[Net gas 8-24h, ml]]+Table3.110[[#This Row],[Net gas 8h, ml]]</f>
        <v>89.94056729170596</v>
      </c>
      <c r="AJ903" s="94">
        <f>Table3.110[[#This Row],[Net gas 8h, ml]]*Table3.110[[#This Row],[CH4 8h %]]%</f>
        <v>5.662166680506326</v>
      </c>
      <c r="AK903" s="94">
        <f>Table3.110[[#This Row],[Net gas 8-24h, ml]]*Table3.110[[#This Row],[CH4 24h, %]]%</f>
        <v>7.8204370985036764</v>
      </c>
      <c r="AL903" s="94">
        <f>Table3.110[[#This Row],[CH4 8-24h, ml]]+Table3.110[[#This Row],[CH4 8h, ml]]</f>
        <v>13.482603779010002</v>
      </c>
      <c r="AM903" s="94">
        <f>(Table3.110[[#This Row],[Net gas 24h, ml]]/Table3.110[[#This Row],[DM Incubated, mg]])*1000</f>
        <v>195.89384092384117</v>
      </c>
      <c r="AN903" s="94">
        <f>'3.2 Digest'!X903</f>
        <v>44.372947071056835</v>
      </c>
      <c r="AO903" s="94">
        <f>Table3.110[[#This Row],[Digested feed, mg]]/Table3.110[[#This Row],[Net gas 24h, ml]]</f>
        <v>2.265152740984234</v>
      </c>
      <c r="AP903" s="94">
        <f>Table3.110[[#This Row],[CH4 8h, ml]]/Table3.110[[#This Row],[Net gas 8h, ml]]%</f>
        <v>13.4</v>
      </c>
      <c r="AQ903" s="94">
        <f>Table3.110[[#This Row],[CH4 24h, ml]]/Table3.110[[#This Row],[Net gas 24h, ml]]%</f>
        <v>14.990570089781194</v>
      </c>
      <c r="AR903" s="94">
        <f>Table3.110[[#This Row],[CH4 24h, ml]]/Table3.110[[#This Row],[DM Incubated, mg]]*1000</f>
        <v>29.365603525252887</v>
      </c>
      <c r="AS903" s="94">
        <f>Table3.110[[#This Row],[CH4 24h, ml]]/Table3.110[[#This Row],[Digested feed, mg]]*1000</f>
        <v>66.179069598934092</v>
      </c>
      <c r="AT903" s="94">
        <f>Table3.110[[#This Row],[CH4 24h, ml]]/'3.2 Digest'!AA903</f>
        <v>-0.73036798328847086</v>
      </c>
      <c r="AU903" s="94">
        <f>((Table3.110[[#This Row],[CH4 24h, ml]]/28.9)*16.04)/Table3.110[[#This Row],[DM Incubated, mg]]*1000</f>
        <v>16.298418011939667</v>
      </c>
      <c r="AV903" s="94">
        <f>((Table3.110[[#This Row],[CH4 24h, ml]]/28.9)*16.04)/Table3.110[[#This Row],[Digested feed, mg]]*1000</f>
        <v>36.73052859401048</v>
      </c>
      <c r="AW903" s="64"/>
    </row>
    <row r="904" spans="2:49" x14ac:dyDescent="0.35">
      <c r="B904" s="90">
        <f t="shared" si="13"/>
        <v>894</v>
      </c>
      <c r="C904" s="140">
        <v>46057</v>
      </c>
      <c r="D904" s="6" t="s">
        <v>16</v>
      </c>
      <c r="E904" s="6" t="s">
        <v>362</v>
      </c>
      <c r="F904" s="6" t="s">
        <v>219</v>
      </c>
      <c r="G904" s="6" t="s">
        <v>253</v>
      </c>
      <c r="H904" s="6" t="s">
        <v>254</v>
      </c>
      <c r="I904" s="6" t="s">
        <v>22</v>
      </c>
      <c r="J904" s="129" t="s">
        <v>23</v>
      </c>
      <c r="K904" s="129" t="s">
        <v>215</v>
      </c>
      <c r="L904" s="6" t="s">
        <v>361</v>
      </c>
      <c r="M904" s="93">
        <v>29</v>
      </c>
      <c r="N904" s="93">
        <v>63</v>
      </c>
      <c r="O904" s="6">
        <v>2</v>
      </c>
      <c r="P904" s="6">
        <v>2</v>
      </c>
      <c r="Q904" s="6">
        <v>205</v>
      </c>
      <c r="R904" s="98">
        <v>0.50009999999999999</v>
      </c>
      <c r="S904" s="94">
        <f>((Table3.110[[#This Row],[Sample weight, g]]*'2.1. DM'!Q223)/100)*1000</f>
        <v>459.0373334176229</v>
      </c>
      <c r="T904" s="94">
        <f>'3.2 Digest'!W904</f>
        <v>268.23733341762295</v>
      </c>
      <c r="U904" s="153">
        <v>0.34583333333333333</v>
      </c>
      <c r="V904" s="154">
        <v>41</v>
      </c>
      <c r="W904" s="153">
        <v>0.67638888888888893</v>
      </c>
      <c r="X904" s="91">
        <v>85</v>
      </c>
      <c r="Y904" s="91">
        <v>13.3</v>
      </c>
      <c r="Z904" s="154">
        <v>40</v>
      </c>
      <c r="AA904" s="153">
        <v>0.34930555555555554</v>
      </c>
      <c r="AB904" s="154">
        <v>90</v>
      </c>
      <c r="AC904" s="154">
        <v>16.3</v>
      </c>
      <c r="AD904" s="91" t="s">
        <v>588</v>
      </c>
      <c r="AE904" s="94">
        <f>Table3.110[[#This Row],[Gas 8h, ml]]-Table3.110[[#This Row],[Gas 0h, ml]]</f>
        <v>44</v>
      </c>
      <c r="AF904" s="94">
        <f>Table3.110[[#This Row],[Gas 24h, ml]]-Table3.110[[#This Row],[V8 Push back, ml]]</f>
        <v>50</v>
      </c>
      <c r="AG904" s="94">
        <f>Table3.110[[#This Row],[GP 8h, ml]]-(AVERAGE(AE$862,AE$863,AE$912,AE$913,AE$932,AE$933))*$AG$8</f>
        <v>40.754975227659145</v>
      </c>
      <c r="AH904" s="94">
        <f>Table3.110[[#This Row],[GP 8-24h, ml]]-(AVERAGE(AF$862,AF$863,AF$912,AF$913,AF$932,AF$933))*$AG$8</f>
        <v>45.685592064046816</v>
      </c>
      <c r="AI904" s="94">
        <f>Table3.110[[#This Row],[Net gas 8-24h, ml]]+Table3.110[[#This Row],[Net gas 8h, ml]]</f>
        <v>86.44056729170596</v>
      </c>
      <c r="AJ904" s="94">
        <f>Table3.110[[#This Row],[Net gas 8h, ml]]*Table3.110[[#This Row],[CH4 8h %]]%</f>
        <v>5.4204117052786662</v>
      </c>
      <c r="AK904" s="94">
        <f>Table3.110[[#This Row],[Net gas 8-24h, ml]]*Table3.110[[#This Row],[CH4 24h, %]]%</f>
        <v>7.4467515064396315</v>
      </c>
      <c r="AL904" s="94">
        <f>Table3.110[[#This Row],[CH4 8-24h, ml]]+Table3.110[[#This Row],[CH4 8h, ml]]</f>
        <v>12.867163211718298</v>
      </c>
      <c r="AM904" s="94">
        <f>(Table3.110[[#This Row],[Net gas 24h, ml]]/Table3.110[[#This Row],[DM Incubated, mg]])*1000</f>
        <v>188.30835968860961</v>
      </c>
      <c r="AN904" s="94">
        <f>'3.2 Digest'!X904</f>
        <v>58.43475331745752</v>
      </c>
      <c r="AO904" s="94">
        <f>Table3.110[[#This Row],[Digested feed, mg]]/Table3.110[[#This Row],[Net gas 24h, ml]]</f>
        <v>3.1031417518630806</v>
      </c>
      <c r="AP904" s="94">
        <f>Table3.110[[#This Row],[CH4 8h, ml]]/Table3.110[[#This Row],[Net gas 8h, ml]]%</f>
        <v>13.299999999999999</v>
      </c>
      <c r="AQ904" s="94">
        <f>Table3.110[[#This Row],[CH4 24h, ml]]/Table3.110[[#This Row],[Net gas 24h, ml]]%</f>
        <v>14.885560813473411</v>
      </c>
      <c r="AR904" s="94">
        <f>Table3.110[[#This Row],[CH4 24h, ml]]/Table3.110[[#This Row],[DM Incubated, mg]]*1000</f>
        <v>28.03075539830224</v>
      </c>
      <c r="AS904" s="94">
        <f>Table3.110[[#This Row],[CH4 24h, ml]]/Table3.110[[#This Row],[Digested feed, mg]]*1000</f>
        <v>47.969322717972325</v>
      </c>
      <c r="AT904" s="94">
        <f>Table3.110[[#This Row],[CH4 24h, ml]]/'3.2 Digest'!AA904</f>
        <v>1.1203295527618384</v>
      </c>
      <c r="AU904" s="94">
        <f>((Table3.110[[#This Row],[CH4 24h, ml]]/28.9)*16.04)/Table3.110[[#This Row],[DM Incubated, mg]]*1000</f>
        <v>15.557554207223804</v>
      </c>
      <c r="AV904" s="94">
        <f>((Table3.110[[#This Row],[CH4 24h, ml]]/28.9)*16.04)/Table3.110[[#This Row],[Digested feed, mg]]*1000</f>
        <v>26.623804027552808</v>
      </c>
      <c r="AW904" s="64"/>
    </row>
    <row r="905" spans="2:49" x14ac:dyDescent="0.35">
      <c r="B905" s="90">
        <f t="shared" si="13"/>
        <v>895</v>
      </c>
      <c r="C905" s="140">
        <v>46057</v>
      </c>
      <c r="D905" s="6" t="s">
        <v>16</v>
      </c>
      <c r="E905" s="6" t="s">
        <v>362</v>
      </c>
      <c r="F905" s="6" t="s">
        <v>219</v>
      </c>
      <c r="G905" s="6" t="s">
        <v>253</v>
      </c>
      <c r="H905" s="6" t="s">
        <v>254</v>
      </c>
      <c r="I905" s="6" t="s">
        <v>22</v>
      </c>
      <c r="J905" s="129" t="s">
        <v>23</v>
      </c>
      <c r="K905" s="129" t="s">
        <v>215</v>
      </c>
      <c r="L905" s="6" t="s">
        <v>361</v>
      </c>
      <c r="M905" s="93">
        <v>29</v>
      </c>
      <c r="N905" s="93">
        <v>63</v>
      </c>
      <c r="O905" s="6">
        <v>2</v>
      </c>
      <c r="P905" s="129">
        <v>3</v>
      </c>
      <c r="Q905" s="6">
        <v>206</v>
      </c>
      <c r="R905" s="98">
        <v>0.50029999999999997</v>
      </c>
      <c r="S905" s="94">
        <f>((Table3.110[[#This Row],[Sample weight, g]]*'2.1. DM'!Q223)/100)*1000</f>
        <v>459.2209116353464</v>
      </c>
      <c r="T905" s="94">
        <f>'3.2 Digest'!W905</f>
        <v>272.52091163534641</v>
      </c>
      <c r="U905" s="117">
        <v>0.34652777777777777</v>
      </c>
      <c r="V905" s="155">
        <v>41</v>
      </c>
      <c r="W905" s="117">
        <v>0.67638888888888893</v>
      </c>
      <c r="X905" s="96">
        <v>85.5</v>
      </c>
      <c r="Y905" s="96">
        <v>13.5</v>
      </c>
      <c r="Z905" s="155">
        <v>40</v>
      </c>
      <c r="AA905" s="117">
        <v>0.35</v>
      </c>
      <c r="AB905" s="155">
        <v>93</v>
      </c>
      <c r="AC905" s="155">
        <v>16.3</v>
      </c>
      <c r="AD905" s="96"/>
      <c r="AE905" s="94">
        <f>Table3.110[[#This Row],[Gas 8h, ml]]-Table3.110[[#This Row],[Gas 0h, ml]]</f>
        <v>44.5</v>
      </c>
      <c r="AF905" s="94">
        <f>Table3.110[[#This Row],[Gas 24h, ml]]-Table3.110[[#This Row],[V8 Push back, ml]]</f>
        <v>53</v>
      </c>
      <c r="AG905" s="94">
        <f>Table3.110[[#This Row],[GP 8h, ml]]-(AVERAGE(AE$862,AE$863,AE$912,AE$913,AE$932,AE$933))*$AG$8</f>
        <v>41.254975227659145</v>
      </c>
      <c r="AH905" s="94">
        <f>Table3.110[[#This Row],[GP 8-24h, ml]]-(AVERAGE(AF$862,AF$863,AF$912,AF$913,AF$932,AF$933))*$AG$8</f>
        <v>48.685592064046816</v>
      </c>
      <c r="AI905" s="94">
        <f>Table3.110[[#This Row],[Net gas 8-24h, ml]]+Table3.110[[#This Row],[Net gas 8h, ml]]</f>
        <v>89.94056729170596</v>
      </c>
      <c r="AJ905" s="94">
        <f>Table3.110[[#This Row],[Net gas 8h, ml]]*Table3.110[[#This Row],[CH4 8h %]]%</f>
        <v>5.5694216557339846</v>
      </c>
      <c r="AK905" s="94">
        <f>Table3.110[[#This Row],[Net gas 8-24h, ml]]*Table3.110[[#This Row],[CH4 24h, %]]%</f>
        <v>7.9357515064396313</v>
      </c>
      <c r="AL905" s="94">
        <f>Table3.110[[#This Row],[CH4 8-24h, ml]]+Table3.110[[#This Row],[CH4 8h, ml]]</f>
        <v>13.505173162173616</v>
      </c>
      <c r="AM905" s="94">
        <f>(Table3.110[[#This Row],[Net gas 24h, ml]]/Table3.110[[#This Row],[DM Incubated, mg]])*1000</f>
        <v>195.8546856488214</v>
      </c>
      <c r="AN905" s="94">
        <f>'3.2 Digest'!X905</f>
        <v>59.344185931094337</v>
      </c>
      <c r="AO905" s="94">
        <f>Table3.110[[#This Row],[Digested feed, mg]]/Table3.110[[#This Row],[Net gas 24h, ml]]</f>
        <v>3.0300110377497855</v>
      </c>
      <c r="AP905" s="94">
        <f>Table3.110[[#This Row],[CH4 8h, ml]]/Table3.110[[#This Row],[Net gas 8h, ml]]%</f>
        <v>13.5</v>
      </c>
      <c r="AQ905" s="94">
        <f>Table3.110[[#This Row],[CH4 24h, ml]]/Table3.110[[#This Row],[Net gas 24h, ml]]%</f>
        <v>15.015663753122691</v>
      </c>
      <c r="AR905" s="94">
        <f>Table3.110[[#This Row],[CH4 24h, ml]]/Table3.110[[#This Row],[DM Incubated, mg]]*1000</f>
        <v>29.408881041762466</v>
      </c>
      <c r="AS905" s="94">
        <f>Table3.110[[#This Row],[CH4 24h, ml]]/Table3.110[[#This Row],[Digested feed, mg]]*1000</f>
        <v>49.556465524541323</v>
      </c>
      <c r="AT905" s="94">
        <f>Table3.110[[#This Row],[CH4 24h, ml]]/'3.2 Digest'!AA905</f>
        <v>1.0062093762691073</v>
      </c>
      <c r="AU905" s="94">
        <f>((Table3.110[[#This Row],[CH4 24h, ml]]/28.9)*16.04)/Table3.110[[#This Row],[DM Incubated, mg]]*1000</f>
        <v>16.322437782348441</v>
      </c>
      <c r="AV905" s="94">
        <f>((Table3.110[[#This Row],[CH4 24h, ml]]/28.9)*16.04)/Table3.110[[#This Row],[Digested feed, mg]]*1000</f>
        <v>27.504695744416704</v>
      </c>
      <c r="AW905" s="64"/>
    </row>
    <row r="906" spans="2:49" x14ac:dyDescent="0.35">
      <c r="B906" s="90">
        <f t="shared" si="13"/>
        <v>896</v>
      </c>
      <c r="C906" s="140">
        <v>46057</v>
      </c>
      <c r="D906" s="6" t="s">
        <v>16</v>
      </c>
      <c r="E906" s="6" t="s">
        <v>364</v>
      </c>
      <c r="F906" s="6" t="s">
        <v>219</v>
      </c>
      <c r="G906" s="6" t="s">
        <v>365</v>
      </c>
      <c r="H906" s="6" t="s">
        <v>366</v>
      </c>
      <c r="I906" s="6" t="s">
        <v>22</v>
      </c>
      <c r="J906" s="129" t="s">
        <v>23</v>
      </c>
      <c r="K906" s="129" t="s">
        <v>215</v>
      </c>
      <c r="L906" s="6" t="s">
        <v>363</v>
      </c>
      <c r="M906" s="93">
        <v>29</v>
      </c>
      <c r="N906" s="93">
        <v>63</v>
      </c>
      <c r="O906" s="6">
        <v>2</v>
      </c>
      <c r="P906" s="129">
        <v>1</v>
      </c>
      <c r="Q906" s="6">
        <v>207</v>
      </c>
      <c r="R906" s="98">
        <v>0.50029999999999997</v>
      </c>
      <c r="S906" s="94">
        <f>((Table3.110[[#This Row],[Sample weight, g]]*'2.1. DM'!Q225)/100)*1000</f>
        <v>453.55160685562856</v>
      </c>
      <c r="T906" s="94">
        <f>'3.2 Digest'!W906</f>
        <v>246.35160685562863</v>
      </c>
      <c r="U906" s="153">
        <v>0.34652777777777777</v>
      </c>
      <c r="V906" s="154">
        <v>41</v>
      </c>
      <c r="W906" s="153">
        <v>0.67708333333333337</v>
      </c>
      <c r="X906" s="91">
        <v>95</v>
      </c>
      <c r="Y906" s="91">
        <v>14.1</v>
      </c>
      <c r="Z906" s="154">
        <v>40</v>
      </c>
      <c r="AA906" s="153">
        <v>0.35</v>
      </c>
      <c r="AB906" s="154">
        <v>89</v>
      </c>
      <c r="AC906" s="154">
        <v>17.8</v>
      </c>
      <c r="AD906" s="91"/>
      <c r="AE906" s="94">
        <f>Table3.110[[#This Row],[Gas 8h, ml]]-Table3.110[[#This Row],[Gas 0h, ml]]</f>
        <v>54</v>
      </c>
      <c r="AF906" s="94">
        <f>Table3.110[[#This Row],[Gas 24h, ml]]-Table3.110[[#This Row],[V8 Push back, ml]]</f>
        <v>49</v>
      </c>
      <c r="AG906" s="94">
        <f>Table3.110[[#This Row],[GP 8h, ml]]-(AVERAGE(AE$862,AE$863,AE$912,AE$913,AE$932,AE$933))*$AG$8</f>
        <v>50.754975227659145</v>
      </c>
      <c r="AH906" s="94">
        <f>Table3.110[[#This Row],[GP 8-24h, ml]]-(AVERAGE(AF$862,AF$863,AF$912,AF$913,AF$932,AF$933))*$AG$8</f>
        <v>44.685592064046816</v>
      </c>
      <c r="AI906" s="94">
        <f>Table3.110[[#This Row],[Net gas 8-24h, ml]]+Table3.110[[#This Row],[Net gas 8h, ml]]</f>
        <v>95.44056729170596</v>
      </c>
      <c r="AJ906" s="94">
        <f>Table3.110[[#This Row],[Net gas 8h, ml]]*Table3.110[[#This Row],[CH4 8h %]]%</f>
        <v>7.1564515070999386</v>
      </c>
      <c r="AK906" s="94">
        <f>Table3.110[[#This Row],[Net gas 8-24h, ml]]*Table3.110[[#This Row],[CH4 24h, %]]%</f>
        <v>7.9540353874003342</v>
      </c>
      <c r="AL906" s="94">
        <f>Table3.110[[#This Row],[CH4 8-24h, ml]]+Table3.110[[#This Row],[CH4 8h, ml]]</f>
        <v>15.110486894500273</v>
      </c>
      <c r="AM906" s="94">
        <f>(Table3.110[[#This Row],[Net gas 24h, ml]]/Table3.110[[#This Row],[DM Incubated, mg]])*1000</f>
        <v>210.42934442096671</v>
      </c>
      <c r="AN906" s="94">
        <f>'3.2 Digest'!X906</f>
        <v>54.316113785491581</v>
      </c>
      <c r="AO906" s="94">
        <f>Table3.110[[#This Row],[Digested feed, mg]]/Table3.110[[#This Row],[Net gas 24h, ml]]</f>
        <v>2.5812043436694583</v>
      </c>
      <c r="AP906" s="94">
        <f>Table3.110[[#This Row],[CH4 8h, ml]]/Table3.110[[#This Row],[Net gas 8h, ml]]%</f>
        <v>14.099999999999998</v>
      </c>
      <c r="AQ906" s="94">
        <f>Table3.110[[#This Row],[CH4 24h, ml]]/Table3.110[[#This Row],[Net gas 24h, ml]]%</f>
        <v>15.832352345849284</v>
      </c>
      <c r="AR906" s="94">
        <f>Table3.110[[#This Row],[CH4 24h, ml]]/Table3.110[[#This Row],[DM Incubated, mg]]*1000</f>
        <v>33.315915247788197</v>
      </c>
      <c r="AS906" s="94">
        <f>Table3.110[[#This Row],[CH4 24h, ml]]/Table3.110[[#This Row],[Digested feed, mg]]*1000</f>
        <v>61.337074628279531</v>
      </c>
      <c r="AT906" s="94">
        <f>Table3.110[[#This Row],[CH4 24h, ml]]/'3.2 Digest'!AA906</f>
        <v>-1.710114165599705</v>
      </c>
      <c r="AU906" s="94">
        <f>((Table3.110[[#This Row],[CH4 24h, ml]]/28.9)*16.04)/Table3.110[[#This Row],[DM Incubated, mg]]*1000</f>
        <v>18.490909362440231</v>
      </c>
      <c r="AV906" s="94">
        <f>((Table3.110[[#This Row],[CH4 24h, ml]]/28.9)*16.04)/Table3.110[[#This Row],[Digested feed, mg]]*1000</f>
        <v>34.043137613757914</v>
      </c>
      <c r="AW906" s="64"/>
    </row>
    <row r="907" spans="2:49" x14ac:dyDescent="0.35">
      <c r="B907" s="90">
        <f t="shared" si="13"/>
        <v>897</v>
      </c>
      <c r="C907" s="140">
        <v>46057</v>
      </c>
      <c r="D907" s="6" t="s">
        <v>16</v>
      </c>
      <c r="E907" s="6" t="s">
        <v>364</v>
      </c>
      <c r="F907" s="6" t="s">
        <v>219</v>
      </c>
      <c r="G907" s="6" t="s">
        <v>365</v>
      </c>
      <c r="H907" s="6" t="s">
        <v>366</v>
      </c>
      <c r="I907" s="6" t="s">
        <v>22</v>
      </c>
      <c r="J907" s="129" t="s">
        <v>23</v>
      </c>
      <c r="K907" s="129" t="s">
        <v>215</v>
      </c>
      <c r="L907" s="6" t="s">
        <v>363</v>
      </c>
      <c r="M907" s="93">
        <v>29</v>
      </c>
      <c r="N907" s="93">
        <v>63</v>
      </c>
      <c r="O907" s="6">
        <v>2</v>
      </c>
      <c r="P907" s="6">
        <v>2</v>
      </c>
      <c r="Q907" s="6">
        <v>208</v>
      </c>
      <c r="R907" s="98">
        <v>0.50019999999999998</v>
      </c>
      <c r="S907" s="94">
        <f>((Table3.110[[#This Row],[Sample weight, g]]*'2.1. DM'!Q225)/100)*1000</f>
        <v>453.46095092781417</v>
      </c>
      <c r="T907" s="94">
        <f>'3.2 Digest'!W907</f>
        <v>278.26095092781418</v>
      </c>
      <c r="U907" s="117">
        <v>0.34722222222222221</v>
      </c>
      <c r="V907" s="155">
        <v>40.5</v>
      </c>
      <c r="W907" s="117">
        <v>0.67708333333333337</v>
      </c>
      <c r="X907" s="96">
        <v>95.5</v>
      </c>
      <c r="Y907" s="96">
        <v>14.3</v>
      </c>
      <c r="Z907" s="155">
        <v>40</v>
      </c>
      <c r="AA907" s="117">
        <v>0.35069444444444442</v>
      </c>
      <c r="AB907" s="155">
        <v>91</v>
      </c>
      <c r="AC907" s="155">
        <v>17.8</v>
      </c>
      <c r="AD907" s="96" t="s">
        <v>569</v>
      </c>
      <c r="AE907" s="94">
        <f>Table3.110[[#This Row],[Gas 8h, ml]]-Table3.110[[#This Row],[Gas 0h, ml]]</f>
        <v>55</v>
      </c>
      <c r="AF907" s="94">
        <f>Table3.110[[#This Row],[Gas 24h, ml]]-Table3.110[[#This Row],[V8 Push back, ml]]</f>
        <v>51</v>
      </c>
      <c r="AG907" s="94">
        <f>Table3.110[[#This Row],[GP 8h, ml]]-(AVERAGE(AE$862,AE$863,AE$912,AE$913,AE$932,AE$933))*$AG$8</f>
        <v>51.754975227659145</v>
      </c>
      <c r="AH907" s="94">
        <f>Table3.110[[#This Row],[GP 8-24h, ml]]-(AVERAGE(AF$862,AF$863,AF$912,AF$913,AF$932,AF$933))*$AG$8</f>
        <v>46.685592064046816</v>
      </c>
      <c r="AI907" s="94">
        <f>Table3.110[[#This Row],[Net gas 8-24h, ml]]+Table3.110[[#This Row],[Net gas 8h, ml]]</f>
        <v>98.44056729170596</v>
      </c>
      <c r="AJ907" s="94">
        <f>Table3.110[[#This Row],[Net gas 8h, ml]]*Table3.110[[#This Row],[CH4 8h %]]%</f>
        <v>7.4009614575552582</v>
      </c>
      <c r="AK907" s="94">
        <f>Table3.110[[#This Row],[Net gas 8-24h, ml]]*Table3.110[[#This Row],[CH4 24h, %]]%</f>
        <v>8.3100353874003332</v>
      </c>
      <c r="AL907" s="94">
        <f>Table3.110[[#This Row],[CH4 8-24h, ml]]+Table3.110[[#This Row],[CH4 8h, ml]]</f>
        <v>15.710996844955591</v>
      </c>
      <c r="AM907" s="94">
        <f>(Table3.110[[#This Row],[Net gas 24h, ml]]/Table3.110[[#This Row],[DM Incubated, mg]])*1000</f>
        <v>217.08719811549238</v>
      </c>
      <c r="AN907" s="94">
        <f>'3.2 Digest'!X907</f>
        <v>61.363817624973436</v>
      </c>
      <c r="AO907" s="94">
        <f>Table3.110[[#This Row],[Digested feed, mg]]/Table3.110[[#This Row],[Net gas 24h, ml]]</f>
        <v>2.8266898351291689</v>
      </c>
      <c r="AP907" s="94">
        <f>Table3.110[[#This Row],[CH4 8h, ml]]/Table3.110[[#This Row],[Net gas 8h, ml]]%</f>
        <v>14.299999999999999</v>
      </c>
      <c r="AQ907" s="94">
        <f>Table3.110[[#This Row],[CH4 24h, ml]]/Table3.110[[#This Row],[Net gas 24h, ml]]%</f>
        <v>15.959880440753322</v>
      </c>
      <c r="AR907" s="94">
        <f>Table3.110[[#This Row],[CH4 24h, ml]]/Table3.110[[#This Row],[DM Incubated, mg]]*1000</f>
        <v>34.646857271413879</v>
      </c>
      <c r="AS907" s="94">
        <f>Table3.110[[#This Row],[CH4 24h, ml]]/Table3.110[[#This Row],[Digested feed, mg]]*1000</f>
        <v>56.461378402430967</v>
      </c>
      <c r="AT907" s="94">
        <f>Table3.110[[#This Row],[CH4 24h, ml]]/'3.2 Digest'!AA907</f>
        <v>1.9751599219638305</v>
      </c>
      <c r="AU907" s="94">
        <f>((Table3.110[[#This Row],[CH4 24h, ml]]/28.9)*16.04)/Table3.110[[#This Row],[DM Incubated, mg]]*1000</f>
        <v>19.229605212231093</v>
      </c>
      <c r="AV907" s="94">
        <f>((Table3.110[[#This Row],[CH4 24h, ml]]/28.9)*16.04)/Table3.110[[#This Row],[Digested feed, mg]]*1000</f>
        <v>31.337041853805982</v>
      </c>
      <c r="AW907" s="64"/>
    </row>
    <row r="908" spans="2:49" x14ac:dyDescent="0.35">
      <c r="B908" s="90">
        <f t="shared" ref="B908:B971" si="14">B907+1</f>
        <v>898</v>
      </c>
      <c r="C908" s="140">
        <v>46057</v>
      </c>
      <c r="D908" s="6" t="s">
        <v>16</v>
      </c>
      <c r="E908" s="6" t="s">
        <v>364</v>
      </c>
      <c r="F908" s="6" t="s">
        <v>219</v>
      </c>
      <c r="G908" s="6" t="s">
        <v>365</v>
      </c>
      <c r="H908" s="6" t="s">
        <v>366</v>
      </c>
      <c r="I908" s="6" t="s">
        <v>22</v>
      </c>
      <c r="J908" s="129" t="s">
        <v>23</v>
      </c>
      <c r="K908" s="129" t="s">
        <v>215</v>
      </c>
      <c r="L908" s="6" t="s">
        <v>363</v>
      </c>
      <c r="M908" s="93">
        <v>29</v>
      </c>
      <c r="N908" s="93">
        <v>63</v>
      </c>
      <c r="O908" s="6">
        <v>2</v>
      </c>
      <c r="P908" s="129">
        <v>3</v>
      </c>
      <c r="Q908" s="6">
        <v>209</v>
      </c>
      <c r="R908" s="98">
        <v>0.50019999999999998</v>
      </c>
      <c r="S908" s="94">
        <f>((Table3.110[[#This Row],[Sample weight, g]]*'2.1. DM'!Q225)/100)*1000</f>
        <v>453.46095092781417</v>
      </c>
      <c r="T908" s="94">
        <f>'3.2 Digest'!W908</f>
        <v>229.4609509278142</v>
      </c>
      <c r="U908" s="117">
        <v>0.34722222222222221</v>
      </c>
      <c r="V908" s="155">
        <v>41.5</v>
      </c>
      <c r="W908" s="117">
        <v>0.67777777777777781</v>
      </c>
      <c r="X908" s="96">
        <v>96</v>
      </c>
      <c r="Y908" s="96">
        <v>14.2</v>
      </c>
      <c r="Z908" s="155">
        <v>40</v>
      </c>
      <c r="AA908" s="117">
        <v>0.35069444444444442</v>
      </c>
      <c r="AB908" s="155">
        <v>89</v>
      </c>
      <c r="AC908" s="155">
        <v>17.899999999999999</v>
      </c>
      <c r="AD908" s="96"/>
      <c r="AE908" s="94">
        <f>Table3.110[[#This Row],[Gas 8h, ml]]-Table3.110[[#This Row],[Gas 0h, ml]]</f>
        <v>54.5</v>
      </c>
      <c r="AF908" s="94">
        <f>Table3.110[[#This Row],[Gas 24h, ml]]-Table3.110[[#This Row],[V8 Push back, ml]]</f>
        <v>49</v>
      </c>
      <c r="AG908" s="94">
        <f>Table3.110[[#This Row],[GP 8h, ml]]-(AVERAGE(AE$862,AE$863,AE$912,AE$913,AE$932,AE$933))*$AG$8</f>
        <v>51.254975227659145</v>
      </c>
      <c r="AH908" s="94">
        <f>Table3.110[[#This Row],[GP 8-24h, ml]]-(AVERAGE(AF$862,AF$863,AF$912,AF$913,AF$932,AF$933))*$AG$8</f>
        <v>44.685592064046816</v>
      </c>
      <c r="AI908" s="94">
        <f>Table3.110[[#This Row],[Net gas 8-24h, ml]]+Table3.110[[#This Row],[Net gas 8h, ml]]</f>
        <v>95.94056729170596</v>
      </c>
      <c r="AJ908" s="94">
        <f>Table3.110[[#This Row],[Net gas 8h, ml]]*Table3.110[[#This Row],[CH4 8h %]]%</f>
        <v>7.2782064823275983</v>
      </c>
      <c r="AK908" s="94">
        <f>Table3.110[[#This Row],[Net gas 8-24h, ml]]*Table3.110[[#This Row],[CH4 24h, %]]%</f>
        <v>7.9987209794643794</v>
      </c>
      <c r="AL908" s="94">
        <f>Table3.110[[#This Row],[CH4 8-24h, ml]]+Table3.110[[#This Row],[CH4 8h, ml]]</f>
        <v>15.276927461791978</v>
      </c>
      <c r="AM908" s="94">
        <f>(Table3.110[[#This Row],[Net gas 24h, ml]]/Table3.110[[#This Row],[DM Incubated, mg]])*1000</f>
        <v>211.5740442377774</v>
      </c>
      <c r="AN908" s="94">
        <f>'3.2 Digest'!X908</f>
        <v>50.602141255673807</v>
      </c>
      <c r="AO908" s="94">
        <f>Table3.110[[#This Row],[Digested feed, mg]]/Table3.110[[#This Row],[Net gas 24h, ml]]</f>
        <v>2.3916989174156265</v>
      </c>
      <c r="AP908" s="94">
        <f>Table3.110[[#This Row],[CH4 8h, ml]]/Table3.110[[#This Row],[Net gas 8h, ml]]%</f>
        <v>14.199999999999998</v>
      </c>
      <c r="AQ908" s="94">
        <f>Table3.110[[#This Row],[CH4 24h, ml]]/Table3.110[[#This Row],[Net gas 24h, ml]]%</f>
        <v>15.923324088070787</v>
      </c>
      <c r="AR908" s="94">
        <f>Table3.110[[#This Row],[CH4 24h, ml]]/Table3.110[[#This Row],[DM Incubated, mg]]*1000</f>
        <v>33.689620750219547</v>
      </c>
      <c r="AS908" s="94">
        <f>Table3.110[[#This Row],[CH4 24h, ml]]/Table3.110[[#This Row],[Digested feed, mg]]*1000</f>
        <v>66.577460783721421</v>
      </c>
      <c r="AT908" s="94">
        <f>Table3.110[[#This Row],[CH4 24h, ml]]/'3.2 Digest'!AA908</f>
        <v>-0.86388359825132144</v>
      </c>
      <c r="AU908" s="94">
        <f>((Table3.110[[#This Row],[CH4 24h, ml]]/28.9)*16.04)/Table3.110[[#This Row],[DM Incubated, mg]]*1000</f>
        <v>18.698322381782756</v>
      </c>
      <c r="AV908" s="94">
        <f>((Table3.110[[#This Row],[CH4 24h, ml]]/28.9)*16.04)/Table3.110[[#This Row],[Digested feed, mg]]*1000</f>
        <v>36.95164259414851</v>
      </c>
      <c r="AW908" s="64"/>
    </row>
    <row r="909" spans="2:49" x14ac:dyDescent="0.35">
      <c r="B909" s="90">
        <f t="shared" si="14"/>
        <v>899</v>
      </c>
      <c r="C909" s="140">
        <v>46057</v>
      </c>
      <c r="D909" s="6" t="s">
        <v>16</v>
      </c>
      <c r="E909" s="6" t="s">
        <v>368</v>
      </c>
      <c r="F909" s="6" t="s">
        <v>219</v>
      </c>
      <c r="G909" s="6" t="s">
        <v>365</v>
      </c>
      <c r="H909" s="6" t="s">
        <v>366</v>
      </c>
      <c r="I909" s="6" t="s">
        <v>22</v>
      </c>
      <c r="J909" s="129" t="s">
        <v>23</v>
      </c>
      <c r="K909" s="129" t="s">
        <v>215</v>
      </c>
      <c r="L909" s="6" t="s">
        <v>367</v>
      </c>
      <c r="M909" s="93">
        <v>29</v>
      </c>
      <c r="N909" s="93">
        <v>63</v>
      </c>
      <c r="O909" s="6">
        <v>2</v>
      </c>
      <c r="P909" s="129">
        <v>1</v>
      </c>
      <c r="Q909" s="6">
        <v>210</v>
      </c>
      <c r="R909" s="98">
        <v>0.50029999999999997</v>
      </c>
      <c r="S909" s="94">
        <f>((Table3.110[[#This Row],[Sample weight, g]]*'2.1. DM'!Q227)/100)*1000</f>
        <v>455.62767723227682</v>
      </c>
      <c r="T909" s="94">
        <f>'3.2 Digest'!W909</f>
        <v>253.92767723227684</v>
      </c>
      <c r="U909" s="117">
        <v>0.34722222222222221</v>
      </c>
      <c r="V909" s="155">
        <v>41</v>
      </c>
      <c r="W909" s="117">
        <v>0.67777777777777781</v>
      </c>
      <c r="X909" s="96">
        <v>89</v>
      </c>
      <c r="Y909" s="96">
        <v>14.1</v>
      </c>
      <c r="Z909" s="155">
        <v>40</v>
      </c>
      <c r="AA909" s="117">
        <v>0.35138888888888886</v>
      </c>
      <c r="AB909" s="155">
        <v>93</v>
      </c>
      <c r="AC909" s="155">
        <v>17.100000000000001</v>
      </c>
      <c r="AD909" s="96"/>
      <c r="AE909" s="94">
        <f>Table3.110[[#This Row],[Gas 8h, ml]]-Table3.110[[#This Row],[Gas 0h, ml]]</f>
        <v>48</v>
      </c>
      <c r="AF909" s="94">
        <f>Table3.110[[#This Row],[Gas 24h, ml]]-Table3.110[[#This Row],[V8 Push back, ml]]</f>
        <v>53</v>
      </c>
      <c r="AG909" s="94">
        <f>Table3.110[[#This Row],[GP 8h, ml]]-(AVERAGE(AE$862,AE$863,AE$912,AE$913,AE$932,AE$933))*$AG$8</f>
        <v>44.754975227659145</v>
      </c>
      <c r="AH909" s="94">
        <f>Table3.110[[#This Row],[GP 8-24h, ml]]-(AVERAGE(AF$862,AF$863,AF$912,AF$913,AF$932,AF$933))*$AG$8</f>
        <v>48.685592064046816</v>
      </c>
      <c r="AI909" s="94">
        <f>Table3.110[[#This Row],[Net gas 8-24h, ml]]+Table3.110[[#This Row],[Net gas 8h, ml]]</f>
        <v>93.44056729170596</v>
      </c>
      <c r="AJ909" s="94">
        <f>Table3.110[[#This Row],[Net gas 8h, ml]]*Table3.110[[#This Row],[CH4 8h %]]%</f>
        <v>6.3104515070999385</v>
      </c>
      <c r="AK909" s="94">
        <f>Table3.110[[#This Row],[Net gas 8-24h, ml]]*Table3.110[[#This Row],[CH4 24h, %]]%</f>
        <v>8.3252362429520055</v>
      </c>
      <c r="AL909" s="94">
        <f>Table3.110[[#This Row],[CH4 8-24h, ml]]+Table3.110[[#This Row],[CH4 8h, ml]]</f>
        <v>14.635687750051943</v>
      </c>
      <c r="AM909" s="94">
        <f>(Table3.110[[#This Row],[Net gas 24h, ml]]/Table3.110[[#This Row],[DM Incubated, mg]])*1000</f>
        <v>205.08097282261983</v>
      </c>
      <c r="AN909" s="94">
        <f>'3.2 Digest'!X909</f>
        <v>55.731398666289913</v>
      </c>
      <c r="AO909" s="94">
        <f>Table3.110[[#This Row],[Digested feed, mg]]/Table3.110[[#This Row],[Net gas 24h, ml]]</f>
        <v>2.7175314169439568</v>
      </c>
      <c r="AP909" s="94">
        <f>Table3.110[[#This Row],[CH4 8h, ml]]/Table3.110[[#This Row],[Net gas 8h, ml]]%</f>
        <v>14.099999999999998</v>
      </c>
      <c r="AQ909" s="94">
        <f>Table3.110[[#This Row],[CH4 24h, ml]]/Table3.110[[#This Row],[Net gas 24h, ml]]%</f>
        <v>15.663098132058373</v>
      </c>
      <c r="AR909" s="94">
        <f>Table3.110[[#This Row],[CH4 24h, ml]]/Table3.110[[#This Row],[DM Incubated, mg]]*1000</f>
        <v>32.122034023386902</v>
      </c>
      <c r="AS909" s="94">
        <f>Table3.110[[#This Row],[CH4 24h, ml]]/Table3.110[[#This Row],[Digested feed, mg]]*1000</f>
        <v>57.637229267702672</v>
      </c>
      <c r="AT909" s="94">
        <f>Table3.110[[#This Row],[CH4 24h, ml]]/'3.2 Digest'!AA909</f>
        <v>1.5273629877666672</v>
      </c>
      <c r="AU909" s="94">
        <f>((Table3.110[[#This Row],[CH4 24h, ml]]/28.9)*16.04)/Table3.110[[#This Row],[DM Incubated, mg]]*1000</f>
        <v>17.82828462751301</v>
      </c>
      <c r="AV909" s="94">
        <f>((Table3.110[[#This Row],[CH4 24h, ml]]/28.9)*16.04)/Table3.110[[#This Row],[Digested feed, mg]]*1000</f>
        <v>31.989659427472347</v>
      </c>
      <c r="AW909" s="64"/>
    </row>
    <row r="910" spans="2:49" x14ac:dyDescent="0.35">
      <c r="B910" s="90">
        <f t="shared" si="14"/>
        <v>900</v>
      </c>
      <c r="C910" s="140">
        <v>46057</v>
      </c>
      <c r="D910" s="6" t="s">
        <v>16</v>
      </c>
      <c r="E910" s="6" t="s">
        <v>368</v>
      </c>
      <c r="F910" s="6" t="s">
        <v>219</v>
      </c>
      <c r="G910" s="6" t="s">
        <v>365</v>
      </c>
      <c r="H910" s="6" t="s">
        <v>366</v>
      </c>
      <c r="I910" s="6" t="s">
        <v>22</v>
      </c>
      <c r="J910" s="129" t="s">
        <v>23</v>
      </c>
      <c r="K910" s="129" t="s">
        <v>215</v>
      </c>
      <c r="L910" s="6" t="s">
        <v>367</v>
      </c>
      <c r="M910" s="93">
        <v>29</v>
      </c>
      <c r="N910" s="93">
        <v>63</v>
      </c>
      <c r="O910" s="6">
        <v>2</v>
      </c>
      <c r="P910" s="129">
        <v>2</v>
      </c>
      <c r="Q910" s="6">
        <v>211</v>
      </c>
      <c r="R910" s="98">
        <v>0.50029999999999997</v>
      </c>
      <c r="S910" s="94">
        <f>((Table3.110[[#This Row],[Sample weight, g]]*'2.1. DM'!Q227)/100)*1000</f>
        <v>455.62767723227682</v>
      </c>
      <c r="T910" s="94">
        <f>'3.2 Digest'!W910</f>
        <v>224.22767723227676</v>
      </c>
      <c r="U910" s="153">
        <v>0.34791666666666665</v>
      </c>
      <c r="V910" s="154">
        <v>41.5</v>
      </c>
      <c r="W910" s="153">
        <v>0.67847222222222225</v>
      </c>
      <c r="X910" s="91">
        <v>87.5</v>
      </c>
      <c r="Y910" s="91">
        <v>14.3</v>
      </c>
      <c r="Z910" s="154">
        <v>40.5</v>
      </c>
      <c r="AA910" s="153">
        <v>0.35138888888888886</v>
      </c>
      <c r="AB910" s="154">
        <v>94</v>
      </c>
      <c r="AC910" s="154">
        <v>17.2</v>
      </c>
      <c r="AD910" s="91"/>
      <c r="AE910" s="94">
        <f>Table3.110[[#This Row],[Gas 8h, ml]]-Table3.110[[#This Row],[Gas 0h, ml]]</f>
        <v>46</v>
      </c>
      <c r="AF910" s="94">
        <f>Table3.110[[#This Row],[Gas 24h, ml]]-Table3.110[[#This Row],[V8 Push back, ml]]</f>
        <v>53.5</v>
      </c>
      <c r="AG910" s="94">
        <f>Table3.110[[#This Row],[GP 8h, ml]]-(AVERAGE(AE$862,AE$863,AE$912,AE$913,AE$932,AE$933))*$AG$8</f>
        <v>42.754975227659145</v>
      </c>
      <c r="AH910" s="94">
        <f>Table3.110[[#This Row],[GP 8-24h, ml]]-(AVERAGE(AF$862,AF$863,AF$912,AF$913,AF$932,AF$933))*$AG$8</f>
        <v>49.185592064046816</v>
      </c>
      <c r="AI910" s="94">
        <f>Table3.110[[#This Row],[Net gas 8-24h, ml]]+Table3.110[[#This Row],[Net gas 8h, ml]]</f>
        <v>91.94056729170596</v>
      </c>
      <c r="AJ910" s="94">
        <f>Table3.110[[#This Row],[Net gas 8h, ml]]*Table3.110[[#This Row],[CH4 8h %]]%</f>
        <v>6.1139614575552583</v>
      </c>
      <c r="AK910" s="94">
        <f>Table3.110[[#This Row],[Net gas 8-24h, ml]]*Table3.110[[#This Row],[CH4 24h, %]]%</f>
        <v>8.4599218350160523</v>
      </c>
      <c r="AL910" s="94">
        <f>Table3.110[[#This Row],[CH4 8-24h, ml]]+Table3.110[[#This Row],[CH4 8h, ml]]</f>
        <v>14.57388329257131</v>
      </c>
      <c r="AM910" s="94">
        <f>(Table3.110[[#This Row],[Net gas 24h, ml]]/Table3.110[[#This Row],[DM Incubated, mg]])*1000</f>
        <v>201.78881109725717</v>
      </c>
      <c r="AN910" s="94">
        <f>'3.2 Digest'!X910</f>
        <v>49.212918450071804</v>
      </c>
      <c r="AO910" s="94">
        <f>Table3.110[[#This Row],[Digested feed, mg]]/Table3.110[[#This Row],[Net gas 24h, ml]]</f>
        <v>2.4388328660280578</v>
      </c>
      <c r="AP910" s="94">
        <f>Table3.110[[#This Row],[CH4 8h, ml]]/Table3.110[[#This Row],[Net gas 8h, ml]]%</f>
        <v>14.300000000000002</v>
      </c>
      <c r="AQ910" s="94">
        <f>Table3.110[[#This Row],[CH4 24h, ml]]/Table3.110[[#This Row],[Net gas 24h, ml]]%</f>
        <v>15.851417629751815</v>
      </c>
      <c r="AR910" s="94">
        <f>Table3.110[[#This Row],[CH4 24h, ml]]/Table3.110[[#This Row],[DM Incubated, mg]]*1000</f>
        <v>31.986387177137207</v>
      </c>
      <c r="AS910" s="94">
        <f>Table3.110[[#This Row],[CH4 24h, ml]]/Table3.110[[#This Row],[Digested feed, mg]]*1000</f>
        <v>64.995916081645305</v>
      </c>
      <c r="AT910" s="94">
        <f>Table3.110[[#This Row],[CH4 24h, ml]]/'3.2 Digest'!AA910</f>
        <v>-3.9056026189902084</v>
      </c>
      <c r="AU910" s="94">
        <f>((Table3.110[[#This Row],[CH4 24h, ml]]/28.9)*16.04)/Table3.110[[#This Row],[DM Incubated, mg]]*1000</f>
        <v>17.752998281013173</v>
      </c>
      <c r="AV910" s="94">
        <f>((Table3.110[[#This Row],[CH4 24h, ml]]/28.9)*16.04)/Table3.110[[#This Row],[Digested feed, mg]]*1000</f>
        <v>36.073857922131161</v>
      </c>
      <c r="AW910" s="64"/>
    </row>
    <row r="911" spans="2:49" x14ac:dyDescent="0.35">
      <c r="B911" s="90">
        <f t="shared" si="14"/>
        <v>901</v>
      </c>
      <c r="C911" s="140">
        <v>46057</v>
      </c>
      <c r="D911" s="6" t="s">
        <v>16</v>
      </c>
      <c r="E911" s="6" t="s">
        <v>368</v>
      </c>
      <c r="F911" s="6" t="s">
        <v>219</v>
      </c>
      <c r="G911" s="6" t="s">
        <v>365</v>
      </c>
      <c r="H911" s="6" t="s">
        <v>366</v>
      </c>
      <c r="I911" s="6" t="s">
        <v>22</v>
      </c>
      <c r="J911" s="129" t="s">
        <v>23</v>
      </c>
      <c r="K911" s="129" t="s">
        <v>215</v>
      </c>
      <c r="L911" s="6" t="s">
        <v>367</v>
      </c>
      <c r="M911" s="93">
        <v>29</v>
      </c>
      <c r="N911" s="93">
        <v>63</v>
      </c>
      <c r="O911" s="6">
        <v>2</v>
      </c>
      <c r="P911" s="6">
        <v>3</v>
      </c>
      <c r="Q911" s="6">
        <v>212</v>
      </c>
      <c r="R911" s="98">
        <v>0.5</v>
      </c>
      <c r="S911" s="94">
        <f>((Table3.110[[#This Row],[Sample weight, g]]*'2.1. DM'!Q227)/100)*1000</f>
        <v>455.35446455354469</v>
      </c>
      <c r="T911" s="94">
        <f>'3.2 Digest'!W911</f>
        <v>257.95446455354465</v>
      </c>
      <c r="U911" s="117">
        <v>0.34791666666666665</v>
      </c>
      <c r="V911" s="155">
        <v>40.5</v>
      </c>
      <c r="W911" s="117">
        <v>0.67847222222222225</v>
      </c>
      <c r="X911" s="96">
        <v>87.5</v>
      </c>
      <c r="Y911" s="96">
        <v>14.4</v>
      </c>
      <c r="Z911" s="155">
        <v>40</v>
      </c>
      <c r="AA911" s="117">
        <v>0.35208333333333336</v>
      </c>
      <c r="AB911" s="155">
        <v>94</v>
      </c>
      <c r="AC911" s="155">
        <v>17.100000000000001</v>
      </c>
      <c r="AD911" s="96"/>
      <c r="AE911" s="94">
        <f>Table3.110[[#This Row],[Gas 8h, ml]]-Table3.110[[#This Row],[Gas 0h, ml]]</f>
        <v>47</v>
      </c>
      <c r="AF911" s="94">
        <f>Table3.110[[#This Row],[Gas 24h, ml]]-Table3.110[[#This Row],[V8 Push back, ml]]</f>
        <v>54</v>
      </c>
      <c r="AG911" s="94">
        <f>Table3.110[[#This Row],[GP 8h, ml]]-(AVERAGE(AE$862,AE$863,AE$912,AE$913,AE$932,AE$933))*$AG$8</f>
        <v>43.754975227659145</v>
      </c>
      <c r="AH911" s="94">
        <f>Table3.110[[#This Row],[GP 8-24h, ml]]-(AVERAGE(AF$862,AF$863,AF$912,AF$913,AF$932,AF$933))*$AG$8</f>
        <v>49.685592064046816</v>
      </c>
      <c r="AI911" s="94">
        <f>Table3.110[[#This Row],[Net gas 8-24h, ml]]+Table3.110[[#This Row],[Net gas 8h, ml]]</f>
        <v>93.44056729170596</v>
      </c>
      <c r="AJ911" s="94">
        <f>Table3.110[[#This Row],[Net gas 8h, ml]]*Table3.110[[#This Row],[CH4 8h %]]%</f>
        <v>6.3007164327829175</v>
      </c>
      <c r="AK911" s="94">
        <f>Table3.110[[#This Row],[Net gas 8-24h, ml]]*Table3.110[[#This Row],[CH4 24h, %]]%</f>
        <v>8.4962362429520066</v>
      </c>
      <c r="AL911" s="94">
        <f>Table3.110[[#This Row],[CH4 8-24h, ml]]+Table3.110[[#This Row],[CH4 8h, ml]]</f>
        <v>14.796952675734925</v>
      </c>
      <c r="AM911" s="94">
        <f>(Table3.110[[#This Row],[Net gas 24h, ml]]/Table3.110[[#This Row],[DM Incubated, mg]])*1000</f>
        <v>205.20402140631342</v>
      </c>
      <c r="AN911" s="94">
        <f>'3.2 Digest'!X911</f>
        <v>56.64915678524374</v>
      </c>
      <c r="AO911" s="94">
        <f>Table3.110[[#This Row],[Digested feed, mg]]/Table3.110[[#This Row],[Net gas 24h, ml]]</f>
        <v>2.7606260538664493</v>
      </c>
      <c r="AP911" s="94">
        <f>Table3.110[[#This Row],[CH4 8h, ml]]/Table3.110[[#This Row],[Net gas 8h, ml]]%</f>
        <v>14.400000000000002</v>
      </c>
      <c r="AQ911" s="94">
        <f>Table3.110[[#This Row],[CH4 24h, ml]]/Table3.110[[#This Row],[Net gas 24h, ml]]%</f>
        <v>15.835683691368539</v>
      </c>
      <c r="AR911" s="94">
        <f>Table3.110[[#This Row],[CH4 24h, ml]]/Table3.110[[#This Row],[DM Incubated, mg]]*1000</f>
        <v>32.495459751871969</v>
      </c>
      <c r="AS911" s="94">
        <f>Table3.110[[#This Row],[CH4 24h, ml]]/Table3.110[[#This Row],[Digested feed, mg]]*1000</f>
        <v>57.362653913917669</v>
      </c>
      <c r="AT911" s="94">
        <f>Table3.110[[#This Row],[CH4 24h, ml]]/'3.2 Digest'!AA911</f>
        <v>1.2915403280336448</v>
      </c>
      <c r="AU911" s="94">
        <f>((Table3.110[[#This Row],[CH4 24h, ml]]/28.9)*16.04)/Table3.110[[#This Row],[DM Incubated, mg]]*1000</f>
        <v>18.035542367474964</v>
      </c>
      <c r="AV911" s="94">
        <f>((Table3.110[[#This Row],[CH4 24h, ml]]/28.9)*16.04)/Table3.110[[#This Row],[Digested feed, mg]]*1000</f>
        <v>31.837265355683027</v>
      </c>
      <c r="AW911" s="64"/>
    </row>
    <row r="912" spans="2:49" x14ac:dyDescent="0.35">
      <c r="B912" s="90">
        <f t="shared" si="14"/>
        <v>902</v>
      </c>
      <c r="C912" s="140">
        <v>46057</v>
      </c>
      <c r="D912" s="6"/>
      <c r="E912" s="6" t="s">
        <v>541</v>
      </c>
      <c r="F912" s="6" t="s">
        <v>538</v>
      </c>
      <c r="G912" s="6" t="s">
        <v>542</v>
      </c>
      <c r="H912" s="6" t="s">
        <v>541</v>
      </c>
      <c r="I912" s="277"/>
      <c r="J912" s="278"/>
      <c r="K912" s="6"/>
      <c r="L912" s="6" t="s">
        <v>543</v>
      </c>
      <c r="M912" s="93">
        <v>29</v>
      </c>
      <c r="N912" s="93">
        <v>63</v>
      </c>
      <c r="O912" s="6">
        <v>2</v>
      </c>
      <c r="P912" s="129">
        <v>1</v>
      </c>
      <c r="Q912" s="6">
        <v>213</v>
      </c>
      <c r="R912" s="98"/>
      <c r="S912" s="94"/>
      <c r="T912" s="94"/>
      <c r="U912" s="153">
        <v>0.34791666666666665</v>
      </c>
      <c r="V912" s="154">
        <v>40</v>
      </c>
      <c r="W912" s="153">
        <v>0.67847222222222225</v>
      </c>
      <c r="X912" s="91">
        <v>44</v>
      </c>
      <c r="Y912" s="91"/>
      <c r="Z912" s="154"/>
      <c r="AA912" s="153"/>
      <c r="AB912" s="154"/>
      <c r="AC912" s="154"/>
      <c r="AD912" s="91"/>
      <c r="AE912" s="94">
        <f>Table3.110[[#This Row],[Gas 8h, ml]]-Table3.110[[#This Row],[Gas 0h, ml]]</f>
        <v>4</v>
      </c>
      <c r="AF912" s="94"/>
      <c r="AG912" s="94"/>
      <c r="AH912" s="94"/>
      <c r="AI912" s="94"/>
      <c r="AJ912" s="94"/>
      <c r="AK912" s="94"/>
      <c r="AL912" s="94"/>
      <c r="AM912" s="94"/>
      <c r="AN912" s="94"/>
      <c r="AO912" s="94"/>
      <c r="AP912" s="94"/>
      <c r="AQ912" s="94"/>
      <c r="AR912" s="94"/>
      <c r="AS912" s="94"/>
      <c r="AT912" s="94"/>
      <c r="AU912" s="94"/>
      <c r="AV912" s="94"/>
      <c r="AW912" s="64"/>
    </row>
    <row r="913" spans="2:49" x14ac:dyDescent="0.35">
      <c r="B913" s="90">
        <f t="shared" si="14"/>
        <v>903</v>
      </c>
      <c r="C913" s="140">
        <v>46057</v>
      </c>
      <c r="D913" s="6"/>
      <c r="E913" s="6" t="s">
        <v>541</v>
      </c>
      <c r="F913" s="6" t="s">
        <v>538</v>
      </c>
      <c r="G913" s="6" t="s">
        <v>542</v>
      </c>
      <c r="H913" s="6" t="s">
        <v>541</v>
      </c>
      <c r="I913" s="277"/>
      <c r="J913" s="278"/>
      <c r="K913" s="6"/>
      <c r="L913" s="6" t="s">
        <v>543</v>
      </c>
      <c r="M913" s="93">
        <v>29</v>
      </c>
      <c r="N913" s="93">
        <v>63</v>
      </c>
      <c r="O913" s="6">
        <v>2</v>
      </c>
      <c r="P913" s="129">
        <v>2</v>
      </c>
      <c r="Q913" s="6">
        <v>214</v>
      </c>
      <c r="R913" s="98"/>
      <c r="S913" s="94"/>
      <c r="T913" s="94"/>
      <c r="U913" s="117">
        <v>0.34861111111111109</v>
      </c>
      <c r="V913" s="155">
        <v>40.5</v>
      </c>
      <c r="W913" s="117">
        <v>0.6791666666666667</v>
      </c>
      <c r="X913" s="96">
        <v>43.5</v>
      </c>
      <c r="Y913" s="96"/>
      <c r="Z913" s="155"/>
      <c r="AA913" s="117"/>
      <c r="AB913" s="155"/>
      <c r="AC913" s="155"/>
      <c r="AD913" s="96"/>
      <c r="AE913" s="94">
        <f>Table3.110[[#This Row],[Gas 8h, ml]]-Table3.110[[#This Row],[Gas 0h, ml]]</f>
        <v>3</v>
      </c>
      <c r="AF913" s="94"/>
      <c r="AG913" s="94"/>
      <c r="AH913" s="94"/>
      <c r="AI913" s="94"/>
      <c r="AJ913" s="94"/>
      <c r="AK913" s="94"/>
      <c r="AL913" s="94"/>
      <c r="AM913" s="94"/>
      <c r="AN913" s="94"/>
      <c r="AO913" s="94"/>
      <c r="AP913" s="94"/>
      <c r="AQ913" s="94"/>
      <c r="AR913" s="94"/>
      <c r="AS913" s="94"/>
      <c r="AT913" s="94"/>
      <c r="AU913" s="94"/>
      <c r="AV913" s="94"/>
      <c r="AW913" s="64"/>
    </row>
    <row r="914" spans="2:49" x14ac:dyDescent="0.35">
      <c r="B914" s="90">
        <f t="shared" si="14"/>
        <v>904</v>
      </c>
      <c r="C914" s="140">
        <v>46057</v>
      </c>
      <c r="D914" s="6" t="s">
        <v>16</v>
      </c>
      <c r="E914" s="6" t="s">
        <v>370</v>
      </c>
      <c r="F914" s="6" t="s">
        <v>219</v>
      </c>
      <c r="G914" s="6" t="s">
        <v>365</v>
      </c>
      <c r="H914" s="6" t="s">
        <v>366</v>
      </c>
      <c r="I914" s="6" t="s">
        <v>22</v>
      </c>
      <c r="J914" s="129" t="s">
        <v>23</v>
      </c>
      <c r="K914" s="129" t="s">
        <v>215</v>
      </c>
      <c r="L914" s="6" t="s">
        <v>369</v>
      </c>
      <c r="M914" s="93">
        <v>29</v>
      </c>
      <c r="N914" s="93">
        <v>63</v>
      </c>
      <c r="O914" s="6">
        <v>2</v>
      </c>
      <c r="P914" s="129">
        <v>1</v>
      </c>
      <c r="Q914" s="6">
        <v>215</v>
      </c>
      <c r="R914" s="98">
        <v>0.50029999999999997</v>
      </c>
      <c r="S914" s="94">
        <f>((Table3.110[[#This Row],[Sample weight, g]]*'2.1. DM'!Q229)/100)*1000</f>
        <v>458.14788605697112</v>
      </c>
      <c r="T914" s="94">
        <f>'3.2 Digest'!W914</f>
        <v>206.04788605697112</v>
      </c>
      <c r="U914" s="153">
        <v>0.34861111111111109</v>
      </c>
      <c r="V914" s="154">
        <v>41.5</v>
      </c>
      <c r="W914" s="153">
        <v>0.6791666666666667</v>
      </c>
      <c r="X914" s="91">
        <v>98</v>
      </c>
      <c r="Y914" s="91">
        <v>14.4</v>
      </c>
      <c r="Z914" s="154">
        <v>40.5</v>
      </c>
      <c r="AA914" s="153">
        <v>0.3527777777777778</v>
      </c>
      <c r="AB914" s="154">
        <v>96</v>
      </c>
      <c r="AC914" s="154">
        <v>17.899999999999999</v>
      </c>
      <c r="AD914" s="91" t="s">
        <v>569</v>
      </c>
      <c r="AE914" s="94">
        <f>Table3.110[[#This Row],[Gas 8h, ml]]-Table3.110[[#This Row],[Gas 0h, ml]]</f>
        <v>56.5</v>
      </c>
      <c r="AF914" s="94">
        <f>Table3.110[[#This Row],[Gas 24h, ml]]-Table3.110[[#This Row],[V8 Push back, ml]]</f>
        <v>55.5</v>
      </c>
      <c r="AG914" s="94">
        <f>Table3.110[[#This Row],[GP 8h, ml]]-(AVERAGE(AE$862,AE$863,AE$912,AE$913,AE$932,AE$933))*$AG$8</f>
        <v>53.254975227659145</v>
      </c>
      <c r="AH914" s="94">
        <f>Table3.110[[#This Row],[GP 8-24h, ml]]-(AVERAGE(AF$862,AF$863,AF$912,AF$913,AF$932,AF$933))*$AG$8</f>
        <v>51.185592064046816</v>
      </c>
      <c r="AI914" s="94">
        <f>Table3.110[[#This Row],[Net gas 8-24h, ml]]+Table3.110[[#This Row],[Net gas 8h, ml]]</f>
        <v>104.44056729170596</v>
      </c>
      <c r="AJ914" s="94">
        <f>Table3.110[[#This Row],[Net gas 8h, ml]]*Table3.110[[#This Row],[CH4 8h %]]%</f>
        <v>7.6687164327829178</v>
      </c>
      <c r="AK914" s="94">
        <f>Table3.110[[#This Row],[Net gas 8-24h, ml]]*Table3.110[[#This Row],[CH4 24h, %]]%</f>
        <v>9.1622209794643794</v>
      </c>
      <c r="AL914" s="94">
        <f>Table3.110[[#This Row],[CH4 8-24h, ml]]+Table3.110[[#This Row],[CH4 8h, ml]]</f>
        <v>16.830937412247298</v>
      </c>
      <c r="AM914" s="94">
        <f>(Table3.110[[#This Row],[Net gas 24h, ml]]/Table3.110[[#This Row],[DM Incubated, mg]])*1000</f>
        <v>227.96256508039124</v>
      </c>
      <c r="AN914" s="94">
        <f>'3.2 Digest'!X914</f>
        <v>44.974099483534204</v>
      </c>
      <c r="AO914" s="94">
        <f>Table3.110[[#This Row],[Digested feed, mg]]/Table3.110[[#This Row],[Net gas 24h, ml]]</f>
        <v>1.9728721453750109</v>
      </c>
      <c r="AP914" s="94">
        <f>Table3.110[[#This Row],[CH4 8h, ml]]/Table3.110[[#This Row],[Net gas 8h, ml]]%</f>
        <v>14.400000000000002</v>
      </c>
      <c r="AQ914" s="94">
        <f>Table3.110[[#This Row],[CH4 24h, ml]]/Table3.110[[#This Row],[Net gas 24h, ml]]%</f>
        <v>16.115325537478107</v>
      </c>
      <c r="AR914" s="94">
        <f>Table3.110[[#This Row],[CH4 24h, ml]]/Table3.110[[#This Row],[DM Incubated, mg]]*1000</f>
        <v>36.736909466290442</v>
      </c>
      <c r="AS914" s="94">
        <f>Table3.110[[#This Row],[CH4 24h, ml]]/Table3.110[[#This Row],[Digested feed, mg]]*1000</f>
        <v>81.684591549721773</v>
      </c>
      <c r="AT914" s="94">
        <f>Table3.110[[#This Row],[CH4 24h, ml]]/'3.2 Digest'!AA914</f>
        <v>-12.034809885145737</v>
      </c>
      <c r="AU914" s="94">
        <f>((Table3.110[[#This Row],[CH4 24h, ml]]/28.9)*16.04)/Table3.110[[#This Row],[DM Incubated, mg]]*1000</f>
        <v>20.389620340460166</v>
      </c>
      <c r="AV914" s="94">
        <f>((Table3.110[[#This Row],[CH4 24h, ml]]/28.9)*16.04)/Table3.110[[#This Row],[Digested feed, mg]]*1000</f>
        <v>45.336361538323096</v>
      </c>
      <c r="AW914" s="64"/>
    </row>
    <row r="915" spans="2:49" x14ac:dyDescent="0.35">
      <c r="B915" s="90">
        <f t="shared" si="14"/>
        <v>905</v>
      </c>
      <c r="C915" s="140">
        <v>46057</v>
      </c>
      <c r="D915" s="6" t="s">
        <v>16</v>
      </c>
      <c r="E915" s="6" t="s">
        <v>370</v>
      </c>
      <c r="F915" s="6" t="s">
        <v>219</v>
      </c>
      <c r="G915" s="6" t="s">
        <v>365</v>
      </c>
      <c r="H915" s="6" t="s">
        <v>366</v>
      </c>
      <c r="I915" s="6" t="s">
        <v>22</v>
      </c>
      <c r="J915" s="129" t="s">
        <v>23</v>
      </c>
      <c r="K915" s="129" t="s">
        <v>215</v>
      </c>
      <c r="L915" s="6" t="s">
        <v>369</v>
      </c>
      <c r="M915" s="93">
        <v>29</v>
      </c>
      <c r="N915" s="93">
        <v>63</v>
      </c>
      <c r="O915" s="6">
        <v>2</v>
      </c>
      <c r="P915" s="129">
        <v>2</v>
      </c>
      <c r="Q915" s="6">
        <v>216</v>
      </c>
      <c r="R915" s="98">
        <v>0.50029999999999997</v>
      </c>
      <c r="S915" s="94">
        <f>((Table3.110[[#This Row],[Sample weight, g]]*'2.1. DM'!Q229)/100)*1000</f>
        <v>458.14788605697112</v>
      </c>
      <c r="T915" s="94">
        <f>'3.2 Digest'!W915</f>
        <v>272.04788605697115</v>
      </c>
      <c r="U915" s="117">
        <v>0.34861111111111109</v>
      </c>
      <c r="V915" s="155">
        <v>40.5</v>
      </c>
      <c r="W915" s="117">
        <v>0.6791666666666667</v>
      </c>
      <c r="X915" s="96">
        <v>96.5</v>
      </c>
      <c r="Y915" s="96">
        <v>14.6</v>
      </c>
      <c r="Z915" s="155">
        <v>40</v>
      </c>
      <c r="AA915" s="117">
        <v>0.35347222222222224</v>
      </c>
      <c r="AB915" s="155">
        <v>99</v>
      </c>
      <c r="AC915" s="155">
        <v>17.8</v>
      </c>
      <c r="AD915" s="96"/>
      <c r="AE915" s="94">
        <f>Table3.110[[#This Row],[Gas 8h, ml]]-Table3.110[[#This Row],[Gas 0h, ml]]</f>
        <v>56</v>
      </c>
      <c r="AF915" s="94">
        <f>Table3.110[[#This Row],[Gas 24h, ml]]-Table3.110[[#This Row],[V8 Push back, ml]]</f>
        <v>59</v>
      </c>
      <c r="AG915" s="94">
        <f>Table3.110[[#This Row],[GP 8h, ml]]-(AVERAGE(AE$862,AE$863,AE$912,AE$913,AE$932,AE$933))*$AG$8</f>
        <v>52.754975227659145</v>
      </c>
      <c r="AH915" s="94">
        <f>Table3.110[[#This Row],[GP 8-24h, ml]]-(AVERAGE(AF$862,AF$863,AF$912,AF$913,AF$932,AF$933))*$AG$8</f>
        <v>54.685592064046816</v>
      </c>
      <c r="AI915" s="94">
        <f>Table3.110[[#This Row],[Net gas 8-24h, ml]]+Table3.110[[#This Row],[Net gas 8h, ml]]</f>
        <v>107.44056729170596</v>
      </c>
      <c r="AJ915" s="94">
        <f>Table3.110[[#This Row],[Net gas 8h, ml]]*Table3.110[[#This Row],[CH4 8h %]]%</f>
        <v>7.7022263832382345</v>
      </c>
      <c r="AK915" s="94">
        <f>Table3.110[[#This Row],[Net gas 8-24h, ml]]*Table3.110[[#This Row],[CH4 24h, %]]%</f>
        <v>9.7340353874003345</v>
      </c>
      <c r="AL915" s="94">
        <f>Table3.110[[#This Row],[CH4 8-24h, ml]]+Table3.110[[#This Row],[CH4 8h, ml]]</f>
        <v>17.43626177063857</v>
      </c>
      <c r="AM915" s="94">
        <f>(Table3.110[[#This Row],[Net gas 24h, ml]]/Table3.110[[#This Row],[DM Incubated, mg]])*1000</f>
        <v>234.51066906886399</v>
      </c>
      <c r="AN915" s="94">
        <f>'3.2 Digest'!X915</f>
        <v>59.37992825817421</v>
      </c>
      <c r="AO915" s="94">
        <f>Table3.110[[#This Row],[Digested feed, mg]]/Table3.110[[#This Row],[Net gas 24h, ml]]</f>
        <v>2.5320779005042753</v>
      </c>
      <c r="AP915" s="94">
        <f>Table3.110[[#This Row],[CH4 8h, ml]]/Table3.110[[#This Row],[Net gas 8h, ml]]%</f>
        <v>14.6</v>
      </c>
      <c r="AQ915" s="94">
        <f>Table3.110[[#This Row],[CH4 24h, ml]]/Table3.110[[#This Row],[Net gas 24h, ml]]%</f>
        <v>16.228750657373517</v>
      </c>
      <c r="AR915" s="94">
        <f>Table3.110[[#This Row],[CH4 24h, ml]]/Table3.110[[#This Row],[DM Incubated, mg]]*1000</f>
        <v>38.058151748124303</v>
      </c>
      <c r="AS915" s="94">
        <f>Table3.110[[#This Row],[CH4 24h, ml]]/Table3.110[[#This Row],[Digested feed, mg]]*1000</f>
        <v>64.092619955102833</v>
      </c>
      <c r="AT915" s="94">
        <f>Table3.110[[#This Row],[CH4 24h, ml]]/'3.2 Digest'!AA915</f>
        <v>0.69335413190461137</v>
      </c>
      <c r="AU915" s="94">
        <f>((Table3.110[[#This Row],[CH4 24h, ml]]/28.9)*16.04)/Table3.110[[#This Row],[DM Incubated, mg]]*1000</f>
        <v>21.122932665740965</v>
      </c>
      <c r="AV915" s="94">
        <f>((Table3.110[[#This Row],[CH4 24h, ml]]/28.9)*16.04)/Table3.110[[#This Row],[Digested feed, mg]]*1000</f>
        <v>35.572512943939429</v>
      </c>
      <c r="AW915" s="64"/>
    </row>
    <row r="916" spans="2:49" x14ac:dyDescent="0.35">
      <c r="B916" s="90">
        <f t="shared" si="14"/>
        <v>906</v>
      </c>
      <c r="C916" s="140">
        <v>46057</v>
      </c>
      <c r="D916" s="6" t="s">
        <v>16</v>
      </c>
      <c r="E916" s="6" t="s">
        <v>370</v>
      </c>
      <c r="F916" s="6" t="s">
        <v>219</v>
      </c>
      <c r="G916" s="6" t="s">
        <v>365</v>
      </c>
      <c r="H916" s="6" t="s">
        <v>366</v>
      </c>
      <c r="I916" s="6" t="s">
        <v>22</v>
      </c>
      <c r="J916" s="129" t="s">
        <v>23</v>
      </c>
      <c r="K916" s="129" t="s">
        <v>215</v>
      </c>
      <c r="L916" s="6" t="s">
        <v>369</v>
      </c>
      <c r="M916" s="93">
        <v>29</v>
      </c>
      <c r="N916" s="93">
        <v>63</v>
      </c>
      <c r="O916" s="6">
        <v>2</v>
      </c>
      <c r="P916" s="129">
        <v>3</v>
      </c>
      <c r="Q916" s="6">
        <v>217</v>
      </c>
      <c r="R916" s="98">
        <v>0.50039999999999996</v>
      </c>
      <c r="S916" s="94">
        <f>((Table3.110[[#This Row],[Sample weight, g]]*'2.1. DM'!Q229)/100)*1000</f>
        <v>458.23946068940307</v>
      </c>
      <c r="T916" s="94">
        <f>'3.2 Digest'!W916</f>
        <v>231.73946068940305</v>
      </c>
      <c r="U916" s="153">
        <v>0.34930555555555554</v>
      </c>
      <c r="V916" s="154">
        <v>41</v>
      </c>
      <c r="W916" s="153">
        <v>0.67986111111111114</v>
      </c>
      <c r="X916" s="91">
        <v>94.5</v>
      </c>
      <c r="Y916" s="91">
        <v>14.4</v>
      </c>
      <c r="Z916" s="154">
        <v>40</v>
      </c>
      <c r="AA916" s="153">
        <v>0.35347222222222224</v>
      </c>
      <c r="AB916" s="154">
        <v>89</v>
      </c>
      <c r="AC916" s="154">
        <v>18.100000000000001</v>
      </c>
      <c r="AD916" s="91"/>
      <c r="AE916" s="94">
        <f>Table3.110[[#This Row],[Gas 8h, ml]]-Table3.110[[#This Row],[Gas 0h, ml]]</f>
        <v>53.5</v>
      </c>
      <c r="AF916" s="94">
        <f>Table3.110[[#This Row],[Gas 24h, ml]]-Table3.110[[#This Row],[V8 Push back, ml]]</f>
        <v>49</v>
      </c>
      <c r="AG916" s="94">
        <f>Table3.110[[#This Row],[GP 8h, ml]]-(AVERAGE(AE$862,AE$863,AE$912,AE$913,AE$932,AE$933))*$AG$8</f>
        <v>50.254975227659145</v>
      </c>
      <c r="AH916" s="94">
        <f>Table3.110[[#This Row],[GP 8-24h, ml]]-(AVERAGE(AF$862,AF$863,AF$912,AF$913,AF$932,AF$933))*$AG$8</f>
        <v>44.685592064046816</v>
      </c>
      <c r="AI916" s="94">
        <f>Table3.110[[#This Row],[Net gas 8-24h, ml]]+Table3.110[[#This Row],[Net gas 8h, ml]]</f>
        <v>94.94056729170596</v>
      </c>
      <c r="AJ916" s="94">
        <f>Table3.110[[#This Row],[Net gas 8h, ml]]*Table3.110[[#This Row],[CH4 8h %]]%</f>
        <v>7.2367164327829174</v>
      </c>
      <c r="AK916" s="94">
        <f>Table3.110[[#This Row],[Net gas 8-24h, ml]]*Table3.110[[#This Row],[CH4 24h, %]]%</f>
        <v>8.0880921635924743</v>
      </c>
      <c r="AL916" s="94">
        <f>Table3.110[[#This Row],[CH4 8-24h, ml]]+Table3.110[[#This Row],[CH4 8h, ml]]</f>
        <v>15.324808596375391</v>
      </c>
      <c r="AM916" s="94">
        <f>(Table3.110[[#This Row],[Net gas 24h, ml]]/Table3.110[[#This Row],[DM Incubated, mg]])*1000</f>
        <v>207.18549019953812</v>
      </c>
      <c r="AN916" s="94">
        <f>'3.2 Digest'!X916</f>
        <v>50.571694620266925</v>
      </c>
      <c r="AO916" s="94">
        <f>Table3.110[[#This Row],[Digested feed, mg]]/Table3.110[[#This Row],[Net gas 24h, ml]]</f>
        <v>2.4408897829457974</v>
      </c>
      <c r="AP916" s="94">
        <f>Table3.110[[#This Row],[CH4 8h, ml]]/Table3.110[[#This Row],[Net gas 8h, ml]]%</f>
        <v>14.4</v>
      </c>
      <c r="AQ916" s="94">
        <f>Table3.110[[#This Row],[CH4 24h, ml]]/Table3.110[[#This Row],[Net gas 24h, ml]]%</f>
        <v>16.141475697411565</v>
      </c>
      <c r="AR916" s="94">
        <f>Table3.110[[#This Row],[CH4 24h, ml]]/Table3.110[[#This Row],[DM Incubated, mg]]*1000</f>
        <v>33.44279554912147</v>
      </c>
      <c r="AS916" s="94">
        <f>Table3.110[[#This Row],[CH4 24h, ml]]/Table3.110[[#This Row],[Digested feed, mg]]*1000</f>
        <v>66.129473809879116</v>
      </c>
      <c r="AT916" s="94">
        <f>Table3.110[[#This Row],[CH4 24h, ml]]/'3.2 Digest'!AA916</f>
        <v>1.7187213884578412</v>
      </c>
      <c r="AU916" s="94">
        <f>((Table3.110[[#This Row],[CH4 24h, ml]]/28.9)*16.04)/Table3.110[[#This Row],[DM Incubated, mg]]*1000</f>
        <v>18.561330124841117</v>
      </c>
      <c r="AV916" s="94">
        <f>((Table3.110[[#This Row],[CH4 24h, ml]]/28.9)*16.04)/Table3.110[[#This Row],[Digested feed, mg]]*1000</f>
        <v>36.703002073026333</v>
      </c>
      <c r="AW916" s="64"/>
    </row>
    <row r="917" spans="2:49" x14ac:dyDescent="0.35">
      <c r="B917" s="90">
        <f t="shared" si="14"/>
        <v>907</v>
      </c>
      <c r="C917" s="140">
        <v>46057</v>
      </c>
      <c r="D917" s="6" t="s">
        <v>16</v>
      </c>
      <c r="E917" s="6" t="s">
        <v>372</v>
      </c>
      <c r="F917" s="6" t="s">
        <v>219</v>
      </c>
      <c r="G917" s="6" t="s">
        <v>220</v>
      </c>
      <c r="H917" s="6" t="s">
        <v>221</v>
      </c>
      <c r="I917" s="6" t="s">
        <v>22</v>
      </c>
      <c r="J917" s="129" t="s">
        <v>23</v>
      </c>
      <c r="K917" s="129" t="s">
        <v>215</v>
      </c>
      <c r="L917" s="6" t="s">
        <v>371</v>
      </c>
      <c r="M917" s="93">
        <v>29</v>
      </c>
      <c r="N917" s="93">
        <v>63</v>
      </c>
      <c r="O917" s="6">
        <v>2</v>
      </c>
      <c r="P917" s="129">
        <v>1</v>
      </c>
      <c r="Q917" s="6">
        <v>218</v>
      </c>
      <c r="R917" s="98">
        <v>0.50019999999999998</v>
      </c>
      <c r="S917" s="94">
        <f>((Table3.110[[#This Row],[Sample weight, g]]*'2.1. DM'!Q231)/100)*1000</f>
        <v>447.89214433130559</v>
      </c>
      <c r="T917" s="94">
        <f>'3.2 Digest'!W917</f>
        <v>163.89214433130564</v>
      </c>
      <c r="U917" s="117">
        <v>0.35</v>
      </c>
      <c r="V917" s="155">
        <v>41</v>
      </c>
      <c r="W917" s="117">
        <v>0.67986111111111114</v>
      </c>
      <c r="X917" s="96">
        <v>83</v>
      </c>
      <c r="Y917" s="96">
        <v>14.4</v>
      </c>
      <c r="Z917" s="155">
        <v>39.5</v>
      </c>
      <c r="AA917" s="117">
        <v>0.35347222222222224</v>
      </c>
      <c r="AB917" s="155">
        <v>88</v>
      </c>
      <c r="AC917" s="155">
        <v>16.399999999999999</v>
      </c>
      <c r="AD917" s="96"/>
      <c r="AE917" s="94">
        <f>Table3.110[[#This Row],[Gas 8h, ml]]-Table3.110[[#This Row],[Gas 0h, ml]]</f>
        <v>42</v>
      </c>
      <c r="AF917" s="94">
        <f>Table3.110[[#This Row],[Gas 24h, ml]]-Table3.110[[#This Row],[V8 Push back, ml]]</f>
        <v>48.5</v>
      </c>
      <c r="AG917" s="94">
        <f>Table3.110[[#This Row],[GP 8h, ml]]-(AVERAGE(AE$862,AE$863,AE$912,AE$913,AE$932,AE$933))*$AG$8</f>
        <v>38.754975227659145</v>
      </c>
      <c r="AH917" s="94">
        <f>Table3.110[[#This Row],[GP 8-24h, ml]]-(AVERAGE(AF$862,AF$863,AF$912,AF$913,AF$932,AF$933))*$AG$8</f>
        <v>44.185592064046816</v>
      </c>
      <c r="AI917" s="94">
        <f>Table3.110[[#This Row],[Net gas 8-24h, ml]]+Table3.110[[#This Row],[Net gas 8h, ml]]</f>
        <v>82.94056729170596</v>
      </c>
      <c r="AJ917" s="94">
        <f>Table3.110[[#This Row],[Net gas 8h, ml]]*Table3.110[[#This Row],[CH4 8h %]]%</f>
        <v>5.5807164327829177</v>
      </c>
      <c r="AK917" s="94">
        <f>Table3.110[[#This Row],[Net gas 8-24h, ml]]*Table3.110[[#This Row],[CH4 24h, %]]%</f>
        <v>7.2464370985036766</v>
      </c>
      <c r="AL917" s="94">
        <f>Table3.110[[#This Row],[CH4 8-24h, ml]]+Table3.110[[#This Row],[CH4 8h, ml]]</f>
        <v>12.827153531286594</v>
      </c>
      <c r="AM917" s="94">
        <f>(Table3.110[[#This Row],[Net gas 24h, ml]]/Table3.110[[#This Row],[DM Incubated, mg]])*1000</f>
        <v>185.17977674186415</v>
      </c>
      <c r="AN917" s="94">
        <f>'3.2 Digest'!X917</f>
        <v>36.591877398518221</v>
      </c>
      <c r="AO917" s="94">
        <f>Table3.110[[#This Row],[Digested feed, mg]]/Table3.110[[#This Row],[Net gas 24h, ml]]</f>
        <v>1.9760190903311416</v>
      </c>
      <c r="AP917" s="94">
        <f>Table3.110[[#This Row],[CH4 8h, ml]]/Table3.110[[#This Row],[Net gas 8h, ml]]%</f>
        <v>14.400000000000002</v>
      </c>
      <c r="AQ917" s="94">
        <f>Table3.110[[#This Row],[CH4 24h, ml]]/Table3.110[[#This Row],[Net gas 24h, ml]]%</f>
        <v>15.465476003043094</v>
      </c>
      <c r="AR917" s="94">
        <f>Table3.110[[#This Row],[CH4 24h, ml]]/Table3.110[[#This Row],[DM Incubated, mg]]*1000</f>
        <v>28.638933934501775</v>
      </c>
      <c r="AS917" s="94">
        <f>Table3.110[[#This Row],[CH4 24h, ml]]/Table3.110[[#This Row],[Digested feed, mg]]*1000</f>
        <v>78.265822828925138</v>
      </c>
      <c r="AT917" s="94">
        <f>Table3.110[[#This Row],[CH4 24h, ml]]/'3.2 Digest'!AA917</f>
        <v>-0.3075596428338298</v>
      </c>
      <c r="AU917" s="94">
        <f>((Table3.110[[#This Row],[CH4 24h, ml]]/28.9)*16.04)/Table3.110[[#This Row],[DM Incubated, mg]]*1000</f>
        <v>15.895103816934549</v>
      </c>
      <c r="AV917" s="94">
        <f>((Table3.110[[#This Row],[CH4 24h, ml]]/28.9)*16.04)/Table3.110[[#This Row],[Digested feed, mg]]*1000</f>
        <v>43.438885750033187</v>
      </c>
      <c r="AW917" s="64"/>
    </row>
    <row r="918" spans="2:49" x14ac:dyDescent="0.35">
      <c r="B918" s="90">
        <f t="shared" si="14"/>
        <v>908</v>
      </c>
      <c r="C918" s="140">
        <v>46057</v>
      </c>
      <c r="D918" s="6" t="s">
        <v>16</v>
      </c>
      <c r="E918" s="6" t="s">
        <v>372</v>
      </c>
      <c r="F918" s="6" t="s">
        <v>219</v>
      </c>
      <c r="G918" s="6" t="s">
        <v>220</v>
      </c>
      <c r="H918" s="6" t="s">
        <v>221</v>
      </c>
      <c r="I918" s="6" t="s">
        <v>22</v>
      </c>
      <c r="J918" s="129" t="s">
        <v>23</v>
      </c>
      <c r="K918" s="129" t="s">
        <v>215</v>
      </c>
      <c r="L918" s="6" t="s">
        <v>371</v>
      </c>
      <c r="M918" s="93">
        <v>29</v>
      </c>
      <c r="N918" s="93">
        <v>63</v>
      </c>
      <c r="O918" s="6">
        <v>2</v>
      </c>
      <c r="P918" s="129">
        <v>2</v>
      </c>
      <c r="Q918" s="6">
        <v>219</v>
      </c>
      <c r="R918" s="98">
        <v>0.50029999999999997</v>
      </c>
      <c r="S918" s="94">
        <f>((Table3.110[[#This Row],[Sample weight, g]]*'2.1. DM'!Q231)/100)*1000</f>
        <v>447.9816869431271</v>
      </c>
      <c r="T918" s="94">
        <f>'3.2 Digest'!W918</f>
        <v>247.78168694312706</v>
      </c>
      <c r="U918" s="153">
        <v>0.35</v>
      </c>
      <c r="V918" s="154">
        <v>41</v>
      </c>
      <c r="W918" s="153">
        <v>0.68055555555555558</v>
      </c>
      <c r="X918" s="91">
        <v>82.5</v>
      </c>
      <c r="Y918" s="91">
        <v>14.7</v>
      </c>
      <c r="Z918" s="154">
        <v>40</v>
      </c>
      <c r="AA918" s="153">
        <v>0.35416666666666669</v>
      </c>
      <c r="AB918" s="154">
        <v>95</v>
      </c>
      <c r="AC918" s="154">
        <v>16.7</v>
      </c>
      <c r="AD918" s="91"/>
      <c r="AE918" s="94">
        <f>Table3.110[[#This Row],[Gas 8h, ml]]-Table3.110[[#This Row],[Gas 0h, ml]]</f>
        <v>41.5</v>
      </c>
      <c r="AF918" s="94">
        <f>Table3.110[[#This Row],[Gas 24h, ml]]-Table3.110[[#This Row],[V8 Push back, ml]]</f>
        <v>55</v>
      </c>
      <c r="AG918" s="94">
        <f>Table3.110[[#This Row],[GP 8h, ml]]-(AVERAGE(AE$862,AE$863,AE$912,AE$913,AE$932,AE$933))*$AG$8</f>
        <v>38.254975227659145</v>
      </c>
      <c r="AH918" s="94">
        <f>Table3.110[[#This Row],[GP 8-24h, ml]]-(AVERAGE(AF$862,AF$863,AF$912,AF$913,AF$932,AF$933))*$AG$8</f>
        <v>50.685592064046816</v>
      </c>
      <c r="AI918" s="94">
        <f>Table3.110[[#This Row],[Net gas 8-24h, ml]]+Table3.110[[#This Row],[Net gas 8h, ml]]</f>
        <v>88.94056729170596</v>
      </c>
      <c r="AJ918" s="94">
        <f>Table3.110[[#This Row],[Net gas 8h, ml]]*Table3.110[[#This Row],[CH4 8h %]]%</f>
        <v>5.6234813584658943</v>
      </c>
      <c r="AK918" s="94">
        <f>Table3.110[[#This Row],[Net gas 8-24h, ml]]*Table3.110[[#This Row],[CH4 24h, %]]%</f>
        <v>8.4644938746958172</v>
      </c>
      <c r="AL918" s="94">
        <f>Table3.110[[#This Row],[CH4 8-24h, ml]]+Table3.110[[#This Row],[CH4 8h, ml]]</f>
        <v>14.087975233161711</v>
      </c>
      <c r="AM918" s="94">
        <f>(Table3.110[[#This Row],[Net gas 24h, ml]]/Table3.110[[#This Row],[DM Incubated, mg]])*1000</f>
        <v>198.5361676246317</v>
      </c>
      <c r="AN918" s="94">
        <f>'3.2 Digest'!X918</f>
        <v>55.310673218341591</v>
      </c>
      <c r="AO918" s="94">
        <f>Table3.110[[#This Row],[Digested feed, mg]]/Table3.110[[#This Row],[Net gas 24h, ml]]</f>
        <v>2.7859242917852809</v>
      </c>
      <c r="AP918" s="94">
        <f>Table3.110[[#This Row],[CH4 8h, ml]]/Table3.110[[#This Row],[Net gas 8h, ml]]%</f>
        <v>14.700000000000001</v>
      </c>
      <c r="AQ918" s="94">
        <f>Table3.110[[#This Row],[CH4 24h, ml]]/Table3.110[[#This Row],[Net gas 24h, ml]]%</f>
        <v>15.839763183605719</v>
      </c>
      <c r="AR918" s="94">
        <f>Table3.110[[#This Row],[CH4 24h, ml]]/Table3.110[[#This Row],[DM Incubated, mg]]*1000</f>
        <v>31.447658785548143</v>
      </c>
      <c r="AS918" s="94">
        <f>Table3.110[[#This Row],[CH4 24h, ml]]/Table3.110[[#This Row],[Digested feed, mg]]*1000</f>
        <v>56.856402129489503</v>
      </c>
      <c r="AT918" s="94">
        <f>Table3.110[[#This Row],[CH4 24h, ml]]/'3.2 Digest'!AA918</f>
        <v>110.88265475678588</v>
      </c>
      <c r="AU918" s="94">
        <f>((Table3.110[[#This Row],[CH4 24h, ml]]/28.9)*16.04)/Table3.110[[#This Row],[DM Incubated, mg]]*1000</f>
        <v>17.453994703120841</v>
      </c>
      <c r="AV918" s="94">
        <f>((Table3.110[[#This Row],[CH4 24h, ml]]/28.9)*16.04)/Table3.110[[#This Row],[Digested feed, mg]]*1000</f>
        <v>31.556286856644</v>
      </c>
      <c r="AW918" s="64"/>
    </row>
    <row r="919" spans="2:49" x14ac:dyDescent="0.35">
      <c r="B919" s="90">
        <f t="shared" si="14"/>
        <v>909</v>
      </c>
      <c r="C919" s="140">
        <v>46057</v>
      </c>
      <c r="D919" s="6" t="s">
        <v>16</v>
      </c>
      <c r="E919" s="6" t="s">
        <v>372</v>
      </c>
      <c r="F919" s="6" t="s">
        <v>219</v>
      </c>
      <c r="G919" s="6" t="s">
        <v>220</v>
      </c>
      <c r="H919" s="6" t="s">
        <v>221</v>
      </c>
      <c r="I919" s="6" t="s">
        <v>22</v>
      </c>
      <c r="J919" s="129" t="s">
        <v>23</v>
      </c>
      <c r="K919" s="129" t="s">
        <v>215</v>
      </c>
      <c r="L919" s="6" t="s">
        <v>371</v>
      </c>
      <c r="M919" s="93">
        <v>29</v>
      </c>
      <c r="N919" s="93">
        <v>63</v>
      </c>
      <c r="O919" s="6">
        <v>2</v>
      </c>
      <c r="P919" s="129">
        <v>3</v>
      </c>
      <c r="Q919" s="6">
        <v>220</v>
      </c>
      <c r="R919" s="98">
        <v>0.50039999999999996</v>
      </c>
      <c r="S919" s="94">
        <f>((Table3.110[[#This Row],[Sample weight, g]]*'2.1. DM'!Q231)/100)*1000</f>
        <v>448.07122955494873</v>
      </c>
      <c r="T919" s="94">
        <f>'3.2 Digest'!W919</f>
        <v>182.37122955494868</v>
      </c>
      <c r="U919" s="117">
        <v>0.35</v>
      </c>
      <c r="V919" s="155">
        <v>41</v>
      </c>
      <c r="W919" s="117">
        <v>0.68055555555555558</v>
      </c>
      <c r="X919" s="96">
        <v>80.5</v>
      </c>
      <c r="Y919" s="96">
        <v>14.6</v>
      </c>
      <c r="Z919" s="155">
        <v>40</v>
      </c>
      <c r="AA919" s="117">
        <v>0.35416666666666669</v>
      </c>
      <c r="AB919" s="155">
        <v>90</v>
      </c>
      <c r="AC919" s="155">
        <v>16.7</v>
      </c>
      <c r="AD919" s="96"/>
      <c r="AE919" s="94">
        <f>Table3.110[[#This Row],[Gas 8h, ml]]-Table3.110[[#This Row],[Gas 0h, ml]]</f>
        <v>39.5</v>
      </c>
      <c r="AF919" s="94">
        <f>Table3.110[[#This Row],[Gas 24h, ml]]-Table3.110[[#This Row],[V8 Push back, ml]]</f>
        <v>50</v>
      </c>
      <c r="AG919" s="94">
        <f>Table3.110[[#This Row],[GP 8h, ml]]-(AVERAGE(AE$862,AE$863,AE$912,AE$913,AE$932,AE$933))*$AG$8</f>
        <v>36.254975227659145</v>
      </c>
      <c r="AH919" s="94">
        <f>Table3.110[[#This Row],[GP 8-24h, ml]]-(AVERAGE(AF$862,AF$863,AF$912,AF$913,AF$932,AF$933))*$AG$8</f>
        <v>45.685592064046816</v>
      </c>
      <c r="AI919" s="94">
        <f>Table3.110[[#This Row],[Net gas 8-24h, ml]]+Table3.110[[#This Row],[Net gas 8h, ml]]</f>
        <v>81.94056729170596</v>
      </c>
      <c r="AJ919" s="94">
        <f>Table3.110[[#This Row],[Net gas 8h, ml]]*Table3.110[[#This Row],[CH4 8h %]]%</f>
        <v>5.2932263832382347</v>
      </c>
      <c r="AK919" s="94">
        <f>Table3.110[[#This Row],[Net gas 8-24h, ml]]*Table3.110[[#This Row],[CH4 24h, %]]%</f>
        <v>7.6294938746958172</v>
      </c>
      <c r="AL919" s="94">
        <f>Table3.110[[#This Row],[CH4 8-24h, ml]]+Table3.110[[#This Row],[CH4 8h, ml]]</f>
        <v>12.922720257934053</v>
      </c>
      <c r="AM919" s="94">
        <f>(Table3.110[[#This Row],[Net gas 24h, ml]]/Table3.110[[#This Row],[DM Incubated, mg]])*1000</f>
        <v>182.87397602629889</v>
      </c>
      <c r="AN919" s="94">
        <f>'3.2 Digest'!X919</f>
        <v>40.701392440681978</v>
      </c>
      <c r="AO919" s="94">
        <f>Table3.110[[#This Row],[Digested feed, mg]]/Table3.110[[#This Row],[Net gas 24h, ml]]</f>
        <v>2.2256525135554965</v>
      </c>
      <c r="AP919" s="94">
        <f>Table3.110[[#This Row],[CH4 8h, ml]]/Table3.110[[#This Row],[Net gas 8h, ml]]%</f>
        <v>14.599999999999998</v>
      </c>
      <c r="AQ919" s="94">
        <f>Table3.110[[#This Row],[CH4 24h, ml]]/Table3.110[[#This Row],[Net gas 24h, ml]]%</f>
        <v>15.770845486008849</v>
      </c>
      <c r="AR919" s="94">
        <f>Table3.110[[#This Row],[CH4 24h, ml]]/Table3.110[[#This Row],[DM Incubated, mg]]*1000</f>
        <v>28.84077219322846</v>
      </c>
      <c r="AS919" s="94">
        <f>Table3.110[[#This Row],[CH4 24h, ml]]/Table3.110[[#This Row],[Digested feed, mg]]*1000</f>
        <v>70.859423876617669</v>
      </c>
      <c r="AT919" s="94">
        <f>Table3.110[[#This Row],[CH4 24h, ml]]/'3.2 Digest'!AA919</f>
        <v>-0.39735107211807785</v>
      </c>
      <c r="AU919" s="94">
        <f>((Table3.110[[#This Row],[CH4 24h, ml]]/28.9)*16.04)/Table3.110[[#This Row],[DM Incubated, mg]]*1000</f>
        <v>16.007127542539255</v>
      </c>
      <c r="AV919" s="94">
        <f>((Table3.110[[#This Row],[CH4 24h, ml]]/28.9)*16.04)/Table3.110[[#This Row],[Digested feed, mg]]*1000</f>
        <v>39.328206193112365</v>
      </c>
      <c r="AW919" s="64"/>
    </row>
    <row r="920" spans="2:49" x14ac:dyDescent="0.35">
      <c r="B920" s="90">
        <f t="shared" si="14"/>
        <v>910</v>
      </c>
      <c r="C920" s="140">
        <v>46057</v>
      </c>
      <c r="D920" s="6" t="s">
        <v>16</v>
      </c>
      <c r="E920" s="6" t="s">
        <v>374</v>
      </c>
      <c r="F920" s="6" t="s">
        <v>219</v>
      </c>
      <c r="G920" s="6" t="s">
        <v>253</v>
      </c>
      <c r="H920" s="6" t="s">
        <v>254</v>
      </c>
      <c r="I920" s="6" t="s">
        <v>22</v>
      </c>
      <c r="J920" s="129" t="s">
        <v>23</v>
      </c>
      <c r="K920" s="129" t="s">
        <v>215</v>
      </c>
      <c r="L920" s="6" t="s">
        <v>373</v>
      </c>
      <c r="M920" s="93">
        <v>29</v>
      </c>
      <c r="N920" s="93">
        <v>63</v>
      </c>
      <c r="O920" s="6">
        <v>2</v>
      </c>
      <c r="P920" s="129">
        <v>1</v>
      </c>
      <c r="Q920" s="6">
        <v>221</v>
      </c>
      <c r="R920" s="98">
        <v>0.50039999999999996</v>
      </c>
      <c r="S920" s="94">
        <f>((Table3.110[[#This Row],[Sample weight, g]]*'2.1. DM'!Q233)/100)*1000</f>
        <v>452.7738464303539</v>
      </c>
      <c r="T920" s="94">
        <f>'3.2 Digest'!W920</f>
        <v>186.57384643035391</v>
      </c>
      <c r="U920" s="153">
        <v>0.35</v>
      </c>
      <c r="V920" s="154">
        <v>41</v>
      </c>
      <c r="W920" s="153">
        <v>0.68125000000000002</v>
      </c>
      <c r="X920" s="91">
        <v>92.5</v>
      </c>
      <c r="Y920" s="91">
        <v>14.6</v>
      </c>
      <c r="Z920" s="154">
        <v>40.5</v>
      </c>
      <c r="AA920" s="153">
        <v>0.35486111111111113</v>
      </c>
      <c r="AB920" s="154">
        <v>88</v>
      </c>
      <c r="AC920" s="154">
        <v>17.100000000000001</v>
      </c>
      <c r="AD920" s="91"/>
      <c r="AE920" s="94">
        <f>Table3.110[[#This Row],[Gas 8h, ml]]-Table3.110[[#This Row],[Gas 0h, ml]]</f>
        <v>51.5</v>
      </c>
      <c r="AF920" s="94">
        <f>Table3.110[[#This Row],[Gas 24h, ml]]-Table3.110[[#This Row],[V8 Push back, ml]]</f>
        <v>47.5</v>
      </c>
      <c r="AG920" s="94">
        <f>Table3.110[[#This Row],[GP 8h, ml]]-(AVERAGE(AE$862,AE$863,AE$912,AE$913,AE$932,AE$933))*$AG$8</f>
        <v>48.254975227659145</v>
      </c>
      <c r="AH920" s="94">
        <f>Table3.110[[#This Row],[GP 8-24h, ml]]-(AVERAGE(AF$862,AF$863,AF$912,AF$913,AF$932,AF$933))*$AG$8</f>
        <v>43.185592064046816</v>
      </c>
      <c r="AI920" s="94">
        <f>Table3.110[[#This Row],[Net gas 8-24h, ml]]+Table3.110[[#This Row],[Net gas 8h, ml]]</f>
        <v>91.44056729170596</v>
      </c>
      <c r="AJ920" s="94">
        <f>Table3.110[[#This Row],[Net gas 8h, ml]]*Table3.110[[#This Row],[CH4 8h %]]%</f>
        <v>7.0452263832382345</v>
      </c>
      <c r="AK920" s="94">
        <f>Table3.110[[#This Row],[Net gas 8-24h, ml]]*Table3.110[[#This Row],[CH4 24h, %]]%</f>
        <v>7.3847362429520063</v>
      </c>
      <c r="AL920" s="94">
        <f>Table3.110[[#This Row],[CH4 8-24h, ml]]+Table3.110[[#This Row],[CH4 8h, ml]]</f>
        <v>14.429962626190241</v>
      </c>
      <c r="AM920" s="94">
        <f>(Table3.110[[#This Row],[Net gas 24h, ml]]/Table3.110[[#This Row],[DM Incubated, mg]])*1000</f>
        <v>201.95638068015361</v>
      </c>
      <c r="AN920" s="94">
        <f>'3.2 Digest'!X920</f>
        <v>41.206851478125927</v>
      </c>
      <c r="AO920" s="94">
        <f>Table3.110[[#This Row],[Digested feed, mg]]/Table3.110[[#This Row],[Net gas 24h, ml]]</f>
        <v>2.0403837372876508</v>
      </c>
      <c r="AP920" s="94">
        <f>Table3.110[[#This Row],[CH4 8h, ml]]/Table3.110[[#This Row],[Net gas 8h, ml]]%</f>
        <v>14.599999999999998</v>
      </c>
      <c r="AQ920" s="94">
        <f>Table3.110[[#This Row],[CH4 24h, ml]]/Table3.110[[#This Row],[Net gas 24h, ml]]%</f>
        <v>15.780701119402501</v>
      </c>
      <c r="AR920" s="94">
        <f>Table3.110[[#This Row],[CH4 24h, ml]]/Table3.110[[#This Row],[DM Incubated, mg]]*1000</f>
        <v>31.87013282669778</v>
      </c>
      <c r="AS920" s="94">
        <f>Table3.110[[#This Row],[CH4 24h, ml]]/Table3.110[[#This Row],[Digested feed, mg]]*1000</f>
        <v>77.341829534381162</v>
      </c>
      <c r="AT920" s="94">
        <f>Table3.110[[#This Row],[CH4 24h, ml]]/'3.2 Digest'!AA920</f>
        <v>-0.69094929892623813</v>
      </c>
      <c r="AU920" s="94">
        <f>((Table3.110[[#This Row],[CH4 24h, ml]]/28.9)*16.04)/Table3.110[[#This Row],[DM Incubated, mg]]*1000</f>
        <v>17.68847510519835</v>
      </c>
      <c r="AV920" s="94">
        <f>((Table3.110[[#This Row],[CH4 24h, ml]]/28.9)*16.04)/Table3.110[[#This Row],[Digested feed, mg]]*1000</f>
        <v>42.926053485518118</v>
      </c>
      <c r="AW920" s="64"/>
    </row>
    <row r="921" spans="2:49" x14ac:dyDescent="0.35">
      <c r="B921" s="90">
        <f t="shared" si="14"/>
        <v>911</v>
      </c>
      <c r="C921" s="140">
        <v>46057</v>
      </c>
      <c r="D921" s="6" t="s">
        <v>16</v>
      </c>
      <c r="E921" s="6" t="s">
        <v>374</v>
      </c>
      <c r="F921" s="6" t="s">
        <v>219</v>
      </c>
      <c r="G921" s="6" t="s">
        <v>253</v>
      </c>
      <c r="H921" s="6" t="s">
        <v>254</v>
      </c>
      <c r="I921" s="6" t="s">
        <v>22</v>
      </c>
      <c r="J921" s="129" t="s">
        <v>23</v>
      </c>
      <c r="K921" s="129" t="s">
        <v>215</v>
      </c>
      <c r="L921" s="6" t="s">
        <v>373</v>
      </c>
      <c r="M921" s="93">
        <v>29</v>
      </c>
      <c r="N921" s="93">
        <v>63</v>
      </c>
      <c r="O921" s="6">
        <v>2</v>
      </c>
      <c r="P921" s="129">
        <v>2</v>
      </c>
      <c r="Q921" s="6">
        <v>222</v>
      </c>
      <c r="R921" s="98">
        <v>0.50029999999999997</v>
      </c>
      <c r="S921" s="94">
        <f>((Table3.110[[#This Row],[Sample weight, g]]*'2.1. DM'!Q233)/100)*1000</f>
        <v>452.68336404697453</v>
      </c>
      <c r="T921" s="94">
        <f>'3.2 Digest'!W921</f>
        <v>244.1833640469745</v>
      </c>
      <c r="U921" s="117">
        <v>0.35069444444444442</v>
      </c>
      <c r="V921" s="155">
        <v>40.5</v>
      </c>
      <c r="W921" s="117">
        <v>0.68125000000000002</v>
      </c>
      <c r="X921" s="96">
        <v>92.5</v>
      </c>
      <c r="Y921" s="96">
        <v>14.8</v>
      </c>
      <c r="Z921" s="155">
        <v>40.5</v>
      </c>
      <c r="AA921" s="117">
        <v>0.35486111111111113</v>
      </c>
      <c r="AB921" s="155">
        <v>91.5</v>
      </c>
      <c r="AC921" s="155">
        <v>16.899999999999999</v>
      </c>
      <c r="AD921" s="96"/>
      <c r="AE921" s="94">
        <f>Table3.110[[#This Row],[Gas 8h, ml]]-Table3.110[[#This Row],[Gas 0h, ml]]</f>
        <v>52</v>
      </c>
      <c r="AF921" s="94">
        <f>Table3.110[[#This Row],[Gas 24h, ml]]-Table3.110[[#This Row],[V8 Push back, ml]]</f>
        <v>51</v>
      </c>
      <c r="AG921" s="94">
        <f>Table3.110[[#This Row],[GP 8h, ml]]-(AVERAGE(AE$862,AE$863,AE$912,AE$913,AE$932,AE$933))*$AG$8</f>
        <v>48.754975227659145</v>
      </c>
      <c r="AH921" s="94">
        <f>Table3.110[[#This Row],[GP 8-24h, ml]]-(AVERAGE(AF$862,AF$863,AF$912,AF$913,AF$932,AF$933))*$AG$8</f>
        <v>46.685592064046816</v>
      </c>
      <c r="AI921" s="94">
        <f>Table3.110[[#This Row],[Net gas 8-24h, ml]]+Table3.110[[#This Row],[Net gas 8h, ml]]</f>
        <v>95.44056729170596</v>
      </c>
      <c r="AJ921" s="94">
        <f>Table3.110[[#This Row],[Net gas 8h, ml]]*Table3.110[[#This Row],[CH4 8h %]]%</f>
        <v>7.2157363336935543</v>
      </c>
      <c r="AK921" s="94">
        <f>Table3.110[[#This Row],[Net gas 8-24h, ml]]*Table3.110[[#This Row],[CH4 24h, %]]%</f>
        <v>7.8898650588239114</v>
      </c>
      <c r="AL921" s="94">
        <f>Table3.110[[#This Row],[CH4 8-24h, ml]]+Table3.110[[#This Row],[CH4 8h, ml]]</f>
        <v>15.105601392517466</v>
      </c>
      <c r="AM921" s="94">
        <f>(Table3.110[[#This Row],[Net gas 24h, ml]]/Table3.110[[#This Row],[DM Incubated, mg]])*1000</f>
        <v>210.83294609828468</v>
      </c>
      <c r="AN921" s="94">
        <f>'3.2 Digest'!X921</f>
        <v>53.941316036883521</v>
      </c>
      <c r="AO921" s="94">
        <f>Table3.110[[#This Row],[Digested feed, mg]]/Table3.110[[#This Row],[Net gas 24h, ml]]</f>
        <v>2.558486092194411</v>
      </c>
      <c r="AP921" s="94">
        <f>Table3.110[[#This Row],[CH4 8h, ml]]/Table3.110[[#This Row],[Net gas 8h, ml]]%</f>
        <v>14.8</v>
      </c>
      <c r="AQ921" s="94">
        <f>Table3.110[[#This Row],[CH4 24h, ml]]/Table3.110[[#This Row],[Net gas 24h, ml]]%</f>
        <v>15.827233451314767</v>
      </c>
      <c r="AR921" s="94">
        <f>Table3.110[[#This Row],[CH4 24h, ml]]/Table3.110[[#This Row],[DM Incubated, mg]]*1000</f>
        <v>33.369022571260139</v>
      </c>
      <c r="AS921" s="94">
        <f>Table3.110[[#This Row],[CH4 24h, ml]]/Table3.110[[#This Row],[Digested feed, mg]]*1000</f>
        <v>61.861713845549048</v>
      </c>
      <c r="AT921" s="94">
        <f>Table3.110[[#This Row],[CH4 24h, ml]]/'3.2 Digest'!AA921</f>
        <v>2.8506497186763924</v>
      </c>
      <c r="AU921" s="94">
        <f>((Table3.110[[#This Row],[CH4 24h, ml]]/28.9)*16.04)/Table3.110[[#This Row],[DM Incubated, mg]]*1000</f>
        <v>18.520384845778988</v>
      </c>
      <c r="AV921" s="94">
        <f>((Table3.110[[#This Row],[CH4 24h, ml]]/28.9)*16.04)/Table3.110[[#This Row],[Digested feed, mg]]*1000</f>
        <v>34.334321456145567</v>
      </c>
      <c r="AW921" s="64"/>
    </row>
    <row r="922" spans="2:49" x14ac:dyDescent="0.35">
      <c r="B922" s="90">
        <f t="shared" si="14"/>
        <v>912</v>
      </c>
      <c r="C922" s="140">
        <v>46057</v>
      </c>
      <c r="D922" s="6" t="s">
        <v>16</v>
      </c>
      <c r="E922" s="6" t="s">
        <v>374</v>
      </c>
      <c r="F922" s="6" t="s">
        <v>219</v>
      </c>
      <c r="G922" s="6" t="s">
        <v>253</v>
      </c>
      <c r="H922" s="6" t="s">
        <v>254</v>
      </c>
      <c r="I922" s="6" t="s">
        <v>22</v>
      </c>
      <c r="J922" s="129" t="s">
        <v>23</v>
      </c>
      <c r="K922" s="129" t="s">
        <v>215</v>
      </c>
      <c r="L922" s="6" t="s">
        <v>373</v>
      </c>
      <c r="M922" s="93">
        <v>29</v>
      </c>
      <c r="N922" s="93">
        <v>63</v>
      </c>
      <c r="O922" s="6">
        <v>2</v>
      </c>
      <c r="P922" s="129">
        <v>3</v>
      </c>
      <c r="Q922" s="6">
        <v>223</v>
      </c>
      <c r="R922" s="98">
        <v>0.5</v>
      </c>
      <c r="S922" s="94">
        <f>((Table3.110[[#This Row],[Sample weight, g]]*'2.1. DM'!Q233)/100)*1000</f>
        <v>452.41191689683649</v>
      </c>
      <c r="T922" s="94">
        <f>'3.2 Digest'!W922</f>
        <v>238.7119168968365</v>
      </c>
      <c r="U922" s="153">
        <v>0.35069444444444442</v>
      </c>
      <c r="V922" s="155">
        <v>41</v>
      </c>
      <c r="W922" s="153">
        <v>0.68125000000000002</v>
      </c>
      <c r="X922" s="91">
        <v>95</v>
      </c>
      <c r="Y922" s="91">
        <v>14.9</v>
      </c>
      <c r="Z922" s="154">
        <v>40.5</v>
      </c>
      <c r="AA922" s="153">
        <v>0.35555555555555557</v>
      </c>
      <c r="AB922" s="154">
        <v>91</v>
      </c>
      <c r="AC922" s="154">
        <v>17.2</v>
      </c>
      <c r="AD922" s="91"/>
      <c r="AE922" s="94">
        <f>Table3.110[[#This Row],[Gas 8h, ml]]-Table3.110[[#This Row],[Gas 0h, ml]]</f>
        <v>54</v>
      </c>
      <c r="AF922" s="94">
        <f>Table3.110[[#This Row],[Gas 24h, ml]]-Table3.110[[#This Row],[V8 Push back, ml]]</f>
        <v>50.5</v>
      </c>
      <c r="AG922" s="94">
        <f>Table3.110[[#This Row],[GP 8h, ml]]-(AVERAGE(AE$862,AE$863,AE$912,AE$913,AE$932,AE$933))*$AG$8</f>
        <v>50.754975227659145</v>
      </c>
      <c r="AH922" s="94">
        <f>Table3.110[[#This Row],[GP 8-24h, ml]]-(AVERAGE(AF$862,AF$863,AF$912,AF$913,AF$932,AF$933))*$AG$8</f>
        <v>46.185592064046816</v>
      </c>
      <c r="AI922" s="94">
        <f>Table3.110[[#This Row],[Net gas 8-24h, ml]]+Table3.110[[#This Row],[Net gas 8h, ml]]</f>
        <v>96.94056729170596</v>
      </c>
      <c r="AJ922" s="94">
        <f>Table3.110[[#This Row],[Net gas 8h, ml]]*Table3.110[[#This Row],[CH4 8h %]]%</f>
        <v>7.5624913089212127</v>
      </c>
      <c r="AK922" s="94">
        <f>Table3.110[[#This Row],[Net gas 8-24h, ml]]*Table3.110[[#This Row],[CH4 24h, %]]%</f>
        <v>7.9439218350160514</v>
      </c>
      <c r="AL922" s="94">
        <f>Table3.110[[#This Row],[CH4 8-24h, ml]]+Table3.110[[#This Row],[CH4 8h, ml]]</f>
        <v>15.506413143937264</v>
      </c>
      <c r="AM922" s="94">
        <f>(Table3.110[[#This Row],[Net gas 24h, ml]]/Table3.110[[#This Row],[DM Incubated, mg]])*1000</f>
        <v>214.27500839641084</v>
      </c>
      <c r="AN922" s="94">
        <f>'3.2 Digest'!X922</f>
        <v>52.764285815943701</v>
      </c>
      <c r="AO922" s="94">
        <f>Table3.110[[#This Row],[Digested feed, mg]]/Table3.110[[#This Row],[Net gas 24h, ml]]</f>
        <v>2.4624563644085482</v>
      </c>
      <c r="AP922" s="94">
        <f>Table3.110[[#This Row],[CH4 8h, ml]]/Table3.110[[#This Row],[Net gas 8h, ml]]%</f>
        <v>14.899999999999999</v>
      </c>
      <c r="AQ922" s="94">
        <f>Table3.110[[#This Row],[CH4 24h, ml]]/Table3.110[[#This Row],[Net gas 24h, ml]]%</f>
        <v>15.995793687978512</v>
      </c>
      <c r="AR922" s="94">
        <f>Table3.110[[#This Row],[CH4 24h, ml]]/Table3.110[[#This Row],[DM Incubated, mg]]*1000</f>
        <v>34.274988267988512</v>
      </c>
      <c r="AS922" s="94">
        <f>Table3.110[[#This Row],[CH4 24h, ml]]/Table3.110[[#This Row],[Digested feed, mg]]*1000</f>
        <v>64.958688889581623</v>
      </c>
      <c r="AT922" s="94">
        <f>Table3.110[[#This Row],[CH4 24h, ml]]/'3.2 Digest'!AA922</f>
        <v>5.3861950195613764</v>
      </c>
      <c r="AU922" s="94">
        <f>((Table3.110[[#This Row],[CH4 24h, ml]]/28.9)*16.04)/Table3.110[[#This Row],[DM Incubated, mg]]*1000</f>
        <v>19.023211481610232</v>
      </c>
      <c r="AV922" s="94">
        <f>((Table3.110[[#This Row],[CH4 24h, ml]]/28.9)*16.04)/Table3.110[[#This Row],[Digested feed, mg]]*1000</f>
        <v>36.053196186466757</v>
      </c>
      <c r="AW922" s="64"/>
    </row>
    <row r="923" spans="2:49" x14ac:dyDescent="0.35">
      <c r="B923" s="90">
        <f t="shared" si="14"/>
        <v>913</v>
      </c>
      <c r="C923" s="140">
        <v>46057</v>
      </c>
      <c r="D923" s="6" t="s">
        <v>16</v>
      </c>
      <c r="E923" s="6" t="s">
        <v>376</v>
      </c>
      <c r="F923" s="6" t="s">
        <v>219</v>
      </c>
      <c r="G923" s="6" t="s">
        <v>253</v>
      </c>
      <c r="H923" s="6" t="s">
        <v>254</v>
      </c>
      <c r="I923" s="6" t="s">
        <v>22</v>
      </c>
      <c r="J923" s="129" t="s">
        <v>23</v>
      </c>
      <c r="K923" s="129" t="s">
        <v>215</v>
      </c>
      <c r="L923" s="6" t="s">
        <v>375</v>
      </c>
      <c r="M923" s="93">
        <v>29</v>
      </c>
      <c r="N923" s="93">
        <v>63</v>
      </c>
      <c r="O923" s="6">
        <v>2</v>
      </c>
      <c r="P923" s="129">
        <v>1</v>
      </c>
      <c r="Q923" s="6">
        <v>224</v>
      </c>
      <c r="R923" s="98">
        <v>0.50039999999999996</v>
      </c>
      <c r="S923" s="94">
        <f>((Table3.110[[#This Row],[Sample weight, g]]*'2.1. DM'!Q235)/100)*1000</f>
        <v>447.82109709018931</v>
      </c>
      <c r="T923" s="94">
        <f>'3.2 Digest'!W923</f>
        <v>149.32109709018931</v>
      </c>
      <c r="U923" s="117">
        <v>0.35138888888888886</v>
      </c>
      <c r="V923" s="155">
        <v>40.5</v>
      </c>
      <c r="W923" s="117">
        <v>0.68194444444444446</v>
      </c>
      <c r="X923" s="96">
        <v>85.5</v>
      </c>
      <c r="Y923" s="96">
        <v>13.1</v>
      </c>
      <c r="Z923" s="155">
        <v>40</v>
      </c>
      <c r="AA923" s="117">
        <v>0.35555555555555557</v>
      </c>
      <c r="AB923" s="155">
        <v>87</v>
      </c>
      <c r="AC923" s="155">
        <v>16.600000000000001</v>
      </c>
      <c r="AD923" s="96"/>
      <c r="AE923" s="94">
        <f>Table3.110[[#This Row],[Gas 8h, ml]]-Table3.110[[#This Row],[Gas 0h, ml]]</f>
        <v>45</v>
      </c>
      <c r="AF923" s="94"/>
      <c r="AG923" s="94"/>
      <c r="AH923" s="94"/>
      <c r="AI923" s="94"/>
      <c r="AJ923" s="94"/>
      <c r="AK923" s="94"/>
      <c r="AL923" s="94"/>
      <c r="AM923" s="94"/>
      <c r="AN923" s="94"/>
      <c r="AO923" s="94"/>
      <c r="AP923" s="94"/>
      <c r="AQ923" s="94"/>
      <c r="AR923" s="94"/>
      <c r="AS923" s="94"/>
      <c r="AT923" s="94"/>
      <c r="AU923" s="94"/>
      <c r="AV923" s="94"/>
      <c r="AW923" s="64"/>
    </row>
    <row r="924" spans="2:49" x14ac:dyDescent="0.35">
      <c r="B924" s="90">
        <f t="shared" si="14"/>
        <v>914</v>
      </c>
      <c r="C924" s="140">
        <v>46057</v>
      </c>
      <c r="D924" s="6" t="s">
        <v>16</v>
      </c>
      <c r="E924" s="6" t="s">
        <v>376</v>
      </c>
      <c r="F924" s="6" t="s">
        <v>219</v>
      </c>
      <c r="G924" s="6" t="s">
        <v>253</v>
      </c>
      <c r="H924" s="6" t="s">
        <v>254</v>
      </c>
      <c r="I924" s="6" t="s">
        <v>22</v>
      </c>
      <c r="J924" s="129" t="s">
        <v>23</v>
      </c>
      <c r="K924" s="129" t="s">
        <v>215</v>
      </c>
      <c r="L924" s="6" t="s">
        <v>375</v>
      </c>
      <c r="M924" s="93">
        <v>29</v>
      </c>
      <c r="N924" s="93">
        <v>63</v>
      </c>
      <c r="O924" s="6">
        <v>2</v>
      </c>
      <c r="P924" s="129">
        <v>2</v>
      </c>
      <c r="Q924" s="6">
        <v>225</v>
      </c>
      <c r="R924" s="98">
        <v>0.50029999999999997</v>
      </c>
      <c r="S924" s="94">
        <f>((Table3.110[[#This Row],[Sample weight, g]]*'2.1. DM'!Q235)/100)*1000</f>
        <v>447.73160446487151</v>
      </c>
      <c r="T924" s="94">
        <f>'3.2 Digest'!W924</f>
        <v>271.73160446487157</v>
      </c>
      <c r="U924" s="153">
        <v>0.35138888888888886</v>
      </c>
      <c r="V924" s="155">
        <v>41</v>
      </c>
      <c r="W924" s="153">
        <v>0.68194444444444446</v>
      </c>
      <c r="X924" s="91">
        <v>86.5</v>
      </c>
      <c r="Y924" s="91">
        <v>13</v>
      </c>
      <c r="Z924" s="154">
        <v>40.5</v>
      </c>
      <c r="AA924" s="153">
        <v>0.35625000000000001</v>
      </c>
      <c r="AB924" s="154">
        <v>89</v>
      </c>
      <c r="AC924" s="154">
        <v>16.399999999999999</v>
      </c>
      <c r="AD924" s="91"/>
      <c r="AE924" s="94">
        <f>Table3.110[[#This Row],[Gas 8h, ml]]-Table3.110[[#This Row],[Gas 0h, ml]]</f>
        <v>45.5</v>
      </c>
      <c r="AF924" s="94">
        <f>Table3.110[[#This Row],[Gas 24h, ml]]-Table3.110[[#This Row],[V8 Push back, ml]]</f>
        <v>48.5</v>
      </c>
      <c r="AG924" s="94">
        <f>Table3.110[[#This Row],[GP 8h, ml]]-(AVERAGE(AE$862,AE$863,AE$912,AE$913,AE$932,AE$933))*$AG$8</f>
        <v>42.254975227659145</v>
      </c>
      <c r="AH924" s="94">
        <f>Table3.110[[#This Row],[GP 8-24h, ml]]-(AVERAGE(AF$862,AF$863,AF$912,AF$913,AF$932,AF$933))*$AG$8</f>
        <v>44.185592064046816</v>
      </c>
      <c r="AI924" s="94">
        <f>Table3.110[[#This Row],[Net gas 8-24h, ml]]+Table3.110[[#This Row],[Net gas 8h, ml]]</f>
        <v>86.44056729170596</v>
      </c>
      <c r="AJ924" s="94">
        <f>Table3.110[[#This Row],[Net gas 8h, ml]]*Table3.110[[#This Row],[CH4 8h %]]%</f>
        <v>5.4931467795956888</v>
      </c>
      <c r="AK924" s="94">
        <f>Table3.110[[#This Row],[Net gas 8-24h, ml]]*Table3.110[[#This Row],[CH4 24h, %]]%</f>
        <v>7.2464370985036766</v>
      </c>
      <c r="AL924" s="94">
        <f>Table3.110[[#This Row],[CH4 8-24h, ml]]+Table3.110[[#This Row],[CH4 8h, ml]]</f>
        <v>12.739583878099365</v>
      </c>
      <c r="AM924" s="94">
        <f>(Table3.110[[#This Row],[Net gas 24h, ml]]/Table3.110[[#This Row],[DM Incubated, mg]])*1000</f>
        <v>193.06335856058155</v>
      </c>
      <c r="AN924" s="94">
        <f>'3.2 Digest'!X924</f>
        <v>60.690735644995399</v>
      </c>
      <c r="AO924" s="94">
        <f>Table3.110[[#This Row],[Digested feed, mg]]/Table3.110[[#This Row],[Net gas 24h, ml]]</f>
        <v>3.1435657235783139</v>
      </c>
      <c r="AP924" s="94">
        <f>Table3.110[[#This Row],[CH4 8h, ml]]/Table3.110[[#This Row],[Net gas 8h, ml]]%</f>
        <v>12.999999999999998</v>
      </c>
      <c r="AQ924" s="94">
        <f>Table3.110[[#This Row],[CH4 24h, ml]]/Table3.110[[#This Row],[Net gas 24h, ml]]%</f>
        <v>14.737968846395734</v>
      </c>
      <c r="AR924" s="94">
        <f>Table3.110[[#This Row],[CH4 24h, ml]]/Table3.110[[#This Row],[DM Incubated, mg]]*1000</f>
        <v>28.4536176384638</v>
      </c>
      <c r="AS924" s="94">
        <f>Table3.110[[#This Row],[CH4 24h, ml]]/Table3.110[[#This Row],[Digested feed, mg]]*1000</f>
        <v>46.882967121869299</v>
      </c>
      <c r="AT924" s="94">
        <f>Table3.110[[#This Row],[CH4 24h, ml]]/'3.2 Digest'!AA924</f>
        <v>1.6146175133004499</v>
      </c>
      <c r="AU924" s="94">
        <f>((Table3.110[[#This Row],[CH4 24h, ml]]/28.9)*16.04)/Table3.110[[#This Row],[DM Incubated, mg]]*1000</f>
        <v>15.792250066469181</v>
      </c>
      <c r="AV924" s="94">
        <f>((Table3.110[[#This Row],[CH4 24h, ml]]/28.9)*16.04)/Table3.110[[#This Row],[Digested feed, mg]]*1000</f>
        <v>26.020857876636107</v>
      </c>
      <c r="AW924" s="64"/>
    </row>
    <row r="925" spans="2:49" x14ac:dyDescent="0.35">
      <c r="B925" s="90">
        <f t="shared" si="14"/>
        <v>915</v>
      </c>
      <c r="C925" s="140">
        <v>46057</v>
      </c>
      <c r="D925" s="6" t="s">
        <v>16</v>
      </c>
      <c r="E925" s="6" t="s">
        <v>376</v>
      </c>
      <c r="F925" s="6" t="s">
        <v>219</v>
      </c>
      <c r="G925" s="6" t="s">
        <v>253</v>
      </c>
      <c r="H925" s="6" t="s">
        <v>254</v>
      </c>
      <c r="I925" s="6" t="s">
        <v>22</v>
      </c>
      <c r="J925" s="129" t="s">
        <v>23</v>
      </c>
      <c r="K925" s="129" t="s">
        <v>215</v>
      </c>
      <c r="L925" s="6" t="s">
        <v>375</v>
      </c>
      <c r="M925" s="93">
        <v>29</v>
      </c>
      <c r="N925" s="93">
        <v>63</v>
      </c>
      <c r="O925" s="6">
        <v>2</v>
      </c>
      <c r="P925" s="129">
        <v>3</v>
      </c>
      <c r="Q925" s="6">
        <v>226</v>
      </c>
      <c r="R925" s="98">
        <v>0.50019999999999998</v>
      </c>
      <c r="S925" s="94">
        <f>((Table3.110[[#This Row],[Sample weight, g]]*'2.1. DM'!Q235)/100)*1000</f>
        <v>447.64211183955382</v>
      </c>
      <c r="T925" s="94">
        <f>'3.2 Digest'!W925</f>
        <v>262.34211183955381</v>
      </c>
      <c r="U925" s="117">
        <v>0.35138888888888886</v>
      </c>
      <c r="V925" s="155">
        <v>40.5</v>
      </c>
      <c r="W925" s="117">
        <v>0.68263888888888891</v>
      </c>
      <c r="X925" s="96">
        <v>85.5</v>
      </c>
      <c r="Y925" s="96">
        <v>13.1</v>
      </c>
      <c r="Z925" s="155">
        <v>40</v>
      </c>
      <c r="AA925" s="117">
        <v>0.35694444444444445</v>
      </c>
      <c r="AB925" s="155">
        <v>87</v>
      </c>
      <c r="AC925" s="155">
        <v>16.399999999999999</v>
      </c>
      <c r="AD925" s="96"/>
      <c r="AE925" s="94">
        <f>Table3.110[[#This Row],[Gas 8h, ml]]-Table3.110[[#This Row],[Gas 0h, ml]]</f>
        <v>45</v>
      </c>
      <c r="AF925" s="94">
        <f>Table3.110[[#This Row],[Gas 24h, ml]]-Table3.110[[#This Row],[V8 Push back, ml]]</f>
        <v>47</v>
      </c>
      <c r="AG925" s="94">
        <f>Table3.110[[#This Row],[GP 8h, ml]]-(AVERAGE(AE$862,AE$863,AE$912,AE$913,AE$932,AE$933))*$AG$8</f>
        <v>41.754975227659145</v>
      </c>
      <c r="AH925" s="94">
        <f>Table3.110[[#This Row],[GP 8-24h, ml]]-(AVERAGE(AF$862,AF$863,AF$912,AF$913,AF$932,AF$933))*$AG$8</f>
        <v>42.685592064046816</v>
      </c>
      <c r="AI925" s="94">
        <f>Table3.110[[#This Row],[Net gas 8-24h, ml]]+Table3.110[[#This Row],[Net gas 8h, ml]]</f>
        <v>84.44056729170596</v>
      </c>
      <c r="AJ925" s="94">
        <f>Table3.110[[#This Row],[Net gas 8h, ml]]*Table3.110[[#This Row],[CH4 8h %]]%</f>
        <v>5.469901754823348</v>
      </c>
      <c r="AK925" s="94">
        <f>Table3.110[[#This Row],[Net gas 8-24h, ml]]*Table3.110[[#This Row],[CH4 24h, %]]%</f>
        <v>7.000437098503677</v>
      </c>
      <c r="AL925" s="94">
        <f>Table3.110[[#This Row],[CH4 8-24h, ml]]+Table3.110[[#This Row],[CH4 8h, ml]]</f>
        <v>12.470338853327025</v>
      </c>
      <c r="AM925" s="94">
        <f>(Table3.110[[#This Row],[Net gas 24h, ml]]/Table3.110[[#This Row],[DM Incubated, mg]])*1000</f>
        <v>188.63410089971961</v>
      </c>
      <c r="AN925" s="94">
        <f>'3.2 Digest'!X925</f>
        <v>58.605324410046521</v>
      </c>
      <c r="AO925" s="94">
        <f>Table3.110[[#This Row],[Digested feed, mg]]/Table3.110[[#This Row],[Net gas 24h, ml]]</f>
        <v>3.1068255490666505</v>
      </c>
      <c r="AP925" s="94">
        <f>Table3.110[[#This Row],[CH4 8h, ml]]/Table3.110[[#This Row],[Net gas 8h, ml]]%</f>
        <v>13.1</v>
      </c>
      <c r="AQ925" s="94">
        <f>Table3.110[[#This Row],[CH4 24h, ml]]/Table3.110[[#This Row],[Net gas 24h, ml]]%</f>
        <v>14.768184598105968</v>
      </c>
      <c r="AR925" s="94">
        <f>Table3.110[[#This Row],[CH4 24h, ml]]/Table3.110[[#This Row],[DM Incubated, mg]]*1000</f>
        <v>27.857832235848058</v>
      </c>
      <c r="AS925" s="94">
        <f>Table3.110[[#This Row],[CH4 24h, ml]]/Table3.110[[#This Row],[Digested feed, mg]]*1000</f>
        <v>47.534643850674563</v>
      </c>
      <c r="AT925" s="94">
        <f>Table3.110[[#This Row],[CH4 24h, ml]]/'3.2 Digest'!AA925</f>
        <v>4.1517969899023939</v>
      </c>
      <c r="AU925" s="94">
        <f>((Table3.110[[#This Row],[CH4 24h, ml]]/28.9)*16.04)/Table3.110[[#This Row],[DM Incubated, mg]]*1000</f>
        <v>15.461578860311519</v>
      </c>
      <c r="AV925" s="94">
        <f>((Table3.110[[#This Row],[CH4 24h, ml]]/28.9)*16.04)/Table3.110[[#This Row],[Digested feed, mg]]*1000</f>
        <v>26.382549735806919</v>
      </c>
      <c r="AW925" s="64"/>
    </row>
    <row r="926" spans="2:49" x14ac:dyDescent="0.35">
      <c r="B926" s="90">
        <f t="shared" si="14"/>
        <v>916</v>
      </c>
      <c r="C926" s="140">
        <v>46057</v>
      </c>
      <c r="D926" s="6" t="s">
        <v>16</v>
      </c>
      <c r="E926" s="6" t="s">
        <v>378</v>
      </c>
      <c r="F926" s="6" t="s">
        <v>212</v>
      </c>
      <c r="G926" s="6" t="s">
        <v>379</v>
      </c>
      <c r="H926" s="6" t="s">
        <v>380</v>
      </c>
      <c r="I926" s="6" t="s">
        <v>22</v>
      </c>
      <c r="J926" s="129" t="s">
        <v>23</v>
      </c>
      <c r="K926" s="129" t="s">
        <v>215</v>
      </c>
      <c r="L926" s="6" t="s">
        <v>377</v>
      </c>
      <c r="M926" s="93">
        <v>29</v>
      </c>
      <c r="N926" s="93">
        <v>63</v>
      </c>
      <c r="O926" s="6">
        <v>2</v>
      </c>
      <c r="P926" s="129">
        <v>1</v>
      </c>
      <c r="Q926" s="6">
        <v>227</v>
      </c>
      <c r="R926" s="98">
        <v>0.50019999999999998</v>
      </c>
      <c r="S926" s="94">
        <f>((Table3.110[[#This Row],[Sample weight, g]]*'2.1. DM'!Q237)/100)*1000</f>
        <v>469.15002874699894</v>
      </c>
      <c r="T926" s="94">
        <f>'3.2 Digest'!W926</f>
        <v>112.9500287469989</v>
      </c>
      <c r="U926" s="153">
        <v>0.35138888888888886</v>
      </c>
      <c r="V926" s="155">
        <v>41.5</v>
      </c>
      <c r="W926" s="153">
        <v>0.68263888888888891</v>
      </c>
      <c r="X926" s="91">
        <v>67.5</v>
      </c>
      <c r="Y926" s="91">
        <v>12.6</v>
      </c>
      <c r="Z926" s="154">
        <v>40.5</v>
      </c>
      <c r="AA926" s="153">
        <v>0.35694444444444445</v>
      </c>
      <c r="AB926" s="154">
        <v>53.5</v>
      </c>
      <c r="AC926" s="154">
        <v>15.7</v>
      </c>
      <c r="AD926" s="91"/>
      <c r="AE926" s="94"/>
      <c r="AF926" s="94"/>
      <c r="AG926" s="94"/>
      <c r="AH926" s="94"/>
      <c r="AI926" s="94"/>
      <c r="AJ926" s="94"/>
      <c r="AK926" s="94"/>
      <c r="AL926" s="94"/>
      <c r="AM926" s="94"/>
      <c r="AN926" s="94"/>
      <c r="AO926" s="94"/>
      <c r="AP926" s="94"/>
      <c r="AQ926" s="94"/>
      <c r="AR926" s="94"/>
      <c r="AS926" s="94"/>
      <c r="AT926" s="94"/>
      <c r="AU926" s="94"/>
      <c r="AV926" s="94"/>
      <c r="AW926" s="64" t="s">
        <v>629</v>
      </c>
    </row>
    <row r="927" spans="2:49" x14ac:dyDescent="0.35">
      <c r="B927" s="90">
        <f t="shared" si="14"/>
        <v>917</v>
      </c>
      <c r="C927" s="140">
        <v>46057</v>
      </c>
      <c r="D927" s="6" t="s">
        <v>16</v>
      </c>
      <c r="E927" s="6" t="s">
        <v>378</v>
      </c>
      <c r="F927" s="6" t="s">
        <v>212</v>
      </c>
      <c r="G927" s="6" t="s">
        <v>379</v>
      </c>
      <c r="H927" s="6" t="s">
        <v>380</v>
      </c>
      <c r="I927" s="6" t="s">
        <v>22</v>
      </c>
      <c r="J927" s="129" t="s">
        <v>23</v>
      </c>
      <c r="K927" s="129" t="s">
        <v>215</v>
      </c>
      <c r="L927" s="6" t="s">
        <v>377</v>
      </c>
      <c r="M927" s="93">
        <v>29</v>
      </c>
      <c r="N927" s="93">
        <v>63</v>
      </c>
      <c r="O927" s="6">
        <v>2</v>
      </c>
      <c r="P927" s="129">
        <v>2</v>
      </c>
      <c r="Q927" s="6">
        <v>228</v>
      </c>
      <c r="R927" s="98">
        <v>0.50039999999999996</v>
      </c>
      <c r="S927" s="94">
        <f>((Table3.110[[#This Row],[Sample weight, g]]*'2.1. DM'!Q237)/100)*1000</f>
        <v>469.33761372450664</v>
      </c>
      <c r="T927" s="94">
        <f>'3.2 Digest'!W927</f>
        <v>40.037613724506514</v>
      </c>
      <c r="U927" s="117">
        <v>0.35208333333333336</v>
      </c>
      <c r="V927" s="155">
        <v>41.5</v>
      </c>
      <c r="W927" s="117">
        <v>0.68263888888888891</v>
      </c>
      <c r="X927" s="96">
        <v>66.5</v>
      </c>
      <c r="Y927" s="96">
        <v>13</v>
      </c>
      <c r="Z927" s="155">
        <v>40.5</v>
      </c>
      <c r="AA927" s="117">
        <v>0.35694444444444445</v>
      </c>
      <c r="AB927" s="155">
        <v>53.5</v>
      </c>
      <c r="AC927" s="155">
        <v>15.3</v>
      </c>
      <c r="AD927" s="96"/>
      <c r="AE927" s="94"/>
      <c r="AF927" s="94"/>
      <c r="AG927" s="94"/>
      <c r="AH927" s="94"/>
      <c r="AI927" s="94"/>
      <c r="AJ927" s="94"/>
      <c r="AK927" s="94"/>
      <c r="AL927" s="94"/>
      <c r="AM927" s="94"/>
      <c r="AN927" s="94"/>
      <c r="AO927" s="94"/>
      <c r="AP927" s="94"/>
      <c r="AQ927" s="94"/>
      <c r="AR927" s="94"/>
      <c r="AS927" s="94"/>
      <c r="AT927" s="94"/>
      <c r="AU927" s="94"/>
      <c r="AV927" s="94"/>
      <c r="AW927" s="64" t="s">
        <v>629</v>
      </c>
    </row>
    <row r="928" spans="2:49" x14ac:dyDescent="0.35">
      <c r="B928" s="90">
        <f t="shared" si="14"/>
        <v>918</v>
      </c>
      <c r="C928" s="140">
        <v>46057</v>
      </c>
      <c r="D928" s="6" t="s">
        <v>16</v>
      </c>
      <c r="E928" s="6" t="s">
        <v>378</v>
      </c>
      <c r="F928" s="6" t="s">
        <v>212</v>
      </c>
      <c r="G928" s="6" t="s">
        <v>379</v>
      </c>
      <c r="H928" s="6" t="s">
        <v>380</v>
      </c>
      <c r="I928" s="6" t="s">
        <v>22</v>
      </c>
      <c r="J928" s="129" t="s">
        <v>23</v>
      </c>
      <c r="K928" s="129" t="s">
        <v>215</v>
      </c>
      <c r="L928" s="6" t="s">
        <v>377</v>
      </c>
      <c r="M928" s="93">
        <v>29</v>
      </c>
      <c r="N928" s="93">
        <v>63</v>
      </c>
      <c r="O928" s="6">
        <v>2</v>
      </c>
      <c r="P928" s="129">
        <v>3</v>
      </c>
      <c r="Q928" s="6">
        <v>229</v>
      </c>
      <c r="R928" s="98">
        <v>0.50009999999999999</v>
      </c>
      <c r="S928" s="94">
        <f>((Table3.110[[#This Row],[Sample weight, g]]*'2.1. DM'!Q237)/100)*1000</f>
        <v>469.05623625824506</v>
      </c>
      <c r="T928" s="94">
        <f>'3.2 Digest'!W928</f>
        <v>31.356236258245076</v>
      </c>
      <c r="U928" s="153">
        <v>0.35208333333333336</v>
      </c>
      <c r="V928" s="155">
        <v>41.5</v>
      </c>
      <c r="W928" s="153">
        <v>0.68333333333333335</v>
      </c>
      <c r="X928" s="91">
        <v>66.5</v>
      </c>
      <c r="Y928" s="91">
        <v>13.1</v>
      </c>
      <c r="Z928" s="154">
        <v>40.5</v>
      </c>
      <c r="AA928" s="153">
        <v>0.3576388888888889</v>
      </c>
      <c r="AB928" s="154">
        <v>53.5</v>
      </c>
      <c r="AC928" s="154">
        <v>15.4</v>
      </c>
      <c r="AD928" s="91"/>
      <c r="AE928" s="94"/>
      <c r="AF928" s="94"/>
      <c r="AG928" s="94"/>
      <c r="AH928" s="94"/>
      <c r="AI928" s="94"/>
      <c r="AJ928" s="94"/>
      <c r="AK928" s="94"/>
      <c r="AL928" s="94"/>
      <c r="AM928" s="94"/>
      <c r="AN928" s="94"/>
      <c r="AO928" s="94"/>
      <c r="AP928" s="94"/>
      <c r="AQ928" s="94"/>
      <c r="AR928" s="94"/>
      <c r="AS928" s="94"/>
      <c r="AT928" s="94"/>
      <c r="AU928" s="94"/>
      <c r="AV928" s="94"/>
      <c r="AW928" s="64" t="s">
        <v>629</v>
      </c>
    </row>
    <row r="929" spans="2:49" x14ac:dyDescent="0.35">
      <c r="B929" s="90">
        <f t="shared" si="14"/>
        <v>919</v>
      </c>
      <c r="C929" s="140">
        <v>46057</v>
      </c>
      <c r="D929" s="8" t="s">
        <v>120</v>
      </c>
      <c r="E929" s="6" t="s">
        <v>122</v>
      </c>
      <c r="F929" s="6" t="s">
        <v>123</v>
      </c>
      <c r="G929" s="6" t="s">
        <v>545</v>
      </c>
      <c r="H929" s="6" t="s">
        <v>125</v>
      </c>
      <c r="I929" s="6" t="s">
        <v>108</v>
      </c>
      <c r="J929" s="129" t="s">
        <v>109</v>
      </c>
      <c r="K929" s="129" t="s">
        <v>110</v>
      </c>
      <c r="L929" s="6" t="s">
        <v>121</v>
      </c>
      <c r="M929" s="93">
        <v>29</v>
      </c>
      <c r="N929" s="93">
        <v>63</v>
      </c>
      <c r="O929" s="6">
        <v>2</v>
      </c>
      <c r="P929" s="129">
        <v>1</v>
      </c>
      <c r="Q929" s="6">
        <v>230</v>
      </c>
      <c r="R929" s="98">
        <v>0.50009999999999999</v>
      </c>
      <c r="S929" s="94">
        <f>((Table3.110[[#This Row],[Sample weight, g]]*'2.1. DM'!Q239)/100)*1000</f>
        <v>467.84354999999999</v>
      </c>
      <c r="T929" s="94">
        <f>'3.2 Digest'!W929</f>
        <v>44.243550000000027</v>
      </c>
      <c r="U929" s="117">
        <v>0.3527777777777778</v>
      </c>
      <c r="V929" s="155">
        <v>41</v>
      </c>
      <c r="W929" s="117">
        <v>0.68333333333333335</v>
      </c>
      <c r="X929" s="96">
        <v>69.5</v>
      </c>
      <c r="Y929" s="96">
        <v>16</v>
      </c>
      <c r="Z929" s="155">
        <v>40</v>
      </c>
      <c r="AA929" s="117">
        <v>0.35833333333333334</v>
      </c>
      <c r="AB929" s="155">
        <v>85.5</v>
      </c>
      <c r="AC929" s="155">
        <v>17.100000000000001</v>
      </c>
      <c r="AD929" s="96"/>
      <c r="AE929" s="94">
        <f>Table3.110[[#This Row],[Gas 8h, ml]]-Table3.110[[#This Row],[Gas 0h, ml]]</f>
        <v>28.5</v>
      </c>
      <c r="AF929" s="94">
        <f>Table3.110[[#This Row],[Gas 24h, ml]]-Table3.110[[#This Row],[V8 Push back, ml]]</f>
        <v>45.5</v>
      </c>
      <c r="AG929" s="94">
        <f>Table3.110[[#This Row],[GP 8h, ml]]-(AVERAGE(AE$862,AE$863,AE$912,AE$913,AE$932,AE$933))*$AG$8</f>
        <v>25.254975227659141</v>
      </c>
      <c r="AH929" s="94">
        <f>Table3.110[[#This Row],[GP 8-24h, ml]]-(AVERAGE(AF$862,AF$863,AF$912,AF$913,AF$932,AF$933))*$AG$8</f>
        <v>41.185592064046816</v>
      </c>
      <c r="AI929" s="94">
        <f>Table3.110[[#This Row],[Net gas 8-24h, ml]]+Table3.110[[#This Row],[Net gas 8h, ml]]</f>
        <v>66.44056729170596</v>
      </c>
      <c r="AJ929" s="94">
        <f>Table3.110[[#This Row],[Net gas 8h, ml]]*Table3.110[[#This Row],[CH4 8h %]]%</f>
        <v>4.0407960364254629</v>
      </c>
      <c r="AK929" s="94">
        <f>Table3.110[[#This Row],[Net gas 8-24h, ml]]*Table3.110[[#This Row],[CH4 24h, %]]%</f>
        <v>7.0427362429520057</v>
      </c>
      <c r="AL929" s="94">
        <f>Table3.110[[#This Row],[CH4 8-24h, ml]]+Table3.110[[#This Row],[CH4 8h, ml]]</f>
        <v>11.083532279377469</v>
      </c>
      <c r="AM929" s="94">
        <f>(Table3.110[[#This Row],[Net gas 24h, ml]]/Table3.110[[#This Row],[DM Incubated, mg]])*1000</f>
        <v>142.01449884626166</v>
      </c>
      <c r="AN929" s="94">
        <f>'3.2 Digest'!X929</f>
        <v>9.4569113969830365</v>
      </c>
      <c r="AO929" s="94">
        <f>Table3.110[[#This Row],[Digested feed, mg]]/Table3.110[[#This Row],[Net gas 24h, ml]]</f>
        <v>0.66591168323036165</v>
      </c>
      <c r="AP929" s="94">
        <f>Table3.110[[#This Row],[CH4 8h, ml]]/Table3.110[[#This Row],[Net gas 8h, ml]]%</f>
        <v>16</v>
      </c>
      <c r="AQ929" s="94">
        <f>Table3.110[[#This Row],[CH4 24h, ml]]/Table3.110[[#This Row],[Net gas 24h, ml]]%</f>
        <v>16.681874841187682</v>
      </c>
      <c r="AR929" s="94">
        <f>Table3.110[[#This Row],[CH4 24h, ml]]/Table3.110[[#This Row],[DM Incubated, mg]]*1000</f>
        <v>23.690680953873294</v>
      </c>
      <c r="AS929" s="94">
        <f>Table3.110[[#This Row],[CH4 24h, ml]]/Table3.110[[#This Row],[Digested feed, mg]]*1000</f>
        <v>250.51182103103076</v>
      </c>
      <c r="AT929" s="94">
        <f>Table3.110[[#This Row],[CH4 24h, ml]]/'3.2 Digest'!AA929</f>
        <v>-0.58398645168211338</v>
      </c>
      <c r="AU929" s="94">
        <f>((Table3.110[[#This Row],[CH4 24h, ml]]/28.9)*16.04)/Table3.110[[#This Row],[DM Incubated, mg]]*1000</f>
        <v>13.148737802772581</v>
      </c>
      <c r="AV929" s="94">
        <f>((Table3.110[[#This Row],[CH4 24h, ml]]/28.9)*16.04)/Table3.110[[#This Row],[Digested feed, mg]]*1000</f>
        <v>139.03839478677276</v>
      </c>
      <c r="AW929" s="64"/>
    </row>
    <row r="930" spans="2:49" x14ac:dyDescent="0.35">
      <c r="B930" s="90">
        <f t="shared" si="14"/>
        <v>920</v>
      </c>
      <c r="C930" s="140">
        <v>46057</v>
      </c>
      <c r="D930" s="8" t="s">
        <v>120</v>
      </c>
      <c r="E930" s="6" t="s">
        <v>122</v>
      </c>
      <c r="F930" s="6" t="s">
        <v>123</v>
      </c>
      <c r="G930" s="6" t="s">
        <v>545</v>
      </c>
      <c r="H930" s="6" t="s">
        <v>125</v>
      </c>
      <c r="I930" s="6" t="s">
        <v>108</v>
      </c>
      <c r="J930" s="129" t="s">
        <v>109</v>
      </c>
      <c r="K930" s="129" t="s">
        <v>110</v>
      </c>
      <c r="L930" s="6" t="s">
        <v>121</v>
      </c>
      <c r="M930" s="93">
        <v>29</v>
      </c>
      <c r="N930" s="93">
        <v>63</v>
      </c>
      <c r="O930" s="6">
        <v>2</v>
      </c>
      <c r="P930" s="129">
        <v>2</v>
      </c>
      <c r="Q930" s="6">
        <v>231</v>
      </c>
      <c r="R930" s="98">
        <v>0.50039999999999996</v>
      </c>
      <c r="S930" s="94">
        <f>((Table3.110[[#This Row],[Sample weight, g]]*'2.1. DM'!Q239)/100)*1000</f>
        <v>468.12419999999992</v>
      </c>
      <c r="T930" s="94">
        <f>'3.2 Digest'!W930</f>
        <v>129.22419999999994</v>
      </c>
      <c r="U930" s="153">
        <v>0.3527777777777778</v>
      </c>
      <c r="V930" s="155">
        <v>41</v>
      </c>
      <c r="W930" s="153">
        <v>0.68402777777777779</v>
      </c>
      <c r="X930" s="91">
        <v>68.5</v>
      </c>
      <c r="Y930" s="91">
        <v>16.7</v>
      </c>
      <c r="Z930" s="154">
        <v>40</v>
      </c>
      <c r="AA930" s="153">
        <v>0.35833333333333334</v>
      </c>
      <c r="AB930" s="154">
        <v>88</v>
      </c>
      <c r="AC930" s="154">
        <v>16.899999999999999</v>
      </c>
      <c r="AD930" s="91"/>
      <c r="AE930" s="94">
        <f>Table3.110[[#This Row],[Gas 8h, ml]]-Table3.110[[#This Row],[Gas 0h, ml]]</f>
        <v>27.5</v>
      </c>
      <c r="AF930" s="94">
        <f>Table3.110[[#This Row],[Gas 24h, ml]]-Table3.110[[#This Row],[V8 Push back, ml]]</f>
        <v>48</v>
      </c>
      <c r="AG930" s="94">
        <f>Table3.110[[#This Row],[GP 8h, ml]]-(AVERAGE(AE$862,AE$863,AE$912,AE$913,AE$932,AE$933))*$AG$8</f>
        <v>24.254975227659141</v>
      </c>
      <c r="AH930" s="94">
        <f>Table3.110[[#This Row],[GP 8-24h, ml]]-(AVERAGE(AF$862,AF$863,AF$912,AF$913,AF$932,AF$933))*$AG$8</f>
        <v>43.685592064046816</v>
      </c>
      <c r="AI930" s="94">
        <f>Table3.110[[#This Row],[Net gas 8-24h, ml]]+Table3.110[[#This Row],[Net gas 8h, ml]]</f>
        <v>67.94056729170596</v>
      </c>
      <c r="AJ930" s="94">
        <f>Table3.110[[#This Row],[Net gas 8h, ml]]*Table3.110[[#This Row],[CH4 8h %]]%</f>
        <v>4.0505808630190758</v>
      </c>
      <c r="AK930" s="94">
        <f>Table3.110[[#This Row],[Net gas 8-24h, ml]]*Table3.110[[#This Row],[CH4 24h, %]]%</f>
        <v>7.3828650588239109</v>
      </c>
      <c r="AL930" s="94">
        <f>Table3.110[[#This Row],[CH4 8-24h, ml]]+Table3.110[[#This Row],[CH4 8h, ml]]</f>
        <v>11.433445921842987</v>
      </c>
      <c r="AM930" s="94">
        <f>(Table3.110[[#This Row],[Net gas 24h, ml]]/Table3.110[[#This Row],[DM Incubated, mg]])*1000</f>
        <v>145.13363609850967</v>
      </c>
      <c r="AN930" s="94">
        <f>'3.2 Digest'!X930</f>
        <v>27.604682688910327</v>
      </c>
      <c r="AO930" s="94">
        <f>Table3.110[[#This Row],[Digested feed, mg]]/Table3.110[[#This Row],[Net gas 24h, ml]]</f>
        <v>1.9020182661291283</v>
      </c>
      <c r="AP930" s="94">
        <f>Table3.110[[#This Row],[CH4 8h, ml]]/Table3.110[[#This Row],[Net gas 8h, ml]]%</f>
        <v>16.699999999999996</v>
      </c>
      <c r="AQ930" s="94">
        <f>Table3.110[[#This Row],[CH4 24h, ml]]/Table3.110[[#This Row],[Net gas 24h, ml]]%</f>
        <v>16.828599432726193</v>
      </c>
      <c r="AR930" s="94">
        <f>Table3.110[[#This Row],[CH4 24h, ml]]/Table3.110[[#This Row],[DM Incubated, mg]]*1000</f>
        <v>24.4239582611687</v>
      </c>
      <c r="AS930" s="94">
        <f>Table3.110[[#This Row],[CH4 24h, ml]]/Table3.110[[#This Row],[Digested feed, mg]]*1000</f>
        <v>88.477591053711237</v>
      </c>
      <c r="AT930" s="94">
        <f>Table3.110[[#This Row],[CH4 24h, ml]]/'3.2 Digest'!AA930</f>
        <v>2.3486093350363952</v>
      </c>
      <c r="AU930" s="94">
        <f>((Table3.110[[#This Row],[CH4 24h, ml]]/28.9)*16.04)/Table3.110[[#This Row],[DM Incubated, mg]]*1000</f>
        <v>13.555719394780137</v>
      </c>
      <c r="AV930" s="94">
        <f>((Table3.110[[#This Row],[CH4 24h, ml]]/28.9)*16.04)/Table3.110[[#This Row],[Digested feed, mg]]*1000</f>
        <v>49.10659378898022</v>
      </c>
      <c r="AW930" s="64"/>
    </row>
    <row r="931" spans="2:49" x14ac:dyDescent="0.35">
      <c r="B931" s="90">
        <f t="shared" si="14"/>
        <v>921</v>
      </c>
      <c r="C931" s="140">
        <v>46057</v>
      </c>
      <c r="D931" s="8" t="s">
        <v>120</v>
      </c>
      <c r="E931" s="6" t="s">
        <v>122</v>
      </c>
      <c r="F931" s="6" t="s">
        <v>123</v>
      </c>
      <c r="G931" s="6" t="s">
        <v>545</v>
      </c>
      <c r="H931" s="6" t="s">
        <v>125</v>
      </c>
      <c r="I931" s="6" t="s">
        <v>108</v>
      </c>
      <c r="J931" s="129" t="s">
        <v>109</v>
      </c>
      <c r="K931" s="129" t="s">
        <v>110</v>
      </c>
      <c r="L931" s="6" t="s">
        <v>121</v>
      </c>
      <c r="M931" s="93">
        <v>29</v>
      </c>
      <c r="N931" s="93">
        <v>63</v>
      </c>
      <c r="O931" s="6">
        <v>2</v>
      </c>
      <c r="P931" s="129">
        <v>3</v>
      </c>
      <c r="Q931" s="6">
        <v>232</v>
      </c>
      <c r="R931" s="98">
        <v>0.50029999999999997</v>
      </c>
      <c r="S931" s="94">
        <f>((Table3.110[[#This Row],[Sample weight, g]]*'2.1. DM'!Q239)/100)*1000</f>
        <v>468.03064999999998</v>
      </c>
      <c r="T931" s="94">
        <f>'3.2 Digest'!W931</f>
        <v>140.43064999999996</v>
      </c>
      <c r="U931" s="117">
        <v>0.3527777777777778</v>
      </c>
      <c r="V931" s="155">
        <v>41</v>
      </c>
      <c r="W931" s="117">
        <v>0.68402777777777779</v>
      </c>
      <c r="X931" s="96">
        <v>68.5</v>
      </c>
      <c r="Y931" s="96">
        <v>15.8</v>
      </c>
      <c r="Z931" s="155">
        <v>40</v>
      </c>
      <c r="AA931" s="117">
        <v>0.35902777777777778</v>
      </c>
      <c r="AB931" s="155">
        <v>83.5</v>
      </c>
      <c r="AC931" s="155">
        <v>17</v>
      </c>
      <c r="AD931" s="96"/>
      <c r="AE931" s="94">
        <f>Table3.110[[#This Row],[Gas 8h, ml]]-Table3.110[[#This Row],[Gas 0h, ml]]</f>
        <v>27.5</v>
      </c>
      <c r="AF931" s="94">
        <f>Table3.110[[#This Row],[Gas 24h, ml]]-Table3.110[[#This Row],[V8 Push back, ml]]</f>
        <v>43.5</v>
      </c>
      <c r="AG931" s="94">
        <f>Table3.110[[#This Row],[GP 8h, ml]]-(AVERAGE(AE$862,AE$863,AE$912,AE$913,AE$932,AE$933))*$AG$8</f>
        <v>24.254975227659141</v>
      </c>
      <c r="AH931" s="94">
        <f>Table3.110[[#This Row],[GP 8-24h, ml]]-(AVERAGE(AF$862,AF$863,AF$912,AF$913,AF$932,AF$933))*$AG$8</f>
        <v>39.185592064046816</v>
      </c>
      <c r="AI931" s="94">
        <f>Table3.110[[#This Row],[Net gas 8-24h, ml]]+Table3.110[[#This Row],[Net gas 8h, ml]]</f>
        <v>63.44056729170596</v>
      </c>
      <c r="AJ931" s="94">
        <f>Table3.110[[#This Row],[Net gas 8h, ml]]*Table3.110[[#This Row],[CH4 8h %]]%</f>
        <v>3.8322860859701442</v>
      </c>
      <c r="AK931" s="94">
        <f>Table3.110[[#This Row],[Net gas 8-24h, ml]]*Table3.110[[#This Row],[CH4 24h, %]]%</f>
        <v>6.6615506508879587</v>
      </c>
      <c r="AL931" s="94">
        <f>Table3.110[[#This Row],[CH4 8-24h, ml]]+Table3.110[[#This Row],[CH4 8h, ml]]</f>
        <v>10.493836736858103</v>
      </c>
      <c r="AM931" s="94">
        <f>(Table3.110[[#This Row],[Net gas 24h, ml]]/Table3.110[[#This Row],[DM Incubated, mg]])*1000</f>
        <v>135.54789048902239</v>
      </c>
      <c r="AN931" s="94">
        <f>'3.2 Digest'!X931</f>
        <v>30.004584101489929</v>
      </c>
      <c r="AO931" s="94">
        <f>Table3.110[[#This Row],[Digested feed, mg]]/Table3.110[[#This Row],[Net gas 24h, ml]]</f>
        <v>2.213578093560955</v>
      </c>
      <c r="AP931" s="94">
        <f>Table3.110[[#This Row],[CH4 8h, ml]]/Table3.110[[#This Row],[Net gas 8h, ml]]%</f>
        <v>15.799999999999999</v>
      </c>
      <c r="AQ931" s="94">
        <f>Table3.110[[#This Row],[CH4 24h, ml]]/Table3.110[[#This Row],[Net gas 24h, ml]]%</f>
        <v>16.541208858688812</v>
      </c>
      <c r="AR931" s="94">
        <f>Table3.110[[#This Row],[CH4 24h, ml]]/Table3.110[[#This Row],[DM Incubated, mg]]*1000</f>
        <v>22.421259669335981</v>
      </c>
      <c r="AS931" s="94">
        <f>Table3.110[[#This Row],[CH4 24h, ml]]/Table3.110[[#This Row],[Digested feed, mg]]*1000</f>
        <v>74.726113828128732</v>
      </c>
      <c r="AT931" s="94">
        <f>Table3.110[[#This Row],[CH4 24h, ml]]/'3.2 Digest'!AA931</f>
        <v>1.308166064056673</v>
      </c>
      <c r="AU931" s="94">
        <f>((Table3.110[[#This Row],[CH4 24h, ml]]/28.9)*16.04)/Table3.110[[#This Row],[DM Incubated, mg]]*1000</f>
        <v>12.444187027548415</v>
      </c>
      <c r="AV931" s="94">
        <f>((Table3.110[[#This Row],[CH4 24h, ml]]/28.9)*16.04)/Table3.110[[#This Row],[Digested feed, mg]]*1000</f>
        <v>41.474286013951044</v>
      </c>
      <c r="AW931" s="64"/>
    </row>
    <row r="932" spans="2:49" x14ac:dyDescent="0.35">
      <c r="B932" s="90">
        <f t="shared" si="14"/>
        <v>922</v>
      </c>
      <c r="C932" s="140">
        <v>46057</v>
      </c>
      <c r="D932" s="92"/>
      <c r="E932" s="6" t="s">
        <v>537</v>
      </c>
      <c r="F932" s="6" t="s">
        <v>538</v>
      </c>
      <c r="G932" s="6">
        <v>24</v>
      </c>
      <c r="H932" s="6" t="s">
        <v>537</v>
      </c>
      <c r="I932" s="277"/>
      <c r="J932" s="278"/>
      <c r="K932" s="6"/>
      <c r="L932" s="6" t="s">
        <v>539</v>
      </c>
      <c r="M932" s="93">
        <v>29</v>
      </c>
      <c r="N932" s="93">
        <v>63</v>
      </c>
      <c r="O932" s="6">
        <v>2</v>
      </c>
      <c r="P932" s="129">
        <v>1</v>
      </c>
      <c r="Q932" s="6">
        <v>233</v>
      </c>
      <c r="R932" s="98"/>
      <c r="S932" s="94"/>
      <c r="T932" s="94"/>
      <c r="U932" s="153">
        <v>0.35347222222222224</v>
      </c>
      <c r="V932" s="154">
        <v>40</v>
      </c>
      <c r="W932" s="153">
        <v>0.68472222222222223</v>
      </c>
      <c r="X932" s="91">
        <v>44.5</v>
      </c>
      <c r="Y932" s="91"/>
      <c r="Z932" s="154">
        <v>40</v>
      </c>
      <c r="AA932" s="153">
        <v>0.35902777777777778</v>
      </c>
      <c r="AB932" s="154">
        <v>45</v>
      </c>
      <c r="AC932" s="154"/>
      <c r="AD932" s="91"/>
      <c r="AE932" s="94">
        <f>Table3.110[[#This Row],[Gas 8h, ml]]-Table3.110[[#This Row],[Gas 0h, ml]]</f>
        <v>4.5</v>
      </c>
      <c r="AF932" s="94">
        <f>Table3.110[[#This Row],[Gas 24h, ml]]-Table3.110[[#This Row],[V8 Push back, ml]]</f>
        <v>5</v>
      </c>
      <c r="AG932" s="94"/>
      <c r="AH932" s="94"/>
      <c r="AI932" s="94"/>
      <c r="AJ932" s="94"/>
      <c r="AK932" s="94"/>
      <c r="AL932" s="94"/>
      <c r="AM932" s="94"/>
      <c r="AN932" s="94"/>
      <c r="AO932" s="94"/>
      <c r="AP932" s="94"/>
      <c r="AQ932" s="94"/>
      <c r="AR932" s="94"/>
      <c r="AS932" s="94"/>
      <c r="AT932" s="94"/>
      <c r="AU932" s="94"/>
      <c r="AV932" s="94"/>
      <c r="AW932" s="64"/>
    </row>
    <row r="933" spans="2:49" x14ac:dyDescent="0.35">
      <c r="B933" s="90">
        <f t="shared" si="14"/>
        <v>923</v>
      </c>
      <c r="C933" s="140">
        <v>46057</v>
      </c>
      <c r="D933" s="92"/>
      <c r="E933" s="6" t="s">
        <v>537</v>
      </c>
      <c r="F933" s="6" t="s">
        <v>538</v>
      </c>
      <c r="G933" s="6">
        <v>24</v>
      </c>
      <c r="H933" s="6" t="s">
        <v>537</v>
      </c>
      <c r="I933" s="277"/>
      <c r="J933" s="278"/>
      <c r="K933" s="6"/>
      <c r="L933" s="6" t="s">
        <v>539</v>
      </c>
      <c r="M933" s="93">
        <v>29</v>
      </c>
      <c r="N933" s="93">
        <v>63</v>
      </c>
      <c r="O933" s="6">
        <v>2</v>
      </c>
      <c r="P933" s="129">
        <v>2</v>
      </c>
      <c r="Q933" s="6">
        <v>234</v>
      </c>
      <c r="R933" s="98"/>
      <c r="S933" s="94"/>
      <c r="T933" s="94"/>
      <c r="U933" s="117">
        <v>0.35347222222222224</v>
      </c>
      <c r="V933" s="155">
        <v>39.5</v>
      </c>
      <c r="W933" s="117">
        <v>0.68472222222222223</v>
      </c>
      <c r="X933" s="96">
        <v>43.5</v>
      </c>
      <c r="Y933" s="96"/>
      <c r="Z933" s="155">
        <v>39.5</v>
      </c>
      <c r="AA933" s="117">
        <v>0.35972222222222222</v>
      </c>
      <c r="AB933" s="155">
        <v>45</v>
      </c>
      <c r="AC933" s="155"/>
      <c r="AD933" s="96"/>
      <c r="AE933" s="94">
        <f>Table3.110[[#This Row],[Gas 8h, ml]]-Table3.110[[#This Row],[Gas 0h, ml]]</f>
        <v>4</v>
      </c>
      <c r="AF933" s="94">
        <f>Table3.110[[#This Row],[Gas 24h, ml]]-Table3.110[[#This Row],[V8 Push back, ml]]</f>
        <v>5.5</v>
      </c>
      <c r="AG933" s="94"/>
      <c r="AH933" s="94"/>
      <c r="AI933" s="94"/>
      <c r="AJ933" s="94"/>
      <c r="AK933" s="94"/>
      <c r="AL933" s="94"/>
      <c r="AM933" s="94"/>
      <c r="AN933" s="94"/>
      <c r="AO933" s="94"/>
      <c r="AP933" s="94"/>
      <c r="AQ933" s="94"/>
      <c r="AR933" s="94"/>
      <c r="AS933" s="94"/>
      <c r="AT933" s="94"/>
      <c r="AU933" s="94"/>
      <c r="AV933" s="94"/>
      <c r="AW933" s="64"/>
    </row>
    <row r="934" spans="2:49" x14ac:dyDescent="0.35">
      <c r="B934" s="90">
        <f t="shared" si="14"/>
        <v>924</v>
      </c>
      <c r="C934" s="140">
        <v>46078</v>
      </c>
      <c r="D934" s="92"/>
      <c r="E934" s="6" t="s">
        <v>537</v>
      </c>
      <c r="F934" s="6" t="s">
        <v>538</v>
      </c>
      <c r="G934" s="6">
        <v>24</v>
      </c>
      <c r="H934" s="6" t="s">
        <v>537</v>
      </c>
      <c r="I934" s="277"/>
      <c r="J934" s="278"/>
      <c r="K934" s="6"/>
      <c r="L934" s="6" t="s">
        <v>539</v>
      </c>
      <c r="M934" s="93">
        <v>29</v>
      </c>
      <c r="N934" s="93">
        <v>70</v>
      </c>
      <c r="O934" s="6">
        <v>3</v>
      </c>
      <c r="P934" s="6">
        <v>1</v>
      </c>
      <c r="Q934" s="6">
        <v>199</v>
      </c>
      <c r="R934" s="98"/>
      <c r="S934" s="94"/>
      <c r="T934" s="94"/>
      <c r="U934" s="153">
        <v>0.32569444444444445</v>
      </c>
      <c r="V934" s="154">
        <v>39</v>
      </c>
      <c r="W934" s="153">
        <v>0.65625</v>
      </c>
      <c r="X934" s="91">
        <v>41</v>
      </c>
      <c r="Y934" s="91"/>
      <c r="Z934" s="154">
        <v>39</v>
      </c>
      <c r="AA934" s="153">
        <v>0.33194444444444443</v>
      </c>
      <c r="AB934" s="154">
        <v>42</v>
      </c>
      <c r="AC934" s="154"/>
      <c r="AD934" s="91"/>
      <c r="AE934" s="94">
        <f>Table3.110[[#This Row],[Gas 8h, ml]]-Table3.110[[#This Row],[Gas 0h, ml]]</f>
        <v>2</v>
      </c>
      <c r="AF934" s="94">
        <f>Table3.110[[#This Row],[Gas 24h, ml]]-Table3.110[[#This Row],[V8 Push back, ml]]</f>
        <v>3</v>
      </c>
      <c r="AG934" s="94"/>
      <c r="AH934" s="94"/>
      <c r="AI934" s="94"/>
      <c r="AJ934" s="94"/>
      <c r="AK934" s="94"/>
      <c r="AL934" s="94"/>
      <c r="AM934" s="94"/>
      <c r="AN934" s="94"/>
      <c r="AO934" s="94"/>
      <c r="AP934" s="94"/>
      <c r="AQ934" s="94"/>
      <c r="AR934" s="94"/>
      <c r="AS934" s="94"/>
      <c r="AT934" s="94"/>
      <c r="AU934" s="94"/>
      <c r="AV934" s="94"/>
      <c r="AW934" s="64"/>
    </row>
    <row r="935" spans="2:49" x14ac:dyDescent="0.35">
      <c r="B935" s="90">
        <f t="shared" si="14"/>
        <v>925</v>
      </c>
      <c r="C935" s="140">
        <v>46078</v>
      </c>
      <c r="D935" s="92"/>
      <c r="E935" s="6" t="s">
        <v>537</v>
      </c>
      <c r="F935" s="6" t="s">
        <v>538</v>
      </c>
      <c r="G935" s="6">
        <v>24</v>
      </c>
      <c r="H935" s="6" t="s">
        <v>537</v>
      </c>
      <c r="I935" s="277"/>
      <c r="J935" s="278"/>
      <c r="K935" s="6"/>
      <c r="L935" s="6" t="s">
        <v>539</v>
      </c>
      <c r="M935" s="93">
        <v>29</v>
      </c>
      <c r="N935" s="93">
        <v>70</v>
      </c>
      <c r="O935" s="6">
        <v>3</v>
      </c>
      <c r="P935" s="129">
        <v>2</v>
      </c>
      <c r="Q935" s="6">
        <v>200</v>
      </c>
      <c r="R935" s="98"/>
      <c r="S935" s="94"/>
      <c r="T935" s="94"/>
      <c r="U935" s="117">
        <v>0.32569444444444445</v>
      </c>
      <c r="V935" s="155">
        <v>40</v>
      </c>
      <c r="W935" s="117">
        <v>0.65694444444444444</v>
      </c>
      <c r="X935" s="96">
        <v>42</v>
      </c>
      <c r="Y935" s="96"/>
      <c r="Z935" s="155">
        <v>39.5</v>
      </c>
      <c r="AA935" s="117">
        <v>0.33194444444444443</v>
      </c>
      <c r="AB935" s="155">
        <v>42.5</v>
      </c>
      <c r="AC935" s="155"/>
      <c r="AD935" s="96"/>
      <c r="AE935" s="94">
        <f>Table3.110[[#This Row],[Gas 8h, ml]]-Table3.110[[#This Row],[Gas 0h, ml]]</f>
        <v>2</v>
      </c>
      <c r="AF935" s="94">
        <f>Table3.110[[#This Row],[Gas 24h, ml]]-Table3.110[[#This Row],[V8 Push back, ml]]</f>
        <v>3</v>
      </c>
      <c r="AG935" s="94"/>
      <c r="AH935" s="94"/>
      <c r="AI935" s="94"/>
      <c r="AJ935" s="94"/>
      <c r="AK935" s="94"/>
      <c r="AL935" s="94"/>
      <c r="AM935" s="94"/>
      <c r="AN935" s="94"/>
      <c r="AO935" s="94"/>
      <c r="AP935" s="94"/>
      <c r="AQ935" s="94"/>
      <c r="AR935" s="94"/>
      <c r="AS935" s="94"/>
      <c r="AT935" s="94"/>
      <c r="AU935" s="94"/>
      <c r="AV935" s="94"/>
      <c r="AW935" s="64"/>
    </row>
    <row r="936" spans="2:49" x14ac:dyDescent="0.35">
      <c r="B936" s="90">
        <f t="shared" si="14"/>
        <v>926</v>
      </c>
      <c r="C936" s="140">
        <v>46078</v>
      </c>
      <c r="D936" s="6" t="s">
        <v>16</v>
      </c>
      <c r="E936" s="6" t="s">
        <v>322</v>
      </c>
      <c r="F936" s="6" t="s">
        <v>290</v>
      </c>
      <c r="G936" s="6" t="s">
        <v>318</v>
      </c>
      <c r="H936" s="6" t="s">
        <v>319</v>
      </c>
      <c r="I936" s="6" t="s">
        <v>22</v>
      </c>
      <c r="J936" s="129" t="s">
        <v>23</v>
      </c>
      <c r="K936" s="129" t="s">
        <v>215</v>
      </c>
      <c r="L936" s="6" t="s">
        <v>321</v>
      </c>
      <c r="M936" s="93">
        <v>29</v>
      </c>
      <c r="N936" s="93">
        <v>70</v>
      </c>
      <c r="O936" s="6">
        <v>3</v>
      </c>
      <c r="P936" s="129">
        <v>1</v>
      </c>
      <c r="Q936" s="6">
        <v>201</v>
      </c>
      <c r="R936" s="98">
        <v>0.50049999999999994</v>
      </c>
      <c r="S936" s="94">
        <f>((Table3.110[[#This Row],[Sample weight, g]]*'2.1. DM'!Q197)/100)*1000</f>
        <v>448.13051798460424</v>
      </c>
      <c r="T936" s="94">
        <f>'3.2 Digest'!W936</f>
        <v>194.43051798460419</v>
      </c>
      <c r="U936" s="153">
        <v>0.3263888888888889</v>
      </c>
      <c r="V936" s="154">
        <v>41</v>
      </c>
      <c r="W936" s="153">
        <v>0.65694444444444444</v>
      </c>
      <c r="X936" s="91">
        <v>76</v>
      </c>
      <c r="Y936" s="91">
        <v>13.1</v>
      </c>
      <c r="Z936" s="154">
        <v>40</v>
      </c>
      <c r="AA936" s="153">
        <v>0.33263888888888887</v>
      </c>
      <c r="AB936" s="154">
        <v>72</v>
      </c>
      <c r="AC936" s="154">
        <v>12.5</v>
      </c>
      <c r="AD936" s="91"/>
      <c r="AE936" s="94">
        <f>Table3.110[[#This Row],[Gas 8h, ml]]-Table3.110[[#This Row],[Gas 0h, ml]]</f>
        <v>35</v>
      </c>
      <c r="AF936" s="94">
        <f>Table3.110[[#This Row],[Gas 24h, ml]]-Table3.110[[#This Row],[V8 Push back, ml]]</f>
        <v>32</v>
      </c>
      <c r="AG936" s="94">
        <f>Table3.110[[#This Row],[GP 8h, ml]]-(AVERAGE(AE$934,AE$935,AE$958,AE$959))*$AG$8</f>
        <v>33.00873479879084</v>
      </c>
      <c r="AH936" s="94">
        <f>Table3.110[[#This Row],[GP 8-24h, ml]]-(AVERAGE(AF$934,AF$935,AF$958,AF$959))*$AG$8</f>
        <v>29.344979731721114</v>
      </c>
      <c r="AI936" s="94">
        <f>Table3.110[[#This Row],[Net gas 8-24h, ml]]+Table3.110[[#This Row],[Net gas 8h, ml]]</f>
        <v>62.353714530511951</v>
      </c>
      <c r="AJ936" s="94">
        <f>Table3.110[[#This Row],[Net gas 8h, ml]]*Table3.110[[#This Row],[CH4 8h %]]%</f>
        <v>4.3241442586416001</v>
      </c>
      <c r="AK936" s="94">
        <f>Table3.110[[#This Row],[Net gas 8-24h, ml]]*Table3.110[[#This Row],[CH4 24h, %]]%</f>
        <v>3.6681224664651393</v>
      </c>
      <c r="AL936" s="94">
        <f>Table3.110[[#This Row],[CH4 8-24h, ml]]+Table3.110[[#This Row],[CH4 8h, ml]]</f>
        <v>7.9922667251067399</v>
      </c>
      <c r="AM936" s="94">
        <f>(Table3.110[[#This Row],[Net gas 24h, ml]]/Table3.110[[#This Row],[DM Incubated, mg]])*1000</f>
        <v>139.1418616409743</v>
      </c>
      <c r="AN936" s="94">
        <f>'3.2 Digest'!X936</f>
        <v>43.387029042124723</v>
      </c>
      <c r="AO936" s="94">
        <f>Table3.110[[#This Row],[Digested feed, mg]]/Table3.110[[#This Row],[Net gas 24h, ml]]</f>
        <v>3.1181866140382422</v>
      </c>
      <c r="AP936" s="94">
        <f>Table3.110[[#This Row],[CH4 8h, ml]]/Table3.110[[#This Row],[Net gas 8h, ml]]%</f>
        <v>13.1</v>
      </c>
      <c r="AQ936" s="94">
        <f>Table3.110[[#This Row],[CH4 24h, ml]]/Table3.110[[#This Row],[Net gas 24h, ml]]%</f>
        <v>12.817627282165896</v>
      </c>
      <c r="AR936" s="94">
        <f>Table3.110[[#This Row],[CH4 24h, ml]]/Table3.110[[#This Row],[DM Incubated, mg]]*1000</f>
        <v>17.834685218607046</v>
      </c>
      <c r="AS936" s="94">
        <f>Table3.110[[#This Row],[CH4 24h, ml]]/Table3.110[[#This Row],[Digested feed, mg]]*1000</f>
        <v>41.106030102432783</v>
      </c>
      <c r="AT936" s="94">
        <f>Table3.110[[#This Row],[CH4 24h, ml]]/'3.2 Digest'!AA936</f>
        <v>-1.0811698546873039</v>
      </c>
      <c r="AU936" s="94">
        <f>((Table3.110[[#This Row],[CH4 24h, ml]]/28.9)*16.04)/Table3.110[[#This Row],[DM Incubated, mg]]*1000</f>
        <v>9.8985588548947074</v>
      </c>
      <c r="AV936" s="94">
        <f>((Table3.110[[#This Row],[CH4 24h, ml]]/28.9)*16.04)/Table3.110[[#This Row],[Digested feed, mg]]*1000</f>
        <v>22.814557883841591</v>
      </c>
      <c r="AW936" s="64"/>
    </row>
    <row r="937" spans="2:49" x14ac:dyDescent="0.35">
      <c r="B937" s="90">
        <f t="shared" si="14"/>
        <v>927</v>
      </c>
      <c r="C937" s="140">
        <v>46078</v>
      </c>
      <c r="D937" s="6" t="s">
        <v>16</v>
      </c>
      <c r="E937" s="6" t="s">
        <v>322</v>
      </c>
      <c r="F937" s="6" t="s">
        <v>290</v>
      </c>
      <c r="G937" s="6" t="s">
        <v>318</v>
      </c>
      <c r="H937" s="6" t="s">
        <v>319</v>
      </c>
      <c r="I937" s="6" t="s">
        <v>22</v>
      </c>
      <c r="J937" s="129" t="s">
        <v>23</v>
      </c>
      <c r="K937" s="129" t="s">
        <v>215</v>
      </c>
      <c r="L937" s="6" t="s">
        <v>321</v>
      </c>
      <c r="M937" s="93">
        <v>29</v>
      </c>
      <c r="N937" s="93">
        <v>70</v>
      </c>
      <c r="O937" s="6">
        <v>3</v>
      </c>
      <c r="P937" s="6">
        <v>2</v>
      </c>
      <c r="Q937" s="6">
        <v>202</v>
      </c>
      <c r="R937" s="98">
        <v>0.50009999999999999</v>
      </c>
      <c r="S937" s="94">
        <f>((Table3.110[[#This Row],[Sample weight, g]]*'2.1. DM'!Q197)/100)*1000</f>
        <v>447.77237171648466</v>
      </c>
      <c r="T937" s="94">
        <f>'3.2 Digest'!W937</f>
        <v>191.17237171648463</v>
      </c>
      <c r="U937" s="117">
        <v>0.3263888888888889</v>
      </c>
      <c r="V937" s="155">
        <v>40.5</v>
      </c>
      <c r="W937" s="117">
        <v>0.65694444444444444</v>
      </c>
      <c r="X937" s="96">
        <v>75.5</v>
      </c>
      <c r="Y937" s="96">
        <v>13.8</v>
      </c>
      <c r="Z937" s="155">
        <v>39.5</v>
      </c>
      <c r="AA937" s="117">
        <v>0.33263888888888887</v>
      </c>
      <c r="AB937" s="155">
        <v>72</v>
      </c>
      <c r="AC937" s="155">
        <v>14.6</v>
      </c>
      <c r="AD937" s="96"/>
      <c r="AE937" s="94">
        <f>Table3.110[[#This Row],[Gas 8h, ml]]-Table3.110[[#This Row],[Gas 0h, ml]]</f>
        <v>35</v>
      </c>
      <c r="AF937" s="94">
        <f>Table3.110[[#This Row],[Gas 24h, ml]]-Table3.110[[#This Row],[V8 Push back, ml]]</f>
        <v>32.5</v>
      </c>
      <c r="AG937" s="94">
        <f>Table3.110[[#This Row],[GP 8h, ml]]-(AVERAGE(AE$934,AE$935,AE$958,AE$959))*$AG$8</f>
        <v>33.00873479879084</v>
      </c>
      <c r="AH937" s="94">
        <f>Table3.110[[#This Row],[GP 8-24h, ml]]-(AVERAGE(AF$934,AF$935,AF$958,AF$959))*$AG$8</f>
        <v>29.844979731721114</v>
      </c>
      <c r="AI937" s="94">
        <f>Table3.110[[#This Row],[Net gas 8-24h, ml]]+Table3.110[[#This Row],[Net gas 8h, ml]]</f>
        <v>62.853714530511951</v>
      </c>
      <c r="AJ937" s="94">
        <f>Table3.110[[#This Row],[Net gas 8h, ml]]*Table3.110[[#This Row],[CH4 8h %]]%</f>
        <v>4.5552054022331365</v>
      </c>
      <c r="AK937" s="94">
        <f>Table3.110[[#This Row],[Net gas 8-24h, ml]]*Table3.110[[#This Row],[CH4 24h, %]]%</f>
        <v>4.3573670408312823</v>
      </c>
      <c r="AL937" s="94">
        <f>Table3.110[[#This Row],[CH4 8-24h, ml]]+Table3.110[[#This Row],[CH4 8h, ml]]</f>
        <v>8.9125724430644198</v>
      </c>
      <c r="AM937" s="94">
        <f>(Table3.110[[#This Row],[Net gas 24h, ml]]/Table3.110[[#This Row],[DM Incubated, mg]])*1000</f>
        <v>140.36979166349491</v>
      </c>
      <c r="AN937" s="94">
        <f>'3.2 Digest'!X937</f>
        <v>42.694097222579188</v>
      </c>
      <c r="AO937" s="94">
        <f>Table3.110[[#This Row],[Digested feed, mg]]/Table3.110[[#This Row],[Net gas 24h, ml]]</f>
        <v>3.0415445315277458</v>
      </c>
      <c r="AP937" s="94">
        <f>Table3.110[[#This Row],[CH4 8h, ml]]/Table3.110[[#This Row],[Net gas 8h, ml]]%</f>
        <v>13.800000000000002</v>
      </c>
      <c r="AQ937" s="94">
        <f>Table3.110[[#This Row],[CH4 24h, ml]]/Table3.110[[#This Row],[Net gas 24h, ml]]%</f>
        <v>14.179865915065157</v>
      </c>
      <c r="AR937" s="94">
        <f>Table3.110[[#This Row],[CH4 24h, ml]]/Table3.110[[#This Row],[DM Incubated, mg]]*1000</f>
        <v>19.904248243139886</v>
      </c>
      <c r="AS937" s="94">
        <f>Table3.110[[#This Row],[CH4 24h, ml]]/Table3.110[[#This Row],[Digested feed, mg]]*1000</f>
        <v>46.620609259804965</v>
      </c>
      <c r="AT937" s="94">
        <f>Table3.110[[#This Row],[CH4 24h, ml]]/'3.2 Digest'!AA937</f>
        <v>-1.0236452949658603</v>
      </c>
      <c r="AU937" s="94">
        <f>((Table3.110[[#This Row],[CH4 24h, ml]]/28.9)*16.04)/Table3.110[[#This Row],[DM Incubated, mg]]*1000</f>
        <v>11.047202139099092</v>
      </c>
      <c r="AV937" s="94">
        <f>((Table3.110[[#This Row],[CH4 24h, ml]]/28.9)*16.04)/Table3.110[[#This Row],[Digested feed, mg]]*1000</f>
        <v>25.875244724127043</v>
      </c>
      <c r="AW937" s="64"/>
    </row>
    <row r="938" spans="2:49" x14ac:dyDescent="0.35">
      <c r="B938" s="90">
        <f t="shared" si="14"/>
        <v>928</v>
      </c>
      <c r="C938" s="140">
        <v>46078</v>
      </c>
      <c r="D938" s="6" t="s">
        <v>16</v>
      </c>
      <c r="E938" s="6" t="s">
        <v>326</v>
      </c>
      <c r="F938" s="6" t="s">
        <v>290</v>
      </c>
      <c r="G938" s="6" t="s">
        <v>318</v>
      </c>
      <c r="H938" s="6" t="s">
        <v>319</v>
      </c>
      <c r="I938" s="6" t="s">
        <v>22</v>
      </c>
      <c r="J938" s="129" t="s">
        <v>23</v>
      </c>
      <c r="K938" s="129" t="s">
        <v>215</v>
      </c>
      <c r="L938" s="6" t="s">
        <v>325</v>
      </c>
      <c r="M938" s="93">
        <v>29</v>
      </c>
      <c r="N938" s="93">
        <v>70</v>
      </c>
      <c r="O938" s="6">
        <v>3</v>
      </c>
      <c r="P938" s="129">
        <v>1</v>
      </c>
      <c r="Q938" s="6">
        <v>203</v>
      </c>
      <c r="R938" s="98">
        <v>0.50039999999999996</v>
      </c>
      <c r="S938" s="94">
        <f>((Table3.110[[#This Row],[Sample weight, g]]*'2.1. DM'!Q199)/100)*1000</f>
        <v>465.07706335545174</v>
      </c>
      <c r="T938" s="94">
        <f>'3.2 Digest'!W938</f>
        <v>180.47706335545178</v>
      </c>
      <c r="U938" s="117">
        <v>0.3263888888888889</v>
      </c>
      <c r="V938" s="155">
        <v>40.5</v>
      </c>
      <c r="W938" s="117">
        <v>0.65763888888888888</v>
      </c>
      <c r="X938" s="96">
        <v>70.5</v>
      </c>
      <c r="Y938" s="96">
        <v>12.2</v>
      </c>
      <c r="Z938" s="155">
        <v>40</v>
      </c>
      <c r="AA938" s="117">
        <v>0.33333333333333331</v>
      </c>
      <c r="AB938" s="155">
        <v>73</v>
      </c>
      <c r="AC938" s="155">
        <v>13.7</v>
      </c>
      <c r="AD938" s="96"/>
      <c r="AE938" s="94">
        <f>Table3.110[[#This Row],[Gas 8h, ml]]-Table3.110[[#This Row],[Gas 0h, ml]]</f>
        <v>30</v>
      </c>
      <c r="AF938" s="94">
        <f>Table3.110[[#This Row],[Gas 24h, ml]]-Table3.110[[#This Row],[V8 Push back, ml]]</f>
        <v>33</v>
      </c>
      <c r="AG938" s="94">
        <f>Table3.110[[#This Row],[GP 8h, ml]]-(AVERAGE(AE$934,AE$935,AE$958,AE$959))*$AG$8</f>
        <v>28.008734798790837</v>
      </c>
      <c r="AH938" s="94">
        <f>Table3.110[[#This Row],[GP 8-24h, ml]]-(AVERAGE(AF$934,AF$935,AF$958,AF$959))*$AG$8</f>
        <v>30.344979731721114</v>
      </c>
      <c r="AI938" s="94">
        <f>Table3.110[[#This Row],[Net gas 8-24h, ml]]+Table3.110[[#This Row],[Net gas 8h, ml]]</f>
        <v>58.353714530511951</v>
      </c>
      <c r="AJ938" s="94">
        <f>Table3.110[[#This Row],[Net gas 8h, ml]]*Table3.110[[#This Row],[CH4 8h %]]%</f>
        <v>3.4170656454524821</v>
      </c>
      <c r="AK938" s="94">
        <f>Table3.110[[#This Row],[Net gas 8-24h, ml]]*Table3.110[[#This Row],[CH4 24h, %]]%</f>
        <v>4.1572622232457919</v>
      </c>
      <c r="AL938" s="94">
        <f>Table3.110[[#This Row],[CH4 8-24h, ml]]+Table3.110[[#This Row],[CH4 8h, ml]]</f>
        <v>7.5743278686982745</v>
      </c>
      <c r="AM938" s="94">
        <f>(Table3.110[[#This Row],[Net gas 24h, ml]]/Table3.110[[#This Row],[DM Incubated, mg]])*1000</f>
        <v>125.47106518111181</v>
      </c>
      <c r="AN938" s="94">
        <f>'3.2 Digest'!X938</f>
        <v>38.805840488744067</v>
      </c>
      <c r="AO938" s="94">
        <f>Table3.110[[#This Row],[Digested feed, mg]]/Table3.110[[#This Row],[Net gas 24h, ml]]</f>
        <v>3.0928119110752417</v>
      </c>
      <c r="AP938" s="94">
        <f>Table3.110[[#This Row],[CH4 8h, ml]]/Table3.110[[#This Row],[Net gas 8h, ml]]%</f>
        <v>12.200000000000001</v>
      </c>
      <c r="AQ938" s="94">
        <f>Table3.110[[#This Row],[CH4 24h, ml]]/Table3.110[[#This Row],[Net gas 24h, ml]]%</f>
        <v>12.980026943679507</v>
      </c>
      <c r="AR938" s="94">
        <f>Table3.110[[#This Row],[CH4 24h, ml]]/Table3.110[[#This Row],[DM Incubated, mg]]*1000</f>
        <v>16.286178067029986</v>
      </c>
      <c r="AS938" s="94">
        <f>Table3.110[[#This Row],[CH4 24h, ml]]/Table3.110[[#This Row],[Digested feed, mg]]*1000</f>
        <v>41.968368322685656</v>
      </c>
      <c r="AT938" s="94">
        <f>Table3.110[[#This Row],[CH4 24h, ml]]/'3.2 Digest'!AA938</f>
        <v>-0.40443654056425343</v>
      </c>
      <c r="AU938" s="94">
        <f>((Table3.110[[#This Row],[CH4 24h, ml]]/28.9)*16.04)/Table3.110[[#This Row],[DM Incubated, mg]]*1000</f>
        <v>9.0391105949882711</v>
      </c>
      <c r="AV938" s="94">
        <f>((Table3.110[[#This Row],[CH4 24h, ml]]/28.9)*16.04)/Table3.110[[#This Row],[Digested feed, mg]]*1000</f>
        <v>23.293170515428304</v>
      </c>
      <c r="AW938" s="64"/>
    </row>
    <row r="939" spans="2:49" x14ac:dyDescent="0.35">
      <c r="B939" s="90">
        <f t="shared" si="14"/>
        <v>929</v>
      </c>
      <c r="C939" s="140">
        <v>46078</v>
      </c>
      <c r="D939" s="6" t="s">
        <v>16</v>
      </c>
      <c r="E939" s="6" t="s">
        <v>326</v>
      </c>
      <c r="F939" s="6" t="s">
        <v>290</v>
      </c>
      <c r="G939" s="6" t="s">
        <v>318</v>
      </c>
      <c r="H939" s="6" t="s">
        <v>319</v>
      </c>
      <c r="I939" s="6" t="s">
        <v>22</v>
      </c>
      <c r="J939" s="129" t="s">
        <v>23</v>
      </c>
      <c r="K939" s="129" t="s">
        <v>215</v>
      </c>
      <c r="L939" s="6" t="s">
        <v>325</v>
      </c>
      <c r="M939" s="93">
        <v>29</v>
      </c>
      <c r="N939" s="93">
        <v>70</v>
      </c>
      <c r="O939" s="6">
        <v>3</v>
      </c>
      <c r="P939" s="6">
        <v>2</v>
      </c>
      <c r="Q939" s="6">
        <v>204</v>
      </c>
      <c r="R939" s="98">
        <v>0.50039999999999996</v>
      </c>
      <c r="S939" s="94">
        <f>((Table3.110[[#This Row],[Sample weight, g]]*'2.1. DM'!Q199)/100)*1000</f>
        <v>465.07706335545174</v>
      </c>
      <c r="T939" s="94">
        <f>'3.2 Digest'!W939</f>
        <v>237.97706335545166</v>
      </c>
      <c r="U939" s="153">
        <v>0.32708333333333334</v>
      </c>
      <c r="V939" s="154">
        <v>41</v>
      </c>
      <c r="W939" s="153">
        <v>0.65833333333333333</v>
      </c>
      <c r="X939" s="91">
        <v>71.5</v>
      </c>
      <c r="Y939" s="91">
        <v>12</v>
      </c>
      <c r="Z939" s="154">
        <v>40</v>
      </c>
      <c r="AA939" s="153">
        <v>0.33333333333333331</v>
      </c>
      <c r="AB939" s="154">
        <v>72.5</v>
      </c>
      <c r="AC939" s="154">
        <v>13.7</v>
      </c>
      <c r="AD939" s="91"/>
      <c r="AE939" s="94">
        <f>Table3.110[[#This Row],[Gas 8h, ml]]-Table3.110[[#This Row],[Gas 0h, ml]]</f>
        <v>30.5</v>
      </c>
      <c r="AF939" s="94">
        <f>Table3.110[[#This Row],[Gas 24h, ml]]-Table3.110[[#This Row],[V8 Push back, ml]]</f>
        <v>32.5</v>
      </c>
      <c r="AG939" s="94"/>
      <c r="AH939" s="94"/>
      <c r="AI939" s="94"/>
      <c r="AJ939" s="94"/>
      <c r="AK939" s="94"/>
      <c r="AL939" s="94"/>
      <c r="AM939" s="94"/>
      <c r="AN939" s="94"/>
      <c r="AO939" s="94"/>
      <c r="AP939" s="94"/>
      <c r="AQ939" s="94"/>
      <c r="AR939" s="94"/>
      <c r="AS939" s="94"/>
      <c r="AT939" s="94"/>
      <c r="AU939" s="94"/>
      <c r="AV939" s="94"/>
      <c r="AW939" s="64" t="s">
        <v>663</v>
      </c>
    </row>
    <row r="940" spans="2:49" x14ac:dyDescent="0.35">
      <c r="B940" s="90">
        <f t="shared" si="14"/>
        <v>930</v>
      </c>
      <c r="C940" s="140">
        <v>46078</v>
      </c>
      <c r="D940" s="6" t="s">
        <v>16</v>
      </c>
      <c r="E940" s="6" t="s">
        <v>328</v>
      </c>
      <c r="F940" s="6" t="s">
        <v>264</v>
      </c>
      <c r="G940" s="6" t="s">
        <v>329</v>
      </c>
      <c r="H940" s="6" t="s">
        <v>330</v>
      </c>
      <c r="I940" s="6" t="s">
        <v>22</v>
      </c>
      <c r="J940" s="129" t="s">
        <v>23</v>
      </c>
      <c r="K940" s="129" t="s">
        <v>215</v>
      </c>
      <c r="L940" s="6" t="s">
        <v>327</v>
      </c>
      <c r="M940" s="93">
        <v>29</v>
      </c>
      <c r="N940" s="93">
        <v>70</v>
      </c>
      <c r="O940" s="6">
        <v>3</v>
      </c>
      <c r="P940" s="129">
        <v>1</v>
      </c>
      <c r="Q940" s="6">
        <v>205</v>
      </c>
      <c r="R940" s="98">
        <v>0.5</v>
      </c>
      <c r="S940" s="94">
        <f>((Table3.110[[#This Row],[Sample weight, g]]*'2.1. DM'!Q201)/100)*1000</f>
        <v>452.71418385397868</v>
      </c>
      <c r="T940" s="94">
        <f>'3.2 Digest'!W940</f>
        <v>258.21418385397868</v>
      </c>
      <c r="U940" s="153">
        <v>0.32708333333333334</v>
      </c>
      <c r="V940" s="154">
        <v>41</v>
      </c>
      <c r="W940" s="153">
        <v>0.65902777777777777</v>
      </c>
      <c r="X940" s="91">
        <v>77.5</v>
      </c>
      <c r="Y940" s="91">
        <v>13.6</v>
      </c>
      <c r="Z940" s="154">
        <v>40</v>
      </c>
      <c r="AA940" s="153">
        <v>0.33402777777777776</v>
      </c>
      <c r="AB940" s="154">
        <v>84.5</v>
      </c>
      <c r="AC940" s="154">
        <v>17.399999999999999</v>
      </c>
      <c r="AD940" s="91"/>
      <c r="AE940" s="94">
        <f>Table3.110[[#This Row],[Gas 8h, ml]]-Table3.110[[#This Row],[Gas 0h, ml]]</f>
        <v>36.5</v>
      </c>
      <c r="AF940" s="94">
        <f>Table3.110[[#This Row],[Gas 24h, ml]]-Table3.110[[#This Row],[V8 Push back, ml]]</f>
        <v>44.5</v>
      </c>
      <c r="AG940" s="94">
        <f>Table3.110[[#This Row],[GP 8h, ml]]-(AVERAGE(AE$934,AE$935,AE$958,AE$959))*$AG$8</f>
        <v>34.50873479879084</v>
      </c>
      <c r="AH940" s="94">
        <f>Table3.110[[#This Row],[GP 8-24h, ml]]-(AVERAGE(AF$934,AF$935,AF$958,AF$959))*$AG$8</f>
        <v>41.844979731721118</v>
      </c>
      <c r="AI940" s="94">
        <f>Table3.110[[#This Row],[Net gas 8-24h, ml]]+Table3.110[[#This Row],[Net gas 8h, ml]]</f>
        <v>76.353714530511951</v>
      </c>
      <c r="AJ940" s="94">
        <f>Table3.110[[#This Row],[Net gas 8h, ml]]*Table3.110[[#This Row],[CH4 8h %]]%</f>
        <v>4.6931879326355546</v>
      </c>
      <c r="AK940" s="94">
        <f>Table3.110[[#This Row],[Net gas 8-24h, ml]]*Table3.110[[#This Row],[CH4 24h, %]]%</f>
        <v>7.2810264733194741</v>
      </c>
      <c r="AL940" s="94">
        <f>Table3.110[[#This Row],[CH4 8-24h, ml]]+Table3.110[[#This Row],[CH4 8h, ml]]</f>
        <v>11.974214405955028</v>
      </c>
      <c r="AM940" s="94">
        <f>(Table3.110[[#This Row],[Net gas 24h, ml]]/Table3.110[[#This Row],[DM Incubated, mg]])*1000</f>
        <v>168.65765918909128</v>
      </c>
      <c r="AN940" s="94">
        <f>'3.2 Digest'!X940</f>
        <v>57.036910497433126</v>
      </c>
      <c r="AO940" s="94">
        <f>Table3.110[[#This Row],[Digested feed, mg]]/Table3.110[[#This Row],[Net gas 24h, ml]]</f>
        <v>3.381815612268515</v>
      </c>
      <c r="AP940" s="94">
        <f>Table3.110[[#This Row],[CH4 8h, ml]]/Table3.110[[#This Row],[Net gas 8h, ml]]%</f>
        <v>13.6</v>
      </c>
      <c r="AQ940" s="94">
        <f>Table3.110[[#This Row],[CH4 24h, ml]]/Table3.110[[#This Row],[Net gas 24h, ml]]%</f>
        <v>15.682556480169637</v>
      </c>
      <c r="AR940" s="94">
        <f>Table3.110[[#This Row],[CH4 24h, ml]]/Table3.110[[#This Row],[DM Incubated, mg]]*1000</f>
        <v>26.449832660461258</v>
      </c>
      <c r="AS940" s="94">
        <f>Table3.110[[#This Row],[CH4 24h, ml]]/Table3.110[[#This Row],[Digested feed, mg]]*1000</f>
        <v>46.373186117175123</v>
      </c>
      <c r="AT940" s="94">
        <f>Table3.110[[#This Row],[CH4 24h, ml]]/'3.2 Digest'!AA940</f>
        <v>0.7068209045443945</v>
      </c>
      <c r="AU940" s="94">
        <f>((Table3.110[[#This Row],[CH4 24h, ml]]/28.9)*16.04)/Table3.110[[#This Row],[DM Incubated, mg]]*1000</f>
        <v>14.680114736117597</v>
      </c>
      <c r="AV940" s="94">
        <f>((Table3.110[[#This Row],[CH4 24h, ml]]/28.9)*16.04)/Table3.110[[#This Row],[Digested feed, mg]]*1000</f>
        <v>25.73792059929027</v>
      </c>
      <c r="AW940" s="64"/>
    </row>
    <row r="941" spans="2:49" x14ac:dyDescent="0.35">
      <c r="B941" s="90">
        <f t="shared" si="14"/>
        <v>931</v>
      </c>
      <c r="C941" s="140">
        <v>46078</v>
      </c>
      <c r="D941" s="6" t="s">
        <v>16</v>
      </c>
      <c r="E941" s="6" t="s">
        <v>328</v>
      </c>
      <c r="F941" s="6" t="s">
        <v>264</v>
      </c>
      <c r="G941" s="6" t="s">
        <v>329</v>
      </c>
      <c r="H941" s="6" t="s">
        <v>330</v>
      </c>
      <c r="I941" s="6" t="s">
        <v>22</v>
      </c>
      <c r="J941" s="129" t="s">
        <v>23</v>
      </c>
      <c r="K941" s="129" t="s">
        <v>215</v>
      </c>
      <c r="L941" s="6" t="s">
        <v>327</v>
      </c>
      <c r="M941" s="93">
        <v>29</v>
      </c>
      <c r="N941" s="93">
        <v>70</v>
      </c>
      <c r="O941" s="6">
        <v>3</v>
      </c>
      <c r="P941" s="6">
        <v>2</v>
      </c>
      <c r="Q941" s="6">
        <v>206</v>
      </c>
      <c r="R941" s="98">
        <v>0.50049999999999994</v>
      </c>
      <c r="S941" s="94">
        <f>((Table3.110[[#This Row],[Sample weight, g]]*'2.1. DM'!Q201)/100)*1000</f>
        <v>453.16689803783254</v>
      </c>
      <c r="T941" s="94">
        <f>'3.2 Digest'!W941</f>
        <v>255.26689803783256</v>
      </c>
      <c r="U941" s="117">
        <v>0.32708333333333334</v>
      </c>
      <c r="V941" s="155">
        <v>40.5</v>
      </c>
      <c r="W941" s="117">
        <v>0.65902777777777777</v>
      </c>
      <c r="X941" s="96">
        <v>77</v>
      </c>
      <c r="Y941" s="96">
        <v>13.9</v>
      </c>
      <c r="Z941" s="155">
        <v>40</v>
      </c>
      <c r="AA941" s="117">
        <v>0.33402777777777776</v>
      </c>
      <c r="AB941" s="155">
        <v>84</v>
      </c>
      <c r="AC941" s="155">
        <v>16.2</v>
      </c>
      <c r="AD941" s="96"/>
      <c r="AE941" s="94">
        <f>Table3.110[[#This Row],[Gas 8h, ml]]-Table3.110[[#This Row],[Gas 0h, ml]]</f>
        <v>36.5</v>
      </c>
      <c r="AF941" s="94">
        <f>Table3.110[[#This Row],[Gas 24h, ml]]-Table3.110[[#This Row],[V8 Push back, ml]]</f>
        <v>44</v>
      </c>
      <c r="AG941" s="94">
        <f>Table3.110[[#This Row],[GP 8h, ml]]-(AVERAGE(AE$934,AE$935,AE$958,AE$959))*$AG$8</f>
        <v>34.50873479879084</v>
      </c>
      <c r="AH941" s="94">
        <f>Table3.110[[#This Row],[GP 8-24h, ml]]-(AVERAGE(AF$934,AF$935,AF$958,AF$959))*$AG$8</f>
        <v>41.344979731721118</v>
      </c>
      <c r="AI941" s="94">
        <f>Table3.110[[#This Row],[Net gas 8-24h, ml]]+Table3.110[[#This Row],[Net gas 8h, ml]]</f>
        <v>75.853714530511951</v>
      </c>
      <c r="AJ941" s="94">
        <f>Table3.110[[#This Row],[Net gas 8h, ml]]*Table3.110[[#This Row],[CH4 8h %]]%</f>
        <v>4.7967141370319268</v>
      </c>
      <c r="AK941" s="94">
        <f>Table3.110[[#This Row],[Net gas 8-24h, ml]]*Table3.110[[#This Row],[CH4 24h, %]]%</f>
        <v>6.6978867165388216</v>
      </c>
      <c r="AL941" s="94">
        <f>Table3.110[[#This Row],[CH4 8-24h, ml]]+Table3.110[[#This Row],[CH4 8h, ml]]</f>
        <v>11.494600853570748</v>
      </c>
      <c r="AM941" s="94">
        <f>(Table3.110[[#This Row],[Net gas 24h, ml]]/Table3.110[[#This Row],[DM Incubated, mg]])*1000</f>
        <v>167.3858237637192</v>
      </c>
      <c r="AN941" s="94">
        <f>'3.2 Digest'!X941</f>
        <v>56.329555213126284</v>
      </c>
      <c r="AO941" s="94">
        <f>Table3.110[[#This Row],[Digested feed, mg]]/Table3.110[[#This Row],[Net gas 24h, ml]]</f>
        <v>3.3652524417265308</v>
      </c>
      <c r="AP941" s="94">
        <f>Table3.110[[#This Row],[CH4 8h, ml]]/Table3.110[[#This Row],[Net gas 8h, ml]]%</f>
        <v>13.9</v>
      </c>
      <c r="AQ941" s="94">
        <f>Table3.110[[#This Row],[CH4 24h, ml]]/Table3.110[[#This Row],[Net gas 24h, ml]]%</f>
        <v>15.153642672234696</v>
      </c>
      <c r="AR941" s="94">
        <f>Table3.110[[#This Row],[CH4 24h, ml]]/Table3.110[[#This Row],[DM Incubated, mg]]*1000</f>
        <v>25.365049617130516</v>
      </c>
      <c r="AS941" s="94">
        <f>Table3.110[[#This Row],[CH4 24h, ml]]/Table3.110[[#This Row],[Digested feed, mg]]*1000</f>
        <v>45.029735315963919</v>
      </c>
      <c r="AT941" s="94">
        <f>Table3.110[[#This Row],[CH4 24h, ml]]/'3.2 Digest'!AA941</f>
        <v>0.73809003465869205</v>
      </c>
      <c r="AU941" s="94">
        <f>((Table3.110[[#This Row],[CH4 24h, ml]]/28.9)*16.04)/Table3.110[[#This Row],[DM Incubated, mg]]*1000</f>
        <v>14.078041379196314</v>
      </c>
      <c r="AV941" s="94">
        <f>((Table3.110[[#This Row],[CH4 24h, ml]]/28.9)*16.04)/Table3.110[[#This Row],[Digested feed, mg]]*1000</f>
        <v>24.992282161524606</v>
      </c>
      <c r="AW941" s="64"/>
    </row>
    <row r="942" spans="2:49" x14ac:dyDescent="0.35">
      <c r="B942" s="90">
        <f t="shared" si="14"/>
        <v>932</v>
      </c>
      <c r="C942" s="140">
        <v>46078</v>
      </c>
      <c r="D942" s="6" t="s">
        <v>16</v>
      </c>
      <c r="E942" s="6" t="s">
        <v>332</v>
      </c>
      <c r="F942" s="6" t="s">
        <v>333</v>
      </c>
      <c r="G942" s="6" t="s">
        <v>334</v>
      </c>
      <c r="H942" s="6" t="s">
        <v>335</v>
      </c>
      <c r="I942" s="6" t="s">
        <v>22</v>
      </c>
      <c r="J942" s="129" t="s">
        <v>23</v>
      </c>
      <c r="K942" s="129" t="s">
        <v>303</v>
      </c>
      <c r="L942" s="6" t="s">
        <v>331</v>
      </c>
      <c r="M942" s="93">
        <v>29</v>
      </c>
      <c r="N942" s="93">
        <v>70</v>
      </c>
      <c r="O942" s="6">
        <v>3</v>
      </c>
      <c r="P942" s="129">
        <v>1</v>
      </c>
      <c r="Q942" s="6">
        <v>207</v>
      </c>
      <c r="R942" s="98">
        <v>0.50049999999999994</v>
      </c>
      <c r="S942" s="94">
        <f>((Table3.110[[#This Row],[Sample weight, g]]*'2.1. DM'!Q203)/100)*1000</f>
        <v>455.62311031328278</v>
      </c>
      <c r="T942" s="94">
        <f>'3.2 Digest'!W942</f>
        <v>222.22311031328283</v>
      </c>
      <c r="U942" s="117">
        <v>0.32708333333333334</v>
      </c>
      <c r="V942" s="155">
        <v>40</v>
      </c>
      <c r="W942" s="117">
        <v>0.65972222222222221</v>
      </c>
      <c r="X942" s="96">
        <v>81.5</v>
      </c>
      <c r="Y942" s="96">
        <v>14.3</v>
      </c>
      <c r="Z942" s="155">
        <v>40</v>
      </c>
      <c r="AA942" s="117">
        <v>0.33541666666666664</v>
      </c>
      <c r="AB942" s="155">
        <v>85.5</v>
      </c>
      <c r="AC942" s="155">
        <v>16</v>
      </c>
      <c r="AD942" s="96"/>
      <c r="AE942" s="94">
        <f>Table3.110[[#This Row],[Gas 8h, ml]]-Table3.110[[#This Row],[Gas 0h, ml]]</f>
        <v>41.5</v>
      </c>
      <c r="AF942" s="94">
        <f>Table3.110[[#This Row],[Gas 24h, ml]]-Table3.110[[#This Row],[V8 Push back, ml]]</f>
        <v>45.5</v>
      </c>
      <c r="AG942" s="94"/>
      <c r="AH942" s="94"/>
      <c r="AI942" s="94"/>
      <c r="AJ942" s="94"/>
      <c r="AK942" s="94"/>
      <c r="AL942" s="94"/>
      <c r="AM942" s="94"/>
      <c r="AN942" s="94"/>
      <c r="AO942" s="94"/>
      <c r="AP942" s="94"/>
      <c r="AQ942" s="94"/>
      <c r="AR942" s="94"/>
      <c r="AS942" s="94"/>
      <c r="AT942" s="94"/>
      <c r="AU942" s="94"/>
      <c r="AV942" s="94"/>
      <c r="AW942" s="64" t="s">
        <v>664</v>
      </c>
    </row>
    <row r="943" spans="2:49" x14ac:dyDescent="0.35">
      <c r="B943" s="90">
        <f t="shared" si="14"/>
        <v>933</v>
      </c>
      <c r="C943" s="140">
        <v>46078</v>
      </c>
      <c r="D943" s="6" t="s">
        <v>16</v>
      </c>
      <c r="E943" s="6" t="s">
        <v>332</v>
      </c>
      <c r="F943" s="6" t="s">
        <v>333</v>
      </c>
      <c r="G943" s="6" t="s">
        <v>334</v>
      </c>
      <c r="H943" s="6" t="s">
        <v>335</v>
      </c>
      <c r="I943" s="6" t="s">
        <v>22</v>
      </c>
      <c r="J943" s="129" t="s">
        <v>23</v>
      </c>
      <c r="K943" s="129" t="s">
        <v>303</v>
      </c>
      <c r="L943" s="6" t="s">
        <v>331</v>
      </c>
      <c r="M943" s="93">
        <v>29</v>
      </c>
      <c r="N943" s="93">
        <v>70</v>
      </c>
      <c r="O943" s="6">
        <v>3</v>
      </c>
      <c r="P943" s="6">
        <v>2</v>
      </c>
      <c r="Q943" s="6">
        <v>208</v>
      </c>
      <c r="R943" s="98">
        <v>0.50039999999999996</v>
      </c>
      <c r="S943" s="94">
        <f>((Table3.110[[#This Row],[Sample weight, g]]*'2.1. DM'!Q203)/100)*1000</f>
        <v>455.53207672480863</v>
      </c>
      <c r="T943" s="94">
        <f>'3.2 Digest'!W943</f>
        <v>274.03207672480863</v>
      </c>
      <c r="U943" s="153">
        <v>0.32777777777777778</v>
      </c>
      <c r="V943" s="154">
        <v>41</v>
      </c>
      <c r="W943" s="153">
        <v>0.65972222222222221</v>
      </c>
      <c r="X943" s="91">
        <v>83</v>
      </c>
      <c r="Y943" s="91">
        <v>13.7</v>
      </c>
      <c r="Z943" s="154">
        <v>39.5</v>
      </c>
      <c r="AA943" s="153">
        <v>0.33541666666666664</v>
      </c>
      <c r="AB943" s="154">
        <v>86.5</v>
      </c>
      <c r="AC943" s="154">
        <v>17.600000000000001</v>
      </c>
      <c r="AD943" s="91"/>
      <c r="AE943" s="94">
        <f>Table3.110[[#This Row],[Gas 8h, ml]]-Table3.110[[#This Row],[Gas 0h, ml]]</f>
        <v>42</v>
      </c>
      <c r="AF943" s="94">
        <f>Table3.110[[#This Row],[Gas 24h, ml]]-Table3.110[[#This Row],[V8 Push back, ml]]</f>
        <v>47</v>
      </c>
      <c r="AG943" s="94"/>
      <c r="AH943" s="94"/>
      <c r="AI943" s="94"/>
      <c r="AJ943" s="94"/>
      <c r="AK943" s="94"/>
      <c r="AL943" s="94"/>
      <c r="AM943" s="94"/>
      <c r="AN943" s="94"/>
      <c r="AO943" s="94"/>
      <c r="AP943" s="94"/>
      <c r="AQ943" s="94"/>
      <c r="AR943" s="94"/>
      <c r="AS943" s="94"/>
      <c r="AT943" s="94"/>
      <c r="AU943" s="94"/>
      <c r="AV943" s="94"/>
      <c r="AW943" s="64" t="s">
        <v>665</v>
      </c>
    </row>
    <row r="944" spans="2:49" x14ac:dyDescent="0.35">
      <c r="B944" s="90">
        <f t="shared" si="14"/>
        <v>934</v>
      </c>
      <c r="C944" s="140">
        <v>46078</v>
      </c>
      <c r="D944" s="6" t="s">
        <v>16</v>
      </c>
      <c r="E944" s="6" t="s">
        <v>337</v>
      </c>
      <c r="F944" s="6" t="s">
        <v>264</v>
      </c>
      <c r="G944" s="6" t="s">
        <v>265</v>
      </c>
      <c r="H944" s="6" t="s">
        <v>266</v>
      </c>
      <c r="I944" s="6" t="s">
        <v>22</v>
      </c>
      <c r="J944" s="129" t="s">
        <v>23</v>
      </c>
      <c r="K944" s="129" t="s">
        <v>215</v>
      </c>
      <c r="L944" s="6" t="s">
        <v>336</v>
      </c>
      <c r="M944" s="93">
        <v>29</v>
      </c>
      <c r="N944" s="93">
        <v>70</v>
      </c>
      <c r="O944" s="6">
        <v>3</v>
      </c>
      <c r="P944" s="129">
        <v>1</v>
      </c>
      <c r="Q944" s="6">
        <v>209</v>
      </c>
      <c r="R944" s="98">
        <v>0.50039999999999996</v>
      </c>
      <c r="S944" s="94">
        <f>((Table3.110[[#This Row],[Sample weight, g]]*'2.1. DM'!Q205)/100)*1000</f>
        <v>461.24958622314131</v>
      </c>
      <c r="T944" s="94">
        <f>'3.2 Digest'!W944</f>
        <v>329.24958622314131</v>
      </c>
      <c r="U944" s="115">
        <v>0.32777777777777778</v>
      </c>
      <c r="V944" s="154">
        <v>41</v>
      </c>
      <c r="W944" s="153">
        <v>0.66041666666666665</v>
      </c>
      <c r="X944" s="91">
        <v>86</v>
      </c>
      <c r="Y944" s="91">
        <v>14.1</v>
      </c>
      <c r="Z944" s="154">
        <v>40.5</v>
      </c>
      <c r="AA944" s="153">
        <v>0.33680555555555558</v>
      </c>
      <c r="AB944" s="154">
        <v>86.5</v>
      </c>
      <c r="AC944" s="154">
        <v>18.3</v>
      </c>
      <c r="AD944" s="91"/>
      <c r="AE944" s="94">
        <f>Table3.110[[#This Row],[Gas 8h, ml]]-Table3.110[[#This Row],[Gas 0h, ml]]</f>
        <v>45</v>
      </c>
      <c r="AF944" s="94">
        <f>Table3.110[[#This Row],[Gas 24h, ml]]-Table3.110[[#This Row],[V8 Push back, ml]]</f>
        <v>46</v>
      </c>
      <c r="AG944" s="94">
        <f>Table3.110[[#This Row],[GP 8h, ml]]-(AVERAGE(AE$934,AE$935,AE$958,AE$959))*$AG$8</f>
        <v>43.00873479879084</v>
      </c>
      <c r="AH944" s="94">
        <f>Table3.110[[#This Row],[GP 8-24h, ml]]-(AVERAGE(AF$934,AF$935,AF$958,AF$959))*$AG$8</f>
        <v>43.344979731721118</v>
      </c>
      <c r="AI944" s="94">
        <f>Table3.110[[#This Row],[Net gas 8-24h, ml]]+Table3.110[[#This Row],[Net gas 8h, ml]]</f>
        <v>86.353714530511951</v>
      </c>
      <c r="AJ944" s="94">
        <f>Table3.110[[#This Row],[Net gas 8h, ml]]*Table3.110[[#This Row],[CH4 8h %]]%</f>
        <v>6.0642316066295079</v>
      </c>
      <c r="AK944" s="94">
        <f>Table3.110[[#This Row],[Net gas 8-24h, ml]]*Table3.110[[#This Row],[CH4 24h, %]]%</f>
        <v>7.9321312909049642</v>
      </c>
      <c r="AL944" s="94">
        <f>Table3.110[[#This Row],[CH4 8-24h, ml]]+Table3.110[[#This Row],[CH4 8h, ml]]</f>
        <v>13.996362897534471</v>
      </c>
      <c r="AM944" s="94">
        <f>(Table3.110[[#This Row],[Net gas 24h, ml]]/Table3.110[[#This Row],[DM Incubated, mg]])*1000</f>
        <v>187.21689321740902</v>
      </c>
      <c r="AN944" s="94">
        <f>'3.2 Digest'!X944</f>
        <v>71.382088148661964</v>
      </c>
      <c r="AO944" s="94">
        <f>Table3.110[[#This Row],[Digested feed, mg]]/Table3.110[[#This Row],[Net gas 24h, ml]]</f>
        <v>3.8128016613206057</v>
      </c>
      <c r="AP944" s="94">
        <f>Table3.110[[#This Row],[CH4 8h, ml]]/Table3.110[[#This Row],[Net gas 8h, ml]]%</f>
        <v>14.1</v>
      </c>
      <c r="AQ944" s="94">
        <f>Table3.110[[#This Row],[CH4 24h, ml]]/Table3.110[[#This Row],[Net gas 24h, ml]]%</f>
        <v>16.208177000410377</v>
      </c>
      <c r="AR944" s="94">
        <f>Table3.110[[#This Row],[CH4 24h, ml]]/Table3.110[[#This Row],[DM Incubated, mg]]*1000</f>
        <v>30.344445427346947</v>
      </c>
      <c r="AS944" s="94">
        <f>Table3.110[[#This Row],[CH4 24h, ml]]/Table3.110[[#This Row],[Digested feed, mg]]*1000</f>
        <v>42.509887584334756</v>
      </c>
      <c r="AT944" s="94">
        <f>Table3.110[[#This Row],[CH4 24h, ml]]/'3.2 Digest'!AA944</f>
        <v>0.35670312119025283</v>
      </c>
      <c r="AU944" s="94">
        <f>((Table3.110[[#This Row],[CH4 24h, ml]]/28.9)*16.04)/Table3.110[[#This Row],[DM Incubated, mg]]*1000</f>
        <v>16.841692202582873</v>
      </c>
      <c r="AV944" s="94">
        <f>((Table3.110[[#This Row],[CH4 24h, ml]]/28.9)*16.04)/Table3.110[[#This Row],[Digested feed, mg]]*1000</f>
        <v>23.593723074488913</v>
      </c>
      <c r="AW944" s="64"/>
    </row>
    <row r="945" spans="2:49" x14ac:dyDescent="0.35">
      <c r="B945" s="90">
        <f t="shared" si="14"/>
        <v>935</v>
      </c>
      <c r="C945" s="140">
        <v>46078</v>
      </c>
      <c r="D945" s="6" t="s">
        <v>16</v>
      </c>
      <c r="E945" s="6" t="s">
        <v>337</v>
      </c>
      <c r="F945" s="6" t="s">
        <v>264</v>
      </c>
      <c r="G945" s="6" t="s">
        <v>265</v>
      </c>
      <c r="H945" s="6" t="s">
        <v>266</v>
      </c>
      <c r="I945" s="6" t="s">
        <v>22</v>
      </c>
      <c r="J945" s="129" t="s">
        <v>23</v>
      </c>
      <c r="K945" s="129" t="s">
        <v>215</v>
      </c>
      <c r="L945" s="6" t="s">
        <v>336</v>
      </c>
      <c r="M945" s="93">
        <v>29</v>
      </c>
      <c r="N945" s="93">
        <v>70</v>
      </c>
      <c r="O945" s="6">
        <v>3</v>
      </c>
      <c r="P945" s="6">
        <v>2</v>
      </c>
      <c r="Q945" s="6">
        <v>210</v>
      </c>
      <c r="R945" s="98">
        <v>0.50019999999999998</v>
      </c>
      <c r="S945" s="94">
        <f>((Table3.110[[#This Row],[Sample weight, g]]*'2.1. DM'!Q205)/100)*1000</f>
        <v>461.0652338705342</v>
      </c>
      <c r="T945" s="94">
        <f>'3.2 Digest'!W945</f>
        <v>277.16523387053428</v>
      </c>
      <c r="U945" s="153">
        <v>0.32777777777777778</v>
      </c>
      <c r="V945" s="155">
        <v>41.5</v>
      </c>
      <c r="W945" s="117">
        <v>0.66111111111111109</v>
      </c>
      <c r="X945" s="96">
        <v>87</v>
      </c>
      <c r="Y945" s="96">
        <v>13.7</v>
      </c>
      <c r="Z945" s="155">
        <v>40.5</v>
      </c>
      <c r="AA945" s="117">
        <v>0.33750000000000002</v>
      </c>
      <c r="AB945" s="155">
        <v>86.5</v>
      </c>
      <c r="AC945" s="155">
        <v>18.600000000000001</v>
      </c>
      <c r="AD945" s="96"/>
      <c r="AE945" s="94">
        <f>Table3.110[[#This Row],[Gas 8h, ml]]-Table3.110[[#This Row],[Gas 0h, ml]]</f>
        <v>45.5</v>
      </c>
      <c r="AF945" s="94">
        <f>Table3.110[[#This Row],[Gas 24h, ml]]-Table3.110[[#This Row],[V8 Push back, ml]]</f>
        <v>46</v>
      </c>
      <c r="AG945" s="94">
        <f>Table3.110[[#This Row],[GP 8h, ml]]-(AVERAGE(AE$934,AE$935,AE$958,AE$959))*$AG$8</f>
        <v>43.50873479879084</v>
      </c>
      <c r="AH945" s="94">
        <f>Table3.110[[#This Row],[GP 8-24h, ml]]-(AVERAGE(AF$934,AF$935,AF$958,AF$959))*$AG$8</f>
        <v>43.344979731721118</v>
      </c>
      <c r="AI945" s="94">
        <f>Table3.110[[#This Row],[Net gas 8-24h, ml]]+Table3.110[[#This Row],[Net gas 8h, ml]]</f>
        <v>86.853714530511951</v>
      </c>
      <c r="AJ945" s="94">
        <f>Table3.110[[#This Row],[Net gas 8h, ml]]*Table3.110[[#This Row],[CH4 8h %]]%</f>
        <v>5.9606966674343447</v>
      </c>
      <c r="AK945" s="94">
        <f>Table3.110[[#This Row],[Net gas 8-24h, ml]]*Table3.110[[#This Row],[CH4 24h, %]]%</f>
        <v>8.0621662301001287</v>
      </c>
      <c r="AL945" s="94">
        <f>Table3.110[[#This Row],[CH4 8-24h, ml]]+Table3.110[[#This Row],[CH4 8h, ml]]</f>
        <v>14.022862897534473</v>
      </c>
      <c r="AM945" s="94">
        <f>(Table3.110[[#This Row],[Net gas 24h, ml]]/Table3.110[[#This Row],[DM Incubated, mg]])*1000</f>
        <v>188.37619527587333</v>
      </c>
      <c r="AN945" s="94">
        <f>'3.2 Digest'!X945</f>
        <v>60.114103929241715</v>
      </c>
      <c r="AO945" s="94">
        <f>Table3.110[[#This Row],[Digested feed, mg]]/Table3.110[[#This Row],[Net gas 24h, ml]]</f>
        <v>3.1911730588467275</v>
      </c>
      <c r="AP945" s="94">
        <f>Table3.110[[#This Row],[CH4 8h, ml]]/Table3.110[[#This Row],[Net gas 8h, ml]]%</f>
        <v>13.7</v>
      </c>
      <c r="AQ945" s="94">
        <f>Table3.110[[#This Row],[CH4 24h, ml]]/Table3.110[[#This Row],[Net gas 24h, ml]]%</f>
        <v>16.14538073971287</v>
      </c>
      <c r="AR945" s="94">
        <f>Table3.110[[#This Row],[CH4 24h, ml]]/Table3.110[[#This Row],[DM Incubated, mg]]*1000</f>
        <v>30.414053950274752</v>
      </c>
      <c r="AS945" s="94">
        <f>Table3.110[[#This Row],[CH4 24h, ml]]/Table3.110[[#This Row],[Digested feed, mg]]*1000</f>
        <v>50.593873920293497</v>
      </c>
      <c r="AT945" s="94">
        <f>Table3.110[[#This Row],[CH4 24h, ml]]/'3.2 Digest'!AA945</f>
        <v>0.91569998632654859</v>
      </c>
      <c r="AU945" s="94">
        <f>((Table3.110[[#This Row],[CH4 24h, ml]]/28.9)*16.04)/Table3.110[[#This Row],[DM Incubated, mg]]*1000</f>
        <v>16.880326137107506</v>
      </c>
      <c r="AV945" s="94">
        <f>((Table3.110[[#This Row],[CH4 24h, ml]]/28.9)*16.04)/Table3.110[[#This Row],[Digested feed, mg]]*1000</f>
        <v>28.080475352301303</v>
      </c>
      <c r="AW945" s="64"/>
    </row>
    <row r="946" spans="2:49" x14ac:dyDescent="0.35">
      <c r="B946" s="90">
        <f t="shared" si="14"/>
        <v>936</v>
      </c>
      <c r="C946" s="140">
        <v>46078</v>
      </c>
      <c r="D946" s="6" t="s">
        <v>16</v>
      </c>
      <c r="E946" s="6" t="s">
        <v>339</v>
      </c>
      <c r="F946" s="6" t="s">
        <v>219</v>
      </c>
      <c r="G946" s="6" t="s">
        <v>253</v>
      </c>
      <c r="H946" s="6" t="s">
        <v>254</v>
      </c>
      <c r="I946" s="6" t="s">
        <v>22</v>
      </c>
      <c r="J946" s="129" t="s">
        <v>23</v>
      </c>
      <c r="K946" s="129" t="s">
        <v>215</v>
      </c>
      <c r="L946" s="6" t="s">
        <v>338</v>
      </c>
      <c r="M946" s="93">
        <v>29</v>
      </c>
      <c r="N946" s="93">
        <v>70</v>
      </c>
      <c r="O946" s="6">
        <v>3</v>
      </c>
      <c r="P946" s="129">
        <v>1</v>
      </c>
      <c r="Q946" s="6">
        <v>211</v>
      </c>
      <c r="R946" s="98">
        <v>0.50029999999999997</v>
      </c>
      <c r="S946" s="94">
        <f>((Table3.110[[#This Row],[Sample weight, g]]*'2.1. DM'!Q207)/100)*1000</f>
        <v>453.30146185762817</v>
      </c>
      <c r="T946" s="94">
        <f>'3.2 Digest'!W946</f>
        <v>328.0014618576281</v>
      </c>
      <c r="U946" s="117">
        <v>0.32847222222222222</v>
      </c>
      <c r="V946" s="155">
        <v>40.5</v>
      </c>
      <c r="W946" s="117">
        <v>0.66111111111111109</v>
      </c>
      <c r="X946" s="96">
        <v>85.5</v>
      </c>
      <c r="Y946" s="96">
        <v>13.5</v>
      </c>
      <c r="Z946" s="155">
        <v>40</v>
      </c>
      <c r="AA946" s="117">
        <v>0.33819444444444446</v>
      </c>
      <c r="AB946" s="155">
        <v>86.5</v>
      </c>
      <c r="AC946" s="155">
        <v>16.3</v>
      </c>
      <c r="AD946" s="96"/>
      <c r="AE946" s="94">
        <f>Table3.110[[#This Row],[Gas 8h, ml]]-Table3.110[[#This Row],[Gas 0h, ml]]</f>
        <v>45</v>
      </c>
      <c r="AF946" s="94">
        <f>Table3.110[[#This Row],[Gas 24h, ml]]-Table3.110[[#This Row],[V8 Push back, ml]]</f>
        <v>46.5</v>
      </c>
      <c r="AG946" s="94">
        <f>Table3.110[[#This Row],[GP 8h, ml]]-(AVERAGE(AE$934,AE$935,AE$958,AE$959))*$AG$8</f>
        <v>43.00873479879084</v>
      </c>
      <c r="AH946" s="94">
        <f>Table3.110[[#This Row],[GP 8-24h, ml]]-(AVERAGE(AF$934,AF$935,AF$958,AF$959))*$AG$8</f>
        <v>43.844979731721118</v>
      </c>
      <c r="AI946" s="94">
        <f>Table3.110[[#This Row],[Net gas 8-24h, ml]]+Table3.110[[#This Row],[Net gas 8h, ml]]</f>
        <v>86.853714530511951</v>
      </c>
      <c r="AJ946" s="94">
        <f>Table3.110[[#This Row],[Net gas 8h, ml]]*Table3.110[[#This Row],[CH4 8h %]]%</f>
        <v>5.8061791978367641</v>
      </c>
      <c r="AK946" s="94">
        <f>Table3.110[[#This Row],[Net gas 8-24h, ml]]*Table3.110[[#This Row],[CH4 24h, %]]%</f>
        <v>7.1467316962705425</v>
      </c>
      <c r="AL946" s="94">
        <f>Table3.110[[#This Row],[CH4 8-24h, ml]]+Table3.110[[#This Row],[CH4 8h, ml]]</f>
        <v>12.952910894107307</v>
      </c>
      <c r="AM946" s="94">
        <f>(Table3.110[[#This Row],[Net gas 24h, ml]]/Table3.110[[#This Row],[DM Incubated, mg]])*1000</f>
        <v>191.6025467347616</v>
      </c>
      <c r="AN946" s="94">
        <f>'3.2 Digest'!X946</f>
        <v>72.358350779077355</v>
      </c>
      <c r="AO946" s="94">
        <f>Table3.110[[#This Row],[Digested feed, mg]]/Table3.110[[#This Row],[Net gas 24h, ml]]</f>
        <v>3.7764816810730677</v>
      </c>
      <c r="AP946" s="94">
        <f>Table3.110[[#This Row],[CH4 8h, ml]]/Table3.110[[#This Row],[Net gas 8h, ml]]%</f>
        <v>13.500000000000002</v>
      </c>
      <c r="AQ946" s="94">
        <f>Table3.110[[#This Row],[CH4 24h, ml]]/Table3.110[[#This Row],[Net gas 24h, ml]]%</f>
        <v>14.913479479978848</v>
      </c>
      <c r="AR946" s="94">
        <f>Table3.110[[#This Row],[CH4 24h, ml]]/Table3.110[[#This Row],[DM Incubated, mg]]*1000</f>
        <v>28.57460649040555</v>
      </c>
      <c r="AS946" s="94">
        <f>Table3.110[[#This Row],[CH4 24h, ml]]/Table3.110[[#This Row],[Digested feed, mg]]*1000</f>
        <v>39.490405990109977</v>
      </c>
      <c r="AT946" s="94">
        <f>Table3.110[[#This Row],[CH4 24h, ml]]/'3.2 Digest'!AA946</f>
        <v>0.30460918174027352</v>
      </c>
      <c r="AU946" s="94">
        <f>((Table3.110[[#This Row],[CH4 24h, ml]]/28.9)*16.04)/Table3.110[[#This Row],[DM Incubated, mg]]*1000</f>
        <v>15.859400972529583</v>
      </c>
      <c r="AV946" s="94">
        <f>((Table3.110[[#This Row],[CH4 24h, ml]]/28.9)*16.04)/Table3.110[[#This Row],[Digested feed, mg]]*1000</f>
        <v>21.917858549528166</v>
      </c>
      <c r="AW946" s="64"/>
    </row>
    <row r="947" spans="2:49" x14ac:dyDescent="0.35">
      <c r="B947" s="90">
        <f t="shared" si="14"/>
        <v>937</v>
      </c>
      <c r="C947" s="140">
        <v>46078</v>
      </c>
      <c r="D947" s="6" t="s">
        <v>16</v>
      </c>
      <c r="E947" s="6" t="s">
        <v>339</v>
      </c>
      <c r="F947" s="6" t="s">
        <v>219</v>
      </c>
      <c r="G947" s="6" t="s">
        <v>253</v>
      </c>
      <c r="H947" s="6" t="s">
        <v>254</v>
      </c>
      <c r="I947" s="6" t="s">
        <v>22</v>
      </c>
      <c r="J947" s="129" t="s">
        <v>23</v>
      </c>
      <c r="K947" s="129" t="s">
        <v>215</v>
      </c>
      <c r="L947" s="6" t="s">
        <v>338</v>
      </c>
      <c r="M947" s="93">
        <v>29</v>
      </c>
      <c r="N947" s="93">
        <v>70</v>
      </c>
      <c r="O947" s="6">
        <v>3</v>
      </c>
      <c r="P947" s="6">
        <v>2</v>
      </c>
      <c r="Q947" s="6">
        <v>212</v>
      </c>
      <c r="R947" s="98">
        <v>0.50019999999999998</v>
      </c>
      <c r="S947" s="94">
        <f>((Table3.110[[#This Row],[Sample weight, g]]*'2.1. DM'!Q207)/100)*1000</f>
        <v>453.21085592881388</v>
      </c>
      <c r="T947" s="94">
        <f>'3.2 Digest'!W947</f>
        <v>336.51085592881384</v>
      </c>
      <c r="U947" s="153">
        <v>0.32847222222222222</v>
      </c>
      <c r="V947" s="154">
        <v>40.5</v>
      </c>
      <c r="W947" s="153">
        <v>0.66180555555555554</v>
      </c>
      <c r="X947" s="91">
        <v>86.5</v>
      </c>
      <c r="Y947" s="91">
        <v>13.5</v>
      </c>
      <c r="Z947" s="154">
        <v>40.5</v>
      </c>
      <c r="AA947" s="153">
        <v>0.33888888888888891</v>
      </c>
      <c r="AB947" s="154">
        <v>87.5</v>
      </c>
      <c r="AC947" s="154">
        <v>16.100000000000001</v>
      </c>
      <c r="AD947" s="91"/>
      <c r="AE947" s="94">
        <f>Table3.110[[#This Row],[Gas 8h, ml]]-Table3.110[[#This Row],[Gas 0h, ml]]</f>
        <v>46</v>
      </c>
      <c r="AF947" s="94">
        <f>Table3.110[[#This Row],[Gas 24h, ml]]-Table3.110[[#This Row],[V8 Push back, ml]]</f>
        <v>47</v>
      </c>
      <c r="AG947" s="94">
        <f>Table3.110[[#This Row],[GP 8h, ml]]-(AVERAGE(AE$934,AE$935,AE$958,AE$959))*$AG$8</f>
        <v>44.00873479879084</v>
      </c>
      <c r="AH947" s="94">
        <f>Table3.110[[#This Row],[GP 8-24h, ml]]-(AVERAGE(AF$934,AF$935,AF$958,AF$959))*$AG$8</f>
        <v>44.344979731721118</v>
      </c>
      <c r="AI947" s="94">
        <f>Table3.110[[#This Row],[Net gas 8-24h, ml]]+Table3.110[[#This Row],[Net gas 8h, ml]]</f>
        <v>88.353714530511951</v>
      </c>
      <c r="AJ947" s="94">
        <f>Table3.110[[#This Row],[Net gas 8h, ml]]*Table3.110[[#This Row],[CH4 8h %]]%</f>
        <v>5.9411791978367638</v>
      </c>
      <c r="AK947" s="94">
        <f>Table3.110[[#This Row],[Net gas 8-24h, ml]]*Table3.110[[#This Row],[CH4 24h, %]]%</f>
        <v>7.1395417368071001</v>
      </c>
      <c r="AL947" s="94">
        <f>Table3.110[[#This Row],[CH4 8-24h, ml]]+Table3.110[[#This Row],[CH4 8h, ml]]</f>
        <v>13.080720934643864</v>
      </c>
      <c r="AM947" s="94">
        <f>(Table3.110[[#This Row],[Net gas 24h, ml]]/Table3.110[[#This Row],[DM Incubated, mg]])*1000</f>
        <v>194.95056964034799</v>
      </c>
      <c r="AN947" s="94">
        <f>'3.2 Digest'!X947</f>
        <v>74.250396151514479</v>
      </c>
      <c r="AO947" s="94">
        <f>Table3.110[[#This Row],[Digested feed, mg]]/Table3.110[[#This Row],[Net gas 24h, ml]]</f>
        <v>3.8086780812435865</v>
      </c>
      <c r="AP947" s="94">
        <f>Table3.110[[#This Row],[CH4 8h, ml]]/Table3.110[[#This Row],[Net gas 8h, ml]]%</f>
        <v>13.500000000000002</v>
      </c>
      <c r="AQ947" s="94">
        <f>Table3.110[[#This Row],[CH4 24h, ml]]/Table3.110[[#This Row],[Net gas 24h, ml]]%</f>
        <v>14.804947368824642</v>
      </c>
      <c r="AR947" s="94">
        <f>Table3.110[[#This Row],[CH4 24h, ml]]/Table3.110[[#This Row],[DM Incubated, mg]]*1000</f>
        <v>28.86232923047735</v>
      </c>
      <c r="AS947" s="94">
        <f>Table3.110[[#This Row],[CH4 24h, ml]]/Table3.110[[#This Row],[Digested feed, mg]]*1000</f>
        <v>38.871616484821473</v>
      </c>
      <c r="AT947" s="94">
        <f>Table3.110[[#This Row],[CH4 24h, ml]]/'3.2 Digest'!AA947</f>
        <v>0.28156442730295844</v>
      </c>
      <c r="AU947" s="94">
        <f>((Table3.110[[#This Row],[CH4 24h, ml]]/28.9)*16.04)/Table3.110[[#This Row],[DM Incubated, mg]]*1000</f>
        <v>16.01909207117151</v>
      </c>
      <c r="AV947" s="94">
        <f>((Table3.110[[#This Row],[CH4 24h, ml]]/28.9)*16.04)/Table3.110[[#This Row],[Digested feed, mg]]*1000</f>
        <v>21.574419668392263</v>
      </c>
      <c r="AW947" s="64"/>
    </row>
    <row r="948" spans="2:49" x14ac:dyDescent="0.35">
      <c r="B948" s="90">
        <f t="shared" si="14"/>
        <v>938</v>
      </c>
      <c r="C948" s="140">
        <v>46078</v>
      </c>
      <c r="D948" s="6" t="s">
        <v>16</v>
      </c>
      <c r="E948" s="6" t="s">
        <v>341</v>
      </c>
      <c r="F948" s="6" t="s">
        <v>333</v>
      </c>
      <c r="G948" s="6" t="s">
        <v>334</v>
      </c>
      <c r="H948" s="6" t="s">
        <v>335</v>
      </c>
      <c r="I948" s="6" t="s">
        <v>22</v>
      </c>
      <c r="J948" s="129" t="s">
        <v>23</v>
      </c>
      <c r="K948" s="129" t="s">
        <v>303</v>
      </c>
      <c r="L948" s="6" t="s">
        <v>340</v>
      </c>
      <c r="M948" s="93">
        <v>29</v>
      </c>
      <c r="N948" s="93">
        <v>70</v>
      </c>
      <c r="O948" s="6">
        <v>3</v>
      </c>
      <c r="P948" s="129">
        <v>1</v>
      </c>
      <c r="Q948" s="6">
        <v>213</v>
      </c>
      <c r="R948" s="98">
        <v>0.5</v>
      </c>
      <c r="S948" s="94">
        <f>((Table3.110[[#This Row],[Sample weight, g]]*'2.1. DM'!Q209)/100)*1000</f>
        <v>462.39566355139465</v>
      </c>
      <c r="T948" s="94">
        <f>'3.2 Digest'!W948</f>
        <v>289.69566355139455</v>
      </c>
      <c r="U948" s="156">
        <v>0.32847222222222222</v>
      </c>
      <c r="V948" s="154">
        <v>41</v>
      </c>
      <c r="W948" s="153">
        <v>0.66180555555555554</v>
      </c>
      <c r="X948" s="91">
        <v>90</v>
      </c>
      <c r="Y948" s="91">
        <v>13.7</v>
      </c>
      <c r="Z948" s="154">
        <v>40.5</v>
      </c>
      <c r="AA948" s="153">
        <v>0.34027777777777779</v>
      </c>
      <c r="AB948" s="154">
        <v>88.5</v>
      </c>
      <c r="AC948" s="154">
        <v>16.2</v>
      </c>
      <c r="AD948" s="91"/>
      <c r="AE948" s="94">
        <f>Table3.110[[#This Row],[Gas 8h, ml]]-Table3.110[[#This Row],[Gas 0h, ml]]</f>
        <v>49</v>
      </c>
      <c r="AF948" s="94">
        <f>Table3.110[[#This Row],[Gas 24h, ml]]-Table3.110[[#This Row],[V8 Push back, ml]]</f>
        <v>48</v>
      </c>
      <c r="AG948" s="94">
        <f>Table3.110[[#This Row],[GP 8h, ml]]-(AVERAGE(AE$934,AE$935,AE$958,AE$959))*$AG$8</f>
        <v>47.00873479879084</v>
      </c>
      <c r="AH948" s="94">
        <f>Table3.110[[#This Row],[GP 8-24h, ml]]-(AVERAGE(AF$934,AF$935,AF$958,AF$959))*$AG$8</f>
        <v>45.344979731721118</v>
      </c>
      <c r="AI948" s="94">
        <f>Table3.110[[#This Row],[Net gas 8-24h, ml]]+Table3.110[[#This Row],[Net gas 8h, ml]]</f>
        <v>92.353714530511951</v>
      </c>
      <c r="AJ948" s="94">
        <f>Table3.110[[#This Row],[Net gas 8h, ml]]*Table3.110[[#This Row],[CH4 8h %]]%</f>
        <v>6.4401966674343445</v>
      </c>
      <c r="AK948" s="94">
        <f>Table3.110[[#This Row],[Net gas 8-24h, ml]]*Table3.110[[#This Row],[CH4 24h, %]]%</f>
        <v>7.3458867165388213</v>
      </c>
      <c r="AL948" s="94">
        <f>Table3.110[[#This Row],[CH4 8-24h, ml]]+Table3.110[[#This Row],[CH4 8h, ml]]</f>
        <v>13.786083383973166</v>
      </c>
      <c r="AM948" s="94">
        <f>(Table3.110[[#This Row],[Net gas 24h, ml]]/Table3.110[[#This Row],[DM Incubated, mg]])*1000</f>
        <v>199.72876436858485</v>
      </c>
      <c r="AN948" s="94">
        <f>'3.2 Digest'!X948</f>
        <v>62.651033819480283</v>
      </c>
      <c r="AO948" s="94">
        <f>Table3.110[[#This Row],[Digested feed, mg]]/Table3.110[[#This Row],[Net gas 24h, ml]]</f>
        <v>3.1368057584265814</v>
      </c>
      <c r="AP948" s="94">
        <f>Table3.110[[#This Row],[CH4 8h, ml]]/Table3.110[[#This Row],[Net gas 8h, ml]]%</f>
        <v>13.7</v>
      </c>
      <c r="AQ948" s="94">
        <f>Table3.110[[#This Row],[CH4 24h, ml]]/Table3.110[[#This Row],[Net gas 24h, ml]]%</f>
        <v>14.927481210751409</v>
      </c>
      <c r="AR948" s="94">
        <f>Table3.110[[#This Row],[CH4 24h, ml]]/Table3.110[[#This Row],[DM Incubated, mg]]*1000</f>
        <v>29.814473773586464</v>
      </c>
      <c r="AS948" s="94">
        <f>Table3.110[[#This Row],[CH4 24h, ml]]/Table3.110[[#This Row],[Digested feed, mg]]*1000</f>
        <v>47.588159294374094</v>
      </c>
      <c r="AT948" s="94">
        <f>Table3.110[[#This Row],[CH4 24h, ml]]/'3.2 Digest'!AA948</f>
        <v>0.76899847243470143</v>
      </c>
      <c r="AU948" s="94">
        <f>((Table3.110[[#This Row],[CH4 24h, ml]]/28.9)*16.04)/Table3.110[[#This Row],[DM Incubated, mg]]*1000</f>
        <v>16.547548765686052</v>
      </c>
      <c r="AV948" s="94">
        <f>((Table3.110[[#This Row],[CH4 24h, ml]]/28.9)*16.04)/Table3.110[[#This Row],[Digested feed, mg]]*1000</f>
        <v>26.412251732932887</v>
      </c>
      <c r="AW948" s="64"/>
    </row>
    <row r="949" spans="2:49" x14ac:dyDescent="0.35">
      <c r="B949" s="90">
        <f t="shared" si="14"/>
        <v>939</v>
      </c>
      <c r="C949" s="140">
        <v>46078</v>
      </c>
      <c r="D949" s="6" t="s">
        <v>16</v>
      </c>
      <c r="E949" s="6" t="s">
        <v>341</v>
      </c>
      <c r="F949" s="6" t="s">
        <v>333</v>
      </c>
      <c r="G949" s="6" t="s">
        <v>334</v>
      </c>
      <c r="H949" s="6" t="s">
        <v>335</v>
      </c>
      <c r="I949" s="6" t="s">
        <v>22</v>
      </c>
      <c r="J949" s="129" t="s">
        <v>23</v>
      </c>
      <c r="K949" s="129" t="s">
        <v>303</v>
      </c>
      <c r="L949" s="6" t="s">
        <v>340</v>
      </c>
      <c r="M949" s="93">
        <v>29</v>
      </c>
      <c r="N949" s="93">
        <v>70</v>
      </c>
      <c r="O949" s="6">
        <v>3</v>
      </c>
      <c r="P949" s="6">
        <v>2</v>
      </c>
      <c r="Q949" s="6">
        <v>214</v>
      </c>
      <c r="R949" s="98">
        <v>0.50019999999999998</v>
      </c>
      <c r="S949" s="94">
        <f>((Table3.110[[#This Row],[Sample weight, g]]*'2.1. DM'!Q209)/100)*1000</f>
        <v>462.58062181681515</v>
      </c>
      <c r="T949" s="94">
        <f>'3.2 Digest'!W949</f>
        <v>290.5806218168151</v>
      </c>
      <c r="U949" s="117">
        <v>0.32916666666666666</v>
      </c>
      <c r="V949" s="155">
        <v>40.5</v>
      </c>
      <c r="W949" s="117">
        <v>0.66249999999999998</v>
      </c>
      <c r="X949" s="96">
        <v>90</v>
      </c>
      <c r="Y949" s="96">
        <v>13.5</v>
      </c>
      <c r="Z949" s="155">
        <v>40</v>
      </c>
      <c r="AA949" s="117">
        <v>0.34027777777777779</v>
      </c>
      <c r="AB949" s="155">
        <v>86.5</v>
      </c>
      <c r="AC949" s="155">
        <v>16.100000000000001</v>
      </c>
      <c r="AD949" s="96"/>
      <c r="AE949" s="94">
        <f>Table3.110[[#This Row],[Gas 8h, ml]]-Table3.110[[#This Row],[Gas 0h, ml]]</f>
        <v>49.5</v>
      </c>
      <c r="AF949" s="94">
        <f>Table3.110[[#This Row],[Gas 24h, ml]]-Table3.110[[#This Row],[V8 Push back, ml]]</f>
        <v>46.5</v>
      </c>
      <c r="AG949" s="94">
        <f>Table3.110[[#This Row],[GP 8h, ml]]-(AVERAGE(AE$934,AE$935,AE$958,AE$959))*$AG$8</f>
        <v>47.50873479879084</v>
      </c>
      <c r="AH949" s="94">
        <f>Table3.110[[#This Row],[GP 8-24h, ml]]-(AVERAGE(AF$934,AF$935,AF$958,AF$959))*$AG$8</f>
        <v>43.844979731721118</v>
      </c>
      <c r="AI949" s="94">
        <f>Table3.110[[#This Row],[Net gas 8-24h, ml]]+Table3.110[[#This Row],[Net gas 8h, ml]]</f>
        <v>91.353714530511951</v>
      </c>
      <c r="AJ949" s="94">
        <f>Table3.110[[#This Row],[Net gas 8h, ml]]*Table3.110[[#This Row],[CH4 8h %]]%</f>
        <v>6.413679197836764</v>
      </c>
      <c r="AK949" s="94">
        <f>Table3.110[[#This Row],[Net gas 8-24h, ml]]*Table3.110[[#This Row],[CH4 24h, %]]%</f>
        <v>7.0590417368071003</v>
      </c>
      <c r="AL949" s="94">
        <f>Table3.110[[#This Row],[CH4 8-24h, ml]]+Table3.110[[#This Row],[CH4 8h, ml]]</f>
        <v>13.472720934643863</v>
      </c>
      <c r="AM949" s="94">
        <f>(Table3.110[[#This Row],[Net gas 24h, ml]]/Table3.110[[#This Row],[DM Incubated, mg]])*1000</f>
        <v>197.48711948138762</v>
      </c>
      <c r="AN949" s="94">
        <f>'3.2 Digest'!X949</f>
        <v>62.817292405276518</v>
      </c>
      <c r="AO949" s="94">
        <f>Table3.110[[#This Row],[Digested feed, mg]]/Table3.110[[#This Row],[Net gas 24h, ml]]</f>
        <v>3.1808298470420899</v>
      </c>
      <c r="AP949" s="94">
        <f>Table3.110[[#This Row],[CH4 8h, ml]]/Table3.110[[#This Row],[Net gas 8h, ml]]%</f>
        <v>13.5</v>
      </c>
      <c r="AQ949" s="94">
        <f>Table3.110[[#This Row],[CH4 24h, ml]]/Table3.110[[#This Row],[Net gas 24h, ml]]%</f>
        <v>14.747863295853177</v>
      </c>
      <c r="AR949" s="94">
        <f>Table3.110[[#This Row],[CH4 24h, ml]]/Table3.110[[#This Row],[DM Incubated, mg]]*1000</f>
        <v>29.125130408033275</v>
      </c>
      <c r="AS949" s="94">
        <f>Table3.110[[#This Row],[CH4 24h, ml]]/Table3.110[[#This Row],[Digested feed, mg]]*1000</f>
        <v>46.364829321403271</v>
      </c>
      <c r="AT949" s="94">
        <f>Table3.110[[#This Row],[CH4 24h, ml]]/'3.2 Digest'!AA949</f>
        <v>0.73650934618855768</v>
      </c>
      <c r="AU949" s="94">
        <f>((Table3.110[[#This Row],[CH4 24h, ml]]/28.9)*16.04)/Table3.110[[#This Row],[DM Incubated, mg]]*1000</f>
        <v>16.164951271448224</v>
      </c>
      <c r="AV949" s="94">
        <f>((Table3.110[[#This Row],[CH4 24h, ml]]/28.9)*16.04)/Table3.110[[#This Row],[Digested feed, mg]]*1000</f>
        <v>25.733282433055656</v>
      </c>
      <c r="AW949" s="64"/>
    </row>
    <row r="950" spans="2:49" x14ac:dyDescent="0.35">
      <c r="B950" s="90">
        <f t="shared" si="14"/>
        <v>940</v>
      </c>
      <c r="C950" s="140">
        <v>46078</v>
      </c>
      <c r="D950" s="6" t="s">
        <v>16</v>
      </c>
      <c r="E950" s="6" t="s">
        <v>343</v>
      </c>
      <c r="F950" s="6" t="s">
        <v>212</v>
      </c>
      <c r="G950" s="6" t="s">
        <v>301</v>
      </c>
      <c r="H950" s="6" t="s">
        <v>302</v>
      </c>
      <c r="I950" s="6" t="s">
        <v>22</v>
      </c>
      <c r="J950" s="129" t="s">
        <v>23</v>
      </c>
      <c r="K950" s="129" t="s">
        <v>303</v>
      </c>
      <c r="L950" s="6" t="s">
        <v>342</v>
      </c>
      <c r="M950" s="93">
        <v>29</v>
      </c>
      <c r="N950" s="93">
        <v>70</v>
      </c>
      <c r="O950" s="6">
        <v>3</v>
      </c>
      <c r="P950" s="129">
        <v>1</v>
      </c>
      <c r="Q950" s="6">
        <v>215</v>
      </c>
      <c r="R950" s="98">
        <v>0.50060000000000004</v>
      </c>
      <c r="S950" s="94">
        <f>((Table3.110[[#This Row],[Sample weight, g]]*'2.1. DM'!Q211)/100)*1000</f>
        <v>463.38410370925857</v>
      </c>
      <c r="T950" s="94">
        <f>'3.2 Digest'!W950</f>
        <v>174.28410370925855</v>
      </c>
      <c r="U950" s="117">
        <v>0.32916666666666666</v>
      </c>
      <c r="V950" s="155">
        <v>40.5</v>
      </c>
      <c r="W950" s="117">
        <v>0.66249999999999998</v>
      </c>
      <c r="X950" s="96">
        <v>88.5</v>
      </c>
      <c r="Y950" s="96">
        <v>13.9</v>
      </c>
      <c r="Z950" s="155">
        <v>40</v>
      </c>
      <c r="AA950" s="117">
        <v>0.34097222222222223</v>
      </c>
      <c r="AB950" s="155">
        <v>88</v>
      </c>
      <c r="AC950" s="155">
        <v>17.2</v>
      </c>
      <c r="AD950" s="96"/>
      <c r="AE950" s="94">
        <f>Table3.110[[#This Row],[Gas 8h, ml]]-Table3.110[[#This Row],[Gas 0h, ml]]</f>
        <v>48</v>
      </c>
      <c r="AF950" s="94">
        <f>Table3.110[[#This Row],[Gas 24h, ml]]-Table3.110[[#This Row],[V8 Push back, ml]]</f>
        <v>48</v>
      </c>
      <c r="AG950" s="94">
        <f>Table3.110[[#This Row],[GP 8h, ml]]-(AVERAGE(AE$934,AE$935,AE$958,AE$959))*$AG$8</f>
        <v>46.00873479879084</v>
      </c>
      <c r="AH950" s="94">
        <f>Table3.110[[#This Row],[GP 8-24h, ml]]-(AVERAGE(AF$934,AF$935,AF$958,AF$959))*$AG$8</f>
        <v>45.344979731721118</v>
      </c>
      <c r="AI950" s="94">
        <f>Table3.110[[#This Row],[Net gas 8-24h, ml]]+Table3.110[[#This Row],[Net gas 8h, ml]]</f>
        <v>91.353714530511951</v>
      </c>
      <c r="AJ950" s="94">
        <f>Table3.110[[#This Row],[Net gas 8h, ml]]*Table3.110[[#This Row],[CH4 8h %]]%</f>
        <v>6.3952141370319273</v>
      </c>
      <c r="AK950" s="94">
        <f>Table3.110[[#This Row],[Net gas 8-24h, ml]]*Table3.110[[#This Row],[CH4 24h, %]]%</f>
        <v>7.7993365138560318</v>
      </c>
      <c r="AL950" s="94">
        <f>Table3.110[[#This Row],[CH4 8-24h, ml]]+Table3.110[[#This Row],[CH4 8h, ml]]</f>
        <v>14.194550650887958</v>
      </c>
      <c r="AM950" s="94">
        <f>(Table3.110[[#This Row],[Net gas 24h, ml]]/Table3.110[[#This Row],[DM Incubated, mg]])*1000</f>
        <v>197.14468795811362</v>
      </c>
      <c r="AN950" s="94">
        <f>'3.2 Digest'!X950</f>
        <v>37.611152888966984</v>
      </c>
      <c r="AO950" s="94">
        <f>Table3.110[[#This Row],[Digested feed, mg]]/Table3.110[[#This Row],[Net gas 24h, ml]]</f>
        <v>1.9077943858653719</v>
      </c>
      <c r="AP950" s="94">
        <f>Table3.110[[#This Row],[CH4 8h, ml]]/Table3.110[[#This Row],[Net gas 8h, ml]]%</f>
        <v>13.9</v>
      </c>
      <c r="AQ950" s="94">
        <f>Table3.110[[#This Row],[CH4 24h, ml]]/Table3.110[[#This Row],[Net gas 24h, ml]]%</f>
        <v>15.538011479705084</v>
      </c>
      <c r="AR950" s="94">
        <f>Table3.110[[#This Row],[CH4 24h, ml]]/Table3.110[[#This Row],[DM Incubated, mg]]*1000</f>
        <v>30.632364246560464</v>
      </c>
      <c r="AS950" s="94">
        <f>Table3.110[[#This Row],[CH4 24h, ml]]/Table3.110[[#This Row],[Digested feed, mg]]*1000</f>
        <v>81.444895712160687</v>
      </c>
      <c r="AT950" s="94">
        <f>Table3.110[[#This Row],[CH4 24h, ml]]/'3.2 Digest'!AA950</f>
        <v>-3.2393187081319428</v>
      </c>
      <c r="AU950" s="94">
        <f>((Table3.110[[#This Row],[CH4 24h, ml]]/28.9)*16.04)/Table3.110[[#This Row],[DM Incubated, mg]]*1000</f>
        <v>17.001492128540828</v>
      </c>
      <c r="AV950" s="94">
        <f>((Table3.110[[#This Row],[CH4 24h, ml]]/28.9)*16.04)/Table3.110[[#This Row],[Digested feed, mg]]*1000</f>
        <v>45.203326201489872</v>
      </c>
      <c r="AW950" s="64"/>
    </row>
    <row r="951" spans="2:49" x14ac:dyDescent="0.35">
      <c r="B951" s="90">
        <f t="shared" si="14"/>
        <v>941</v>
      </c>
      <c r="C951" s="140">
        <v>46078</v>
      </c>
      <c r="D951" s="6" t="s">
        <v>16</v>
      </c>
      <c r="E951" s="6" t="s">
        <v>343</v>
      </c>
      <c r="F951" s="6" t="s">
        <v>212</v>
      </c>
      <c r="G951" s="6" t="s">
        <v>301</v>
      </c>
      <c r="H951" s="6" t="s">
        <v>302</v>
      </c>
      <c r="I951" s="6" t="s">
        <v>22</v>
      </c>
      <c r="J951" s="129" t="s">
        <v>23</v>
      </c>
      <c r="K951" s="129" t="s">
        <v>303</v>
      </c>
      <c r="L951" s="6" t="s">
        <v>342</v>
      </c>
      <c r="M951" s="93">
        <v>29</v>
      </c>
      <c r="N951" s="93">
        <v>70</v>
      </c>
      <c r="O951" s="6">
        <v>3</v>
      </c>
      <c r="P951" s="129">
        <v>2</v>
      </c>
      <c r="Q951" s="6">
        <v>216</v>
      </c>
      <c r="R951" s="98">
        <v>0.50019999999999998</v>
      </c>
      <c r="S951" s="94">
        <f>((Table3.110[[#This Row],[Sample weight, g]]*'2.1. DM'!Q211)/100)*1000</f>
        <v>463.01384074185205</v>
      </c>
      <c r="T951" s="94">
        <f>'3.2 Digest'!W951</f>
        <v>196.01384074185205</v>
      </c>
      <c r="U951" s="153">
        <v>0.32916666666666666</v>
      </c>
      <c r="V951" s="154">
        <v>40.5</v>
      </c>
      <c r="W951" s="153">
        <v>0.66319444444444442</v>
      </c>
      <c r="X951" s="91">
        <v>77.5</v>
      </c>
      <c r="Y951" s="91">
        <v>14.1</v>
      </c>
      <c r="Z951" s="154">
        <v>40</v>
      </c>
      <c r="AA951" s="153">
        <v>0.34097222222222223</v>
      </c>
      <c r="AB951" s="154">
        <v>76.5</v>
      </c>
      <c r="AC951" s="154">
        <v>17.5</v>
      </c>
      <c r="AD951" s="91"/>
      <c r="AE951" s="94">
        <f>Table3.110[[#This Row],[Gas 8h, ml]]-Table3.110[[#This Row],[Gas 0h, ml]]</f>
        <v>37</v>
      </c>
      <c r="AF951" s="94">
        <f>Table3.110[[#This Row],[Gas 24h, ml]]-Table3.110[[#This Row],[V8 Push back, ml]]</f>
        <v>36.5</v>
      </c>
      <c r="AG951" s="94">
        <f>Table3.110[[#This Row],[GP 8h, ml]]-(AVERAGE(AE$934,AE$935,AE$958,AE$959))*$AG$8</f>
        <v>35.00873479879084</v>
      </c>
      <c r="AH951" s="94">
        <f>Table3.110[[#This Row],[GP 8-24h, ml]]-(AVERAGE(AF$934,AF$935,AF$958,AF$959))*$AG$8</f>
        <v>33.844979731721118</v>
      </c>
      <c r="AI951" s="94">
        <f>Table3.110[[#This Row],[Net gas 8-24h, ml]]+Table3.110[[#This Row],[Net gas 8h, ml]]</f>
        <v>68.853714530511951</v>
      </c>
      <c r="AJ951" s="94">
        <f>Table3.110[[#This Row],[Net gas 8h, ml]]*Table3.110[[#This Row],[CH4 8h %]]%</f>
        <v>4.9362316066295078</v>
      </c>
      <c r="AK951" s="94">
        <f>Table3.110[[#This Row],[Net gas 8-24h, ml]]*Table3.110[[#This Row],[CH4 24h, %]]%</f>
        <v>5.9228714530511954</v>
      </c>
      <c r="AL951" s="94">
        <f>Table3.110[[#This Row],[CH4 8-24h, ml]]+Table3.110[[#This Row],[CH4 8h, ml]]</f>
        <v>10.859103059680702</v>
      </c>
      <c r="AM951" s="94">
        <f>(Table3.110[[#This Row],[Net gas 24h, ml]]/Table3.110[[#This Row],[DM Incubated, mg]])*1000</f>
        <v>148.70768100623698</v>
      </c>
      <c r="AN951" s="94">
        <f>'3.2 Digest'!X951</f>
        <v>42.334337225814657</v>
      </c>
      <c r="AO951" s="94">
        <f>Table3.110[[#This Row],[Digested feed, mg]]/Table3.110[[#This Row],[Net gas 24h, ml]]</f>
        <v>2.8468157757122916</v>
      </c>
      <c r="AP951" s="94">
        <f>Table3.110[[#This Row],[CH4 8h, ml]]/Table3.110[[#This Row],[Net gas 8h, ml]]%</f>
        <v>14.099999999999998</v>
      </c>
      <c r="AQ951" s="94">
        <f>Table3.110[[#This Row],[CH4 24h, ml]]/Table3.110[[#This Row],[Net gas 24h, ml]]%</f>
        <v>15.771266857169456</v>
      </c>
      <c r="AR951" s="94">
        <f>Table3.110[[#This Row],[CH4 24h, ml]]/Table3.110[[#This Row],[DM Incubated, mg]]*1000</f>
        <v>23.453085208601937</v>
      </c>
      <c r="AS951" s="94">
        <f>Table3.110[[#This Row],[CH4 24h, ml]]/Table3.110[[#This Row],[Digested feed, mg]]*1000</f>
        <v>55.399674934088019</v>
      </c>
      <c r="AT951" s="94">
        <f>Table3.110[[#This Row],[CH4 24h, ml]]/'3.2 Digest'!AA951</f>
        <v>3.0846729981288354</v>
      </c>
      <c r="AU951" s="94">
        <f>((Table3.110[[#This Row],[CH4 24h, ml]]/28.9)*16.04)/Table3.110[[#This Row],[DM Incubated, mg]]*1000</f>
        <v>13.016868053493946</v>
      </c>
      <c r="AV951" s="94">
        <f>((Table3.110[[#This Row],[CH4 24h, ml]]/28.9)*16.04)/Table3.110[[#This Row],[Digested feed, mg]]*1000</f>
        <v>30.747778060303524</v>
      </c>
      <c r="AW951" s="64"/>
    </row>
    <row r="952" spans="2:49" x14ac:dyDescent="0.35">
      <c r="B952" s="90">
        <f t="shared" si="14"/>
        <v>942</v>
      </c>
      <c r="C952" s="140">
        <v>46078</v>
      </c>
      <c r="D952" s="6" t="s">
        <v>16</v>
      </c>
      <c r="E952" s="6" t="s">
        <v>345</v>
      </c>
      <c r="F952" s="6" t="s">
        <v>346</v>
      </c>
      <c r="G952" s="6" t="s">
        <v>347</v>
      </c>
      <c r="H952" s="6" t="s">
        <v>348</v>
      </c>
      <c r="I952" s="6" t="s">
        <v>22</v>
      </c>
      <c r="J952" s="129" t="s">
        <v>23</v>
      </c>
      <c r="K952" s="129" t="s">
        <v>303</v>
      </c>
      <c r="L952" s="6" t="s">
        <v>344</v>
      </c>
      <c r="M952" s="93">
        <v>29</v>
      </c>
      <c r="N952" s="93">
        <v>70</v>
      </c>
      <c r="O952" s="6">
        <v>3</v>
      </c>
      <c r="P952" s="6">
        <v>1</v>
      </c>
      <c r="Q952" s="6">
        <v>217</v>
      </c>
      <c r="R952" s="98">
        <v>0.50009999999999999</v>
      </c>
      <c r="S952" s="94">
        <f>((Table3.110[[#This Row],[Sample weight, g]]*'2.1. DM'!Q213)/100)*1000</f>
        <v>464.13037481259397</v>
      </c>
      <c r="T952" s="94">
        <f>'3.2 Digest'!W952</f>
        <v>215.93037481259398</v>
      </c>
      <c r="U952" s="153">
        <v>0.3298611111111111</v>
      </c>
      <c r="V952" s="154">
        <v>40.5</v>
      </c>
      <c r="W952" s="153">
        <v>0.66319444444444442</v>
      </c>
      <c r="X952" s="91">
        <v>72.5</v>
      </c>
      <c r="Y952" s="91">
        <v>12.4</v>
      </c>
      <c r="Z952" s="154">
        <v>39.5</v>
      </c>
      <c r="AA952" s="153">
        <v>0.34166666666666667</v>
      </c>
      <c r="AB952" s="154">
        <v>77</v>
      </c>
      <c r="AC952" s="154">
        <v>15.7</v>
      </c>
      <c r="AD952" s="91"/>
      <c r="AE952" s="94">
        <f>Table3.110[[#This Row],[Gas 8h, ml]]-Table3.110[[#This Row],[Gas 0h, ml]]</f>
        <v>32</v>
      </c>
      <c r="AF952" s="94">
        <f>Table3.110[[#This Row],[Gas 24h, ml]]-Table3.110[[#This Row],[V8 Push back, ml]]</f>
        <v>37.5</v>
      </c>
      <c r="AG952" s="94">
        <f>Table3.110[[#This Row],[GP 8h, ml]]-(AVERAGE(AE$934,AE$935,AE$958,AE$959))*$AG$8</f>
        <v>30.008734798790837</v>
      </c>
      <c r="AH952" s="94">
        <f>Table3.110[[#This Row],[GP 8-24h, ml]]-(AVERAGE(AF$934,AF$935,AF$958,AF$959))*$AG$8</f>
        <v>34.844979731721118</v>
      </c>
      <c r="AI952" s="94">
        <f>Table3.110[[#This Row],[Net gas 8-24h, ml]]+Table3.110[[#This Row],[Net gas 8h, ml]]</f>
        <v>64.853714530511951</v>
      </c>
      <c r="AJ952" s="94">
        <f>Table3.110[[#This Row],[Net gas 8h, ml]]*Table3.110[[#This Row],[CH4 8h %]]%</f>
        <v>3.7210831150500638</v>
      </c>
      <c r="AK952" s="94">
        <f>Table3.110[[#This Row],[Net gas 8-24h, ml]]*Table3.110[[#This Row],[CH4 24h, %]]%</f>
        <v>5.4706618178802158</v>
      </c>
      <c r="AL952" s="94">
        <f>Table3.110[[#This Row],[CH4 8-24h, ml]]+Table3.110[[#This Row],[CH4 8h, ml]]</f>
        <v>9.1917449329302805</v>
      </c>
      <c r="AM952" s="94">
        <f>(Table3.110[[#This Row],[Net gas 24h, ml]]/Table3.110[[#This Row],[DM Incubated, mg]])*1000</f>
        <v>139.73167465434364</v>
      </c>
      <c r="AN952" s="94">
        <f>'3.2 Digest'!X952</f>
        <v>46.523646486137025</v>
      </c>
      <c r="AO952" s="94">
        <f>Table3.110[[#This Row],[Digested feed, mg]]/Table3.110[[#This Row],[Net gas 24h, ml]]</f>
        <v>3.3294989558540165</v>
      </c>
      <c r="AP952" s="94">
        <f>Table3.110[[#This Row],[CH4 8h, ml]]/Table3.110[[#This Row],[Net gas 8h, ml]]%</f>
        <v>12.4</v>
      </c>
      <c r="AQ952" s="94">
        <f>Table3.110[[#This Row],[CH4 24h, ml]]/Table3.110[[#This Row],[Net gas 24h, ml]]%</f>
        <v>14.173043131717318</v>
      </c>
      <c r="AR952" s="94">
        <f>Table3.110[[#This Row],[CH4 24h, ml]]/Table3.110[[#This Row],[DM Incubated, mg]]*1000</f>
        <v>19.804230517431041</v>
      </c>
      <c r="AS952" s="94">
        <f>Table3.110[[#This Row],[CH4 24h, ml]]/Table3.110[[#This Row],[Digested feed, mg]]*1000</f>
        <v>42.568096039789665</v>
      </c>
      <c r="AT952" s="94">
        <f>Table3.110[[#This Row],[CH4 24h, ml]]/'3.2 Digest'!AA952</f>
        <v>1.5699039929346685</v>
      </c>
      <c r="AU952" s="94">
        <f>((Table3.110[[#This Row],[CH4 24h, ml]]/28.9)*16.04)/Table3.110[[#This Row],[DM Incubated, mg]]*1000</f>
        <v>10.991690570920204</v>
      </c>
      <c r="AV952" s="94">
        <f>((Table3.110[[#This Row],[CH4 24h, ml]]/28.9)*16.04)/Table3.110[[#This Row],[Digested feed, mg]]*1000</f>
        <v>23.626029774333091</v>
      </c>
      <c r="AW952" s="64"/>
    </row>
    <row r="953" spans="2:49" x14ac:dyDescent="0.35">
      <c r="B953" s="90">
        <f t="shared" si="14"/>
        <v>943</v>
      </c>
      <c r="C953" s="140">
        <v>46078</v>
      </c>
      <c r="D953" s="6" t="s">
        <v>16</v>
      </c>
      <c r="E953" s="6" t="s">
        <v>345</v>
      </c>
      <c r="F953" s="6" t="s">
        <v>346</v>
      </c>
      <c r="G953" s="6" t="s">
        <v>347</v>
      </c>
      <c r="H953" s="6" t="s">
        <v>348</v>
      </c>
      <c r="I953" s="6" t="s">
        <v>22</v>
      </c>
      <c r="J953" s="129" t="s">
        <v>23</v>
      </c>
      <c r="K953" s="129" t="s">
        <v>303</v>
      </c>
      <c r="L953" s="6" t="s">
        <v>344</v>
      </c>
      <c r="M953" s="93">
        <v>29</v>
      </c>
      <c r="N953" s="93">
        <v>70</v>
      </c>
      <c r="O953" s="6">
        <v>3</v>
      </c>
      <c r="P953" s="129">
        <v>2</v>
      </c>
      <c r="Q953" s="6">
        <v>218</v>
      </c>
      <c r="R953" s="98">
        <v>0.50039999999999996</v>
      </c>
      <c r="S953" s="94">
        <f>((Table3.110[[#This Row],[Sample weight, g]]*'2.1. DM'!Q213)/100)*1000</f>
        <v>464.40879735297335</v>
      </c>
      <c r="T953" s="94">
        <f>'3.2 Digest'!W953</f>
        <v>217.60879735297334</v>
      </c>
      <c r="U953" s="117">
        <v>0.3298611111111111</v>
      </c>
      <c r="V953" s="155">
        <v>40.5</v>
      </c>
      <c r="W953" s="117">
        <v>0.66388888888888886</v>
      </c>
      <c r="X953" s="96">
        <v>70.5</v>
      </c>
      <c r="Y953" s="96">
        <v>13.3</v>
      </c>
      <c r="Z953" s="155">
        <v>40</v>
      </c>
      <c r="AA953" s="117">
        <v>0.34166666666666667</v>
      </c>
      <c r="AB953" s="155">
        <v>76</v>
      </c>
      <c r="AC953" s="155">
        <v>15.6</v>
      </c>
      <c r="AD953" s="96"/>
      <c r="AE953" s="94">
        <f>Table3.110[[#This Row],[Gas 8h, ml]]-Table3.110[[#This Row],[Gas 0h, ml]]</f>
        <v>30</v>
      </c>
      <c r="AF953" s="94">
        <f>Table3.110[[#This Row],[Gas 24h, ml]]-Table3.110[[#This Row],[V8 Push back, ml]]</f>
        <v>36</v>
      </c>
      <c r="AG953" s="94">
        <f>Table3.110[[#This Row],[GP 8h, ml]]-(AVERAGE(AE$934,AE$935,AE$958,AE$959))*$AG$8</f>
        <v>28.008734798790837</v>
      </c>
      <c r="AH953" s="94">
        <f>Table3.110[[#This Row],[GP 8-24h, ml]]-(AVERAGE(AF$934,AF$935,AF$958,AF$959))*$AG$8</f>
        <v>33.344979731721118</v>
      </c>
      <c r="AI953" s="94">
        <f>Table3.110[[#This Row],[Net gas 8-24h, ml]]+Table3.110[[#This Row],[Net gas 8h, ml]]</f>
        <v>61.353714530511951</v>
      </c>
      <c r="AJ953" s="94">
        <f>Table3.110[[#This Row],[Net gas 8h, ml]]*Table3.110[[#This Row],[CH4 8h %]]%</f>
        <v>3.7251617282391813</v>
      </c>
      <c r="AK953" s="94">
        <f>Table3.110[[#This Row],[Net gas 8-24h, ml]]*Table3.110[[#This Row],[CH4 24h, %]]%</f>
        <v>5.2018168381484946</v>
      </c>
      <c r="AL953" s="94">
        <f>Table3.110[[#This Row],[CH4 8-24h, ml]]+Table3.110[[#This Row],[CH4 8h, ml]]</f>
        <v>8.9269785663876764</v>
      </c>
      <c r="AM953" s="94">
        <f>(Table3.110[[#This Row],[Net gas 24h, ml]]/Table3.110[[#This Row],[DM Incubated, mg]])*1000</f>
        <v>132.11143906018674</v>
      </c>
      <c r="AN953" s="94">
        <f>'3.2 Digest'!X953</f>
        <v>46.857165194392309</v>
      </c>
      <c r="AO953" s="94">
        <f>Table3.110[[#This Row],[Digested feed, mg]]/Table3.110[[#This Row],[Net gas 24h, ml]]</f>
        <v>3.5467909158907376</v>
      </c>
      <c r="AP953" s="94">
        <f>Table3.110[[#This Row],[CH4 8h, ml]]/Table3.110[[#This Row],[Net gas 8h, ml]]%</f>
        <v>13.3</v>
      </c>
      <c r="AQ953" s="94">
        <f>Table3.110[[#This Row],[CH4 24h, ml]]/Table3.110[[#This Row],[Net gas 24h, ml]]%</f>
        <v>14.550021355183281</v>
      </c>
      <c r="AR953" s="94">
        <f>Table3.110[[#This Row],[CH4 24h, ml]]/Table3.110[[#This Row],[DM Incubated, mg]]*1000</f>
        <v>19.222242595897118</v>
      </c>
      <c r="AS953" s="94">
        <f>Table3.110[[#This Row],[CH4 24h, ml]]/Table3.110[[#This Row],[Digested feed, mg]]*1000</f>
        <v>41.02305915467025</v>
      </c>
      <c r="AT953" s="94">
        <f>Table3.110[[#This Row],[CH4 24h, ml]]/'3.2 Digest'!AA953</f>
        <v>1.3857180996181466</v>
      </c>
      <c r="AU953" s="94">
        <f>((Table3.110[[#This Row],[CH4 24h, ml]]/28.9)*16.04)/Table3.110[[#This Row],[DM Incubated, mg]]*1000</f>
        <v>10.668677205473694</v>
      </c>
      <c r="AV953" s="94">
        <f>((Table3.110[[#This Row],[CH4 24h, ml]]/28.9)*16.04)/Table3.110[[#This Row],[Digested feed, mg]]*1000</f>
        <v>22.768507572349854</v>
      </c>
      <c r="AW953" s="64"/>
    </row>
    <row r="954" spans="2:49" x14ac:dyDescent="0.35">
      <c r="B954" s="90">
        <f t="shared" si="14"/>
        <v>944</v>
      </c>
      <c r="C954" s="140">
        <v>46078</v>
      </c>
      <c r="D954" s="6" t="s">
        <v>16</v>
      </c>
      <c r="E954" s="6" t="s">
        <v>350</v>
      </c>
      <c r="F954" s="6" t="s">
        <v>212</v>
      </c>
      <c r="G954" s="6" t="s">
        <v>351</v>
      </c>
      <c r="H954" s="6" t="s">
        <v>352</v>
      </c>
      <c r="I954" s="6" t="s">
        <v>22</v>
      </c>
      <c r="J954" s="129" t="s">
        <v>23</v>
      </c>
      <c r="K954" s="129" t="s">
        <v>215</v>
      </c>
      <c r="L954" s="6" t="s">
        <v>349</v>
      </c>
      <c r="M954" s="93">
        <v>29</v>
      </c>
      <c r="N954" s="93">
        <v>70</v>
      </c>
      <c r="O954" s="6">
        <v>3</v>
      </c>
      <c r="P954" s="6">
        <v>1</v>
      </c>
      <c r="Q954" s="6">
        <v>219</v>
      </c>
      <c r="R954" s="98">
        <v>0.50029999999999997</v>
      </c>
      <c r="S954" s="94">
        <f>((Table3.110[[#This Row],[Sample weight, g]]*'2.1. DM'!Q215)/100)*1000</f>
        <v>464.1087198498704</v>
      </c>
      <c r="T954" s="94">
        <f>'3.2 Digest'!W954</f>
        <v>227.60871984987034</v>
      </c>
      <c r="U954" s="117">
        <v>0.3298611111111111</v>
      </c>
      <c r="V954" s="155">
        <v>40.5</v>
      </c>
      <c r="W954" s="117">
        <v>0.6645833333333333</v>
      </c>
      <c r="X954" s="96">
        <v>82.5</v>
      </c>
      <c r="Y954" s="96">
        <v>13.7</v>
      </c>
      <c r="Z954" s="155">
        <v>40</v>
      </c>
      <c r="AA954" s="117">
        <v>0.34305555555555556</v>
      </c>
      <c r="AB954" s="155">
        <v>85</v>
      </c>
      <c r="AC954" s="155">
        <v>16.100000000000001</v>
      </c>
      <c r="AD954" s="96"/>
      <c r="AE954" s="94">
        <f>Table3.110[[#This Row],[Gas 8h, ml]]-Table3.110[[#This Row],[Gas 0h, ml]]</f>
        <v>42</v>
      </c>
      <c r="AF954" s="94">
        <f>Table3.110[[#This Row],[Gas 24h, ml]]-Table3.110[[#This Row],[V8 Push back, ml]]</f>
        <v>45</v>
      </c>
      <c r="AG954" s="94">
        <f>Table3.110[[#This Row],[GP 8h, ml]]-(AVERAGE(AE$934,AE$935,AE$958,AE$959))*$AG$8</f>
        <v>40.00873479879084</v>
      </c>
      <c r="AH954" s="94">
        <f>Table3.110[[#This Row],[GP 8-24h, ml]]-(AVERAGE(AF$934,AF$935,AF$958,AF$959))*$AG$8</f>
        <v>42.344979731721118</v>
      </c>
      <c r="AI954" s="94">
        <f>Table3.110[[#This Row],[Net gas 8-24h, ml]]+Table3.110[[#This Row],[Net gas 8h, ml]]</f>
        <v>82.353714530511951</v>
      </c>
      <c r="AJ954" s="94">
        <f>Table3.110[[#This Row],[Net gas 8h, ml]]*Table3.110[[#This Row],[CH4 8h %]]%</f>
        <v>5.4811966674343449</v>
      </c>
      <c r="AK954" s="94">
        <f>Table3.110[[#This Row],[Net gas 8-24h, ml]]*Table3.110[[#This Row],[CH4 24h, %]]%</f>
        <v>6.8175417368071001</v>
      </c>
      <c r="AL954" s="94">
        <f>Table3.110[[#This Row],[CH4 8-24h, ml]]+Table3.110[[#This Row],[CH4 8h, ml]]</f>
        <v>12.298738404241444</v>
      </c>
      <c r="AM954" s="94">
        <f>(Table3.110[[#This Row],[Net gas 24h, ml]]/Table3.110[[#This Row],[DM Incubated, mg]])*1000</f>
        <v>177.44487661673685</v>
      </c>
      <c r="AN954" s="94">
        <f>'3.2 Digest'!X954</f>
        <v>49.042112357530591</v>
      </c>
      <c r="AO954" s="94">
        <f>Table3.110[[#This Row],[Digested feed, mg]]/Table3.110[[#This Row],[Net gas 24h, ml]]</f>
        <v>2.7637942155668229</v>
      </c>
      <c r="AP954" s="94">
        <f>Table3.110[[#This Row],[CH4 8h, ml]]/Table3.110[[#This Row],[Net gas 8h, ml]]%</f>
        <v>13.7</v>
      </c>
      <c r="AQ954" s="94">
        <f>Table3.110[[#This Row],[CH4 24h, ml]]/Table3.110[[#This Row],[Net gas 24h, ml]]%</f>
        <v>14.934042106485405</v>
      </c>
      <c r="AR954" s="94">
        <f>Table3.110[[#This Row],[CH4 24h, ml]]/Table3.110[[#This Row],[DM Incubated, mg]]*1000</f>
        <v>26.499692589744562</v>
      </c>
      <c r="AS954" s="94">
        <f>Table3.110[[#This Row],[CH4 24h, ml]]/Table3.110[[#This Row],[Digested feed, mg]]*1000</f>
        <v>54.034566041027055</v>
      </c>
      <c r="AT954" s="94">
        <f>Table3.110[[#This Row],[CH4 24h, ml]]/'3.2 Digest'!AA954</f>
        <v>0.91961778597789667</v>
      </c>
      <c r="AU954" s="94">
        <f>((Table3.110[[#This Row],[CH4 24h, ml]]/28.9)*16.04)/Table3.110[[#This Row],[DM Incubated, mg]]*1000</f>
        <v>14.707787859498364</v>
      </c>
      <c r="AV954" s="94">
        <f>((Table3.110[[#This Row],[CH4 24h, ml]]/28.9)*16.04)/Table3.110[[#This Row],[Digested feed, mg]]*1000</f>
        <v>29.990119006853767</v>
      </c>
      <c r="AW954" s="64"/>
    </row>
    <row r="955" spans="2:49" x14ac:dyDescent="0.35">
      <c r="B955" s="90">
        <f t="shared" si="14"/>
        <v>945</v>
      </c>
      <c r="C955" s="140">
        <v>46078</v>
      </c>
      <c r="D955" s="6" t="s">
        <v>16</v>
      </c>
      <c r="E955" s="6" t="s">
        <v>350</v>
      </c>
      <c r="F955" s="6" t="s">
        <v>212</v>
      </c>
      <c r="G955" s="6" t="s">
        <v>351</v>
      </c>
      <c r="H955" s="6" t="s">
        <v>352</v>
      </c>
      <c r="I955" s="6" t="s">
        <v>22</v>
      </c>
      <c r="J955" s="129" t="s">
        <v>23</v>
      </c>
      <c r="K955" s="129" t="s">
        <v>215</v>
      </c>
      <c r="L955" s="6" t="s">
        <v>349</v>
      </c>
      <c r="M955" s="93">
        <v>29</v>
      </c>
      <c r="N955" s="93">
        <v>70</v>
      </c>
      <c r="O955" s="6">
        <v>3</v>
      </c>
      <c r="P955" s="129">
        <v>2</v>
      </c>
      <c r="Q955" s="6">
        <v>220</v>
      </c>
      <c r="R955" s="98">
        <v>0.50009999999999999</v>
      </c>
      <c r="S955" s="94">
        <f>((Table3.110[[#This Row],[Sample weight, g]]*'2.1. DM'!Q215)/100)*1000</f>
        <v>463.9231876812317</v>
      </c>
      <c r="T955" s="94">
        <f>'3.2 Digest'!W955</f>
        <v>216.62318768123163</v>
      </c>
      <c r="U955" s="153">
        <v>0.3298611111111111</v>
      </c>
      <c r="V955" s="154">
        <v>40</v>
      </c>
      <c r="W955" s="153">
        <v>0.6645833333333333</v>
      </c>
      <c r="X955" s="91">
        <v>85</v>
      </c>
      <c r="Y955" s="91">
        <v>13.1</v>
      </c>
      <c r="Z955" s="154">
        <v>39.5</v>
      </c>
      <c r="AA955" s="153">
        <v>0.34305555555555556</v>
      </c>
      <c r="AB955" s="154">
        <v>86.5</v>
      </c>
      <c r="AC955" s="154">
        <v>16.399999999999999</v>
      </c>
      <c r="AD955" s="91"/>
      <c r="AE955" s="94">
        <f>Table3.110[[#This Row],[Gas 8h, ml]]-Table3.110[[#This Row],[Gas 0h, ml]]</f>
        <v>45</v>
      </c>
      <c r="AF955" s="94">
        <f>Table3.110[[#This Row],[Gas 24h, ml]]-Table3.110[[#This Row],[V8 Push back, ml]]</f>
        <v>47</v>
      </c>
      <c r="AG955" s="94">
        <f>Table3.110[[#This Row],[GP 8h, ml]]-(AVERAGE(AE$934,AE$935,AE$958,AE$959))*$AG$8</f>
        <v>43.00873479879084</v>
      </c>
      <c r="AH955" s="94">
        <f>Table3.110[[#This Row],[GP 8-24h, ml]]-(AVERAGE(AF$934,AF$935,AF$958,AF$959))*$AG$8</f>
        <v>44.344979731721118</v>
      </c>
      <c r="AI955" s="94">
        <f>Table3.110[[#This Row],[Net gas 8-24h, ml]]+Table3.110[[#This Row],[Net gas 8h, ml]]</f>
        <v>87.353714530511951</v>
      </c>
      <c r="AJ955" s="94">
        <f>Table3.110[[#This Row],[Net gas 8h, ml]]*Table3.110[[#This Row],[CH4 8h %]]%</f>
        <v>5.6341442586416006</v>
      </c>
      <c r="AK955" s="94">
        <f>Table3.110[[#This Row],[Net gas 8-24h, ml]]*Table3.110[[#This Row],[CH4 24h, %]]%</f>
        <v>7.2725766760022621</v>
      </c>
      <c r="AL955" s="94">
        <f>Table3.110[[#This Row],[CH4 8-24h, ml]]+Table3.110[[#This Row],[CH4 8h, ml]]</f>
        <v>12.906720934643863</v>
      </c>
      <c r="AM955" s="94">
        <f>(Table3.110[[#This Row],[Net gas 24h, ml]]/Table3.110[[#This Row],[DM Incubated, mg]])*1000</f>
        <v>188.29348661600838</v>
      </c>
      <c r="AN955" s="94">
        <f>'3.2 Digest'!X955</f>
        <v>46.693761690152151</v>
      </c>
      <c r="AO955" s="94">
        <f>Table3.110[[#This Row],[Digested feed, mg]]/Table3.110[[#This Row],[Net gas 24h, ml]]</f>
        <v>2.4798394532560706</v>
      </c>
      <c r="AP955" s="94">
        <f>Table3.110[[#This Row],[CH4 8h, ml]]/Table3.110[[#This Row],[Net gas 8h, ml]]%</f>
        <v>13.100000000000001</v>
      </c>
      <c r="AQ955" s="94">
        <f>Table3.110[[#This Row],[CH4 24h, ml]]/Table3.110[[#This Row],[Net gas 24h, ml]]%</f>
        <v>14.775239958611776</v>
      </c>
      <c r="AR955" s="94">
        <f>Table3.110[[#This Row],[CH4 24h, ml]]/Table3.110[[#This Row],[DM Incubated, mg]]*1000</f>
        <v>27.820814473951788</v>
      </c>
      <c r="AS955" s="94">
        <f>Table3.110[[#This Row],[CH4 24h, ml]]/Table3.110[[#This Row],[Digested feed, mg]]*1000</f>
        <v>59.581437577386872</v>
      </c>
      <c r="AT955" s="94">
        <f>Table3.110[[#This Row],[CH4 24h, ml]]/'3.2 Digest'!AA955</f>
        <v>1.3757405413802004</v>
      </c>
      <c r="AU955" s="94">
        <f>((Table3.110[[#This Row],[CH4 24h, ml]]/28.9)*16.04)/Table3.110[[#This Row],[DM Incubated, mg]]*1000</f>
        <v>15.441033362013378</v>
      </c>
      <c r="AV955" s="94">
        <f>((Table3.110[[#This Row],[CH4 24h, ml]]/28.9)*16.04)/Table3.110[[#This Row],[Digested feed, mg]]*1000</f>
        <v>33.068728676169044</v>
      </c>
      <c r="AW955" s="64"/>
    </row>
    <row r="956" spans="2:49" x14ac:dyDescent="0.35">
      <c r="B956" s="90">
        <f t="shared" si="14"/>
        <v>946</v>
      </c>
      <c r="C956" s="140">
        <v>46078</v>
      </c>
      <c r="D956" s="6" t="s">
        <v>16</v>
      </c>
      <c r="E956" s="6" t="s">
        <v>354</v>
      </c>
      <c r="F956" s="6" t="s">
        <v>226</v>
      </c>
      <c r="G956" s="6" t="s">
        <v>227</v>
      </c>
      <c r="H956" s="6" t="s">
        <v>228</v>
      </c>
      <c r="I956" s="6" t="s">
        <v>22</v>
      </c>
      <c r="J956" s="129" t="s">
        <v>23</v>
      </c>
      <c r="K956" s="129" t="s">
        <v>215</v>
      </c>
      <c r="L956" s="6" t="s">
        <v>353</v>
      </c>
      <c r="M956" s="93">
        <v>29</v>
      </c>
      <c r="N956" s="93">
        <v>70</v>
      </c>
      <c r="O956" s="6">
        <v>3</v>
      </c>
      <c r="P956" s="6">
        <v>1</v>
      </c>
      <c r="Q956" s="6">
        <v>221</v>
      </c>
      <c r="R956" s="98">
        <v>0.50039999999999996</v>
      </c>
      <c r="S956" s="94">
        <f>((Table3.110[[#This Row],[Sample weight, g]]*'2.1. DM'!Q217)/100)*1000</f>
        <v>461.85771020308692</v>
      </c>
      <c r="T956" s="94">
        <f>'3.2 Digest'!W956</f>
        <v>272.95771020308689</v>
      </c>
      <c r="U956" s="153">
        <v>0.33055555555555555</v>
      </c>
      <c r="V956" s="154">
        <v>41</v>
      </c>
      <c r="W956" s="153">
        <v>0.66527777777777775</v>
      </c>
      <c r="X956" s="91">
        <v>84.5</v>
      </c>
      <c r="Y956" s="91">
        <v>12.7</v>
      </c>
      <c r="Z956" s="154">
        <v>41</v>
      </c>
      <c r="AA956" s="153">
        <v>0.34375</v>
      </c>
      <c r="AB956" s="154">
        <v>80</v>
      </c>
      <c r="AC956" s="154">
        <v>16.2</v>
      </c>
      <c r="AD956" s="91"/>
      <c r="AE956" s="94">
        <f>Table3.110[[#This Row],[Gas 8h, ml]]-Table3.110[[#This Row],[Gas 0h, ml]]</f>
        <v>43.5</v>
      </c>
      <c r="AF956" s="94">
        <f>Table3.110[[#This Row],[Gas 24h, ml]]-Table3.110[[#This Row],[V8 Push back, ml]]</f>
        <v>39</v>
      </c>
      <c r="AG956" s="94">
        <f>Table3.110[[#This Row],[GP 8h, ml]]-(AVERAGE(AE$934,AE$935,AE$958,AE$959))*$AG$8</f>
        <v>41.50873479879084</v>
      </c>
      <c r="AH956" s="94">
        <f>Table3.110[[#This Row],[GP 8-24h, ml]]-(AVERAGE(AF$934,AF$935,AF$958,AF$959))*$AG$8</f>
        <v>36.344979731721118</v>
      </c>
      <c r="AI956" s="94">
        <f>Table3.110[[#This Row],[Net gas 8-24h, ml]]+Table3.110[[#This Row],[Net gas 8h, ml]]</f>
        <v>77.853714530511951</v>
      </c>
      <c r="AJ956" s="94">
        <f>Table3.110[[#This Row],[Net gas 8h, ml]]*Table3.110[[#This Row],[CH4 8h %]]%</f>
        <v>5.2716093194464371</v>
      </c>
      <c r="AK956" s="94">
        <f>Table3.110[[#This Row],[Net gas 8-24h, ml]]*Table3.110[[#This Row],[CH4 24h, %]]%</f>
        <v>5.8878867165388211</v>
      </c>
      <c r="AL956" s="94">
        <f>Table3.110[[#This Row],[CH4 8-24h, ml]]+Table3.110[[#This Row],[CH4 8h, ml]]</f>
        <v>11.159496035985258</v>
      </c>
      <c r="AM956" s="94">
        <f>(Table3.110[[#This Row],[Net gas 24h, ml]]/Table3.110[[#This Row],[DM Incubated, mg]])*1000</f>
        <v>168.56644981909756</v>
      </c>
      <c r="AN956" s="94">
        <f>'3.2 Digest'!X956</f>
        <v>59.099957448596584</v>
      </c>
      <c r="AO956" s="94">
        <f>Table3.110[[#This Row],[Digested feed, mg]]/Table3.110[[#This Row],[Net gas 24h, ml]]</f>
        <v>3.506033229745396</v>
      </c>
      <c r="AP956" s="94">
        <f>Table3.110[[#This Row],[CH4 8h, ml]]/Table3.110[[#This Row],[Net gas 8h, ml]]%</f>
        <v>12.700000000000001</v>
      </c>
      <c r="AQ956" s="94">
        <f>Table3.110[[#This Row],[CH4 24h, ml]]/Table3.110[[#This Row],[Net gas 24h, ml]]%</f>
        <v>14.333928834714362</v>
      </c>
      <c r="AR956" s="94">
        <f>Table3.110[[#This Row],[CH4 24h, ml]]/Table3.110[[#This Row],[DM Incubated, mg]]*1000</f>
        <v>24.16219495627394</v>
      </c>
      <c r="AS956" s="94">
        <f>Table3.110[[#This Row],[CH4 24h, ml]]/Table3.110[[#This Row],[Digested feed, mg]]*1000</f>
        <v>40.883608042001569</v>
      </c>
      <c r="AT956" s="94">
        <f>Table3.110[[#This Row],[CH4 24h, ml]]/'3.2 Digest'!AA956</f>
        <v>1.162772160269824</v>
      </c>
      <c r="AU956" s="94">
        <f>((Table3.110[[#This Row],[CH4 24h, ml]]/28.9)*16.04)/Table3.110[[#This Row],[DM Incubated, mg]]*1000</f>
        <v>13.410436231786646</v>
      </c>
      <c r="AV956" s="94">
        <f>((Table3.110[[#This Row],[CH4 24h, ml]]/28.9)*16.04)/Table3.110[[#This Row],[Digested feed, mg]]*1000</f>
        <v>22.691109792169733</v>
      </c>
      <c r="AW956" s="64"/>
    </row>
    <row r="957" spans="2:49" x14ac:dyDescent="0.35">
      <c r="B957" s="90">
        <f t="shared" si="14"/>
        <v>947</v>
      </c>
      <c r="C957" s="140">
        <v>46078</v>
      </c>
      <c r="D957" s="6" t="s">
        <v>16</v>
      </c>
      <c r="E957" s="6" t="s">
        <v>354</v>
      </c>
      <c r="F957" s="6" t="s">
        <v>226</v>
      </c>
      <c r="G957" s="6" t="s">
        <v>227</v>
      </c>
      <c r="H957" s="6" t="s">
        <v>228</v>
      </c>
      <c r="I957" s="6" t="s">
        <v>22</v>
      </c>
      <c r="J957" s="129" t="s">
        <v>23</v>
      </c>
      <c r="K957" s="129" t="s">
        <v>215</v>
      </c>
      <c r="L957" s="6" t="s">
        <v>353</v>
      </c>
      <c r="M957" s="93">
        <v>29</v>
      </c>
      <c r="N957" s="93">
        <v>70</v>
      </c>
      <c r="O957" s="6">
        <v>3</v>
      </c>
      <c r="P957" s="129">
        <v>2</v>
      </c>
      <c r="Q957" s="6">
        <v>222</v>
      </c>
      <c r="R957" s="98">
        <v>0.50039999999999996</v>
      </c>
      <c r="S957" s="94">
        <f>((Table3.110[[#This Row],[Sample weight, g]]*'2.1. DM'!Q217)/100)*1000</f>
        <v>461.85771020308692</v>
      </c>
      <c r="T957" s="94">
        <f>'3.2 Digest'!W957</f>
        <v>284.25771020308696</v>
      </c>
      <c r="U957" s="117">
        <v>0.33055555555555555</v>
      </c>
      <c r="V957" s="155">
        <v>41</v>
      </c>
      <c r="W957" s="117">
        <v>0.66527777777777775</v>
      </c>
      <c r="X957" s="96">
        <v>83.5</v>
      </c>
      <c r="Y957" s="96">
        <v>12.4</v>
      </c>
      <c r="Z957" s="155">
        <v>41</v>
      </c>
      <c r="AA957" s="117">
        <v>0.34375</v>
      </c>
      <c r="AB957" s="155">
        <v>79</v>
      </c>
      <c r="AC957" s="155">
        <v>15.9</v>
      </c>
      <c r="AD957" s="96"/>
      <c r="AE957" s="94">
        <f>Table3.110[[#This Row],[Gas 8h, ml]]-Table3.110[[#This Row],[Gas 0h, ml]]</f>
        <v>42.5</v>
      </c>
      <c r="AF957" s="94">
        <f>Table3.110[[#This Row],[Gas 24h, ml]]-Table3.110[[#This Row],[V8 Push back, ml]]</f>
        <v>38</v>
      </c>
      <c r="AG957" s="94">
        <f>Table3.110[[#This Row],[GP 8h, ml]]-(AVERAGE(AE$934,AE$935,AE$958,AE$959))*$AG$8</f>
        <v>40.50873479879084</v>
      </c>
      <c r="AH957" s="94">
        <f>Table3.110[[#This Row],[GP 8-24h, ml]]-(AVERAGE(AF$934,AF$935,AF$958,AF$959))*$AG$8</f>
        <v>35.344979731721118</v>
      </c>
      <c r="AI957" s="94">
        <f>Table3.110[[#This Row],[Net gas 8-24h, ml]]+Table3.110[[#This Row],[Net gas 8h, ml]]</f>
        <v>75.853714530511951</v>
      </c>
      <c r="AJ957" s="94">
        <f>Table3.110[[#This Row],[Net gas 8h, ml]]*Table3.110[[#This Row],[CH4 8h %]]%</f>
        <v>5.0230831150500643</v>
      </c>
      <c r="AK957" s="94">
        <f>Table3.110[[#This Row],[Net gas 8-24h, ml]]*Table3.110[[#This Row],[CH4 24h, %]]%</f>
        <v>5.6198517773436576</v>
      </c>
      <c r="AL957" s="94">
        <f>Table3.110[[#This Row],[CH4 8-24h, ml]]+Table3.110[[#This Row],[CH4 8h, ml]]</f>
        <v>10.642934892393722</v>
      </c>
      <c r="AM957" s="94">
        <f>(Table3.110[[#This Row],[Net gas 24h, ml]]/Table3.110[[#This Row],[DM Incubated, mg]])*1000</f>
        <v>164.23611180412632</v>
      </c>
      <c r="AN957" s="94">
        <f>'3.2 Digest'!X957</f>
        <v>61.546598427055358</v>
      </c>
      <c r="AO957" s="94">
        <f>Table3.110[[#This Row],[Digested feed, mg]]/Table3.110[[#This Row],[Net gas 24h, ml]]</f>
        <v>3.7474461463419182</v>
      </c>
      <c r="AP957" s="94">
        <f>Table3.110[[#This Row],[CH4 8h, ml]]/Table3.110[[#This Row],[Net gas 8h, ml]]%</f>
        <v>12.4</v>
      </c>
      <c r="AQ957" s="94">
        <f>Table3.110[[#This Row],[CH4 24h, ml]]/Table3.110[[#This Row],[Net gas 24h, ml]]%</f>
        <v>14.030868439689437</v>
      </c>
      <c r="AR957" s="94">
        <f>Table3.110[[#This Row],[CH4 24h, ml]]/Table3.110[[#This Row],[DM Incubated, mg]]*1000</f>
        <v>23.043752777698217</v>
      </c>
      <c r="AS957" s="94">
        <f>Table3.110[[#This Row],[CH4 24h, ml]]/Table3.110[[#This Row],[Digested feed, mg]]*1000</f>
        <v>37.441147628994521</v>
      </c>
      <c r="AT957" s="94">
        <f>Table3.110[[#This Row],[CH4 24h, ml]]/'3.2 Digest'!AA957</f>
        <v>0.70928268769264446</v>
      </c>
      <c r="AU957" s="94">
        <f>((Table3.110[[#This Row],[CH4 24h, ml]]/28.9)*16.04)/Table3.110[[#This Row],[DM Incubated, mg]]*1000</f>
        <v>12.789681472466416</v>
      </c>
      <c r="AV957" s="94">
        <f>((Table3.110[[#This Row],[CH4 24h, ml]]/28.9)*16.04)/Table3.110[[#This Row],[Digested feed, mg]]*1000</f>
        <v>20.780484704812185</v>
      </c>
      <c r="AW957" s="64"/>
    </row>
    <row r="958" spans="2:49" x14ac:dyDescent="0.35">
      <c r="B958" s="90">
        <f t="shared" si="14"/>
        <v>948</v>
      </c>
      <c r="C958" s="140">
        <v>46078</v>
      </c>
      <c r="D958" s="6"/>
      <c r="E958" s="6" t="s">
        <v>541</v>
      </c>
      <c r="F958" s="6" t="s">
        <v>538</v>
      </c>
      <c r="G958" s="6" t="s">
        <v>542</v>
      </c>
      <c r="H958" s="6" t="s">
        <v>541</v>
      </c>
      <c r="I958" s="277"/>
      <c r="J958" s="278"/>
      <c r="K958" s="6"/>
      <c r="L958" s="6" t="s">
        <v>543</v>
      </c>
      <c r="M958" s="93">
        <v>29</v>
      </c>
      <c r="N958" s="93">
        <v>70</v>
      </c>
      <c r="O958" s="6">
        <v>3</v>
      </c>
      <c r="P958" s="129">
        <v>1</v>
      </c>
      <c r="Q958" s="6">
        <v>223</v>
      </c>
      <c r="R958" s="98"/>
      <c r="S958" s="94"/>
      <c r="T958" s="94"/>
      <c r="U958" s="153">
        <v>0.33124999999999999</v>
      </c>
      <c r="V958" s="154">
        <v>39.5</v>
      </c>
      <c r="W958" s="153">
        <v>0.66597222222222219</v>
      </c>
      <c r="X958" s="91">
        <v>42</v>
      </c>
      <c r="Y958" s="91"/>
      <c r="Z958" s="154"/>
      <c r="AA958" s="153"/>
      <c r="AB958" s="154"/>
      <c r="AC958" s="154"/>
      <c r="AD958" s="91"/>
      <c r="AE958" s="94">
        <f>Table3.110[[#This Row],[Gas 8h, ml]]-Table3.110[[#This Row],[Gas 0h, ml]]</f>
        <v>2.5</v>
      </c>
      <c r="AF958" s="94"/>
      <c r="AG958" s="94"/>
      <c r="AH958" s="94"/>
      <c r="AI958" s="94"/>
      <c r="AJ958" s="94"/>
      <c r="AK958" s="94"/>
      <c r="AL958" s="94"/>
      <c r="AM958" s="94"/>
      <c r="AN958" s="94"/>
      <c r="AO958" s="94"/>
      <c r="AP958" s="94"/>
      <c r="AQ958" s="94"/>
      <c r="AR958" s="94"/>
      <c r="AS958" s="94"/>
      <c r="AT958" s="94"/>
      <c r="AU958" s="94"/>
      <c r="AV958" s="94"/>
      <c r="AW958" s="64"/>
    </row>
    <row r="959" spans="2:49" x14ac:dyDescent="0.35">
      <c r="B959" s="90">
        <f t="shared" si="14"/>
        <v>949</v>
      </c>
      <c r="C959" s="140">
        <v>46078</v>
      </c>
      <c r="D959" s="6"/>
      <c r="E959" s="6" t="s">
        <v>541</v>
      </c>
      <c r="F959" s="6" t="s">
        <v>538</v>
      </c>
      <c r="G959" s="6" t="s">
        <v>542</v>
      </c>
      <c r="H959" s="6" t="s">
        <v>541</v>
      </c>
      <c r="I959" s="277"/>
      <c r="J959" s="278"/>
      <c r="K959" s="6"/>
      <c r="L959" s="6" t="s">
        <v>543</v>
      </c>
      <c r="M959" s="93">
        <v>29</v>
      </c>
      <c r="N959" s="93">
        <v>70</v>
      </c>
      <c r="O959" s="6">
        <v>3</v>
      </c>
      <c r="P959" s="129">
        <v>2</v>
      </c>
      <c r="Q959" s="6">
        <v>224</v>
      </c>
      <c r="R959" s="98"/>
      <c r="S959" s="94"/>
      <c r="T959" s="94"/>
      <c r="U959" s="117">
        <v>0.33124999999999999</v>
      </c>
      <c r="V959" s="155">
        <v>39.5</v>
      </c>
      <c r="W959" s="117">
        <v>0.66597222222222219</v>
      </c>
      <c r="X959" s="96">
        <v>42</v>
      </c>
      <c r="Y959" s="96"/>
      <c r="Z959" s="155"/>
      <c r="AA959" s="117"/>
      <c r="AB959" s="155"/>
      <c r="AC959" s="155"/>
      <c r="AD959" s="96"/>
      <c r="AE959" s="94">
        <f>Table3.110[[#This Row],[Gas 8h, ml]]-Table3.110[[#This Row],[Gas 0h, ml]]</f>
        <v>2.5</v>
      </c>
      <c r="AF959" s="94"/>
      <c r="AG959" s="94"/>
      <c r="AH959" s="94"/>
      <c r="AI959" s="94"/>
      <c r="AJ959" s="94"/>
      <c r="AK959" s="94"/>
      <c r="AL959" s="94"/>
      <c r="AM959" s="94"/>
      <c r="AN959" s="94"/>
      <c r="AO959" s="94"/>
      <c r="AP959" s="94"/>
      <c r="AQ959" s="94"/>
      <c r="AR959" s="94"/>
      <c r="AS959" s="94"/>
      <c r="AT959" s="94"/>
      <c r="AU959" s="94"/>
      <c r="AV959" s="94"/>
      <c r="AW959" s="64"/>
    </row>
    <row r="960" spans="2:49" x14ac:dyDescent="0.35">
      <c r="B960" s="90">
        <f t="shared" si="14"/>
        <v>950</v>
      </c>
      <c r="C960" s="140">
        <v>46078</v>
      </c>
      <c r="D960" s="6" t="s">
        <v>16</v>
      </c>
      <c r="E960" s="6" t="s">
        <v>356</v>
      </c>
      <c r="F960" s="6" t="s">
        <v>219</v>
      </c>
      <c r="G960" s="6" t="s">
        <v>253</v>
      </c>
      <c r="H960" s="6" t="s">
        <v>254</v>
      </c>
      <c r="I960" s="6" t="s">
        <v>22</v>
      </c>
      <c r="J960" s="129" t="s">
        <v>23</v>
      </c>
      <c r="K960" s="129" t="s">
        <v>215</v>
      </c>
      <c r="L960" s="6" t="s">
        <v>355</v>
      </c>
      <c r="M960" s="93">
        <v>29</v>
      </c>
      <c r="N960" s="93">
        <v>70</v>
      </c>
      <c r="O960" s="6">
        <v>3</v>
      </c>
      <c r="P960" s="6">
        <v>1</v>
      </c>
      <c r="Q960" s="6">
        <v>225</v>
      </c>
      <c r="R960" s="98">
        <v>0.50039999999999996</v>
      </c>
      <c r="S960" s="94">
        <f>((Table3.110[[#This Row],[Sample weight, g]]*'2.1. DM'!Q219)/100)*1000</f>
        <v>450.72265871064434</v>
      </c>
      <c r="T960" s="94">
        <f>'3.2 Digest'!W960</f>
        <v>248.22265871064434</v>
      </c>
      <c r="U960" s="117">
        <v>0.33124999999999999</v>
      </c>
      <c r="V960" s="155">
        <v>41</v>
      </c>
      <c r="W960" s="117">
        <v>0.66666666666666663</v>
      </c>
      <c r="X960" s="96">
        <v>74.5</v>
      </c>
      <c r="Y960" s="96">
        <v>11.9</v>
      </c>
      <c r="Z960" s="155">
        <v>40</v>
      </c>
      <c r="AA960" s="117">
        <v>0.34444444444444444</v>
      </c>
      <c r="AB960" s="155">
        <v>89</v>
      </c>
      <c r="AC960" s="155">
        <v>15.6</v>
      </c>
      <c r="AD960" s="96"/>
      <c r="AE960" s="94">
        <f>Table3.110[[#This Row],[Gas 8h, ml]]-Table3.110[[#This Row],[Gas 0h, ml]]</f>
        <v>33.5</v>
      </c>
      <c r="AF960" s="94">
        <f>Table3.110[[#This Row],[Gas 24h, ml]]-Table3.110[[#This Row],[V8 Push back, ml]]</f>
        <v>49</v>
      </c>
      <c r="AG960" s="94">
        <f>Table3.110[[#This Row],[GP 8h, ml]]-(AVERAGE(AE$934,AE$935,AE$958,AE$959))*$AG$8</f>
        <v>31.508734798790837</v>
      </c>
      <c r="AH960" s="94">
        <f>Table3.110[[#This Row],[GP 8-24h, ml]]-(AVERAGE(AF$934,AF$935,AF$958,AF$959))*$AG$8</f>
        <v>46.344979731721118</v>
      </c>
      <c r="AI960" s="94">
        <f>Table3.110[[#This Row],[Net gas 8-24h, ml]]+Table3.110[[#This Row],[Net gas 8h, ml]]</f>
        <v>77.853714530511951</v>
      </c>
      <c r="AJ960" s="94">
        <f>Table3.110[[#This Row],[Net gas 8h, ml]]*Table3.110[[#This Row],[CH4 8h %]]%</f>
        <v>3.7495394410561098</v>
      </c>
      <c r="AK960" s="94">
        <f>Table3.110[[#This Row],[Net gas 8-24h, ml]]*Table3.110[[#This Row],[CH4 24h, %]]%</f>
        <v>7.2298168381484942</v>
      </c>
      <c r="AL960" s="94">
        <f>Table3.110[[#This Row],[CH4 8-24h, ml]]+Table3.110[[#This Row],[CH4 8h, ml]]</f>
        <v>10.979356279204604</v>
      </c>
      <c r="AM960" s="94">
        <f>(Table3.110[[#This Row],[Net gas 24h, ml]]/Table3.110[[#This Row],[DM Incubated, mg]])*1000</f>
        <v>172.73086459248239</v>
      </c>
      <c r="AN960" s="94">
        <f>'3.2 Digest'!X960</f>
        <v>55.072150004776823</v>
      </c>
      <c r="AO960" s="94">
        <f>Table3.110[[#This Row],[Digested feed, mg]]/Table3.110[[#This Row],[Net gas 24h, ml]]</f>
        <v>3.1883213306843881</v>
      </c>
      <c r="AP960" s="94">
        <f>Table3.110[[#This Row],[CH4 8h, ml]]/Table3.110[[#This Row],[Net gas 8h, ml]]%</f>
        <v>11.9</v>
      </c>
      <c r="AQ960" s="94">
        <f>Table3.110[[#This Row],[CH4 24h, ml]]/Table3.110[[#This Row],[Net gas 24h, ml]]%</f>
        <v>14.102546481454834</v>
      </c>
      <c r="AR960" s="94">
        <f>Table3.110[[#This Row],[CH4 24h, ml]]/Table3.110[[#This Row],[DM Incubated, mg]]*1000</f>
        <v>24.359450466973634</v>
      </c>
      <c r="AS960" s="94">
        <f>Table3.110[[#This Row],[CH4 24h, ml]]/Table3.110[[#This Row],[Digested feed, mg]]*1000</f>
        <v>44.231885744175152</v>
      </c>
      <c r="AT960" s="94">
        <f>Table3.110[[#This Row],[CH4 24h, ml]]/'3.2 Digest'!AA960</f>
        <v>1.1633626654592955</v>
      </c>
      <c r="AU960" s="94">
        <f>((Table3.110[[#This Row],[CH4 24h, ml]]/28.9)*16.04)/Table3.110[[#This Row],[DM Incubated, mg]]*1000</f>
        <v>13.519916452950074</v>
      </c>
      <c r="AV960" s="94">
        <f>((Table3.110[[#This Row],[CH4 24h, ml]]/28.9)*16.04)/Table3.110[[#This Row],[Digested feed, mg]]*1000</f>
        <v>24.549461845556038</v>
      </c>
      <c r="AW960" s="64"/>
    </row>
    <row r="961" spans="2:49" x14ac:dyDescent="0.35">
      <c r="B961" s="90">
        <f t="shared" si="14"/>
        <v>951</v>
      </c>
      <c r="C961" s="140">
        <v>46078</v>
      </c>
      <c r="D961" s="6" t="s">
        <v>16</v>
      </c>
      <c r="E961" s="6" t="s">
        <v>356</v>
      </c>
      <c r="F961" s="6" t="s">
        <v>219</v>
      </c>
      <c r="G961" s="6" t="s">
        <v>253</v>
      </c>
      <c r="H961" s="6" t="s">
        <v>254</v>
      </c>
      <c r="I961" s="6" t="s">
        <v>22</v>
      </c>
      <c r="J961" s="129" t="s">
        <v>23</v>
      </c>
      <c r="K961" s="129" t="s">
        <v>215</v>
      </c>
      <c r="L961" s="6" t="s">
        <v>355</v>
      </c>
      <c r="M961" s="93">
        <v>29</v>
      </c>
      <c r="N961" s="93">
        <v>70</v>
      </c>
      <c r="O961" s="6">
        <v>3</v>
      </c>
      <c r="P961" s="129">
        <v>2</v>
      </c>
      <c r="Q961" s="6">
        <v>226</v>
      </c>
      <c r="R961" s="98">
        <v>0.50029999999999997</v>
      </c>
      <c r="S961" s="94">
        <f>((Table3.110[[#This Row],[Sample weight, g]]*'2.1. DM'!Q219)/100)*1000</f>
        <v>450.6325862368812</v>
      </c>
      <c r="T961" s="94">
        <f>'3.2 Digest'!W961</f>
        <v>269.3325862368813</v>
      </c>
      <c r="U961" s="153">
        <v>0.33194444444444443</v>
      </c>
      <c r="V961" s="154">
        <v>41.5</v>
      </c>
      <c r="W961" s="153">
        <v>0.66666666666666663</v>
      </c>
      <c r="X961" s="91">
        <v>77.5</v>
      </c>
      <c r="Y961" s="91">
        <v>12.6</v>
      </c>
      <c r="Z961" s="154">
        <v>43</v>
      </c>
      <c r="AA961" s="153">
        <v>0.34513888888888888</v>
      </c>
      <c r="AB961" s="154">
        <v>92</v>
      </c>
      <c r="AC961" s="154">
        <v>15.8</v>
      </c>
      <c r="AD961" s="91"/>
      <c r="AE961" s="94">
        <f>Table3.110[[#This Row],[Gas 8h, ml]]-Table3.110[[#This Row],[Gas 0h, ml]]</f>
        <v>36</v>
      </c>
      <c r="AF961" s="94">
        <f>Table3.110[[#This Row],[Gas 24h, ml]]-Table3.110[[#This Row],[V8 Push back, ml]]</f>
        <v>49</v>
      </c>
      <c r="AG961" s="94">
        <f>Table3.110[[#This Row],[GP 8h, ml]]-(AVERAGE(AE$934,AE$935,AE$958,AE$959))*$AG$8</f>
        <v>34.00873479879084</v>
      </c>
      <c r="AH961" s="94">
        <f>Table3.110[[#This Row],[GP 8-24h, ml]]-(AVERAGE(AF$934,AF$935,AF$958,AF$959))*$AG$8</f>
        <v>46.344979731721118</v>
      </c>
      <c r="AI961" s="94">
        <f>Table3.110[[#This Row],[Net gas 8-24h, ml]]+Table3.110[[#This Row],[Net gas 8h, ml]]</f>
        <v>80.353714530511951</v>
      </c>
      <c r="AJ961" s="94">
        <f>Table3.110[[#This Row],[Net gas 8h, ml]]*Table3.110[[#This Row],[CH4 8h %]]%</f>
        <v>4.2851005846476458</v>
      </c>
      <c r="AK961" s="94">
        <f>Table3.110[[#This Row],[Net gas 8-24h, ml]]*Table3.110[[#This Row],[CH4 24h, %]]%</f>
        <v>7.3225067976119371</v>
      </c>
      <c r="AL961" s="94">
        <f>Table3.110[[#This Row],[CH4 8-24h, ml]]+Table3.110[[#This Row],[CH4 8h, ml]]</f>
        <v>11.607607382259584</v>
      </c>
      <c r="AM961" s="94">
        <f>(Table3.110[[#This Row],[Net gas 24h, ml]]/Table3.110[[#This Row],[DM Incubated, mg]])*1000</f>
        <v>178.31314686211556</v>
      </c>
      <c r="AN961" s="94">
        <f>'3.2 Digest'!X961</f>
        <v>59.76766759945383</v>
      </c>
      <c r="AO961" s="94">
        <f>Table3.110[[#This Row],[Digested feed, mg]]/Table3.110[[#This Row],[Net gas 24h, ml]]</f>
        <v>3.3518374080218805</v>
      </c>
      <c r="AP961" s="94">
        <f>Table3.110[[#This Row],[CH4 8h, ml]]/Table3.110[[#This Row],[Net gas 8h, ml]]%</f>
        <v>12.6</v>
      </c>
      <c r="AQ961" s="94">
        <f>Table3.110[[#This Row],[CH4 24h, ml]]/Table3.110[[#This Row],[Net gas 24h, ml]]%</f>
        <v>14.445638823394949</v>
      </c>
      <c r="AR961" s="94">
        <f>Table3.110[[#This Row],[CH4 24h, ml]]/Table3.110[[#This Row],[DM Incubated, mg]]*1000</f>
        <v>25.758473170331019</v>
      </c>
      <c r="AS961" s="94">
        <f>Table3.110[[#This Row],[CH4 24h, ml]]/Table3.110[[#This Row],[Digested feed, mg]]*1000</f>
        <v>43.097671709321318</v>
      </c>
      <c r="AT961" s="94">
        <f>Table3.110[[#This Row],[CH4 24h, ml]]/'3.2 Digest'!AA961</f>
        <v>0.61407796527347036</v>
      </c>
      <c r="AU961" s="94">
        <f>((Table3.110[[#This Row],[CH4 24h, ml]]/28.9)*16.04)/Table3.110[[#This Row],[DM Incubated, mg]]*1000</f>
        <v>14.296398257858462</v>
      </c>
      <c r="AV961" s="94">
        <f>((Table3.110[[#This Row],[CH4 24h, ml]]/28.9)*16.04)/Table3.110[[#This Row],[Digested feed, mg]]*1000</f>
        <v>23.919953433131969</v>
      </c>
      <c r="AW961" s="64"/>
    </row>
    <row r="962" spans="2:49" x14ac:dyDescent="0.35">
      <c r="B962" s="90">
        <f t="shared" si="14"/>
        <v>952</v>
      </c>
      <c r="C962" s="140">
        <v>46078</v>
      </c>
      <c r="D962" s="6" t="s">
        <v>16</v>
      </c>
      <c r="E962" s="6" t="s">
        <v>358</v>
      </c>
      <c r="F962" s="6" t="s">
        <v>212</v>
      </c>
      <c r="G962" s="6" t="s">
        <v>359</v>
      </c>
      <c r="H962" s="6" t="s">
        <v>360</v>
      </c>
      <c r="I962" s="6" t="s">
        <v>22</v>
      </c>
      <c r="J962" s="129" t="s">
        <v>23</v>
      </c>
      <c r="K962" s="129" t="s">
        <v>215</v>
      </c>
      <c r="L962" s="6" t="s">
        <v>357</v>
      </c>
      <c r="M962" s="93">
        <v>29</v>
      </c>
      <c r="N962" s="93">
        <v>70</v>
      </c>
      <c r="O962" s="6">
        <v>3</v>
      </c>
      <c r="P962" s="6">
        <v>1</v>
      </c>
      <c r="Q962" s="6">
        <v>227</v>
      </c>
      <c r="R962" s="98">
        <v>0.50029999999999997</v>
      </c>
      <c r="S962" s="94">
        <f>((Table3.110[[#This Row],[Sample weight, g]]*'2.1. DM'!Q221)/100)*1000</f>
        <v>459.65468953104704</v>
      </c>
      <c r="T962" s="94">
        <f>'3.2 Digest'!W962</f>
        <v>201.85468953104714</v>
      </c>
      <c r="U962" s="153">
        <v>0.33194444444444443</v>
      </c>
      <c r="V962" s="154">
        <v>40.5</v>
      </c>
      <c r="W962" s="153">
        <v>0.66666666666666663</v>
      </c>
      <c r="X962" s="91">
        <v>85</v>
      </c>
      <c r="Y962" s="91">
        <v>13.6</v>
      </c>
      <c r="Z962" s="154">
        <v>40</v>
      </c>
      <c r="AA962" s="153">
        <v>0.34513888888888888</v>
      </c>
      <c r="AB962" s="154">
        <v>85</v>
      </c>
      <c r="AC962" s="154">
        <v>16.600000000000001</v>
      </c>
      <c r="AD962" s="91"/>
      <c r="AE962" s="94">
        <f>Table3.110[[#This Row],[Gas 8h, ml]]-Table3.110[[#This Row],[Gas 0h, ml]]</f>
        <v>44.5</v>
      </c>
      <c r="AF962" s="94">
        <f>Table3.110[[#This Row],[Gas 24h, ml]]-Table3.110[[#This Row],[V8 Push back, ml]]</f>
        <v>45</v>
      </c>
      <c r="AG962" s="94">
        <f>Table3.110[[#This Row],[GP 8h, ml]]-(AVERAGE(AE$934,AE$935,AE$958,AE$959))*$AG$8</f>
        <v>42.50873479879084</v>
      </c>
      <c r="AH962" s="94">
        <f>Table3.110[[#This Row],[GP 8-24h, ml]]-(AVERAGE(AF$934,AF$935,AF$958,AF$959))*$AG$8</f>
        <v>42.344979731721118</v>
      </c>
      <c r="AI962" s="94">
        <f>Table3.110[[#This Row],[Net gas 8-24h, ml]]+Table3.110[[#This Row],[Net gas 8h, ml]]</f>
        <v>84.853714530511951</v>
      </c>
      <c r="AJ962" s="94">
        <f>Table3.110[[#This Row],[Net gas 8h, ml]]*Table3.110[[#This Row],[CH4 8h %]]%</f>
        <v>5.7811879326355546</v>
      </c>
      <c r="AK962" s="94">
        <f>Table3.110[[#This Row],[Net gas 8-24h, ml]]*Table3.110[[#This Row],[CH4 24h, %]]%</f>
        <v>7.0292666354657056</v>
      </c>
      <c r="AL962" s="94">
        <f>Table3.110[[#This Row],[CH4 8-24h, ml]]+Table3.110[[#This Row],[CH4 8h, ml]]</f>
        <v>12.81045456810126</v>
      </c>
      <c r="AM962" s="94">
        <f>(Table3.110[[#This Row],[Net gas 24h, ml]]/Table3.110[[#This Row],[DM Incubated, mg]])*1000</f>
        <v>184.6031737804789</v>
      </c>
      <c r="AN962" s="94">
        <f>'3.2 Digest'!X962</f>
        <v>43.91441969992411</v>
      </c>
      <c r="AO962" s="94">
        <f>Table3.110[[#This Row],[Digested feed, mg]]/Table3.110[[#This Row],[Net gas 24h, ml]]</f>
        <v>2.3788550760316287</v>
      </c>
      <c r="AP962" s="94">
        <f>Table3.110[[#This Row],[CH4 8h, ml]]/Table3.110[[#This Row],[Net gas 8h, ml]]%</f>
        <v>13.6</v>
      </c>
      <c r="AQ962" s="94">
        <f>Table3.110[[#This Row],[CH4 24h, ml]]/Table3.110[[#This Row],[Net gas 24h, ml]]%</f>
        <v>15.097105222771171</v>
      </c>
      <c r="AR962" s="94">
        <f>Table3.110[[#This Row],[CH4 24h, ml]]/Table3.110[[#This Row],[DM Incubated, mg]]*1000</f>
        <v>27.869735390214021</v>
      </c>
      <c r="AS962" s="94">
        <f>Table3.110[[#This Row],[CH4 24h, ml]]/Table3.110[[#This Row],[Digested feed, mg]]*1000</f>
        <v>63.463745122111185</v>
      </c>
      <c r="AT962" s="94">
        <f>Table3.110[[#This Row],[CH4 24h, ml]]/'3.2 Digest'!AA962</f>
        <v>-5.0014610968374855</v>
      </c>
      <c r="AU962" s="94">
        <f>((Table3.110[[#This Row],[CH4 24h, ml]]/28.9)*16.04)/Table3.110[[#This Row],[DM Incubated, mg]]*1000</f>
        <v>15.468185316921554</v>
      </c>
      <c r="AV962" s="94">
        <f>((Table3.110[[#This Row],[CH4 24h, ml]]/28.9)*16.04)/Table3.110[[#This Row],[Digested feed, mg]]*1000</f>
        <v>35.223476531441641</v>
      </c>
      <c r="AW962" s="64"/>
    </row>
    <row r="963" spans="2:49" x14ac:dyDescent="0.35">
      <c r="B963" s="90">
        <f t="shared" si="14"/>
        <v>953</v>
      </c>
      <c r="C963" s="140">
        <v>46078</v>
      </c>
      <c r="D963" s="6" t="s">
        <v>16</v>
      </c>
      <c r="E963" s="6" t="s">
        <v>358</v>
      </c>
      <c r="F963" s="6" t="s">
        <v>212</v>
      </c>
      <c r="G963" s="6" t="s">
        <v>359</v>
      </c>
      <c r="H963" s="6" t="s">
        <v>360</v>
      </c>
      <c r="I963" s="6" t="s">
        <v>22</v>
      </c>
      <c r="J963" s="129" t="s">
        <v>23</v>
      </c>
      <c r="K963" s="129" t="s">
        <v>215</v>
      </c>
      <c r="L963" s="6" t="s">
        <v>357</v>
      </c>
      <c r="M963" s="93">
        <v>29</v>
      </c>
      <c r="N963" s="93">
        <v>70</v>
      </c>
      <c r="O963" s="6">
        <v>3</v>
      </c>
      <c r="P963" s="129">
        <v>2</v>
      </c>
      <c r="Q963" s="6">
        <v>228</v>
      </c>
      <c r="R963" s="98">
        <v>0.50009999999999999</v>
      </c>
      <c r="S963" s="94">
        <f>((Table3.110[[#This Row],[Sample weight, g]]*'2.1. DM'!Q221)/100)*1000</f>
        <v>459.47093790620954</v>
      </c>
      <c r="T963" s="94">
        <f>'3.2 Digest'!W963</f>
        <v>249.67093790620945</v>
      </c>
      <c r="U963" s="117">
        <v>0.33194444444444443</v>
      </c>
      <c r="V963" s="155">
        <v>41</v>
      </c>
      <c r="W963" s="117">
        <v>0.66736111111111107</v>
      </c>
      <c r="X963" s="96">
        <v>85.5</v>
      </c>
      <c r="Y963" s="96">
        <v>13.7</v>
      </c>
      <c r="Z963" s="155">
        <v>40.5</v>
      </c>
      <c r="AA963" s="117">
        <v>0.34583333333333333</v>
      </c>
      <c r="AB963" s="155">
        <v>86</v>
      </c>
      <c r="AC963" s="155">
        <v>16.7</v>
      </c>
      <c r="AD963" s="96"/>
      <c r="AE963" s="94">
        <f>Table3.110[[#This Row],[Gas 8h, ml]]-Table3.110[[#This Row],[Gas 0h, ml]]</f>
        <v>44.5</v>
      </c>
      <c r="AF963" s="94">
        <f>Table3.110[[#This Row],[Gas 24h, ml]]-Table3.110[[#This Row],[V8 Push back, ml]]</f>
        <v>45.5</v>
      </c>
      <c r="AG963" s="94">
        <f>Table3.110[[#This Row],[GP 8h, ml]]-(AVERAGE(AE$934,AE$935,AE$958,AE$959))*$AG$8</f>
        <v>42.50873479879084</v>
      </c>
      <c r="AH963" s="94">
        <f>Table3.110[[#This Row],[GP 8-24h, ml]]-(AVERAGE(AF$934,AF$935,AF$958,AF$959))*$AG$8</f>
        <v>42.844979731721118</v>
      </c>
      <c r="AI963" s="94">
        <f>Table3.110[[#This Row],[Net gas 8-24h, ml]]+Table3.110[[#This Row],[Net gas 8h, ml]]</f>
        <v>85.353714530511951</v>
      </c>
      <c r="AJ963" s="94">
        <f>Table3.110[[#This Row],[Net gas 8h, ml]]*Table3.110[[#This Row],[CH4 8h %]]%</f>
        <v>5.8236966674343442</v>
      </c>
      <c r="AK963" s="94">
        <f>Table3.110[[#This Row],[Net gas 8-24h, ml]]*Table3.110[[#This Row],[CH4 24h, %]]%</f>
        <v>7.1551116151974261</v>
      </c>
      <c r="AL963" s="94">
        <f>Table3.110[[#This Row],[CH4 8-24h, ml]]+Table3.110[[#This Row],[CH4 8h, ml]]</f>
        <v>12.978808282631771</v>
      </c>
      <c r="AM963" s="94">
        <f>(Table3.110[[#This Row],[Net gas 24h, ml]]/Table3.110[[#This Row],[DM Incubated, mg]])*1000</f>
        <v>185.76520839264694</v>
      </c>
      <c r="AN963" s="94">
        <f>'3.2 Digest'!X963</f>
        <v>54.338787790137452</v>
      </c>
      <c r="AO963" s="94">
        <f>Table3.110[[#This Row],[Digested feed, mg]]/Table3.110[[#This Row],[Net gas 24h, ml]]</f>
        <v>2.9251326586021977</v>
      </c>
      <c r="AP963" s="94">
        <f>Table3.110[[#This Row],[CH4 8h, ml]]/Table3.110[[#This Row],[Net gas 8h, ml]]%</f>
        <v>13.699999999999998</v>
      </c>
      <c r="AQ963" s="94">
        <f>Table3.110[[#This Row],[CH4 24h, ml]]/Table3.110[[#This Row],[Net gas 24h, ml]]%</f>
        <v>15.205909144108956</v>
      </c>
      <c r="AR963" s="94">
        <f>Table3.110[[#This Row],[CH4 24h, ml]]/Table3.110[[#This Row],[DM Incubated, mg]]*1000</f>
        <v>28.247288809550557</v>
      </c>
      <c r="AS963" s="94">
        <f>Table3.110[[#This Row],[CH4 24h, ml]]/Table3.110[[#This Row],[Digested feed, mg]]*1000</f>
        <v>51.983656533974923</v>
      </c>
      <c r="AT963" s="94">
        <f>Table3.110[[#This Row],[CH4 24h, ml]]/'3.2 Digest'!AA963</f>
        <v>0.78653432303331194</v>
      </c>
      <c r="AU963" s="94">
        <f>((Table3.110[[#This Row],[CH4 24h, ml]]/28.9)*16.04)/Table3.110[[#This Row],[DM Incubated, mg]]*1000</f>
        <v>15.677733996719407</v>
      </c>
      <c r="AV963" s="94">
        <f>((Table3.110[[#This Row],[CH4 24h, ml]]/28.9)*16.04)/Table3.110[[#This Row],[Digested feed, mg]]*1000</f>
        <v>28.851828747576391</v>
      </c>
      <c r="AW963" s="64"/>
    </row>
    <row r="964" spans="2:49" x14ac:dyDescent="0.35">
      <c r="B964" s="90">
        <f t="shared" si="14"/>
        <v>954</v>
      </c>
      <c r="C964" s="140">
        <v>46078</v>
      </c>
      <c r="D964" s="6" t="s">
        <v>16</v>
      </c>
      <c r="E964" s="6" t="s">
        <v>362</v>
      </c>
      <c r="F964" s="6" t="s">
        <v>219</v>
      </c>
      <c r="G964" s="6" t="s">
        <v>253</v>
      </c>
      <c r="H964" s="6" t="s">
        <v>254</v>
      </c>
      <c r="I964" s="6" t="s">
        <v>22</v>
      </c>
      <c r="J964" s="129" t="s">
        <v>23</v>
      </c>
      <c r="K964" s="129" t="s">
        <v>215</v>
      </c>
      <c r="L964" s="6" t="s">
        <v>361</v>
      </c>
      <c r="M964" s="93">
        <v>29</v>
      </c>
      <c r="N964" s="93">
        <v>70</v>
      </c>
      <c r="O964" s="6">
        <v>3</v>
      </c>
      <c r="P964" s="6">
        <v>1</v>
      </c>
      <c r="Q964" s="6">
        <v>229</v>
      </c>
      <c r="R964" s="98">
        <v>0.50019999999999998</v>
      </c>
      <c r="S964" s="94">
        <f>((Table3.110[[#This Row],[Sample weight, g]]*'2.1. DM'!Q223)/100)*1000</f>
        <v>459.12912252648465</v>
      </c>
      <c r="T964" s="94">
        <f>'3.2 Digest'!W964</f>
        <v>306.72912252648467</v>
      </c>
      <c r="U964" s="117">
        <v>0.33263888888888887</v>
      </c>
      <c r="V964" s="155">
        <v>40.5</v>
      </c>
      <c r="W964" s="117">
        <v>0.66736111111111107</v>
      </c>
      <c r="X964" s="96">
        <v>83</v>
      </c>
      <c r="Y964" s="96">
        <v>12.5</v>
      </c>
      <c r="Z964" s="155">
        <v>40</v>
      </c>
      <c r="AA964" s="117">
        <v>0.34583333333333333</v>
      </c>
      <c r="AB964" s="155">
        <v>88.5</v>
      </c>
      <c r="AC964" s="155">
        <v>15.7</v>
      </c>
      <c r="AD964" s="96"/>
      <c r="AE964" s="94">
        <f>Table3.110[[#This Row],[Gas 8h, ml]]-Table3.110[[#This Row],[Gas 0h, ml]]</f>
        <v>42.5</v>
      </c>
      <c r="AF964" s="94">
        <f>Table3.110[[#This Row],[Gas 24h, ml]]-Table3.110[[#This Row],[V8 Push back, ml]]</f>
        <v>48.5</v>
      </c>
      <c r="AG964" s="94">
        <f>Table3.110[[#This Row],[GP 8h, ml]]-(AVERAGE(AE$934,AE$935,AE$958,AE$959))*$AG$8</f>
        <v>40.50873479879084</v>
      </c>
      <c r="AH964" s="94">
        <f>Table3.110[[#This Row],[GP 8-24h, ml]]-(AVERAGE(AF$934,AF$935,AF$958,AF$959))*$AG$8</f>
        <v>45.844979731721118</v>
      </c>
      <c r="AI964" s="94">
        <f>Table3.110[[#This Row],[Net gas 8-24h, ml]]+Table3.110[[#This Row],[Net gas 8h, ml]]</f>
        <v>86.353714530511951</v>
      </c>
      <c r="AJ964" s="94">
        <f>Table3.110[[#This Row],[Net gas 8h, ml]]*Table3.110[[#This Row],[CH4 8h %]]%</f>
        <v>5.063591849848855</v>
      </c>
      <c r="AK964" s="94">
        <f>Table3.110[[#This Row],[Net gas 8-24h, ml]]*Table3.110[[#This Row],[CH4 24h, %]]%</f>
        <v>7.1976618178802152</v>
      </c>
      <c r="AL964" s="94">
        <f>Table3.110[[#This Row],[CH4 8-24h, ml]]+Table3.110[[#This Row],[CH4 8h, ml]]</f>
        <v>12.26125366772907</v>
      </c>
      <c r="AM964" s="94">
        <f>(Table3.110[[#This Row],[Net gas 24h, ml]]/Table3.110[[#This Row],[DM Incubated, mg]])*1000</f>
        <v>188.08154458886602</v>
      </c>
      <c r="AN964" s="94">
        <f>'3.2 Digest'!X964</f>
        <v>66.806723310998677</v>
      </c>
      <c r="AO964" s="94">
        <f>Table3.110[[#This Row],[Digested feed, mg]]/Table3.110[[#This Row],[Net gas 24h, ml]]</f>
        <v>3.5520084363957034</v>
      </c>
      <c r="AP964" s="94">
        <f>Table3.110[[#This Row],[CH4 8h, ml]]/Table3.110[[#This Row],[Net gas 8h, ml]]%</f>
        <v>12.5</v>
      </c>
      <c r="AQ964" s="94">
        <f>Table3.110[[#This Row],[CH4 24h, ml]]/Table3.110[[#This Row],[Net gas 24h, ml]]%</f>
        <v>14.198872317642708</v>
      </c>
      <c r="AR964" s="94">
        <f>Table3.110[[#This Row],[CH4 24h, ml]]/Table3.110[[#This Row],[DM Incubated, mg]]*1000</f>
        <v>26.705458369223322</v>
      </c>
      <c r="AS964" s="94">
        <f>Table3.110[[#This Row],[CH4 24h, ml]]/Table3.110[[#This Row],[Digested feed, mg]]*1000</f>
        <v>39.974207752869532</v>
      </c>
      <c r="AT964" s="94">
        <f>Table3.110[[#This Row],[CH4 24h, ml]]/'3.2 Digest'!AA964</f>
        <v>0.41827865456329999</v>
      </c>
      <c r="AU964" s="94">
        <f>((Table3.110[[#This Row],[CH4 24h, ml]]/28.9)*16.04)/Table3.110[[#This Row],[DM Incubated, mg]]*1000</f>
        <v>14.821991427070662</v>
      </c>
      <c r="AV964" s="94">
        <f>((Table3.110[[#This Row],[CH4 24h, ml]]/28.9)*16.04)/Table3.110[[#This Row],[Digested feed, mg]]*1000</f>
        <v>22.186376898132426</v>
      </c>
      <c r="AW964" s="64"/>
    </row>
    <row r="965" spans="2:49" x14ac:dyDescent="0.35">
      <c r="B965" s="90">
        <f t="shared" si="14"/>
        <v>955</v>
      </c>
      <c r="C965" s="140">
        <v>46078</v>
      </c>
      <c r="D965" s="6" t="s">
        <v>16</v>
      </c>
      <c r="E965" s="6" t="s">
        <v>362</v>
      </c>
      <c r="F965" s="6" t="s">
        <v>219</v>
      </c>
      <c r="G965" s="6" t="s">
        <v>253</v>
      </c>
      <c r="H965" s="6" t="s">
        <v>254</v>
      </c>
      <c r="I965" s="6" t="s">
        <v>22</v>
      </c>
      <c r="J965" s="129" t="s">
        <v>23</v>
      </c>
      <c r="K965" s="129" t="s">
        <v>215</v>
      </c>
      <c r="L965" s="6" t="s">
        <v>361</v>
      </c>
      <c r="M965" s="93">
        <v>29</v>
      </c>
      <c r="N965" s="93">
        <v>70</v>
      </c>
      <c r="O965" s="6">
        <v>3</v>
      </c>
      <c r="P965" s="129">
        <v>2</v>
      </c>
      <c r="Q965" s="6">
        <v>230</v>
      </c>
      <c r="R965" s="98">
        <v>0.50019999999999998</v>
      </c>
      <c r="S965" s="94">
        <f>((Table3.110[[#This Row],[Sample weight, g]]*'2.1. DM'!Q223)/100)*1000</f>
        <v>459.12912252648465</v>
      </c>
      <c r="T965" s="94">
        <f>'3.2 Digest'!W965</f>
        <v>300.72912252648467</v>
      </c>
      <c r="U965" s="153">
        <v>0.33263888888888887</v>
      </c>
      <c r="V965" s="154">
        <v>40.5</v>
      </c>
      <c r="W965" s="153">
        <v>0.66805555555555551</v>
      </c>
      <c r="X965" s="91">
        <v>82.5</v>
      </c>
      <c r="Y965" s="91">
        <v>12.4</v>
      </c>
      <c r="Z965" s="154">
        <v>40</v>
      </c>
      <c r="AA965" s="153">
        <v>0.34652777777777777</v>
      </c>
      <c r="AB965" s="154">
        <v>92.5</v>
      </c>
      <c r="AC965" s="154">
        <v>15.5</v>
      </c>
      <c r="AD965" s="91"/>
      <c r="AE965" s="94">
        <f>Table3.110[[#This Row],[Gas 8h, ml]]-Table3.110[[#This Row],[Gas 0h, ml]]</f>
        <v>42</v>
      </c>
      <c r="AF965" s="94">
        <f>Table3.110[[#This Row],[Gas 24h, ml]]-Table3.110[[#This Row],[V8 Push back, ml]]</f>
        <v>52.5</v>
      </c>
      <c r="AG965" s="94">
        <f>Table3.110[[#This Row],[GP 8h, ml]]-(AVERAGE(AE$934,AE$935,AE$958,AE$959))*$AG$8</f>
        <v>40.00873479879084</v>
      </c>
      <c r="AH965" s="94">
        <f>Table3.110[[#This Row],[GP 8-24h, ml]]-(AVERAGE(AF$934,AF$935,AF$958,AF$959))*$AG$8</f>
        <v>49.844979731721118</v>
      </c>
      <c r="AI965" s="94">
        <f>Table3.110[[#This Row],[Net gas 8-24h, ml]]+Table3.110[[#This Row],[Net gas 8h, ml]]</f>
        <v>89.853714530511951</v>
      </c>
      <c r="AJ965" s="94">
        <f>Table3.110[[#This Row],[Net gas 8h, ml]]*Table3.110[[#This Row],[CH4 8h %]]%</f>
        <v>4.9610831150500641</v>
      </c>
      <c r="AK965" s="94">
        <f>Table3.110[[#This Row],[Net gas 8-24h, ml]]*Table3.110[[#This Row],[CH4 24h, %]]%</f>
        <v>7.7259718584167736</v>
      </c>
      <c r="AL965" s="94">
        <f>Table3.110[[#This Row],[CH4 8-24h, ml]]+Table3.110[[#This Row],[CH4 8h, ml]]</f>
        <v>12.687054973466838</v>
      </c>
      <c r="AM965" s="94">
        <f>(Table3.110[[#This Row],[Net gas 24h, ml]]/Table3.110[[#This Row],[DM Incubated, mg]])*1000</f>
        <v>195.70467243738995</v>
      </c>
      <c r="AN965" s="94">
        <f>'3.2 Digest'!X965</f>
        <v>65.499901394108846</v>
      </c>
      <c r="AO965" s="94">
        <f>Table3.110[[#This Row],[Digested feed, mg]]/Table3.110[[#This Row],[Net gas 24h, ml]]</f>
        <v>3.3468746851235069</v>
      </c>
      <c r="AP965" s="94">
        <f>Table3.110[[#This Row],[CH4 8h, ml]]/Table3.110[[#This Row],[Net gas 8h, ml]]%</f>
        <v>12.4</v>
      </c>
      <c r="AQ965" s="94">
        <f>Table3.110[[#This Row],[CH4 24h, ml]]/Table3.110[[#This Row],[Net gas 24h, ml]]%</f>
        <v>14.119677789345758</v>
      </c>
      <c r="AR965" s="94">
        <f>Table3.110[[#This Row],[CH4 24h, ml]]/Table3.110[[#This Row],[DM Incubated, mg]]*1000</f>
        <v>27.632869166854018</v>
      </c>
      <c r="AS965" s="94">
        <f>Table3.110[[#This Row],[CH4 24h, ml]]/Table3.110[[#This Row],[Digested feed, mg]]*1000</f>
        <v>42.18765002498057</v>
      </c>
      <c r="AT965" s="94">
        <f>Table3.110[[#This Row],[CH4 24h, ml]]/'3.2 Digest'!AA965</f>
        <v>0.47820330078142059</v>
      </c>
      <c r="AU965" s="94">
        <f>((Table3.110[[#This Row],[CH4 24h, ml]]/28.9)*16.04)/Table3.110[[#This Row],[DM Incubated, mg]]*1000</f>
        <v>15.336720464925206</v>
      </c>
      <c r="AV965" s="94">
        <f>((Table3.110[[#This Row],[CH4 24h, ml]]/28.9)*16.04)/Table3.110[[#This Row],[Digested feed, mg]]*1000</f>
        <v>23.414875654003062</v>
      </c>
      <c r="AW965" s="64"/>
    </row>
    <row r="966" spans="2:49" x14ac:dyDescent="0.35">
      <c r="B966" s="90">
        <f t="shared" si="14"/>
        <v>956</v>
      </c>
      <c r="C966" s="140">
        <v>46078</v>
      </c>
      <c r="D966" s="6" t="s">
        <v>16</v>
      </c>
      <c r="E966" s="6" t="s">
        <v>364</v>
      </c>
      <c r="F966" s="6" t="s">
        <v>219</v>
      </c>
      <c r="G966" s="6" t="s">
        <v>365</v>
      </c>
      <c r="H966" s="6" t="s">
        <v>366</v>
      </c>
      <c r="I966" s="6" t="s">
        <v>22</v>
      </c>
      <c r="J966" s="129" t="s">
        <v>23</v>
      </c>
      <c r="K966" s="129" t="s">
        <v>215</v>
      </c>
      <c r="L966" s="6" t="s">
        <v>363</v>
      </c>
      <c r="M966" s="93">
        <v>29</v>
      </c>
      <c r="N966" s="93">
        <v>70</v>
      </c>
      <c r="O966" s="6">
        <v>3</v>
      </c>
      <c r="P966" s="6">
        <v>1</v>
      </c>
      <c r="Q966" s="6">
        <v>231</v>
      </c>
      <c r="R966" s="98">
        <v>0.50009999999999999</v>
      </c>
      <c r="S966" s="94">
        <f>((Table3.110[[#This Row],[Sample weight, g]]*'2.1. DM'!Q225)/100)*1000</f>
        <v>453.37029499999971</v>
      </c>
      <c r="T966" s="94">
        <f>'3.2 Digest'!W966</f>
        <v>282.87029499999971</v>
      </c>
      <c r="U966" s="153">
        <v>0.33333333333333331</v>
      </c>
      <c r="V966" s="154">
        <v>40.5</v>
      </c>
      <c r="W966" s="153">
        <v>0.66805555555555551</v>
      </c>
      <c r="X966" s="91">
        <v>89.5</v>
      </c>
      <c r="Y966" s="91">
        <v>13.5</v>
      </c>
      <c r="Z966" s="154">
        <v>40</v>
      </c>
      <c r="AA966" s="153">
        <v>0.34652777777777777</v>
      </c>
      <c r="AB966" s="154">
        <v>89</v>
      </c>
      <c r="AC966" s="154">
        <v>17.100000000000001</v>
      </c>
      <c r="AD966" s="91"/>
      <c r="AE966" s="94">
        <f>Table3.110[[#This Row],[Gas 8h, ml]]-Table3.110[[#This Row],[Gas 0h, ml]]</f>
        <v>49</v>
      </c>
      <c r="AF966" s="94">
        <f>Table3.110[[#This Row],[Gas 24h, ml]]-Table3.110[[#This Row],[V8 Push back, ml]]</f>
        <v>49</v>
      </c>
      <c r="AG966" s="94">
        <f>Table3.110[[#This Row],[GP 8h, ml]]-(AVERAGE(AE$934,AE$935,AE$958,AE$959))*$AG$8</f>
        <v>47.00873479879084</v>
      </c>
      <c r="AH966" s="94">
        <f>Table3.110[[#This Row],[GP 8-24h, ml]]-(AVERAGE(AF$934,AF$935,AF$958,AF$959))*$AG$8</f>
        <v>46.344979731721118</v>
      </c>
      <c r="AI966" s="94">
        <f>Table3.110[[#This Row],[Net gas 8-24h, ml]]+Table3.110[[#This Row],[Net gas 8h, ml]]</f>
        <v>93.353714530511951</v>
      </c>
      <c r="AJ966" s="94">
        <f>Table3.110[[#This Row],[Net gas 8h, ml]]*Table3.110[[#This Row],[CH4 8h %]]%</f>
        <v>6.3461791978367641</v>
      </c>
      <c r="AK966" s="94">
        <f>Table3.110[[#This Row],[Net gas 8-24h, ml]]*Table3.110[[#This Row],[CH4 24h, %]]%</f>
        <v>7.9249915341243113</v>
      </c>
      <c r="AL966" s="94">
        <f>Table3.110[[#This Row],[CH4 8-24h, ml]]+Table3.110[[#This Row],[CH4 8h, ml]]</f>
        <v>14.271170731961075</v>
      </c>
      <c r="AM966" s="94">
        <f>(Table3.110[[#This Row],[Net gas 24h, ml]]/Table3.110[[#This Row],[DM Incubated, mg]])*1000</f>
        <v>205.910522943529</v>
      </c>
      <c r="AN966" s="94">
        <f>'3.2 Digest'!X966</f>
        <v>62.392772115782293</v>
      </c>
      <c r="AO966" s="94">
        <f>Table3.110[[#This Row],[Digested feed, mg]]/Table3.110[[#This Row],[Net gas 24h, ml]]</f>
        <v>3.0300914797294509</v>
      </c>
      <c r="AP966" s="94">
        <f>Table3.110[[#This Row],[CH4 8h, ml]]/Table3.110[[#This Row],[Net gas 8h, ml]]%</f>
        <v>13.500000000000002</v>
      </c>
      <c r="AQ966" s="94">
        <f>Table3.110[[#This Row],[CH4 24h, ml]]/Table3.110[[#This Row],[Net gas 24h, ml]]%</f>
        <v>15.287201804162438</v>
      </c>
      <c r="AR966" s="94">
        <f>Table3.110[[#This Row],[CH4 24h, ml]]/Table3.110[[#This Row],[DM Incubated, mg]]*1000</f>
        <v>31.477957178383477</v>
      </c>
      <c r="AS966" s="94">
        <f>Table3.110[[#This Row],[CH4 24h, ml]]/Table3.110[[#This Row],[Digested feed, mg]]*1000</f>
        <v>50.451288043380764</v>
      </c>
      <c r="AT966" s="94">
        <f>Table3.110[[#This Row],[CH4 24h, ml]]/'3.2 Digest'!AA966</f>
        <v>1.3714839169009909</v>
      </c>
      <c r="AU966" s="94">
        <f>((Table3.110[[#This Row],[CH4 24h, ml]]/28.9)*16.04)/Table3.110[[#This Row],[DM Incubated, mg]]*1000</f>
        <v>17.470810835338092</v>
      </c>
      <c r="AV966" s="94">
        <f>((Table3.110[[#This Row],[CH4 24h, ml]]/28.9)*16.04)/Table3.110[[#This Row],[Digested feed, mg]]*1000</f>
        <v>28.001337723731051</v>
      </c>
      <c r="AW966" s="64"/>
    </row>
    <row r="967" spans="2:49" x14ac:dyDescent="0.35">
      <c r="B967" s="90">
        <f t="shared" si="14"/>
        <v>957</v>
      </c>
      <c r="C967" s="140">
        <v>46078</v>
      </c>
      <c r="D967" s="6" t="s">
        <v>16</v>
      </c>
      <c r="E967" s="6" t="s">
        <v>364</v>
      </c>
      <c r="F967" s="6" t="s">
        <v>219</v>
      </c>
      <c r="G967" s="6" t="s">
        <v>365</v>
      </c>
      <c r="H967" s="6" t="s">
        <v>366</v>
      </c>
      <c r="I967" s="6" t="s">
        <v>22</v>
      </c>
      <c r="J967" s="129" t="s">
        <v>23</v>
      </c>
      <c r="K967" s="129" t="s">
        <v>215</v>
      </c>
      <c r="L967" s="6" t="s">
        <v>363</v>
      </c>
      <c r="M967" s="93">
        <v>29</v>
      </c>
      <c r="N967" s="93">
        <v>70</v>
      </c>
      <c r="O967" s="6">
        <v>3</v>
      </c>
      <c r="P967" s="129">
        <v>2</v>
      </c>
      <c r="Q967" s="6">
        <v>232</v>
      </c>
      <c r="R967" s="98">
        <v>0.50019999999999998</v>
      </c>
      <c r="S967" s="94">
        <f>((Table3.110[[#This Row],[Sample weight, g]]*'2.1. DM'!Q225)/100)*1000</f>
        <v>453.46095092781417</v>
      </c>
      <c r="T967" s="94">
        <f>'3.2 Digest'!W967</f>
        <v>263.6609509278141</v>
      </c>
      <c r="U967" s="117">
        <v>0.33333333333333331</v>
      </c>
      <c r="V967" s="155">
        <v>40.5</v>
      </c>
      <c r="W967" s="117">
        <v>0.66874999999999996</v>
      </c>
      <c r="X967" s="96">
        <v>89</v>
      </c>
      <c r="Y967" s="96">
        <v>13.4</v>
      </c>
      <c r="Z967" s="155">
        <v>40</v>
      </c>
      <c r="AA967" s="117">
        <v>0.34722222222222221</v>
      </c>
      <c r="AB967" s="155">
        <v>89</v>
      </c>
      <c r="AC967" s="155">
        <v>16.8</v>
      </c>
      <c r="AD967" s="96"/>
      <c r="AE967" s="94">
        <f>Table3.110[[#This Row],[Gas 8h, ml]]-Table3.110[[#This Row],[Gas 0h, ml]]</f>
        <v>48.5</v>
      </c>
      <c r="AF967" s="94">
        <f>Table3.110[[#This Row],[Gas 24h, ml]]-Table3.110[[#This Row],[V8 Push back, ml]]</f>
        <v>49</v>
      </c>
      <c r="AG967" s="94">
        <f>Table3.110[[#This Row],[GP 8h, ml]]-(AVERAGE(AE$934,AE$935,AE$958,AE$959))*$AG$8</f>
        <v>46.50873479879084</v>
      </c>
      <c r="AH967" s="94">
        <f>Table3.110[[#This Row],[GP 8-24h, ml]]-(AVERAGE(AF$934,AF$935,AF$958,AF$959))*$AG$8</f>
        <v>46.344979731721118</v>
      </c>
      <c r="AI967" s="94">
        <f>Table3.110[[#This Row],[Net gas 8-24h, ml]]+Table3.110[[#This Row],[Net gas 8h, ml]]</f>
        <v>92.853714530511951</v>
      </c>
      <c r="AJ967" s="94">
        <f>Table3.110[[#This Row],[Net gas 8h, ml]]*Table3.110[[#This Row],[CH4 8h %]]%</f>
        <v>6.2321704630379733</v>
      </c>
      <c r="AK967" s="94">
        <f>Table3.110[[#This Row],[Net gas 8-24h, ml]]*Table3.110[[#This Row],[CH4 24h, %]]%</f>
        <v>7.7859565949291483</v>
      </c>
      <c r="AL967" s="94">
        <f>Table3.110[[#This Row],[CH4 8-24h, ml]]+Table3.110[[#This Row],[CH4 8h, ml]]</f>
        <v>14.018127057967121</v>
      </c>
      <c r="AM967" s="94">
        <f>(Table3.110[[#This Row],[Net gas 24h, ml]]/Table3.110[[#This Row],[DM Incubated, mg]])*1000</f>
        <v>204.7667265296526</v>
      </c>
      <c r="AN967" s="94">
        <f>'3.2 Digest'!X967</f>
        <v>58.144135760387869</v>
      </c>
      <c r="AO967" s="94">
        <f>Table3.110[[#This Row],[Digested feed, mg]]/Table3.110[[#This Row],[Net gas 24h, ml]]</f>
        <v>2.8395304620923323</v>
      </c>
      <c r="AP967" s="94">
        <f>Table3.110[[#This Row],[CH4 8h, ml]]/Table3.110[[#This Row],[Net gas 8h, ml]]%</f>
        <v>13.400000000000002</v>
      </c>
      <c r="AQ967" s="94">
        <f>Table3.110[[#This Row],[CH4 24h, ml]]/Table3.110[[#This Row],[Net gas 24h, ml]]%</f>
        <v>15.09700191192753</v>
      </c>
      <c r="AR967" s="94">
        <f>Table3.110[[#This Row],[CH4 24h, ml]]/Table3.110[[#This Row],[DM Incubated, mg]]*1000</f>
        <v>30.913636619173076</v>
      </c>
      <c r="AS967" s="94">
        <f>Table3.110[[#This Row],[CH4 24h, ml]]/Table3.110[[#This Row],[Digested feed, mg]]*1000</f>
        <v>53.167247590656856</v>
      </c>
      <c r="AT967" s="94">
        <f>Table3.110[[#This Row],[CH4 24h, ml]]/'3.2 Digest'!AA967</f>
        <v>49.391727864852058</v>
      </c>
      <c r="AU967" s="94">
        <f>((Table3.110[[#This Row],[CH4 24h, ml]]/28.9)*16.04)/Table3.110[[#This Row],[DM Incubated, mg]]*1000</f>
        <v>17.157603161644847</v>
      </c>
      <c r="AV967" s="94">
        <f>((Table3.110[[#This Row],[CH4 24h, ml]]/28.9)*16.04)/Table3.110[[#This Row],[Digested feed, mg]]*1000</f>
        <v>29.50874226138879</v>
      </c>
      <c r="AW967" s="64"/>
    </row>
    <row r="968" spans="2:49" x14ac:dyDescent="0.35">
      <c r="B968" s="90">
        <f t="shared" si="14"/>
        <v>958</v>
      </c>
      <c r="C968" s="140">
        <v>46078</v>
      </c>
      <c r="D968" s="6" t="s">
        <v>16</v>
      </c>
      <c r="E968" s="6" t="s">
        <v>368</v>
      </c>
      <c r="F968" s="6" t="s">
        <v>219</v>
      </c>
      <c r="G968" s="6" t="s">
        <v>365</v>
      </c>
      <c r="H968" s="6" t="s">
        <v>366</v>
      </c>
      <c r="I968" s="6" t="s">
        <v>22</v>
      </c>
      <c r="J968" s="129" t="s">
        <v>23</v>
      </c>
      <c r="K968" s="129" t="s">
        <v>215</v>
      </c>
      <c r="L968" s="6" t="s">
        <v>367</v>
      </c>
      <c r="M968" s="93">
        <v>29</v>
      </c>
      <c r="N968" s="93">
        <v>70</v>
      </c>
      <c r="O968" s="6">
        <v>3</v>
      </c>
      <c r="P968" s="129">
        <v>1</v>
      </c>
      <c r="Q968" s="6">
        <v>233</v>
      </c>
      <c r="R968" s="98">
        <v>0.50019999999999998</v>
      </c>
      <c r="S968" s="94">
        <f>((Table3.110[[#This Row],[Sample weight, g]]*'2.1. DM'!Q227)/100)*1000</f>
        <v>455.53660633936607</v>
      </c>
      <c r="T968" s="94">
        <f>'3.2 Digest'!W968</f>
        <v>258.43660633936599</v>
      </c>
      <c r="U968" s="153">
        <v>0.33333333333333331</v>
      </c>
      <c r="V968" s="154">
        <v>41</v>
      </c>
      <c r="W968" s="153">
        <v>0.66874999999999996</v>
      </c>
      <c r="X968" s="91">
        <v>83.5</v>
      </c>
      <c r="Y968" s="91">
        <v>13.3</v>
      </c>
      <c r="Z968" s="154">
        <v>40.5</v>
      </c>
      <c r="AA968" s="153">
        <v>0.34722222222222221</v>
      </c>
      <c r="AB968" s="154">
        <v>90.5</v>
      </c>
      <c r="AC968" s="154">
        <v>16.5</v>
      </c>
      <c r="AD968" s="91"/>
      <c r="AE968" s="94">
        <f>Table3.110[[#This Row],[Gas 8h, ml]]-Table3.110[[#This Row],[Gas 0h, ml]]</f>
        <v>42.5</v>
      </c>
      <c r="AF968" s="94">
        <f>Table3.110[[#This Row],[Gas 24h, ml]]-Table3.110[[#This Row],[V8 Push back, ml]]</f>
        <v>50</v>
      </c>
      <c r="AG968" s="94">
        <f>Table3.110[[#This Row],[GP 8h, ml]]-(AVERAGE(AE$934,AE$935,AE$958,AE$959))*$AG$8</f>
        <v>40.50873479879084</v>
      </c>
      <c r="AH968" s="94">
        <f>Table3.110[[#This Row],[GP 8-24h, ml]]-(AVERAGE(AF$934,AF$935,AF$958,AF$959))*$AG$8</f>
        <v>47.344979731721118</v>
      </c>
      <c r="AI968" s="94">
        <f>Table3.110[[#This Row],[Net gas 8-24h, ml]]+Table3.110[[#This Row],[Net gas 8h, ml]]</f>
        <v>87.853714530511951</v>
      </c>
      <c r="AJ968" s="94">
        <f>Table3.110[[#This Row],[Net gas 8h, ml]]*Table3.110[[#This Row],[CH4 8h %]]%</f>
        <v>5.3876617282391823</v>
      </c>
      <c r="AK968" s="94">
        <f>Table3.110[[#This Row],[Net gas 8-24h, ml]]*Table3.110[[#This Row],[CH4 24h, %]]%</f>
        <v>7.8119216557339852</v>
      </c>
      <c r="AL968" s="94">
        <f>Table3.110[[#This Row],[CH4 8-24h, ml]]+Table3.110[[#This Row],[CH4 8h, ml]]</f>
        <v>13.199583383973167</v>
      </c>
      <c r="AM968" s="94">
        <f>(Table3.110[[#This Row],[Net gas 24h, ml]]/Table3.110[[#This Row],[DM Incubated, mg]])*1000</f>
        <v>192.85763933768828</v>
      </c>
      <c r="AN968" s="94">
        <f>'3.2 Digest'!X968</f>
        <v>56.73234658705686</v>
      </c>
      <c r="AO968" s="94">
        <f>Table3.110[[#This Row],[Digested feed, mg]]/Table3.110[[#This Row],[Net gas 24h, ml]]</f>
        <v>2.9416696575716204</v>
      </c>
      <c r="AP968" s="94">
        <f>Table3.110[[#This Row],[CH4 8h, ml]]/Table3.110[[#This Row],[Net gas 8h, ml]]%</f>
        <v>13.3</v>
      </c>
      <c r="AQ968" s="94">
        <f>Table3.110[[#This Row],[CH4 24h, ml]]/Table3.110[[#This Row],[Net gas 24h, ml]]%</f>
        <v>15.02450232697776</v>
      </c>
      <c r="AR968" s="94">
        <f>Table3.110[[#This Row],[CH4 24h, ml]]/Table3.110[[#This Row],[DM Incubated, mg]]*1000</f>
        <v>28.975900510045353</v>
      </c>
      <c r="AS968" s="94">
        <f>Table3.110[[#This Row],[CH4 24h, ml]]/Table3.110[[#This Row],[Digested feed, mg]]*1000</f>
        <v>51.074743516172532</v>
      </c>
      <c r="AT968" s="94">
        <f>Table3.110[[#This Row],[CH4 24h, ml]]/'3.2 Digest'!AA968</f>
        <v>1.1352781764198807</v>
      </c>
      <c r="AU968" s="94">
        <f>((Table3.110[[#This Row],[CH4 24h, ml]]/28.9)*16.04)/Table3.110[[#This Row],[DM Incubated, mg]]*1000</f>
        <v>16.082126096232784</v>
      </c>
      <c r="AV968" s="94">
        <f>((Table3.110[[#This Row],[CH4 24h, ml]]/28.9)*16.04)/Table3.110[[#This Row],[Digested feed, mg]]*1000</f>
        <v>28.34736629755735</v>
      </c>
      <c r="AW968" s="64"/>
    </row>
    <row r="969" spans="2:49" x14ac:dyDescent="0.35">
      <c r="B969" s="90">
        <f t="shared" si="14"/>
        <v>959</v>
      </c>
      <c r="C969" s="140">
        <v>46078</v>
      </c>
      <c r="D969" s="6" t="s">
        <v>16</v>
      </c>
      <c r="E969" s="6" t="s">
        <v>368</v>
      </c>
      <c r="F969" s="6" t="s">
        <v>219</v>
      </c>
      <c r="G969" s="6" t="s">
        <v>365</v>
      </c>
      <c r="H969" s="6" t="s">
        <v>366</v>
      </c>
      <c r="I969" s="6" t="s">
        <v>22</v>
      </c>
      <c r="J969" s="129" t="s">
        <v>23</v>
      </c>
      <c r="K969" s="129" t="s">
        <v>215</v>
      </c>
      <c r="L969" s="6" t="s">
        <v>367</v>
      </c>
      <c r="M969" s="93">
        <v>29</v>
      </c>
      <c r="N969" s="93">
        <v>70</v>
      </c>
      <c r="O969" s="6">
        <v>3</v>
      </c>
      <c r="P969" s="129">
        <v>2</v>
      </c>
      <c r="Q969" s="6">
        <v>234</v>
      </c>
      <c r="R969" s="98">
        <v>0.5</v>
      </c>
      <c r="S969" s="94">
        <f>((Table3.110[[#This Row],[Sample weight, g]]*'2.1. DM'!Q227)/100)*1000</f>
        <v>455.35446455354469</v>
      </c>
      <c r="T969" s="94">
        <f>'3.2 Digest'!W969</f>
        <v>234.05446455354473</v>
      </c>
      <c r="U969" s="117">
        <v>0.33402777777777776</v>
      </c>
      <c r="V969" s="155">
        <v>41</v>
      </c>
      <c r="W969" s="117">
        <v>0.6694444444444444</v>
      </c>
      <c r="X969" s="96">
        <v>82.5</v>
      </c>
      <c r="Y969" s="96">
        <v>13.1</v>
      </c>
      <c r="Z969" s="155">
        <v>40</v>
      </c>
      <c r="AA969" s="117">
        <v>0.34791666666666665</v>
      </c>
      <c r="AB969" s="155">
        <v>89</v>
      </c>
      <c r="AC969" s="155">
        <v>16.399999999999999</v>
      </c>
      <c r="AD969" s="96"/>
      <c r="AE969" s="94">
        <f>Table3.110[[#This Row],[Gas 8h, ml]]-Table3.110[[#This Row],[Gas 0h, ml]]</f>
        <v>41.5</v>
      </c>
      <c r="AF969" s="94">
        <f>Table3.110[[#This Row],[Gas 24h, ml]]-Table3.110[[#This Row],[V8 Push back, ml]]</f>
        <v>49</v>
      </c>
      <c r="AG969" s="94">
        <f>Table3.110[[#This Row],[GP 8h, ml]]-(AVERAGE(AE$934,AE$935,AE$958,AE$959))*$AG$8</f>
        <v>39.50873479879084</v>
      </c>
      <c r="AH969" s="94">
        <f>Table3.110[[#This Row],[GP 8-24h, ml]]-(AVERAGE(AF$934,AF$935,AF$958,AF$959))*$AG$8</f>
        <v>46.344979731721118</v>
      </c>
      <c r="AI969" s="94">
        <f>Table3.110[[#This Row],[Net gas 8-24h, ml]]+Table3.110[[#This Row],[Net gas 8h, ml]]</f>
        <v>85.853714530511951</v>
      </c>
      <c r="AJ969" s="94">
        <f>Table3.110[[#This Row],[Net gas 8h, ml]]*Table3.110[[#This Row],[CH4 8h %]]%</f>
        <v>5.1756442586416007</v>
      </c>
      <c r="AK969" s="94">
        <f>Table3.110[[#This Row],[Net gas 8-24h, ml]]*Table3.110[[#This Row],[CH4 24h, %]]%</f>
        <v>7.6005766760022624</v>
      </c>
      <c r="AL969" s="94">
        <f>Table3.110[[#This Row],[CH4 8-24h, ml]]+Table3.110[[#This Row],[CH4 8h, ml]]</f>
        <v>12.776220934643863</v>
      </c>
      <c r="AM969" s="94">
        <f>(Table3.110[[#This Row],[Net gas 24h, ml]]/Table3.110[[#This Row],[DM Incubated, mg]])*1000</f>
        <v>188.54259969689284</v>
      </c>
      <c r="AN969" s="94">
        <f>'3.2 Digest'!X969</f>
        <v>51.400498462889779</v>
      </c>
      <c r="AO969" s="94">
        <f>Table3.110[[#This Row],[Digested feed, mg]]/Table3.110[[#This Row],[Net gas 24h, ml]]</f>
        <v>2.7262007920503315</v>
      </c>
      <c r="AP969" s="94">
        <f>Table3.110[[#This Row],[CH4 8h, ml]]/Table3.110[[#This Row],[Net gas 8h, ml]]%</f>
        <v>13.100000000000001</v>
      </c>
      <c r="AQ969" s="94">
        <f>Table3.110[[#This Row],[CH4 24h, ml]]/Table3.110[[#This Row],[Net gas 24h, ml]]%</f>
        <v>14.881383996615851</v>
      </c>
      <c r="AR969" s="94">
        <f>Table3.110[[#This Row],[CH4 24h, ml]]/Table3.110[[#This Row],[DM Incubated, mg]]*1000</f>
        <v>28.057748258096893</v>
      </c>
      <c r="AS969" s="94">
        <f>Table3.110[[#This Row],[CH4 24h, ml]]/Table3.110[[#This Row],[Digested feed, mg]]*1000</f>
        <v>54.58652950292705</v>
      </c>
      <c r="AT969" s="94">
        <f>Table3.110[[#This Row],[CH4 24h, ml]]/'3.2 Digest'!AA969</f>
        <v>17.345961775227742</v>
      </c>
      <c r="AU969" s="94">
        <f>((Table3.110[[#This Row],[CH4 24h, ml]]/28.9)*16.04)/Table3.110[[#This Row],[DM Incubated, mg]]*1000</f>
        <v>15.572535711414332</v>
      </c>
      <c r="AV969" s="94">
        <f>((Table3.110[[#This Row],[CH4 24h, ml]]/28.9)*16.04)/Table3.110[[#This Row],[Digested feed, mg]]*1000</f>
        <v>30.296468277749128</v>
      </c>
      <c r="AW969" s="64"/>
    </row>
    <row r="970" spans="2:49" x14ac:dyDescent="0.35">
      <c r="B970" s="90">
        <f t="shared" si="14"/>
        <v>960</v>
      </c>
      <c r="C970" s="140">
        <v>46078</v>
      </c>
      <c r="D970" s="6" t="s">
        <v>16</v>
      </c>
      <c r="E970" s="6" t="s">
        <v>370</v>
      </c>
      <c r="F970" s="6" t="s">
        <v>219</v>
      </c>
      <c r="G970" s="6" t="s">
        <v>365</v>
      </c>
      <c r="H970" s="6" t="s">
        <v>366</v>
      </c>
      <c r="I970" s="6" t="s">
        <v>22</v>
      </c>
      <c r="J970" s="129" t="s">
        <v>23</v>
      </c>
      <c r="K970" s="129" t="s">
        <v>215</v>
      </c>
      <c r="L970" s="6" t="s">
        <v>369</v>
      </c>
      <c r="M970" s="93">
        <v>29</v>
      </c>
      <c r="N970" s="93">
        <v>70</v>
      </c>
      <c r="O970" s="6">
        <v>3</v>
      </c>
      <c r="P970" s="129">
        <v>1</v>
      </c>
      <c r="Q970" s="6">
        <v>235</v>
      </c>
      <c r="R970" s="98">
        <v>0.50039999999999996</v>
      </c>
      <c r="S970" s="94">
        <f>((Table3.110[[#This Row],[Sample weight, g]]*'2.1. DM'!Q229)/100)*1000</f>
        <v>458.23946068940307</v>
      </c>
      <c r="T970" s="94">
        <f>'3.2 Digest'!W970</f>
        <v>310.13946068940305</v>
      </c>
      <c r="U970" s="153">
        <v>0.33402777777777776</v>
      </c>
      <c r="V970" s="154">
        <v>40.5</v>
      </c>
      <c r="W970" s="153">
        <v>0.67013888888888884</v>
      </c>
      <c r="X970" s="91">
        <v>89</v>
      </c>
      <c r="Y970" s="91">
        <v>13.3</v>
      </c>
      <c r="Z970" s="154">
        <v>39.5</v>
      </c>
      <c r="AA970" s="153">
        <v>0.34861111111111109</v>
      </c>
      <c r="AB970" s="154">
        <v>95.5</v>
      </c>
      <c r="AC970" s="154">
        <v>17</v>
      </c>
      <c r="AD970" s="91"/>
      <c r="AE970" s="94">
        <f>Table3.110[[#This Row],[Gas 8h, ml]]-Table3.110[[#This Row],[Gas 0h, ml]]</f>
        <v>48.5</v>
      </c>
      <c r="AF970" s="94">
        <f>Table3.110[[#This Row],[Gas 24h, ml]]-Table3.110[[#This Row],[V8 Push back, ml]]</f>
        <v>56</v>
      </c>
      <c r="AG970" s="94">
        <f>Table3.110[[#This Row],[GP 8h, ml]]-(AVERAGE(AE$934,AE$935,AE$958,AE$959))*$AG$8</f>
        <v>46.50873479879084</v>
      </c>
      <c r="AH970" s="94">
        <f>Table3.110[[#This Row],[GP 8-24h, ml]]-(AVERAGE(AF$934,AF$935,AF$958,AF$959))*$AG$8</f>
        <v>53.344979731721118</v>
      </c>
      <c r="AI970" s="94">
        <f>Table3.110[[#This Row],[Net gas 8-24h, ml]]+Table3.110[[#This Row],[Net gas 8h, ml]]</f>
        <v>99.853714530511951</v>
      </c>
      <c r="AJ970" s="94">
        <f>Table3.110[[#This Row],[Net gas 8h, ml]]*Table3.110[[#This Row],[CH4 8h %]]%</f>
        <v>6.1856617282391824</v>
      </c>
      <c r="AK970" s="94">
        <f>Table3.110[[#This Row],[Net gas 8-24h, ml]]*Table3.110[[#This Row],[CH4 24h, %]]%</f>
        <v>9.0686465543925898</v>
      </c>
      <c r="AL970" s="94">
        <f>Table3.110[[#This Row],[CH4 8-24h, ml]]+Table3.110[[#This Row],[CH4 8h, ml]]</f>
        <v>15.254308282631772</v>
      </c>
      <c r="AM970" s="94">
        <f>(Table3.110[[#This Row],[Net gas 24h, ml]]/Table3.110[[#This Row],[DM Incubated, mg]])*1000</f>
        <v>217.90728013752025</v>
      </c>
      <c r="AN970" s="94">
        <f>'3.2 Digest'!X970</f>
        <v>67.680653303582929</v>
      </c>
      <c r="AO970" s="94">
        <f>Table3.110[[#This Row],[Digested feed, mg]]/Table3.110[[#This Row],[Net gas 24h, ml]]</f>
        <v>3.1059381430886561</v>
      </c>
      <c r="AP970" s="94">
        <f>Table3.110[[#This Row],[CH4 8h, ml]]/Table3.110[[#This Row],[Net gas 8h, ml]]%</f>
        <v>13.3</v>
      </c>
      <c r="AQ970" s="94">
        <f>Table3.110[[#This Row],[CH4 24h, ml]]/Table3.110[[#This Row],[Net gas 24h, ml]]%</f>
        <v>15.276655810305952</v>
      </c>
      <c r="AR970" s="94">
        <f>Table3.110[[#This Row],[CH4 24h, ml]]/Table3.110[[#This Row],[DM Incubated, mg]]*1000</f>
        <v>33.288945172208152</v>
      </c>
      <c r="AS970" s="94">
        <f>Table3.110[[#This Row],[CH4 24h, ml]]/Table3.110[[#This Row],[Digested feed, mg]]*1000</f>
        <v>49.18531891660372</v>
      </c>
      <c r="AT970" s="94">
        <f>Table3.110[[#This Row],[CH4 24h, ml]]/'3.2 Digest'!AA970</f>
        <v>0.37717304522728912</v>
      </c>
      <c r="AU970" s="94">
        <f>((Table3.110[[#This Row],[CH4 24h, ml]]/28.9)*16.04)/Table3.110[[#This Row],[DM Incubated, mg]]*1000</f>
        <v>18.475940503883006</v>
      </c>
      <c r="AV970" s="94">
        <f>((Table3.110[[#This Row],[CH4 24h, ml]]/28.9)*16.04)/Table3.110[[#This Row],[Digested feed, mg]]*1000</f>
        <v>27.298702955789746</v>
      </c>
      <c r="AW970" s="64"/>
    </row>
    <row r="971" spans="2:49" x14ac:dyDescent="0.35">
      <c r="B971" s="90">
        <f t="shared" si="14"/>
        <v>961</v>
      </c>
      <c r="C971" s="140">
        <v>46078</v>
      </c>
      <c r="D971" s="6" t="s">
        <v>16</v>
      </c>
      <c r="E971" s="6" t="s">
        <v>370</v>
      </c>
      <c r="F971" s="6" t="s">
        <v>219</v>
      </c>
      <c r="G971" s="6" t="s">
        <v>365</v>
      </c>
      <c r="H971" s="6" t="s">
        <v>366</v>
      </c>
      <c r="I971" s="6" t="s">
        <v>22</v>
      </c>
      <c r="J971" s="129" t="s">
        <v>23</v>
      </c>
      <c r="K971" s="129" t="s">
        <v>215</v>
      </c>
      <c r="L971" s="6" t="s">
        <v>369</v>
      </c>
      <c r="M971" s="93">
        <v>29</v>
      </c>
      <c r="N971" s="93">
        <v>70</v>
      </c>
      <c r="O971" s="6">
        <v>3</v>
      </c>
      <c r="P971" s="129">
        <v>2</v>
      </c>
      <c r="Q971" s="6">
        <v>236</v>
      </c>
      <c r="R971" s="98">
        <v>0.50019999999999998</v>
      </c>
      <c r="S971" s="94">
        <f>((Table3.110[[#This Row],[Sample weight, g]]*'2.1. DM'!Q229)/100)*1000</f>
        <v>458.05631142453916</v>
      </c>
      <c r="T971" s="94">
        <f>'3.2 Digest'!W971</f>
        <v>294.95631142453925</v>
      </c>
      <c r="U971" s="117">
        <v>0.33402777777777776</v>
      </c>
      <c r="V971" s="155">
        <v>40.5</v>
      </c>
      <c r="W971" s="117">
        <v>0.67013888888888884</v>
      </c>
      <c r="X971" s="96">
        <v>88.5</v>
      </c>
      <c r="Y971" s="96">
        <v>13.5</v>
      </c>
      <c r="Z971" s="155">
        <v>40</v>
      </c>
      <c r="AA971" s="117">
        <v>0.34861111111111109</v>
      </c>
      <c r="AB971" s="155">
        <v>95</v>
      </c>
      <c r="AC971" s="155">
        <v>17.2</v>
      </c>
      <c r="AD971" s="96"/>
      <c r="AE971" s="94">
        <f>Table3.110[[#This Row],[Gas 8h, ml]]-Table3.110[[#This Row],[Gas 0h, ml]]</f>
        <v>48</v>
      </c>
      <c r="AF971" s="94">
        <f>Table3.110[[#This Row],[Gas 24h, ml]]-Table3.110[[#This Row],[V8 Push back, ml]]</f>
        <v>55</v>
      </c>
      <c r="AG971" s="94">
        <f>Table3.110[[#This Row],[GP 8h, ml]]-(AVERAGE(AE$934,AE$935,AE$958,AE$959))*$AG$8</f>
        <v>46.00873479879084</v>
      </c>
      <c r="AH971" s="94">
        <f>Table3.110[[#This Row],[GP 8-24h, ml]]-(AVERAGE(AF$934,AF$935,AF$958,AF$959))*$AG$8</f>
        <v>52.344979731721118</v>
      </c>
      <c r="AI971" s="94">
        <f>Table3.110[[#This Row],[Net gas 8-24h, ml]]+Table3.110[[#This Row],[Net gas 8h, ml]]</f>
        <v>98.353714530511951</v>
      </c>
      <c r="AJ971" s="94">
        <f>Table3.110[[#This Row],[Net gas 8h, ml]]*Table3.110[[#This Row],[CH4 8h %]]%</f>
        <v>6.2111791978367634</v>
      </c>
      <c r="AK971" s="94">
        <f>Table3.110[[#This Row],[Net gas 8-24h, ml]]*Table3.110[[#This Row],[CH4 24h, %]]%</f>
        <v>9.0033365138560324</v>
      </c>
      <c r="AL971" s="94">
        <f>Table3.110[[#This Row],[CH4 8-24h, ml]]+Table3.110[[#This Row],[CH4 8h, ml]]</f>
        <v>15.214515711692796</v>
      </c>
      <c r="AM971" s="94">
        <f>(Table3.110[[#This Row],[Net gas 24h, ml]]/Table3.110[[#This Row],[DM Incubated, mg]])*1000</f>
        <v>214.71970165553518</v>
      </c>
      <c r="AN971" s="94">
        <f>'3.2 Digest'!X971</f>
        <v>64.393024191116453</v>
      </c>
      <c r="AO971" s="94">
        <f>Table3.110[[#This Row],[Digested feed, mg]]/Table3.110[[#This Row],[Net gas 24h, ml]]</f>
        <v>2.9989341310849618</v>
      </c>
      <c r="AP971" s="94">
        <f>Table3.110[[#This Row],[CH4 8h, ml]]/Table3.110[[#This Row],[Net gas 8h, ml]]%</f>
        <v>13.5</v>
      </c>
      <c r="AQ971" s="94">
        <f>Table3.110[[#This Row],[CH4 24h, ml]]/Table3.110[[#This Row],[Net gas 24h, ml]]%</f>
        <v>15.469182617371148</v>
      </c>
      <c r="AR971" s="94">
        <f>Table3.110[[#This Row],[CH4 24h, ml]]/Table3.110[[#This Row],[DM Incubated, mg]]*1000</f>
        <v>33.215382764569235</v>
      </c>
      <c r="AS971" s="94">
        <f>Table3.110[[#This Row],[CH4 24h, ml]]/Table3.110[[#This Row],[Digested feed, mg]]*1000</f>
        <v>51.58226870349656</v>
      </c>
      <c r="AT971" s="94">
        <f>Table3.110[[#This Row],[CH4 24h, ml]]/'3.2 Digest'!AA971</f>
        <v>0.44246841169281886</v>
      </c>
      <c r="AU971" s="94">
        <f>((Table3.110[[#This Row],[CH4 24h, ml]]/28.9)*16.04)/Table3.110[[#This Row],[DM Incubated, mg]]*1000</f>
        <v>18.435112094937384</v>
      </c>
      <c r="AV971" s="94">
        <f>((Table3.110[[#This Row],[CH4 24h, ml]]/28.9)*16.04)/Table3.110[[#This Row],[Digested feed, mg]]*1000</f>
        <v>28.629051557234764</v>
      </c>
      <c r="AW971" s="64"/>
    </row>
    <row r="972" spans="2:49" x14ac:dyDescent="0.35">
      <c r="B972" s="90">
        <f t="shared" ref="B972:B1035" si="15">B971+1</f>
        <v>962</v>
      </c>
      <c r="C972" s="140">
        <v>46078</v>
      </c>
      <c r="D972" s="6" t="s">
        <v>16</v>
      </c>
      <c r="E972" s="6" t="s">
        <v>372</v>
      </c>
      <c r="F972" s="6" t="s">
        <v>219</v>
      </c>
      <c r="G972" s="6" t="s">
        <v>220</v>
      </c>
      <c r="H972" s="6" t="s">
        <v>221</v>
      </c>
      <c r="I972" s="6" t="s">
        <v>22</v>
      </c>
      <c r="J972" s="129" t="s">
        <v>23</v>
      </c>
      <c r="K972" s="129" t="s">
        <v>215</v>
      </c>
      <c r="L972" s="6" t="s">
        <v>371</v>
      </c>
      <c r="M972" s="93">
        <v>29</v>
      </c>
      <c r="N972" s="93">
        <v>70</v>
      </c>
      <c r="O972" s="6">
        <v>3</v>
      </c>
      <c r="P972" s="129">
        <v>1</v>
      </c>
      <c r="Q972" s="6">
        <v>237</v>
      </c>
      <c r="R972" s="98">
        <v>0.50039999999999996</v>
      </c>
      <c r="S972" s="94">
        <f>((Table3.110[[#This Row],[Sample weight, g]]*'2.1. DM'!Q231)/100)*1000</f>
        <v>448.07122955494873</v>
      </c>
      <c r="T972" s="94">
        <f>'3.2 Digest'!W972</f>
        <v>242.6712295549487</v>
      </c>
      <c r="U972" s="117">
        <v>0.3347222222222222</v>
      </c>
      <c r="V972" s="155">
        <v>41</v>
      </c>
      <c r="W972" s="117">
        <v>0.67083333333333328</v>
      </c>
      <c r="X972" s="96">
        <v>80</v>
      </c>
      <c r="Y972" s="96">
        <v>13.5</v>
      </c>
      <c r="Z972" s="155">
        <v>40.5</v>
      </c>
      <c r="AA972" s="117">
        <v>0.34930555555555554</v>
      </c>
      <c r="AB972" s="155">
        <v>91</v>
      </c>
      <c r="AC972" s="155">
        <v>16.399999999999999</v>
      </c>
      <c r="AD972" s="96"/>
      <c r="AE972" s="94">
        <f>Table3.110[[#This Row],[Gas 8h, ml]]-Table3.110[[#This Row],[Gas 0h, ml]]</f>
        <v>39</v>
      </c>
      <c r="AF972" s="94">
        <f>Table3.110[[#This Row],[Gas 24h, ml]]-Table3.110[[#This Row],[V8 Push back, ml]]</f>
        <v>50.5</v>
      </c>
      <c r="AG972" s="94">
        <f>Table3.110[[#This Row],[GP 8h, ml]]-(AVERAGE(AE$934,AE$935,AE$958,AE$959))*$AG$8</f>
        <v>37.00873479879084</v>
      </c>
      <c r="AH972" s="94">
        <f>Table3.110[[#This Row],[GP 8-24h, ml]]-(AVERAGE(AF$934,AF$935,AF$958,AF$959))*$AG$8</f>
        <v>47.844979731721118</v>
      </c>
      <c r="AI972" s="94">
        <f>Table3.110[[#This Row],[Net gas 8-24h, ml]]+Table3.110[[#This Row],[Net gas 8h, ml]]</f>
        <v>84.853714530511951</v>
      </c>
      <c r="AJ972" s="94">
        <f>Table3.110[[#This Row],[Net gas 8h, ml]]*Table3.110[[#This Row],[CH4 8h %]]%</f>
        <v>4.9961791978367636</v>
      </c>
      <c r="AK972" s="94">
        <f>Table3.110[[#This Row],[Net gas 8-24h, ml]]*Table3.110[[#This Row],[CH4 24h, %]]%</f>
        <v>7.8465766760022619</v>
      </c>
      <c r="AL972" s="94">
        <f>Table3.110[[#This Row],[CH4 8-24h, ml]]+Table3.110[[#This Row],[CH4 8h, ml]]</f>
        <v>12.842755873839025</v>
      </c>
      <c r="AM972" s="94">
        <f>(Table3.110[[#This Row],[Net gas 24h, ml]]/Table3.110[[#This Row],[DM Incubated, mg]])*1000</f>
        <v>189.37550311988065</v>
      </c>
      <c r="AN972" s="94">
        <f>'3.2 Digest'!X972</f>
        <v>54.159074171306273</v>
      </c>
      <c r="AO972" s="94">
        <f>Table3.110[[#This Row],[Digested feed, mg]]/Table3.110[[#This Row],[Net gas 24h, ml]]</f>
        <v>2.8598775068083584</v>
      </c>
      <c r="AP972" s="94">
        <f>Table3.110[[#This Row],[CH4 8h, ml]]/Table3.110[[#This Row],[Net gas 8h, ml]]%</f>
        <v>13.500000000000002</v>
      </c>
      <c r="AQ972" s="94">
        <f>Table3.110[[#This Row],[CH4 24h, ml]]/Table3.110[[#This Row],[Net gas 24h, ml]]%</f>
        <v>15.135172272536153</v>
      </c>
      <c r="AR972" s="94">
        <f>Table3.110[[#This Row],[CH4 24h, ml]]/Table3.110[[#This Row],[DM Incubated, mg]]*1000</f>
        <v>28.662308639176011</v>
      </c>
      <c r="AS972" s="94">
        <f>Table3.110[[#This Row],[CH4 24h, ml]]/Table3.110[[#This Row],[Digested feed, mg]]*1000</f>
        <v>52.922449428357169</v>
      </c>
      <c r="AT972" s="94">
        <f>Table3.110[[#This Row],[CH4 24h, ml]]/'3.2 Digest'!AA972</f>
        <v>-5.249284859976858</v>
      </c>
      <c r="AU972" s="94">
        <f>((Table3.110[[#This Row],[CH4 24h, ml]]/28.9)*16.04)/Table3.110[[#This Row],[DM Incubated, mg]]*1000</f>
        <v>15.908077182435406</v>
      </c>
      <c r="AV972" s="94">
        <f>((Table3.110[[#This Row],[CH4 24h, ml]]/28.9)*16.04)/Table3.110[[#This Row],[Digested feed, mg]]*1000</f>
        <v>29.372875046050137</v>
      </c>
      <c r="AW972" s="64"/>
    </row>
    <row r="973" spans="2:49" x14ac:dyDescent="0.35">
      <c r="B973" s="90">
        <f t="shared" si="15"/>
        <v>963</v>
      </c>
      <c r="C973" s="140">
        <v>46078</v>
      </c>
      <c r="D973" s="6" t="s">
        <v>16</v>
      </c>
      <c r="E973" s="6" t="s">
        <v>372</v>
      </c>
      <c r="F973" s="6" t="s">
        <v>219</v>
      </c>
      <c r="G973" s="6" t="s">
        <v>220</v>
      </c>
      <c r="H973" s="6" t="s">
        <v>221</v>
      </c>
      <c r="I973" s="6" t="s">
        <v>22</v>
      </c>
      <c r="J973" s="129" t="s">
        <v>23</v>
      </c>
      <c r="K973" s="129" t="s">
        <v>215</v>
      </c>
      <c r="L973" s="6" t="s">
        <v>371</v>
      </c>
      <c r="M973" s="93">
        <v>29</v>
      </c>
      <c r="N973" s="93">
        <v>70</v>
      </c>
      <c r="O973" s="6">
        <v>3</v>
      </c>
      <c r="P973" s="129">
        <v>2</v>
      </c>
      <c r="Q973" s="6">
        <v>238</v>
      </c>
      <c r="R973" s="98">
        <v>0.50039999999999996</v>
      </c>
      <c r="S973" s="94">
        <f>((Table3.110[[#This Row],[Sample weight, g]]*'2.1. DM'!Q231)/100)*1000</f>
        <v>448.07122955494873</v>
      </c>
      <c r="T973" s="94">
        <f>'3.2 Digest'!W973</f>
        <v>268.57122955494873</v>
      </c>
      <c r="U973" s="153">
        <v>0.3347222222222222</v>
      </c>
      <c r="V973" s="154">
        <v>41</v>
      </c>
      <c r="W973" s="153">
        <v>0.67083333333333328</v>
      </c>
      <c r="X973" s="91">
        <v>80</v>
      </c>
      <c r="Y973" s="91">
        <v>13.5</v>
      </c>
      <c r="Z973" s="154">
        <v>40</v>
      </c>
      <c r="AA973" s="153">
        <v>0.34930555555555554</v>
      </c>
      <c r="AB973" s="154">
        <v>92</v>
      </c>
      <c r="AC973" s="154">
        <v>16.2</v>
      </c>
      <c r="AD973" s="91"/>
      <c r="AE973" s="94">
        <f>Table3.110[[#This Row],[Gas 8h, ml]]-Table3.110[[#This Row],[Gas 0h, ml]]</f>
        <v>39</v>
      </c>
      <c r="AF973" s="94">
        <f>Table3.110[[#This Row],[Gas 24h, ml]]-Table3.110[[#This Row],[V8 Push back, ml]]</f>
        <v>52</v>
      </c>
      <c r="AG973" s="94">
        <f>Table3.110[[#This Row],[GP 8h, ml]]-(AVERAGE(AE$934,AE$935,AE$958,AE$959))*$AG$8</f>
        <v>37.00873479879084</v>
      </c>
      <c r="AH973" s="94">
        <f>Table3.110[[#This Row],[GP 8-24h, ml]]-(AVERAGE(AF$934,AF$935,AF$958,AF$959))*$AG$8</f>
        <v>49.344979731721118</v>
      </c>
      <c r="AI973" s="94">
        <f>Table3.110[[#This Row],[Net gas 8-24h, ml]]+Table3.110[[#This Row],[Net gas 8h, ml]]</f>
        <v>86.353714530511951</v>
      </c>
      <c r="AJ973" s="94">
        <f>Table3.110[[#This Row],[Net gas 8h, ml]]*Table3.110[[#This Row],[CH4 8h %]]%</f>
        <v>4.9961791978367636</v>
      </c>
      <c r="AK973" s="94">
        <f>Table3.110[[#This Row],[Net gas 8-24h, ml]]*Table3.110[[#This Row],[CH4 24h, %]]%</f>
        <v>7.993886716538821</v>
      </c>
      <c r="AL973" s="94">
        <f>Table3.110[[#This Row],[CH4 8-24h, ml]]+Table3.110[[#This Row],[CH4 8h, ml]]</f>
        <v>12.990065914375585</v>
      </c>
      <c r="AM973" s="94">
        <f>(Table3.110[[#This Row],[Net gas 24h, ml]]/Table3.110[[#This Row],[DM Incubated, mg]])*1000</f>
        <v>192.723185142424</v>
      </c>
      <c r="AN973" s="94">
        <f>'3.2 Digest'!X973</f>
        <v>59.939405130231151</v>
      </c>
      <c r="AO973" s="94">
        <f>Table3.110[[#This Row],[Digested feed, mg]]/Table3.110[[#This Row],[Net gas 24h, ml]]</f>
        <v>3.1101294369919965</v>
      </c>
      <c r="AP973" s="94">
        <f>Table3.110[[#This Row],[CH4 8h, ml]]/Table3.110[[#This Row],[Net gas 8h, ml]]%</f>
        <v>13.500000000000002</v>
      </c>
      <c r="AQ973" s="94">
        <f>Table3.110[[#This Row],[CH4 24h, ml]]/Table3.110[[#This Row],[Net gas 24h, ml]]%</f>
        <v>15.042857142857144</v>
      </c>
      <c r="AR973" s="94">
        <f>Table3.110[[#This Row],[CH4 24h, ml]]/Table3.110[[#This Row],[DM Incubated, mg]]*1000</f>
        <v>28.991073422138928</v>
      </c>
      <c r="AS973" s="94">
        <f>Table3.110[[#This Row],[CH4 24h, ml]]/Table3.110[[#This Row],[Digested feed, mg]]*1000</f>
        <v>48.367302543543154</v>
      </c>
      <c r="AT973" s="94">
        <f>Table3.110[[#This Row],[CH4 24h, ml]]/'3.2 Digest'!AA973</f>
        <v>1.2405196300541939</v>
      </c>
      <c r="AU973" s="94">
        <f>((Table3.110[[#This Row],[CH4 24h, ml]]/28.9)*16.04)/Table3.110[[#This Row],[DM Incubated, mg]]*1000</f>
        <v>16.090547324951846</v>
      </c>
      <c r="AV973" s="94">
        <f>((Table3.110[[#This Row],[CH4 24h, ml]]/28.9)*16.04)/Table3.110[[#This Row],[Digested feed, mg]]*1000</f>
        <v>26.844689716208727</v>
      </c>
      <c r="AW973" s="64"/>
    </row>
    <row r="974" spans="2:49" x14ac:dyDescent="0.35">
      <c r="B974" s="90">
        <f t="shared" si="15"/>
        <v>964</v>
      </c>
      <c r="C974" s="140">
        <v>46078</v>
      </c>
      <c r="D974" s="6" t="s">
        <v>16</v>
      </c>
      <c r="E974" s="6" t="s">
        <v>374</v>
      </c>
      <c r="F974" s="6" t="s">
        <v>219</v>
      </c>
      <c r="G974" s="6" t="s">
        <v>253</v>
      </c>
      <c r="H974" s="6" t="s">
        <v>254</v>
      </c>
      <c r="I974" s="6" t="s">
        <v>22</v>
      </c>
      <c r="J974" s="129" t="s">
        <v>23</v>
      </c>
      <c r="K974" s="129" t="s">
        <v>215</v>
      </c>
      <c r="L974" s="6" t="s">
        <v>373</v>
      </c>
      <c r="M974" s="93">
        <v>29</v>
      </c>
      <c r="N974" s="93">
        <v>70</v>
      </c>
      <c r="O974" s="6">
        <v>3</v>
      </c>
      <c r="P974" s="129">
        <v>1</v>
      </c>
      <c r="Q974" s="6">
        <v>239</v>
      </c>
      <c r="R974" s="98">
        <v>0.5</v>
      </c>
      <c r="S974" s="94">
        <f>((Table3.110[[#This Row],[Sample weight, g]]*'2.1. DM'!Q233)/100)*1000</f>
        <v>452.41191689683649</v>
      </c>
      <c r="T974" s="94">
        <f>'3.2 Digest'!W974</f>
        <v>284.4119168968366</v>
      </c>
      <c r="U974" s="153">
        <v>0.33541666666666664</v>
      </c>
      <c r="V974" s="154">
        <v>40.5</v>
      </c>
      <c r="W974" s="153">
        <v>0.67152777777777772</v>
      </c>
      <c r="X974" s="91">
        <v>90</v>
      </c>
      <c r="Y974" s="91">
        <v>13.7</v>
      </c>
      <c r="Z974" s="154">
        <v>40</v>
      </c>
      <c r="AA974" s="153">
        <v>0.35</v>
      </c>
      <c r="AB974" s="154">
        <v>91</v>
      </c>
      <c r="AC974" s="154">
        <v>16.3</v>
      </c>
      <c r="AD974" s="91"/>
      <c r="AE974" s="94">
        <f>Table3.110[[#This Row],[Gas 8h, ml]]-Table3.110[[#This Row],[Gas 0h, ml]]</f>
        <v>49.5</v>
      </c>
      <c r="AF974" s="94">
        <f>Table3.110[[#This Row],[Gas 24h, ml]]-Table3.110[[#This Row],[V8 Push back, ml]]</f>
        <v>51</v>
      </c>
      <c r="AG974" s="94">
        <f>Table3.110[[#This Row],[GP 8h, ml]]-(AVERAGE(AE$934,AE$935,AE$958,AE$959))*$AG$8</f>
        <v>47.50873479879084</v>
      </c>
      <c r="AH974" s="94">
        <f>Table3.110[[#This Row],[GP 8-24h, ml]]-(AVERAGE(AF$934,AF$935,AF$958,AF$959))*$AG$8</f>
        <v>48.344979731721118</v>
      </c>
      <c r="AI974" s="94">
        <f>Table3.110[[#This Row],[Net gas 8-24h, ml]]+Table3.110[[#This Row],[Net gas 8h, ml]]</f>
        <v>95.853714530511951</v>
      </c>
      <c r="AJ974" s="94">
        <f>Table3.110[[#This Row],[Net gas 8h, ml]]*Table3.110[[#This Row],[CH4 8h %]]%</f>
        <v>6.5086966674343447</v>
      </c>
      <c r="AK974" s="94">
        <f>Table3.110[[#This Row],[Net gas 8-24h, ml]]*Table3.110[[#This Row],[CH4 24h, %]]%</f>
        <v>7.8802316962705428</v>
      </c>
      <c r="AL974" s="94">
        <f>Table3.110[[#This Row],[CH4 8-24h, ml]]+Table3.110[[#This Row],[CH4 8h, ml]]</f>
        <v>14.388928363704888</v>
      </c>
      <c r="AM974" s="94">
        <f>(Table3.110[[#This Row],[Net gas 24h, ml]]/Table3.110[[#This Row],[DM Incubated, mg]])*1000</f>
        <v>211.87265620231105</v>
      </c>
      <c r="AN974" s="94">
        <f>'3.2 Digest'!X974</f>
        <v>62.865699658767184</v>
      </c>
      <c r="AO974" s="94">
        <f>Table3.110[[#This Row],[Digested feed, mg]]/Table3.110[[#This Row],[Net gas 24h, ml]]</f>
        <v>2.9671454913341226</v>
      </c>
      <c r="AP974" s="94">
        <f>Table3.110[[#This Row],[CH4 8h, ml]]/Table3.110[[#This Row],[Net gas 8h, ml]]%</f>
        <v>13.7</v>
      </c>
      <c r="AQ974" s="94">
        <f>Table3.110[[#This Row],[CH4 24h, ml]]/Table3.110[[#This Row],[Net gas 24h, ml]]%</f>
        <v>15.011341432287047</v>
      </c>
      <c r="AR974" s="94">
        <f>Table3.110[[#This Row],[CH4 24h, ml]]/Table3.110[[#This Row],[DM Incubated, mg]]*1000</f>
        <v>31.804927824184606</v>
      </c>
      <c r="AS974" s="94">
        <f>Table3.110[[#This Row],[CH4 24h, ml]]/Table3.110[[#This Row],[Digested feed, mg]]*1000</f>
        <v>50.59186169377044</v>
      </c>
      <c r="AT974" s="94">
        <f>Table3.110[[#This Row],[CH4 24h, ml]]/'3.2 Digest'!AA974</f>
        <v>0.60845309820222071</v>
      </c>
      <c r="AU974" s="94">
        <f>((Table3.110[[#This Row],[CH4 24h, ml]]/28.9)*16.04)/Table3.110[[#This Row],[DM Incubated, mg]]*1000</f>
        <v>17.652285200689313</v>
      </c>
      <c r="AV974" s="94">
        <f>((Table3.110[[#This Row],[CH4 24h, ml]]/28.9)*16.04)/Table3.110[[#This Row],[Digested feed, mg]]*1000</f>
        <v>28.079358531767401</v>
      </c>
      <c r="AW974" s="64"/>
    </row>
    <row r="975" spans="2:49" x14ac:dyDescent="0.35">
      <c r="B975" s="90">
        <f t="shared" si="15"/>
        <v>965</v>
      </c>
      <c r="C975" s="140">
        <v>46078</v>
      </c>
      <c r="D975" s="6" t="s">
        <v>16</v>
      </c>
      <c r="E975" s="6" t="s">
        <v>374</v>
      </c>
      <c r="F975" s="6" t="s">
        <v>219</v>
      </c>
      <c r="G975" s="6" t="s">
        <v>253</v>
      </c>
      <c r="H975" s="6" t="s">
        <v>254</v>
      </c>
      <c r="I975" s="6" t="s">
        <v>22</v>
      </c>
      <c r="J975" s="129" t="s">
        <v>23</v>
      </c>
      <c r="K975" s="129" t="s">
        <v>215</v>
      </c>
      <c r="L975" s="6" t="s">
        <v>373</v>
      </c>
      <c r="M975" s="93">
        <v>29</v>
      </c>
      <c r="N975" s="93">
        <v>70</v>
      </c>
      <c r="O975" s="6">
        <v>3</v>
      </c>
      <c r="P975" s="129">
        <v>2</v>
      </c>
      <c r="Q975" s="6">
        <v>240</v>
      </c>
      <c r="R975" s="98">
        <v>0.5</v>
      </c>
      <c r="S975" s="94">
        <f>((Table3.110[[#This Row],[Sample weight, g]]*'2.1. DM'!Q233)/100)*1000</f>
        <v>452.41191689683649</v>
      </c>
      <c r="T975" s="94">
        <f>'3.2 Digest'!W975</f>
        <v>303.41191689683649</v>
      </c>
      <c r="U975" s="117">
        <v>0.33541666666666664</v>
      </c>
      <c r="V975" s="155">
        <v>41</v>
      </c>
      <c r="W975" s="117">
        <v>0.67222222222222228</v>
      </c>
      <c r="X975" s="96">
        <v>90</v>
      </c>
      <c r="Y975" s="96">
        <v>13.6</v>
      </c>
      <c r="Z975" s="155">
        <v>40.5</v>
      </c>
      <c r="AA975" s="117">
        <v>0.35</v>
      </c>
      <c r="AB975" s="155">
        <v>91</v>
      </c>
      <c r="AC975" s="155">
        <v>16.2</v>
      </c>
      <c r="AD975" s="96"/>
      <c r="AE975" s="94">
        <f>Table3.110[[#This Row],[Gas 8h, ml]]-Table3.110[[#This Row],[Gas 0h, ml]]</f>
        <v>49</v>
      </c>
      <c r="AF975" s="94">
        <f>Table3.110[[#This Row],[Gas 24h, ml]]-Table3.110[[#This Row],[V8 Push back, ml]]</f>
        <v>50.5</v>
      </c>
      <c r="AG975" s="94">
        <f>Table3.110[[#This Row],[GP 8h, ml]]-(AVERAGE(AE$934,AE$935,AE$958,AE$959))*$AG$8</f>
        <v>47.00873479879084</v>
      </c>
      <c r="AH975" s="94">
        <f>Table3.110[[#This Row],[GP 8-24h, ml]]-(AVERAGE(AF$934,AF$935,AF$958,AF$959))*$AG$8</f>
        <v>47.844979731721118</v>
      </c>
      <c r="AI975" s="94">
        <f>Table3.110[[#This Row],[Net gas 8-24h, ml]]+Table3.110[[#This Row],[Net gas 8h, ml]]</f>
        <v>94.853714530511951</v>
      </c>
      <c r="AJ975" s="94">
        <f>Table3.110[[#This Row],[Net gas 8h, ml]]*Table3.110[[#This Row],[CH4 8h %]]%</f>
        <v>6.3931879326355547</v>
      </c>
      <c r="AK975" s="94">
        <f>Table3.110[[#This Row],[Net gas 8-24h, ml]]*Table3.110[[#This Row],[CH4 24h, %]]%</f>
        <v>7.7508867165388216</v>
      </c>
      <c r="AL975" s="94">
        <f>Table3.110[[#This Row],[CH4 8-24h, ml]]+Table3.110[[#This Row],[CH4 8h, ml]]</f>
        <v>14.144074649174376</v>
      </c>
      <c r="AM975" s="94">
        <f>(Table3.110[[#This Row],[Net gas 24h, ml]]/Table3.110[[#This Row],[DM Incubated, mg]])*1000</f>
        <v>209.66228118199956</v>
      </c>
      <c r="AN975" s="94">
        <f>'3.2 Digest'!X975</f>
        <v>67.065412197358967</v>
      </c>
      <c r="AO975" s="94">
        <f>Table3.110[[#This Row],[Digested feed, mg]]/Table3.110[[#This Row],[Net gas 24h, ml]]</f>
        <v>3.1987352145206378</v>
      </c>
      <c r="AP975" s="94">
        <f>Table3.110[[#This Row],[CH4 8h, ml]]/Table3.110[[#This Row],[Net gas 8h, ml]]%</f>
        <v>13.600000000000001</v>
      </c>
      <c r="AQ975" s="94">
        <f>Table3.110[[#This Row],[CH4 24h, ml]]/Table3.110[[#This Row],[Net gas 24h, ml]]%</f>
        <v>14.91146099990064</v>
      </c>
      <c r="AR975" s="94">
        <f>Table3.110[[#This Row],[CH4 24h, ml]]/Table3.110[[#This Row],[DM Incubated, mg]]*1000</f>
        <v>31.263709289955887</v>
      </c>
      <c r="AS975" s="94">
        <f>Table3.110[[#This Row],[CH4 24h, ml]]/Table3.110[[#This Row],[Digested feed, mg]]*1000</f>
        <v>46.616740679910485</v>
      </c>
      <c r="AT975" s="94">
        <f>Table3.110[[#This Row],[CH4 24h, ml]]/'3.2 Digest'!AA975</f>
        <v>0.43812245527329485</v>
      </c>
      <c r="AU975" s="94">
        <f>((Table3.110[[#This Row],[CH4 24h, ml]]/28.9)*16.04)/Table3.110[[#This Row],[DM Incubated, mg]]*1000</f>
        <v>17.351899550549913</v>
      </c>
      <c r="AV975" s="94">
        <f>((Table3.110[[#This Row],[CH4 24h, ml]]/28.9)*16.04)/Table3.110[[#This Row],[Digested feed, mg]]*1000</f>
        <v>25.873097595355162</v>
      </c>
      <c r="AW975" s="64"/>
    </row>
    <row r="976" spans="2:49" x14ac:dyDescent="0.35">
      <c r="B976" s="90">
        <f t="shared" si="15"/>
        <v>966</v>
      </c>
      <c r="C976" s="140">
        <v>46078</v>
      </c>
      <c r="D976" s="6" t="s">
        <v>16</v>
      </c>
      <c r="E976" s="6" t="s">
        <v>376</v>
      </c>
      <c r="F976" s="6" t="s">
        <v>219</v>
      </c>
      <c r="G976" s="6" t="s">
        <v>253</v>
      </c>
      <c r="H976" s="6" t="s">
        <v>254</v>
      </c>
      <c r="I976" s="6" t="s">
        <v>22</v>
      </c>
      <c r="J976" s="129" t="s">
        <v>23</v>
      </c>
      <c r="K976" s="129" t="s">
        <v>215</v>
      </c>
      <c r="L976" s="6" t="s">
        <v>375</v>
      </c>
      <c r="M976" s="93">
        <v>29</v>
      </c>
      <c r="N976" s="93">
        <v>70</v>
      </c>
      <c r="O976" s="6">
        <v>3</v>
      </c>
      <c r="P976" s="129">
        <v>1</v>
      </c>
      <c r="Q976" s="6">
        <v>241</v>
      </c>
      <c r="R976" s="98">
        <v>0.50009999999999999</v>
      </c>
      <c r="S976" s="94">
        <f>((Table3.110[[#This Row],[Sample weight, g]]*'2.1. DM'!Q235)/100)*1000</f>
        <v>447.55261921423607</v>
      </c>
      <c r="T976" s="94">
        <f>'3.2 Digest'!W976</f>
        <v>309.75261921423612</v>
      </c>
      <c r="U976" s="117">
        <v>0.33611111111111114</v>
      </c>
      <c r="V976" s="155">
        <v>40</v>
      </c>
      <c r="W976" s="117">
        <v>0.67222222222222228</v>
      </c>
      <c r="X976" s="96">
        <v>84</v>
      </c>
      <c r="Y976" s="96">
        <v>12.3</v>
      </c>
      <c r="Z976" s="155">
        <v>39.5</v>
      </c>
      <c r="AA976" s="117">
        <v>0.35069444444444442</v>
      </c>
      <c r="AB976" s="155">
        <v>87</v>
      </c>
      <c r="AC976" s="155">
        <v>16</v>
      </c>
      <c r="AD976" s="96"/>
      <c r="AE976" s="94"/>
      <c r="AF976" s="94"/>
      <c r="AG976" s="94"/>
      <c r="AH976" s="94"/>
      <c r="AI976" s="94"/>
      <c r="AJ976" s="94"/>
      <c r="AK976" s="94"/>
      <c r="AL976" s="94"/>
      <c r="AM976" s="94"/>
      <c r="AN976" s="94"/>
      <c r="AO976" s="94"/>
      <c r="AP976" s="94"/>
      <c r="AQ976" s="94"/>
      <c r="AR976" s="94"/>
      <c r="AS976" s="94"/>
      <c r="AT976" s="94"/>
      <c r="AU976" s="94"/>
      <c r="AV976" s="94"/>
      <c r="AW976" s="64"/>
    </row>
    <row r="977" spans="2:49" x14ac:dyDescent="0.35">
      <c r="B977" s="90">
        <f t="shared" si="15"/>
        <v>967</v>
      </c>
      <c r="C977" s="140">
        <v>46078</v>
      </c>
      <c r="D977" s="6" t="s">
        <v>16</v>
      </c>
      <c r="E977" s="6" t="s">
        <v>376</v>
      </c>
      <c r="F977" s="6" t="s">
        <v>219</v>
      </c>
      <c r="G977" s="6" t="s">
        <v>253</v>
      </c>
      <c r="H977" s="6" t="s">
        <v>254</v>
      </c>
      <c r="I977" s="6" t="s">
        <v>22</v>
      </c>
      <c r="J977" s="129" t="s">
        <v>23</v>
      </c>
      <c r="K977" s="129" t="s">
        <v>215</v>
      </c>
      <c r="L977" s="6" t="s">
        <v>375</v>
      </c>
      <c r="M977" s="93">
        <v>29</v>
      </c>
      <c r="N977" s="93">
        <v>70</v>
      </c>
      <c r="O977" s="6">
        <v>3</v>
      </c>
      <c r="P977" s="129">
        <v>2</v>
      </c>
      <c r="Q977" s="6">
        <v>242</v>
      </c>
      <c r="R977" s="98">
        <v>0.50029999999999997</v>
      </c>
      <c r="S977" s="94">
        <f>((Table3.110[[#This Row],[Sample weight, g]]*'2.1. DM'!Q235)/100)*1000</f>
        <v>447.73160446487151</v>
      </c>
      <c r="T977" s="94">
        <f>'3.2 Digest'!W977</f>
        <v>285.33160446487153</v>
      </c>
      <c r="U977" s="153">
        <v>0.33611111111111114</v>
      </c>
      <c r="V977" s="155">
        <v>40.5</v>
      </c>
      <c r="W977" s="153">
        <v>0.67291666666666672</v>
      </c>
      <c r="X977" s="91">
        <v>84.5</v>
      </c>
      <c r="Y977" s="91">
        <v>11.9</v>
      </c>
      <c r="Z977" s="154">
        <v>40.5</v>
      </c>
      <c r="AA977" s="153">
        <v>0.35069444444444442</v>
      </c>
      <c r="AB977" s="154">
        <v>88</v>
      </c>
      <c r="AC977" s="154">
        <v>15.9</v>
      </c>
      <c r="AD977" s="91"/>
      <c r="AE977" s="94">
        <f>Table3.110[[#This Row],[Gas 8h, ml]]-Table3.110[[#This Row],[Gas 0h, ml]]</f>
        <v>44</v>
      </c>
      <c r="AF977" s="94">
        <f>Table3.110[[#This Row],[Gas 24h, ml]]-Table3.110[[#This Row],[V8 Push back, ml]]</f>
        <v>47.5</v>
      </c>
      <c r="AG977" s="94">
        <f>Table3.110[[#This Row],[GP 8h, ml]]-(AVERAGE(AE$934,AE$935,AE$958,AE$959))*$AG$8</f>
        <v>42.00873479879084</v>
      </c>
      <c r="AH977" s="94">
        <f>Table3.110[[#This Row],[GP 8-24h, ml]]-(AVERAGE(AF$934,AF$935,AF$958,AF$959))*$AG$8</f>
        <v>44.844979731721118</v>
      </c>
      <c r="AI977" s="94">
        <f>Table3.110[[#This Row],[Net gas 8-24h, ml]]+Table3.110[[#This Row],[Net gas 8h, ml]]</f>
        <v>86.853714530511951</v>
      </c>
      <c r="AJ977" s="94">
        <f>Table3.110[[#This Row],[Net gas 8h, ml]]*Table3.110[[#This Row],[CH4 8h %]]%</f>
        <v>4.9990394410561105</v>
      </c>
      <c r="AK977" s="94">
        <f>Table3.110[[#This Row],[Net gas 8-24h, ml]]*Table3.110[[#This Row],[CH4 24h, %]]%</f>
        <v>7.130351777343658</v>
      </c>
      <c r="AL977" s="94">
        <f>Table3.110[[#This Row],[CH4 8-24h, ml]]+Table3.110[[#This Row],[CH4 8h, ml]]</f>
        <v>12.129391218399768</v>
      </c>
      <c r="AM977" s="94">
        <f>(Table3.110[[#This Row],[Net gas 24h, ml]]/Table3.110[[#This Row],[DM Incubated, mg]])*1000</f>
        <v>193.98611503943184</v>
      </c>
      <c r="AN977" s="94">
        <f>'3.2 Digest'!X977</f>
        <v>63.728269708791196</v>
      </c>
      <c r="AO977" s="94">
        <f>Table3.110[[#This Row],[Digested feed, mg]]/Table3.110[[#This Row],[Net gas 24h, ml]]</f>
        <v>3.2851974841517428</v>
      </c>
      <c r="AP977" s="94">
        <f>Table3.110[[#This Row],[CH4 8h, ml]]/Table3.110[[#This Row],[Net gas 8h, ml]]%</f>
        <v>11.9</v>
      </c>
      <c r="AQ977" s="94">
        <f>Table3.110[[#This Row],[CH4 24h, ml]]/Table3.110[[#This Row],[Net gas 24h, ml]]%</f>
        <v>13.965310849357719</v>
      </c>
      <c r="AR977" s="94">
        <f>Table3.110[[#This Row],[CH4 24h, ml]]/Table3.110[[#This Row],[DM Incubated, mg]]*1000</f>
        <v>27.09076396984932</v>
      </c>
      <c r="AS977" s="94">
        <f>Table3.110[[#This Row],[CH4 24h, ml]]/Table3.110[[#This Row],[Digested feed, mg]]*1000</f>
        <v>42.509806234566881</v>
      </c>
      <c r="AT977" s="94">
        <f>Table3.110[[#This Row],[CH4 24h, ml]]/'3.2 Digest'!AA977</f>
        <v>0.80820932806312051</v>
      </c>
      <c r="AU977" s="94">
        <f>((Table3.110[[#This Row],[CH4 24h, ml]]/28.9)*16.04)/Table3.110[[#This Row],[DM Incubated, mg]]*1000</f>
        <v>15.035842701604953</v>
      </c>
      <c r="AV977" s="94">
        <f>((Table3.110[[#This Row],[CH4 24h, ml]]/28.9)*16.04)/Table3.110[[#This Row],[Digested feed, mg]]*1000</f>
        <v>23.593677923960303</v>
      </c>
      <c r="AW977" s="64"/>
    </row>
    <row r="978" spans="2:49" x14ac:dyDescent="0.35">
      <c r="B978" s="90">
        <f t="shared" si="15"/>
        <v>968</v>
      </c>
      <c r="C978" s="140">
        <v>46078</v>
      </c>
      <c r="D978" s="6" t="s">
        <v>16</v>
      </c>
      <c r="E978" s="6" t="s">
        <v>378</v>
      </c>
      <c r="F978" s="6" t="s">
        <v>212</v>
      </c>
      <c r="G978" s="6" t="s">
        <v>379</v>
      </c>
      <c r="H978" s="6" t="s">
        <v>380</v>
      </c>
      <c r="I978" s="6" t="s">
        <v>22</v>
      </c>
      <c r="J978" s="129" t="s">
        <v>23</v>
      </c>
      <c r="K978" s="129" t="s">
        <v>215</v>
      </c>
      <c r="L978" s="6" t="s">
        <v>377</v>
      </c>
      <c r="M978" s="93">
        <v>29</v>
      </c>
      <c r="N978" s="93">
        <v>70</v>
      </c>
      <c r="O978" s="6">
        <v>3</v>
      </c>
      <c r="P978" s="129">
        <v>1</v>
      </c>
      <c r="Q978" s="6">
        <v>243</v>
      </c>
      <c r="R978" s="98">
        <v>0.50049999999999994</v>
      </c>
      <c r="S978" s="94">
        <f>((Table3.110[[#This Row],[Sample weight, g]]*'2.1. DM'!Q237)/100)*1000</f>
        <v>469.43140621326057</v>
      </c>
      <c r="T978" s="94">
        <f>'3.2 Digest'!W978</f>
        <v>82.631406213260561</v>
      </c>
      <c r="U978" s="153">
        <v>0.33680555555555558</v>
      </c>
      <c r="V978" s="155">
        <v>41.5</v>
      </c>
      <c r="W978" s="153">
        <v>0.67361111111111116</v>
      </c>
      <c r="X978" s="91">
        <v>65.5</v>
      </c>
      <c r="Y978" s="91">
        <v>11.7</v>
      </c>
      <c r="Z978" s="154">
        <v>40.5</v>
      </c>
      <c r="AA978" s="153">
        <v>0.35138888888888886</v>
      </c>
      <c r="AB978" s="154">
        <v>52</v>
      </c>
      <c r="AC978" s="154">
        <v>15</v>
      </c>
      <c r="AD978" s="91"/>
      <c r="AE978" s="94"/>
      <c r="AF978" s="94"/>
      <c r="AG978" s="94"/>
      <c r="AH978" s="94"/>
      <c r="AI978" s="94"/>
      <c r="AJ978" s="94"/>
      <c r="AK978" s="94"/>
      <c r="AL978" s="94"/>
      <c r="AM978" s="94"/>
      <c r="AN978" s="94"/>
      <c r="AO978" s="94"/>
      <c r="AP978" s="94"/>
      <c r="AQ978" s="94"/>
      <c r="AR978" s="94"/>
      <c r="AS978" s="94"/>
      <c r="AT978" s="94"/>
      <c r="AU978" s="94"/>
      <c r="AV978" s="94"/>
      <c r="AW978" s="64" t="s">
        <v>629</v>
      </c>
    </row>
    <row r="979" spans="2:49" x14ac:dyDescent="0.35">
      <c r="B979" s="90">
        <f t="shared" si="15"/>
        <v>969</v>
      </c>
      <c r="C979" s="140">
        <v>46078</v>
      </c>
      <c r="D979" s="6" t="s">
        <v>16</v>
      </c>
      <c r="E979" s="6" t="s">
        <v>378</v>
      </c>
      <c r="F979" s="6" t="s">
        <v>212</v>
      </c>
      <c r="G979" s="6" t="s">
        <v>379</v>
      </c>
      <c r="H979" s="6" t="s">
        <v>380</v>
      </c>
      <c r="I979" s="6" t="s">
        <v>22</v>
      </c>
      <c r="J979" s="129" t="s">
        <v>23</v>
      </c>
      <c r="K979" s="129" t="s">
        <v>215</v>
      </c>
      <c r="L979" s="6" t="s">
        <v>377</v>
      </c>
      <c r="M979" s="93">
        <v>29</v>
      </c>
      <c r="N979" s="93">
        <v>70</v>
      </c>
      <c r="O979" s="6">
        <v>3</v>
      </c>
      <c r="P979" s="129">
        <v>2</v>
      </c>
      <c r="Q979" s="6">
        <v>244</v>
      </c>
      <c r="R979" s="98">
        <v>0.50049999999999994</v>
      </c>
      <c r="S979" s="94">
        <f>((Table3.110[[#This Row],[Sample weight, g]]*'2.1. DM'!Q237)/100)*1000</f>
        <v>469.43140621326057</v>
      </c>
      <c r="T979" s="94">
        <f>'3.2 Digest'!W979</f>
        <v>57.631406213260505</v>
      </c>
      <c r="U979" s="117">
        <v>0.33680555555555558</v>
      </c>
      <c r="V979" s="155">
        <v>41.5</v>
      </c>
      <c r="W979" s="117">
        <v>0.67361111111111116</v>
      </c>
      <c r="X979" s="96">
        <v>64.5</v>
      </c>
      <c r="Y979" s="96">
        <v>11.8</v>
      </c>
      <c r="Z979" s="155">
        <v>40</v>
      </c>
      <c r="AA979" s="117">
        <v>0.35208333333333336</v>
      </c>
      <c r="AB979" s="155">
        <v>52</v>
      </c>
      <c r="AC979" s="155">
        <v>14.8</v>
      </c>
      <c r="AD979" s="96"/>
      <c r="AE979" s="94"/>
      <c r="AF979" s="94"/>
      <c r="AG979" s="94"/>
      <c r="AH979" s="94"/>
      <c r="AI979" s="94"/>
      <c r="AJ979" s="94"/>
      <c r="AK979" s="94"/>
      <c r="AL979" s="94"/>
      <c r="AM979" s="94"/>
      <c r="AN979" s="94"/>
      <c r="AO979" s="94"/>
      <c r="AP979" s="94"/>
      <c r="AQ979" s="94"/>
      <c r="AR979" s="94"/>
      <c r="AS979" s="94"/>
      <c r="AT979" s="94"/>
      <c r="AU979" s="94"/>
      <c r="AV979" s="94"/>
      <c r="AW979" s="64" t="s">
        <v>629</v>
      </c>
    </row>
    <row r="980" spans="2:49" x14ac:dyDescent="0.35">
      <c r="B980" s="90">
        <f t="shared" si="15"/>
        <v>970</v>
      </c>
      <c r="C980" s="140">
        <v>46078</v>
      </c>
      <c r="D980" s="8" t="s">
        <v>120</v>
      </c>
      <c r="E980" s="6" t="s">
        <v>122</v>
      </c>
      <c r="F980" s="6" t="s">
        <v>123</v>
      </c>
      <c r="G980" s="6" t="s">
        <v>545</v>
      </c>
      <c r="H980" s="6" t="s">
        <v>125</v>
      </c>
      <c r="I980" s="6" t="s">
        <v>108</v>
      </c>
      <c r="J980" s="129" t="s">
        <v>109</v>
      </c>
      <c r="K980" s="129" t="s">
        <v>110</v>
      </c>
      <c r="L980" s="6" t="s">
        <v>377</v>
      </c>
      <c r="M980" s="93">
        <v>29</v>
      </c>
      <c r="N980" s="93">
        <v>70</v>
      </c>
      <c r="O980" s="6">
        <v>3</v>
      </c>
      <c r="P980" s="129">
        <v>1</v>
      </c>
      <c r="Q980" s="6">
        <v>245</v>
      </c>
      <c r="R980" s="98">
        <v>0.50049999999999994</v>
      </c>
      <c r="S980" s="94">
        <f>((Table3.110[[#This Row],[Sample weight, g]]*'2.1. DM'!Q239)/100)*1000</f>
        <v>468.21774999999991</v>
      </c>
      <c r="T980" s="94">
        <f>'3.2 Digest'!W980</f>
        <v>155.51774999999992</v>
      </c>
      <c r="U980" s="117">
        <v>0.33680555555555558</v>
      </c>
      <c r="V980" s="155">
        <v>40.5</v>
      </c>
      <c r="W980" s="117">
        <v>0.6743055555555556</v>
      </c>
      <c r="X980" s="96">
        <v>64.5</v>
      </c>
      <c r="Y980" s="96">
        <v>14.9</v>
      </c>
      <c r="Z980" s="155">
        <v>39.5</v>
      </c>
      <c r="AA980" s="117">
        <v>0.3527777777777778</v>
      </c>
      <c r="AB980" s="155">
        <v>80.5</v>
      </c>
      <c r="AC980" s="155">
        <v>16.5</v>
      </c>
      <c r="AD980" s="96"/>
      <c r="AE980" s="94"/>
      <c r="AF980" s="94"/>
      <c r="AG980" s="94"/>
      <c r="AH980" s="94"/>
      <c r="AI980" s="94"/>
      <c r="AJ980" s="94"/>
      <c r="AK980" s="94"/>
      <c r="AL980" s="94"/>
      <c r="AM980" s="94"/>
      <c r="AN980" s="94"/>
      <c r="AO980" s="94"/>
      <c r="AP980" s="94"/>
      <c r="AQ980" s="94"/>
      <c r="AR980" s="94"/>
      <c r="AS980" s="94"/>
      <c r="AT980" s="94"/>
      <c r="AU980" s="94"/>
      <c r="AV980" s="94"/>
      <c r="AW980" s="64" t="s">
        <v>629</v>
      </c>
    </row>
    <row r="981" spans="2:49" x14ac:dyDescent="0.35">
      <c r="B981" s="90">
        <f t="shared" si="15"/>
        <v>971</v>
      </c>
      <c r="C981" s="140">
        <v>46078</v>
      </c>
      <c r="D981" s="8" t="s">
        <v>120</v>
      </c>
      <c r="E981" s="6" t="s">
        <v>122</v>
      </c>
      <c r="F981" s="6" t="s">
        <v>123</v>
      </c>
      <c r="G981" s="6" t="s">
        <v>545</v>
      </c>
      <c r="H981" s="6" t="s">
        <v>125</v>
      </c>
      <c r="I981" s="6" t="s">
        <v>108</v>
      </c>
      <c r="J981" s="129" t="s">
        <v>109</v>
      </c>
      <c r="K981" s="129" t="s">
        <v>110</v>
      </c>
      <c r="L981" s="6" t="s">
        <v>121</v>
      </c>
      <c r="M981" s="93">
        <v>29</v>
      </c>
      <c r="N981" s="93">
        <v>70</v>
      </c>
      <c r="O981" s="6">
        <v>3</v>
      </c>
      <c r="P981" s="129">
        <v>2</v>
      </c>
      <c r="Q981" s="6">
        <v>246</v>
      </c>
      <c r="R981" s="98">
        <v>0.50039999999999996</v>
      </c>
      <c r="S981" s="94">
        <f>((Table3.110[[#This Row],[Sample weight, g]]*'2.1. DM'!Q239)/100)*1000</f>
        <v>468.12419999999992</v>
      </c>
      <c r="T981" s="94">
        <f>'3.2 Digest'!W981</f>
        <v>118.12419999999992</v>
      </c>
      <c r="U981" s="153">
        <v>0.33888888888888891</v>
      </c>
      <c r="V981" s="155">
        <v>40.5</v>
      </c>
      <c r="W981" s="153">
        <v>0.6743055555555556</v>
      </c>
      <c r="X981" s="91">
        <v>67.5</v>
      </c>
      <c r="Y981" s="91">
        <v>12.6</v>
      </c>
      <c r="Z981" s="154">
        <v>39.5</v>
      </c>
      <c r="AA981" s="153">
        <v>0.3527777777777778</v>
      </c>
      <c r="AB981" s="154">
        <v>80</v>
      </c>
      <c r="AC981" s="154">
        <v>16.7</v>
      </c>
      <c r="AD981" s="91"/>
      <c r="AE981" s="94">
        <f>Table3.110[[#This Row],[Gas 8h, ml]]-Table3.110[[#This Row],[Gas 0h, ml]]</f>
        <v>27</v>
      </c>
      <c r="AF981" s="94">
        <f>Table3.110[[#This Row],[Gas 24h, ml]]-Table3.110[[#This Row],[V8 Push back, ml]]</f>
        <v>40.5</v>
      </c>
      <c r="AG981" s="94">
        <f>Table3.110[[#This Row],[GP 8h, ml]]-(AVERAGE(AE$934,AE$935,AE$958,AE$959))*$AG$8</f>
        <v>25.008734798790837</v>
      </c>
      <c r="AH981" s="94">
        <f>Table3.110[[#This Row],[GP 8-24h, ml]]-(AVERAGE(AF$934,AF$935,AF$958,AF$959))*$AG$8</f>
        <v>37.844979731721118</v>
      </c>
      <c r="AI981" s="94">
        <f>Table3.110[[#This Row],[Net gas 8-24h, ml]]+Table3.110[[#This Row],[Net gas 8h, ml]]</f>
        <v>62.853714530511951</v>
      </c>
      <c r="AJ981" s="94">
        <f>Table3.110[[#This Row],[Net gas 8h, ml]]*Table3.110[[#This Row],[CH4 8h %]]%</f>
        <v>3.1511005846476454</v>
      </c>
      <c r="AK981" s="94">
        <f>Table3.110[[#This Row],[Net gas 8-24h, ml]]*Table3.110[[#This Row],[CH4 24h, %]]%</f>
        <v>6.3201116151974261</v>
      </c>
      <c r="AL981" s="94">
        <f>Table3.110[[#This Row],[CH4 8-24h, ml]]+Table3.110[[#This Row],[CH4 8h, ml]]</f>
        <v>9.4712121998450716</v>
      </c>
      <c r="AM981" s="94">
        <f>(Table3.110[[#This Row],[Net gas 24h, ml]]/Table3.110[[#This Row],[DM Incubated, mg]])*1000</f>
        <v>134.26717638291711</v>
      </c>
      <c r="AN981" s="94">
        <f>'3.2 Digest'!X981</f>
        <v>25.233517087986467</v>
      </c>
      <c r="AO981" s="94">
        <f>Table3.110[[#This Row],[Digested feed, mg]]/Table3.110[[#This Row],[Net gas 24h, ml]]</f>
        <v>1.8793511391066196</v>
      </c>
      <c r="AP981" s="94">
        <f>Table3.110[[#This Row],[CH4 8h, ml]]/Table3.110[[#This Row],[Net gas 8h, ml]]%</f>
        <v>12.6</v>
      </c>
      <c r="AQ981" s="94">
        <f>Table3.110[[#This Row],[CH4 24h, ml]]/Table3.110[[#This Row],[Net gas 24h, ml]]%</f>
        <v>15.068659458857169</v>
      </c>
      <c r="AR981" s="94">
        <f>Table3.110[[#This Row],[CH4 24h, ml]]/Table3.110[[#This Row],[DM Incubated, mg]]*1000</f>
        <v>20.232263574164875</v>
      </c>
      <c r="AS981" s="94">
        <f>Table3.110[[#This Row],[CH4 24h, ml]]/Table3.110[[#This Row],[Digested feed, mg]]*1000</f>
        <v>80.180117197365817</v>
      </c>
      <c r="AT981" s="94">
        <f>Table3.110[[#This Row],[CH4 24h, ml]]/'3.2 Digest'!AA981</f>
        <v>5.4049494745996816</v>
      </c>
      <c r="AU981" s="94">
        <f>((Table3.110[[#This Row],[CH4 24h, ml]]/28.9)*16.04)/Table3.110[[#This Row],[DM Incubated, mg]]*1000</f>
        <v>11.229256322823689</v>
      </c>
      <c r="AV981" s="94">
        <f>((Table3.110[[#This Row],[CH4 24h, ml]]/28.9)*16.04)/Table3.110[[#This Row],[Digested feed, mg]]*1000</f>
        <v>44.501352243797498</v>
      </c>
      <c r="AW981" s="64"/>
    </row>
    <row r="982" spans="2:49" x14ac:dyDescent="0.35">
      <c r="B982" s="90">
        <f t="shared" si="15"/>
        <v>972</v>
      </c>
      <c r="C982" s="139">
        <v>46064</v>
      </c>
      <c r="D982" s="92"/>
      <c r="E982" s="320" t="s">
        <v>537</v>
      </c>
      <c r="F982" s="242" t="s">
        <v>538</v>
      </c>
      <c r="G982" s="242"/>
      <c r="H982" s="320" t="s">
        <v>537</v>
      </c>
      <c r="I982" s="242"/>
      <c r="J982" s="243"/>
      <c r="K982" s="243"/>
      <c r="L982" s="320" t="s">
        <v>539</v>
      </c>
      <c r="M982" s="256">
        <v>30</v>
      </c>
      <c r="N982" s="256">
        <v>64</v>
      </c>
      <c r="O982" s="256">
        <v>1</v>
      </c>
      <c r="P982" s="257">
        <v>1</v>
      </c>
      <c r="Q982" s="6">
        <v>106</v>
      </c>
      <c r="R982" s="98"/>
      <c r="S982" s="94"/>
      <c r="T982" s="94"/>
      <c r="U982" s="153">
        <v>0.32569444444444445</v>
      </c>
      <c r="V982" s="154">
        <v>39.5</v>
      </c>
      <c r="W982" s="153">
        <v>0.65833333333333333</v>
      </c>
      <c r="X982" s="95">
        <v>43.5</v>
      </c>
      <c r="Y982" s="95"/>
      <c r="Z982" s="154">
        <v>40.5</v>
      </c>
      <c r="AA982" s="153">
        <v>0.33055555555555555</v>
      </c>
      <c r="AB982" s="154">
        <v>45</v>
      </c>
      <c r="AC982" s="154"/>
      <c r="AD982" s="91"/>
      <c r="AE982" s="94">
        <f>Table3.110[[#This Row],[Gas 8h, ml]]-Table3.110[[#This Row],[Gas 0h, ml]]</f>
        <v>4</v>
      </c>
      <c r="AF982" s="94">
        <f>Table3.110[[#This Row],[Gas 24h, ml]]-Table3.110[[#This Row],[V8 Push back, ml]]</f>
        <v>4.5</v>
      </c>
      <c r="AG982" s="94"/>
      <c r="AH982" s="94"/>
      <c r="AI982" s="94"/>
      <c r="AJ982" s="94"/>
      <c r="AK982" s="94"/>
      <c r="AL982" s="94"/>
      <c r="AM982" s="94"/>
      <c r="AN982" s="94"/>
      <c r="AO982" s="94"/>
      <c r="AP982" s="94"/>
      <c r="AQ982" s="94"/>
      <c r="AR982" s="94"/>
      <c r="AS982" s="94"/>
      <c r="AT982" s="94"/>
      <c r="AU982" s="94"/>
      <c r="AV982" s="94"/>
      <c r="AW982" s="64"/>
    </row>
    <row r="983" spans="2:49" x14ac:dyDescent="0.35">
      <c r="B983" s="90">
        <f t="shared" si="15"/>
        <v>973</v>
      </c>
      <c r="C983" s="140">
        <v>46064</v>
      </c>
      <c r="D983" s="92"/>
      <c r="E983" s="320" t="s">
        <v>537</v>
      </c>
      <c r="F983" s="242" t="s">
        <v>538</v>
      </c>
      <c r="G983" s="242"/>
      <c r="H983" s="320" t="s">
        <v>537</v>
      </c>
      <c r="I983" s="242"/>
      <c r="J983" s="243"/>
      <c r="K983" s="243"/>
      <c r="L983" s="320" t="s">
        <v>539</v>
      </c>
      <c r="M983" s="256">
        <v>30</v>
      </c>
      <c r="N983" s="256">
        <v>64</v>
      </c>
      <c r="O983" s="256">
        <v>1</v>
      </c>
      <c r="P983" s="257">
        <v>2</v>
      </c>
      <c r="Q983" s="129">
        <v>107</v>
      </c>
      <c r="R983" s="98"/>
      <c r="S983" s="94"/>
      <c r="T983" s="94"/>
      <c r="U983" s="117">
        <v>0.32569444444444445</v>
      </c>
      <c r="V983" s="155">
        <v>40</v>
      </c>
      <c r="W983" s="117">
        <v>0.65902777777777777</v>
      </c>
      <c r="X983" s="97">
        <v>43.5</v>
      </c>
      <c r="Y983" s="97"/>
      <c r="Z983" s="155">
        <v>40.5</v>
      </c>
      <c r="AA983" s="117">
        <v>0.33124999999999999</v>
      </c>
      <c r="AB983" s="155">
        <v>45</v>
      </c>
      <c r="AC983" s="155"/>
      <c r="AD983" s="96"/>
      <c r="AE983" s="94">
        <f>Table3.110[[#This Row],[Gas 8h, ml]]-Table3.110[[#This Row],[Gas 0h, ml]]</f>
        <v>3.5</v>
      </c>
      <c r="AF983" s="94">
        <f>Table3.110[[#This Row],[Gas 24h, ml]]-Table3.110[[#This Row],[V8 Push back, ml]]</f>
        <v>4.5</v>
      </c>
      <c r="AG983" s="94"/>
      <c r="AH983" s="94"/>
      <c r="AI983" s="94"/>
      <c r="AJ983" s="94"/>
      <c r="AK983" s="94"/>
      <c r="AL983" s="94"/>
      <c r="AM983" s="94"/>
      <c r="AN983" s="94"/>
      <c r="AO983" s="94"/>
      <c r="AP983" s="94"/>
      <c r="AQ983" s="94"/>
      <c r="AR983" s="94"/>
      <c r="AS983" s="94"/>
      <c r="AT983" s="94"/>
      <c r="AU983" s="94"/>
      <c r="AV983" s="94"/>
      <c r="AW983" s="64"/>
    </row>
    <row r="984" spans="2:49" x14ac:dyDescent="0.35">
      <c r="B984" s="90">
        <f t="shared" si="15"/>
        <v>974</v>
      </c>
      <c r="C984" s="139">
        <v>46064</v>
      </c>
      <c r="D984" s="6" t="s">
        <v>16</v>
      </c>
      <c r="E984" s="6" t="s">
        <v>385</v>
      </c>
      <c r="F984" s="242" t="s">
        <v>226</v>
      </c>
      <c r="G984" s="242" t="s">
        <v>231</v>
      </c>
      <c r="H984" s="6" t="s">
        <v>232</v>
      </c>
      <c r="I984" s="133" t="s">
        <v>22</v>
      </c>
      <c r="J984" s="135" t="s">
        <v>23</v>
      </c>
      <c r="K984" s="135" t="s">
        <v>215</v>
      </c>
      <c r="L984" s="6" t="s">
        <v>384</v>
      </c>
      <c r="M984" s="256">
        <v>30</v>
      </c>
      <c r="N984" s="256">
        <v>64</v>
      </c>
      <c r="O984" s="256">
        <v>1</v>
      </c>
      <c r="P984" s="257">
        <v>1</v>
      </c>
      <c r="Q984" s="129">
        <v>108</v>
      </c>
      <c r="R984" s="98">
        <v>0.50009999999999999</v>
      </c>
      <c r="S984" s="94">
        <f>((Table3.110[[#This Row],[Sample weight, g]]*'2.1. DM'!Q241)/100)*1000</f>
        <v>463.10726564061611</v>
      </c>
      <c r="T984" s="94">
        <f>'3.2 Digest'!W984</f>
        <v>213.00726564061611</v>
      </c>
      <c r="U984" s="153">
        <v>0.32569444444444445</v>
      </c>
      <c r="V984" s="154">
        <v>41</v>
      </c>
      <c r="W984" s="153">
        <v>0.65972222222222221</v>
      </c>
      <c r="X984" s="95">
        <v>80.5</v>
      </c>
      <c r="Y984" s="95">
        <v>12.2</v>
      </c>
      <c r="Z984" s="154">
        <v>42</v>
      </c>
      <c r="AA984" s="153">
        <v>0.33194444444444443</v>
      </c>
      <c r="AB984" s="154">
        <v>80</v>
      </c>
      <c r="AC984" s="154">
        <v>14.1</v>
      </c>
      <c r="AD984" s="91"/>
      <c r="AE984" s="94">
        <f>Table3.110[[#This Row],[Gas 8h, ml]]-Table3.110[[#This Row],[Gas 0h, ml]]</f>
        <v>39.5</v>
      </c>
      <c r="AF984" s="94">
        <f>Table3.110[[#This Row],[Gas 24h, ml]]-Table3.110[[#This Row],[V8 Push back, ml]]</f>
        <v>38</v>
      </c>
      <c r="AG984" s="94">
        <f>Table3.110[[#This Row],[GP 8h, ml]]-(AVERAGE(AE$982,AE$983,AE$1032,AE$1033,AE$1085,AE$1086))*$AG$8</f>
        <v>36.771229168713369</v>
      </c>
      <c r="AH984" s="94">
        <f>Table3.110[[#This Row],[GP 8-24h, ml]]-(AVERAGE(AF$982,AF$983,AF$1032,AF$1033,AF$1085,AF$1086))*$AG$8</f>
        <v>34.349347131116531</v>
      </c>
      <c r="AI984" s="94">
        <f>Table3.110[[#This Row],[Net gas 8-24h, ml]]+Table3.110[[#This Row],[Net gas 8h, ml]]</f>
        <v>71.120576299829906</v>
      </c>
      <c r="AJ984" s="94">
        <f>Table3.110[[#This Row],[Net gas 8h, ml]]*Table3.110[[#This Row],[CH4 8h %]]%</f>
        <v>4.4860899585830305</v>
      </c>
      <c r="AK984" s="94">
        <f>Table3.110[[#This Row],[Net gas 8-24h, ml]]*Table3.110[[#This Row],[CH4 24h, %]]%</f>
        <v>4.84325794548743</v>
      </c>
      <c r="AL984" s="94">
        <f>Table3.110[[#This Row],[CH4 8-24h, ml]]+Table3.110[[#This Row],[CH4 8h, ml]]</f>
        <v>9.3293479040704597</v>
      </c>
      <c r="AM984" s="94">
        <f>(Table3.110[[#This Row],[Net gas 24h, ml]]/Table3.110[[#This Row],[DM Incubated, mg]])*1000</f>
        <v>153.57257718997096</v>
      </c>
      <c r="AN984" s="94">
        <f>'3.2 Digest'!X984</f>
        <v>45.995232950181261</v>
      </c>
      <c r="AO984" s="94">
        <f>Table3.110[[#This Row],[Digested feed, mg]]/Table3.110[[#This Row],[Net gas 24h, ml]]</f>
        <v>2.9950160238103352</v>
      </c>
      <c r="AP984" s="94">
        <f>Table3.110[[#This Row],[CH4 8h, ml]]/Table3.110[[#This Row],[Net gas 8h, ml]]%</f>
        <v>12.199999999999998</v>
      </c>
      <c r="AQ984" s="94">
        <f>Table3.110[[#This Row],[CH4 24h, ml]]/Table3.110[[#This Row],[Net gas 24h, ml]]%</f>
        <v>13.117649475645168</v>
      </c>
      <c r="AR984" s="94">
        <f>Table3.110[[#This Row],[CH4 24h, ml]]/Table3.110[[#This Row],[DM Incubated, mg]]*1000</f>
        <v>20.145112366494999</v>
      </c>
      <c r="AS984" s="94">
        <f>Table3.110[[#This Row],[CH4 24h, ml]]/Table3.110[[#This Row],[Digested feed, mg]]*1000</f>
        <v>43.798261416166199</v>
      </c>
      <c r="AT984" s="94">
        <f>Table3.110[[#This Row],[CH4 24h, ml]]/'3.2 Digest'!AA984</f>
        <v>3.5542048869893939</v>
      </c>
      <c r="AU984" s="94">
        <f>((Table3.110[[#This Row],[CH4 24h, ml]]/28.9)*16.04)/Table3.110[[#This Row],[DM Incubated, mg]]*1000</f>
        <v>11.180885894760545</v>
      </c>
      <c r="AV984" s="94">
        <f>((Table3.110[[#This Row],[CH4 24h, ml]]/28.9)*16.04)/Table3.110[[#This Row],[Digested feed, mg]]*1000</f>
        <v>24.308792841360059</v>
      </c>
      <c r="AW984" s="64"/>
    </row>
    <row r="985" spans="2:49" x14ac:dyDescent="0.35">
      <c r="B985" s="90">
        <f t="shared" si="15"/>
        <v>975</v>
      </c>
      <c r="C985" s="140">
        <v>46064</v>
      </c>
      <c r="D985" s="6" t="s">
        <v>16</v>
      </c>
      <c r="E985" s="6" t="s">
        <v>385</v>
      </c>
      <c r="F985" s="242" t="s">
        <v>226</v>
      </c>
      <c r="G985" s="242" t="s">
        <v>231</v>
      </c>
      <c r="H985" s="6" t="s">
        <v>232</v>
      </c>
      <c r="I985" s="133" t="s">
        <v>22</v>
      </c>
      <c r="J985" s="135" t="s">
        <v>23</v>
      </c>
      <c r="K985" s="135" t="s">
        <v>215</v>
      </c>
      <c r="L985" s="6" t="s">
        <v>384</v>
      </c>
      <c r="M985" s="256">
        <v>30</v>
      </c>
      <c r="N985" s="256">
        <v>64</v>
      </c>
      <c r="O985" s="256">
        <v>1</v>
      </c>
      <c r="P985" s="257">
        <v>2</v>
      </c>
      <c r="Q985" s="6">
        <v>109</v>
      </c>
      <c r="R985" s="98">
        <v>0.50019999999999998</v>
      </c>
      <c r="S985" s="94">
        <f>((Table3.110[[#This Row],[Sample weight, g]]*'2.1. DM'!Q241)/100)*1000</f>
        <v>463.19986857315774</v>
      </c>
      <c r="T985" s="94">
        <f>'3.2 Digest'!W985</f>
        <v>212.6998685731578</v>
      </c>
      <c r="U985" s="117">
        <v>0.3263888888888889</v>
      </c>
      <c r="V985" s="155">
        <v>41</v>
      </c>
      <c r="W985" s="117">
        <v>0.66041666666666665</v>
      </c>
      <c r="X985" s="97">
        <v>80</v>
      </c>
      <c r="Y985" s="97">
        <v>13.4</v>
      </c>
      <c r="Z985" s="155">
        <v>42</v>
      </c>
      <c r="AA985" s="117">
        <v>0.33194444444444443</v>
      </c>
      <c r="AB985" s="155">
        <v>79.5</v>
      </c>
      <c r="AC985" s="155">
        <v>16.3</v>
      </c>
      <c r="AD985" s="96"/>
      <c r="AE985" s="94">
        <f>Table3.110[[#This Row],[Gas 8h, ml]]-Table3.110[[#This Row],[Gas 0h, ml]]</f>
        <v>39</v>
      </c>
      <c r="AF985" s="94">
        <f>Table3.110[[#This Row],[Gas 24h, ml]]-Table3.110[[#This Row],[V8 Push back, ml]]</f>
        <v>37.5</v>
      </c>
      <c r="AG985" s="94">
        <f>Table3.110[[#This Row],[GP 8h, ml]]-(AVERAGE(AE$982,AE$983,AE$1032,AE$1033,AE$1085,AE$1086))*$AG$8</f>
        <v>36.271229168713369</v>
      </c>
      <c r="AH985" s="94">
        <f>Table3.110[[#This Row],[GP 8-24h, ml]]-(AVERAGE(AF$982,AF$983,AF$1032,AF$1033,AF$1085,AF$1086))*$AG$8</f>
        <v>33.849347131116531</v>
      </c>
      <c r="AI985" s="94">
        <f>Table3.110[[#This Row],[Net gas 8-24h, ml]]+Table3.110[[#This Row],[Net gas 8h, ml]]</f>
        <v>70.120576299829906</v>
      </c>
      <c r="AJ985" s="94">
        <f>Table3.110[[#This Row],[Net gas 8h, ml]]*Table3.110[[#This Row],[CH4 8h %]]%</f>
        <v>4.8603447086075917</v>
      </c>
      <c r="AK985" s="94">
        <f>Table3.110[[#This Row],[Net gas 8-24h, ml]]*Table3.110[[#This Row],[CH4 24h, %]]%</f>
        <v>5.5174435823719952</v>
      </c>
      <c r="AL985" s="94">
        <f>Table3.110[[#This Row],[CH4 8-24h, ml]]+Table3.110[[#This Row],[CH4 8h, ml]]</f>
        <v>10.377788290979588</v>
      </c>
      <c r="AM985" s="94">
        <f>(Table3.110[[#This Row],[Net gas 24h, ml]]/Table3.110[[#This Row],[DM Incubated, mg]])*1000</f>
        <v>151.38297969692769</v>
      </c>
      <c r="AN985" s="94">
        <f>'3.2 Digest'!X985</f>
        <v>45.919673774597371</v>
      </c>
      <c r="AO985" s="94">
        <f>Table3.110[[#This Row],[Digested feed, mg]]/Table3.110[[#This Row],[Net gas 24h, ml]]</f>
        <v>3.0333445587165513</v>
      </c>
      <c r="AP985" s="94">
        <f>Table3.110[[#This Row],[CH4 8h, ml]]/Table3.110[[#This Row],[Net gas 8h, ml]]%</f>
        <v>13.4</v>
      </c>
      <c r="AQ985" s="94">
        <f>Table3.110[[#This Row],[CH4 24h, ml]]/Table3.110[[#This Row],[Net gas 24h, ml]]%</f>
        <v>14.799918709459838</v>
      </c>
      <c r="AR985" s="94">
        <f>Table3.110[[#This Row],[CH4 24h, ml]]/Table3.110[[#This Row],[DM Incubated, mg]]*1000</f>
        <v>22.404557935103391</v>
      </c>
      <c r="AS985" s="94">
        <f>Table3.110[[#This Row],[CH4 24h, ml]]/Table3.110[[#This Row],[Digested feed, mg]]*1000</f>
        <v>48.790760241632036</v>
      </c>
      <c r="AT985" s="94">
        <f>Table3.110[[#This Row],[CH4 24h, ml]]/'3.2 Digest'!AA985</f>
        <v>4.1700696266341861</v>
      </c>
      <c r="AU985" s="94">
        <f>((Table3.110[[#This Row],[CH4 24h, ml]]/28.9)*16.04)/Table3.110[[#This Row],[DM Incubated, mg]]*1000</f>
        <v>12.434917276091987</v>
      </c>
      <c r="AV985" s="94">
        <f>((Table3.110[[#This Row],[CH4 24h, ml]]/28.9)*16.04)/Table3.110[[#This Row],[Digested feed, mg]]*1000</f>
        <v>27.079716064905814</v>
      </c>
      <c r="AW985" s="64"/>
    </row>
    <row r="986" spans="2:49" x14ac:dyDescent="0.35">
      <c r="B986" s="90">
        <f t="shared" si="15"/>
        <v>976</v>
      </c>
      <c r="C986" s="139">
        <v>46064</v>
      </c>
      <c r="D986" s="6" t="s">
        <v>16</v>
      </c>
      <c r="E986" s="6" t="s">
        <v>385</v>
      </c>
      <c r="F986" s="242" t="s">
        <v>226</v>
      </c>
      <c r="G986" s="242" t="s">
        <v>231</v>
      </c>
      <c r="H986" s="6" t="s">
        <v>232</v>
      </c>
      <c r="I986" s="133" t="s">
        <v>22</v>
      </c>
      <c r="J986" s="135" t="s">
        <v>23</v>
      </c>
      <c r="K986" s="135" t="s">
        <v>215</v>
      </c>
      <c r="L986" s="6" t="s">
        <v>384</v>
      </c>
      <c r="M986" s="256">
        <v>30</v>
      </c>
      <c r="N986" s="256">
        <v>64</v>
      </c>
      <c r="O986" s="256">
        <v>1</v>
      </c>
      <c r="P986" s="257">
        <v>3</v>
      </c>
      <c r="Q986" s="129">
        <v>110</v>
      </c>
      <c r="R986" s="98">
        <v>0.50039999999999996</v>
      </c>
      <c r="S986" s="94">
        <f>((Table3.110[[#This Row],[Sample weight, g]]*'2.1. DM'!Q241)/100)*1000</f>
        <v>463.38507443824091</v>
      </c>
      <c r="T986" s="94">
        <f>'3.2 Digest'!W986</f>
        <v>241.58507443824089</v>
      </c>
      <c r="U986" s="153">
        <v>0.3263888888888889</v>
      </c>
      <c r="V986" s="154">
        <v>41</v>
      </c>
      <c r="W986" s="153">
        <v>0.66041666666666665</v>
      </c>
      <c r="X986" s="95">
        <v>82.5</v>
      </c>
      <c r="Y986" s="95">
        <v>13.3</v>
      </c>
      <c r="Z986" s="154">
        <v>41.5</v>
      </c>
      <c r="AA986" s="153">
        <v>0.33333333333333331</v>
      </c>
      <c r="AB986" s="154">
        <v>79.5</v>
      </c>
      <c r="AC986" s="154">
        <v>16.399999999999999</v>
      </c>
      <c r="AD986" s="91"/>
      <c r="AE986" s="94">
        <f>Table3.110[[#This Row],[Gas 8h, ml]]-Table3.110[[#This Row],[Gas 0h, ml]]</f>
        <v>41.5</v>
      </c>
      <c r="AF986" s="94">
        <f>Table3.110[[#This Row],[Gas 24h, ml]]-Table3.110[[#This Row],[V8 Push back, ml]]</f>
        <v>38</v>
      </c>
      <c r="AG986" s="94">
        <f>Table3.110[[#This Row],[GP 8h, ml]]-(AVERAGE(AE$982,AE$983,AE$1032,AE$1033,AE$1085,AE$1086))*$AG$8</f>
        <v>38.771229168713369</v>
      </c>
      <c r="AH986" s="94">
        <f>Table3.110[[#This Row],[GP 8-24h, ml]]-(AVERAGE(AF$982,AF$983,AF$1032,AF$1033,AF$1085,AF$1086))*$AG$8</f>
        <v>34.349347131116531</v>
      </c>
      <c r="AI986" s="94">
        <f>Table3.110[[#This Row],[Net gas 8-24h, ml]]+Table3.110[[#This Row],[Net gas 8h, ml]]</f>
        <v>73.120576299829906</v>
      </c>
      <c r="AJ986" s="94">
        <f>Table3.110[[#This Row],[Net gas 8h, ml]]*Table3.110[[#This Row],[CH4 8h %]]%</f>
        <v>5.1565734794388787</v>
      </c>
      <c r="AK986" s="94">
        <f>Table3.110[[#This Row],[Net gas 8-24h, ml]]*Table3.110[[#This Row],[CH4 24h, %]]%</f>
        <v>5.63329292950311</v>
      </c>
      <c r="AL986" s="94">
        <f>Table3.110[[#This Row],[CH4 8-24h, ml]]+Table3.110[[#This Row],[CH4 8h, ml]]</f>
        <v>10.78986640894199</v>
      </c>
      <c r="AM986" s="94">
        <f>(Table3.110[[#This Row],[Net gas 24h, ml]]/Table3.110[[#This Row],[DM Incubated, mg]])*1000</f>
        <v>157.79657208094923</v>
      </c>
      <c r="AN986" s="94">
        <f>'3.2 Digest'!X986</f>
        <v>52.134841574496782</v>
      </c>
      <c r="AO986" s="94">
        <f>Table3.110[[#This Row],[Digested feed, mg]]/Table3.110[[#This Row],[Net gas 24h, ml]]</f>
        <v>3.3039273849213751</v>
      </c>
      <c r="AP986" s="94">
        <f>Table3.110[[#This Row],[CH4 8h, ml]]/Table3.110[[#This Row],[Net gas 8h, ml]]%</f>
        <v>13.300000000000002</v>
      </c>
      <c r="AQ986" s="94">
        <f>Table3.110[[#This Row],[CH4 24h, ml]]/Table3.110[[#This Row],[Net gas 24h, ml]]%</f>
        <v>14.756265547878469</v>
      </c>
      <c r="AR986" s="94">
        <f>Table3.110[[#This Row],[CH4 24h, ml]]/Table3.110[[#This Row],[DM Incubated, mg]]*1000</f>
        <v>23.284881201714327</v>
      </c>
      <c r="AS986" s="94">
        <f>Table3.110[[#This Row],[CH4 24h, ml]]/Table3.110[[#This Row],[Digested feed, mg]]*1000</f>
        <v>44.662802261405119</v>
      </c>
      <c r="AT986" s="94">
        <f>Table3.110[[#This Row],[CH4 24h, ml]]/'3.2 Digest'!AA986</f>
        <v>0.78786296753594875</v>
      </c>
      <c r="AU986" s="94">
        <f>((Table3.110[[#This Row],[CH4 24h, ml]]/28.9)*16.04)/Table3.110[[#This Row],[DM Incubated, mg]]*1000</f>
        <v>12.923511919567398</v>
      </c>
      <c r="AV986" s="94">
        <f>((Table3.110[[#This Row],[CH4 24h, ml]]/28.9)*16.04)/Table3.110[[#This Row],[Digested feed, mg]]*1000</f>
        <v>24.788627967921737</v>
      </c>
      <c r="AW986" s="64"/>
    </row>
    <row r="987" spans="2:49" x14ac:dyDescent="0.35">
      <c r="B987" s="90">
        <f t="shared" si="15"/>
        <v>977</v>
      </c>
      <c r="C987" s="140">
        <v>46064</v>
      </c>
      <c r="D987" s="6" t="s">
        <v>16</v>
      </c>
      <c r="E987" s="6" t="s">
        <v>389</v>
      </c>
      <c r="F987" s="242" t="s">
        <v>226</v>
      </c>
      <c r="G987" s="242" t="s">
        <v>227</v>
      </c>
      <c r="H987" s="6" t="s">
        <v>228</v>
      </c>
      <c r="I987" s="133" t="s">
        <v>22</v>
      </c>
      <c r="J987" s="135" t="s">
        <v>23</v>
      </c>
      <c r="K987" s="135" t="s">
        <v>215</v>
      </c>
      <c r="L987" s="6" t="s">
        <v>388</v>
      </c>
      <c r="M987" s="256">
        <v>30</v>
      </c>
      <c r="N987" s="256">
        <v>64</v>
      </c>
      <c r="O987" s="256">
        <v>1</v>
      </c>
      <c r="P987" s="257">
        <v>1</v>
      </c>
      <c r="Q987" s="129">
        <v>111</v>
      </c>
      <c r="R987" s="98">
        <v>0.50029999999999997</v>
      </c>
      <c r="S987" s="94">
        <f>((Table3.110[[#This Row],[Sample weight, g]]*'2.1. DM'!Q243)/100)*1000</f>
        <v>463.1925875950356</v>
      </c>
      <c r="T987" s="94">
        <f>'3.2 Digest'!W987</f>
        <v>212.49258759503567</v>
      </c>
      <c r="U987" s="117">
        <v>0.3263888888888889</v>
      </c>
      <c r="V987" s="155">
        <v>41</v>
      </c>
      <c r="W987" s="117">
        <v>0.66180555555555554</v>
      </c>
      <c r="X987" s="97">
        <v>73.5</v>
      </c>
      <c r="Y987" s="97">
        <v>11.4</v>
      </c>
      <c r="Z987" s="155">
        <v>41</v>
      </c>
      <c r="AA987" s="117">
        <v>0.33402777777777776</v>
      </c>
      <c r="AB987" s="155">
        <v>74.5</v>
      </c>
      <c r="AC987" s="155">
        <v>14.7</v>
      </c>
      <c r="AD987" s="96"/>
      <c r="AE987" s="94">
        <f>Table3.110[[#This Row],[Gas 8h, ml]]-Table3.110[[#This Row],[Gas 0h, ml]]</f>
        <v>32.5</v>
      </c>
      <c r="AF987" s="94">
        <f>Table3.110[[#This Row],[Gas 24h, ml]]-Table3.110[[#This Row],[V8 Push back, ml]]</f>
        <v>33.5</v>
      </c>
      <c r="AG987" s="94">
        <f>Table3.110[[#This Row],[GP 8h, ml]]-(AVERAGE(AE$982,AE$983,AE$1032,AE$1033,AE$1085,AE$1086))*$AG$8</f>
        <v>29.771229168713369</v>
      </c>
      <c r="AH987" s="94">
        <f>Table3.110[[#This Row],[GP 8-24h, ml]]-(AVERAGE(AF$982,AF$983,AF$1032,AF$1033,AF$1085,AF$1086))*$AG$8</f>
        <v>29.849347131116534</v>
      </c>
      <c r="AI987" s="94">
        <f>Table3.110[[#This Row],[Net gas 8-24h, ml]]+Table3.110[[#This Row],[Net gas 8h, ml]]</f>
        <v>59.620576299829906</v>
      </c>
      <c r="AJ987" s="94">
        <f>Table3.110[[#This Row],[Net gas 8h, ml]]*Table3.110[[#This Row],[CH4 8h %]]%</f>
        <v>3.3939201252333242</v>
      </c>
      <c r="AK987" s="94">
        <f>Table3.110[[#This Row],[Net gas 8-24h, ml]]*Table3.110[[#This Row],[CH4 24h, %]]%</f>
        <v>4.3878540282741305</v>
      </c>
      <c r="AL987" s="94">
        <f>Table3.110[[#This Row],[CH4 8-24h, ml]]+Table3.110[[#This Row],[CH4 8h, ml]]</f>
        <v>7.7817741535074543</v>
      </c>
      <c r="AM987" s="94">
        <f>(Table3.110[[#This Row],[Net gas 24h, ml]]/Table3.110[[#This Row],[DM Incubated, mg]])*1000</f>
        <v>128.71660276212265</v>
      </c>
      <c r="AN987" s="94">
        <f>'3.2 Digest'!X987</f>
        <v>45.875645095775084</v>
      </c>
      <c r="AO987" s="94">
        <f>Table3.110[[#This Row],[Digested feed, mg]]/Table3.110[[#This Row],[Net gas 24h, ml]]</f>
        <v>3.5640814091835926</v>
      </c>
      <c r="AP987" s="94">
        <f>Table3.110[[#This Row],[CH4 8h, ml]]/Table3.110[[#This Row],[Net gas 8h, ml]]%</f>
        <v>11.4</v>
      </c>
      <c r="AQ987" s="94">
        <f>Table3.110[[#This Row],[CH4 24h, ml]]/Table3.110[[#This Row],[Net gas 24h, ml]]%</f>
        <v>13.052161915331327</v>
      </c>
      <c r="AR987" s="94">
        <f>Table3.110[[#This Row],[CH4 24h, ml]]/Table3.110[[#This Row],[DM Incubated, mg]]*1000</f>
        <v>16.800299404426088</v>
      </c>
      <c r="AS987" s="94">
        <f>Table3.110[[#This Row],[CH4 24h, ml]]/Table3.110[[#This Row],[Digested feed, mg]]*1000</f>
        <v>36.621391087475537</v>
      </c>
      <c r="AT987" s="94">
        <f>Table3.110[[#This Row],[CH4 24h, ml]]/'3.2 Digest'!AA987</f>
        <v>-3.1595595535228664</v>
      </c>
      <c r="AU987" s="94">
        <f>((Table3.110[[#This Row],[CH4 24h, ml]]/28.9)*16.04)/Table3.110[[#This Row],[DM Incubated, mg]]*1000</f>
        <v>9.3244568320759331</v>
      </c>
      <c r="AV987" s="94">
        <f>((Table3.110[[#This Row],[CH4 24h, ml]]/28.9)*16.04)/Table3.110[[#This Row],[Digested feed, mg]]*1000</f>
        <v>20.325505641630023</v>
      </c>
      <c r="AW987" s="64"/>
    </row>
    <row r="988" spans="2:49" x14ac:dyDescent="0.35">
      <c r="B988" s="90">
        <f t="shared" si="15"/>
        <v>978</v>
      </c>
      <c r="C988" s="139">
        <v>46064</v>
      </c>
      <c r="D988" s="6" t="s">
        <v>16</v>
      </c>
      <c r="E988" s="6" t="s">
        <v>389</v>
      </c>
      <c r="F988" s="242" t="s">
        <v>226</v>
      </c>
      <c r="G988" s="242" t="s">
        <v>227</v>
      </c>
      <c r="H988" s="6" t="s">
        <v>228</v>
      </c>
      <c r="I988" s="133" t="s">
        <v>22</v>
      </c>
      <c r="J988" s="135" t="s">
        <v>23</v>
      </c>
      <c r="K988" s="135" t="s">
        <v>215</v>
      </c>
      <c r="L988" s="6" t="s">
        <v>388</v>
      </c>
      <c r="M988" s="256">
        <v>30</v>
      </c>
      <c r="N988" s="256">
        <v>64</v>
      </c>
      <c r="O988" s="256">
        <v>1</v>
      </c>
      <c r="P988" s="257">
        <v>2</v>
      </c>
      <c r="Q988" s="6">
        <v>112</v>
      </c>
      <c r="R988" s="98">
        <v>0.50009999999999999</v>
      </c>
      <c r="S988" s="94">
        <f>((Table3.110[[#This Row],[Sample weight, g]]*'2.1. DM'!Q243)/100)*1000</f>
        <v>463.00742165955893</v>
      </c>
      <c r="T988" s="94">
        <f>'3.2 Digest'!W988</f>
        <v>192.90742165955891</v>
      </c>
      <c r="U988" s="153">
        <v>0.32708333333333334</v>
      </c>
      <c r="V988" s="154">
        <v>41.5</v>
      </c>
      <c r="W988" s="153">
        <v>0.66180555555555554</v>
      </c>
      <c r="X988" s="95">
        <v>74</v>
      </c>
      <c r="Y988" s="95">
        <v>11.3</v>
      </c>
      <c r="Z988" s="154">
        <v>41.5</v>
      </c>
      <c r="AA988" s="153">
        <v>0.33402777777777776</v>
      </c>
      <c r="AB988" s="154">
        <v>73.5</v>
      </c>
      <c r="AC988" s="154">
        <v>14.6</v>
      </c>
      <c r="AD988" s="91"/>
      <c r="AE988" s="94">
        <f>Table3.110[[#This Row],[Gas 8h, ml]]-Table3.110[[#This Row],[Gas 0h, ml]]</f>
        <v>32.5</v>
      </c>
      <c r="AF988" s="94">
        <f>Table3.110[[#This Row],[Gas 24h, ml]]-Table3.110[[#This Row],[V8 Push back, ml]]</f>
        <v>32</v>
      </c>
      <c r="AG988" s="94">
        <f>Table3.110[[#This Row],[GP 8h, ml]]-(AVERAGE(AE$982,AE$983,AE$1032,AE$1033,AE$1085,AE$1086))*$AG$8</f>
        <v>29.771229168713369</v>
      </c>
      <c r="AH988" s="94">
        <f>Table3.110[[#This Row],[GP 8-24h, ml]]-(AVERAGE(AF$982,AF$983,AF$1032,AF$1033,AF$1085,AF$1086))*$AG$8</f>
        <v>28.349347131116534</v>
      </c>
      <c r="AI988" s="94">
        <f>Table3.110[[#This Row],[Net gas 8-24h, ml]]+Table3.110[[#This Row],[Net gas 8h, ml]]</f>
        <v>58.120576299829906</v>
      </c>
      <c r="AJ988" s="94">
        <f>Table3.110[[#This Row],[Net gas 8h, ml]]*Table3.110[[#This Row],[CH4 8h %]]%</f>
        <v>3.3641488960646106</v>
      </c>
      <c r="AK988" s="94">
        <f>Table3.110[[#This Row],[Net gas 8-24h, ml]]*Table3.110[[#This Row],[CH4 24h, %]]%</f>
        <v>4.1390046811430139</v>
      </c>
      <c r="AL988" s="94">
        <f>Table3.110[[#This Row],[CH4 8-24h, ml]]+Table3.110[[#This Row],[CH4 8h, ml]]</f>
        <v>7.503153577207625</v>
      </c>
      <c r="AM988" s="94">
        <f>(Table3.110[[#This Row],[Net gas 24h, ml]]/Table3.110[[#This Row],[DM Incubated, mg]])*1000</f>
        <v>125.52839021782447</v>
      </c>
      <c r="AN988" s="94">
        <f>'3.2 Digest'!X988</f>
        <v>41.664002051656155</v>
      </c>
      <c r="AO988" s="94">
        <f>Table3.110[[#This Row],[Digested feed, mg]]/Table3.110[[#This Row],[Net gas 24h, ml]]</f>
        <v>3.3190899667683347</v>
      </c>
      <c r="AP988" s="94">
        <f>Table3.110[[#This Row],[CH4 8h, ml]]/Table3.110[[#This Row],[Net gas 8h, ml]]%</f>
        <v>11.299999999999999</v>
      </c>
      <c r="AQ988" s="94">
        <f>Table3.110[[#This Row],[CH4 24h, ml]]/Table3.110[[#This Row],[Net gas 24h, ml]]%</f>
        <v>12.909633824862096</v>
      </c>
      <c r="AR988" s="94">
        <f>Table3.110[[#This Row],[CH4 24h, ml]]/Table3.110[[#This Row],[DM Incubated, mg]]*1000</f>
        <v>16.205255523365153</v>
      </c>
      <c r="AS988" s="94">
        <f>Table3.110[[#This Row],[CH4 24h, ml]]/Table3.110[[#This Row],[Digested feed, mg]]*1000</f>
        <v>38.895100627331573</v>
      </c>
      <c r="AT988" s="94">
        <f>Table3.110[[#This Row],[CH4 24h, ml]]/'3.2 Digest'!AA988</f>
        <v>-0.71896831439077613</v>
      </c>
      <c r="AU988" s="94">
        <f>((Table3.110[[#This Row],[CH4 24h, ml]]/28.9)*16.04)/Table3.110[[#This Row],[DM Incubated, mg]]*1000</f>
        <v>8.9941971832102769</v>
      </c>
      <c r="AV988" s="94">
        <f>((Table3.110[[#This Row],[CH4 24h, ml]]/28.9)*16.04)/Table3.110[[#This Row],[Digested feed, mg]]*1000</f>
        <v>21.587453773785409</v>
      </c>
      <c r="AW988" s="64"/>
    </row>
    <row r="989" spans="2:49" x14ac:dyDescent="0.35">
      <c r="B989" s="90">
        <f t="shared" si="15"/>
        <v>979</v>
      </c>
      <c r="C989" s="140">
        <v>46064</v>
      </c>
      <c r="D989" s="6" t="s">
        <v>16</v>
      </c>
      <c r="E989" s="6" t="s">
        <v>389</v>
      </c>
      <c r="F989" s="242" t="s">
        <v>226</v>
      </c>
      <c r="G989" s="242" t="s">
        <v>227</v>
      </c>
      <c r="H989" s="6" t="s">
        <v>228</v>
      </c>
      <c r="I989" s="133" t="s">
        <v>22</v>
      </c>
      <c r="J989" s="135" t="s">
        <v>23</v>
      </c>
      <c r="K989" s="135" t="s">
        <v>215</v>
      </c>
      <c r="L989" s="6" t="s">
        <v>388</v>
      </c>
      <c r="M989" s="256">
        <v>30</v>
      </c>
      <c r="N989" s="256">
        <v>64</v>
      </c>
      <c r="O989" s="256">
        <v>1</v>
      </c>
      <c r="P989" s="257">
        <v>3</v>
      </c>
      <c r="Q989" s="129">
        <v>113</v>
      </c>
      <c r="R989" s="98">
        <v>0.5</v>
      </c>
      <c r="S989" s="94">
        <f>((Table3.110[[#This Row],[Sample weight, g]]*'2.1. DM'!Q243)/100)*1000</f>
        <v>462.91483869182059</v>
      </c>
      <c r="T989" s="94">
        <f>'3.2 Digest'!W989</f>
        <v>173.7148386918206</v>
      </c>
      <c r="U989" s="117">
        <v>0.32708333333333334</v>
      </c>
      <c r="V989" s="155">
        <v>41.5</v>
      </c>
      <c r="W989" s="117">
        <v>0.66249999999999998</v>
      </c>
      <c r="X989" s="97">
        <v>74.5</v>
      </c>
      <c r="Y989" s="97">
        <v>11.3</v>
      </c>
      <c r="Z989" s="155">
        <v>41.5</v>
      </c>
      <c r="AA989" s="117">
        <v>0.3347222222222222</v>
      </c>
      <c r="AB989" s="155">
        <v>74</v>
      </c>
      <c r="AC989" s="155">
        <v>14.7</v>
      </c>
      <c r="AD989" s="96"/>
      <c r="AE989" s="94">
        <f>Table3.110[[#This Row],[Gas 8h, ml]]-Table3.110[[#This Row],[Gas 0h, ml]]</f>
        <v>33</v>
      </c>
      <c r="AF989" s="94">
        <f>Table3.110[[#This Row],[Gas 24h, ml]]-Table3.110[[#This Row],[V8 Push back, ml]]</f>
        <v>32.5</v>
      </c>
      <c r="AG989" s="94">
        <f>Table3.110[[#This Row],[GP 8h, ml]]-(AVERAGE(AE$982,AE$983,AE$1032,AE$1033,AE$1085,AE$1086))*$AG$8</f>
        <v>30.271229168713369</v>
      </c>
      <c r="AH989" s="94">
        <f>Table3.110[[#This Row],[GP 8-24h, ml]]-(AVERAGE(AF$982,AF$983,AF$1032,AF$1033,AF$1085,AF$1086))*$AG$8</f>
        <v>28.849347131116534</v>
      </c>
      <c r="AI989" s="94">
        <f>Table3.110[[#This Row],[Net gas 8-24h, ml]]+Table3.110[[#This Row],[Net gas 8h, ml]]</f>
        <v>59.120576299829906</v>
      </c>
      <c r="AJ989" s="94">
        <f>Table3.110[[#This Row],[Net gas 8h, ml]]*Table3.110[[#This Row],[CH4 8h %]]%</f>
        <v>3.4206488960646109</v>
      </c>
      <c r="AK989" s="94">
        <f>Table3.110[[#This Row],[Net gas 8-24h, ml]]*Table3.110[[#This Row],[CH4 24h, %]]%</f>
        <v>4.2408540282741303</v>
      </c>
      <c r="AL989" s="94">
        <f>Table3.110[[#This Row],[CH4 8-24h, ml]]+Table3.110[[#This Row],[CH4 8h, ml]]</f>
        <v>7.6615029243387411</v>
      </c>
      <c r="AM989" s="94">
        <f>(Table3.110[[#This Row],[Net gas 24h, ml]]/Table3.110[[#This Row],[DM Incubated, mg]])*1000</f>
        <v>127.71372044780929</v>
      </c>
      <c r="AN989" s="94">
        <f>'3.2 Digest'!X989</f>
        <v>37.526305957858682</v>
      </c>
      <c r="AO989" s="94">
        <f>Table3.110[[#This Row],[Digested feed, mg]]/Table3.110[[#This Row],[Net gas 24h, ml]]</f>
        <v>2.938314366403096</v>
      </c>
      <c r="AP989" s="94">
        <f>Table3.110[[#This Row],[CH4 8h, ml]]/Table3.110[[#This Row],[Net gas 8h, ml]]%</f>
        <v>11.3</v>
      </c>
      <c r="AQ989" s="94">
        <f>Table3.110[[#This Row],[CH4 24h, ml]]/Table3.110[[#This Row],[Net gas 24h, ml]]%</f>
        <v>12.959114074740141</v>
      </c>
      <c r="AR989" s="94">
        <f>Table3.110[[#This Row],[CH4 24h, ml]]/Table3.110[[#This Row],[DM Incubated, mg]]*1000</f>
        <v>16.55056672192633</v>
      </c>
      <c r="AS989" s="94">
        <f>Table3.110[[#This Row],[CH4 24h, ml]]/Table3.110[[#This Row],[Digested feed, mg]]*1000</f>
        <v>44.103906045301379</v>
      </c>
      <c r="AT989" s="94">
        <f>Table3.110[[#This Row],[CH4 24h, ml]]/'3.2 Digest'!AA989</f>
        <v>-0.41936990191008572</v>
      </c>
      <c r="AU989" s="94">
        <f>((Table3.110[[#This Row],[CH4 24h, ml]]/28.9)*16.04)/Table3.110[[#This Row],[DM Incubated, mg]]*1000</f>
        <v>9.1858508726539245</v>
      </c>
      <c r="AV989" s="94">
        <f>((Table3.110[[#This Row],[CH4 24h, ml]]/28.9)*16.04)/Table3.110[[#This Row],[Digested feed, mg]]*1000</f>
        <v>24.478430898499454</v>
      </c>
      <c r="AW989" s="64"/>
    </row>
    <row r="990" spans="2:49" x14ac:dyDescent="0.35">
      <c r="B990" s="90">
        <f t="shared" si="15"/>
        <v>980</v>
      </c>
      <c r="C990" s="139">
        <v>46064</v>
      </c>
      <c r="D990" s="6" t="s">
        <v>16</v>
      </c>
      <c r="E990" s="6" t="s">
        <v>391</v>
      </c>
      <c r="F990" s="242" t="s">
        <v>290</v>
      </c>
      <c r="G990" s="242" t="s">
        <v>314</v>
      </c>
      <c r="H990" s="6" t="s">
        <v>315</v>
      </c>
      <c r="I990" s="133" t="s">
        <v>22</v>
      </c>
      <c r="J990" s="135" t="s">
        <v>23</v>
      </c>
      <c r="K990" s="135" t="s">
        <v>215</v>
      </c>
      <c r="L990" s="6" t="s">
        <v>390</v>
      </c>
      <c r="M990" s="256">
        <v>30</v>
      </c>
      <c r="N990" s="256">
        <v>64</v>
      </c>
      <c r="O990" s="256">
        <v>1</v>
      </c>
      <c r="P990" s="257">
        <v>1</v>
      </c>
      <c r="Q990" s="129">
        <v>114</v>
      </c>
      <c r="R990" s="98">
        <v>0.50029999999999997</v>
      </c>
      <c r="S990" s="94">
        <f>((Table3.110[[#This Row],[Sample weight, g]]*'2.1. DM'!Q245)/100)*1000</f>
        <v>474.10929499999986</v>
      </c>
      <c r="T990" s="94">
        <f>'3.2 Digest'!W990</f>
        <v>220.10929499999986</v>
      </c>
      <c r="U990" s="153">
        <v>0.32708333333333334</v>
      </c>
      <c r="V990" s="154">
        <v>41.5</v>
      </c>
      <c r="W990" s="153">
        <v>0.66319444444444442</v>
      </c>
      <c r="X990" s="95">
        <v>72.5</v>
      </c>
      <c r="Y990" s="95">
        <v>13.7</v>
      </c>
      <c r="Z990" s="154">
        <v>41</v>
      </c>
      <c r="AA990" s="153">
        <v>0.3347222222222222</v>
      </c>
      <c r="AB990" s="154">
        <v>85.5</v>
      </c>
      <c r="AC990" s="154">
        <v>16.2</v>
      </c>
      <c r="AD990" s="91"/>
      <c r="AE990" s="94">
        <f>Table3.110[[#This Row],[Gas 8h, ml]]-Table3.110[[#This Row],[Gas 0h, ml]]</f>
        <v>31</v>
      </c>
      <c r="AF990" s="94">
        <f>Table3.110[[#This Row],[Gas 24h, ml]]-Table3.110[[#This Row],[V8 Push back, ml]]</f>
        <v>44.5</v>
      </c>
      <c r="AG990" s="94">
        <f>Table3.110[[#This Row],[GP 8h, ml]]-(AVERAGE(AE$982,AE$983,AE$1032,AE$1033,AE$1085,AE$1086))*$AG$8</f>
        <v>28.271229168713369</v>
      </c>
      <c r="AH990" s="94">
        <f>Table3.110[[#This Row],[GP 8-24h, ml]]-(AVERAGE(AF$982,AF$983,AF$1032,AF$1033,AF$1085,AF$1086))*$AG$8</f>
        <v>40.849347131116531</v>
      </c>
      <c r="AI990" s="94">
        <f>Table3.110[[#This Row],[Net gas 8-24h, ml]]+Table3.110[[#This Row],[Net gas 8h, ml]]</f>
        <v>69.120576299829906</v>
      </c>
      <c r="AJ990" s="94">
        <f>Table3.110[[#This Row],[Net gas 8h, ml]]*Table3.110[[#This Row],[CH4 8h %]]%</f>
        <v>3.8731583961137308</v>
      </c>
      <c r="AK990" s="94">
        <f>Table3.110[[#This Row],[Net gas 8-24h, ml]]*Table3.110[[#This Row],[CH4 24h, %]]%</f>
        <v>6.6175942352408779</v>
      </c>
      <c r="AL990" s="94">
        <f>Table3.110[[#This Row],[CH4 8-24h, ml]]+Table3.110[[#This Row],[CH4 8h, ml]]</f>
        <v>10.490752631354608</v>
      </c>
      <c r="AM990" s="94">
        <f>(Table3.110[[#This Row],[Net gas 24h, ml]]/Table3.110[[#This Row],[DM Incubated, mg]])*1000</f>
        <v>145.79038426114369</v>
      </c>
      <c r="AN990" s="94">
        <f>'3.2 Digest'!X990</f>
        <v>46.425855245044275</v>
      </c>
      <c r="AO990" s="94">
        <f>Table3.110[[#This Row],[Digested feed, mg]]/Table3.110[[#This Row],[Net gas 24h, ml]]</f>
        <v>3.1844250552138629</v>
      </c>
      <c r="AP990" s="94">
        <f>Table3.110[[#This Row],[CH4 8h, ml]]/Table3.110[[#This Row],[Net gas 8h, ml]]%</f>
        <v>13.699999999999998</v>
      </c>
      <c r="AQ990" s="94">
        <f>Table3.110[[#This Row],[CH4 24h, ml]]/Table3.110[[#This Row],[Net gas 24h, ml]]%</f>
        <v>15.177466961282301</v>
      </c>
      <c r="AR990" s="94">
        <f>Table3.110[[#This Row],[CH4 24h, ml]]/Table3.110[[#This Row],[DM Incubated, mg]]*1000</f>
        <v>22.127287403961592</v>
      </c>
      <c r="AS990" s="94">
        <f>Table3.110[[#This Row],[CH4 24h, ml]]/Table3.110[[#This Row],[Digested feed, mg]]*1000</f>
        <v>47.661561186476085</v>
      </c>
      <c r="AT990" s="94">
        <f>Table3.110[[#This Row],[CH4 24h, ml]]/'3.2 Digest'!AA990</f>
        <v>-0.83576073920101035</v>
      </c>
      <c r="AU990" s="94">
        <f>((Table3.110[[#This Row],[CH4 24h, ml]]/28.9)*16.04)/Table3.110[[#This Row],[DM Incubated, mg]]*1000</f>
        <v>12.281027334240276</v>
      </c>
      <c r="AV990" s="94">
        <f>((Table3.110[[#This Row],[CH4 24h, ml]]/28.9)*16.04)/Table3.110[[#This Row],[Digested feed, mg]]*1000</f>
        <v>26.452991052978426</v>
      </c>
      <c r="AW990" s="64"/>
    </row>
    <row r="991" spans="2:49" x14ac:dyDescent="0.35">
      <c r="B991" s="90">
        <f t="shared" si="15"/>
        <v>981</v>
      </c>
      <c r="C991" s="140">
        <v>46064</v>
      </c>
      <c r="D991" s="6" t="s">
        <v>16</v>
      </c>
      <c r="E991" s="6" t="s">
        <v>391</v>
      </c>
      <c r="F991" s="242" t="s">
        <v>290</v>
      </c>
      <c r="G991" s="242" t="s">
        <v>314</v>
      </c>
      <c r="H991" s="6" t="s">
        <v>315</v>
      </c>
      <c r="I991" s="133" t="s">
        <v>22</v>
      </c>
      <c r="J991" s="135" t="s">
        <v>23</v>
      </c>
      <c r="K991" s="135" t="s">
        <v>215</v>
      </c>
      <c r="L991" s="6" t="s">
        <v>390</v>
      </c>
      <c r="M991" s="256">
        <v>30</v>
      </c>
      <c r="N991" s="256">
        <v>64</v>
      </c>
      <c r="O991" s="256">
        <v>1</v>
      </c>
      <c r="P991" s="257">
        <v>2</v>
      </c>
      <c r="Q991" s="6">
        <v>115</v>
      </c>
      <c r="R991" s="98">
        <v>0.50019999999999998</v>
      </c>
      <c r="S991" s="94">
        <f>((Table3.110[[#This Row],[Sample weight, g]]*'2.1. DM'!Q245)/100)*1000</f>
        <v>474.01452999999987</v>
      </c>
      <c r="T991" s="94">
        <f>'3.2 Digest'!W991</f>
        <v>210.81452999999988</v>
      </c>
      <c r="U991" s="117">
        <v>0.32708333333333334</v>
      </c>
      <c r="V991" s="155">
        <v>40.5</v>
      </c>
      <c r="W991" s="117">
        <v>0.66319444444444442</v>
      </c>
      <c r="X991" s="97">
        <v>74.5</v>
      </c>
      <c r="Y991" s="97">
        <v>14.3</v>
      </c>
      <c r="Z991" s="155">
        <v>40.5</v>
      </c>
      <c r="AA991" s="117">
        <v>0.33541666666666664</v>
      </c>
      <c r="AB991" s="155">
        <v>87</v>
      </c>
      <c r="AC991" s="155">
        <v>16</v>
      </c>
      <c r="AD991" s="96"/>
      <c r="AE991" s="94">
        <f>Table3.110[[#This Row],[Gas 8h, ml]]-Table3.110[[#This Row],[Gas 0h, ml]]</f>
        <v>34</v>
      </c>
      <c r="AF991" s="94">
        <f>Table3.110[[#This Row],[Gas 24h, ml]]-Table3.110[[#This Row],[V8 Push back, ml]]</f>
        <v>46.5</v>
      </c>
      <c r="AG991" s="94">
        <f>Table3.110[[#This Row],[GP 8h, ml]]-(AVERAGE(AE$982,AE$983,AE$1032,AE$1033,AE$1085,AE$1086))*$AG$8</f>
        <v>31.271229168713369</v>
      </c>
      <c r="AH991" s="94">
        <f>Table3.110[[#This Row],[GP 8-24h, ml]]-(AVERAGE(AF$982,AF$983,AF$1032,AF$1033,AF$1085,AF$1086))*$AG$8</f>
        <v>42.849347131116531</v>
      </c>
      <c r="AI991" s="94">
        <f>Table3.110[[#This Row],[Net gas 8-24h, ml]]+Table3.110[[#This Row],[Net gas 8h, ml]]</f>
        <v>74.120576299829906</v>
      </c>
      <c r="AJ991" s="94">
        <f>Table3.110[[#This Row],[Net gas 8h, ml]]*Table3.110[[#This Row],[CH4 8h %]]%</f>
        <v>4.4717857711260125</v>
      </c>
      <c r="AK991" s="94">
        <f>Table3.110[[#This Row],[Net gas 8-24h, ml]]*Table3.110[[#This Row],[CH4 24h, %]]%</f>
        <v>6.8558955409786453</v>
      </c>
      <c r="AL991" s="94">
        <f>Table3.110[[#This Row],[CH4 8-24h, ml]]+Table3.110[[#This Row],[CH4 8h, ml]]</f>
        <v>11.327681312104659</v>
      </c>
      <c r="AM991" s="94">
        <f>(Table3.110[[#This Row],[Net gas 24h, ml]]/Table3.110[[#This Row],[DM Incubated, mg]])*1000</f>
        <v>156.36773054157209</v>
      </c>
      <c r="AN991" s="94">
        <f>'3.2 Digest'!X991</f>
        <v>44.474275925676778</v>
      </c>
      <c r="AO991" s="94">
        <f>Table3.110[[#This Row],[Digested feed, mg]]/Table3.110[[#This Row],[Net gas 24h, ml]]</f>
        <v>2.8442106163236032</v>
      </c>
      <c r="AP991" s="94">
        <f>Table3.110[[#This Row],[CH4 8h, ml]]/Table3.110[[#This Row],[Net gas 8h, ml]]%</f>
        <v>14.300000000000004</v>
      </c>
      <c r="AQ991" s="94">
        <f>Table3.110[[#This Row],[CH4 24h, ml]]/Table3.110[[#This Row],[Net gas 24h, ml]]%</f>
        <v>15.282775549777604</v>
      </c>
      <c r="AR991" s="94">
        <f>Table3.110[[#This Row],[CH4 24h, ml]]/Table3.110[[#This Row],[DM Incubated, mg]]*1000</f>
        <v>23.897329290949504</v>
      </c>
      <c r="AS991" s="94">
        <f>Table3.110[[#This Row],[CH4 24h, ml]]/Table3.110[[#This Row],[Digested feed, mg]]*1000</f>
        <v>53.732924917958286</v>
      </c>
      <c r="AT991" s="94">
        <f>Table3.110[[#This Row],[CH4 24h, ml]]/'3.2 Digest'!AA991</f>
        <v>-0.68024500485207595</v>
      </c>
      <c r="AU991" s="94">
        <f>((Table3.110[[#This Row],[CH4 24h, ml]]/28.9)*16.04)/Table3.110[[#This Row],[DM Incubated, mg]]*1000</f>
        <v>13.263431205080625</v>
      </c>
      <c r="AV991" s="94">
        <f>((Table3.110[[#This Row],[CH4 24h, ml]]/28.9)*16.04)/Table3.110[[#This Row],[Digested feed, mg]]*1000</f>
        <v>29.822702964846055</v>
      </c>
      <c r="AW991" s="64"/>
    </row>
    <row r="992" spans="2:49" x14ac:dyDescent="0.35">
      <c r="B992" s="90">
        <f t="shared" si="15"/>
        <v>982</v>
      </c>
      <c r="C992" s="140">
        <v>46064</v>
      </c>
      <c r="D992" s="6" t="s">
        <v>16</v>
      </c>
      <c r="E992" s="6" t="s">
        <v>391</v>
      </c>
      <c r="F992" s="242" t="s">
        <v>290</v>
      </c>
      <c r="G992" s="242" t="s">
        <v>314</v>
      </c>
      <c r="H992" s="6" t="s">
        <v>315</v>
      </c>
      <c r="I992" s="133" t="s">
        <v>22</v>
      </c>
      <c r="J992" s="135" t="s">
        <v>23</v>
      </c>
      <c r="K992" s="135" t="s">
        <v>215</v>
      </c>
      <c r="L992" s="6" t="s">
        <v>390</v>
      </c>
      <c r="M992" s="256">
        <v>30</v>
      </c>
      <c r="N992" s="256">
        <v>64</v>
      </c>
      <c r="O992" s="256">
        <v>1</v>
      </c>
      <c r="P992" s="257">
        <v>3</v>
      </c>
      <c r="Q992" s="129">
        <v>116</v>
      </c>
      <c r="R992" s="98">
        <v>0.50029999999999997</v>
      </c>
      <c r="S992" s="94">
        <f>((Table3.110[[#This Row],[Sample weight, g]]*'2.1. DM'!Q245)/100)*1000</f>
        <v>474.10929499999986</v>
      </c>
      <c r="T992" s="94">
        <f>'3.2 Digest'!W992</f>
        <v>155.50929499999984</v>
      </c>
      <c r="U992" s="153">
        <v>0.32777777777777778</v>
      </c>
      <c r="V992" s="154">
        <v>41</v>
      </c>
      <c r="W992" s="153">
        <v>0.66388888888888886</v>
      </c>
      <c r="X992" s="95">
        <v>72.5</v>
      </c>
      <c r="Y992" s="95">
        <v>14.2</v>
      </c>
      <c r="Z992" s="154">
        <v>41.5</v>
      </c>
      <c r="AA992" s="153">
        <v>0.33541666666666664</v>
      </c>
      <c r="AB992" s="154">
        <v>86.5</v>
      </c>
      <c r="AC992" s="154">
        <v>16.5</v>
      </c>
      <c r="AD992" s="91"/>
      <c r="AE992" s="94">
        <f>Table3.110[[#This Row],[Gas 8h, ml]]-Table3.110[[#This Row],[Gas 0h, ml]]</f>
        <v>31.5</v>
      </c>
      <c r="AF992" s="94">
        <f>Table3.110[[#This Row],[Gas 24h, ml]]-Table3.110[[#This Row],[V8 Push back, ml]]</f>
        <v>45</v>
      </c>
      <c r="AG992" s="94">
        <f>Table3.110[[#This Row],[GP 8h, ml]]-(AVERAGE(AE$982,AE$983,AE$1032,AE$1033,AE$1085,AE$1086))*$AG$8</f>
        <v>28.771229168713369</v>
      </c>
      <c r="AH992" s="94">
        <f>Table3.110[[#This Row],[GP 8-24h, ml]]-(AVERAGE(AF$982,AF$983,AF$1032,AF$1033,AF$1085,AF$1086))*$AG$8</f>
        <v>41.349347131116531</v>
      </c>
      <c r="AI992" s="94">
        <f>Table3.110[[#This Row],[Net gas 8-24h, ml]]+Table3.110[[#This Row],[Net gas 8h, ml]]</f>
        <v>70.120576299829906</v>
      </c>
      <c r="AJ992" s="94">
        <f>Table3.110[[#This Row],[Net gas 8h, ml]]*Table3.110[[#This Row],[CH4 8h %]]%</f>
        <v>4.0855145419572976</v>
      </c>
      <c r="AK992" s="94">
        <f>Table3.110[[#This Row],[Net gas 8-24h, ml]]*Table3.110[[#This Row],[CH4 24h, %]]%</f>
        <v>6.8226422766342276</v>
      </c>
      <c r="AL992" s="94">
        <f>Table3.110[[#This Row],[CH4 8-24h, ml]]+Table3.110[[#This Row],[CH4 8h, ml]]</f>
        <v>10.908156818591525</v>
      </c>
      <c r="AM992" s="94">
        <f>(Table3.110[[#This Row],[Net gas 24h, ml]]/Table3.110[[#This Row],[DM Incubated, mg]])*1000</f>
        <v>147.8996025585829</v>
      </c>
      <c r="AN992" s="94">
        <f>'3.2 Digest'!X992</f>
        <v>32.800305043587024</v>
      </c>
      <c r="AO992" s="94">
        <f>Table3.110[[#This Row],[Digested feed, mg]]/Table3.110[[#This Row],[Net gas 24h, ml]]</f>
        <v>2.217741256647046</v>
      </c>
      <c r="AP992" s="94">
        <f>Table3.110[[#This Row],[CH4 8h, ml]]/Table3.110[[#This Row],[Net gas 8h, ml]]%</f>
        <v>14.199999999999998</v>
      </c>
      <c r="AQ992" s="94">
        <f>Table3.110[[#This Row],[CH4 24h, ml]]/Table3.110[[#This Row],[Net gas 24h, ml]]%</f>
        <v>15.556285179330429</v>
      </c>
      <c r="AR992" s="94">
        <f>Table3.110[[#This Row],[CH4 24h, ml]]/Table3.110[[#This Row],[DM Incubated, mg]]*1000</f>
        <v>23.007683953109435</v>
      </c>
      <c r="AS992" s="94">
        <f>Table3.110[[#This Row],[CH4 24h, ml]]/Table3.110[[#This Row],[Digested feed, mg]]*1000</f>
        <v>70.144725552202758</v>
      </c>
      <c r="AT992" s="94">
        <f>Table3.110[[#This Row],[CH4 24h, ml]]/'3.2 Digest'!AA992</f>
        <v>-0.2649034676260853</v>
      </c>
      <c r="AU992" s="94">
        <f>((Table3.110[[#This Row],[CH4 24h, ml]]/28.9)*16.04)/Table3.110[[#This Row],[DM Incubated, mg]]*1000</f>
        <v>12.769662650791535</v>
      </c>
      <c r="AV992" s="94">
        <f>((Table3.110[[#This Row],[CH4 24h, ml]]/28.9)*16.04)/Table3.110[[#This Row],[Digested feed, mg]]*1000</f>
        <v>38.931536258039174</v>
      </c>
      <c r="AW992" s="64"/>
    </row>
    <row r="993" spans="2:50" x14ac:dyDescent="0.35">
      <c r="B993" s="90">
        <f t="shared" si="15"/>
        <v>983</v>
      </c>
      <c r="C993" s="140">
        <v>46064</v>
      </c>
      <c r="D993" s="6" t="s">
        <v>16</v>
      </c>
      <c r="E993" s="6" t="s">
        <v>393</v>
      </c>
      <c r="F993" s="242" t="s">
        <v>226</v>
      </c>
      <c r="G993" s="242" t="s">
        <v>227</v>
      </c>
      <c r="H993" s="6" t="s">
        <v>228</v>
      </c>
      <c r="I993" s="133" t="s">
        <v>22</v>
      </c>
      <c r="J993" s="135" t="s">
        <v>23</v>
      </c>
      <c r="K993" s="135" t="s">
        <v>215</v>
      </c>
      <c r="L993" s="6" t="s">
        <v>392</v>
      </c>
      <c r="M993" s="256">
        <v>30</v>
      </c>
      <c r="N993" s="256">
        <v>64</v>
      </c>
      <c r="O993" s="256">
        <v>1</v>
      </c>
      <c r="P993" s="257">
        <v>1</v>
      </c>
      <c r="Q993" s="129">
        <v>117</v>
      </c>
      <c r="R993" s="98">
        <v>0.50009999999999999</v>
      </c>
      <c r="S993" s="94">
        <f>((Table3.110[[#This Row],[Sample weight, g]]*'2.1. DM'!Q247)/100)*1000</f>
        <v>467.89998968012804</v>
      </c>
      <c r="T993" s="94">
        <f>'3.2 Digest'!W993</f>
        <v>225.19998968012803</v>
      </c>
      <c r="U993" s="117">
        <v>0.32777777777777778</v>
      </c>
      <c r="V993" s="155">
        <v>41.5</v>
      </c>
      <c r="W993" s="117">
        <v>0.6645833333333333</v>
      </c>
      <c r="X993" s="97">
        <v>77.5</v>
      </c>
      <c r="Y993" s="97">
        <v>12.5</v>
      </c>
      <c r="Z993" s="155">
        <v>41</v>
      </c>
      <c r="AA993" s="117">
        <v>0.33611111111111114</v>
      </c>
      <c r="AB993" s="155">
        <v>74.5</v>
      </c>
      <c r="AC993" s="155">
        <v>15.8</v>
      </c>
      <c r="AD993" s="96"/>
      <c r="AE993" s="94">
        <f>Table3.110[[#This Row],[Gas 8h, ml]]-Table3.110[[#This Row],[Gas 0h, ml]]</f>
        <v>36</v>
      </c>
      <c r="AF993" s="94">
        <f>Table3.110[[#This Row],[Gas 24h, ml]]-Table3.110[[#This Row],[V8 Push back, ml]]</f>
        <v>33.5</v>
      </c>
      <c r="AG993" s="94">
        <f>Table3.110[[#This Row],[GP 8h, ml]]-(AVERAGE(AE$982,AE$983,AE$1032,AE$1033,AE$1085,AE$1086))*$AG$8</f>
        <v>33.271229168713369</v>
      </c>
      <c r="AH993" s="94">
        <f>Table3.110[[#This Row],[GP 8-24h, ml]]-(AVERAGE(AF$982,AF$983,AF$1032,AF$1033,AF$1085,AF$1086))*$AG$8</f>
        <v>29.849347131116534</v>
      </c>
      <c r="AI993" s="94">
        <f>Table3.110[[#This Row],[Net gas 8-24h, ml]]+Table3.110[[#This Row],[Net gas 8h, ml]]</f>
        <v>63.120576299829906</v>
      </c>
      <c r="AJ993" s="94">
        <f>Table3.110[[#This Row],[Net gas 8h, ml]]*Table3.110[[#This Row],[CH4 8h %]]%</f>
        <v>4.1589036460891711</v>
      </c>
      <c r="AK993" s="94">
        <f>Table3.110[[#This Row],[Net gas 8-24h, ml]]*Table3.110[[#This Row],[CH4 24h, %]]%</f>
        <v>4.7161968467164126</v>
      </c>
      <c r="AL993" s="94">
        <f>Table3.110[[#This Row],[CH4 8-24h, ml]]+Table3.110[[#This Row],[CH4 8h, ml]]</f>
        <v>8.8751004928055828</v>
      </c>
      <c r="AM993" s="94">
        <f>(Table3.110[[#This Row],[Net gas 24h, ml]]/Table3.110[[#This Row],[DM Incubated, mg]])*1000</f>
        <v>134.90185443898221</v>
      </c>
      <c r="AN993" s="94">
        <f>'3.2 Digest'!X993</f>
        <v>48.129941151330698</v>
      </c>
      <c r="AO993" s="94">
        <f>Table3.110[[#This Row],[Digested feed, mg]]/Table3.110[[#This Row],[Net gas 24h, ml]]</f>
        <v>3.567774612994699</v>
      </c>
      <c r="AP993" s="94">
        <f>Table3.110[[#This Row],[CH4 8h, ml]]/Table3.110[[#This Row],[Net gas 8h, ml]]%</f>
        <v>12.5</v>
      </c>
      <c r="AQ993" s="94">
        <f>Table3.110[[#This Row],[CH4 24h, ml]]/Table3.110[[#This Row],[Net gas 24h, ml]]%</f>
        <v>14.060550478259017</v>
      </c>
      <c r="AR993" s="94">
        <f>Table3.110[[#This Row],[CH4 24h, ml]]/Table3.110[[#This Row],[DM Incubated, mg]]*1000</f>
        <v>18.967943339500597</v>
      </c>
      <c r="AS993" s="94">
        <f>Table3.110[[#This Row],[CH4 24h, ml]]/Table3.110[[#This Row],[Digested feed, mg]]*1000</f>
        <v>39.4098618983584</v>
      </c>
      <c r="AT993" s="94">
        <f>Table3.110[[#This Row],[CH4 24h, ml]]/'3.2 Digest'!AA993</f>
        <v>-4.3137749044420497</v>
      </c>
      <c r="AU993" s="94">
        <f>((Table3.110[[#This Row],[CH4 24h, ml]]/28.9)*16.04)/Table3.110[[#This Row],[DM Incubated, mg]]*1000</f>
        <v>10.527536718532511</v>
      </c>
      <c r="AV993" s="94">
        <f>((Table3.110[[#This Row],[CH4 24h, ml]]/28.9)*16.04)/Table3.110[[#This Row],[Digested feed, mg]]*1000</f>
        <v>21.873155185109646</v>
      </c>
      <c r="AW993" s="64"/>
    </row>
    <row r="994" spans="2:50" x14ac:dyDescent="0.35">
      <c r="B994" s="90">
        <f t="shared" si="15"/>
        <v>984</v>
      </c>
      <c r="C994" s="140">
        <v>46064</v>
      </c>
      <c r="D994" s="6" t="s">
        <v>16</v>
      </c>
      <c r="E994" s="6" t="s">
        <v>393</v>
      </c>
      <c r="F994" s="242" t="s">
        <v>226</v>
      </c>
      <c r="G994" s="242" t="s">
        <v>227</v>
      </c>
      <c r="H994" s="6" t="s">
        <v>228</v>
      </c>
      <c r="I994" s="133" t="s">
        <v>22</v>
      </c>
      <c r="J994" s="135" t="s">
        <v>23</v>
      </c>
      <c r="K994" s="135" t="s">
        <v>215</v>
      </c>
      <c r="L994" s="6" t="s">
        <v>392</v>
      </c>
      <c r="M994" s="256">
        <v>30</v>
      </c>
      <c r="N994" s="256">
        <v>64</v>
      </c>
      <c r="O994" s="256">
        <v>1</v>
      </c>
      <c r="P994" s="257">
        <v>2</v>
      </c>
      <c r="Q994" s="6">
        <v>118</v>
      </c>
      <c r="R994" s="98">
        <v>0.50039999999999996</v>
      </c>
      <c r="S994" s="94">
        <f>((Table3.110[[#This Row],[Sample weight, g]]*'2.1. DM'!Q247)/100)*1000</f>
        <v>468.18067353716464</v>
      </c>
      <c r="T994" s="94">
        <f>'3.2 Digest'!W994</f>
        <v>226.38067353716463</v>
      </c>
      <c r="U994" s="153">
        <v>0.32777777777777778</v>
      </c>
      <c r="V994" s="154">
        <v>41.5</v>
      </c>
      <c r="W994" s="153">
        <v>0.6645833333333333</v>
      </c>
      <c r="X994" s="95">
        <v>77.5</v>
      </c>
      <c r="Y994" s="95">
        <v>12.4</v>
      </c>
      <c r="Z994" s="154">
        <v>41.5</v>
      </c>
      <c r="AA994" s="153">
        <v>0.33680555555555558</v>
      </c>
      <c r="AB994" s="154">
        <v>73.5</v>
      </c>
      <c r="AC994" s="154">
        <v>15.7</v>
      </c>
      <c r="AD994" s="91"/>
      <c r="AE994" s="94">
        <f>Table3.110[[#This Row],[Gas 8h, ml]]-Table3.110[[#This Row],[Gas 0h, ml]]</f>
        <v>36</v>
      </c>
      <c r="AF994" s="94">
        <f>Table3.110[[#This Row],[Gas 24h, ml]]-Table3.110[[#This Row],[V8 Push back, ml]]</f>
        <v>32</v>
      </c>
      <c r="AG994" s="94">
        <f>Table3.110[[#This Row],[GP 8h, ml]]-(AVERAGE(AE$982,AE$983,AE$1032,AE$1033,AE$1085,AE$1086))*$AG$8</f>
        <v>33.271229168713369</v>
      </c>
      <c r="AH994" s="94">
        <f>Table3.110[[#This Row],[GP 8-24h, ml]]-(AVERAGE(AF$982,AF$983,AF$1032,AF$1033,AF$1085,AF$1086))*$AG$8</f>
        <v>28.349347131116534</v>
      </c>
      <c r="AI994" s="94">
        <f>Table3.110[[#This Row],[Net gas 8-24h, ml]]+Table3.110[[#This Row],[Net gas 8h, ml]]</f>
        <v>61.620576299829906</v>
      </c>
      <c r="AJ994" s="94">
        <f>Table3.110[[#This Row],[Net gas 8h, ml]]*Table3.110[[#This Row],[CH4 8h %]]%</f>
        <v>4.1256324169204577</v>
      </c>
      <c r="AK994" s="94">
        <f>Table3.110[[#This Row],[Net gas 8-24h, ml]]*Table3.110[[#This Row],[CH4 24h, %]]%</f>
        <v>4.4508474995852962</v>
      </c>
      <c r="AL994" s="94">
        <f>Table3.110[[#This Row],[CH4 8-24h, ml]]+Table3.110[[#This Row],[CH4 8h, ml]]</f>
        <v>8.5764799165057539</v>
      </c>
      <c r="AM994" s="94">
        <f>(Table3.110[[#This Row],[Net gas 24h, ml]]/Table3.110[[#This Row],[DM Incubated, mg]])*1000</f>
        <v>131.61708669919801</v>
      </c>
      <c r="AN994" s="94">
        <f>'3.2 Digest'!X994</f>
        <v>48.353271788608829</v>
      </c>
      <c r="AO994" s="94">
        <f>Table3.110[[#This Row],[Digested feed, mg]]/Table3.110[[#This Row],[Net gas 24h, ml]]</f>
        <v>3.6737837769587611</v>
      </c>
      <c r="AP994" s="94">
        <f>Table3.110[[#This Row],[CH4 8h, ml]]/Table3.110[[#This Row],[Net gas 8h, ml]]%</f>
        <v>12.4</v>
      </c>
      <c r="AQ994" s="94">
        <f>Table3.110[[#This Row],[CH4 24h, ml]]/Table3.110[[#This Row],[Net gas 24h, ml]]%</f>
        <v>13.918207896620123</v>
      </c>
      <c r="AR994" s="94">
        <f>Table3.110[[#This Row],[CH4 24h, ml]]/Table3.110[[#This Row],[DM Incubated, mg]]*1000</f>
        <v>18.318739754269128</v>
      </c>
      <c r="AS994" s="94">
        <f>Table3.110[[#This Row],[CH4 24h, ml]]/Table3.110[[#This Row],[Digested feed, mg]]*1000</f>
        <v>37.885212471981468</v>
      </c>
      <c r="AT994" s="94">
        <f>Table3.110[[#This Row],[CH4 24h, ml]]/'3.2 Digest'!AA994</f>
        <v>-5.3007658819036898</v>
      </c>
      <c r="AU994" s="94">
        <f>((Table3.110[[#This Row],[CH4 24h, ml]]/28.9)*16.04)/Table3.110[[#This Row],[DM Incubated, mg]]*1000</f>
        <v>10.167217496833107</v>
      </c>
      <c r="AV994" s="94">
        <f>((Table3.110[[#This Row],[CH4 24h, ml]]/28.9)*16.04)/Table3.110[[#This Row],[Digested feed, mg]]*1000</f>
        <v>21.02694837545269</v>
      </c>
      <c r="AW994" s="64"/>
    </row>
    <row r="995" spans="2:50" x14ac:dyDescent="0.35">
      <c r="B995" s="90">
        <f t="shared" si="15"/>
        <v>985</v>
      </c>
      <c r="C995" s="140">
        <v>46064</v>
      </c>
      <c r="D995" s="6" t="s">
        <v>16</v>
      </c>
      <c r="E995" s="6" t="s">
        <v>393</v>
      </c>
      <c r="F995" s="242" t="s">
        <v>226</v>
      </c>
      <c r="G995" s="242" t="s">
        <v>227</v>
      </c>
      <c r="H995" s="6" t="s">
        <v>228</v>
      </c>
      <c r="I995" s="133" t="s">
        <v>22</v>
      </c>
      <c r="J995" s="135" t="s">
        <v>23</v>
      </c>
      <c r="K995" s="135" t="s">
        <v>215</v>
      </c>
      <c r="L995" s="6" t="s">
        <v>392</v>
      </c>
      <c r="M995" s="256">
        <v>30</v>
      </c>
      <c r="N995" s="256">
        <v>64</v>
      </c>
      <c r="O995" s="256">
        <v>1</v>
      </c>
      <c r="P995" s="257">
        <v>3</v>
      </c>
      <c r="Q995" s="129">
        <v>119</v>
      </c>
      <c r="R995" s="98">
        <v>0.50009999999999999</v>
      </c>
      <c r="S995" s="94">
        <f>((Table3.110[[#This Row],[Sample weight, g]]*'2.1. DM'!Q247)/100)*1000</f>
        <v>467.89998968012804</v>
      </c>
      <c r="T995" s="94">
        <f>'3.2 Digest'!W995</f>
        <v>200.39998968012799</v>
      </c>
      <c r="U995" s="117">
        <v>0.32777777777777778</v>
      </c>
      <c r="V995" s="155">
        <v>42</v>
      </c>
      <c r="W995" s="117">
        <v>0.66527777777777775</v>
      </c>
      <c r="X995" s="97">
        <v>78</v>
      </c>
      <c r="Y995" s="97">
        <v>12</v>
      </c>
      <c r="Z995" s="155">
        <v>41</v>
      </c>
      <c r="AA995" s="117">
        <v>0.33680555555555558</v>
      </c>
      <c r="AB995" s="155">
        <v>74</v>
      </c>
      <c r="AC995" s="155">
        <v>15.5</v>
      </c>
      <c r="AD995" s="96"/>
      <c r="AE995" s="94">
        <f>Table3.110[[#This Row],[Gas 8h, ml]]-Table3.110[[#This Row],[Gas 0h, ml]]</f>
        <v>36</v>
      </c>
      <c r="AF995" s="94">
        <f>Table3.110[[#This Row],[Gas 24h, ml]]-Table3.110[[#This Row],[V8 Push back, ml]]</f>
        <v>33</v>
      </c>
      <c r="AG995" s="94">
        <f>Table3.110[[#This Row],[GP 8h, ml]]-(AVERAGE(AE$982,AE$983,AE$1032,AE$1033,AE$1085,AE$1086))*$AG$8</f>
        <v>33.271229168713369</v>
      </c>
      <c r="AH995" s="94">
        <f>Table3.110[[#This Row],[GP 8-24h, ml]]-(AVERAGE(AF$982,AF$983,AF$1032,AF$1033,AF$1085,AF$1086))*$AG$8</f>
        <v>29.349347131116534</v>
      </c>
      <c r="AI995" s="94">
        <f>Table3.110[[#This Row],[Net gas 8-24h, ml]]+Table3.110[[#This Row],[Net gas 8h, ml]]</f>
        <v>62.620576299829906</v>
      </c>
      <c r="AJ995" s="94">
        <f>Table3.110[[#This Row],[Net gas 8h, ml]]*Table3.110[[#This Row],[CH4 8h %]]%</f>
        <v>3.9925475002456041</v>
      </c>
      <c r="AK995" s="94">
        <f>Table3.110[[#This Row],[Net gas 8-24h, ml]]*Table3.110[[#This Row],[CH4 24h, %]]%</f>
        <v>4.5491488053230631</v>
      </c>
      <c r="AL995" s="94">
        <f>Table3.110[[#This Row],[CH4 8-24h, ml]]+Table3.110[[#This Row],[CH4 8h, ml]]</f>
        <v>8.5416963055686672</v>
      </c>
      <c r="AM995" s="94">
        <f>(Table3.110[[#This Row],[Net gas 24h, ml]]/Table3.110[[#This Row],[DM Incubated, mg]])*1000</f>
        <v>133.83325001276322</v>
      </c>
      <c r="AN995" s="94">
        <f>'3.2 Digest'!X995</f>
        <v>42.829663197284546</v>
      </c>
      <c r="AO995" s="94">
        <f>Table3.110[[#This Row],[Digested feed, mg]]/Table3.110[[#This Row],[Net gas 24h, ml]]</f>
        <v>3.2002258925341818</v>
      </c>
      <c r="AP995" s="94">
        <f>Table3.110[[#This Row],[CH4 8h, ml]]/Table3.110[[#This Row],[Net gas 8h, ml]]%</f>
        <v>12</v>
      </c>
      <c r="AQ995" s="94">
        <f>Table3.110[[#This Row],[CH4 24h, ml]]/Table3.110[[#This Row],[Net gas 24h, ml]]%</f>
        <v>13.640398747962127</v>
      </c>
      <c r="AR995" s="94">
        <f>Table3.110[[#This Row],[CH4 24h, ml]]/Table3.110[[#This Row],[DM Incubated, mg]]*1000</f>
        <v>18.255388959097978</v>
      </c>
      <c r="AS995" s="94">
        <f>Table3.110[[#This Row],[CH4 24h, ml]]/Table3.110[[#This Row],[Digested feed, mg]]*1000</f>
        <v>42.62323725266976</v>
      </c>
      <c r="AT995" s="94">
        <f>Table3.110[[#This Row],[CH4 24h, ml]]/'3.2 Digest'!AA995</f>
        <v>-0.68410221921960401</v>
      </c>
      <c r="AU995" s="94">
        <f>((Table3.110[[#This Row],[CH4 24h, ml]]/28.9)*16.04)/Table3.110[[#This Row],[DM Incubated, mg]]*1000</f>
        <v>10.132056709478599</v>
      </c>
      <c r="AV995" s="94">
        <f>((Table3.110[[#This Row],[CH4 24h, ml]]/28.9)*16.04)/Table3.110[[#This Row],[Digested feed, mg]]*1000</f>
        <v>23.656634101481764</v>
      </c>
      <c r="AW995" s="64"/>
    </row>
    <row r="996" spans="2:50" x14ac:dyDescent="0.35">
      <c r="B996" s="90">
        <f t="shared" si="15"/>
        <v>986</v>
      </c>
      <c r="C996" s="140">
        <v>46064</v>
      </c>
      <c r="D996" s="6" t="s">
        <v>16</v>
      </c>
      <c r="E996" s="6" t="s">
        <v>395</v>
      </c>
      <c r="F996" s="242" t="s">
        <v>240</v>
      </c>
      <c r="G996" s="242" t="s">
        <v>396</v>
      </c>
      <c r="H996" s="6" t="s">
        <v>397</v>
      </c>
      <c r="I996" s="133" t="s">
        <v>22</v>
      </c>
      <c r="J996" s="135" t="s">
        <v>23</v>
      </c>
      <c r="K996" s="135" t="s">
        <v>215</v>
      </c>
      <c r="L996" s="6" t="s">
        <v>394</v>
      </c>
      <c r="M996" s="256">
        <v>30</v>
      </c>
      <c r="N996" s="256">
        <v>64</v>
      </c>
      <c r="O996" s="256">
        <v>1</v>
      </c>
      <c r="P996" s="257">
        <v>1</v>
      </c>
      <c r="Q996" s="129">
        <v>120</v>
      </c>
      <c r="R996" s="98">
        <v>0.50049999999999994</v>
      </c>
      <c r="S996" s="94">
        <f>((Table3.110[[#This Row],[Sample weight, g]]*'2.1. DM'!Q249)/100)*1000</f>
        <v>473.60748049040865</v>
      </c>
      <c r="T996" s="94">
        <f>'3.2 Digest'!W996</f>
        <v>191.10748049040865</v>
      </c>
      <c r="U996" s="153">
        <v>0.32847222222222222</v>
      </c>
      <c r="V996" s="154">
        <v>40.5</v>
      </c>
      <c r="W996" s="153">
        <v>0.66597222222222219</v>
      </c>
      <c r="X996" s="95">
        <v>77.5</v>
      </c>
      <c r="Y996" s="95">
        <v>13.3</v>
      </c>
      <c r="Z996" s="154">
        <v>41</v>
      </c>
      <c r="AA996" s="153">
        <v>0.33750000000000002</v>
      </c>
      <c r="AB996" s="154">
        <v>76.5</v>
      </c>
      <c r="AC996" s="154">
        <v>16.600000000000001</v>
      </c>
      <c r="AD996" s="91"/>
      <c r="AE996" s="94"/>
      <c r="AF996" s="94"/>
      <c r="AG996" s="94">
        <v>34.271229168713369</v>
      </c>
      <c r="AH996" s="94">
        <v>31.849347131116534</v>
      </c>
      <c r="AI996" s="94">
        <v>66.120576299829906</v>
      </c>
      <c r="AJ996" s="94">
        <v>4.5580734794388782</v>
      </c>
      <c r="AK996" s="94">
        <v>5.2869916237653447</v>
      </c>
      <c r="AL996" s="94">
        <v>9.8450651032042238</v>
      </c>
      <c r="AM996" s="94">
        <v>139.61049819433535</v>
      </c>
      <c r="AN996" s="94">
        <v>40.351448902901964</v>
      </c>
      <c r="AO996" s="94">
        <v>2.8902875804320578</v>
      </c>
      <c r="AP996" s="94">
        <v>13.3</v>
      </c>
      <c r="AQ996" s="94">
        <v>14.889563361578793</v>
      </c>
      <c r="AR996" s="94">
        <v>20.787393588061374</v>
      </c>
      <c r="AS996" s="94">
        <v>51.515854209057665</v>
      </c>
      <c r="AT996" s="94">
        <v>4.9669778354592511</v>
      </c>
      <c r="AU996" s="94">
        <v>11.537363084861745</v>
      </c>
      <c r="AV996" s="255">
        <v>28.59219036378148</v>
      </c>
      <c r="AW996" s="255"/>
      <c r="AX996" s="255"/>
    </row>
    <row r="997" spans="2:50" x14ac:dyDescent="0.35">
      <c r="B997" s="90">
        <f t="shared" si="15"/>
        <v>987</v>
      </c>
      <c r="C997" s="140">
        <v>46064</v>
      </c>
      <c r="D997" s="6" t="s">
        <v>16</v>
      </c>
      <c r="E997" s="6" t="s">
        <v>395</v>
      </c>
      <c r="F997" s="242" t="s">
        <v>240</v>
      </c>
      <c r="G997" s="242" t="s">
        <v>396</v>
      </c>
      <c r="H997" s="6" t="s">
        <v>397</v>
      </c>
      <c r="I997" s="133" t="s">
        <v>22</v>
      </c>
      <c r="J997" s="135" t="s">
        <v>23</v>
      </c>
      <c r="K997" s="135" t="s">
        <v>215</v>
      </c>
      <c r="L997" s="6" t="s">
        <v>394</v>
      </c>
      <c r="M997" s="256">
        <v>30</v>
      </c>
      <c r="N997" s="256">
        <v>64</v>
      </c>
      <c r="O997" s="256">
        <v>1</v>
      </c>
      <c r="P997" s="257">
        <v>2</v>
      </c>
      <c r="Q997" s="6">
        <v>121</v>
      </c>
      <c r="R997" s="98">
        <v>0.50019999999999998</v>
      </c>
      <c r="S997" s="94">
        <f>((Table3.110[[#This Row],[Sample weight, g]]*'2.1. DM'!Q249)/100)*1000</f>
        <v>473.32359988272208</v>
      </c>
      <c r="T997" s="94"/>
      <c r="U997" s="117">
        <v>0.32847222222222222</v>
      </c>
      <c r="V997" s="155">
        <v>41.5</v>
      </c>
      <c r="W997" s="117">
        <v>0.66597222222222219</v>
      </c>
      <c r="X997" s="97">
        <v>78</v>
      </c>
      <c r="Y997" s="97">
        <v>14</v>
      </c>
      <c r="Z997" s="155">
        <v>41.5</v>
      </c>
      <c r="AA997" s="117">
        <v>0.33750000000000002</v>
      </c>
      <c r="AB997" s="155">
        <v>75.5</v>
      </c>
      <c r="AC997" s="155">
        <v>16.8</v>
      </c>
      <c r="AD997" s="96" t="s">
        <v>589</v>
      </c>
      <c r="AE997" s="94"/>
      <c r="AF997" s="94"/>
      <c r="AG997" s="94"/>
      <c r="AH997" s="94"/>
      <c r="AI997" s="94"/>
      <c r="AJ997" s="94"/>
      <c r="AK997" s="94"/>
      <c r="AL997" s="94"/>
      <c r="AM997" s="94"/>
      <c r="AN997" s="94"/>
      <c r="AO997" s="94"/>
      <c r="AP997" s="94"/>
      <c r="AQ997" s="94"/>
      <c r="AR997" s="94"/>
      <c r="AS997" s="94"/>
      <c r="AT997" s="94"/>
      <c r="AU997" s="94"/>
      <c r="AV997" s="94"/>
      <c r="AW997" s="94"/>
      <c r="AX997" s="94"/>
    </row>
    <row r="998" spans="2:50" x14ac:dyDescent="0.35">
      <c r="B998" s="90">
        <f t="shared" si="15"/>
        <v>988</v>
      </c>
      <c r="C998" s="140">
        <v>46064</v>
      </c>
      <c r="D998" s="6" t="s">
        <v>16</v>
      </c>
      <c r="E998" s="6" t="s">
        <v>395</v>
      </c>
      <c r="F998" s="242" t="s">
        <v>240</v>
      </c>
      <c r="G998" s="242" t="s">
        <v>396</v>
      </c>
      <c r="H998" s="6" t="s">
        <v>397</v>
      </c>
      <c r="I998" s="133" t="s">
        <v>22</v>
      </c>
      <c r="J998" s="135" t="s">
        <v>23</v>
      </c>
      <c r="K998" s="135" t="s">
        <v>215</v>
      </c>
      <c r="L998" s="6" t="s">
        <v>394</v>
      </c>
      <c r="M998" s="256">
        <v>30</v>
      </c>
      <c r="N998" s="256">
        <v>64</v>
      </c>
      <c r="O998" s="256">
        <v>1</v>
      </c>
      <c r="P998" s="257">
        <v>3</v>
      </c>
      <c r="Q998" s="129">
        <v>122</v>
      </c>
      <c r="R998" s="98">
        <v>0.50009999999999999</v>
      </c>
      <c r="S998" s="94">
        <f>((Table3.110[[#This Row],[Sample weight, g]]*'2.1. DM'!Q249)/100)*1000</f>
        <v>473.22897301349332</v>
      </c>
      <c r="T998" s="94">
        <f>'3.2 Digest'!W998</f>
        <v>196.72897301349326</v>
      </c>
      <c r="U998" s="153">
        <v>0.32847222222222222</v>
      </c>
      <c r="V998" s="154">
        <v>40</v>
      </c>
      <c r="W998" s="153">
        <v>0.66666666666666663</v>
      </c>
      <c r="X998" s="95">
        <v>77.5</v>
      </c>
      <c r="Y998" s="95">
        <v>13.6</v>
      </c>
      <c r="Z998" s="154">
        <v>42</v>
      </c>
      <c r="AA998" s="153">
        <v>0.33819444444444446</v>
      </c>
      <c r="AB998" s="154">
        <v>76.5</v>
      </c>
      <c r="AC998" s="154">
        <v>16.5</v>
      </c>
      <c r="AD998" s="91"/>
      <c r="AE998" s="94"/>
      <c r="AF998" s="94"/>
      <c r="AG998" s="94">
        <v>34.771229168713369</v>
      </c>
      <c r="AH998" s="94">
        <v>30.849347131116534</v>
      </c>
      <c r="AI998" s="94">
        <v>65.620576299829906</v>
      </c>
      <c r="AJ998" s="94">
        <v>4.7288871669450181</v>
      </c>
      <c r="AK998" s="94">
        <v>5.0901422766342286</v>
      </c>
      <c r="AL998" s="94">
        <v>9.8190294435792467</v>
      </c>
      <c r="AM998" s="94">
        <v>138.6655932792155</v>
      </c>
      <c r="AN998" s="94">
        <v>41.571624780438768</v>
      </c>
      <c r="AO998" s="94">
        <v>2.9979769167922288</v>
      </c>
      <c r="AP998" s="94">
        <v>13.6</v>
      </c>
      <c r="AQ998" s="94">
        <v>14.96333924090316</v>
      </c>
      <c r="AR998" s="94">
        <v>20.749003132780025</v>
      </c>
      <c r="AS998" s="94">
        <v>49.911455812387018</v>
      </c>
      <c r="AT998" s="94">
        <v>2.4626586869248328</v>
      </c>
      <c r="AU998" s="94">
        <v>11.516055717985868</v>
      </c>
      <c r="AV998" s="94">
        <v>27.701721495871542</v>
      </c>
      <c r="AW998" s="94"/>
      <c r="AX998" s="94"/>
    </row>
    <row r="999" spans="2:50" x14ac:dyDescent="0.35">
      <c r="B999" s="90">
        <f t="shared" si="15"/>
        <v>989</v>
      </c>
      <c r="C999" s="140">
        <v>46064</v>
      </c>
      <c r="D999" s="6" t="s">
        <v>16</v>
      </c>
      <c r="E999" s="6" t="s">
        <v>399</v>
      </c>
      <c r="F999" s="242" t="s">
        <v>240</v>
      </c>
      <c r="G999" s="242" t="s">
        <v>400</v>
      </c>
      <c r="H999" s="6" t="s">
        <v>401</v>
      </c>
      <c r="I999" s="133" t="s">
        <v>22</v>
      </c>
      <c r="J999" s="135" t="s">
        <v>23</v>
      </c>
      <c r="K999" s="135" t="s">
        <v>215</v>
      </c>
      <c r="L999" s="6" t="s">
        <v>398</v>
      </c>
      <c r="M999" s="256">
        <v>30</v>
      </c>
      <c r="N999" s="256">
        <v>64</v>
      </c>
      <c r="O999" s="256">
        <v>1</v>
      </c>
      <c r="P999" s="257">
        <v>1</v>
      </c>
      <c r="Q999" s="129">
        <v>123</v>
      </c>
      <c r="R999" s="98">
        <v>0.5</v>
      </c>
      <c r="S999" s="94">
        <f>((Table3.110[[#This Row],[Sample weight, g]]*'2.1. DM'!Q251)/100)*1000</f>
        <v>477.28521285139124</v>
      </c>
      <c r="T999" s="94">
        <f>'3.2 Digest'!W999</f>
        <v>90.085212851391248</v>
      </c>
      <c r="U999" s="117">
        <v>0.32916666666666666</v>
      </c>
      <c r="V999" s="155">
        <v>40</v>
      </c>
      <c r="W999" s="117">
        <v>0.66736111111111107</v>
      </c>
      <c r="X999" s="97">
        <v>67</v>
      </c>
      <c r="Y999" s="97">
        <v>13.3</v>
      </c>
      <c r="Z999" s="155">
        <v>40</v>
      </c>
      <c r="AA999" s="117">
        <v>0.33888888888888891</v>
      </c>
      <c r="AB999" s="155">
        <v>52</v>
      </c>
      <c r="AC999" s="155">
        <v>15.6</v>
      </c>
      <c r="AD999" s="96"/>
      <c r="AE999" s="94">
        <f>Table3.110[[#This Row],[Gas 8h, ml]]-Table3.110[[#This Row],[Gas 0h, ml]]</f>
        <v>27</v>
      </c>
      <c r="AF999" s="94">
        <f>Table3.110[[#This Row],[Gas 24h, ml]]-Table3.110[[#This Row],[V8 Push back, ml]]</f>
        <v>12</v>
      </c>
      <c r="AG999" s="94">
        <f>Table3.110[[#This Row],[GP 8h, ml]]-(AVERAGE(AE$982,AE$983,AE$1032,AE$1033,AE$1085,AE$1086))*$AG$8</f>
        <v>24.271229168713369</v>
      </c>
      <c r="AH999" s="94">
        <f>Table3.110[[#This Row],[GP 8-24h, ml]]-(AVERAGE(AF$982,AF$983,AF$1032,AF$1033,AF$1085,AF$1086))*$AG$8</f>
        <v>8.3493471311165344</v>
      </c>
      <c r="AI999" s="94">
        <f>Table3.110[[#This Row],[Net gas 8-24h, ml]]+Table3.110[[#This Row],[Net gas 8h, ml]]</f>
        <v>32.620576299829906</v>
      </c>
      <c r="AJ999" s="94">
        <f>Table3.110[[#This Row],[Net gas 8h, ml]]*Table3.110[[#This Row],[CH4 8h %]]%</f>
        <v>3.2280734794388781</v>
      </c>
      <c r="AK999" s="94">
        <f>Table3.110[[#This Row],[Net gas 8-24h, ml]]*Table3.110[[#This Row],[CH4 24h, %]]%</f>
        <v>1.3024981524541794</v>
      </c>
      <c r="AL999" s="94">
        <f>Table3.110[[#This Row],[CH4 8-24h, ml]]+Table3.110[[#This Row],[CH4 8h, ml]]</f>
        <v>4.5305716318930571</v>
      </c>
      <c r="AM999" s="94">
        <f>(Table3.110[[#This Row],[Net gas 24h, ml]]/Table3.110[[#This Row],[DM Incubated, mg]])*1000</f>
        <v>68.346086200635625</v>
      </c>
      <c r="AN999" s="94">
        <f>'3.2 Digest'!X999</f>
        <v>18.874503216474132</v>
      </c>
      <c r="AO999" s="94">
        <f>Table3.110[[#This Row],[Digested feed, mg]]/Table3.110[[#This Row],[Net gas 24h, ml]]</f>
        <v>2.7616070305864273</v>
      </c>
      <c r="AP999" s="94">
        <f>Table3.110[[#This Row],[CH4 8h, ml]]/Table3.110[[#This Row],[Net gas 8h, ml]]%</f>
        <v>13.3</v>
      </c>
      <c r="AQ999" s="94">
        <f>Table3.110[[#This Row],[CH4 24h, ml]]/Table3.110[[#This Row],[Net gas 24h, ml]]%</f>
        <v>13.88869280006154</v>
      </c>
      <c r="AR999" s="94">
        <f>Table3.110[[#This Row],[CH4 24h, ml]]/Table3.110[[#This Row],[DM Incubated, mg]]*1000</f>
        <v>9.4923779532715322</v>
      </c>
      <c r="AS999" s="94">
        <f>Table3.110[[#This Row],[CH4 24h, ml]]/Table3.110[[#This Row],[Digested feed, mg]]*1000</f>
        <v>50.292067793267009</v>
      </c>
      <c r="AT999" s="94">
        <f>Table3.110[[#This Row],[CH4 24h, ml]]/'3.2 Digest'!AA999</f>
        <v>-0.10261158203762227</v>
      </c>
      <c r="AU999" s="94">
        <f>((Table3.110[[#This Row],[CH4 24h, ml]]/28.9)*16.04)/Table3.110[[#This Row],[DM Incubated, mg]]*1000</f>
        <v>5.2684339920579717</v>
      </c>
      <c r="AV999" s="94">
        <f>((Table3.110[[#This Row],[CH4 24h, ml]]/28.9)*16.04)/Table3.110[[#This Row],[Digested feed, mg]]*1000</f>
        <v>27.912967730242311</v>
      </c>
      <c r="AW999" s="94"/>
      <c r="AX999" s="94"/>
    </row>
    <row r="1000" spans="2:50" x14ac:dyDescent="0.35">
      <c r="B1000" s="90">
        <f t="shared" si="15"/>
        <v>990</v>
      </c>
      <c r="C1000" s="140">
        <v>46064</v>
      </c>
      <c r="D1000" s="6" t="s">
        <v>16</v>
      </c>
      <c r="E1000" s="6" t="s">
        <v>399</v>
      </c>
      <c r="F1000" s="242" t="s">
        <v>240</v>
      </c>
      <c r="G1000" s="242" t="s">
        <v>400</v>
      </c>
      <c r="H1000" s="6" t="s">
        <v>401</v>
      </c>
      <c r="I1000" s="133" t="s">
        <v>22</v>
      </c>
      <c r="J1000" s="135" t="s">
        <v>23</v>
      </c>
      <c r="K1000" s="135" t="s">
        <v>215</v>
      </c>
      <c r="L1000" s="6" t="s">
        <v>398</v>
      </c>
      <c r="M1000" s="256">
        <v>30</v>
      </c>
      <c r="N1000" s="256">
        <v>64</v>
      </c>
      <c r="O1000" s="256">
        <v>1</v>
      </c>
      <c r="P1000" s="257">
        <v>2</v>
      </c>
      <c r="Q1000" s="6">
        <v>124</v>
      </c>
      <c r="R1000" s="98">
        <v>0.50009999999999999</v>
      </c>
      <c r="S1000" s="94">
        <f>((Table3.110[[#This Row],[Sample weight, g]]*'2.1. DM'!Q251)/100)*1000</f>
        <v>477.38066989396157</v>
      </c>
      <c r="T1000" s="94">
        <f>'3.2 Digest'!W1000</f>
        <v>97.280669893961601</v>
      </c>
      <c r="U1000" s="153">
        <v>0.32916666666666666</v>
      </c>
      <c r="V1000" s="154">
        <v>40</v>
      </c>
      <c r="W1000" s="153">
        <v>0.66736111111111107</v>
      </c>
      <c r="X1000" s="95">
        <v>64.5</v>
      </c>
      <c r="Y1000" s="95">
        <v>13.1</v>
      </c>
      <c r="Z1000" s="154">
        <v>40</v>
      </c>
      <c r="AA1000" s="153">
        <v>0.33888888888888891</v>
      </c>
      <c r="AB1000" s="154">
        <v>52</v>
      </c>
      <c r="AC1000" s="154">
        <v>14.8</v>
      </c>
      <c r="AD1000" s="91"/>
      <c r="AE1000" s="94">
        <f>Table3.110[[#This Row],[Gas 8h, ml]]-Table3.110[[#This Row],[Gas 0h, ml]]</f>
        <v>24.5</v>
      </c>
      <c r="AF1000" s="94">
        <f>Table3.110[[#This Row],[Gas 24h, ml]]-Table3.110[[#This Row],[V8 Push back, ml]]</f>
        <v>12</v>
      </c>
      <c r="AG1000" s="94">
        <f>Table3.110[[#This Row],[GP 8h, ml]]-(AVERAGE(AE$982,AE$983,AE$1032,AE$1033,AE$1085,AE$1086))*$AG$8</f>
        <v>21.771229168713369</v>
      </c>
      <c r="AH1000" s="94">
        <f>Table3.110[[#This Row],[GP 8-24h, ml]]-(AVERAGE(AF$982,AF$983,AF$1032,AF$1033,AF$1085,AF$1086))*$AG$8</f>
        <v>8.3493471311165344</v>
      </c>
      <c r="AI1000" s="94">
        <f>Table3.110[[#This Row],[Net gas 8-24h, ml]]+Table3.110[[#This Row],[Net gas 8h, ml]]</f>
        <v>30.120576299829903</v>
      </c>
      <c r="AJ1000" s="94">
        <f>Table3.110[[#This Row],[Net gas 8h, ml]]*Table3.110[[#This Row],[CH4 8h %]]%</f>
        <v>2.8520310211014515</v>
      </c>
      <c r="AK1000" s="94">
        <f>Table3.110[[#This Row],[Net gas 8-24h, ml]]*Table3.110[[#This Row],[CH4 24h, %]]%</f>
        <v>1.2357033754052473</v>
      </c>
      <c r="AL1000" s="94">
        <f>Table3.110[[#This Row],[CH4 8-24h, ml]]+Table3.110[[#This Row],[CH4 8h, ml]]</f>
        <v>4.0877343965066988</v>
      </c>
      <c r="AM1000" s="94">
        <f>(Table3.110[[#This Row],[Net gas 24h, ml]]/Table3.110[[#This Row],[DM Incubated, mg]])*1000</f>
        <v>63.095508887111933</v>
      </c>
      <c r="AN1000" s="94">
        <f>'3.2 Digest'!X1000</f>
        <v>20.378007747060668</v>
      </c>
      <c r="AO1000" s="94">
        <f>Table3.110[[#This Row],[Digested feed, mg]]/Table3.110[[#This Row],[Net gas 24h, ml]]</f>
        <v>3.2297081213054666</v>
      </c>
      <c r="AP1000" s="94">
        <f>Table3.110[[#This Row],[CH4 8h, ml]]/Table3.110[[#This Row],[Net gas 8h, ml]]%</f>
        <v>13.100000000000001</v>
      </c>
      <c r="AQ1000" s="94">
        <f>Table3.110[[#This Row],[CH4 24h, ml]]/Table3.110[[#This Row],[Net gas 24h, ml]]%</f>
        <v>13.571235675626109</v>
      </c>
      <c r="AR1000" s="94">
        <f>Table3.110[[#This Row],[CH4 24h, ml]]/Table3.110[[#This Row],[DM Incubated, mg]]*1000</f>
        <v>8.5628402118055789</v>
      </c>
      <c r="AS1000" s="94">
        <f>Table3.110[[#This Row],[CH4 24h, ml]]/Table3.110[[#This Row],[Digested feed, mg]]*1000</f>
        <v>42.020006656640348</v>
      </c>
      <c r="AT1000" s="94">
        <f>Table3.110[[#This Row],[CH4 24h, ml]]/'3.2 Digest'!AA1000</f>
        <v>-9.8544638334766968E-2</v>
      </c>
      <c r="AU1000" s="94">
        <f>((Table3.110[[#This Row],[CH4 24h, ml]]/28.9)*16.04)/Table3.110[[#This Row],[DM Incubated, mg]]*1000</f>
        <v>4.7525244635765223</v>
      </c>
      <c r="AV1000" s="94">
        <f>((Table3.110[[#This Row],[CH4 24h, ml]]/28.9)*16.04)/Table3.110[[#This Row],[Digested feed, mg]]*1000</f>
        <v>23.321830684169939</v>
      </c>
      <c r="AW1000" s="94"/>
      <c r="AX1000" s="94"/>
    </row>
    <row r="1001" spans="2:50" x14ac:dyDescent="0.35">
      <c r="B1001" s="90">
        <f t="shared" si="15"/>
        <v>991</v>
      </c>
      <c r="C1001" s="140">
        <v>46064</v>
      </c>
      <c r="D1001" s="6" t="s">
        <v>16</v>
      </c>
      <c r="E1001" s="6" t="s">
        <v>399</v>
      </c>
      <c r="F1001" s="242" t="s">
        <v>240</v>
      </c>
      <c r="G1001" s="242" t="s">
        <v>400</v>
      </c>
      <c r="H1001" s="6" t="s">
        <v>401</v>
      </c>
      <c r="I1001" s="133" t="s">
        <v>22</v>
      </c>
      <c r="J1001" s="135" t="s">
        <v>23</v>
      </c>
      <c r="K1001" s="135" t="s">
        <v>215</v>
      </c>
      <c r="L1001" s="6" t="s">
        <v>398</v>
      </c>
      <c r="M1001" s="256">
        <v>30</v>
      </c>
      <c r="N1001" s="256">
        <v>64</v>
      </c>
      <c r="O1001" s="256">
        <v>1</v>
      </c>
      <c r="P1001" s="257">
        <v>3</v>
      </c>
      <c r="Q1001" s="129">
        <v>125</v>
      </c>
      <c r="R1001" s="98">
        <v>0.50049999999999994</v>
      </c>
      <c r="S1001" s="94">
        <f>((Table3.110[[#This Row],[Sample weight, g]]*'2.1. DM'!Q251)/100)*1000</f>
        <v>477.76249806424261</v>
      </c>
      <c r="T1001" s="94">
        <f>'3.2 Digest'!W1001</f>
        <v>44.062498064242732</v>
      </c>
      <c r="U1001" s="117">
        <v>0.32916666666666666</v>
      </c>
      <c r="V1001" s="155">
        <v>41</v>
      </c>
      <c r="W1001" s="117">
        <v>0.66805555555555551</v>
      </c>
      <c r="X1001" s="97">
        <v>68</v>
      </c>
      <c r="Y1001" s="97">
        <v>13.4</v>
      </c>
      <c r="Z1001" s="155">
        <v>41</v>
      </c>
      <c r="AA1001" s="117">
        <v>0.33958333333333335</v>
      </c>
      <c r="AB1001" s="155">
        <v>53.5</v>
      </c>
      <c r="AC1001" s="155">
        <v>14.9</v>
      </c>
      <c r="AD1001" s="96"/>
      <c r="AE1001" s="94">
        <f>Table3.110[[#This Row],[Gas 8h, ml]]-Table3.110[[#This Row],[Gas 0h, ml]]</f>
        <v>27</v>
      </c>
      <c r="AF1001" s="94">
        <f>Table3.110[[#This Row],[Gas 24h, ml]]-Table3.110[[#This Row],[V8 Push back, ml]]</f>
        <v>12.5</v>
      </c>
      <c r="AG1001" s="94"/>
      <c r="AH1001" s="94"/>
      <c r="AI1001" s="94"/>
      <c r="AJ1001" s="94"/>
      <c r="AK1001" s="94"/>
      <c r="AL1001" s="94"/>
      <c r="AM1001" s="94"/>
      <c r="AN1001" s="94"/>
      <c r="AO1001" s="94"/>
      <c r="AP1001" s="94"/>
      <c r="AQ1001" s="94"/>
      <c r="AR1001" s="94"/>
      <c r="AS1001" s="94"/>
      <c r="AT1001" s="94"/>
      <c r="AU1001" s="94"/>
      <c r="AV1001" s="94"/>
      <c r="AW1001" s="94" t="s">
        <v>611</v>
      </c>
      <c r="AX1001" s="94"/>
    </row>
    <row r="1002" spans="2:50" x14ac:dyDescent="0.35">
      <c r="B1002" s="90">
        <f t="shared" si="15"/>
        <v>992</v>
      </c>
      <c r="C1002" s="140">
        <v>46064</v>
      </c>
      <c r="D1002" s="6" t="s">
        <v>16</v>
      </c>
      <c r="E1002" s="6" t="s">
        <v>403</v>
      </c>
      <c r="F1002" s="242" t="s">
        <v>212</v>
      </c>
      <c r="G1002" s="242" t="s">
        <v>404</v>
      </c>
      <c r="H1002" s="6" t="s">
        <v>405</v>
      </c>
      <c r="I1002" s="133" t="s">
        <v>22</v>
      </c>
      <c r="J1002" s="135" t="s">
        <v>23</v>
      </c>
      <c r="K1002" s="135" t="s">
        <v>215</v>
      </c>
      <c r="L1002" s="6" t="s">
        <v>402</v>
      </c>
      <c r="M1002" s="256">
        <v>30</v>
      </c>
      <c r="N1002" s="256">
        <v>64</v>
      </c>
      <c r="O1002" s="256">
        <v>1</v>
      </c>
      <c r="P1002" s="257">
        <v>1</v>
      </c>
      <c r="Q1002" s="129">
        <v>126</v>
      </c>
      <c r="R1002" s="98">
        <v>0.50039999999999996</v>
      </c>
      <c r="S1002" s="94">
        <f>((Table3.110[[#This Row],[Sample weight, g]]*'2.1. DM'!Q253)/100)*1000</f>
        <v>472.6333533293344</v>
      </c>
      <c r="T1002" s="94">
        <f>'3.2 Digest'!W1002</f>
        <v>56.633353329334454</v>
      </c>
      <c r="U1002" s="156">
        <v>0.32916666666666666</v>
      </c>
      <c r="V1002" s="154">
        <v>40</v>
      </c>
      <c r="W1002" s="153">
        <v>0.66805555555555551</v>
      </c>
      <c r="X1002" s="95">
        <v>71.5</v>
      </c>
      <c r="Y1002" s="95">
        <v>14.2</v>
      </c>
      <c r="Z1002" s="154">
        <v>40</v>
      </c>
      <c r="AA1002" s="153">
        <v>0.34027777777777779</v>
      </c>
      <c r="AB1002" s="154">
        <v>71.5</v>
      </c>
      <c r="AC1002" s="154">
        <v>16.600000000000001</v>
      </c>
      <c r="AD1002" s="91"/>
      <c r="AE1002" s="94">
        <f>Table3.110[[#This Row],[Gas 8h, ml]]-Table3.110[[#This Row],[Gas 0h, ml]]</f>
        <v>31.5</v>
      </c>
      <c r="AF1002" s="94">
        <f>Table3.110[[#This Row],[Gas 24h, ml]]-Table3.110[[#This Row],[V8 Push back, ml]]</f>
        <v>31.5</v>
      </c>
      <c r="AG1002" s="94">
        <f>Table3.110[[#This Row],[GP 8h, ml]]-(AVERAGE(AE$982,AE$983,AE$1032,AE$1033,AE$1085,AE$1086))*$AG$8</f>
        <v>28.771229168713369</v>
      </c>
      <c r="AH1002" s="94">
        <f>Table3.110[[#This Row],[GP 8-24h, ml]]-(AVERAGE(AF$982,AF$983,AF$1032,AF$1033,AF$1085,AF$1086))*$AG$8</f>
        <v>27.849347131116534</v>
      </c>
      <c r="AI1002" s="94">
        <f>Table3.110[[#This Row],[Net gas 8-24h, ml]]+Table3.110[[#This Row],[Net gas 8h, ml]]</f>
        <v>56.620576299829906</v>
      </c>
      <c r="AJ1002" s="94">
        <f>Table3.110[[#This Row],[Net gas 8h, ml]]*Table3.110[[#This Row],[CH4 8h %]]%</f>
        <v>4.0855145419572976</v>
      </c>
      <c r="AK1002" s="94">
        <f>Table3.110[[#This Row],[Net gas 8-24h, ml]]*Table3.110[[#This Row],[CH4 24h, %]]%</f>
        <v>4.622991623765345</v>
      </c>
      <c r="AL1002" s="94">
        <f>Table3.110[[#This Row],[CH4 8-24h, ml]]+Table3.110[[#This Row],[CH4 8h, ml]]</f>
        <v>8.7085061657226426</v>
      </c>
      <c r="AM1002" s="94">
        <f>(Table3.110[[#This Row],[Net gas 24h, ml]]/Table3.110[[#This Row],[DM Incubated, mg]])*1000</f>
        <v>119.79809698359622</v>
      </c>
      <c r="AN1002" s="94">
        <f>'3.2 Digest'!X1002</f>
        <v>11.982513068617887</v>
      </c>
      <c r="AO1002" s="94">
        <f>Table3.110[[#This Row],[Digested feed, mg]]/Table3.110[[#This Row],[Net gas 24h, ml]]</f>
        <v>1.0002256605343769</v>
      </c>
      <c r="AP1002" s="94">
        <f>Table3.110[[#This Row],[CH4 8h, ml]]/Table3.110[[#This Row],[Net gas 8h, ml]]%</f>
        <v>14.199999999999998</v>
      </c>
      <c r="AQ1002" s="94">
        <f>Table3.110[[#This Row],[CH4 24h, ml]]/Table3.110[[#This Row],[Net gas 24h, ml]]%</f>
        <v>15.380461900647951</v>
      </c>
      <c r="AR1002" s="94">
        <f>Table3.110[[#This Row],[CH4 24h, ml]]/Table3.110[[#This Row],[DM Incubated, mg]]*1000</f>
        <v>18.4255006642633</v>
      </c>
      <c r="AS1002" s="94">
        <f>Table3.110[[#This Row],[CH4 24h, ml]]/Table3.110[[#This Row],[Digested feed, mg]]*1000</f>
        <v>153.76991920434077</v>
      </c>
      <c r="AT1002" s="94">
        <f>Table3.110[[#This Row],[CH4 24h, ml]]/'3.2 Digest'!AA1002</f>
        <v>-0.1967256621627296</v>
      </c>
      <c r="AU1002" s="94">
        <f>((Table3.110[[#This Row],[CH4 24h, ml]]/28.9)*16.04)/Table3.110[[#This Row],[DM Incubated, mg]]*1000</f>
        <v>10.22647164895444</v>
      </c>
      <c r="AV1002" s="94">
        <f>((Table3.110[[#This Row],[CH4 24h, ml]]/28.9)*16.04)/Table3.110[[#This Row],[Digested feed, mg]]*1000</f>
        <v>85.34496553763411</v>
      </c>
      <c r="AW1002" s="94"/>
      <c r="AX1002" s="94"/>
    </row>
    <row r="1003" spans="2:50" x14ac:dyDescent="0.35">
      <c r="B1003" s="90">
        <f t="shared" si="15"/>
        <v>993</v>
      </c>
      <c r="C1003" s="140">
        <v>46064</v>
      </c>
      <c r="D1003" s="6" t="s">
        <v>16</v>
      </c>
      <c r="E1003" s="6" t="s">
        <v>403</v>
      </c>
      <c r="F1003" s="242" t="s">
        <v>212</v>
      </c>
      <c r="G1003" s="242" t="s">
        <v>404</v>
      </c>
      <c r="H1003" s="6" t="s">
        <v>405</v>
      </c>
      <c r="I1003" s="133" t="s">
        <v>22</v>
      </c>
      <c r="J1003" s="135" t="s">
        <v>23</v>
      </c>
      <c r="K1003" s="135" t="s">
        <v>215</v>
      </c>
      <c r="L1003" s="6" t="s">
        <v>402</v>
      </c>
      <c r="M1003" s="256">
        <v>30</v>
      </c>
      <c r="N1003" s="256">
        <v>64</v>
      </c>
      <c r="O1003" s="256">
        <v>1</v>
      </c>
      <c r="P1003" s="257">
        <v>2</v>
      </c>
      <c r="Q1003" s="6">
        <v>127</v>
      </c>
      <c r="R1003" s="98">
        <v>0.50060000000000004</v>
      </c>
      <c r="S1003" s="94">
        <f>((Table3.110[[#This Row],[Sample weight, g]]*'2.1. DM'!Q253)/100)*1000</f>
        <v>472.8222555488905</v>
      </c>
      <c r="T1003" s="94">
        <f>'3.2 Digest'!W1003</f>
        <v>143.12225554889051</v>
      </c>
      <c r="U1003" s="117">
        <v>0.32916666666666666</v>
      </c>
      <c r="V1003" s="155">
        <v>40.5</v>
      </c>
      <c r="W1003" s="117">
        <v>0.66874999999999996</v>
      </c>
      <c r="X1003" s="97">
        <v>69.5</v>
      </c>
      <c r="Y1003" s="97">
        <v>14.7</v>
      </c>
      <c r="Z1003" s="155">
        <v>40</v>
      </c>
      <c r="AA1003" s="117">
        <v>0.34027777777777779</v>
      </c>
      <c r="AB1003" s="155">
        <v>71.5</v>
      </c>
      <c r="AC1003" s="155">
        <v>16.899999999999999</v>
      </c>
      <c r="AD1003" s="96"/>
      <c r="AE1003" s="94">
        <f>Table3.110[[#This Row],[Gas 8h, ml]]-Table3.110[[#This Row],[Gas 0h, ml]]</f>
        <v>29</v>
      </c>
      <c r="AF1003" s="94">
        <f>Table3.110[[#This Row],[Gas 24h, ml]]-Table3.110[[#This Row],[V8 Push back, ml]]</f>
        <v>31.5</v>
      </c>
      <c r="AG1003" s="94">
        <f>Table3.110[[#This Row],[GP 8h, ml]]-(AVERAGE(AE$982,AE$983,AE$1032,AE$1033,AE$1085,AE$1086))*$AG$8</f>
        <v>26.271229168713369</v>
      </c>
      <c r="AH1003" s="94">
        <f>Table3.110[[#This Row],[GP 8-24h, ml]]-(AVERAGE(AF$982,AF$983,AF$1032,AF$1033,AF$1085,AF$1086))*$AG$8</f>
        <v>27.849347131116534</v>
      </c>
      <c r="AI1003" s="94">
        <f>Table3.110[[#This Row],[Net gas 8-24h, ml]]+Table3.110[[#This Row],[Net gas 8h, ml]]</f>
        <v>54.120576299829906</v>
      </c>
      <c r="AJ1003" s="94">
        <f>Table3.110[[#This Row],[Net gas 8h, ml]]*Table3.110[[#This Row],[CH4 8h %]]%</f>
        <v>3.8618706878008648</v>
      </c>
      <c r="AK1003" s="94">
        <f>Table3.110[[#This Row],[Net gas 8-24h, ml]]*Table3.110[[#This Row],[CH4 24h, %]]%</f>
        <v>4.7065396651586937</v>
      </c>
      <c r="AL1003" s="94">
        <f>Table3.110[[#This Row],[CH4 8-24h, ml]]+Table3.110[[#This Row],[CH4 8h, ml]]</f>
        <v>8.5684103529595586</v>
      </c>
      <c r="AM1003" s="94">
        <f>(Table3.110[[#This Row],[Net gas 24h, ml]]/Table3.110[[#This Row],[DM Incubated, mg]])*1000</f>
        <v>114.46283601223962</v>
      </c>
      <c r="AN1003" s="94">
        <f>'3.2 Digest'!X1003</f>
        <v>30.269779789181573</v>
      </c>
      <c r="AO1003" s="94">
        <f>Table3.110[[#This Row],[Digested feed, mg]]/Table3.110[[#This Row],[Net gas 24h, ml]]</f>
        <v>2.6445072342908573</v>
      </c>
      <c r="AP1003" s="94">
        <f>Table3.110[[#This Row],[CH4 8h, ml]]/Table3.110[[#This Row],[Net gas 8h, ml]]%</f>
        <v>14.7</v>
      </c>
      <c r="AQ1003" s="94">
        <f>Table3.110[[#This Row],[CH4 24h, ml]]/Table3.110[[#This Row],[Net gas 24h, ml]]%</f>
        <v>15.83207522678669</v>
      </c>
      <c r="AR1003" s="94">
        <f>Table3.110[[#This Row],[CH4 24h, ml]]/Table3.110[[#This Row],[DM Incubated, mg]]*1000</f>
        <v>18.12184230417126</v>
      </c>
      <c r="AS1003" s="94">
        <f>Table3.110[[#This Row],[CH4 24h, ml]]/Table3.110[[#This Row],[Digested feed, mg]]*1000</f>
        <v>59.867770530157649</v>
      </c>
      <c r="AT1003" s="94">
        <f>Table3.110[[#This Row],[CH4 24h, ml]]/'3.2 Digest'!AA1003</f>
        <v>-0.59948050033217815</v>
      </c>
      <c r="AU1003" s="94">
        <f>((Table3.110[[#This Row],[CH4 24h, ml]]/28.9)*16.04)/Table3.110[[#This Row],[DM Incubated, mg]]*1000</f>
        <v>10.057936005498513</v>
      </c>
      <c r="AV1003" s="94">
        <f>((Table3.110[[#This Row],[CH4 24h, ml]]/28.9)*16.04)/Table3.110[[#This Row],[Digested feed, mg]]*1000</f>
        <v>33.227648418814134</v>
      </c>
      <c r="AW1003" s="94"/>
      <c r="AX1003" s="94"/>
    </row>
    <row r="1004" spans="2:50" x14ac:dyDescent="0.35">
      <c r="B1004" s="90">
        <f t="shared" si="15"/>
        <v>994</v>
      </c>
      <c r="C1004" s="140">
        <v>46064</v>
      </c>
      <c r="D1004" s="6" t="s">
        <v>16</v>
      </c>
      <c r="E1004" s="6" t="s">
        <v>403</v>
      </c>
      <c r="F1004" s="242" t="s">
        <v>212</v>
      </c>
      <c r="G1004" s="242" t="s">
        <v>404</v>
      </c>
      <c r="H1004" s="6" t="s">
        <v>405</v>
      </c>
      <c r="I1004" s="133" t="s">
        <v>22</v>
      </c>
      <c r="J1004" s="135" t="s">
        <v>23</v>
      </c>
      <c r="K1004" s="135" t="s">
        <v>215</v>
      </c>
      <c r="L1004" s="6" t="s">
        <v>402</v>
      </c>
      <c r="M1004" s="256">
        <v>30</v>
      </c>
      <c r="N1004" s="256">
        <v>64</v>
      </c>
      <c r="O1004" s="256">
        <v>1</v>
      </c>
      <c r="P1004" s="257">
        <v>3</v>
      </c>
      <c r="Q1004" s="129">
        <v>128</v>
      </c>
      <c r="R1004" s="98">
        <v>0.50029999999999997</v>
      </c>
      <c r="S1004" s="94">
        <f>((Table3.110[[#This Row],[Sample weight, g]]*'2.1. DM'!Q253)/100)*1000</f>
        <v>472.53890221955629</v>
      </c>
      <c r="T1004" s="94">
        <f>'3.2 Digest'!W1004</f>
        <v>68.438902219556269</v>
      </c>
      <c r="U1004" s="153">
        <v>0.3298611111111111</v>
      </c>
      <c r="V1004" s="154">
        <v>41</v>
      </c>
      <c r="W1004" s="153">
        <v>0.6694444444444444</v>
      </c>
      <c r="X1004" s="95">
        <v>71</v>
      </c>
      <c r="Y1004" s="95">
        <v>14.3</v>
      </c>
      <c r="Z1004" s="154">
        <v>40.5</v>
      </c>
      <c r="AA1004" s="153">
        <v>0.34097222222222223</v>
      </c>
      <c r="AB1004" s="154">
        <v>70.5</v>
      </c>
      <c r="AC1004" s="154">
        <v>16.8</v>
      </c>
      <c r="AD1004" s="91"/>
      <c r="AE1004" s="94">
        <f>Table3.110[[#This Row],[Gas 8h, ml]]-Table3.110[[#This Row],[Gas 0h, ml]]</f>
        <v>30</v>
      </c>
      <c r="AF1004" s="94">
        <f>Table3.110[[#This Row],[Gas 24h, ml]]-Table3.110[[#This Row],[V8 Push back, ml]]</f>
        <v>30</v>
      </c>
      <c r="AG1004" s="94">
        <f>Table3.110[[#This Row],[GP 8h, ml]]-(AVERAGE(AE$982,AE$983,AE$1032,AE$1033,AE$1085,AE$1086))*$AG$8</f>
        <v>27.271229168713369</v>
      </c>
      <c r="AH1004" s="94">
        <f>Table3.110[[#This Row],[GP 8-24h, ml]]-(AVERAGE(AF$982,AF$983,AF$1032,AF$1033,AF$1085,AF$1086))*$AG$8</f>
        <v>26.349347131116534</v>
      </c>
      <c r="AI1004" s="94">
        <f>Table3.110[[#This Row],[Net gas 8-24h, ml]]+Table3.110[[#This Row],[Net gas 8h, ml]]</f>
        <v>53.620576299829906</v>
      </c>
      <c r="AJ1004" s="94">
        <f>Table3.110[[#This Row],[Net gas 8h, ml]]*Table3.110[[#This Row],[CH4 8h %]]%</f>
        <v>3.899785771126012</v>
      </c>
      <c r="AK1004" s="94">
        <f>Table3.110[[#This Row],[Net gas 8-24h, ml]]*Table3.110[[#This Row],[CH4 24h, %]]%</f>
        <v>4.4266903180275783</v>
      </c>
      <c r="AL1004" s="94">
        <f>Table3.110[[#This Row],[CH4 8-24h, ml]]+Table3.110[[#This Row],[CH4 8h, ml]]</f>
        <v>8.3264760891535907</v>
      </c>
      <c r="AM1004" s="94">
        <f>(Table3.110[[#This Row],[Net gas 24h, ml]]/Table3.110[[#This Row],[DM Incubated, mg]])*1000</f>
        <v>113.47335859115387</v>
      </c>
      <c r="AN1004" s="94">
        <f>'3.2 Digest'!X1004</f>
        <v>14.48323130605603</v>
      </c>
      <c r="AO1004" s="94">
        <f>Table3.110[[#This Row],[Digested feed, mg]]/Table3.110[[#This Row],[Net gas 24h, ml]]</f>
        <v>1.276355215521497</v>
      </c>
      <c r="AP1004" s="94">
        <f>Table3.110[[#This Row],[CH4 8h, ml]]/Table3.110[[#This Row],[Net gas 8h, ml]]%</f>
        <v>14.3</v>
      </c>
      <c r="AQ1004" s="94">
        <f>Table3.110[[#This Row],[CH4 24h, ml]]/Table3.110[[#This Row],[Net gas 24h, ml]]%</f>
        <v>15.528509135363404</v>
      </c>
      <c r="AR1004" s="94">
        <f>Table3.110[[#This Row],[CH4 24h, ml]]/Table3.110[[#This Row],[DM Incubated, mg]]*1000</f>
        <v>17.620720855030999</v>
      </c>
      <c r="AS1004" s="94">
        <f>Table3.110[[#This Row],[CH4 24h, ml]]/Table3.110[[#This Row],[Digested feed, mg]]*1000</f>
        <v>121.66291128460442</v>
      </c>
      <c r="AT1004" s="94">
        <f>Table3.110[[#This Row],[CH4 24h, ml]]/'3.2 Digest'!AA1004</f>
        <v>-0.20728923545561403</v>
      </c>
      <c r="AU1004" s="94">
        <f>((Table3.110[[#This Row],[CH4 24h, ml]]/28.9)*16.04)/Table3.110[[#This Row],[DM Incubated, mg]]*1000</f>
        <v>9.7798049313044029</v>
      </c>
      <c r="AV1004" s="94">
        <f>((Table3.110[[#This Row],[CH4 24h, ml]]/28.9)*16.04)/Table3.110[[#This Row],[Digested feed, mg]]*1000</f>
        <v>67.525020657614363</v>
      </c>
      <c r="AW1004" s="94"/>
      <c r="AX1004" s="94"/>
    </row>
    <row r="1005" spans="2:50" x14ac:dyDescent="0.35">
      <c r="B1005" s="90">
        <f t="shared" si="15"/>
        <v>995</v>
      </c>
      <c r="C1005" s="140">
        <v>46064</v>
      </c>
      <c r="D1005" s="6" t="s">
        <v>16</v>
      </c>
      <c r="E1005" s="6" t="s">
        <v>407</v>
      </c>
      <c r="F1005" s="242" t="s">
        <v>226</v>
      </c>
      <c r="G1005" s="242" t="s">
        <v>231</v>
      </c>
      <c r="H1005" s="6" t="s">
        <v>232</v>
      </c>
      <c r="I1005" s="133" t="s">
        <v>22</v>
      </c>
      <c r="J1005" s="135" t="s">
        <v>23</v>
      </c>
      <c r="K1005" s="135" t="s">
        <v>215</v>
      </c>
      <c r="L1005" s="6" t="s">
        <v>406</v>
      </c>
      <c r="M1005" s="256">
        <v>30</v>
      </c>
      <c r="N1005" s="256">
        <v>64</v>
      </c>
      <c r="O1005" s="256">
        <v>1</v>
      </c>
      <c r="P1005" s="257">
        <v>1</v>
      </c>
      <c r="Q1005" s="129">
        <v>129</v>
      </c>
      <c r="R1005" s="98">
        <v>0.50029999999999997</v>
      </c>
      <c r="S1005" s="94">
        <f>((Table3.110[[#This Row],[Sample weight, g]]*'2.1. DM'!Q255)/100)*1000</f>
        <v>473.72101172774308</v>
      </c>
      <c r="T1005" s="94">
        <f>'3.2 Digest'!W1005</f>
        <v>158.32101172774304</v>
      </c>
      <c r="U1005" s="117">
        <v>0.3298611111111111</v>
      </c>
      <c r="V1005" s="155">
        <v>41</v>
      </c>
      <c r="W1005" s="117">
        <v>0.67013888888888884</v>
      </c>
      <c r="X1005" s="97">
        <v>78.5</v>
      </c>
      <c r="Y1005" s="97">
        <v>13.6</v>
      </c>
      <c r="Z1005" s="155">
        <v>40.5</v>
      </c>
      <c r="AA1005" s="117">
        <v>0.34097222222222223</v>
      </c>
      <c r="AB1005" s="155">
        <v>77.5</v>
      </c>
      <c r="AC1005" s="155">
        <v>16.5</v>
      </c>
      <c r="AD1005" s="96"/>
      <c r="AE1005" s="94">
        <f>Table3.110[[#This Row],[Gas 8h, ml]]-Table3.110[[#This Row],[Gas 0h, ml]]</f>
        <v>37.5</v>
      </c>
      <c r="AF1005" s="94">
        <f>Table3.110[[#This Row],[Gas 24h, ml]]-Table3.110[[#This Row],[V8 Push back, ml]]</f>
        <v>37</v>
      </c>
      <c r="AG1005" s="94">
        <f>Table3.110[[#This Row],[GP 8h, ml]]-(AVERAGE(AE$982,AE$983,AE$1032,AE$1033,AE$1085,AE$1086))*$AG$8</f>
        <v>34.771229168713369</v>
      </c>
      <c r="AH1005" s="94">
        <f>Table3.110[[#This Row],[GP 8-24h, ml]]-(AVERAGE(AF$982,AF$983,AF$1032,AF$1033,AF$1085,AF$1086))*$AG$8</f>
        <v>33.349347131116531</v>
      </c>
      <c r="AI1005" s="94">
        <f>Table3.110[[#This Row],[Net gas 8-24h, ml]]+Table3.110[[#This Row],[Net gas 8h, ml]]</f>
        <v>68.120576299829906</v>
      </c>
      <c r="AJ1005" s="94">
        <f>Table3.110[[#This Row],[Net gas 8h, ml]]*Table3.110[[#This Row],[CH4 8h %]]%</f>
        <v>4.7288871669450181</v>
      </c>
      <c r="AK1005" s="94">
        <f>Table3.110[[#This Row],[Net gas 8-24h, ml]]*Table3.110[[#This Row],[CH4 24h, %]]%</f>
        <v>5.5026422766342282</v>
      </c>
      <c r="AL1005" s="94">
        <f>Table3.110[[#This Row],[CH4 8-24h, ml]]+Table3.110[[#This Row],[CH4 8h, ml]]</f>
        <v>10.231529443579246</v>
      </c>
      <c r="AM1005" s="94">
        <f>(Table3.110[[#This Row],[Net gas 24h, ml]]/Table3.110[[#This Row],[DM Incubated, mg]])*1000</f>
        <v>143.79893357776615</v>
      </c>
      <c r="AN1005" s="94">
        <f>'3.2 Digest'!X1005</f>
        <v>33.420728194073284</v>
      </c>
      <c r="AO1005" s="94">
        <f>Table3.110[[#This Row],[Digested feed, mg]]/Table3.110[[#This Row],[Net gas 24h, ml]]</f>
        <v>2.3241290712353875</v>
      </c>
      <c r="AP1005" s="94">
        <f>Table3.110[[#This Row],[CH4 8h, ml]]/Table3.110[[#This Row],[Net gas 8h, ml]]%</f>
        <v>13.6</v>
      </c>
      <c r="AQ1005" s="94">
        <f>Table3.110[[#This Row],[CH4 24h, ml]]/Table3.110[[#This Row],[Net gas 24h, ml]]%</f>
        <v>15.019734123424898</v>
      </c>
      <c r="AR1005" s="94">
        <f>Table3.110[[#This Row],[CH4 24h, ml]]/Table3.110[[#This Row],[DM Incubated, mg]]*1000</f>
        <v>21.598217495700847</v>
      </c>
      <c r="AS1005" s="94">
        <f>Table3.110[[#This Row],[CH4 24h, ml]]/Table3.110[[#This Row],[Digested feed, mg]]*1000</f>
        <v>64.625215136787475</v>
      </c>
      <c r="AT1005" s="94">
        <f>Table3.110[[#This Row],[CH4 24h, ml]]/'3.2 Digest'!AA1005</f>
        <v>-0.34230779903443653</v>
      </c>
      <c r="AU1005" s="94">
        <f>((Table3.110[[#This Row],[CH4 24h, ml]]/28.9)*16.04)/Table3.110[[#This Row],[DM Incubated, mg]]*1000</f>
        <v>11.987384381696939</v>
      </c>
      <c r="AV1005" s="94">
        <f>((Table3.110[[#This Row],[CH4 24h, ml]]/28.9)*16.04)/Table3.110[[#This Row],[Digested feed, mg]]*1000</f>
        <v>35.868112484223914</v>
      </c>
      <c r="AW1005" s="94"/>
      <c r="AX1005" s="94"/>
    </row>
    <row r="1006" spans="2:50" x14ac:dyDescent="0.35">
      <c r="B1006" s="90">
        <f t="shared" si="15"/>
        <v>996</v>
      </c>
      <c r="C1006" s="140">
        <v>46064</v>
      </c>
      <c r="D1006" s="6" t="s">
        <v>16</v>
      </c>
      <c r="E1006" s="6" t="s">
        <v>407</v>
      </c>
      <c r="F1006" s="242" t="s">
        <v>226</v>
      </c>
      <c r="G1006" s="242" t="s">
        <v>231</v>
      </c>
      <c r="H1006" s="6" t="s">
        <v>232</v>
      </c>
      <c r="I1006" s="133" t="s">
        <v>22</v>
      </c>
      <c r="J1006" s="135" t="s">
        <v>23</v>
      </c>
      <c r="K1006" s="135" t="s">
        <v>215</v>
      </c>
      <c r="L1006" s="6" t="s">
        <v>406</v>
      </c>
      <c r="M1006" s="256">
        <v>30</v>
      </c>
      <c r="N1006" s="256">
        <v>64</v>
      </c>
      <c r="O1006" s="256">
        <v>1</v>
      </c>
      <c r="P1006" s="257">
        <v>2</v>
      </c>
      <c r="Q1006" s="129">
        <v>130</v>
      </c>
      <c r="R1006" s="98">
        <v>0.50009999999999999</v>
      </c>
      <c r="S1006" s="94">
        <f>((Table3.110[[#This Row],[Sample weight, g]]*'2.1. DM'!Q255)/100)*1000</f>
        <v>473.53163694791988</v>
      </c>
      <c r="T1006" s="94">
        <f>'3.2 Digest'!W1006</f>
        <v>153.53163694791982</v>
      </c>
      <c r="U1006" s="153">
        <v>0.3298611111111111</v>
      </c>
      <c r="V1006" s="154">
        <v>41</v>
      </c>
      <c r="W1006" s="153">
        <v>0.67013888888888884</v>
      </c>
      <c r="X1006" s="95">
        <v>79</v>
      </c>
      <c r="Y1006" s="95">
        <v>13.5</v>
      </c>
      <c r="Z1006" s="154">
        <v>41.5</v>
      </c>
      <c r="AA1006" s="153">
        <v>0.34166666666666667</v>
      </c>
      <c r="AB1006" s="154">
        <v>80</v>
      </c>
      <c r="AC1006" s="154">
        <v>16.3</v>
      </c>
      <c r="AD1006" s="91"/>
      <c r="AE1006" s="94">
        <f>Table3.110[[#This Row],[Gas 8h, ml]]-Table3.110[[#This Row],[Gas 0h, ml]]</f>
        <v>38</v>
      </c>
      <c r="AF1006" s="94">
        <f>Table3.110[[#This Row],[Gas 24h, ml]]-Table3.110[[#This Row],[V8 Push back, ml]]</f>
        <v>38.5</v>
      </c>
      <c r="AG1006" s="94">
        <f>Table3.110[[#This Row],[GP 8h, ml]]-(AVERAGE(AE$982,AE$983,AE$1032,AE$1033,AE$1085,AE$1086))*$AG$8</f>
        <v>35.271229168713369</v>
      </c>
      <c r="AH1006" s="94">
        <f>Table3.110[[#This Row],[GP 8-24h, ml]]-(AVERAGE(AF$982,AF$983,AF$1032,AF$1033,AF$1085,AF$1086))*$AG$8</f>
        <v>34.849347131116531</v>
      </c>
      <c r="AI1006" s="94">
        <f>Table3.110[[#This Row],[Net gas 8-24h, ml]]+Table3.110[[#This Row],[Net gas 8h, ml]]</f>
        <v>70.120576299829906</v>
      </c>
      <c r="AJ1006" s="94">
        <f>Table3.110[[#This Row],[Net gas 8h, ml]]*Table3.110[[#This Row],[CH4 8h %]]%</f>
        <v>4.7616159377763054</v>
      </c>
      <c r="AK1006" s="94">
        <f>Table3.110[[#This Row],[Net gas 8-24h, ml]]*Table3.110[[#This Row],[CH4 24h, %]]%</f>
        <v>5.6804435823719945</v>
      </c>
      <c r="AL1006" s="94">
        <f>Table3.110[[#This Row],[CH4 8-24h, ml]]+Table3.110[[#This Row],[CH4 8h, ml]]</f>
        <v>10.4420595201483</v>
      </c>
      <c r="AM1006" s="94">
        <f>(Table3.110[[#This Row],[Net gas 24h, ml]]/Table3.110[[#This Row],[DM Incubated, mg]])*1000</f>
        <v>148.08002428682909</v>
      </c>
      <c r="AN1006" s="94">
        <f>'3.2 Digest'!X1006</f>
        <v>32.422677804060974</v>
      </c>
      <c r="AO1006" s="94">
        <f>Table3.110[[#This Row],[Digested feed, mg]]/Table3.110[[#This Row],[Net gas 24h, ml]]</f>
        <v>2.1895375801167258</v>
      </c>
      <c r="AP1006" s="94">
        <f>Table3.110[[#This Row],[CH4 8h, ml]]/Table3.110[[#This Row],[Net gas 8h, ml]]%</f>
        <v>13.500000000000002</v>
      </c>
      <c r="AQ1006" s="94">
        <f>Table3.110[[#This Row],[CH4 24h, ml]]/Table3.110[[#This Row],[Net gas 24h, ml]]%</f>
        <v>14.891576868248913</v>
      </c>
      <c r="AR1006" s="94">
        <f>Table3.110[[#This Row],[CH4 24h, ml]]/Table3.110[[#This Row],[DM Incubated, mg]]*1000</f>
        <v>22.051450643194812</v>
      </c>
      <c r="AS1006" s="94">
        <f>Table3.110[[#This Row],[CH4 24h, ml]]/Table3.110[[#This Row],[Digested feed, mg]]*1000</f>
        <v>68.012428758838794</v>
      </c>
      <c r="AT1006" s="94">
        <f>Table3.110[[#This Row],[CH4 24h, ml]]/'3.2 Digest'!AA1006</f>
        <v>-0.32798551035970808</v>
      </c>
      <c r="AU1006" s="94">
        <f>((Table3.110[[#This Row],[CH4 24h, ml]]/28.9)*16.04)/Table3.110[[#This Row],[DM Incubated, mg]]*1000</f>
        <v>12.238936619960027</v>
      </c>
      <c r="AV1006" s="94">
        <f>((Table3.110[[#This Row],[CH4 24h, ml]]/28.9)*16.04)/Table3.110[[#This Row],[Digested feed, mg]]*1000</f>
        <v>37.748074646774207</v>
      </c>
      <c r="AW1006" s="94"/>
      <c r="AX1006" s="94"/>
    </row>
    <row r="1007" spans="2:50" x14ac:dyDescent="0.35">
      <c r="B1007" s="90">
        <f t="shared" si="15"/>
        <v>997</v>
      </c>
      <c r="C1007" s="140">
        <v>46064</v>
      </c>
      <c r="D1007" s="6" t="s">
        <v>16</v>
      </c>
      <c r="E1007" s="6" t="s">
        <v>407</v>
      </c>
      <c r="F1007" s="242" t="s">
        <v>226</v>
      </c>
      <c r="G1007" s="242" t="s">
        <v>231</v>
      </c>
      <c r="H1007" s="6" t="s">
        <v>232</v>
      </c>
      <c r="I1007" s="133" t="s">
        <v>22</v>
      </c>
      <c r="J1007" s="135" t="s">
        <v>23</v>
      </c>
      <c r="K1007" s="135" t="s">
        <v>215</v>
      </c>
      <c r="L1007" s="6" t="s">
        <v>406</v>
      </c>
      <c r="M1007" s="256">
        <v>30</v>
      </c>
      <c r="N1007" s="256">
        <v>64</v>
      </c>
      <c r="O1007" s="256">
        <v>1</v>
      </c>
      <c r="P1007" s="257">
        <v>3</v>
      </c>
      <c r="Q1007" s="129">
        <v>131</v>
      </c>
      <c r="R1007" s="98">
        <v>0.50009999999999999</v>
      </c>
      <c r="S1007" s="94">
        <f>((Table3.110[[#This Row],[Sample weight, g]]*'2.1. DM'!Q255)/100)*1000</f>
        <v>473.53163694791988</v>
      </c>
      <c r="T1007" s="94">
        <f>'3.2 Digest'!W1007</f>
        <v>195.63163694791984</v>
      </c>
      <c r="U1007" s="117">
        <v>0.3298611111111111</v>
      </c>
      <c r="V1007" s="155">
        <v>41</v>
      </c>
      <c r="W1007" s="117">
        <v>0.67083333333333328</v>
      </c>
      <c r="X1007" s="97">
        <v>79.5</v>
      </c>
      <c r="Y1007" s="97">
        <v>13.4</v>
      </c>
      <c r="Z1007" s="155">
        <v>41.5</v>
      </c>
      <c r="AA1007" s="117">
        <v>0.34236111111111112</v>
      </c>
      <c r="AB1007" s="155">
        <v>81</v>
      </c>
      <c r="AC1007" s="155">
        <v>16.5</v>
      </c>
      <c r="AD1007" s="96"/>
      <c r="AE1007" s="94">
        <f>Table3.110[[#This Row],[Gas 8h, ml]]-Table3.110[[#This Row],[Gas 0h, ml]]</f>
        <v>38.5</v>
      </c>
      <c r="AF1007" s="94">
        <f>Table3.110[[#This Row],[Gas 24h, ml]]-Table3.110[[#This Row],[V8 Push back, ml]]</f>
        <v>39.5</v>
      </c>
      <c r="AG1007" s="94">
        <f>Table3.110[[#This Row],[GP 8h, ml]]-(AVERAGE(AE$982,AE$983,AE$1032,AE$1033,AE$1085,AE$1086))*$AG$8</f>
        <v>35.771229168713369</v>
      </c>
      <c r="AH1007" s="94">
        <f>Table3.110[[#This Row],[GP 8-24h, ml]]-(AVERAGE(AF$982,AF$983,AF$1032,AF$1033,AF$1085,AF$1086))*$AG$8</f>
        <v>35.849347131116531</v>
      </c>
      <c r="AI1007" s="94">
        <f>Table3.110[[#This Row],[Net gas 8-24h, ml]]+Table3.110[[#This Row],[Net gas 8h, ml]]</f>
        <v>71.620576299829906</v>
      </c>
      <c r="AJ1007" s="94">
        <f>Table3.110[[#This Row],[Net gas 8h, ml]]*Table3.110[[#This Row],[CH4 8h %]]%</f>
        <v>4.7933447086075915</v>
      </c>
      <c r="AK1007" s="94">
        <f>Table3.110[[#This Row],[Net gas 8-24h, ml]]*Table3.110[[#This Row],[CH4 24h, %]]%</f>
        <v>5.9151422766342279</v>
      </c>
      <c r="AL1007" s="94">
        <f>Table3.110[[#This Row],[CH4 8-24h, ml]]+Table3.110[[#This Row],[CH4 8h, ml]]</f>
        <v>10.708486985241819</v>
      </c>
      <c r="AM1007" s="94">
        <f>(Table3.110[[#This Row],[Net gas 24h, ml]]/Table3.110[[#This Row],[DM Incubated, mg]])*1000</f>
        <v>151.24771126476372</v>
      </c>
      <c r="AN1007" s="94">
        <f>'3.2 Digest'!X1007</f>
        <v>41.313319255464208</v>
      </c>
      <c r="AO1007" s="94">
        <f>Table3.110[[#This Row],[Digested feed, mg]]/Table3.110[[#This Row],[Net gas 24h, ml]]</f>
        <v>2.731500457758596</v>
      </c>
      <c r="AP1007" s="94">
        <f>Table3.110[[#This Row],[CH4 8h, ml]]/Table3.110[[#This Row],[Net gas 8h, ml]]%</f>
        <v>13.4</v>
      </c>
      <c r="AQ1007" s="94">
        <f>Table3.110[[#This Row],[CH4 24h, ml]]/Table3.110[[#This Row],[Net gas 24h, ml]]%</f>
        <v>14.95169061529494</v>
      </c>
      <c r="AR1007" s="94">
        <f>Table3.110[[#This Row],[CH4 24h, ml]]/Table3.110[[#This Row],[DM Incubated, mg]]*1000</f>
        <v>22.614089851022062</v>
      </c>
      <c r="AS1007" s="94">
        <f>Table3.110[[#This Row],[CH4 24h, ml]]/Table3.110[[#This Row],[Digested feed, mg]]*1000</f>
        <v>54.738012482575009</v>
      </c>
      <c r="AT1007" s="94">
        <f>Table3.110[[#This Row],[CH4 24h, ml]]/'3.2 Digest'!AA1007</f>
        <v>-0.73891614778947579</v>
      </c>
      <c r="AU1007" s="94">
        <f>((Table3.110[[#This Row],[CH4 24h, ml]]/28.9)*16.04)/Table3.110[[#This Row],[DM Incubated, mg]]*1000</f>
        <v>12.551211114546501</v>
      </c>
      <c r="AV1007" s="94">
        <f>((Table3.110[[#This Row],[CH4 24h, ml]]/28.9)*16.04)/Table3.110[[#This Row],[Digested feed, mg]]*1000</f>
        <v>30.380543952266542</v>
      </c>
      <c r="AW1007" s="94"/>
      <c r="AX1007" s="94"/>
    </row>
    <row r="1008" spans="2:50" x14ac:dyDescent="0.35">
      <c r="B1008" s="90">
        <f t="shared" si="15"/>
        <v>998</v>
      </c>
      <c r="C1008" s="140">
        <v>46064</v>
      </c>
      <c r="D1008" s="6" t="s">
        <v>16</v>
      </c>
      <c r="E1008" s="6" t="s">
        <v>409</v>
      </c>
      <c r="F1008" s="242" t="s">
        <v>290</v>
      </c>
      <c r="G1008" s="242" t="s">
        <v>314</v>
      </c>
      <c r="H1008" s="6" t="s">
        <v>315</v>
      </c>
      <c r="I1008" s="133" t="s">
        <v>22</v>
      </c>
      <c r="J1008" s="135" t="s">
        <v>23</v>
      </c>
      <c r="K1008" s="135" t="s">
        <v>215</v>
      </c>
      <c r="L1008" s="6" t="s">
        <v>408</v>
      </c>
      <c r="M1008" s="256">
        <v>30</v>
      </c>
      <c r="N1008" s="256">
        <v>64</v>
      </c>
      <c r="O1008" s="256">
        <v>1</v>
      </c>
      <c r="P1008" s="257">
        <v>1</v>
      </c>
      <c r="Q1008" s="6">
        <v>132</v>
      </c>
      <c r="R1008" s="98">
        <v>0.50029999999999997</v>
      </c>
      <c r="S1008" s="94">
        <f>((Table3.110[[#This Row],[Sample weight, g]]*'2.1. DM'!Q257)/100)*1000</f>
        <v>470.36754254061606</v>
      </c>
      <c r="T1008" s="94">
        <f>'3.2 Digest'!W1008</f>
        <v>184.06754254061605</v>
      </c>
      <c r="U1008" s="153">
        <v>0.33055555555555555</v>
      </c>
      <c r="V1008" s="154">
        <v>41</v>
      </c>
      <c r="W1008" s="153">
        <v>0.67083333333333328</v>
      </c>
      <c r="X1008" s="95">
        <v>73</v>
      </c>
      <c r="Y1008" s="95">
        <v>12.9</v>
      </c>
      <c r="Z1008" s="154">
        <v>40.5</v>
      </c>
      <c r="AA1008" s="153">
        <v>0.34236111111111112</v>
      </c>
      <c r="AB1008" s="154">
        <v>85.5</v>
      </c>
      <c r="AC1008" s="154">
        <v>15.4</v>
      </c>
      <c r="AD1008" s="91"/>
      <c r="AE1008" s="94">
        <f>Table3.110[[#This Row],[Gas 8h, ml]]-Table3.110[[#This Row],[Gas 0h, ml]]</f>
        <v>32</v>
      </c>
      <c r="AF1008" s="94">
        <f>Table3.110[[#This Row],[Gas 24h, ml]]-Table3.110[[#This Row],[V8 Push back, ml]]</f>
        <v>45</v>
      </c>
      <c r="AG1008" s="94">
        <f>Table3.110[[#This Row],[GP 8h, ml]]-(AVERAGE(AE$982,AE$983,AE$1032,AE$1033,AE$1085,AE$1086))*$AG$8</f>
        <v>29.271229168713369</v>
      </c>
      <c r="AH1008" s="94">
        <f>Table3.110[[#This Row],[GP 8-24h, ml]]-(AVERAGE(AF$982,AF$983,AF$1032,AF$1033,AF$1085,AF$1086))*$AG$8</f>
        <v>41.349347131116531</v>
      </c>
      <c r="AI1008" s="94">
        <f>Table3.110[[#This Row],[Net gas 8-24h, ml]]+Table3.110[[#This Row],[Net gas 8h, ml]]</f>
        <v>70.620576299829906</v>
      </c>
      <c r="AJ1008" s="94">
        <f>Table3.110[[#This Row],[Net gas 8h, ml]]*Table3.110[[#This Row],[CH4 8h %]]%</f>
        <v>3.7759885627640246</v>
      </c>
      <c r="AK1008" s="94">
        <f>Table3.110[[#This Row],[Net gas 8-24h, ml]]*Table3.110[[#This Row],[CH4 24h, %]]%</f>
        <v>6.3677994581919455</v>
      </c>
      <c r="AL1008" s="94">
        <f>Table3.110[[#This Row],[CH4 8-24h, ml]]+Table3.110[[#This Row],[CH4 8h, ml]]</f>
        <v>10.14378802095597</v>
      </c>
      <c r="AM1008" s="94">
        <f>(Table3.110[[#This Row],[Net gas 24h, ml]]/Table3.110[[#This Row],[DM Incubated, mg]])*1000</f>
        <v>150.1391357030802</v>
      </c>
      <c r="AN1008" s="94">
        <f>'3.2 Digest'!X1008</f>
        <v>39.132704936740375</v>
      </c>
      <c r="AO1008" s="94">
        <f>Table3.110[[#This Row],[Digested feed, mg]]/Table3.110[[#This Row],[Net gas 24h, ml]]</f>
        <v>2.6064293465849184</v>
      </c>
      <c r="AP1008" s="94">
        <f>Table3.110[[#This Row],[CH4 8h, ml]]/Table3.110[[#This Row],[Net gas 8h, ml]]%</f>
        <v>12.9</v>
      </c>
      <c r="AQ1008" s="94">
        <f>Table3.110[[#This Row],[CH4 24h, ml]]/Table3.110[[#This Row],[Net gas 24h, ml]]%</f>
        <v>14.363785390095156</v>
      </c>
      <c r="AR1008" s="94">
        <f>Table3.110[[#This Row],[CH4 24h, ml]]/Table3.110[[#This Row],[DM Incubated, mg]]*1000</f>
        <v>21.565663238934174</v>
      </c>
      <c r="AS1008" s="94">
        <f>Table3.110[[#This Row],[CH4 24h, ml]]/Table3.110[[#This Row],[Digested feed, mg]]*1000</f>
        <v>55.109053345011425</v>
      </c>
      <c r="AT1008" s="94">
        <f>Table3.110[[#This Row],[CH4 24h, ml]]/'3.2 Digest'!AA1008</f>
        <v>-0.29322610543730943</v>
      </c>
      <c r="AU1008" s="94">
        <f>((Table3.110[[#This Row],[CH4 24h, ml]]/28.9)*16.04)/Table3.110[[#This Row],[DM Incubated, mg]]*1000</f>
        <v>11.969316205969003</v>
      </c>
      <c r="AV1008" s="94">
        <f>((Table3.110[[#This Row],[CH4 24h, ml]]/28.9)*16.04)/Table3.110[[#This Row],[Digested feed, mg]]*1000</f>
        <v>30.586478050310841</v>
      </c>
      <c r="AW1008" s="94"/>
      <c r="AX1008" s="94"/>
    </row>
    <row r="1009" spans="2:50" x14ac:dyDescent="0.35">
      <c r="B1009" s="90">
        <f t="shared" si="15"/>
        <v>999</v>
      </c>
      <c r="C1009" s="140">
        <v>46064</v>
      </c>
      <c r="D1009" s="6" t="s">
        <v>16</v>
      </c>
      <c r="E1009" s="6" t="s">
        <v>409</v>
      </c>
      <c r="F1009" s="242" t="s">
        <v>290</v>
      </c>
      <c r="G1009" s="242" t="s">
        <v>314</v>
      </c>
      <c r="H1009" s="6" t="s">
        <v>315</v>
      </c>
      <c r="I1009" s="133" t="s">
        <v>22</v>
      </c>
      <c r="J1009" s="135" t="s">
        <v>23</v>
      </c>
      <c r="K1009" s="135" t="s">
        <v>215</v>
      </c>
      <c r="L1009" s="6" t="s">
        <v>408</v>
      </c>
      <c r="M1009" s="256">
        <v>30</v>
      </c>
      <c r="N1009" s="256">
        <v>64</v>
      </c>
      <c r="O1009" s="256">
        <v>1</v>
      </c>
      <c r="P1009" s="257">
        <v>2</v>
      </c>
      <c r="Q1009" s="129">
        <v>133</v>
      </c>
      <c r="R1009" s="98">
        <v>0.50019999999999998</v>
      </c>
      <c r="S1009" s="94">
        <f>((Table3.110[[#This Row],[Sample weight, g]]*'2.1. DM'!Q257)/100)*1000</f>
        <v>470.27352544236692</v>
      </c>
      <c r="T1009" s="94">
        <f>'3.2 Digest'!W1009</f>
        <v>208.67352544236695</v>
      </c>
      <c r="U1009" s="117">
        <v>0.33055555555555555</v>
      </c>
      <c r="V1009" s="155">
        <v>40.5</v>
      </c>
      <c r="W1009" s="117">
        <v>0.67152777777777772</v>
      </c>
      <c r="X1009" s="97">
        <v>70.5</v>
      </c>
      <c r="Y1009" s="97">
        <v>13.5</v>
      </c>
      <c r="Z1009" s="155">
        <v>41.5</v>
      </c>
      <c r="AA1009" s="117">
        <v>0.34305555555555556</v>
      </c>
      <c r="AB1009" s="155">
        <v>86</v>
      </c>
      <c r="AC1009" s="155">
        <v>15.6</v>
      </c>
      <c r="AD1009" s="96" t="s">
        <v>590</v>
      </c>
      <c r="AE1009" s="94">
        <f>Table3.110[[#This Row],[Gas 8h, ml]]-Table3.110[[#This Row],[Gas 0h, ml]]</f>
        <v>30</v>
      </c>
      <c r="AF1009" s="94">
        <f>Table3.110[[#This Row],[Gas 24h, ml]]-Table3.110[[#This Row],[V8 Push back, ml]]</f>
        <v>44.5</v>
      </c>
      <c r="AG1009" s="94">
        <f>Table3.110[[#This Row],[GP 8h, ml]]-(AVERAGE(AE$982,AE$983,AE$1032,AE$1033,AE$1085,AE$1086))*$AG$8</f>
        <v>27.271229168713369</v>
      </c>
      <c r="AH1009" s="94">
        <f>Table3.110[[#This Row],[GP 8-24h, ml]]-(AVERAGE(AF$982,AF$983,AF$1032,AF$1033,AF$1085,AF$1086))*$AG$8</f>
        <v>40.849347131116531</v>
      </c>
      <c r="AI1009" s="94">
        <f>Table3.110[[#This Row],[Net gas 8-24h, ml]]+Table3.110[[#This Row],[Net gas 8h, ml]]</f>
        <v>68.120576299829906</v>
      </c>
      <c r="AJ1009" s="94">
        <f>Table3.110[[#This Row],[Net gas 8h, ml]]*Table3.110[[#This Row],[CH4 8h %]]%</f>
        <v>3.6816159377763049</v>
      </c>
      <c r="AK1009" s="94">
        <f>Table3.110[[#This Row],[Net gas 8-24h, ml]]*Table3.110[[#This Row],[CH4 24h, %]]%</f>
        <v>6.3724981524541784</v>
      </c>
      <c r="AL1009" s="94">
        <f>Table3.110[[#This Row],[CH4 8-24h, ml]]+Table3.110[[#This Row],[CH4 8h, ml]]</f>
        <v>10.054114090230483</v>
      </c>
      <c r="AM1009" s="94">
        <f>(Table3.110[[#This Row],[Net gas 24h, ml]]/Table3.110[[#This Row],[DM Incubated, mg]])*1000</f>
        <v>144.85309636716565</v>
      </c>
      <c r="AN1009" s="94">
        <f>'3.2 Digest'!X1009</f>
        <v>44.372798840010475</v>
      </c>
      <c r="AO1009" s="94">
        <f>Table3.110[[#This Row],[Digested feed, mg]]/Table3.110[[#This Row],[Net gas 24h, ml]]</f>
        <v>3.063296536481122</v>
      </c>
      <c r="AP1009" s="94">
        <f>Table3.110[[#This Row],[CH4 8h, ml]]/Table3.110[[#This Row],[Net gas 8h, ml]]%</f>
        <v>13.500000000000002</v>
      </c>
      <c r="AQ1009" s="94">
        <f>Table3.110[[#This Row],[CH4 24h, ml]]/Table3.110[[#This Row],[Net gas 24h, ml]]%</f>
        <v>14.759291004787913</v>
      </c>
      <c r="AR1009" s="94">
        <f>Table3.110[[#This Row],[CH4 24h, ml]]/Table3.110[[#This Row],[DM Incubated, mg]]*1000</f>
        <v>21.37929002227585</v>
      </c>
      <c r="AS1009" s="94">
        <f>Table3.110[[#This Row],[CH4 24h, ml]]/Table3.110[[#This Row],[Digested feed, mg]]*1000</f>
        <v>48.181071695207955</v>
      </c>
      <c r="AT1009" s="94">
        <f>Table3.110[[#This Row],[CH4 24h, ml]]/'3.2 Digest'!AA1009</f>
        <v>-0.43701183272370953</v>
      </c>
      <c r="AU1009" s="94">
        <f>((Table3.110[[#This Row],[CH4 24h, ml]]/28.9)*16.04)/Table3.110[[#This Row],[DM Incubated, mg]]*1000</f>
        <v>11.865875846273516</v>
      </c>
      <c r="AV1009" s="94">
        <f>((Table3.110[[#This Row],[CH4 24h, ml]]/28.9)*16.04)/Table3.110[[#This Row],[Digested feed, mg]]*1000</f>
        <v>26.741328373395696</v>
      </c>
      <c r="AW1009" s="94"/>
      <c r="AX1009" s="94"/>
    </row>
    <row r="1010" spans="2:50" x14ac:dyDescent="0.35">
      <c r="B1010" s="90">
        <f t="shared" si="15"/>
        <v>1000</v>
      </c>
      <c r="C1010" s="140">
        <v>46064</v>
      </c>
      <c r="D1010" s="6" t="s">
        <v>16</v>
      </c>
      <c r="E1010" s="6" t="s">
        <v>409</v>
      </c>
      <c r="F1010" s="242" t="s">
        <v>290</v>
      </c>
      <c r="G1010" s="242" t="s">
        <v>314</v>
      </c>
      <c r="H1010" s="6" t="s">
        <v>315</v>
      </c>
      <c r="I1010" s="133" t="s">
        <v>22</v>
      </c>
      <c r="J1010" s="135" t="s">
        <v>23</v>
      </c>
      <c r="K1010" s="135" t="s">
        <v>215</v>
      </c>
      <c r="L1010" s="6" t="s">
        <v>408</v>
      </c>
      <c r="M1010" s="256">
        <v>30</v>
      </c>
      <c r="N1010" s="256">
        <v>64</v>
      </c>
      <c r="O1010" s="256">
        <v>1</v>
      </c>
      <c r="P1010" s="257">
        <v>3</v>
      </c>
      <c r="Q1010" s="129">
        <v>134</v>
      </c>
      <c r="R1010" s="98">
        <v>0.50060000000000004</v>
      </c>
      <c r="S1010" s="94">
        <f>((Table3.110[[#This Row],[Sample weight, g]]*'2.1. DM'!Q257)/100)*1000</f>
        <v>470.64959383536365</v>
      </c>
      <c r="T1010" s="94">
        <f>'3.2 Digest'!W1010</f>
        <v>154.34959383536375</v>
      </c>
      <c r="U1010" s="153">
        <v>0.33055555555555555</v>
      </c>
      <c r="V1010" s="154">
        <v>41</v>
      </c>
      <c r="W1010" s="153">
        <v>0.67152777777777772</v>
      </c>
      <c r="X1010" s="95">
        <v>72.5</v>
      </c>
      <c r="Y1010" s="95">
        <v>13.3</v>
      </c>
      <c r="Z1010" s="154">
        <v>40.5</v>
      </c>
      <c r="AA1010" s="153">
        <v>0.34305555555555556</v>
      </c>
      <c r="AB1010" s="154">
        <v>85</v>
      </c>
      <c r="AC1010" s="154">
        <v>15.5</v>
      </c>
      <c r="AD1010" s="91"/>
      <c r="AE1010" s="94">
        <f>Table3.110[[#This Row],[Gas 8h, ml]]-Table3.110[[#This Row],[Gas 0h, ml]]</f>
        <v>31.5</v>
      </c>
      <c r="AF1010" s="94">
        <f>Table3.110[[#This Row],[Gas 24h, ml]]-Table3.110[[#This Row],[V8 Push back, ml]]</f>
        <v>44.5</v>
      </c>
      <c r="AG1010" s="94">
        <f>Table3.110[[#This Row],[GP 8h, ml]]-(AVERAGE(AE$982,AE$983,AE$1032,AE$1033,AE$1085,AE$1086))*$AG$8</f>
        <v>28.771229168713369</v>
      </c>
      <c r="AH1010" s="94">
        <f>Table3.110[[#This Row],[GP 8-24h, ml]]-(AVERAGE(AF$982,AF$983,AF$1032,AF$1033,AF$1085,AF$1086))*$AG$8</f>
        <v>40.849347131116531</v>
      </c>
      <c r="AI1010" s="94">
        <f>Table3.110[[#This Row],[Net gas 8-24h, ml]]+Table3.110[[#This Row],[Net gas 8h, ml]]</f>
        <v>69.620576299829906</v>
      </c>
      <c r="AJ1010" s="94">
        <f>Table3.110[[#This Row],[Net gas 8h, ml]]*Table3.110[[#This Row],[CH4 8h %]]%</f>
        <v>3.8265734794388782</v>
      </c>
      <c r="AK1010" s="94">
        <f>Table3.110[[#This Row],[Net gas 8-24h, ml]]*Table3.110[[#This Row],[CH4 24h, %]]%</f>
        <v>6.331648805323062</v>
      </c>
      <c r="AL1010" s="94">
        <f>Table3.110[[#This Row],[CH4 8-24h, ml]]+Table3.110[[#This Row],[CH4 8h, ml]]</f>
        <v>10.158222284761941</v>
      </c>
      <c r="AM1010" s="94">
        <f>(Table3.110[[#This Row],[Net gas 24h, ml]]/Table3.110[[#This Row],[DM Incubated, mg]])*1000</f>
        <v>147.92443722831226</v>
      </c>
      <c r="AN1010" s="94">
        <f>'3.2 Digest'!X1010</f>
        <v>32.795012649975057</v>
      </c>
      <c r="AO1010" s="94">
        <f>Table3.110[[#This Row],[Digested feed, mg]]/Table3.110[[#This Row],[Net gas 24h, ml]]</f>
        <v>2.2170111486960047</v>
      </c>
      <c r="AP1010" s="94">
        <f>Table3.110[[#This Row],[CH4 8h, ml]]/Table3.110[[#This Row],[Net gas 8h, ml]]%</f>
        <v>13.3</v>
      </c>
      <c r="AQ1010" s="94">
        <f>Table3.110[[#This Row],[CH4 24h, ml]]/Table3.110[[#This Row],[Net gas 24h, ml]]%</f>
        <v>14.590833378072395</v>
      </c>
      <c r="AR1010" s="94">
        <f>Table3.110[[#This Row],[CH4 24h, ml]]/Table3.110[[#This Row],[DM Incubated, mg]]*1000</f>
        <v>21.583408161434331</v>
      </c>
      <c r="AS1010" s="94">
        <f>Table3.110[[#This Row],[CH4 24h, ml]]/Table3.110[[#This Row],[Digested feed, mg]]*1000</f>
        <v>65.813080762604145</v>
      </c>
      <c r="AT1010" s="94">
        <f>Table3.110[[#This Row],[CH4 24h, ml]]/'3.2 Digest'!AA1010</f>
        <v>-0.2089822581196201</v>
      </c>
      <c r="AU1010" s="94">
        <f>((Table3.110[[#This Row],[CH4 24h, ml]]/28.9)*16.04)/Table3.110[[#This Row],[DM Incubated, mg]]*1000</f>
        <v>11.979164944962166</v>
      </c>
      <c r="AV1010" s="94">
        <f>((Table3.110[[#This Row],[CH4 24h, ml]]/28.9)*16.04)/Table3.110[[#This Row],[Digested feed, mg]]*1000</f>
        <v>36.527398457860563</v>
      </c>
      <c r="AW1010" s="94"/>
      <c r="AX1010" s="94"/>
    </row>
    <row r="1011" spans="2:50" x14ac:dyDescent="0.35">
      <c r="B1011" s="90">
        <f t="shared" si="15"/>
        <v>1001</v>
      </c>
      <c r="C1011" s="140">
        <v>46064</v>
      </c>
      <c r="D1011" s="6" t="s">
        <v>16</v>
      </c>
      <c r="E1011" s="6" t="s">
        <v>411</v>
      </c>
      <c r="F1011" s="242" t="s">
        <v>264</v>
      </c>
      <c r="G1011" s="242" t="s">
        <v>412</v>
      </c>
      <c r="H1011" s="6" t="s">
        <v>413</v>
      </c>
      <c r="I1011" s="133" t="s">
        <v>22</v>
      </c>
      <c r="J1011" s="135" t="s">
        <v>23</v>
      </c>
      <c r="K1011" s="135" t="s">
        <v>215</v>
      </c>
      <c r="L1011" s="6" t="s">
        <v>410</v>
      </c>
      <c r="M1011" s="256">
        <v>30</v>
      </c>
      <c r="N1011" s="256">
        <v>64</v>
      </c>
      <c r="O1011" s="256">
        <v>1</v>
      </c>
      <c r="P1011" s="257">
        <v>1</v>
      </c>
      <c r="Q1011" s="6">
        <v>135</v>
      </c>
      <c r="R1011" s="98">
        <v>0.50019999999999998</v>
      </c>
      <c r="S1011" s="94">
        <f>((Table3.110[[#This Row],[Sample weight, g]]*'2.1. DM'!Q259)/100)*1000</f>
        <v>475.56885336261399</v>
      </c>
      <c r="T1011" s="94">
        <f>'3.2 Digest'!W1011</f>
        <v>182.76885336261404</v>
      </c>
      <c r="U1011" s="117">
        <v>0.33124999999999999</v>
      </c>
      <c r="V1011" s="155">
        <v>41</v>
      </c>
      <c r="W1011" s="117">
        <v>0.67222222222222228</v>
      </c>
      <c r="X1011" s="97">
        <v>89.5</v>
      </c>
      <c r="Y1011" s="97">
        <v>15</v>
      </c>
      <c r="Z1011" s="155">
        <v>40.5</v>
      </c>
      <c r="AA1011" s="117">
        <v>0.34375</v>
      </c>
      <c r="AB1011" s="155">
        <v>81.5</v>
      </c>
      <c r="AC1011" s="155">
        <v>17.8</v>
      </c>
      <c r="AD1011" s="96"/>
      <c r="AE1011" s="94">
        <f>Table3.110[[#This Row],[Gas 8h, ml]]-Table3.110[[#This Row],[Gas 0h, ml]]</f>
        <v>48.5</v>
      </c>
      <c r="AF1011" s="94">
        <f>Table3.110[[#This Row],[Gas 24h, ml]]-Table3.110[[#This Row],[V8 Push back, ml]]</f>
        <v>41</v>
      </c>
      <c r="AG1011" s="94">
        <f>Table3.110[[#This Row],[GP 8h, ml]]-(AVERAGE(AE$982,AE$983,AE$1032,AE$1033,AE$1085,AE$1086))*$AG$8</f>
        <v>45.771229168713369</v>
      </c>
      <c r="AH1011" s="94">
        <f>Table3.110[[#This Row],[GP 8-24h, ml]]-(AVERAGE(AF$982,AF$983,AF$1032,AF$1033,AF$1085,AF$1086))*$AG$8</f>
        <v>37.349347131116531</v>
      </c>
      <c r="AI1011" s="94">
        <f>Table3.110[[#This Row],[Net gas 8-24h, ml]]+Table3.110[[#This Row],[Net gas 8h, ml]]</f>
        <v>83.120576299829906</v>
      </c>
      <c r="AJ1011" s="94">
        <f>Table3.110[[#This Row],[Net gas 8h, ml]]*Table3.110[[#This Row],[CH4 8h %]]%</f>
        <v>6.8656843753070049</v>
      </c>
      <c r="AK1011" s="94">
        <f>Table3.110[[#This Row],[Net gas 8-24h, ml]]*Table3.110[[#This Row],[CH4 24h, %]]%</f>
        <v>6.6481837893387432</v>
      </c>
      <c r="AL1011" s="94">
        <f>Table3.110[[#This Row],[CH4 8-24h, ml]]+Table3.110[[#This Row],[CH4 8h, ml]]</f>
        <v>13.513868164645748</v>
      </c>
      <c r="AM1011" s="94">
        <f>(Table3.110[[#This Row],[Net gas 24h, ml]]/Table3.110[[#This Row],[DM Incubated, mg]])*1000</f>
        <v>174.78137121913602</v>
      </c>
      <c r="AN1011" s="94">
        <f>'3.2 Digest'!X1011</f>
        <v>38.431628158637125</v>
      </c>
      <c r="AO1011" s="94">
        <f>Table3.110[[#This Row],[Digested feed, mg]]/Table3.110[[#This Row],[Net gas 24h, ml]]</f>
        <v>2.1988400646229405</v>
      </c>
      <c r="AP1011" s="94">
        <f>Table3.110[[#This Row],[CH4 8h, ml]]/Table3.110[[#This Row],[Net gas 8h, ml]]%</f>
        <v>15</v>
      </c>
      <c r="AQ1011" s="94">
        <f>Table3.110[[#This Row],[CH4 24h, ml]]/Table3.110[[#This Row],[Net gas 24h, ml]]%</f>
        <v>16.258150227326325</v>
      </c>
      <c r="AR1011" s="94">
        <f>Table3.110[[#This Row],[CH4 24h, ml]]/Table3.110[[#This Row],[DM Incubated, mg]]*1000</f>
        <v>28.416217902188034</v>
      </c>
      <c r="AS1011" s="94">
        <f>Table3.110[[#This Row],[CH4 24h, ml]]/Table3.110[[#This Row],[Digested feed, mg]]*1000</f>
        <v>73.939667049473627</v>
      </c>
      <c r="AT1011" s="94">
        <f>Table3.110[[#This Row],[CH4 24h, ml]]/'3.2 Digest'!AA1011</f>
        <v>-0.72421833426084981</v>
      </c>
      <c r="AU1011" s="94">
        <f>((Table3.110[[#This Row],[CH4 24h, ml]]/28.9)*16.04)/Table3.110[[#This Row],[DM Incubated, mg]]*1000</f>
        <v>15.771492565781871</v>
      </c>
      <c r="AV1011" s="94">
        <f>((Table3.110[[#This Row],[CH4 24h, ml]]/28.9)*16.04)/Table3.110[[#This Row],[Digested feed, mg]]*1000</f>
        <v>41.037794445451787</v>
      </c>
      <c r="AW1011" s="94"/>
      <c r="AX1011" s="94"/>
    </row>
    <row r="1012" spans="2:50" x14ac:dyDescent="0.35">
      <c r="B1012" s="90">
        <f t="shared" si="15"/>
        <v>1002</v>
      </c>
      <c r="C1012" s="140">
        <v>46064</v>
      </c>
      <c r="D1012" s="6" t="s">
        <v>16</v>
      </c>
      <c r="E1012" s="6" t="s">
        <v>411</v>
      </c>
      <c r="F1012" s="242" t="s">
        <v>264</v>
      </c>
      <c r="G1012" s="242" t="s">
        <v>412</v>
      </c>
      <c r="H1012" s="6" t="s">
        <v>413</v>
      </c>
      <c r="I1012" s="133" t="s">
        <v>22</v>
      </c>
      <c r="J1012" s="135" t="s">
        <v>23</v>
      </c>
      <c r="K1012" s="135" t="s">
        <v>215</v>
      </c>
      <c r="L1012" s="6" t="s">
        <v>410</v>
      </c>
      <c r="M1012" s="256">
        <v>30</v>
      </c>
      <c r="N1012" s="256">
        <v>64</v>
      </c>
      <c r="O1012" s="256">
        <v>1</v>
      </c>
      <c r="P1012" s="257">
        <v>2</v>
      </c>
      <c r="Q1012" s="129">
        <v>136</v>
      </c>
      <c r="R1012" s="98">
        <v>0.50029999999999997</v>
      </c>
      <c r="S1012" s="94">
        <f>((Table3.110[[#This Row],[Sample weight, g]]*'2.1. DM'!Q259)/100)*1000</f>
        <v>475.66392910299044</v>
      </c>
      <c r="T1012" s="94">
        <f>'3.2 Digest'!W1012</f>
        <v>220.56392910299044</v>
      </c>
      <c r="U1012" s="153">
        <v>0.33124999999999999</v>
      </c>
      <c r="V1012" s="154">
        <v>40.5</v>
      </c>
      <c r="W1012" s="153">
        <v>0.67222222222222228</v>
      </c>
      <c r="X1012" s="95">
        <v>89.5</v>
      </c>
      <c r="Y1012" s="95">
        <v>15.7</v>
      </c>
      <c r="Z1012" s="154">
        <v>40.5</v>
      </c>
      <c r="AA1012" s="153">
        <v>0.34375</v>
      </c>
      <c r="AB1012" s="154">
        <v>74.5</v>
      </c>
      <c r="AC1012" s="154">
        <v>19.3</v>
      </c>
      <c r="AD1012" s="91"/>
      <c r="AE1012" s="94">
        <f>Table3.110[[#This Row],[Gas 8h, ml]]-Table3.110[[#This Row],[Gas 0h, ml]]</f>
        <v>49</v>
      </c>
      <c r="AF1012" s="94">
        <f>Table3.110[[#This Row],[Gas 24h, ml]]-Table3.110[[#This Row],[V8 Push back, ml]]</f>
        <v>34</v>
      </c>
      <c r="AG1012" s="94">
        <f>Table3.110[[#This Row],[GP 8h, ml]]-(AVERAGE(AE$982,AE$983,AE$1032,AE$1033,AE$1085,AE$1086))*$AG$8</f>
        <v>46.271229168713369</v>
      </c>
      <c r="AH1012" s="94">
        <f>Table3.110[[#This Row],[GP 8-24h, ml]]-(AVERAGE(AF$982,AF$983,AF$1032,AF$1033,AF$1085,AF$1086))*$AG$8</f>
        <v>30.349347131116534</v>
      </c>
      <c r="AI1012" s="94">
        <f>Table3.110[[#This Row],[Net gas 8-24h, ml]]+Table3.110[[#This Row],[Net gas 8h, ml]]</f>
        <v>76.620576299829906</v>
      </c>
      <c r="AJ1012" s="94">
        <f>Table3.110[[#This Row],[Net gas 8h, ml]]*Table3.110[[#This Row],[CH4 8h %]]%</f>
        <v>7.264582979487999</v>
      </c>
      <c r="AK1012" s="94">
        <f>Table3.110[[#This Row],[Net gas 8-24h, ml]]*Table3.110[[#This Row],[CH4 24h, %]]%</f>
        <v>5.8574239963054913</v>
      </c>
      <c r="AL1012" s="94">
        <f>Table3.110[[#This Row],[CH4 8-24h, ml]]+Table3.110[[#This Row],[CH4 8h, ml]]</f>
        <v>13.122006975793489</v>
      </c>
      <c r="AM1012" s="94">
        <f>(Table3.110[[#This Row],[Net gas 24h, ml]]/Table3.110[[#This Row],[DM Incubated, mg]])*1000</f>
        <v>161.08132572575221</v>
      </c>
      <c r="AN1012" s="94">
        <f>'3.2 Digest'!X1012</f>
        <v>46.369698353821164</v>
      </c>
      <c r="AO1012" s="94">
        <f>Table3.110[[#This Row],[Digested feed, mg]]/Table3.110[[#This Row],[Net gas 24h, ml]]</f>
        <v>2.8786513982860775</v>
      </c>
      <c r="AP1012" s="94">
        <f>Table3.110[[#This Row],[CH4 8h, ml]]/Table3.110[[#This Row],[Net gas 8h, ml]]%</f>
        <v>15.700000000000001</v>
      </c>
      <c r="AQ1012" s="94">
        <f>Table3.110[[#This Row],[CH4 24h, ml]]/Table3.110[[#This Row],[Net gas 24h, ml]]%</f>
        <v>17.125957033323203</v>
      </c>
      <c r="AR1012" s="94">
        <f>Table3.110[[#This Row],[CH4 24h, ml]]/Table3.110[[#This Row],[DM Incubated, mg]]*1000</f>
        <v>27.586718632499714</v>
      </c>
      <c r="AS1012" s="94">
        <f>Table3.110[[#This Row],[CH4 24h, ml]]/Table3.110[[#This Row],[Digested feed, mg]]*1000</f>
        <v>59.492987040806121</v>
      </c>
      <c r="AT1012" s="94">
        <f>Table3.110[[#This Row],[CH4 24h, ml]]/'3.2 Digest'!AA1012</f>
        <v>-3.9042027548530589</v>
      </c>
      <c r="AU1012" s="94">
        <f>((Table3.110[[#This Row],[CH4 24h, ml]]/28.9)*16.04)/Table3.110[[#This Row],[DM Incubated, mg]]*1000</f>
        <v>15.311106119906414</v>
      </c>
      <c r="AV1012" s="94">
        <f>((Table3.110[[#This Row],[CH4 24h, ml]]/28.9)*16.04)/Table3.110[[#This Row],[Digested feed, mg]]*1000</f>
        <v>33.019637098080622</v>
      </c>
      <c r="AW1012" s="94"/>
      <c r="AX1012" s="94"/>
    </row>
    <row r="1013" spans="2:50" x14ac:dyDescent="0.35">
      <c r="B1013" s="90">
        <f t="shared" si="15"/>
        <v>1003</v>
      </c>
      <c r="C1013" s="140">
        <v>46064</v>
      </c>
      <c r="D1013" s="6" t="s">
        <v>16</v>
      </c>
      <c r="E1013" s="6" t="s">
        <v>411</v>
      </c>
      <c r="F1013" s="242" t="s">
        <v>264</v>
      </c>
      <c r="G1013" s="242" t="s">
        <v>412</v>
      </c>
      <c r="H1013" s="6" t="s">
        <v>413</v>
      </c>
      <c r="I1013" s="133" t="s">
        <v>22</v>
      </c>
      <c r="J1013" s="135" t="s">
        <v>23</v>
      </c>
      <c r="K1013" s="135" t="s">
        <v>215</v>
      </c>
      <c r="L1013" s="6" t="s">
        <v>410</v>
      </c>
      <c r="M1013" s="256">
        <v>30</v>
      </c>
      <c r="N1013" s="256">
        <v>64</v>
      </c>
      <c r="O1013" s="256">
        <v>1</v>
      </c>
      <c r="P1013" s="257">
        <v>3</v>
      </c>
      <c r="Q1013" s="129">
        <v>137</v>
      </c>
      <c r="R1013" s="98">
        <v>0.50049999999999994</v>
      </c>
      <c r="S1013" s="94">
        <f>((Table3.110[[#This Row],[Sample weight, g]]*'2.1. DM'!Q259)/100)*1000</f>
        <v>475.8540805837431</v>
      </c>
      <c r="T1013" s="94">
        <f>'3.2 Digest'!W1013</f>
        <v>231.8540805837431</v>
      </c>
      <c r="U1013" s="117">
        <v>0.33124999999999999</v>
      </c>
      <c r="V1013" s="155">
        <v>41</v>
      </c>
      <c r="W1013" s="117">
        <v>0.67291666666666672</v>
      </c>
      <c r="X1013" s="97">
        <v>90</v>
      </c>
      <c r="Y1013" s="97">
        <v>15.5</v>
      </c>
      <c r="Z1013" s="155">
        <v>41</v>
      </c>
      <c r="AA1013" s="117">
        <v>0.34444444444444444</v>
      </c>
      <c r="AB1013" s="155">
        <v>81.5</v>
      </c>
      <c r="AC1013" s="155">
        <v>18.3</v>
      </c>
      <c r="AD1013" s="96"/>
      <c r="AE1013" s="94">
        <f>Table3.110[[#This Row],[Gas 8h, ml]]-Table3.110[[#This Row],[Gas 0h, ml]]</f>
        <v>49</v>
      </c>
      <c r="AF1013" s="94">
        <f>Table3.110[[#This Row],[Gas 24h, ml]]-Table3.110[[#This Row],[V8 Push back, ml]]</f>
        <v>40.5</v>
      </c>
      <c r="AG1013" s="94">
        <f>Table3.110[[#This Row],[GP 8h, ml]]-(AVERAGE(AE$982,AE$983,AE$1032,AE$1033,AE$1085,AE$1086))*$AG$8</f>
        <v>46.271229168713369</v>
      </c>
      <c r="AH1013" s="94">
        <f>Table3.110[[#This Row],[GP 8-24h, ml]]-(AVERAGE(AF$982,AF$983,AF$1032,AF$1033,AF$1085,AF$1086))*$AG$8</f>
        <v>36.849347131116531</v>
      </c>
      <c r="AI1013" s="94">
        <f>Table3.110[[#This Row],[Net gas 8-24h, ml]]+Table3.110[[#This Row],[Net gas 8h, ml]]</f>
        <v>83.120576299829906</v>
      </c>
      <c r="AJ1013" s="94">
        <f>Table3.110[[#This Row],[Net gas 8h, ml]]*Table3.110[[#This Row],[CH4 8h %]]%</f>
        <v>7.1720405211505724</v>
      </c>
      <c r="AK1013" s="94">
        <f>Table3.110[[#This Row],[Net gas 8-24h, ml]]*Table3.110[[#This Row],[CH4 24h, %]]%</f>
        <v>6.7434305249943254</v>
      </c>
      <c r="AL1013" s="94">
        <f>Table3.110[[#This Row],[CH4 8-24h, ml]]+Table3.110[[#This Row],[CH4 8h, ml]]</f>
        <v>13.915471046144898</v>
      </c>
      <c r="AM1013" s="94">
        <f>(Table3.110[[#This Row],[Net gas 24h, ml]]/Table3.110[[#This Row],[DM Incubated, mg]])*1000</f>
        <v>174.67660716046325</v>
      </c>
      <c r="AN1013" s="94">
        <f>'3.2 Digest'!X1013</f>
        <v>48.723776898019118</v>
      </c>
      <c r="AO1013" s="94">
        <f>Table3.110[[#This Row],[Digested feed, mg]]/Table3.110[[#This Row],[Net gas 24h, ml]]</f>
        <v>2.789370465231213</v>
      </c>
      <c r="AP1013" s="94">
        <f>Table3.110[[#This Row],[CH4 8h, ml]]/Table3.110[[#This Row],[Net gas 8h, ml]]%</f>
        <v>15.5</v>
      </c>
      <c r="AQ1013" s="94">
        <f>Table3.110[[#This Row],[CH4 24h, ml]]/Table3.110[[#This Row],[Net gas 24h, ml]]%</f>
        <v>16.741307225721645</v>
      </c>
      <c r="AR1013" s="94">
        <f>Table3.110[[#This Row],[CH4 24h, ml]]/Table3.110[[#This Row],[DM Incubated, mg]]*1000</f>
        <v>29.243147456200045</v>
      </c>
      <c r="AS1013" s="94">
        <f>Table3.110[[#This Row],[CH4 24h, ml]]/Table3.110[[#This Row],[Digested feed, mg]]*1000</f>
        <v>60.018227891912325</v>
      </c>
      <c r="AT1013" s="94">
        <f>Table3.110[[#This Row],[CH4 24h, ml]]/'3.2 Digest'!AA1013</f>
        <v>11.832981744276827</v>
      </c>
      <c r="AU1013" s="94">
        <f>((Table3.110[[#This Row],[CH4 24h, ml]]/28.9)*16.04)/Table3.110[[#This Row],[DM Incubated, mg]]*1000</f>
        <v>16.230452774998223</v>
      </c>
      <c r="AV1013" s="94">
        <f>((Table3.110[[#This Row],[CH4 24h, ml]]/28.9)*16.04)/Table3.110[[#This Row],[Digested feed, mg]]*1000</f>
        <v>33.311154857656526</v>
      </c>
      <c r="AW1013" s="94"/>
      <c r="AX1013" s="94"/>
    </row>
    <row r="1014" spans="2:50" x14ac:dyDescent="0.35">
      <c r="B1014" s="90">
        <f t="shared" si="15"/>
        <v>1004</v>
      </c>
      <c r="C1014" s="140">
        <v>46064</v>
      </c>
      <c r="D1014" s="6" t="s">
        <v>16</v>
      </c>
      <c r="E1014" s="6" t="s">
        <v>415</v>
      </c>
      <c r="F1014" s="242" t="s">
        <v>235</v>
      </c>
      <c r="G1014" s="242" t="s">
        <v>274</v>
      </c>
      <c r="H1014" s="6" t="s">
        <v>275</v>
      </c>
      <c r="I1014" s="133" t="s">
        <v>22</v>
      </c>
      <c r="J1014" s="135" t="s">
        <v>23</v>
      </c>
      <c r="K1014" s="135" t="s">
        <v>215</v>
      </c>
      <c r="L1014" s="6" t="s">
        <v>414</v>
      </c>
      <c r="M1014" s="256">
        <v>30</v>
      </c>
      <c r="N1014" s="256">
        <v>64</v>
      </c>
      <c r="O1014" s="256">
        <v>1</v>
      </c>
      <c r="P1014" s="257">
        <v>1</v>
      </c>
      <c r="Q1014" s="6">
        <v>138</v>
      </c>
      <c r="R1014" s="98">
        <v>0.5</v>
      </c>
      <c r="S1014" s="94">
        <f>((Table3.110[[#This Row],[Sample weight, g]]*'2.1. DM'!Q261)/100)*1000</f>
        <v>473.62894434411743</v>
      </c>
      <c r="T1014" s="94">
        <f>'3.2 Digest'!W1014</f>
        <v>192.02894434411735</v>
      </c>
      <c r="U1014" s="153">
        <v>0.33124999999999999</v>
      </c>
      <c r="V1014" s="154">
        <v>40.5</v>
      </c>
      <c r="W1014" s="153">
        <v>0.67361111111111116</v>
      </c>
      <c r="X1014" s="95">
        <v>85.5</v>
      </c>
      <c r="Y1014" s="95">
        <v>12.6</v>
      </c>
      <c r="Z1014" s="154">
        <v>40</v>
      </c>
      <c r="AA1014" s="153">
        <v>0.34513888888888888</v>
      </c>
      <c r="AB1014" s="154">
        <v>78.5</v>
      </c>
      <c r="AC1014" s="154">
        <v>17.5</v>
      </c>
      <c r="AD1014" s="91"/>
      <c r="AE1014" s="94">
        <f>Table3.110[[#This Row],[Gas 8h, ml]]-Table3.110[[#This Row],[Gas 0h, ml]]</f>
        <v>45</v>
      </c>
      <c r="AF1014" s="94">
        <f>Table3.110[[#This Row],[Gas 24h, ml]]-Table3.110[[#This Row],[V8 Push back, ml]]</f>
        <v>38.5</v>
      </c>
      <c r="AG1014" s="94">
        <f>Table3.110[[#This Row],[GP 8h, ml]]-(AVERAGE(AE$982,AE$983,AE$1032,AE$1033,AE$1085,AE$1086))*$AG$8</f>
        <v>42.271229168713369</v>
      </c>
      <c r="AH1014" s="94">
        <f>Table3.110[[#This Row],[GP 8-24h, ml]]-(AVERAGE(AF$982,AF$983,AF$1032,AF$1033,AF$1085,AF$1086))*$AG$8</f>
        <v>34.849347131116531</v>
      </c>
      <c r="AI1014" s="94">
        <f>Table3.110[[#This Row],[Net gas 8-24h, ml]]+Table3.110[[#This Row],[Net gas 8h, ml]]</f>
        <v>77.120576299829906</v>
      </c>
      <c r="AJ1014" s="94">
        <f>Table3.110[[#This Row],[Net gas 8h, ml]]*Table3.110[[#This Row],[CH4 8h %]]%</f>
        <v>5.3261748752578848</v>
      </c>
      <c r="AK1014" s="94">
        <f>Table3.110[[#This Row],[Net gas 8-24h, ml]]*Table3.110[[#This Row],[CH4 24h, %]]%</f>
        <v>6.0986357479453925</v>
      </c>
      <c r="AL1014" s="94">
        <f>Table3.110[[#This Row],[CH4 8-24h, ml]]+Table3.110[[#This Row],[CH4 8h, ml]]</f>
        <v>11.424810623203278</v>
      </c>
      <c r="AM1014" s="94">
        <f>(Table3.110[[#This Row],[Net gas 24h, ml]]/Table3.110[[#This Row],[DM Incubated, mg]])*1000</f>
        <v>162.82910329018569</v>
      </c>
      <c r="AN1014" s="94">
        <f>'3.2 Digest'!X1014</f>
        <v>40.544174218499151</v>
      </c>
      <c r="AO1014" s="94">
        <f>Table3.110[[#This Row],[Digested feed, mg]]/Table3.110[[#This Row],[Net gas 24h, ml]]</f>
        <v>2.4899832646159945</v>
      </c>
      <c r="AP1014" s="94">
        <f>Table3.110[[#This Row],[CH4 8h, ml]]/Table3.110[[#This Row],[Net gas 8h, ml]]%</f>
        <v>12.6</v>
      </c>
      <c r="AQ1014" s="94">
        <f>Table3.110[[#This Row],[CH4 24h, ml]]/Table3.110[[#This Row],[Net gas 24h, ml]]%</f>
        <v>14.814218424387574</v>
      </c>
      <c r="AR1014" s="94">
        <f>Table3.110[[#This Row],[CH4 24h, ml]]/Table3.110[[#This Row],[DM Incubated, mg]]*1000</f>
        <v>24.121859019879761</v>
      </c>
      <c r="AS1014" s="94">
        <f>Table3.110[[#This Row],[CH4 24h, ml]]/Table3.110[[#This Row],[Digested feed, mg]]*1000</f>
        <v>59.495252979831676</v>
      </c>
      <c r="AT1014" s="94">
        <f>Table3.110[[#This Row],[CH4 24h, ml]]/'3.2 Digest'!AA1014</f>
        <v>-0.41608496333265454</v>
      </c>
      <c r="AU1014" s="94">
        <f>((Table3.110[[#This Row],[CH4 24h, ml]]/28.9)*16.04)/Table3.110[[#This Row],[DM Incubated, mg]]*1000</f>
        <v>13.388049089234302</v>
      </c>
      <c r="AV1014" s="94">
        <f>((Table3.110[[#This Row],[CH4 24h, ml]]/28.9)*16.04)/Table3.110[[#This Row],[Digested feed, mg]]*1000</f>
        <v>33.020894733442908</v>
      </c>
      <c r="AW1014" s="94"/>
      <c r="AX1014" s="94"/>
    </row>
    <row r="1015" spans="2:50" x14ac:dyDescent="0.35">
      <c r="B1015" s="90">
        <f t="shared" si="15"/>
        <v>1005</v>
      </c>
      <c r="C1015" s="140">
        <v>46064</v>
      </c>
      <c r="D1015" s="6" t="s">
        <v>16</v>
      </c>
      <c r="E1015" s="6" t="s">
        <v>415</v>
      </c>
      <c r="F1015" s="242" t="s">
        <v>235</v>
      </c>
      <c r="G1015" s="242" t="s">
        <v>274</v>
      </c>
      <c r="H1015" s="6" t="s">
        <v>275</v>
      </c>
      <c r="I1015" s="133" t="s">
        <v>22</v>
      </c>
      <c r="J1015" s="135" t="s">
        <v>23</v>
      </c>
      <c r="K1015" s="135" t="s">
        <v>215</v>
      </c>
      <c r="L1015" s="6" t="s">
        <v>414</v>
      </c>
      <c r="M1015" s="256">
        <v>30</v>
      </c>
      <c r="N1015" s="256">
        <v>64</v>
      </c>
      <c r="O1015" s="256">
        <v>1</v>
      </c>
      <c r="P1015" s="257">
        <v>2</v>
      </c>
      <c r="Q1015" s="129">
        <v>139</v>
      </c>
      <c r="R1015" s="98">
        <v>0.50029999999999997</v>
      </c>
      <c r="S1015" s="94">
        <f>((Table3.110[[#This Row],[Sample weight, g]]*'2.1. DM'!Q261)/100)*1000</f>
        <v>473.91312171072389</v>
      </c>
      <c r="T1015" s="94">
        <f>'3.2 Digest'!W1015</f>
        <v>256.51312171072385</v>
      </c>
      <c r="U1015" s="117">
        <v>0.33124999999999999</v>
      </c>
      <c r="V1015" s="155">
        <v>40.5</v>
      </c>
      <c r="W1015" s="117">
        <v>0.67361111111111116</v>
      </c>
      <c r="X1015" s="97">
        <v>84</v>
      </c>
      <c r="Y1015" s="97">
        <v>12.2</v>
      </c>
      <c r="Z1015" s="155">
        <v>40</v>
      </c>
      <c r="AA1015" s="117">
        <v>0.34513888888888888</v>
      </c>
      <c r="AB1015" s="155">
        <v>76</v>
      </c>
      <c r="AC1015" s="155">
        <v>17.5</v>
      </c>
      <c r="AD1015" s="96"/>
      <c r="AE1015" s="94">
        <f>Table3.110[[#This Row],[Gas 8h, ml]]-Table3.110[[#This Row],[Gas 0h, ml]]</f>
        <v>43.5</v>
      </c>
      <c r="AF1015" s="94">
        <f>Table3.110[[#This Row],[Gas 24h, ml]]-Table3.110[[#This Row],[V8 Push back, ml]]</f>
        <v>36</v>
      </c>
      <c r="AG1015" s="94">
        <f>Table3.110[[#This Row],[GP 8h, ml]]-(AVERAGE(AE$982,AE$983,AE$1032,AE$1033,AE$1085,AE$1086))*$AG$8</f>
        <v>40.771229168713369</v>
      </c>
      <c r="AH1015" s="94">
        <f>Table3.110[[#This Row],[GP 8-24h, ml]]-(AVERAGE(AF$982,AF$983,AF$1032,AF$1033,AF$1085,AF$1086))*$AG$8</f>
        <v>32.349347131116531</v>
      </c>
      <c r="AI1015" s="94">
        <f>Table3.110[[#This Row],[Net gas 8-24h, ml]]+Table3.110[[#This Row],[Net gas 8h, ml]]</f>
        <v>73.120576299829906</v>
      </c>
      <c r="AJ1015" s="94">
        <f>Table3.110[[#This Row],[Net gas 8h, ml]]*Table3.110[[#This Row],[CH4 8h %]]%</f>
        <v>4.9740899585830309</v>
      </c>
      <c r="AK1015" s="94">
        <f>Table3.110[[#This Row],[Net gas 8-24h, ml]]*Table3.110[[#This Row],[CH4 24h, %]]%</f>
        <v>5.6611357479453925</v>
      </c>
      <c r="AL1015" s="94">
        <f>Table3.110[[#This Row],[CH4 8-24h, ml]]+Table3.110[[#This Row],[CH4 8h, ml]]</f>
        <v>10.635225706528423</v>
      </c>
      <c r="AM1015" s="94">
        <f>(Table3.110[[#This Row],[Net gas 24h, ml]]/Table3.110[[#This Row],[DM Incubated, mg]])*1000</f>
        <v>154.29109883237763</v>
      </c>
      <c r="AN1015" s="94">
        <f>'3.2 Digest'!X1015</f>
        <v>54.126613077259165</v>
      </c>
      <c r="AO1015" s="94">
        <f>Table3.110[[#This Row],[Digested feed, mg]]/Table3.110[[#This Row],[Net gas 24h, ml]]</f>
        <v>3.5080839715881802</v>
      </c>
      <c r="AP1015" s="94">
        <f>Table3.110[[#This Row],[CH4 8h, ml]]/Table3.110[[#This Row],[Net gas 8h, ml]]%</f>
        <v>12.2</v>
      </c>
      <c r="AQ1015" s="94">
        <f>Table3.110[[#This Row],[CH4 24h, ml]]/Table3.110[[#This Row],[Net gas 24h, ml]]%</f>
        <v>14.544778289108155</v>
      </c>
      <c r="AR1015" s="94">
        <f>Table3.110[[#This Row],[CH4 24h, ml]]/Table3.110[[#This Row],[DM Incubated, mg]]*1000</f>
        <v>22.44129824499807</v>
      </c>
      <c r="AS1015" s="94">
        <f>Table3.110[[#This Row],[CH4 24h, ml]]/Table3.110[[#This Row],[Digested feed, mg]]*1000</f>
        <v>41.460747253787773</v>
      </c>
      <c r="AT1015" s="94">
        <f>Table3.110[[#This Row],[CH4 24h, ml]]/'3.2 Digest'!AA1015</f>
        <v>6.4092754536716949</v>
      </c>
      <c r="AU1015" s="94">
        <f>((Table3.110[[#This Row],[CH4 24h, ml]]/28.9)*16.04)/Table3.110[[#This Row],[DM Incubated, mg]]*1000</f>
        <v>12.455308783729031</v>
      </c>
      <c r="AV1015" s="94">
        <f>((Table3.110[[#This Row],[CH4 24h, ml]]/28.9)*16.04)/Table3.110[[#This Row],[Digested feed, mg]]*1000</f>
        <v>23.011432039818544</v>
      </c>
      <c r="AW1015" s="94"/>
      <c r="AX1015" s="94"/>
    </row>
    <row r="1016" spans="2:50" x14ac:dyDescent="0.35">
      <c r="B1016" s="90">
        <f t="shared" si="15"/>
        <v>1006</v>
      </c>
      <c r="C1016" s="140">
        <v>46064</v>
      </c>
      <c r="D1016" s="6" t="s">
        <v>16</v>
      </c>
      <c r="E1016" s="6" t="s">
        <v>415</v>
      </c>
      <c r="F1016" s="242" t="s">
        <v>235</v>
      </c>
      <c r="G1016" s="242" t="s">
        <v>274</v>
      </c>
      <c r="H1016" s="6" t="s">
        <v>275</v>
      </c>
      <c r="I1016" s="133" t="s">
        <v>22</v>
      </c>
      <c r="J1016" s="135" t="s">
        <v>23</v>
      </c>
      <c r="K1016" s="135" t="s">
        <v>215</v>
      </c>
      <c r="L1016" s="6" t="s">
        <v>414</v>
      </c>
      <c r="M1016" s="256">
        <v>30</v>
      </c>
      <c r="N1016" s="256">
        <v>64</v>
      </c>
      <c r="O1016" s="256">
        <v>1</v>
      </c>
      <c r="P1016" s="257">
        <v>3</v>
      </c>
      <c r="Q1016" s="129">
        <v>140</v>
      </c>
      <c r="R1016" s="98">
        <v>0.50049999999999994</v>
      </c>
      <c r="S1016" s="94">
        <f>((Table3.110[[#This Row],[Sample weight, g]]*'2.1. DM'!Q261)/100)*1000</f>
        <v>474.10257328846149</v>
      </c>
      <c r="T1016" s="94">
        <f>'3.2 Digest'!W1016</f>
        <v>243.40257328846147</v>
      </c>
      <c r="U1016" s="153">
        <v>0.33194444444444443</v>
      </c>
      <c r="V1016" s="154">
        <v>41</v>
      </c>
      <c r="W1016" s="153">
        <v>0.6743055555555556</v>
      </c>
      <c r="X1016" s="95">
        <v>84.5</v>
      </c>
      <c r="Y1016" s="95">
        <v>12.5</v>
      </c>
      <c r="Z1016" s="154">
        <v>40</v>
      </c>
      <c r="AA1016" s="153">
        <v>0.34583333333333333</v>
      </c>
      <c r="AB1016" s="154">
        <v>75.5</v>
      </c>
      <c r="AC1016" s="154">
        <v>17.7</v>
      </c>
      <c r="AD1016" s="91"/>
      <c r="AE1016" s="94">
        <f>Table3.110[[#This Row],[Gas 8h, ml]]-Table3.110[[#This Row],[Gas 0h, ml]]</f>
        <v>43.5</v>
      </c>
      <c r="AF1016" s="94">
        <f>Table3.110[[#This Row],[Gas 24h, ml]]-Table3.110[[#This Row],[V8 Push back, ml]]</f>
        <v>35.5</v>
      </c>
      <c r="AG1016" s="94">
        <f>Table3.110[[#This Row],[GP 8h, ml]]-(AVERAGE(AE$982,AE$983,AE$1032,AE$1033,AE$1085,AE$1086))*$AG$8</f>
        <v>40.771229168713369</v>
      </c>
      <c r="AH1016" s="94">
        <f>Table3.110[[#This Row],[GP 8-24h, ml]]-(AVERAGE(AF$982,AF$983,AF$1032,AF$1033,AF$1085,AF$1086))*$AG$8</f>
        <v>31.849347131116534</v>
      </c>
      <c r="AI1016" s="94">
        <f>Table3.110[[#This Row],[Net gas 8-24h, ml]]+Table3.110[[#This Row],[Net gas 8h, ml]]</f>
        <v>72.620576299829906</v>
      </c>
      <c r="AJ1016" s="94">
        <f>Table3.110[[#This Row],[Net gas 8h, ml]]*Table3.110[[#This Row],[CH4 8h %]]%</f>
        <v>5.0964036460891711</v>
      </c>
      <c r="AK1016" s="94">
        <f>Table3.110[[#This Row],[Net gas 8-24h, ml]]*Table3.110[[#This Row],[CH4 24h, %]]%</f>
        <v>5.6373344422076261</v>
      </c>
      <c r="AL1016" s="94">
        <f>Table3.110[[#This Row],[CH4 8-24h, ml]]+Table3.110[[#This Row],[CH4 8h, ml]]</f>
        <v>10.733738088296796</v>
      </c>
      <c r="AM1016" s="94">
        <f>(Table3.110[[#This Row],[Net gas 24h, ml]]/Table3.110[[#This Row],[DM Incubated, mg]])*1000</f>
        <v>153.17481994691656</v>
      </c>
      <c r="AN1016" s="94">
        <f>'3.2 Digest'!X1016</f>
        <v>51.339643993108297</v>
      </c>
      <c r="AO1016" s="94">
        <f>Table3.110[[#This Row],[Digested feed, mg]]/Table3.110[[#This Row],[Net gas 24h, ml]]</f>
        <v>3.3517025847264112</v>
      </c>
      <c r="AP1016" s="94">
        <f>Table3.110[[#This Row],[CH4 8h, ml]]/Table3.110[[#This Row],[Net gas 8h, ml]]%</f>
        <v>12.5</v>
      </c>
      <c r="AQ1016" s="94">
        <f>Table3.110[[#This Row],[CH4 24h, ml]]/Table3.110[[#This Row],[Net gas 24h, ml]]%</f>
        <v>14.780574095116258</v>
      </c>
      <c r="AR1016" s="94">
        <f>Table3.110[[#This Row],[CH4 24h, ml]]/Table3.110[[#This Row],[DM Incubated, mg]]*1000</f>
        <v>22.640117757314925</v>
      </c>
      <c r="AS1016" s="94">
        <f>Table3.110[[#This Row],[CH4 24h, ml]]/Table3.110[[#This Row],[Digested feed, mg]]*1000</f>
        <v>44.098704230115182</v>
      </c>
      <c r="AT1016" s="94">
        <f>Table3.110[[#This Row],[CH4 24h, ml]]/'3.2 Digest'!AA1016</f>
        <v>-2.487431063707414</v>
      </c>
      <c r="AU1016" s="94">
        <f>((Table3.110[[#This Row],[CH4 24h, ml]]/28.9)*16.04)/Table3.110[[#This Row],[DM Incubated, mg]]*1000</f>
        <v>12.565657052848836</v>
      </c>
      <c r="AV1016" s="94">
        <f>((Table3.110[[#This Row],[CH4 24h, ml]]/28.9)*16.04)/Table3.110[[#This Row],[Digested feed, mg]]*1000</f>
        <v>24.475543801074306</v>
      </c>
      <c r="AW1016" s="94"/>
      <c r="AX1016" s="94"/>
    </row>
    <row r="1017" spans="2:50" x14ac:dyDescent="0.35">
      <c r="B1017" s="90">
        <f t="shared" si="15"/>
        <v>1007</v>
      </c>
      <c r="C1017" s="140">
        <v>46064</v>
      </c>
      <c r="D1017" s="6" t="s">
        <v>16</v>
      </c>
      <c r="E1017" s="6" t="s">
        <v>417</v>
      </c>
      <c r="F1017" s="242" t="s">
        <v>290</v>
      </c>
      <c r="G1017" s="242" t="s">
        <v>291</v>
      </c>
      <c r="H1017" s="6" t="s">
        <v>292</v>
      </c>
      <c r="I1017" s="133" t="s">
        <v>22</v>
      </c>
      <c r="J1017" s="135" t="s">
        <v>23</v>
      </c>
      <c r="K1017" s="135" t="s">
        <v>215</v>
      </c>
      <c r="L1017" s="6" t="s">
        <v>416</v>
      </c>
      <c r="M1017" s="256">
        <v>30</v>
      </c>
      <c r="N1017" s="256">
        <v>64</v>
      </c>
      <c r="O1017" s="256">
        <v>1</v>
      </c>
      <c r="P1017" s="257">
        <v>1</v>
      </c>
      <c r="Q1017" s="6">
        <v>141</v>
      </c>
      <c r="R1017" s="98">
        <v>0.5</v>
      </c>
      <c r="S1017" s="94">
        <f>((Table3.110[[#This Row],[Sample weight, g]]*'2.1. DM'!Q263)/100)*1000</f>
        <v>467.59120439780082</v>
      </c>
      <c r="T1017" s="94">
        <f>'3.2 Digest'!W1017</f>
        <v>251.59120439780074</v>
      </c>
      <c r="U1017" s="117">
        <v>0.33194444444444443</v>
      </c>
      <c r="V1017" s="155">
        <v>40</v>
      </c>
      <c r="W1017" s="117">
        <v>0.67500000000000004</v>
      </c>
      <c r="X1017" s="97">
        <v>83</v>
      </c>
      <c r="Y1017" s="97">
        <v>14.9</v>
      </c>
      <c r="Z1017" s="155">
        <v>40</v>
      </c>
      <c r="AA1017" s="117">
        <v>0.34583333333333333</v>
      </c>
      <c r="AB1017" s="155">
        <v>82</v>
      </c>
      <c r="AC1017" s="155">
        <v>17.3</v>
      </c>
      <c r="AD1017" s="96"/>
      <c r="AE1017" s="94">
        <f>Table3.110[[#This Row],[Gas 8h, ml]]-Table3.110[[#This Row],[Gas 0h, ml]]</f>
        <v>43</v>
      </c>
      <c r="AF1017" s="94">
        <f>Table3.110[[#This Row],[Gas 24h, ml]]-Table3.110[[#This Row],[V8 Push back, ml]]</f>
        <v>42</v>
      </c>
      <c r="AG1017" s="94">
        <f>Table3.110[[#This Row],[GP 8h, ml]]-(AVERAGE(AE$982,AE$983,AE$1032,AE$1033,AE$1085,AE$1086))*$AG$8</f>
        <v>40.271229168713369</v>
      </c>
      <c r="AH1017" s="94">
        <f>Table3.110[[#This Row],[GP 8-24h, ml]]-(AVERAGE(AF$982,AF$983,AF$1032,AF$1033,AF$1085,AF$1086))*$AG$8</f>
        <v>38.349347131116531</v>
      </c>
      <c r="AI1017" s="94">
        <f>Table3.110[[#This Row],[Net gas 8-24h, ml]]+Table3.110[[#This Row],[Net gas 8h, ml]]</f>
        <v>78.620576299829906</v>
      </c>
      <c r="AJ1017" s="94">
        <f>Table3.110[[#This Row],[Net gas 8h, ml]]*Table3.110[[#This Row],[CH4 8h %]]%</f>
        <v>6.0004131461382917</v>
      </c>
      <c r="AK1017" s="94">
        <f>Table3.110[[#This Row],[Net gas 8-24h, ml]]*Table3.110[[#This Row],[CH4 24h, %]]%</f>
        <v>6.6344370536831603</v>
      </c>
      <c r="AL1017" s="94">
        <f>Table3.110[[#This Row],[CH4 8-24h, ml]]+Table3.110[[#This Row],[CH4 8h, ml]]</f>
        <v>12.634850199821452</v>
      </c>
      <c r="AM1017" s="94">
        <f>(Table3.110[[#This Row],[Net gas 24h, ml]]/Table3.110[[#This Row],[DM Incubated, mg]])*1000</f>
        <v>168.13955343981161</v>
      </c>
      <c r="AN1017" s="94">
        <f>'3.2 Digest'!X1017</f>
        <v>53.805803452145518</v>
      </c>
      <c r="AO1017" s="94">
        <f>Table3.110[[#This Row],[Digested feed, mg]]/Table3.110[[#This Row],[Net gas 24h, ml]]</f>
        <v>3.2000681785684781</v>
      </c>
      <c r="AP1017" s="94">
        <f>Table3.110[[#This Row],[CH4 8h, ml]]/Table3.110[[#This Row],[Net gas 8h, ml]]%</f>
        <v>14.9</v>
      </c>
      <c r="AQ1017" s="94">
        <f>Table3.110[[#This Row],[CH4 24h, ml]]/Table3.110[[#This Row],[Net gas 24h, ml]]%</f>
        <v>16.070665968711282</v>
      </c>
      <c r="AR1017" s="94">
        <f>Table3.110[[#This Row],[CH4 24h, ml]]/Table3.110[[#This Row],[DM Incubated, mg]]*1000</f>
        <v>27.021145994594924</v>
      </c>
      <c r="AS1017" s="94">
        <f>Table3.110[[#This Row],[CH4 24h, ml]]/Table3.110[[#This Row],[Digested feed, mg]]*1000</f>
        <v>50.219761179901958</v>
      </c>
      <c r="AT1017" s="94">
        <f>Table3.110[[#This Row],[CH4 24h, ml]]/'3.2 Digest'!AA1017</f>
        <v>-1.2241571898735641</v>
      </c>
      <c r="AU1017" s="94">
        <f>((Table3.110[[#This Row],[CH4 24h, ml]]/28.9)*16.04)/Table3.110[[#This Row],[DM Incubated, mg]]*1000</f>
        <v>14.997203520875523</v>
      </c>
      <c r="AV1017" s="94">
        <f>((Table3.110[[#This Row],[CH4 24h, ml]]/28.9)*16.04)/Table3.110[[#This Row],[Digested feed, mg]]*1000</f>
        <v>27.872836308845244</v>
      </c>
      <c r="AW1017" s="94"/>
      <c r="AX1017" s="94"/>
    </row>
    <row r="1018" spans="2:50" x14ac:dyDescent="0.35">
      <c r="B1018" s="90">
        <f t="shared" si="15"/>
        <v>1008</v>
      </c>
      <c r="C1018" s="140">
        <v>46064</v>
      </c>
      <c r="D1018" s="6" t="s">
        <v>16</v>
      </c>
      <c r="E1018" s="6" t="s">
        <v>417</v>
      </c>
      <c r="F1018" s="242" t="s">
        <v>290</v>
      </c>
      <c r="G1018" s="242" t="s">
        <v>291</v>
      </c>
      <c r="H1018" s="6" t="s">
        <v>292</v>
      </c>
      <c r="I1018" s="133" t="s">
        <v>22</v>
      </c>
      <c r="J1018" s="135" t="s">
        <v>23</v>
      </c>
      <c r="K1018" s="135" t="s">
        <v>215</v>
      </c>
      <c r="L1018" s="6" t="s">
        <v>416</v>
      </c>
      <c r="M1018" s="256">
        <v>30</v>
      </c>
      <c r="N1018" s="256">
        <v>64</v>
      </c>
      <c r="O1018" s="256">
        <v>1</v>
      </c>
      <c r="P1018" s="257">
        <v>2</v>
      </c>
      <c r="Q1018" s="129">
        <v>142</v>
      </c>
      <c r="R1018" s="98">
        <v>0.50009999999999999</v>
      </c>
      <c r="S1018" s="94">
        <f>((Table3.110[[#This Row],[Sample weight, g]]*'2.1. DM'!Q263)/100)*1000</f>
        <v>467.68472263868046</v>
      </c>
      <c r="T1018" s="94">
        <f>'3.2 Digest'!W1018</f>
        <v>190.78472263868042</v>
      </c>
      <c r="U1018" s="153">
        <v>0.33194444444444443</v>
      </c>
      <c r="V1018" s="154">
        <v>40.5</v>
      </c>
      <c r="W1018" s="153">
        <v>0.67500000000000004</v>
      </c>
      <c r="X1018" s="95">
        <v>81.5</v>
      </c>
      <c r="Y1018" s="95">
        <v>14.7</v>
      </c>
      <c r="Z1018" s="154">
        <v>40</v>
      </c>
      <c r="AA1018" s="153">
        <v>0.34652777777777777</v>
      </c>
      <c r="AB1018" s="154">
        <v>79</v>
      </c>
      <c r="AC1018" s="154">
        <v>17.5</v>
      </c>
      <c r="AD1018" s="91"/>
      <c r="AE1018" s="94">
        <f>Table3.110[[#This Row],[Gas 8h, ml]]-Table3.110[[#This Row],[Gas 0h, ml]]</f>
        <v>41</v>
      </c>
      <c r="AF1018" s="94">
        <f>Table3.110[[#This Row],[Gas 24h, ml]]-Table3.110[[#This Row],[V8 Push back, ml]]</f>
        <v>39</v>
      </c>
      <c r="AG1018" s="94">
        <f>Table3.110[[#This Row],[GP 8h, ml]]-(AVERAGE(AE$982,AE$983,AE$1032,AE$1033,AE$1085,AE$1086))*$AG$8</f>
        <v>38.271229168713369</v>
      </c>
      <c r="AH1018" s="94">
        <f>Table3.110[[#This Row],[GP 8-24h, ml]]-(AVERAGE(AF$982,AF$983,AF$1032,AF$1033,AF$1085,AF$1086))*$AG$8</f>
        <v>35.349347131116531</v>
      </c>
      <c r="AI1018" s="94">
        <f>Table3.110[[#This Row],[Net gas 8-24h, ml]]+Table3.110[[#This Row],[Net gas 8h, ml]]</f>
        <v>73.620576299829906</v>
      </c>
      <c r="AJ1018" s="94">
        <f>Table3.110[[#This Row],[Net gas 8h, ml]]*Table3.110[[#This Row],[CH4 8h %]]%</f>
        <v>5.6258706878008651</v>
      </c>
      <c r="AK1018" s="94">
        <f>Table3.110[[#This Row],[Net gas 8-24h, ml]]*Table3.110[[#This Row],[CH4 24h, %]]%</f>
        <v>6.1861357479453929</v>
      </c>
      <c r="AL1018" s="94">
        <f>Table3.110[[#This Row],[CH4 8-24h, ml]]+Table3.110[[#This Row],[CH4 8h, ml]]</f>
        <v>11.812006435746259</v>
      </c>
      <c r="AM1018" s="94">
        <f>(Table3.110[[#This Row],[Net gas 24h, ml]]/Table3.110[[#This Row],[DM Incubated, mg]])*1000</f>
        <v>157.41496939318887</v>
      </c>
      <c r="AN1018" s="94">
        <f>'3.2 Digest'!X1018</f>
        <v>40.793447680367166</v>
      </c>
      <c r="AO1018" s="94">
        <f>Table3.110[[#This Row],[Digested feed, mg]]/Table3.110[[#This Row],[Net gas 24h, ml]]</f>
        <v>2.5914592390812512</v>
      </c>
      <c r="AP1018" s="94">
        <f>Table3.110[[#This Row],[CH4 8h, ml]]/Table3.110[[#This Row],[Net gas 8h, ml]]%</f>
        <v>14.700000000000001</v>
      </c>
      <c r="AQ1018" s="94">
        <f>Table3.110[[#This Row],[CH4 24h, ml]]/Table3.110[[#This Row],[Net gas 24h, ml]]%</f>
        <v>16.044436256027446</v>
      </c>
      <c r="AR1018" s="94">
        <f>Table3.110[[#This Row],[CH4 24h, ml]]/Table3.110[[#This Row],[DM Incubated, mg]]*1000</f>
        <v>25.256344421735303</v>
      </c>
      <c r="AS1018" s="94">
        <f>Table3.110[[#This Row],[CH4 24h, ml]]/Table3.110[[#This Row],[Digested feed, mg]]*1000</f>
        <v>61.912747899193938</v>
      </c>
      <c r="AT1018" s="94">
        <f>Table3.110[[#This Row],[CH4 24h, ml]]/'3.2 Digest'!AA1018</f>
        <v>-0.2853317213176243</v>
      </c>
      <c r="AU1018" s="94">
        <f>((Table3.110[[#This Row],[CH4 24h, ml]]/28.9)*16.04)/Table3.110[[#This Row],[DM Incubated, mg]]*1000</f>
        <v>14.017708115039246</v>
      </c>
      <c r="AV1018" s="94">
        <f>((Table3.110[[#This Row],[CH4 24h, ml]]/28.9)*16.04)/Table3.110[[#This Row],[Digested feed, mg]]*1000</f>
        <v>34.362646238860577</v>
      </c>
      <c r="AW1018" s="94"/>
      <c r="AX1018" s="94"/>
    </row>
    <row r="1019" spans="2:50" x14ac:dyDescent="0.35">
      <c r="B1019" s="90">
        <f t="shared" si="15"/>
        <v>1009</v>
      </c>
      <c r="C1019" s="140">
        <v>46064</v>
      </c>
      <c r="D1019" s="6" t="s">
        <v>16</v>
      </c>
      <c r="E1019" s="6" t="s">
        <v>417</v>
      </c>
      <c r="F1019" s="242" t="s">
        <v>290</v>
      </c>
      <c r="G1019" s="242" t="s">
        <v>291</v>
      </c>
      <c r="H1019" s="6" t="s">
        <v>292</v>
      </c>
      <c r="I1019" s="133" t="s">
        <v>22</v>
      </c>
      <c r="J1019" s="135" t="s">
        <v>23</v>
      </c>
      <c r="K1019" s="135" t="s">
        <v>215</v>
      </c>
      <c r="L1019" s="6" t="s">
        <v>416</v>
      </c>
      <c r="M1019" s="256">
        <v>30</v>
      </c>
      <c r="N1019" s="256">
        <v>64</v>
      </c>
      <c r="O1019" s="256">
        <v>1</v>
      </c>
      <c r="P1019" s="257">
        <v>3</v>
      </c>
      <c r="Q1019" s="129">
        <v>143</v>
      </c>
      <c r="R1019" s="98">
        <v>0.50029999999999997</v>
      </c>
      <c r="S1019" s="94">
        <f>((Table3.110[[#This Row],[Sample weight, g]]*'2.1. DM'!Q263)/100)*1000</f>
        <v>467.87175912043949</v>
      </c>
      <c r="T1019" s="94">
        <f>'3.2 Digest'!W1019</f>
        <v>225.07175912043948</v>
      </c>
      <c r="U1019" s="117">
        <v>0.33263888888888887</v>
      </c>
      <c r="V1019" s="155">
        <v>41</v>
      </c>
      <c r="W1019" s="117">
        <v>0.67569444444444449</v>
      </c>
      <c r="X1019" s="97">
        <v>81.5</v>
      </c>
      <c r="Y1019" s="97">
        <v>14.1</v>
      </c>
      <c r="Z1019" s="155">
        <v>40.5</v>
      </c>
      <c r="AA1019" s="117">
        <v>0.34652777777777777</v>
      </c>
      <c r="AB1019" s="155">
        <v>81.5</v>
      </c>
      <c r="AC1019" s="155">
        <v>17.2</v>
      </c>
      <c r="AD1019" s="96"/>
      <c r="AE1019" s="94">
        <f>Table3.110[[#This Row],[Gas 8h, ml]]-Table3.110[[#This Row],[Gas 0h, ml]]</f>
        <v>40.5</v>
      </c>
      <c r="AF1019" s="94">
        <f>Table3.110[[#This Row],[Gas 24h, ml]]-Table3.110[[#This Row],[V8 Push back, ml]]</f>
        <v>41</v>
      </c>
      <c r="AG1019" s="94">
        <f>Table3.110[[#This Row],[GP 8h, ml]]-(AVERAGE(AE$982,AE$983,AE$1032,AE$1033,AE$1085,AE$1086))*$AG$8</f>
        <v>37.771229168713369</v>
      </c>
      <c r="AH1019" s="94">
        <f>Table3.110[[#This Row],[GP 8-24h, ml]]-(AVERAGE(AF$982,AF$983,AF$1032,AF$1033,AF$1085,AF$1086))*$AG$8</f>
        <v>37.349347131116531</v>
      </c>
      <c r="AI1019" s="94">
        <f>Table3.110[[#This Row],[Net gas 8-24h, ml]]+Table3.110[[#This Row],[Net gas 8h, ml]]</f>
        <v>75.120576299829906</v>
      </c>
      <c r="AJ1019" s="94">
        <f>Table3.110[[#This Row],[Net gas 8h, ml]]*Table3.110[[#This Row],[CH4 8h %]]%</f>
        <v>5.3257433127885845</v>
      </c>
      <c r="AK1019" s="94">
        <f>Table3.110[[#This Row],[Net gas 8-24h, ml]]*Table3.110[[#This Row],[CH4 24h, %]]%</f>
        <v>6.4240877065520428</v>
      </c>
      <c r="AL1019" s="94">
        <f>Table3.110[[#This Row],[CH4 8-24h, ml]]+Table3.110[[#This Row],[CH4 8h, ml]]</f>
        <v>11.749831019340627</v>
      </c>
      <c r="AM1019" s="94">
        <f>(Table3.110[[#This Row],[Net gas 24h, ml]]/Table3.110[[#This Row],[DM Incubated, mg]])*1000</f>
        <v>160.55804787416625</v>
      </c>
      <c r="AN1019" s="94">
        <f>'3.2 Digest'!X1019</f>
        <v>48.105438025059669</v>
      </c>
      <c r="AO1019" s="94">
        <f>Table3.110[[#This Row],[Digested feed, mg]]/Table3.110[[#This Row],[Net gas 24h, ml]]</f>
        <v>2.9961399420327544</v>
      </c>
      <c r="AP1019" s="94">
        <f>Table3.110[[#This Row],[CH4 8h, ml]]/Table3.110[[#This Row],[Net gas 8h, ml]]%</f>
        <v>14.1</v>
      </c>
      <c r="AQ1019" s="94">
        <f>Table3.110[[#This Row],[CH4 24h, ml]]/Table3.110[[#This Row],[Net gas 24h, ml]]%</f>
        <v>15.641295099285909</v>
      </c>
      <c r="AR1019" s="94">
        <f>Table3.110[[#This Row],[CH4 24h, ml]]/Table3.110[[#This Row],[DM Incubated, mg]]*1000</f>
        <v>25.113358073651092</v>
      </c>
      <c r="AS1019" s="94">
        <f>Table3.110[[#This Row],[CH4 24h, ml]]/Table3.110[[#This Row],[Digested feed, mg]]*1000</f>
        <v>52.20482154339544</v>
      </c>
      <c r="AT1019" s="94">
        <f>Table3.110[[#This Row],[CH4 24h, ml]]/'3.2 Digest'!AA1019</f>
        <v>-0.49090762689389045</v>
      </c>
      <c r="AU1019" s="94">
        <f>((Table3.110[[#This Row],[CH4 24h, ml]]/28.9)*16.04)/Table3.110[[#This Row],[DM Incubated, mg]]*1000</f>
        <v>13.938348218040257</v>
      </c>
      <c r="AV1019" s="94">
        <f>((Table3.110[[#This Row],[CH4 24h, ml]]/28.9)*16.04)/Table3.110[[#This Row],[Digested feed, mg]]*1000</f>
        <v>28.974579154189023</v>
      </c>
      <c r="AW1019" s="94"/>
      <c r="AX1019" s="94"/>
    </row>
    <row r="1020" spans="2:50" x14ac:dyDescent="0.35">
      <c r="B1020" s="90">
        <f t="shared" si="15"/>
        <v>1010</v>
      </c>
      <c r="C1020" s="140">
        <v>46064</v>
      </c>
      <c r="D1020" s="6" t="s">
        <v>16</v>
      </c>
      <c r="E1020" s="6" t="s">
        <v>419</v>
      </c>
      <c r="F1020" s="242" t="s">
        <v>264</v>
      </c>
      <c r="G1020" s="242" t="s">
        <v>329</v>
      </c>
      <c r="H1020" s="6" t="s">
        <v>330</v>
      </c>
      <c r="I1020" s="133" t="s">
        <v>22</v>
      </c>
      <c r="J1020" s="135" t="s">
        <v>23</v>
      </c>
      <c r="K1020" s="135" t="s">
        <v>215</v>
      </c>
      <c r="L1020" s="6" t="s">
        <v>418</v>
      </c>
      <c r="M1020" s="256">
        <v>30</v>
      </c>
      <c r="N1020" s="256">
        <v>64</v>
      </c>
      <c r="O1020" s="256">
        <v>1</v>
      </c>
      <c r="P1020" s="257">
        <v>1</v>
      </c>
      <c r="Q1020" s="6">
        <v>144</v>
      </c>
      <c r="R1020" s="98">
        <v>0.50039999999999996</v>
      </c>
      <c r="S1020" s="94">
        <f>((Table3.110[[#This Row],[Sample weight, g]]*'2.1. DM'!Q265)/100)*1000</f>
        <v>472.03582396675404</v>
      </c>
      <c r="T1020" s="94">
        <f>'3.2 Digest'!W1020</f>
        <v>205.83582396675405</v>
      </c>
      <c r="U1020" s="153">
        <v>0.33263888888888887</v>
      </c>
      <c r="V1020" s="154">
        <v>40</v>
      </c>
      <c r="W1020" s="153">
        <v>0.67638888888888893</v>
      </c>
      <c r="X1020" s="95">
        <v>83</v>
      </c>
      <c r="Y1020" s="95">
        <v>15</v>
      </c>
      <c r="Z1020" s="154">
        <v>40</v>
      </c>
      <c r="AA1020" s="153">
        <v>0.34722222222222221</v>
      </c>
      <c r="AB1020" s="154">
        <v>73.5</v>
      </c>
      <c r="AC1020" s="154">
        <v>18.399999999999999</v>
      </c>
      <c r="AD1020" s="91"/>
      <c r="AE1020" s="94">
        <f>Table3.110[[#This Row],[Gas 8h, ml]]-Table3.110[[#This Row],[Gas 0h, ml]]</f>
        <v>43</v>
      </c>
      <c r="AF1020" s="94">
        <f>Table3.110[[#This Row],[Gas 24h, ml]]-Table3.110[[#This Row],[V8 Push back, ml]]</f>
        <v>33.5</v>
      </c>
      <c r="AG1020" s="94">
        <f>Table3.110[[#This Row],[GP 8h, ml]]-(AVERAGE(AE$982,AE$983,AE$1032,AE$1033,AE$1085,AE$1086))*$AG$8</f>
        <v>40.271229168713369</v>
      </c>
      <c r="AH1020" s="94">
        <f>Table3.110[[#This Row],[GP 8-24h, ml]]-(AVERAGE(AF$982,AF$983,AF$1032,AF$1033,AF$1085,AF$1086))*$AG$8</f>
        <v>29.849347131116534</v>
      </c>
      <c r="AI1020" s="94">
        <f>Table3.110[[#This Row],[Net gas 8-24h, ml]]+Table3.110[[#This Row],[Net gas 8h, ml]]</f>
        <v>70.120576299829906</v>
      </c>
      <c r="AJ1020" s="94">
        <f>Table3.110[[#This Row],[Net gas 8h, ml]]*Table3.110[[#This Row],[CH4 8h %]]%</f>
        <v>6.0406843753070047</v>
      </c>
      <c r="AK1020" s="94">
        <f>Table3.110[[#This Row],[Net gas 8-24h, ml]]*Table3.110[[#This Row],[CH4 24h, %]]%</f>
        <v>5.492279872125442</v>
      </c>
      <c r="AL1020" s="94">
        <f>Table3.110[[#This Row],[CH4 8-24h, ml]]+Table3.110[[#This Row],[CH4 8h, ml]]</f>
        <v>11.532964247432446</v>
      </c>
      <c r="AM1020" s="94">
        <f>(Table3.110[[#This Row],[Net gas 24h, ml]]/Table3.110[[#This Row],[DM Incubated, mg]])*1000</f>
        <v>148.54926838088579</v>
      </c>
      <c r="AN1020" s="94">
        <f>'3.2 Digest'!X1020</f>
        <v>43.605975122187182</v>
      </c>
      <c r="AO1020" s="94">
        <f>Table3.110[[#This Row],[Digested feed, mg]]/Table3.110[[#This Row],[Net gas 24h, ml]]</f>
        <v>2.9354553945280872</v>
      </c>
      <c r="AP1020" s="94">
        <f>Table3.110[[#This Row],[CH4 8h, ml]]/Table3.110[[#This Row],[Net gas 8h, ml]]%</f>
        <v>14.999999999999998</v>
      </c>
      <c r="AQ1020" s="94">
        <f>Table3.110[[#This Row],[CH4 24h, ml]]/Table3.110[[#This Row],[Net gas 24h, ml]]%</f>
        <v>16.447332375191021</v>
      </c>
      <c r="AR1020" s="94">
        <f>Table3.110[[#This Row],[CH4 24h, ml]]/Table3.110[[#This Row],[DM Incubated, mg]]*1000</f>
        <v>24.432391911518827</v>
      </c>
      <c r="AS1020" s="94">
        <f>Table3.110[[#This Row],[CH4 24h, ml]]/Table3.110[[#This Row],[Digested feed, mg]]*1000</f>
        <v>56.029917558448005</v>
      </c>
      <c r="AT1020" s="94">
        <f>Table3.110[[#This Row],[CH4 24h, ml]]/'3.2 Digest'!AA1020</f>
        <v>4.0153065485649719</v>
      </c>
      <c r="AU1020" s="94">
        <f>((Table3.110[[#This Row],[CH4 24h, ml]]/28.9)*16.04)/Table3.110[[#This Row],[DM Incubated, mg]]*1000</f>
        <v>13.560400216635362</v>
      </c>
      <c r="AV1020" s="94">
        <f>((Table3.110[[#This Row],[CH4 24h, ml]]/28.9)*16.04)/Table3.110[[#This Row],[Digested feed, mg]]*1000</f>
        <v>31.097573620674947</v>
      </c>
      <c r="AW1020" s="94"/>
      <c r="AX1020" s="94"/>
    </row>
    <row r="1021" spans="2:50" x14ac:dyDescent="0.35">
      <c r="B1021" s="90">
        <f t="shared" si="15"/>
        <v>1011</v>
      </c>
      <c r="C1021" s="140">
        <v>46064</v>
      </c>
      <c r="D1021" s="6" t="s">
        <v>16</v>
      </c>
      <c r="E1021" s="6" t="s">
        <v>419</v>
      </c>
      <c r="F1021" s="242" t="s">
        <v>264</v>
      </c>
      <c r="G1021" s="242" t="s">
        <v>329</v>
      </c>
      <c r="H1021" s="6" t="s">
        <v>330</v>
      </c>
      <c r="I1021" s="133" t="s">
        <v>22</v>
      </c>
      <c r="J1021" s="135" t="s">
        <v>23</v>
      </c>
      <c r="K1021" s="135" t="s">
        <v>215</v>
      </c>
      <c r="L1021" s="6" t="s">
        <v>418</v>
      </c>
      <c r="M1021" s="256">
        <v>30</v>
      </c>
      <c r="N1021" s="256">
        <v>64</v>
      </c>
      <c r="O1021" s="256">
        <v>1</v>
      </c>
      <c r="P1021" s="257">
        <v>2</v>
      </c>
      <c r="Q1021" s="129">
        <v>145</v>
      </c>
      <c r="R1021" s="98">
        <v>0.50019999999999998</v>
      </c>
      <c r="S1021" s="94">
        <f>((Table3.110[[#This Row],[Sample weight, g]]*'2.1. DM'!Q265)/100)*1000</f>
        <v>471.84716056788642</v>
      </c>
      <c r="T1021" s="94">
        <f>'3.2 Digest'!W1021</f>
        <v>184.94716056788639</v>
      </c>
      <c r="U1021" s="117">
        <v>0.33263888888888887</v>
      </c>
      <c r="V1021" s="155">
        <v>40.5</v>
      </c>
      <c r="W1021" s="117">
        <v>0.67708333333333337</v>
      </c>
      <c r="X1021" s="97">
        <v>81.5</v>
      </c>
      <c r="Y1021" s="97">
        <v>15.3</v>
      </c>
      <c r="Z1021" s="155">
        <v>40.5</v>
      </c>
      <c r="AA1021" s="117">
        <v>0.34791666666666665</v>
      </c>
      <c r="AB1021" s="155">
        <v>68.5</v>
      </c>
      <c r="AC1021" s="155">
        <v>18.5</v>
      </c>
      <c r="AD1021" s="96"/>
      <c r="AE1021" s="94">
        <f>Table3.110[[#This Row],[Gas 8h, ml]]-Table3.110[[#This Row],[Gas 0h, ml]]</f>
        <v>41</v>
      </c>
      <c r="AF1021" s="94">
        <f>Table3.110[[#This Row],[Gas 24h, ml]]-Table3.110[[#This Row],[V8 Push back, ml]]</f>
        <v>28</v>
      </c>
      <c r="AG1021" s="94">
        <f>Table3.110[[#This Row],[GP 8h, ml]]-(AVERAGE(AE$982,AE$983,AE$1032,AE$1033,AE$1085,AE$1086))*$AG$8</f>
        <v>38.271229168713369</v>
      </c>
      <c r="AH1021" s="94">
        <f>Table3.110[[#This Row],[GP 8-24h, ml]]-(AVERAGE(AF$982,AF$983,AF$1032,AF$1033,AF$1085,AF$1086))*$AG$8</f>
        <v>24.349347131116534</v>
      </c>
      <c r="AI1021" s="94">
        <f>Table3.110[[#This Row],[Net gas 8-24h, ml]]+Table3.110[[#This Row],[Net gas 8h, ml]]</f>
        <v>62.620576299829906</v>
      </c>
      <c r="AJ1021" s="94">
        <f>Table3.110[[#This Row],[Net gas 8h, ml]]*Table3.110[[#This Row],[CH4 8h %]]%</f>
        <v>5.8554980628131457</v>
      </c>
      <c r="AK1021" s="94">
        <f>Table3.110[[#This Row],[Net gas 8-24h, ml]]*Table3.110[[#This Row],[CH4 24h, %]]%</f>
        <v>4.5046292192565591</v>
      </c>
      <c r="AL1021" s="94">
        <f>Table3.110[[#This Row],[CH4 8-24h, ml]]+Table3.110[[#This Row],[CH4 8h, ml]]</f>
        <v>10.360127282069705</v>
      </c>
      <c r="AM1021" s="94">
        <f>(Table3.110[[#This Row],[Net gas 24h, ml]]/Table3.110[[#This Row],[DM Incubated, mg]])*1000</f>
        <v>132.71368683126886</v>
      </c>
      <c r="AN1021" s="94">
        <f>'3.2 Digest'!X1021</f>
        <v>39.19641274206149</v>
      </c>
      <c r="AO1021" s="94">
        <f>Table3.110[[#This Row],[Digested feed, mg]]/Table3.110[[#This Row],[Net gas 24h, ml]]</f>
        <v>2.9534566989986124</v>
      </c>
      <c r="AP1021" s="94">
        <f>Table3.110[[#This Row],[CH4 8h, ml]]/Table3.110[[#This Row],[Net gas 8h, ml]]%</f>
        <v>15.3</v>
      </c>
      <c r="AQ1021" s="94">
        <f>Table3.110[[#This Row],[CH4 24h, ml]]/Table3.110[[#This Row],[Net gas 24h, ml]]%</f>
        <v>16.5442860705481</v>
      </c>
      <c r="AR1021" s="94">
        <f>Table3.110[[#This Row],[CH4 24h, ml]]/Table3.110[[#This Row],[DM Incubated, mg]]*1000</f>
        <v>21.956532004136442</v>
      </c>
      <c r="AS1021" s="94">
        <f>Table3.110[[#This Row],[CH4 24h, ml]]/Table3.110[[#This Row],[Digested feed, mg]]*1000</f>
        <v>56.016687416333355</v>
      </c>
      <c r="AT1021" s="94">
        <f>Table3.110[[#This Row],[CH4 24h, ml]]/'3.2 Digest'!AA1021</f>
        <v>-2.1938432634861673</v>
      </c>
      <c r="AU1021" s="94">
        <f>((Table3.110[[#This Row],[CH4 24h, ml]]/28.9)*16.04)/Table3.110[[#This Row],[DM Incubated, mg]]*1000</f>
        <v>12.186255133091644</v>
      </c>
      <c r="AV1021" s="94">
        <f>((Table3.110[[#This Row],[CH4 24h, ml]]/28.9)*16.04)/Table3.110[[#This Row],[Digested feed, mg]]*1000</f>
        <v>31.090230662906119</v>
      </c>
      <c r="AW1021" s="94"/>
      <c r="AX1021" s="94"/>
    </row>
    <row r="1022" spans="2:50" x14ac:dyDescent="0.35">
      <c r="B1022" s="90">
        <f t="shared" si="15"/>
        <v>1012</v>
      </c>
      <c r="C1022" s="140">
        <v>46064</v>
      </c>
      <c r="D1022" s="6" t="s">
        <v>16</v>
      </c>
      <c r="E1022" s="6" t="s">
        <v>419</v>
      </c>
      <c r="F1022" s="242" t="s">
        <v>264</v>
      </c>
      <c r="G1022" s="242" t="s">
        <v>329</v>
      </c>
      <c r="H1022" s="6" t="s">
        <v>330</v>
      </c>
      <c r="I1022" s="133" t="s">
        <v>22</v>
      </c>
      <c r="J1022" s="135" t="s">
        <v>23</v>
      </c>
      <c r="K1022" s="135" t="s">
        <v>215</v>
      </c>
      <c r="L1022" s="6" t="s">
        <v>418</v>
      </c>
      <c r="M1022" s="256">
        <v>30</v>
      </c>
      <c r="N1022" s="256">
        <v>64</v>
      </c>
      <c r="O1022" s="256">
        <v>1</v>
      </c>
      <c r="P1022" s="257">
        <v>3</v>
      </c>
      <c r="Q1022" s="129">
        <v>146</v>
      </c>
      <c r="R1022" s="98">
        <v>0.50039999999999996</v>
      </c>
      <c r="S1022" s="94">
        <f>((Table3.110[[#This Row],[Sample weight, g]]*'2.1. DM'!Q265)/100)*1000</f>
        <v>472.03582396675404</v>
      </c>
      <c r="T1022" s="94">
        <f>'3.2 Digest'!W1022</f>
        <v>202.135823966754</v>
      </c>
      <c r="U1022" s="153">
        <v>0.33333333333333331</v>
      </c>
      <c r="V1022" s="154">
        <v>41</v>
      </c>
      <c r="W1022" s="153">
        <v>0.67708333333333337</v>
      </c>
      <c r="X1022" s="95">
        <v>81.5</v>
      </c>
      <c r="Y1022" s="95">
        <v>15.4</v>
      </c>
      <c r="Z1022" s="154">
        <v>40.5</v>
      </c>
      <c r="AA1022" s="153">
        <v>0.34791666666666665</v>
      </c>
      <c r="AB1022" s="154">
        <v>71.5</v>
      </c>
      <c r="AC1022" s="154">
        <v>18.399999999999999</v>
      </c>
      <c r="AD1022" s="91"/>
      <c r="AE1022" s="94">
        <f>Table3.110[[#This Row],[Gas 8h, ml]]-Table3.110[[#This Row],[Gas 0h, ml]]</f>
        <v>40.5</v>
      </c>
      <c r="AF1022" s="94">
        <f>Table3.110[[#This Row],[Gas 24h, ml]]-Table3.110[[#This Row],[V8 Push back, ml]]</f>
        <v>31</v>
      </c>
      <c r="AG1022" s="94">
        <f>Table3.110[[#This Row],[GP 8h, ml]]-(AVERAGE(AE$982,AE$983,AE$1032,AE$1033,AE$1085,AE$1086))*$AG$8</f>
        <v>37.771229168713369</v>
      </c>
      <c r="AH1022" s="94">
        <f>Table3.110[[#This Row],[GP 8-24h, ml]]-(AVERAGE(AF$982,AF$983,AF$1032,AF$1033,AF$1085,AF$1086))*$AG$8</f>
        <v>27.349347131116534</v>
      </c>
      <c r="AI1022" s="94">
        <f>Table3.110[[#This Row],[Net gas 8-24h, ml]]+Table3.110[[#This Row],[Net gas 8h, ml]]</f>
        <v>65.120576299829906</v>
      </c>
      <c r="AJ1022" s="94">
        <f>Table3.110[[#This Row],[Net gas 8h, ml]]*Table3.110[[#This Row],[CH4 8h %]]%</f>
        <v>5.816769291981859</v>
      </c>
      <c r="AK1022" s="94">
        <f>Table3.110[[#This Row],[Net gas 8-24h, ml]]*Table3.110[[#This Row],[CH4 24h, %]]%</f>
        <v>5.032279872125442</v>
      </c>
      <c r="AL1022" s="94">
        <f>Table3.110[[#This Row],[CH4 8-24h, ml]]+Table3.110[[#This Row],[CH4 8h, ml]]</f>
        <v>10.849049164107301</v>
      </c>
      <c r="AM1022" s="94">
        <f>(Table3.110[[#This Row],[Net gas 24h, ml]]/Table3.110[[#This Row],[DM Incubated, mg]])*1000</f>
        <v>137.95685198760765</v>
      </c>
      <c r="AN1022" s="94">
        <f>'3.2 Digest'!X1022</f>
        <v>42.822136309084591</v>
      </c>
      <c r="AO1022" s="94">
        <f>Table3.110[[#This Row],[Digested feed, mg]]/Table3.110[[#This Row],[Net gas 24h, ml]]</f>
        <v>3.1040238808095739</v>
      </c>
      <c r="AP1022" s="94">
        <f>Table3.110[[#This Row],[CH4 8h, ml]]/Table3.110[[#This Row],[Net gas 8h, ml]]%</f>
        <v>15.400000000000002</v>
      </c>
      <c r="AQ1022" s="94">
        <f>Table3.110[[#This Row],[CH4 24h, ml]]/Table3.110[[#This Row],[Net gas 24h, ml]]%</f>
        <v>16.65994034536153</v>
      </c>
      <c r="AR1022" s="94">
        <f>Table3.110[[#This Row],[CH4 24h, ml]]/Table3.110[[#This Row],[DM Incubated, mg]]*1000</f>
        <v>22.983529243474134</v>
      </c>
      <c r="AS1022" s="94">
        <f>Table3.110[[#This Row],[CH4 24h, ml]]/Table3.110[[#This Row],[Digested feed, mg]]*1000</f>
        <v>53.672075296715747</v>
      </c>
      <c r="AT1022" s="94">
        <f>Table3.110[[#This Row],[CH4 24h, ml]]/'3.2 Digest'!AA1022</f>
        <v>7.1270295670813919</v>
      </c>
      <c r="AU1022" s="94">
        <f>((Table3.110[[#This Row],[CH4 24h, ml]]/28.9)*16.04)/Table3.110[[#This Row],[DM Incubated, mg]]*1000</f>
        <v>12.756256369042392</v>
      </c>
      <c r="AV1022" s="94">
        <f>((Table3.110[[#This Row],[CH4 24h, ml]]/28.9)*16.04)/Table3.110[[#This Row],[Digested feed, mg]]*1000</f>
        <v>29.788930372294832</v>
      </c>
      <c r="AW1022" s="94"/>
      <c r="AX1022" s="94"/>
    </row>
    <row r="1023" spans="2:50" x14ac:dyDescent="0.35">
      <c r="B1023" s="90">
        <f t="shared" si="15"/>
        <v>1013</v>
      </c>
      <c r="C1023" s="140">
        <v>46064</v>
      </c>
      <c r="D1023" s="6" t="s">
        <v>16</v>
      </c>
      <c r="E1023" s="6" t="s">
        <v>421</v>
      </c>
      <c r="F1023" s="242" t="s">
        <v>264</v>
      </c>
      <c r="G1023" s="242" t="s">
        <v>265</v>
      </c>
      <c r="H1023" s="6" t="s">
        <v>266</v>
      </c>
      <c r="I1023" s="133" t="s">
        <v>22</v>
      </c>
      <c r="J1023" s="135" t="s">
        <v>23</v>
      </c>
      <c r="K1023" s="135" t="s">
        <v>215</v>
      </c>
      <c r="L1023" s="6" t="s">
        <v>420</v>
      </c>
      <c r="M1023" s="256">
        <v>30</v>
      </c>
      <c r="N1023" s="256">
        <v>64</v>
      </c>
      <c r="O1023" s="256">
        <v>1</v>
      </c>
      <c r="P1023" s="257">
        <v>1</v>
      </c>
      <c r="Q1023" s="6">
        <v>147</v>
      </c>
      <c r="R1023" s="98">
        <v>0.50039999999999996</v>
      </c>
      <c r="S1023" s="94">
        <f>((Table3.110[[#This Row],[Sample weight, g]]*'2.1. DM'!Q267)/100)*1000</f>
        <v>480.61709316273499</v>
      </c>
      <c r="T1023" s="94">
        <f>'3.2 Digest'!W1023</f>
        <v>209.61709316273499</v>
      </c>
      <c r="U1023" s="117">
        <v>0.33333333333333331</v>
      </c>
      <c r="V1023" s="155">
        <v>40.5</v>
      </c>
      <c r="W1023" s="117">
        <v>0.67777777777777781</v>
      </c>
      <c r="X1023" s="97">
        <v>82.5</v>
      </c>
      <c r="Y1023" s="97">
        <v>12.9</v>
      </c>
      <c r="Z1023" s="155">
        <v>40.5</v>
      </c>
      <c r="AA1023" s="117">
        <v>0.34861111111111109</v>
      </c>
      <c r="AB1023" s="155">
        <v>72.5</v>
      </c>
      <c r="AC1023" s="155">
        <v>18.399999999999999</v>
      </c>
      <c r="AD1023" s="96"/>
      <c r="AE1023" s="94">
        <f>Table3.110[[#This Row],[Gas 8h, ml]]-Table3.110[[#This Row],[Gas 0h, ml]]</f>
        <v>42</v>
      </c>
      <c r="AF1023" s="94">
        <f>Table3.110[[#This Row],[Gas 24h, ml]]-Table3.110[[#This Row],[V8 Push back, ml]]</f>
        <v>32</v>
      </c>
      <c r="AG1023" s="94">
        <f>Table3.110[[#This Row],[GP 8h, ml]]-(AVERAGE(AE$982,AE$983,AE$1032,AE$1033,AE$1085,AE$1086))*$AG$8</f>
        <v>39.271229168713369</v>
      </c>
      <c r="AH1023" s="94">
        <f>Table3.110[[#This Row],[GP 8-24h, ml]]-(AVERAGE(AF$982,AF$983,AF$1032,AF$1033,AF$1085,AF$1086))*$AG$8</f>
        <v>28.349347131116534</v>
      </c>
      <c r="AI1023" s="94">
        <f>Table3.110[[#This Row],[Net gas 8-24h, ml]]+Table3.110[[#This Row],[Net gas 8h, ml]]</f>
        <v>67.620576299829906</v>
      </c>
      <c r="AJ1023" s="94">
        <f>Table3.110[[#This Row],[Net gas 8h, ml]]*Table3.110[[#This Row],[CH4 8h %]]%</f>
        <v>5.0659885627640246</v>
      </c>
      <c r="AK1023" s="94">
        <f>Table3.110[[#This Row],[Net gas 8-24h, ml]]*Table3.110[[#This Row],[CH4 24h, %]]%</f>
        <v>5.2162798721254422</v>
      </c>
      <c r="AL1023" s="94">
        <f>Table3.110[[#This Row],[CH4 8-24h, ml]]+Table3.110[[#This Row],[CH4 8h, ml]]</f>
        <v>10.282268434889467</v>
      </c>
      <c r="AM1023" s="94">
        <f>(Table3.110[[#This Row],[Net gas 24h, ml]]/Table3.110[[#This Row],[DM Incubated, mg]])*1000</f>
        <v>140.69532120642629</v>
      </c>
      <c r="AN1023" s="94">
        <f>'3.2 Digest'!X1023</f>
        <v>43.614156913008394</v>
      </c>
      <c r="AO1023" s="94">
        <f>Table3.110[[#This Row],[Digested feed, mg]]/Table3.110[[#This Row],[Net gas 24h, ml]]</f>
        <v>3.0999010158282587</v>
      </c>
      <c r="AP1023" s="94">
        <f>Table3.110[[#This Row],[CH4 8h, ml]]/Table3.110[[#This Row],[Net gas 8h, ml]]%</f>
        <v>12.9</v>
      </c>
      <c r="AQ1023" s="94">
        <f>Table3.110[[#This Row],[CH4 24h, ml]]/Table3.110[[#This Row],[Net gas 24h, ml]]%</f>
        <v>15.205827867094548</v>
      </c>
      <c r="AR1023" s="94">
        <f>Table3.110[[#This Row],[CH4 24h, ml]]/Table3.110[[#This Row],[DM Incubated, mg]]*1000</f>
        <v>21.393888359704953</v>
      </c>
      <c r="AS1023" s="94">
        <f>Table3.110[[#This Row],[CH4 24h, ml]]/Table3.110[[#This Row],[Digested feed, mg]]*1000</f>
        <v>49.052623904611103</v>
      </c>
      <c r="AT1023" s="94">
        <f>Table3.110[[#This Row],[CH4 24h, ml]]/'3.2 Digest'!AA1023</f>
        <v>1.2394003862651342</v>
      </c>
      <c r="AU1023" s="94">
        <f>((Table3.110[[#This Row],[CH4 24h, ml]]/28.9)*16.04)/Table3.110[[#This Row],[DM Incubated, mg]]*1000</f>
        <v>11.873978176113059</v>
      </c>
      <c r="AV1023" s="94">
        <f>((Table3.110[[#This Row],[CH4 24h, ml]]/28.9)*16.04)/Table3.110[[#This Row],[Digested feed, mg]]*1000</f>
        <v>27.225054928372391</v>
      </c>
      <c r="AW1023" s="94"/>
      <c r="AX1023" s="94"/>
    </row>
    <row r="1024" spans="2:50" x14ac:dyDescent="0.35">
      <c r="B1024" s="90">
        <f t="shared" si="15"/>
        <v>1014</v>
      </c>
      <c r="C1024" s="140">
        <v>46064</v>
      </c>
      <c r="D1024" s="6" t="s">
        <v>16</v>
      </c>
      <c r="E1024" s="6" t="s">
        <v>421</v>
      </c>
      <c r="F1024" s="242" t="s">
        <v>264</v>
      </c>
      <c r="G1024" s="242" t="s">
        <v>265</v>
      </c>
      <c r="H1024" s="6" t="s">
        <v>266</v>
      </c>
      <c r="I1024" s="133" t="s">
        <v>22</v>
      </c>
      <c r="J1024" s="135" t="s">
        <v>23</v>
      </c>
      <c r="K1024" s="135" t="s">
        <v>215</v>
      </c>
      <c r="L1024" s="6" t="s">
        <v>420</v>
      </c>
      <c r="M1024" s="256">
        <v>30</v>
      </c>
      <c r="N1024" s="256">
        <v>64</v>
      </c>
      <c r="O1024" s="256">
        <v>1</v>
      </c>
      <c r="P1024" s="257">
        <v>2</v>
      </c>
      <c r="Q1024" s="129">
        <v>148</v>
      </c>
      <c r="R1024" s="98">
        <v>0.50009999999999999</v>
      </c>
      <c r="S1024" s="94">
        <f>((Table3.110[[#This Row],[Sample weight, g]]*'2.1. DM'!Q267)/100)*1000</f>
        <v>480.32895341863269</v>
      </c>
      <c r="T1024" s="94">
        <f>'3.2 Digest'!W1024</f>
        <v>203.62895341863265</v>
      </c>
      <c r="U1024" s="153">
        <v>0.33333333333333331</v>
      </c>
      <c r="V1024" s="154">
        <v>40.5</v>
      </c>
      <c r="W1024" s="153">
        <v>0.67847222222222225</v>
      </c>
      <c r="X1024" s="95">
        <v>82</v>
      </c>
      <c r="Y1024" s="95">
        <v>15</v>
      </c>
      <c r="Z1024" s="154">
        <v>40.5</v>
      </c>
      <c r="AA1024" s="153">
        <v>0.34861111111111109</v>
      </c>
      <c r="AB1024" s="154">
        <v>73.5</v>
      </c>
      <c r="AC1024" s="154">
        <v>18.5</v>
      </c>
      <c r="AD1024" s="91"/>
      <c r="AE1024" s="94">
        <f>Table3.110[[#This Row],[Gas 8h, ml]]-Table3.110[[#This Row],[Gas 0h, ml]]</f>
        <v>41.5</v>
      </c>
      <c r="AF1024" s="94">
        <f>Table3.110[[#This Row],[Gas 24h, ml]]-Table3.110[[#This Row],[V8 Push back, ml]]</f>
        <v>33</v>
      </c>
      <c r="AG1024" s="94">
        <f>Table3.110[[#This Row],[GP 8h, ml]]-(AVERAGE(AE$982,AE$983,AE$1032,AE$1033,AE$1085,AE$1086))*$AG$8</f>
        <v>38.771229168713369</v>
      </c>
      <c r="AH1024" s="94">
        <f>Table3.110[[#This Row],[GP 8-24h, ml]]-(AVERAGE(AF$982,AF$983,AF$1032,AF$1033,AF$1085,AF$1086))*$AG$8</f>
        <v>29.349347131116534</v>
      </c>
      <c r="AI1024" s="94">
        <f>Table3.110[[#This Row],[Net gas 8-24h, ml]]+Table3.110[[#This Row],[Net gas 8h, ml]]</f>
        <v>68.120576299829906</v>
      </c>
      <c r="AJ1024" s="94">
        <f>Table3.110[[#This Row],[Net gas 8h, ml]]*Table3.110[[#This Row],[CH4 8h %]]%</f>
        <v>5.8156843753070051</v>
      </c>
      <c r="AK1024" s="94">
        <f>Table3.110[[#This Row],[Net gas 8-24h, ml]]*Table3.110[[#This Row],[CH4 24h, %]]%</f>
        <v>5.4296292192565589</v>
      </c>
      <c r="AL1024" s="94">
        <f>Table3.110[[#This Row],[CH4 8-24h, ml]]+Table3.110[[#This Row],[CH4 8h, ml]]</f>
        <v>11.245313594563564</v>
      </c>
      <c r="AM1024" s="94">
        <f>(Table3.110[[#This Row],[Net gas 24h, ml]]/Table3.110[[#This Row],[DM Incubated, mg]])*1000</f>
        <v>141.82067480004505</v>
      </c>
      <c r="AN1024" s="94">
        <f>'3.2 Digest'!X1024</f>
        <v>42.39364543181285</v>
      </c>
      <c r="AO1024" s="94">
        <f>Table3.110[[#This Row],[Digested feed, mg]]/Table3.110[[#This Row],[Net gas 24h, ml]]</f>
        <v>2.9892429641576754</v>
      </c>
      <c r="AP1024" s="94">
        <f>Table3.110[[#This Row],[CH4 8h, ml]]/Table3.110[[#This Row],[Net gas 8h, ml]]%</f>
        <v>15</v>
      </c>
      <c r="AQ1024" s="94">
        <f>Table3.110[[#This Row],[CH4 24h, ml]]/Table3.110[[#This Row],[Net gas 24h, ml]]%</f>
        <v>16.507954285453753</v>
      </c>
      <c r="AR1024" s="94">
        <f>Table3.110[[#This Row],[CH4 24h, ml]]/Table3.110[[#This Row],[DM Incubated, mg]]*1000</f>
        <v>23.411692163313472</v>
      </c>
      <c r="AS1024" s="94">
        <f>Table3.110[[#This Row],[CH4 24h, ml]]/Table3.110[[#This Row],[Digested feed, mg]]*1000</f>
        <v>55.224531707162349</v>
      </c>
      <c r="AT1024" s="94">
        <f>Table3.110[[#This Row],[CH4 24h, ml]]/'3.2 Digest'!AA1024</f>
        <v>1.7818114552432283</v>
      </c>
      <c r="AU1024" s="94">
        <f>((Table3.110[[#This Row],[CH4 24h, ml]]/28.9)*16.04)/Table3.110[[#This Row],[DM Incubated, mg]]*1000</f>
        <v>12.993894197216195</v>
      </c>
      <c r="AV1024" s="94">
        <f>((Table3.110[[#This Row],[CH4 24h, ml]]/28.9)*16.04)/Table3.110[[#This Row],[Digested feed, mg]]*1000</f>
        <v>30.650570539200142</v>
      </c>
      <c r="AW1024" s="94"/>
      <c r="AX1024" s="94"/>
    </row>
    <row r="1025" spans="2:50" x14ac:dyDescent="0.35">
      <c r="B1025" s="90">
        <f t="shared" si="15"/>
        <v>1015</v>
      </c>
      <c r="C1025" s="140">
        <v>46064</v>
      </c>
      <c r="D1025" s="6" t="s">
        <v>16</v>
      </c>
      <c r="E1025" s="6" t="s">
        <v>421</v>
      </c>
      <c r="F1025" s="242" t="s">
        <v>264</v>
      </c>
      <c r="G1025" s="242" t="s">
        <v>265</v>
      </c>
      <c r="H1025" s="6" t="s">
        <v>266</v>
      </c>
      <c r="I1025" s="133" t="s">
        <v>22</v>
      </c>
      <c r="J1025" s="135" t="s">
        <v>23</v>
      </c>
      <c r="K1025" s="135" t="s">
        <v>215</v>
      </c>
      <c r="L1025" s="6" t="s">
        <v>420</v>
      </c>
      <c r="M1025" s="256">
        <v>30</v>
      </c>
      <c r="N1025" s="256">
        <v>64</v>
      </c>
      <c r="O1025" s="256">
        <v>1</v>
      </c>
      <c r="P1025" s="257">
        <v>3</v>
      </c>
      <c r="Q1025" s="129">
        <v>149</v>
      </c>
      <c r="R1025" s="98">
        <v>0.50029999999999997</v>
      </c>
      <c r="S1025" s="94">
        <f>((Table3.110[[#This Row],[Sample weight, g]]*'2.1. DM'!Q267)/100)*1000</f>
        <v>480.52104658136756</v>
      </c>
      <c r="T1025" s="94">
        <f>'3.2 Digest'!W1025</f>
        <v>189.32104658136757</v>
      </c>
      <c r="U1025" s="117">
        <v>0.33402777777777776</v>
      </c>
      <c r="V1025" s="155">
        <v>40</v>
      </c>
      <c r="W1025" s="117">
        <v>0.67847222222222225</v>
      </c>
      <c r="X1025" s="97">
        <v>82</v>
      </c>
      <c r="Y1025" s="97">
        <v>15.4</v>
      </c>
      <c r="Z1025" s="155">
        <v>40.5</v>
      </c>
      <c r="AA1025" s="117">
        <v>0.34861111111111109</v>
      </c>
      <c r="AB1025" s="155">
        <v>74.5</v>
      </c>
      <c r="AC1025" s="155">
        <v>18.3</v>
      </c>
      <c r="AD1025" s="96"/>
      <c r="AE1025" s="94">
        <f>Table3.110[[#This Row],[Gas 8h, ml]]-Table3.110[[#This Row],[Gas 0h, ml]]</f>
        <v>42</v>
      </c>
      <c r="AF1025" s="94">
        <f>Table3.110[[#This Row],[Gas 24h, ml]]-Table3.110[[#This Row],[V8 Push back, ml]]</f>
        <v>34</v>
      </c>
      <c r="AG1025" s="94">
        <f>Table3.110[[#This Row],[GP 8h, ml]]-(AVERAGE(AE$982,AE$983,AE$1032,AE$1033,AE$1085,AE$1086))*$AG$8</f>
        <v>39.271229168713369</v>
      </c>
      <c r="AH1025" s="94">
        <f>Table3.110[[#This Row],[GP 8-24h, ml]]-(AVERAGE(AF$982,AF$983,AF$1032,AF$1033,AF$1085,AF$1086))*$AG$8</f>
        <v>30.349347131116534</v>
      </c>
      <c r="AI1025" s="94">
        <f>Table3.110[[#This Row],[Net gas 8-24h, ml]]+Table3.110[[#This Row],[Net gas 8h, ml]]</f>
        <v>69.620576299829906</v>
      </c>
      <c r="AJ1025" s="94">
        <f>Table3.110[[#This Row],[Net gas 8h, ml]]*Table3.110[[#This Row],[CH4 8h %]]%</f>
        <v>6.0477692919818589</v>
      </c>
      <c r="AK1025" s="94">
        <f>Table3.110[[#This Row],[Net gas 8-24h, ml]]*Table3.110[[#This Row],[CH4 24h, %]]%</f>
        <v>5.5539305249943256</v>
      </c>
      <c r="AL1025" s="94">
        <f>Table3.110[[#This Row],[CH4 8-24h, ml]]+Table3.110[[#This Row],[CH4 8h, ml]]</f>
        <v>11.601699816976184</v>
      </c>
      <c r="AM1025" s="94">
        <f>(Table3.110[[#This Row],[Net gas 24h, ml]]/Table3.110[[#This Row],[DM Incubated, mg]])*1000</f>
        <v>144.88559199464933</v>
      </c>
      <c r="AN1025" s="94">
        <f>'3.2 Digest'!X1025</f>
        <v>39.399116423365541</v>
      </c>
      <c r="AO1025" s="94">
        <f>Table3.110[[#This Row],[Digested feed, mg]]/Table3.110[[#This Row],[Net gas 24h, ml]]</f>
        <v>2.7193260476045515</v>
      </c>
      <c r="AP1025" s="94">
        <f>Table3.110[[#This Row],[CH4 8h, ml]]/Table3.110[[#This Row],[Net gas 8h, ml]]%</f>
        <v>15.4</v>
      </c>
      <c r="AQ1025" s="94">
        <f>Table3.110[[#This Row],[CH4 24h, ml]]/Table3.110[[#This Row],[Net gas 24h, ml]]%</f>
        <v>16.664182392015807</v>
      </c>
      <c r="AR1025" s="94">
        <f>Table3.110[[#This Row],[CH4 24h, ml]]/Table3.110[[#This Row],[DM Incubated, mg]]*1000</f>
        <v>24.143999309740217</v>
      </c>
      <c r="AS1025" s="94">
        <f>Table3.110[[#This Row],[CH4 24h, ml]]/Table3.110[[#This Row],[Digested feed, mg]]*1000</f>
        <v>61.2805603310984</v>
      </c>
      <c r="AT1025" s="94">
        <f>Table3.110[[#This Row],[CH4 24h, ml]]/'3.2 Digest'!AA1025</f>
        <v>8.0512639421830254</v>
      </c>
      <c r="AU1025" s="94">
        <f>((Table3.110[[#This Row],[CH4 24h, ml]]/28.9)*16.04)/Table3.110[[#This Row],[DM Incubated, mg]]*1000</f>
        <v>13.400337333156855</v>
      </c>
      <c r="AV1025" s="94">
        <f>((Table3.110[[#This Row],[CH4 24h, ml]]/28.9)*16.04)/Table3.110[[#This Row],[Digested feed, mg]]*1000</f>
        <v>34.011771201066374</v>
      </c>
      <c r="AW1025" s="94"/>
      <c r="AX1025" s="94"/>
    </row>
    <row r="1026" spans="2:50" x14ac:dyDescent="0.35">
      <c r="B1026" s="90">
        <f t="shared" si="15"/>
        <v>1016</v>
      </c>
      <c r="C1026" s="140">
        <v>46064</v>
      </c>
      <c r="D1026" s="6" t="s">
        <v>16</v>
      </c>
      <c r="E1026" s="6" t="s">
        <v>423</v>
      </c>
      <c r="F1026" s="242" t="s">
        <v>212</v>
      </c>
      <c r="G1026" s="242" t="s">
        <v>424</v>
      </c>
      <c r="H1026" s="6" t="s">
        <v>425</v>
      </c>
      <c r="I1026" s="133" t="s">
        <v>22</v>
      </c>
      <c r="J1026" s="135" t="s">
        <v>23</v>
      </c>
      <c r="K1026" s="135" t="s">
        <v>215</v>
      </c>
      <c r="L1026" s="6" t="s">
        <v>422</v>
      </c>
      <c r="M1026" s="256">
        <v>30</v>
      </c>
      <c r="N1026" s="256">
        <v>64</v>
      </c>
      <c r="O1026" s="256">
        <v>1</v>
      </c>
      <c r="P1026" s="257">
        <v>1</v>
      </c>
      <c r="Q1026" s="6">
        <v>150</v>
      </c>
      <c r="R1026" s="98">
        <v>0.5</v>
      </c>
      <c r="S1026" s="94">
        <f>((Table3.110[[#This Row],[Sample weight, g]]*'2.1. DM'!Q269)/100)*1000</f>
        <v>466.63665767596115</v>
      </c>
      <c r="T1026" s="94">
        <f>'3.2 Digest'!W1026</f>
        <v>175.03665767596118</v>
      </c>
      <c r="U1026" s="153">
        <v>0.33402777777777776</v>
      </c>
      <c r="V1026" s="154">
        <v>40.5</v>
      </c>
      <c r="W1026" s="153">
        <v>0.6791666666666667</v>
      </c>
      <c r="X1026" s="95">
        <v>78.5</v>
      </c>
      <c r="Y1026" s="95">
        <v>12.9</v>
      </c>
      <c r="Z1026" s="154">
        <v>40.5</v>
      </c>
      <c r="AA1026" s="153">
        <v>0.34930555555555554</v>
      </c>
      <c r="AB1026" s="154">
        <v>69</v>
      </c>
      <c r="AC1026" s="154">
        <v>16.600000000000001</v>
      </c>
      <c r="AD1026" s="91"/>
      <c r="AE1026" s="94">
        <f>Table3.110[[#This Row],[Gas 8h, ml]]-Table3.110[[#This Row],[Gas 0h, ml]]</f>
        <v>38</v>
      </c>
      <c r="AF1026" s="94">
        <f>Table3.110[[#This Row],[Gas 24h, ml]]-Table3.110[[#This Row],[V8 Push back, ml]]</f>
        <v>28.5</v>
      </c>
      <c r="AG1026" s="94">
        <f>Table3.110[[#This Row],[GP 8h, ml]]-(AVERAGE(AE$982,AE$983,AE$1032,AE$1033,AE$1085,AE$1086))*$AG$8</f>
        <v>35.271229168713369</v>
      </c>
      <c r="AH1026" s="94">
        <f>Table3.110[[#This Row],[GP 8-24h, ml]]-(AVERAGE(AF$982,AF$983,AF$1032,AF$1033,AF$1085,AF$1086))*$AG$8</f>
        <v>24.849347131116534</v>
      </c>
      <c r="AI1026" s="94">
        <f>Table3.110[[#This Row],[Net gas 8-24h, ml]]+Table3.110[[#This Row],[Net gas 8h, ml]]</f>
        <v>60.120576299829906</v>
      </c>
      <c r="AJ1026" s="94">
        <f>Table3.110[[#This Row],[Net gas 8h, ml]]*Table3.110[[#This Row],[CH4 8h %]]%</f>
        <v>4.5499885627640246</v>
      </c>
      <c r="AK1026" s="94">
        <f>Table3.110[[#This Row],[Net gas 8-24h, ml]]*Table3.110[[#This Row],[CH4 24h, %]]%</f>
        <v>4.1249916237653448</v>
      </c>
      <c r="AL1026" s="94">
        <f>Table3.110[[#This Row],[CH4 8-24h, ml]]+Table3.110[[#This Row],[CH4 8h, ml]]</f>
        <v>8.6749801865293694</v>
      </c>
      <c r="AM1026" s="94">
        <f>(Table3.110[[#This Row],[Net gas 24h, ml]]/Table3.110[[#This Row],[DM Incubated, mg]])*1000</f>
        <v>128.8380912876726</v>
      </c>
      <c r="AN1026" s="94">
        <f>'3.2 Digest'!X1026</f>
        <v>37.510267313269892</v>
      </c>
      <c r="AO1026" s="94">
        <f>Table3.110[[#This Row],[Digested feed, mg]]/Table3.110[[#This Row],[Net gas 24h, ml]]</f>
        <v>2.9114268100662968</v>
      </c>
      <c r="AP1026" s="94">
        <f>Table3.110[[#This Row],[CH4 8h, ml]]/Table3.110[[#This Row],[Net gas 8h, ml]]%</f>
        <v>12.9</v>
      </c>
      <c r="AQ1026" s="94">
        <f>Table3.110[[#This Row],[CH4 24h, ml]]/Table3.110[[#This Row],[Net gas 24h, ml]]%</f>
        <v>14.429303111244316</v>
      </c>
      <c r="AR1026" s="94">
        <f>Table3.110[[#This Row],[CH4 24h, ml]]/Table3.110[[#This Row],[DM Incubated, mg]]*1000</f>
        <v>18.59043871463993</v>
      </c>
      <c r="AS1026" s="94">
        <f>Table3.110[[#This Row],[CH4 24h, ml]]/Table3.110[[#This Row],[Digested feed, mg]]*1000</f>
        <v>49.560933702179327</v>
      </c>
      <c r="AT1026" s="94">
        <f>Table3.110[[#This Row],[CH4 24h, ml]]/'3.2 Digest'!AA1026</f>
        <v>-0.70482371112710818</v>
      </c>
      <c r="AU1026" s="94">
        <f>((Table3.110[[#This Row],[CH4 24h, ml]]/28.9)*16.04)/Table3.110[[#This Row],[DM Incubated, mg]]*1000</f>
        <v>10.318015120512959</v>
      </c>
      <c r="AV1026" s="94">
        <f>((Table3.110[[#This Row],[CH4 24h, ml]]/28.9)*16.04)/Table3.110[[#This Row],[Digested feed, mg]]*1000</f>
        <v>27.507175660309905</v>
      </c>
      <c r="AW1026" s="94"/>
      <c r="AX1026" s="94"/>
    </row>
    <row r="1027" spans="2:50" x14ac:dyDescent="0.35">
      <c r="B1027" s="90">
        <f t="shared" si="15"/>
        <v>1017</v>
      </c>
      <c r="C1027" s="140">
        <v>46064</v>
      </c>
      <c r="D1027" s="6" t="s">
        <v>16</v>
      </c>
      <c r="E1027" s="6" t="s">
        <v>423</v>
      </c>
      <c r="F1027" s="242" t="s">
        <v>212</v>
      </c>
      <c r="G1027" s="242" t="s">
        <v>424</v>
      </c>
      <c r="H1027" s="6" t="s">
        <v>425</v>
      </c>
      <c r="I1027" s="133" t="s">
        <v>22</v>
      </c>
      <c r="J1027" s="135" t="s">
        <v>23</v>
      </c>
      <c r="K1027" s="135" t="s">
        <v>215</v>
      </c>
      <c r="L1027" s="6" t="s">
        <v>422</v>
      </c>
      <c r="M1027" s="256">
        <v>30</v>
      </c>
      <c r="N1027" s="256">
        <v>64</v>
      </c>
      <c r="O1027" s="256">
        <v>1</v>
      </c>
      <c r="P1027" s="257">
        <v>2</v>
      </c>
      <c r="Q1027" s="129">
        <v>151</v>
      </c>
      <c r="R1027" s="98">
        <v>0.50009999999999999</v>
      </c>
      <c r="S1027" s="94">
        <f>((Table3.110[[#This Row],[Sample weight, g]]*'2.1. DM'!Q269)/100)*1000</f>
        <v>466.72998500749634</v>
      </c>
      <c r="T1027" s="94">
        <f>'3.2 Digest'!W1027</f>
        <v>187.8299850074963</v>
      </c>
      <c r="U1027" s="117">
        <v>0.33402777777777776</v>
      </c>
      <c r="V1027" s="155">
        <v>41</v>
      </c>
      <c r="W1027" s="117">
        <v>0.67986111111111114</v>
      </c>
      <c r="X1027" s="97">
        <v>78.5</v>
      </c>
      <c r="Y1027" s="97">
        <v>13.1</v>
      </c>
      <c r="Z1027" s="155">
        <v>41</v>
      </c>
      <c r="AA1027" s="117">
        <v>0.35</v>
      </c>
      <c r="AB1027" s="155">
        <v>70</v>
      </c>
      <c r="AC1027" s="155">
        <v>16.100000000000001</v>
      </c>
      <c r="AD1027" s="96"/>
      <c r="AE1027" s="94">
        <f>Table3.110[[#This Row],[Gas 8h, ml]]-Table3.110[[#This Row],[Gas 0h, ml]]</f>
        <v>37.5</v>
      </c>
      <c r="AF1027" s="94">
        <f>Table3.110[[#This Row],[Gas 24h, ml]]-Table3.110[[#This Row],[V8 Push back, ml]]</f>
        <v>29</v>
      </c>
      <c r="AG1027" s="94">
        <f>Table3.110[[#This Row],[GP 8h, ml]]-(AVERAGE(AE$982,AE$983,AE$1032,AE$1033,AE$1085,AE$1086))*$AG$8</f>
        <v>34.771229168713369</v>
      </c>
      <c r="AH1027" s="94">
        <f>Table3.110[[#This Row],[GP 8-24h, ml]]-(AVERAGE(AF$982,AF$983,AF$1032,AF$1033,AF$1085,AF$1086))*$AG$8</f>
        <v>25.349347131116534</v>
      </c>
      <c r="AI1027" s="94">
        <f>Table3.110[[#This Row],[Net gas 8-24h, ml]]+Table3.110[[#This Row],[Net gas 8h, ml]]</f>
        <v>60.120576299829906</v>
      </c>
      <c r="AJ1027" s="94">
        <f>Table3.110[[#This Row],[Net gas 8h, ml]]*Table3.110[[#This Row],[CH4 8h %]]%</f>
        <v>4.5550310211014517</v>
      </c>
      <c r="AK1027" s="94">
        <f>Table3.110[[#This Row],[Net gas 8-24h, ml]]*Table3.110[[#This Row],[CH4 24h, %]]%</f>
        <v>4.0812448881097625</v>
      </c>
      <c r="AL1027" s="94">
        <f>Table3.110[[#This Row],[CH4 8-24h, ml]]+Table3.110[[#This Row],[CH4 8h, ml]]</f>
        <v>8.6362759092112142</v>
      </c>
      <c r="AM1027" s="94">
        <f>(Table3.110[[#This Row],[Net gas 24h, ml]]/Table3.110[[#This Row],[DM Incubated, mg]])*1000</f>
        <v>128.81232882190821</v>
      </c>
      <c r="AN1027" s="94">
        <f>'3.2 Digest'!X1027</f>
        <v>40.243822132936131</v>
      </c>
      <c r="AO1027" s="94">
        <f>Table3.110[[#This Row],[Digested feed, mg]]/Table3.110[[#This Row],[Net gas 24h, ml]]</f>
        <v>3.1242212993894358</v>
      </c>
      <c r="AP1027" s="94">
        <f>Table3.110[[#This Row],[CH4 8h, ml]]/Table3.110[[#This Row],[Net gas 8h, ml]]%</f>
        <v>13.100000000000001</v>
      </c>
      <c r="AQ1027" s="94">
        <f>Table3.110[[#This Row],[CH4 24h, ml]]/Table3.110[[#This Row],[Net gas 24h, ml]]%</f>
        <v>14.364925356238889</v>
      </c>
      <c r="AR1027" s="94">
        <f>Table3.110[[#This Row],[CH4 24h, ml]]/Table3.110[[#This Row],[DM Incubated, mg]]*1000</f>
        <v>18.503794884900106</v>
      </c>
      <c r="AS1027" s="94">
        <f>Table3.110[[#This Row],[CH4 24h, ml]]/Table3.110[[#This Row],[Digested feed, mg]]*1000</f>
        <v>45.979218434514273</v>
      </c>
      <c r="AT1027" s="94">
        <f>Table3.110[[#This Row],[CH4 24h, ml]]/'3.2 Digest'!AA1027</f>
        <v>-1.1678209901484129</v>
      </c>
      <c r="AU1027" s="94">
        <f>((Table3.110[[#This Row],[CH4 24h, ml]]/28.9)*16.04)/Table3.110[[#This Row],[DM Incubated, mg]]*1000</f>
        <v>10.269926295979159</v>
      </c>
      <c r="AV1027" s="94">
        <f>((Table3.110[[#This Row],[CH4 24h, ml]]/28.9)*16.04)/Table3.110[[#This Row],[Digested feed, mg]]*1000</f>
        <v>25.519261719363634</v>
      </c>
      <c r="AW1027" s="94"/>
      <c r="AX1027" s="94"/>
    </row>
    <row r="1028" spans="2:50" x14ac:dyDescent="0.35">
      <c r="B1028" s="90">
        <f t="shared" si="15"/>
        <v>1018</v>
      </c>
      <c r="C1028" s="140">
        <v>46064</v>
      </c>
      <c r="D1028" s="6" t="s">
        <v>16</v>
      </c>
      <c r="E1028" s="6" t="s">
        <v>423</v>
      </c>
      <c r="F1028" s="242" t="s">
        <v>212</v>
      </c>
      <c r="G1028" s="242" t="s">
        <v>424</v>
      </c>
      <c r="H1028" s="6" t="s">
        <v>425</v>
      </c>
      <c r="I1028" s="133" t="s">
        <v>22</v>
      </c>
      <c r="J1028" s="135" t="s">
        <v>23</v>
      </c>
      <c r="K1028" s="135" t="s">
        <v>215</v>
      </c>
      <c r="L1028" s="6" t="s">
        <v>422</v>
      </c>
      <c r="M1028" s="256">
        <v>30</v>
      </c>
      <c r="N1028" s="256">
        <v>64</v>
      </c>
      <c r="O1028" s="256">
        <v>1</v>
      </c>
      <c r="P1028" s="257">
        <v>3</v>
      </c>
      <c r="Q1028" s="129">
        <v>152</v>
      </c>
      <c r="R1028" s="98">
        <v>0.50009999999999999</v>
      </c>
      <c r="S1028" s="94">
        <f>((Table3.110[[#This Row],[Sample weight, g]]*'2.1. DM'!Q269)/100)*1000</f>
        <v>466.72998500749634</v>
      </c>
      <c r="T1028" s="94">
        <f>'3.2 Digest'!W1028</f>
        <v>114.92998500749633</v>
      </c>
      <c r="U1028" s="153">
        <v>0.33541666666666664</v>
      </c>
      <c r="V1028" s="154">
        <v>40.5</v>
      </c>
      <c r="W1028" s="153">
        <v>0.68055555555555558</v>
      </c>
      <c r="X1028" s="95">
        <v>76.5</v>
      </c>
      <c r="Y1028" s="95">
        <v>13.6</v>
      </c>
      <c r="Z1028" s="154">
        <v>40.5</v>
      </c>
      <c r="AA1028" s="153">
        <v>0.35</v>
      </c>
      <c r="AB1028" s="154">
        <v>78</v>
      </c>
      <c r="AC1028" s="154">
        <v>16.2</v>
      </c>
      <c r="AD1028" s="91" t="s">
        <v>591</v>
      </c>
      <c r="AE1028" s="94">
        <f>Table3.110[[#This Row],[Gas 8h, ml]]-Table3.110[[#This Row],[Gas 0h, ml]]</f>
        <v>36</v>
      </c>
      <c r="AF1028" s="94">
        <f>Table3.110[[#This Row],[Gas 24h, ml]]-Table3.110[[#This Row],[V8 Push back, ml]]</f>
        <v>37.5</v>
      </c>
      <c r="AG1028" s="94">
        <f>Table3.110[[#This Row],[GP 8h, ml]]-(AVERAGE(AE$982,AE$983,AE$1032,AE$1033,AE$1085,AE$1086))*$AG$8</f>
        <v>33.271229168713369</v>
      </c>
      <c r="AH1028" s="94">
        <f>Table3.110[[#This Row],[GP 8-24h, ml]]-(AVERAGE(AF$982,AF$983,AF$1032,AF$1033,AF$1085,AF$1086))*$AG$8</f>
        <v>33.849347131116531</v>
      </c>
      <c r="AI1028" s="94">
        <f>Table3.110[[#This Row],[Net gas 8-24h, ml]]+Table3.110[[#This Row],[Net gas 8h, ml]]</f>
        <v>67.120576299829906</v>
      </c>
      <c r="AJ1028" s="94">
        <f>Table3.110[[#This Row],[Net gas 8h, ml]]*Table3.110[[#This Row],[CH4 8h %]]%</f>
        <v>4.5248871669450184</v>
      </c>
      <c r="AK1028" s="94">
        <f>Table3.110[[#This Row],[Net gas 8-24h, ml]]*Table3.110[[#This Row],[CH4 24h, %]]%</f>
        <v>5.4835942352408784</v>
      </c>
      <c r="AL1028" s="94">
        <f>Table3.110[[#This Row],[CH4 8-24h, ml]]+Table3.110[[#This Row],[CH4 8h, ml]]</f>
        <v>10.008481402185897</v>
      </c>
      <c r="AM1028" s="94">
        <f>(Table3.110[[#This Row],[Net gas 24h, ml]]/Table3.110[[#This Row],[DM Incubated, mg]])*1000</f>
        <v>143.81029386563165</v>
      </c>
      <c r="AN1028" s="94">
        <f>'3.2 Digest'!X1028</f>
        <v>24.624512823115573</v>
      </c>
      <c r="AO1028" s="94">
        <f>Table3.110[[#This Row],[Digested feed, mg]]/Table3.110[[#This Row],[Net gas 24h, ml]]</f>
        <v>1.7122913917499778</v>
      </c>
      <c r="AP1028" s="94">
        <f>Table3.110[[#This Row],[CH4 8h, ml]]/Table3.110[[#This Row],[Net gas 8h, ml]]%</f>
        <v>13.600000000000001</v>
      </c>
      <c r="AQ1028" s="94">
        <f>Table3.110[[#This Row],[CH4 24h, ml]]/Table3.110[[#This Row],[Net gas 24h, ml]]%</f>
        <v>14.911197063442467</v>
      </c>
      <c r="AR1028" s="94">
        <f>Table3.110[[#This Row],[CH4 24h, ml]]/Table3.110[[#This Row],[DM Incubated, mg]]*1000</f>
        <v>21.443836315820047</v>
      </c>
      <c r="AS1028" s="94">
        <f>Table3.110[[#This Row],[CH4 24h, ml]]/Table3.110[[#This Row],[Digested feed, mg]]*1000</f>
        <v>87.083291636495829</v>
      </c>
      <c r="AT1028" s="94">
        <f>Table3.110[[#This Row],[CH4 24h, ml]]/'3.2 Digest'!AA1028</f>
        <v>-0.282194598744827</v>
      </c>
      <c r="AU1028" s="94">
        <f>((Table3.110[[#This Row],[CH4 24h, ml]]/28.9)*16.04)/Table3.110[[#This Row],[DM Incubated, mg]]*1000</f>
        <v>11.901700155908429</v>
      </c>
      <c r="AV1028" s="94">
        <f>((Table3.110[[#This Row],[CH4 24h, ml]]/28.9)*16.04)/Table3.110[[#This Row],[Digested feed, mg]]*1000</f>
        <v>48.332733489598382</v>
      </c>
      <c r="AW1028" s="94"/>
      <c r="AX1028" s="94"/>
    </row>
    <row r="1029" spans="2:50" x14ac:dyDescent="0.35">
      <c r="B1029" s="90">
        <f t="shared" si="15"/>
        <v>1019</v>
      </c>
      <c r="C1029" s="140">
        <v>46064</v>
      </c>
      <c r="D1029" s="6" t="s">
        <v>16</v>
      </c>
      <c r="E1029" s="6" t="s">
        <v>427</v>
      </c>
      <c r="F1029" s="242" t="s">
        <v>226</v>
      </c>
      <c r="G1029" s="242" t="s">
        <v>231</v>
      </c>
      <c r="H1029" s="6" t="s">
        <v>232</v>
      </c>
      <c r="I1029" s="133" t="s">
        <v>22</v>
      </c>
      <c r="J1029" s="135" t="s">
        <v>23</v>
      </c>
      <c r="K1029" s="135" t="s">
        <v>215</v>
      </c>
      <c r="L1029" s="6" t="s">
        <v>426</v>
      </c>
      <c r="M1029" s="256">
        <v>30</v>
      </c>
      <c r="N1029" s="256">
        <v>64</v>
      </c>
      <c r="O1029" s="256">
        <v>1</v>
      </c>
      <c r="P1029" s="257">
        <v>1</v>
      </c>
      <c r="Q1029" s="6">
        <v>153</v>
      </c>
      <c r="R1029" s="98">
        <v>0.50029999999999997</v>
      </c>
      <c r="S1029" s="94">
        <f>((Table3.110[[#This Row],[Sample weight, g]]*'2.1. DM'!Q271)/100)*1000</f>
        <v>472.34438696077291</v>
      </c>
      <c r="T1029" s="94">
        <f>'3.2 Digest'!W1029</f>
        <v>180.34438696077285</v>
      </c>
      <c r="U1029" s="117">
        <v>0.3347222222222222</v>
      </c>
      <c r="V1029" s="155">
        <v>40.5</v>
      </c>
      <c r="W1029" s="117">
        <v>0.68125000000000002</v>
      </c>
      <c r="X1029" s="97">
        <v>85.5</v>
      </c>
      <c r="Y1029" s="97">
        <v>14.6</v>
      </c>
      <c r="Z1029" s="155">
        <v>40.5</v>
      </c>
      <c r="AA1029" s="117">
        <v>0.35069444444444442</v>
      </c>
      <c r="AB1029" s="155">
        <v>82</v>
      </c>
      <c r="AC1029" s="155">
        <v>16.600000000000001</v>
      </c>
      <c r="AD1029" s="96"/>
      <c r="AE1029" s="94">
        <f>Table3.110[[#This Row],[Gas 8h, ml]]-Table3.110[[#This Row],[Gas 0h, ml]]</f>
        <v>45</v>
      </c>
      <c r="AF1029" s="94">
        <f>Table3.110[[#This Row],[Gas 24h, ml]]-Table3.110[[#This Row],[V8 Push back, ml]]</f>
        <v>41.5</v>
      </c>
      <c r="AG1029" s="94">
        <f>Table3.110[[#This Row],[GP 8h, ml]]-(AVERAGE(AE$982,AE$983,AE$1032,AE$1033,AE$1085,AE$1086))*$AG$8</f>
        <v>42.271229168713369</v>
      </c>
      <c r="AH1029" s="94">
        <f>Table3.110[[#This Row],[GP 8-24h, ml]]-(AVERAGE(AF$982,AF$983,AF$1032,AF$1033,AF$1085,AF$1086))*$AG$8</f>
        <v>37.849347131116531</v>
      </c>
      <c r="AI1029" s="94">
        <f>Table3.110[[#This Row],[Net gas 8-24h, ml]]+Table3.110[[#This Row],[Net gas 8h, ml]]</f>
        <v>80.120576299829906</v>
      </c>
      <c r="AJ1029" s="94">
        <f>Table3.110[[#This Row],[Net gas 8h, ml]]*Table3.110[[#This Row],[CH4 8h %]]%</f>
        <v>6.1715994586321514</v>
      </c>
      <c r="AK1029" s="94">
        <f>Table3.110[[#This Row],[Net gas 8-24h, ml]]*Table3.110[[#This Row],[CH4 24h, %]]%</f>
        <v>6.2829916237653443</v>
      </c>
      <c r="AL1029" s="94">
        <f>Table3.110[[#This Row],[CH4 8-24h, ml]]+Table3.110[[#This Row],[CH4 8h, ml]]</f>
        <v>12.454591082397496</v>
      </c>
      <c r="AM1029" s="94">
        <f>(Table3.110[[#This Row],[Net gas 24h, ml]]/Table3.110[[#This Row],[DM Incubated, mg]])*1000</f>
        <v>169.62322092012863</v>
      </c>
      <c r="AN1029" s="94">
        <f>'3.2 Digest'!X1029</f>
        <v>38.18069864684346</v>
      </c>
      <c r="AO1029" s="94">
        <f>Table3.110[[#This Row],[Digested feed, mg]]/Table3.110[[#This Row],[Net gas 24h, ml]]</f>
        <v>2.250912253624862</v>
      </c>
      <c r="AP1029" s="94">
        <f>Table3.110[[#This Row],[CH4 8h, ml]]/Table3.110[[#This Row],[Net gas 8h, ml]]%</f>
        <v>14.599999999999998</v>
      </c>
      <c r="AQ1029" s="94">
        <f>Table3.110[[#This Row],[CH4 24h, ml]]/Table3.110[[#This Row],[Net gas 24h, ml]]%</f>
        <v>15.544809657620918</v>
      </c>
      <c r="AR1029" s="94">
        <f>Table3.110[[#This Row],[CH4 24h, ml]]/Table3.110[[#This Row],[DM Incubated, mg]]*1000</f>
        <v>26.367606827159822</v>
      </c>
      <c r="AS1029" s="94">
        <f>Table3.110[[#This Row],[CH4 24h, ml]]/Table3.110[[#This Row],[Digested feed, mg]]*1000</f>
        <v>69.060042800813775</v>
      </c>
      <c r="AT1029" s="94">
        <f>Table3.110[[#This Row],[CH4 24h, ml]]/'3.2 Digest'!AA1029</f>
        <v>-1.0128748355073114</v>
      </c>
      <c r="AU1029" s="94">
        <f>((Table3.110[[#This Row],[CH4 24h, ml]]/28.9)*16.04)/Table3.110[[#This Row],[DM Incubated, mg]]*1000</f>
        <v>14.634477976043028</v>
      </c>
      <c r="AV1029" s="94">
        <f>((Table3.110[[#This Row],[CH4 24h, ml]]/28.9)*16.04)/Table3.110[[#This Row],[Digested feed, mg]]*1000</f>
        <v>38.329518564880722</v>
      </c>
      <c r="AW1029" s="94"/>
      <c r="AX1029" s="94"/>
    </row>
    <row r="1030" spans="2:50" x14ac:dyDescent="0.35">
      <c r="B1030" s="90">
        <f t="shared" si="15"/>
        <v>1020</v>
      </c>
      <c r="C1030" s="140">
        <v>46064</v>
      </c>
      <c r="D1030" s="6" t="s">
        <v>16</v>
      </c>
      <c r="E1030" s="6" t="s">
        <v>427</v>
      </c>
      <c r="F1030" s="242" t="s">
        <v>226</v>
      </c>
      <c r="G1030" s="242" t="s">
        <v>231</v>
      </c>
      <c r="H1030" s="6" t="s">
        <v>232</v>
      </c>
      <c r="I1030" s="133" t="s">
        <v>22</v>
      </c>
      <c r="J1030" s="135" t="s">
        <v>23</v>
      </c>
      <c r="K1030" s="135" t="s">
        <v>215</v>
      </c>
      <c r="L1030" s="6" t="s">
        <v>426</v>
      </c>
      <c r="M1030" s="256">
        <v>30</v>
      </c>
      <c r="N1030" s="256">
        <v>64</v>
      </c>
      <c r="O1030" s="256">
        <v>1</v>
      </c>
      <c r="P1030" s="257">
        <v>2</v>
      </c>
      <c r="Q1030" s="129">
        <v>154</v>
      </c>
      <c r="R1030" s="98">
        <v>0.50029999999999997</v>
      </c>
      <c r="S1030" s="94">
        <f>((Table3.110[[#This Row],[Sample weight, g]]*'2.1. DM'!Q271)/100)*1000</f>
        <v>472.34438696077291</v>
      </c>
      <c r="T1030" s="94">
        <f>'3.2 Digest'!W1030</f>
        <v>88.744386960772943</v>
      </c>
      <c r="U1030" s="117">
        <v>0.3347222222222222</v>
      </c>
      <c r="V1030" s="155">
        <v>41</v>
      </c>
      <c r="W1030" s="117">
        <v>0.68125000000000002</v>
      </c>
      <c r="X1030" s="97">
        <v>86.5</v>
      </c>
      <c r="Y1030" s="97">
        <v>15</v>
      </c>
      <c r="Z1030" s="155">
        <v>40.5</v>
      </c>
      <c r="AA1030" s="117">
        <v>0.35138888888888886</v>
      </c>
      <c r="AB1030" s="155">
        <v>82.5</v>
      </c>
      <c r="AC1030" s="155">
        <v>16.600000000000001</v>
      </c>
      <c r="AD1030" s="96"/>
      <c r="AE1030" s="94">
        <f>Table3.110[[#This Row],[Gas 8h, ml]]-Table3.110[[#This Row],[Gas 0h, ml]]</f>
        <v>45.5</v>
      </c>
      <c r="AF1030" s="94">
        <f>Table3.110[[#This Row],[Gas 24h, ml]]-Table3.110[[#This Row],[V8 Push back, ml]]</f>
        <v>42</v>
      </c>
      <c r="AG1030" s="94">
        <f>Table3.110[[#This Row],[GP 8h, ml]]-(AVERAGE(AE$982,AE$983,AE$1032,AE$1033,AE$1085,AE$1086))*$AG$8</f>
        <v>42.771229168713369</v>
      </c>
      <c r="AH1030" s="94">
        <f>Table3.110[[#This Row],[GP 8-24h, ml]]-(AVERAGE(AF$982,AF$983,AF$1032,AF$1033,AF$1085,AF$1086))*$AG$8</f>
        <v>38.349347131116531</v>
      </c>
      <c r="AI1030" s="94">
        <f>Table3.110[[#This Row],[Net gas 8-24h, ml]]+Table3.110[[#This Row],[Net gas 8h, ml]]</f>
        <v>81.120576299829906</v>
      </c>
      <c r="AJ1030" s="94">
        <f>Table3.110[[#This Row],[Net gas 8h, ml]]*Table3.110[[#This Row],[CH4 8h %]]%</f>
        <v>6.4156843753070047</v>
      </c>
      <c r="AK1030" s="94">
        <f>Table3.110[[#This Row],[Net gas 8-24h, ml]]*Table3.110[[#This Row],[CH4 24h, %]]%</f>
        <v>6.3659916237653444</v>
      </c>
      <c r="AL1030" s="94">
        <f>Table3.110[[#This Row],[CH4 8-24h, ml]]+Table3.110[[#This Row],[CH4 8h, ml]]</f>
        <v>12.781675999072348</v>
      </c>
      <c r="AM1030" s="94">
        <f>(Table3.110[[#This Row],[Net gas 24h, ml]]/Table3.110[[#This Row],[DM Incubated, mg]])*1000</f>
        <v>171.74032028153809</v>
      </c>
      <c r="AN1030" s="94">
        <f>'3.2 Digest'!X1030</f>
        <v>18.78806849633273</v>
      </c>
      <c r="AO1030" s="94">
        <f>Table3.110[[#This Row],[Digested feed, mg]]/Table3.110[[#This Row],[Net gas 24h, ml]]</f>
        <v>1.0939812191763119</v>
      </c>
      <c r="AP1030" s="94">
        <f>Table3.110[[#This Row],[CH4 8h, ml]]/Table3.110[[#This Row],[Net gas 8h, ml]]%</f>
        <v>14.999999999999998</v>
      </c>
      <c r="AQ1030" s="94">
        <f>Table3.110[[#This Row],[CH4 24h, ml]]/Table3.110[[#This Row],[Net gas 24h, ml]]%</f>
        <v>15.756392005685429</v>
      </c>
      <c r="AR1030" s="94">
        <f>Table3.110[[#This Row],[CH4 24h, ml]]/Table3.110[[#This Row],[DM Incubated, mg]]*1000</f>
        <v>27.06007809537882</v>
      </c>
      <c r="AS1030" s="94">
        <f>Table3.110[[#This Row],[CH4 24h, ml]]/Table3.110[[#This Row],[Digested feed, mg]]*1000</f>
        <v>144.02799362084886</v>
      </c>
      <c r="AT1030" s="94">
        <f>Table3.110[[#This Row],[CH4 24h, ml]]/'3.2 Digest'!AA1030</f>
        <v>-0.26895503918377078</v>
      </c>
      <c r="AU1030" s="94">
        <f>((Table3.110[[#This Row],[CH4 24h, ml]]/28.9)*16.04)/Table3.110[[#This Row],[DM Incubated, mg]]*1000</f>
        <v>15.01881151037634</v>
      </c>
      <c r="AV1030" s="94">
        <f>((Table3.110[[#This Row],[CH4 24h, ml]]/28.9)*16.04)/Table3.110[[#This Row],[Digested feed, mg]]*1000</f>
        <v>79.938028293370778</v>
      </c>
      <c r="AW1030" s="94"/>
      <c r="AX1030" s="94"/>
    </row>
    <row r="1031" spans="2:50" x14ac:dyDescent="0.35">
      <c r="B1031" s="90">
        <f t="shared" si="15"/>
        <v>1021</v>
      </c>
      <c r="C1031" s="140">
        <v>46064</v>
      </c>
      <c r="D1031" s="6" t="s">
        <v>16</v>
      </c>
      <c r="E1031" s="6" t="s">
        <v>427</v>
      </c>
      <c r="F1031" s="242" t="s">
        <v>226</v>
      </c>
      <c r="G1031" s="242" t="s">
        <v>231</v>
      </c>
      <c r="H1031" s="6" t="s">
        <v>232</v>
      </c>
      <c r="I1031" s="133" t="s">
        <v>22</v>
      </c>
      <c r="J1031" s="135" t="s">
        <v>23</v>
      </c>
      <c r="K1031" s="135" t="s">
        <v>215</v>
      </c>
      <c r="L1031" s="6" t="s">
        <v>426</v>
      </c>
      <c r="M1031" s="256">
        <v>30</v>
      </c>
      <c r="N1031" s="256">
        <v>64</v>
      </c>
      <c r="O1031" s="256">
        <v>1</v>
      </c>
      <c r="P1031" s="257">
        <v>3</v>
      </c>
      <c r="Q1031" s="129">
        <v>155</v>
      </c>
      <c r="R1031" s="98">
        <v>0.5</v>
      </c>
      <c r="S1031" s="94">
        <f>((Table3.110[[#This Row],[Sample weight, g]]*'2.1. DM'!Q271)/100)*1000</f>
        <v>472.0611502706106</v>
      </c>
      <c r="T1031" s="94">
        <f>'3.2 Digest'!W1031</f>
        <v>172.26115027061064</v>
      </c>
      <c r="U1031" s="117">
        <v>0.33541666666666664</v>
      </c>
      <c r="V1031" s="155">
        <v>41</v>
      </c>
      <c r="W1031" s="117">
        <v>0.68125000000000002</v>
      </c>
      <c r="X1031" s="97">
        <v>85.5</v>
      </c>
      <c r="Y1031" s="97">
        <v>14.8</v>
      </c>
      <c r="Z1031" s="155">
        <v>40.5</v>
      </c>
      <c r="AA1031" s="117">
        <v>0.35138888888888886</v>
      </c>
      <c r="AB1031" s="155">
        <v>81.5</v>
      </c>
      <c r="AC1031" s="155">
        <v>16.600000000000001</v>
      </c>
      <c r="AD1031" s="96"/>
      <c r="AE1031" s="94">
        <f>Table3.110[[#This Row],[Gas 8h, ml]]-Table3.110[[#This Row],[Gas 0h, ml]]</f>
        <v>44.5</v>
      </c>
      <c r="AF1031" s="94">
        <f>Table3.110[[#This Row],[Gas 24h, ml]]-Table3.110[[#This Row],[V8 Push back, ml]]</f>
        <v>41</v>
      </c>
      <c r="AG1031" s="94">
        <f>Table3.110[[#This Row],[GP 8h, ml]]-(AVERAGE(AE$982,AE$983,AE$1032,AE$1033,AE$1085,AE$1086))*$AG$8</f>
        <v>41.771229168713369</v>
      </c>
      <c r="AH1031" s="94">
        <f>Table3.110[[#This Row],[GP 8-24h, ml]]-(AVERAGE(AF$982,AF$983,AF$1032,AF$1033,AF$1085,AF$1086))*$AG$8</f>
        <v>37.349347131116531</v>
      </c>
      <c r="AI1031" s="94">
        <f>Table3.110[[#This Row],[Net gas 8-24h, ml]]+Table3.110[[#This Row],[Net gas 8h, ml]]</f>
        <v>79.120576299829906</v>
      </c>
      <c r="AJ1031" s="94">
        <f>Table3.110[[#This Row],[Net gas 8h, ml]]*Table3.110[[#This Row],[CH4 8h %]]%</f>
        <v>6.182141916969579</v>
      </c>
      <c r="AK1031" s="94">
        <f>Table3.110[[#This Row],[Net gas 8-24h, ml]]*Table3.110[[#This Row],[CH4 24h, %]]%</f>
        <v>6.1999916237653441</v>
      </c>
      <c r="AL1031" s="94">
        <f>Table3.110[[#This Row],[CH4 8-24h, ml]]+Table3.110[[#This Row],[CH4 8h, ml]]</f>
        <v>12.382133540734923</v>
      </c>
      <c r="AM1031" s="94">
        <f>(Table3.110[[#This Row],[Net gas 24h, ml]]/Table3.110[[#This Row],[DM Incubated, mg]])*1000</f>
        <v>167.60662523165436</v>
      </c>
      <c r="AN1031" s="94">
        <f>'3.2 Digest'!X1031</f>
        <v>36.491278761631065</v>
      </c>
      <c r="AO1031" s="94">
        <f>Table3.110[[#This Row],[Digested feed, mg]]/Table3.110[[#This Row],[Net gas 24h, ml]]</f>
        <v>2.1771978709788664</v>
      </c>
      <c r="AP1031" s="94">
        <f>Table3.110[[#This Row],[CH4 8h, ml]]/Table3.110[[#This Row],[Net gas 8h, ml]]%</f>
        <v>14.8</v>
      </c>
      <c r="AQ1031" s="94">
        <f>Table3.110[[#This Row],[CH4 24h, ml]]/Table3.110[[#This Row],[Net gas 24h, ml]]%</f>
        <v>15.649700899311501</v>
      </c>
      <c r="AR1031" s="94">
        <f>Table3.110[[#This Row],[CH4 24h, ml]]/Table3.110[[#This Row],[DM Incubated, mg]]*1000</f>
        <v>26.22993553618387</v>
      </c>
      <c r="AS1031" s="94">
        <f>Table3.110[[#This Row],[CH4 24h, ml]]/Table3.110[[#This Row],[Digested feed, mg]]*1000</f>
        <v>71.880011954427488</v>
      </c>
      <c r="AT1031" s="94">
        <f>Table3.110[[#This Row],[CH4 24h, ml]]/'3.2 Digest'!AA1031</f>
        <v>-0.80585822865947176</v>
      </c>
      <c r="AU1031" s="94">
        <f>((Table3.110[[#This Row],[CH4 24h, ml]]/28.9)*16.04)/Table3.110[[#This Row],[DM Incubated, mg]]*1000</f>
        <v>14.558068027695132</v>
      </c>
      <c r="AV1031" s="94">
        <f>((Table3.110[[#This Row],[CH4 24h, ml]]/28.9)*16.04)/Table3.110[[#This Row],[Digested feed, mg]]*1000</f>
        <v>39.894650233530001</v>
      </c>
      <c r="AW1031" s="94"/>
      <c r="AX1031" s="94"/>
    </row>
    <row r="1032" spans="2:50" x14ac:dyDescent="0.35">
      <c r="B1032" s="90">
        <f t="shared" si="15"/>
        <v>1022</v>
      </c>
      <c r="C1032" s="90">
        <v>46064</v>
      </c>
      <c r="D1032" s="6"/>
      <c r="E1032" s="6" t="s">
        <v>541</v>
      </c>
      <c r="F1032" s="242" t="s">
        <v>538</v>
      </c>
      <c r="G1032" s="242" t="s">
        <v>542</v>
      </c>
      <c r="H1032" s="6" t="s">
        <v>541</v>
      </c>
      <c r="I1032" s="133"/>
      <c r="J1032" s="135"/>
      <c r="K1032" s="135"/>
      <c r="L1032" s="6" t="s">
        <v>543</v>
      </c>
      <c r="M1032" s="256">
        <v>30</v>
      </c>
      <c r="N1032" s="256">
        <v>64</v>
      </c>
      <c r="O1032" s="256">
        <v>1</v>
      </c>
      <c r="P1032" s="257">
        <v>1</v>
      </c>
      <c r="Q1032" s="129">
        <v>156</v>
      </c>
      <c r="R1032" s="98"/>
      <c r="S1032" s="94"/>
      <c r="T1032" s="94"/>
      <c r="U1032" s="153">
        <v>0.33541666666666664</v>
      </c>
      <c r="V1032" s="154">
        <v>40</v>
      </c>
      <c r="W1032" s="153">
        <v>0.68194444444444446</v>
      </c>
      <c r="X1032" s="95">
        <v>43</v>
      </c>
      <c r="Y1032" s="95"/>
      <c r="Z1032" s="154"/>
      <c r="AA1032" s="153"/>
      <c r="AB1032" s="154"/>
      <c r="AC1032" s="154"/>
      <c r="AD1032" s="91"/>
      <c r="AE1032" s="94">
        <f>Table3.110[[#This Row],[Gas 8h, ml]]-Table3.110[[#This Row],[Gas 0h, ml]]</f>
        <v>3</v>
      </c>
      <c r="AF1032" s="94"/>
      <c r="AG1032" s="94"/>
      <c r="AH1032" s="94"/>
      <c r="AI1032" s="94"/>
      <c r="AJ1032" s="94"/>
      <c r="AK1032" s="94"/>
      <c r="AL1032" s="94"/>
      <c r="AM1032" s="94"/>
      <c r="AN1032" s="94"/>
      <c r="AO1032" s="94"/>
      <c r="AP1032" s="94"/>
      <c r="AQ1032" s="94"/>
      <c r="AR1032" s="94"/>
      <c r="AS1032" s="94"/>
      <c r="AT1032" s="94"/>
      <c r="AU1032" s="94"/>
      <c r="AV1032" s="94"/>
      <c r="AW1032" s="94"/>
      <c r="AX1032" s="94"/>
    </row>
    <row r="1033" spans="2:50" x14ac:dyDescent="0.35">
      <c r="B1033" s="90">
        <f t="shared" si="15"/>
        <v>1023</v>
      </c>
      <c r="C1033" s="90">
        <v>46064</v>
      </c>
      <c r="D1033" s="6"/>
      <c r="E1033" s="6" t="s">
        <v>541</v>
      </c>
      <c r="F1033" s="242" t="s">
        <v>538</v>
      </c>
      <c r="G1033" s="242" t="s">
        <v>542</v>
      </c>
      <c r="H1033" s="6" t="s">
        <v>541</v>
      </c>
      <c r="I1033" s="133"/>
      <c r="J1033" s="135"/>
      <c r="K1033" s="135"/>
      <c r="L1033" s="6" t="s">
        <v>543</v>
      </c>
      <c r="M1033" s="256">
        <v>30</v>
      </c>
      <c r="N1033" s="256">
        <v>64</v>
      </c>
      <c r="O1033" s="256">
        <v>1</v>
      </c>
      <c r="P1033" s="257">
        <v>2</v>
      </c>
      <c r="Q1033" s="6">
        <v>157</v>
      </c>
      <c r="R1033" s="98"/>
      <c r="S1033" s="94"/>
      <c r="T1033" s="94"/>
      <c r="U1033" s="117">
        <v>0.33611111111111114</v>
      </c>
      <c r="V1033" s="155">
        <v>40</v>
      </c>
      <c r="W1033" s="117">
        <v>0.68263888888888891</v>
      </c>
      <c r="X1033" s="97">
        <v>43</v>
      </c>
      <c r="Y1033" s="97"/>
      <c r="Z1033" s="155"/>
      <c r="AA1033" s="117"/>
      <c r="AB1033" s="155"/>
      <c r="AC1033" s="155"/>
      <c r="AD1033" s="96"/>
      <c r="AE1033" s="94">
        <f>Table3.110[[#This Row],[Gas 8h, ml]]-Table3.110[[#This Row],[Gas 0h, ml]]</f>
        <v>3</v>
      </c>
      <c r="AF1033" s="94"/>
      <c r="AG1033" s="94"/>
      <c r="AH1033" s="94"/>
      <c r="AI1033" s="94"/>
      <c r="AJ1033" s="94"/>
      <c r="AK1033" s="94"/>
      <c r="AL1033" s="94"/>
      <c r="AM1033" s="94"/>
      <c r="AN1033" s="94"/>
      <c r="AO1033" s="94"/>
      <c r="AP1033" s="94"/>
      <c r="AQ1033" s="94"/>
      <c r="AR1033" s="94"/>
      <c r="AS1033" s="94"/>
      <c r="AT1033" s="94"/>
      <c r="AU1033" s="94"/>
      <c r="AV1033" s="94"/>
      <c r="AW1033" s="94"/>
      <c r="AX1033" s="94"/>
    </row>
    <row r="1034" spans="2:50" x14ac:dyDescent="0.35">
      <c r="B1034" s="90">
        <f t="shared" si="15"/>
        <v>1024</v>
      </c>
      <c r="C1034" s="140">
        <v>46064</v>
      </c>
      <c r="D1034" s="6" t="s">
        <v>16</v>
      </c>
      <c r="E1034" s="6" t="s">
        <v>429</v>
      </c>
      <c r="F1034" s="242" t="s">
        <v>212</v>
      </c>
      <c r="G1034" s="242" t="s">
        <v>213</v>
      </c>
      <c r="H1034" s="6" t="s">
        <v>214</v>
      </c>
      <c r="I1034" s="133" t="s">
        <v>22</v>
      </c>
      <c r="J1034" s="135" t="s">
        <v>23</v>
      </c>
      <c r="K1034" s="135" t="s">
        <v>215</v>
      </c>
      <c r="L1034" s="6" t="s">
        <v>428</v>
      </c>
      <c r="M1034" s="256">
        <v>30</v>
      </c>
      <c r="N1034" s="256">
        <v>64</v>
      </c>
      <c r="O1034" s="256">
        <v>1</v>
      </c>
      <c r="P1034" s="257">
        <v>1</v>
      </c>
      <c r="Q1034" s="129">
        <v>158</v>
      </c>
      <c r="R1034" s="98">
        <v>0.50029999999999997</v>
      </c>
      <c r="S1034" s="94">
        <f>((Table3.110[[#This Row],[Sample weight, g]]*'2.1. DM'!Q273)/100)*1000</f>
        <v>466.93842834332855</v>
      </c>
      <c r="T1034" s="94">
        <f>'3.2 Digest'!W1034</f>
        <v>137.33842834332853</v>
      </c>
      <c r="U1034" s="153">
        <v>0.33611111111111114</v>
      </c>
      <c r="V1034" s="154">
        <v>41</v>
      </c>
      <c r="W1034" s="153">
        <v>0.68263888888888891</v>
      </c>
      <c r="X1034" s="95">
        <v>73</v>
      </c>
      <c r="Y1034" s="95">
        <v>15.3</v>
      </c>
      <c r="Z1034" s="154">
        <v>40</v>
      </c>
      <c r="AA1034" s="153">
        <v>0.35208333333333336</v>
      </c>
      <c r="AB1034" s="154">
        <v>68.5</v>
      </c>
      <c r="AC1034" s="154">
        <v>16.2</v>
      </c>
      <c r="AD1034" s="91"/>
      <c r="AE1034" s="94">
        <f>Table3.110[[#This Row],[Gas 8h, ml]]-Table3.110[[#This Row],[Gas 0h, ml]]</f>
        <v>32</v>
      </c>
      <c r="AF1034" s="94">
        <f>Table3.110[[#This Row],[Gas 24h, ml]]-Table3.110[[#This Row],[V8 Push back, ml]]</f>
        <v>28.5</v>
      </c>
      <c r="AG1034" s="94">
        <f>Table3.110[[#This Row],[GP 8h, ml]]-(AVERAGE(AE$982,AE$983,AE$1032,AE$1033,AE$1085,AE$1086))*$AG$8</f>
        <v>29.271229168713369</v>
      </c>
      <c r="AH1034" s="94">
        <f>Table3.110[[#This Row],[GP 8-24h, ml]]-(AVERAGE(AF$982,AF$983,AF$1032,AF$1033,AF$1085,AF$1086))*$AG$8</f>
        <v>24.849347131116534</v>
      </c>
      <c r="AI1034" s="94">
        <f>Table3.110[[#This Row],[Net gas 8-24h, ml]]+Table3.110[[#This Row],[Net gas 8h, ml]]</f>
        <v>54.120576299829906</v>
      </c>
      <c r="AJ1034" s="94">
        <f>Table3.110[[#This Row],[Net gas 8h, ml]]*Table3.110[[#This Row],[CH4 8h %]]%</f>
        <v>4.478498062813145</v>
      </c>
      <c r="AK1034" s="94">
        <f>Table3.110[[#This Row],[Net gas 8-24h, ml]]*Table3.110[[#This Row],[CH4 24h, %]]%</f>
        <v>4.0255942352408791</v>
      </c>
      <c r="AL1034" s="94">
        <f>Table3.110[[#This Row],[CH4 8-24h, ml]]+Table3.110[[#This Row],[CH4 8h, ml]]</f>
        <v>8.5040922980540241</v>
      </c>
      <c r="AM1034" s="94">
        <f>(Table3.110[[#This Row],[Net gas 24h, ml]]/Table3.110[[#This Row],[DM Incubated, mg]])*1000</f>
        <v>115.90516653736701</v>
      </c>
      <c r="AN1034" s="94">
        <f>'3.2 Digest'!X1034</f>
        <v>29.412534931125201</v>
      </c>
      <c r="AO1034" s="94">
        <f>Table3.110[[#This Row],[Digested feed, mg]]/Table3.110[[#This Row],[Net gas 24h, ml]]</f>
        <v>2.5376379509055629</v>
      </c>
      <c r="AP1034" s="94">
        <f>Table3.110[[#This Row],[CH4 8h, ml]]/Table3.110[[#This Row],[Net gas 8h, ml]]%</f>
        <v>15.299999999999999</v>
      </c>
      <c r="AQ1034" s="94">
        <f>Table3.110[[#This Row],[CH4 24h, ml]]/Table3.110[[#This Row],[Net gas 24h, ml]]%</f>
        <v>15.713233079672051</v>
      </c>
      <c r="AR1034" s="94">
        <f>Table3.110[[#This Row],[CH4 24h, ml]]/Table3.110[[#This Row],[DM Incubated, mg]]*1000</f>
        <v>18.212448969398533</v>
      </c>
      <c r="AS1034" s="94">
        <f>Table3.110[[#This Row],[CH4 24h, ml]]/Table3.110[[#This Row],[Digested feed, mg]]*1000</f>
        <v>61.920704937695078</v>
      </c>
      <c r="AT1034" s="94">
        <f>Table3.110[[#This Row],[CH4 24h, ml]]/'3.2 Digest'!AA1034</f>
        <v>-0.34454408537490511</v>
      </c>
      <c r="AU1034" s="94">
        <f>((Table3.110[[#This Row],[CH4 24h, ml]]/28.9)*16.04)/Table3.110[[#This Row],[DM Incubated, mg]]*1000</f>
        <v>10.108224272289011</v>
      </c>
      <c r="AV1034" s="94">
        <f>((Table3.110[[#This Row],[CH4 24h, ml]]/28.9)*16.04)/Table3.110[[#This Row],[Digested feed, mg]]*1000</f>
        <v>34.36706253289374</v>
      </c>
      <c r="AW1034" s="94"/>
      <c r="AX1034" s="94"/>
    </row>
    <row r="1035" spans="2:50" x14ac:dyDescent="0.35">
      <c r="B1035" s="90">
        <f t="shared" si="15"/>
        <v>1025</v>
      </c>
      <c r="C1035" s="140">
        <v>46064</v>
      </c>
      <c r="D1035" s="6" t="s">
        <v>16</v>
      </c>
      <c r="E1035" s="6" t="s">
        <v>429</v>
      </c>
      <c r="F1035" s="242" t="s">
        <v>212</v>
      </c>
      <c r="G1035" s="242" t="s">
        <v>213</v>
      </c>
      <c r="H1035" s="6" t="s">
        <v>214</v>
      </c>
      <c r="I1035" s="133" t="s">
        <v>22</v>
      </c>
      <c r="J1035" s="135" t="s">
        <v>23</v>
      </c>
      <c r="K1035" s="135" t="s">
        <v>215</v>
      </c>
      <c r="L1035" s="6" t="s">
        <v>428</v>
      </c>
      <c r="M1035" s="256">
        <v>30</v>
      </c>
      <c r="N1035" s="256">
        <v>64</v>
      </c>
      <c r="O1035" s="256">
        <v>1</v>
      </c>
      <c r="P1035" s="257">
        <v>2</v>
      </c>
      <c r="Q1035" s="129">
        <v>159</v>
      </c>
      <c r="R1035" s="98">
        <v>0.50019999999999998</v>
      </c>
      <c r="S1035" s="94">
        <f>((Table3.110[[#This Row],[Sample weight, g]]*'2.1. DM'!Q273)/100)*1000</f>
        <v>466.84509665667184</v>
      </c>
      <c r="T1035" s="94">
        <f>'3.2 Digest'!W1035</f>
        <v>110.44509665667181</v>
      </c>
      <c r="U1035" s="117">
        <v>0.33611111111111114</v>
      </c>
      <c r="V1035" s="155">
        <v>41</v>
      </c>
      <c r="W1035" s="117">
        <v>0.68333333333333335</v>
      </c>
      <c r="X1035" s="97">
        <v>72</v>
      </c>
      <c r="Y1035" s="97">
        <v>15.4</v>
      </c>
      <c r="Z1035" s="155">
        <v>40.5</v>
      </c>
      <c r="AA1035" s="117">
        <v>0.35208333333333336</v>
      </c>
      <c r="AB1035" s="155">
        <v>62.5</v>
      </c>
      <c r="AC1035" s="155">
        <v>16.600000000000001</v>
      </c>
      <c r="AD1035" s="96"/>
      <c r="AE1035" s="94">
        <f>Table3.110[[#This Row],[Gas 8h, ml]]-Table3.110[[#This Row],[Gas 0h, ml]]</f>
        <v>31</v>
      </c>
      <c r="AF1035" s="94">
        <f>Table3.110[[#This Row],[Gas 24h, ml]]-Table3.110[[#This Row],[V8 Push back, ml]]</f>
        <v>22</v>
      </c>
      <c r="AG1035" s="94">
        <f>Table3.110[[#This Row],[GP 8h, ml]]-(AVERAGE(AE$982,AE$983,AE$1032,AE$1033,AE$1085,AE$1086))*$AG$8</f>
        <v>28.271229168713369</v>
      </c>
      <c r="AH1035" s="94">
        <f>Table3.110[[#This Row],[GP 8-24h, ml]]-(AVERAGE(AF$982,AF$983,AF$1032,AF$1033,AF$1085,AF$1086))*$AG$8</f>
        <v>18.349347131116534</v>
      </c>
      <c r="AI1035" s="94">
        <f>Table3.110[[#This Row],[Net gas 8-24h, ml]]+Table3.110[[#This Row],[Net gas 8h, ml]]</f>
        <v>46.620576299829906</v>
      </c>
      <c r="AJ1035" s="94">
        <f>Table3.110[[#This Row],[Net gas 8h, ml]]*Table3.110[[#This Row],[CH4 8h %]]%</f>
        <v>4.3537692919818589</v>
      </c>
      <c r="AK1035" s="94">
        <f>Table3.110[[#This Row],[Net gas 8-24h, ml]]*Table3.110[[#This Row],[CH4 24h, %]]%</f>
        <v>3.045991623765345</v>
      </c>
      <c r="AL1035" s="94">
        <f>Table3.110[[#This Row],[CH4 8-24h, ml]]+Table3.110[[#This Row],[CH4 8h, ml]]</f>
        <v>7.399760915747204</v>
      </c>
      <c r="AM1035" s="94">
        <f>(Table3.110[[#This Row],[Net gas 24h, ml]]/Table3.110[[#This Row],[DM Incubated, mg]])*1000</f>
        <v>99.863052292301802</v>
      </c>
      <c r="AN1035" s="94">
        <f>'3.2 Digest'!X1035</f>
        <v>23.657760882063105</v>
      </c>
      <c r="AO1035" s="94">
        <f>Table3.110[[#This Row],[Digested feed, mg]]/Table3.110[[#This Row],[Net gas 24h, ml]]</f>
        <v>2.3690204073490779</v>
      </c>
      <c r="AP1035" s="94">
        <f>Table3.110[[#This Row],[CH4 8h, ml]]/Table3.110[[#This Row],[Net gas 8h, ml]]%</f>
        <v>15.4</v>
      </c>
      <c r="AQ1035" s="94">
        <f>Table3.110[[#This Row],[CH4 24h, ml]]/Table3.110[[#This Row],[Net gas 24h, ml]]%</f>
        <v>15.872306828978864</v>
      </c>
      <c r="AR1035" s="94">
        <f>Table3.110[[#This Row],[CH4 24h, ml]]/Table3.110[[#This Row],[DM Incubated, mg]]*1000</f>
        <v>15.850570068617751</v>
      </c>
      <c r="AS1035" s="94">
        <f>Table3.110[[#This Row],[CH4 24h, ml]]/Table3.110[[#This Row],[Digested feed, mg]]*1000</f>
        <v>66.999451670996351</v>
      </c>
      <c r="AT1035" s="94">
        <f>Table3.110[[#This Row],[CH4 24h, ml]]/'3.2 Digest'!AA1035</f>
        <v>-0.2123493760244565</v>
      </c>
      <c r="AU1035" s="94">
        <f>((Table3.110[[#This Row],[CH4 24h, ml]]/28.9)*16.04)/Table3.110[[#This Row],[DM Incubated, mg]]*1000</f>
        <v>8.7973406193989181</v>
      </c>
      <c r="AV1035" s="94">
        <f>((Table3.110[[#This Row],[CH4 24h, ml]]/28.9)*16.04)/Table3.110[[#This Row],[Digested feed, mg]]*1000</f>
        <v>37.185854837466486</v>
      </c>
      <c r="AW1035" s="94"/>
      <c r="AX1035" s="94"/>
    </row>
    <row r="1036" spans="2:50" x14ac:dyDescent="0.35">
      <c r="B1036" s="90">
        <f t="shared" ref="B1036:B1099" si="16">B1035+1</f>
        <v>1026</v>
      </c>
      <c r="C1036" s="140">
        <v>46064</v>
      </c>
      <c r="D1036" s="6" t="s">
        <v>16</v>
      </c>
      <c r="E1036" s="6" t="s">
        <v>429</v>
      </c>
      <c r="F1036" s="242" t="s">
        <v>212</v>
      </c>
      <c r="G1036" s="242" t="s">
        <v>213</v>
      </c>
      <c r="H1036" s="6" t="s">
        <v>214</v>
      </c>
      <c r="I1036" s="133" t="s">
        <v>22</v>
      </c>
      <c r="J1036" s="135" t="s">
        <v>23</v>
      </c>
      <c r="K1036" s="135" t="s">
        <v>215</v>
      </c>
      <c r="L1036" s="6" t="s">
        <v>428</v>
      </c>
      <c r="M1036" s="256">
        <v>30</v>
      </c>
      <c r="N1036" s="256">
        <v>64</v>
      </c>
      <c r="O1036" s="256">
        <v>1</v>
      </c>
      <c r="P1036" s="257">
        <v>3</v>
      </c>
      <c r="Q1036" s="129">
        <v>160</v>
      </c>
      <c r="R1036" s="98">
        <v>0.50019999999999998</v>
      </c>
      <c r="S1036" s="94">
        <f>((Table3.110[[#This Row],[Sample weight, g]]*'2.1. DM'!Q273)/100)*1000</f>
        <v>466.84509665667184</v>
      </c>
      <c r="T1036" s="94">
        <f>'3.2 Digest'!W1036</f>
        <v>200.3450966566719</v>
      </c>
      <c r="U1036" s="153">
        <v>0.33680555555555558</v>
      </c>
      <c r="V1036" s="154">
        <v>41</v>
      </c>
      <c r="W1036" s="153">
        <v>0.68402777777777779</v>
      </c>
      <c r="X1036" s="95">
        <v>74.5</v>
      </c>
      <c r="Y1036" s="95">
        <v>14.8</v>
      </c>
      <c r="Z1036" s="154">
        <v>40</v>
      </c>
      <c r="AA1036" s="153">
        <v>0.3527777777777778</v>
      </c>
      <c r="AB1036" s="154">
        <v>63</v>
      </c>
      <c r="AC1036" s="154">
        <v>15.9</v>
      </c>
      <c r="AD1036" s="91"/>
      <c r="AE1036" s="94">
        <f>Table3.110[[#This Row],[Gas 8h, ml]]-Table3.110[[#This Row],[Gas 0h, ml]]</f>
        <v>33.5</v>
      </c>
      <c r="AF1036" s="94">
        <f>Table3.110[[#This Row],[Gas 24h, ml]]-Table3.110[[#This Row],[V8 Push back, ml]]</f>
        <v>23</v>
      </c>
      <c r="AG1036" s="94">
        <f>Table3.110[[#This Row],[GP 8h, ml]]-(AVERAGE(AE$982,AE$983,AE$1032,AE$1033,AE$1085,AE$1086))*$AG$8</f>
        <v>30.771229168713369</v>
      </c>
      <c r="AH1036" s="94">
        <f>Table3.110[[#This Row],[GP 8-24h, ml]]-(AVERAGE(AF$982,AF$983,AF$1032,AF$1033,AF$1085,AF$1086))*$AG$8</f>
        <v>19.349347131116534</v>
      </c>
      <c r="AI1036" s="94">
        <f>Table3.110[[#This Row],[Net gas 8-24h, ml]]+Table3.110[[#This Row],[Net gas 8h, ml]]</f>
        <v>50.120576299829906</v>
      </c>
      <c r="AJ1036" s="94">
        <f>Table3.110[[#This Row],[Net gas 8h, ml]]*Table3.110[[#This Row],[CH4 8h %]]%</f>
        <v>4.5541419169695789</v>
      </c>
      <c r="AK1036" s="94">
        <f>Table3.110[[#This Row],[Net gas 8-24h, ml]]*Table3.110[[#This Row],[CH4 24h, %]]%</f>
        <v>3.0765461938475291</v>
      </c>
      <c r="AL1036" s="94">
        <f>Table3.110[[#This Row],[CH4 8-24h, ml]]+Table3.110[[#This Row],[CH4 8h, ml]]</f>
        <v>7.6306881108171076</v>
      </c>
      <c r="AM1036" s="94">
        <f>(Table3.110[[#This Row],[Net gas 24h, ml]]/Table3.110[[#This Row],[DM Incubated, mg]])*1000</f>
        <v>107.36018576347966</v>
      </c>
      <c r="AN1036" s="94">
        <f>'3.2 Digest'!X1036</f>
        <v>42.914683712317128</v>
      </c>
      <c r="AO1036" s="94">
        <f>Table3.110[[#This Row],[Digested feed, mg]]/Table3.110[[#This Row],[Net gas 24h, ml]]</f>
        <v>3.9972624308661793</v>
      </c>
      <c r="AP1036" s="94">
        <f>Table3.110[[#This Row],[CH4 8h, ml]]/Table3.110[[#This Row],[Net gas 8h, ml]]%</f>
        <v>14.8</v>
      </c>
      <c r="AQ1036" s="94">
        <f>Table3.110[[#This Row],[CH4 24h, ml]]/Table3.110[[#This Row],[Net gas 24h, ml]]%</f>
        <v>15.224661554506115</v>
      </c>
      <c r="AR1036" s="94">
        <f>Table3.110[[#This Row],[CH4 24h, ml]]/Table3.110[[#This Row],[DM Incubated, mg]]*1000</f>
        <v>16.345224926778837</v>
      </c>
      <c r="AS1036" s="94">
        <f>Table3.110[[#This Row],[CH4 24h, ml]]/Table3.110[[#This Row],[Digested feed, mg]]*1000</f>
        <v>38.08772082849471</v>
      </c>
      <c r="AT1036" s="94">
        <f>Table3.110[[#This Row],[CH4 24h, ml]]/'3.2 Digest'!AA1036</f>
        <v>-9.1644358253749338</v>
      </c>
      <c r="AU1036" s="94">
        <f>((Table3.110[[#This Row],[CH4 24h, ml]]/28.9)*16.04)/Table3.110[[#This Row],[DM Incubated, mg]]*1000</f>
        <v>9.0718826237208479</v>
      </c>
      <c r="AV1036" s="94">
        <f>((Table3.110[[#This Row],[CH4 24h, ml]]/28.9)*16.04)/Table3.110[[#This Row],[Digested feed, mg]]*1000</f>
        <v>21.139344016922319</v>
      </c>
      <c r="AW1036" s="94"/>
      <c r="AX1036" s="94"/>
    </row>
    <row r="1037" spans="2:50" x14ac:dyDescent="0.35">
      <c r="B1037" s="90">
        <f t="shared" si="16"/>
        <v>1027</v>
      </c>
      <c r="C1037" s="140">
        <v>46064</v>
      </c>
      <c r="D1037" s="6" t="s">
        <v>16</v>
      </c>
      <c r="E1037" s="6" t="s">
        <v>431</v>
      </c>
      <c r="F1037" s="242" t="s">
        <v>212</v>
      </c>
      <c r="G1037" s="242" t="s">
        <v>404</v>
      </c>
      <c r="H1037" s="6" t="s">
        <v>433</v>
      </c>
      <c r="I1037" s="133" t="s">
        <v>22</v>
      </c>
      <c r="J1037" s="135" t="s">
        <v>23</v>
      </c>
      <c r="K1037" s="135" t="s">
        <v>215</v>
      </c>
      <c r="L1037" s="6" t="s">
        <v>430</v>
      </c>
      <c r="M1037" s="256">
        <v>30</v>
      </c>
      <c r="N1037" s="256">
        <v>64</v>
      </c>
      <c r="O1037" s="256">
        <v>1</v>
      </c>
      <c r="P1037" s="257">
        <v>1</v>
      </c>
      <c r="Q1037" s="129">
        <v>161</v>
      </c>
      <c r="R1037" s="98">
        <v>0.50009999999999999</v>
      </c>
      <c r="S1037" s="94">
        <f>((Table3.110[[#This Row],[Sample weight, g]]*'2.1. DM'!Q275)/100)*1000</f>
        <v>477.85779315469205</v>
      </c>
      <c r="T1037" s="94">
        <f>'3.2 Digest'!W1037</f>
        <v>155.95779315469207</v>
      </c>
      <c r="U1037" s="117">
        <v>0.33680555555555558</v>
      </c>
      <c r="V1037" s="155">
        <v>40.5</v>
      </c>
      <c r="W1037" s="117">
        <v>0.68402777777777779</v>
      </c>
      <c r="X1037" s="97">
        <v>73</v>
      </c>
      <c r="Y1037" s="97">
        <v>13.8</v>
      </c>
      <c r="Z1037" s="155">
        <v>40</v>
      </c>
      <c r="AA1037" s="117">
        <v>0.35347222222222224</v>
      </c>
      <c r="AB1037" s="155">
        <v>71.5</v>
      </c>
      <c r="AC1037" s="155">
        <v>16.100000000000001</v>
      </c>
      <c r="AD1037" s="96"/>
      <c r="AE1037" s="94">
        <f>Table3.110[[#This Row],[Gas 8h, ml]]-Table3.110[[#This Row],[Gas 0h, ml]]</f>
        <v>32.5</v>
      </c>
      <c r="AF1037" s="94">
        <f>Table3.110[[#This Row],[Gas 24h, ml]]-Table3.110[[#This Row],[V8 Push back, ml]]</f>
        <v>31.5</v>
      </c>
      <c r="AG1037" s="94">
        <f>Table3.110[[#This Row],[GP 8h, ml]]-(AVERAGE(AE$982,AE$983,AE$1032,AE$1033,AE$1085,AE$1086))*$AG$8</f>
        <v>29.771229168713369</v>
      </c>
      <c r="AH1037" s="94">
        <f>Table3.110[[#This Row],[GP 8-24h, ml]]-(AVERAGE(AF$982,AF$983,AF$1032,AF$1033,AF$1085,AF$1086))*$AG$8</f>
        <v>27.849347131116534</v>
      </c>
      <c r="AI1037" s="94">
        <f>Table3.110[[#This Row],[Net gas 8-24h, ml]]+Table3.110[[#This Row],[Net gas 8h, ml]]</f>
        <v>57.620576299829906</v>
      </c>
      <c r="AJ1037" s="94">
        <f>Table3.110[[#This Row],[Net gas 8h, ml]]*Table3.110[[#This Row],[CH4 8h %]]%</f>
        <v>4.1084296252824455</v>
      </c>
      <c r="AK1037" s="94">
        <f>Table3.110[[#This Row],[Net gas 8-24h, ml]]*Table3.110[[#This Row],[CH4 24h, %]]%</f>
        <v>4.4837448881097623</v>
      </c>
      <c r="AL1037" s="94">
        <f>Table3.110[[#This Row],[CH4 8-24h, ml]]+Table3.110[[#This Row],[CH4 8h, ml]]</f>
        <v>8.5921745133922087</v>
      </c>
      <c r="AM1037" s="94">
        <f>(Table3.110[[#This Row],[Net gas 24h, ml]]/Table3.110[[#This Row],[DM Incubated, mg]])*1000</f>
        <v>120.58101201914893</v>
      </c>
      <c r="AN1037" s="94">
        <f>'3.2 Digest'!X1037</f>
        <v>32.636862972370828</v>
      </c>
      <c r="AO1037" s="94">
        <f>Table3.110[[#This Row],[Digested feed, mg]]/Table3.110[[#This Row],[Net gas 24h, ml]]</f>
        <v>2.7066336918111049</v>
      </c>
      <c r="AP1037" s="94">
        <f>Table3.110[[#This Row],[CH4 8h, ml]]/Table3.110[[#This Row],[Net gas 8h, ml]]%</f>
        <v>13.8</v>
      </c>
      <c r="AQ1037" s="94">
        <f>Table3.110[[#This Row],[CH4 24h, ml]]/Table3.110[[#This Row],[Net gas 24h, ml]]%</f>
        <v>14.911642793509465</v>
      </c>
      <c r="AR1037" s="94">
        <f>Table3.110[[#This Row],[CH4 24h, ml]]/Table3.110[[#This Row],[DM Incubated, mg]]*1000</f>
        <v>17.980609789094206</v>
      </c>
      <c r="AS1037" s="94">
        <f>Table3.110[[#This Row],[CH4 24h, ml]]/Table3.110[[#This Row],[Digested feed, mg]]*1000</f>
        <v>55.09294751862619</v>
      </c>
      <c r="AT1037" s="94">
        <f>Table3.110[[#This Row],[CH4 24h, ml]]/'3.2 Digest'!AA1037</f>
        <v>-0.66080941608508781</v>
      </c>
      <c r="AU1037" s="94">
        <f>((Table3.110[[#This Row],[CH4 24h, ml]]/28.9)*16.04)/Table3.110[[#This Row],[DM Incubated, mg]]*1000</f>
        <v>9.9795495161616259</v>
      </c>
      <c r="AV1037" s="94">
        <f>((Table3.110[[#This Row],[CH4 24h, ml]]/28.9)*16.04)/Table3.110[[#This Row],[Digested feed, mg]]*1000</f>
        <v>30.577539038019516</v>
      </c>
      <c r="AW1037" s="94"/>
      <c r="AX1037" s="94"/>
    </row>
    <row r="1038" spans="2:50" x14ac:dyDescent="0.35">
      <c r="B1038" s="90">
        <f t="shared" si="16"/>
        <v>1028</v>
      </c>
      <c r="C1038" s="140">
        <v>46064</v>
      </c>
      <c r="D1038" s="6" t="s">
        <v>16</v>
      </c>
      <c r="E1038" s="6" t="s">
        <v>431</v>
      </c>
      <c r="F1038" s="242" t="s">
        <v>212</v>
      </c>
      <c r="G1038" s="242" t="s">
        <v>404</v>
      </c>
      <c r="H1038" s="6" t="s">
        <v>433</v>
      </c>
      <c r="I1038" s="133" t="s">
        <v>22</v>
      </c>
      <c r="J1038" s="135" t="s">
        <v>23</v>
      </c>
      <c r="K1038" s="135" t="s">
        <v>215</v>
      </c>
      <c r="L1038" s="6" t="s">
        <v>430</v>
      </c>
      <c r="M1038" s="256">
        <v>30</v>
      </c>
      <c r="N1038" s="256">
        <v>64</v>
      </c>
      <c r="O1038" s="256">
        <v>1</v>
      </c>
      <c r="P1038" s="257">
        <v>2</v>
      </c>
      <c r="Q1038" s="129">
        <v>162</v>
      </c>
      <c r="R1038" s="98">
        <v>0.50039999999999996</v>
      </c>
      <c r="S1038" s="94">
        <f>((Table3.110[[#This Row],[Sample weight, g]]*'2.1. DM'!Q275)/100)*1000</f>
        <v>478.14445049911598</v>
      </c>
      <c r="T1038" s="94">
        <f>'3.2 Digest'!W1038</f>
        <v>142.54445049911595</v>
      </c>
      <c r="U1038" s="153">
        <v>0.33680555555555558</v>
      </c>
      <c r="V1038" s="154">
        <v>40.5</v>
      </c>
      <c r="W1038" s="153">
        <v>0.68472222222222223</v>
      </c>
      <c r="X1038" s="95">
        <v>72</v>
      </c>
      <c r="Y1038" s="95">
        <v>14.2</v>
      </c>
      <c r="Z1038" s="154">
        <v>40.5</v>
      </c>
      <c r="AA1038" s="153">
        <v>0.35347222222222224</v>
      </c>
      <c r="AB1038" s="154">
        <v>72</v>
      </c>
      <c r="AC1038" s="154">
        <v>16.100000000000001</v>
      </c>
      <c r="AD1038" s="91"/>
      <c r="AE1038" s="94">
        <f>Table3.110[[#This Row],[Gas 8h, ml]]-Table3.110[[#This Row],[Gas 0h, ml]]</f>
        <v>31.5</v>
      </c>
      <c r="AF1038" s="94">
        <f>Table3.110[[#This Row],[Gas 24h, ml]]-Table3.110[[#This Row],[V8 Push back, ml]]</f>
        <v>31.5</v>
      </c>
      <c r="AG1038" s="94">
        <f>Table3.110[[#This Row],[GP 8h, ml]]-(AVERAGE(AE$982,AE$983,AE$1032,AE$1033,AE$1085,AE$1086))*$AG$8</f>
        <v>28.771229168713369</v>
      </c>
      <c r="AH1038" s="94">
        <f>Table3.110[[#This Row],[GP 8-24h, ml]]-(AVERAGE(AF$982,AF$983,AF$1032,AF$1033,AF$1085,AF$1086))*$AG$8</f>
        <v>27.849347131116534</v>
      </c>
      <c r="AI1038" s="94">
        <f>Table3.110[[#This Row],[Net gas 8-24h, ml]]+Table3.110[[#This Row],[Net gas 8h, ml]]</f>
        <v>56.620576299829906</v>
      </c>
      <c r="AJ1038" s="94">
        <f>Table3.110[[#This Row],[Net gas 8h, ml]]*Table3.110[[#This Row],[CH4 8h %]]%</f>
        <v>4.0855145419572976</v>
      </c>
      <c r="AK1038" s="94">
        <f>Table3.110[[#This Row],[Net gas 8-24h, ml]]*Table3.110[[#This Row],[CH4 24h, %]]%</f>
        <v>4.4837448881097623</v>
      </c>
      <c r="AL1038" s="94">
        <f>Table3.110[[#This Row],[CH4 8-24h, ml]]+Table3.110[[#This Row],[CH4 8h, ml]]</f>
        <v>8.5692594300670599</v>
      </c>
      <c r="AM1038" s="94">
        <f>(Table3.110[[#This Row],[Net gas 24h, ml]]/Table3.110[[#This Row],[DM Incubated, mg]])*1000</f>
        <v>118.41730305711158</v>
      </c>
      <c r="AN1038" s="94">
        <f>'3.2 Digest'!X1038</f>
        <v>29.812005629328013</v>
      </c>
      <c r="AO1038" s="94">
        <f>Table3.110[[#This Row],[Digested feed, mg]]/Table3.110[[#This Row],[Net gas 24h, ml]]</f>
        <v>2.5175379661323611</v>
      </c>
      <c r="AP1038" s="94">
        <f>Table3.110[[#This Row],[CH4 8h, ml]]/Table3.110[[#This Row],[Net gas 8h, ml]]%</f>
        <v>14.199999999999998</v>
      </c>
      <c r="AQ1038" s="94">
        <f>Table3.110[[#This Row],[CH4 24h, ml]]/Table3.110[[#This Row],[Net gas 24h, ml]]%</f>
        <v>15.134532338012962</v>
      </c>
      <c r="AR1038" s="94">
        <f>Table3.110[[#This Row],[CH4 24h, ml]]/Table3.110[[#This Row],[DM Incubated, mg]]*1000</f>
        <v>17.921905024981367</v>
      </c>
      <c r="AS1038" s="94">
        <f>Table3.110[[#This Row],[CH4 24h, ml]]/Table3.110[[#This Row],[Digested feed, mg]]*1000</f>
        <v>60.116401586045647</v>
      </c>
      <c r="AT1038" s="94">
        <f>Table3.110[[#This Row],[CH4 24h, ml]]/'3.2 Digest'!AA1038</f>
        <v>-0.48301373497973243</v>
      </c>
      <c r="AU1038" s="94">
        <f>((Table3.110[[#This Row],[CH4 24h, ml]]/28.9)*16.04)/Table3.110[[#This Row],[DM Incubated, mg]]*1000</f>
        <v>9.9469673564256436</v>
      </c>
      <c r="AV1038" s="94">
        <f>((Table3.110[[#This Row],[CH4 24h, ml]]/28.9)*16.04)/Table3.110[[#This Row],[Digested feed, mg]]*1000</f>
        <v>33.365642956407342</v>
      </c>
      <c r="AW1038" s="94"/>
      <c r="AX1038" s="94"/>
    </row>
    <row r="1039" spans="2:50" x14ac:dyDescent="0.35">
      <c r="B1039" s="90">
        <f t="shared" si="16"/>
        <v>1029</v>
      </c>
      <c r="C1039" s="140">
        <v>46064</v>
      </c>
      <c r="D1039" s="6" t="s">
        <v>16</v>
      </c>
      <c r="E1039" s="6" t="s">
        <v>431</v>
      </c>
      <c r="F1039" s="242" t="s">
        <v>212</v>
      </c>
      <c r="G1039" s="242" t="s">
        <v>404</v>
      </c>
      <c r="H1039" s="6" t="s">
        <v>433</v>
      </c>
      <c r="I1039" s="133" t="s">
        <v>22</v>
      </c>
      <c r="J1039" s="135" t="s">
        <v>23</v>
      </c>
      <c r="K1039" s="135" t="s">
        <v>215</v>
      </c>
      <c r="L1039" s="6" t="s">
        <v>430</v>
      </c>
      <c r="M1039" s="256">
        <v>30</v>
      </c>
      <c r="N1039" s="256">
        <v>64</v>
      </c>
      <c r="O1039" s="256">
        <v>1</v>
      </c>
      <c r="P1039" s="257">
        <v>3</v>
      </c>
      <c r="Q1039" s="129">
        <v>163</v>
      </c>
      <c r="R1039" s="98">
        <v>0.50009999999999999</v>
      </c>
      <c r="S1039" s="94">
        <f>((Table3.110[[#This Row],[Sample weight, g]]*'2.1. DM'!Q275)/100)*1000</f>
        <v>477.85779315469205</v>
      </c>
      <c r="T1039" s="94">
        <f>'3.2 Digest'!W1039</f>
        <v>165.25779315469208</v>
      </c>
      <c r="U1039" s="117">
        <v>0.33680555555555558</v>
      </c>
      <c r="V1039" s="155">
        <v>40.5</v>
      </c>
      <c r="W1039" s="117">
        <v>0.68472222222222223</v>
      </c>
      <c r="X1039" s="97">
        <v>72</v>
      </c>
      <c r="Y1039" s="97">
        <v>14.1</v>
      </c>
      <c r="Z1039" s="155">
        <v>40</v>
      </c>
      <c r="AA1039" s="117">
        <v>0.35416666666666669</v>
      </c>
      <c r="AB1039" s="155">
        <v>72</v>
      </c>
      <c r="AC1039" s="155">
        <v>16.3</v>
      </c>
      <c r="AD1039" s="96"/>
      <c r="AE1039" s="94">
        <f>Table3.110[[#This Row],[Gas 8h, ml]]-Table3.110[[#This Row],[Gas 0h, ml]]</f>
        <v>31.5</v>
      </c>
      <c r="AF1039" s="94">
        <f>Table3.110[[#This Row],[Gas 24h, ml]]-Table3.110[[#This Row],[V8 Push back, ml]]</f>
        <v>32</v>
      </c>
      <c r="AG1039" s="94">
        <f>Table3.110[[#This Row],[GP 8h, ml]]-(AVERAGE(AE$982,AE$983,AE$1032,AE$1033,AE$1085,AE$1086))*$AG$8</f>
        <v>28.771229168713369</v>
      </c>
      <c r="AH1039" s="94">
        <f>Table3.110[[#This Row],[GP 8-24h, ml]]-(AVERAGE(AF$982,AF$983,AF$1032,AF$1033,AF$1085,AF$1086))*$AG$8</f>
        <v>28.349347131116534</v>
      </c>
      <c r="AI1039" s="94">
        <f>Table3.110[[#This Row],[Net gas 8-24h, ml]]+Table3.110[[#This Row],[Net gas 8h, ml]]</f>
        <v>57.120576299829906</v>
      </c>
      <c r="AJ1039" s="94">
        <f>Table3.110[[#This Row],[Net gas 8h, ml]]*Table3.110[[#This Row],[CH4 8h %]]%</f>
        <v>4.0567433127885844</v>
      </c>
      <c r="AK1039" s="94">
        <f>Table3.110[[#This Row],[Net gas 8-24h, ml]]*Table3.110[[#This Row],[CH4 24h, %]]%</f>
        <v>4.6209435823719955</v>
      </c>
      <c r="AL1039" s="94">
        <f>Table3.110[[#This Row],[CH4 8-24h, ml]]+Table3.110[[#This Row],[CH4 8h, ml]]</f>
        <v>8.6776868951605799</v>
      </c>
      <c r="AM1039" s="94">
        <f>(Table3.110[[#This Row],[Net gas 24h, ml]]/Table3.110[[#This Row],[DM Incubated, mg]])*1000</f>
        <v>119.53467562542994</v>
      </c>
      <c r="AN1039" s="94">
        <f>'3.2 Digest'!X1039</f>
        <v>34.583048664688171</v>
      </c>
      <c r="AO1039" s="94">
        <f>Table3.110[[#This Row],[Digested feed, mg]]/Table3.110[[#This Row],[Net gas 24h, ml]]</f>
        <v>2.8931394579641907</v>
      </c>
      <c r="AP1039" s="94">
        <f>Table3.110[[#This Row],[CH4 8h, ml]]/Table3.110[[#This Row],[Net gas 8h, ml]]%</f>
        <v>14.099999999999998</v>
      </c>
      <c r="AQ1039" s="94">
        <f>Table3.110[[#This Row],[CH4 24h, ml]]/Table3.110[[#This Row],[Net gas 24h, ml]]%</f>
        <v>15.191875602953992</v>
      </c>
      <c r="AR1039" s="94">
        <f>Table3.110[[#This Row],[CH4 24h, ml]]/Table3.110[[#This Row],[DM Incubated, mg]]*1000</f>
        <v>18.159559223409882</v>
      </c>
      <c r="AS1039" s="94">
        <f>Table3.110[[#This Row],[CH4 24h, ml]]/Table3.110[[#This Row],[Digested feed, mg]]*1000</f>
        <v>52.510001068679998</v>
      </c>
      <c r="AT1039" s="94">
        <f>Table3.110[[#This Row],[CH4 24h, ml]]/'3.2 Digest'!AA1039</f>
        <v>-0.89113885777513457</v>
      </c>
      <c r="AU1039" s="94">
        <f>((Table3.110[[#This Row],[CH4 24h, ml]]/28.9)*16.04)/Table3.110[[#This Row],[DM Incubated, mg]]*1000</f>
        <v>10.078869548217803</v>
      </c>
      <c r="AV1039" s="94">
        <f>((Table3.110[[#This Row],[CH4 24h, ml]]/28.9)*16.04)/Table3.110[[#This Row],[Digested feed, mg]]*1000</f>
        <v>29.143959070644541</v>
      </c>
      <c r="AW1039" s="94"/>
      <c r="AX1039" s="94"/>
    </row>
    <row r="1040" spans="2:50" x14ac:dyDescent="0.35">
      <c r="B1040" s="90">
        <f t="shared" si="16"/>
        <v>1030</v>
      </c>
      <c r="C1040" s="140">
        <v>46064</v>
      </c>
      <c r="D1040" s="6" t="s">
        <v>16</v>
      </c>
      <c r="E1040" s="6" t="s">
        <v>435</v>
      </c>
      <c r="F1040" s="242" t="s">
        <v>219</v>
      </c>
      <c r="G1040" s="242" t="s">
        <v>220</v>
      </c>
      <c r="H1040" s="6" t="s">
        <v>221</v>
      </c>
      <c r="I1040" s="133" t="s">
        <v>22</v>
      </c>
      <c r="J1040" s="135" t="s">
        <v>23</v>
      </c>
      <c r="K1040" s="135" t="s">
        <v>215</v>
      </c>
      <c r="L1040" s="6" t="s">
        <v>434</v>
      </c>
      <c r="M1040" s="256">
        <v>30</v>
      </c>
      <c r="N1040" s="256">
        <v>64</v>
      </c>
      <c r="O1040" s="256">
        <v>1</v>
      </c>
      <c r="P1040" s="257">
        <v>1</v>
      </c>
      <c r="Q1040" s="129">
        <v>164</v>
      </c>
      <c r="R1040" s="98">
        <v>0.50019999999999998</v>
      </c>
      <c r="S1040" s="94">
        <f>((Table3.110[[#This Row],[Sample weight, g]]*'2.1. DM'!Q277)/100)*1000</f>
        <v>454.67497205610925</v>
      </c>
      <c r="T1040" s="94">
        <f>'3.2 Digest'!W1040</f>
        <v>13.874972056109414</v>
      </c>
      <c r="U1040" s="153">
        <v>0.33750000000000002</v>
      </c>
      <c r="V1040" s="154">
        <v>41</v>
      </c>
      <c r="W1040" s="153">
        <v>0.68541666666666667</v>
      </c>
      <c r="X1040" s="95">
        <v>83.5</v>
      </c>
      <c r="Y1040" s="95">
        <v>14.3</v>
      </c>
      <c r="Z1040" s="154">
        <v>40.5</v>
      </c>
      <c r="AA1040" s="153">
        <v>0.35486111111111113</v>
      </c>
      <c r="AB1040" s="154">
        <v>88</v>
      </c>
      <c r="AC1040" s="154">
        <v>16.2</v>
      </c>
      <c r="AD1040" s="91"/>
      <c r="AE1040" s="94">
        <f>Table3.110[[#This Row],[Gas 8h, ml]]-Table3.110[[#This Row],[Gas 0h, ml]]</f>
        <v>42.5</v>
      </c>
      <c r="AF1040" s="94">
        <f>Table3.110[[#This Row],[Gas 24h, ml]]-Table3.110[[#This Row],[V8 Push back, ml]]</f>
        <v>47.5</v>
      </c>
      <c r="AG1040" s="94"/>
      <c r="AH1040" s="94"/>
      <c r="AI1040" s="94"/>
      <c r="AJ1040" s="94"/>
      <c r="AK1040" s="94"/>
      <c r="AL1040" s="94"/>
      <c r="AM1040" s="94"/>
      <c r="AN1040" s="94"/>
      <c r="AO1040" s="94"/>
      <c r="AP1040" s="94"/>
      <c r="AQ1040" s="94"/>
      <c r="AR1040" s="94"/>
      <c r="AS1040" s="94"/>
      <c r="AT1040" s="94"/>
      <c r="AU1040" s="94"/>
      <c r="AV1040" s="94"/>
      <c r="AW1040" s="94" t="s">
        <v>611</v>
      </c>
      <c r="AX1040" s="94"/>
    </row>
    <row r="1041" spans="2:50" x14ac:dyDescent="0.35">
      <c r="B1041" s="90">
        <f t="shared" si="16"/>
        <v>1031</v>
      </c>
      <c r="C1041" s="140">
        <v>46064</v>
      </c>
      <c r="D1041" s="6" t="s">
        <v>16</v>
      </c>
      <c r="E1041" s="6" t="s">
        <v>435</v>
      </c>
      <c r="F1041" s="242" t="s">
        <v>219</v>
      </c>
      <c r="G1041" s="242" t="s">
        <v>220</v>
      </c>
      <c r="H1041" s="6" t="s">
        <v>221</v>
      </c>
      <c r="I1041" s="133" t="s">
        <v>22</v>
      </c>
      <c r="J1041" s="135" t="s">
        <v>23</v>
      </c>
      <c r="K1041" s="135" t="s">
        <v>215</v>
      </c>
      <c r="L1041" s="6" t="s">
        <v>434</v>
      </c>
      <c r="M1041" s="256">
        <v>30</v>
      </c>
      <c r="N1041" s="256">
        <v>64</v>
      </c>
      <c r="O1041" s="256">
        <v>1</v>
      </c>
      <c r="P1041" s="257">
        <v>2</v>
      </c>
      <c r="Q1041" s="129">
        <v>165</v>
      </c>
      <c r="R1041" s="98">
        <v>0.50039999999999996</v>
      </c>
      <c r="S1041" s="94">
        <f>((Table3.110[[#This Row],[Sample weight, g]]*'2.1. DM'!Q277)/100)*1000</f>
        <v>454.85676932602365</v>
      </c>
      <c r="T1041" s="94">
        <f>'3.2 Digest'!W1041</f>
        <v>262.95676932602373</v>
      </c>
      <c r="U1041" s="117">
        <v>0.33750000000000002</v>
      </c>
      <c r="V1041" s="155">
        <v>41</v>
      </c>
      <c r="W1041" s="117">
        <v>0.68541666666666667</v>
      </c>
      <c r="X1041" s="97">
        <v>82.5</v>
      </c>
      <c r="Y1041" s="97">
        <v>14.6</v>
      </c>
      <c r="Z1041" s="155">
        <v>40.5</v>
      </c>
      <c r="AA1041" s="117">
        <v>0.35486111111111113</v>
      </c>
      <c r="AB1041" s="155">
        <v>90.5</v>
      </c>
      <c r="AC1041" s="155">
        <v>17.100000000000001</v>
      </c>
      <c r="AD1041" s="103"/>
      <c r="AE1041" s="94">
        <f>Table3.110[[#This Row],[Gas 8h, ml]]-Table3.110[[#This Row],[Gas 0h, ml]]</f>
        <v>41.5</v>
      </c>
      <c r="AF1041" s="94">
        <f>Table3.110[[#This Row],[Gas 24h, ml]]-Table3.110[[#This Row],[V8 Push back, ml]]</f>
        <v>50</v>
      </c>
      <c r="AG1041" s="94">
        <f>Table3.110[[#This Row],[GP 8h, ml]]-(AVERAGE(AE$982,AE$983,AE$1032,AE$1033,AE$1085,AE$1086))*$AG$8</f>
        <v>38.771229168713369</v>
      </c>
      <c r="AH1041" s="94">
        <f>Table3.110[[#This Row],[GP 8-24h, ml]]-(AVERAGE(AF$982,AF$983,AF$1032,AF$1033,AF$1085,AF$1086))*$AG$8</f>
        <v>46.349347131116531</v>
      </c>
      <c r="AI1041" s="94">
        <f>Table3.110[[#This Row],[Net gas 8-24h, ml]]+Table3.110[[#This Row],[Net gas 8h, ml]]</f>
        <v>85.120576299829906</v>
      </c>
      <c r="AJ1041" s="94">
        <f>Table3.110[[#This Row],[Net gas 8h, ml]]*Table3.110[[#This Row],[CH4 8h %]]%</f>
        <v>5.6605994586321513</v>
      </c>
      <c r="AK1041" s="94">
        <f>Table3.110[[#This Row],[Net gas 8-24h, ml]]*Table3.110[[#This Row],[CH4 24h, %]]%</f>
        <v>7.9257383594209276</v>
      </c>
      <c r="AL1041" s="94">
        <f>Table3.110[[#This Row],[CH4 8-24h, ml]]+Table3.110[[#This Row],[CH4 8h, ml]]</f>
        <v>13.586337818053078</v>
      </c>
      <c r="AM1041" s="94">
        <f>(Table3.110[[#This Row],[Net gas 24h, ml]]/Table3.110[[#This Row],[DM Incubated, mg]])*1000</f>
        <v>187.13709906077884</v>
      </c>
      <c r="AN1041" s="94">
        <f>'3.2 Digest'!X1041</f>
        <v>57.810895002322482</v>
      </c>
      <c r="AO1041" s="94">
        <f>Table3.110[[#This Row],[Digested feed, mg]]/Table3.110[[#This Row],[Net gas 24h, ml]]</f>
        <v>3.0892268445150224</v>
      </c>
      <c r="AP1041" s="94">
        <f>Table3.110[[#This Row],[CH4 8h, ml]]/Table3.110[[#This Row],[Net gas 8h, ml]]%</f>
        <v>14.6</v>
      </c>
      <c r="AQ1041" s="94">
        <f>Table3.110[[#This Row],[CH4 24h, ml]]/Table3.110[[#This Row],[Net gas 24h, ml]]%</f>
        <v>15.961285048395785</v>
      </c>
      <c r="AR1041" s="94">
        <f>Table3.110[[#This Row],[CH4 24h, ml]]/Table3.110[[#This Row],[DM Incubated, mg]]*1000</f>
        <v>29.869485812389701</v>
      </c>
      <c r="AS1041" s="94">
        <f>Table3.110[[#This Row],[CH4 24h, ml]]/Table3.110[[#This Row],[Digested feed, mg]]*1000</f>
        <v>51.667572022868228</v>
      </c>
      <c r="AT1041" s="94">
        <f>Table3.110[[#This Row],[CH4 24h, ml]]/'3.2 Digest'!AA1041</f>
        <v>0.98643046344911867</v>
      </c>
      <c r="AU1041" s="94">
        <f>((Table3.110[[#This Row],[CH4 24h, ml]]/28.9)*16.04)/Table3.110[[#This Row],[DM Incubated, mg]]*1000</f>
        <v>16.578081398987223</v>
      </c>
      <c r="AV1041" s="94">
        <f>((Table3.110[[#This Row],[CH4 24h, ml]]/28.9)*16.04)/Table3.110[[#This Row],[Digested feed, mg]]*1000</f>
        <v>28.676396375322021</v>
      </c>
      <c r="AW1041" s="94"/>
      <c r="AX1041" s="94"/>
    </row>
    <row r="1042" spans="2:50" x14ac:dyDescent="0.35">
      <c r="B1042" s="90">
        <f t="shared" si="16"/>
        <v>1032</v>
      </c>
      <c r="C1042" s="140">
        <v>46064</v>
      </c>
      <c r="D1042" s="6" t="s">
        <v>16</v>
      </c>
      <c r="E1042" s="6" t="s">
        <v>435</v>
      </c>
      <c r="F1042" s="242" t="s">
        <v>219</v>
      </c>
      <c r="G1042" s="242" t="s">
        <v>220</v>
      </c>
      <c r="H1042" s="6" t="s">
        <v>221</v>
      </c>
      <c r="I1042" s="133" t="s">
        <v>22</v>
      </c>
      <c r="J1042" s="135" t="s">
        <v>23</v>
      </c>
      <c r="K1042" s="135" t="s">
        <v>215</v>
      </c>
      <c r="L1042" s="6" t="s">
        <v>434</v>
      </c>
      <c r="M1042" s="256">
        <v>30</v>
      </c>
      <c r="N1042" s="256">
        <v>64</v>
      </c>
      <c r="O1042" s="256">
        <v>1</v>
      </c>
      <c r="P1042" s="257">
        <v>3</v>
      </c>
      <c r="Q1042" s="129">
        <v>166</v>
      </c>
      <c r="R1042" s="98">
        <v>0.50019999999999998</v>
      </c>
      <c r="S1042" s="94">
        <f>((Table3.110[[#This Row],[Sample weight, g]]*'2.1. DM'!Q277)/100)*1000</f>
        <v>454.67497205610925</v>
      </c>
      <c r="T1042" s="94">
        <f>'3.2 Digest'!W1042</f>
        <v>194.47497205610927</v>
      </c>
      <c r="U1042" s="153">
        <v>0.33750000000000002</v>
      </c>
      <c r="V1042" s="154">
        <v>41.5</v>
      </c>
      <c r="W1042" s="153">
        <v>0.68611111111111112</v>
      </c>
      <c r="X1042" s="95">
        <v>83</v>
      </c>
      <c r="Y1042" s="95">
        <v>14.3</v>
      </c>
      <c r="Z1042" s="154">
        <v>40</v>
      </c>
      <c r="AA1042" s="153">
        <v>0.35555555555555557</v>
      </c>
      <c r="AB1042" s="154">
        <v>87</v>
      </c>
      <c r="AC1042" s="154">
        <v>17.2</v>
      </c>
      <c r="AD1042" s="91" t="s">
        <v>551</v>
      </c>
      <c r="AE1042" s="94">
        <f>Table3.110[[#This Row],[Gas 8h, ml]]-Table3.110[[#This Row],[Gas 0h, ml]]</f>
        <v>41.5</v>
      </c>
      <c r="AF1042" s="94">
        <f>Table3.110[[#This Row],[Gas 24h, ml]]-Table3.110[[#This Row],[V8 Push back, ml]]</f>
        <v>47</v>
      </c>
      <c r="AG1042" s="94">
        <f>Table3.110[[#This Row],[GP 8h, ml]]-(AVERAGE(AE$982,AE$983,AE$1032,AE$1033,AE$1085,AE$1086))*$AG$8</f>
        <v>38.771229168713369</v>
      </c>
      <c r="AH1042" s="94">
        <f>Table3.110[[#This Row],[GP 8-24h, ml]]-(AVERAGE(AF$982,AF$983,AF$1032,AF$1033,AF$1085,AF$1086))*$AG$8</f>
        <v>43.349347131116531</v>
      </c>
      <c r="AI1042" s="94">
        <f>Table3.110[[#This Row],[Net gas 8-24h, ml]]+Table3.110[[#This Row],[Net gas 8h, ml]]</f>
        <v>82.120576299829906</v>
      </c>
      <c r="AJ1042" s="94">
        <f>Table3.110[[#This Row],[Net gas 8h, ml]]*Table3.110[[#This Row],[CH4 8h %]]%</f>
        <v>5.5442857711260123</v>
      </c>
      <c r="AK1042" s="94">
        <f>Table3.110[[#This Row],[Net gas 8-24h, ml]]*Table3.110[[#This Row],[CH4 24h, %]]%</f>
        <v>7.4560877065520428</v>
      </c>
      <c r="AL1042" s="94">
        <f>Table3.110[[#This Row],[CH4 8-24h, ml]]+Table3.110[[#This Row],[CH4 8h, ml]]</f>
        <v>13.000373477678055</v>
      </c>
      <c r="AM1042" s="94">
        <f>(Table3.110[[#This Row],[Net gas 24h, ml]]/Table3.110[[#This Row],[DM Incubated, mg]])*1000</f>
        <v>180.61380402899283</v>
      </c>
      <c r="AN1042" s="94">
        <f>'3.2 Digest'!X1042</f>
        <v>42.772306374521548</v>
      </c>
      <c r="AO1042" s="94">
        <f>Table3.110[[#This Row],[Digested feed, mg]]/Table3.110[[#This Row],[Net gas 24h, ml]]</f>
        <v>2.3681637516286167</v>
      </c>
      <c r="AP1042" s="94">
        <f>Table3.110[[#This Row],[CH4 8h, ml]]/Table3.110[[#This Row],[Net gas 8h, ml]]%</f>
        <v>14.300000000000002</v>
      </c>
      <c r="AQ1042" s="94">
        <f>Table3.110[[#This Row],[CH4 24h, ml]]/Table3.110[[#This Row],[Net gas 24h, ml]]%</f>
        <v>15.830835660739247</v>
      </c>
      <c r="AR1042" s="94">
        <f>Table3.110[[#This Row],[CH4 24h, ml]]/Table3.110[[#This Row],[DM Incubated, mg]]*1000</f>
        <v>28.592674496439496</v>
      </c>
      <c r="AS1042" s="94">
        <f>Table3.110[[#This Row],[CH4 24h, ml]]/Table3.110[[#This Row],[Digested feed, mg]]*1000</f>
        <v>66.848568431351822</v>
      </c>
      <c r="AT1042" s="94">
        <f>Table3.110[[#This Row],[CH4 24h, ml]]/'3.2 Digest'!AA1042</f>
        <v>-0.76640162303179271</v>
      </c>
      <c r="AU1042" s="94">
        <f>((Table3.110[[#This Row],[CH4 24h, ml]]/28.9)*16.04)/Table3.110[[#This Row],[DM Incubated, mg]]*1000</f>
        <v>15.869429028473682</v>
      </c>
      <c r="AV1042" s="94">
        <f>((Table3.110[[#This Row],[CH4 24h, ml]]/28.9)*16.04)/Table3.110[[#This Row],[Digested feed, mg]]*1000</f>
        <v>37.102112029027104</v>
      </c>
      <c r="AW1042" s="94"/>
      <c r="AX1042" s="94"/>
    </row>
    <row r="1043" spans="2:50" x14ac:dyDescent="0.35">
      <c r="B1043" s="90">
        <f t="shared" si="16"/>
        <v>1033</v>
      </c>
      <c r="C1043" s="140">
        <v>46064</v>
      </c>
      <c r="D1043" s="6" t="s">
        <v>16</v>
      </c>
      <c r="E1043" s="6" t="s">
        <v>437</v>
      </c>
      <c r="F1043" s="242" t="s">
        <v>333</v>
      </c>
      <c r="G1043" s="242" t="s">
        <v>438</v>
      </c>
      <c r="H1043" s="6" t="s">
        <v>439</v>
      </c>
      <c r="I1043" s="133" t="s">
        <v>22</v>
      </c>
      <c r="J1043" s="135" t="s">
        <v>23</v>
      </c>
      <c r="K1043" s="135" t="s">
        <v>303</v>
      </c>
      <c r="L1043" s="6" t="s">
        <v>436</v>
      </c>
      <c r="M1043" s="256">
        <v>30</v>
      </c>
      <c r="N1043" s="256">
        <v>64</v>
      </c>
      <c r="O1043" s="256">
        <v>1</v>
      </c>
      <c r="P1043" s="257">
        <v>1</v>
      </c>
      <c r="Q1043" s="129">
        <v>167</v>
      </c>
      <c r="R1043" s="98">
        <v>0.50019999999999998</v>
      </c>
      <c r="S1043" s="94">
        <f>((Table3.110[[#This Row],[Sample weight, g]]*'2.1. DM'!Q279)/100)*1000</f>
        <v>482.52513423959249</v>
      </c>
      <c r="T1043" s="94">
        <f>'3.2 Digest'!W1043</f>
        <v>236.12513423959254</v>
      </c>
      <c r="U1043" s="117">
        <v>0.33819444444444446</v>
      </c>
      <c r="V1043" s="155">
        <v>41</v>
      </c>
      <c r="W1043" s="117">
        <v>0.6875</v>
      </c>
      <c r="X1043" s="97">
        <v>86.5</v>
      </c>
      <c r="Y1043" s="97">
        <v>14.6</v>
      </c>
      <c r="Z1043" s="155">
        <v>40.5</v>
      </c>
      <c r="AA1043" s="117">
        <v>0.35555555555555557</v>
      </c>
      <c r="AB1043" s="155">
        <v>89</v>
      </c>
      <c r="AC1043" s="155">
        <v>15.2</v>
      </c>
      <c r="AD1043" s="96"/>
      <c r="AE1043" s="94">
        <f>Table3.110[[#This Row],[Gas 8h, ml]]-Table3.110[[#This Row],[Gas 0h, ml]]</f>
        <v>45.5</v>
      </c>
      <c r="AF1043" s="94">
        <f>Table3.110[[#This Row],[Gas 24h, ml]]-Table3.110[[#This Row],[V8 Push back, ml]]</f>
        <v>48.5</v>
      </c>
      <c r="AG1043" s="94">
        <f>Table3.110[[#This Row],[GP 8h, ml]]-(AVERAGE(AE$982,AE$983,AE$1032,AE$1033,AE$1085,AE$1086))*$AG$8</f>
        <v>42.771229168713369</v>
      </c>
      <c r="AH1043" s="94">
        <f>Table3.110[[#This Row],[GP 8-24h, ml]]-(AVERAGE(AF$982,AF$983,AF$1032,AF$1033,AF$1085,AF$1086))*$AG$8</f>
        <v>44.849347131116531</v>
      </c>
      <c r="AI1043" s="94">
        <f>Table3.110[[#This Row],[Net gas 8-24h, ml]]+Table3.110[[#This Row],[Net gas 8h, ml]]</f>
        <v>87.620576299829906</v>
      </c>
      <c r="AJ1043" s="94">
        <f>Table3.110[[#This Row],[Net gas 8h, ml]]*Table3.110[[#This Row],[CH4 8h %]]%</f>
        <v>6.2445994586321518</v>
      </c>
      <c r="AK1043" s="94">
        <f>Table3.110[[#This Row],[Net gas 8-24h, ml]]*Table3.110[[#This Row],[CH4 24h, %]]%</f>
        <v>6.8171007639297123</v>
      </c>
      <c r="AL1043" s="94">
        <f>Table3.110[[#This Row],[CH4 8-24h, ml]]+Table3.110[[#This Row],[CH4 8h, ml]]</f>
        <v>13.061700222561864</v>
      </c>
      <c r="AM1043" s="94">
        <f>(Table3.110[[#This Row],[Net gas 24h, ml]]/Table3.110[[#This Row],[DM Incubated, mg]])*1000</f>
        <v>181.58759012193318</v>
      </c>
      <c r="AN1043" s="94">
        <f>'3.2 Digest'!X1043</f>
        <v>48.93530253334891</v>
      </c>
      <c r="AO1043" s="94">
        <f>Table3.110[[#This Row],[Digested feed, mg]]/Table3.110[[#This Row],[Net gas 24h, ml]]</f>
        <v>2.6948594064434488</v>
      </c>
      <c r="AP1043" s="94">
        <f>Table3.110[[#This Row],[CH4 8h, ml]]/Table3.110[[#This Row],[Net gas 8h, ml]]%</f>
        <v>14.6</v>
      </c>
      <c r="AQ1043" s="94">
        <f>Table3.110[[#This Row],[CH4 24h, ml]]/Table3.110[[#This Row],[Net gas 24h, ml]]%</f>
        <v>14.907115171059676</v>
      </c>
      <c r="AR1043" s="94">
        <f>Table3.110[[#This Row],[CH4 24h, ml]]/Table3.110[[#This Row],[DM Incubated, mg]]*1000</f>
        <v>27.069471195828363</v>
      </c>
      <c r="AS1043" s="94">
        <f>Table3.110[[#This Row],[CH4 24h, ml]]/Table3.110[[#This Row],[Digested feed, mg]]*1000</f>
        <v>55.316856736260689</v>
      </c>
      <c r="AT1043" s="94">
        <f>Table3.110[[#This Row],[CH4 24h, ml]]/'3.2 Digest'!AA1043</f>
        <v>-2.657367215797072</v>
      </c>
      <c r="AU1043" s="94">
        <f>((Table3.110[[#This Row],[CH4 24h, ml]]/28.9)*16.04)/Table3.110[[#This Row],[DM Incubated, mg]]*1000</f>
        <v>15.024024843636226</v>
      </c>
      <c r="AV1043" s="94">
        <f>((Table3.110[[#This Row],[CH4 24h, ml]]/28.9)*16.04)/Table3.110[[#This Row],[Digested feed, mg]]*1000</f>
        <v>30.701812527668562</v>
      </c>
      <c r="AW1043" s="94"/>
      <c r="AX1043" s="94"/>
    </row>
    <row r="1044" spans="2:50" x14ac:dyDescent="0.35">
      <c r="B1044" s="90">
        <f t="shared" si="16"/>
        <v>1034</v>
      </c>
      <c r="C1044" s="140">
        <v>46064</v>
      </c>
      <c r="D1044" s="6" t="s">
        <v>16</v>
      </c>
      <c r="E1044" s="6" t="s">
        <v>437</v>
      </c>
      <c r="F1044" s="242" t="s">
        <v>333</v>
      </c>
      <c r="G1044" s="242" t="s">
        <v>438</v>
      </c>
      <c r="H1044" s="6" t="s">
        <v>439</v>
      </c>
      <c r="I1044" s="133" t="s">
        <v>22</v>
      </c>
      <c r="J1044" s="135" t="s">
        <v>23</v>
      </c>
      <c r="K1044" s="135" t="s">
        <v>303</v>
      </c>
      <c r="L1044" s="6" t="s">
        <v>436</v>
      </c>
      <c r="M1044" s="256">
        <v>30</v>
      </c>
      <c r="N1044" s="256">
        <v>64</v>
      </c>
      <c r="O1044" s="256">
        <v>1</v>
      </c>
      <c r="P1044" s="257">
        <v>2</v>
      </c>
      <c r="Q1044" s="129">
        <v>168</v>
      </c>
      <c r="R1044" s="98">
        <v>0.50019999999999998</v>
      </c>
      <c r="S1044" s="94">
        <f>((Table3.110[[#This Row],[Sample weight, g]]*'2.1. DM'!Q279)/100)*1000</f>
        <v>482.52513423959249</v>
      </c>
      <c r="T1044" s="94">
        <f>'3.2 Digest'!W1044</f>
        <v>155.8251342395925</v>
      </c>
      <c r="U1044" s="153">
        <v>0.33819444444444446</v>
      </c>
      <c r="V1044" s="155">
        <v>40.5</v>
      </c>
      <c r="W1044" s="153">
        <v>0.6875</v>
      </c>
      <c r="X1044" s="95">
        <v>84</v>
      </c>
      <c r="Y1044" s="95">
        <v>14.9</v>
      </c>
      <c r="Z1044" s="154">
        <v>40</v>
      </c>
      <c r="AA1044" s="153">
        <v>0.35625000000000001</v>
      </c>
      <c r="AB1044" s="154">
        <v>86.5</v>
      </c>
      <c r="AC1044" s="154">
        <v>14.8</v>
      </c>
      <c r="AD1044" s="91"/>
      <c r="AE1044" s="94">
        <f>Table3.110[[#This Row],[Gas 8h, ml]]-Table3.110[[#This Row],[Gas 0h, ml]]</f>
        <v>43.5</v>
      </c>
      <c r="AF1044" s="94">
        <f>Table3.110[[#This Row],[Gas 24h, ml]]-Table3.110[[#This Row],[V8 Push back, ml]]</f>
        <v>46.5</v>
      </c>
      <c r="AG1044" s="94">
        <f>Table3.110[[#This Row],[GP 8h, ml]]-(AVERAGE(AE$982,AE$983,AE$1032,AE$1033,AE$1085,AE$1086))*$AG$8</f>
        <v>40.771229168713369</v>
      </c>
      <c r="AH1044" s="94">
        <f>Table3.110[[#This Row],[GP 8-24h, ml]]-(AVERAGE(AF$982,AF$983,AF$1032,AF$1033,AF$1085,AF$1086))*$AG$8</f>
        <v>42.849347131116531</v>
      </c>
      <c r="AI1044" s="94">
        <f>Table3.110[[#This Row],[Net gas 8-24h, ml]]+Table3.110[[#This Row],[Net gas 8h, ml]]</f>
        <v>83.620576299829906</v>
      </c>
      <c r="AJ1044" s="94">
        <f>Table3.110[[#This Row],[Net gas 8h, ml]]*Table3.110[[#This Row],[CH4 8h %]]%</f>
        <v>6.0749131461382913</v>
      </c>
      <c r="AK1044" s="94">
        <f>Table3.110[[#This Row],[Net gas 8-24h, ml]]*Table3.110[[#This Row],[CH4 24h, %]]%</f>
        <v>6.3417033754052472</v>
      </c>
      <c r="AL1044" s="94">
        <f>Table3.110[[#This Row],[CH4 8-24h, ml]]+Table3.110[[#This Row],[CH4 8h, ml]]</f>
        <v>12.416616521543538</v>
      </c>
      <c r="AM1044" s="94">
        <f>(Table3.110[[#This Row],[Net gas 24h, ml]]/Table3.110[[#This Row],[DM Incubated, mg]])*1000</f>
        <v>173.29786650721709</v>
      </c>
      <c r="AN1044" s="94">
        <f>'3.2 Digest'!X1044</f>
        <v>32.293682376806359</v>
      </c>
      <c r="AO1044" s="94">
        <f>Table3.110[[#This Row],[Digested feed, mg]]/Table3.110[[#This Row],[Net gas 24h, ml]]</f>
        <v>1.8634783582555801</v>
      </c>
      <c r="AP1044" s="94">
        <f>Table3.110[[#This Row],[CH4 8h, ml]]/Table3.110[[#This Row],[Net gas 8h, ml]]%</f>
        <v>14.899999999999999</v>
      </c>
      <c r="AQ1044" s="94">
        <f>Table3.110[[#This Row],[CH4 24h, ml]]/Table3.110[[#This Row],[Net gas 24h, ml]]%</f>
        <v>14.848757412317422</v>
      </c>
      <c r="AR1044" s="94">
        <f>Table3.110[[#This Row],[CH4 24h, ml]]/Table3.110[[#This Row],[DM Incubated, mg]]*1000</f>
        <v>25.73257979837835</v>
      </c>
      <c r="AS1044" s="94">
        <f>Table3.110[[#This Row],[CH4 24h, ml]]/Table3.110[[#This Row],[Digested feed, mg]]*1000</f>
        <v>79.683015080558732</v>
      </c>
      <c r="AT1044" s="94">
        <f>Table3.110[[#This Row],[CH4 24h, ml]]/'3.2 Digest'!AA1044</f>
        <v>-0.31750840386921991</v>
      </c>
      <c r="AU1044" s="94">
        <f>((Table3.110[[#This Row],[CH4 24h, ml]]/28.9)*16.04)/Table3.110[[#This Row],[DM Incubated, mg]]*1000</f>
        <v>14.282026988442516</v>
      </c>
      <c r="AV1044" s="94">
        <f>((Table3.110[[#This Row],[CH4 24h, ml]]/28.9)*16.04)/Table3.110[[#This Row],[Digested feed, mg]]*1000</f>
        <v>44.225451968586924</v>
      </c>
      <c r="AW1044" s="94"/>
      <c r="AX1044" s="94"/>
    </row>
    <row r="1045" spans="2:50" x14ac:dyDescent="0.35">
      <c r="B1045" s="90">
        <f t="shared" si="16"/>
        <v>1035</v>
      </c>
      <c r="C1045" s="140">
        <v>46064</v>
      </c>
      <c r="D1045" s="6" t="s">
        <v>16</v>
      </c>
      <c r="E1045" s="6" t="s">
        <v>437</v>
      </c>
      <c r="F1045" s="242" t="s">
        <v>333</v>
      </c>
      <c r="G1045" s="242" t="s">
        <v>438</v>
      </c>
      <c r="H1045" s="6" t="s">
        <v>439</v>
      </c>
      <c r="I1045" s="133" t="s">
        <v>22</v>
      </c>
      <c r="J1045" s="135" t="s">
        <v>23</v>
      </c>
      <c r="K1045" s="135" t="s">
        <v>303</v>
      </c>
      <c r="L1045" s="6" t="s">
        <v>436</v>
      </c>
      <c r="M1045" s="256">
        <v>30</v>
      </c>
      <c r="N1045" s="256">
        <v>64</v>
      </c>
      <c r="O1045" s="256">
        <v>1</v>
      </c>
      <c r="P1045" s="257">
        <v>3</v>
      </c>
      <c r="Q1045" s="129">
        <v>169</v>
      </c>
      <c r="R1045" s="98">
        <v>0.50049999999999994</v>
      </c>
      <c r="S1045" s="94">
        <f>((Table3.110[[#This Row],[Sample weight, g]]*'2.1. DM'!Q279)/100)*1000</f>
        <v>482.81453356040794</v>
      </c>
      <c r="T1045" s="94">
        <f>'3.2 Digest'!W1045</f>
        <v>186.61453356040801</v>
      </c>
      <c r="U1045" s="117">
        <v>0.33819444444444446</v>
      </c>
      <c r="V1045" s="155">
        <v>41</v>
      </c>
      <c r="W1045" s="117">
        <v>0.6875</v>
      </c>
      <c r="X1045" s="97">
        <v>86.5</v>
      </c>
      <c r="Y1045" s="97">
        <v>14.4</v>
      </c>
      <c r="Z1045" s="155">
        <v>40.5</v>
      </c>
      <c r="AA1045" s="117">
        <v>0.35625000000000001</v>
      </c>
      <c r="AB1045" s="155">
        <v>88.5</v>
      </c>
      <c r="AC1045" s="155">
        <v>14.8</v>
      </c>
      <c r="AD1045" s="96"/>
      <c r="AE1045" s="94">
        <f>Table3.110[[#This Row],[Gas 8h, ml]]-Table3.110[[#This Row],[Gas 0h, ml]]</f>
        <v>45.5</v>
      </c>
      <c r="AF1045" s="94">
        <f>Table3.110[[#This Row],[Gas 24h, ml]]-Table3.110[[#This Row],[V8 Push back, ml]]</f>
        <v>48</v>
      </c>
      <c r="AG1045" s="94">
        <f>Table3.110[[#This Row],[GP 8h, ml]]-(AVERAGE(AE$982,AE$983,AE$1032,AE$1033,AE$1085,AE$1086))*$AG$8</f>
        <v>42.771229168713369</v>
      </c>
      <c r="AH1045" s="94">
        <f>Table3.110[[#This Row],[GP 8-24h, ml]]-(AVERAGE(AF$982,AF$983,AF$1032,AF$1033,AF$1085,AF$1086))*$AG$8</f>
        <v>44.349347131116531</v>
      </c>
      <c r="AI1045" s="94">
        <f>Table3.110[[#This Row],[Net gas 8-24h, ml]]+Table3.110[[#This Row],[Net gas 8h, ml]]</f>
        <v>87.120576299829906</v>
      </c>
      <c r="AJ1045" s="94">
        <f>Table3.110[[#This Row],[Net gas 8h, ml]]*Table3.110[[#This Row],[CH4 8h %]]%</f>
        <v>6.1590570002947258</v>
      </c>
      <c r="AK1045" s="94">
        <f>Table3.110[[#This Row],[Net gas 8-24h, ml]]*Table3.110[[#This Row],[CH4 24h, %]]%</f>
        <v>6.5637033754052476</v>
      </c>
      <c r="AL1045" s="94">
        <f>Table3.110[[#This Row],[CH4 8-24h, ml]]+Table3.110[[#This Row],[CH4 8h, ml]]</f>
        <v>12.722760375699973</v>
      </c>
      <c r="AM1045" s="94">
        <f>(Table3.110[[#This Row],[Net gas 24h, ml]]/Table3.110[[#This Row],[DM Incubated, mg]])*1000</f>
        <v>180.44315206789381</v>
      </c>
      <c r="AN1045" s="94">
        <f>'3.2 Digest'!X1045</f>
        <v>38.6513910806</v>
      </c>
      <c r="AO1045" s="94">
        <f>Table3.110[[#This Row],[Digested feed, mg]]/Table3.110[[#This Row],[Net gas 24h, ml]]</f>
        <v>2.1420259310287912</v>
      </c>
      <c r="AP1045" s="94">
        <f>Table3.110[[#This Row],[CH4 8h, ml]]/Table3.110[[#This Row],[Net gas 8h, ml]]%</f>
        <v>14.4</v>
      </c>
      <c r="AQ1045" s="94">
        <f>Table3.110[[#This Row],[CH4 24h, ml]]/Table3.110[[#This Row],[Net gas 24h, ml]]%</f>
        <v>14.60362283637099</v>
      </c>
      <c r="AR1045" s="94">
        <f>Table3.110[[#This Row],[CH4 24h, ml]]/Table3.110[[#This Row],[DM Incubated, mg]]*1000</f>
        <v>26.351237362054572</v>
      </c>
      <c r="AS1045" s="94">
        <f>Table3.110[[#This Row],[CH4 24h, ml]]/Table3.110[[#This Row],[Digested feed, mg]]*1000</f>
        <v>68.176685561210888</v>
      </c>
      <c r="AT1045" s="94">
        <f>Table3.110[[#This Row],[CH4 24h, ml]]/'3.2 Digest'!AA1045</f>
        <v>-0.48850741081787091</v>
      </c>
      <c r="AU1045" s="94">
        <f>((Table3.110[[#This Row],[CH4 24h, ml]]/28.9)*16.04)/Table3.110[[#This Row],[DM Incubated, mg]]*1000</f>
        <v>14.625392639700877</v>
      </c>
      <c r="AV1045" s="94">
        <f>((Table3.110[[#This Row],[CH4 24h, ml]]/28.9)*16.04)/Table3.110[[#This Row],[Digested feed, mg]]*1000</f>
        <v>37.839240013903897</v>
      </c>
      <c r="AW1045" s="94"/>
      <c r="AX1045" s="94"/>
    </row>
    <row r="1046" spans="2:50" x14ac:dyDescent="0.35">
      <c r="B1046" s="90">
        <f t="shared" si="16"/>
        <v>1036</v>
      </c>
      <c r="C1046" s="140">
        <v>46064</v>
      </c>
      <c r="D1046" s="6" t="s">
        <v>16</v>
      </c>
      <c r="E1046" s="6" t="s">
        <v>441</v>
      </c>
      <c r="F1046" s="242" t="s">
        <v>442</v>
      </c>
      <c r="G1046" s="242" t="s">
        <v>443</v>
      </c>
      <c r="H1046" s="6" t="s">
        <v>444</v>
      </c>
      <c r="I1046" s="133" t="s">
        <v>22</v>
      </c>
      <c r="J1046" s="135" t="s">
        <v>23</v>
      </c>
      <c r="K1046" s="135" t="s">
        <v>303</v>
      </c>
      <c r="L1046" s="6" t="s">
        <v>440</v>
      </c>
      <c r="M1046" s="256">
        <v>30</v>
      </c>
      <c r="N1046" s="256">
        <v>64</v>
      </c>
      <c r="O1046" s="256">
        <v>1</v>
      </c>
      <c r="P1046" s="257">
        <v>1</v>
      </c>
      <c r="Q1046" s="129">
        <v>170</v>
      </c>
      <c r="R1046" s="98">
        <v>0.50009999999999999</v>
      </c>
      <c r="S1046" s="94">
        <f>((Table3.110[[#This Row],[Sample weight, g]]*'2.1. DM'!Q281)/100)*1000</f>
        <v>481.10187867869877</v>
      </c>
      <c r="T1046" s="94">
        <f>'3.2 Digest'!W1046</f>
        <v>133.20187867869868</v>
      </c>
      <c r="U1046" s="117">
        <v>0.33819444444444446</v>
      </c>
      <c r="V1046" s="155">
        <v>41</v>
      </c>
      <c r="W1046" s="117">
        <v>0.68819444444444444</v>
      </c>
      <c r="X1046" s="97">
        <v>71</v>
      </c>
      <c r="Y1046" s="97">
        <v>13.3</v>
      </c>
      <c r="Z1046" s="155">
        <v>40</v>
      </c>
      <c r="AA1046" s="117">
        <v>0.35694444444444445</v>
      </c>
      <c r="AB1046" s="155">
        <v>70.5</v>
      </c>
      <c r="AC1046" s="155">
        <v>14.5</v>
      </c>
      <c r="AD1046" s="103"/>
      <c r="AE1046" s="94">
        <f>Table3.110[[#This Row],[Gas 8h, ml]]-Table3.110[[#This Row],[Gas 0h, ml]]</f>
        <v>30</v>
      </c>
      <c r="AF1046" s="94">
        <f>Table3.110[[#This Row],[Gas 24h, ml]]-Table3.110[[#This Row],[V8 Push back, ml]]</f>
        <v>30.5</v>
      </c>
      <c r="AG1046" s="94">
        <f>Table3.110[[#This Row],[GP 8h, ml]]-(AVERAGE(AE$982,AE$983,AE$1032,AE$1033,AE$1085,AE$1086))*$AG$8</f>
        <v>27.271229168713369</v>
      </c>
      <c r="AH1046" s="94">
        <f>Table3.110[[#This Row],[GP 8-24h, ml]]-(AVERAGE(AF$982,AF$983,AF$1032,AF$1033,AF$1085,AF$1086))*$AG$8</f>
        <v>26.849347131116534</v>
      </c>
      <c r="AI1046" s="94">
        <f>Table3.110[[#This Row],[Net gas 8-24h, ml]]+Table3.110[[#This Row],[Net gas 8h, ml]]</f>
        <v>54.120576299829906</v>
      </c>
      <c r="AJ1046" s="94">
        <f>Table3.110[[#This Row],[Net gas 8h, ml]]*Table3.110[[#This Row],[CH4 8h %]]%</f>
        <v>3.6270734794388781</v>
      </c>
      <c r="AK1046" s="94">
        <f>Table3.110[[#This Row],[Net gas 8-24h, ml]]*Table3.110[[#This Row],[CH4 24h, %]]%</f>
        <v>3.8931553340118974</v>
      </c>
      <c r="AL1046" s="94">
        <f>Table3.110[[#This Row],[CH4 8-24h, ml]]+Table3.110[[#This Row],[CH4 8h, ml]]</f>
        <v>7.5202288134507755</v>
      </c>
      <c r="AM1046" s="94">
        <f>(Table3.110[[#This Row],[Net gas 24h, ml]]/Table3.110[[#This Row],[DM Incubated, mg]])*1000</f>
        <v>112.49296396111984</v>
      </c>
      <c r="AN1046" s="94">
        <f>'3.2 Digest'!X1046</f>
        <v>27.686834032850825</v>
      </c>
      <c r="AO1046" s="94">
        <f>Table3.110[[#This Row],[Digested feed, mg]]/Table3.110[[#This Row],[Net gas 24h, ml]]</f>
        <v>2.4612058441646214</v>
      </c>
      <c r="AP1046" s="94">
        <f>Table3.110[[#This Row],[CH4 8h, ml]]/Table3.110[[#This Row],[Net gas 8h, ml]]%</f>
        <v>13.3</v>
      </c>
      <c r="AQ1046" s="94">
        <f>Table3.110[[#This Row],[CH4 24h, ml]]/Table3.110[[#This Row],[Net gas 24h, ml]]%</f>
        <v>13.895322865352435</v>
      </c>
      <c r="AR1046" s="94">
        <f>Table3.110[[#This Row],[CH4 24h, ml]]/Table3.110[[#This Row],[DM Incubated, mg]]*1000</f>
        <v>15.631260543202158</v>
      </c>
      <c r="AS1046" s="94">
        <f>Table3.110[[#This Row],[CH4 24h, ml]]/Table3.110[[#This Row],[Digested feed, mg]]*1000</f>
        <v>56.457377989319546</v>
      </c>
      <c r="AT1046" s="94">
        <f>Table3.110[[#This Row],[CH4 24h, ml]]/'3.2 Digest'!AA1046</f>
        <v>-0.46569177868968592</v>
      </c>
      <c r="AU1046" s="94">
        <f>((Table3.110[[#This Row],[CH4 24h, ml]]/28.9)*16.04)/Table3.110[[#This Row],[DM Incubated, mg]]*1000</f>
        <v>8.675620038510818</v>
      </c>
      <c r="AV1046" s="94">
        <f>((Table3.110[[#This Row],[CH4 24h, ml]]/28.9)*16.04)/Table3.110[[#This Row],[Digested feed, mg]]*1000</f>
        <v>31.334821555317838</v>
      </c>
      <c r="AW1046" s="94"/>
      <c r="AX1046" s="94"/>
    </row>
    <row r="1047" spans="2:50" x14ac:dyDescent="0.35">
      <c r="B1047" s="90">
        <f t="shared" si="16"/>
        <v>1037</v>
      </c>
      <c r="C1047" s="140">
        <v>46064</v>
      </c>
      <c r="D1047" s="6" t="s">
        <v>16</v>
      </c>
      <c r="E1047" s="6" t="s">
        <v>441</v>
      </c>
      <c r="F1047" s="242" t="s">
        <v>442</v>
      </c>
      <c r="G1047" s="242" t="s">
        <v>443</v>
      </c>
      <c r="H1047" s="6" t="s">
        <v>444</v>
      </c>
      <c r="I1047" s="133" t="s">
        <v>22</v>
      </c>
      <c r="J1047" s="135" t="s">
        <v>23</v>
      </c>
      <c r="K1047" s="135" t="s">
        <v>303</v>
      </c>
      <c r="L1047" s="6" t="s">
        <v>440</v>
      </c>
      <c r="M1047" s="256">
        <v>30</v>
      </c>
      <c r="N1047" s="256">
        <v>64</v>
      </c>
      <c r="O1047" s="256">
        <v>1</v>
      </c>
      <c r="P1047" s="257">
        <v>2</v>
      </c>
      <c r="Q1047" s="129">
        <v>171</v>
      </c>
      <c r="R1047" s="98">
        <v>0.50039999999999996</v>
      </c>
      <c r="S1047" s="94">
        <f>((Table3.110[[#This Row],[Sample weight, g]]*'2.1. DM'!Q281)/100)*1000</f>
        <v>481.39048208522468</v>
      </c>
      <c r="T1047" s="94">
        <f>'3.2 Digest'!W1047</f>
        <v>151.79048208522465</v>
      </c>
      <c r="U1047" s="117">
        <v>0.33888888888888891</v>
      </c>
      <c r="V1047" s="155">
        <v>40.5</v>
      </c>
      <c r="W1047" s="117">
        <v>0.68888888888888888</v>
      </c>
      <c r="X1047" s="97">
        <v>69</v>
      </c>
      <c r="Y1047" s="97">
        <v>13.2</v>
      </c>
      <c r="Z1047" s="155">
        <v>40</v>
      </c>
      <c r="AA1047" s="117">
        <v>0.3576388888888889</v>
      </c>
      <c r="AB1047" s="155">
        <v>72</v>
      </c>
      <c r="AC1047" s="155">
        <v>14.4</v>
      </c>
      <c r="AD1047" s="96"/>
      <c r="AE1047" s="94">
        <f>Table3.110[[#This Row],[Gas 8h, ml]]-Table3.110[[#This Row],[Gas 0h, ml]]</f>
        <v>28.5</v>
      </c>
      <c r="AF1047" s="94">
        <f>Table3.110[[#This Row],[Gas 24h, ml]]-Table3.110[[#This Row],[V8 Push back, ml]]</f>
        <v>32</v>
      </c>
      <c r="AG1047" s="94">
        <f>Table3.110[[#This Row],[GP 8h, ml]]-(AVERAGE(AE$982,AE$983,AE$1032,AE$1033,AE$1085,AE$1086))*$AG$8</f>
        <v>25.771229168713369</v>
      </c>
      <c r="AH1047" s="94">
        <f>Table3.110[[#This Row],[GP 8-24h, ml]]-(AVERAGE(AF$982,AF$983,AF$1032,AF$1033,AF$1085,AF$1086))*$AG$8</f>
        <v>28.349347131116534</v>
      </c>
      <c r="AI1047" s="94">
        <f>Table3.110[[#This Row],[Net gas 8-24h, ml]]+Table3.110[[#This Row],[Net gas 8h, ml]]</f>
        <v>54.120576299829906</v>
      </c>
      <c r="AJ1047" s="94">
        <f>Table3.110[[#This Row],[Net gas 8h, ml]]*Table3.110[[#This Row],[CH4 8h %]]%</f>
        <v>3.401802250270165</v>
      </c>
      <c r="AK1047" s="94">
        <f>Table3.110[[#This Row],[Net gas 8-24h, ml]]*Table3.110[[#This Row],[CH4 24h, %]]%</f>
        <v>4.0823059868807814</v>
      </c>
      <c r="AL1047" s="94">
        <f>Table3.110[[#This Row],[CH4 8-24h, ml]]+Table3.110[[#This Row],[CH4 8h, ml]]</f>
        <v>7.4841082371509469</v>
      </c>
      <c r="AM1047" s="94">
        <f>(Table3.110[[#This Row],[Net gas 24h, ml]]/Table3.110[[#This Row],[DM Incubated, mg]])*1000</f>
        <v>112.42552213620309</v>
      </c>
      <c r="AN1047" s="94">
        <f>'3.2 Digest'!X1047</f>
        <v>31.531674957036621</v>
      </c>
      <c r="AO1047" s="94">
        <f>Table3.110[[#This Row],[Digested feed, mg]]/Table3.110[[#This Row],[Net gas 24h, ml]]</f>
        <v>2.8046723162055778</v>
      </c>
      <c r="AP1047" s="94">
        <f>Table3.110[[#This Row],[CH4 8h, ml]]/Table3.110[[#This Row],[Net gas 8h, ml]]%</f>
        <v>13.200000000000003</v>
      </c>
      <c r="AQ1047" s="94">
        <f>Table3.110[[#This Row],[CH4 24h, ml]]/Table3.110[[#This Row],[Net gas 24h, ml]]%</f>
        <v>13.828581934694714</v>
      </c>
      <c r="AR1047" s="94">
        <f>Table3.110[[#This Row],[CH4 24h, ml]]/Table3.110[[#This Row],[DM Incubated, mg]]*1000</f>
        <v>15.546855444113188</v>
      </c>
      <c r="AS1047" s="94">
        <f>Table3.110[[#This Row],[CH4 24h, ml]]/Table3.110[[#This Row],[Digested feed, mg]]*1000</f>
        <v>49.305517278408153</v>
      </c>
      <c r="AT1047" s="94">
        <f>Table3.110[[#This Row],[CH4 24h, ml]]/'3.2 Digest'!AA1047</f>
        <v>-0.75043887260496711</v>
      </c>
      <c r="AU1047" s="94">
        <f>((Table3.110[[#This Row],[CH4 24h, ml]]/28.9)*16.04)/Table3.110[[#This Row],[DM Incubated, mg]]*1000</f>
        <v>8.6287737482206044</v>
      </c>
      <c r="AV1047" s="94">
        <f>((Table3.110[[#This Row],[CH4 24h, ml]]/28.9)*16.04)/Table3.110[[#This Row],[Digested feed, mg]]*1000</f>
        <v>27.365415126147635</v>
      </c>
      <c r="AW1047" s="94"/>
      <c r="AX1047" s="94"/>
    </row>
    <row r="1048" spans="2:50" x14ac:dyDescent="0.35">
      <c r="B1048" s="90">
        <f t="shared" si="16"/>
        <v>1038</v>
      </c>
      <c r="C1048" s="140">
        <v>46064</v>
      </c>
      <c r="D1048" s="6" t="s">
        <v>16</v>
      </c>
      <c r="E1048" s="6" t="s">
        <v>441</v>
      </c>
      <c r="F1048" s="242" t="s">
        <v>442</v>
      </c>
      <c r="G1048" s="242" t="s">
        <v>443</v>
      </c>
      <c r="H1048" s="6" t="s">
        <v>444</v>
      </c>
      <c r="I1048" s="133" t="s">
        <v>22</v>
      </c>
      <c r="J1048" s="135" t="s">
        <v>23</v>
      </c>
      <c r="K1048" s="135" t="s">
        <v>303</v>
      </c>
      <c r="L1048" s="6" t="s">
        <v>440</v>
      </c>
      <c r="M1048" s="256">
        <v>30</v>
      </c>
      <c r="N1048" s="256">
        <v>64</v>
      </c>
      <c r="O1048" s="256">
        <v>1</v>
      </c>
      <c r="P1048" s="257">
        <v>3</v>
      </c>
      <c r="Q1048" s="129">
        <v>172</v>
      </c>
      <c r="R1048" s="98">
        <v>0.5</v>
      </c>
      <c r="S1048" s="94">
        <f>((Table3.110[[#This Row],[Sample weight, g]]*'2.1. DM'!Q281)/100)*1000</f>
        <v>481.00567754319019</v>
      </c>
      <c r="T1048" s="94">
        <f>'3.2 Digest'!W1048</f>
        <v>175.20567754319012</v>
      </c>
      <c r="U1048" s="153">
        <v>0.33888888888888891</v>
      </c>
      <c r="V1048" s="155">
        <v>40.5</v>
      </c>
      <c r="W1048" s="153">
        <v>0.68888888888888888</v>
      </c>
      <c r="X1048" s="95">
        <v>69.5</v>
      </c>
      <c r="Y1048" s="95">
        <v>13.2</v>
      </c>
      <c r="Z1048" s="154">
        <v>40</v>
      </c>
      <c r="AA1048" s="153">
        <v>0.3576388888888889</v>
      </c>
      <c r="AB1048" s="154">
        <v>73.5</v>
      </c>
      <c r="AC1048" s="154">
        <v>14.4</v>
      </c>
      <c r="AD1048" s="91"/>
      <c r="AE1048" s="94">
        <f>Table3.110[[#This Row],[Gas 8h, ml]]-Table3.110[[#This Row],[Gas 0h, ml]]</f>
        <v>29</v>
      </c>
      <c r="AF1048" s="94">
        <f>Table3.110[[#This Row],[Gas 24h, ml]]-Table3.110[[#This Row],[V8 Push back, ml]]</f>
        <v>33.5</v>
      </c>
      <c r="AG1048" s="94">
        <f>Table3.110[[#This Row],[GP 8h, ml]]-(AVERAGE(AE$982,AE$983,AE$1032,AE$1033,AE$1085,AE$1086))*$AG$8</f>
        <v>26.271229168713369</v>
      </c>
      <c r="AH1048" s="94">
        <f>Table3.110[[#This Row],[GP 8-24h, ml]]-(AVERAGE(AF$982,AF$983,AF$1032,AF$1033,AF$1085,AF$1086))*$AG$8</f>
        <v>29.849347131116534</v>
      </c>
      <c r="AI1048" s="94">
        <f>Table3.110[[#This Row],[Net gas 8-24h, ml]]+Table3.110[[#This Row],[Net gas 8h, ml]]</f>
        <v>56.120576299829906</v>
      </c>
      <c r="AJ1048" s="94">
        <f>Table3.110[[#This Row],[Net gas 8h, ml]]*Table3.110[[#This Row],[CH4 8h %]]%</f>
        <v>3.4678022502701649</v>
      </c>
      <c r="AK1048" s="94">
        <f>Table3.110[[#This Row],[Net gas 8-24h, ml]]*Table3.110[[#This Row],[CH4 24h, %]]%</f>
        <v>4.2983059868807816</v>
      </c>
      <c r="AL1048" s="94">
        <f>Table3.110[[#This Row],[CH4 8-24h, ml]]+Table3.110[[#This Row],[CH4 8h, ml]]</f>
        <v>7.7661082371509469</v>
      </c>
      <c r="AM1048" s="94">
        <f>(Table3.110[[#This Row],[Net gas 24h, ml]]/Table3.110[[#This Row],[DM Incubated, mg]])*1000</f>
        <v>116.67341763297743</v>
      </c>
      <c r="AN1048" s="94">
        <f>'3.2 Digest'!X1048</f>
        <v>36.424866841090072</v>
      </c>
      <c r="AO1048" s="94">
        <f>Table3.110[[#This Row],[Digested feed, mg]]/Table3.110[[#This Row],[Net gas 24h, ml]]</f>
        <v>3.1219507905110579</v>
      </c>
      <c r="AP1048" s="94">
        <f>Table3.110[[#This Row],[CH4 8h, ml]]/Table3.110[[#This Row],[Net gas 8h, ml]]%</f>
        <v>13.200000000000001</v>
      </c>
      <c r="AQ1048" s="94">
        <f>Table3.110[[#This Row],[CH4 24h, ml]]/Table3.110[[#This Row],[Net gas 24h, ml]]%</f>
        <v>13.838254610322819</v>
      </c>
      <c r="AR1048" s="94">
        <f>Table3.110[[#This Row],[CH4 24h, ml]]/Table3.110[[#This Row],[DM Incubated, mg]]*1000</f>
        <v>16.145564594616697</v>
      </c>
      <c r="AS1048" s="94">
        <f>Table3.110[[#This Row],[CH4 24h, ml]]/Table3.110[[#This Row],[Digested feed, mg]]*1000</f>
        <v>44.325665389676175</v>
      </c>
      <c r="AT1048" s="94">
        <f>Table3.110[[#This Row],[CH4 24h, ml]]/'3.2 Digest'!AA1048</f>
        <v>-3.6743666307784717</v>
      </c>
      <c r="AU1048" s="94">
        <f>((Table3.110[[#This Row],[CH4 24h, ml]]/28.9)*16.04)/Table3.110[[#This Row],[DM Incubated, mg]]*1000</f>
        <v>8.9610676850398541</v>
      </c>
      <c r="AV1048" s="94">
        <f>((Table3.110[[#This Row],[CH4 24h, ml]]/28.9)*16.04)/Table3.110[[#This Row],[Digested feed, mg]]*1000</f>
        <v>24.601511171294316</v>
      </c>
      <c r="AW1048" s="94"/>
      <c r="AX1048" s="94"/>
    </row>
    <row r="1049" spans="2:50" x14ac:dyDescent="0.35">
      <c r="B1049" s="90">
        <f t="shared" si="16"/>
        <v>1039</v>
      </c>
      <c r="C1049" s="140">
        <v>46064</v>
      </c>
      <c r="D1049" s="6" t="s">
        <v>16</v>
      </c>
      <c r="E1049" s="6" t="s">
        <v>446</v>
      </c>
      <c r="F1049" s="242" t="s">
        <v>442</v>
      </c>
      <c r="G1049" s="242" t="s">
        <v>447</v>
      </c>
      <c r="H1049" s="6" t="s">
        <v>448</v>
      </c>
      <c r="I1049" s="133" t="s">
        <v>22</v>
      </c>
      <c r="J1049" s="135" t="s">
        <v>23</v>
      </c>
      <c r="K1049" s="135" t="s">
        <v>303</v>
      </c>
      <c r="L1049" s="6" t="s">
        <v>445</v>
      </c>
      <c r="M1049" s="256">
        <v>30</v>
      </c>
      <c r="N1049" s="256">
        <v>64</v>
      </c>
      <c r="O1049" s="256">
        <v>1</v>
      </c>
      <c r="P1049" s="257">
        <v>1</v>
      </c>
      <c r="Q1049" s="129">
        <v>173</v>
      </c>
      <c r="R1049" s="98">
        <v>0.50019999999999998</v>
      </c>
      <c r="S1049" s="94">
        <f>((Table3.110[[#This Row],[Sample weight, g]]*'2.1. DM'!Q283)/100)*1000</f>
        <v>476.65000976069012</v>
      </c>
      <c r="T1049" s="94">
        <f>'3.2 Digest'!W1049</f>
        <v>155.65000976069018</v>
      </c>
      <c r="U1049" s="117">
        <v>0.33958333333333335</v>
      </c>
      <c r="V1049" s="155">
        <v>41</v>
      </c>
      <c r="W1049" s="117">
        <v>0.68958333333333333</v>
      </c>
      <c r="X1049" s="97">
        <v>76</v>
      </c>
      <c r="Y1049" s="97">
        <v>13.1</v>
      </c>
      <c r="Z1049" s="155">
        <v>40</v>
      </c>
      <c r="AA1049" s="117">
        <v>0.35833333333333334</v>
      </c>
      <c r="AB1049" s="155">
        <v>73</v>
      </c>
      <c r="AC1049" s="155">
        <v>15.4</v>
      </c>
      <c r="AD1049" s="96"/>
      <c r="AE1049" s="94">
        <f>Table3.110[[#This Row],[Gas 8h, ml]]-Table3.110[[#This Row],[Gas 0h, ml]]</f>
        <v>35</v>
      </c>
      <c r="AF1049" s="94">
        <f>Table3.110[[#This Row],[Gas 24h, ml]]-Table3.110[[#This Row],[V8 Push back, ml]]</f>
        <v>33</v>
      </c>
      <c r="AG1049" s="94">
        <f>Table3.110[[#This Row],[GP 8h, ml]]-(AVERAGE(AE$982,AE$983,AE$1032,AE$1033,AE$1085,AE$1086))*$AG$8</f>
        <v>32.271229168713369</v>
      </c>
      <c r="AH1049" s="94">
        <f>Table3.110[[#This Row],[GP 8-24h, ml]]-(AVERAGE(AF$982,AF$983,AF$1032,AF$1033,AF$1085,AF$1086))*$AG$8</f>
        <v>29.349347131116534</v>
      </c>
      <c r="AI1049" s="94">
        <f>Table3.110[[#This Row],[Net gas 8-24h, ml]]+Table3.110[[#This Row],[Net gas 8h, ml]]</f>
        <v>61.620576299829906</v>
      </c>
      <c r="AJ1049" s="94">
        <f>Table3.110[[#This Row],[Net gas 8h, ml]]*Table3.110[[#This Row],[CH4 8h %]]%</f>
        <v>4.2275310211014512</v>
      </c>
      <c r="AK1049" s="94">
        <f>Table3.110[[#This Row],[Net gas 8-24h, ml]]*Table3.110[[#This Row],[CH4 24h, %]]%</f>
        <v>4.5197994581919465</v>
      </c>
      <c r="AL1049" s="94">
        <f>Table3.110[[#This Row],[CH4 8-24h, ml]]+Table3.110[[#This Row],[CH4 8h, ml]]</f>
        <v>8.7473304792933977</v>
      </c>
      <c r="AM1049" s="94">
        <f>(Table3.110[[#This Row],[Net gas 24h, ml]]/Table3.110[[#This Row],[DM Incubated, mg]])*1000</f>
        <v>129.278453871778</v>
      </c>
      <c r="AN1049" s="94">
        <f>'3.2 Digest'!X1049</f>
        <v>32.65498931571129</v>
      </c>
      <c r="AO1049" s="94">
        <f>Table3.110[[#This Row],[Digested feed, mg]]/Table3.110[[#This Row],[Net gas 24h, ml]]</f>
        <v>2.5259421301634246</v>
      </c>
      <c r="AP1049" s="94">
        <f>Table3.110[[#This Row],[CH4 8h, ml]]/Table3.110[[#This Row],[Net gas 8h, ml]]%</f>
        <v>13.1</v>
      </c>
      <c r="AQ1049" s="94">
        <f>Table3.110[[#This Row],[CH4 24h, ml]]/Table3.110[[#This Row],[Net gas 24h, ml]]%</f>
        <v>14.195470092215841</v>
      </c>
      <c r="AR1049" s="94">
        <f>Table3.110[[#This Row],[CH4 24h, ml]]/Table3.110[[#This Row],[DM Incubated, mg]]*1000</f>
        <v>18.351684255047299</v>
      </c>
      <c r="AS1049" s="94">
        <f>Table3.110[[#This Row],[CH4 24h, ml]]/Table3.110[[#This Row],[Digested feed, mg]]*1000</f>
        <v>56.198714620977547</v>
      </c>
      <c r="AT1049" s="94">
        <f>Table3.110[[#This Row],[CH4 24h, ml]]/'3.2 Digest'!AA1049</f>
        <v>-0.36875311598386173</v>
      </c>
      <c r="AU1049" s="94">
        <f>((Table3.110[[#This Row],[CH4 24h, ml]]/28.9)*16.04)/Table3.110[[#This Row],[DM Incubated, mg]]*1000</f>
        <v>10.185502264739055</v>
      </c>
      <c r="AV1049" s="94">
        <f>((Table3.110[[#This Row],[CH4 24h, ml]]/28.9)*16.04)/Table3.110[[#This Row],[Digested feed, mg]]*1000</f>
        <v>31.191258910743251</v>
      </c>
      <c r="AW1049" s="94"/>
      <c r="AX1049" s="94"/>
    </row>
    <row r="1050" spans="2:50" x14ac:dyDescent="0.35">
      <c r="B1050" s="90">
        <f t="shared" si="16"/>
        <v>1040</v>
      </c>
      <c r="C1050" s="140">
        <v>46064</v>
      </c>
      <c r="D1050" s="6" t="s">
        <v>16</v>
      </c>
      <c r="E1050" s="6" t="s">
        <v>446</v>
      </c>
      <c r="F1050" s="242" t="s">
        <v>442</v>
      </c>
      <c r="G1050" s="242" t="s">
        <v>447</v>
      </c>
      <c r="H1050" s="6" t="s">
        <v>448</v>
      </c>
      <c r="I1050" s="133" t="s">
        <v>22</v>
      </c>
      <c r="J1050" s="135" t="s">
        <v>23</v>
      </c>
      <c r="K1050" s="135" t="s">
        <v>303</v>
      </c>
      <c r="L1050" s="6" t="s">
        <v>445</v>
      </c>
      <c r="M1050" s="256">
        <v>30</v>
      </c>
      <c r="N1050" s="256">
        <v>64</v>
      </c>
      <c r="O1050" s="256">
        <v>1</v>
      </c>
      <c r="P1050" s="257">
        <v>2</v>
      </c>
      <c r="Q1050" s="129">
        <v>174</v>
      </c>
      <c r="R1050" s="98">
        <v>0.5</v>
      </c>
      <c r="S1050" s="94">
        <f>((Table3.110[[#This Row],[Sample weight, g]]*'2.1. DM'!Q283)/100)*1000</f>
        <v>476.45942599029394</v>
      </c>
      <c r="T1050" s="94">
        <f>'3.2 Digest'!W1050</f>
        <v>133.65942599029381</v>
      </c>
      <c r="U1050" s="153">
        <v>0.33958333333333335</v>
      </c>
      <c r="V1050" s="155">
        <v>40.5</v>
      </c>
      <c r="W1050" s="153">
        <v>0.68958333333333333</v>
      </c>
      <c r="X1050" s="95">
        <v>75</v>
      </c>
      <c r="Y1050" s="95">
        <v>12.9</v>
      </c>
      <c r="Z1050" s="154">
        <v>40</v>
      </c>
      <c r="AA1050" s="153">
        <v>0.35833333333333334</v>
      </c>
      <c r="AB1050" s="154">
        <v>80.5</v>
      </c>
      <c r="AC1050" s="154">
        <v>15.3</v>
      </c>
      <c r="AD1050" s="91"/>
      <c r="AE1050" s="94">
        <f>Table3.110[[#This Row],[Gas 8h, ml]]-Table3.110[[#This Row],[Gas 0h, ml]]</f>
        <v>34.5</v>
      </c>
      <c r="AF1050" s="94">
        <f>Table3.110[[#This Row],[Gas 24h, ml]]-Table3.110[[#This Row],[V8 Push back, ml]]</f>
        <v>40.5</v>
      </c>
      <c r="AG1050" s="94">
        <f>Table3.110[[#This Row],[GP 8h, ml]]-(AVERAGE(AE$982,AE$983,AE$1032,AE$1033,AE$1085,AE$1086))*$AG$8</f>
        <v>31.771229168713369</v>
      </c>
      <c r="AH1050" s="94">
        <f>Table3.110[[#This Row],[GP 8-24h, ml]]-(AVERAGE(AF$982,AF$983,AF$1032,AF$1033,AF$1085,AF$1086))*$AG$8</f>
        <v>36.849347131116531</v>
      </c>
      <c r="AI1050" s="94">
        <f>Table3.110[[#This Row],[Net gas 8-24h, ml]]+Table3.110[[#This Row],[Net gas 8h, ml]]</f>
        <v>68.620576299829906</v>
      </c>
      <c r="AJ1050" s="94">
        <f>Table3.110[[#This Row],[Net gas 8h, ml]]*Table3.110[[#This Row],[CH4 8h %]]%</f>
        <v>4.0984885627640244</v>
      </c>
      <c r="AK1050" s="94">
        <f>Table3.110[[#This Row],[Net gas 8-24h, ml]]*Table3.110[[#This Row],[CH4 24h, %]]%</f>
        <v>5.637950111060829</v>
      </c>
      <c r="AL1050" s="94">
        <f>Table3.110[[#This Row],[CH4 8-24h, ml]]+Table3.110[[#This Row],[CH4 8h, ml]]</f>
        <v>9.7364386738248534</v>
      </c>
      <c r="AM1050" s="94">
        <f>(Table3.110[[#This Row],[Net gas 24h, ml]]/Table3.110[[#This Row],[DM Incubated, mg]])*1000</f>
        <v>144.02186745955527</v>
      </c>
      <c r="AN1050" s="94">
        <f>'3.2 Digest'!X1050</f>
        <v>28.052635481497774</v>
      </c>
      <c r="AO1050" s="94">
        <f>Table3.110[[#This Row],[Digested feed, mg]]/Table3.110[[#This Row],[Net gas 24h, ml]]</f>
        <v>1.9478038978612473</v>
      </c>
      <c r="AP1050" s="94">
        <f>Table3.110[[#This Row],[CH4 8h, ml]]/Table3.110[[#This Row],[Net gas 8h, ml]]%</f>
        <v>12.9</v>
      </c>
      <c r="AQ1050" s="94">
        <f>Table3.110[[#This Row],[CH4 24h, ml]]/Table3.110[[#This Row],[Net gas 24h, ml]]%</f>
        <v>14.188803415585696</v>
      </c>
      <c r="AR1050" s="94">
        <f>Table3.110[[#This Row],[CH4 24h, ml]]/Table3.110[[#This Row],[DM Incubated, mg]]*1000</f>
        <v>20.43497964929168</v>
      </c>
      <c r="AS1050" s="94">
        <f>Table3.110[[#This Row],[CH4 24h, ml]]/Table3.110[[#This Row],[Digested feed, mg]]*1000</f>
        <v>72.845133081238146</v>
      </c>
      <c r="AT1050" s="94">
        <f>Table3.110[[#This Row],[CH4 24h, ml]]/'3.2 Digest'!AA1050</f>
        <v>-0.30259485345001647</v>
      </c>
      <c r="AU1050" s="94">
        <f>((Table3.110[[#This Row],[CH4 24h, ml]]/28.9)*16.04)/Table3.110[[#This Row],[DM Incubated, mg]]*1000</f>
        <v>11.341767251717599</v>
      </c>
      <c r="AV1050" s="94">
        <f>((Table3.110[[#This Row],[CH4 24h, ml]]/28.9)*16.04)/Table3.110[[#This Row],[Digested feed, mg]]*1000</f>
        <v>40.430309156507263</v>
      </c>
      <c r="AW1050" s="94"/>
      <c r="AX1050" s="94"/>
    </row>
    <row r="1051" spans="2:50" x14ac:dyDescent="0.35">
      <c r="B1051" s="90">
        <f t="shared" si="16"/>
        <v>1041</v>
      </c>
      <c r="C1051" s="140">
        <v>46064</v>
      </c>
      <c r="D1051" s="6" t="s">
        <v>16</v>
      </c>
      <c r="E1051" s="6" t="s">
        <v>446</v>
      </c>
      <c r="F1051" s="242" t="s">
        <v>442</v>
      </c>
      <c r="G1051" s="242" t="s">
        <v>447</v>
      </c>
      <c r="H1051" s="6" t="s">
        <v>448</v>
      </c>
      <c r="I1051" s="133" t="s">
        <v>22</v>
      </c>
      <c r="J1051" s="135" t="s">
        <v>23</v>
      </c>
      <c r="K1051" s="135" t="s">
        <v>303</v>
      </c>
      <c r="L1051" s="6" t="s">
        <v>445</v>
      </c>
      <c r="M1051" s="256">
        <v>30</v>
      </c>
      <c r="N1051" s="256">
        <v>64</v>
      </c>
      <c r="O1051" s="256">
        <v>1</v>
      </c>
      <c r="P1051" s="257">
        <v>3</v>
      </c>
      <c r="Q1051" s="129">
        <v>175</v>
      </c>
      <c r="R1051" s="98">
        <v>0.50039999999999996</v>
      </c>
      <c r="S1051" s="94">
        <f>((Table3.110[[#This Row],[Sample weight, g]]*'2.1. DM'!Q283)/100)*1000</f>
        <v>476.84059353108614</v>
      </c>
      <c r="T1051" s="94">
        <f>'3.2 Digest'!W1051</f>
        <v>73.440593531086165</v>
      </c>
      <c r="U1051" s="117">
        <v>0.33958333333333335</v>
      </c>
      <c r="V1051" s="155">
        <v>40.5</v>
      </c>
      <c r="W1051" s="117">
        <v>0.69027777777777777</v>
      </c>
      <c r="X1051" s="97">
        <v>75</v>
      </c>
      <c r="Y1051" s="97">
        <v>13.1</v>
      </c>
      <c r="Z1051" s="155">
        <v>40</v>
      </c>
      <c r="AA1051" s="117">
        <v>0.35902777777777778</v>
      </c>
      <c r="AB1051" s="155">
        <v>73</v>
      </c>
      <c r="AC1051" s="155">
        <v>15.5</v>
      </c>
      <c r="AD1051" s="96"/>
      <c r="AE1051" s="94">
        <f>Table3.110[[#This Row],[Gas 8h, ml]]-Table3.110[[#This Row],[Gas 0h, ml]]</f>
        <v>34.5</v>
      </c>
      <c r="AF1051" s="94">
        <f>Table3.110[[#This Row],[Gas 24h, ml]]-Table3.110[[#This Row],[V8 Push back, ml]]</f>
        <v>33</v>
      </c>
      <c r="AG1051" s="94"/>
      <c r="AH1051" s="94"/>
      <c r="AI1051" s="94"/>
      <c r="AJ1051" s="94"/>
      <c r="AK1051" s="94"/>
      <c r="AL1051" s="94"/>
      <c r="AM1051" s="94"/>
      <c r="AN1051" s="94"/>
      <c r="AO1051" s="94"/>
      <c r="AP1051" s="94"/>
      <c r="AQ1051" s="94"/>
      <c r="AR1051" s="94"/>
      <c r="AS1051" s="94"/>
      <c r="AT1051" s="94"/>
      <c r="AU1051" s="94"/>
      <c r="AV1051" s="94"/>
      <c r="AW1051" s="94" t="s">
        <v>666</v>
      </c>
      <c r="AX1051" s="94"/>
    </row>
    <row r="1052" spans="2:50" x14ac:dyDescent="0.35">
      <c r="B1052" s="90">
        <f t="shared" si="16"/>
        <v>1042</v>
      </c>
      <c r="C1052" s="140">
        <v>46064</v>
      </c>
      <c r="D1052" s="6" t="s">
        <v>16</v>
      </c>
      <c r="E1052" s="6" t="s">
        <v>450</v>
      </c>
      <c r="F1052" s="242" t="s">
        <v>442</v>
      </c>
      <c r="G1052" s="242" t="s">
        <v>451</v>
      </c>
      <c r="H1052" s="6" t="s">
        <v>452</v>
      </c>
      <c r="I1052" s="133" t="s">
        <v>22</v>
      </c>
      <c r="J1052" s="135" t="s">
        <v>23</v>
      </c>
      <c r="K1052" s="135" t="s">
        <v>303</v>
      </c>
      <c r="L1052" s="6" t="s">
        <v>449</v>
      </c>
      <c r="M1052" s="256">
        <v>30</v>
      </c>
      <c r="N1052" s="256">
        <v>64</v>
      </c>
      <c r="O1052" s="256">
        <v>1</v>
      </c>
      <c r="P1052" s="257">
        <v>1</v>
      </c>
      <c r="Q1052" s="129">
        <v>176</v>
      </c>
      <c r="R1052" s="98">
        <v>0.50009999999999999</v>
      </c>
      <c r="S1052" s="94">
        <f>((Table3.110[[#This Row],[Sample weight, g]]*'2.1. DM'!Q285)/100)*1000</f>
        <v>482.27582118440796</v>
      </c>
      <c r="T1052" s="94">
        <f>'3.2 Digest'!W1052</f>
        <v>112.57582118440791</v>
      </c>
      <c r="U1052" s="153">
        <v>0.34027777777777779</v>
      </c>
      <c r="V1052" s="155">
        <v>41</v>
      </c>
      <c r="W1052" s="153">
        <v>0.69097222222222221</v>
      </c>
      <c r="X1052" s="95">
        <v>75</v>
      </c>
      <c r="Y1052" s="95">
        <v>14</v>
      </c>
      <c r="Z1052" s="154">
        <v>40</v>
      </c>
      <c r="AA1052" s="153">
        <v>0.35902777777777778</v>
      </c>
      <c r="AB1052" s="154">
        <v>72.5</v>
      </c>
      <c r="AC1052" s="154">
        <v>16.7</v>
      </c>
      <c r="AD1052" s="91"/>
      <c r="AE1052" s="94">
        <f>Table3.110[[#This Row],[Gas 8h, ml]]-Table3.110[[#This Row],[Gas 0h, ml]]</f>
        <v>34</v>
      </c>
      <c r="AF1052" s="94">
        <f>Table3.110[[#This Row],[Gas 24h, ml]]-Table3.110[[#This Row],[V8 Push back, ml]]</f>
        <v>32.5</v>
      </c>
      <c r="AG1052" s="94">
        <f>Table3.110[[#This Row],[GP 8h, ml]]-(AVERAGE(AE$982,AE$983,AE$1032,AE$1033,AE$1085,AE$1086))*$AG$8</f>
        <v>31.271229168713369</v>
      </c>
      <c r="AH1052" s="94">
        <f>Table3.110[[#This Row],[GP 8-24h, ml]]-(AVERAGE(AF$982,AF$983,AF$1032,AF$1033,AF$1085,AF$1086))*$AG$8</f>
        <v>28.849347131116534</v>
      </c>
      <c r="AI1052" s="94">
        <f>Table3.110[[#This Row],[Net gas 8-24h, ml]]+Table3.110[[#This Row],[Net gas 8h, ml]]</f>
        <v>60.120576299829906</v>
      </c>
      <c r="AJ1052" s="94">
        <f>Table3.110[[#This Row],[Net gas 8h, ml]]*Table3.110[[#This Row],[CH4 8h %]]%</f>
        <v>4.3779720836198717</v>
      </c>
      <c r="AK1052" s="94">
        <f>Table3.110[[#This Row],[Net gas 8-24h, ml]]*Table3.110[[#This Row],[CH4 24h, %]]%</f>
        <v>4.8178409708964605</v>
      </c>
      <c r="AL1052" s="94">
        <f>Table3.110[[#This Row],[CH4 8-24h, ml]]+Table3.110[[#This Row],[CH4 8h, ml]]</f>
        <v>9.1958130545163321</v>
      </c>
      <c r="AM1052" s="94">
        <f>(Table3.110[[#This Row],[Net gas 24h, ml]]/Table3.110[[#This Row],[DM Incubated, mg]])*1000</f>
        <v>124.66015018580329</v>
      </c>
      <c r="AN1052" s="94">
        <f>'3.2 Digest'!X1052</f>
        <v>23.342621844059288</v>
      </c>
      <c r="AO1052" s="94">
        <f>Table3.110[[#This Row],[Digested feed, mg]]/Table3.110[[#This Row],[Net gas 24h, ml]]</f>
        <v>1.8725006996435996</v>
      </c>
      <c r="AP1052" s="94">
        <f>Table3.110[[#This Row],[CH4 8h, ml]]/Table3.110[[#This Row],[Net gas 8h, ml]]%</f>
        <v>14.000000000000002</v>
      </c>
      <c r="AQ1052" s="94">
        <f>Table3.110[[#This Row],[CH4 24h, ml]]/Table3.110[[#This Row],[Net gas 24h, ml]]%</f>
        <v>15.295616942617945</v>
      </c>
      <c r="AR1052" s="94">
        <f>Table3.110[[#This Row],[CH4 24h, ml]]/Table3.110[[#This Row],[DM Incubated, mg]]*1000</f>
        <v>19.067539052512704</v>
      </c>
      <c r="AS1052" s="94">
        <f>Table3.110[[#This Row],[CH4 24h, ml]]/Table3.110[[#This Row],[Digested feed, mg]]*1000</f>
        <v>81.685507223197405</v>
      </c>
      <c r="AT1052" s="94">
        <f>Table3.110[[#This Row],[CH4 24h, ml]]/'3.2 Digest'!AA1052</f>
        <v>-0.31629946517666896</v>
      </c>
      <c r="AU1052" s="94">
        <f>((Table3.110[[#This Row],[CH4 24h, ml]]/28.9)*16.04)/Table3.110[[#This Row],[DM Incubated, mg]]*1000</f>
        <v>10.58281406236345</v>
      </c>
      <c r="AV1052" s="94">
        <f>((Table3.110[[#This Row],[CH4 24h, ml]]/28.9)*16.04)/Table3.110[[#This Row],[Digested feed, mg]]*1000</f>
        <v>45.33686975294416</v>
      </c>
      <c r="AW1052" s="94"/>
      <c r="AX1052" s="94"/>
    </row>
    <row r="1053" spans="2:50" x14ac:dyDescent="0.35">
      <c r="B1053" s="90">
        <f t="shared" si="16"/>
        <v>1043</v>
      </c>
      <c r="C1053" s="140">
        <v>46064</v>
      </c>
      <c r="D1053" s="6" t="s">
        <v>16</v>
      </c>
      <c r="E1053" s="6" t="s">
        <v>450</v>
      </c>
      <c r="F1053" s="242" t="s">
        <v>442</v>
      </c>
      <c r="G1053" s="242" t="s">
        <v>451</v>
      </c>
      <c r="H1053" s="6" t="s">
        <v>452</v>
      </c>
      <c r="I1053" s="133" t="s">
        <v>22</v>
      </c>
      <c r="J1053" s="135" t="s">
        <v>23</v>
      </c>
      <c r="K1053" s="135" t="s">
        <v>303</v>
      </c>
      <c r="L1053" s="6" t="s">
        <v>449</v>
      </c>
      <c r="M1053" s="256">
        <v>30</v>
      </c>
      <c r="N1053" s="256">
        <v>64</v>
      </c>
      <c r="O1053" s="256">
        <v>1</v>
      </c>
      <c r="P1053" s="257">
        <v>2</v>
      </c>
      <c r="Q1053" s="129">
        <v>177</v>
      </c>
      <c r="R1053" s="98">
        <v>0.50019999999999998</v>
      </c>
      <c r="S1053" s="94">
        <f>((Table3.110[[#This Row],[Sample weight, g]]*'2.1. DM'!Q285)/100)*1000</f>
        <v>482.3722570614695</v>
      </c>
      <c r="T1053" s="94">
        <f>'3.2 Digest'!W1053</f>
        <v>117.47225706146952</v>
      </c>
      <c r="U1053" s="117">
        <v>0.34027777777777779</v>
      </c>
      <c r="V1053" s="155">
        <v>41</v>
      </c>
      <c r="W1053" s="117">
        <v>0.69097222222222221</v>
      </c>
      <c r="X1053" s="97">
        <v>74.5</v>
      </c>
      <c r="Y1053" s="97">
        <v>13.9</v>
      </c>
      <c r="Z1053" s="155">
        <v>40</v>
      </c>
      <c r="AA1053" s="117">
        <v>0.35972222222222222</v>
      </c>
      <c r="AB1053" s="155">
        <v>69.5</v>
      </c>
      <c r="AC1053" s="155">
        <v>16.5</v>
      </c>
      <c r="AD1053" s="96"/>
      <c r="AE1053" s="94">
        <f>Table3.110[[#This Row],[Gas 8h, ml]]-Table3.110[[#This Row],[Gas 0h, ml]]</f>
        <v>33.5</v>
      </c>
      <c r="AF1053" s="94">
        <f>Table3.110[[#This Row],[Gas 24h, ml]]-Table3.110[[#This Row],[V8 Push back, ml]]</f>
        <v>29.5</v>
      </c>
      <c r="AG1053" s="94">
        <f>Table3.110[[#This Row],[GP 8h, ml]]-(AVERAGE(AE$982,AE$983,AE$1032,AE$1033,AE$1085,AE$1086))*$AG$8</f>
        <v>30.771229168713369</v>
      </c>
      <c r="AH1053" s="94">
        <f>Table3.110[[#This Row],[GP 8-24h, ml]]-(AVERAGE(AF$982,AF$983,AF$1032,AF$1033,AF$1085,AF$1086))*$AG$8</f>
        <v>25.849347131116534</v>
      </c>
      <c r="AI1053" s="94">
        <f>Table3.110[[#This Row],[Net gas 8-24h, ml]]+Table3.110[[#This Row],[Net gas 8h, ml]]</f>
        <v>56.620576299829906</v>
      </c>
      <c r="AJ1053" s="94">
        <f>Table3.110[[#This Row],[Net gas 8h, ml]]*Table3.110[[#This Row],[CH4 8h %]]%</f>
        <v>4.2772008544511584</v>
      </c>
      <c r="AK1053" s="94">
        <f>Table3.110[[#This Row],[Net gas 8-24h, ml]]*Table3.110[[#This Row],[CH4 24h, %]]%</f>
        <v>4.2651422766342284</v>
      </c>
      <c r="AL1053" s="94">
        <f>Table3.110[[#This Row],[CH4 8-24h, ml]]+Table3.110[[#This Row],[CH4 8h, ml]]</f>
        <v>8.5423431310853868</v>
      </c>
      <c r="AM1053" s="94">
        <f>(Table3.110[[#This Row],[Net gas 24h, ml]]/Table3.110[[#This Row],[DM Incubated, mg]])*1000</f>
        <v>117.37942112333101</v>
      </c>
      <c r="AN1053" s="94">
        <f>'3.2 Digest'!X1053</f>
        <v>24.353029292582189</v>
      </c>
      <c r="AO1053" s="94">
        <f>Table3.110[[#This Row],[Digested feed, mg]]/Table3.110[[#This Row],[Net gas 24h, ml]]</f>
        <v>2.0747273295030455</v>
      </c>
      <c r="AP1053" s="94">
        <f>Table3.110[[#This Row],[CH4 8h, ml]]/Table3.110[[#This Row],[Net gas 8h, ml]]%</f>
        <v>13.899999999999999</v>
      </c>
      <c r="AQ1053" s="94">
        <f>Table3.110[[#This Row],[CH4 24h, ml]]/Table3.110[[#This Row],[Net gas 24h, ml]]%</f>
        <v>15.086994321375441</v>
      </c>
      <c r="AR1053" s="94">
        <f>Table3.110[[#This Row],[CH4 24h, ml]]/Table3.110[[#This Row],[DM Incubated, mg]]*1000</f>
        <v>17.709026599340312</v>
      </c>
      <c r="AS1053" s="94">
        <f>Table3.110[[#This Row],[CH4 24h, ml]]/Table3.110[[#This Row],[Digested feed, mg]]*1000</f>
        <v>72.717962051375665</v>
      </c>
      <c r="AT1053" s="94">
        <f>Table3.110[[#This Row],[CH4 24h, ml]]/'3.2 Digest'!AA1053</f>
        <v>-0.31208517837223104</v>
      </c>
      <c r="AU1053" s="94">
        <f>((Table3.110[[#This Row],[CH4 24h, ml]]/28.9)*16.04)/Table3.110[[#This Row],[DM Incubated, mg]]*1000</f>
        <v>9.8288161471771147</v>
      </c>
      <c r="AV1053" s="94">
        <f>((Table3.110[[#This Row],[CH4 24h, ml]]/28.9)*16.04)/Table3.110[[#This Row],[Digested feed, mg]]*1000</f>
        <v>40.359727034742754</v>
      </c>
      <c r="AW1053" s="94"/>
      <c r="AX1053" s="94"/>
    </row>
    <row r="1054" spans="2:50" x14ac:dyDescent="0.35">
      <c r="B1054" s="90">
        <f t="shared" si="16"/>
        <v>1044</v>
      </c>
      <c r="C1054" s="140">
        <v>46064</v>
      </c>
      <c r="D1054" s="6" t="s">
        <v>16</v>
      </c>
      <c r="E1054" s="6" t="s">
        <v>450</v>
      </c>
      <c r="F1054" s="242" t="s">
        <v>442</v>
      </c>
      <c r="G1054" s="242" t="s">
        <v>451</v>
      </c>
      <c r="H1054" s="6" t="s">
        <v>452</v>
      </c>
      <c r="I1054" s="133" t="s">
        <v>22</v>
      </c>
      <c r="J1054" s="135" t="s">
        <v>23</v>
      </c>
      <c r="K1054" s="135" t="s">
        <v>303</v>
      </c>
      <c r="L1054" s="6" t="s">
        <v>449</v>
      </c>
      <c r="M1054" s="256">
        <v>30</v>
      </c>
      <c r="N1054" s="256">
        <v>64</v>
      </c>
      <c r="O1054" s="256">
        <v>1</v>
      </c>
      <c r="P1054" s="257">
        <v>3</v>
      </c>
      <c r="Q1054" s="129">
        <v>178</v>
      </c>
      <c r="R1054" s="98">
        <v>0.50039999999999996</v>
      </c>
      <c r="S1054" s="94">
        <f>((Table3.110[[#This Row],[Sample weight, g]]*'2.1. DM'!Q285)/100)*1000</f>
        <v>482.5651288155924</v>
      </c>
      <c r="T1054" s="94">
        <f>'3.2 Digest'!W1054</f>
        <v>181.46512881559238</v>
      </c>
      <c r="U1054" s="153">
        <v>0.34027777777777779</v>
      </c>
      <c r="V1054" s="155">
        <v>41</v>
      </c>
      <c r="W1054" s="153">
        <v>0.69166666666666665</v>
      </c>
      <c r="X1054" s="95">
        <v>76</v>
      </c>
      <c r="Y1054" s="95">
        <v>13.8</v>
      </c>
      <c r="Z1054" s="154">
        <v>40</v>
      </c>
      <c r="AA1054" s="153">
        <v>0.36041666666666666</v>
      </c>
      <c r="AB1054" s="154">
        <v>72.5</v>
      </c>
      <c r="AC1054" s="154">
        <v>16.5</v>
      </c>
      <c r="AD1054" s="91"/>
      <c r="AE1054" s="94">
        <f>Table3.110[[#This Row],[Gas 8h, ml]]-Table3.110[[#This Row],[Gas 0h, ml]]</f>
        <v>35</v>
      </c>
      <c r="AF1054" s="94">
        <f>Table3.110[[#This Row],[Gas 24h, ml]]-Table3.110[[#This Row],[V8 Push back, ml]]</f>
        <v>32.5</v>
      </c>
      <c r="AG1054" s="94">
        <f>Table3.110[[#This Row],[GP 8h, ml]]-(AVERAGE(AE$982,AE$983,AE$1032,AE$1033,AE$1085,AE$1086))*$AG$8</f>
        <v>32.271229168713369</v>
      </c>
      <c r="AH1054" s="94">
        <f>Table3.110[[#This Row],[GP 8-24h, ml]]-(AVERAGE(AF$982,AF$983,AF$1032,AF$1033,AF$1085,AF$1086))*$AG$8</f>
        <v>28.849347131116534</v>
      </c>
      <c r="AI1054" s="94">
        <f>Table3.110[[#This Row],[Net gas 8-24h, ml]]+Table3.110[[#This Row],[Net gas 8h, ml]]</f>
        <v>61.120576299829906</v>
      </c>
      <c r="AJ1054" s="94">
        <f>Table3.110[[#This Row],[Net gas 8h, ml]]*Table3.110[[#This Row],[CH4 8h %]]%</f>
        <v>4.4534296252824452</v>
      </c>
      <c r="AK1054" s="94">
        <f>Table3.110[[#This Row],[Net gas 8-24h, ml]]*Table3.110[[#This Row],[CH4 24h, %]]%</f>
        <v>4.7601422766342285</v>
      </c>
      <c r="AL1054" s="94">
        <f>Table3.110[[#This Row],[CH4 8-24h, ml]]+Table3.110[[#This Row],[CH4 8h, ml]]</f>
        <v>9.2135719019166729</v>
      </c>
      <c r="AM1054" s="94">
        <f>(Table3.110[[#This Row],[Net gas 24h, ml]]/Table3.110[[#This Row],[DM Incubated, mg]])*1000</f>
        <v>126.65767302715017</v>
      </c>
      <c r="AN1054" s="94">
        <f>'3.2 Digest'!X1054</f>
        <v>37.604277221808438</v>
      </c>
      <c r="AO1054" s="94">
        <f>Table3.110[[#This Row],[Digested feed, mg]]/Table3.110[[#This Row],[Net gas 24h, ml]]</f>
        <v>2.9689695320509828</v>
      </c>
      <c r="AP1054" s="94">
        <f>Table3.110[[#This Row],[CH4 8h, ml]]/Table3.110[[#This Row],[Net gas 8h, ml]]%</f>
        <v>13.800000000000002</v>
      </c>
      <c r="AQ1054" s="94">
        <f>Table3.110[[#This Row],[CH4 24h, ml]]/Table3.110[[#This Row],[Net gas 24h, ml]]%</f>
        <v>15.074419221309459</v>
      </c>
      <c r="AR1054" s="94">
        <f>Table3.110[[#This Row],[CH4 24h, ml]]/Table3.110[[#This Row],[DM Incubated, mg]]*1000</f>
        <v>19.092908608068011</v>
      </c>
      <c r="AS1054" s="94">
        <f>Table3.110[[#This Row],[CH4 24h, ml]]/Table3.110[[#This Row],[Digested feed, mg]]*1000</f>
        <v>50.773236500328636</v>
      </c>
      <c r="AT1054" s="94">
        <f>Table3.110[[#This Row],[CH4 24h, ml]]/'3.2 Digest'!AA1054</f>
        <v>-1.8209268618674785</v>
      </c>
      <c r="AU1054" s="94">
        <f>((Table3.110[[#This Row],[CH4 24h, ml]]/28.9)*16.04)/Table3.110[[#This Row],[DM Incubated, mg]]*1000</f>
        <v>10.596894604616294</v>
      </c>
      <c r="AV1054" s="94">
        <f>((Table3.110[[#This Row],[CH4 24h, ml]]/28.9)*16.04)/Table3.110[[#This Row],[Digested feed, mg]]*1000</f>
        <v>28.180024687379632</v>
      </c>
      <c r="AW1054" s="94"/>
      <c r="AX1054" s="94"/>
    </row>
    <row r="1055" spans="2:50" x14ac:dyDescent="0.35">
      <c r="B1055" s="90">
        <f t="shared" si="16"/>
        <v>1045</v>
      </c>
      <c r="C1055" s="140">
        <v>46064</v>
      </c>
      <c r="D1055" s="6" t="s">
        <v>16</v>
      </c>
      <c r="E1055" s="6" t="s">
        <v>454</v>
      </c>
      <c r="F1055" s="242" t="s">
        <v>442</v>
      </c>
      <c r="G1055" s="242" t="s">
        <v>455</v>
      </c>
      <c r="H1055" s="6" t="s">
        <v>456</v>
      </c>
      <c r="I1055" s="133" t="s">
        <v>22</v>
      </c>
      <c r="J1055" s="135" t="s">
        <v>23</v>
      </c>
      <c r="K1055" s="135" t="s">
        <v>303</v>
      </c>
      <c r="L1055" s="6" t="s">
        <v>453</v>
      </c>
      <c r="M1055" s="256">
        <v>30</v>
      </c>
      <c r="N1055" s="256">
        <v>64</v>
      </c>
      <c r="O1055" s="256">
        <v>1</v>
      </c>
      <c r="P1055" s="257">
        <v>1</v>
      </c>
      <c r="Q1055" s="129">
        <v>179</v>
      </c>
      <c r="R1055" s="98">
        <v>0.5</v>
      </c>
      <c r="S1055" s="94">
        <f>((Table3.110[[#This Row],[Sample weight, g]]*'2.1. DM'!Q287)/100)*1000</f>
        <v>478.33586433505769</v>
      </c>
      <c r="T1055" s="94">
        <f>'3.2 Digest'!W1055</f>
        <v>151.73586433505767</v>
      </c>
      <c r="U1055" s="117">
        <v>0.34027777777777779</v>
      </c>
      <c r="V1055" s="155">
        <v>41</v>
      </c>
      <c r="W1055" s="117">
        <v>0.69166666666666665</v>
      </c>
      <c r="X1055" s="97">
        <v>72.5</v>
      </c>
      <c r="Y1055" s="97">
        <v>13.6</v>
      </c>
      <c r="Z1055" s="155">
        <v>40</v>
      </c>
      <c r="AA1055" s="117">
        <v>0.36041666666666666</v>
      </c>
      <c r="AB1055" s="155">
        <v>76.599999999999994</v>
      </c>
      <c r="AC1055" s="155">
        <v>16</v>
      </c>
      <c r="AD1055" s="96"/>
      <c r="AE1055" s="94">
        <f>Table3.110[[#This Row],[Gas 8h, ml]]-Table3.110[[#This Row],[Gas 0h, ml]]</f>
        <v>31.5</v>
      </c>
      <c r="AF1055" s="94">
        <f>Table3.110[[#This Row],[Gas 24h, ml]]-Table3.110[[#This Row],[V8 Push back, ml]]</f>
        <v>36.599999999999994</v>
      </c>
      <c r="AG1055" s="94">
        <f>Table3.110[[#This Row],[GP 8h, ml]]-(AVERAGE(AE$982,AE$983,AE$1032,AE$1033,AE$1085,AE$1086))*$AG$8</f>
        <v>28.771229168713369</v>
      </c>
      <c r="AH1055" s="94">
        <f>Table3.110[[#This Row],[GP 8-24h, ml]]-(AVERAGE(AF$982,AF$983,AF$1032,AF$1033,AF$1085,AF$1086))*$AG$8</f>
        <v>32.949347131116525</v>
      </c>
      <c r="AI1055" s="94">
        <f>Table3.110[[#This Row],[Net gas 8-24h, ml]]+Table3.110[[#This Row],[Net gas 8h, ml]]</f>
        <v>61.720576299829894</v>
      </c>
      <c r="AJ1055" s="94">
        <f>Table3.110[[#This Row],[Net gas 8h, ml]]*Table3.110[[#This Row],[CH4 8h %]]%</f>
        <v>3.9128871669450183</v>
      </c>
      <c r="AK1055" s="94">
        <f>Table3.110[[#This Row],[Net gas 8-24h, ml]]*Table3.110[[#This Row],[CH4 24h, %]]%</f>
        <v>5.2718955409786439</v>
      </c>
      <c r="AL1055" s="94">
        <f>Table3.110[[#This Row],[CH4 8-24h, ml]]+Table3.110[[#This Row],[CH4 8h, ml]]</f>
        <v>9.184782707923663</v>
      </c>
      <c r="AM1055" s="94">
        <f>(Table3.110[[#This Row],[Net gas 24h, ml]]/Table3.110[[#This Row],[DM Incubated, mg]])*1000</f>
        <v>129.03188094756106</v>
      </c>
      <c r="AN1055" s="94">
        <f>'3.2 Digest'!X1055</f>
        <v>31.721615636324511</v>
      </c>
      <c r="AO1055" s="94">
        <f>Table3.110[[#This Row],[Digested feed, mg]]/Table3.110[[#This Row],[Net gas 24h, ml]]</f>
        <v>2.4584323969683326</v>
      </c>
      <c r="AP1055" s="94">
        <f>Table3.110[[#This Row],[CH4 8h, ml]]/Table3.110[[#This Row],[Net gas 8h, ml]]%</f>
        <v>13.6</v>
      </c>
      <c r="AQ1055" s="94">
        <f>Table3.110[[#This Row],[CH4 24h, ml]]/Table3.110[[#This Row],[Net gas 24h, ml]]%</f>
        <v>14.881232902468826</v>
      </c>
      <c r="AR1055" s="94">
        <f>Table3.110[[#This Row],[CH4 24h, ml]]/Table3.110[[#This Row],[DM Incubated, mg]]*1000</f>
        <v>19.201534722242865</v>
      </c>
      <c r="AS1055" s="94">
        <f>Table3.110[[#This Row],[CH4 24h, ml]]/Table3.110[[#This Row],[Digested feed, mg]]*1000</f>
        <v>60.531389518051952</v>
      </c>
      <c r="AT1055" s="94">
        <f>Table3.110[[#This Row],[CH4 24h, ml]]/'3.2 Digest'!AA1055</f>
        <v>-0.77983786405060063</v>
      </c>
      <c r="AU1055" s="94">
        <f>((Table3.110[[#This Row],[CH4 24h, ml]]/28.9)*16.04)/Table3.110[[#This Row],[DM Incubated, mg]]*1000</f>
        <v>10.657183977327875</v>
      </c>
      <c r="AV1055" s="94">
        <f>((Table3.110[[#This Row],[CH4 24h, ml]]/28.9)*16.04)/Table3.110[[#This Row],[Digested feed, mg]]*1000</f>
        <v>33.595968438392852</v>
      </c>
      <c r="AW1055" s="94"/>
      <c r="AX1055" s="94"/>
    </row>
    <row r="1056" spans="2:50" x14ac:dyDescent="0.35">
      <c r="B1056" s="90">
        <f t="shared" si="16"/>
        <v>1046</v>
      </c>
      <c r="C1056" s="140">
        <v>46064</v>
      </c>
      <c r="D1056" s="6" t="s">
        <v>16</v>
      </c>
      <c r="E1056" s="6" t="s">
        <v>454</v>
      </c>
      <c r="F1056" s="242" t="s">
        <v>442</v>
      </c>
      <c r="G1056" s="242" t="s">
        <v>455</v>
      </c>
      <c r="H1056" s="6" t="s">
        <v>456</v>
      </c>
      <c r="I1056" s="133" t="s">
        <v>22</v>
      </c>
      <c r="J1056" s="135" t="s">
        <v>23</v>
      </c>
      <c r="K1056" s="135" t="s">
        <v>303</v>
      </c>
      <c r="L1056" s="6" t="s">
        <v>453</v>
      </c>
      <c r="M1056" s="256">
        <v>30</v>
      </c>
      <c r="N1056" s="256">
        <v>64</v>
      </c>
      <c r="O1056" s="256">
        <v>1</v>
      </c>
      <c r="P1056" s="257">
        <v>2</v>
      </c>
      <c r="Q1056" s="129">
        <v>180</v>
      </c>
      <c r="R1056" s="98">
        <v>0.50009999999999999</v>
      </c>
      <c r="S1056" s="94">
        <f>((Table3.110[[#This Row],[Sample weight, g]]*'2.1. DM'!Q287)/100)*1000</f>
        <v>478.43153150792472</v>
      </c>
      <c r="T1056" s="94">
        <f>'3.2 Digest'!W1056</f>
        <v>169.33153150792469</v>
      </c>
      <c r="U1056" s="153">
        <v>0.34097222222222223</v>
      </c>
      <c r="V1056" s="155">
        <v>41</v>
      </c>
      <c r="W1056" s="153">
        <v>0.69236111111111109</v>
      </c>
      <c r="X1056" s="95">
        <v>74.5</v>
      </c>
      <c r="Y1056" s="95">
        <v>13.2</v>
      </c>
      <c r="Z1056" s="154">
        <v>40</v>
      </c>
      <c r="AA1056" s="153">
        <v>0.36041666666666666</v>
      </c>
      <c r="AB1056" s="154">
        <v>80</v>
      </c>
      <c r="AC1056" s="154">
        <v>16.2</v>
      </c>
      <c r="AD1056" s="91"/>
      <c r="AE1056" s="94">
        <f>Table3.110[[#This Row],[Gas 8h, ml]]-Table3.110[[#This Row],[Gas 0h, ml]]</f>
        <v>33.5</v>
      </c>
      <c r="AF1056" s="94">
        <f>Table3.110[[#This Row],[Gas 24h, ml]]-Table3.110[[#This Row],[V8 Push back, ml]]</f>
        <v>40</v>
      </c>
      <c r="AG1056" s="94">
        <f>Table3.110[[#This Row],[GP 8h, ml]]-(AVERAGE(AE$982,AE$983,AE$1032,AE$1033,AE$1085,AE$1086))*$AG$8</f>
        <v>30.771229168713369</v>
      </c>
      <c r="AH1056" s="94">
        <f>Table3.110[[#This Row],[GP 8-24h, ml]]-(AVERAGE(AF$982,AF$983,AF$1032,AF$1033,AF$1085,AF$1086))*$AG$8</f>
        <v>36.349347131116531</v>
      </c>
      <c r="AI1056" s="94">
        <f>Table3.110[[#This Row],[Net gas 8-24h, ml]]+Table3.110[[#This Row],[Net gas 8h, ml]]</f>
        <v>67.120576299829906</v>
      </c>
      <c r="AJ1056" s="94">
        <f>Table3.110[[#This Row],[Net gas 8h, ml]]*Table3.110[[#This Row],[CH4 8h %]]%</f>
        <v>4.0618022502701647</v>
      </c>
      <c r="AK1056" s="94">
        <f>Table3.110[[#This Row],[Net gas 8-24h, ml]]*Table3.110[[#This Row],[CH4 24h, %]]%</f>
        <v>5.8885942352408778</v>
      </c>
      <c r="AL1056" s="94">
        <f>Table3.110[[#This Row],[CH4 8-24h, ml]]+Table3.110[[#This Row],[CH4 8h, ml]]</f>
        <v>9.9503964855110425</v>
      </c>
      <c r="AM1056" s="94">
        <f>(Table3.110[[#This Row],[Net gas 24h, ml]]/Table3.110[[#This Row],[DM Incubated, mg]])*1000</f>
        <v>140.2929612274481</v>
      </c>
      <c r="AN1056" s="94">
        <f>'3.2 Digest'!X1056</f>
        <v>35.393054252553988</v>
      </c>
      <c r="AO1056" s="94">
        <f>Table3.110[[#This Row],[Digested feed, mg]]/Table3.110[[#This Row],[Net gas 24h, ml]]</f>
        <v>2.522796150490648</v>
      </c>
      <c r="AP1056" s="94">
        <f>Table3.110[[#This Row],[CH4 8h, ml]]/Table3.110[[#This Row],[Net gas 8h, ml]]%</f>
        <v>13.2</v>
      </c>
      <c r="AQ1056" s="94">
        <f>Table3.110[[#This Row],[CH4 24h, ml]]/Table3.110[[#This Row],[Net gas 24h, ml]]%</f>
        <v>14.824658896047438</v>
      </c>
      <c r="AR1056" s="94">
        <f>Table3.110[[#This Row],[CH4 24h, ml]]/Table3.110[[#This Row],[DM Incubated, mg]]*1000</f>
        <v>20.797952957133269</v>
      </c>
      <c r="AS1056" s="94">
        <f>Table3.110[[#This Row],[CH4 24h, ml]]/Table3.110[[#This Row],[Digested feed, mg]]*1000</f>
        <v>58.762809247050157</v>
      </c>
      <c r="AT1056" s="94">
        <f>Table3.110[[#This Row],[CH4 24h, ml]]/'3.2 Digest'!AA1056</f>
        <v>-1.7253014629312649</v>
      </c>
      <c r="AU1056" s="94">
        <f>((Table3.110[[#This Row],[CH4 24h, ml]]/28.9)*16.04)/Table3.110[[#This Row],[DM Incubated, mg]]*1000</f>
        <v>11.543223717384693</v>
      </c>
      <c r="AV1056" s="94">
        <f>((Table3.110[[#This Row],[CH4 24h, ml]]/28.9)*16.04)/Table3.110[[#This Row],[Digested feed, mg]]*1000</f>
        <v>32.61437578971227</v>
      </c>
      <c r="AW1056" s="94"/>
      <c r="AX1056" s="94"/>
    </row>
    <row r="1057" spans="2:50" x14ac:dyDescent="0.35">
      <c r="B1057" s="90">
        <f t="shared" si="16"/>
        <v>1047</v>
      </c>
      <c r="C1057" s="140">
        <v>46064</v>
      </c>
      <c r="D1057" s="6" t="s">
        <v>16</v>
      </c>
      <c r="E1057" s="6" t="s">
        <v>454</v>
      </c>
      <c r="F1057" s="242" t="s">
        <v>442</v>
      </c>
      <c r="G1057" s="242" t="s">
        <v>455</v>
      </c>
      <c r="H1057" s="6" t="s">
        <v>456</v>
      </c>
      <c r="I1057" s="133" t="s">
        <v>22</v>
      </c>
      <c r="J1057" s="135" t="s">
        <v>23</v>
      </c>
      <c r="K1057" s="135" t="s">
        <v>303</v>
      </c>
      <c r="L1057" s="6" t="s">
        <v>453</v>
      </c>
      <c r="M1057" s="256">
        <v>30</v>
      </c>
      <c r="N1057" s="256">
        <v>64</v>
      </c>
      <c r="O1057" s="256">
        <v>1</v>
      </c>
      <c r="P1057" s="257">
        <v>3</v>
      </c>
      <c r="Q1057" s="129">
        <v>181</v>
      </c>
      <c r="R1057" s="98">
        <v>0.50039999999999996</v>
      </c>
      <c r="S1057" s="94">
        <f>((Table3.110[[#This Row],[Sample weight, g]]*'2.1. DM'!Q287)/100)*1000</f>
        <v>478.71853302652573</v>
      </c>
      <c r="T1057" s="94">
        <f>'3.2 Digest'!W1057</f>
        <v>89.318533026525756</v>
      </c>
      <c r="U1057" s="117">
        <v>0.34097222222222223</v>
      </c>
      <c r="V1057" s="155">
        <v>41</v>
      </c>
      <c r="W1057" s="117">
        <v>0.69305555555555554</v>
      </c>
      <c r="X1057" s="97">
        <v>74</v>
      </c>
      <c r="Y1057" s="97">
        <v>13.2</v>
      </c>
      <c r="Z1057" s="155">
        <v>40</v>
      </c>
      <c r="AA1057" s="117">
        <v>0.3611111111111111</v>
      </c>
      <c r="AB1057" s="155">
        <v>76.5</v>
      </c>
      <c r="AC1057" s="155">
        <v>16.399999999999999</v>
      </c>
      <c r="AD1057" s="96"/>
      <c r="AE1057" s="94">
        <f>Table3.110[[#This Row],[Gas 8h, ml]]-Table3.110[[#This Row],[Gas 0h, ml]]</f>
        <v>33</v>
      </c>
      <c r="AF1057" s="94">
        <f>Table3.110[[#This Row],[Gas 24h, ml]]-Table3.110[[#This Row],[V8 Push back, ml]]</f>
        <v>36.5</v>
      </c>
      <c r="AG1057" s="94">
        <f>Table3.110[[#This Row],[GP 8h, ml]]-(AVERAGE(AE$982,AE$983,AE$1032,AE$1033,AE$1085,AE$1086))*$AG$8</f>
        <v>30.271229168713369</v>
      </c>
      <c r="AH1057" s="94">
        <f>Table3.110[[#This Row],[GP 8-24h, ml]]-(AVERAGE(AF$982,AF$983,AF$1032,AF$1033,AF$1085,AF$1086))*$AG$8</f>
        <v>32.849347131116531</v>
      </c>
      <c r="AI1057" s="94">
        <f>Table3.110[[#This Row],[Net gas 8-24h, ml]]+Table3.110[[#This Row],[Net gas 8h, ml]]</f>
        <v>63.120576299829899</v>
      </c>
      <c r="AJ1057" s="94">
        <f>Table3.110[[#This Row],[Net gas 8h, ml]]*Table3.110[[#This Row],[CH4 8h %]]%</f>
        <v>3.9958022502701649</v>
      </c>
      <c r="AK1057" s="94">
        <f>Table3.110[[#This Row],[Net gas 8-24h, ml]]*Table3.110[[#This Row],[CH4 24h, %]]%</f>
        <v>5.3872929295031105</v>
      </c>
      <c r="AL1057" s="94">
        <f>Table3.110[[#This Row],[CH4 8-24h, ml]]+Table3.110[[#This Row],[CH4 8h, ml]]</f>
        <v>9.3830951797732745</v>
      </c>
      <c r="AM1057" s="94">
        <f>(Table3.110[[#This Row],[Net gas 24h, ml]]/Table3.110[[#This Row],[DM Incubated, mg]])*1000</f>
        <v>131.85321215949747</v>
      </c>
      <c r="AN1057" s="94">
        <f>'3.2 Digest'!X1057</f>
        <v>18.657838973110451</v>
      </c>
      <c r="AO1057" s="94">
        <f>Table3.110[[#This Row],[Digested feed, mg]]/Table3.110[[#This Row],[Net gas 24h, ml]]</f>
        <v>1.4150462220473494</v>
      </c>
      <c r="AP1057" s="94">
        <f>Table3.110[[#This Row],[CH4 8h, ml]]/Table3.110[[#This Row],[Net gas 8h, ml]]%</f>
        <v>13.2</v>
      </c>
      <c r="AQ1057" s="94">
        <f>Table3.110[[#This Row],[CH4 24h, ml]]/Table3.110[[#This Row],[Net gas 24h, ml]]%</f>
        <v>14.865350935965013</v>
      </c>
      <c r="AR1057" s="94">
        <f>Table3.110[[#This Row],[CH4 24h, ml]]/Table3.110[[#This Row],[DM Incubated, mg]]*1000</f>
        <v>19.600442707851794</v>
      </c>
      <c r="AS1057" s="94">
        <f>Table3.110[[#This Row],[CH4 24h, ml]]/Table3.110[[#This Row],[Digested feed, mg]]*1000</f>
        <v>105.05205204150285</v>
      </c>
      <c r="AT1057" s="94">
        <f>Table3.110[[#This Row],[CH4 24h, ml]]/'3.2 Digest'!AA1057</f>
        <v>-0.28292690458039954</v>
      </c>
      <c r="AU1057" s="94">
        <f>((Table3.110[[#This Row],[CH4 24h, ml]]/28.9)*16.04)/Table3.110[[#This Row],[DM Incubated, mg]]*1000</f>
        <v>10.878584810863071</v>
      </c>
      <c r="AV1057" s="94">
        <f>((Table3.110[[#This Row],[CH4 24h, ml]]/28.9)*16.04)/Table3.110[[#This Row],[Digested feed, mg]]*1000</f>
        <v>58.305706392584966</v>
      </c>
      <c r="AW1057" s="94"/>
      <c r="AX1057" s="94"/>
    </row>
    <row r="1058" spans="2:50" x14ac:dyDescent="0.35">
      <c r="B1058" s="90">
        <f t="shared" si="16"/>
        <v>1048</v>
      </c>
      <c r="C1058" s="140">
        <v>46064</v>
      </c>
      <c r="D1058" s="6" t="s">
        <v>16</v>
      </c>
      <c r="E1058" s="6" t="s">
        <v>458</v>
      </c>
      <c r="F1058" s="242" t="s">
        <v>333</v>
      </c>
      <c r="G1058" s="242" t="s">
        <v>438</v>
      </c>
      <c r="H1058" s="6" t="s">
        <v>439</v>
      </c>
      <c r="I1058" s="133" t="s">
        <v>22</v>
      </c>
      <c r="J1058" s="135" t="s">
        <v>23</v>
      </c>
      <c r="K1058" s="135" t="s">
        <v>303</v>
      </c>
      <c r="L1058" s="6" t="s">
        <v>457</v>
      </c>
      <c r="M1058" s="256">
        <v>30</v>
      </c>
      <c r="N1058" s="256">
        <v>64</v>
      </c>
      <c r="O1058" s="256">
        <v>1</v>
      </c>
      <c r="P1058" s="257">
        <v>1</v>
      </c>
      <c r="Q1058" s="129">
        <v>182</v>
      </c>
      <c r="R1058" s="98">
        <v>0.50049999999999994</v>
      </c>
      <c r="S1058" s="94">
        <f>((Table3.110[[#This Row],[Sample weight, g]]*'2.1. DM'!Q289)/100)*1000</f>
        <v>477.8819627349061</v>
      </c>
      <c r="T1058" s="94">
        <f>'3.2 Digest'!W1058</f>
        <v>173.58196273490609</v>
      </c>
      <c r="U1058" s="153">
        <v>0.34097222222222223</v>
      </c>
      <c r="V1058" s="155">
        <v>41</v>
      </c>
      <c r="W1058" s="153">
        <v>0.69305555555555554</v>
      </c>
      <c r="X1058" s="95">
        <v>77.5</v>
      </c>
      <c r="Y1058" s="95">
        <v>13.9</v>
      </c>
      <c r="Z1058" s="154">
        <v>40.5</v>
      </c>
      <c r="AA1058" s="153">
        <v>0.3611111111111111</v>
      </c>
      <c r="AB1058" s="154">
        <v>81</v>
      </c>
      <c r="AC1058" s="154">
        <v>13.8</v>
      </c>
      <c r="AD1058" s="91"/>
      <c r="AE1058" s="94">
        <f>Table3.110[[#This Row],[Gas 8h, ml]]-Table3.110[[#This Row],[Gas 0h, ml]]</f>
        <v>36.5</v>
      </c>
      <c r="AF1058" s="94">
        <f>Table3.110[[#This Row],[Gas 24h, ml]]-Table3.110[[#This Row],[V8 Push back, ml]]</f>
        <v>40.5</v>
      </c>
      <c r="AG1058" s="94">
        <f>Table3.110[[#This Row],[GP 8h, ml]]-(AVERAGE(AE$982,AE$983,AE$1032,AE$1033,AE$1085,AE$1086))*$AG$8</f>
        <v>33.771229168713369</v>
      </c>
      <c r="AH1058" s="94">
        <f>Table3.110[[#This Row],[GP 8-24h, ml]]-(AVERAGE(AF$982,AF$983,AF$1032,AF$1033,AF$1085,AF$1086))*$AG$8</f>
        <v>36.849347131116531</v>
      </c>
      <c r="AI1058" s="94">
        <f>Table3.110[[#This Row],[Net gas 8-24h, ml]]+Table3.110[[#This Row],[Net gas 8h, ml]]</f>
        <v>70.620576299829906</v>
      </c>
      <c r="AJ1058" s="94">
        <f>Table3.110[[#This Row],[Net gas 8h, ml]]*Table3.110[[#This Row],[CH4 8h %]]%</f>
        <v>4.6942008544511591</v>
      </c>
      <c r="AK1058" s="94">
        <f>Table3.110[[#This Row],[Net gas 8-24h, ml]]*Table3.110[[#This Row],[CH4 24h, %]]%</f>
        <v>5.0852099040940812</v>
      </c>
      <c r="AL1058" s="94">
        <f>Table3.110[[#This Row],[CH4 8-24h, ml]]+Table3.110[[#This Row],[CH4 8h, ml]]</f>
        <v>9.7794107585452394</v>
      </c>
      <c r="AM1058" s="94">
        <f>(Table3.110[[#This Row],[Net gas 24h, ml]]/Table3.110[[#This Row],[DM Incubated, mg]])*1000</f>
        <v>147.77828377465889</v>
      </c>
      <c r="AN1058" s="94">
        <f>'3.2 Digest'!X1058</f>
        <v>36.323187789198194</v>
      </c>
      <c r="AO1058" s="94">
        <f>Table3.110[[#This Row],[Digested feed, mg]]/Table3.110[[#This Row],[Net gas 24h, ml]]</f>
        <v>2.4579516598383262</v>
      </c>
      <c r="AP1058" s="94">
        <f>Table3.110[[#This Row],[CH4 8h, ml]]/Table3.110[[#This Row],[Net gas 8h, ml]]%</f>
        <v>13.900000000000002</v>
      </c>
      <c r="AQ1058" s="94">
        <f>Table3.110[[#This Row],[CH4 24h, ml]]/Table3.110[[#This Row],[Net gas 24h, ml]]%</f>
        <v>13.847820664936705</v>
      </c>
      <c r="AR1058" s="94">
        <f>Table3.110[[#This Row],[CH4 24h, ml]]/Table3.110[[#This Row],[DM Incubated, mg]]*1000</f>
        <v>20.464071718836017</v>
      </c>
      <c r="AS1058" s="94">
        <f>Table3.110[[#This Row],[CH4 24h, ml]]/Table3.110[[#This Row],[Digested feed, mg]]*1000</f>
        <v>56.338864963062605</v>
      </c>
      <c r="AT1058" s="94">
        <f>Table3.110[[#This Row],[CH4 24h, ml]]/'3.2 Digest'!AA1058</f>
        <v>-0.25457571845582566</v>
      </c>
      <c r="AU1058" s="94">
        <f>((Table3.110[[#This Row],[CH4 24h, ml]]/28.9)*16.04)/Table3.110[[#This Row],[DM Incubated, mg]]*1000</f>
        <v>11.357913853637706</v>
      </c>
      <c r="AV1058" s="94">
        <f>((Table3.110[[#This Row],[CH4 24h, ml]]/28.9)*16.04)/Table3.110[[#This Row],[Digested feed, mg]]*1000</f>
        <v>31.26904477534686</v>
      </c>
      <c r="AW1058" s="94"/>
      <c r="AX1058" s="94"/>
    </row>
    <row r="1059" spans="2:50" x14ac:dyDescent="0.35">
      <c r="B1059" s="90">
        <f t="shared" si="16"/>
        <v>1049</v>
      </c>
      <c r="C1059" s="140">
        <v>46064</v>
      </c>
      <c r="D1059" s="6" t="s">
        <v>16</v>
      </c>
      <c r="E1059" s="6" t="s">
        <v>458</v>
      </c>
      <c r="F1059" s="242" t="s">
        <v>333</v>
      </c>
      <c r="G1059" s="242" t="s">
        <v>438</v>
      </c>
      <c r="H1059" s="6" t="s">
        <v>439</v>
      </c>
      <c r="I1059" s="133" t="s">
        <v>22</v>
      </c>
      <c r="J1059" s="135" t="s">
        <v>23</v>
      </c>
      <c r="K1059" s="135" t="s">
        <v>303</v>
      </c>
      <c r="L1059" s="6" t="s">
        <v>457</v>
      </c>
      <c r="M1059" s="256">
        <v>30</v>
      </c>
      <c r="N1059" s="256">
        <v>64</v>
      </c>
      <c r="O1059" s="256">
        <v>1</v>
      </c>
      <c r="P1059" s="257">
        <v>2</v>
      </c>
      <c r="Q1059" s="129">
        <v>183</v>
      </c>
      <c r="R1059" s="98">
        <v>0.5</v>
      </c>
      <c r="S1059" s="94">
        <f>((Table3.110[[#This Row],[Sample weight, g]]*'2.1. DM'!Q289)/100)*1000</f>
        <v>477.40455817672938</v>
      </c>
      <c r="T1059" s="94">
        <f>'3.2 Digest'!W1059</f>
        <v>254.90455817672947</v>
      </c>
      <c r="U1059" s="117">
        <v>0.34166666666666667</v>
      </c>
      <c r="V1059" s="155">
        <v>41</v>
      </c>
      <c r="W1059" s="117">
        <v>0.69374999999999998</v>
      </c>
      <c r="X1059" s="97">
        <v>79</v>
      </c>
      <c r="Y1059" s="97">
        <v>13.9</v>
      </c>
      <c r="Z1059" s="155">
        <v>40.5</v>
      </c>
      <c r="AA1059" s="117">
        <v>0.36180555555555555</v>
      </c>
      <c r="AB1059" s="155">
        <v>79.5</v>
      </c>
      <c r="AC1059" s="155">
        <v>13.5</v>
      </c>
      <c r="AD1059" s="96"/>
      <c r="AE1059" s="94">
        <f>Table3.110[[#This Row],[Gas 8h, ml]]-Table3.110[[#This Row],[Gas 0h, ml]]</f>
        <v>38</v>
      </c>
      <c r="AF1059" s="94">
        <f>Table3.110[[#This Row],[Gas 24h, ml]]-Table3.110[[#This Row],[V8 Push back, ml]]</f>
        <v>39</v>
      </c>
      <c r="AG1059" s="94">
        <f>Table3.110[[#This Row],[GP 8h, ml]]-(AVERAGE(AE$982,AE$983,AE$1032,AE$1033,AE$1085,AE$1086))*$AG$8</f>
        <v>35.271229168713369</v>
      </c>
      <c r="AH1059" s="94">
        <f>Table3.110[[#This Row],[GP 8-24h, ml]]-(AVERAGE(AF$982,AF$983,AF$1032,AF$1033,AF$1085,AF$1086))*$AG$8</f>
        <v>35.349347131116531</v>
      </c>
      <c r="AI1059" s="94">
        <f>Table3.110[[#This Row],[Net gas 8-24h, ml]]+Table3.110[[#This Row],[Net gas 8h, ml]]</f>
        <v>70.620576299829906</v>
      </c>
      <c r="AJ1059" s="94">
        <f>Table3.110[[#This Row],[Net gas 8h, ml]]*Table3.110[[#This Row],[CH4 8h %]]%</f>
        <v>4.902700854451159</v>
      </c>
      <c r="AK1059" s="94">
        <f>Table3.110[[#This Row],[Net gas 8-24h, ml]]*Table3.110[[#This Row],[CH4 24h, %]]%</f>
        <v>4.7721618627007318</v>
      </c>
      <c r="AL1059" s="94">
        <f>Table3.110[[#This Row],[CH4 8-24h, ml]]+Table3.110[[#This Row],[CH4 8h, ml]]</f>
        <v>9.6748627171518908</v>
      </c>
      <c r="AM1059" s="94">
        <f>(Table3.110[[#This Row],[Net gas 24h, ml]]/Table3.110[[#This Row],[DM Incubated, mg]])*1000</f>
        <v>147.92606205843353</v>
      </c>
      <c r="AN1059" s="94">
        <f>'3.2 Digest'!X1059</f>
        <v>53.393825804731186</v>
      </c>
      <c r="AO1059" s="94">
        <f>Table3.110[[#This Row],[Digested feed, mg]]/Table3.110[[#This Row],[Net gas 24h, ml]]</f>
        <v>3.6094941663247715</v>
      </c>
      <c r="AP1059" s="94">
        <f>Table3.110[[#This Row],[CH4 8h, ml]]/Table3.110[[#This Row],[Net gas 8h, ml]]%</f>
        <v>13.900000000000002</v>
      </c>
      <c r="AQ1059" s="94">
        <f>Table3.110[[#This Row],[CH4 24h, ml]]/Table3.110[[#This Row],[Net gas 24h, ml]]%</f>
        <v>13.69977876713418</v>
      </c>
      <c r="AR1059" s="94">
        <f>Table3.110[[#This Row],[CH4 24h, ml]]/Table3.110[[#This Row],[DM Incubated, mg]]*1000</f>
        <v>20.265543240939007</v>
      </c>
      <c r="AS1059" s="94">
        <f>Table3.110[[#This Row],[CH4 24h, ml]]/Table3.110[[#This Row],[Digested feed, mg]]*1000</f>
        <v>37.954843908456716</v>
      </c>
      <c r="AT1059" s="94">
        <f>Table3.110[[#This Row],[CH4 24h, ml]]/'3.2 Digest'!AA1059</f>
        <v>-7.3965090010654064</v>
      </c>
      <c r="AU1059" s="94">
        <f>((Table3.110[[#This Row],[CH4 24h, ml]]/28.9)*16.04)/Table3.110[[#This Row],[DM Incubated, mg]]*1000</f>
        <v>11.247727113656111</v>
      </c>
      <c r="AV1059" s="94">
        <f>((Table3.110[[#This Row],[CH4 24h, ml]]/28.9)*16.04)/Table3.110[[#This Row],[Digested feed, mg]]*1000</f>
        <v>21.065595027392582</v>
      </c>
      <c r="AW1059" s="94"/>
      <c r="AX1059" s="94"/>
    </row>
    <row r="1060" spans="2:50" x14ac:dyDescent="0.35">
      <c r="B1060" s="90">
        <f t="shared" si="16"/>
        <v>1050</v>
      </c>
      <c r="C1060" s="140">
        <v>46064</v>
      </c>
      <c r="D1060" s="6" t="s">
        <v>16</v>
      </c>
      <c r="E1060" s="6" t="s">
        <v>458</v>
      </c>
      <c r="F1060" s="242" t="s">
        <v>333</v>
      </c>
      <c r="G1060" s="242" t="s">
        <v>438</v>
      </c>
      <c r="H1060" s="6" t="s">
        <v>439</v>
      </c>
      <c r="I1060" s="133" t="s">
        <v>22</v>
      </c>
      <c r="J1060" s="135" t="s">
        <v>23</v>
      </c>
      <c r="K1060" s="135" t="s">
        <v>303</v>
      </c>
      <c r="L1060" s="6" t="s">
        <v>457</v>
      </c>
      <c r="M1060" s="256">
        <v>30</v>
      </c>
      <c r="N1060" s="256">
        <v>64</v>
      </c>
      <c r="O1060" s="256">
        <v>1</v>
      </c>
      <c r="P1060" s="257">
        <v>3</v>
      </c>
      <c r="Q1060" s="129">
        <v>184</v>
      </c>
      <c r="R1060" s="98">
        <v>0.50009999999999999</v>
      </c>
      <c r="S1060" s="94">
        <f>((Table3.110[[#This Row],[Sample weight, g]]*'2.1. DM'!Q289)/100)*1000</f>
        <v>477.5000390883647</v>
      </c>
      <c r="T1060" s="94">
        <f>'3.2 Digest'!W1060</f>
        <v>261.10003908836467</v>
      </c>
      <c r="U1060" s="153">
        <v>0.34166666666666667</v>
      </c>
      <c r="V1060" s="155">
        <v>41.5</v>
      </c>
      <c r="W1060" s="153">
        <v>0.69374999999999998</v>
      </c>
      <c r="X1060" s="95">
        <v>80.5</v>
      </c>
      <c r="Y1060" s="95">
        <v>13.5</v>
      </c>
      <c r="Z1060" s="154">
        <v>40.5</v>
      </c>
      <c r="AA1060" s="153">
        <v>0.36249999999999999</v>
      </c>
      <c r="AB1060" s="154">
        <v>83</v>
      </c>
      <c r="AC1060" s="154">
        <v>13.3</v>
      </c>
      <c r="AD1060" s="91"/>
      <c r="AE1060" s="94">
        <f>Table3.110[[#This Row],[Gas 8h, ml]]-Table3.110[[#This Row],[Gas 0h, ml]]</f>
        <v>39</v>
      </c>
      <c r="AF1060" s="94">
        <f>Table3.110[[#This Row],[Gas 24h, ml]]-Table3.110[[#This Row],[V8 Push back, ml]]</f>
        <v>42.5</v>
      </c>
      <c r="AG1060" s="94">
        <f>Table3.110[[#This Row],[GP 8h, ml]]-(AVERAGE(AE$982,AE$983,AE$1032,AE$1033,AE$1085,AE$1086))*$AG$8</f>
        <v>36.271229168713369</v>
      </c>
      <c r="AH1060" s="94">
        <f>Table3.110[[#This Row],[GP 8-24h, ml]]-(AVERAGE(AF$982,AF$983,AF$1032,AF$1033,AF$1085,AF$1086))*$AG$8</f>
        <v>38.849347131116531</v>
      </c>
      <c r="AI1060" s="94">
        <f>Table3.110[[#This Row],[Net gas 8-24h, ml]]+Table3.110[[#This Row],[Net gas 8h, ml]]</f>
        <v>75.120576299829906</v>
      </c>
      <c r="AJ1060" s="94">
        <f>Table3.110[[#This Row],[Net gas 8h, ml]]*Table3.110[[#This Row],[CH4 8h %]]%</f>
        <v>4.8966159377763052</v>
      </c>
      <c r="AK1060" s="94">
        <f>Table3.110[[#This Row],[Net gas 8-24h, ml]]*Table3.110[[#This Row],[CH4 24h, %]]%</f>
        <v>5.1669631684384987</v>
      </c>
      <c r="AL1060" s="94">
        <f>Table3.110[[#This Row],[CH4 8-24h, ml]]+Table3.110[[#This Row],[CH4 8h, ml]]</f>
        <v>10.063579106214803</v>
      </c>
      <c r="AM1060" s="94">
        <f>(Table3.110[[#This Row],[Net gas 24h, ml]]/Table3.110[[#This Row],[DM Incubated, mg]])*1000</f>
        <v>157.32056576005499</v>
      </c>
      <c r="AN1060" s="94">
        <f>'3.2 Digest'!X1060</f>
        <v>54.680631982115145</v>
      </c>
      <c r="AO1060" s="94">
        <f>Table3.110[[#This Row],[Digested feed, mg]]/Table3.110[[#This Row],[Net gas 24h, ml]]</f>
        <v>3.4757459533621264</v>
      </c>
      <c r="AP1060" s="94">
        <f>Table3.110[[#This Row],[CH4 8h, ml]]/Table3.110[[#This Row],[Net gas 8h, ml]]%</f>
        <v>13.5</v>
      </c>
      <c r="AQ1060" s="94">
        <f>Table3.110[[#This Row],[CH4 24h, ml]]/Table3.110[[#This Row],[Net gas 24h, ml]]%</f>
        <v>13.396568026911675</v>
      </c>
      <c r="AR1060" s="94">
        <f>Table3.110[[#This Row],[CH4 24h, ml]]/Table3.110[[#This Row],[DM Incubated, mg]]*1000</f>
        <v>21.075556612368082</v>
      </c>
      <c r="AS1060" s="94">
        <f>Table3.110[[#This Row],[CH4 24h, ml]]/Table3.110[[#This Row],[Digested feed, mg]]*1000</f>
        <v>38.543001147575325</v>
      </c>
      <c r="AT1060" s="94">
        <f>Table3.110[[#This Row],[CH4 24h, ml]]/'3.2 Digest'!AA1060</f>
        <v>6.7581398843234615</v>
      </c>
      <c r="AU1060" s="94">
        <f>((Table3.110[[#This Row],[CH4 24h, ml]]/28.9)*16.04)/Table3.110[[#This Row],[DM Incubated, mg]]*1000</f>
        <v>11.697298548871419</v>
      </c>
      <c r="AV1060" s="94">
        <f>((Table3.110[[#This Row],[CH4 24h, ml]]/28.9)*16.04)/Table3.110[[#This Row],[Digested feed, mg]]*1000</f>
        <v>21.392032470834195</v>
      </c>
      <c r="AW1060" s="94"/>
      <c r="AX1060" s="94"/>
    </row>
    <row r="1061" spans="2:50" x14ac:dyDescent="0.35">
      <c r="B1061" s="90">
        <f t="shared" si="16"/>
        <v>1051</v>
      </c>
      <c r="C1061" s="140">
        <v>46064</v>
      </c>
      <c r="D1061" s="6" t="s">
        <v>16</v>
      </c>
      <c r="E1061" s="6" t="s">
        <v>460</v>
      </c>
      <c r="F1061" s="242" t="s">
        <v>333</v>
      </c>
      <c r="G1061" s="242" t="s">
        <v>461</v>
      </c>
      <c r="H1061" s="6" t="s">
        <v>462</v>
      </c>
      <c r="I1061" s="133" t="s">
        <v>22</v>
      </c>
      <c r="J1061" s="135" t="s">
        <v>23</v>
      </c>
      <c r="K1061" s="135" t="s">
        <v>303</v>
      </c>
      <c r="L1061" s="6" t="s">
        <v>459</v>
      </c>
      <c r="M1061" s="256">
        <v>30</v>
      </c>
      <c r="N1061" s="256">
        <v>64</v>
      </c>
      <c r="O1061" s="256">
        <v>1</v>
      </c>
      <c r="P1061" s="257">
        <v>1</v>
      </c>
      <c r="Q1061" s="129">
        <v>185</v>
      </c>
      <c r="R1061" s="98">
        <v>0.5</v>
      </c>
      <c r="S1061" s="94">
        <f>((Table3.110[[#This Row],[Sample weight, g]]*'2.1. DM'!Q291)/100)*1000</f>
        <v>482.20799636167493</v>
      </c>
      <c r="T1061" s="94">
        <f>'3.2 Digest'!W1061</f>
        <v>247.80799636167498</v>
      </c>
      <c r="U1061" s="117">
        <v>0.34166666666666667</v>
      </c>
      <c r="V1061" s="155">
        <v>40.5</v>
      </c>
      <c r="W1061" s="117">
        <v>0.69444444444444442</v>
      </c>
      <c r="X1061" s="97">
        <v>79.5</v>
      </c>
      <c r="Y1061" s="97">
        <v>15</v>
      </c>
      <c r="Z1061" s="155">
        <v>40.5</v>
      </c>
      <c r="AA1061" s="117">
        <v>0.36319444444444443</v>
      </c>
      <c r="AB1061" s="155">
        <v>85.5</v>
      </c>
      <c r="AC1061" s="155">
        <v>15.3</v>
      </c>
      <c r="AD1061" s="96"/>
      <c r="AE1061" s="94">
        <f>Table3.110[[#This Row],[Gas 8h, ml]]-Table3.110[[#This Row],[Gas 0h, ml]]</f>
        <v>39</v>
      </c>
      <c r="AF1061" s="94">
        <f>Table3.110[[#This Row],[Gas 24h, ml]]-Table3.110[[#This Row],[V8 Push back, ml]]</f>
        <v>45</v>
      </c>
      <c r="AG1061" s="94">
        <f>Table3.110[[#This Row],[GP 8h, ml]]-(AVERAGE(AE$982,AE$983,AE$1032,AE$1033,AE$1085,AE$1086))*$AG$8</f>
        <v>36.271229168713369</v>
      </c>
      <c r="AH1061" s="94">
        <f>Table3.110[[#This Row],[GP 8-24h, ml]]-(AVERAGE(AF$982,AF$983,AF$1032,AF$1033,AF$1085,AF$1086))*$AG$8</f>
        <v>41.349347131116531</v>
      </c>
      <c r="AI1061" s="94">
        <f>Table3.110[[#This Row],[Net gas 8-24h, ml]]+Table3.110[[#This Row],[Net gas 8h, ml]]</f>
        <v>77.620576299829906</v>
      </c>
      <c r="AJ1061" s="94">
        <f>Table3.110[[#This Row],[Net gas 8h, ml]]*Table3.110[[#This Row],[CH4 8h %]]%</f>
        <v>5.4406843753070051</v>
      </c>
      <c r="AK1061" s="94">
        <f>Table3.110[[#This Row],[Net gas 8-24h, ml]]*Table3.110[[#This Row],[CH4 24h, %]]%</f>
        <v>6.3264501110608293</v>
      </c>
      <c r="AL1061" s="94">
        <f>Table3.110[[#This Row],[CH4 8-24h, ml]]+Table3.110[[#This Row],[CH4 8h, ml]]</f>
        <v>11.767134486367834</v>
      </c>
      <c r="AM1061" s="94">
        <f>(Table3.110[[#This Row],[Net gas 24h, ml]]/Table3.110[[#This Row],[DM Incubated, mg]])*1000</f>
        <v>160.96907742195842</v>
      </c>
      <c r="AN1061" s="94">
        <f>'3.2 Digest'!X1061</f>
        <v>51.390271051376189</v>
      </c>
      <c r="AO1061" s="94">
        <f>Table3.110[[#This Row],[Digested feed, mg]]/Table3.110[[#This Row],[Net gas 24h, ml]]</f>
        <v>3.1925554817378754</v>
      </c>
      <c r="AP1061" s="94">
        <f>Table3.110[[#This Row],[CH4 8h, ml]]/Table3.110[[#This Row],[Net gas 8h, ml]]%</f>
        <v>14.999999999999998</v>
      </c>
      <c r="AQ1061" s="94">
        <f>Table3.110[[#This Row],[CH4 24h, ml]]/Table3.110[[#This Row],[Net gas 24h, ml]]%</f>
        <v>15.159813347577039</v>
      </c>
      <c r="AR1061" s="94">
        <f>Table3.110[[#This Row],[CH4 24h, ml]]/Table3.110[[#This Row],[DM Incubated, mg]]*1000</f>
        <v>24.402611684485674</v>
      </c>
      <c r="AS1061" s="94">
        <f>Table3.110[[#This Row],[CH4 24h, ml]]/Table3.110[[#This Row],[Digested feed, mg]]*1000</f>
        <v>47.484886118015893</v>
      </c>
      <c r="AT1061" s="94">
        <f>Table3.110[[#This Row],[CH4 24h, ml]]/'3.2 Digest'!AA1061</f>
        <v>3.3063009340468579</v>
      </c>
      <c r="AU1061" s="94">
        <f>((Table3.110[[#This Row],[CH4 24h, ml]]/28.9)*16.04)/Table3.110[[#This Row],[DM Incubated, mg]]*1000</f>
        <v>13.543871675403119</v>
      </c>
      <c r="AV1061" s="94">
        <f>((Table3.110[[#This Row],[CH4 24h, ml]]/28.9)*16.04)/Table3.110[[#This Row],[Digested feed, mg]]*1000</f>
        <v>26.354933333320929</v>
      </c>
      <c r="AW1061" s="94"/>
      <c r="AX1061" s="94"/>
    </row>
    <row r="1062" spans="2:50" x14ac:dyDescent="0.35">
      <c r="B1062" s="90">
        <f t="shared" si="16"/>
        <v>1052</v>
      </c>
      <c r="C1062" s="140">
        <v>46064</v>
      </c>
      <c r="D1062" s="6" t="s">
        <v>16</v>
      </c>
      <c r="E1062" s="6" t="s">
        <v>460</v>
      </c>
      <c r="F1062" s="242" t="s">
        <v>333</v>
      </c>
      <c r="G1062" s="242" t="s">
        <v>461</v>
      </c>
      <c r="H1062" s="6" t="s">
        <v>462</v>
      </c>
      <c r="I1062" s="133" t="s">
        <v>22</v>
      </c>
      <c r="J1062" s="135" t="s">
        <v>23</v>
      </c>
      <c r="K1062" s="135" t="s">
        <v>303</v>
      </c>
      <c r="L1062" s="6" t="s">
        <v>459</v>
      </c>
      <c r="M1062" s="256">
        <v>30</v>
      </c>
      <c r="N1062" s="256">
        <v>64</v>
      </c>
      <c r="O1062" s="256">
        <v>1</v>
      </c>
      <c r="P1062" s="257">
        <v>2</v>
      </c>
      <c r="Q1062" s="129">
        <v>186</v>
      </c>
      <c r="R1062" s="98">
        <v>0.50039999999999996</v>
      </c>
      <c r="S1062" s="94">
        <f>((Table3.110[[#This Row],[Sample weight, g]]*'2.1. DM'!Q291)/100)*1000</f>
        <v>482.59376275876423</v>
      </c>
      <c r="T1062" s="94">
        <f>'3.2 Digest'!W1062</f>
        <v>238.29376275876416</v>
      </c>
      <c r="U1062" s="153">
        <v>0.34166666666666667</v>
      </c>
      <c r="V1062" s="155">
        <v>41</v>
      </c>
      <c r="W1062" s="153">
        <v>0.69513888888888886</v>
      </c>
      <c r="X1062" s="95">
        <v>80.5</v>
      </c>
      <c r="Y1062" s="95">
        <v>14.7</v>
      </c>
      <c r="Z1062" s="154">
        <v>40.5</v>
      </c>
      <c r="AA1062" s="153">
        <v>0.36319444444444443</v>
      </c>
      <c r="AB1062" s="154">
        <v>84</v>
      </c>
      <c r="AC1062" s="154">
        <v>15.6</v>
      </c>
      <c r="AD1062" s="91"/>
      <c r="AE1062" s="94">
        <f>Table3.110[[#This Row],[Gas 8h, ml]]-Table3.110[[#This Row],[Gas 0h, ml]]</f>
        <v>39.5</v>
      </c>
      <c r="AF1062" s="94">
        <f>Table3.110[[#This Row],[Gas 24h, ml]]-Table3.110[[#This Row],[V8 Push back, ml]]</f>
        <v>43.5</v>
      </c>
      <c r="AG1062" s="94">
        <f>Table3.110[[#This Row],[GP 8h, ml]]-(AVERAGE(AE$982,AE$983,AE$1032,AE$1033,AE$1085,AE$1086))*$AG$8</f>
        <v>36.771229168713369</v>
      </c>
      <c r="AH1062" s="94">
        <f>Table3.110[[#This Row],[GP 8-24h, ml]]-(AVERAGE(AF$982,AF$983,AF$1032,AF$1033,AF$1085,AF$1086))*$AG$8</f>
        <v>39.849347131116531</v>
      </c>
      <c r="AI1062" s="94">
        <f>Table3.110[[#This Row],[Net gas 8-24h, ml]]+Table3.110[[#This Row],[Net gas 8h, ml]]</f>
        <v>76.620576299829906</v>
      </c>
      <c r="AJ1062" s="94">
        <f>Table3.110[[#This Row],[Net gas 8h, ml]]*Table3.110[[#This Row],[CH4 8h %]]%</f>
        <v>5.4053706878008647</v>
      </c>
      <c r="AK1062" s="94">
        <f>Table3.110[[#This Row],[Net gas 8-24h, ml]]*Table3.110[[#This Row],[CH4 24h, %]]%</f>
        <v>6.2164981524541787</v>
      </c>
      <c r="AL1062" s="94">
        <f>Table3.110[[#This Row],[CH4 8-24h, ml]]+Table3.110[[#This Row],[CH4 8h, ml]]</f>
        <v>11.621868840255043</v>
      </c>
      <c r="AM1062" s="94">
        <f>(Table3.110[[#This Row],[Net gas 24h, ml]]/Table3.110[[#This Row],[DM Incubated, mg]])*1000</f>
        <v>158.76826890970511</v>
      </c>
      <c r="AN1062" s="94">
        <f>'3.2 Digest'!X1062</f>
        <v>49.377712922883518</v>
      </c>
      <c r="AO1062" s="94">
        <f>Table3.110[[#This Row],[Digested feed, mg]]/Table3.110[[#This Row],[Net gas 24h, ml]]</f>
        <v>3.1100492095788788</v>
      </c>
      <c r="AP1062" s="94">
        <f>Table3.110[[#This Row],[CH4 8h, ml]]/Table3.110[[#This Row],[Net gas 8h, ml]]%</f>
        <v>14.699999999999998</v>
      </c>
      <c r="AQ1062" s="94">
        <f>Table3.110[[#This Row],[CH4 24h, ml]]/Table3.110[[#This Row],[Net gas 24h, ml]]%</f>
        <v>15.168078082285117</v>
      </c>
      <c r="AR1062" s="94">
        <f>Table3.110[[#This Row],[CH4 24h, ml]]/Table3.110[[#This Row],[DM Incubated, mg]]*1000</f>
        <v>24.082094998116474</v>
      </c>
      <c r="AS1062" s="94">
        <f>Table3.110[[#This Row],[CH4 24h, ml]]/Table3.110[[#This Row],[Digested feed, mg]]*1000</f>
        <v>48.771183541301497</v>
      </c>
      <c r="AT1062" s="94">
        <f>Table3.110[[#This Row],[CH4 24h, ml]]/'3.2 Digest'!AA1062</f>
        <v>-26.785703847649966</v>
      </c>
      <c r="AU1062" s="94">
        <f>((Table3.110[[#This Row],[CH4 24h, ml]]/28.9)*16.04)/Table3.110[[#This Row],[DM Incubated, mg]]*1000</f>
        <v>13.365979369196824</v>
      </c>
      <c r="AV1062" s="94">
        <f>((Table3.110[[#This Row],[CH4 24h, ml]]/28.9)*16.04)/Table3.110[[#This Row],[Digested feed, mg]]*1000</f>
        <v>27.068850657525125</v>
      </c>
      <c r="AW1062" s="94"/>
      <c r="AX1062" s="94"/>
    </row>
    <row r="1063" spans="2:50" x14ac:dyDescent="0.35">
      <c r="B1063" s="90">
        <f t="shared" si="16"/>
        <v>1053</v>
      </c>
      <c r="C1063" s="140">
        <v>46064</v>
      </c>
      <c r="D1063" s="6" t="s">
        <v>16</v>
      </c>
      <c r="E1063" s="6" t="s">
        <v>460</v>
      </c>
      <c r="F1063" s="242" t="s">
        <v>333</v>
      </c>
      <c r="G1063" s="242" t="s">
        <v>461</v>
      </c>
      <c r="H1063" s="6" t="s">
        <v>462</v>
      </c>
      <c r="I1063" s="133" t="s">
        <v>22</v>
      </c>
      <c r="J1063" s="135" t="s">
        <v>23</v>
      </c>
      <c r="K1063" s="135" t="s">
        <v>303</v>
      </c>
      <c r="L1063" s="6" t="s">
        <v>459</v>
      </c>
      <c r="M1063" s="256">
        <v>30</v>
      </c>
      <c r="N1063" s="256">
        <v>64</v>
      </c>
      <c r="O1063" s="256">
        <v>1</v>
      </c>
      <c r="P1063" s="257">
        <v>3</v>
      </c>
      <c r="Q1063" s="129">
        <v>187</v>
      </c>
      <c r="R1063" s="98">
        <v>0.50039999999999996</v>
      </c>
      <c r="S1063" s="94">
        <f>((Table3.110[[#This Row],[Sample weight, g]]*'2.1. DM'!Q291)/100)*1000</f>
        <v>482.59376275876423</v>
      </c>
      <c r="T1063" s="94">
        <f>'3.2 Digest'!W1063</f>
        <v>238.39376275876415</v>
      </c>
      <c r="U1063" s="117">
        <v>0.34236111111111112</v>
      </c>
      <c r="V1063" s="155">
        <v>40</v>
      </c>
      <c r="W1063" s="117">
        <v>0.69513888888888886</v>
      </c>
      <c r="X1063" s="97">
        <v>78</v>
      </c>
      <c r="Y1063" s="97">
        <v>15.3</v>
      </c>
      <c r="Z1063" s="155">
        <v>40</v>
      </c>
      <c r="AA1063" s="117">
        <v>0.36388888888888887</v>
      </c>
      <c r="AB1063" s="155">
        <v>86.5</v>
      </c>
      <c r="AC1063" s="155">
        <v>15.5</v>
      </c>
      <c r="AD1063" s="96"/>
      <c r="AE1063" s="94">
        <f>Table3.110[[#This Row],[Gas 8h, ml]]-Table3.110[[#This Row],[Gas 0h, ml]]</f>
        <v>38</v>
      </c>
      <c r="AF1063" s="94">
        <f>Table3.110[[#This Row],[Gas 24h, ml]]-Table3.110[[#This Row],[V8 Push back, ml]]</f>
        <v>46.5</v>
      </c>
      <c r="AG1063" s="94">
        <f>Table3.110[[#This Row],[GP 8h, ml]]-(AVERAGE(AE$982,AE$983,AE$1032,AE$1033,AE$1085,AE$1086))*$AG$8</f>
        <v>35.271229168713369</v>
      </c>
      <c r="AH1063" s="94">
        <f>Table3.110[[#This Row],[GP 8-24h, ml]]-(AVERAGE(AF$982,AF$983,AF$1032,AF$1033,AF$1085,AF$1086))*$AG$8</f>
        <v>42.849347131116531</v>
      </c>
      <c r="AI1063" s="94">
        <f>Table3.110[[#This Row],[Net gas 8-24h, ml]]+Table3.110[[#This Row],[Net gas 8h, ml]]</f>
        <v>78.120576299829906</v>
      </c>
      <c r="AJ1063" s="94">
        <f>Table3.110[[#This Row],[Net gas 8h, ml]]*Table3.110[[#This Row],[CH4 8h %]]%</f>
        <v>5.3964980628131451</v>
      </c>
      <c r="AK1063" s="94">
        <f>Table3.110[[#This Row],[Net gas 8-24h, ml]]*Table3.110[[#This Row],[CH4 24h, %]]%</f>
        <v>6.6416488053230625</v>
      </c>
      <c r="AL1063" s="94">
        <f>Table3.110[[#This Row],[CH4 8-24h, ml]]+Table3.110[[#This Row],[CH4 8h, ml]]</f>
        <v>12.038146868136208</v>
      </c>
      <c r="AM1063" s="94">
        <f>(Table3.110[[#This Row],[Net gas 24h, ml]]/Table3.110[[#This Row],[DM Incubated, mg]])*1000</f>
        <v>161.87647319196768</v>
      </c>
      <c r="AN1063" s="94">
        <f>'3.2 Digest'!X1063</f>
        <v>49.398434284765273</v>
      </c>
      <c r="AO1063" s="94">
        <f>Table3.110[[#This Row],[Digested feed, mg]]/Table3.110[[#This Row],[Net gas 24h, ml]]</f>
        <v>3.0516129558978076</v>
      </c>
      <c r="AP1063" s="94">
        <f>Table3.110[[#This Row],[CH4 8h, ml]]/Table3.110[[#This Row],[Net gas 8h, ml]]%</f>
        <v>15.299999999999999</v>
      </c>
      <c r="AQ1063" s="94">
        <f>Table3.110[[#This Row],[CH4 24h, ml]]/Table3.110[[#This Row],[Net gas 24h, ml]]%</f>
        <v>15.40970054026908</v>
      </c>
      <c r="AR1063" s="94">
        <f>Table3.110[[#This Row],[CH4 24h, ml]]/Table3.110[[#This Row],[DM Incubated, mg]]*1000</f>
        <v>24.944679764031175</v>
      </c>
      <c r="AS1063" s="94">
        <f>Table3.110[[#This Row],[CH4 24h, ml]]/Table3.110[[#This Row],[Digested feed, mg]]*1000</f>
        <v>50.496903647256367</v>
      </c>
      <c r="AT1063" s="94">
        <f>Table3.110[[#This Row],[CH4 24h, ml]]/'3.2 Digest'!AA1063</f>
        <v>-30.649167667192209</v>
      </c>
      <c r="AU1063" s="94">
        <f>((Table3.110[[#This Row],[CH4 24h, ml]]/28.9)*16.04)/Table3.110[[#This Row],[DM Incubated, mg]]*1000</f>
        <v>13.844728837891351</v>
      </c>
      <c r="AV1063" s="94">
        <f>((Table3.110[[#This Row],[CH4 24h, ml]]/28.9)*16.04)/Table3.110[[#This Row],[Digested feed, mg]]*1000</f>
        <v>28.026655173079316</v>
      </c>
      <c r="AW1063" s="94"/>
      <c r="AX1063" s="94"/>
    </row>
    <row r="1064" spans="2:50" x14ac:dyDescent="0.35">
      <c r="B1064" s="90">
        <f t="shared" si="16"/>
        <v>1054</v>
      </c>
      <c r="C1064" s="140">
        <v>46064</v>
      </c>
      <c r="D1064" s="6" t="s">
        <v>16</v>
      </c>
      <c r="E1064" s="6" t="s">
        <v>464</v>
      </c>
      <c r="F1064" s="242" t="s">
        <v>333</v>
      </c>
      <c r="G1064" s="242" t="s">
        <v>438</v>
      </c>
      <c r="H1064" s="6" t="s">
        <v>439</v>
      </c>
      <c r="I1064" s="133" t="s">
        <v>22</v>
      </c>
      <c r="J1064" s="135" t="s">
        <v>23</v>
      </c>
      <c r="K1064" s="135" t="s">
        <v>303</v>
      </c>
      <c r="L1064" s="6" t="s">
        <v>463</v>
      </c>
      <c r="M1064" s="256">
        <v>30</v>
      </c>
      <c r="N1064" s="256">
        <v>64</v>
      </c>
      <c r="O1064" s="256">
        <v>1</v>
      </c>
      <c r="P1064" s="257">
        <v>1</v>
      </c>
      <c r="Q1064" s="129">
        <v>188</v>
      </c>
      <c r="R1064" s="98">
        <v>0.50009999999999999</v>
      </c>
      <c r="S1064" s="94">
        <f>((Table3.110[[#This Row],[Sample weight, g]]*'2.1. DM'!Q293)/100)*1000</f>
        <v>479.28021509836844</v>
      </c>
      <c r="T1064" s="94">
        <f>'3.2 Digest'!W1064</f>
        <v>118.5802150983684</v>
      </c>
      <c r="U1064" s="153">
        <v>0.34236111111111112</v>
      </c>
      <c r="V1064" s="155">
        <v>41</v>
      </c>
      <c r="W1064" s="153">
        <v>0.6958333333333333</v>
      </c>
      <c r="X1064" s="95">
        <v>78.5</v>
      </c>
      <c r="Y1064" s="95">
        <v>14.9</v>
      </c>
      <c r="Z1064" s="154">
        <v>40</v>
      </c>
      <c r="AA1064" s="153">
        <v>0.36388888888888887</v>
      </c>
      <c r="AB1064" s="154">
        <v>76</v>
      </c>
      <c r="AC1064" s="154">
        <v>15.3</v>
      </c>
      <c r="AD1064" s="91"/>
      <c r="AE1064" s="94">
        <f>Table3.110[[#This Row],[Gas 8h, ml]]-Table3.110[[#This Row],[Gas 0h, ml]]</f>
        <v>37.5</v>
      </c>
      <c r="AF1064" s="94">
        <f>Table3.110[[#This Row],[Gas 24h, ml]]-Table3.110[[#This Row],[V8 Push back, ml]]</f>
        <v>36</v>
      </c>
      <c r="AG1064" s="94">
        <f>Table3.110[[#This Row],[GP 8h, ml]]-(AVERAGE(AE$982,AE$983,AE$1032,AE$1033,AE$1085,AE$1086))*$AG$8</f>
        <v>34.771229168713369</v>
      </c>
      <c r="AH1064" s="94">
        <f>Table3.110[[#This Row],[GP 8-24h, ml]]-(AVERAGE(AF$982,AF$983,AF$1032,AF$1033,AF$1085,AF$1086))*$AG$8</f>
        <v>32.349347131116531</v>
      </c>
      <c r="AI1064" s="94">
        <f>Table3.110[[#This Row],[Net gas 8-24h, ml]]+Table3.110[[#This Row],[Net gas 8h, ml]]</f>
        <v>67.120576299829906</v>
      </c>
      <c r="AJ1064" s="94">
        <f>Table3.110[[#This Row],[Net gas 8h, ml]]*Table3.110[[#This Row],[CH4 8h %]]%</f>
        <v>5.180913146138292</v>
      </c>
      <c r="AK1064" s="94">
        <f>Table3.110[[#This Row],[Net gas 8-24h, ml]]*Table3.110[[#This Row],[CH4 24h, %]]%</f>
        <v>4.9494501110608295</v>
      </c>
      <c r="AL1064" s="94">
        <f>Table3.110[[#This Row],[CH4 8-24h, ml]]+Table3.110[[#This Row],[CH4 8h, ml]]</f>
        <v>10.130363257199122</v>
      </c>
      <c r="AM1064" s="94">
        <f>(Table3.110[[#This Row],[Net gas 24h, ml]]/Table3.110[[#This Row],[DM Incubated, mg]])*1000</f>
        <v>140.04453800800843</v>
      </c>
      <c r="AN1064" s="94">
        <f>'3.2 Digest'!X1064</f>
        <v>24.741312360250621</v>
      </c>
      <c r="AO1064" s="94">
        <f>Table3.110[[#This Row],[Digested feed, mg]]/Table3.110[[#This Row],[Net gas 24h, ml]]</f>
        <v>1.7666745674033926</v>
      </c>
      <c r="AP1064" s="94">
        <f>Table3.110[[#This Row],[CH4 8h, ml]]/Table3.110[[#This Row],[Net gas 8h, ml]]%</f>
        <v>14.9</v>
      </c>
      <c r="AQ1064" s="94">
        <f>Table3.110[[#This Row],[CH4 24h, ml]]/Table3.110[[#This Row],[Net gas 24h, ml]]%</f>
        <v>15.092783488548196</v>
      </c>
      <c r="AR1064" s="94">
        <f>Table3.110[[#This Row],[CH4 24h, ml]]/Table3.110[[#This Row],[DM Incubated, mg]]*1000</f>
        <v>21.136618909086295</v>
      </c>
      <c r="AS1064" s="94">
        <f>Table3.110[[#This Row],[CH4 24h, ml]]/Table3.110[[#This Row],[Digested feed, mg]]*1000</f>
        <v>85.430467880290678</v>
      </c>
      <c r="AT1064" s="94">
        <f>Table3.110[[#This Row],[CH4 24h, ml]]/'3.2 Digest'!AA1064</f>
        <v>-0.52197277677783493</v>
      </c>
      <c r="AU1064" s="94">
        <f>((Table3.110[[#This Row],[CH4 24h, ml]]/28.9)*16.04)/Table3.110[[#This Row],[DM Incubated, mg]]*1000</f>
        <v>11.73118917999115</v>
      </c>
      <c r="AV1064" s="94">
        <f>((Table3.110[[#This Row],[CH4 24h, ml]]/28.9)*16.04)/Table3.110[[#This Row],[Digested feed, mg]]*1000</f>
        <v>47.415387709337807</v>
      </c>
      <c r="AW1064" s="94"/>
      <c r="AX1064" s="94"/>
    </row>
    <row r="1065" spans="2:50" x14ac:dyDescent="0.35">
      <c r="B1065" s="90">
        <f t="shared" si="16"/>
        <v>1055</v>
      </c>
      <c r="C1065" s="140">
        <v>46064</v>
      </c>
      <c r="D1065" s="6" t="s">
        <v>16</v>
      </c>
      <c r="E1065" s="6" t="s">
        <v>464</v>
      </c>
      <c r="F1065" s="242" t="s">
        <v>333</v>
      </c>
      <c r="G1065" s="242" t="s">
        <v>438</v>
      </c>
      <c r="H1065" s="6" t="s">
        <v>439</v>
      </c>
      <c r="I1065" s="133" t="s">
        <v>22</v>
      </c>
      <c r="J1065" s="135" t="s">
        <v>23</v>
      </c>
      <c r="K1065" s="135" t="s">
        <v>303</v>
      </c>
      <c r="L1065" s="6" t="s">
        <v>463</v>
      </c>
      <c r="M1065" s="256">
        <v>30</v>
      </c>
      <c r="N1065" s="256">
        <v>64</v>
      </c>
      <c r="O1065" s="256">
        <v>1</v>
      </c>
      <c r="P1065" s="257">
        <v>2</v>
      </c>
      <c r="Q1065" s="129">
        <v>189</v>
      </c>
      <c r="R1065" s="98">
        <v>0.50039999999999996</v>
      </c>
      <c r="S1065" s="94">
        <f>((Table3.110[[#This Row],[Sample weight, g]]*'2.1. DM'!Q293)/100)*1000</f>
        <v>479.56772572530207</v>
      </c>
      <c r="T1065" s="94">
        <f>'3.2 Digest'!W1065</f>
        <v>190.36772572530208</v>
      </c>
      <c r="U1065" s="117">
        <v>0.34236111111111112</v>
      </c>
      <c r="V1065" s="155">
        <v>40.5</v>
      </c>
      <c r="W1065" s="117">
        <v>0.6958333333333333</v>
      </c>
      <c r="X1065" s="97">
        <v>79</v>
      </c>
      <c r="Y1065" s="97">
        <v>14.2</v>
      </c>
      <c r="Z1065" s="155">
        <v>40</v>
      </c>
      <c r="AA1065" s="117">
        <v>0.36458333333333331</v>
      </c>
      <c r="AB1065" s="155">
        <v>79.5</v>
      </c>
      <c r="AC1065" s="155">
        <v>15.3</v>
      </c>
      <c r="AD1065" s="96"/>
      <c r="AE1065" s="94">
        <f>Table3.110[[#This Row],[Gas 8h, ml]]-Table3.110[[#This Row],[Gas 0h, ml]]</f>
        <v>38.5</v>
      </c>
      <c r="AF1065" s="94">
        <f>Table3.110[[#This Row],[Gas 24h, ml]]-Table3.110[[#This Row],[V8 Push back, ml]]</f>
        <v>39.5</v>
      </c>
      <c r="AG1065" s="94">
        <f>Table3.110[[#This Row],[GP 8h, ml]]-(AVERAGE(AE$982,AE$983,AE$1032,AE$1033,AE$1085,AE$1086))*$AG$8</f>
        <v>35.771229168713369</v>
      </c>
      <c r="AH1065" s="94">
        <f>Table3.110[[#This Row],[GP 8-24h, ml]]-(AVERAGE(AF$982,AF$983,AF$1032,AF$1033,AF$1085,AF$1086))*$AG$8</f>
        <v>35.849347131116531</v>
      </c>
      <c r="AI1065" s="94">
        <f>Table3.110[[#This Row],[Net gas 8-24h, ml]]+Table3.110[[#This Row],[Net gas 8h, ml]]</f>
        <v>71.620576299829906</v>
      </c>
      <c r="AJ1065" s="94">
        <f>Table3.110[[#This Row],[Net gas 8h, ml]]*Table3.110[[#This Row],[CH4 8h %]]%</f>
        <v>5.0795145419572982</v>
      </c>
      <c r="AK1065" s="94">
        <f>Table3.110[[#This Row],[Net gas 8-24h, ml]]*Table3.110[[#This Row],[CH4 24h, %]]%</f>
        <v>5.4849501110608294</v>
      </c>
      <c r="AL1065" s="94">
        <f>Table3.110[[#This Row],[CH4 8-24h, ml]]+Table3.110[[#This Row],[CH4 8h, ml]]</f>
        <v>10.564464653018128</v>
      </c>
      <c r="AM1065" s="94">
        <f>(Table3.110[[#This Row],[Net gas 24h, ml]]/Table3.110[[#This Row],[DM Incubated, mg]])*1000</f>
        <v>149.34402892002456</v>
      </c>
      <c r="AN1065" s="94">
        <f>'3.2 Digest'!X1065</f>
        <v>39.695691664277113</v>
      </c>
      <c r="AO1065" s="94">
        <f>Table3.110[[#This Row],[Digested feed, mg]]/Table3.110[[#This Row],[Net gas 24h, ml]]</f>
        <v>2.6580032661054447</v>
      </c>
      <c r="AP1065" s="94">
        <f>Table3.110[[#This Row],[CH4 8h, ml]]/Table3.110[[#This Row],[Net gas 8h, ml]]%</f>
        <v>14.2</v>
      </c>
      <c r="AQ1065" s="94">
        <f>Table3.110[[#This Row],[CH4 24h, ml]]/Table3.110[[#This Row],[Net gas 24h, ml]]%</f>
        <v>14.750599895749815</v>
      </c>
      <c r="AR1065" s="94">
        <f>Table3.110[[#This Row],[CH4 24h, ml]]/Table3.110[[#This Row],[DM Incubated, mg]]*1000</f>
        <v>22.029140174185713</v>
      </c>
      <c r="AS1065" s="94">
        <f>Table3.110[[#This Row],[CH4 24h, ml]]/Table3.110[[#This Row],[Digested feed, mg]]*1000</f>
        <v>55.495040521009848</v>
      </c>
      <c r="AT1065" s="94">
        <f>Table3.110[[#This Row],[CH4 24h, ml]]/'3.2 Digest'!AA1065</f>
        <v>2.4458982167331995</v>
      </c>
      <c r="AU1065" s="94">
        <f>((Table3.110[[#This Row],[CH4 24h, ml]]/28.9)*16.04)/Table3.110[[#This Row],[DM Incubated, mg]]*1000</f>
        <v>12.226553923665705</v>
      </c>
      <c r="AV1065" s="94">
        <f>((Table3.110[[#This Row],[CH4 24h, ml]]/28.9)*16.04)/Table3.110[[#This Row],[Digested feed, mg]]*1000</f>
        <v>30.800707610968786</v>
      </c>
      <c r="AW1065" s="94"/>
      <c r="AX1065" s="94"/>
    </row>
    <row r="1066" spans="2:50" x14ac:dyDescent="0.35">
      <c r="B1066" s="90">
        <f t="shared" si="16"/>
        <v>1056</v>
      </c>
      <c r="C1066" s="140">
        <v>46064</v>
      </c>
      <c r="D1066" s="6" t="s">
        <v>16</v>
      </c>
      <c r="E1066" s="6" t="s">
        <v>464</v>
      </c>
      <c r="F1066" s="242" t="s">
        <v>333</v>
      </c>
      <c r="G1066" s="242" t="s">
        <v>438</v>
      </c>
      <c r="H1066" s="6" t="s">
        <v>439</v>
      </c>
      <c r="I1066" s="133" t="s">
        <v>22</v>
      </c>
      <c r="J1066" s="135" t="s">
        <v>23</v>
      </c>
      <c r="K1066" s="135" t="s">
        <v>303</v>
      </c>
      <c r="L1066" s="6" t="s">
        <v>463</v>
      </c>
      <c r="M1066" s="256">
        <v>30</v>
      </c>
      <c r="N1066" s="256">
        <v>64</v>
      </c>
      <c r="O1066" s="256">
        <v>1</v>
      </c>
      <c r="P1066" s="257">
        <v>3</v>
      </c>
      <c r="Q1066" s="129">
        <v>190</v>
      </c>
      <c r="R1066" s="98">
        <v>0.50019999999999998</v>
      </c>
      <c r="S1066" s="94">
        <f>((Table3.110[[#This Row],[Sample weight, g]]*'2.1. DM'!Q293)/100)*1000</f>
        <v>479.37605197401308</v>
      </c>
      <c r="T1066" s="94">
        <f>'3.2 Digest'!W1066</f>
        <v>183.87605197401308</v>
      </c>
      <c r="U1066" s="153">
        <v>0.34305555555555556</v>
      </c>
      <c r="V1066" s="155">
        <v>40.5</v>
      </c>
      <c r="W1066" s="153">
        <v>0.69652777777777775</v>
      </c>
      <c r="X1066" s="95">
        <v>79</v>
      </c>
      <c r="Y1066" s="95">
        <v>14.2</v>
      </c>
      <c r="Z1066" s="154">
        <v>40</v>
      </c>
      <c r="AA1066" s="153">
        <v>0.36458333333333331</v>
      </c>
      <c r="AB1066" s="154">
        <v>75.5</v>
      </c>
      <c r="AC1066" s="154">
        <v>15.3</v>
      </c>
      <c r="AD1066" s="91"/>
      <c r="AE1066" s="94">
        <f>Table3.110[[#This Row],[Gas 8h, ml]]-Table3.110[[#This Row],[Gas 0h, ml]]</f>
        <v>38.5</v>
      </c>
      <c r="AF1066" s="94">
        <f>Table3.110[[#This Row],[Gas 24h, ml]]-Table3.110[[#This Row],[V8 Push back, ml]]</f>
        <v>35.5</v>
      </c>
      <c r="AG1066" s="94">
        <f>Table3.110[[#This Row],[GP 8h, ml]]-(AVERAGE(AE$982,AE$983,AE$1032,AE$1033,AE$1085,AE$1086))*$AG$8</f>
        <v>35.771229168713369</v>
      </c>
      <c r="AH1066" s="94">
        <f>Table3.110[[#This Row],[GP 8-24h, ml]]-(AVERAGE(AF$982,AF$983,AF$1032,AF$1033,AF$1085,AF$1086))*$AG$8</f>
        <v>31.849347131116534</v>
      </c>
      <c r="AI1066" s="94">
        <f>Table3.110[[#This Row],[Net gas 8-24h, ml]]+Table3.110[[#This Row],[Net gas 8h, ml]]</f>
        <v>67.620576299829906</v>
      </c>
      <c r="AJ1066" s="94">
        <f>Table3.110[[#This Row],[Net gas 8h, ml]]*Table3.110[[#This Row],[CH4 8h %]]%</f>
        <v>5.0795145419572982</v>
      </c>
      <c r="AK1066" s="94">
        <f>Table3.110[[#This Row],[Net gas 8-24h, ml]]*Table3.110[[#This Row],[CH4 24h, %]]%</f>
        <v>4.8729501110608293</v>
      </c>
      <c r="AL1066" s="94">
        <f>Table3.110[[#This Row],[CH4 8-24h, ml]]+Table3.110[[#This Row],[CH4 8h, ml]]</f>
        <v>9.9524646530181275</v>
      </c>
      <c r="AM1066" s="94">
        <f>(Table3.110[[#This Row],[Net gas 24h, ml]]/Table3.110[[#This Row],[DM Incubated, mg]])*1000</f>
        <v>141.05956278244707</v>
      </c>
      <c r="AN1066" s="94">
        <f>'3.2 Digest'!X1066</f>
        <v>38.357371257248573</v>
      </c>
      <c r="AO1066" s="94">
        <f>Table3.110[[#This Row],[Digested feed, mg]]/Table3.110[[#This Row],[Net gas 24h, ml]]</f>
        <v>2.7192322520101859</v>
      </c>
      <c r="AP1066" s="94">
        <f>Table3.110[[#This Row],[CH4 8h, ml]]/Table3.110[[#This Row],[Net gas 8h, ml]]%</f>
        <v>14.2</v>
      </c>
      <c r="AQ1066" s="94">
        <f>Table3.110[[#This Row],[CH4 24h, ml]]/Table3.110[[#This Row],[Net gas 24h, ml]]%</f>
        <v>14.718100905985864</v>
      </c>
      <c r="AR1066" s="94">
        <f>Table3.110[[#This Row],[CH4 24h, ml]]/Table3.110[[#This Row],[DM Incubated, mg]]*1000</f>
        <v>20.761288787863041</v>
      </c>
      <c r="AS1066" s="94">
        <f>Table3.110[[#This Row],[CH4 24h, ml]]/Table3.110[[#This Row],[Digested feed, mg]]*1000</f>
        <v>54.125942699839428</v>
      </c>
      <c r="AT1066" s="94">
        <f>Table3.110[[#This Row],[CH4 24h, ml]]/'3.2 Digest'!AA1066</f>
        <v>4.5324267088916157</v>
      </c>
      <c r="AU1066" s="94">
        <f>((Table3.110[[#This Row],[CH4 24h, ml]]/28.9)*16.04)/Table3.110[[#This Row],[DM Incubated, mg]]*1000</f>
        <v>11.522874469111526</v>
      </c>
      <c r="AV1066" s="94">
        <f>((Table3.110[[#This Row],[CH4 24h, ml]]/28.9)*16.04)/Table3.110[[#This Row],[Digested feed, mg]]*1000</f>
        <v>30.040834633405684</v>
      </c>
      <c r="AW1066" s="94"/>
      <c r="AX1066" s="94"/>
    </row>
    <row r="1067" spans="2:50" x14ac:dyDescent="0.35">
      <c r="B1067" s="90">
        <f t="shared" si="16"/>
        <v>1057</v>
      </c>
      <c r="C1067" s="140">
        <v>46064</v>
      </c>
      <c r="D1067" s="6" t="s">
        <v>16</v>
      </c>
      <c r="E1067" s="6" t="s">
        <v>466</v>
      </c>
      <c r="F1067" s="242" t="s">
        <v>346</v>
      </c>
      <c r="G1067" s="242" t="s">
        <v>347</v>
      </c>
      <c r="H1067" s="6" t="s">
        <v>348</v>
      </c>
      <c r="I1067" s="133" t="s">
        <v>22</v>
      </c>
      <c r="J1067" s="135" t="s">
        <v>23</v>
      </c>
      <c r="K1067" s="135" t="s">
        <v>303</v>
      </c>
      <c r="L1067" s="6" t="s">
        <v>465</v>
      </c>
      <c r="M1067" s="256">
        <v>30</v>
      </c>
      <c r="N1067" s="256">
        <v>64</v>
      </c>
      <c r="O1067" s="256">
        <v>1</v>
      </c>
      <c r="P1067" s="257">
        <v>1</v>
      </c>
      <c r="Q1067" s="129">
        <v>191</v>
      </c>
      <c r="R1067" s="98">
        <v>0.50039999999999996</v>
      </c>
      <c r="S1067" s="94">
        <f>((Table3.110[[#This Row],[Sample weight, g]]*'2.1. DM'!Q295)/100)*1000</f>
        <v>481.91841250543075</v>
      </c>
      <c r="T1067" s="94">
        <f>'3.2 Digest'!W1067</f>
        <v>95.11841250543074</v>
      </c>
      <c r="U1067" s="117">
        <v>0.34305555555555556</v>
      </c>
      <c r="V1067" s="155">
        <v>40.5</v>
      </c>
      <c r="W1067" s="117">
        <v>0.69652777777777775</v>
      </c>
      <c r="X1067" s="97">
        <v>71.5</v>
      </c>
      <c r="Y1067" s="97">
        <v>15.1</v>
      </c>
      <c r="Z1067" s="155">
        <v>40</v>
      </c>
      <c r="AA1067" s="117">
        <v>0.36527777777777776</v>
      </c>
      <c r="AB1067" s="155">
        <v>73</v>
      </c>
      <c r="AC1067" s="155">
        <v>15.9</v>
      </c>
      <c r="AD1067" s="96"/>
      <c r="AE1067" s="94">
        <f>Table3.110[[#This Row],[Gas 8h, ml]]-Table3.110[[#This Row],[Gas 0h, ml]]</f>
        <v>31</v>
      </c>
      <c r="AF1067" s="94">
        <f>Table3.110[[#This Row],[Gas 24h, ml]]-Table3.110[[#This Row],[V8 Push back, ml]]</f>
        <v>33</v>
      </c>
      <c r="AG1067" s="94">
        <f>Table3.110[[#This Row],[GP 8h, ml]]-(AVERAGE(AE$982,AE$983,AE$1032,AE$1033,AE$1085,AE$1086))*$AG$8</f>
        <v>28.271229168713369</v>
      </c>
      <c r="AH1067" s="94">
        <f>Table3.110[[#This Row],[GP 8-24h, ml]]-(AVERAGE(AF$982,AF$983,AF$1032,AF$1033,AF$1085,AF$1086))*$AG$8</f>
        <v>29.349347131116534</v>
      </c>
      <c r="AI1067" s="94">
        <f>Table3.110[[#This Row],[Net gas 8-24h, ml]]+Table3.110[[#This Row],[Net gas 8h, ml]]</f>
        <v>57.620576299829906</v>
      </c>
      <c r="AJ1067" s="94">
        <f>Table3.110[[#This Row],[Net gas 8h, ml]]*Table3.110[[#This Row],[CH4 8h %]]%</f>
        <v>4.2689556044757184</v>
      </c>
      <c r="AK1067" s="94">
        <f>Table3.110[[#This Row],[Net gas 8-24h, ml]]*Table3.110[[#This Row],[CH4 24h, %]]%</f>
        <v>4.6665461938475294</v>
      </c>
      <c r="AL1067" s="94">
        <f>Table3.110[[#This Row],[CH4 8-24h, ml]]+Table3.110[[#This Row],[CH4 8h, ml]]</f>
        <v>8.9355017983232479</v>
      </c>
      <c r="AM1067" s="94">
        <f>(Table3.110[[#This Row],[Net gas 24h, ml]]/Table3.110[[#This Row],[DM Incubated, mg]])*1000</f>
        <v>119.56500271543491</v>
      </c>
      <c r="AN1067" s="94">
        <f>'3.2 Digest'!X1067</f>
        <v>19.737451410275561</v>
      </c>
      <c r="AO1067" s="94">
        <f>Table3.110[[#This Row],[Digested feed, mg]]/Table3.110[[#This Row],[Net gas 24h, ml]]</f>
        <v>1.6507716273172979</v>
      </c>
      <c r="AP1067" s="94">
        <f>Table3.110[[#This Row],[CH4 8h, ml]]/Table3.110[[#This Row],[Net gas 8h, ml]]%</f>
        <v>15.1</v>
      </c>
      <c r="AQ1067" s="94">
        <f>Table3.110[[#This Row],[CH4 24h, ml]]/Table3.110[[#This Row],[Net gas 24h, ml]]%</f>
        <v>15.507484256712694</v>
      </c>
      <c r="AR1067" s="94">
        <f>Table3.110[[#This Row],[CH4 24h, ml]]/Table3.110[[#This Row],[DM Incubated, mg]]*1000</f>
        <v>18.54152397263417</v>
      </c>
      <c r="AS1067" s="94">
        <f>Table3.110[[#This Row],[CH4 24h, ml]]/Table3.110[[#This Row],[Digested feed, mg]]*1000</f>
        <v>93.940821371604372</v>
      </c>
      <c r="AT1067" s="94">
        <f>Table3.110[[#This Row],[CH4 24h, ml]]/'3.2 Digest'!AA1067</f>
        <v>-0.32260409932076806</v>
      </c>
      <c r="AU1067" s="94">
        <f>((Table3.110[[#This Row],[CH4 24h, ml]]/28.9)*16.04)/Table3.110[[#This Row],[DM Incubated, mg]]*1000</f>
        <v>10.290866592423948</v>
      </c>
      <c r="AV1067" s="94">
        <f>((Table3.110[[#This Row],[CH4 24h, ml]]/28.9)*16.04)/Table3.110[[#This Row],[Digested feed, mg]]*1000</f>
        <v>52.138781134966578</v>
      </c>
      <c r="AW1067" s="94"/>
      <c r="AX1067" s="94"/>
    </row>
    <row r="1068" spans="2:50" x14ac:dyDescent="0.35">
      <c r="B1068" s="90">
        <f t="shared" si="16"/>
        <v>1058</v>
      </c>
      <c r="C1068" s="140">
        <v>46064</v>
      </c>
      <c r="D1068" s="6" t="s">
        <v>16</v>
      </c>
      <c r="E1068" s="6" t="s">
        <v>466</v>
      </c>
      <c r="F1068" s="242" t="s">
        <v>346</v>
      </c>
      <c r="G1068" s="242" t="s">
        <v>347</v>
      </c>
      <c r="H1068" s="6" t="s">
        <v>348</v>
      </c>
      <c r="I1068" s="133" t="s">
        <v>22</v>
      </c>
      <c r="J1068" s="135" t="s">
        <v>23</v>
      </c>
      <c r="K1068" s="135" t="s">
        <v>303</v>
      </c>
      <c r="L1068" s="6" t="s">
        <v>465</v>
      </c>
      <c r="M1068" s="256">
        <v>30</v>
      </c>
      <c r="N1068" s="256">
        <v>64</v>
      </c>
      <c r="O1068" s="256">
        <v>1</v>
      </c>
      <c r="P1068" s="257">
        <v>2</v>
      </c>
      <c r="Q1068" s="129">
        <v>192</v>
      </c>
      <c r="R1068" s="98">
        <v>0.5</v>
      </c>
      <c r="S1068" s="94">
        <f>((Table3.110[[#This Row],[Sample weight, g]]*'2.1. DM'!Q295)/100)*1000</f>
        <v>481.53318595666548</v>
      </c>
      <c r="T1068" s="94">
        <f>'3.2 Digest'!W1068</f>
        <v>142.6331859566655</v>
      </c>
      <c r="U1068" s="153">
        <v>0.34305555555555556</v>
      </c>
      <c r="V1068" s="155">
        <v>40.5</v>
      </c>
      <c r="W1068" s="153">
        <v>0.69722222222222219</v>
      </c>
      <c r="X1068" s="95">
        <v>73.5</v>
      </c>
      <c r="Y1068" s="95">
        <v>14.9</v>
      </c>
      <c r="Z1068" s="154">
        <v>40</v>
      </c>
      <c r="AA1068" s="153">
        <v>0.36527777777777776</v>
      </c>
      <c r="AB1068" s="154">
        <v>75.5</v>
      </c>
      <c r="AC1068" s="154">
        <v>16.100000000000001</v>
      </c>
      <c r="AD1068" s="91"/>
      <c r="AE1068" s="94">
        <f>Table3.110[[#This Row],[Gas 8h, ml]]-Table3.110[[#This Row],[Gas 0h, ml]]</f>
        <v>33</v>
      </c>
      <c r="AF1068" s="94">
        <f>Table3.110[[#This Row],[Gas 24h, ml]]-Table3.110[[#This Row],[V8 Push back, ml]]</f>
        <v>35.5</v>
      </c>
      <c r="AG1068" s="94">
        <f>Table3.110[[#This Row],[GP 8h, ml]]-(AVERAGE(AE$982,AE$983,AE$1032,AE$1033,AE$1085,AE$1086))*$AG$8</f>
        <v>30.271229168713369</v>
      </c>
      <c r="AH1068" s="94">
        <f>Table3.110[[#This Row],[GP 8-24h, ml]]-(AVERAGE(AF$982,AF$983,AF$1032,AF$1033,AF$1085,AF$1086))*$AG$8</f>
        <v>31.849347131116534</v>
      </c>
      <c r="AI1068" s="94">
        <f>Table3.110[[#This Row],[Net gas 8-24h, ml]]+Table3.110[[#This Row],[Net gas 8h, ml]]</f>
        <v>62.120576299829906</v>
      </c>
      <c r="AJ1068" s="94">
        <f>Table3.110[[#This Row],[Net gas 8h, ml]]*Table3.110[[#This Row],[CH4 8h %]]%</f>
        <v>4.5104131461382915</v>
      </c>
      <c r="AK1068" s="94">
        <f>Table3.110[[#This Row],[Net gas 8-24h, ml]]*Table3.110[[#This Row],[CH4 24h, %]]%</f>
        <v>5.1277448881097625</v>
      </c>
      <c r="AL1068" s="94">
        <f>Table3.110[[#This Row],[CH4 8-24h, ml]]+Table3.110[[#This Row],[CH4 8h, ml]]</f>
        <v>9.638158034248054</v>
      </c>
      <c r="AM1068" s="94">
        <f>(Table3.110[[#This Row],[Net gas 24h, ml]]/Table3.110[[#This Row],[DM Incubated, mg]])*1000</f>
        <v>129.005805023416</v>
      </c>
      <c r="AN1068" s="94">
        <f>'3.2 Digest'!X1068</f>
        <v>29.620634696920238</v>
      </c>
      <c r="AO1068" s="94">
        <f>Table3.110[[#This Row],[Digested feed, mg]]/Table3.110[[#This Row],[Net gas 24h, ml]]</f>
        <v>2.2960699087567229</v>
      </c>
      <c r="AP1068" s="94">
        <f>Table3.110[[#This Row],[CH4 8h, ml]]/Table3.110[[#This Row],[Net gas 8h, ml]]%</f>
        <v>14.899999999999997</v>
      </c>
      <c r="AQ1068" s="94">
        <f>Table3.110[[#This Row],[CH4 24h, ml]]/Table3.110[[#This Row],[Net gas 24h, ml]]%</f>
        <v>15.515242466085176</v>
      </c>
      <c r="AR1068" s="94">
        <f>Table3.110[[#This Row],[CH4 24h, ml]]/Table3.110[[#This Row],[DM Incubated, mg]]*1000</f>
        <v>20.015563444708082</v>
      </c>
      <c r="AS1068" s="94">
        <f>Table3.110[[#This Row],[CH4 24h, ml]]/Table3.110[[#This Row],[Digested feed, mg]]*1000</f>
        <v>67.5730403804925</v>
      </c>
      <c r="AT1068" s="94">
        <f>Table3.110[[#This Row],[CH4 24h, ml]]/'3.2 Digest'!AA1068</f>
        <v>-0.80493346113158493</v>
      </c>
      <c r="AU1068" s="94">
        <f>((Table3.110[[#This Row],[CH4 24h, ml]]/28.9)*16.04)/Table3.110[[#This Row],[DM Incubated, mg]]*1000</f>
        <v>11.108984001837982</v>
      </c>
      <c r="AV1068" s="94">
        <f>((Table3.110[[#This Row],[CH4 24h, ml]]/28.9)*16.04)/Table3.110[[#This Row],[Digested feed, mg]]*1000</f>
        <v>37.504206494916943</v>
      </c>
      <c r="AW1068" s="94"/>
      <c r="AX1068" s="94"/>
    </row>
    <row r="1069" spans="2:50" x14ac:dyDescent="0.35">
      <c r="B1069" s="90">
        <f t="shared" si="16"/>
        <v>1059</v>
      </c>
      <c r="C1069" s="140">
        <v>46064</v>
      </c>
      <c r="D1069" s="6" t="s">
        <v>16</v>
      </c>
      <c r="E1069" s="6" t="s">
        <v>466</v>
      </c>
      <c r="F1069" s="242" t="s">
        <v>346</v>
      </c>
      <c r="G1069" s="242" t="s">
        <v>347</v>
      </c>
      <c r="H1069" s="6" t="s">
        <v>348</v>
      </c>
      <c r="I1069" s="133" t="s">
        <v>22</v>
      </c>
      <c r="J1069" s="135" t="s">
        <v>23</v>
      </c>
      <c r="K1069" s="135" t="s">
        <v>303</v>
      </c>
      <c r="L1069" s="6" t="s">
        <v>465</v>
      </c>
      <c r="M1069" s="256">
        <v>30</v>
      </c>
      <c r="N1069" s="256">
        <v>64</v>
      </c>
      <c r="O1069" s="256">
        <v>1</v>
      </c>
      <c r="P1069" s="257">
        <v>3</v>
      </c>
      <c r="Q1069" s="129">
        <v>193</v>
      </c>
      <c r="R1069" s="98">
        <v>0.50049999999999994</v>
      </c>
      <c r="S1069" s="94">
        <f>((Table3.110[[#This Row],[Sample weight, g]]*'2.1. DM'!Q295)/100)*1000</f>
        <v>482.01471914262208</v>
      </c>
      <c r="T1069" s="94">
        <f>'3.2 Digest'!W1069</f>
        <v>122.71471914262202</v>
      </c>
      <c r="U1069" s="117">
        <v>0.34375</v>
      </c>
      <c r="V1069" s="155">
        <v>41</v>
      </c>
      <c r="W1069" s="117">
        <v>0.69791666666666663</v>
      </c>
      <c r="X1069" s="97">
        <v>72</v>
      </c>
      <c r="Y1069" s="97">
        <v>14.7</v>
      </c>
      <c r="Z1069" s="155">
        <v>40</v>
      </c>
      <c r="AA1069" s="117">
        <v>0.3659722222222222</v>
      </c>
      <c r="AB1069" s="155">
        <v>72</v>
      </c>
      <c r="AC1069" s="155">
        <v>16.2</v>
      </c>
      <c r="AD1069" s="96"/>
      <c r="AE1069" s="94">
        <f>Table3.110[[#This Row],[Gas 8h, ml]]-Table3.110[[#This Row],[Gas 0h, ml]]</f>
        <v>31</v>
      </c>
      <c r="AF1069" s="94">
        <f>Table3.110[[#This Row],[Gas 24h, ml]]-Table3.110[[#This Row],[V8 Push back, ml]]</f>
        <v>32</v>
      </c>
      <c r="AG1069" s="94">
        <f>Table3.110[[#This Row],[GP 8h, ml]]-(AVERAGE(AE$982,AE$983,AE$1032,AE$1033,AE$1085,AE$1086))*$AG$8</f>
        <v>28.271229168713369</v>
      </c>
      <c r="AH1069" s="94">
        <f>Table3.110[[#This Row],[GP 8-24h, ml]]-(AVERAGE(AF$982,AF$983,AF$1032,AF$1033,AF$1085,AF$1086))*$AG$8</f>
        <v>28.349347131116534</v>
      </c>
      <c r="AI1069" s="94">
        <f>Table3.110[[#This Row],[Net gas 8-24h, ml]]+Table3.110[[#This Row],[Net gas 8h, ml]]</f>
        <v>56.620576299829906</v>
      </c>
      <c r="AJ1069" s="94">
        <f>Table3.110[[#This Row],[Net gas 8h, ml]]*Table3.110[[#This Row],[CH4 8h %]]%</f>
        <v>4.1558706878008653</v>
      </c>
      <c r="AK1069" s="94">
        <f>Table3.110[[#This Row],[Net gas 8-24h, ml]]*Table3.110[[#This Row],[CH4 24h, %]]%</f>
        <v>4.5925942352408784</v>
      </c>
      <c r="AL1069" s="94">
        <f>Table3.110[[#This Row],[CH4 8-24h, ml]]+Table3.110[[#This Row],[CH4 8h, ml]]</f>
        <v>8.7484649230417446</v>
      </c>
      <c r="AM1069" s="94">
        <f>(Table3.110[[#This Row],[Net gas 24h, ml]]/Table3.110[[#This Row],[DM Incubated, mg]])*1000</f>
        <v>117.46648816148826</v>
      </c>
      <c r="AN1069" s="94">
        <f>'3.2 Digest'!X1069</f>
        <v>25.458707850436468</v>
      </c>
      <c r="AO1069" s="94">
        <f>Table3.110[[#This Row],[Digested feed, mg]]/Table3.110[[#This Row],[Net gas 24h, ml]]</f>
        <v>2.167316674644844</v>
      </c>
      <c r="AP1069" s="94">
        <f>Table3.110[[#This Row],[CH4 8h, ml]]/Table3.110[[#This Row],[Net gas 8h, ml]]%</f>
        <v>14.700000000000001</v>
      </c>
      <c r="AQ1069" s="94">
        <f>Table3.110[[#This Row],[CH4 24h, ml]]/Table3.110[[#This Row],[Net gas 24h, ml]]%</f>
        <v>15.45103475583668</v>
      </c>
      <c r="AR1069" s="94">
        <f>Table3.110[[#This Row],[CH4 24h, ml]]/Table3.110[[#This Row],[DM Incubated, mg]]*1000</f>
        <v>18.149787912292329</v>
      </c>
      <c r="AS1069" s="94">
        <f>Table3.110[[#This Row],[CH4 24h, ml]]/Table3.110[[#This Row],[Digested feed, mg]]*1000</f>
        <v>71.29108051719588</v>
      </c>
      <c r="AT1069" s="94">
        <f>Table3.110[[#This Row],[CH4 24h, ml]]/'3.2 Digest'!AA1069</f>
        <v>-0.47046141273928854</v>
      </c>
      <c r="AU1069" s="94">
        <f>((Table3.110[[#This Row],[CH4 24h, ml]]/28.9)*16.04)/Table3.110[[#This Row],[DM Incubated, mg]]*1000</f>
        <v>10.073446301493735</v>
      </c>
      <c r="AV1069" s="94">
        <f>((Table3.110[[#This Row],[CH4 24h, ml]]/28.9)*16.04)/Table3.110[[#This Row],[Digested feed, mg]]*1000</f>
        <v>39.567783096741245</v>
      </c>
      <c r="AW1069" s="94"/>
      <c r="AX1069" s="94"/>
    </row>
    <row r="1070" spans="2:50" x14ac:dyDescent="0.35">
      <c r="B1070" s="90">
        <f t="shared" si="16"/>
        <v>1060</v>
      </c>
      <c r="C1070" s="140">
        <v>46064</v>
      </c>
      <c r="D1070" s="6" t="s">
        <v>16</v>
      </c>
      <c r="E1070" s="6" t="s">
        <v>468</v>
      </c>
      <c r="F1070" s="242" t="s">
        <v>212</v>
      </c>
      <c r="G1070" s="242" t="s">
        <v>469</v>
      </c>
      <c r="H1070" s="6" t="s">
        <v>470</v>
      </c>
      <c r="I1070" s="133" t="s">
        <v>22</v>
      </c>
      <c r="J1070" s="135" t="s">
        <v>23</v>
      </c>
      <c r="K1070" s="135" t="s">
        <v>303</v>
      </c>
      <c r="L1070" s="6" t="s">
        <v>467</v>
      </c>
      <c r="M1070" s="256">
        <v>30</v>
      </c>
      <c r="N1070" s="256">
        <v>64</v>
      </c>
      <c r="O1070" s="256">
        <v>1</v>
      </c>
      <c r="P1070" s="257">
        <v>1</v>
      </c>
      <c r="Q1070" s="129">
        <v>194</v>
      </c>
      <c r="R1070" s="98">
        <v>0.50029999999999997</v>
      </c>
      <c r="S1070" s="94">
        <f>((Table3.110[[#This Row],[Sample weight, g]]*'2.1. DM'!Q297)/100)*1000</f>
        <v>475.26503600959654</v>
      </c>
      <c r="T1070" s="94">
        <f>'3.2 Digest'!W1070</f>
        <v>179.76503600959654</v>
      </c>
      <c r="U1070" s="153">
        <v>0.34375</v>
      </c>
      <c r="V1070" s="155">
        <v>40.5</v>
      </c>
      <c r="W1070" s="153">
        <v>0.69861111111111107</v>
      </c>
      <c r="X1070" s="95">
        <v>80.5</v>
      </c>
      <c r="Y1070" s="95">
        <v>16.5</v>
      </c>
      <c r="Z1070" s="154">
        <v>40</v>
      </c>
      <c r="AA1070" s="153">
        <v>0.3659722222222222</v>
      </c>
      <c r="AB1070" s="154">
        <v>77</v>
      </c>
      <c r="AC1070" s="154">
        <v>16.2</v>
      </c>
      <c r="AD1070" s="91"/>
      <c r="AE1070" s="94">
        <f>Table3.110[[#This Row],[Gas 8h, ml]]-Table3.110[[#This Row],[Gas 0h, ml]]</f>
        <v>40</v>
      </c>
      <c r="AF1070" s="94">
        <f>Table3.110[[#This Row],[Gas 24h, ml]]-Table3.110[[#This Row],[V8 Push back, ml]]</f>
        <v>37</v>
      </c>
      <c r="AG1070" s="94">
        <f>Table3.110[[#This Row],[GP 8h, ml]]-(AVERAGE(AE$982,AE$983,AE$1032,AE$1033,AE$1085,AE$1086))*$AG$8</f>
        <v>37.271229168713369</v>
      </c>
      <c r="AH1070" s="94">
        <f>Table3.110[[#This Row],[GP 8-24h, ml]]-(AVERAGE(AF$982,AF$983,AF$1032,AF$1033,AF$1085,AF$1086))*$AG$8</f>
        <v>33.349347131116531</v>
      </c>
      <c r="AI1070" s="94">
        <f>Table3.110[[#This Row],[Net gas 8-24h, ml]]+Table3.110[[#This Row],[Net gas 8h, ml]]</f>
        <v>70.620576299829906</v>
      </c>
      <c r="AJ1070" s="94">
        <f>Table3.110[[#This Row],[Net gas 8h, ml]]*Table3.110[[#This Row],[CH4 8h %]]%</f>
        <v>6.1497528128377059</v>
      </c>
      <c r="AK1070" s="94">
        <f>Table3.110[[#This Row],[Net gas 8-24h, ml]]*Table3.110[[#This Row],[CH4 24h, %]]%</f>
        <v>5.402594235240878</v>
      </c>
      <c r="AL1070" s="94">
        <f>Table3.110[[#This Row],[CH4 8-24h, ml]]+Table3.110[[#This Row],[CH4 8h, ml]]</f>
        <v>11.552347048078584</v>
      </c>
      <c r="AM1070" s="94">
        <f>(Table3.110[[#This Row],[Net gas 24h, ml]]/Table3.110[[#This Row],[DM Incubated, mg]])*1000</f>
        <v>148.59198752084077</v>
      </c>
      <c r="AN1070" s="94">
        <f>'3.2 Digest'!X1070</f>
        <v>37.824165968305465</v>
      </c>
      <c r="AO1070" s="94">
        <f>Table3.110[[#This Row],[Digested feed, mg]]/Table3.110[[#This Row],[Net gas 24h, ml]]</f>
        <v>2.545505084047714</v>
      </c>
      <c r="AP1070" s="94">
        <f>Table3.110[[#This Row],[CH4 8h, ml]]/Table3.110[[#This Row],[Net gas 8h, ml]]%</f>
        <v>16.5</v>
      </c>
      <c r="AQ1070" s="94">
        <f>Table3.110[[#This Row],[CH4 24h, ml]]/Table3.110[[#This Row],[Net gas 24h, ml]]%</f>
        <v>16.358330182737987</v>
      </c>
      <c r="AR1070" s="94">
        <f>Table3.110[[#This Row],[CH4 24h, ml]]/Table3.110[[#This Row],[DM Incubated, mg]]*1000</f>
        <v>24.307167943751956</v>
      </c>
      <c r="AS1070" s="94">
        <f>Table3.110[[#This Row],[CH4 24h, ml]]/Table3.110[[#This Row],[Digested feed, mg]]*1000</f>
        <v>64.263592656927329</v>
      </c>
      <c r="AT1070" s="94">
        <f>Table3.110[[#This Row],[CH4 24h, ml]]/'3.2 Digest'!AA1070</f>
        <v>-0.84750456464933444</v>
      </c>
      <c r="AU1070" s="94">
        <f>((Table3.110[[#This Row],[CH4 24h, ml]]/28.9)*16.04)/Table3.110[[#This Row],[DM Incubated, mg]]*1000</f>
        <v>13.490898748020118</v>
      </c>
      <c r="AV1070" s="94">
        <f>((Table3.110[[#This Row],[CH4 24h, ml]]/28.9)*16.04)/Table3.110[[#This Row],[Digested feed, mg]]*1000</f>
        <v>35.667405751457245</v>
      </c>
      <c r="AW1070" s="94"/>
      <c r="AX1070" s="94"/>
    </row>
    <row r="1071" spans="2:50" x14ac:dyDescent="0.35">
      <c r="B1071" s="90">
        <f t="shared" si="16"/>
        <v>1061</v>
      </c>
      <c r="C1071" s="140">
        <v>46064</v>
      </c>
      <c r="D1071" s="6" t="s">
        <v>16</v>
      </c>
      <c r="E1071" s="6" t="s">
        <v>468</v>
      </c>
      <c r="F1071" s="242" t="s">
        <v>212</v>
      </c>
      <c r="G1071" s="242" t="s">
        <v>469</v>
      </c>
      <c r="H1071" s="6" t="s">
        <v>470</v>
      </c>
      <c r="I1071" s="133" t="s">
        <v>22</v>
      </c>
      <c r="J1071" s="135" t="s">
        <v>23</v>
      </c>
      <c r="K1071" s="135" t="s">
        <v>303</v>
      </c>
      <c r="L1071" s="6" t="s">
        <v>467</v>
      </c>
      <c r="M1071" s="256">
        <v>30</v>
      </c>
      <c r="N1071" s="256">
        <v>64</v>
      </c>
      <c r="O1071" s="256">
        <v>1</v>
      </c>
      <c r="P1071" s="257">
        <v>2</v>
      </c>
      <c r="Q1071" s="129">
        <v>195</v>
      </c>
      <c r="R1071" s="98">
        <v>0.50039999999999996</v>
      </c>
      <c r="S1071" s="94">
        <f>((Table3.110[[#This Row],[Sample weight, g]]*'2.1. DM'!Q297)/100)*1000</f>
        <v>475.36003201919266</v>
      </c>
      <c r="T1071" s="94">
        <f>'3.2 Digest'!W1071</f>
        <v>218.26003201919264</v>
      </c>
      <c r="U1071" s="117">
        <v>0.34375</v>
      </c>
      <c r="V1071" s="155">
        <v>41</v>
      </c>
      <c r="W1071" s="117">
        <v>0.69930555555555551</v>
      </c>
      <c r="X1071" s="97">
        <v>82.5</v>
      </c>
      <c r="Y1071" s="97">
        <v>16.2</v>
      </c>
      <c r="Z1071" s="155">
        <v>40.5</v>
      </c>
      <c r="AA1071" s="117">
        <v>0.36666666666666664</v>
      </c>
      <c r="AB1071" s="155">
        <v>76</v>
      </c>
      <c r="AC1071" s="155">
        <v>17.600000000000001</v>
      </c>
      <c r="AD1071" s="96"/>
      <c r="AE1071" s="94">
        <f>Table3.110[[#This Row],[Gas 8h, ml]]-Table3.110[[#This Row],[Gas 0h, ml]]</f>
        <v>41.5</v>
      </c>
      <c r="AF1071" s="94">
        <f>Table3.110[[#This Row],[Gas 24h, ml]]-Table3.110[[#This Row],[V8 Push back, ml]]</f>
        <v>35.5</v>
      </c>
      <c r="AG1071" s="94">
        <f>Table3.110[[#This Row],[GP 8h, ml]]-(AVERAGE(AE$982,AE$983,AE$1032,AE$1033,AE$1085,AE$1086))*$AG$8</f>
        <v>38.771229168713369</v>
      </c>
      <c r="AH1071" s="94">
        <f>Table3.110[[#This Row],[GP 8-24h, ml]]-(AVERAGE(AF$982,AF$983,AF$1032,AF$1033,AF$1085,AF$1086))*$AG$8</f>
        <v>31.849347131116534</v>
      </c>
      <c r="AI1071" s="94">
        <f>Table3.110[[#This Row],[Net gas 8-24h, ml]]+Table3.110[[#This Row],[Net gas 8h, ml]]</f>
        <v>70.620576299829906</v>
      </c>
      <c r="AJ1071" s="94">
        <f>Table3.110[[#This Row],[Net gas 8h, ml]]*Table3.110[[#This Row],[CH4 8h %]]%</f>
        <v>6.2809391253315656</v>
      </c>
      <c r="AK1071" s="94">
        <f>Table3.110[[#This Row],[Net gas 8-24h, ml]]*Table3.110[[#This Row],[CH4 24h, %]]%</f>
        <v>5.6054850950765109</v>
      </c>
      <c r="AL1071" s="94">
        <f>Table3.110[[#This Row],[CH4 8-24h, ml]]+Table3.110[[#This Row],[CH4 8h, ml]]</f>
        <v>11.886424220408077</v>
      </c>
      <c r="AM1071" s="94">
        <f>(Table3.110[[#This Row],[Net gas 24h, ml]]/Table3.110[[#This Row],[DM Incubated, mg]])*1000</f>
        <v>148.56229287905003</v>
      </c>
      <c r="AN1071" s="94">
        <f>'3.2 Digest'!X1071</f>
        <v>45.914678836604502</v>
      </c>
      <c r="AO1071" s="94">
        <f>Table3.110[[#This Row],[Digested feed, mg]]/Table3.110[[#This Row],[Net gas 24h, ml]]</f>
        <v>3.0906011173363694</v>
      </c>
      <c r="AP1071" s="94">
        <f>Table3.110[[#This Row],[CH4 8h, ml]]/Table3.110[[#This Row],[Net gas 8h, ml]]%</f>
        <v>16.2</v>
      </c>
      <c r="AQ1071" s="94">
        <f>Table3.110[[#This Row],[CH4 24h, ml]]/Table3.110[[#This Row],[Net gas 24h, ml]]%</f>
        <v>16.831389438033668</v>
      </c>
      <c r="AR1071" s="94">
        <f>Table3.110[[#This Row],[CH4 24h, ml]]/Table3.110[[#This Row],[DM Incubated, mg]]*1000</f>
        <v>25.005098072545071</v>
      </c>
      <c r="AS1071" s="94">
        <f>Table3.110[[#This Row],[CH4 24h, ml]]/Table3.110[[#This Row],[Digested feed, mg]]*1000</f>
        <v>54.459921546070554</v>
      </c>
      <c r="AT1071" s="94">
        <f>Table3.110[[#This Row],[CH4 24h, ml]]/'3.2 Digest'!AA1071</f>
        <v>10.291219195313543</v>
      </c>
      <c r="AU1071" s="94">
        <f>((Table3.110[[#This Row],[CH4 24h, ml]]/28.9)*16.04)/Table3.110[[#This Row],[DM Incubated, mg]]*1000</f>
        <v>13.878262044416019</v>
      </c>
      <c r="AV1071" s="94">
        <f>((Table3.110[[#This Row],[CH4 24h, ml]]/28.9)*16.04)/Table3.110[[#This Row],[Digested feed, mg]]*1000</f>
        <v>30.226198671244696</v>
      </c>
      <c r="AW1071" s="94"/>
      <c r="AX1071" s="94"/>
    </row>
    <row r="1072" spans="2:50" x14ac:dyDescent="0.35">
      <c r="B1072" s="90">
        <f t="shared" si="16"/>
        <v>1062</v>
      </c>
      <c r="C1072" s="140">
        <v>46064</v>
      </c>
      <c r="D1072" s="6" t="s">
        <v>16</v>
      </c>
      <c r="E1072" s="6" t="s">
        <v>468</v>
      </c>
      <c r="F1072" s="242" t="s">
        <v>212</v>
      </c>
      <c r="G1072" s="242" t="s">
        <v>469</v>
      </c>
      <c r="H1072" s="6" t="s">
        <v>470</v>
      </c>
      <c r="I1072" s="133" t="s">
        <v>22</v>
      </c>
      <c r="J1072" s="135" t="s">
        <v>23</v>
      </c>
      <c r="K1072" s="135" t="s">
        <v>303</v>
      </c>
      <c r="L1072" s="6" t="s">
        <v>467</v>
      </c>
      <c r="M1072" s="256">
        <v>30</v>
      </c>
      <c r="N1072" s="256">
        <v>64</v>
      </c>
      <c r="O1072" s="256">
        <v>1</v>
      </c>
      <c r="P1072" s="257">
        <v>3</v>
      </c>
      <c r="Q1072" s="129">
        <v>196</v>
      </c>
      <c r="R1072" s="98">
        <v>0.5</v>
      </c>
      <c r="S1072" s="94">
        <f>((Table3.110[[#This Row],[Sample weight, g]]*'2.1. DM'!Q297)/100)*1000</f>
        <v>474.98004798080808</v>
      </c>
      <c r="T1072" s="94">
        <f>'3.2 Digest'!W1072</f>
        <v>223.28004798080804</v>
      </c>
      <c r="U1072" s="153">
        <v>0.34375</v>
      </c>
      <c r="V1072" s="154">
        <v>41</v>
      </c>
      <c r="W1072" s="153">
        <v>0.69930555555555551</v>
      </c>
      <c r="X1072" s="95">
        <v>82.5</v>
      </c>
      <c r="Y1072" s="95">
        <v>16.5</v>
      </c>
      <c r="Z1072" s="154">
        <v>40.5</v>
      </c>
      <c r="AA1072" s="153">
        <v>0.36736111111111114</v>
      </c>
      <c r="AB1072" s="154">
        <v>78.5</v>
      </c>
      <c r="AC1072" s="154">
        <v>17.600000000000001</v>
      </c>
      <c r="AD1072" s="91"/>
      <c r="AE1072" s="94">
        <f>Table3.110[[#This Row],[Gas 8h, ml]]-Table3.110[[#This Row],[Gas 0h, ml]]</f>
        <v>41.5</v>
      </c>
      <c r="AF1072" s="94">
        <f>Table3.110[[#This Row],[Gas 24h, ml]]-Table3.110[[#This Row],[V8 Push back, ml]]</f>
        <v>38</v>
      </c>
      <c r="AG1072" s="94">
        <f>Table3.110[[#This Row],[GP 8h, ml]]-(AVERAGE(AE$982,AE$983,AE$1032,AE$1033,AE$1085,AE$1086))*$AG$8</f>
        <v>38.771229168713369</v>
      </c>
      <c r="AH1072" s="94">
        <f>Table3.110[[#This Row],[GP 8-24h, ml]]-(AVERAGE(AF$982,AF$983,AF$1032,AF$1033,AF$1085,AF$1086))*$AG$8</f>
        <v>34.349347131116531</v>
      </c>
      <c r="AI1072" s="94">
        <f>Table3.110[[#This Row],[Net gas 8-24h, ml]]+Table3.110[[#This Row],[Net gas 8h, ml]]</f>
        <v>73.120576299829906</v>
      </c>
      <c r="AJ1072" s="94">
        <f>Table3.110[[#This Row],[Net gas 8h, ml]]*Table3.110[[#This Row],[CH4 8h %]]%</f>
        <v>6.3972528128377064</v>
      </c>
      <c r="AK1072" s="94">
        <f>Table3.110[[#This Row],[Net gas 8-24h, ml]]*Table3.110[[#This Row],[CH4 24h, %]]%</f>
        <v>6.0454850950765104</v>
      </c>
      <c r="AL1072" s="94">
        <f>Table3.110[[#This Row],[CH4 8-24h, ml]]+Table3.110[[#This Row],[CH4 8h, ml]]</f>
        <v>12.442737907914218</v>
      </c>
      <c r="AM1072" s="94">
        <f>(Table3.110[[#This Row],[Net gas 24h, ml]]/Table3.110[[#This Row],[DM Incubated, mg]])*1000</f>
        <v>153.9445216923815</v>
      </c>
      <c r="AN1072" s="94">
        <f>'3.2 Digest'!X1072</f>
        <v>47.008300439143888</v>
      </c>
      <c r="AO1072" s="94">
        <f>Table3.110[[#This Row],[Digested feed, mg]]/Table3.110[[#This Row],[Net gas 24h, ml]]</f>
        <v>3.0535870924382666</v>
      </c>
      <c r="AP1072" s="94">
        <f>Table3.110[[#This Row],[CH4 8h, ml]]/Table3.110[[#This Row],[Net gas 8h, ml]]%</f>
        <v>16.500000000000004</v>
      </c>
      <c r="AQ1072" s="94">
        <f>Table3.110[[#This Row],[CH4 24h, ml]]/Table3.110[[#This Row],[Net gas 24h, ml]]%</f>
        <v>17.016739387956878</v>
      </c>
      <c r="AR1072" s="94">
        <f>Table3.110[[#This Row],[CH4 24h, ml]]/Table3.110[[#This Row],[DM Incubated, mg]]*1000</f>
        <v>26.196338058429298</v>
      </c>
      <c r="AS1072" s="94">
        <f>Table3.110[[#This Row],[CH4 24h, ml]]/Table3.110[[#This Row],[Digested feed, mg]]*1000</f>
        <v>55.727047805828711</v>
      </c>
      <c r="AT1072" s="94">
        <f>Table3.110[[#This Row],[CH4 24h, ml]]/'3.2 Digest'!AA1072</f>
        <v>3.9454634970814171</v>
      </c>
      <c r="AU1072" s="94">
        <f>((Table3.110[[#This Row],[CH4 24h, ml]]/28.9)*16.04)/Table3.110[[#This Row],[DM Incubated, mg]]*1000</f>
        <v>14.539420846270103</v>
      </c>
      <c r="AV1072" s="94">
        <f>((Table3.110[[#This Row],[CH4 24h, ml]]/28.9)*16.04)/Table3.110[[#This Row],[Digested feed, mg]]*1000</f>
        <v>30.929475668010124</v>
      </c>
      <c r="AW1072" s="94"/>
      <c r="AX1072" s="94"/>
    </row>
    <row r="1073" spans="2:50" x14ac:dyDescent="0.35">
      <c r="B1073" s="90">
        <f t="shared" si="16"/>
        <v>1063</v>
      </c>
      <c r="C1073" s="140">
        <v>46064</v>
      </c>
      <c r="D1073" s="6" t="s">
        <v>16</v>
      </c>
      <c r="E1073" s="6" t="s">
        <v>472</v>
      </c>
      <c r="F1073" s="242" t="s">
        <v>346</v>
      </c>
      <c r="G1073" s="242" t="s">
        <v>347</v>
      </c>
      <c r="H1073" s="6" t="s">
        <v>348</v>
      </c>
      <c r="I1073" s="133" t="s">
        <v>22</v>
      </c>
      <c r="J1073" s="135" t="s">
        <v>23</v>
      </c>
      <c r="K1073" s="135" t="s">
        <v>303</v>
      </c>
      <c r="L1073" s="6" t="s">
        <v>471</v>
      </c>
      <c r="M1073" s="256">
        <v>30</v>
      </c>
      <c r="N1073" s="256">
        <v>64</v>
      </c>
      <c r="O1073" s="256">
        <v>1</v>
      </c>
      <c r="P1073" s="257">
        <v>1</v>
      </c>
      <c r="Q1073" s="129">
        <v>197</v>
      </c>
      <c r="R1073" s="98">
        <v>0.5</v>
      </c>
      <c r="S1073" s="94">
        <f>((Table3.110[[#This Row],[Sample weight, g]]*'2.1. DM'!Q299)/100)*1000</f>
        <v>478.00774927473253</v>
      </c>
      <c r="T1073" s="94">
        <f>'3.2 Digest'!W1073</f>
        <v>31.107749274732555</v>
      </c>
      <c r="U1073" s="117">
        <v>0.34444444444444444</v>
      </c>
      <c r="V1073" s="155">
        <v>40</v>
      </c>
      <c r="W1073" s="117">
        <v>0.7</v>
      </c>
      <c r="X1073" s="97">
        <v>68.5</v>
      </c>
      <c r="Y1073" s="97">
        <v>15.2</v>
      </c>
      <c r="Z1073" s="155">
        <v>40</v>
      </c>
      <c r="AA1073" s="117">
        <v>0.36736111111111114</v>
      </c>
      <c r="AB1073" s="155">
        <v>70.5</v>
      </c>
      <c r="AC1073" s="155">
        <v>16.3</v>
      </c>
      <c r="AD1073" s="96"/>
      <c r="AE1073" s="94">
        <f>Table3.110[[#This Row],[Gas 8h, ml]]-Table3.110[[#This Row],[Gas 0h, ml]]</f>
        <v>28.5</v>
      </c>
      <c r="AF1073" s="94">
        <f>Table3.110[[#This Row],[Gas 24h, ml]]-Table3.110[[#This Row],[V8 Push back, ml]]</f>
        <v>30.5</v>
      </c>
      <c r="AG1073" s="94"/>
      <c r="AH1073" s="94"/>
      <c r="AI1073" s="94"/>
      <c r="AJ1073" s="94"/>
      <c r="AK1073" s="94"/>
      <c r="AL1073" s="94"/>
      <c r="AM1073" s="94"/>
      <c r="AN1073" s="94"/>
      <c r="AO1073" s="94"/>
      <c r="AP1073" s="94"/>
      <c r="AQ1073" s="94"/>
      <c r="AR1073" s="94"/>
      <c r="AS1073" s="94"/>
      <c r="AT1073" s="94"/>
      <c r="AU1073" s="94"/>
      <c r="AV1073" s="94"/>
      <c r="AW1073" s="94" t="s">
        <v>629</v>
      </c>
      <c r="AX1073" s="94"/>
    </row>
    <row r="1074" spans="2:50" x14ac:dyDescent="0.35">
      <c r="B1074" s="90">
        <f t="shared" si="16"/>
        <v>1064</v>
      </c>
      <c r="C1074" s="140">
        <v>46064</v>
      </c>
      <c r="D1074" s="6" t="s">
        <v>16</v>
      </c>
      <c r="E1074" s="6" t="s">
        <v>472</v>
      </c>
      <c r="F1074" s="242" t="s">
        <v>346</v>
      </c>
      <c r="G1074" s="242" t="s">
        <v>347</v>
      </c>
      <c r="H1074" s="6" t="s">
        <v>348</v>
      </c>
      <c r="I1074" s="133" t="s">
        <v>22</v>
      </c>
      <c r="J1074" s="135" t="s">
        <v>23</v>
      </c>
      <c r="K1074" s="135" t="s">
        <v>303</v>
      </c>
      <c r="L1074" s="6" t="s">
        <v>471</v>
      </c>
      <c r="M1074" s="256">
        <v>30</v>
      </c>
      <c r="N1074" s="256">
        <v>64</v>
      </c>
      <c r="O1074" s="256">
        <v>1</v>
      </c>
      <c r="P1074" s="257">
        <v>2</v>
      </c>
      <c r="Q1074" s="129">
        <v>198</v>
      </c>
      <c r="R1074" s="98">
        <v>0.50009999999999999</v>
      </c>
      <c r="S1074" s="94">
        <f>((Table3.110[[#This Row],[Sample weight, g]]*'2.1. DM'!Q299)/100)*1000</f>
        <v>478.10335082458749</v>
      </c>
      <c r="T1074" s="94"/>
      <c r="U1074" s="153">
        <v>0.34444444444444444</v>
      </c>
      <c r="V1074" s="154">
        <v>40</v>
      </c>
      <c r="W1074" s="153">
        <v>0.7006944444444444</v>
      </c>
      <c r="X1074" s="95">
        <v>71.5</v>
      </c>
      <c r="Y1074" s="95">
        <v>14.4</v>
      </c>
      <c r="Z1074" s="154">
        <v>40</v>
      </c>
      <c r="AA1074" s="153">
        <v>0.36736111111111114</v>
      </c>
      <c r="AB1074" s="154">
        <v>70</v>
      </c>
      <c r="AC1074" s="154">
        <v>15.8</v>
      </c>
      <c r="AD1074" s="91" t="s">
        <v>589</v>
      </c>
      <c r="AE1074" s="94">
        <f>Table3.110[[#This Row],[Gas 8h, ml]]-Table3.110[[#This Row],[Gas 0h, ml]]</f>
        <v>31.5</v>
      </c>
      <c r="AF1074" s="94">
        <f>Table3.110[[#This Row],[Gas 24h, ml]]-Table3.110[[#This Row],[V8 Push back, ml]]</f>
        <v>30</v>
      </c>
      <c r="AG1074" s="94"/>
      <c r="AH1074" s="94"/>
      <c r="AI1074" s="94"/>
      <c r="AJ1074" s="94"/>
      <c r="AK1074" s="94"/>
      <c r="AL1074" s="94"/>
      <c r="AM1074" s="94"/>
      <c r="AN1074" s="94"/>
      <c r="AO1074" s="94"/>
      <c r="AP1074" s="94"/>
      <c r="AQ1074" s="94"/>
      <c r="AR1074" s="94"/>
      <c r="AS1074" s="94"/>
      <c r="AT1074" s="94"/>
      <c r="AU1074" s="94"/>
      <c r="AV1074" s="94"/>
      <c r="AW1074" s="94" t="s">
        <v>629</v>
      </c>
      <c r="AX1074" s="94"/>
    </row>
    <row r="1075" spans="2:50" x14ac:dyDescent="0.35">
      <c r="B1075" s="90">
        <f t="shared" si="16"/>
        <v>1065</v>
      </c>
      <c r="C1075" s="140">
        <v>46064</v>
      </c>
      <c r="D1075" s="6" t="s">
        <v>16</v>
      </c>
      <c r="E1075" s="6" t="s">
        <v>472</v>
      </c>
      <c r="F1075" s="242" t="s">
        <v>346</v>
      </c>
      <c r="G1075" s="242" t="s">
        <v>347</v>
      </c>
      <c r="H1075" s="6" t="s">
        <v>348</v>
      </c>
      <c r="I1075" s="133" t="s">
        <v>22</v>
      </c>
      <c r="J1075" s="135" t="s">
        <v>23</v>
      </c>
      <c r="K1075" s="135" t="s">
        <v>303</v>
      </c>
      <c r="L1075" s="6" t="s">
        <v>471</v>
      </c>
      <c r="M1075" s="256">
        <v>30</v>
      </c>
      <c r="N1075" s="256">
        <v>64</v>
      </c>
      <c r="O1075" s="256">
        <v>1</v>
      </c>
      <c r="P1075" s="257">
        <v>3</v>
      </c>
      <c r="Q1075" s="129">
        <v>199</v>
      </c>
      <c r="R1075" s="98">
        <v>0.50009999999999999</v>
      </c>
      <c r="S1075" s="94">
        <f>((Table3.110[[#This Row],[Sample weight, g]]*'2.1. DM'!Q299)/100)*1000</f>
        <v>478.10335082458749</v>
      </c>
      <c r="T1075" s="94">
        <f>'3.2 Digest'!W1075</f>
        <v>167.10335082458744</v>
      </c>
      <c r="U1075" s="117">
        <v>0.34444444444444444</v>
      </c>
      <c r="V1075" s="155">
        <v>40.5</v>
      </c>
      <c r="W1075" s="117">
        <v>0.7006944444444444</v>
      </c>
      <c r="X1075" s="97">
        <v>69</v>
      </c>
      <c r="Y1075" s="97">
        <v>14.6</v>
      </c>
      <c r="Z1075" s="155">
        <v>40</v>
      </c>
      <c r="AA1075" s="117">
        <v>0.36875000000000002</v>
      </c>
      <c r="AB1075" s="155">
        <v>69.5</v>
      </c>
      <c r="AC1075" s="155">
        <v>16</v>
      </c>
      <c r="AD1075" s="96"/>
      <c r="AE1075" s="94">
        <f>Table3.110[[#This Row],[Gas 8h, ml]]-Table3.110[[#This Row],[Gas 0h, ml]]</f>
        <v>28.5</v>
      </c>
      <c r="AF1075" s="94">
        <f>Table3.110[[#This Row],[Gas 24h, ml]]-Table3.110[[#This Row],[V8 Push back, ml]]</f>
        <v>29.5</v>
      </c>
      <c r="AG1075" s="94"/>
      <c r="AH1075" s="94"/>
      <c r="AI1075" s="94"/>
      <c r="AJ1075" s="94"/>
      <c r="AK1075" s="94"/>
      <c r="AL1075" s="94"/>
      <c r="AM1075" s="94"/>
      <c r="AN1075" s="94"/>
      <c r="AO1075" s="94"/>
      <c r="AP1075" s="94"/>
      <c r="AQ1075" s="94"/>
      <c r="AR1075" s="94"/>
      <c r="AS1075" s="94"/>
      <c r="AT1075" s="94"/>
      <c r="AU1075" s="94"/>
      <c r="AV1075" s="94"/>
      <c r="AW1075" s="94" t="s">
        <v>629</v>
      </c>
      <c r="AX1075" s="94"/>
    </row>
    <row r="1076" spans="2:50" x14ac:dyDescent="0.35">
      <c r="B1076" s="90">
        <f t="shared" si="16"/>
        <v>1066</v>
      </c>
      <c r="C1076" s="140">
        <v>46064</v>
      </c>
      <c r="D1076" s="6" t="s">
        <v>473</v>
      </c>
      <c r="E1076" s="6" t="s">
        <v>475</v>
      </c>
      <c r="F1076" s="242" t="s">
        <v>592</v>
      </c>
      <c r="G1076" s="242" t="s">
        <v>106</v>
      </c>
      <c r="H1076" s="6" t="s">
        <v>476</v>
      </c>
      <c r="I1076" s="133" t="s">
        <v>108</v>
      </c>
      <c r="J1076" s="132" t="s">
        <v>109</v>
      </c>
      <c r="K1076" s="133" t="s">
        <v>110</v>
      </c>
      <c r="L1076" s="6" t="s">
        <v>474</v>
      </c>
      <c r="M1076" s="256">
        <v>30</v>
      </c>
      <c r="N1076" s="256">
        <v>64</v>
      </c>
      <c r="O1076" s="256">
        <v>1</v>
      </c>
      <c r="P1076" s="257">
        <v>1</v>
      </c>
      <c r="Q1076" s="129">
        <v>200</v>
      </c>
      <c r="R1076" s="98">
        <v>0.50049999999999994</v>
      </c>
      <c r="S1076" s="94">
        <f>((Table3.110[[#This Row],[Sample weight, g]]*'2.1. DM'!Q301)/100)*1000</f>
        <v>465.91544999999996</v>
      </c>
      <c r="T1076" s="94">
        <f>'3.2 Digest'!W1076</f>
        <v>217.41545000000002</v>
      </c>
      <c r="U1076" s="153">
        <v>0.34652777777777777</v>
      </c>
      <c r="V1076" s="154">
        <v>40</v>
      </c>
      <c r="W1076" s="153">
        <v>0.70138888888888884</v>
      </c>
      <c r="X1076" s="95">
        <v>79.5</v>
      </c>
      <c r="Y1076" s="95">
        <v>13.7</v>
      </c>
      <c r="Z1076" s="154">
        <v>40</v>
      </c>
      <c r="AA1076" s="153">
        <v>0.36875000000000002</v>
      </c>
      <c r="AB1076" s="154">
        <v>80.5</v>
      </c>
      <c r="AC1076" s="154">
        <v>15.4</v>
      </c>
      <c r="AD1076" s="91" t="s">
        <v>593</v>
      </c>
      <c r="AE1076" s="94">
        <f>Table3.110[[#This Row],[Gas 8h, ml]]-Table3.110[[#This Row],[Gas 0h, ml]]</f>
        <v>39.5</v>
      </c>
      <c r="AF1076" s="94">
        <f>Table3.110[[#This Row],[Gas 24h, ml]]-Table3.110[[#This Row],[V8 Push back, ml]]</f>
        <v>40.5</v>
      </c>
      <c r="AG1076" s="94">
        <f>Table3.110[[#This Row],[GP 8h, ml]]-(AVERAGE(AE$982,AE$983,AE$1032,AE$1033,AE$1085,AE$1086))*$AG$8</f>
        <v>36.771229168713369</v>
      </c>
      <c r="AH1076" s="94">
        <f>Table3.110[[#This Row],[GP 8-24h, ml]]-(AVERAGE(AF$982,AF$983,AF$1032,AF$1033,AF$1085,AF$1086))*$AG$8</f>
        <v>36.849347131116531</v>
      </c>
      <c r="AI1076" s="94">
        <f>Table3.110[[#This Row],[Net gas 8-24h, ml]]+Table3.110[[#This Row],[Net gas 8h, ml]]</f>
        <v>73.620576299829906</v>
      </c>
      <c r="AJ1076" s="94">
        <f>Table3.110[[#This Row],[Net gas 8h, ml]]*Table3.110[[#This Row],[CH4 8h %]]%</f>
        <v>5.0376583961137307</v>
      </c>
      <c r="AK1076" s="94">
        <f>Table3.110[[#This Row],[Net gas 8-24h, ml]]*Table3.110[[#This Row],[CH4 24h, %]]%</f>
        <v>5.6747994581919459</v>
      </c>
      <c r="AL1076" s="94">
        <f>Table3.110[[#This Row],[CH4 8-24h, ml]]+Table3.110[[#This Row],[CH4 8h, ml]]</f>
        <v>10.712457854305676</v>
      </c>
      <c r="AM1076" s="94">
        <f>(Table3.110[[#This Row],[Net gas 24h, ml]]/Table3.110[[#This Row],[DM Incubated, mg]])*1000</f>
        <v>158.01273879161963</v>
      </c>
      <c r="AN1076" s="94">
        <f>'3.2 Digest'!X1076</f>
        <v>46.66414260355608</v>
      </c>
      <c r="AO1076" s="94">
        <f>Table3.110[[#This Row],[Digested feed, mg]]/Table3.110[[#This Row],[Net gas 24h, ml]]</f>
        <v>2.9531886454480571</v>
      </c>
      <c r="AP1076" s="94">
        <f>Table3.110[[#This Row],[CH4 8h, ml]]/Table3.110[[#This Row],[Net gas 8h, ml]]%</f>
        <v>13.699999999999998</v>
      </c>
      <c r="AQ1076" s="94">
        <f>Table3.110[[#This Row],[CH4 24h, ml]]/Table3.110[[#This Row],[Net gas 24h, ml]]%</f>
        <v>14.550901925404277</v>
      </c>
      <c r="AR1076" s="94">
        <f>Table3.110[[#This Row],[CH4 24h, ml]]/Table3.110[[#This Row],[DM Incubated, mg]]*1000</f>
        <v>22.992278651213812</v>
      </c>
      <c r="AS1076" s="94">
        <f>Table3.110[[#This Row],[CH4 24h, ml]]/Table3.110[[#This Row],[Digested feed, mg]]*1000</f>
        <v>49.271833507258449</v>
      </c>
      <c r="AT1076" s="94">
        <f>Table3.110[[#This Row],[CH4 24h, ml]]/'3.2 Digest'!AA1076</f>
        <v>0.99651661066635855</v>
      </c>
      <c r="AU1076" s="94">
        <f>((Table3.110[[#This Row],[CH4 24h, ml]]/28.9)*16.04)/Table3.110[[#This Row],[DM Incubated, mg]]*1000</f>
        <v>12.761112441711749</v>
      </c>
      <c r="AV1076" s="94">
        <f>((Table3.110[[#This Row],[CH4 24h, ml]]/28.9)*16.04)/Table3.110[[#This Row],[Digested feed, mg]]*1000</f>
        <v>27.346720050395344</v>
      </c>
      <c r="AW1076" s="94"/>
      <c r="AX1076" s="94"/>
    </row>
    <row r="1077" spans="2:50" x14ac:dyDescent="0.35">
      <c r="B1077" s="90">
        <f t="shared" si="16"/>
        <v>1067</v>
      </c>
      <c r="C1077" s="140">
        <v>46064</v>
      </c>
      <c r="D1077" s="6" t="s">
        <v>473</v>
      </c>
      <c r="E1077" s="6" t="s">
        <v>475</v>
      </c>
      <c r="F1077" s="242" t="s">
        <v>592</v>
      </c>
      <c r="G1077" s="242" t="s">
        <v>106</v>
      </c>
      <c r="H1077" s="6" t="s">
        <v>476</v>
      </c>
      <c r="I1077" s="133" t="s">
        <v>108</v>
      </c>
      <c r="J1077" s="132" t="s">
        <v>109</v>
      </c>
      <c r="K1077" s="133" t="s">
        <v>110</v>
      </c>
      <c r="L1077" s="6" t="s">
        <v>474</v>
      </c>
      <c r="M1077" s="256">
        <v>30</v>
      </c>
      <c r="N1077" s="256">
        <v>64</v>
      </c>
      <c r="O1077" s="256">
        <v>1</v>
      </c>
      <c r="P1077" s="257">
        <v>2</v>
      </c>
      <c r="Q1077" s="129">
        <v>201</v>
      </c>
      <c r="R1077" s="98">
        <v>0.50039999999999996</v>
      </c>
      <c r="S1077" s="94">
        <f>((Table3.110[[#This Row],[Sample weight, g]]*'2.1. DM'!Q301)/100)*1000</f>
        <v>465.82235999999995</v>
      </c>
      <c r="T1077" s="94">
        <f>'3.2 Digest'!W1077</f>
        <v>246.12235999999993</v>
      </c>
      <c r="U1077" s="117">
        <v>0.34513888888888888</v>
      </c>
      <c r="V1077" s="155">
        <v>40.5</v>
      </c>
      <c r="W1077" s="117">
        <v>0.70208333333333328</v>
      </c>
      <c r="X1077" s="97">
        <v>82.5</v>
      </c>
      <c r="Y1077" s="97">
        <v>13.5</v>
      </c>
      <c r="Z1077" s="155">
        <v>40</v>
      </c>
      <c r="AA1077" s="117">
        <v>0.36944444444444446</v>
      </c>
      <c r="AB1077" s="155">
        <v>92</v>
      </c>
      <c r="AC1077" s="155">
        <v>15.5</v>
      </c>
      <c r="AD1077" s="96"/>
      <c r="AE1077" s="94">
        <f>Table3.110[[#This Row],[Gas 8h, ml]]-Table3.110[[#This Row],[Gas 0h, ml]]</f>
        <v>42</v>
      </c>
      <c r="AF1077" s="94">
        <f>Table3.110[[#This Row],[Gas 24h, ml]]-Table3.110[[#This Row],[V8 Push back, ml]]</f>
        <v>52</v>
      </c>
      <c r="AG1077" s="94">
        <f>Table3.110[[#This Row],[GP 8h, ml]]-(AVERAGE(AE$982,AE$983,AE$1032,AE$1033,AE$1085,AE$1086))*$AG$8</f>
        <v>39.271229168713369</v>
      </c>
      <c r="AH1077" s="94">
        <f>Table3.110[[#This Row],[GP 8-24h, ml]]-(AVERAGE(AF$982,AF$983,AF$1032,AF$1033,AF$1085,AF$1086))*$AG$8</f>
        <v>48.349347131116531</v>
      </c>
      <c r="AI1077" s="94">
        <f>Table3.110[[#This Row],[Net gas 8-24h, ml]]+Table3.110[[#This Row],[Net gas 8h, ml]]</f>
        <v>87.620576299829906</v>
      </c>
      <c r="AJ1077" s="94">
        <f>Table3.110[[#This Row],[Net gas 8h, ml]]*Table3.110[[#This Row],[CH4 8h %]]%</f>
        <v>5.3016159377763055</v>
      </c>
      <c r="AK1077" s="94">
        <f>Table3.110[[#This Row],[Net gas 8-24h, ml]]*Table3.110[[#This Row],[CH4 24h, %]]%</f>
        <v>7.4941488053230625</v>
      </c>
      <c r="AL1077" s="94">
        <f>Table3.110[[#This Row],[CH4 8-24h, ml]]+Table3.110[[#This Row],[CH4 8h, ml]]</f>
        <v>12.795764743099369</v>
      </c>
      <c r="AM1077" s="94">
        <f>(Table3.110[[#This Row],[Net gas 24h, ml]]/Table3.110[[#This Row],[DM Incubated, mg]])*1000</f>
        <v>188.09869131191968</v>
      </c>
      <c r="AN1077" s="94">
        <f>'3.2 Digest'!X1077</f>
        <v>52.836098292920063</v>
      </c>
      <c r="AO1077" s="94">
        <f>Table3.110[[#This Row],[Digested feed, mg]]/Table3.110[[#This Row],[Net gas 24h, ml]]</f>
        <v>2.8089561880738021</v>
      </c>
      <c r="AP1077" s="94">
        <f>Table3.110[[#This Row],[CH4 8h, ml]]/Table3.110[[#This Row],[Net gas 8h, ml]]%</f>
        <v>13.500000000000002</v>
      </c>
      <c r="AQ1077" s="94">
        <f>Table3.110[[#This Row],[CH4 24h, ml]]/Table3.110[[#This Row],[Net gas 24h, ml]]%</f>
        <v>14.603607147382125</v>
      </c>
      <c r="AR1077" s="94">
        <f>Table3.110[[#This Row],[CH4 24h, ml]]/Table3.110[[#This Row],[DM Incubated, mg]]*1000</f>
        <v>27.469193928559744</v>
      </c>
      <c r="AS1077" s="94">
        <f>Table3.110[[#This Row],[CH4 24h, ml]]/Table3.110[[#This Row],[Digested feed, mg]]*1000</f>
        <v>51.989444368644008</v>
      </c>
      <c r="AT1077" s="94">
        <f>Table3.110[[#This Row],[CH4 24h, ml]]/'3.2 Digest'!AA1077</f>
        <v>0.6070728278433819</v>
      </c>
      <c r="AU1077" s="94">
        <f>((Table3.110[[#This Row],[CH4 24h, ml]]/28.9)*16.04)/Table3.110[[#This Row],[DM Incubated, mg]]*1000</f>
        <v>15.245877875920355</v>
      </c>
      <c r="AV1077" s="94">
        <f>((Table3.110[[#This Row],[CH4 24h, ml]]/28.9)*16.04)/Table3.110[[#This Row],[Digested feed, mg]]*1000</f>
        <v>28.855041095953283</v>
      </c>
      <c r="AW1077" s="94"/>
      <c r="AX1077" s="94"/>
    </row>
    <row r="1078" spans="2:50" x14ac:dyDescent="0.35">
      <c r="B1078" s="90">
        <f t="shared" si="16"/>
        <v>1068</v>
      </c>
      <c r="C1078" s="140">
        <v>46064</v>
      </c>
      <c r="D1078" s="6" t="s">
        <v>473</v>
      </c>
      <c r="E1078" s="6" t="s">
        <v>475</v>
      </c>
      <c r="F1078" s="242" t="s">
        <v>592</v>
      </c>
      <c r="G1078" s="242" t="s">
        <v>106</v>
      </c>
      <c r="H1078" s="6" t="s">
        <v>476</v>
      </c>
      <c r="I1078" s="133" t="s">
        <v>108</v>
      </c>
      <c r="J1078" s="132" t="s">
        <v>109</v>
      </c>
      <c r="K1078" s="133" t="s">
        <v>110</v>
      </c>
      <c r="L1078" s="6" t="s">
        <v>474</v>
      </c>
      <c r="M1078" s="256">
        <v>30</v>
      </c>
      <c r="N1078" s="256">
        <v>64</v>
      </c>
      <c r="O1078" s="256">
        <v>1</v>
      </c>
      <c r="P1078" s="257">
        <v>3</v>
      </c>
      <c r="Q1078" s="129">
        <v>202</v>
      </c>
      <c r="R1078" s="98">
        <v>0.50049999999999994</v>
      </c>
      <c r="S1078" s="94">
        <f>((Table3.110[[#This Row],[Sample weight, g]]*'2.1. DM'!Q301)/100)*1000</f>
        <v>465.91544999999996</v>
      </c>
      <c r="T1078" s="94">
        <f>'3.2 Digest'!W1078</f>
        <v>251.51545000000004</v>
      </c>
      <c r="U1078" s="153">
        <v>0.34583333333333333</v>
      </c>
      <c r="V1078" s="154">
        <v>40.5</v>
      </c>
      <c r="W1078" s="153">
        <v>0.70208333333333328</v>
      </c>
      <c r="X1078" s="95">
        <v>83</v>
      </c>
      <c r="Y1078" s="95">
        <v>13.6</v>
      </c>
      <c r="Z1078" s="154">
        <v>40</v>
      </c>
      <c r="AA1078" s="153">
        <v>0.37013888888888891</v>
      </c>
      <c r="AB1078" s="154">
        <v>93.5</v>
      </c>
      <c r="AC1078" s="154">
        <v>15.5</v>
      </c>
      <c r="AD1078" s="91"/>
      <c r="AE1078" s="94">
        <f>Table3.110[[#This Row],[Gas 8h, ml]]-Table3.110[[#This Row],[Gas 0h, ml]]</f>
        <v>42.5</v>
      </c>
      <c r="AF1078" s="94">
        <f>Table3.110[[#This Row],[Gas 24h, ml]]-Table3.110[[#This Row],[V8 Push back, ml]]</f>
        <v>53.5</v>
      </c>
      <c r="AG1078" s="94">
        <f>Table3.110[[#This Row],[GP 8h, ml]]-(AVERAGE(AE$982,AE$983,AE$1032,AE$1033,AE$1085,AE$1086))*$AG$8</f>
        <v>39.771229168713369</v>
      </c>
      <c r="AH1078" s="94">
        <f>Table3.110[[#This Row],[GP 8-24h, ml]]-(AVERAGE(AF$982,AF$983,AF$1032,AF$1033,AF$1085,AF$1086))*$AG$8</f>
        <v>49.849347131116531</v>
      </c>
      <c r="AI1078" s="94">
        <f>Table3.110[[#This Row],[Net gas 8-24h, ml]]+Table3.110[[#This Row],[Net gas 8h, ml]]</f>
        <v>89.620576299829906</v>
      </c>
      <c r="AJ1078" s="94">
        <f>Table3.110[[#This Row],[Net gas 8h, ml]]*Table3.110[[#This Row],[CH4 8h %]]%</f>
        <v>5.4088871669450187</v>
      </c>
      <c r="AK1078" s="94">
        <f>Table3.110[[#This Row],[Net gas 8-24h, ml]]*Table3.110[[#This Row],[CH4 24h, %]]%</f>
        <v>7.7266488053230624</v>
      </c>
      <c r="AL1078" s="94">
        <f>Table3.110[[#This Row],[CH4 8-24h, ml]]+Table3.110[[#This Row],[CH4 8h, ml]]</f>
        <v>13.13553597226808</v>
      </c>
      <c r="AM1078" s="94">
        <f>(Table3.110[[#This Row],[Net gas 24h, ml]]/Table3.110[[#This Row],[DM Incubated, mg]])*1000</f>
        <v>192.35373349355535</v>
      </c>
      <c r="AN1078" s="94">
        <f>'3.2 Digest'!X1078</f>
        <v>53.983067099406135</v>
      </c>
      <c r="AO1078" s="94">
        <f>Table3.110[[#This Row],[Digested feed, mg]]/Table3.110[[#This Row],[Net gas 24h, ml]]</f>
        <v>2.806447585859559</v>
      </c>
      <c r="AP1078" s="94">
        <f>Table3.110[[#This Row],[CH4 8h, ml]]/Table3.110[[#This Row],[Net gas 8h, ml]]%</f>
        <v>13.600000000000001</v>
      </c>
      <c r="AQ1078" s="94">
        <f>Table3.110[[#This Row],[CH4 24h, ml]]/Table3.110[[#This Row],[Net gas 24h, ml]]%</f>
        <v>14.656830512138775</v>
      </c>
      <c r="AR1078" s="94">
        <f>Table3.110[[#This Row],[CH4 24h, ml]]/Table3.110[[#This Row],[DM Incubated, mg]]*1000</f>
        <v>28.192960701921521</v>
      </c>
      <c r="AS1078" s="94">
        <f>Table3.110[[#This Row],[CH4 24h, ml]]/Table3.110[[#This Row],[Digested feed, mg]]*1000</f>
        <v>52.225562971451964</v>
      </c>
      <c r="AT1078" s="94">
        <f>Table3.110[[#This Row],[CH4 24h, ml]]/'3.2 Digest'!AA1078</f>
        <v>0.57118227250499287</v>
      </c>
      <c r="AU1078" s="94">
        <f>((Table3.110[[#This Row],[CH4 24h, ml]]/28.9)*16.04)/Table3.110[[#This Row],[DM Incubated, mg]]*1000</f>
        <v>15.647580957052636</v>
      </c>
      <c r="AV1078" s="94">
        <f>((Table3.110[[#This Row],[CH4 24h, ml]]/28.9)*16.04)/Table3.110[[#This Row],[Digested feed, mg]]*1000</f>
        <v>28.986091005608635</v>
      </c>
      <c r="AW1078" s="94"/>
      <c r="AX1078" s="94"/>
    </row>
    <row r="1079" spans="2:50" x14ac:dyDescent="0.35">
      <c r="B1079" s="90">
        <f t="shared" si="16"/>
        <v>1069</v>
      </c>
      <c r="C1079" s="140">
        <v>46064</v>
      </c>
      <c r="D1079" s="6" t="s">
        <v>667</v>
      </c>
      <c r="E1079" s="6" t="s">
        <v>479</v>
      </c>
      <c r="F1079" s="242" t="s">
        <v>105</v>
      </c>
      <c r="G1079" s="242" t="s">
        <v>188</v>
      </c>
      <c r="H1079" s="6" t="s">
        <v>189</v>
      </c>
      <c r="I1079" s="133" t="s">
        <v>108</v>
      </c>
      <c r="J1079" s="132" t="s">
        <v>109</v>
      </c>
      <c r="K1079" s="133" t="s">
        <v>110</v>
      </c>
      <c r="L1079" s="6" t="s">
        <v>478</v>
      </c>
      <c r="M1079" s="256">
        <v>30</v>
      </c>
      <c r="N1079" s="256">
        <v>64</v>
      </c>
      <c r="O1079" s="256">
        <v>1</v>
      </c>
      <c r="P1079" s="257">
        <v>1</v>
      </c>
      <c r="Q1079" s="129">
        <v>203</v>
      </c>
      <c r="R1079" s="98">
        <v>0.50029999999999997</v>
      </c>
      <c r="S1079" s="94">
        <f>((Table3.110[[#This Row],[Sample weight, g]]*'2.1. DM'!Q303)/100)*1000</f>
        <v>491.34463000000005</v>
      </c>
      <c r="T1079" s="94">
        <f>'3.2 Digest'!W1079</f>
        <v>211.84463000000011</v>
      </c>
      <c r="U1079" s="117">
        <v>0.34583333333333333</v>
      </c>
      <c r="V1079" s="155">
        <v>40.5</v>
      </c>
      <c r="W1079" s="117">
        <v>0.70277777777777772</v>
      </c>
      <c r="X1079" s="97">
        <v>75.5</v>
      </c>
      <c r="Y1079" s="97">
        <v>13.7</v>
      </c>
      <c r="Z1079" s="155">
        <v>40</v>
      </c>
      <c r="AA1079" s="117">
        <v>0.37083333333333335</v>
      </c>
      <c r="AB1079" s="155">
        <v>96.5</v>
      </c>
      <c r="AC1079" s="155">
        <v>15.5</v>
      </c>
      <c r="AD1079" s="96"/>
      <c r="AE1079" s="94">
        <f>Table3.110[[#This Row],[Gas 8h, ml]]-Table3.110[[#This Row],[Gas 0h, ml]]</f>
        <v>35</v>
      </c>
      <c r="AF1079" s="94">
        <f>Table3.110[[#This Row],[Gas 24h, ml]]-Table3.110[[#This Row],[V8 Push back, ml]]</f>
        <v>56.5</v>
      </c>
      <c r="AG1079" s="94">
        <f>Table3.110[[#This Row],[GP 8h, ml]]-(AVERAGE(AE$982,AE$983,AE$1032,AE$1033,AE$1085,AE$1086))*$AG$8</f>
        <v>32.271229168713369</v>
      </c>
      <c r="AH1079" s="94">
        <f>Table3.110[[#This Row],[GP 8-24h, ml]]-(AVERAGE(AF$982,AF$983,AF$1032,AF$1033,AF$1085,AF$1086))*$AG$8</f>
        <v>52.849347131116531</v>
      </c>
      <c r="AI1079" s="94">
        <f>Table3.110[[#This Row],[Net gas 8-24h, ml]]+Table3.110[[#This Row],[Net gas 8h, ml]]</f>
        <v>85.120576299829906</v>
      </c>
      <c r="AJ1079" s="94">
        <f>Table3.110[[#This Row],[Net gas 8h, ml]]*Table3.110[[#This Row],[CH4 8h %]]%</f>
        <v>4.4211583961137313</v>
      </c>
      <c r="AK1079" s="94">
        <f>Table3.110[[#This Row],[Net gas 8-24h, ml]]*Table3.110[[#This Row],[CH4 24h, %]]%</f>
        <v>8.1916488053230623</v>
      </c>
      <c r="AL1079" s="94">
        <f>Table3.110[[#This Row],[CH4 8-24h, ml]]+Table3.110[[#This Row],[CH4 8h, ml]]</f>
        <v>12.612807201436794</v>
      </c>
      <c r="AM1079" s="94">
        <f>(Table3.110[[#This Row],[Net gas 24h, ml]]/Table3.110[[#This Row],[DM Incubated, mg]])*1000</f>
        <v>173.24006634575389</v>
      </c>
      <c r="AN1079" s="94">
        <f>'3.2 Digest'!X1079</f>
        <v>43.115283462037652</v>
      </c>
      <c r="AO1079" s="94">
        <f>Table3.110[[#This Row],[Digested feed, mg]]/Table3.110[[#This Row],[Net gas 24h, ml]]</f>
        <v>2.4887593483130992</v>
      </c>
      <c r="AP1079" s="94">
        <f>Table3.110[[#This Row],[CH4 8h, ml]]/Table3.110[[#This Row],[Net gas 8h, ml]]%</f>
        <v>13.7</v>
      </c>
      <c r="AQ1079" s="94">
        <f>Table3.110[[#This Row],[CH4 24h, ml]]/Table3.110[[#This Row],[Net gas 24h, ml]]%</f>
        <v>14.81757731175276</v>
      </c>
      <c r="AR1079" s="94">
        <f>Table3.110[[#This Row],[CH4 24h, ml]]/Table3.110[[#This Row],[DM Incubated, mg]]*1000</f>
        <v>25.669980765713859</v>
      </c>
      <c r="AS1079" s="94">
        <f>Table3.110[[#This Row],[CH4 24h, ml]]/Table3.110[[#This Row],[Digested feed, mg]]*1000</f>
        <v>59.538007649458883</v>
      </c>
      <c r="AT1079" s="94">
        <f>Table3.110[[#This Row],[CH4 24h, ml]]/'3.2 Digest'!AA1079</f>
        <v>0.55652025102894309</v>
      </c>
      <c r="AU1079" s="94">
        <f>((Table3.110[[#This Row],[CH4 24h, ml]]/28.9)*16.04)/Table3.110[[#This Row],[DM Incubated, mg]]*1000</f>
        <v>14.247283442285477</v>
      </c>
      <c r="AV1079" s="94">
        <f>((Table3.110[[#This Row],[CH4 24h, ml]]/28.9)*16.04)/Table3.110[[#This Row],[Digested feed, mg]]*1000</f>
        <v>33.044624314786176</v>
      </c>
      <c r="AW1079" s="94"/>
      <c r="AX1079" s="94"/>
    </row>
    <row r="1080" spans="2:50" x14ac:dyDescent="0.35">
      <c r="B1080" s="90">
        <f t="shared" si="16"/>
        <v>1070</v>
      </c>
      <c r="C1080" s="140">
        <v>46064</v>
      </c>
      <c r="D1080" s="6" t="s">
        <v>667</v>
      </c>
      <c r="E1080" s="6" t="s">
        <v>479</v>
      </c>
      <c r="F1080" s="242" t="s">
        <v>105</v>
      </c>
      <c r="G1080" s="242" t="s">
        <v>188</v>
      </c>
      <c r="H1080" s="6" t="s">
        <v>189</v>
      </c>
      <c r="I1080" s="133" t="s">
        <v>108</v>
      </c>
      <c r="J1080" s="132" t="s">
        <v>109</v>
      </c>
      <c r="K1080" s="133" t="s">
        <v>110</v>
      </c>
      <c r="L1080" s="6" t="s">
        <v>478</v>
      </c>
      <c r="M1080" s="256">
        <v>30</v>
      </c>
      <c r="N1080" s="256">
        <v>64</v>
      </c>
      <c r="O1080" s="256">
        <v>1</v>
      </c>
      <c r="P1080" s="257">
        <v>2</v>
      </c>
      <c r="Q1080" s="129">
        <v>204</v>
      </c>
      <c r="R1080" s="98">
        <v>0.5</v>
      </c>
      <c r="S1080" s="94">
        <f>((Table3.110[[#This Row],[Sample weight, g]]*'2.1. DM'!Q303)/100)*1000</f>
        <v>491.05000000000007</v>
      </c>
      <c r="T1080" s="94">
        <f>'3.2 Digest'!W1080</f>
        <v>174.95000000000016</v>
      </c>
      <c r="U1080" s="153">
        <v>0.34652777777777777</v>
      </c>
      <c r="V1080" s="154">
        <v>40.5</v>
      </c>
      <c r="W1080" s="153">
        <v>0.70347222222222228</v>
      </c>
      <c r="X1080" s="95">
        <v>75.5</v>
      </c>
      <c r="Y1080" s="95">
        <v>14</v>
      </c>
      <c r="Z1080" s="154">
        <v>40</v>
      </c>
      <c r="AA1080" s="153">
        <v>0.37083333333333335</v>
      </c>
      <c r="AB1080" s="154">
        <v>97.5</v>
      </c>
      <c r="AC1080" s="154">
        <v>15.4</v>
      </c>
      <c r="AD1080" s="91"/>
      <c r="AE1080" s="94">
        <f>Table3.110[[#This Row],[Gas 8h, ml]]-Table3.110[[#This Row],[Gas 0h, ml]]</f>
        <v>35</v>
      </c>
      <c r="AF1080" s="94">
        <f>Table3.110[[#This Row],[Gas 24h, ml]]-Table3.110[[#This Row],[V8 Push back, ml]]</f>
        <v>57.5</v>
      </c>
      <c r="AG1080" s="94">
        <f>Table3.110[[#This Row],[GP 8h, ml]]-(AVERAGE(AE$982,AE$983,AE$1032,AE$1033,AE$1085,AE$1086))*$AG$8</f>
        <v>32.271229168713369</v>
      </c>
      <c r="AH1080" s="94">
        <f>Table3.110[[#This Row],[GP 8-24h, ml]]-(AVERAGE(AF$982,AF$983,AF$1032,AF$1033,AF$1085,AF$1086))*$AG$8</f>
        <v>53.849347131116531</v>
      </c>
      <c r="AI1080" s="94">
        <f>Table3.110[[#This Row],[Net gas 8-24h, ml]]+Table3.110[[#This Row],[Net gas 8h, ml]]</f>
        <v>86.120576299829906</v>
      </c>
      <c r="AJ1080" s="94">
        <f>Table3.110[[#This Row],[Net gas 8h, ml]]*Table3.110[[#This Row],[CH4 8h %]]%</f>
        <v>4.5179720836198722</v>
      </c>
      <c r="AK1080" s="94">
        <f>Table3.110[[#This Row],[Net gas 8-24h, ml]]*Table3.110[[#This Row],[CH4 24h, %]]%</f>
        <v>8.2927994581919453</v>
      </c>
      <c r="AL1080" s="94">
        <f>Table3.110[[#This Row],[CH4 8-24h, ml]]+Table3.110[[#This Row],[CH4 8h, ml]]</f>
        <v>12.810771541811818</v>
      </c>
      <c r="AM1080" s="94">
        <f>(Table3.110[[#This Row],[Net gas 24h, ml]]/Table3.110[[#This Row],[DM Incubated, mg]])*1000</f>
        <v>175.3804628853068</v>
      </c>
      <c r="AN1080" s="94">
        <f>'3.2 Digest'!X1080</f>
        <v>35.627736483046561</v>
      </c>
      <c r="AO1080" s="94">
        <f>Table3.110[[#This Row],[Digested feed, mg]]/Table3.110[[#This Row],[Net gas 24h, ml]]</f>
        <v>2.0314541253289975</v>
      </c>
      <c r="AP1080" s="94">
        <f>Table3.110[[#This Row],[CH4 8h, ml]]/Table3.110[[#This Row],[Net gas 8h, ml]]%</f>
        <v>14.000000000000004</v>
      </c>
      <c r="AQ1080" s="94">
        <f>Table3.110[[#This Row],[CH4 24h, ml]]/Table3.110[[#This Row],[Net gas 24h, ml]]%</f>
        <v>14.875389938417213</v>
      </c>
      <c r="AR1080" s="94">
        <f>Table3.110[[#This Row],[CH4 24h, ml]]/Table3.110[[#This Row],[DM Incubated, mg]]*1000</f>
        <v>26.08852772999046</v>
      </c>
      <c r="AS1080" s="94">
        <f>Table3.110[[#This Row],[CH4 24h, ml]]/Table3.110[[#This Row],[Digested feed, mg]]*1000</f>
        <v>73.22533033330555</v>
      </c>
      <c r="AT1080" s="94">
        <f>Table3.110[[#This Row],[CH4 24h, ml]]/'3.2 Digest'!AA1080</f>
        <v>1.0261606684430764</v>
      </c>
      <c r="AU1080" s="94">
        <f>((Table3.110[[#This Row],[CH4 24h, ml]]/28.9)*16.04)/Table3.110[[#This Row],[DM Incubated, mg]]*1000</f>
        <v>14.479584248755952</v>
      </c>
      <c r="AV1080" s="94">
        <f>((Table3.110[[#This Row],[CH4 24h, ml]]/28.9)*16.04)/Table3.110[[#This Row],[Digested feed, mg]]*1000</f>
        <v>40.641325209211807</v>
      </c>
      <c r="AW1080" s="94"/>
      <c r="AX1080" s="94"/>
    </row>
    <row r="1081" spans="2:50" x14ac:dyDescent="0.35">
      <c r="B1081" s="90">
        <f t="shared" si="16"/>
        <v>1071</v>
      </c>
      <c r="C1081" s="140">
        <v>46064</v>
      </c>
      <c r="D1081" s="6" t="s">
        <v>667</v>
      </c>
      <c r="E1081" s="6" t="s">
        <v>479</v>
      </c>
      <c r="F1081" s="242" t="s">
        <v>105</v>
      </c>
      <c r="G1081" s="242" t="s">
        <v>188</v>
      </c>
      <c r="H1081" s="6" t="s">
        <v>189</v>
      </c>
      <c r="I1081" s="133" t="s">
        <v>108</v>
      </c>
      <c r="J1081" s="132" t="s">
        <v>109</v>
      </c>
      <c r="K1081" s="133" t="s">
        <v>110</v>
      </c>
      <c r="L1081" s="6" t="s">
        <v>478</v>
      </c>
      <c r="M1081" s="256">
        <v>30</v>
      </c>
      <c r="N1081" s="256">
        <v>64</v>
      </c>
      <c r="O1081" s="256">
        <v>1</v>
      </c>
      <c r="P1081" s="257">
        <v>3</v>
      </c>
      <c r="Q1081" s="129">
        <v>205</v>
      </c>
      <c r="R1081" s="98">
        <v>0.50019999999999998</v>
      </c>
      <c r="S1081" s="94">
        <f>((Table3.110[[#This Row],[Sample weight, g]]*'2.1. DM'!Q303)/100)*1000</f>
        <v>491.24642</v>
      </c>
      <c r="T1081" s="94">
        <f>'3.2 Digest'!W1081</f>
        <v>218.24642</v>
      </c>
      <c r="U1081" s="117">
        <v>0.34652777777777777</v>
      </c>
      <c r="V1081" s="155">
        <v>40</v>
      </c>
      <c r="W1081" s="117">
        <v>0.70347222222222228</v>
      </c>
      <c r="X1081" s="97">
        <v>75.5</v>
      </c>
      <c r="Y1081" s="97">
        <v>14.1</v>
      </c>
      <c r="Z1081" s="155">
        <v>40</v>
      </c>
      <c r="AA1081" s="117">
        <v>0.37152777777777779</v>
      </c>
      <c r="AB1081" s="155">
        <v>97</v>
      </c>
      <c r="AC1081" s="155">
        <v>15.5</v>
      </c>
      <c r="AD1081" s="96"/>
      <c r="AE1081" s="94">
        <f>Table3.110[[#This Row],[Gas 8h, ml]]-Table3.110[[#This Row],[Gas 0h, ml]]</f>
        <v>35.5</v>
      </c>
      <c r="AF1081" s="94">
        <f>Table3.110[[#This Row],[Gas 24h, ml]]-Table3.110[[#This Row],[V8 Push back, ml]]</f>
        <v>57</v>
      </c>
      <c r="AG1081" s="94">
        <f>Table3.110[[#This Row],[GP 8h, ml]]-(AVERAGE(AE$982,AE$983,AE$1032,AE$1033,AE$1085,AE$1086))*$AG$8</f>
        <v>32.771229168713369</v>
      </c>
      <c r="AH1081" s="94">
        <f>Table3.110[[#This Row],[GP 8-24h, ml]]-(AVERAGE(AF$982,AF$983,AF$1032,AF$1033,AF$1085,AF$1086))*$AG$8</f>
        <v>53.349347131116531</v>
      </c>
      <c r="AI1081" s="94">
        <f>Table3.110[[#This Row],[Net gas 8-24h, ml]]+Table3.110[[#This Row],[Net gas 8h, ml]]</f>
        <v>86.120576299829906</v>
      </c>
      <c r="AJ1081" s="94">
        <f>Table3.110[[#This Row],[Net gas 8h, ml]]*Table3.110[[#This Row],[CH4 8h %]]%</f>
        <v>4.6207433127885844</v>
      </c>
      <c r="AK1081" s="94">
        <f>Table3.110[[#This Row],[Net gas 8-24h, ml]]*Table3.110[[#This Row],[CH4 24h, %]]%</f>
        <v>8.2691488053230628</v>
      </c>
      <c r="AL1081" s="94">
        <f>Table3.110[[#This Row],[CH4 8-24h, ml]]+Table3.110[[#This Row],[CH4 8h, ml]]</f>
        <v>12.889892118111646</v>
      </c>
      <c r="AM1081" s="94">
        <f>(Table3.110[[#This Row],[Net gas 24h, ml]]/Table3.110[[#This Row],[DM Incubated, mg]])*1000</f>
        <v>175.3103387498069</v>
      </c>
      <c r="AN1081" s="94">
        <f>'3.2 Digest'!X1081</f>
        <v>44.427075926578766</v>
      </c>
      <c r="AO1081" s="94">
        <f>Table3.110[[#This Row],[Digested feed, mg]]/Table3.110[[#This Row],[Net gas 24h, ml]]</f>
        <v>2.534196000270275</v>
      </c>
      <c r="AP1081" s="94">
        <f>Table3.110[[#This Row],[CH4 8h, ml]]/Table3.110[[#This Row],[Net gas 8h, ml]]%</f>
        <v>14.1</v>
      </c>
      <c r="AQ1081" s="94">
        <f>Table3.110[[#This Row],[CH4 24h, ml]]/Table3.110[[#This Row],[Net gas 24h, ml]]%</f>
        <v>14.967261799590517</v>
      </c>
      <c r="AR1081" s="94">
        <f>Table3.110[[#This Row],[CH4 24h, ml]]/Table3.110[[#This Row],[DM Incubated, mg]]*1000</f>
        <v>26.239157362432579</v>
      </c>
      <c r="AS1081" s="94">
        <f>Table3.110[[#This Row],[CH4 24h, ml]]/Table3.110[[#This Row],[Digested feed, mg]]*1000</f>
        <v>59.061184683403496</v>
      </c>
      <c r="AT1081" s="94">
        <f>Table3.110[[#This Row],[CH4 24h, ml]]/'3.2 Digest'!AA1081</f>
        <v>0.52725615141370863</v>
      </c>
      <c r="AU1081" s="94">
        <f>((Table3.110[[#This Row],[CH4 24h, ml]]/28.9)*16.04)/Table3.110[[#This Row],[DM Incubated, mg]]*1000</f>
        <v>14.563186300810329</v>
      </c>
      <c r="AV1081" s="94">
        <f>((Table3.110[[#This Row],[CH4 24h, ml]]/28.9)*16.04)/Table3.110[[#This Row],[Digested feed, mg]]*1000</f>
        <v>32.779979319093151</v>
      </c>
      <c r="AW1081" s="94"/>
      <c r="AX1081" s="94"/>
    </row>
    <row r="1082" spans="2:50" x14ac:dyDescent="0.35">
      <c r="B1082" s="90">
        <f t="shared" si="16"/>
        <v>1072</v>
      </c>
      <c r="C1082" s="140">
        <v>46064</v>
      </c>
      <c r="D1082" s="8" t="s">
        <v>320</v>
      </c>
      <c r="E1082" s="6" t="s">
        <v>122</v>
      </c>
      <c r="F1082" s="242" t="s">
        <v>123</v>
      </c>
      <c r="G1082" s="242" t="s">
        <v>545</v>
      </c>
      <c r="H1082" s="6" t="s">
        <v>125</v>
      </c>
      <c r="I1082" s="133" t="s">
        <v>108</v>
      </c>
      <c r="J1082" s="132" t="s">
        <v>109</v>
      </c>
      <c r="K1082" s="133" t="s">
        <v>110</v>
      </c>
      <c r="L1082" s="6" t="s">
        <v>121</v>
      </c>
      <c r="M1082" s="256">
        <v>30</v>
      </c>
      <c r="N1082" s="256">
        <v>64</v>
      </c>
      <c r="O1082" s="256">
        <v>1</v>
      </c>
      <c r="P1082" s="257">
        <v>1</v>
      </c>
      <c r="Q1082" s="129">
        <v>206</v>
      </c>
      <c r="R1082" s="98">
        <v>0.5</v>
      </c>
      <c r="S1082" s="94">
        <f>((Table3.110[[#This Row],[Sample weight, g]]*'2.1. DM'!Q305)/100)*1000</f>
        <v>468.49999999999994</v>
      </c>
      <c r="T1082" s="94">
        <f>'3.2 Digest'!W1082</f>
        <v>144.20000000000005</v>
      </c>
      <c r="U1082" s="153">
        <v>0.34791666666666665</v>
      </c>
      <c r="V1082" s="154">
        <v>40.5</v>
      </c>
      <c r="W1082" s="153">
        <v>0.70416666666666672</v>
      </c>
      <c r="X1082" s="95">
        <v>68</v>
      </c>
      <c r="Y1082" s="95">
        <v>15.3</v>
      </c>
      <c r="Z1082" s="154">
        <v>40</v>
      </c>
      <c r="AA1082" s="153">
        <v>0.37152777777777779</v>
      </c>
      <c r="AB1082" s="154">
        <v>80</v>
      </c>
      <c r="AC1082" s="154">
        <v>16.5</v>
      </c>
      <c r="AD1082" s="91" t="s">
        <v>594</v>
      </c>
      <c r="AE1082" s="94">
        <f>Table3.110[[#This Row],[Gas 8h, ml]]-Table3.110[[#This Row],[Gas 0h, ml]]</f>
        <v>27.5</v>
      </c>
      <c r="AF1082" s="94">
        <f>Table3.110[[#This Row],[Gas 24h, ml]]-Table3.110[[#This Row],[V8 Push back, ml]]</f>
        <v>40</v>
      </c>
      <c r="AG1082" s="94">
        <f>Table3.110[[#This Row],[GP 8h, ml]]-(AVERAGE(AE$982,AE$983,AE$1032,AE$1033,AE$1085,AE$1086))*$AG$8</f>
        <v>24.771229168713369</v>
      </c>
      <c r="AH1082" s="94">
        <f>Table3.110[[#This Row],[GP 8-24h, ml]]-(AVERAGE(AF$982,AF$983,AF$1032,AF$1033,AF$1085,AF$1086))*$AG$8</f>
        <v>36.349347131116531</v>
      </c>
      <c r="AI1082" s="94">
        <f>Table3.110[[#This Row],[Net gas 8-24h, ml]]+Table3.110[[#This Row],[Net gas 8h, ml]]</f>
        <v>61.120576299829899</v>
      </c>
      <c r="AJ1082" s="94">
        <f>Table3.110[[#This Row],[Net gas 8h, ml]]*Table3.110[[#This Row],[CH4 8h %]]%</f>
        <v>3.7899980628131451</v>
      </c>
      <c r="AK1082" s="94">
        <f>Table3.110[[#This Row],[Net gas 8-24h, ml]]*Table3.110[[#This Row],[CH4 24h, %]]%</f>
        <v>5.9976422766342274</v>
      </c>
      <c r="AL1082" s="94">
        <f>Table3.110[[#This Row],[CH4 8-24h, ml]]+Table3.110[[#This Row],[CH4 8h, ml]]</f>
        <v>9.787640339447373</v>
      </c>
      <c r="AM1082" s="94">
        <f>(Table3.110[[#This Row],[Net gas 24h, ml]]/Table3.110[[#This Row],[DM Incubated, mg]])*1000</f>
        <v>130.46014151511187</v>
      </c>
      <c r="AN1082" s="94">
        <f>'3.2 Digest'!X1082</f>
        <v>30.779082177161165</v>
      </c>
      <c r="AO1082" s="94">
        <f>Table3.110[[#This Row],[Digested feed, mg]]/Table3.110[[#This Row],[Net gas 24h, ml]]</f>
        <v>2.3592709481766021</v>
      </c>
      <c r="AP1082" s="94">
        <f>Table3.110[[#This Row],[CH4 8h, ml]]/Table3.110[[#This Row],[Net gas 8h, ml]]%</f>
        <v>15.299999999999999</v>
      </c>
      <c r="AQ1082" s="94">
        <f>Table3.110[[#This Row],[CH4 24h, ml]]/Table3.110[[#This Row],[Net gas 24h, ml]]%</f>
        <v>16.013658463286795</v>
      </c>
      <c r="AR1082" s="94">
        <f>Table3.110[[#This Row],[CH4 24h, ml]]/Table3.110[[#This Row],[DM Incubated, mg]]*1000</f>
        <v>20.891441492950637</v>
      </c>
      <c r="AS1082" s="94">
        <f>Table3.110[[#This Row],[CH4 24h, ml]]/Table3.110[[#This Row],[Digested feed, mg]]*1000</f>
        <v>67.875453116833356</v>
      </c>
      <c r="AT1082" s="94">
        <f>Table3.110[[#This Row],[CH4 24h, ml]]/'3.2 Digest'!AA1082</f>
        <v>1.0827598953605233</v>
      </c>
      <c r="AU1082" s="94">
        <f>((Table3.110[[#This Row],[CH4 24h, ml]]/28.9)*16.04)/Table3.110[[#This Row],[DM Incubated, mg]]*1000</f>
        <v>11.595111472212048</v>
      </c>
      <c r="AV1082" s="94">
        <f>((Table3.110[[#This Row],[CH4 24h, ml]]/28.9)*16.04)/Table3.110[[#This Row],[Digested feed, mg]]*1000</f>
        <v>37.672050795640381</v>
      </c>
      <c r="AW1082" s="94"/>
      <c r="AX1082" s="94"/>
    </row>
    <row r="1083" spans="2:50" x14ac:dyDescent="0.35">
      <c r="B1083" s="90">
        <f t="shared" si="16"/>
        <v>1073</v>
      </c>
      <c r="C1083" s="140">
        <v>46064</v>
      </c>
      <c r="D1083" s="8" t="s">
        <v>320</v>
      </c>
      <c r="E1083" s="6" t="s">
        <v>122</v>
      </c>
      <c r="F1083" s="242" t="s">
        <v>123</v>
      </c>
      <c r="G1083" s="242" t="s">
        <v>545</v>
      </c>
      <c r="H1083" s="6" t="s">
        <v>125</v>
      </c>
      <c r="I1083" s="133" t="s">
        <v>108</v>
      </c>
      <c r="J1083" s="132" t="s">
        <v>109</v>
      </c>
      <c r="K1083" s="133" t="s">
        <v>110</v>
      </c>
      <c r="L1083" s="6" t="s">
        <v>121</v>
      </c>
      <c r="M1083" s="256">
        <v>30</v>
      </c>
      <c r="N1083" s="256">
        <v>64</v>
      </c>
      <c r="O1083" s="256">
        <v>1</v>
      </c>
      <c r="P1083" s="257">
        <v>2</v>
      </c>
      <c r="Q1083" s="129">
        <v>207</v>
      </c>
      <c r="R1083" s="98">
        <v>0.5</v>
      </c>
      <c r="S1083" s="94">
        <f>((Table3.110[[#This Row],[Sample weight, g]]*'2.1. DM'!Q305)/100)*1000</f>
        <v>468.49999999999994</v>
      </c>
      <c r="T1083" s="94">
        <f>'3.2 Digest'!W1083</f>
        <v>174.59999999999991</v>
      </c>
      <c r="U1083" s="117">
        <v>0.34791666666666665</v>
      </c>
      <c r="V1083" s="155">
        <v>40.5</v>
      </c>
      <c r="W1083" s="117">
        <v>0.70416666666666672</v>
      </c>
      <c r="X1083" s="97">
        <v>72.5</v>
      </c>
      <c r="Y1083" s="97">
        <v>15.7</v>
      </c>
      <c r="Z1083" s="155">
        <v>40</v>
      </c>
      <c r="AA1083" s="117">
        <v>0.37222222222222223</v>
      </c>
      <c r="AB1083" s="155">
        <v>83.5</v>
      </c>
      <c r="AC1083" s="155">
        <v>16.3</v>
      </c>
      <c r="AD1083" s="96"/>
      <c r="AE1083" s="94">
        <f>Table3.110[[#This Row],[Gas 8h, ml]]-Table3.110[[#This Row],[Gas 0h, ml]]</f>
        <v>32</v>
      </c>
      <c r="AF1083" s="94">
        <f>Table3.110[[#This Row],[Gas 24h, ml]]-Table3.110[[#This Row],[V8 Push back, ml]]</f>
        <v>43.5</v>
      </c>
      <c r="AG1083" s="94">
        <f>Table3.110[[#This Row],[GP 8h, ml]]-(AVERAGE(AE$982,AE$983,AE$1032,AE$1033,AE$1085,AE$1086))*$AG$8</f>
        <v>29.271229168713369</v>
      </c>
      <c r="AH1083" s="94">
        <f>Table3.110[[#This Row],[GP 8-24h, ml]]-(AVERAGE(AF$982,AF$983,AF$1032,AF$1033,AF$1085,AF$1086))*$AG$8</f>
        <v>39.849347131116531</v>
      </c>
      <c r="AI1083" s="94">
        <f>Table3.110[[#This Row],[Net gas 8-24h, ml]]+Table3.110[[#This Row],[Net gas 8h, ml]]</f>
        <v>69.120576299829906</v>
      </c>
      <c r="AJ1083" s="94">
        <f>Table3.110[[#This Row],[Net gas 8h, ml]]*Table3.110[[#This Row],[CH4 8h %]]%</f>
        <v>4.5955829794879985</v>
      </c>
      <c r="AK1083" s="94">
        <f>Table3.110[[#This Row],[Net gas 8-24h, ml]]*Table3.110[[#This Row],[CH4 24h, %]]%</f>
        <v>6.4954435823719949</v>
      </c>
      <c r="AL1083" s="94">
        <f>Table3.110[[#This Row],[CH4 8-24h, ml]]+Table3.110[[#This Row],[CH4 8h, ml]]</f>
        <v>11.091026561859994</v>
      </c>
      <c r="AM1083" s="94">
        <f>(Table3.110[[#This Row],[Net gas 24h, ml]]/Table3.110[[#This Row],[DM Incubated, mg]])*1000</f>
        <v>147.53591526110972</v>
      </c>
      <c r="AN1083" s="94">
        <f>'3.2 Digest'!X1083</f>
        <v>37.267876200640323</v>
      </c>
      <c r="AO1083" s="94">
        <f>Table3.110[[#This Row],[Digested feed, mg]]/Table3.110[[#This Row],[Net gas 24h, ml]]</f>
        <v>2.5260206055375374</v>
      </c>
      <c r="AP1083" s="94">
        <f>Table3.110[[#This Row],[CH4 8h, ml]]/Table3.110[[#This Row],[Net gas 8h, ml]]%</f>
        <v>15.699999999999998</v>
      </c>
      <c r="AQ1083" s="94">
        <f>Table3.110[[#This Row],[CH4 24h, ml]]/Table3.110[[#This Row],[Net gas 24h, ml]]%</f>
        <v>16.045911587527211</v>
      </c>
      <c r="AR1083" s="94">
        <f>Table3.110[[#This Row],[CH4 24h, ml]]/Table3.110[[#This Row],[DM Incubated, mg]]*1000</f>
        <v>23.673482522646733</v>
      </c>
      <c r="AS1083" s="94">
        <f>Table3.110[[#This Row],[CH4 24h, ml]]/Table3.110[[#This Row],[Digested feed, mg]]*1000</f>
        <v>63.522488899541806</v>
      </c>
      <c r="AT1083" s="94">
        <f>Table3.110[[#This Row],[CH4 24h, ml]]/'3.2 Digest'!AA1083</f>
        <v>0.6313846034249756</v>
      </c>
      <c r="AU1083" s="94">
        <f>((Table3.110[[#This Row],[CH4 24h, ml]]/28.9)*16.04)/Table3.110[[#This Row],[DM Incubated, mg]]*1000</f>
        <v>13.139192375891129</v>
      </c>
      <c r="AV1083" s="94">
        <f>((Table3.110[[#This Row],[CH4 24h, ml]]/28.9)*16.04)/Table3.110[[#This Row],[Digested feed, mg]]*1000</f>
        <v>35.256080344243969</v>
      </c>
      <c r="AW1083" s="94"/>
      <c r="AX1083" s="94"/>
    </row>
    <row r="1084" spans="2:50" x14ac:dyDescent="0.35">
      <c r="B1084" s="90">
        <f t="shared" si="16"/>
        <v>1074</v>
      </c>
      <c r="C1084" s="140">
        <v>46064</v>
      </c>
      <c r="D1084" s="8" t="s">
        <v>320</v>
      </c>
      <c r="E1084" s="6" t="s">
        <v>122</v>
      </c>
      <c r="F1084" s="242" t="s">
        <v>123</v>
      </c>
      <c r="G1084" s="242" t="s">
        <v>545</v>
      </c>
      <c r="H1084" s="6" t="s">
        <v>125</v>
      </c>
      <c r="I1084" s="133" t="s">
        <v>108</v>
      </c>
      <c r="J1084" s="132" t="s">
        <v>109</v>
      </c>
      <c r="K1084" s="133" t="s">
        <v>110</v>
      </c>
      <c r="L1084" s="6" t="s">
        <v>121</v>
      </c>
      <c r="M1084" s="256">
        <v>30</v>
      </c>
      <c r="N1084" s="256">
        <v>64</v>
      </c>
      <c r="O1084" s="256">
        <v>1</v>
      </c>
      <c r="P1084" s="257">
        <v>3</v>
      </c>
      <c r="Q1084" s="129">
        <v>208</v>
      </c>
      <c r="R1084" s="98">
        <v>0.50029999999999997</v>
      </c>
      <c r="S1084" s="94">
        <f>((Table3.110[[#This Row],[Sample weight, g]]*'2.1. DM'!Q305)/100)*1000</f>
        <v>468.78109999999992</v>
      </c>
      <c r="T1084" s="94">
        <f>'3.2 Digest'!W1084</f>
        <v>101.38109999999989</v>
      </c>
      <c r="U1084" s="153">
        <v>0.34722222222222221</v>
      </c>
      <c r="V1084" s="154">
        <v>40.5</v>
      </c>
      <c r="W1084" s="153">
        <v>0.70486111111111116</v>
      </c>
      <c r="X1084" s="95">
        <v>68</v>
      </c>
      <c r="Y1084" s="95">
        <v>15.7</v>
      </c>
      <c r="Z1084" s="154">
        <v>40</v>
      </c>
      <c r="AA1084" s="153">
        <v>0.37222222222222223</v>
      </c>
      <c r="AB1084" s="154">
        <v>84.5</v>
      </c>
      <c r="AC1084" s="154">
        <v>16.2</v>
      </c>
      <c r="AD1084" s="91"/>
      <c r="AE1084" s="94">
        <f>Table3.110[[#This Row],[Gas 8h, ml]]-Table3.110[[#This Row],[Gas 0h, ml]]</f>
        <v>27.5</v>
      </c>
      <c r="AF1084" s="94">
        <f>Table3.110[[#This Row],[Gas 24h, ml]]-Table3.110[[#This Row],[V8 Push back, ml]]</f>
        <v>44.5</v>
      </c>
      <c r="AG1084" s="94">
        <f>Table3.110[[#This Row],[GP 8h, ml]]-(AVERAGE(AE$982,AE$983,AE$1032,AE$1033,AE$1085,AE$1086))*$AG$8</f>
        <v>24.771229168713369</v>
      </c>
      <c r="AH1084" s="94">
        <f>Table3.110[[#This Row],[GP 8-24h, ml]]-(AVERAGE(AF$982,AF$983,AF$1032,AF$1033,AF$1085,AF$1086))*$AG$8</f>
        <v>40.849347131116531</v>
      </c>
      <c r="AI1084" s="94">
        <f>Table3.110[[#This Row],[Net gas 8-24h, ml]]+Table3.110[[#This Row],[Net gas 8h, ml]]</f>
        <v>65.620576299829906</v>
      </c>
      <c r="AJ1084" s="94">
        <f>Table3.110[[#This Row],[Net gas 8h, ml]]*Table3.110[[#This Row],[CH4 8h %]]%</f>
        <v>3.8890829794879989</v>
      </c>
      <c r="AK1084" s="94">
        <f>Table3.110[[#This Row],[Net gas 8-24h, ml]]*Table3.110[[#This Row],[CH4 24h, %]]%</f>
        <v>6.6175942352408779</v>
      </c>
      <c r="AL1084" s="94">
        <f>Table3.110[[#This Row],[CH4 8-24h, ml]]+Table3.110[[#This Row],[CH4 8h, ml]]</f>
        <v>10.506677214728876</v>
      </c>
      <c r="AM1084" s="94">
        <f>(Table3.110[[#This Row],[Net gas 24h, ml]]/Table3.110[[#This Row],[DM Incubated, mg]])*1000</f>
        <v>139.98127548194654</v>
      </c>
      <c r="AN1084" s="94">
        <f>'3.2 Digest'!X1084</f>
        <v>21.626533151613813</v>
      </c>
      <c r="AO1084" s="94">
        <f>Table3.110[[#This Row],[Digested feed, mg]]/Table3.110[[#This Row],[Net gas 24h, ml]]</f>
        <v>1.5449590009203056</v>
      </c>
      <c r="AP1084" s="94">
        <f>Table3.110[[#This Row],[CH4 8h, ml]]/Table3.110[[#This Row],[Net gas 8h, ml]]%</f>
        <v>15.7</v>
      </c>
      <c r="AQ1084" s="94">
        <f>Table3.110[[#This Row],[CH4 24h, ml]]/Table3.110[[#This Row],[Net gas 24h, ml]]%</f>
        <v>16.01125410225346</v>
      </c>
      <c r="AR1084" s="94">
        <f>Table3.110[[#This Row],[CH4 24h, ml]]/Table3.110[[#This Row],[DM Incubated, mg]]*1000</f>
        <v>22.412757712989873</v>
      </c>
      <c r="AS1084" s="94">
        <f>Table3.110[[#This Row],[CH4 24h, ml]]/Table3.110[[#This Row],[Digested feed, mg]]*1000</f>
        <v>103.63546277095915</v>
      </c>
      <c r="AT1084" s="94">
        <f>Table3.110[[#This Row],[CH4 24h, ml]]/'3.2 Digest'!AA1084</f>
        <v>-3.5169113488874171</v>
      </c>
      <c r="AU1084" s="94">
        <f>((Table3.110[[#This Row],[CH4 24h, ml]]/28.9)*16.04)/Table3.110[[#This Row],[DM Incubated, mg]]*1000</f>
        <v>12.439468294683653</v>
      </c>
      <c r="AV1084" s="94">
        <f>((Table3.110[[#This Row],[CH4 24h, ml]]/28.9)*16.04)/Table3.110[[#This Row],[Digested feed, mg]]*1000</f>
        <v>57.519474838968335</v>
      </c>
      <c r="AW1084" s="94"/>
      <c r="AX1084" s="94"/>
    </row>
    <row r="1085" spans="2:50" x14ac:dyDescent="0.35">
      <c r="B1085" s="90">
        <f t="shared" si="16"/>
        <v>1075</v>
      </c>
      <c r="C1085" s="140">
        <v>46064</v>
      </c>
      <c r="D1085" s="8"/>
      <c r="E1085" s="6" t="s">
        <v>537</v>
      </c>
      <c r="F1085" s="242" t="s">
        <v>538</v>
      </c>
      <c r="G1085" s="242">
        <v>24</v>
      </c>
      <c r="H1085" s="6" t="s">
        <v>537</v>
      </c>
      <c r="I1085" s="242"/>
      <c r="J1085" s="243"/>
      <c r="K1085" s="243"/>
      <c r="L1085" s="6" t="s">
        <v>539</v>
      </c>
      <c r="M1085" s="256">
        <v>30</v>
      </c>
      <c r="N1085" s="256">
        <v>64</v>
      </c>
      <c r="O1085" s="256">
        <v>1</v>
      </c>
      <c r="P1085" s="257">
        <v>1</v>
      </c>
      <c r="Q1085" s="129">
        <v>209</v>
      </c>
      <c r="R1085" s="98"/>
      <c r="S1085" s="94"/>
      <c r="T1085" s="94"/>
      <c r="U1085" s="115">
        <v>0.34791666666666665</v>
      </c>
      <c r="V1085" s="94">
        <v>39.5</v>
      </c>
      <c r="W1085" s="115">
        <v>0.7055555555555556</v>
      </c>
      <c r="X1085" s="93">
        <v>42</v>
      </c>
      <c r="Y1085" s="93"/>
      <c r="Z1085" s="94">
        <v>40</v>
      </c>
      <c r="AA1085" s="115">
        <v>0.37361111111111112</v>
      </c>
      <c r="AB1085" s="94">
        <v>43.5</v>
      </c>
      <c r="AC1085" s="94"/>
      <c r="AD1085" s="93"/>
      <c r="AE1085" s="94">
        <f>Table3.110[[#This Row],[Gas 8h, ml]]-Table3.110[[#This Row],[Gas 0h, ml]]</f>
        <v>2.5</v>
      </c>
      <c r="AF1085" s="94">
        <f>Table3.110[[#This Row],[Gas 24h, ml]]-Table3.110[[#This Row],[V8 Push back, ml]]</f>
        <v>3.5</v>
      </c>
      <c r="AG1085" s="94"/>
      <c r="AH1085" s="94"/>
      <c r="AI1085" s="94"/>
      <c r="AJ1085" s="94"/>
      <c r="AK1085" s="94"/>
      <c r="AL1085" s="94"/>
      <c r="AM1085" s="94"/>
      <c r="AN1085" s="94"/>
      <c r="AO1085" s="94"/>
      <c r="AP1085" s="94"/>
      <c r="AQ1085" s="94"/>
      <c r="AR1085" s="94"/>
      <c r="AS1085" s="94"/>
      <c r="AT1085" s="94"/>
      <c r="AU1085" s="94"/>
      <c r="AV1085" s="94"/>
      <c r="AW1085" s="94"/>
      <c r="AX1085" s="94"/>
    </row>
    <row r="1086" spans="2:50" x14ac:dyDescent="0.35">
      <c r="B1086" s="90">
        <f t="shared" si="16"/>
        <v>1076</v>
      </c>
      <c r="C1086" s="140">
        <v>46064</v>
      </c>
      <c r="D1086" s="92"/>
      <c r="E1086" s="6" t="s">
        <v>537</v>
      </c>
      <c r="F1086" s="242" t="s">
        <v>538</v>
      </c>
      <c r="G1086" s="242">
        <v>24</v>
      </c>
      <c r="H1086" s="6" t="s">
        <v>537</v>
      </c>
      <c r="I1086" s="242"/>
      <c r="J1086" s="243"/>
      <c r="K1086" s="243"/>
      <c r="L1086" s="6" t="s">
        <v>539</v>
      </c>
      <c r="M1086" s="256">
        <v>30</v>
      </c>
      <c r="N1086" s="256">
        <v>64</v>
      </c>
      <c r="O1086" s="256">
        <v>1</v>
      </c>
      <c r="P1086" s="257">
        <v>2</v>
      </c>
      <c r="Q1086" s="129">
        <v>210</v>
      </c>
      <c r="R1086" s="98"/>
      <c r="S1086" s="94"/>
      <c r="T1086" s="94"/>
      <c r="U1086" s="115">
        <v>0.34791666666666665</v>
      </c>
      <c r="V1086" s="94">
        <v>39.5</v>
      </c>
      <c r="W1086" s="115">
        <v>0.7055555555555556</v>
      </c>
      <c r="X1086" s="93">
        <v>42</v>
      </c>
      <c r="Y1086" s="93"/>
      <c r="Z1086" s="94">
        <v>40</v>
      </c>
      <c r="AA1086" s="115">
        <v>0.375</v>
      </c>
      <c r="AB1086" s="94">
        <v>44</v>
      </c>
      <c r="AC1086" s="94"/>
      <c r="AD1086" s="93"/>
      <c r="AE1086" s="94">
        <f>Table3.110[[#This Row],[Gas 8h, ml]]-Table3.110[[#This Row],[Gas 0h, ml]]</f>
        <v>2.5</v>
      </c>
      <c r="AF1086" s="94">
        <f>Table3.110[[#This Row],[Gas 24h, ml]]-Table3.110[[#This Row],[V8 Push back, ml]]</f>
        <v>4</v>
      </c>
      <c r="AG1086" s="94"/>
      <c r="AH1086" s="94"/>
      <c r="AI1086" s="94"/>
      <c r="AJ1086" s="94"/>
      <c r="AK1086" s="94"/>
      <c r="AL1086" s="94"/>
      <c r="AM1086" s="94"/>
      <c r="AN1086" s="94"/>
      <c r="AO1086" s="94"/>
      <c r="AP1086" s="94"/>
      <c r="AQ1086" s="94"/>
      <c r="AR1086" s="94"/>
      <c r="AS1086" s="94"/>
      <c r="AT1086" s="94"/>
      <c r="AU1086" s="94"/>
      <c r="AV1086" s="94"/>
      <c r="AW1086" s="94"/>
      <c r="AX1086" s="94"/>
    </row>
    <row r="1087" spans="2:50" x14ac:dyDescent="0.35">
      <c r="B1087" s="90">
        <f t="shared" si="16"/>
        <v>1077</v>
      </c>
      <c r="C1087" s="140">
        <v>46083</v>
      </c>
      <c r="D1087" s="92"/>
      <c r="E1087" s="6" t="s">
        <v>537</v>
      </c>
      <c r="F1087" s="242" t="s">
        <v>538</v>
      </c>
      <c r="G1087" s="242">
        <v>24</v>
      </c>
      <c r="H1087" s="6" t="s">
        <v>537</v>
      </c>
      <c r="I1087" s="242"/>
      <c r="J1087" s="243"/>
      <c r="K1087" s="243"/>
      <c r="L1087" s="6" t="s">
        <v>539</v>
      </c>
      <c r="M1087" s="256">
        <v>30</v>
      </c>
      <c r="N1087" s="256">
        <v>65</v>
      </c>
      <c r="O1087" s="256">
        <v>2</v>
      </c>
      <c r="P1087" s="257">
        <v>1</v>
      </c>
      <c r="Q1087" s="129">
        <v>1</v>
      </c>
      <c r="R1087" s="98"/>
      <c r="S1087" s="94"/>
      <c r="T1087" s="94"/>
      <c r="U1087" s="153">
        <v>0.3263888888888889</v>
      </c>
      <c r="V1087" s="154">
        <v>39.5</v>
      </c>
      <c r="W1087" s="153">
        <v>0.65972222222222221</v>
      </c>
      <c r="X1087" s="91">
        <v>41.5</v>
      </c>
      <c r="Y1087" s="91"/>
      <c r="Z1087" s="154">
        <v>40</v>
      </c>
      <c r="AA1087" s="153">
        <v>0.35902777777777778</v>
      </c>
      <c r="AB1087" s="154">
        <v>43</v>
      </c>
      <c r="AC1087" s="154"/>
      <c r="AD1087" s="91"/>
      <c r="AE1087" s="94">
        <f>Table3.110[[#This Row],[Gas 8h, ml]]-Table3.110[[#This Row],[Gas 0h, ml]]</f>
        <v>2</v>
      </c>
      <c r="AF1087" s="94">
        <f>Table3.110[[#This Row],[Gas 24h, ml]]-Table3.110[[#This Row],[V8 Push back, ml]]</f>
        <v>3</v>
      </c>
      <c r="AG1087" s="94"/>
      <c r="AH1087" s="94"/>
      <c r="AI1087" s="94"/>
      <c r="AJ1087" s="94"/>
      <c r="AK1087" s="94"/>
      <c r="AL1087" s="94"/>
      <c r="AM1087" s="94"/>
      <c r="AN1087" s="94"/>
      <c r="AO1087" s="94"/>
      <c r="AP1087" s="94"/>
      <c r="AQ1087" s="94"/>
      <c r="AR1087" s="94"/>
      <c r="AS1087" s="94"/>
      <c r="AT1087" s="94"/>
      <c r="AU1087" s="94"/>
      <c r="AV1087" s="94"/>
      <c r="AW1087" s="94"/>
      <c r="AX1087" s="94"/>
    </row>
    <row r="1088" spans="2:50" x14ac:dyDescent="0.35">
      <c r="B1088" s="90">
        <f t="shared" si="16"/>
        <v>1078</v>
      </c>
      <c r="C1088" s="140">
        <v>46083</v>
      </c>
      <c r="D1088" s="92"/>
      <c r="E1088" s="6" t="s">
        <v>537</v>
      </c>
      <c r="F1088" s="242" t="s">
        <v>538</v>
      </c>
      <c r="G1088" s="242">
        <v>24</v>
      </c>
      <c r="H1088" s="6" t="s">
        <v>537</v>
      </c>
      <c r="I1088" s="242"/>
      <c r="J1088" s="243"/>
      <c r="K1088" s="243"/>
      <c r="L1088" s="6" t="s">
        <v>539</v>
      </c>
      <c r="M1088" s="256">
        <v>30</v>
      </c>
      <c r="N1088" s="256">
        <v>65</v>
      </c>
      <c r="O1088" s="256">
        <v>2</v>
      </c>
      <c r="P1088" s="257">
        <v>2</v>
      </c>
      <c r="Q1088" s="6">
        <v>2</v>
      </c>
      <c r="R1088" s="98"/>
      <c r="S1088" s="94"/>
      <c r="T1088" s="94"/>
      <c r="U1088" s="117">
        <v>0.32708333333333334</v>
      </c>
      <c r="V1088" s="155">
        <v>40</v>
      </c>
      <c r="W1088" s="117">
        <v>0.66041666666666665</v>
      </c>
      <c r="X1088" s="96">
        <v>42.5</v>
      </c>
      <c r="Y1088" s="96"/>
      <c r="Z1088" s="155">
        <v>40</v>
      </c>
      <c r="AA1088" s="117">
        <v>0.35972222222222222</v>
      </c>
      <c r="AB1088" s="155">
        <v>43.5</v>
      </c>
      <c r="AC1088" s="155"/>
      <c r="AD1088" s="96"/>
      <c r="AE1088" s="94">
        <f>Table3.110[[#This Row],[Gas 8h, ml]]-Table3.110[[#This Row],[Gas 0h, ml]]</f>
        <v>2.5</v>
      </c>
      <c r="AF1088" s="94">
        <f>Table3.110[[#This Row],[Gas 24h, ml]]-Table3.110[[#This Row],[V8 Push back, ml]]</f>
        <v>3.5</v>
      </c>
      <c r="AG1088" s="94"/>
      <c r="AH1088" s="94"/>
      <c r="AI1088" s="94"/>
      <c r="AJ1088" s="94"/>
      <c r="AK1088" s="94"/>
      <c r="AL1088" s="94"/>
      <c r="AM1088" s="94"/>
      <c r="AN1088" s="94"/>
      <c r="AO1088" s="94"/>
      <c r="AP1088" s="94"/>
      <c r="AQ1088" s="94"/>
      <c r="AR1088" s="94"/>
      <c r="AS1088" s="94"/>
      <c r="AT1088" s="94"/>
      <c r="AU1088" s="94"/>
      <c r="AV1088" s="94"/>
      <c r="AW1088" s="94"/>
      <c r="AX1088" s="94"/>
    </row>
    <row r="1089" spans="2:50" x14ac:dyDescent="0.35">
      <c r="B1089" s="90">
        <f t="shared" si="16"/>
        <v>1079</v>
      </c>
      <c r="C1089" s="140">
        <v>46083</v>
      </c>
      <c r="D1089" s="6" t="s">
        <v>16</v>
      </c>
      <c r="E1089" s="6" t="s">
        <v>385</v>
      </c>
      <c r="F1089" s="242" t="s">
        <v>226</v>
      </c>
      <c r="G1089" s="242" t="s">
        <v>231</v>
      </c>
      <c r="H1089" s="6" t="s">
        <v>232</v>
      </c>
      <c r="I1089" s="133" t="s">
        <v>22</v>
      </c>
      <c r="J1089" s="135" t="s">
        <v>23</v>
      </c>
      <c r="K1089" s="135" t="s">
        <v>215</v>
      </c>
      <c r="L1089" s="6" t="s">
        <v>384</v>
      </c>
      <c r="M1089" s="256">
        <v>30</v>
      </c>
      <c r="N1089" s="256">
        <v>65</v>
      </c>
      <c r="O1089" s="256">
        <v>2</v>
      </c>
      <c r="P1089" s="257">
        <v>1</v>
      </c>
      <c r="Q1089" s="129">
        <v>3</v>
      </c>
      <c r="R1089" s="98">
        <v>0.50019999999999998</v>
      </c>
      <c r="S1089" s="94">
        <f>((Table3.110[[#This Row],[Sample weight, g]]*'2.1. DM'!Q241)/100)*1000</f>
        <v>463.19986857315774</v>
      </c>
      <c r="T1089" s="94">
        <f>'3.2 Digest'!W1089</f>
        <v>205.99986857315776</v>
      </c>
      <c r="U1089" s="153">
        <v>0.32777777777777778</v>
      </c>
      <c r="V1089" s="154">
        <v>41</v>
      </c>
      <c r="W1089" s="153">
        <v>0.66111111111111109</v>
      </c>
      <c r="X1089" s="91">
        <v>79</v>
      </c>
      <c r="Y1089" s="91">
        <v>12.8</v>
      </c>
      <c r="Z1089" s="154">
        <v>40.5</v>
      </c>
      <c r="AA1089" s="153">
        <v>0.3611111111111111</v>
      </c>
      <c r="AB1089" s="154">
        <v>85.5</v>
      </c>
      <c r="AC1089" s="154">
        <v>16.3</v>
      </c>
      <c r="AD1089" s="91"/>
      <c r="AE1089" s="94">
        <f>Table3.110[[#This Row],[Gas 8h, ml]]-Table3.110[[#This Row],[Gas 0h, ml]]</f>
        <v>38</v>
      </c>
      <c r="AF1089" s="94">
        <f>Table3.110[[#This Row],[Gas 24h, ml]]-Table3.110[[#This Row],[V8 Push back, ml]]</f>
        <v>45</v>
      </c>
      <c r="AG1089" s="94">
        <f>Table3.110[[#This Row],[GP 8h, ml]]-(AVERAGE(AE$1087,AE$1088,AE$1121,AE$1122,AE$1157,AE$1158))*$AG$8</f>
        <v>35.861233672775342</v>
      </c>
      <c r="AH1089" s="94">
        <f>Table3.110[[#This Row],[GP 8-24h, ml]]-(AVERAGE(AF$1087,AF$1088,AF$1121,AF$1122,AF$1157,AF$1158))*$AG$8</f>
        <v>42.123728042697877</v>
      </c>
      <c r="AI1089" s="94">
        <f>Table3.110[[#This Row],[Net gas 8-24h, ml]]+Table3.110[[#This Row],[Net gas 8h, ml]]</f>
        <v>77.984961715473219</v>
      </c>
      <c r="AJ1089" s="94">
        <f>Table3.110[[#This Row],[Net gas 8h, ml]]*Table3.110[[#This Row],[CH4 8h %]]%</f>
        <v>4.5902379101152437</v>
      </c>
      <c r="AK1089" s="94">
        <f>Table3.110[[#This Row],[Net gas 8-24h, ml]]*Table3.110[[#This Row],[CH4 24h, %]]%</f>
        <v>6.8661676709597543</v>
      </c>
      <c r="AL1089" s="94">
        <f>Table3.110[[#This Row],[CH4 8-24h, ml]]+Table3.110[[#This Row],[CH4 8h, ml]]</f>
        <v>11.456405581074998</v>
      </c>
      <c r="AM1089" s="94">
        <f>(Table3.110[[#This Row],[Net gas 24h, ml]]/Table3.110[[#This Row],[DM Incubated, mg]])*1000</f>
        <v>168.36136408176955</v>
      </c>
      <c r="AN1089" s="94">
        <f>'3.2 Digest'!X1089</f>
        <v>44.473213951402954</v>
      </c>
      <c r="AO1089" s="94">
        <f>Table3.110[[#This Row],[Digested feed, mg]]/Table3.110[[#This Row],[Net gas 24h, ml]]</f>
        <v>2.6415332397641573</v>
      </c>
      <c r="AP1089" s="94">
        <f>Table3.110[[#This Row],[CH4 8h, ml]]/Table3.110[[#This Row],[Net gas 8h, ml]]%</f>
        <v>12.8</v>
      </c>
      <c r="AQ1089" s="94">
        <f>Table3.110[[#This Row],[CH4 24h, ml]]/Table3.110[[#This Row],[Net gas 24h, ml]]%</f>
        <v>14.690531775694774</v>
      </c>
      <c r="AR1089" s="94">
        <f>Table3.110[[#This Row],[CH4 24h, ml]]/Table3.110[[#This Row],[DM Incubated, mg]]*1000</f>
        <v>24.733179688425526</v>
      </c>
      <c r="AS1089" s="94">
        <f>Table3.110[[#This Row],[CH4 24h, ml]]/Table3.110[[#This Row],[Digested feed, mg]]*1000</f>
        <v>55.613654806805997</v>
      </c>
      <c r="AT1089" s="94">
        <f>Table3.110[[#This Row],[CH4 24h, ml]]/'3.2 Digest'!AA1089</f>
        <v>-95.908295078391603</v>
      </c>
      <c r="AU1089" s="94">
        <f>((Table3.110[[#This Row],[CH4 24h, ml]]/28.9)*16.04)/Table3.110[[#This Row],[DM Incubated, mg]]*1000</f>
        <v>13.727342636759355</v>
      </c>
      <c r="AV1089" s="94">
        <f>((Table3.110[[#This Row],[CH4 24h, ml]]/28.9)*16.04)/Table3.110[[#This Row],[Digested feed, mg]]*1000</f>
        <v>30.866540591735919</v>
      </c>
      <c r="AW1089" s="94"/>
      <c r="AX1089" s="94"/>
    </row>
    <row r="1090" spans="2:50" x14ac:dyDescent="0.35">
      <c r="B1090" s="90">
        <f t="shared" si="16"/>
        <v>1080</v>
      </c>
      <c r="C1090" s="140">
        <v>46083</v>
      </c>
      <c r="D1090" s="6" t="s">
        <v>16</v>
      </c>
      <c r="E1090" s="6" t="s">
        <v>385</v>
      </c>
      <c r="F1090" s="242" t="s">
        <v>226</v>
      </c>
      <c r="G1090" s="242" t="s">
        <v>231</v>
      </c>
      <c r="H1090" s="6" t="s">
        <v>232</v>
      </c>
      <c r="I1090" s="133" t="s">
        <v>22</v>
      </c>
      <c r="J1090" s="135" t="s">
        <v>23</v>
      </c>
      <c r="K1090" s="135" t="s">
        <v>215</v>
      </c>
      <c r="L1090" s="6" t="s">
        <v>384</v>
      </c>
      <c r="M1090" s="256">
        <v>30</v>
      </c>
      <c r="N1090" s="256">
        <v>65</v>
      </c>
      <c r="O1090" s="256">
        <v>2</v>
      </c>
      <c r="P1090" s="257">
        <v>2</v>
      </c>
      <c r="Q1090" s="129">
        <v>4</v>
      </c>
      <c r="R1090" s="98">
        <v>0.50009999999999999</v>
      </c>
      <c r="S1090" s="94">
        <f>((Table3.110[[#This Row],[Sample weight, g]]*'2.1. DM'!Q241)/100)*1000</f>
        <v>463.10726564061611</v>
      </c>
      <c r="T1090" s="94">
        <f>'3.2 Digest'!W1090</f>
        <v>246.20726564061613</v>
      </c>
      <c r="U1090" s="117">
        <v>0.32777777777777778</v>
      </c>
      <c r="V1090" s="155">
        <v>41</v>
      </c>
      <c r="W1090" s="117">
        <v>0.66249999999999998</v>
      </c>
      <c r="X1090" s="96">
        <v>79</v>
      </c>
      <c r="Y1090" s="96">
        <v>13.3</v>
      </c>
      <c r="Z1090" s="155">
        <v>41</v>
      </c>
      <c r="AA1090" s="117">
        <v>0.36180555555555555</v>
      </c>
      <c r="AB1090" s="155">
        <v>87.5</v>
      </c>
      <c r="AC1090" s="155">
        <v>16.5</v>
      </c>
      <c r="AD1090" s="96"/>
      <c r="AE1090" s="94">
        <f>Table3.110[[#This Row],[Gas 8h, ml]]-Table3.110[[#This Row],[Gas 0h, ml]]</f>
        <v>38</v>
      </c>
      <c r="AF1090" s="94">
        <f>Table3.110[[#This Row],[Gas 24h, ml]]-Table3.110[[#This Row],[V8 Push back, ml]]</f>
        <v>46.5</v>
      </c>
      <c r="AG1090" s="94">
        <f>Table3.110[[#This Row],[GP 8h, ml]]-(AVERAGE(AE$1087,AE$1088,AE$1121,AE$1122,AE$1157,AE$1158))*$AG$8</f>
        <v>35.861233672775342</v>
      </c>
      <c r="AH1090" s="94">
        <f>Table3.110[[#This Row],[GP 8-24h, ml]]-(AVERAGE(AF$1087,AF$1088,AF$1121,AF$1122,AF$1157,AF$1158))*$AG$8</f>
        <v>43.623728042697877</v>
      </c>
      <c r="AI1090" s="94">
        <f>Table3.110[[#This Row],[Net gas 8-24h, ml]]+Table3.110[[#This Row],[Net gas 8h, ml]]</f>
        <v>79.484961715473219</v>
      </c>
      <c r="AJ1090" s="94">
        <f>Table3.110[[#This Row],[Net gas 8h, ml]]*Table3.110[[#This Row],[CH4 8h %]]%</f>
        <v>4.7695440784791208</v>
      </c>
      <c r="AK1090" s="94">
        <f>Table3.110[[#This Row],[Net gas 8-24h, ml]]*Table3.110[[#This Row],[CH4 24h, %]]%</f>
        <v>7.1979151270451505</v>
      </c>
      <c r="AL1090" s="94">
        <f>Table3.110[[#This Row],[CH4 8-24h, ml]]+Table3.110[[#This Row],[CH4 8h, ml]]</f>
        <v>11.967459205524271</v>
      </c>
      <c r="AM1090" s="94">
        <f>(Table3.110[[#This Row],[Net gas 24h, ml]]/Table3.110[[#This Row],[DM Incubated, mg]])*1000</f>
        <v>171.63402004829638</v>
      </c>
      <c r="AN1090" s="94">
        <f>'3.2 Digest'!X1090</f>
        <v>53.164198428205978</v>
      </c>
      <c r="AO1090" s="94">
        <f>Table3.110[[#This Row],[Digested feed, mg]]/Table3.110[[#This Row],[Net gas 24h, ml]]</f>
        <v>3.0975326694116947</v>
      </c>
      <c r="AP1090" s="94">
        <f>Table3.110[[#This Row],[CH4 8h, ml]]/Table3.110[[#This Row],[Net gas 8h, ml]]%</f>
        <v>13.300000000000002</v>
      </c>
      <c r="AQ1090" s="94">
        <f>Table3.110[[#This Row],[CH4 24h, ml]]/Table3.110[[#This Row],[Net gas 24h, ml]]%</f>
        <v>15.05625585926977</v>
      </c>
      <c r="AR1090" s="94">
        <f>Table3.110[[#This Row],[CH4 24h, ml]]/Table3.110[[#This Row],[DM Incubated, mg]]*1000</f>
        <v>25.841657200021878</v>
      </c>
      <c r="AS1090" s="94">
        <f>Table3.110[[#This Row],[CH4 24h, ml]]/Table3.110[[#This Row],[Digested feed, mg]]*1000</f>
        <v>48.607254438189223</v>
      </c>
      <c r="AT1090" s="94">
        <f>Table3.110[[#This Row],[CH4 24h, ml]]/'3.2 Digest'!AA1090</f>
        <v>0.76955598958337823</v>
      </c>
      <c r="AU1090" s="94">
        <f>((Table3.110[[#This Row],[CH4 24h, ml]]/28.9)*16.04)/Table3.110[[#This Row],[DM Incubated, mg]]*1000</f>
        <v>14.342566833506952</v>
      </c>
      <c r="AV1090" s="94">
        <f>((Table3.110[[#This Row],[CH4 24h, ml]]/28.9)*16.04)/Table3.110[[#This Row],[Digested feed, mg]]*1000</f>
        <v>26.977867169154155</v>
      </c>
      <c r="AW1090" s="94"/>
      <c r="AX1090" s="94"/>
    </row>
    <row r="1091" spans="2:50" x14ac:dyDescent="0.35">
      <c r="B1091" s="90">
        <f t="shared" si="16"/>
        <v>1081</v>
      </c>
      <c r="C1091" s="140">
        <v>46083</v>
      </c>
      <c r="D1091" s="6" t="s">
        <v>16</v>
      </c>
      <c r="E1091" s="6" t="s">
        <v>389</v>
      </c>
      <c r="F1091" s="242" t="s">
        <v>226</v>
      </c>
      <c r="G1091" s="242" t="s">
        <v>227</v>
      </c>
      <c r="H1091" s="6" t="s">
        <v>228</v>
      </c>
      <c r="I1091" s="133" t="s">
        <v>22</v>
      </c>
      <c r="J1091" s="135" t="s">
        <v>23</v>
      </c>
      <c r="K1091" s="135" t="s">
        <v>215</v>
      </c>
      <c r="L1091" s="6" t="s">
        <v>388</v>
      </c>
      <c r="M1091" s="256">
        <v>30</v>
      </c>
      <c r="N1091" s="256">
        <v>65</v>
      </c>
      <c r="O1091" s="256">
        <v>2</v>
      </c>
      <c r="P1091" s="257">
        <v>1</v>
      </c>
      <c r="Q1091" s="129">
        <v>5</v>
      </c>
      <c r="R1091" s="98">
        <v>0.50029999999999997</v>
      </c>
      <c r="S1091" s="94">
        <f>((Table3.110[[#This Row],[Sample weight, g]]*'2.1. DM'!Q243)/100)*1000</f>
        <v>463.1925875950356</v>
      </c>
      <c r="T1091" s="94">
        <f>'3.2 Digest'!W1091</f>
        <v>206.9925875950355</v>
      </c>
      <c r="U1091" s="117">
        <v>0.32777777777777778</v>
      </c>
      <c r="V1091" s="155">
        <v>41</v>
      </c>
      <c r="W1091" s="117">
        <v>0.66249999999999998</v>
      </c>
      <c r="X1091" s="96">
        <v>73.5</v>
      </c>
      <c r="Y1091" s="96">
        <v>10.9</v>
      </c>
      <c r="Z1091" s="155">
        <v>41</v>
      </c>
      <c r="AA1091" s="117">
        <v>0.36249999999999999</v>
      </c>
      <c r="AB1091" s="155">
        <v>74.5</v>
      </c>
      <c r="AC1091" s="155">
        <v>15.1</v>
      </c>
      <c r="AD1091" s="96"/>
      <c r="AE1091" s="94">
        <f>Table3.110[[#This Row],[Gas 8h, ml]]-Table3.110[[#This Row],[Gas 0h, ml]]</f>
        <v>32.5</v>
      </c>
      <c r="AF1091" s="94">
        <f>Table3.110[[#This Row],[Gas 24h, ml]]-Table3.110[[#This Row],[V8 Push back, ml]]</f>
        <v>33.5</v>
      </c>
      <c r="AG1091" s="94">
        <f>Table3.110[[#This Row],[GP 8h, ml]]-(AVERAGE(AE$1087,AE$1088,AE$1121,AE$1122,AE$1157,AE$1158))*$AG$8</f>
        <v>30.361233672775342</v>
      </c>
      <c r="AH1091" s="94">
        <f>Table3.110[[#This Row],[GP 8-24h, ml]]-(AVERAGE(AF$1087,AF$1088,AF$1121,AF$1122,AF$1157,AF$1158))*$AG$8</f>
        <v>30.623728042697874</v>
      </c>
      <c r="AI1091" s="94">
        <f>Table3.110[[#This Row],[Net gas 8-24h, ml]]+Table3.110[[#This Row],[Net gas 8h, ml]]</f>
        <v>60.984961715473219</v>
      </c>
      <c r="AJ1091" s="94">
        <f>Table3.110[[#This Row],[Net gas 8h, ml]]*Table3.110[[#This Row],[CH4 8h %]]%</f>
        <v>3.3093744703325121</v>
      </c>
      <c r="AK1091" s="94">
        <f>Table3.110[[#This Row],[Net gas 8-24h, ml]]*Table3.110[[#This Row],[CH4 24h, %]]%</f>
        <v>4.6241829344473784</v>
      </c>
      <c r="AL1091" s="94">
        <f>Table3.110[[#This Row],[CH4 8-24h, ml]]+Table3.110[[#This Row],[CH4 8h, ml]]</f>
        <v>7.93355740477989</v>
      </c>
      <c r="AM1091" s="94">
        <f>(Table3.110[[#This Row],[Net gas 24h, ml]]/Table3.110[[#This Row],[DM Incubated, mg]])*1000</f>
        <v>131.66221426840215</v>
      </c>
      <c r="AN1091" s="94">
        <f>'3.2 Digest'!X1091</f>
        <v>44.688234038841514</v>
      </c>
      <c r="AO1091" s="94">
        <f>Table3.110[[#This Row],[Digested feed, mg]]/Table3.110[[#This Row],[Net gas 24h, ml]]</f>
        <v>3.3941578673241497</v>
      </c>
      <c r="AP1091" s="94">
        <f>Table3.110[[#This Row],[CH4 8h, ml]]/Table3.110[[#This Row],[Net gas 8h, ml]]%</f>
        <v>10.9</v>
      </c>
      <c r="AQ1091" s="94">
        <f>Table3.110[[#This Row],[CH4 24h, ml]]/Table3.110[[#This Row],[Net gas 24h, ml]]%</f>
        <v>13.009038919781716</v>
      </c>
      <c r="AR1091" s="94">
        <f>Table3.110[[#This Row],[CH4 24h, ml]]/Table3.110[[#This Row],[DM Incubated, mg]]*1000</f>
        <v>17.127988696822833</v>
      </c>
      <c r="AS1091" s="94">
        <f>Table3.110[[#This Row],[CH4 24h, ml]]/Table3.110[[#This Row],[Digested feed, mg]]*1000</f>
        <v>38.327736741478212</v>
      </c>
      <c r="AT1091" s="94">
        <f>Table3.110[[#This Row],[CH4 24h, ml]]/'3.2 Digest'!AA1091</f>
        <v>-1.6841137443622292</v>
      </c>
      <c r="AU1091" s="94">
        <f>((Table3.110[[#This Row],[CH4 24h, ml]]/28.9)*16.04)/Table3.110[[#This Row],[DM Incubated, mg]]*1000</f>
        <v>9.5063300587210477</v>
      </c>
      <c r="AV1091" s="94">
        <f>((Table3.110[[#This Row],[CH4 24h, ml]]/28.9)*16.04)/Table3.110[[#This Row],[Digested feed, mg]]*1000</f>
        <v>21.272557001152613</v>
      </c>
      <c r="AW1091" s="94"/>
      <c r="AX1091" s="94"/>
    </row>
    <row r="1092" spans="2:50" x14ac:dyDescent="0.35">
      <c r="B1092" s="90">
        <f t="shared" si="16"/>
        <v>1082</v>
      </c>
      <c r="C1092" s="140">
        <v>46083</v>
      </c>
      <c r="D1092" s="6" t="s">
        <v>16</v>
      </c>
      <c r="E1092" s="6" t="s">
        <v>389</v>
      </c>
      <c r="F1092" s="242" t="s">
        <v>226</v>
      </c>
      <c r="G1092" s="242" t="s">
        <v>227</v>
      </c>
      <c r="H1092" s="6" t="s">
        <v>228</v>
      </c>
      <c r="I1092" s="133" t="s">
        <v>22</v>
      </c>
      <c r="J1092" s="135" t="s">
        <v>23</v>
      </c>
      <c r="K1092" s="135" t="s">
        <v>215</v>
      </c>
      <c r="L1092" s="6" t="s">
        <v>388</v>
      </c>
      <c r="M1092" s="256">
        <v>30</v>
      </c>
      <c r="N1092" s="256">
        <v>65</v>
      </c>
      <c r="O1092" s="256">
        <v>2</v>
      </c>
      <c r="P1092" s="257">
        <v>2</v>
      </c>
      <c r="Q1092" s="129">
        <v>6</v>
      </c>
      <c r="R1092" s="98">
        <v>0.50009999999999999</v>
      </c>
      <c r="S1092" s="94">
        <f>((Table3.110[[#This Row],[Sample weight, g]]*'2.1. DM'!Q243)/100)*1000</f>
        <v>463.00742165955893</v>
      </c>
      <c r="T1092" s="94">
        <f>'3.2 Digest'!W1092</f>
        <v>201.20742165955903</v>
      </c>
      <c r="U1092" s="117">
        <v>0.32847222222222222</v>
      </c>
      <c r="V1092" s="154">
        <v>41.5</v>
      </c>
      <c r="W1092" s="153">
        <v>0.66319444444444442</v>
      </c>
      <c r="X1092" s="91">
        <v>73.5</v>
      </c>
      <c r="Y1092" s="91">
        <v>10.9</v>
      </c>
      <c r="Z1092" s="154">
        <v>41.5</v>
      </c>
      <c r="AA1092" s="153">
        <v>0.36319444444444443</v>
      </c>
      <c r="AB1092" s="154">
        <v>75.5</v>
      </c>
      <c r="AC1092" s="154">
        <v>14.7</v>
      </c>
      <c r="AD1092" s="91"/>
      <c r="AE1092" s="94">
        <f>Table3.110[[#This Row],[Gas 8h, ml]]-Table3.110[[#This Row],[Gas 0h, ml]]</f>
        <v>32</v>
      </c>
      <c r="AF1092" s="94">
        <f>Table3.110[[#This Row],[Gas 24h, ml]]-Table3.110[[#This Row],[V8 Push back, ml]]</f>
        <v>34</v>
      </c>
      <c r="AG1092" s="94">
        <f>Table3.110[[#This Row],[GP 8h, ml]]-(AVERAGE(AE$1087,AE$1088,AE$1121,AE$1122,AE$1157,AE$1158))*$AG$8</f>
        <v>29.861233672775342</v>
      </c>
      <c r="AH1092" s="94">
        <f>Table3.110[[#This Row],[GP 8-24h, ml]]-(AVERAGE(AF$1087,AF$1088,AF$1121,AF$1122,AF$1157,AF$1158))*$AG$8</f>
        <v>31.123728042697874</v>
      </c>
      <c r="AI1092" s="94">
        <f>Table3.110[[#This Row],[Net gas 8-24h, ml]]+Table3.110[[#This Row],[Net gas 8h, ml]]</f>
        <v>60.984961715473219</v>
      </c>
      <c r="AJ1092" s="94">
        <f>Table3.110[[#This Row],[Net gas 8h, ml]]*Table3.110[[#This Row],[CH4 8h %]]%</f>
        <v>3.2548744703325121</v>
      </c>
      <c r="AK1092" s="94">
        <f>Table3.110[[#This Row],[Net gas 8-24h, ml]]*Table3.110[[#This Row],[CH4 24h, %]]%</f>
        <v>4.5751880222765875</v>
      </c>
      <c r="AL1092" s="94">
        <f>Table3.110[[#This Row],[CH4 8-24h, ml]]+Table3.110[[#This Row],[CH4 8h, ml]]</f>
        <v>7.8300624926091</v>
      </c>
      <c r="AM1092" s="94">
        <f>(Table3.110[[#This Row],[Net gas 24h, ml]]/Table3.110[[#This Row],[DM Incubated, mg]])*1000</f>
        <v>131.71486862323854</v>
      </c>
      <c r="AN1092" s="94">
        <f>'3.2 Digest'!X1092</f>
        <v>43.456629904196923</v>
      </c>
      <c r="AO1092" s="94">
        <f>Table3.110[[#This Row],[Digested feed, mg]]/Table3.110[[#This Row],[Net gas 24h, ml]]</f>
        <v>3.2992956951960881</v>
      </c>
      <c r="AP1092" s="94">
        <f>Table3.110[[#This Row],[CH4 8h, ml]]/Table3.110[[#This Row],[Net gas 8h, ml]]%</f>
        <v>10.9</v>
      </c>
      <c r="AQ1092" s="94">
        <f>Table3.110[[#This Row],[CH4 24h, ml]]/Table3.110[[#This Row],[Net gas 24h, ml]]%</f>
        <v>12.839333291935874</v>
      </c>
      <c r="AR1092" s="94">
        <f>Table3.110[[#This Row],[CH4 24h, ml]]/Table3.110[[#This Row],[DM Incubated, mg]]*1000</f>
        <v>16.911310977573066</v>
      </c>
      <c r="AS1092" s="94">
        <f>Table3.110[[#This Row],[CH4 24h, ml]]/Table3.110[[#This Row],[Digested feed, mg]]*1000</f>
        <v>38.915376122941865</v>
      </c>
      <c r="AT1092" s="94">
        <f>Table3.110[[#This Row],[CH4 24h, ml]]/'3.2 Digest'!AA1092</f>
        <v>-1.1118500435702248</v>
      </c>
      <c r="AU1092" s="94">
        <f>((Table3.110[[#This Row],[CH4 24h, ml]]/28.9)*16.04)/Table3.110[[#This Row],[DM Incubated, mg]]*1000</f>
        <v>9.3860701757879568</v>
      </c>
      <c r="AV1092" s="94">
        <f>((Table3.110[[#This Row],[CH4 24h, ml]]/28.9)*16.04)/Table3.110[[#This Row],[Digested feed, mg]]*1000</f>
        <v>21.598707024636251</v>
      </c>
      <c r="AW1092" s="94"/>
      <c r="AX1092" s="94"/>
    </row>
    <row r="1093" spans="2:50" x14ac:dyDescent="0.35">
      <c r="B1093" s="90">
        <f t="shared" si="16"/>
        <v>1083</v>
      </c>
      <c r="C1093" s="140">
        <v>46083</v>
      </c>
      <c r="D1093" s="6" t="s">
        <v>16</v>
      </c>
      <c r="E1093" s="6" t="s">
        <v>391</v>
      </c>
      <c r="F1093" s="242" t="s">
        <v>290</v>
      </c>
      <c r="G1093" s="242" t="s">
        <v>314</v>
      </c>
      <c r="H1093" s="6" t="s">
        <v>315</v>
      </c>
      <c r="I1093" s="133" t="s">
        <v>22</v>
      </c>
      <c r="J1093" s="135" t="s">
        <v>23</v>
      </c>
      <c r="K1093" s="135" t="s">
        <v>215</v>
      </c>
      <c r="L1093" s="6" t="s">
        <v>390</v>
      </c>
      <c r="M1093" s="256">
        <v>30</v>
      </c>
      <c r="N1093" s="256">
        <v>65</v>
      </c>
      <c r="O1093" s="256">
        <v>2</v>
      </c>
      <c r="P1093" s="257">
        <v>1</v>
      </c>
      <c r="Q1093" s="129">
        <v>7</v>
      </c>
      <c r="R1093" s="98">
        <v>0.50029999999999997</v>
      </c>
      <c r="S1093" s="94">
        <f>((Table3.110[[#This Row],[Sample weight, g]]*'2.1. DM'!Q245)/100)*1000</f>
        <v>474.10929499999986</v>
      </c>
      <c r="T1093" s="94">
        <f>'3.2 Digest'!W1093</f>
        <v>237.30929499999985</v>
      </c>
      <c r="U1093" s="153">
        <v>0.32847222222222222</v>
      </c>
      <c r="V1093" s="154">
        <v>41</v>
      </c>
      <c r="W1093" s="153">
        <v>0.66388888888888886</v>
      </c>
      <c r="X1093" s="91">
        <v>68</v>
      </c>
      <c r="Y1093" s="91">
        <v>13.1</v>
      </c>
      <c r="Z1093" s="154">
        <v>41</v>
      </c>
      <c r="AA1093" s="153">
        <v>0.36319444444444443</v>
      </c>
      <c r="AB1093" s="154">
        <v>84</v>
      </c>
      <c r="AC1093" s="154">
        <v>15.8</v>
      </c>
      <c r="AD1093" s="91"/>
      <c r="AE1093" s="94">
        <f>Table3.110[[#This Row],[Gas 8h, ml]]-Table3.110[[#This Row],[Gas 0h, ml]]</f>
        <v>27</v>
      </c>
      <c r="AF1093" s="94">
        <f>Table3.110[[#This Row],[Gas 24h, ml]]-Table3.110[[#This Row],[V8 Push back, ml]]</f>
        <v>43</v>
      </c>
      <c r="AG1093" s="94">
        <f>Table3.110[[#This Row],[GP 8h, ml]]-(AVERAGE(AE$1087,AE$1088,AE$1121,AE$1122,AE$1157,AE$1158))*$AG$8</f>
        <v>24.861233672775342</v>
      </c>
      <c r="AH1093" s="94">
        <f>Table3.110[[#This Row],[GP 8-24h, ml]]-(AVERAGE(AF$1087,AF$1088,AF$1121,AF$1122,AF$1157,AF$1158))*$AG$8</f>
        <v>40.123728042697877</v>
      </c>
      <c r="AI1093" s="94">
        <f>Table3.110[[#This Row],[Net gas 8-24h, ml]]+Table3.110[[#This Row],[Net gas 8h, ml]]</f>
        <v>64.984961715473219</v>
      </c>
      <c r="AJ1093" s="94">
        <f>Table3.110[[#This Row],[Net gas 8h, ml]]*Table3.110[[#This Row],[CH4 8h %]]%</f>
        <v>3.2568216111335699</v>
      </c>
      <c r="AK1093" s="94">
        <f>Table3.110[[#This Row],[Net gas 8-24h, ml]]*Table3.110[[#This Row],[CH4 24h, %]]%</f>
        <v>6.339549030746265</v>
      </c>
      <c r="AL1093" s="94">
        <f>Table3.110[[#This Row],[CH4 8-24h, ml]]+Table3.110[[#This Row],[CH4 8h, ml]]</f>
        <v>9.5963706418798349</v>
      </c>
      <c r="AM1093" s="94">
        <f>(Table3.110[[#This Row],[Net gas 24h, ml]]/Table3.110[[#This Row],[DM Incubated, mg]])*1000</f>
        <v>137.06747030866214</v>
      </c>
      <c r="AN1093" s="94">
        <f>'3.2 Digest'!X1093</f>
        <v>50.053710716639699</v>
      </c>
      <c r="AO1093" s="94">
        <f>Table3.110[[#This Row],[Digested feed, mg]]/Table3.110[[#This Row],[Net gas 24h, ml]]</f>
        <v>3.6517570948032954</v>
      </c>
      <c r="AP1093" s="94">
        <f>Table3.110[[#This Row],[CH4 8h, ml]]/Table3.110[[#This Row],[Net gas 8h, ml]]%</f>
        <v>13.100000000000001</v>
      </c>
      <c r="AQ1093" s="94">
        <f>Table3.110[[#This Row],[CH4 24h, ml]]/Table3.110[[#This Row],[Net gas 24h, ml]]%</f>
        <v>14.767063622959547</v>
      </c>
      <c r="AR1093" s="94">
        <f>Table3.110[[#This Row],[CH4 24h, ml]]/Table3.110[[#This Row],[DM Incubated, mg]]*1000</f>
        <v>20.240840546861328</v>
      </c>
      <c r="AS1093" s="94">
        <f>Table3.110[[#This Row],[CH4 24h, ml]]/Table3.110[[#This Row],[Digested feed, mg]]*1000</f>
        <v>40.438241754836618</v>
      </c>
      <c r="AT1093" s="94">
        <f>Table3.110[[#This Row],[CH4 24h, ml]]/'3.2 Digest'!AA1093</f>
        <v>-1.9462550161433088</v>
      </c>
      <c r="AU1093" s="94">
        <f>((Table3.110[[#This Row],[CH4 24h, ml]]/28.9)*16.04)/Table3.110[[#This Row],[DM Incubated, mg]]*1000</f>
        <v>11.23401669106075</v>
      </c>
      <c r="AV1093" s="94">
        <f>((Table3.110[[#This Row],[CH4 24h, ml]]/28.9)*16.04)/Table3.110[[#This Row],[Digested feed, mg]]*1000</f>
        <v>22.443923797494097</v>
      </c>
      <c r="AW1093" s="94"/>
      <c r="AX1093" s="94"/>
    </row>
    <row r="1094" spans="2:50" x14ac:dyDescent="0.35">
      <c r="B1094" s="90">
        <f t="shared" si="16"/>
        <v>1084</v>
      </c>
      <c r="C1094" s="140">
        <v>46083</v>
      </c>
      <c r="D1094" s="6" t="s">
        <v>16</v>
      </c>
      <c r="E1094" s="6" t="s">
        <v>391</v>
      </c>
      <c r="F1094" s="242" t="s">
        <v>290</v>
      </c>
      <c r="G1094" s="242" t="s">
        <v>314</v>
      </c>
      <c r="H1094" s="6" t="s">
        <v>315</v>
      </c>
      <c r="I1094" s="133" t="s">
        <v>22</v>
      </c>
      <c r="J1094" s="135" t="s">
        <v>23</v>
      </c>
      <c r="K1094" s="135" t="s">
        <v>215</v>
      </c>
      <c r="L1094" s="6" t="s">
        <v>390</v>
      </c>
      <c r="M1094" s="256">
        <v>30</v>
      </c>
      <c r="N1094" s="256">
        <v>65</v>
      </c>
      <c r="O1094" s="256">
        <v>2</v>
      </c>
      <c r="P1094" s="257">
        <v>2</v>
      </c>
      <c r="Q1094" s="129">
        <v>8</v>
      </c>
      <c r="R1094" s="98">
        <v>0.50009999999999999</v>
      </c>
      <c r="S1094" s="94">
        <f>((Table3.110[[#This Row],[Sample weight, g]]*'2.1. DM'!Q245)/100)*1000</f>
        <v>473.91976499999993</v>
      </c>
      <c r="T1094" s="94">
        <f>'3.2 Digest'!W1094</f>
        <v>239.3197649999999</v>
      </c>
      <c r="U1094" s="117">
        <v>0.32847222222222222</v>
      </c>
      <c r="V1094" s="155">
        <v>41</v>
      </c>
      <c r="W1094" s="117">
        <v>0.66388888888888886</v>
      </c>
      <c r="X1094" s="96">
        <v>68</v>
      </c>
      <c r="Y1094" s="96">
        <v>13.8</v>
      </c>
      <c r="Z1094" s="155">
        <v>40.5</v>
      </c>
      <c r="AA1094" s="117">
        <v>0.36388888888888887</v>
      </c>
      <c r="AB1094" s="155">
        <v>86.5</v>
      </c>
      <c r="AC1094" s="155">
        <v>16.600000000000001</v>
      </c>
      <c r="AD1094" s="96"/>
      <c r="AE1094" s="94">
        <f>Table3.110[[#This Row],[Gas 8h, ml]]-Table3.110[[#This Row],[Gas 0h, ml]]</f>
        <v>27</v>
      </c>
      <c r="AF1094" s="94">
        <f>Table3.110[[#This Row],[Gas 24h, ml]]-Table3.110[[#This Row],[V8 Push back, ml]]</f>
        <v>46</v>
      </c>
      <c r="AG1094" s="94">
        <f>Table3.110[[#This Row],[GP 8h, ml]]-(AVERAGE(AE$1087,AE$1088,AE$1121,AE$1122,AE$1157,AE$1158))*$AG$8</f>
        <v>24.861233672775342</v>
      </c>
      <c r="AH1094" s="94">
        <f>Table3.110[[#This Row],[GP 8-24h, ml]]-(AVERAGE(AF$1087,AF$1088,AF$1121,AF$1122,AF$1157,AF$1158))*$AG$8</f>
        <v>43.123728042697877</v>
      </c>
      <c r="AI1094" s="94">
        <f>Table3.110[[#This Row],[Net gas 8-24h, ml]]+Table3.110[[#This Row],[Net gas 8h, ml]]</f>
        <v>67.984961715473219</v>
      </c>
      <c r="AJ1094" s="94">
        <f>Table3.110[[#This Row],[Net gas 8h, ml]]*Table3.110[[#This Row],[CH4 8h %]]%</f>
        <v>3.4308502468429976</v>
      </c>
      <c r="AK1094" s="94">
        <f>Table3.110[[#This Row],[Net gas 8-24h, ml]]*Table3.110[[#This Row],[CH4 24h, %]]%</f>
        <v>7.1585388550878477</v>
      </c>
      <c r="AL1094" s="94">
        <f>Table3.110[[#This Row],[CH4 8-24h, ml]]+Table3.110[[#This Row],[CH4 8h, ml]]</f>
        <v>10.589389101930845</v>
      </c>
      <c r="AM1094" s="94">
        <f>(Table3.110[[#This Row],[Net gas 24h, ml]]/Table3.110[[#This Row],[DM Incubated, mg]])*1000</f>
        <v>143.45247178174398</v>
      </c>
      <c r="AN1094" s="94">
        <f>'3.2 Digest'!X1094</f>
        <v>50.497949795362494</v>
      </c>
      <c r="AO1094" s="94">
        <f>Table3.110[[#This Row],[Digested feed, mg]]/Table3.110[[#This Row],[Net gas 24h, ml]]</f>
        <v>3.5201868025106395</v>
      </c>
      <c r="AP1094" s="94">
        <f>Table3.110[[#This Row],[CH4 8h, ml]]/Table3.110[[#This Row],[Net gas 8h, ml]]%</f>
        <v>13.800000000000002</v>
      </c>
      <c r="AQ1094" s="94">
        <f>Table3.110[[#This Row],[CH4 24h, ml]]/Table3.110[[#This Row],[Net gas 24h, ml]]%</f>
        <v>15.576075700754165</v>
      </c>
      <c r="AR1094" s="94">
        <f>Table3.110[[#This Row],[CH4 24h, ml]]/Table3.110[[#This Row],[DM Incubated, mg]]*1000</f>
        <v>22.344265599327443</v>
      </c>
      <c r="AS1094" s="94">
        <f>Table3.110[[#This Row],[CH4 24h, ml]]/Table3.110[[#This Row],[Digested feed, mg]]*1000</f>
        <v>44.247866873556589</v>
      </c>
      <c r="AT1094" s="94">
        <f>Table3.110[[#This Row],[CH4 24h, ml]]/'3.2 Digest'!AA1094</f>
        <v>-2.6490715912479326</v>
      </c>
      <c r="AU1094" s="94">
        <f>((Table3.110[[#This Row],[CH4 24h, ml]]/28.9)*16.04)/Table3.110[[#This Row],[DM Incubated, mg]]*1000</f>
        <v>12.401453986616339</v>
      </c>
      <c r="AV1094" s="94">
        <f>((Table3.110[[#This Row],[CH4 24h, ml]]/28.9)*16.04)/Table3.110[[#This Row],[Digested feed, mg]]*1000</f>
        <v>24.558331648852867</v>
      </c>
      <c r="AW1094" s="94"/>
      <c r="AX1094" s="94"/>
    </row>
    <row r="1095" spans="2:50" x14ac:dyDescent="0.35">
      <c r="B1095" s="90">
        <f t="shared" si="16"/>
        <v>1085</v>
      </c>
      <c r="C1095" s="140">
        <v>46083</v>
      </c>
      <c r="D1095" s="6" t="s">
        <v>16</v>
      </c>
      <c r="E1095" s="6" t="s">
        <v>393</v>
      </c>
      <c r="F1095" s="242" t="s">
        <v>226</v>
      </c>
      <c r="G1095" s="242" t="s">
        <v>227</v>
      </c>
      <c r="H1095" s="6" t="s">
        <v>228</v>
      </c>
      <c r="I1095" s="133" t="s">
        <v>22</v>
      </c>
      <c r="J1095" s="135" t="s">
        <v>23</v>
      </c>
      <c r="K1095" s="135" t="s">
        <v>215</v>
      </c>
      <c r="L1095" s="6" t="s">
        <v>392</v>
      </c>
      <c r="M1095" s="256">
        <v>30</v>
      </c>
      <c r="N1095" s="256">
        <v>65</v>
      </c>
      <c r="O1095" s="256">
        <v>2</v>
      </c>
      <c r="P1095" s="257">
        <v>1</v>
      </c>
      <c r="Q1095" s="129">
        <v>9</v>
      </c>
      <c r="R1095" s="98">
        <v>0.50029999999999997</v>
      </c>
      <c r="S1095" s="94">
        <f>((Table3.110[[#This Row],[Sample weight, g]]*'2.1. DM'!Q247)/100)*1000</f>
        <v>468.08711225148579</v>
      </c>
      <c r="T1095" s="94">
        <f>'3.2 Digest'!W1095</f>
        <v>170.78711225148589</v>
      </c>
      <c r="U1095" s="117">
        <v>0.32847222222222222</v>
      </c>
      <c r="V1095" s="155">
        <v>41.5</v>
      </c>
      <c r="W1095" s="117">
        <v>0.6645833333333333</v>
      </c>
      <c r="X1095" s="96">
        <v>76</v>
      </c>
      <c r="Y1095" s="96">
        <v>11.5</v>
      </c>
      <c r="Z1095" s="155">
        <v>41.5</v>
      </c>
      <c r="AA1095" s="117">
        <v>0.36458333333333331</v>
      </c>
      <c r="AB1095" s="155">
        <v>77</v>
      </c>
      <c r="AC1095" s="155">
        <v>15.2</v>
      </c>
      <c r="AD1095" s="96"/>
      <c r="AE1095" s="94">
        <f>Table3.110[[#This Row],[Gas 8h, ml]]-Table3.110[[#This Row],[Gas 0h, ml]]</f>
        <v>34.5</v>
      </c>
      <c r="AF1095" s="94">
        <f>Table3.110[[#This Row],[Gas 24h, ml]]-Table3.110[[#This Row],[V8 Push back, ml]]</f>
        <v>35.5</v>
      </c>
      <c r="AG1095" s="94">
        <f>Table3.110[[#This Row],[GP 8h, ml]]-(AVERAGE(AE$1087,AE$1088,AE$1121,AE$1122,AE$1157,AE$1158))*$AG$8</f>
        <v>32.361233672775342</v>
      </c>
      <c r="AH1095" s="94">
        <f>Table3.110[[#This Row],[GP 8-24h, ml]]-(AVERAGE(AF$1087,AF$1088,AF$1121,AF$1122,AF$1157,AF$1158))*$AG$8</f>
        <v>32.623728042697877</v>
      </c>
      <c r="AI1095" s="94">
        <f>Table3.110[[#This Row],[Net gas 8-24h, ml]]+Table3.110[[#This Row],[Net gas 8h, ml]]</f>
        <v>64.984961715473219</v>
      </c>
      <c r="AJ1095" s="94">
        <f>Table3.110[[#This Row],[Net gas 8h, ml]]*Table3.110[[#This Row],[CH4 8h %]]%</f>
        <v>3.7215418723691642</v>
      </c>
      <c r="AK1095" s="94">
        <f>Table3.110[[#This Row],[Net gas 8-24h, ml]]*Table3.110[[#This Row],[CH4 24h, %]]%</f>
        <v>4.9588066624900771</v>
      </c>
      <c r="AL1095" s="94">
        <f>Table3.110[[#This Row],[CH4 8-24h, ml]]+Table3.110[[#This Row],[CH4 8h, ml]]</f>
        <v>8.6803485348592417</v>
      </c>
      <c r="AM1095" s="94">
        <f>(Table3.110[[#This Row],[Net gas 24h, ml]]/Table3.110[[#This Row],[DM Incubated, mg]])*1000</f>
        <v>138.83091419222671</v>
      </c>
      <c r="AN1095" s="94">
        <f>'3.2 Digest'!X1095</f>
        <v>36.486181264424204</v>
      </c>
      <c r="AO1095" s="94">
        <f>Table3.110[[#This Row],[Digested feed, mg]]/Table3.110[[#This Row],[Net gas 24h, ml]]</f>
        <v>2.6281020676637667</v>
      </c>
      <c r="AP1095" s="94">
        <f>Table3.110[[#This Row],[CH4 8h, ml]]/Table3.110[[#This Row],[Net gas 8h, ml]]%</f>
        <v>11.5</v>
      </c>
      <c r="AQ1095" s="94">
        <f>Table3.110[[#This Row],[CH4 24h, ml]]/Table3.110[[#This Row],[Net gas 24h, ml]]%</f>
        <v>13.357472722481285</v>
      </c>
      <c r="AR1095" s="94">
        <f>Table3.110[[#This Row],[CH4 24h, ml]]/Table3.110[[#This Row],[DM Incubated, mg]]*1000</f>
        <v>18.544301493598084</v>
      </c>
      <c r="AS1095" s="94">
        <f>Table3.110[[#This Row],[CH4 24h, ml]]/Table3.110[[#This Row],[Digested feed, mg]]*1000</f>
        <v>50.825547785346551</v>
      </c>
      <c r="AT1095" s="94">
        <f>Table3.110[[#This Row],[CH4 24h, ml]]/'3.2 Digest'!AA1095</f>
        <v>-0.34767054019721561</v>
      </c>
      <c r="AU1095" s="94">
        <f>((Table3.110[[#This Row],[CH4 24h, ml]]/28.9)*16.04)/Table3.110[[#This Row],[DM Incubated, mg]]*1000</f>
        <v>10.292408164612915</v>
      </c>
      <c r="AV1095" s="94">
        <f>((Table3.110[[#This Row],[CH4 24h, ml]]/28.9)*16.04)/Table3.110[[#This Row],[Digested feed, mg]]*1000</f>
        <v>28.209058355604107</v>
      </c>
      <c r="AW1095" s="94"/>
      <c r="AX1095" s="94"/>
    </row>
    <row r="1096" spans="2:50" x14ac:dyDescent="0.35">
      <c r="B1096" s="90">
        <f t="shared" si="16"/>
        <v>1086</v>
      </c>
      <c r="C1096" s="140">
        <v>46083</v>
      </c>
      <c r="D1096" s="6" t="s">
        <v>16</v>
      </c>
      <c r="E1096" s="6" t="s">
        <v>393</v>
      </c>
      <c r="F1096" s="242" t="s">
        <v>226</v>
      </c>
      <c r="G1096" s="242" t="s">
        <v>227</v>
      </c>
      <c r="H1096" s="6" t="s">
        <v>228</v>
      </c>
      <c r="I1096" s="133" t="s">
        <v>22</v>
      </c>
      <c r="J1096" s="135" t="s">
        <v>23</v>
      </c>
      <c r="K1096" s="135" t="s">
        <v>215</v>
      </c>
      <c r="L1096" s="6" t="s">
        <v>392</v>
      </c>
      <c r="M1096" s="256">
        <v>30</v>
      </c>
      <c r="N1096" s="256">
        <v>65</v>
      </c>
      <c r="O1096" s="256">
        <v>2</v>
      </c>
      <c r="P1096" s="257">
        <v>2</v>
      </c>
      <c r="Q1096" s="129">
        <v>10</v>
      </c>
      <c r="R1096" s="98">
        <v>0.5</v>
      </c>
      <c r="S1096" s="94">
        <f>((Table3.110[[#This Row],[Sample weight, g]]*'2.1. DM'!Q247)/100)*1000</f>
        <v>467.80642839444914</v>
      </c>
      <c r="T1096" s="94">
        <f>'3.2 Digest'!W1096</f>
        <v>219.60642839444915</v>
      </c>
      <c r="U1096" s="153">
        <v>0.32916666666666666</v>
      </c>
      <c r="V1096" s="154">
        <v>41.5</v>
      </c>
      <c r="W1096" s="153">
        <v>0.66527777777777775</v>
      </c>
      <c r="X1096" s="91">
        <v>75.5</v>
      </c>
      <c r="Y1096" s="91">
        <v>11.6</v>
      </c>
      <c r="Z1096" s="154">
        <v>41.5</v>
      </c>
      <c r="AA1096" s="153">
        <v>0.36458333333333331</v>
      </c>
      <c r="AB1096" s="154">
        <v>77</v>
      </c>
      <c r="AC1096" s="154">
        <v>15.6</v>
      </c>
      <c r="AD1096" s="91" t="s">
        <v>551</v>
      </c>
      <c r="AE1096" s="94">
        <f>Table3.110[[#This Row],[Gas 8h, ml]]-Table3.110[[#This Row],[Gas 0h, ml]]</f>
        <v>34</v>
      </c>
      <c r="AF1096" s="94">
        <f>Table3.110[[#This Row],[Gas 24h, ml]]-Table3.110[[#This Row],[V8 Push back, ml]]</f>
        <v>35.5</v>
      </c>
      <c r="AG1096" s="94">
        <f>Table3.110[[#This Row],[GP 8h, ml]]-(AVERAGE(AE$1087,AE$1088,AE$1121,AE$1122,AE$1157,AE$1158))*$AG$8</f>
        <v>31.861233672775342</v>
      </c>
      <c r="AH1096" s="94">
        <f>Table3.110[[#This Row],[GP 8-24h, ml]]-(AVERAGE(AF$1087,AF$1088,AF$1121,AF$1122,AF$1157,AF$1158))*$AG$8</f>
        <v>32.623728042697877</v>
      </c>
      <c r="AI1096" s="94">
        <f>Table3.110[[#This Row],[Net gas 8-24h, ml]]+Table3.110[[#This Row],[Net gas 8h, ml]]</f>
        <v>64.484961715473219</v>
      </c>
      <c r="AJ1096" s="94">
        <f>Table3.110[[#This Row],[Net gas 8h, ml]]*Table3.110[[#This Row],[CH4 8h %]]%</f>
        <v>3.6959031060419392</v>
      </c>
      <c r="AK1096" s="94">
        <f>Table3.110[[#This Row],[Net gas 8-24h, ml]]*Table3.110[[#This Row],[CH4 24h, %]]%</f>
        <v>5.089301574660869</v>
      </c>
      <c r="AL1096" s="94">
        <f>Table3.110[[#This Row],[CH4 8-24h, ml]]+Table3.110[[#This Row],[CH4 8h, ml]]</f>
        <v>8.7852046807028081</v>
      </c>
      <c r="AM1096" s="94">
        <f>(Table3.110[[#This Row],[Net gas 24h, ml]]/Table3.110[[#This Row],[DM Incubated, mg]])*1000</f>
        <v>137.84539459363782</v>
      </c>
      <c r="AN1096" s="94">
        <f>'3.2 Digest'!X1096</f>
        <v>46.94386717774632</v>
      </c>
      <c r="AO1096" s="94">
        <f>Table3.110[[#This Row],[Digested feed, mg]]/Table3.110[[#This Row],[Net gas 24h, ml]]</f>
        <v>3.4055448363824401</v>
      </c>
      <c r="AP1096" s="94">
        <f>Table3.110[[#This Row],[CH4 8h, ml]]/Table3.110[[#This Row],[Net gas 8h, ml]]%</f>
        <v>11.6</v>
      </c>
      <c r="AQ1096" s="94">
        <f>Table3.110[[#This Row],[CH4 24h, ml]]/Table3.110[[#This Row],[Net gas 24h, ml]]%</f>
        <v>13.623648750022893</v>
      </c>
      <c r="AR1096" s="94">
        <f>Table3.110[[#This Row],[CH4 24h, ml]]/Table3.110[[#This Row],[DM Incubated, mg]]*1000</f>
        <v>18.779572377520264</v>
      </c>
      <c r="AS1096" s="94">
        <f>Table3.110[[#This Row],[CH4 24h, ml]]/Table3.110[[#This Row],[Digested feed, mg]]*1000</f>
        <v>40.004314741293186</v>
      </c>
      <c r="AT1096" s="94">
        <f>Table3.110[[#This Row],[CH4 24h, ml]]/'3.2 Digest'!AA1096</f>
        <v>-2.000704190685016</v>
      </c>
      <c r="AU1096" s="94">
        <f>((Table3.110[[#This Row],[CH4 24h, ml]]/28.9)*16.04)/Table3.110[[#This Row],[DM Incubated, mg]]*1000</f>
        <v>10.422987575620244</v>
      </c>
      <c r="AV1096" s="94">
        <f>((Table3.110[[#This Row],[CH4 24h, ml]]/28.9)*16.04)/Table3.110[[#This Row],[Digested feed, mg]]*1000</f>
        <v>22.203086797589712</v>
      </c>
      <c r="AW1096" s="94"/>
      <c r="AX1096" s="94"/>
    </row>
    <row r="1097" spans="2:50" x14ac:dyDescent="0.35">
      <c r="B1097" s="90">
        <f t="shared" si="16"/>
        <v>1087</v>
      </c>
      <c r="C1097" s="140">
        <v>46083</v>
      </c>
      <c r="D1097" s="6" t="s">
        <v>16</v>
      </c>
      <c r="E1097" s="6" t="s">
        <v>395</v>
      </c>
      <c r="F1097" s="242" t="s">
        <v>240</v>
      </c>
      <c r="G1097" s="242" t="s">
        <v>396</v>
      </c>
      <c r="H1097" s="6" t="s">
        <v>397</v>
      </c>
      <c r="I1097" s="133" t="s">
        <v>22</v>
      </c>
      <c r="J1097" s="135" t="s">
        <v>23</v>
      </c>
      <c r="K1097" s="135" t="s">
        <v>215</v>
      </c>
      <c r="L1097" s="6" t="s">
        <v>394</v>
      </c>
      <c r="M1097" s="256">
        <v>30</v>
      </c>
      <c r="N1097" s="256">
        <v>65</v>
      </c>
      <c r="O1097" s="256">
        <v>2</v>
      </c>
      <c r="P1097" s="257">
        <v>1</v>
      </c>
      <c r="Q1097" s="129">
        <v>11</v>
      </c>
      <c r="R1097" s="98">
        <v>0.50029999999999997</v>
      </c>
      <c r="S1097" s="94">
        <f>((Table3.110[[#This Row],[Sample weight, g]]*'2.1. DM'!Q249)/100)*1000</f>
        <v>473.41822675195095</v>
      </c>
      <c r="T1097" s="94">
        <f>'3.2 Digest'!W1097</f>
        <v>201.41822675195095</v>
      </c>
      <c r="U1097" s="153">
        <v>0.33055555555555555</v>
      </c>
      <c r="V1097" s="154">
        <v>40.5</v>
      </c>
      <c r="W1097" s="153">
        <v>0.66527777777777775</v>
      </c>
      <c r="X1097" s="91">
        <v>76.5</v>
      </c>
      <c r="Y1097" s="91">
        <v>13.7</v>
      </c>
      <c r="Z1097" s="154">
        <v>41</v>
      </c>
      <c r="AA1097" s="153">
        <v>0.36527777777777776</v>
      </c>
      <c r="AB1097" s="154">
        <v>79.5</v>
      </c>
      <c r="AC1097" s="154">
        <v>17.7</v>
      </c>
      <c r="AD1097" s="91" t="s">
        <v>595</v>
      </c>
      <c r="AE1097" s="94"/>
      <c r="AF1097" s="94"/>
      <c r="AG1097" s="94">
        <v>33.861233672775342</v>
      </c>
      <c r="AH1097" s="94">
        <v>35.623728042697877</v>
      </c>
      <c r="AI1097" s="94">
        <v>69.484961715473219</v>
      </c>
      <c r="AJ1097" s="94">
        <v>4.6389890131702209</v>
      </c>
      <c r="AK1097" s="94">
        <v>6.3053998635575237</v>
      </c>
      <c r="AL1097" s="94">
        <v>10.944388876727745</v>
      </c>
      <c r="AM1097" s="94">
        <v>146.77289083734433</v>
      </c>
      <c r="AN1097" s="94">
        <v>42.545515861070704</v>
      </c>
      <c r="AO1097" s="94">
        <v>2.8987312042671567</v>
      </c>
      <c r="AP1097" s="94">
        <v>13.699999999999998</v>
      </c>
      <c r="AQ1097" s="94">
        <v>15.750730239361419</v>
      </c>
      <c r="AR1097" s="94">
        <v>23.117802100302516</v>
      </c>
      <c r="AS1097" s="94">
        <v>54.336636029498436</v>
      </c>
      <c r="AT1097" s="94">
        <v>1.958720488643771</v>
      </c>
      <c r="AU1097" s="94">
        <v>12.830780127641951</v>
      </c>
      <c r="AV1097" s="94">
        <v>30.157773076579758</v>
      </c>
      <c r="AW1097" s="94"/>
      <c r="AX1097" s="94"/>
    </row>
    <row r="1098" spans="2:50" x14ac:dyDescent="0.35">
      <c r="B1098" s="90">
        <f t="shared" si="16"/>
        <v>1088</v>
      </c>
      <c r="C1098" s="140">
        <v>46083</v>
      </c>
      <c r="D1098" s="6" t="s">
        <v>16</v>
      </c>
      <c r="E1098" s="6" t="s">
        <v>395</v>
      </c>
      <c r="F1098" s="242" t="s">
        <v>240</v>
      </c>
      <c r="G1098" s="242" t="s">
        <v>396</v>
      </c>
      <c r="H1098" s="6" t="s">
        <v>397</v>
      </c>
      <c r="I1098" s="133" t="s">
        <v>22</v>
      </c>
      <c r="J1098" s="135" t="s">
        <v>23</v>
      </c>
      <c r="K1098" s="135" t="s">
        <v>215</v>
      </c>
      <c r="L1098" s="6" t="s">
        <v>394</v>
      </c>
      <c r="M1098" s="256">
        <v>30</v>
      </c>
      <c r="N1098" s="256">
        <v>65</v>
      </c>
      <c r="O1098" s="256">
        <v>2</v>
      </c>
      <c r="P1098" s="257">
        <v>2</v>
      </c>
      <c r="Q1098" s="129">
        <v>12</v>
      </c>
      <c r="R1098" s="98">
        <v>0.50019999999999998</v>
      </c>
      <c r="S1098" s="94">
        <f>((Table3.110[[#This Row],[Sample weight, g]]*'2.1. DM'!Q249)/100)*1000</f>
        <v>473.32359988272208</v>
      </c>
      <c r="T1098" s="94">
        <f>'3.2 Digest'!W1098</f>
        <v>206.12359988272209</v>
      </c>
      <c r="U1098" s="117">
        <v>0.32916666666666666</v>
      </c>
      <c r="V1098" s="155">
        <v>41.5</v>
      </c>
      <c r="W1098" s="117">
        <v>0.66597222222222219</v>
      </c>
      <c r="X1098" s="96">
        <v>76</v>
      </c>
      <c r="Y1098" s="96">
        <v>12.7</v>
      </c>
      <c r="Z1098" s="155">
        <v>41</v>
      </c>
      <c r="AA1098" s="117">
        <v>0.36527777777777776</v>
      </c>
      <c r="AB1098" s="155">
        <v>77.5</v>
      </c>
      <c r="AC1098" s="155">
        <v>17</v>
      </c>
      <c r="AD1098" s="96"/>
      <c r="AE1098" s="94"/>
      <c r="AF1098" s="94"/>
      <c r="AG1098" s="94">
        <v>32.361233672775342</v>
      </c>
      <c r="AH1098" s="94">
        <v>33.623728042697877</v>
      </c>
      <c r="AI1098" s="94">
        <v>65.984961715473219</v>
      </c>
      <c r="AJ1098" s="94">
        <v>4.1098766764424681</v>
      </c>
      <c r="AK1098" s="94">
        <v>5.7160337672586392</v>
      </c>
      <c r="AL1098" s="94">
        <v>9.8259104437011082</v>
      </c>
      <c r="AM1098" s="94">
        <v>139.40771542306925</v>
      </c>
      <c r="AN1098" s="94">
        <v>43.548134919491538</v>
      </c>
      <c r="AO1098" s="94">
        <v>3.1237966124997674</v>
      </c>
      <c r="AP1098" s="94">
        <v>12.7</v>
      </c>
      <c r="AQ1098" s="94">
        <v>14.891136083506993</v>
      </c>
      <c r="AR1098" s="94">
        <v>20.759392614557413</v>
      </c>
      <c r="AS1098" s="94">
        <v>47.669992418586446</v>
      </c>
      <c r="AT1098" s="94">
        <v>1.3580928135273995</v>
      </c>
      <c r="AU1098" s="94">
        <v>11.52182206012114</v>
      </c>
      <c r="AV1098" s="94">
        <v>26.457670532668747</v>
      </c>
      <c r="AW1098" s="94"/>
      <c r="AX1098" s="94"/>
    </row>
    <row r="1099" spans="2:50" x14ac:dyDescent="0.35">
      <c r="B1099" s="90">
        <f t="shared" si="16"/>
        <v>1089</v>
      </c>
      <c r="C1099" s="140">
        <v>46083</v>
      </c>
      <c r="D1099" s="6" t="s">
        <v>16</v>
      </c>
      <c r="E1099" s="6" t="s">
        <v>399</v>
      </c>
      <c r="F1099" s="242" t="s">
        <v>240</v>
      </c>
      <c r="G1099" s="242" t="s">
        <v>400</v>
      </c>
      <c r="H1099" s="6" t="s">
        <v>401</v>
      </c>
      <c r="I1099" s="133" t="s">
        <v>22</v>
      </c>
      <c r="J1099" s="135" t="s">
        <v>23</v>
      </c>
      <c r="K1099" s="135" t="s">
        <v>215</v>
      </c>
      <c r="L1099" s="6" t="s">
        <v>398</v>
      </c>
      <c r="M1099" s="256">
        <v>30</v>
      </c>
      <c r="N1099" s="256">
        <v>65</v>
      </c>
      <c r="O1099" s="256">
        <v>2</v>
      </c>
      <c r="P1099" s="257">
        <v>1</v>
      </c>
      <c r="Q1099" s="129">
        <v>13</v>
      </c>
      <c r="R1099" s="98">
        <v>0.50009999999999999</v>
      </c>
      <c r="S1099" s="94">
        <f>((Table3.110[[#This Row],[Sample weight, g]]*'2.1. DM'!Q251)/100)*1000</f>
        <v>477.38066989396157</v>
      </c>
      <c r="T1099" s="94">
        <f>'3.2 Digest'!W1099</f>
        <v>125.48066989396159</v>
      </c>
      <c r="U1099" s="117">
        <v>0.32916666666666666</v>
      </c>
      <c r="V1099" s="155">
        <v>41.5</v>
      </c>
      <c r="W1099" s="117">
        <v>0.66666666666666663</v>
      </c>
      <c r="X1099" s="96">
        <v>66</v>
      </c>
      <c r="Y1099" s="96">
        <v>11.7</v>
      </c>
      <c r="Z1099" s="155">
        <v>40</v>
      </c>
      <c r="AA1099" s="117">
        <v>0.3659722222222222</v>
      </c>
      <c r="AB1099" s="155">
        <v>57</v>
      </c>
      <c r="AC1099" s="155">
        <v>14.6</v>
      </c>
      <c r="AD1099" s="96"/>
      <c r="AE1099" s="94">
        <f>Table3.110[[#This Row],[Gas 8h, ml]]-Table3.110[[#This Row],[Gas 0h, ml]]</f>
        <v>24.5</v>
      </c>
      <c r="AF1099" s="94">
        <f>Table3.110[[#This Row],[Gas 24h, ml]]-Table3.110[[#This Row],[V8 Push back, ml]]</f>
        <v>17</v>
      </c>
      <c r="AG1099" s="94">
        <f>Table3.110[[#This Row],[GP 8h, ml]]-(AVERAGE(AE$1087,AE$1088,AE$1121,AE$1122,AE$1157,AE$1158))*$AG$8</f>
        <v>22.361233672775342</v>
      </c>
      <c r="AH1099" s="94">
        <f>Table3.110[[#This Row],[GP 8-24h, ml]]-(AVERAGE(AF$1087,AF$1088,AF$1121,AF$1122,AF$1157,AF$1158))*$AG$8</f>
        <v>14.123728042697875</v>
      </c>
      <c r="AI1099" s="94">
        <f>Table3.110[[#This Row],[Net gas 8-24h, ml]]+Table3.110[[#This Row],[Net gas 8h, ml]]</f>
        <v>36.484961715473219</v>
      </c>
      <c r="AJ1099" s="94">
        <f>Table3.110[[#This Row],[Net gas 8h, ml]]*Table3.110[[#This Row],[CH4 8h %]]%</f>
        <v>2.6162643397147147</v>
      </c>
      <c r="AK1099" s="94">
        <f>Table3.110[[#This Row],[Net gas 8-24h, ml]]*Table3.110[[#This Row],[CH4 24h, %]]%</f>
        <v>2.0620642942338896</v>
      </c>
      <c r="AL1099" s="94">
        <f>Table3.110[[#This Row],[CH4 8-24h, ml]]+Table3.110[[#This Row],[CH4 8h, ml]]</f>
        <v>4.6783286339486043</v>
      </c>
      <c r="AM1099" s="94">
        <f>(Table3.110[[#This Row],[Net gas 24h, ml]]/Table3.110[[#This Row],[DM Incubated, mg]])*1000</f>
        <v>76.427396449834177</v>
      </c>
      <c r="AN1099" s="94">
        <f>'3.2 Digest'!X1099</f>
        <v>26.285243162827278</v>
      </c>
      <c r="AO1099" s="94">
        <f>Table3.110[[#This Row],[Digested feed, mg]]/Table3.110[[#This Row],[Net gas 24h, ml]]</f>
        <v>3.4392435675969319</v>
      </c>
      <c r="AP1099" s="94">
        <f>Table3.110[[#This Row],[CH4 8h, ml]]/Table3.110[[#This Row],[Net gas 8h, ml]]%</f>
        <v>11.7</v>
      </c>
      <c r="AQ1099" s="94">
        <f>Table3.110[[#This Row],[CH4 24h, ml]]/Table3.110[[#This Row],[Net gas 24h, ml]]%</f>
        <v>12.822621743260681</v>
      </c>
      <c r="AR1099" s="94">
        <f>Table3.110[[#This Row],[CH4 24h, ml]]/Table3.110[[#This Row],[DM Incubated, mg]]*1000</f>
        <v>9.79999595498448</v>
      </c>
      <c r="AS1099" s="94">
        <f>Table3.110[[#This Row],[CH4 24h, ml]]/Table3.110[[#This Row],[Digested feed, mg]]*1000</f>
        <v>37.283261540618668</v>
      </c>
      <c r="AT1099" s="94">
        <f>Table3.110[[#This Row],[CH4 24h, ml]]/'3.2 Digest'!AA1099</f>
        <v>-0.1509896979723733</v>
      </c>
      <c r="AU1099" s="94">
        <f>((Table3.110[[#This Row],[CH4 24h, ml]]/28.9)*16.04)/Table3.110[[#This Row],[DM Incubated, mg]]*1000</f>
        <v>5.4391673051194136</v>
      </c>
      <c r="AV1099" s="94">
        <f>((Table3.110[[#This Row],[CH4 24h, ml]]/28.9)*16.04)/Table3.110[[#This Row],[Digested feed, mg]]*1000</f>
        <v>20.69285519417036</v>
      </c>
      <c r="AW1099" s="94"/>
      <c r="AX1099" s="94"/>
    </row>
    <row r="1100" spans="2:50" x14ac:dyDescent="0.35">
      <c r="B1100" s="90">
        <f t="shared" ref="B1100:B1163" si="17">B1099+1</f>
        <v>1090</v>
      </c>
      <c r="C1100" s="140">
        <v>46083</v>
      </c>
      <c r="D1100" s="6" t="s">
        <v>16</v>
      </c>
      <c r="E1100" s="6" t="s">
        <v>399</v>
      </c>
      <c r="F1100" s="242" t="s">
        <v>240</v>
      </c>
      <c r="G1100" s="242" t="s">
        <v>400</v>
      </c>
      <c r="H1100" s="6" t="s">
        <v>401</v>
      </c>
      <c r="I1100" s="133" t="s">
        <v>22</v>
      </c>
      <c r="J1100" s="135" t="s">
        <v>23</v>
      </c>
      <c r="K1100" s="135" t="s">
        <v>215</v>
      </c>
      <c r="L1100" s="6" t="s">
        <v>398</v>
      </c>
      <c r="M1100" s="256">
        <v>30</v>
      </c>
      <c r="N1100" s="256">
        <v>65</v>
      </c>
      <c r="O1100" s="256">
        <v>2</v>
      </c>
      <c r="P1100" s="257">
        <v>2</v>
      </c>
      <c r="Q1100" s="129">
        <v>14</v>
      </c>
      <c r="R1100" s="98">
        <v>0.50019999999999998</v>
      </c>
      <c r="S1100" s="94">
        <f>((Table3.110[[#This Row],[Sample weight, g]]*'2.1. DM'!Q251)/100)*1000</f>
        <v>477.47612693653173</v>
      </c>
      <c r="T1100" s="94">
        <f>'3.2 Digest'!W1100</f>
        <v>110.77612693653168</v>
      </c>
      <c r="U1100" s="156">
        <v>0.3298611111111111</v>
      </c>
      <c r="V1100" s="154">
        <v>40.5</v>
      </c>
      <c r="W1100" s="153">
        <v>0.66736111111111107</v>
      </c>
      <c r="X1100" s="91">
        <v>66.5</v>
      </c>
      <c r="Y1100" s="91">
        <v>11.7</v>
      </c>
      <c r="Z1100" s="154">
        <v>40</v>
      </c>
      <c r="AA1100" s="153">
        <v>0.36666666666666664</v>
      </c>
      <c r="AB1100" s="154">
        <v>53.5</v>
      </c>
      <c r="AC1100" s="154">
        <v>13.3</v>
      </c>
      <c r="AD1100" s="91"/>
      <c r="AE1100" s="94">
        <f>Table3.110[[#This Row],[Gas 8h, ml]]-Table3.110[[#This Row],[Gas 0h, ml]]</f>
        <v>26</v>
      </c>
      <c r="AF1100" s="94">
        <f>Table3.110[[#This Row],[Gas 24h, ml]]-Table3.110[[#This Row],[V8 Push back, ml]]</f>
        <v>13.5</v>
      </c>
      <c r="AG1100" s="94">
        <f>Table3.110[[#This Row],[GP 8h, ml]]-(AVERAGE(AE$1087,AE$1088,AE$1121,AE$1122,AE$1157,AE$1158))*$AG$8</f>
        <v>23.861233672775342</v>
      </c>
      <c r="AH1100" s="94">
        <f>Table3.110[[#This Row],[GP 8-24h, ml]]-(AVERAGE(AF$1087,AF$1088,AF$1121,AF$1122,AF$1157,AF$1158))*$AG$8</f>
        <v>10.623728042697875</v>
      </c>
      <c r="AI1100" s="94">
        <f>Table3.110[[#This Row],[Net gas 8-24h, ml]]+Table3.110[[#This Row],[Net gas 8h, ml]]</f>
        <v>34.484961715473219</v>
      </c>
      <c r="AJ1100" s="94">
        <f>Table3.110[[#This Row],[Net gas 8h, ml]]*Table3.110[[#This Row],[CH4 8h %]]%</f>
        <v>2.7917643397147147</v>
      </c>
      <c r="AK1100" s="94">
        <f>Table3.110[[#This Row],[Net gas 8-24h, ml]]*Table3.110[[#This Row],[CH4 24h, %]]%</f>
        <v>1.4129558296788174</v>
      </c>
      <c r="AL1100" s="94">
        <f>Table3.110[[#This Row],[CH4 8-24h, ml]]+Table3.110[[#This Row],[CH4 8h, ml]]</f>
        <v>4.2047201693935321</v>
      </c>
      <c r="AM1100" s="94">
        <f>(Table3.110[[#This Row],[Net gas 24h, ml]]/Table3.110[[#This Row],[DM Incubated, mg]])*1000</f>
        <v>72.223425989331432</v>
      </c>
      <c r="AN1100" s="94">
        <f>'3.2 Digest'!X1100</f>
        <v>23.200348810581801</v>
      </c>
      <c r="AO1100" s="94">
        <f>Table3.110[[#This Row],[Digested feed, mg]]/Table3.110[[#This Row],[Net gas 24h, ml]]</f>
        <v>3.2123024479631952</v>
      </c>
      <c r="AP1100" s="94">
        <f>Table3.110[[#This Row],[CH4 8h, ml]]/Table3.110[[#This Row],[Net gas 8h, ml]]%</f>
        <v>11.7</v>
      </c>
      <c r="AQ1100" s="94">
        <f>Table3.110[[#This Row],[CH4 24h, ml]]/Table3.110[[#This Row],[Net gas 24h, ml]]%</f>
        <v>12.192909489317765</v>
      </c>
      <c r="AR1100" s="94">
        <f>Table3.110[[#This Row],[CH4 24h, ml]]/Table3.110[[#This Row],[DM Incubated, mg]]*1000</f>
        <v>8.8061369609635847</v>
      </c>
      <c r="AS1100" s="94">
        <f>Table3.110[[#This Row],[CH4 24h, ml]]/Table3.110[[#This Row],[Digested feed, mg]]*1000</f>
        <v>37.956916220790006</v>
      </c>
      <c r="AT1100" s="94">
        <f>Table3.110[[#This Row],[CH4 24h, ml]]/'3.2 Digest'!AA1100</f>
        <v>-0.11530522164430955</v>
      </c>
      <c r="AU1100" s="94">
        <f>((Table3.110[[#This Row],[CH4 24h, ml]]/28.9)*16.04)/Table3.110[[#This Row],[DM Incubated, mg]]*1000</f>
        <v>4.8875583686455331</v>
      </c>
      <c r="AV1100" s="94">
        <f>((Table3.110[[#This Row],[CH4 24h, ml]]/28.9)*16.04)/Table3.110[[#This Row],[Digested feed, mg]]*1000</f>
        <v>21.066745196590716</v>
      </c>
      <c r="AW1100" s="94"/>
      <c r="AX1100" s="94"/>
    </row>
    <row r="1101" spans="2:50" x14ac:dyDescent="0.35">
      <c r="B1101" s="90">
        <f t="shared" si="17"/>
        <v>1091</v>
      </c>
      <c r="C1101" s="140">
        <v>46083</v>
      </c>
      <c r="D1101" s="6" t="s">
        <v>16</v>
      </c>
      <c r="E1101" s="6" t="s">
        <v>403</v>
      </c>
      <c r="F1101" s="242" t="s">
        <v>212</v>
      </c>
      <c r="G1101" s="242" t="s">
        <v>404</v>
      </c>
      <c r="H1101" s="6" t="s">
        <v>405</v>
      </c>
      <c r="I1101" s="133" t="s">
        <v>22</v>
      </c>
      <c r="J1101" s="135" t="s">
        <v>23</v>
      </c>
      <c r="K1101" s="135" t="s">
        <v>215</v>
      </c>
      <c r="L1101" s="6" t="s">
        <v>402</v>
      </c>
      <c r="M1101" s="256">
        <v>30</v>
      </c>
      <c r="N1101" s="256">
        <v>65</v>
      </c>
      <c r="O1101" s="256">
        <v>2</v>
      </c>
      <c r="P1101" s="257">
        <v>1</v>
      </c>
      <c r="Q1101" s="129">
        <v>15</v>
      </c>
      <c r="R1101" s="98">
        <v>0.5</v>
      </c>
      <c r="S1101" s="94">
        <f>((Table3.110[[#This Row],[Sample weight, g]]*'2.1. DM'!Q253)/100)*1000</f>
        <v>472.2555488902222</v>
      </c>
      <c r="T1101" s="94">
        <f>'3.2 Digest'!W1101</f>
        <v>103.85554889022217</v>
      </c>
      <c r="U1101" s="153">
        <v>0.33055555555555555</v>
      </c>
      <c r="V1101" s="154">
        <v>40.5</v>
      </c>
      <c r="W1101" s="153">
        <v>0.66736111111111107</v>
      </c>
      <c r="X1101" s="91">
        <v>68.5</v>
      </c>
      <c r="Y1101" s="91">
        <v>13.8</v>
      </c>
      <c r="Z1101" s="154">
        <v>40</v>
      </c>
      <c r="AA1101" s="153">
        <v>0.36666666666666664</v>
      </c>
      <c r="AB1101" s="154">
        <v>75</v>
      </c>
      <c r="AC1101" s="154">
        <v>16.7</v>
      </c>
      <c r="AD1101" s="91"/>
      <c r="AE1101" s="94">
        <f>Table3.110[[#This Row],[Gas 8h, ml]]-Table3.110[[#This Row],[Gas 0h, ml]]</f>
        <v>28</v>
      </c>
      <c r="AF1101" s="94">
        <f>Table3.110[[#This Row],[Gas 24h, ml]]-Table3.110[[#This Row],[V8 Push back, ml]]</f>
        <v>35</v>
      </c>
      <c r="AG1101" s="94">
        <f>Table3.110[[#This Row],[GP 8h, ml]]-(AVERAGE(AE$1087,AE$1088,AE$1121,AE$1122,AE$1157,AE$1158))*$AG$8</f>
        <v>25.861233672775342</v>
      </c>
      <c r="AH1101" s="94">
        <f>Table3.110[[#This Row],[GP 8-24h, ml]]-(AVERAGE(AF$1087,AF$1088,AF$1121,AF$1122,AF$1157,AF$1158))*$AG$8</f>
        <v>32.123728042697877</v>
      </c>
      <c r="AI1101" s="94">
        <f>Table3.110[[#This Row],[Net gas 8-24h, ml]]+Table3.110[[#This Row],[Net gas 8h, ml]]</f>
        <v>57.984961715473219</v>
      </c>
      <c r="AJ1101" s="94">
        <f>Table3.110[[#This Row],[Net gas 8h, ml]]*Table3.110[[#This Row],[CH4 8h %]]%</f>
        <v>3.5688502468429975</v>
      </c>
      <c r="AK1101" s="94">
        <f>Table3.110[[#This Row],[Net gas 8-24h, ml]]*Table3.110[[#This Row],[CH4 24h, %]]%</f>
        <v>5.3646625831305448</v>
      </c>
      <c r="AL1101" s="94">
        <f>Table3.110[[#This Row],[CH4 8-24h, ml]]+Table3.110[[#This Row],[CH4 8h, ml]]</f>
        <v>8.9335128299735427</v>
      </c>
      <c r="AM1101" s="94">
        <f>(Table3.110[[#This Row],[Net gas 24h, ml]]/Table3.110[[#This Row],[DM Incubated, mg]])*1000</f>
        <v>122.78301832923951</v>
      </c>
      <c r="AN1101" s="94">
        <f>'3.2 Digest'!X1101</f>
        <v>21.991387742140393</v>
      </c>
      <c r="AO1101" s="94">
        <f>Table3.110[[#This Row],[Digested feed, mg]]/Table3.110[[#This Row],[Net gas 24h, ml]]</f>
        <v>1.7910773037987269</v>
      </c>
      <c r="AP1101" s="94">
        <f>Table3.110[[#This Row],[CH4 8h, ml]]/Table3.110[[#This Row],[Net gas 8h, ml]]%</f>
        <v>13.8</v>
      </c>
      <c r="AQ1101" s="94">
        <f>Table3.110[[#This Row],[CH4 24h, ml]]/Table3.110[[#This Row],[Net gas 24h, ml]]%</f>
        <v>15.406602963384636</v>
      </c>
      <c r="AR1101" s="94">
        <f>Table3.110[[#This Row],[CH4 24h, ml]]/Table3.110[[#This Row],[DM Incubated, mg]]*1000</f>
        <v>18.916692140445711</v>
      </c>
      <c r="AS1101" s="94">
        <f>Table3.110[[#This Row],[CH4 24h, ml]]/Table3.110[[#This Row],[Digested feed, mg]]*1000</f>
        <v>86.018637669677929</v>
      </c>
      <c r="AT1101" s="94">
        <f>Table3.110[[#This Row],[CH4 24h, ml]]/'3.2 Digest'!AA1101</f>
        <v>-0.32063470603719668</v>
      </c>
      <c r="AU1101" s="94">
        <f>((Table3.110[[#This Row],[CH4 24h, ml]]/28.9)*16.04)/Table3.110[[#This Row],[DM Incubated, mg]]*1000</f>
        <v>10.499091416358105</v>
      </c>
      <c r="AV1101" s="94">
        <f>((Table3.110[[#This Row],[CH4 24h, ml]]/28.9)*16.04)/Table3.110[[#This Row],[Digested feed, mg]]*1000</f>
        <v>47.741832118395635</v>
      </c>
      <c r="AW1101" s="94"/>
      <c r="AX1101" s="94"/>
    </row>
    <row r="1102" spans="2:50" x14ac:dyDescent="0.35">
      <c r="B1102" s="90">
        <f t="shared" si="17"/>
        <v>1092</v>
      </c>
      <c r="C1102" s="140">
        <v>46083</v>
      </c>
      <c r="D1102" s="6" t="s">
        <v>16</v>
      </c>
      <c r="E1102" s="6" t="s">
        <v>403</v>
      </c>
      <c r="F1102" s="242" t="s">
        <v>212</v>
      </c>
      <c r="G1102" s="242" t="s">
        <v>404</v>
      </c>
      <c r="H1102" s="6" t="s">
        <v>405</v>
      </c>
      <c r="I1102" s="133" t="s">
        <v>22</v>
      </c>
      <c r="J1102" s="135" t="s">
        <v>23</v>
      </c>
      <c r="K1102" s="135" t="s">
        <v>215</v>
      </c>
      <c r="L1102" s="6" t="s">
        <v>402</v>
      </c>
      <c r="M1102" s="256">
        <v>30</v>
      </c>
      <c r="N1102" s="256">
        <v>65</v>
      </c>
      <c r="O1102" s="256">
        <v>2</v>
      </c>
      <c r="P1102" s="257">
        <v>2</v>
      </c>
      <c r="Q1102" s="129">
        <v>16</v>
      </c>
      <c r="R1102" s="98">
        <v>0.50029999999999997</v>
      </c>
      <c r="S1102" s="94">
        <f>((Table3.110[[#This Row],[Sample weight, g]]*'2.1. DM'!Q253)/100)*1000</f>
        <v>472.53890221955629</v>
      </c>
      <c r="T1102" s="94">
        <f>'3.2 Digest'!W1102</f>
        <v>140.93890221955638</v>
      </c>
      <c r="U1102" s="117">
        <v>0.33055555555555555</v>
      </c>
      <c r="V1102" s="155">
        <v>40.5</v>
      </c>
      <c r="W1102" s="117">
        <v>0.66805555555555551</v>
      </c>
      <c r="X1102" s="96">
        <v>68.5</v>
      </c>
      <c r="Y1102" s="96">
        <v>14</v>
      </c>
      <c r="Z1102" s="155">
        <v>40</v>
      </c>
      <c r="AA1102" s="117">
        <v>0.36736111111111114</v>
      </c>
      <c r="AB1102" s="155">
        <v>73.5</v>
      </c>
      <c r="AC1102" s="155">
        <v>16.5</v>
      </c>
      <c r="AD1102" s="96"/>
      <c r="AE1102" s="94">
        <f>Table3.110[[#This Row],[Gas 8h, ml]]-Table3.110[[#This Row],[Gas 0h, ml]]</f>
        <v>28</v>
      </c>
      <c r="AF1102" s="94">
        <f>Table3.110[[#This Row],[Gas 24h, ml]]-Table3.110[[#This Row],[V8 Push back, ml]]</f>
        <v>33.5</v>
      </c>
      <c r="AG1102" s="94">
        <f>Table3.110[[#This Row],[GP 8h, ml]]-(AVERAGE(AE$1087,AE$1088,AE$1121,AE$1122,AE$1157,AE$1158))*$AG$8</f>
        <v>25.861233672775342</v>
      </c>
      <c r="AH1102" s="94">
        <f>Table3.110[[#This Row],[GP 8-24h, ml]]-(AVERAGE(AF$1087,AF$1088,AF$1121,AF$1122,AF$1157,AF$1158))*$AG$8</f>
        <v>30.623728042697874</v>
      </c>
      <c r="AI1102" s="94">
        <f>Table3.110[[#This Row],[Net gas 8-24h, ml]]+Table3.110[[#This Row],[Net gas 8h, ml]]</f>
        <v>56.484961715473219</v>
      </c>
      <c r="AJ1102" s="94">
        <f>Table3.110[[#This Row],[Net gas 8h, ml]]*Table3.110[[#This Row],[CH4 8h %]]%</f>
        <v>3.620572714188548</v>
      </c>
      <c r="AK1102" s="94">
        <f>Table3.110[[#This Row],[Net gas 8-24h, ml]]*Table3.110[[#This Row],[CH4 24h, %]]%</f>
        <v>5.0529151270451491</v>
      </c>
      <c r="AL1102" s="94">
        <f>Table3.110[[#This Row],[CH4 8-24h, ml]]+Table3.110[[#This Row],[CH4 8h, ml]]</f>
        <v>8.6734878412336975</v>
      </c>
      <c r="AM1102" s="94">
        <f>(Table3.110[[#This Row],[Net gas 24h, ml]]/Table3.110[[#This Row],[DM Incubated, mg]])*1000</f>
        <v>119.53505087127947</v>
      </c>
      <c r="AN1102" s="94">
        <f>'3.2 Digest'!X1102</f>
        <v>29.825883447384776</v>
      </c>
      <c r="AO1102" s="94">
        <f>Table3.110[[#This Row],[Digested feed, mg]]/Table3.110[[#This Row],[Net gas 24h, ml]]</f>
        <v>2.4951579666371315</v>
      </c>
      <c r="AP1102" s="94">
        <f>Table3.110[[#This Row],[CH4 8h, ml]]/Table3.110[[#This Row],[Net gas 8h, ml]]%</f>
        <v>14</v>
      </c>
      <c r="AQ1102" s="94">
        <f>Table3.110[[#This Row],[CH4 24h, ml]]/Table3.110[[#This Row],[Net gas 24h, ml]]%</f>
        <v>15.355392971537988</v>
      </c>
      <c r="AR1102" s="94">
        <f>Table3.110[[#This Row],[CH4 24h, ml]]/Table3.110[[#This Row],[DM Incubated, mg]]*1000</f>
        <v>18.355076800012807</v>
      </c>
      <c r="AS1102" s="94">
        <f>Table3.110[[#This Row],[CH4 24h, ml]]/Table3.110[[#This Row],[Digested feed, mg]]*1000</f>
        <v>61.540764860804934</v>
      </c>
      <c r="AT1102" s="94">
        <f>Table3.110[[#This Row],[CH4 24h, ml]]/'3.2 Digest'!AA1102</f>
        <v>-0.57743801775069159</v>
      </c>
      <c r="AU1102" s="94">
        <f>((Table3.110[[#This Row],[CH4 24h, ml]]/28.9)*16.04)/Table3.110[[#This Row],[DM Incubated, mg]]*1000</f>
        <v>10.187385185889461</v>
      </c>
      <c r="AV1102" s="94">
        <f>((Table3.110[[#This Row],[CH4 24h, ml]]/28.9)*16.04)/Table3.110[[#This Row],[Digested feed, mg]]*1000</f>
        <v>34.156189216861975</v>
      </c>
      <c r="AW1102" s="94"/>
      <c r="AX1102" s="94"/>
    </row>
    <row r="1103" spans="2:50" x14ac:dyDescent="0.35">
      <c r="B1103" s="90">
        <f t="shared" si="17"/>
        <v>1093</v>
      </c>
      <c r="C1103" s="140">
        <v>46083</v>
      </c>
      <c r="D1103" s="6" t="s">
        <v>16</v>
      </c>
      <c r="E1103" s="6" t="s">
        <v>407</v>
      </c>
      <c r="F1103" s="242" t="s">
        <v>226</v>
      </c>
      <c r="G1103" s="242" t="s">
        <v>231</v>
      </c>
      <c r="H1103" s="6" t="s">
        <v>232</v>
      </c>
      <c r="I1103" s="133" t="s">
        <v>22</v>
      </c>
      <c r="J1103" s="135" t="s">
        <v>23</v>
      </c>
      <c r="K1103" s="135" t="s">
        <v>215</v>
      </c>
      <c r="L1103" s="6" t="s">
        <v>406</v>
      </c>
      <c r="M1103" s="256">
        <v>30</v>
      </c>
      <c r="N1103" s="256">
        <v>65</v>
      </c>
      <c r="O1103" s="256">
        <v>2</v>
      </c>
      <c r="P1103" s="257">
        <v>1</v>
      </c>
      <c r="Q1103" s="129">
        <v>17</v>
      </c>
      <c r="R1103" s="98">
        <v>0.50009999999999999</v>
      </c>
      <c r="S1103" s="94">
        <f>((Table3.110[[#This Row],[Sample weight, g]]*'2.1. DM'!Q255)/100)*1000</f>
        <v>473.53163694791988</v>
      </c>
      <c r="T1103" s="94">
        <f>'3.2 Digest'!W1103</f>
        <v>244.93163694791986</v>
      </c>
      <c r="U1103" s="117">
        <v>0.33124999999999999</v>
      </c>
      <c r="V1103" s="155">
        <v>40.5</v>
      </c>
      <c r="W1103" s="117">
        <v>0.66805555555555551</v>
      </c>
      <c r="X1103" s="96">
        <v>77</v>
      </c>
      <c r="Y1103" s="96">
        <v>13</v>
      </c>
      <c r="Z1103" s="155">
        <v>40.5</v>
      </c>
      <c r="AA1103" s="117">
        <v>0.36736111111111114</v>
      </c>
      <c r="AB1103" s="155">
        <v>81.5</v>
      </c>
      <c r="AC1103" s="155">
        <v>16.399999999999999</v>
      </c>
      <c r="AD1103" s="96"/>
      <c r="AE1103" s="94">
        <f>Table3.110[[#This Row],[Gas 8h, ml]]-Table3.110[[#This Row],[Gas 0h, ml]]</f>
        <v>36.5</v>
      </c>
      <c r="AF1103" s="94">
        <f>Table3.110[[#This Row],[Gas 24h, ml]]-Table3.110[[#This Row],[V8 Push back, ml]]</f>
        <v>41</v>
      </c>
      <c r="AG1103" s="94">
        <f>Table3.110[[#This Row],[GP 8h, ml]]-(AVERAGE(AE$1087,AE$1088,AE$1121,AE$1122,AE$1157,AE$1158))*$AG$8</f>
        <v>34.361233672775342</v>
      </c>
      <c r="AH1103" s="94">
        <f>Table3.110[[#This Row],[GP 8-24h, ml]]-(AVERAGE(AF$1087,AF$1088,AF$1121,AF$1122,AF$1157,AF$1158))*$AG$8</f>
        <v>38.123728042697877</v>
      </c>
      <c r="AI1103" s="94">
        <f>Table3.110[[#This Row],[Net gas 8-24h, ml]]+Table3.110[[#This Row],[Net gas 8h, ml]]</f>
        <v>72.484961715473219</v>
      </c>
      <c r="AJ1103" s="94">
        <f>Table3.110[[#This Row],[Net gas 8h, ml]]*Table3.110[[#This Row],[CH4 8h %]]%</f>
        <v>4.4669603774607944</v>
      </c>
      <c r="AK1103" s="94">
        <f>Table3.110[[#This Row],[Net gas 8-24h, ml]]*Table3.110[[#This Row],[CH4 24h, %]]%</f>
        <v>6.2522913990024511</v>
      </c>
      <c r="AL1103" s="94">
        <f>Table3.110[[#This Row],[CH4 8-24h, ml]]+Table3.110[[#This Row],[CH4 8h, ml]]</f>
        <v>10.719251776463246</v>
      </c>
      <c r="AM1103" s="94">
        <f>(Table3.110[[#This Row],[Net gas 24h, ml]]/Table3.110[[#This Row],[DM Incubated, mg]])*1000</f>
        <v>153.07311288146369</v>
      </c>
      <c r="AN1103" s="94">
        <f>'3.2 Digest'!X1103</f>
        <v>51.72445045627606</v>
      </c>
      <c r="AO1103" s="94">
        <f>Table3.110[[#This Row],[Digested feed, mg]]/Table3.110[[#This Row],[Net gas 24h, ml]]</f>
        <v>3.3790683081182449</v>
      </c>
      <c r="AP1103" s="94">
        <f>Table3.110[[#This Row],[CH4 8h, ml]]/Table3.110[[#This Row],[Net gas 8h, ml]]%</f>
        <v>13</v>
      </c>
      <c r="AQ1103" s="94">
        <f>Table3.110[[#This Row],[CH4 24h, ml]]/Table3.110[[#This Row],[Net gas 24h, ml]]%</f>
        <v>14.788242309542435</v>
      </c>
      <c r="AR1103" s="94">
        <f>Table3.110[[#This Row],[CH4 24h, ml]]/Table3.110[[#This Row],[DM Incubated, mg]]*1000</f>
        <v>22.636822843670263</v>
      </c>
      <c r="AS1103" s="94">
        <f>Table3.110[[#This Row],[CH4 24h, ml]]/Table3.110[[#This Row],[Digested feed, mg]]*1000</f>
        <v>43.764259734002813</v>
      </c>
      <c r="AT1103" s="94">
        <f>Table3.110[[#This Row],[CH4 24h, ml]]/'3.2 Digest'!AA1103</f>
        <v>1.8421198948713058</v>
      </c>
      <c r="AU1103" s="94">
        <f>((Table3.110[[#This Row],[CH4 24h, ml]]/28.9)*16.04)/Table3.110[[#This Row],[DM Incubated, mg]]*1000</f>
        <v>12.563828318770621</v>
      </c>
      <c r="AV1103" s="94">
        <f>((Table3.110[[#This Row],[CH4 24h, ml]]/28.9)*16.04)/Table3.110[[#This Row],[Digested feed, mg]]*1000</f>
        <v>24.28992131949499</v>
      </c>
      <c r="AW1103" s="94"/>
      <c r="AX1103" s="94"/>
    </row>
    <row r="1104" spans="2:50" x14ac:dyDescent="0.35">
      <c r="B1104" s="90">
        <f t="shared" si="17"/>
        <v>1094</v>
      </c>
      <c r="C1104" s="140">
        <v>46083</v>
      </c>
      <c r="D1104" s="6" t="s">
        <v>16</v>
      </c>
      <c r="E1104" s="6" t="s">
        <v>407</v>
      </c>
      <c r="F1104" s="242" t="s">
        <v>226</v>
      </c>
      <c r="G1104" s="242" t="s">
        <v>231</v>
      </c>
      <c r="H1104" s="6" t="s">
        <v>232</v>
      </c>
      <c r="I1104" s="133" t="s">
        <v>22</v>
      </c>
      <c r="J1104" s="135" t="s">
        <v>23</v>
      </c>
      <c r="K1104" s="135" t="s">
        <v>215</v>
      </c>
      <c r="L1104" s="6" t="s">
        <v>406</v>
      </c>
      <c r="M1104" s="256">
        <v>30</v>
      </c>
      <c r="N1104" s="256">
        <v>65</v>
      </c>
      <c r="O1104" s="256">
        <v>2</v>
      </c>
      <c r="P1104" s="257">
        <v>2</v>
      </c>
      <c r="Q1104" s="6">
        <v>18</v>
      </c>
      <c r="R1104" s="98">
        <v>0.5</v>
      </c>
      <c r="S1104" s="94">
        <f>((Table3.110[[#This Row],[Sample weight, g]]*'2.1. DM'!Q255)/100)*1000</f>
        <v>473.43694955800828</v>
      </c>
      <c r="T1104" s="94">
        <f>'3.2 Digest'!W1104</f>
        <v>206.33694955800826</v>
      </c>
      <c r="U1104" s="153">
        <v>0.33124999999999999</v>
      </c>
      <c r="V1104" s="154">
        <v>40.5</v>
      </c>
      <c r="W1104" s="153">
        <v>0.66874999999999996</v>
      </c>
      <c r="X1104" s="91">
        <v>78</v>
      </c>
      <c r="Y1104" s="91">
        <v>13.1</v>
      </c>
      <c r="Z1104" s="154">
        <v>41.5</v>
      </c>
      <c r="AA1104" s="153">
        <v>0.36805555555555558</v>
      </c>
      <c r="AB1104" s="154">
        <v>81.5</v>
      </c>
      <c r="AC1104" s="154">
        <v>16.3</v>
      </c>
      <c r="AD1104" s="91" t="s">
        <v>596</v>
      </c>
      <c r="AE1104" s="94">
        <f>Table3.110[[#This Row],[Gas 8h, ml]]-Table3.110[[#This Row],[Gas 0h, ml]]</f>
        <v>37.5</v>
      </c>
      <c r="AF1104" s="94">
        <f>Table3.110[[#This Row],[Gas 24h, ml]]-Table3.110[[#This Row],[V8 Push back, ml]]</f>
        <v>40</v>
      </c>
      <c r="AG1104" s="94">
        <f>Table3.110[[#This Row],[GP 8h, ml]]-(AVERAGE(AE$1087,AE$1088,AE$1121,AE$1122,AE$1157,AE$1158))*$AG$8</f>
        <v>35.361233672775342</v>
      </c>
      <c r="AH1104" s="94">
        <f>Table3.110[[#This Row],[GP 8-24h, ml]]-(AVERAGE(AF$1087,AF$1088,AF$1121,AF$1122,AF$1157,AF$1158))*$AG$8</f>
        <v>37.123728042697877</v>
      </c>
      <c r="AI1104" s="94">
        <f>Table3.110[[#This Row],[Net gas 8-24h, ml]]+Table3.110[[#This Row],[Net gas 8h, ml]]</f>
        <v>72.484961715473219</v>
      </c>
      <c r="AJ1104" s="94">
        <f>Table3.110[[#This Row],[Net gas 8h, ml]]*Table3.110[[#This Row],[CH4 8h %]]%</f>
        <v>4.6323216111335697</v>
      </c>
      <c r="AK1104" s="94">
        <f>Table3.110[[#This Row],[Net gas 8-24h, ml]]*Table3.110[[#This Row],[CH4 24h, %]]%</f>
        <v>6.0511676709597539</v>
      </c>
      <c r="AL1104" s="94">
        <f>Table3.110[[#This Row],[CH4 8-24h, ml]]+Table3.110[[#This Row],[CH4 8h, ml]]</f>
        <v>10.683489282093323</v>
      </c>
      <c r="AM1104" s="94">
        <f>(Table3.110[[#This Row],[Net gas 24h, ml]]/Table3.110[[#This Row],[DM Incubated, mg]])*1000</f>
        <v>153.10372750403997</v>
      </c>
      <c r="AN1104" s="94">
        <f>'3.2 Digest'!X1104</f>
        <v>43.582772690353067</v>
      </c>
      <c r="AO1104" s="94">
        <f>Table3.110[[#This Row],[Digested feed, mg]]/Table3.110[[#This Row],[Net gas 24h, ml]]</f>
        <v>2.8466173489605628</v>
      </c>
      <c r="AP1104" s="94">
        <f>Table3.110[[#This Row],[CH4 8h, ml]]/Table3.110[[#This Row],[Net gas 8h, ml]]%</f>
        <v>13.1</v>
      </c>
      <c r="AQ1104" s="94">
        <f>Table3.110[[#This Row],[CH4 24h, ml]]/Table3.110[[#This Row],[Net gas 24h, ml]]%</f>
        <v>14.738904497224478</v>
      </c>
      <c r="AR1104" s="94">
        <f>Table3.110[[#This Row],[CH4 24h, ml]]/Table3.110[[#This Row],[DM Incubated, mg]]*1000</f>
        <v>22.565812178511255</v>
      </c>
      <c r="AS1104" s="94">
        <f>Table3.110[[#This Row],[CH4 24h, ml]]/Table3.110[[#This Row],[Digested feed, mg]]*1000</f>
        <v>51.776908134865266</v>
      </c>
      <c r="AT1104" s="94">
        <f>Table3.110[[#This Row],[CH4 24h, ml]]/'3.2 Digest'!AA1104</f>
        <v>-1.0614847463522472</v>
      </c>
      <c r="AU1104" s="94">
        <f>((Table3.110[[#This Row],[CH4 24h, ml]]/28.9)*16.04)/Table3.110[[#This Row],[DM Incubated, mg]]*1000</f>
        <v>12.524416171049152</v>
      </c>
      <c r="AV1104" s="94">
        <f>((Table3.110[[#This Row],[CH4 24h, ml]]/28.9)*16.04)/Table3.110[[#This Row],[Digested feed, mg]]*1000</f>
        <v>28.737079809108607</v>
      </c>
      <c r="AW1104" s="94"/>
      <c r="AX1104" s="94"/>
    </row>
    <row r="1105" spans="2:50" x14ac:dyDescent="0.35">
      <c r="B1105" s="90">
        <f t="shared" si="17"/>
        <v>1095</v>
      </c>
      <c r="C1105" s="140">
        <v>46083</v>
      </c>
      <c r="D1105" s="6" t="s">
        <v>16</v>
      </c>
      <c r="E1105" s="6" t="s">
        <v>409</v>
      </c>
      <c r="F1105" s="242" t="s">
        <v>290</v>
      </c>
      <c r="G1105" s="242" t="s">
        <v>314</v>
      </c>
      <c r="H1105" s="6" t="s">
        <v>315</v>
      </c>
      <c r="I1105" s="133" t="s">
        <v>22</v>
      </c>
      <c r="J1105" s="135" t="s">
        <v>23</v>
      </c>
      <c r="K1105" s="135" t="s">
        <v>215</v>
      </c>
      <c r="L1105" s="6" t="s">
        <v>408</v>
      </c>
      <c r="M1105" s="256">
        <v>30</v>
      </c>
      <c r="N1105" s="256">
        <v>65</v>
      </c>
      <c r="O1105" s="256">
        <v>2</v>
      </c>
      <c r="P1105" s="257">
        <v>1</v>
      </c>
      <c r="Q1105" s="129">
        <v>19</v>
      </c>
      <c r="R1105" s="98">
        <v>0.50009999999999999</v>
      </c>
      <c r="S1105" s="94">
        <f>((Table3.110[[#This Row],[Sample weight, g]]*'2.1. DM'!Q257)/100)*1000</f>
        <v>470.17950834411772</v>
      </c>
      <c r="T1105" s="94">
        <f>'3.2 Digest'!W1105</f>
        <v>217.77950834411777</v>
      </c>
      <c r="U1105" s="153">
        <v>0.33124999999999999</v>
      </c>
      <c r="V1105" s="154">
        <v>41</v>
      </c>
      <c r="W1105" s="153">
        <v>0.6694444444444444</v>
      </c>
      <c r="X1105" s="91">
        <v>67</v>
      </c>
      <c r="Y1105" s="91">
        <v>12.3</v>
      </c>
      <c r="Z1105" s="154">
        <v>41.5</v>
      </c>
      <c r="AA1105" s="153">
        <v>0.36805555555555558</v>
      </c>
      <c r="AB1105" s="154">
        <v>91.5</v>
      </c>
      <c r="AC1105" s="154">
        <v>15.5</v>
      </c>
      <c r="AD1105" s="91"/>
      <c r="AE1105" s="94">
        <f>Table3.110[[#This Row],[Gas 8h, ml]]-Table3.110[[#This Row],[Gas 0h, ml]]</f>
        <v>26</v>
      </c>
      <c r="AF1105" s="94">
        <f>Table3.110[[#This Row],[Gas 24h, ml]]-Table3.110[[#This Row],[V8 Push back, ml]]</f>
        <v>50</v>
      </c>
      <c r="AG1105" s="94">
        <f>Table3.110[[#This Row],[GP 8h, ml]]-(AVERAGE(AE$1087,AE$1088,AE$1121,AE$1122,AE$1157,AE$1158))*$AG$8</f>
        <v>23.861233672775342</v>
      </c>
      <c r="AH1105" s="94">
        <f>Table3.110[[#This Row],[GP 8-24h, ml]]-(AVERAGE(AF$1087,AF$1088,AF$1121,AF$1122,AF$1157,AF$1158))*$AG$8</f>
        <v>47.123728042697877</v>
      </c>
      <c r="AI1105" s="94">
        <f>Table3.110[[#This Row],[Net gas 8-24h, ml]]+Table3.110[[#This Row],[Net gas 8h, ml]]</f>
        <v>70.984961715473219</v>
      </c>
      <c r="AJ1105" s="94">
        <f>Table3.110[[#This Row],[Net gas 8h, ml]]*Table3.110[[#This Row],[CH4 8h %]]%</f>
        <v>2.9349317417513672</v>
      </c>
      <c r="AK1105" s="94">
        <f>Table3.110[[#This Row],[Net gas 8-24h, ml]]*Table3.110[[#This Row],[CH4 24h, %]]%</f>
        <v>7.3041778466181713</v>
      </c>
      <c r="AL1105" s="94">
        <f>Table3.110[[#This Row],[CH4 8-24h, ml]]+Table3.110[[#This Row],[CH4 8h, ml]]</f>
        <v>10.239109588369539</v>
      </c>
      <c r="AM1105" s="94">
        <f>(Table3.110[[#This Row],[Net gas 24h, ml]]/Table3.110[[#This Row],[DM Incubated, mg]])*1000</f>
        <v>150.97417147222913</v>
      </c>
      <c r="AN1105" s="94">
        <f>'3.2 Digest'!X1105</f>
        <v>46.31837510551992</v>
      </c>
      <c r="AO1105" s="94">
        <f>Table3.110[[#This Row],[Digested feed, mg]]/Table3.110[[#This Row],[Net gas 24h, ml]]</f>
        <v>3.0679668352437308</v>
      </c>
      <c r="AP1105" s="94">
        <f>Table3.110[[#This Row],[CH4 8h, ml]]/Table3.110[[#This Row],[Net gas 8h, ml]]%</f>
        <v>12.3</v>
      </c>
      <c r="AQ1105" s="94">
        <f>Table3.110[[#This Row],[CH4 24h, ml]]/Table3.110[[#This Row],[Net gas 24h, ml]]%</f>
        <v>14.424336283240722</v>
      </c>
      <c r="AR1105" s="94">
        <f>Table3.110[[#This Row],[CH4 24h, ml]]/Table3.110[[#This Row],[DM Incubated, mg]]*1000</f>
        <v>21.77702219399081</v>
      </c>
      <c r="AS1105" s="94">
        <f>Table3.110[[#This Row],[CH4 24h, ml]]/Table3.110[[#This Row],[Digested feed, mg]]*1000</f>
        <v>47.01594592724728</v>
      </c>
      <c r="AT1105" s="94">
        <f>Table3.110[[#This Row],[CH4 24h, ml]]/'3.2 Digest'!AA1105</f>
        <v>-0.54741957167278243</v>
      </c>
      <c r="AU1105" s="94">
        <f>((Table3.110[[#This Row],[CH4 24h, ml]]/28.9)*16.04)/Table3.110[[#This Row],[DM Incubated, mg]]*1000</f>
        <v>12.08662408275476</v>
      </c>
      <c r="AV1105" s="94">
        <f>((Table3.110[[#This Row],[CH4 24h, ml]]/28.9)*16.04)/Table3.110[[#This Row],[Digested feed, mg]]*1000</f>
        <v>26.09466341429226</v>
      </c>
      <c r="AW1105" s="94"/>
      <c r="AX1105" s="94"/>
    </row>
    <row r="1106" spans="2:50" x14ac:dyDescent="0.35">
      <c r="B1106" s="90">
        <f t="shared" si="17"/>
        <v>1096</v>
      </c>
      <c r="C1106" s="140">
        <v>46083</v>
      </c>
      <c r="D1106" s="6" t="s">
        <v>16</v>
      </c>
      <c r="E1106" s="6" t="s">
        <v>409</v>
      </c>
      <c r="F1106" s="242" t="s">
        <v>290</v>
      </c>
      <c r="G1106" s="242" t="s">
        <v>314</v>
      </c>
      <c r="H1106" s="6" t="s">
        <v>315</v>
      </c>
      <c r="I1106" s="133" t="s">
        <v>22</v>
      </c>
      <c r="J1106" s="135" t="s">
        <v>23</v>
      </c>
      <c r="K1106" s="135" t="s">
        <v>215</v>
      </c>
      <c r="L1106" s="6" t="s">
        <v>408</v>
      </c>
      <c r="M1106" s="256">
        <v>30</v>
      </c>
      <c r="N1106" s="256">
        <v>65</v>
      </c>
      <c r="O1106" s="256">
        <v>2</v>
      </c>
      <c r="P1106" s="257">
        <v>2</v>
      </c>
      <c r="Q1106" s="6">
        <v>20</v>
      </c>
      <c r="R1106" s="98">
        <v>0.5</v>
      </c>
      <c r="S1106" s="94">
        <f>((Table3.110[[#This Row],[Sample weight, g]]*'2.1. DM'!Q257)/100)*1000</f>
        <v>470.08549124586858</v>
      </c>
      <c r="T1106" s="94">
        <f>'3.2 Digest'!W1106</f>
        <v>241.38549124586856</v>
      </c>
      <c r="U1106" s="117">
        <v>0.33124999999999999</v>
      </c>
      <c r="V1106" s="155">
        <v>41</v>
      </c>
      <c r="W1106" s="117">
        <v>0.67013888888888884</v>
      </c>
      <c r="X1106" s="96">
        <v>69</v>
      </c>
      <c r="Y1106" s="96">
        <v>11.7</v>
      </c>
      <c r="Z1106" s="155">
        <v>41</v>
      </c>
      <c r="AA1106" s="117">
        <v>0.36875000000000002</v>
      </c>
      <c r="AB1106" s="155">
        <v>91</v>
      </c>
      <c r="AC1106" s="155">
        <v>15.1</v>
      </c>
      <c r="AD1106" s="96"/>
      <c r="AE1106" s="94">
        <f>Table3.110[[#This Row],[Gas 8h, ml]]-Table3.110[[#This Row],[Gas 0h, ml]]</f>
        <v>28</v>
      </c>
      <c r="AF1106" s="94">
        <f>Table3.110[[#This Row],[Gas 24h, ml]]-Table3.110[[#This Row],[V8 Push back, ml]]</f>
        <v>50</v>
      </c>
      <c r="AG1106" s="94">
        <f>Table3.110[[#This Row],[GP 8h, ml]]-(AVERAGE(AE$1087,AE$1088,AE$1121,AE$1122,AE$1157,AE$1158))*$AG$8</f>
        <v>25.861233672775342</v>
      </c>
      <c r="AH1106" s="94">
        <f>Table3.110[[#This Row],[GP 8-24h, ml]]-(AVERAGE(AF$1087,AF$1088,AF$1121,AF$1122,AF$1157,AF$1158))*$AG$8</f>
        <v>47.123728042697877</v>
      </c>
      <c r="AI1106" s="94">
        <f>Table3.110[[#This Row],[Net gas 8-24h, ml]]+Table3.110[[#This Row],[Net gas 8h, ml]]</f>
        <v>72.984961715473219</v>
      </c>
      <c r="AJ1106" s="94">
        <f>Table3.110[[#This Row],[Net gas 8h, ml]]*Table3.110[[#This Row],[CH4 8h %]]%</f>
        <v>3.0257643397147147</v>
      </c>
      <c r="AK1106" s="94">
        <f>Table3.110[[#This Row],[Net gas 8-24h, ml]]*Table3.110[[#This Row],[CH4 24h, %]]%</f>
        <v>7.1156829344473795</v>
      </c>
      <c r="AL1106" s="94">
        <f>Table3.110[[#This Row],[CH4 8-24h, ml]]+Table3.110[[#This Row],[CH4 8h, ml]]</f>
        <v>10.141447274162093</v>
      </c>
      <c r="AM1106" s="94">
        <f>(Table3.110[[#This Row],[Net gas 24h, ml]]/Table3.110[[#This Row],[DM Incubated, mg]])*1000</f>
        <v>155.25891156955518</v>
      </c>
      <c r="AN1106" s="94">
        <f>'3.2 Digest'!X1106</f>
        <v>51.34927491723348</v>
      </c>
      <c r="AO1106" s="94">
        <f>Table3.110[[#This Row],[Digested feed, mg]]/Table3.110[[#This Row],[Net gas 24h, ml]]</f>
        <v>3.3073318882716287</v>
      </c>
      <c r="AP1106" s="94">
        <f>Table3.110[[#This Row],[CH4 8h, ml]]/Table3.110[[#This Row],[Net gas 8h, ml]]%</f>
        <v>11.7</v>
      </c>
      <c r="AQ1106" s="94">
        <f>Table3.110[[#This Row],[CH4 24h, ml]]/Table3.110[[#This Row],[Net gas 24h, ml]]%</f>
        <v>13.895256003144619</v>
      </c>
      <c r="AR1106" s="94">
        <f>Table3.110[[#This Row],[CH4 24h, ml]]/Table3.110[[#This Row],[DM Incubated, mg]]*1000</f>
        <v>21.573623230285609</v>
      </c>
      <c r="AS1106" s="94">
        <f>Table3.110[[#This Row],[CH4 24h, ml]]/Table3.110[[#This Row],[Digested feed, mg]]*1000</f>
        <v>42.013491456420205</v>
      </c>
      <c r="AT1106" s="94">
        <f>Table3.110[[#This Row],[CH4 24h, ml]]/'3.2 Digest'!AA1106</f>
        <v>-1.3379812515170371</v>
      </c>
      <c r="AU1106" s="94">
        <f>((Table3.110[[#This Row],[CH4 24h, ml]]/28.9)*16.04)/Table3.110[[#This Row],[DM Incubated, mg]]*1000</f>
        <v>11.973734138885163</v>
      </c>
      <c r="AV1106" s="94">
        <f>((Table3.110[[#This Row],[CH4 24h, ml]]/28.9)*16.04)/Table3.110[[#This Row],[Digested feed, mg]]*1000</f>
        <v>23.318214635328033</v>
      </c>
      <c r="AW1106" s="94"/>
      <c r="AX1106" s="94"/>
    </row>
    <row r="1107" spans="2:50" x14ac:dyDescent="0.35">
      <c r="B1107" s="90">
        <f t="shared" si="17"/>
        <v>1097</v>
      </c>
      <c r="C1107" s="140">
        <v>46083</v>
      </c>
      <c r="D1107" s="6" t="s">
        <v>16</v>
      </c>
      <c r="E1107" s="6" t="s">
        <v>411</v>
      </c>
      <c r="F1107" s="242" t="s">
        <v>264</v>
      </c>
      <c r="G1107" s="242" t="s">
        <v>412</v>
      </c>
      <c r="H1107" s="6" t="s">
        <v>413</v>
      </c>
      <c r="I1107" s="133" t="s">
        <v>22</v>
      </c>
      <c r="J1107" s="135" t="s">
        <v>23</v>
      </c>
      <c r="K1107" s="135" t="s">
        <v>215</v>
      </c>
      <c r="L1107" s="6" t="s">
        <v>410</v>
      </c>
      <c r="M1107" s="256">
        <v>30</v>
      </c>
      <c r="N1107" s="256">
        <v>65</v>
      </c>
      <c r="O1107" s="256">
        <v>2</v>
      </c>
      <c r="P1107" s="257">
        <v>1</v>
      </c>
      <c r="Q1107" s="129">
        <v>21</v>
      </c>
      <c r="R1107" s="98">
        <v>0.5</v>
      </c>
      <c r="S1107" s="94">
        <f>((Table3.110[[#This Row],[Sample weight, g]]*'2.1. DM'!Q259)/100)*1000</f>
        <v>475.37870188186133</v>
      </c>
      <c r="T1107" s="94">
        <f>'3.2 Digest'!W1107</f>
        <v>244.87870188186142</v>
      </c>
      <c r="U1107" s="117">
        <v>0.33194444444444443</v>
      </c>
      <c r="V1107" s="155">
        <v>41</v>
      </c>
      <c r="W1107" s="117">
        <v>0.67013888888888884</v>
      </c>
      <c r="X1107" s="96">
        <v>87.5</v>
      </c>
      <c r="Y1107" s="96">
        <v>14.3</v>
      </c>
      <c r="Z1107" s="155">
        <v>40.5</v>
      </c>
      <c r="AA1107" s="117">
        <v>0.36875000000000002</v>
      </c>
      <c r="AB1107" s="155">
        <v>85</v>
      </c>
      <c r="AC1107" s="155">
        <v>18.600000000000001</v>
      </c>
      <c r="AD1107" s="96"/>
      <c r="AE1107" s="94">
        <f>Table3.110[[#This Row],[Gas 8h, ml]]-Table3.110[[#This Row],[Gas 0h, ml]]</f>
        <v>46.5</v>
      </c>
      <c r="AF1107" s="94">
        <f>Table3.110[[#This Row],[Gas 24h, ml]]-Table3.110[[#This Row],[V8 Push back, ml]]</f>
        <v>44.5</v>
      </c>
      <c r="AG1107" s="94">
        <f>Table3.110[[#This Row],[GP 8h, ml]]-(AVERAGE(AE$1087,AE$1088,AE$1121,AE$1122,AE$1157,AE$1158))*$AG$8</f>
        <v>44.361233672775342</v>
      </c>
      <c r="AH1107" s="94">
        <f>Table3.110[[#This Row],[GP 8-24h, ml]]-(AVERAGE(AF$1087,AF$1088,AF$1121,AF$1122,AF$1157,AF$1158))*$AG$8</f>
        <v>41.623728042697877</v>
      </c>
      <c r="AI1107" s="94">
        <f>Table3.110[[#This Row],[Net gas 8-24h, ml]]+Table3.110[[#This Row],[Net gas 8h, ml]]</f>
        <v>85.984961715473219</v>
      </c>
      <c r="AJ1107" s="94">
        <f>Table3.110[[#This Row],[Net gas 8h, ml]]*Table3.110[[#This Row],[CH4 8h %]]%</f>
        <v>6.3436564152068744</v>
      </c>
      <c r="AK1107" s="94">
        <f>Table3.110[[#This Row],[Net gas 8-24h, ml]]*Table3.110[[#This Row],[CH4 24h, %]]%</f>
        <v>7.7420134159418064</v>
      </c>
      <c r="AL1107" s="94">
        <f>Table3.110[[#This Row],[CH4 8-24h, ml]]+Table3.110[[#This Row],[CH4 8h, ml]]</f>
        <v>14.085669831148682</v>
      </c>
      <c r="AM1107" s="94">
        <f>(Table3.110[[#This Row],[Net gas 24h, ml]]/Table3.110[[#This Row],[DM Incubated, mg]])*1000</f>
        <v>180.87676493517321</v>
      </c>
      <c r="AN1107" s="94">
        <f>'3.2 Digest'!X1107</f>
        <v>51.512341826100027</v>
      </c>
      <c r="AO1107" s="94">
        <f>Table3.110[[#This Row],[Digested feed, mg]]/Table3.110[[#This Row],[Net gas 24h, ml]]</f>
        <v>2.8479247649393891</v>
      </c>
      <c r="AP1107" s="94">
        <f>Table3.110[[#This Row],[CH4 8h, ml]]/Table3.110[[#This Row],[Net gas 8h, ml]]%</f>
        <v>14.3</v>
      </c>
      <c r="AQ1107" s="94">
        <f>Table3.110[[#This Row],[CH4 24h, ml]]/Table3.110[[#This Row],[Net gas 24h, ml]]%</f>
        <v>16.381550389890943</v>
      </c>
      <c r="AR1107" s="94">
        <f>Table3.110[[#This Row],[CH4 24h, ml]]/Table3.110[[#This Row],[DM Incubated, mg]]*1000</f>
        <v>29.630418391459994</v>
      </c>
      <c r="AS1107" s="94">
        <f>Table3.110[[#This Row],[CH4 24h, ml]]/Table3.110[[#This Row],[Digested feed, mg]]*1000</f>
        <v>57.521008249807416</v>
      </c>
      <c r="AT1107" s="94">
        <f>Table3.110[[#This Row],[CH4 24h, ml]]/'3.2 Digest'!AA1107</f>
        <v>2.1503671331345897</v>
      </c>
      <c r="AU1107" s="94">
        <f>((Table3.110[[#This Row],[CH4 24h, ml]]/28.9)*16.04)/Table3.110[[#This Row],[DM Incubated, mg]]*1000</f>
        <v>16.445394844256686</v>
      </c>
      <c r="AV1107" s="94">
        <f>((Table3.110[[#This Row],[CH4 24h, ml]]/28.9)*16.04)/Table3.110[[#This Row],[Digested feed, mg]]*1000</f>
        <v>31.925154751796228</v>
      </c>
      <c r="AW1107" s="94"/>
      <c r="AX1107" s="94"/>
    </row>
    <row r="1108" spans="2:50" x14ac:dyDescent="0.35">
      <c r="B1108" s="90">
        <f t="shared" si="17"/>
        <v>1098</v>
      </c>
      <c r="C1108" s="140">
        <v>46083</v>
      </c>
      <c r="D1108" s="6" t="s">
        <v>16</v>
      </c>
      <c r="E1108" s="6" t="s">
        <v>411</v>
      </c>
      <c r="F1108" s="242" t="s">
        <v>264</v>
      </c>
      <c r="G1108" s="242" t="s">
        <v>412</v>
      </c>
      <c r="H1108" s="6" t="s">
        <v>413</v>
      </c>
      <c r="I1108" s="133" t="s">
        <v>22</v>
      </c>
      <c r="J1108" s="135" t="s">
        <v>23</v>
      </c>
      <c r="K1108" s="135" t="s">
        <v>215</v>
      </c>
      <c r="L1108" s="6" t="s">
        <v>410</v>
      </c>
      <c r="M1108" s="256">
        <v>30</v>
      </c>
      <c r="N1108" s="256">
        <v>65</v>
      </c>
      <c r="O1108" s="256">
        <v>2</v>
      </c>
      <c r="P1108" s="257">
        <v>2</v>
      </c>
      <c r="Q1108" s="6">
        <v>22</v>
      </c>
      <c r="R1108" s="98">
        <v>0.50019999999999998</v>
      </c>
      <c r="S1108" s="94">
        <f>((Table3.110[[#This Row],[Sample weight, g]]*'2.1. DM'!Q259)/100)*1000</f>
        <v>475.56885336261399</v>
      </c>
      <c r="T1108" s="94">
        <f>'3.2 Digest'!W1108</f>
        <v>240.06885336261394</v>
      </c>
      <c r="U1108" s="153">
        <v>0.33194444444444443</v>
      </c>
      <c r="V1108" s="154">
        <v>40.5</v>
      </c>
      <c r="W1108" s="153">
        <v>0.67083333333333328</v>
      </c>
      <c r="X1108" s="91">
        <v>87.5</v>
      </c>
      <c r="Y1108" s="91">
        <v>14.1</v>
      </c>
      <c r="Z1108" s="154">
        <v>41.5</v>
      </c>
      <c r="AA1108" s="153">
        <v>0.36944444444444446</v>
      </c>
      <c r="AB1108" s="154">
        <v>86</v>
      </c>
      <c r="AC1108" s="154">
        <v>18.5</v>
      </c>
      <c r="AD1108" s="91"/>
      <c r="AE1108" s="94">
        <f>Table3.110[[#This Row],[Gas 8h, ml]]-Table3.110[[#This Row],[Gas 0h, ml]]</f>
        <v>47</v>
      </c>
      <c r="AF1108" s="94">
        <f>Table3.110[[#This Row],[Gas 24h, ml]]-Table3.110[[#This Row],[V8 Push back, ml]]</f>
        <v>44.5</v>
      </c>
      <c r="AG1108" s="94">
        <f>Table3.110[[#This Row],[GP 8h, ml]]-(AVERAGE(AE$1087,AE$1088,AE$1121,AE$1122,AE$1157,AE$1158))*$AG$8</f>
        <v>44.861233672775342</v>
      </c>
      <c r="AH1108" s="94">
        <f>Table3.110[[#This Row],[GP 8-24h, ml]]-(AVERAGE(AF$1087,AF$1088,AF$1121,AF$1122,AF$1157,AF$1158))*$AG$8</f>
        <v>41.623728042697877</v>
      </c>
      <c r="AI1108" s="94">
        <f>Table3.110[[#This Row],[Net gas 8-24h, ml]]+Table3.110[[#This Row],[Net gas 8h, ml]]</f>
        <v>86.484961715473219</v>
      </c>
      <c r="AJ1108" s="94">
        <f>Table3.110[[#This Row],[Net gas 8h, ml]]*Table3.110[[#This Row],[CH4 8h %]]%</f>
        <v>6.3254339478613222</v>
      </c>
      <c r="AK1108" s="94">
        <f>Table3.110[[#This Row],[Net gas 8-24h, ml]]*Table3.110[[#This Row],[CH4 24h, %]]%</f>
        <v>7.7003896878991069</v>
      </c>
      <c r="AL1108" s="94">
        <f>Table3.110[[#This Row],[CH4 8-24h, ml]]+Table3.110[[#This Row],[CH4 8h, ml]]</f>
        <v>14.025823635760428</v>
      </c>
      <c r="AM1108" s="94">
        <f>(Table3.110[[#This Row],[Net gas 24h, ml]]/Table3.110[[#This Row],[DM Incubated, mg]])*1000</f>
        <v>181.85581562787871</v>
      </c>
      <c r="AN1108" s="94">
        <f>'3.2 Digest'!X1108</f>
        <v>50.48035666447759</v>
      </c>
      <c r="AO1108" s="94">
        <f>Table3.110[[#This Row],[Digested feed, mg]]/Table3.110[[#This Row],[Net gas 24h, ml]]</f>
        <v>2.7758450556111267</v>
      </c>
      <c r="AP1108" s="94">
        <f>Table3.110[[#This Row],[CH4 8h, ml]]/Table3.110[[#This Row],[Net gas 8h, ml]]%</f>
        <v>14.099999999999998</v>
      </c>
      <c r="AQ1108" s="94">
        <f>Table3.110[[#This Row],[CH4 24h, ml]]/Table3.110[[#This Row],[Net gas 24h, ml]]%</f>
        <v>16.217644498593838</v>
      </c>
      <c r="AR1108" s="94">
        <f>Table3.110[[#This Row],[CH4 24h, ml]]/Table3.110[[#This Row],[DM Incubated, mg]]*1000</f>
        <v>29.492729678547622</v>
      </c>
      <c r="AS1108" s="94">
        <f>Table3.110[[#This Row],[CH4 24h, ml]]/Table3.110[[#This Row],[Digested feed, mg]]*1000</f>
        <v>58.424170563163436</v>
      </c>
      <c r="AT1108" s="94">
        <f>Table3.110[[#This Row],[CH4 24h, ml]]/'3.2 Digest'!AA1108</f>
        <v>3.0748783015867791</v>
      </c>
      <c r="AU1108" s="94">
        <f>((Table3.110[[#This Row],[CH4 24h, ml]]/28.9)*16.04)/Table3.110[[#This Row],[DM Incubated, mg]]*1000</f>
        <v>16.36897522643266</v>
      </c>
      <c r="AV1108" s="94">
        <f>((Table3.110[[#This Row],[CH4 24h, ml]]/28.9)*16.04)/Table3.110[[#This Row],[Digested feed, mg]]*1000</f>
        <v>32.426425461354377</v>
      </c>
      <c r="AW1108" s="94"/>
      <c r="AX1108" s="94"/>
    </row>
    <row r="1109" spans="2:50" x14ac:dyDescent="0.35">
      <c r="B1109" s="90">
        <f t="shared" si="17"/>
        <v>1099</v>
      </c>
      <c r="C1109" s="140">
        <v>46083</v>
      </c>
      <c r="D1109" s="6" t="s">
        <v>16</v>
      </c>
      <c r="E1109" s="6" t="s">
        <v>415</v>
      </c>
      <c r="F1109" s="242" t="s">
        <v>235</v>
      </c>
      <c r="G1109" s="242" t="s">
        <v>274</v>
      </c>
      <c r="H1109" s="6" t="s">
        <v>275</v>
      </c>
      <c r="I1109" s="133" t="s">
        <v>22</v>
      </c>
      <c r="J1109" s="135" t="s">
        <v>23</v>
      </c>
      <c r="K1109" s="135" t="s">
        <v>215</v>
      </c>
      <c r="L1109" s="6" t="s">
        <v>414</v>
      </c>
      <c r="M1109" s="256">
        <v>30</v>
      </c>
      <c r="N1109" s="256">
        <v>65</v>
      </c>
      <c r="O1109" s="256">
        <v>2</v>
      </c>
      <c r="P1109" s="257">
        <v>1</v>
      </c>
      <c r="Q1109" s="129">
        <v>23</v>
      </c>
      <c r="R1109" s="98">
        <v>0.5</v>
      </c>
      <c r="S1109" s="94">
        <f>((Table3.110[[#This Row],[Sample weight, g]]*'2.1. DM'!Q261)/100)*1000</f>
        <v>473.62894434411743</v>
      </c>
      <c r="T1109" s="94">
        <f>'3.2 Digest'!W1109</f>
        <v>204.82894434411742</v>
      </c>
      <c r="U1109" s="153">
        <v>0.33263888888888887</v>
      </c>
      <c r="V1109" s="154">
        <v>40</v>
      </c>
      <c r="W1109" s="153">
        <v>0.67152777777777772</v>
      </c>
      <c r="X1109" s="91">
        <v>81.5</v>
      </c>
      <c r="Y1109" s="91">
        <v>11.9</v>
      </c>
      <c r="Z1109" s="154">
        <v>40</v>
      </c>
      <c r="AA1109" s="153">
        <v>0.37013888888888891</v>
      </c>
      <c r="AB1109" s="154">
        <v>81.5</v>
      </c>
      <c r="AC1109" s="154">
        <v>17.2</v>
      </c>
      <c r="AD1109" s="91" t="s">
        <v>597</v>
      </c>
      <c r="AE1109" s="94">
        <f>Table3.110[[#This Row],[Gas 8h, ml]]-Table3.110[[#This Row],[Gas 0h, ml]]</f>
        <v>41.5</v>
      </c>
      <c r="AF1109" s="94">
        <f>Table3.110[[#This Row],[Gas 24h, ml]]-Table3.110[[#This Row],[V8 Push back, ml]]</f>
        <v>41.5</v>
      </c>
      <c r="AG1109" s="94">
        <f>Table3.110[[#This Row],[GP 8h, ml]]-(AVERAGE(AE$1087,AE$1088,AE$1121,AE$1122,AE$1157,AE$1158))*$AG$8</f>
        <v>39.361233672775342</v>
      </c>
      <c r="AH1109" s="94">
        <f>Table3.110[[#This Row],[GP 8-24h, ml]]-(AVERAGE(AF$1087,AF$1088,AF$1121,AF$1122,AF$1157,AF$1158))*$AG$8</f>
        <v>38.623728042697877</v>
      </c>
      <c r="AI1109" s="94">
        <f>Table3.110[[#This Row],[Net gas 8-24h, ml]]+Table3.110[[#This Row],[Net gas 8h, ml]]</f>
        <v>77.984961715473219</v>
      </c>
      <c r="AJ1109" s="94">
        <f>Table3.110[[#This Row],[Net gas 8h, ml]]*Table3.110[[#This Row],[CH4 8h %]]%</f>
        <v>4.6839868070602657</v>
      </c>
      <c r="AK1109" s="94">
        <f>Table3.110[[#This Row],[Net gas 8-24h, ml]]*Table3.110[[#This Row],[CH4 24h, %]]%</f>
        <v>6.6432812233440339</v>
      </c>
      <c r="AL1109" s="94">
        <f>Table3.110[[#This Row],[CH4 8-24h, ml]]+Table3.110[[#This Row],[CH4 8h, ml]]</f>
        <v>11.3272680304043</v>
      </c>
      <c r="AM1109" s="94">
        <f>(Table3.110[[#This Row],[Net gas 24h, ml]]/Table3.110[[#This Row],[DM Incubated, mg]])*1000</f>
        <v>164.65412987685326</v>
      </c>
      <c r="AN1109" s="94">
        <f>'3.2 Digest'!X1109</f>
        <v>43.246711754021931</v>
      </c>
      <c r="AO1109" s="94">
        <f>Table3.110[[#This Row],[Digested feed, mg]]/Table3.110[[#This Row],[Net gas 24h, ml]]</f>
        <v>2.6265184958534991</v>
      </c>
      <c r="AP1109" s="94">
        <f>Table3.110[[#This Row],[CH4 8h, ml]]/Table3.110[[#This Row],[Net gas 8h, ml]]%</f>
        <v>11.9</v>
      </c>
      <c r="AQ1109" s="94">
        <f>Table3.110[[#This Row],[CH4 24h, ml]]/Table3.110[[#This Row],[Net gas 24h, ml]]%</f>
        <v>14.524938887232695</v>
      </c>
      <c r="AR1109" s="94">
        <f>Table3.110[[#This Row],[CH4 24h, ml]]/Table3.110[[#This Row],[DM Incubated, mg]]*1000</f>
        <v>23.915911739917689</v>
      </c>
      <c r="AS1109" s="94">
        <f>Table3.110[[#This Row],[CH4 24h, ml]]/Table3.110[[#This Row],[Digested feed, mg]]*1000</f>
        <v>55.301110234568334</v>
      </c>
      <c r="AT1109" s="94">
        <f>Table3.110[[#This Row],[CH4 24h, ml]]/'3.2 Digest'!AA1109</f>
        <v>-0.52285315287520162</v>
      </c>
      <c r="AU1109" s="94">
        <f>((Table3.110[[#This Row],[CH4 24h, ml]]/28.9)*16.04)/Table3.110[[#This Row],[DM Incubated, mg]]*1000</f>
        <v>13.273744785753625</v>
      </c>
      <c r="AV1109" s="94">
        <f>((Table3.110[[#This Row],[CH4 24h, ml]]/28.9)*16.04)/Table3.110[[#This Row],[Digested feed, mg]]*1000</f>
        <v>30.69307294679848</v>
      </c>
      <c r="AW1109" s="94"/>
      <c r="AX1109" s="94"/>
    </row>
    <row r="1110" spans="2:50" x14ac:dyDescent="0.35">
      <c r="B1110" s="90">
        <f t="shared" si="17"/>
        <v>1100</v>
      </c>
      <c r="C1110" s="140">
        <v>46083</v>
      </c>
      <c r="D1110" s="6" t="s">
        <v>16</v>
      </c>
      <c r="E1110" s="6" t="s">
        <v>415</v>
      </c>
      <c r="F1110" s="242" t="s">
        <v>235</v>
      </c>
      <c r="G1110" s="242" t="s">
        <v>274</v>
      </c>
      <c r="H1110" s="6" t="s">
        <v>275</v>
      </c>
      <c r="I1110" s="133" t="s">
        <v>22</v>
      </c>
      <c r="J1110" s="135" t="s">
        <v>23</v>
      </c>
      <c r="K1110" s="135" t="s">
        <v>215</v>
      </c>
      <c r="L1110" s="6" t="s">
        <v>414</v>
      </c>
      <c r="M1110" s="256">
        <v>30</v>
      </c>
      <c r="N1110" s="256">
        <v>65</v>
      </c>
      <c r="O1110" s="256">
        <v>2</v>
      </c>
      <c r="P1110" s="257">
        <v>2</v>
      </c>
      <c r="Q1110" s="6">
        <v>24</v>
      </c>
      <c r="R1110" s="98">
        <v>0.5</v>
      </c>
      <c r="S1110" s="94">
        <f>((Table3.110[[#This Row],[Sample weight, g]]*'2.1. DM'!Q261)/100)*1000</f>
        <v>473.62894434411743</v>
      </c>
      <c r="T1110" s="94">
        <f>'3.2 Digest'!W1110</f>
        <v>215.92894434411738</v>
      </c>
      <c r="U1110" s="117">
        <v>0.33263888888888887</v>
      </c>
      <c r="V1110" s="155">
        <v>41.5</v>
      </c>
      <c r="W1110" s="117">
        <v>0.67222222222222228</v>
      </c>
      <c r="X1110" s="96">
        <v>83</v>
      </c>
      <c r="Y1110" s="96">
        <v>11.3</v>
      </c>
      <c r="Z1110" s="155">
        <v>40.5</v>
      </c>
      <c r="AA1110" s="117">
        <v>0.37083333333333335</v>
      </c>
      <c r="AB1110" s="155">
        <v>81.5</v>
      </c>
      <c r="AC1110" s="155">
        <v>17.100000000000001</v>
      </c>
      <c r="AD1110" s="96"/>
      <c r="AE1110" s="94">
        <f>Table3.110[[#This Row],[Gas 8h, ml]]-Table3.110[[#This Row],[Gas 0h, ml]]</f>
        <v>41.5</v>
      </c>
      <c r="AF1110" s="94">
        <f>Table3.110[[#This Row],[Gas 24h, ml]]-Table3.110[[#This Row],[V8 Push back, ml]]</f>
        <v>41</v>
      </c>
      <c r="AG1110" s="94">
        <f>Table3.110[[#This Row],[GP 8h, ml]]-(AVERAGE(AE$1087,AE$1088,AE$1121,AE$1122,AE$1157,AE$1158))*$AG$8</f>
        <v>39.361233672775342</v>
      </c>
      <c r="AH1110" s="94">
        <f>Table3.110[[#This Row],[GP 8-24h, ml]]-(AVERAGE(AF$1087,AF$1088,AF$1121,AF$1122,AF$1157,AF$1158))*$AG$8</f>
        <v>38.123728042697877</v>
      </c>
      <c r="AI1110" s="94">
        <f>Table3.110[[#This Row],[Net gas 8-24h, ml]]+Table3.110[[#This Row],[Net gas 8h, ml]]</f>
        <v>77.484961715473219</v>
      </c>
      <c r="AJ1110" s="94">
        <f>Table3.110[[#This Row],[Net gas 8h, ml]]*Table3.110[[#This Row],[CH4 8h %]]%</f>
        <v>4.4478194050236137</v>
      </c>
      <c r="AK1110" s="94">
        <f>Table3.110[[#This Row],[Net gas 8-24h, ml]]*Table3.110[[#This Row],[CH4 24h, %]]%</f>
        <v>6.5191574953013376</v>
      </c>
      <c r="AL1110" s="94">
        <f>Table3.110[[#This Row],[CH4 8-24h, ml]]+Table3.110[[#This Row],[CH4 8h, ml]]</f>
        <v>10.966976900324951</v>
      </c>
      <c r="AM1110" s="94">
        <f>(Table3.110[[#This Row],[Net gas 24h, ml]]/Table3.110[[#This Row],[DM Incubated, mg]])*1000</f>
        <v>163.5984511520397</v>
      </c>
      <c r="AN1110" s="94">
        <f>'3.2 Digest'!X1110</f>
        <v>45.590318523108067</v>
      </c>
      <c r="AO1110" s="94">
        <f>Table3.110[[#This Row],[Digested feed, mg]]/Table3.110[[#This Row],[Net gas 24h, ml]]</f>
        <v>2.7867206689346258</v>
      </c>
      <c r="AP1110" s="94">
        <f>Table3.110[[#This Row],[CH4 8h, ml]]/Table3.110[[#This Row],[Net gas 8h, ml]]%</f>
        <v>11.3</v>
      </c>
      <c r="AQ1110" s="94">
        <f>Table3.110[[#This Row],[CH4 24h, ml]]/Table3.110[[#This Row],[Net gas 24h, ml]]%</f>
        <v>14.153684350514327</v>
      </c>
      <c r="AR1110" s="94">
        <f>Table3.110[[#This Row],[CH4 24h, ml]]/Table3.110[[#This Row],[DM Incubated, mg]]*1000</f>
        <v>23.155208378390068</v>
      </c>
      <c r="AS1110" s="94">
        <f>Table3.110[[#This Row],[CH4 24h, ml]]/Table3.110[[#This Row],[Digested feed, mg]]*1000</f>
        <v>50.789749070635551</v>
      </c>
      <c r="AT1110" s="94">
        <f>Table3.110[[#This Row],[CH4 24h, ml]]/'3.2 Digest'!AA1110</f>
        <v>-0.65906308198285768</v>
      </c>
      <c r="AU1110" s="94">
        <f>((Table3.110[[#This Row],[CH4 24h, ml]]/28.9)*16.04)/Table3.110[[#This Row],[DM Incubated, mg]]*1000</f>
        <v>12.851541259147984</v>
      </c>
      <c r="AV1110" s="94">
        <f>((Table3.110[[#This Row],[CH4 24h, ml]]/28.9)*16.04)/Table3.110[[#This Row],[Digested feed, mg]]*1000</f>
        <v>28.189189449584575</v>
      </c>
      <c r="AW1110" s="94"/>
      <c r="AX1110" s="94"/>
    </row>
    <row r="1111" spans="2:50" x14ac:dyDescent="0.35">
      <c r="B1111" s="90">
        <f t="shared" si="17"/>
        <v>1101</v>
      </c>
      <c r="C1111" s="140">
        <v>46083</v>
      </c>
      <c r="D1111" s="6" t="s">
        <v>16</v>
      </c>
      <c r="E1111" s="6" t="s">
        <v>417</v>
      </c>
      <c r="F1111" s="242" t="s">
        <v>290</v>
      </c>
      <c r="G1111" s="242" t="s">
        <v>291</v>
      </c>
      <c r="H1111" s="6" t="s">
        <v>292</v>
      </c>
      <c r="I1111" s="133" t="s">
        <v>22</v>
      </c>
      <c r="J1111" s="135" t="s">
        <v>23</v>
      </c>
      <c r="K1111" s="135" t="s">
        <v>215</v>
      </c>
      <c r="L1111" s="6" t="s">
        <v>416</v>
      </c>
      <c r="M1111" s="256">
        <v>30</v>
      </c>
      <c r="N1111" s="256">
        <v>65</v>
      </c>
      <c r="O1111" s="256">
        <v>2</v>
      </c>
      <c r="P1111" s="257">
        <v>1</v>
      </c>
      <c r="Q1111" s="129">
        <v>25</v>
      </c>
      <c r="R1111" s="98">
        <v>0.50009999999999999</v>
      </c>
      <c r="S1111" s="94">
        <f>((Table3.110[[#This Row],[Sample weight, g]]*'2.1. DM'!Q263)/100)*1000</f>
        <v>467.68472263868046</v>
      </c>
      <c r="T1111" s="94">
        <f>'3.2 Digest'!W1111</f>
        <v>246.28472263868042</v>
      </c>
      <c r="U1111" s="117">
        <v>0.33263888888888887</v>
      </c>
      <c r="V1111" s="155">
        <v>40.5</v>
      </c>
      <c r="W1111" s="117">
        <v>0.67222222222222228</v>
      </c>
      <c r="X1111" s="96">
        <v>81.5</v>
      </c>
      <c r="Y1111" s="96">
        <v>13</v>
      </c>
      <c r="Z1111" s="155">
        <v>40</v>
      </c>
      <c r="AA1111" s="117">
        <v>0.37083333333333335</v>
      </c>
      <c r="AB1111" s="155">
        <v>94.5</v>
      </c>
      <c r="AC1111" s="155">
        <v>16.8</v>
      </c>
      <c r="AD1111" s="96"/>
      <c r="AE1111" s="94">
        <f>Table3.110[[#This Row],[Gas 8h, ml]]-Table3.110[[#This Row],[Gas 0h, ml]]</f>
        <v>41</v>
      </c>
      <c r="AF1111" s="94">
        <f>Table3.110[[#This Row],[Gas 24h, ml]]-Table3.110[[#This Row],[V8 Push back, ml]]</f>
        <v>54.5</v>
      </c>
      <c r="AG1111" s="94">
        <f>Table3.110[[#This Row],[GP 8h, ml]]-(AVERAGE(AE$1087,AE$1088,AE$1121,AE$1122,AE$1157,AE$1158))*$AG$8</f>
        <v>38.861233672775342</v>
      </c>
      <c r="AH1111" s="94">
        <f>Table3.110[[#This Row],[GP 8-24h, ml]]-(AVERAGE(AF$1087,AF$1088,AF$1121,AF$1122,AF$1157,AF$1158))*$AG$8</f>
        <v>51.623728042697877</v>
      </c>
      <c r="AI1111" s="94">
        <f>Table3.110[[#This Row],[Net gas 8-24h, ml]]+Table3.110[[#This Row],[Net gas 8h, ml]]</f>
        <v>90.484961715473219</v>
      </c>
      <c r="AJ1111" s="94">
        <f>Table3.110[[#This Row],[Net gas 8h, ml]]*Table3.110[[#This Row],[CH4 8h %]]%</f>
        <v>5.0519603774607944</v>
      </c>
      <c r="AK1111" s="94">
        <f>Table3.110[[#This Row],[Net gas 8-24h, ml]]*Table3.110[[#This Row],[CH4 24h, %]]%</f>
        <v>8.6727863111732439</v>
      </c>
      <c r="AL1111" s="94">
        <f>Table3.110[[#This Row],[CH4 8-24h, ml]]+Table3.110[[#This Row],[CH4 8h, ml]]</f>
        <v>13.724746688634038</v>
      </c>
      <c r="AM1111" s="94">
        <f>(Table3.110[[#This Row],[Net gas 24h, ml]]/Table3.110[[#This Row],[DM Incubated, mg]])*1000</f>
        <v>193.47427302084282</v>
      </c>
      <c r="AN1111" s="94">
        <f>'3.2 Digest'!X1111</f>
        <v>52.660416455158142</v>
      </c>
      <c r="AO1111" s="94">
        <f>Table3.110[[#This Row],[Digested feed, mg]]/Table3.110[[#This Row],[Net gas 24h, ml]]</f>
        <v>2.7218304342451298</v>
      </c>
      <c r="AP1111" s="94">
        <f>Table3.110[[#This Row],[CH4 8h, ml]]/Table3.110[[#This Row],[Net gas 8h, ml]]%</f>
        <v>13</v>
      </c>
      <c r="AQ1111" s="94">
        <f>Table3.110[[#This Row],[CH4 24h, ml]]/Table3.110[[#This Row],[Net gas 24h, ml]]%</f>
        <v>15.167986401752616</v>
      </c>
      <c r="AR1111" s="94">
        <f>Table3.110[[#This Row],[CH4 24h, ml]]/Table3.110[[#This Row],[DM Incubated, mg]]*1000</f>
        <v>29.346151422691172</v>
      </c>
      <c r="AS1111" s="94">
        <f>Table3.110[[#This Row],[CH4 24h, ml]]/Table3.110[[#This Row],[Digested feed, mg]]*1000</f>
        <v>55.727154090549703</v>
      </c>
      <c r="AT1111" s="94">
        <f>Table3.110[[#This Row],[CH4 24h, ml]]/'3.2 Digest'!AA1111</f>
        <v>-1.0511662705688645</v>
      </c>
      <c r="AU1111" s="94">
        <f>((Table3.110[[#This Row],[CH4 24h, ml]]/28.9)*16.04)/Table3.110[[#This Row],[DM Incubated, mg]]*1000</f>
        <v>16.287621758476348</v>
      </c>
      <c r="AV1111" s="94">
        <f>((Table3.110[[#This Row],[CH4 24h, ml]]/28.9)*16.04)/Table3.110[[#This Row],[Digested feed, mg]]*1000</f>
        <v>30.929534657869109</v>
      </c>
      <c r="AW1111" s="94"/>
      <c r="AX1111" s="94"/>
    </row>
    <row r="1112" spans="2:50" x14ac:dyDescent="0.35">
      <c r="B1112" s="90">
        <f t="shared" si="17"/>
        <v>1102</v>
      </c>
      <c r="C1112" s="140">
        <v>46083</v>
      </c>
      <c r="D1112" s="6" t="s">
        <v>16</v>
      </c>
      <c r="E1112" s="6" t="s">
        <v>417</v>
      </c>
      <c r="F1112" s="242" t="s">
        <v>290</v>
      </c>
      <c r="G1112" s="242" t="s">
        <v>291</v>
      </c>
      <c r="H1112" s="6" t="s">
        <v>292</v>
      </c>
      <c r="I1112" s="133" t="s">
        <v>22</v>
      </c>
      <c r="J1112" s="135" t="s">
        <v>23</v>
      </c>
      <c r="K1112" s="135" t="s">
        <v>215</v>
      </c>
      <c r="L1112" s="6" t="s">
        <v>416</v>
      </c>
      <c r="M1112" s="256">
        <v>30</v>
      </c>
      <c r="N1112" s="256">
        <v>65</v>
      </c>
      <c r="O1112" s="256">
        <v>2</v>
      </c>
      <c r="P1112" s="257">
        <v>2</v>
      </c>
      <c r="Q1112" s="6">
        <v>26</v>
      </c>
      <c r="R1112" s="98">
        <v>0.50019999999999998</v>
      </c>
      <c r="S1112" s="94">
        <f>((Table3.110[[#This Row],[Sample weight, g]]*'2.1. DM'!Q263)/100)*1000</f>
        <v>467.77824087955992</v>
      </c>
      <c r="T1112" s="94">
        <f>'3.2 Digest'!W1112</f>
        <v>243.67824087955995</v>
      </c>
      <c r="U1112" s="153">
        <v>0.33263888888888887</v>
      </c>
      <c r="V1112" s="154">
        <v>41</v>
      </c>
      <c r="W1112" s="153">
        <v>0.67291666666666672</v>
      </c>
      <c r="X1112" s="91">
        <v>83.5</v>
      </c>
      <c r="Y1112" s="91">
        <v>12.8</v>
      </c>
      <c r="Z1112" s="154">
        <v>40</v>
      </c>
      <c r="AA1112" s="153">
        <v>0.37152777777777779</v>
      </c>
      <c r="AB1112" s="154">
        <v>90.5</v>
      </c>
      <c r="AC1112" s="154">
        <v>17.100000000000001</v>
      </c>
      <c r="AD1112" s="91"/>
      <c r="AE1112" s="94">
        <f>Table3.110[[#This Row],[Gas 8h, ml]]-Table3.110[[#This Row],[Gas 0h, ml]]</f>
        <v>42.5</v>
      </c>
      <c r="AF1112" s="94">
        <f>Table3.110[[#This Row],[Gas 24h, ml]]-Table3.110[[#This Row],[V8 Push back, ml]]</f>
        <v>50.5</v>
      </c>
      <c r="AG1112" s="94">
        <f>Table3.110[[#This Row],[GP 8h, ml]]-(AVERAGE(AE$1087,AE$1088,AE$1121,AE$1122,AE$1157,AE$1158))*$AG$8</f>
        <v>40.361233672775342</v>
      </c>
      <c r="AH1112" s="94">
        <f>Table3.110[[#This Row],[GP 8-24h, ml]]-(AVERAGE(AF$1087,AF$1088,AF$1121,AF$1122,AF$1157,AF$1158))*$AG$8</f>
        <v>47.623728042697877</v>
      </c>
      <c r="AI1112" s="94">
        <f>Table3.110[[#This Row],[Net gas 8-24h, ml]]+Table3.110[[#This Row],[Net gas 8h, ml]]</f>
        <v>87.984961715473219</v>
      </c>
      <c r="AJ1112" s="94">
        <f>Table3.110[[#This Row],[Net gas 8h, ml]]*Table3.110[[#This Row],[CH4 8h %]]%</f>
        <v>5.1662379101152442</v>
      </c>
      <c r="AK1112" s="94">
        <f>Table3.110[[#This Row],[Net gas 8-24h, ml]]*Table3.110[[#This Row],[CH4 24h, %]]%</f>
        <v>8.143657495301337</v>
      </c>
      <c r="AL1112" s="94">
        <f>Table3.110[[#This Row],[CH4 8-24h, ml]]+Table3.110[[#This Row],[CH4 8h, ml]]</f>
        <v>13.309895405416581</v>
      </c>
      <c r="AM1112" s="94">
        <f>(Table3.110[[#This Row],[Net gas 24h, ml]]/Table3.110[[#This Row],[DM Incubated, mg]])*1000</f>
        <v>188.09118087672431</v>
      </c>
      <c r="AN1112" s="94">
        <f>'3.2 Digest'!X1112</f>
        <v>52.092684007997804</v>
      </c>
      <c r="AO1112" s="94">
        <f>Table3.110[[#This Row],[Digested feed, mg]]/Table3.110[[#This Row],[Net gas 24h, ml]]</f>
        <v>2.7695442053787493</v>
      </c>
      <c r="AP1112" s="94">
        <f>Table3.110[[#This Row],[CH4 8h, ml]]/Table3.110[[#This Row],[Net gas 8h, ml]]%</f>
        <v>12.8</v>
      </c>
      <c r="AQ1112" s="94">
        <f>Table3.110[[#This Row],[CH4 24h, ml]]/Table3.110[[#This Row],[Net gas 24h, ml]]%</f>
        <v>15.12746626913162</v>
      </c>
      <c r="AR1112" s="94">
        <f>Table3.110[[#This Row],[CH4 24h, ml]]/Table3.110[[#This Row],[DM Incubated, mg]]*1000</f>
        <v>28.453429942337813</v>
      </c>
      <c r="AS1112" s="94">
        <f>Table3.110[[#This Row],[CH4 24h, ml]]/Table3.110[[#This Row],[Digested feed, mg]]*1000</f>
        <v>54.620779259462523</v>
      </c>
      <c r="AT1112" s="94">
        <f>Table3.110[[#This Row],[CH4 24h, ml]]/'3.2 Digest'!AA1112</f>
        <v>-0.92349363758340852</v>
      </c>
      <c r="AU1112" s="94">
        <f>((Table3.110[[#This Row],[CH4 24h, ml]]/28.9)*16.04)/Table3.110[[#This Row],[DM Incubated, mg]]*1000</f>
        <v>15.79214589187192</v>
      </c>
      <c r="AV1112" s="94">
        <f>((Table3.110[[#This Row],[CH4 24h, ml]]/28.9)*16.04)/Table3.110[[#This Row],[Digested feed, mg]]*1000</f>
        <v>30.315477485182658</v>
      </c>
      <c r="AW1112" s="94"/>
      <c r="AX1112" s="94"/>
    </row>
    <row r="1113" spans="2:50" x14ac:dyDescent="0.35">
      <c r="B1113" s="90">
        <f t="shared" si="17"/>
        <v>1103</v>
      </c>
      <c r="C1113" s="140">
        <v>46083</v>
      </c>
      <c r="D1113" s="6" t="s">
        <v>16</v>
      </c>
      <c r="E1113" s="6" t="s">
        <v>419</v>
      </c>
      <c r="F1113" s="242" t="s">
        <v>264</v>
      </c>
      <c r="G1113" s="242" t="s">
        <v>329</v>
      </c>
      <c r="H1113" s="6" t="s">
        <v>330</v>
      </c>
      <c r="I1113" s="133" t="s">
        <v>22</v>
      </c>
      <c r="J1113" s="135" t="s">
        <v>23</v>
      </c>
      <c r="K1113" s="135" t="s">
        <v>215</v>
      </c>
      <c r="L1113" s="6" t="s">
        <v>418</v>
      </c>
      <c r="M1113" s="256">
        <v>30</v>
      </c>
      <c r="N1113" s="256">
        <v>65</v>
      </c>
      <c r="O1113" s="256">
        <v>2</v>
      </c>
      <c r="P1113" s="257">
        <v>1</v>
      </c>
      <c r="Q1113" s="129">
        <v>27</v>
      </c>
      <c r="R1113" s="98">
        <v>0.50019999999999998</v>
      </c>
      <c r="S1113" s="94">
        <f>((Table3.110[[#This Row],[Sample weight, g]]*'2.1. DM'!Q265)/100)*1000</f>
        <v>471.84716056788642</v>
      </c>
      <c r="T1113" s="94">
        <f>'3.2 Digest'!W1113</f>
        <v>200.44716056788633</v>
      </c>
      <c r="U1113" s="153">
        <v>0.33402777777777776</v>
      </c>
      <c r="V1113" s="154">
        <v>41</v>
      </c>
      <c r="W1113" s="153">
        <v>0.67361111111111116</v>
      </c>
      <c r="X1113" s="91">
        <v>84</v>
      </c>
      <c r="Y1113" s="91">
        <v>14.9</v>
      </c>
      <c r="Z1113" s="154">
        <v>41.5</v>
      </c>
      <c r="AA1113" s="153">
        <v>0.37222222222222223</v>
      </c>
      <c r="AB1113" s="154">
        <v>88</v>
      </c>
      <c r="AC1113" s="154">
        <v>19.5</v>
      </c>
      <c r="AD1113" s="91" t="s">
        <v>598</v>
      </c>
      <c r="AE1113" s="94">
        <f>Table3.110[[#This Row],[Gas 8h, ml]]-Table3.110[[#This Row],[Gas 0h, ml]]</f>
        <v>43</v>
      </c>
      <c r="AF1113" s="94">
        <f>Table3.110[[#This Row],[Gas 24h, ml]]-Table3.110[[#This Row],[V8 Push back, ml]]</f>
        <v>46.5</v>
      </c>
      <c r="AG1113" s="94">
        <f>Table3.110[[#This Row],[GP 8h, ml]]-(AVERAGE(AE$1087,AE$1088,AE$1121,AE$1122,AE$1157,AE$1158))*$AG$8</f>
        <v>40.861233672775342</v>
      </c>
      <c r="AH1113" s="94">
        <f>Table3.110[[#This Row],[GP 8-24h, ml]]-(AVERAGE(AF$1087,AF$1088,AF$1121,AF$1122,AF$1157,AF$1158))*$AG$8</f>
        <v>43.623728042697877</v>
      </c>
      <c r="AI1113" s="94">
        <f>Table3.110[[#This Row],[Net gas 8-24h, ml]]+Table3.110[[#This Row],[Net gas 8h, ml]]</f>
        <v>84.484961715473219</v>
      </c>
      <c r="AJ1113" s="94">
        <f>Table3.110[[#This Row],[Net gas 8h, ml]]*Table3.110[[#This Row],[CH4 8h %]]%</f>
        <v>6.0883238172435252</v>
      </c>
      <c r="AK1113" s="94">
        <f>Table3.110[[#This Row],[Net gas 8-24h, ml]]*Table3.110[[#This Row],[CH4 24h, %]]%</f>
        <v>8.5066269683260867</v>
      </c>
      <c r="AL1113" s="94">
        <f>Table3.110[[#This Row],[CH4 8-24h, ml]]+Table3.110[[#This Row],[CH4 8h, ml]]</f>
        <v>14.594950785569612</v>
      </c>
      <c r="AM1113" s="94">
        <f>(Table3.110[[#This Row],[Net gas 24h, ml]]/Table3.110[[#This Row],[DM Incubated, mg]])*1000</f>
        <v>179.05154205822129</v>
      </c>
      <c r="AN1113" s="94">
        <f>'3.2 Digest'!X1113</f>
        <v>42.481374758436687</v>
      </c>
      <c r="AO1113" s="94">
        <f>Table3.110[[#This Row],[Digested feed, mg]]/Table3.110[[#This Row],[Net gas 24h, ml]]</f>
        <v>2.3725779890029224</v>
      </c>
      <c r="AP1113" s="94">
        <f>Table3.110[[#This Row],[CH4 8h, ml]]/Table3.110[[#This Row],[Net gas 8h, ml]]%</f>
        <v>14.899999999999999</v>
      </c>
      <c r="AQ1113" s="94">
        <f>Table3.110[[#This Row],[CH4 24h, ml]]/Table3.110[[#This Row],[Net gas 24h, ml]]%</f>
        <v>17.275205538616682</v>
      </c>
      <c r="AR1113" s="94">
        <f>Table3.110[[#This Row],[CH4 24h, ml]]/Table3.110[[#This Row],[DM Incubated, mg]]*1000</f>
        <v>30.931521910620422</v>
      </c>
      <c r="AS1113" s="94">
        <f>Table3.110[[#This Row],[CH4 24h, ml]]/Table3.110[[#This Row],[Digested feed, mg]]*1000</f>
        <v>72.811960739282583</v>
      </c>
      <c r="AT1113" s="94">
        <f>Table3.110[[#This Row],[CH4 24h, ml]]/'3.2 Digest'!AA1113</f>
        <v>15.603825542885305</v>
      </c>
      <c r="AU1113" s="94">
        <f>((Table3.110[[#This Row],[CH4 24h, ml]]/28.9)*16.04)/Table3.110[[#This Row],[DM Incubated, mg]]*1000</f>
        <v>17.167529807832235</v>
      </c>
      <c r="AV1113" s="94">
        <f>((Table3.110[[#This Row],[CH4 24h, ml]]/28.9)*16.04)/Table3.110[[#This Row],[Digested feed, mg]]*1000</f>
        <v>40.411897932805971</v>
      </c>
      <c r="AW1113" s="94"/>
      <c r="AX1113" s="94"/>
    </row>
    <row r="1114" spans="2:50" x14ac:dyDescent="0.35">
      <c r="B1114" s="90">
        <f t="shared" si="17"/>
        <v>1104</v>
      </c>
      <c r="C1114" s="140">
        <v>46083</v>
      </c>
      <c r="D1114" s="6" t="s">
        <v>16</v>
      </c>
      <c r="E1114" s="6" t="s">
        <v>419</v>
      </c>
      <c r="F1114" s="242" t="s">
        <v>264</v>
      </c>
      <c r="G1114" s="242" t="s">
        <v>329</v>
      </c>
      <c r="H1114" s="6" t="s">
        <v>330</v>
      </c>
      <c r="I1114" s="133" t="s">
        <v>22</v>
      </c>
      <c r="J1114" s="135" t="s">
        <v>23</v>
      </c>
      <c r="K1114" s="135" t="s">
        <v>215</v>
      </c>
      <c r="L1114" s="6" t="s">
        <v>418</v>
      </c>
      <c r="M1114" s="256">
        <v>30</v>
      </c>
      <c r="N1114" s="256">
        <v>65</v>
      </c>
      <c r="O1114" s="256">
        <v>2</v>
      </c>
      <c r="P1114" s="257">
        <v>2</v>
      </c>
      <c r="Q1114" s="6">
        <v>28</v>
      </c>
      <c r="R1114" s="98">
        <v>0.50019999999999998</v>
      </c>
      <c r="S1114" s="94">
        <f>((Table3.110[[#This Row],[Sample weight, g]]*'2.1. DM'!Q265)/100)*1000</f>
        <v>471.84716056788642</v>
      </c>
      <c r="T1114" s="94">
        <f>'3.2 Digest'!W1114</f>
        <v>215.84716056788642</v>
      </c>
      <c r="U1114" s="117">
        <v>0.33333333333333331</v>
      </c>
      <c r="V1114" s="155">
        <v>41</v>
      </c>
      <c r="W1114" s="117">
        <v>0.6743055555555556</v>
      </c>
      <c r="X1114" s="96">
        <v>83</v>
      </c>
      <c r="Y1114" s="96">
        <v>14</v>
      </c>
      <c r="Z1114" s="155">
        <v>40.5</v>
      </c>
      <c r="AA1114" s="117">
        <v>0.37222222222222223</v>
      </c>
      <c r="AB1114" s="155">
        <v>80</v>
      </c>
      <c r="AC1114" s="155">
        <v>19.100000000000001</v>
      </c>
      <c r="AD1114" s="96"/>
      <c r="AE1114" s="94">
        <f>Table3.110[[#This Row],[Gas 8h, ml]]-Table3.110[[#This Row],[Gas 0h, ml]]</f>
        <v>42</v>
      </c>
      <c r="AF1114" s="94">
        <f>Table3.110[[#This Row],[Gas 24h, ml]]-Table3.110[[#This Row],[V8 Push back, ml]]</f>
        <v>39.5</v>
      </c>
      <c r="AG1114" s="94">
        <f>Table3.110[[#This Row],[GP 8h, ml]]-(AVERAGE(AE$1087,AE$1088,AE$1121,AE$1122,AE$1157,AE$1158))*$AG$8</f>
        <v>39.861233672775342</v>
      </c>
      <c r="AH1114" s="94">
        <f>Table3.110[[#This Row],[GP 8-24h, ml]]-(AVERAGE(AF$1087,AF$1088,AF$1121,AF$1122,AF$1157,AF$1158))*$AG$8</f>
        <v>36.623728042697877</v>
      </c>
      <c r="AI1114" s="94">
        <f>Table3.110[[#This Row],[Net gas 8-24h, ml]]+Table3.110[[#This Row],[Net gas 8h, ml]]</f>
        <v>76.484961715473219</v>
      </c>
      <c r="AJ1114" s="94">
        <f>Table3.110[[#This Row],[Net gas 8h, ml]]*Table3.110[[#This Row],[CH4 8h %]]%</f>
        <v>5.5805727141885484</v>
      </c>
      <c r="AK1114" s="94">
        <f>Table3.110[[#This Row],[Net gas 8-24h, ml]]*Table3.110[[#This Row],[CH4 24h, %]]%</f>
        <v>6.9951320561552945</v>
      </c>
      <c r="AL1114" s="94">
        <f>Table3.110[[#This Row],[CH4 8-24h, ml]]+Table3.110[[#This Row],[CH4 8h, ml]]</f>
        <v>12.575704770343844</v>
      </c>
      <c r="AM1114" s="94">
        <f>(Table3.110[[#This Row],[Net gas 24h, ml]]/Table3.110[[#This Row],[DM Incubated, mg]])*1000</f>
        <v>162.09689939305898</v>
      </c>
      <c r="AN1114" s="94">
        <f>'3.2 Digest'!X1114</f>
        <v>45.745143471480461</v>
      </c>
      <c r="AO1114" s="94">
        <f>Table3.110[[#This Row],[Digested feed, mg]]/Table3.110[[#This Row],[Net gas 24h, ml]]</f>
        <v>2.8220862732578142</v>
      </c>
      <c r="AP1114" s="94">
        <f>Table3.110[[#This Row],[CH4 8h, ml]]/Table3.110[[#This Row],[Net gas 8h, ml]]%</f>
        <v>14.000000000000002</v>
      </c>
      <c r="AQ1114" s="94">
        <f>Table3.110[[#This Row],[CH4 24h, ml]]/Table3.110[[#This Row],[Net gas 24h, ml]]%</f>
        <v>16.442061927318356</v>
      </c>
      <c r="AR1114" s="94">
        <f>Table3.110[[#This Row],[CH4 24h, ml]]/Table3.110[[#This Row],[DM Incubated, mg]]*1000</f>
        <v>26.652072580469689</v>
      </c>
      <c r="AS1114" s="94">
        <f>Table3.110[[#This Row],[CH4 24h, ml]]/Table3.110[[#This Row],[Digested feed, mg]]*1000</f>
        <v>58.262081082084187</v>
      </c>
      <c r="AT1114" s="94">
        <f>Table3.110[[#This Row],[CH4 24h, ml]]/'3.2 Digest'!AA1114</f>
        <v>1.9180363557836282</v>
      </c>
      <c r="AU1114" s="94">
        <f>((Table3.110[[#This Row],[CH4 24h, ml]]/28.9)*16.04)/Table3.110[[#This Row],[DM Incubated, mg]]*1000</f>
        <v>14.79236139068283</v>
      </c>
      <c r="AV1114" s="94">
        <f>((Table3.110[[#This Row],[CH4 24h, ml]]/28.9)*16.04)/Table3.110[[#This Row],[Digested feed, mg]]*1000</f>
        <v>32.336462995039113</v>
      </c>
      <c r="AW1114" s="94"/>
      <c r="AX1114" s="94"/>
    </row>
    <row r="1115" spans="2:50" x14ac:dyDescent="0.35">
      <c r="B1115" s="90">
        <f t="shared" si="17"/>
        <v>1105</v>
      </c>
      <c r="C1115" s="140">
        <v>46083</v>
      </c>
      <c r="D1115" s="6" t="s">
        <v>16</v>
      </c>
      <c r="E1115" s="6" t="s">
        <v>421</v>
      </c>
      <c r="F1115" s="242" t="s">
        <v>264</v>
      </c>
      <c r="G1115" s="242" t="s">
        <v>265</v>
      </c>
      <c r="H1115" s="6" t="s">
        <v>266</v>
      </c>
      <c r="I1115" s="133" t="s">
        <v>22</v>
      </c>
      <c r="J1115" s="135" t="s">
        <v>23</v>
      </c>
      <c r="K1115" s="135" t="s">
        <v>215</v>
      </c>
      <c r="L1115" s="6" t="s">
        <v>420</v>
      </c>
      <c r="M1115" s="256">
        <v>30</v>
      </c>
      <c r="N1115" s="256">
        <v>65</v>
      </c>
      <c r="O1115" s="256">
        <v>2</v>
      </c>
      <c r="P1115" s="257">
        <v>1</v>
      </c>
      <c r="Q1115" s="129">
        <v>29</v>
      </c>
      <c r="R1115" s="98">
        <v>0.50019999999999998</v>
      </c>
      <c r="S1115" s="94">
        <f>((Table3.110[[#This Row],[Sample weight, g]]*'2.1. DM'!Q267)/100)*1000</f>
        <v>480.42500000000013</v>
      </c>
      <c r="T1115" s="94">
        <f>'3.2 Digest'!W1115</f>
        <v>193.42500000000007</v>
      </c>
      <c r="U1115" s="117">
        <v>0.33333333333333331</v>
      </c>
      <c r="V1115" s="155">
        <v>41</v>
      </c>
      <c r="W1115" s="117">
        <v>0.67500000000000004</v>
      </c>
      <c r="X1115" s="96">
        <v>82</v>
      </c>
      <c r="Y1115" s="96">
        <v>14.1</v>
      </c>
      <c r="Z1115" s="155">
        <v>40.5</v>
      </c>
      <c r="AA1115" s="117">
        <v>0.37291666666666667</v>
      </c>
      <c r="AB1115" s="155">
        <v>82</v>
      </c>
      <c r="AC1115" s="155">
        <v>18.600000000000001</v>
      </c>
      <c r="AD1115" s="96"/>
      <c r="AE1115" s="94">
        <f>Table3.110[[#This Row],[Gas 8h, ml]]-Table3.110[[#This Row],[Gas 0h, ml]]</f>
        <v>41</v>
      </c>
      <c r="AF1115" s="94">
        <f>Table3.110[[#This Row],[Gas 24h, ml]]-Table3.110[[#This Row],[V8 Push back, ml]]</f>
        <v>41.5</v>
      </c>
      <c r="AG1115" s="94">
        <f>Table3.110[[#This Row],[GP 8h, ml]]-(AVERAGE(AE$1087,AE$1088,AE$1121,AE$1122,AE$1157,AE$1158))*$AG$8</f>
        <v>38.861233672775342</v>
      </c>
      <c r="AH1115" s="94">
        <f>Table3.110[[#This Row],[GP 8-24h, ml]]-(AVERAGE(AF$1087,AF$1088,AF$1121,AF$1122,AF$1157,AF$1158))*$AG$8</f>
        <v>38.623728042697877</v>
      </c>
      <c r="AI1115" s="94">
        <f>Table3.110[[#This Row],[Net gas 8-24h, ml]]+Table3.110[[#This Row],[Net gas 8h, ml]]</f>
        <v>77.484961715473219</v>
      </c>
      <c r="AJ1115" s="94">
        <f>Table3.110[[#This Row],[Net gas 8h, ml]]*Table3.110[[#This Row],[CH4 8h %]]%</f>
        <v>5.479433947861323</v>
      </c>
      <c r="AK1115" s="94">
        <f>Table3.110[[#This Row],[Net gas 8-24h, ml]]*Table3.110[[#This Row],[CH4 24h, %]]%</f>
        <v>7.1840134159418065</v>
      </c>
      <c r="AL1115" s="94">
        <f>Table3.110[[#This Row],[CH4 8-24h, ml]]+Table3.110[[#This Row],[CH4 8h, ml]]</f>
        <v>12.66344736380313</v>
      </c>
      <c r="AM1115" s="94">
        <f>(Table3.110[[#This Row],[Net gas 24h, ml]]/Table3.110[[#This Row],[DM Incubated, mg]])*1000</f>
        <v>161.28419985528063</v>
      </c>
      <c r="AN1115" s="94">
        <f>'3.2 Digest'!X1115</f>
        <v>40.26122703855961</v>
      </c>
      <c r="AO1115" s="94">
        <f>Table3.110[[#This Row],[Digested feed, mg]]/Table3.110[[#This Row],[Net gas 24h, ml]]</f>
        <v>2.4962908378307223</v>
      </c>
      <c r="AP1115" s="94">
        <f>Table3.110[[#This Row],[CH4 8h, ml]]/Table3.110[[#This Row],[Net gas 8h, ml]]%</f>
        <v>14.1</v>
      </c>
      <c r="AQ1115" s="94">
        <f>Table3.110[[#This Row],[CH4 24h, ml]]/Table3.110[[#This Row],[Net gas 24h, ml]]%</f>
        <v>16.343103337010909</v>
      </c>
      <c r="AR1115" s="94">
        <f>Table3.110[[#This Row],[CH4 24h, ml]]/Table3.110[[#This Row],[DM Incubated, mg]]*1000</f>
        <v>26.358843448619716</v>
      </c>
      <c r="AS1115" s="94">
        <f>Table3.110[[#This Row],[CH4 24h, ml]]/Table3.110[[#This Row],[Digested feed, mg]]*1000</f>
        <v>65.469548216637591</v>
      </c>
      <c r="AT1115" s="94">
        <f>Table3.110[[#This Row],[CH4 24h, ml]]/'3.2 Digest'!AA1115</f>
        <v>4.4541246181573868</v>
      </c>
      <c r="AU1115" s="94">
        <f>((Table3.110[[#This Row],[CH4 24h, ml]]/28.9)*16.04)/Table3.110[[#This Row],[DM Incubated, mg]]*1000</f>
        <v>14.629614149337723</v>
      </c>
      <c r="AV1115" s="94">
        <f>((Table3.110[[#This Row],[CH4 24h, ml]]/28.9)*16.04)/Table3.110[[#This Row],[Digested feed, mg]]*1000</f>
        <v>36.33673195137947</v>
      </c>
      <c r="AW1115" s="94"/>
      <c r="AX1115" s="94"/>
    </row>
    <row r="1116" spans="2:50" x14ac:dyDescent="0.35">
      <c r="B1116" s="90">
        <f t="shared" si="17"/>
        <v>1106</v>
      </c>
      <c r="C1116" s="140">
        <v>46083</v>
      </c>
      <c r="D1116" s="6" t="s">
        <v>16</v>
      </c>
      <c r="E1116" s="6" t="s">
        <v>421</v>
      </c>
      <c r="F1116" s="242" t="s">
        <v>264</v>
      </c>
      <c r="G1116" s="242" t="s">
        <v>265</v>
      </c>
      <c r="H1116" s="6" t="s">
        <v>266</v>
      </c>
      <c r="I1116" s="133" t="s">
        <v>22</v>
      </c>
      <c r="J1116" s="135" t="s">
        <v>23</v>
      </c>
      <c r="K1116" s="135" t="s">
        <v>215</v>
      </c>
      <c r="L1116" s="6" t="s">
        <v>420</v>
      </c>
      <c r="M1116" s="256">
        <v>30</v>
      </c>
      <c r="N1116" s="256">
        <v>65</v>
      </c>
      <c r="O1116" s="256">
        <v>2</v>
      </c>
      <c r="P1116" s="257">
        <v>2</v>
      </c>
      <c r="Q1116" s="6">
        <v>30</v>
      </c>
      <c r="R1116" s="98">
        <v>0.50009999999999999</v>
      </c>
      <c r="S1116" s="94">
        <f>((Table3.110[[#This Row],[Sample weight, g]]*'2.1. DM'!Q267)/100)*1000</f>
        <v>480.32895341863269</v>
      </c>
      <c r="T1116" s="94">
        <f>'3.2 Digest'!W1116</f>
        <v>195.22895341863267</v>
      </c>
      <c r="U1116" s="153">
        <v>0.33402777777777776</v>
      </c>
      <c r="V1116" s="154">
        <v>40.5</v>
      </c>
      <c r="W1116" s="153">
        <v>0.67569444444444449</v>
      </c>
      <c r="X1116" s="91">
        <v>81</v>
      </c>
      <c r="Y1116" s="91">
        <v>14.1</v>
      </c>
      <c r="Z1116" s="154">
        <v>40</v>
      </c>
      <c r="AA1116" s="153">
        <v>0.37291666666666667</v>
      </c>
      <c r="AB1116" s="154">
        <v>82</v>
      </c>
      <c r="AC1116" s="154">
        <v>18.600000000000001</v>
      </c>
      <c r="AD1116" s="91" t="s">
        <v>551</v>
      </c>
      <c r="AE1116" s="94">
        <f>Table3.110[[#This Row],[Gas 8h, ml]]-Table3.110[[#This Row],[Gas 0h, ml]]</f>
        <v>40.5</v>
      </c>
      <c r="AF1116" s="94">
        <f>Table3.110[[#This Row],[Gas 24h, ml]]-Table3.110[[#This Row],[V8 Push back, ml]]</f>
        <v>42</v>
      </c>
      <c r="AG1116" s="94">
        <f>Table3.110[[#This Row],[GP 8h, ml]]-(AVERAGE(AE$1087,AE$1088,AE$1121,AE$1122,AE$1157,AE$1158))*$AG$8</f>
        <v>38.361233672775342</v>
      </c>
      <c r="AH1116" s="94">
        <f>Table3.110[[#This Row],[GP 8-24h, ml]]-(AVERAGE(AF$1087,AF$1088,AF$1121,AF$1122,AF$1157,AF$1158))*$AG$8</f>
        <v>39.123728042697877</v>
      </c>
      <c r="AI1116" s="94">
        <f>Table3.110[[#This Row],[Net gas 8-24h, ml]]+Table3.110[[#This Row],[Net gas 8h, ml]]</f>
        <v>77.484961715473219</v>
      </c>
      <c r="AJ1116" s="94">
        <f>Table3.110[[#This Row],[Net gas 8h, ml]]*Table3.110[[#This Row],[CH4 8h %]]%</f>
        <v>5.408933947861323</v>
      </c>
      <c r="AK1116" s="94">
        <f>Table3.110[[#This Row],[Net gas 8-24h, ml]]*Table3.110[[#This Row],[CH4 24h, %]]%</f>
        <v>7.2770134159418065</v>
      </c>
      <c r="AL1116" s="94">
        <f>Table3.110[[#This Row],[CH4 8-24h, ml]]+Table3.110[[#This Row],[CH4 8h, ml]]</f>
        <v>12.68594736380313</v>
      </c>
      <c r="AM1116" s="94">
        <f>(Table3.110[[#This Row],[Net gas 24h, ml]]/Table3.110[[#This Row],[DM Incubated, mg]])*1000</f>
        <v>161.31645024517371</v>
      </c>
      <c r="AN1116" s="94">
        <f>'3.2 Digest'!X1116</f>
        <v>40.644843919804281</v>
      </c>
      <c r="AO1116" s="94">
        <f>Table3.110[[#This Row],[Digested feed, mg]]/Table3.110[[#This Row],[Net gas 24h, ml]]</f>
        <v>2.519572173701504</v>
      </c>
      <c r="AP1116" s="94">
        <f>Table3.110[[#This Row],[CH4 8h, ml]]/Table3.110[[#This Row],[Net gas 8h, ml]]%</f>
        <v>14.1</v>
      </c>
      <c r="AQ1116" s="94">
        <f>Table3.110[[#This Row],[CH4 24h, ml]]/Table3.110[[#This Row],[Net gas 24h, ml]]%</f>
        <v>16.372141229657256</v>
      </c>
      <c r="AR1116" s="94">
        <f>Table3.110[[#This Row],[CH4 24h, ml]]/Table3.110[[#This Row],[DM Incubated, mg]]*1000</f>
        <v>26.410957060809615</v>
      </c>
      <c r="AS1116" s="94">
        <f>Table3.110[[#This Row],[CH4 24h, ml]]/Table3.110[[#This Row],[Digested feed, mg]]*1000</f>
        <v>64.979846183985032</v>
      </c>
      <c r="AT1116" s="94">
        <f>Table3.110[[#This Row],[CH4 24h, ml]]/'3.2 Digest'!AA1116</f>
        <v>3.6590734471484958</v>
      </c>
      <c r="AU1116" s="94">
        <f>((Table3.110[[#This Row],[CH4 24h, ml]]/28.9)*16.04)/Table3.110[[#This Row],[DM Incubated, mg]]*1000</f>
        <v>14.658538105722707</v>
      </c>
      <c r="AV1116" s="94">
        <f>((Table3.110[[#This Row],[CH4 24h, ml]]/28.9)*16.04)/Table3.110[[#This Row],[Digested feed, mg]]*1000</f>
        <v>36.0649388509038</v>
      </c>
      <c r="AW1116" s="94"/>
      <c r="AX1116" s="94"/>
    </row>
    <row r="1117" spans="2:50" x14ac:dyDescent="0.35">
      <c r="B1117" s="90">
        <f t="shared" si="17"/>
        <v>1107</v>
      </c>
      <c r="C1117" s="140">
        <v>46083</v>
      </c>
      <c r="D1117" s="6" t="s">
        <v>16</v>
      </c>
      <c r="E1117" s="6" t="s">
        <v>423</v>
      </c>
      <c r="F1117" s="242" t="s">
        <v>212</v>
      </c>
      <c r="G1117" s="242" t="s">
        <v>424</v>
      </c>
      <c r="H1117" s="6" t="s">
        <v>425</v>
      </c>
      <c r="I1117" s="133" t="s">
        <v>22</v>
      </c>
      <c r="J1117" s="135" t="s">
        <v>23</v>
      </c>
      <c r="K1117" s="135" t="s">
        <v>215</v>
      </c>
      <c r="L1117" s="6" t="s">
        <v>422</v>
      </c>
      <c r="M1117" s="256">
        <v>30</v>
      </c>
      <c r="N1117" s="256">
        <v>65</v>
      </c>
      <c r="O1117" s="256">
        <v>2</v>
      </c>
      <c r="P1117" s="257">
        <v>1</v>
      </c>
      <c r="Q1117" s="129">
        <v>31</v>
      </c>
      <c r="R1117" s="98">
        <v>0.50019999999999998</v>
      </c>
      <c r="S1117" s="94">
        <f>((Table3.110[[#This Row],[Sample weight, g]]*'2.1. DM'!Q269)/100)*1000</f>
        <v>466.82331233903153</v>
      </c>
      <c r="T1117" s="94">
        <f>'3.2 Digest'!W1117</f>
        <v>189.02331233903146</v>
      </c>
      <c r="U1117" s="153">
        <v>0.3347222222222222</v>
      </c>
      <c r="V1117" s="154">
        <v>40.5</v>
      </c>
      <c r="W1117" s="153">
        <v>0.67638888888888893</v>
      </c>
      <c r="X1117" s="91">
        <v>78</v>
      </c>
      <c r="Y1117" s="91">
        <v>12.4</v>
      </c>
      <c r="Z1117" s="154">
        <v>41</v>
      </c>
      <c r="AA1117" s="153">
        <v>0.37361111111111112</v>
      </c>
      <c r="AB1117" s="154">
        <v>76.5</v>
      </c>
      <c r="AC1117" s="154">
        <v>15.9</v>
      </c>
      <c r="AD1117" s="91"/>
      <c r="AE1117" s="94">
        <f>Table3.110[[#This Row],[Gas 8h, ml]]-Table3.110[[#This Row],[Gas 0h, ml]]</f>
        <v>37.5</v>
      </c>
      <c r="AF1117" s="94">
        <f>Table3.110[[#This Row],[Gas 24h, ml]]-Table3.110[[#This Row],[V8 Push back, ml]]</f>
        <v>35.5</v>
      </c>
      <c r="AG1117" s="94">
        <f>Table3.110[[#This Row],[GP 8h, ml]]-(AVERAGE(AE$1087,AE$1088,AE$1121,AE$1122,AE$1157,AE$1158))*$AG$8</f>
        <v>35.361233672775342</v>
      </c>
      <c r="AH1117" s="94">
        <f>Table3.110[[#This Row],[GP 8-24h, ml]]-(AVERAGE(AF$1087,AF$1088,AF$1121,AF$1122,AF$1157,AF$1158))*$AG$8</f>
        <v>32.623728042697877</v>
      </c>
      <c r="AI1117" s="94">
        <f>Table3.110[[#This Row],[Net gas 8-24h, ml]]+Table3.110[[#This Row],[Net gas 8h, ml]]</f>
        <v>67.984961715473219</v>
      </c>
      <c r="AJ1117" s="94">
        <f>Table3.110[[#This Row],[Net gas 8h, ml]]*Table3.110[[#This Row],[CH4 8h %]]%</f>
        <v>4.3847929754241424</v>
      </c>
      <c r="AK1117" s="94">
        <f>Table3.110[[#This Row],[Net gas 8-24h, ml]]*Table3.110[[#This Row],[CH4 24h, %]]%</f>
        <v>5.1871727587889627</v>
      </c>
      <c r="AL1117" s="94">
        <f>Table3.110[[#This Row],[CH4 8-24h, ml]]+Table3.110[[#This Row],[CH4 8h, ml]]</f>
        <v>9.571965734213105</v>
      </c>
      <c r="AM1117" s="94">
        <f>(Table3.110[[#This Row],[Net gas 24h, ml]]/Table3.110[[#This Row],[DM Incubated, mg]])*1000</f>
        <v>145.63317623285056</v>
      </c>
      <c r="AN1117" s="94">
        <f>'3.2 Digest'!X1117</f>
        <v>40.491403780142157</v>
      </c>
      <c r="AO1117" s="94">
        <f>Table3.110[[#This Row],[Digested feed, mg]]/Table3.110[[#This Row],[Net gas 24h, ml]]</f>
        <v>2.7803694753866455</v>
      </c>
      <c r="AP1117" s="94">
        <f>Table3.110[[#This Row],[CH4 8h, ml]]/Table3.110[[#This Row],[Net gas 8h, ml]]%</f>
        <v>12.399999999999999</v>
      </c>
      <c r="AQ1117" s="94">
        <f>Table3.110[[#This Row],[CH4 24h, ml]]/Table3.110[[#This Row],[Net gas 24h, ml]]%</f>
        <v>14.079533903796476</v>
      </c>
      <c r="AR1117" s="94">
        <f>Table3.110[[#This Row],[CH4 24h, ml]]/Table3.110[[#This Row],[DM Incubated, mg]]*1000</f>
        <v>20.504472422879861</v>
      </c>
      <c r="AS1117" s="94">
        <f>Table3.110[[#This Row],[CH4 24h, ml]]/Table3.110[[#This Row],[Digested feed, mg]]*1000</f>
        <v>50.639075232397076</v>
      </c>
      <c r="AT1117" s="94">
        <f>Table3.110[[#This Row],[CH4 24h, ml]]/'3.2 Digest'!AA1117</f>
        <v>-1.3772125695251762</v>
      </c>
      <c r="AU1117" s="94">
        <f>((Table3.110[[#This Row],[CH4 24h, ml]]/28.9)*16.04)/Table3.110[[#This Row],[DM Incubated, mg]]*1000</f>
        <v>11.380336943356161</v>
      </c>
      <c r="AV1117" s="94">
        <f>((Table3.110[[#This Row],[CH4 24h, ml]]/28.9)*16.04)/Table3.110[[#This Row],[Digested feed, mg]]*1000</f>
        <v>28.105562862548414</v>
      </c>
      <c r="AW1117" s="94"/>
      <c r="AX1117" s="94"/>
    </row>
    <row r="1118" spans="2:50" x14ac:dyDescent="0.35">
      <c r="B1118" s="90">
        <f t="shared" si="17"/>
        <v>1108</v>
      </c>
      <c r="C1118" s="140">
        <v>46083</v>
      </c>
      <c r="D1118" s="6" t="s">
        <v>16</v>
      </c>
      <c r="E1118" s="6" t="s">
        <v>423</v>
      </c>
      <c r="F1118" s="242" t="s">
        <v>212</v>
      </c>
      <c r="G1118" s="242" t="s">
        <v>424</v>
      </c>
      <c r="H1118" s="6" t="s">
        <v>425</v>
      </c>
      <c r="I1118" s="133" t="s">
        <v>22</v>
      </c>
      <c r="J1118" s="135" t="s">
        <v>23</v>
      </c>
      <c r="K1118" s="135" t="s">
        <v>215</v>
      </c>
      <c r="L1118" s="6" t="s">
        <v>422</v>
      </c>
      <c r="M1118" s="256">
        <v>30</v>
      </c>
      <c r="N1118" s="256">
        <v>65</v>
      </c>
      <c r="O1118" s="256">
        <v>2</v>
      </c>
      <c r="P1118" s="257">
        <v>2</v>
      </c>
      <c r="Q1118" s="6">
        <v>32</v>
      </c>
      <c r="R1118" s="98">
        <v>0.50019999999999998</v>
      </c>
      <c r="S1118" s="94">
        <f>((Table3.110[[#This Row],[Sample weight, g]]*'2.1. DM'!Q269)/100)*1000</f>
        <v>466.82331233903153</v>
      </c>
      <c r="T1118" s="94">
        <f>'3.2 Digest'!W1118</f>
        <v>178.02331233903146</v>
      </c>
      <c r="U1118" s="117">
        <v>0.3347222222222222</v>
      </c>
      <c r="V1118" s="155">
        <v>41</v>
      </c>
      <c r="W1118" s="117">
        <v>0.67638888888888893</v>
      </c>
      <c r="X1118" s="96">
        <v>77</v>
      </c>
      <c r="Y1118" s="96">
        <v>12.5</v>
      </c>
      <c r="Z1118" s="155">
        <v>40.5</v>
      </c>
      <c r="AA1118" s="117">
        <v>0.37430555555555556</v>
      </c>
      <c r="AB1118" s="155">
        <v>74</v>
      </c>
      <c r="AC1118" s="155">
        <v>15.8</v>
      </c>
      <c r="AD1118" s="96"/>
      <c r="AE1118" s="94">
        <f>Table3.110[[#This Row],[Gas 8h, ml]]-Table3.110[[#This Row],[Gas 0h, ml]]</f>
        <v>36</v>
      </c>
      <c r="AF1118" s="94">
        <f>Table3.110[[#This Row],[Gas 24h, ml]]-Table3.110[[#This Row],[V8 Push back, ml]]</f>
        <v>33.5</v>
      </c>
      <c r="AG1118" s="94">
        <f>Table3.110[[#This Row],[GP 8h, ml]]-(AVERAGE(AE$1087,AE$1088,AE$1121,AE$1122,AE$1157,AE$1158))*$AG$8</f>
        <v>33.861233672775342</v>
      </c>
      <c r="AH1118" s="94">
        <f>Table3.110[[#This Row],[GP 8-24h, ml]]-(AVERAGE(AF$1087,AF$1088,AF$1121,AF$1122,AF$1157,AF$1158))*$AG$8</f>
        <v>30.623728042697874</v>
      </c>
      <c r="AI1118" s="94">
        <f>Table3.110[[#This Row],[Net gas 8-24h, ml]]+Table3.110[[#This Row],[Net gas 8h, ml]]</f>
        <v>64.484961715473219</v>
      </c>
      <c r="AJ1118" s="94">
        <f>Table3.110[[#This Row],[Net gas 8h, ml]]*Table3.110[[#This Row],[CH4 8h %]]%</f>
        <v>4.2326542090969177</v>
      </c>
      <c r="AK1118" s="94">
        <f>Table3.110[[#This Row],[Net gas 8-24h, ml]]*Table3.110[[#This Row],[CH4 24h, %]]%</f>
        <v>4.8385490307462637</v>
      </c>
      <c r="AL1118" s="94">
        <f>Table3.110[[#This Row],[CH4 8-24h, ml]]+Table3.110[[#This Row],[CH4 8h, ml]]</f>
        <v>9.0712032398431823</v>
      </c>
      <c r="AM1118" s="94">
        <f>(Table3.110[[#This Row],[Net gas 24h, ml]]/Table3.110[[#This Row],[DM Incubated, mg]])*1000</f>
        <v>138.13569290781447</v>
      </c>
      <c r="AN1118" s="94">
        <f>'3.2 Digest'!X1118</f>
        <v>38.135051877987962</v>
      </c>
      <c r="AO1118" s="94">
        <f>Table3.110[[#This Row],[Digested feed, mg]]/Table3.110[[#This Row],[Net gas 24h, ml]]</f>
        <v>2.7606950148241247</v>
      </c>
      <c r="AP1118" s="94">
        <f>Table3.110[[#This Row],[CH4 8h, ml]]/Table3.110[[#This Row],[Net gas 8h, ml]]%</f>
        <v>12.5</v>
      </c>
      <c r="AQ1118" s="94">
        <f>Table3.110[[#This Row],[CH4 24h, ml]]/Table3.110[[#This Row],[Net gas 24h, ml]]%</f>
        <v>14.067160774426791</v>
      </c>
      <c r="AR1118" s="94">
        <f>Table3.110[[#This Row],[CH4 24h, ml]]/Table3.110[[#This Row],[DM Incubated, mg]]*1000</f>
        <v>19.431770008210727</v>
      </c>
      <c r="AS1118" s="94">
        <f>Table3.110[[#This Row],[CH4 24h, ml]]/Table3.110[[#This Row],[Digested feed, mg]]*1000</f>
        <v>50.955142451050378</v>
      </c>
      <c r="AT1118" s="94">
        <f>Table3.110[[#This Row],[CH4 24h, ml]]/'3.2 Digest'!AA1118</f>
        <v>-0.81100513442058786</v>
      </c>
      <c r="AU1118" s="94">
        <f>((Table3.110[[#This Row],[CH4 24h, ml]]/28.9)*16.04)/Table3.110[[#This Row],[DM Incubated, mg]]*1000</f>
        <v>10.784968544349484</v>
      </c>
      <c r="AV1118" s="94">
        <f>((Table3.110[[#This Row],[CH4 24h, ml]]/28.9)*16.04)/Table3.110[[#This Row],[Digested feed, mg]]*1000</f>
        <v>28.280985637191975</v>
      </c>
      <c r="AW1118" s="94"/>
      <c r="AX1118" s="94"/>
    </row>
    <row r="1119" spans="2:50" x14ac:dyDescent="0.35">
      <c r="B1119" s="90">
        <f t="shared" si="17"/>
        <v>1109</v>
      </c>
      <c r="C1119" s="140">
        <v>46083</v>
      </c>
      <c r="D1119" s="6" t="s">
        <v>16</v>
      </c>
      <c r="E1119" s="6" t="s">
        <v>427</v>
      </c>
      <c r="F1119" s="242" t="s">
        <v>226</v>
      </c>
      <c r="G1119" s="242" t="s">
        <v>231</v>
      </c>
      <c r="H1119" s="6" t="s">
        <v>232</v>
      </c>
      <c r="I1119" s="133" t="s">
        <v>22</v>
      </c>
      <c r="J1119" s="135" t="s">
        <v>23</v>
      </c>
      <c r="K1119" s="135" t="s">
        <v>215</v>
      </c>
      <c r="L1119" s="6" t="s">
        <v>426</v>
      </c>
      <c r="M1119" s="256">
        <v>30</v>
      </c>
      <c r="N1119" s="256">
        <v>65</v>
      </c>
      <c r="O1119" s="256">
        <v>2</v>
      </c>
      <c r="P1119" s="257">
        <v>1</v>
      </c>
      <c r="Q1119" s="129">
        <v>33</v>
      </c>
      <c r="R1119" s="98">
        <v>0.50019999999999998</v>
      </c>
      <c r="S1119" s="94">
        <f>((Table3.110[[#This Row],[Sample weight, g]]*'2.1. DM'!Q271)/100)*1000</f>
        <v>472.2499747307188</v>
      </c>
      <c r="T1119" s="94">
        <f>'3.2 Digest'!W1119</f>
        <v>198.64997473071884</v>
      </c>
      <c r="U1119" s="117">
        <v>0.3347222222222222</v>
      </c>
      <c r="V1119" s="155">
        <v>41</v>
      </c>
      <c r="W1119" s="117">
        <v>0.67708333333333337</v>
      </c>
      <c r="X1119" s="96">
        <v>86.5</v>
      </c>
      <c r="Y1119" s="96">
        <v>13.9</v>
      </c>
      <c r="Z1119" s="155">
        <v>41</v>
      </c>
      <c r="AA1119" s="117">
        <v>0.37430555555555556</v>
      </c>
      <c r="AB1119" s="155">
        <v>87.5</v>
      </c>
      <c r="AC1119" s="155">
        <v>16.8</v>
      </c>
      <c r="AD1119" s="96"/>
      <c r="AE1119" s="94">
        <f>Table3.110[[#This Row],[Gas 8h, ml]]-Table3.110[[#This Row],[Gas 0h, ml]]</f>
        <v>45.5</v>
      </c>
      <c r="AF1119" s="94">
        <f>Table3.110[[#This Row],[Gas 24h, ml]]-Table3.110[[#This Row],[V8 Push back, ml]]</f>
        <v>46.5</v>
      </c>
      <c r="AG1119" s="94">
        <f>Table3.110[[#This Row],[GP 8h, ml]]-(AVERAGE(AE$1087,AE$1088,AE$1121,AE$1122,AE$1157,AE$1158))*$AG$8</f>
        <v>43.361233672775342</v>
      </c>
      <c r="AH1119" s="94">
        <f>Table3.110[[#This Row],[GP 8-24h, ml]]-(AVERAGE(AF$1087,AF$1088,AF$1121,AF$1122,AF$1157,AF$1158))*$AG$8</f>
        <v>43.623728042697877</v>
      </c>
      <c r="AI1119" s="94">
        <f>Table3.110[[#This Row],[Net gas 8-24h, ml]]+Table3.110[[#This Row],[Net gas 8h, ml]]</f>
        <v>86.984961715473219</v>
      </c>
      <c r="AJ1119" s="94">
        <f>Table3.110[[#This Row],[Net gas 8h, ml]]*Table3.110[[#This Row],[CH4 8h %]]%</f>
        <v>6.0272114805157733</v>
      </c>
      <c r="AK1119" s="94">
        <f>Table3.110[[#This Row],[Net gas 8-24h, ml]]*Table3.110[[#This Row],[CH4 24h, %]]%</f>
        <v>7.3287863111732436</v>
      </c>
      <c r="AL1119" s="94">
        <f>Table3.110[[#This Row],[CH4 8-24h, ml]]+Table3.110[[#This Row],[CH4 8h, ml]]</f>
        <v>13.355997791689017</v>
      </c>
      <c r="AM1119" s="94">
        <f>(Table3.110[[#This Row],[Net gas 24h, ml]]/Table3.110[[#This Row],[DM Incubated, mg]])*1000</f>
        <v>184.19262333486165</v>
      </c>
      <c r="AN1119" s="94">
        <f>'3.2 Digest'!X1119</f>
        <v>42.064581336185533</v>
      </c>
      <c r="AO1119" s="94">
        <f>Table3.110[[#This Row],[Digested feed, mg]]/Table3.110[[#This Row],[Net gas 24h, ml]]</f>
        <v>2.2837277940122633</v>
      </c>
      <c r="AP1119" s="94">
        <f>Table3.110[[#This Row],[CH4 8h, ml]]/Table3.110[[#This Row],[Net gas 8h, ml]]%</f>
        <v>13.900000000000002</v>
      </c>
      <c r="AQ1119" s="94">
        <f>Table3.110[[#This Row],[CH4 24h, ml]]/Table3.110[[#This Row],[Net gas 24h, ml]]%</f>
        <v>15.354375662515467</v>
      </c>
      <c r="AR1119" s="94">
        <f>Table3.110[[#This Row],[CH4 24h, ml]]/Table3.110[[#This Row],[DM Incubated, mg]]*1000</f>
        <v>28.281627329476784</v>
      </c>
      <c r="AS1119" s="94">
        <f>Table3.110[[#This Row],[CH4 24h, ml]]/Table3.110[[#This Row],[Digested feed, mg]]*1000</f>
        <v>67.233825777193374</v>
      </c>
      <c r="AT1119" s="94">
        <f>Table3.110[[#This Row],[CH4 24h, ml]]/'3.2 Digest'!AA1119</f>
        <v>-2.5483145953730082</v>
      </c>
      <c r="AU1119" s="94">
        <f>((Table3.110[[#This Row],[CH4 24h, ml]]/28.9)*16.04)/Table3.110[[#This Row],[DM Incubated, mg]]*1000</f>
        <v>15.696792469370505</v>
      </c>
      <c r="AV1119" s="94">
        <f>((Table3.110[[#This Row],[CH4 24h, ml]]/28.9)*16.04)/Table3.110[[#This Row],[Digested feed, mg]]*1000</f>
        <v>37.31593652132117</v>
      </c>
      <c r="AW1119" s="94"/>
      <c r="AX1119" s="94"/>
    </row>
    <row r="1120" spans="2:50" x14ac:dyDescent="0.35">
      <c r="B1120" s="90">
        <f t="shared" si="17"/>
        <v>1110</v>
      </c>
      <c r="C1120" s="140">
        <v>46083</v>
      </c>
      <c r="D1120" s="6" t="s">
        <v>16</v>
      </c>
      <c r="E1120" s="6" t="s">
        <v>427</v>
      </c>
      <c r="F1120" s="242" t="s">
        <v>226</v>
      </c>
      <c r="G1120" s="242" t="s">
        <v>231</v>
      </c>
      <c r="H1120" s="6" t="s">
        <v>232</v>
      </c>
      <c r="I1120" s="133" t="s">
        <v>22</v>
      </c>
      <c r="J1120" s="135" t="s">
        <v>23</v>
      </c>
      <c r="K1120" s="135" t="s">
        <v>215</v>
      </c>
      <c r="L1120" s="6" t="s">
        <v>426</v>
      </c>
      <c r="M1120" s="256">
        <v>30</v>
      </c>
      <c r="N1120" s="256">
        <v>65</v>
      </c>
      <c r="O1120" s="256">
        <v>2</v>
      </c>
      <c r="P1120" s="257">
        <v>2</v>
      </c>
      <c r="Q1120" s="129">
        <v>34</v>
      </c>
      <c r="R1120" s="98">
        <v>0.50019999999999998</v>
      </c>
      <c r="S1120" s="94">
        <f>((Table3.110[[#This Row],[Sample weight, g]]*'2.1. DM'!Q271)/100)*1000</f>
        <v>472.2499747307188</v>
      </c>
      <c r="T1120" s="94">
        <f>'3.2 Digest'!W1120</f>
        <v>226.84997473071886</v>
      </c>
      <c r="U1120" s="153">
        <v>0.33541666666666664</v>
      </c>
      <c r="V1120" s="154">
        <v>41</v>
      </c>
      <c r="W1120" s="153">
        <v>0.67777777777777781</v>
      </c>
      <c r="X1120" s="91">
        <v>86.5</v>
      </c>
      <c r="Y1120" s="91">
        <v>14.1</v>
      </c>
      <c r="Z1120" s="154">
        <v>41</v>
      </c>
      <c r="AA1120" s="153">
        <v>0.375</v>
      </c>
      <c r="AB1120" s="154">
        <v>90.5</v>
      </c>
      <c r="AC1120" s="154">
        <v>16.600000000000001</v>
      </c>
      <c r="AD1120" s="91"/>
      <c r="AE1120" s="94">
        <f>Table3.110[[#This Row],[Gas 8h, ml]]-Table3.110[[#This Row],[Gas 0h, ml]]</f>
        <v>45.5</v>
      </c>
      <c r="AF1120" s="94">
        <f>Table3.110[[#This Row],[Gas 24h, ml]]-Table3.110[[#This Row],[V8 Push back, ml]]</f>
        <v>49.5</v>
      </c>
      <c r="AG1120" s="94">
        <f>Table3.110[[#This Row],[GP 8h, ml]]-(AVERAGE(AE$1087,AE$1088,AE$1121,AE$1122,AE$1157,AE$1158))*$AG$8</f>
        <v>43.361233672775342</v>
      </c>
      <c r="AH1120" s="94">
        <f>Table3.110[[#This Row],[GP 8-24h, ml]]-(AVERAGE(AF$1087,AF$1088,AF$1121,AF$1122,AF$1157,AF$1158))*$AG$8</f>
        <v>46.623728042697877</v>
      </c>
      <c r="AI1120" s="94">
        <f>Table3.110[[#This Row],[Net gas 8-24h, ml]]+Table3.110[[#This Row],[Net gas 8h, ml]]</f>
        <v>89.984961715473219</v>
      </c>
      <c r="AJ1120" s="94">
        <f>Table3.110[[#This Row],[Net gas 8h, ml]]*Table3.110[[#This Row],[CH4 8h %]]%</f>
        <v>6.1139339478613222</v>
      </c>
      <c r="AK1120" s="94">
        <f>Table3.110[[#This Row],[Net gas 8-24h, ml]]*Table3.110[[#This Row],[CH4 24h, %]]%</f>
        <v>7.7395388550878481</v>
      </c>
      <c r="AL1120" s="94">
        <f>Table3.110[[#This Row],[CH4 8-24h, ml]]+Table3.110[[#This Row],[CH4 8h, ml]]</f>
        <v>13.85347280294917</v>
      </c>
      <c r="AM1120" s="94">
        <f>(Table3.110[[#This Row],[Net gas 24h, ml]]/Table3.110[[#This Row],[DM Incubated, mg]])*1000</f>
        <v>190.54519117080619</v>
      </c>
      <c r="AN1120" s="94">
        <f>'3.2 Digest'!X1120</f>
        <v>48.035995101973434</v>
      </c>
      <c r="AO1120" s="94">
        <f>Table3.110[[#This Row],[Digested feed, mg]]/Table3.110[[#This Row],[Net gas 24h, ml]]</f>
        <v>2.5209765099195596</v>
      </c>
      <c r="AP1120" s="94">
        <f>Table3.110[[#This Row],[CH4 8h, ml]]/Table3.110[[#This Row],[Net gas 8h, ml]]%</f>
        <v>14.099999999999998</v>
      </c>
      <c r="AQ1120" s="94">
        <f>Table3.110[[#This Row],[CH4 24h, ml]]/Table3.110[[#This Row],[Net gas 24h, ml]]%</f>
        <v>15.395319994415265</v>
      </c>
      <c r="AR1120" s="94">
        <f>Table3.110[[#This Row],[CH4 24h, ml]]/Table3.110[[#This Row],[DM Incubated, mg]]*1000</f>
        <v>29.335041914715919</v>
      </c>
      <c r="AS1120" s="94">
        <f>Table3.110[[#This Row],[CH4 24h, ml]]/Table3.110[[#This Row],[Digested feed, mg]]*1000</f>
        <v>61.06887523083865</v>
      </c>
      <c r="AT1120" s="94">
        <f>Table3.110[[#This Row],[CH4 24h, ml]]/'3.2 Digest'!AA1120</f>
        <v>2.4711384916889303</v>
      </c>
      <c r="AU1120" s="94">
        <f>((Table3.110[[#This Row],[CH4 24h, ml]]/28.9)*16.04)/Table3.110[[#This Row],[DM Incubated, mg]]*1000</f>
        <v>16.281455789344061</v>
      </c>
      <c r="AV1120" s="94">
        <f>((Table3.110[[#This Row],[CH4 24h, ml]]/28.9)*16.04)/Table3.110[[#This Row],[Digested feed, mg]]*1000</f>
        <v>33.894282308050244</v>
      </c>
      <c r="AW1120" s="94"/>
      <c r="AX1120" s="94"/>
    </row>
    <row r="1121" spans="2:50" x14ac:dyDescent="0.35">
      <c r="B1121" s="90">
        <f t="shared" si="17"/>
        <v>1111</v>
      </c>
      <c r="C1121" s="140">
        <v>46083</v>
      </c>
      <c r="D1121" s="6"/>
      <c r="E1121" s="6" t="s">
        <v>541</v>
      </c>
      <c r="F1121" s="242" t="s">
        <v>538</v>
      </c>
      <c r="G1121" s="242" t="s">
        <v>542</v>
      </c>
      <c r="H1121" s="6" t="s">
        <v>541</v>
      </c>
      <c r="I1121" s="133"/>
      <c r="J1121" s="135"/>
      <c r="K1121" s="135"/>
      <c r="L1121" s="6" t="s">
        <v>543</v>
      </c>
      <c r="M1121" s="256">
        <v>30</v>
      </c>
      <c r="N1121" s="256">
        <v>65</v>
      </c>
      <c r="O1121" s="256">
        <v>2</v>
      </c>
      <c r="P1121" s="257">
        <v>1</v>
      </c>
      <c r="Q1121" s="129">
        <v>35</v>
      </c>
      <c r="R1121" s="98"/>
      <c r="S1121" s="94"/>
      <c r="T1121" s="94"/>
      <c r="U1121" s="153">
        <v>0.33541666666666664</v>
      </c>
      <c r="V1121" s="154">
        <v>39.5</v>
      </c>
      <c r="W1121" s="153">
        <v>0.67777777777777781</v>
      </c>
      <c r="X1121" s="91">
        <v>42</v>
      </c>
      <c r="Y1121" s="91"/>
      <c r="Z1121" s="154"/>
      <c r="AA1121" s="153"/>
      <c r="AB1121" s="154"/>
      <c r="AC1121" s="154"/>
      <c r="AD1121" s="91"/>
      <c r="AE1121" s="94">
        <f>Table3.110[[#This Row],[Gas 8h, ml]]-Table3.110[[#This Row],[Gas 0h, ml]]</f>
        <v>2.5</v>
      </c>
      <c r="AF1121" s="94"/>
      <c r="AG1121" s="94"/>
      <c r="AH1121" s="94"/>
      <c r="AI1121" s="94"/>
      <c r="AJ1121" s="94"/>
      <c r="AK1121" s="94"/>
      <c r="AL1121" s="94"/>
      <c r="AM1121" s="94"/>
      <c r="AN1121" s="94"/>
      <c r="AO1121" s="94"/>
      <c r="AP1121" s="94"/>
      <c r="AQ1121" s="94"/>
      <c r="AR1121" s="94"/>
      <c r="AS1121" s="94"/>
      <c r="AT1121" s="94"/>
      <c r="AU1121" s="94"/>
      <c r="AV1121" s="94"/>
      <c r="AW1121" s="94"/>
      <c r="AX1121" s="94"/>
    </row>
    <row r="1122" spans="2:50" x14ac:dyDescent="0.35">
      <c r="B1122" s="90">
        <f t="shared" si="17"/>
        <v>1112</v>
      </c>
      <c r="C1122" s="140">
        <v>46083</v>
      </c>
      <c r="D1122" s="6"/>
      <c r="E1122" s="6" t="s">
        <v>541</v>
      </c>
      <c r="F1122" s="242" t="s">
        <v>538</v>
      </c>
      <c r="G1122" s="242" t="s">
        <v>542</v>
      </c>
      <c r="H1122" s="6" t="s">
        <v>541</v>
      </c>
      <c r="I1122" s="133"/>
      <c r="J1122" s="135"/>
      <c r="K1122" s="135"/>
      <c r="L1122" s="6" t="s">
        <v>543</v>
      </c>
      <c r="M1122" s="256">
        <v>30</v>
      </c>
      <c r="N1122" s="256">
        <v>65</v>
      </c>
      <c r="O1122" s="256">
        <v>2</v>
      </c>
      <c r="P1122" s="257">
        <v>2</v>
      </c>
      <c r="Q1122" s="129">
        <v>36</v>
      </c>
      <c r="R1122" s="98"/>
      <c r="S1122" s="94"/>
      <c r="T1122" s="94"/>
      <c r="U1122" s="117">
        <v>0.33541666666666664</v>
      </c>
      <c r="V1122" s="155">
        <v>40.5</v>
      </c>
      <c r="W1122" s="117">
        <v>0.67847222222222225</v>
      </c>
      <c r="X1122" s="96">
        <v>42.5</v>
      </c>
      <c r="Y1122" s="96"/>
      <c r="Z1122" s="155"/>
      <c r="AA1122" s="117"/>
      <c r="AB1122" s="155"/>
      <c r="AC1122" s="155"/>
      <c r="AD1122" s="96"/>
      <c r="AE1122" s="94">
        <f>Table3.110[[#This Row],[Gas 8h, ml]]-Table3.110[[#This Row],[Gas 0h, ml]]</f>
        <v>2</v>
      </c>
      <c r="AF1122" s="94"/>
      <c r="AG1122" s="94"/>
      <c r="AH1122" s="94"/>
      <c r="AI1122" s="94"/>
      <c r="AJ1122" s="94"/>
      <c r="AK1122" s="94"/>
      <c r="AL1122" s="94"/>
      <c r="AM1122" s="94"/>
      <c r="AN1122" s="94"/>
      <c r="AO1122" s="94"/>
      <c r="AP1122" s="94"/>
      <c r="AQ1122" s="94"/>
      <c r="AR1122" s="94"/>
      <c r="AS1122" s="94"/>
      <c r="AT1122" s="94"/>
      <c r="AU1122" s="94"/>
      <c r="AV1122" s="94"/>
      <c r="AW1122" s="94"/>
      <c r="AX1122" s="94"/>
    </row>
    <row r="1123" spans="2:50" x14ac:dyDescent="0.35">
      <c r="B1123" s="90">
        <f t="shared" si="17"/>
        <v>1113</v>
      </c>
      <c r="C1123" s="140">
        <v>46083</v>
      </c>
      <c r="D1123" s="6" t="s">
        <v>16</v>
      </c>
      <c r="E1123" s="6" t="s">
        <v>429</v>
      </c>
      <c r="F1123" s="242" t="s">
        <v>212</v>
      </c>
      <c r="G1123" s="242" t="s">
        <v>213</v>
      </c>
      <c r="H1123" s="6" t="s">
        <v>214</v>
      </c>
      <c r="I1123" s="133" t="s">
        <v>22</v>
      </c>
      <c r="J1123" s="135" t="s">
        <v>23</v>
      </c>
      <c r="K1123" s="135" t="s">
        <v>215</v>
      </c>
      <c r="L1123" s="6" t="s">
        <v>428</v>
      </c>
      <c r="M1123" s="256">
        <v>30</v>
      </c>
      <c r="N1123" s="256">
        <v>65</v>
      </c>
      <c r="O1123" s="256">
        <v>2</v>
      </c>
      <c r="P1123" s="257">
        <v>1</v>
      </c>
      <c r="Q1123" s="129">
        <v>37</v>
      </c>
      <c r="R1123" s="98">
        <v>0.50009999999999999</v>
      </c>
      <c r="S1123" s="94">
        <f>((Table3.110[[#This Row],[Sample weight, g]]*'2.1. DM'!Q273)/100)*1000</f>
        <v>466.75176497001524</v>
      </c>
      <c r="T1123" s="94">
        <f>'3.2 Digest'!W1123</f>
        <v>181.35176497001515</v>
      </c>
      <c r="U1123" s="153">
        <v>0.33541666666666664</v>
      </c>
      <c r="V1123" s="154">
        <v>41</v>
      </c>
      <c r="W1123" s="153">
        <v>0.67847222222222225</v>
      </c>
      <c r="X1123" s="91">
        <v>72</v>
      </c>
      <c r="Y1123" s="91">
        <v>13.9</v>
      </c>
      <c r="Z1123" s="154">
        <v>41</v>
      </c>
      <c r="AA1123" s="153">
        <v>0.37569444444444444</v>
      </c>
      <c r="AB1123" s="154">
        <v>78.5</v>
      </c>
      <c r="AC1123" s="154">
        <v>16</v>
      </c>
      <c r="AD1123" s="91"/>
      <c r="AE1123" s="94">
        <f>Table3.110[[#This Row],[Gas 8h, ml]]-Table3.110[[#This Row],[Gas 0h, ml]]</f>
        <v>31</v>
      </c>
      <c r="AF1123" s="94">
        <f>Table3.110[[#This Row],[Gas 24h, ml]]-Table3.110[[#This Row],[V8 Push back, ml]]</f>
        <v>37.5</v>
      </c>
      <c r="AG1123" s="94">
        <f>Table3.110[[#This Row],[GP 8h, ml]]-(AVERAGE(AE$1087,AE$1088,AE$1121,AE$1122,AE$1157,AE$1158))*$AG$8</f>
        <v>28.861233672775342</v>
      </c>
      <c r="AH1123" s="94">
        <f>Table3.110[[#This Row],[GP 8-24h, ml]]-(AVERAGE(AF$1087,AF$1088,AF$1121,AF$1122,AF$1157,AF$1158))*$AG$8</f>
        <v>34.623728042697877</v>
      </c>
      <c r="AI1123" s="94">
        <f>Table3.110[[#This Row],[Net gas 8-24h, ml]]+Table3.110[[#This Row],[Net gas 8h, ml]]</f>
        <v>63.484961715473219</v>
      </c>
      <c r="AJ1123" s="94">
        <f>Table3.110[[#This Row],[Net gas 8h, ml]]*Table3.110[[#This Row],[CH4 8h %]]%</f>
        <v>4.011711480515773</v>
      </c>
      <c r="AK1123" s="94">
        <f>Table3.110[[#This Row],[Net gas 8-24h, ml]]*Table3.110[[#This Row],[CH4 24h, %]]%</f>
        <v>5.5397964868316603</v>
      </c>
      <c r="AL1123" s="94">
        <f>Table3.110[[#This Row],[CH4 8-24h, ml]]+Table3.110[[#This Row],[CH4 8h, ml]]</f>
        <v>9.5515079673474332</v>
      </c>
      <c r="AM1123" s="94">
        <f>(Table3.110[[#This Row],[Net gas 24h, ml]]/Table3.110[[#This Row],[DM Incubated, mg]])*1000</f>
        <v>136.01440097297024</v>
      </c>
      <c r="AN1123" s="94">
        <f>'3.2 Digest'!X1123</f>
        <v>38.854007329070392</v>
      </c>
      <c r="AO1123" s="94">
        <f>Table3.110[[#This Row],[Digested feed, mg]]/Table3.110[[#This Row],[Net gas 24h, ml]]</f>
        <v>2.856609818602351</v>
      </c>
      <c r="AP1123" s="94">
        <f>Table3.110[[#This Row],[CH4 8h, ml]]/Table3.110[[#This Row],[Net gas 8h, ml]]%</f>
        <v>13.9</v>
      </c>
      <c r="AQ1123" s="94">
        <f>Table3.110[[#This Row],[CH4 24h, ml]]/Table3.110[[#This Row],[Net gas 24h, ml]]%</f>
        <v>15.045307911116593</v>
      </c>
      <c r="AR1123" s="94">
        <f>Table3.110[[#This Row],[CH4 24h, ml]]/Table3.110[[#This Row],[DM Incubated, mg]]*1000</f>
        <v>20.463785429844137</v>
      </c>
      <c r="AS1123" s="94">
        <f>Table3.110[[#This Row],[CH4 24h, ml]]/Table3.110[[#This Row],[Digested feed, mg]]*1000</f>
        <v>52.668403690069887</v>
      </c>
      <c r="AT1123" s="94">
        <f>Table3.110[[#This Row],[CH4 24h, ml]]/'3.2 Digest'!AA1123</f>
        <v>-1.1931604712013659</v>
      </c>
      <c r="AU1123" s="94">
        <f>((Table3.110[[#This Row],[CH4 24h, ml]]/28.9)*16.04)/Table3.110[[#This Row],[DM Incubated, mg]]*1000</f>
        <v>11.357754958294118</v>
      </c>
      <c r="AV1123" s="94">
        <f>((Table3.110[[#This Row],[CH4 24h, ml]]/28.9)*16.04)/Table3.110[[#This Row],[Digested feed, mg]]*1000</f>
        <v>29.231875266045712</v>
      </c>
      <c r="AW1123" s="94"/>
      <c r="AX1123" s="94"/>
    </row>
    <row r="1124" spans="2:50" x14ac:dyDescent="0.35">
      <c r="B1124" s="90">
        <f t="shared" si="17"/>
        <v>1114</v>
      </c>
      <c r="C1124" s="140">
        <v>46083</v>
      </c>
      <c r="D1124" s="6" t="s">
        <v>16</v>
      </c>
      <c r="E1124" s="6" t="s">
        <v>429</v>
      </c>
      <c r="F1124" s="242" t="s">
        <v>212</v>
      </c>
      <c r="G1124" s="242" t="s">
        <v>213</v>
      </c>
      <c r="H1124" s="6" t="s">
        <v>214</v>
      </c>
      <c r="I1124" s="133" t="s">
        <v>22</v>
      </c>
      <c r="J1124" s="135" t="s">
        <v>23</v>
      </c>
      <c r="K1124" s="135" t="s">
        <v>215</v>
      </c>
      <c r="L1124" s="6" t="s">
        <v>428</v>
      </c>
      <c r="M1124" s="256">
        <v>30</v>
      </c>
      <c r="N1124" s="256">
        <v>65</v>
      </c>
      <c r="O1124" s="256">
        <v>2</v>
      </c>
      <c r="P1124" s="257">
        <v>2</v>
      </c>
      <c r="Q1124" s="129">
        <v>38</v>
      </c>
      <c r="R1124" s="98">
        <v>0.50009999999999999</v>
      </c>
      <c r="S1124" s="94">
        <f>((Table3.110[[#This Row],[Sample weight, g]]*'2.1. DM'!Q273)/100)*1000</f>
        <v>466.75176497001524</v>
      </c>
      <c r="T1124" s="94">
        <f>'3.2 Digest'!W1124</f>
        <v>136.35176497001521</v>
      </c>
      <c r="U1124" s="117">
        <v>0.33611111111111114</v>
      </c>
      <c r="V1124" s="155">
        <v>41</v>
      </c>
      <c r="W1124" s="117">
        <v>0.6791666666666667</v>
      </c>
      <c r="X1124" s="96">
        <v>72.5</v>
      </c>
      <c r="Y1124" s="96">
        <v>14.1</v>
      </c>
      <c r="Z1124" s="155">
        <v>41</v>
      </c>
      <c r="AA1124" s="117">
        <v>0.37569444444444444</v>
      </c>
      <c r="AB1124" s="155">
        <v>77.5</v>
      </c>
      <c r="AC1124" s="155">
        <v>15.8</v>
      </c>
      <c r="AD1124" s="96" t="s">
        <v>599</v>
      </c>
      <c r="AE1124" s="94">
        <f>Table3.110[[#This Row],[Gas 8h, ml]]-Table3.110[[#This Row],[Gas 0h, ml]]</f>
        <v>31.5</v>
      </c>
      <c r="AF1124" s="94">
        <f>Table3.110[[#This Row],[Gas 24h, ml]]-Table3.110[[#This Row],[V8 Push back, ml]]</f>
        <v>36.5</v>
      </c>
      <c r="AG1124" s="94">
        <f>Table3.110[[#This Row],[GP 8h, ml]]-(AVERAGE(AE$1087,AE$1088,AE$1121,AE$1122,AE$1157,AE$1158))*$AG$8</f>
        <v>29.361233672775342</v>
      </c>
      <c r="AH1124" s="94">
        <f>Table3.110[[#This Row],[GP 8-24h, ml]]-(AVERAGE(AF$1087,AF$1088,AF$1121,AF$1122,AF$1157,AF$1158))*$AG$8</f>
        <v>33.623728042697877</v>
      </c>
      <c r="AI1124" s="94">
        <f>Table3.110[[#This Row],[Net gas 8-24h, ml]]+Table3.110[[#This Row],[Net gas 8h, ml]]</f>
        <v>62.984961715473219</v>
      </c>
      <c r="AJ1124" s="94">
        <f>Table3.110[[#This Row],[Net gas 8h, ml]]*Table3.110[[#This Row],[CH4 8h %]]%</f>
        <v>4.1399339478613228</v>
      </c>
      <c r="AK1124" s="94">
        <f>Table3.110[[#This Row],[Net gas 8-24h, ml]]*Table3.110[[#This Row],[CH4 24h, %]]%</f>
        <v>5.3125490307462648</v>
      </c>
      <c r="AL1124" s="94">
        <f>Table3.110[[#This Row],[CH4 8-24h, ml]]+Table3.110[[#This Row],[CH4 8h, ml]]</f>
        <v>9.4524829786075877</v>
      </c>
      <c r="AM1124" s="94">
        <f>(Table3.110[[#This Row],[Net gas 24h, ml]]/Table3.110[[#This Row],[DM Incubated, mg]])*1000</f>
        <v>134.94316774467785</v>
      </c>
      <c r="AN1124" s="94">
        <f>'3.2 Digest'!X1124</f>
        <v>29.212908274438902</v>
      </c>
      <c r="AO1124" s="94">
        <f>Table3.110[[#This Row],[Digested feed, mg]]/Table3.110[[#This Row],[Net gas 24h, ml]]</f>
        <v>2.1648304810593908</v>
      </c>
      <c r="AP1124" s="94">
        <f>Table3.110[[#This Row],[CH4 8h, ml]]/Table3.110[[#This Row],[Net gas 8h, ml]]%</f>
        <v>14.099999999999998</v>
      </c>
      <c r="AQ1124" s="94">
        <f>Table3.110[[#This Row],[CH4 24h, ml]]/Table3.110[[#This Row],[Net gas 24h, ml]]%</f>
        <v>15.007523575719569</v>
      </c>
      <c r="AR1124" s="94">
        <f>Table3.110[[#This Row],[CH4 24h, ml]]/Table3.110[[#This Row],[DM Incubated, mg]]*1000</f>
        <v>20.251627713105332</v>
      </c>
      <c r="AS1124" s="94">
        <f>Table3.110[[#This Row],[CH4 24h, ml]]/Table3.110[[#This Row],[Digested feed, mg]]*1000</f>
        <v>69.324243662605028</v>
      </c>
      <c r="AT1124" s="94">
        <f>Table3.110[[#This Row],[CH4 24h, ml]]/'3.2 Digest'!AA1124</f>
        <v>-0.37757417867421944</v>
      </c>
      <c r="AU1124" s="94">
        <f>((Table3.110[[#This Row],[CH4 24h, ml]]/28.9)*16.04)/Table3.110[[#This Row],[DM Incubated, mg]]*1000</f>
        <v>11.240003754955346</v>
      </c>
      <c r="AV1124" s="94">
        <f>((Table3.110[[#This Row],[CH4 24h, ml]]/28.9)*16.04)/Table3.110[[#This Row],[Digested feed, mg]]*1000</f>
        <v>38.476154614124034</v>
      </c>
      <c r="AW1124" s="94"/>
      <c r="AX1124" s="94"/>
    </row>
    <row r="1125" spans="2:50" x14ac:dyDescent="0.35">
      <c r="B1125" s="90">
        <f t="shared" si="17"/>
        <v>1115</v>
      </c>
      <c r="C1125" s="140">
        <v>46083</v>
      </c>
      <c r="D1125" s="6" t="s">
        <v>16</v>
      </c>
      <c r="E1125" s="6" t="s">
        <v>431</v>
      </c>
      <c r="F1125" s="242" t="s">
        <v>212</v>
      </c>
      <c r="G1125" s="242" t="s">
        <v>404</v>
      </c>
      <c r="H1125" s="6" t="s">
        <v>433</v>
      </c>
      <c r="I1125" s="133" t="s">
        <v>22</v>
      </c>
      <c r="J1125" s="135" t="s">
        <v>23</v>
      </c>
      <c r="K1125" s="135" t="s">
        <v>215</v>
      </c>
      <c r="L1125" s="6" t="s">
        <v>430</v>
      </c>
      <c r="M1125" s="256">
        <v>30</v>
      </c>
      <c r="N1125" s="256">
        <v>65</v>
      </c>
      <c r="O1125" s="256">
        <v>2</v>
      </c>
      <c r="P1125" s="257">
        <v>1</v>
      </c>
      <c r="Q1125" s="129">
        <v>39</v>
      </c>
      <c r="R1125" s="98">
        <v>0.50009999999999999</v>
      </c>
      <c r="S1125" s="94">
        <f>((Table3.110[[#This Row],[Sample weight, g]]*'2.1. DM'!Q275)/100)*1000</f>
        <v>477.85779315469205</v>
      </c>
      <c r="T1125" s="94">
        <f>'3.2 Digest'!W1125</f>
        <v>147.75779315469197</v>
      </c>
      <c r="U1125" s="117">
        <v>0.33611111111111114</v>
      </c>
      <c r="V1125" s="155">
        <v>40.5</v>
      </c>
      <c r="W1125" s="117">
        <v>0.6791666666666667</v>
      </c>
      <c r="X1125" s="96">
        <v>73</v>
      </c>
      <c r="Y1125" s="96">
        <v>12.3</v>
      </c>
      <c r="Z1125" s="155">
        <v>40.5</v>
      </c>
      <c r="AA1125" s="117">
        <v>0.37638888888888888</v>
      </c>
      <c r="AB1125" s="155">
        <v>74</v>
      </c>
      <c r="AC1125" s="155">
        <v>15.8</v>
      </c>
      <c r="AD1125" s="96"/>
      <c r="AE1125" s="94">
        <f>Table3.110[[#This Row],[Gas 8h, ml]]-Table3.110[[#This Row],[Gas 0h, ml]]</f>
        <v>32.5</v>
      </c>
      <c r="AF1125" s="94">
        <f>Table3.110[[#This Row],[Gas 24h, ml]]-Table3.110[[#This Row],[V8 Push back, ml]]</f>
        <v>33.5</v>
      </c>
      <c r="AG1125" s="94">
        <f>Table3.110[[#This Row],[GP 8h, ml]]-(AVERAGE(AE$1087,AE$1088,AE$1121,AE$1122,AE$1157,AE$1158))*$AG$8</f>
        <v>30.361233672775342</v>
      </c>
      <c r="AH1125" s="94">
        <f>Table3.110[[#This Row],[GP 8-24h, ml]]-(AVERAGE(AF$1087,AF$1088,AF$1121,AF$1122,AF$1157,AF$1158))*$AG$8</f>
        <v>30.623728042697874</v>
      </c>
      <c r="AI1125" s="94">
        <f>Table3.110[[#This Row],[Net gas 8-24h, ml]]+Table3.110[[#This Row],[Net gas 8h, ml]]</f>
        <v>60.984961715473219</v>
      </c>
      <c r="AJ1125" s="94">
        <f>Table3.110[[#This Row],[Net gas 8h, ml]]*Table3.110[[#This Row],[CH4 8h %]]%</f>
        <v>3.7344317417513673</v>
      </c>
      <c r="AK1125" s="94">
        <f>Table3.110[[#This Row],[Net gas 8-24h, ml]]*Table3.110[[#This Row],[CH4 24h, %]]%</f>
        <v>4.8385490307462637</v>
      </c>
      <c r="AL1125" s="94">
        <f>Table3.110[[#This Row],[CH4 8-24h, ml]]+Table3.110[[#This Row],[CH4 8h, ml]]</f>
        <v>8.5729807724976315</v>
      </c>
      <c r="AM1125" s="94">
        <f>(Table3.110[[#This Row],[Net gas 24h, ml]]/Table3.110[[#This Row],[DM Incubated, mg]])*1000</f>
        <v>127.62156982491898</v>
      </c>
      <c r="AN1125" s="94">
        <f>'3.2 Digest'!X1125</f>
        <v>30.920871286671648</v>
      </c>
      <c r="AO1125" s="94">
        <f>Table3.110[[#This Row],[Digested feed, mg]]/Table3.110[[#This Row],[Net gas 24h, ml]]</f>
        <v>2.4228562091103614</v>
      </c>
      <c r="AP1125" s="94">
        <f>Table3.110[[#This Row],[CH4 8h, ml]]/Table3.110[[#This Row],[Net gas 8h, ml]]%</f>
        <v>12.300000000000002</v>
      </c>
      <c r="AQ1125" s="94">
        <f>Table3.110[[#This Row],[CH4 24h, ml]]/Table3.110[[#This Row],[Net gas 24h, ml]]%</f>
        <v>14.057532433151431</v>
      </c>
      <c r="AR1125" s="94">
        <f>Table3.110[[#This Row],[CH4 24h, ml]]/Table3.110[[#This Row],[DM Incubated, mg]]*1000</f>
        <v>17.940443569834986</v>
      </c>
      <c r="AS1125" s="94">
        <f>Table3.110[[#This Row],[CH4 24h, ml]]/Table3.110[[#This Row],[Digested feed, mg]]*1000</f>
        <v>58.020498204939528</v>
      </c>
      <c r="AT1125" s="94">
        <f>Table3.110[[#This Row],[CH4 24h, ml]]/'3.2 Digest'!AA1125</f>
        <v>-0.53982294132813902</v>
      </c>
      <c r="AU1125" s="94">
        <f>((Table3.110[[#This Row],[CH4 24h, ml]]/28.9)*16.04)/Table3.110[[#This Row],[DM Incubated, mg]]*1000</f>
        <v>9.9572565695554722</v>
      </c>
      <c r="AV1125" s="94">
        <f>((Table3.110[[#This Row],[CH4 24h, ml]]/28.9)*16.04)/Table3.110[[#This Row],[Digested feed, mg]]*1000</f>
        <v>32.20238031858927</v>
      </c>
      <c r="AW1125" s="94"/>
      <c r="AX1125" s="94"/>
    </row>
    <row r="1126" spans="2:50" x14ac:dyDescent="0.35">
      <c r="B1126" s="90">
        <f t="shared" si="17"/>
        <v>1116</v>
      </c>
      <c r="C1126" s="140">
        <v>46083</v>
      </c>
      <c r="D1126" s="6" t="s">
        <v>16</v>
      </c>
      <c r="E1126" s="6" t="s">
        <v>431</v>
      </c>
      <c r="F1126" s="242" t="s">
        <v>212</v>
      </c>
      <c r="G1126" s="242" t="s">
        <v>404</v>
      </c>
      <c r="H1126" s="6" t="s">
        <v>433</v>
      </c>
      <c r="I1126" s="133" t="s">
        <v>22</v>
      </c>
      <c r="J1126" s="135" t="s">
        <v>23</v>
      </c>
      <c r="K1126" s="135" t="s">
        <v>215</v>
      </c>
      <c r="L1126" s="6" t="s">
        <v>430</v>
      </c>
      <c r="M1126" s="256">
        <v>30</v>
      </c>
      <c r="N1126" s="256">
        <v>65</v>
      </c>
      <c r="O1126" s="256">
        <v>2</v>
      </c>
      <c r="P1126" s="257">
        <v>2</v>
      </c>
      <c r="Q1126" s="129">
        <v>40</v>
      </c>
      <c r="R1126" s="98">
        <v>0.50019999999999998</v>
      </c>
      <c r="S1126" s="94">
        <f>((Table3.110[[#This Row],[Sample weight, g]]*'2.1. DM'!Q275)/100)*1000</f>
        <v>477.95334560283339</v>
      </c>
      <c r="T1126" s="94">
        <f>'3.2 Digest'!W1126</f>
        <v>183.95334560283334</v>
      </c>
      <c r="U1126" s="153">
        <v>0.33680555555555558</v>
      </c>
      <c r="V1126" s="154">
        <v>40.5</v>
      </c>
      <c r="W1126" s="153">
        <v>0.67986111111111114</v>
      </c>
      <c r="X1126" s="91">
        <v>72.5</v>
      </c>
      <c r="Y1126" s="91">
        <v>13.3</v>
      </c>
      <c r="Z1126" s="154">
        <v>40</v>
      </c>
      <c r="AA1126" s="153">
        <v>0.37708333333333333</v>
      </c>
      <c r="AB1126" s="154">
        <v>74.5</v>
      </c>
      <c r="AC1126" s="154">
        <v>16</v>
      </c>
      <c r="AD1126" s="91"/>
      <c r="AE1126" s="94">
        <f>Table3.110[[#This Row],[Gas 8h, ml]]-Table3.110[[#This Row],[Gas 0h, ml]]</f>
        <v>32</v>
      </c>
      <c r="AF1126" s="94">
        <f>Table3.110[[#This Row],[Gas 24h, ml]]-Table3.110[[#This Row],[V8 Push back, ml]]</f>
        <v>34.5</v>
      </c>
      <c r="AG1126" s="94">
        <f>Table3.110[[#This Row],[GP 8h, ml]]-(AVERAGE(AE$1087,AE$1088,AE$1121,AE$1122,AE$1157,AE$1158))*$AG$8</f>
        <v>29.861233672775342</v>
      </c>
      <c r="AH1126" s="94">
        <f>Table3.110[[#This Row],[GP 8-24h, ml]]-(AVERAGE(AF$1087,AF$1088,AF$1121,AF$1122,AF$1157,AF$1158))*$AG$8</f>
        <v>31.623728042697874</v>
      </c>
      <c r="AI1126" s="94">
        <f>Table3.110[[#This Row],[Net gas 8-24h, ml]]+Table3.110[[#This Row],[Net gas 8h, ml]]</f>
        <v>61.484961715473219</v>
      </c>
      <c r="AJ1126" s="94">
        <f>Table3.110[[#This Row],[Net gas 8h, ml]]*Table3.110[[#This Row],[CH4 8h %]]%</f>
        <v>3.9715440784791207</v>
      </c>
      <c r="AK1126" s="94">
        <f>Table3.110[[#This Row],[Net gas 8-24h, ml]]*Table3.110[[#This Row],[CH4 24h, %]]%</f>
        <v>5.0597964868316598</v>
      </c>
      <c r="AL1126" s="94">
        <f>Table3.110[[#This Row],[CH4 8-24h, ml]]+Table3.110[[#This Row],[CH4 8h, ml]]</f>
        <v>9.0313405653107814</v>
      </c>
      <c r="AM1126" s="94">
        <f>(Table3.110[[#This Row],[Net gas 24h, ml]]/Table3.110[[#This Row],[DM Incubated, mg]])*1000</f>
        <v>128.642182926711</v>
      </c>
      <c r="AN1126" s="94">
        <f>'3.2 Digest'!X1126</f>
        <v>38.487720045314575</v>
      </c>
      <c r="AO1126" s="94">
        <f>Table3.110[[#This Row],[Digested feed, mg]]/Table3.110[[#This Row],[Net gas 24h, ml]]</f>
        <v>2.9918428908534214</v>
      </c>
      <c r="AP1126" s="94">
        <f>Table3.110[[#This Row],[CH4 8h, ml]]/Table3.110[[#This Row],[Net gas 8h, ml]]%</f>
        <v>13.300000000000002</v>
      </c>
      <c r="AQ1126" s="94">
        <f>Table3.110[[#This Row],[CH4 24h, ml]]/Table3.110[[#This Row],[Net gas 24h, ml]]%</f>
        <v>14.688698363518647</v>
      </c>
      <c r="AR1126" s="94">
        <f>Table3.110[[#This Row],[CH4 24h, ml]]/Table3.110[[#This Row],[DM Incubated, mg]]*1000</f>
        <v>18.895862218350466</v>
      </c>
      <c r="AS1126" s="94">
        <f>Table3.110[[#This Row],[CH4 24h, ml]]/Table3.110[[#This Row],[Digested feed, mg]]*1000</f>
        <v>49.095821202458609</v>
      </c>
      <c r="AT1126" s="94">
        <f>Table3.110[[#This Row],[CH4 24h, ml]]/'3.2 Digest'!AA1126</f>
        <v>-2.8332598655704091</v>
      </c>
      <c r="AU1126" s="94">
        <f>((Table3.110[[#This Row],[CH4 24h, ml]]/28.9)*16.04)/Table3.110[[#This Row],[DM Incubated, mg]]*1000</f>
        <v>10.487530449215969</v>
      </c>
      <c r="AV1126" s="94">
        <f>((Table3.110[[#This Row],[CH4 24h, ml]]/28.9)*16.04)/Table3.110[[#This Row],[Digested feed, mg]]*1000</f>
        <v>27.249030176035852</v>
      </c>
      <c r="AW1126" s="94"/>
      <c r="AX1126" s="94"/>
    </row>
    <row r="1127" spans="2:50" x14ac:dyDescent="0.35">
      <c r="B1127" s="90">
        <f t="shared" si="17"/>
        <v>1117</v>
      </c>
      <c r="C1127" s="140">
        <v>46083</v>
      </c>
      <c r="D1127" s="6" t="s">
        <v>16</v>
      </c>
      <c r="E1127" s="6" t="s">
        <v>435</v>
      </c>
      <c r="F1127" s="242" t="s">
        <v>219</v>
      </c>
      <c r="G1127" s="242" t="s">
        <v>220</v>
      </c>
      <c r="H1127" s="6" t="s">
        <v>221</v>
      </c>
      <c r="I1127" s="133" t="s">
        <v>22</v>
      </c>
      <c r="J1127" s="135" t="s">
        <v>23</v>
      </c>
      <c r="K1127" s="135" t="s">
        <v>215</v>
      </c>
      <c r="L1127" s="6" t="s">
        <v>434</v>
      </c>
      <c r="M1127" s="256">
        <v>30</v>
      </c>
      <c r="N1127" s="256">
        <v>65</v>
      </c>
      <c r="O1127" s="256">
        <v>2</v>
      </c>
      <c r="P1127" s="257">
        <v>1</v>
      </c>
      <c r="Q1127" s="129">
        <v>41</v>
      </c>
      <c r="R1127" s="98">
        <v>0.5</v>
      </c>
      <c r="S1127" s="94">
        <f>((Table3.110[[#This Row],[Sample weight, g]]*'2.1. DM'!Q277)/100)*1000</f>
        <v>454.4931747861948</v>
      </c>
      <c r="T1127" s="94">
        <f>'3.2 Digest'!W1127</f>
        <v>287.69317478619485</v>
      </c>
      <c r="U1127" s="153">
        <v>0.33680555555555558</v>
      </c>
      <c r="V1127" s="154">
        <v>40.5</v>
      </c>
      <c r="W1127" s="153">
        <v>0.68055555555555558</v>
      </c>
      <c r="X1127" s="91">
        <v>82.5</v>
      </c>
      <c r="Y1127" s="91">
        <v>13.8</v>
      </c>
      <c r="Z1127" s="154">
        <v>40</v>
      </c>
      <c r="AA1127" s="153">
        <v>0.37777777777777777</v>
      </c>
      <c r="AB1127" s="154">
        <v>89</v>
      </c>
      <c r="AC1127" s="154">
        <v>18.2</v>
      </c>
      <c r="AD1127" s="91"/>
      <c r="AE1127" s="94">
        <f>Table3.110[[#This Row],[Gas 8h, ml]]-Table3.110[[#This Row],[Gas 0h, ml]]</f>
        <v>42</v>
      </c>
      <c r="AF1127" s="94">
        <f>Table3.110[[#This Row],[Gas 24h, ml]]-Table3.110[[#This Row],[V8 Push back, ml]]</f>
        <v>49</v>
      </c>
      <c r="AG1127" s="94">
        <f>Table3.110[[#This Row],[GP 8h, ml]]-(AVERAGE(AE$1087,AE$1088,AE$1121,AE$1122,AE$1157,AE$1158))*$AG$8</f>
        <v>39.861233672775342</v>
      </c>
      <c r="AH1127" s="94">
        <f>Table3.110[[#This Row],[GP 8-24h, ml]]-(AVERAGE(AF$1087,AF$1088,AF$1121,AF$1122,AF$1157,AF$1158))*$AG$8</f>
        <v>46.123728042697877</v>
      </c>
      <c r="AI1127" s="94">
        <f>Table3.110[[#This Row],[Net gas 8-24h, ml]]+Table3.110[[#This Row],[Net gas 8h, ml]]</f>
        <v>85.984961715473219</v>
      </c>
      <c r="AJ1127" s="94">
        <f>Table3.110[[#This Row],[Net gas 8h, ml]]*Table3.110[[#This Row],[CH4 8h %]]%</f>
        <v>5.5008502468429974</v>
      </c>
      <c r="AK1127" s="94">
        <f>Table3.110[[#This Row],[Net gas 8-24h, ml]]*Table3.110[[#This Row],[CH4 24h, %]]%</f>
        <v>8.3945185037710139</v>
      </c>
      <c r="AL1127" s="94">
        <f>Table3.110[[#This Row],[CH4 8-24h, ml]]+Table3.110[[#This Row],[CH4 8h, ml]]</f>
        <v>13.895368750614011</v>
      </c>
      <c r="AM1127" s="94">
        <f>(Table3.110[[#This Row],[Net gas 24h, ml]]/Table3.110[[#This Row],[DM Incubated, mg]])*1000</f>
        <v>189.18867539853099</v>
      </c>
      <c r="AN1127" s="94">
        <f>'3.2 Digest'!X1127</f>
        <v>63.299778906808243</v>
      </c>
      <c r="AO1127" s="94">
        <f>Table3.110[[#This Row],[Digested feed, mg]]/Table3.110[[#This Row],[Net gas 24h, ml]]</f>
        <v>3.3458545430092772</v>
      </c>
      <c r="AP1127" s="94">
        <f>Table3.110[[#This Row],[CH4 8h, ml]]/Table3.110[[#This Row],[Net gas 8h, ml]]%</f>
        <v>13.8</v>
      </c>
      <c r="AQ1127" s="94">
        <f>Table3.110[[#This Row],[CH4 24h, ml]]/Table3.110[[#This Row],[Net gas 24h, ml]]%</f>
        <v>16.160231363007636</v>
      </c>
      <c r="AR1127" s="94">
        <f>Table3.110[[#This Row],[CH4 24h, ml]]/Table3.110[[#This Row],[DM Incubated, mg]]*1000</f>
        <v>30.573327657012115</v>
      </c>
      <c r="AS1127" s="94">
        <f>Table3.110[[#This Row],[CH4 24h, ml]]/Table3.110[[#This Row],[Digested feed, mg]]*1000</f>
        <v>48.299264523534987</v>
      </c>
      <c r="AT1127" s="94">
        <f>Table3.110[[#This Row],[CH4 24h, ml]]/'3.2 Digest'!AA1127</f>
        <v>0.55600373116523583</v>
      </c>
      <c r="AU1127" s="94">
        <f>((Table3.110[[#This Row],[CH4 24h, ml]]/28.9)*16.04)/Table3.110[[#This Row],[DM Incubated, mg]]*1000</f>
        <v>16.968725799947208</v>
      </c>
      <c r="AV1127" s="94">
        <f>((Table3.110[[#This Row],[CH4 24h, ml]]/28.9)*16.04)/Table3.110[[#This Row],[Digested feed, mg]]*1000</f>
        <v>26.806927437975823</v>
      </c>
      <c r="AW1127" s="94"/>
      <c r="AX1127" s="94"/>
    </row>
    <row r="1128" spans="2:50" x14ac:dyDescent="0.35">
      <c r="B1128" s="90">
        <f t="shared" si="17"/>
        <v>1118</v>
      </c>
      <c r="C1128" s="140">
        <v>46083</v>
      </c>
      <c r="D1128" s="6" t="s">
        <v>16</v>
      </c>
      <c r="E1128" s="6" t="s">
        <v>435</v>
      </c>
      <c r="F1128" s="242" t="s">
        <v>219</v>
      </c>
      <c r="G1128" s="242" t="s">
        <v>220</v>
      </c>
      <c r="H1128" s="6" t="s">
        <v>221</v>
      </c>
      <c r="I1128" s="133" t="s">
        <v>22</v>
      </c>
      <c r="J1128" s="135" t="s">
        <v>23</v>
      </c>
      <c r="K1128" s="135" t="s">
        <v>215</v>
      </c>
      <c r="L1128" s="6" t="s">
        <v>434</v>
      </c>
      <c r="M1128" s="256">
        <v>30</v>
      </c>
      <c r="N1128" s="256">
        <v>65</v>
      </c>
      <c r="O1128" s="256">
        <v>2</v>
      </c>
      <c r="P1128" s="257">
        <v>2</v>
      </c>
      <c r="Q1128" s="129">
        <v>42</v>
      </c>
      <c r="R1128" s="98">
        <v>0.50019999999999998</v>
      </c>
      <c r="S1128" s="94">
        <f>((Table3.110[[#This Row],[Sample weight, g]]*'2.1. DM'!Q277)/100)*1000</f>
        <v>454.67497205610925</v>
      </c>
      <c r="T1128" s="94">
        <f>'3.2 Digest'!W1128</f>
        <v>275.27497205610928</v>
      </c>
      <c r="U1128" s="117">
        <v>0.33680555555555558</v>
      </c>
      <c r="V1128" s="155">
        <v>41</v>
      </c>
      <c r="W1128" s="117">
        <v>0.68055555555555558</v>
      </c>
      <c r="X1128" s="96">
        <v>83</v>
      </c>
      <c r="Y1128" s="96">
        <v>13.6</v>
      </c>
      <c r="Z1128" s="155">
        <v>40</v>
      </c>
      <c r="AA1128" s="117">
        <v>0.37777777777777777</v>
      </c>
      <c r="AB1128" s="155">
        <v>92</v>
      </c>
      <c r="AC1128" s="155">
        <v>15.5</v>
      </c>
      <c r="AD1128" s="96"/>
      <c r="AE1128" s="94">
        <f>Table3.110[[#This Row],[Gas 8h, ml]]-Table3.110[[#This Row],[Gas 0h, ml]]</f>
        <v>42</v>
      </c>
      <c r="AF1128" s="94">
        <f>Table3.110[[#This Row],[Gas 24h, ml]]-Table3.110[[#This Row],[V8 Push back, ml]]</f>
        <v>52</v>
      </c>
      <c r="AG1128" s="94">
        <f>Table3.110[[#This Row],[GP 8h, ml]]-(AVERAGE(AE$1087,AE$1088,AE$1121,AE$1122,AE$1157,AE$1158))*$AG$8</f>
        <v>39.861233672775342</v>
      </c>
      <c r="AH1128" s="94">
        <f>Table3.110[[#This Row],[GP 8-24h, ml]]-(AVERAGE(AF$1087,AF$1088,AF$1121,AF$1122,AF$1157,AF$1158))*$AG$8</f>
        <v>49.123728042697877</v>
      </c>
      <c r="AI1128" s="94">
        <f>Table3.110[[#This Row],[Net gas 8-24h, ml]]+Table3.110[[#This Row],[Net gas 8h, ml]]</f>
        <v>88.984961715473219</v>
      </c>
      <c r="AJ1128" s="94">
        <f>Table3.110[[#This Row],[Net gas 8h, ml]]*Table3.110[[#This Row],[CH4 8h %]]%</f>
        <v>5.4211277794974473</v>
      </c>
      <c r="AK1128" s="94">
        <f>Table3.110[[#This Row],[Net gas 8-24h, ml]]*Table3.110[[#This Row],[CH4 24h, %]]%</f>
        <v>7.6141778466181709</v>
      </c>
      <c r="AL1128" s="94">
        <f>Table3.110[[#This Row],[CH4 8-24h, ml]]+Table3.110[[#This Row],[CH4 8h, ml]]</f>
        <v>13.035305626115619</v>
      </c>
      <c r="AM1128" s="94">
        <f>(Table3.110[[#This Row],[Net gas 24h, ml]]/Table3.110[[#This Row],[DM Incubated, mg]])*1000</f>
        <v>195.71115012790284</v>
      </c>
      <c r="AN1128" s="94">
        <f>'3.2 Digest'!X1128</f>
        <v>60.543242750150519</v>
      </c>
      <c r="AO1128" s="94">
        <f>Table3.110[[#This Row],[Digested feed, mg]]/Table3.110[[#This Row],[Net gas 24h, ml]]</f>
        <v>3.0934999212146974</v>
      </c>
      <c r="AP1128" s="94">
        <f>Table3.110[[#This Row],[CH4 8h, ml]]/Table3.110[[#This Row],[Net gas 8h, ml]]%</f>
        <v>13.600000000000001</v>
      </c>
      <c r="AQ1128" s="94">
        <f>Table3.110[[#This Row],[CH4 24h, ml]]/Table3.110[[#This Row],[Net gas 24h, ml]]%</f>
        <v>14.648886030648216</v>
      </c>
      <c r="AR1128" s="94">
        <f>Table3.110[[#This Row],[CH4 24h, ml]]/Table3.110[[#This Row],[DM Incubated, mg]]*1000</f>
        <v>28.669503331507315</v>
      </c>
      <c r="AS1128" s="94">
        <f>Table3.110[[#This Row],[CH4 24h, ml]]/Table3.110[[#This Row],[Digested feed, mg]]*1000</f>
        <v>47.353762417088298</v>
      </c>
      <c r="AT1128" s="94">
        <f>Table3.110[[#This Row],[CH4 24h, ml]]/'3.2 Digest'!AA1128</f>
        <v>0.67339297563799461</v>
      </c>
      <c r="AU1128" s="94">
        <f>((Table3.110[[#This Row],[CH4 24h, ml]]/28.9)*16.04)/Table3.110[[#This Row],[DM Incubated, mg]]*1000</f>
        <v>15.912070361154926</v>
      </c>
      <c r="AV1128" s="94">
        <f>((Table3.110[[#This Row],[CH4 24h, ml]]/28.9)*16.04)/Table3.110[[#This Row],[Digested feed, mg]]*1000</f>
        <v>26.28215741072998</v>
      </c>
      <c r="AW1128" s="94"/>
      <c r="AX1128" s="94"/>
    </row>
    <row r="1129" spans="2:50" x14ac:dyDescent="0.35">
      <c r="B1129" s="90">
        <f t="shared" si="17"/>
        <v>1119</v>
      </c>
      <c r="C1129" s="140">
        <v>46083</v>
      </c>
      <c r="D1129" s="6" t="s">
        <v>16</v>
      </c>
      <c r="E1129" s="6" t="s">
        <v>437</v>
      </c>
      <c r="F1129" s="242" t="s">
        <v>333</v>
      </c>
      <c r="G1129" s="242" t="s">
        <v>438</v>
      </c>
      <c r="H1129" s="6" t="s">
        <v>439</v>
      </c>
      <c r="I1129" s="133" t="s">
        <v>22</v>
      </c>
      <c r="J1129" s="135" t="s">
        <v>23</v>
      </c>
      <c r="K1129" s="135" t="s">
        <v>215</v>
      </c>
      <c r="L1129" s="6" t="s">
        <v>436</v>
      </c>
      <c r="M1129" s="256">
        <v>30</v>
      </c>
      <c r="N1129" s="256">
        <v>65</v>
      </c>
      <c r="O1129" s="256">
        <v>2</v>
      </c>
      <c r="P1129" s="257">
        <v>1</v>
      </c>
      <c r="Q1129" s="129">
        <v>43</v>
      </c>
      <c r="R1129" s="98">
        <v>0.5</v>
      </c>
      <c r="S1129" s="94">
        <f>((Table3.110[[#This Row],[Sample weight, g]]*'2.1. DM'!Q279)/100)*1000</f>
        <v>482.3322013590489</v>
      </c>
      <c r="T1129" s="94">
        <f>'3.2 Digest'!W1129</f>
        <v>276.63220135904891</v>
      </c>
      <c r="U1129" s="117">
        <v>0.33680555555555558</v>
      </c>
      <c r="V1129" s="155">
        <v>41</v>
      </c>
      <c r="W1129" s="117">
        <v>0.68125000000000002</v>
      </c>
      <c r="X1129" s="96">
        <v>83</v>
      </c>
      <c r="Y1129" s="96">
        <v>13.8</v>
      </c>
      <c r="Z1129" s="155">
        <v>40.5</v>
      </c>
      <c r="AA1129" s="117">
        <v>0.37847222222222221</v>
      </c>
      <c r="AB1129" s="155">
        <v>95.5</v>
      </c>
      <c r="AC1129" s="155">
        <v>14.9</v>
      </c>
      <c r="AD1129" s="96" t="s">
        <v>600</v>
      </c>
      <c r="AE1129" s="94">
        <f>Table3.110[[#This Row],[Gas 8h, ml]]-Table3.110[[#This Row],[Gas 0h, ml]]</f>
        <v>42</v>
      </c>
      <c r="AF1129" s="94">
        <f>Table3.110[[#This Row],[Gas 24h, ml]]-Table3.110[[#This Row],[V8 Push back, ml]]</f>
        <v>55</v>
      </c>
      <c r="AG1129" s="94"/>
      <c r="AH1129" s="94"/>
      <c r="AI1129" s="94"/>
      <c r="AJ1129" s="94"/>
      <c r="AK1129" s="94"/>
      <c r="AL1129" s="94"/>
      <c r="AM1129" s="94"/>
      <c r="AN1129" s="94"/>
      <c r="AO1129" s="94"/>
      <c r="AP1129" s="94"/>
      <c r="AQ1129" s="94"/>
      <c r="AR1129" s="94"/>
      <c r="AS1129" s="94"/>
      <c r="AT1129" s="94"/>
      <c r="AU1129" s="94"/>
      <c r="AV1129" s="94"/>
      <c r="AW1129" s="94" t="s">
        <v>611</v>
      </c>
      <c r="AX1129" s="94"/>
    </row>
    <row r="1130" spans="2:50" x14ac:dyDescent="0.35">
      <c r="B1130" s="90">
        <f t="shared" si="17"/>
        <v>1120</v>
      </c>
      <c r="C1130" s="140">
        <v>46083</v>
      </c>
      <c r="D1130" s="6" t="s">
        <v>16</v>
      </c>
      <c r="E1130" s="6" t="s">
        <v>437</v>
      </c>
      <c r="F1130" s="242" t="s">
        <v>333</v>
      </c>
      <c r="G1130" s="242" t="s">
        <v>438</v>
      </c>
      <c r="H1130" s="6" t="s">
        <v>439</v>
      </c>
      <c r="I1130" s="133" t="s">
        <v>22</v>
      </c>
      <c r="J1130" s="135" t="s">
        <v>23</v>
      </c>
      <c r="K1130" s="135" t="s">
        <v>215</v>
      </c>
      <c r="L1130" s="6" t="s">
        <v>436</v>
      </c>
      <c r="M1130" s="256">
        <v>30</v>
      </c>
      <c r="N1130" s="256">
        <v>65</v>
      </c>
      <c r="O1130" s="256">
        <v>2</v>
      </c>
      <c r="P1130" s="257">
        <v>2</v>
      </c>
      <c r="Q1130" s="129">
        <v>44</v>
      </c>
      <c r="R1130" s="98">
        <v>0.5</v>
      </c>
      <c r="S1130" s="94">
        <f>((Table3.110[[#This Row],[Sample weight, g]]*'2.1. DM'!Q279)/100)*1000</f>
        <v>482.3322013590489</v>
      </c>
      <c r="T1130" s="94">
        <f>'3.2 Digest'!W1130</f>
        <v>296.8322013590489</v>
      </c>
      <c r="U1130" s="153">
        <v>0.33750000000000002</v>
      </c>
      <c r="V1130" s="155">
        <v>40.5</v>
      </c>
      <c r="W1130" s="153">
        <v>0.68194444444444446</v>
      </c>
      <c r="X1130" s="91">
        <v>81.5</v>
      </c>
      <c r="Y1130" s="91">
        <v>14.1</v>
      </c>
      <c r="Z1130" s="154">
        <v>40</v>
      </c>
      <c r="AA1130" s="153">
        <v>0.37847222222222221</v>
      </c>
      <c r="AB1130" s="154">
        <v>92.5</v>
      </c>
      <c r="AC1130" s="154">
        <v>14.8</v>
      </c>
      <c r="AD1130" s="91" t="s">
        <v>599</v>
      </c>
      <c r="AE1130" s="94">
        <f>Table3.110[[#This Row],[Gas 8h, ml]]-Table3.110[[#This Row],[Gas 0h, ml]]</f>
        <v>41</v>
      </c>
      <c r="AF1130" s="94">
        <f>Table3.110[[#This Row],[Gas 24h, ml]]-Table3.110[[#This Row],[V8 Push back, ml]]</f>
        <v>52.5</v>
      </c>
      <c r="AG1130" s="94"/>
      <c r="AH1130" s="94"/>
      <c r="AI1130" s="94"/>
      <c r="AJ1130" s="94"/>
      <c r="AK1130" s="94"/>
      <c r="AL1130" s="94"/>
      <c r="AM1130" s="94"/>
      <c r="AN1130" s="94"/>
      <c r="AO1130" s="94"/>
      <c r="AP1130" s="94"/>
      <c r="AQ1130" s="94"/>
      <c r="AR1130" s="94"/>
      <c r="AS1130" s="94"/>
      <c r="AT1130" s="94"/>
      <c r="AU1130" s="94"/>
      <c r="AV1130" s="94"/>
      <c r="AW1130" s="94" t="s">
        <v>668</v>
      </c>
      <c r="AX1130" s="94"/>
    </row>
    <row r="1131" spans="2:50" x14ac:dyDescent="0.35">
      <c r="B1131" s="90">
        <f t="shared" si="17"/>
        <v>1121</v>
      </c>
      <c r="C1131" s="140">
        <v>46083</v>
      </c>
      <c r="D1131" s="6" t="s">
        <v>16</v>
      </c>
      <c r="E1131" s="6" t="s">
        <v>441</v>
      </c>
      <c r="F1131" s="242" t="s">
        <v>442</v>
      </c>
      <c r="G1131" s="242" t="s">
        <v>443</v>
      </c>
      <c r="H1131" s="6" t="s">
        <v>444</v>
      </c>
      <c r="I1131" s="133" t="s">
        <v>22</v>
      </c>
      <c r="J1131" s="135" t="s">
        <v>23</v>
      </c>
      <c r="K1131" s="135" t="s">
        <v>215</v>
      </c>
      <c r="L1131" s="6" t="s">
        <v>440</v>
      </c>
      <c r="M1131" s="256">
        <v>30</v>
      </c>
      <c r="N1131" s="256">
        <v>65</v>
      </c>
      <c r="O1131" s="256">
        <v>2</v>
      </c>
      <c r="P1131" s="257">
        <v>1</v>
      </c>
      <c r="Q1131" s="129">
        <v>45</v>
      </c>
      <c r="R1131" s="98">
        <v>0.5</v>
      </c>
      <c r="S1131" s="94">
        <f>((Table3.110[[#This Row],[Sample weight, g]]*'2.1. DM'!Q281)/100)*1000</f>
        <v>481.00567754319019</v>
      </c>
      <c r="T1131" s="94">
        <f>'3.2 Digest'!W1131</f>
        <v>194.70567754319018</v>
      </c>
      <c r="U1131" s="153">
        <v>0.33750000000000002</v>
      </c>
      <c r="V1131" s="155">
        <v>41</v>
      </c>
      <c r="W1131" s="153">
        <v>0.68194444444444446</v>
      </c>
      <c r="X1131" s="91">
        <v>70</v>
      </c>
      <c r="Y1131" s="91">
        <v>12.7</v>
      </c>
      <c r="Z1131" s="154">
        <v>40</v>
      </c>
      <c r="AA1131" s="153">
        <v>0.37916666666666665</v>
      </c>
      <c r="AB1131" s="154">
        <v>73.5</v>
      </c>
      <c r="AC1131" s="154">
        <v>14.6</v>
      </c>
      <c r="AD1131" s="91"/>
      <c r="AE1131" s="94">
        <f>Table3.110[[#This Row],[Gas 8h, ml]]-Table3.110[[#This Row],[Gas 0h, ml]]</f>
        <v>29</v>
      </c>
      <c r="AF1131" s="94">
        <f>Table3.110[[#This Row],[Gas 24h, ml]]-Table3.110[[#This Row],[V8 Push back, ml]]</f>
        <v>33.5</v>
      </c>
      <c r="AG1131" s="94">
        <f>Table3.110[[#This Row],[GP 8h, ml]]-(AVERAGE(AE$1087,AE$1088,AE$1121,AE$1122,AE$1157,AE$1158))*$AG$8</f>
        <v>26.861233672775342</v>
      </c>
      <c r="AH1131" s="94">
        <f>Table3.110[[#This Row],[GP 8-24h, ml]]-(AVERAGE(AF$1087,AF$1088,AF$1121,AF$1122,AF$1157,AF$1158))*$AG$8</f>
        <v>30.623728042697874</v>
      </c>
      <c r="AI1131" s="94">
        <f>Table3.110[[#This Row],[Net gas 8-24h, ml]]+Table3.110[[#This Row],[Net gas 8h, ml]]</f>
        <v>57.484961715473219</v>
      </c>
      <c r="AJ1131" s="94">
        <f>Table3.110[[#This Row],[Net gas 8h, ml]]*Table3.110[[#This Row],[CH4 8h %]]%</f>
        <v>3.4113766764424684</v>
      </c>
      <c r="AK1131" s="94">
        <f>Table3.110[[#This Row],[Net gas 8-24h, ml]]*Table3.110[[#This Row],[CH4 24h, %]]%</f>
        <v>4.471064294233889</v>
      </c>
      <c r="AL1131" s="94">
        <f>Table3.110[[#This Row],[CH4 8-24h, ml]]+Table3.110[[#This Row],[CH4 8h, ml]]</f>
        <v>7.8824409706763578</v>
      </c>
      <c r="AM1131" s="94">
        <f>(Table3.110[[#This Row],[Net gas 24h, ml]]/Table3.110[[#This Row],[DM Incubated, mg]])*1000</f>
        <v>119.50994426736587</v>
      </c>
      <c r="AN1131" s="94">
        <f>'3.2 Digest'!X1131</f>
        <v>40.478873043178851</v>
      </c>
      <c r="AO1131" s="94">
        <f>Table3.110[[#This Row],[Digested feed, mg]]/Table3.110[[#This Row],[Net gas 24h, ml]]</f>
        <v>3.3870715354548331</v>
      </c>
      <c r="AP1131" s="94">
        <f>Table3.110[[#This Row],[CH4 8h, ml]]/Table3.110[[#This Row],[Net gas 8h, ml]]%</f>
        <v>12.7</v>
      </c>
      <c r="AQ1131" s="94">
        <f>Table3.110[[#This Row],[CH4 24h, ml]]/Table3.110[[#This Row],[Net gas 24h, ml]]%</f>
        <v>13.712179212523756</v>
      </c>
      <c r="AR1131" s="94">
        <f>Table3.110[[#This Row],[CH4 24h, ml]]/Table3.110[[#This Row],[DM Incubated, mg]]*1000</f>
        <v>16.387417734728466</v>
      </c>
      <c r="AS1131" s="94">
        <f>Table3.110[[#This Row],[CH4 24h, ml]]/Table3.110[[#This Row],[Digested feed, mg]]*1000</f>
        <v>40.483878385764335</v>
      </c>
      <c r="AT1131" s="94">
        <f>Table3.110[[#This Row],[CH4 24h, ml]]/'3.2 Digest'!AA1131</f>
        <v>1.7923178467133305</v>
      </c>
      <c r="AU1131" s="94">
        <f>((Table3.110[[#This Row],[CH4 24h, ml]]/28.9)*16.04)/Table3.110[[#This Row],[DM Incubated, mg]]*1000</f>
        <v>9.0953003621122708</v>
      </c>
      <c r="AV1131" s="94">
        <f>((Table3.110[[#This Row],[CH4 24h, ml]]/28.9)*16.04)/Table3.110[[#This Row],[Digested feed, mg]]*1000</f>
        <v>22.469252917220068</v>
      </c>
      <c r="AW1131" s="94"/>
      <c r="AX1131" s="94"/>
    </row>
    <row r="1132" spans="2:50" x14ac:dyDescent="0.35">
      <c r="B1132" s="90">
        <f t="shared" si="17"/>
        <v>1122</v>
      </c>
      <c r="C1132" s="140">
        <v>46083</v>
      </c>
      <c r="D1132" s="6" t="s">
        <v>16</v>
      </c>
      <c r="E1132" s="6" t="s">
        <v>441</v>
      </c>
      <c r="F1132" s="242" t="s">
        <v>442</v>
      </c>
      <c r="G1132" s="242" t="s">
        <v>443</v>
      </c>
      <c r="H1132" s="6" t="s">
        <v>444</v>
      </c>
      <c r="I1132" s="133" t="s">
        <v>22</v>
      </c>
      <c r="J1132" s="135" t="s">
        <v>23</v>
      </c>
      <c r="K1132" s="135" t="s">
        <v>215</v>
      </c>
      <c r="L1132" s="6" t="s">
        <v>440</v>
      </c>
      <c r="M1132" s="256">
        <v>30</v>
      </c>
      <c r="N1132" s="256">
        <v>65</v>
      </c>
      <c r="O1132" s="256">
        <v>2</v>
      </c>
      <c r="P1132" s="257">
        <v>2</v>
      </c>
      <c r="Q1132" s="129">
        <v>46</v>
      </c>
      <c r="R1132" s="98">
        <v>0.5</v>
      </c>
      <c r="S1132" s="94">
        <f>((Table3.110[[#This Row],[Sample weight, g]]*'2.1. DM'!Q281)/100)*1000</f>
        <v>481.00567754319019</v>
      </c>
      <c r="T1132" s="94">
        <f>'3.2 Digest'!W1132</f>
        <v>147.60567754319015</v>
      </c>
      <c r="U1132" s="117">
        <v>0.33819444444444446</v>
      </c>
      <c r="V1132" s="155">
        <v>41</v>
      </c>
      <c r="W1132" s="117">
        <v>0.68263888888888891</v>
      </c>
      <c r="X1132" s="96">
        <v>69.5</v>
      </c>
      <c r="Y1132" s="96">
        <v>12.3</v>
      </c>
      <c r="Z1132" s="155">
        <v>40</v>
      </c>
      <c r="AA1132" s="117">
        <v>0.37986111111111109</v>
      </c>
      <c r="AB1132" s="155">
        <v>73</v>
      </c>
      <c r="AC1132" s="155">
        <v>14.6</v>
      </c>
      <c r="AD1132" s="96"/>
      <c r="AE1132" s="94">
        <f>Table3.110[[#This Row],[Gas 8h, ml]]-Table3.110[[#This Row],[Gas 0h, ml]]</f>
        <v>28.5</v>
      </c>
      <c r="AF1132" s="94">
        <f>Table3.110[[#This Row],[Gas 24h, ml]]-Table3.110[[#This Row],[V8 Push back, ml]]</f>
        <v>33</v>
      </c>
      <c r="AG1132" s="94">
        <f>Table3.110[[#This Row],[GP 8h, ml]]-(AVERAGE(AE$1087,AE$1088,AE$1121,AE$1122,AE$1157,AE$1158))*$AG$8</f>
        <v>26.361233672775342</v>
      </c>
      <c r="AH1132" s="94">
        <f>Table3.110[[#This Row],[GP 8-24h, ml]]-(AVERAGE(AF$1087,AF$1088,AF$1121,AF$1122,AF$1157,AF$1158))*$AG$8</f>
        <v>30.123728042697874</v>
      </c>
      <c r="AI1132" s="94">
        <f>Table3.110[[#This Row],[Net gas 8-24h, ml]]+Table3.110[[#This Row],[Net gas 8h, ml]]</f>
        <v>56.484961715473219</v>
      </c>
      <c r="AJ1132" s="94">
        <f>Table3.110[[#This Row],[Net gas 8h, ml]]*Table3.110[[#This Row],[CH4 8h %]]%</f>
        <v>3.2424317417513673</v>
      </c>
      <c r="AK1132" s="94">
        <f>Table3.110[[#This Row],[Net gas 8-24h, ml]]*Table3.110[[#This Row],[CH4 24h, %]]%</f>
        <v>4.3980642942338894</v>
      </c>
      <c r="AL1132" s="94">
        <f>Table3.110[[#This Row],[CH4 8-24h, ml]]+Table3.110[[#This Row],[CH4 8h, ml]]</f>
        <v>7.6404960359852563</v>
      </c>
      <c r="AM1132" s="94">
        <f>(Table3.110[[#This Row],[Net gas 24h, ml]]/Table3.110[[#This Row],[DM Incubated, mg]])*1000</f>
        <v>117.43096672783317</v>
      </c>
      <c r="AN1132" s="94">
        <f>'3.2 Digest'!X1132</f>
        <v>30.686888831979829</v>
      </c>
      <c r="AO1132" s="94">
        <f>Table3.110[[#This Row],[Digested feed, mg]]/Table3.110[[#This Row],[Net gas 24h, ml]]</f>
        <v>2.6131854047580201</v>
      </c>
      <c r="AP1132" s="94">
        <f>Table3.110[[#This Row],[CH4 8h, ml]]/Table3.110[[#This Row],[Net gas 8h, ml]]%</f>
        <v>12.3</v>
      </c>
      <c r="AQ1132" s="94">
        <f>Table3.110[[#This Row],[CH4 24h, ml]]/Table3.110[[#This Row],[Net gas 24h, ml]]%</f>
        <v>13.526602132567714</v>
      </c>
      <c r="AR1132" s="94">
        <f>Table3.110[[#This Row],[CH4 24h, ml]]/Table3.110[[#This Row],[DM Incubated, mg]]*1000</f>
        <v>15.884419649701963</v>
      </c>
      <c r="AS1132" s="94">
        <f>Table3.110[[#This Row],[CH4 24h, ml]]/Table3.110[[#This Row],[Digested feed, mg]]*1000</f>
        <v>51.76288719483442</v>
      </c>
      <c r="AT1132" s="94">
        <f>Table3.110[[#This Row],[CH4 24h, ml]]/'3.2 Digest'!AA1132</f>
        <v>-0.67436807899726492</v>
      </c>
      <c r="AU1132" s="94">
        <f>((Table3.110[[#This Row],[CH4 24h, ml]]/28.9)*16.04)/Table3.110[[#This Row],[DM Incubated, mg]]*1000</f>
        <v>8.8161277225335475</v>
      </c>
      <c r="AV1132" s="94">
        <f>((Table3.110[[#This Row],[CH4 24h, ml]]/28.9)*16.04)/Table3.110[[#This Row],[Digested feed, mg]]*1000</f>
        <v>28.729297944814679</v>
      </c>
      <c r="AW1132" s="94"/>
      <c r="AX1132" s="94"/>
    </row>
    <row r="1133" spans="2:50" x14ac:dyDescent="0.35">
      <c r="B1133" s="90">
        <f t="shared" si="17"/>
        <v>1123</v>
      </c>
      <c r="C1133" s="140">
        <v>46083</v>
      </c>
      <c r="D1133" s="6" t="s">
        <v>16</v>
      </c>
      <c r="E1133" s="6" t="s">
        <v>446</v>
      </c>
      <c r="F1133" s="242" t="s">
        <v>442</v>
      </c>
      <c r="G1133" s="242" t="s">
        <v>447</v>
      </c>
      <c r="H1133" s="6" t="s">
        <v>448</v>
      </c>
      <c r="I1133" s="133" t="s">
        <v>22</v>
      </c>
      <c r="J1133" s="135" t="s">
        <v>23</v>
      </c>
      <c r="K1133" s="135" t="s">
        <v>215</v>
      </c>
      <c r="L1133" s="6" t="s">
        <v>445</v>
      </c>
      <c r="M1133" s="256">
        <v>30</v>
      </c>
      <c r="N1133" s="256">
        <v>65</v>
      </c>
      <c r="O1133" s="256">
        <v>2</v>
      </c>
      <c r="P1133" s="257">
        <v>1</v>
      </c>
      <c r="Q1133" s="129">
        <v>47</v>
      </c>
      <c r="R1133" s="98">
        <v>0.5</v>
      </c>
      <c r="S1133" s="94">
        <f>((Table3.110[[#This Row],[Sample weight, g]]*'2.1. DM'!Q283)/100)*1000</f>
        <v>476.45942599029394</v>
      </c>
      <c r="T1133" s="94">
        <f>'3.2 Digest'!W1133</f>
        <v>220.85942599029389</v>
      </c>
      <c r="U1133" s="117">
        <v>0.33819444444444446</v>
      </c>
      <c r="V1133" s="155">
        <v>41.5</v>
      </c>
      <c r="W1133" s="117">
        <v>0.68263888888888891</v>
      </c>
      <c r="X1133" s="96">
        <v>75.5</v>
      </c>
      <c r="Y1133" s="96">
        <v>12.1</v>
      </c>
      <c r="Z1133" s="155">
        <v>40</v>
      </c>
      <c r="AA1133" s="117">
        <v>0.37986111111111109</v>
      </c>
      <c r="AB1133" s="155">
        <v>78.5</v>
      </c>
      <c r="AC1133" s="155">
        <v>15.6</v>
      </c>
      <c r="AD1133" s="96"/>
      <c r="AE1133" s="94">
        <f>Table3.110[[#This Row],[Gas 8h, ml]]-Table3.110[[#This Row],[Gas 0h, ml]]</f>
        <v>34</v>
      </c>
      <c r="AF1133" s="94">
        <f>Table3.110[[#This Row],[Gas 24h, ml]]-Table3.110[[#This Row],[V8 Push back, ml]]</f>
        <v>38.5</v>
      </c>
      <c r="AG1133" s="94">
        <f>Table3.110[[#This Row],[GP 8h, ml]]-(AVERAGE(AE$1087,AE$1088,AE$1121,AE$1122,AE$1157,AE$1158))*$AG$8</f>
        <v>31.861233672775342</v>
      </c>
      <c r="AH1133" s="94">
        <f>Table3.110[[#This Row],[GP 8-24h, ml]]-(AVERAGE(AF$1087,AF$1088,AF$1121,AF$1122,AF$1157,AF$1158))*$AG$8</f>
        <v>35.623728042697877</v>
      </c>
      <c r="AI1133" s="94">
        <f>Table3.110[[#This Row],[Net gas 8-24h, ml]]+Table3.110[[#This Row],[Net gas 8h, ml]]</f>
        <v>67.484961715473219</v>
      </c>
      <c r="AJ1133" s="94">
        <f>Table3.110[[#This Row],[Net gas 8h, ml]]*Table3.110[[#This Row],[CH4 8h %]]%</f>
        <v>3.8552092744058162</v>
      </c>
      <c r="AK1133" s="94">
        <f>Table3.110[[#This Row],[Net gas 8-24h, ml]]*Table3.110[[#This Row],[CH4 24h, %]]%</f>
        <v>5.5573015746608689</v>
      </c>
      <c r="AL1133" s="94">
        <f>Table3.110[[#This Row],[CH4 8-24h, ml]]+Table3.110[[#This Row],[CH4 8h, ml]]</f>
        <v>9.4125108490666847</v>
      </c>
      <c r="AM1133" s="94">
        <f>(Table3.110[[#This Row],[Net gas 24h, ml]]/Table3.110[[#This Row],[DM Incubated, mg]])*1000</f>
        <v>141.63842298892408</v>
      </c>
      <c r="AN1133" s="94">
        <f>'3.2 Digest'!X1133</f>
        <v>46.354298801256803</v>
      </c>
      <c r="AO1133" s="94">
        <f>Table3.110[[#This Row],[Digested feed, mg]]/Table3.110[[#This Row],[Net gas 24h, ml]]</f>
        <v>3.2727206236179041</v>
      </c>
      <c r="AP1133" s="94">
        <f>Table3.110[[#This Row],[CH4 8h, ml]]/Table3.110[[#This Row],[Net gas 8h, ml]]%</f>
        <v>12.1</v>
      </c>
      <c r="AQ1133" s="94">
        <f>Table3.110[[#This Row],[CH4 24h, ml]]/Table3.110[[#This Row],[Net gas 24h, ml]]%</f>
        <v>13.94756788742246</v>
      </c>
      <c r="AR1133" s="94">
        <f>Table3.110[[#This Row],[CH4 24h, ml]]/Table3.110[[#This Row],[DM Incubated, mg]]*1000</f>
        <v>19.755115201054767</v>
      </c>
      <c r="AS1133" s="94">
        <f>Table3.110[[#This Row],[CH4 24h, ml]]/Table3.110[[#This Row],[Digested feed, mg]]*1000</f>
        <v>42.617655130011684</v>
      </c>
      <c r="AT1133" s="94">
        <f>Table3.110[[#This Row],[CH4 24h, ml]]/'3.2 Digest'!AA1133</f>
        <v>6.5093211545151046</v>
      </c>
      <c r="AU1133" s="94">
        <f>((Table3.110[[#This Row],[CH4 24h, ml]]/28.9)*16.04)/Table3.110[[#This Row],[DM Incubated, mg]]*1000</f>
        <v>10.964430720585414</v>
      </c>
      <c r="AV1133" s="94">
        <f>((Table3.110[[#This Row],[CH4 24h, ml]]/28.9)*16.04)/Table3.110[[#This Row],[Digested feed, mg]]*1000</f>
        <v>23.653535926830013</v>
      </c>
      <c r="AW1133" s="94"/>
      <c r="AX1133" s="94"/>
    </row>
    <row r="1134" spans="2:50" x14ac:dyDescent="0.35">
      <c r="B1134" s="90">
        <f t="shared" si="17"/>
        <v>1124</v>
      </c>
      <c r="C1134" s="140">
        <v>46083</v>
      </c>
      <c r="D1134" s="6" t="s">
        <v>16</v>
      </c>
      <c r="E1134" s="6" t="s">
        <v>446</v>
      </c>
      <c r="F1134" s="242" t="s">
        <v>442</v>
      </c>
      <c r="G1134" s="242" t="s">
        <v>447</v>
      </c>
      <c r="H1134" s="6" t="s">
        <v>448</v>
      </c>
      <c r="I1134" s="133" t="s">
        <v>22</v>
      </c>
      <c r="J1134" s="135" t="s">
        <v>23</v>
      </c>
      <c r="K1134" s="135" t="s">
        <v>215</v>
      </c>
      <c r="L1134" s="6" t="s">
        <v>445</v>
      </c>
      <c r="M1134" s="256">
        <v>30</v>
      </c>
      <c r="N1134" s="256">
        <v>65</v>
      </c>
      <c r="O1134" s="256">
        <v>2</v>
      </c>
      <c r="P1134" s="257">
        <v>2</v>
      </c>
      <c r="Q1134" s="129">
        <v>48</v>
      </c>
      <c r="R1134" s="98">
        <v>0.5</v>
      </c>
      <c r="S1134" s="94">
        <f>((Table3.110[[#This Row],[Sample weight, g]]*'2.1. DM'!Q283)/100)*1000</f>
        <v>476.45942599029394</v>
      </c>
      <c r="T1134" s="94">
        <f>'3.2 Digest'!W1134</f>
        <v>169.85942599029397</v>
      </c>
      <c r="U1134" s="153">
        <v>0.33819444444444446</v>
      </c>
      <c r="V1134" s="155">
        <v>41</v>
      </c>
      <c r="W1134" s="153">
        <v>0.68333333333333335</v>
      </c>
      <c r="X1134" s="91">
        <v>74.5</v>
      </c>
      <c r="Y1134" s="91">
        <v>12.3</v>
      </c>
      <c r="Z1134" s="154">
        <v>40.5</v>
      </c>
      <c r="AA1134" s="153">
        <v>0.38055555555555554</v>
      </c>
      <c r="AB1134" s="154">
        <v>79</v>
      </c>
      <c r="AC1134" s="154">
        <v>16</v>
      </c>
      <c r="AD1134" s="91"/>
      <c r="AE1134" s="94">
        <f>Table3.110[[#This Row],[Gas 8h, ml]]-Table3.110[[#This Row],[Gas 0h, ml]]</f>
        <v>33.5</v>
      </c>
      <c r="AF1134" s="94">
        <f>Table3.110[[#This Row],[Gas 24h, ml]]-Table3.110[[#This Row],[V8 Push back, ml]]</f>
        <v>38.5</v>
      </c>
      <c r="AG1134" s="94">
        <f>Table3.110[[#This Row],[GP 8h, ml]]-(AVERAGE(AE$1087,AE$1088,AE$1121,AE$1122,AE$1157,AE$1158))*$AG$8</f>
        <v>31.361233672775342</v>
      </c>
      <c r="AH1134" s="94">
        <f>Table3.110[[#This Row],[GP 8-24h, ml]]-(AVERAGE(AF$1087,AF$1088,AF$1121,AF$1122,AF$1157,AF$1158))*$AG$8</f>
        <v>35.623728042697877</v>
      </c>
      <c r="AI1134" s="94">
        <f>Table3.110[[#This Row],[Net gas 8-24h, ml]]+Table3.110[[#This Row],[Net gas 8h, ml]]</f>
        <v>66.984961715473219</v>
      </c>
      <c r="AJ1134" s="94">
        <f>Table3.110[[#This Row],[Net gas 8h, ml]]*Table3.110[[#This Row],[CH4 8h %]]%</f>
        <v>3.8574317417513675</v>
      </c>
      <c r="AK1134" s="94">
        <f>Table3.110[[#This Row],[Net gas 8-24h, ml]]*Table3.110[[#This Row],[CH4 24h, %]]%</f>
        <v>5.6997964868316604</v>
      </c>
      <c r="AL1134" s="94">
        <f>Table3.110[[#This Row],[CH4 8-24h, ml]]+Table3.110[[#This Row],[CH4 8h, ml]]</f>
        <v>9.5572282285830283</v>
      </c>
      <c r="AM1134" s="94">
        <f>(Table3.110[[#This Row],[Net gas 24h, ml]]/Table3.110[[#This Row],[DM Incubated, mg]])*1000</f>
        <v>140.58901568847918</v>
      </c>
      <c r="AN1134" s="94">
        <f>'3.2 Digest'!X1134</f>
        <v>35.650344336718867</v>
      </c>
      <c r="AO1134" s="94">
        <f>Table3.110[[#This Row],[Digested feed, mg]]/Table3.110[[#This Row],[Net gas 24h, ml]]</f>
        <v>2.5357844752049359</v>
      </c>
      <c r="AP1134" s="94">
        <f>Table3.110[[#This Row],[CH4 8h, ml]]/Table3.110[[#This Row],[Net gas 8h, ml]]%</f>
        <v>12.300000000000002</v>
      </c>
      <c r="AQ1134" s="94">
        <f>Table3.110[[#This Row],[CH4 24h, ml]]/Table3.110[[#This Row],[Net gas 24h, ml]]%</f>
        <v>14.26772216304089</v>
      </c>
      <c r="AR1134" s="94">
        <f>Table3.110[[#This Row],[CH4 24h, ml]]/Table3.110[[#This Row],[DM Incubated, mg]]*1000</f>
        <v>20.058850150186178</v>
      </c>
      <c r="AS1134" s="94">
        <f>Table3.110[[#This Row],[CH4 24h, ml]]/Table3.110[[#This Row],[Digested feed, mg]]*1000</f>
        <v>56.265515869158435</v>
      </c>
      <c r="AT1134" s="94">
        <f>Table3.110[[#This Row],[CH4 24h, ml]]/'3.2 Digest'!AA1134</f>
        <v>-0.52458848741150144</v>
      </c>
      <c r="AU1134" s="94">
        <f>((Table3.110[[#This Row],[CH4 24h, ml]]/28.9)*16.04)/Table3.110[[#This Row],[DM Incubated, mg]]*1000</f>
        <v>11.133008872283265</v>
      </c>
      <c r="AV1134" s="94">
        <f>((Table3.110[[#This Row],[CH4 24h, ml]]/28.9)*16.04)/Table3.110[[#This Row],[Digested feed, mg]]*1000</f>
        <v>31.228334759214579</v>
      </c>
      <c r="AW1134" s="94"/>
      <c r="AX1134" s="94"/>
    </row>
    <row r="1135" spans="2:50" x14ac:dyDescent="0.35">
      <c r="B1135" s="90">
        <f t="shared" si="17"/>
        <v>1125</v>
      </c>
      <c r="C1135" s="140">
        <v>46083</v>
      </c>
      <c r="D1135" s="6" t="s">
        <v>16</v>
      </c>
      <c r="E1135" s="6" t="s">
        <v>450</v>
      </c>
      <c r="F1135" s="242" t="s">
        <v>442</v>
      </c>
      <c r="G1135" s="242" t="s">
        <v>451</v>
      </c>
      <c r="H1135" s="6" t="s">
        <v>452</v>
      </c>
      <c r="I1135" s="133" t="s">
        <v>22</v>
      </c>
      <c r="J1135" s="135" t="s">
        <v>23</v>
      </c>
      <c r="K1135" s="135" t="s">
        <v>215</v>
      </c>
      <c r="L1135" s="6" t="s">
        <v>449</v>
      </c>
      <c r="M1135" s="256">
        <v>30</v>
      </c>
      <c r="N1135" s="256">
        <v>65</v>
      </c>
      <c r="O1135" s="256">
        <v>2</v>
      </c>
      <c r="P1135" s="257">
        <v>1</v>
      </c>
      <c r="Q1135" s="129">
        <v>49</v>
      </c>
      <c r="R1135" s="98">
        <v>0.50019999999999998</v>
      </c>
      <c r="S1135" s="94">
        <f>((Table3.110[[#This Row],[Sample weight, g]]*'2.1. DM'!Q285)/100)*1000</f>
        <v>482.3722570614695</v>
      </c>
      <c r="T1135" s="94">
        <f>'3.2 Digest'!W1135</f>
        <v>203.77225706146942</v>
      </c>
      <c r="U1135" s="153">
        <v>0.33819444444444446</v>
      </c>
      <c r="V1135" s="155">
        <v>41</v>
      </c>
      <c r="W1135" s="153">
        <v>0.68402777777777779</v>
      </c>
      <c r="X1135" s="91">
        <v>73</v>
      </c>
      <c r="Y1135" s="91">
        <v>13.4</v>
      </c>
      <c r="Z1135" s="154">
        <v>40</v>
      </c>
      <c r="AA1135" s="153">
        <v>0.38124999999999998</v>
      </c>
      <c r="AB1135" s="154">
        <v>76</v>
      </c>
      <c r="AC1135" s="154">
        <v>17</v>
      </c>
      <c r="AD1135" s="91"/>
      <c r="AE1135" s="94">
        <f>Table3.110[[#This Row],[Gas 8h, ml]]-Table3.110[[#This Row],[Gas 0h, ml]]</f>
        <v>32</v>
      </c>
      <c r="AF1135" s="94">
        <f>Table3.110[[#This Row],[Gas 24h, ml]]-Table3.110[[#This Row],[V8 Push back, ml]]</f>
        <v>36</v>
      </c>
      <c r="AG1135" s="94">
        <f>Table3.110[[#This Row],[GP 8h, ml]]-(AVERAGE(AE$1087,AE$1088,AE$1121,AE$1122,AE$1157,AE$1158))*$AG$8</f>
        <v>29.861233672775342</v>
      </c>
      <c r="AH1135" s="94">
        <f>Table3.110[[#This Row],[GP 8-24h, ml]]-(AVERAGE(AF$1087,AF$1088,AF$1121,AF$1122,AF$1157,AF$1158))*$AG$8</f>
        <v>33.123728042697877</v>
      </c>
      <c r="AI1135" s="94">
        <f>Table3.110[[#This Row],[Net gas 8-24h, ml]]+Table3.110[[#This Row],[Net gas 8h, ml]]</f>
        <v>62.984961715473219</v>
      </c>
      <c r="AJ1135" s="94">
        <f>Table3.110[[#This Row],[Net gas 8h, ml]]*Table3.110[[#This Row],[CH4 8h %]]%</f>
        <v>4.0014053121518964</v>
      </c>
      <c r="AK1135" s="94">
        <f>Table3.110[[#This Row],[Net gas 8-24h, ml]]*Table3.110[[#This Row],[CH4 24h, %]]%</f>
        <v>5.6310337672586392</v>
      </c>
      <c r="AL1135" s="94">
        <f>Table3.110[[#This Row],[CH4 8-24h, ml]]+Table3.110[[#This Row],[CH4 8h, ml]]</f>
        <v>9.6324390794105348</v>
      </c>
      <c r="AM1135" s="94">
        <f>(Table3.110[[#This Row],[Net gas 24h, ml]]/Table3.110[[#This Row],[DM Incubated, mg]])*1000</f>
        <v>130.57335033977077</v>
      </c>
      <c r="AN1135" s="94">
        <f>'3.2 Digest'!X1135</f>
        <v>42.243776269973665</v>
      </c>
      <c r="AO1135" s="94">
        <f>Table3.110[[#This Row],[Digested feed, mg]]/Table3.110[[#This Row],[Net gas 24h, ml]]</f>
        <v>3.2352525350731405</v>
      </c>
      <c r="AP1135" s="94">
        <f>Table3.110[[#This Row],[CH4 8h, ml]]/Table3.110[[#This Row],[Net gas 8h, ml]]%</f>
        <v>13.400000000000004</v>
      </c>
      <c r="AQ1135" s="94">
        <f>Table3.110[[#This Row],[CH4 24h, ml]]/Table3.110[[#This Row],[Net gas 24h, ml]]%</f>
        <v>15.293236380652079</v>
      </c>
      <c r="AR1135" s="94">
        <f>Table3.110[[#This Row],[CH4 24h, ml]]/Table3.110[[#This Row],[DM Incubated, mg]]*1000</f>
        <v>19.968891117598119</v>
      </c>
      <c r="AS1135" s="94">
        <f>Table3.110[[#This Row],[CH4 24h, ml]]/Table3.110[[#This Row],[Digested feed, mg]]*1000</f>
        <v>47.270610917877981</v>
      </c>
      <c r="AT1135" s="94">
        <f>Table3.110[[#This Row],[CH4 24h, ml]]/'3.2 Digest'!AA1135</f>
        <v>3.5001499566409202</v>
      </c>
      <c r="AU1135" s="94">
        <f>((Table3.110[[#This Row],[CH4 24h, ml]]/28.9)*16.04)/Table3.110[[#This Row],[DM Incubated, mg]]*1000</f>
        <v>11.083080052812242</v>
      </c>
      <c r="AV1135" s="94">
        <f>((Table3.110[[#This Row],[CH4 24h, ml]]/28.9)*16.04)/Table3.110[[#This Row],[Digested feed, mg]]*1000</f>
        <v>26.236006890060995</v>
      </c>
      <c r="AW1135" s="94"/>
      <c r="AX1135" s="94"/>
    </row>
    <row r="1136" spans="2:50" x14ac:dyDescent="0.35">
      <c r="B1136" s="90">
        <f t="shared" si="17"/>
        <v>1126</v>
      </c>
      <c r="C1136" s="140">
        <v>46083</v>
      </c>
      <c r="D1136" s="6" t="s">
        <v>16</v>
      </c>
      <c r="E1136" s="6" t="s">
        <v>450</v>
      </c>
      <c r="F1136" s="242" t="s">
        <v>442</v>
      </c>
      <c r="G1136" s="242" t="s">
        <v>451</v>
      </c>
      <c r="H1136" s="6" t="s">
        <v>452</v>
      </c>
      <c r="I1136" s="133" t="s">
        <v>22</v>
      </c>
      <c r="J1136" s="135" t="s">
        <v>23</v>
      </c>
      <c r="K1136" s="135" t="s">
        <v>215</v>
      </c>
      <c r="L1136" s="6" t="s">
        <v>449</v>
      </c>
      <c r="M1136" s="256">
        <v>30</v>
      </c>
      <c r="N1136" s="256">
        <v>65</v>
      </c>
      <c r="O1136" s="256">
        <v>2</v>
      </c>
      <c r="P1136" s="257">
        <v>2</v>
      </c>
      <c r="Q1136" s="129">
        <v>50</v>
      </c>
      <c r="R1136" s="98">
        <v>0.50019999999999998</v>
      </c>
      <c r="S1136" s="94">
        <f>((Table3.110[[#This Row],[Sample weight, g]]*'2.1. DM'!Q285)/100)*1000</f>
        <v>482.3722570614695</v>
      </c>
      <c r="T1136" s="94">
        <f>'3.2 Digest'!W1136</f>
        <v>198.07225706146949</v>
      </c>
      <c r="U1136" s="117">
        <v>0.33888888888888891</v>
      </c>
      <c r="V1136" s="155">
        <v>41</v>
      </c>
      <c r="W1136" s="117">
        <v>0.68402777777777779</v>
      </c>
      <c r="X1136" s="96">
        <v>75</v>
      </c>
      <c r="Y1136" s="96">
        <v>13</v>
      </c>
      <c r="Z1136" s="155">
        <v>40</v>
      </c>
      <c r="AA1136" s="117">
        <v>0.38194444444444442</v>
      </c>
      <c r="AB1136" s="155">
        <v>76</v>
      </c>
      <c r="AC1136" s="155">
        <v>16.600000000000001</v>
      </c>
      <c r="AD1136" s="96"/>
      <c r="AE1136" s="94">
        <f>Table3.110[[#This Row],[Gas 8h, ml]]-Table3.110[[#This Row],[Gas 0h, ml]]</f>
        <v>34</v>
      </c>
      <c r="AF1136" s="94">
        <f>Table3.110[[#This Row],[Gas 24h, ml]]-Table3.110[[#This Row],[V8 Push back, ml]]</f>
        <v>36</v>
      </c>
      <c r="AG1136" s="94">
        <f>Table3.110[[#This Row],[GP 8h, ml]]-(AVERAGE(AE$1087,AE$1088,AE$1121,AE$1122,AE$1157,AE$1158))*$AG$8</f>
        <v>31.861233672775342</v>
      </c>
      <c r="AH1136" s="94">
        <f>Table3.110[[#This Row],[GP 8-24h, ml]]-(AVERAGE(AF$1087,AF$1088,AF$1121,AF$1122,AF$1157,AF$1158))*$AG$8</f>
        <v>33.123728042697877</v>
      </c>
      <c r="AI1136" s="94">
        <f>Table3.110[[#This Row],[Net gas 8-24h, ml]]+Table3.110[[#This Row],[Net gas 8h, ml]]</f>
        <v>64.984961715473219</v>
      </c>
      <c r="AJ1136" s="94">
        <f>Table3.110[[#This Row],[Net gas 8h, ml]]*Table3.110[[#This Row],[CH4 8h %]]%</f>
        <v>4.1419603774607943</v>
      </c>
      <c r="AK1136" s="94">
        <f>Table3.110[[#This Row],[Net gas 8-24h, ml]]*Table3.110[[#This Row],[CH4 24h, %]]%</f>
        <v>5.4985388550878476</v>
      </c>
      <c r="AL1136" s="94">
        <f>Table3.110[[#This Row],[CH4 8-24h, ml]]+Table3.110[[#This Row],[CH4 8h, ml]]</f>
        <v>9.6404992325486418</v>
      </c>
      <c r="AM1136" s="94">
        <f>(Table3.110[[#This Row],[Net gas 24h, ml]]/Table3.110[[#This Row],[DM Incubated, mg]])*1000</f>
        <v>134.71952576906196</v>
      </c>
      <c r="AN1136" s="94">
        <f>'3.2 Digest'!X1136</f>
        <v>41.062116272625687</v>
      </c>
      <c r="AO1136" s="94">
        <f>Table3.110[[#This Row],[Digested feed, mg]]/Table3.110[[#This Row],[Net gas 24h, ml]]</f>
        <v>3.0479706663319859</v>
      </c>
      <c r="AP1136" s="94">
        <f>Table3.110[[#This Row],[CH4 8h, ml]]/Table3.110[[#This Row],[Net gas 8h, ml]]%</f>
        <v>13</v>
      </c>
      <c r="AQ1136" s="94">
        <f>Table3.110[[#This Row],[CH4 24h, ml]]/Table3.110[[#This Row],[Net gas 24h, ml]]%</f>
        <v>14.834969473026856</v>
      </c>
      <c r="AR1136" s="94">
        <f>Table3.110[[#This Row],[CH4 24h, ml]]/Table3.110[[#This Row],[DM Incubated, mg]]*1000</f>
        <v>19.985600522046891</v>
      </c>
      <c r="AS1136" s="94">
        <f>Table3.110[[#This Row],[CH4 24h, ml]]/Table3.110[[#This Row],[Digested feed, mg]]*1000</f>
        <v>48.67162809962236</v>
      </c>
      <c r="AT1136" s="94">
        <f>Table3.110[[#This Row],[CH4 24h, ml]]/'3.2 Digest'!AA1136</f>
        <v>12.645465641522513</v>
      </c>
      <c r="AU1136" s="94">
        <f>((Table3.110[[#This Row],[CH4 24h, ml]]/28.9)*16.04)/Table3.110[[#This Row],[DM Incubated, mg]]*1000</f>
        <v>11.092354061371354</v>
      </c>
      <c r="AV1136" s="94">
        <f>((Table3.110[[#This Row],[CH4 24h, ml]]/28.9)*16.04)/Table3.110[[#This Row],[Digested feed, mg]]*1000</f>
        <v>27.013595664980716</v>
      </c>
      <c r="AW1136" s="94"/>
      <c r="AX1136" s="94"/>
    </row>
    <row r="1137" spans="2:50" x14ac:dyDescent="0.35">
      <c r="B1137" s="90">
        <f t="shared" si="17"/>
        <v>1127</v>
      </c>
      <c r="C1137" s="140">
        <v>46083</v>
      </c>
      <c r="D1137" s="6" t="s">
        <v>16</v>
      </c>
      <c r="E1137" s="6" t="s">
        <v>454</v>
      </c>
      <c r="F1137" s="242" t="s">
        <v>442</v>
      </c>
      <c r="G1137" s="242" t="s">
        <v>455</v>
      </c>
      <c r="H1137" s="6" t="s">
        <v>456</v>
      </c>
      <c r="I1137" s="133" t="s">
        <v>22</v>
      </c>
      <c r="J1137" s="135" t="s">
        <v>23</v>
      </c>
      <c r="K1137" s="135" t="s">
        <v>215</v>
      </c>
      <c r="L1137" s="6" t="s">
        <v>453</v>
      </c>
      <c r="M1137" s="256">
        <v>30</v>
      </c>
      <c r="N1137" s="256">
        <v>65</v>
      </c>
      <c r="O1137" s="256">
        <v>2</v>
      </c>
      <c r="P1137" s="257">
        <v>1</v>
      </c>
      <c r="Q1137" s="129">
        <v>51</v>
      </c>
      <c r="R1137" s="98">
        <v>0.5</v>
      </c>
      <c r="S1137" s="94">
        <f>((Table3.110[[#This Row],[Sample weight, g]]*'2.1. DM'!Q287)/100)*1000</f>
        <v>478.33586433505769</v>
      </c>
      <c r="T1137" s="94">
        <f>'3.2 Digest'!W1137</f>
        <v>173.03586433505768</v>
      </c>
      <c r="U1137" s="117">
        <v>0.33888888888888891</v>
      </c>
      <c r="V1137" s="155">
        <v>40.5</v>
      </c>
      <c r="W1137" s="117">
        <v>0.68472222222222223</v>
      </c>
      <c r="X1137" s="96">
        <v>72</v>
      </c>
      <c r="Y1137" s="96">
        <v>12.3</v>
      </c>
      <c r="Z1137" s="155">
        <v>40</v>
      </c>
      <c r="AA1137" s="117">
        <v>0.38194444444444442</v>
      </c>
      <c r="AB1137" s="155">
        <v>80.5</v>
      </c>
      <c r="AC1137" s="155">
        <v>16.8</v>
      </c>
      <c r="AD1137" s="96" t="s">
        <v>599</v>
      </c>
      <c r="AE1137" s="94">
        <f>Table3.110[[#This Row],[Gas 8h, ml]]-Table3.110[[#This Row],[Gas 0h, ml]]</f>
        <v>31.5</v>
      </c>
      <c r="AF1137" s="94">
        <f>Table3.110[[#This Row],[Gas 24h, ml]]-Table3.110[[#This Row],[V8 Push back, ml]]</f>
        <v>40.5</v>
      </c>
      <c r="AG1137" s="94">
        <f>Table3.110[[#This Row],[GP 8h, ml]]-(AVERAGE(AE$1087,AE$1088,AE$1121,AE$1122,AE$1157,AE$1158))*$AG$8</f>
        <v>29.361233672775342</v>
      </c>
      <c r="AH1137" s="94">
        <f>Table3.110[[#This Row],[GP 8-24h, ml]]-(AVERAGE(AF$1087,AF$1088,AF$1121,AF$1122,AF$1157,AF$1158))*$AG$8</f>
        <v>37.623728042697877</v>
      </c>
      <c r="AI1137" s="94">
        <f>Table3.110[[#This Row],[Net gas 8-24h, ml]]+Table3.110[[#This Row],[Net gas 8h, ml]]</f>
        <v>66.984961715473219</v>
      </c>
      <c r="AJ1137" s="94">
        <f>Table3.110[[#This Row],[Net gas 8h, ml]]*Table3.110[[#This Row],[CH4 8h %]]%</f>
        <v>3.6114317417513675</v>
      </c>
      <c r="AK1137" s="94">
        <f>Table3.110[[#This Row],[Net gas 8-24h, ml]]*Table3.110[[#This Row],[CH4 24h, %]]%</f>
        <v>6.3207863111732436</v>
      </c>
      <c r="AL1137" s="94">
        <f>Table3.110[[#This Row],[CH4 8-24h, ml]]+Table3.110[[#This Row],[CH4 8h, ml]]</f>
        <v>9.9322180529246111</v>
      </c>
      <c r="AM1137" s="94">
        <f>(Table3.110[[#This Row],[Net gas 24h, ml]]/Table3.110[[#This Row],[DM Incubated, mg]])*1000</f>
        <v>140.03750650934376</v>
      </c>
      <c r="AN1137" s="94">
        <f>'3.2 Digest'!X1137</f>
        <v>36.174553746999003</v>
      </c>
      <c r="AO1137" s="94">
        <f>Table3.110[[#This Row],[Digested feed, mg]]/Table3.110[[#This Row],[Net gas 24h, ml]]</f>
        <v>2.5832046462913358</v>
      </c>
      <c r="AP1137" s="94">
        <f>Table3.110[[#This Row],[CH4 8h, ml]]/Table3.110[[#This Row],[Net gas 8h, ml]]%</f>
        <v>12.3</v>
      </c>
      <c r="AQ1137" s="94">
        <f>Table3.110[[#This Row],[CH4 24h, ml]]/Table3.110[[#This Row],[Net gas 24h, ml]]%</f>
        <v>14.827534118945856</v>
      </c>
      <c r="AR1137" s="94">
        <f>Table3.110[[#This Row],[CH4 24h, ml]]/Table3.110[[#This Row],[DM Incubated, mg]]*1000</f>
        <v>20.76410905699397</v>
      </c>
      <c r="AS1137" s="94">
        <f>Table3.110[[#This Row],[CH4 24h, ml]]/Table3.110[[#This Row],[Digested feed, mg]]*1000</f>
        <v>57.399765598259897</v>
      </c>
      <c r="AT1137" s="94">
        <f>Table3.110[[#This Row],[CH4 24h, ml]]/'3.2 Digest'!AA1137</f>
        <v>-2.2130840214671346</v>
      </c>
      <c r="AU1137" s="94">
        <f>((Table3.110[[#This Row],[CH4 24h, ml]]/28.9)*16.04)/Table3.110[[#This Row],[DM Incubated, mg]]*1000</f>
        <v>11.52443976727278</v>
      </c>
      <c r="AV1137" s="94">
        <f>((Table3.110[[#This Row],[CH4 24h, ml]]/28.9)*16.04)/Table3.110[[#This Row],[Digested feed, mg]]*1000</f>
        <v>31.857862982563628</v>
      </c>
      <c r="AW1137" s="94"/>
      <c r="AX1137" s="94"/>
    </row>
    <row r="1138" spans="2:50" x14ac:dyDescent="0.35">
      <c r="B1138" s="90">
        <f t="shared" si="17"/>
        <v>1128</v>
      </c>
      <c r="C1138" s="140">
        <v>46083</v>
      </c>
      <c r="D1138" s="6" t="s">
        <v>16</v>
      </c>
      <c r="E1138" s="6" t="s">
        <v>454</v>
      </c>
      <c r="F1138" s="242" t="s">
        <v>442</v>
      </c>
      <c r="G1138" s="242" t="s">
        <v>455</v>
      </c>
      <c r="H1138" s="6" t="s">
        <v>456</v>
      </c>
      <c r="I1138" s="133" t="s">
        <v>22</v>
      </c>
      <c r="J1138" s="135" t="s">
        <v>23</v>
      </c>
      <c r="K1138" s="135" t="s">
        <v>215</v>
      </c>
      <c r="L1138" s="6" t="s">
        <v>453</v>
      </c>
      <c r="M1138" s="256">
        <v>30</v>
      </c>
      <c r="N1138" s="256">
        <v>65</v>
      </c>
      <c r="O1138" s="256">
        <v>2</v>
      </c>
      <c r="P1138" s="257">
        <v>2</v>
      </c>
      <c r="Q1138" s="129">
        <v>52</v>
      </c>
      <c r="R1138" s="98">
        <v>0.5</v>
      </c>
      <c r="S1138" s="94">
        <f>((Table3.110[[#This Row],[Sample weight, g]]*'2.1. DM'!Q287)/100)*1000</f>
        <v>478.33586433505769</v>
      </c>
      <c r="T1138" s="94">
        <f>'3.2 Digest'!W1138</f>
        <v>165.73586433505773</v>
      </c>
      <c r="U1138" s="153">
        <v>0.33888888888888891</v>
      </c>
      <c r="V1138" s="155">
        <v>41.5</v>
      </c>
      <c r="W1138" s="153">
        <v>0.68541666666666667</v>
      </c>
      <c r="X1138" s="91">
        <v>73.5</v>
      </c>
      <c r="Y1138" s="91">
        <v>12.2</v>
      </c>
      <c r="Z1138" s="154">
        <v>40</v>
      </c>
      <c r="AA1138" s="153">
        <v>0.38263888888888886</v>
      </c>
      <c r="AB1138" s="154">
        <v>83</v>
      </c>
      <c r="AC1138" s="154">
        <v>16.7</v>
      </c>
      <c r="AD1138" s="91"/>
      <c r="AE1138" s="94">
        <f>Table3.110[[#This Row],[Gas 8h, ml]]-Table3.110[[#This Row],[Gas 0h, ml]]</f>
        <v>32</v>
      </c>
      <c r="AF1138" s="94">
        <f>Table3.110[[#This Row],[Gas 24h, ml]]-Table3.110[[#This Row],[V8 Push back, ml]]</f>
        <v>43</v>
      </c>
      <c r="AG1138" s="94">
        <f>Table3.110[[#This Row],[GP 8h, ml]]-(AVERAGE(AE$1087,AE$1088,AE$1121,AE$1122,AE$1157,AE$1158))*$AG$8</f>
        <v>29.861233672775342</v>
      </c>
      <c r="AH1138" s="94">
        <f>Table3.110[[#This Row],[GP 8-24h, ml]]-(AVERAGE(AF$1087,AF$1088,AF$1121,AF$1122,AF$1157,AF$1158))*$AG$8</f>
        <v>40.123728042697877</v>
      </c>
      <c r="AI1138" s="94">
        <f>Table3.110[[#This Row],[Net gas 8-24h, ml]]+Table3.110[[#This Row],[Net gas 8h, ml]]</f>
        <v>69.984961715473219</v>
      </c>
      <c r="AJ1138" s="94">
        <f>Table3.110[[#This Row],[Net gas 8h, ml]]*Table3.110[[#This Row],[CH4 8h %]]%</f>
        <v>3.6430705080785915</v>
      </c>
      <c r="AK1138" s="94">
        <f>Table3.110[[#This Row],[Net gas 8-24h, ml]]*Table3.110[[#This Row],[CH4 24h, %]]%</f>
        <v>6.7006625831305451</v>
      </c>
      <c r="AL1138" s="94">
        <f>Table3.110[[#This Row],[CH4 8-24h, ml]]+Table3.110[[#This Row],[CH4 8h, ml]]</f>
        <v>10.343733091209137</v>
      </c>
      <c r="AM1138" s="94">
        <f>(Table3.110[[#This Row],[Net gas 24h, ml]]/Table3.110[[#This Row],[DM Incubated, mg]])*1000</f>
        <v>146.30925032719517</v>
      </c>
      <c r="AN1138" s="94">
        <f>'3.2 Digest'!X1138</f>
        <v>34.64842941798851</v>
      </c>
      <c r="AO1138" s="94">
        <f>Table3.110[[#This Row],[Digested feed, mg]]/Table3.110[[#This Row],[Net gas 24h, ml]]</f>
        <v>2.368163963693569</v>
      </c>
      <c r="AP1138" s="94">
        <f>Table3.110[[#This Row],[CH4 8h, ml]]/Table3.110[[#This Row],[Net gas 8h, ml]]%</f>
        <v>12.200000000000001</v>
      </c>
      <c r="AQ1138" s="94">
        <f>Table3.110[[#This Row],[CH4 24h, ml]]/Table3.110[[#This Row],[Net gas 24h, ml]]%</f>
        <v>14.779936771648194</v>
      </c>
      <c r="AR1138" s="94">
        <f>Table3.110[[#This Row],[CH4 24h, ml]]/Table3.110[[#This Row],[DM Incubated, mg]]*1000</f>
        <v>21.624414689431923</v>
      </c>
      <c r="AS1138" s="94">
        <f>Table3.110[[#This Row],[CH4 24h, ml]]/Table3.110[[#This Row],[Digested feed, mg]]*1000</f>
        <v>62.410952105682242</v>
      </c>
      <c r="AT1138" s="94">
        <f>Table3.110[[#This Row],[CH4 24h, ml]]/'3.2 Digest'!AA1138</f>
        <v>-1.4805621497392716</v>
      </c>
      <c r="AU1138" s="94">
        <f>((Table3.110[[#This Row],[CH4 24h, ml]]/28.9)*16.04)/Table3.110[[#This Row],[DM Incubated, mg]]*1000</f>
        <v>12.001924277456332</v>
      </c>
      <c r="AV1138" s="94">
        <f>((Table3.110[[#This Row],[CH4 24h, ml]]/28.9)*16.04)/Table3.110[[#This Row],[Digested feed, mg]]*1000</f>
        <v>34.639158192911523</v>
      </c>
      <c r="AW1138" s="94"/>
      <c r="AX1138" s="94"/>
    </row>
    <row r="1139" spans="2:50" x14ac:dyDescent="0.35">
      <c r="B1139" s="90">
        <f t="shared" si="17"/>
        <v>1129</v>
      </c>
      <c r="C1139" s="140">
        <v>46083</v>
      </c>
      <c r="D1139" s="6" t="s">
        <v>16</v>
      </c>
      <c r="E1139" s="6" t="s">
        <v>458</v>
      </c>
      <c r="F1139" s="242" t="s">
        <v>333</v>
      </c>
      <c r="G1139" s="242" t="s">
        <v>438</v>
      </c>
      <c r="H1139" s="6" t="s">
        <v>439</v>
      </c>
      <c r="I1139" s="133" t="s">
        <v>22</v>
      </c>
      <c r="J1139" s="135" t="s">
        <v>23</v>
      </c>
      <c r="K1139" s="135" t="s">
        <v>303</v>
      </c>
      <c r="L1139" s="6" t="s">
        <v>457</v>
      </c>
      <c r="M1139" s="256">
        <v>30</v>
      </c>
      <c r="N1139" s="256">
        <v>65</v>
      </c>
      <c r="O1139" s="256">
        <v>2</v>
      </c>
      <c r="P1139" s="257">
        <v>1</v>
      </c>
      <c r="Q1139" s="129">
        <v>53</v>
      </c>
      <c r="R1139" s="98">
        <v>0.5</v>
      </c>
      <c r="S1139" s="94">
        <f>((Table3.110[[#This Row],[Sample weight, g]]*'2.1. DM'!Q289)/100)*1000</f>
        <v>477.40455817672938</v>
      </c>
      <c r="T1139" s="94">
        <f>'3.2 Digest'!W1139</f>
        <v>273.60455817672937</v>
      </c>
      <c r="U1139" s="153">
        <v>0.33958333333333335</v>
      </c>
      <c r="V1139" s="155">
        <v>41.5</v>
      </c>
      <c r="W1139" s="153">
        <v>0.68611111111111112</v>
      </c>
      <c r="X1139" s="91">
        <v>73.5</v>
      </c>
      <c r="Y1139" s="91">
        <v>12.8</v>
      </c>
      <c r="Z1139" s="154">
        <v>40</v>
      </c>
      <c r="AA1139" s="153">
        <v>0.38263888888888886</v>
      </c>
      <c r="AB1139" s="154">
        <v>84.5</v>
      </c>
      <c r="AC1139" s="154">
        <v>14</v>
      </c>
      <c r="AD1139" s="91"/>
      <c r="AE1139" s="94">
        <f>Table3.110[[#This Row],[Gas 8h, ml]]-Table3.110[[#This Row],[Gas 0h, ml]]</f>
        <v>32</v>
      </c>
      <c r="AF1139" s="94">
        <f>Table3.110[[#This Row],[Gas 24h, ml]]-Table3.110[[#This Row],[V8 Push back, ml]]</f>
        <v>44.5</v>
      </c>
      <c r="AG1139" s="94">
        <f>Table3.110[[#This Row],[GP 8h, ml]]-(AVERAGE(AE$1087,AE$1088,AE$1121,AE$1122,AE$1157,AE$1158))*$AG$8</f>
        <v>29.861233672775342</v>
      </c>
      <c r="AH1139" s="94">
        <f>Table3.110[[#This Row],[GP 8-24h, ml]]-(AVERAGE(AF$1087,AF$1088,AF$1121,AF$1122,AF$1157,AF$1158))*$AG$8</f>
        <v>41.623728042697877</v>
      </c>
      <c r="AI1139" s="94">
        <f>Table3.110[[#This Row],[Net gas 8-24h, ml]]+Table3.110[[#This Row],[Net gas 8h, ml]]</f>
        <v>71.484961715473219</v>
      </c>
      <c r="AJ1139" s="94">
        <f>Table3.110[[#This Row],[Net gas 8h, ml]]*Table3.110[[#This Row],[CH4 8h %]]%</f>
        <v>3.8222379101152439</v>
      </c>
      <c r="AK1139" s="94">
        <f>Table3.110[[#This Row],[Net gas 8-24h, ml]]*Table3.110[[#This Row],[CH4 24h, %]]%</f>
        <v>5.8273219259777029</v>
      </c>
      <c r="AL1139" s="94">
        <f>Table3.110[[#This Row],[CH4 8-24h, ml]]+Table3.110[[#This Row],[CH4 8h, ml]]</f>
        <v>9.6495598360929478</v>
      </c>
      <c r="AM1139" s="94">
        <f>(Table3.110[[#This Row],[Net gas 24h, ml]]/Table3.110[[#This Row],[DM Incubated, mg]])*1000</f>
        <v>149.73665519341429</v>
      </c>
      <c r="AN1139" s="94">
        <f>'3.2 Digest'!X1139</f>
        <v>57.310839096648145</v>
      </c>
      <c r="AO1139" s="94">
        <f>Table3.110[[#This Row],[Digested feed, mg]]/Table3.110[[#This Row],[Net gas 24h, ml]]</f>
        <v>3.8274421865921839</v>
      </c>
      <c r="AP1139" s="94">
        <f>Table3.110[[#This Row],[CH4 8h, ml]]/Table3.110[[#This Row],[Net gas 8h, ml]]%</f>
        <v>12.800000000000002</v>
      </c>
      <c r="AQ1139" s="94">
        <f>Table3.110[[#This Row],[CH4 24h, ml]]/Table3.110[[#This Row],[Net gas 24h, ml]]%</f>
        <v>13.498727011284473</v>
      </c>
      <c r="AR1139" s="94">
        <f>Table3.110[[#This Row],[CH4 24h, ml]]/Table3.110[[#This Row],[DM Incubated, mg]]*1000</f>
        <v>20.21254232038731</v>
      </c>
      <c r="AS1139" s="94">
        <f>Table3.110[[#This Row],[CH4 24h, ml]]/Table3.110[[#This Row],[Digested feed, mg]]*1000</f>
        <v>35.268271480550439</v>
      </c>
      <c r="AT1139" s="94">
        <f>Table3.110[[#This Row],[CH4 24h, ml]]/'3.2 Digest'!AA1139</f>
        <v>1.3390269896446991</v>
      </c>
      <c r="AU1139" s="94">
        <f>((Table3.110[[#This Row],[CH4 24h, ml]]/28.9)*16.04)/Table3.110[[#This Row],[DM Incubated, mg]]*1000</f>
        <v>11.218310685778976</v>
      </c>
      <c r="AV1139" s="94">
        <f>((Table3.110[[#This Row],[CH4 24h, ml]]/28.9)*16.04)/Table3.110[[#This Row],[Digested feed, mg]]*1000</f>
        <v>19.574500849412768</v>
      </c>
      <c r="AW1139" s="94"/>
      <c r="AX1139" s="94"/>
    </row>
    <row r="1140" spans="2:50" x14ac:dyDescent="0.35">
      <c r="B1140" s="90">
        <f t="shared" si="17"/>
        <v>1130</v>
      </c>
      <c r="C1140" s="140">
        <v>46083</v>
      </c>
      <c r="D1140" s="6" t="s">
        <v>16</v>
      </c>
      <c r="E1140" s="6" t="s">
        <v>458</v>
      </c>
      <c r="F1140" s="242" t="s">
        <v>333</v>
      </c>
      <c r="G1140" s="242" t="s">
        <v>438</v>
      </c>
      <c r="H1140" s="6" t="s">
        <v>439</v>
      </c>
      <c r="I1140" s="133" t="s">
        <v>22</v>
      </c>
      <c r="J1140" s="135" t="s">
        <v>23</v>
      </c>
      <c r="K1140" s="135" t="s">
        <v>303</v>
      </c>
      <c r="L1140" s="6" t="s">
        <v>457</v>
      </c>
      <c r="M1140" s="256">
        <v>30</v>
      </c>
      <c r="N1140" s="256">
        <v>65</v>
      </c>
      <c r="O1140" s="256">
        <v>2</v>
      </c>
      <c r="P1140" s="257">
        <v>2</v>
      </c>
      <c r="Q1140" s="129">
        <v>54</v>
      </c>
      <c r="R1140" s="98">
        <v>0.5</v>
      </c>
      <c r="S1140" s="94">
        <f>((Table3.110[[#This Row],[Sample weight, g]]*'2.1. DM'!Q289)/100)*1000</f>
        <v>477.40455817672938</v>
      </c>
      <c r="T1140" s="94">
        <f>'3.2 Digest'!W1140</f>
        <v>290.70455817672939</v>
      </c>
      <c r="U1140" s="117">
        <v>0.33958333333333335</v>
      </c>
      <c r="V1140" s="155">
        <v>41</v>
      </c>
      <c r="W1140" s="117">
        <v>0.68680555555555556</v>
      </c>
      <c r="X1140" s="96">
        <v>77.5</v>
      </c>
      <c r="Y1140" s="96">
        <v>13.2</v>
      </c>
      <c r="Z1140" s="155">
        <v>41.5</v>
      </c>
      <c r="AA1140" s="117">
        <v>0.38333333333333336</v>
      </c>
      <c r="AB1140" s="155">
        <v>86</v>
      </c>
      <c r="AC1140" s="155">
        <v>13.8</v>
      </c>
      <c r="AD1140" s="96"/>
      <c r="AE1140" s="94">
        <f>Table3.110[[#This Row],[Gas 8h, ml]]-Table3.110[[#This Row],[Gas 0h, ml]]</f>
        <v>36.5</v>
      </c>
      <c r="AF1140" s="94">
        <f>Table3.110[[#This Row],[Gas 24h, ml]]-Table3.110[[#This Row],[V8 Push back, ml]]</f>
        <v>44.5</v>
      </c>
      <c r="AG1140" s="94">
        <f>Table3.110[[#This Row],[GP 8h, ml]]-(AVERAGE(AE$1087,AE$1088,AE$1121,AE$1122,AE$1157,AE$1158))*$AG$8</f>
        <v>34.361233672775342</v>
      </c>
      <c r="AH1140" s="94">
        <f>Table3.110[[#This Row],[GP 8-24h, ml]]-(AVERAGE(AF$1087,AF$1088,AF$1121,AF$1122,AF$1157,AF$1158))*$AG$8</f>
        <v>41.623728042697877</v>
      </c>
      <c r="AI1140" s="94">
        <f>Table3.110[[#This Row],[Net gas 8-24h, ml]]+Table3.110[[#This Row],[Net gas 8h, ml]]</f>
        <v>75.984961715473219</v>
      </c>
      <c r="AJ1140" s="94">
        <f>Table3.110[[#This Row],[Net gas 8h, ml]]*Table3.110[[#This Row],[CH4 8h %]]%</f>
        <v>4.5356828448063453</v>
      </c>
      <c r="AK1140" s="94">
        <f>Table3.110[[#This Row],[Net gas 8-24h, ml]]*Table3.110[[#This Row],[CH4 24h, %]]%</f>
        <v>5.7440744698923076</v>
      </c>
      <c r="AL1140" s="94">
        <f>Table3.110[[#This Row],[CH4 8-24h, ml]]+Table3.110[[#This Row],[CH4 8h, ml]]</f>
        <v>10.279757314698653</v>
      </c>
      <c r="AM1140" s="94">
        <f>(Table3.110[[#This Row],[Net gas 24h, ml]]/Table3.110[[#This Row],[DM Incubated, mg]])*1000</f>
        <v>159.16262300818775</v>
      </c>
      <c r="AN1140" s="94">
        <f>'3.2 Digest'!X1140</f>
        <v>60.892706866262067</v>
      </c>
      <c r="AO1140" s="94">
        <f>Table3.110[[#This Row],[Digested feed, mg]]/Table3.110[[#This Row],[Net gas 24h, ml]]</f>
        <v>3.8258169987013586</v>
      </c>
      <c r="AP1140" s="94">
        <f>Table3.110[[#This Row],[CH4 8h, ml]]/Table3.110[[#This Row],[Net gas 8h, ml]]%</f>
        <v>13.2</v>
      </c>
      <c r="AQ1140" s="94">
        <f>Table3.110[[#This Row],[CH4 24h, ml]]/Table3.110[[#This Row],[Net gas 24h, ml]]%</f>
        <v>13.528673414604526</v>
      </c>
      <c r="AR1140" s="94">
        <f>Table3.110[[#This Row],[CH4 24h, ml]]/Table3.110[[#This Row],[DM Incubated, mg]]*1000</f>
        <v>21.532591464895923</v>
      </c>
      <c r="AS1140" s="94">
        <f>Table3.110[[#This Row],[CH4 24h, ml]]/Table3.110[[#This Row],[Digested feed, mg]]*1000</f>
        <v>35.36152779706066</v>
      </c>
      <c r="AT1140" s="94">
        <f>Table3.110[[#This Row],[CH4 24h, ml]]/'3.2 Digest'!AA1140</f>
        <v>0.68566833543550465</v>
      </c>
      <c r="AU1140" s="94">
        <f>((Table3.110[[#This Row],[CH4 24h, ml]]/28.9)*16.04)/Table3.110[[#This Row],[DM Incubated, mg]]*1000</f>
        <v>11.950960799201752</v>
      </c>
      <c r="AV1140" s="94">
        <f>((Table3.110[[#This Row],[CH4 24h, ml]]/28.9)*16.04)/Table3.110[[#This Row],[Digested feed, mg]]*1000</f>
        <v>19.626259718507022</v>
      </c>
      <c r="AW1140" s="94"/>
      <c r="AX1140" s="94"/>
    </row>
    <row r="1141" spans="2:50" x14ac:dyDescent="0.35">
      <c r="B1141" s="90">
        <f t="shared" si="17"/>
        <v>1131</v>
      </c>
      <c r="C1141" s="140">
        <v>46083</v>
      </c>
      <c r="D1141" s="6" t="s">
        <v>16</v>
      </c>
      <c r="E1141" s="6" t="s">
        <v>460</v>
      </c>
      <c r="F1141" s="242" t="s">
        <v>333</v>
      </c>
      <c r="G1141" s="242" t="s">
        <v>461</v>
      </c>
      <c r="H1141" s="6" t="s">
        <v>462</v>
      </c>
      <c r="I1141" s="133" t="s">
        <v>22</v>
      </c>
      <c r="J1141" s="135" t="s">
        <v>23</v>
      </c>
      <c r="K1141" s="135" t="s">
        <v>303</v>
      </c>
      <c r="L1141" s="6" t="s">
        <v>459</v>
      </c>
      <c r="M1141" s="256">
        <v>30</v>
      </c>
      <c r="N1141" s="256">
        <v>65</v>
      </c>
      <c r="O1141" s="256">
        <v>2</v>
      </c>
      <c r="P1141" s="257">
        <v>1</v>
      </c>
      <c r="Q1141" s="129">
        <v>55</v>
      </c>
      <c r="R1141" s="98">
        <v>0.50019999999999998</v>
      </c>
      <c r="S1141" s="94">
        <f>((Table3.110[[#This Row],[Sample weight, g]]*'2.1. DM'!Q291)/100)*1000</f>
        <v>482.40087956021961</v>
      </c>
      <c r="T1141" s="94">
        <f>'3.2 Digest'!W1141</f>
        <v>212.80087956021953</v>
      </c>
      <c r="U1141" s="117">
        <v>0.34027777777777779</v>
      </c>
      <c r="V1141" s="155">
        <v>41</v>
      </c>
      <c r="W1141" s="117">
        <v>0.68680555555555556</v>
      </c>
      <c r="X1141" s="96">
        <v>78</v>
      </c>
      <c r="Y1141" s="96">
        <v>13.8</v>
      </c>
      <c r="Z1141" s="155">
        <v>40.5</v>
      </c>
      <c r="AA1141" s="117">
        <v>0.38333333333333336</v>
      </c>
      <c r="AB1141" s="155">
        <v>80</v>
      </c>
      <c r="AC1141" s="155">
        <v>16.399999999999999</v>
      </c>
      <c r="AD1141" s="96"/>
      <c r="AE1141" s="94">
        <f>Table3.110[[#This Row],[Gas 8h, ml]]-Table3.110[[#This Row],[Gas 0h, ml]]</f>
        <v>37</v>
      </c>
      <c r="AF1141" s="94">
        <f>Table3.110[[#This Row],[Gas 24h, ml]]-Table3.110[[#This Row],[V8 Push back, ml]]</f>
        <v>39.5</v>
      </c>
      <c r="AG1141" s="94">
        <f>Table3.110[[#This Row],[GP 8h, ml]]-(AVERAGE(AE$1087,AE$1088,AE$1121,AE$1122,AE$1157,AE$1158))*$AG$8</f>
        <v>34.861233672775342</v>
      </c>
      <c r="AH1141" s="94">
        <f>Table3.110[[#This Row],[GP 8-24h, ml]]-(AVERAGE(AF$1087,AF$1088,AF$1121,AF$1122,AF$1157,AF$1158))*$AG$8</f>
        <v>36.623728042697877</v>
      </c>
      <c r="AI1141" s="94">
        <f>Table3.110[[#This Row],[Net gas 8-24h, ml]]+Table3.110[[#This Row],[Net gas 8h, ml]]</f>
        <v>71.484961715473219</v>
      </c>
      <c r="AJ1141" s="94">
        <f>Table3.110[[#This Row],[Net gas 8h, ml]]*Table3.110[[#This Row],[CH4 8h %]]%</f>
        <v>4.8108502468429979</v>
      </c>
      <c r="AK1141" s="94">
        <f>Table3.110[[#This Row],[Net gas 8-24h, ml]]*Table3.110[[#This Row],[CH4 24h, %]]%</f>
        <v>6.0062913990024507</v>
      </c>
      <c r="AL1141" s="94">
        <f>Table3.110[[#This Row],[CH4 8-24h, ml]]+Table3.110[[#This Row],[CH4 8h, ml]]</f>
        <v>10.817141645845449</v>
      </c>
      <c r="AM1141" s="94">
        <f>(Table3.110[[#This Row],[Net gas 24h, ml]]/Table3.110[[#This Row],[DM Incubated, mg]])*1000</f>
        <v>148.18580302059652</v>
      </c>
      <c r="AN1141" s="94">
        <f>'3.2 Digest'!X1141</f>
        <v>44.112871384940114</v>
      </c>
      <c r="AO1141" s="94">
        <f>Table3.110[[#This Row],[Digested feed, mg]]/Table3.110[[#This Row],[Net gas 24h, ml]]</f>
        <v>2.976862188262988</v>
      </c>
      <c r="AP1141" s="94">
        <f>Table3.110[[#This Row],[CH4 8h, ml]]/Table3.110[[#This Row],[Net gas 8h, ml]]%</f>
        <v>13.8</v>
      </c>
      <c r="AQ1141" s="94">
        <f>Table3.110[[#This Row],[CH4 24h, ml]]/Table3.110[[#This Row],[Net gas 24h, ml]]%</f>
        <v>15.13205209355807</v>
      </c>
      <c r="AR1141" s="94">
        <f>Table3.110[[#This Row],[CH4 24h, ml]]/Table3.110[[#This Row],[DM Incubated, mg]]*1000</f>
        <v>22.423552908334013</v>
      </c>
      <c r="AS1141" s="94">
        <f>Table3.110[[#This Row],[CH4 24h, ml]]/Table3.110[[#This Row],[Digested feed, mg]]*1000</f>
        <v>50.832222442879313</v>
      </c>
      <c r="AT1141" s="94">
        <f>Table3.110[[#This Row],[CH4 24h, ml]]/'3.2 Digest'!AA1141</f>
        <v>-0.99429088809285537</v>
      </c>
      <c r="AU1141" s="94">
        <f>((Table3.110[[#This Row],[CH4 24h, ml]]/28.9)*16.04)/Table3.110[[#This Row],[DM Incubated, mg]]*1000</f>
        <v>12.445459814867739</v>
      </c>
      <c r="AV1141" s="94">
        <f>((Table3.110[[#This Row],[CH4 24h, ml]]/28.9)*16.04)/Table3.110[[#This Row],[Digested feed, mg]]*1000</f>
        <v>28.212762906013296</v>
      </c>
      <c r="AW1141" s="94"/>
      <c r="AX1141" s="94"/>
    </row>
    <row r="1142" spans="2:50" x14ac:dyDescent="0.35">
      <c r="B1142" s="90">
        <f t="shared" si="17"/>
        <v>1132</v>
      </c>
      <c r="C1142" s="140">
        <v>46083</v>
      </c>
      <c r="D1142" s="6" t="s">
        <v>16</v>
      </c>
      <c r="E1142" s="6" t="s">
        <v>460</v>
      </c>
      <c r="F1142" s="242" t="s">
        <v>333</v>
      </c>
      <c r="G1142" s="242" t="s">
        <v>461</v>
      </c>
      <c r="H1142" s="6" t="s">
        <v>462</v>
      </c>
      <c r="I1142" s="133" t="s">
        <v>22</v>
      </c>
      <c r="J1142" s="135" t="s">
        <v>23</v>
      </c>
      <c r="K1142" s="135" t="s">
        <v>303</v>
      </c>
      <c r="L1142" s="6" t="s">
        <v>459</v>
      </c>
      <c r="M1142" s="256">
        <v>30</v>
      </c>
      <c r="N1142" s="256">
        <v>65</v>
      </c>
      <c r="O1142" s="256">
        <v>2</v>
      </c>
      <c r="P1142" s="257">
        <v>2</v>
      </c>
      <c r="Q1142" s="129">
        <v>56</v>
      </c>
      <c r="R1142" s="98">
        <v>0.50019999999999998</v>
      </c>
      <c r="S1142" s="94">
        <f>((Table3.110[[#This Row],[Sample weight, g]]*'2.1. DM'!Q291)/100)*1000</f>
        <v>482.40087956021961</v>
      </c>
      <c r="T1142" s="94">
        <f>'3.2 Digest'!W1142</f>
        <v>222.80087956021964</v>
      </c>
      <c r="U1142" s="153">
        <v>0.34027777777777779</v>
      </c>
      <c r="V1142" s="155">
        <v>40.5</v>
      </c>
      <c r="W1142" s="153">
        <v>0.6875</v>
      </c>
      <c r="X1142" s="91">
        <v>78</v>
      </c>
      <c r="Y1142" s="91">
        <v>14.3</v>
      </c>
      <c r="Z1142" s="154">
        <v>40</v>
      </c>
      <c r="AA1142" s="153">
        <v>0.3840277777777778</v>
      </c>
      <c r="AB1142" s="154">
        <v>81.5</v>
      </c>
      <c r="AC1142" s="154">
        <v>16.2</v>
      </c>
      <c r="AD1142" s="91"/>
      <c r="AE1142" s="94">
        <f>Table3.110[[#This Row],[Gas 8h, ml]]-Table3.110[[#This Row],[Gas 0h, ml]]</f>
        <v>37.5</v>
      </c>
      <c r="AF1142" s="94">
        <f>Table3.110[[#This Row],[Gas 24h, ml]]-Table3.110[[#This Row],[V8 Push back, ml]]</f>
        <v>41.5</v>
      </c>
      <c r="AG1142" s="94">
        <f>Table3.110[[#This Row],[GP 8h, ml]]-(AVERAGE(AE$1087,AE$1088,AE$1121,AE$1122,AE$1157,AE$1158))*$AG$8</f>
        <v>35.361233672775342</v>
      </c>
      <c r="AH1142" s="94">
        <f>Table3.110[[#This Row],[GP 8-24h, ml]]-(AVERAGE(AF$1087,AF$1088,AF$1121,AF$1122,AF$1157,AF$1158))*$AG$8</f>
        <v>38.623728042697877</v>
      </c>
      <c r="AI1142" s="94">
        <f>Table3.110[[#This Row],[Net gas 8-24h, ml]]+Table3.110[[#This Row],[Net gas 8h, ml]]</f>
        <v>73.984961715473219</v>
      </c>
      <c r="AJ1142" s="94">
        <f>Table3.110[[#This Row],[Net gas 8h, ml]]*Table3.110[[#This Row],[CH4 8h %]]%</f>
        <v>5.0566564152068745</v>
      </c>
      <c r="AK1142" s="94">
        <f>Table3.110[[#This Row],[Net gas 8-24h, ml]]*Table3.110[[#This Row],[CH4 24h, %]]%</f>
        <v>6.2570439429170559</v>
      </c>
      <c r="AL1142" s="94">
        <f>Table3.110[[#This Row],[CH4 8-24h, ml]]+Table3.110[[#This Row],[CH4 8h, ml]]</f>
        <v>11.313700358123931</v>
      </c>
      <c r="AM1142" s="94">
        <f>(Table3.110[[#This Row],[Net gas 24h, ml]]/Table3.110[[#This Row],[DM Incubated, mg]])*1000</f>
        <v>153.36821479869928</v>
      </c>
      <c r="AN1142" s="94">
        <f>'3.2 Digest'!X1142</f>
        <v>46.185836096181227</v>
      </c>
      <c r="AO1142" s="94">
        <f>Table3.110[[#This Row],[Digested feed, mg]]/Table3.110[[#This Row],[Net gas 24h, ml]]</f>
        <v>3.0114346806997543</v>
      </c>
      <c r="AP1142" s="94">
        <f>Table3.110[[#This Row],[CH4 8h, ml]]/Table3.110[[#This Row],[Net gas 8h, ml]]%</f>
        <v>14.3</v>
      </c>
      <c r="AQ1142" s="94">
        <f>Table3.110[[#This Row],[CH4 24h, ml]]/Table3.110[[#This Row],[Net gas 24h, ml]]%</f>
        <v>15.291891886939753</v>
      </c>
      <c r="AR1142" s="94">
        <f>Table3.110[[#This Row],[CH4 24h, ml]]/Table3.110[[#This Row],[DM Incubated, mg]]*1000</f>
        <v>23.452901595946628</v>
      </c>
      <c r="AS1142" s="94">
        <f>Table3.110[[#This Row],[CH4 24h, ml]]/Table3.110[[#This Row],[Digested feed, mg]]*1000</f>
        <v>50.779424122811925</v>
      </c>
      <c r="AT1142" s="94">
        <f>Table3.110[[#This Row],[CH4 24h, ml]]/'3.2 Digest'!AA1142</f>
        <v>-1.6720115153429993</v>
      </c>
      <c r="AU1142" s="94">
        <f>((Table3.110[[#This Row],[CH4 24h, ml]]/28.9)*16.04)/Table3.110[[#This Row],[DM Incubated, mg]]*1000</f>
        <v>13.016766145293559</v>
      </c>
      <c r="AV1142" s="94">
        <f>((Table3.110[[#This Row],[CH4 24h, ml]]/28.9)*16.04)/Table3.110[[#This Row],[Digested feed, mg]]*1000</f>
        <v>28.183458924910145</v>
      </c>
      <c r="AW1142" s="94"/>
      <c r="AX1142" s="94"/>
    </row>
    <row r="1143" spans="2:50" x14ac:dyDescent="0.35">
      <c r="B1143" s="90">
        <f t="shared" si="17"/>
        <v>1133</v>
      </c>
      <c r="C1143" s="140">
        <v>46083</v>
      </c>
      <c r="D1143" s="6" t="s">
        <v>16</v>
      </c>
      <c r="E1143" s="6" t="s">
        <v>464</v>
      </c>
      <c r="F1143" s="242" t="s">
        <v>333</v>
      </c>
      <c r="G1143" s="242" t="s">
        <v>438</v>
      </c>
      <c r="H1143" s="6" t="s">
        <v>439</v>
      </c>
      <c r="I1143" s="133" t="s">
        <v>22</v>
      </c>
      <c r="J1143" s="135" t="s">
        <v>23</v>
      </c>
      <c r="K1143" s="135" t="s">
        <v>303</v>
      </c>
      <c r="L1143" s="6" t="s">
        <v>463</v>
      </c>
      <c r="M1143" s="256">
        <v>30</v>
      </c>
      <c r="N1143" s="256">
        <v>65</v>
      </c>
      <c r="O1143" s="256">
        <v>2</v>
      </c>
      <c r="P1143" s="257">
        <v>1</v>
      </c>
      <c r="Q1143" s="129">
        <v>57</v>
      </c>
      <c r="R1143" s="98">
        <v>0.50019999999999998</v>
      </c>
      <c r="S1143" s="94">
        <f>((Table3.110[[#This Row],[Sample weight, g]]*'2.1. DM'!Q293)/100)*1000</f>
        <v>479.37605197401308</v>
      </c>
      <c r="T1143" s="94">
        <f>'3.2 Digest'!W1143</f>
        <v>198.17605197401309</v>
      </c>
      <c r="U1143" s="153">
        <v>0.34027777777777779</v>
      </c>
      <c r="V1143" s="155">
        <v>41</v>
      </c>
      <c r="W1143" s="153">
        <v>0.6875</v>
      </c>
      <c r="X1143" s="91">
        <v>78</v>
      </c>
      <c r="Y1143" s="91">
        <v>13.2</v>
      </c>
      <c r="Z1143" s="154">
        <v>40</v>
      </c>
      <c r="AA1143" s="153">
        <v>0.38472222222222224</v>
      </c>
      <c r="AB1143" s="154">
        <v>76</v>
      </c>
      <c r="AC1143" s="154">
        <v>16</v>
      </c>
      <c r="AD1143" s="91"/>
      <c r="AE1143" s="94">
        <f>Table3.110[[#This Row],[Gas 8h, ml]]-Table3.110[[#This Row],[Gas 0h, ml]]</f>
        <v>37</v>
      </c>
      <c r="AF1143" s="94">
        <f>Table3.110[[#This Row],[Gas 24h, ml]]-Table3.110[[#This Row],[V8 Push back, ml]]</f>
        <v>36</v>
      </c>
      <c r="AG1143" s="94">
        <f>Table3.110[[#This Row],[GP 8h, ml]]-(AVERAGE(AE$1087,AE$1088,AE$1121,AE$1122,AE$1157,AE$1158))*$AG$8</f>
        <v>34.861233672775342</v>
      </c>
      <c r="AH1143" s="94">
        <f>Table3.110[[#This Row],[GP 8-24h, ml]]-(AVERAGE(AF$1087,AF$1088,AF$1121,AF$1122,AF$1157,AF$1158))*$AG$8</f>
        <v>33.123728042697877</v>
      </c>
      <c r="AI1143" s="94">
        <f>Table3.110[[#This Row],[Net gas 8-24h, ml]]+Table3.110[[#This Row],[Net gas 8h, ml]]</f>
        <v>67.984961715473219</v>
      </c>
      <c r="AJ1143" s="94">
        <f>Table3.110[[#This Row],[Net gas 8h, ml]]*Table3.110[[#This Row],[CH4 8h %]]%</f>
        <v>4.6016828448063452</v>
      </c>
      <c r="AK1143" s="94">
        <f>Table3.110[[#This Row],[Net gas 8-24h, ml]]*Table3.110[[#This Row],[CH4 24h, %]]%</f>
        <v>5.29979648683166</v>
      </c>
      <c r="AL1143" s="94">
        <f>Table3.110[[#This Row],[CH4 8-24h, ml]]+Table3.110[[#This Row],[CH4 8h, ml]]</f>
        <v>9.9014793316380043</v>
      </c>
      <c r="AM1143" s="94">
        <f>(Table3.110[[#This Row],[Net gas 24h, ml]]/Table3.110[[#This Row],[DM Incubated, mg]])*1000</f>
        <v>141.8196871444022</v>
      </c>
      <c r="AN1143" s="94">
        <f>'3.2 Digest'!X1143</f>
        <v>41.340415558505242</v>
      </c>
      <c r="AO1143" s="94">
        <f>Table3.110[[#This Row],[Digested feed, mg]]/Table3.110[[#This Row],[Net gas 24h, ml]]</f>
        <v>2.9149983610111923</v>
      </c>
      <c r="AP1143" s="94">
        <f>Table3.110[[#This Row],[CH4 8h, ml]]/Table3.110[[#This Row],[Net gas 8h, ml]]%</f>
        <v>13.2</v>
      </c>
      <c r="AQ1143" s="94">
        <f>Table3.110[[#This Row],[CH4 24h, ml]]/Table3.110[[#This Row],[Net gas 24h, ml]]%</f>
        <v>14.564219912452273</v>
      </c>
      <c r="AR1143" s="94">
        <f>Table3.110[[#This Row],[CH4 24h, ml]]/Table3.110[[#This Row],[DM Incubated, mg]]*1000</f>
        <v>20.654931114862539</v>
      </c>
      <c r="AS1143" s="94">
        <f>Table3.110[[#This Row],[CH4 24h, ml]]/Table3.110[[#This Row],[Digested feed, mg]]*1000</f>
        <v>49.963046659827441</v>
      </c>
      <c r="AT1143" s="94">
        <f>Table3.110[[#This Row],[CH4 24h, ml]]/'3.2 Digest'!AA1143</f>
        <v>1.429026334225012</v>
      </c>
      <c r="AU1143" s="94">
        <f>((Table3.110[[#This Row],[CH4 24h, ml]]/28.9)*16.04)/Table3.110[[#This Row],[DM Incubated, mg]]*1000</f>
        <v>11.463844120498102</v>
      </c>
      <c r="AV1143" s="94">
        <f>((Table3.110[[#This Row],[CH4 24h, ml]]/28.9)*16.04)/Table3.110[[#This Row],[Digested feed, mg]]*1000</f>
        <v>27.7303553087762</v>
      </c>
      <c r="AW1143" s="94"/>
      <c r="AX1143" s="94"/>
    </row>
    <row r="1144" spans="2:50" x14ac:dyDescent="0.35">
      <c r="B1144" s="90">
        <f t="shared" si="17"/>
        <v>1134</v>
      </c>
      <c r="C1144" s="140">
        <v>46083</v>
      </c>
      <c r="D1144" s="6" t="s">
        <v>16</v>
      </c>
      <c r="E1144" s="6" t="s">
        <v>464</v>
      </c>
      <c r="F1144" s="242" t="s">
        <v>333</v>
      </c>
      <c r="G1144" s="242" t="s">
        <v>438</v>
      </c>
      <c r="H1144" s="6" t="s">
        <v>439</v>
      </c>
      <c r="I1144" s="133" t="s">
        <v>22</v>
      </c>
      <c r="J1144" s="135" t="s">
        <v>23</v>
      </c>
      <c r="K1144" s="135" t="s">
        <v>303</v>
      </c>
      <c r="L1144" s="6" t="s">
        <v>463</v>
      </c>
      <c r="M1144" s="256">
        <v>30</v>
      </c>
      <c r="N1144" s="256">
        <v>65</v>
      </c>
      <c r="O1144" s="256">
        <v>2</v>
      </c>
      <c r="P1144" s="257">
        <v>2</v>
      </c>
      <c r="Q1144" s="129">
        <v>58</v>
      </c>
      <c r="R1144" s="98">
        <v>0.50009999999999999</v>
      </c>
      <c r="S1144" s="94">
        <f>((Table3.110[[#This Row],[Sample weight, g]]*'2.1. DM'!Q293)/100)*1000</f>
        <v>479.28021509836844</v>
      </c>
      <c r="T1144" s="94">
        <f>'3.2 Digest'!W1144</f>
        <v>205.48021509836838</v>
      </c>
      <c r="U1144" s="117">
        <v>0.34097222222222223</v>
      </c>
      <c r="V1144" s="155">
        <v>41</v>
      </c>
      <c r="W1144" s="117">
        <v>0.68819444444444444</v>
      </c>
      <c r="X1144" s="96">
        <v>78.5</v>
      </c>
      <c r="Y1144" s="96">
        <v>13.4</v>
      </c>
      <c r="Z1144" s="155">
        <v>40</v>
      </c>
      <c r="AA1144" s="117">
        <v>0.38541666666666669</v>
      </c>
      <c r="AB1144" s="155">
        <v>77.5</v>
      </c>
      <c r="AC1144" s="155">
        <v>15.8</v>
      </c>
      <c r="AD1144" s="96"/>
      <c r="AE1144" s="94">
        <f>Table3.110[[#This Row],[Gas 8h, ml]]-Table3.110[[#This Row],[Gas 0h, ml]]</f>
        <v>37.5</v>
      </c>
      <c r="AF1144" s="94">
        <f>Table3.110[[#This Row],[Gas 24h, ml]]-Table3.110[[#This Row],[V8 Push back, ml]]</f>
        <v>37.5</v>
      </c>
      <c r="AG1144" s="94">
        <f>Table3.110[[#This Row],[GP 8h, ml]]-(AVERAGE(AE$1087,AE$1088,AE$1121,AE$1122,AE$1157,AE$1158))*$AG$8</f>
        <v>35.361233672775342</v>
      </c>
      <c r="AH1144" s="94">
        <f>Table3.110[[#This Row],[GP 8-24h, ml]]-(AVERAGE(AF$1087,AF$1088,AF$1121,AF$1122,AF$1157,AF$1158))*$AG$8</f>
        <v>34.623728042697877</v>
      </c>
      <c r="AI1144" s="94">
        <f>Table3.110[[#This Row],[Net gas 8-24h, ml]]+Table3.110[[#This Row],[Net gas 8h, ml]]</f>
        <v>69.984961715473219</v>
      </c>
      <c r="AJ1144" s="94">
        <f>Table3.110[[#This Row],[Net gas 8h, ml]]*Table3.110[[#This Row],[CH4 8h %]]%</f>
        <v>4.7384053121518956</v>
      </c>
      <c r="AK1144" s="94">
        <f>Table3.110[[#This Row],[Net gas 8-24h, ml]]*Table3.110[[#This Row],[CH4 24h, %]]%</f>
        <v>5.4705490307462643</v>
      </c>
      <c r="AL1144" s="94">
        <f>Table3.110[[#This Row],[CH4 8-24h, ml]]+Table3.110[[#This Row],[CH4 8h, ml]]</f>
        <v>10.20895434289816</v>
      </c>
      <c r="AM1144" s="94">
        <f>(Table3.110[[#This Row],[Net gas 24h, ml]]/Table3.110[[#This Row],[DM Incubated, mg]])*1000</f>
        <v>146.02096959314159</v>
      </c>
      <c r="AN1144" s="94">
        <f>'3.2 Digest'!X1144</f>
        <v>42.872667935227661</v>
      </c>
      <c r="AO1144" s="94">
        <f>Table3.110[[#This Row],[Digested feed, mg]]/Table3.110[[#This Row],[Net gas 24h, ml]]</f>
        <v>2.9360624062888934</v>
      </c>
      <c r="AP1144" s="94">
        <f>Table3.110[[#This Row],[CH4 8h, ml]]/Table3.110[[#This Row],[Net gas 8h, ml]]%</f>
        <v>13.399999999999999</v>
      </c>
      <c r="AQ1144" s="94">
        <f>Table3.110[[#This Row],[CH4 24h, ml]]/Table3.110[[#This Row],[Net gas 24h, ml]]%</f>
        <v>14.587354329638831</v>
      </c>
      <c r="AR1144" s="94">
        <f>Table3.110[[#This Row],[CH4 24h, ml]]/Table3.110[[#This Row],[DM Incubated, mg]]*1000</f>
        <v>21.300596230125738</v>
      </c>
      <c r="AS1144" s="94">
        <f>Table3.110[[#This Row],[CH4 24h, ml]]/Table3.110[[#This Row],[Digested feed, mg]]*1000</f>
        <v>49.683393303880301</v>
      </c>
      <c r="AT1144" s="94">
        <f>Table3.110[[#This Row],[CH4 24h, ml]]/'3.2 Digest'!AA1144</f>
        <v>1.0907061077434583</v>
      </c>
      <c r="AU1144" s="94">
        <f>((Table3.110[[#This Row],[CH4 24h, ml]]/28.9)*16.04)/Table3.110[[#This Row],[DM Incubated, mg]]*1000</f>
        <v>11.822199430145913</v>
      </c>
      <c r="AV1144" s="94">
        <f>((Table3.110[[#This Row],[CH4 24h, ml]]/28.9)*16.04)/Table3.110[[#This Row],[Digested feed, mg]]*1000</f>
        <v>27.575142857932185</v>
      </c>
      <c r="AW1144" s="94"/>
      <c r="AX1144" s="94"/>
    </row>
    <row r="1145" spans="2:50" x14ac:dyDescent="0.35">
      <c r="B1145" s="90">
        <f t="shared" si="17"/>
        <v>1135</v>
      </c>
      <c r="C1145" s="140">
        <v>46083</v>
      </c>
      <c r="D1145" s="6" t="s">
        <v>16</v>
      </c>
      <c r="E1145" s="6" t="s">
        <v>466</v>
      </c>
      <c r="F1145" s="242" t="s">
        <v>346</v>
      </c>
      <c r="G1145" s="242" t="s">
        <v>347</v>
      </c>
      <c r="H1145" s="6" t="s">
        <v>348</v>
      </c>
      <c r="I1145" s="133" t="s">
        <v>22</v>
      </c>
      <c r="J1145" s="135" t="s">
        <v>23</v>
      </c>
      <c r="K1145" s="135" t="s">
        <v>303</v>
      </c>
      <c r="L1145" s="6" t="s">
        <v>465</v>
      </c>
      <c r="M1145" s="256">
        <v>30</v>
      </c>
      <c r="N1145" s="256">
        <v>65</v>
      </c>
      <c r="O1145" s="256">
        <v>2</v>
      </c>
      <c r="P1145" s="257">
        <v>1</v>
      </c>
      <c r="Q1145" s="129">
        <v>59</v>
      </c>
      <c r="R1145" s="98">
        <v>0.5</v>
      </c>
      <c r="S1145" s="94">
        <f>((Table3.110[[#This Row],[Sample weight, g]]*'2.1. DM'!Q295)/100)*1000</f>
        <v>481.53318595666548</v>
      </c>
      <c r="T1145" s="94"/>
      <c r="U1145" s="117">
        <v>0.34097222222222223</v>
      </c>
      <c r="V1145" s="155">
        <v>41</v>
      </c>
      <c r="W1145" s="117">
        <v>0.68958333333333333</v>
      </c>
      <c r="X1145" s="96">
        <v>73</v>
      </c>
      <c r="Y1145" s="96">
        <v>13.9</v>
      </c>
      <c r="Z1145" s="155">
        <v>40</v>
      </c>
      <c r="AA1145" s="117">
        <v>0.38611111111111113</v>
      </c>
      <c r="AB1145" s="155">
        <v>75.5</v>
      </c>
      <c r="AC1145" s="155">
        <v>16.399999999999999</v>
      </c>
      <c r="AD1145" s="96"/>
      <c r="AE1145" s="94">
        <f>Table3.110[[#This Row],[Gas 8h, ml]]-Table3.110[[#This Row],[Gas 0h, ml]]</f>
        <v>32</v>
      </c>
      <c r="AF1145" s="94">
        <f>Table3.110[[#This Row],[Gas 24h, ml]]-Table3.110[[#This Row],[V8 Push back, ml]]</f>
        <v>35.5</v>
      </c>
      <c r="AG1145" s="94"/>
      <c r="AH1145" s="94"/>
      <c r="AI1145" s="94"/>
      <c r="AJ1145" s="94"/>
      <c r="AK1145" s="94"/>
      <c r="AL1145" s="94"/>
      <c r="AM1145" s="94"/>
      <c r="AN1145" s="94"/>
      <c r="AO1145" s="94"/>
      <c r="AP1145" s="94"/>
      <c r="AQ1145" s="94"/>
      <c r="AR1145" s="94"/>
      <c r="AS1145" s="94"/>
      <c r="AT1145" s="94"/>
      <c r="AU1145" s="94"/>
      <c r="AV1145" s="94"/>
      <c r="AW1145" s="94" t="s">
        <v>649</v>
      </c>
      <c r="AX1145" s="94"/>
    </row>
    <row r="1146" spans="2:50" x14ac:dyDescent="0.35">
      <c r="B1146" s="90">
        <f t="shared" si="17"/>
        <v>1136</v>
      </c>
      <c r="C1146" s="140">
        <v>46083</v>
      </c>
      <c r="D1146" s="6" t="s">
        <v>16</v>
      </c>
      <c r="E1146" s="6" t="s">
        <v>466</v>
      </c>
      <c r="F1146" s="242" t="s">
        <v>346</v>
      </c>
      <c r="G1146" s="242" t="s">
        <v>347</v>
      </c>
      <c r="H1146" s="6" t="s">
        <v>348</v>
      </c>
      <c r="I1146" s="133" t="s">
        <v>22</v>
      </c>
      <c r="J1146" s="135" t="s">
        <v>23</v>
      </c>
      <c r="K1146" s="135" t="s">
        <v>303</v>
      </c>
      <c r="L1146" s="6" t="s">
        <v>465</v>
      </c>
      <c r="M1146" s="256">
        <v>30</v>
      </c>
      <c r="N1146" s="256">
        <v>65</v>
      </c>
      <c r="O1146" s="256">
        <v>2</v>
      </c>
      <c r="P1146" s="257">
        <v>2</v>
      </c>
      <c r="Q1146" s="129">
        <v>60</v>
      </c>
      <c r="R1146" s="98">
        <v>0.5</v>
      </c>
      <c r="S1146" s="94">
        <f>((Table3.110[[#This Row],[Sample weight, g]]*'2.1. DM'!Q295)/100)*1000</f>
        <v>481.53318595666548</v>
      </c>
      <c r="T1146" s="94">
        <f>'3.2 Digest'!W1146</f>
        <v>209.1331859566655</v>
      </c>
      <c r="U1146" s="153">
        <v>0.34097222222222223</v>
      </c>
      <c r="V1146" s="155">
        <v>40.5</v>
      </c>
      <c r="W1146" s="153">
        <v>0.69027777777777777</v>
      </c>
      <c r="X1146" s="91">
        <v>72.5</v>
      </c>
      <c r="Y1146" s="91">
        <v>14.1</v>
      </c>
      <c r="Z1146" s="154">
        <v>40</v>
      </c>
      <c r="AA1146" s="153">
        <v>0.38611111111111113</v>
      </c>
      <c r="AB1146" s="154">
        <v>75.5</v>
      </c>
      <c r="AC1146" s="154">
        <v>16.100000000000001</v>
      </c>
      <c r="AD1146" s="91"/>
      <c r="AE1146" s="94">
        <f>Table3.110[[#This Row],[Gas 8h, ml]]-Table3.110[[#This Row],[Gas 0h, ml]]</f>
        <v>32</v>
      </c>
      <c r="AF1146" s="94">
        <f>Table3.110[[#This Row],[Gas 24h, ml]]-Table3.110[[#This Row],[V8 Push back, ml]]</f>
        <v>35.5</v>
      </c>
      <c r="AG1146" s="94"/>
      <c r="AH1146" s="94"/>
      <c r="AI1146" s="94"/>
      <c r="AJ1146" s="94"/>
      <c r="AK1146" s="94"/>
      <c r="AL1146" s="94"/>
      <c r="AM1146" s="94"/>
      <c r="AN1146" s="94"/>
      <c r="AO1146" s="94"/>
      <c r="AP1146" s="94"/>
      <c r="AQ1146" s="94"/>
      <c r="AR1146" s="94"/>
      <c r="AS1146" s="94"/>
      <c r="AT1146" s="94"/>
      <c r="AU1146" s="94"/>
      <c r="AV1146" s="94"/>
      <c r="AW1146" s="94" t="s">
        <v>661</v>
      </c>
      <c r="AX1146" s="94"/>
    </row>
    <row r="1147" spans="2:50" x14ac:dyDescent="0.35">
      <c r="B1147" s="90">
        <f t="shared" si="17"/>
        <v>1137</v>
      </c>
      <c r="C1147" s="140">
        <v>46083</v>
      </c>
      <c r="D1147" s="6" t="s">
        <v>16</v>
      </c>
      <c r="E1147" s="6" t="s">
        <v>468</v>
      </c>
      <c r="F1147" s="242" t="s">
        <v>212</v>
      </c>
      <c r="G1147" s="242" t="s">
        <v>469</v>
      </c>
      <c r="H1147" s="6" t="s">
        <v>470</v>
      </c>
      <c r="I1147" s="133" t="s">
        <v>22</v>
      </c>
      <c r="J1147" s="135" t="s">
        <v>23</v>
      </c>
      <c r="K1147" s="135" t="s">
        <v>303</v>
      </c>
      <c r="L1147" s="6" t="s">
        <v>467</v>
      </c>
      <c r="M1147" s="256">
        <v>30</v>
      </c>
      <c r="N1147" s="256">
        <v>65</v>
      </c>
      <c r="O1147" s="256">
        <v>2</v>
      </c>
      <c r="P1147" s="257">
        <v>1</v>
      </c>
      <c r="Q1147" s="129">
        <v>61</v>
      </c>
      <c r="R1147" s="98">
        <v>0.50009999999999999</v>
      </c>
      <c r="S1147" s="94">
        <f>((Table3.110[[#This Row],[Sample weight, g]]*'2.1. DM'!Q297)/100)*1000</f>
        <v>475.07504399040425</v>
      </c>
      <c r="T1147" s="94">
        <f>'3.2 Digest'!W1147</f>
        <v>241.17504399040425</v>
      </c>
      <c r="U1147" s="153">
        <v>0.34166666666666667</v>
      </c>
      <c r="V1147" s="154">
        <v>41.5</v>
      </c>
      <c r="W1147" s="153">
        <v>0.69027777777777777</v>
      </c>
      <c r="X1147" s="91">
        <v>80.5</v>
      </c>
      <c r="Y1147" s="91">
        <v>15.6</v>
      </c>
      <c r="Z1147" s="154">
        <v>40</v>
      </c>
      <c r="AA1147" s="153">
        <v>0.38680555555555557</v>
      </c>
      <c r="AB1147" s="154">
        <v>79</v>
      </c>
      <c r="AC1147" s="154">
        <v>18.100000000000001</v>
      </c>
      <c r="AD1147" s="91"/>
      <c r="AE1147" s="94">
        <f>Table3.110[[#This Row],[Gas 8h, ml]]-Table3.110[[#This Row],[Gas 0h, ml]]</f>
        <v>39</v>
      </c>
      <c r="AF1147" s="94">
        <f>Table3.110[[#This Row],[Gas 24h, ml]]-Table3.110[[#This Row],[V8 Push back, ml]]</f>
        <v>39</v>
      </c>
      <c r="AG1147" s="94">
        <f>Table3.110[[#This Row],[GP 8h, ml]]-(AVERAGE(AE$1087,AE$1088,AE$1121,AE$1122,AE$1157,AE$1158))*$AG$8</f>
        <v>36.861233672775342</v>
      </c>
      <c r="AH1147" s="94">
        <f>Table3.110[[#This Row],[GP 8-24h, ml]]-(AVERAGE(AF$1087,AF$1088,AF$1121,AF$1122,AF$1157,AF$1158))*$AG$8</f>
        <v>36.123728042697877</v>
      </c>
      <c r="AI1147" s="94">
        <f>Table3.110[[#This Row],[Net gas 8-24h, ml]]+Table3.110[[#This Row],[Net gas 8h, ml]]</f>
        <v>72.984961715473219</v>
      </c>
      <c r="AJ1147" s="94">
        <f>Table3.110[[#This Row],[Net gas 8h, ml]]*Table3.110[[#This Row],[CH4 8h %]]%</f>
        <v>5.7503524529529537</v>
      </c>
      <c r="AK1147" s="94">
        <f>Table3.110[[#This Row],[Net gas 8-24h, ml]]*Table3.110[[#This Row],[CH4 24h, %]]%</f>
        <v>6.5383947757283165</v>
      </c>
      <c r="AL1147" s="94">
        <f>Table3.110[[#This Row],[CH4 8-24h, ml]]+Table3.110[[#This Row],[CH4 8h, ml]]</f>
        <v>12.28874722868127</v>
      </c>
      <c r="AM1147" s="94">
        <f>(Table3.110[[#This Row],[Net gas 24h, ml]]/Table3.110[[#This Row],[DM Incubated, mg]])*1000</f>
        <v>153.62827965542934</v>
      </c>
      <c r="AN1147" s="94">
        <f>'3.2 Digest'!X1147</f>
        <v>50.765673137584464</v>
      </c>
      <c r="AO1147" s="94">
        <f>Table3.110[[#This Row],[Digested feed, mg]]/Table3.110[[#This Row],[Net gas 24h, ml]]</f>
        <v>3.3044484551572189</v>
      </c>
      <c r="AP1147" s="94">
        <f>Table3.110[[#This Row],[CH4 8h, ml]]/Table3.110[[#This Row],[Net gas 8h, ml]]%</f>
        <v>15.600000000000001</v>
      </c>
      <c r="AQ1147" s="94">
        <f>Table3.110[[#This Row],[CH4 24h, ml]]/Table3.110[[#This Row],[Net gas 24h, ml]]%</f>
        <v>16.837368876876436</v>
      </c>
      <c r="AR1147" s="94">
        <f>Table3.110[[#This Row],[CH4 24h, ml]]/Table3.110[[#This Row],[DM Incubated, mg]]*1000</f>
        <v>25.866960144783953</v>
      </c>
      <c r="AS1147" s="94">
        <f>Table3.110[[#This Row],[CH4 24h, ml]]/Table3.110[[#This Row],[Digested feed, mg]]*1000</f>
        <v>50.95364356674569</v>
      </c>
      <c r="AT1147" s="94">
        <f>Table3.110[[#This Row],[CH4 24h, ml]]/'3.2 Digest'!AA1147</f>
        <v>1.2263529155013557</v>
      </c>
      <c r="AU1147" s="94">
        <f>((Table3.110[[#This Row],[CH4 24h, ml]]/28.9)*16.04)/Table3.110[[#This Row],[DM Incubated, mg]]*1000</f>
        <v>14.356610405617115</v>
      </c>
      <c r="AV1147" s="94">
        <f>((Table3.110[[#This Row],[CH4 24h, ml]]/28.9)*16.04)/Table3.110[[#This Row],[Digested feed, mg]]*1000</f>
        <v>28.280153730470619</v>
      </c>
      <c r="AW1147" s="94"/>
      <c r="AX1147" s="94"/>
    </row>
    <row r="1148" spans="2:50" x14ac:dyDescent="0.35">
      <c r="B1148" s="90">
        <f t="shared" si="17"/>
        <v>1138</v>
      </c>
      <c r="C1148" s="140">
        <v>46083</v>
      </c>
      <c r="D1148" s="6" t="s">
        <v>16</v>
      </c>
      <c r="E1148" s="6" t="s">
        <v>468</v>
      </c>
      <c r="F1148" s="242" t="s">
        <v>212</v>
      </c>
      <c r="G1148" s="242" t="s">
        <v>469</v>
      </c>
      <c r="H1148" s="6" t="s">
        <v>470</v>
      </c>
      <c r="I1148" s="133" t="s">
        <v>22</v>
      </c>
      <c r="J1148" s="135" t="s">
        <v>23</v>
      </c>
      <c r="K1148" s="135" t="s">
        <v>303</v>
      </c>
      <c r="L1148" s="6" t="s">
        <v>467</v>
      </c>
      <c r="M1148" s="256">
        <v>30</v>
      </c>
      <c r="N1148" s="256">
        <v>65</v>
      </c>
      <c r="O1148" s="256">
        <v>2</v>
      </c>
      <c r="P1148" s="257">
        <v>2</v>
      </c>
      <c r="Q1148" s="129">
        <v>62</v>
      </c>
      <c r="R1148" s="98">
        <v>0.50029999999999997</v>
      </c>
      <c r="S1148" s="94">
        <f>((Table3.110[[#This Row],[Sample weight, g]]*'2.1. DM'!Q297)/100)*1000</f>
        <v>475.26503600959654</v>
      </c>
      <c r="T1148" s="94">
        <f>'3.2 Digest'!W1148</f>
        <v>245.56503600959653</v>
      </c>
      <c r="U1148" s="117">
        <v>0.34166666666666667</v>
      </c>
      <c r="V1148" s="155">
        <v>41.5</v>
      </c>
      <c r="W1148" s="117">
        <v>0.69097222222222221</v>
      </c>
      <c r="X1148" s="96">
        <v>82</v>
      </c>
      <c r="Y1148" s="96">
        <v>15.8</v>
      </c>
      <c r="Z1148" s="155">
        <v>40</v>
      </c>
      <c r="AA1148" s="117">
        <v>0.38680555555555557</v>
      </c>
      <c r="AB1148" s="155">
        <v>80.5</v>
      </c>
      <c r="AC1148" s="155">
        <v>18</v>
      </c>
      <c r="AD1148" s="96"/>
      <c r="AE1148" s="94">
        <f>Table3.110[[#This Row],[Gas 8h, ml]]-Table3.110[[#This Row],[Gas 0h, ml]]</f>
        <v>40.5</v>
      </c>
      <c r="AF1148" s="94">
        <f>Table3.110[[#This Row],[Gas 24h, ml]]-Table3.110[[#This Row],[V8 Push back, ml]]</f>
        <v>40.5</v>
      </c>
      <c r="AG1148" s="94">
        <f>Table3.110[[#This Row],[GP 8h, ml]]-(AVERAGE(AE$1087,AE$1088,AE$1121,AE$1122,AE$1157,AE$1158))*$AG$8</f>
        <v>38.361233672775342</v>
      </c>
      <c r="AH1148" s="94">
        <f>Table3.110[[#This Row],[GP 8-24h, ml]]-(AVERAGE(AF$1087,AF$1088,AF$1121,AF$1122,AF$1157,AF$1158))*$AG$8</f>
        <v>37.623728042697877</v>
      </c>
      <c r="AI1148" s="94">
        <f>Table3.110[[#This Row],[Net gas 8-24h, ml]]+Table3.110[[#This Row],[Net gas 8h, ml]]</f>
        <v>75.984961715473219</v>
      </c>
      <c r="AJ1148" s="94">
        <f>Table3.110[[#This Row],[Net gas 8h, ml]]*Table3.110[[#This Row],[CH4 8h %]]%</f>
        <v>6.0610749202985037</v>
      </c>
      <c r="AK1148" s="94">
        <f>Table3.110[[#This Row],[Net gas 8-24h, ml]]*Table3.110[[#This Row],[CH4 24h, %]]%</f>
        <v>6.7722710476856181</v>
      </c>
      <c r="AL1148" s="94">
        <f>Table3.110[[#This Row],[CH4 8-24h, ml]]+Table3.110[[#This Row],[CH4 8h, ml]]</f>
        <v>12.833345967984123</v>
      </c>
      <c r="AM1148" s="94">
        <f>(Table3.110[[#This Row],[Net gas 24h, ml]]/Table3.110[[#This Row],[DM Incubated, mg]])*1000</f>
        <v>159.87913260663032</v>
      </c>
      <c r="AN1148" s="94">
        <f>'3.2 Digest'!X1148</f>
        <v>51.669072497190406</v>
      </c>
      <c r="AO1148" s="94">
        <f>Table3.110[[#This Row],[Digested feed, mg]]/Table3.110[[#This Row],[Net gas 24h, ml]]</f>
        <v>3.2317583698879568</v>
      </c>
      <c r="AP1148" s="94">
        <f>Table3.110[[#This Row],[CH4 8h, ml]]/Table3.110[[#This Row],[Net gas 8h, ml]]%</f>
        <v>15.799999999999999</v>
      </c>
      <c r="AQ1148" s="94">
        <f>Table3.110[[#This Row],[CH4 24h, ml]]/Table3.110[[#This Row],[Net gas 24h, ml]]%</f>
        <v>16.889323463817448</v>
      </c>
      <c r="AR1148" s="94">
        <f>Table3.110[[#This Row],[CH4 24h, ml]]/Table3.110[[#This Row],[DM Incubated, mg]]*1000</f>
        <v>27.002503857079425</v>
      </c>
      <c r="AS1148" s="94">
        <f>Table3.110[[#This Row],[CH4 24h, ml]]/Table3.110[[#This Row],[Digested feed, mg]]*1000</f>
        <v>52.260477210129395</v>
      </c>
      <c r="AT1148" s="94">
        <f>Table3.110[[#This Row],[CH4 24h, ml]]/'3.2 Digest'!AA1148</f>
        <v>1.0995367232059732</v>
      </c>
      <c r="AU1148" s="94">
        <f>((Table3.110[[#This Row],[CH4 24h, ml]]/28.9)*16.04)/Table3.110[[#This Row],[DM Incubated, mg]]*1000</f>
        <v>14.986856812026089</v>
      </c>
      <c r="AV1148" s="94">
        <f>((Table3.110[[#This Row],[CH4 24h, ml]]/28.9)*16.04)/Table3.110[[#This Row],[Digested feed, mg]]*1000</f>
        <v>29.005469012127175</v>
      </c>
      <c r="AW1148" s="94"/>
      <c r="AX1148" s="94"/>
    </row>
    <row r="1149" spans="2:50" x14ac:dyDescent="0.35">
      <c r="B1149" s="90">
        <f t="shared" si="17"/>
        <v>1139</v>
      </c>
      <c r="C1149" s="140">
        <v>46083</v>
      </c>
      <c r="D1149" s="6" t="s">
        <v>16</v>
      </c>
      <c r="E1149" s="6" t="s">
        <v>472</v>
      </c>
      <c r="F1149" s="242" t="s">
        <v>346</v>
      </c>
      <c r="G1149" s="242" t="s">
        <v>347</v>
      </c>
      <c r="H1149" s="6" t="s">
        <v>348</v>
      </c>
      <c r="I1149" s="133" t="s">
        <v>22</v>
      </c>
      <c r="J1149" s="135" t="s">
        <v>23</v>
      </c>
      <c r="K1149" s="135" t="s">
        <v>303</v>
      </c>
      <c r="L1149" s="6" t="s">
        <v>471</v>
      </c>
      <c r="M1149" s="256">
        <v>30</v>
      </c>
      <c r="N1149" s="256">
        <v>65</v>
      </c>
      <c r="O1149" s="256">
        <v>2</v>
      </c>
      <c r="P1149" s="257">
        <v>1</v>
      </c>
      <c r="Q1149" s="129">
        <v>63</v>
      </c>
      <c r="R1149" s="98">
        <v>0.50029999999999997</v>
      </c>
      <c r="S1149" s="94">
        <f>((Table3.110[[#This Row],[Sample weight, g]]*'2.1. DM'!Q299)/100)*1000</f>
        <v>478.29455392429736</v>
      </c>
      <c r="T1149" s="94">
        <f>'3.2 Digest'!W1149</f>
        <v>325.29455392429736</v>
      </c>
      <c r="U1149" s="117">
        <v>0.34166666666666667</v>
      </c>
      <c r="V1149" s="155">
        <v>40</v>
      </c>
      <c r="W1149" s="117">
        <v>0.69097222222222221</v>
      </c>
      <c r="X1149" s="96">
        <v>70.5</v>
      </c>
      <c r="Y1149" s="96">
        <v>14.2</v>
      </c>
      <c r="Z1149" s="155">
        <v>40</v>
      </c>
      <c r="AA1149" s="117">
        <v>0.38750000000000001</v>
      </c>
      <c r="AB1149" s="155">
        <v>71</v>
      </c>
      <c r="AC1149" s="155">
        <v>16.100000000000001</v>
      </c>
      <c r="AD1149" s="96"/>
      <c r="AE1149" s="94">
        <f>Table3.110[[#This Row],[Gas 8h, ml]]-Table3.110[[#This Row],[Gas 0h, ml]]</f>
        <v>30.5</v>
      </c>
      <c r="AF1149" s="94">
        <f>Table3.110[[#This Row],[Gas 24h, ml]]-Table3.110[[#This Row],[V8 Push back, ml]]</f>
        <v>31</v>
      </c>
      <c r="AG1149" s="94"/>
      <c r="AH1149" s="94"/>
      <c r="AI1149" s="94"/>
      <c r="AJ1149" s="94"/>
      <c r="AK1149" s="94"/>
      <c r="AL1149" s="94"/>
      <c r="AM1149" s="94"/>
      <c r="AN1149" s="94"/>
      <c r="AO1149" s="94"/>
      <c r="AP1149" s="94"/>
      <c r="AQ1149" s="94"/>
      <c r="AR1149" s="94"/>
      <c r="AS1149" s="94"/>
      <c r="AT1149" s="94"/>
      <c r="AU1149" s="94"/>
      <c r="AV1149" s="94"/>
      <c r="AW1149" s="94" t="s">
        <v>629</v>
      </c>
      <c r="AX1149" s="94"/>
    </row>
    <row r="1150" spans="2:50" x14ac:dyDescent="0.35">
      <c r="B1150" s="90">
        <f t="shared" si="17"/>
        <v>1140</v>
      </c>
      <c r="C1150" s="140">
        <v>46083</v>
      </c>
      <c r="D1150" s="6" t="s">
        <v>16</v>
      </c>
      <c r="E1150" s="6" t="s">
        <v>472</v>
      </c>
      <c r="F1150" s="242" t="s">
        <v>346</v>
      </c>
      <c r="G1150" s="242" t="s">
        <v>347</v>
      </c>
      <c r="H1150" s="6" t="s">
        <v>348</v>
      </c>
      <c r="I1150" s="133" t="s">
        <v>22</v>
      </c>
      <c r="J1150" s="135" t="s">
        <v>23</v>
      </c>
      <c r="K1150" s="135" t="s">
        <v>303</v>
      </c>
      <c r="L1150" s="6" t="s">
        <v>471</v>
      </c>
      <c r="M1150" s="256">
        <v>30</v>
      </c>
      <c r="N1150" s="256">
        <v>65</v>
      </c>
      <c r="O1150" s="256">
        <v>2</v>
      </c>
      <c r="P1150" s="257">
        <v>2</v>
      </c>
      <c r="Q1150" s="129">
        <v>64</v>
      </c>
      <c r="R1150" s="98">
        <v>0.50039999999999996</v>
      </c>
      <c r="S1150" s="94">
        <f>((Table3.110[[#This Row],[Sample weight, g]]*'2.1. DM'!Q299)/100)*1000</f>
        <v>478.39015547415232</v>
      </c>
      <c r="T1150" s="94">
        <f>'3.2 Digest'!W1150</f>
        <v>168.89015547415232</v>
      </c>
      <c r="U1150" s="153">
        <v>0.34236111111111112</v>
      </c>
      <c r="V1150" s="154">
        <v>40.5</v>
      </c>
      <c r="W1150" s="153">
        <v>0.69166666666666665</v>
      </c>
      <c r="X1150" s="91">
        <v>70.5</v>
      </c>
      <c r="Y1150" s="91">
        <v>13.9</v>
      </c>
      <c r="Z1150" s="154">
        <v>40</v>
      </c>
      <c r="AA1150" s="153">
        <v>0.38750000000000001</v>
      </c>
      <c r="AB1150" s="154">
        <v>73</v>
      </c>
      <c r="AC1150" s="154">
        <v>15.9</v>
      </c>
      <c r="AD1150" s="91"/>
      <c r="AE1150" s="94">
        <f>Table3.110[[#This Row],[Gas 8h, ml]]-Table3.110[[#This Row],[Gas 0h, ml]]</f>
        <v>30</v>
      </c>
      <c r="AF1150" s="94">
        <f>Table3.110[[#This Row],[Gas 24h, ml]]-Table3.110[[#This Row],[V8 Push back, ml]]</f>
        <v>33</v>
      </c>
      <c r="AG1150" s="94"/>
      <c r="AH1150" s="94"/>
      <c r="AI1150" s="94"/>
      <c r="AJ1150" s="94"/>
      <c r="AK1150" s="94"/>
      <c r="AL1150" s="94"/>
      <c r="AM1150" s="94"/>
      <c r="AN1150" s="94"/>
      <c r="AO1150" s="94"/>
      <c r="AP1150" s="94"/>
      <c r="AQ1150" s="94"/>
      <c r="AR1150" s="94"/>
      <c r="AS1150" s="94"/>
      <c r="AT1150" s="94"/>
      <c r="AU1150" s="94"/>
      <c r="AV1150" s="94"/>
      <c r="AW1150" s="94" t="s">
        <v>629</v>
      </c>
      <c r="AX1150" s="94"/>
    </row>
    <row r="1151" spans="2:50" x14ac:dyDescent="0.35">
      <c r="B1151" s="90">
        <f t="shared" si="17"/>
        <v>1141</v>
      </c>
      <c r="C1151" s="140">
        <v>46083</v>
      </c>
      <c r="D1151" s="6" t="s">
        <v>473</v>
      </c>
      <c r="E1151" s="6" t="s">
        <v>475</v>
      </c>
      <c r="F1151" s="242" t="s">
        <v>592</v>
      </c>
      <c r="G1151" s="242" t="s">
        <v>106</v>
      </c>
      <c r="H1151" s="6" t="s">
        <v>476</v>
      </c>
      <c r="I1151" s="133" t="s">
        <v>108</v>
      </c>
      <c r="J1151" s="132" t="s">
        <v>109</v>
      </c>
      <c r="K1151" s="133" t="s">
        <v>110</v>
      </c>
      <c r="L1151" s="6" t="s">
        <v>474</v>
      </c>
      <c r="M1151" s="256">
        <v>30</v>
      </c>
      <c r="N1151" s="256">
        <v>65</v>
      </c>
      <c r="O1151" s="256">
        <v>2</v>
      </c>
      <c r="P1151" s="257">
        <v>1</v>
      </c>
      <c r="Q1151" s="129">
        <v>65</v>
      </c>
      <c r="R1151" s="98">
        <v>0.5</v>
      </c>
      <c r="S1151" s="94">
        <f>((Table3.110[[#This Row],[Sample weight, g]]*'2.1. DM'!Q301)/100)*1000</f>
        <v>465.45000000000005</v>
      </c>
      <c r="T1151" s="94">
        <f>'3.2 Digest'!W1151</f>
        <v>252.54999999999995</v>
      </c>
      <c r="U1151" s="153">
        <v>0.34236111111111112</v>
      </c>
      <c r="V1151" s="154">
        <v>40.5</v>
      </c>
      <c r="W1151" s="153">
        <v>0.69166666666666665</v>
      </c>
      <c r="X1151" s="91">
        <v>81</v>
      </c>
      <c r="Y1151" s="91">
        <v>13.2</v>
      </c>
      <c r="Z1151" s="154">
        <v>40.5</v>
      </c>
      <c r="AA1151" s="153">
        <v>0.38819444444444445</v>
      </c>
      <c r="AB1151" s="154">
        <v>95.5</v>
      </c>
      <c r="AC1151" s="154">
        <v>15.4</v>
      </c>
      <c r="AD1151" s="91"/>
      <c r="AE1151" s="94">
        <f>Table3.110[[#This Row],[Gas 8h, ml]]-Table3.110[[#This Row],[Gas 0h, ml]]</f>
        <v>40.5</v>
      </c>
      <c r="AF1151" s="94">
        <f>Table3.110[[#This Row],[Gas 24h, ml]]-Table3.110[[#This Row],[V8 Push back, ml]]</f>
        <v>55</v>
      </c>
      <c r="AG1151" s="94">
        <f>Table3.110[[#This Row],[GP 8h, ml]]-(AVERAGE(AE$1087,AE$1088,AE$1121,AE$1122,AE$1157,AE$1158))*$AG$8</f>
        <v>38.361233672775342</v>
      </c>
      <c r="AH1151" s="94">
        <f>Table3.110[[#This Row],[GP 8-24h, ml]]-(AVERAGE(AF$1087,AF$1088,AF$1121,AF$1122,AF$1157,AF$1158))*$AG$8</f>
        <v>52.123728042697877</v>
      </c>
      <c r="AI1151" s="94">
        <f>Table3.110[[#This Row],[Net gas 8-24h, ml]]+Table3.110[[#This Row],[Net gas 8h, ml]]</f>
        <v>90.484961715473219</v>
      </c>
      <c r="AJ1151" s="94">
        <f>Table3.110[[#This Row],[Net gas 8h, ml]]*Table3.110[[#This Row],[CH4 8h %]]%</f>
        <v>5.0636828448063449</v>
      </c>
      <c r="AK1151" s="94">
        <f>Table3.110[[#This Row],[Net gas 8-24h, ml]]*Table3.110[[#This Row],[CH4 24h, %]]%</f>
        <v>8.0270541185754727</v>
      </c>
      <c r="AL1151" s="94">
        <f>Table3.110[[#This Row],[CH4 8-24h, ml]]+Table3.110[[#This Row],[CH4 8h, ml]]</f>
        <v>13.090736963381818</v>
      </c>
      <c r="AM1151" s="94">
        <f>(Table3.110[[#This Row],[Net gas 24h, ml]]/Table3.110[[#This Row],[DM Incubated, mg]])*1000</f>
        <v>194.40318340417488</v>
      </c>
      <c r="AN1151" s="94">
        <f>'3.2 Digest'!X1151</f>
        <v>54.259318938661494</v>
      </c>
      <c r="AO1151" s="94">
        <f>Table3.110[[#This Row],[Digested feed, mg]]/Table3.110[[#This Row],[Net gas 24h, ml]]</f>
        <v>2.7910715240631316</v>
      </c>
      <c r="AP1151" s="94">
        <f>Table3.110[[#This Row],[CH4 8h, ml]]/Table3.110[[#This Row],[Net gas 8h, ml]]%</f>
        <v>13.2</v>
      </c>
      <c r="AQ1151" s="94">
        <f>Table3.110[[#This Row],[CH4 24h, ml]]/Table3.110[[#This Row],[Net gas 24h, ml]]%</f>
        <v>14.467306738267935</v>
      </c>
      <c r="AR1151" s="94">
        <f>Table3.110[[#This Row],[CH4 24h, ml]]/Table3.110[[#This Row],[DM Incubated, mg]]*1000</f>
        <v>28.12490485203957</v>
      </c>
      <c r="AS1151" s="94">
        <f>Table3.110[[#This Row],[CH4 24h, ml]]/Table3.110[[#This Row],[Digested feed, mg]]*1000</f>
        <v>51.834238619607284</v>
      </c>
      <c r="AT1151" s="94">
        <f>Table3.110[[#This Row],[CH4 24h, ml]]/'3.2 Digest'!AA1151</f>
        <v>0.55801743604984855</v>
      </c>
      <c r="AU1151" s="94">
        <f>((Table3.110[[#This Row],[CH4 24h, ml]]/28.9)*16.04)/Table3.110[[#This Row],[DM Incubated, mg]]*1000</f>
        <v>15.609808782931305</v>
      </c>
      <c r="AV1151" s="94">
        <f>((Table3.110[[#This Row],[CH4 24h, ml]]/28.9)*16.04)/Table3.110[[#This Row],[Digested feed, mg]]*1000</f>
        <v>28.768899220017335</v>
      </c>
      <c r="AW1151" s="94"/>
      <c r="AX1151" s="94"/>
    </row>
    <row r="1152" spans="2:50" x14ac:dyDescent="0.35">
      <c r="B1152" s="90">
        <f t="shared" si="17"/>
        <v>1142</v>
      </c>
      <c r="C1152" s="140">
        <v>46083</v>
      </c>
      <c r="D1152" s="6" t="s">
        <v>473</v>
      </c>
      <c r="E1152" s="6" t="s">
        <v>475</v>
      </c>
      <c r="F1152" s="242" t="s">
        <v>592</v>
      </c>
      <c r="G1152" s="242" t="s">
        <v>106</v>
      </c>
      <c r="H1152" s="6" t="s">
        <v>476</v>
      </c>
      <c r="I1152" s="133" t="s">
        <v>108</v>
      </c>
      <c r="J1152" s="132" t="s">
        <v>109</v>
      </c>
      <c r="K1152" s="133" t="s">
        <v>110</v>
      </c>
      <c r="L1152" s="6" t="s">
        <v>474</v>
      </c>
      <c r="M1152" s="256">
        <v>30</v>
      </c>
      <c r="N1152" s="256">
        <v>65</v>
      </c>
      <c r="O1152" s="256">
        <v>2</v>
      </c>
      <c r="P1152" s="257">
        <v>2</v>
      </c>
      <c r="Q1152" s="129">
        <v>66</v>
      </c>
      <c r="R1152" s="98">
        <v>0.50009999999999999</v>
      </c>
      <c r="S1152" s="94">
        <f>((Table3.110[[#This Row],[Sample weight, g]]*'2.1. DM'!Q301)/100)*1000</f>
        <v>465.54309000000006</v>
      </c>
      <c r="T1152" s="94">
        <f>'3.2 Digest'!W1152</f>
        <v>236.14309000000011</v>
      </c>
      <c r="U1152" s="117">
        <v>0.34236111111111112</v>
      </c>
      <c r="V1152" s="155">
        <v>41</v>
      </c>
      <c r="W1152" s="117">
        <v>0.69236111111111109</v>
      </c>
      <c r="X1152" s="96">
        <v>83.5</v>
      </c>
      <c r="Y1152" s="96">
        <v>13</v>
      </c>
      <c r="Z1152" s="155">
        <v>41</v>
      </c>
      <c r="AA1152" s="117">
        <v>0.3888888888888889</v>
      </c>
      <c r="AB1152" s="155">
        <v>97</v>
      </c>
      <c r="AC1152" s="155">
        <v>15.2</v>
      </c>
      <c r="AD1152" s="96"/>
      <c r="AE1152" s="94">
        <f>Table3.110[[#This Row],[Gas 8h, ml]]-Table3.110[[#This Row],[Gas 0h, ml]]</f>
        <v>42.5</v>
      </c>
      <c r="AF1152" s="94">
        <f>Table3.110[[#This Row],[Gas 24h, ml]]-Table3.110[[#This Row],[V8 Push back, ml]]</f>
        <v>56</v>
      </c>
      <c r="AG1152" s="94">
        <f>Table3.110[[#This Row],[GP 8h, ml]]-(AVERAGE(AE$1087,AE$1088,AE$1121,AE$1122,AE$1157,AE$1158))*$AG$8</f>
        <v>40.361233672775342</v>
      </c>
      <c r="AH1152" s="94">
        <f>Table3.110[[#This Row],[GP 8-24h, ml]]-(AVERAGE(AF$1087,AF$1088,AF$1121,AF$1122,AF$1157,AF$1158))*$AG$8</f>
        <v>53.123728042697877</v>
      </c>
      <c r="AI1152" s="94">
        <f>Table3.110[[#This Row],[Net gas 8-24h, ml]]+Table3.110[[#This Row],[Net gas 8h, ml]]</f>
        <v>93.484961715473219</v>
      </c>
      <c r="AJ1152" s="94">
        <f>Table3.110[[#This Row],[Net gas 8h, ml]]*Table3.110[[#This Row],[CH4 8h %]]%</f>
        <v>5.2469603774607947</v>
      </c>
      <c r="AK1152" s="94">
        <f>Table3.110[[#This Row],[Net gas 8-24h, ml]]*Table3.110[[#This Row],[CH4 24h, %]]%</f>
        <v>8.0748066624900776</v>
      </c>
      <c r="AL1152" s="94">
        <f>Table3.110[[#This Row],[CH4 8-24h, ml]]+Table3.110[[#This Row],[CH4 8h, ml]]</f>
        <v>13.321767039950872</v>
      </c>
      <c r="AM1152" s="94">
        <f>(Table3.110[[#This Row],[Net gas 24h, ml]]/Table3.110[[#This Row],[DM Incubated, mg]])*1000</f>
        <v>200.8083971678609</v>
      </c>
      <c r="AN1152" s="94">
        <f>'3.2 Digest'!X1152</f>
        <v>50.72421760142548</v>
      </c>
      <c r="AO1152" s="94">
        <f>Table3.110[[#This Row],[Digested feed, mg]]/Table3.110[[#This Row],[Net gas 24h, ml]]</f>
        <v>2.5260008205246423</v>
      </c>
      <c r="AP1152" s="94">
        <f>Table3.110[[#This Row],[CH4 8h, ml]]/Table3.110[[#This Row],[Net gas 8h, ml]]%</f>
        <v>13</v>
      </c>
      <c r="AQ1152" s="94">
        <f>Table3.110[[#This Row],[CH4 24h, ml]]/Table3.110[[#This Row],[Net gas 24h, ml]]%</f>
        <v>14.250171145704083</v>
      </c>
      <c r="AR1152" s="94">
        <f>Table3.110[[#This Row],[CH4 24h, ml]]/Table3.110[[#This Row],[DM Incubated, mg]]*1000</f>
        <v>28.615540271365365</v>
      </c>
      <c r="AS1152" s="94">
        <f>Table3.110[[#This Row],[CH4 24h, ml]]/Table3.110[[#This Row],[Digested feed, mg]]*1000</f>
        <v>56.413960874107588</v>
      </c>
      <c r="AT1152" s="94">
        <f>Table3.110[[#This Row],[CH4 24h, ml]]/'3.2 Digest'!AA1152</f>
        <v>0.75934020884803166</v>
      </c>
      <c r="AU1152" s="94">
        <f>((Table3.110[[#This Row],[CH4 24h, ml]]/28.9)*16.04)/Table3.110[[#This Row],[DM Incubated, mg]]*1000</f>
        <v>15.882119929159185</v>
      </c>
      <c r="AV1152" s="94">
        <f>((Table3.110[[#This Row],[CH4 24h, ml]]/28.9)*16.04)/Table3.110[[#This Row],[Digested feed, mg]]*1000</f>
        <v>31.310724305214034</v>
      </c>
      <c r="AW1152" s="94"/>
      <c r="AX1152" s="94"/>
    </row>
    <row r="1153" spans="2:50" x14ac:dyDescent="0.35">
      <c r="B1153" s="90">
        <f t="shared" si="17"/>
        <v>1143</v>
      </c>
      <c r="C1153" s="140">
        <v>46083</v>
      </c>
      <c r="D1153" s="6" t="s">
        <v>667</v>
      </c>
      <c r="E1153" s="6" t="s">
        <v>479</v>
      </c>
      <c r="F1153" s="242" t="s">
        <v>105</v>
      </c>
      <c r="G1153" s="242" t="s">
        <v>188</v>
      </c>
      <c r="H1153" s="6" t="s">
        <v>189</v>
      </c>
      <c r="I1153" s="133" t="s">
        <v>108</v>
      </c>
      <c r="J1153" s="132" t="s">
        <v>109</v>
      </c>
      <c r="K1153" s="133" t="s">
        <v>110</v>
      </c>
      <c r="L1153" s="6" t="s">
        <v>478</v>
      </c>
      <c r="M1153" s="256">
        <v>30</v>
      </c>
      <c r="N1153" s="256">
        <v>65</v>
      </c>
      <c r="O1153" s="256">
        <v>2</v>
      </c>
      <c r="P1153" s="257">
        <v>1</v>
      </c>
      <c r="Q1153" s="129">
        <v>67</v>
      </c>
      <c r="R1153" s="98">
        <v>0.50029999999999997</v>
      </c>
      <c r="S1153" s="94">
        <f>((Table3.110[[#This Row],[Sample weight, g]]*'2.1. DM'!Q303)/100)*1000</f>
        <v>491.34463000000005</v>
      </c>
      <c r="T1153" s="94">
        <f>'3.2 Digest'!W1153</f>
        <v>212.24463000000003</v>
      </c>
      <c r="U1153" s="117">
        <v>0.34236111111111112</v>
      </c>
      <c r="V1153" s="155">
        <v>40.5</v>
      </c>
      <c r="W1153" s="117">
        <v>0.69305555555555554</v>
      </c>
      <c r="X1153" s="96">
        <v>76.5</v>
      </c>
      <c r="Y1153" s="96">
        <v>13.4</v>
      </c>
      <c r="Z1153" s="155">
        <v>40</v>
      </c>
      <c r="AA1153" s="117">
        <v>0.3888888888888889</v>
      </c>
      <c r="AB1153" s="155">
        <v>99.5</v>
      </c>
      <c r="AC1153" s="155">
        <v>15.5</v>
      </c>
      <c r="AD1153" s="96" t="s">
        <v>551</v>
      </c>
      <c r="AE1153" s="94">
        <f>Table3.110[[#This Row],[Gas 8h, ml]]-Table3.110[[#This Row],[Gas 0h, ml]]</f>
        <v>36</v>
      </c>
      <c r="AF1153" s="94">
        <f>Table3.110[[#This Row],[Gas 24h, ml]]-Table3.110[[#This Row],[V8 Push back, ml]]</f>
        <v>59.5</v>
      </c>
      <c r="AG1153" s="94">
        <f>Table3.110[[#This Row],[GP 8h, ml]]-(AVERAGE(AE$1087,AE$1088,AE$1121,AE$1122,AE$1157,AE$1158))*$AG$8</f>
        <v>33.861233672775342</v>
      </c>
      <c r="AH1153" s="94">
        <f>Table3.110[[#This Row],[GP 8-24h, ml]]-(AVERAGE(AF$1087,AF$1088,AF$1121,AF$1122,AF$1157,AF$1158))*$AG$8</f>
        <v>56.623728042697877</v>
      </c>
      <c r="AI1153" s="94">
        <f>Table3.110[[#This Row],[Net gas 8-24h, ml]]+Table3.110[[#This Row],[Net gas 8h, ml]]</f>
        <v>90.484961715473219</v>
      </c>
      <c r="AJ1153" s="94">
        <f>Table3.110[[#This Row],[Net gas 8h, ml]]*Table3.110[[#This Row],[CH4 8h %]]%</f>
        <v>4.537405312151896</v>
      </c>
      <c r="AK1153" s="94">
        <f>Table3.110[[#This Row],[Net gas 8-24h, ml]]*Table3.110[[#This Row],[CH4 24h, %]]%</f>
        <v>8.7766778466181705</v>
      </c>
      <c r="AL1153" s="94">
        <f>Table3.110[[#This Row],[CH4 8-24h, ml]]+Table3.110[[#This Row],[CH4 8h, ml]]</f>
        <v>13.314083158770067</v>
      </c>
      <c r="AM1153" s="94">
        <f>(Table3.110[[#This Row],[Net gas 24h, ml]]/Table3.110[[#This Row],[DM Incubated, mg]])*1000</f>
        <v>184.15783177578069</v>
      </c>
      <c r="AN1153" s="94">
        <f>'3.2 Digest'!X1153</f>
        <v>43.196692716474786</v>
      </c>
      <c r="AO1153" s="94">
        <f>Table3.110[[#This Row],[Digested feed, mg]]/Table3.110[[#This Row],[Net gas 24h, ml]]</f>
        <v>2.3456343018345502</v>
      </c>
      <c r="AP1153" s="94">
        <f>Table3.110[[#This Row],[CH4 8h, ml]]/Table3.110[[#This Row],[Net gas 8h, ml]]%</f>
        <v>13.4</v>
      </c>
      <c r="AQ1153" s="94">
        <f>Table3.110[[#This Row],[CH4 24h, ml]]/Table3.110[[#This Row],[Net gas 24h, ml]]%</f>
        <v>14.714139130252089</v>
      </c>
      <c r="AR1153" s="94">
        <f>Table3.110[[#This Row],[CH4 24h, ml]]/Table3.110[[#This Row],[DM Incubated, mg]]*1000</f>
        <v>27.097239586743964</v>
      </c>
      <c r="AS1153" s="94">
        <f>Table3.110[[#This Row],[CH4 24h, ml]]/Table3.110[[#This Row],[Digested feed, mg]]*1000</f>
        <v>62.729894079157923</v>
      </c>
      <c r="AT1153" s="94">
        <f>Table3.110[[#This Row],[CH4 24h, ml]]/'3.2 Digest'!AA1153</f>
        <v>0.58460801742154844</v>
      </c>
      <c r="AU1153" s="94">
        <f>((Table3.110[[#This Row],[CH4 24h, ml]]/28.9)*16.04)/Table3.110[[#This Row],[DM Incubated, mg]]*1000</f>
        <v>15.039436781016374</v>
      </c>
      <c r="AV1153" s="94">
        <f>((Table3.110[[#This Row],[CH4 24h, ml]]/28.9)*16.04)/Table3.110[[#This Row],[Digested feed, mg]]*1000</f>
        <v>34.816176506217758</v>
      </c>
      <c r="AW1153" s="94"/>
      <c r="AX1153" s="94"/>
    </row>
    <row r="1154" spans="2:50" x14ac:dyDescent="0.35">
      <c r="B1154" s="90">
        <f t="shared" si="17"/>
        <v>1144</v>
      </c>
      <c r="C1154" s="140">
        <v>46083</v>
      </c>
      <c r="D1154" s="6" t="s">
        <v>667</v>
      </c>
      <c r="E1154" s="6" t="s">
        <v>479</v>
      </c>
      <c r="F1154" s="242" t="s">
        <v>105</v>
      </c>
      <c r="G1154" s="242" t="s">
        <v>188</v>
      </c>
      <c r="H1154" s="6" t="s">
        <v>189</v>
      </c>
      <c r="I1154" s="133" t="s">
        <v>108</v>
      </c>
      <c r="J1154" s="132" t="s">
        <v>109</v>
      </c>
      <c r="K1154" s="133" t="s">
        <v>110</v>
      </c>
      <c r="L1154" s="6" t="s">
        <v>478</v>
      </c>
      <c r="M1154" s="256">
        <v>30</v>
      </c>
      <c r="N1154" s="256">
        <v>65</v>
      </c>
      <c r="O1154" s="256">
        <v>2</v>
      </c>
      <c r="P1154" s="257">
        <v>2</v>
      </c>
      <c r="Q1154" s="129">
        <v>68</v>
      </c>
      <c r="R1154" s="98">
        <v>0.50009999999999999</v>
      </c>
      <c r="S1154" s="94">
        <f>((Table3.110[[#This Row],[Sample weight, g]]*'2.1. DM'!Q303)/100)*1000</f>
        <v>491.14821000000006</v>
      </c>
      <c r="T1154" s="94">
        <f>'3.2 Digest'!W1154</f>
        <v>225.04821000000004</v>
      </c>
      <c r="U1154" s="153">
        <v>0.34305555555555556</v>
      </c>
      <c r="V1154" s="154">
        <v>40.5</v>
      </c>
      <c r="W1154" s="153">
        <v>0.69374999999999998</v>
      </c>
      <c r="X1154" s="91">
        <v>75.5</v>
      </c>
      <c r="Y1154" s="91">
        <v>13</v>
      </c>
      <c r="Z1154" s="154">
        <v>40</v>
      </c>
      <c r="AA1154" s="153">
        <v>0.38958333333333334</v>
      </c>
      <c r="AB1154" s="154">
        <v>97</v>
      </c>
      <c r="AC1154" s="154">
        <v>15.1</v>
      </c>
      <c r="AD1154" s="91"/>
      <c r="AE1154" s="94">
        <f>Table3.110[[#This Row],[Gas 8h, ml]]-Table3.110[[#This Row],[Gas 0h, ml]]</f>
        <v>35</v>
      </c>
      <c r="AF1154" s="94">
        <f>Table3.110[[#This Row],[Gas 24h, ml]]-Table3.110[[#This Row],[V8 Push back, ml]]</f>
        <v>57</v>
      </c>
      <c r="AG1154" s="94">
        <f>Table3.110[[#This Row],[GP 8h, ml]]-(AVERAGE(AE$1087,AE$1088,AE$1121,AE$1122,AE$1157,AE$1158))*$AG$8</f>
        <v>32.861233672775342</v>
      </c>
      <c r="AH1154" s="94">
        <f>Table3.110[[#This Row],[GP 8-24h, ml]]-(AVERAGE(AF$1087,AF$1088,AF$1121,AF$1122,AF$1157,AF$1158))*$AG$8</f>
        <v>54.123728042697877</v>
      </c>
      <c r="AI1154" s="94">
        <f>Table3.110[[#This Row],[Net gas 8-24h, ml]]+Table3.110[[#This Row],[Net gas 8h, ml]]</f>
        <v>86.984961715473219</v>
      </c>
      <c r="AJ1154" s="94">
        <f>Table3.110[[#This Row],[Net gas 8h, ml]]*Table3.110[[#This Row],[CH4 8h %]]%</f>
        <v>4.2719603774607942</v>
      </c>
      <c r="AK1154" s="94">
        <f>Table3.110[[#This Row],[Net gas 8-24h, ml]]*Table3.110[[#This Row],[CH4 24h, %]]%</f>
        <v>8.1726829344473799</v>
      </c>
      <c r="AL1154" s="94">
        <f>Table3.110[[#This Row],[CH4 8-24h, ml]]+Table3.110[[#This Row],[CH4 8h, ml]]</f>
        <v>12.444643311908173</v>
      </c>
      <c r="AM1154" s="94">
        <f>(Table3.110[[#This Row],[Net gas 24h, ml]]/Table3.110[[#This Row],[DM Incubated, mg]])*1000</f>
        <v>177.10532166140484</v>
      </c>
      <c r="AN1154" s="94">
        <f>'3.2 Digest'!X1154</f>
        <v>45.820834814810787</v>
      </c>
      <c r="AO1154" s="94">
        <f>Table3.110[[#This Row],[Digested feed, mg]]/Table3.110[[#This Row],[Net gas 24h, ml]]</f>
        <v>2.5872082433757928</v>
      </c>
      <c r="AP1154" s="94">
        <f>Table3.110[[#This Row],[CH4 8h, ml]]/Table3.110[[#This Row],[Net gas 8h, ml]]%</f>
        <v>13</v>
      </c>
      <c r="AQ1154" s="94">
        <f>Table3.110[[#This Row],[CH4 24h, ml]]/Table3.110[[#This Row],[Net gas 24h, ml]]%</f>
        <v>14.306660676145901</v>
      </c>
      <c r="AR1154" s="94">
        <f>Table3.110[[#This Row],[CH4 24h, ml]]/Table3.110[[#This Row],[DM Incubated, mg]]*1000</f>
        <v>25.337857409493914</v>
      </c>
      <c r="AS1154" s="94">
        <f>Table3.110[[#This Row],[CH4 24h, ml]]/Table3.110[[#This Row],[Digested feed, mg]]*1000</f>
        <v>55.297677381695998</v>
      </c>
      <c r="AT1154" s="94">
        <f>Table3.110[[#This Row],[CH4 24h, ml]]/'3.2 Digest'!AA1154</f>
        <v>0.47242647739115967</v>
      </c>
      <c r="AU1154" s="94">
        <f>((Table3.110[[#This Row],[CH4 24h, ml]]/28.9)*16.04)/Table3.110[[#This Row],[DM Incubated, mg]]*1000</f>
        <v>14.062949233504579</v>
      </c>
      <c r="AV1154" s="94">
        <f>((Table3.110[[#This Row],[CH4 24h, ml]]/28.9)*16.04)/Table3.110[[#This Row],[Digested feed, mg]]*1000</f>
        <v>30.691167654062415</v>
      </c>
      <c r="AW1154" s="94"/>
      <c r="AX1154" s="94"/>
    </row>
    <row r="1155" spans="2:50" x14ac:dyDescent="0.35">
      <c r="B1155" s="90">
        <f t="shared" si="17"/>
        <v>1145</v>
      </c>
      <c r="C1155" s="140">
        <v>46083</v>
      </c>
      <c r="D1155" s="8" t="s">
        <v>320</v>
      </c>
      <c r="E1155" s="6" t="s">
        <v>122</v>
      </c>
      <c r="F1155" s="242" t="s">
        <v>123</v>
      </c>
      <c r="G1155" s="242" t="s">
        <v>545</v>
      </c>
      <c r="H1155" s="6" t="s">
        <v>125</v>
      </c>
      <c r="I1155" s="133" t="s">
        <v>108</v>
      </c>
      <c r="J1155" s="132" t="s">
        <v>109</v>
      </c>
      <c r="K1155" s="133" t="s">
        <v>110</v>
      </c>
      <c r="L1155" s="6" t="s">
        <v>121</v>
      </c>
      <c r="M1155" s="256">
        <v>30</v>
      </c>
      <c r="N1155" s="256">
        <v>65</v>
      </c>
      <c r="O1155" s="256">
        <v>2</v>
      </c>
      <c r="P1155" s="257">
        <v>1</v>
      </c>
      <c r="Q1155" s="129">
        <v>69</v>
      </c>
      <c r="R1155" s="98">
        <v>0.50029999999999997</v>
      </c>
      <c r="S1155" s="94">
        <f>((Table3.110[[#This Row],[Sample weight, g]]*'2.1. DM'!Q305)/100)*1000</f>
        <v>468.78109999999992</v>
      </c>
      <c r="T1155" s="94">
        <f>'3.2 Digest'!W1155</f>
        <v>196.6810999999999</v>
      </c>
      <c r="U1155" s="153">
        <v>0.34305555555555556</v>
      </c>
      <c r="V1155" s="154">
        <v>41</v>
      </c>
      <c r="W1155" s="153">
        <v>0.69374999999999998</v>
      </c>
      <c r="X1155" s="91">
        <v>69</v>
      </c>
      <c r="Y1155" s="91">
        <v>14.7</v>
      </c>
      <c r="Z1155" s="154">
        <v>40.5</v>
      </c>
      <c r="AA1155" s="153">
        <v>0.38958333333333334</v>
      </c>
      <c r="AB1155" s="154">
        <v>85</v>
      </c>
      <c r="AC1155" s="154">
        <v>16.600000000000001</v>
      </c>
      <c r="AD1155" s="91"/>
      <c r="AE1155" s="94">
        <f>Table3.110[[#This Row],[Gas 8h, ml]]-Table3.110[[#This Row],[Gas 0h, ml]]</f>
        <v>28</v>
      </c>
      <c r="AF1155" s="94">
        <f>Table3.110[[#This Row],[Gas 24h, ml]]-Table3.110[[#This Row],[V8 Push back, ml]]</f>
        <v>44.5</v>
      </c>
      <c r="AG1155" s="94">
        <f>Table3.110[[#This Row],[GP 8h, ml]]-(AVERAGE(AE$1087,AE$1088,AE$1121,AE$1122,AE$1157,AE$1158))*$AG$8</f>
        <v>25.861233672775342</v>
      </c>
      <c r="AH1155" s="94">
        <f>Table3.110[[#This Row],[GP 8-24h, ml]]-(AVERAGE(AF$1087,AF$1088,AF$1121,AF$1122,AF$1157,AF$1158))*$AG$8</f>
        <v>41.623728042697877</v>
      </c>
      <c r="AI1155" s="94">
        <f>Table3.110[[#This Row],[Net gas 8-24h, ml]]+Table3.110[[#This Row],[Net gas 8h, ml]]</f>
        <v>67.484961715473219</v>
      </c>
      <c r="AJ1155" s="94">
        <f>Table3.110[[#This Row],[Net gas 8h, ml]]*Table3.110[[#This Row],[CH4 8h %]]%</f>
        <v>3.8016013498979748</v>
      </c>
      <c r="AK1155" s="94">
        <f>Table3.110[[#This Row],[Net gas 8-24h, ml]]*Table3.110[[#This Row],[CH4 24h, %]]%</f>
        <v>6.909538855087848</v>
      </c>
      <c r="AL1155" s="94">
        <f>Table3.110[[#This Row],[CH4 8-24h, ml]]+Table3.110[[#This Row],[CH4 8h, ml]]</f>
        <v>10.711140204985822</v>
      </c>
      <c r="AM1155" s="94">
        <f>(Table3.110[[#This Row],[Net gas 24h, ml]]/Table3.110[[#This Row],[DM Incubated, mg]])*1000</f>
        <v>143.95836716854248</v>
      </c>
      <c r="AN1155" s="94">
        <f>'3.2 Digest'!X1155</f>
        <v>41.955851035803263</v>
      </c>
      <c r="AO1155" s="94">
        <f>Table3.110[[#This Row],[Digested feed, mg]]/Table3.110[[#This Row],[Net gas 24h, ml]]</f>
        <v>2.9144433811674531</v>
      </c>
      <c r="AP1155" s="94">
        <f>Table3.110[[#This Row],[CH4 8h, ml]]/Table3.110[[#This Row],[Net gas 8h, ml]]%</f>
        <v>14.7</v>
      </c>
      <c r="AQ1155" s="94">
        <f>Table3.110[[#This Row],[CH4 24h, ml]]/Table3.110[[#This Row],[Net gas 24h, ml]]%</f>
        <v>15.87189194852863</v>
      </c>
      <c r="AR1155" s="94">
        <f>Table3.110[[#This Row],[CH4 24h, ml]]/Table3.110[[#This Row],[DM Incubated, mg]]*1000</f>
        <v>22.848916487857178</v>
      </c>
      <c r="AS1155" s="94">
        <f>Table3.110[[#This Row],[CH4 24h, ml]]/Table3.110[[#This Row],[Digested feed, mg]]*1000</f>
        <v>54.459428002923659</v>
      </c>
      <c r="AT1155" s="94">
        <f>Table3.110[[#This Row],[CH4 24h, ml]]/'3.2 Digest'!AA1155</f>
        <v>0.45144245374151004</v>
      </c>
      <c r="AU1155" s="94">
        <f>((Table3.110[[#This Row],[CH4 24h, ml]]/28.9)*16.04)/Table3.110[[#This Row],[DM Incubated, mg]]*1000</f>
        <v>12.681543960734572</v>
      </c>
      <c r="AV1155" s="94">
        <f>((Table3.110[[#This Row],[CH4 24h, ml]]/28.9)*16.04)/Table3.110[[#This Row],[Digested feed, mg]]*1000</f>
        <v>30.225924746259359</v>
      </c>
      <c r="AW1155" s="94"/>
      <c r="AX1155" s="94"/>
    </row>
    <row r="1156" spans="2:50" x14ac:dyDescent="0.35">
      <c r="B1156" s="90">
        <f t="shared" si="17"/>
        <v>1146</v>
      </c>
      <c r="C1156" s="140">
        <v>46083</v>
      </c>
      <c r="D1156" s="8" t="s">
        <v>320</v>
      </c>
      <c r="E1156" s="6" t="s">
        <v>122</v>
      </c>
      <c r="F1156" s="242" t="s">
        <v>123</v>
      </c>
      <c r="G1156" s="242" t="s">
        <v>545</v>
      </c>
      <c r="H1156" s="6" t="s">
        <v>125</v>
      </c>
      <c r="I1156" s="133" t="s">
        <v>108</v>
      </c>
      <c r="J1156" s="132" t="s">
        <v>109</v>
      </c>
      <c r="K1156" s="133" t="s">
        <v>110</v>
      </c>
      <c r="L1156" s="6" t="s">
        <v>121</v>
      </c>
      <c r="M1156" s="256">
        <v>30</v>
      </c>
      <c r="N1156" s="256">
        <v>65</v>
      </c>
      <c r="O1156" s="256">
        <v>2</v>
      </c>
      <c r="P1156" s="257">
        <v>2</v>
      </c>
      <c r="Q1156" s="129">
        <v>70</v>
      </c>
      <c r="R1156" s="98">
        <v>0.50029999999999997</v>
      </c>
      <c r="S1156" s="94">
        <f>((Table3.110[[#This Row],[Sample weight, g]]*'2.1. DM'!Q305)/100)*1000</f>
        <v>468.78109999999992</v>
      </c>
      <c r="T1156" s="94">
        <f>'3.2 Digest'!W1156</f>
        <v>152.18109999999996</v>
      </c>
      <c r="U1156" s="115">
        <v>0.34305555555555556</v>
      </c>
      <c r="V1156" s="94">
        <v>41</v>
      </c>
      <c r="W1156" s="115">
        <v>0.69444444444444442</v>
      </c>
      <c r="X1156" s="93">
        <v>68.5</v>
      </c>
      <c r="Y1156" s="93">
        <v>14.8</v>
      </c>
      <c r="Z1156" s="94">
        <v>40</v>
      </c>
      <c r="AA1156" s="115">
        <v>0.39027777777777778</v>
      </c>
      <c r="AB1156" s="94">
        <v>85</v>
      </c>
      <c r="AC1156" s="94">
        <v>16.600000000000001</v>
      </c>
      <c r="AD1156" s="93"/>
      <c r="AE1156" s="94">
        <f>Table3.110[[#This Row],[Gas 8h, ml]]-Table3.110[[#This Row],[Gas 0h, ml]]</f>
        <v>27.5</v>
      </c>
      <c r="AF1156" s="94">
        <f>Table3.110[[#This Row],[Gas 24h, ml]]-Table3.110[[#This Row],[V8 Push back, ml]]</f>
        <v>45</v>
      </c>
      <c r="AG1156" s="94">
        <f>Table3.110[[#This Row],[GP 8h, ml]]-(AVERAGE(AE$1087,AE$1088,AE$1121,AE$1122,AE$1157,AE$1158))*$AG$8</f>
        <v>25.361233672775342</v>
      </c>
      <c r="AH1156" s="94">
        <f>Table3.110[[#This Row],[GP 8-24h, ml]]-(AVERAGE(AF$1087,AF$1088,AF$1121,AF$1122,AF$1157,AF$1158))*$AG$8</f>
        <v>42.123728042697877</v>
      </c>
      <c r="AI1156" s="94">
        <f>Table3.110[[#This Row],[Net gas 8-24h, ml]]+Table3.110[[#This Row],[Net gas 8h, ml]]</f>
        <v>67.484961715473219</v>
      </c>
      <c r="AJ1156" s="94">
        <f>Table3.110[[#This Row],[Net gas 8h, ml]]*Table3.110[[#This Row],[CH4 8h %]]%</f>
        <v>3.7534625835707511</v>
      </c>
      <c r="AK1156" s="94">
        <f>Table3.110[[#This Row],[Net gas 8-24h, ml]]*Table3.110[[#This Row],[CH4 24h, %]]%</f>
        <v>6.9925388550878482</v>
      </c>
      <c r="AL1156" s="94">
        <f>Table3.110[[#This Row],[CH4 8-24h, ml]]+Table3.110[[#This Row],[CH4 8h, ml]]</f>
        <v>10.746001438658599</v>
      </c>
      <c r="AM1156" s="94">
        <f>(Table3.110[[#This Row],[Net gas 24h, ml]]/Table3.110[[#This Row],[DM Incubated, mg]])*1000</f>
        <v>143.95836716854248</v>
      </c>
      <c r="AN1156" s="94">
        <f>'3.2 Digest'!X1156</f>
        <v>32.463147511706417</v>
      </c>
      <c r="AO1156" s="94">
        <f>Table3.110[[#This Row],[Digested feed, mg]]/Table3.110[[#This Row],[Net gas 24h, ml]]</f>
        <v>2.255037213203416</v>
      </c>
      <c r="AP1156" s="94">
        <f>Table3.110[[#This Row],[CH4 8h, ml]]/Table3.110[[#This Row],[Net gas 8h, ml]]%</f>
        <v>14.800000000000002</v>
      </c>
      <c r="AQ1156" s="94">
        <f>Table3.110[[#This Row],[CH4 24h, ml]]/Table3.110[[#This Row],[Net gas 24h, ml]]%</f>
        <v>15.923549729442481</v>
      </c>
      <c r="AR1156" s="94">
        <f>Table3.110[[#This Row],[CH4 24h, ml]]/Table3.110[[#This Row],[DM Incubated, mg]]*1000</f>
        <v>22.923282185776262</v>
      </c>
      <c r="AS1156" s="94">
        <f>Table3.110[[#This Row],[CH4 24h, ml]]/Table3.110[[#This Row],[Digested feed, mg]]*1000</f>
        <v>70.613245919884932</v>
      </c>
      <c r="AT1156" s="94">
        <f>Table3.110[[#This Row],[CH4 24h, ml]]/'3.2 Digest'!AA1156</f>
        <v>0.95498846465504617</v>
      </c>
      <c r="AU1156" s="94">
        <f>((Table3.110[[#This Row],[CH4 24h, ml]]/28.9)*16.04)/Table3.110[[#This Row],[DM Incubated, mg]]*1000</f>
        <v>12.722818209683435</v>
      </c>
      <c r="AV1156" s="94">
        <f>((Table3.110[[#This Row],[CH4 24h, ml]]/28.9)*16.04)/Table3.110[[#This Row],[Digested feed, mg]]*1000</f>
        <v>39.1915731679915</v>
      </c>
      <c r="AW1156" s="94"/>
      <c r="AX1156" s="94"/>
    </row>
    <row r="1157" spans="2:50" x14ac:dyDescent="0.35">
      <c r="B1157" s="90">
        <f t="shared" si="17"/>
        <v>1147</v>
      </c>
      <c r="C1157" s="140">
        <v>46083</v>
      </c>
      <c r="D1157" s="8"/>
      <c r="E1157" s="6" t="s">
        <v>537</v>
      </c>
      <c r="F1157" s="242" t="s">
        <v>538</v>
      </c>
      <c r="G1157" s="242">
        <v>24</v>
      </c>
      <c r="H1157" s="6" t="s">
        <v>537</v>
      </c>
      <c r="I1157" s="242"/>
      <c r="J1157" s="243"/>
      <c r="K1157" s="243"/>
      <c r="L1157" s="6" t="s">
        <v>539</v>
      </c>
      <c r="M1157" s="256">
        <v>30</v>
      </c>
      <c r="N1157" s="256">
        <v>65</v>
      </c>
      <c r="O1157" s="256">
        <v>2</v>
      </c>
      <c r="P1157" s="257">
        <v>1</v>
      </c>
      <c r="Q1157" s="129">
        <v>71</v>
      </c>
      <c r="R1157" s="98"/>
      <c r="S1157" s="94"/>
      <c r="T1157" s="94"/>
      <c r="U1157" s="153">
        <v>0.34375</v>
      </c>
      <c r="V1157" s="154">
        <v>40</v>
      </c>
      <c r="W1157" s="153">
        <v>0.69444444444444442</v>
      </c>
      <c r="X1157" s="91">
        <v>42.5</v>
      </c>
      <c r="Y1157" s="91"/>
      <c r="Z1157" s="154">
        <v>40</v>
      </c>
      <c r="AA1157" s="153">
        <v>0.39097222222222222</v>
      </c>
      <c r="AB1157" s="154">
        <v>43</v>
      </c>
      <c r="AC1157" s="154"/>
      <c r="AD1157" s="91"/>
      <c r="AE1157" s="94">
        <f>Table3.110[[#This Row],[Gas 8h, ml]]-Table3.110[[#This Row],[Gas 0h, ml]]</f>
        <v>2.5</v>
      </c>
      <c r="AF1157" s="94">
        <f>Table3.110[[#This Row],[Gas 24h, ml]]-Table3.110[[#This Row],[V8 Push back, ml]]</f>
        <v>3</v>
      </c>
      <c r="AG1157" s="94"/>
      <c r="AH1157" s="94"/>
      <c r="AI1157" s="94"/>
      <c r="AJ1157" s="94"/>
      <c r="AK1157" s="94"/>
      <c r="AL1157" s="94"/>
      <c r="AM1157" s="94"/>
      <c r="AN1157" s="94"/>
      <c r="AO1157" s="94"/>
      <c r="AP1157" s="94"/>
      <c r="AQ1157" s="94"/>
      <c r="AR1157" s="94"/>
      <c r="AS1157" s="94"/>
      <c r="AT1157" s="94"/>
      <c r="AU1157" s="94"/>
      <c r="AV1157" s="94"/>
      <c r="AW1157" s="94"/>
      <c r="AX1157" s="94"/>
    </row>
    <row r="1158" spans="2:50" x14ac:dyDescent="0.35">
      <c r="B1158" s="90">
        <f t="shared" si="17"/>
        <v>1148</v>
      </c>
      <c r="C1158" s="140">
        <v>46083</v>
      </c>
      <c r="D1158" s="92"/>
      <c r="E1158" s="6" t="s">
        <v>537</v>
      </c>
      <c r="F1158" s="242" t="s">
        <v>538</v>
      </c>
      <c r="G1158" s="242">
        <v>24</v>
      </c>
      <c r="H1158" s="6" t="s">
        <v>537</v>
      </c>
      <c r="I1158" s="242"/>
      <c r="J1158" s="243"/>
      <c r="K1158" s="243"/>
      <c r="L1158" s="6" t="s">
        <v>539</v>
      </c>
      <c r="M1158" s="256">
        <v>30</v>
      </c>
      <c r="N1158" s="256">
        <v>65</v>
      </c>
      <c r="O1158" s="256">
        <v>2</v>
      </c>
      <c r="P1158" s="257">
        <v>2</v>
      </c>
      <c r="Q1158" s="129">
        <v>72</v>
      </c>
      <c r="R1158" s="98"/>
      <c r="S1158" s="94"/>
      <c r="T1158" s="94"/>
      <c r="U1158" s="117">
        <v>0.34375</v>
      </c>
      <c r="V1158" s="155">
        <v>40</v>
      </c>
      <c r="W1158" s="117">
        <v>0.69513888888888886</v>
      </c>
      <c r="X1158" s="96">
        <v>43</v>
      </c>
      <c r="Y1158" s="96"/>
      <c r="Z1158" s="155">
        <v>40</v>
      </c>
      <c r="AA1158" s="117">
        <v>0.39166666666666666</v>
      </c>
      <c r="AB1158" s="155">
        <v>43.5</v>
      </c>
      <c r="AC1158" s="155"/>
      <c r="AD1158" s="96"/>
      <c r="AE1158" s="94">
        <f>Table3.110[[#This Row],[Gas 8h, ml]]-Table3.110[[#This Row],[Gas 0h, ml]]</f>
        <v>3</v>
      </c>
      <c r="AF1158" s="94">
        <f>Table3.110[[#This Row],[Gas 24h, ml]]-Table3.110[[#This Row],[V8 Push back, ml]]</f>
        <v>3.5</v>
      </c>
      <c r="AG1158" s="94"/>
      <c r="AH1158" s="94"/>
      <c r="AI1158" s="94"/>
      <c r="AJ1158" s="94"/>
      <c r="AK1158" s="94"/>
      <c r="AL1158" s="94"/>
      <c r="AM1158" s="94"/>
      <c r="AN1158" s="94"/>
      <c r="AO1158" s="94"/>
      <c r="AP1158" s="94"/>
      <c r="AQ1158" s="94"/>
      <c r="AR1158" s="94"/>
      <c r="AS1158" s="94"/>
      <c r="AT1158" s="94"/>
      <c r="AU1158" s="94"/>
      <c r="AV1158" s="94"/>
      <c r="AW1158" s="94"/>
      <c r="AX1158" s="94"/>
    </row>
    <row r="1159" spans="2:50" x14ac:dyDescent="0.35">
      <c r="B1159" s="90">
        <f t="shared" si="17"/>
        <v>1149</v>
      </c>
      <c r="C1159" s="140">
        <v>46085</v>
      </c>
      <c r="D1159" s="92"/>
      <c r="E1159" s="6" t="s">
        <v>537</v>
      </c>
      <c r="F1159" s="242" t="s">
        <v>538</v>
      </c>
      <c r="G1159" s="242">
        <v>24</v>
      </c>
      <c r="H1159" s="6" t="s">
        <v>537</v>
      </c>
      <c r="I1159" s="242"/>
      <c r="J1159" s="243"/>
      <c r="K1159" s="243"/>
      <c r="L1159" s="6" t="s">
        <v>539</v>
      </c>
      <c r="M1159" s="256">
        <v>30</v>
      </c>
      <c r="N1159" s="256">
        <v>71</v>
      </c>
      <c r="O1159" s="256">
        <v>3</v>
      </c>
      <c r="P1159" s="257">
        <v>1</v>
      </c>
      <c r="Q1159" s="6">
        <v>73</v>
      </c>
      <c r="R1159" s="98"/>
      <c r="S1159" s="94"/>
      <c r="T1159" s="94"/>
      <c r="U1159" s="153">
        <v>0.3298611111111111</v>
      </c>
      <c r="V1159" s="154">
        <v>40</v>
      </c>
      <c r="W1159" s="153">
        <v>0.66319444444444442</v>
      </c>
      <c r="X1159" s="91">
        <v>43</v>
      </c>
      <c r="Y1159" s="91"/>
      <c r="Z1159" s="154">
        <v>39.5</v>
      </c>
      <c r="AA1159" s="153">
        <v>0.33333333333333331</v>
      </c>
      <c r="AB1159" s="154">
        <v>44.5</v>
      </c>
      <c r="AC1159" s="154" t="s">
        <v>601</v>
      </c>
      <c r="AD1159" s="91"/>
      <c r="AE1159" s="94">
        <f>Table3.110[[#This Row],[Gas 8h, ml]]-Table3.110[[#This Row],[Gas 0h, ml]]</f>
        <v>3</v>
      </c>
      <c r="AF1159" s="94">
        <f>Table3.110[[#This Row],[Gas 24h, ml]]-Table3.110[[#This Row],[V8 Push back, ml]]</f>
        <v>5</v>
      </c>
      <c r="AG1159" s="94"/>
      <c r="AH1159" s="94"/>
      <c r="AI1159" s="94"/>
      <c r="AJ1159" s="94"/>
      <c r="AK1159" s="94"/>
      <c r="AL1159" s="94"/>
      <c r="AM1159" s="94"/>
      <c r="AN1159" s="94"/>
      <c r="AO1159" s="94"/>
      <c r="AP1159" s="94"/>
      <c r="AQ1159" s="94"/>
      <c r="AR1159" s="94"/>
      <c r="AS1159" s="94"/>
      <c r="AT1159" s="94"/>
      <c r="AU1159" s="94"/>
      <c r="AV1159" s="94"/>
      <c r="AW1159" s="94"/>
      <c r="AX1159" s="94"/>
    </row>
    <row r="1160" spans="2:50" x14ac:dyDescent="0.35">
      <c r="B1160" s="90">
        <f t="shared" si="17"/>
        <v>1150</v>
      </c>
      <c r="C1160" s="140">
        <v>46085</v>
      </c>
      <c r="D1160" s="6"/>
      <c r="E1160" s="6" t="s">
        <v>537</v>
      </c>
      <c r="F1160" s="242" t="s">
        <v>538</v>
      </c>
      <c r="G1160" s="242">
        <v>24</v>
      </c>
      <c r="H1160" s="6" t="s">
        <v>537</v>
      </c>
      <c r="I1160" s="242"/>
      <c r="J1160" s="243"/>
      <c r="K1160" s="243"/>
      <c r="L1160" s="6" t="s">
        <v>539</v>
      </c>
      <c r="M1160" s="256">
        <v>30</v>
      </c>
      <c r="N1160" s="256">
        <v>71</v>
      </c>
      <c r="O1160" s="256">
        <v>3</v>
      </c>
      <c r="P1160" s="257">
        <v>2</v>
      </c>
      <c r="Q1160" s="129">
        <v>74</v>
      </c>
      <c r="R1160" s="98"/>
      <c r="S1160" s="94"/>
      <c r="T1160" s="94"/>
      <c r="U1160" s="117">
        <v>0.33055555555555555</v>
      </c>
      <c r="V1160" s="155">
        <v>40</v>
      </c>
      <c r="W1160" s="117">
        <v>0.66319444444444442</v>
      </c>
      <c r="X1160" s="96">
        <v>43.5</v>
      </c>
      <c r="Y1160" s="96"/>
      <c r="Z1160" s="155">
        <v>40</v>
      </c>
      <c r="AA1160" s="117">
        <v>0.33402777777777776</v>
      </c>
      <c r="AB1160" s="155">
        <v>44.5</v>
      </c>
      <c r="AC1160" s="155"/>
      <c r="AD1160" s="96"/>
      <c r="AE1160" s="94">
        <f>Table3.110[[#This Row],[Gas 8h, ml]]-Table3.110[[#This Row],[Gas 0h, ml]]</f>
        <v>3.5</v>
      </c>
      <c r="AF1160" s="94">
        <f>Table3.110[[#This Row],[Gas 24h, ml]]-Table3.110[[#This Row],[V8 Push back, ml]]</f>
        <v>4.5</v>
      </c>
      <c r="AG1160" s="94"/>
      <c r="AH1160" s="94"/>
      <c r="AI1160" s="94"/>
      <c r="AJ1160" s="94"/>
      <c r="AK1160" s="94"/>
      <c r="AL1160" s="94"/>
      <c r="AM1160" s="94"/>
      <c r="AN1160" s="94"/>
      <c r="AO1160" s="94"/>
      <c r="AP1160" s="94"/>
      <c r="AQ1160" s="94"/>
      <c r="AR1160" s="94"/>
      <c r="AS1160" s="94"/>
      <c r="AT1160" s="94"/>
      <c r="AU1160" s="94"/>
      <c r="AV1160" s="94"/>
      <c r="AW1160" s="94"/>
      <c r="AX1160" s="94"/>
    </row>
    <row r="1161" spans="2:50" x14ac:dyDescent="0.35">
      <c r="B1161" s="90">
        <f t="shared" si="17"/>
        <v>1151</v>
      </c>
      <c r="C1161" s="140">
        <v>46085</v>
      </c>
      <c r="D1161" s="6" t="s">
        <v>16</v>
      </c>
      <c r="E1161" s="6" t="s">
        <v>385</v>
      </c>
      <c r="F1161" s="242" t="s">
        <v>226</v>
      </c>
      <c r="G1161" s="242" t="s">
        <v>231</v>
      </c>
      <c r="H1161" s="6" t="s">
        <v>232</v>
      </c>
      <c r="I1161" s="133" t="s">
        <v>22</v>
      </c>
      <c r="J1161" s="135" t="s">
        <v>23</v>
      </c>
      <c r="K1161" s="135" t="s">
        <v>215</v>
      </c>
      <c r="L1161" s="6" t="s">
        <v>384</v>
      </c>
      <c r="M1161" s="256">
        <v>30</v>
      </c>
      <c r="N1161" s="256">
        <v>71</v>
      </c>
      <c r="O1161" s="256">
        <v>3</v>
      </c>
      <c r="P1161" s="257">
        <v>1</v>
      </c>
      <c r="Q1161" s="129">
        <v>75</v>
      </c>
      <c r="R1161" s="98">
        <v>0.5</v>
      </c>
      <c r="S1161" s="94">
        <f>((Table3.110[[#This Row],[Sample weight, g]]*'2.1. DM'!Q241)/100)*1000</f>
        <v>463.01466270807452</v>
      </c>
      <c r="T1161" s="94">
        <f>'3.2 Digest'!W1161</f>
        <v>198.11466270807449</v>
      </c>
      <c r="U1161" s="153">
        <v>0.33055555555555555</v>
      </c>
      <c r="V1161" s="154">
        <v>41</v>
      </c>
      <c r="W1161" s="153">
        <v>0.66319444444444442</v>
      </c>
      <c r="X1161" s="91">
        <v>84.5</v>
      </c>
      <c r="Y1161" s="91">
        <v>13</v>
      </c>
      <c r="Z1161" s="154">
        <v>40</v>
      </c>
      <c r="AA1161" s="153">
        <v>0.3347222222222222</v>
      </c>
      <c r="AB1161" s="154">
        <v>83</v>
      </c>
      <c r="AC1161" s="154">
        <v>15.5</v>
      </c>
      <c r="AD1161" s="91"/>
      <c r="AE1161" s="94">
        <f>Table3.110[[#This Row],[Gas 8h, ml]]-Table3.110[[#This Row],[Gas 0h, ml]]</f>
        <v>43.5</v>
      </c>
      <c r="AF1161" s="94">
        <f>Table3.110[[#This Row],[Gas 24h, ml]]-Table3.110[[#This Row],[V8 Push back, ml]]</f>
        <v>43</v>
      </c>
      <c r="AG1161" s="94">
        <f>Table3.110[[#This Row],[GP 8h, ml]]-(AVERAGE(AE$1159,AE$1160,AE$1193,AE$1194,AE$1229,AE$1230))*$AG$8</f>
        <v>40.033723538635904</v>
      </c>
      <c r="AH1161" s="94">
        <f>Table3.110[[#This Row],[GP 8-24h, ml]]-(AVERAGE(AF$1159,AF$1160,AF$1193,AF$1194,AF$1229,AF$1230))*$AG$8</f>
        <v>38.685592064046816</v>
      </c>
      <c r="AI1161" s="94">
        <f>Table3.110[[#This Row],[Net gas 8-24h, ml]]+Table3.110[[#This Row],[Net gas 8h, ml]]</f>
        <v>78.719315602682713</v>
      </c>
      <c r="AJ1161" s="94">
        <f>Table3.110[[#This Row],[Net gas 8h, ml]]*Table3.110[[#This Row],[CH4 8h %]]%</f>
        <v>5.2043840600226678</v>
      </c>
      <c r="AK1161" s="94">
        <f>Table3.110[[#This Row],[Net gas 8-24h, ml]]*Table3.110[[#This Row],[CH4 24h, %]]%</f>
        <v>5.9962667699272565</v>
      </c>
      <c r="AL1161" s="94">
        <f>Table3.110[[#This Row],[CH4 8-24h, ml]]+Table3.110[[#This Row],[CH4 8h, ml]]</f>
        <v>11.200650829949925</v>
      </c>
      <c r="AM1161" s="94">
        <f>(Table3.110[[#This Row],[Net gas 24h, ml]]/Table3.110[[#This Row],[DM Incubated, mg]])*1000</f>
        <v>170.01473590980927</v>
      </c>
      <c r="AN1161" s="94">
        <f>'3.2 Digest'!X1161</f>
        <v>42.787988948199576</v>
      </c>
      <c r="AO1161" s="94">
        <f>Table3.110[[#This Row],[Digested feed, mg]]/Table3.110[[#This Row],[Net gas 24h, ml]]</f>
        <v>2.5167223722829579</v>
      </c>
      <c r="AP1161" s="94">
        <f>Table3.110[[#This Row],[CH4 8h, ml]]/Table3.110[[#This Row],[Net gas 8h, ml]]%</f>
        <v>13.000000000000002</v>
      </c>
      <c r="AQ1161" s="94">
        <f>Table3.110[[#This Row],[CH4 24h, ml]]/Table3.110[[#This Row],[Net gas 24h, ml]]%</f>
        <v>14.22859274651546</v>
      </c>
      <c r="AR1161" s="94">
        <f>Table3.110[[#This Row],[CH4 24h, ml]]/Table3.110[[#This Row],[DM Incubated, mg]]*1000</f>
        <v>24.190704381670539</v>
      </c>
      <c r="AS1161" s="94">
        <f>Table3.110[[#This Row],[CH4 24h, ml]]/Table3.110[[#This Row],[Digested feed, mg]]*1000</f>
        <v>56.536203211037865</v>
      </c>
      <c r="AT1161" s="94">
        <f>Table3.110[[#This Row],[CH4 24h, ml]]/'3.2 Digest'!AA1161</f>
        <v>-3.5466942646196649</v>
      </c>
      <c r="AU1161" s="94">
        <f>((Table3.110[[#This Row],[CH4 24h, ml]]/28.9)*16.04)/Table3.110[[#This Row],[DM Incubated, mg]]*1000</f>
        <v>13.426259456124411</v>
      </c>
      <c r="AV1161" s="94">
        <f>((Table3.110[[#This Row],[CH4 24h, ml]]/28.9)*16.04)/Table3.110[[#This Row],[Digested feed, mg]]*1000</f>
        <v>31.378570917129665</v>
      </c>
      <c r="AW1161" s="94"/>
      <c r="AX1161" s="94"/>
    </row>
    <row r="1162" spans="2:50" x14ac:dyDescent="0.35">
      <c r="B1162" s="90">
        <f t="shared" si="17"/>
        <v>1152</v>
      </c>
      <c r="C1162" s="140">
        <v>46085</v>
      </c>
      <c r="D1162" s="6" t="s">
        <v>16</v>
      </c>
      <c r="E1162" s="6" t="s">
        <v>385</v>
      </c>
      <c r="F1162" s="242" t="s">
        <v>226</v>
      </c>
      <c r="G1162" s="242" t="s">
        <v>231</v>
      </c>
      <c r="H1162" s="6" t="s">
        <v>232</v>
      </c>
      <c r="I1162" s="133" t="s">
        <v>22</v>
      </c>
      <c r="J1162" s="135" t="s">
        <v>23</v>
      </c>
      <c r="K1162" s="135" t="s">
        <v>215</v>
      </c>
      <c r="L1162" s="6" t="s">
        <v>384</v>
      </c>
      <c r="M1162" s="256">
        <v>30</v>
      </c>
      <c r="N1162" s="256">
        <v>71</v>
      </c>
      <c r="O1162" s="256">
        <v>3</v>
      </c>
      <c r="P1162" s="257">
        <v>2</v>
      </c>
      <c r="Q1162" s="6">
        <v>76</v>
      </c>
      <c r="R1162" s="98">
        <v>0.5</v>
      </c>
      <c r="S1162" s="94">
        <f>((Table3.110[[#This Row],[Sample weight, g]]*'2.1. DM'!Q241)/100)*1000</f>
        <v>463.01466270807452</v>
      </c>
      <c r="T1162" s="94">
        <f>'3.2 Digest'!W1162</f>
        <v>130.4146627080745</v>
      </c>
      <c r="U1162" s="117">
        <v>0.33055555555555555</v>
      </c>
      <c r="V1162" s="155">
        <v>41.5</v>
      </c>
      <c r="W1162" s="117">
        <v>0.66388888888888886</v>
      </c>
      <c r="X1162" s="96">
        <v>85</v>
      </c>
      <c r="Y1162" s="96">
        <v>13.6</v>
      </c>
      <c r="Z1162" s="155">
        <v>40.5</v>
      </c>
      <c r="AA1162" s="117">
        <v>0.3347222222222222</v>
      </c>
      <c r="AB1162" s="155">
        <v>83</v>
      </c>
      <c r="AC1162" s="155">
        <v>17</v>
      </c>
      <c r="AD1162" s="96"/>
      <c r="AE1162" s="94">
        <f>Table3.110[[#This Row],[Gas 8h, ml]]-Table3.110[[#This Row],[Gas 0h, ml]]</f>
        <v>43.5</v>
      </c>
      <c r="AF1162" s="94">
        <f>Table3.110[[#This Row],[Gas 24h, ml]]-Table3.110[[#This Row],[V8 Push back, ml]]</f>
        <v>42.5</v>
      </c>
      <c r="AG1162" s="94">
        <f>Table3.110[[#This Row],[GP 8h, ml]]-(AVERAGE(AE$1159,AE$1160,AE$1193,AE$1194,AE$1229,AE$1230))*$AG$8</f>
        <v>40.033723538635904</v>
      </c>
      <c r="AH1162" s="94">
        <f>Table3.110[[#This Row],[GP 8-24h, ml]]-(AVERAGE(AF$1159,AF$1160,AF$1193,AF$1194,AF$1229,AF$1230))*$AG$8</f>
        <v>38.185592064046816</v>
      </c>
      <c r="AI1162" s="94">
        <f>Table3.110[[#This Row],[Net gas 8-24h, ml]]+Table3.110[[#This Row],[Net gas 8h, ml]]</f>
        <v>78.219315602682713</v>
      </c>
      <c r="AJ1162" s="94">
        <f>Table3.110[[#This Row],[Net gas 8h, ml]]*Table3.110[[#This Row],[CH4 8h %]]%</f>
        <v>5.4445864012544831</v>
      </c>
      <c r="AK1162" s="94">
        <f>Table3.110[[#This Row],[Net gas 8-24h, ml]]*Table3.110[[#This Row],[CH4 24h, %]]%</f>
        <v>6.4915506508879588</v>
      </c>
      <c r="AL1162" s="94">
        <f>Table3.110[[#This Row],[CH4 8-24h, ml]]+Table3.110[[#This Row],[CH4 8h, ml]]</f>
        <v>11.936137052142442</v>
      </c>
      <c r="AM1162" s="94">
        <f>(Table3.110[[#This Row],[Net gas 24h, ml]]/Table3.110[[#This Row],[DM Incubated, mg]])*1000</f>
        <v>168.93485650150802</v>
      </c>
      <c r="AN1162" s="94">
        <f>'3.2 Digest'!X1162</f>
        <v>28.16642175980061</v>
      </c>
      <c r="AO1162" s="94">
        <f>Table3.110[[#This Row],[Digested feed, mg]]/Table3.110[[#This Row],[Net gas 24h, ml]]</f>
        <v>1.6672948580951483</v>
      </c>
      <c r="AP1162" s="94">
        <f>Table3.110[[#This Row],[CH4 8h, ml]]/Table3.110[[#This Row],[Net gas 8h, ml]]%</f>
        <v>13.600000000000001</v>
      </c>
      <c r="AQ1162" s="94">
        <f>Table3.110[[#This Row],[CH4 24h, ml]]/Table3.110[[#This Row],[Net gas 24h, ml]]%</f>
        <v>15.259833150129307</v>
      </c>
      <c r="AR1162" s="94">
        <f>Table3.110[[#This Row],[CH4 24h, ml]]/Table3.110[[#This Row],[DM Incubated, mg]]*1000</f>
        <v>25.779177234540498</v>
      </c>
      <c r="AS1162" s="94">
        <f>Table3.110[[#This Row],[CH4 24h, ml]]/Table3.110[[#This Row],[Digested feed, mg]]*1000</f>
        <v>91.524501956200879</v>
      </c>
      <c r="AT1162" s="94">
        <f>Table3.110[[#This Row],[CH4 24h, ml]]/'3.2 Digest'!AA1162</f>
        <v>-0.40431376661337143</v>
      </c>
      <c r="AU1162" s="94">
        <f>((Table3.110[[#This Row],[CH4 24h, ml]]/28.9)*16.04)/Table3.110[[#This Row],[DM Incubated, mg]]*1000</f>
        <v>14.307889371696527</v>
      </c>
      <c r="AV1162" s="94">
        <f>((Table3.110[[#This Row],[CH4 24h, ml]]/28.9)*16.04)/Table3.110[[#This Row],[Digested feed, mg]]*1000</f>
        <v>50.797682054583468</v>
      </c>
      <c r="AW1162" s="94"/>
      <c r="AX1162" s="94"/>
    </row>
    <row r="1163" spans="2:50" x14ac:dyDescent="0.35">
      <c r="B1163" s="90">
        <f t="shared" si="17"/>
        <v>1153</v>
      </c>
      <c r="C1163" s="140">
        <v>46085</v>
      </c>
      <c r="D1163" s="6" t="s">
        <v>16</v>
      </c>
      <c r="E1163" s="6" t="s">
        <v>389</v>
      </c>
      <c r="F1163" s="242" t="s">
        <v>226</v>
      </c>
      <c r="G1163" s="242" t="s">
        <v>227</v>
      </c>
      <c r="H1163" s="6" t="s">
        <v>228</v>
      </c>
      <c r="I1163" s="133" t="s">
        <v>22</v>
      </c>
      <c r="J1163" s="135" t="s">
        <v>23</v>
      </c>
      <c r="K1163" s="135" t="s">
        <v>215</v>
      </c>
      <c r="L1163" s="6" t="s">
        <v>388</v>
      </c>
      <c r="M1163" s="256">
        <v>30</v>
      </c>
      <c r="N1163" s="256">
        <v>71</v>
      </c>
      <c r="O1163" s="256">
        <v>3</v>
      </c>
      <c r="P1163" s="257">
        <v>1</v>
      </c>
      <c r="Q1163" s="129">
        <v>77</v>
      </c>
      <c r="R1163" s="98">
        <v>0.50049999999999994</v>
      </c>
      <c r="S1163" s="94">
        <f>((Table3.110[[#This Row],[Sample weight, g]]*'2.1. DM'!Q243)/100)*1000</f>
        <v>463.37775353051234</v>
      </c>
      <c r="T1163" s="94">
        <f>'3.2 Digest'!W1163</f>
        <v>147.47775353051236</v>
      </c>
      <c r="U1163" s="117">
        <v>0.33194444444444443</v>
      </c>
      <c r="V1163" s="155">
        <v>46</v>
      </c>
      <c r="W1163" s="117">
        <v>0.6645833333333333</v>
      </c>
      <c r="X1163" s="96">
        <v>83</v>
      </c>
      <c r="Y1163" s="96">
        <v>11.5</v>
      </c>
      <c r="Z1163" s="155">
        <v>45.5</v>
      </c>
      <c r="AA1163" s="117">
        <v>0.33541666666666664</v>
      </c>
      <c r="AB1163" s="155">
        <v>80</v>
      </c>
      <c r="AC1163" s="155">
        <v>16.100000000000001</v>
      </c>
      <c r="AD1163" s="96" t="s">
        <v>602</v>
      </c>
      <c r="AE1163" s="94">
        <f>Table3.110[[#This Row],[Gas 8h, ml]]-Table3.110[[#This Row],[Gas 0h, ml]]</f>
        <v>37</v>
      </c>
      <c r="AF1163" s="94">
        <f>Table3.110[[#This Row],[Gas 24h, ml]]-Table3.110[[#This Row],[V8 Push back, ml]]</f>
        <v>34.5</v>
      </c>
      <c r="AG1163" s="94">
        <f>Table3.110[[#This Row],[GP 8h, ml]]-(AVERAGE(AE$1159,AE$1160,AE$1193,AE$1194,AE$1229,AE$1230))*$AG$8</f>
        <v>33.533723538635904</v>
      </c>
      <c r="AH1163" s="94">
        <f>Table3.110[[#This Row],[GP 8-24h, ml]]-(AVERAGE(AF$1159,AF$1160,AF$1193,AF$1194,AF$1229,AF$1230))*$AG$8</f>
        <v>30.185592064046812</v>
      </c>
      <c r="AI1163" s="94">
        <f>Table3.110[[#This Row],[Net gas 8-24h, ml]]+Table3.110[[#This Row],[Net gas 8h, ml]]</f>
        <v>63.719315602682713</v>
      </c>
      <c r="AJ1163" s="94">
        <f>Table3.110[[#This Row],[Net gas 8h, ml]]*Table3.110[[#This Row],[CH4 8h %]]%</f>
        <v>3.8563782069431292</v>
      </c>
      <c r="AK1163" s="94">
        <f>Table3.110[[#This Row],[Net gas 8-24h, ml]]*Table3.110[[#This Row],[CH4 24h, %]]%</f>
        <v>4.859880322311537</v>
      </c>
      <c r="AL1163" s="94">
        <f>Table3.110[[#This Row],[CH4 8-24h, ml]]+Table3.110[[#This Row],[CH4 8h, ml]]</f>
        <v>8.7162585292546666</v>
      </c>
      <c r="AM1163" s="94">
        <f>(Table3.110[[#This Row],[Net gas 24h, ml]]/Table3.110[[#This Row],[DM Incubated, mg]])*1000</f>
        <v>137.51051947833088</v>
      </c>
      <c r="AN1163" s="94">
        <f>'3.2 Digest'!X1163</f>
        <v>31.826679724451058</v>
      </c>
      <c r="AO1163" s="94">
        <f>Table3.110[[#This Row],[Digested feed, mg]]/Table3.110[[#This Row],[Net gas 24h, ml]]</f>
        <v>2.3144905455372351</v>
      </c>
      <c r="AP1163" s="94">
        <f>Table3.110[[#This Row],[CH4 8h, ml]]/Table3.110[[#This Row],[Net gas 8h, ml]]%</f>
        <v>11.5</v>
      </c>
      <c r="AQ1163" s="94">
        <f>Table3.110[[#This Row],[CH4 24h, ml]]/Table3.110[[#This Row],[Net gas 24h, ml]]%</f>
        <v>13.679146498691669</v>
      </c>
      <c r="AR1163" s="94">
        <f>Table3.110[[#This Row],[CH4 24h, ml]]/Table3.110[[#This Row],[DM Incubated, mg]]*1000</f>
        <v>18.81026541055282</v>
      </c>
      <c r="AS1163" s="94">
        <f>Table3.110[[#This Row],[CH4 24h, ml]]/Table3.110[[#This Row],[Digested feed, mg]]*1000</f>
        <v>59.102192165215747</v>
      </c>
      <c r="AT1163" s="94">
        <f>Table3.110[[#This Row],[CH4 24h, ml]]/'3.2 Digest'!AA1163</f>
        <v>-0.29994981779921359</v>
      </c>
      <c r="AU1163" s="94">
        <f>((Table3.110[[#This Row],[CH4 24h, ml]]/28.9)*16.04)/Table3.110[[#This Row],[DM Incubated, mg]]*1000</f>
        <v>10.440022739974646</v>
      </c>
      <c r="AV1163" s="94">
        <f>((Table3.110[[#This Row],[CH4 24h, ml]]/28.9)*16.04)/Table3.110[[#This Row],[Digested feed, mg]]*1000</f>
        <v>32.80273918097096</v>
      </c>
      <c r="AW1163" s="94"/>
      <c r="AX1163" s="94"/>
    </row>
    <row r="1164" spans="2:50" x14ac:dyDescent="0.35">
      <c r="B1164" s="90">
        <f t="shared" ref="B1164:B1227" si="18">B1163+1</f>
        <v>1154</v>
      </c>
      <c r="C1164" s="140">
        <v>46085</v>
      </c>
      <c r="D1164" s="6" t="s">
        <v>16</v>
      </c>
      <c r="E1164" s="6" t="s">
        <v>389</v>
      </c>
      <c r="F1164" s="242" t="s">
        <v>226</v>
      </c>
      <c r="G1164" s="242" t="s">
        <v>227</v>
      </c>
      <c r="H1164" s="6" t="s">
        <v>228</v>
      </c>
      <c r="I1164" s="133" t="s">
        <v>22</v>
      </c>
      <c r="J1164" s="135" t="s">
        <v>23</v>
      </c>
      <c r="K1164" s="135" t="s">
        <v>215</v>
      </c>
      <c r="L1164" s="6" t="s">
        <v>388</v>
      </c>
      <c r="M1164" s="256">
        <v>30</v>
      </c>
      <c r="N1164" s="256">
        <v>71</v>
      </c>
      <c r="O1164" s="256">
        <v>3</v>
      </c>
      <c r="P1164" s="257">
        <v>2</v>
      </c>
      <c r="Q1164" s="6">
        <v>78</v>
      </c>
      <c r="R1164" s="98">
        <v>0.50039999999999996</v>
      </c>
      <c r="S1164" s="94">
        <f>((Table3.110[[#This Row],[Sample weight, g]]*'2.1. DM'!Q243)/100)*1000</f>
        <v>463.28517056277394</v>
      </c>
      <c r="T1164" s="94">
        <f>'3.2 Digest'!W1164</f>
        <v>117.0851705627739</v>
      </c>
      <c r="U1164" s="153">
        <v>0.33194444444444443</v>
      </c>
      <c r="V1164" s="154">
        <v>41.5</v>
      </c>
      <c r="W1164" s="153">
        <v>0.6645833333333333</v>
      </c>
      <c r="X1164" s="91">
        <v>83</v>
      </c>
      <c r="Y1164" s="91">
        <v>11.4</v>
      </c>
      <c r="Z1164" s="154">
        <v>40.5</v>
      </c>
      <c r="AA1164" s="153">
        <v>0.33611111111111114</v>
      </c>
      <c r="AB1164" s="154">
        <v>80.5</v>
      </c>
      <c r="AC1164" s="154">
        <v>15.7</v>
      </c>
      <c r="AD1164" s="91"/>
      <c r="AE1164" s="94">
        <f>Table3.110[[#This Row],[Gas 8h, ml]]-Table3.110[[#This Row],[Gas 0h, ml]]</f>
        <v>41.5</v>
      </c>
      <c r="AF1164" s="94">
        <f>Table3.110[[#This Row],[Gas 24h, ml]]-Table3.110[[#This Row],[V8 Push back, ml]]</f>
        <v>40</v>
      </c>
      <c r="AG1164" s="94">
        <f>Table3.110[[#This Row],[GP 8h, ml]]-(AVERAGE(AE$1159,AE$1160,AE$1193,AE$1194,AE$1229,AE$1230))*$AG$8</f>
        <v>38.033723538635904</v>
      </c>
      <c r="AH1164" s="94">
        <f>Table3.110[[#This Row],[GP 8-24h, ml]]-(AVERAGE(AF$1159,AF$1160,AF$1193,AF$1194,AF$1229,AF$1230))*$AG$8</f>
        <v>35.685592064046816</v>
      </c>
      <c r="AI1164" s="94">
        <f>Table3.110[[#This Row],[Net gas 8-24h, ml]]+Table3.110[[#This Row],[Net gas 8h, ml]]</f>
        <v>73.719315602682713</v>
      </c>
      <c r="AJ1164" s="94">
        <f>Table3.110[[#This Row],[Net gas 8h, ml]]*Table3.110[[#This Row],[CH4 8h %]]%</f>
        <v>4.3358444834044931</v>
      </c>
      <c r="AK1164" s="94">
        <f>Table3.110[[#This Row],[Net gas 8-24h, ml]]*Table3.110[[#This Row],[CH4 24h, %]]%</f>
        <v>5.6026379540553499</v>
      </c>
      <c r="AL1164" s="94">
        <f>Table3.110[[#This Row],[CH4 8-24h, ml]]+Table3.110[[#This Row],[CH4 8h, ml]]</f>
        <v>9.9384824374598431</v>
      </c>
      <c r="AM1164" s="94">
        <f>(Table3.110[[#This Row],[Net gas 24h, ml]]/Table3.110[[#This Row],[DM Incubated, mg]])*1000</f>
        <v>159.12297713551342</v>
      </c>
      <c r="AN1164" s="94">
        <f>'3.2 Digest'!X1164</f>
        <v>25.272807765580996</v>
      </c>
      <c r="AO1164" s="94">
        <f>Table3.110[[#This Row],[Digested feed, mg]]/Table3.110[[#This Row],[Net gas 24h, ml]]</f>
        <v>1.5882563423922109</v>
      </c>
      <c r="AP1164" s="94">
        <f>Table3.110[[#This Row],[CH4 8h, ml]]/Table3.110[[#This Row],[Net gas 8h, ml]]%</f>
        <v>11.4</v>
      </c>
      <c r="AQ1164" s="94">
        <f>Table3.110[[#This Row],[CH4 24h, ml]]/Table3.110[[#This Row],[Net gas 24h, ml]]%</f>
        <v>13.481517504888735</v>
      </c>
      <c r="AR1164" s="94">
        <f>Table3.110[[#This Row],[CH4 24h, ml]]/Table3.110[[#This Row],[DM Incubated, mg]]*1000</f>
        <v>21.452192016824341</v>
      </c>
      <c r="AS1164" s="94">
        <f>Table3.110[[#This Row],[CH4 24h, ml]]/Table3.110[[#This Row],[Digested feed, mg]]*1000</f>
        <v>84.882503819144532</v>
      </c>
      <c r="AT1164" s="94">
        <f>Table3.110[[#This Row],[CH4 24h, ml]]/'3.2 Digest'!AA1164</f>
        <v>-0.2396766838993622</v>
      </c>
      <c r="AU1164" s="94">
        <f>((Table3.110[[#This Row],[CH4 24h, ml]]/28.9)*16.04)/Table3.110[[#This Row],[DM Incubated, mg]]*1000</f>
        <v>11.906337714528114</v>
      </c>
      <c r="AV1164" s="94">
        <f>((Table3.110[[#This Row],[CH4 24h, ml]]/28.9)*16.04)/Table3.110[[#This Row],[Digested feed, mg]]*1000</f>
        <v>47.111258175054608</v>
      </c>
      <c r="AW1164" s="94"/>
      <c r="AX1164" s="94"/>
    </row>
    <row r="1165" spans="2:50" x14ac:dyDescent="0.35">
      <c r="B1165" s="90">
        <f t="shared" si="18"/>
        <v>1155</v>
      </c>
      <c r="C1165" s="140">
        <v>46085</v>
      </c>
      <c r="D1165" s="6" t="s">
        <v>16</v>
      </c>
      <c r="E1165" s="6" t="s">
        <v>391</v>
      </c>
      <c r="F1165" s="242" t="s">
        <v>290</v>
      </c>
      <c r="G1165" s="242" t="s">
        <v>314</v>
      </c>
      <c r="H1165" s="6" t="s">
        <v>315</v>
      </c>
      <c r="I1165" s="133" t="s">
        <v>22</v>
      </c>
      <c r="J1165" s="135" t="s">
        <v>23</v>
      </c>
      <c r="K1165" s="135" t="s">
        <v>215</v>
      </c>
      <c r="L1165" s="6" t="s">
        <v>390</v>
      </c>
      <c r="M1165" s="256">
        <v>30</v>
      </c>
      <c r="N1165" s="256">
        <v>71</v>
      </c>
      <c r="O1165" s="256">
        <v>3</v>
      </c>
      <c r="P1165" s="257">
        <v>1</v>
      </c>
      <c r="Q1165" s="129">
        <v>79</v>
      </c>
      <c r="R1165" s="98">
        <v>0.50019999999999998</v>
      </c>
      <c r="S1165" s="94">
        <f>((Table3.110[[#This Row],[Sample weight, g]]*'2.1. DM'!Q245)/100)*1000</f>
        <v>474.01452999999987</v>
      </c>
      <c r="T1165" s="94">
        <f>'3.2 Digest'!W1165</f>
        <v>182.91452999999984</v>
      </c>
      <c r="U1165" s="153">
        <v>0.33263888888888887</v>
      </c>
      <c r="V1165" s="154">
        <v>41</v>
      </c>
      <c r="W1165" s="153">
        <v>0.66527777777777775</v>
      </c>
      <c r="X1165" s="91">
        <v>76.5</v>
      </c>
      <c r="Y1165" s="91">
        <v>14</v>
      </c>
      <c r="Z1165" s="154">
        <v>40</v>
      </c>
      <c r="AA1165" s="153">
        <v>0.33611111111111114</v>
      </c>
      <c r="AB1165" s="154">
        <v>89.5</v>
      </c>
      <c r="AC1165" s="154">
        <v>16.600000000000001</v>
      </c>
      <c r="AD1165" s="91"/>
      <c r="AE1165" s="94">
        <f>Table3.110[[#This Row],[Gas 8h, ml]]-Table3.110[[#This Row],[Gas 0h, ml]]</f>
        <v>35.5</v>
      </c>
      <c r="AF1165" s="94">
        <f>Table3.110[[#This Row],[Gas 24h, ml]]-Table3.110[[#This Row],[V8 Push back, ml]]</f>
        <v>49.5</v>
      </c>
      <c r="AG1165" s="94">
        <f>Table3.110[[#This Row],[GP 8h, ml]]-(AVERAGE(AE$1159,AE$1160,AE$1193,AE$1194,AE$1229,AE$1230))*$AG$8</f>
        <v>32.033723538635904</v>
      </c>
      <c r="AH1165" s="94">
        <f>Table3.110[[#This Row],[GP 8-24h, ml]]-(AVERAGE(AF$1159,AF$1160,AF$1193,AF$1194,AF$1229,AF$1230))*$AG$8</f>
        <v>45.185592064046816</v>
      </c>
      <c r="AI1165" s="94">
        <f>Table3.110[[#This Row],[Net gas 8-24h, ml]]+Table3.110[[#This Row],[Net gas 8h, ml]]</f>
        <v>77.219315602682713</v>
      </c>
      <c r="AJ1165" s="94">
        <f>Table3.110[[#This Row],[Net gas 8h, ml]]*Table3.110[[#This Row],[CH4 8h %]]%</f>
        <v>4.4847212954090274</v>
      </c>
      <c r="AK1165" s="94">
        <f>Table3.110[[#This Row],[Net gas 8-24h, ml]]*Table3.110[[#This Row],[CH4 24h, %]]%</f>
        <v>7.5008082826317715</v>
      </c>
      <c r="AL1165" s="94">
        <f>Table3.110[[#This Row],[CH4 8-24h, ml]]+Table3.110[[#This Row],[CH4 8h, ml]]</f>
        <v>11.985529578040799</v>
      </c>
      <c r="AM1165" s="94">
        <f>(Table3.110[[#This Row],[Net gas 24h, ml]]/Table3.110[[#This Row],[DM Incubated, mg]])*1000</f>
        <v>162.90495483900617</v>
      </c>
      <c r="AN1165" s="94">
        <f>'3.2 Digest'!X1165</f>
        <v>38.58838040260072</v>
      </c>
      <c r="AO1165" s="94">
        <f>Table3.110[[#This Row],[Digested feed, mg]]/Table3.110[[#This Row],[Net gas 24h, ml]]</f>
        <v>2.3687665265145799</v>
      </c>
      <c r="AP1165" s="94">
        <f>Table3.110[[#This Row],[CH4 8h, ml]]/Table3.110[[#This Row],[Net gas 8h, ml]]%</f>
        <v>14.000000000000002</v>
      </c>
      <c r="AQ1165" s="94">
        <f>Table3.110[[#This Row],[CH4 24h, ml]]/Table3.110[[#This Row],[Net gas 24h, ml]]%</f>
        <v>15.521413890418376</v>
      </c>
      <c r="AR1165" s="94">
        <f>Table3.110[[#This Row],[CH4 24h, ml]]/Table3.110[[#This Row],[DM Incubated, mg]]*1000</f>
        <v>25.285152288561285</v>
      </c>
      <c r="AS1165" s="94">
        <f>Table3.110[[#This Row],[CH4 24h, ml]]/Table3.110[[#This Row],[Digested feed, mg]]*1000</f>
        <v>65.525300685740007</v>
      </c>
      <c r="AT1165" s="94">
        <f>Table3.110[[#This Row],[CH4 24h, ml]]/'3.2 Digest'!AA1165</f>
        <v>-0.41303975920481789</v>
      </c>
      <c r="AU1165" s="94">
        <f>((Table3.110[[#This Row],[CH4 24h, ml]]/28.9)*16.04)/Table3.110[[#This Row],[DM Incubated, mg]]*1000</f>
        <v>14.033696979533669</v>
      </c>
      <c r="AV1165" s="94">
        <f>((Table3.110[[#This Row],[CH4 24h, ml]]/28.9)*16.04)/Table3.110[[#This Row],[Digested feed, mg]]*1000</f>
        <v>36.367675536306912</v>
      </c>
      <c r="AW1165" s="94"/>
      <c r="AX1165" s="94"/>
    </row>
    <row r="1166" spans="2:50" x14ac:dyDescent="0.35">
      <c r="B1166" s="90">
        <f t="shared" si="18"/>
        <v>1156</v>
      </c>
      <c r="C1166" s="140">
        <v>46085</v>
      </c>
      <c r="D1166" s="6" t="s">
        <v>16</v>
      </c>
      <c r="E1166" s="6" t="s">
        <v>391</v>
      </c>
      <c r="F1166" s="242" t="s">
        <v>290</v>
      </c>
      <c r="G1166" s="242" t="s">
        <v>314</v>
      </c>
      <c r="H1166" s="6" t="s">
        <v>315</v>
      </c>
      <c r="I1166" s="133" t="s">
        <v>22</v>
      </c>
      <c r="J1166" s="135" t="s">
        <v>23</v>
      </c>
      <c r="K1166" s="135" t="s">
        <v>215</v>
      </c>
      <c r="L1166" s="6" t="s">
        <v>390</v>
      </c>
      <c r="M1166" s="256">
        <v>30</v>
      </c>
      <c r="N1166" s="256">
        <v>71</v>
      </c>
      <c r="O1166" s="256">
        <v>3</v>
      </c>
      <c r="P1166" s="257">
        <v>2</v>
      </c>
      <c r="Q1166" s="6">
        <v>80</v>
      </c>
      <c r="R1166" s="98">
        <v>0.50029999999999997</v>
      </c>
      <c r="S1166" s="94">
        <f>((Table3.110[[#This Row],[Sample weight, g]]*'2.1. DM'!Q245)/100)*1000</f>
        <v>474.10929499999986</v>
      </c>
      <c r="T1166" s="94">
        <f>'3.2 Digest'!W1166</f>
        <v>253.60929499999983</v>
      </c>
      <c r="U1166" s="117">
        <v>0.33333333333333331</v>
      </c>
      <c r="V1166" s="155">
        <v>40</v>
      </c>
      <c r="W1166" s="117">
        <v>0.66527777777777775</v>
      </c>
      <c r="X1166" s="96">
        <v>77</v>
      </c>
      <c r="Y1166" s="96">
        <v>14.4</v>
      </c>
      <c r="Z1166" s="155">
        <v>40</v>
      </c>
      <c r="AA1166" s="117">
        <v>0.33680555555555558</v>
      </c>
      <c r="AB1166" s="155">
        <v>88.5</v>
      </c>
      <c r="AC1166" s="155">
        <v>16.8</v>
      </c>
      <c r="AD1166" s="96"/>
      <c r="AE1166" s="94">
        <f>Table3.110[[#This Row],[Gas 8h, ml]]-Table3.110[[#This Row],[Gas 0h, ml]]</f>
        <v>37</v>
      </c>
      <c r="AF1166" s="94">
        <f>Table3.110[[#This Row],[Gas 24h, ml]]-Table3.110[[#This Row],[V8 Push back, ml]]</f>
        <v>48.5</v>
      </c>
      <c r="AG1166" s="94">
        <f>Table3.110[[#This Row],[GP 8h, ml]]-(AVERAGE(AE$1159,AE$1160,AE$1193,AE$1194,AE$1229,AE$1230))*$AG$8</f>
        <v>33.533723538635904</v>
      </c>
      <c r="AH1166" s="94">
        <f>Table3.110[[#This Row],[GP 8-24h, ml]]-(AVERAGE(AF$1159,AF$1160,AF$1193,AF$1194,AF$1229,AF$1230))*$AG$8</f>
        <v>44.185592064046816</v>
      </c>
      <c r="AI1166" s="94">
        <f>Table3.110[[#This Row],[Net gas 8-24h, ml]]+Table3.110[[#This Row],[Net gas 8h, ml]]</f>
        <v>77.719315602682713</v>
      </c>
      <c r="AJ1166" s="94">
        <f>Table3.110[[#This Row],[Net gas 8h, ml]]*Table3.110[[#This Row],[CH4 8h %]]%</f>
        <v>4.8288561895635711</v>
      </c>
      <c r="AK1166" s="94">
        <f>Table3.110[[#This Row],[Net gas 8-24h, ml]]*Table3.110[[#This Row],[CH4 24h, %]]%</f>
        <v>7.4231794667598656</v>
      </c>
      <c r="AL1166" s="94">
        <f>Table3.110[[#This Row],[CH4 8-24h, ml]]+Table3.110[[#This Row],[CH4 8h, ml]]</f>
        <v>12.252035656323436</v>
      </c>
      <c r="AM1166" s="94">
        <f>(Table3.110[[#This Row],[Net gas 24h, ml]]/Table3.110[[#This Row],[DM Incubated, mg]])*1000</f>
        <v>163.92700253363043</v>
      </c>
      <c r="AN1166" s="94">
        <f>'3.2 Digest'!X1166</f>
        <v>53.491736541465599</v>
      </c>
      <c r="AO1166" s="94">
        <f>Table3.110[[#This Row],[Digested feed, mg]]/Table3.110[[#This Row],[Net gas 24h, ml]]</f>
        <v>3.2631436990066054</v>
      </c>
      <c r="AP1166" s="94">
        <f>Table3.110[[#This Row],[CH4 8h, ml]]/Table3.110[[#This Row],[Net gas 8h, ml]]%</f>
        <v>14.400000000000002</v>
      </c>
      <c r="AQ1166" s="94">
        <f>Table3.110[[#This Row],[CH4 24h, ml]]/Table3.110[[#This Row],[Net gas 24h, ml]]%</f>
        <v>15.764466736889947</v>
      </c>
      <c r="AR1166" s="94">
        <f>Table3.110[[#This Row],[CH4 24h, ml]]/Table3.110[[#This Row],[DM Incubated, mg]]*1000</f>
        <v>25.842217787194912</v>
      </c>
      <c r="AS1166" s="94">
        <f>Table3.110[[#This Row],[CH4 24h, ml]]/Table3.110[[#This Row],[Digested feed, mg]]*1000</f>
        <v>48.31067274692532</v>
      </c>
      <c r="AT1166" s="94">
        <f>Table3.110[[#This Row],[CH4 24h, ml]]/'3.2 Digest'!AA1166</f>
        <v>5.3451877881853198</v>
      </c>
      <c r="AU1166" s="94">
        <f>((Table3.110[[#This Row],[CH4 24h, ml]]/28.9)*16.04)/Table3.110[[#This Row],[DM Incubated, mg]]*1000</f>
        <v>14.342877969086727</v>
      </c>
      <c r="AV1166" s="94">
        <f>((Table3.110[[#This Row],[CH4 24h, ml]]/28.9)*16.04)/Table3.110[[#This Row],[Digested feed, mg]]*1000</f>
        <v>26.813259199331565</v>
      </c>
      <c r="AW1166" s="94"/>
      <c r="AX1166" s="94"/>
    </row>
    <row r="1167" spans="2:50" x14ac:dyDescent="0.35">
      <c r="B1167" s="90">
        <f t="shared" si="18"/>
        <v>1157</v>
      </c>
      <c r="C1167" s="140">
        <v>46085</v>
      </c>
      <c r="D1167" s="6" t="s">
        <v>16</v>
      </c>
      <c r="E1167" s="6" t="s">
        <v>393</v>
      </c>
      <c r="F1167" s="242" t="s">
        <v>226</v>
      </c>
      <c r="G1167" s="242" t="s">
        <v>227</v>
      </c>
      <c r="H1167" s="6" t="s">
        <v>228</v>
      </c>
      <c r="I1167" s="133" t="s">
        <v>22</v>
      </c>
      <c r="J1167" s="135" t="s">
        <v>23</v>
      </c>
      <c r="K1167" s="135" t="s">
        <v>215</v>
      </c>
      <c r="L1167" s="6" t="s">
        <v>392</v>
      </c>
      <c r="M1167" s="256">
        <v>30</v>
      </c>
      <c r="N1167" s="256">
        <v>71</v>
      </c>
      <c r="O1167" s="256">
        <v>3</v>
      </c>
      <c r="P1167" s="257">
        <v>1</v>
      </c>
      <c r="Q1167" s="129">
        <v>81</v>
      </c>
      <c r="R1167" s="98">
        <v>0.5</v>
      </c>
      <c r="S1167" s="94">
        <f>((Table3.110[[#This Row],[Sample weight, g]]*'2.1. DM'!Q247)/100)*1000</f>
        <v>467.80642839444914</v>
      </c>
      <c r="T1167" s="94">
        <f>'3.2 Digest'!W1167</f>
        <v>209.40642839444916</v>
      </c>
      <c r="U1167" s="117">
        <v>0.33333333333333331</v>
      </c>
      <c r="V1167" s="155">
        <v>42</v>
      </c>
      <c r="W1167" s="117">
        <v>0.66597222222222219</v>
      </c>
      <c r="X1167" s="96">
        <v>82</v>
      </c>
      <c r="Y1167" s="96">
        <v>12.3</v>
      </c>
      <c r="Z1167" s="155">
        <v>40.5</v>
      </c>
      <c r="AA1167" s="117">
        <v>0.33680555555555558</v>
      </c>
      <c r="AB1167" s="155">
        <v>75</v>
      </c>
      <c r="AC1167" s="155">
        <v>16.2</v>
      </c>
      <c r="AD1167" s="96" t="s">
        <v>603</v>
      </c>
      <c r="AE1167" s="94">
        <f>Table3.110[[#This Row],[Gas 8h, ml]]-Table3.110[[#This Row],[Gas 0h, ml]]</f>
        <v>40</v>
      </c>
      <c r="AF1167" s="94">
        <f>Table3.110[[#This Row],[Gas 24h, ml]]-Table3.110[[#This Row],[V8 Push back, ml]]</f>
        <v>34.5</v>
      </c>
      <c r="AG1167" s="94">
        <f>Table3.110[[#This Row],[GP 8h, ml]]-(AVERAGE(AE$1159,AE$1160,AE$1193,AE$1194,AE$1229,AE$1230))*$AG$8</f>
        <v>36.533723538635904</v>
      </c>
      <c r="AH1167" s="94">
        <f>Table3.110[[#This Row],[GP 8-24h, ml]]-(AVERAGE(AF$1159,AF$1160,AF$1193,AF$1194,AF$1229,AF$1230))*$AG$8</f>
        <v>30.185592064046812</v>
      </c>
      <c r="AI1167" s="94">
        <f>Table3.110[[#This Row],[Net gas 8-24h, ml]]+Table3.110[[#This Row],[Net gas 8h, ml]]</f>
        <v>66.719315602682713</v>
      </c>
      <c r="AJ1167" s="94">
        <f>Table3.110[[#This Row],[Net gas 8h, ml]]*Table3.110[[#This Row],[CH4 8h %]]%</f>
        <v>4.4936479952522168</v>
      </c>
      <c r="AK1167" s="94">
        <f>Table3.110[[#This Row],[Net gas 8-24h, ml]]*Table3.110[[#This Row],[CH4 24h, %]]%</f>
        <v>4.890065914375584</v>
      </c>
      <c r="AL1167" s="94">
        <f>Table3.110[[#This Row],[CH4 8-24h, ml]]+Table3.110[[#This Row],[CH4 8h, ml]]</f>
        <v>9.3837139096278008</v>
      </c>
      <c r="AM1167" s="94">
        <f>(Table3.110[[#This Row],[Net gas 24h, ml]]/Table3.110[[#This Row],[DM Incubated, mg]])*1000</f>
        <v>142.62163055704258</v>
      </c>
      <c r="AN1167" s="94">
        <f>'3.2 Digest'!X1167</f>
        <v>44.763478157653708</v>
      </c>
      <c r="AO1167" s="94">
        <f>Table3.110[[#This Row],[Digested feed, mg]]/Table3.110[[#This Row],[Net gas 24h, ml]]</f>
        <v>3.1386177526381753</v>
      </c>
      <c r="AP1167" s="94">
        <f>Table3.110[[#This Row],[CH4 8h, ml]]/Table3.110[[#This Row],[Net gas 8h, ml]]%</f>
        <v>12.300000000000002</v>
      </c>
      <c r="AQ1167" s="94">
        <f>Table3.110[[#This Row],[CH4 24h, ml]]/Table3.110[[#This Row],[Net gas 24h, ml]]%</f>
        <v>14.064463678716889</v>
      </c>
      <c r="AR1167" s="94">
        <f>Table3.110[[#This Row],[CH4 24h, ml]]/Table3.110[[#This Row],[DM Incubated, mg]]*1000</f>
        <v>20.058967427689041</v>
      </c>
      <c r="AS1167" s="94">
        <f>Table3.110[[#This Row],[CH4 24h, ml]]/Table3.110[[#This Row],[Digested feed, mg]]*1000</f>
        <v>44.811011684665836</v>
      </c>
      <c r="AT1167" s="94">
        <f>Table3.110[[#This Row],[CH4 24h, ml]]/'3.2 Digest'!AA1167</f>
        <v>-1.0809360861443742</v>
      </c>
      <c r="AU1167" s="94">
        <f>((Table3.110[[#This Row],[CH4 24h, ml]]/28.9)*16.04)/Table3.110[[#This Row],[DM Incubated, mg]]*1000</f>
        <v>11.133073963326373</v>
      </c>
      <c r="AV1167" s="94">
        <f>((Table3.110[[#This Row],[CH4 24h, ml]]/28.9)*16.04)/Table3.110[[#This Row],[Digested feed, mg]]*1000</f>
        <v>24.870886762008301</v>
      </c>
      <c r="AW1167" s="94"/>
      <c r="AX1167" s="94"/>
    </row>
    <row r="1168" spans="2:50" x14ac:dyDescent="0.35">
      <c r="B1168" s="90">
        <f t="shared" si="18"/>
        <v>1158</v>
      </c>
      <c r="C1168" s="140">
        <v>46085</v>
      </c>
      <c r="D1168" s="6" t="s">
        <v>16</v>
      </c>
      <c r="E1168" s="6" t="s">
        <v>393</v>
      </c>
      <c r="F1168" s="242" t="s">
        <v>226</v>
      </c>
      <c r="G1168" s="242" t="s">
        <v>227</v>
      </c>
      <c r="H1168" s="6" t="s">
        <v>228</v>
      </c>
      <c r="I1168" s="133" t="s">
        <v>22</v>
      </c>
      <c r="J1168" s="135" t="s">
        <v>23</v>
      </c>
      <c r="K1168" s="135" t="s">
        <v>215</v>
      </c>
      <c r="L1168" s="6" t="s">
        <v>392</v>
      </c>
      <c r="M1168" s="256">
        <v>30</v>
      </c>
      <c r="N1168" s="256">
        <v>71</v>
      </c>
      <c r="O1168" s="256">
        <v>3</v>
      </c>
      <c r="P1168" s="257">
        <v>2</v>
      </c>
      <c r="Q1168" s="6">
        <v>82</v>
      </c>
      <c r="R1168" s="98">
        <v>0.50060000000000004</v>
      </c>
      <c r="S1168" s="94">
        <f>((Table3.110[[#This Row],[Sample weight, g]]*'2.1. DM'!Q247)/100)*1000</f>
        <v>468.36779610852255</v>
      </c>
      <c r="T1168" s="94">
        <f>'3.2 Digest'!W1168</f>
        <v>137.96779610852252</v>
      </c>
      <c r="U1168" s="153">
        <v>0.33333333333333331</v>
      </c>
      <c r="V1168" s="154">
        <v>41</v>
      </c>
      <c r="W1168" s="153">
        <v>0.66597222222222219</v>
      </c>
      <c r="X1168" s="91">
        <v>81</v>
      </c>
      <c r="Y1168" s="91">
        <v>12.5</v>
      </c>
      <c r="Z1168" s="154">
        <v>40.5</v>
      </c>
      <c r="AA1168" s="153">
        <v>0.33750000000000002</v>
      </c>
      <c r="AB1168" s="154">
        <v>74.5</v>
      </c>
      <c r="AC1168" s="154">
        <v>16.5</v>
      </c>
      <c r="AD1168" s="91"/>
      <c r="AE1168" s="94">
        <f>Table3.110[[#This Row],[Gas 8h, ml]]-Table3.110[[#This Row],[Gas 0h, ml]]</f>
        <v>40</v>
      </c>
      <c r="AF1168" s="94">
        <f>Table3.110[[#This Row],[Gas 24h, ml]]-Table3.110[[#This Row],[V8 Push back, ml]]</f>
        <v>34</v>
      </c>
      <c r="AG1168" s="94">
        <f>Table3.110[[#This Row],[GP 8h, ml]]-(AVERAGE(AE$1159,AE$1160,AE$1193,AE$1194,AE$1229,AE$1230))*$AG$8</f>
        <v>36.533723538635904</v>
      </c>
      <c r="AH1168" s="94">
        <f>Table3.110[[#This Row],[GP 8-24h, ml]]-(AVERAGE(AF$1159,AF$1160,AF$1193,AF$1194,AF$1229,AF$1230))*$AG$8</f>
        <v>29.685592064046812</v>
      </c>
      <c r="AI1168" s="94">
        <f>Table3.110[[#This Row],[Net gas 8-24h, ml]]+Table3.110[[#This Row],[Net gas 8h, ml]]</f>
        <v>66.219315602682713</v>
      </c>
      <c r="AJ1168" s="94">
        <f>Table3.110[[#This Row],[Net gas 8h, ml]]*Table3.110[[#This Row],[CH4 8h %]]%</f>
        <v>4.566715442329488</v>
      </c>
      <c r="AK1168" s="94">
        <f>Table3.110[[#This Row],[Net gas 8-24h, ml]]*Table3.110[[#This Row],[CH4 24h, %]]%</f>
        <v>4.8981226905677246</v>
      </c>
      <c r="AL1168" s="94">
        <f>Table3.110[[#This Row],[CH4 8-24h, ml]]+Table3.110[[#This Row],[CH4 8h, ml]]</f>
        <v>9.4648381328972135</v>
      </c>
      <c r="AM1168" s="94">
        <f>(Table3.110[[#This Row],[Net gas 24h, ml]]/Table3.110[[#This Row],[DM Incubated, mg]])*1000</f>
        <v>141.38315262678617</v>
      </c>
      <c r="AN1168" s="94">
        <f>'3.2 Digest'!X1168</f>
        <v>29.457148261439155</v>
      </c>
      <c r="AO1168" s="94">
        <f>Table3.110[[#This Row],[Digested feed, mg]]/Table3.110[[#This Row],[Net gas 24h, ml]]</f>
        <v>2.0834977657626697</v>
      </c>
      <c r="AP1168" s="94">
        <f>Table3.110[[#This Row],[CH4 8h, ml]]/Table3.110[[#This Row],[Net gas 8h, ml]]%</f>
        <v>12.5</v>
      </c>
      <c r="AQ1168" s="94">
        <f>Table3.110[[#This Row],[CH4 24h, ml]]/Table3.110[[#This Row],[Net gas 24h, ml]]%</f>
        <v>14.293168159100951</v>
      </c>
      <c r="AR1168" s="94">
        <f>Table3.110[[#This Row],[CH4 24h, ml]]/Table3.110[[#This Row],[DM Incubated, mg]]*1000</f>
        <v>20.208131753584901</v>
      </c>
      <c r="AS1168" s="94">
        <f>Table3.110[[#This Row],[CH4 24h, ml]]/Table3.110[[#This Row],[Digested feed, mg]]*1000</f>
        <v>68.601792591166529</v>
      </c>
      <c r="AT1168" s="94">
        <f>Table3.110[[#This Row],[CH4 24h, ml]]/'3.2 Digest'!AA1168</f>
        <v>-0.24395671724299062</v>
      </c>
      <c r="AU1168" s="94">
        <f>((Table3.110[[#This Row],[CH4 24h, ml]]/28.9)*16.04)/Table3.110[[#This Row],[DM Incubated, mg]]*1000</f>
        <v>11.215862744896256</v>
      </c>
      <c r="AV1168" s="94">
        <f>((Table3.110[[#This Row],[CH4 24h, ml]]/28.9)*16.04)/Table3.110[[#This Row],[Digested feed, mg]]*1000</f>
        <v>38.075181770322175</v>
      </c>
      <c r="AW1168" s="94"/>
      <c r="AX1168" s="94"/>
    </row>
    <row r="1169" spans="2:50" x14ac:dyDescent="0.35">
      <c r="B1169" s="90">
        <f t="shared" si="18"/>
        <v>1159</v>
      </c>
      <c r="C1169" s="140">
        <v>46085</v>
      </c>
      <c r="D1169" s="6" t="s">
        <v>16</v>
      </c>
      <c r="E1169" s="6" t="s">
        <v>395</v>
      </c>
      <c r="F1169" s="242" t="s">
        <v>240</v>
      </c>
      <c r="G1169" s="242" t="s">
        <v>396</v>
      </c>
      <c r="H1169" s="6" t="s">
        <v>397</v>
      </c>
      <c r="I1169" s="133" t="s">
        <v>22</v>
      </c>
      <c r="J1169" s="135" t="s">
        <v>23</v>
      </c>
      <c r="K1169" s="135" t="s">
        <v>215</v>
      </c>
      <c r="L1169" s="6" t="s">
        <v>394</v>
      </c>
      <c r="M1169" s="256">
        <v>30</v>
      </c>
      <c r="N1169" s="256">
        <v>71</v>
      </c>
      <c r="O1169" s="256">
        <v>3</v>
      </c>
      <c r="P1169" s="257">
        <v>1</v>
      </c>
      <c r="Q1169" s="129">
        <v>83</v>
      </c>
      <c r="R1169" s="98">
        <v>0.50039999999999996</v>
      </c>
      <c r="S1169" s="94">
        <f>((Table3.110[[#This Row],[Sample weight, g]]*'2.1. DM'!Q249)/100)*1000</f>
        <v>473.51285362117977</v>
      </c>
      <c r="T1169" s="94">
        <f>'3.2 Digest'!W1169</f>
        <v>122.21285362117982</v>
      </c>
      <c r="U1169" s="153">
        <v>0.33333333333333331</v>
      </c>
      <c r="V1169" s="154">
        <v>41.5</v>
      </c>
      <c r="W1169" s="153">
        <v>0.66736111111111107</v>
      </c>
      <c r="X1169" s="91">
        <v>85</v>
      </c>
      <c r="Y1169" s="91">
        <v>13</v>
      </c>
      <c r="Z1169" s="154">
        <v>40.5</v>
      </c>
      <c r="AA1169" s="153">
        <v>0.33819444444444446</v>
      </c>
      <c r="AB1169" s="154">
        <v>79.5</v>
      </c>
      <c r="AC1169" s="154">
        <v>17.100000000000001</v>
      </c>
      <c r="AD1169" s="91"/>
      <c r="AE1169" s="94"/>
      <c r="AF1169" s="94"/>
      <c r="AG1169" s="94">
        <v>40.033723538635904</v>
      </c>
      <c r="AH1169" s="94">
        <v>34.685592064046816</v>
      </c>
      <c r="AI1169" s="94">
        <v>74.719315602682713</v>
      </c>
      <c r="AJ1169" s="94">
        <v>5.2043840600226678</v>
      </c>
      <c r="AK1169" s="94">
        <v>5.9312362429520062</v>
      </c>
      <c r="AL1169" s="94">
        <v>11.135620302974674</v>
      </c>
      <c r="AM1169" s="94">
        <v>157.79786130675924</v>
      </c>
      <c r="AN1169" s="94">
        <v>25.809828114814525</v>
      </c>
      <c r="AO1169" s="94">
        <v>1.6356259775054993</v>
      </c>
      <c r="AP1169" s="94">
        <v>13.000000000000002</v>
      </c>
      <c r="AQ1169" s="94">
        <v>14.903268603513363</v>
      </c>
      <c r="AR1169" s="94">
        <v>23.51703912114581</v>
      </c>
      <c r="AS1169" s="94">
        <v>91.116604948048135</v>
      </c>
      <c r="AT1169" s="94">
        <v>-0.5081621962827727</v>
      </c>
      <c r="AU1169" s="94">
        <v>13.052363581424872</v>
      </c>
      <c r="AV1169" s="94">
        <v>50.57129215801703</v>
      </c>
      <c r="AW1169" s="94"/>
      <c r="AX1169" s="94"/>
    </row>
    <row r="1170" spans="2:50" x14ac:dyDescent="0.35">
      <c r="B1170" s="90">
        <f t="shared" si="18"/>
        <v>1160</v>
      </c>
      <c r="C1170" s="140">
        <v>46085</v>
      </c>
      <c r="D1170" s="6" t="s">
        <v>16</v>
      </c>
      <c r="E1170" s="6" t="s">
        <v>395</v>
      </c>
      <c r="F1170" s="242" t="s">
        <v>240</v>
      </c>
      <c r="G1170" s="242" t="s">
        <v>396</v>
      </c>
      <c r="H1170" s="6" t="s">
        <v>397</v>
      </c>
      <c r="I1170" s="133" t="s">
        <v>22</v>
      </c>
      <c r="J1170" s="135" t="s">
        <v>23</v>
      </c>
      <c r="K1170" s="135" t="s">
        <v>215</v>
      </c>
      <c r="L1170" s="6" t="s">
        <v>394</v>
      </c>
      <c r="M1170" s="256">
        <v>30</v>
      </c>
      <c r="N1170" s="256">
        <v>71</v>
      </c>
      <c r="O1170" s="256">
        <v>3</v>
      </c>
      <c r="P1170" s="257">
        <v>2</v>
      </c>
      <c r="Q1170" s="6">
        <v>84</v>
      </c>
      <c r="R1170" s="98">
        <v>0.50009999999999999</v>
      </c>
      <c r="S1170" s="94">
        <f>((Table3.110[[#This Row],[Sample weight, g]]*'2.1. DM'!Q249)/100)*1000</f>
        <v>473.22897301349332</v>
      </c>
      <c r="T1170" s="94">
        <f>'3.2 Digest'!W1170</f>
        <v>99.828973013493226</v>
      </c>
      <c r="U1170" s="117">
        <v>0.33402777777777776</v>
      </c>
      <c r="V1170" s="155">
        <v>42</v>
      </c>
      <c r="W1170" s="117">
        <v>0.66736111111111107</v>
      </c>
      <c r="X1170" s="96">
        <v>83.5</v>
      </c>
      <c r="Y1170" s="96">
        <v>13.1</v>
      </c>
      <c r="Z1170" s="155">
        <v>40.5</v>
      </c>
      <c r="AA1170" s="117">
        <v>0.33819444444444446</v>
      </c>
      <c r="AB1170" s="155">
        <v>80.5</v>
      </c>
      <c r="AC1170" s="155">
        <v>17</v>
      </c>
      <c r="AD1170" s="96"/>
      <c r="AE1170" s="94"/>
      <c r="AF1170" s="94"/>
      <c r="AG1170" s="94"/>
      <c r="AH1170" s="94"/>
      <c r="AI1170" s="94"/>
      <c r="AJ1170" s="94"/>
      <c r="AK1170" s="94"/>
      <c r="AL1170" s="94"/>
      <c r="AM1170" s="94"/>
      <c r="AN1170" s="94"/>
      <c r="AO1170" s="94"/>
      <c r="AP1170" s="94"/>
      <c r="AQ1170" s="94"/>
      <c r="AR1170" s="94"/>
      <c r="AS1170" s="94"/>
      <c r="AT1170" s="94"/>
      <c r="AU1170" s="94"/>
      <c r="AV1170" s="94"/>
      <c r="AW1170" s="94"/>
      <c r="AX1170" s="94"/>
    </row>
    <row r="1171" spans="2:50" x14ac:dyDescent="0.35">
      <c r="B1171" s="90">
        <f t="shared" si="18"/>
        <v>1161</v>
      </c>
      <c r="C1171" s="140">
        <v>46085</v>
      </c>
      <c r="D1171" s="6" t="s">
        <v>16</v>
      </c>
      <c r="E1171" s="6" t="s">
        <v>399</v>
      </c>
      <c r="F1171" s="242" t="s">
        <v>240</v>
      </c>
      <c r="G1171" s="242" t="s">
        <v>400</v>
      </c>
      <c r="H1171" s="6" t="s">
        <v>401</v>
      </c>
      <c r="I1171" s="133" t="s">
        <v>22</v>
      </c>
      <c r="J1171" s="135" t="s">
        <v>23</v>
      </c>
      <c r="K1171" s="135" t="s">
        <v>215</v>
      </c>
      <c r="L1171" s="6" t="s">
        <v>398</v>
      </c>
      <c r="M1171" s="256">
        <v>30</v>
      </c>
      <c r="N1171" s="256">
        <v>71</v>
      </c>
      <c r="O1171" s="256">
        <v>3</v>
      </c>
      <c r="P1171" s="257">
        <v>1</v>
      </c>
      <c r="Q1171" s="129">
        <v>85</v>
      </c>
      <c r="R1171" s="98">
        <v>0.50029999999999997</v>
      </c>
      <c r="S1171" s="94">
        <f>((Table3.110[[#This Row],[Sample weight, g]]*'2.1. DM'!Q251)/100)*1000</f>
        <v>477.57158397910206</v>
      </c>
      <c r="T1171" s="94">
        <f>'3.2 Digest'!W1171</f>
        <v>74.37158397910207</v>
      </c>
      <c r="U1171" s="117">
        <v>0.33402777777777776</v>
      </c>
      <c r="V1171" s="155">
        <v>40.5</v>
      </c>
      <c r="W1171" s="117">
        <v>0.66805555555555551</v>
      </c>
      <c r="X1171" s="96">
        <v>68</v>
      </c>
      <c r="Y1171" s="96">
        <v>13.1</v>
      </c>
      <c r="Z1171" s="155">
        <v>40</v>
      </c>
      <c r="AA1171" s="117">
        <v>0.33888888888888891</v>
      </c>
      <c r="AB1171" s="155">
        <v>54.5</v>
      </c>
      <c r="AC1171" s="155">
        <v>15.2</v>
      </c>
      <c r="AD1171" s="96"/>
      <c r="AE1171" s="94">
        <f>Table3.110[[#This Row],[Gas 8h, ml]]-Table3.110[[#This Row],[Gas 0h, ml]]</f>
        <v>27.5</v>
      </c>
      <c r="AF1171" s="94">
        <f>Table3.110[[#This Row],[Gas 24h, ml]]-Table3.110[[#This Row],[V8 Push back, ml]]</f>
        <v>14.5</v>
      </c>
      <c r="AG1171" s="94">
        <f>Table3.110[[#This Row],[GP 8h, ml]]-(AVERAGE(AE$1159,AE$1160,AE$1193,AE$1194,AE$1229,AE$1230))*$AG$8</f>
        <v>24.0337235386359</v>
      </c>
      <c r="AH1171" s="94">
        <f>Table3.110[[#This Row],[GP 8-24h, ml]]-(AVERAGE(AF$1159,AF$1160,AF$1193,AF$1194,AF$1229,AF$1230))*$AG$8</f>
        <v>10.185592064046812</v>
      </c>
      <c r="AI1171" s="94">
        <f>Table3.110[[#This Row],[Net gas 8-24h, ml]]+Table3.110[[#This Row],[Net gas 8h, ml]]</f>
        <v>34.219315602682713</v>
      </c>
      <c r="AJ1171" s="94">
        <f>Table3.110[[#This Row],[Net gas 8h, ml]]*Table3.110[[#This Row],[CH4 8h %]]%</f>
        <v>3.1484177835613032</v>
      </c>
      <c r="AK1171" s="94">
        <f>Table3.110[[#This Row],[Net gas 8-24h, ml]]*Table3.110[[#This Row],[CH4 24h, %]]%</f>
        <v>1.5482099937351155</v>
      </c>
      <c r="AL1171" s="94">
        <f>Table3.110[[#This Row],[CH4 8-24h, ml]]+Table3.110[[#This Row],[CH4 8h, ml]]</f>
        <v>4.6966277772964187</v>
      </c>
      <c r="AM1171" s="94">
        <f>(Table3.110[[#This Row],[Net gas 24h, ml]]/Table3.110[[#This Row],[DM Incubated, mg]])*1000</f>
        <v>71.652746416713313</v>
      </c>
      <c r="AN1171" s="94">
        <f>'3.2 Digest'!X1171</f>
        <v>15.572866241211806</v>
      </c>
      <c r="AO1171" s="94">
        <f>Table3.110[[#This Row],[Digested feed, mg]]/Table3.110[[#This Row],[Net gas 24h, ml]]</f>
        <v>2.1733802289509119</v>
      </c>
      <c r="AP1171" s="94">
        <f>Table3.110[[#This Row],[CH4 8h, ml]]/Table3.110[[#This Row],[Net gas 8h, ml]]%</f>
        <v>13.100000000000001</v>
      </c>
      <c r="AQ1171" s="94">
        <f>Table3.110[[#This Row],[CH4 24h, ml]]/Table3.110[[#This Row],[Net gas 24h, ml]]%</f>
        <v>13.725078057751142</v>
      </c>
      <c r="AR1171" s="94">
        <f>Table3.110[[#This Row],[CH4 24h, ml]]/Table3.110[[#This Row],[DM Incubated, mg]]*1000</f>
        <v>9.8343953762163903</v>
      </c>
      <c r="AS1171" s="94">
        <f>Table3.110[[#This Row],[CH4 24h, ml]]/Table3.110[[#This Row],[Digested feed, mg]]*1000</f>
        <v>63.150837000004472</v>
      </c>
      <c r="AT1171" s="94">
        <f>Table3.110[[#This Row],[CH4 24h, ml]]/'3.2 Digest'!AA1171</f>
        <v>-9.3896231096642427E-2</v>
      </c>
      <c r="AU1171" s="94">
        <f>((Table3.110[[#This Row],[CH4 24h, ml]]/28.9)*16.04)/Table3.110[[#This Row],[DM Incubated, mg]]*1000</f>
        <v>5.4582595790488204</v>
      </c>
      <c r="AV1171" s="94">
        <f>((Table3.110[[#This Row],[CH4 24h, ml]]/28.9)*16.04)/Table3.110[[#This Row],[Digested feed, mg]]*1000</f>
        <v>35.049807110037086</v>
      </c>
      <c r="AW1171" s="64"/>
    </row>
    <row r="1172" spans="2:50" x14ac:dyDescent="0.35">
      <c r="B1172" s="90">
        <f t="shared" si="18"/>
        <v>1162</v>
      </c>
      <c r="C1172" s="140">
        <v>46085</v>
      </c>
      <c r="D1172" s="6" t="s">
        <v>16</v>
      </c>
      <c r="E1172" s="6" t="s">
        <v>399</v>
      </c>
      <c r="F1172" s="242" t="s">
        <v>240</v>
      </c>
      <c r="G1172" s="242" t="s">
        <v>400</v>
      </c>
      <c r="H1172" s="6" t="s">
        <v>401</v>
      </c>
      <c r="I1172" s="133" t="s">
        <v>22</v>
      </c>
      <c r="J1172" s="135" t="s">
        <v>23</v>
      </c>
      <c r="K1172" s="135" t="s">
        <v>215</v>
      </c>
      <c r="L1172" s="6" t="s">
        <v>398</v>
      </c>
      <c r="M1172" s="256">
        <v>30</v>
      </c>
      <c r="N1172" s="256">
        <v>71</v>
      </c>
      <c r="O1172" s="256">
        <v>3</v>
      </c>
      <c r="P1172" s="257">
        <v>2</v>
      </c>
      <c r="Q1172" s="6">
        <v>86</v>
      </c>
      <c r="R1172" s="98">
        <v>0.50009999999999999</v>
      </c>
      <c r="S1172" s="94">
        <f>((Table3.110[[#This Row],[Sample weight, g]]*'2.1. DM'!Q251)/100)*1000</f>
        <v>477.38066989396157</v>
      </c>
      <c r="T1172" s="94">
        <f>'3.2 Digest'!W1172</f>
        <v>58.280669893961544</v>
      </c>
      <c r="U1172" s="153">
        <v>0.33402777777777776</v>
      </c>
      <c r="V1172" s="154">
        <v>40.5</v>
      </c>
      <c r="W1172" s="153">
        <v>0.66805555555555551</v>
      </c>
      <c r="X1172" s="91">
        <v>69</v>
      </c>
      <c r="Y1172" s="91">
        <v>12.7</v>
      </c>
      <c r="Z1172" s="154">
        <v>40</v>
      </c>
      <c r="AA1172" s="153">
        <v>0.33958333333333335</v>
      </c>
      <c r="AB1172" s="154">
        <v>54.5</v>
      </c>
      <c r="AC1172" s="154">
        <v>14.1</v>
      </c>
      <c r="AD1172" s="91"/>
      <c r="AE1172" s="94">
        <f>Table3.110[[#This Row],[Gas 8h, ml]]-Table3.110[[#This Row],[Gas 0h, ml]]</f>
        <v>28.5</v>
      </c>
      <c r="AF1172" s="94">
        <f>Table3.110[[#This Row],[Gas 24h, ml]]-Table3.110[[#This Row],[V8 Push back, ml]]</f>
        <v>14.5</v>
      </c>
      <c r="AG1172" s="94">
        <f>Table3.110[[#This Row],[GP 8h, ml]]-(AVERAGE(AE$1159,AE$1160,AE$1193,AE$1194,AE$1229,AE$1230))*$AG$8</f>
        <v>25.0337235386359</v>
      </c>
      <c r="AH1172" s="94">
        <f>Table3.110[[#This Row],[GP 8-24h, ml]]-(AVERAGE(AF$1159,AF$1160,AF$1193,AF$1194,AF$1229,AF$1230))*$AG$8</f>
        <v>10.185592064046812</v>
      </c>
      <c r="AI1172" s="94">
        <f>Table3.110[[#This Row],[Net gas 8-24h, ml]]+Table3.110[[#This Row],[Net gas 8h, ml]]</f>
        <v>35.219315602682713</v>
      </c>
      <c r="AJ1172" s="94">
        <f>Table3.110[[#This Row],[Net gas 8h, ml]]*Table3.110[[#This Row],[CH4 8h %]]%</f>
        <v>3.1792828894067595</v>
      </c>
      <c r="AK1172" s="94">
        <f>Table3.110[[#This Row],[Net gas 8-24h, ml]]*Table3.110[[#This Row],[CH4 24h, %]]%</f>
        <v>1.4361684810306004</v>
      </c>
      <c r="AL1172" s="94">
        <f>Table3.110[[#This Row],[CH4 8-24h, ml]]+Table3.110[[#This Row],[CH4 8h, ml]]</f>
        <v>4.6154513704373601</v>
      </c>
      <c r="AM1172" s="94">
        <f>(Table3.110[[#This Row],[Net gas 24h, ml]]/Table3.110[[#This Row],[DM Incubated, mg]])*1000</f>
        <v>73.776166116038638</v>
      </c>
      <c r="AN1172" s="94">
        <f>'3.2 Digest'!X1172</f>
        <v>12.208426852915341</v>
      </c>
      <c r="AO1172" s="94">
        <f>Table3.110[[#This Row],[Digested feed, mg]]/Table3.110[[#This Row],[Net gas 24h, ml]]</f>
        <v>1.6547928003894037</v>
      </c>
      <c r="AP1172" s="94">
        <f>Table3.110[[#This Row],[CH4 8h, ml]]/Table3.110[[#This Row],[Net gas 8h, ml]]%</f>
        <v>12.700000000000001</v>
      </c>
      <c r="AQ1172" s="94">
        <f>Table3.110[[#This Row],[CH4 24h, ml]]/Table3.110[[#This Row],[Net gas 24h, ml]]%</f>
        <v>13.104886598323887</v>
      </c>
      <c r="AR1172" s="94">
        <f>Table3.110[[#This Row],[CH4 24h, ml]]/Table3.110[[#This Row],[DM Incubated, mg]]*1000</f>
        <v>9.6682829060979145</v>
      </c>
      <c r="AS1172" s="94">
        <f>Table3.110[[#This Row],[CH4 24h, ml]]/Table3.110[[#This Row],[Digested feed, mg]]*1000</f>
        <v>79.193519546616713</v>
      </c>
      <c r="AT1172" s="94">
        <f>Table3.110[[#This Row],[CH4 24h, ml]]/'3.2 Digest'!AA1172</f>
        <v>-8.2422239358438218E-2</v>
      </c>
      <c r="AU1172" s="94">
        <f>((Table3.110[[#This Row],[CH4 24h, ml]]/28.9)*16.04)/Table3.110[[#This Row],[DM Incubated, mg]]*1000</f>
        <v>5.3660642842148976</v>
      </c>
      <c r="AV1172" s="94">
        <f>((Table3.110[[#This Row],[CH4 24h, ml]]/28.9)*16.04)/Table3.110[[#This Row],[Digested feed, mg]]*1000</f>
        <v>43.953773478468236</v>
      </c>
      <c r="AW1172" s="64"/>
    </row>
    <row r="1173" spans="2:50" x14ac:dyDescent="0.35">
      <c r="B1173" s="90">
        <f t="shared" si="18"/>
        <v>1163</v>
      </c>
      <c r="C1173" s="140">
        <v>46085</v>
      </c>
      <c r="D1173" s="6" t="s">
        <v>16</v>
      </c>
      <c r="E1173" s="6" t="s">
        <v>403</v>
      </c>
      <c r="F1173" s="242" t="s">
        <v>212</v>
      </c>
      <c r="G1173" s="242" t="s">
        <v>404</v>
      </c>
      <c r="H1173" s="6" t="s">
        <v>405</v>
      </c>
      <c r="I1173" s="133" t="s">
        <v>22</v>
      </c>
      <c r="J1173" s="135" t="s">
        <v>23</v>
      </c>
      <c r="K1173" s="135" t="s">
        <v>215</v>
      </c>
      <c r="L1173" s="6" t="s">
        <v>402</v>
      </c>
      <c r="M1173" s="256">
        <v>30</v>
      </c>
      <c r="N1173" s="256">
        <v>71</v>
      </c>
      <c r="O1173" s="256">
        <v>3</v>
      </c>
      <c r="P1173" s="257">
        <v>1</v>
      </c>
      <c r="Q1173" s="129">
        <v>87</v>
      </c>
      <c r="R1173" s="98">
        <v>0.50009999999999999</v>
      </c>
      <c r="S1173" s="94">
        <f>((Table3.110[[#This Row],[Sample weight, g]]*'2.1. DM'!Q253)/100)*1000</f>
        <v>472.35000000000019</v>
      </c>
      <c r="T1173" s="94">
        <f>'3.2 Digest'!W1173</f>
        <v>93.150000000000205</v>
      </c>
      <c r="U1173" s="156">
        <v>0.3347222222222222</v>
      </c>
      <c r="V1173" s="154">
        <v>41</v>
      </c>
      <c r="W1173" s="153">
        <v>0.66874999999999996</v>
      </c>
      <c r="X1173" s="91">
        <v>74</v>
      </c>
      <c r="Y1173" s="91">
        <v>13.5</v>
      </c>
      <c r="Z1173" s="154">
        <v>40</v>
      </c>
      <c r="AA1173" s="153">
        <v>0.33958333333333335</v>
      </c>
      <c r="AB1173" s="154">
        <v>75</v>
      </c>
      <c r="AC1173" s="154">
        <v>16.5</v>
      </c>
      <c r="AD1173" s="91"/>
      <c r="AE1173" s="94">
        <f>Table3.110[[#This Row],[Gas 8h, ml]]-Table3.110[[#This Row],[Gas 0h, ml]]</f>
        <v>33</v>
      </c>
      <c r="AF1173" s="94">
        <f>Table3.110[[#This Row],[Gas 24h, ml]]-Table3.110[[#This Row],[V8 Push back, ml]]</f>
        <v>35</v>
      </c>
      <c r="AG1173" s="94">
        <f>Table3.110[[#This Row],[GP 8h, ml]]-(AVERAGE(AE$1159,AE$1160,AE$1193,AE$1194,AE$1229,AE$1230))*$AG$8</f>
        <v>29.5337235386359</v>
      </c>
      <c r="AH1173" s="94">
        <f>Table3.110[[#This Row],[GP 8-24h, ml]]-(AVERAGE(AF$1159,AF$1160,AF$1193,AF$1194,AF$1229,AF$1230))*$AG$8</f>
        <v>30.685592064046812</v>
      </c>
      <c r="AI1173" s="94">
        <f>Table3.110[[#This Row],[Net gas 8-24h, ml]]+Table3.110[[#This Row],[Net gas 8h, ml]]</f>
        <v>60.219315602682713</v>
      </c>
      <c r="AJ1173" s="94">
        <f>Table3.110[[#This Row],[Net gas 8h, ml]]*Table3.110[[#This Row],[CH4 8h %]]%</f>
        <v>3.9870526777158468</v>
      </c>
      <c r="AK1173" s="94">
        <f>Table3.110[[#This Row],[Net gas 8-24h, ml]]*Table3.110[[#This Row],[CH4 24h, %]]%</f>
        <v>5.0631226905677238</v>
      </c>
      <c r="AL1173" s="94">
        <f>Table3.110[[#This Row],[CH4 8-24h, ml]]+Table3.110[[#This Row],[CH4 8h, ml]]</f>
        <v>9.0501753682835702</v>
      </c>
      <c r="AM1173" s="94">
        <f>(Table3.110[[#This Row],[Net gas 24h, ml]]/Table3.110[[#This Row],[DM Incubated, mg]])*1000</f>
        <v>127.48875961190365</v>
      </c>
      <c r="AN1173" s="94">
        <f>'3.2 Digest'!X1173</f>
        <v>19.720546205144526</v>
      </c>
      <c r="AO1173" s="94">
        <f>Table3.110[[#This Row],[Digested feed, mg]]/Table3.110[[#This Row],[Net gas 24h, ml]]</f>
        <v>1.5468458760738633</v>
      </c>
      <c r="AP1173" s="94">
        <f>Table3.110[[#This Row],[CH4 8h, ml]]/Table3.110[[#This Row],[Net gas 8h, ml]]%</f>
        <v>13.5</v>
      </c>
      <c r="AQ1173" s="94">
        <f>Table3.110[[#This Row],[CH4 24h, ml]]/Table3.110[[#This Row],[Net gas 24h, ml]]%</f>
        <v>15.028691837009841</v>
      </c>
      <c r="AR1173" s="94">
        <f>Table3.110[[#This Row],[CH4 24h, ml]]/Table3.110[[#This Row],[DM Incubated, mg]]*1000</f>
        <v>19.159892808899261</v>
      </c>
      <c r="AS1173" s="94">
        <f>Table3.110[[#This Row],[CH4 24h, ml]]/Table3.110[[#This Row],[Digested feed, mg]]*1000</f>
        <v>97.157008784579176</v>
      </c>
      <c r="AT1173" s="94">
        <f>Table3.110[[#This Row],[CH4 24h, ml]]/'3.2 Digest'!AA1173</f>
        <v>-0.2865426392277487</v>
      </c>
      <c r="AU1173" s="94">
        <f>((Table3.110[[#This Row],[CH4 24h, ml]]/28.9)*16.04)/Table3.110[[#This Row],[DM Incubated, mg]]*1000</f>
        <v>10.634071994973844</v>
      </c>
      <c r="AV1173" s="94">
        <f>((Table3.110[[#This Row],[CH4 24h, ml]]/28.9)*16.04)/Table3.110[[#This Row],[Digested feed, mg]]*1000</f>
        <v>53.92382079254844</v>
      </c>
      <c r="AW1173" s="64"/>
    </row>
    <row r="1174" spans="2:50" x14ac:dyDescent="0.35">
      <c r="B1174" s="90">
        <f t="shared" si="18"/>
        <v>1164</v>
      </c>
      <c r="C1174" s="140">
        <v>46085</v>
      </c>
      <c r="D1174" s="6" t="s">
        <v>16</v>
      </c>
      <c r="E1174" s="6" t="s">
        <v>403</v>
      </c>
      <c r="F1174" s="242" t="s">
        <v>212</v>
      </c>
      <c r="G1174" s="242" t="s">
        <v>404</v>
      </c>
      <c r="H1174" s="6" t="s">
        <v>405</v>
      </c>
      <c r="I1174" s="133" t="s">
        <v>22</v>
      </c>
      <c r="J1174" s="135" t="s">
        <v>23</v>
      </c>
      <c r="K1174" s="135" t="s">
        <v>215</v>
      </c>
      <c r="L1174" s="6" t="s">
        <v>402</v>
      </c>
      <c r="M1174" s="256">
        <v>30</v>
      </c>
      <c r="N1174" s="256">
        <v>71</v>
      </c>
      <c r="O1174" s="256">
        <v>3</v>
      </c>
      <c r="P1174" s="257">
        <v>2</v>
      </c>
      <c r="Q1174" s="6">
        <v>88</v>
      </c>
      <c r="R1174" s="98">
        <v>0.50029999999999997</v>
      </c>
      <c r="S1174" s="94">
        <f>((Table3.110[[#This Row],[Sample weight, g]]*'2.1. DM'!Q253)/100)*1000</f>
        <v>472.53890221955629</v>
      </c>
      <c r="T1174" s="94">
        <f>'3.2 Digest'!W1174</f>
        <v>101.83890221955625</v>
      </c>
      <c r="U1174" s="117">
        <v>0.3347222222222222</v>
      </c>
      <c r="V1174" s="155">
        <v>41.5</v>
      </c>
      <c r="W1174" s="117">
        <v>0.66874999999999996</v>
      </c>
      <c r="X1174" s="96">
        <v>74.5</v>
      </c>
      <c r="Y1174" s="96">
        <v>13.8</v>
      </c>
      <c r="Z1174" s="155">
        <v>40.5</v>
      </c>
      <c r="AA1174" s="117">
        <v>0.34027777777777779</v>
      </c>
      <c r="AB1174" s="155">
        <v>76.5</v>
      </c>
      <c r="AC1174" s="155">
        <v>16.8</v>
      </c>
      <c r="AD1174" s="96"/>
      <c r="AE1174" s="94">
        <f>Table3.110[[#This Row],[Gas 8h, ml]]-Table3.110[[#This Row],[Gas 0h, ml]]</f>
        <v>33</v>
      </c>
      <c r="AF1174" s="94">
        <f>Table3.110[[#This Row],[Gas 24h, ml]]-Table3.110[[#This Row],[V8 Push back, ml]]</f>
        <v>36</v>
      </c>
      <c r="AG1174" s="94">
        <f>Table3.110[[#This Row],[GP 8h, ml]]-(AVERAGE(AE$1159,AE$1160,AE$1193,AE$1194,AE$1229,AE$1230))*$AG$8</f>
        <v>29.5337235386359</v>
      </c>
      <c r="AH1174" s="94">
        <f>Table3.110[[#This Row],[GP 8-24h, ml]]-(AVERAGE(AF$1159,AF$1160,AF$1193,AF$1194,AF$1229,AF$1230))*$AG$8</f>
        <v>31.685592064046812</v>
      </c>
      <c r="AI1174" s="94">
        <f>Table3.110[[#This Row],[Net gas 8-24h, ml]]+Table3.110[[#This Row],[Net gas 8h, ml]]</f>
        <v>61.219315602682713</v>
      </c>
      <c r="AJ1174" s="94">
        <f>Table3.110[[#This Row],[Net gas 8h, ml]]*Table3.110[[#This Row],[CH4 8h %]]%</f>
        <v>4.075653848331755</v>
      </c>
      <c r="AK1174" s="94">
        <f>Table3.110[[#This Row],[Net gas 8-24h, ml]]*Table3.110[[#This Row],[CH4 24h, %]]%</f>
        <v>5.3231794667598651</v>
      </c>
      <c r="AL1174" s="94">
        <f>Table3.110[[#This Row],[CH4 8-24h, ml]]+Table3.110[[#This Row],[CH4 8h, ml]]</f>
        <v>9.3988333150916201</v>
      </c>
      <c r="AM1174" s="94">
        <f>(Table3.110[[#This Row],[Net gas 24h, ml]]/Table3.110[[#This Row],[DM Incubated, mg]])*1000</f>
        <v>129.55402256857639</v>
      </c>
      <c r="AN1174" s="94">
        <f>'3.2 Digest'!X1174</f>
        <v>21.55143243047505</v>
      </c>
      <c r="AO1174" s="94">
        <f>Table3.110[[#This Row],[Digested feed, mg]]/Table3.110[[#This Row],[Net gas 24h, ml]]</f>
        <v>1.6635093224579194</v>
      </c>
      <c r="AP1174" s="94">
        <f>Table3.110[[#This Row],[CH4 8h, ml]]/Table3.110[[#This Row],[Net gas 8h, ml]]%</f>
        <v>13.8</v>
      </c>
      <c r="AQ1174" s="94">
        <f>Table3.110[[#This Row],[CH4 24h, ml]]/Table3.110[[#This Row],[Net gas 24h, ml]]%</f>
        <v>15.352725234778271</v>
      </c>
      <c r="AR1174" s="94">
        <f>Table3.110[[#This Row],[CH4 24h, ml]]/Table3.110[[#This Row],[DM Incubated, mg]]*1000</f>
        <v>19.890073115556167</v>
      </c>
      <c r="AS1174" s="94">
        <f>Table3.110[[#This Row],[CH4 24h, ml]]/Table3.110[[#This Row],[Digested feed, mg]]*1000</f>
        <v>92.291188438270012</v>
      </c>
      <c r="AT1174" s="94">
        <f>Table3.110[[#This Row],[CH4 24h, ml]]/'3.2 Digest'!AA1174</f>
        <v>-0.32882502116220358</v>
      </c>
      <c r="AU1174" s="94">
        <f>((Table3.110[[#This Row],[CH4 24h, ml]]/28.9)*16.04)/Table3.110[[#This Row],[DM Incubated, mg]]*1000</f>
        <v>11.039334698045707</v>
      </c>
      <c r="AV1174" s="94">
        <f>((Table3.110[[#This Row],[CH4 24h, ml]]/28.9)*16.04)/Table3.110[[#This Row],[Digested feed, mg]]*1000</f>
        <v>51.22320631660385</v>
      </c>
      <c r="AW1174" s="64"/>
    </row>
    <row r="1175" spans="2:50" x14ac:dyDescent="0.35">
      <c r="B1175" s="90">
        <f t="shared" si="18"/>
        <v>1165</v>
      </c>
      <c r="C1175" s="140">
        <v>46085</v>
      </c>
      <c r="D1175" s="6" t="s">
        <v>16</v>
      </c>
      <c r="E1175" s="6" t="s">
        <v>407</v>
      </c>
      <c r="F1175" s="242" t="s">
        <v>226</v>
      </c>
      <c r="G1175" s="242" t="s">
        <v>231</v>
      </c>
      <c r="H1175" s="6" t="s">
        <v>232</v>
      </c>
      <c r="I1175" s="133" t="s">
        <v>22</v>
      </c>
      <c r="J1175" s="135" t="s">
        <v>23</v>
      </c>
      <c r="K1175" s="135" t="s">
        <v>215</v>
      </c>
      <c r="L1175" s="6" t="s">
        <v>406</v>
      </c>
      <c r="M1175" s="256">
        <v>30</v>
      </c>
      <c r="N1175" s="256">
        <v>71</v>
      </c>
      <c r="O1175" s="256">
        <v>3</v>
      </c>
      <c r="P1175" s="257">
        <v>1</v>
      </c>
      <c r="Q1175" s="129">
        <v>89</v>
      </c>
      <c r="R1175" s="98">
        <v>0.50019999999999998</v>
      </c>
      <c r="S1175" s="94">
        <f>((Table3.110[[#This Row],[Sample weight, g]]*'2.1. DM'!Q255)/100)*1000</f>
        <v>473.62632433783148</v>
      </c>
      <c r="T1175" s="94">
        <f>'3.2 Digest'!W1175</f>
        <v>149.32632433783147</v>
      </c>
      <c r="U1175" s="117">
        <v>0.3347222222222222</v>
      </c>
      <c r="V1175" s="155">
        <v>40</v>
      </c>
      <c r="W1175" s="117">
        <v>0.66874999999999996</v>
      </c>
      <c r="X1175" s="96">
        <v>82</v>
      </c>
      <c r="Y1175" s="96">
        <v>13.3</v>
      </c>
      <c r="Z1175" s="155">
        <v>40.5</v>
      </c>
      <c r="AA1175" s="117">
        <v>0.34027777777777779</v>
      </c>
      <c r="AB1175" s="155">
        <v>83</v>
      </c>
      <c r="AC1175" s="155">
        <v>16.5</v>
      </c>
      <c r="AD1175" s="96"/>
      <c r="AE1175" s="94">
        <f>Table3.110[[#This Row],[Gas 8h, ml]]-Table3.110[[#This Row],[Gas 0h, ml]]</f>
        <v>42</v>
      </c>
      <c r="AF1175" s="94">
        <f>Table3.110[[#This Row],[Gas 24h, ml]]-Table3.110[[#This Row],[V8 Push back, ml]]</f>
        <v>42.5</v>
      </c>
      <c r="AG1175" s="94">
        <f>Table3.110[[#This Row],[GP 8h, ml]]-(AVERAGE(AE$1159,AE$1160,AE$1193,AE$1194,AE$1229,AE$1230))*$AG$8</f>
        <v>38.533723538635904</v>
      </c>
      <c r="AH1175" s="94">
        <f>Table3.110[[#This Row],[GP 8-24h, ml]]-(AVERAGE(AF$1159,AF$1160,AF$1193,AF$1194,AF$1229,AF$1230))*$AG$8</f>
        <v>38.185592064046816</v>
      </c>
      <c r="AI1175" s="94">
        <f>Table3.110[[#This Row],[Net gas 8-24h, ml]]+Table3.110[[#This Row],[Net gas 8h, ml]]</f>
        <v>76.719315602682713</v>
      </c>
      <c r="AJ1175" s="94">
        <f>Table3.110[[#This Row],[Net gas 8h, ml]]*Table3.110[[#This Row],[CH4 8h %]]%</f>
        <v>5.1249852306385755</v>
      </c>
      <c r="AK1175" s="94">
        <f>Table3.110[[#This Row],[Net gas 8-24h, ml]]*Table3.110[[#This Row],[CH4 24h, %]]%</f>
        <v>6.3006226905677245</v>
      </c>
      <c r="AL1175" s="94">
        <f>Table3.110[[#This Row],[CH4 8-24h, ml]]+Table3.110[[#This Row],[CH4 8h, ml]]</f>
        <v>11.4256079212063</v>
      </c>
      <c r="AM1175" s="94">
        <f>(Table3.110[[#This Row],[Net gas 24h, ml]]/Table3.110[[#This Row],[DM Incubated, mg]])*1000</f>
        <v>161.98279457955093</v>
      </c>
      <c r="AN1175" s="94">
        <f>'3.2 Digest'!X1175</f>
        <v>31.528299138904902</v>
      </c>
      <c r="AO1175" s="94">
        <f>Table3.110[[#This Row],[Digested feed, mg]]/Table3.110[[#This Row],[Net gas 24h, ml]]</f>
        <v>1.9463980246013801</v>
      </c>
      <c r="AP1175" s="94">
        <f>Table3.110[[#This Row],[CH4 8h, ml]]/Table3.110[[#This Row],[Net gas 8h, ml]]%</f>
        <v>13.3</v>
      </c>
      <c r="AQ1175" s="94">
        <f>Table3.110[[#This Row],[CH4 24h, ml]]/Table3.110[[#This Row],[Net gas 24h, ml]]%</f>
        <v>14.892739633363949</v>
      </c>
      <c r="AR1175" s="94">
        <f>Table3.110[[#This Row],[CH4 24h, ml]]/Table3.110[[#This Row],[DM Incubated, mg]]*1000</f>
        <v>24.123675847579289</v>
      </c>
      <c r="AS1175" s="94">
        <f>Table3.110[[#This Row],[CH4 24h, ml]]/Table3.110[[#This Row],[Digested feed, mg]]*1000</f>
        <v>76.514358549115173</v>
      </c>
      <c r="AT1175" s="94">
        <f>Table3.110[[#This Row],[CH4 24h, ml]]/'3.2 Digest'!AA1175</f>
        <v>-0.34023212911627282</v>
      </c>
      <c r="AU1175" s="94">
        <f>((Table3.110[[#This Row],[CH4 24h, ml]]/28.9)*16.04)/Table3.110[[#This Row],[DM Incubated, mg]]*1000</f>
        <v>13.389057460040547</v>
      </c>
      <c r="AV1175" s="94">
        <f>((Table3.110[[#This Row],[CH4 24h, ml]]/28.9)*16.04)/Table3.110[[#This Row],[Digested feed, mg]]*1000</f>
        <v>42.466792772588491</v>
      </c>
      <c r="AW1175" s="64"/>
    </row>
    <row r="1176" spans="2:50" x14ac:dyDescent="0.35">
      <c r="B1176" s="90">
        <f t="shared" si="18"/>
        <v>1166</v>
      </c>
      <c r="C1176" s="140">
        <v>46085</v>
      </c>
      <c r="D1176" s="6" t="s">
        <v>16</v>
      </c>
      <c r="E1176" s="6" t="s">
        <v>407</v>
      </c>
      <c r="F1176" s="242" t="s">
        <v>226</v>
      </c>
      <c r="G1176" s="242" t="s">
        <v>231</v>
      </c>
      <c r="H1176" s="6" t="s">
        <v>232</v>
      </c>
      <c r="I1176" s="133" t="s">
        <v>22</v>
      </c>
      <c r="J1176" s="135" t="s">
        <v>23</v>
      </c>
      <c r="K1176" s="135" t="s">
        <v>215</v>
      </c>
      <c r="L1176" s="6" t="s">
        <v>406</v>
      </c>
      <c r="M1176" s="256">
        <v>30</v>
      </c>
      <c r="N1176" s="256">
        <v>71</v>
      </c>
      <c r="O1176" s="256">
        <v>3</v>
      </c>
      <c r="P1176" s="257">
        <v>2</v>
      </c>
      <c r="Q1176" s="129">
        <v>90</v>
      </c>
      <c r="R1176" s="98">
        <v>0.50019999999999998</v>
      </c>
      <c r="S1176" s="94">
        <f>((Table3.110[[#This Row],[Sample weight, g]]*'2.1. DM'!Q255)/100)*1000</f>
        <v>473.62632433783148</v>
      </c>
      <c r="T1176" s="94">
        <f>'3.2 Digest'!W1176</f>
        <v>171.92632433783149</v>
      </c>
      <c r="U1176" s="153">
        <v>0.33541666666666664</v>
      </c>
      <c r="V1176" s="154">
        <v>40</v>
      </c>
      <c r="W1176" s="153">
        <v>0.6694444444444444</v>
      </c>
      <c r="X1176" s="91">
        <v>82</v>
      </c>
      <c r="Y1176" s="91">
        <v>13.5</v>
      </c>
      <c r="Z1176" s="154">
        <v>40.5</v>
      </c>
      <c r="AA1176" s="153">
        <v>0.34097222222222223</v>
      </c>
      <c r="AB1176" s="154">
        <v>81.5</v>
      </c>
      <c r="AC1176" s="154">
        <v>16.7</v>
      </c>
      <c r="AD1176" s="91"/>
      <c r="AE1176" s="94">
        <f>Table3.110[[#This Row],[Gas 8h, ml]]-Table3.110[[#This Row],[Gas 0h, ml]]</f>
        <v>42</v>
      </c>
      <c r="AF1176" s="94">
        <f>Table3.110[[#This Row],[Gas 24h, ml]]-Table3.110[[#This Row],[V8 Push back, ml]]</f>
        <v>41</v>
      </c>
      <c r="AG1176" s="94">
        <f>Table3.110[[#This Row],[GP 8h, ml]]-(AVERAGE(AE$1159,AE$1160,AE$1193,AE$1194,AE$1229,AE$1230))*$AG$8</f>
        <v>38.533723538635904</v>
      </c>
      <c r="AH1176" s="94">
        <f>Table3.110[[#This Row],[GP 8-24h, ml]]-(AVERAGE(AF$1159,AF$1160,AF$1193,AF$1194,AF$1229,AF$1230))*$AG$8</f>
        <v>36.685592064046816</v>
      </c>
      <c r="AI1176" s="94">
        <f>Table3.110[[#This Row],[Net gas 8-24h, ml]]+Table3.110[[#This Row],[Net gas 8h, ml]]</f>
        <v>75.219315602682713</v>
      </c>
      <c r="AJ1176" s="94">
        <f>Table3.110[[#This Row],[Net gas 8h, ml]]*Table3.110[[#This Row],[CH4 8h %]]%</f>
        <v>5.2020526777158471</v>
      </c>
      <c r="AK1176" s="94">
        <f>Table3.110[[#This Row],[Net gas 8-24h, ml]]*Table3.110[[#This Row],[CH4 24h, %]]%</f>
        <v>6.126493874695818</v>
      </c>
      <c r="AL1176" s="94">
        <f>Table3.110[[#This Row],[CH4 8-24h, ml]]+Table3.110[[#This Row],[CH4 8h, ml]]</f>
        <v>11.328546552411666</v>
      </c>
      <c r="AM1176" s="94">
        <f>(Table3.110[[#This Row],[Net gas 24h, ml]]/Table3.110[[#This Row],[DM Incubated, mg]])*1000</f>
        <v>158.81574088569823</v>
      </c>
      <c r="AN1176" s="94">
        <f>'3.2 Digest'!X1176</f>
        <v>36.299993370976289</v>
      </c>
      <c r="AO1176" s="94">
        <f>Table3.110[[#This Row],[Digested feed, mg]]/Table3.110[[#This Row],[Net gas 24h, ml]]</f>
        <v>2.2856672247055076</v>
      </c>
      <c r="AP1176" s="94">
        <f>Table3.110[[#This Row],[CH4 8h, ml]]/Table3.110[[#This Row],[Net gas 8h, ml]]%</f>
        <v>13.5</v>
      </c>
      <c r="AQ1176" s="94">
        <f>Table3.110[[#This Row],[CH4 24h, ml]]/Table3.110[[#This Row],[Net gas 24h, ml]]%</f>
        <v>15.060688151232835</v>
      </c>
      <c r="AR1176" s="94">
        <f>Table3.110[[#This Row],[CH4 24h, ml]]/Table3.110[[#This Row],[DM Incubated, mg]]*1000</f>
        <v>23.918743469864992</v>
      </c>
      <c r="AS1176" s="94">
        <f>Table3.110[[#This Row],[CH4 24h, ml]]/Table3.110[[#This Row],[Digested feed, mg]]*1000</f>
        <v>65.891867321907711</v>
      </c>
      <c r="AT1176" s="94">
        <f>Table3.110[[#This Row],[CH4 24h, ml]]/'3.2 Digest'!AA1176</f>
        <v>-0.46672008645991131</v>
      </c>
      <c r="AU1176" s="94">
        <f>((Table3.110[[#This Row],[CH4 24h, ml]]/28.9)*16.04)/Table3.110[[#This Row],[DM Incubated, mg]]*1000</f>
        <v>13.275316444866245</v>
      </c>
      <c r="AV1176" s="94">
        <f>((Table3.110[[#This Row],[CH4 24h, ml]]/28.9)*16.04)/Table3.110[[#This Row],[Digested feed, mg]]*1000</f>
        <v>36.571126361363319</v>
      </c>
      <c r="AW1176" s="64"/>
    </row>
    <row r="1177" spans="2:50" x14ac:dyDescent="0.35">
      <c r="B1177" s="90">
        <f t="shared" si="18"/>
        <v>1167</v>
      </c>
      <c r="C1177" s="140">
        <v>46085</v>
      </c>
      <c r="D1177" s="6" t="s">
        <v>16</v>
      </c>
      <c r="E1177" s="6" t="s">
        <v>409</v>
      </c>
      <c r="F1177" s="242" t="s">
        <v>290</v>
      </c>
      <c r="G1177" s="242" t="s">
        <v>314</v>
      </c>
      <c r="H1177" s="6" t="s">
        <v>315</v>
      </c>
      <c r="I1177" s="133" t="s">
        <v>22</v>
      </c>
      <c r="J1177" s="135" t="s">
        <v>23</v>
      </c>
      <c r="K1177" s="135" t="s">
        <v>215</v>
      </c>
      <c r="L1177" s="6" t="s">
        <v>408</v>
      </c>
      <c r="M1177" s="256">
        <v>30</v>
      </c>
      <c r="N1177" s="256">
        <v>71</v>
      </c>
      <c r="O1177" s="256">
        <v>3</v>
      </c>
      <c r="P1177" s="257">
        <v>1</v>
      </c>
      <c r="Q1177" s="6">
        <v>91</v>
      </c>
      <c r="R1177" s="98">
        <v>0.50019999999999998</v>
      </c>
      <c r="S1177" s="94">
        <f>((Table3.110[[#This Row],[Sample weight, g]]*'2.1. DM'!Q257)/100)*1000</f>
        <v>470.27352544236692</v>
      </c>
      <c r="T1177" s="94">
        <f>'3.2 Digest'!W1177</f>
        <v>185.37352544236688</v>
      </c>
      <c r="U1177" s="153">
        <v>0.33541666666666664</v>
      </c>
      <c r="V1177" s="154">
        <v>41</v>
      </c>
      <c r="W1177" s="153">
        <v>0.6694444444444444</v>
      </c>
      <c r="X1177" s="91">
        <v>73.5</v>
      </c>
      <c r="Y1177" s="91">
        <v>13.2</v>
      </c>
      <c r="Z1177" s="154">
        <v>40.5</v>
      </c>
      <c r="AA1177" s="153">
        <v>0.34166666666666667</v>
      </c>
      <c r="AB1177" s="154">
        <v>87</v>
      </c>
      <c r="AC1177" s="154">
        <v>15.6</v>
      </c>
      <c r="AD1177" s="91"/>
      <c r="AE1177" s="94">
        <f>Table3.110[[#This Row],[Gas 8h, ml]]-Table3.110[[#This Row],[Gas 0h, ml]]</f>
        <v>32.5</v>
      </c>
      <c r="AF1177" s="94">
        <f>Table3.110[[#This Row],[Gas 24h, ml]]-Table3.110[[#This Row],[V8 Push back, ml]]</f>
        <v>46.5</v>
      </c>
      <c r="AG1177" s="94">
        <f>Table3.110[[#This Row],[GP 8h, ml]]-(AVERAGE(AE$1159,AE$1160,AE$1193,AE$1194,AE$1229,AE$1230))*$AG$8</f>
        <v>29.0337235386359</v>
      </c>
      <c r="AH1177" s="94">
        <f>Table3.110[[#This Row],[GP 8-24h, ml]]-(AVERAGE(AF$1159,AF$1160,AF$1193,AF$1194,AF$1229,AF$1230))*$AG$8</f>
        <v>42.185592064046816</v>
      </c>
      <c r="AI1177" s="94">
        <f>Table3.110[[#This Row],[Net gas 8-24h, ml]]+Table3.110[[#This Row],[Net gas 8h, ml]]</f>
        <v>71.219315602682713</v>
      </c>
      <c r="AJ1177" s="94">
        <f>Table3.110[[#This Row],[Net gas 8h, ml]]*Table3.110[[#This Row],[CH4 8h %]]%</f>
        <v>3.8324515070999392</v>
      </c>
      <c r="AK1177" s="94">
        <f>Table3.110[[#This Row],[Net gas 8-24h, ml]]*Table3.110[[#This Row],[CH4 24h, %]]%</f>
        <v>6.5809523619913035</v>
      </c>
      <c r="AL1177" s="94">
        <f>Table3.110[[#This Row],[CH4 8-24h, ml]]+Table3.110[[#This Row],[CH4 8h, ml]]</f>
        <v>10.413403869091242</v>
      </c>
      <c r="AM1177" s="94">
        <f>(Table3.110[[#This Row],[Net gas 24h, ml]]/Table3.110[[#This Row],[DM Incubated, mg]])*1000</f>
        <v>151.44232398727874</v>
      </c>
      <c r="AN1177" s="94">
        <f>'3.2 Digest'!X1177</f>
        <v>39.418235433941057</v>
      </c>
      <c r="AO1177" s="94">
        <f>Table3.110[[#This Row],[Digested feed, mg]]/Table3.110[[#This Row],[Net gas 24h, ml]]</f>
        <v>2.6028546311302123</v>
      </c>
      <c r="AP1177" s="94">
        <f>Table3.110[[#This Row],[CH4 8h, ml]]/Table3.110[[#This Row],[Net gas 8h, ml]]%</f>
        <v>13.2</v>
      </c>
      <c r="AQ1177" s="94">
        <f>Table3.110[[#This Row],[CH4 24h, ml]]/Table3.110[[#This Row],[Net gas 24h, ml]]%</f>
        <v>14.621600588224393</v>
      </c>
      <c r="AR1177" s="94">
        <f>Table3.110[[#This Row],[CH4 24h, ml]]/Table3.110[[#This Row],[DM Incubated, mg]]*1000</f>
        <v>22.143291734944643</v>
      </c>
      <c r="AS1177" s="94">
        <f>Table3.110[[#This Row],[CH4 24h, ml]]/Table3.110[[#This Row],[Digested feed, mg]]*1000</f>
        <v>56.175248564978048</v>
      </c>
      <c r="AT1177" s="94">
        <f>Table3.110[[#This Row],[CH4 24h, ml]]/'3.2 Digest'!AA1177</f>
        <v>-0.30661604841301332</v>
      </c>
      <c r="AU1177" s="94">
        <f>((Table3.110[[#This Row],[CH4 24h, ml]]/28.9)*16.04)/Table3.110[[#This Row],[DM Incubated, mg]]*1000</f>
        <v>12.289910014827406</v>
      </c>
      <c r="AV1177" s="94">
        <f>((Table3.110[[#This Row],[CH4 24h, ml]]/28.9)*16.04)/Table3.110[[#This Row],[Digested feed, mg]]*1000</f>
        <v>31.178234843676396</v>
      </c>
      <c r="AW1177" s="64"/>
    </row>
    <row r="1178" spans="2:50" x14ac:dyDescent="0.35">
      <c r="B1178" s="90">
        <f t="shared" si="18"/>
        <v>1168</v>
      </c>
      <c r="C1178" s="140">
        <v>46085</v>
      </c>
      <c r="D1178" s="6" t="s">
        <v>16</v>
      </c>
      <c r="E1178" s="6" t="s">
        <v>409</v>
      </c>
      <c r="F1178" s="242" t="s">
        <v>290</v>
      </c>
      <c r="G1178" s="242" t="s">
        <v>314</v>
      </c>
      <c r="H1178" s="6" t="s">
        <v>315</v>
      </c>
      <c r="I1178" s="133" t="s">
        <v>22</v>
      </c>
      <c r="J1178" s="135" t="s">
        <v>23</v>
      </c>
      <c r="K1178" s="135" t="s">
        <v>215</v>
      </c>
      <c r="L1178" s="6" t="s">
        <v>408</v>
      </c>
      <c r="M1178" s="256">
        <v>30</v>
      </c>
      <c r="N1178" s="256">
        <v>71</v>
      </c>
      <c r="O1178" s="256">
        <v>3</v>
      </c>
      <c r="P1178" s="257">
        <v>2</v>
      </c>
      <c r="Q1178" s="129">
        <v>92</v>
      </c>
      <c r="R1178" s="98">
        <v>0.5</v>
      </c>
      <c r="S1178" s="94">
        <f>((Table3.110[[#This Row],[Sample weight, g]]*'2.1. DM'!Q257)/100)*1000</f>
        <v>470.08549124586858</v>
      </c>
      <c r="T1178" s="94">
        <f>'3.2 Digest'!W1178</f>
        <v>176.58549124586858</v>
      </c>
      <c r="U1178" s="117">
        <v>0.33541666666666664</v>
      </c>
      <c r="V1178" s="155">
        <v>41</v>
      </c>
      <c r="W1178" s="117">
        <v>0.67013888888888884</v>
      </c>
      <c r="X1178" s="96">
        <v>72</v>
      </c>
      <c r="Y1178" s="96">
        <v>12.8</v>
      </c>
      <c r="Z1178" s="155">
        <v>40.5</v>
      </c>
      <c r="AA1178" s="117">
        <v>0.34166666666666667</v>
      </c>
      <c r="AB1178" s="155">
        <v>87</v>
      </c>
      <c r="AC1178" s="155">
        <v>15.5</v>
      </c>
      <c r="AD1178" s="96"/>
      <c r="AE1178" s="94">
        <f>Table3.110[[#This Row],[Gas 8h, ml]]-Table3.110[[#This Row],[Gas 0h, ml]]</f>
        <v>31</v>
      </c>
      <c r="AF1178" s="94">
        <f>Table3.110[[#This Row],[Gas 24h, ml]]-Table3.110[[#This Row],[V8 Push back, ml]]</f>
        <v>46.5</v>
      </c>
      <c r="AG1178" s="94">
        <f>Table3.110[[#This Row],[GP 8h, ml]]-(AVERAGE(AE$1159,AE$1160,AE$1193,AE$1194,AE$1229,AE$1230))*$AG$8</f>
        <v>27.5337235386359</v>
      </c>
      <c r="AH1178" s="94">
        <f>Table3.110[[#This Row],[GP 8-24h, ml]]-(AVERAGE(AF$1159,AF$1160,AF$1193,AF$1194,AF$1229,AF$1230))*$AG$8</f>
        <v>42.185592064046816</v>
      </c>
      <c r="AI1178" s="94">
        <f>Table3.110[[#This Row],[Net gas 8-24h, ml]]+Table3.110[[#This Row],[Net gas 8h, ml]]</f>
        <v>69.719315602682713</v>
      </c>
      <c r="AJ1178" s="94">
        <f>Table3.110[[#This Row],[Net gas 8h, ml]]*Table3.110[[#This Row],[CH4 8h %]]%</f>
        <v>3.5243166129453956</v>
      </c>
      <c r="AK1178" s="94">
        <f>Table3.110[[#This Row],[Net gas 8-24h, ml]]*Table3.110[[#This Row],[CH4 24h, %]]%</f>
        <v>6.538766769927256</v>
      </c>
      <c r="AL1178" s="94">
        <f>Table3.110[[#This Row],[CH4 8-24h, ml]]+Table3.110[[#This Row],[CH4 8h, ml]]</f>
        <v>10.063083382872652</v>
      </c>
      <c r="AM1178" s="94">
        <f>(Table3.110[[#This Row],[Net gas 24h, ml]]/Table3.110[[#This Row],[DM Incubated, mg]])*1000</f>
        <v>148.31199196959997</v>
      </c>
      <c r="AN1178" s="94">
        <f>'3.2 Digest'!X1178</f>
        <v>37.564548265011041</v>
      </c>
      <c r="AO1178" s="94">
        <f>Table3.110[[#This Row],[Digested feed, mg]]/Table3.110[[#This Row],[Net gas 24h, ml]]</f>
        <v>2.5328058618962372</v>
      </c>
      <c r="AP1178" s="94">
        <f>Table3.110[[#This Row],[CH4 8h, ml]]/Table3.110[[#This Row],[Net gas 8h, ml]]%</f>
        <v>12.8</v>
      </c>
      <c r="AQ1178" s="94">
        <f>Table3.110[[#This Row],[CH4 24h, ml]]/Table3.110[[#This Row],[Net gas 24h, ml]]%</f>
        <v>14.433709361434749</v>
      </c>
      <c r="AR1178" s="94">
        <f>Table3.110[[#This Row],[CH4 24h, ml]]/Table3.110[[#This Row],[DM Incubated, mg]]*1000</f>
        <v>21.406921869046499</v>
      </c>
      <c r="AS1178" s="94">
        <f>Table3.110[[#This Row],[CH4 24h, ml]]/Table3.110[[#This Row],[Digested feed, mg]]*1000</f>
        <v>56.987033939619259</v>
      </c>
      <c r="AT1178" s="94">
        <f>Table3.110[[#This Row],[CH4 24h, ml]]/'3.2 Digest'!AA1178</f>
        <v>-0.26439111882749206</v>
      </c>
      <c r="AU1178" s="94">
        <f>((Table3.110[[#This Row],[CH4 24h, ml]]/28.9)*16.04)/Table3.110[[#This Row],[DM Incubated, mg]]*1000</f>
        <v>11.88121199929086</v>
      </c>
      <c r="AV1178" s="94">
        <f>((Table3.110[[#This Row],[CH4 24h, ml]]/28.9)*16.04)/Table3.110[[#This Row],[Digested feed, mg]]*1000</f>
        <v>31.628789771331935</v>
      </c>
      <c r="AW1178" s="64"/>
    </row>
    <row r="1179" spans="2:50" x14ac:dyDescent="0.35">
      <c r="B1179" s="90">
        <f t="shared" si="18"/>
        <v>1169</v>
      </c>
      <c r="C1179" s="140">
        <v>46085</v>
      </c>
      <c r="D1179" s="6" t="s">
        <v>16</v>
      </c>
      <c r="E1179" s="6" t="s">
        <v>411</v>
      </c>
      <c r="F1179" s="242" t="s">
        <v>264</v>
      </c>
      <c r="G1179" s="242" t="s">
        <v>412</v>
      </c>
      <c r="H1179" s="6" t="s">
        <v>413</v>
      </c>
      <c r="I1179" s="133" t="s">
        <v>22</v>
      </c>
      <c r="J1179" s="135" t="s">
        <v>23</v>
      </c>
      <c r="K1179" s="135" t="s">
        <v>215</v>
      </c>
      <c r="L1179" s="6" t="s">
        <v>410</v>
      </c>
      <c r="M1179" s="256">
        <v>30</v>
      </c>
      <c r="N1179" s="256">
        <v>71</v>
      </c>
      <c r="O1179" s="256">
        <v>3</v>
      </c>
      <c r="P1179" s="257">
        <v>1</v>
      </c>
      <c r="Q1179" s="6">
        <v>93</v>
      </c>
      <c r="R1179" s="98">
        <v>0.50029999999999997</v>
      </c>
      <c r="S1179" s="94">
        <f>((Table3.110[[#This Row],[Sample weight, g]]*'2.1. DM'!Q259)/100)*1000</f>
        <v>475.66392910299044</v>
      </c>
      <c r="T1179" s="94">
        <f>'3.2 Digest'!W1179</f>
        <v>219.26392910299035</v>
      </c>
      <c r="U1179" s="117">
        <v>0.33611111111111114</v>
      </c>
      <c r="V1179" s="155">
        <v>41</v>
      </c>
      <c r="W1179" s="117">
        <v>0.67083333333333328</v>
      </c>
      <c r="X1179" s="96">
        <v>92</v>
      </c>
      <c r="Y1179" s="96">
        <v>15.4</v>
      </c>
      <c r="Z1179" s="155">
        <v>40.5</v>
      </c>
      <c r="AA1179" s="117">
        <v>0.34166666666666667</v>
      </c>
      <c r="AB1179" s="155">
        <v>84.5</v>
      </c>
      <c r="AC1179" s="155">
        <v>18.399999999999999</v>
      </c>
      <c r="AD1179" s="96"/>
      <c r="AE1179" s="94">
        <f>Table3.110[[#This Row],[Gas 8h, ml]]-Table3.110[[#This Row],[Gas 0h, ml]]</f>
        <v>51</v>
      </c>
      <c r="AF1179" s="94">
        <f>Table3.110[[#This Row],[Gas 24h, ml]]-Table3.110[[#This Row],[V8 Push back, ml]]</f>
        <v>44</v>
      </c>
      <c r="AG1179" s="94">
        <f>Table3.110[[#This Row],[GP 8h, ml]]-(AVERAGE(AE$1159,AE$1160,AE$1193,AE$1194,AE$1229,AE$1230))*$AG$8</f>
        <v>47.533723538635904</v>
      </c>
      <c r="AH1179" s="94">
        <f>Table3.110[[#This Row],[GP 8-24h, ml]]-(AVERAGE(AF$1159,AF$1160,AF$1193,AF$1194,AF$1229,AF$1230))*$AG$8</f>
        <v>39.685592064046816</v>
      </c>
      <c r="AI1179" s="94">
        <f>Table3.110[[#This Row],[Net gas 8-24h, ml]]+Table3.110[[#This Row],[Net gas 8h, ml]]</f>
        <v>87.219315602682713</v>
      </c>
      <c r="AJ1179" s="94">
        <f>Table3.110[[#This Row],[Net gas 8h, ml]]*Table3.110[[#This Row],[CH4 8h %]]%</f>
        <v>7.3201934249499292</v>
      </c>
      <c r="AK1179" s="94">
        <f>Table3.110[[#This Row],[Net gas 8-24h, ml]]*Table3.110[[#This Row],[CH4 24h, %]]%</f>
        <v>7.3021489397846135</v>
      </c>
      <c r="AL1179" s="94">
        <f>Table3.110[[#This Row],[CH4 8-24h, ml]]+Table3.110[[#This Row],[CH4 8h, ml]]</f>
        <v>14.622342364734543</v>
      </c>
      <c r="AM1179" s="94">
        <f>(Table3.110[[#This Row],[Net gas 24h, ml]]/Table3.110[[#This Row],[DM Incubated, mg]])*1000</f>
        <v>183.36331654822212</v>
      </c>
      <c r="AN1179" s="94">
        <f>'3.2 Digest'!X1179</f>
        <v>46.096396150214588</v>
      </c>
      <c r="AO1179" s="94">
        <f>Table3.110[[#This Row],[Digested feed, mg]]/Table3.110[[#This Row],[Net gas 24h, ml]]</f>
        <v>2.5139377394546556</v>
      </c>
      <c r="AP1179" s="94">
        <f>Table3.110[[#This Row],[CH4 8h, ml]]/Table3.110[[#This Row],[Net gas 8h, ml]]%</f>
        <v>15.4</v>
      </c>
      <c r="AQ1179" s="94">
        <f>Table3.110[[#This Row],[CH4 24h, ml]]/Table3.110[[#This Row],[Net gas 24h, ml]]%</f>
        <v>16.765027636016885</v>
      </c>
      <c r="AR1179" s="94">
        <f>Table3.110[[#This Row],[CH4 24h, ml]]/Table3.110[[#This Row],[DM Incubated, mg]]*1000</f>
        <v>30.740910693626557</v>
      </c>
      <c r="AS1179" s="94">
        <f>Table3.110[[#This Row],[CH4 24h, ml]]/Table3.110[[#This Row],[Digested feed, mg]]*1000</f>
        <v>66.688316790429724</v>
      </c>
      <c r="AT1179" s="94">
        <f>Table3.110[[#This Row],[CH4 24h, ml]]/'3.2 Digest'!AA1179</f>
        <v>-3.7611545114270566</v>
      </c>
      <c r="AU1179" s="94">
        <f>((Table3.110[[#This Row],[CH4 24h, ml]]/28.9)*16.04)/Table3.110[[#This Row],[DM Incubated, mg]]*1000</f>
        <v>17.06173728462872</v>
      </c>
      <c r="AV1179" s="94">
        <f>((Table3.110[[#This Row],[CH4 24h, ml]]/28.9)*16.04)/Table3.110[[#This Row],[Digested feed, mg]]*1000</f>
        <v>37.013169595795596</v>
      </c>
      <c r="AW1179" s="64"/>
    </row>
    <row r="1180" spans="2:50" x14ac:dyDescent="0.35">
      <c r="B1180" s="90">
        <f t="shared" si="18"/>
        <v>1170</v>
      </c>
      <c r="C1180" s="140">
        <v>46085</v>
      </c>
      <c r="D1180" s="6" t="s">
        <v>16</v>
      </c>
      <c r="E1180" s="6" t="s">
        <v>411</v>
      </c>
      <c r="F1180" s="242" t="s">
        <v>264</v>
      </c>
      <c r="G1180" s="242" t="s">
        <v>412</v>
      </c>
      <c r="H1180" s="6" t="s">
        <v>413</v>
      </c>
      <c r="I1180" s="133" t="s">
        <v>22</v>
      </c>
      <c r="J1180" s="135" t="s">
        <v>23</v>
      </c>
      <c r="K1180" s="135" t="s">
        <v>215</v>
      </c>
      <c r="L1180" s="6" t="s">
        <v>410</v>
      </c>
      <c r="M1180" s="256">
        <v>30</v>
      </c>
      <c r="N1180" s="256">
        <v>71</v>
      </c>
      <c r="O1180" s="256">
        <v>3</v>
      </c>
      <c r="P1180" s="257">
        <v>2</v>
      </c>
      <c r="Q1180" s="129">
        <v>94</v>
      </c>
      <c r="R1180" s="98">
        <v>0.50019999999999998</v>
      </c>
      <c r="S1180" s="94">
        <f>((Table3.110[[#This Row],[Sample weight, g]]*'2.1. DM'!Q259)/100)*1000</f>
        <v>475.56885336261399</v>
      </c>
      <c r="T1180" s="94">
        <f>'3.2 Digest'!W1180</f>
        <v>172.76885336261404</v>
      </c>
      <c r="U1180" s="153">
        <v>0.33611111111111114</v>
      </c>
      <c r="V1180" s="154">
        <v>41</v>
      </c>
      <c r="W1180" s="153">
        <v>0.67083333333333328</v>
      </c>
      <c r="X1180" s="91">
        <v>94</v>
      </c>
      <c r="Y1180" s="91">
        <v>15.4</v>
      </c>
      <c r="Z1180" s="154">
        <v>40</v>
      </c>
      <c r="AA1180" s="153">
        <v>0.34305555555555556</v>
      </c>
      <c r="AB1180" s="154">
        <v>86</v>
      </c>
      <c r="AC1180" s="154">
        <v>18.399999999999999</v>
      </c>
      <c r="AD1180" s="91"/>
      <c r="AE1180" s="94">
        <f>Table3.110[[#This Row],[Gas 8h, ml]]-Table3.110[[#This Row],[Gas 0h, ml]]</f>
        <v>53</v>
      </c>
      <c r="AF1180" s="94">
        <f>Table3.110[[#This Row],[Gas 24h, ml]]-Table3.110[[#This Row],[V8 Push back, ml]]</f>
        <v>46</v>
      </c>
      <c r="AG1180" s="94">
        <f>Table3.110[[#This Row],[GP 8h, ml]]-(AVERAGE(AE$1159,AE$1160,AE$1193,AE$1194,AE$1229,AE$1230))*$AG$8</f>
        <v>49.533723538635904</v>
      </c>
      <c r="AH1180" s="94">
        <f>Table3.110[[#This Row],[GP 8-24h, ml]]-(AVERAGE(AF$1159,AF$1160,AF$1193,AF$1194,AF$1229,AF$1230))*$AG$8</f>
        <v>41.685592064046816</v>
      </c>
      <c r="AI1180" s="94">
        <f>Table3.110[[#This Row],[Net gas 8-24h, ml]]+Table3.110[[#This Row],[Net gas 8h, ml]]</f>
        <v>91.219315602682713</v>
      </c>
      <c r="AJ1180" s="94">
        <f>Table3.110[[#This Row],[Net gas 8h, ml]]*Table3.110[[#This Row],[CH4 8h %]]%</f>
        <v>7.628193424949929</v>
      </c>
      <c r="AK1180" s="94">
        <f>Table3.110[[#This Row],[Net gas 8-24h, ml]]*Table3.110[[#This Row],[CH4 24h, %]]%</f>
        <v>7.6701489397846139</v>
      </c>
      <c r="AL1180" s="94">
        <f>Table3.110[[#This Row],[CH4 8-24h, ml]]+Table3.110[[#This Row],[CH4 8h, ml]]</f>
        <v>15.298342364734543</v>
      </c>
      <c r="AM1180" s="94">
        <f>(Table3.110[[#This Row],[Net gas 24h, ml]]/Table3.110[[#This Row],[DM Incubated, mg]])*1000</f>
        <v>191.81095430808077</v>
      </c>
      <c r="AN1180" s="94">
        <f>'3.2 Digest'!X1180</f>
        <v>36.328883218699865</v>
      </c>
      <c r="AO1180" s="94">
        <f>Table3.110[[#This Row],[Digested feed, mg]]/Table3.110[[#This Row],[Net gas 24h, ml]]</f>
        <v>1.8939941855640605</v>
      </c>
      <c r="AP1180" s="94">
        <f>Table3.110[[#This Row],[CH4 8h, ml]]/Table3.110[[#This Row],[Net gas 8h, ml]]%</f>
        <v>15.4</v>
      </c>
      <c r="AQ1180" s="94">
        <f>Table3.110[[#This Row],[CH4 24h, ml]]/Table3.110[[#This Row],[Net gas 24h, ml]]%</f>
        <v>16.770946223021898</v>
      </c>
      <c r="AR1180" s="94">
        <f>Table3.110[[#This Row],[CH4 24h, ml]]/Table3.110[[#This Row],[DM Incubated, mg]]*1000</f>
        <v>32.168511996873328</v>
      </c>
      <c r="AS1180" s="94">
        <f>Table3.110[[#This Row],[CH4 24h, ml]]/Table3.110[[#This Row],[Digested feed, mg]]*1000</f>
        <v>88.548034364885112</v>
      </c>
      <c r="AT1180" s="94">
        <f>Table3.110[[#This Row],[CH4 24h, ml]]/'3.2 Digest'!AA1180</f>
        <v>-0.67356399124276467</v>
      </c>
      <c r="AU1180" s="94">
        <f>((Table3.110[[#This Row],[CH4 24h, ml]]/28.9)*16.04)/Table3.110[[#This Row],[DM Incubated, mg]]*1000</f>
        <v>17.854080706915163</v>
      </c>
      <c r="AV1180" s="94">
        <f>((Table3.110[[#This Row],[CH4 24h, ml]]/28.9)*16.04)/Table3.110[[#This Row],[Digested feed, mg]]*1000</f>
        <v>49.145691045424122</v>
      </c>
      <c r="AW1180" s="64"/>
    </row>
    <row r="1181" spans="2:50" x14ac:dyDescent="0.35">
      <c r="B1181" s="90">
        <f t="shared" si="18"/>
        <v>1171</v>
      </c>
      <c r="C1181" s="140">
        <v>46085</v>
      </c>
      <c r="D1181" s="6" t="s">
        <v>16</v>
      </c>
      <c r="E1181" s="6" t="s">
        <v>415</v>
      </c>
      <c r="F1181" s="242" t="s">
        <v>235</v>
      </c>
      <c r="G1181" s="242" t="s">
        <v>274</v>
      </c>
      <c r="H1181" s="6" t="s">
        <v>275</v>
      </c>
      <c r="I1181" s="133" t="s">
        <v>22</v>
      </c>
      <c r="J1181" s="135" t="s">
        <v>23</v>
      </c>
      <c r="K1181" s="135" t="s">
        <v>215</v>
      </c>
      <c r="L1181" s="6" t="s">
        <v>414</v>
      </c>
      <c r="M1181" s="256">
        <v>30</v>
      </c>
      <c r="N1181" s="256">
        <v>71</v>
      </c>
      <c r="O1181" s="256">
        <v>3</v>
      </c>
      <c r="P1181" s="257">
        <v>1</v>
      </c>
      <c r="Q1181" s="6">
        <v>95</v>
      </c>
      <c r="R1181" s="98">
        <v>0.50009999999999999</v>
      </c>
      <c r="S1181" s="94">
        <f>((Table3.110[[#This Row],[Sample weight, g]]*'2.1. DM'!Q261)/100)*1000</f>
        <v>473.72367013298623</v>
      </c>
      <c r="T1181" s="94">
        <f>'3.2 Digest'!W1181</f>
        <v>172.72367013298629</v>
      </c>
      <c r="U1181" s="153">
        <v>0.33611111111111114</v>
      </c>
      <c r="V1181" s="154">
        <v>41</v>
      </c>
      <c r="W1181" s="153">
        <v>0.67152777777777772</v>
      </c>
      <c r="X1181" s="91">
        <v>88</v>
      </c>
      <c r="Y1181" s="91">
        <v>12.6</v>
      </c>
      <c r="Z1181" s="154">
        <v>40</v>
      </c>
      <c r="AA1181" s="153">
        <v>0.34305555555555556</v>
      </c>
      <c r="AB1181" s="154">
        <v>81.5</v>
      </c>
      <c r="AC1181" s="154">
        <v>17.5</v>
      </c>
      <c r="AD1181" s="91"/>
      <c r="AE1181" s="94">
        <f>Table3.110[[#This Row],[Gas 8h, ml]]-Table3.110[[#This Row],[Gas 0h, ml]]</f>
        <v>47</v>
      </c>
      <c r="AF1181" s="94">
        <f>Table3.110[[#This Row],[Gas 24h, ml]]-Table3.110[[#This Row],[V8 Push back, ml]]</f>
        <v>41.5</v>
      </c>
      <c r="AG1181" s="94">
        <f>Table3.110[[#This Row],[GP 8h, ml]]-(AVERAGE(AE$1159,AE$1160,AE$1193,AE$1194,AE$1229,AE$1230))*$AG$8</f>
        <v>43.533723538635904</v>
      </c>
      <c r="AH1181" s="94">
        <f>Table3.110[[#This Row],[GP 8-24h, ml]]-(AVERAGE(AF$1159,AF$1160,AF$1193,AF$1194,AF$1229,AF$1230))*$AG$8</f>
        <v>37.185592064046816</v>
      </c>
      <c r="AI1181" s="94">
        <f>Table3.110[[#This Row],[Net gas 8-24h, ml]]+Table3.110[[#This Row],[Net gas 8h, ml]]</f>
        <v>80.719315602682713</v>
      </c>
      <c r="AJ1181" s="94">
        <f>Table3.110[[#This Row],[Net gas 8h, ml]]*Table3.110[[#This Row],[CH4 8h %]]%</f>
        <v>5.4852491658681242</v>
      </c>
      <c r="AK1181" s="94">
        <f>Table3.110[[#This Row],[Net gas 8-24h, ml]]*Table3.110[[#This Row],[CH4 24h, %]]%</f>
        <v>6.5074786112081924</v>
      </c>
      <c r="AL1181" s="94">
        <f>Table3.110[[#This Row],[CH4 8-24h, ml]]+Table3.110[[#This Row],[CH4 8h, ml]]</f>
        <v>11.992727777076317</v>
      </c>
      <c r="AM1181" s="94">
        <f>(Table3.110[[#This Row],[Net gas 24h, ml]]/Table3.110[[#This Row],[DM Incubated, mg]])*1000</f>
        <v>170.39324967659471</v>
      </c>
      <c r="AN1181" s="94">
        <f>'3.2 Digest'!X1181</f>
        <v>36.46084859650319</v>
      </c>
      <c r="AO1181" s="94">
        <f>Table3.110[[#This Row],[Digested feed, mg]]/Table3.110[[#This Row],[Net gas 24h, ml]]</f>
        <v>2.1398059292668954</v>
      </c>
      <c r="AP1181" s="94">
        <f>Table3.110[[#This Row],[CH4 8h, ml]]/Table3.110[[#This Row],[Net gas 8h, ml]]%</f>
        <v>12.6</v>
      </c>
      <c r="AQ1181" s="94">
        <f>Table3.110[[#This Row],[CH4 24h, ml]]/Table3.110[[#This Row],[Net gas 24h, ml]]%</f>
        <v>14.857320936796615</v>
      </c>
      <c r="AR1181" s="94">
        <f>Table3.110[[#This Row],[CH4 24h, ml]]/Table3.110[[#This Row],[DM Incubated, mg]]*1000</f>
        <v>25.315871959088835</v>
      </c>
      <c r="AS1181" s="94">
        <f>Table3.110[[#This Row],[CH4 24h, ml]]/Table3.110[[#This Row],[Digested feed, mg]]*1000</f>
        <v>69.433030040657869</v>
      </c>
      <c r="AT1181" s="94">
        <f>Table3.110[[#This Row],[CH4 24h, ml]]/'3.2 Digest'!AA1181</f>
        <v>-0.33118587856395043</v>
      </c>
      <c r="AU1181" s="94">
        <f>((Table3.110[[#This Row],[CH4 24h, ml]]/28.9)*16.04)/Table3.110[[#This Row],[DM Incubated, mg]]*1000</f>
        <v>14.050746928158651</v>
      </c>
      <c r="AV1181" s="94">
        <f>((Table3.110[[#This Row],[CH4 24h, ml]]/28.9)*16.04)/Table3.110[[#This Row],[Digested feed, mg]]*1000</f>
        <v>38.536532936060631</v>
      </c>
      <c r="AW1181" s="64"/>
    </row>
    <row r="1182" spans="2:50" x14ac:dyDescent="0.35">
      <c r="B1182" s="90">
        <f t="shared" si="18"/>
        <v>1172</v>
      </c>
      <c r="C1182" s="140">
        <v>46085</v>
      </c>
      <c r="D1182" s="6" t="s">
        <v>16</v>
      </c>
      <c r="E1182" s="6" t="s">
        <v>415</v>
      </c>
      <c r="F1182" s="242" t="s">
        <v>235</v>
      </c>
      <c r="G1182" s="242" t="s">
        <v>274</v>
      </c>
      <c r="H1182" s="6" t="s">
        <v>275</v>
      </c>
      <c r="I1182" s="133" t="s">
        <v>22</v>
      </c>
      <c r="J1182" s="135" t="s">
        <v>23</v>
      </c>
      <c r="K1182" s="135" t="s">
        <v>215</v>
      </c>
      <c r="L1182" s="6" t="s">
        <v>414</v>
      </c>
      <c r="M1182" s="256">
        <v>30</v>
      </c>
      <c r="N1182" s="256">
        <v>71</v>
      </c>
      <c r="O1182" s="256">
        <v>3</v>
      </c>
      <c r="P1182" s="257">
        <v>2</v>
      </c>
      <c r="Q1182" s="129">
        <v>96</v>
      </c>
      <c r="R1182" s="98">
        <v>0.50039999999999996</v>
      </c>
      <c r="S1182" s="94">
        <f>((Table3.110[[#This Row],[Sample weight, g]]*'2.1. DM'!Q261)/100)*1000</f>
        <v>474.00784749959274</v>
      </c>
      <c r="T1182" s="94">
        <f>'3.2 Digest'!W1182</f>
        <v>186.20784749959267</v>
      </c>
      <c r="U1182" s="117">
        <v>0.33680555555555558</v>
      </c>
      <c r="V1182" s="155">
        <v>40</v>
      </c>
      <c r="W1182" s="117">
        <v>0.67222222222222228</v>
      </c>
      <c r="X1182" s="96">
        <v>86.5</v>
      </c>
      <c r="Y1182" s="96">
        <v>12.4</v>
      </c>
      <c r="Z1182" s="155">
        <v>40</v>
      </c>
      <c r="AA1182" s="117">
        <v>0.34305555555555556</v>
      </c>
      <c r="AB1182" s="155">
        <v>81</v>
      </c>
      <c r="AC1182" s="155">
        <v>17.399999999999999</v>
      </c>
      <c r="AD1182" s="96"/>
      <c r="AE1182" s="94">
        <f>Table3.110[[#This Row],[Gas 8h, ml]]-Table3.110[[#This Row],[Gas 0h, ml]]</f>
        <v>46.5</v>
      </c>
      <c r="AF1182" s="94">
        <f>Table3.110[[#This Row],[Gas 24h, ml]]-Table3.110[[#This Row],[V8 Push back, ml]]</f>
        <v>41</v>
      </c>
      <c r="AG1182" s="94">
        <f>Table3.110[[#This Row],[GP 8h, ml]]-(AVERAGE(AE$1159,AE$1160,AE$1193,AE$1194,AE$1229,AE$1230))*$AG$8</f>
        <v>43.033723538635904</v>
      </c>
      <c r="AH1182" s="94">
        <f>Table3.110[[#This Row],[GP 8-24h, ml]]-(AVERAGE(AF$1159,AF$1160,AF$1193,AF$1194,AF$1229,AF$1230))*$AG$8</f>
        <v>36.685592064046816</v>
      </c>
      <c r="AI1182" s="94">
        <f>Table3.110[[#This Row],[Net gas 8-24h, ml]]+Table3.110[[#This Row],[Net gas 8h, ml]]</f>
        <v>79.719315602682713</v>
      </c>
      <c r="AJ1182" s="94">
        <f>Table3.110[[#This Row],[Net gas 8h, ml]]*Table3.110[[#This Row],[CH4 8h %]]%</f>
        <v>5.3361817187908525</v>
      </c>
      <c r="AK1182" s="94">
        <f>Table3.110[[#This Row],[Net gas 8-24h, ml]]*Table3.110[[#This Row],[CH4 24h, %]]%</f>
        <v>6.383293019144145</v>
      </c>
      <c r="AL1182" s="94">
        <f>Table3.110[[#This Row],[CH4 8-24h, ml]]+Table3.110[[#This Row],[CH4 8h, ml]]</f>
        <v>11.719474737934998</v>
      </c>
      <c r="AM1182" s="94">
        <f>(Table3.110[[#This Row],[Net gas 24h, ml]]/Table3.110[[#This Row],[DM Incubated, mg]])*1000</f>
        <v>168.1814257363138</v>
      </c>
      <c r="AN1182" s="94">
        <f>'3.2 Digest'!X1182</f>
        <v>39.283705635222141</v>
      </c>
      <c r="AO1182" s="94">
        <f>Table3.110[[#This Row],[Digested feed, mg]]/Table3.110[[#This Row],[Net gas 24h, ml]]</f>
        <v>2.3357933531146173</v>
      </c>
      <c r="AP1182" s="94">
        <f>Table3.110[[#This Row],[CH4 8h, ml]]/Table3.110[[#This Row],[Net gas 8h, ml]]%</f>
        <v>12.4</v>
      </c>
      <c r="AQ1182" s="94">
        <f>Table3.110[[#This Row],[CH4 24h, ml]]/Table3.110[[#This Row],[Net gas 24h, ml]]%</f>
        <v>14.700922416775759</v>
      </c>
      <c r="AR1182" s="94">
        <f>Table3.110[[#This Row],[CH4 24h, ml]]/Table3.110[[#This Row],[DM Incubated, mg]]*1000</f>
        <v>24.724220916922832</v>
      </c>
      <c r="AS1182" s="94">
        <f>Table3.110[[#This Row],[CH4 24h, ml]]/Table3.110[[#This Row],[Digested feed, mg]]*1000</f>
        <v>62.937598470228991</v>
      </c>
      <c r="AT1182" s="94">
        <f>Table3.110[[#This Row],[CH4 24h, ml]]/'3.2 Digest'!AA1182</f>
        <v>-0.38857678685003116</v>
      </c>
      <c r="AU1182" s="94">
        <f>((Table3.110[[#This Row],[CH4 24h, ml]]/28.9)*16.04)/Table3.110[[#This Row],[DM Incubated, mg]]*1000</f>
        <v>13.722370363579317</v>
      </c>
      <c r="AV1182" s="94">
        <f>((Table3.110[[#This Row],[CH4 24h, ml]]/28.9)*16.04)/Table3.110[[#This Row],[Digested feed, mg]]*1000</f>
        <v>34.931456036763777</v>
      </c>
      <c r="AW1182" s="64"/>
    </row>
    <row r="1183" spans="2:50" x14ac:dyDescent="0.35">
      <c r="B1183" s="90">
        <f t="shared" si="18"/>
        <v>1173</v>
      </c>
      <c r="C1183" s="140">
        <v>46085</v>
      </c>
      <c r="D1183" s="6" t="s">
        <v>16</v>
      </c>
      <c r="E1183" s="6" t="s">
        <v>417</v>
      </c>
      <c r="F1183" s="242" t="s">
        <v>290</v>
      </c>
      <c r="G1183" s="242" t="s">
        <v>291</v>
      </c>
      <c r="H1183" s="6" t="s">
        <v>292</v>
      </c>
      <c r="I1183" s="133" t="s">
        <v>22</v>
      </c>
      <c r="J1183" s="135" t="s">
        <v>23</v>
      </c>
      <c r="K1183" s="135" t="s">
        <v>215</v>
      </c>
      <c r="L1183" s="6" t="s">
        <v>416</v>
      </c>
      <c r="M1183" s="256">
        <v>30</v>
      </c>
      <c r="N1183" s="256">
        <v>71</v>
      </c>
      <c r="O1183" s="256">
        <v>3</v>
      </c>
      <c r="P1183" s="257">
        <v>1</v>
      </c>
      <c r="Q1183" s="6">
        <v>97</v>
      </c>
      <c r="R1183" s="98">
        <v>0.5</v>
      </c>
      <c r="S1183" s="94">
        <f>((Table3.110[[#This Row],[Sample weight, g]]*'2.1. DM'!Q263)/100)*1000</f>
        <v>467.59120439780082</v>
      </c>
      <c r="T1183" s="94">
        <f>'3.2 Digest'!W1183</f>
        <v>193.6912043978009</v>
      </c>
      <c r="U1183" s="117">
        <v>0.33680555555555558</v>
      </c>
      <c r="V1183" s="155">
        <v>40.5</v>
      </c>
      <c r="W1183" s="117">
        <v>0.67222222222222228</v>
      </c>
      <c r="X1183" s="96">
        <v>89</v>
      </c>
      <c r="Y1183" s="96">
        <v>14</v>
      </c>
      <c r="Z1183" s="155">
        <v>40.5</v>
      </c>
      <c r="AA1183" s="117">
        <v>0.34375</v>
      </c>
      <c r="AB1183" s="155">
        <v>87.5</v>
      </c>
      <c r="AC1183" s="155">
        <v>16.899999999999999</v>
      </c>
      <c r="AD1183" s="96"/>
      <c r="AE1183" s="94">
        <f>Table3.110[[#This Row],[Gas 8h, ml]]-Table3.110[[#This Row],[Gas 0h, ml]]</f>
        <v>48.5</v>
      </c>
      <c r="AF1183" s="94">
        <f>Table3.110[[#This Row],[Gas 24h, ml]]-Table3.110[[#This Row],[V8 Push back, ml]]</f>
        <v>47</v>
      </c>
      <c r="AG1183" s="94">
        <f>Table3.110[[#This Row],[GP 8h, ml]]-(AVERAGE(AE$1159,AE$1160,AE$1193,AE$1194,AE$1229,AE$1230))*$AG$8</f>
        <v>45.033723538635904</v>
      </c>
      <c r="AH1183" s="94">
        <f>Table3.110[[#This Row],[GP 8-24h, ml]]-(AVERAGE(AF$1159,AF$1160,AF$1193,AF$1194,AF$1229,AF$1230))*$AG$8</f>
        <v>42.685592064046816</v>
      </c>
      <c r="AI1183" s="94">
        <f>Table3.110[[#This Row],[Net gas 8-24h, ml]]+Table3.110[[#This Row],[Net gas 8h, ml]]</f>
        <v>87.719315602682713</v>
      </c>
      <c r="AJ1183" s="94">
        <f>Table3.110[[#This Row],[Net gas 8h, ml]]*Table3.110[[#This Row],[CH4 8h %]]%</f>
        <v>6.3047212954090268</v>
      </c>
      <c r="AK1183" s="94">
        <f>Table3.110[[#This Row],[Net gas 8-24h, ml]]*Table3.110[[#This Row],[CH4 24h, %]]%</f>
        <v>7.2138650588239113</v>
      </c>
      <c r="AL1183" s="94">
        <f>Table3.110[[#This Row],[CH4 8-24h, ml]]+Table3.110[[#This Row],[CH4 8h, ml]]</f>
        <v>13.518586354232937</v>
      </c>
      <c r="AM1183" s="94">
        <f>(Table3.110[[#This Row],[Net gas 24h, ml]]/Table3.110[[#This Row],[DM Incubated, mg]])*1000</f>
        <v>187.59830120340749</v>
      </c>
      <c r="AN1183" s="94">
        <f>'3.2 Digest'!X1183</f>
        <v>41.423192433067904</v>
      </c>
      <c r="AO1183" s="94">
        <f>Table3.110[[#This Row],[Digested feed, mg]]/Table3.110[[#This Row],[Net gas 24h, ml]]</f>
        <v>2.2080792932209934</v>
      </c>
      <c r="AP1183" s="94">
        <f>Table3.110[[#This Row],[CH4 8h, ml]]/Table3.110[[#This Row],[Net gas 8h, ml]]%</f>
        <v>14</v>
      </c>
      <c r="AQ1183" s="94">
        <f>Table3.110[[#This Row],[CH4 24h, ml]]/Table3.110[[#This Row],[Net gas 24h, ml]]%</f>
        <v>15.411185394405312</v>
      </c>
      <c r="AR1183" s="94">
        <f>Table3.110[[#This Row],[CH4 24h, ml]]/Table3.110[[#This Row],[DM Incubated, mg]]*1000</f>
        <v>28.911121995212014</v>
      </c>
      <c r="AS1183" s="94">
        <f>Table3.110[[#This Row],[CH4 24h, ml]]/Table3.110[[#This Row],[Digested feed, mg]]*1000</f>
        <v>69.794528854643346</v>
      </c>
      <c r="AT1183" s="94">
        <f>Table3.110[[#This Row],[CH4 24h, ml]]/'3.2 Digest'!AA1183</f>
        <v>-0.33886695650700005</v>
      </c>
      <c r="AU1183" s="94">
        <f>((Table3.110[[#This Row],[CH4 24h, ml]]/28.9)*16.04)/Table3.110[[#This Row],[DM Incubated, mg]]*1000</f>
        <v>16.046172899764734</v>
      </c>
      <c r="AV1183" s="94">
        <f>((Table3.110[[#This Row],[CH4 24h, ml]]/28.9)*16.04)/Table3.110[[#This Row],[Digested feed, mg]]*1000</f>
        <v>38.737171032127307</v>
      </c>
      <c r="AW1183" s="64"/>
    </row>
    <row r="1184" spans="2:50" x14ac:dyDescent="0.35">
      <c r="B1184" s="90">
        <f t="shared" si="18"/>
        <v>1174</v>
      </c>
      <c r="C1184" s="140">
        <v>46085</v>
      </c>
      <c r="D1184" s="6" t="s">
        <v>16</v>
      </c>
      <c r="E1184" s="6" t="s">
        <v>417</v>
      </c>
      <c r="F1184" s="242" t="s">
        <v>290</v>
      </c>
      <c r="G1184" s="242" t="s">
        <v>291</v>
      </c>
      <c r="H1184" s="6" t="s">
        <v>292</v>
      </c>
      <c r="I1184" s="133" t="s">
        <v>22</v>
      </c>
      <c r="J1184" s="135" t="s">
        <v>23</v>
      </c>
      <c r="K1184" s="135" t="s">
        <v>215</v>
      </c>
      <c r="L1184" s="6" t="s">
        <v>416</v>
      </c>
      <c r="M1184" s="256">
        <v>30</v>
      </c>
      <c r="N1184" s="256">
        <v>71</v>
      </c>
      <c r="O1184" s="256">
        <v>3</v>
      </c>
      <c r="P1184" s="257">
        <v>2</v>
      </c>
      <c r="Q1184" s="129">
        <v>98</v>
      </c>
      <c r="R1184" s="98">
        <v>0.50039999999999996</v>
      </c>
      <c r="S1184" s="94">
        <f>((Table3.110[[#This Row],[Sample weight, g]]*'2.1. DM'!Q263)/100)*1000</f>
        <v>467.96527736131907</v>
      </c>
      <c r="T1184" s="94">
        <f>'3.2 Digest'!W1184</f>
        <v>197.66527736131906</v>
      </c>
      <c r="U1184" s="153">
        <v>0.33680555555555558</v>
      </c>
      <c r="V1184" s="154">
        <v>41</v>
      </c>
      <c r="W1184" s="153">
        <v>0.67291666666666672</v>
      </c>
      <c r="X1184" s="91">
        <v>89.5</v>
      </c>
      <c r="Y1184" s="91">
        <v>13.9</v>
      </c>
      <c r="Z1184" s="154">
        <v>40</v>
      </c>
      <c r="AA1184" s="153">
        <v>0.34444444444444444</v>
      </c>
      <c r="AB1184" s="154">
        <v>92.5</v>
      </c>
      <c r="AC1184" s="154">
        <v>16.8</v>
      </c>
      <c r="AD1184" s="91" t="s">
        <v>604</v>
      </c>
      <c r="AE1184" s="94">
        <f>Table3.110[[#This Row],[Gas 8h, ml]]-Table3.110[[#This Row],[Gas 0h, ml]]</f>
        <v>48.5</v>
      </c>
      <c r="AF1184" s="94">
        <f>Table3.110[[#This Row],[Gas 24h, ml]]-Table3.110[[#This Row],[V8 Push back, ml]]</f>
        <v>52.5</v>
      </c>
      <c r="AG1184" s="94">
        <f>Table3.110[[#This Row],[GP 8h, ml]]-(AVERAGE(AE$1159,AE$1160,AE$1193,AE$1194,AE$1229,AE$1230))*$AG$8</f>
        <v>45.033723538635904</v>
      </c>
      <c r="AH1184" s="94">
        <f>Table3.110[[#This Row],[GP 8-24h, ml]]-(AVERAGE(AF$1159,AF$1160,AF$1193,AF$1194,AF$1229,AF$1230))*$AG$8</f>
        <v>48.185592064046816</v>
      </c>
      <c r="AI1184" s="94">
        <f>Table3.110[[#This Row],[Net gas 8-24h, ml]]+Table3.110[[#This Row],[Net gas 8h, ml]]</f>
        <v>93.219315602682713</v>
      </c>
      <c r="AJ1184" s="94">
        <f>Table3.110[[#This Row],[Net gas 8h, ml]]*Table3.110[[#This Row],[CH4 8h %]]%</f>
        <v>6.2596875718703915</v>
      </c>
      <c r="AK1184" s="94">
        <f>Table3.110[[#This Row],[Net gas 8-24h, ml]]*Table3.110[[#This Row],[CH4 24h, %]]%</f>
        <v>8.0951794667598662</v>
      </c>
      <c r="AL1184" s="94">
        <f>Table3.110[[#This Row],[CH4 8-24h, ml]]+Table3.110[[#This Row],[CH4 8h, ml]]</f>
        <v>14.354867038630257</v>
      </c>
      <c r="AM1184" s="94">
        <f>(Table3.110[[#This Row],[Net gas 24h, ml]]/Table3.110[[#This Row],[DM Incubated, mg]])*1000</f>
        <v>199.20135128040164</v>
      </c>
      <c r="AN1184" s="94">
        <f>'3.2 Digest'!X1184</f>
        <v>42.2393042654531</v>
      </c>
      <c r="AO1184" s="94">
        <f>Table3.110[[#This Row],[Digested feed, mg]]/Table3.110[[#This Row],[Net gas 24h, ml]]</f>
        <v>2.1204326172464469</v>
      </c>
      <c r="AP1184" s="94">
        <f>Table3.110[[#This Row],[CH4 8h, ml]]/Table3.110[[#This Row],[Net gas 8h, ml]]%</f>
        <v>13.900000000000002</v>
      </c>
      <c r="AQ1184" s="94">
        <f>Table3.110[[#This Row],[CH4 24h, ml]]/Table3.110[[#This Row],[Net gas 24h, ml]]%</f>
        <v>15.399026420461238</v>
      </c>
      <c r="AR1184" s="94">
        <f>Table3.110[[#This Row],[CH4 24h, ml]]/Table3.110[[#This Row],[DM Incubated, mg]]*1000</f>
        <v>30.675068713584853</v>
      </c>
      <c r="AS1184" s="94">
        <f>Table3.110[[#This Row],[CH4 24h, ml]]/Table3.110[[#This Row],[Digested feed, mg]]*1000</f>
        <v>72.622097468289837</v>
      </c>
      <c r="AT1184" s="94">
        <f>Table3.110[[#This Row],[CH4 24h, ml]]/'3.2 Digest'!AA1184</f>
        <v>-0.3783127013176138</v>
      </c>
      <c r="AU1184" s="94">
        <f>((Table3.110[[#This Row],[CH4 24h, ml]]/28.9)*16.04)/Table3.110[[#This Row],[DM Incubated, mg]]*1000</f>
        <v>17.025193846570971</v>
      </c>
      <c r="AV1184" s="94">
        <f>((Table3.110[[#This Row],[CH4 24h, ml]]/28.9)*16.04)/Table3.110[[#This Row],[Digested feed, mg]]*1000</f>
        <v>40.306520532573316</v>
      </c>
      <c r="AW1184" s="64"/>
    </row>
    <row r="1185" spans="2:49" x14ac:dyDescent="0.35">
      <c r="B1185" s="90">
        <f t="shared" si="18"/>
        <v>1175</v>
      </c>
      <c r="C1185" s="140">
        <v>46085</v>
      </c>
      <c r="D1185" s="6" t="s">
        <v>16</v>
      </c>
      <c r="E1185" s="6" t="s">
        <v>419</v>
      </c>
      <c r="F1185" s="242" t="s">
        <v>264</v>
      </c>
      <c r="G1185" s="242" t="s">
        <v>329</v>
      </c>
      <c r="H1185" s="6" t="s">
        <v>330</v>
      </c>
      <c r="I1185" s="133" t="s">
        <v>22</v>
      </c>
      <c r="J1185" s="135" t="s">
        <v>23</v>
      </c>
      <c r="K1185" s="135" t="s">
        <v>215</v>
      </c>
      <c r="L1185" s="6" t="s">
        <v>418</v>
      </c>
      <c r="M1185" s="256">
        <v>30</v>
      </c>
      <c r="N1185" s="256">
        <v>71</v>
      </c>
      <c r="O1185" s="256">
        <v>3</v>
      </c>
      <c r="P1185" s="257">
        <v>1</v>
      </c>
      <c r="Q1185" s="6">
        <v>99</v>
      </c>
      <c r="R1185" s="98">
        <v>0.5</v>
      </c>
      <c r="S1185" s="94">
        <f>((Table3.110[[#This Row],[Sample weight, g]]*'2.1. DM'!Q265)/100)*1000</f>
        <v>471.6584971690188</v>
      </c>
      <c r="T1185" s="94">
        <f>'3.2 Digest'!W1185</f>
        <v>149.3584971690189</v>
      </c>
      <c r="U1185" s="153">
        <v>0.33750000000000002</v>
      </c>
      <c r="V1185" s="154">
        <v>41</v>
      </c>
      <c r="W1185" s="153">
        <v>0.67291666666666672</v>
      </c>
      <c r="X1185" s="91">
        <v>88.5</v>
      </c>
      <c r="Y1185" s="91">
        <v>14.9</v>
      </c>
      <c r="Z1185" s="154">
        <v>40.5</v>
      </c>
      <c r="AA1185" s="153">
        <v>0.34444444444444444</v>
      </c>
      <c r="AB1185" s="154">
        <v>78.5</v>
      </c>
      <c r="AC1185" s="154">
        <v>18.7</v>
      </c>
      <c r="AD1185" s="91"/>
      <c r="AE1185" s="94">
        <f>Table3.110[[#This Row],[Gas 8h, ml]]-Table3.110[[#This Row],[Gas 0h, ml]]</f>
        <v>47.5</v>
      </c>
      <c r="AF1185" s="94">
        <f>Table3.110[[#This Row],[Gas 24h, ml]]-Table3.110[[#This Row],[V8 Push back, ml]]</f>
        <v>38</v>
      </c>
      <c r="AG1185" s="94">
        <f>Table3.110[[#This Row],[GP 8h, ml]]-(AVERAGE(AE$1159,AE$1160,AE$1193,AE$1194,AE$1229,AE$1230))*$AG$8</f>
        <v>44.033723538635904</v>
      </c>
      <c r="AH1185" s="94">
        <f>Table3.110[[#This Row],[GP 8-24h, ml]]-(AVERAGE(AF$1159,AF$1160,AF$1193,AF$1194,AF$1229,AF$1230))*$AG$8</f>
        <v>33.685592064046816</v>
      </c>
      <c r="AI1185" s="94">
        <f>Table3.110[[#This Row],[Net gas 8-24h, ml]]+Table3.110[[#This Row],[Net gas 8h, ml]]</f>
        <v>77.719315602682713</v>
      </c>
      <c r="AJ1185" s="94">
        <f>Table3.110[[#This Row],[Net gas 8h, ml]]*Table3.110[[#This Row],[CH4 8h %]]%</f>
        <v>6.5610248072567492</v>
      </c>
      <c r="AK1185" s="94">
        <f>Table3.110[[#This Row],[Net gas 8-24h, ml]]*Table3.110[[#This Row],[CH4 24h, %]]%</f>
        <v>6.2992057159767549</v>
      </c>
      <c r="AL1185" s="94">
        <f>Table3.110[[#This Row],[CH4 8-24h, ml]]+Table3.110[[#This Row],[CH4 8h, ml]]</f>
        <v>12.860230523233504</v>
      </c>
      <c r="AM1185" s="94">
        <f>(Table3.110[[#This Row],[Net gas 24h, ml]]/Table3.110[[#This Row],[DM Incubated, mg]])*1000</f>
        <v>164.77878818926905</v>
      </c>
      <c r="AN1185" s="94">
        <f>'3.2 Digest'!X1185</f>
        <v>31.666660956072267</v>
      </c>
      <c r="AO1185" s="94">
        <f>Table3.110[[#This Row],[Digested feed, mg]]/Table3.110[[#This Row],[Net gas 24h, ml]]</f>
        <v>1.9217680445433998</v>
      </c>
      <c r="AP1185" s="94">
        <f>Table3.110[[#This Row],[CH4 8h, ml]]/Table3.110[[#This Row],[Net gas 8h, ml]]%</f>
        <v>14.899999999999999</v>
      </c>
      <c r="AQ1185" s="94">
        <f>Table3.110[[#This Row],[CH4 24h, ml]]/Table3.110[[#This Row],[Net gas 24h, ml]]%</f>
        <v>16.54701977688233</v>
      </c>
      <c r="AR1185" s="94">
        <f>Table3.110[[#This Row],[CH4 24h, ml]]/Table3.110[[#This Row],[DM Incubated, mg]]*1000</f>
        <v>27.265978669785401</v>
      </c>
      <c r="AS1185" s="94">
        <f>Table3.110[[#This Row],[CH4 24h, ml]]/Table3.110[[#This Row],[Digested feed, mg]]*1000</f>
        <v>86.103106063530163</v>
      </c>
      <c r="AT1185" s="94">
        <f>Table3.110[[#This Row],[CH4 24h, ml]]/'3.2 Digest'!AA1185</f>
        <v>-0.72694048598667738</v>
      </c>
      <c r="AU1185" s="94">
        <f>((Table3.110[[#This Row],[CH4 24h, ml]]/28.9)*16.04)/Table3.110[[#This Row],[DM Incubated, mg]]*1000</f>
        <v>15.133089891465668</v>
      </c>
      <c r="AV1185" s="94">
        <f>((Table3.110[[#This Row],[CH4 24h, ml]]/28.9)*16.04)/Table3.110[[#This Row],[Digested feed, mg]]*1000</f>
        <v>47.788713538374523</v>
      </c>
      <c r="AW1185" s="64"/>
    </row>
    <row r="1186" spans="2:49" x14ac:dyDescent="0.35">
      <c r="B1186" s="90">
        <f t="shared" si="18"/>
        <v>1176</v>
      </c>
      <c r="C1186" s="140">
        <v>46085</v>
      </c>
      <c r="D1186" s="6" t="s">
        <v>16</v>
      </c>
      <c r="E1186" s="6" t="s">
        <v>419</v>
      </c>
      <c r="F1186" s="242" t="s">
        <v>264</v>
      </c>
      <c r="G1186" s="242" t="s">
        <v>329</v>
      </c>
      <c r="H1186" s="6" t="s">
        <v>330</v>
      </c>
      <c r="I1186" s="133" t="s">
        <v>22</v>
      </c>
      <c r="J1186" s="135" t="s">
        <v>23</v>
      </c>
      <c r="K1186" s="135" t="s">
        <v>215</v>
      </c>
      <c r="L1186" s="6" t="s">
        <v>418</v>
      </c>
      <c r="M1186" s="256">
        <v>30</v>
      </c>
      <c r="N1186" s="256">
        <v>71</v>
      </c>
      <c r="O1186" s="256">
        <v>3</v>
      </c>
      <c r="P1186" s="257">
        <v>2</v>
      </c>
      <c r="Q1186" s="129">
        <v>100</v>
      </c>
      <c r="R1186" s="98">
        <v>0.50019999999999998</v>
      </c>
      <c r="S1186" s="94">
        <f>((Table3.110[[#This Row],[Sample weight, g]]*'2.1. DM'!Q265)/100)*1000</f>
        <v>471.84716056788642</v>
      </c>
      <c r="T1186" s="94">
        <f>'3.2 Digest'!W1186</f>
        <v>138.34716056788642</v>
      </c>
      <c r="U1186" s="117">
        <v>0.33750000000000002</v>
      </c>
      <c r="V1186" s="155">
        <v>40.5</v>
      </c>
      <c r="W1186" s="117">
        <v>0.67361111111111116</v>
      </c>
      <c r="X1186" s="96">
        <v>87</v>
      </c>
      <c r="Y1186" s="96">
        <v>15.4</v>
      </c>
      <c r="Z1186" s="155">
        <v>40.5</v>
      </c>
      <c r="AA1186" s="117">
        <v>0.34513888888888888</v>
      </c>
      <c r="AB1186" s="155">
        <v>78.5</v>
      </c>
      <c r="AC1186" s="155">
        <v>19</v>
      </c>
      <c r="AD1186" s="96"/>
      <c r="AE1186" s="94">
        <f>Table3.110[[#This Row],[Gas 8h, ml]]-Table3.110[[#This Row],[Gas 0h, ml]]</f>
        <v>46.5</v>
      </c>
      <c r="AF1186" s="94">
        <f>Table3.110[[#This Row],[Gas 24h, ml]]-Table3.110[[#This Row],[V8 Push back, ml]]</f>
        <v>38</v>
      </c>
      <c r="AG1186" s="94">
        <f>Table3.110[[#This Row],[GP 8h, ml]]-(AVERAGE(AE$1159,AE$1160,AE$1193,AE$1194,AE$1229,AE$1230))*$AG$8</f>
        <v>43.033723538635904</v>
      </c>
      <c r="AH1186" s="94">
        <f>Table3.110[[#This Row],[GP 8-24h, ml]]-(AVERAGE(AF$1159,AF$1160,AF$1193,AF$1194,AF$1229,AF$1230))*$AG$8</f>
        <v>33.685592064046816</v>
      </c>
      <c r="AI1186" s="94">
        <f>Table3.110[[#This Row],[Net gas 8-24h, ml]]+Table3.110[[#This Row],[Net gas 8h, ml]]</f>
        <v>76.719315602682713</v>
      </c>
      <c r="AJ1186" s="94">
        <f>Table3.110[[#This Row],[Net gas 8h, ml]]*Table3.110[[#This Row],[CH4 8h %]]%</f>
        <v>6.6271934249499296</v>
      </c>
      <c r="AK1186" s="94">
        <f>Table3.110[[#This Row],[Net gas 8-24h, ml]]*Table3.110[[#This Row],[CH4 24h, %]]%</f>
        <v>6.4002624921688946</v>
      </c>
      <c r="AL1186" s="94">
        <f>Table3.110[[#This Row],[CH4 8-24h, ml]]+Table3.110[[#This Row],[CH4 8h, ml]]</f>
        <v>13.027455917118825</v>
      </c>
      <c r="AM1186" s="94">
        <f>(Table3.110[[#This Row],[Net gas 24h, ml]]/Table3.110[[#This Row],[DM Incubated, mg]])*1000</f>
        <v>162.59357269491252</v>
      </c>
      <c r="AN1186" s="94">
        <f>'3.2 Digest'!X1186</f>
        <v>29.320333389604432</v>
      </c>
      <c r="AO1186" s="94">
        <f>Table3.110[[#This Row],[Digested feed, mg]]/Table3.110[[#This Row],[Net gas 24h, ml]]</f>
        <v>1.8032898166657878</v>
      </c>
      <c r="AP1186" s="94">
        <f>Table3.110[[#This Row],[CH4 8h, ml]]/Table3.110[[#This Row],[Net gas 8h, ml]]%</f>
        <v>15.4</v>
      </c>
      <c r="AQ1186" s="94">
        <f>Table3.110[[#This Row],[CH4 24h, ml]]/Table3.110[[#This Row],[Net gas 24h, ml]]%</f>
        <v>16.98067274815898</v>
      </c>
      <c r="AR1186" s="94">
        <f>Table3.110[[#This Row],[CH4 24h, ml]]/Table3.110[[#This Row],[DM Incubated, mg]]*1000</f>
        <v>27.60948248886308</v>
      </c>
      <c r="AS1186" s="94">
        <f>Table3.110[[#This Row],[CH4 24h, ml]]/Table3.110[[#This Row],[Digested feed, mg]]*1000</f>
        <v>94.16496777847712</v>
      </c>
      <c r="AT1186" s="94">
        <f>Table3.110[[#This Row],[CH4 24h, ml]]/'3.2 Digest'!AA1186</f>
        <v>-0.59945981408712468</v>
      </c>
      <c r="AU1186" s="94">
        <f>((Table3.110[[#This Row],[CH4 24h, ml]]/28.9)*16.04)/Table3.110[[#This Row],[DM Incubated, mg]]*1000</f>
        <v>15.323740454026428</v>
      </c>
      <c r="AV1186" s="94">
        <f>((Table3.110[[#This Row],[CH4 24h, ml]]/28.9)*16.04)/Table3.110[[#This Row],[Digested feed, mg]]*1000</f>
        <v>52.263186268746473</v>
      </c>
      <c r="AW1186" s="64"/>
    </row>
    <row r="1187" spans="2:49" x14ac:dyDescent="0.35">
      <c r="B1187" s="90">
        <f t="shared" si="18"/>
        <v>1177</v>
      </c>
      <c r="C1187" s="140">
        <v>46085</v>
      </c>
      <c r="D1187" s="6" t="s">
        <v>16</v>
      </c>
      <c r="E1187" s="6" t="s">
        <v>421</v>
      </c>
      <c r="F1187" s="242" t="s">
        <v>264</v>
      </c>
      <c r="G1187" s="242" t="s">
        <v>265</v>
      </c>
      <c r="H1187" s="6" t="s">
        <v>266</v>
      </c>
      <c r="I1187" s="133" t="s">
        <v>22</v>
      </c>
      <c r="J1187" s="135" t="s">
        <v>23</v>
      </c>
      <c r="K1187" s="135" t="s">
        <v>215</v>
      </c>
      <c r="L1187" s="6" t="s">
        <v>420</v>
      </c>
      <c r="M1187" s="256">
        <v>30</v>
      </c>
      <c r="N1187" s="256">
        <v>71</v>
      </c>
      <c r="O1187" s="256">
        <v>3</v>
      </c>
      <c r="P1187" s="257">
        <v>1</v>
      </c>
      <c r="Q1187" s="6">
        <v>101</v>
      </c>
      <c r="R1187" s="98">
        <v>0.50039999999999996</v>
      </c>
      <c r="S1187" s="94">
        <f>((Table3.110[[#This Row],[Sample weight, g]]*'2.1. DM'!Q267)/100)*1000</f>
        <v>480.61709316273499</v>
      </c>
      <c r="T1187" s="94">
        <f>'3.2 Digest'!W1187</f>
        <v>128.61709316273499</v>
      </c>
      <c r="U1187" s="117">
        <v>0.33750000000000002</v>
      </c>
      <c r="V1187" s="155">
        <v>41</v>
      </c>
      <c r="W1187" s="117">
        <v>0.67361111111111116</v>
      </c>
      <c r="X1187" s="96">
        <v>85</v>
      </c>
      <c r="Y1187" s="96">
        <v>14.8</v>
      </c>
      <c r="Z1187" s="155">
        <v>40.5</v>
      </c>
      <c r="AA1187" s="117">
        <v>0.34583333333333333</v>
      </c>
      <c r="AB1187" s="155">
        <v>80</v>
      </c>
      <c r="AC1187" s="155">
        <v>18.399999999999999</v>
      </c>
      <c r="AD1187" s="96"/>
      <c r="AE1187" s="94">
        <f>Table3.110[[#This Row],[Gas 8h, ml]]-Table3.110[[#This Row],[Gas 0h, ml]]</f>
        <v>44</v>
      </c>
      <c r="AF1187" s="94">
        <f>Table3.110[[#This Row],[Gas 24h, ml]]-Table3.110[[#This Row],[V8 Push back, ml]]</f>
        <v>39.5</v>
      </c>
      <c r="AG1187" s="94">
        <f>Table3.110[[#This Row],[GP 8h, ml]]-(AVERAGE(AE$1159,AE$1160,AE$1193,AE$1194,AE$1229,AE$1230))*$AG$8</f>
        <v>40.533723538635904</v>
      </c>
      <c r="AH1187" s="94">
        <f>Table3.110[[#This Row],[GP 8-24h, ml]]-(AVERAGE(AF$1159,AF$1160,AF$1193,AF$1194,AF$1229,AF$1230))*$AG$8</f>
        <v>35.185592064046816</v>
      </c>
      <c r="AI1187" s="94">
        <f>Table3.110[[#This Row],[Net gas 8-24h, ml]]+Table3.110[[#This Row],[Net gas 8h, ml]]</f>
        <v>75.719315602682713</v>
      </c>
      <c r="AJ1187" s="94">
        <f>Table3.110[[#This Row],[Net gas 8h, ml]]*Table3.110[[#This Row],[CH4 8h %]]%</f>
        <v>5.9989910837181144</v>
      </c>
      <c r="AK1187" s="94">
        <f>Table3.110[[#This Row],[Net gas 8-24h, ml]]*Table3.110[[#This Row],[CH4 24h, %]]%</f>
        <v>6.4741489397846141</v>
      </c>
      <c r="AL1187" s="94">
        <f>Table3.110[[#This Row],[CH4 8-24h, ml]]+Table3.110[[#This Row],[CH4 8h, ml]]</f>
        <v>12.473140023502729</v>
      </c>
      <c r="AM1187" s="94">
        <f>(Table3.110[[#This Row],[Net gas 24h, ml]]/Table3.110[[#This Row],[DM Incubated, mg]])*1000</f>
        <v>157.546031299899</v>
      </c>
      <c r="AN1187" s="94">
        <f>'3.2 Digest'!X1187</f>
        <v>26.760823739405744</v>
      </c>
      <c r="AO1187" s="94">
        <f>Table3.110[[#This Row],[Digested feed, mg]]/Table3.110[[#This Row],[Net gas 24h, ml]]</f>
        <v>1.698603482334937</v>
      </c>
      <c r="AP1187" s="94">
        <f>Table3.110[[#This Row],[CH4 8h, ml]]/Table3.110[[#This Row],[Net gas 8h, ml]]%</f>
        <v>14.800000000000002</v>
      </c>
      <c r="AQ1187" s="94">
        <f>Table3.110[[#This Row],[CH4 24h, ml]]/Table3.110[[#This Row],[Net gas 24h, ml]]%</f>
        <v>16.472864188250547</v>
      </c>
      <c r="AR1187" s="94">
        <f>Table3.110[[#This Row],[CH4 24h, ml]]/Table3.110[[#This Row],[DM Incubated, mg]]*1000</f>
        <v>25.952343770011058</v>
      </c>
      <c r="AS1187" s="94">
        <f>Table3.110[[#This Row],[CH4 24h, ml]]/Table3.110[[#This Row],[Digested feed, mg]]*1000</f>
        <v>96.978867402335666</v>
      </c>
      <c r="AT1187" s="94">
        <f>Table3.110[[#This Row],[CH4 24h, ml]]/'3.2 Digest'!AA1187</f>
        <v>-0.65258375190747409</v>
      </c>
      <c r="AU1187" s="94">
        <f>((Table3.110[[#This Row],[CH4 24h, ml]]/28.9)*16.04)/Table3.110[[#This Row],[DM Incubated, mg]]*1000</f>
        <v>14.403999794843507</v>
      </c>
      <c r="AV1187" s="94">
        <f>((Table3.110[[#This Row],[CH4 24h, ml]]/28.9)*16.04)/Table3.110[[#This Row],[Digested feed, mg]]*1000</f>
        <v>53.824949243372458</v>
      </c>
      <c r="AW1187" s="64"/>
    </row>
    <row r="1188" spans="2:49" x14ac:dyDescent="0.35">
      <c r="B1188" s="90">
        <f t="shared" si="18"/>
        <v>1178</v>
      </c>
      <c r="C1188" s="140">
        <v>46085</v>
      </c>
      <c r="D1188" s="6" t="s">
        <v>16</v>
      </c>
      <c r="E1188" s="6" t="s">
        <v>421</v>
      </c>
      <c r="F1188" s="242" t="s">
        <v>264</v>
      </c>
      <c r="G1188" s="242" t="s">
        <v>265</v>
      </c>
      <c r="H1188" s="6" t="s">
        <v>266</v>
      </c>
      <c r="I1188" s="133" t="s">
        <v>22</v>
      </c>
      <c r="J1188" s="135" t="s">
        <v>23</v>
      </c>
      <c r="K1188" s="135" t="s">
        <v>215</v>
      </c>
      <c r="L1188" s="6" t="s">
        <v>420</v>
      </c>
      <c r="M1188" s="256">
        <v>30</v>
      </c>
      <c r="N1188" s="256">
        <v>71</v>
      </c>
      <c r="O1188" s="256">
        <v>3</v>
      </c>
      <c r="P1188" s="257">
        <v>2</v>
      </c>
      <c r="Q1188" s="129">
        <v>102</v>
      </c>
      <c r="R1188" s="98">
        <v>0.50039999999999996</v>
      </c>
      <c r="S1188" s="94">
        <f>((Table3.110[[#This Row],[Sample weight, g]]*'2.1. DM'!Q267)/100)*1000</f>
        <v>480.61709316273499</v>
      </c>
      <c r="T1188" s="94">
        <f>'3.2 Digest'!W1188</f>
        <v>112.51709316273491</v>
      </c>
      <c r="U1188" s="153">
        <v>0.33750000000000002</v>
      </c>
      <c r="V1188" s="154">
        <v>40</v>
      </c>
      <c r="W1188" s="153">
        <v>0.6743055555555556</v>
      </c>
      <c r="X1188" s="91">
        <v>85.5</v>
      </c>
      <c r="Y1188" s="91">
        <v>14.7</v>
      </c>
      <c r="Z1188" s="154">
        <v>40</v>
      </c>
      <c r="AA1188" s="153">
        <v>0.34652777777777777</v>
      </c>
      <c r="AB1188" s="154">
        <v>78</v>
      </c>
      <c r="AC1188" s="154">
        <v>18</v>
      </c>
      <c r="AD1188" s="91"/>
      <c r="AE1188" s="94">
        <f>Table3.110[[#This Row],[Gas 8h, ml]]-Table3.110[[#This Row],[Gas 0h, ml]]</f>
        <v>45.5</v>
      </c>
      <c r="AF1188" s="94">
        <f>Table3.110[[#This Row],[Gas 24h, ml]]-Table3.110[[#This Row],[V8 Push back, ml]]</f>
        <v>38</v>
      </c>
      <c r="AG1188" s="94">
        <f>Table3.110[[#This Row],[GP 8h, ml]]-(AVERAGE(AE$1159,AE$1160,AE$1193,AE$1194,AE$1229,AE$1230))*$AG$8</f>
        <v>42.033723538635904</v>
      </c>
      <c r="AH1188" s="94">
        <f>Table3.110[[#This Row],[GP 8-24h, ml]]-(AVERAGE(AF$1159,AF$1160,AF$1193,AF$1194,AF$1229,AF$1230))*$AG$8</f>
        <v>33.685592064046816</v>
      </c>
      <c r="AI1188" s="94">
        <f>Table3.110[[#This Row],[Net gas 8-24h, ml]]+Table3.110[[#This Row],[Net gas 8h, ml]]</f>
        <v>75.719315602682713</v>
      </c>
      <c r="AJ1188" s="94">
        <f>Table3.110[[#This Row],[Net gas 8h, ml]]*Table3.110[[#This Row],[CH4 8h %]]%</f>
        <v>6.1789573601794778</v>
      </c>
      <c r="AK1188" s="94">
        <f>Table3.110[[#This Row],[Net gas 8-24h, ml]]*Table3.110[[#This Row],[CH4 24h, %]]%</f>
        <v>6.0634065715284269</v>
      </c>
      <c r="AL1188" s="94">
        <f>Table3.110[[#This Row],[CH4 8-24h, ml]]+Table3.110[[#This Row],[CH4 8h, ml]]</f>
        <v>12.242363931707905</v>
      </c>
      <c r="AM1188" s="94">
        <f>(Table3.110[[#This Row],[Net gas 24h, ml]]/Table3.110[[#This Row],[DM Incubated, mg]])*1000</f>
        <v>157.546031299899</v>
      </c>
      <c r="AN1188" s="94">
        <f>'3.2 Digest'!X1188</f>
        <v>23.410963688850135</v>
      </c>
      <c r="AO1188" s="94">
        <f>Table3.110[[#This Row],[Digested feed, mg]]/Table3.110[[#This Row],[Net gas 24h, ml]]</f>
        <v>1.4859760982671701</v>
      </c>
      <c r="AP1188" s="94">
        <f>Table3.110[[#This Row],[CH4 8h, ml]]/Table3.110[[#This Row],[Net gas 8h, ml]]%</f>
        <v>14.7</v>
      </c>
      <c r="AQ1188" s="94">
        <f>Table3.110[[#This Row],[CH4 24h, ml]]/Table3.110[[#This Row],[Net gas 24h, ml]]%</f>
        <v>16.168085823631191</v>
      </c>
      <c r="AR1188" s="94">
        <f>Table3.110[[#This Row],[CH4 24h, ml]]/Table3.110[[#This Row],[DM Incubated, mg]]*1000</f>
        <v>25.472177552292525</v>
      </c>
      <c r="AS1188" s="94">
        <f>Table3.110[[#This Row],[CH4 24h, ml]]/Table3.110[[#This Row],[Digested feed, mg]]*1000</f>
        <v>108.80448105783907</v>
      </c>
      <c r="AT1188" s="94">
        <f>Table3.110[[#This Row],[CH4 24h, ml]]/'3.2 Digest'!AA1188</f>
        <v>-0.49843597213918373</v>
      </c>
      <c r="AU1188" s="94">
        <f>((Table3.110[[#This Row],[CH4 24h, ml]]/28.9)*16.04)/Table3.110[[#This Row],[DM Incubated, mg]]*1000</f>
        <v>14.137499236635716</v>
      </c>
      <c r="AV1188" s="94">
        <f>((Table3.110[[#This Row],[CH4 24h, ml]]/28.9)*16.04)/Table3.110[[#This Row],[Digested feed, mg]]*1000</f>
        <v>60.388369417568818</v>
      </c>
      <c r="AW1188" s="64"/>
    </row>
    <row r="1189" spans="2:49" x14ac:dyDescent="0.35">
      <c r="B1189" s="90">
        <f t="shared" si="18"/>
        <v>1179</v>
      </c>
      <c r="C1189" s="140">
        <v>46085</v>
      </c>
      <c r="D1189" s="6" t="s">
        <v>16</v>
      </c>
      <c r="E1189" s="6" t="s">
        <v>423</v>
      </c>
      <c r="F1189" s="242" t="s">
        <v>212</v>
      </c>
      <c r="G1189" s="242" t="s">
        <v>424</v>
      </c>
      <c r="H1189" s="6" t="s">
        <v>425</v>
      </c>
      <c r="I1189" s="133" t="s">
        <v>22</v>
      </c>
      <c r="J1189" s="135" t="s">
        <v>23</v>
      </c>
      <c r="K1189" s="135" t="s">
        <v>215</v>
      </c>
      <c r="L1189" s="6" t="s">
        <v>422</v>
      </c>
      <c r="M1189" s="256">
        <v>30</v>
      </c>
      <c r="N1189" s="256">
        <v>71</v>
      </c>
      <c r="O1189" s="256">
        <v>3</v>
      </c>
      <c r="P1189" s="257">
        <v>1</v>
      </c>
      <c r="Q1189" s="6">
        <v>103</v>
      </c>
      <c r="R1189" s="98">
        <v>0.50029999999999997</v>
      </c>
      <c r="S1189" s="94">
        <f>((Table3.110[[#This Row],[Sample weight, g]]*'2.1. DM'!Q269)/100)*1000</f>
        <v>466.91663967056667</v>
      </c>
      <c r="T1189" s="94">
        <f>'3.2 Digest'!W1189</f>
        <v>122.51663967056675</v>
      </c>
      <c r="U1189" s="153">
        <v>0.33819444444444446</v>
      </c>
      <c r="V1189" s="154">
        <v>41</v>
      </c>
      <c r="W1189" s="153">
        <v>0.6743055555555556</v>
      </c>
      <c r="X1189" s="91">
        <v>80.5</v>
      </c>
      <c r="Y1189" s="91">
        <v>13.1</v>
      </c>
      <c r="Z1189" s="154">
        <v>40</v>
      </c>
      <c r="AA1189" s="153">
        <v>0.34652777777777777</v>
      </c>
      <c r="AB1189" s="154">
        <v>74</v>
      </c>
      <c r="AC1189" s="154">
        <v>16</v>
      </c>
      <c r="AD1189" s="91"/>
      <c r="AE1189" s="94">
        <f>Table3.110[[#This Row],[Gas 8h, ml]]-Table3.110[[#This Row],[Gas 0h, ml]]</f>
        <v>39.5</v>
      </c>
      <c r="AF1189" s="94">
        <f>Table3.110[[#This Row],[Gas 24h, ml]]-Table3.110[[#This Row],[V8 Push back, ml]]</f>
        <v>34</v>
      </c>
      <c r="AG1189" s="94">
        <f>Table3.110[[#This Row],[GP 8h, ml]]-(AVERAGE(AE$1159,AE$1160,AE$1193,AE$1194,AE$1229,AE$1230))*$AG$8</f>
        <v>36.033723538635904</v>
      </c>
      <c r="AH1189" s="94">
        <f>Table3.110[[#This Row],[GP 8-24h, ml]]-(AVERAGE(AF$1159,AF$1160,AF$1193,AF$1194,AF$1229,AF$1230))*$AG$8</f>
        <v>29.685592064046812</v>
      </c>
      <c r="AI1189" s="94">
        <f>Table3.110[[#This Row],[Net gas 8-24h, ml]]+Table3.110[[#This Row],[Net gas 8h, ml]]</f>
        <v>65.719315602682713</v>
      </c>
      <c r="AJ1189" s="94">
        <f>Table3.110[[#This Row],[Net gas 8h, ml]]*Table3.110[[#This Row],[CH4 8h %]]%</f>
        <v>4.7204177835613033</v>
      </c>
      <c r="AK1189" s="94">
        <f>Table3.110[[#This Row],[Net gas 8-24h, ml]]*Table3.110[[#This Row],[CH4 24h, %]]%</f>
        <v>4.7496947302474899</v>
      </c>
      <c r="AL1189" s="94">
        <f>Table3.110[[#This Row],[CH4 8-24h, ml]]+Table3.110[[#This Row],[CH4 8h, ml]]</f>
        <v>9.4701125138087932</v>
      </c>
      <c r="AM1189" s="94">
        <f>(Table3.110[[#This Row],[Net gas 24h, ml]]/Table3.110[[#This Row],[DM Incubated, mg]])*1000</f>
        <v>140.7517103032589</v>
      </c>
      <c r="AN1189" s="94">
        <f>'3.2 Digest'!X1189</f>
        <v>26.239510281108945</v>
      </c>
      <c r="AO1189" s="94">
        <f>Table3.110[[#This Row],[Digested feed, mg]]/Table3.110[[#This Row],[Net gas 24h, ml]]</f>
        <v>1.8642409548398511</v>
      </c>
      <c r="AP1189" s="94">
        <f>Table3.110[[#This Row],[CH4 8h, ml]]/Table3.110[[#This Row],[Net gas 8h, ml]]%</f>
        <v>13.1</v>
      </c>
      <c r="AQ1189" s="94">
        <f>Table3.110[[#This Row],[CH4 24h, ml]]/Table3.110[[#This Row],[Net gas 24h, ml]]%</f>
        <v>14.409937819593203</v>
      </c>
      <c r="AR1189" s="94">
        <f>Table3.110[[#This Row],[CH4 24h, ml]]/Table3.110[[#This Row],[DM Incubated, mg]]*1000</f>
        <v>20.282233934713563</v>
      </c>
      <c r="AS1189" s="94">
        <f>Table3.110[[#This Row],[CH4 24h, ml]]/Table3.110[[#This Row],[Digested feed, mg]]*1000</f>
        <v>77.296541427130592</v>
      </c>
      <c r="AT1189" s="94">
        <f>Table3.110[[#This Row],[CH4 24h, ml]]/'3.2 Digest'!AA1189</f>
        <v>-0.29081465204594431</v>
      </c>
      <c r="AU1189" s="94">
        <f>((Table3.110[[#This Row],[CH4 24h, ml]]/28.9)*16.04)/Table3.110[[#This Row],[DM Incubated, mg]]*1000</f>
        <v>11.256990737467319</v>
      </c>
      <c r="AV1189" s="94">
        <f>((Table3.110[[#This Row],[CH4 24h, ml]]/28.9)*16.04)/Table3.110[[#This Row],[Digested feed, mg]]*1000</f>
        <v>42.900917802462786</v>
      </c>
      <c r="AW1189" s="64"/>
    </row>
    <row r="1190" spans="2:49" x14ac:dyDescent="0.35">
      <c r="B1190" s="90">
        <f t="shared" si="18"/>
        <v>1180</v>
      </c>
      <c r="C1190" s="140">
        <v>46085</v>
      </c>
      <c r="D1190" s="6" t="s">
        <v>16</v>
      </c>
      <c r="E1190" s="6" t="s">
        <v>423</v>
      </c>
      <c r="F1190" s="242" t="s">
        <v>212</v>
      </c>
      <c r="G1190" s="242" t="s">
        <v>424</v>
      </c>
      <c r="H1190" s="6" t="s">
        <v>425</v>
      </c>
      <c r="I1190" s="133" t="s">
        <v>22</v>
      </c>
      <c r="J1190" s="135" t="s">
        <v>23</v>
      </c>
      <c r="K1190" s="135" t="s">
        <v>215</v>
      </c>
      <c r="L1190" s="6" t="s">
        <v>422</v>
      </c>
      <c r="M1190" s="256">
        <v>30</v>
      </c>
      <c r="N1190" s="256">
        <v>71</v>
      </c>
      <c r="O1190" s="256">
        <v>3</v>
      </c>
      <c r="P1190" s="257">
        <v>2</v>
      </c>
      <c r="Q1190" s="129">
        <v>104</v>
      </c>
      <c r="R1190" s="98">
        <v>0.50029999999999997</v>
      </c>
      <c r="S1190" s="94">
        <f>((Table3.110[[#This Row],[Sample weight, g]]*'2.1. DM'!Q269)/100)*1000</f>
        <v>466.91663967056667</v>
      </c>
      <c r="T1190" s="94">
        <f>'3.2 Digest'!W1190</f>
        <v>106.61663967056671</v>
      </c>
      <c r="U1190" s="117">
        <v>0.33819444444444446</v>
      </c>
      <c r="V1190" s="155">
        <v>41</v>
      </c>
      <c r="W1190" s="117">
        <v>0.67500000000000004</v>
      </c>
      <c r="X1190" s="96">
        <v>79</v>
      </c>
      <c r="Y1190" s="96">
        <v>13</v>
      </c>
      <c r="Z1190" s="155">
        <v>40</v>
      </c>
      <c r="AA1190" s="117">
        <v>0.34722222222222221</v>
      </c>
      <c r="AB1190" s="155">
        <v>75</v>
      </c>
      <c r="AC1190" s="155">
        <v>15.8</v>
      </c>
      <c r="AD1190" s="96"/>
      <c r="AE1190" s="94">
        <f>Table3.110[[#This Row],[Gas 8h, ml]]-Table3.110[[#This Row],[Gas 0h, ml]]</f>
        <v>38</v>
      </c>
      <c r="AF1190" s="94">
        <f>Table3.110[[#This Row],[Gas 24h, ml]]-Table3.110[[#This Row],[V8 Push back, ml]]</f>
        <v>35</v>
      </c>
      <c r="AG1190" s="94">
        <f>Table3.110[[#This Row],[GP 8h, ml]]-(AVERAGE(AE$1159,AE$1160,AE$1193,AE$1194,AE$1229,AE$1230))*$AG$8</f>
        <v>34.533723538635904</v>
      </c>
      <c r="AH1190" s="94">
        <f>Table3.110[[#This Row],[GP 8-24h, ml]]-(AVERAGE(AF$1159,AF$1160,AF$1193,AF$1194,AF$1229,AF$1230))*$AG$8</f>
        <v>30.685592064046812</v>
      </c>
      <c r="AI1190" s="94">
        <f>Table3.110[[#This Row],[Net gas 8-24h, ml]]+Table3.110[[#This Row],[Net gas 8h, ml]]</f>
        <v>65.219315602682713</v>
      </c>
      <c r="AJ1190" s="94">
        <f>Table3.110[[#This Row],[Net gas 8h, ml]]*Table3.110[[#This Row],[CH4 8h %]]%</f>
        <v>4.489384060022668</v>
      </c>
      <c r="AK1190" s="94">
        <f>Table3.110[[#This Row],[Net gas 8-24h, ml]]*Table3.110[[#This Row],[CH4 24h, %]]%</f>
        <v>4.8483235461193965</v>
      </c>
      <c r="AL1190" s="94">
        <f>Table3.110[[#This Row],[CH4 8-24h, ml]]+Table3.110[[#This Row],[CH4 8h, ml]]</f>
        <v>9.3377076061420645</v>
      </c>
      <c r="AM1190" s="94">
        <f>(Table3.110[[#This Row],[Net gas 24h, ml]]/Table3.110[[#This Row],[DM Incubated, mg]])*1000</f>
        <v>139.68085534218321</v>
      </c>
      <c r="AN1190" s="94">
        <f>'3.2 Digest'!X1190</f>
        <v>22.834191504888356</v>
      </c>
      <c r="AO1190" s="94">
        <f>Table3.110[[#This Row],[Digested feed, mg]]/Table3.110[[#This Row],[Net gas 24h, ml]]</f>
        <v>1.6347402404538751</v>
      </c>
      <c r="AP1190" s="94">
        <f>Table3.110[[#This Row],[CH4 8h, ml]]/Table3.110[[#This Row],[Net gas 8h, ml]]%</f>
        <v>13.000000000000002</v>
      </c>
      <c r="AQ1190" s="94">
        <f>Table3.110[[#This Row],[CH4 24h, ml]]/Table3.110[[#This Row],[Net gas 24h, ml]]%</f>
        <v>14.317395881654988</v>
      </c>
      <c r="AR1190" s="94">
        <f>Table3.110[[#This Row],[CH4 24h, ml]]/Table3.110[[#This Row],[DM Incubated, mg]]*1000</f>
        <v>19.998661030222205</v>
      </c>
      <c r="AS1190" s="94">
        <f>Table3.110[[#This Row],[CH4 24h, ml]]/Table3.110[[#This Row],[Digested feed, mg]]*1000</f>
        <v>87.582085075974248</v>
      </c>
      <c r="AT1190" s="94">
        <f>Table3.110[[#This Row],[CH4 24h, ml]]/'3.2 Digest'!AA1190</f>
        <v>-0.24138297101600947</v>
      </c>
      <c r="AU1190" s="94">
        <f>((Table3.110[[#This Row],[CH4 24h, ml]]/28.9)*16.04)/Table3.110[[#This Row],[DM Incubated, mg]]*1000</f>
        <v>11.099602869369003</v>
      </c>
      <c r="AV1190" s="94">
        <f>((Table3.110[[#This Row],[CH4 24h, ml]]/28.9)*16.04)/Table3.110[[#This Row],[Digested feed, mg]]*1000</f>
        <v>48.609572478153183</v>
      </c>
      <c r="AW1190" s="64"/>
    </row>
    <row r="1191" spans="2:49" x14ac:dyDescent="0.35">
      <c r="B1191" s="90">
        <f t="shared" si="18"/>
        <v>1181</v>
      </c>
      <c r="C1191" s="140">
        <v>46085</v>
      </c>
      <c r="D1191" s="6" t="s">
        <v>16</v>
      </c>
      <c r="E1191" s="6" t="s">
        <v>427</v>
      </c>
      <c r="F1191" s="242" t="s">
        <v>226</v>
      </c>
      <c r="G1191" s="242" t="s">
        <v>231</v>
      </c>
      <c r="H1191" s="6" t="s">
        <v>232</v>
      </c>
      <c r="I1191" s="133" t="s">
        <v>22</v>
      </c>
      <c r="J1191" s="135" t="s">
        <v>23</v>
      </c>
      <c r="K1191" s="135" t="s">
        <v>215</v>
      </c>
      <c r="L1191" s="6" t="s">
        <v>426</v>
      </c>
      <c r="M1191" s="256">
        <v>30</v>
      </c>
      <c r="N1191" s="256">
        <v>71</v>
      </c>
      <c r="O1191" s="256">
        <v>3</v>
      </c>
      <c r="P1191" s="257">
        <v>1</v>
      </c>
      <c r="Q1191" s="129">
        <v>105</v>
      </c>
      <c r="R1191" s="98">
        <v>0.50039999999999996</v>
      </c>
      <c r="S1191" s="94">
        <f>((Table3.110[[#This Row],[Sample weight, g]]*'2.1. DM'!Q271)/100)*1000</f>
        <v>472.43879919082701</v>
      </c>
      <c r="T1191" s="94">
        <f>'3.2 Digest'!W1191</f>
        <v>166.53879919082698</v>
      </c>
      <c r="U1191" s="153">
        <v>0.33819444444444446</v>
      </c>
      <c r="V1191" s="154">
        <v>40.5</v>
      </c>
      <c r="W1191" s="153">
        <v>0.67569444444444449</v>
      </c>
      <c r="X1191" s="91">
        <v>92</v>
      </c>
      <c r="Y1191" s="91">
        <v>14.5</v>
      </c>
      <c r="Z1191" s="154">
        <v>40</v>
      </c>
      <c r="AA1191" s="153">
        <v>0.34722222222222221</v>
      </c>
      <c r="AB1191" s="154">
        <v>86</v>
      </c>
      <c r="AC1191" s="154">
        <v>16.8</v>
      </c>
      <c r="AD1191" s="91"/>
      <c r="AE1191" s="94">
        <f>Table3.110[[#This Row],[Gas 8h, ml]]-Table3.110[[#This Row],[Gas 0h, ml]]</f>
        <v>51.5</v>
      </c>
      <c r="AF1191" s="94">
        <f>Table3.110[[#This Row],[Gas 24h, ml]]-Table3.110[[#This Row],[V8 Push back, ml]]</f>
        <v>46</v>
      </c>
      <c r="AG1191" s="94">
        <f>Table3.110[[#This Row],[GP 8h, ml]]-(AVERAGE(AE$1159,AE$1160,AE$1193,AE$1194,AE$1229,AE$1230))*$AG$8</f>
        <v>48.033723538635904</v>
      </c>
      <c r="AH1191" s="94">
        <f>Table3.110[[#This Row],[GP 8-24h, ml]]-(AVERAGE(AF$1159,AF$1160,AF$1193,AF$1194,AF$1229,AF$1230))*$AG$8</f>
        <v>41.685592064046816</v>
      </c>
      <c r="AI1191" s="94">
        <f>Table3.110[[#This Row],[Net gas 8-24h, ml]]+Table3.110[[#This Row],[Net gas 8h, ml]]</f>
        <v>89.719315602682713</v>
      </c>
      <c r="AJ1191" s="94">
        <f>Table3.110[[#This Row],[Net gas 8h, ml]]*Table3.110[[#This Row],[CH4 8h %]]%</f>
        <v>6.9648899131022057</v>
      </c>
      <c r="AK1191" s="94">
        <f>Table3.110[[#This Row],[Net gas 8-24h, ml]]*Table3.110[[#This Row],[CH4 24h, %]]%</f>
        <v>7.0031794667598657</v>
      </c>
      <c r="AL1191" s="94">
        <f>Table3.110[[#This Row],[CH4 8-24h, ml]]+Table3.110[[#This Row],[CH4 8h, ml]]</f>
        <v>13.968069379862072</v>
      </c>
      <c r="AM1191" s="94">
        <f>(Table3.110[[#This Row],[Net gas 24h, ml]]/Table3.110[[#This Row],[DM Incubated, mg]])*1000</f>
        <v>189.90674719424004</v>
      </c>
      <c r="AN1191" s="94">
        <f>'3.2 Digest'!X1191</f>
        <v>35.250872594729202</v>
      </c>
      <c r="AO1191" s="94">
        <f>Table3.110[[#This Row],[Digested feed, mg]]/Table3.110[[#This Row],[Net gas 24h, ml]]</f>
        <v>1.8562201246422267</v>
      </c>
      <c r="AP1191" s="94">
        <f>Table3.110[[#This Row],[CH4 8h, ml]]/Table3.110[[#This Row],[Net gas 8h, ml]]%</f>
        <v>14.5</v>
      </c>
      <c r="AQ1191" s="94">
        <f>Table3.110[[#This Row],[CH4 24h, ml]]/Table3.110[[#This Row],[Net gas 24h, ml]]%</f>
        <v>15.568631220638078</v>
      </c>
      <c r="AR1191" s="94">
        <f>Table3.110[[#This Row],[CH4 24h, ml]]/Table3.110[[#This Row],[DM Incubated, mg]]*1000</f>
        <v>29.565881133780682</v>
      </c>
      <c r="AS1191" s="94">
        <f>Table3.110[[#This Row],[CH4 24h, ml]]/Table3.110[[#This Row],[Digested feed, mg]]*1000</f>
        <v>83.872763870819597</v>
      </c>
      <c r="AT1191" s="94">
        <f>Table3.110[[#This Row],[CH4 24h, ml]]/'3.2 Digest'!AA1191</f>
        <v>-0.79281238127619968</v>
      </c>
      <c r="AU1191" s="94">
        <f>((Table3.110[[#This Row],[CH4 24h, ml]]/28.9)*16.04)/Table3.110[[#This Row],[DM Incubated, mg]]*1000</f>
        <v>16.409575549683122</v>
      </c>
      <c r="AV1191" s="94">
        <f>((Table3.110[[#This Row],[CH4 24h, ml]]/28.9)*16.04)/Table3.110[[#This Row],[Digested feed, mg]]*1000</f>
        <v>46.550835034184992</v>
      </c>
      <c r="AW1191" s="64"/>
    </row>
    <row r="1192" spans="2:49" x14ac:dyDescent="0.35">
      <c r="B1192" s="90">
        <f t="shared" si="18"/>
        <v>1182</v>
      </c>
      <c r="C1192" s="140">
        <v>46085</v>
      </c>
      <c r="D1192" s="6" t="s">
        <v>16</v>
      </c>
      <c r="E1192" s="6" t="s">
        <v>427</v>
      </c>
      <c r="F1192" s="242" t="s">
        <v>226</v>
      </c>
      <c r="G1192" s="242" t="s">
        <v>231</v>
      </c>
      <c r="H1192" s="6" t="s">
        <v>232</v>
      </c>
      <c r="I1192" s="133" t="s">
        <v>22</v>
      </c>
      <c r="J1192" s="135" t="s">
        <v>23</v>
      </c>
      <c r="K1192" s="135" t="s">
        <v>215</v>
      </c>
      <c r="L1192" s="6" t="s">
        <v>426</v>
      </c>
      <c r="M1192" s="256">
        <v>30</v>
      </c>
      <c r="N1192" s="256">
        <v>71</v>
      </c>
      <c r="O1192" s="256">
        <v>3</v>
      </c>
      <c r="P1192" s="257">
        <v>2</v>
      </c>
      <c r="Q1192" s="129">
        <v>106</v>
      </c>
      <c r="R1192" s="98">
        <v>0.5</v>
      </c>
      <c r="S1192" s="94">
        <f>((Table3.110[[#This Row],[Sample weight, g]]*'2.1. DM'!Q271)/100)*1000</f>
        <v>472.0611502706106</v>
      </c>
      <c r="T1192" s="94">
        <f>'3.2 Digest'!W1192</f>
        <v>144.46115027061057</v>
      </c>
      <c r="U1192" s="117">
        <v>0.33888888888888891</v>
      </c>
      <c r="V1192" s="155">
        <v>41</v>
      </c>
      <c r="W1192" s="117">
        <v>0.67569444444444449</v>
      </c>
      <c r="X1192" s="96">
        <v>91</v>
      </c>
      <c r="Y1192" s="96">
        <v>14.9</v>
      </c>
      <c r="Z1192" s="155">
        <v>40.5</v>
      </c>
      <c r="AA1192" s="117">
        <v>0.34791666666666665</v>
      </c>
      <c r="AB1192" s="155">
        <v>85.5</v>
      </c>
      <c r="AC1192" s="155">
        <v>16.899999999999999</v>
      </c>
      <c r="AD1192" s="96"/>
      <c r="AE1192" s="94">
        <f>Table3.110[[#This Row],[Gas 8h, ml]]-Table3.110[[#This Row],[Gas 0h, ml]]</f>
        <v>50</v>
      </c>
      <c r="AF1192" s="94">
        <f>Table3.110[[#This Row],[Gas 24h, ml]]-Table3.110[[#This Row],[V8 Push back, ml]]</f>
        <v>45</v>
      </c>
      <c r="AG1192" s="94">
        <f>Table3.110[[#This Row],[GP 8h, ml]]-(AVERAGE(AE$1159,AE$1160,AE$1193,AE$1194,AE$1229,AE$1230))*$AG$8</f>
        <v>46.533723538635904</v>
      </c>
      <c r="AH1192" s="94">
        <f>Table3.110[[#This Row],[GP 8-24h, ml]]-(AVERAGE(AF$1159,AF$1160,AF$1193,AF$1194,AF$1229,AF$1230))*$AG$8</f>
        <v>40.685592064046816</v>
      </c>
      <c r="AI1192" s="94">
        <f>Table3.110[[#This Row],[Net gas 8-24h, ml]]+Table3.110[[#This Row],[Net gas 8h, ml]]</f>
        <v>87.219315602682713</v>
      </c>
      <c r="AJ1192" s="94">
        <f>Table3.110[[#This Row],[Net gas 8h, ml]]*Table3.110[[#This Row],[CH4 8h %]]%</f>
        <v>6.9335248072567497</v>
      </c>
      <c r="AK1192" s="94">
        <f>Table3.110[[#This Row],[Net gas 8-24h, ml]]*Table3.110[[#This Row],[CH4 24h, %]]%</f>
        <v>6.8758650588239112</v>
      </c>
      <c r="AL1192" s="94">
        <f>Table3.110[[#This Row],[CH4 8-24h, ml]]+Table3.110[[#This Row],[CH4 8h, ml]]</f>
        <v>13.809389866080661</v>
      </c>
      <c r="AM1192" s="94">
        <f>(Table3.110[[#This Row],[Net gas 24h, ml]]/Table3.110[[#This Row],[DM Incubated, mg]])*1000</f>
        <v>184.76274853942959</v>
      </c>
      <c r="AN1192" s="94">
        <f>'3.2 Digest'!X1192</f>
        <v>30.602211215177892</v>
      </c>
      <c r="AO1192" s="94">
        <f>Table3.110[[#This Row],[Digested feed, mg]]/Table3.110[[#This Row],[Net gas 24h, ml]]</f>
        <v>1.6562976821405739</v>
      </c>
      <c r="AP1192" s="94">
        <f>Table3.110[[#This Row],[CH4 8h, ml]]/Table3.110[[#This Row],[Net gas 8h, ml]]%</f>
        <v>14.9</v>
      </c>
      <c r="AQ1192" s="94">
        <f>Table3.110[[#This Row],[CH4 24h, ml]]/Table3.110[[#This Row],[Net gas 24h, ml]]%</f>
        <v>15.832949124466539</v>
      </c>
      <c r="AR1192" s="94">
        <f>Table3.110[[#This Row],[CH4 24h, ml]]/Table3.110[[#This Row],[DM Incubated, mg]]*1000</f>
        <v>29.25339197721393</v>
      </c>
      <c r="AS1192" s="94">
        <f>Table3.110[[#This Row],[CH4 24h, ml]]/Table3.110[[#This Row],[Digested feed, mg]]*1000</f>
        <v>95.592412494378891</v>
      </c>
      <c r="AT1192" s="94">
        <f>Table3.110[[#This Row],[CH4 24h, ml]]/'3.2 Digest'!AA1192</f>
        <v>-0.52985085111918262</v>
      </c>
      <c r="AU1192" s="94">
        <f>((Table3.110[[#This Row],[CH4 24h, ml]]/28.9)*16.04)/Table3.110[[#This Row],[DM Incubated, mg]]*1000</f>
        <v>16.236138661401782</v>
      </c>
      <c r="AV1192" s="94">
        <f>((Table3.110[[#This Row],[CH4 24h, ml]]/28.9)*16.04)/Table3.110[[#This Row],[Digested feed, mg]]*1000</f>
        <v>53.055442782347313</v>
      </c>
      <c r="AW1192" s="64"/>
    </row>
    <row r="1193" spans="2:49" x14ac:dyDescent="0.35">
      <c r="B1193" s="90">
        <f t="shared" si="18"/>
        <v>1183</v>
      </c>
      <c r="C1193" s="140">
        <v>46085</v>
      </c>
      <c r="D1193" s="6"/>
      <c r="E1193" s="6" t="s">
        <v>541</v>
      </c>
      <c r="F1193" s="242" t="s">
        <v>538</v>
      </c>
      <c r="G1193" s="242" t="s">
        <v>542</v>
      </c>
      <c r="H1193" s="6" t="s">
        <v>541</v>
      </c>
      <c r="I1193" s="133"/>
      <c r="J1193" s="135"/>
      <c r="K1193" s="135"/>
      <c r="L1193" s="6" t="s">
        <v>543</v>
      </c>
      <c r="M1193" s="256">
        <v>30</v>
      </c>
      <c r="N1193" s="256">
        <v>71</v>
      </c>
      <c r="O1193" s="256">
        <v>3</v>
      </c>
      <c r="P1193" s="257">
        <v>1</v>
      </c>
      <c r="Q1193" s="129">
        <v>107</v>
      </c>
      <c r="R1193" s="98"/>
      <c r="S1193" s="94"/>
      <c r="T1193" s="94"/>
      <c r="U1193" s="153">
        <v>0.33888888888888891</v>
      </c>
      <c r="V1193" s="154">
        <v>40</v>
      </c>
      <c r="W1193" s="153">
        <v>0.67638888888888893</v>
      </c>
      <c r="X1193" s="91">
        <v>43.5</v>
      </c>
      <c r="Y1193" s="91"/>
      <c r="Z1193" s="154"/>
      <c r="AA1193" s="153"/>
      <c r="AB1193" s="154"/>
      <c r="AC1193" s="154"/>
      <c r="AD1193" s="91"/>
      <c r="AE1193" s="94">
        <f>Table3.110[[#This Row],[Gas 8h, ml]]-Table3.110[[#This Row],[Gas 0h, ml]]</f>
        <v>3.5</v>
      </c>
      <c r="AF1193" s="94"/>
      <c r="AG1193" s="94"/>
      <c r="AH1193" s="94"/>
      <c r="AI1193" s="94"/>
      <c r="AJ1193" s="94"/>
      <c r="AK1193" s="94"/>
      <c r="AL1193" s="94"/>
      <c r="AM1193" s="94"/>
      <c r="AN1193" s="94"/>
      <c r="AO1193" s="94"/>
      <c r="AP1193" s="94"/>
      <c r="AQ1193" s="94"/>
      <c r="AR1193" s="94"/>
      <c r="AS1193" s="94"/>
      <c r="AT1193" s="94"/>
      <c r="AU1193" s="94"/>
      <c r="AV1193" s="94"/>
      <c r="AW1193" s="64"/>
    </row>
    <row r="1194" spans="2:49" x14ac:dyDescent="0.35">
      <c r="B1194" s="90">
        <f t="shared" si="18"/>
        <v>1184</v>
      </c>
      <c r="C1194" s="140">
        <v>46085</v>
      </c>
      <c r="D1194" s="6"/>
      <c r="E1194" s="6" t="s">
        <v>541</v>
      </c>
      <c r="F1194" s="242" t="s">
        <v>538</v>
      </c>
      <c r="G1194" s="242" t="s">
        <v>542</v>
      </c>
      <c r="H1194" s="6" t="s">
        <v>541</v>
      </c>
      <c r="I1194" s="133"/>
      <c r="J1194" s="135"/>
      <c r="K1194" s="135"/>
      <c r="L1194" s="6" t="s">
        <v>543</v>
      </c>
      <c r="M1194" s="256">
        <v>30</v>
      </c>
      <c r="N1194" s="256">
        <v>71</v>
      </c>
      <c r="O1194" s="256">
        <v>3</v>
      </c>
      <c r="P1194" s="257">
        <v>2</v>
      </c>
      <c r="Q1194" s="6">
        <v>108</v>
      </c>
      <c r="R1194" s="98"/>
      <c r="S1194" s="94"/>
      <c r="T1194" s="94"/>
      <c r="U1194" s="117">
        <v>0.33888888888888891</v>
      </c>
      <c r="V1194" s="155">
        <v>39.5</v>
      </c>
      <c r="W1194" s="117">
        <v>0.67777777777777781</v>
      </c>
      <c r="X1194" s="96">
        <v>44</v>
      </c>
      <c r="Y1194" s="96"/>
      <c r="Z1194" s="155"/>
      <c r="AA1194" s="117"/>
      <c r="AB1194" s="155"/>
      <c r="AC1194" s="155"/>
      <c r="AD1194" s="96"/>
      <c r="AE1194" s="94">
        <f>Table3.110[[#This Row],[Gas 8h, ml]]-Table3.110[[#This Row],[Gas 0h, ml]]</f>
        <v>4.5</v>
      </c>
      <c r="AF1194" s="94"/>
      <c r="AG1194" s="94"/>
      <c r="AH1194" s="94"/>
      <c r="AI1194" s="94"/>
      <c r="AJ1194" s="94"/>
      <c r="AK1194" s="94"/>
      <c r="AL1194" s="94"/>
      <c r="AM1194" s="94"/>
      <c r="AN1194" s="94"/>
      <c r="AO1194" s="94"/>
      <c r="AP1194" s="94"/>
      <c r="AQ1194" s="94"/>
      <c r="AR1194" s="94"/>
      <c r="AS1194" s="94"/>
      <c r="AT1194" s="94"/>
      <c r="AU1194" s="94"/>
      <c r="AV1194" s="94"/>
      <c r="AW1194" s="64"/>
    </row>
    <row r="1195" spans="2:49" x14ac:dyDescent="0.35">
      <c r="B1195" s="90">
        <f t="shared" si="18"/>
        <v>1185</v>
      </c>
      <c r="C1195" s="140">
        <v>46085</v>
      </c>
      <c r="D1195" s="6" t="s">
        <v>16</v>
      </c>
      <c r="E1195" s="6" t="s">
        <v>429</v>
      </c>
      <c r="F1195" s="242" t="s">
        <v>212</v>
      </c>
      <c r="G1195" s="242" t="s">
        <v>213</v>
      </c>
      <c r="H1195" s="6" t="s">
        <v>214</v>
      </c>
      <c r="I1195" s="133" t="s">
        <v>22</v>
      </c>
      <c r="J1195" s="135" t="s">
        <v>23</v>
      </c>
      <c r="K1195" s="135" t="s">
        <v>215</v>
      </c>
      <c r="L1195" s="6" t="s">
        <v>428</v>
      </c>
      <c r="M1195" s="256">
        <v>30</v>
      </c>
      <c r="N1195" s="256">
        <v>71</v>
      </c>
      <c r="O1195" s="256">
        <v>3</v>
      </c>
      <c r="P1195" s="257">
        <v>1</v>
      </c>
      <c r="Q1195" s="129">
        <v>109</v>
      </c>
      <c r="R1195" s="98">
        <v>0.50019999999999998</v>
      </c>
      <c r="S1195" s="94">
        <f>((Table3.110[[#This Row],[Sample weight, g]]*'2.1. DM'!Q273)/100)*1000</f>
        <v>466.84509665667184</v>
      </c>
      <c r="T1195" s="94">
        <f>'3.2 Digest'!W1195</f>
        <v>173.04509665667177</v>
      </c>
      <c r="U1195" s="153">
        <v>0.33958333333333335</v>
      </c>
      <c r="V1195" s="154">
        <v>41.5</v>
      </c>
      <c r="W1195" s="153">
        <v>0.67777777777777781</v>
      </c>
      <c r="X1195" s="91">
        <v>78</v>
      </c>
      <c r="Y1195" s="91">
        <v>15.1</v>
      </c>
      <c r="Z1195" s="154">
        <v>40.5</v>
      </c>
      <c r="AA1195" s="153">
        <v>0.34861111111111109</v>
      </c>
      <c r="AB1195" s="154">
        <v>76</v>
      </c>
      <c r="AC1195" s="154">
        <v>16.2</v>
      </c>
      <c r="AD1195" s="91"/>
      <c r="AE1195" s="94">
        <f>Table3.110[[#This Row],[Gas 8h, ml]]-Table3.110[[#This Row],[Gas 0h, ml]]</f>
        <v>36.5</v>
      </c>
      <c r="AF1195" s="94">
        <f>Table3.110[[#This Row],[Gas 24h, ml]]-Table3.110[[#This Row],[V8 Push back, ml]]</f>
        <v>35.5</v>
      </c>
      <c r="AG1195" s="94">
        <f>Table3.110[[#This Row],[GP 8h, ml]]-(AVERAGE(AE$1159,AE$1160,AE$1193,AE$1194,AE$1229,AE$1230))*$AG$8</f>
        <v>33.033723538635904</v>
      </c>
      <c r="AH1195" s="94">
        <f>Table3.110[[#This Row],[GP 8-24h, ml]]-(AVERAGE(AF$1159,AF$1160,AF$1193,AF$1194,AF$1229,AF$1230))*$AG$8</f>
        <v>31.185592064046812</v>
      </c>
      <c r="AI1195" s="94">
        <f>Table3.110[[#This Row],[Net gas 8-24h, ml]]+Table3.110[[#This Row],[Net gas 8h, ml]]</f>
        <v>64.219315602682713</v>
      </c>
      <c r="AJ1195" s="94">
        <f>Table3.110[[#This Row],[Net gas 8h, ml]]*Table3.110[[#This Row],[CH4 8h %]]%</f>
        <v>4.9880922543340214</v>
      </c>
      <c r="AK1195" s="94">
        <f>Table3.110[[#This Row],[Net gas 8-24h, ml]]*Table3.110[[#This Row],[CH4 24h, %]]%</f>
        <v>5.0520659143755839</v>
      </c>
      <c r="AL1195" s="94">
        <f>Table3.110[[#This Row],[CH4 8-24h, ml]]+Table3.110[[#This Row],[CH4 8h, ml]]</f>
        <v>10.040158168709606</v>
      </c>
      <c r="AM1195" s="94">
        <f>(Table3.110[[#This Row],[Net gas 24h, ml]]/Table3.110[[#This Row],[DM Incubated, mg]])*1000</f>
        <v>137.56022300028783</v>
      </c>
      <c r="AN1195" s="94">
        <f>'3.2 Digest'!X1195</f>
        <v>37.066919604798365</v>
      </c>
      <c r="AO1195" s="94">
        <f>Table3.110[[#This Row],[Digested feed, mg]]/Table3.110[[#This Row],[Net gas 24h, ml]]</f>
        <v>2.6945957774959992</v>
      </c>
      <c r="AP1195" s="94">
        <f>Table3.110[[#This Row],[CH4 8h, ml]]/Table3.110[[#This Row],[Net gas 8h, ml]]%</f>
        <v>15.099999999999998</v>
      </c>
      <c r="AQ1195" s="94">
        <f>Table3.110[[#This Row],[CH4 24h, ml]]/Table3.110[[#This Row],[Net gas 24h, ml]]%</f>
        <v>15.634171860109618</v>
      </c>
      <c r="AR1195" s="94">
        <f>Table3.110[[#This Row],[CH4 24h, ml]]/Table3.110[[#This Row],[DM Incubated, mg]]*1000</f>
        <v>21.506401675015042</v>
      </c>
      <c r="AS1195" s="94">
        <f>Table3.110[[#This Row],[CH4 24h, ml]]/Table3.110[[#This Row],[Digested feed, mg]]*1000</f>
        <v>58.020471904093711</v>
      </c>
      <c r="AT1195" s="94">
        <f>Table3.110[[#This Row],[CH4 24h, ml]]/'3.2 Digest'!AA1195</f>
        <v>-0.89950754523699572</v>
      </c>
      <c r="AU1195" s="94">
        <f>((Table3.110[[#This Row],[CH4 24h, ml]]/28.9)*16.04)/Table3.110[[#This Row],[DM Incubated, mg]]*1000</f>
        <v>11.936425012707309</v>
      </c>
      <c r="AV1195" s="94">
        <f>((Table3.110[[#This Row],[CH4 24h, ml]]/28.9)*16.04)/Table3.110[[#This Row],[Digested feed, mg]]*1000</f>
        <v>32.202365721164817</v>
      </c>
      <c r="AW1195" s="64"/>
    </row>
    <row r="1196" spans="2:49" x14ac:dyDescent="0.35">
      <c r="B1196" s="90">
        <f t="shared" si="18"/>
        <v>1186</v>
      </c>
      <c r="C1196" s="140">
        <v>46085</v>
      </c>
      <c r="D1196" s="6" t="s">
        <v>16</v>
      </c>
      <c r="E1196" s="6" t="s">
        <v>429</v>
      </c>
      <c r="F1196" s="242" t="s">
        <v>212</v>
      </c>
      <c r="G1196" s="242" t="s">
        <v>213</v>
      </c>
      <c r="H1196" s="6" t="s">
        <v>214</v>
      </c>
      <c r="I1196" s="133" t="s">
        <v>22</v>
      </c>
      <c r="J1196" s="135" t="s">
        <v>23</v>
      </c>
      <c r="K1196" s="135" t="s">
        <v>215</v>
      </c>
      <c r="L1196" s="6" t="s">
        <v>428</v>
      </c>
      <c r="M1196" s="256">
        <v>30</v>
      </c>
      <c r="N1196" s="256">
        <v>71</v>
      </c>
      <c r="O1196" s="256">
        <v>3</v>
      </c>
      <c r="P1196" s="257">
        <v>2</v>
      </c>
      <c r="Q1196" s="129">
        <v>110</v>
      </c>
      <c r="R1196" s="98">
        <v>0.5</v>
      </c>
      <c r="S1196" s="94">
        <f>((Table3.110[[#This Row],[Sample weight, g]]*'2.1. DM'!Q273)/100)*1000</f>
        <v>466.65843328335853</v>
      </c>
      <c r="T1196" s="94">
        <f>'3.2 Digest'!W1196</f>
        <v>164.95843328335854</v>
      </c>
      <c r="U1196" s="117">
        <v>0.33958333333333335</v>
      </c>
      <c r="V1196" s="155">
        <v>40</v>
      </c>
      <c r="W1196" s="117">
        <v>0.67777777777777781</v>
      </c>
      <c r="X1196" s="96">
        <v>77.5</v>
      </c>
      <c r="Y1196" s="96">
        <v>14.9</v>
      </c>
      <c r="Z1196" s="155">
        <v>40</v>
      </c>
      <c r="AA1196" s="117">
        <v>0.34861111111111109</v>
      </c>
      <c r="AB1196" s="155">
        <v>75.5</v>
      </c>
      <c r="AC1196" s="155">
        <v>16.100000000000001</v>
      </c>
      <c r="AD1196" s="96"/>
      <c r="AE1196" s="94">
        <f>Table3.110[[#This Row],[Gas 8h, ml]]-Table3.110[[#This Row],[Gas 0h, ml]]</f>
        <v>37.5</v>
      </c>
      <c r="AF1196" s="94">
        <f>Table3.110[[#This Row],[Gas 24h, ml]]-Table3.110[[#This Row],[V8 Push back, ml]]</f>
        <v>35.5</v>
      </c>
      <c r="AG1196" s="94">
        <f>Table3.110[[#This Row],[GP 8h, ml]]-(AVERAGE(AE$1159,AE$1160,AE$1193,AE$1194,AE$1229,AE$1230))*$AG$8</f>
        <v>34.033723538635904</v>
      </c>
      <c r="AH1196" s="94">
        <f>Table3.110[[#This Row],[GP 8-24h, ml]]-(AVERAGE(AF$1159,AF$1160,AF$1193,AF$1194,AF$1229,AF$1230))*$AG$8</f>
        <v>31.185592064046812</v>
      </c>
      <c r="AI1196" s="94">
        <f>Table3.110[[#This Row],[Net gas 8-24h, ml]]+Table3.110[[#This Row],[Net gas 8h, ml]]</f>
        <v>65.219315602682713</v>
      </c>
      <c r="AJ1196" s="94">
        <f>Table3.110[[#This Row],[Net gas 8h, ml]]*Table3.110[[#This Row],[CH4 8h %]]%</f>
        <v>5.0710248072567499</v>
      </c>
      <c r="AK1196" s="94">
        <f>Table3.110[[#This Row],[Net gas 8-24h, ml]]*Table3.110[[#This Row],[CH4 24h, %]]%</f>
        <v>5.0208803223115366</v>
      </c>
      <c r="AL1196" s="94">
        <f>Table3.110[[#This Row],[CH4 8-24h, ml]]+Table3.110[[#This Row],[CH4 8h, ml]]</f>
        <v>10.091905129568286</v>
      </c>
      <c r="AM1196" s="94">
        <f>(Table3.110[[#This Row],[Net gas 24h, ml]]/Table3.110[[#This Row],[DM Incubated, mg]])*1000</f>
        <v>139.75814203936403</v>
      </c>
      <c r="AN1196" s="94">
        <f>'3.2 Digest'!X1196</f>
        <v>35.348859362238187</v>
      </c>
      <c r="AO1196" s="94">
        <f>Table3.110[[#This Row],[Digested feed, mg]]/Table3.110[[#This Row],[Net gas 24h, ml]]</f>
        <v>2.5292880147391976</v>
      </c>
      <c r="AP1196" s="94">
        <f>Table3.110[[#This Row],[CH4 8h, ml]]/Table3.110[[#This Row],[Net gas 8h, ml]]%</f>
        <v>14.900000000000002</v>
      </c>
      <c r="AQ1196" s="94">
        <f>Table3.110[[#This Row],[CH4 24h, ml]]/Table3.110[[#This Row],[Net gas 24h, ml]]%</f>
        <v>15.473797963548652</v>
      </c>
      <c r="AR1196" s="94">
        <f>Table3.110[[#This Row],[CH4 24h, ml]]/Table3.110[[#This Row],[DM Incubated, mg]]*1000</f>
        <v>21.625892536780544</v>
      </c>
      <c r="AS1196" s="94">
        <f>Table3.110[[#This Row],[CH4 24h, ml]]/Table3.110[[#This Row],[Digested feed, mg]]*1000</f>
        <v>61.178473441444744</v>
      </c>
      <c r="AT1196" s="94">
        <f>Table3.110[[#This Row],[CH4 24h, ml]]/'3.2 Digest'!AA1196</f>
        <v>-0.71087104493426556</v>
      </c>
      <c r="AU1196" s="94">
        <f>((Table3.110[[#This Row],[CH4 24h, ml]]/28.9)*16.04)/Table3.110[[#This Row],[DM Incubated, mg]]*1000</f>
        <v>12.002744508303113</v>
      </c>
      <c r="AV1196" s="94">
        <f>((Table3.110[[#This Row],[CH4 24h, ml]]/28.9)*16.04)/Table3.110[[#This Row],[Digested feed, mg]]*1000</f>
        <v>33.955111211099442</v>
      </c>
      <c r="AW1196" s="64"/>
    </row>
    <row r="1197" spans="2:49" x14ac:dyDescent="0.35">
      <c r="B1197" s="90">
        <f t="shared" si="18"/>
        <v>1187</v>
      </c>
      <c r="C1197" s="140">
        <v>46085</v>
      </c>
      <c r="D1197" s="6" t="s">
        <v>16</v>
      </c>
      <c r="E1197" s="6" t="s">
        <v>431</v>
      </c>
      <c r="F1197" s="242" t="s">
        <v>212</v>
      </c>
      <c r="G1197" s="242" t="s">
        <v>404</v>
      </c>
      <c r="H1197" s="6" t="s">
        <v>433</v>
      </c>
      <c r="I1197" s="133" t="s">
        <v>22</v>
      </c>
      <c r="J1197" s="135" t="s">
        <v>23</v>
      </c>
      <c r="K1197" s="135" t="s">
        <v>215</v>
      </c>
      <c r="L1197" s="6" t="s">
        <v>430</v>
      </c>
      <c r="M1197" s="256">
        <v>30</v>
      </c>
      <c r="N1197" s="256">
        <v>71</v>
      </c>
      <c r="O1197" s="256">
        <v>3</v>
      </c>
      <c r="P1197" s="257">
        <v>1</v>
      </c>
      <c r="Q1197" s="129">
        <v>111</v>
      </c>
      <c r="R1197" s="98">
        <v>0.50029999999999997</v>
      </c>
      <c r="S1197" s="94">
        <f>((Table3.110[[#This Row],[Sample weight, g]]*'2.1. DM'!Q275)/100)*1000</f>
        <v>478.04889805097469</v>
      </c>
      <c r="T1197" s="94">
        <f>'3.2 Digest'!W1197</f>
        <v>117.84889805097458</v>
      </c>
      <c r="U1197" s="117">
        <v>0.33958333333333335</v>
      </c>
      <c r="V1197" s="155">
        <v>40.5</v>
      </c>
      <c r="W1197" s="117">
        <v>0.67847222222222225</v>
      </c>
      <c r="X1197" s="96">
        <v>75.5</v>
      </c>
      <c r="Y1197" s="96">
        <v>13.9</v>
      </c>
      <c r="Z1197" s="155">
        <v>40</v>
      </c>
      <c r="AA1197" s="117">
        <v>0.34930555555555554</v>
      </c>
      <c r="AB1197" s="155">
        <v>75.5</v>
      </c>
      <c r="AC1197" s="155">
        <v>15.8</v>
      </c>
      <c r="AD1197" s="96"/>
      <c r="AE1197" s="94">
        <f>Table3.110[[#This Row],[Gas 8h, ml]]-Table3.110[[#This Row],[Gas 0h, ml]]</f>
        <v>35</v>
      </c>
      <c r="AF1197" s="94">
        <f>Table3.110[[#This Row],[Gas 24h, ml]]-Table3.110[[#This Row],[V8 Push back, ml]]</f>
        <v>35.5</v>
      </c>
      <c r="AG1197" s="94">
        <f>Table3.110[[#This Row],[GP 8h, ml]]-(AVERAGE(AE$1159,AE$1160,AE$1193,AE$1194,AE$1229,AE$1230))*$AG$8</f>
        <v>31.5337235386359</v>
      </c>
      <c r="AH1197" s="94">
        <f>Table3.110[[#This Row],[GP 8-24h, ml]]-(AVERAGE(AF$1159,AF$1160,AF$1193,AF$1194,AF$1229,AF$1230))*$AG$8</f>
        <v>31.185592064046812</v>
      </c>
      <c r="AI1197" s="94">
        <f>Table3.110[[#This Row],[Net gas 8-24h, ml]]+Table3.110[[#This Row],[Net gas 8h, ml]]</f>
        <v>62.719315602682713</v>
      </c>
      <c r="AJ1197" s="94">
        <f>Table3.110[[#This Row],[Net gas 8h, ml]]*Table3.110[[#This Row],[CH4 8h %]]%</f>
        <v>4.3831875718703905</v>
      </c>
      <c r="AK1197" s="94">
        <f>Table3.110[[#This Row],[Net gas 8-24h, ml]]*Table3.110[[#This Row],[CH4 24h, %]]%</f>
        <v>4.9273235461193963</v>
      </c>
      <c r="AL1197" s="94">
        <f>Table3.110[[#This Row],[CH4 8-24h, ml]]+Table3.110[[#This Row],[CH4 8h, ml]]</f>
        <v>9.3105111179897868</v>
      </c>
      <c r="AM1197" s="94">
        <f>(Table3.110[[#This Row],[Net gas 24h, ml]]/Table3.110[[#This Row],[DM Incubated, mg]])*1000</f>
        <v>131.19853608781858</v>
      </c>
      <c r="AN1197" s="94">
        <f>'3.2 Digest'!X1197</f>
        <v>24.652059346114896</v>
      </c>
      <c r="AO1197" s="94">
        <f>Table3.110[[#This Row],[Digested feed, mg]]/Table3.110[[#This Row],[Net gas 24h, ml]]</f>
        <v>1.878988903474798</v>
      </c>
      <c r="AP1197" s="94">
        <f>Table3.110[[#This Row],[CH4 8h, ml]]/Table3.110[[#This Row],[Net gas 8h, ml]]%</f>
        <v>13.900000000000002</v>
      </c>
      <c r="AQ1197" s="94">
        <f>Table3.110[[#This Row],[CH4 24h, ml]]/Table3.110[[#This Row],[Net gas 24h, ml]]%</f>
        <v>14.84472690513789</v>
      </c>
      <c r="AR1197" s="94">
        <f>Table3.110[[#This Row],[CH4 24h, ml]]/Table3.110[[#This Row],[DM Incubated, mg]]*1000</f>
        <v>19.476064385775452</v>
      </c>
      <c r="AS1197" s="94">
        <f>Table3.110[[#This Row],[CH4 24h, ml]]/Table3.110[[#This Row],[Digested feed, mg]]*1000</f>
        <v>79.003802937237481</v>
      </c>
      <c r="AT1197" s="94">
        <f>Table3.110[[#This Row],[CH4 24h, ml]]/'3.2 Digest'!AA1197</f>
        <v>-0.35270951998128391</v>
      </c>
      <c r="AU1197" s="94">
        <f>((Table3.110[[#This Row],[CH4 24h, ml]]/28.9)*16.04)/Table3.110[[#This Row],[DM Incubated, mg]]*1000</f>
        <v>10.809552690236615</v>
      </c>
      <c r="AV1197" s="94">
        <f>((Table3.110[[#This Row],[CH4 24h, ml]]/28.9)*16.04)/Table3.110[[#This Row],[Digested feed, mg]]*1000</f>
        <v>43.84847747796848</v>
      </c>
      <c r="AW1197" s="64"/>
    </row>
    <row r="1198" spans="2:49" x14ac:dyDescent="0.35">
      <c r="B1198" s="90">
        <f t="shared" si="18"/>
        <v>1188</v>
      </c>
      <c r="C1198" s="140">
        <v>46085</v>
      </c>
      <c r="D1198" s="6" t="s">
        <v>16</v>
      </c>
      <c r="E1198" s="6" t="s">
        <v>431</v>
      </c>
      <c r="F1198" s="242" t="s">
        <v>212</v>
      </c>
      <c r="G1198" s="242" t="s">
        <v>404</v>
      </c>
      <c r="H1198" s="6" t="s">
        <v>433</v>
      </c>
      <c r="I1198" s="133" t="s">
        <v>22</v>
      </c>
      <c r="J1198" s="135" t="s">
        <v>23</v>
      </c>
      <c r="K1198" s="135" t="s">
        <v>215</v>
      </c>
      <c r="L1198" s="6" t="s">
        <v>430</v>
      </c>
      <c r="M1198" s="256">
        <v>30</v>
      </c>
      <c r="N1198" s="256">
        <v>71</v>
      </c>
      <c r="O1198" s="256">
        <v>3</v>
      </c>
      <c r="P1198" s="257">
        <v>2</v>
      </c>
      <c r="Q1198" s="129">
        <v>112</v>
      </c>
      <c r="R1198" s="98">
        <v>0.50039999999999996</v>
      </c>
      <c r="S1198" s="94">
        <f>((Table3.110[[#This Row],[Sample weight, g]]*'2.1. DM'!Q275)/100)*1000</f>
        <v>478.14445049911598</v>
      </c>
      <c r="T1198" s="94">
        <f>'3.2 Digest'!W1198</f>
        <v>132.84445049911591</v>
      </c>
      <c r="U1198" s="153">
        <v>0.34097222222222223</v>
      </c>
      <c r="V1198" s="154">
        <v>40.5</v>
      </c>
      <c r="W1198" s="153">
        <v>0.6791666666666667</v>
      </c>
      <c r="X1198" s="91">
        <v>74</v>
      </c>
      <c r="Y1198" s="91">
        <v>14.2</v>
      </c>
      <c r="Z1198" s="154">
        <v>40</v>
      </c>
      <c r="AA1198" s="153">
        <v>0.34930555555555554</v>
      </c>
      <c r="AB1198" s="154">
        <v>76</v>
      </c>
      <c r="AC1198" s="154">
        <v>15.9</v>
      </c>
      <c r="AD1198" s="91" t="s">
        <v>595</v>
      </c>
      <c r="AE1198" s="94">
        <f>Table3.110[[#This Row],[Gas 8h, ml]]-Table3.110[[#This Row],[Gas 0h, ml]]</f>
        <v>33.5</v>
      </c>
      <c r="AF1198" s="94">
        <f>Table3.110[[#This Row],[Gas 24h, ml]]-Table3.110[[#This Row],[V8 Push back, ml]]</f>
        <v>36</v>
      </c>
      <c r="AG1198" s="94">
        <f>Table3.110[[#This Row],[GP 8h, ml]]-(AVERAGE(AE$1159,AE$1160,AE$1193,AE$1194,AE$1229,AE$1230))*$AG$8</f>
        <v>30.0337235386359</v>
      </c>
      <c r="AH1198" s="94">
        <f>Table3.110[[#This Row],[GP 8-24h, ml]]-(AVERAGE(AF$1159,AF$1160,AF$1193,AF$1194,AF$1229,AF$1230))*$AG$8</f>
        <v>31.685592064046812</v>
      </c>
      <c r="AI1198" s="94">
        <f>Table3.110[[#This Row],[Net gas 8-24h, ml]]+Table3.110[[#This Row],[Net gas 8h, ml]]</f>
        <v>61.719315602682713</v>
      </c>
      <c r="AJ1198" s="94">
        <f>Table3.110[[#This Row],[Net gas 8h, ml]]*Table3.110[[#This Row],[CH4 8h %]]%</f>
        <v>4.2647887424862976</v>
      </c>
      <c r="AK1198" s="94">
        <f>Table3.110[[#This Row],[Net gas 8-24h, ml]]*Table3.110[[#This Row],[CH4 24h, %]]%</f>
        <v>5.0380091381834431</v>
      </c>
      <c r="AL1198" s="94">
        <f>Table3.110[[#This Row],[CH4 8-24h, ml]]+Table3.110[[#This Row],[CH4 8h, ml]]</f>
        <v>9.3027978806697398</v>
      </c>
      <c r="AM1198" s="94">
        <f>(Table3.110[[#This Row],[Net gas 24h, ml]]/Table3.110[[#This Row],[DM Incubated, mg]])*1000</f>
        <v>129.08089916814129</v>
      </c>
      <c r="AN1198" s="94">
        <f>'3.2 Digest'!X1198</f>
        <v>27.783329987505841</v>
      </c>
      <c r="AO1198" s="94">
        <f>Table3.110[[#This Row],[Digested feed, mg]]/Table3.110[[#This Row],[Net gas 24h, ml]]</f>
        <v>2.152396688166478</v>
      </c>
      <c r="AP1198" s="94">
        <f>Table3.110[[#This Row],[CH4 8h, ml]]/Table3.110[[#This Row],[Net gas 8h, ml]]%</f>
        <v>14.200000000000001</v>
      </c>
      <c r="AQ1198" s="94">
        <f>Table3.110[[#This Row],[CH4 24h, ml]]/Table3.110[[#This Row],[Net gas 24h, ml]]%</f>
        <v>15.072749575767139</v>
      </c>
      <c r="AR1198" s="94">
        <f>Table3.110[[#This Row],[CH4 24h, ml]]/Table3.110[[#This Row],[DM Incubated, mg]]*1000</f>
        <v>19.456040681762424</v>
      </c>
      <c r="AS1198" s="94">
        <f>Table3.110[[#This Row],[CH4 24h, ml]]/Table3.110[[#This Row],[Digested feed, mg]]*1000</f>
        <v>70.027749339304549</v>
      </c>
      <c r="AT1198" s="94">
        <f>Table3.110[[#This Row],[CH4 24h, ml]]/'3.2 Digest'!AA1198</f>
        <v>-0.43996588083668231</v>
      </c>
      <c r="AU1198" s="94">
        <f>((Table3.110[[#This Row],[CH4 24h, ml]]/28.9)*16.04)/Table3.110[[#This Row],[DM Incubated, mg]]*1000</f>
        <v>10.798439188078524</v>
      </c>
      <c r="AV1198" s="94">
        <f>((Table3.110[[#This Row],[CH4 24h, ml]]/28.9)*16.04)/Table3.110[[#This Row],[Digested feed, mg]]*1000</f>
        <v>38.866612436070767</v>
      </c>
      <c r="AW1198" s="64"/>
    </row>
    <row r="1199" spans="2:49" x14ac:dyDescent="0.35">
      <c r="B1199" s="90">
        <f t="shared" si="18"/>
        <v>1189</v>
      </c>
      <c r="C1199" s="140">
        <v>46085</v>
      </c>
      <c r="D1199" s="6" t="s">
        <v>16</v>
      </c>
      <c r="E1199" s="6" t="s">
        <v>435</v>
      </c>
      <c r="F1199" s="242" t="s">
        <v>219</v>
      </c>
      <c r="G1199" s="242" t="s">
        <v>220</v>
      </c>
      <c r="H1199" s="6" t="s">
        <v>221</v>
      </c>
      <c r="I1199" s="133" t="s">
        <v>22</v>
      </c>
      <c r="J1199" s="135" t="s">
        <v>23</v>
      </c>
      <c r="K1199" s="135" t="s">
        <v>215</v>
      </c>
      <c r="L1199" s="6" t="s">
        <v>434</v>
      </c>
      <c r="M1199" s="256">
        <v>30</v>
      </c>
      <c r="N1199" s="256">
        <v>71</v>
      </c>
      <c r="O1199" s="256">
        <v>3</v>
      </c>
      <c r="P1199" s="257">
        <v>1</v>
      </c>
      <c r="Q1199" s="129">
        <v>113</v>
      </c>
      <c r="R1199" s="98">
        <v>0.50009999999999999</v>
      </c>
      <c r="S1199" s="94">
        <f>((Table3.110[[#This Row],[Sample weight, g]]*'2.1. DM'!Q277)/100)*1000</f>
        <v>454.58407342115203</v>
      </c>
      <c r="T1199" s="94">
        <f>'3.2 Digest'!W1199</f>
        <v>178.38407342115204</v>
      </c>
      <c r="U1199" s="153">
        <v>0.33958333333333335</v>
      </c>
      <c r="V1199" s="154">
        <v>41</v>
      </c>
      <c r="W1199" s="153">
        <v>0.6791666666666667</v>
      </c>
      <c r="X1199" s="91">
        <v>85</v>
      </c>
      <c r="Y1199" s="91">
        <v>14.3</v>
      </c>
      <c r="Z1199" s="154">
        <v>40</v>
      </c>
      <c r="AA1199" s="153">
        <v>0.35</v>
      </c>
      <c r="AB1199" s="154">
        <v>92</v>
      </c>
      <c r="AC1199" s="154">
        <v>17.2</v>
      </c>
      <c r="AD1199" s="91"/>
      <c r="AE1199" s="94">
        <f>Table3.110[[#This Row],[Gas 8h, ml]]-Table3.110[[#This Row],[Gas 0h, ml]]</f>
        <v>44</v>
      </c>
      <c r="AF1199" s="94">
        <f>Table3.110[[#This Row],[Gas 24h, ml]]-Table3.110[[#This Row],[V8 Push back, ml]]</f>
        <v>52</v>
      </c>
      <c r="AG1199" s="94">
        <f>Table3.110[[#This Row],[GP 8h, ml]]-(AVERAGE(AE$1159,AE$1160,AE$1193,AE$1194,AE$1229,AE$1230))*$AG$8</f>
        <v>40.533723538635904</v>
      </c>
      <c r="AH1199" s="94">
        <f>Table3.110[[#This Row],[GP 8-24h, ml]]-(AVERAGE(AF$1159,AF$1160,AF$1193,AF$1194,AF$1229,AF$1230))*$AG$8</f>
        <v>47.685592064046816</v>
      </c>
      <c r="AI1199" s="94">
        <f>Table3.110[[#This Row],[Net gas 8-24h, ml]]+Table3.110[[#This Row],[Net gas 8h, ml]]</f>
        <v>88.219315602682713</v>
      </c>
      <c r="AJ1199" s="94">
        <f>Table3.110[[#This Row],[Net gas 8h, ml]]*Table3.110[[#This Row],[CH4 8h %]]%</f>
        <v>5.7963224660249351</v>
      </c>
      <c r="AK1199" s="94">
        <f>Table3.110[[#This Row],[Net gas 8-24h, ml]]*Table3.110[[#This Row],[CH4 24h, %]]%</f>
        <v>8.2019218350160514</v>
      </c>
      <c r="AL1199" s="94">
        <f>Table3.110[[#This Row],[CH4 8-24h, ml]]+Table3.110[[#This Row],[CH4 8h, ml]]</f>
        <v>13.998244301040987</v>
      </c>
      <c r="AM1199" s="94">
        <f>(Table3.110[[#This Row],[Net gas 24h, ml]]/Table3.110[[#This Row],[DM Incubated, mg]])*1000</f>
        <v>194.0660061817683</v>
      </c>
      <c r="AN1199" s="94"/>
      <c r="AO1199" s="94">
        <f>Table3.110[[#This Row],[Digested feed, mg]]/Table3.110[[#This Row],[Net gas 24h, ml]]</f>
        <v>2.0220523385666285</v>
      </c>
      <c r="AP1199" s="94">
        <f>Table3.110[[#This Row],[CH4 8h, ml]]/Table3.110[[#This Row],[Net gas 8h, ml]]%</f>
        <v>14.300000000000002</v>
      </c>
      <c r="AQ1199" s="94">
        <f>Table3.110[[#This Row],[CH4 24h, ml]]/Table3.110[[#This Row],[Net gas 24h, ml]]%</f>
        <v>15.867550326603652</v>
      </c>
      <c r="AR1199" s="94">
        <f>Table3.110[[#This Row],[CH4 24h, ml]]/Table3.110[[#This Row],[DM Incubated, mg]]*1000</f>
        <v>30.793521197721844</v>
      </c>
      <c r="AS1199" s="94">
        <f>Table3.110[[#This Row],[CH4 24h, ml]]/Table3.110[[#This Row],[Digested feed, mg]]*1000</f>
        <v>78.472500557783164</v>
      </c>
      <c r="AT1199" s="94">
        <f>Table3.110[[#This Row],[CH4 24h, ml]]/'3.2 Digest'!AA1199</f>
        <v>-0.57892111793821832</v>
      </c>
      <c r="AU1199" s="94">
        <f>((Table3.110[[#This Row],[CH4 24h, ml]]/28.9)*16.04)/Table3.110[[#This Row],[DM Incubated, mg]]*1000</f>
        <v>17.090937024617933</v>
      </c>
      <c r="AV1199" s="94">
        <f>((Table3.110[[#This Row],[CH4 24h, ml]]/28.9)*16.04)/Table3.110[[#This Row],[Digested feed, mg]]*1000</f>
        <v>43.553595465288652</v>
      </c>
      <c r="AW1199" s="64"/>
    </row>
    <row r="1200" spans="2:49" x14ac:dyDescent="0.35">
      <c r="B1200" s="90">
        <f t="shared" si="18"/>
        <v>1190</v>
      </c>
      <c r="C1200" s="140">
        <v>46085</v>
      </c>
      <c r="D1200" s="6" t="s">
        <v>16</v>
      </c>
      <c r="E1200" s="6" t="s">
        <v>435</v>
      </c>
      <c r="F1200" s="242" t="s">
        <v>219</v>
      </c>
      <c r="G1200" s="242" t="s">
        <v>220</v>
      </c>
      <c r="H1200" s="6" t="s">
        <v>221</v>
      </c>
      <c r="I1200" s="133" t="s">
        <v>22</v>
      </c>
      <c r="J1200" s="135" t="s">
        <v>23</v>
      </c>
      <c r="K1200" s="135" t="s">
        <v>215</v>
      </c>
      <c r="L1200" s="6" t="s">
        <v>434</v>
      </c>
      <c r="M1200" s="256">
        <v>30</v>
      </c>
      <c r="N1200" s="256">
        <v>71</v>
      </c>
      <c r="O1200" s="256">
        <v>3</v>
      </c>
      <c r="P1200" s="257">
        <v>2</v>
      </c>
      <c r="Q1200" s="129">
        <v>114</v>
      </c>
      <c r="R1200" s="98">
        <v>0.50019999999999998</v>
      </c>
      <c r="S1200" s="94">
        <f>((Table3.110[[#This Row],[Sample weight, g]]*'2.1. DM'!Q277)/100)*1000</f>
        <v>454.67497205610925</v>
      </c>
      <c r="T1200" s="94">
        <f>'3.2 Digest'!W1200</f>
        <v>221.07497205610923</v>
      </c>
      <c r="U1200" s="117">
        <v>0.34027777777777779</v>
      </c>
      <c r="V1200" s="155">
        <v>42</v>
      </c>
      <c r="W1200" s="117">
        <v>0.67986111111111114</v>
      </c>
      <c r="X1200" s="96">
        <v>88</v>
      </c>
      <c r="Y1200" s="96">
        <v>13.7</v>
      </c>
      <c r="Z1200" s="155">
        <v>40.5</v>
      </c>
      <c r="AA1200" s="117">
        <v>0.35</v>
      </c>
      <c r="AB1200" s="155">
        <v>90.5</v>
      </c>
      <c r="AC1200" s="155">
        <v>17.3</v>
      </c>
      <c r="AD1200" s="96"/>
      <c r="AE1200" s="94">
        <f>Table3.110[[#This Row],[Gas 8h, ml]]-Table3.110[[#This Row],[Gas 0h, ml]]</f>
        <v>46</v>
      </c>
      <c r="AF1200" s="94">
        <f>Table3.110[[#This Row],[Gas 24h, ml]]-Table3.110[[#This Row],[V8 Push back, ml]]</f>
        <v>50</v>
      </c>
      <c r="AG1200" s="94">
        <f>Table3.110[[#This Row],[GP 8h, ml]]-(AVERAGE(AE$1159,AE$1160,AE$1193,AE$1194,AE$1229,AE$1230))*$AG$8</f>
        <v>42.533723538635904</v>
      </c>
      <c r="AH1200" s="94">
        <f>Table3.110[[#This Row],[GP 8-24h, ml]]-(AVERAGE(AF$1159,AF$1160,AF$1193,AF$1194,AF$1229,AF$1230))*$AG$8</f>
        <v>45.685592064046816</v>
      </c>
      <c r="AI1200" s="94">
        <f>Table3.110[[#This Row],[Net gas 8-24h, ml]]+Table3.110[[#This Row],[Net gas 8h, ml]]</f>
        <v>88.219315602682713</v>
      </c>
      <c r="AJ1200" s="94">
        <f>Table3.110[[#This Row],[Net gas 8h, ml]]*Table3.110[[#This Row],[CH4 8h %]]%</f>
        <v>5.8271201247931179</v>
      </c>
      <c r="AK1200" s="94">
        <f>Table3.110[[#This Row],[Net gas 8-24h, ml]]*Table3.110[[#This Row],[CH4 24h, %]]%</f>
        <v>7.9036074270801002</v>
      </c>
      <c r="AL1200" s="94">
        <f>Table3.110[[#This Row],[CH4 8-24h, ml]]+Table3.110[[#This Row],[CH4 8h, ml]]</f>
        <v>13.730727551873219</v>
      </c>
      <c r="AM1200" s="94">
        <f>(Table3.110[[#This Row],[Net gas 24h, ml]]/Table3.110[[#This Row],[DM Incubated, mg]])*1000</f>
        <v>194.02720849960482</v>
      </c>
      <c r="AN1200" s="94">
        <f>'3.2 Digest'!X1200</f>
        <v>48.622639389270681</v>
      </c>
      <c r="AO1200" s="94">
        <f>Table3.110[[#This Row],[Digested feed, mg]]/Table3.110[[#This Row],[Net gas 24h, ml]]</f>
        <v>2.5059701556944116</v>
      </c>
      <c r="AP1200" s="94">
        <f>Table3.110[[#This Row],[CH4 8h, ml]]/Table3.110[[#This Row],[Net gas 8h, ml]]%</f>
        <v>13.699999999999998</v>
      </c>
      <c r="AQ1200" s="94">
        <f>Table3.110[[#This Row],[CH4 24h, ml]]/Table3.110[[#This Row],[Net gas 24h, ml]]%</f>
        <v>15.564309763762974</v>
      </c>
      <c r="AR1200" s="94">
        <f>Table3.110[[#This Row],[CH4 24h, ml]]/Table3.110[[#This Row],[DM Incubated, mg]]*1000</f>
        <v>30.198995756860739</v>
      </c>
      <c r="AS1200" s="94">
        <f>Table3.110[[#This Row],[CH4 24h, ml]]/Table3.110[[#This Row],[Digested feed, mg]]*1000</f>
        <v>62.108919088264479</v>
      </c>
      <c r="AT1200" s="94">
        <f>Table3.110[[#This Row],[CH4 24h, ml]]/'3.2 Digest'!AA1200</f>
        <v>-2.7429257731512773</v>
      </c>
      <c r="AU1200" s="94">
        <f>((Table3.110[[#This Row],[CH4 24h, ml]]/28.9)*16.04)/Table3.110[[#This Row],[DM Incubated, mg]]*1000</f>
        <v>16.760965119032743</v>
      </c>
      <c r="AV1200" s="94">
        <f>((Table3.110[[#This Row],[CH4 24h, ml]]/28.9)*16.04)/Table3.110[[#This Row],[Digested feed, mg]]*1000</f>
        <v>34.471524642759938</v>
      </c>
      <c r="AW1200" s="64"/>
    </row>
    <row r="1201" spans="2:49" x14ac:dyDescent="0.35">
      <c r="B1201" s="90">
        <f t="shared" si="18"/>
        <v>1191</v>
      </c>
      <c r="C1201" s="140">
        <v>46085</v>
      </c>
      <c r="D1201" s="6" t="s">
        <v>16</v>
      </c>
      <c r="E1201" s="6" t="s">
        <v>437</v>
      </c>
      <c r="F1201" s="242" t="s">
        <v>333</v>
      </c>
      <c r="G1201" s="242" t="s">
        <v>438</v>
      </c>
      <c r="H1201" s="6" t="s">
        <v>439</v>
      </c>
      <c r="I1201" s="133" t="s">
        <v>22</v>
      </c>
      <c r="J1201" s="135" t="s">
        <v>23</v>
      </c>
      <c r="K1201" s="135" t="s">
        <v>215</v>
      </c>
      <c r="L1201" s="6" t="s">
        <v>436</v>
      </c>
      <c r="M1201" s="256">
        <v>30</v>
      </c>
      <c r="N1201" s="256">
        <v>71</v>
      </c>
      <c r="O1201" s="256">
        <v>3</v>
      </c>
      <c r="P1201" s="257">
        <v>1</v>
      </c>
      <c r="Q1201" s="129">
        <v>115</v>
      </c>
      <c r="R1201" s="98">
        <v>0.50049999999999994</v>
      </c>
      <c r="S1201" s="94">
        <f>((Table3.110[[#This Row],[Sample weight, g]]*'2.1. DM'!Q279)/100)*1000</f>
        <v>482.81453356040794</v>
      </c>
      <c r="T1201" s="94">
        <f>'3.2 Digest'!W1201</f>
        <v>174.21453356040797</v>
      </c>
      <c r="U1201" s="117">
        <v>0.34097222222222223</v>
      </c>
      <c r="V1201" s="155">
        <v>41</v>
      </c>
      <c r="W1201" s="117">
        <v>0.67986111111111114</v>
      </c>
      <c r="X1201" s="96">
        <v>87</v>
      </c>
      <c r="Y1201" s="96">
        <v>14.2</v>
      </c>
      <c r="Z1201" s="155">
        <v>40</v>
      </c>
      <c r="AA1201" s="117">
        <v>0.35069444444444442</v>
      </c>
      <c r="AB1201" s="155">
        <v>89.5</v>
      </c>
      <c r="AC1201" s="155">
        <v>14.9</v>
      </c>
      <c r="AD1201" s="96"/>
      <c r="AE1201" s="94">
        <f>Table3.110[[#This Row],[Gas 8h, ml]]-Table3.110[[#This Row],[Gas 0h, ml]]</f>
        <v>46</v>
      </c>
      <c r="AF1201" s="94">
        <f>Table3.110[[#This Row],[Gas 24h, ml]]-Table3.110[[#This Row],[V8 Push back, ml]]</f>
        <v>49.5</v>
      </c>
      <c r="AG1201" s="94">
        <f>Table3.110[[#This Row],[GP 8h, ml]]-(AVERAGE(AE$1159,AE$1160,AE$1193,AE$1194,AE$1229,AE$1230))*$AG$8</f>
        <v>42.533723538635904</v>
      </c>
      <c r="AH1201" s="94">
        <f>Table3.110[[#This Row],[GP 8-24h, ml]]-(AVERAGE(AF$1159,AF$1160,AF$1193,AF$1194,AF$1229,AF$1230))*$AG$8</f>
        <v>45.185592064046816</v>
      </c>
      <c r="AI1201" s="94">
        <f>Table3.110[[#This Row],[Net gas 8-24h, ml]]+Table3.110[[#This Row],[Net gas 8h, ml]]</f>
        <v>87.719315602682713</v>
      </c>
      <c r="AJ1201" s="94">
        <f>Table3.110[[#This Row],[Net gas 8h, ml]]*Table3.110[[#This Row],[CH4 8h %]]%</f>
        <v>6.0397887424862979</v>
      </c>
      <c r="AK1201" s="94">
        <f>Table3.110[[#This Row],[Net gas 8-24h, ml]]*Table3.110[[#This Row],[CH4 24h, %]]%</f>
        <v>6.7326532175429756</v>
      </c>
      <c r="AL1201" s="94">
        <f>Table3.110[[#This Row],[CH4 8-24h, ml]]+Table3.110[[#This Row],[CH4 8h, ml]]</f>
        <v>12.772441960029273</v>
      </c>
      <c r="AM1201" s="94">
        <f>(Table3.110[[#This Row],[Net gas 24h, ml]]/Table3.110[[#This Row],[DM Incubated, mg]])*1000</f>
        <v>181.68325413863624</v>
      </c>
      <c r="AN1201" s="94">
        <f>'3.2 Digest'!X1201</f>
        <v>36.083117108282096</v>
      </c>
      <c r="AO1201" s="94">
        <f>Table3.110[[#This Row],[Digested feed, mg]]/Table3.110[[#This Row],[Net gas 24h, ml]]</f>
        <v>1.9860452896087117</v>
      </c>
      <c r="AP1201" s="94">
        <f>Table3.110[[#This Row],[CH4 8h, ml]]/Table3.110[[#This Row],[Net gas 8h, ml]]%</f>
        <v>14.2</v>
      </c>
      <c r="AQ1201" s="94">
        <f>Table3.110[[#This Row],[CH4 24h, ml]]/Table3.110[[#This Row],[Net gas 24h, ml]]%</f>
        <v>14.560580953322729</v>
      </c>
      <c r="AR1201" s="94">
        <f>Table3.110[[#This Row],[CH4 24h, ml]]/Table3.110[[#This Row],[DM Incubated, mg]]*1000</f>
        <v>26.4541372974872</v>
      </c>
      <c r="AS1201" s="94">
        <f>Table3.110[[#This Row],[CH4 24h, ml]]/Table3.110[[#This Row],[Digested feed, mg]]*1000</f>
        <v>73.314445695200831</v>
      </c>
      <c r="AT1201" s="94">
        <f>Table3.110[[#This Row],[CH4 24h, ml]]/'3.2 Digest'!AA1201</f>
        <v>-0.40779407756228125</v>
      </c>
      <c r="AU1201" s="94">
        <f>((Table3.110[[#This Row],[CH4 24h, ml]]/28.9)*16.04)/Table3.110[[#This Row],[DM Incubated, mg]]*1000</f>
        <v>14.682503884141683</v>
      </c>
      <c r="AV1201" s="94">
        <f>((Table3.110[[#This Row],[CH4 24h, ml]]/28.9)*16.04)/Table3.110[[#This Row],[Digested feed, mg]]*1000</f>
        <v>40.690785776851946</v>
      </c>
      <c r="AW1201" s="64"/>
    </row>
    <row r="1202" spans="2:49" x14ac:dyDescent="0.35">
      <c r="B1202" s="90">
        <f t="shared" si="18"/>
        <v>1192</v>
      </c>
      <c r="C1202" s="140">
        <v>46085</v>
      </c>
      <c r="D1202" s="6" t="s">
        <v>16</v>
      </c>
      <c r="E1202" s="6" t="s">
        <v>437</v>
      </c>
      <c r="F1202" s="242" t="s">
        <v>333</v>
      </c>
      <c r="G1202" s="242" t="s">
        <v>438</v>
      </c>
      <c r="H1202" s="6" t="s">
        <v>439</v>
      </c>
      <c r="I1202" s="133" t="s">
        <v>22</v>
      </c>
      <c r="J1202" s="135" t="s">
        <v>23</v>
      </c>
      <c r="K1202" s="135" t="s">
        <v>215</v>
      </c>
      <c r="L1202" s="6" t="s">
        <v>436</v>
      </c>
      <c r="M1202" s="256">
        <v>30</v>
      </c>
      <c r="N1202" s="256">
        <v>71</v>
      </c>
      <c r="O1202" s="256">
        <v>3</v>
      </c>
      <c r="P1202" s="257">
        <v>2</v>
      </c>
      <c r="Q1202" s="129">
        <v>116</v>
      </c>
      <c r="R1202" s="98">
        <v>0.50009999999999999</v>
      </c>
      <c r="S1202" s="94">
        <f>((Table3.110[[#This Row],[Sample weight, g]]*'2.1. DM'!Q279)/100)*1000</f>
        <v>482.42866779932069</v>
      </c>
      <c r="T1202" s="94">
        <f>'3.2 Digest'!W1202</f>
        <v>230.42866779932069</v>
      </c>
      <c r="U1202" s="153">
        <v>0.34236111111111112</v>
      </c>
      <c r="V1202" s="155">
        <v>41</v>
      </c>
      <c r="W1202" s="153">
        <v>0.68055555555555558</v>
      </c>
      <c r="X1202" s="91">
        <v>87.5</v>
      </c>
      <c r="Y1202" s="91">
        <v>14.6</v>
      </c>
      <c r="Z1202" s="154">
        <v>40.5</v>
      </c>
      <c r="AA1202" s="153">
        <v>0.35138888888888886</v>
      </c>
      <c r="AB1202" s="154">
        <v>92.5</v>
      </c>
      <c r="AC1202" s="154">
        <v>14.6</v>
      </c>
      <c r="AD1202" s="91"/>
      <c r="AE1202" s="94">
        <f>Table3.110[[#This Row],[Gas 8h, ml]]-Table3.110[[#This Row],[Gas 0h, ml]]</f>
        <v>46.5</v>
      </c>
      <c r="AF1202" s="94">
        <f>Table3.110[[#This Row],[Gas 24h, ml]]-Table3.110[[#This Row],[V8 Push back, ml]]</f>
        <v>52</v>
      </c>
      <c r="AG1202" s="94">
        <f>Table3.110[[#This Row],[GP 8h, ml]]-(AVERAGE(AE$1159,AE$1160,AE$1193,AE$1194,AE$1229,AE$1230))*$AG$8</f>
        <v>43.033723538635904</v>
      </c>
      <c r="AH1202" s="94">
        <f>Table3.110[[#This Row],[GP 8-24h, ml]]-(AVERAGE(AF$1159,AF$1160,AF$1193,AF$1194,AF$1229,AF$1230))*$AG$8</f>
        <v>47.685592064046816</v>
      </c>
      <c r="AI1202" s="94">
        <f>Table3.110[[#This Row],[Net gas 8-24h, ml]]+Table3.110[[#This Row],[Net gas 8h, ml]]</f>
        <v>90.719315602682713</v>
      </c>
      <c r="AJ1202" s="94">
        <f>Table3.110[[#This Row],[Net gas 8h, ml]]*Table3.110[[#This Row],[CH4 8h %]]%</f>
        <v>6.2829236366408416</v>
      </c>
      <c r="AK1202" s="94">
        <f>Table3.110[[#This Row],[Net gas 8-24h, ml]]*Table3.110[[#This Row],[CH4 24h, %]]%</f>
        <v>6.9620964413508348</v>
      </c>
      <c r="AL1202" s="94">
        <f>Table3.110[[#This Row],[CH4 8-24h, ml]]+Table3.110[[#This Row],[CH4 8h, ml]]</f>
        <v>13.245020077991676</v>
      </c>
      <c r="AM1202" s="94">
        <f>(Table3.110[[#This Row],[Net gas 24h, ml]]/Table3.110[[#This Row],[DM Incubated, mg]])*1000</f>
        <v>188.04710759937649</v>
      </c>
      <c r="AN1202" s="94">
        <f>'3.2 Digest'!X1202</f>
        <v>47.764298264126744</v>
      </c>
      <c r="AO1202" s="94">
        <f>Table3.110[[#This Row],[Digested feed, mg]]/Table3.110[[#This Row],[Net gas 24h, ml]]</f>
        <v>2.5400177048128718</v>
      </c>
      <c r="AP1202" s="94">
        <f>Table3.110[[#This Row],[CH4 8h, ml]]/Table3.110[[#This Row],[Net gas 8h, ml]]%</f>
        <v>14.6</v>
      </c>
      <c r="AQ1202" s="94">
        <f>Table3.110[[#This Row],[CH4 24h, ml]]/Table3.110[[#This Row],[Net gas 24h, ml]]%</f>
        <v>14.6</v>
      </c>
      <c r="AR1202" s="94">
        <f>Table3.110[[#This Row],[CH4 24h, ml]]/Table3.110[[#This Row],[DM Incubated, mg]]*1000</f>
        <v>27.454877709508963</v>
      </c>
      <c r="AS1202" s="94">
        <f>Table3.110[[#This Row],[CH4 24h, ml]]/Table3.110[[#This Row],[Digested feed, mg]]*1000</f>
        <v>57.479914302706057</v>
      </c>
      <c r="AT1202" s="94">
        <f>Table3.110[[#This Row],[CH4 24h, ml]]/'3.2 Digest'!AA1202</f>
        <v>-1.8091392116293827</v>
      </c>
      <c r="AU1202" s="94">
        <f>((Table3.110[[#This Row],[CH4 24h, ml]]/28.9)*16.04)/Table3.110[[#This Row],[DM Incubated, mg]]*1000</f>
        <v>15.237932126661724</v>
      </c>
      <c r="AV1202" s="94">
        <f>((Table3.110[[#This Row],[CH4 24h, ml]]/28.9)*16.04)/Table3.110[[#This Row],[Digested feed, mg]]*1000</f>
        <v>31.902346900187027</v>
      </c>
      <c r="AW1202" s="64"/>
    </row>
    <row r="1203" spans="2:49" x14ac:dyDescent="0.35">
      <c r="B1203" s="90">
        <f t="shared" si="18"/>
        <v>1193</v>
      </c>
      <c r="C1203" s="140">
        <v>46085</v>
      </c>
      <c r="D1203" s="6" t="s">
        <v>16</v>
      </c>
      <c r="E1203" s="6" t="s">
        <v>441</v>
      </c>
      <c r="F1203" s="242" t="s">
        <v>442</v>
      </c>
      <c r="G1203" s="242" t="s">
        <v>443</v>
      </c>
      <c r="H1203" s="6" t="s">
        <v>444</v>
      </c>
      <c r="I1203" s="133" t="s">
        <v>22</v>
      </c>
      <c r="J1203" s="135" t="s">
        <v>23</v>
      </c>
      <c r="K1203" s="135" t="s">
        <v>215</v>
      </c>
      <c r="L1203" s="6" t="s">
        <v>440</v>
      </c>
      <c r="M1203" s="256">
        <v>30</v>
      </c>
      <c r="N1203" s="256">
        <v>71</v>
      </c>
      <c r="O1203" s="256">
        <v>3</v>
      </c>
      <c r="P1203" s="257">
        <v>1</v>
      </c>
      <c r="Q1203" s="129">
        <v>117</v>
      </c>
      <c r="R1203" s="98">
        <v>0.50019999999999998</v>
      </c>
      <c r="S1203" s="94">
        <f>((Table3.110[[#This Row],[Sample weight, g]]*'2.1. DM'!Q281)/100)*1000</f>
        <v>481.1980798142074</v>
      </c>
      <c r="T1203" s="94">
        <f>'3.2 Digest'!W1203</f>
        <v>68.098079814207381</v>
      </c>
      <c r="U1203" s="153">
        <v>0.34236111111111112</v>
      </c>
      <c r="V1203" s="155">
        <v>40</v>
      </c>
      <c r="W1203" s="153">
        <v>0.68055555555555558</v>
      </c>
      <c r="X1203" s="91">
        <v>72.5</v>
      </c>
      <c r="Y1203" s="91">
        <v>13</v>
      </c>
      <c r="Z1203" s="154">
        <v>40</v>
      </c>
      <c r="AA1203" s="153">
        <v>0.35138888888888886</v>
      </c>
      <c r="AB1203" s="154">
        <v>70</v>
      </c>
      <c r="AC1203" s="154">
        <v>14.7</v>
      </c>
      <c r="AD1203" s="91"/>
      <c r="AE1203" s="94">
        <f>Table3.110[[#This Row],[Gas 8h, ml]]-Table3.110[[#This Row],[Gas 0h, ml]]</f>
        <v>32.5</v>
      </c>
      <c r="AF1203" s="94">
        <f>Table3.110[[#This Row],[Gas 24h, ml]]-Table3.110[[#This Row],[V8 Push back, ml]]</f>
        <v>30</v>
      </c>
      <c r="AG1203" s="94">
        <f>Table3.110[[#This Row],[GP 8h, ml]]-(AVERAGE(AE$1159,AE$1160,AE$1193,AE$1194,AE$1229,AE$1230))*$AG$8</f>
        <v>29.0337235386359</v>
      </c>
      <c r="AH1203" s="94">
        <f>Table3.110[[#This Row],[GP 8-24h, ml]]-(AVERAGE(AF$1159,AF$1160,AF$1193,AF$1194,AF$1229,AF$1230))*$AG$8</f>
        <v>25.685592064046812</v>
      </c>
      <c r="AI1203" s="94">
        <f>Table3.110[[#This Row],[Net gas 8-24h, ml]]+Table3.110[[#This Row],[Net gas 8h, ml]]</f>
        <v>54.719315602682713</v>
      </c>
      <c r="AJ1203" s="94">
        <f>Table3.110[[#This Row],[Net gas 8h, ml]]*Table3.110[[#This Row],[CH4 8h %]]%</f>
        <v>3.7743840600226672</v>
      </c>
      <c r="AK1203" s="94">
        <f>Table3.110[[#This Row],[Net gas 8-24h, ml]]*Table3.110[[#This Row],[CH4 24h, %]]%</f>
        <v>3.7757820334148811</v>
      </c>
      <c r="AL1203" s="94">
        <f>Table3.110[[#This Row],[CH4 8-24h, ml]]+Table3.110[[#This Row],[CH4 8h, ml]]</f>
        <v>7.5501660934375483</v>
      </c>
      <c r="AM1203" s="94">
        <f>(Table3.110[[#This Row],[Net gas 24h, ml]]/Table3.110[[#This Row],[DM Incubated, mg]])*1000</f>
        <v>113.71474221969063</v>
      </c>
      <c r="AN1203" s="94">
        <f>'3.2 Digest'!X1203</f>
        <v>14.151777131051798</v>
      </c>
      <c r="AO1203" s="94">
        <f>Table3.110[[#This Row],[Digested feed, mg]]/Table3.110[[#This Row],[Net gas 24h, ml]]</f>
        <v>1.2444980180064378</v>
      </c>
      <c r="AP1203" s="94">
        <f>Table3.110[[#This Row],[CH4 8h, ml]]/Table3.110[[#This Row],[Net gas 8h, ml]]%</f>
        <v>13</v>
      </c>
      <c r="AQ1203" s="94">
        <f>Table3.110[[#This Row],[CH4 24h, ml]]/Table3.110[[#This Row],[Net gas 24h, ml]]%</f>
        <v>13.79799072828204</v>
      </c>
      <c r="AR1203" s="94">
        <f>Table3.110[[#This Row],[CH4 24h, ml]]/Table3.110[[#This Row],[DM Incubated, mg]]*1000</f>
        <v>15.690349588162736</v>
      </c>
      <c r="AS1203" s="94">
        <f>Table3.110[[#This Row],[CH4 24h, ml]]/Table3.110[[#This Row],[Digested feed, mg]]*1000</f>
        <v>110.87193815209969</v>
      </c>
      <c r="AT1203" s="94">
        <f>Table3.110[[#This Row],[CH4 24h, ml]]/'3.2 Digest'!AA1203</f>
        <v>-0.19927407137331857</v>
      </c>
      <c r="AU1203" s="94">
        <f>((Table3.110[[#This Row],[CH4 24h, ml]]/28.9)*16.04)/Table3.110[[#This Row],[DM Incubated, mg]]*1000</f>
        <v>8.708415480765753</v>
      </c>
      <c r="AV1203" s="94">
        <f>((Table3.110[[#This Row],[CH4 24h, ml]]/28.9)*16.04)/Table3.110[[#This Row],[Digested feed, mg]]*1000</f>
        <v>61.535843874037326</v>
      </c>
      <c r="AW1203" s="64"/>
    </row>
    <row r="1204" spans="2:49" x14ac:dyDescent="0.35">
      <c r="B1204" s="90">
        <f t="shared" si="18"/>
        <v>1194</v>
      </c>
      <c r="C1204" s="140">
        <v>46085</v>
      </c>
      <c r="D1204" s="6" t="s">
        <v>16</v>
      </c>
      <c r="E1204" s="6" t="s">
        <v>441</v>
      </c>
      <c r="F1204" s="242" t="s">
        <v>442</v>
      </c>
      <c r="G1204" s="242" t="s">
        <v>443</v>
      </c>
      <c r="H1204" s="6" t="s">
        <v>444</v>
      </c>
      <c r="I1204" s="133" t="s">
        <v>22</v>
      </c>
      <c r="J1204" s="135" t="s">
        <v>23</v>
      </c>
      <c r="K1204" s="135" t="s">
        <v>215</v>
      </c>
      <c r="L1204" s="6" t="s">
        <v>440</v>
      </c>
      <c r="M1204" s="256">
        <v>30</v>
      </c>
      <c r="N1204" s="256">
        <v>71</v>
      </c>
      <c r="O1204" s="256">
        <v>3</v>
      </c>
      <c r="P1204" s="257">
        <v>2</v>
      </c>
      <c r="Q1204" s="129">
        <v>118</v>
      </c>
      <c r="R1204" s="98">
        <v>0.50019999999999998</v>
      </c>
      <c r="S1204" s="94">
        <f>((Table3.110[[#This Row],[Sample weight, g]]*'2.1. DM'!Q281)/100)*1000</f>
        <v>481.1980798142074</v>
      </c>
      <c r="T1204" s="94">
        <f>'3.2 Digest'!W1204</f>
        <v>104.29807981420737</v>
      </c>
      <c r="U1204" s="117">
        <v>0.34236111111111112</v>
      </c>
      <c r="V1204" s="155">
        <v>40</v>
      </c>
      <c r="W1204" s="117">
        <v>0.68125000000000002</v>
      </c>
      <c r="X1204" s="96">
        <v>71</v>
      </c>
      <c r="Y1204" s="96">
        <v>13</v>
      </c>
      <c r="Z1204" s="155">
        <v>40</v>
      </c>
      <c r="AA1204" s="117">
        <v>0.35208333333333336</v>
      </c>
      <c r="AB1204" s="155">
        <v>75.5</v>
      </c>
      <c r="AC1204" s="155">
        <v>14.4</v>
      </c>
      <c r="AD1204" s="96"/>
      <c r="AE1204" s="94">
        <f>Table3.110[[#This Row],[Gas 8h, ml]]-Table3.110[[#This Row],[Gas 0h, ml]]</f>
        <v>31</v>
      </c>
      <c r="AF1204" s="94">
        <f>Table3.110[[#This Row],[Gas 24h, ml]]-Table3.110[[#This Row],[V8 Push back, ml]]</f>
        <v>35.5</v>
      </c>
      <c r="AG1204" s="94">
        <f>Table3.110[[#This Row],[GP 8h, ml]]-(AVERAGE(AE$1159,AE$1160,AE$1193,AE$1194,AE$1229,AE$1230))*$AG$8</f>
        <v>27.5337235386359</v>
      </c>
      <c r="AH1204" s="94">
        <f>Table3.110[[#This Row],[GP 8-24h, ml]]-(AVERAGE(AF$1159,AF$1160,AF$1193,AF$1194,AF$1229,AF$1230))*$AG$8</f>
        <v>31.185592064046812</v>
      </c>
      <c r="AI1204" s="94">
        <f>Table3.110[[#This Row],[Net gas 8-24h, ml]]+Table3.110[[#This Row],[Net gas 8h, ml]]</f>
        <v>58.719315602682713</v>
      </c>
      <c r="AJ1204" s="94">
        <f>Table3.110[[#This Row],[Net gas 8h, ml]]*Table3.110[[#This Row],[CH4 8h %]]%</f>
        <v>3.5793840600226674</v>
      </c>
      <c r="AK1204" s="94">
        <f>Table3.110[[#This Row],[Net gas 8-24h, ml]]*Table3.110[[#This Row],[CH4 24h, %]]%</f>
        <v>4.4907252572227412</v>
      </c>
      <c r="AL1204" s="94">
        <f>Table3.110[[#This Row],[CH4 8-24h, ml]]+Table3.110[[#This Row],[CH4 8h, ml]]</f>
        <v>8.070109317245409</v>
      </c>
      <c r="AM1204" s="94">
        <f>(Table3.110[[#This Row],[Net gas 24h, ml]]/Table3.110[[#This Row],[DM Incubated, mg]])*1000</f>
        <v>122.02732734377179</v>
      </c>
      <c r="AN1204" s="94">
        <f>'3.2 Digest'!X1204</f>
        <v>21.674666668345246</v>
      </c>
      <c r="AO1204" s="94">
        <f>Table3.110[[#This Row],[Digested feed, mg]]/Table3.110[[#This Row],[Net gas 24h, ml]]</f>
        <v>1.77621415957788</v>
      </c>
      <c r="AP1204" s="94">
        <f>Table3.110[[#This Row],[CH4 8h, ml]]/Table3.110[[#This Row],[Net gas 8h, ml]]%</f>
        <v>13</v>
      </c>
      <c r="AQ1204" s="94">
        <f>Table3.110[[#This Row],[CH4 24h, ml]]/Table3.110[[#This Row],[Net gas 24h, ml]]%</f>
        <v>13.743534362441904</v>
      </c>
      <c r="AR1204" s="94">
        <f>Table3.110[[#This Row],[CH4 24h, ml]]/Table3.110[[#This Row],[DM Incubated, mg]]*1000</f>
        <v>16.770867665060742</v>
      </c>
      <c r="AS1204" s="94">
        <f>Table3.110[[#This Row],[CH4 24h, ml]]/Table3.110[[#This Row],[Digested feed, mg]]*1000</f>
        <v>77.375435210515803</v>
      </c>
      <c r="AT1204" s="94">
        <f>Table3.110[[#This Row],[CH4 24h, ml]]/'3.2 Digest'!AA1204</f>
        <v>-0.31273214933313981</v>
      </c>
      <c r="AU1204" s="94">
        <f>((Table3.110[[#This Row],[CH4 24h, ml]]/28.9)*16.04)/Table3.110[[#This Row],[DM Incubated, mg]]*1000</f>
        <v>9.3081217075285227</v>
      </c>
      <c r="AV1204" s="94">
        <f>((Table3.110[[#This Row],[CH4 24h, ml]]/28.9)*16.04)/Table3.110[[#This Row],[Digested feed, mg]]*1000</f>
        <v>42.944705217185934</v>
      </c>
      <c r="AW1204" s="64"/>
    </row>
    <row r="1205" spans="2:49" x14ac:dyDescent="0.35">
      <c r="B1205" s="90">
        <f t="shared" si="18"/>
        <v>1195</v>
      </c>
      <c r="C1205" s="140">
        <v>46085</v>
      </c>
      <c r="D1205" s="6" t="s">
        <v>16</v>
      </c>
      <c r="E1205" s="6" t="s">
        <v>446</v>
      </c>
      <c r="F1205" s="242" t="s">
        <v>442</v>
      </c>
      <c r="G1205" s="242" t="s">
        <v>447</v>
      </c>
      <c r="H1205" s="6" t="s">
        <v>448</v>
      </c>
      <c r="I1205" s="133" t="s">
        <v>22</v>
      </c>
      <c r="J1205" s="135" t="s">
        <v>23</v>
      </c>
      <c r="K1205" s="135" t="s">
        <v>215</v>
      </c>
      <c r="L1205" s="6" t="s">
        <v>445</v>
      </c>
      <c r="M1205" s="256">
        <v>30</v>
      </c>
      <c r="N1205" s="256">
        <v>71</v>
      </c>
      <c r="O1205" s="256">
        <v>3</v>
      </c>
      <c r="P1205" s="257">
        <v>1</v>
      </c>
      <c r="Q1205" s="129">
        <v>119</v>
      </c>
      <c r="R1205" s="98">
        <v>0.50049999999999994</v>
      </c>
      <c r="S1205" s="94">
        <f>((Table3.110[[#This Row],[Sample weight, g]]*'2.1. DM'!Q283)/100)*1000</f>
        <v>476.93588541628424</v>
      </c>
      <c r="T1205" s="94">
        <f>'3.2 Digest'!W1205</f>
        <v>76.535885416284259</v>
      </c>
      <c r="U1205" s="117">
        <v>0.34236111111111112</v>
      </c>
      <c r="V1205" s="155">
        <v>40.5</v>
      </c>
      <c r="W1205" s="117">
        <v>0.68125000000000002</v>
      </c>
      <c r="X1205" s="96">
        <v>79.5</v>
      </c>
      <c r="Y1205" s="96">
        <v>13.5</v>
      </c>
      <c r="Z1205" s="155">
        <v>40</v>
      </c>
      <c r="AA1205" s="117">
        <v>0.35208333333333336</v>
      </c>
      <c r="AB1205" s="155">
        <v>79.5</v>
      </c>
      <c r="AC1205" s="155">
        <v>15.4</v>
      </c>
      <c r="AD1205" s="96"/>
      <c r="AE1205" s="94">
        <f>Table3.110[[#This Row],[Gas 8h, ml]]-Table3.110[[#This Row],[Gas 0h, ml]]</f>
        <v>39</v>
      </c>
      <c r="AF1205" s="94">
        <f>Table3.110[[#This Row],[Gas 24h, ml]]-Table3.110[[#This Row],[V8 Push back, ml]]</f>
        <v>39.5</v>
      </c>
      <c r="AG1205" s="94"/>
      <c r="AH1205" s="94"/>
      <c r="AI1205" s="94"/>
      <c r="AJ1205" s="94"/>
      <c r="AK1205" s="94"/>
      <c r="AL1205" s="94"/>
      <c r="AM1205" s="94"/>
      <c r="AN1205" s="94"/>
      <c r="AO1205" s="94"/>
      <c r="AP1205" s="94"/>
      <c r="AQ1205" s="94"/>
      <c r="AR1205" s="94"/>
      <c r="AS1205" s="94"/>
      <c r="AT1205" s="94"/>
      <c r="AU1205" s="94"/>
      <c r="AV1205" s="94"/>
      <c r="AW1205" s="64" t="s">
        <v>669</v>
      </c>
    </row>
    <row r="1206" spans="2:49" x14ac:dyDescent="0.35">
      <c r="B1206" s="90">
        <f t="shared" si="18"/>
        <v>1196</v>
      </c>
      <c r="C1206" s="140">
        <v>46085</v>
      </c>
      <c r="D1206" s="6" t="s">
        <v>16</v>
      </c>
      <c r="E1206" s="6" t="s">
        <v>446</v>
      </c>
      <c r="F1206" s="242" t="s">
        <v>442</v>
      </c>
      <c r="G1206" s="242" t="s">
        <v>447</v>
      </c>
      <c r="H1206" s="6" t="s">
        <v>448</v>
      </c>
      <c r="I1206" s="133" t="s">
        <v>22</v>
      </c>
      <c r="J1206" s="135" t="s">
        <v>23</v>
      </c>
      <c r="K1206" s="135" t="s">
        <v>215</v>
      </c>
      <c r="L1206" s="6" t="s">
        <v>445</v>
      </c>
      <c r="M1206" s="256">
        <v>30</v>
      </c>
      <c r="N1206" s="256">
        <v>71</v>
      </c>
      <c r="O1206" s="256">
        <v>3</v>
      </c>
      <c r="P1206" s="257">
        <v>2</v>
      </c>
      <c r="Q1206" s="129">
        <v>120</v>
      </c>
      <c r="R1206" s="98">
        <v>0.50009999999999999</v>
      </c>
      <c r="S1206" s="94">
        <f>((Table3.110[[#This Row],[Sample weight, g]]*'2.1. DM'!Q283)/100)*1000</f>
        <v>476.55471787549203</v>
      </c>
      <c r="T1206" s="94">
        <f>'3.2 Digest'!W1206</f>
        <v>160.05471787549203</v>
      </c>
      <c r="U1206" s="153">
        <v>0.34236111111111112</v>
      </c>
      <c r="V1206" s="155">
        <v>40.5</v>
      </c>
      <c r="W1206" s="153">
        <v>0.68194444444444446</v>
      </c>
      <c r="X1206" s="91">
        <v>80</v>
      </c>
      <c r="Y1206" s="91">
        <v>13.3</v>
      </c>
      <c r="Z1206" s="154">
        <v>40</v>
      </c>
      <c r="AA1206" s="153">
        <v>0.3527777777777778</v>
      </c>
      <c r="AB1206" s="154">
        <v>80.5</v>
      </c>
      <c r="AC1206" s="154">
        <v>15.7</v>
      </c>
      <c r="AD1206" s="91"/>
      <c r="AE1206" s="94">
        <f>Table3.110[[#This Row],[Gas 8h, ml]]-Table3.110[[#This Row],[Gas 0h, ml]]</f>
        <v>39.5</v>
      </c>
      <c r="AF1206" s="94">
        <f>Table3.110[[#This Row],[Gas 24h, ml]]-Table3.110[[#This Row],[V8 Push back, ml]]</f>
        <v>40.5</v>
      </c>
      <c r="AG1206" s="94">
        <f>Table3.110[[#This Row],[GP 8h, ml]]-(AVERAGE(AE$1159,AE$1160,AE$1193,AE$1194,AE$1229,AE$1230))*$AG$8</f>
        <v>36.033723538635904</v>
      </c>
      <c r="AH1206" s="94">
        <f>Table3.110[[#This Row],[GP 8-24h, ml]]-(AVERAGE(AF$1159,AF$1160,AF$1193,AF$1194,AF$1229,AF$1230))*$AG$8</f>
        <v>36.185592064046816</v>
      </c>
      <c r="AI1206" s="94">
        <f>Table3.110[[#This Row],[Net gas 8-24h, ml]]+Table3.110[[#This Row],[Net gas 8h, ml]]</f>
        <v>72.219315602682713</v>
      </c>
      <c r="AJ1206" s="94">
        <f>Table3.110[[#This Row],[Net gas 8h, ml]]*Table3.110[[#This Row],[CH4 8h %]]%</f>
        <v>4.7924852306385759</v>
      </c>
      <c r="AK1206" s="94">
        <f>Table3.110[[#This Row],[Net gas 8-24h, ml]]*Table3.110[[#This Row],[CH4 24h, %]]%</f>
        <v>5.6811379540553499</v>
      </c>
      <c r="AL1206" s="94">
        <f>Table3.110[[#This Row],[CH4 8-24h, ml]]+Table3.110[[#This Row],[CH4 8h, ml]]</f>
        <v>10.473623184693926</v>
      </c>
      <c r="AM1206" s="94">
        <f>(Table3.110[[#This Row],[Net gas 24h, ml]]/Table3.110[[#This Row],[DM Incubated, mg]])*1000</f>
        <v>151.54464512415387</v>
      </c>
      <c r="AN1206" s="94">
        <f>'3.2 Digest'!X1206</f>
        <v>33.585800721693623</v>
      </c>
      <c r="AO1206" s="94">
        <f>Table3.110[[#This Row],[Digested feed, mg]]/Table3.110[[#This Row],[Net gas 24h, ml]]</f>
        <v>2.2162314408521828</v>
      </c>
      <c r="AP1206" s="94">
        <f>Table3.110[[#This Row],[CH4 8h, ml]]/Table3.110[[#This Row],[Net gas 8h, ml]]%</f>
        <v>13.300000000000002</v>
      </c>
      <c r="AQ1206" s="94">
        <f>Table3.110[[#This Row],[CH4 24h, ml]]/Table3.110[[#This Row],[Net gas 24h, ml]]%</f>
        <v>14.502523455518409</v>
      </c>
      <c r="AR1206" s="94">
        <f>Table3.110[[#This Row],[CH4 24h, ml]]/Table3.110[[#This Row],[DM Incubated, mg]]*1000</f>
        <v>21.97779770471255</v>
      </c>
      <c r="AS1206" s="94">
        <f>Table3.110[[#This Row],[CH4 24h, ml]]/Table3.110[[#This Row],[Digested feed, mg]]*1000</f>
        <v>65.437766057239557</v>
      </c>
      <c r="AT1206" s="94">
        <f>Table3.110[[#This Row],[CH4 24h, ml]]/'3.2 Digest'!AA1206</f>
        <v>-0.47582820045372465</v>
      </c>
      <c r="AU1206" s="94">
        <f>((Table3.110[[#This Row],[CH4 24h, ml]]/28.9)*16.04)/Table3.110[[#This Row],[DM Incubated, mg]]*1000</f>
        <v>12.198057964830081</v>
      </c>
      <c r="AV1206" s="94">
        <f>((Table3.110[[#This Row],[CH4 24h, ml]]/28.9)*16.04)/Table3.110[[#This Row],[Digested feed, mg]]*1000</f>
        <v>36.319092303049224</v>
      </c>
      <c r="AW1206" s="64"/>
    </row>
    <row r="1207" spans="2:49" x14ac:dyDescent="0.35">
      <c r="B1207" s="90">
        <f t="shared" si="18"/>
        <v>1197</v>
      </c>
      <c r="C1207" s="140">
        <v>46085</v>
      </c>
      <c r="D1207" s="6" t="s">
        <v>16</v>
      </c>
      <c r="E1207" s="6" t="s">
        <v>450</v>
      </c>
      <c r="F1207" s="242" t="s">
        <v>442</v>
      </c>
      <c r="G1207" s="242" t="s">
        <v>451</v>
      </c>
      <c r="H1207" s="6" t="s">
        <v>452</v>
      </c>
      <c r="I1207" s="133" t="s">
        <v>22</v>
      </c>
      <c r="J1207" s="135" t="s">
        <v>23</v>
      </c>
      <c r="K1207" s="135" t="s">
        <v>215</v>
      </c>
      <c r="L1207" s="6" t="s">
        <v>449</v>
      </c>
      <c r="M1207" s="256">
        <v>30</v>
      </c>
      <c r="N1207" s="256">
        <v>71</v>
      </c>
      <c r="O1207" s="256">
        <v>3</v>
      </c>
      <c r="P1207" s="257">
        <v>1</v>
      </c>
      <c r="Q1207" s="129">
        <v>121</v>
      </c>
      <c r="R1207" s="98">
        <v>0.5</v>
      </c>
      <c r="S1207" s="94">
        <f>((Table3.110[[#This Row],[Sample weight, g]]*'2.1. DM'!Q285)/100)*1000</f>
        <v>482.17938530734654</v>
      </c>
      <c r="T1207" s="94">
        <f>'3.2 Digest'!W1207</f>
        <v>88.679385307346593</v>
      </c>
      <c r="U1207" s="153">
        <v>0.34305555555555556</v>
      </c>
      <c r="V1207" s="155">
        <v>41</v>
      </c>
      <c r="W1207" s="153">
        <v>0.68194444444444446</v>
      </c>
      <c r="X1207" s="91">
        <v>77</v>
      </c>
      <c r="Y1207" s="91">
        <v>14.1</v>
      </c>
      <c r="Z1207" s="154">
        <v>40.5</v>
      </c>
      <c r="AA1207" s="153">
        <v>0.3527777777777778</v>
      </c>
      <c r="AB1207" s="154">
        <v>75.5</v>
      </c>
      <c r="AC1207" s="154">
        <v>16.399999999999999</v>
      </c>
      <c r="AD1207" s="91"/>
      <c r="AE1207" s="94">
        <f>Table3.110[[#This Row],[Gas 8h, ml]]-Table3.110[[#This Row],[Gas 0h, ml]]</f>
        <v>36</v>
      </c>
      <c r="AF1207" s="94">
        <f>Table3.110[[#This Row],[Gas 24h, ml]]-Table3.110[[#This Row],[V8 Push back, ml]]</f>
        <v>35</v>
      </c>
      <c r="AG1207" s="94">
        <f>Table3.110[[#This Row],[GP 8h, ml]]-(AVERAGE(AE$1159,AE$1160,AE$1193,AE$1194,AE$1229,AE$1230))*$AG$8</f>
        <v>32.533723538635904</v>
      </c>
      <c r="AH1207" s="94">
        <f>Table3.110[[#This Row],[GP 8-24h, ml]]-(AVERAGE(AF$1159,AF$1160,AF$1193,AF$1194,AF$1229,AF$1230))*$AG$8</f>
        <v>30.685592064046812</v>
      </c>
      <c r="AI1207" s="94">
        <f>Table3.110[[#This Row],[Net gas 8-24h, ml]]+Table3.110[[#This Row],[Net gas 8h, ml]]</f>
        <v>63.219315602682713</v>
      </c>
      <c r="AJ1207" s="94">
        <f>Table3.110[[#This Row],[Net gas 8h, ml]]*Table3.110[[#This Row],[CH4 8h %]]%</f>
        <v>4.587255018947662</v>
      </c>
      <c r="AK1207" s="94">
        <f>Table3.110[[#This Row],[Net gas 8-24h, ml]]*Table3.110[[#This Row],[CH4 24h, %]]%</f>
        <v>5.0324370985036762</v>
      </c>
      <c r="AL1207" s="94">
        <f>Table3.110[[#This Row],[CH4 8-24h, ml]]+Table3.110[[#This Row],[CH4 8h, ml]]</f>
        <v>9.6196921174513381</v>
      </c>
      <c r="AM1207" s="94">
        <f>(Table3.110[[#This Row],[Net gas 24h, ml]]/Table3.110[[#This Row],[DM Incubated, mg]])*1000</f>
        <v>131.11161017882588</v>
      </c>
      <c r="AN1207" s="94">
        <f>'3.2 Digest'!X1207</f>
        <v>18.391368028067266</v>
      </c>
      <c r="AO1207" s="94">
        <f>Table3.110[[#This Row],[Digested feed, mg]]/Table3.110[[#This Row],[Net gas 24h, ml]]</f>
        <v>1.402726120362864</v>
      </c>
      <c r="AP1207" s="94">
        <f>Table3.110[[#This Row],[CH4 8h, ml]]/Table3.110[[#This Row],[Net gas 8h, ml]]%</f>
        <v>14.099999999999998</v>
      </c>
      <c r="AQ1207" s="94">
        <f>Table3.110[[#This Row],[CH4 24h, ml]]/Table3.110[[#This Row],[Net gas 24h, ml]]%</f>
        <v>15.216381300153028</v>
      </c>
      <c r="AR1207" s="94">
        <f>Table3.110[[#This Row],[CH4 24h, ml]]/Table3.110[[#This Row],[DM Incubated, mg]]*1000</f>
        <v>19.9504425335804</v>
      </c>
      <c r="AS1207" s="94">
        <f>Table3.110[[#This Row],[CH4 24h, ml]]/Table3.110[[#This Row],[Digested feed, mg]]*1000</f>
        <v>108.47720791152575</v>
      </c>
      <c r="AT1207" s="94">
        <f>Table3.110[[#This Row],[CH4 24h, ml]]/'3.2 Digest'!AA1207</f>
        <v>-0.25714310672021601</v>
      </c>
      <c r="AU1207" s="94">
        <f>((Table3.110[[#This Row],[CH4 24h, ml]]/28.9)*16.04)/Table3.110[[#This Row],[DM Incubated, mg]]*1000</f>
        <v>11.072840769502756</v>
      </c>
      <c r="AV1207" s="94">
        <f>((Table3.110[[#This Row],[CH4 24h, ml]]/28.9)*16.04)/Table3.110[[#This Row],[Digested feed, mg]]*1000</f>
        <v>60.206727159199758</v>
      </c>
      <c r="AW1207" s="64"/>
    </row>
    <row r="1208" spans="2:49" x14ac:dyDescent="0.35">
      <c r="B1208" s="90">
        <f t="shared" si="18"/>
        <v>1198</v>
      </c>
      <c r="C1208" s="140">
        <v>46085</v>
      </c>
      <c r="D1208" s="6" t="s">
        <v>16</v>
      </c>
      <c r="E1208" s="6" t="s">
        <v>450</v>
      </c>
      <c r="F1208" s="242" t="s">
        <v>442</v>
      </c>
      <c r="G1208" s="242" t="s">
        <v>451</v>
      </c>
      <c r="H1208" s="6" t="s">
        <v>452</v>
      </c>
      <c r="I1208" s="133" t="s">
        <v>22</v>
      </c>
      <c r="J1208" s="135" t="s">
        <v>23</v>
      </c>
      <c r="K1208" s="135" t="s">
        <v>215</v>
      </c>
      <c r="L1208" s="6" t="s">
        <v>449</v>
      </c>
      <c r="M1208" s="256">
        <v>30</v>
      </c>
      <c r="N1208" s="256">
        <v>71</v>
      </c>
      <c r="O1208" s="256">
        <v>3</v>
      </c>
      <c r="P1208" s="257">
        <v>2</v>
      </c>
      <c r="Q1208" s="129">
        <v>122</v>
      </c>
      <c r="R1208" s="98">
        <v>0.50019999999999998</v>
      </c>
      <c r="S1208" s="94">
        <f>((Table3.110[[#This Row],[Sample weight, g]]*'2.1. DM'!Q285)/100)*1000</f>
        <v>482.3722570614695</v>
      </c>
      <c r="T1208" s="94">
        <f>'3.2 Digest'!W1208</f>
        <v>122.97225706146946</v>
      </c>
      <c r="U1208" s="117">
        <v>0.34305555555555556</v>
      </c>
      <c r="V1208" s="155">
        <v>41</v>
      </c>
      <c r="W1208" s="117">
        <v>0.68263888888888891</v>
      </c>
      <c r="X1208" s="96">
        <v>78</v>
      </c>
      <c r="Y1208" s="96">
        <v>13.9</v>
      </c>
      <c r="Z1208" s="155">
        <v>40</v>
      </c>
      <c r="AA1208" s="117">
        <v>0.35347222222222224</v>
      </c>
      <c r="AB1208" s="155">
        <v>76</v>
      </c>
      <c r="AC1208" s="155">
        <v>16.399999999999999</v>
      </c>
      <c r="AD1208" s="96"/>
      <c r="AE1208" s="94">
        <f>Table3.110[[#This Row],[Gas 8h, ml]]-Table3.110[[#This Row],[Gas 0h, ml]]</f>
        <v>37</v>
      </c>
      <c r="AF1208" s="94">
        <f>Table3.110[[#This Row],[Gas 24h, ml]]-Table3.110[[#This Row],[V8 Push back, ml]]</f>
        <v>36</v>
      </c>
      <c r="AG1208" s="94">
        <f>Table3.110[[#This Row],[GP 8h, ml]]-(AVERAGE(AE$1159,AE$1160,AE$1193,AE$1194,AE$1229,AE$1230))*$AG$8</f>
        <v>33.533723538635904</v>
      </c>
      <c r="AH1208" s="94">
        <f>Table3.110[[#This Row],[GP 8-24h, ml]]-(AVERAGE(AF$1159,AF$1160,AF$1193,AF$1194,AF$1229,AF$1230))*$AG$8</f>
        <v>31.685592064046812</v>
      </c>
      <c r="AI1208" s="94">
        <f>Table3.110[[#This Row],[Net gas 8-24h, ml]]+Table3.110[[#This Row],[Net gas 8h, ml]]</f>
        <v>65.219315602682713</v>
      </c>
      <c r="AJ1208" s="94">
        <f>Table3.110[[#This Row],[Net gas 8h, ml]]*Table3.110[[#This Row],[CH4 8h %]]%</f>
        <v>4.661187571870391</v>
      </c>
      <c r="AK1208" s="94">
        <f>Table3.110[[#This Row],[Net gas 8-24h, ml]]*Table3.110[[#This Row],[CH4 24h, %]]%</f>
        <v>5.1964370985036767</v>
      </c>
      <c r="AL1208" s="94">
        <f>Table3.110[[#This Row],[CH4 8-24h, ml]]+Table3.110[[#This Row],[CH4 8h, ml]]</f>
        <v>9.8576246703740686</v>
      </c>
      <c r="AM1208" s="94">
        <f>(Table3.110[[#This Row],[Net gas 24h, ml]]/Table3.110[[#This Row],[DM Incubated, mg]])*1000</f>
        <v>135.20536193351541</v>
      </c>
      <c r="AN1208" s="94">
        <f>'3.2 Digest'!X1208</f>
        <v>25.493227535637253</v>
      </c>
      <c r="AO1208" s="94">
        <f>Table3.110[[#This Row],[Digested feed, mg]]/Table3.110[[#This Row],[Net gas 24h, ml]]</f>
        <v>1.8855189743268506</v>
      </c>
      <c r="AP1208" s="94">
        <f>Table3.110[[#This Row],[CH4 8h, ml]]/Table3.110[[#This Row],[Net gas 8h, ml]]%</f>
        <v>13.9</v>
      </c>
      <c r="AQ1208" s="94">
        <f>Table3.110[[#This Row],[CH4 24h, ml]]/Table3.110[[#This Row],[Net gas 24h, ml]]%</f>
        <v>15.114578525213146</v>
      </c>
      <c r="AR1208" s="94">
        <f>Table3.110[[#This Row],[CH4 24h, ml]]/Table3.110[[#This Row],[DM Incubated, mg]]*1000</f>
        <v>20.435720599739827</v>
      </c>
      <c r="AS1208" s="94">
        <f>Table3.110[[#This Row],[CH4 24h, ml]]/Table3.110[[#This Row],[Digested feed, mg]]*1000</f>
        <v>80.161370588218048</v>
      </c>
      <c r="AT1208" s="94">
        <f>Table3.110[[#This Row],[CH4 24h, ml]]/'3.2 Digest'!AA1208</f>
        <v>-0.38730248616857732</v>
      </c>
      <c r="AU1208" s="94">
        <f>((Table3.110[[#This Row],[CH4 24h, ml]]/28.9)*16.04)/Table3.110[[#This Row],[DM Incubated, mg]]*1000</f>
        <v>11.342178492035531</v>
      </c>
      <c r="AV1208" s="94">
        <f>((Table3.110[[#This Row],[CH4 24h, ml]]/28.9)*16.04)/Table3.110[[#This Row],[Digested feed, mg]]*1000</f>
        <v>44.490947551384693</v>
      </c>
      <c r="AW1208" s="64"/>
    </row>
    <row r="1209" spans="2:49" x14ac:dyDescent="0.35">
      <c r="B1209" s="90">
        <f t="shared" si="18"/>
        <v>1199</v>
      </c>
      <c r="C1209" s="140">
        <v>46085</v>
      </c>
      <c r="D1209" s="6" t="s">
        <v>16</v>
      </c>
      <c r="E1209" s="6" t="s">
        <v>454</v>
      </c>
      <c r="F1209" s="242" t="s">
        <v>442</v>
      </c>
      <c r="G1209" s="242" t="s">
        <v>455</v>
      </c>
      <c r="H1209" s="6" t="s">
        <v>456</v>
      </c>
      <c r="I1209" s="133" t="s">
        <v>22</v>
      </c>
      <c r="J1209" s="135" t="s">
        <v>23</v>
      </c>
      <c r="K1209" s="135" t="s">
        <v>215</v>
      </c>
      <c r="L1209" s="6" t="s">
        <v>453</v>
      </c>
      <c r="M1209" s="256">
        <v>30</v>
      </c>
      <c r="N1209" s="256">
        <v>71</v>
      </c>
      <c r="O1209" s="256">
        <v>3</v>
      </c>
      <c r="P1209" s="257">
        <v>1</v>
      </c>
      <c r="Q1209" s="129">
        <v>123</v>
      </c>
      <c r="R1209" s="98">
        <v>0.50049999999999994</v>
      </c>
      <c r="S1209" s="94">
        <f>((Table3.110[[#This Row],[Sample weight, g]]*'2.1. DM'!Q287)/100)*1000</f>
        <v>478.8142001993927</v>
      </c>
      <c r="T1209" s="94">
        <f>'3.2 Digest'!W1209</f>
        <v>112.8142001993927</v>
      </c>
      <c r="U1209" s="117">
        <v>0.34305555555555556</v>
      </c>
      <c r="V1209" s="155">
        <v>40.5</v>
      </c>
      <c r="W1209" s="117">
        <v>0.68333333333333335</v>
      </c>
      <c r="X1209" s="96">
        <v>76</v>
      </c>
      <c r="Y1209" s="96">
        <v>13.2</v>
      </c>
      <c r="Z1209" s="155">
        <v>40</v>
      </c>
      <c r="AA1209" s="117">
        <v>0.35416666666666669</v>
      </c>
      <c r="AB1209" s="155">
        <v>77.5</v>
      </c>
      <c r="AC1209" s="155">
        <v>16.5</v>
      </c>
      <c r="AD1209" s="96"/>
      <c r="AE1209" s="94">
        <f>Table3.110[[#This Row],[Gas 8h, ml]]-Table3.110[[#This Row],[Gas 0h, ml]]</f>
        <v>35.5</v>
      </c>
      <c r="AF1209" s="94">
        <f>Table3.110[[#This Row],[Gas 24h, ml]]-Table3.110[[#This Row],[V8 Push back, ml]]</f>
        <v>37.5</v>
      </c>
      <c r="AG1209" s="94">
        <f>Table3.110[[#This Row],[GP 8h, ml]]-(AVERAGE(AE$1159,AE$1160,AE$1193,AE$1194,AE$1229,AE$1230))*$AG$8</f>
        <v>32.033723538635904</v>
      </c>
      <c r="AH1209" s="94">
        <f>Table3.110[[#This Row],[GP 8-24h, ml]]-(AVERAGE(AF$1159,AF$1160,AF$1193,AF$1194,AF$1229,AF$1230))*$AG$8</f>
        <v>33.185592064046816</v>
      </c>
      <c r="AI1209" s="94">
        <f>Table3.110[[#This Row],[Net gas 8-24h, ml]]+Table3.110[[#This Row],[Net gas 8h, ml]]</f>
        <v>65.219315602682713</v>
      </c>
      <c r="AJ1209" s="94">
        <f>Table3.110[[#This Row],[Net gas 8h, ml]]*Table3.110[[#This Row],[CH4 8h %]]%</f>
        <v>4.2284515070999396</v>
      </c>
      <c r="AK1209" s="94">
        <f>Table3.110[[#This Row],[Net gas 8-24h, ml]]*Table3.110[[#This Row],[CH4 24h, %]]%</f>
        <v>5.4756226905677252</v>
      </c>
      <c r="AL1209" s="94">
        <f>Table3.110[[#This Row],[CH4 8-24h, ml]]+Table3.110[[#This Row],[CH4 8h, ml]]</f>
        <v>9.7040741976676657</v>
      </c>
      <c r="AM1209" s="94">
        <f>(Table3.110[[#This Row],[Net gas 24h, ml]]/Table3.110[[#This Row],[DM Incubated, mg]])*1000</f>
        <v>136.21006974213259</v>
      </c>
      <c r="AN1209" s="94">
        <f>'3.2 Digest'!X1209</f>
        <v>23.56116425795506</v>
      </c>
      <c r="AO1209" s="94">
        <f>Table3.110[[#This Row],[Digested feed, mg]]/Table3.110[[#This Row],[Net gas 24h, ml]]</f>
        <v>1.729766698053977</v>
      </c>
      <c r="AP1209" s="94">
        <f>Table3.110[[#This Row],[CH4 8h, ml]]/Table3.110[[#This Row],[Net gas 8h, ml]]%</f>
        <v>13.2</v>
      </c>
      <c r="AQ1209" s="94">
        <f>Table3.110[[#This Row],[CH4 24h, ml]]/Table3.110[[#This Row],[Net gas 24h, ml]]%</f>
        <v>14.87914141384903</v>
      </c>
      <c r="AR1209" s="94">
        <f>Table3.110[[#This Row],[CH4 24h, ml]]/Table3.110[[#This Row],[DM Incubated, mg]]*1000</f>
        <v>20.266888896834296</v>
      </c>
      <c r="AS1209" s="94">
        <f>Table3.110[[#This Row],[CH4 24h, ml]]/Table3.110[[#This Row],[Digested feed, mg]]*1000</f>
        <v>86.01819789101252</v>
      </c>
      <c r="AT1209" s="94">
        <f>Table3.110[[#This Row],[CH4 24h, ml]]/'3.2 Digest'!AA1209</f>
        <v>-0.3860443859850039</v>
      </c>
      <c r="AU1209" s="94">
        <f>((Table3.110[[#This Row],[CH4 24h, ml]]/28.9)*16.04)/Table3.110[[#This Row],[DM Incubated, mg]]*1000</f>
        <v>11.248473975959245</v>
      </c>
      <c r="AV1209" s="94">
        <f>((Table3.110[[#This Row],[CH4 24h, ml]]/28.9)*16.04)/Table3.110[[#This Row],[Digested feed, mg]]*1000</f>
        <v>47.741588033627714</v>
      </c>
      <c r="AW1209" s="64"/>
    </row>
    <row r="1210" spans="2:49" x14ac:dyDescent="0.35">
      <c r="B1210" s="90">
        <f t="shared" si="18"/>
        <v>1200</v>
      </c>
      <c r="C1210" s="140">
        <v>46085</v>
      </c>
      <c r="D1210" s="6" t="s">
        <v>16</v>
      </c>
      <c r="E1210" s="6" t="s">
        <v>454</v>
      </c>
      <c r="F1210" s="242" t="s">
        <v>442</v>
      </c>
      <c r="G1210" s="242" t="s">
        <v>455</v>
      </c>
      <c r="H1210" s="6" t="s">
        <v>456</v>
      </c>
      <c r="I1210" s="133" t="s">
        <v>22</v>
      </c>
      <c r="J1210" s="135" t="s">
        <v>23</v>
      </c>
      <c r="K1210" s="135" t="s">
        <v>215</v>
      </c>
      <c r="L1210" s="6" t="s">
        <v>453</v>
      </c>
      <c r="M1210" s="256">
        <v>30</v>
      </c>
      <c r="N1210" s="256">
        <v>71</v>
      </c>
      <c r="O1210" s="256">
        <v>3</v>
      </c>
      <c r="P1210" s="257">
        <v>2</v>
      </c>
      <c r="Q1210" s="129">
        <v>124</v>
      </c>
      <c r="R1210" s="98">
        <v>0.50019999999999998</v>
      </c>
      <c r="S1210" s="94">
        <f>((Table3.110[[#This Row],[Sample weight, g]]*'2.1. DM'!Q287)/100)*1000</f>
        <v>478.52719868079168</v>
      </c>
      <c r="T1210" s="94">
        <f>'3.2 Digest'!W1210</f>
        <v>143.52719868079174</v>
      </c>
      <c r="U1210" s="153">
        <v>0.34375</v>
      </c>
      <c r="V1210" s="155">
        <v>41</v>
      </c>
      <c r="W1210" s="153">
        <v>0.68333333333333335</v>
      </c>
      <c r="X1210" s="91">
        <v>76.5</v>
      </c>
      <c r="Y1210" s="91">
        <v>13.3</v>
      </c>
      <c r="Z1210" s="154">
        <v>40</v>
      </c>
      <c r="AA1210" s="153">
        <v>0.35416666666666669</v>
      </c>
      <c r="AB1210" s="154">
        <v>77</v>
      </c>
      <c r="AC1210" s="154">
        <v>16.399999999999999</v>
      </c>
      <c r="AD1210" s="91"/>
      <c r="AE1210" s="94">
        <f>Table3.110[[#This Row],[Gas 8h, ml]]-Table3.110[[#This Row],[Gas 0h, ml]]</f>
        <v>35.5</v>
      </c>
      <c r="AF1210" s="94">
        <f>Table3.110[[#This Row],[Gas 24h, ml]]-Table3.110[[#This Row],[V8 Push back, ml]]</f>
        <v>37</v>
      </c>
      <c r="AG1210" s="94">
        <f>Table3.110[[#This Row],[GP 8h, ml]]-(AVERAGE(AE$1159,AE$1160,AE$1193,AE$1194,AE$1229,AE$1230))*$AG$8</f>
        <v>32.033723538635904</v>
      </c>
      <c r="AH1210" s="94">
        <f>Table3.110[[#This Row],[GP 8-24h, ml]]-(AVERAGE(AF$1159,AF$1160,AF$1193,AF$1194,AF$1229,AF$1230))*$AG$8</f>
        <v>32.685592064046816</v>
      </c>
      <c r="AI1210" s="94">
        <f>Table3.110[[#This Row],[Net gas 8-24h, ml]]+Table3.110[[#This Row],[Net gas 8h, ml]]</f>
        <v>64.719315602682713</v>
      </c>
      <c r="AJ1210" s="94">
        <f>Table3.110[[#This Row],[Net gas 8h, ml]]*Table3.110[[#This Row],[CH4 8h %]]%</f>
        <v>4.2604852306385759</v>
      </c>
      <c r="AK1210" s="94">
        <f>Table3.110[[#This Row],[Net gas 8-24h, ml]]*Table3.110[[#This Row],[CH4 24h, %]]%</f>
        <v>5.3604370985036773</v>
      </c>
      <c r="AL1210" s="94">
        <f>Table3.110[[#This Row],[CH4 8-24h, ml]]+Table3.110[[#This Row],[CH4 8h, ml]]</f>
        <v>9.6209223291422532</v>
      </c>
      <c r="AM1210" s="94">
        <f>(Table3.110[[#This Row],[Net gas 24h, ml]]/Table3.110[[#This Row],[DM Incubated, mg]])*1000</f>
        <v>135.2468904193984</v>
      </c>
      <c r="AN1210" s="94">
        <f>'3.2 Digest'!X1210</f>
        <v>29.993529955344002</v>
      </c>
      <c r="AO1210" s="94">
        <f>Table3.110[[#This Row],[Digested feed, mg]]/Table3.110[[#This Row],[Net gas 24h, ml]]</f>
        <v>2.2176872135347847</v>
      </c>
      <c r="AP1210" s="94">
        <f>Table3.110[[#This Row],[CH4 8h, ml]]/Table3.110[[#This Row],[Net gas 8h, ml]]%</f>
        <v>13.3</v>
      </c>
      <c r="AQ1210" s="94">
        <f>Table3.110[[#This Row],[CH4 24h, ml]]/Table3.110[[#This Row],[Net gas 24h, ml]]%</f>
        <v>14.865611973102279</v>
      </c>
      <c r="AR1210" s="94">
        <f>Table3.110[[#This Row],[CH4 24h, ml]]/Table3.110[[#This Row],[DM Incubated, mg]]*1000</f>
        <v>20.105277935434607</v>
      </c>
      <c r="AS1210" s="94">
        <f>Table3.110[[#This Row],[CH4 24h, ml]]/Table3.110[[#This Row],[Digested feed, mg]]*1000</f>
        <v>67.032049796634269</v>
      </c>
      <c r="AT1210" s="94">
        <f>Table3.110[[#This Row],[CH4 24h, ml]]/'3.2 Digest'!AA1210</f>
        <v>-0.65865865198877516</v>
      </c>
      <c r="AU1210" s="94">
        <f>((Table3.110[[#This Row],[CH4 24h, ml]]/28.9)*16.04)/Table3.110[[#This Row],[DM Incubated, mg]]*1000</f>
        <v>11.15877709634502</v>
      </c>
      <c r="AV1210" s="94">
        <f>((Table3.110[[#This Row],[CH4 24h, ml]]/28.9)*16.04)/Table3.110[[#This Row],[Digested feed, mg]]*1000</f>
        <v>37.203947361176944</v>
      </c>
      <c r="AW1210" s="64"/>
    </row>
    <row r="1211" spans="2:49" x14ac:dyDescent="0.35">
      <c r="B1211" s="90">
        <f t="shared" si="18"/>
        <v>1201</v>
      </c>
      <c r="C1211" s="140">
        <v>46085</v>
      </c>
      <c r="D1211" s="6" t="s">
        <v>16</v>
      </c>
      <c r="E1211" s="6" t="s">
        <v>458</v>
      </c>
      <c r="F1211" s="242" t="s">
        <v>333</v>
      </c>
      <c r="G1211" s="242" t="s">
        <v>438</v>
      </c>
      <c r="H1211" s="6" t="s">
        <v>439</v>
      </c>
      <c r="I1211" s="133" t="s">
        <v>22</v>
      </c>
      <c r="J1211" s="135" t="s">
        <v>23</v>
      </c>
      <c r="K1211" s="135" t="s">
        <v>303</v>
      </c>
      <c r="L1211" s="6" t="s">
        <v>457</v>
      </c>
      <c r="M1211" s="256">
        <v>30</v>
      </c>
      <c r="N1211" s="256">
        <v>71</v>
      </c>
      <c r="O1211" s="256">
        <v>3</v>
      </c>
      <c r="P1211" s="257">
        <v>1</v>
      </c>
      <c r="Q1211" s="129">
        <v>125</v>
      </c>
      <c r="R1211" s="98">
        <v>0.50029999999999997</v>
      </c>
      <c r="S1211" s="94">
        <f>((Table3.110[[#This Row],[Sample weight, g]]*'2.1. DM'!Q289)/100)*1000</f>
        <v>477.69100091163534</v>
      </c>
      <c r="T1211" s="94">
        <f>'3.2 Digest'!W1211</f>
        <v>232.99100091163541</v>
      </c>
      <c r="U1211" s="153">
        <v>0.34375</v>
      </c>
      <c r="V1211" s="155">
        <v>41</v>
      </c>
      <c r="W1211" s="153">
        <v>0.68402777777777779</v>
      </c>
      <c r="X1211" s="91">
        <v>83</v>
      </c>
      <c r="Y1211" s="91">
        <v>14.4</v>
      </c>
      <c r="Z1211" s="154">
        <v>40.5</v>
      </c>
      <c r="AA1211" s="153">
        <v>0.35486111111111113</v>
      </c>
      <c r="AB1211" s="154">
        <v>83</v>
      </c>
      <c r="AC1211" s="154">
        <v>14.4</v>
      </c>
      <c r="AD1211" s="91"/>
      <c r="AE1211" s="94">
        <f>Table3.110[[#This Row],[Gas 8h, ml]]-Table3.110[[#This Row],[Gas 0h, ml]]</f>
        <v>42</v>
      </c>
      <c r="AF1211" s="94">
        <f>Table3.110[[#This Row],[Gas 24h, ml]]-Table3.110[[#This Row],[V8 Push back, ml]]</f>
        <v>42.5</v>
      </c>
      <c r="AG1211" s="94">
        <f>Table3.110[[#This Row],[GP 8h, ml]]-(AVERAGE(AE$1159,AE$1160,AE$1193,AE$1194,AE$1229,AE$1230))*$AG$8</f>
        <v>38.533723538635904</v>
      </c>
      <c r="AH1211" s="94">
        <f>Table3.110[[#This Row],[GP 8-24h, ml]]-(AVERAGE(AF$1159,AF$1160,AF$1193,AF$1194,AF$1229,AF$1230))*$AG$8</f>
        <v>38.185592064046816</v>
      </c>
      <c r="AI1211" s="94">
        <f>Table3.110[[#This Row],[Net gas 8-24h, ml]]+Table3.110[[#This Row],[Net gas 8h, ml]]</f>
        <v>76.719315602682713</v>
      </c>
      <c r="AJ1211" s="94">
        <f>Table3.110[[#This Row],[Net gas 8h, ml]]*Table3.110[[#This Row],[CH4 8h %]]%</f>
        <v>5.5488561895635709</v>
      </c>
      <c r="AK1211" s="94">
        <f>Table3.110[[#This Row],[Net gas 8-24h, ml]]*Table3.110[[#This Row],[CH4 24h, %]]%</f>
        <v>5.4987252572227421</v>
      </c>
      <c r="AL1211" s="94">
        <f>Table3.110[[#This Row],[CH4 8-24h, ml]]+Table3.110[[#This Row],[CH4 8h, ml]]</f>
        <v>11.047581446786314</v>
      </c>
      <c r="AM1211" s="94">
        <f>(Table3.110[[#This Row],[Net gas 24h, ml]]/Table3.110[[#This Row],[DM Incubated, mg]])*1000</f>
        <v>160.60448167595786</v>
      </c>
      <c r="AN1211" s="94">
        <f>'3.2 Digest'!X1211</f>
        <v>48.774417032556734</v>
      </c>
      <c r="AO1211" s="94">
        <f>Table3.110[[#This Row],[Digested feed, mg]]/Table3.110[[#This Row],[Net gas 24h, ml]]</f>
        <v>3.0369275205511377</v>
      </c>
      <c r="AP1211" s="94">
        <f>Table3.110[[#This Row],[CH4 8h, ml]]/Table3.110[[#This Row],[Net gas 8h, ml]]%</f>
        <v>14.4</v>
      </c>
      <c r="AQ1211" s="94">
        <f>Table3.110[[#This Row],[CH4 24h, ml]]/Table3.110[[#This Row],[Net gas 24h, ml]]%</f>
        <v>14.400000000000004</v>
      </c>
      <c r="AR1211" s="94">
        <f>Table3.110[[#This Row],[CH4 24h, ml]]/Table3.110[[#This Row],[DM Incubated, mg]]*1000</f>
        <v>23.127045361337942</v>
      </c>
      <c r="AS1211" s="94">
        <f>Table3.110[[#This Row],[CH4 24h, ml]]/Table3.110[[#This Row],[Digested feed, mg]]*1000</f>
        <v>47.416343994231084</v>
      </c>
      <c r="AT1211" s="94">
        <f>Table3.110[[#This Row],[CH4 24h, ml]]/'3.2 Digest'!AA1211</f>
        <v>-0.97341877508506514</v>
      </c>
      <c r="AU1211" s="94">
        <f>((Table3.110[[#This Row],[CH4 24h, ml]]/28.9)*16.04)/Table3.110[[#This Row],[DM Incubated, mg]]*1000</f>
        <v>12.835910297434621</v>
      </c>
      <c r="AV1211" s="94">
        <f>((Table3.110[[#This Row],[CH4 24h, ml]]/28.9)*16.04)/Table3.110[[#This Row],[Digested feed, mg]]*1000</f>
        <v>26.316891268770473</v>
      </c>
      <c r="AW1211" s="64"/>
    </row>
    <row r="1212" spans="2:49" x14ac:dyDescent="0.35">
      <c r="B1212" s="90">
        <f t="shared" si="18"/>
        <v>1202</v>
      </c>
      <c r="C1212" s="140">
        <v>46085</v>
      </c>
      <c r="D1212" s="6" t="s">
        <v>16</v>
      </c>
      <c r="E1212" s="6" t="s">
        <v>458</v>
      </c>
      <c r="F1212" s="242" t="s">
        <v>333</v>
      </c>
      <c r="G1212" s="242" t="s">
        <v>438</v>
      </c>
      <c r="H1212" s="6" t="s">
        <v>439</v>
      </c>
      <c r="I1212" s="133" t="s">
        <v>22</v>
      </c>
      <c r="J1212" s="135" t="s">
        <v>23</v>
      </c>
      <c r="K1212" s="135" t="s">
        <v>303</v>
      </c>
      <c r="L1212" s="6" t="s">
        <v>457</v>
      </c>
      <c r="M1212" s="256">
        <v>30</v>
      </c>
      <c r="N1212" s="256">
        <v>71</v>
      </c>
      <c r="O1212" s="256">
        <v>3</v>
      </c>
      <c r="P1212" s="257">
        <v>2</v>
      </c>
      <c r="Q1212" s="129">
        <v>126</v>
      </c>
      <c r="R1212" s="98">
        <v>0.5</v>
      </c>
      <c r="S1212" s="94">
        <f>((Table3.110[[#This Row],[Sample weight, g]]*'2.1. DM'!Q289)/100)*1000</f>
        <v>477.40455817672938</v>
      </c>
      <c r="T1212" s="94">
        <f>'3.2 Digest'!W1212</f>
        <v>251.00455817672935</v>
      </c>
      <c r="U1212" s="117">
        <v>0.34444444444444444</v>
      </c>
      <c r="V1212" s="155">
        <v>41</v>
      </c>
      <c r="W1212" s="117">
        <v>0.68472222222222223</v>
      </c>
      <c r="X1212" s="96">
        <v>83</v>
      </c>
      <c r="Y1212" s="96">
        <v>14</v>
      </c>
      <c r="Z1212" s="155">
        <v>40</v>
      </c>
      <c r="AA1212" s="117">
        <v>0.35486111111111113</v>
      </c>
      <c r="AB1212" s="155">
        <v>82.5</v>
      </c>
      <c r="AC1212" s="155">
        <v>13.9</v>
      </c>
      <c r="AD1212" s="96"/>
      <c r="AE1212" s="94">
        <f>Table3.110[[#This Row],[Gas 8h, ml]]-Table3.110[[#This Row],[Gas 0h, ml]]</f>
        <v>42</v>
      </c>
      <c r="AF1212" s="94">
        <f>Table3.110[[#This Row],[Gas 24h, ml]]-Table3.110[[#This Row],[V8 Push back, ml]]</f>
        <v>42.5</v>
      </c>
      <c r="AG1212" s="94">
        <f>Table3.110[[#This Row],[GP 8h, ml]]-(AVERAGE(AE$1159,AE$1160,AE$1193,AE$1194,AE$1229,AE$1230))*$AG$8</f>
        <v>38.533723538635904</v>
      </c>
      <c r="AH1212" s="94">
        <f>Table3.110[[#This Row],[GP 8-24h, ml]]-(AVERAGE(AF$1159,AF$1160,AF$1193,AF$1194,AF$1229,AF$1230))*$AG$8</f>
        <v>38.185592064046816</v>
      </c>
      <c r="AI1212" s="94">
        <f>Table3.110[[#This Row],[Net gas 8-24h, ml]]+Table3.110[[#This Row],[Net gas 8h, ml]]</f>
        <v>76.719315602682713</v>
      </c>
      <c r="AJ1212" s="94">
        <f>Table3.110[[#This Row],[Net gas 8h, ml]]*Table3.110[[#This Row],[CH4 8h %]]%</f>
        <v>5.3947212954090267</v>
      </c>
      <c r="AK1212" s="94">
        <f>Table3.110[[#This Row],[Net gas 8-24h, ml]]*Table3.110[[#This Row],[CH4 24h, %]]%</f>
        <v>5.3077972969025078</v>
      </c>
      <c r="AL1212" s="94">
        <f>Table3.110[[#This Row],[CH4 8-24h, ml]]+Table3.110[[#This Row],[CH4 8h, ml]]</f>
        <v>10.702518592311534</v>
      </c>
      <c r="AM1212" s="94">
        <f>(Table3.110[[#This Row],[Net gas 24h, ml]]/Table3.110[[#This Row],[DM Incubated, mg]])*1000</f>
        <v>160.70084436496342</v>
      </c>
      <c r="AN1212" s="94">
        <f>'3.2 Digest'!X1212</f>
        <v>52.576908594117469</v>
      </c>
      <c r="AO1212" s="94">
        <f>Table3.110[[#This Row],[Digested feed, mg]]/Table3.110[[#This Row],[Net gas 24h, ml]]</f>
        <v>3.271725721285661</v>
      </c>
      <c r="AP1212" s="94">
        <f>Table3.110[[#This Row],[CH4 8h, ml]]/Table3.110[[#This Row],[Net gas 8h, ml]]%</f>
        <v>14</v>
      </c>
      <c r="AQ1212" s="94">
        <f>Table3.110[[#This Row],[CH4 24h, ml]]/Table3.110[[#This Row],[Net gas 24h, ml]]%</f>
        <v>13.950226886457378</v>
      </c>
      <c r="AR1212" s="94">
        <f>Table3.110[[#This Row],[CH4 24h, ml]]/Table3.110[[#This Row],[DM Incubated, mg]]*1000</f>
        <v>22.418132397365156</v>
      </c>
      <c r="AS1212" s="94">
        <f>Table3.110[[#This Row],[CH4 24h, ml]]/Table3.110[[#This Row],[Digested feed, mg]]*1000</f>
        <v>42.638741981633729</v>
      </c>
      <c r="AT1212" s="94">
        <f>Table3.110[[#This Row],[CH4 24h, ml]]/'3.2 Digest'!AA1212</f>
        <v>-3.4705987218042647</v>
      </c>
      <c r="AU1212" s="94">
        <f>((Table3.110[[#This Row],[CH4 24h, ml]]/28.9)*16.04)/Table3.110[[#This Row],[DM Incubated, mg]]*1000</f>
        <v>12.442451337499552</v>
      </c>
      <c r="AV1212" s="94">
        <f>((Table3.110[[#This Row],[CH4 24h, ml]]/28.9)*16.04)/Table3.110[[#This Row],[Digested feed, mg]]*1000</f>
        <v>23.665239494304668</v>
      </c>
      <c r="AW1212" s="64"/>
    </row>
    <row r="1213" spans="2:49" x14ac:dyDescent="0.35">
      <c r="B1213" s="90">
        <f t="shared" si="18"/>
        <v>1203</v>
      </c>
      <c r="C1213" s="140">
        <v>46085</v>
      </c>
      <c r="D1213" s="6" t="s">
        <v>16</v>
      </c>
      <c r="E1213" s="6" t="s">
        <v>460</v>
      </c>
      <c r="F1213" s="242" t="s">
        <v>333</v>
      </c>
      <c r="G1213" s="242" t="s">
        <v>461</v>
      </c>
      <c r="H1213" s="6" t="s">
        <v>462</v>
      </c>
      <c r="I1213" s="133" t="s">
        <v>22</v>
      </c>
      <c r="J1213" s="135" t="s">
        <v>23</v>
      </c>
      <c r="K1213" s="135" t="s">
        <v>303</v>
      </c>
      <c r="L1213" s="6" t="s">
        <v>459</v>
      </c>
      <c r="M1213" s="256">
        <v>30</v>
      </c>
      <c r="N1213" s="256">
        <v>71</v>
      </c>
      <c r="O1213" s="256">
        <v>3</v>
      </c>
      <c r="P1213" s="257">
        <v>1</v>
      </c>
      <c r="Q1213" s="129">
        <v>127</v>
      </c>
      <c r="R1213" s="98">
        <v>0.50029999999999997</v>
      </c>
      <c r="S1213" s="94">
        <f>((Table3.110[[#This Row],[Sample weight, g]]*'2.1. DM'!Q291)/100)*1000</f>
        <v>482.49732115949183</v>
      </c>
      <c r="T1213" s="94">
        <f>'3.2 Digest'!W1213</f>
        <v>146.59732115949174</v>
      </c>
      <c r="U1213" s="117">
        <v>0.34444444444444444</v>
      </c>
      <c r="V1213" s="155">
        <v>41</v>
      </c>
      <c r="W1213" s="117">
        <v>0.68541666666666667</v>
      </c>
      <c r="X1213" s="96">
        <v>83</v>
      </c>
      <c r="Y1213" s="96">
        <v>14.8</v>
      </c>
      <c r="Z1213" s="155">
        <v>40</v>
      </c>
      <c r="AA1213" s="117">
        <v>0.35555555555555557</v>
      </c>
      <c r="AB1213" s="155">
        <v>83.5</v>
      </c>
      <c r="AC1213" s="155">
        <v>15.6</v>
      </c>
      <c r="AD1213" s="96"/>
      <c r="AE1213" s="94">
        <f>Table3.110[[#This Row],[Gas 8h, ml]]-Table3.110[[#This Row],[Gas 0h, ml]]</f>
        <v>42</v>
      </c>
      <c r="AF1213" s="94">
        <f>Table3.110[[#This Row],[Gas 24h, ml]]-Table3.110[[#This Row],[V8 Push back, ml]]</f>
        <v>43.5</v>
      </c>
      <c r="AG1213" s="94">
        <f>Table3.110[[#This Row],[GP 8h, ml]]-(AVERAGE(AE$1159,AE$1160,AE$1193,AE$1194,AE$1229,AE$1230))*$AG$8</f>
        <v>38.533723538635904</v>
      </c>
      <c r="AH1213" s="94">
        <f>Table3.110[[#This Row],[GP 8-24h, ml]]-(AVERAGE(AF$1159,AF$1160,AF$1193,AF$1194,AF$1229,AF$1230))*$AG$8</f>
        <v>39.185592064046816</v>
      </c>
      <c r="AI1213" s="94">
        <f>Table3.110[[#This Row],[Net gas 8-24h, ml]]+Table3.110[[#This Row],[Net gas 8h, ml]]</f>
        <v>77.719315602682713</v>
      </c>
      <c r="AJ1213" s="94">
        <f>Table3.110[[#This Row],[Net gas 8h, ml]]*Table3.110[[#This Row],[CH4 8h %]]%</f>
        <v>5.702991083718115</v>
      </c>
      <c r="AK1213" s="94">
        <f>Table3.110[[#This Row],[Net gas 8-24h, ml]]*Table3.110[[#This Row],[CH4 24h, %]]%</f>
        <v>6.1129523619913035</v>
      </c>
      <c r="AL1213" s="94">
        <f>Table3.110[[#This Row],[CH4 8-24h, ml]]+Table3.110[[#This Row],[CH4 8h, ml]]</f>
        <v>11.815943445709419</v>
      </c>
      <c r="AM1213" s="94">
        <f>(Table3.110[[#This Row],[Net gas 24h, ml]]/Table3.110[[#This Row],[DM Incubated, mg]])*1000</f>
        <v>161.07719606798025</v>
      </c>
      <c r="AN1213" s="94">
        <f>'3.2 Digest'!X1213</f>
        <v>30.383033175646023</v>
      </c>
      <c r="AO1213" s="94">
        <f>Table3.110[[#This Row],[Digested feed, mg]]/Table3.110[[#This Row],[Net gas 24h, ml]]</f>
        <v>1.8862405056283267</v>
      </c>
      <c r="AP1213" s="94">
        <f>Table3.110[[#This Row],[CH4 8h, ml]]/Table3.110[[#This Row],[Net gas 8h, ml]]%</f>
        <v>14.800000000000002</v>
      </c>
      <c r="AQ1213" s="94">
        <f>Table3.110[[#This Row],[CH4 24h, ml]]/Table3.110[[#This Row],[Net gas 24h, ml]]%</f>
        <v>15.203354988501154</v>
      </c>
      <c r="AR1213" s="94">
        <f>Table3.110[[#This Row],[CH4 24h, ml]]/Table3.110[[#This Row],[DM Incubated, mg]]*1000</f>
        <v>24.489137923739065</v>
      </c>
      <c r="AS1213" s="94">
        <f>Table3.110[[#This Row],[CH4 24h, ml]]/Table3.110[[#This Row],[Digested feed, mg]]*1000</f>
        <v>80.601359917444654</v>
      </c>
      <c r="AT1213" s="94">
        <f>Table3.110[[#This Row],[CH4 24h, ml]]/'3.2 Digest'!AA1213</f>
        <v>-0.30997474258997709</v>
      </c>
      <c r="AU1213" s="94">
        <f>((Table3.110[[#This Row],[CH4 24h, ml]]/28.9)*16.04)/Table3.110[[#This Row],[DM Incubated, mg]]*1000</f>
        <v>13.591895235182513</v>
      </c>
      <c r="AV1213" s="94">
        <f>((Table3.110[[#This Row],[CH4 24h, ml]]/28.9)*16.04)/Table3.110[[#This Row],[Digested feed, mg]]*1000</f>
        <v>44.735149241377584</v>
      </c>
      <c r="AW1213" s="64"/>
    </row>
    <row r="1214" spans="2:49" x14ac:dyDescent="0.35">
      <c r="B1214" s="90">
        <f t="shared" si="18"/>
        <v>1204</v>
      </c>
      <c r="C1214" s="140">
        <v>46085</v>
      </c>
      <c r="D1214" s="6" t="s">
        <v>16</v>
      </c>
      <c r="E1214" s="6" t="s">
        <v>460</v>
      </c>
      <c r="F1214" s="242" t="s">
        <v>333</v>
      </c>
      <c r="G1214" s="242" t="s">
        <v>461</v>
      </c>
      <c r="H1214" s="6" t="s">
        <v>462</v>
      </c>
      <c r="I1214" s="133" t="s">
        <v>22</v>
      </c>
      <c r="J1214" s="135" t="s">
        <v>23</v>
      </c>
      <c r="K1214" s="135" t="s">
        <v>303</v>
      </c>
      <c r="L1214" s="6" t="s">
        <v>459</v>
      </c>
      <c r="M1214" s="256">
        <v>30</v>
      </c>
      <c r="N1214" s="256">
        <v>71</v>
      </c>
      <c r="O1214" s="256">
        <v>3</v>
      </c>
      <c r="P1214" s="257">
        <v>2</v>
      </c>
      <c r="Q1214" s="129">
        <v>128</v>
      </c>
      <c r="R1214" s="98">
        <v>0.50019999999999998</v>
      </c>
      <c r="S1214" s="94">
        <f>((Table3.110[[#This Row],[Sample weight, g]]*'2.1. DM'!Q291)/100)*1000</f>
        <v>482.40087956021961</v>
      </c>
      <c r="T1214" s="94">
        <f>'3.2 Digest'!W1214</f>
        <v>180.20087956021956</v>
      </c>
      <c r="U1214" s="153">
        <v>0.34444444444444444</v>
      </c>
      <c r="V1214" s="155">
        <v>41.5</v>
      </c>
      <c r="W1214" s="153">
        <v>0.68541666666666667</v>
      </c>
      <c r="X1214" s="91">
        <v>83</v>
      </c>
      <c r="Y1214" s="91">
        <v>14.7</v>
      </c>
      <c r="Z1214" s="154">
        <v>40</v>
      </c>
      <c r="AA1214" s="153">
        <v>0.35555555555555557</v>
      </c>
      <c r="AB1214" s="154">
        <v>83.5</v>
      </c>
      <c r="AC1214" s="154">
        <v>15.5</v>
      </c>
      <c r="AD1214" s="91"/>
      <c r="AE1214" s="94">
        <f>Table3.110[[#This Row],[Gas 8h, ml]]-Table3.110[[#This Row],[Gas 0h, ml]]</f>
        <v>41.5</v>
      </c>
      <c r="AF1214" s="94">
        <f>Table3.110[[#This Row],[Gas 24h, ml]]-Table3.110[[#This Row],[V8 Push back, ml]]</f>
        <v>43.5</v>
      </c>
      <c r="AG1214" s="94">
        <f>Table3.110[[#This Row],[GP 8h, ml]]-(AVERAGE(AE$1159,AE$1160,AE$1193,AE$1194,AE$1229,AE$1230))*$AG$8</f>
        <v>38.033723538635904</v>
      </c>
      <c r="AH1214" s="94">
        <f>Table3.110[[#This Row],[GP 8-24h, ml]]-(AVERAGE(AF$1159,AF$1160,AF$1193,AF$1194,AF$1229,AF$1230))*$AG$8</f>
        <v>39.185592064046816</v>
      </c>
      <c r="AI1214" s="94">
        <f>Table3.110[[#This Row],[Net gas 8-24h, ml]]+Table3.110[[#This Row],[Net gas 8h, ml]]</f>
        <v>77.219315602682713</v>
      </c>
      <c r="AJ1214" s="94">
        <f>Table3.110[[#This Row],[Net gas 8h, ml]]*Table3.110[[#This Row],[CH4 8h %]]%</f>
        <v>5.5909573601794778</v>
      </c>
      <c r="AK1214" s="94">
        <f>Table3.110[[#This Row],[Net gas 8-24h, ml]]*Table3.110[[#This Row],[CH4 24h, %]]%</f>
        <v>6.0737667699272562</v>
      </c>
      <c r="AL1214" s="94">
        <f>Table3.110[[#This Row],[CH4 8-24h, ml]]+Table3.110[[#This Row],[CH4 8h, ml]]</f>
        <v>11.664724130106734</v>
      </c>
      <c r="AM1214" s="94">
        <f>(Table3.110[[#This Row],[Net gas 24h, ml]]/Table3.110[[#This Row],[DM Incubated, mg]])*1000</f>
        <v>160.07291627055</v>
      </c>
      <c r="AN1214" s="94">
        <f>'3.2 Digest'!X1214</f>
        <v>37.35500642629416</v>
      </c>
      <c r="AO1214" s="94">
        <f>Table3.110[[#This Row],[Digested feed, mg]]/Table3.110[[#This Row],[Net gas 24h, ml]]</f>
        <v>2.3336244067146215</v>
      </c>
      <c r="AP1214" s="94">
        <f>Table3.110[[#This Row],[CH4 8h, ml]]/Table3.110[[#This Row],[Net gas 8h, ml]]%</f>
        <v>14.7</v>
      </c>
      <c r="AQ1214" s="94">
        <f>Table3.110[[#This Row],[CH4 24h, ml]]/Table3.110[[#This Row],[Net gas 24h, ml]]%</f>
        <v>15.105966737811238</v>
      </c>
      <c r="AR1214" s="94">
        <f>Table3.110[[#This Row],[CH4 24h, ml]]/Table3.110[[#This Row],[DM Incubated, mg]]*1000</f>
        <v>24.180561488073717</v>
      </c>
      <c r="AS1214" s="94">
        <f>Table3.110[[#This Row],[CH4 24h, ml]]/Table3.110[[#This Row],[Digested feed, mg]]*1000</f>
        <v>64.731782433995349</v>
      </c>
      <c r="AT1214" s="94">
        <f>Table3.110[[#This Row],[CH4 24h, ml]]/'3.2 Digest'!AA1214</f>
        <v>-0.48029151756791455</v>
      </c>
      <c r="AU1214" s="94">
        <f>((Table3.110[[#This Row],[CH4 24h, ml]]/28.9)*16.04)/Table3.110[[#This Row],[DM Incubated, mg]]*1000</f>
        <v>13.420629974695586</v>
      </c>
      <c r="AV1214" s="94">
        <f>((Table3.110[[#This Row],[CH4 24h, ml]]/28.9)*16.04)/Table3.110[[#This Row],[Digested feed, mg]]*1000</f>
        <v>35.92725917789916</v>
      </c>
      <c r="AW1214" s="64"/>
    </row>
    <row r="1215" spans="2:49" x14ac:dyDescent="0.35">
      <c r="B1215" s="90">
        <f t="shared" si="18"/>
        <v>1205</v>
      </c>
      <c r="C1215" s="140">
        <v>46085</v>
      </c>
      <c r="D1215" s="6" t="s">
        <v>16</v>
      </c>
      <c r="E1215" s="6" t="s">
        <v>464</v>
      </c>
      <c r="F1215" s="242" t="s">
        <v>333</v>
      </c>
      <c r="G1215" s="242" t="s">
        <v>438</v>
      </c>
      <c r="H1215" s="6" t="s">
        <v>439</v>
      </c>
      <c r="I1215" s="133" t="s">
        <v>22</v>
      </c>
      <c r="J1215" s="135" t="s">
        <v>23</v>
      </c>
      <c r="K1215" s="135" t="s">
        <v>303</v>
      </c>
      <c r="L1215" s="6" t="s">
        <v>463</v>
      </c>
      <c r="M1215" s="256">
        <v>30</v>
      </c>
      <c r="N1215" s="256">
        <v>71</v>
      </c>
      <c r="O1215" s="256">
        <v>3</v>
      </c>
      <c r="P1215" s="257">
        <v>1</v>
      </c>
      <c r="Q1215" s="129">
        <v>129</v>
      </c>
      <c r="R1215" s="98">
        <v>0.50049999999999994</v>
      </c>
      <c r="S1215" s="94">
        <f>((Table3.110[[#This Row],[Sample weight, g]]*'2.1. DM'!Q293)/100)*1000</f>
        <v>479.66356260094659</v>
      </c>
      <c r="T1215" s="94">
        <f>'3.2 Digest'!W1215</f>
        <v>171.16356260094659</v>
      </c>
      <c r="U1215" s="153">
        <v>0.34513888888888888</v>
      </c>
      <c r="V1215" s="155">
        <v>41</v>
      </c>
      <c r="W1215" s="153">
        <v>0.68611111111111112</v>
      </c>
      <c r="X1215" s="91">
        <v>83</v>
      </c>
      <c r="Y1215" s="91">
        <v>14</v>
      </c>
      <c r="Z1215" s="154">
        <v>40</v>
      </c>
      <c r="AA1215" s="153">
        <v>0.35625000000000001</v>
      </c>
      <c r="AB1215" s="154">
        <v>75</v>
      </c>
      <c r="AC1215" s="154">
        <v>15.9</v>
      </c>
      <c r="AD1215" s="91"/>
      <c r="AE1215" s="94">
        <f>Table3.110[[#This Row],[Gas 8h, ml]]-Table3.110[[#This Row],[Gas 0h, ml]]</f>
        <v>42</v>
      </c>
      <c r="AF1215" s="94">
        <f>Table3.110[[#This Row],[Gas 24h, ml]]-Table3.110[[#This Row],[V8 Push back, ml]]</f>
        <v>35</v>
      </c>
      <c r="AG1215" s="94">
        <f>Table3.110[[#This Row],[GP 8h, ml]]-(AVERAGE(AE$1159,AE$1160,AE$1193,AE$1194,AE$1229,AE$1230))*$AG$8</f>
        <v>38.533723538635904</v>
      </c>
      <c r="AH1215" s="94">
        <f>Table3.110[[#This Row],[GP 8-24h, ml]]-(AVERAGE(AF$1159,AF$1160,AF$1193,AF$1194,AF$1229,AF$1230))*$AG$8</f>
        <v>30.685592064046812</v>
      </c>
      <c r="AI1215" s="94">
        <f>Table3.110[[#This Row],[Net gas 8-24h, ml]]+Table3.110[[#This Row],[Net gas 8h, ml]]</f>
        <v>69.219315602682713</v>
      </c>
      <c r="AJ1215" s="94">
        <f>Table3.110[[#This Row],[Net gas 8h, ml]]*Table3.110[[#This Row],[CH4 8h %]]%</f>
        <v>5.3947212954090267</v>
      </c>
      <c r="AK1215" s="94">
        <f>Table3.110[[#This Row],[Net gas 8-24h, ml]]*Table3.110[[#This Row],[CH4 24h, %]]%</f>
        <v>4.8790091381834433</v>
      </c>
      <c r="AL1215" s="94">
        <f>Table3.110[[#This Row],[CH4 8-24h, ml]]+Table3.110[[#This Row],[CH4 8h, ml]]</f>
        <v>10.273730433592469</v>
      </c>
      <c r="AM1215" s="94">
        <f>(Table3.110[[#This Row],[Net gas 24h, ml]]/Table3.110[[#This Row],[DM Incubated, mg]])*1000</f>
        <v>144.30805464427019</v>
      </c>
      <c r="AN1215" s="94">
        <f>'3.2 Digest'!X1215</f>
        <v>35.68408691976154</v>
      </c>
      <c r="AO1215" s="94">
        <f>Table3.110[[#This Row],[Digested feed, mg]]/Table3.110[[#This Row],[Net gas 24h, ml]]</f>
        <v>2.4727716694487638</v>
      </c>
      <c r="AP1215" s="94">
        <f>Table3.110[[#This Row],[CH4 8h, ml]]/Table3.110[[#This Row],[Net gas 8h, ml]]%</f>
        <v>14</v>
      </c>
      <c r="AQ1215" s="94">
        <f>Table3.110[[#This Row],[CH4 24h, ml]]/Table3.110[[#This Row],[Net gas 24h, ml]]%</f>
        <v>14.842288375925945</v>
      </c>
      <c r="AR1215" s="94">
        <f>Table3.110[[#This Row],[CH4 24h, ml]]/Table3.110[[#This Row],[DM Incubated, mg]]*1000</f>
        <v>21.418617619991373</v>
      </c>
      <c r="AS1215" s="94">
        <f>Table3.110[[#This Row],[CH4 24h, ml]]/Table3.110[[#This Row],[Digested feed, mg]]*1000</f>
        <v>60.022882659581029</v>
      </c>
      <c r="AT1215" s="94">
        <f>Table3.110[[#This Row],[CH4 24h, ml]]/'3.2 Digest'!AA1215</f>
        <v>-5.0221527697845705</v>
      </c>
      <c r="AU1215" s="94">
        <f>((Table3.110[[#This Row],[CH4 24h, ml]]/28.9)*16.04)/Table3.110[[#This Row],[DM Incubated, mg]]*1000</f>
        <v>11.887703343413898</v>
      </c>
      <c r="AV1215" s="94">
        <f>((Table3.110[[#This Row],[CH4 24h, ml]]/28.9)*16.04)/Table3.110[[#This Row],[Digested feed, mg]]*1000</f>
        <v>33.313738334244974</v>
      </c>
      <c r="AW1215" s="64"/>
    </row>
    <row r="1216" spans="2:49" x14ac:dyDescent="0.35">
      <c r="B1216" s="90">
        <f t="shared" si="18"/>
        <v>1206</v>
      </c>
      <c r="C1216" s="140">
        <v>46085</v>
      </c>
      <c r="D1216" s="6" t="s">
        <v>16</v>
      </c>
      <c r="E1216" s="6" t="s">
        <v>464</v>
      </c>
      <c r="F1216" s="242" t="s">
        <v>333</v>
      </c>
      <c r="G1216" s="242" t="s">
        <v>438</v>
      </c>
      <c r="H1216" s="6" t="s">
        <v>439</v>
      </c>
      <c r="I1216" s="133" t="s">
        <v>22</v>
      </c>
      <c r="J1216" s="135" t="s">
        <v>23</v>
      </c>
      <c r="K1216" s="135" t="s">
        <v>303</v>
      </c>
      <c r="L1216" s="6" t="s">
        <v>463</v>
      </c>
      <c r="M1216" s="256">
        <v>30</v>
      </c>
      <c r="N1216" s="256">
        <v>71</v>
      </c>
      <c r="O1216" s="256">
        <v>3</v>
      </c>
      <c r="P1216" s="257">
        <v>2</v>
      </c>
      <c r="Q1216" s="129">
        <v>130</v>
      </c>
      <c r="R1216" s="98">
        <v>0.50009999999999999</v>
      </c>
      <c r="S1216" s="94">
        <f>((Table3.110[[#This Row],[Sample weight, g]]*'2.1. DM'!Q293)/100)*1000</f>
        <v>479.28021509836844</v>
      </c>
      <c r="T1216" s="94">
        <f>'3.2 Digest'!W1216</f>
        <v>142.88021509836841</v>
      </c>
      <c r="U1216" s="117">
        <v>0.34513888888888888</v>
      </c>
      <c r="V1216" s="155">
        <v>41</v>
      </c>
      <c r="W1216" s="117">
        <v>0.68680555555555556</v>
      </c>
      <c r="X1216" s="96">
        <v>82</v>
      </c>
      <c r="Y1216" s="96">
        <v>14.5</v>
      </c>
      <c r="Z1216" s="155">
        <v>40</v>
      </c>
      <c r="AA1216" s="117">
        <v>0.35625000000000001</v>
      </c>
      <c r="AB1216" s="155">
        <v>75.5</v>
      </c>
      <c r="AC1216" s="155">
        <v>15.9</v>
      </c>
      <c r="AD1216" s="96"/>
      <c r="AE1216" s="94">
        <f>Table3.110[[#This Row],[Gas 8h, ml]]-Table3.110[[#This Row],[Gas 0h, ml]]</f>
        <v>41</v>
      </c>
      <c r="AF1216" s="94">
        <f>Table3.110[[#This Row],[Gas 24h, ml]]-Table3.110[[#This Row],[V8 Push back, ml]]</f>
        <v>35.5</v>
      </c>
      <c r="AG1216" s="94">
        <f>Table3.110[[#This Row],[GP 8h, ml]]-(AVERAGE(AE$1159,AE$1160,AE$1193,AE$1194,AE$1229,AE$1230))*$AG$8</f>
        <v>37.533723538635904</v>
      </c>
      <c r="AH1216" s="94">
        <f>Table3.110[[#This Row],[GP 8-24h, ml]]-(AVERAGE(AF$1159,AF$1160,AF$1193,AF$1194,AF$1229,AF$1230))*$AG$8</f>
        <v>31.185592064046812</v>
      </c>
      <c r="AI1216" s="94">
        <f>Table3.110[[#This Row],[Net gas 8-24h, ml]]+Table3.110[[#This Row],[Net gas 8h, ml]]</f>
        <v>68.719315602682713</v>
      </c>
      <c r="AJ1216" s="94">
        <f>Table3.110[[#This Row],[Net gas 8h, ml]]*Table3.110[[#This Row],[CH4 8h %]]%</f>
        <v>5.4423899131022058</v>
      </c>
      <c r="AK1216" s="94">
        <f>Table3.110[[#This Row],[Net gas 8-24h, ml]]*Table3.110[[#This Row],[CH4 24h, %]]%</f>
        <v>4.9585091381834436</v>
      </c>
      <c r="AL1216" s="94">
        <f>Table3.110[[#This Row],[CH4 8-24h, ml]]+Table3.110[[#This Row],[CH4 8h, ml]]</f>
        <v>10.400899051285649</v>
      </c>
      <c r="AM1216" s="94">
        <f>(Table3.110[[#This Row],[Net gas 24h, ml]]/Table3.110[[#This Row],[DM Incubated, mg]])*1000</f>
        <v>143.38024695757287</v>
      </c>
      <c r="AN1216" s="94">
        <f>'3.2 Digest'!X1216</f>
        <v>29.811415242551455</v>
      </c>
      <c r="AO1216" s="94">
        <f>Table3.110[[#This Row],[Digested feed, mg]]/Table3.110[[#This Row],[Net gas 24h, ml]]</f>
        <v>2.0791856531934165</v>
      </c>
      <c r="AP1216" s="94">
        <f>Table3.110[[#This Row],[CH4 8h, ml]]/Table3.110[[#This Row],[Net gas 8h, ml]]%</f>
        <v>14.499999999999998</v>
      </c>
      <c r="AQ1216" s="94">
        <f>Table3.110[[#This Row],[CH4 24h, ml]]/Table3.110[[#This Row],[Net gas 24h, ml]]%</f>
        <v>15.135335618621339</v>
      </c>
      <c r="AR1216" s="94">
        <f>Table3.110[[#This Row],[CH4 24h, ml]]/Table3.110[[#This Row],[DM Incubated, mg]]*1000</f>
        <v>21.701081587836764</v>
      </c>
      <c r="AS1216" s="94">
        <f>Table3.110[[#This Row],[CH4 24h, ml]]/Table3.110[[#This Row],[Digested feed, mg]]*1000</f>
        <v>72.794536627236781</v>
      </c>
      <c r="AT1216" s="94">
        <f>Table3.110[[#This Row],[CH4 24h, ml]]/'3.2 Digest'!AA1216</f>
        <v>-0.91529403922094132</v>
      </c>
      <c r="AU1216" s="94">
        <f>((Table3.110[[#This Row],[CH4 24h, ml]]/28.9)*16.04)/Table3.110[[#This Row],[DM Incubated, mg]]*1000</f>
        <v>12.04447573248795</v>
      </c>
      <c r="AV1216" s="94">
        <f>((Table3.110[[#This Row],[CH4 24h, ml]]/28.9)*16.04)/Table3.110[[#This Row],[Digested feed, mg]]*1000</f>
        <v>40.402227249165328</v>
      </c>
      <c r="AW1216" s="64"/>
    </row>
    <row r="1217" spans="2:49" x14ac:dyDescent="0.35">
      <c r="B1217" s="90">
        <f t="shared" si="18"/>
        <v>1207</v>
      </c>
      <c r="C1217" s="140">
        <v>46085</v>
      </c>
      <c r="D1217" s="6" t="s">
        <v>16</v>
      </c>
      <c r="E1217" s="6" t="s">
        <v>466</v>
      </c>
      <c r="F1217" s="242" t="s">
        <v>346</v>
      </c>
      <c r="G1217" s="242" t="s">
        <v>347</v>
      </c>
      <c r="H1217" s="6" t="s">
        <v>348</v>
      </c>
      <c r="I1217" s="133" t="s">
        <v>22</v>
      </c>
      <c r="J1217" s="135" t="s">
        <v>23</v>
      </c>
      <c r="K1217" s="135" t="s">
        <v>303</v>
      </c>
      <c r="L1217" s="6" t="s">
        <v>465</v>
      </c>
      <c r="M1217" s="256">
        <v>30</v>
      </c>
      <c r="N1217" s="256">
        <v>71</v>
      </c>
      <c r="O1217" s="256">
        <v>3</v>
      </c>
      <c r="P1217" s="257">
        <v>1</v>
      </c>
      <c r="Q1217" s="129">
        <v>131</v>
      </c>
      <c r="R1217" s="98">
        <v>0.50049999999999994</v>
      </c>
      <c r="S1217" s="94">
        <f>((Table3.110[[#This Row],[Sample weight, g]]*'2.1. DM'!Q295)/100)*1000</f>
        <v>482.01471914262208</v>
      </c>
      <c r="T1217" s="94">
        <f>'3.2 Digest'!W1217</f>
        <v>143.61471914262205</v>
      </c>
      <c r="U1217" s="117">
        <v>0.34513888888888888</v>
      </c>
      <c r="V1217" s="155">
        <v>40.5</v>
      </c>
      <c r="W1217" s="117">
        <v>0.68680555555555556</v>
      </c>
      <c r="X1217" s="96">
        <v>73.5</v>
      </c>
      <c r="Y1217" s="96">
        <v>14.3</v>
      </c>
      <c r="Z1217" s="155">
        <v>40</v>
      </c>
      <c r="AA1217" s="117">
        <v>0.3576388888888889</v>
      </c>
      <c r="AB1217" s="155">
        <v>72</v>
      </c>
      <c r="AC1217" s="155">
        <v>16</v>
      </c>
      <c r="AD1217" s="96" t="s">
        <v>605</v>
      </c>
      <c r="AE1217" s="94">
        <f>Table3.110[[#This Row],[Gas 8h, ml]]-Table3.110[[#This Row],[Gas 0h, ml]]</f>
        <v>33</v>
      </c>
      <c r="AF1217" s="94">
        <f>Table3.110[[#This Row],[Gas 24h, ml]]-Table3.110[[#This Row],[V8 Push back, ml]]</f>
        <v>32</v>
      </c>
      <c r="AG1217" s="94">
        <f>Table3.110[[#This Row],[GP 8h, ml]]-(AVERAGE(AE$1159,AE$1160,AE$1193,AE$1194,AE$1229,AE$1230))*$AG$8</f>
        <v>29.5337235386359</v>
      </c>
      <c r="AH1217" s="94">
        <f>Table3.110[[#This Row],[GP 8-24h, ml]]-(AVERAGE(AF$1159,AF$1160,AF$1193,AF$1194,AF$1229,AF$1230))*$AG$8</f>
        <v>27.685592064046812</v>
      </c>
      <c r="AI1217" s="94">
        <f>Table3.110[[#This Row],[Net gas 8-24h, ml]]+Table3.110[[#This Row],[Net gas 8h, ml]]</f>
        <v>57.219315602682713</v>
      </c>
      <c r="AJ1217" s="94">
        <f>Table3.110[[#This Row],[Net gas 8h, ml]]*Table3.110[[#This Row],[CH4 8h %]]%</f>
        <v>4.2233224660249347</v>
      </c>
      <c r="AK1217" s="94">
        <f>Table3.110[[#This Row],[Net gas 8-24h, ml]]*Table3.110[[#This Row],[CH4 24h, %]]%</f>
        <v>4.4296947302474896</v>
      </c>
      <c r="AL1217" s="94">
        <f>Table3.110[[#This Row],[CH4 8-24h, ml]]+Table3.110[[#This Row],[CH4 8h, ml]]</f>
        <v>8.6530171962724243</v>
      </c>
      <c r="AM1217" s="94">
        <f>(Table3.110[[#This Row],[Net gas 24h, ml]]/Table3.110[[#This Row],[DM Incubated, mg]])*1000</f>
        <v>118.70864795262038</v>
      </c>
      <c r="AN1217" s="94">
        <f>'3.2 Digest'!X1217</f>
        <v>29.794675025292801</v>
      </c>
      <c r="AO1217" s="94">
        <f>Table3.110[[#This Row],[Digested feed, mg]]/Table3.110[[#This Row],[Net gas 24h, ml]]</f>
        <v>2.5098992819111716</v>
      </c>
      <c r="AP1217" s="94">
        <f>Table3.110[[#This Row],[CH4 8h, ml]]/Table3.110[[#This Row],[Net gas 8h, ml]]%</f>
        <v>14.300000000000002</v>
      </c>
      <c r="AQ1217" s="94">
        <f>Table3.110[[#This Row],[CH4 24h, ml]]/Table3.110[[#This Row],[Net gas 24h, ml]]%</f>
        <v>15.122545778696329</v>
      </c>
      <c r="AR1217" s="94">
        <f>Table3.110[[#This Row],[CH4 24h, ml]]/Table3.110[[#This Row],[DM Incubated, mg]]*1000</f>
        <v>17.95176962990648</v>
      </c>
      <c r="AS1217" s="94">
        <f>Table3.110[[#This Row],[CH4 24h, ml]]/Table3.110[[#This Row],[Digested feed, mg]]*1000</f>
        <v>60.251604069073288</v>
      </c>
      <c r="AT1217" s="94">
        <f>Table3.110[[#This Row],[CH4 24h, ml]]/'3.2 Digest'!AA1217</f>
        <v>-0.73976646021021075</v>
      </c>
      <c r="AU1217" s="94">
        <f>((Table3.110[[#This Row],[CH4 24h, ml]]/28.9)*16.04)/Table3.110[[#This Row],[DM Incubated, mg]]*1000</f>
        <v>9.9635427288477505</v>
      </c>
      <c r="AV1217" s="94">
        <f>((Table3.110[[#This Row],[CH4 24h, ml]]/28.9)*16.04)/Table3.110[[#This Row],[Digested feed, mg]]*1000</f>
        <v>33.440682673630988</v>
      </c>
      <c r="AW1217" s="64"/>
    </row>
    <row r="1218" spans="2:49" x14ac:dyDescent="0.35">
      <c r="B1218" s="90">
        <f t="shared" si="18"/>
        <v>1208</v>
      </c>
      <c r="C1218" s="140">
        <v>46085</v>
      </c>
      <c r="D1218" s="6" t="s">
        <v>16</v>
      </c>
      <c r="E1218" s="6" t="s">
        <v>466</v>
      </c>
      <c r="F1218" s="242" t="s">
        <v>346</v>
      </c>
      <c r="G1218" s="242" t="s">
        <v>347</v>
      </c>
      <c r="H1218" s="6" t="s">
        <v>348</v>
      </c>
      <c r="I1218" s="133" t="s">
        <v>22</v>
      </c>
      <c r="J1218" s="135" t="s">
        <v>23</v>
      </c>
      <c r="K1218" s="135" t="s">
        <v>303</v>
      </c>
      <c r="L1218" s="6" t="s">
        <v>465</v>
      </c>
      <c r="M1218" s="256">
        <v>30</v>
      </c>
      <c r="N1218" s="256">
        <v>71</v>
      </c>
      <c r="O1218" s="256">
        <v>3</v>
      </c>
      <c r="P1218" s="257">
        <v>2</v>
      </c>
      <c r="Q1218" s="129">
        <v>132</v>
      </c>
      <c r="R1218" s="98">
        <v>0.50019999999999998</v>
      </c>
      <c r="S1218" s="94">
        <f>((Table3.110[[#This Row],[Sample weight, g]]*'2.1. DM'!Q295)/100)*1000</f>
        <v>481.72579923104814</v>
      </c>
      <c r="T1218" s="94">
        <f>'3.2 Digest'!W1218</f>
        <v>127.72579923104803</v>
      </c>
      <c r="U1218" s="153">
        <v>0.34583333333333333</v>
      </c>
      <c r="V1218" s="155">
        <v>40.5</v>
      </c>
      <c r="W1218" s="153">
        <v>0.6875</v>
      </c>
      <c r="X1218" s="91">
        <v>76</v>
      </c>
      <c r="Y1218" s="91">
        <v>14</v>
      </c>
      <c r="Z1218" s="154">
        <v>40</v>
      </c>
      <c r="AA1218" s="153">
        <v>0.3576388888888889</v>
      </c>
      <c r="AB1218" s="154">
        <v>75</v>
      </c>
      <c r="AC1218" s="154">
        <v>15.4</v>
      </c>
      <c r="AD1218" s="91"/>
      <c r="AE1218" s="94">
        <f>Table3.110[[#This Row],[Gas 8h, ml]]-Table3.110[[#This Row],[Gas 0h, ml]]</f>
        <v>35.5</v>
      </c>
      <c r="AF1218" s="94">
        <f>Table3.110[[#This Row],[Gas 24h, ml]]-Table3.110[[#This Row],[V8 Push back, ml]]</f>
        <v>35</v>
      </c>
      <c r="AG1218" s="94">
        <f>Table3.110[[#This Row],[GP 8h, ml]]-(AVERAGE(AE$1159,AE$1160,AE$1193,AE$1194,AE$1229,AE$1230))*$AG$8</f>
        <v>32.033723538635904</v>
      </c>
      <c r="AH1218" s="94">
        <f>Table3.110[[#This Row],[GP 8-24h, ml]]-(AVERAGE(AF$1159,AF$1160,AF$1193,AF$1194,AF$1229,AF$1230))*$AG$8</f>
        <v>30.685592064046812</v>
      </c>
      <c r="AI1218" s="94">
        <f>Table3.110[[#This Row],[Net gas 8-24h, ml]]+Table3.110[[#This Row],[Net gas 8h, ml]]</f>
        <v>62.719315602682713</v>
      </c>
      <c r="AJ1218" s="94">
        <f>Table3.110[[#This Row],[Net gas 8h, ml]]*Table3.110[[#This Row],[CH4 8h %]]%</f>
        <v>4.4847212954090274</v>
      </c>
      <c r="AK1218" s="94">
        <f>Table3.110[[#This Row],[Net gas 8-24h, ml]]*Table3.110[[#This Row],[CH4 24h, %]]%</f>
        <v>4.7255811778632086</v>
      </c>
      <c r="AL1218" s="94">
        <f>Table3.110[[#This Row],[CH4 8-24h, ml]]+Table3.110[[#This Row],[CH4 8h, ml]]</f>
        <v>9.2103024732722361</v>
      </c>
      <c r="AM1218" s="94">
        <f>(Table3.110[[#This Row],[Net gas 24h, ml]]/Table3.110[[#This Row],[DM Incubated, mg]])*1000</f>
        <v>130.19712812309001</v>
      </c>
      <c r="AN1218" s="94">
        <f>'3.2 Digest'!X1218</f>
        <v>26.514211909540563</v>
      </c>
      <c r="AO1218" s="94">
        <f>Table3.110[[#This Row],[Digested feed, mg]]/Table3.110[[#This Row],[Net gas 24h, ml]]</f>
        <v>2.0364667248630623</v>
      </c>
      <c r="AP1218" s="94">
        <f>Table3.110[[#This Row],[CH4 8h, ml]]/Table3.110[[#This Row],[Net gas 8h, ml]]%</f>
        <v>14.000000000000002</v>
      </c>
      <c r="AQ1218" s="94">
        <f>Table3.110[[#This Row],[CH4 24h, ml]]/Table3.110[[#This Row],[Net gas 24h, ml]]%</f>
        <v>14.684953725608384</v>
      </c>
      <c r="AR1218" s="94">
        <f>Table3.110[[#This Row],[CH4 24h, ml]]/Table3.110[[#This Row],[DM Incubated, mg]]*1000</f>
        <v>19.119388016946829</v>
      </c>
      <c r="AS1218" s="94">
        <f>Table3.110[[#This Row],[CH4 24h, ml]]/Table3.110[[#This Row],[Digested feed, mg]]*1000</f>
        <v>72.109961563923136</v>
      </c>
      <c r="AT1218" s="94">
        <f>Table3.110[[#This Row],[CH4 24h, ml]]/'3.2 Digest'!AA1218</f>
        <v>-0.54446677880087979</v>
      </c>
      <c r="AU1218" s="94">
        <f>((Table3.110[[#This Row],[CH4 24h, ml]]/28.9)*16.04)/Table3.110[[#This Row],[DM Incubated, mg]]*1000</f>
        <v>10.6115911346653</v>
      </c>
      <c r="AV1218" s="94">
        <f>((Table3.110[[#This Row],[CH4 24h, ml]]/28.9)*16.04)/Table3.110[[#This Row],[Digested feed, mg]]*1000</f>
        <v>40.022276245167028</v>
      </c>
      <c r="AW1218" s="64"/>
    </row>
    <row r="1219" spans="2:49" x14ac:dyDescent="0.35">
      <c r="B1219" s="90">
        <f t="shared" si="18"/>
        <v>1209</v>
      </c>
      <c r="C1219" s="140">
        <v>46085</v>
      </c>
      <c r="D1219" s="6" t="s">
        <v>16</v>
      </c>
      <c r="E1219" s="6" t="s">
        <v>468</v>
      </c>
      <c r="F1219" s="242" t="s">
        <v>212</v>
      </c>
      <c r="G1219" s="242" t="s">
        <v>469</v>
      </c>
      <c r="H1219" s="6" t="s">
        <v>470</v>
      </c>
      <c r="I1219" s="133" t="s">
        <v>22</v>
      </c>
      <c r="J1219" s="135" t="s">
        <v>23</v>
      </c>
      <c r="K1219" s="135" t="s">
        <v>303</v>
      </c>
      <c r="L1219" s="6" t="s">
        <v>467</v>
      </c>
      <c r="M1219" s="256">
        <v>30</v>
      </c>
      <c r="N1219" s="256">
        <v>71</v>
      </c>
      <c r="O1219" s="256">
        <v>3</v>
      </c>
      <c r="P1219" s="257">
        <v>1</v>
      </c>
      <c r="Q1219" s="129">
        <v>133</v>
      </c>
      <c r="R1219" s="98">
        <v>0.50060000000000004</v>
      </c>
      <c r="S1219" s="94">
        <f>((Table3.110[[#This Row],[Sample weight, g]]*'2.1. DM'!Q297)/100)*1000</f>
        <v>475.55002403838506</v>
      </c>
      <c r="T1219" s="94">
        <f>'3.2 Digest'!W1219</f>
        <v>208.85002403838502</v>
      </c>
      <c r="U1219" s="153">
        <v>0.34583333333333333</v>
      </c>
      <c r="V1219" s="155">
        <v>41</v>
      </c>
      <c r="W1219" s="153">
        <v>0.68819444444444444</v>
      </c>
      <c r="X1219" s="91">
        <v>86</v>
      </c>
      <c r="Y1219" s="91">
        <v>16.7</v>
      </c>
      <c r="Z1219" s="154">
        <v>40</v>
      </c>
      <c r="AA1219" s="153">
        <v>0.35833333333333334</v>
      </c>
      <c r="AB1219" s="154">
        <v>81</v>
      </c>
      <c r="AC1219" s="154">
        <v>17.100000000000001</v>
      </c>
      <c r="AD1219" s="91"/>
      <c r="AE1219" s="94">
        <f>Table3.110[[#This Row],[Gas 8h, ml]]-Table3.110[[#This Row],[Gas 0h, ml]]</f>
        <v>45</v>
      </c>
      <c r="AF1219" s="94">
        <f>Table3.110[[#This Row],[Gas 24h, ml]]-Table3.110[[#This Row],[V8 Push back, ml]]</f>
        <v>41</v>
      </c>
      <c r="AG1219" s="94">
        <f>Table3.110[[#This Row],[GP 8h, ml]]-(AVERAGE(AE$1159,AE$1160,AE$1193,AE$1194,AE$1229,AE$1230))*$AG$8</f>
        <v>41.533723538635904</v>
      </c>
      <c r="AH1219" s="94">
        <f>Table3.110[[#This Row],[GP 8-24h, ml]]-(AVERAGE(AF$1159,AF$1160,AF$1193,AF$1194,AF$1229,AF$1230))*$AG$8</f>
        <v>36.685592064046816</v>
      </c>
      <c r="AI1219" s="94">
        <f>Table3.110[[#This Row],[Net gas 8-24h, ml]]+Table3.110[[#This Row],[Net gas 8h, ml]]</f>
        <v>78.219315602682713</v>
      </c>
      <c r="AJ1219" s="94">
        <f>Table3.110[[#This Row],[Net gas 8h, ml]]*Table3.110[[#This Row],[CH4 8h %]]%</f>
        <v>6.9361318309521955</v>
      </c>
      <c r="AK1219" s="94">
        <f>Table3.110[[#This Row],[Net gas 8-24h, ml]]*Table3.110[[#This Row],[CH4 24h, %]]%</f>
        <v>6.2732362429520059</v>
      </c>
      <c r="AL1219" s="94">
        <f>Table3.110[[#This Row],[CH4 8-24h, ml]]+Table3.110[[#This Row],[CH4 8h, ml]]</f>
        <v>13.209368073904201</v>
      </c>
      <c r="AM1219" s="94">
        <f>(Table3.110[[#This Row],[Net gas 24h, ml]]/Table3.110[[#This Row],[DM Incubated, mg]])*1000</f>
        <v>164.48178245990178</v>
      </c>
      <c r="AN1219" s="94">
        <f>'3.2 Digest'!X1219</f>
        <v>43.917571965368509</v>
      </c>
      <c r="AO1219" s="94">
        <f>Table3.110[[#This Row],[Digested feed, mg]]/Table3.110[[#This Row],[Net gas 24h, ml]]</f>
        <v>2.6700569089512975</v>
      </c>
      <c r="AP1219" s="94">
        <f>Table3.110[[#This Row],[CH4 8h, ml]]/Table3.110[[#This Row],[Net gas 8h, ml]]%</f>
        <v>16.7</v>
      </c>
      <c r="AQ1219" s="94">
        <f>Table3.110[[#This Row],[CH4 24h, ml]]/Table3.110[[#This Row],[Net gas 24h, ml]]%</f>
        <v>16.887603748671964</v>
      </c>
      <c r="AR1219" s="94">
        <f>Table3.110[[#This Row],[CH4 24h, ml]]/Table3.110[[#This Row],[DM Incubated, mg]]*1000</f>
        <v>27.777031660580839</v>
      </c>
      <c r="AS1219" s="94">
        <f>Table3.110[[#This Row],[CH4 24h, ml]]/Table3.110[[#This Row],[Digested feed, mg]]*1000</f>
        <v>63.248104158591914</v>
      </c>
      <c r="AT1219" s="94">
        <f>Table3.110[[#This Row],[CH4 24h, ml]]/'3.2 Digest'!AA1219</f>
        <v>-5.2946401189341215</v>
      </c>
      <c r="AU1219" s="94">
        <f>((Table3.110[[#This Row],[CH4 24h, ml]]/28.9)*16.04)/Table3.110[[#This Row],[DM Incubated, mg]]*1000</f>
        <v>15.416733143104382</v>
      </c>
      <c r="AV1219" s="94">
        <f>((Table3.110[[#This Row],[CH4 24h, ml]]/28.9)*16.04)/Table3.110[[#This Row],[Digested feed, mg]]*1000</f>
        <v>35.103792065875922</v>
      </c>
      <c r="AW1219" s="64"/>
    </row>
    <row r="1220" spans="2:49" x14ac:dyDescent="0.35">
      <c r="B1220" s="90">
        <f t="shared" si="18"/>
        <v>1210</v>
      </c>
      <c r="C1220" s="140">
        <v>46085</v>
      </c>
      <c r="D1220" s="6" t="s">
        <v>16</v>
      </c>
      <c r="E1220" s="6" t="s">
        <v>468</v>
      </c>
      <c r="F1220" s="242" t="s">
        <v>212</v>
      </c>
      <c r="G1220" s="242" t="s">
        <v>469</v>
      </c>
      <c r="H1220" s="6" t="s">
        <v>470</v>
      </c>
      <c r="I1220" s="133" t="s">
        <v>22</v>
      </c>
      <c r="J1220" s="135" t="s">
        <v>23</v>
      </c>
      <c r="K1220" s="135" t="s">
        <v>303</v>
      </c>
      <c r="L1220" s="6" t="s">
        <v>467</v>
      </c>
      <c r="M1220" s="256">
        <v>30</v>
      </c>
      <c r="N1220" s="256">
        <v>71</v>
      </c>
      <c r="O1220" s="256">
        <v>3</v>
      </c>
      <c r="P1220" s="257">
        <v>2</v>
      </c>
      <c r="Q1220" s="129">
        <v>134</v>
      </c>
      <c r="R1220" s="98">
        <v>0.50029999999999997</v>
      </c>
      <c r="S1220" s="94">
        <f>((Table3.110[[#This Row],[Sample weight, g]]*'2.1. DM'!Q297)/100)*1000</f>
        <v>475.26503600959654</v>
      </c>
      <c r="T1220" s="94">
        <f>'3.2 Digest'!W1220</f>
        <v>237.7650360095966</v>
      </c>
      <c r="U1220" s="117">
        <v>0.34583333333333333</v>
      </c>
      <c r="V1220" s="155">
        <v>41</v>
      </c>
      <c r="W1220" s="117">
        <v>0.68888888888888888</v>
      </c>
      <c r="X1220" s="96">
        <v>89</v>
      </c>
      <c r="Y1220" s="96">
        <v>16.399999999999999</v>
      </c>
      <c r="Z1220" s="155">
        <v>40</v>
      </c>
      <c r="AA1220" s="117">
        <v>0.35833333333333334</v>
      </c>
      <c r="AB1220" s="155">
        <v>81</v>
      </c>
      <c r="AC1220" s="155">
        <v>17.600000000000001</v>
      </c>
      <c r="AD1220" s="96"/>
      <c r="AE1220" s="94">
        <f>Table3.110[[#This Row],[Gas 8h, ml]]-Table3.110[[#This Row],[Gas 0h, ml]]</f>
        <v>48</v>
      </c>
      <c r="AF1220" s="94">
        <f>Table3.110[[#This Row],[Gas 24h, ml]]-Table3.110[[#This Row],[V8 Push back, ml]]</f>
        <v>41</v>
      </c>
      <c r="AG1220" s="94">
        <f>Table3.110[[#This Row],[GP 8h, ml]]-(AVERAGE(AE$1159,AE$1160,AE$1193,AE$1194,AE$1229,AE$1230))*$AG$8</f>
        <v>44.533723538635904</v>
      </c>
      <c r="AH1220" s="94">
        <f>Table3.110[[#This Row],[GP 8-24h, ml]]-(AVERAGE(AF$1159,AF$1160,AF$1193,AF$1194,AF$1229,AF$1230))*$AG$8</f>
        <v>36.685592064046816</v>
      </c>
      <c r="AI1220" s="94">
        <f>Table3.110[[#This Row],[Net gas 8-24h, ml]]+Table3.110[[#This Row],[Net gas 8h, ml]]</f>
        <v>81.219315602682713</v>
      </c>
      <c r="AJ1220" s="94">
        <f>Table3.110[[#This Row],[Net gas 8h, ml]]*Table3.110[[#This Row],[CH4 8h %]]%</f>
        <v>7.3035306603362873</v>
      </c>
      <c r="AK1220" s="94">
        <f>Table3.110[[#This Row],[Net gas 8-24h, ml]]*Table3.110[[#This Row],[CH4 24h, %]]%</f>
        <v>6.4566642032722399</v>
      </c>
      <c r="AL1220" s="94">
        <f>Table3.110[[#This Row],[CH4 8-24h, ml]]+Table3.110[[#This Row],[CH4 8h, ml]]</f>
        <v>13.760194863608527</v>
      </c>
      <c r="AM1220" s="94">
        <f>(Table3.110[[#This Row],[Net gas 24h, ml]]/Table3.110[[#This Row],[DM Incubated, mg]])*1000</f>
        <v>170.89267976582803</v>
      </c>
      <c r="AN1220" s="94">
        <f>'3.2 Digest'!X1220</f>
        <v>50.027882969450268</v>
      </c>
      <c r="AO1220" s="94">
        <f>Table3.110[[#This Row],[Digested feed, mg]]/Table3.110[[#This Row],[Net gas 24h, ml]]</f>
        <v>2.9274444661996526</v>
      </c>
      <c r="AP1220" s="94">
        <f>Table3.110[[#This Row],[CH4 8h, ml]]/Table3.110[[#This Row],[Net gas 8h, ml]]%</f>
        <v>16.399999999999999</v>
      </c>
      <c r="AQ1220" s="94">
        <f>Table3.110[[#This Row],[CH4 24h, ml]]/Table3.110[[#This Row],[Net gas 24h, ml]]%</f>
        <v>16.942022672195506</v>
      </c>
      <c r="AR1220" s="94">
        <f>Table3.110[[#This Row],[CH4 24h, ml]]/Table3.110[[#This Row],[DM Incubated, mg]]*1000</f>
        <v>28.952676551049048</v>
      </c>
      <c r="AS1220" s="94">
        <f>Table3.110[[#This Row],[CH4 24h, ml]]/Table3.110[[#This Row],[Digested feed, mg]]*1000</f>
        <v>57.873079635868507</v>
      </c>
      <c r="AT1220" s="94">
        <f>Table3.110[[#This Row],[CH4 24h, ml]]/'3.2 Digest'!AA1220</f>
        <v>1.5867023968601925</v>
      </c>
      <c r="AU1220" s="94">
        <f>((Table3.110[[#This Row],[CH4 24h, ml]]/28.9)*16.04)/Table3.110[[#This Row],[DM Incubated, mg]]*1000</f>
        <v>16.069236397191236</v>
      </c>
      <c r="AV1220" s="94">
        <f>((Table3.110[[#This Row],[CH4 24h, ml]]/28.9)*16.04)/Table3.110[[#This Row],[Digested feed, mg]]*1000</f>
        <v>32.120560462260585</v>
      </c>
      <c r="AW1220" s="64"/>
    </row>
    <row r="1221" spans="2:49" x14ac:dyDescent="0.35">
      <c r="B1221" s="90">
        <f t="shared" si="18"/>
        <v>1211</v>
      </c>
      <c r="C1221" s="140">
        <v>46085</v>
      </c>
      <c r="D1221" s="6" t="s">
        <v>16</v>
      </c>
      <c r="E1221" s="6" t="s">
        <v>472</v>
      </c>
      <c r="F1221" s="242" t="s">
        <v>346</v>
      </c>
      <c r="G1221" s="242" t="s">
        <v>347</v>
      </c>
      <c r="H1221" s="6" t="s">
        <v>348</v>
      </c>
      <c r="I1221" s="133" t="s">
        <v>22</v>
      </c>
      <c r="J1221" s="135" t="s">
        <v>23</v>
      </c>
      <c r="K1221" s="135" t="s">
        <v>303</v>
      </c>
      <c r="L1221" s="6" t="s">
        <v>471</v>
      </c>
      <c r="M1221" s="256">
        <v>30</v>
      </c>
      <c r="N1221" s="256">
        <v>71</v>
      </c>
      <c r="O1221" s="256">
        <v>3</v>
      </c>
      <c r="P1221" s="257">
        <v>1</v>
      </c>
      <c r="Q1221" s="129">
        <v>135</v>
      </c>
      <c r="R1221" s="98">
        <v>0.50029999999999997</v>
      </c>
      <c r="S1221" s="94">
        <f>((Table3.110[[#This Row],[Sample weight, g]]*'2.1. DM'!Q299)/100)*1000</f>
        <v>478.29455392429736</v>
      </c>
      <c r="T1221" s="94">
        <f>'3.2 Digest'!W1221</f>
        <v>172.19455392429734</v>
      </c>
      <c r="U1221" s="117">
        <v>0.34583333333333333</v>
      </c>
      <c r="V1221" s="155">
        <v>40.5</v>
      </c>
      <c r="W1221" s="117">
        <v>0.68958333333333333</v>
      </c>
      <c r="X1221" s="96">
        <v>73.5</v>
      </c>
      <c r="Y1221" s="96">
        <v>14.5</v>
      </c>
      <c r="Z1221" s="155">
        <v>40</v>
      </c>
      <c r="AA1221" s="117">
        <v>0.35833333333333334</v>
      </c>
      <c r="AB1221" s="155">
        <v>74</v>
      </c>
      <c r="AC1221" s="155">
        <v>16.100000000000001</v>
      </c>
      <c r="AD1221" s="96" t="s">
        <v>606</v>
      </c>
      <c r="AE1221" s="94">
        <f>Table3.110[[#This Row],[Gas 8h, ml]]-Table3.110[[#This Row],[Gas 0h, ml]]</f>
        <v>33</v>
      </c>
      <c r="AF1221" s="94">
        <f>Table3.110[[#This Row],[Gas 24h, ml]]-Table3.110[[#This Row],[V8 Push back, ml]]</f>
        <v>34</v>
      </c>
      <c r="AG1221" s="94"/>
      <c r="AH1221" s="94"/>
      <c r="AI1221" s="94"/>
      <c r="AJ1221" s="94"/>
      <c r="AK1221" s="94"/>
      <c r="AL1221" s="94"/>
      <c r="AM1221" s="94"/>
      <c r="AN1221" s="94"/>
      <c r="AO1221" s="94"/>
      <c r="AP1221" s="94"/>
      <c r="AQ1221" s="94"/>
      <c r="AR1221" s="94"/>
      <c r="AS1221" s="94"/>
      <c r="AT1221" s="94"/>
      <c r="AU1221" s="94"/>
      <c r="AV1221" s="94"/>
      <c r="AW1221" s="64" t="s">
        <v>629</v>
      </c>
    </row>
    <row r="1222" spans="2:49" x14ac:dyDescent="0.35">
      <c r="B1222" s="90">
        <f t="shared" si="18"/>
        <v>1212</v>
      </c>
      <c r="C1222" s="140">
        <v>46085</v>
      </c>
      <c r="D1222" s="6" t="s">
        <v>16</v>
      </c>
      <c r="E1222" s="6" t="s">
        <v>472</v>
      </c>
      <c r="F1222" s="242" t="s">
        <v>346</v>
      </c>
      <c r="G1222" s="242" t="s">
        <v>347</v>
      </c>
      <c r="H1222" s="6" t="s">
        <v>348</v>
      </c>
      <c r="I1222" s="133" t="s">
        <v>22</v>
      </c>
      <c r="J1222" s="135" t="s">
        <v>23</v>
      </c>
      <c r="K1222" s="135" t="s">
        <v>303</v>
      </c>
      <c r="L1222" s="6" t="s">
        <v>471</v>
      </c>
      <c r="M1222" s="256">
        <v>30</v>
      </c>
      <c r="N1222" s="256">
        <v>71</v>
      </c>
      <c r="O1222" s="256">
        <v>3</v>
      </c>
      <c r="P1222" s="257">
        <v>2</v>
      </c>
      <c r="Q1222" s="129">
        <v>136</v>
      </c>
      <c r="R1222" s="98">
        <v>0.50019999999999998</v>
      </c>
      <c r="S1222" s="94">
        <f>((Table3.110[[#This Row],[Sample weight, g]]*'2.1. DM'!Q299)/100)*1000</f>
        <v>478.19895237444246</v>
      </c>
      <c r="T1222" s="94">
        <f>'3.2 Digest'!W1222</f>
        <v>86.798952374442479</v>
      </c>
      <c r="U1222" s="153">
        <v>0.34652777777777777</v>
      </c>
      <c r="V1222" s="154">
        <v>40.5</v>
      </c>
      <c r="W1222" s="153">
        <v>0.69027777777777777</v>
      </c>
      <c r="X1222" s="91">
        <v>71.5</v>
      </c>
      <c r="Y1222" s="91">
        <v>14.7</v>
      </c>
      <c r="Z1222" s="154">
        <v>40</v>
      </c>
      <c r="AA1222" s="153">
        <v>0.35902777777777778</v>
      </c>
      <c r="AB1222" s="154">
        <v>71.5</v>
      </c>
      <c r="AC1222" s="154">
        <v>16.399999999999999</v>
      </c>
      <c r="AD1222" s="91"/>
      <c r="AE1222" s="94">
        <f>Table3.110[[#This Row],[Gas 8h, ml]]-Table3.110[[#This Row],[Gas 0h, ml]]</f>
        <v>31</v>
      </c>
      <c r="AF1222" s="94">
        <f>Table3.110[[#This Row],[Gas 24h, ml]]-Table3.110[[#This Row],[V8 Push back, ml]]</f>
        <v>31.5</v>
      </c>
      <c r="AG1222" s="94"/>
      <c r="AH1222" s="94"/>
      <c r="AI1222" s="94"/>
      <c r="AJ1222" s="94"/>
      <c r="AK1222" s="94"/>
      <c r="AL1222" s="94"/>
      <c r="AM1222" s="94"/>
      <c r="AN1222" s="94"/>
      <c r="AO1222" s="94"/>
      <c r="AP1222" s="94"/>
      <c r="AQ1222" s="94"/>
      <c r="AR1222" s="94"/>
      <c r="AS1222" s="94"/>
      <c r="AT1222" s="94"/>
      <c r="AU1222" s="94"/>
      <c r="AV1222" s="94"/>
      <c r="AW1222" s="64" t="s">
        <v>629</v>
      </c>
    </row>
    <row r="1223" spans="2:49" x14ac:dyDescent="0.35">
      <c r="B1223" s="90">
        <f t="shared" si="18"/>
        <v>1213</v>
      </c>
      <c r="C1223" s="140">
        <v>46085</v>
      </c>
      <c r="D1223" s="6" t="s">
        <v>473</v>
      </c>
      <c r="E1223" s="6" t="s">
        <v>475</v>
      </c>
      <c r="F1223" s="242" t="s">
        <v>592</v>
      </c>
      <c r="G1223" s="242" t="s">
        <v>106</v>
      </c>
      <c r="H1223" s="6" t="s">
        <v>476</v>
      </c>
      <c r="I1223" s="133" t="s">
        <v>108</v>
      </c>
      <c r="J1223" s="132" t="s">
        <v>109</v>
      </c>
      <c r="K1223" s="133" t="s">
        <v>110</v>
      </c>
      <c r="L1223" s="6" t="s">
        <v>474</v>
      </c>
      <c r="M1223" s="256">
        <v>30</v>
      </c>
      <c r="N1223" s="256">
        <v>71</v>
      </c>
      <c r="O1223" s="256">
        <v>3</v>
      </c>
      <c r="P1223" s="257">
        <v>1</v>
      </c>
      <c r="Q1223" s="129">
        <v>137</v>
      </c>
      <c r="R1223" s="98">
        <v>0.50019999999999998</v>
      </c>
      <c r="S1223" s="94">
        <f>((Table3.110[[#This Row],[Sample weight, g]]*'2.1. DM'!Q301)/100)*1000</f>
        <v>465.63617999999997</v>
      </c>
      <c r="T1223" s="94">
        <f>'3.2 Digest'!W1223</f>
        <v>251.63618</v>
      </c>
      <c r="U1223" s="153">
        <v>0.34652777777777777</v>
      </c>
      <c r="V1223" s="154">
        <v>41</v>
      </c>
      <c r="W1223" s="153">
        <v>0.69097222222222221</v>
      </c>
      <c r="X1223" s="91">
        <v>87</v>
      </c>
      <c r="Y1223" s="91">
        <v>13.8</v>
      </c>
      <c r="Z1223" s="154">
        <v>40.5</v>
      </c>
      <c r="AA1223" s="153">
        <v>0.35902777777777778</v>
      </c>
      <c r="AB1223" s="154">
        <v>98</v>
      </c>
      <c r="AC1223" s="154">
        <v>15.8</v>
      </c>
      <c r="AD1223" s="91"/>
      <c r="AE1223" s="94">
        <f>Table3.110[[#This Row],[Gas 8h, ml]]-Table3.110[[#This Row],[Gas 0h, ml]]</f>
        <v>46</v>
      </c>
      <c r="AF1223" s="94">
        <f>Table3.110[[#This Row],[Gas 24h, ml]]-Table3.110[[#This Row],[V8 Push back, ml]]</f>
        <v>57.5</v>
      </c>
      <c r="AG1223" s="94">
        <f>Table3.110[[#This Row],[GP 8h, ml]]-(AVERAGE(AE$1159,AE$1160,AE$1193,AE$1194,AE$1229,AE$1230))*$AG$8</f>
        <v>42.533723538635904</v>
      </c>
      <c r="AH1223" s="94">
        <f>Table3.110[[#This Row],[GP 8-24h, ml]]-(AVERAGE(AF$1159,AF$1160,AF$1193,AF$1194,AF$1229,AF$1230))*$AG$8</f>
        <v>53.185592064046816</v>
      </c>
      <c r="AI1223" s="94">
        <f>Table3.110[[#This Row],[Net gas 8-24h, ml]]+Table3.110[[#This Row],[Net gas 8h, ml]]</f>
        <v>95.719315602682713</v>
      </c>
      <c r="AJ1223" s="94">
        <f>Table3.110[[#This Row],[Net gas 8h, ml]]*Table3.110[[#This Row],[CH4 8h %]]%</f>
        <v>5.8696538483317555</v>
      </c>
      <c r="AK1223" s="94">
        <f>Table3.110[[#This Row],[Net gas 8-24h, ml]]*Table3.110[[#This Row],[CH4 24h, %]]%</f>
        <v>8.4033235461193971</v>
      </c>
      <c r="AL1223" s="94">
        <f>Table3.110[[#This Row],[CH4 8-24h, ml]]+Table3.110[[#This Row],[CH4 8h, ml]]</f>
        <v>14.272977394451154</v>
      </c>
      <c r="AM1223" s="94">
        <f>(Table3.110[[#This Row],[Net gas 24h, ml]]/Table3.110[[#This Row],[DM Incubated, mg]])*1000</f>
        <v>205.56674870643153</v>
      </c>
      <c r="AN1223" s="94">
        <f>'3.2 Digest'!X1223</f>
        <v>54.041371956964348</v>
      </c>
      <c r="AO1223" s="94">
        <f>Table3.110[[#This Row],[Digested feed, mg]]/Table3.110[[#This Row],[Net gas 24h, ml]]</f>
        <v>2.6288965650831235</v>
      </c>
      <c r="AP1223" s="94">
        <f>Table3.110[[#This Row],[CH4 8h, ml]]/Table3.110[[#This Row],[Net gas 8h, ml]]%</f>
        <v>13.800000000000002</v>
      </c>
      <c r="AQ1223" s="94">
        <f>Table3.110[[#This Row],[CH4 24h, ml]]/Table3.110[[#This Row],[Net gas 24h, ml]]%</f>
        <v>14.911282330617842</v>
      </c>
      <c r="AR1223" s="94">
        <f>Table3.110[[#This Row],[CH4 24h, ml]]/Table3.110[[#This Row],[DM Incubated, mg]]*1000</f>
        <v>30.652638277487707</v>
      </c>
      <c r="AS1223" s="94">
        <f>Table3.110[[#This Row],[CH4 24h, ml]]/Table3.110[[#This Row],[Digested feed, mg]]*1000</f>
        <v>56.720688553017908</v>
      </c>
      <c r="AT1223" s="94">
        <f>Table3.110[[#This Row],[CH4 24h, ml]]/'3.2 Digest'!AA1223</f>
        <v>0.61802053574970139</v>
      </c>
      <c r="AU1223" s="94">
        <f>((Table3.110[[#This Row],[CH4 24h, ml]]/28.9)*16.04)/Table3.110[[#This Row],[DM Incubated, mg]]*1000</f>
        <v>17.012744566467223</v>
      </c>
      <c r="AV1223" s="94">
        <f>((Table3.110[[#This Row],[CH4 24h, ml]]/28.9)*16.04)/Table3.110[[#This Row],[Digested feed, mg]]*1000</f>
        <v>31.48096347371651</v>
      </c>
      <c r="AW1223" s="64"/>
    </row>
    <row r="1224" spans="2:49" x14ac:dyDescent="0.35">
      <c r="B1224" s="90">
        <f t="shared" si="18"/>
        <v>1214</v>
      </c>
      <c r="C1224" s="140">
        <v>46085</v>
      </c>
      <c r="D1224" s="6" t="s">
        <v>473</v>
      </c>
      <c r="E1224" s="6" t="s">
        <v>475</v>
      </c>
      <c r="F1224" s="242" t="s">
        <v>592</v>
      </c>
      <c r="G1224" s="242" t="s">
        <v>106</v>
      </c>
      <c r="H1224" s="6" t="s">
        <v>476</v>
      </c>
      <c r="I1224" s="133" t="s">
        <v>108</v>
      </c>
      <c r="J1224" s="132" t="s">
        <v>109</v>
      </c>
      <c r="K1224" s="133" t="s">
        <v>110</v>
      </c>
      <c r="L1224" s="6" t="s">
        <v>474</v>
      </c>
      <c r="M1224" s="256">
        <v>30</v>
      </c>
      <c r="N1224" s="256">
        <v>71</v>
      </c>
      <c r="O1224" s="256">
        <v>3</v>
      </c>
      <c r="P1224" s="257">
        <v>2</v>
      </c>
      <c r="Q1224" s="129">
        <v>138</v>
      </c>
      <c r="R1224" s="98">
        <v>0.50039999999999996</v>
      </c>
      <c r="S1224" s="94">
        <f>((Table3.110[[#This Row],[Sample weight, g]]*'2.1. DM'!Q301)/100)*1000</f>
        <v>465.82235999999995</v>
      </c>
      <c r="T1224" s="94">
        <f>'3.2 Digest'!W1224</f>
        <v>324.02236000000005</v>
      </c>
      <c r="U1224" s="117">
        <v>0.34652777777777777</v>
      </c>
      <c r="V1224" s="155">
        <v>40.5</v>
      </c>
      <c r="W1224" s="117">
        <v>0.69097222222222221</v>
      </c>
      <c r="X1224" s="96">
        <v>82</v>
      </c>
      <c r="Y1224" s="96">
        <v>13.4</v>
      </c>
      <c r="Z1224" s="155">
        <v>40</v>
      </c>
      <c r="AA1224" s="117">
        <v>0.36041666666666666</v>
      </c>
      <c r="AB1224" s="155">
        <v>99</v>
      </c>
      <c r="AC1224" s="155">
        <v>15.6</v>
      </c>
      <c r="AD1224" s="96"/>
      <c r="AE1224" s="94">
        <f>Table3.110[[#This Row],[Gas 8h, ml]]-Table3.110[[#This Row],[Gas 0h, ml]]</f>
        <v>41.5</v>
      </c>
      <c r="AF1224" s="94">
        <f>Table3.110[[#This Row],[Gas 24h, ml]]-Table3.110[[#This Row],[V8 Push back, ml]]</f>
        <v>59</v>
      </c>
      <c r="AG1224" s="94">
        <f>Table3.110[[#This Row],[GP 8h, ml]]-(AVERAGE(AE$1159,AE$1160,AE$1193,AE$1194,AE$1229,AE$1230))*$AG$8</f>
        <v>38.033723538635904</v>
      </c>
      <c r="AH1224" s="94">
        <f>Table3.110[[#This Row],[GP 8-24h, ml]]-(AVERAGE(AF$1159,AF$1160,AF$1193,AF$1194,AF$1229,AF$1230))*$AG$8</f>
        <v>54.685592064046816</v>
      </c>
      <c r="AI1224" s="94">
        <f>Table3.110[[#This Row],[Net gas 8-24h, ml]]+Table3.110[[#This Row],[Net gas 8h, ml]]</f>
        <v>92.719315602682713</v>
      </c>
      <c r="AJ1224" s="94">
        <f>Table3.110[[#This Row],[Net gas 8h, ml]]*Table3.110[[#This Row],[CH4 8h %]]%</f>
        <v>5.0965189541772116</v>
      </c>
      <c r="AK1224" s="94">
        <f>Table3.110[[#This Row],[Net gas 8-24h, ml]]*Table3.110[[#This Row],[CH4 24h, %]]%</f>
        <v>8.5309523619913037</v>
      </c>
      <c r="AL1224" s="94">
        <f>Table3.110[[#This Row],[CH4 8-24h, ml]]+Table3.110[[#This Row],[CH4 8h, ml]]</f>
        <v>13.627471316168515</v>
      </c>
      <c r="AM1224" s="94">
        <f>(Table3.110[[#This Row],[Net gas 24h, ml]]/Table3.110[[#This Row],[DM Incubated, mg]])*1000</f>
        <v>199.04436447121756</v>
      </c>
      <c r="AN1224" s="94">
        <f>'3.2 Digest'!X1224</f>
        <v>69.559211369759083</v>
      </c>
      <c r="AO1224" s="94">
        <f>Table3.110[[#This Row],[Digested feed, mg]]/Table3.110[[#This Row],[Net gas 24h, ml]]</f>
        <v>3.4946586684104566</v>
      </c>
      <c r="AP1224" s="94">
        <f>Table3.110[[#This Row],[CH4 8h, ml]]/Table3.110[[#This Row],[Net gas 8h, ml]]%</f>
        <v>13.4</v>
      </c>
      <c r="AQ1224" s="94">
        <f>Table3.110[[#This Row],[CH4 24h, ml]]/Table3.110[[#This Row],[Net gas 24h, ml]]%</f>
        <v>14.697553824237051</v>
      </c>
      <c r="AR1224" s="94">
        <f>Table3.110[[#This Row],[CH4 24h, ml]]/Table3.110[[#This Row],[DM Incubated, mg]]*1000</f>
        <v>29.254652602267775</v>
      </c>
      <c r="AS1224" s="94">
        <f>Table3.110[[#This Row],[CH4 24h, ml]]/Table3.110[[#This Row],[Digested feed, mg]]*1000</f>
        <v>42.057194189217412</v>
      </c>
      <c r="AT1224" s="94">
        <f>Table3.110[[#This Row],[CH4 24h, ml]]/'3.2 Digest'!AA1224</f>
        <v>0.27776247989201025</v>
      </c>
      <c r="AU1224" s="94">
        <f>((Table3.110[[#This Row],[CH4 24h, ml]]/28.9)*16.04)/Table3.110[[#This Row],[DM Incubated, mg]]*1000</f>
        <v>16.236838330116786</v>
      </c>
      <c r="AV1224" s="94">
        <f>((Table3.110[[#This Row],[CH4 24h, ml]]/28.9)*16.04)/Table3.110[[#This Row],[Digested feed, mg]]*1000</f>
        <v>23.342470408133124</v>
      </c>
      <c r="AW1224" s="64"/>
    </row>
    <row r="1225" spans="2:49" x14ac:dyDescent="0.35">
      <c r="B1225" s="90">
        <f t="shared" si="18"/>
        <v>1215</v>
      </c>
      <c r="C1225" s="140">
        <v>46085</v>
      </c>
      <c r="D1225" s="6" t="s">
        <v>667</v>
      </c>
      <c r="E1225" s="6" t="s">
        <v>479</v>
      </c>
      <c r="F1225" s="242" t="s">
        <v>105</v>
      </c>
      <c r="G1225" s="242" t="s">
        <v>188</v>
      </c>
      <c r="H1225" s="6" t="s">
        <v>189</v>
      </c>
      <c r="I1225" s="133" t="s">
        <v>108</v>
      </c>
      <c r="J1225" s="132" t="s">
        <v>109</v>
      </c>
      <c r="K1225" s="133" t="s">
        <v>110</v>
      </c>
      <c r="L1225" s="6" t="s">
        <v>478</v>
      </c>
      <c r="M1225" s="256">
        <v>30</v>
      </c>
      <c r="N1225" s="256">
        <v>71</v>
      </c>
      <c r="O1225" s="256">
        <v>3</v>
      </c>
      <c r="P1225" s="257">
        <v>1</v>
      </c>
      <c r="Q1225" s="129">
        <v>139</v>
      </c>
      <c r="R1225" s="98">
        <v>0.50049999999999994</v>
      </c>
      <c r="S1225" s="94">
        <f>((Table3.110[[#This Row],[Sample weight, g]]*'2.1. DM'!Q303)/100)*1000</f>
        <v>491.54105000000004</v>
      </c>
      <c r="T1225" s="94">
        <f>'3.2 Digest'!W1225</f>
        <v>252.24105000000009</v>
      </c>
      <c r="U1225" s="117">
        <v>0.34722222222222221</v>
      </c>
      <c r="V1225" s="155">
        <v>40.5</v>
      </c>
      <c r="W1225" s="117">
        <v>0.69166666666666665</v>
      </c>
      <c r="X1225" s="96">
        <v>79.5</v>
      </c>
      <c r="Y1225" s="96">
        <v>14.1</v>
      </c>
      <c r="Z1225" s="155">
        <v>40.5</v>
      </c>
      <c r="AA1225" s="117">
        <v>0.35972222222222222</v>
      </c>
      <c r="AB1225" s="155">
        <v>99.5</v>
      </c>
      <c r="AC1225" s="155">
        <v>15.9</v>
      </c>
      <c r="AD1225" s="96"/>
      <c r="AE1225" s="94">
        <f>Table3.110[[#This Row],[Gas 8h, ml]]-Table3.110[[#This Row],[Gas 0h, ml]]</f>
        <v>39</v>
      </c>
      <c r="AF1225" s="94">
        <f>Table3.110[[#This Row],[Gas 24h, ml]]-Table3.110[[#This Row],[V8 Push back, ml]]</f>
        <v>59</v>
      </c>
      <c r="AG1225" s="94">
        <f>Table3.110[[#This Row],[GP 8h, ml]]-(AVERAGE(AE$1159,AE$1160,AE$1193,AE$1194,AE$1229,AE$1230))*$AG$8</f>
        <v>35.533723538635904</v>
      </c>
      <c r="AH1225" s="94">
        <f>Table3.110[[#This Row],[GP 8-24h, ml]]-(AVERAGE(AF$1159,AF$1160,AF$1193,AF$1194,AF$1229,AF$1230))*$AG$8</f>
        <v>54.685592064046816</v>
      </c>
      <c r="AI1225" s="94">
        <f>Table3.110[[#This Row],[Net gas 8-24h, ml]]+Table3.110[[#This Row],[Net gas 8h, ml]]</f>
        <v>90.219315602682713</v>
      </c>
      <c r="AJ1225" s="94">
        <f>Table3.110[[#This Row],[Net gas 8h, ml]]*Table3.110[[#This Row],[CH4 8h %]]%</f>
        <v>5.010255018947662</v>
      </c>
      <c r="AK1225" s="94">
        <f>Table3.110[[#This Row],[Net gas 8-24h, ml]]*Table3.110[[#This Row],[CH4 24h, %]]%</f>
        <v>8.695009138183444</v>
      </c>
      <c r="AL1225" s="94">
        <f>Table3.110[[#This Row],[CH4 8-24h, ml]]+Table3.110[[#This Row],[CH4 8h, ml]]</f>
        <v>13.705264157131106</v>
      </c>
      <c r="AM1225" s="94">
        <f>(Table3.110[[#This Row],[Net gas 24h, ml]]/Table3.110[[#This Row],[DM Incubated, mg]])*1000</f>
        <v>183.54380697742886</v>
      </c>
      <c r="AN1225" s="94">
        <f>'3.2 Digest'!X1225</f>
        <v>51.316375305785769</v>
      </c>
      <c r="AO1225" s="94">
        <f>Table3.110[[#This Row],[Digested feed, mg]]/Table3.110[[#This Row],[Net gas 24h, ml]]</f>
        <v>2.7958652569572315</v>
      </c>
      <c r="AP1225" s="94">
        <f>Table3.110[[#This Row],[CH4 8h, ml]]/Table3.110[[#This Row],[Net gas 8h, ml]]%</f>
        <v>14.1</v>
      </c>
      <c r="AQ1225" s="94">
        <f>Table3.110[[#This Row],[CH4 24h, ml]]/Table3.110[[#This Row],[Net gas 24h, ml]]%</f>
        <v>15.191053119365021</v>
      </c>
      <c r="AR1225" s="94">
        <f>Table3.110[[#This Row],[CH4 24h, ml]]/Table3.110[[#This Row],[DM Incubated, mg]]*1000</f>
        <v>27.882237215246018</v>
      </c>
      <c r="AS1225" s="94">
        <f>Table3.110[[#This Row],[CH4 24h, ml]]/Table3.110[[#This Row],[Digested feed, mg]]*1000</f>
        <v>54.333995823166376</v>
      </c>
      <c r="AT1225" s="94">
        <f>Table3.110[[#This Row],[CH4 24h, ml]]/'3.2 Digest'!AA1225</f>
        <v>0.40532165699870587</v>
      </c>
      <c r="AU1225" s="94">
        <f>((Table3.110[[#This Row],[CH4 24h, ml]]/28.9)*16.04)/Table3.110[[#This Row],[DM Incubated, mg]]*1000</f>
        <v>15.475124046108865</v>
      </c>
      <c r="AV1225" s="94">
        <f>((Table3.110[[#This Row],[CH4 24h, ml]]/28.9)*16.04)/Table3.110[[#This Row],[Digested feed, mg]]*1000</f>
        <v>30.156307716387154</v>
      </c>
      <c r="AW1225" s="64"/>
    </row>
    <row r="1226" spans="2:49" x14ac:dyDescent="0.35">
      <c r="B1226" s="90">
        <f t="shared" si="18"/>
        <v>1216</v>
      </c>
      <c r="C1226" s="140">
        <v>46085</v>
      </c>
      <c r="D1226" s="6" t="s">
        <v>667</v>
      </c>
      <c r="E1226" s="6" t="s">
        <v>479</v>
      </c>
      <c r="F1226" s="242" t="s">
        <v>105</v>
      </c>
      <c r="G1226" s="242" t="s">
        <v>188</v>
      </c>
      <c r="H1226" s="6" t="s">
        <v>189</v>
      </c>
      <c r="I1226" s="133" t="s">
        <v>108</v>
      </c>
      <c r="J1226" s="132" t="s">
        <v>109</v>
      </c>
      <c r="K1226" s="133" t="s">
        <v>110</v>
      </c>
      <c r="L1226" s="6" t="s">
        <v>478</v>
      </c>
      <c r="M1226" s="256">
        <v>30</v>
      </c>
      <c r="N1226" s="256">
        <v>71</v>
      </c>
      <c r="O1226" s="256">
        <v>3</v>
      </c>
      <c r="P1226" s="257">
        <v>2</v>
      </c>
      <c r="Q1226" s="129">
        <v>140</v>
      </c>
      <c r="R1226" s="98">
        <v>0.50060000000000004</v>
      </c>
      <c r="S1226" s="94">
        <f>((Table3.110[[#This Row],[Sample weight, g]]*'2.1. DM'!Q303)/100)*1000</f>
        <v>491.63926000000015</v>
      </c>
      <c r="T1226" s="94">
        <f>'3.2 Digest'!W1226</f>
        <v>190.93926000000005</v>
      </c>
      <c r="U1226" s="153">
        <v>0.34791666666666665</v>
      </c>
      <c r="V1226" s="154">
        <v>40</v>
      </c>
      <c r="W1226" s="153">
        <v>0.69236111111111109</v>
      </c>
      <c r="X1226" s="91">
        <v>78.5</v>
      </c>
      <c r="Y1226" s="91">
        <v>13.4</v>
      </c>
      <c r="Z1226" s="154">
        <v>40</v>
      </c>
      <c r="AA1226" s="153">
        <v>0.36041666666666666</v>
      </c>
      <c r="AB1226" s="154">
        <v>97.5</v>
      </c>
      <c r="AC1226" s="154">
        <v>15.7</v>
      </c>
      <c r="AD1226" s="91"/>
      <c r="AE1226" s="94">
        <f>Table3.110[[#This Row],[Gas 8h, ml]]-Table3.110[[#This Row],[Gas 0h, ml]]</f>
        <v>38.5</v>
      </c>
      <c r="AF1226" s="94">
        <f>Table3.110[[#This Row],[Gas 24h, ml]]-Table3.110[[#This Row],[V8 Push back, ml]]</f>
        <v>57.5</v>
      </c>
      <c r="AG1226" s="94">
        <f>Table3.110[[#This Row],[GP 8h, ml]]-(AVERAGE(AE$1159,AE$1160,AE$1193,AE$1194,AE$1229,AE$1230))*$AG$8</f>
        <v>35.033723538635904</v>
      </c>
      <c r="AH1226" s="94">
        <f>Table3.110[[#This Row],[GP 8-24h, ml]]-(AVERAGE(AF$1159,AF$1160,AF$1193,AF$1194,AF$1229,AF$1230))*$AG$8</f>
        <v>53.185592064046816</v>
      </c>
      <c r="AI1226" s="94">
        <f>Table3.110[[#This Row],[Net gas 8-24h, ml]]+Table3.110[[#This Row],[Net gas 8h, ml]]</f>
        <v>88.219315602682713</v>
      </c>
      <c r="AJ1226" s="94">
        <f>Table3.110[[#This Row],[Net gas 8h, ml]]*Table3.110[[#This Row],[CH4 8h %]]%</f>
        <v>4.6945189541772114</v>
      </c>
      <c r="AK1226" s="94">
        <f>Table3.110[[#This Row],[Net gas 8-24h, ml]]*Table3.110[[#This Row],[CH4 24h, %]]%</f>
        <v>8.3501379540553504</v>
      </c>
      <c r="AL1226" s="94">
        <f>Table3.110[[#This Row],[CH4 8-24h, ml]]+Table3.110[[#This Row],[CH4 8h, ml]]</f>
        <v>13.044656908232561</v>
      </c>
      <c r="AM1226" s="94">
        <f>(Table3.110[[#This Row],[Net gas 24h, ml]]/Table3.110[[#This Row],[DM Incubated, mg]])*1000</f>
        <v>179.43911884230459</v>
      </c>
      <c r="AN1226" s="94">
        <f>'3.2 Digest'!X1226</f>
        <v>38.837268610322127</v>
      </c>
      <c r="AO1226" s="94">
        <f>Table3.110[[#This Row],[Digested feed, mg]]/Table3.110[[#This Row],[Net gas 24h, ml]]</f>
        <v>2.1643702254497388</v>
      </c>
      <c r="AP1226" s="94">
        <f>Table3.110[[#This Row],[CH4 8h, ml]]/Table3.110[[#This Row],[Net gas 8h, ml]]%</f>
        <v>13.400000000000002</v>
      </c>
      <c r="AQ1226" s="94">
        <f>Table3.110[[#This Row],[CH4 24h, ml]]/Table3.110[[#This Row],[Net gas 24h, ml]]%</f>
        <v>14.786622202990518</v>
      </c>
      <c r="AR1226" s="94">
        <f>Table3.110[[#This Row],[CH4 24h, ml]]/Table3.110[[#This Row],[DM Incubated, mg]]*1000</f>
        <v>26.532984587586753</v>
      </c>
      <c r="AS1226" s="94">
        <f>Table3.110[[#This Row],[CH4 24h, ml]]/Table3.110[[#This Row],[Digested feed, mg]]*1000</f>
        <v>68.318358980927016</v>
      </c>
      <c r="AT1226" s="94">
        <f>Table3.110[[#This Row],[CH4 24h, ml]]/'3.2 Digest'!AA1226</f>
        <v>0.77427287049429439</v>
      </c>
      <c r="AU1226" s="94">
        <f>((Table3.110[[#This Row],[CH4 24h, ml]]/28.9)*16.04)/Table3.110[[#This Row],[DM Incubated, mg]]*1000</f>
        <v>14.726265494286904</v>
      </c>
      <c r="AV1226" s="94">
        <f>((Table3.110[[#This Row],[CH4 24h, ml]]/28.9)*16.04)/Table3.110[[#This Row],[Digested feed, mg]]*1000</f>
        <v>37.917871212943574</v>
      </c>
      <c r="AW1226" s="64"/>
    </row>
    <row r="1227" spans="2:49" x14ac:dyDescent="0.35">
      <c r="B1227" s="90">
        <f t="shared" si="18"/>
        <v>1217</v>
      </c>
      <c r="C1227" s="140">
        <v>46085</v>
      </c>
      <c r="D1227" s="8" t="s">
        <v>320</v>
      </c>
      <c r="E1227" s="6" t="s">
        <v>122</v>
      </c>
      <c r="F1227" s="242" t="s">
        <v>123</v>
      </c>
      <c r="G1227" s="242" t="s">
        <v>545</v>
      </c>
      <c r="H1227" s="6" t="s">
        <v>125</v>
      </c>
      <c r="I1227" s="133" t="s">
        <v>108</v>
      </c>
      <c r="J1227" s="132" t="s">
        <v>109</v>
      </c>
      <c r="K1227" s="133" t="s">
        <v>110</v>
      </c>
      <c r="L1227" s="6" t="s">
        <v>121</v>
      </c>
      <c r="M1227" s="256">
        <v>30</v>
      </c>
      <c r="N1227" s="256">
        <v>71</v>
      </c>
      <c r="O1227" s="256">
        <v>3</v>
      </c>
      <c r="P1227" s="257">
        <v>1</v>
      </c>
      <c r="Q1227" s="129">
        <v>141</v>
      </c>
      <c r="R1227" s="98">
        <v>0.50029999999999997</v>
      </c>
      <c r="S1227" s="94">
        <f>((Table3.110[[#This Row],[Sample weight, g]]*'2.1. DM'!Q305)/100)*1000</f>
        <v>468.78109999999992</v>
      </c>
      <c r="T1227" s="94">
        <f>'3.2 Digest'!W1227</f>
        <v>167.8811</v>
      </c>
      <c r="U1227" s="153">
        <v>0.34791666666666665</v>
      </c>
      <c r="V1227" s="154">
        <v>41</v>
      </c>
      <c r="W1227" s="153">
        <v>0.69305555555555554</v>
      </c>
      <c r="X1227" s="91">
        <v>72.5</v>
      </c>
      <c r="Y1227" s="91">
        <v>15.8</v>
      </c>
      <c r="Z1227" s="154">
        <v>40</v>
      </c>
      <c r="AA1227" s="153">
        <v>0.36041666666666666</v>
      </c>
      <c r="AB1227" s="154">
        <v>85.5</v>
      </c>
      <c r="AC1227" s="154">
        <v>16.2</v>
      </c>
      <c r="AD1227" s="91"/>
      <c r="AE1227" s="94">
        <f>Table3.110[[#This Row],[Gas 8h, ml]]-Table3.110[[#This Row],[Gas 0h, ml]]</f>
        <v>31.5</v>
      </c>
      <c r="AF1227" s="94">
        <f>Table3.110[[#This Row],[Gas 24h, ml]]-Table3.110[[#This Row],[V8 Push back, ml]]</f>
        <v>45.5</v>
      </c>
      <c r="AG1227" s="94">
        <f>Table3.110[[#This Row],[GP 8h, ml]]-(AVERAGE(AE$1159,AE$1160,AE$1193,AE$1194,AE$1229,AE$1230))*$AG$8</f>
        <v>28.0337235386359</v>
      </c>
      <c r="AH1227" s="94">
        <f>Table3.110[[#This Row],[GP 8-24h, ml]]-(AVERAGE(AF$1159,AF$1160,AF$1193,AF$1194,AF$1229,AF$1230))*$AG$8</f>
        <v>41.185592064046816</v>
      </c>
      <c r="AI1227" s="94">
        <f>Table3.110[[#This Row],[Net gas 8-24h, ml]]+Table3.110[[#This Row],[Net gas 8h, ml]]</f>
        <v>69.219315602682713</v>
      </c>
      <c r="AJ1227" s="94">
        <f>Table3.110[[#This Row],[Net gas 8h, ml]]*Table3.110[[#This Row],[CH4 8h %]]%</f>
        <v>4.4293283191044726</v>
      </c>
      <c r="AK1227" s="94">
        <f>Table3.110[[#This Row],[Net gas 8-24h, ml]]*Table3.110[[#This Row],[CH4 24h, %]]%</f>
        <v>6.6720659143755841</v>
      </c>
      <c r="AL1227" s="94">
        <f>Table3.110[[#This Row],[CH4 8-24h, ml]]+Table3.110[[#This Row],[CH4 8h, ml]]</f>
        <v>11.101394233480057</v>
      </c>
      <c r="AM1227" s="94">
        <f>(Table3.110[[#This Row],[Net gas 24h, ml]]/Table3.110[[#This Row],[DM Incubated, mg]])*1000</f>
        <v>147.65807666453003</v>
      </c>
      <c r="AN1227" s="94">
        <f>'3.2 Digest'!X1227</f>
        <v>35.812258642679929</v>
      </c>
      <c r="AO1227" s="94">
        <f>Table3.110[[#This Row],[Digested feed, mg]]/Table3.110[[#This Row],[Net gas 24h, ml]]</f>
        <v>2.4253504753446808</v>
      </c>
      <c r="AP1227" s="94">
        <f>Table3.110[[#This Row],[CH4 8h, ml]]/Table3.110[[#This Row],[Net gas 8h, ml]]%</f>
        <v>15.8</v>
      </c>
      <c r="AQ1227" s="94">
        <f>Table3.110[[#This Row],[CH4 24h, ml]]/Table3.110[[#This Row],[Net gas 24h, ml]]%</f>
        <v>16.038000573715301</v>
      </c>
      <c r="AR1227" s="94">
        <f>Table3.110[[#This Row],[CH4 24h, ml]]/Table3.110[[#This Row],[DM Incubated, mg]]*1000</f>
        <v>23.681403182594305</v>
      </c>
      <c r="AS1227" s="94">
        <f>Table3.110[[#This Row],[CH4 24h, ml]]/Table3.110[[#This Row],[Digested feed, mg]]*1000</f>
        <v>66.126527843098813</v>
      </c>
      <c r="AT1227" s="94">
        <f>Table3.110[[#This Row],[CH4 24h, ml]]/'3.2 Digest'!AA1227</f>
        <v>0.70919892398992779</v>
      </c>
      <c r="AU1227" s="94">
        <f>((Table3.110[[#This Row],[CH4 24h, ml]]/28.9)*16.04)/Table3.110[[#This Row],[DM Incubated, mg]]*1000</f>
        <v>13.143588479197671</v>
      </c>
      <c r="AV1227" s="94">
        <f>((Table3.110[[#This Row],[CH4 24h, ml]]/28.9)*16.04)/Table3.110[[#This Row],[Digested feed, mg]]*1000</f>
        <v>36.701367010494984</v>
      </c>
      <c r="AW1227" s="64"/>
    </row>
    <row r="1228" spans="2:49" x14ac:dyDescent="0.35">
      <c r="B1228" s="90">
        <f t="shared" ref="B1228:B1230" si="19">B1227+1</f>
        <v>1218</v>
      </c>
      <c r="C1228" s="140">
        <v>46085</v>
      </c>
      <c r="D1228" s="8" t="s">
        <v>320</v>
      </c>
      <c r="E1228" s="6" t="s">
        <v>122</v>
      </c>
      <c r="F1228" s="242" t="s">
        <v>123</v>
      </c>
      <c r="G1228" s="242" t="s">
        <v>545</v>
      </c>
      <c r="H1228" s="6" t="s">
        <v>125</v>
      </c>
      <c r="I1228" s="133" t="s">
        <v>108</v>
      </c>
      <c r="J1228" s="132" t="s">
        <v>109</v>
      </c>
      <c r="K1228" s="133" t="s">
        <v>110</v>
      </c>
      <c r="L1228" s="6" t="s">
        <v>121</v>
      </c>
      <c r="M1228" s="256">
        <v>30</v>
      </c>
      <c r="N1228" s="256">
        <v>71</v>
      </c>
      <c r="O1228" s="256">
        <v>3</v>
      </c>
      <c r="P1228" s="257">
        <v>2</v>
      </c>
      <c r="Q1228" s="129">
        <v>142</v>
      </c>
      <c r="R1228" s="98">
        <v>0.50009999999999999</v>
      </c>
      <c r="S1228" s="94">
        <f>((Table3.110[[#This Row],[Sample weight, g]]*'2.1. DM'!Q305)/100)*1000</f>
        <v>468.5936999999999</v>
      </c>
      <c r="T1228" s="94">
        <f>'3.2 Digest'!W1228</f>
        <v>155.0936999999999</v>
      </c>
      <c r="U1228" s="117">
        <v>0.34791666666666665</v>
      </c>
      <c r="V1228" s="155">
        <v>41</v>
      </c>
      <c r="W1228" s="117">
        <v>0.69305555555555554</v>
      </c>
      <c r="X1228" s="96">
        <v>71</v>
      </c>
      <c r="Y1228" s="96">
        <v>16.100000000000001</v>
      </c>
      <c r="Z1228" s="155">
        <v>40</v>
      </c>
      <c r="AA1228" s="117">
        <v>0.3611111111111111</v>
      </c>
      <c r="AB1228" s="155">
        <v>86.5</v>
      </c>
      <c r="AC1228" s="155">
        <v>16.600000000000001</v>
      </c>
      <c r="AD1228" s="96"/>
      <c r="AE1228" s="94">
        <f>Table3.110[[#This Row],[Gas 8h, ml]]-Table3.110[[#This Row],[Gas 0h, ml]]</f>
        <v>30</v>
      </c>
      <c r="AF1228" s="94">
        <f>Table3.110[[#This Row],[Gas 24h, ml]]-Table3.110[[#This Row],[V8 Push back, ml]]</f>
        <v>46.5</v>
      </c>
      <c r="AG1228" s="94">
        <f>Table3.110[[#This Row],[GP 8h, ml]]-(AVERAGE(AE$1159,AE$1160,AE$1193,AE$1194,AE$1229,AE$1230))*$AG$8</f>
        <v>26.5337235386359</v>
      </c>
      <c r="AH1228" s="94">
        <f>Table3.110[[#This Row],[GP 8-24h, ml]]-(AVERAGE(AF$1159,AF$1160,AF$1193,AF$1194,AF$1229,AF$1230))*$AG$8</f>
        <v>42.185592064046816</v>
      </c>
      <c r="AI1228" s="94">
        <f>Table3.110[[#This Row],[Net gas 8-24h, ml]]+Table3.110[[#This Row],[Net gas 8h, ml]]</f>
        <v>68.719315602682713</v>
      </c>
      <c r="AJ1228" s="94">
        <f>Table3.110[[#This Row],[Net gas 8h, ml]]*Table3.110[[#This Row],[CH4 8h %]]%</f>
        <v>4.2719294897203799</v>
      </c>
      <c r="AK1228" s="94">
        <f>Table3.110[[#This Row],[Net gas 8-24h, ml]]*Table3.110[[#This Row],[CH4 24h, %]]%</f>
        <v>7.0028082826317721</v>
      </c>
      <c r="AL1228" s="94">
        <f>Table3.110[[#This Row],[CH4 8-24h, ml]]+Table3.110[[#This Row],[CH4 8h, ml]]</f>
        <v>11.274737772352152</v>
      </c>
      <c r="AM1228" s="94">
        <f>(Table3.110[[#This Row],[Net gas 24h, ml]]/Table3.110[[#This Row],[DM Incubated, mg]])*1000</f>
        <v>146.65010563027784</v>
      </c>
      <c r="AN1228" s="94">
        <f>'3.2 Digest'!X1228</f>
        <v>33.097692094451958</v>
      </c>
      <c r="AO1228" s="94">
        <f>Table3.110[[#This Row],[Digested feed, mg]]/Table3.110[[#This Row],[Net gas 24h, ml]]</f>
        <v>2.2569156668659436</v>
      </c>
      <c r="AP1228" s="94">
        <f>Table3.110[[#This Row],[CH4 8h, ml]]/Table3.110[[#This Row],[Net gas 8h, ml]]%</f>
        <v>16.100000000000001</v>
      </c>
      <c r="AQ1228" s="94">
        <f>Table3.110[[#This Row],[CH4 24h, ml]]/Table3.110[[#This Row],[Net gas 24h, ml]]%</f>
        <v>16.406941299502698</v>
      </c>
      <c r="AR1228" s="94">
        <f>Table3.110[[#This Row],[CH4 24h, ml]]/Table3.110[[#This Row],[DM Incubated, mg]]*1000</f>
        <v>24.060796746418387</v>
      </c>
      <c r="AS1228" s="94">
        <f>Table3.110[[#This Row],[CH4 24h, ml]]/Table3.110[[#This Row],[Digested feed, mg]]*1000</f>
        <v>72.696297608169502</v>
      </c>
      <c r="AT1228" s="94">
        <f>Table3.110[[#This Row],[CH4 24h, ml]]/'3.2 Digest'!AA1228</f>
        <v>0.9328509104947621</v>
      </c>
      <c r="AU1228" s="94">
        <f>((Table3.110[[#This Row],[CH4 24h, ml]]/28.9)*16.04)/Table3.110[[#This Row],[DM Incubated, mg]]*1000</f>
        <v>13.354158471022524</v>
      </c>
      <c r="AV1228" s="94">
        <f>((Table3.110[[#This Row],[CH4 24h, ml]]/28.9)*16.04)/Table3.110[[#This Row],[Digested feed, mg]]*1000</f>
        <v>40.347702893945986</v>
      </c>
      <c r="AW1228" s="64"/>
    </row>
    <row r="1229" spans="2:49" x14ac:dyDescent="0.35">
      <c r="B1229" s="90">
        <f t="shared" si="19"/>
        <v>1219</v>
      </c>
      <c r="C1229" s="140">
        <v>46085</v>
      </c>
      <c r="D1229" s="92"/>
      <c r="E1229" s="6" t="s">
        <v>553</v>
      </c>
      <c r="F1229" s="242" t="s">
        <v>554</v>
      </c>
      <c r="G1229" s="242"/>
      <c r="H1229" s="6" t="s">
        <v>553</v>
      </c>
      <c r="I1229" s="242"/>
      <c r="J1229" s="243"/>
      <c r="K1229" s="243"/>
      <c r="L1229" s="6" t="s">
        <v>607</v>
      </c>
      <c r="M1229" s="256">
        <v>30</v>
      </c>
      <c r="N1229" s="256">
        <v>71</v>
      </c>
      <c r="O1229" s="256">
        <v>3</v>
      </c>
      <c r="P1229" s="257">
        <v>1</v>
      </c>
      <c r="Q1229" s="129">
        <v>143</v>
      </c>
      <c r="R1229" s="98"/>
      <c r="S1229" s="94"/>
      <c r="T1229" s="94"/>
      <c r="U1229" s="117">
        <v>0.34791666666666665</v>
      </c>
      <c r="V1229" s="155">
        <v>40</v>
      </c>
      <c r="W1229" s="117">
        <v>0.69444444444444442</v>
      </c>
      <c r="X1229" s="96">
        <v>44</v>
      </c>
      <c r="Y1229" s="96"/>
      <c r="Z1229" s="155">
        <v>40</v>
      </c>
      <c r="AA1229" s="117">
        <v>0.36180555555555555</v>
      </c>
      <c r="AB1229" s="155">
        <v>45</v>
      </c>
      <c r="AC1229" s="155"/>
      <c r="AD1229" s="96"/>
      <c r="AE1229" s="94">
        <f>Table3.110[[#This Row],[Gas 8h, ml]]-Table3.110[[#This Row],[Gas 0h, ml]]</f>
        <v>4</v>
      </c>
      <c r="AF1229" s="94">
        <f>Table3.110[[#This Row],[Gas 24h, ml]]-Table3.110[[#This Row],[V8 Push back, ml]]</f>
        <v>5</v>
      </c>
      <c r="AG1229" s="94"/>
      <c r="AH1229" s="94"/>
      <c r="AI1229" s="94"/>
      <c r="AJ1229" s="94"/>
      <c r="AK1229" s="94"/>
      <c r="AL1229" s="94"/>
      <c r="AM1229" s="94"/>
      <c r="AN1229" s="94"/>
      <c r="AO1229" s="94"/>
      <c r="AP1229" s="94"/>
      <c r="AQ1229" s="94"/>
      <c r="AR1229" s="94"/>
      <c r="AS1229" s="94"/>
      <c r="AT1229" s="6"/>
      <c r="AU1229" s="9"/>
      <c r="AV1229" s="9"/>
      <c r="AW1229" s="64"/>
    </row>
    <row r="1230" spans="2:49" x14ac:dyDescent="0.35">
      <c r="B1230" s="90">
        <f t="shared" si="19"/>
        <v>1220</v>
      </c>
      <c r="C1230" s="140">
        <v>46085</v>
      </c>
      <c r="D1230" s="92"/>
      <c r="E1230" s="6" t="s">
        <v>553</v>
      </c>
      <c r="F1230" s="242" t="s">
        <v>554</v>
      </c>
      <c r="G1230" s="242"/>
      <c r="H1230" s="6" t="s">
        <v>553</v>
      </c>
      <c r="I1230" s="242"/>
      <c r="J1230" s="243"/>
      <c r="K1230" s="243"/>
      <c r="L1230" s="6" t="s">
        <v>607</v>
      </c>
      <c r="M1230" s="256">
        <v>30</v>
      </c>
      <c r="N1230" s="287">
        <v>71</v>
      </c>
      <c r="O1230" s="287">
        <v>3</v>
      </c>
      <c r="P1230" s="297">
        <v>2</v>
      </c>
      <c r="Q1230" s="129">
        <v>144</v>
      </c>
      <c r="R1230" s="98"/>
      <c r="S1230" s="94"/>
      <c r="T1230" s="94"/>
      <c r="U1230" s="117">
        <v>0.34791666666666665</v>
      </c>
      <c r="V1230" s="155">
        <v>39</v>
      </c>
      <c r="W1230" s="117">
        <v>0.69444444444444442</v>
      </c>
      <c r="X1230" s="96">
        <v>44</v>
      </c>
      <c r="Y1230" s="96"/>
      <c r="Z1230" s="155">
        <v>39.5</v>
      </c>
      <c r="AA1230" s="117">
        <v>0.36249999999999999</v>
      </c>
      <c r="AB1230" s="155">
        <v>44.5</v>
      </c>
      <c r="AC1230" s="155"/>
      <c r="AD1230" s="96"/>
      <c r="AE1230" s="94">
        <f>Table3.110[[#This Row],[Gas 8h, ml]]-Table3.110[[#This Row],[Gas 0h, ml]]</f>
        <v>5</v>
      </c>
      <c r="AF1230" s="94">
        <f>Table3.110[[#This Row],[Gas 24h, ml]]-Table3.110[[#This Row],[V8 Push back, ml]]</f>
        <v>5</v>
      </c>
      <c r="AG1230" s="94"/>
      <c r="AH1230" s="94"/>
      <c r="AI1230" s="94"/>
      <c r="AJ1230" s="94"/>
      <c r="AK1230" s="94"/>
      <c r="AL1230" s="94"/>
      <c r="AM1230" s="94"/>
      <c r="AN1230" s="94"/>
      <c r="AO1230" s="94"/>
      <c r="AP1230" s="94"/>
      <c r="AQ1230" s="94"/>
      <c r="AR1230" s="94"/>
      <c r="AS1230" s="94"/>
      <c r="AT1230" s="6"/>
      <c r="AU1230" s="9"/>
      <c r="AV1230" s="9"/>
      <c r="AW1230" s="64"/>
    </row>
    <row r="1233" spans="39:40" x14ac:dyDescent="0.35">
      <c r="AN1233" s="318"/>
    </row>
    <row r="1234" spans="39:40" x14ac:dyDescent="0.35">
      <c r="AM1234" s="317"/>
    </row>
    <row r="1238" spans="39:40" x14ac:dyDescent="0.35">
      <c r="AM1238" s="65">
        <f>_xlfn.STDEV.S(AN1067,AN1068,AN1069,AN1217,AN1218)</f>
        <v>4.0936551081992079</v>
      </c>
    </row>
  </sheetData>
  <autoFilter ref="AT10:AW10" xr:uid="{F5993BC8-BC60-439E-9E7B-766639E4C544}"/>
  <mergeCells count="1">
    <mergeCell ref="G3:AW5"/>
  </mergeCells>
  <conditionalFormatting sqref="AN11:AN375 AN379:AN719 AN722:AN995 AN1171:AN1048576">
    <cfRule type="cellIs" dxfId="5" priority="1" operator="lessThan">
      <formula>10</formula>
    </cfRule>
  </conditionalFormatting>
  <conditionalFormatting sqref="AS1:AS2 AS6:AS8">
    <cfRule type="cellIs" dxfId="4" priority="2" operator="greaterThan">
      <formula>6</formula>
    </cfRule>
  </conditionalFormatting>
  <pageMargins left="0.7" right="0.7" top="0.75" bottom="0.75" header="0.3" footer="0.3"/>
  <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41B38-FD60-4C90-9323-4C51D0B6DC5E}">
  <sheetPr>
    <tabColor rgb="FF0070C0"/>
  </sheetPr>
  <dimension ref="A1:AV1230"/>
  <sheetViews>
    <sheetView zoomScale="150" zoomScaleNormal="150" workbookViewId="0">
      <selection sqref="A1:XFD2"/>
    </sheetView>
  </sheetViews>
  <sheetFormatPr defaultRowHeight="14.5" x14ac:dyDescent="0.35"/>
  <cols>
    <col min="3" max="3" width="29.36328125" bestFit="1" customWidth="1"/>
    <col min="4" max="4" width="17.1796875" bestFit="1" customWidth="1"/>
    <col min="5" max="5" width="12.453125" bestFit="1" customWidth="1"/>
    <col min="6" max="6" width="13.36328125" bestFit="1" customWidth="1"/>
    <col min="7" max="7" width="31" bestFit="1" customWidth="1"/>
    <col min="8" max="8" width="9" bestFit="1" customWidth="1"/>
    <col min="9" max="9" width="8.08984375" bestFit="1" customWidth="1"/>
    <col min="10" max="10" width="17.6328125" bestFit="1" customWidth="1"/>
    <col min="11" max="11" width="10.453125" bestFit="1" customWidth="1"/>
    <col min="12" max="12" width="10.1796875" bestFit="1" customWidth="1"/>
    <col min="13" max="13" width="9.453125" customWidth="1"/>
    <col min="15" max="15" width="12.453125" bestFit="1" customWidth="1"/>
    <col min="16" max="16" width="13" bestFit="1" customWidth="1"/>
    <col min="17" max="17" width="17.90625" bestFit="1" customWidth="1"/>
    <col min="18" max="18" width="18.90625" bestFit="1" customWidth="1"/>
    <col min="19" max="19" width="18.81640625" bestFit="1" customWidth="1"/>
    <col min="20" max="20" width="12.08984375" bestFit="1" customWidth="1"/>
    <col min="21" max="21" width="12.36328125" bestFit="1" customWidth="1"/>
    <col min="22" max="22" width="12.08984375" bestFit="1" customWidth="1"/>
    <col min="23" max="23" width="12.36328125" bestFit="1" customWidth="1"/>
    <col min="24" max="24" width="20" bestFit="1" customWidth="1"/>
    <col min="25" max="25" width="18.36328125" bestFit="1" customWidth="1"/>
    <col min="26" max="26" width="12.08984375" bestFit="1" customWidth="1"/>
    <col min="27" max="27" width="13.453125" bestFit="1" customWidth="1"/>
    <col min="28" max="28" width="21.1796875" customWidth="1"/>
    <col min="29" max="29" width="13.1796875" customWidth="1"/>
    <col min="30" max="30" width="13.54296875" customWidth="1"/>
    <col min="31" max="31" width="16.1796875" customWidth="1"/>
    <col min="32" max="32" width="16" bestFit="1" customWidth="1"/>
    <col min="33" max="33" width="18.90625" bestFit="1" customWidth="1"/>
    <col min="34" max="34" width="16.90625" bestFit="1" customWidth="1"/>
    <col min="35" max="35" width="12.453125" bestFit="1" customWidth="1"/>
    <col min="36" max="36" width="15.54296875" bestFit="1" customWidth="1"/>
    <col min="37" max="37" width="13.54296875" bestFit="1" customWidth="1"/>
    <col min="38" max="38" width="28" bestFit="1" customWidth="1"/>
    <col min="39" max="39" width="32.6328125" bestFit="1" customWidth="1"/>
    <col min="40" max="40" width="12.08984375" bestFit="1" customWidth="1"/>
    <col min="41" max="41" width="18.81640625" bestFit="1" customWidth="1"/>
    <col min="42" max="42" width="17.453125" bestFit="1" customWidth="1"/>
    <col min="43" max="43" width="28.1796875" bestFit="1" customWidth="1"/>
    <col min="44" max="44" width="20.90625" customWidth="1"/>
    <col min="45" max="45" width="29.36328125" bestFit="1" customWidth="1"/>
    <col min="46" max="46" width="27.08984375" bestFit="1" customWidth="1"/>
    <col min="47" max="47" width="18.90625" bestFit="1" customWidth="1"/>
    <col min="48" max="48" width="17.1796875" bestFit="1" customWidth="1"/>
  </cols>
  <sheetData>
    <row r="1" spans="1:48" x14ac:dyDescent="0.35">
      <c r="A1" t="s">
        <v>759</v>
      </c>
      <c r="B1" t="s">
        <v>760</v>
      </c>
      <c r="C1" t="s">
        <v>761</v>
      </c>
      <c r="D1" t="s">
        <v>762</v>
      </c>
      <c r="E1" t="s">
        <v>763</v>
      </c>
      <c r="F1" t="s">
        <v>764</v>
      </c>
      <c r="G1" t="s">
        <v>765</v>
      </c>
      <c r="H1" t="s">
        <v>766</v>
      </c>
      <c r="I1" t="s">
        <v>767</v>
      </c>
      <c r="J1" t="s">
        <v>768</v>
      </c>
      <c r="K1" t="s">
        <v>769</v>
      </c>
      <c r="L1" t="s">
        <v>770</v>
      </c>
      <c r="M1" t="s">
        <v>771</v>
      </c>
      <c r="N1" t="s">
        <v>772</v>
      </c>
      <c r="O1" t="s">
        <v>773</v>
      </c>
      <c r="P1" t="s">
        <v>774</v>
      </c>
      <c r="Q1" t="s">
        <v>775</v>
      </c>
      <c r="R1" t="s">
        <v>776</v>
      </c>
      <c r="S1" t="s">
        <v>777</v>
      </c>
      <c r="T1" t="s">
        <v>778</v>
      </c>
      <c r="U1" t="s">
        <v>779</v>
      </c>
      <c r="V1" t="s">
        <v>780</v>
      </c>
      <c r="W1" t="s">
        <v>781</v>
      </c>
      <c r="X1" t="s">
        <v>782</v>
      </c>
      <c r="Y1" t="s">
        <v>783</v>
      </c>
      <c r="Z1" t="s">
        <v>784</v>
      </c>
      <c r="AA1" t="s">
        <v>785</v>
      </c>
      <c r="AB1" t="s">
        <v>786</v>
      </c>
      <c r="AC1" t="s">
        <v>787</v>
      </c>
      <c r="AD1" t="s">
        <v>788</v>
      </c>
      <c r="AE1" t="s">
        <v>789</v>
      </c>
      <c r="AF1" t="s">
        <v>790</v>
      </c>
      <c r="AG1" t="s">
        <v>791</v>
      </c>
      <c r="AH1" t="s">
        <v>792</v>
      </c>
      <c r="AI1" t="s">
        <v>793</v>
      </c>
      <c r="AJ1" t="s">
        <v>794</v>
      </c>
      <c r="AK1" t="s">
        <v>795</v>
      </c>
      <c r="AL1" t="s">
        <v>796</v>
      </c>
      <c r="AM1" t="s">
        <v>797</v>
      </c>
      <c r="AN1" t="s">
        <v>798</v>
      </c>
      <c r="AO1" t="s">
        <v>799</v>
      </c>
      <c r="AP1" t="s">
        <v>800</v>
      </c>
      <c r="AQ1" t="s">
        <v>801</v>
      </c>
      <c r="AR1" t="s">
        <v>802</v>
      </c>
      <c r="AS1" t="s">
        <v>803</v>
      </c>
      <c r="AT1" t="s">
        <v>804</v>
      </c>
      <c r="AU1" t="s">
        <v>805</v>
      </c>
      <c r="AV1" t="s">
        <v>806</v>
      </c>
    </row>
    <row r="2" spans="1:48" x14ac:dyDescent="0.35">
      <c r="A2" t="s">
        <v>482</v>
      </c>
      <c r="B2" t="s">
        <v>483</v>
      </c>
      <c r="C2" t="s">
        <v>3</v>
      </c>
      <c r="D2" t="s">
        <v>501</v>
      </c>
      <c r="E2" t="s">
        <v>7</v>
      </c>
      <c r="F2" t="s">
        <v>8</v>
      </c>
      <c r="G2" t="s">
        <v>9</v>
      </c>
      <c r="H2" t="s">
        <v>10</v>
      </c>
      <c r="I2" t="s">
        <v>11</v>
      </c>
      <c r="J2" t="s">
        <v>12</v>
      </c>
      <c r="K2" t="s">
        <v>502</v>
      </c>
      <c r="L2" t="s">
        <v>4</v>
      </c>
      <c r="M2" t="s">
        <v>503</v>
      </c>
      <c r="N2" t="s">
        <v>504</v>
      </c>
      <c r="O2" t="s">
        <v>490</v>
      </c>
      <c r="P2" t="s">
        <v>505</v>
      </c>
      <c r="Q2" t="s">
        <v>506</v>
      </c>
      <c r="R2" t="s">
        <v>507</v>
      </c>
      <c r="S2" t="s">
        <v>508</v>
      </c>
      <c r="T2" t="s">
        <v>509</v>
      </c>
      <c r="U2" t="s">
        <v>510</v>
      </c>
      <c r="V2" t="s">
        <v>511</v>
      </c>
      <c r="W2" t="s">
        <v>512</v>
      </c>
      <c r="X2" t="s">
        <v>513</v>
      </c>
      <c r="Y2" t="s">
        <v>514</v>
      </c>
      <c r="Z2" t="s">
        <v>515</v>
      </c>
      <c r="AA2" t="s">
        <v>516</v>
      </c>
      <c r="AB2" t="s">
        <v>517</v>
      </c>
      <c r="AC2" t="s">
        <v>518</v>
      </c>
      <c r="AD2" t="s">
        <v>519</v>
      </c>
      <c r="AE2" t="s">
        <v>520</v>
      </c>
      <c r="AF2" t="s">
        <v>521</v>
      </c>
      <c r="AG2" t="s">
        <v>522</v>
      </c>
      <c r="AH2" t="s">
        <v>523</v>
      </c>
      <c r="AI2" t="s">
        <v>524</v>
      </c>
      <c r="AJ2" t="s">
        <v>525</v>
      </c>
      <c r="AK2" t="s">
        <v>526</v>
      </c>
      <c r="AL2" t="s">
        <v>527</v>
      </c>
      <c r="AM2" t="s">
        <v>528</v>
      </c>
      <c r="AN2" t="s">
        <v>529</v>
      </c>
      <c r="AO2" t="s">
        <v>530</v>
      </c>
      <c r="AP2" t="s">
        <v>531</v>
      </c>
      <c r="AQ2" t="s">
        <v>532</v>
      </c>
      <c r="AR2" t="s">
        <v>533</v>
      </c>
      <c r="AS2" t="s">
        <v>534</v>
      </c>
      <c r="AT2" t="s">
        <v>535</v>
      </c>
      <c r="AU2" t="s">
        <v>536</v>
      </c>
      <c r="AV2" t="s">
        <v>518</v>
      </c>
    </row>
    <row r="3" spans="1:48" x14ac:dyDescent="0.35">
      <c r="A3">
        <v>1</v>
      </c>
      <c r="B3">
        <v>46041</v>
      </c>
      <c r="D3" t="s">
        <v>537</v>
      </c>
      <c r="E3" t="s">
        <v>538</v>
      </c>
      <c r="G3" t="s">
        <v>537</v>
      </c>
      <c r="K3" t="s">
        <v>537</v>
      </c>
      <c r="L3">
        <v>27</v>
      </c>
      <c r="M3">
        <v>58</v>
      </c>
      <c r="N3">
        <v>1</v>
      </c>
      <c r="O3">
        <v>1</v>
      </c>
      <c r="P3">
        <v>181</v>
      </c>
      <c r="T3">
        <v>0.36736111111111114</v>
      </c>
      <c r="U3">
        <v>40</v>
      </c>
      <c r="V3">
        <v>0.7</v>
      </c>
      <c r="W3">
        <v>42.5</v>
      </c>
      <c r="Y3">
        <v>40</v>
      </c>
      <c r="Z3">
        <v>0.36666666666666664</v>
      </c>
      <c r="AA3">
        <v>43.5</v>
      </c>
      <c r="AD3">
        <v>2.5</v>
      </c>
      <c r="AE3">
        <v>3.5</v>
      </c>
    </row>
    <row r="4" spans="1:48" x14ac:dyDescent="0.35">
      <c r="A4">
        <v>2</v>
      </c>
      <c r="B4">
        <v>46041</v>
      </c>
      <c r="D4" t="s">
        <v>537</v>
      </c>
      <c r="E4" t="s">
        <v>538</v>
      </c>
      <c r="G4" t="s">
        <v>537</v>
      </c>
      <c r="K4" t="s">
        <v>537</v>
      </c>
      <c r="L4">
        <v>27</v>
      </c>
      <c r="M4">
        <v>58</v>
      </c>
      <c r="N4">
        <v>1</v>
      </c>
      <c r="O4">
        <v>2</v>
      </c>
      <c r="P4">
        <v>182</v>
      </c>
      <c r="T4">
        <v>0.36805555555555558</v>
      </c>
      <c r="U4">
        <v>39.5</v>
      </c>
      <c r="V4">
        <v>0.7</v>
      </c>
      <c r="W4">
        <v>42</v>
      </c>
      <c r="Y4">
        <v>39</v>
      </c>
      <c r="Z4">
        <v>0.36736111111111114</v>
      </c>
      <c r="AA4">
        <v>43.5</v>
      </c>
      <c r="AD4">
        <v>2.5</v>
      </c>
      <c r="AE4">
        <v>4.5</v>
      </c>
      <c r="AQ4" t="s">
        <v>540</v>
      </c>
    </row>
    <row r="5" spans="1:48" x14ac:dyDescent="0.35">
      <c r="A5">
        <v>3</v>
      </c>
      <c r="B5">
        <v>46041</v>
      </c>
      <c r="C5" t="s">
        <v>16</v>
      </c>
      <c r="D5" t="s">
        <v>18</v>
      </c>
      <c r="E5" t="s">
        <v>19</v>
      </c>
      <c r="F5" t="s">
        <v>20</v>
      </c>
      <c r="G5" t="s">
        <v>21</v>
      </c>
      <c r="H5" t="s">
        <v>22</v>
      </c>
      <c r="I5" t="s">
        <v>23</v>
      </c>
      <c r="J5" t="s">
        <v>24</v>
      </c>
      <c r="K5" t="s">
        <v>17</v>
      </c>
      <c r="L5">
        <v>27</v>
      </c>
      <c r="M5">
        <v>58</v>
      </c>
      <c r="N5">
        <v>1</v>
      </c>
      <c r="O5">
        <v>1</v>
      </c>
      <c r="P5">
        <v>183</v>
      </c>
      <c r="Q5">
        <v>0.50070000000000003</v>
      </c>
      <c r="R5">
        <v>475.32593577261707</v>
      </c>
      <c r="S5">
        <v>146.52593577261712</v>
      </c>
      <c r="T5">
        <v>0.36805555555555558</v>
      </c>
      <c r="U5">
        <v>40.5</v>
      </c>
      <c r="V5">
        <v>0.7</v>
      </c>
      <c r="W5">
        <v>71</v>
      </c>
      <c r="X5">
        <v>12.3</v>
      </c>
      <c r="Y5">
        <v>40</v>
      </c>
      <c r="Z5">
        <v>0.36805555555555558</v>
      </c>
      <c r="AA5">
        <v>64.5</v>
      </c>
      <c r="AB5">
        <v>16.899999999999999</v>
      </c>
      <c r="AD5">
        <v>30.5</v>
      </c>
      <c r="AE5">
        <v>24.5</v>
      </c>
      <c r="AF5">
        <v>27.844979731721114</v>
      </c>
      <c r="AG5">
        <v>20.81247184961266</v>
      </c>
      <c r="AH5">
        <v>48.657451581333774</v>
      </c>
      <c r="AI5">
        <v>3.4249325070016976</v>
      </c>
      <c r="AJ5">
        <v>3.5173077425845389</v>
      </c>
      <c r="AK5">
        <v>6.9422402495862361</v>
      </c>
      <c r="AL5">
        <v>102.36649826869571</v>
      </c>
      <c r="AM5">
        <v>30.826412940090677</v>
      </c>
      <c r="AN5">
        <v>3.0113771069101398</v>
      </c>
      <c r="AO5">
        <v>12.300000000000002</v>
      </c>
      <c r="AP5">
        <v>14.267578806468885</v>
      </c>
      <c r="AQ5">
        <v>14.605220811908767</v>
      </c>
      <c r="AR5">
        <v>47.3789176843026</v>
      </c>
      <c r="AS5">
        <v>-0.47819666340285472</v>
      </c>
      <c r="AT5">
        <v>8.1061502360905404</v>
      </c>
      <c r="AU5">
        <v>26.296119019246149</v>
      </c>
    </row>
    <row r="6" spans="1:48" x14ac:dyDescent="0.35">
      <c r="A6">
        <v>4</v>
      </c>
      <c r="B6">
        <v>46041</v>
      </c>
      <c r="C6" t="s">
        <v>16</v>
      </c>
      <c r="D6" t="s">
        <v>18</v>
      </c>
      <c r="E6" t="s">
        <v>19</v>
      </c>
      <c r="F6" t="s">
        <v>20</v>
      </c>
      <c r="G6" t="s">
        <v>21</v>
      </c>
      <c r="H6" t="s">
        <v>22</v>
      </c>
      <c r="I6" t="s">
        <v>23</v>
      </c>
      <c r="J6" t="s">
        <v>24</v>
      </c>
      <c r="K6" t="s">
        <v>17</v>
      </c>
      <c r="L6">
        <v>27</v>
      </c>
      <c r="M6">
        <v>58</v>
      </c>
      <c r="N6">
        <v>1</v>
      </c>
      <c r="O6">
        <v>2</v>
      </c>
      <c r="P6">
        <v>184</v>
      </c>
      <c r="Q6">
        <v>0.50029999999999997</v>
      </c>
      <c r="R6">
        <v>474.94620664477787</v>
      </c>
      <c r="S6">
        <v>0</v>
      </c>
      <c r="T6">
        <v>0.36875000000000002</v>
      </c>
      <c r="U6">
        <v>41</v>
      </c>
      <c r="V6">
        <v>0.7006944444444444</v>
      </c>
      <c r="W6">
        <v>71</v>
      </c>
      <c r="X6">
        <v>13.8</v>
      </c>
      <c r="Y6">
        <v>41</v>
      </c>
      <c r="Z6">
        <v>0.36875000000000002</v>
      </c>
      <c r="AA6">
        <v>64.5</v>
      </c>
      <c r="AB6">
        <v>17.7</v>
      </c>
      <c r="AD6">
        <v>30</v>
      </c>
      <c r="AE6">
        <v>23.5</v>
      </c>
      <c r="AV6" t="s">
        <v>608</v>
      </c>
    </row>
    <row r="7" spans="1:48" x14ac:dyDescent="0.35">
      <c r="A7">
        <v>5</v>
      </c>
      <c r="B7">
        <v>46041</v>
      </c>
      <c r="C7" t="s">
        <v>16</v>
      </c>
      <c r="D7" t="s">
        <v>18</v>
      </c>
      <c r="E7" t="s">
        <v>19</v>
      </c>
      <c r="F7" t="s">
        <v>20</v>
      </c>
      <c r="G7" t="s">
        <v>21</v>
      </c>
      <c r="H7" t="s">
        <v>22</v>
      </c>
      <c r="I7" t="s">
        <v>23</v>
      </c>
      <c r="J7" t="s">
        <v>24</v>
      </c>
      <c r="K7" t="s">
        <v>17</v>
      </c>
      <c r="L7">
        <v>27</v>
      </c>
      <c r="M7">
        <v>58</v>
      </c>
      <c r="N7">
        <v>1</v>
      </c>
      <c r="O7">
        <v>3</v>
      </c>
      <c r="P7">
        <v>185</v>
      </c>
      <c r="Q7">
        <v>0.50049999999999994</v>
      </c>
      <c r="R7">
        <v>475.13607120869744</v>
      </c>
      <c r="S7">
        <v>116.03607120869748</v>
      </c>
      <c r="T7">
        <v>0.36875000000000002</v>
      </c>
      <c r="U7">
        <v>41.5</v>
      </c>
      <c r="V7">
        <v>0.7006944444444444</v>
      </c>
      <c r="W7">
        <v>73</v>
      </c>
      <c r="X7">
        <v>13.7</v>
      </c>
      <c r="Y7">
        <v>40.5</v>
      </c>
      <c r="Z7">
        <v>0.36944444444444446</v>
      </c>
      <c r="AA7">
        <v>64.5</v>
      </c>
      <c r="AB7">
        <v>17.8</v>
      </c>
      <c r="AD7">
        <v>31.5</v>
      </c>
      <c r="AE7">
        <v>24</v>
      </c>
      <c r="AF7">
        <v>28.844979731721114</v>
      </c>
      <c r="AG7">
        <v>20.31247184961266</v>
      </c>
      <c r="AH7">
        <v>49.157451581333774</v>
      </c>
      <c r="AI7">
        <v>3.9517622232457921</v>
      </c>
      <c r="AJ7">
        <v>3.6156199892310537</v>
      </c>
      <c r="AK7">
        <v>7.5673822124768453</v>
      </c>
      <c r="AL7">
        <v>103.45973408476915</v>
      </c>
      <c r="AM7">
        <v>24.421650604954831</v>
      </c>
      <c r="AN7">
        <v>2.3604981030538017</v>
      </c>
      <c r="AO7">
        <v>13.699999999999998</v>
      </c>
      <c r="AP7">
        <v>15.394171115555462</v>
      </c>
      <c r="AQ7">
        <v>15.926768500708022</v>
      </c>
      <c r="AR7">
        <v>65.215774143770147</v>
      </c>
      <c r="AS7">
        <v>-0.3012410390466268</v>
      </c>
      <c r="AT7">
        <v>8.8396320675209914</v>
      </c>
      <c r="AU7">
        <v>36.195882950383158</v>
      </c>
    </row>
    <row r="8" spans="1:48" x14ac:dyDescent="0.35">
      <c r="A8">
        <v>6</v>
      </c>
      <c r="B8">
        <v>46041</v>
      </c>
      <c r="C8" t="s">
        <v>16</v>
      </c>
      <c r="D8" t="s">
        <v>28</v>
      </c>
      <c r="E8" t="s">
        <v>19</v>
      </c>
      <c r="F8" t="s">
        <v>29</v>
      </c>
      <c r="G8" t="s">
        <v>30</v>
      </c>
      <c r="H8" t="s">
        <v>22</v>
      </c>
      <c r="I8" t="s">
        <v>23</v>
      </c>
      <c r="J8" t="s">
        <v>24</v>
      </c>
      <c r="K8" t="s">
        <v>27</v>
      </c>
      <c r="L8">
        <v>27</v>
      </c>
      <c r="M8">
        <v>58</v>
      </c>
      <c r="N8">
        <v>1</v>
      </c>
      <c r="O8">
        <v>1</v>
      </c>
      <c r="P8">
        <v>186</v>
      </c>
      <c r="Q8">
        <v>0.5</v>
      </c>
      <c r="R8">
        <v>475.22870438411098</v>
      </c>
      <c r="S8">
        <v>92.228704384110983</v>
      </c>
      <c r="T8">
        <v>0.36875000000000002</v>
      </c>
      <c r="U8">
        <v>41</v>
      </c>
      <c r="V8">
        <v>0.70208333333333328</v>
      </c>
      <c r="W8">
        <v>69.5</v>
      </c>
      <c r="X8">
        <v>12.4</v>
      </c>
      <c r="Y8">
        <v>40.5</v>
      </c>
      <c r="Z8">
        <v>0.37013888888888891</v>
      </c>
      <c r="AA8">
        <v>57.5</v>
      </c>
      <c r="AB8">
        <v>16.600000000000001</v>
      </c>
      <c r="AD8">
        <v>28.5</v>
      </c>
      <c r="AE8">
        <v>17</v>
      </c>
      <c r="AF8">
        <v>25.844979731721114</v>
      </c>
      <c r="AG8">
        <v>13.31247184961266</v>
      </c>
      <c r="AH8">
        <v>39.157451581333774</v>
      </c>
      <c r="AI8">
        <v>3.204777486733418</v>
      </c>
      <c r="AJ8">
        <v>2.2098703270357016</v>
      </c>
      <c r="AK8">
        <v>5.4146478137691201</v>
      </c>
      <c r="AL8">
        <v>82.39706739112323</v>
      </c>
      <c r="AM8">
        <v>19.407225096732731</v>
      </c>
      <c r="AN8">
        <v>2.3553295901430955</v>
      </c>
      <c r="AO8">
        <v>12.4</v>
      </c>
      <c r="AP8">
        <v>13.827886124106872</v>
      </c>
      <c r="AQ8">
        <v>11.393772648448119</v>
      </c>
      <c r="AR8">
        <v>58.708922020831807</v>
      </c>
      <c r="AS8">
        <v>-0.12987802927253467</v>
      </c>
      <c r="AT8">
        <v>6.323740943982969</v>
      </c>
      <c r="AU8">
        <v>32.584467446856131</v>
      </c>
    </row>
    <row r="9" spans="1:48" x14ac:dyDescent="0.35">
      <c r="A9">
        <v>7</v>
      </c>
      <c r="B9">
        <v>46041</v>
      </c>
      <c r="C9" t="s">
        <v>16</v>
      </c>
      <c r="D9" t="s">
        <v>28</v>
      </c>
      <c r="E9" t="s">
        <v>19</v>
      </c>
      <c r="F9" t="s">
        <v>29</v>
      </c>
      <c r="G9" t="s">
        <v>30</v>
      </c>
      <c r="H9" t="s">
        <v>22</v>
      </c>
      <c r="I9" t="s">
        <v>23</v>
      </c>
      <c r="J9" t="s">
        <v>24</v>
      </c>
      <c r="K9" t="s">
        <v>27</v>
      </c>
      <c r="L9">
        <v>27</v>
      </c>
      <c r="M9">
        <v>58</v>
      </c>
      <c r="N9">
        <v>1</v>
      </c>
      <c r="O9">
        <v>2</v>
      </c>
      <c r="P9">
        <v>187</v>
      </c>
      <c r="Q9">
        <v>0.50049999999999994</v>
      </c>
      <c r="R9">
        <v>475.70393308849503</v>
      </c>
      <c r="S9">
        <v>115.20393308849498</v>
      </c>
      <c r="T9">
        <v>0.36944444444444446</v>
      </c>
      <c r="U9">
        <v>41</v>
      </c>
      <c r="V9">
        <v>0.70208333333333328</v>
      </c>
      <c r="W9">
        <v>66.5</v>
      </c>
      <c r="X9">
        <v>13.5</v>
      </c>
      <c r="Y9">
        <v>40</v>
      </c>
      <c r="Z9">
        <v>0.37083333333333335</v>
      </c>
      <c r="AA9">
        <v>57</v>
      </c>
      <c r="AB9">
        <v>16.600000000000001</v>
      </c>
      <c r="AD9">
        <v>25.5</v>
      </c>
      <c r="AE9">
        <v>17</v>
      </c>
      <c r="AF9">
        <v>22.844979731721114</v>
      </c>
      <c r="AG9">
        <v>13.31247184961266</v>
      </c>
      <c r="AH9">
        <v>36.157451581333774</v>
      </c>
      <c r="AI9">
        <v>3.0840722637823506</v>
      </c>
      <c r="AJ9">
        <v>2.2098703270357016</v>
      </c>
      <c r="AK9">
        <v>5.2939425908180517</v>
      </c>
      <c r="AL9">
        <v>76.008309089610606</v>
      </c>
      <c r="AM9">
        <v>24.217570021028948</v>
      </c>
      <c r="AN9">
        <v>3.1861740263788065</v>
      </c>
      <c r="AO9">
        <v>13.5</v>
      </c>
      <c r="AP9">
        <v>14.641359828442781</v>
      </c>
      <c r="AQ9">
        <v>11.128650033324869</v>
      </c>
      <c r="AR9">
        <v>45.952793875114146</v>
      </c>
      <c r="AS9">
        <v>-0.15929690468759705</v>
      </c>
      <c r="AT9">
        <v>6.1765933056931113</v>
      </c>
      <c r="AU9">
        <v>25.504595631724253</v>
      </c>
    </row>
    <row r="10" spans="1:48" x14ac:dyDescent="0.35">
      <c r="A10">
        <v>8</v>
      </c>
      <c r="B10">
        <v>46041</v>
      </c>
      <c r="C10" t="s">
        <v>16</v>
      </c>
      <c r="D10" t="s">
        <v>28</v>
      </c>
      <c r="E10" t="s">
        <v>19</v>
      </c>
      <c r="F10" t="s">
        <v>29</v>
      </c>
      <c r="G10" t="s">
        <v>30</v>
      </c>
      <c r="H10" t="s">
        <v>22</v>
      </c>
      <c r="I10" t="s">
        <v>23</v>
      </c>
      <c r="J10" t="s">
        <v>24</v>
      </c>
      <c r="K10" t="s">
        <v>27</v>
      </c>
      <c r="L10">
        <v>27</v>
      </c>
      <c r="M10">
        <v>58</v>
      </c>
      <c r="N10">
        <v>1</v>
      </c>
      <c r="O10">
        <v>3</v>
      </c>
      <c r="P10">
        <v>188</v>
      </c>
      <c r="Q10">
        <v>0.50039999999999996</v>
      </c>
      <c r="R10">
        <v>475.60888734761824</v>
      </c>
      <c r="S10">
        <v>126.90888734761825</v>
      </c>
      <c r="T10">
        <v>0.36944444444444446</v>
      </c>
      <c r="U10">
        <v>41</v>
      </c>
      <c r="V10">
        <v>0.70277777777777772</v>
      </c>
      <c r="W10">
        <v>67.5</v>
      </c>
      <c r="X10">
        <v>12.9</v>
      </c>
      <c r="Y10">
        <v>40</v>
      </c>
      <c r="Z10">
        <v>0.37083333333333335</v>
      </c>
      <c r="AA10">
        <v>58</v>
      </c>
      <c r="AB10">
        <v>16.7</v>
      </c>
      <c r="AD10">
        <v>26.5</v>
      </c>
      <c r="AE10">
        <v>18</v>
      </c>
      <c r="AF10">
        <v>23.844979731721114</v>
      </c>
      <c r="AG10">
        <v>14.31247184961266</v>
      </c>
      <c r="AH10">
        <v>38.157451581333774</v>
      </c>
      <c r="AI10">
        <v>3.076002385392024</v>
      </c>
      <c r="AJ10">
        <v>2.3901827988853137</v>
      </c>
      <c r="AK10">
        <v>5.4661851842773377</v>
      </c>
      <c r="AL10">
        <v>80.228634486060045</v>
      </c>
      <c r="AM10">
        <v>26.683455823410991</v>
      </c>
      <c r="AN10">
        <v>3.3259267086301105</v>
      </c>
      <c r="AO10">
        <v>12.900000000000002</v>
      </c>
      <c r="AP10">
        <v>14.32534133634684</v>
      </c>
      <c r="AQ10">
        <v>11.493025739618176</v>
      </c>
      <c r="AR10">
        <v>43.071728848310038</v>
      </c>
      <c r="AS10">
        <v>-0.18915508405322065</v>
      </c>
      <c r="AT10">
        <v>6.3788281267638602</v>
      </c>
      <c r="AU10">
        <v>23.905554696432286</v>
      </c>
    </row>
    <row r="11" spans="1:48" x14ac:dyDescent="0.35">
      <c r="A11">
        <v>9</v>
      </c>
      <c r="B11">
        <v>46041</v>
      </c>
      <c r="C11" t="s">
        <v>16</v>
      </c>
      <c r="D11" t="s">
        <v>32</v>
      </c>
      <c r="E11" t="s">
        <v>19</v>
      </c>
      <c r="F11" t="s">
        <v>20</v>
      </c>
      <c r="G11" t="s">
        <v>21</v>
      </c>
      <c r="H11" t="s">
        <v>22</v>
      </c>
      <c r="I11" t="s">
        <v>23</v>
      </c>
      <c r="J11" t="s">
        <v>24</v>
      </c>
      <c r="K11" t="s">
        <v>31</v>
      </c>
      <c r="L11">
        <v>27</v>
      </c>
      <c r="M11">
        <v>58</v>
      </c>
      <c r="N11">
        <v>1</v>
      </c>
      <c r="O11">
        <v>1</v>
      </c>
      <c r="P11">
        <v>189</v>
      </c>
      <c r="Q11">
        <v>0.50070000000000003</v>
      </c>
      <c r="R11">
        <v>472.44541476262469</v>
      </c>
      <c r="S11">
        <v>129.84541476262467</v>
      </c>
      <c r="T11">
        <v>0.37013888888888891</v>
      </c>
      <c r="U11">
        <v>41.5</v>
      </c>
      <c r="V11">
        <v>0.70347222222222228</v>
      </c>
      <c r="W11">
        <v>73</v>
      </c>
      <c r="X11">
        <v>13.2</v>
      </c>
      <c r="Y11">
        <v>40</v>
      </c>
      <c r="Z11">
        <v>0.37083333333333335</v>
      </c>
      <c r="AA11">
        <v>71</v>
      </c>
      <c r="AB11">
        <v>17.3</v>
      </c>
      <c r="AD11">
        <v>31.5</v>
      </c>
      <c r="AE11">
        <v>31</v>
      </c>
      <c r="AF11">
        <v>28.844979731721114</v>
      </c>
      <c r="AG11">
        <v>27.31247184961266</v>
      </c>
      <c r="AH11">
        <v>56.157451581333774</v>
      </c>
      <c r="AI11">
        <v>3.8075373245871873</v>
      </c>
      <c r="AJ11">
        <v>4.7250576299829907</v>
      </c>
      <c r="AK11">
        <v>8.5325949545701789</v>
      </c>
      <c r="AL11">
        <v>118.86548123141274</v>
      </c>
      <c r="AM11">
        <v>27.483686094797672</v>
      </c>
      <c r="AN11">
        <v>2.3121671497960943</v>
      </c>
      <c r="AO11">
        <v>13.200000000000001</v>
      </c>
      <c r="AP11">
        <v>15.194056557591969</v>
      </c>
      <c r="AQ11">
        <v>18.060488445754718</v>
      </c>
      <c r="AR11">
        <v>65.713486842557657</v>
      </c>
      <c r="AS11">
        <v>-0.40682815393227512</v>
      </c>
      <c r="AT11">
        <v>10.023883552591894</v>
      </c>
      <c r="AU11">
        <v>36.472122109156572</v>
      </c>
    </row>
    <row r="12" spans="1:48" x14ac:dyDescent="0.35">
      <c r="A12">
        <v>10</v>
      </c>
      <c r="B12">
        <v>46041</v>
      </c>
      <c r="C12" t="s">
        <v>16</v>
      </c>
      <c r="D12" t="s">
        <v>32</v>
      </c>
      <c r="E12" t="s">
        <v>19</v>
      </c>
      <c r="F12" t="s">
        <v>20</v>
      </c>
      <c r="G12" t="s">
        <v>21</v>
      </c>
      <c r="H12" t="s">
        <v>22</v>
      </c>
      <c r="I12" t="s">
        <v>23</v>
      </c>
      <c r="J12" t="s">
        <v>24</v>
      </c>
      <c r="K12" t="s">
        <v>31</v>
      </c>
      <c r="L12">
        <v>27</v>
      </c>
      <c r="M12">
        <v>58</v>
      </c>
      <c r="N12">
        <v>1</v>
      </c>
      <c r="O12">
        <v>2</v>
      </c>
      <c r="P12">
        <v>190</v>
      </c>
      <c r="Q12">
        <v>0.50049999999999994</v>
      </c>
      <c r="R12">
        <v>472.25670079627241</v>
      </c>
      <c r="S12">
        <v>0</v>
      </c>
      <c r="T12">
        <v>0.37013888888888891</v>
      </c>
      <c r="U12">
        <v>41.5</v>
      </c>
      <c r="V12">
        <v>0.70347222222222228</v>
      </c>
      <c r="W12">
        <v>68</v>
      </c>
      <c r="X12">
        <v>15.3</v>
      </c>
      <c r="Y12">
        <v>41</v>
      </c>
      <c r="Z12">
        <v>0.78888888888888886</v>
      </c>
      <c r="AA12">
        <v>71.5</v>
      </c>
      <c r="AB12">
        <v>17.5</v>
      </c>
      <c r="AD12">
        <v>26.5</v>
      </c>
      <c r="AE12">
        <v>30.5</v>
      </c>
      <c r="AV12" t="s">
        <v>608</v>
      </c>
    </row>
    <row r="13" spans="1:48" x14ac:dyDescent="0.35">
      <c r="A13">
        <v>11</v>
      </c>
      <c r="B13">
        <v>46041</v>
      </c>
      <c r="C13" t="s">
        <v>16</v>
      </c>
      <c r="D13" t="s">
        <v>32</v>
      </c>
      <c r="E13" t="s">
        <v>19</v>
      </c>
      <c r="F13" t="s">
        <v>20</v>
      </c>
      <c r="G13" t="s">
        <v>21</v>
      </c>
      <c r="H13" t="s">
        <v>22</v>
      </c>
      <c r="I13" t="s">
        <v>23</v>
      </c>
      <c r="J13" t="s">
        <v>24</v>
      </c>
      <c r="K13" t="s">
        <v>31</v>
      </c>
      <c r="L13">
        <v>27</v>
      </c>
      <c r="M13">
        <v>58</v>
      </c>
      <c r="N13">
        <v>1</v>
      </c>
      <c r="O13">
        <v>3</v>
      </c>
      <c r="P13">
        <v>191</v>
      </c>
      <c r="Q13">
        <v>0.50039999999999996</v>
      </c>
      <c r="R13">
        <v>472.16234381309636</v>
      </c>
      <c r="S13">
        <v>142.96234381309642</v>
      </c>
      <c r="T13">
        <v>0.36875000000000002</v>
      </c>
      <c r="U13">
        <v>42.5</v>
      </c>
      <c r="V13">
        <v>0.70416666666666672</v>
      </c>
      <c r="W13">
        <v>71.5</v>
      </c>
      <c r="X13">
        <v>13.3</v>
      </c>
      <c r="Y13">
        <v>40.5</v>
      </c>
      <c r="Z13">
        <v>0.37222222222222223</v>
      </c>
      <c r="AA13">
        <v>70.5</v>
      </c>
      <c r="AB13">
        <v>17.5</v>
      </c>
      <c r="AD13">
        <v>29</v>
      </c>
      <c r="AE13">
        <v>30</v>
      </c>
      <c r="AF13">
        <v>26.344979731721114</v>
      </c>
      <c r="AG13">
        <v>26.31247184961266</v>
      </c>
      <c r="AH13">
        <v>52.657451581333774</v>
      </c>
      <c r="AI13">
        <v>3.5038823043189082</v>
      </c>
      <c r="AJ13">
        <v>4.604682573682215</v>
      </c>
      <c r="AK13">
        <v>8.1085648780011237</v>
      </c>
      <c r="AL13">
        <v>111.52403886358634</v>
      </c>
      <c r="AM13">
        <v>30.278218008356788</v>
      </c>
      <c r="AN13">
        <v>2.7149499172454119</v>
      </c>
      <c r="AO13">
        <v>13.3</v>
      </c>
      <c r="AP13">
        <v>15.398703572801615</v>
      </c>
      <c r="AQ13">
        <v>17.173256157019729</v>
      </c>
      <c r="AR13">
        <v>56.718186493934063</v>
      </c>
      <c r="AS13">
        <v>-0.49710551606995595</v>
      </c>
      <c r="AT13">
        <v>9.5314542823043755</v>
      </c>
      <c r="AU13">
        <v>31.479574787636764</v>
      </c>
    </row>
    <row r="14" spans="1:48" x14ac:dyDescent="0.35">
      <c r="A14">
        <v>12</v>
      </c>
      <c r="B14">
        <v>46041</v>
      </c>
      <c r="C14" t="s">
        <v>16</v>
      </c>
      <c r="D14" t="s">
        <v>34</v>
      </c>
      <c r="E14" t="s">
        <v>19</v>
      </c>
      <c r="F14" t="s">
        <v>29</v>
      </c>
      <c r="G14" t="s">
        <v>30</v>
      </c>
      <c r="H14" t="s">
        <v>22</v>
      </c>
      <c r="I14" t="s">
        <v>23</v>
      </c>
      <c r="J14" t="s">
        <v>24</v>
      </c>
      <c r="K14" t="s">
        <v>33</v>
      </c>
      <c r="L14">
        <v>27</v>
      </c>
      <c r="M14">
        <v>58</v>
      </c>
      <c r="N14">
        <v>1</v>
      </c>
      <c r="O14">
        <v>1</v>
      </c>
      <c r="P14">
        <v>192</v>
      </c>
      <c r="Q14">
        <v>0.50009999999999999</v>
      </c>
      <c r="R14">
        <v>470.75734411932388</v>
      </c>
      <c r="S14">
        <v>0</v>
      </c>
      <c r="T14">
        <v>0.37083333333333335</v>
      </c>
      <c r="U14">
        <v>42</v>
      </c>
      <c r="V14">
        <v>0.7055555555555556</v>
      </c>
      <c r="W14">
        <v>67.5</v>
      </c>
      <c r="X14">
        <v>13.3</v>
      </c>
      <c r="Y14">
        <v>41</v>
      </c>
      <c r="Z14">
        <v>0.37291666666666667</v>
      </c>
      <c r="AA14">
        <v>57.5</v>
      </c>
      <c r="AB14">
        <v>16.600000000000001</v>
      </c>
      <c r="AD14">
        <v>25.5</v>
      </c>
      <c r="AE14">
        <v>16.5</v>
      </c>
      <c r="AV14" t="s">
        <v>608</v>
      </c>
    </row>
    <row r="15" spans="1:48" x14ac:dyDescent="0.35">
      <c r="A15">
        <v>13</v>
      </c>
      <c r="B15">
        <v>46041</v>
      </c>
      <c r="C15" t="s">
        <v>16</v>
      </c>
      <c r="D15" t="s">
        <v>34</v>
      </c>
      <c r="E15" t="s">
        <v>19</v>
      </c>
      <c r="F15" t="s">
        <v>29</v>
      </c>
      <c r="G15" t="s">
        <v>30</v>
      </c>
      <c r="H15" t="s">
        <v>22</v>
      </c>
      <c r="I15" t="s">
        <v>23</v>
      </c>
      <c r="J15" t="s">
        <v>24</v>
      </c>
      <c r="K15" t="s">
        <v>33</v>
      </c>
      <c r="L15">
        <v>27</v>
      </c>
      <c r="M15">
        <v>58</v>
      </c>
      <c r="N15">
        <v>1</v>
      </c>
      <c r="O15">
        <v>2</v>
      </c>
      <c r="P15">
        <v>193</v>
      </c>
      <c r="Q15">
        <v>0.50049999999999994</v>
      </c>
      <c r="R15">
        <v>471.1338746885055</v>
      </c>
      <c r="S15">
        <v>60.6338746885055</v>
      </c>
      <c r="T15">
        <v>0.37083333333333335</v>
      </c>
      <c r="U15">
        <v>41</v>
      </c>
      <c r="V15">
        <v>0.7055555555555556</v>
      </c>
      <c r="W15">
        <v>66</v>
      </c>
      <c r="X15">
        <v>13.5</v>
      </c>
      <c r="Y15">
        <v>41</v>
      </c>
      <c r="Z15">
        <v>0.37291666666666667</v>
      </c>
      <c r="AA15">
        <v>57</v>
      </c>
      <c r="AB15">
        <v>16.600000000000001</v>
      </c>
      <c r="AD15">
        <v>25</v>
      </c>
      <c r="AE15">
        <v>16</v>
      </c>
      <c r="AF15">
        <v>22.344979731721114</v>
      </c>
      <c r="AG15">
        <v>12.31247184961266</v>
      </c>
      <c r="AH15">
        <v>34.657451581333774</v>
      </c>
      <c r="AI15">
        <v>3.0165722637823507</v>
      </c>
      <c r="AJ15">
        <v>2.0438703270357017</v>
      </c>
      <c r="AK15">
        <v>5.0604425908180524</v>
      </c>
      <c r="AL15">
        <v>73.561790911867391</v>
      </c>
      <c r="AM15">
        <v>12.869776075556899</v>
      </c>
      <c r="AN15">
        <v>1.7495191343255723</v>
      </c>
      <c r="AO15">
        <v>13.5</v>
      </c>
      <c r="AP15">
        <v>14.601311867787665</v>
      </c>
      <c r="AQ15">
        <v>10.740986506571641</v>
      </c>
      <c r="AR15">
        <v>83.45900071230929</v>
      </c>
      <c r="AS15">
        <v>-0.1430078382748956</v>
      </c>
      <c r="AT15">
        <v>5.9614333413636382</v>
      </c>
      <c r="AU15">
        <v>46.321189322679615</v>
      </c>
    </row>
    <row r="16" spans="1:48" x14ac:dyDescent="0.35">
      <c r="A16">
        <v>14</v>
      </c>
      <c r="B16">
        <v>46041</v>
      </c>
      <c r="C16" t="s">
        <v>16</v>
      </c>
      <c r="D16" t="s">
        <v>34</v>
      </c>
      <c r="E16" t="s">
        <v>19</v>
      </c>
      <c r="F16" t="s">
        <v>29</v>
      </c>
      <c r="G16" t="s">
        <v>30</v>
      </c>
      <c r="H16" t="s">
        <v>22</v>
      </c>
      <c r="I16" t="s">
        <v>23</v>
      </c>
      <c r="J16" t="s">
        <v>24</v>
      </c>
      <c r="K16" t="s">
        <v>33</v>
      </c>
      <c r="L16">
        <v>27</v>
      </c>
      <c r="M16">
        <v>58</v>
      </c>
      <c r="N16">
        <v>1</v>
      </c>
      <c r="O16">
        <v>3</v>
      </c>
      <c r="P16">
        <v>194</v>
      </c>
      <c r="Q16">
        <v>0.50049999999999994</v>
      </c>
      <c r="R16">
        <v>471.1338746885055</v>
      </c>
      <c r="S16">
        <v>75.833874688505489</v>
      </c>
      <c r="T16">
        <v>0.37083333333333335</v>
      </c>
      <c r="U16">
        <v>41.5</v>
      </c>
      <c r="V16">
        <v>0.70625000000000004</v>
      </c>
      <c r="W16">
        <v>64.5</v>
      </c>
      <c r="X16">
        <v>13.9</v>
      </c>
      <c r="Y16">
        <v>40</v>
      </c>
      <c r="Z16">
        <v>0.37361111111111112</v>
      </c>
      <c r="AA16">
        <v>55.5</v>
      </c>
      <c r="AB16">
        <v>16.600000000000001</v>
      </c>
      <c r="AD16">
        <v>23</v>
      </c>
      <c r="AE16">
        <v>15.5</v>
      </c>
      <c r="AF16">
        <v>20.344979731721114</v>
      </c>
      <c r="AG16">
        <v>11.81247184961266</v>
      </c>
      <c r="AH16">
        <v>32.157451581333774</v>
      </c>
      <c r="AI16">
        <v>2.8279521827092351</v>
      </c>
      <c r="AJ16">
        <v>1.9608703270357015</v>
      </c>
      <c r="AK16">
        <v>4.7888225097449366</v>
      </c>
      <c r="AL16">
        <v>68.255443535226519</v>
      </c>
      <c r="AM16">
        <v>16.096035280554545</v>
      </c>
      <c r="AN16">
        <v>2.3582053601699049</v>
      </c>
      <c r="AO16">
        <v>13.900000000000002</v>
      </c>
      <c r="AP16">
        <v>14.891797310594951</v>
      </c>
      <c r="AQ16">
        <v>10.164462304713519</v>
      </c>
      <c r="AR16">
        <v>63.148857016939452</v>
      </c>
      <c r="AS16">
        <v>-0.15766862337015089</v>
      </c>
      <c r="AT16">
        <v>5.6414524348652195</v>
      </c>
      <c r="AU16">
        <v>35.048708185180239</v>
      </c>
    </row>
    <row r="17" spans="1:48" x14ac:dyDescent="0.35">
      <c r="A17">
        <v>15</v>
      </c>
      <c r="B17">
        <v>46041</v>
      </c>
      <c r="C17" t="s">
        <v>16</v>
      </c>
      <c r="D17" t="s">
        <v>36</v>
      </c>
      <c r="E17" t="s">
        <v>19</v>
      </c>
      <c r="F17" t="s">
        <v>20</v>
      </c>
      <c r="G17" t="s">
        <v>21</v>
      </c>
      <c r="H17" t="s">
        <v>22</v>
      </c>
      <c r="I17" t="s">
        <v>23</v>
      </c>
      <c r="J17" t="s">
        <v>24</v>
      </c>
      <c r="K17" t="s">
        <v>35</v>
      </c>
      <c r="L17">
        <v>27</v>
      </c>
      <c r="M17">
        <v>58</v>
      </c>
      <c r="N17">
        <v>1</v>
      </c>
      <c r="O17">
        <v>1</v>
      </c>
      <c r="P17">
        <v>195</v>
      </c>
      <c r="Q17">
        <v>0.50029999999999997</v>
      </c>
      <c r="R17">
        <v>471.7621368452036</v>
      </c>
      <c r="S17">
        <v>83.762136845203599</v>
      </c>
      <c r="T17">
        <v>0.37222222222222223</v>
      </c>
      <c r="U17">
        <v>42</v>
      </c>
      <c r="V17">
        <v>0.70694444444444449</v>
      </c>
      <c r="W17">
        <v>70</v>
      </c>
      <c r="X17">
        <v>13.1</v>
      </c>
      <c r="Y17">
        <v>40.5</v>
      </c>
      <c r="Z17">
        <v>0.37430555555555556</v>
      </c>
      <c r="AA17">
        <v>64.5</v>
      </c>
      <c r="AB17">
        <v>16.7</v>
      </c>
      <c r="AD17">
        <v>28</v>
      </c>
      <c r="AE17">
        <v>24</v>
      </c>
      <c r="AF17">
        <v>25.344979731721114</v>
      </c>
      <c r="AG17">
        <v>20.31247184961266</v>
      </c>
      <c r="AH17">
        <v>45.657451581333774</v>
      </c>
      <c r="AI17">
        <v>3.320192344855466</v>
      </c>
      <c r="AJ17">
        <v>3.3921827988853139</v>
      </c>
      <c r="AK17">
        <v>6.7123751437407799</v>
      </c>
      <c r="AL17">
        <v>96.780661302445878</v>
      </c>
      <c r="AM17">
        <v>17.755163100909886</v>
      </c>
      <c r="AN17">
        <v>1.8345775759295386</v>
      </c>
      <c r="AO17">
        <v>13.100000000000001</v>
      </c>
      <c r="AP17">
        <v>14.701598339941105</v>
      </c>
      <c r="AQ17">
        <v>14.228304095424408</v>
      </c>
      <c r="AR17">
        <v>80.136149775471551</v>
      </c>
      <c r="AS17">
        <v>-0.22910343454718554</v>
      </c>
      <c r="AT17">
        <v>7.8969549373912633</v>
      </c>
      <c r="AU17">
        <v>44.476949563964141</v>
      </c>
    </row>
    <row r="18" spans="1:48" x14ac:dyDescent="0.35">
      <c r="A18">
        <v>16</v>
      </c>
      <c r="B18">
        <v>46041</v>
      </c>
      <c r="C18" t="s">
        <v>16</v>
      </c>
      <c r="D18" t="s">
        <v>36</v>
      </c>
      <c r="E18" t="s">
        <v>19</v>
      </c>
      <c r="F18" t="s">
        <v>20</v>
      </c>
      <c r="G18" t="s">
        <v>21</v>
      </c>
      <c r="H18" t="s">
        <v>22</v>
      </c>
      <c r="I18" t="s">
        <v>23</v>
      </c>
      <c r="J18" t="s">
        <v>24</v>
      </c>
      <c r="K18" t="s">
        <v>35</v>
      </c>
      <c r="L18">
        <v>27</v>
      </c>
      <c r="M18">
        <v>58</v>
      </c>
      <c r="N18">
        <v>1</v>
      </c>
      <c r="O18">
        <v>2</v>
      </c>
      <c r="P18">
        <v>196</v>
      </c>
      <c r="Q18">
        <v>0.50009999999999999</v>
      </c>
      <c r="R18">
        <v>471.5735451454853</v>
      </c>
      <c r="S18">
        <v>118.67354514548521</v>
      </c>
      <c r="T18">
        <v>0.37222222222222223</v>
      </c>
      <c r="U18">
        <v>41.5</v>
      </c>
      <c r="V18">
        <v>0.70694444444444449</v>
      </c>
      <c r="W18">
        <v>67</v>
      </c>
      <c r="X18">
        <v>13.7</v>
      </c>
      <c r="Y18">
        <v>40.5</v>
      </c>
      <c r="Z18">
        <v>0.37430555555555556</v>
      </c>
      <c r="AA18">
        <v>66.5</v>
      </c>
      <c r="AB18">
        <v>16.5</v>
      </c>
      <c r="AD18">
        <v>25.5</v>
      </c>
      <c r="AE18">
        <v>26</v>
      </c>
      <c r="AF18">
        <v>22.844979731721114</v>
      </c>
      <c r="AG18">
        <v>22.31247184961266</v>
      </c>
      <c r="AH18">
        <v>45.157451581333774</v>
      </c>
      <c r="AI18">
        <v>3.1297622232457925</v>
      </c>
      <c r="AJ18">
        <v>3.6815578551860892</v>
      </c>
      <c r="AK18">
        <v>6.8113200784318817</v>
      </c>
      <c r="AL18">
        <v>95.759085822768611</v>
      </c>
      <c r="AM18">
        <v>25.165437367542147</v>
      </c>
      <c r="AN18">
        <v>2.6279947381827</v>
      </c>
      <c r="AO18">
        <v>13.699999999999998</v>
      </c>
      <c r="AP18">
        <v>15.083490852365548</v>
      </c>
      <c r="AQ18">
        <v>14.443812950386178</v>
      </c>
      <c r="AR18">
        <v>57.395437796028553</v>
      </c>
      <c r="AS18">
        <v>-0.38594032441931575</v>
      </c>
      <c r="AT18">
        <v>8.0165660804219474</v>
      </c>
      <c r="AU18">
        <v>31.855460977449756</v>
      </c>
    </row>
    <row r="19" spans="1:48" x14ac:dyDescent="0.35">
      <c r="A19">
        <v>17</v>
      </c>
      <c r="B19">
        <v>46041</v>
      </c>
      <c r="C19" t="s">
        <v>16</v>
      </c>
      <c r="D19" t="s">
        <v>36</v>
      </c>
      <c r="E19" t="s">
        <v>19</v>
      </c>
      <c r="F19" t="s">
        <v>20</v>
      </c>
      <c r="G19" t="s">
        <v>21</v>
      </c>
      <c r="H19" t="s">
        <v>22</v>
      </c>
      <c r="I19" t="s">
        <v>23</v>
      </c>
      <c r="J19" t="s">
        <v>24</v>
      </c>
      <c r="K19" t="s">
        <v>35</v>
      </c>
      <c r="L19">
        <v>27</v>
      </c>
      <c r="M19">
        <v>58</v>
      </c>
      <c r="N19">
        <v>1</v>
      </c>
      <c r="O19">
        <v>3</v>
      </c>
      <c r="P19">
        <v>197</v>
      </c>
      <c r="Q19">
        <v>0.50060000000000004</v>
      </c>
      <c r="R19">
        <v>472.04502439478097</v>
      </c>
      <c r="S19">
        <v>102.44502439478094</v>
      </c>
      <c r="T19">
        <v>0.37222222222222223</v>
      </c>
      <c r="U19">
        <v>42.5</v>
      </c>
      <c r="V19">
        <v>0.70763888888888893</v>
      </c>
      <c r="W19">
        <v>69</v>
      </c>
      <c r="X19">
        <v>13.1</v>
      </c>
      <c r="Y19">
        <v>40.5</v>
      </c>
      <c r="Z19">
        <v>0.37430555555555556</v>
      </c>
      <c r="AA19">
        <v>64.5</v>
      </c>
      <c r="AB19">
        <v>16.5</v>
      </c>
      <c r="AD19">
        <v>26.5</v>
      </c>
      <c r="AE19">
        <v>24</v>
      </c>
      <c r="AF19">
        <v>23.844979731721114</v>
      </c>
      <c r="AG19">
        <v>20.31247184961266</v>
      </c>
      <c r="AH19">
        <v>44.157451581333774</v>
      </c>
      <c r="AI19">
        <v>3.1236923448554661</v>
      </c>
      <c r="AJ19">
        <v>3.3515578551860892</v>
      </c>
      <c r="AK19">
        <v>6.4752502000415557</v>
      </c>
      <c r="AL19">
        <v>93.544999521918456</v>
      </c>
      <c r="AM19">
        <v>21.702384116033826</v>
      </c>
      <c r="AN19">
        <v>2.3199940378372395</v>
      </c>
      <c r="AO19">
        <v>13.100000000000001</v>
      </c>
      <c r="AP19">
        <v>14.664003397285661</v>
      </c>
      <c r="AQ19">
        <v>13.717441907884979</v>
      </c>
      <c r="AR19">
        <v>63.207073630912589</v>
      </c>
      <c r="AS19">
        <v>-0.28039934239497999</v>
      </c>
      <c r="AT19">
        <v>7.6134175848607279</v>
      </c>
      <c r="AU19">
        <v>35.081019413143174</v>
      </c>
    </row>
    <row r="20" spans="1:48" x14ac:dyDescent="0.35">
      <c r="A20">
        <v>18</v>
      </c>
      <c r="B20">
        <v>46041</v>
      </c>
      <c r="C20" t="s">
        <v>16</v>
      </c>
      <c r="D20" t="s">
        <v>38</v>
      </c>
      <c r="E20" t="s">
        <v>19</v>
      </c>
      <c r="F20" t="s">
        <v>20</v>
      </c>
      <c r="G20" t="s">
        <v>21</v>
      </c>
      <c r="H20" t="s">
        <v>22</v>
      </c>
      <c r="I20" t="s">
        <v>23</v>
      </c>
      <c r="J20" t="s">
        <v>24</v>
      </c>
      <c r="K20" t="s">
        <v>37</v>
      </c>
      <c r="L20">
        <v>27</v>
      </c>
      <c r="M20">
        <v>58</v>
      </c>
      <c r="N20">
        <v>1</v>
      </c>
      <c r="O20">
        <v>1</v>
      </c>
      <c r="P20">
        <v>198</v>
      </c>
      <c r="Q20">
        <v>0.50019999999999998</v>
      </c>
      <c r="R20">
        <v>463.34816055183416</v>
      </c>
      <c r="S20">
        <v>85.548160551834144</v>
      </c>
      <c r="T20">
        <v>0.37291666666666667</v>
      </c>
      <c r="U20">
        <v>42</v>
      </c>
      <c r="V20">
        <v>0.70833333333333337</v>
      </c>
      <c r="W20">
        <v>66</v>
      </c>
      <c r="X20">
        <v>14.7</v>
      </c>
      <c r="Y20">
        <v>41</v>
      </c>
      <c r="Z20">
        <v>0.375</v>
      </c>
      <c r="AA20">
        <v>65</v>
      </c>
      <c r="AB20">
        <v>16.899999999999999</v>
      </c>
      <c r="AD20">
        <v>24</v>
      </c>
      <c r="AE20">
        <v>24</v>
      </c>
      <c r="AF20">
        <v>21.344979731721114</v>
      </c>
      <c r="AG20">
        <v>20.31247184961266</v>
      </c>
      <c r="AH20">
        <v>41.657451581333774</v>
      </c>
      <c r="AI20">
        <v>3.1377120205630038</v>
      </c>
      <c r="AJ20">
        <v>3.4328077425845391</v>
      </c>
      <c r="AK20">
        <v>6.5705197631475425</v>
      </c>
      <c r="AL20">
        <v>89.905291804160754</v>
      </c>
      <c r="AM20">
        <v>18.463040934477604</v>
      </c>
      <c r="AN20">
        <v>2.0536100338448762</v>
      </c>
      <c r="AO20">
        <v>14.7</v>
      </c>
      <c r="AP20">
        <v>15.772735762097643</v>
      </c>
      <c r="AQ20">
        <v>14.180524112413105</v>
      </c>
      <c r="AR20">
        <v>76.804921587605904</v>
      </c>
      <c r="AS20">
        <v>-0.30848223473875647</v>
      </c>
      <c r="AT20">
        <v>7.8704362201766838</v>
      </c>
      <c r="AU20">
        <v>42.628060285993037</v>
      </c>
    </row>
    <row r="21" spans="1:48" x14ac:dyDescent="0.35">
      <c r="A21">
        <v>19</v>
      </c>
      <c r="B21">
        <v>46041</v>
      </c>
      <c r="C21" t="s">
        <v>16</v>
      </c>
      <c r="D21" t="s">
        <v>38</v>
      </c>
      <c r="E21" t="s">
        <v>19</v>
      </c>
      <c r="F21" t="s">
        <v>20</v>
      </c>
      <c r="G21" t="s">
        <v>21</v>
      </c>
      <c r="H21" t="s">
        <v>22</v>
      </c>
      <c r="I21" t="s">
        <v>23</v>
      </c>
      <c r="J21" t="s">
        <v>24</v>
      </c>
      <c r="K21" t="s">
        <v>37</v>
      </c>
      <c r="L21">
        <v>27</v>
      </c>
      <c r="M21">
        <v>58</v>
      </c>
      <c r="N21">
        <v>1</v>
      </c>
      <c r="O21">
        <v>2</v>
      </c>
      <c r="P21">
        <v>199</v>
      </c>
      <c r="Q21">
        <v>0.50060000000000004</v>
      </c>
      <c r="R21">
        <v>463.71869086814922</v>
      </c>
      <c r="S21">
        <v>77.218690868149281</v>
      </c>
      <c r="T21">
        <v>0.37291666666666667</v>
      </c>
      <c r="U21">
        <v>42</v>
      </c>
      <c r="V21">
        <v>0.70833333333333337</v>
      </c>
      <c r="W21">
        <v>66.5</v>
      </c>
      <c r="X21">
        <v>13.8</v>
      </c>
      <c r="Y21">
        <v>40.5</v>
      </c>
      <c r="Z21">
        <v>0.37569444444444444</v>
      </c>
      <c r="AA21">
        <v>64</v>
      </c>
      <c r="AB21">
        <v>17.2</v>
      </c>
      <c r="AD21">
        <v>24.5</v>
      </c>
      <c r="AE21">
        <v>23.5</v>
      </c>
      <c r="AF21">
        <v>21.844979731721114</v>
      </c>
      <c r="AG21">
        <v>19.81247184961266</v>
      </c>
      <c r="AH21">
        <v>41.657451581333774</v>
      </c>
      <c r="AI21">
        <v>3.0146072029775142</v>
      </c>
      <c r="AJ21">
        <v>3.4077451581333773</v>
      </c>
      <c r="AK21">
        <v>6.4223523611108915</v>
      </c>
      <c r="AL21">
        <v>89.833453776350765</v>
      </c>
      <c r="AM21">
        <v>16.652054874817445</v>
      </c>
      <c r="AN21">
        <v>1.853658539754508</v>
      </c>
      <c r="AO21">
        <v>13.8</v>
      </c>
      <c r="AP21">
        <v>15.417055334197816</v>
      </c>
      <c r="AQ21">
        <v>13.849673277321017</v>
      </c>
      <c r="AR21">
        <v>83.170956265977651</v>
      </c>
      <c r="AS21">
        <v>-0.26766889665781141</v>
      </c>
      <c r="AT21">
        <v>7.6868082826376849</v>
      </c>
      <c r="AU21">
        <v>46.16131967149763</v>
      </c>
    </row>
    <row r="22" spans="1:48" x14ac:dyDescent="0.35">
      <c r="A22">
        <v>20</v>
      </c>
      <c r="B22">
        <v>46041</v>
      </c>
      <c r="C22" t="s">
        <v>16</v>
      </c>
      <c r="D22" t="s">
        <v>38</v>
      </c>
      <c r="E22" t="s">
        <v>19</v>
      </c>
      <c r="F22" t="s">
        <v>20</v>
      </c>
      <c r="G22" t="s">
        <v>21</v>
      </c>
      <c r="H22" t="s">
        <v>22</v>
      </c>
      <c r="I22" t="s">
        <v>23</v>
      </c>
      <c r="J22" t="s">
        <v>24</v>
      </c>
      <c r="K22" t="s">
        <v>37</v>
      </c>
      <c r="L22">
        <v>27</v>
      </c>
      <c r="M22">
        <v>58</v>
      </c>
      <c r="N22">
        <v>1</v>
      </c>
      <c r="O22">
        <v>3</v>
      </c>
      <c r="P22">
        <v>200</v>
      </c>
      <c r="Q22">
        <v>0.5</v>
      </c>
      <c r="R22">
        <v>463.16289539367671</v>
      </c>
      <c r="S22">
        <v>96.662895393676649</v>
      </c>
      <c r="T22">
        <v>0.37361111111111112</v>
      </c>
      <c r="U22">
        <v>41.5</v>
      </c>
      <c r="V22">
        <v>0.70902777777777781</v>
      </c>
      <c r="W22">
        <v>67</v>
      </c>
      <c r="X22">
        <v>14.2</v>
      </c>
      <c r="Y22">
        <v>40</v>
      </c>
      <c r="Z22">
        <v>0.37569444444444444</v>
      </c>
      <c r="AA22">
        <v>64.5</v>
      </c>
      <c r="AB22">
        <v>17.3</v>
      </c>
      <c r="AD22">
        <v>25.5</v>
      </c>
      <c r="AE22">
        <v>24.5</v>
      </c>
      <c r="AF22">
        <v>22.844979731721114</v>
      </c>
      <c r="AG22">
        <v>20.81247184961266</v>
      </c>
      <c r="AH22">
        <v>43.657451581333774</v>
      </c>
      <c r="AI22">
        <v>3.2439871219043979</v>
      </c>
      <c r="AJ22">
        <v>3.6005576299829904</v>
      </c>
      <c r="AK22">
        <v>6.8445447518873888</v>
      </c>
      <c r="AL22">
        <v>94.259389116708164</v>
      </c>
      <c r="AM22">
        <v>20.870172536492941</v>
      </c>
      <c r="AN22">
        <v>2.2141213445222245</v>
      </c>
      <c r="AO22">
        <v>14.199999999999998</v>
      </c>
      <c r="AP22">
        <v>15.67783849942778</v>
      </c>
      <c r="AQ22">
        <v>14.777834796264711</v>
      </c>
      <c r="AR22">
        <v>70.808397824333483</v>
      </c>
      <c r="AS22">
        <v>-0.38629352790868715</v>
      </c>
      <c r="AT22">
        <v>8.2019539838092044</v>
      </c>
      <c r="AU22">
        <v>39.299885851290973</v>
      </c>
    </row>
    <row r="23" spans="1:48" x14ac:dyDescent="0.35">
      <c r="A23">
        <v>21</v>
      </c>
      <c r="B23">
        <v>46041</v>
      </c>
      <c r="C23" t="s">
        <v>16</v>
      </c>
      <c r="D23" t="s">
        <v>40</v>
      </c>
      <c r="E23" t="s">
        <v>19</v>
      </c>
      <c r="F23" t="s">
        <v>20</v>
      </c>
      <c r="G23" t="s">
        <v>21</v>
      </c>
      <c r="H23" t="s">
        <v>22</v>
      </c>
      <c r="I23" t="s">
        <v>23</v>
      </c>
      <c r="J23" t="s">
        <v>24</v>
      </c>
      <c r="K23" t="s">
        <v>39</v>
      </c>
      <c r="L23">
        <v>27</v>
      </c>
      <c r="M23">
        <v>58</v>
      </c>
      <c r="N23">
        <v>1</v>
      </c>
      <c r="O23">
        <v>1</v>
      </c>
      <c r="P23">
        <v>201</v>
      </c>
      <c r="Q23">
        <v>0.50019999999999998</v>
      </c>
      <c r="R23">
        <v>473.45267366316818</v>
      </c>
      <c r="S23">
        <v>87.252673663168196</v>
      </c>
      <c r="T23">
        <v>0.37430555555555556</v>
      </c>
      <c r="U23">
        <v>41.5</v>
      </c>
      <c r="V23">
        <v>0.70902777777777781</v>
      </c>
      <c r="W23">
        <v>65</v>
      </c>
      <c r="X23">
        <v>13.6</v>
      </c>
      <c r="Y23">
        <v>40</v>
      </c>
      <c r="Z23">
        <v>0.37638888888888888</v>
      </c>
      <c r="AA23">
        <v>59</v>
      </c>
      <c r="AB23">
        <v>17.2</v>
      </c>
      <c r="AD23">
        <v>23.5</v>
      </c>
      <c r="AE23">
        <v>19</v>
      </c>
      <c r="AF23">
        <v>20.844979731721114</v>
      </c>
      <c r="AG23">
        <v>15.31247184961266</v>
      </c>
      <c r="AH23">
        <v>36.157451581333774</v>
      </c>
      <c r="AI23">
        <v>2.8349172435140719</v>
      </c>
      <c r="AJ23">
        <v>2.6337451581333773</v>
      </c>
      <c r="AK23">
        <v>5.4686624016474497</v>
      </c>
      <c r="AL23">
        <v>76.369727308916893</v>
      </c>
      <c r="AM23">
        <v>18.429016988769398</v>
      </c>
      <c r="AN23">
        <v>2.4131311762085645</v>
      </c>
      <c r="AO23">
        <v>13.600000000000001</v>
      </c>
      <c r="AP23">
        <v>15.124579201457435</v>
      </c>
      <c r="AQ23">
        <v>11.550599892774201</v>
      </c>
      <c r="AR23">
        <v>62.676158472332588</v>
      </c>
      <c r="AS23">
        <v>-0.26832924517719831</v>
      </c>
      <c r="AT23">
        <v>6.4107827778580688</v>
      </c>
      <c r="AU23">
        <v>34.786352314747916</v>
      </c>
    </row>
    <row r="24" spans="1:48" x14ac:dyDescent="0.35">
      <c r="A24">
        <v>22</v>
      </c>
      <c r="B24">
        <v>46041</v>
      </c>
      <c r="C24" t="s">
        <v>16</v>
      </c>
      <c r="D24" t="s">
        <v>40</v>
      </c>
      <c r="E24" t="s">
        <v>19</v>
      </c>
      <c r="F24" t="s">
        <v>20</v>
      </c>
      <c r="G24" t="s">
        <v>21</v>
      </c>
      <c r="H24" t="s">
        <v>22</v>
      </c>
      <c r="I24" t="s">
        <v>23</v>
      </c>
      <c r="J24" t="s">
        <v>24</v>
      </c>
      <c r="K24" t="s">
        <v>39</v>
      </c>
      <c r="L24">
        <v>27</v>
      </c>
      <c r="M24">
        <v>58</v>
      </c>
      <c r="N24">
        <v>1</v>
      </c>
      <c r="O24">
        <v>2</v>
      </c>
      <c r="P24">
        <v>202</v>
      </c>
      <c r="Q24">
        <v>0.50049999999999994</v>
      </c>
      <c r="R24">
        <v>473.73663168415771</v>
      </c>
      <c r="S24">
        <v>92.236631684157658</v>
      </c>
      <c r="T24">
        <v>0.37430555555555556</v>
      </c>
      <c r="U24">
        <v>41</v>
      </c>
      <c r="V24">
        <v>0.70972222222222225</v>
      </c>
      <c r="W24">
        <v>63</v>
      </c>
      <c r="X24">
        <v>15</v>
      </c>
      <c r="Y24">
        <v>41</v>
      </c>
      <c r="Z24">
        <v>0.37638888888888888</v>
      </c>
      <c r="AA24">
        <v>60</v>
      </c>
      <c r="AB24">
        <v>17.5</v>
      </c>
      <c r="AD24">
        <v>22</v>
      </c>
      <c r="AE24">
        <v>19</v>
      </c>
      <c r="AF24">
        <v>19.344979731721114</v>
      </c>
      <c r="AG24">
        <v>15.31247184961266</v>
      </c>
      <c r="AH24">
        <v>34.657451581333774</v>
      </c>
      <c r="AI24">
        <v>2.9017469597581669</v>
      </c>
      <c r="AJ24">
        <v>2.6796825736822152</v>
      </c>
      <c r="AK24">
        <v>5.5814295334403816</v>
      </c>
      <c r="AL24">
        <v>73.157634988294618</v>
      </c>
      <c r="AM24">
        <v>19.470023113106489</v>
      </c>
      <c r="AN24">
        <v>2.6613795151007458</v>
      </c>
      <c r="AO24">
        <v>14.999999999999998</v>
      </c>
      <c r="AP24">
        <v>16.10455841030878</v>
      </c>
      <c r="AQ24">
        <v>11.781714058290399</v>
      </c>
      <c r="AR24">
        <v>60.512070221218138</v>
      </c>
      <c r="AS24">
        <v>-0.29618932396336356</v>
      </c>
      <c r="AT24">
        <v>6.5390551382345317</v>
      </c>
      <c r="AU24">
        <v>33.585245894406185</v>
      </c>
    </row>
    <row r="25" spans="1:48" x14ac:dyDescent="0.35">
      <c r="A25">
        <v>23</v>
      </c>
      <c r="B25">
        <v>46041</v>
      </c>
      <c r="C25" t="s">
        <v>16</v>
      </c>
      <c r="D25" t="s">
        <v>40</v>
      </c>
      <c r="E25" t="s">
        <v>19</v>
      </c>
      <c r="F25" t="s">
        <v>20</v>
      </c>
      <c r="G25" t="s">
        <v>21</v>
      </c>
      <c r="H25" t="s">
        <v>22</v>
      </c>
      <c r="I25" t="s">
        <v>23</v>
      </c>
      <c r="J25" t="s">
        <v>24</v>
      </c>
      <c r="K25" t="s">
        <v>39</v>
      </c>
      <c r="L25">
        <v>27</v>
      </c>
      <c r="M25">
        <v>58</v>
      </c>
      <c r="N25">
        <v>1</v>
      </c>
      <c r="O25">
        <v>3</v>
      </c>
      <c r="P25">
        <v>203</v>
      </c>
      <c r="Q25">
        <v>0.50019999999999998</v>
      </c>
      <c r="R25">
        <v>473.45267366316818</v>
      </c>
      <c r="S25">
        <v>67.452673663168241</v>
      </c>
      <c r="T25">
        <v>0.37430555555555556</v>
      </c>
      <c r="U25">
        <v>42</v>
      </c>
      <c r="V25">
        <v>0.7104166666666667</v>
      </c>
      <c r="W25">
        <v>65.5</v>
      </c>
      <c r="X25">
        <v>13.6</v>
      </c>
      <c r="Y25">
        <v>40</v>
      </c>
      <c r="Z25">
        <v>0.37708333333333333</v>
      </c>
      <c r="AA25">
        <v>68.5</v>
      </c>
      <c r="AB25">
        <v>17.399999999999999</v>
      </c>
      <c r="AD25">
        <v>23.5</v>
      </c>
      <c r="AE25">
        <v>28.5</v>
      </c>
      <c r="AF25">
        <v>20.844979731721114</v>
      </c>
      <c r="AG25">
        <v>24.81247184961266</v>
      </c>
      <c r="AH25">
        <v>45.657451581333774</v>
      </c>
      <c r="AI25">
        <v>2.8349172435140719</v>
      </c>
      <c r="AJ25">
        <v>4.3173701018326023</v>
      </c>
      <c r="AK25">
        <v>7.1522873453466742</v>
      </c>
      <c r="AL25">
        <v>96.435090815045598</v>
      </c>
      <c r="AM25">
        <v>14.24697280538679</v>
      </c>
      <c r="AN25">
        <v>1.4773639641934166</v>
      </c>
      <c r="AO25">
        <v>13.600000000000001</v>
      </c>
      <c r="AP25">
        <v>15.665104156340513</v>
      </c>
      <c r="AQ25">
        <v>15.106657419438458</v>
      </c>
      <c r="AR25">
        <v>106.03415634882533</v>
      </c>
      <c r="AS25">
        <v>-0.26936728546268796</v>
      </c>
      <c r="AT25">
        <v>8.3844562286433515</v>
      </c>
      <c r="AU25">
        <v>58.850791274572956</v>
      </c>
    </row>
    <row r="26" spans="1:48" x14ac:dyDescent="0.35">
      <c r="A26">
        <v>24</v>
      </c>
      <c r="B26">
        <v>46041</v>
      </c>
      <c r="C26" t="s">
        <v>16</v>
      </c>
      <c r="D26" t="s">
        <v>42</v>
      </c>
      <c r="E26" t="s">
        <v>19</v>
      </c>
      <c r="F26" t="s">
        <v>20</v>
      </c>
      <c r="G26" t="s">
        <v>21</v>
      </c>
      <c r="H26" t="s">
        <v>22</v>
      </c>
      <c r="I26" t="s">
        <v>23</v>
      </c>
      <c r="J26" t="s">
        <v>24</v>
      </c>
      <c r="K26" t="s">
        <v>41</v>
      </c>
      <c r="L26">
        <v>27</v>
      </c>
      <c r="M26">
        <v>58</v>
      </c>
      <c r="N26">
        <v>1</v>
      </c>
      <c r="O26">
        <v>1</v>
      </c>
      <c r="P26">
        <v>204</v>
      </c>
      <c r="Q26">
        <v>0.50009999999999999</v>
      </c>
      <c r="R26">
        <v>475.03002523680652</v>
      </c>
      <c r="S26">
        <v>84.230025236806512</v>
      </c>
      <c r="T26">
        <v>0.375</v>
      </c>
      <c r="U26">
        <v>41.5</v>
      </c>
      <c r="V26">
        <v>0.7104166666666667</v>
      </c>
      <c r="W26">
        <v>61.5</v>
      </c>
      <c r="X26">
        <v>14.9</v>
      </c>
      <c r="Y26">
        <v>41</v>
      </c>
      <c r="Z26">
        <v>0.37708333333333333</v>
      </c>
      <c r="AA26">
        <v>60.5</v>
      </c>
      <c r="AB26">
        <v>17.3</v>
      </c>
      <c r="AD26">
        <v>20</v>
      </c>
      <c r="AE26">
        <v>19.5</v>
      </c>
      <c r="AF26">
        <v>17.344979731721114</v>
      </c>
      <c r="AG26">
        <v>15.81247184961266</v>
      </c>
      <c r="AH26">
        <v>33.157451581333774</v>
      </c>
      <c r="AI26">
        <v>2.5844019800264459</v>
      </c>
      <c r="AJ26">
        <v>2.7355576299829902</v>
      </c>
      <c r="AK26">
        <v>5.3199596100094357</v>
      </c>
      <c r="AL26">
        <v>69.800749046977614</v>
      </c>
      <c r="AM26">
        <v>17.731516064656571</v>
      </c>
      <c r="AN26">
        <v>2.5403045535690207</v>
      </c>
      <c r="AO26">
        <v>14.9</v>
      </c>
      <c r="AP26">
        <v>16.044537068718348</v>
      </c>
      <c r="AQ26">
        <v>11.199207055085392</v>
      </c>
      <c r="AR26">
        <v>63.159895714773455</v>
      </c>
      <c r="AS26">
        <v>-0.23757475909247586</v>
      </c>
      <c r="AT26">
        <v>6.2157536734799201</v>
      </c>
      <c r="AU26">
        <v>35.054834853459042</v>
      </c>
    </row>
    <row r="27" spans="1:48" x14ac:dyDescent="0.35">
      <c r="A27">
        <v>25</v>
      </c>
      <c r="B27">
        <v>46041</v>
      </c>
      <c r="C27" t="s">
        <v>16</v>
      </c>
      <c r="D27" t="s">
        <v>42</v>
      </c>
      <c r="E27" t="s">
        <v>19</v>
      </c>
      <c r="F27" t="s">
        <v>20</v>
      </c>
      <c r="G27" t="s">
        <v>21</v>
      </c>
      <c r="H27" t="s">
        <v>22</v>
      </c>
      <c r="I27" t="s">
        <v>23</v>
      </c>
      <c r="J27" t="s">
        <v>24</v>
      </c>
      <c r="K27" t="s">
        <v>41</v>
      </c>
      <c r="L27">
        <v>27</v>
      </c>
      <c r="M27">
        <v>58</v>
      </c>
      <c r="N27">
        <v>1</v>
      </c>
      <c r="O27">
        <v>2</v>
      </c>
      <c r="P27">
        <v>205</v>
      </c>
      <c r="Q27">
        <v>0.50019999999999998</v>
      </c>
      <c r="R27">
        <v>475.12501224445236</v>
      </c>
      <c r="S27">
        <v>95.925012244452375</v>
      </c>
      <c r="T27">
        <v>0.375</v>
      </c>
      <c r="U27">
        <v>41.5</v>
      </c>
      <c r="V27">
        <v>0.71111111111111114</v>
      </c>
      <c r="W27">
        <v>64.5</v>
      </c>
      <c r="X27">
        <v>13.7</v>
      </c>
      <c r="Y27">
        <v>41.5</v>
      </c>
      <c r="Z27">
        <v>0.37777777777777777</v>
      </c>
      <c r="AA27">
        <v>60.5</v>
      </c>
      <c r="AB27">
        <v>17.100000000000001</v>
      </c>
      <c r="AD27">
        <v>23</v>
      </c>
      <c r="AE27">
        <v>19</v>
      </c>
      <c r="AF27">
        <v>20.344979731721114</v>
      </c>
      <c r="AG27">
        <v>15.31247184961266</v>
      </c>
      <c r="AH27">
        <v>35.657451581333774</v>
      </c>
      <c r="AI27">
        <v>2.7872622232457922</v>
      </c>
      <c r="AJ27">
        <v>2.6184326862837648</v>
      </c>
      <c r="AK27">
        <v>5.405694909529557</v>
      </c>
      <c r="AL27">
        <v>75.048567560968507</v>
      </c>
      <c r="AM27">
        <v>20.189425892631991</v>
      </c>
      <c r="AN27">
        <v>2.6901813783761233</v>
      </c>
      <c r="AO27">
        <v>13.699999999999998</v>
      </c>
      <c r="AP27">
        <v>15.160070812125479</v>
      </c>
      <c r="AQ27">
        <v>11.377415985728659</v>
      </c>
      <c r="AR27">
        <v>56.353340834128318</v>
      </c>
      <c r="AS27">
        <v>-0.28851776551576175</v>
      </c>
      <c r="AT27">
        <v>6.3146627131864257</v>
      </c>
      <c r="AU27">
        <v>31.277079134235926</v>
      </c>
    </row>
    <row r="28" spans="1:48" x14ac:dyDescent="0.35">
      <c r="A28">
        <v>26</v>
      </c>
      <c r="B28">
        <v>46041</v>
      </c>
      <c r="C28" t="s">
        <v>16</v>
      </c>
      <c r="D28" t="s">
        <v>42</v>
      </c>
      <c r="E28" t="s">
        <v>19</v>
      </c>
      <c r="F28" t="s">
        <v>20</v>
      </c>
      <c r="G28" t="s">
        <v>21</v>
      </c>
      <c r="H28" t="s">
        <v>22</v>
      </c>
      <c r="I28" t="s">
        <v>23</v>
      </c>
      <c r="J28" t="s">
        <v>24</v>
      </c>
      <c r="K28" t="s">
        <v>41</v>
      </c>
      <c r="L28">
        <v>27</v>
      </c>
      <c r="M28">
        <v>58</v>
      </c>
      <c r="N28">
        <v>1</v>
      </c>
      <c r="O28">
        <v>3</v>
      </c>
      <c r="P28">
        <v>206</v>
      </c>
      <c r="Q28">
        <v>0.50070000000000003</v>
      </c>
      <c r="R28">
        <v>475.59994728268157</v>
      </c>
      <c r="S28">
        <v>0</v>
      </c>
      <c r="T28">
        <v>0.37569444444444444</v>
      </c>
      <c r="U28">
        <v>42</v>
      </c>
      <c r="V28">
        <v>0.71180555555555558</v>
      </c>
      <c r="W28">
        <v>62</v>
      </c>
      <c r="X28">
        <v>13.5</v>
      </c>
      <c r="Y28">
        <v>41</v>
      </c>
      <c r="Z28">
        <v>0.37777777777777777</v>
      </c>
      <c r="AA28">
        <v>59</v>
      </c>
      <c r="AB28">
        <v>17.2</v>
      </c>
      <c r="AD28">
        <v>20</v>
      </c>
      <c r="AE28">
        <v>18</v>
      </c>
      <c r="AV28" t="s">
        <v>608</v>
      </c>
    </row>
    <row r="29" spans="1:48" x14ac:dyDescent="0.35">
      <c r="A29">
        <v>27</v>
      </c>
      <c r="B29">
        <v>46041</v>
      </c>
      <c r="C29" t="s">
        <v>16</v>
      </c>
      <c r="D29" t="s">
        <v>44</v>
      </c>
      <c r="E29" t="s">
        <v>19</v>
      </c>
      <c r="F29" t="s">
        <v>20</v>
      </c>
      <c r="G29" t="s">
        <v>21</v>
      </c>
      <c r="H29" t="s">
        <v>22</v>
      </c>
      <c r="I29" t="s">
        <v>23</v>
      </c>
      <c r="J29" t="s">
        <v>24</v>
      </c>
      <c r="K29" t="s">
        <v>43</v>
      </c>
      <c r="L29">
        <v>27</v>
      </c>
      <c r="M29">
        <v>58</v>
      </c>
      <c r="N29">
        <v>1</v>
      </c>
      <c r="O29">
        <v>1</v>
      </c>
      <c r="P29">
        <v>207</v>
      </c>
      <c r="Q29">
        <v>0.50039999999999996</v>
      </c>
      <c r="R29">
        <v>473.09454327403586</v>
      </c>
      <c r="S29">
        <v>82.394543274035925</v>
      </c>
      <c r="T29">
        <v>0.37569444444444444</v>
      </c>
      <c r="U29">
        <v>41.5</v>
      </c>
      <c r="V29">
        <v>0.71250000000000002</v>
      </c>
      <c r="W29">
        <v>63.5</v>
      </c>
      <c r="X29">
        <v>13.8</v>
      </c>
      <c r="Y29">
        <v>42.5</v>
      </c>
      <c r="Z29">
        <v>0.37847222222222221</v>
      </c>
      <c r="AA29">
        <v>63.5</v>
      </c>
      <c r="AB29">
        <v>17.7</v>
      </c>
      <c r="AD29">
        <v>22</v>
      </c>
      <c r="AE29">
        <v>21</v>
      </c>
      <c r="AF29">
        <v>19.344979731721114</v>
      </c>
      <c r="AG29">
        <v>17.31247184961266</v>
      </c>
      <c r="AH29">
        <v>36.657451581333774</v>
      </c>
      <c r="AI29">
        <v>2.669607202977514</v>
      </c>
      <c r="AJ29">
        <v>3.0643075173814407</v>
      </c>
      <c r="AK29">
        <v>5.7339147203589551</v>
      </c>
      <c r="AL29">
        <v>77.484410045499644</v>
      </c>
      <c r="AM29">
        <v>17.416084046082435</v>
      </c>
      <c r="AN29">
        <v>2.2476887977666125</v>
      </c>
      <c r="AO29">
        <v>13.8</v>
      </c>
      <c r="AP29">
        <v>15.641880362678306</v>
      </c>
      <c r="AQ29">
        <v>12.120018719044145</v>
      </c>
      <c r="AR29">
        <v>69.590952173720211</v>
      </c>
      <c r="AS29">
        <v>-0.30091153173316421</v>
      </c>
      <c r="AT29">
        <v>6.7268200779746747</v>
      </c>
      <c r="AU29">
        <v>38.624182452127073</v>
      </c>
    </row>
    <row r="30" spans="1:48" x14ac:dyDescent="0.35">
      <c r="A30">
        <v>28</v>
      </c>
      <c r="B30">
        <v>46041</v>
      </c>
      <c r="C30" t="s">
        <v>16</v>
      </c>
      <c r="D30" t="s">
        <v>44</v>
      </c>
      <c r="E30" t="s">
        <v>19</v>
      </c>
      <c r="F30" t="s">
        <v>20</v>
      </c>
      <c r="G30" t="s">
        <v>21</v>
      </c>
      <c r="H30" t="s">
        <v>22</v>
      </c>
      <c r="I30" t="s">
        <v>23</v>
      </c>
      <c r="J30" t="s">
        <v>24</v>
      </c>
      <c r="K30" t="s">
        <v>43</v>
      </c>
      <c r="L30">
        <v>27</v>
      </c>
      <c r="M30">
        <v>58</v>
      </c>
      <c r="N30">
        <v>1</v>
      </c>
      <c r="O30">
        <v>2</v>
      </c>
      <c r="P30">
        <v>208</v>
      </c>
      <c r="Q30">
        <v>0.50070000000000003</v>
      </c>
      <c r="R30">
        <v>473.37817309614269</v>
      </c>
      <c r="S30">
        <v>68.078173096142677</v>
      </c>
      <c r="T30">
        <v>0.37638888888888888</v>
      </c>
      <c r="U30">
        <v>42.5</v>
      </c>
      <c r="V30">
        <v>0.71250000000000002</v>
      </c>
      <c r="W30">
        <v>66</v>
      </c>
      <c r="X30">
        <v>12.6</v>
      </c>
      <c r="Y30">
        <v>41</v>
      </c>
      <c r="Z30">
        <v>0.37847222222222221</v>
      </c>
      <c r="AA30">
        <v>60.5</v>
      </c>
      <c r="AB30">
        <v>17.600000000000001</v>
      </c>
      <c r="AD30">
        <v>23.5</v>
      </c>
      <c r="AE30">
        <v>19.5</v>
      </c>
      <c r="AF30">
        <v>20.844979731721114</v>
      </c>
      <c r="AG30">
        <v>15.81247184961266</v>
      </c>
      <c r="AH30">
        <v>36.657451581333774</v>
      </c>
      <c r="AI30">
        <v>2.6264674461968602</v>
      </c>
      <c r="AJ30">
        <v>2.7829950455318282</v>
      </c>
      <c r="AK30">
        <v>5.4094624917286884</v>
      </c>
      <c r="AL30">
        <v>77.4379843953825</v>
      </c>
      <c r="AM30">
        <v>14.381350253408506</v>
      </c>
      <c r="AN30">
        <v>1.8571441864990024</v>
      </c>
      <c r="AO30">
        <v>12.6</v>
      </c>
      <c r="AP30">
        <v>14.756788206420831</v>
      </c>
      <c r="AQ30">
        <v>11.427359348547808</v>
      </c>
      <c r="AR30">
        <v>79.459571926074346</v>
      </c>
      <c r="AS30">
        <v>-0.23087659473561634</v>
      </c>
      <c r="AT30">
        <v>6.3423821436230741</v>
      </c>
      <c r="AU30">
        <v>44.10143715204957</v>
      </c>
    </row>
    <row r="31" spans="1:48" x14ac:dyDescent="0.35">
      <c r="A31">
        <v>29</v>
      </c>
      <c r="B31">
        <v>46041</v>
      </c>
      <c r="C31" t="s">
        <v>16</v>
      </c>
      <c r="D31" t="s">
        <v>44</v>
      </c>
      <c r="E31" t="s">
        <v>19</v>
      </c>
      <c r="F31" t="s">
        <v>20</v>
      </c>
      <c r="G31" t="s">
        <v>21</v>
      </c>
      <c r="H31" t="s">
        <v>22</v>
      </c>
      <c r="I31" t="s">
        <v>23</v>
      </c>
      <c r="J31" t="s">
        <v>24</v>
      </c>
      <c r="K31" t="s">
        <v>43</v>
      </c>
      <c r="L31">
        <v>27</v>
      </c>
      <c r="M31">
        <v>58</v>
      </c>
      <c r="N31">
        <v>1</v>
      </c>
      <c r="O31">
        <v>3</v>
      </c>
      <c r="P31">
        <v>209</v>
      </c>
      <c r="Q31">
        <v>0.50019999999999998</v>
      </c>
      <c r="R31">
        <v>472.90545672596471</v>
      </c>
      <c r="S31">
        <v>0</v>
      </c>
      <c r="T31">
        <v>0.37708333333333333</v>
      </c>
      <c r="U31">
        <v>42.5</v>
      </c>
      <c r="V31">
        <v>0.71250000000000002</v>
      </c>
      <c r="W31">
        <v>67</v>
      </c>
      <c r="X31">
        <v>12.5</v>
      </c>
      <c r="Y31">
        <v>41.5</v>
      </c>
      <c r="Z31">
        <v>0.37916666666666665</v>
      </c>
      <c r="AA31">
        <v>61.5</v>
      </c>
      <c r="AB31">
        <v>17.3</v>
      </c>
      <c r="AD31">
        <v>24.5</v>
      </c>
      <c r="AE31">
        <v>20</v>
      </c>
      <c r="AV31" t="s">
        <v>608</v>
      </c>
    </row>
    <row r="32" spans="1:48" x14ac:dyDescent="0.35">
      <c r="A32">
        <v>30</v>
      </c>
      <c r="B32">
        <v>46041</v>
      </c>
      <c r="C32" t="s">
        <v>16</v>
      </c>
      <c r="D32" t="s">
        <v>46</v>
      </c>
      <c r="E32" t="s">
        <v>19</v>
      </c>
      <c r="F32" t="s">
        <v>20</v>
      </c>
      <c r="G32" t="s">
        <v>21</v>
      </c>
      <c r="H32" t="s">
        <v>22</v>
      </c>
      <c r="I32" t="s">
        <v>23</v>
      </c>
      <c r="J32" t="s">
        <v>24</v>
      </c>
      <c r="K32" t="s">
        <v>45</v>
      </c>
      <c r="L32">
        <v>27</v>
      </c>
      <c r="M32">
        <v>58</v>
      </c>
      <c r="N32">
        <v>1</v>
      </c>
      <c r="O32">
        <v>1</v>
      </c>
      <c r="P32">
        <v>210</v>
      </c>
      <c r="Q32">
        <v>0.5</v>
      </c>
      <c r="R32">
        <v>470.93822333012247</v>
      </c>
      <c r="S32">
        <v>98.238223330122537</v>
      </c>
      <c r="T32">
        <v>0.37708333333333333</v>
      </c>
      <c r="U32">
        <v>41.5</v>
      </c>
      <c r="V32">
        <v>0.71319444444444446</v>
      </c>
      <c r="W32">
        <v>66</v>
      </c>
      <c r="X32">
        <v>13.2</v>
      </c>
      <c r="Y32">
        <v>41</v>
      </c>
      <c r="Z32">
        <v>0.37916666666666665</v>
      </c>
      <c r="AA32">
        <v>58</v>
      </c>
      <c r="AB32">
        <v>16.399999999999999</v>
      </c>
      <c r="AD32">
        <v>24.5</v>
      </c>
      <c r="AE32">
        <v>17</v>
      </c>
      <c r="AF32">
        <v>21.844979731721114</v>
      </c>
      <c r="AG32">
        <v>13.31247184961266</v>
      </c>
      <c r="AH32">
        <v>35.157451581333774</v>
      </c>
      <c r="AI32">
        <v>2.8835373245871874</v>
      </c>
      <c r="AJ32">
        <v>2.1832453833364758</v>
      </c>
      <c r="AK32">
        <v>5.0667827079236627</v>
      </c>
      <c r="AL32">
        <v>74.654062549280027</v>
      </c>
      <c r="AM32">
        <v>20.860108282452714</v>
      </c>
      <c r="AN32">
        <v>2.7942361835543386</v>
      </c>
      <c r="AO32">
        <v>13.200000000000001</v>
      </c>
      <c r="AP32">
        <v>14.4116893575238</v>
      </c>
      <c r="AQ32">
        <v>10.758911587373753</v>
      </c>
      <c r="AR32">
        <v>51.576489640871259</v>
      </c>
      <c r="AS32">
        <v>-0.18515381185050153</v>
      </c>
      <c r="AT32">
        <v>5.9713820713313144</v>
      </c>
      <c r="AU32">
        <v>28.625844077493948</v>
      </c>
    </row>
    <row r="33" spans="1:47" x14ac:dyDescent="0.35">
      <c r="A33">
        <v>31</v>
      </c>
      <c r="B33">
        <v>46041</v>
      </c>
      <c r="C33" t="s">
        <v>16</v>
      </c>
      <c r="D33" t="s">
        <v>46</v>
      </c>
      <c r="E33" t="s">
        <v>19</v>
      </c>
      <c r="F33" t="s">
        <v>20</v>
      </c>
      <c r="G33" t="s">
        <v>21</v>
      </c>
      <c r="H33" t="s">
        <v>22</v>
      </c>
      <c r="I33" t="s">
        <v>23</v>
      </c>
      <c r="J33" t="s">
        <v>24</v>
      </c>
      <c r="K33" t="s">
        <v>45</v>
      </c>
      <c r="L33">
        <v>27</v>
      </c>
      <c r="M33">
        <v>58</v>
      </c>
      <c r="N33">
        <v>1</v>
      </c>
      <c r="O33">
        <v>2</v>
      </c>
      <c r="P33">
        <v>211</v>
      </c>
      <c r="Q33">
        <v>0.50070000000000003</v>
      </c>
      <c r="R33">
        <v>471.59753684278473</v>
      </c>
      <c r="S33">
        <v>107.29753684278478</v>
      </c>
      <c r="T33">
        <v>0.37777777777777777</v>
      </c>
      <c r="U33">
        <v>42</v>
      </c>
      <c r="V33">
        <v>0.71319444444444446</v>
      </c>
      <c r="W33">
        <v>67</v>
      </c>
      <c r="X33">
        <v>12.3</v>
      </c>
      <c r="Y33">
        <v>40</v>
      </c>
      <c r="Z33">
        <v>0.37986111111111109</v>
      </c>
      <c r="AA33">
        <v>55.5</v>
      </c>
      <c r="AB33">
        <v>16.3</v>
      </c>
      <c r="AD33">
        <v>25</v>
      </c>
      <c r="AE33">
        <v>15.5</v>
      </c>
      <c r="AF33">
        <v>22.344979731721114</v>
      </c>
      <c r="AG33">
        <v>11.81247184961266</v>
      </c>
      <c r="AH33">
        <v>34.157451581333774</v>
      </c>
      <c r="AI33">
        <v>2.7484325070016973</v>
      </c>
      <c r="AJ33">
        <v>1.9254329114868636</v>
      </c>
      <c r="AK33">
        <v>4.6738654184885604</v>
      </c>
      <c r="AL33">
        <v>72.429240852292139</v>
      </c>
      <c r="AM33">
        <v>22.751929020052174</v>
      </c>
      <c r="AN33">
        <v>3.1412629419174909</v>
      </c>
      <c r="AO33">
        <v>12.3</v>
      </c>
      <c r="AP33">
        <v>13.683296622288752</v>
      </c>
      <c r="AQ33">
        <v>9.9107078670910749</v>
      </c>
      <c r="AR33">
        <v>43.559857532767346</v>
      </c>
      <c r="AS33">
        <v>-0.19217702192146324</v>
      </c>
      <c r="AT33">
        <v>5.5006143317695795</v>
      </c>
      <c r="AU33">
        <v>24.176474561439036</v>
      </c>
    </row>
    <row r="34" spans="1:47" x14ac:dyDescent="0.35">
      <c r="A34">
        <v>32</v>
      </c>
      <c r="B34">
        <v>46041</v>
      </c>
      <c r="C34" t="s">
        <v>16</v>
      </c>
      <c r="D34" t="s">
        <v>46</v>
      </c>
      <c r="E34" t="s">
        <v>19</v>
      </c>
      <c r="F34" t="s">
        <v>20</v>
      </c>
      <c r="G34" t="s">
        <v>21</v>
      </c>
      <c r="H34" t="s">
        <v>22</v>
      </c>
      <c r="I34" t="s">
        <v>23</v>
      </c>
      <c r="J34" t="s">
        <v>24</v>
      </c>
      <c r="K34" t="s">
        <v>45</v>
      </c>
      <c r="L34">
        <v>27</v>
      </c>
      <c r="M34">
        <v>58</v>
      </c>
      <c r="N34">
        <v>1</v>
      </c>
      <c r="O34">
        <v>3</v>
      </c>
      <c r="P34">
        <v>212</v>
      </c>
      <c r="Q34">
        <v>0.50029999999999997</v>
      </c>
      <c r="R34">
        <v>471.22078626412053</v>
      </c>
      <c r="S34">
        <v>104.12078626412057</v>
      </c>
      <c r="T34">
        <v>0.37777777777777777</v>
      </c>
      <c r="U34">
        <v>41.5</v>
      </c>
      <c r="V34">
        <v>0.71388888888888891</v>
      </c>
      <c r="W34">
        <v>63.5</v>
      </c>
      <c r="X34">
        <v>12.2</v>
      </c>
      <c r="Y34">
        <v>40.5</v>
      </c>
      <c r="Z34">
        <v>0.37986111111111109</v>
      </c>
      <c r="AA34">
        <v>56</v>
      </c>
      <c r="AB34">
        <v>16.5</v>
      </c>
      <c r="AD34">
        <v>22</v>
      </c>
      <c r="AE34">
        <v>15.5</v>
      </c>
      <c r="AF34">
        <v>19.344979731721114</v>
      </c>
      <c r="AG34">
        <v>11.81247184961266</v>
      </c>
      <c r="AH34">
        <v>31.157451581333774</v>
      </c>
      <c r="AI34">
        <v>2.3600875272699757</v>
      </c>
      <c r="AJ34">
        <v>1.9490578551860889</v>
      </c>
      <c r="AK34">
        <v>4.3091453824560642</v>
      </c>
      <c r="AL34">
        <v>66.120707085849858</v>
      </c>
      <c r="AM34">
        <v>22.095966328140833</v>
      </c>
      <c r="AN34">
        <v>3.3417619535513827</v>
      </c>
      <c r="AO34">
        <v>12.199999999999998</v>
      </c>
      <c r="AP34">
        <v>13.830224115754207</v>
      </c>
      <c r="AQ34">
        <v>9.1446419768944072</v>
      </c>
      <c r="AR34">
        <v>41.386024223109146</v>
      </c>
      <c r="AS34">
        <v>-0.16980976060209824</v>
      </c>
      <c r="AT34">
        <v>5.0754345089753041</v>
      </c>
      <c r="AU34">
        <v>22.969959465005907</v>
      </c>
    </row>
    <row r="35" spans="1:47" x14ac:dyDescent="0.35">
      <c r="A35">
        <v>33</v>
      </c>
      <c r="B35">
        <v>46041</v>
      </c>
      <c r="C35" t="s">
        <v>16</v>
      </c>
      <c r="D35" t="s">
        <v>48</v>
      </c>
      <c r="E35" t="s">
        <v>19</v>
      </c>
      <c r="F35" t="s">
        <v>20</v>
      </c>
      <c r="G35" t="s">
        <v>21</v>
      </c>
      <c r="H35" t="s">
        <v>22</v>
      </c>
      <c r="I35" t="s">
        <v>23</v>
      </c>
      <c r="J35" t="s">
        <v>24</v>
      </c>
      <c r="K35" t="s">
        <v>47</v>
      </c>
      <c r="L35">
        <v>27</v>
      </c>
      <c r="M35">
        <v>58</v>
      </c>
      <c r="N35">
        <v>1</v>
      </c>
      <c r="O35">
        <v>1</v>
      </c>
      <c r="P35">
        <v>213</v>
      </c>
      <c r="Q35">
        <v>0.5</v>
      </c>
      <c r="R35">
        <v>467.63335711610762</v>
      </c>
      <c r="S35">
        <v>108.73335711610764</v>
      </c>
      <c r="T35">
        <v>0.37777777777777777</v>
      </c>
      <c r="U35">
        <v>41.5</v>
      </c>
      <c r="V35">
        <v>0.71458333333333335</v>
      </c>
      <c r="W35">
        <v>68</v>
      </c>
      <c r="X35">
        <v>13.7</v>
      </c>
      <c r="Y35">
        <v>41</v>
      </c>
      <c r="Z35">
        <v>0.38055555555555554</v>
      </c>
      <c r="AA35">
        <v>63.5</v>
      </c>
      <c r="AB35">
        <v>16</v>
      </c>
      <c r="AD35">
        <v>26.5</v>
      </c>
      <c r="AE35">
        <v>22.5</v>
      </c>
      <c r="AF35">
        <v>23.844979731721114</v>
      </c>
      <c r="AG35">
        <v>18.81247184961266</v>
      </c>
      <c r="AH35">
        <v>42.657451581333774</v>
      </c>
      <c r="AI35">
        <v>3.2667622232457925</v>
      </c>
      <c r="AJ35">
        <v>3.0099954959380257</v>
      </c>
      <c r="AK35">
        <v>6.2767577191838182</v>
      </c>
      <c r="AL35">
        <v>91.219864734205544</v>
      </c>
      <c r="AM35">
        <v>23.251839386878999</v>
      </c>
      <c r="AN35">
        <v>2.5489885842990123</v>
      </c>
      <c r="AO35">
        <v>13.7</v>
      </c>
      <c r="AP35">
        <v>14.714328883937428</v>
      </c>
      <c r="AQ35">
        <v>13.422390904473858</v>
      </c>
      <c r="AR35">
        <v>57.726146655081855</v>
      </c>
      <c r="AS35">
        <v>-0.22440349190492065</v>
      </c>
      <c r="AT35">
        <v>7.4496591732789152</v>
      </c>
      <c r="AU35">
        <v>32.039010115830898</v>
      </c>
    </row>
    <row r="36" spans="1:47" x14ac:dyDescent="0.35">
      <c r="A36">
        <v>34</v>
      </c>
      <c r="B36">
        <v>46041</v>
      </c>
      <c r="C36" t="s">
        <v>16</v>
      </c>
      <c r="D36" t="s">
        <v>48</v>
      </c>
      <c r="E36" t="s">
        <v>19</v>
      </c>
      <c r="F36" t="s">
        <v>20</v>
      </c>
      <c r="G36" t="s">
        <v>21</v>
      </c>
      <c r="H36" t="s">
        <v>22</v>
      </c>
      <c r="I36" t="s">
        <v>23</v>
      </c>
      <c r="J36" t="s">
        <v>24</v>
      </c>
      <c r="K36" t="s">
        <v>47</v>
      </c>
      <c r="L36">
        <v>27</v>
      </c>
      <c r="M36">
        <v>58</v>
      </c>
      <c r="N36">
        <v>1</v>
      </c>
      <c r="O36">
        <v>2</v>
      </c>
      <c r="P36">
        <v>214</v>
      </c>
      <c r="Q36">
        <v>0.50049999999999994</v>
      </c>
      <c r="R36">
        <v>468.10099047322365</v>
      </c>
      <c r="S36">
        <v>118.10099047322365</v>
      </c>
      <c r="T36">
        <v>0.37777777777777777</v>
      </c>
      <c r="U36">
        <v>40.5</v>
      </c>
      <c r="V36">
        <v>0.71458333333333335</v>
      </c>
      <c r="W36">
        <v>67.5</v>
      </c>
      <c r="X36">
        <v>13.9</v>
      </c>
      <c r="Y36">
        <v>40</v>
      </c>
      <c r="Z36">
        <v>0.38055555555555554</v>
      </c>
      <c r="AA36">
        <v>61.5</v>
      </c>
      <c r="AB36">
        <v>15.8</v>
      </c>
      <c r="AD36">
        <v>27</v>
      </c>
      <c r="AE36">
        <v>21.5</v>
      </c>
      <c r="AF36">
        <v>24.344979731721114</v>
      </c>
      <c r="AG36">
        <v>17.81247184961266</v>
      </c>
      <c r="AH36">
        <v>42.157451581333774</v>
      </c>
      <c r="AI36">
        <v>3.3839521827092351</v>
      </c>
      <c r="AJ36">
        <v>2.8143705522388003</v>
      </c>
      <c r="AK36">
        <v>6.1983227349480359</v>
      </c>
      <c r="AL36">
        <v>90.060590426683291</v>
      </c>
      <c r="AM36">
        <v>25.229809993315804</v>
      </c>
      <c r="AN36">
        <v>2.8014262258090503</v>
      </c>
      <c r="AO36">
        <v>13.9</v>
      </c>
      <c r="AP36">
        <v>14.702792750623695</v>
      </c>
      <c r="AQ36">
        <v>13.241421960423288</v>
      </c>
      <c r="AR36">
        <v>52.48324091196632</v>
      </c>
      <c r="AS36">
        <v>-0.25122126954000007</v>
      </c>
      <c r="AT36">
        <v>7.3492182783802606</v>
      </c>
      <c r="AU36">
        <v>29.129106720689958</v>
      </c>
    </row>
    <row r="37" spans="1:47" x14ac:dyDescent="0.35">
      <c r="A37">
        <v>35</v>
      </c>
      <c r="B37">
        <v>46041</v>
      </c>
      <c r="C37" t="s">
        <v>16</v>
      </c>
      <c r="D37" t="s">
        <v>48</v>
      </c>
      <c r="E37" t="s">
        <v>19</v>
      </c>
      <c r="F37" t="s">
        <v>20</v>
      </c>
      <c r="G37" t="s">
        <v>21</v>
      </c>
      <c r="H37" t="s">
        <v>22</v>
      </c>
      <c r="I37" t="s">
        <v>23</v>
      </c>
      <c r="J37" t="s">
        <v>24</v>
      </c>
      <c r="K37" t="s">
        <v>47</v>
      </c>
      <c r="L37">
        <v>27</v>
      </c>
      <c r="M37">
        <v>58</v>
      </c>
      <c r="N37">
        <v>1</v>
      </c>
      <c r="O37">
        <v>3</v>
      </c>
      <c r="P37">
        <v>215</v>
      </c>
      <c r="Q37">
        <v>0.50009999999999999</v>
      </c>
      <c r="R37">
        <v>467.72688378753082</v>
      </c>
      <c r="S37">
        <v>119.62688378753074</v>
      </c>
      <c r="T37">
        <v>0.37847222222222221</v>
      </c>
      <c r="U37">
        <v>41.5</v>
      </c>
      <c r="V37">
        <v>0.71527777777777779</v>
      </c>
      <c r="W37">
        <v>69.5</v>
      </c>
      <c r="X37">
        <v>12.5</v>
      </c>
      <c r="Y37">
        <v>40</v>
      </c>
      <c r="Z37">
        <v>0.38124999999999998</v>
      </c>
      <c r="AA37">
        <v>61</v>
      </c>
      <c r="AB37">
        <v>15.9</v>
      </c>
      <c r="AD37">
        <v>28</v>
      </c>
      <c r="AE37">
        <v>21</v>
      </c>
      <c r="AF37">
        <v>25.344979731721114</v>
      </c>
      <c r="AG37">
        <v>17.31247184961266</v>
      </c>
      <c r="AH37">
        <v>42.657451581333774</v>
      </c>
      <c r="AI37">
        <v>3.1681224664651393</v>
      </c>
      <c r="AJ37">
        <v>2.7526830240884128</v>
      </c>
      <c r="AK37">
        <v>5.9208054905535521</v>
      </c>
      <c r="AL37">
        <v>91.201624409323685</v>
      </c>
      <c r="AM37">
        <v>25.576225770651305</v>
      </c>
      <c r="AN37">
        <v>2.8043607705781839</v>
      </c>
      <c r="AO37">
        <v>12.500000000000002</v>
      </c>
      <c r="AP37">
        <v>13.879885626229962</v>
      </c>
      <c r="AQ37">
        <v>12.658681157277954</v>
      </c>
      <c r="AR37">
        <v>49.493937341622072</v>
      </c>
      <c r="AS37">
        <v>-0.24572608346715044</v>
      </c>
      <c r="AT37">
        <v>7.0257870506137854</v>
      </c>
      <c r="AU37">
        <v>27.469991521094048</v>
      </c>
    </row>
    <row r="38" spans="1:47" x14ac:dyDescent="0.35">
      <c r="A38">
        <v>36</v>
      </c>
      <c r="B38">
        <v>46041</v>
      </c>
      <c r="C38" t="s">
        <v>16</v>
      </c>
      <c r="D38" t="s">
        <v>50</v>
      </c>
      <c r="E38" t="s">
        <v>19</v>
      </c>
      <c r="F38" t="s">
        <v>20</v>
      </c>
      <c r="G38" t="s">
        <v>21</v>
      </c>
      <c r="H38" t="s">
        <v>22</v>
      </c>
      <c r="I38" t="s">
        <v>23</v>
      </c>
      <c r="J38" t="s">
        <v>24</v>
      </c>
      <c r="K38" t="s">
        <v>49</v>
      </c>
      <c r="L38">
        <v>27</v>
      </c>
      <c r="M38">
        <v>58</v>
      </c>
      <c r="N38">
        <v>1</v>
      </c>
      <c r="O38">
        <v>1</v>
      </c>
      <c r="P38">
        <v>216</v>
      </c>
      <c r="Q38">
        <v>0.50029999999999997</v>
      </c>
      <c r="R38">
        <v>470.06902960046477</v>
      </c>
      <c r="S38">
        <v>93.369029600464842</v>
      </c>
      <c r="T38">
        <v>0.37916666666666665</v>
      </c>
      <c r="U38">
        <v>41.5</v>
      </c>
      <c r="V38">
        <v>0.71597222222222223</v>
      </c>
      <c r="W38">
        <v>66</v>
      </c>
      <c r="X38">
        <v>14</v>
      </c>
      <c r="Y38">
        <v>40.5</v>
      </c>
      <c r="Z38">
        <v>0.38194444444444442</v>
      </c>
      <c r="AA38">
        <v>61</v>
      </c>
      <c r="AB38">
        <v>17.100000000000001</v>
      </c>
      <c r="AD38">
        <v>24.5</v>
      </c>
      <c r="AE38">
        <v>20.5</v>
      </c>
      <c r="AF38">
        <v>21.844979731721114</v>
      </c>
      <c r="AG38">
        <v>16.81247184961266</v>
      </c>
      <c r="AH38">
        <v>38.657451581333774</v>
      </c>
      <c r="AI38">
        <v>3.0582971624409563</v>
      </c>
      <c r="AJ38">
        <v>2.8749326862837652</v>
      </c>
      <c r="AK38">
        <v>5.9332298487247215</v>
      </c>
      <c r="AL38">
        <v>82.237818590581639</v>
      </c>
      <c r="AM38">
        <v>19.862833694834961</v>
      </c>
      <c r="AN38">
        <v>2.4152918979674602</v>
      </c>
      <c r="AO38">
        <v>14.000000000000002</v>
      </c>
      <c r="AP38">
        <v>15.348217758848994</v>
      </c>
      <c r="AQ38">
        <v>12.62203947740967</v>
      </c>
      <c r="AR38">
        <v>63.546015998169722</v>
      </c>
      <c r="AS38">
        <v>-0.17705740841537676</v>
      </c>
      <c r="AT38">
        <v>7.0054502843477895</v>
      </c>
      <c r="AU38">
        <v>35.269138291025691</v>
      </c>
    </row>
    <row r="39" spans="1:47" x14ac:dyDescent="0.35">
      <c r="A39">
        <v>37</v>
      </c>
      <c r="B39">
        <v>46041</v>
      </c>
      <c r="C39" t="s">
        <v>16</v>
      </c>
      <c r="D39" t="s">
        <v>50</v>
      </c>
      <c r="E39" t="s">
        <v>19</v>
      </c>
      <c r="F39" t="s">
        <v>20</v>
      </c>
      <c r="G39" t="s">
        <v>21</v>
      </c>
      <c r="H39" t="s">
        <v>22</v>
      </c>
      <c r="I39" t="s">
        <v>23</v>
      </c>
      <c r="J39" t="s">
        <v>24</v>
      </c>
      <c r="K39" t="s">
        <v>49</v>
      </c>
      <c r="L39">
        <v>27</v>
      </c>
      <c r="M39">
        <v>58</v>
      </c>
      <c r="N39">
        <v>1</v>
      </c>
      <c r="O39">
        <v>2</v>
      </c>
      <c r="P39">
        <v>217</v>
      </c>
      <c r="Q39">
        <v>0.50060000000000004</v>
      </c>
      <c r="R39">
        <v>470.35090189484845</v>
      </c>
      <c r="S39">
        <v>90.350901894848448</v>
      </c>
      <c r="T39">
        <v>0.37916666666666665</v>
      </c>
      <c r="U39">
        <v>43.5</v>
      </c>
      <c r="V39">
        <v>0.71597222222222223</v>
      </c>
      <c r="W39">
        <v>70</v>
      </c>
      <c r="X39">
        <v>12.4</v>
      </c>
      <c r="Y39">
        <v>40.5</v>
      </c>
      <c r="Z39">
        <v>0.38194444444444442</v>
      </c>
      <c r="AA39">
        <v>61.5</v>
      </c>
      <c r="AB39">
        <v>17.2</v>
      </c>
      <c r="AD39">
        <v>26.5</v>
      </c>
      <c r="AE39">
        <v>21</v>
      </c>
      <c r="AF39">
        <v>23.844979731721114</v>
      </c>
      <c r="AG39">
        <v>17.31247184961266</v>
      </c>
      <c r="AH39">
        <v>41.157451581333774</v>
      </c>
      <c r="AI39">
        <v>2.9567774867334182</v>
      </c>
      <c r="AJ39">
        <v>2.9777451581333771</v>
      </c>
      <c r="AK39">
        <v>5.9345226448667958</v>
      </c>
      <c r="AL39">
        <v>87.503715663194214</v>
      </c>
      <c r="AM39">
        <v>19.20925452271106</v>
      </c>
      <c r="AN39">
        <v>2.1952501533361577</v>
      </c>
      <c r="AO39">
        <v>12.4</v>
      </c>
      <c r="AP39">
        <v>14.419072165192784</v>
      </c>
      <c r="AQ39">
        <v>12.617223908701074</v>
      </c>
      <c r="AR39">
        <v>65.683048208787895</v>
      </c>
      <c r="AS39">
        <v>-0.17152255380743786</v>
      </c>
      <c r="AT39">
        <v>7.0027775604001823</v>
      </c>
      <c r="AU39">
        <v>36.455228140794389</v>
      </c>
    </row>
    <row r="40" spans="1:47" x14ac:dyDescent="0.35">
      <c r="A40">
        <v>38</v>
      </c>
      <c r="B40">
        <v>46041</v>
      </c>
      <c r="C40" t="s">
        <v>16</v>
      </c>
      <c r="D40" t="s">
        <v>50</v>
      </c>
      <c r="E40" t="s">
        <v>19</v>
      </c>
      <c r="F40" t="s">
        <v>20</v>
      </c>
      <c r="G40" t="s">
        <v>21</v>
      </c>
      <c r="H40" t="s">
        <v>22</v>
      </c>
      <c r="I40" t="s">
        <v>23</v>
      </c>
      <c r="J40" t="s">
        <v>24</v>
      </c>
      <c r="K40" t="s">
        <v>49</v>
      </c>
      <c r="L40">
        <v>27</v>
      </c>
      <c r="M40">
        <v>58</v>
      </c>
      <c r="N40">
        <v>1</v>
      </c>
      <c r="O40">
        <v>3</v>
      </c>
      <c r="P40">
        <v>218</v>
      </c>
      <c r="Q40">
        <v>0.50019999999999998</v>
      </c>
      <c r="R40">
        <v>469.97507216900357</v>
      </c>
      <c r="S40">
        <v>64.075072169003533</v>
      </c>
      <c r="T40">
        <v>0.38055555555555554</v>
      </c>
      <c r="U40">
        <v>42</v>
      </c>
      <c r="V40">
        <v>0.71597222222222223</v>
      </c>
      <c r="W40">
        <v>67</v>
      </c>
      <c r="X40">
        <v>13.5</v>
      </c>
      <c r="Y40">
        <v>41</v>
      </c>
      <c r="Z40">
        <v>0.38263888888888886</v>
      </c>
      <c r="AA40">
        <v>61.5</v>
      </c>
      <c r="AB40">
        <v>17.100000000000001</v>
      </c>
      <c r="AD40">
        <v>25</v>
      </c>
      <c r="AE40">
        <v>20.5</v>
      </c>
      <c r="AF40">
        <v>22.344979731721114</v>
      </c>
      <c r="AG40">
        <v>16.81247184961266</v>
      </c>
      <c r="AH40">
        <v>39.157451581333774</v>
      </c>
      <c r="AI40">
        <v>3.0165722637823507</v>
      </c>
      <c r="AJ40">
        <v>2.8749326862837652</v>
      </c>
      <c r="AK40">
        <v>5.8915049500661159</v>
      </c>
      <c r="AL40">
        <v>83.318145791470215</v>
      </c>
      <c r="AM40">
        <v>13.633717182761998</v>
      </c>
      <c r="AN40">
        <v>1.636344286499684</v>
      </c>
      <c r="AO40">
        <v>13.5</v>
      </c>
      <c r="AP40">
        <v>15.045680227245883</v>
      </c>
      <c r="AQ40">
        <v>12.535781787055132</v>
      </c>
      <c r="AR40">
        <v>91.946910875523685</v>
      </c>
      <c r="AS40">
        <v>-0.13423940915607127</v>
      </c>
      <c r="AT40">
        <v>6.9575757738534367</v>
      </c>
      <c r="AU40">
        <v>51.032126312920418</v>
      </c>
    </row>
    <row r="41" spans="1:47" x14ac:dyDescent="0.35">
      <c r="A41">
        <v>39</v>
      </c>
      <c r="B41">
        <v>46041</v>
      </c>
      <c r="C41" t="s">
        <v>16</v>
      </c>
      <c r="D41" t="s">
        <v>52</v>
      </c>
      <c r="E41" t="s">
        <v>19</v>
      </c>
      <c r="F41" t="s">
        <v>20</v>
      </c>
      <c r="G41" t="s">
        <v>21</v>
      </c>
      <c r="H41" t="s">
        <v>22</v>
      </c>
      <c r="I41" t="s">
        <v>23</v>
      </c>
      <c r="J41" t="s">
        <v>24</v>
      </c>
      <c r="K41" t="s">
        <v>51</v>
      </c>
      <c r="L41">
        <v>27</v>
      </c>
      <c r="M41">
        <v>58</v>
      </c>
      <c r="N41">
        <v>1</v>
      </c>
      <c r="O41">
        <v>1</v>
      </c>
      <c r="P41">
        <v>219</v>
      </c>
      <c r="Q41">
        <v>0.50029999999999997</v>
      </c>
      <c r="R41">
        <v>459.56281825702052</v>
      </c>
      <c r="S41">
        <v>92.162818257020547</v>
      </c>
      <c r="T41">
        <v>0.38333333333333336</v>
      </c>
      <c r="U41">
        <v>41.5</v>
      </c>
      <c r="V41">
        <v>0.71666666666666667</v>
      </c>
      <c r="W41">
        <v>69.5</v>
      </c>
      <c r="X41">
        <v>14.5</v>
      </c>
      <c r="Y41">
        <v>40.5</v>
      </c>
      <c r="Z41">
        <v>0.38263888888888886</v>
      </c>
      <c r="AA41">
        <v>66</v>
      </c>
      <c r="AB41">
        <v>17.7</v>
      </c>
      <c r="AD41">
        <v>28</v>
      </c>
      <c r="AE41">
        <v>25.5</v>
      </c>
      <c r="AF41">
        <v>25.344979731721114</v>
      </c>
      <c r="AG41">
        <v>21.81247184961266</v>
      </c>
      <c r="AH41">
        <v>47.157451581333774</v>
      </c>
      <c r="AI41">
        <v>3.6750220610995612</v>
      </c>
      <c r="AJ41">
        <v>3.8608075173814407</v>
      </c>
      <c r="AK41">
        <v>7.5358295784810014</v>
      </c>
      <c r="AL41">
        <v>102.61372266839903</v>
      </c>
      <c r="AM41">
        <v>20.054454928831184</v>
      </c>
      <c r="AN41">
        <v>1.9543638421186684</v>
      </c>
      <c r="AO41">
        <v>14.5</v>
      </c>
      <c r="AP41">
        <v>15.980145927698713</v>
      </c>
      <c r="AQ41">
        <v>16.397822624254221</v>
      </c>
      <c r="AR41">
        <v>81.76648371868724</v>
      </c>
      <c r="AS41">
        <v>-0.22216573406934292</v>
      </c>
      <c r="AT41">
        <v>9.1010752558144539</v>
      </c>
      <c r="AU41">
        <v>45.38181310891845</v>
      </c>
    </row>
    <row r="42" spans="1:47" x14ac:dyDescent="0.35">
      <c r="A42">
        <v>40</v>
      </c>
      <c r="B42">
        <v>46041</v>
      </c>
      <c r="C42" t="s">
        <v>16</v>
      </c>
      <c r="D42" t="s">
        <v>52</v>
      </c>
      <c r="E42" t="s">
        <v>19</v>
      </c>
      <c r="F42" t="s">
        <v>20</v>
      </c>
      <c r="G42" t="s">
        <v>21</v>
      </c>
      <c r="H42" t="s">
        <v>22</v>
      </c>
      <c r="I42" t="s">
        <v>23</v>
      </c>
      <c r="J42" t="s">
        <v>24</v>
      </c>
      <c r="K42" t="s">
        <v>51</v>
      </c>
      <c r="L42">
        <v>27</v>
      </c>
      <c r="M42">
        <v>58</v>
      </c>
      <c r="N42">
        <v>1</v>
      </c>
      <c r="O42">
        <v>2</v>
      </c>
      <c r="P42">
        <v>220</v>
      </c>
      <c r="Q42">
        <v>0.50029999999999997</v>
      </c>
      <c r="R42">
        <v>459.56281825702052</v>
      </c>
      <c r="S42">
        <v>103.86281825702054</v>
      </c>
      <c r="T42">
        <v>0.38333333333333336</v>
      </c>
      <c r="U42">
        <v>41</v>
      </c>
      <c r="V42">
        <v>0.71736111111111112</v>
      </c>
      <c r="W42">
        <v>52</v>
      </c>
      <c r="X42">
        <v>13.7</v>
      </c>
      <c r="Y42">
        <v>40</v>
      </c>
      <c r="Z42">
        <v>0.38333333333333336</v>
      </c>
      <c r="AA42">
        <v>50.5</v>
      </c>
      <c r="AB42">
        <v>17.7</v>
      </c>
      <c r="AD42">
        <v>11</v>
      </c>
      <c r="AE42">
        <v>10.5</v>
      </c>
      <c r="AF42">
        <v>8.3449797317211143</v>
      </c>
      <c r="AG42">
        <v>6.8124718496126597</v>
      </c>
      <c r="AH42">
        <v>15.157451581333774</v>
      </c>
      <c r="AI42">
        <v>1.1432622232457925</v>
      </c>
      <c r="AJ42">
        <v>1.2058075173814407</v>
      </c>
      <c r="AK42">
        <v>2.3490697406272334</v>
      </c>
      <c r="AL42">
        <v>32.982327941197013</v>
      </c>
      <c r="AM42">
        <v>22.600352798544503</v>
      </c>
      <c r="AN42">
        <v>6.8522612590711747</v>
      </c>
      <c r="AO42">
        <v>13.7</v>
      </c>
      <c r="AP42">
        <v>15.497788187033271</v>
      </c>
      <c r="AQ42">
        <v>5.1115313234794044</v>
      </c>
      <c r="AR42">
        <v>22.617042172052265</v>
      </c>
      <c r="AS42">
        <v>-7.9212946048648064E-2</v>
      </c>
      <c r="AT42">
        <v>2.8369883193290537</v>
      </c>
      <c r="AU42">
        <v>12.552849703796483</v>
      </c>
    </row>
    <row r="43" spans="1:47" x14ac:dyDescent="0.35">
      <c r="A43">
        <v>41</v>
      </c>
      <c r="B43">
        <v>46041</v>
      </c>
      <c r="C43" t="s">
        <v>16</v>
      </c>
      <c r="D43" t="s">
        <v>52</v>
      </c>
      <c r="E43" t="s">
        <v>19</v>
      </c>
      <c r="F43" t="s">
        <v>20</v>
      </c>
      <c r="G43" t="s">
        <v>21</v>
      </c>
      <c r="H43" t="s">
        <v>22</v>
      </c>
      <c r="I43" t="s">
        <v>23</v>
      </c>
      <c r="J43" t="s">
        <v>24</v>
      </c>
      <c r="K43" t="s">
        <v>51</v>
      </c>
      <c r="L43">
        <v>27</v>
      </c>
      <c r="M43">
        <v>58</v>
      </c>
      <c r="N43">
        <v>1</v>
      </c>
      <c r="O43">
        <v>3</v>
      </c>
      <c r="P43">
        <v>221</v>
      </c>
      <c r="Q43">
        <v>0.50049999999999994</v>
      </c>
      <c r="R43">
        <v>459.74653315538427</v>
      </c>
      <c r="S43">
        <v>67.246533155384327</v>
      </c>
      <c r="T43">
        <v>0.38472222222222224</v>
      </c>
      <c r="U43">
        <v>42.5</v>
      </c>
      <c r="V43">
        <v>0.71736111111111112</v>
      </c>
      <c r="W43">
        <v>69</v>
      </c>
      <c r="X43">
        <v>15</v>
      </c>
      <c r="Y43">
        <v>40</v>
      </c>
      <c r="Z43">
        <v>0.38333333333333336</v>
      </c>
      <c r="AA43">
        <v>64.5</v>
      </c>
      <c r="AB43">
        <v>17.8</v>
      </c>
      <c r="AD43">
        <v>26.5</v>
      </c>
      <c r="AE43">
        <v>24.5</v>
      </c>
      <c r="AF43">
        <v>23.844979731721114</v>
      </c>
      <c r="AG43">
        <v>20.81247184961266</v>
      </c>
      <c r="AH43">
        <v>44.657451581333774</v>
      </c>
      <c r="AI43">
        <v>3.5767469597581671</v>
      </c>
      <c r="AJ43">
        <v>3.7046199892310536</v>
      </c>
      <c r="AK43">
        <v>7.2813669489892208</v>
      </c>
      <c r="AL43">
        <v>97.134939278031553</v>
      </c>
      <c r="AM43">
        <v>14.626871179180043</v>
      </c>
      <c r="AN43">
        <v>1.5058300636100894</v>
      </c>
      <c r="AO43">
        <v>15</v>
      </c>
      <c r="AP43">
        <v>16.304931632132668</v>
      </c>
      <c r="AQ43">
        <v>15.837785440196626</v>
      </c>
      <c r="AR43">
        <v>108.27869642237776</v>
      </c>
      <c r="AS43">
        <v>-0.16928762171471823</v>
      </c>
      <c r="AT43">
        <v>8.7902449294378506</v>
      </c>
      <c r="AU43">
        <v>60.096549848267799</v>
      </c>
    </row>
    <row r="44" spans="1:47" x14ac:dyDescent="0.35">
      <c r="A44">
        <v>42</v>
      </c>
      <c r="B44">
        <v>46041</v>
      </c>
      <c r="C44" t="s">
        <v>16</v>
      </c>
      <c r="D44" t="s">
        <v>54</v>
      </c>
      <c r="E44" t="s">
        <v>19</v>
      </c>
      <c r="F44" t="s">
        <v>20</v>
      </c>
      <c r="G44" t="s">
        <v>21</v>
      </c>
      <c r="H44" t="s">
        <v>22</v>
      </c>
      <c r="I44" t="s">
        <v>23</v>
      </c>
      <c r="J44" t="s">
        <v>24</v>
      </c>
      <c r="K44" t="s">
        <v>53</v>
      </c>
      <c r="L44">
        <v>27</v>
      </c>
      <c r="M44">
        <v>58</v>
      </c>
      <c r="N44">
        <v>1</v>
      </c>
      <c r="O44">
        <v>1</v>
      </c>
      <c r="P44">
        <v>222</v>
      </c>
      <c r="Q44">
        <v>0.50009999999999999</v>
      </c>
      <c r="R44">
        <v>473.64995974360414</v>
      </c>
      <c r="S44">
        <v>181.74995974360411</v>
      </c>
      <c r="T44">
        <v>0.38472222222222224</v>
      </c>
      <c r="U44">
        <v>42</v>
      </c>
      <c r="V44">
        <v>0.71805555555555556</v>
      </c>
      <c r="W44">
        <v>71.5</v>
      </c>
      <c r="X44">
        <v>15.1</v>
      </c>
      <c r="Y44">
        <v>40.5</v>
      </c>
      <c r="Z44">
        <v>0.3840277777777778</v>
      </c>
      <c r="AA44">
        <v>68.5</v>
      </c>
      <c r="AB44">
        <v>17.600000000000001</v>
      </c>
      <c r="AD44">
        <v>29.5</v>
      </c>
      <c r="AE44">
        <v>28</v>
      </c>
      <c r="AF44">
        <v>26.844979731721114</v>
      </c>
      <c r="AG44">
        <v>24.31247184961266</v>
      </c>
      <c r="AH44">
        <v>51.157451581333774</v>
      </c>
      <c r="AI44">
        <v>4.0535919394898885</v>
      </c>
      <c r="AJ44">
        <v>4.2789950455318282</v>
      </c>
      <c r="AK44">
        <v>8.3325869850217167</v>
      </c>
      <c r="AL44">
        <v>108.00687412498945</v>
      </c>
      <c r="AM44">
        <v>38.372210533278391</v>
      </c>
      <c r="AN44">
        <v>3.5527563263124051</v>
      </c>
      <c r="AO44">
        <v>15.100000000000001</v>
      </c>
      <c r="AP44">
        <v>16.288119770340735</v>
      </c>
      <c r="AQ44">
        <v>17.592289017679441</v>
      </c>
      <c r="AR44">
        <v>45.846430980103392</v>
      </c>
      <c r="AS44">
        <v>-2.582750199427359</v>
      </c>
      <c r="AT44">
        <v>9.7640247696739877</v>
      </c>
      <c r="AU44">
        <v>25.445562384804791</v>
      </c>
    </row>
    <row r="45" spans="1:47" x14ac:dyDescent="0.35">
      <c r="A45">
        <v>43</v>
      </c>
      <c r="B45">
        <v>46041</v>
      </c>
      <c r="C45" t="s">
        <v>16</v>
      </c>
      <c r="D45" t="s">
        <v>54</v>
      </c>
      <c r="E45" t="s">
        <v>19</v>
      </c>
      <c r="F45" t="s">
        <v>20</v>
      </c>
      <c r="G45" t="s">
        <v>21</v>
      </c>
      <c r="H45" t="s">
        <v>22</v>
      </c>
      <c r="I45" t="s">
        <v>23</v>
      </c>
      <c r="J45" t="s">
        <v>24</v>
      </c>
      <c r="K45" t="s">
        <v>53</v>
      </c>
      <c r="L45">
        <v>27</v>
      </c>
      <c r="M45">
        <v>58</v>
      </c>
      <c r="N45">
        <v>1</v>
      </c>
      <c r="O45">
        <v>2</v>
      </c>
      <c r="P45">
        <v>223</v>
      </c>
      <c r="Q45">
        <v>0.50019999999999998</v>
      </c>
      <c r="R45">
        <v>473.74467079334289</v>
      </c>
      <c r="S45">
        <v>156.44467079334288</v>
      </c>
      <c r="T45">
        <v>0.38472222222222224</v>
      </c>
      <c r="U45">
        <v>42</v>
      </c>
      <c r="V45">
        <v>0.71875</v>
      </c>
      <c r="W45">
        <v>70.5</v>
      </c>
      <c r="X45">
        <v>15.4</v>
      </c>
      <c r="Y45">
        <v>41</v>
      </c>
      <c r="Z45">
        <v>0.3840277777777778</v>
      </c>
      <c r="AA45">
        <v>68.5</v>
      </c>
      <c r="AB45">
        <v>17.399999999999999</v>
      </c>
      <c r="AD45">
        <v>28.5</v>
      </c>
      <c r="AE45">
        <v>27.5</v>
      </c>
      <c r="AF45">
        <v>25.844979731721114</v>
      </c>
      <c r="AG45">
        <v>23.81247184961266</v>
      </c>
      <c r="AH45">
        <v>49.657451581333774</v>
      </c>
      <c r="AI45">
        <v>3.9801268786850517</v>
      </c>
      <c r="AJ45">
        <v>4.1433701018326028</v>
      </c>
      <c r="AK45">
        <v>8.123496980517654</v>
      </c>
      <c r="AL45">
        <v>104.819018857091</v>
      </c>
      <c r="AM45">
        <v>33.022993278501119</v>
      </c>
      <c r="AN45">
        <v>3.1504772357699968</v>
      </c>
      <c r="AO45">
        <v>15.4</v>
      </c>
      <c r="AP45">
        <v>16.359069428305652</v>
      </c>
      <c r="AQ45">
        <v>17.147416068900309</v>
      </c>
      <c r="AR45">
        <v>51.925686821563055</v>
      </c>
      <c r="AS45">
        <v>-0.66661671617484142</v>
      </c>
      <c r="AT45">
        <v>9.5171125863377473</v>
      </c>
      <c r="AU45">
        <v>28.819654554251599</v>
      </c>
    </row>
    <row r="46" spans="1:47" x14ac:dyDescent="0.35">
      <c r="A46">
        <v>44</v>
      </c>
      <c r="B46">
        <v>46041</v>
      </c>
      <c r="C46" t="s">
        <v>16</v>
      </c>
      <c r="D46" t="s">
        <v>54</v>
      </c>
      <c r="E46" t="s">
        <v>19</v>
      </c>
      <c r="F46" t="s">
        <v>20</v>
      </c>
      <c r="G46" t="s">
        <v>21</v>
      </c>
      <c r="H46" t="s">
        <v>22</v>
      </c>
      <c r="I46" t="s">
        <v>23</v>
      </c>
      <c r="J46" t="s">
        <v>24</v>
      </c>
      <c r="K46" t="s">
        <v>53</v>
      </c>
      <c r="L46">
        <v>27</v>
      </c>
      <c r="M46">
        <v>58</v>
      </c>
      <c r="N46">
        <v>1</v>
      </c>
      <c r="O46">
        <v>3</v>
      </c>
      <c r="P46">
        <v>224</v>
      </c>
      <c r="Q46">
        <v>0.50009999999999999</v>
      </c>
      <c r="R46">
        <v>473.64995974360414</v>
      </c>
      <c r="S46">
        <v>121.04995974360423</v>
      </c>
      <c r="T46">
        <v>0.38541666666666669</v>
      </c>
      <c r="U46">
        <v>41.4</v>
      </c>
      <c r="V46">
        <v>0.71875</v>
      </c>
      <c r="W46">
        <v>70</v>
      </c>
      <c r="X46">
        <v>15.3</v>
      </c>
      <c r="Y46">
        <v>41</v>
      </c>
      <c r="Z46">
        <v>0.38472222222222224</v>
      </c>
      <c r="AA46">
        <v>69</v>
      </c>
      <c r="AB46">
        <v>17.5</v>
      </c>
      <c r="AD46">
        <v>28.6</v>
      </c>
      <c r="AE46">
        <v>28</v>
      </c>
      <c r="AF46">
        <v>25.944979731721116</v>
      </c>
      <c r="AG46">
        <v>24.31247184961266</v>
      </c>
      <c r="AH46">
        <v>50.257451581333775</v>
      </c>
      <c r="AI46">
        <v>3.9695818989533307</v>
      </c>
      <c r="AJ46">
        <v>4.2546825736822154</v>
      </c>
      <c r="AK46">
        <v>8.2242644726355465</v>
      </c>
      <c r="AL46">
        <v>106.10673673135982</v>
      </c>
      <c r="AM46">
        <v>25.556839445131786</v>
      </c>
      <c r="AN46">
        <v>2.408597251448453</v>
      </c>
      <c r="AO46">
        <v>15.299999999999999</v>
      </c>
      <c r="AP46">
        <v>16.36426880763317</v>
      </c>
      <c r="AQ46">
        <v>17.363591621727362</v>
      </c>
      <c r="AR46">
        <v>67.941075652196432</v>
      </c>
      <c r="AS46">
        <v>-0.33307499997399403</v>
      </c>
      <c r="AT46">
        <v>9.6370937582182332</v>
      </c>
      <c r="AU46">
        <v>37.70847243810487</v>
      </c>
    </row>
    <row r="47" spans="1:47" x14ac:dyDescent="0.35">
      <c r="A47">
        <v>45</v>
      </c>
      <c r="B47">
        <v>46041</v>
      </c>
      <c r="C47" t="s">
        <v>16</v>
      </c>
      <c r="D47" t="s">
        <v>56</v>
      </c>
      <c r="E47" t="s">
        <v>19</v>
      </c>
      <c r="F47" t="s">
        <v>20</v>
      </c>
      <c r="G47" t="s">
        <v>21</v>
      </c>
      <c r="H47" t="s">
        <v>22</v>
      </c>
      <c r="I47" t="s">
        <v>23</v>
      </c>
      <c r="J47" t="s">
        <v>24</v>
      </c>
      <c r="K47" t="s">
        <v>55</v>
      </c>
      <c r="L47">
        <v>27</v>
      </c>
      <c r="M47">
        <v>58</v>
      </c>
      <c r="N47">
        <v>1</v>
      </c>
      <c r="O47">
        <v>1</v>
      </c>
      <c r="P47">
        <v>225</v>
      </c>
      <c r="Q47">
        <v>0.50049999999999994</v>
      </c>
      <c r="R47">
        <v>476.08536585365806</v>
      </c>
      <c r="S47">
        <v>90.385365853658129</v>
      </c>
      <c r="T47">
        <v>0.38611111111111113</v>
      </c>
      <c r="U47">
        <v>41.5</v>
      </c>
      <c r="V47">
        <v>0.71944444444444444</v>
      </c>
      <c r="W47">
        <v>71</v>
      </c>
      <c r="X47">
        <v>14.3</v>
      </c>
      <c r="Y47">
        <v>40.5</v>
      </c>
      <c r="Z47">
        <v>0.38472222222222224</v>
      </c>
      <c r="AA47">
        <v>67.5</v>
      </c>
      <c r="AB47">
        <v>17.899999999999999</v>
      </c>
      <c r="AD47">
        <v>29.5</v>
      </c>
      <c r="AE47">
        <v>27</v>
      </c>
      <c r="AF47">
        <v>26.844979731721114</v>
      </c>
      <c r="AG47">
        <v>23.31247184961266</v>
      </c>
      <c r="AH47">
        <v>50.157451581333774</v>
      </c>
      <c r="AI47">
        <v>3.83883210163612</v>
      </c>
      <c r="AJ47">
        <v>4.1729324610806655</v>
      </c>
      <c r="AK47">
        <v>8.0117645627167846</v>
      </c>
      <c r="AL47">
        <v>105.35390326774184</v>
      </c>
      <c r="AM47">
        <v>18.985117446655842</v>
      </c>
      <c r="AN47">
        <v>1.8020326592369234</v>
      </c>
      <c r="AO47">
        <v>14.300000000000002</v>
      </c>
      <c r="AP47">
        <v>15.973228922376876</v>
      </c>
      <c r="AQ47">
        <v>16.828420147615894</v>
      </c>
      <c r="AR47">
        <v>88.640063433371907</v>
      </c>
      <c r="AS47">
        <v>-0.2206220049829275</v>
      </c>
      <c r="AT47">
        <v>9.3400643310643261</v>
      </c>
      <c r="AU47">
        <v>49.19676877063273</v>
      </c>
    </row>
    <row r="48" spans="1:47" x14ac:dyDescent="0.35">
      <c r="A48">
        <v>46</v>
      </c>
      <c r="B48">
        <v>46041</v>
      </c>
      <c r="C48" t="s">
        <v>16</v>
      </c>
      <c r="D48" t="s">
        <v>56</v>
      </c>
      <c r="E48" t="s">
        <v>19</v>
      </c>
      <c r="F48" t="s">
        <v>20</v>
      </c>
      <c r="G48" t="s">
        <v>21</v>
      </c>
      <c r="H48" t="s">
        <v>22</v>
      </c>
      <c r="I48" t="s">
        <v>23</v>
      </c>
      <c r="J48" t="s">
        <v>24</v>
      </c>
      <c r="K48" t="s">
        <v>55</v>
      </c>
      <c r="L48">
        <v>27</v>
      </c>
      <c r="M48">
        <v>58</v>
      </c>
      <c r="N48">
        <v>1</v>
      </c>
      <c r="O48">
        <v>2</v>
      </c>
      <c r="P48">
        <v>226</v>
      </c>
      <c r="Q48">
        <v>0.50039999999999996</v>
      </c>
      <c r="R48">
        <v>475.99024390243852</v>
      </c>
      <c r="S48">
        <v>114.59024390243849</v>
      </c>
      <c r="T48">
        <v>0.38611111111111113</v>
      </c>
      <c r="U48">
        <v>41</v>
      </c>
      <c r="V48">
        <v>0.71944444444444444</v>
      </c>
      <c r="W48">
        <v>68.5</v>
      </c>
      <c r="X48">
        <v>15.8</v>
      </c>
      <c r="Y48">
        <v>41</v>
      </c>
      <c r="Z48">
        <v>0.38541666666666669</v>
      </c>
      <c r="AA48">
        <v>69</v>
      </c>
      <c r="AB48">
        <v>17.5</v>
      </c>
      <c r="AD48">
        <v>27.5</v>
      </c>
      <c r="AE48">
        <v>28</v>
      </c>
      <c r="AF48">
        <v>24.844979731721114</v>
      </c>
      <c r="AG48">
        <v>24.31247184961266</v>
      </c>
      <c r="AH48">
        <v>49.157451581333774</v>
      </c>
      <c r="AI48">
        <v>3.925506797611936</v>
      </c>
      <c r="AJ48">
        <v>4.2546825736822154</v>
      </c>
      <c r="AK48">
        <v>8.1801893712941514</v>
      </c>
      <c r="AL48">
        <v>103.27407380939796</v>
      </c>
      <c r="AM48">
        <v>24.074074074073987</v>
      </c>
      <c r="AN48">
        <v>2.3310859333877891</v>
      </c>
      <c r="AO48">
        <v>15.799999999999999</v>
      </c>
      <c r="AP48">
        <v>16.64079220575454</v>
      </c>
      <c r="AQ48">
        <v>17.185624025039484</v>
      </c>
      <c r="AR48">
        <v>71.386438257856582</v>
      </c>
      <c r="AS48">
        <v>-0.29476208577795476</v>
      </c>
      <c r="AT48">
        <v>9.538318663032296</v>
      </c>
      <c r="AU48">
        <v>39.620708292595836</v>
      </c>
    </row>
    <row r="49" spans="1:47" x14ac:dyDescent="0.35">
      <c r="A49">
        <v>47</v>
      </c>
      <c r="B49">
        <v>46041</v>
      </c>
      <c r="C49" t="s">
        <v>16</v>
      </c>
      <c r="D49" t="s">
        <v>56</v>
      </c>
      <c r="E49" t="s">
        <v>19</v>
      </c>
      <c r="F49" t="s">
        <v>20</v>
      </c>
      <c r="G49" t="s">
        <v>21</v>
      </c>
      <c r="H49" t="s">
        <v>22</v>
      </c>
      <c r="I49" t="s">
        <v>23</v>
      </c>
      <c r="J49" t="s">
        <v>24</v>
      </c>
      <c r="K49" t="s">
        <v>55</v>
      </c>
      <c r="L49">
        <v>27</v>
      </c>
      <c r="M49">
        <v>58</v>
      </c>
      <c r="N49">
        <v>1</v>
      </c>
      <c r="O49">
        <v>3</v>
      </c>
      <c r="P49">
        <v>227</v>
      </c>
      <c r="Q49">
        <v>0.50049999999999994</v>
      </c>
      <c r="R49">
        <v>476.08536585365806</v>
      </c>
      <c r="S49">
        <v>107.58536585365812</v>
      </c>
      <c r="T49">
        <v>0.38611111111111113</v>
      </c>
      <c r="U49">
        <v>43</v>
      </c>
      <c r="V49">
        <v>0.72013888888888888</v>
      </c>
      <c r="W49">
        <v>71</v>
      </c>
      <c r="X49">
        <v>14.4</v>
      </c>
      <c r="Y49">
        <v>40</v>
      </c>
      <c r="Z49">
        <v>0.38541666666666669</v>
      </c>
      <c r="AA49">
        <v>66.5</v>
      </c>
      <c r="AB49">
        <v>18.2</v>
      </c>
      <c r="AD49">
        <v>28</v>
      </c>
      <c r="AE49">
        <v>26.5</v>
      </c>
      <c r="AF49">
        <v>25.344979731721114</v>
      </c>
      <c r="AG49">
        <v>22.81247184961266</v>
      </c>
      <c r="AH49">
        <v>48.157451581333774</v>
      </c>
      <c r="AI49">
        <v>3.649677081367841</v>
      </c>
      <c r="AJ49">
        <v>4.1518698766295037</v>
      </c>
      <c r="AK49">
        <v>7.8015469579973447</v>
      </c>
      <c r="AL49">
        <v>101.15297598989147</v>
      </c>
      <c r="AM49">
        <v>22.597914905607148</v>
      </c>
      <c r="AN49">
        <v>2.2340336193238075</v>
      </c>
      <c r="AO49">
        <v>14.400000000000004</v>
      </c>
      <c r="AP49">
        <v>16.20008264935117</v>
      </c>
      <c r="AQ49">
        <v>16.386865712640766</v>
      </c>
      <c r="AR49">
        <v>72.514945653568887</v>
      </c>
      <c r="AS49">
        <v>-0.25802520243446381</v>
      </c>
      <c r="AT49">
        <v>9.0949939803030411</v>
      </c>
      <c r="AU49">
        <v>40.247049421565571</v>
      </c>
    </row>
    <row r="50" spans="1:47" x14ac:dyDescent="0.35">
      <c r="A50">
        <v>48</v>
      </c>
      <c r="B50">
        <v>46041</v>
      </c>
      <c r="C50" t="s">
        <v>16</v>
      </c>
      <c r="D50" t="s">
        <v>58</v>
      </c>
      <c r="E50" t="s">
        <v>19</v>
      </c>
      <c r="F50" t="s">
        <v>20</v>
      </c>
      <c r="G50" t="s">
        <v>21</v>
      </c>
      <c r="H50" t="s">
        <v>22</v>
      </c>
      <c r="I50" t="s">
        <v>23</v>
      </c>
      <c r="J50" t="s">
        <v>24</v>
      </c>
      <c r="K50" t="s">
        <v>57</v>
      </c>
      <c r="L50">
        <v>27</v>
      </c>
      <c r="M50">
        <v>58</v>
      </c>
      <c r="N50">
        <v>1</v>
      </c>
      <c r="O50">
        <v>1</v>
      </c>
      <c r="P50">
        <v>228</v>
      </c>
      <c r="Q50">
        <v>0.50029999999999997</v>
      </c>
      <c r="R50">
        <v>468.88740218950227</v>
      </c>
      <c r="S50">
        <v>102.18740218950234</v>
      </c>
      <c r="T50">
        <v>0.38680555555555557</v>
      </c>
      <c r="U50">
        <v>42</v>
      </c>
      <c r="V50">
        <v>0.72083333333333333</v>
      </c>
      <c r="W50">
        <v>68.5</v>
      </c>
      <c r="X50">
        <v>15</v>
      </c>
      <c r="Y50">
        <v>41</v>
      </c>
      <c r="Z50">
        <v>0.38611111111111113</v>
      </c>
      <c r="AA50">
        <v>71.5</v>
      </c>
      <c r="AB50">
        <v>17.399999999999999</v>
      </c>
      <c r="AD50">
        <v>26.5</v>
      </c>
      <c r="AE50">
        <v>30.5</v>
      </c>
      <c r="AF50">
        <v>23.844979731721114</v>
      </c>
      <c r="AG50">
        <v>26.81247184961266</v>
      </c>
      <c r="AH50">
        <v>50.657451581333774</v>
      </c>
      <c r="AI50">
        <v>3.5767469597581671</v>
      </c>
      <c r="AJ50">
        <v>4.6653701018326021</v>
      </c>
      <c r="AK50">
        <v>8.2421170615907684</v>
      </c>
      <c r="AL50">
        <v>108.03756156549586</v>
      </c>
      <c r="AM50">
        <v>21.793590894600957</v>
      </c>
      <c r="AN50">
        <v>2.0172235080841747</v>
      </c>
      <c r="AO50">
        <v>15</v>
      </c>
      <c r="AP50">
        <v>16.270295493166532</v>
      </c>
      <c r="AQ50">
        <v>17.578030510317895</v>
      </c>
      <c r="AR50">
        <v>80.656880251306333</v>
      </c>
      <c r="AS50">
        <v>-0.3834160084082503</v>
      </c>
      <c r="AT50">
        <v>9.7561110514013496</v>
      </c>
      <c r="AU50">
        <v>44.765963987230222</v>
      </c>
    </row>
    <row r="51" spans="1:47" x14ac:dyDescent="0.35">
      <c r="A51">
        <v>49</v>
      </c>
      <c r="B51">
        <v>46041</v>
      </c>
      <c r="C51" t="s">
        <v>16</v>
      </c>
      <c r="D51" t="s">
        <v>58</v>
      </c>
      <c r="E51" t="s">
        <v>19</v>
      </c>
      <c r="F51" t="s">
        <v>20</v>
      </c>
      <c r="G51" t="s">
        <v>21</v>
      </c>
      <c r="H51" t="s">
        <v>22</v>
      </c>
      <c r="I51" t="s">
        <v>23</v>
      </c>
      <c r="J51" t="s">
        <v>24</v>
      </c>
      <c r="K51" t="s">
        <v>57</v>
      </c>
      <c r="L51">
        <v>27</v>
      </c>
      <c r="M51">
        <v>58</v>
      </c>
      <c r="N51">
        <v>1</v>
      </c>
      <c r="O51">
        <v>2</v>
      </c>
      <c r="P51">
        <v>229</v>
      </c>
      <c r="Q51">
        <v>0.50049999999999994</v>
      </c>
      <c r="R51">
        <v>469.07484468488082</v>
      </c>
      <c r="S51">
        <v>116.07484468488082</v>
      </c>
      <c r="T51">
        <v>0.38680555555555557</v>
      </c>
      <c r="U51">
        <v>41.5</v>
      </c>
      <c r="V51">
        <v>0.72083333333333333</v>
      </c>
      <c r="W51">
        <v>66</v>
      </c>
      <c r="X51">
        <v>16.100000000000001</v>
      </c>
      <c r="Y51">
        <v>41</v>
      </c>
      <c r="Z51">
        <v>0.38680555555555557</v>
      </c>
      <c r="AA51">
        <v>71.5</v>
      </c>
      <c r="AB51">
        <v>17.3</v>
      </c>
      <c r="AD51">
        <v>24.5</v>
      </c>
      <c r="AE51">
        <v>30.5</v>
      </c>
      <c r="AF51">
        <v>21.844979731721114</v>
      </c>
      <c r="AG51">
        <v>26.81247184961266</v>
      </c>
      <c r="AH51">
        <v>48.657451581333774</v>
      </c>
      <c r="AI51">
        <v>3.5170417368070996</v>
      </c>
      <c r="AJ51">
        <v>4.6385576299829907</v>
      </c>
      <c r="AK51">
        <v>8.1555993667900903</v>
      </c>
      <c r="AL51">
        <v>103.73067780691011</v>
      </c>
      <c r="AM51">
        <v>24.745484862412219</v>
      </c>
      <c r="AN51">
        <v>2.3855512549985263</v>
      </c>
      <c r="AO51">
        <v>16.100000000000001</v>
      </c>
      <c r="AP51">
        <v>16.761254652142089</v>
      </c>
      <c r="AQ51">
        <v>17.386563059609237</v>
      </c>
      <c r="AR51">
        <v>70.261557436762928</v>
      </c>
      <c r="AS51">
        <v>-0.48227556452317061</v>
      </c>
      <c r="AT51">
        <v>9.6498433036723945</v>
      </c>
      <c r="AU51">
        <v>38.996379975282963</v>
      </c>
    </row>
    <row r="52" spans="1:47" x14ac:dyDescent="0.35">
      <c r="A52">
        <v>50</v>
      </c>
      <c r="B52">
        <v>46041</v>
      </c>
      <c r="C52" t="s">
        <v>16</v>
      </c>
      <c r="D52" t="s">
        <v>58</v>
      </c>
      <c r="E52" t="s">
        <v>19</v>
      </c>
      <c r="F52" t="s">
        <v>20</v>
      </c>
      <c r="G52" t="s">
        <v>21</v>
      </c>
      <c r="H52" t="s">
        <v>22</v>
      </c>
      <c r="I52" t="s">
        <v>23</v>
      </c>
      <c r="J52" t="s">
        <v>24</v>
      </c>
      <c r="K52" t="s">
        <v>57</v>
      </c>
      <c r="L52">
        <v>27</v>
      </c>
      <c r="M52">
        <v>58</v>
      </c>
      <c r="N52">
        <v>1</v>
      </c>
      <c r="O52">
        <v>3</v>
      </c>
      <c r="P52">
        <v>230</v>
      </c>
      <c r="Q52">
        <v>0.50049999999999994</v>
      </c>
      <c r="R52">
        <v>469.07484468488082</v>
      </c>
      <c r="S52">
        <v>96.774844684880861</v>
      </c>
      <c r="T52">
        <v>0.38750000000000001</v>
      </c>
      <c r="U52">
        <v>41.5</v>
      </c>
      <c r="V52">
        <v>0.72152777777777777</v>
      </c>
      <c r="W52">
        <v>65.5</v>
      </c>
      <c r="X52">
        <v>15.7</v>
      </c>
      <c r="Y52">
        <v>40</v>
      </c>
      <c r="Z52">
        <v>0.38680555555555557</v>
      </c>
      <c r="AA52">
        <v>70</v>
      </c>
      <c r="AB52">
        <v>17.3</v>
      </c>
      <c r="AD52">
        <v>24</v>
      </c>
      <c r="AE52">
        <v>30</v>
      </c>
      <c r="AF52">
        <v>21.344979731721114</v>
      </c>
      <c r="AG52">
        <v>26.31247184961266</v>
      </c>
      <c r="AH52">
        <v>47.657451581333774</v>
      </c>
      <c r="AI52">
        <v>3.3511618178802149</v>
      </c>
      <c r="AJ52">
        <v>4.5520576299829907</v>
      </c>
      <c r="AK52">
        <v>7.9032194478632061</v>
      </c>
      <c r="AL52">
        <v>101.59882185400394</v>
      </c>
      <c r="AM52">
        <v>20.631002873303323</v>
      </c>
      <c r="AN52">
        <v>2.0306340661065714</v>
      </c>
      <c r="AO52">
        <v>15.7</v>
      </c>
      <c r="AP52">
        <v>16.583386617673654</v>
      </c>
      <c r="AQ52">
        <v>16.848525427050983</v>
      </c>
      <c r="AR52">
        <v>81.666051478540126</v>
      </c>
      <c r="AS52">
        <v>-0.33915521912563973</v>
      </c>
      <c r="AT52">
        <v>9.351223108993004</v>
      </c>
      <c r="AU52">
        <v>45.3260714780548</v>
      </c>
    </row>
    <row r="53" spans="1:47" x14ac:dyDescent="0.35">
      <c r="A53">
        <v>51</v>
      </c>
      <c r="B53">
        <v>46041</v>
      </c>
      <c r="C53" t="s">
        <v>16</v>
      </c>
      <c r="D53" t="s">
        <v>541</v>
      </c>
      <c r="E53" t="s">
        <v>538</v>
      </c>
      <c r="F53" t="s">
        <v>542</v>
      </c>
      <c r="G53" t="s">
        <v>541</v>
      </c>
      <c r="H53" t="s">
        <v>22</v>
      </c>
      <c r="I53" t="s">
        <v>23</v>
      </c>
      <c r="J53" t="s">
        <v>24</v>
      </c>
      <c r="K53" t="s">
        <v>543</v>
      </c>
      <c r="L53">
        <v>27</v>
      </c>
      <c r="M53">
        <v>58</v>
      </c>
      <c r="N53">
        <v>1</v>
      </c>
      <c r="O53">
        <v>1</v>
      </c>
      <c r="P53">
        <v>231</v>
      </c>
      <c r="S53">
        <v>0</v>
      </c>
      <c r="T53">
        <v>0.38819444444444445</v>
      </c>
      <c r="U53">
        <v>39.5</v>
      </c>
      <c r="V53">
        <v>0.72152777777777777</v>
      </c>
      <c r="W53">
        <v>43</v>
      </c>
      <c r="AD53">
        <v>3.5</v>
      </c>
      <c r="AE53">
        <v>4</v>
      </c>
    </row>
    <row r="54" spans="1:47" x14ac:dyDescent="0.35">
      <c r="A54">
        <v>52</v>
      </c>
      <c r="B54">
        <v>46041</v>
      </c>
      <c r="C54" t="s">
        <v>16</v>
      </c>
      <c r="D54" t="s">
        <v>541</v>
      </c>
      <c r="E54" t="s">
        <v>538</v>
      </c>
      <c r="F54" t="s">
        <v>542</v>
      </c>
      <c r="G54" t="s">
        <v>541</v>
      </c>
      <c r="H54" t="s">
        <v>22</v>
      </c>
      <c r="I54" t="s">
        <v>23</v>
      </c>
      <c r="J54" t="s">
        <v>24</v>
      </c>
      <c r="K54" t="s">
        <v>543</v>
      </c>
      <c r="L54">
        <v>27</v>
      </c>
      <c r="M54">
        <v>58</v>
      </c>
      <c r="N54">
        <v>1</v>
      </c>
      <c r="O54">
        <v>2</v>
      </c>
      <c r="P54">
        <v>232</v>
      </c>
      <c r="S54">
        <v>0</v>
      </c>
      <c r="T54">
        <v>0.38819444444444445</v>
      </c>
      <c r="U54">
        <v>40</v>
      </c>
      <c r="V54">
        <v>0.72222222222222221</v>
      </c>
      <c r="W54">
        <v>42</v>
      </c>
      <c r="AD54">
        <v>2</v>
      </c>
      <c r="AE54">
        <v>4</v>
      </c>
    </row>
    <row r="55" spans="1:47" x14ac:dyDescent="0.35">
      <c r="A55">
        <v>53</v>
      </c>
      <c r="B55">
        <v>46041</v>
      </c>
      <c r="C55" t="s">
        <v>16</v>
      </c>
      <c r="D55" t="s">
        <v>60</v>
      </c>
      <c r="E55" t="s">
        <v>19</v>
      </c>
      <c r="F55" t="s">
        <v>20</v>
      </c>
      <c r="G55" t="s">
        <v>21</v>
      </c>
      <c r="H55" t="s">
        <v>22</v>
      </c>
      <c r="I55" t="s">
        <v>23</v>
      </c>
      <c r="J55" t="s">
        <v>24</v>
      </c>
      <c r="K55" t="s">
        <v>59</v>
      </c>
      <c r="L55">
        <v>27</v>
      </c>
      <c r="M55">
        <v>58</v>
      </c>
      <c r="N55">
        <v>1</v>
      </c>
      <c r="O55">
        <v>1</v>
      </c>
      <c r="P55">
        <v>233</v>
      </c>
      <c r="Q55">
        <v>0.50039999999999996</v>
      </c>
      <c r="R55">
        <v>471.23548675994408</v>
      </c>
      <c r="S55">
        <v>123.3354867599441</v>
      </c>
      <c r="T55">
        <v>0.38819444444444445</v>
      </c>
      <c r="U55">
        <v>41.5</v>
      </c>
      <c r="V55">
        <v>0.72222222222222221</v>
      </c>
      <c r="W55">
        <v>75.5</v>
      </c>
      <c r="X55">
        <v>14.5</v>
      </c>
      <c r="Y55">
        <v>40.5</v>
      </c>
      <c r="Z55">
        <v>0.38750000000000001</v>
      </c>
      <c r="AA55">
        <v>73</v>
      </c>
      <c r="AB55">
        <v>17.2</v>
      </c>
      <c r="AD55">
        <v>34</v>
      </c>
      <c r="AE55">
        <v>32.5</v>
      </c>
      <c r="AF55">
        <v>31.344979731721114</v>
      </c>
      <c r="AG55">
        <v>28.81247184961266</v>
      </c>
      <c r="AH55">
        <v>60.157451581333774</v>
      </c>
      <c r="AI55">
        <v>4.5450220610995613</v>
      </c>
      <c r="AJ55">
        <v>4.9557451581333769</v>
      </c>
      <c r="AK55">
        <v>9.5007672192329373</v>
      </c>
      <c r="AL55">
        <v>127.65900122453866</v>
      </c>
      <c r="AM55">
        <v>26.17279263239643</v>
      </c>
      <c r="AN55">
        <v>2.050211295822475</v>
      </c>
      <c r="AO55">
        <v>14.5</v>
      </c>
      <c r="AP55">
        <v>15.793167711547351</v>
      </c>
      <c r="AQ55">
        <v>20.161400162277676</v>
      </c>
      <c r="AR55">
        <v>77.031902729867994</v>
      </c>
      <c r="AS55">
        <v>-0.36252170759257918</v>
      </c>
      <c r="AT55">
        <v>11.189925903215709</v>
      </c>
      <c r="AU55">
        <v>42.754038746957889</v>
      </c>
    </row>
    <row r="56" spans="1:47" x14ac:dyDescent="0.35">
      <c r="A56">
        <v>54</v>
      </c>
      <c r="B56">
        <v>46041</v>
      </c>
      <c r="C56" t="s">
        <v>16</v>
      </c>
      <c r="D56" t="s">
        <v>60</v>
      </c>
      <c r="E56" t="s">
        <v>19</v>
      </c>
      <c r="F56" t="s">
        <v>20</v>
      </c>
      <c r="G56" t="s">
        <v>21</v>
      </c>
      <c r="H56" t="s">
        <v>22</v>
      </c>
      <c r="I56" t="s">
        <v>23</v>
      </c>
      <c r="J56" t="s">
        <v>24</v>
      </c>
      <c r="K56" t="s">
        <v>59</v>
      </c>
      <c r="L56">
        <v>27</v>
      </c>
      <c r="M56">
        <v>58</v>
      </c>
      <c r="N56">
        <v>1</v>
      </c>
      <c r="O56">
        <v>2</v>
      </c>
      <c r="P56">
        <v>234</v>
      </c>
      <c r="Q56">
        <v>0.50029999999999997</v>
      </c>
      <c r="R56">
        <v>471.14131500000008</v>
      </c>
      <c r="S56">
        <v>155.24131499999999</v>
      </c>
      <c r="T56">
        <v>0.38819444444444445</v>
      </c>
      <c r="U56">
        <v>43</v>
      </c>
      <c r="V56">
        <v>0.72291666666666665</v>
      </c>
      <c r="W56">
        <v>77</v>
      </c>
      <c r="X56">
        <v>13.6</v>
      </c>
      <c r="Y56">
        <v>41</v>
      </c>
      <c r="Z56">
        <v>0.38750000000000001</v>
      </c>
      <c r="AA56">
        <v>71.5</v>
      </c>
      <c r="AB56">
        <v>17.100000000000001</v>
      </c>
      <c r="AD56">
        <v>34</v>
      </c>
      <c r="AE56">
        <v>30.5</v>
      </c>
      <c r="AF56">
        <v>31.344979731721114</v>
      </c>
      <c r="AG56">
        <v>26.81247184961266</v>
      </c>
      <c r="AH56">
        <v>58.157451581333774</v>
      </c>
      <c r="AI56">
        <v>4.2629172435140719</v>
      </c>
      <c r="AJ56">
        <v>4.5849326862837652</v>
      </c>
      <c r="AK56">
        <v>8.847849929797837</v>
      </c>
      <c r="AL56">
        <v>123.43950685227799</v>
      </c>
      <c r="AM56">
        <v>32.950053425053575</v>
      </c>
      <c r="AN56">
        <v>2.6693280186614343</v>
      </c>
      <c r="AO56">
        <v>13.600000000000001</v>
      </c>
      <c r="AP56">
        <v>15.213613542581093</v>
      </c>
      <c r="AQ56">
        <v>18.779609531373481</v>
      </c>
      <c r="AR56">
        <v>56.994170203968174</v>
      </c>
      <c r="AS56">
        <v>-0.60511642026034795</v>
      </c>
      <c r="AT56">
        <v>10.423008196651578</v>
      </c>
      <c r="AU56">
        <v>31.632750521510363</v>
      </c>
    </row>
    <row r="57" spans="1:47" x14ac:dyDescent="0.35">
      <c r="A57">
        <v>55</v>
      </c>
      <c r="B57">
        <v>46041</v>
      </c>
      <c r="C57" t="s">
        <v>16</v>
      </c>
      <c r="D57" t="s">
        <v>60</v>
      </c>
      <c r="E57" t="s">
        <v>19</v>
      </c>
      <c r="F57" t="s">
        <v>20</v>
      </c>
      <c r="G57" t="s">
        <v>21</v>
      </c>
      <c r="H57" t="s">
        <v>22</v>
      </c>
      <c r="I57" t="s">
        <v>23</v>
      </c>
      <c r="J57" t="s">
        <v>24</v>
      </c>
      <c r="K57" t="s">
        <v>59</v>
      </c>
      <c r="L57">
        <v>27</v>
      </c>
      <c r="M57">
        <v>58</v>
      </c>
      <c r="N57">
        <v>1</v>
      </c>
      <c r="O57">
        <v>3</v>
      </c>
      <c r="P57">
        <v>235</v>
      </c>
      <c r="Q57">
        <v>0.50049999999999994</v>
      </c>
      <c r="R57">
        <v>471.32965851988808</v>
      </c>
      <c r="S57">
        <v>133.22965851988812</v>
      </c>
      <c r="T57">
        <v>0.38958333333333334</v>
      </c>
      <c r="U57">
        <v>42.5</v>
      </c>
      <c r="V57">
        <v>0.72361111111111109</v>
      </c>
      <c r="W57">
        <v>71.5</v>
      </c>
      <c r="X57">
        <v>15.5</v>
      </c>
      <c r="Y57">
        <v>41</v>
      </c>
      <c r="Z57">
        <v>0.38819444444444445</v>
      </c>
      <c r="AA57">
        <v>68</v>
      </c>
      <c r="AB57">
        <v>17.100000000000001</v>
      </c>
      <c r="AD57">
        <v>29</v>
      </c>
      <c r="AE57">
        <v>27</v>
      </c>
      <c r="AF57">
        <v>26.344979731721114</v>
      </c>
      <c r="AG57">
        <v>23.31247184961266</v>
      </c>
      <c r="AH57">
        <v>49.657451581333774</v>
      </c>
      <c r="AI57">
        <v>4.0834718584167726</v>
      </c>
      <c r="AJ57">
        <v>3.9864326862837651</v>
      </c>
      <c r="AK57">
        <v>8.0699045447005382</v>
      </c>
      <c r="AL57">
        <v>105.35609351907236</v>
      </c>
      <c r="AM57">
        <v>28.2667674549206</v>
      </c>
      <c r="AN57">
        <v>2.6829741413868513</v>
      </c>
      <c r="AO57">
        <v>15.5</v>
      </c>
      <c r="AP57">
        <v>16.251145170997891</v>
      </c>
      <c r="AQ57">
        <v>17.12157170427675</v>
      </c>
      <c r="AR57">
        <v>60.571382035749096</v>
      </c>
      <c r="AS57">
        <v>-0.35663675241133447</v>
      </c>
      <c r="AT57">
        <v>9.5027685168373388</v>
      </c>
      <c r="AU57">
        <v>33.61816497762684</v>
      </c>
    </row>
    <row r="58" spans="1:47" x14ac:dyDescent="0.35">
      <c r="A58">
        <v>56</v>
      </c>
      <c r="B58">
        <v>46041</v>
      </c>
      <c r="C58" t="s">
        <v>16</v>
      </c>
      <c r="D58" t="s">
        <v>62</v>
      </c>
      <c r="E58" t="s">
        <v>19</v>
      </c>
      <c r="F58" t="s">
        <v>20</v>
      </c>
      <c r="G58" t="s">
        <v>21</v>
      </c>
      <c r="H58" t="s">
        <v>22</v>
      </c>
      <c r="I58" t="s">
        <v>23</v>
      </c>
      <c r="J58" t="s">
        <v>24</v>
      </c>
      <c r="K58" t="s">
        <v>61</v>
      </c>
      <c r="L58">
        <v>27</v>
      </c>
      <c r="M58">
        <v>58</v>
      </c>
      <c r="N58">
        <v>1</v>
      </c>
      <c r="O58">
        <v>1</v>
      </c>
      <c r="P58">
        <v>236</v>
      </c>
      <c r="Q58">
        <v>0.50049999999999994</v>
      </c>
      <c r="R58">
        <v>470.76311712972205</v>
      </c>
      <c r="S58">
        <v>84.863117129722013</v>
      </c>
      <c r="T58">
        <v>0.38958333333333334</v>
      </c>
      <c r="U58">
        <v>42.5</v>
      </c>
      <c r="V58">
        <v>0.72361111111111109</v>
      </c>
      <c r="W58">
        <v>68</v>
      </c>
      <c r="X58">
        <v>14.3</v>
      </c>
      <c r="Y58">
        <v>40.5</v>
      </c>
      <c r="Z58">
        <v>0.3888888888888889</v>
      </c>
      <c r="AA58">
        <v>60</v>
      </c>
      <c r="AB58">
        <v>17.899999999999999</v>
      </c>
      <c r="AD58">
        <v>25.5</v>
      </c>
      <c r="AE58">
        <v>19.5</v>
      </c>
      <c r="AF58">
        <v>22.844979731721114</v>
      </c>
      <c r="AG58">
        <v>15.81247184961266</v>
      </c>
      <c r="AH58">
        <v>38.657451581333774</v>
      </c>
      <c r="AI58">
        <v>3.2668321016361199</v>
      </c>
      <c r="AJ58">
        <v>2.8304324610806662</v>
      </c>
      <c r="AK58">
        <v>6.0972645627167861</v>
      </c>
      <c r="AL58">
        <v>82.116568130976674</v>
      </c>
      <c r="AM58">
        <v>18.02671323257837</v>
      </c>
      <c r="AN58">
        <v>2.1952589645277913</v>
      </c>
      <c r="AO58">
        <v>14.300000000000002</v>
      </c>
      <c r="AP58">
        <v>15.772546593994637</v>
      </c>
      <c r="AQ58">
        <v>12.951873969847648</v>
      </c>
      <c r="AR58">
        <v>71.848227698217698</v>
      </c>
      <c r="AS58">
        <v>-0.18502579381848261</v>
      </c>
      <c r="AT58">
        <v>7.1885141341299734</v>
      </c>
      <c r="AU58">
        <v>39.877009421432938</v>
      </c>
    </row>
    <row r="59" spans="1:47" x14ac:dyDescent="0.35">
      <c r="A59">
        <v>57</v>
      </c>
      <c r="B59">
        <v>46041</v>
      </c>
      <c r="C59" t="s">
        <v>16</v>
      </c>
      <c r="D59" t="s">
        <v>62</v>
      </c>
      <c r="E59" t="s">
        <v>19</v>
      </c>
      <c r="F59" t="s">
        <v>20</v>
      </c>
      <c r="G59" t="s">
        <v>21</v>
      </c>
      <c r="H59" t="s">
        <v>22</v>
      </c>
      <c r="I59" t="s">
        <v>23</v>
      </c>
      <c r="J59" t="s">
        <v>24</v>
      </c>
      <c r="K59" t="s">
        <v>61</v>
      </c>
      <c r="L59">
        <v>27</v>
      </c>
      <c r="M59">
        <v>58</v>
      </c>
      <c r="N59">
        <v>1</v>
      </c>
      <c r="O59">
        <v>2</v>
      </c>
      <c r="P59">
        <v>237</v>
      </c>
      <c r="Q59">
        <v>0.50009999999999999</v>
      </c>
      <c r="R59">
        <v>470.38688287027776</v>
      </c>
      <c r="S59">
        <v>72.586882870277691</v>
      </c>
      <c r="T59">
        <v>0.38958333333333334</v>
      </c>
      <c r="U59">
        <v>42.5</v>
      </c>
      <c r="V59">
        <v>0.72430555555555554</v>
      </c>
      <c r="W59">
        <v>69</v>
      </c>
      <c r="X59">
        <v>13.6</v>
      </c>
      <c r="Y59">
        <v>40.5</v>
      </c>
      <c r="Z59">
        <v>0.38958333333333334</v>
      </c>
      <c r="AA59">
        <v>64</v>
      </c>
      <c r="AB59">
        <v>17.899999999999999</v>
      </c>
      <c r="AD59">
        <v>26.5</v>
      </c>
      <c r="AE59">
        <v>23.5</v>
      </c>
      <c r="AF59">
        <v>23.844979731721114</v>
      </c>
      <c r="AG59">
        <v>19.81247184961266</v>
      </c>
      <c r="AH59">
        <v>43.657451581333774</v>
      </c>
      <c r="AI59">
        <v>3.2429172435140718</v>
      </c>
      <c r="AJ59">
        <v>3.5464324610806659</v>
      </c>
      <c r="AK59">
        <v>6.7893497045947377</v>
      </c>
      <c r="AL59">
        <v>92.811796355668207</v>
      </c>
      <c r="AM59">
        <v>15.431315266989607</v>
      </c>
      <c r="AN59">
        <v>1.6626458998654199</v>
      </c>
      <c r="AO59">
        <v>13.600000000000001</v>
      </c>
      <c r="AP59">
        <v>15.551410947444307</v>
      </c>
      <c r="AQ59">
        <v>14.433543858975101</v>
      </c>
      <c r="AR59">
        <v>93.534112998462803</v>
      </c>
      <c r="AS59">
        <v>-0.18269060023130043</v>
      </c>
      <c r="AT59">
        <v>8.0108665570228581</v>
      </c>
      <c r="AU59">
        <v>51.913050951395967</v>
      </c>
    </row>
    <row r="60" spans="1:47" x14ac:dyDescent="0.35">
      <c r="A60">
        <v>58</v>
      </c>
      <c r="B60">
        <v>46041</v>
      </c>
      <c r="C60" t="s">
        <v>16</v>
      </c>
      <c r="D60" t="s">
        <v>62</v>
      </c>
      <c r="E60" t="s">
        <v>19</v>
      </c>
      <c r="F60" t="s">
        <v>20</v>
      </c>
      <c r="G60" t="s">
        <v>21</v>
      </c>
      <c r="H60" t="s">
        <v>22</v>
      </c>
      <c r="I60" t="s">
        <v>23</v>
      </c>
      <c r="J60" t="s">
        <v>24</v>
      </c>
      <c r="K60" t="s">
        <v>61</v>
      </c>
      <c r="L60">
        <v>27</v>
      </c>
      <c r="M60">
        <v>58</v>
      </c>
      <c r="N60">
        <v>1</v>
      </c>
      <c r="O60">
        <v>3</v>
      </c>
      <c r="P60">
        <v>238</v>
      </c>
      <c r="Q60">
        <v>0.50039999999999996</v>
      </c>
      <c r="R60">
        <v>470.66905856486102</v>
      </c>
      <c r="S60">
        <v>139.86905856486106</v>
      </c>
      <c r="T60">
        <v>0.39027777777777778</v>
      </c>
      <c r="U60">
        <v>41.5</v>
      </c>
      <c r="V60">
        <v>0.72430555555555554</v>
      </c>
      <c r="W60">
        <v>67.5</v>
      </c>
      <c r="X60">
        <v>14.7</v>
      </c>
      <c r="Y60">
        <v>42</v>
      </c>
      <c r="Z60">
        <v>0.38958333333333334</v>
      </c>
      <c r="AA60">
        <v>67.5</v>
      </c>
      <c r="AB60">
        <v>17.7</v>
      </c>
      <c r="AD60">
        <v>26</v>
      </c>
      <c r="AE60">
        <v>25.5</v>
      </c>
      <c r="AF60">
        <v>23.344979731721114</v>
      </c>
      <c r="AG60">
        <v>21.81247184961266</v>
      </c>
      <c r="AH60">
        <v>45.157451581333774</v>
      </c>
      <c r="AI60">
        <v>3.4317120205630034</v>
      </c>
      <c r="AJ60">
        <v>3.8608075173814407</v>
      </c>
      <c r="AK60">
        <v>7.2925195379444441</v>
      </c>
      <c r="AL60">
        <v>95.943106434541221</v>
      </c>
      <c r="AM60">
        <v>29.717071054413974</v>
      </c>
      <c r="AN60">
        <v>3.0973638606009635</v>
      </c>
      <c r="AO60">
        <v>14.7</v>
      </c>
      <c r="AP60">
        <v>16.149094518342729</v>
      </c>
      <c r="AQ60">
        <v>15.493942941948225</v>
      </c>
      <c r="AR60">
        <v>52.138189909691185</v>
      </c>
      <c r="AS60">
        <v>-0.52116073767692928</v>
      </c>
      <c r="AT60">
        <v>8.5994063940778371</v>
      </c>
      <c r="AU60">
        <v>28.937597444686727</v>
      </c>
    </row>
    <row r="61" spans="1:47" x14ac:dyDescent="0.35">
      <c r="A61">
        <v>59</v>
      </c>
      <c r="B61">
        <v>46041</v>
      </c>
      <c r="C61" t="s">
        <v>16</v>
      </c>
      <c r="D61" t="s">
        <v>64</v>
      </c>
      <c r="E61" t="s">
        <v>19</v>
      </c>
      <c r="F61" t="s">
        <v>20</v>
      </c>
      <c r="G61" t="s">
        <v>21</v>
      </c>
      <c r="H61" t="s">
        <v>22</v>
      </c>
      <c r="I61" t="s">
        <v>23</v>
      </c>
      <c r="J61" t="s">
        <v>24</v>
      </c>
      <c r="K61" t="s">
        <v>63</v>
      </c>
      <c r="L61">
        <v>27</v>
      </c>
      <c r="M61">
        <v>58</v>
      </c>
      <c r="N61">
        <v>1</v>
      </c>
      <c r="O61">
        <v>1</v>
      </c>
      <c r="P61">
        <v>239</v>
      </c>
      <c r="Q61">
        <v>0.50060000000000004</v>
      </c>
      <c r="R61">
        <v>477.00726990577607</v>
      </c>
      <c r="S61">
        <v>132.80726990577602</v>
      </c>
      <c r="T61">
        <v>0.39027777777777778</v>
      </c>
      <c r="U61">
        <v>41.5</v>
      </c>
      <c r="V61">
        <v>0.72430555555555554</v>
      </c>
      <c r="W61">
        <v>72.5</v>
      </c>
      <c r="X61">
        <v>14.7</v>
      </c>
      <c r="Y61">
        <v>40</v>
      </c>
      <c r="Z61">
        <v>0.39027777777777778</v>
      </c>
      <c r="AA61">
        <v>67.5</v>
      </c>
      <c r="AB61">
        <v>18.3</v>
      </c>
      <c r="AD61">
        <v>31</v>
      </c>
      <c r="AE61">
        <v>27.5</v>
      </c>
      <c r="AF61">
        <v>28.344979731721114</v>
      </c>
      <c r="AG61">
        <v>23.81247184961266</v>
      </c>
      <c r="AH61">
        <v>52.157451581333774</v>
      </c>
      <c r="AI61">
        <v>4.1667120205630033</v>
      </c>
      <c r="AJ61">
        <v>4.3576823484791163</v>
      </c>
      <c r="AK61">
        <v>8.5243943690421204</v>
      </c>
      <c r="AL61">
        <v>109.34309573863834</v>
      </c>
      <c r="AM61">
        <v>27.84177061536392</v>
      </c>
      <c r="AN61">
        <v>2.5462760522085284</v>
      </c>
      <c r="AO61">
        <v>14.699999999999998</v>
      </c>
      <c r="AP61">
        <v>16.343579125504764</v>
      </c>
      <c r="AQ61">
        <v>17.870575370320783</v>
      </c>
      <c r="AR61">
        <v>64.18620287195121</v>
      </c>
      <c r="AS61">
        <v>-0.39985988593516147</v>
      </c>
      <c r="AT61">
        <v>9.9184785100327115</v>
      </c>
      <c r="AU61">
        <v>35.624453081871884</v>
      </c>
    </row>
    <row r="62" spans="1:47" x14ac:dyDescent="0.35">
      <c r="A62">
        <v>60</v>
      </c>
      <c r="B62">
        <v>46041</v>
      </c>
      <c r="C62" t="s">
        <v>16</v>
      </c>
      <c r="D62" t="s">
        <v>64</v>
      </c>
      <c r="E62" t="s">
        <v>19</v>
      </c>
      <c r="F62" t="s">
        <v>20</v>
      </c>
      <c r="G62" t="s">
        <v>21</v>
      </c>
      <c r="H62" t="s">
        <v>22</v>
      </c>
      <c r="I62" t="s">
        <v>23</v>
      </c>
      <c r="J62" t="s">
        <v>24</v>
      </c>
      <c r="K62" t="s">
        <v>63</v>
      </c>
      <c r="L62">
        <v>27</v>
      </c>
      <c r="M62">
        <v>58</v>
      </c>
      <c r="N62">
        <v>1</v>
      </c>
      <c r="O62">
        <v>2</v>
      </c>
      <c r="P62">
        <v>240</v>
      </c>
      <c r="Q62">
        <v>0.50029999999999997</v>
      </c>
      <c r="R62">
        <v>476.72140857742659</v>
      </c>
      <c r="S62">
        <v>193.22140857742647</v>
      </c>
      <c r="T62">
        <v>0.39027777777777778</v>
      </c>
      <c r="U62">
        <v>41.5</v>
      </c>
      <c r="V62">
        <v>0.72499999999999998</v>
      </c>
      <c r="W62">
        <v>73</v>
      </c>
      <c r="X62">
        <v>14.8</v>
      </c>
      <c r="Y62">
        <v>40.5</v>
      </c>
      <c r="Z62">
        <v>0.39027777777777778</v>
      </c>
      <c r="AA62">
        <v>68.5</v>
      </c>
      <c r="AB62">
        <v>18.100000000000001</v>
      </c>
      <c r="AD62">
        <v>31.5</v>
      </c>
      <c r="AE62">
        <v>28</v>
      </c>
      <c r="AF62">
        <v>28.844979731721114</v>
      </c>
      <c r="AG62">
        <v>24.31247184961266</v>
      </c>
      <c r="AH62">
        <v>53.157451581333774</v>
      </c>
      <c r="AI62">
        <v>4.2690570002947252</v>
      </c>
      <c r="AJ62">
        <v>4.4005574047798923</v>
      </c>
      <c r="AK62">
        <v>8.6696144050746184</v>
      </c>
      <c r="AL62">
        <v>111.50632345201301</v>
      </c>
      <c r="AM62">
        <v>40.531305097879709</v>
      </c>
      <c r="AN62">
        <v>3.6348884837300237</v>
      </c>
      <c r="AO62">
        <v>14.8</v>
      </c>
      <c r="AP62">
        <v>16.309311577530462</v>
      </c>
      <c r="AQ62">
        <v>18.185913720437721</v>
      </c>
      <c r="AR62">
        <v>44.868808632044441</v>
      </c>
      <c r="AS62">
        <v>533.39082302395684</v>
      </c>
      <c r="AT62">
        <v>10.093496750028409</v>
      </c>
      <c r="AU62">
        <v>24.902965067750618</v>
      </c>
    </row>
    <row r="63" spans="1:47" x14ac:dyDescent="0.35">
      <c r="A63">
        <v>61</v>
      </c>
      <c r="B63">
        <v>46041</v>
      </c>
      <c r="C63" t="s">
        <v>16</v>
      </c>
      <c r="D63" t="s">
        <v>64</v>
      </c>
      <c r="E63" t="s">
        <v>19</v>
      </c>
      <c r="F63" t="s">
        <v>20</v>
      </c>
      <c r="G63" t="s">
        <v>21</v>
      </c>
      <c r="H63" t="s">
        <v>22</v>
      </c>
      <c r="I63" t="s">
        <v>23</v>
      </c>
      <c r="J63" t="s">
        <v>24</v>
      </c>
      <c r="K63" t="s">
        <v>63</v>
      </c>
      <c r="L63">
        <v>27</v>
      </c>
      <c r="M63">
        <v>58</v>
      </c>
      <c r="N63">
        <v>1</v>
      </c>
      <c r="O63">
        <v>3</v>
      </c>
      <c r="P63">
        <v>241</v>
      </c>
      <c r="Q63">
        <v>0.50019999999999998</v>
      </c>
      <c r="R63">
        <v>476.62612146797676</v>
      </c>
      <c r="S63">
        <v>135.62612146797682</v>
      </c>
      <c r="T63">
        <v>0.39097222222222222</v>
      </c>
      <c r="U63">
        <v>40.5</v>
      </c>
      <c r="V63">
        <v>0.72569444444444442</v>
      </c>
      <c r="W63">
        <v>68.5</v>
      </c>
      <c r="X63">
        <v>16.399999999999999</v>
      </c>
      <c r="Y63">
        <v>40.5</v>
      </c>
      <c r="Z63">
        <v>0.39097222222222222</v>
      </c>
      <c r="AA63">
        <v>68.5</v>
      </c>
      <c r="AB63">
        <v>18.2</v>
      </c>
      <c r="AD63">
        <v>28</v>
      </c>
      <c r="AE63">
        <v>28</v>
      </c>
      <c r="AF63">
        <v>25.344979731721114</v>
      </c>
      <c r="AG63">
        <v>24.31247184961266</v>
      </c>
      <c r="AH63">
        <v>49.657451581333774</v>
      </c>
      <c r="AI63">
        <v>4.1565766760022624</v>
      </c>
      <c r="AJ63">
        <v>4.4248698766295043</v>
      </c>
      <c r="AK63">
        <v>8.5814465526317676</v>
      </c>
      <c r="AL63">
        <v>104.18533383859057</v>
      </c>
      <c r="AM63">
        <v>28.455452892564381</v>
      </c>
      <c r="AN63">
        <v>2.7312340273007214</v>
      </c>
      <c r="AO63">
        <v>16.399999999999999</v>
      </c>
      <c r="AP63">
        <v>17.281286653577549</v>
      </c>
      <c r="AQ63">
        <v>18.004566191633565</v>
      </c>
      <c r="AR63">
        <v>63.272815441072424</v>
      </c>
      <c r="AS63">
        <v>-0.42300892900082365</v>
      </c>
      <c r="AT63">
        <v>9.9928457340416053</v>
      </c>
      <c r="AU63">
        <v>35.117507255183448</v>
      </c>
    </row>
    <row r="64" spans="1:47" x14ac:dyDescent="0.35">
      <c r="A64">
        <v>62</v>
      </c>
      <c r="B64">
        <v>46041</v>
      </c>
      <c r="C64" t="s">
        <v>16</v>
      </c>
      <c r="D64" t="s">
        <v>66</v>
      </c>
      <c r="E64" t="s">
        <v>19</v>
      </c>
      <c r="F64" t="s">
        <v>67</v>
      </c>
      <c r="G64" t="s">
        <v>68</v>
      </c>
      <c r="H64" t="s">
        <v>22</v>
      </c>
      <c r="I64" t="s">
        <v>23</v>
      </c>
      <c r="J64" t="s">
        <v>24</v>
      </c>
      <c r="K64" t="s">
        <v>65</v>
      </c>
      <c r="L64">
        <v>27</v>
      </c>
      <c r="M64">
        <v>58</v>
      </c>
      <c r="N64">
        <v>1</v>
      </c>
      <c r="O64">
        <v>1</v>
      </c>
      <c r="P64">
        <v>242</v>
      </c>
      <c r="Q64">
        <v>0.50009999999999999</v>
      </c>
      <c r="R64">
        <v>473.45248187587481</v>
      </c>
      <c r="S64">
        <v>123.05248187587489</v>
      </c>
      <c r="T64">
        <v>0.39166666666666666</v>
      </c>
      <c r="U64">
        <v>42.5</v>
      </c>
      <c r="V64">
        <v>0.72569444444444442</v>
      </c>
      <c r="W64">
        <v>69.5</v>
      </c>
      <c r="X64">
        <v>14.7</v>
      </c>
      <c r="Y64">
        <v>41</v>
      </c>
      <c r="Z64">
        <v>0.39097222222222222</v>
      </c>
      <c r="AA64">
        <v>69.5</v>
      </c>
      <c r="AB64">
        <v>17.8</v>
      </c>
      <c r="AD64">
        <v>27</v>
      </c>
      <c r="AE64">
        <v>28.5</v>
      </c>
      <c r="AF64">
        <v>24.344979731721114</v>
      </c>
      <c r="AG64">
        <v>24.81247184961266</v>
      </c>
      <c r="AH64">
        <v>49.157451581333774</v>
      </c>
      <c r="AI64">
        <v>3.5787120205630036</v>
      </c>
      <c r="AJ64">
        <v>4.4166199892310543</v>
      </c>
      <c r="AK64">
        <v>7.9953320097940583</v>
      </c>
      <c r="AL64">
        <v>103.82763521814508</v>
      </c>
      <c r="AM64">
        <v>25.990460835335867</v>
      </c>
      <c r="AN64">
        <v>2.5032315125668716</v>
      </c>
      <c r="AO64">
        <v>14.7</v>
      </c>
      <c r="AP64">
        <v>16.264740649879563</v>
      </c>
      <c r="AQ64">
        <v>16.887295591134311</v>
      </c>
      <c r="AR64">
        <v>64.974975619419723</v>
      </c>
      <c r="AS64">
        <v>-0.33525128359042999</v>
      </c>
      <c r="AT64">
        <v>9.3727412208233343</v>
      </c>
      <c r="AU64">
        <v>36.062235603304231</v>
      </c>
    </row>
    <row r="65" spans="1:48" x14ac:dyDescent="0.35">
      <c r="A65">
        <v>63</v>
      </c>
      <c r="B65">
        <v>46041</v>
      </c>
      <c r="C65" t="s">
        <v>16</v>
      </c>
      <c r="D65" t="s">
        <v>66</v>
      </c>
      <c r="E65" t="s">
        <v>19</v>
      </c>
      <c r="F65" t="s">
        <v>67</v>
      </c>
      <c r="G65" t="s">
        <v>68</v>
      </c>
      <c r="H65" t="s">
        <v>22</v>
      </c>
      <c r="I65" t="s">
        <v>23</v>
      </c>
      <c r="J65" t="s">
        <v>24</v>
      </c>
      <c r="K65" t="s">
        <v>65</v>
      </c>
      <c r="L65">
        <v>27</v>
      </c>
      <c r="M65">
        <v>58</v>
      </c>
      <c r="N65">
        <v>1</v>
      </c>
      <c r="O65">
        <v>2</v>
      </c>
      <c r="P65">
        <v>243</v>
      </c>
      <c r="Q65">
        <v>0.50039999999999996</v>
      </c>
      <c r="R65">
        <v>473.736496562063</v>
      </c>
      <c r="S65">
        <v>169.93649656206304</v>
      </c>
      <c r="T65">
        <v>0.39166666666666666</v>
      </c>
      <c r="U65">
        <v>41.5</v>
      </c>
      <c r="V65">
        <v>0.72638888888888886</v>
      </c>
      <c r="W65">
        <v>70</v>
      </c>
      <c r="X65">
        <v>15.1</v>
      </c>
      <c r="Y65">
        <v>41</v>
      </c>
      <c r="Z65">
        <v>0.39166666666666666</v>
      </c>
      <c r="AA65">
        <v>71</v>
      </c>
      <c r="AB65">
        <v>17.600000000000001</v>
      </c>
      <c r="AD65">
        <v>28.5</v>
      </c>
      <c r="AE65">
        <v>30</v>
      </c>
      <c r="AF65">
        <v>25.844979731721114</v>
      </c>
      <c r="AG65">
        <v>26.31247184961266</v>
      </c>
      <c r="AH65">
        <v>52.157451581333774</v>
      </c>
      <c r="AI65">
        <v>3.9025919394898883</v>
      </c>
      <c r="AJ65">
        <v>4.6309950455318285</v>
      </c>
      <c r="AK65">
        <v>8.5335869850217172</v>
      </c>
      <c r="AL65">
        <v>110.09802276126884</v>
      </c>
      <c r="AM65">
        <v>35.871523050325109</v>
      </c>
      <c r="AN65">
        <v>3.2581441655957035</v>
      </c>
      <c r="AO65">
        <v>15.100000000000001</v>
      </c>
      <c r="AP65">
        <v>16.361203866938425</v>
      </c>
      <c r="AQ65">
        <v>18.013361957439464</v>
      </c>
      <c r="AR65">
        <v>50.216328791414966</v>
      </c>
      <c r="AS65">
        <v>-1.1668039433788466</v>
      </c>
      <c r="AT65">
        <v>9.9977275362397577</v>
      </c>
      <c r="AU65">
        <v>27.870931273851074</v>
      </c>
    </row>
    <row r="66" spans="1:48" x14ac:dyDescent="0.35">
      <c r="A66">
        <v>64</v>
      </c>
      <c r="B66">
        <v>46041</v>
      </c>
      <c r="C66" t="s">
        <v>16</v>
      </c>
      <c r="D66" t="s">
        <v>66</v>
      </c>
      <c r="E66" t="s">
        <v>19</v>
      </c>
      <c r="F66" t="s">
        <v>67</v>
      </c>
      <c r="G66" t="s">
        <v>68</v>
      </c>
      <c r="H66" t="s">
        <v>22</v>
      </c>
      <c r="I66" t="s">
        <v>23</v>
      </c>
      <c r="J66" t="s">
        <v>24</v>
      </c>
      <c r="K66" t="s">
        <v>65</v>
      </c>
      <c r="L66">
        <v>27</v>
      </c>
      <c r="M66">
        <v>58</v>
      </c>
      <c r="N66">
        <v>1</v>
      </c>
      <c r="O66">
        <v>3</v>
      </c>
      <c r="P66">
        <v>244</v>
      </c>
      <c r="Q66">
        <v>0.50009999999999999</v>
      </c>
      <c r="R66">
        <v>473.45248187587481</v>
      </c>
      <c r="S66">
        <v>91.952481875874867</v>
      </c>
      <c r="T66">
        <v>0.3923611111111111</v>
      </c>
      <c r="U66">
        <v>42</v>
      </c>
      <c r="V66">
        <v>0.72638888888888886</v>
      </c>
      <c r="W66">
        <v>68</v>
      </c>
      <c r="X66">
        <v>16.399999999999999</v>
      </c>
      <c r="Y66">
        <v>42</v>
      </c>
      <c r="Z66">
        <v>0.39166666666666666</v>
      </c>
      <c r="AA66">
        <v>71.5</v>
      </c>
      <c r="AB66">
        <v>17.399999999999999</v>
      </c>
      <c r="AD66">
        <v>26</v>
      </c>
      <c r="AE66">
        <v>29.5</v>
      </c>
      <c r="AF66">
        <v>23.344979731721114</v>
      </c>
      <c r="AG66">
        <v>25.81247184961266</v>
      </c>
      <c r="AH66">
        <v>49.157451581333774</v>
      </c>
      <c r="AI66">
        <v>3.8285766760022621</v>
      </c>
      <c r="AJ66">
        <v>4.4913701018326027</v>
      </c>
      <c r="AK66">
        <v>8.3199467778348648</v>
      </c>
      <c r="AL66">
        <v>103.82763521814508</v>
      </c>
      <c r="AM66">
        <v>19.421691805595408</v>
      </c>
      <c r="AN66">
        <v>1.8705705629132199</v>
      </c>
      <c r="AO66">
        <v>16.399999999999999</v>
      </c>
      <c r="AP66">
        <v>16.925097844157044</v>
      </c>
      <c r="AQ66">
        <v>17.572928849945512</v>
      </c>
      <c r="AR66">
        <v>90.48093763326392</v>
      </c>
      <c r="AS66">
        <v>-0.23879718188253507</v>
      </c>
      <c r="AT66">
        <v>9.7532795416306577</v>
      </c>
      <c r="AU66">
        <v>50.218485800607382</v>
      </c>
    </row>
    <row r="67" spans="1:48" x14ac:dyDescent="0.35">
      <c r="A67">
        <v>65</v>
      </c>
      <c r="B67">
        <v>46041</v>
      </c>
      <c r="C67" t="s">
        <v>16</v>
      </c>
      <c r="D67" t="s">
        <v>70</v>
      </c>
      <c r="E67" t="s">
        <v>19</v>
      </c>
      <c r="F67" t="s">
        <v>20</v>
      </c>
      <c r="G67" t="s">
        <v>21</v>
      </c>
      <c r="H67" t="s">
        <v>22</v>
      </c>
      <c r="I67" t="s">
        <v>23</v>
      </c>
      <c r="J67" t="s">
        <v>24</v>
      </c>
      <c r="K67" t="s">
        <v>69</v>
      </c>
      <c r="L67">
        <v>27</v>
      </c>
      <c r="M67">
        <v>58</v>
      </c>
      <c r="N67">
        <v>1</v>
      </c>
      <c r="O67">
        <v>1</v>
      </c>
      <c r="P67">
        <v>245</v>
      </c>
      <c r="Q67">
        <v>0.50049999999999994</v>
      </c>
      <c r="R67">
        <v>473.63261444692972</v>
      </c>
      <c r="S67">
        <v>130.0326144469297</v>
      </c>
      <c r="T67">
        <v>0.3923611111111111</v>
      </c>
      <c r="U67">
        <v>42</v>
      </c>
      <c r="V67">
        <v>0.7270833333333333</v>
      </c>
      <c r="W67">
        <v>70.5</v>
      </c>
      <c r="X67">
        <v>15.2</v>
      </c>
      <c r="Y67">
        <v>40.5</v>
      </c>
      <c r="Z67">
        <v>0.3923611111111111</v>
      </c>
      <c r="AA67">
        <v>71.5</v>
      </c>
      <c r="AB67">
        <v>17.2</v>
      </c>
      <c r="AD67">
        <v>28.5</v>
      </c>
      <c r="AE67">
        <v>31</v>
      </c>
      <c r="AF67">
        <v>25.844979731721114</v>
      </c>
      <c r="AG67">
        <v>27.31247184961266</v>
      </c>
      <c r="AH67">
        <v>53.157451581333774</v>
      </c>
      <c r="AI67">
        <v>3.9284369192216091</v>
      </c>
      <c r="AJ67">
        <v>4.6977451581333769</v>
      </c>
      <c r="AK67">
        <v>8.6261820773549864</v>
      </c>
      <c r="AL67">
        <v>112.23351171330714</v>
      </c>
      <c r="AM67">
        <v>27.454320179950315</v>
      </c>
      <c r="AN67">
        <v>2.4461784863402034</v>
      </c>
      <c r="AO67">
        <v>15.2</v>
      </c>
      <c r="AP67">
        <v>16.227606517510463</v>
      </c>
      <c r="AQ67">
        <v>18.212812661619498</v>
      </c>
      <c r="AR67">
        <v>66.338603696041162</v>
      </c>
      <c r="AS67">
        <v>-0.41620978541630749</v>
      </c>
      <c r="AT67">
        <v>10.1084261277639</v>
      </c>
      <c r="AU67">
        <v>36.819072778010387</v>
      </c>
    </row>
    <row r="68" spans="1:48" x14ac:dyDescent="0.35">
      <c r="A68">
        <v>66</v>
      </c>
      <c r="B68">
        <v>46041</v>
      </c>
      <c r="C68" t="s">
        <v>16</v>
      </c>
      <c r="D68" t="s">
        <v>70</v>
      </c>
      <c r="E68" t="s">
        <v>19</v>
      </c>
      <c r="F68" t="s">
        <v>20</v>
      </c>
      <c r="G68" t="s">
        <v>21</v>
      </c>
      <c r="H68" t="s">
        <v>22</v>
      </c>
      <c r="I68" t="s">
        <v>23</v>
      </c>
      <c r="J68" t="s">
        <v>24</v>
      </c>
      <c r="K68" t="s">
        <v>69</v>
      </c>
      <c r="L68">
        <v>27</v>
      </c>
      <c r="M68">
        <v>58</v>
      </c>
      <c r="N68">
        <v>1</v>
      </c>
      <c r="O68">
        <v>2</v>
      </c>
      <c r="P68">
        <v>246</v>
      </c>
      <c r="Q68">
        <v>0.50049999999999994</v>
      </c>
      <c r="R68">
        <v>473.63261444692972</v>
      </c>
      <c r="S68">
        <v>122.73261444692963</v>
      </c>
      <c r="T68">
        <v>0.3923611111111111</v>
      </c>
      <c r="U68">
        <v>41.5</v>
      </c>
      <c r="V68">
        <v>0.7270833333333333</v>
      </c>
      <c r="W68">
        <v>71.5</v>
      </c>
      <c r="X68">
        <v>15.1</v>
      </c>
      <c r="Y68">
        <v>41</v>
      </c>
      <c r="Z68">
        <v>0.3923611111111111</v>
      </c>
      <c r="AA68">
        <v>72</v>
      </c>
      <c r="AB68">
        <v>17.100000000000001</v>
      </c>
      <c r="AD68">
        <v>30</v>
      </c>
      <c r="AE68">
        <v>31</v>
      </c>
      <c r="AF68">
        <v>27.344979731721114</v>
      </c>
      <c r="AG68">
        <v>27.31247184961266</v>
      </c>
      <c r="AH68">
        <v>54.657451581333774</v>
      </c>
      <c r="AI68">
        <v>4.1290919394898884</v>
      </c>
      <c r="AJ68">
        <v>4.6704326862837648</v>
      </c>
      <c r="AK68">
        <v>8.7995246257736532</v>
      </c>
      <c r="AL68">
        <v>115.40052334689489</v>
      </c>
      <c r="AM68">
        <v>25.913041184937601</v>
      </c>
      <c r="AN68">
        <v>2.2454873195889067</v>
      </c>
      <c r="AO68">
        <v>15.100000000000001</v>
      </c>
      <c r="AP68">
        <v>16.099405243362654</v>
      </c>
      <c r="AQ68">
        <v>18.57879790657794</v>
      </c>
      <c r="AR68">
        <v>71.696709675964939</v>
      </c>
      <c r="AS68">
        <v>-0.37781679159276582</v>
      </c>
      <c r="AT68">
        <v>10.311554270640489</v>
      </c>
      <c r="AU68">
        <v>39.792914297663579</v>
      </c>
    </row>
    <row r="69" spans="1:48" x14ac:dyDescent="0.35">
      <c r="A69">
        <v>67</v>
      </c>
      <c r="B69">
        <v>46041</v>
      </c>
      <c r="C69" t="s">
        <v>16</v>
      </c>
      <c r="D69" t="s">
        <v>70</v>
      </c>
      <c r="E69" t="s">
        <v>19</v>
      </c>
      <c r="F69" t="s">
        <v>20</v>
      </c>
      <c r="G69" t="s">
        <v>21</v>
      </c>
      <c r="H69" t="s">
        <v>22</v>
      </c>
      <c r="I69" t="s">
        <v>23</v>
      </c>
      <c r="J69" t="s">
        <v>24</v>
      </c>
      <c r="K69" t="s">
        <v>69</v>
      </c>
      <c r="L69">
        <v>27</v>
      </c>
      <c r="M69">
        <v>58</v>
      </c>
      <c r="N69">
        <v>1</v>
      </c>
      <c r="O69">
        <v>3</v>
      </c>
      <c r="P69">
        <v>247</v>
      </c>
      <c r="Q69">
        <v>0.5</v>
      </c>
      <c r="R69">
        <v>473.15945499193788</v>
      </c>
      <c r="S69">
        <v>98.459454991937832</v>
      </c>
      <c r="T69">
        <v>0.39305555555555555</v>
      </c>
      <c r="U69">
        <v>41</v>
      </c>
      <c r="V69">
        <v>0.72777777777777775</v>
      </c>
      <c r="W69">
        <v>68.5</v>
      </c>
      <c r="X69">
        <v>15.7</v>
      </c>
      <c r="Y69">
        <v>41</v>
      </c>
      <c r="Z69">
        <v>0.39305555555555555</v>
      </c>
      <c r="AA69">
        <v>70</v>
      </c>
      <c r="AB69">
        <v>17.2</v>
      </c>
      <c r="AD69">
        <v>27.5</v>
      </c>
      <c r="AE69">
        <v>29</v>
      </c>
      <c r="AF69">
        <v>24.844979731721114</v>
      </c>
      <c r="AG69">
        <v>25.31247184961266</v>
      </c>
      <c r="AH69">
        <v>50.157451581333774</v>
      </c>
      <c r="AI69">
        <v>3.900661817880215</v>
      </c>
      <c r="AJ69">
        <v>4.3537451581333775</v>
      </c>
      <c r="AK69">
        <v>8.254406976013593</v>
      </c>
      <c r="AL69">
        <v>106.00538793457778</v>
      </c>
      <c r="AM69">
        <v>20.808937442371402</v>
      </c>
      <c r="AN69">
        <v>1.9630075270526657</v>
      </c>
      <c r="AO69">
        <v>15.700000000000001</v>
      </c>
      <c r="AP69">
        <v>16.456990368875701</v>
      </c>
      <c r="AQ69">
        <v>17.445296482882792</v>
      </c>
      <c r="AR69">
        <v>83.83559483128856</v>
      </c>
      <c r="AS69">
        <v>-0.25970031644468838</v>
      </c>
      <c r="AT69">
        <v>9.6824413697384077</v>
      </c>
      <c r="AU69">
        <v>46.530205574182311</v>
      </c>
    </row>
    <row r="70" spans="1:48" x14ac:dyDescent="0.35">
      <c r="A70">
        <v>68</v>
      </c>
      <c r="B70">
        <v>46041</v>
      </c>
      <c r="C70" t="s">
        <v>16</v>
      </c>
      <c r="D70" t="s">
        <v>72</v>
      </c>
      <c r="E70" t="s">
        <v>19</v>
      </c>
      <c r="F70" t="s">
        <v>73</v>
      </c>
      <c r="G70" t="s">
        <v>74</v>
      </c>
      <c r="H70" t="s">
        <v>22</v>
      </c>
      <c r="I70" t="s">
        <v>23</v>
      </c>
      <c r="J70" t="s">
        <v>24</v>
      </c>
      <c r="K70" t="s">
        <v>71</v>
      </c>
      <c r="L70">
        <v>27</v>
      </c>
      <c r="M70">
        <v>58</v>
      </c>
      <c r="N70">
        <v>1</v>
      </c>
      <c r="O70">
        <v>1</v>
      </c>
      <c r="P70">
        <v>248</v>
      </c>
      <c r="Q70">
        <v>0.50060000000000004</v>
      </c>
      <c r="R70">
        <v>469.29371342681816</v>
      </c>
      <c r="S70">
        <v>67.493713426818204</v>
      </c>
      <c r="T70">
        <v>0.39305555555555555</v>
      </c>
      <c r="U70">
        <v>42.5</v>
      </c>
      <c r="V70">
        <v>0.72777777777777775</v>
      </c>
      <c r="W70">
        <v>75</v>
      </c>
      <c r="X70">
        <v>14.9</v>
      </c>
      <c r="Y70">
        <v>41</v>
      </c>
      <c r="Z70">
        <v>0.39374999999999999</v>
      </c>
      <c r="AA70">
        <v>72.5</v>
      </c>
      <c r="AB70">
        <v>19.100000000000001</v>
      </c>
      <c r="AD70">
        <v>32.5</v>
      </c>
      <c r="AE70">
        <v>31.5</v>
      </c>
    </row>
    <row r="71" spans="1:48" x14ac:dyDescent="0.35">
      <c r="A71">
        <v>69</v>
      </c>
      <c r="B71">
        <v>46041</v>
      </c>
      <c r="C71" t="s">
        <v>16</v>
      </c>
      <c r="D71" t="s">
        <v>72</v>
      </c>
      <c r="E71" t="s">
        <v>19</v>
      </c>
      <c r="F71" t="s">
        <v>73</v>
      </c>
      <c r="G71" t="s">
        <v>74</v>
      </c>
      <c r="H71" t="s">
        <v>22</v>
      </c>
      <c r="I71" t="s">
        <v>23</v>
      </c>
      <c r="J71" t="s">
        <v>24</v>
      </c>
      <c r="K71" t="s">
        <v>71</v>
      </c>
      <c r="L71">
        <v>27</v>
      </c>
      <c r="M71">
        <v>58</v>
      </c>
      <c r="N71">
        <v>1</v>
      </c>
      <c r="O71">
        <v>2</v>
      </c>
      <c r="P71">
        <v>249</v>
      </c>
      <c r="Q71">
        <v>0.50039999999999996</v>
      </c>
      <c r="R71">
        <v>469.10622093244058</v>
      </c>
      <c r="S71">
        <v>203.80622093244062</v>
      </c>
      <c r="T71">
        <v>0.39374999999999999</v>
      </c>
      <c r="U71">
        <v>41.5</v>
      </c>
      <c r="V71">
        <v>0.72847222222222219</v>
      </c>
      <c r="W71">
        <v>70.5</v>
      </c>
      <c r="X71">
        <v>15.3</v>
      </c>
      <c r="Y71">
        <v>41</v>
      </c>
      <c r="Z71">
        <v>0.39374999999999999</v>
      </c>
      <c r="AA71">
        <v>73.5</v>
      </c>
      <c r="AB71">
        <v>19.2</v>
      </c>
      <c r="AD71">
        <v>29</v>
      </c>
      <c r="AE71">
        <v>32.5</v>
      </c>
      <c r="AF71">
        <v>26.344979731721114</v>
      </c>
      <c r="AG71">
        <v>28.81247184961266</v>
      </c>
      <c r="AH71">
        <v>55.157451581333774</v>
      </c>
      <c r="AI71">
        <v>4.0307818989533306</v>
      </c>
      <c r="AJ71">
        <v>5.5319945951256306</v>
      </c>
      <c r="AK71">
        <v>9.5627764940789604</v>
      </c>
      <c r="AL71">
        <v>117.57987662516503</v>
      </c>
      <c r="AM71">
        <v>43.445644469889103</v>
      </c>
      <c r="AN71">
        <v>3.694989799010441</v>
      </c>
      <c r="AO71">
        <v>15.3</v>
      </c>
      <c r="AP71">
        <v>17.337234081560013</v>
      </c>
      <c r="AQ71">
        <v>20.385098443314323</v>
      </c>
      <c r="AR71">
        <v>46.9209254277322</v>
      </c>
      <c r="AS71">
        <v>3.0883855653297059</v>
      </c>
      <c r="AT71">
        <v>11.314082319403523</v>
      </c>
      <c r="AU71">
        <v>26.041925393108119</v>
      </c>
    </row>
    <row r="72" spans="1:48" x14ac:dyDescent="0.35">
      <c r="A72">
        <v>70</v>
      </c>
      <c r="B72">
        <v>46041</v>
      </c>
      <c r="C72" t="s">
        <v>16</v>
      </c>
      <c r="D72" t="s">
        <v>72</v>
      </c>
      <c r="E72" t="s">
        <v>19</v>
      </c>
      <c r="F72" t="s">
        <v>73</v>
      </c>
      <c r="G72" t="s">
        <v>74</v>
      </c>
      <c r="H72" t="s">
        <v>22</v>
      </c>
      <c r="I72" t="s">
        <v>23</v>
      </c>
      <c r="J72" t="s">
        <v>24</v>
      </c>
      <c r="K72" t="s">
        <v>71</v>
      </c>
      <c r="L72">
        <v>27</v>
      </c>
      <c r="M72">
        <v>58</v>
      </c>
      <c r="N72">
        <v>1</v>
      </c>
      <c r="O72">
        <v>3</v>
      </c>
      <c r="P72">
        <v>250</v>
      </c>
      <c r="Q72">
        <v>0.50060000000000004</v>
      </c>
      <c r="R72">
        <v>469.29371342681816</v>
      </c>
      <c r="S72">
        <v>115.99371342681809</v>
      </c>
      <c r="T72">
        <v>0.39374999999999999</v>
      </c>
      <c r="U72">
        <v>41.5</v>
      </c>
      <c r="V72">
        <v>0.72847222222222219</v>
      </c>
      <c r="W72">
        <v>72</v>
      </c>
      <c r="X72">
        <v>16.600000000000001</v>
      </c>
      <c r="Y72">
        <v>42</v>
      </c>
      <c r="Z72">
        <v>0.39513888888888887</v>
      </c>
      <c r="AA72">
        <v>73.5</v>
      </c>
      <c r="AB72">
        <v>19.2</v>
      </c>
      <c r="AD72">
        <v>30.5</v>
      </c>
      <c r="AE72">
        <v>31.5</v>
      </c>
      <c r="AF72">
        <v>27.844979731721114</v>
      </c>
      <c r="AG72">
        <v>27.81247184961266</v>
      </c>
      <c r="AH72">
        <v>55.657451581333774</v>
      </c>
      <c r="AI72">
        <v>4.6222666354657056</v>
      </c>
      <c r="AJ72">
        <v>5.3399945951256305</v>
      </c>
      <c r="AK72">
        <v>9.9622612305913361</v>
      </c>
      <c r="AL72">
        <v>118.59833189521943</v>
      </c>
      <c r="AM72">
        <v>24.716656138396406</v>
      </c>
      <c r="AN72">
        <v>2.0840643998461421</v>
      </c>
      <c r="AO72">
        <v>16.600000000000001</v>
      </c>
      <c r="AP72">
        <v>17.899240708197372</v>
      </c>
      <c r="AQ72">
        <v>21.228200901832142</v>
      </c>
      <c r="AR72">
        <v>85.88621690154487</v>
      </c>
      <c r="AS72">
        <v>-0.34358540436412427</v>
      </c>
      <c r="AT72">
        <v>11.782018770428635</v>
      </c>
      <c r="AU72">
        <v>47.66833630106504</v>
      </c>
    </row>
    <row r="73" spans="1:48" x14ac:dyDescent="0.35">
      <c r="A73">
        <v>71</v>
      </c>
      <c r="B73">
        <v>46041</v>
      </c>
      <c r="C73" t="s">
        <v>16</v>
      </c>
      <c r="D73" t="s">
        <v>76</v>
      </c>
      <c r="E73" t="s">
        <v>19</v>
      </c>
      <c r="F73" t="s">
        <v>20</v>
      </c>
      <c r="G73" t="s">
        <v>21</v>
      </c>
      <c r="H73" t="s">
        <v>22</v>
      </c>
      <c r="I73" t="s">
        <v>23</v>
      </c>
      <c r="J73" t="s">
        <v>24</v>
      </c>
      <c r="K73" t="s">
        <v>75</v>
      </c>
      <c r="L73">
        <v>27</v>
      </c>
      <c r="M73">
        <v>58</v>
      </c>
      <c r="N73">
        <v>1</v>
      </c>
      <c r="O73">
        <v>1</v>
      </c>
      <c r="P73">
        <v>251</v>
      </c>
      <c r="Q73">
        <v>0.50049999999999994</v>
      </c>
      <c r="R73">
        <v>467.52200346396097</v>
      </c>
      <c r="S73">
        <v>36.122003463960993</v>
      </c>
      <c r="T73">
        <v>0.39374999999999999</v>
      </c>
      <c r="U73">
        <v>42</v>
      </c>
      <c r="V73">
        <v>0.72916666666666663</v>
      </c>
      <c r="W73">
        <v>66</v>
      </c>
      <c r="X73">
        <v>15.4</v>
      </c>
      <c r="Y73">
        <v>40.5</v>
      </c>
      <c r="Z73">
        <v>0.39513888888888887</v>
      </c>
      <c r="AA73">
        <v>64.5</v>
      </c>
      <c r="AB73">
        <v>17.5</v>
      </c>
      <c r="AV73" t="s">
        <v>609</v>
      </c>
    </row>
    <row r="74" spans="1:48" x14ac:dyDescent="0.35">
      <c r="A74">
        <v>72</v>
      </c>
      <c r="B74">
        <v>46041</v>
      </c>
      <c r="C74" t="s">
        <v>16</v>
      </c>
      <c r="D74" t="s">
        <v>76</v>
      </c>
      <c r="E74" t="s">
        <v>19</v>
      </c>
      <c r="F74" t="s">
        <v>20</v>
      </c>
      <c r="G74" t="s">
        <v>21</v>
      </c>
      <c r="H74" t="s">
        <v>22</v>
      </c>
      <c r="I74" t="s">
        <v>23</v>
      </c>
      <c r="J74" t="s">
        <v>24</v>
      </c>
      <c r="K74" t="s">
        <v>75</v>
      </c>
      <c r="L74">
        <v>27</v>
      </c>
      <c r="M74">
        <v>58</v>
      </c>
      <c r="N74">
        <v>1</v>
      </c>
      <c r="O74">
        <v>2</v>
      </c>
      <c r="P74">
        <v>252</v>
      </c>
      <c r="Q74">
        <v>0.50019999999999998</v>
      </c>
      <c r="R74">
        <v>467.24177049485172</v>
      </c>
      <c r="S74">
        <v>88.341770494851687</v>
      </c>
      <c r="T74">
        <v>0.39444444444444443</v>
      </c>
      <c r="U74">
        <v>42</v>
      </c>
      <c r="V74">
        <v>0.72986111111111107</v>
      </c>
      <c r="W74">
        <v>67.5</v>
      </c>
      <c r="X74">
        <v>14.8</v>
      </c>
      <c r="Y74">
        <v>41</v>
      </c>
      <c r="Z74">
        <v>0.39513888888888887</v>
      </c>
      <c r="AA74">
        <v>63.5</v>
      </c>
      <c r="AB74">
        <v>17.399999999999999</v>
      </c>
      <c r="AD74">
        <v>25.5</v>
      </c>
      <c r="AE74">
        <v>22.5</v>
      </c>
      <c r="AF74">
        <v>22.844979731721114</v>
      </c>
      <c r="AG74">
        <v>18.81247184961266</v>
      </c>
      <c r="AH74">
        <v>41.657451581333774</v>
      </c>
      <c r="AI74">
        <v>3.3810570002947253</v>
      </c>
      <c r="AJ74">
        <v>3.2733701018326027</v>
      </c>
      <c r="AK74">
        <v>6.654427102127328</v>
      </c>
      <c r="AL74">
        <v>89.156094792669606</v>
      </c>
      <c r="AM74">
        <v>18.907078962843944</v>
      </c>
      <c r="AN74">
        <v>2.1206715039293624</v>
      </c>
      <c r="AO74">
        <v>14.8</v>
      </c>
      <c r="AP74">
        <v>15.974157922586652</v>
      </c>
      <c r="AQ74">
        <v>14.241935379792098</v>
      </c>
      <c r="AR74">
        <v>75.325942245125489</v>
      </c>
      <c r="AS74">
        <v>-0.23703765385360803</v>
      </c>
      <c r="AT74">
        <v>7.9045205360507005</v>
      </c>
      <c r="AU74">
        <v>41.807201163038499</v>
      </c>
    </row>
    <row r="75" spans="1:48" x14ac:dyDescent="0.35">
      <c r="A75">
        <v>73</v>
      </c>
      <c r="B75">
        <v>46041</v>
      </c>
      <c r="C75" t="s">
        <v>16</v>
      </c>
      <c r="D75" t="s">
        <v>76</v>
      </c>
      <c r="E75" t="s">
        <v>19</v>
      </c>
      <c r="F75" t="s">
        <v>20</v>
      </c>
      <c r="G75" t="s">
        <v>21</v>
      </c>
      <c r="H75" t="s">
        <v>22</v>
      </c>
      <c r="I75" t="s">
        <v>23</v>
      </c>
      <c r="J75" t="s">
        <v>24</v>
      </c>
      <c r="K75" t="s">
        <v>75</v>
      </c>
      <c r="L75">
        <v>27</v>
      </c>
      <c r="M75">
        <v>58</v>
      </c>
      <c r="N75">
        <v>1</v>
      </c>
      <c r="O75">
        <v>3</v>
      </c>
      <c r="P75">
        <v>253</v>
      </c>
      <c r="Q75">
        <v>0.50019999999999998</v>
      </c>
      <c r="R75">
        <v>467.24177049485172</v>
      </c>
      <c r="S75">
        <v>0</v>
      </c>
      <c r="T75">
        <v>0.39444444444444443</v>
      </c>
      <c r="U75">
        <v>41.5</v>
      </c>
      <c r="V75">
        <v>0.72986111111111107</v>
      </c>
      <c r="W75">
        <v>65</v>
      </c>
      <c r="X75">
        <v>15.7</v>
      </c>
      <c r="Y75">
        <v>42.5</v>
      </c>
      <c r="Z75">
        <v>0.39583333333333331</v>
      </c>
      <c r="AA75">
        <v>67</v>
      </c>
      <c r="AB75">
        <v>8.3000000000000007</v>
      </c>
      <c r="AD75">
        <v>23.5</v>
      </c>
      <c r="AE75">
        <v>24.5</v>
      </c>
      <c r="AV75" t="s">
        <v>610</v>
      </c>
    </row>
    <row r="76" spans="1:48" x14ac:dyDescent="0.35">
      <c r="A76">
        <v>74</v>
      </c>
      <c r="B76">
        <v>46041</v>
      </c>
      <c r="C76" t="s">
        <v>16</v>
      </c>
      <c r="D76" t="s">
        <v>78</v>
      </c>
      <c r="E76" t="s">
        <v>79</v>
      </c>
      <c r="F76" t="s">
        <v>80</v>
      </c>
      <c r="G76" t="s">
        <v>81</v>
      </c>
      <c r="H76" t="s">
        <v>22</v>
      </c>
      <c r="I76" t="s">
        <v>23</v>
      </c>
      <c r="J76" t="s">
        <v>24</v>
      </c>
      <c r="K76" t="s">
        <v>77</v>
      </c>
      <c r="L76">
        <v>27</v>
      </c>
      <c r="M76">
        <v>58</v>
      </c>
      <c r="N76">
        <v>1</v>
      </c>
      <c r="O76">
        <v>1</v>
      </c>
      <c r="P76">
        <v>254</v>
      </c>
      <c r="Q76">
        <v>0.50029999999999997</v>
      </c>
      <c r="R76">
        <v>473.41696714935352</v>
      </c>
      <c r="S76">
        <v>185.21696714935354</v>
      </c>
      <c r="T76">
        <v>0.39513888888888887</v>
      </c>
      <c r="U76">
        <v>40.5</v>
      </c>
      <c r="V76">
        <v>0.73055555555555551</v>
      </c>
      <c r="W76">
        <v>65.5</v>
      </c>
      <c r="X76">
        <v>12.9</v>
      </c>
      <c r="Y76">
        <v>40</v>
      </c>
      <c r="Z76">
        <v>0.39652777777777776</v>
      </c>
      <c r="AA76">
        <v>62.5</v>
      </c>
      <c r="AB76">
        <v>16.7</v>
      </c>
      <c r="AD76">
        <v>25</v>
      </c>
      <c r="AE76">
        <v>22.5</v>
      </c>
      <c r="AF76">
        <v>22.344979731721114</v>
      </c>
      <c r="AG76">
        <v>18.81247184961266</v>
      </c>
      <c r="AH76">
        <v>41.157451581333774</v>
      </c>
      <c r="AI76">
        <v>2.8825023853920237</v>
      </c>
      <c r="AJ76">
        <v>3.1416827988853138</v>
      </c>
      <c r="AK76">
        <v>6.0241851842773375</v>
      </c>
      <c r="AL76">
        <v>86.937001496081635</v>
      </c>
      <c r="AM76">
        <v>39.123432407719619</v>
      </c>
      <c r="AN76">
        <v>4.500204945472265</v>
      </c>
      <c r="AO76">
        <v>12.9</v>
      </c>
      <c r="AP76">
        <v>14.636924670548598</v>
      </c>
      <c r="AQ76">
        <v>12.724903419815176</v>
      </c>
      <c r="AR76">
        <v>32.525017966737416</v>
      </c>
      <c r="AS76">
        <v>-0.19177114920053953</v>
      </c>
      <c r="AT76">
        <v>7.0625415520358272</v>
      </c>
      <c r="AU76">
        <v>18.051947688113081</v>
      </c>
    </row>
    <row r="77" spans="1:48" x14ac:dyDescent="0.35">
      <c r="A77">
        <v>75</v>
      </c>
      <c r="B77">
        <v>46041</v>
      </c>
      <c r="C77" t="s">
        <v>16</v>
      </c>
      <c r="D77" t="s">
        <v>78</v>
      </c>
      <c r="E77" t="s">
        <v>79</v>
      </c>
      <c r="F77" t="s">
        <v>80</v>
      </c>
      <c r="G77" t="s">
        <v>81</v>
      </c>
      <c r="H77" t="s">
        <v>22</v>
      </c>
      <c r="I77" t="s">
        <v>23</v>
      </c>
      <c r="J77" t="s">
        <v>24</v>
      </c>
      <c r="K77" t="s">
        <v>77</v>
      </c>
      <c r="L77">
        <v>27</v>
      </c>
      <c r="M77">
        <v>58</v>
      </c>
      <c r="N77">
        <v>1</v>
      </c>
      <c r="O77">
        <v>2</v>
      </c>
      <c r="P77">
        <v>255</v>
      </c>
      <c r="Q77">
        <v>0.50060000000000004</v>
      </c>
      <c r="R77">
        <v>473.7008470017318</v>
      </c>
      <c r="S77">
        <v>217.90084700173188</v>
      </c>
      <c r="T77">
        <v>0.39513888888888887</v>
      </c>
      <c r="U77">
        <v>41</v>
      </c>
      <c r="V77">
        <v>0.73055555555555551</v>
      </c>
      <c r="W77">
        <v>65</v>
      </c>
      <c r="X77">
        <v>11.8</v>
      </c>
      <c r="Y77">
        <v>40</v>
      </c>
      <c r="Z77">
        <v>0.40069444444444446</v>
      </c>
      <c r="AA77">
        <v>57.5</v>
      </c>
      <c r="AB77">
        <v>5.4</v>
      </c>
      <c r="AD77">
        <v>24</v>
      </c>
      <c r="AE77">
        <v>17.5</v>
      </c>
      <c r="AF77">
        <v>21.344979731721114</v>
      </c>
      <c r="AG77">
        <v>13.81247184961266</v>
      </c>
      <c r="AH77">
        <v>35.157451581333774</v>
      </c>
      <c r="AI77">
        <v>2.5187076083430915</v>
      </c>
      <c r="AJ77">
        <v>0.7458734798790837</v>
      </c>
      <c r="AK77">
        <v>3.2645810882221751</v>
      </c>
      <c r="AL77">
        <v>74.21868000418678</v>
      </c>
      <c r="AM77">
        <v>45.999674347412608</v>
      </c>
      <c r="AN77">
        <v>6.197856704648709</v>
      </c>
      <c r="AO77">
        <v>11.8</v>
      </c>
      <c r="AP77">
        <v>9.2856021736098935</v>
      </c>
      <c r="AQ77">
        <v>6.8916513636933399</v>
      </c>
      <c r="AR77">
        <v>14.98195685396408</v>
      </c>
      <c r="AS77">
        <v>-0.19702043920757356</v>
      </c>
      <c r="AT77">
        <v>3.8249857395723588</v>
      </c>
      <c r="AU77">
        <v>8.3152452573558424</v>
      </c>
    </row>
    <row r="78" spans="1:48" x14ac:dyDescent="0.35">
      <c r="A78">
        <v>76</v>
      </c>
      <c r="B78">
        <v>46041</v>
      </c>
      <c r="C78" t="s">
        <v>16</v>
      </c>
      <c r="D78" t="s">
        <v>78</v>
      </c>
      <c r="E78" t="s">
        <v>79</v>
      </c>
      <c r="F78" t="s">
        <v>80</v>
      </c>
      <c r="G78" t="s">
        <v>81</v>
      </c>
      <c r="H78" t="s">
        <v>22</v>
      </c>
      <c r="I78" t="s">
        <v>23</v>
      </c>
      <c r="J78" t="s">
        <v>24</v>
      </c>
      <c r="K78" t="s">
        <v>77</v>
      </c>
      <c r="L78">
        <v>27</v>
      </c>
      <c r="M78">
        <v>58</v>
      </c>
      <c r="N78">
        <v>1</v>
      </c>
      <c r="O78">
        <v>3</v>
      </c>
      <c r="P78">
        <v>256</v>
      </c>
      <c r="Q78">
        <v>0.50029999999999997</v>
      </c>
      <c r="R78">
        <v>473.41696714935352</v>
      </c>
      <c r="S78">
        <v>248.11696714935346</v>
      </c>
      <c r="T78">
        <v>0.39513888888888887</v>
      </c>
      <c r="U78">
        <v>42</v>
      </c>
      <c r="V78">
        <v>0.73124999999999996</v>
      </c>
      <c r="W78">
        <v>66</v>
      </c>
      <c r="X78">
        <v>12.6</v>
      </c>
      <c r="Y78">
        <v>41</v>
      </c>
      <c r="Z78">
        <v>0.40138888888888891</v>
      </c>
      <c r="AA78">
        <v>58.5</v>
      </c>
      <c r="AB78">
        <v>6.1</v>
      </c>
      <c r="AD78">
        <v>24</v>
      </c>
      <c r="AE78">
        <v>17.5</v>
      </c>
      <c r="AF78">
        <v>21.344979731721114</v>
      </c>
      <c r="AG78">
        <v>13.81247184961266</v>
      </c>
      <c r="AH78">
        <v>35.157451581333774</v>
      </c>
      <c r="AI78">
        <v>2.6894674461968604</v>
      </c>
      <c r="AJ78">
        <v>0.84256078282637226</v>
      </c>
      <c r="AK78">
        <v>3.5320282290232328</v>
      </c>
      <c r="AL78">
        <v>74.263184509486123</v>
      </c>
      <c r="AM78">
        <v>52.409817215333888</v>
      </c>
      <c r="AN78">
        <v>7.057308080915818</v>
      </c>
      <c r="AO78">
        <v>12.6</v>
      </c>
      <c r="AP78">
        <v>10.046314707572549</v>
      </c>
      <c r="AQ78">
        <v>7.4607132276882444</v>
      </c>
      <c r="AR78">
        <v>14.235335332376268</v>
      </c>
      <c r="AS78">
        <v>-1.2927076703147125</v>
      </c>
      <c r="AT78">
        <v>4.1408249194505</v>
      </c>
      <c r="AU78">
        <v>7.9008573955472432</v>
      </c>
    </row>
    <row r="79" spans="1:48" x14ac:dyDescent="0.35">
      <c r="A79">
        <v>77</v>
      </c>
      <c r="B79">
        <v>46041</v>
      </c>
      <c r="C79" t="s">
        <v>16</v>
      </c>
      <c r="D79" t="s">
        <v>83</v>
      </c>
      <c r="E79" t="s">
        <v>84</v>
      </c>
      <c r="F79" t="s">
        <v>67</v>
      </c>
      <c r="G79" t="s">
        <v>85</v>
      </c>
      <c r="H79" t="s">
        <v>22</v>
      </c>
      <c r="I79" t="s">
        <v>23</v>
      </c>
      <c r="J79" t="s">
        <v>24</v>
      </c>
      <c r="K79" t="s">
        <v>82</v>
      </c>
      <c r="L79">
        <v>27</v>
      </c>
      <c r="M79">
        <v>58</v>
      </c>
      <c r="N79">
        <v>1</v>
      </c>
      <c r="O79">
        <v>1</v>
      </c>
      <c r="P79">
        <v>257</v>
      </c>
      <c r="Q79">
        <v>0.50049999999999994</v>
      </c>
      <c r="R79">
        <v>467.55524506815914</v>
      </c>
      <c r="S79">
        <v>178.85524506815921</v>
      </c>
      <c r="T79">
        <v>0.39513888888888887</v>
      </c>
      <c r="U79">
        <v>41.5</v>
      </c>
      <c r="V79">
        <v>0.73124999999999996</v>
      </c>
      <c r="W79">
        <v>79</v>
      </c>
      <c r="X79">
        <v>12.9</v>
      </c>
      <c r="Y79">
        <v>40</v>
      </c>
      <c r="Z79">
        <v>0.40486111111111112</v>
      </c>
      <c r="AA79">
        <v>70</v>
      </c>
      <c r="AB79">
        <v>15.7</v>
      </c>
      <c r="AD79">
        <v>37.5</v>
      </c>
      <c r="AE79">
        <v>30</v>
      </c>
      <c r="AF79">
        <v>34.844979731721118</v>
      </c>
      <c r="AG79">
        <v>26.31247184961266</v>
      </c>
      <c r="AH79">
        <v>61.157451581333774</v>
      </c>
      <c r="AI79">
        <v>4.4950023853920245</v>
      </c>
      <c r="AJ79">
        <v>4.1310580803891872</v>
      </c>
      <c r="AK79">
        <v>8.6260604657812117</v>
      </c>
      <c r="AL79">
        <v>130.80262113714153</v>
      </c>
      <c r="AM79">
        <v>38.253285992350719</v>
      </c>
      <c r="AN79">
        <v>2.9245045443121223</v>
      </c>
      <c r="AO79">
        <v>12.900000000000002</v>
      </c>
      <c r="AP79">
        <v>14.104676115075439</v>
      </c>
      <c r="AQ79">
        <v>18.449286061423017</v>
      </c>
      <c r="AR79">
        <v>48.229284315894354</v>
      </c>
      <c r="AS79">
        <v>-0.37168315786121697</v>
      </c>
      <c r="AT79">
        <v>10.239672955890146</v>
      </c>
      <c r="AU79">
        <v>26.768087212005035</v>
      </c>
    </row>
    <row r="80" spans="1:48" x14ac:dyDescent="0.35">
      <c r="A80">
        <v>78</v>
      </c>
      <c r="B80">
        <v>46041</v>
      </c>
      <c r="C80" t="s">
        <v>16</v>
      </c>
      <c r="D80" t="s">
        <v>83</v>
      </c>
      <c r="E80" t="s">
        <v>84</v>
      </c>
      <c r="F80" t="s">
        <v>67</v>
      </c>
      <c r="G80" t="s">
        <v>85</v>
      </c>
      <c r="H80" t="s">
        <v>22</v>
      </c>
      <c r="I80" t="s">
        <v>23</v>
      </c>
      <c r="J80" t="s">
        <v>24</v>
      </c>
      <c r="K80" t="s">
        <v>82</v>
      </c>
      <c r="L80">
        <v>27</v>
      </c>
      <c r="M80">
        <v>58</v>
      </c>
      <c r="N80">
        <v>1</v>
      </c>
      <c r="O80">
        <v>2</v>
      </c>
      <c r="P80">
        <v>258</v>
      </c>
      <c r="Q80">
        <v>0.5</v>
      </c>
      <c r="R80">
        <v>467.08815691124801</v>
      </c>
      <c r="S80">
        <v>214.08815691124801</v>
      </c>
      <c r="T80">
        <v>0.39652777777777776</v>
      </c>
      <c r="U80">
        <v>41</v>
      </c>
      <c r="V80">
        <v>0.7319444444444444</v>
      </c>
      <c r="W80">
        <v>75.5</v>
      </c>
      <c r="X80">
        <v>14.4</v>
      </c>
      <c r="Y80">
        <v>40.5</v>
      </c>
      <c r="Z80">
        <v>0.40555555555555556</v>
      </c>
      <c r="AA80">
        <v>72.5</v>
      </c>
      <c r="AB80">
        <v>15.7</v>
      </c>
      <c r="AD80">
        <v>34.5</v>
      </c>
      <c r="AE80">
        <v>32</v>
      </c>
      <c r="AF80">
        <v>31.844979731721114</v>
      </c>
      <c r="AG80">
        <v>28.31247184961266</v>
      </c>
      <c r="AH80">
        <v>60.157451581333774</v>
      </c>
      <c r="AI80">
        <v>4.5856770813678409</v>
      </c>
      <c r="AJ80">
        <v>4.4450580803891873</v>
      </c>
      <c r="AK80">
        <v>9.0307351617570291</v>
      </c>
      <c r="AL80">
        <v>128.79250028333379</v>
      </c>
      <c r="AM80">
        <v>45.834636083896072</v>
      </c>
      <c r="AN80">
        <v>3.558796978322754</v>
      </c>
      <c r="AO80">
        <v>14.400000000000002</v>
      </c>
      <c r="AP80">
        <v>15.011831326576958</v>
      </c>
      <c r="AQ80">
        <v>19.334112903815221</v>
      </c>
      <c r="AR80">
        <v>42.182320087424522</v>
      </c>
      <c r="AS80">
        <v>-1.1176051930010635</v>
      </c>
      <c r="AT80">
        <v>10.730767161840697</v>
      </c>
      <c r="AU80">
        <v>23.411917446445997</v>
      </c>
    </row>
    <row r="81" spans="1:47" x14ac:dyDescent="0.35">
      <c r="A81">
        <v>79</v>
      </c>
      <c r="B81">
        <v>46041</v>
      </c>
      <c r="C81" t="s">
        <v>16</v>
      </c>
      <c r="D81" t="s">
        <v>83</v>
      </c>
      <c r="E81" t="s">
        <v>84</v>
      </c>
      <c r="F81" t="s">
        <v>67</v>
      </c>
      <c r="G81" t="s">
        <v>85</v>
      </c>
      <c r="H81" t="s">
        <v>22</v>
      </c>
      <c r="I81" t="s">
        <v>23</v>
      </c>
      <c r="J81" t="s">
        <v>24</v>
      </c>
      <c r="K81" t="s">
        <v>82</v>
      </c>
      <c r="L81">
        <v>27</v>
      </c>
      <c r="M81">
        <v>58</v>
      </c>
      <c r="N81">
        <v>1</v>
      </c>
      <c r="O81">
        <v>3</v>
      </c>
      <c r="P81">
        <v>259</v>
      </c>
      <c r="Q81">
        <v>0.50029999999999997</v>
      </c>
      <c r="R81">
        <v>467.36840980539466</v>
      </c>
      <c r="S81">
        <v>248.86840980539463</v>
      </c>
      <c r="T81">
        <v>0.38333333333333336</v>
      </c>
      <c r="U81">
        <v>41.5</v>
      </c>
      <c r="V81">
        <v>0.73263888888888884</v>
      </c>
      <c r="W81">
        <v>79.5</v>
      </c>
      <c r="X81">
        <v>13.2</v>
      </c>
      <c r="Y81">
        <v>40.5</v>
      </c>
      <c r="Z81">
        <v>0.40625</v>
      </c>
      <c r="AA81">
        <v>72.5</v>
      </c>
      <c r="AB81">
        <v>15.6</v>
      </c>
      <c r="AD81">
        <v>38</v>
      </c>
      <c r="AE81">
        <v>32</v>
      </c>
      <c r="AF81">
        <v>35.344979731721118</v>
      </c>
      <c r="AG81">
        <v>28.31247184961266</v>
      </c>
      <c r="AH81">
        <v>63.657451581333774</v>
      </c>
      <c r="AI81">
        <v>4.6655373245871878</v>
      </c>
      <c r="AJ81">
        <v>4.4167456085395749</v>
      </c>
      <c r="AK81">
        <v>9.0822829331267627</v>
      </c>
      <c r="AL81">
        <v>136.20401003961695</v>
      </c>
      <c r="AM81">
        <v>53.248872748806406</v>
      </c>
      <c r="AN81">
        <v>3.9094937611101312</v>
      </c>
      <c r="AO81">
        <v>13.200000000000001</v>
      </c>
      <c r="AP81">
        <v>14.267430925227226</v>
      </c>
      <c r="AQ81">
        <v>19.4328130497919</v>
      </c>
      <c r="AR81">
        <v>36.494318182965664</v>
      </c>
      <c r="AS81">
        <v>1.3527826077581286</v>
      </c>
      <c r="AT81">
        <v>10.785547450472738</v>
      </c>
      <c r="AU81">
        <v>20.25497798113388</v>
      </c>
    </row>
    <row r="82" spans="1:47" x14ac:dyDescent="0.35">
      <c r="A82">
        <v>80</v>
      </c>
      <c r="B82">
        <v>46041</v>
      </c>
      <c r="C82" t="s">
        <v>16</v>
      </c>
      <c r="D82" t="s">
        <v>87</v>
      </c>
      <c r="E82" t="s">
        <v>88</v>
      </c>
      <c r="F82" t="s">
        <v>89</v>
      </c>
      <c r="G82" t="s">
        <v>90</v>
      </c>
      <c r="H82" t="s">
        <v>22</v>
      </c>
      <c r="I82" t="s">
        <v>23</v>
      </c>
      <c r="J82" t="s">
        <v>24</v>
      </c>
      <c r="K82" t="s">
        <v>86</v>
      </c>
      <c r="L82">
        <v>27</v>
      </c>
      <c r="M82">
        <v>58</v>
      </c>
      <c r="N82">
        <v>1</v>
      </c>
      <c r="O82">
        <v>1</v>
      </c>
      <c r="P82">
        <v>260</v>
      </c>
      <c r="Q82">
        <v>0.5</v>
      </c>
      <c r="R82">
        <v>468.97808438312296</v>
      </c>
      <c r="S82">
        <v>100.57808438312293</v>
      </c>
      <c r="T82">
        <v>0.39791666666666664</v>
      </c>
      <c r="U82">
        <v>40</v>
      </c>
      <c r="V82">
        <v>0.73263888888888884</v>
      </c>
      <c r="W82">
        <v>67.5</v>
      </c>
      <c r="X82">
        <v>14.4</v>
      </c>
      <c r="Y82">
        <v>40</v>
      </c>
      <c r="Z82">
        <v>0.40694444444444444</v>
      </c>
      <c r="AA82">
        <v>59</v>
      </c>
      <c r="AB82">
        <v>18.100000000000001</v>
      </c>
      <c r="AD82">
        <v>27.5</v>
      </c>
      <c r="AE82">
        <v>19</v>
      </c>
      <c r="AF82">
        <v>24.844979731721114</v>
      </c>
      <c r="AG82">
        <v>15.31247184961266</v>
      </c>
      <c r="AH82">
        <v>40.157451581333774</v>
      </c>
      <c r="AI82">
        <v>3.5776770813678409</v>
      </c>
      <c r="AJ82">
        <v>2.7715574047798919</v>
      </c>
      <c r="AK82">
        <v>6.3492344861477328</v>
      </c>
      <c r="AL82">
        <v>85.62756537793328</v>
      </c>
      <c r="AM82">
        <v>21.446222698320703</v>
      </c>
      <c r="AN82">
        <v>2.504593305165665</v>
      </c>
      <c r="AO82">
        <v>14.400000000000002</v>
      </c>
      <c r="AP82">
        <v>15.810850131483496</v>
      </c>
      <c r="AQ82">
        <v>13.538446033143083</v>
      </c>
      <c r="AR82">
        <v>63.127415133123563</v>
      </c>
      <c r="AS82">
        <v>-0.54330727290713821</v>
      </c>
      <c r="AT82">
        <v>7.514071777564534</v>
      </c>
      <c r="AU82">
        <v>35.036807568695565</v>
      </c>
    </row>
    <row r="83" spans="1:47" x14ac:dyDescent="0.35">
      <c r="A83">
        <v>81</v>
      </c>
      <c r="B83">
        <v>46041</v>
      </c>
      <c r="C83" t="s">
        <v>16</v>
      </c>
      <c r="D83" t="s">
        <v>87</v>
      </c>
      <c r="E83" t="s">
        <v>88</v>
      </c>
      <c r="F83" t="s">
        <v>89</v>
      </c>
      <c r="G83" t="s">
        <v>90</v>
      </c>
      <c r="H83" t="s">
        <v>22</v>
      </c>
      <c r="I83" t="s">
        <v>23</v>
      </c>
      <c r="J83" t="s">
        <v>24</v>
      </c>
      <c r="K83" t="s">
        <v>86</v>
      </c>
      <c r="L83">
        <v>27</v>
      </c>
      <c r="M83">
        <v>58</v>
      </c>
      <c r="N83">
        <v>1</v>
      </c>
      <c r="O83">
        <v>2</v>
      </c>
      <c r="P83">
        <v>261</v>
      </c>
      <c r="Q83">
        <v>0.50060000000000004</v>
      </c>
      <c r="R83">
        <v>469.54085808438271</v>
      </c>
      <c r="S83">
        <v>99.040858084382648</v>
      </c>
      <c r="T83">
        <v>0.39791666666666664</v>
      </c>
      <c r="U83">
        <v>40.5</v>
      </c>
      <c r="V83">
        <v>0.73402777777777772</v>
      </c>
      <c r="W83">
        <v>68.5</v>
      </c>
      <c r="X83">
        <v>14.8</v>
      </c>
      <c r="Y83">
        <v>41</v>
      </c>
      <c r="Z83">
        <v>0.40694444444444444</v>
      </c>
      <c r="AA83">
        <v>61.5</v>
      </c>
      <c r="AB83">
        <v>18.3</v>
      </c>
      <c r="AD83">
        <v>28</v>
      </c>
      <c r="AE83">
        <v>20.5</v>
      </c>
      <c r="AF83">
        <v>25.344979731721114</v>
      </c>
      <c r="AG83">
        <v>16.81247184961266</v>
      </c>
      <c r="AH83">
        <v>42.157451581333774</v>
      </c>
      <c r="AI83">
        <v>3.7510570002947254</v>
      </c>
      <c r="AJ83">
        <v>3.0766823484791166</v>
      </c>
      <c r="AK83">
        <v>6.827739348773842</v>
      </c>
      <c r="AL83">
        <v>89.784415680727662</v>
      </c>
      <c r="AM83">
        <v>21.093128825560843</v>
      </c>
      <c r="AN83">
        <v>2.3493084702547669</v>
      </c>
      <c r="AO83">
        <v>14.800000000000002</v>
      </c>
      <c r="AP83">
        <v>16.19580665496628</v>
      </c>
      <c r="AQ83">
        <v>14.541310369941877</v>
      </c>
      <c r="AR83">
        <v>68.938612617396956</v>
      </c>
      <c r="AS83">
        <v>-0.56018844052495653</v>
      </c>
      <c r="AT83">
        <v>8.0706788350819281</v>
      </c>
      <c r="AU83">
        <v>38.262122712216161</v>
      </c>
    </row>
    <row r="84" spans="1:47" x14ac:dyDescent="0.35">
      <c r="A84">
        <v>82</v>
      </c>
      <c r="B84">
        <v>46041</v>
      </c>
      <c r="C84" t="s">
        <v>16</v>
      </c>
      <c r="D84" t="s">
        <v>87</v>
      </c>
      <c r="E84" t="s">
        <v>88</v>
      </c>
      <c r="F84" t="s">
        <v>89</v>
      </c>
      <c r="G84" t="s">
        <v>90</v>
      </c>
      <c r="H84" t="s">
        <v>22</v>
      </c>
      <c r="I84" t="s">
        <v>23</v>
      </c>
      <c r="J84" t="s">
        <v>24</v>
      </c>
      <c r="K84" t="s">
        <v>86</v>
      </c>
      <c r="L84">
        <v>27</v>
      </c>
      <c r="M84">
        <v>58</v>
      </c>
      <c r="N84">
        <v>1</v>
      </c>
      <c r="O84">
        <v>3</v>
      </c>
      <c r="P84">
        <v>262</v>
      </c>
      <c r="Q84">
        <v>0.50029999999999997</v>
      </c>
      <c r="R84">
        <v>469.25947123375278</v>
      </c>
      <c r="S84">
        <v>66.559471233752845</v>
      </c>
      <c r="T84">
        <v>0.39791666666666664</v>
      </c>
      <c r="U84">
        <v>41</v>
      </c>
      <c r="V84">
        <v>0.73402777777777772</v>
      </c>
      <c r="W84">
        <v>71.5</v>
      </c>
      <c r="X84">
        <v>13.7</v>
      </c>
      <c r="Y84">
        <v>41</v>
      </c>
      <c r="Z84">
        <v>0.40763888888888888</v>
      </c>
      <c r="AA84">
        <v>61</v>
      </c>
      <c r="AB84">
        <v>18.3</v>
      </c>
      <c r="AD84">
        <v>30.5</v>
      </c>
      <c r="AE84">
        <v>20</v>
      </c>
      <c r="AF84">
        <v>27.844979731721114</v>
      </c>
      <c r="AG84">
        <v>16.31247184961266</v>
      </c>
      <c r="AH84">
        <v>44.157451581333774</v>
      </c>
      <c r="AI84">
        <v>3.8147622232457921</v>
      </c>
      <c r="AJ84">
        <v>2.9851823484791167</v>
      </c>
      <c r="AK84">
        <v>6.7999445717249092</v>
      </c>
      <c r="AL84">
        <v>94.100288408110941</v>
      </c>
      <c r="AM84">
        <v>14.183937738914063</v>
      </c>
      <c r="AN84">
        <v>1.5073213885805141</v>
      </c>
      <c r="AO84">
        <v>13.699999999999998</v>
      </c>
      <c r="AP84">
        <v>15.399313882958273</v>
      </c>
      <c r="AQ84">
        <v>14.490798776734001</v>
      </c>
      <c r="AR84">
        <v>102.16344038918089</v>
      </c>
      <c r="AS84">
        <v>-0.30892484276472937</v>
      </c>
      <c r="AT84">
        <v>8.04264402694856</v>
      </c>
      <c r="AU84">
        <v>56.70247694956614</v>
      </c>
    </row>
    <row r="85" spans="1:47" x14ac:dyDescent="0.35">
      <c r="A85">
        <v>83</v>
      </c>
      <c r="B85">
        <v>46041</v>
      </c>
      <c r="C85" t="s">
        <v>16</v>
      </c>
      <c r="D85" t="s">
        <v>92</v>
      </c>
      <c r="E85" t="s">
        <v>79</v>
      </c>
      <c r="F85" t="s">
        <v>80</v>
      </c>
      <c r="G85" t="s">
        <v>81</v>
      </c>
      <c r="H85" t="s">
        <v>22</v>
      </c>
      <c r="I85" t="s">
        <v>23</v>
      </c>
      <c r="J85" t="s">
        <v>24</v>
      </c>
      <c r="K85" t="s">
        <v>91</v>
      </c>
      <c r="L85">
        <v>27</v>
      </c>
      <c r="M85">
        <v>58</v>
      </c>
      <c r="N85">
        <v>1</v>
      </c>
      <c r="O85">
        <v>1</v>
      </c>
      <c r="P85">
        <v>263</v>
      </c>
      <c r="Q85">
        <v>0.50019999999999998</v>
      </c>
      <c r="R85">
        <v>465.05702578452906</v>
      </c>
      <c r="S85">
        <v>227.45702578452915</v>
      </c>
      <c r="T85">
        <v>0.39861111111111114</v>
      </c>
      <c r="U85">
        <v>41</v>
      </c>
      <c r="V85">
        <v>0.73402777777777772</v>
      </c>
      <c r="W85">
        <v>62</v>
      </c>
      <c r="X85">
        <v>10.6</v>
      </c>
      <c r="Y85">
        <v>40</v>
      </c>
      <c r="Z85">
        <v>0.40833333333333333</v>
      </c>
      <c r="AA85">
        <v>57</v>
      </c>
      <c r="AB85">
        <v>4.4000000000000004</v>
      </c>
      <c r="AD85">
        <v>21</v>
      </c>
      <c r="AE85">
        <v>17</v>
      </c>
      <c r="AF85">
        <v>18.344979731721114</v>
      </c>
      <c r="AG85">
        <v>13.31247184961266</v>
      </c>
      <c r="AH85">
        <v>31.657451581333774</v>
      </c>
      <c r="AI85">
        <v>1.9445678515624381</v>
      </c>
      <c r="AJ85">
        <v>0.58574876138295706</v>
      </c>
      <c r="AK85">
        <v>2.5303166129453949</v>
      </c>
      <c r="AL85">
        <v>68.072192927155896</v>
      </c>
      <c r="AM85">
        <v>48.909491346963307</v>
      </c>
      <c r="AN85">
        <v>7.184944283975307</v>
      </c>
      <c r="AO85">
        <v>10.6</v>
      </c>
      <c r="AP85">
        <v>7.9927994407400407</v>
      </c>
      <c r="AQ85">
        <v>5.4408738555811977</v>
      </c>
      <c r="AR85">
        <v>11.124372193903444</v>
      </c>
      <c r="AS85">
        <v>-0.53036689006796633</v>
      </c>
      <c r="AT85">
        <v>3.0197791226132318</v>
      </c>
      <c r="AU85">
        <v>6.1742190308031573</v>
      </c>
    </row>
    <row r="86" spans="1:47" x14ac:dyDescent="0.35">
      <c r="A86">
        <v>84</v>
      </c>
      <c r="B86">
        <v>46041</v>
      </c>
      <c r="C86" t="s">
        <v>16</v>
      </c>
      <c r="D86" t="s">
        <v>92</v>
      </c>
      <c r="E86" t="s">
        <v>79</v>
      </c>
      <c r="F86" t="s">
        <v>80</v>
      </c>
      <c r="G86" t="s">
        <v>81</v>
      </c>
      <c r="H86" t="s">
        <v>22</v>
      </c>
      <c r="I86" t="s">
        <v>23</v>
      </c>
      <c r="J86" t="s">
        <v>24</v>
      </c>
      <c r="K86" t="s">
        <v>91</v>
      </c>
      <c r="L86">
        <v>27</v>
      </c>
      <c r="M86">
        <v>58</v>
      </c>
      <c r="N86">
        <v>1</v>
      </c>
      <c r="O86">
        <v>2</v>
      </c>
      <c r="P86">
        <v>264</v>
      </c>
      <c r="Q86">
        <v>0.50009999999999999</v>
      </c>
      <c r="R86">
        <v>464.96405156905831</v>
      </c>
      <c r="S86">
        <v>247.86405156905835</v>
      </c>
      <c r="T86">
        <v>0.39861111111111114</v>
      </c>
      <c r="U86">
        <v>41</v>
      </c>
      <c r="V86">
        <v>0.73472222222222228</v>
      </c>
      <c r="W86">
        <v>57.5</v>
      </c>
      <c r="X86">
        <v>10.6</v>
      </c>
      <c r="Y86">
        <v>39.5</v>
      </c>
      <c r="Z86">
        <v>0.40902777777777777</v>
      </c>
      <c r="AA86">
        <v>54</v>
      </c>
      <c r="AB86">
        <v>2</v>
      </c>
      <c r="AD86">
        <v>16.5</v>
      </c>
      <c r="AE86">
        <v>14.5</v>
      </c>
      <c r="AF86">
        <v>13.844979731721114</v>
      </c>
      <c r="AG86">
        <v>10.81247184961266</v>
      </c>
      <c r="AH86">
        <v>24.657451581333774</v>
      </c>
      <c r="AI86">
        <v>1.467567851562438</v>
      </c>
      <c r="AJ86">
        <v>0.21624943699225319</v>
      </c>
      <c r="AK86">
        <v>1.6838172885546911</v>
      </c>
      <c r="AL86">
        <v>53.030877329387586</v>
      </c>
      <c r="AM86">
        <v>53.308218287547462</v>
      </c>
      <c r="AN86">
        <v>10.052298014312916</v>
      </c>
      <c r="AO86">
        <v>10.6</v>
      </c>
      <c r="AP86">
        <v>6.8288374530536533</v>
      </c>
      <c r="AQ86">
        <v>3.6213924127521584</v>
      </c>
      <c r="AR86">
        <v>6.7933097917813887</v>
      </c>
      <c r="AS86">
        <v>0.39623398195442794</v>
      </c>
      <c r="AT86">
        <v>2.0099354429254195</v>
      </c>
      <c r="AU86">
        <v>3.7704044657499476</v>
      </c>
    </row>
    <row r="87" spans="1:47" x14ac:dyDescent="0.35">
      <c r="A87">
        <v>85</v>
      </c>
      <c r="B87">
        <v>46041</v>
      </c>
      <c r="C87" t="s">
        <v>16</v>
      </c>
      <c r="D87" t="s">
        <v>92</v>
      </c>
      <c r="E87" t="s">
        <v>79</v>
      </c>
      <c r="F87" t="s">
        <v>80</v>
      </c>
      <c r="G87" t="s">
        <v>81</v>
      </c>
      <c r="H87" t="s">
        <v>22</v>
      </c>
      <c r="I87" t="s">
        <v>23</v>
      </c>
      <c r="J87" t="s">
        <v>24</v>
      </c>
      <c r="K87" t="s">
        <v>91</v>
      </c>
      <c r="L87">
        <v>27</v>
      </c>
      <c r="M87">
        <v>58</v>
      </c>
      <c r="N87">
        <v>1</v>
      </c>
      <c r="O87">
        <v>3</v>
      </c>
      <c r="P87">
        <v>265</v>
      </c>
      <c r="Q87">
        <v>0.50049999999999994</v>
      </c>
      <c r="R87">
        <v>465.33594843094119</v>
      </c>
      <c r="S87">
        <v>286.6359484309412</v>
      </c>
      <c r="T87">
        <v>0.39930555555555558</v>
      </c>
      <c r="U87">
        <v>41</v>
      </c>
      <c r="V87">
        <v>0.73472222222222228</v>
      </c>
      <c r="W87">
        <v>62.5</v>
      </c>
      <c r="X87">
        <v>10.199999999999999</v>
      </c>
      <c r="Y87">
        <v>40</v>
      </c>
      <c r="Z87">
        <v>0.4152777777777778</v>
      </c>
      <c r="AA87">
        <v>57</v>
      </c>
      <c r="AB87">
        <v>1.8</v>
      </c>
      <c r="AD87">
        <v>21.5</v>
      </c>
      <c r="AE87">
        <v>17</v>
      </c>
      <c r="AF87">
        <v>18.844979731721114</v>
      </c>
      <c r="AG87">
        <v>13.31247184961266</v>
      </c>
      <c r="AH87">
        <v>32.157451581333774</v>
      </c>
      <c r="AI87">
        <v>1.9221879326355535</v>
      </c>
      <c r="AJ87">
        <v>0.2396244932930279</v>
      </c>
      <c r="AK87">
        <v>2.1618124259285816</v>
      </c>
      <c r="AL87">
        <v>69.10588294277494</v>
      </c>
      <c r="AM87">
        <v>61.597637018468987</v>
      </c>
      <c r="AN87">
        <v>8.9135156654429331</v>
      </c>
      <c r="AO87">
        <v>10.199999999999999</v>
      </c>
      <c r="AP87">
        <v>6.7225862735448683</v>
      </c>
      <c r="AQ87">
        <v>4.6457026009229727</v>
      </c>
      <c r="AR87">
        <v>7.5420143138446019</v>
      </c>
      <c r="AS87">
        <v>0.10173907736144355</v>
      </c>
      <c r="AT87">
        <v>2.578445318989774</v>
      </c>
      <c r="AU87">
        <v>4.1859484288604643</v>
      </c>
    </row>
    <row r="88" spans="1:47" x14ac:dyDescent="0.35">
      <c r="A88">
        <v>86</v>
      </c>
      <c r="B88">
        <v>46041</v>
      </c>
      <c r="C88" t="s">
        <v>16</v>
      </c>
      <c r="D88" t="s">
        <v>94</v>
      </c>
      <c r="E88" t="s">
        <v>19</v>
      </c>
      <c r="F88" t="s">
        <v>29</v>
      </c>
      <c r="G88" t="s">
        <v>30</v>
      </c>
      <c r="H88" t="s">
        <v>22</v>
      </c>
      <c r="I88" t="s">
        <v>23</v>
      </c>
      <c r="J88" t="s">
        <v>24</v>
      </c>
      <c r="K88" t="s">
        <v>93</v>
      </c>
      <c r="L88">
        <v>27</v>
      </c>
      <c r="M88">
        <v>58</v>
      </c>
      <c r="N88">
        <v>1</v>
      </c>
      <c r="O88">
        <v>1</v>
      </c>
      <c r="P88">
        <v>266</v>
      </c>
      <c r="Q88">
        <v>0.50049999999999994</v>
      </c>
      <c r="R88">
        <v>473.46013161701819</v>
      </c>
      <c r="S88">
        <v>98.760131617018146</v>
      </c>
      <c r="T88">
        <v>0.39930555555555558</v>
      </c>
      <c r="U88">
        <v>40.5</v>
      </c>
      <c r="V88">
        <v>0.73541666666666672</v>
      </c>
      <c r="W88">
        <v>62</v>
      </c>
      <c r="X88">
        <v>13.7</v>
      </c>
      <c r="Y88">
        <v>40.5</v>
      </c>
      <c r="Z88">
        <v>0.40972222222222221</v>
      </c>
      <c r="AA88">
        <v>54.5</v>
      </c>
      <c r="AB88">
        <v>12.1</v>
      </c>
      <c r="AD88">
        <v>21.5</v>
      </c>
      <c r="AE88">
        <v>14</v>
      </c>
      <c r="AF88">
        <v>18.844979731721114</v>
      </c>
      <c r="AG88">
        <v>10.31247184961266</v>
      </c>
      <c r="AH88">
        <v>29.157451581333774</v>
      </c>
      <c r="AI88">
        <v>2.5817622232457924</v>
      </c>
      <c r="AJ88">
        <v>1.2478090938031319</v>
      </c>
      <c r="AK88">
        <v>3.8295713170489245</v>
      </c>
      <c r="AL88">
        <v>61.583752536357657</v>
      </c>
      <c r="AM88">
        <v>20.859228691488894</v>
      </c>
      <c r="AN88">
        <v>3.3871318054504842</v>
      </c>
      <c r="AO88">
        <v>13.699999999999998</v>
      </c>
      <c r="AP88">
        <v>13.134108467492291</v>
      </c>
      <c r="AQ88">
        <v>8.0884768564772518</v>
      </c>
      <c r="AR88">
        <v>38.776490617687884</v>
      </c>
      <c r="AS88">
        <v>-0.13650701377799862</v>
      </c>
      <c r="AT88">
        <v>4.4892445943908346</v>
      </c>
      <c r="AU88">
        <v>21.521623166356875</v>
      </c>
    </row>
    <row r="89" spans="1:47" x14ac:dyDescent="0.35">
      <c r="A89">
        <v>87</v>
      </c>
      <c r="B89">
        <v>46041</v>
      </c>
      <c r="C89" t="s">
        <v>16</v>
      </c>
      <c r="D89" t="s">
        <v>94</v>
      </c>
      <c r="E89" t="s">
        <v>19</v>
      </c>
      <c r="F89" t="s">
        <v>29</v>
      </c>
      <c r="G89" t="s">
        <v>30</v>
      </c>
      <c r="H89" t="s">
        <v>22</v>
      </c>
      <c r="I89" t="s">
        <v>23</v>
      </c>
      <c r="J89" t="s">
        <v>24</v>
      </c>
      <c r="K89" t="s">
        <v>93</v>
      </c>
      <c r="L89">
        <v>27</v>
      </c>
      <c r="M89">
        <v>58</v>
      </c>
      <c r="N89">
        <v>1</v>
      </c>
      <c r="O89">
        <v>2</v>
      </c>
      <c r="P89">
        <v>267</v>
      </c>
      <c r="Q89">
        <v>0.50009999999999999</v>
      </c>
      <c r="R89">
        <v>473.08174190144013</v>
      </c>
      <c r="S89">
        <v>69.581741901440068</v>
      </c>
      <c r="T89">
        <v>0.37916666666666665</v>
      </c>
      <c r="U89">
        <v>40.5</v>
      </c>
      <c r="V89">
        <v>0.73611111111111116</v>
      </c>
      <c r="W89">
        <v>61.5</v>
      </c>
      <c r="X89">
        <v>14.1</v>
      </c>
      <c r="Y89">
        <v>39.5</v>
      </c>
      <c r="Z89">
        <v>0.41180555555555554</v>
      </c>
      <c r="AA89">
        <v>53</v>
      </c>
      <c r="AB89">
        <v>15.5</v>
      </c>
      <c r="AD89">
        <v>21</v>
      </c>
      <c r="AE89">
        <v>13.5</v>
      </c>
      <c r="AF89">
        <v>18.344979731721114</v>
      </c>
      <c r="AG89">
        <v>9.8124718496126597</v>
      </c>
      <c r="AH89">
        <v>28.157451581333774</v>
      </c>
      <c r="AI89">
        <v>2.5866421421726771</v>
      </c>
      <c r="AJ89">
        <v>1.5209331366899623</v>
      </c>
      <c r="AK89">
        <v>4.1075752788626394</v>
      </c>
      <c r="AL89">
        <v>59.519210080189438</v>
      </c>
      <c r="AM89">
        <v>14.708185866943992</v>
      </c>
      <c r="AN89">
        <v>2.4711661742700968</v>
      </c>
      <c r="AO89">
        <v>14.1</v>
      </c>
      <c r="AP89">
        <v>14.587880110519823</v>
      </c>
      <c r="AQ89">
        <v>8.6825910092264653</v>
      </c>
      <c r="AR89">
        <v>59.032372093829814</v>
      </c>
      <c r="AS89">
        <v>-0.10807490508926303</v>
      </c>
      <c r="AT89">
        <v>4.8189882279582177</v>
      </c>
      <c r="AU89">
        <v>32.763987833392044</v>
      </c>
    </row>
    <row r="90" spans="1:47" x14ac:dyDescent="0.35">
      <c r="A90">
        <v>88</v>
      </c>
      <c r="B90">
        <v>46041</v>
      </c>
      <c r="C90" t="s">
        <v>16</v>
      </c>
      <c r="D90" t="s">
        <v>94</v>
      </c>
      <c r="E90" t="s">
        <v>19</v>
      </c>
      <c r="F90" t="s">
        <v>29</v>
      </c>
      <c r="G90" t="s">
        <v>30</v>
      </c>
      <c r="H90" t="s">
        <v>22</v>
      </c>
      <c r="I90" t="s">
        <v>23</v>
      </c>
      <c r="J90" t="s">
        <v>24</v>
      </c>
      <c r="K90" t="s">
        <v>93</v>
      </c>
      <c r="L90">
        <v>27</v>
      </c>
      <c r="M90">
        <v>58</v>
      </c>
      <c r="N90">
        <v>1</v>
      </c>
      <c r="O90">
        <v>3</v>
      </c>
      <c r="P90">
        <v>268</v>
      </c>
      <c r="Q90">
        <v>0.5</v>
      </c>
      <c r="R90">
        <v>472.98714447254571</v>
      </c>
      <c r="S90">
        <v>129.48714447254571</v>
      </c>
      <c r="T90">
        <v>0.40069444444444446</v>
      </c>
      <c r="U90">
        <v>41.5</v>
      </c>
      <c r="V90">
        <v>0.7368055555555556</v>
      </c>
      <c r="W90">
        <v>65</v>
      </c>
      <c r="X90">
        <v>13.1</v>
      </c>
      <c r="Y90">
        <v>40.5</v>
      </c>
      <c r="Z90">
        <v>0.41111111111111109</v>
      </c>
      <c r="AA90">
        <v>54.5</v>
      </c>
      <c r="AB90">
        <v>16.2</v>
      </c>
      <c r="AD90">
        <v>23.5</v>
      </c>
      <c r="AE90">
        <v>14</v>
      </c>
      <c r="AF90">
        <v>20.844979731721114</v>
      </c>
      <c r="AG90">
        <v>10.31247184961266</v>
      </c>
      <c r="AH90">
        <v>31.157451581333774</v>
      </c>
      <c r="AI90">
        <v>2.7306923448554663</v>
      </c>
      <c r="AJ90">
        <v>1.6706204396372508</v>
      </c>
      <c r="AK90">
        <v>4.4013127844927169</v>
      </c>
      <c r="AL90">
        <v>65.873781022271075</v>
      </c>
      <c r="AM90">
        <v>27.376461704248651</v>
      </c>
      <c r="AN90">
        <v>4.1558965159435761</v>
      </c>
      <c r="AO90">
        <v>13.100000000000001</v>
      </c>
      <c r="AP90">
        <v>14.126035863374382</v>
      </c>
      <c r="AQ90">
        <v>9.3053539317667191</v>
      </c>
      <c r="AR90">
        <v>33.990345546819107</v>
      </c>
      <c r="AS90">
        <v>-0.2513772905614719</v>
      </c>
      <c r="AT90">
        <v>5.1646324244130852</v>
      </c>
      <c r="AU90">
        <v>18.865229846746658</v>
      </c>
    </row>
    <row r="91" spans="1:47" x14ac:dyDescent="0.35">
      <c r="A91">
        <v>89</v>
      </c>
      <c r="B91">
        <v>46041</v>
      </c>
      <c r="C91" t="s">
        <v>16</v>
      </c>
      <c r="D91" t="s">
        <v>96</v>
      </c>
      <c r="E91" t="s">
        <v>19</v>
      </c>
      <c r="F91" t="s">
        <v>29</v>
      </c>
      <c r="G91" t="s">
        <v>30</v>
      </c>
      <c r="H91" t="s">
        <v>22</v>
      </c>
      <c r="I91" t="s">
        <v>23</v>
      </c>
      <c r="J91" t="s">
        <v>24</v>
      </c>
      <c r="K91" t="s">
        <v>95</v>
      </c>
      <c r="L91">
        <v>27</v>
      </c>
      <c r="M91">
        <v>58</v>
      </c>
      <c r="N91">
        <v>1</v>
      </c>
      <c r="O91">
        <v>1</v>
      </c>
      <c r="P91">
        <v>269</v>
      </c>
      <c r="Q91">
        <v>0.50039999999999996</v>
      </c>
      <c r="R91">
        <v>470.75870149572989</v>
      </c>
      <c r="S91">
        <v>81.958701495729883</v>
      </c>
      <c r="T91">
        <v>0.40069444444444446</v>
      </c>
      <c r="U91">
        <v>41</v>
      </c>
      <c r="V91">
        <v>0.7368055555555556</v>
      </c>
      <c r="W91">
        <v>65</v>
      </c>
      <c r="X91">
        <v>14.4</v>
      </c>
      <c r="Y91">
        <v>41</v>
      </c>
      <c r="Z91">
        <v>0.41111111111111109</v>
      </c>
      <c r="AA91">
        <v>56.5</v>
      </c>
      <c r="AB91">
        <v>16.7</v>
      </c>
      <c r="AD91">
        <v>24</v>
      </c>
      <c r="AE91">
        <v>15.5</v>
      </c>
      <c r="AF91">
        <v>21.344979731721114</v>
      </c>
      <c r="AG91">
        <v>11.81247184961266</v>
      </c>
      <c r="AH91">
        <v>33.157451581333774</v>
      </c>
      <c r="AI91">
        <v>3.0736770813678409</v>
      </c>
      <c r="AJ91">
        <v>1.9726827988853139</v>
      </c>
      <c r="AK91">
        <v>5.0463598802531546</v>
      </c>
      <c r="AL91">
        <v>70.434070524843051</v>
      </c>
      <c r="AM91">
        <v>17.40991748752058</v>
      </c>
      <c r="AN91">
        <v>2.4718033982403256</v>
      </c>
      <c r="AO91">
        <v>14.400000000000002</v>
      </c>
      <c r="AP91">
        <v>15.219383998419346</v>
      </c>
      <c r="AQ91">
        <v>10.719631658893359</v>
      </c>
      <c r="AR91">
        <v>61.571984281816306</v>
      </c>
      <c r="AS91">
        <v>-0.18911288102999615</v>
      </c>
      <c r="AT91">
        <v>5.9495810314411584</v>
      </c>
      <c r="AU91">
        <v>34.173516535651679</v>
      </c>
    </row>
    <row r="92" spans="1:47" x14ac:dyDescent="0.35">
      <c r="A92">
        <v>90</v>
      </c>
      <c r="B92">
        <v>46041</v>
      </c>
      <c r="C92" t="s">
        <v>16</v>
      </c>
      <c r="D92" t="s">
        <v>96</v>
      </c>
      <c r="E92" t="s">
        <v>19</v>
      </c>
      <c r="F92" t="s">
        <v>29</v>
      </c>
      <c r="G92" t="s">
        <v>30</v>
      </c>
      <c r="H92" t="s">
        <v>22</v>
      </c>
      <c r="I92" t="s">
        <v>23</v>
      </c>
      <c r="J92" t="s">
        <v>24</v>
      </c>
      <c r="K92" t="s">
        <v>95</v>
      </c>
      <c r="L92">
        <v>27</v>
      </c>
      <c r="M92">
        <v>58</v>
      </c>
      <c r="N92">
        <v>1</v>
      </c>
      <c r="O92">
        <v>2</v>
      </c>
      <c r="P92">
        <v>270</v>
      </c>
      <c r="Q92">
        <v>0.50049999999999994</v>
      </c>
      <c r="R92">
        <v>470.85277797484582</v>
      </c>
      <c r="S92">
        <v>66.55277797484581</v>
      </c>
      <c r="T92">
        <v>0.40069444444444446</v>
      </c>
      <c r="U92">
        <v>41</v>
      </c>
      <c r="V92">
        <v>0.7368055555555556</v>
      </c>
      <c r="W92">
        <v>65</v>
      </c>
      <c r="X92">
        <v>14.6</v>
      </c>
      <c r="Y92">
        <v>40</v>
      </c>
      <c r="Z92">
        <v>0.41388888888888886</v>
      </c>
      <c r="AA92">
        <v>55.5</v>
      </c>
      <c r="AB92">
        <v>13.4</v>
      </c>
      <c r="AD92">
        <v>24</v>
      </c>
      <c r="AE92">
        <v>15.5</v>
      </c>
      <c r="AF92">
        <v>21.344979731721114</v>
      </c>
      <c r="AG92">
        <v>11.81247184961266</v>
      </c>
      <c r="AH92">
        <v>33.157451581333774</v>
      </c>
      <c r="AI92">
        <v>3.1163670408312827</v>
      </c>
      <c r="AJ92">
        <v>1.5828712278480965</v>
      </c>
      <c r="AK92">
        <v>4.6992382686793794</v>
      </c>
      <c r="AL92">
        <v>70.419997783479431</v>
      </c>
      <c r="AM92">
        <v>14.134519554305621</v>
      </c>
      <c r="AN92">
        <v>2.0071740981539179</v>
      </c>
      <c r="AO92">
        <v>14.6</v>
      </c>
      <c r="AP92">
        <v>14.172495305172516</v>
      </c>
      <c r="AQ92">
        <v>9.9802708797662127</v>
      </c>
      <c r="AR92">
        <v>70.609197867825984</v>
      </c>
      <c r="AS92">
        <v>-0.14820126017306334</v>
      </c>
      <c r="AT92">
        <v>5.5392230073166102</v>
      </c>
      <c r="AU92">
        <v>39.189326429063279</v>
      </c>
    </row>
    <row r="93" spans="1:47" x14ac:dyDescent="0.35">
      <c r="A93">
        <v>91</v>
      </c>
      <c r="B93">
        <v>46041</v>
      </c>
      <c r="C93" t="s">
        <v>16</v>
      </c>
      <c r="D93" t="s">
        <v>96</v>
      </c>
      <c r="E93" t="s">
        <v>19</v>
      </c>
      <c r="F93" t="s">
        <v>29</v>
      </c>
      <c r="G93" t="s">
        <v>30</v>
      </c>
      <c r="H93" t="s">
        <v>22</v>
      </c>
      <c r="I93" t="s">
        <v>23</v>
      </c>
      <c r="J93" t="s">
        <v>24</v>
      </c>
      <c r="K93" t="s">
        <v>95</v>
      </c>
      <c r="L93">
        <v>27</v>
      </c>
      <c r="M93">
        <v>58</v>
      </c>
      <c r="N93">
        <v>1</v>
      </c>
      <c r="O93">
        <v>3</v>
      </c>
      <c r="P93">
        <v>271</v>
      </c>
      <c r="Q93">
        <v>0.5</v>
      </c>
      <c r="R93">
        <v>470.38239557926659</v>
      </c>
      <c r="S93">
        <v>68.78239557926662</v>
      </c>
      <c r="T93">
        <v>0.40138888888888891</v>
      </c>
      <c r="U93">
        <v>41</v>
      </c>
      <c r="V93">
        <v>0.7368055555555556</v>
      </c>
      <c r="W93">
        <v>67.5</v>
      </c>
      <c r="X93">
        <v>13.6</v>
      </c>
      <c r="Y93">
        <v>41</v>
      </c>
      <c r="Z93">
        <v>0.41458333333333336</v>
      </c>
      <c r="AA93">
        <v>56</v>
      </c>
      <c r="AB93">
        <v>16.399999999999999</v>
      </c>
      <c r="AD93">
        <v>26.5</v>
      </c>
      <c r="AE93">
        <v>15</v>
      </c>
      <c r="AF93">
        <v>23.844979731721114</v>
      </c>
      <c r="AG93">
        <v>11.31247184961266</v>
      </c>
      <c r="AH93">
        <v>35.157451581333774</v>
      </c>
      <c r="AI93">
        <v>3.2429172435140718</v>
      </c>
      <c r="AJ93">
        <v>1.8552453833364759</v>
      </c>
      <c r="AK93">
        <v>5.0981626268505478</v>
      </c>
      <c r="AL93">
        <v>74.742277584683151</v>
      </c>
      <c r="AM93">
        <v>14.622655147321673</v>
      </c>
      <c r="AN93">
        <v>1.9564101630103763</v>
      </c>
      <c r="AO93">
        <v>13.600000000000001</v>
      </c>
      <c r="AP93">
        <v>14.50094474298395</v>
      </c>
      <c r="AQ93">
        <v>10.838336372202582</v>
      </c>
      <c r="AR93">
        <v>74.120166707123374</v>
      </c>
      <c r="AS93">
        <v>-0.1646707041454111</v>
      </c>
      <c r="AT93">
        <v>6.0154642010425396</v>
      </c>
      <c r="AU93">
        <v>41.137974878278854</v>
      </c>
    </row>
    <row r="94" spans="1:47" x14ac:dyDescent="0.35">
      <c r="A94">
        <v>92</v>
      </c>
      <c r="B94">
        <v>46041</v>
      </c>
      <c r="C94" t="s">
        <v>16</v>
      </c>
      <c r="D94" t="s">
        <v>98</v>
      </c>
      <c r="E94" t="s">
        <v>99</v>
      </c>
      <c r="F94" t="s">
        <v>100</v>
      </c>
      <c r="G94" t="s">
        <v>101</v>
      </c>
      <c r="H94" t="s">
        <v>22</v>
      </c>
      <c r="I94" t="s">
        <v>23</v>
      </c>
      <c r="J94" t="s">
        <v>24</v>
      </c>
      <c r="K94" t="s">
        <v>97</v>
      </c>
      <c r="L94">
        <v>27</v>
      </c>
      <c r="M94">
        <v>58</v>
      </c>
      <c r="N94">
        <v>1</v>
      </c>
      <c r="O94">
        <v>1</v>
      </c>
      <c r="P94">
        <v>272</v>
      </c>
      <c r="Q94">
        <v>0.50009999999999999</v>
      </c>
      <c r="R94">
        <v>472.45285164801135</v>
      </c>
      <c r="S94">
        <v>218.55285164801134</v>
      </c>
      <c r="T94">
        <v>0.40138888888888891</v>
      </c>
      <c r="U94">
        <v>41</v>
      </c>
      <c r="V94">
        <v>0.73750000000000004</v>
      </c>
      <c r="W94">
        <v>76</v>
      </c>
      <c r="X94">
        <v>13.1</v>
      </c>
      <c r="Y94">
        <v>41.5</v>
      </c>
      <c r="Z94">
        <v>0.4152777777777778</v>
      </c>
      <c r="AA94">
        <v>72.5</v>
      </c>
      <c r="AB94">
        <v>14.6</v>
      </c>
      <c r="AD94">
        <v>35</v>
      </c>
      <c r="AE94">
        <v>31</v>
      </c>
      <c r="AF94">
        <v>32.344979731721118</v>
      </c>
      <c r="AG94">
        <v>27.31247184961266</v>
      </c>
      <c r="AH94">
        <v>59.657451581333774</v>
      </c>
      <c r="AI94">
        <v>4.2371923448554663</v>
      </c>
      <c r="AJ94">
        <v>3.987620890043448</v>
      </c>
      <c r="AK94">
        <v>8.2248132348989138</v>
      </c>
      <c r="AL94">
        <v>126.27175679697241</v>
      </c>
      <c r="AM94">
        <v>46.259187744481736</v>
      </c>
      <c r="AN94">
        <v>3.6634627503330091</v>
      </c>
      <c r="AO94">
        <v>13.1</v>
      </c>
      <c r="AP94">
        <v>13.786732448142951</v>
      </c>
      <c r="AQ94">
        <v>17.408749267168346</v>
      </c>
      <c r="AR94">
        <v>37.633062999998394</v>
      </c>
      <c r="AS94">
        <v>1.1813806188239886</v>
      </c>
      <c r="AT94">
        <v>9.6621570327121198</v>
      </c>
      <c r="AU94">
        <v>20.887001056054473</v>
      </c>
    </row>
    <row r="95" spans="1:47" x14ac:dyDescent="0.35">
      <c r="A95">
        <v>93</v>
      </c>
      <c r="B95">
        <v>46041</v>
      </c>
      <c r="C95" t="s">
        <v>16</v>
      </c>
      <c r="D95" t="s">
        <v>98</v>
      </c>
      <c r="E95" t="s">
        <v>99</v>
      </c>
      <c r="F95" t="s">
        <v>100</v>
      </c>
      <c r="G95" t="s">
        <v>101</v>
      </c>
      <c r="H95" t="s">
        <v>22</v>
      </c>
      <c r="I95" t="s">
        <v>23</v>
      </c>
      <c r="J95" t="s">
        <v>24</v>
      </c>
      <c r="K95" t="s">
        <v>97</v>
      </c>
      <c r="L95">
        <v>27</v>
      </c>
      <c r="M95">
        <v>58</v>
      </c>
      <c r="N95">
        <v>1</v>
      </c>
      <c r="O95">
        <v>2</v>
      </c>
      <c r="P95">
        <v>273</v>
      </c>
      <c r="Q95">
        <v>0.50019999999999998</v>
      </c>
      <c r="R95">
        <v>472.54732332400579</v>
      </c>
      <c r="S95">
        <v>254.94732332400577</v>
      </c>
      <c r="T95">
        <v>0.40138888888888891</v>
      </c>
      <c r="U95">
        <v>41.5</v>
      </c>
      <c r="V95">
        <v>0.73819444444444449</v>
      </c>
      <c r="W95">
        <v>75.5</v>
      </c>
      <c r="X95">
        <v>13.3</v>
      </c>
      <c r="Y95">
        <v>40.5</v>
      </c>
      <c r="Z95">
        <v>0.41736111111111113</v>
      </c>
      <c r="AA95">
        <v>70.5</v>
      </c>
      <c r="AB95">
        <v>16</v>
      </c>
      <c r="AD95">
        <v>34</v>
      </c>
      <c r="AE95">
        <v>30</v>
      </c>
      <c r="AF95">
        <v>31.344979731721114</v>
      </c>
      <c r="AG95">
        <v>26.31247184961266</v>
      </c>
      <c r="AH95">
        <v>57.657451581333774</v>
      </c>
      <c r="AI95">
        <v>4.1688823043189087</v>
      </c>
      <c r="AJ95">
        <v>4.2099954959380259</v>
      </c>
      <c r="AK95">
        <v>8.3788778002569337</v>
      </c>
      <c r="AL95">
        <v>122.01413220533786</v>
      </c>
      <c r="AM95">
        <v>53.951701922814429</v>
      </c>
      <c r="AN95">
        <v>4.4217584428678309</v>
      </c>
      <c r="AO95">
        <v>13.300000000000002</v>
      </c>
      <c r="AP95">
        <v>14.532168124769393</v>
      </c>
      <c r="AQ95">
        <v>17.731298828058094</v>
      </c>
      <c r="AR95">
        <v>32.865133436244946</v>
      </c>
      <c r="AS95">
        <v>0.41316814332440488</v>
      </c>
      <c r="AT95">
        <v>9.8411776194481586</v>
      </c>
      <c r="AU95">
        <v>18.240717658040445</v>
      </c>
    </row>
    <row r="96" spans="1:47" x14ac:dyDescent="0.35">
      <c r="A96">
        <v>94</v>
      </c>
      <c r="B96">
        <v>46041</v>
      </c>
      <c r="C96" t="s">
        <v>16</v>
      </c>
      <c r="D96" t="s">
        <v>98</v>
      </c>
      <c r="E96" t="s">
        <v>99</v>
      </c>
      <c r="F96" t="s">
        <v>100</v>
      </c>
      <c r="G96" t="s">
        <v>101</v>
      </c>
      <c r="H96" t="s">
        <v>22</v>
      </c>
      <c r="I96" t="s">
        <v>23</v>
      </c>
      <c r="J96" t="s">
        <v>24</v>
      </c>
      <c r="K96" t="s">
        <v>97</v>
      </c>
      <c r="L96">
        <v>27</v>
      </c>
      <c r="M96">
        <v>58</v>
      </c>
      <c r="N96">
        <v>1</v>
      </c>
      <c r="O96">
        <v>3</v>
      </c>
      <c r="P96">
        <v>274</v>
      </c>
      <c r="Q96">
        <v>0.50019999999999998</v>
      </c>
      <c r="R96">
        <v>472.54732332400579</v>
      </c>
      <c r="S96">
        <v>284.34732332400574</v>
      </c>
      <c r="T96">
        <v>0.40208333333333335</v>
      </c>
      <c r="U96">
        <v>41.5</v>
      </c>
      <c r="V96">
        <v>0.73888888888888893</v>
      </c>
      <c r="W96">
        <v>78</v>
      </c>
      <c r="X96">
        <v>12.2</v>
      </c>
      <c r="Y96">
        <v>40.5</v>
      </c>
      <c r="Z96">
        <v>0.41805555555555557</v>
      </c>
      <c r="AA96">
        <v>72.5</v>
      </c>
      <c r="AB96">
        <v>15.6</v>
      </c>
      <c r="AD96">
        <v>36.5</v>
      </c>
      <c r="AE96">
        <v>32</v>
      </c>
      <c r="AF96">
        <v>33.844979731721118</v>
      </c>
      <c r="AG96">
        <v>28.31247184961266</v>
      </c>
      <c r="AH96">
        <v>62.157451581333774</v>
      </c>
      <c r="AI96">
        <v>4.1290875272699763</v>
      </c>
      <c r="AJ96">
        <v>4.4167456085395749</v>
      </c>
      <c r="AK96">
        <v>8.5458331358095521</v>
      </c>
      <c r="AL96">
        <v>131.53698796578522</v>
      </c>
      <c r="AM96">
        <v>60.17330101964005</v>
      </c>
      <c r="AN96">
        <v>4.5746296878329034</v>
      </c>
      <c r="AO96">
        <v>12.2</v>
      </c>
      <c r="AP96">
        <v>13.748686470241184</v>
      </c>
      <c r="AQ96">
        <v>18.084608067814688</v>
      </c>
      <c r="AR96">
        <v>30.054206369552553</v>
      </c>
      <c r="AS96">
        <v>0.27522251578330431</v>
      </c>
      <c r="AT96">
        <v>10.037270360129677</v>
      </c>
      <c r="AU96">
        <v>16.680604504070001</v>
      </c>
    </row>
    <row r="97" spans="1:48" x14ac:dyDescent="0.35">
      <c r="A97">
        <v>95</v>
      </c>
      <c r="B97">
        <v>46041</v>
      </c>
      <c r="C97" t="s">
        <v>102</v>
      </c>
      <c r="D97" t="s">
        <v>104</v>
      </c>
      <c r="E97" t="s">
        <v>105</v>
      </c>
      <c r="F97" t="s">
        <v>106</v>
      </c>
      <c r="G97" t="s">
        <v>107</v>
      </c>
      <c r="H97" t="s">
        <v>108</v>
      </c>
      <c r="I97" t="s">
        <v>109</v>
      </c>
      <c r="J97" t="s">
        <v>110</v>
      </c>
      <c r="K97" t="s">
        <v>103</v>
      </c>
      <c r="L97">
        <v>27</v>
      </c>
      <c r="M97">
        <v>58</v>
      </c>
      <c r="N97">
        <v>1</v>
      </c>
      <c r="O97">
        <v>1</v>
      </c>
      <c r="P97">
        <v>275</v>
      </c>
      <c r="Q97">
        <v>0.50039999999999996</v>
      </c>
      <c r="R97">
        <v>485.39325482443309</v>
      </c>
      <c r="S97">
        <v>281.99325482443317</v>
      </c>
      <c r="T97">
        <v>0.40208333333333335</v>
      </c>
      <c r="U97">
        <v>41</v>
      </c>
      <c r="V97">
        <v>0.73888888888888893</v>
      </c>
      <c r="W97">
        <v>85.5</v>
      </c>
      <c r="X97">
        <v>13.1</v>
      </c>
      <c r="Y97">
        <v>40.5</v>
      </c>
      <c r="Z97">
        <v>0.41875000000000001</v>
      </c>
      <c r="AA97">
        <v>90</v>
      </c>
      <c r="AB97">
        <v>14.1</v>
      </c>
      <c r="AD97">
        <v>44.5</v>
      </c>
      <c r="AE97">
        <v>49.5</v>
      </c>
      <c r="AF97">
        <v>41.844979731721118</v>
      </c>
      <c r="AG97">
        <v>45.812471849612663</v>
      </c>
      <c r="AH97">
        <v>87.657451581333788</v>
      </c>
      <c r="AI97">
        <v>5.4816923448554666</v>
      </c>
      <c r="AJ97">
        <v>6.4595585307953849</v>
      </c>
      <c r="AK97">
        <v>11.941250875650852</v>
      </c>
      <c r="AL97">
        <v>180.5905844592742</v>
      </c>
      <c r="AM97">
        <v>58.095833022325415</v>
      </c>
      <c r="AN97">
        <v>3.2169912510265379</v>
      </c>
      <c r="AO97">
        <v>13.100000000000001</v>
      </c>
      <c r="AP97">
        <v>13.622630660864068</v>
      </c>
      <c r="AQ97">
        <v>24.601188329182708</v>
      </c>
      <c r="AR97">
        <v>42.345874134774547</v>
      </c>
      <c r="AS97">
        <v>0.36676838538045714</v>
      </c>
      <c r="AT97">
        <v>13.654085148792063</v>
      </c>
      <c r="AU97">
        <v>23.502692772380058</v>
      </c>
    </row>
    <row r="98" spans="1:48" x14ac:dyDescent="0.35">
      <c r="A98">
        <v>96</v>
      </c>
      <c r="B98">
        <v>46041</v>
      </c>
      <c r="C98" t="s">
        <v>102</v>
      </c>
      <c r="D98" t="s">
        <v>104</v>
      </c>
      <c r="E98" t="s">
        <v>105</v>
      </c>
      <c r="F98" t="s">
        <v>106</v>
      </c>
      <c r="G98" t="s">
        <v>107</v>
      </c>
      <c r="H98" t="s">
        <v>108</v>
      </c>
      <c r="I98" t="s">
        <v>109</v>
      </c>
      <c r="J98" t="s">
        <v>110</v>
      </c>
      <c r="K98" t="s">
        <v>103</v>
      </c>
      <c r="L98">
        <v>27</v>
      </c>
      <c r="M98">
        <v>58</v>
      </c>
      <c r="N98">
        <v>1</v>
      </c>
      <c r="O98">
        <v>2</v>
      </c>
      <c r="P98">
        <v>276</v>
      </c>
      <c r="Q98">
        <v>0.50019999999999998</v>
      </c>
      <c r="R98">
        <v>485.19925272418357</v>
      </c>
      <c r="S98">
        <v>281.99925272418352</v>
      </c>
      <c r="T98">
        <v>0.40277777777777779</v>
      </c>
      <c r="U98">
        <v>41</v>
      </c>
      <c r="V98">
        <v>0.73958333333333337</v>
      </c>
      <c r="W98">
        <v>78.5</v>
      </c>
      <c r="X98">
        <v>13.2</v>
      </c>
      <c r="Y98">
        <v>40.5</v>
      </c>
      <c r="Z98">
        <v>0.41944444444444445</v>
      </c>
      <c r="AA98">
        <v>94</v>
      </c>
      <c r="AB98">
        <v>14.1</v>
      </c>
      <c r="AD98">
        <v>37.5</v>
      </c>
      <c r="AE98">
        <v>53.5</v>
      </c>
      <c r="AF98">
        <v>34.844979731721118</v>
      </c>
      <c r="AG98">
        <v>49.812471849612663</v>
      </c>
      <c r="AH98">
        <v>84.657451581333788</v>
      </c>
      <c r="AI98">
        <v>4.599537324587188</v>
      </c>
      <c r="AJ98">
        <v>7.0235585307953849</v>
      </c>
      <c r="AK98">
        <v>11.623095855382573</v>
      </c>
      <c r="AL98">
        <v>174.47976497494355</v>
      </c>
      <c r="AM98">
        <v>58.120298236421405</v>
      </c>
      <c r="AN98">
        <v>3.3310623867912632</v>
      </c>
      <c r="AO98">
        <v>13.200000000000003</v>
      </c>
      <c r="AP98">
        <v>13.729560290644708</v>
      </c>
      <c r="AQ98">
        <v>23.95530452721006</v>
      </c>
      <c r="AR98">
        <v>41.21676119032427</v>
      </c>
      <c r="AS98">
        <v>0.35656521976815492</v>
      </c>
      <c r="AT98">
        <v>13.295608464237004</v>
      </c>
      <c r="AU98">
        <v>22.876015553384129</v>
      </c>
    </row>
    <row r="99" spans="1:48" x14ac:dyDescent="0.35">
      <c r="A99">
        <v>97</v>
      </c>
      <c r="B99">
        <v>46041</v>
      </c>
      <c r="C99" t="s">
        <v>102</v>
      </c>
      <c r="D99" t="s">
        <v>104</v>
      </c>
      <c r="E99" t="s">
        <v>105</v>
      </c>
      <c r="F99" t="s">
        <v>106</v>
      </c>
      <c r="G99" t="s">
        <v>107</v>
      </c>
      <c r="H99" t="s">
        <v>108</v>
      </c>
      <c r="I99" t="s">
        <v>109</v>
      </c>
      <c r="J99" t="s">
        <v>110</v>
      </c>
      <c r="K99" t="s">
        <v>103</v>
      </c>
      <c r="L99">
        <v>27</v>
      </c>
      <c r="M99">
        <v>58</v>
      </c>
      <c r="N99">
        <v>1</v>
      </c>
      <c r="O99">
        <v>3</v>
      </c>
      <c r="P99">
        <v>277</v>
      </c>
      <c r="Q99">
        <v>0.50019999999999998</v>
      </c>
      <c r="R99">
        <v>485.19925272418357</v>
      </c>
      <c r="S99">
        <v>256.19925272418357</v>
      </c>
      <c r="T99">
        <v>0.40277777777777779</v>
      </c>
      <c r="U99">
        <v>40.5</v>
      </c>
      <c r="V99">
        <v>0.73958333333333337</v>
      </c>
      <c r="W99">
        <v>86</v>
      </c>
      <c r="X99">
        <v>13.4</v>
      </c>
      <c r="Y99">
        <v>40</v>
      </c>
      <c r="Z99">
        <v>0.4201388888888889</v>
      </c>
      <c r="AA99">
        <v>88</v>
      </c>
      <c r="AB99">
        <v>14.4</v>
      </c>
      <c r="AD99">
        <v>45.5</v>
      </c>
      <c r="AE99">
        <v>48</v>
      </c>
      <c r="AF99">
        <v>42.844979731721118</v>
      </c>
      <c r="AG99">
        <v>44.312471849612663</v>
      </c>
      <c r="AH99">
        <v>87.157451581333788</v>
      </c>
      <c r="AI99">
        <v>5.7412272840506304</v>
      </c>
      <c r="AJ99">
        <v>6.3809959463442238</v>
      </c>
      <c r="AK99">
        <v>12.122223230394855</v>
      </c>
      <c r="AL99">
        <v>179.63228733758854</v>
      </c>
      <c r="AM99">
        <v>52.802895158171779</v>
      </c>
      <c r="AN99">
        <v>2.9394991257299781</v>
      </c>
      <c r="AO99">
        <v>13.400000000000002</v>
      </c>
      <c r="AP99">
        <v>13.908418626814267</v>
      </c>
      <c r="AQ99">
        <v>24.984010511833695</v>
      </c>
      <c r="AR99">
        <v>47.315607291974722</v>
      </c>
      <c r="AS99">
        <v>0.50426516744443295</v>
      </c>
      <c r="AT99">
        <v>13.866558083384513</v>
      </c>
      <c r="AU99">
        <v>26.26098065616867</v>
      </c>
    </row>
    <row r="100" spans="1:48" x14ac:dyDescent="0.35">
      <c r="A100">
        <v>98</v>
      </c>
      <c r="B100">
        <v>46041</v>
      </c>
      <c r="C100" t="s">
        <v>102</v>
      </c>
      <c r="D100" t="s">
        <v>114</v>
      </c>
      <c r="E100" t="s">
        <v>544</v>
      </c>
      <c r="F100" t="s">
        <v>116</v>
      </c>
      <c r="G100" t="s">
        <v>117</v>
      </c>
      <c r="H100" t="s">
        <v>22</v>
      </c>
      <c r="I100" t="s">
        <v>23</v>
      </c>
      <c r="J100" t="s">
        <v>118</v>
      </c>
      <c r="K100" t="s">
        <v>113</v>
      </c>
      <c r="L100">
        <v>27</v>
      </c>
      <c r="M100">
        <v>58</v>
      </c>
      <c r="N100">
        <v>1</v>
      </c>
      <c r="O100">
        <v>1</v>
      </c>
      <c r="P100">
        <v>278</v>
      </c>
      <c r="Q100">
        <v>0.50039999999999996</v>
      </c>
      <c r="R100">
        <v>467.86036003873045</v>
      </c>
      <c r="S100">
        <v>313.56036003873044</v>
      </c>
      <c r="T100">
        <v>0.40347222222222223</v>
      </c>
      <c r="U100">
        <v>40</v>
      </c>
      <c r="V100">
        <v>0.74027777777777781</v>
      </c>
      <c r="W100">
        <v>84</v>
      </c>
      <c r="X100">
        <v>13.7</v>
      </c>
      <c r="Y100">
        <v>39.5</v>
      </c>
      <c r="Z100">
        <v>0.42083333333333334</v>
      </c>
      <c r="AA100">
        <v>84</v>
      </c>
      <c r="AB100">
        <v>16.600000000000001</v>
      </c>
      <c r="AD100">
        <v>44</v>
      </c>
      <c r="AE100">
        <v>44.5</v>
      </c>
      <c r="AF100">
        <v>41.344979731721118</v>
      </c>
      <c r="AG100">
        <v>40.812471849612663</v>
      </c>
      <c r="AH100">
        <v>82.157451581333788</v>
      </c>
      <c r="AI100">
        <v>5.6642622232457924</v>
      </c>
      <c r="AJ100">
        <v>6.7748703270357025</v>
      </c>
      <c r="AK100">
        <v>12.439132550281496</v>
      </c>
      <c r="AL100">
        <v>175.60250578726658</v>
      </c>
      <c r="AM100">
        <v>67.020074112022058</v>
      </c>
      <c r="AN100">
        <v>3.8165784600598722</v>
      </c>
      <c r="AO100">
        <v>13.7</v>
      </c>
      <c r="AP100">
        <v>15.14060174805577</v>
      </c>
      <c r="AQ100">
        <v>26.587276060856617</v>
      </c>
      <c r="AR100">
        <v>39.670615726889189</v>
      </c>
      <c r="AS100">
        <v>0.41278466981046175</v>
      </c>
      <c r="AT100">
        <v>14.756398201250523</v>
      </c>
      <c r="AU100">
        <v>22.017878071256145</v>
      </c>
    </row>
    <row r="101" spans="1:48" x14ac:dyDescent="0.35">
      <c r="A101">
        <v>99</v>
      </c>
      <c r="B101">
        <v>46041</v>
      </c>
      <c r="C101" t="s">
        <v>102</v>
      </c>
      <c r="D101" t="s">
        <v>114</v>
      </c>
      <c r="E101" t="s">
        <v>544</v>
      </c>
      <c r="F101" t="s">
        <v>116</v>
      </c>
      <c r="G101" t="s">
        <v>117</v>
      </c>
      <c r="H101" t="s">
        <v>22</v>
      </c>
      <c r="I101" t="s">
        <v>23</v>
      </c>
      <c r="J101" t="s">
        <v>118</v>
      </c>
      <c r="K101" t="s">
        <v>113</v>
      </c>
      <c r="L101">
        <v>27</v>
      </c>
      <c r="M101">
        <v>58</v>
      </c>
      <c r="N101">
        <v>1</v>
      </c>
      <c r="O101">
        <v>2</v>
      </c>
      <c r="P101">
        <v>279</v>
      </c>
      <c r="Q101">
        <v>0.50049999999999994</v>
      </c>
      <c r="R101">
        <v>467.95385731291879</v>
      </c>
      <c r="S101">
        <v>301.75385731291874</v>
      </c>
      <c r="T101">
        <v>0.40347222222222223</v>
      </c>
      <c r="U101">
        <v>41</v>
      </c>
      <c r="V101">
        <v>0.74027777777777781</v>
      </c>
      <c r="W101">
        <v>83</v>
      </c>
      <c r="X101">
        <v>14</v>
      </c>
      <c r="Y101">
        <v>40.5</v>
      </c>
      <c r="Z101">
        <v>0.42083333333333334</v>
      </c>
      <c r="AA101">
        <v>81.5</v>
      </c>
      <c r="AB101">
        <v>16.5</v>
      </c>
      <c r="AD101">
        <v>42</v>
      </c>
      <c r="AE101">
        <v>41</v>
      </c>
      <c r="AF101">
        <v>39.344979731721118</v>
      </c>
      <c r="AG101">
        <v>37.312471849612663</v>
      </c>
      <c r="AH101">
        <v>76.657451581333788</v>
      </c>
      <c r="AI101">
        <v>5.5082971624409574</v>
      </c>
      <c r="AJ101">
        <v>6.1565578551860893</v>
      </c>
      <c r="AK101">
        <v>11.664855017627048</v>
      </c>
      <c r="AL101">
        <v>163.81412479750813</v>
      </c>
      <c r="AM101">
        <v>64.483677738152977</v>
      </c>
      <c r="AN101">
        <v>3.9363930197021615</v>
      </c>
      <c r="AO101">
        <v>14.000000000000002</v>
      </c>
      <c r="AP101">
        <v>15.216857300885616</v>
      </c>
      <c r="AQ101">
        <v>24.927361609131491</v>
      </c>
      <c r="AR101">
        <v>38.656854701050577</v>
      </c>
      <c r="AS101">
        <v>0.47108791382770704</v>
      </c>
      <c r="AT101">
        <v>13.835116962299971</v>
      </c>
      <c r="AU101">
        <v>21.455223162797623</v>
      </c>
    </row>
    <row r="102" spans="1:48" x14ac:dyDescent="0.35">
      <c r="A102">
        <v>100</v>
      </c>
      <c r="B102">
        <v>46041</v>
      </c>
      <c r="C102" t="s">
        <v>102</v>
      </c>
      <c r="D102" t="s">
        <v>114</v>
      </c>
      <c r="E102" t="s">
        <v>544</v>
      </c>
      <c r="F102" t="s">
        <v>116</v>
      </c>
      <c r="G102" t="s">
        <v>117</v>
      </c>
      <c r="H102" t="s">
        <v>22</v>
      </c>
      <c r="I102" t="s">
        <v>23</v>
      </c>
      <c r="J102" t="s">
        <v>118</v>
      </c>
      <c r="K102" t="s">
        <v>113</v>
      </c>
      <c r="L102">
        <v>27</v>
      </c>
      <c r="M102">
        <v>58</v>
      </c>
      <c r="N102">
        <v>1</v>
      </c>
      <c r="O102">
        <v>3</v>
      </c>
      <c r="P102">
        <v>280</v>
      </c>
      <c r="Q102">
        <v>0.50039999999999996</v>
      </c>
      <c r="R102">
        <v>467.86036003873045</v>
      </c>
      <c r="S102">
        <v>252.96036003873036</v>
      </c>
      <c r="T102">
        <v>0.40416666666666667</v>
      </c>
      <c r="U102">
        <v>41</v>
      </c>
      <c r="V102">
        <v>0.74097222222222225</v>
      </c>
      <c r="W102">
        <v>83.5</v>
      </c>
      <c r="X102">
        <v>13.8</v>
      </c>
      <c r="Y102">
        <v>40</v>
      </c>
      <c r="Z102">
        <v>0.42152777777777778</v>
      </c>
      <c r="AA102">
        <v>83</v>
      </c>
      <c r="AB102">
        <v>16.399999999999999</v>
      </c>
      <c r="AD102">
        <v>42.5</v>
      </c>
      <c r="AE102">
        <v>43</v>
      </c>
      <c r="AF102">
        <v>39.844979731721118</v>
      </c>
      <c r="AG102">
        <v>39.312471849612663</v>
      </c>
      <c r="AH102">
        <v>79.157451581333788</v>
      </c>
      <c r="AI102">
        <v>5.4986072029775146</v>
      </c>
      <c r="AJ102">
        <v>6.447245383336476</v>
      </c>
      <c r="AK102">
        <v>11.94585258631399</v>
      </c>
      <c r="AL102">
        <v>169.19033613957157</v>
      </c>
      <c r="AM102">
        <v>54.067491423678163</v>
      </c>
      <c r="AN102">
        <v>3.1956607367382861</v>
      </c>
      <c r="AO102">
        <v>13.8</v>
      </c>
      <c r="AP102">
        <v>15.091254642072073</v>
      </c>
      <c r="AQ102">
        <v>25.532944456600443</v>
      </c>
      <c r="AR102">
        <v>47.2242077157266</v>
      </c>
      <c r="AS102">
        <v>4.4314952607458551</v>
      </c>
      <c r="AT102">
        <v>14.171225919857131</v>
      </c>
      <c r="AU102">
        <v>26.210252310043415</v>
      </c>
    </row>
    <row r="103" spans="1:48" x14ac:dyDescent="0.35">
      <c r="A103">
        <v>101</v>
      </c>
      <c r="B103">
        <v>46041</v>
      </c>
      <c r="C103" t="s">
        <v>120</v>
      </c>
      <c r="D103" t="s">
        <v>122</v>
      </c>
      <c r="E103" t="s">
        <v>123</v>
      </c>
      <c r="F103" t="s">
        <v>545</v>
      </c>
      <c r="G103" t="s">
        <v>125</v>
      </c>
      <c r="H103" t="s">
        <v>108</v>
      </c>
      <c r="I103" t="s">
        <v>109</v>
      </c>
      <c r="J103" t="s">
        <v>110</v>
      </c>
      <c r="K103" t="s">
        <v>121</v>
      </c>
      <c r="L103">
        <v>27</v>
      </c>
      <c r="M103">
        <v>58</v>
      </c>
      <c r="N103">
        <v>1</v>
      </c>
      <c r="O103">
        <v>1</v>
      </c>
      <c r="P103">
        <v>281</v>
      </c>
      <c r="Q103">
        <v>0.50039999999999996</v>
      </c>
      <c r="R103">
        <v>468.12419999999992</v>
      </c>
      <c r="S103">
        <v>220.02419999999992</v>
      </c>
      <c r="T103">
        <v>0.40486111111111112</v>
      </c>
      <c r="U103">
        <v>40.5</v>
      </c>
      <c r="V103">
        <v>0.7416666666666667</v>
      </c>
      <c r="W103">
        <v>67</v>
      </c>
      <c r="X103">
        <v>15.9</v>
      </c>
      <c r="Y103">
        <v>40.5</v>
      </c>
      <c r="Z103">
        <v>0.42222222222222222</v>
      </c>
      <c r="AA103">
        <v>82.5</v>
      </c>
      <c r="AB103">
        <v>16.600000000000001</v>
      </c>
      <c r="AD103">
        <v>26.5</v>
      </c>
      <c r="AE103">
        <v>42</v>
      </c>
    </row>
    <row r="104" spans="1:48" x14ac:dyDescent="0.35">
      <c r="A104">
        <v>102</v>
      </c>
      <c r="B104">
        <v>46041</v>
      </c>
      <c r="C104" t="s">
        <v>120</v>
      </c>
      <c r="D104" t="s">
        <v>122</v>
      </c>
      <c r="E104" t="s">
        <v>123</v>
      </c>
      <c r="F104" t="s">
        <v>545</v>
      </c>
      <c r="G104" t="s">
        <v>125</v>
      </c>
      <c r="H104" t="s">
        <v>108</v>
      </c>
      <c r="I104" t="s">
        <v>109</v>
      </c>
      <c r="J104" t="s">
        <v>110</v>
      </c>
      <c r="K104" t="s">
        <v>121</v>
      </c>
      <c r="L104">
        <v>27</v>
      </c>
      <c r="M104">
        <v>58</v>
      </c>
      <c r="N104">
        <v>1</v>
      </c>
      <c r="O104">
        <v>2</v>
      </c>
      <c r="P104">
        <v>282</v>
      </c>
      <c r="Q104">
        <v>0.50029999999999997</v>
      </c>
      <c r="R104">
        <v>468.03064999999998</v>
      </c>
      <c r="S104">
        <v>176.73064999999997</v>
      </c>
      <c r="T104">
        <v>0.40486111111111112</v>
      </c>
      <c r="U104">
        <v>41</v>
      </c>
      <c r="V104">
        <v>0.7416666666666667</v>
      </c>
      <c r="W104">
        <v>70.5</v>
      </c>
      <c r="X104">
        <v>15.6</v>
      </c>
      <c r="Y104">
        <v>41</v>
      </c>
      <c r="Z104">
        <v>0.42222222222222222</v>
      </c>
      <c r="AA104">
        <v>85.5</v>
      </c>
      <c r="AB104">
        <v>16.399999999999999</v>
      </c>
      <c r="AD104">
        <v>29.5</v>
      </c>
      <c r="AE104">
        <v>44.5</v>
      </c>
      <c r="AV104" t="s">
        <v>611</v>
      </c>
    </row>
    <row r="105" spans="1:48" x14ac:dyDescent="0.35">
      <c r="A105">
        <v>103</v>
      </c>
      <c r="B105">
        <v>46041</v>
      </c>
      <c r="C105" t="s">
        <v>120</v>
      </c>
      <c r="D105" t="s">
        <v>122</v>
      </c>
      <c r="E105" t="s">
        <v>123</v>
      </c>
      <c r="F105" t="s">
        <v>545</v>
      </c>
      <c r="G105" t="s">
        <v>125</v>
      </c>
      <c r="H105" t="s">
        <v>108</v>
      </c>
      <c r="I105" t="s">
        <v>109</v>
      </c>
      <c r="J105" t="s">
        <v>110</v>
      </c>
      <c r="K105" t="s">
        <v>121</v>
      </c>
      <c r="L105">
        <v>27</v>
      </c>
      <c r="M105">
        <v>58</v>
      </c>
      <c r="N105">
        <v>1</v>
      </c>
      <c r="O105">
        <v>3</v>
      </c>
      <c r="P105">
        <v>283</v>
      </c>
      <c r="Q105">
        <v>0.50039999999999996</v>
      </c>
      <c r="R105">
        <v>468.12419999999992</v>
      </c>
      <c r="S105">
        <v>163.82419999999991</v>
      </c>
      <c r="T105">
        <v>0.40555555555555556</v>
      </c>
      <c r="U105">
        <v>40.5</v>
      </c>
      <c r="V105">
        <v>0.7416666666666667</v>
      </c>
      <c r="W105">
        <v>68.5</v>
      </c>
      <c r="X105">
        <v>16.100000000000001</v>
      </c>
      <c r="Y105">
        <v>41</v>
      </c>
      <c r="Z105">
        <v>0.42291666666666666</v>
      </c>
      <c r="AA105">
        <v>81</v>
      </c>
      <c r="AB105">
        <v>16.8</v>
      </c>
      <c r="AD105">
        <v>28</v>
      </c>
      <c r="AE105">
        <v>40</v>
      </c>
      <c r="AF105">
        <v>25.344979731721114</v>
      </c>
      <c r="AG105">
        <v>36.312471849612663</v>
      </c>
      <c r="AH105">
        <v>61.657451581333774</v>
      </c>
      <c r="AI105">
        <v>4.0805417368070991</v>
      </c>
      <c r="AJ105">
        <v>6.1004952707349274</v>
      </c>
      <c r="AK105">
        <v>10.181037007542027</v>
      </c>
      <c r="AL105">
        <v>131.71173714440269</v>
      </c>
      <c r="AM105">
        <v>34.995883571069378</v>
      </c>
      <c r="AN105">
        <v>2.6570056951493624</v>
      </c>
      <c r="AO105">
        <v>16.100000000000001</v>
      </c>
      <c r="AP105">
        <v>16.512257231572384</v>
      </c>
      <c r="AQ105">
        <v>21.748580841456242</v>
      </c>
      <c r="AR105">
        <v>62.146111548489372</v>
      </c>
      <c r="AS105">
        <v>0.69825616978718807</v>
      </c>
      <c r="AT105">
        <v>12.07083864003315</v>
      </c>
      <c r="AU105">
        <v>34.492167101652925</v>
      </c>
    </row>
    <row r="106" spans="1:48" x14ac:dyDescent="0.35">
      <c r="A106">
        <v>104</v>
      </c>
      <c r="B106">
        <v>46041</v>
      </c>
      <c r="D106" t="s">
        <v>537</v>
      </c>
      <c r="E106" t="s">
        <v>538</v>
      </c>
      <c r="F106">
        <v>24</v>
      </c>
      <c r="G106" t="s">
        <v>537</v>
      </c>
      <c r="K106" t="s">
        <v>539</v>
      </c>
      <c r="L106">
        <v>27</v>
      </c>
      <c r="M106">
        <v>58</v>
      </c>
      <c r="N106">
        <v>1</v>
      </c>
      <c r="O106">
        <v>1</v>
      </c>
      <c r="P106">
        <v>284</v>
      </c>
      <c r="S106">
        <v>0</v>
      </c>
      <c r="T106">
        <v>0.40555555555555556</v>
      </c>
      <c r="U106">
        <v>40</v>
      </c>
      <c r="V106">
        <v>0.74236111111111114</v>
      </c>
      <c r="W106">
        <v>44</v>
      </c>
      <c r="Y106">
        <v>40</v>
      </c>
      <c r="Z106">
        <v>0.4236111111111111</v>
      </c>
      <c r="AA106">
        <v>44.5</v>
      </c>
      <c r="AD106">
        <v>4</v>
      </c>
      <c r="AE106">
        <v>4.5</v>
      </c>
    </row>
    <row r="107" spans="1:48" x14ac:dyDescent="0.35">
      <c r="A107">
        <v>105</v>
      </c>
      <c r="B107">
        <v>46041</v>
      </c>
      <c r="D107" t="s">
        <v>537</v>
      </c>
      <c r="E107" t="s">
        <v>538</v>
      </c>
      <c r="F107">
        <v>24</v>
      </c>
      <c r="G107" t="s">
        <v>537</v>
      </c>
      <c r="K107" t="s">
        <v>539</v>
      </c>
      <c r="L107">
        <v>27</v>
      </c>
      <c r="M107">
        <v>58</v>
      </c>
      <c r="N107">
        <v>1</v>
      </c>
      <c r="O107">
        <v>2</v>
      </c>
      <c r="P107">
        <v>285</v>
      </c>
      <c r="S107">
        <v>0</v>
      </c>
      <c r="T107">
        <v>0.40555555555555556</v>
      </c>
      <c r="U107">
        <v>40</v>
      </c>
      <c r="V107">
        <v>0.74305555555555558</v>
      </c>
      <c r="W107">
        <v>43.5</v>
      </c>
      <c r="Y107">
        <v>40</v>
      </c>
      <c r="Z107">
        <v>0.4236111111111111</v>
      </c>
      <c r="AA107">
        <v>44.5</v>
      </c>
      <c r="AD107">
        <v>3.5</v>
      </c>
      <c r="AE107">
        <v>4.5</v>
      </c>
    </row>
    <row r="108" spans="1:48" x14ac:dyDescent="0.35">
      <c r="A108">
        <v>106</v>
      </c>
      <c r="B108">
        <v>46043</v>
      </c>
      <c r="D108" t="s">
        <v>537</v>
      </c>
      <c r="E108" t="s">
        <v>538</v>
      </c>
      <c r="F108">
        <v>24</v>
      </c>
      <c r="G108" t="s">
        <v>537</v>
      </c>
      <c r="K108" t="s">
        <v>539</v>
      </c>
      <c r="L108">
        <v>27</v>
      </c>
      <c r="M108">
        <v>59</v>
      </c>
      <c r="N108">
        <v>2</v>
      </c>
      <c r="O108">
        <v>1</v>
      </c>
      <c r="P108">
        <v>286</v>
      </c>
      <c r="S108">
        <v>0</v>
      </c>
      <c r="U108">
        <v>39.5</v>
      </c>
      <c r="V108">
        <v>0.6743055555555556</v>
      </c>
      <c r="W108">
        <v>43.5</v>
      </c>
      <c r="Y108">
        <v>39.5</v>
      </c>
      <c r="Z108">
        <v>0.36458333333333331</v>
      </c>
      <c r="AA108">
        <v>43.5</v>
      </c>
      <c r="AD108">
        <v>4</v>
      </c>
      <c r="AE108">
        <v>4</v>
      </c>
    </row>
    <row r="109" spans="1:48" x14ac:dyDescent="0.35">
      <c r="A109">
        <v>107</v>
      </c>
      <c r="B109">
        <v>46043</v>
      </c>
      <c r="D109" t="s">
        <v>537</v>
      </c>
      <c r="E109" t="s">
        <v>538</v>
      </c>
      <c r="F109">
        <v>24</v>
      </c>
      <c r="G109" t="s">
        <v>537</v>
      </c>
      <c r="K109" t="s">
        <v>539</v>
      </c>
      <c r="L109">
        <v>27</v>
      </c>
      <c r="M109">
        <v>59</v>
      </c>
      <c r="N109">
        <v>2</v>
      </c>
      <c r="O109">
        <v>2</v>
      </c>
      <c r="P109">
        <v>287</v>
      </c>
      <c r="S109">
        <v>0</v>
      </c>
      <c r="T109">
        <v>0.34027777777777779</v>
      </c>
      <c r="U109">
        <v>39.5</v>
      </c>
      <c r="V109">
        <v>0.6743055555555556</v>
      </c>
      <c r="W109">
        <v>42.5</v>
      </c>
      <c r="Y109">
        <v>39.5</v>
      </c>
      <c r="Z109">
        <v>0.36458333333333331</v>
      </c>
      <c r="AA109">
        <v>44</v>
      </c>
      <c r="AD109">
        <v>3</v>
      </c>
      <c r="AE109">
        <v>4.5</v>
      </c>
    </row>
    <row r="110" spans="1:48" x14ac:dyDescent="0.35">
      <c r="A110">
        <v>108</v>
      </c>
      <c r="B110">
        <v>46043</v>
      </c>
      <c r="C110" t="s">
        <v>16</v>
      </c>
      <c r="D110" t="s">
        <v>18</v>
      </c>
      <c r="E110" t="s">
        <v>19</v>
      </c>
      <c r="F110" t="s">
        <v>20</v>
      </c>
      <c r="G110" t="s">
        <v>21</v>
      </c>
      <c r="H110" t="s">
        <v>22</v>
      </c>
      <c r="I110" t="s">
        <v>23</v>
      </c>
      <c r="J110" t="s">
        <v>24</v>
      </c>
      <c r="K110" t="s">
        <v>17</v>
      </c>
      <c r="L110">
        <v>27</v>
      </c>
      <c r="M110">
        <v>59</v>
      </c>
      <c r="N110">
        <v>2</v>
      </c>
      <c r="O110">
        <v>1</v>
      </c>
      <c r="P110">
        <v>288</v>
      </c>
      <c r="Q110">
        <v>0.50009999999999999</v>
      </c>
      <c r="R110">
        <v>474.75634208085836</v>
      </c>
      <c r="S110">
        <v>172.35634208085838</v>
      </c>
      <c r="T110">
        <v>0.34027777777777779</v>
      </c>
      <c r="U110">
        <v>40.5</v>
      </c>
      <c r="V110">
        <v>0.6743055555555556</v>
      </c>
      <c r="W110">
        <v>69</v>
      </c>
      <c r="X110">
        <v>13.4</v>
      </c>
      <c r="Y110">
        <v>40.5</v>
      </c>
      <c r="Z110">
        <v>0.36527777777777776</v>
      </c>
      <c r="AA110">
        <v>64</v>
      </c>
      <c r="AB110">
        <v>15.8</v>
      </c>
      <c r="AD110">
        <v>28.5</v>
      </c>
      <c r="AE110">
        <v>23.5</v>
      </c>
      <c r="AF110">
        <v>25.623728042697874</v>
      </c>
      <c r="AG110">
        <v>19.81247184961266</v>
      </c>
      <c r="AH110">
        <v>45.436199892310533</v>
      </c>
      <c r="AI110">
        <v>3.4335795577215151</v>
      </c>
      <c r="AJ110">
        <v>3.1303705522388001</v>
      </c>
      <c r="AK110">
        <v>6.5639501099603148</v>
      </c>
      <c r="AL110">
        <v>95.704250507035979</v>
      </c>
      <c r="AM110">
        <v>36.304168434152992</v>
      </c>
      <c r="AN110">
        <v>3.7933705391156045</v>
      </c>
      <c r="AO110">
        <v>13.4</v>
      </c>
      <c r="AP110">
        <v>14.44652089197093</v>
      </c>
      <c r="AQ110">
        <v>13.825934544003148</v>
      </c>
      <c r="AR110">
        <v>38.083600700233802</v>
      </c>
      <c r="AS110">
        <v>-1.2046011691550149</v>
      </c>
      <c r="AT110">
        <v>7.6736328749415401</v>
      </c>
      <c r="AU110">
        <v>21.137057274455021</v>
      </c>
    </row>
    <row r="111" spans="1:48" x14ac:dyDescent="0.35">
      <c r="A111">
        <v>109</v>
      </c>
      <c r="B111">
        <v>46043</v>
      </c>
      <c r="C111" t="s">
        <v>16</v>
      </c>
      <c r="D111" t="s">
        <v>18</v>
      </c>
      <c r="E111" t="s">
        <v>19</v>
      </c>
      <c r="F111" t="s">
        <v>20</v>
      </c>
      <c r="G111" t="s">
        <v>21</v>
      </c>
      <c r="H111" t="s">
        <v>22</v>
      </c>
      <c r="I111" t="s">
        <v>23</v>
      </c>
      <c r="J111" t="s">
        <v>24</v>
      </c>
      <c r="K111" t="s">
        <v>17</v>
      </c>
      <c r="L111">
        <v>27</v>
      </c>
      <c r="M111">
        <v>59</v>
      </c>
      <c r="N111">
        <v>2</v>
      </c>
      <c r="O111">
        <v>2</v>
      </c>
      <c r="P111">
        <v>289</v>
      </c>
      <c r="Q111">
        <v>0.50019999999999998</v>
      </c>
      <c r="R111">
        <v>474.85127436281817</v>
      </c>
      <c r="S111">
        <v>0</v>
      </c>
      <c r="T111">
        <v>0.34791666666666665</v>
      </c>
      <c r="U111" t="s">
        <v>547</v>
      </c>
      <c r="AV111" t="s">
        <v>612</v>
      </c>
    </row>
    <row r="112" spans="1:48" x14ac:dyDescent="0.35">
      <c r="A112">
        <v>110</v>
      </c>
      <c r="B112">
        <v>46043</v>
      </c>
      <c r="C112" t="s">
        <v>16</v>
      </c>
      <c r="D112" t="s">
        <v>18</v>
      </c>
      <c r="E112" t="s">
        <v>19</v>
      </c>
      <c r="F112" t="s">
        <v>20</v>
      </c>
      <c r="G112" t="s">
        <v>21</v>
      </c>
      <c r="H112" t="s">
        <v>22</v>
      </c>
      <c r="I112" t="s">
        <v>23</v>
      </c>
      <c r="J112" t="s">
        <v>24</v>
      </c>
      <c r="K112" t="s">
        <v>17</v>
      </c>
      <c r="L112">
        <v>27</v>
      </c>
      <c r="M112">
        <v>59</v>
      </c>
      <c r="N112">
        <v>2</v>
      </c>
      <c r="O112">
        <v>3</v>
      </c>
      <c r="P112">
        <v>290</v>
      </c>
      <c r="Q112">
        <v>0.50019999999999998</v>
      </c>
      <c r="R112">
        <v>474.85127436281817</v>
      </c>
      <c r="S112">
        <v>179.35127436281817</v>
      </c>
      <c r="T112">
        <v>0.34861111111111109</v>
      </c>
      <c r="U112">
        <v>39</v>
      </c>
      <c r="V112">
        <v>0.67500000000000004</v>
      </c>
      <c r="W112">
        <v>68.5</v>
      </c>
      <c r="X112">
        <v>14.3</v>
      </c>
      <c r="Y112">
        <v>38.5</v>
      </c>
      <c r="Z112">
        <v>0.36666666666666664</v>
      </c>
      <c r="AA112">
        <v>56</v>
      </c>
      <c r="AB112">
        <v>17.899999999999999</v>
      </c>
      <c r="AD112">
        <v>29.5</v>
      </c>
      <c r="AE112">
        <v>17.5</v>
      </c>
      <c r="AF112">
        <v>26.623728042697874</v>
      </c>
      <c r="AG112">
        <v>13.81247184961266</v>
      </c>
      <c r="AH112">
        <v>40.436199892310533</v>
      </c>
      <c r="AI112">
        <v>3.8071931101057963</v>
      </c>
      <c r="AJ112">
        <v>2.4724324610806661</v>
      </c>
      <c r="AK112">
        <v>6.2796255711864628</v>
      </c>
      <c r="AL112">
        <v>85.155504629465455</v>
      </c>
      <c r="AM112">
        <v>37.76998905678029</v>
      </c>
      <c r="AN112">
        <v>4.435413684779121</v>
      </c>
      <c r="AO112">
        <v>14.3</v>
      </c>
      <c r="AP112">
        <v>15.529712455449147</v>
      </c>
      <c r="AQ112">
        <v>13.22440500894267</v>
      </c>
      <c r="AR112">
        <v>35.012996665321211</v>
      </c>
      <c r="AS112">
        <v>-2.0777055028205549</v>
      </c>
      <c r="AT112">
        <v>7.3397735758975937</v>
      </c>
      <c r="AU112">
        <v>19.432818910441256</v>
      </c>
    </row>
    <row r="113" spans="1:48" x14ac:dyDescent="0.35">
      <c r="A113">
        <v>111</v>
      </c>
      <c r="B113">
        <v>46043</v>
      </c>
      <c r="C113" t="s">
        <v>16</v>
      </c>
      <c r="D113" t="s">
        <v>28</v>
      </c>
      <c r="E113" t="s">
        <v>19</v>
      </c>
      <c r="F113" t="s">
        <v>29</v>
      </c>
      <c r="G113" t="s">
        <v>30</v>
      </c>
      <c r="H113" t="s">
        <v>22</v>
      </c>
      <c r="I113" t="s">
        <v>23</v>
      </c>
      <c r="J113" t="s">
        <v>24</v>
      </c>
      <c r="K113" t="s">
        <v>27</v>
      </c>
      <c r="L113">
        <v>27</v>
      </c>
      <c r="M113">
        <v>59</v>
      </c>
      <c r="N113">
        <v>2</v>
      </c>
      <c r="O113">
        <v>1</v>
      </c>
      <c r="P113">
        <v>291</v>
      </c>
      <c r="Q113">
        <v>0.50029999999999997</v>
      </c>
      <c r="R113">
        <v>475.51384160674138</v>
      </c>
      <c r="S113">
        <v>142.6138416067414</v>
      </c>
      <c r="T113">
        <v>0.34930555555555554</v>
      </c>
      <c r="U113">
        <v>41.5</v>
      </c>
      <c r="V113">
        <v>0.67500000000000004</v>
      </c>
      <c r="W113">
        <v>68.5</v>
      </c>
      <c r="X113">
        <v>13.1</v>
      </c>
      <c r="Y113">
        <v>40</v>
      </c>
      <c r="Z113">
        <v>0.36666666666666664</v>
      </c>
      <c r="AA113">
        <v>59.5</v>
      </c>
      <c r="AB113">
        <v>17.5</v>
      </c>
      <c r="AD113">
        <v>27</v>
      </c>
      <c r="AE113">
        <v>19.5</v>
      </c>
      <c r="AF113">
        <v>24.123728042697874</v>
      </c>
      <c r="AG113">
        <v>15.81247184961266</v>
      </c>
      <c r="AH113">
        <v>39.936199892310533</v>
      </c>
      <c r="AI113">
        <v>3.1602083735934214</v>
      </c>
      <c r="AJ113">
        <v>2.7671825736822151</v>
      </c>
      <c r="AK113">
        <v>5.9273909472756365</v>
      </c>
      <c r="AL113">
        <v>83.985357308144359</v>
      </c>
      <c r="AM113">
        <v>29.99152267047689</v>
      </c>
      <c r="AN113">
        <v>3.5710418615518003</v>
      </c>
      <c r="AO113">
        <v>13.1</v>
      </c>
      <c r="AP113">
        <v>14.842150638415948</v>
      </c>
      <c r="AQ113">
        <v>12.465233245886662</v>
      </c>
      <c r="AR113">
        <v>41.562522126151372</v>
      </c>
      <c r="AS113">
        <v>-0.25679726446212636</v>
      </c>
      <c r="AT113">
        <v>6.9184201129419387</v>
      </c>
      <c r="AU113">
        <v>23.06791885479128</v>
      </c>
    </row>
    <row r="114" spans="1:48" x14ac:dyDescent="0.35">
      <c r="A114">
        <v>112</v>
      </c>
      <c r="B114">
        <v>46043</v>
      </c>
      <c r="C114" t="s">
        <v>16</v>
      </c>
      <c r="D114" t="s">
        <v>28</v>
      </c>
      <c r="E114" t="s">
        <v>19</v>
      </c>
      <c r="F114" t="s">
        <v>29</v>
      </c>
      <c r="G114" t="s">
        <v>30</v>
      </c>
      <c r="H114" t="s">
        <v>22</v>
      </c>
      <c r="I114" t="s">
        <v>23</v>
      </c>
      <c r="J114" t="s">
        <v>24</v>
      </c>
      <c r="K114" t="s">
        <v>27</v>
      </c>
      <c r="L114">
        <v>27</v>
      </c>
      <c r="M114">
        <v>59</v>
      </c>
      <c r="N114">
        <v>2</v>
      </c>
      <c r="O114">
        <v>2</v>
      </c>
      <c r="P114">
        <v>292</v>
      </c>
      <c r="Q114">
        <v>0.50039999999999996</v>
      </c>
      <c r="R114">
        <v>475.60888734761824</v>
      </c>
      <c r="S114">
        <v>159.10888734761824</v>
      </c>
      <c r="T114">
        <v>0.35069444444444442</v>
      </c>
      <c r="U114">
        <v>44.5</v>
      </c>
      <c r="V114">
        <v>0.67569444444444449</v>
      </c>
      <c r="W114">
        <v>75</v>
      </c>
      <c r="X114">
        <v>12</v>
      </c>
      <c r="Y114">
        <v>43</v>
      </c>
      <c r="Z114">
        <v>0.36736111111111114</v>
      </c>
      <c r="AA114">
        <v>58</v>
      </c>
      <c r="AB114">
        <v>17.899999999999999</v>
      </c>
      <c r="AD114">
        <v>30.5</v>
      </c>
      <c r="AE114">
        <v>15</v>
      </c>
      <c r="AF114">
        <v>27.623728042697874</v>
      </c>
      <c r="AG114">
        <v>11.31247184961266</v>
      </c>
      <c r="AH114">
        <v>38.936199892310533</v>
      </c>
      <c r="AI114">
        <v>3.3148473651237449</v>
      </c>
      <c r="AJ114">
        <v>2.0249324610806658</v>
      </c>
      <c r="AK114">
        <v>5.3397798262044107</v>
      </c>
      <c r="AL114">
        <v>81.866005720478512</v>
      </c>
      <c r="AM114">
        <v>33.453724600256891</v>
      </c>
      <c r="AN114">
        <v>4.0864000027655623</v>
      </c>
      <c r="AO114">
        <v>12</v>
      </c>
      <c r="AP114">
        <v>13.714178170887594</v>
      </c>
      <c r="AQ114">
        <v>11.227249885895453</v>
      </c>
      <c r="AR114">
        <v>33.560537787799092</v>
      </c>
      <c r="AS114">
        <v>-0.31419553433682401</v>
      </c>
      <c r="AT114">
        <v>6.2313179297495882</v>
      </c>
      <c r="AU114">
        <v>18.626679104370155</v>
      </c>
    </row>
    <row r="115" spans="1:48" x14ac:dyDescent="0.35">
      <c r="A115">
        <v>113</v>
      </c>
      <c r="B115">
        <v>46043</v>
      </c>
      <c r="C115" t="s">
        <v>16</v>
      </c>
      <c r="D115" t="s">
        <v>28</v>
      </c>
      <c r="E115" t="s">
        <v>19</v>
      </c>
      <c r="F115" t="s">
        <v>29</v>
      </c>
      <c r="G115" t="s">
        <v>30</v>
      </c>
      <c r="H115" t="s">
        <v>22</v>
      </c>
      <c r="I115" t="s">
        <v>23</v>
      </c>
      <c r="J115" t="s">
        <v>24</v>
      </c>
      <c r="K115" t="s">
        <v>27</v>
      </c>
      <c r="L115">
        <v>27</v>
      </c>
      <c r="M115">
        <v>59</v>
      </c>
      <c r="N115">
        <v>2</v>
      </c>
      <c r="O115">
        <v>3</v>
      </c>
      <c r="P115">
        <v>293</v>
      </c>
      <c r="Q115">
        <v>0.50029999999999997</v>
      </c>
      <c r="R115">
        <v>475.51384160674138</v>
      </c>
      <c r="S115">
        <v>151.31384160674133</v>
      </c>
      <c r="T115">
        <v>0.35138888888888886</v>
      </c>
      <c r="U115">
        <v>41</v>
      </c>
      <c r="V115">
        <v>0.67569444444444449</v>
      </c>
      <c r="W115">
        <v>67.5</v>
      </c>
      <c r="X115">
        <v>13.7</v>
      </c>
      <c r="Y115">
        <v>41</v>
      </c>
      <c r="Z115">
        <v>0.36736111111111114</v>
      </c>
      <c r="AA115">
        <v>60</v>
      </c>
      <c r="AB115">
        <v>17.8</v>
      </c>
      <c r="AD115">
        <v>26.5</v>
      </c>
      <c r="AE115">
        <v>19</v>
      </c>
      <c r="AF115">
        <v>23.623728042697874</v>
      </c>
      <c r="AG115">
        <v>15.31247184961266</v>
      </c>
      <c r="AH115">
        <v>38.936199892310533</v>
      </c>
      <c r="AI115">
        <v>3.2364507418496085</v>
      </c>
      <c r="AJ115">
        <v>2.7256199892310535</v>
      </c>
      <c r="AK115">
        <v>5.9620707310806615</v>
      </c>
      <c r="AL115">
        <v>81.882369103592737</v>
      </c>
      <c r="AM115">
        <v>31.821122408436775</v>
      </c>
      <c r="AN115">
        <v>3.8861995270530789</v>
      </c>
      <c r="AO115">
        <v>13.7</v>
      </c>
      <c r="AP115">
        <v>15.312410424156734</v>
      </c>
      <c r="AQ115">
        <v>12.53816442216503</v>
      </c>
      <c r="AR115">
        <v>39.402018135101258</v>
      </c>
      <c r="AS115">
        <v>-0.30012389745327067</v>
      </c>
      <c r="AT115">
        <v>6.9588981775614895</v>
      </c>
      <c r="AU115">
        <v>21.868801760796686</v>
      </c>
    </row>
    <row r="116" spans="1:48" x14ac:dyDescent="0.35">
      <c r="A116">
        <v>114</v>
      </c>
      <c r="B116">
        <v>46043</v>
      </c>
      <c r="C116" t="s">
        <v>16</v>
      </c>
      <c r="D116" t="s">
        <v>32</v>
      </c>
      <c r="E116" t="s">
        <v>19</v>
      </c>
      <c r="F116" t="s">
        <v>20</v>
      </c>
      <c r="G116" t="s">
        <v>21</v>
      </c>
      <c r="H116" t="s">
        <v>22</v>
      </c>
      <c r="I116" t="s">
        <v>23</v>
      </c>
      <c r="J116" t="s">
        <v>24</v>
      </c>
      <c r="K116" t="s">
        <v>31</v>
      </c>
      <c r="L116">
        <v>27</v>
      </c>
      <c r="M116">
        <v>59</v>
      </c>
      <c r="N116">
        <v>2</v>
      </c>
      <c r="O116">
        <v>1</v>
      </c>
      <c r="P116">
        <v>294</v>
      </c>
      <c r="Q116">
        <v>0.50049999999999994</v>
      </c>
      <c r="R116">
        <v>472.25670079627241</v>
      </c>
      <c r="S116">
        <v>166.05670079627248</v>
      </c>
      <c r="T116">
        <v>0.35208333333333336</v>
      </c>
      <c r="U116">
        <v>41.5</v>
      </c>
      <c r="V116">
        <v>0.67638888888888893</v>
      </c>
      <c r="W116">
        <v>71</v>
      </c>
      <c r="X116">
        <v>13.7</v>
      </c>
      <c r="Y116">
        <v>41</v>
      </c>
      <c r="Z116">
        <v>0.36805555555555558</v>
      </c>
      <c r="AA116">
        <v>60</v>
      </c>
      <c r="AB116">
        <v>18.2</v>
      </c>
      <c r="AD116">
        <v>29.5</v>
      </c>
      <c r="AE116">
        <v>19</v>
      </c>
      <c r="AF116">
        <v>26.623728042697874</v>
      </c>
      <c r="AG116">
        <v>15.31247184961266</v>
      </c>
      <c r="AH116">
        <v>41.936199892310533</v>
      </c>
      <c r="AI116">
        <v>3.647450741849608</v>
      </c>
      <c r="AJ116">
        <v>2.7868698766295039</v>
      </c>
      <c r="AK116">
        <v>6.434320618479112</v>
      </c>
      <c r="AL116">
        <v>88.79958679591391</v>
      </c>
      <c r="AM116">
        <v>35.16238107713118</v>
      </c>
      <c r="AN116">
        <v>3.9597460242629379</v>
      </c>
      <c r="AO116">
        <v>13.699999999999998</v>
      </c>
      <c r="AP116">
        <v>15.343117962528874</v>
      </c>
      <c r="AQ116">
        <v>13.624625352335284</v>
      </c>
      <c r="AR116">
        <v>38.747732477071743</v>
      </c>
      <c r="AS116">
        <v>-0.78816440045669844</v>
      </c>
      <c r="AT116">
        <v>7.5619027907078884</v>
      </c>
      <c r="AU116">
        <v>21.50566190076923</v>
      </c>
    </row>
    <row r="117" spans="1:48" x14ac:dyDescent="0.35">
      <c r="A117">
        <v>115</v>
      </c>
      <c r="B117">
        <v>46043</v>
      </c>
      <c r="C117" t="s">
        <v>16</v>
      </c>
      <c r="D117" t="s">
        <v>32</v>
      </c>
      <c r="E117" t="s">
        <v>19</v>
      </c>
      <c r="F117" t="s">
        <v>20</v>
      </c>
      <c r="G117" t="s">
        <v>21</v>
      </c>
      <c r="H117" t="s">
        <v>22</v>
      </c>
      <c r="I117" t="s">
        <v>23</v>
      </c>
      <c r="J117" t="s">
        <v>24</v>
      </c>
      <c r="K117" t="s">
        <v>31</v>
      </c>
      <c r="L117">
        <v>27</v>
      </c>
      <c r="M117">
        <v>59</v>
      </c>
      <c r="N117">
        <v>2</v>
      </c>
      <c r="O117">
        <v>2</v>
      </c>
      <c r="P117">
        <v>295</v>
      </c>
      <c r="Q117">
        <v>0.50029999999999997</v>
      </c>
      <c r="R117">
        <v>472.0679868299203</v>
      </c>
      <c r="S117">
        <v>190.16798682992027</v>
      </c>
      <c r="T117">
        <v>0.3527777777777778</v>
      </c>
      <c r="U117">
        <v>40.5</v>
      </c>
      <c r="V117">
        <v>0.67708333333333337</v>
      </c>
      <c r="W117">
        <v>69.5</v>
      </c>
      <c r="X117">
        <v>14.8</v>
      </c>
      <c r="Y117">
        <v>40.5</v>
      </c>
      <c r="Z117">
        <v>0.36805555555555558</v>
      </c>
      <c r="AA117">
        <v>72</v>
      </c>
      <c r="AB117">
        <v>18</v>
      </c>
      <c r="AD117">
        <v>29</v>
      </c>
      <c r="AE117">
        <v>31.5</v>
      </c>
      <c r="AF117">
        <v>26.123728042697874</v>
      </c>
      <c r="AG117">
        <v>27.81247184961266</v>
      </c>
      <c r="AH117">
        <v>53.936199892310533</v>
      </c>
      <c r="AI117">
        <v>3.8663117503192859</v>
      </c>
      <c r="AJ117">
        <v>5.0062449329302785</v>
      </c>
      <c r="AK117">
        <v>8.8725566832495648</v>
      </c>
      <c r="AL117">
        <v>114.25515264127202</v>
      </c>
      <c r="AM117">
        <v>40.28402521148616</v>
      </c>
      <c r="AN117">
        <v>3.5257950543347745</v>
      </c>
      <c r="AO117">
        <v>14.800000000000002</v>
      </c>
      <c r="AP117">
        <v>16.450096041183073</v>
      </c>
      <c r="AQ117">
        <v>18.795082341489568</v>
      </c>
      <c r="AR117">
        <v>46.656415893937378</v>
      </c>
      <c r="AS117">
        <v>23.326007268043739</v>
      </c>
      <c r="AT117">
        <v>10.431595873961683</v>
      </c>
      <c r="AU117">
        <v>25.895118025562471</v>
      </c>
    </row>
    <row r="118" spans="1:48" x14ac:dyDescent="0.35">
      <c r="A118">
        <v>116</v>
      </c>
      <c r="B118">
        <v>46043</v>
      </c>
      <c r="C118" t="s">
        <v>16</v>
      </c>
      <c r="D118" t="s">
        <v>32</v>
      </c>
      <c r="E118" t="s">
        <v>19</v>
      </c>
      <c r="F118" t="s">
        <v>20</v>
      </c>
      <c r="G118" t="s">
        <v>21</v>
      </c>
      <c r="H118" t="s">
        <v>22</v>
      </c>
      <c r="I118" t="s">
        <v>23</v>
      </c>
      <c r="J118" t="s">
        <v>24</v>
      </c>
      <c r="K118" t="s">
        <v>31</v>
      </c>
      <c r="L118">
        <v>27</v>
      </c>
      <c r="M118">
        <v>59</v>
      </c>
      <c r="N118">
        <v>2</v>
      </c>
      <c r="O118">
        <v>3</v>
      </c>
      <c r="P118">
        <v>296</v>
      </c>
      <c r="Q118">
        <v>0.50039999999999996</v>
      </c>
      <c r="R118">
        <v>472.16234381309636</v>
      </c>
      <c r="S118">
        <v>168.96234381309631</v>
      </c>
      <c r="T118">
        <v>0.35347222222222224</v>
      </c>
      <c r="U118">
        <v>41.5</v>
      </c>
      <c r="V118">
        <v>0.67708333333333337</v>
      </c>
      <c r="W118">
        <v>71.5</v>
      </c>
      <c r="X118">
        <v>14.6</v>
      </c>
      <c r="Y118">
        <v>41</v>
      </c>
      <c r="Z118">
        <v>0.36875000000000002</v>
      </c>
      <c r="AA118">
        <v>71</v>
      </c>
      <c r="AB118">
        <v>17.899999999999999</v>
      </c>
      <c r="AD118">
        <v>30</v>
      </c>
      <c r="AE118">
        <v>30</v>
      </c>
      <c r="AF118">
        <v>27.123728042697874</v>
      </c>
      <c r="AG118">
        <v>26.31247184961266</v>
      </c>
      <c r="AH118">
        <v>53.436199892310533</v>
      </c>
      <c r="AI118">
        <v>3.9600642942338893</v>
      </c>
      <c r="AJ118">
        <v>4.7099324610806663</v>
      </c>
      <c r="AK118">
        <v>8.6699967553145552</v>
      </c>
      <c r="AL118">
        <v>113.17336207027778</v>
      </c>
      <c r="AM118">
        <v>35.784798603079501</v>
      </c>
      <c r="AN118">
        <v>3.1619453507847588</v>
      </c>
      <c r="AO118">
        <v>14.599999999999998</v>
      </c>
      <c r="AP118">
        <v>16.224950076515764</v>
      </c>
      <c r="AQ118">
        <v>18.362321495817</v>
      </c>
      <c r="AR118">
        <v>51.313189434121369</v>
      </c>
      <c r="AS118">
        <v>-1.2167824943092698</v>
      </c>
      <c r="AT118">
        <v>10.191406117401543</v>
      </c>
      <c r="AU118">
        <v>28.479707907380853</v>
      </c>
    </row>
    <row r="119" spans="1:48" x14ac:dyDescent="0.35">
      <c r="A119">
        <v>117</v>
      </c>
      <c r="B119">
        <v>46043</v>
      </c>
      <c r="C119" t="s">
        <v>16</v>
      </c>
      <c r="D119" t="s">
        <v>34</v>
      </c>
      <c r="E119" t="s">
        <v>19</v>
      </c>
      <c r="F119" t="s">
        <v>29</v>
      </c>
      <c r="G119" t="s">
        <v>30</v>
      </c>
      <c r="H119" t="s">
        <v>22</v>
      </c>
      <c r="I119" t="s">
        <v>23</v>
      </c>
      <c r="J119" t="s">
        <v>24</v>
      </c>
      <c r="K119" t="s">
        <v>33</v>
      </c>
      <c r="L119">
        <v>27</v>
      </c>
      <c r="M119">
        <v>59</v>
      </c>
      <c r="N119">
        <v>2</v>
      </c>
      <c r="O119">
        <v>1</v>
      </c>
      <c r="P119">
        <v>297</v>
      </c>
      <c r="Q119">
        <v>0.50039999999999996</v>
      </c>
      <c r="R119">
        <v>471.03974204621011</v>
      </c>
      <c r="S119">
        <v>87.039742046210108</v>
      </c>
      <c r="T119">
        <v>0.35347222222222224</v>
      </c>
      <c r="U119">
        <v>40.5</v>
      </c>
      <c r="V119">
        <v>0.67777777777777781</v>
      </c>
      <c r="W119">
        <v>65</v>
      </c>
      <c r="X119">
        <v>14.5</v>
      </c>
      <c r="Y119">
        <v>40</v>
      </c>
      <c r="Z119">
        <v>0.36875000000000002</v>
      </c>
      <c r="AA119">
        <v>55</v>
      </c>
      <c r="AB119">
        <v>17.8</v>
      </c>
      <c r="AD119">
        <v>24.5</v>
      </c>
      <c r="AE119">
        <v>15</v>
      </c>
      <c r="AF119">
        <v>21.623728042697874</v>
      </c>
      <c r="AG119">
        <v>11.31247184961266</v>
      </c>
      <c r="AH119">
        <v>32.936199892310533</v>
      </c>
      <c r="AI119">
        <v>3.1354405661911913</v>
      </c>
      <c r="AJ119">
        <v>2.0136199892310538</v>
      </c>
      <c r="AK119">
        <v>5.1490605554222455</v>
      </c>
      <c r="AL119">
        <v>69.922337655066514</v>
      </c>
      <c r="AM119">
        <v>18.478216226110135</v>
      </c>
      <c r="AN119">
        <v>2.6426771251935133</v>
      </c>
      <c r="AO119">
        <v>14.499999999999998</v>
      </c>
      <c r="AP119">
        <v>15.633438503099361</v>
      </c>
      <c r="AQ119">
        <v>10.931265657234311</v>
      </c>
      <c r="AR119">
        <v>59.157580599085037</v>
      </c>
      <c r="AS119">
        <v>-0.19305699150797129</v>
      </c>
      <c r="AT119">
        <v>6.0670415620082476</v>
      </c>
      <c r="AU119">
        <v>32.833480720045813</v>
      </c>
    </row>
    <row r="120" spans="1:48" x14ac:dyDescent="0.35">
      <c r="A120">
        <v>118</v>
      </c>
      <c r="B120">
        <v>46043</v>
      </c>
      <c r="C120" t="s">
        <v>16</v>
      </c>
      <c r="D120" t="s">
        <v>34</v>
      </c>
      <c r="E120" t="s">
        <v>19</v>
      </c>
      <c r="F120" t="s">
        <v>29</v>
      </c>
      <c r="G120" t="s">
        <v>30</v>
      </c>
      <c r="H120" t="s">
        <v>22</v>
      </c>
      <c r="I120" t="s">
        <v>23</v>
      </c>
      <c r="J120" t="s">
        <v>24</v>
      </c>
      <c r="K120" t="s">
        <v>33</v>
      </c>
      <c r="L120">
        <v>27</v>
      </c>
      <c r="M120">
        <v>59</v>
      </c>
      <c r="N120">
        <v>2</v>
      </c>
      <c r="O120">
        <v>2</v>
      </c>
      <c r="P120">
        <v>298</v>
      </c>
      <c r="Q120">
        <v>0.5</v>
      </c>
      <c r="R120">
        <v>470.66321147702848</v>
      </c>
      <c r="S120">
        <v>110.96321147702844</v>
      </c>
      <c r="T120">
        <v>0.35416666666666669</v>
      </c>
      <c r="U120">
        <v>40</v>
      </c>
      <c r="V120">
        <v>0.67847222222222225</v>
      </c>
      <c r="W120">
        <v>64.5</v>
      </c>
      <c r="X120">
        <v>14</v>
      </c>
      <c r="Y120">
        <v>39</v>
      </c>
      <c r="Z120">
        <v>0.36944444444444446</v>
      </c>
      <c r="AA120">
        <v>55</v>
      </c>
      <c r="AB120">
        <v>18.3</v>
      </c>
      <c r="AD120">
        <v>24.5</v>
      </c>
      <c r="AE120">
        <v>16</v>
      </c>
      <c r="AF120">
        <v>21.623728042697874</v>
      </c>
      <c r="AG120">
        <v>12.31247184961266</v>
      </c>
      <c r="AH120">
        <v>33.936199892310533</v>
      </c>
      <c r="AI120">
        <v>3.0273219259777027</v>
      </c>
      <c r="AJ120">
        <v>2.2531823484791165</v>
      </c>
      <c r="AK120">
        <v>5.2805042744568187</v>
      </c>
      <c r="AL120">
        <v>72.102937014797575</v>
      </c>
      <c r="AM120">
        <v>23.575926218836031</v>
      </c>
      <c r="AN120">
        <v>3.2697594848317459</v>
      </c>
      <c r="AO120">
        <v>14.000000000000002</v>
      </c>
      <c r="AP120">
        <v>15.560093031080086</v>
      </c>
      <c r="AQ120">
        <v>11.21928407764358</v>
      </c>
      <c r="AR120">
        <v>47.587882543846405</v>
      </c>
      <c r="AS120">
        <v>-0.28162378358585888</v>
      </c>
      <c r="AT120">
        <v>6.2268967683530461</v>
      </c>
      <c r="AU120">
        <v>26.412098131601951</v>
      </c>
    </row>
    <row r="121" spans="1:48" x14ac:dyDescent="0.35">
      <c r="A121">
        <v>119</v>
      </c>
      <c r="B121">
        <v>46043</v>
      </c>
      <c r="C121" t="s">
        <v>16</v>
      </c>
      <c r="D121" t="s">
        <v>34</v>
      </c>
      <c r="E121" t="s">
        <v>19</v>
      </c>
      <c r="F121" t="s">
        <v>29</v>
      </c>
      <c r="G121" t="s">
        <v>30</v>
      </c>
      <c r="H121" t="s">
        <v>22</v>
      </c>
      <c r="I121" t="s">
        <v>23</v>
      </c>
      <c r="J121" t="s">
        <v>24</v>
      </c>
      <c r="K121" t="s">
        <v>33</v>
      </c>
      <c r="L121">
        <v>27</v>
      </c>
      <c r="M121">
        <v>59</v>
      </c>
      <c r="N121">
        <v>2</v>
      </c>
      <c r="O121">
        <v>3</v>
      </c>
      <c r="P121">
        <v>299</v>
      </c>
      <c r="Q121">
        <v>0.50039999999999996</v>
      </c>
      <c r="R121">
        <v>471.03974204621011</v>
      </c>
      <c r="S121">
        <v>110.93974204621014</v>
      </c>
      <c r="T121">
        <v>0.35416666666666669</v>
      </c>
      <c r="U121">
        <v>40.5</v>
      </c>
      <c r="V121">
        <v>0.67847222222222225</v>
      </c>
      <c r="W121">
        <v>65</v>
      </c>
      <c r="X121">
        <v>14.3</v>
      </c>
      <c r="Y121">
        <v>40</v>
      </c>
      <c r="Z121">
        <v>0.37013888888888891</v>
      </c>
      <c r="AA121">
        <v>57</v>
      </c>
      <c r="AB121">
        <v>18.2</v>
      </c>
      <c r="AD121">
        <v>24.5</v>
      </c>
      <c r="AE121">
        <v>17</v>
      </c>
      <c r="AF121">
        <v>21.623728042697874</v>
      </c>
      <c r="AG121">
        <v>13.31247184961266</v>
      </c>
      <c r="AH121">
        <v>34.936199892310533</v>
      </c>
      <c r="AI121">
        <v>3.0921931101057964</v>
      </c>
      <c r="AJ121">
        <v>2.422869876629504</v>
      </c>
      <c r="AK121">
        <v>5.5150629867353</v>
      </c>
      <c r="AL121">
        <v>74.168263893289947</v>
      </c>
      <c r="AM121">
        <v>23.55209808078714</v>
      </c>
      <c r="AN121">
        <v>3.1754953998482249</v>
      </c>
      <c r="AO121">
        <v>14.300000000000002</v>
      </c>
      <c r="AP121">
        <v>15.786098670534477</v>
      </c>
      <c r="AQ121">
        <v>11.708275320417146</v>
      </c>
      <c r="AR121">
        <v>49.712239140037759</v>
      </c>
      <c r="AS121">
        <v>-0.29355377994609888</v>
      </c>
      <c r="AT121">
        <v>6.4982953681484785</v>
      </c>
      <c r="AU121">
        <v>27.591152796062477</v>
      </c>
    </row>
    <row r="122" spans="1:48" x14ac:dyDescent="0.35">
      <c r="A122">
        <v>120</v>
      </c>
      <c r="B122">
        <v>46043</v>
      </c>
      <c r="C122" t="s">
        <v>16</v>
      </c>
      <c r="D122" t="s">
        <v>36</v>
      </c>
      <c r="E122" t="s">
        <v>19</v>
      </c>
      <c r="F122" t="s">
        <v>20</v>
      </c>
      <c r="G122" t="s">
        <v>21</v>
      </c>
      <c r="H122" t="s">
        <v>22</v>
      </c>
      <c r="I122" t="s">
        <v>23</v>
      </c>
      <c r="J122" t="s">
        <v>24</v>
      </c>
      <c r="K122" t="s">
        <v>35</v>
      </c>
      <c r="L122">
        <v>27</v>
      </c>
      <c r="M122">
        <v>59</v>
      </c>
      <c r="N122">
        <v>2</v>
      </c>
      <c r="O122">
        <v>1</v>
      </c>
      <c r="P122">
        <v>300</v>
      </c>
      <c r="Q122">
        <v>0.50029999999999997</v>
      </c>
      <c r="R122">
        <v>471.7621368452036</v>
      </c>
      <c r="S122">
        <v>42.262136845203599</v>
      </c>
      <c r="T122">
        <v>0.35486111111111113</v>
      </c>
      <c r="U122">
        <v>41</v>
      </c>
      <c r="V122">
        <v>0.67847222222222225</v>
      </c>
      <c r="W122">
        <v>63.5</v>
      </c>
      <c r="X122">
        <v>15.6</v>
      </c>
      <c r="Y122">
        <v>40.5</v>
      </c>
      <c r="Z122">
        <v>0.37013888888888891</v>
      </c>
      <c r="AA122">
        <v>65.5</v>
      </c>
      <c r="AB122">
        <v>17.7</v>
      </c>
      <c r="AV122" t="s">
        <v>613</v>
      </c>
    </row>
    <row r="123" spans="1:48" x14ac:dyDescent="0.35">
      <c r="A123">
        <v>121</v>
      </c>
      <c r="B123">
        <v>46043</v>
      </c>
      <c r="C123" t="s">
        <v>16</v>
      </c>
      <c r="D123" t="s">
        <v>36</v>
      </c>
      <c r="E123" t="s">
        <v>19</v>
      </c>
      <c r="F123" t="s">
        <v>20</v>
      </c>
      <c r="G123" t="s">
        <v>21</v>
      </c>
      <c r="H123" t="s">
        <v>22</v>
      </c>
      <c r="I123" t="s">
        <v>23</v>
      </c>
      <c r="J123" t="s">
        <v>24</v>
      </c>
      <c r="K123" t="s">
        <v>35</v>
      </c>
      <c r="L123">
        <v>27</v>
      </c>
      <c r="M123">
        <v>59</v>
      </c>
      <c r="N123">
        <v>2</v>
      </c>
      <c r="O123">
        <v>2</v>
      </c>
      <c r="P123">
        <v>301</v>
      </c>
      <c r="Q123">
        <v>0.5</v>
      </c>
      <c r="R123">
        <v>471.47924929562618</v>
      </c>
      <c r="S123">
        <v>131.47924929562623</v>
      </c>
      <c r="T123">
        <v>0.35555555555555557</v>
      </c>
      <c r="U123">
        <v>42.5</v>
      </c>
      <c r="V123">
        <v>0.6791666666666667</v>
      </c>
      <c r="W123">
        <v>67.5</v>
      </c>
      <c r="X123">
        <v>14.9</v>
      </c>
      <c r="Y123">
        <v>40</v>
      </c>
      <c r="Z123">
        <v>0.37083333333333335</v>
      </c>
      <c r="AA123">
        <v>63.5</v>
      </c>
      <c r="AB123">
        <v>17.899999999999999</v>
      </c>
      <c r="AD123">
        <v>25</v>
      </c>
      <c r="AE123">
        <v>23.5</v>
      </c>
      <c r="AF123">
        <v>22.123728042697874</v>
      </c>
      <c r="AG123">
        <v>19.81247184961266</v>
      </c>
      <c r="AH123">
        <v>41.936199892310533</v>
      </c>
      <c r="AI123">
        <v>3.2964354783619831</v>
      </c>
      <c r="AJ123">
        <v>3.5464324610806659</v>
      </c>
      <c r="AK123">
        <v>6.842867939442649</v>
      </c>
      <c r="AL123">
        <v>88.946013965538839</v>
      </c>
      <c r="AM123">
        <v>27.886539967994718</v>
      </c>
      <c r="AN123">
        <v>3.1352208744057997</v>
      </c>
      <c r="AO123">
        <v>14.9</v>
      </c>
      <c r="AP123">
        <v>16.317329555407248</v>
      </c>
      <c r="AQ123">
        <v>14.513614225155527</v>
      </c>
      <c r="AR123">
        <v>52.045231290123304</v>
      </c>
      <c r="AS123">
        <v>-0.51177908138533923</v>
      </c>
      <c r="AT123">
        <v>8.0553069955534493</v>
      </c>
      <c r="AU123">
        <v>28.886003802545947</v>
      </c>
    </row>
    <row r="124" spans="1:48" x14ac:dyDescent="0.35">
      <c r="A124">
        <v>122</v>
      </c>
      <c r="B124">
        <v>46043</v>
      </c>
      <c r="C124" t="s">
        <v>16</v>
      </c>
      <c r="D124" t="s">
        <v>36</v>
      </c>
      <c r="E124" t="s">
        <v>19</v>
      </c>
      <c r="F124" t="s">
        <v>20</v>
      </c>
      <c r="G124" t="s">
        <v>21</v>
      </c>
      <c r="H124" t="s">
        <v>22</v>
      </c>
      <c r="I124" t="s">
        <v>23</v>
      </c>
      <c r="J124" t="s">
        <v>24</v>
      </c>
      <c r="K124" t="s">
        <v>35</v>
      </c>
      <c r="L124">
        <v>27</v>
      </c>
      <c r="M124">
        <v>59</v>
      </c>
      <c r="N124">
        <v>2</v>
      </c>
      <c r="O124">
        <v>3</v>
      </c>
      <c r="P124">
        <v>302</v>
      </c>
      <c r="Q124">
        <v>0.50039999999999996</v>
      </c>
      <c r="R124">
        <v>471.85643269506267</v>
      </c>
      <c r="S124">
        <v>124.65643269506262</v>
      </c>
      <c r="T124">
        <v>0.35555555555555557</v>
      </c>
      <c r="U124">
        <v>41.5</v>
      </c>
      <c r="V124">
        <v>0.6791666666666667</v>
      </c>
      <c r="W124">
        <v>68.5</v>
      </c>
      <c r="X124">
        <v>14.1</v>
      </c>
      <c r="Y124">
        <v>40.5</v>
      </c>
      <c r="Z124">
        <v>0.37083333333333335</v>
      </c>
      <c r="AA124">
        <v>65</v>
      </c>
      <c r="AB124">
        <v>18</v>
      </c>
      <c r="AD124">
        <v>27</v>
      </c>
      <c r="AE124">
        <v>24.5</v>
      </c>
      <c r="AF124">
        <v>24.123728042697874</v>
      </c>
      <c r="AG124">
        <v>20.81247184961266</v>
      </c>
      <c r="AH124">
        <v>44.936199892310533</v>
      </c>
      <c r="AI124">
        <v>3.4014456540203999</v>
      </c>
      <c r="AJ124">
        <v>3.7462449329302787</v>
      </c>
      <c r="AK124">
        <v>7.147690586950679</v>
      </c>
      <c r="AL124">
        <v>95.232780097226225</v>
      </c>
      <c r="AM124">
        <v>26.418296765198889</v>
      </c>
      <c r="AN124">
        <v>2.7740759786942686</v>
      </c>
      <c r="AO124">
        <v>14.1</v>
      </c>
      <c r="AP124">
        <v>15.906308508685864</v>
      </c>
      <c r="AQ124">
        <v>15.148019803663196</v>
      </c>
      <c r="AR124">
        <v>57.339123480578984</v>
      </c>
      <c r="AS124">
        <v>-0.45587684062724382</v>
      </c>
      <c r="AT124">
        <v>8.407413067500265</v>
      </c>
      <c r="AU124">
        <v>31.824205558079132</v>
      </c>
    </row>
    <row r="125" spans="1:48" x14ac:dyDescent="0.35">
      <c r="A125">
        <v>123</v>
      </c>
      <c r="B125">
        <v>46043</v>
      </c>
      <c r="C125" t="s">
        <v>16</v>
      </c>
      <c r="D125" t="s">
        <v>38</v>
      </c>
      <c r="E125" t="s">
        <v>19</v>
      </c>
      <c r="F125" t="s">
        <v>20</v>
      </c>
      <c r="G125" t="s">
        <v>21</v>
      </c>
      <c r="H125" t="s">
        <v>22</v>
      </c>
      <c r="I125" t="s">
        <v>23</v>
      </c>
      <c r="J125" t="s">
        <v>24</v>
      </c>
      <c r="K125" t="s">
        <v>37</v>
      </c>
      <c r="L125">
        <v>27</v>
      </c>
      <c r="M125">
        <v>59</v>
      </c>
      <c r="N125">
        <v>2</v>
      </c>
      <c r="O125">
        <v>1</v>
      </c>
      <c r="P125">
        <v>303</v>
      </c>
      <c r="Q125">
        <v>0.50029999999999997</v>
      </c>
      <c r="R125">
        <v>463.44079313091294</v>
      </c>
      <c r="S125">
        <v>97.94079313091288</v>
      </c>
      <c r="T125">
        <v>0.35555555555555557</v>
      </c>
      <c r="U125">
        <v>41</v>
      </c>
      <c r="V125">
        <v>0.67986111111111114</v>
      </c>
      <c r="W125">
        <v>64</v>
      </c>
      <c r="X125">
        <v>15.3</v>
      </c>
      <c r="Y125">
        <v>40.5</v>
      </c>
      <c r="Z125">
        <v>0.37152777777777779</v>
      </c>
      <c r="AA125">
        <v>63.5</v>
      </c>
      <c r="AB125">
        <v>18.8</v>
      </c>
      <c r="AD125">
        <v>23</v>
      </c>
      <c r="AE125">
        <v>23</v>
      </c>
      <c r="AF125">
        <v>20.123728042697874</v>
      </c>
      <c r="AG125">
        <v>19.31247184961266</v>
      </c>
      <c r="AH125">
        <v>39.436199892310533</v>
      </c>
      <c r="AI125">
        <v>3.0789303905327747</v>
      </c>
      <c r="AJ125">
        <v>3.6307447077271799</v>
      </c>
      <c r="AK125">
        <v>6.7096750982599547</v>
      </c>
      <c r="AL125">
        <v>85.094364753451003</v>
      </c>
      <c r="AM125">
        <v>21.133399256730197</v>
      </c>
      <c r="AN125">
        <v>2.483525121547268</v>
      </c>
      <c r="AO125">
        <v>15.299999999999999</v>
      </c>
      <c r="AP125">
        <v>17.014000123191995</v>
      </c>
      <c r="AQ125">
        <v>14.477955323981595</v>
      </c>
      <c r="AR125">
        <v>68.50746133218918</v>
      </c>
      <c r="AS125">
        <v>-0.38724003466141493</v>
      </c>
      <c r="AT125">
        <v>8.0355156884659102</v>
      </c>
      <c r="AU125">
        <v>38.02282628956106</v>
      </c>
    </row>
    <row r="126" spans="1:48" x14ac:dyDescent="0.35">
      <c r="A126">
        <v>124</v>
      </c>
      <c r="B126">
        <v>46043</v>
      </c>
      <c r="C126" t="s">
        <v>16</v>
      </c>
      <c r="D126" t="s">
        <v>38</v>
      </c>
      <c r="E126" t="s">
        <v>19</v>
      </c>
      <c r="F126" t="s">
        <v>20</v>
      </c>
      <c r="G126" t="s">
        <v>21</v>
      </c>
      <c r="H126" t="s">
        <v>22</v>
      </c>
      <c r="I126" t="s">
        <v>23</v>
      </c>
      <c r="J126" t="s">
        <v>24</v>
      </c>
      <c r="K126" t="s">
        <v>37</v>
      </c>
      <c r="L126">
        <v>27</v>
      </c>
      <c r="M126">
        <v>59</v>
      </c>
      <c r="N126">
        <v>2</v>
      </c>
      <c r="O126">
        <v>2</v>
      </c>
      <c r="P126">
        <v>304</v>
      </c>
      <c r="Q126">
        <v>0.50039999999999996</v>
      </c>
      <c r="R126">
        <v>463.5334257099916</v>
      </c>
      <c r="S126">
        <v>65.233425709991593</v>
      </c>
      <c r="T126">
        <v>0.35625000000000001</v>
      </c>
      <c r="U126">
        <v>42</v>
      </c>
      <c r="V126">
        <v>0.67986111111111114</v>
      </c>
      <c r="W126">
        <v>67</v>
      </c>
      <c r="X126">
        <v>14.3</v>
      </c>
      <c r="Y126">
        <v>40.5</v>
      </c>
      <c r="Z126">
        <v>0.37291666666666667</v>
      </c>
      <c r="AA126">
        <v>64</v>
      </c>
      <c r="AB126">
        <v>18.600000000000001</v>
      </c>
      <c r="AD126">
        <v>25</v>
      </c>
      <c r="AE126">
        <v>23.5</v>
      </c>
      <c r="AF126">
        <v>22.123728042697874</v>
      </c>
      <c r="AG126">
        <v>19.81247184961266</v>
      </c>
      <c r="AH126">
        <v>41.936199892310533</v>
      </c>
      <c r="AI126">
        <v>3.1636931101057963</v>
      </c>
      <c r="AJ126">
        <v>3.6851197640279554</v>
      </c>
      <c r="AK126">
        <v>6.8488128741337517</v>
      </c>
      <c r="AL126">
        <v>90.470713796048443</v>
      </c>
      <c r="AM126">
        <v>14.073079111840514</v>
      </c>
      <c r="AN126">
        <v>1.5555397455541236</v>
      </c>
      <c r="AO126">
        <v>14.300000000000002</v>
      </c>
      <c r="AP126">
        <v>16.331505696083724</v>
      </c>
      <c r="AQ126">
        <v>14.775229776889255</v>
      </c>
      <c r="AR126">
        <v>104.98931796992444</v>
      </c>
      <c r="AS126">
        <v>-0.24609203180302067</v>
      </c>
      <c r="AT126">
        <v>8.200508152986286</v>
      </c>
      <c r="AU126">
        <v>58.270887897494397</v>
      </c>
    </row>
    <row r="127" spans="1:48" x14ac:dyDescent="0.35">
      <c r="A127">
        <v>125</v>
      </c>
      <c r="B127">
        <v>46043</v>
      </c>
      <c r="C127" t="s">
        <v>16</v>
      </c>
      <c r="D127" t="s">
        <v>38</v>
      </c>
      <c r="E127" t="s">
        <v>19</v>
      </c>
      <c r="F127" t="s">
        <v>20</v>
      </c>
      <c r="G127" t="s">
        <v>21</v>
      </c>
      <c r="H127" t="s">
        <v>22</v>
      </c>
      <c r="I127" t="s">
        <v>23</v>
      </c>
      <c r="J127" t="s">
        <v>24</v>
      </c>
      <c r="K127" t="s">
        <v>37</v>
      </c>
      <c r="L127">
        <v>27</v>
      </c>
      <c r="M127">
        <v>59</v>
      </c>
      <c r="N127">
        <v>2</v>
      </c>
      <c r="O127">
        <v>3</v>
      </c>
      <c r="P127">
        <v>305</v>
      </c>
      <c r="Q127">
        <v>0.50009999999999999</v>
      </c>
      <c r="R127">
        <v>463.25552797275549</v>
      </c>
      <c r="S127">
        <v>7.3555279727555103</v>
      </c>
      <c r="T127">
        <v>0.35694444444444445</v>
      </c>
      <c r="U127">
        <v>41.5</v>
      </c>
      <c r="V127">
        <v>0.68055555555555558</v>
      </c>
      <c r="W127">
        <v>67</v>
      </c>
      <c r="X127">
        <v>14.5</v>
      </c>
      <c r="Y127">
        <v>41.5</v>
      </c>
      <c r="Z127">
        <v>0.37291666666666667</v>
      </c>
      <c r="AA127">
        <v>59.5</v>
      </c>
      <c r="AB127">
        <v>19</v>
      </c>
    </row>
    <row r="128" spans="1:48" x14ac:dyDescent="0.35">
      <c r="A128">
        <v>126</v>
      </c>
      <c r="B128">
        <v>46043</v>
      </c>
      <c r="C128" t="s">
        <v>16</v>
      </c>
      <c r="D128" t="s">
        <v>40</v>
      </c>
      <c r="E128" t="s">
        <v>19</v>
      </c>
      <c r="F128" t="s">
        <v>20</v>
      </c>
      <c r="G128" t="s">
        <v>21</v>
      </c>
      <c r="H128" t="s">
        <v>22</v>
      </c>
      <c r="I128" t="s">
        <v>23</v>
      </c>
      <c r="J128" t="s">
        <v>24</v>
      </c>
      <c r="K128" t="s">
        <v>39</v>
      </c>
      <c r="L128">
        <v>27</v>
      </c>
      <c r="M128">
        <v>59</v>
      </c>
      <c r="N128">
        <v>2</v>
      </c>
      <c r="O128">
        <v>1</v>
      </c>
      <c r="P128">
        <v>306</v>
      </c>
      <c r="Q128">
        <v>0.50009999999999999</v>
      </c>
      <c r="R128">
        <v>473.35802098950501</v>
      </c>
      <c r="S128">
        <v>118.75802098950498</v>
      </c>
      <c r="T128">
        <v>0.35972222222222222</v>
      </c>
      <c r="U128">
        <v>40.5</v>
      </c>
      <c r="V128">
        <v>0.68125000000000002</v>
      </c>
      <c r="W128">
        <v>64.5</v>
      </c>
      <c r="X128">
        <v>16.100000000000001</v>
      </c>
      <c r="Y128">
        <v>41.5</v>
      </c>
      <c r="Z128">
        <v>0.37361111111111112</v>
      </c>
      <c r="AA128">
        <v>58.5</v>
      </c>
      <c r="AB128">
        <v>19</v>
      </c>
      <c r="AD128">
        <v>24</v>
      </c>
      <c r="AE128">
        <v>17</v>
      </c>
      <c r="AF128">
        <v>21.123728042697874</v>
      </c>
      <c r="AG128">
        <v>13.31247184961266</v>
      </c>
      <c r="AH128">
        <v>34.436199892310533</v>
      </c>
      <c r="AI128">
        <v>3.4009202148743576</v>
      </c>
      <c r="AJ128">
        <v>2.5293696514264052</v>
      </c>
      <c r="AK128">
        <v>5.9302898663007628</v>
      </c>
      <c r="AL128">
        <v>72.748740626228937</v>
      </c>
      <c r="AM128">
        <v>25.088414207338005</v>
      </c>
      <c r="AN128">
        <v>3.4486389718054569</v>
      </c>
      <c r="AO128">
        <v>16.100000000000001</v>
      </c>
      <c r="AP128">
        <v>17.221092585262213</v>
      </c>
      <c r="AQ128">
        <v>12.528127977855149</v>
      </c>
      <c r="AR128">
        <v>49.935910154858853</v>
      </c>
      <c r="AS128">
        <v>-0.56197179576224543</v>
      </c>
      <c r="AT128">
        <v>6.9533277773286013</v>
      </c>
      <c r="AU128">
        <v>27.715294079028922</v>
      </c>
    </row>
    <row r="129" spans="1:48" x14ac:dyDescent="0.35">
      <c r="A129">
        <v>127</v>
      </c>
      <c r="B129">
        <v>46043</v>
      </c>
      <c r="C129" t="s">
        <v>16</v>
      </c>
      <c r="D129" t="s">
        <v>40</v>
      </c>
      <c r="E129" t="s">
        <v>19</v>
      </c>
      <c r="F129" t="s">
        <v>20</v>
      </c>
      <c r="G129" t="s">
        <v>21</v>
      </c>
      <c r="H129" t="s">
        <v>22</v>
      </c>
      <c r="I129" t="s">
        <v>23</v>
      </c>
      <c r="J129" t="s">
        <v>24</v>
      </c>
      <c r="K129" t="s">
        <v>39</v>
      </c>
      <c r="L129">
        <v>27</v>
      </c>
      <c r="M129">
        <v>59</v>
      </c>
      <c r="N129">
        <v>2</v>
      </c>
      <c r="O129">
        <v>2</v>
      </c>
      <c r="P129">
        <v>307</v>
      </c>
      <c r="Q129">
        <v>0.50009999999999999</v>
      </c>
      <c r="R129">
        <v>473.35802098950501</v>
      </c>
      <c r="S129">
        <v>86.458020989504973</v>
      </c>
      <c r="T129">
        <v>0.35972222222222222</v>
      </c>
      <c r="U129">
        <v>41.5</v>
      </c>
      <c r="V129">
        <v>0.68125000000000002</v>
      </c>
      <c r="W129">
        <v>64</v>
      </c>
      <c r="X129">
        <v>15.3</v>
      </c>
      <c r="Y129">
        <v>41</v>
      </c>
      <c r="Z129">
        <v>0.37361111111111112</v>
      </c>
      <c r="AA129">
        <v>58</v>
      </c>
      <c r="AB129">
        <v>19.100000000000001</v>
      </c>
      <c r="AD129">
        <v>22.5</v>
      </c>
      <c r="AE129">
        <v>17</v>
      </c>
      <c r="AF129">
        <v>19.623728042697874</v>
      </c>
      <c r="AG129">
        <v>13.31247184961266</v>
      </c>
      <c r="AH129">
        <v>32.936199892310533</v>
      </c>
      <c r="AI129">
        <v>3.0024303905327745</v>
      </c>
      <c r="AJ129">
        <v>2.5426821232760179</v>
      </c>
      <c r="AK129">
        <v>5.5451125138087924</v>
      </c>
      <c r="AL129">
        <v>69.579891819432746</v>
      </c>
      <c r="AM129">
        <v>18.2648264433702</v>
      </c>
      <c r="AN129">
        <v>2.6250150676821082</v>
      </c>
      <c r="AO129">
        <v>15.299999999999999</v>
      </c>
      <c r="AP129">
        <v>16.835920755701341</v>
      </c>
      <c r="AQ129">
        <v>11.714415448622418</v>
      </c>
      <c r="AR129">
        <v>64.136472826296895</v>
      </c>
      <c r="AS129">
        <v>-0.26888357087467518</v>
      </c>
      <c r="AT129">
        <v>6.5017032455329966</v>
      </c>
      <c r="AU129">
        <v>35.596852046152328</v>
      </c>
    </row>
    <row r="130" spans="1:48" x14ac:dyDescent="0.35">
      <c r="A130">
        <v>128</v>
      </c>
      <c r="B130">
        <v>46043</v>
      </c>
      <c r="C130" t="s">
        <v>16</v>
      </c>
      <c r="D130" t="s">
        <v>40</v>
      </c>
      <c r="E130" t="s">
        <v>19</v>
      </c>
      <c r="F130" t="s">
        <v>20</v>
      </c>
      <c r="G130" t="s">
        <v>21</v>
      </c>
      <c r="H130" t="s">
        <v>22</v>
      </c>
      <c r="I130" t="s">
        <v>23</v>
      </c>
      <c r="J130" t="s">
        <v>24</v>
      </c>
      <c r="K130" t="s">
        <v>39</v>
      </c>
      <c r="L130">
        <v>27</v>
      </c>
      <c r="M130">
        <v>59</v>
      </c>
      <c r="N130">
        <v>2</v>
      </c>
      <c r="O130">
        <v>3</v>
      </c>
      <c r="P130">
        <v>308</v>
      </c>
      <c r="Q130">
        <v>0.50019999999999998</v>
      </c>
      <c r="R130">
        <v>473.45267366316818</v>
      </c>
      <c r="S130">
        <v>114.85267366316816</v>
      </c>
      <c r="T130">
        <v>0.35972222222222222</v>
      </c>
      <c r="U130">
        <v>41.5</v>
      </c>
      <c r="V130">
        <v>0.68194444444444446</v>
      </c>
      <c r="W130">
        <v>66</v>
      </c>
      <c r="X130">
        <v>14.5</v>
      </c>
      <c r="Y130">
        <v>40.5</v>
      </c>
      <c r="Z130">
        <v>0.37361111111111112</v>
      </c>
      <c r="AA130">
        <v>58</v>
      </c>
      <c r="AB130">
        <v>19.2</v>
      </c>
      <c r="AD130">
        <v>24.5</v>
      </c>
      <c r="AE130">
        <v>17.5</v>
      </c>
      <c r="AF130">
        <v>21.623728042697874</v>
      </c>
      <c r="AG130">
        <v>13.81247184961266</v>
      </c>
      <c r="AH130">
        <v>35.436199892310533</v>
      </c>
      <c r="AI130">
        <v>3.1354405661911913</v>
      </c>
      <c r="AJ130">
        <v>2.6519945951256307</v>
      </c>
      <c r="AK130">
        <v>5.7874351613168216</v>
      </c>
      <c r="AL130">
        <v>74.846340222636826</v>
      </c>
      <c r="AM130">
        <v>24.258533123181518</v>
      </c>
      <c r="AN130">
        <v>3.2411114626343043</v>
      </c>
      <c r="AO130">
        <v>14.499999999999998</v>
      </c>
      <c r="AP130">
        <v>16.331985875756008</v>
      </c>
      <c r="AQ130">
        <v>12.223893713681335</v>
      </c>
      <c r="AR130">
        <v>50.390077799057636</v>
      </c>
      <c r="AS130">
        <v>-0.49140324489590048</v>
      </c>
      <c r="AT130">
        <v>6.7844724971435495</v>
      </c>
      <c r="AU130">
        <v>27.967364979130949</v>
      </c>
    </row>
    <row r="131" spans="1:48" x14ac:dyDescent="0.35">
      <c r="A131">
        <v>129</v>
      </c>
      <c r="B131">
        <v>46043</v>
      </c>
      <c r="C131" t="s">
        <v>16</v>
      </c>
      <c r="D131" t="s">
        <v>42</v>
      </c>
      <c r="E131" t="s">
        <v>19</v>
      </c>
      <c r="F131" t="s">
        <v>20</v>
      </c>
      <c r="G131" t="s">
        <v>21</v>
      </c>
      <c r="H131" t="s">
        <v>22</v>
      </c>
      <c r="I131" t="s">
        <v>23</v>
      </c>
      <c r="J131" t="s">
        <v>24</v>
      </c>
      <c r="K131" t="s">
        <v>41</v>
      </c>
      <c r="L131">
        <v>27</v>
      </c>
      <c r="M131">
        <v>59</v>
      </c>
      <c r="N131">
        <v>2</v>
      </c>
      <c r="O131">
        <v>1</v>
      </c>
      <c r="P131">
        <v>309</v>
      </c>
      <c r="Q131">
        <v>0.50009999999999999</v>
      </c>
      <c r="R131">
        <v>475.03002523680652</v>
      </c>
      <c r="S131">
        <v>82.830025236806534</v>
      </c>
      <c r="T131">
        <v>0.35972222222222222</v>
      </c>
      <c r="U131">
        <v>42</v>
      </c>
      <c r="V131">
        <v>0.68194444444444446</v>
      </c>
      <c r="W131">
        <v>62</v>
      </c>
      <c r="X131">
        <v>13.8</v>
      </c>
      <c r="Y131">
        <v>40.5</v>
      </c>
      <c r="Z131">
        <v>0.37430555555555556</v>
      </c>
      <c r="AA131">
        <v>60</v>
      </c>
      <c r="AB131">
        <v>19.2</v>
      </c>
      <c r="AD131">
        <v>20</v>
      </c>
      <c r="AE131">
        <v>19.5</v>
      </c>
      <c r="AF131">
        <v>17.123728042697874</v>
      </c>
      <c r="AG131">
        <v>15.81247184961266</v>
      </c>
      <c r="AH131">
        <v>32.936199892310533</v>
      </c>
      <c r="AI131">
        <v>2.363074469892307</v>
      </c>
      <c r="AJ131">
        <v>3.0359945951256306</v>
      </c>
      <c r="AK131">
        <v>5.3990690650179376</v>
      </c>
      <c r="AL131">
        <v>69.334985458848749</v>
      </c>
      <c r="AM131">
        <v>17.436797851991578</v>
      </c>
      <c r="AN131">
        <v>2.5148628411180032</v>
      </c>
      <c r="AO131">
        <v>13.800000000000004</v>
      </c>
      <c r="AP131">
        <v>16.392507583360985</v>
      </c>
      <c r="AQ131">
        <v>11.365742749264019</v>
      </c>
      <c r="AR131">
        <v>65.18251140914532</v>
      </c>
      <c r="AS131">
        <v>-0.23647725380846091</v>
      </c>
      <c r="AT131">
        <v>6.3081838649894415</v>
      </c>
      <c r="AU131">
        <v>36.177421557186541</v>
      </c>
    </row>
    <row r="132" spans="1:48" x14ac:dyDescent="0.35">
      <c r="A132">
        <v>130</v>
      </c>
      <c r="B132">
        <v>46043</v>
      </c>
      <c r="C132" t="s">
        <v>16</v>
      </c>
      <c r="D132" t="s">
        <v>42</v>
      </c>
      <c r="E132" t="s">
        <v>19</v>
      </c>
      <c r="F132" t="s">
        <v>20</v>
      </c>
      <c r="G132" t="s">
        <v>21</v>
      </c>
      <c r="H132" t="s">
        <v>22</v>
      </c>
      <c r="I132" t="s">
        <v>23</v>
      </c>
      <c r="J132" t="s">
        <v>24</v>
      </c>
      <c r="K132" t="s">
        <v>41</v>
      </c>
      <c r="L132">
        <v>27</v>
      </c>
      <c r="M132">
        <v>59</v>
      </c>
      <c r="N132">
        <v>2</v>
      </c>
      <c r="O132">
        <v>2</v>
      </c>
      <c r="P132">
        <v>310</v>
      </c>
      <c r="Q132">
        <v>0.5</v>
      </c>
      <c r="R132">
        <v>474.9350382291608</v>
      </c>
      <c r="S132">
        <v>0</v>
      </c>
      <c r="T132">
        <v>0.36041666666666666</v>
      </c>
      <c r="U132">
        <v>40.5</v>
      </c>
      <c r="V132">
        <v>0.68263888888888891</v>
      </c>
      <c r="W132">
        <v>55.5</v>
      </c>
      <c r="X132">
        <v>18</v>
      </c>
      <c r="Y132">
        <v>40.5</v>
      </c>
      <c r="Z132">
        <v>0.37430555555555556</v>
      </c>
      <c r="AA132">
        <v>57.5</v>
      </c>
      <c r="AB132">
        <v>19.100000000000001</v>
      </c>
      <c r="AD132">
        <v>15</v>
      </c>
      <c r="AE132">
        <v>17</v>
      </c>
      <c r="AV132" t="s">
        <v>614</v>
      </c>
    </row>
    <row r="133" spans="1:48" x14ac:dyDescent="0.35">
      <c r="A133">
        <v>131</v>
      </c>
      <c r="B133">
        <v>46043</v>
      </c>
      <c r="C133" t="s">
        <v>16</v>
      </c>
      <c r="D133" t="s">
        <v>42</v>
      </c>
      <c r="E133" t="s">
        <v>19</v>
      </c>
      <c r="F133" t="s">
        <v>20</v>
      </c>
      <c r="G133" t="s">
        <v>21</v>
      </c>
      <c r="H133" t="s">
        <v>22</v>
      </c>
      <c r="I133" t="s">
        <v>23</v>
      </c>
      <c r="J133" t="s">
        <v>24</v>
      </c>
      <c r="K133" t="s">
        <v>41</v>
      </c>
      <c r="L133">
        <v>27</v>
      </c>
      <c r="M133">
        <v>59</v>
      </c>
      <c r="N133">
        <v>2</v>
      </c>
      <c r="O133">
        <v>3</v>
      </c>
      <c r="P133">
        <v>311</v>
      </c>
      <c r="Q133">
        <v>0.5</v>
      </c>
      <c r="R133">
        <v>474.9350382291608</v>
      </c>
      <c r="S133">
        <v>88.935038229160796</v>
      </c>
      <c r="T133">
        <v>0.3611111111111111</v>
      </c>
      <c r="U133">
        <v>41.5</v>
      </c>
      <c r="V133">
        <v>0.68263888888888891</v>
      </c>
      <c r="W133">
        <v>62</v>
      </c>
      <c r="X133">
        <v>15.3</v>
      </c>
      <c r="Y133">
        <v>40</v>
      </c>
      <c r="Z133">
        <v>0.37430555555555556</v>
      </c>
      <c r="AA133">
        <v>58</v>
      </c>
      <c r="AB133">
        <v>19.2</v>
      </c>
      <c r="AD133">
        <v>20.5</v>
      </c>
      <c r="AE133">
        <v>18</v>
      </c>
      <c r="AF133">
        <v>17.623728042697874</v>
      </c>
      <c r="AG133">
        <v>14.31247184961266</v>
      </c>
      <c r="AH133">
        <v>31.936199892310533</v>
      </c>
      <c r="AI133">
        <v>2.6964303905327744</v>
      </c>
      <c r="AJ133">
        <v>2.7479945951256308</v>
      </c>
      <c r="AK133">
        <v>5.4444249856584053</v>
      </c>
      <c r="AL133">
        <v>67.243301339458142</v>
      </c>
      <c r="AM133">
        <v>18.725726903781055</v>
      </c>
      <c r="AN133">
        <v>2.7847720933940612</v>
      </c>
      <c r="AO133">
        <v>15.299999999999999</v>
      </c>
      <c r="AP133">
        <v>17.047817223142104</v>
      </c>
      <c r="AQ133">
        <v>11.463515107157491</v>
      </c>
      <c r="AR133">
        <v>61.21799792371641</v>
      </c>
      <c r="AS133">
        <v>-0.26032852932161071</v>
      </c>
      <c r="AT133">
        <v>6.3624492151836041</v>
      </c>
      <c r="AU133">
        <v>33.977047982574788</v>
      </c>
    </row>
    <row r="134" spans="1:48" x14ac:dyDescent="0.35">
      <c r="A134">
        <v>132</v>
      </c>
      <c r="B134">
        <v>46043</v>
      </c>
      <c r="C134" t="s">
        <v>16</v>
      </c>
      <c r="D134" t="s">
        <v>44</v>
      </c>
      <c r="E134" t="s">
        <v>19</v>
      </c>
      <c r="F134" t="s">
        <v>20</v>
      </c>
      <c r="G134" t="s">
        <v>21</v>
      </c>
      <c r="H134" t="s">
        <v>22</v>
      </c>
      <c r="I134" t="s">
        <v>23</v>
      </c>
      <c r="J134" t="s">
        <v>24</v>
      </c>
      <c r="K134" t="s">
        <v>43</v>
      </c>
      <c r="L134">
        <v>27</v>
      </c>
      <c r="M134">
        <v>59</v>
      </c>
      <c r="N134">
        <v>2</v>
      </c>
      <c r="O134">
        <v>1</v>
      </c>
      <c r="P134">
        <v>312</v>
      </c>
      <c r="Q134">
        <v>0.50019999999999998</v>
      </c>
      <c r="R134">
        <v>472.90545672596471</v>
      </c>
      <c r="S134">
        <v>96.505456725964734</v>
      </c>
      <c r="T134">
        <v>0.36180555555555555</v>
      </c>
      <c r="U134">
        <v>42</v>
      </c>
      <c r="V134">
        <v>0.68333333333333335</v>
      </c>
      <c r="W134">
        <v>65</v>
      </c>
      <c r="X134">
        <v>13.7</v>
      </c>
      <c r="Y134">
        <v>40.5</v>
      </c>
      <c r="Z134">
        <v>0.375</v>
      </c>
      <c r="AA134">
        <v>61</v>
      </c>
      <c r="AB134">
        <v>19.3</v>
      </c>
      <c r="AD134">
        <v>23</v>
      </c>
      <c r="AE134">
        <v>20.5</v>
      </c>
      <c r="AF134">
        <v>20.123728042697874</v>
      </c>
      <c r="AG134">
        <v>16.81247184961266</v>
      </c>
      <c r="AH134">
        <v>36.936199892310533</v>
      </c>
      <c r="AI134">
        <v>2.7569507418496082</v>
      </c>
      <c r="AJ134">
        <v>3.2448070669752433</v>
      </c>
      <c r="AK134">
        <v>6.001757808824852</v>
      </c>
      <c r="AL134">
        <v>78.104829130178572</v>
      </c>
      <c r="AM134">
        <v>20.406923911196674</v>
      </c>
      <c r="AN134">
        <v>2.6127608418660166</v>
      </c>
      <c r="AO134">
        <v>13.699999999999998</v>
      </c>
      <c r="AP134">
        <v>16.248985619320067</v>
      </c>
      <c r="AQ134">
        <v>12.691242453357226</v>
      </c>
      <c r="AR134">
        <v>62.190864770137736</v>
      </c>
      <c r="AS134">
        <v>-0.40707884539573563</v>
      </c>
      <c r="AT134">
        <v>7.0438591332820035</v>
      </c>
      <c r="AU134">
        <v>34.517005913944956</v>
      </c>
    </row>
    <row r="135" spans="1:48" x14ac:dyDescent="0.35">
      <c r="A135">
        <v>133</v>
      </c>
      <c r="B135">
        <v>46043</v>
      </c>
      <c r="C135" t="s">
        <v>16</v>
      </c>
      <c r="D135" t="s">
        <v>44</v>
      </c>
      <c r="E135" t="s">
        <v>19</v>
      </c>
      <c r="F135" t="s">
        <v>20</v>
      </c>
      <c r="G135" t="s">
        <v>21</v>
      </c>
      <c r="H135" t="s">
        <v>22</v>
      </c>
      <c r="I135" t="s">
        <v>23</v>
      </c>
      <c r="J135" t="s">
        <v>24</v>
      </c>
      <c r="K135" t="s">
        <v>43</v>
      </c>
      <c r="L135">
        <v>27</v>
      </c>
      <c r="M135">
        <v>59</v>
      </c>
      <c r="N135">
        <v>2</v>
      </c>
      <c r="O135">
        <v>2</v>
      </c>
      <c r="P135">
        <v>313</v>
      </c>
      <c r="Q135">
        <v>0.50029999999999997</v>
      </c>
      <c r="R135">
        <v>473.00000000000028</v>
      </c>
      <c r="S135">
        <v>96.500000000000341</v>
      </c>
      <c r="T135">
        <v>0.36249999999999999</v>
      </c>
      <c r="U135">
        <v>41.5</v>
      </c>
      <c r="V135">
        <v>0.68333333333333335</v>
      </c>
      <c r="W135">
        <v>63.5</v>
      </c>
      <c r="X135">
        <v>14.4</v>
      </c>
      <c r="Y135">
        <v>40.5</v>
      </c>
      <c r="Z135">
        <v>0.375</v>
      </c>
      <c r="AA135">
        <v>61</v>
      </c>
      <c r="AB135">
        <v>19.3</v>
      </c>
      <c r="AD135">
        <v>22</v>
      </c>
      <c r="AE135">
        <v>20.5</v>
      </c>
      <c r="AF135">
        <v>19.123728042697874</v>
      </c>
      <c r="AG135">
        <v>16.81247184961266</v>
      </c>
      <c r="AH135">
        <v>35.936199892310533</v>
      </c>
      <c r="AI135">
        <v>2.7538168381484942</v>
      </c>
      <c r="AJ135">
        <v>3.2448070669752433</v>
      </c>
      <c r="AK135">
        <v>5.998623905123738</v>
      </c>
      <c r="AL135">
        <v>75.975052626449283</v>
      </c>
      <c r="AM135">
        <v>20.401691331923949</v>
      </c>
      <c r="AN135">
        <v>2.6853145376856884</v>
      </c>
      <c r="AO135">
        <v>14.400000000000002</v>
      </c>
      <c r="AP135">
        <v>16.692426920764365</v>
      </c>
      <c r="AQ135">
        <v>12.682080137682313</v>
      </c>
      <c r="AR135">
        <v>62.161905752577375</v>
      </c>
      <c r="AS135">
        <v>-0.4066582187716351</v>
      </c>
      <c r="AT135">
        <v>7.0387738895648546</v>
      </c>
      <c r="AU135">
        <v>34.500933158177894</v>
      </c>
    </row>
    <row r="136" spans="1:48" x14ac:dyDescent="0.35">
      <c r="A136">
        <v>134</v>
      </c>
      <c r="B136">
        <v>46043</v>
      </c>
      <c r="C136" t="s">
        <v>16</v>
      </c>
      <c r="D136" t="s">
        <v>44</v>
      </c>
      <c r="E136" t="s">
        <v>19</v>
      </c>
      <c r="F136" t="s">
        <v>20</v>
      </c>
      <c r="G136" t="s">
        <v>21</v>
      </c>
      <c r="H136" t="s">
        <v>22</v>
      </c>
      <c r="I136" t="s">
        <v>23</v>
      </c>
      <c r="J136" t="s">
        <v>24</v>
      </c>
      <c r="K136" t="s">
        <v>43</v>
      </c>
      <c r="L136">
        <v>27</v>
      </c>
      <c r="M136">
        <v>59</v>
      </c>
      <c r="N136">
        <v>2</v>
      </c>
      <c r="O136">
        <v>3</v>
      </c>
      <c r="P136">
        <v>314</v>
      </c>
      <c r="Q136">
        <v>0.50029999999999997</v>
      </c>
      <c r="R136">
        <v>473.00000000000028</v>
      </c>
      <c r="S136">
        <v>97.900000000000318</v>
      </c>
      <c r="T136">
        <v>0.36180555555555555</v>
      </c>
      <c r="U136">
        <v>41.5</v>
      </c>
      <c r="V136">
        <v>0.68402777777777779</v>
      </c>
      <c r="W136">
        <v>65</v>
      </c>
      <c r="X136">
        <v>14</v>
      </c>
      <c r="Y136">
        <v>40.5</v>
      </c>
      <c r="Z136">
        <v>0.37569444444444444</v>
      </c>
      <c r="AA136">
        <v>61.5</v>
      </c>
      <c r="AB136">
        <v>19.100000000000001</v>
      </c>
      <c r="AD136">
        <v>23.5</v>
      </c>
      <c r="AE136">
        <v>21</v>
      </c>
      <c r="AF136">
        <v>20.623728042697874</v>
      </c>
      <c r="AG136">
        <v>17.31247184961266</v>
      </c>
      <c r="AH136">
        <v>37.936199892310533</v>
      </c>
      <c r="AI136">
        <v>2.8873219259777025</v>
      </c>
      <c r="AJ136">
        <v>3.3066821232760182</v>
      </c>
      <c r="AK136">
        <v>6.1940040492537207</v>
      </c>
      <c r="AL136">
        <v>80.203382436174451</v>
      </c>
      <c r="AM136">
        <v>20.697674418604706</v>
      </c>
      <c r="AN136">
        <v>2.5806485699123525</v>
      </c>
      <c r="AO136">
        <v>14.000000000000002</v>
      </c>
      <c r="AP136">
        <v>16.327423587066274</v>
      </c>
      <c r="AQ136">
        <v>13.095145981508916</v>
      </c>
      <c r="AR136">
        <v>63.268682832009205</v>
      </c>
      <c r="AS136">
        <v>-0.43241161540678874</v>
      </c>
      <c r="AT136">
        <v>7.2680325793565057</v>
      </c>
      <c r="AU136">
        <v>35.115213585654935</v>
      </c>
    </row>
    <row r="137" spans="1:48" x14ac:dyDescent="0.35">
      <c r="A137">
        <v>135</v>
      </c>
      <c r="B137">
        <v>46043</v>
      </c>
      <c r="C137" t="s">
        <v>16</v>
      </c>
      <c r="D137" t="s">
        <v>46</v>
      </c>
      <c r="E137" t="s">
        <v>19</v>
      </c>
      <c r="F137" t="s">
        <v>20</v>
      </c>
      <c r="G137" t="s">
        <v>21</v>
      </c>
      <c r="H137" t="s">
        <v>22</v>
      </c>
      <c r="I137" t="s">
        <v>23</v>
      </c>
      <c r="J137" t="s">
        <v>24</v>
      </c>
      <c r="K137" t="s">
        <v>45</v>
      </c>
      <c r="L137">
        <v>27</v>
      </c>
      <c r="M137">
        <v>59</v>
      </c>
      <c r="N137">
        <v>2</v>
      </c>
      <c r="O137">
        <v>1</v>
      </c>
      <c r="P137">
        <v>315</v>
      </c>
      <c r="Q137">
        <v>0.50029999999999997</v>
      </c>
      <c r="R137">
        <v>471.22078626412053</v>
      </c>
      <c r="S137">
        <v>97.3207862641205</v>
      </c>
      <c r="T137">
        <v>0.36249999999999999</v>
      </c>
      <c r="U137">
        <v>40</v>
      </c>
      <c r="V137">
        <v>0.68402777777777779</v>
      </c>
      <c r="W137">
        <v>62.5</v>
      </c>
      <c r="X137">
        <v>15.5</v>
      </c>
      <c r="Y137">
        <v>40</v>
      </c>
      <c r="Z137">
        <v>0.37638888888888888</v>
      </c>
      <c r="AA137">
        <v>56</v>
      </c>
      <c r="AB137">
        <v>19.100000000000001</v>
      </c>
      <c r="AD137">
        <v>22.5</v>
      </c>
      <c r="AE137">
        <v>16</v>
      </c>
      <c r="AF137">
        <v>19.623728042697874</v>
      </c>
      <c r="AG137">
        <v>12.31247184961266</v>
      </c>
      <c r="AH137">
        <v>31.936199892310533</v>
      </c>
      <c r="AI137">
        <v>3.0416778466181702</v>
      </c>
      <c r="AJ137">
        <v>2.3516821232760181</v>
      </c>
      <c r="AK137">
        <v>5.3933599698941883</v>
      </c>
      <c r="AL137">
        <v>67.773325844777574</v>
      </c>
      <c r="AM137">
        <v>20.652906047648742</v>
      </c>
      <c r="AN137">
        <v>3.0473502355411108</v>
      </c>
      <c r="AO137">
        <v>15.499999999999998</v>
      </c>
      <c r="AP137">
        <v>16.887920253758114</v>
      </c>
      <c r="AQ137">
        <v>11.445505221985679</v>
      </c>
      <c r="AR137">
        <v>55.418376453074053</v>
      </c>
      <c r="AS137">
        <v>-0.19471508088217923</v>
      </c>
      <c r="AT137">
        <v>6.352453417323539</v>
      </c>
      <c r="AU137">
        <v>30.758157726896467</v>
      </c>
    </row>
    <row r="138" spans="1:48" x14ac:dyDescent="0.35">
      <c r="A138">
        <v>136</v>
      </c>
      <c r="B138">
        <v>46043</v>
      </c>
      <c r="C138" t="s">
        <v>16</v>
      </c>
      <c r="D138" t="s">
        <v>46</v>
      </c>
      <c r="E138" t="s">
        <v>19</v>
      </c>
      <c r="F138" t="s">
        <v>20</v>
      </c>
      <c r="G138" t="s">
        <v>21</v>
      </c>
      <c r="H138" t="s">
        <v>22</v>
      </c>
      <c r="I138" t="s">
        <v>23</v>
      </c>
      <c r="J138" t="s">
        <v>24</v>
      </c>
      <c r="K138" t="s">
        <v>45</v>
      </c>
      <c r="L138">
        <v>27</v>
      </c>
      <c r="M138">
        <v>59</v>
      </c>
      <c r="N138">
        <v>2</v>
      </c>
      <c r="O138">
        <v>2</v>
      </c>
      <c r="P138">
        <v>316</v>
      </c>
      <c r="Q138">
        <v>0.5</v>
      </c>
      <c r="R138">
        <v>470.93822333012247</v>
      </c>
      <c r="S138">
        <v>54.638223330122457</v>
      </c>
      <c r="T138">
        <v>0.36249999999999999</v>
      </c>
      <c r="U138">
        <v>41</v>
      </c>
      <c r="V138">
        <v>0.68472222222222223</v>
      </c>
      <c r="W138">
        <v>66</v>
      </c>
      <c r="X138">
        <v>14.2</v>
      </c>
      <c r="Y138">
        <v>40</v>
      </c>
      <c r="Z138">
        <v>0.37638888888888888</v>
      </c>
      <c r="AA138">
        <v>55.5</v>
      </c>
      <c r="AB138">
        <v>18.3</v>
      </c>
      <c r="AD138">
        <v>25</v>
      </c>
      <c r="AE138">
        <v>15.5</v>
      </c>
      <c r="AF138">
        <v>22.123728042697874</v>
      </c>
      <c r="AG138">
        <v>11.81247184961266</v>
      </c>
      <c r="AH138">
        <v>33.936199892310533</v>
      </c>
      <c r="AI138">
        <v>3.1415693820630977</v>
      </c>
      <c r="AJ138">
        <v>2.1616823484791166</v>
      </c>
      <c r="AK138">
        <v>5.3032517305422147</v>
      </c>
      <c r="AL138">
        <v>72.060831359873788</v>
      </c>
      <c r="AM138">
        <v>11.601993769747942</v>
      </c>
      <c r="AN138">
        <v>1.610027743339133</v>
      </c>
      <c r="AO138">
        <v>14.199999999999998</v>
      </c>
      <c r="AP138">
        <v>15.627123093837792</v>
      </c>
      <c r="AQ138">
        <v>11.261034819050341</v>
      </c>
      <c r="AR138">
        <v>97.061203811480681</v>
      </c>
      <c r="AS138">
        <v>-0.12547625600969062</v>
      </c>
      <c r="AT138">
        <v>6.2500691521649641</v>
      </c>
      <c r="AU138">
        <v>53.870647374953293</v>
      </c>
    </row>
    <row r="139" spans="1:48" x14ac:dyDescent="0.35">
      <c r="A139">
        <v>137</v>
      </c>
      <c r="B139">
        <v>46043</v>
      </c>
      <c r="C139" t="s">
        <v>16</v>
      </c>
      <c r="D139" t="s">
        <v>46</v>
      </c>
      <c r="E139" t="s">
        <v>19</v>
      </c>
      <c r="F139" t="s">
        <v>20</v>
      </c>
      <c r="G139" t="s">
        <v>21</v>
      </c>
      <c r="H139" t="s">
        <v>22</v>
      </c>
      <c r="I139" t="s">
        <v>23</v>
      </c>
      <c r="J139" t="s">
        <v>24</v>
      </c>
      <c r="K139" t="s">
        <v>45</v>
      </c>
      <c r="L139">
        <v>27</v>
      </c>
      <c r="M139">
        <v>59</v>
      </c>
      <c r="N139">
        <v>2</v>
      </c>
      <c r="O139">
        <v>3</v>
      </c>
      <c r="P139">
        <v>317</v>
      </c>
      <c r="Q139">
        <v>0.50039999999999996</v>
      </c>
      <c r="R139">
        <v>471.31497390878656</v>
      </c>
      <c r="S139">
        <v>38.814973908786556</v>
      </c>
      <c r="T139">
        <v>0.36319444444444443</v>
      </c>
      <c r="U139">
        <v>41</v>
      </c>
      <c r="V139">
        <v>0.68472222222222223</v>
      </c>
      <c r="W139">
        <v>66.5</v>
      </c>
      <c r="X139">
        <v>13.9</v>
      </c>
      <c r="Y139">
        <v>40.5</v>
      </c>
      <c r="Z139">
        <v>0.37708333333333333</v>
      </c>
      <c r="AA139">
        <v>56</v>
      </c>
      <c r="AB139">
        <v>18.100000000000001</v>
      </c>
      <c r="AV139" t="s">
        <v>615</v>
      </c>
    </row>
    <row r="140" spans="1:48" x14ac:dyDescent="0.35">
      <c r="A140">
        <v>138</v>
      </c>
      <c r="B140">
        <v>46043</v>
      </c>
      <c r="C140" t="s">
        <v>16</v>
      </c>
      <c r="D140" t="s">
        <v>48</v>
      </c>
      <c r="E140" t="s">
        <v>19</v>
      </c>
      <c r="F140" t="s">
        <v>20</v>
      </c>
      <c r="G140" t="s">
        <v>21</v>
      </c>
      <c r="H140" t="s">
        <v>22</v>
      </c>
      <c r="I140" t="s">
        <v>23</v>
      </c>
      <c r="J140" t="s">
        <v>24</v>
      </c>
      <c r="K140" t="s">
        <v>47</v>
      </c>
      <c r="L140">
        <v>27</v>
      </c>
      <c r="M140">
        <v>59</v>
      </c>
      <c r="N140">
        <v>2</v>
      </c>
      <c r="O140">
        <v>1</v>
      </c>
      <c r="P140">
        <v>318</v>
      </c>
      <c r="Q140">
        <v>0.50029999999999997</v>
      </c>
      <c r="R140">
        <v>467.91393713037724</v>
      </c>
      <c r="S140">
        <v>119.81393713037716</v>
      </c>
      <c r="T140">
        <v>0.36319444444444443</v>
      </c>
      <c r="U140">
        <v>40.5</v>
      </c>
      <c r="V140">
        <v>0.68541666666666667</v>
      </c>
      <c r="W140">
        <v>63.5</v>
      </c>
      <c r="X140">
        <v>16.2</v>
      </c>
      <c r="Y140">
        <v>40.5</v>
      </c>
      <c r="Z140">
        <v>0.37777777777777777</v>
      </c>
      <c r="AA140">
        <v>61.5</v>
      </c>
      <c r="AB140">
        <v>18</v>
      </c>
      <c r="AD140">
        <v>23</v>
      </c>
      <c r="AE140">
        <v>21</v>
      </c>
      <c r="AF140">
        <v>20.123728042697874</v>
      </c>
      <c r="AG140">
        <v>17.31247184961266</v>
      </c>
      <c r="AH140">
        <v>37.436199892310533</v>
      </c>
      <c r="AI140">
        <v>3.2600439429170556</v>
      </c>
      <c r="AJ140">
        <v>3.1162449329302788</v>
      </c>
      <c r="AK140">
        <v>6.3762888758473348</v>
      </c>
      <c r="AL140">
        <v>80.0065929258258</v>
      </c>
      <c r="AM140">
        <v>25.605977429347821</v>
      </c>
      <c r="AN140">
        <v>3.2004834217958957</v>
      </c>
      <c r="AO140">
        <v>16.2</v>
      </c>
      <c r="AP140">
        <v>17.032414866331123</v>
      </c>
      <c r="AQ140">
        <v>13.627054827543375</v>
      </c>
      <c r="AR140">
        <v>53.218256811883997</v>
      </c>
      <c r="AS140">
        <v>-0.26517557432527067</v>
      </c>
      <c r="AT140">
        <v>7.5632511914808216</v>
      </c>
      <c r="AU140">
        <v>29.537053261682328</v>
      </c>
    </row>
    <row r="141" spans="1:48" x14ac:dyDescent="0.35">
      <c r="A141">
        <v>139</v>
      </c>
      <c r="B141">
        <v>46043</v>
      </c>
      <c r="C141" t="s">
        <v>16</v>
      </c>
      <c r="D141" t="s">
        <v>48</v>
      </c>
      <c r="E141" t="s">
        <v>19</v>
      </c>
      <c r="F141" t="s">
        <v>20</v>
      </c>
      <c r="G141" t="s">
        <v>21</v>
      </c>
      <c r="H141" t="s">
        <v>22</v>
      </c>
      <c r="I141" t="s">
        <v>23</v>
      </c>
      <c r="J141" t="s">
        <v>24</v>
      </c>
      <c r="K141" t="s">
        <v>47</v>
      </c>
      <c r="L141">
        <v>27</v>
      </c>
      <c r="M141">
        <v>59</v>
      </c>
      <c r="N141">
        <v>2</v>
      </c>
      <c r="O141">
        <v>2</v>
      </c>
      <c r="P141">
        <v>319</v>
      </c>
      <c r="Q141">
        <v>0.50039999999999996</v>
      </c>
      <c r="R141">
        <v>468.00746380180044</v>
      </c>
      <c r="S141">
        <v>127.20746380180043</v>
      </c>
      <c r="T141">
        <v>0.36388888888888887</v>
      </c>
      <c r="U141">
        <v>40.5</v>
      </c>
      <c r="V141">
        <v>0.68541666666666667</v>
      </c>
      <c r="W141">
        <v>65.5</v>
      </c>
      <c r="X141">
        <v>15.1</v>
      </c>
      <c r="Y141">
        <v>40</v>
      </c>
      <c r="Z141">
        <v>0.37777777777777777</v>
      </c>
      <c r="AA141">
        <v>60.5</v>
      </c>
      <c r="AB141">
        <v>17.600000000000001</v>
      </c>
      <c r="AD141">
        <v>25</v>
      </c>
      <c r="AE141">
        <v>20.5</v>
      </c>
      <c r="AF141">
        <v>22.123728042697874</v>
      </c>
      <c r="AG141">
        <v>16.81247184961266</v>
      </c>
      <c r="AH141">
        <v>38.936199892310533</v>
      </c>
      <c r="AI141">
        <v>3.3406829344473787</v>
      </c>
      <c r="AJ141">
        <v>2.9589950455318283</v>
      </c>
      <c r="AK141">
        <v>6.2996779799792071</v>
      </c>
      <c r="AL141">
        <v>83.195681487677902</v>
      </c>
      <c r="AM141">
        <v>27.180648523945838</v>
      </c>
      <c r="AN141">
        <v>3.2670744488067642</v>
      </c>
      <c r="AO141">
        <v>15.1</v>
      </c>
      <c r="AP141">
        <v>16.179488489895807</v>
      </c>
      <c r="AQ141">
        <v>13.460635710389223</v>
      </c>
      <c r="AR141">
        <v>49.52286439571359</v>
      </c>
      <c r="AS141">
        <v>-0.2941038536726891</v>
      </c>
      <c r="AT141">
        <v>7.4708857022367869</v>
      </c>
      <c r="AU141">
        <v>27.486046536582904</v>
      </c>
    </row>
    <row r="142" spans="1:48" x14ac:dyDescent="0.35">
      <c r="A142">
        <v>140</v>
      </c>
      <c r="B142">
        <v>46043</v>
      </c>
      <c r="C142" t="s">
        <v>16</v>
      </c>
      <c r="D142" t="s">
        <v>48</v>
      </c>
      <c r="E142" t="s">
        <v>19</v>
      </c>
      <c r="F142" t="s">
        <v>20</v>
      </c>
      <c r="G142" t="s">
        <v>21</v>
      </c>
      <c r="H142" t="s">
        <v>22</v>
      </c>
      <c r="I142" t="s">
        <v>23</v>
      </c>
      <c r="J142" t="s">
        <v>24</v>
      </c>
      <c r="K142" t="s">
        <v>47</v>
      </c>
      <c r="L142">
        <v>27</v>
      </c>
      <c r="M142">
        <v>59</v>
      </c>
      <c r="N142">
        <v>2</v>
      </c>
      <c r="O142">
        <v>3</v>
      </c>
      <c r="P142">
        <v>320</v>
      </c>
      <c r="Q142">
        <v>0.50009999999999999</v>
      </c>
      <c r="R142">
        <v>467.72688378753082</v>
      </c>
      <c r="S142">
        <v>96.926883787530812</v>
      </c>
      <c r="T142">
        <v>0.36388888888888887</v>
      </c>
      <c r="U142">
        <v>41</v>
      </c>
      <c r="V142">
        <v>0.68611111111111112</v>
      </c>
      <c r="W142">
        <v>67.5</v>
      </c>
      <c r="X142">
        <v>14.5</v>
      </c>
      <c r="Y142">
        <v>40.5</v>
      </c>
      <c r="Z142">
        <v>0.37777777777777777</v>
      </c>
      <c r="AA142">
        <v>62</v>
      </c>
      <c r="AB142">
        <v>17.5</v>
      </c>
      <c r="AD142">
        <v>26.5</v>
      </c>
      <c r="AE142">
        <v>21.5</v>
      </c>
      <c r="AF142">
        <v>23.623728042697874</v>
      </c>
      <c r="AG142">
        <v>17.81247184961266</v>
      </c>
      <c r="AH142">
        <v>41.436199892310533</v>
      </c>
      <c r="AI142">
        <v>3.4254405661911913</v>
      </c>
      <c r="AJ142">
        <v>3.1171825736822152</v>
      </c>
      <c r="AK142">
        <v>6.542623139873406</v>
      </c>
      <c r="AL142">
        <v>88.590588500645822</v>
      </c>
      <c r="AM142">
        <v>20.722966146962108</v>
      </c>
      <c r="AN142">
        <v>2.3391837098825725</v>
      </c>
      <c r="AO142">
        <v>14.5</v>
      </c>
      <c r="AP142">
        <v>15.789631184513</v>
      </c>
      <c r="AQ142">
        <v>13.98812718844156</v>
      </c>
      <c r="AR142">
        <v>67.500603384868995</v>
      </c>
      <c r="AS142">
        <v>-0.20326576508933344</v>
      </c>
      <c r="AT142">
        <v>7.7636525987059741</v>
      </c>
      <c r="AU142">
        <v>37.46400270911068</v>
      </c>
    </row>
    <row r="143" spans="1:48" x14ac:dyDescent="0.35">
      <c r="A143">
        <v>141</v>
      </c>
      <c r="B143">
        <v>46043</v>
      </c>
      <c r="C143" t="s">
        <v>16</v>
      </c>
      <c r="D143" t="s">
        <v>50</v>
      </c>
      <c r="E143" t="s">
        <v>19</v>
      </c>
      <c r="F143" t="s">
        <v>20</v>
      </c>
      <c r="G143" t="s">
        <v>21</v>
      </c>
      <c r="H143" t="s">
        <v>22</v>
      </c>
      <c r="I143" t="s">
        <v>23</v>
      </c>
      <c r="J143" t="s">
        <v>24</v>
      </c>
      <c r="K143" t="s">
        <v>49</v>
      </c>
      <c r="L143">
        <v>27</v>
      </c>
      <c r="M143">
        <v>59</v>
      </c>
      <c r="N143">
        <v>2</v>
      </c>
      <c r="O143">
        <v>1</v>
      </c>
      <c r="P143">
        <v>321</v>
      </c>
      <c r="Q143">
        <v>0.50019999999999998</v>
      </c>
      <c r="R143">
        <v>469.97507216900357</v>
      </c>
      <c r="S143">
        <v>109.57507216900365</v>
      </c>
      <c r="T143">
        <v>0.36458333333333331</v>
      </c>
      <c r="U143">
        <v>41</v>
      </c>
      <c r="V143">
        <v>0.68680555555555556</v>
      </c>
      <c r="W143">
        <v>63.5</v>
      </c>
      <c r="X143">
        <v>15.9</v>
      </c>
      <c r="Y143">
        <v>40.5</v>
      </c>
      <c r="Z143">
        <v>0.37847222222222221</v>
      </c>
      <c r="AA143">
        <v>61</v>
      </c>
      <c r="AB143">
        <v>19</v>
      </c>
      <c r="AD143">
        <v>22.5</v>
      </c>
      <c r="AE143">
        <v>20.5</v>
      </c>
      <c r="AF143">
        <v>19.623728042697874</v>
      </c>
      <c r="AG143">
        <v>16.81247184961266</v>
      </c>
      <c r="AH143">
        <v>36.436199892310533</v>
      </c>
      <c r="AI143">
        <v>3.1201727587889621</v>
      </c>
      <c r="AJ143">
        <v>3.1943696514264053</v>
      </c>
      <c r="AK143">
        <v>6.3145424102153669</v>
      </c>
      <c r="AL143">
        <v>77.52794148028353</v>
      </c>
      <c r="AM143">
        <v>23.31508172620703</v>
      </c>
      <c r="AN143">
        <v>3.0073133996646089</v>
      </c>
      <c r="AO143">
        <v>15.9</v>
      </c>
      <c r="AP143">
        <v>17.330408848558278</v>
      </c>
      <c r="AQ143">
        <v>13.435909230404139</v>
      </c>
      <c r="AR143">
        <v>57.6275450722597</v>
      </c>
      <c r="AS143">
        <v>-0.22747987420093069</v>
      </c>
      <c r="AT143">
        <v>7.4571620780512946</v>
      </c>
      <c r="AU143">
        <v>31.984284531454861</v>
      </c>
    </row>
    <row r="144" spans="1:48" x14ac:dyDescent="0.35">
      <c r="A144">
        <v>142</v>
      </c>
      <c r="B144">
        <v>46043</v>
      </c>
      <c r="C144" t="s">
        <v>16</v>
      </c>
      <c r="D144" t="s">
        <v>50</v>
      </c>
      <c r="E144" t="s">
        <v>19</v>
      </c>
      <c r="F144" t="s">
        <v>20</v>
      </c>
      <c r="G144" t="s">
        <v>21</v>
      </c>
      <c r="H144" t="s">
        <v>22</v>
      </c>
      <c r="I144" t="s">
        <v>23</v>
      </c>
      <c r="J144" t="s">
        <v>24</v>
      </c>
      <c r="K144" t="s">
        <v>49</v>
      </c>
      <c r="L144">
        <v>27</v>
      </c>
      <c r="M144">
        <v>59</v>
      </c>
      <c r="N144">
        <v>2</v>
      </c>
      <c r="O144">
        <v>2</v>
      </c>
      <c r="P144">
        <v>322</v>
      </c>
      <c r="Q144">
        <v>0.50019999999999998</v>
      </c>
      <c r="R144">
        <v>469.97507216900357</v>
      </c>
      <c r="S144">
        <v>99.375072169003658</v>
      </c>
      <c r="T144">
        <v>0.36458333333333331</v>
      </c>
      <c r="U144">
        <v>42</v>
      </c>
      <c r="V144">
        <v>0.68680555555555556</v>
      </c>
      <c r="W144">
        <v>67</v>
      </c>
      <c r="X144">
        <v>14.4</v>
      </c>
      <c r="Y144">
        <v>41</v>
      </c>
      <c r="Z144">
        <v>0.37847222222222221</v>
      </c>
      <c r="AA144">
        <v>62</v>
      </c>
      <c r="AB144">
        <v>18.899999999999999</v>
      </c>
      <c r="AD144">
        <v>25</v>
      </c>
      <c r="AE144">
        <v>21</v>
      </c>
      <c r="AF144">
        <v>22.123728042697874</v>
      </c>
      <c r="AG144">
        <v>17.31247184961266</v>
      </c>
      <c r="AH144">
        <v>39.436199892310533</v>
      </c>
      <c r="AI144">
        <v>3.1858168381484941</v>
      </c>
      <c r="AJ144">
        <v>3.2720571795767923</v>
      </c>
      <c r="AK144">
        <v>6.4578740177252865</v>
      </c>
      <c r="AL144">
        <v>83.911258761675839</v>
      </c>
      <c r="AM144">
        <v>21.144753850533647</v>
      </c>
      <c r="AN144">
        <v>2.5198947271889729</v>
      </c>
      <c r="AO144">
        <v>14.400000000000002</v>
      </c>
      <c r="AP144">
        <v>16.375497728888618</v>
      </c>
      <c r="AQ144">
        <v>13.740886272800077</v>
      </c>
      <c r="AR144">
        <v>64.984848581972443</v>
      </c>
      <c r="AS144">
        <v>-0.20583194780423889</v>
      </c>
      <c r="AT144">
        <v>7.6264296130004583</v>
      </c>
      <c r="AU144">
        <v>36.067715268333494</v>
      </c>
    </row>
    <row r="145" spans="1:48" x14ac:dyDescent="0.35">
      <c r="A145">
        <v>143</v>
      </c>
      <c r="B145">
        <v>46043</v>
      </c>
      <c r="C145" t="s">
        <v>16</v>
      </c>
      <c r="D145" t="s">
        <v>50</v>
      </c>
      <c r="E145" t="s">
        <v>19</v>
      </c>
      <c r="F145" t="s">
        <v>20</v>
      </c>
      <c r="G145" t="s">
        <v>21</v>
      </c>
      <c r="H145" t="s">
        <v>22</v>
      </c>
      <c r="I145" t="s">
        <v>23</v>
      </c>
      <c r="J145" t="s">
        <v>24</v>
      </c>
      <c r="K145" t="s">
        <v>49</v>
      </c>
      <c r="L145">
        <v>27</v>
      </c>
      <c r="M145">
        <v>59</v>
      </c>
      <c r="N145">
        <v>2</v>
      </c>
      <c r="O145">
        <v>3</v>
      </c>
      <c r="P145">
        <v>323</v>
      </c>
      <c r="Q145">
        <v>0.50019999999999998</v>
      </c>
      <c r="R145">
        <v>469.97507216900357</v>
      </c>
      <c r="S145">
        <v>90.975072169003568</v>
      </c>
      <c r="T145">
        <v>0.36527777777777776</v>
      </c>
      <c r="U145">
        <v>41.5</v>
      </c>
      <c r="V145">
        <v>0.6875</v>
      </c>
      <c r="W145">
        <v>68</v>
      </c>
      <c r="X145">
        <v>14</v>
      </c>
      <c r="Y145">
        <v>40.5</v>
      </c>
      <c r="Z145">
        <v>0.37986111111111109</v>
      </c>
      <c r="AA145">
        <v>61</v>
      </c>
      <c r="AB145">
        <v>19.100000000000001</v>
      </c>
      <c r="AD145">
        <v>26.5</v>
      </c>
      <c r="AE145">
        <v>20.5</v>
      </c>
      <c r="AF145">
        <v>23.623728042697874</v>
      </c>
      <c r="AG145">
        <v>16.81247184961266</v>
      </c>
      <c r="AH145">
        <v>40.436199892310533</v>
      </c>
      <c r="AI145">
        <v>3.3073219259777025</v>
      </c>
      <c r="AJ145">
        <v>3.2111821232760183</v>
      </c>
      <c r="AK145">
        <v>6.5185040492537212</v>
      </c>
      <c r="AL145">
        <v>86.039031188806618</v>
      </c>
      <c r="AM145">
        <v>19.357425011743778</v>
      </c>
      <c r="AN145">
        <v>2.2498422802164368</v>
      </c>
      <c r="AO145">
        <v>14.000000000000002</v>
      </c>
      <c r="AP145">
        <v>16.120466479574652</v>
      </c>
      <c r="AQ145">
        <v>13.869893182142349</v>
      </c>
      <c r="AR145">
        <v>71.65154029385495</v>
      </c>
      <c r="AS145">
        <v>-0.18975492809822481</v>
      </c>
      <c r="AT145">
        <v>7.698030679638868</v>
      </c>
      <c r="AU145">
        <v>39.767844509115342</v>
      </c>
    </row>
    <row r="146" spans="1:48" x14ac:dyDescent="0.35">
      <c r="A146">
        <v>144</v>
      </c>
      <c r="B146">
        <v>46043</v>
      </c>
      <c r="C146" t="s">
        <v>16</v>
      </c>
      <c r="D146" t="s">
        <v>52</v>
      </c>
      <c r="E146" t="s">
        <v>19</v>
      </c>
      <c r="F146" t="s">
        <v>20</v>
      </c>
      <c r="G146" t="s">
        <v>21</v>
      </c>
      <c r="H146" t="s">
        <v>22</v>
      </c>
      <c r="I146" t="s">
        <v>23</v>
      </c>
      <c r="J146" t="s">
        <v>24</v>
      </c>
      <c r="K146" t="s">
        <v>51</v>
      </c>
      <c r="L146">
        <v>27</v>
      </c>
      <c r="M146">
        <v>59</v>
      </c>
      <c r="N146">
        <v>2</v>
      </c>
      <c r="O146">
        <v>1</v>
      </c>
      <c r="P146">
        <v>324</v>
      </c>
      <c r="Q146">
        <v>0.50029999999999997</v>
      </c>
      <c r="R146">
        <v>459.56281825702052</v>
      </c>
      <c r="S146">
        <v>140.66281825702055</v>
      </c>
      <c r="T146">
        <v>0.3659722222222222</v>
      </c>
      <c r="U146">
        <v>41</v>
      </c>
      <c r="V146">
        <v>0.6875</v>
      </c>
      <c r="W146">
        <v>65</v>
      </c>
      <c r="X146">
        <v>15.6</v>
      </c>
      <c r="Y146">
        <v>40.5</v>
      </c>
      <c r="Z146">
        <v>0.38055555555555554</v>
      </c>
      <c r="AA146">
        <v>64</v>
      </c>
      <c r="AB146">
        <v>18.3</v>
      </c>
      <c r="AD146">
        <v>24</v>
      </c>
      <c r="AE146">
        <v>23.5</v>
      </c>
      <c r="AF146">
        <v>21.123728042697874</v>
      </c>
      <c r="AG146">
        <v>19.81247184961266</v>
      </c>
      <c r="AH146">
        <v>40.936199892310533</v>
      </c>
      <c r="AI146">
        <v>3.2953015746608685</v>
      </c>
      <c r="AJ146">
        <v>3.6256823484791165</v>
      </c>
      <c r="AK146">
        <v>6.9209839231399854</v>
      </c>
      <c r="AL146">
        <v>89.076396666659988</v>
      </c>
      <c r="AM146">
        <v>30.60796319217274</v>
      </c>
      <c r="AN146">
        <v>3.4361474349611698</v>
      </c>
      <c r="AO146">
        <v>15.600000000000001</v>
      </c>
      <c r="AP146">
        <v>16.906757201075777</v>
      </c>
      <c r="AQ146">
        <v>15.05993010789936</v>
      </c>
      <c r="AR146">
        <v>49.202653614503106</v>
      </c>
      <c r="AS146">
        <v>-0.42613568649828232</v>
      </c>
      <c r="AT146">
        <v>8.3585217623081576</v>
      </c>
      <c r="AU146">
        <v>27.308324013032173</v>
      </c>
    </row>
    <row r="147" spans="1:48" x14ac:dyDescent="0.35">
      <c r="A147">
        <v>145</v>
      </c>
      <c r="B147">
        <v>46043</v>
      </c>
      <c r="C147" t="s">
        <v>16</v>
      </c>
      <c r="D147" t="s">
        <v>52</v>
      </c>
      <c r="E147" t="s">
        <v>19</v>
      </c>
      <c r="F147" t="s">
        <v>20</v>
      </c>
      <c r="G147" t="s">
        <v>21</v>
      </c>
      <c r="H147" t="s">
        <v>22</v>
      </c>
      <c r="I147" t="s">
        <v>23</v>
      </c>
      <c r="J147" t="s">
        <v>24</v>
      </c>
      <c r="K147" t="s">
        <v>51</v>
      </c>
      <c r="L147">
        <v>27</v>
      </c>
      <c r="M147">
        <v>59</v>
      </c>
      <c r="N147">
        <v>2</v>
      </c>
      <c r="O147">
        <v>2</v>
      </c>
      <c r="P147">
        <v>325</v>
      </c>
      <c r="Q147">
        <v>0.5</v>
      </c>
      <c r="R147">
        <v>459.28724590947485</v>
      </c>
      <c r="S147">
        <v>131.0872459094748</v>
      </c>
      <c r="T147">
        <v>0.3659722222222222</v>
      </c>
      <c r="U147">
        <v>41</v>
      </c>
      <c r="V147">
        <v>0.68819444444444444</v>
      </c>
      <c r="W147">
        <v>68.5</v>
      </c>
      <c r="X147">
        <v>14.6</v>
      </c>
      <c r="Y147">
        <v>40.5</v>
      </c>
      <c r="Z147">
        <v>0.38124999999999998</v>
      </c>
      <c r="AA147">
        <v>64.5</v>
      </c>
      <c r="AB147">
        <v>18.3</v>
      </c>
      <c r="AD147">
        <v>27.5</v>
      </c>
      <c r="AE147">
        <v>24</v>
      </c>
      <c r="AF147">
        <v>24.623728042697874</v>
      </c>
      <c r="AG147">
        <v>20.31247184961266</v>
      </c>
      <c r="AH147">
        <v>44.936199892310533</v>
      </c>
      <c r="AI147">
        <v>3.5950642942338895</v>
      </c>
      <c r="AJ147">
        <v>3.7171823484791164</v>
      </c>
      <c r="AK147">
        <v>7.3122466427130064</v>
      </c>
      <c r="AL147">
        <v>97.838989200164775</v>
      </c>
      <c r="AM147">
        <v>28.541451363383164</v>
      </c>
      <c r="AN147">
        <v>2.917185837334376</v>
      </c>
      <c r="AO147">
        <v>14.6</v>
      </c>
      <c r="AP147">
        <v>16.272507822728187</v>
      </c>
      <c r="AQ147">
        <v>15.920857171274998</v>
      </c>
      <c r="AR147">
        <v>55.781526204026285</v>
      </c>
      <c r="AS147">
        <v>-0.37112424199606064</v>
      </c>
      <c r="AT147">
        <v>8.8363511774135279</v>
      </c>
      <c r="AU147">
        <v>30.959712121542616</v>
      </c>
    </row>
    <row r="148" spans="1:48" x14ac:dyDescent="0.35">
      <c r="A148">
        <v>146</v>
      </c>
      <c r="B148">
        <v>46043</v>
      </c>
      <c r="C148" t="s">
        <v>16</v>
      </c>
      <c r="D148" t="s">
        <v>52</v>
      </c>
      <c r="E148" t="s">
        <v>19</v>
      </c>
      <c r="F148" t="s">
        <v>20</v>
      </c>
      <c r="G148" t="s">
        <v>21</v>
      </c>
      <c r="H148" t="s">
        <v>22</v>
      </c>
      <c r="I148" t="s">
        <v>23</v>
      </c>
      <c r="J148" t="s">
        <v>24</v>
      </c>
      <c r="K148" t="s">
        <v>51</v>
      </c>
      <c r="L148">
        <v>27</v>
      </c>
      <c r="M148">
        <v>59</v>
      </c>
      <c r="N148">
        <v>2</v>
      </c>
      <c r="O148">
        <v>3</v>
      </c>
      <c r="P148">
        <v>326</v>
      </c>
      <c r="Q148">
        <v>0.5</v>
      </c>
      <c r="R148">
        <v>459.28724590947485</v>
      </c>
      <c r="S148">
        <v>82.887245909474871</v>
      </c>
      <c r="T148">
        <v>0.36666666666666664</v>
      </c>
      <c r="U148">
        <v>40.5</v>
      </c>
      <c r="V148">
        <v>0.68888888888888888</v>
      </c>
      <c r="W148">
        <v>65.5</v>
      </c>
      <c r="X148">
        <v>15.5</v>
      </c>
      <c r="Y148">
        <v>40.5</v>
      </c>
      <c r="Z148">
        <v>0.38124999999999998</v>
      </c>
      <c r="AA148">
        <v>65.5</v>
      </c>
      <c r="AB148">
        <v>18.399999999999999</v>
      </c>
      <c r="AD148">
        <v>25</v>
      </c>
      <c r="AE148">
        <v>25</v>
      </c>
      <c r="AF148">
        <v>22.123728042697874</v>
      </c>
      <c r="AG148">
        <v>21.31247184961266</v>
      </c>
      <c r="AH148">
        <v>43.436199892310533</v>
      </c>
      <c r="AI148">
        <v>3.4291778466181704</v>
      </c>
      <c r="AJ148">
        <v>3.9214948203287294</v>
      </c>
      <c r="AK148">
        <v>7.3506726669468998</v>
      </c>
      <c r="AL148">
        <v>94.573059189350474</v>
      </c>
      <c r="AM148">
        <v>18.046929595299904</v>
      </c>
      <c r="AN148">
        <v>1.9082527043105426</v>
      </c>
      <c r="AO148">
        <v>15.5</v>
      </c>
      <c r="AP148">
        <v>16.922918407160619</v>
      </c>
      <c r="AQ148">
        <v>16.0045216417695</v>
      </c>
      <c r="AR148">
        <v>88.682795360035513</v>
      </c>
      <c r="AS148">
        <v>-0.19716021431127381</v>
      </c>
      <c r="AT148">
        <v>8.8827864060201644</v>
      </c>
      <c r="AU148">
        <v>49.220485729237701</v>
      </c>
    </row>
    <row r="149" spans="1:48" x14ac:dyDescent="0.35">
      <c r="A149">
        <v>147</v>
      </c>
      <c r="B149">
        <v>46043</v>
      </c>
      <c r="C149" t="s">
        <v>16</v>
      </c>
      <c r="D149" t="s">
        <v>54</v>
      </c>
      <c r="E149" t="s">
        <v>19</v>
      </c>
      <c r="F149" t="s">
        <v>20</v>
      </c>
      <c r="G149" t="s">
        <v>21</v>
      </c>
      <c r="H149" t="s">
        <v>22</v>
      </c>
      <c r="I149" t="s">
        <v>23</v>
      </c>
      <c r="J149" t="s">
        <v>24</v>
      </c>
      <c r="K149" t="s">
        <v>53</v>
      </c>
      <c r="L149">
        <v>27</v>
      </c>
      <c r="M149">
        <v>59</v>
      </c>
      <c r="N149">
        <v>2</v>
      </c>
      <c r="O149">
        <v>1</v>
      </c>
      <c r="P149">
        <v>327</v>
      </c>
      <c r="Q149">
        <v>0.50039999999999996</v>
      </c>
      <c r="R149">
        <v>473.93409289282039</v>
      </c>
      <c r="S149">
        <v>140.53409289282035</v>
      </c>
      <c r="T149">
        <v>0.36666666666666664</v>
      </c>
      <c r="U149">
        <v>41</v>
      </c>
      <c r="V149">
        <v>0.68888888888888888</v>
      </c>
      <c r="W149">
        <v>69.5</v>
      </c>
      <c r="X149">
        <v>15.2</v>
      </c>
      <c r="Y149">
        <v>40.5</v>
      </c>
      <c r="Z149">
        <v>0.38194444444444442</v>
      </c>
      <c r="AA149">
        <v>67.5</v>
      </c>
      <c r="AB149">
        <v>17.5</v>
      </c>
      <c r="AD149">
        <v>28.5</v>
      </c>
      <c r="AE149">
        <v>27</v>
      </c>
      <c r="AF149">
        <v>25.623728042697874</v>
      </c>
      <c r="AG149">
        <v>23.31247184961266</v>
      </c>
      <c r="AH149">
        <v>48.936199892310533</v>
      </c>
      <c r="AI149">
        <v>3.8948066624900766</v>
      </c>
      <c r="AJ149">
        <v>4.0796825736822155</v>
      </c>
      <c r="AK149">
        <v>7.9744892361722926</v>
      </c>
      <c r="AL149">
        <v>103.2552851254307</v>
      </c>
      <c r="AM149">
        <v>29.652665845375669</v>
      </c>
      <c r="AN149">
        <v>2.871781895653545</v>
      </c>
      <c r="AO149">
        <v>15.2</v>
      </c>
      <c r="AP149">
        <v>16.295685512403967</v>
      </c>
      <c r="AQ149">
        <v>16.826156538976221</v>
      </c>
      <c r="AR149">
        <v>56.744161306496011</v>
      </c>
      <c r="AS149">
        <v>-0.44721508855039227</v>
      </c>
      <c r="AT149">
        <v>9.3388079891065239</v>
      </c>
      <c r="AU149">
        <v>31.493991257999856</v>
      </c>
    </row>
    <row r="150" spans="1:48" x14ac:dyDescent="0.35">
      <c r="A150">
        <v>148</v>
      </c>
      <c r="B150">
        <v>46043</v>
      </c>
      <c r="C150" t="s">
        <v>16</v>
      </c>
      <c r="D150" t="s">
        <v>54</v>
      </c>
      <c r="E150" t="s">
        <v>19</v>
      </c>
      <c r="F150" t="s">
        <v>20</v>
      </c>
      <c r="G150" t="s">
        <v>21</v>
      </c>
      <c r="H150" t="s">
        <v>22</v>
      </c>
      <c r="I150" t="s">
        <v>23</v>
      </c>
      <c r="J150" t="s">
        <v>24</v>
      </c>
      <c r="K150" t="s">
        <v>53</v>
      </c>
      <c r="L150">
        <v>27</v>
      </c>
      <c r="M150">
        <v>59</v>
      </c>
      <c r="N150">
        <v>2</v>
      </c>
      <c r="O150">
        <v>2</v>
      </c>
      <c r="P150">
        <v>328</v>
      </c>
      <c r="Q150">
        <v>0.5</v>
      </c>
      <c r="R150">
        <v>473.55524869386534</v>
      </c>
      <c r="S150">
        <v>211.55524869386534</v>
      </c>
      <c r="T150">
        <v>0.36736111111111114</v>
      </c>
      <c r="U150">
        <v>40.5</v>
      </c>
      <c r="V150">
        <v>0.68958333333333333</v>
      </c>
      <c r="W150">
        <v>68</v>
      </c>
      <c r="X150">
        <v>15</v>
      </c>
      <c r="Y150">
        <v>40.5</v>
      </c>
      <c r="Z150">
        <v>0.38263888888888886</v>
      </c>
      <c r="AA150">
        <v>66.5</v>
      </c>
      <c r="AB150">
        <v>17.8</v>
      </c>
      <c r="AD150">
        <v>27.5</v>
      </c>
      <c r="AE150">
        <v>26</v>
      </c>
      <c r="AF150">
        <v>24.623728042697874</v>
      </c>
      <c r="AG150">
        <v>22.31247184961266</v>
      </c>
      <c r="AH150">
        <v>46.936199892310533</v>
      </c>
      <c r="AI150">
        <v>3.6935592064046809</v>
      </c>
      <c r="AJ150">
        <v>3.971619989231054</v>
      </c>
      <c r="AK150">
        <v>7.6651791956357354</v>
      </c>
      <c r="AL150">
        <v>99.11451730662354</v>
      </c>
      <c r="AM150">
        <v>44.673826185511757</v>
      </c>
      <c r="AN150">
        <v>4.5072939262073497</v>
      </c>
      <c r="AO150">
        <v>15</v>
      </c>
      <c r="AP150">
        <v>16.331060488967083</v>
      </c>
      <c r="AQ150">
        <v>16.186451774692436</v>
      </c>
      <c r="AR150">
        <v>36.232517240580336</v>
      </c>
      <c r="AS150">
        <v>1.0458797713908423</v>
      </c>
      <c r="AT150">
        <v>8.9837607773725487</v>
      </c>
      <c r="AU150">
        <v>20.109673928681953</v>
      </c>
    </row>
    <row r="151" spans="1:48" x14ac:dyDescent="0.35">
      <c r="A151">
        <v>149</v>
      </c>
      <c r="B151">
        <v>46043</v>
      </c>
      <c r="C151" t="s">
        <v>16</v>
      </c>
      <c r="D151" t="s">
        <v>54</v>
      </c>
      <c r="E151" t="s">
        <v>19</v>
      </c>
      <c r="F151" t="s">
        <v>20</v>
      </c>
      <c r="G151" t="s">
        <v>21</v>
      </c>
      <c r="H151" t="s">
        <v>22</v>
      </c>
      <c r="I151" t="s">
        <v>23</v>
      </c>
      <c r="J151" t="s">
        <v>24</v>
      </c>
      <c r="K151" t="s">
        <v>53</v>
      </c>
      <c r="L151">
        <v>27</v>
      </c>
      <c r="M151">
        <v>59</v>
      </c>
      <c r="N151">
        <v>2</v>
      </c>
      <c r="O151">
        <v>3</v>
      </c>
      <c r="P151">
        <v>329</v>
      </c>
      <c r="Q151">
        <v>0.50049999999999994</v>
      </c>
      <c r="R151">
        <v>474.02880394255914</v>
      </c>
      <c r="S151">
        <v>149.52880394255914</v>
      </c>
      <c r="T151">
        <v>0.36736111111111114</v>
      </c>
      <c r="U151">
        <v>40.5</v>
      </c>
      <c r="V151">
        <v>0.68958333333333333</v>
      </c>
      <c r="W151">
        <v>67.5</v>
      </c>
      <c r="X151">
        <v>16.3</v>
      </c>
      <c r="Y151">
        <v>40.5</v>
      </c>
      <c r="Z151">
        <v>0.38333333333333336</v>
      </c>
      <c r="AA151">
        <v>68</v>
      </c>
      <c r="AB151">
        <v>17.8</v>
      </c>
      <c r="AD151">
        <v>27</v>
      </c>
      <c r="AE151">
        <v>27.5</v>
      </c>
      <c r="AF151">
        <v>24.123728042697874</v>
      </c>
      <c r="AG151">
        <v>23.81247184961266</v>
      </c>
      <c r="AH151">
        <v>47.936199892310533</v>
      </c>
      <c r="AI151">
        <v>3.9321676709597537</v>
      </c>
      <c r="AJ151">
        <v>4.2386199892310543</v>
      </c>
      <c r="AK151">
        <v>8.1707876601908076</v>
      </c>
      <c r="AL151">
        <v>101.12507825182549</v>
      </c>
      <c r="AM151">
        <v>31.544244294631181</v>
      </c>
      <c r="AN151">
        <v>3.1193295313036509</v>
      </c>
      <c r="AO151">
        <v>16.3</v>
      </c>
      <c r="AP151">
        <v>17.045130149128671</v>
      </c>
      <c r="AQ151">
        <v>17.236901201431866</v>
      </c>
      <c r="AR151">
        <v>54.643569966155695</v>
      </c>
      <c r="AS151">
        <v>-0.557236346189521</v>
      </c>
      <c r="AT151">
        <v>9.5667783830784465</v>
      </c>
      <c r="AU151">
        <v>30.328126721700254</v>
      </c>
    </row>
    <row r="152" spans="1:48" x14ac:dyDescent="0.35">
      <c r="A152">
        <v>150</v>
      </c>
      <c r="B152">
        <v>46043</v>
      </c>
      <c r="C152" t="s">
        <v>16</v>
      </c>
      <c r="D152" t="s">
        <v>56</v>
      </c>
      <c r="E152" t="s">
        <v>19</v>
      </c>
      <c r="F152" t="s">
        <v>20</v>
      </c>
      <c r="G152" t="s">
        <v>21</v>
      </c>
      <c r="H152" t="s">
        <v>22</v>
      </c>
      <c r="I152" t="s">
        <v>23</v>
      </c>
      <c r="J152" t="s">
        <v>24</v>
      </c>
      <c r="K152" t="s">
        <v>55</v>
      </c>
      <c r="L152">
        <v>27</v>
      </c>
      <c r="M152">
        <v>59</v>
      </c>
      <c r="N152">
        <v>2</v>
      </c>
      <c r="O152">
        <v>1</v>
      </c>
      <c r="P152">
        <v>330</v>
      </c>
      <c r="Q152">
        <v>0.5</v>
      </c>
      <c r="R152">
        <v>475.60975609756059</v>
      </c>
      <c r="S152">
        <v>114.00975609756057</v>
      </c>
      <c r="T152">
        <v>0.36805555555555558</v>
      </c>
      <c r="U152">
        <v>41.5</v>
      </c>
      <c r="V152">
        <v>0.69027777777777777</v>
      </c>
      <c r="W152">
        <v>69</v>
      </c>
      <c r="X152">
        <v>14.4</v>
      </c>
      <c r="Y152">
        <v>40.5</v>
      </c>
      <c r="Z152">
        <v>0.38333333333333336</v>
      </c>
      <c r="AA152">
        <v>66</v>
      </c>
      <c r="AB152">
        <v>17.8</v>
      </c>
      <c r="AD152">
        <v>27.5</v>
      </c>
      <c r="AE152">
        <v>25.5</v>
      </c>
      <c r="AF152">
        <v>24.623728042697874</v>
      </c>
      <c r="AG152">
        <v>21.81247184961266</v>
      </c>
      <c r="AH152">
        <v>46.436199892310533</v>
      </c>
      <c r="AI152">
        <v>3.545816838148494</v>
      </c>
      <c r="AJ152">
        <v>3.882619989231054</v>
      </c>
      <c r="AK152">
        <v>7.4284368273795476</v>
      </c>
      <c r="AL152">
        <v>97.635086953063251</v>
      </c>
      <c r="AM152">
        <v>23.971282051281985</v>
      </c>
      <c r="AN152">
        <v>2.4551913455872536</v>
      </c>
      <c r="AO152">
        <v>14.4</v>
      </c>
      <c r="AP152">
        <v>15.997081683270206</v>
      </c>
      <c r="AQ152">
        <v>15.61876461141342</v>
      </c>
      <c r="AR152">
        <v>65.156150505425842</v>
      </c>
      <c r="AS152">
        <v>-0.26601582067230617</v>
      </c>
      <c r="AT152">
        <v>8.6686845801754746</v>
      </c>
      <c r="AU152">
        <v>36.162790799551225</v>
      </c>
    </row>
    <row r="153" spans="1:48" x14ac:dyDescent="0.35">
      <c r="A153">
        <v>151</v>
      </c>
      <c r="B153">
        <v>46043</v>
      </c>
      <c r="C153" t="s">
        <v>16</v>
      </c>
      <c r="D153" t="s">
        <v>56</v>
      </c>
      <c r="E153" t="s">
        <v>19</v>
      </c>
      <c r="F153" t="s">
        <v>20</v>
      </c>
      <c r="G153" t="s">
        <v>21</v>
      </c>
      <c r="H153" t="s">
        <v>22</v>
      </c>
      <c r="I153" t="s">
        <v>23</v>
      </c>
      <c r="J153" t="s">
        <v>24</v>
      </c>
      <c r="K153" t="s">
        <v>55</v>
      </c>
      <c r="L153">
        <v>27</v>
      </c>
      <c r="M153">
        <v>59</v>
      </c>
      <c r="N153">
        <v>2</v>
      </c>
      <c r="O153">
        <v>2</v>
      </c>
      <c r="P153">
        <v>331</v>
      </c>
      <c r="Q153">
        <v>0.50009999999999999</v>
      </c>
      <c r="R153">
        <v>475.70487804878002</v>
      </c>
      <c r="S153">
        <v>131.50487804878009</v>
      </c>
      <c r="T153">
        <v>0.36805555555555558</v>
      </c>
      <c r="U153">
        <v>40.5</v>
      </c>
      <c r="V153">
        <v>0.69027777777777777</v>
      </c>
      <c r="W153">
        <v>63.5</v>
      </c>
      <c r="X153">
        <v>16.5</v>
      </c>
      <c r="Y153">
        <v>40</v>
      </c>
      <c r="Z153">
        <v>0.3840277777777778</v>
      </c>
      <c r="AA153">
        <v>65</v>
      </c>
      <c r="AB153">
        <v>18.5</v>
      </c>
      <c r="AD153">
        <v>23</v>
      </c>
      <c r="AE153">
        <v>25</v>
      </c>
      <c r="AF153">
        <v>20.123728042697874</v>
      </c>
      <c r="AG153">
        <v>21.31247184961266</v>
      </c>
      <c r="AH153">
        <v>41.436199892310533</v>
      </c>
      <c r="AI153">
        <v>3.3204151270451492</v>
      </c>
      <c r="AJ153">
        <v>3.9428072921783421</v>
      </c>
      <c r="AK153">
        <v>7.2632224192234913</v>
      </c>
      <c r="AL153">
        <v>87.104845471148508</v>
      </c>
      <c r="AM153">
        <v>27.644214746794169</v>
      </c>
      <c r="AN153">
        <v>3.1736712920236667</v>
      </c>
      <c r="AO153">
        <v>16.5</v>
      </c>
      <c r="AP153">
        <v>17.528688533456357</v>
      </c>
      <c r="AQ153">
        <v>15.268337060186088</v>
      </c>
      <c r="AR153">
        <v>55.231581725274786</v>
      </c>
      <c r="AS153">
        <v>-0.33402155958369323</v>
      </c>
      <c r="AT153">
        <v>8.474191226483903</v>
      </c>
      <c r="AU153">
        <v>30.654483421225173</v>
      </c>
    </row>
    <row r="154" spans="1:48" x14ac:dyDescent="0.35">
      <c r="A154">
        <v>152</v>
      </c>
      <c r="B154">
        <v>46043</v>
      </c>
      <c r="C154" t="s">
        <v>16</v>
      </c>
      <c r="D154" t="s">
        <v>56</v>
      </c>
      <c r="E154" t="s">
        <v>19</v>
      </c>
      <c r="F154" t="s">
        <v>20</v>
      </c>
      <c r="G154" t="s">
        <v>21</v>
      </c>
      <c r="H154" t="s">
        <v>22</v>
      </c>
      <c r="I154" t="s">
        <v>23</v>
      </c>
      <c r="J154" t="s">
        <v>24</v>
      </c>
      <c r="K154" t="s">
        <v>55</v>
      </c>
      <c r="L154">
        <v>27</v>
      </c>
      <c r="M154">
        <v>59</v>
      </c>
      <c r="N154">
        <v>2</v>
      </c>
      <c r="O154">
        <v>3</v>
      </c>
      <c r="P154">
        <v>332</v>
      </c>
      <c r="Q154">
        <v>0.50029999999999997</v>
      </c>
      <c r="R154">
        <v>475.8951219512191</v>
      </c>
      <c r="S154">
        <v>154.29512195121907</v>
      </c>
      <c r="T154">
        <v>0.36875000000000002</v>
      </c>
      <c r="U154">
        <v>40.5</v>
      </c>
      <c r="V154">
        <v>0.69097222222222221</v>
      </c>
      <c r="W154">
        <v>66.5</v>
      </c>
      <c r="X154">
        <v>15.3</v>
      </c>
      <c r="Y154">
        <v>40</v>
      </c>
      <c r="Z154">
        <v>0.38472222222222224</v>
      </c>
      <c r="AA154">
        <v>65.5</v>
      </c>
      <c r="AB154">
        <v>18.600000000000001</v>
      </c>
      <c r="AD154">
        <v>26</v>
      </c>
      <c r="AE154">
        <v>25.5</v>
      </c>
      <c r="AF154">
        <v>23.123728042697874</v>
      </c>
      <c r="AG154">
        <v>21.81247184961266</v>
      </c>
      <c r="AH154">
        <v>44.936199892310533</v>
      </c>
      <c r="AI154">
        <v>3.5379303905327744</v>
      </c>
      <c r="AJ154">
        <v>4.0571197640279557</v>
      </c>
      <c r="AK154">
        <v>7.5950501545607301</v>
      </c>
      <c r="AL154">
        <v>94.424586047588548</v>
      </c>
      <c r="AM154">
        <v>32.422085210412149</v>
      </c>
      <c r="AN154">
        <v>3.4336486467700178</v>
      </c>
      <c r="AO154">
        <v>15.299999999999997</v>
      </c>
      <c r="AP154">
        <v>16.901852343460828</v>
      </c>
      <c r="AQ154">
        <v>15.959504109687533</v>
      </c>
      <c r="AR154">
        <v>49.224175453595549</v>
      </c>
      <c r="AS154">
        <v>-0.55415681551005191</v>
      </c>
      <c r="AT154">
        <v>8.8578008968646387</v>
      </c>
      <c r="AU154">
        <v>27.320269006078643</v>
      </c>
    </row>
    <row r="155" spans="1:48" x14ac:dyDescent="0.35">
      <c r="A155">
        <v>153</v>
      </c>
      <c r="B155">
        <v>46043</v>
      </c>
      <c r="C155" t="s">
        <v>16</v>
      </c>
      <c r="D155" t="s">
        <v>58</v>
      </c>
      <c r="E155" t="s">
        <v>19</v>
      </c>
      <c r="F155" t="s">
        <v>20</v>
      </c>
      <c r="G155" t="s">
        <v>21</v>
      </c>
      <c r="H155" t="s">
        <v>22</v>
      </c>
      <c r="I155" t="s">
        <v>23</v>
      </c>
      <c r="J155" t="s">
        <v>24</v>
      </c>
      <c r="K155" t="s">
        <v>57</v>
      </c>
      <c r="L155">
        <v>27</v>
      </c>
      <c r="M155">
        <v>59</v>
      </c>
      <c r="N155">
        <v>2</v>
      </c>
      <c r="O155">
        <v>1</v>
      </c>
      <c r="P155">
        <v>1</v>
      </c>
      <c r="Q155">
        <v>0.50039999999999996</v>
      </c>
      <c r="R155">
        <v>468.98112343719157</v>
      </c>
      <c r="S155">
        <v>137.08112343719159</v>
      </c>
      <c r="T155">
        <v>0.36944444444444446</v>
      </c>
      <c r="U155">
        <v>41</v>
      </c>
      <c r="V155">
        <v>0.69097222222222221</v>
      </c>
      <c r="W155">
        <v>64.5</v>
      </c>
      <c r="X155">
        <v>15.3</v>
      </c>
      <c r="Y155">
        <v>40.5</v>
      </c>
      <c r="Z155">
        <v>0.38472222222222224</v>
      </c>
      <c r="AA155">
        <v>70.5</v>
      </c>
      <c r="AB155">
        <v>17.399999999999999</v>
      </c>
      <c r="AD155">
        <v>23.5</v>
      </c>
      <c r="AE155">
        <v>30</v>
      </c>
      <c r="AF155">
        <v>20.623728042697874</v>
      </c>
      <c r="AG155">
        <v>26.31247184961266</v>
      </c>
      <c r="AH155">
        <v>46.936199892310533</v>
      </c>
      <c r="AI155">
        <v>3.1554303905327745</v>
      </c>
      <c r="AJ155">
        <v>4.5783701018326024</v>
      </c>
      <c r="AK155">
        <v>7.7338004923653774</v>
      </c>
      <c r="AL155">
        <v>100.08121339364841</v>
      </c>
      <c r="AM155">
        <v>29.229560975187141</v>
      </c>
      <c r="AN155">
        <v>2.920584191982047</v>
      </c>
      <c r="AO155">
        <v>15.3</v>
      </c>
      <c r="AP155">
        <v>16.477261708680405</v>
      </c>
      <c r="AQ155">
        <v>16.490643452094353</v>
      </c>
      <c r="AR155">
        <v>56.41769120683405</v>
      </c>
      <c r="AS155">
        <v>-0.77769742580458368</v>
      </c>
      <c r="AT155">
        <v>9.1525924211624048</v>
      </c>
      <c r="AU155">
        <v>31.312794704415857</v>
      </c>
    </row>
    <row r="156" spans="1:48" x14ac:dyDescent="0.35">
      <c r="A156">
        <v>154</v>
      </c>
      <c r="B156">
        <v>46043</v>
      </c>
      <c r="C156" t="s">
        <v>16</v>
      </c>
      <c r="D156" t="s">
        <v>58</v>
      </c>
      <c r="E156" t="s">
        <v>19</v>
      </c>
      <c r="F156" t="s">
        <v>20</v>
      </c>
      <c r="G156" t="s">
        <v>21</v>
      </c>
      <c r="H156" t="s">
        <v>22</v>
      </c>
      <c r="I156" t="s">
        <v>23</v>
      </c>
      <c r="J156" t="s">
        <v>24</v>
      </c>
      <c r="K156" t="s">
        <v>57</v>
      </c>
      <c r="L156">
        <v>27</v>
      </c>
      <c r="M156">
        <v>59</v>
      </c>
      <c r="N156">
        <v>2</v>
      </c>
      <c r="O156">
        <v>2</v>
      </c>
      <c r="P156">
        <v>2</v>
      </c>
      <c r="Q156">
        <v>0.50049999999999994</v>
      </c>
      <c r="R156">
        <v>469.07484468488082</v>
      </c>
      <c r="S156">
        <v>96.474844684880907</v>
      </c>
      <c r="T156">
        <v>0.37013888888888891</v>
      </c>
      <c r="U156">
        <v>41.5</v>
      </c>
      <c r="V156">
        <v>0.69166666666666665</v>
      </c>
      <c r="W156">
        <v>64.5</v>
      </c>
      <c r="X156">
        <v>14.3</v>
      </c>
      <c r="Y156">
        <v>40.5</v>
      </c>
      <c r="Z156">
        <v>0.38541666666666669</v>
      </c>
      <c r="AA156">
        <v>69</v>
      </c>
      <c r="AD156">
        <v>23</v>
      </c>
      <c r="AE156">
        <v>28.5</v>
      </c>
      <c r="AF156">
        <v>20.123728042697874</v>
      </c>
      <c r="AG156">
        <v>24.81247184961266</v>
      </c>
      <c r="AH156">
        <v>44.936199892310533</v>
      </c>
      <c r="AI156">
        <v>2.8776931101057963</v>
      </c>
      <c r="AJ156">
        <v>0</v>
      </c>
      <c r="AK156">
        <v>2.8776931101057963</v>
      </c>
      <c r="AL156">
        <v>95.797505241403783</v>
      </c>
      <c r="AM156">
        <v>20.56704719471615</v>
      </c>
      <c r="AN156">
        <v>2.1469293112475594</v>
      </c>
      <c r="AO156">
        <v>14.3</v>
      </c>
      <c r="AP156">
        <v>6.4039529755568543</v>
      </c>
      <c r="AQ156">
        <v>6.1348271874161107</v>
      </c>
      <c r="AR156">
        <v>29.828429571514771</v>
      </c>
      <c r="AS156">
        <v>-0.1229677253133216</v>
      </c>
      <c r="AT156">
        <v>3.404935227894617</v>
      </c>
      <c r="AU156">
        <v>16.555294474986056</v>
      </c>
    </row>
    <row r="157" spans="1:48" x14ac:dyDescent="0.35">
      <c r="A157">
        <v>155</v>
      </c>
      <c r="B157">
        <v>46043</v>
      </c>
      <c r="C157" t="s">
        <v>16</v>
      </c>
      <c r="D157" t="s">
        <v>58</v>
      </c>
      <c r="E157" t="s">
        <v>19</v>
      </c>
      <c r="F157" t="s">
        <v>20</v>
      </c>
      <c r="G157" t="s">
        <v>21</v>
      </c>
      <c r="H157" t="s">
        <v>22</v>
      </c>
      <c r="I157" t="s">
        <v>23</v>
      </c>
      <c r="J157" t="s">
        <v>24</v>
      </c>
      <c r="K157" t="s">
        <v>57</v>
      </c>
      <c r="L157">
        <v>27</v>
      </c>
      <c r="M157">
        <v>59</v>
      </c>
      <c r="N157">
        <v>2</v>
      </c>
      <c r="O157">
        <v>3</v>
      </c>
      <c r="P157">
        <v>3</v>
      </c>
      <c r="Q157">
        <v>0.5</v>
      </c>
      <c r="R157">
        <v>468.60623844643442</v>
      </c>
      <c r="T157">
        <v>0.37013888888888891</v>
      </c>
      <c r="U157">
        <v>40.5</v>
      </c>
      <c r="V157">
        <v>0.69166666666666665</v>
      </c>
      <c r="AD157">
        <v>-40.5</v>
      </c>
      <c r="AV157" t="s">
        <v>616</v>
      </c>
    </row>
    <row r="158" spans="1:48" x14ac:dyDescent="0.35">
      <c r="A158">
        <v>156</v>
      </c>
      <c r="B158">
        <v>46043</v>
      </c>
      <c r="D158" t="s">
        <v>541</v>
      </c>
      <c r="E158" t="s">
        <v>538</v>
      </c>
      <c r="F158" t="s">
        <v>542</v>
      </c>
      <c r="G158" t="s">
        <v>541</v>
      </c>
      <c r="H158" t="s">
        <v>22</v>
      </c>
      <c r="I158" t="s">
        <v>23</v>
      </c>
      <c r="J158" t="s">
        <v>24</v>
      </c>
      <c r="K158" t="s">
        <v>543</v>
      </c>
      <c r="L158">
        <v>27</v>
      </c>
      <c r="M158">
        <v>59</v>
      </c>
      <c r="N158">
        <v>2</v>
      </c>
      <c r="O158">
        <v>1</v>
      </c>
      <c r="P158">
        <v>4</v>
      </c>
      <c r="S158">
        <v>0</v>
      </c>
      <c r="T158">
        <v>0.37013888888888891</v>
      </c>
      <c r="U158">
        <v>40</v>
      </c>
      <c r="V158">
        <v>0.69305555555555554</v>
      </c>
      <c r="W158">
        <v>43</v>
      </c>
      <c r="AD158">
        <v>3</v>
      </c>
    </row>
    <row r="159" spans="1:48" x14ac:dyDescent="0.35">
      <c r="A159">
        <v>157</v>
      </c>
      <c r="B159">
        <v>46043</v>
      </c>
      <c r="D159" t="s">
        <v>541</v>
      </c>
      <c r="E159" t="s">
        <v>538</v>
      </c>
      <c r="F159" t="s">
        <v>542</v>
      </c>
      <c r="G159" t="s">
        <v>541</v>
      </c>
      <c r="H159" t="s">
        <v>22</v>
      </c>
      <c r="I159" t="s">
        <v>23</v>
      </c>
      <c r="J159" t="s">
        <v>24</v>
      </c>
      <c r="K159" t="s">
        <v>543</v>
      </c>
      <c r="L159">
        <v>27</v>
      </c>
      <c r="M159">
        <v>59</v>
      </c>
      <c r="N159">
        <v>2</v>
      </c>
      <c r="O159">
        <v>2</v>
      </c>
      <c r="P159">
        <v>5</v>
      </c>
      <c r="S159">
        <v>0</v>
      </c>
      <c r="T159">
        <v>0.37083333333333335</v>
      </c>
      <c r="U159">
        <v>39.5</v>
      </c>
      <c r="V159">
        <v>0.69374999999999998</v>
      </c>
      <c r="W159">
        <v>43.5</v>
      </c>
      <c r="AD159">
        <v>4</v>
      </c>
    </row>
    <row r="160" spans="1:48" x14ac:dyDescent="0.35">
      <c r="A160">
        <v>158</v>
      </c>
      <c r="B160">
        <v>46043</v>
      </c>
      <c r="C160" t="s">
        <v>16</v>
      </c>
      <c r="D160" t="s">
        <v>60</v>
      </c>
      <c r="E160" t="s">
        <v>19</v>
      </c>
      <c r="F160" t="s">
        <v>20</v>
      </c>
      <c r="G160" t="s">
        <v>21</v>
      </c>
      <c r="H160" t="s">
        <v>22</v>
      </c>
      <c r="I160" t="s">
        <v>23</v>
      </c>
      <c r="J160" t="s">
        <v>24</v>
      </c>
      <c r="K160" t="s">
        <v>59</v>
      </c>
      <c r="L160">
        <v>27</v>
      </c>
      <c r="M160">
        <v>59</v>
      </c>
      <c r="N160">
        <v>2</v>
      </c>
      <c r="O160">
        <v>1</v>
      </c>
      <c r="P160">
        <v>6</v>
      </c>
      <c r="Q160">
        <v>0.50039999999999996</v>
      </c>
      <c r="R160">
        <v>471.23548675994408</v>
      </c>
      <c r="S160">
        <v>122.13548675994411</v>
      </c>
      <c r="T160">
        <v>0.37083333333333335</v>
      </c>
      <c r="U160">
        <v>40.5</v>
      </c>
      <c r="V160">
        <v>0.69374999999999998</v>
      </c>
      <c r="W160">
        <v>63.5</v>
      </c>
      <c r="X160">
        <v>16.100000000000001</v>
      </c>
      <c r="Y160">
        <v>41.5</v>
      </c>
      <c r="Z160">
        <v>0.38611111111111113</v>
      </c>
      <c r="AA160">
        <v>66</v>
      </c>
      <c r="AB160">
        <v>17.7</v>
      </c>
      <c r="AD160">
        <v>23</v>
      </c>
      <c r="AE160">
        <v>24.5</v>
      </c>
      <c r="AF160">
        <v>20.123728042697874</v>
      </c>
      <c r="AG160">
        <v>20.81247184961266</v>
      </c>
      <c r="AH160">
        <v>40.936199892310533</v>
      </c>
      <c r="AI160">
        <v>3.2399202148743576</v>
      </c>
      <c r="AJ160">
        <v>3.6838075173814406</v>
      </c>
      <c r="AK160">
        <v>6.9237277322557986</v>
      </c>
      <c r="AL160">
        <v>86.869943037978757</v>
      </c>
      <c r="AM160">
        <v>25.918142880050578</v>
      </c>
      <c r="AN160">
        <v>2.9835570248641003</v>
      </c>
      <c r="AO160">
        <v>16.099999999999998</v>
      </c>
      <c r="AP160">
        <v>16.913459848422214</v>
      </c>
      <c r="AQ160">
        <v>14.692712936075782</v>
      </c>
      <c r="AR160">
        <v>56.688910945795023</v>
      </c>
      <c r="AS160">
        <v>-0.25987269944787528</v>
      </c>
      <c r="AT160">
        <v>8.1547098787078038</v>
      </c>
      <c r="AU160">
        <v>31.463326351922213</v>
      </c>
    </row>
    <row r="161" spans="1:47" x14ac:dyDescent="0.35">
      <c r="A161">
        <v>159</v>
      </c>
      <c r="B161">
        <v>46043</v>
      </c>
      <c r="C161" t="s">
        <v>16</v>
      </c>
      <c r="D161" t="s">
        <v>60</v>
      </c>
      <c r="E161" t="s">
        <v>19</v>
      </c>
      <c r="F161" t="s">
        <v>20</v>
      </c>
      <c r="G161" t="s">
        <v>21</v>
      </c>
      <c r="H161" t="s">
        <v>22</v>
      </c>
      <c r="I161" t="s">
        <v>23</v>
      </c>
      <c r="J161" t="s">
        <v>24</v>
      </c>
      <c r="K161" t="s">
        <v>59</v>
      </c>
      <c r="L161">
        <v>27</v>
      </c>
      <c r="M161">
        <v>59</v>
      </c>
      <c r="N161">
        <v>2</v>
      </c>
      <c r="O161">
        <v>2</v>
      </c>
      <c r="P161">
        <v>7</v>
      </c>
      <c r="Q161">
        <v>0.50049999999999994</v>
      </c>
      <c r="R161">
        <v>471.32965851988808</v>
      </c>
      <c r="S161">
        <v>113.02965851988802</v>
      </c>
      <c r="T161">
        <v>0.37152777777777779</v>
      </c>
      <c r="U161">
        <v>41.5</v>
      </c>
      <c r="V161">
        <v>0.69444444444444442</v>
      </c>
      <c r="W161">
        <v>67.5</v>
      </c>
      <c r="X161">
        <v>14.6</v>
      </c>
      <c r="Y161">
        <v>40</v>
      </c>
      <c r="Z161">
        <v>0.38611111111111113</v>
      </c>
      <c r="AA161">
        <v>67</v>
      </c>
      <c r="AB161">
        <v>17.600000000000001</v>
      </c>
      <c r="AD161">
        <v>26</v>
      </c>
      <c r="AE161">
        <v>27</v>
      </c>
      <c r="AF161">
        <v>23.123728042697874</v>
      </c>
      <c r="AG161">
        <v>23.31247184961266</v>
      </c>
      <c r="AH161">
        <v>46.436199892310533</v>
      </c>
      <c r="AI161">
        <v>3.3760642942338892</v>
      </c>
      <c r="AJ161">
        <v>4.1029950455318289</v>
      </c>
      <c r="AK161">
        <v>7.4790593397657181</v>
      </c>
      <c r="AL161">
        <v>98.521701431082604</v>
      </c>
      <c r="AM161">
        <v>23.981019754800482</v>
      </c>
      <c r="AN161">
        <v>2.4340850194893928</v>
      </c>
      <c r="AO161">
        <v>14.599999999999998</v>
      </c>
      <c r="AP161">
        <v>16.106096875089452</v>
      </c>
      <c r="AQ161">
        <v>15.868000675476553</v>
      </c>
      <c r="AR161">
        <v>66.16899880706751</v>
      </c>
      <c r="AS161">
        <v>-0.24968254076147445</v>
      </c>
      <c r="AT161">
        <v>8.8070149077731461</v>
      </c>
      <c r="AU161">
        <v>36.724939130289371</v>
      </c>
    </row>
    <row r="162" spans="1:47" x14ac:dyDescent="0.35">
      <c r="A162">
        <v>160</v>
      </c>
      <c r="B162">
        <v>46043</v>
      </c>
      <c r="C162" t="s">
        <v>16</v>
      </c>
      <c r="D162" t="s">
        <v>60</v>
      </c>
      <c r="E162" t="s">
        <v>19</v>
      </c>
      <c r="F162" t="s">
        <v>20</v>
      </c>
      <c r="G162" t="s">
        <v>21</v>
      </c>
      <c r="H162" t="s">
        <v>22</v>
      </c>
      <c r="I162" t="s">
        <v>23</v>
      </c>
      <c r="J162" t="s">
        <v>24</v>
      </c>
      <c r="K162" t="s">
        <v>59</v>
      </c>
      <c r="L162">
        <v>27</v>
      </c>
      <c r="M162">
        <v>59</v>
      </c>
      <c r="N162">
        <v>2</v>
      </c>
      <c r="O162">
        <v>3</v>
      </c>
      <c r="P162">
        <v>8</v>
      </c>
      <c r="Q162">
        <v>0.5</v>
      </c>
      <c r="R162">
        <v>470.85879972016795</v>
      </c>
      <c r="S162">
        <v>212.45879972016797</v>
      </c>
      <c r="T162">
        <v>0.37222222222222223</v>
      </c>
      <c r="U162">
        <v>41.5</v>
      </c>
      <c r="V162">
        <v>0.69444444444444442</v>
      </c>
      <c r="W162">
        <v>70</v>
      </c>
      <c r="X162">
        <v>13.6</v>
      </c>
      <c r="Y162">
        <v>40</v>
      </c>
      <c r="Z162">
        <v>0.38680555555555557</v>
      </c>
      <c r="AA162">
        <v>68</v>
      </c>
      <c r="AB162">
        <v>17</v>
      </c>
      <c r="AD162">
        <v>28.5</v>
      </c>
      <c r="AE162">
        <v>28</v>
      </c>
      <c r="AF162">
        <v>25.623728042697874</v>
      </c>
      <c r="AG162">
        <v>24.31247184961266</v>
      </c>
      <c r="AH162">
        <v>49.936199892310533</v>
      </c>
      <c r="AI162">
        <v>3.4848270138069108</v>
      </c>
      <c r="AJ162">
        <v>4.1331202144341521</v>
      </c>
      <c r="AK162">
        <v>7.6179472282410625</v>
      </c>
      <c r="AL162">
        <v>106.05344940348931</v>
      </c>
      <c r="AM162">
        <v>45.121552330854293</v>
      </c>
      <c r="AN162">
        <v>4.2546048793929874</v>
      </c>
      <c r="AO162">
        <v>13.6</v>
      </c>
      <c r="AP162">
        <v>15.255360329118913</v>
      </c>
      <c r="AQ162">
        <v>16.178835847962105</v>
      </c>
      <c r="AR162">
        <v>35.85611534224401</v>
      </c>
      <c r="AS162">
        <v>1.2315977820863429</v>
      </c>
      <c r="AT162">
        <v>8.9795338062737784</v>
      </c>
      <c r="AU162">
        <v>19.900764362961727</v>
      </c>
    </row>
    <row r="163" spans="1:47" x14ac:dyDescent="0.35">
      <c r="A163">
        <v>161</v>
      </c>
      <c r="B163">
        <v>46043</v>
      </c>
      <c r="C163" t="s">
        <v>16</v>
      </c>
      <c r="D163" t="s">
        <v>62</v>
      </c>
      <c r="E163" t="s">
        <v>19</v>
      </c>
      <c r="F163" t="s">
        <v>20</v>
      </c>
      <c r="G163" t="s">
        <v>21</v>
      </c>
      <c r="H163" t="s">
        <v>22</v>
      </c>
      <c r="I163" t="s">
        <v>23</v>
      </c>
      <c r="J163" t="s">
        <v>24</v>
      </c>
      <c r="K163" t="s">
        <v>61</v>
      </c>
      <c r="L163">
        <v>27</v>
      </c>
      <c r="M163">
        <v>59</v>
      </c>
      <c r="N163">
        <v>2</v>
      </c>
      <c r="O163">
        <v>1</v>
      </c>
      <c r="P163">
        <v>9</v>
      </c>
      <c r="Q163">
        <v>0.50009999999999999</v>
      </c>
      <c r="R163">
        <v>470.38688287027776</v>
      </c>
      <c r="S163">
        <v>92.986882870277782</v>
      </c>
      <c r="T163">
        <v>0.37222222222222223</v>
      </c>
      <c r="U163">
        <v>40.5</v>
      </c>
      <c r="V163">
        <v>0.69513888888888886</v>
      </c>
      <c r="W163">
        <v>60</v>
      </c>
      <c r="X163">
        <v>15.6</v>
      </c>
      <c r="Y163">
        <v>41.5</v>
      </c>
      <c r="Z163">
        <v>0.38680555555555557</v>
      </c>
      <c r="AA163">
        <v>64.5</v>
      </c>
      <c r="AB163">
        <v>17.600000000000001</v>
      </c>
      <c r="AD163">
        <v>19.5</v>
      </c>
      <c r="AE163">
        <v>23</v>
      </c>
      <c r="AF163">
        <v>16.623728042697874</v>
      </c>
      <c r="AG163">
        <v>19.31247184961266</v>
      </c>
      <c r="AH163">
        <v>35.936199892310533</v>
      </c>
      <c r="AI163">
        <v>2.5933015746608681</v>
      </c>
      <c r="AJ163">
        <v>3.3989950455318283</v>
      </c>
      <c r="AK163">
        <v>5.9922966201926968</v>
      </c>
      <c r="AL163">
        <v>76.397113101941954</v>
      </c>
      <c r="AM163">
        <v>19.768170894323493</v>
      </c>
      <c r="AN163">
        <v>2.5875546982967084</v>
      </c>
      <c r="AO163">
        <v>15.599999999999998</v>
      </c>
      <c r="AP163">
        <v>16.674819925728713</v>
      </c>
      <c r="AQ163">
        <v>12.739081038204118</v>
      </c>
      <c r="AR163">
        <v>64.442386229381469</v>
      </c>
      <c r="AS163">
        <v>-0.1988873534008854</v>
      </c>
      <c r="AT163">
        <v>7.0704103755292058</v>
      </c>
      <c r="AU163">
        <v>35.766639277483691</v>
      </c>
    </row>
    <row r="164" spans="1:47" x14ac:dyDescent="0.35">
      <c r="A164">
        <v>162</v>
      </c>
      <c r="B164">
        <v>46043</v>
      </c>
      <c r="C164" t="s">
        <v>16</v>
      </c>
      <c r="D164" t="s">
        <v>62</v>
      </c>
      <c r="E164" t="s">
        <v>19</v>
      </c>
      <c r="F164" t="s">
        <v>20</v>
      </c>
      <c r="G164" t="s">
        <v>21</v>
      </c>
      <c r="H164" t="s">
        <v>22</v>
      </c>
      <c r="I164" t="s">
        <v>23</v>
      </c>
      <c r="J164" t="s">
        <v>24</v>
      </c>
      <c r="K164" t="s">
        <v>61</v>
      </c>
      <c r="L164">
        <v>27</v>
      </c>
      <c r="M164">
        <v>59</v>
      </c>
      <c r="N164">
        <v>2</v>
      </c>
      <c r="O164">
        <v>2</v>
      </c>
      <c r="P164">
        <v>10</v>
      </c>
      <c r="Q164">
        <v>0.5</v>
      </c>
      <c r="R164">
        <v>470.29282430541667</v>
      </c>
      <c r="S164">
        <v>132.29282430541673</v>
      </c>
      <c r="T164">
        <v>0.37291666666666667</v>
      </c>
      <c r="U164">
        <v>41</v>
      </c>
      <c r="V164">
        <v>0.69513888888888886</v>
      </c>
      <c r="W164">
        <v>64.5</v>
      </c>
      <c r="X164">
        <v>14.4</v>
      </c>
      <c r="Y164">
        <v>40.5</v>
      </c>
      <c r="Z164">
        <v>0.38750000000000001</v>
      </c>
      <c r="AA164">
        <v>65</v>
      </c>
      <c r="AB164">
        <v>17.5</v>
      </c>
      <c r="AD164">
        <v>23.5</v>
      </c>
      <c r="AE164">
        <v>24.5</v>
      </c>
      <c r="AF164">
        <v>20.623728042697874</v>
      </c>
      <c r="AG164">
        <v>20.81247184961266</v>
      </c>
      <c r="AH164">
        <v>41.436199892310533</v>
      </c>
      <c r="AI164">
        <v>2.969816838148494</v>
      </c>
      <c r="AJ164">
        <v>3.6421825736822151</v>
      </c>
      <c r="AK164">
        <v>6.6119994118307091</v>
      </c>
      <c r="AL164">
        <v>88.107233941977213</v>
      </c>
      <c r="AM164">
        <v>28.129883652977739</v>
      </c>
      <c r="AN164">
        <v>3.1926871829278629</v>
      </c>
      <c r="AO164">
        <v>14.400000000000002</v>
      </c>
      <c r="AP164">
        <v>15.957060321686791</v>
      </c>
      <c r="AQ164">
        <v>14.059324467891003</v>
      </c>
      <c r="AR164">
        <v>49.980030636929868</v>
      </c>
      <c r="AS164">
        <v>-0.39910367641202227</v>
      </c>
      <c r="AT164">
        <v>7.8031683205872548</v>
      </c>
      <c r="AU164">
        <v>27.739781709908481</v>
      </c>
    </row>
    <row r="165" spans="1:47" x14ac:dyDescent="0.35">
      <c r="A165">
        <v>163</v>
      </c>
      <c r="B165">
        <v>46043</v>
      </c>
      <c r="C165" t="s">
        <v>16</v>
      </c>
      <c r="D165" t="s">
        <v>62</v>
      </c>
      <c r="E165" t="s">
        <v>19</v>
      </c>
      <c r="F165" t="s">
        <v>20</v>
      </c>
      <c r="G165" t="s">
        <v>21</v>
      </c>
      <c r="H165" t="s">
        <v>22</v>
      </c>
      <c r="I165" t="s">
        <v>23</v>
      </c>
      <c r="J165" t="s">
        <v>24</v>
      </c>
      <c r="K165" t="s">
        <v>61</v>
      </c>
      <c r="L165">
        <v>27</v>
      </c>
      <c r="M165">
        <v>59</v>
      </c>
      <c r="N165">
        <v>2</v>
      </c>
      <c r="O165">
        <v>3</v>
      </c>
      <c r="P165">
        <v>11</v>
      </c>
      <c r="Q165">
        <v>0.5</v>
      </c>
      <c r="R165">
        <v>470.29282430541667</v>
      </c>
      <c r="S165">
        <v>84.492824305416661</v>
      </c>
      <c r="T165">
        <v>0.37361111111111112</v>
      </c>
      <c r="U165">
        <v>41.5</v>
      </c>
      <c r="V165">
        <v>0.6958333333333333</v>
      </c>
      <c r="W165">
        <v>64.5</v>
      </c>
      <c r="X165">
        <v>14</v>
      </c>
      <c r="Y165">
        <v>31</v>
      </c>
      <c r="Z165">
        <v>0.38819444444444445</v>
      </c>
      <c r="AA165">
        <v>64</v>
      </c>
      <c r="AB165">
        <v>17.2</v>
      </c>
      <c r="AD165">
        <v>23</v>
      </c>
      <c r="AE165">
        <v>33</v>
      </c>
      <c r="AF165">
        <v>20.123728042697874</v>
      </c>
      <c r="AG165">
        <v>29.31247184961266</v>
      </c>
      <c r="AH165">
        <v>49.436199892310533</v>
      </c>
      <c r="AI165">
        <v>2.8173219259777027</v>
      </c>
      <c r="AJ165">
        <v>5.0417451581333772</v>
      </c>
      <c r="AK165">
        <v>7.8590670841110803</v>
      </c>
      <c r="AL165">
        <v>105.11791236730792</v>
      </c>
      <c r="AM165">
        <v>17.966003293842622</v>
      </c>
      <c r="AN165">
        <v>1.7091286241554127</v>
      </c>
      <c r="AO165">
        <v>14.000000000000002</v>
      </c>
      <c r="AP165">
        <v>15.897393208278343</v>
      </c>
      <c r="AQ165">
        <v>16.71100786136439</v>
      </c>
      <c r="AR165">
        <v>93.01460980524061</v>
      </c>
      <c r="AS165">
        <v>-0.23777844519701297</v>
      </c>
      <c r="AT165">
        <v>9.2748984808403048</v>
      </c>
      <c r="AU165">
        <v>51.624717691213128</v>
      </c>
    </row>
    <row r="166" spans="1:47" x14ac:dyDescent="0.35">
      <c r="A166">
        <v>164</v>
      </c>
      <c r="B166">
        <v>46043</v>
      </c>
      <c r="C166" t="s">
        <v>16</v>
      </c>
      <c r="D166" t="s">
        <v>64</v>
      </c>
      <c r="E166" t="s">
        <v>19</v>
      </c>
      <c r="F166" t="s">
        <v>20</v>
      </c>
      <c r="G166" t="s">
        <v>21</v>
      </c>
      <c r="H166" t="s">
        <v>22</v>
      </c>
      <c r="I166" t="s">
        <v>23</v>
      </c>
      <c r="J166" t="s">
        <v>24</v>
      </c>
      <c r="K166" t="s">
        <v>63</v>
      </c>
      <c r="L166">
        <v>27</v>
      </c>
      <c r="M166">
        <v>59</v>
      </c>
      <c r="N166">
        <v>2</v>
      </c>
      <c r="O166">
        <v>1</v>
      </c>
      <c r="P166">
        <v>12</v>
      </c>
      <c r="Q166">
        <v>0.50009999999999999</v>
      </c>
      <c r="R166">
        <v>476.53083435852693</v>
      </c>
      <c r="S166">
        <v>139.330834358527</v>
      </c>
      <c r="T166">
        <v>0.37361111111111112</v>
      </c>
      <c r="U166">
        <v>41</v>
      </c>
      <c r="V166">
        <v>0.6958333333333333</v>
      </c>
      <c r="W166">
        <v>69.5</v>
      </c>
      <c r="X166">
        <v>14.5</v>
      </c>
      <c r="Y166">
        <v>40.5</v>
      </c>
      <c r="Z166">
        <v>0.38819444444444445</v>
      </c>
      <c r="AA166">
        <v>69</v>
      </c>
      <c r="AB166">
        <v>17.8</v>
      </c>
      <c r="AD166">
        <v>28.5</v>
      </c>
      <c r="AE166">
        <v>28.5</v>
      </c>
      <c r="AF166">
        <v>25.623728042697874</v>
      </c>
      <c r="AG166">
        <v>24.81247184961266</v>
      </c>
      <c r="AH166">
        <v>50.436199892310533</v>
      </c>
      <c r="AI166">
        <v>3.7154405661911913</v>
      </c>
      <c r="AJ166">
        <v>4.4166199892310543</v>
      </c>
      <c r="AK166">
        <v>8.132060555422246</v>
      </c>
      <c r="AL166">
        <v>105.8403701414291</v>
      </c>
      <c r="AM166">
        <v>29.238576879518106</v>
      </c>
      <c r="AN166">
        <v>2.7625164991815585</v>
      </c>
      <c r="AO166">
        <v>14.499999999999998</v>
      </c>
      <c r="AP166">
        <v>16.123460079834555</v>
      </c>
      <c r="AQ166">
        <v>17.065129828102449</v>
      </c>
      <c r="AR166">
        <v>58.365117763500756</v>
      </c>
      <c r="AS166">
        <v>-0.42867946544160229</v>
      </c>
      <c r="AT166">
        <v>9.4714422990575553</v>
      </c>
      <c r="AU166">
        <v>32.393650135866856</v>
      </c>
    </row>
    <row r="167" spans="1:47" x14ac:dyDescent="0.35">
      <c r="A167">
        <v>165</v>
      </c>
      <c r="B167">
        <v>46043</v>
      </c>
      <c r="C167" t="s">
        <v>16</v>
      </c>
      <c r="D167" t="s">
        <v>64</v>
      </c>
      <c r="E167" t="s">
        <v>19</v>
      </c>
      <c r="F167" t="s">
        <v>20</v>
      </c>
      <c r="G167" t="s">
        <v>21</v>
      </c>
      <c r="H167" t="s">
        <v>22</v>
      </c>
      <c r="I167" t="s">
        <v>23</v>
      </c>
      <c r="J167" t="s">
        <v>24</v>
      </c>
      <c r="K167" t="s">
        <v>63</v>
      </c>
      <c r="L167">
        <v>27</v>
      </c>
      <c r="M167">
        <v>59</v>
      </c>
      <c r="N167">
        <v>2</v>
      </c>
      <c r="O167">
        <v>2</v>
      </c>
      <c r="P167">
        <v>13</v>
      </c>
      <c r="Q167">
        <v>0.50019999999999998</v>
      </c>
      <c r="R167">
        <v>476.62612146797676</v>
      </c>
      <c r="S167">
        <v>109.32612146797669</v>
      </c>
      <c r="T167">
        <v>0.37361111111111112</v>
      </c>
      <c r="U167">
        <v>41</v>
      </c>
      <c r="V167">
        <v>0.69652777777777775</v>
      </c>
      <c r="W167">
        <v>69</v>
      </c>
      <c r="X167">
        <v>14</v>
      </c>
      <c r="Y167">
        <v>39.5</v>
      </c>
      <c r="Z167">
        <v>0.3888888888888889</v>
      </c>
      <c r="AA167">
        <v>68</v>
      </c>
      <c r="AB167">
        <v>18</v>
      </c>
      <c r="AD167">
        <v>28</v>
      </c>
      <c r="AE167">
        <v>28.5</v>
      </c>
      <c r="AF167">
        <v>25.123728042697874</v>
      </c>
      <c r="AG167">
        <v>24.81247184961266</v>
      </c>
      <c r="AH167">
        <v>49.936199892310533</v>
      </c>
      <c r="AI167">
        <v>3.5173219259777024</v>
      </c>
      <c r="AJ167">
        <v>4.4662449329302785</v>
      </c>
      <c r="AK167">
        <v>7.9835668589079809</v>
      </c>
      <c r="AL167">
        <v>104.7701702510772</v>
      </c>
      <c r="AM167">
        <v>22.937501018882369</v>
      </c>
      <c r="AN167">
        <v>2.1893160012925086</v>
      </c>
      <c r="AO167">
        <v>14</v>
      </c>
      <c r="AP167">
        <v>15.987533845436518</v>
      </c>
      <c r="AQ167">
        <v>16.750166428812435</v>
      </c>
      <c r="AR167">
        <v>73.025245492189995</v>
      </c>
      <c r="AS167">
        <v>-0.27004424131587584</v>
      </c>
      <c r="AT167">
        <v>9.2966321632578328</v>
      </c>
      <c r="AU167">
        <v>40.530274660717218</v>
      </c>
    </row>
    <row r="168" spans="1:47" x14ac:dyDescent="0.35">
      <c r="A168">
        <v>166</v>
      </c>
      <c r="B168">
        <v>46043</v>
      </c>
      <c r="C168" t="s">
        <v>16</v>
      </c>
      <c r="D168" t="s">
        <v>64</v>
      </c>
      <c r="E168" t="s">
        <v>19</v>
      </c>
      <c r="F168" t="s">
        <v>20</v>
      </c>
      <c r="G168" t="s">
        <v>21</v>
      </c>
      <c r="H168" t="s">
        <v>22</v>
      </c>
      <c r="I168" t="s">
        <v>23</v>
      </c>
      <c r="J168" t="s">
        <v>24</v>
      </c>
      <c r="K168" t="s">
        <v>63</v>
      </c>
      <c r="L168">
        <v>27</v>
      </c>
      <c r="M168">
        <v>59</v>
      </c>
      <c r="N168">
        <v>2</v>
      </c>
      <c r="O168">
        <v>3</v>
      </c>
      <c r="P168">
        <v>14</v>
      </c>
      <c r="Q168">
        <v>0.50019999999999998</v>
      </c>
      <c r="R168">
        <v>476.62612146797676</v>
      </c>
      <c r="S168">
        <v>140.72612146797678</v>
      </c>
      <c r="T168">
        <v>0.37430555555555556</v>
      </c>
      <c r="U168">
        <v>40.5</v>
      </c>
      <c r="V168">
        <v>0.69722222222222219</v>
      </c>
      <c r="W168">
        <v>70.5</v>
      </c>
      <c r="X168">
        <v>13.5</v>
      </c>
      <c r="Y168">
        <v>39.5</v>
      </c>
      <c r="Z168">
        <v>0.38958333333333334</v>
      </c>
      <c r="AA168">
        <v>69</v>
      </c>
      <c r="AB168">
        <v>17.7</v>
      </c>
      <c r="AD168">
        <v>30</v>
      </c>
      <c r="AE168">
        <v>29.5</v>
      </c>
      <c r="AF168">
        <v>27.123728042697874</v>
      </c>
      <c r="AG168">
        <v>25.81247184961266</v>
      </c>
      <c r="AH168">
        <v>52.936199892310533</v>
      </c>
      <c r="AI168">
        <v>3.6617032857642133</v>
      </c>
      <c r="AJ168">
        <v>4.5688075173814404</v>
      </c>
      <c r="AK168">
        <v>8.2305108031456538</v>
      </c>
      <c r="AL168">
        <v>111.06441193208329</v>
      </c>
      <c r="AM168">
        <v>29.525473978335405</v>
      </c>
      <c r="AN168">
        <v>2.6584099681174611</v>
      </c>
      <c r="AO168">
        <v>13.5</v>
      </c>
      <c r="AP168">
        <v>15.547981947871575</v>
      </c>
      <c r="AQ168">
        <v>17.268274717710032</v>
      </c>
      <c r="AR168">
        <v>58.486020344265398</v>
      </c>
      <c r="AS168">
        <v>-0.44518917701022986</v>
      </c>
      <c r="AT168">
        <v>9.5841912274072296</v>
      </c>
      <c r="AU168">
        <v>32.460753159931386</v>
      </c>
    </row>
    <row r="169" spans="1:47" x14ac:dyDescent="0.35">
      <c r="A169">
        <v>167</v>
      </c>
      <c r="B169">
        <v>46043</v>
      </c>
      <c r="C169" t="s">
        <v>16</v>
      </c>
      <c r="D169" t="s">
        <v>66</v>
      </c>
      <c r="E169" t="s">
        <v>19</v>
      </c>
      <c r="F169" t="s">
        <v>67</v>
      </c>
      <c r="G169" t="s">
        <v>68</v>
      </c>
      <c r="H169" t="s">
        <v>22</v>
      </c>
      <c r="I169" t="s">
        <v>23</v>
      </c>
      <c r="J169" t="s">
        <v>24</v>
      </c>
      <c r="K169" t="s">
        <v>65</v>
      </c>
      <c r="L169">
        <v>27</v>
      </c>
      <c r="M169">
        <v>59</v>
      </c>
      <c r="N169">
        <v>2</v>
      </c>
      <c r="O169">
        <v>1</v>
      </c>
      <c r="P169">
        <v>15</v>
      </c>
      <c r="Q169">
        <v>0.5</v>
      </c>
      <c r="R169">
        <v>473.35781031381202</v>
      </c>
      <c r="S169">
        <v>131.757810313812</v>
      </c>
      <c r="T169">
        <v>0.375</v>
      </c>
      <c r="U169">
        <v>41.5</v>
      </c>
      <c r="V169">
        <v>0.69722222222222219</v>
      </c>
      <c r="W169">
        <v>66.5</v>
      </c>
      <c r="X169">
        <v>13.7</v>
      </c>
      <c r="Y169">
        <v>39.5</v>
      </c>
      <c r="Z169">
        <v>0.38958333333333334</v>
      </c>
      <c r="AA169">
        <v>68</v>
      </c>
      <c r="AB169">
        <v>17.5</v>
      </c>
      <c r="AD169">
        <v>25</v>
      </c>
      <c r="AE169">
        <v>28.5</v>
      </c>
      <c r="AF169">
        <v>22.123728042697874</v>
      </c>
      <c r="AG169">
        <v>24.81247184961266</v>
      </c>
      <c r="AH169">
        <v>46.936199892310533</v>
      </c>
      <c r="AI169">
        <v>3.0309507418496082</v>
      </c>
      <c r="AJ169">
        <v>4.3421825736822148</v>
      </c>
      <c r="AK169">
        <v>7.3731333155318231</v>
      </c>
      <c r="AL169">
        <v>99.155858147126025</v>
      </c>
      <c r="AM169">
        <v>27.834717721561052</v>
      </c>
      <c r="AN169">
        <v>2.8071682542709988</v>
      </c>
      <c r="AO169">
        <v>13.699999999999998</v>
      </c>
      <c r="AP169">
        <v>15.708841645571203</v>
      </c>
      <c r="AQ169">
        <v>15.576236738639238</v>
      </c>
      <c r="AR169">
        <v>55.95974385101713</v>
      </c>
      <c r="AS169">
        <v>-0.35511670338234702</v>
      </c>
      <c r="AT169">
        <v>8.6450808750094605</v>
      </c>
      <c r="AU169">
        <v>31.058625998972836</v>
      </c>
    </row>
    <row r="170" spans="1:47" x14ac:dyDescent="0.35">
      <c r="A170">
        <v>168</v>
      </c>
      <c r="B170">
        <v>46043</v>
      </c>
      <c r="C170" t="s">
        <v>16</v>
      </c>
      <c r="D170" t="s">
        <v>66</v>
      </c>
      <c r="E170" t="s">
        <v>19</v>
      </c>
      <c r="F170" t="s">
        <v>67</v>
      </c>
      <c r="G170" t="s">
        <v>68</v>
      </c>
      <c r="H170" t="s">
        <v>22</v>
      </c>
      <c r="I170" t="s">
        <v>23</v>
      </c>
      <c r="J170" t="s">
        <v>24</v>
      </c>
      <c r="K170" t="s">
        <v>65</v>
      </c>
      <c r="L170">
        <v>27</v>
      </c>
      <c r="M170">
        <v>59</v>
      </c>
      <c r="N170">
        <v>2</v>
      </c>
      <c r="O170">
        <v>2</v>
      </c>
      <c r="P170">
        <v>16</v>
      </c>
      <c r="Q170">
        <v>0.50039999999999996</v>
      </c>
      <c r="R170">
        <v>473.736496562063</v>
      </c>
      <c r="S170">
        <v>163.43649656206298</v>
      </c>
      <c r="T170">
        <v>0.37569444444444444</v>
      </c>
      <c r="U170">
        <v>41</v>
      </c>
      <c r="V170">
        <v>0.69791666666666663</v>
      </c>
      <c r="W170">
        <v>66.5</v>
      </c>
      <c r="X170">
        <v>13.7</v>
      </c>
      <c r="Y170">
        <v>40.5</v>
      </c>
      <c r="Z170">
        <v>0.39027777777777778</v>
      </c>
      <c r="AA170">
        <v>70</v>
      </c>
      <c r="AB170">
        <v>17.2</v>
      </c>
      <c r="AD170">
        <v>25.5</v>
      </c>
      <c r="AE170">
        <v>29.5</v>
      </c>
      <c r="AF170">
        <v>22.623728042697874</v>
      </c>
      <c r="AG170">
        <v>25.81247184961266</v>
      </c>
      <c r="AH170">
        <v>48.436199892310533</v>
      </c>
      <c r="AI170">
        <v>3.0994507418496084</v>
      </c>
      <c r="AJ170">
        <v>4.4397451581333769</v>
      </c>
      <c r="AK170">
        <v>7.5391958999829853</v>
      </c>
      <c r="AL170">
        <v>102.24291403304417</v>
      </c>
      <c r="AM170">
        <v>34.499452279512433</v>
      </c>
      <c r="AN170">
        <v>3.3742634006267131</v>
      </c>
      <c r="AO170">
        <v>13.7</v>
      </c>
      <c r="AP170">
        <v>15.565209320188364</v>
      </c>
      <c r="AQ170">
        <v>15.914323584303569</v>
      </c>
      <c r="AR170">
        <v>46.129206502661845</v>
      </c>
      <c r="AS170">
        <v>-0.78454115371061817</v>
      </c>
      <c r="AT170">
        <v>8.8327249236065484</v>
      </c>
      <c r="AU170">
        <v>25.602507692134807</v>
      </c>
    </row>
    <row r="171" spans="1:47" x14ac:dyDescent="0.35">
      <c r="A171">
        <v>169</v>
      </c>
      <c r="B171">
        <v>46043</v>
      </c>
      <c r="C171" t="s">
        <v>16</v>
      </c>
      <c r="D171" t="s">
        <v>66</v>
      </c>
      <c r="E171" t="s">
        <v>19</v>
      </c>
      <c r="F171" t="s">
        <v>67</v>
      </c>
      <c r="G171" t="s">
        <v>68</v>
      </c>
      <c r="H171" t="s">
        <v>22</v>
      </c>
      <c r="I171" t="s">
        <v>23</v>
      </c>
      <c r="J171" t="s">
        <v>24</v>
      </c>
      <c r="K171" t="s">
        <v>65</v>
      </c>
      <c r="L171">
        <v>27</v>
      </c>
      <c r="M171">
        <v>59</v>
      </c>
      <c r="N171">
        <v>2</v>
      </c>
      <c r="O171">
        <v>3</v>
      </c>
      <c r="P171">
        <v>17</v>
      </c>
      <c r="Q171">
        <v>0.50039999999999996</v>
      </c>
      <c r="R171">
        <v>473.736496562063</v>
      </c>
      <c r="S171">
        <v>159.83649656206291</v>
      </c>
      <c r="T171">
        <v>0.37569444444444444</v>
      </c>
      <c r="U171">
        <v>41.5</v>
      </c>
      <c r="V171">
        <v>0.69861111111111107</v>
      </c>
      <c r="W171">
        <v>67</v>
      </c>
      <c r="X171">
        <v>13.5</v>
      </c>
      <c r="Y171">
        <v>40</v>
      </c>
      <c r="Z171">
        <v>0.39097222222222222</v>
      </c>
      <c r="AA171">
        <v>69</v>
      </c>
      <c r="AB171">
        <v>17.399999999999999</v>
      </c>
      <c r="AD171">
        <v>25.5</v>
      </c>
      <c r="AE171">
        <v>29</v>
      </c>
      <c r="AF171">
        <v>22.623728042697874</v>
      </c>
      <c r="AG171">
        <v>25.31247184961266</v>
      </c>
      <c r="AH171">
        <v>47.936199892310533</v>
      </c>
      <c r="AI171">
        <v>3.054203285764213</v>
      </c>
      <c r="AJ171">
        <v>4.4043701018326029</v>
      </c>
      <c r="AK171">
        <v>7.4585733875968163</v>
      </c>
      <c r="AL171">
        <v>101.18747497857289</v>
      </c>
      <c r="AM171">
        <v>33.739536160293099</v>
      </c>
      <c r="AN171">
        <v>3.3343589379453991</v>
      </c>
      <c r="AO171">
        <v>13.5</v>
      </c>
      <c r="AP171">
        <v>15.559375595797382</v>
      </c>
      <c r="AQ171">
        <v>15.744139287819655</v>
      </c>
      <c r="AR171">
        <v>46.66376921431538</v>
      </c>
      <c r="AS171">
        <v>-0.68544595003955822</v>
      </c>
      <c r="AT171">
        <v>8.7382696946929848</v>
      </c>
      <c r="AU171">
        <v>25.899199245592342</v>
      </c>
    </row>
    <row r="172" spans="1:47" x14ac:dyDescent="0.35">
      <c r="A172">
        <v>170</v>
      </c>
      <c r="B172">
        <v>46043</v>
      </c>
      <c r="C172" t="s">
        <v>16</v>
      </c>
      <c r="D172" t="s">
        <v>70</v>
      </c>
      <c r="E172" t="s">
        <v>19</v>
      </c>
      <c r="F172" t="s">
        <v>20</v>
      </c>
      <c r="G172" t="s">
        <v>21</v>
      </c>
      <c r="H172" t="s">
        <v>22</v>
      </c>
      <c r="I172" t="s">
        <v>23</v>
      </c>
      <c r="J172" t="s">
        <v>24</v>
      </c>
      <c r="K172" t="s">
        <v>69</v>
      </c>
      <c r="L172">
        <v>27</v>
      </c>
      <c r="M172">
        <v>59</v>
      </c>
      <c r="N172">
        <v>2</v>
      </c>
      <c r="O172">
        <v>1</v>
      </c>
      <c r="P172">
        <v>18</v>
      </c>
      <c r="Q172">
        <v>0.50009999999999999</v>
      </c>
      <c r="R172">
        <v>473.25408688293629</v>
      </c>
      <c r="S172">
        <v>150.85408688293626</v>
      </c>
      <c r="T172">
        <v>0.37638888888888888</v>
      </c>
      <c r="U172">
        <v>41</v>
      </c>
      <c r="V172">
        <v>0.69861111111111107</v>
      </c>
      <c r="W172">
        <v>67.5</v>
      </c>
      <c r="X172">
        <v>14.1</v>
      </c>
      <c r="Y172">
        <v>40.5</v>
      </c>
      <c r="Z172">
        <v>0.39166666666666666</v>
      </c>
      <c r="AA172">
        <v>71</v>
      </c>
      <c r="AB172">
        <v>17.399999999999999</v>
      </c>
      <c r="AD172">
        <v>26.5</v>
      </c>
      <c r="AE172">
        <v>30.5</v>
      </c>
      <c r="AF172">
        <v>23.623728042697874</v>
      </c>
      <c r="AG172">
        <v>26.81247184961266</v>
      </c>
      <c r="AH172">
        <v>50.436199892310533</v>
      </c>
      <c r="AI172">
        <v>3.3309456540203999</v>
      </c>
      <c r="AJ172">
        <v>4.6653701018326021</v>
      </c>
      <c r="AK172">
        <v>7.9963157558530025</v>
      </c>
      <c r="AL172">
        <v>106.57319459089295</v>
      </c>
      <c r="AM172">
        <v>31.875918468349411</v>
      </c>
      <c r="AN172">
        <v>2.9909883616337907</v>
      </c>
      <c r="AO172">
        <v>14.1</v>
      </c>
      <c r="AP172">
        <v>15.854318471507437</v>
      </c>
      <c r="AQ172">
        <v>16.896453675699505</v>
      </c>
      <c r="AR172">
        <v>53.006954740697182</v>
      </c>
      <c r="AS172">
        <v>-0.59819345084576858</v>
      </c>
      <c r="AT172">
        <v>9.3778241162013867</v>
      </c>
      <c r="AU172">
        <v>29.419776956428468</v>
      </c>
    </row>
    <row r="173" spans="1:47" x14ac:dyDescent="0.35">
      <c r="A173">
        <v>171</v>
      </c>
      <c r="B173">
        <v>46043</v>
      </c>
      <c r="C173" t="s">
        <v>16</v>
      </c>
      <c r="D173" t="s">
        <v>70</v>
      </c>
      <c r="E173" t="s">
        <v>19</v>
      </c>
      <c r="F173" t="s">
        <v>20</v>
      </c>
      <c r="G173" t="s">
        <v>21</v>
      </c>
      <c r="H173" t="s">
        <v>22</v>
      </c>
      <c r="I173" t="s">
        <v>23</v>
      </c>
      <c r="J173" t="s">
        <v>24</v>
      </c>
      <c r="K173" t="s">
        <v>69</v>
      </c>
      <c r="L173">
        <v>27</v>
      </c>
      <c r="M173">
        <v>59</v>
      </c>
      <c r="N173">
        <v>2</v>
      </c>
      <c r="O173">
        <v>2</v>
      </c>
      <c r="P173">
        <v>19</v>
      </c>
      <c r="Q173">
        <v>0.50039999999999996</v>
      </c>
      <c r="R173">
        <v>473.53798255593136</v>
      </c>
      <c r="S173">
        <v>168.23798255593135</v>
      </c>
      <c r="T173">
        <v>0.37708333333333333</v>
      </c>
      <c r="U173">
        <v>41</v>
      </c>
      <c r="V173">
        <v>0.69930555555555551</v>
      </c>
      <c r="W173">
        <v>66.5</v>
      </c>
      <c r="X173">
        <v>13.8</v>
      </c>
      <c r="Y173">
        <v>40</v>
      </c>
      <c r="Z173">
        <v>0.39166666666666666</v>
      </c>
      <c r="AA173">
        <v>71</v>
      </c>
      <c r="AB173">
        <v>16.899999999999999</v>
      </c>
      <c r="AD173">
        <v>25.5</v>
      </c>
      <c r="AE173">
        <v>31</v>
      </c>
      <c r="AF173">
        <v>22.623728042697874</v>
      </c>
      <c r="AG173">
        <v>27.31247184961266</v>
      </c>
      <c r="AH173">
        <v>49.936199892310533</v>
      </c>
      <c r="AI173">
        <v>3.1220744698923069</v>
      </c>
      <c r="AJ173">
        <v>4.615807742584539</v>
      </c>
      <c r="AK173">
        <v>7.7378822124768458</v>
      </c>
      <c r="AL173">
        <v>105.45342027851459</v>
      </c>
      <c r="AM173">
        <v>35.527875007589302</v>
      </c>
      <c r="AN173">
        <v>3.3690585771192736</v>
      </c>
      <c r="AO173">
        <v>13.8</v>
      </c>
      <c r="AP173">
        <v>15.495536763237704</v>
      </c>
      <c r="AQ173">
        <v>16.340573507348793</v>
      </c>
      <c r="AR173">
        <v>45.993669770168324</v>
      </c>
      <c r="AS173">
        <v>-1.0614226527337962</v>
      </c>
      <c r="AT173">
        <v>9.0693010054627905</v>
      </c>
      <c r="AU173">
        <v>25.527282460674741</v>
      </c>
    </row>
    <row r="174" spans="1:47" x14ac:dyDescent="0.35">
      <c r="A174">
        <v>172</v>
      </c>
      <c r="B174">
        <v>46043</v>
      </c>
      <c r="C174" t="s">
        <v>16</v>
      </c>
      <c r="D174" t="s">
        <v>70</v>
      </c>
      <c r="E174" t="s">
        <v>19</v>
      </c>
      <c r="F174" t="s">
        <v>20</v>
      </c>
      <c r="G174" t="s">
        <v>21</v>
      </c>
      <c r="H174" t="s">
        <v>22</v>
      </c>
      <c r="I174" t="s">
        <v>23</v>
      </c>
      <c r="J174" t="s">
        <v>24</v>
      </c>
      <c r="K174" t="s">
        <v>69</v>
      </c>
      <c r="L174">
        <v>27</v>
      </c>
      <c r="M174">
        <v>59</v>
      </c>
      <c r="N174">
        <v>2</v>
      </c>
      <c r="O174">
        <v>3</v>
      </c>
      <c r="P174">
        <v>20</v>
      </c>
      <c r="Q174">
        <v>0.50009999999999999</v>
      </c>
      <c r="R174">
        <v>473.25408688293629</v>
      </c>
      <c r="S174">
        <v>146.55408688293619</v>
      </c>
      <c r="T174">
        <v>0.37708333333333333</v>
      </c>
      <c r="U174">
        <v>41</v>
      </c>
      <c r="V174">
        <v>0.7</v>
      </c>
      <c r="W174">
        <v>67.5</v>
      </c>
      <c r="X174">
        <v>14.2</v>
      </c>
      <c r="Y174">
        <v>40</v>
      </c>
      <c r="Z174">
        <v>0.3923611111111111</v>
      </c>
      <c r="AA174">
        <v>71.5</v>
      </c>
      <c r="AB174">
        <v>17</v>
      </c>
      <c r="AD174">
        <v>26.5</v>
      </c>
      <c r="AE174">
        <v>31.5</v>
      </c>
      <c r="AF174">
        <v>23.623728042697874</v>
      </c>
      <c r="AG174">
        <v>27.81247184961266</v>
      </c>
      <c r="AH174">
        <v>51.436199892310533</v>
      </c>
      <c r="AI174">
        <v>3.3545693820630977</v>
      </c>
      <c r="AJ174">
        <v>4.7281202144341528</v>
      </c>
      <c r="AK174">
        <v>8.0826895964972501</v>
      </c>
      <c r="AL174">
        <v>108.68622441507567</v>
      </c>
      <c r="AM174">
        <v>30.967315643950833</v>
      </c>
      <c r="AN174">
        <v>2.8492401691759763</v>
      </c>
      <c r="AO174">
        <v>14.2</v>
      </c>
      <c r="AP174">
        <v>15.714010003498672</v>
      </c>
      <c r="AQ174">
        <v>17.078964177010008</v>
      </c>
      <c r="AR174">
        <v>55.151581019733037</v>
      </c>
      <c r="AS174">
        <v>-0.5432106383830333</v>
      </c>
      <c r="AT174">
        <v>9.4791206020498429</v>
      </c>
      <c r="AU174">
        <v>30.610081645554249</v>
      </c>
    </row>
    <row r="175" spans="1:47" x14ac:dyDescent="0.35">
      <c r="A175">
        <v>173</v>
      </c>
      <c r="B175">
        <v>46043</v>
      </c>
      <c r="C175" t="s">
        <v>16</v>
      </c>
      <c r="D175" t="s">
        <v>72</v>
      </c>
      <c r="E175" t="s">
        <v>19</v>
      </c>
      <c r="F175" t="s">
        <v>73</v>
      </c>
      <c r="G175" t="s">
        <v>74</v>
      </c>
      <c r="H175" t="s">
        <v>22</v>
      </c>
      <c r="I175" t="s">
        <v>23</v>
      </c>
      <c r="J175" t="s">
        <v>24</v>
      </c>
      <c r="K175" t="s">
        <v>71</v>
      </c>
      <c r="L175">
        <v>27</v>
      </c>
      <c r="M175">
        <v>59</v>
      </c>
      <c r="N175">
        <v>2</v>
      </c>
      <c r="O175">
        <v>1</v>
      </c>
      <c r="P175">
        <v>21</v>
      </c>
      <c r="Q175">
        <v>0.50039999999999996</v>
      </c>
      <c r="R175">
        <v>469.10622093244058</v>
      </c>
      <c r="S175">
        <v>176.50622093244061</v>
      </c>
      <c r="T175">
        <v>0.37708333333333333</v>
      </c>
      <c r="U175">
        <v>41.5</v>
      </c>
      <c r="V175">
        <v>0.7</v>
      </c>
      <c r="W175">
        <v>71</v>
      </c>
      <c r="X175">
        <v>14.2</v>
      </c>
      <c r="Y175">
        <v>40.5</v>
      </c>
      <c r="Z175">
        <v>0.3923611111111111</v>
      </c>
      <c r="AA175">
        <v>73</v>
      </c>
      <c r="AB175">
        <v>18.899999999999999</v>
      </c>
      <c r="AD175">
        <v>29.5</v>
      </c>
      <c r="AE175">
        <v>32.5</v>
      </c>
      <c r="AF175">
        <v>26.623728042697874</v>
      </c>
      <c r="AG175">
        <v>28.81247184961266</v>
      </c>
      <c r="AH175">
        <v>55.436199892310533</v>
      </c>
      <c r="AI175">
        <v>3.7805693820630979</v>
      </c>
      <c r="AJ175">
        <v>5.4455571795767916</v>
      </c>
      <c r="AK175">
        <v>9.2261265616398891</v>
      </c>
      <c r="AL175">
        <v>118.17408812469</v>
      </c>
      <c r="AM175">
        <v>37.626066987898795</v>
      </c>
      <c r="AN175">
        <v>3.1839523862623835</v>
      </c>
      <c r="AO175">
        <v>14.2</v>
      </c>
      <c r="AP175">
        <v>16.642783198636295</v>
      </c>
      <c r="AQ175">
        <v>19.66745728355756</v>
      </c>
      <c r="AR175">
        <v>52.270829395703132</v>
      </c>
      <c r="AS175">
        <v>-1.3419339369331234</v>
      </c>
      <c r="AT175">
        <v>10.915779059801494</v>
      </c>
      <c r="AU175">
        <v>29.011214654224162</v>
      </c>
    </row>
    <row r="176" spans="1:47" x14ac:dyDescent="0.35">
      <c r="A176">
        <v>174</v>
      </c>
      <c r="B176">
        <v>46043</v>
      </c>
      <c r="C176" t="s">
        <v>16</v>
      </c>
      <c r="D176" t="s">
        <v>72</v>
      </c>
      <c r="E176" t="s">
        <v>19</v>
      </c>
      <c r="F176" t="s">
        <v>73</v>
      </c>
      <c r="G176" t="s">
        <v>74</v>
      </c>
      <c r="H176" t="s">
        <v>22</v>
      </c>
      <c r="I176" t="s">
        <v>23</v>
      </c>
      <c r="J176" t="s">
        <v>24</v>
      </c>
      <c r="K176" t="s">
        <v>71</v>
      </c>
      <c r="L176">
        <v>27</v>
      </c>
      <c r="M176">
        <v>59</v>
      </c>
      <c r="N176">
        <v>2</v>
      </c>
      <c r="O176">
        <v>2</v>
      </c>
      <c r="P176">
        <v>22</v>
      </c>
      <c r="Q176">
        <v>0.50039999999999996</v>
      </c>
      <c r="R176">
        <v>469.10622093244058</v>
      </c>
      <c r="S176">
        <v>151.10622093244064</v>
      </c>
      <c r="T176">
        <v>0.37777777777777777</v>
      </c>
      <c r="U176">
        <v>41</v>
      </c>
      <c r="V176">
        <v>0.7006944444444444</v>
      </c>
      <c r="W176">
        <v>71.5</v>
      </c>
      <c r="X176">
        <v>14.4</v>
      </c>
      <c r="Y176">
        <v>40.5</v>
      </c>
      <c r="Z176">
        <v>0.39305555555555555</v>
      </c>
      <c r="AA176">
        <v>73</v>
      </c>
      <c r="AB176">
        <v>19.100000000000001</v>
      </c>
      <c r="AD176">
        <v>30.5</v>
      </c>
      <c r="AE176">
        <v>32.5</v>
      </c>
      <c r="AF176">
        <v>27.623728042697874</v>
      </c>
      <c r="AG176">
        <v>28.81247184961266</v>
      </c>
      <c r="AH176">
        <v>56.436199892310533</v>
      </c>
      <c r="AI176">
        <v>3.9778168381484944</v>
      </c>
      <c r="AJ176">
        <v>5.5031821232760185</v>
      </c>
      <c r="AK176">
        <v>9.4809989614245129</v>
      </c>
      <c r="AL176">
        <v>120.30580148805642</v>
      </c>
      <c r="AM176">
        <v>32.211515044948115</v>
      </c>
      <c r="AN176">
        <v>2.6774698016658798</v>
      </c>
      <c r="AO176">
        <v>14.4</v>
      </c>
      <c r="AP176">
        <v>16.799499221272523</v>
      </c>
      <c r="AQ176">
        <v>20.210772184131706</v>
      </c>
      <c r="AR176">
        <v>62.743935378169859</v>
      </c>
      <c r="AS176">
        <v>-0.58695462412519583</v>
      </c>
      <c r="AT176">
        <v>11.217328229531923</v>
      </c>
      <c r="AU176">
        <v>34.823969670098428</v>
      </c>
    </row>
    <row r="177" spans="1:47" x14ac:dyDescent="0.35">
      <c r="A177">
        <v>175</v>
      </c>
      <c r="B177">
        <v>46043</v>
      </c>
      <c r="C177" t="s">
        <v>16</v>
      </c>
      <c r="D177" t="s">
        <v>72</v>
      </c>
      <c r="E177" t="s">
        <v>19</v>
      </c>
      <c r="F177" t="s">
        <v>73</v>
      </c>
      <c r="G177" t="s">
        <v>74</v>
      </c>
      <c r="H177" t="s">
        <v>22</v>
      </c>
      <c r="I177" t="s">
        <v>23</v>
      </c>
      <c r="J177" t="s">
        <v>24</v>
      </c>
      <c r="K177" t="s">
        <v>71</v>
      </c>
      <c r="L177">
        <v>27</v>
      </c>
      <c r="M177">
        <v>59</v>
      </c>
      <c r="N177">
        <v>2</v>
      </c>
      <c r="O177">
        <v>3</v>
      </c>
      <c r="P177">
        <v>23</v>
      </c>
      <c r="Q177">
        <v>0.50039999999999996</v>
      </c>
      <c r="R177">
        <v>469.10622093244058</v>
      </c>
      <c r="S177">
        <v>106.50622093244056</v>
      </c>
      <c r="T177">
        <v>0.37847222222222221</v>
      </c>
      <c r="U177">
        <v>41.5</v>
      </c>
      <c r="V177">
        <v>0.70138888888888884</v>
      </c>
      <c r="W177">
        <v>69.5</v>
      </c>
      <c r="X177">
        <v>14.8</v>
      </c>
      <c r="Y177">
        <v>40.5</v>
      </c>
      <c r="Z177">
        <v>0.39374999999999999</v>
      </c>
      <c r="AA177">
        <v>73</v>
      </c>
      <c r="AB177">
        <v>18.899999999999999</v>
      </c>
      <c r="AD177">
        <v>28</v>
      </c>
      <c r="AE177">
        <v>32.5</v>
      </c>
      <c r="AF177">
        <v>25.123728042697874</v>
      </c>
      <c r="AG177">
        <v>28.81247184961266</v>
      </c>
      <c r="AH177">
        <v>53.936199892310533</v>
      </c>
      <c r="AI177">
        <v>3.7183117503192857</v>
      </c>
      <c r="AJ177">
        <v>5.4455571795767916</v>
      </c>
      <c r="AK177">
        <v>9.1638689298960774</v>
      </c>
      <c r="AL177">
        <v>114.97651807964039</v>
      </c>
      <c r="AM177">
        <v>22.704073444333901</v>
      </c>
      <c r="AN177">
        <v>1.974670465199472</v>
      </c>
      <c r="AO177">
        <v>14.800000000000002</v>
      </c>
      <c r="AP177">
        <v>16.990201290029209</v>
      </c>
      <c r="AQ177">
        <v>19.53474185799773</v>
      </c>
      <c r="AR177">
        <v>86.040691798734827</v>
      </c>
      <c r="AS177">
        <v>-0.28245634814022413</v>
      </c>
      <c r="AT177">
        <v>10.842119702501162</v>
      </c>
      <c r="AU177">
        <v>47.754072541581543</v>
      </c>
    </row>
    <row r="178" spans="1:47" x14ac:dyDescent="0.35">
      <c r="A178">
        <v>176</v>
      </c>
      <c r="B178">
        <v>46043</v>
      </c>
      <c r="C178" t="s">
        <v>16</v>
      </c>
      <c r="D178" t="s">
        <v>76</v>
      </c>
      <c r="E178" t="s">
        <v>19</v>
      </c>
      <c r="F178" t="s">
        <v>20</v>
      </c>
      <c r="G178" t="s">
        <v>21</v>
      </c>
      <c r="H178" t="s">
        <v>22</v>
      </c>
      <c r="I178" t="s">
        <v>23</v>
      </c>
      <c r="J178" t="s">
        <v>24</v>
      </c>
      <c r="K178" t="s">
        <v>75</v>
      </c>
      <c r="L178">
        <v>27</v>
      </c>
      <c r="M178">
        <v>59</v>
      </c>
      <c r="N178">
        <v>2</v>
      </c>
      <c r="O178">
        <v>1</v>
      </c>
      <c r="P178">
        <v>24</v>
      </c>
      <c r="Q178">
        <v>0.50029999999999997</v>
      </c>
      <c r="R178">
        <v>467.33518148455482</v>
      </c>
      <c r="S178">
        <v>88.235181484554857</v>
      </c>
      <c r="T178">
        <v>0.37916666666666665</v>
      </c>
      <c r="U178">
        <v>41.5</v>
      </c>
      <c r="V178">
        <v>0.70138888888888884</v>
      </c>
      <c r="W178">
        <v>65.5</v>
      </c>
      <c r="X178">
        <v>13.9</v>
      </c>
      <c r="Y178">
        <v>40.5</v>
      </c>
      <c r="Z178">
        <v>0.39444444444444443</v>
      </c>
      <c r="AA178">
        <v>65.5</v>
      </c>
      <c r="AB178">
        <v>17.100000000000001</v>
      </c>
      <c r="AD178">
        <v>24</v>
      </c>
      <c r="AE178">
        <v>25</v>
      </c>
      <c r="AF178">
        <v>21.123728042697874</v>
      </c>
      <c r="AG178">
        <v>21.31247184961266</v>
      </c>
      <c r="AH178">
        <v>42.436199892310533</v>
      </c>
      <c r="AI178">
        <v>2.9361981979350045</v>
      </c>
      <c r="AJ178">
        <v>3.644432686283765</v>
      </c>
      <c r="AK178">
        <v>6.5806308842187695</v>
      </c>
      <c r="AL178">
        <v>90.804633534128712</v>
      </c>
      <c r="AM178">
        <v>18.880491985273526</v>
      </c>
      <c r="AN178">
        <v>2.079243233571042</v>
      </c>
      <c r="AO178">
        <v>13.9</v>
      </c>
      <c r="AP178">
        <v>15.50711633208982</v>
      </c>
      <c r="AQ178">
        <v>14.081180157065182</v>
      </c>
      <c r="AR178">
        <v>74.580578557212775</v>
      </c>
      <c r="AS178">
        <v>-0.2340588680754781</v>
      </c>
      <c r="AT178">
        <v>7.8152986062050358</v>
      </c>
      <c r="AU178">
        <v>41.393511420681413</v>
      </c>
    </row>
    <row r="179" spans="1:47" x14ac:dyDescent="0.35">
      <c r="A179">
        <v>177</v>
      </c>
      <c r="B179">
        <v>46043</v>
      </c>
      <c r="C179" t="s">
        <v>16</v>
      </c>
      <c r="D179" t="s">
        <v>76</v>
      </c>
      <c r="E179" t="s">
        <v>19</v>
      </c>
      <c r="F179" t="s">
        <v>20</v>
      </c>
      <c r="G179" t="s">
        <v>21</v>
      </c>
      <c r="H179" t="s">
        <v>22</v>
      </c>
      <c r="I179" t="s">
        <v>23</v>
      </c>
      <c r="J179" t="s">
        <v>24</v>
      </c>
      <c r="K179" t="s">
        <v>75</v>
      </c>
      <c r="L179">
        <v>27</v>
      </c>
      <c r="M179">
        <v>59</v>
      </c>
      <c r="N179">
        <v>2</v>
      </c>
      <c r="O179">
        <v>2</v>
      </c>
      <c r="P179">
        <v>25</v>
      </c>
      <c r="Q179">
        <v>0.5</v>
      </c>
      <c r="R179">
        <v>467.05494851544557</v>
      </c>
      <c r="S179">
        <v>104.75494851544551</v>
      </c>
      <c r="T179">
        <v>0.37916666666666665</v>
      </c>
      <c r="U179">
        <v>41.5</v>
      </c>
      <c r="V179">
        <v>0.70208333333333328</v>
      </c>
      <c r="W179">
        <v>64.5</v>
      </c>
      <c r="X179">
        <v>13.8</v>
      </c>
      <c r="Y179">
        <v>40.5</v>
      </c>
      <c r="Z179">
        <v>0.39444444444444443</v>
      </c>
      <c r="AA179">
        <v>65</v>
      </c>
      <c r="AB179">
        <v>17</v>
      </c>
      <c r="AD179">
        <v>23</v>
      </c>
      <c r="AE179">
        <v>24.5</v>
      </c>
      <c r="AF179">
        <v>20.123728042697874</v>
      </c>
      <c r="AG179">
        <v>20.81247184961266</v>
      </c>
      <c r="AH179">
        <v>40.936199892310533</v>
      </c>
      <c r="AI179">
        <v>2.7770744698923067</v>
      </c>
      <c r="AJ179">
        <v>3.5381202144341524</v>
      </c>
      <c r="AK179">
        <v>6.3151946843264586</v>
      </c>
      <c r="AL179">
        <v>87.647502766918592</v>
      </c>
      <c r="AM179">
        <v>22.428827453474938</v>
      </c>
      <c r="AN179">
        <v>2.5589807747426674</v>
      </c>
      <c r="AO179">
        <v>13.799999999999999</v>
      </c>
      <c r="AP179">
        <v>15.426919696844422</v>
      </c>
      <c r="AQ179">
        <v>13.521309868142023</v>
      </c>
      <c r="AR179">
        <v>60.285406788160657</v>
      </c>
      <c r="AS179">
        <v>-0.28053501267464787</v>
      </c>
      <c r="AT179">
        <v>7.5045609095155035</v>
      </c>
      <c r="AU179">
        <v>33.45944376754661</v>
      </c>
    </row>
    <row r="180" spans="1:47" x14ac:dyDescent="0.35">
      <c r="A180">
        <v>178</v>
      </c>
      <c r="B180">
        <v>46043</v>
      </c>
      <c r="C180" t="s">
        <v>16</v>
      </c>
      <c r="D180" t="s">
        <v>76</v>
      </c>
      <c r="E180" t="s">
        <v>19</v>
      </c>
      <c r="F180" t="s">
        <v>20</v>
      </c>
      <c r="G180" t="s">
        <v>21</v>
      </c>
      <c r="H180" t="s">
        <v>22</v>
      </c>
      <c r="I180" t="s">
        <v>23</v>
      </c>
      <c r="J180" t="s">
        <v>24</v>
      </c>
      <c r="K180" t="s">
        <v>75</v>
      </c>
      <c r="L180">
        <v>27</v>
      </c>
      <c r="M180">
        <v>59</v>
      </c>
      <c r="N180">
        <v>2</v>
      </c>
      <c r="O180">
        <v>3</v>
      </c>
      <c r="P180">
        <v>26</v>
      </c>
      <c r="Q180">
        <v>0.50029999999999997</v>
      </c>
      <c r="R180">
        <v>467.33518148455482</v>
      </c>
      <c r="S180">
        <v>107.33518148455482</v>
      </c>
      <c r="T180">
        <v>0.37916666666666665</v>
      </c>
      <c r="U180">
        <v>41</v>
      </c>
      <c r="V180">
        <v>0.70208333333333328</v>
      </c>
      <c r="W180">
        <v>61</v>
      </c>
      <c r="X180">
        <v>15.7</v>
      </c>
      <c r="Y180">
        <v>40.5</v>
      </c>
      <c r="Z180">
        <v>0.39513888888888887</v>
      </c>
      <c r="AA180">
        <v>64</v>
      </c>
      <c r="AB180">
        <v>16.899999999999999</v>
      </c>
      <c r="AD180">
        <v>20</v>
      </c>
      <c r="AE180">
        <v>23.5</v>
      </c>
      <c r="AF180">
        <v>17.123728042697874</v>
      </c>
      <c r="AG180">
        <v>19.81247184961266</v>
      </c>
      <c r="AH180">
        <v>36.936199892310533</v>
      </c>
      <c r="AI180">
        <v>2.6884253027035663</v>
      </c>
      <c r="AJ180">
        <v>3.3483077425845393</v>
      </c>
      <c r="AK180">
        <v>6.0367330452881056</v>
      </c>
      <c r="AL180">
        <v>79.035778506932829</v>
      </c>
      <c r="AM180">
        <v>22.967494367445177</v>
      </c>
      <c r="AN180">
        <v>2.9059616798018282</v>
      </c>
      <c r="AO180">
        <v>15.700000000000003</v>
      </c>
      <c r="AP180">
        <v>16.343676563611101</v>
      </c>
      <c r="AQ180">
        <v>12.917352008705162</v>
      </c>
      <c r="AR180">
        <v>56.241886041407319</v>
      </c>
      <c r="AS180">
        <v>-0.27869757754420382</v>
      </c>
      <c r="AT180">
        <v>7.1693538484301316</v>
      </c>
      <c r="AU180">
        <v>31.215219795992159</v>
      </c>
    </row>
    <row r="181" spans="1:47" x14ac:dyDescent="0.35">
      <c r="A181">
        <v>179</v>
      </c>
      <c r="B181">
        <v>46043</v>
      </c>
      <c r="C181" t="s">
        <v>16</v>
      </c>
      <c r="D181" t="s">
        <v>78</v>
      </c>
      <c r="E181" t="s">
        <v>79</v>
      </c>
      <c r="F181" t="s">
        <v>80</v>
      </c>
      <c r="G181" t="s">
        <v>81</v>
      </c>
      <c r="H181" t="s">
        <v>22</v>
      </c>
      <c r="I181" t="s">
        <v>23</v>
      </c>
      <c r="J181" t="s">
        <v>24</v>
      </c>
      <c r="K181" t="s">
        <v>77</v>
      </c>
      <c r="L181">
        <v>27</v>
      </c>
      <c r="M181">
        <v>59</v>
      </c>
      <c r="N181">
        <v>2</v>
      </c>
      <c r="O181">
        <v>1</v>
      </c>
      <c r="P181">
        <v>27</v>
      </c>
      <c r="Q181">
        <v>0.50029999999999997</v>
      </c>
      <c r="R181">
        <v>473.41696714935352</v>
      </c>
      <c r="S181">
        <v>211.3169671493535</v>
      </c>
      <c r="T181">
        <v>0.37916666666666665</v>
      </c>
      <c r="U181">
        <v>40.5</v>
      </c>
      <c r="V181">
        <v>0.70277777777777772</v>
      </c>
      <c r="W181">
        <v>58.5</v>
      </c>
      <c r="X181">
        <v>11.2</v>
      </c>
      <c r="Y181">
        <v>40</v>
      </c>
      <c r="Z181">
        <v>0.39513888888888887</v>
      </c>
      <c r="AA181">
        <v>53</v>
      </c>
      <c r="AB181">
        <v>8.5</v>
      </c>
      <c r="AD181">
        <v>18</v>
      </c>
      <c r="AE181">
        <v>13</v>
      </c>
      <c r="AF181">
        <v>15.123728042697875</v>
      </c>
      <c r="AG181">
        <v>9.3124718496126597</v>
      </c>
      <c r="AH181">
        <v>24.436199892310533</v>
      </c>
      <c r="AI181">
        <v>1.6938575407821619</v>
      </c>
      <c r="AJ181">
        <v>0.79156010721707615</v>
      </c>
      <c r="AK181">
        <v>2.4854176479992383</v>
      </c>
      <c r="AL181">
        <v>51.616654213834728</v>
      </c>
      <c r="AM181">
        <v>44.636542796888655</v>
      </c>
      <c r="AN181">
        <v>8.6477016917777672</v>
      </c>
      <c r="AO181">
        <v>11.2</v>
      </c>
      <c r="AP181">
        <v>10.171048112850547</v>
      </c>
      <c r="AQ181">
        <v>5.2499547343328299</v>
      </c>
      <c r="AR181">
        <v>11.761562176134243</v>
      </c>
      <c r="AS181">
        <v>-0.12737676262141293</v>
      </c>
      <c r="AT181">
        <v>2.9138157072214046</v>
      </c>
      <c r="AU181">
        <v>6.5278704949893855</v>
      </c>
    </row>
    <row r="182" spans="1:47" x14ac:dyDescent="0.35">
      <c r="A182">
        <v>180</v>
      </c>
      <c r="B182">
        <v>46043</v>
      </c>
      <c r="C182" t="s">
        <v>16</v>
      </c>
      <c r="D182" t="s">
        <v>78</v>
      </c>
      <c r="E182" t="s">
        <v>79</v>
      </c>
      <c r="F182" t="s">
        <v>80</v>
      </c>
      <c r="G182" t="s">
        <v>81</v>
      </c>
      <c r="H182" t="s">
        <v>22</v>
      </c>
      <c r="I182" t="s">
        <v>23</v>
      </c>
      <c r="J182" t="s">
        <v>24</v>
      </c>
      <c r="K182" t="s">
        <v>77</v>
      </c>
      <c r="L182">
        <v>27</v>
      </c>
      <c r="M182">
        <v>59</v>
      </c>
      <c r="N182">
        <v>2</v>
      </c>
      <c r="O182">
        <v>2</v>
      </c>
      <c r="P182">
        <v>28</v>
      </c>
      <c r="Q182">
        <v>0.5</v>
      </c>
      <c r="R182">
        <v>473.13308729697542</v>
      </c>
      <c r="S182">
        <v>234.43308729697551</v>
      </c>
      <c r="T182">
        <v>0.37986111111111109</v>
      </c>
      <c r="U182">
        <v>40.5</v>
      </c>
      <c r="V182">
        <v>0.70277777777777772</v>
      </c>
      <c r="W182">
        <v>68</v>
      </c>
      <c r="X182">
        <v>11.5</v>
      </c>
      <c r="Y182">
        <v>40.5</v>
      </c>
      <c r="Z182">
        <v>0.39583333333333331</v>
      </c>
      <c r="AA182">
        <v>53.5</v>
      </c>
      <c r="AB182">
        <v>2.6</v>
      </c>
      <c r="AD182">
        <v>27.5</v>
      </c>
      <c r="AE182">
        <v>13</v>
      </c>
      <c r="AF182">
        <v>24.623728042697874</v>
      </c>
      <c r="AG182">
        <v>9.3124718496126597</v>
      </c>
      <c r="AH182">
        <v>33.936199892310533</v>
      </c>
      <c r="AI182">
        <v>2.8317287249102554</v>
      </c>
      <c r="AJ182">
        <v>0.24212426808992918</v>
      </c>
      <c r="AK182">
        <v>3.0738529930001848</v>
      </c>
      <c r="AL182">
        <v>71.726541227943159</v>
      </c>
      <c r="AM182">
        <v>49.549079020513929</v>
      </c>
      <c r="AN182">
        <v>6.9080535841048825</v>
      </c>
      <c r="AO182">
        <v>11.5</v>
      </c>
      <c r="AP182">
        <v>9.0577407097860618</v>
      </c>
      <c r="AQ182">
        <v>6.49680412452489</v>
      </c>
      <c r="AR182">
        <v>13.111856472317342</v>
      </c>
      <c r="AS182">
        <v>-0.34507789851785753</v>
      </c>
      <c r="AT182">
        <v>3.6058386905667557</v>
      </c>
      <c r="AU182">
        <v>7.2773071908640192</v>
      </c>
    </row>
    <row r="183" spans="1:47" x14ac:dyDescent="0.35">
      <c r="A183">
        <v>181</v>
      </c>
      <c r="B183">
        <v>46043</v>
      </c>
      <c r="C183" t="s">
        <v>16</v>
      </c>
      <c r="D183" t="s">
        <v>78</v>
      </c>
      <c r="E183" t="s">
        <v>79</v>
      </c>
      <c r="F183" t="s">
        <v>80</v>
      </c>
      <c r="G183" t="s">
        <v>81</v>
      </c>
      <c r="H183" t="s">
        <v>22</v>
      </c>
      <c r="I183" t="s">
        <v>23</v>
      </c>
      <c r="J183" t="s">
        <v>24</v>
      </c>
      <c r="K183" t="s">
        <v>77</v>
      </c>
      <c r="L183">
        <v>27</v>
      </c>
      <c r="M183">
        <v>59</v>
      </c>
      <c r="N183">
        <v>2</v>
      </c>
      <c r="O183">
        <v>3</v>
      </c>
      <c r="P183">
        <v>29</v>
      </c>
      <c r="Q183">
        <v>0.5</v>
      </c>
      <c r="R183">
        <v>473.13308729697542</v>
      </c>
      <c r="S183">
        <v>223.03308729697531</v>
      </c>
      <c r="T183">
        <v>0.38055555555555554</v>
      </c>
      <c r="U183">
        <v>40.5</v>
      </c>
      <c r="V183">
        <v>0.70347222222222228</v>
      </c>
      <c r="W183">
        <v>61</v>
      </c>
      <c r="X183">
        <v>10.7</v>
      </c>
      <c r="Y183">
        <v>39.5</v>
      </c>
      <c r="Z183">
        <v>0.39652777777777776</v>
      </c>
      <c r="AA183">
        <v>53</v>
      </c>
      <c r="AB183">
        <v>2.6</v>
      </c>
      <c r="AD183">
        <v>20.5</v>
      </c>
      <c r="AE183">
        <v>13.5</v>
      </c>
      <c r="AF183">
        <v>17.623728042697874</v>
      </c>
      <c r="AG183">
        <v>9.8124718496126597</v>
      </c>
      <c r="AH183">
        <v>27.436199892310533</v>
      </c>
      <c r="AI183">
        <v>1.8857389005686724</v>
      </c>
      <c r="AJ183">
        <v>0.25512426808992916</v>
      </c>
      <c r="AK183">
        <v>2.1408631686586017</v>
      </c>
      <c r="AL183">
        <v>57.988334844756736</v>
      </c>
      <c r="AM183">
        <v>47.139608977924276</v>
      </c>
      <c r="AN183">
        <v>8.1291537520647736</v>
      </c>
      <c r="AO183">
        <v>10.700000000000001</v>
      </c>
      <c r="AP183">
        <v>7.8030601069451153</v>
      </c>
      <c r="AQ183">
        <v>4.5248646229529665</v>
      </c>
      <c r="AR183">
        <v>9.5988590509352427</v>
      </c>
      <c r="AS183">
        <v>-0.15173744281914403</v>
      </c>
      <c r="AT183">
        <v>2.5113781505939645</v>
      </c>
      <c r="AU183">
        <v>5.327532843494855</v>
      </c>
    </row>
    <row r="184" spans="1:47" x14ac:dyDescent="0.35">
      <c r="A184">
        <v>182</v>
      </c>
      <c r="B184">
        <v>46043</v>
      </c>
      <c r="C184" t="s">
        <v>16</v>
      </c>
      <c r="D184" t="s">
        <v>83</v>
      </c>
      <c r="E184" t="s">
        <v>84</v>
      </c>
      <c r="F184" t="s">
        <v>67</v>
      </c>
      <c r="G184" t="s">
        <v>85</v>
      </c>
      <c r="H184" t="s">
        <v>22</v>
      </c>
      <c r="I184" t="s">
        <v>23</v>
      </c>
      <c r="J184" t="s">
        <v>24</v>
      </c>
      <c r="K184" t="s">
        <v>82</v>
      </c>
      <c r="L184">
        <v>27</v>
      </c>
      <c r="M184">
        <v>59</v>
      </c>
      <c r="N184">
        <v>2</v>
      </c>
      <c r="O184">
        <v>1</v>
      </c>
      <c r="P184">
        <v>30</v>
      </c>
      <c r="Q184">
        <v>0.50049999999999994</v>
      </c>
      <c r="R184">
        <v>467.55524506815914</v>
      </c>
      <c r="S184">
        <v>212.45524506815914</v>
      </c>
      <c r="T184">
        <v>0.38055555555555554</v>
      </c>
      <c r="U184">
        <v>41</v>
      </c>
      <c r="V184">
        <v>0.70347222222222228</v>
      </c>
      <c r="W184">
        <v>72</v>
      </c>
      <c r="X184">
        <v>12.5</v>
      </c>
      <c r="Y184">
        <v>40</v>
      </c>
      <c r="Z184">
        <v>0.3972222222222222</v>
      </c>
      <c r="AA184">
        <v>71</v>
      </c>
      <c r="AB184">
        <v>15.5</v>
      </c>
      <c r="AD184">
        <v>31</v>
      </c>
      <c r="AE184">
        <v>31</v>
      </c>
      <c r="AF184">
        <v>28.123728042697874</v>
      </c>
      <c r="AG184">
        <v>27.31247184961266</v>
      </c>
      <c r="AH184">
        <v>55.436199892310533</v>
      </c>
      <c r="AI184">
        <v>3.5154660053372342</v>
      </c>
      <c r="AJ184">
        <v>4.2334331366899622</v>
      </c>
      <c r="AK184">
        <v>7.7488991420271969</v>
      </c>
      <c r="AL184">
        <v>118.56609561556554</v>
      </c>
      <c r="AM184">
        <v>45.439602551606043</v>
      </c>
      <c r="AN184">
        <v>3.8324280069858916</v>
      </c>
      <c r="AO184">
        <v>12.500000000000002</v>
      </c>
      <c r="AP184">
        <v>13.978048923050432</v>
      </c>
      <c r="AQ184">
        <v>16.573226851294503</v>
      </c>
      <c r="AR184">
        <v>36.473089377206115</v>
      </c>
      <c r="AS184">
        <v>-0.87373801049295763</v>
      </c>
      <c r="AT184">
        <v>9.1984276364970174</v>
      </c>
      <c r="AU184">
        <v>20.243195626656956</v>
      </c>
    </row>
    <row r="185" spans="1:47" x14ac:dyDescent="0.35">
      <c r="A185">
        <v>183</v>
      </c>
      <c r="B185">
        <v>46043</v>
      </c>
      <c r="C185" t="s">
        <v>16</v>
      </c>
      <c r="D185" t="s">
        <v>83</v>
      </c>
      <c r="E185" t="s">
        <v>84</v>
      </c>
      <c r="F185" t="s">
        <v>67</v>
      </c>
      <c r="G185" t="s">
        <v>85</v>
      </c>
      <c r="H185" t="s">
        <v>22</v>
      </c>
      <c r="I185" t="s">
        <v>23</v>
      </c>
      <c r="J185" t="s">
        <v>24</v>
      </c>
      <c r="K185" t="s">
        <v>82</v>
      </c>
      <c r="L185">
        <v>27</v>
      </c>
      <c r="M185">
        <v>59</v>
      </c>
      <c r="N185">
        <v>2</v>
      </c>
      <c r="O185">
        <v>2</v>
      </c>
      <c r="P185">
        <v>31</v>
      </c>
      <c r="Q185">
        <v>0.50029999999999997</v>
      </c>
      <c r="R185">
        <v>467.36840980539466</v>
      </c>
      <c r="S185">
        <v>190.7684098053947</v>
      </c>
      <c r="T185">
        <v>0.38263888888888886</v>
      </c>
      <c r="U185">
        <v>41</v>
      </c>
      <c r="V185">
        <v>0.70416666666666672</v>
      </c>
      <c r="W185">
        <v>71.5</v>
      </c>
      <c r="X185">
        <v>13.5</v>
      </c>
      <c r="Y185">
        <v>40.5</v>
      </c>
      <c r="Z185">
        <v>0.3972222222222222</v>
      </c>
      <c r="AA185">
        <v>71</v>
      </c>
      <c r="AB185">
        <v>15.4</v>
      </c>
      <c r="AD185">
        <v>30.5</v>
      </c>
      <c r="AE185">
        <v>30.5</v>
      </c>
      <c r="AF185">
        <v>27.623728042697874</v>
      </c>
      <c r="AG185">
        <v>26.81247184961266</v>
      </c>
      <c r="AH185">
        <v>54.436199892310533</v>
      </c>
      <c r="AI185">
        <v>3.7292032857642132</v>
      </c>
      <c r="AJ185">
        <v>4.1291206648403493</v>
      </c>
      <c r="AK185">
        <v>7.8583239506045626</v>
      </c>
      <c r="AL185">
        <v>116.47385392388195</v>
      </c>
      <c r="AM185">
        <v>40.817566143340294</v>
      </c>
      <c r="AN185">
        <v>3.5044402471661504</v>
      </c>
      <c r="AO185">
        <v>13.5</v>
      </c>
      <c r="AP185">
        <v>14.435842263329263</v>
      </c>
      <c r="AQ185">
        <v>16.813981830472137</v>
      </c>
      <c r="AR185">
        <v>41.193004432028033</v>
      </c>
      <c r="AS185">
        <v>-0.43436815567922499</v>
      </c>
      <c r="AT185">
        <v>9.3320508152516641</v>
      </c>
      <c r="AU185">
        <v>22.862830141513133</v>
      </c>
    </row>
    <row r="186" spans="1:47" x14ac:dyDescent="0.35">
      <c r="A186">
        <v>184</v>
      </c>
      <c r="B186">
        <v>46043</v>
      </c>
      <c r="C186" t="s">
        <v>16</v>
      </c>
      <c r="D186" t="s">
        <v>83</v>
      </c>
      <c r="E186" t="s">
        <v>84</v>
      </c>
      <c r="F186" t="s">
        <v>67</v>
      </c>
      <c r="G186" t="s">
        <v>85</v>
      </c>
      <c r="H186" t="s">
        <v>22</v>
      </c>
      <c r="I186" t="s">
        <v>23</v>
      </c>
      <c r="J186" t="s">
        <v>24</v>
      </c>
      <c r="K186" t="s">
        <v>82</v>
      </c>
      <c r="L186">
        <v>27</v>
      </c>
      <c r="M186">
        <v>59</v>
      </c>
      <c r="N186">
        <v>2</v>
      </c>
      <c r="O186">
        <v>3</v>
      </c>
      <c r="P186">
        <v>32</v>
      </c>
      <c r="Q186">
        <v>0.50009999999999999</v>
      </c>
      <c r="R186">
        <v>467.18157454263019</v>
      </c>
      <c r="S186">
        <v>168.68157454263019</v>
      </c>
      <c r="T186">
        <v>0.38124999999999998</v>
      </c>
      <c r="U186">
        <v>39.5</v>
      </c>
      <c r="V186">
        <v>0.70486111111111116</v>
      </c>
      <c r="W186">
        <v>69.5</v>
      </c>
      <c r="X186">
        <v>13.1</v>
      </c>
      <c r="Y186">
        <v>39.5</v>
      </c>
      <c r="Z186">
        <v>0.39791666666666664</v>
      </c>
      <c r="AA186">
        <v>70</v>
      </c>
      <c r="AB186">
        <v>15.6</v>
      </c>
      <c r="AD186">
        <v>30</v>
      </c>
      <c r="AE186">
        <v>30.5</v>
      </c>
      <c r="AF186">
        <v>27.123728042697874</v>
      </c>
      <c r="AG186">
        <v>26.81247184961266</v>
      </c>
      <c r="AH186">
        <v>53.936199892310533</v>
      </c>
      <c r="AI186">
        <v>3.5532083735934217</v>
      </c>
      <c r="AJ186">
        <v>4.1827456085395749</v>
      </c>
      <c r="AK186">
        <v>7.7359539821329966</v>
      </c>
      <c r="AL186">
        <v>115.45018646147156</v>
      </c>
      <c r="AM186">
        <v>36.106213030291087</v>
      </c>
      <c r="AN186">
        <v>3.1274278662460691</v>
      </c>
      <c r="AO186">
        <v>13.1</v>
      </c>
      <c r="AP186">
        <v>14.342786472867326</v>
      </c>
      <c r="AQ186">
        <v>16.55877372669605</v>
      </c>
      <c r="AR186">
        <v>45.861286291099454</v>
      </c>
      <c r="AS186">
        <v>-0.28138593945723805</v>
      </c>
      <c r="AT186">
        <v>9.1904059022908164</v>
      </c>
      <c r="AU186">
        <v>25.453807339419903</v>
      </c>
    </row>
    <row r="187" spans="1:47" x14ac:dyDescent="0.35">
      <c r="A187">
        <v>185</v>
      </c>
      <c r="B187">
        <v>46043</v>
      </c>
      <c r="C187" t="s">
        <v>16</v>
      </c>
      <c r="D187" t="s">
        <v>87</v>
      </c>
      <c r="E187" t="s">
        <v>88</v>
      </c>
      <c r="F187" t="s">
        <v>89</v>
      </c>
      <c r="G187" t="s">
        <v>90</v>
      </c>
      <c r="H187" t="s">
        <v>22</v>
      </c>
      <c r="I187" t="s">
        <v>23</v>
      </c>
      <c r="J187" t="s">
        <v>24</v>
      </c>
      <c r="K187" t="s">
        <v>86</v>
      </c>
      <c r="L187">
        <v>27</v>
      </c>
      <c r="M187">
        <v>59</v>
      </c>
      <c r="N187">
        <v>2</v>
      </c>
      <c r="O187">
        <v>1</v>
      </c>
      <c r="P187">
        <v>33</v>
      </c>
      <c r="Q187">
        <v>0.50019999999999998</v>
      </c>
      <c r="R187">
        <v>469.16567561687623</v>
      </c>
      <c r="S187">
        <v>84.865675616876274</v>
      </c>
      <c r="T187">
        <v>0.38124999999999998</v>
      </c>
      <c r="U187">
        <v>40.5</v>
      </c>
      <c r="V187">
        <v>0.70486111111111116</v>
      </c>
      <c r="W187">
        <v>67.5</v>
      </c>
      <c r="X187">
        <v>13.5</v>
      </c>
      <c r="Y187">
        <v>40</v>
      </c>
      <c r="Z187">
        <v>0.39861111111111114</v>
      </c>
      <c r="AA187">
        <v>60</v>
      </c>
      <c r="AB187">
        <v>18.2</v>
      </c>
      <c r="AD187">
        <v>27</v>
      </c>
      <c r="AE187">
        <v>20</v>
      </c>
      <c r="AF187">
        <v>24.123728042697874</v>
      </c>
      <c r="AG187">
        <v>16.31247184961266</v>
      </c>
      <c r="AH187">
        <v>40.436199892310533</v>
      </c>
      <c r="AI187">
        <v>3.2567032857642131</v>
      </c>
      <c r="AJ187">
        <v>2.9688698766295039</v>
      </c>
      <c r="AK187">
        <v>6.2255731623937169</v>
      </c>
      <c r="AL187">
        <v>86.18746424521261</v>
      </c>
      <c r="AM187">
        <v>18.088636920271668</v>
      </c>
      <c r="AN187">
        <v>2.0987549730906978</v>
      </c>
      <c r="AO187">
        <v>13.500000000000002</v>
      </c>
      <c r="AP187">
        <v>15.396039140605769</v>
      </c>
      <c r="AQ187">
        <v>13.269455729488532</v>
      </c>
      <c r="AR187">
        <v>73.357963830970874</v>
      </c>
      <c r="AS187">
        <v>-0.37822391622130713</v>
      </c>
      <c r="AT187">
        <v>7.3647775052247768</v>
      </c>
      <c r="AU187">
        <v>40.714939095113245</v>
      </c>
    </row>
    <row r="188" spans="1:47" x14ac:dyDescent="0.35">
      <c r="A188">
        <v>186</v>
      </c>
      <c r="B188">
        <v>46043</v>
      </c>
      <c r="C188" t="s">
        <v>16</v>
      </c>
      <c r="D188" t="s">
        <v>87</v>
      </c>
      <c r="E188" t="s">
        <v>88</v>
      </c>
      <c r="F188" t="s">
        <v>89</v>
      </c>
      <c r="G188" t="s">
        <v>90</v>
      </c>
      <c r="H188" t="s">
        <v>22</v>
      </c>
      <c r="I188" t="s">
        <v>23</v>
      </c>
      <c r="J188" t="s">
        <v>24</v>
      </c>
      <c r="K188" t="s">
        <v>86</v>
      </c>
      <c r="L188">
        <v>27</v>
      </c>
      <c r="M188">
        <v>59</v>
      </c>
      <c r="N188">
        <v>2</v>
      </c>
      <c r="O188">
        <v>2</v>
      </c>
      <c r="P188">
        <v>34</v>
      </c>
      <c r="Q188">
        <v>0.5</v>
      </c>
      <c r="R188">
        <v>468.97808438312296</v>
      </c>
      <c r="S188">
        <v>84.778084383122973</v>
      </c>
      <c r="T188">
        <v>0.38194444444444442</v>
      </c>
      <c r="U188">
        <v>42</v>
      </c>
      <c r="V188">
        <v>0.7055555555555556</v>
      </c>
      <c r="W188">
        <v>72.5</v>
      </c>
      <c r="X188">
        <v>14.5</v>
      </c>
      <c r="Y188">
        <v>46.5</v>
      </c>
      <c r="Z188">
        <v>0.39930555555555558</v>
      </c>
      <c r="AA188">
        <v>66.5</v>
      </c>
      <c r="AB188">
        <v>18.7</v>
      </c>
      <c r="AD188">
        <v>30.5</v>
      </c>
      <c r="AE188">
        <v>20</v>
      </c>
      <c r="AF188">
        <v>27.623728042697874</v>
      </c>
      <c r="AG188">
        <v>16.31247184961266</v>
      </c>
      <c r="AH188">
        <v>43.936199892310533</v>
      </c>
      <c r="AI188">
        <v>4.0054405661911918</v>
      </c>
      <c r="AJ188">
        <v>3.0504322358775675</v>
      </c>
      <c r="AK188">
        <v>7.0558728020687589</v>
      </c>
      <c r="AL188">
        <v>93.684974533730383</v>
      </c>
      <c r="AM188">
        <v>18.077195333047822</v>
      </c>
      <c r="AN188">
        <v>1.929572529962027</v>
      </c>
      <c r="AO188">
        <v>14.5</v>
      </c>
      <c r="AP188">
        <v>16.059360662421874</v>
      </c>
      <c r="AQ188">
        <v>15.045207946869846</v>
      </c>
      <c r="AR188">
        <v>83.227556430531848</v>
      </c>
      <c r="AS188">
        <v>-0.42824409946123249</v>
      </c>
      <c r="AT188">
        <v>8.3503507082281079</v>
      </c>
      <c r="AU188">
        <v>46.192733742066821</v>
      </c>
    </row>
    <row r="189" spans="1:47" x14ac:dyDescent="0.35">
      <c r="A189">
        <v>187</v>
      </c>
      <c r="B189">
        <v>46043</v>
      </c>
      <c r="C189" t="s">
        <v>16</v>
      </c>
      <c r="D189" t="s">
        <v>87</v>
      </c>
      <c r="E189" t="s">
        <v>88</v>
      </c>
      <c r="F189" t="s">
        <v>89</v>
      </c>
      <c r="G189" t="s">
        <v>90</v>
      </c>
      <c r="H189" t="s">
        <v>22</v>
      </c>
      <c r="I189" t="s">
        <v>23</v>
      </c>
      <c r="J189" t="s">
        <v>24</v>
      </c>
      <c r="K189" t="s">
        <v>86</v>
      </c>
      <c r="L189">
        <v>27</v>
      </c>
      <c r="M189">
        <v>59</v>
      </c>
      <c r="N189">
        <v>2</v>
      </c>
      <c r="O189">
        <v>3</v>
      </c>
      <c r="P189">
        <v>35</v>
      </c>
      <c r="Q189">
        <v>0.5</v>
      </c>
      <c r="R189">
        <v>468.97808438312296</v>
      </c>
      <c r="S189">
        <v>110.57808438312293</v>
      </c>
      <c r="T189">
        <v>0.38333333333333336</v>
      </c>
      <c r="U189">
        <v>41</v>
      </c>
      <c r="V189">
        <v>0.70625000000000004</v>
      </c>
      <c r="W189">
        <v>69</v>
      </c>
      <c r="X189">
        <v>13.5</v>
      </c>
      <c r="Y189">
        <v>40.5</v>
      </c>
      <c r="Z189">
        <v>0.39930555555555558</v>
      </c>
      <c r="AA189">
        <v>60</v>
      </c>
      <c r="AB189">
        <v>18.2</v>
      </c>
      <c r="AD189">
        <v>28</v>
      </c>
      <c r="AE189">
        <v>19.5</v>
      </c>
      <c r="AF189">
        <v>25.123728042697874</v>
      </c>
      <c r="AG189">
        <v>15.81247184961266</v>
      </c>
      <c r="AH189">
        <v>40.936199892310533</v>
      </c>
      <c r="AI189">
        <v>3.3917032857642133</v>
      </c>
      <c r="AJ189">
        <v>2.8778698766295041</v>
      </c>
      <c r="AK189">
        <v>6.2695731623937174</v>
      </c>
      <c r="AL189">
        <v>87.288087131313503</v>
      </c>
      <c r="AM189">
        <v>23.578518499126329</v>
      </c>
      <c r="AN189">
        <v>2.7012298326179991</v>
      </c>
      <c r="AO189">
        <v>13.500000000000002</v>
      </c>
      <c r="AP189">
        <v>15.315474271883737</v>
      </c>
      <c r="AQ189">
        <v>13.368584527015777</v>
      </c>
      <c r="AR189">
        <v>56.69815314100898</v>
      </c>
      <c r="AS189">
        <v>-0.7244200255508253</v>
      </c>
      <c r="AT189">
        <v>7.4197957028834969</v>
      </c>
      <c r="AU189">
        <v>31.468455930165533</v>
      </c>
    </row>
    <row r="190" spans="1:47" x14ac:dyDescent="0.35">
      <c r="A190">
        <v>188</v>
      </c>
      <c r="B190">
        <v>46043</v>
      </c>
      <c r="C190" t="s">
        <v>16</v>
      </c>
      <c r="D190" t="s">
        <v>92</v>
      </c>
      <c r="E190" t="s">
        <v>79</v>
      </c>
      <c r="F190" t="s">
        <v>80</v>
      </c>
      <c r="G190" t="s">
        <v>81</v>
      </c>
      <c r="H190" t="s">
        <v>22</v>
      </c>
      <c r="I190" t="s">
        <v>23</v>
      </c>
      <c r="J190" t="s">
        <v>24</v>
      </c>
      <c r="K190" t="s">
        <v>91</v>
      </c>
      <c r="L190">
        <v>27</v>
      </c>
      <c r="M190">
        <v>59</v>
      </c>
      <c r="N190">
        <v>2</v>
      </c>
      <c r="O190">
        <v>1</v>
      </c>
      <c r="P190">
        <v>36</v>
      </c>
      <c r="Q190">
        <v>0.50019999999999998</v>
      </c>
      <c r="R190">
        <v>465.05702578452906</v>
      </c>
      <c r="S190">
        <v>233.05702578452909</v>
      </c>
      <c r="T190">
        <v>0.38333333333333336</v>
      </c>
      <c r="U190">
        <v>40.5</v>
      </c>
      <c r="V190">
        <v>0.70694444444444449</v>
      </c>
      <c r="W190">
        <v>58.5</v>
      </c>
      <c r="X190">
        <v>9.8000000000000007</v>
      </c>
      <c r="Y190">
        <v>40.5</v>
      </c>
      <c r="Z190">
        <v>0.4</v>
      </c>
      <c r="AA190">
        <v>53.5</v>
      </c>
      <c r="AB190">
        <v>5.9</v>
      </c>
      <c r="AD190">
        <v>18</v>
      </c>
      <c r="AE190">
        <v>13</v>
      </c>
      <c r="AF190">
        <v>15.123728042697875</v>
      </c>
      <c r="AG190">
        <v>9.3124718496126597</v>
      </c>
      <c r="AH190">
        <v>24.436199892310533</v>
      </c>
      <c r="AI190">
        <v>1.4821253481843919</v>
      </c>
      <c r="AJ190">
        <v>0.549435839127147</v>
      </c>
      <c r="AK190">
        <v>2.0315611873115387</v>
      </c>
      <c r="AL190">
        <v>52.544523655110524</v>
      </c>
      <c r="AM190">
        <v>50.113644749560116</v>
      </c>
      <c r="AN190">
        <v>9.5373677908841454</v>
      </c>
      <c r="AO190">
        <v>9.8000000000000007</v>
      </c>
      <c r="AP190">
        <v>8.3137361630063467</v>
      </c>
      <c r="AQ190">
        <v>4.368413064794348</v>
      </c>
      <c r="AR190">
        <v>8.7170132737804771</v>
      </c>
      <c r="AS190">
        <v>-0.8826993889554331</v>
      </c>
      <c r="AT190">
        <v>2.4245448290415688</v>
      </c>
      <c r="AU190">
        <v>4.8380931803266032</v>
      </c>
    </row>
    <row r="191" spans="1:47" x14ac:dyDescent="0.35">
      <c r="A191">
        <v>189</v>
      </c>
      <c r="B191">
        <v>46043</v>
      </c>
      <c r="C191" t="s">
        <v>16</v>
      </c>
      <c r="D191" t="s">
        <v>92</v>
      </c>
      <c r="E191" t="s">
        <v>79</v>
      </c>
      <c r="F191" t="s">
        <v>80</v>
      </c>
      <c r="G191" t="s">
        <v>81</v>
      </c>
      <c r="H191" t="s">
        <v>22</v>
      </c>
      <c r="I191" t="s">
        <v>23</v>
      </c>
      <c r="J191" t="s">
        <v>24</v>
      </c>
      <c r="K191" t="s">
        <v>91</v>
      </c>
      <c r="L191">
        <v>27</v>
      </c>
      <c r="M191">
        <v>59</v>
      </c>
      <c r="N191">
        <v>2</v>
      </c>
      <c r="O191">
        <v>2</v>
      </c>
      <c r="P191">
        <v>37</v>
      </c>
      <c r="Q191">
        <v>0.50019999999999998</v>
      </c>
      <c r="R191">
        <v>465.05702578452906</v>
      </c>
      <c r="S191">
        <v>275.25702578452899</v>
      </c>
      <c r="T191">
        <v>0.3840277777777778</v>
      </c>
      <c r="U191">
        <v>40.5</v>
      </c>
      <c r="V191">
        <v>0.70694444444444449</v>
      </c>
      <c r="W191">
        <v>59.5</v>
      </c>
      <c r="X191">
        <v>8.6</v>
      </c>
      <c r="Y191">
        <v>40</v>
      </c>
      <c r="Z191">
        <v>0.4</v>
      </c>
      <c r="AA191">
        <v>53.5</v>
      </c>
      <c r="AB191">
        <v>2</v>
      </c>
      <c r="AD191">
        <v>19</v>
      </c>
      <c r="AE191">
        <v>13.5</v>
      </c>
      <c r="AF191">
        <v>16.123728042697874</v>
      </c>
      <c r="AG191">
        <v>9.8124718496126597</v>
      </c>
      <c r="AH191">
        <v>25.936199892310533</v>
      </c>
      <c r="AI191">
        <v>1.3866406116720169</v>
      </c>
      <c r="AJ191">
        <v>0.1962494369922532</v>
      </c>
      <c r="AK191">
        <v>1.5828900486642701</v>
      </c>
      <c r="AL191">
        <v>55.769934554923445</v>
      </c>
      <c r="AM191">
        <v>59.187800747700457</v>
      </c>
      <c r="AN191">
        <v>10.61285103166313</v>
      </c>
      <c r="AO191">
        <v>8.5999999999999979</v>
      </c>
      <c r="AP191">
        <v>6.1030145327248162</v>
      </c>
      <c r="AQ191">
        <v>3.4036472107780975</v>
      </c>
      <c r="AR191">
        <v>5.7505890872458796</v>
      </c>
      <c r="AS191">
        <v>9.7069540249934846E-2</v>
      </c>
      <c r="AT191">
        <v>1.8890830886117884</v>
      </c>
      <c r="AU191">
        <v>3.191676434582142</v>
      </c>
    </row>
    <row r="192" spans="1:47" x14ac:dyDescent="0.35">
      <c r="A192">
        <v>190</v>
      </c>
      <c r="B192">
        <v>46043</v>
      </c>
      <c r="C192" t="s">
        <v>16</v>
      </c>
      <c r="D192" t="s">
        <v>92</v>
      </c>
      <c r="E192" t="s">
        <v>79</v>
      </c>
      <c r="F192" t="s">
        <v>80</v>
      </c>
      <c r="G192" t="s">
        <v>81</v>
      </c>
      <c r="H192" t="s">
        <v>22</v>
      </c>
      <c r="I192" t="s">
        <v>23</v>
      </c>
      <c r="J192" t="s">
        <v>24</v>
      </c>
      <c r="K192" t="s">
        <v>91</v>
      </c>
      <c r="L192">
        <v>27</v>
      </c>
      <c r="M192">
        <v>59</v>
      </c>
      <c r="N192">
        <v>2</v>
      </c>
      <c r="O192">
        <v>3</v>
      </c>
      <c r="P192">
        <v>38</v>
      </c>
      <c r="Q192">
        <v>0.50019999999999998</v>
      </c>
      <c r="R192">
        <v>465.05702578452906</v>
      </c>
      <c r="S192">
        <v>217.55702578452912</v>
      </c>
      <c r="T192">
        <v>0.3840277777777778</v>
      </c>
      <c r="U192">
        <v>40.5</v>
      </c>
      <c r="V192">
        <v>0.70763888888888893</v>
      </c>
      <c r="W192">
        <v>58.5</v>
      </c>
      <c r="X192">
        <v>8.9</v>
      </c>
      <c r="Y192">
        <v>40</v>
      </c>
      <c r="Z192">
        <v>0.40069444444444446</v>
      </c>
      <c r="AA192">
        <v>54</v>
      </c>
      <c r="AB192">
        <v>1.1000000000000001</v>
      </c>
      <c r="AD192">
        <v>18</v>
      </c>
      <c r="AE192">
        <v>14</v>
      </c>
      <c r="AF192">
        <v>15.123728042697875</v>
      </c>
      <c r="AG192">
        <v>10.31247184961266</v>
      </c>
      <c r="AH192">
        <v>25.436199892310533</v>
      </c>
      <c r="AI192">
        <v>1.346011795800111</v>
      </c>
      <c r="AJ192">
        <v>0.11343719034573926</v>
      </c>
      <c r="AK192">
        <v>1.4594489861458502</v>
      </c>
      <c r="AL192">
        <v>54.69479758831914</v>
      </c>
      <c r="AM192">
        <v>46.780720153086769</v>
      </c>
      <c r="AN192">
        <v>8.5530474955222182</v>
      </c>
      <c r="AO192">
        <v>8.9</v>
      </c>
      <c r="AP192">
        <v>5.7376848441384025</v>
      </c>
      <c r="AQ192">
        <v>3.1382151117571642</v>
      </c>
      <c r="AR192">
        <v>6.7083514351373079</v>
      </c>
      <c r="AS192">
        <v>-0.15974122090047221</v>
      </c>
      <c r="AT192">
        <v>1.7417636814043223</v>
      </c>
      <c r="AU192">
        <v>3.7232511079447201</v>
      </c>
    </row>
    <row r="193" spans="1:48" x14ac:dyDescent="0.35">
      <c r="A193">
        <v>191</v>
      </c>
      <c r="B193">
        <v>46043</v>
      </c>
      <c r="C193" t="s">
        <v>16</v>
      </c>
      <c r="D193" t="s">
        <v>94</v>
      </c>
      <c r="E193" t="s">
        <v>19</v>
      </c>
      <c r="F193" t="s">
        <v>29</v>
      </c>
      <c r="G193" t="s">
        <v>30</v>
      </c>
      <c r="H193" t="s">
        <v>22</v>
      </c>
      <c r="I193" t="s">
        <v>23</v>
      </c>
      <c r="J193" t="s">
        <v>24</v>
      </c>
      <c r="K193" t="s">
        <v>93</v>
      </c>
      <c r="L193">
        <v>27</v>
      </c>
      <c r="M193">
        <v>59</v>
      </c>
      <c r="N193">
        <v>2</v>
      </c>
      <c r="O193">
        <v>1</v>
      </c>
      <c r="P193">
        <v>39</v>
      </c>
      <c r="Q193">
        <v>0.50039999999999996</v>
      </c>
      <c r="R193">
        <v>473.36553418812366</v>
      </c>
      <c r="S193">
        <v>71.265534188123638</v>
      </c>
      <c r="T193">
        <v>0.3840277777777778</v>
      </c>
      <c r="U193">
        <v>40.5</v>
      </c>
      <c r="V193">
        <v>0.70763888888888893</v>
      </c>
      <c r="W193">
        <v>60</v>
      </c>
      <c r="X193">
        <v>13.4</v>
      </c>
      <c r="Y193">
        <v>40.5</v>
      </c>
      <c r="Z193">
        <v>0.40138888888888891</v>
      </c>
      <c r="AA193">
        <v>54</v>
      </c>
      <c r="AB193">
        <v>9.1999999999999993</v>
      </c>
      <c r="AD193">
        <v>19.5</v>
      </c>
      <c r="AE193">
        <v>13.5</v>
      </c>
      <c r="AF193">
        <v>16.623728042697874</v>
      </c>
      <c r="AG193">
        <v>9.8124718496126597</v>
      </c>
      <c r="AH193">
        <v>26.436199892310533</v>
      </c>
      <c r="AI193">
        <v>2.2275795577215152</v>
      </c>
      <c r="AJ193">
        <v>0.90274741016436466</v>
      </c>
      <c r="AK193">
        <v>3.1303269678858801</v>
      </c>
      <c r="AL193">
        <v>55.847327240779492</v>
      </c>
      <c r="AM193">
        <v>15.055074575793151</v>
      </c>
      <c r="AN193">
        <v>2.6957556108074581</v>
      </c>
      <c r="AO193">
        <v>13.4</v>
      </c>
      <c r="AP193">
        <v>11.841062560570192</v>
      </c>
      <c r="AQ193">
        <v>6.6129169569870578</v>
      </c>
      <c r="AR193">
        <v>43.92483692920311</v>
      </c>
      <c r="AS193">
        <v>-8.3596969985278269E-2</v>
      </c>
      <c r="AT193">
        <v>3.6702833214557931</v>
      </c>
      <c r="AU193">
        <v>24.379044440983318</v>
      </c>
    </row>
    <row r="194" spans="1:48" x14ac:dyDescent="0.35">
      <c r="A194">
        <v>192</v>
      </c>
      <c r="B194">
        <v>46043</v>
      </c>
      <c r="C194" t="s">
        <v>16</v>
      </c>
      <c r="D194" t="s">
        <v>94</v>
      </c>
      <c r="E194" t="s">
        <v>19</v>
      </c>
      <c r="F194" t="s">
        <v>29</v>
      </c>
      <c r="G194" t="s">
        <v>30</v>
      </c>
      <c r="H194" t="s">
        <v>22</v>
      </c>
      <c r="I194" t="s">
        <v>23</v>
      </c>
      <c r="J194" t="s">
        <v>24</v>
      </c>
      <c r="K194" t="s">
        <v>93</v>
      </c>
      <c r="L194">
        <v>27</v>
      </c>
      <c r="M194">
        <v>59</v>
      </c>
      <c r="N194">
        <v>2</v>
      </c>
      <c r="O194">
        <v>2</v>
      </c>
      <c r="P194">
        <v>40</v>
      </c>
      <c r="Q194">
        <v>0.50039999999999996</v>
      </c>
      <c r="R194">
        <v>473.36553418812366</v>
      </c>
      <c r="S194">
        <v>109.56553418812365</v>
      </c>
      <c r="T194">
        <v>0.38472222222222224</v>
      </c>
      <c r="U194">
        <v>41</v>
      </c>
      <c r="V194">
        <v>0.70833333333333337</v>
      </c>
      <c r="W194">
        <v>63</v>
      </c>
      <c r="X194">
        <v>12.3</v>
      </c>
      <c r="Y194">
        <v>40</v>
      </c>
      <c r="Z194">
        <v>0.40208333333333335</v>
      </c>
      <c r="AA194">
        <v>53</v>
      </c>
      <c r="AB194">
        <v>15.6</v>
      </c>
      <c r="AD194">
        <v>22</v>
      </c>
      <c r="AE194">
        <v>13</v>
      </c>
      <c r="AF194">
        <v>19.123728042697874</v>
      </c>
      <c r="AG194">
        <v>9.3124718496126597</v>
      </c>
      <c r="AH194">
        <v>28.436199892310533</v>
      </c>
      <c r="AI194">
        <v>2.3522185492518388</v>
      </c>
      <c r="AJ194">
        <v>1.4527456085395749</v>
      </c>
      <c r="AK194">
        <v>3.8049641577914137</v>
      </c>
      <c r="AL194">
        <v>60.072391922411271</v>
      </c>
      <c r="AM194">
        <v>23.146073441118002</v>
      </c>
      <c r="AN194">
        <v>3.853030102582427</v>
      </c>
      <c r="AO194">
        <v>12.300000000000002</v>
      </c>
      <c r="AP194">
        <v>13.380705481748702</v>
      </c>
      <c r="AQ194">
        <v>8.038109838979647</v>
      </c>
      <c r="AR194">
        <v>34.727747060113842</v>
      </c>
      <c r="AS194">
        <v>-0.15623705559737677</v>
      </c>
      <c r="AT194">
        <v>4.4612900282779773</v>
      </c>
      <c r="AU194">
        <v>19.274500444436882</v>
      </c>
    </row>
    <row r="195" spans="1:48" x14ac:dyDescent="0.35">
      <c r="A195">
        <v>193</v>
      </c>
      <c r="B195">
        <v>46043</v>
      </c>
      <c r="C195" t="s">
        <v>16</v>
      </c>
      <c r="D195" t="s">
        <v>94</v>
      </c>
      <c r="E195" t="s">
        <v>19</v>
      </c>
      <c r="F195" t="s">
        <v>29</v>
      </c>
      <c r="G195" t="s">
        <v>30</v>
      </c>
      <c r="H195" t="s">
        <v>22</v>
      </c>
      <c r="I195" t="s">
        <v>23</v>
      </c>
      <c r="J195" t="s">
        <v>24</v>
      </c>
      <c r="K195" t="s">
        <v>93</v>
      </c>
      <c r="L195">
        <v>27</v>
      </c>
      <c r="M195">
        <v>59</v>
      </c>
      <c r="N195">
        <v>2</v>
      </c>
      <c r="O195">
        <v>3</v>
      </c>
      <c r="P195">
        <v>41</v>
      </c>
      <c r="Q195">
        <v>0.50029999999999997</v>
      </c>
      <c r="R195">
        <v>473.27093675922913</v>
      </c>
      <c r="S195">
        <v>93.170936759229164</v>
      </c>
      <c r="T195">
        <v>0.38472222222222224</v>
      </c>
      <c r="U195">
        <v>41</v>
      </c>
      <c r="V195">
        <v>0.70902777777777781</v>
      </c>
      <c r="W195">
        <v>61.5</v>
      </c>
      <c r="X195">
        <v>12.5</v>
      </c>
      <c r="Y195">
        <v>40</v>
      </c>
      <c r="Z195">
        <v>0.40208333333333335</v>
      </c>
      <c r="AA195">
        <v>54</v>
      </c>
      <c r="AB195">
        <v>15.8</v>
      </c>
      <c r="AD195">
        <v>20.5</v>
      </c>
      <c r="AE195">
        <v>14</v>
      </c>
      <c r="AF195">
        <v>17.623728042697874</v>
      </c>
      <c r="AG195">
        <v>10.31247184961266</v>
      </c>
      <c r="AH195">
        <v>27.936199892310533</v>
      </c>
      <c r="AI195">
        <v>2.2029660053372342</v>
      </c>
      <c r="AJ195">
        <v>1.6293705522388002</v>
      </c>
      <c r="AK195">
        <v>3.8323365575760344</v>
      </c>
      <c r="AL195">
        <v>59.027921899465248</v>
      </c>
      <c r="AM195">
        <v>19.6865958846378</v>
      </c>
      <c r="AN195">
        <v>3.3351328068380037</v>
      </c>
      <c r="AO195">
        <v>12.5</v>
      </c>
      <c r="AP195">
        <v>13.718174169532947</v>
      </c>
      <c r="AQ195">
        <v>8.0975531348245227</v>
      </c>
      <c r="AR195">
        <v>41.132317553911655</v>
      </c>
      <c r="AS195">
        <v>-0.12795179545234323</v>
      </c>
      <c r="AT195">
        <v>4.4942820859026069</v>
      </c>
      <c r="AU195">
        <v>22.829147874212559</v>
      </c>
    </row>
    <row r="196" spans="1:48" x14ac:dyDescent="0.35">
      <c r="A196">
        <v>194</v>
      </c>
      <c r="B196">
        <v>46043</v>
      </c>
      <c r="C196" t="s">
        <v>16</v>
      </c>
      <c r="D196" t="s">
        <v>96</v>
      </c>
      <c r="E196" t="s">
        <v>19</v>
      </c>
      <c r="F196" t="s">
        <v>29</v>
      </c>
      <c r="G196" t="s">
        <v>30</v>
      </c>
      <c r="H196" t="s">
        <v>22</v>
      </c>
      <c r="I196" t="s">
        <v>23</v>
      </c>
      <c r="J196" t="s">
        <v>24</v>
      </c>
      <c r="K196" t="s">
        <v>95</v>
      </c>
      <c r="L196">
        <v>27</v>
      </c>
      <c r="M196">
        <v>59</v>
      </c>
      <c r="N196">
        <v>2</v>
      </c>
      <c r="O196">
        <v>1</v>
      </c>
      <c r="P196">
        <v>42</v>
      </c>
      <c r="Q196">
        <v>0.50009999999999999</v>
      </c>
      <c r="R196">
        <v>470.47647205838246</v>
      </c>
      <c r="S196">
        <v>141.27647205838241</v>
      </c>
      <c r="T196">
        <v>0.38541666666666669</v>
      </c>
      <c r="U196">
        <v>41</v>
      </c>
      <c r="V196">
        <v>0.70902777777777781</v>
      </c>
      <c r="W196">
        <v>64</v>
      </c>
      <c r="X196">
        <v>13.7</v>
      </c>
      <c r="Y196">
        <v>40.5</v>
      </c>
      <c r="Z196">
        <v>0.40277777777777779</v>
      </c>
      <c r="AA196">
        <v>57</v>
      </c>
      <c r="AB196">
        <v>16.5</v>
      </c>
      <c r="AD196">
        <v>23</v>
      </c>
      <c r="AE196">
        <v>16.5</v>
      </c>
      <c r="AF196">
        <v>20.123728042697874</v>
      </c>
      <c r="AG196">
        <v>12.81247184961266</v>
      </c>
      <c r="AH196">
        <v>32.936199892310533</v>
      </c>
      <c r="AI196">
        <v>2.7569507418496082</v>
      </c>
      <c r="AJ196">
        <v>2.1140578551860889</v>
      </c>
      <c r="AK196">
        <v>4.8710085970356971</v>
      </c>
      <c r="AL196">
        <v>70.006050989566603</v>
      </c>
      <c r="AM196">
        <v>30.028381959311051</v>
      </c>
      <c r="AN196">
        <v>4.2893980641453906</v>
      </c>
      <c r="AO196">
        <v>13.699999999999998</v>
      </c>
      <c r="AP196">
        <v>14.789224661503555</v>
      </c>
      <c r="AQ196">
        <v>10.35335215749374</v>
      </c>
      <c r="AR196">
        <v>34.478554893576018</v>
      </c>
      <c r="AS196">
        <v>-0.66462112514644966</v>
      </c>
      <c r="AT196">
        <v>5.7462895711487745</v>
      </c>
      <c r="AU196">
        <v>19.136194480725241</v>
      </c>
    </row>
    <row r="197" spans="1:48" x14ac:dyDescent="0.35">
      <c r="A197">
        <v>195</v>
      </c>
      <c r="B197">
        <v>46043</v>
      </c>
      <c r="C197" t="s">
        <v>16</v>
      </c>
      <c r="D197" t="s">
        <v>96</v>
      </c>
      <c r="E197" t="s">
        <v>19</v>
      </c>
      <c r="F197" t="s">
        <v>29</v>
      </c>
      <c r="G197" t="s">
        <v>30</v>
      </c>
      <c r="H197" t="s">
        <v>22</v>
      </c>
      <c r="I197" t="s">
        <v>23</v>
      </c>
      <c r="J197" t="s">
        <v>24</v>
      </c>
      <c r="K197" t="s">
        <v>95</v>
      </c>
      <c r="L197">
        <v>27</v>
      </c>
      <c r="M197">
        <v>59</v>
      </c>
      <c r="N197">
        <v>2</v>
      </c>
      <c r="O197">
        <v>2</v>
      </c>
      <c r="P197">
        <v>43</v>
      </c>
      <c r="Q197">
        <v>0.5</v>
      </c>
      <c r="R197">
        <v>470.38239557926659</v>
      </c>
      <c r="S197">
        <v>111.28239557926651</v>
      </c>
      <c r="T197">
        <v>0.38541666666666669</v>
      </c>
      <c r="U197">
        <v>40.5</v>
      </c>
      <c r="V197">
        <v>0.70972222222222225</v>
      </c>
      <c r="W197">
        <v>62</v>
      </c>
      <c r="X197">
        <v>13.9</v>
      </c>
      <c r="Y197">
        <v>40</v>
      </c>
      <c r="Z197">
        <v>0.40347222222222223</v>
      </c>
      <c r="AA197">
        <v>55.5</v>
      </c>
      <c r="AB197">
        <v>16.600000000000001</v>
      </c>
      <c r="AD197">
        <v>21.5</v>
      </c>
      <c r="AE197">
        <v>15.5</v>
      </c>
      <c r="AF197">
        <v>18.623728042697874</v>
      </c>
      <c r="AG197">
        <v>11.81247184961266</v>
      </c>
      <c r="AH197">
        <v>30.436199892310533</v>
      </c>
      <c r="AI197">
        <v>2.5886981979350048</v>
      </c>
      <c r="AJ197">
        <v>1.9608703270357015</v>
      </c>
      <c r="AK197">
        <v>4.5495685249707059</v>
      </c>
      <c r="AL197">
        <v>64.705227445489228</v>
      </c>
      <c r="AM197">
        <v>23.657857229589649</v>
      </c>
      <c r="AN197">
        <v>3.65625130512371</v>
      </c>
      <c r="AO197">
        <v>13.900000000000002</v>
      </c>
      <c r="AP197">
        <v>14.947886204808762</v>
      </c>
      <c r="AQ197">
        <v>9.6720637671144178</v>
      </c>
      <c r="AR197">
        <v>40.883092975205102</v>
      </c>
      <c r="AS197">
        <v>-0.26604565222869436</v>
      </c>
      <c r="AT197">
        <v>5.3681627274918773</v>
      </c>
      <c r="AU197">
        <v>22.690823921186496</v>
      </c>
    </row>
    <row r="198" spans="1:48" x14ac:dyDescent="0.35">
      <c r="A198">
        <v>196</v>
      </c>
      <c r="B198">
        <v>46043</v>
      </c>
      <c r="C198" t="s">
        <v>16</v>
      </c>
      <c r="D198" t="s">
        <v>96</v>
      </c>
      <c r="E198" t="s">
        <v>19</v>
      </c>
      <c r="F198" t="s">
        <v>29</v>
      </c>
      <c r="G198" t="s">
        <v>30</v>
      </c>
      <c r="H198" t="s">
        <v>22</v>
      </c>
      <c r="I198" t="s">
        <v>23</v>
      </c>
      <c r="J198" t="s">
        <v>24</v>
      </c>
      <c r="K198" t="s">
        <v>95</v>
      </c>
      <c r="L198">
        <v>27</v>
      </c>
      <c r="M198">
        <v>59</v>
      </c>
      <c r="N198">
        <v>2</v>
      </c>
      <c r="O198">
        <v>3</v>
      </c>
      <c r="P198">
        <v>44</v>
      </c>
      <c r="Q198">
        <v>0.50029999999999997</v>
      </c>
      <c r="R198">
        <v>470.66462501661408</v>
      </c>
      <c r="S198">
        <v>105.7646250166141</v>
      </c>
      <c r="T198">
        <v>0.38541666666666669</v>
      </c>
      <c r="U198">
        <v>40.5</v>
      </c>
      <c r="V198">
        <v>0.70972222222222225</v>
      </c>
      <c r="W198">
        <v>64.5</v>
      </c>
      <c r="X198">
        <v>13.4</v>
      </c>
      <c r="Y198">
        <v>40.5</v>
      </c>
      <c r="Z198">
        <v>0.40416666666666667</v>
      </c>
      <c r="AA198">
        <v>56.5</v>
      </c>
      <c r="AB198">
        <v>16.600000000000001</v>
      </c>
      <c r="AD198">
        <v>24</v>
      </c>
      <c r="AE198">
        <v>16</v>
      </c>
      <c r="AF198">
        <v>21.123728042697874</v>
      </c>
      <c r="AG198">
        <v>12.31247184961266</v>
      </c>
      <c r="AH198">
        <v>33.436199892310533</v>
      </c>
      <c r="AI198">
        <v>2.8305795577215154</v>
      </c>
      <c r="AJ198">
        <v>2.0438703270357017</v>
      </c>
      <c r="AK198">
        <v>4.8744498847572171</v>
      </c>
      <c r="AL198">
        <v>71.040392914870679</v>
      </c>
      <c r="AM198">
        <v>22.471335085546464</v>
      </c>
      <c r="AN198">
        <v>3.1631771958911292</v>
      </c>
      <c r="AO198">
        <v>13.400000000000002</v>
      </c>
      <c r="AP198">
        <v>14.578360879694991</v>
      </c>
      <c r="AQ198">
        <v>10.356524849483119</v>
      </c>
      <c r="AR198">
        <v>46.087714904596041</v>
      </c>
      <c r="AS198">
        <v>-0.25762517760884596</v>
      </c>
      <c r="AT198">
        <v>5.7480504700937445</v>
      </c>
      <c r="AU198">
        <v>25.579479137360572</v>
      </c>
    </row>
    <row r="199" spans="1:48" x14ac:dyDescent="0.35">
      <c r="A199">
        <v>197</v>
      </c>
      <c r="B199">
        <v>46043</v>
      </c>
      <c r="C199" t="s">
        <v>16</v>
      </c>
      <c r="D199" t="s">
        <v>98</v>
      </c>
      <c r="E199" t="s">
        <v>99</v>
      </c>
      <c r="F199" t="s">
        <v>100</v>
      </c>
      <c r="G199" t="s">
        <v>101</v>
      </c>
      <c r="H199" t="s">
        <v>22</v>
      </c>
      <c r="I199" t="s">
        <v>23</v>
      </c>
      <c r="J199" t="s">
        <v>24</v>
      </c>
      <c r="K199" t="s">
        <v>97</v>
      </c>
      <c r="L199">
        <v>27</v>
      </c>
      <c r="M199">
        <v>59</v>
      </c>
      <c r="N199">
        <v>2</v>
      </c>
      <c r="O199">
        <v>1</v>
      </c>
      <c r="P199">
        <v>45</v>
      </c>
      <c r="Q199">
        <v>0.5</v>
      </c>
      <c r="R199">
        <v>472.35837997201702</v>
      </c>
      <c r="S199">
        <v>92.75837997201711</v>
      </c>
      <c r="T199">
        <v>0.38541666666666669</v>
      </c>
      <c r="U199">
        <v>41</v>
      </c>
      <c r="V199">
        <v>0.7104166666666667</v>
      </c>
      <c r="W199">
        <v>65</v>
      </c>
      <c r="X199">
        <v>13.6</v>
      </c>
      <c r="Y199">
        <v>40.5</v>
      </c>
      <c r="Z199">
        <v>0.40416666666666667</v>
      </c>
      <c r="AA199">
        <v>57</v>
      </c>
      <c r="AB199">
        <v>16.399999999999999</v>
      </c>
      <c r="AD199">
        <v>24</v>
      </c>
      <c r="AE199">
        <v>16.5</v>
      </c>
      <c r="AV199" t="s">
        <v>617</v>
      </c>
    </row>
    <row r="200" spans="1:48" x14ac:dyDescent="0.35">
      <c r="A200">
        <v>198</v>
      </c>
      <c r="B200">
        <v>46043</v>
      </c>
      <c r="C200" t="s">
        <v>16</v>
      </c>
      <c r="D200" t="s">
        <v>98</v>
      </c>
      <c r="E200" t="s">
        <v>99</v>
      </c>
      <c r="F200" t="s">
        <v>100</v>
      </c>
      <c r="G200" t="s">
        <v>101</v>
      </c>
      <c r="H200" t="s">
        <v>22</v>
      </c>
      <c r="I200" t="s">
        <v>23</v>
      </c>
      <c r="J200" t="s">
        <v>24</v>
      </c>
      <c r="K200" t="s">
        <v>97</v>
      </c>
      <c r="L200">
        <v>27</v>
      </c>
      <c r="M200">
        <v>59</v>
      </c>
      <c r="N200">
        <v>2</v>
      </c>
      <c r="O200">
        <v>2</v>
      </c>
      <c r="P200">
        <v>46</v>
      </c>
      <c r="Q200">
        <v>0.50039999999999996</v>
      </c>
      <c r="R200">
        <v>472.73626667599461</v>
      </c>
      <c r="S200">
        <v>247.83626667599464</v>
      </c>
      <c r="T200">
        <v>0.38611111111111113</v>
      </c>
      <c r="U200">
        <v>41</v>
      </c>
      <c r="V200">
        <v>0.7104166666666667</v>
      </c>
      <c r="W200">
        <v>71.5</v>
      </c>
      <c r="X200">
        <v>12.3</v>
      </c>
      <c r="Y200">
        <v>40</v>
      </c>
      <c r="Z200">
        <v>0.40486111111111112</v>
      </c>
      <c r="AA200">
        <v>73</v>
      </c>
      <c r="AB200">
        <v>14.5</v>
      </c>
      <c r="AD200">
        <v>30.5</v>
      </c>
      <c r="AE200">
        <v>33</v>
      </c>
      <c r="AF200">
        <v>27.623728042697874</v>
      </c>
      <c r="AG200">
        <v>29.31247184961266</v>
      </c>
      <c r="AH200">
        <v>56.936199892310533</v>
      </c>
      <c r="AI200">
        <v>3.3977185492518389</v>
      </c>
      <c r="AJ200">
        <v>4.2503084181938355</v>
      </c>
      <c r="AK200">
        <v>7.6480269674456745</v>
      </c>
      <c r="AL200">
        <v>120.43966986635624</v>
      </c>
      <c r="AM200">
        <v>52.425905128589889</v>
      </c>
      <c r="AN200">
        <v>4.3528768541763174</v>
      </c>
      <c r="AO200">
        <v>12.3</v>
      </c>
      <c r="AP200">
        <v>13.432626311399774</v>
      </c>
      <c r="AQ200">
        <v>16.178210783831194</v>
      </c>
      <c r="AR200">
        <v>30.859192119142993</v>
      </c>
      <c r="AS200">
        <v>0.43360904055102339</v>
      </c>
      <c r="AT200">
        <v>8.9791868848668628</v>
      </c>
      <c r="AU200">
        <v>17.127385522181783</v>
      </c>
    </row>
    <row r="201" spans="1:48" x14ac:dyDescent="0.35">
      <c r="A201">
        <v>199</v>
      </c>
      <c r="B201">
        <v>46043</v>
      </c>
      <c r="C201" t="s">
        <v>16</v>
      </c>
      <c r="D201" t="s">
        <v>98</v>
      </c>
      <c r="E201" t="s">
        <v>99</v>
      </c>
      <c r="F201" t="s">
        <v>100</v>
      </c>
      <c r="G201" t="s">
        <v>101</v>
      </c>
      <c r="H201" t="s">
        <v>22</v>
      </c>
      <c r="I201" t="s">
        <v>23</v>
      </c>
      <c r="J201" t="s">
        <v>24</v>
      </c>
      <c r="K201" t="s">
        <v>97</v>
      </c>
      <c r="L201">
        <v>27</v>
      </c>
      <c r="M201">
        <v>59</v>
      </c>
      <c r="N201">
        <v>2</v>
      </c>
      <c r="O201">
        <v>3</v>
      </c>
      <c r="P201">
        <v>47</v>
      </c>
      <c r="Q201">
        <v>0.50019999999999998</v>
      </c>
      <c r="R201">
        <v>472.54732332400579</v>
      </c>
      <c r="S201">
        <v>235.24732332400583</v>
      </c>
      <c r="T201">
        <v>0.38611111111111113</v>
      </c>
      <c r="U201">
        <v>41</v>
      </c>
      <c r="V201">
        <v>0.71111111111111114</v>
      </c>
      <c r="W201">
        <v>73.5</v>
      </c>
      <c r="X201">
        <v>12.2</v>
      </c>
      <c r="Y201">
        <v>40.5</v>
      </c>
      <c r="Z201">
        <v>0.40555555555555556</v>
      </c>
      <c r="AA201">
        <v>74</v>
      </c>
      <c r="AB201">
        <v>14.5</v>
      </c>
      <c r="AD201">
        <v>32.5</v>
      </c>
      <c r="AE201">
        <v>33.5</v>
      </c>
      <c r="AF201">
        <v>29.623728042697874</v>
      </c>
      <c r="AG201">
        <v>29.81247184961266</v>
      </c>
      <c r="AH201">
        <v>59.436199892310533</v>
      </c>
      <c r="AI201">
        <v>3.6140948212091404</v>
      </c>
      <c r="AJ201">
        <v>4.3228084181938353</v>
      </c>
      <c r="AK201">
        <v>7.9369032394029757</v>
      </c>
      <c r="AL201">
        <v>125.77830189413142</v>
      </c>
      <c r="AM201">
        <v>49.782807289907481</v>
      </c>
      <c r="AN201">
        <v>3.9579805531012857</v>
      </c>
      <c r="AO201">
        <v>12.2</v>
      </c>
      <c r="AP201">
        <v>13.353651905376609</v>
      </c>
      <c r="AQ201">
        <v>16.795996607436024</v>
      </c>
      <c r="AR201">
        <v>33.738548550758601</v>
      </c>
      <c r="AS201">
        <v>0.60762154716885985</v>
      </c>
      <c r="AT201">
        <v>9.3220687053035931</v>
      </c>
      <c r="AU201">
        <v>18.725478157583666</v>
      </c>
    </row>
    <row r="202" spans="1:48" x14ac:dyDescent="0.35">
      <c r="A202">
        <v>200</v>
      </c>
      <c r="B202">
        <v>46043</v>
      </c>
      <c r="C202" t="s">
        <v>102</v>
      </c>
      <c r="D202" t="s">
        <v>104</v>
      </c>
      <c r="E202" t="s">
        <v>105</v>
      </c>
      <c r="F202" t="s">
        <v>106</v>
      </c>
      <c r="G202" t="s">
        <v>107</v>
      </c>
      <c r="H202" t="s">
        <v>108</v>
      </c>
      <c r="I202" t="s">
        <v>109</v>
      </c>
      <c r="J202" t="s">
        <v>110</v>
      </c>
      <c r="K202" t="s">
        <v>103</v>
      </c>
      <c r="L202">
        <v>27</v>
      </c>
      <c r="M202">
        <v>59</v>
      </c>
      <c r="N202">
        <v>2</v>
      </c>
      <c r="O202">
        <v>1</v>
      </c>
      <c r="P202">
        <v>48</v>
      </c>
      <c r="Q202">
        <v>0.5</v>
      </c>
      <c r="R202">
        <v>485.00525062393399</v>
      </c>
      <c r="S202">
        <v>267.00525062393399</v>
      </c>
      <c r="T202">
        <v>0.38680555555555557</v>
      </c>
      <c r="U202">
        <v>41</v>
      </c>
      <c r="V202">
        <v>0.71111111111111114</v>
      </c>
      <c r="W202">
        <v>79</v>
      </c>
      <c r="X202">
        <v>13.4</v>
      </c>
      <c r="Y202">
        <v>40.5</v>
      </c>
      <c r="Z202">
        <v>0.40625</v>
      </c>
      <c r="AA202">
        <v>98</v>
      </c>
      <c r="AB202">
        <v>13.3</v>
      </c>
      <c r="AD202">
        <v>38</v>
      </c>
      <c r="AE202">
        <v>57.5</v>
      </c>
      <c r="AF202">
        <v>35.123728042697877</v>
      </c>
      <c r="AG202">
        <v>53.812471849612663</v>
      </c>
      <c r="AH202">
        <v>88.93619989231054</v>
      </c>
      <c r="AI202">
        <v>4.7065795577215157</v>
      </c>
      <c r="AJ202">
        <v>7.1570587559984844</v>
      </c>
      <c r="AK202">
        <v>11.863638313719999</v>
      </c>
      <c r="AL202">
        <v>183.37162283892548</v>
      </c>
      <c r="AM202">
        <v>55.052032999734671</v>
      </c>
      <c r="AN202">
        <v>3.0022111462738512</v>
      </c>
      <c r="AO202">
        <v>13.4</v>
      </c>
      <c r="AP202">
        <v>13.339493173854096</v>
      </c>
      <c r="AQ202">
        <v>24.460845111383943</v>
      </c>
      <c r="AR202">
        <v>44.43222852733129</v>
      </c>
      <c r="AS202">
        <v>0.42892163534891187</v>
      </c>
      <c r="AT202">
        <v>13.576192234830396</v>
      </c>
      <c r="AU202">
        <v>24.660655556345805</v>
      </c>
    </row>
    <row r="203" spans="1:48" x14ac:dyDescent="0.35">
      <c r="A203">
        <v>201</v>
      </c>
      <c r="B203">
        <v>46043</v>
      </c>
      <c r="C203" t="s">
        <v>102</v>
      </c>
      <c r="D203" t="s">
        <v>104</v>
      </c>
      <c r="E203" t="s">
        <v>105</v>
      </c>
      <c r="F203" t="s">
        <v>106</v>
      </c>
      <c r="G203" t="s">
        <v>107</v>
      </c>
      <c r="H203" t="s">
        <v>108</v>
      </c>
      <c r="I203" t="s">
        <v>109</v>
      </c>
      <c r="J203" t="s">
        <v>110</v>
      </c>
      <c r="K203" t="s">
        <v>103</v>
      </c>
      <c r="L203">
        <v>27</v>
      </c>
      <c r="M203">
        <v>59</v>
      </c>
      <c r="N203">
        <v>2</v>
      </c>
      <c r="O203">
        <v>2</v>
      </c>
      <c r="P203">
        <v>49</v>
      </c>
      <c r="Q203">
        <v>0.5</v>
      </c>
      <c r="R203">
        <v>485.00525062393399</v>
      </c>
      <c r="S203">
        <v>166.50525062393399</v>
      </c>
      <c r="T203">
        <v>0.38680555555555557</v>
      </c>
      <c r="U203">
        <v>40</v>
      </c>
      <c r="V203">
        <v>0.71180555555555558</v>
      </c>
      <c r="W203">
        <v>79</v>
      </c>
      <c r="X203">
        <v>13.5</v>
      </c>
      <c r="Y203">
        <v>39.5</v>
      </c>
      <c r="Z203">
        <v>0.40625</v>
      </c>
      <c r="AA203">
        <v>94.5</v>
      </c>
      <c r="AB203">
        <v>13.5</v>
      </c>
      <c r="AD203">
        <v>39</v>
      </c>
      <c r="AE203">
        <v>55</v>
      </c>
      <c r="AF203">
        <v>36.123728042697877</v>
      </c>
      <c r="AG203">
        <v>51.312471849612663</v>
      </c>
      <c r="AH203">
        <v>87.43619989231054</v>
      </c>
      <c r="AI203">
        <v>4.8767032857642141</v>
      </c>
      <c r="AJ203">
        <v>6.9271836996977099</v>
      </c>
      <c r="AK203">
        <v>11.803886985461924</v>
      </c>
      <c r="AL203">
        <v>180.27887281597143</v>
      </c>
      <c r="AM203">
        <v>34.33060784594263</v>
      </c>
      <c r="AN203">
        <v>1.9043056632036575</v>
      </c>
      <c r="AO203">
        <v>13.500000000000002</v>
      </c>
      <c r="AP203">
        <v>13.500000000000002</v>
      </c>
      <c r="AQ203">
        <v>24.337647830156147</v>
      </c>
      <c r="AR203">
        <v>70.891980530523853</v>
      </c>
      <c r="AS203">
        <v>-2.0742993337009259</v>
      </c>
      <c r="AT203">
        <v>13.507815612308114</v>
      </c>
      <c r="AU203">
        <v>39.346275699294203</v>
      </c>
    </row>
    <row r="204" spans="1:48" x14ac:dyDescent="0.35">
      <c r="A204">
        <v>202</v>
      </c>
      <c r="B204">
        <v>46043</v>
      </c>
      <c r="C204" t="s">
        <v>102</v>
      </c>
      <c r="D204" t="s">
        <v>104</v>
      </c>
      <c r="E204" t="s">
        <v>105</v>
      </c>
      <c r="F204" t="s">
        <v>106</v>
      </c>
      <c r="G204" t="s">
        <v>107</v>
      </c>
      <c r="H204" t="s">
        <v>108</v>
      </c>
      <c r="I204" t="s">
        <v>109</v>
      </c>
      <c r="J204" t="s">
        <v>110</v>
      </c>
      <c r="K204" t="s">
        <v>103</v>
      </c>
      <c r="L204">
        <v>27</v>
      </c>
      <c r="M204">
        <v>59</v>
      </c>
      <c r="N204">
        <v>2</v>
      </c>
      <c r="O204">
        <v>3</v>
      </c>
      <c r="P204">
        <v>50</v>
      </c>
      <c r="Q204">
        <v>0.5</v>
      </c>
      <c r="R204">
        <v>485.00525062393399</v>
      </c>
      <c r="S204">
        <v>277.1052506239339</v>
      </c>
      <c r="T204">
        <v>0.38680555555555557</v>
      </c>
      <c r="U204">
        <v>40</v>
      </c>
      <c r="V204">
        <v>0.71250000000000002</v>
      </c>
      <c r="W204">
        <v>80</v>
      </c>
      <c r="X204">
        <v>12.9</v>
      </c>
      <c r="Y204">
        <v>40</v>
      </c>
      <c r="Z204">
        <v>0.40694444444444444</v>
      </c>
      <c r="AA204">
        <v>98</v>
      </c>
      <c r="AB204">
        <v>13.4</v>
      </c>
      <c r="AD204">
        <v>40</v>
      </c>
      <c r="AE204">
        <v>58</v>
      </c>
      <c r="AF204">
        <v>37.123728042697877</v>
      </c>
      <c r="AG204">
        <v>54.312471849612663</v>
      </c>
      <c r="AH204">
        <v>91.43619989231054</v>
      </c>
      <c r="AI204">
        <v>4.7889609175080263</v>
      </c>
      <c r="AJ204">
        <v>7.277871227848097</v>
      </c>
      <c r="AK204">
        <v>12.066832145356123</v>
      </c>
      <c r="AL204">
        <v>188.52620621051551</v>
      </c>
      <c r="AM204">
        <v>57.134484681857032</v>
      </c>
      <c r="AN204">
        <v>3.0305858177646932</v>
      </c>
      <c r="AO204">
        <v>12.9</v>
      </c>
      <c r="AP204">
        <v>13.196996550127736</v>
      </c>
      <c r="AQ204">
        <v>24.879796929688435</v>
      </c>
      <c r="AR204">
        <v>43.546024906371429</v>
      </c>
      <c r="AS204">
        <v>0.38911722170023216</v>
      </c>
      <c r="AT204">
        <v>13.808717742290744</v>
      </c>
      <c r="AU204">
        <v>24.168797214470512</v>
      </c>
    </row>
    <row r="205" spans="1:48" x14ac:dyDescent="0.35">
      <c r="A205">
        <v>203</v>
      </c>
      <c r="B205">
        <v>46043</v>
      </c>
      <c r="C205" t="s">
        <v>102</v>
      </c>
      <c r="D205" t="s">
        <v>114</v>
      </c>
      <c r="E205" t="s">
        <v>544</v>
      </c>
      <c r="F205" t="s">
        <v>116</v>
      </c>
      <c r="G205" t="s">
        <v>117</v>
      </c>
      <c r="H205" t="s">
        <v>22</v>
      </c>
      <c r="I205" t="s">
        <v>23</v>
      </c>
      <c r="J205" t="s">
        <v>118</v>
      </c>
      <c r="K205" t="s">
        <v>113</v>
      </c>
      <c r="L205">
        <v>27</v>
      </c>
      <c r="M205">
        <v>59</v>
      </c>
      <c r="N205">
        <v>2</v>
      </c>
      <c r="O205">
        <v>1</v>
      </c>
      <c r="P205">
        <v>51</v>
      </c>
      <c r="Q205">
        <v>0.50039999999999996</v>
      </c>
      <c r="R205">
        <v>467.86036003873045</v>
      </c>
      <c r="S205">
        <v>249.56036003873041</v>
      </c>
      <c r="T205">
        <v>0.38680555555555557</v>
      </c>
      <c r="U205">
        <v>40.5</v>
      </c>
      <c r="V205">
        <v>0.71319444444444446</v>
      </c>
      <c r="W205">
        <v>79</v>
      </c>
      <c r="X205">
        <v>13</v>
      </c>
      <c r="Y205">
        <v>40.5</v>
      </c>
      <c r="Z205">
        <v>0.40763888888888888</v>
      </c>
      <c r="AA205">
        <v>85</v>
      </c>
      <c r="AB205">
        <v>15.9</v>
      </c>
      <c r="AD205">
        <v>38.5</v>
      </c>
      <c r="AE205">
        <v>44.5</v>
      </c>
      <c r="AF205">
        <v>35.623728042697877</v>
      </c>
      <c r="AG205">
        <v>40.812471849612663</v>
      </c>
      <c r="AH205">
        <v>76.43619989231054</v>
      </c>
      <c r="AI205">
        <v>4.6310846455507244</v>
      </c>
      <c r="AJ205">
        <v>6.4891830240884136</v>
      </c>
      <c r="AK205">
        <v>11.120267669639137</v>
      </c>
      <c r="AL205">
        <v>163.3739603115404</v>
      </c>
      <c r="AM205">
        <v>53.340778863606076</v>
      </c>
      <c r="AN205">
        <v>3.2649498587100236</v>
      </c>
      <c r="AO205">
        <v>13.000000000000002</v>
      </c>
      <c r="AP205">
        <v>14.548430828987135</v>
      </c>
      <c r="AQ205">
        <v>23.768347608501344</v>
      </c>
      <c r="AR205">
        <v>44.559431104817016</v>
      </c>
      <c r="AS205">
        <v>9.6180389228886671</v>
      </c>
      <c r="AT205">
        <v>13.191844139804898</v>
      </c>
      <c r="AU205">
        <v>24.731255187587021</v>
      </c>
    </row>
    <row r="206" spans="1:48" x14ac:dyDescent="0.35">
      <c r="A206">
        <v>204</v>
      </c>
      <c r="B206">
        <v>46043</v>
      </c>
      <c r="C206" t="s">
        <v>102</v>
      </c>
      <c r="D206" t="s">
        <v>114</v>
      </c>
      <c r="E206" t="s">
        <v>544</v>
      </c>
      <c r="F206" t="s">
        <v>116</v>
      </c>
      <c r="G206" t="s">
        <v>117</v>
      </c>
      <c r="H206" t="s">
        <v>22</v>
      </c>
      <c r="I206" t="s">
        <v>23</v>
      </c>
      <c r="J206" t="s">
        <v>118</v>
      </c>
      <c r="K206" t="s">
        <v>113</v>
      </c>
      <c r="L206">
        <v>27</v>
      </c>
      <c r="M206">
        <v>59</v>
      </c>
      <c r="N206">
        <v>2</v>
      </c>
      <c r="O206">
        <v>2</v>
      </c>
      <c r="P206">
        <v>52</v>
      </c>
      <c r="Q206">
        <v>0.50009999999999999</v>
      </c>
      <c r="R206">
        <v>467.57986821616527</v>
      </c>
      <c r="S206">
        <v>223.57986821616527</v>
      </c>
      <c r="T206">
        <v>0.38750000000000001</v>
      </c>
      <c r="U206">
        <v>40.5</v>
      </c>
      <c r="V206">
        <v>0.71319444444444446</v>
      </c>
      <c r="W206">
        <v>77.5</v>
      </c>
      <c r="X206">
        <v>14</v>
      </c>
      <c r="Y206">
        <v>40.5</v>
      </c>
      <c r="Z206">
        <v>0.40833333333333333</v>
      </c>
      <c r="AA206">
        <v>85</v>
      </c>
      <c r="AB206">
        <v>16.100000000000001</v>
      </c>
      <c r="AD206">
        <v>37</v>
      </c>
      <c r="AE206">
        <v>44.5</v>
      </c>
      <c r="AF206">
        <v>34.123728042697877</v>
      </c>
      <c r="AG206">
        <v>40.812471849612663</v>
      </c>
      <c r="AH206">
        <v>74.93619989231054</v>
      </c>
      <c r="AI206">
        <v>4.7773219259777031</v>
      </c>
      <c r="AJ206">
        <v>6.5708079677876388</v>
      </c>
      <c r="AK206">
        <v>11.348129893765343</v>
      </c>
      <c r="AL206">
        <v>160.2639569966837</v>
      </c>
      <c r="AM206">
        <v>47.816401734559456</v>
      </c>
      <c r="AN206">
        <v>2.9836029654221572</v>
      </c>
      <c r="AO206">
        <v>14.000000000000002</v>
      </c>
      <c r="AP206">
        <v>15.14372213973158</v>
      </c>
      <c r="AQ206">
        <v>24.269928337716685</v>
      </c>
      <c r="AR206">
        <v>50.756492453039435</v>
      </c>
      <c r="AS206">
        <v>-1.0759825217345402</v>
      </c>
      <c r="AT206">
        <v>13.470230122386701</v>
      </c>
      <c r="AU206">
        <v>28.170731451444723</v>
      </c>
    </row>
    <row r="207" spans="1:48" x14ac:dyDescent="0.35">
      <c r="A207">
        <v>205</v>
      </c>
      <c r="B207">
        <v>46043</v>
      </c>
      <c r="C207" t="s">
        <v>102</v>
      </c>
      <c r="D207" t="s">
        <v>114</v>
      </c>
      <c r="E207" t="s">
        <v>544</v>
      </c>
      <c r="F207" t="s">
        <v>116</v>
      </c>
      <c r="G207" t="s">
        <v>117</v>
      </c>
      <c r="H207" t="s">
        <v>22</v>
      </c>
      <c r="I207" t="s">
        <v>23</v>
      </c>
      <c r="J207" t="s">
        <v>118</v>
      </c>
      <c r="K207" t="s">
        <v>113</v>
      </c>
      <c r="L207">
        <v>27</v>
      </c>
      <c r="M207">
        <v>59</v>
      </c>
      <c r="N207">
        <v>2</v>
      </c>
      <c r="O207">
        <v>3</v>
      </c>
      <c r="P207">
        <v>53</v>
      </c>
      <c r="Q207">
        <v>0.50009999999999999</v>
      </c>
      <c r="R207">
        <v>467.57986821616527</v>
      </c>
      <c r="S207">
        <v>243.37986821616531</v>
      </c>
      <c r="T207">
        <v>0.38819444444444445</v>
      </c>
      <c r="U207">
        <v>40.5</v>
      </c>
      <c r="V207">
        <v>0.71388888888888891</v>
      </c>
      <c r="W207">
        <v>80</v>
      </c>
      <c r="X207">
        <v>13.8</v>
      </c>
      <c r="Y207">
        <v>40.5</v>
      </c>
      <c r="Z207">
        <v>0.40833333333333333</v>
      </c>
      <c r="AA207">
        <v>86.5</v>
      </c>
      <c r="AB207">
        <v>16.100000000000001</v>
      </c>
      <c r="AD207">
        <v>39.5</v>
      </c>
      <c r="AE207">
        <v>46</v>
      </c>
      <c r="AF207">
        <v>36.623728042697877</v>
      </c>
      <c r="AG207">
        <v>42.312471849612663</v>
      </c>
      <c r="AH207">
        <v>78.93619989231054</v>
      </c>
      <c r="AI207">
        <v>5.0540744698923072</v>
      </c>
      <c r="AJ207">
        <v>6.812307967787639</v>
      </c>
      <c r="AK207">
        <v>11.866382437679945</v>
      </c>
      <c r="AL207">
        <v>168.81864523691985</v>
      </c>
      <c r="AM207">
        <v>52.050972413476359</v>
      </c>
      <c r="AN207">
        <v>3.0832478450723317</v>
      </c>
      <c r="AO207">
        <v>13.8</v>
      </c>
      <c r="AP207">
        <v>15.032877759340796</v>
      </c>
      <c r="AQ207">
        <v>25.378300573441368</v>
      </c>
      <c r="AR207">
        <v>48.756631042056668</v>
      </c>
      <c r="AS207">
        <v>-7.528653414423923</v>
      </c>
      <c r="AT207">
        <v>14.085395889204134</v>
      </c>
      <c r="AU207">
        <v>27.060773768670895</v>
      </c>
    </row>
    <row r="208" spans="1:48" x14ac:dyDescent="0.35">
      <c r="A208">
        <v>206</v>
      </c>
      <c r="B208">
        <v>46043</v>
      </c>
      <c r="C208" t="s">
        <v>120</v>
      </c>
      <c r="D208" t="s">
        <v>122</v>
      </c>
      <c r="E208" t="s">
        <v>123</v>
      </c>
      <c r="F208" t="s">
        <v>545</v>
      </c>
      <c r="G208" t="s">
        <v>125</v>
      </c>
      <c r="H208" t="s">
        <v>108</v>
      </c>
      <c r="I208" t="s">
        <v>109</v>
      </c>
      <c r="J208" t="s">
        <v>110</v>
      </c>
      <c r="K208" t="s">
        <v>121</v>
      </c>
      <c r="L208">
        <v>27</v>
      </c>
      <c r="M208">
        <v>59</v>
      </c>
      <c r="N208">
        <v>2</v>
      </c>
      <c r="O208">
        <v>1</v>
      </c>
      <c r="P208">
        <v>54</v>
      </c>
      <c r="Q208">
        <v>0.50009999999999999</v>
      </c>
      <c r="R208">
        <v>467.84354999999999</v>
      </c>
      <c r="S208">
        <v>90.443550000000016</v>
      </c>
      <c r="T208">
        <v>0.3888888888888889</v>
      </c>
      <c r="U208">
        <v>40.5</v>
      </c>
      <c r="V208">
        <v>0.71388888888888891</v>
      </c>
      <c r="W208">
        <v>59.5</v>
      </c>
      <c r="X208">
        <v>15.1</v>
      </c>
      <c r="Y208">
        <v>40</v>
      </c>
      <c r="Z208">
        <v>0.40833333333333333</v>
      </c>
      <c r="AA208">
        <v>68</v>
      </c>
      <c r="AB208">
        <v>16.100000000000001</v>
      </c>
      <c r="AD208">
        <v>19</v>
      </c>
      <c r="AE208">
        <v>28</v>
      </c>
      <c r="AF208">
        <v>16.123728042697874</v>
      </c>
      <c r="AG208">
        <v>24.31247184961266</v>
      </c>
      <c r="AH208">
        <v>40.436199892310533</v>
      </c>
      <c r="AI208">
        <v>2.434682934447379</v>
      </c>
      <c r="AJ208">
        <v>3.9143079677876385</v>
      </c>
      <c r="AK208">
        <v>6.3489909022350179</v>
      </c>
      <c r="AL208">
        <v>86.431029972114686</v>
      </c>
      <c r="AM208">
        <v>19.332007462751175</v>
      </c>
      <c r="AN208">
        <v>2.2366975690314317</v>
      </c>
      <c r="AO208">
        <v>15.1</v>
      </c>
      <c r="AP208">
        <v>15.70125511087495</v>
      </c>
      <c r="AQ208">
        <v>13.570756510878514</v>
      </c>
      <c r="AR208">
        <v>70.198382330580969</v>
      </c>
      <c r="AS208">
        <v>-1.0577035836207309</v>
      </c>
      <c r="AT208">
        <v>7.5320046517125041</v>
      </c>
      <c r="AU208">
        <v>38.961316698357052</v>
      </c>
    </row>
    <row r="209" spans="1:47" x14ac:dyDescent="0.35">
      <c r="A209">
        <v>207</v>
      </c>
      <c r="B209">
        <v>46043</v>
      </c>
      <c r="C209" t="s">
        <v>120</v>
      </c>
      <c r="D209" t="s">
        <v>122</v>
      </c>
      <c r="E209" t="s">
        <v>123</v>
      </c>
      <c r="F209" t="s">
        <v>545</v>
      </c>
      <c r="G209" t="s">
        <v>125</v>
      </c>
      <c r="H209" t="s">
        <v>108</v>
      </c>
      <c r="I209" t="s">
        <v>109</v>
      </c>
      <c r="J209" t="s">
        <v>110</v>
      </c>
      <c r="K209" t="s">
        <v>121</v>
      </c>
      <c r="L209">
        <v>27</v>
      </c>
      <c r="M209">
        <v>59</v>
      </c>
      <c r="N209">
        <v>2</v>
      </c>
      <c r="O209">
        <v>2</v>
      </c>
      <c r="P209">
        <v>55</v>
      </c>
      <c r="Q209">
        <v>0.50019999999999998</v>
      </c>
      <c r="R209">
        <v>467.93709999999999</v>
      </c>
      <c r="S209">
        <v>73.737099999999998</v>
      </c>
      <c r="T209">
        <v>0.3888888888888889</v>
      </c>
      <c r="U209">
        <v>40.5</v>
      </c>
      <c r="V209">
        <v>0.71458333333333335</v>
      </c>
      <c r="W209">
        <v>59.5</v>
      </c>
      <c r="X209">
        <v>15.9</v>
      </c>
      <c r="Y209">
        <v>40</v>
      </c>
      <c r="Z209">
        <v>0.40902777777777777</v>
      </c>
      <c r="AA209">
        <v>69</v>
      </c>
      <c r="AB209">
        <v>16.100000000000001</v>
      </c>
      <c r="AD209">
        <v>19</v>
      </c>
      <c r="AE209">
        <v>29</v>
      </c>
      <c r="AF209">
        <v>16.123728042697874</v>
      </c>
      <c r="AG209">
        <v>25.31247184961266</v>
      </c>
      <c r="AH209">
        <v>41.436199892310533</v>
      </c>
      <c r="AI209">
        <v>2.5636727587889618</v>
      </c>
      <c r="AJ209">
        <v>4.075307967787638</v>
      </c>
      <c r="AK209">
        <v>6.6389807265765999</v>
      </c>
      <c r="AL209">
        <v>88.550790036332955</v>
      </c>
      <c r="AM209">
        <v>15.757908488127997</v>
      </c>
      <c r="AN209">
        <v>1.779533359517451</v>
      </c>
      <c r="AO209">
        <v>15.899999999999999</v>
      </c>
      <c r="AP209">
        <v>16.022175643111087</v>
      </c>
      <c r="AQ209">
        <v>14.187763112983776</v>
      </c>
      <c r="AR209">
        <v>90.035826287941887</v>
      </c>
      <c r="AS209">
        <v>-0.62051185810894749</v>
      </c>
      <c r="AT209">
        <v>7.8744539907356303</v>
      </c>
      <c r="AU209">
        <v>49.971441303065326</v>
      </c>
    </row>
    <row r="210" spans="1:47" x14ac:dyDescent="0.35">
      <c r="A210">
        <v>208</v>
      </c>
      <c r="B210">
        <v>46043</v>
      </c>
      <c r="C210" t="s">
        <v>120</v>
      </c>
      <c r="D210" t="s">
        <v>122</v>
      </c>
      <c r="E210" t="s">
        <v>123</v>
      </c>
      <c r="F210" t="s">
        <v>545</v>
      </c>
      <c r="G210" t="s">
        <v>125</v>
      </c>
      <c r="H210" t="s">
        <v>108</v>
      </c>
      <c r="I210" t="s">
        <v>109</v>
      </c>
      <c r="J210" t="s">
        <v>110</v>
      </c>
      <c r="K210" t="s">
        <v>121</v>
      </c>
      <c r="L210">
        <v>27</v>
      </c>
      <c r="M210">
        <v>59</v>
      </c>
      <c r="N210">
        <v>2</v>
      </c>
      <c r="O210">
        <v>3</v>
      </c>
      <c r="P210">
        <v>56</v>
      </c>
      <c r="Q210">
        <v>0.50009999999999999</v>
      </c>
      <c r="R210">
        <v>467.84354999999999</v>
      </c>
      <c r="S210">
        <v>86.743549999999971</v>
      </c>
      <c r="T210">
        <v>0.38958333333333334</v>
      </c>
      <c r="U210">
        <v>40.5</v>
      </c>
      <c r="V210">
        <v>0.71458333333333335</v>
      </c>
      <c r="W210">
        <v>60.5</v>
      </c>
      <c r="X210">
        <v>14.8</v>
      </c>
      <c r="Y210">
        <v>40</v>
      </c>
      <c r="Z210">
        <v>0.40972222222222221</v>
      </c>
      <c r="AA210">
        <v>68</v>
      </c>
      <c r="AB210">
        <v>16.100000000000001</v>
      </c>
      <c r="AD210">
        <v>20</v>
      </c>
      <c r="AE210">
        <v>28</v>
      </c>
      <c r="AF210">
        <v>17.123728042697874</v>
      </c>
      <c r="AG210">
        <v>24.31247184961266</v>
      </c>
      <c r="AH210">
        <v>41.436199892310533</v>
      </c>
      <c r="AI210">
        <v>2.5343117503192856</v>
      </c>
      <c r="AJ210">
        <v>3.9143079677876385</v>
      </c>
      <c r="AK210">
        <v>6.448619718106924</v>
      </c>
      <c r="AL210">
        <v>88.568496653016879</v>
      </c>
      <c r="AM210">
        <v>18.541144790817352</v>
      </c>
      <c r="AN210">
        <v>2.093424354198496</v>
      </c>
      <c r="AO210">
        <v>14.800000000000002</v>
      </c>
      <c r="AP210">
        <v>15.562768146853202</v>
      </c>
      <c r="AQ210">
        <v>13.783709785262454</v>
      </c>
      <c r="AR210">
        <v>74.341201370095263</v>
      </c>
      <c r="AS210">
        <v>-0.91575521523147385</v>
      </c>
      <c r="AT210">
        <v>7.6501974033082956</v>
      </c>
      <c r="AU210">
        <v>41.26065294035736</v>
      </c>
    </row>
    <row r="211" spans="1:47" x14ac:dyDescent="0.35">
      <c r="A211">
        <v>209</v>
      </c>
      <c r="B211">
        <v>46043</v>
      </c>
      <c r="D211" t="s">
        <v>537</v>
      </c>
      <c r="E211" t="s">
        <v>538</v>
      </c>
      <c r="F211">
        <v>24</v>
      </c>
      <c r="G211" t="s">
        <v>537</v>
      </c>
      <c r="K211" t="s">
        <v>539</v>
      </c>
      <c r="L211">
        <v>27</v>
      </c>
      <c r="M211">
        <v>59</v>
      </c>
      <c r="N211">
        <v>2</v>
      </c>
      <c r="O211">
        <v>1</v>
      </c>
      <c r="P211">
        <v>57</v>
      </c>
      <c r="S211">
        <v>0</v>
      </c>
      <c r="T211">
        <v>0.38958333333333334</v>
      </c>
      <c r="U211">
        <v>39.5</v>
      </c>
      <c r="V211">
        <v>0.71527777777777779</v>
      </c>
      <c r="W211">
        <v>42.5</v>
      </c>
      <c r="Y211">
        <v>39.5</v>
      </c>
      <c r="AA211">
        <v>43</v>
      </c>
      <c r="AD211">
        <v>3</v>
      </c>
      <c r="AE211">
        <v>3.5</v>
      </c>
    </row>
    <row r="212" spans="1:47" x14ac:dyDescent="0.35">
      <c r="A212">
        <v>210</v>
      </c>
      <c r="B212">
        <v>46043</v>
      </c>
      <c r="D212" t="s">
        <v>537</v>
      </c>
      <c r="E212" t="s">
        <v>538</v>
      </c>
      <c r="F212">
        <v>24</v>
      </c>
      <c r="G212" t="s">
        <v>537</v>
      </c>
      <c r="K212" t="s">
        <v>539</v>
      </c>
      <c r="L212">
        <v>27</v>
      </c>
      <c r="M212">
        <v>59</v>
      </c>
      <c r="N212">
        <v>2</v>
      </c>
      <c r="O212">
        <v>2</v>
      </c>
      <c r="P212">
        <v>58</v>
      </c>
      <c r="S212">
        <v>0</v>
      </c>
      <c r="T212">
        <v>0.38958333333333334</v>
      </c>
      <c r="U212">
        <v>40</v>
      </c>
      <c r="V212">
        <v>0.71527777777777779</v>
      </c>
      <c r="W212">
        <v>42.5</v>
      </c>
      <c r="Y212">
        <v>40</v>
      </c>
      <c r="AA212">
        <v>43.5</v>
      </c>
      <c r="AD212">
        <v>2.5</v>
      </c>
      <c r="AE212">
        <v>3.5</v>
      </c>
    </row>
    <row r="213" spans="1:47" x14ac:dyDescent="0.35">
      <c r="A213">
        <v>211</v>
      </c>
      <c r="B213">
        <v>46076</v>
      </c>
      <c r="D213" t="s">
        <v>537</v>
      </c>
      <c r="G213" t="s">
        <v>537</v>
      </c>
      <c r="K213" t="s">
        <v>537</v>
      </c>
      <c r="L213">
        <v>27</v>
      </c>
      <c r="M213">
        <v>69</v>
      </c>
      <c r="N213">
        <v>3</v>
      </c>
      <c r="O213">
        <v>1</v>
      </c>
      <c r="P213">
        <v>73</v>
      </c>
      <c r="S213">
        <v>0</v>
      </c>
      <c r="T213">
        <v>0.32291666666666669</v>
      </c>
      <c r="U213">
        <v>40</v>
      </c>
      <c r="V213">
        <v>0.65694444444444444</v>
      </c>
      <c r="W213">
        <v>41</v>
      </c>
      <c r="Y213">
        <v>40</v>
      </c>
      <c r="Z213">
        <v>0.32708333333333334</v>
      </c>
      <c r="AA213">
        <v>41.5</v>
      </c>
      <c r="AD213">
        <v>1</v>
      </c>
      <c r="AE213">
        <v>1.5</v>
      </c>
    </row>
    <row r="214" spans="1:47" x14ac:dyDescent="0.35">
      <c r="A214">
        <v>212</v>
      </c>
      <c r="B214">
        <v>46076</v>
      </c>
      <c r="D214" t="s">
        <v>537</v>
      </c>
      <c r="G214" t="s">
        <v>537</v>
      </c>
      <c r="K214" t="s">
        <v>537</v>
      </c>
      <c r="L214">
        <v>27</v>
      </c>
      <c r="M214">
        <v>69</v>
      </c>
      <c r="N214">
        <v>3</v>
      </c>
      <c r="O214">
        <v>2</v>
      </c>
      <c r="P214">
        <v>74</v>
      </c>
      <c r="S214">
        <v>0</v>
      </c>
      <c r="T214">
        <v>0.32361111111111113</v>
      </c>
      <c r="U214">
        <v>40</v>
      </c>
      <c r="V214">
        <v>0.65694444444444444</v>
      </c>
      <c r="W214">
        <v>41.5</v>
      </c>
      <c r="Y214">
        <v>40</v>
      </c>
      <c r="Z214">
        <v>0.32708333333333334</v>
      </c>
      <c r="AA214">
        <v>42.5</v>
      </c>
      <c r="AC214" t="s">
        <v>549</v>
      </c>
      <c r="AD214">
        <v>1.5</v>
      </c>
      <c r="AE214">
        <v>2.5</v>
      </c>
    </row>
    <row r="215" spans="1:47" x14ac:dyDescent="0.35">
      <c r="A215">
        <v>213</v>
      </c>
      <c r="B215">
        <v>46076</v>
      </c>
      <c r="C215" t="s">
        <v>16</v>
      </c>
      <c r="D215" t="s">
        <v>18</v>
      </c>
      <c r="E215" t="s">
        <v>19</v>
      </c>
      <c r="F215" t="s">
        <v>20</v>
      </c>
      <c r="G215" t="s">
        <v>21</v>
      </c>
      <c r="H215" t="s">
        <v>22</v>
      </c>
      <c r="I215" t="s">
        <v>23</v>
      </c>
      <c r="J215" t="s">
        <v>24</v>
      </c>
      <c r="K215" t="s">
        <v>17</v>
      </c>
      <c r="L215">
        <v>27</v>
      </c>
      <c r="M215">
        <v>69</v>
      </c>
      <c r="N215">
        <v>3</v>
      </c>
      <c r="O215">
        <v>1</v>
      </c>
      <c r="P215">
        <v>75</v>
      </c>
      <c r="Q215">
        <v>0.50060000000000004</v>
      </c>
      <c r="R215">
        <v>475.23100349065726</v>
      </c>
      <c r="S215">
        <v>139.33100349065717</v>
      </c>
      <c r="T215">
        <v>0.32430555555555557</v>
      </c>
      <c r="U215">
        <v>41</v>
      </c>
      <c r="V215">
        <v>0.65763888888888888</v>
      </c>
      <c r="W215">
        <v>73.5</v>
      </c>
      <c r="X215">
        <v>12.9</v>
      </c>
      <c r="Y215">
        <v>40</v>
      </c>
      <c r="Z215">
        <v>0.33333333333333331</v>
      </c>
      <c r="AA215">
        <v>63</v>
      </c>
      <c r="AB215">
        <v>16.7</v>
      </c>
      <c r="AD215">
        <v>32.5</v>
      </c>
      <c r="AE215">
        <v>23</v>
      </c>
      <c r="AF215">
        <v>31.024988739845064</v>
      </c>
      <c r="AG215">
        <v>21.008734798790837</v>
      </c>
      <c r="AH215">
        <v>52.033723538635897</v>
      </c>
      <c r="AI215">
        <v>4.0022235474400132</v>
      </c>
      <c r="AJ215">
        <v>3.5084587113980694</v>
      </c>
      <c r="AK215">
        <v>7.5106822588380826</v>
      </c>
      <c r="AL215">
        <v>109.49143291670542</v>
      </c>
      <c r="AM215">
        <v>29.31858453409939</v>
      </c>
      <c r="AN215">
        <v>2.6777058033757974</v>
      </c>
      <c r="AO215">
        <v>12.899999999999999</v>
      </c>
      <c r="AP215">
        <v>14.434258684680286</v>
      </c>
      <c r="AQ215">
        <v>15.80427666476044</v>
      </c>
      <c r="AR215">
        <v>53.90531949582715</v>
      </c>
      <c r="AS215">
        <v>-0.4414473514802173</v>
      </c>
      <c r="AT215">
        <v>8.771646979334168</v>
      </c>
      <c r="AU215">
        <v>29.918384938168419</v>
      </c>
    </row>
    <row r="216" spans="1:47" x14ac:dyDescent="0.35">
      <c r="A216">
        <v>214</v>
      </c>
      <c r="B216">
        <v>46076</v>
      </c>
      <c r="C216" t="s">
        <v>16</v>
      </c>
      <c r="D216" t="s">
        <v>18</v>
      </c>
      <c r="E216" t="s">
        <v>19</v>
      </c>
      <c r="F216" t="s">
        <v>20</v>
      </c>
      <c r="G216" t="s">
        <v>21</v>
      </c>
      <c r="H216" t="s">
        <v>22</v>
      </c>
      <c r="I216" t="s">
        <v>23</v>
      </c>
      <c r="J216" t="s">
        <v>24</v>
      </c>
      <c r="K216" t="s">
        <v>17</v>
      </c>
      <c r="L216">
        <v>27</v>
      </c>
      <c r="M216">
        <v>69</v>
      </c>
      <c r="N216">
        <v>3</v>
      </c>
      <c r="O216">
        <v>2</v>
      </c>
      <c r="P216">
        <v>76</v>
      </c>
      <c r="Q216">
        <v>0.50060000000000004</v>
      </c>
      <c r="R216">
        <v>475.23100349065726</v>
      </c>
      <c r="S216">
        <v>139.33100349065728</v>
      </c>
      <c r="T216">
        <v>0.32430555555555557</v>
      </c>
      <c r="U216">
        <v>41</v>
      </c>
      <c r="V216">
        <v>0.65763888888888888</v>
      </c>
      <c r="W216">
        <v>67.5</v>
      </c>
      <c r="X216">
        <v>14.4</v>
      </c>
      <c r="Y216">
        <v>40.5</v>
      </c>
      <c r="Z216">
        <v>0.33402777777777776</v>
      </c>
      <c r="AA216">
        <v>63.5</v>
      </c>
      <c r="AB216">
        <v>18.399999999999999</v>
      </c>
      <c r="AD216">
        <v>26.5</v>
      </c>
      <c r="AE216">
        <v>23</v>
      </c>
      <c r="AF216">
        <v>25.024988739845064</v>
      </c>
      <c r="AG216">
        <v>21.008734798790837</v>
      </c>
      <c r="AH216">
        <v>46.033723538635897</v>
      </c>
      <c r="AI216">
        <v>3.6035983785376895</v>
      </c>
      <c r="AJ216">
        <v>3.8656072029775137</v>
      </c>
      <c r="AK216">
        <v>7.4692055815152028</v>
      </c>
      <c r="AL216">
        <v>96.865994012406404</v>
      </c>
      <c r="AM216">
        <v>29.318584534099411</v>
      </c>
      <c r="AN216">
        <v>3.0267159112974511</v>
      </c>
      <c r="AO216">
        <v>14.4</v>
      </c>
      <c r="AP216">
        <v>16.225508186941106</v>
      </c>
      <c r="AQ216">
        <v>15.716999788844884</v>
      </c>
      <c r="AR216">
        <v>53.607635015820755</v>
      </c>
      <c r="AS216">
        <v>-0.43900952110457714</v>
      </c>
      <c r="AT216">
        <v>8.7232068032204833</v>
      </c>
      <c r="AU216">
        <v>29.75316490151436</v>
      </c>
    </row>
    <row r="217" spans="1:47" x14ac:dyDescent="0.35">
      <c r="A217">
        <v>215</v>
      </c>
      <c r="B217">
        <v>46076</v>
      </c>
      <c r="C217" t="s">
        <v>16</v>
      </c>
      <c r="D217" t="s">
        <v>28</v>
      </c>
      <c r="E217" t="s">
        <v>19</v>
      </c>
      <c r="F217" t="s">
        <v>29</v>
      </c>
      <c r="G217" t="s">
        <v>30</v>
      </c>
      <c r="H217" t="s">
        <v>22</v>
      </c>
      <c r="I217" t="s">
        <v>23</v>
      </c>
      <c r="J217" t="s">
        <v>24</v>
      </c>
      <c r="K217" t="s">
        <v>27</v>
      </c>
      <c r="L217">
        <v>27</v>
      </c>
      <c r="M217">
        <v>69</v>
      </c>
      <c r="N217">
        <v>3</v>
      </c>
      <c r="O217">
        <v>1</v>
      </c>
      <c r="P217">
        <v>77</v>
      </c>
      <c r="Q217">
        <v>0.50019999999999998</v>
      </c>
      <c r="R217">
        <v>475.41879586586458</v>
      </c>
      <c r="S217">
        <v>83.61879586586457</v>
      </c>
      <c r="T217">
        <v>0.32430555555555557</v>
      </c>
      <c r="U217">
        <v>41</v>
      </c>
      <c r="V217">
        <v>0.65833333333333333</v>
      </c>
      <c r="W217">
        <v>65.5</v>
      </c>
      <c r="X217">
        <v>12.5</v>
      </c>
      <c r="Y217">
        <v>40</v>
      </c>
      <c r="Z217">
        <v>0.33541666666666664</v>
      </c>
      <c r="AA217">
        <v>56.5</v>
      </c>
      <c r="AB217">
        <v>17.8</v>
      </c>
      <c r="AD217">
        <v>24.5</v>
      </c>
      <c r="AE217">
        <v>16.5</v>
      </c>
      <c r="AF217">
        <v>23.024988739845064</v>
      </c>
      <c r="AG217">
        <v>14.508734798790837</v>
      </c>
      <c r="AH217">
        <v>37.533723538635897</v>
      </c>
      <c r="AI217">
        <v>2.878123592480633</v>
      </c>
      <c r="AJ217">
        <v>2.5825547941847691</v>
      </c>
      <c r="AK217">
        <v>5.4606783866654016</v>
      </c>
      <c r="AL217">
        <v>78.948758158113975</v>
      </c>
      <c r="AM217">
        <v>17.588449719067672</v>
      </c>
      <c r="AN217">
        <v>2.2278310804892651</v>
      </c>
      <c r="AO217">
        <v>12.5</v>
      </c>
      <c r="AP217">
        <v>14.54872544431775</v>
      </c>
      <c r="AQ217">
        <v>11.486038066122413</v>
      </c>
      <c r="AR217">
        <v>65.304437000325152</v>
      </c>
      <c r="AS217">
        <v>-0.12165160908834372</v>
      </c>
      <c r="AT217">
        <v>6.3749498470797059</v>
      </c>
      <c r="AU217">
        <v>36.245092369730635</v>
      </c>
    </row>
    <row r="218" spans="1:47" x14ac:dyDescent="0.35">
      <c r="A218">
        <v>216</v>
      </c>
      <c r="B218">
        <v>46076</v>
      </c>
      <c r="C218" t="s">
        <v>16</v>
      </c>
      <c r="D218" t="s">
        <v>28</v>
      </c>
      <c r="E218" t="s">
        <v>19</v>
      </c>
      <c r="F218" t="s">
        <v>29</v>
      </c>
      <c r="G218" t="s">
        <v>30</v>
      </c>
      <c r="H218" t="s">
        <v>22</v>
      </c>
      <c r="I218" t="s">
        <v>23</v>
      </c>
      <c r="J218" t="s">
        <v>24</v>
      </c>
      <c r="K218" t="s">
        <v>27</v>
      </c>
      <c r="L218">
        <v>27</v>
      </c>
      <c r="M218">
        <v>69</v>
      </c>
      <c r="N218">
        <v>3</v>
      </c>
      <c r="O218">
        <v>2</v>
      </c>
      <c r="P218">
        <v>78</v>
      </c>
      <c r="Q218">
        <v>0.50039999999999996</v>
      </c>
      <c r="R218">
        <v>475.60888734761824</v>
      </c>
      <c r="S218">
        <v>114.00888734761833</v>
      </c>
      <c r="T218">
        <v>0.32500000000000001</v>
      </c>
      <c r="U218">
        <v>42</v>
      </c>
      <c r="V218">
        <v>0.65902777777777777</v>
      </c>
      <c r="W218">
        <v>66</v>
      </c>
      <c r="X218">
        <v>12.1</v>
      </c>
      <c r="Y218">
        <v>40.5</v>
      </c>
      <c r="Z218">
        <v>0.33541666666666664</v>
      </c>
      <c r="AA218">
        <v>56.5</v>
      </c>
      <c r="AB218">
        <v>17.5</v>
      </c>
      <c r="AD218">
        <v>24</v>
      </c>
      <c r="AE218">
        <v>16</v>
      </c>
      <c r="AF218">
        <v>22.524988739845064</v>
      </c>
      <c r="AG218">
        <v>14.008734798790837</v>
      </c>
      <c r="AH218">
        <v>36.533723538635897</v>
      </c>
      <c r="AI218">
        <v>2.7255236375212526</v>
      </c>
      <c r="AJ218">
        <v>2.4515285897883961</v>
      </c>
      <c r="AK218">
        <v>5.1770522273096482</v>
      </c>
      <c r="AL218">
        <v>76.814635955138769</v>
      </c>
      <c r="AM218">
        <v>23.971143176786406</v>
      </c>
      <c r="AN218">
        <v>3.1206478919962621</v>
      </c>
      <c r="AO218">
        <v>12.1</v>
      </c>
      <c r="AP218">
        <v>14.170612042418028</v>
      </c>
      <c r="AQ218">
        <v>10.885104052998463</v>
      </c>
      <c r="AR218">
        <v>45.409198771711353</v>
      </c>
      <c r="AS218">
        <v>-0.15377494334534314</v>
      </c>
      <c r="AT218">
        <v>6.0414210730136793</v>
      </c>
      <c r="AU218">
        <v>25.202890944576129</v>
      </c>
    </row>
    <row r="219" spans="1:47" x14ac:dyDescent="0.35">
      <c r="A219">
        <v>217</v>
      </c>
      <c r="B219">
        <v>46076</v>
      </c>
      <c r="C219" t="s">
        <v>16</v>
      </c>
      <c r="D219" t="s">
        <v>32</v>
      </c>
      <c r="E219" t="s">
        <v>19</v>
      </c>
      <c r="F219" t="s">
        <v>20</v>
      </c>
      <c r="G219" t="s">
        <v>21</v>
      </c>
      <c r="H219" t="s">
        <v>22</v>
      </c>
      <c r="I219" t="s">
        <v>23</v>
      </c>
      <c r="J219" t="s">
        <v>24</v>
      </c>
      <c r="K219" t="s">
        <v>31</v>
      </c>
      <c r="L219">
        <v>27</v>
      </c>
      <c r="M219">
        <v>69</v>
      </c>
      <c r="N219">
        <v>3</v>
      </c>
      <c r="O219">
        <v>1</v>
      </c>
      <c r="P219">
        <v>79</v>
      </c>
      <c r="Q219">
        <v>0.50039999999999996</v>
      </c>
      <c r="R219">
        <v>472.16234381309636</v>
      </c>
      <c r="S219">
        <v>112.36234381309635</v>
      </c>
      <c r="T219">
        <v>0.32569444444444445</v>
      </c>
      <c r="U219">
        <v>42.5</v>
      </c>
      <c r="V219">
        <v>0.65902777777777777</v>
      </c>
      <c r="W219">
        <v>68.5</v>
      </c>
      <c r="X219">
        <v>13.4</v>
      </c>
      <c r="Y219">
        <v>42</v>
      </c>
      <c r="Z219">
        <v>0.33611111111111114</v>
      </c>
      <c r="AA219">
        <v>70.5</v>
      </c>
      <c r="AB219">
        <v>17.399999999999999</v>
      </c>
      <c r="AD219">
        <v>26</v>
      </c>
      <c r="AE219">
        <v>28.5</v>
      </c>
      <c r="AF219">
        <v>24.524988739845064</v>
      </c>
      <c r="AG219">
        <v>26.508734798790837</v>
      </c>
      <c r="AH219">
        <v>51.033723538635897</v>
      </c>
      <c r="AI219">
        <v>3.2863484911392389</v>
      </c>
      <c r="AJ219">
        <v>4.6125198549896052</v>
      </c>
      <c r="AK219">
        <v>7.898868346128844</v>
      </c>
      <c r="AL219">
        <v>108.08511989011433</v>
      </c>
      <c r="AM219">
        <v>23.797396231490783</v>
      </c>
      <c r="AN219">
        <v>2.2017273289500547</v>
      </c>
      <c r="AO219">
        <v>13.400000000000002</v>
      </c>
      <c r="AP219">
        <v>15.477742556152853</v>
      </c>
      <c r="AQ219">
        <v>16.729136598101057</v>
      </c>
      <c r="AR219">
        <v>70.298180672235091</v>
      </c>
      <c r="AS219">
        <v>-0.29122377880927247</v>
      </c>
      <c r="AT219">
        <v>9.284960243375119</v>
      </c>
      <c r="AU219">
        <v>39.016706504589997</v>
      </c>
    </row>
    <row r="220" spans="1:47" x14ac:dyDescent="0.35">
      <c r="A220">
        <v>218</v>
      </c>
      <c r="B220">
        <v>46076</v>
      </c>
      <c r="C220" t="s">
        <v>16</v>
      </c>
      <c r="D220" t="s">
        <v>32</v>
      </c>
      <c r="E220" t="s">
        <v>19</v>
      </c>
      <c r="F220" t="s">
        <v>20</v>
      </c>
      <c r="G220" t="s">
        <v>21</v>
      </c>
      <c r="H220" t="s">
        <v>22</v>
      </c>
      <c r="I220" t="s">
        <v>23</v>
      </c>
      <c r="J220" t="s">
        <v>24</v>
      </c>
      <c r="K220" t="s">
        <v>31</v>
      </c>
      <c r="L220">
        <v>27</v>
      </c>
      <c r="M220">
        <v>69</v>
      </c>
      <c r="N220">
        <v>3</v>
      </c>
      <c r="O220">
        <v>2</v>
      </c>
      <c r="P220">
        <v>80</v>
      </c>
      <c r="Q220">
        <v>0.5</v>
      </c>
      <c r="R220">
        <v>471.78491588039208</v>
      </c>
      <c r="S220">
        <v>141.68491588039211</v>
      </c>
      <c r="T220">
        <v>0.32569444444444445</v>
      </c>
      <c r="U220">
        <v>42</v>
      </c>
      <c r="V220">
        <v>0.65972222222222221</v>
      </c>
      <c r="W220">
        <v>69.5</v>
      </c>
      <c r="X220">
        <v>13.1</v>
      </c>
      <c r="Y220">
        <v>41.5</v>
      </c>
      <c r="Z220">
        <v>0.33611111111111114</v>
      </c>
      <c r="AA220">
        <v>69.5</v>
      </c>
      <c r="AB220">
        <v>17.399999999999999</v>
      </c>
      <c r="AD220">
        <v>27.5</v>
      </c>
      <c r="AE220">
        <v>28</v>
      </c>
      <c r="AF220">
        <v>26.024988739845064</v>
      </c>
      <c r="AG220">
        <v>26.008734798790837</v>
      </c>
      <c r="AH220">
        <v>52.033723538635897</v>
      </c>
      <c r="AI220">
        <v>3.4092735249197035</v>
      </c>
      <c r="AJ220">
        <v>4.5255198549896054</v>
      </c>
      <c r="AK220">
        <v>7.9347933799093084</v>
      </c>
      <c r="AL220">
        <v>110.29119793187199</v>
      </c>
      <c r="AM220">
        <v>30.031675687637367</v>
      </c>
      <c r="AN220">
        <v>2.7229440110160237</v>
      </c>
      <c r="AO220">
        <v>13.100000000000001</v>
      </c>
      <c r="AP220">
        <v>15.24932839760659</v>
      </c>
      <c r="AQ220">
        <v>16.818666966285448</v>
      </c>
      <c r="AR220">
        <v>56.003092005981216</v>
      </c>
      <c r="AS220">
        <v>-0.47448825449549747</v>
      </c>
      <c r="AT220">
        <v>9.3346511466857613</v>
      </c>
      <c r="AU220">
        <v>31.08268497494597</v>
      </c>
    </row>
    <row r="221" spans="1:47" x14ac:dyDescent="0.35">
      <c r="A221">
        <v>219</v>
      </c>
      <c r="B221">
        <v>46076</v>
      </c>
      <c r="C221" t="s">
        <v>16</v>
      </c>
      <c r="D221" t="s">
        <v>34</v>
      </c>
      <c r="E221" t="s">
        <v>19</v>
      </c>
      <c r="F221" t="s">
        <v>29</v>
      </c>
      <c r="G221" t="s">
        <v>30</v>
      </c>
      <c r="H221" t="s">
        <v>22</v>
      </c>
      <c r="I221" t="s">
        <v>23</v>
      </c>
      <c r="J221" t="s">
        <v>24</v>
      </c>
      <c r="K221" t="s">
        <v>33</v>
      </c>
      <c r="L221">
        <v>27</v>
      </c>
      <c r="M221">
        <v>69</v>
      </c>
      <c r="N221">
        <v>3</v>
      </c>
      <c r="O221">
        <v>1</v>
      </c>
      <c r="P221">
        <v>81</v>
      </c>
      <c r="Q221">
        <v>0.50029999999999997</v>
      </c>
      <c r="R221">
        <v>470.94560940391466</v>
      </c>
      <c r="S221">
        <v>68.745609403914671</v>
      </c>
      <c r="T221">
        <v>0.32569444444444445</v>
      </c>
      <c r="U221">
        <v>42</v>
      </c>
      <c r="V221">
        <v>0.66041666666666665</v>
      </c>
      <c r="W221">
        <v>65</v>
      </c>
      <c r="X221">
        <v>13.6</v>
      </c>
      <c r="Y221">
        <v>40.5</v>
      </c>
      <c r="Z221">
        <v>0.33611111111111114</v>
      </c>
      <c r="AA221">
        <v>57.5</v>
      </c>
      <c r="AB221">
        <v>17.399999999999999</v>
      </c>
      <c r="AD221">
        <v>23</v>
      </c>
      <c r="AE221">
        <v>17</v>
      </c>
      <c r="AF221">
        <v>21.524988739845064</v>
      </c>
      <c r="AG221">
        <v>15.008734798790837</v>
      </c>
      <c r="AH221">
        <v>36.533723538635897</v>
      </c>
      <c r="AI221">
        <v>2.9273984686189287</v>
      </c>
      <c r="AJ221">
        <v>2.6115198549896053</v>
      </c>
      <c r="AK221">
        <v>5.5389183236085344</v>
      </c>
      <c r="AL221">
        <v>77.575250324294061</v>
      </c>
      <c r="AM221">
        <v>14.597356474121796</v>
      </c>
      <c r="AN221">
        <v>1.8817027870486127</v>
      </c>
      <c r="AO221">
        <v>13.6</v>
      </c>
      <c r="AP221">
        <v>15.161110850775732</v>
      </c>
      <c r="AQ221">
        <v>11.761269694432983</v>
      </c>
      <c r="AR221">
        <v>80.571230244896554</v>
      </c>
      <c r="AS221">
        <v>-0.16937862817684846</v>
      </c>
      <c r="AT221">
        <v>6.5277081625849496</v>
      </c>
      <c r="AU221">
        <v>44.718426751838777</v>
      </c>
    </row>
    <row r="222" spans="1:47" x14ac:dyDescent="0.35">
      <c r="A222">
        <v>220</v>
      </c>
      <c r="B222">
        <v>46076</v>
      </c>
      <c r="C222" t="s">
        <v>16</v>
      </c>
      <c r="D222" t="s">
        <v>34</v>
      </c>
      <c r="E222" t="s">
        <v>19</v>
      </c>
      <c r="F222" t="s">
        <v>29</v>
      </c>
      <c r="G222" t="s">
        <v>30</v>
      </c>
      <c r="H222" t="s">
        <v>22</v>
      </c>
      <c r="I222" t="s">
        <v>23</v>
      </c>
      <c r="J222" t="s">
        <v>24</v>
      </c>
      <c r="K222" t="s">
        <v>33</v>
      </c>
      <c r="L222">
        <v>27</v>
      </c>
      <c r="M222">
        <v>69</v>
      </c>
      <c r="N222">
        <v>3</v>
      </c>
      <c r="O222">
        <v>2</v>
      </c>
      <c r="P222">
        <v>82</v>
      </c>
      <c r="Q222">
        <v>0.50009999999999999</v>
      </c>
      <c r="R222">
        <v>470.75734411932388</v>
      </c>
      <c r="S222">
        <v>82.657344119323852</v>
      </c>
      <c r="T222">
        <v>0.32569444444444445</v>
      </c>
      <c r="U222">
        <v>41</v>
      </c>
      <c r="V222">
        <v>0.66041666666666665</v>
      </c>
      <c r="W222">
        <v>63.5</v>
      </c>
      <c r="X222">
        <v>13.6</v>
      </c>
      <c r="Y222">
        <v>40.5</v>
      </c>
      <c r="Z222">
        <v>0.33680555555555558</v>
      </c>
      <c r="AA222">
        <v>56</v>
      </c>
      <c r="AB222">
        <v>17.600000000000001</v>
      </c>
      <c r="AD222">
        <v>22.5</v>
      </c>
      <c r="AE222">
        <v>15.5</v>
      </c>
      <c r="AF222">
        <v>21.024988739845064</v>
      </c>
      <c r="AG222">
        <v>13.508734798790837</v>
      </c>
      <c r="AH222">
        <v>34.533723538635897</v>
      </c>
      <c r="AI222">
        <v>2.8593984686189291</v>
      </c>
      <c r="AJ222">
        <v>2.3775373245871876</v>
      </c>
      <c r="AK222">
        <v>5.2369357932061167</v>
      </c>
      <c r="AL222">
        <v>73.35780093508761</v>
      </c>
      <c r="AM222">
        <v>17.558375913169506</v>
      </c>
      <c r="AN222">
        <v>2.3935253905316016</v>
      </c>
      <c r="AO222">
        <v>13.600000000000003</v>
      </c>
      <c r="AP222">
        <v>15.164700636313077</v>
      </c>
      <c r="AQ222">
        <v>11.124490905188512</v>
      </c>
      <c r="AR222">
        <v>63.357174719358198</v>
      </c>
      <c r="AS222">
        <v>-0.18636469031831074</v>
      </c>
      <c r="AT222">
        <v>6.1742849176201977</v>
      </c>
      <c r="AU222">
        <v>35.164328114135138</v>
      </c>
    </row>
    <row r="223" spans="1:47" x14ac:dyDescent="0.35">
      <c r="A223">
        <v>221</v>
      </c>
      <c r="B223">
        <v>46076</v>
      </c>
      <c r="C223" t="s">
        <v>16</v>
      </c>
      <c r="D223" t="s">
        <v>36</v>
      </c>
      <c r="E223" t="s">
        <v>19</v>
      </c>
      <c r="F223" t="s">
        <v>20</v>
      </c>
      <c r="G223" t="s">
        <v>21</v>
      </c>
      <c r="H223" t="s">
        <v>22</v>
      </c>
      <c r="I223" t="s">
        <v>23</v>
      </c>
      <c r="J223" t="s">
        <v>24</v>
      </c>
      <c r="K223" t="s">
        <v>35</v>
      </c>
      <c r="L223">
        <v>27</v>
      </c>
      <c r="M223">
        <v>69</v>
      </c>
      <c r="N223">
        <v>3</v>
      </c>
      <c r="O223">
        <v>1</v>
      </c>
      <c r="P223">
        <v>83</v>
      </c>
      <c r="Q223">
        <v>0.50029999999999997</v>
      </c>
      <c r="R223">
        <v>471.7621368452036</v>
      </c>
      <c r="S223">
        <v>118.46213684520353</v>
      </c>
      <c r="T223">
        <v>0.3263888888888889</v>
      </c>
      <c r="U223">
        <v>42.5</v>
      </c>
      <c r="V223">
        <v>0.66111111111111109</v>
      </c>
      <c r="W223">
        <v>67.5</v>
      </c>
      <c r="X223">
        <v>12.8</v>
      </c>
      <c r="Y223">
        <v>41</v>
      </c>
      <c r="Z223">
        <v>0.33750000000000002</v>
      </c>
      <c r="AA223">
        <v>63.5</v>
      </c>
      <c r="AB223">
        <v>16.8</v>
      </c>
      <c r="AD223">
        <v>25</v>
      </c>
      <c r="AE223">
        <v>22.5</v>
      </c>
      <c r="AF223">
        <v>23.524988739845064</v>
      </c>
      <c r="AG223">
        <v>20.508734798790837</v>
      </c>
      <c r="AH223">
        <v>44.033723538635897</v>
      </c>
      <c r="AI223">
        <v>3.0111985587001682</v>
      </c>
      <c r="AJ223">
        <v>3.4454674461968606</v>
      </c>
      <c r="AK223">
        <v>6.4566660048970288</v>
      </c>
      <c r="AL223">
        <v>93.338825012750888</v>
      </c>
      <c r="AM223">
        <v>25.110564751421283</v>
      </c>
      <c r="AN223">
        <v>2.6902593586314123</v>
      </c>
      <c r="AO223">
        <v>12.799999999999999</v>
      </c>
      <c r="AP223">
        <v>14.663002549016428</v>
      </c>
      <c r="AQ223">
        <v>13.686274290841645</v>
      </c>
      <c r="AR223">
        <v>54.50404810217178</v>
      </c>
      <c r="AS223">
        <v>-0.36406551151652222</v>
      </c>
      <c r="AT223">
        <v>7.5961190181695502</v>
      </c>
      <c r="AU223">
        <v>30.250689673316099</v>
      </c>
    </row>
    <row r="224" spans="1:47" x14ac:dyDescent="0.35">
      <c r="A224">
        <v>222</v>
      </c>
      <c r="B224">
        <v>46076</v>
      </c>
      <c r="C224" t="s">
        <v>16</v>
      </c>
      <c r="D224" t="s">
        <v>36</v>
      </c>
      <c r="E224" t="s">
        <v>19</v>
      </c>
      <c r="F224" t="s">
        <v>20</v>
      </c>
      <c r="G224" t="s">
        <v>21</v>
      </c>
      <c r="H224" t="s">
        <v>22</v>
      </c>
      <c r="I224" t="s">
        <v>23</v>
      </c>
      <c r="J224" t="s">
        <v>24</v>
      </c>
      <c r="K224" t="s">
        <v>35</v>
      </c>
      <c r="L224">
        <v>27</v>
      </c>
      <c r="M224">
        <v>69</v>
      </c>
      <c r="N224">
        <v>3</v>
      </c>
      <c r="O224">
        <v>2</v>
      </c>
      <c r="P224">
        <v>84</v>
      </c>
      <c r="Q224">
        <v>0.5</v>
      </c>
      <c r="R224">
        <v>471.47924929562618</v>
      </c>
      <c r="S224">
        <v>96.879249295626153</v>
      </c>
      <c r="T224">
        <v>0.3263888888888889</v>
      </c>
      <c r="U224">
        <v>42</v>
      </c>
      <c r="V224">
        <v>0.66111111111111109</v>
      </c>
      <c r="W224">
        <v>67.5</v>
      </c>
      <c r="X224">
        <v>12.6</v>
      </c>
      <c r="Y224">
        <v>41.5</v>
      </c>
      <c r="Z224">
        <v>0.33750000000000002</v>
      </c>
      <c r="AA224">
        <v>65</v>
      </c>
      <c r="AB224">
        <v>17</v>
      </c>
      <c r="AD224">
        <v>25.5</v>
      </c>
      <c r="AE224">
        <v>23.5</v>
      </c>
      <c r="AF224">
        <v>24.024988739845064</v>
      </c>
      <c r="AG224">
        <v>21.508734798790837</v>
      </c>
      <c r="AH224">
        <v>45.533723538635897</v>
      </c>
      <c r="AI224">
        <v>3.0271485812204779</v>
      </c>
      <c r="AJ224">
        <v>3.6564849157944423</v>
      </c>
      <c r="AK224">
        <v>6.6836334970149203</v>
      </c>
      <c r="AL224">
        <v>96.576304485641145</v>
      </c>
      <c r="AM224">
        <v>20.547934917678866</v>
      </c>
      <c r="AN224">
        <v>2.1276373150863224</v>
      </c>
      <c r="AO224">
        <v>12.6</v>
      </c>
      <c r="AP224">
        <v>14.678425082771408</v>
      </c>
      <c r="AQ224">
        <v>14.175880501634037</v>
      </c>
      <c r="AR224">
        <v>68.989319649039317</v>
      </c>
      <c r="AS224">
        <v>-0.26833402986658128</v>
      </c>
      <c r="AT224">
        <v>7.8678589358550148</v>
      </c>
      <c r="AU224">
        <v>38.290265992061954</v>
      </c>
    </row>
    <row r="225" spans="1:48" x14ac:dyDescent="0.35">
      <c r="A225">
        <v>223</v>
      </c>
      <c r="B225">
        <v>46076</v>
      </c>
      <c r="C225" t="s">
        <v>16</v>
      </c>
      <c r="D225" t="s">
        <v>38</v>
      </c>
      <c r="E225" t="s">
        <v>19</v>
      </c>
      <c r="F225" t="s">
        <v>20</v>
      </c>
      <c r="G225" t="s">
        <v>21</v>
      </c>
      <c r="H225" t="s">
        <v>22</v>
      </c>
      <c r="I225" t="s">
        <v>23</v>
      </c>
      <c r="J225" t="s">
        <v>24</v>
      </c>
      <c r="K225" t="s">
        <v>37</v>
      </c>
      <c r="L225">
        <v>27</v>
      </c>
      <c r="M225">
        <v>69</v>
      </c>
      <c r="N225">
        <v>3</v>
      </c>
      <c r="O225">
        <v>1</v>
      </c>
      <c r="P225">
        <v>85</v>
      </c>
      <c r="Q225">
        <v>0.50029999999999997</v>
      </c>
      <c r="R225">
        <v>463.44079313091294</v>
      </c>
      <c r="S225">
        <v>82.440793130912937</v>
      </c>
      <c r="T225">
        <v>0.3263888888888889</v>
      </c>
      <c r="U225">
        <v>41.5</v>
      </c>
      <c r="V225">
        <v>0.66180555555555554</v>
      </c>
      <c r="W225">
        <v>65.5</v>
      </c>
      <c r="X225">
        <v>14.3</v>
      </c>
      <c r="Y225">
        <v>40.5</v>
      </c>
      <c r="Z225">
        <v>0.33819444444444446</v>
      </c>
      <c r="AA225">
        <v>62.5</v>
      </c>
      <c r="AB225">
        <v>17</v>
      </c>
      <c r="AD225">
        <v>24</v>
      </c>
      <c r="AE225">
        <v>22</v>
      </c>
      <c r="AF225">
        <v>22.524988739845064</v>
      </c>
      <c r="AG225">
        <v>20.008734798790837</v>
      </c>
      <c r="AH225">
        <v>42.533723538635897</v>
      </c>
      <c r="AI225">
        <v>3.2210733897978443</v>
      </c>
      <c r="AJ225">
        <v>3.4014849157944425</v>
      </c>
      <c r="AK225">
        <v>6.6225583055922872</v>
      </c>
      <c r="AL225">
        <v>91.778117440388883</v>
      </c>
      <c r="AM225">
        <v>17.788851208794007</v>
      </c>
      <c r="AN225">
        <v>1.9382453797168049</v>
      </c>
      <c r="AO225">
        <v>14.3</v>
      </c>
      <c r="AP225">
        <v>15.570135305874704</v>
      </c>
      <c r="AQ225">
        <v>14.289977066653138</v>
      </c>
      <c r="AR225">
        <v>80.331084334376897</v>
      </c>
      <c r="AS225">
        <v>-0.29694275442744467</v>
      </c>
      <c r="AT225">
        <v>7.9311845034296304</v>
      </c>
      <c r="AU225">
        <v>44.585141616726837</v>
      </c>
    </row>
    <row r="226" spans="1:48" x14ac:dyDescent="0.35">
      <c r="A226">
        <v>224</v>
      </c>
      <c r="B226">
        <v>46076</v>
      </c>
      <c r="C226" t="s">
        <v>16</v>
      </c>
      <c r="D226" t="s">
        <v>38</v>
      </c>
      <c r="E226" t="s">
        <v>19</v>
      </c>
      <c r="F226" t="s">
        <v>20</v>
      </c>
      <c r="G226" t="s">
        <v>21</v>
      </c>
      <c r="H226" t="s">
        <v>22</v>
      </c>
      <c r="I226" t="s">
        <v>23</v>
      </c>
      <c r="J226" t="s">
        <v>24</v>
      </c>
      <c r="K226" t="s">
        <v>37</v>
      </c>
      <c r="L226">
        <v>27</v>
      </c>
      <c r="M226">
        <v>69</v>
      </c>
      <c r="N226">
        <v>3</v>
      </c>
      <c r="O226">
        <v>2</v>
      </c>
      <c r="P226">
        <v>86</v>
      </c>
      <c r="Q226">
        <v>0.50049999999999994</v>
      </c>
      <c r="R226">
        <v>463.62605828907033</v>
      </c>
      <c r="S226">
        <v>4.2260582890704086</v>
      </c>
      <c r="T226">
        <v>0.3263888888888889</v>
      </c>
      <c r="U226">
        <v>41.5</v>
      </c>
      <c r="V226">
        <v>0.66249999999999998</v>
      </c>
      <c r="W226">
        <v>67</v>
      </c>
      <c r="X226">
        <v>13.4</v>
      </c>
      <c r="Y226">
        <v>41</v>
      </c>
      <c r="Z226">
        <v>0.33888888888888891</v>
      </c>
      <c r="AA226">
        <v>63</v>
      </c>
      <c r="AB226">
        <v>17.5</v>
      </c>
      <c r="AD226">
        <v>25.5</v>
      </c>
      <c r="AE226">
        <v>22</v>
      </c>
      <c r="AV226" t="s">
        <v>611</v>
      </c>
    </row>
    <row r="227" spans="1:48" x14ac:dyDescent="0.35">
      <c r="A227">
        <v>225</v>
      </c>
      <c r="B227">
        <v>46076</v>
      </c>
      <c r="C227" t="s">
        <v>16</v>
      </c>
      <c r="D227" t="s">
        <v>40</v>
      </c>
      <c r="E227" t="s">
        <v>19</v>
      </c>
      <c r="F227" t="s">
        <v>20</v>
      </c>
      <c r="G227" t="s">
        <v>21</v>
      </c>
      <c r="H227" t="s">
        <v>22</v>
      </c>
      <c r="I227" t="s">
        <v>23</v>
      </c>
      <c r="J227" t="s">
        <v>24</v>
      </c>
      <c r="K227" t="s">
        <v>39</v>
      </c>
      <c r="L227">
        <v>27</v>
      </c>
      <c r="M227">
        <v>69</v>
      </c>
      <c r="N227">
        <v>3</v>
      </c>
      <c r="O227">
        <v>1</v>
      </c>
      <c r="P227">
        <v>87</v>
      </c>
      <c r="Q227">
        <v>0.50029999999999997</v>
      </c>
      <c r="R227">
        <v>473.5473263368313</v>
      </c>
      <c r="S227">
        <v>57.04732633683119</v>
      </c>
      <c r="T227">
        <v>0.3263888888888889</v>
      </c>
      <c r="U227">
        <v>42</v>
      </c>
      <c r="V227">
        <v>0.66249999999999998</v>
      </c>
      <c r="W227">
        <v>63.5</v>
      </c>
      <c r="X227">
        <v>13.7</v>
      </c>
      <c r="Y227">
        <v>40.5</v>
      </c>
      <c r="Z227">
        <v>0.33888888888888891</v>
      </c>
      <c r="AA227">
        <v>56</v>
      </c>
      <c r="AB227">
        <v>17.600000000000001</v>
      </c>
      <c r="AD227">
        <v>21.5</v>
      </c>
      <c r="AE227">
        <v>15.5</v>
      </c>
      <c r="AF227">
        <v>20.024988739845064</v>
      </c>
      <c r="AG227">
        <v>13.508734798790837</v>
      </c>
      <c r="AH227">
        <v>33.533723538635897</v>
      </c>
      <c r="AI227">
        <v>2.7434234573587735</v>
      </c>
      <c r="AJ227">
        <v>2.3775373245871876</v>
      </c>
      <c r="AK227">
        <v>5.1209607819459606</v>
      </c>
      <c r="AL227">
        <v>70.813879993873229</v>
      </c>
      <c r="AM227">
        <v>12.046805707494117</v>
      </c>
      <c r="AN227">
        <v>1.7011927193562053</v>
      </c>
      <c r="AO227">
        <v>13.699999999999998</v>
      </c>
      <c r="AP227">
        <v>15.27107711747502</v>
      </c>
      <c r="AQ227">
        <v>10.814042223740595</v>
      </c>
      <c r="AR227">
        <v>89.766884984401784</v>
      </c>
      <c r="AS227">
        <v>-0.17184935711010546</v>
      </c>
      <c r="AT227">
        <v>6.0019805283321501</v>
      </c>
      <c r="AU227">
        <v>49.822174226636839</v>
      </c>
    </row>
    <row r="228" spans="1:48" x14ac:dyDescent="0.35">
      <c r="A228">
        <v>226</v>
      </c>
      <c r="B228">
        <v>46076</v>
      </c>
      <c r="C228" t="s">
        <v>16</v>
      </c>
      <c r="D228" t="s">
        <v>40</v>
      </c>
      <c r="E228" t="s">
        <v>19</v>
      </c>
      <c r="F228" t="s">
        <v>20</v>
      </c>
      <c r="G228" t="s">
        <v>21</v>
      </c>
      <c r="H228" t="s">
        <v>22</v>
      </c>
      <c r="I228" t="s">
        <v>23</v>
      </c>
      <c r="J228" t="s">
        <v>24</v>
      </c>
      <c r="K228" t="s">
        <v>39</v>
      </c>
      <c r="L228">
        <v>27</v>
      </c>
      <c r="M228">
        <v>69</v>
      </c>
      <c r="N228">
        <v>3</v>
      </c>
      <c r="O228">
        <v>2</v>
      </c>
      <c r="P228">
        <v>88</v>
      </c>
      <c r="Q228">
        <v>0.50039999999999996</v>
      </c>
      <c r="R228">
        <v>473.64197901049448</v>
      </c>
      <c r="S228">
        <v>22.241979010494447</v>
      </c>
      <c r="T228">
        <v>0.32708333333333334</v>
      </c>
      <c r="U228">
        <v>42</v>
      </c>
      <c r="V228">
        <v>0.66319444444444442</v>
      </c>
      <c r="W228">
        <v>65</v>
      </c>
      <c r="X228">
        <v>13.4</v>
      </c>
      <c r="Y228">
        <v>40.5</v>
      </c>
      <c r="Z228">
        <v>0.33958333333333335</v>
      </c>
      <c r="AA228">
        <v>56.5</v>
      </c>
      <c r="AB228">
        <v>17.600000000000001</v>
      </c>
      <c r="AV228" t="s">
        <v>618</v>
      </c>
    </row>
    <row r="229" spans="1:48" x14ac:dyDescent="0.35">
      <c r="A229">
        <v>227</v>
      </c>
      <c r="B229">
        <v>46076</v>
      </c>
      <c r="C229" t="s">
        <v>16</v>
      </c>
      <c r="D229" t="s">
        <v>42</v>
      </c>
      <c r="E229" t="s">
        <v>19</v>
      </c>
      <c r="F229" t="s">
        <v>20</v>
      </c>
      <c r="G229" t="s">
        <v>21</v>
      </c>
      <c r="H229" t="s">
        <v>22</v>
      </c>
      <c r="I229" t="s">
        <v>23</v>
      </c>
      <c r="J229" t="s">
        <v>24</v>
      </c>
      <c r="K229" t="s">
        <v>41</v>
      </c>
      <c r="L229">
        <v>27</v>
      </c>
      <c r="M229">
        <v>69</v>
      </c>
      <c r="N229">
        <v>3</v>
      </c>
      <c r="O229">
        <v>1</v>
      </c>
      <c r="P229">
        <v>89</v>
      </c>
      <c r="Q229">
        <v>0.50019999999999998</v>
      </c>
      <c r="R229">
        <v>475.12501224445236</v>
      </c>
      <c r="S229">
        <v>80.825012244452353</v>
      </c>
      <c r="T229">
        <v>0.32708333333333334</v>
      </c>
      <c r="U229">
        <v>42.5</v>
      </c>
      <c r="V229">
        <v>0.66319444444444442</v>
      </c>
      <c r="W229">
        <v>62.5</v>
      </c>
      <c r="X229">
        <v>13.6</v>
      </c>
      <c r="Y229">
        <v>41.5</v>
      </c>
      <c r="Z229">
        <v>0.33958333333333335</v>
      </c>
      <c r="AA229">
        <v>59.5</v>
      </c>
      <c r="AB229">
        <v>17.8</v>
      </c>
      <c r="AD229">
        <v>20</v>
      </c>
      <c r="AE229">
        <v>18</v>
      </c>
      <c r="AF229">
        <v>18.524988739845064</v>
      </c>
      <c r="AG229">
        <v>16.008734798790837</v>
      </c>
      <c r="AH229">
        <v>34.533723538635897</v>
      </c>
      <c r="AI229">
        <v>2.5193984686189288</v>
      </c>
      <c r="AJ229">
        <v>2.8495547941847694</v>
      </c>
      <c r="AK229">
        <v>5.3689532628036982</v>
      </c>
      <c r="AL229">
        <v>72.683446774358103</v>
      </c>
      <c r="AM229">
        <v>17.011314951120234</v>
      </c>
      <c r="AN229">
        <v>2.3404661867413847</v>
      </c>
      <c r="AO229">
        <v>13.600000000000001</v>
      </c>
      <c r="AP229">
        <v>15.546986286598898</v>
      </c>
      <c r="AQ229">
        <v>11.300085502636863</v>
      </c>
      <c r="AR229">
        <v>66.426878434184346</v>
      </c>
      <c r="AS229">
        <v>-0.22881426805267185</v>
      </c>
      <c r="AT229">
        <v>6.2717429571728474</v>
      </c>
      <c r="AU229">
        <v>36.868066784924466</v>
      </c>
    </row>
    <row r="230" spans="1:48" x14ac:dyDescent="0.35">
      <c r="A230">
        <v>228</v>
      </c>
      <c r="B230">
        <v>46076</v>
      </c>
      <c r="C230" t="s">
        <v>16</v>
      </c>
      <c r="D230" t="s">
        <v>42</v>
      </c>
      <c r="E230" t="s">
        <v>19</v>
      </c>
      <c r="F230" t="s">
        <v>20</v>
      </c>
      <c r="G230" t="s">
        <v>21</v>
      </c>
      <c r="H230" t="s">
        <v>22</v>
      </c>
      <c r="I230" t="s">
        <v>23</v>
      </c>
      <c r="J230" t="s">
        <v>24</v>
      </c>
      <c r="K230" t="s">
        <v>41</v>
      </c>
      <c r="L230">
        <v>27</v>
      </c>
      <c r="M230">
        <v>69</v>
      </c>
      <c r="N230">
        <v>3</v>
      </c>
      <c r="O230">
        <v>2</v>
      </c>
      <c r="P230">
        <v>90</v>
      </c>
      <c r="Q230">
        <v>0.5</v>
      </c>
      <c r="R230">
        <v>474.9350382291608</v>
      </c>
      <c r="S230">
        <v>0</v>
      </c>
      <c r="T230">
        <v>0.32777777777777778</v>
      </c>
      <c r="U230">
        <v>42</v>
      </c>
      <c r="V230">
        <v>0.66388888888888886</v>
      </c>
      <c r="W230">
        <v>62</v>
      </c>
      <c r="X230">
        <v>13.2</v>
      </c>
      <c r="Y230">
        <v>42</v>
      </c>
      <c r="Z230">
        <v>0.33958333333333335</v>
      </c>
      <c r="AA230">
        <v>58.5</v>
      </c>
      <c r="AB230">
        <v>17.8</v>
      </c>
      <c r="AD230">
        <v>20</v>
      </c>
      <c r="AE230">
        <v>16.5</v>
      </c>
      <c r="AV230" t="s">
        <v>611</v>
      </c>
    </row>
    <row r="231" spans="1:48" x14ac:dyDescent="0.35">
      <c r="A231">
        <v>229</v>
      </c>
      <c r="B231">
        <v>46076</v>
      </c>
      <c r="C231" t="s">
        <v>16</v>
      </c>
      <c r="D231" t="s">
        <v>44</v>
      </c>
      <c r="E231" t="s">
        <v>19</v>
      </c>
      <c r="F231" t="s">
        <v>20</v>
      </c>
      <c r="G231" t="s">
        <v>21</v>
      </c>
      <c r="H231" t="s">
        <v>22</v>
      </c>
      <c r="I231" t="s">
        <v>23</v>
      </c>
      <c r="J231" t="s">
        <v>24</v>
      </c>
      <c r="K231" t="s">
        <v>43</v>
      </c>
      <c r="L231">
        <v>27</v>
      </c>
      <c r="M231">
        <v>69</v>
      </c>
      <c r="N231">
        <v>3</v>
      </c>
      <c r="O231">
        <v>1</v>
      </c>
      <c r="P231">
        <v>91</v>
      </c>
      <c r="Q231">
        <v>0.50009999999999999</v>
      </c>
      <c r="R231">
        <v>472.8109134519292</v>
      </c>
      <c r="S231">
        <v>60.510913451929184</v>
      </c>
      <c r="T231">
        <v>0.32777777777777778</v>
      </c>
      <c r="U231">
        <v>41.5</v>
      </c>
      <c r="V231">
        <v>0.66388888888888886</v>
      </c>
      <c r="W231">
        <v>62.5</v>
      </c>
      <c r="X231">
        <v>13.6</v>
      </c>
      <c r="Y231">
        <v>41</v>
      </c>
      <c r="Z231">
        <v>0.34027777777777779</v>
      </c>
      <c r="AA231">
        <v>60</v>
      </c>
      <c r="AB231">
        <v>17.8</v>
      </c>
      <c r="AD231">
        <v>21</v>
      </c>
      <c r="AE231">
        <v>19</v>
      </c>
      <c r="AF231">
        <v>19.524988739845064</v>
      </c>
      <c r="AG231">
        <v>17.008734798790837</v>
      </c>
      <c r="AH231">
        <v>36.533723538635897</v>
      </c>
      <c r="AI231">
        <v>2.6553984686189289</v>
      </c>
      <c r="AJ231">
        <v>3.0275547941847694</v>
      </c>
      <c r="AK231">
        <v>5.6829532628036983</v>
      </c>
      <c r="AL231">
        <v>77.269205297965883</v>
      </c>
      <c r="AM231">
        <v>12.798121136872053</v>
      </c>
      <c r="AN231">
        <v>1.6563029330403849</v>
      </c>
      <c r="AO231">
        <v>13.600000000000001</v>
      </c>
      <c r="AP231">
        <v>15.555362860272767</v>
      </c>
      <c r="AQ231">
        <v>12.019505263347703</v>
      </c>
      <c r="AR231">
        <v>93.916170465982546</v>
      </c>
      <c r="AS231">
        <v>-0.22101884357147455</v>
      </c>
      <c r="AT231">
        <v>6.6710333710760263</v>
      </c>
      <c r="AU231">
        <v>52.125099455860216</v>
      </c>
    </row>
    <row r="232" spans="1:48" x14ac:dyDescent="0.35">
      <c r="A232">
        <v>230</v>
      </c>
      <c r="B232">
        <v>46076</v>
      </c>
      <c r="C232" t="s">
        <v>16</v>
      </c>
      <c r="D232" t="s">
        <v>44</v>
      </c>
      <c r="E232" t="s">
        <v>19</v>
      </c>
      <c r="F232" t="s">
        <v>20</v>
      </c>
      <c r="G232" t="s">
        <v>21</v>
      </c>
      <c r="H232" t="s">
        <v>22</v>
      </c>
      <c r="I232" t="s">
        <v>23</v>
      </c>
      <c r="J232" t="s">
        <v>24</v>
      </c>
      <c r="K232" t="s">
        <v>43</v>
      </c>
      <c r="L232">
        <v>27</v>
      </c>
      <c r="M232">
        <v>69</v>
      </c>
      <c r="N232">
        <v>3</v>
      </c>
      <c r="O232">
        <v>2</v>
      </c>
      <c r="P232">
        <v>92</v>
      </c>
      <c r="Q232">
        <v>0.50049999999999994</v>
      </c>
      <c r="R232">
        <v>473.18908654807149</v>
      </c>
      <c r="S232">
        <v>77.089086548071464</v>
      </c>
      <c r="T232">
        <v>0.32777777777777778</v>
      </c>
      <c r="U232">
        <v>42.5</v>
      </c>
      <c r="V232">
        <v>0.6645833333333333</v>
      </c>
      <c r="W232">
        <v>64</v>
      </c>
      <c r="X232">
        <v>13.2</v>
      </c>
      <c r="Y232">
        <v>40.5</v>
      </c>
      <c r="Z232">
        <v>0.34027777777777779</v>
      </c>
      <c r="AA232">
        <v>58</v>
      </c>
      <c r="AB232">
        <v>18</v>
      </c>
      <c r="AD232">
        <v>21.5</v>
      </c>
      <c r="AE232">
        <v>17.5</v>
      </c>
      <c r="AF232">
        <v>20.024988739845064</v>
      </c>
      <c r="AG232">
        <v>15.508734798790837</v>
      </c>
      <c r="AH232">
        <v>35.533723538635897</v>
      </c>
      <c r="AI232">
        <v>2.6432985136595484</v>
      </c>
      <c r="AJ232">
        <v>2.7915722637823506</v>
      </c>
      <c r="AK232">
        <v>5.4348707774418994</v>
      </c>
      <c r="AL232">
        <v>75.094131603616376</v>
      </c>
      <c r="AM232">
        <v>16.291391483780544</v>
      </c>
      <c r="AN232">
        <v>2.1694626645094575</v>
      </c>
      <c r="AO232">
        <v>13.2</v>
      </c>
      <c r="AP232">
        <v>15.294965560061703</v>
      </c>
      <c r="AQ232">
        <v>11.485621566400535</v>
      </c>
      <c r="AR232">
        <v>70.501169760946709</v>
      </c>
      <c r="AS232">
        <v>-0.26285207320677362</v>
      </c>
      <c r="AT232">
        <v>6.3747186825281865</v>
      </c>
      <c r="AU232">
        <v>39.129368960746888</v>
      </c>
    </row>
    <row r="233" spans="1:48" x14ac:dyDescent="0.35">
      <c r="A233">
        <v>231</v>
      </c>
      <c r="B233">
        <v>46076</v>
      </c>
      <c r="C233" t="s">
        <v>16</v>
      </c>
      <c r="D233" t="s">
        <v>46</v>
      </c>
      <c r="E233" t="s">
        <v>19</v>
      </c>
      <c r="F233" t="s">
        <v>20</v>
      </c>
      <c r="G233" t="s">
        <v>21</v>
      </c>
      <c r="H233" t="s">
        <v>22</v>
      </c>
      <c r="I233" t="s">
        <v>23</v>
      </c>
      <c r="J233" t="s">
        <v>24</v>
      </c>
      <c r="K233" t="s">
        <v>45</v>
      </c>
      <c r="L233">
        <v>27</v>
      </c>
      <c r="M233">
        <v>69</v>
      </c>
      <c r="N233">
        <v>3</v>
      </c>
      <c r="O233">
        <v>1</v>
      </c>
      <c r="P233">
        <v>93</v>
      </c>
      <c r="Q233">
        <v>0.50009999999999999</v>
      </c>
      <c r="R233">
        <v>471.03241097478849</v>
      </c>
      <c r="S233">
        <v>84.332410974788445</v>
      </c>
      <c r="T233">
        <v>0.32777777777777778</v>
      </c>
      <c r="U233">
        <v>41.5</v>
      </c>
      <c r="V233">
        <v>0.6645833333333333</v>
      </c>
      <c r="W233">
        <v>65.5</v>
      </c>
      <c r="X233">
        <v>13.6</v>
      </c>
      <c r="Y233">
        <v>40.5</v>
      </c>
      <c r="Z233">
        <v>0.34097222222222223</v>
      </c>
      <c r="AA233">
        <v>56.5</v>
      </c>
      <c r="AB233">
        <v>17.399999999999999</v>
      </c>
      <c r="AD233">
        <v>24</v>
      </c>
      <c r="AE233">
        <v>16</v>
      </c>
      <c r="AF233">
        <v>22.524988739845064</v>
      </c>
      <c r="AG233">
        <v>14.008734798790837</v>
      </c>
      <c r="AH233">
        <v>36.533723538635897</v>
      </c>
      <c r="AI233">
        <v>3.0633984686189288</v>
      </c>
      <c r="AJ233">
        <v>2.4375198549896053</v>
      </c>
      <c r="AK233">
        <v>5.5009183236085342</v>
      </c>
      <c r="AL233">
        <v>77.560954803577886</v>
      </c>
      <c r="AM233">
        <v>17.903738471045944</v>
      </c>
      <c r="AN233">
        <v>2.3083442585753269</v>
      </c>
      <c r="AO233">
        <v>13.6</v>
      </c>
      <c r="AP233">
        <v>15.057097363183058</v>
      </c>
      <c r="AQ233">
        <v>11.67842848058913</v>
      </c>
      <c r="AR233">
        <v>65.228993930377001</v>
      </c>
      <c r="AS233">
        <v>-0.17124466410219483</v>
      </c>
      <c r="AT233">
        <v>6.4817298556626186</v>
      </c>
      <c r="AU233">
        <v>36.203220160665985</v>
      </c>
    </row>
    <row r="234" spans="1:48" x14ac:dyDescent="0.35">
      <c r="A234">
        <v>232</v>
      </c>
      <c r="B234">
        <v>46076</v>
      </c>
      <c r="C234" t="s">
        <v>16</v>
      </c>
      <c r="D234" t="s">
        <v>46</v>
      </c>
      <c r="E234" t="s">
        <v>19</v>
      </c>
      <c r="F234" t="s">
        <v>20</v>
      </c>
      <c r="G234" t="s">
        <v>21</v>
      </c>
      <c r="H234" t="s">
        <v>22</v>
      </c>
      <c r="I234" t="s">
        <v>23</v>
      </c>
      <c r="J234" t="s">
        <v>24</v>
      </c>
      <c r="K234" t="s">
        <v>45</v>
      </c>
      <c r="L234">
        <v>27</v>
      </c>
      <c r="M234">
        <v>69</v>
      </c>
      <c r="N234">
        <v>3</v>
      </c>
      <c r="O234">
        <v>2</v>
      </c>
      <c r="P234">
        <v>94</v>
      </c>
      <c r="Q234">
        <v>0.50019999999999998</v>
      </c>
      <c r="R234">
        <v>471.12659861945457</v>
      </c>
      <c r="S234">
        <v>101.82659861945461</v>
      </c>
      <c r="T234">
        <v>0.32777777777777778</v>
      </c>
      <c r="U234">
        <v>41.5</v>
      </c>
      <c r="V234">
        <v>0.66527777777777775</v>
      </c>
      <c r="W234">
        <v>65.5</v>
      </c>
      <c r="X234">
        <v>13.6</v>
      </c>
      <c r="Y234">
        <v>40.5</v>
      </c>
      <c r="Z234">
        <v>0.34166666666666667</v>
      </c>
      <c r="AA234">
        <v>56</v>
      </c>
      <c r="AB234">
        <v>17.2</v>
      </c>
      <c r="AD234">
        <v>24</v>
      </c>
      <c r="AE234">
        <v>15.5</v>
      </c>
      <c r="AF234">
        <v>22.524988739845064</v>
      </c>
      <c r="AG234">
        <v>13.508734798790837</v>
      </c>
      <c r="AH234">
        <v>36.033723538635897</v>
      </c>
      <c r="AI234">
        <v>3.0633984686189288</v>
      </c>
      <c r="AJ234">
        <v>2.3235023853920236</v>
      </c>
      <c r="AK234">
        <v>5.3869008540109524</v>
      </c>
      <c r="AL234">
        <v>76.484162949461478</v>
      </c>
      <c r="AM234">
        <v>21.613425970394747</v>
      </c>
      <c r="AN234">
        <v>2.8258694528272832</v>
      </c>
      <c r="AO234">
        <v>13.6</v>
      </c>
      <c r="AP234">
        <v>14.949609213255568</v>
      </c>
      <c r="AQ234">
        <v>11.434083470974096</v>
      </c>
      <c r="AR234">
        <v>52.902688757608672</v>
      </c>
      <c r="AS234">
        <v>-0.20597721490054569</v>
      </c>
      <c r="AT234">
        <v>6.346114147903962</v>
      </c>
      <c r="AU234">
        <v>29.361907531904606</v>
      </c>
    </row>
    <row r="235" spans="1:48" x14ac:dyDescent="0.35">
      <c r="A235">
        <v>233</v>
      </c>
      <c r="B235">
        <v>46076</v>
      </c>
      <c r="C235" t="s">
        <v>16</v>
      </c>
      <c r="D235" t="s">
        <v>48</v>
      </c>
      <c r="E235" t="s">
        <v>19</v>
      </c>
      <c r="F235" t="s">
        <v>20</v>
      </c>
      <c r="G235" t="s">
        <v>21</v>
      </c>
      <c r="H235" t="s">
        <v>22</v>
      </c>
      <c r="I235" t="s">
        <v>23</v>
      </c>
      <c r="J235" t="s">
        <v>24</v>
      </c>
      <c r="K235" t="s">
        <v>47</v>
      </c>
      <c r="L235">
        <v>27</v>
      </c>
      <c r="M235">
        <v>69</v>
      </c>
      <c r="N235">
        <v>3</v>
      </c>
      <c r="O235">
        <v>1</v>
      </c>
      <c r="P235">
        <v>95</v>
      </c>
      <c r="Q235">
        <v>0.50049999999999994</v>
      </c>
      <c r="R235">
        <v>468.10099047322365</v>
      </c>
      <c r="S235">
        <v>65.900990473223658</v>
      </c>
      <c r="T235">
        <v>0.32847222222222222</v>
      </c>
      <c r="U235">
        <v>40</v>
      </c>
      <c r="V235">
        <v>0.66597222222222219</v>
      </c>
      <c r="W235">
        <v>65</v>
      </c>
      <c r="X235">
        <v>13.5</v>
      </c>
      <c r="Y235">
        <v>39</v>
      </c>
      <c r="Z235">
        <v>0.34166666666666667</v>
      </c>
      <c r="AA235">
        <v>61</v>
      </c>
      <c r="AB235">
        <v>16.8</v>
      </c>
      <c r="AD235">
        <v>25</v>
      </c>
      <c r="AE235">
        <v>22</v>
      </c>
      <c r="AF235">
        <v>23.524988739845064</v>
      </c>
      <c r="AG235">
        <v>20.008734798790837</v>
      </c>
      <c r="AH235">
        <v>43.533723538635897</v>
      </c>
      <c r="AI235">
        <v>3.1758734798790837</v>
      </c>
      <c r="AJ235">
        <v>3.3614674461968606</v>
      </c>
      <c r="AK235">
        <v>6.5373409260759443</v>
      </c>
      <c r="AL235">
        <v>93.000708019493331</v>
      </c>
      <c r="AM235">
        <v>14.078370226604623</v>
      </c>
      <c r="AN235">
        <v>1.5137917255053306</v>
      </c>
      <c r="AO235">
        <v>13.5</v>
      </c>
      <c r="AP235">
        <v>15.016728169999279</v>
      </c>
      <c r="AQ235">
        <v>13.965663519462034</v>
      </c>
      <c r="AR235">
        <v>99.199433561353558</v>
      </c>
      <c r="AS235">
        <v>-0.15109364969535241</v>
      </c>
      <c r="AT235">
        <v>7.7511848737775439</v>
      </c>
      <c r="AU235">
        <v>55.057401879727031</v>
      </c>
    </row>
    <row r="236" spans="1:48" x14ac:dyDescent="0.35">
      <c r="A236">
        <v>234</v>
      </c>
      <c r="B236">
        <v>46076</v>
      </c>
      <c r="C236" t="s">
        <v>16</v>
      </c>
      <c r="D236" t="s">
        <v>48</v>
      </c>
      <c r="E236" t="s">
        <v>19</v>
      </c>
      <c r="F236" t="s">
        <v>20</v>
      </c>
      <c r="G236" t="s">
        <v>21</v>
      </c>
      <c r="H236" t="s">
        <v>22</v>
      </c>
      <c r="I236" t="s">
        <v>23</v>
      </c>
      <c r="J236" t="s">
        <v>24</v>
      </c>
      <c r="K236" t="s">
        <v>47</v>
      </c>
      <c r="L236">
        <v>27</v>
      </c>
      <c r="M236">
        <v>69</v>
      </c>
      <c r="N236">
        <v>3</v>
      </c>
      <c r="O236">
        <v>2</v>
      </c>
      <c r="P236">
        <v>96</v>
      </c>
      <c r="Q236">
        <v>0.50009999999999999</v>
      </c>
      <c r="R236">
        <v>467.72688378753082</v>
      </c>
      <c r="S236">
        <v>90.226883787530767</v>
      </c>
      <c r="T236">
        <v>0.32847222222222222</v>
      </c>
      <c r="U236">
        <v>41.5</v>
      </c>
      <c r="V236">
        <v>0.66597222222222219</v>
      </c>
      <c r="W236">
        <v>65.5</v>
      </c>
      <c r="X236">
        <v>13.6</v>
      </c>
      <c r="Y236">
        <v>39.5</v>
      </c>
      <c r="Z236">
        <v>0.34236111111111112</v>
      </c>
      <c r="AA236">
        <v>62</v>
      </c>
      <c r="AB236">
        <v>16.7</v>
      </c>
      <c r="AD236">
        <v>24</v>
      </c>
      <c r="AE236">
        <v>22.5</v>
      </c>
      <c r="AF236">
        <v>22.524988739845064</v>
      </c>
      <c r="AG236">
        <v>20.508734798790837</v>
      </c>
      <c r="AH236">
        <v>43.033723538635897</v>
      </c>
      <c r="AI236">
        <v>3.0633984686189288</v>
      </c>
      <c r="AJ236">
        <v>3.4249587113980695</v>
      </c>
      <c r="AK236">
        <v>6.4883571800169983</v>
      </c>
      <c r="AL236">
        <v>92.006093791658884</v>
      </c>
      <c r="AM236">
        <v>19.290506258031805</v>
      </c>
      <c r="AN236">
        <v>2.0966552826070144</v>
      </c>
      <c r="AO236">
        <v>13.6</v>
      </c>
      <c r="AP236">
        <v>15.077378033977743</v>
      </c>
      <c r="AQ236">
        <v>13.872106575264537</v>
      </c>
      <c r="AR236">
        <v>71.911573442966244</v>
      </c>
      <c r="AS236">
        <v>-0.18765476071669882</v>
      </c>
      <c r="AT236">
        <v>7.6992591511156805</v>
      </c>
      <c r="AU236">
        <v>39.912167405715515</v>
      </c>
    </row>
    <row r="237" spans="1:48" x14ac:dyDescent="0.35">
      <c r="A237">
        <v>235</v>
      </c>
      <c r="B237">
        <v>46076</v>
      </c>
      <c r="C237" t="s">
        <v>16</v>
      </c>
      <c r="D237" t="s">
        <v>50</v>
      </c>
      <c r="E237" t="s">
        <v>19</v>
      </c>
      <c r="F237" t="s">
        <v>20</v>
      </c>
      <c r="G237" t="s">
        <v>21</v>
      </c>
      <c r="H237" t="s">
        <v>22</v>
      </c>
      <c r="I237" t="s">
        <v>23</v>
      </c>
      <c r="J237" t="s">
        <v>24</v>
      </c>
      <c r="K237" t="s">
        <v>49</v>
      </c>
      <c r="L237">
        <v>27</v>
      </c>
      <c r="M237">
        <v>69</v>
      </c>
      <c r="N237">
        <v>3</v>
      </c>
      <c r="O237">
        <v>1</v>
      </c>
      <c r="P237">
        <v>97</v>
      </c>
      <c r="Q237">
        <v>0.50029999999999997</v>
      </c>
      <c r="R237">
        <v>470.06902960046477</v>
      </c>
      <c r="S237">
        <v>53.269029600464819</v>
      </c>
      <c r="T237">
        <v>0.32847222222222222</v>
      </c>
      <c r="U237">
        <v>41.5</v>
      </c>
      <c r="V237">
        <v>0.66666666666666663</v>
      </c>
      <c r="W237">
        <v>65.5</v>
      </c>
      <c r="X237">
        <v>14.2</v>
      </c>
      <c r="Y237">
        <v>40</v>
      </c>
      <c r="Z237">
        <v>0.34236111111111112</v>
      </c>
      <c r="AA237">
        <v>60.5</v>
      </c>
      <c r="AB237">
        <v>18</v>
      </c>
      <c r="AD237">
        <v>24</v>
      </c>
      <c r="AE237">
        <v>20.5</v>
      </c>
      <c r="AF237">
        <v>22.524988739845064</v>
      </c>
      <c r="AG237">
        <v>18.508734798790837</v>
      </c>
      <c r="AH237">
        <v>41.033723538635897</v>
      </c>
      <c r="AI237">
        <v>3.198548401057999</v>
      </c>
      <c r="AJ237">
        <v>3.3315722637823506</v>
      </c>
      <c r="AK237">
        <v>6.53012066484035</v>
      </c>
      <c r="AL237">
        <v>87.292973913879237</v>
      </c>
      <c r="AM237">
        <v>11.332171712256994</v>
      </c>
      <c r="AN237">
        <v>1.2981768410636336</v>
      </c>
      <c r="AO237">
        <v>14.2</v>
      </c>
      <c r="AP237">
        <v>15.914033876774113</v>
      </c>
      <c r="AQ237">
        <v>13.891833440698331</v>
      </c>
      <c r="AR237">
        <v>122.58756567969034</v>
      </c>
      <c r="AS237">
        <v>-0.13683535668588234</v>
      </c>
      <c r="AT237">
        <v>7.7102079027266868</v>
      </c>
      <c r="AU237">
        <v>68.03821984436793</v>
      </c>
    </row>
    <row r="238" spans="1:48" x14ac:dyDescent="0.35">
      <c r="A238">
        <v>236</v>
      </c>
      <c r="B238">
        <v>46076</v>
      </c>
      <c r="C238" t="s">
        <v>16</v>
      </c>
      <c r="D238" t="s">
        <v>50</v>
      </c>
      <c r="E238" t="s">
        <v>19</v>
      </c>
      <c r="F238" t="s">
        <v>20</v>
      </c>
      <c r="G238" t="s">
        <v>21</v>
      </c>
      <c r="H238" t="s">
        <v>22</v>
      </c>
      <c r="I238" t="s">
        <v>23</v>
      </c>
      <c r="J238" t="s">
        <v>24</v>
      </c>
      <c r="K238" t="s">
        <v>49</v>
      </c>
      <c r="L238">
        <v>27</v>
      </c>
      <c r="M238">
        <v>69</v>
      </c>
      <c r="N238">
        <v>3</v>
      </c>
      <c r="O238">
        <v>2</v>
      </c>
      <c r="P238">
        <v>98</v>
      </c>
      <c r="Q238">
        <v>0.50039999999999996</v>
      </c>
      <c r="R238">
        <v>470.16298703192592</v>
      </c>
      <c r="S238">
        <v>60.662987031925809</v>
      </c>
      <c r="T238">
        <v>0.32847222222222222</v>
      </c>
      <c r="U238">
        <v>41.5</v>
      </c>
      <c r="V238">
        <v>0.66666666666666663</v>
      </c>
      <c r="W238">
        <v>66</v>
      </c>
      <c r="X238">
        <v>13.9</v>
      </c>
      <c r="Y238">
        <v>41</v>
      </c>
      <c r="Z238">
        <v>0.34305555555555556</v>
      </c>
      <c r="AA238">
        <v>61</v>
      </c>
      <c r="AB238">
        <v>18.100000000000001</v>
      </c>
      <c r="AD238">
        <v>24.5</v>
      </c>
      <c r="AE238">
        <v>20</v>
      </c>
      <c r="AF238">
        <v>23.024988739845064</v>
      </c>
      <c r="AG238">
        <v>18.008734798790837</v>
      </c>
      <c r="AH238">
        <v>41.033723538635897</v>
      </c>
      <c r="AI238">
        <v>3.200473434838464</v>
      </c>
      <c r="AJ238">
        <v>3.2595809985811419</v>
      </c>
      <c r="AK238">
        <v>6.4600544334196055</v>
      </c>
      <c r="AL238">
        <v>87.275529274807724</v>
      </c>
      <c r="AM238">
        <v>12.902544161309438</v>
      </c>
      <c r="AN238">
        <v>1.4783690535617051</v>
      </c>
      <c r="AO238">
        <v>13.9</v>
      </c>
      <c r="AP238">
        <v>15.743281077909119</v>
      </c>
      <c r="AQ238">
        <v>13.740031885965839</v>
      </c>
      <c r="AR238">
        <v>106.49087276265837</v>
      </c>
      <c r="AS238">
        <v>-0.14321879257346307</v>
      </c>
      <c r="AT238">
        <v>7.6259554135256762</v>
      </c>
      <c r="AU238">
        <v>59.104276785918344</v>
      </c>
    </row>
    <row r="239" spans="1:48" x14ac:dyDescent="0.35">
      <c r="A239">
        <v>237</v>
      </c>
      <c r="B239">
        <v>46076</v>
      </c>
      <c r="C239" t="s">
        <v>16</v>
      </c>
      <c r="D239" t="s">
        <v>52</v>
      </c>
      <c r="E239" t="s">
        <v>19</v>
      </c>
      <c r="F239" t="s">
        <v>20</v>
      </c>
      <c r="G239" t="s">
        <v>21</v>
      </c>
      <c r="H239" t="s">
        <v>22</v>
      </c>
      <c r="I239" t="s">
        <v>23</v>
      </c>
      <c r="J239" t="s">
        <v>24</v>
      </c>
      <c r="K239" t="s">
        <v>51</v>
      </c>
      <c r="L239">
        <v>27</v>
      </c>
      <c r="M239">
        <v>69</v>
      </c>
      <c r="N239">
        <v>3</v>
      </c>
      <c r="O239">
        <v>1</v>
      </c>
      <c r="P239">
        <v>99</v>
      </c>
      <c r="Q239">
        <v>0.5</v>
      </c>
      <c r="R239">
        <v>459.28724590947485</v>
      </c>
      <c r="S239">
        <v>24.387245909474871</v>
      </c>
      <c r="T239">
        <v>0.32916666666666666</v>
      </c>
      <c r="U239">
        <v>42</v>
      </c>
      <c r="V239">
        <v>0.66736111111111107</v>
      </c>
      <c r="W239">
        <v>66.5</v>
      </c>
      <c r="X239">
        <v>13.5</v>
      </c>
      <c r="Y239">
        <v>41.5</v>
      </c>
      <c r="Z239">
        <v>0.34305555555555556</v>
      </c>
      <c r="AA239">
        <v>62.5</v>
      </c>
      <c r="AB239">
        <v>17.600000000000001</v>
      </c>
      <c r="AV239" t="s">
        <v>619</v>
      </c>
    </row>
    <row r="240" spans="1:48" x14ac:dyDescent="0.35">
      <c r="A240">
        <v>238</v>
      </c>
      <c r="B240">
        <v>46076</v>
      </c>
      <c r="C240" t="s">
        <v>16</v>
      </c>
      <c r="D240" t="s">
        <v>52</v>
      </c>
      <c r="E240" t="s">
        <v>19</v>
      </c>
      <c r="F240" t="s">
        <v>20</v>
      </c>
      <c r="G240" t="s">
        <v>21</v>
      </c>
      <c r="H240" t="s">
        <v>22</v>
      </c>
      <c r="I240" t="s">
        <v>23</v>
      </c>
      <c r="J240" t="s">
        <v>24</v>
      </c>
      <c r="K240" t="s">
        <v>51</v>
      </c>
      <c r="L240">
        <v>27</v>
      </c>
      <c r="M240">
        <v>69</v>
      </c>
      <c r="N240">
        <v>3</v>
      </c>
      <c r="O240">
        <v>2</v>
      </c>
      <c r="P240">
        <v>100</v>
      </c>
      <c r="Q240">
        <v>0.50029999999999997</v>
      </c>
      <c r="R240">
        <v>459.56281825702052</v>
      </c>
      <c r="S240">
        <v>82.462818257020558</v>
      </c>
      <c r="T240">
        <v>0.32916666666666666</v>
      </c>
      <c r="U240">
        <v>42</v>
      </c>
      <c r="V240">
        <v>0.66736111111111107</v>
      </c>
      <c r="W240">
        <v>67</v>
      </c>
      <c r="X240">
        <v>13.5</v>
      </c>
      <c r="Y240">
        <v>41</v>
      </c>
      <c r="Z240">
        <v>0.34375</v>
      </c>
      <c r="AA240">
        <v>61.5</v>
      </c>
      <c r="AB240">
        <v>17.899999999999999</v>
      </c>
      <c r="AD240">
        <v>25</v>
      </c>
      <c r="AE240">
        <v>20.5</v>
      </c>
      <c r="AF240">
        <v>23.524988739845064</v>
      </c>
      <c r="AG240">
        <v>18.508734798790837</v>
      </c>
      <c r="AH240">
        <v>42.033723538635897</v>
      </c>
      <c r="AI240">
        <v>3.1758734798790837</v>
      </c>
      <c r="AJ240">
        <v>3.3130635289835597</v>
      </c>
      <c r="AK240">
        <v>6.4889370088626439</v>
      </c>
      <c r="AL240">
        <v>91.464587361651226</v>
      </c>
      <c r="AM240">
        <v>17.943753276162873</v>
      </c>
      <c r="AN240">
        <v>1.9618252040227577</v>
      </c>
      <c r="AO240">
        <v>13.5</v>
      </c>
      <c r="AP240">
        <v>15.437454649712974</v>
      </c>
      <c r="AQ240">
        <v>14.119804194502011</v>
      </c>
      <c r="AR240">
        <v>78.689246208368601</v>
      </c>
      <c r="AS240">
        <v>-0.1732435658824201</v>
      </c>
      <c r="AT240">
        <v>7.8367356152184167</v>
      </c>
      <c r="AU240">
        <v>43.67389305128831</v>
      </c>
    </row>
    <row r="241" spans="1:48" x14ac:dyDescent="0.35">
      <c r="A241">
        <v>239</v>
      </c>
      <c r="B241">
        <v>46076</v>
      </c>
      <c r="C241" t="s">
        <v>16</v>
      </c>
      <c r="D241" t="s">
        <v>54</v>
      </c>
      <c r="E241" t="s">
        <v>19</v>
      </c>
      <c r="F241" t="s">
        <v>20</v>
      </c>
      <c r="G241" t="s">
        <v>21</v>
      </c>
      <c r="H241" t="s">
        <v>22</v>
      </c>
      <c r="I241" t="s">
        <v>23</v>
      </c>
      <c r="J241" t="s">
        <v>24</v>
      </c>
      <c r="K241" t="s">
        <v>53</v>
      </c>
      <c r="L241">
        <v>27</v>
      </c>
      <c r="M241">
        <v>69</v>
      </c>
      <c r="N241">
        <v>3</v>
      </c>
      <c r="O241">
        <v>1</v>
      </c>
      <c r="P241">
        <v>101</v>
      </c>
      <c r="Q241">
        <v>0.50029999999999997</v>
      </c>
      <c r="R241">
        <v>473.83938184308164</v>
      </c>
      <c r="S241">
        <v>89.039381843081742</v>
      </c>
      <c r="T241">
        <v>0.32916666666666666</v>
      </c>
      <c r="U241">
        <v>41.5</v>
      </c>
      <c r="V241">
        <v>0.66805555555555551</v>
      </c>
      <c r="W241">
        <v>68.5</v>
      </c>
      <c r="X241">
        <v>14.5</v>
      </c>
      <c r="Y241">
        <v>40.5</v>
      </c>
      <c r="Z241">
        <v>0.34375</v>
      </c>
      <c r="AA241">
        <v>65.5</v>
      </c>
      <c r="AB241">
        <v>17.399999999999999</v>
      </c>
      <c r="AD241">
        <v>27</v>
      </c>
      <c r="AE241">
        <v>25</v>
      </c>
      <c r="AF241">
        <v>25.524988739845064</v>
      </c>
      <c r="AG241">
        <v>23.008734798790837</v>
      </c>
      <c r="AH241">
        <v>48.533723538635897</v>
      </c>
      <c r="AI241">
        <v>3.7011233672775341</v>
      </c>
      <c r="AJ241">
        <v>4.0035198549896052</v>
      </c>
      <c r="AK241">
        <v>7.7046432222671388</v>
      </c>
      <c r="AL241">
        <v>102.42652974485877</v>
      </c>
      <c r="AM241">
        <v>18.791047189186219</v>
      </c>
      <c r="AN241">
        <v>1.8345878978809609</v>
      </c>
      <c r="AO241">
        <v>14.5</v>
      </c>
      <c r="AP241">
        <v>15.874824061528594</v>
      </c>
      <c r="AQ241">
        <v>16.260031389325583</v>
      </c>
      <c r="AR241">
        <v>86.53073575741341</v>
      </c>
      <c r="AS241">
        <v>-0.21387172999294982</v>
      </c>
      <c r="AT241">
        <v>9.0245987364976603</v>
      </c>
      <c r="AU241">
        <v>48.02605541691733</v>
      </c>
    </row>
    <row r="242" spans="1:48" x14ac:dyDescent="0.35">
      <c r="A242">
        <v>240</v>
      </c>
      <c r="B242">
        <v>46076</v>
      </c>
      <c r="C242" t="s">
        <v>16</v>
      </c>
      <c r="D242" t="s">
        <v>54</v>
      </c>
      <c r="E242" t="s">
        <v>19</v>
      </c>
      <c r="F242" t="s">
        <v>20</v>
      </c>
      <c r="G242" t="s">
        <v>21</v>
      </c>
      <c r="H242" t="s">
        <v>22</v>
      </c>
      <c r="I242" t="s">
        <v>23</v>
      </c>
      <c r="J242" t="s">
        <v>24</v>
      </c>
      <c r="K242" t="s">
        <v>53</v>
      </c>
      <c r="L242">
        <v>27</v>
      </c>
      <c r="M242">
        <v>69</v>
      </c>
      <c r="N242">
        <v>3</v>
      </c>
      <c r="O242">
        <v>2</v>
      </c>
      <c r="P242">
        <v>102</v>
      </c>
      <c r="Q242">
        <v>0.50049999999999994</v>
      </c>
      <c r="R242">
        <v>474.02880394255914</v>
      </c>
      <c r="S242">
        <v>93.328803942559091</v>
      </c>
      <c r="T242">
        <v>0.32916666666666666</v>
      </c>
      <c r="U242">
        <v>41.5</v>
      </c>
      <c r="V242">
        <v>0.66805555555555551</v>
      </c>
      <c r="W242">
        <v>70</v>
      </c>
      <c r="X242">
        <v>14.2</v>
      </c>
      <c r="Y242">
        <v>40.5</v>
      </c>
      <c r="Z242">
        <v>0.34444444444444444</v>
      </c>
      <c r="AA242">
        <v>65.5</v>
      </c>
      <c r="AB242">
        <v>17.100000000000001</v>
      </c>
      <c r="AD242">
        <v>28.5</v>
      </c>
      <c r="AE242">
        <v>25</v>
      </c>
      <c r="AF242">
        <v>27.024988739845064</v>
      </c>
      <c r="AG242">
        <v>23.008734798790837</v>
      </c>
      <c r="AH242">
        <v>50.033723538635897</v>
      </c>
      <c r="AI242">
        <v>3.8375484010579988</v>
      </c>
      <c r="AJ242">
        <v>3.9344936505932333</v>
      </c>
      <c r="AK242">
        <v>7.7720420516512316</v>
      </c>
      <c r="AL242">
        <v>105.54996473315317</v>
      </c>
      <c r="AM242">
        <v>19.688424662453276</v>
      </c>
      <c r="AN242">
        <v>1.8653179763942784</v>
      </c>
      <c r="AO242">
        <v>14.2</v>
      </c>
      <c r="AP242">
        <v>15.533607139292128</v>
      </c>
      <c r="AQ242">
        <v>16.395716857309406</v>
      </c>
      <c r="AR242">
        <v>83.275920437539057</v>
      </c>
      <c r="AS242">
        <v>-0.22513630685930572</v>
      </c>
      <c r="AT242">
        <v>9.0999065187281243</v>
      </c>
      <c r="AU242">
        <v>46.219576602703327</v>
      </c>
    </row>
    <row r="243" spans="1:48" x14ac:dyDescent="0.35">
      <c r="A243">
        <v>241</v>
      </c>
      <c r="B243">
        <v>46076</v>
      </c>
      <c r="C243" t="s">
        <v>16</v>
      </c>
      <c r="D243" t="s">
        <v>56</v>
      </c>
      <c r="E243" t="s">
        <v>19</v>
      </c>
      <c r="F243" t="s">
        <v>20</v>
      </c>
      <c r="G243" t="s">
        <v>21</v>
      </c>
      <c r="H243" t="s">
        <v>22</v>
      </c>
      <c r="I243" t="s">
        <v>23</v>
      </c>
      <c r="J243" t="s">
        <v>24</v>
      </c>
      <c r="K243" t="s">
        <v>55</v>
      </c>
      <c r="L243">
        <v>27</v>
      </c>
      <c r="M243">
        <v>69</v>
      </c>
      <c r="N243">
        <v>3</v>
      </c>
      <c r="O243">
        <v>1</v>
      </c>
      <c r="P243">
        <v>103</v>
      </c>
      <c r="Q243">
        <v>0.50029999999999997</v>
      </c>
      <c r="R243">
        <v>475.8951219512191</v>
      </c>
      <c r="S243">
        <v>68.895121951219153</v>
      </c>
      <c r="T243">
        <v>0.3298611111111111</v>
      </c>
      <c r="U243">
        <v>41</v>
      </c>
      <c r="V243">
        <v>0.66874999999999996</v>
      </c>
      <c r="W243">
        <v>68</v>
      </c>
      <c r="X243">
        <v>13.3</v>
      </c>
      <c r="Y243">
        <v>40</v>
      </c>
      <c r="Z243">
        <v>0.34444444444444444</v>
      </c>
      <c r="AA243">
        <v>63</v>
      </c>
      <c r="AB243">
        <v>17.5</v>
      </c>
      <c r="AD243">
        <v>27</v>
      </c>
      <c r="AE243">
        <v>23</v>
      </c>
      <c r="AF243">
        <v>25.524988739845064</v>
      </c>
      <c r="AG243">
        <v>21.008734798790837</v>
      </c>
      <c r="AH243">
        <v>46.533723538635897</v>
      </c>
      <c r="AI243">
        <v>3.3948235023993938</v>
      </c>
      <c r="AJ243">
        <v>3.6765285897883961</v>
      </c>
      <c r="AK243">
        <v>7.0713520921877899</v>
      </c>
      <c r="AL243">
        <v>97.78146779030395</v>
      </c>
      <c r="AM243">
        <v>14.476954852729326</v>
      </c>
      <c r="AN243">
        <v>1.4805417815751858</v>
      </c>
      <c r="AO243">
        <v>13.300000000000002</v>
      </c>
      <c r="AP243">
        <v>15.196187956711881</v>
      </c>
      <c r="AQ243">
        <v>14.859055632246276</v>
      </c>
      <c r="AR243">
        <v>102.63937259875416</v>
      </c>
      <c r="AS243">
        <v>-0.16107934157985151</v>
      </c>
      <c r="AT243">
        <v>8.2470329529837461</v>
      </c>
      <c r="AU243">
        <v>56.966627560000582</v>
      </c>
    </row>
    <row r="244" spans="1:48" x14ac:dyDescent="0.35">
      <c r="A244">
        <v>242</v>
      </c>
      <c r="B244">
        <v>46076</v>
      </c>
      <c r="C244" t="s">
        <v>16</v>
      </c>
      <c r="D244" t="s">
        <v>56</v>
      </c>
      <c r="E244" t="s">
        <v>19</v>
      </c>
      <c r="F244" t="s">
        <v>20</v>
      </c>
      <c r="G244" t="s">
        <v>21</v>
      </c>
      <c r="H244" t="s">
        <v>22</v>
      </c>
      <c r="I244" t="s">
        <v>23</v>
      </c>
      <c r="J244" t="s">
        <v>24</v>
      </c>
      <c r="K244" t="s">
        <v>55</v>
      </c>
      <c r="L244">
        <v>27</v>
      </c>
      <c r="M244">
        <v>69</v>
      </c>
      <c r="N244">
        <v>3</v>
      </c>
      <c r="O244">
        <v>2</v>
      </c>
      <c r="P244">
        <v>104</v>
      </c>
      <c r="Q244">
        <v>0.50019999999999998</v>
      </c>
      <c r="R244">
        <v>475.79999999999956</v>
      </c>
      <c r="S244">
        <v>85.099999999999511</v>
      </c>
      <c r="T244">
        <v>0.3298611111111111</v>
      </c>
      <c r="U244">
        <v>42</v>
      </c>
      <c r="V244">
        <v>0.66874999999999996</v>
      </c>
      <c r="W244">
        <v>67.5</v>
      </c>
      <c r="X244">
        <v>13.6</v>
      </c>
      <c r="Y244">
        <v>40</v>
      </c>
      <c r="Z244">
        <v>0.34444444444444444</v>
      </c>
      <c r="AA244">
        <v>63.5</v>
      </c>
      <c r="AB244">
        <v>17.600000000000001</v>
      </c>
      <c r="AD244">
        <v>25.5</v>
      </c>
      <c r="AE244">
        <v>23.5</v>
      </c>
      <c r="AF244">
        <v>24.024988739845064</v>
      </c>
      <c r="AG244">
        <v>21.508734798790837</v>
      </c>
      <c r="AH244">
        <v>45.533723538635897</v>
      </c>
      <c r="AI244">
        <v>3.267398468618929</v>
      </c>
      <c r="AJ244">
        <v>3.7855373245871875</v>
      </c>
      <c r="AK244">
        <v>7.0529357932061165</v>
      </c>
      <c r="AL244">
        <v>95.699292851273512</v>
      </c>
      <c r="AM244">
        <v>17.8856662463219</v>
      </c>
      <c r="AN244">
        <v>1.8689444522978922</v>
      </c>
      <c r="AO244">
        <v>13.600000000000001</v>
      </c>
      <c r="AP244">
        <v>15.48947734797401</v>
      </c>
      <c r="AQ244">
        <v>14.82332028836932</v>
      </c>
      <c r="AR244">
        <v>82.878211436030057</v>
      </c>
      <c r="AS244">
        <v>-0.18480424512114466</v>
      </c>
      <c r="AT244">
        <v>8.2271992188734924</v>
      </c>
      <c r="AU244">
        <v>45.998841226087265</v>
      </c>
    </row>
    <row r="245" spans="1:48" x14ac:dyDescent="0.35">
      <c r="A245">
        <v>243</v>
      </c>
      <c r="B245">
        <v>46076</v>
      </c>
      <c r="C245" t="s">
        <v>16</v>
      </c>
      <c r="D245" t="s">
        <v>58</v>
      </c>
      <c r="E245" t="s">
        <v>19</v>
      </c>
      <c r="F245" t="s">
        <v>20</v>
      </c>
      <c r="G245" t="s">
        <v>21</v>
      </c>
      <c r="H245" t="s">
        <v>22</v>
      </c>
      <c r="I245" t="s">
        <v>23</v>
      </c>
      <c r="J245" t="s">
        <v>24</v>
      </c>
      <c r="K245" t="s">
        <v>57</v>
      </c>
      <c r="L245">
        <v>27</v>
      </c>
      <c r="M245">
        <v>69</v>
      </c>
      <c r="N245">
        <v>3</v>
      </c>
      <c r="O245">
        <v>1</v>
      </c>
      <c r="P245">
        <v>105</v>
      </c>
      <c r="Q245">
        <v>0.50039999999999996</v>
      </c>
      <c r="R245">
        <v>468.98112343719157</v>
      </c>
      <c r="S245">
        <v>94.98112343719157</v>
      </c>
      <c r="T245">
        <v>0.3298611111111111</v>
      </c>
      <c r="U245">
        <v>41</v>
      </c>
      <c r="V245">
        <v>0.6694444444444444</v>
      </c>
      <c r="W245">
        <v>64</v>
      </c>
      <c r="X245">
        <v>13.8</v>
      </c>
      <c r="Y245">
        <v>40</v>
      </c>
      <c r="Z245">
        <v>0.34513888888888888</v>
      </c>
      <c r="AA245">
        <v>67</v>
      </c>
      <c r="AB245">
        <v>16.8</v>
      </c>
      <c r="AD245">
        <v>23</v>
      </c>
      <c r="AE245">
        <v>27</v>
      </c>
      <c r="AF245">
        <v>21.524988739845064</v>
      </c>
      <c r="AG245">
        <v>25.008734798790837</v>
      </c>
      <c r="AH245">
        <v>46.533723538635897</v>
      </c>
      <c r="AI245">
        <v>2.9704484460986191</v>
      </c>
      <c r="AJ245">
        <v>4.2014674461968609</v>
      </c>
      <c r="AK245">
        <v>7.1719158922954804</v>
      </c>
      <c r="AL245">
        <v>99.223020316014782</v>
      </c>
      <c r="AM245">
        <v>20.252653825610093</v>
      </c>
      <c r="AN245">
        <v>2.0411245052919718</v>
      </c>
      <c r="AO245">
        <v>13.800000000000002</v>
      </c>
      <c r="AP245">
        <v>15.412297462808453</v>
      </c>
      <c r="AQ245">
        <v>15.292547042687062</v>
      </c>
      <c r="AR245">
        <v>75.508855157288949</v>
      </c>
      <c r="AS245">
        <v>-0.30020022760574772</v>
      </c>
      <c r="AT245">
        <v>8.4876281856297737</v>
      </c>
      <c r="AU245">
        <v>41.908720993872471</v>
      </c>
    </row>
    <row r="246" spans="1:48" x14ac:dyDescent="0.35">
      <c r="A246">
        <v>244</v>
      </c>
      <c r="B246">
        <v>46076</v>
      </c>
      <c r="C246" t="s">
        <v>16</v>
      </c>
      <c r="D246" t="s">
        <v>58</v>
      </c>
      <c r="E246" t="s">
        <v>19</v>
      </c>
      <c r="F246" t="s">
        <v>20</v>
      </c>
      <c r="G246" t="s">
        <v>21</v>
      </c>
      <c r="H246" t="s">
        <v>22</v>
      </c>
      <c r="I246" t="s">
        <v>23</v>
      </c>
      <c r="J246" t="s">
        <v>24</v>
      </c>
      <c r="K246" t="s">
        <v>57</v>
      </c>
      <c r="L246">
        <v>27</v>
      </c>
      <c r="M246">
        <v>69</v>
      </c>
      <c r="N246">
        <v>3</v>
      </c>
      <c r="O246">
        <v>2</v>
      </c>
      <c r="P246">
        <v>106</v>
      </c>
      <c r="Q246">
        <v>0.50039999999999996</v>
      </c>
      <c r="R246">
        <v>468.98112343719157</v>
      </c>
      <c r="S246">
        <v>12.081123437191593</v>
      </c>
      <c r="T246">
        <v>0.33055555555555555</v>
      </c>
      <c r="U246">
        <v>41.5</v>
      </c>
      <c r="V246">
        <v>0.67013888888888884</v>
      </c>
      <c r="W246">
        <v>64.5</v>
      </c>
      <c r="X246">
        <v>13.8</v>
      </c>
      <c r="Y246">
        <v>40.5</v>
      </c>
      <c r="Z246">
        <v>0.34583333333333333</v>
      </c>
      <c r="AA246">
        <v>65</v>
      </c>
      <c r="AB246">
        <v>17.399999999999999</v>
      </c>
      <c r="AV246" t="s">
        <v>620</v>
      </c>
    </row>
    <row r="247" spans="1:48" x14ac:dyDescent="0.35">
      <c r="A247">
        <v>245</v>
      </c>
      <c r="B247">
        <v>46076</v>
      </c>
      <c r="D247" t="s">
        <v>541</v>
      </c>
      <c r="E247" t="s">
        <v>538</v>
      </c>
      <c r="F247" t="s">
        <v>542</v>
      </c>
      <c r="G247" t="s">
        <v>541</v>
      </c>
      <c r="K247" t="s">
        <v>541</v>
      </c>
      <c r="L247">
        <v>27</v>
      </c>
      <c r="M247">
        <v>69</v>
      </c>
      <c r="N247">
        <v>3</v>
      </c>
      <c r="O247">
        <v>1</v>
      </c>
      <c r="P247">
        <v>107</v>
      </c>
      <c r="S247">
        <v>0</v>
      </c>
      <c r="T247">
        <v>0.33055555555555555</v>
      </c>
      <c r="U247">
        <v>39.5</v>
      </c>
      <c r="V247">
        <v>0.67013888888888884</v>
      </c>
      <c r="W247">
        <v>41</v>
      </c>
      <c r="AD247">
        <v>1.5</v>
      </c>
    </row>
    <row r="248" spans="1:48" x14ac:dyDescent="0.35">
      <c r="A248">
        <v>246</v>
      </c>
      <c r="B248">
        <v>46076</v>
      </c>
      <c r="D248" t="s">
        <v>541</v>
      </c>
      <c r="E248" t="s">
        <v>538</v>
      </c>
      <c r="F248" t="s">
        <v>542</v>
      </c>
      <c r="G248" t="s">
        <v>541</v>
      </c>
      <c r="K248" t="s">
        <v>541</v>
      </c>
      <c r="L248">
        <v>27</v>
      </c>
      <c r="M248">
        <v>69</v>
      </c>
      <c r="N248">
        <v>3</v>
      </c>
      <c r="O248">
        <v>2</v>
      </c>
      <c r="P248">
        <v>108</v>
      </c>
      <c r="S248">
        <v>0</v>
      </c>
      <c r="T248">
        <v>0.33055555555555555</v>
      </c>
      <c r="U248">
        <v>40</v>
      </c>
      <c r="V248">
        <v>0.67083333333333328</v>
      </c>
      <c r="W248">
        <v>42</v>
      </c>
      <c r="AD248">
        <v>2</v>
      </c>
    </row>
    <row r="249" spans="1:48" x14ac:dyDescent="0.35">
      <c r="A249">
        <v>247</v>
      </c>
      <c r="B249">
        <v>46076</v>
      </c>
      <c r="C249" t="s">
        <v>16</v>
      </c>
      <c r="D249" t="s">
        <v>60</v>
      </c>
      <c r="E249" t="s">
        <v>19</v>
      </c>
      <c r="F249" t="s">
        <v>20</v>
      </c>
      <c r="G249" t="s">
        <v>21</v>
      </c>
      <c r="H249" t="s">
        <v>22</v>
      </c>
      <c r="I249" t="s">
        <v>23</v>
      </c>
      <c r="J249" t="s">
        <v>24</v>
      </c>
      <c r="K249" t="s">
        <v>59</v>
      </c>
      <c r="L249">
        <v>27</v>
      </c>
      <c r="M249">
        <v>69</v>
      </c>
      <c r="N249">
        <v>3</v>
      </c>
      <c r="O249">
        <v>1</v>
      </c>
      <c r="P249">
        <v>109</v>
      </c>
      <c r="Q249">
        <v>0.5</v>
      </c>
      <c r="R249">
        <v>470.85879972016795</v>
      </c>
      <c r="S249">
        <v>135.75879972016799</v>
      </c>
      <c r="T249">
        <v>0.33055555555555555</v>
      </c>
      <c r="U249">
        <v>41.5</v>
      </c>
      <c r="V249">
        <v>0.67083333333333328</v>
      </c>
      <c r="W249">
        <v>72</v>
      </c>
      <c r="X249">
        <v>13.8</v>
      </c>
      <c r="Y249">
        <v>40</v>
      </c>
      <c r="Z249">
        <v>0.34583333333333333</v>
      </c>
      <c r="AA249">
        <v>65.5</v>
      </c>
      <c r="AB249">
        <v>16.8</v>
      </c>
      <c r="AD249">
        <v>30.5</v>
      </c>
      <c r="AE249">
        <v>25.5</v>
      </c>
      <c r="AF249">
        <v>29.024988739845064</v>
      </c>
      <c r="AG249">
        <v>23.508734798790837</v>
      </c>
      <c r="AH249">
        <v>52.533723538635897</v>
      </c>
      <c r="AI249">
        <v>4.0054484460986188</v>
      </c>
      <c r="AJ249">
        <v>3.9494674461968606</v>
      </c>
      <c r="AK249">
        <v>7.9549158922954799</v>
      </c>
      <c r="AL249">
        <v>111.57001540558818</v>
      </c>
      <c r="AM249">
        <v>28.832167902744864</v>
      </c>
      <c r="AN249">
        <v>2.5842219164290583</v>
      </c>
      <c r="AO249">
        <v>13.799999999999999</v>
      </c>
      <c r="AP249">
        <v>15.142493919063325</v>
      </c>
      <c r="AQ249">
        <v>16.894482798289204</v>
      </c>
      <c r="AR249">
        <v>58.595950381798474</v>
      </c>
      <c r="AS249">
        <v>-0.36724181468626504</v>
      </c>
      <c r="AT249">
        <v>9.3767302451404451</v>
      </c>
      <c r="AU249">
        <v>32.521766232666003</v>
      </c>
    </row>
    <row r="250" spans="1:48" x14ac:dyDescent="0.35">
      <c r="A250">
        <v>248</v>
      </c>
      <c r="B250">
        <v>46076</v>
      </c>
      <c r="C250" t="s">
        <v>16</v>
      </c>
      <c r="D250" t="s">
        <v>60</v>
      </c>
      <c r="E250" t="s">
        <v>19</v>
      </c>
      <c r="F250" t="s">
        <v>20</v>
      </c>
      <c r="G250" t="s">
        <v>21</v>
      </c>
      <c r="H250" t="s">
        <v>22</v>
      </c>
      <c r="I250" t="s">
        <v>23</v>
      </c>
      <c r="J250" t="s">
        <v>24</v>
      </c>
      <c r="K250" t="s">
        <v>59</v>
      </c>
      <c r="L250">
        <v>27</v>
      </c>
      <c r="M250">
        <v>69</v>
      </c>
      <c r="N250">
        <v>3</v>
      </c>
      <c r="O250">
        <v>2</v>
      </c>
      <c r="P250">
        <v>110</v>
      </c>
      <c r="Q250">
        <v>0.50060000000000004</v>
      </c>
      <c r="R250">
        <v>471.4238302798322</v>
      </c>
      <c r="S250">
        <v>130.12383027983213</v>
      </c>
      <c r="T250">
        <v>0.33124999999999999</v>
      </c>
      <c r="U250">
        <v>41.5</v>
      </c>
      <c r="V250">
        <v>0.67083333333333328</v>
      </c>
      <c r="W250">
        <v>72.5</v>
      </c>
      <c r="X250">
        <v>13.9</v>
      </c>
      <c r="Y250">
        <v>40.5</v>
      </c>
      <c r="Z250">
        <v>0.34652777777777777</v>
      </c>
      <c r="AA250">
        <v>61</v>
      </c>
      <c r="AB250">
        <v>16.8</v>
      </c>
      <c r="AD250">
        <v>31</v>
      </c>
      <c r="AE250">
        <v>20.5</v>
      </c>
      <c r="AF250">
        <v>29.524988739845064</v>
      </c>
      <c r="AG250">
        <v>18.508734798790837</v>
      </c>
      <c r="AH250">
        <v>48.033723538635897</v>
      </c>
      <c r="AI250">
        <v>4.1039734348384647</v>
      </c>
      <c r="AJ250">
        <v>3.1094674461968608</v>
      </c>
      <c r="AK250">
        <v>7.213440881035325</v>
      </c>
      <c r="AL250">
        <v>101.89074131047552</v>
      </c>
      <c r="AM250">
        <v>27.602302200674071</v>
      </c>
      <c r="AN250">
        <v>2.7090098516965297</v>
      </c>
      <c r="AO250">
        <v>13.900000000000002</v>
      </c>
      <c r="AP250">
        <v>15.017450969074254</v>
      </c>
      <c r="AQ250">
        <v>15.301392118326948</v>
      </c>
      <c r="AR250">
        <v>55.435202495367477</v>
      </c>
      <c r="AS250">
        <v>-0.30354872341637651</v>
      </c>
      <c r="AT250">
        <v>8.4925373556389019</v>
      </c>
      <c r="AU250">
        <v>30.767496471477319</v>
      </c>
    </row>
    <row r="251" spans="1:48" x14ac:dyDescent="0.35">
      <c r="A251">
        <v>249</v>
      </c>
      <c r="B251">
        <v>46076</v>
      </c>
      <c r="C251" t="s">
        <v>16</v>
      </c>
      <c r="D251" t="s">
        <v>62</v>
      </c>
      <c r="E251" t="s">
        <v>19</v>
      </c>
      <c r="F251" t="s">
        <v>20</v>
      </c>
      <c r="G251" t="s">
        <v>21</v>
      </c>
      <c r="H251" t="s">
        <v>22</v>
      </c>
      <c r="I251" t="s">
        <v>23</v>
      </c>
      <c r="J251" t="s">
        <v>24</v>
      </c>
      <c r="K251" t="s">
        <v>61</v>
      </c>
      <c r="L251">
        <v>27</v>
      </c>
      <c r="M251">
        <v>69</v>
      </c>
      <c r="N251">
        <v>3</v>
      </c>
      <c r="O251">
        <v>1</v>
      </c>
      <c r="P251">
        <v>111</v>
      </c>
      <c r="Q251">
        <v>0.50009999999999999</v>
      </c>
      <c r="R251">
        <v>470.38688287027776</v>
      </c>
      <c r="S251">
        <v>46.686882870277884</v>
      </c>
      <c r="T251">
        <v>0.33124999999999999</v>
      </c>
      <c r="U251">
        <v>42</v>
      </c>
      <c r="V251">
        <v>0.67152777777777772</v>
      </c>
      <c r="W251">
        <v>67.5</v>
      </c>
      <c r="X251">
        <v>13.3</v>
      </c>
      <c r="Y251">
        <v>41.5</v>
      </c>
      <c r="Z251">
        <v>0.34652777777777777</v>
      </c>
      <c r="AA251">
        <v>63.5</v>
      </c>
      <c r="AB251">
        <v>16</v>
      </c>
      <c r="AV251" t="s">
        <v>621</v>
      </c>
    </row>
    <row r="252" spans="1:48" x14ac:dyDescent="0.35">
      <c r="A252">
        <v>250</v>
      </c>
      <c r="B252">
        <v>46076</v>
      </c>
      <c r="C252" t="s">
        <v>16</v>
      </c>
      <c r="D252" t="s">
        <v>62</v>
      </c>
      <c r="E252" t="s">
        <v>19</v>
      </c>
      <c r="F252" t="s">
        <v>20</v>
      </c>
      <c r="G252" t="s">
        <v>21</v>
      </c>
      <c r="H252" t="s">
        <v>22</v>
      </c>
      <c r="I252" t="s">
        <v>23</v>
      </c>
      <c r="J252" t="s">
        <v>24</v>
      </c>
      <c r="K252" t="s">
        <v>61</v>
      </c>
      <c r="L252">
        <v>27</v>
      </c>
      <c r="M252">
        <v>69</v>
      </c>
      <c r="N252">
        <v>3</v>
      </c>
      <c r="O252">
        <v>2</v>
      </c>
      <c r="P252">
        <v>112</v>
      </c>
      <c r="Q252">
        <v>0.50060000000000004</v>
      </c>
      <c r="R252">
        <v>470.85717569458325</v>
      </c>
      <c r="S252">
        <v>101.35717569458319</v>
      </c>
      <c r="T252">
        <v>0.33263888888888887</v>
      </c>
      <c r="U252">
        <v>41.5</v>
      </c>
      <c r="V252">
        <v>0.67152777777777772</v>
      </c>
      <c r="W252">
        <v>66.5</v>
      </c>
      <c r="X252">
        <v>13.3</v>
      </c>
      <c r="Y252">
        <v>40</v>
      </c>
      <c r="Z252">
        <v>0.34652777777777777</v>
      </c>
      <c r="AA252">
        <v>60.5</v>
      </c>
      <c r="AB252">
        <v>17.3</v>
      </c>
      <c r="AC252" t="s">
        <v>550</v>
      </c>
      <c r="AD252">
        <v>25</v>
      </c>
      <c r="AE252">
        <v>20.5</v>
      </c>
      <c r="AF252">
        <v>23.524988739845064</v>
      </c>
      <c r="AG252">
        <v>18.508734798790837</v>
      </c>
      <c r="AH252">
        <v>42.033723538635897</v>
      </c>
      <c r="AI252">
        <v>3.1288235023993938</v>
      </c>
      <c r="AJ252">
        <v>3.2020111201908148</v>
      </c>
      <c r="AK252">
        <v>6.3308346225902081</v>
      </c>
      <c r="AL252">
        <v>89.270644493481498</v>
      </c>
      <c r="AM252">
        <v>21.526097705756854</v>
      </c>
      <c r="AN252">
        <v>2.4113299313447523</v>
      </c>
      <c r="AO252">
        <v>13.3</v>
      </c>
      <c r="AP252">
        <v>15.061322408829975</v>
      </c>
      <c r="AQ252">
        <v>13.445339583603669</v>
      </c>
      <c r="AR252">
        <v>62.460645526141526</v>
      </c>
      <c r="AS252">
        <v>-0.23208664487605846</v>
      </c>
      <c r="AT252">
        <v>7.4623960872319328</v>
      </c>
      <c r="AU252">
        <v>34.666738901014192</v>
      </c>
    </row>
    <row r="253" spans="1:48" x14ac:dyDescent="0.35">
      <c r="A253">
        <v>251</v>
      </c>
      <c r="B253">
        <v>46076</v>
      </c>
      <c r="C253" t="s">
        <v>16</v>
      </c>
      <c r="D253" t="s">
        <v>64</v>
      </c>
      <c r="E253" t="s">
        <v>19</v>
      </c>
      <c r="F253" t="s">
        <v>20</v>
      </c>
      <c r="G253" t="s">
        <v>21</v>
      </c>
      <c r="H253" t="s">
        <v>22</v>
      </c>
      <c r="I253" t="s">
        <v>23</v>
      </c>
      <c r="J253" t="s">
        <v>24</v>
      </c>
      <c r="K253" t="s">
        <v>63</v>
      </c>
      <c r="L253">
        <v>27</v>
      </c>
      <c r="M253">
        <v>69</v>
      </c>
      <c r="N253">
        <v>3</v>
      </c>
      <c r="O253">
        <v>1</v>
      </c>
      <c r="P253">
        <v>113</v>
      </c>
      <c r="Q253">
        <v>0.5</v>
      </c>
      <c r="R253">
        <v>476.43554724907716</v>
      </c>
      <c r="S253">
        <v>130.23554724907711</v>
      </c>
      <c r="T253">
        <v>0.33194444444444443</v>
      </c>
      <c r="U253">
        <v>41.5</v>
      </c>
      <c r="V253">
        <v>0.67222222222222228</v>
      </c>
      <c r="W253">
        <v>70</v>
      </c>
      <c r="X253">
        <v>14</v>
      </c>
      <c r="Y253">
        <v>40.5</v>
      </c>
      <c r="Z253">
        <v>0.34722222222222221</v>
      </c>
      <c r="AA253">
        <v>70.5</v>
      </c>
      <c r="AB253">
        <v>17.899999999999999</v>
      </c>
      <c r="AD253">
        <v>28.5</v>
      </c>
      <c r="AE253">
        <v>30</v>
      </c>
      <c r="AV253" t="s">
        <v>622</v>
      </c>
    </row>
    <row r="254" spans="1:48" x14ac:dyDescent="0.35">
      <c r="A254">
        <v>252</v>
      </c>
      <c r="B254">
        <v>46076</v>
      </c>
      <c r="C254" t="s">
        <v>16</v>
      </c>
      <c r="D254" t="s">
        <v>64</v>
      </c>
      <c r="E254" t="s">
        <v>19</v>
      </c>
      <c r="F254" t="s">
        <v>20</v>
      </c>
      <c r="G254" t="s">
        <v>21</v>
      </c>
      <c r="H254" t="s">
        <v>22</v>
      </c>
      <c r="I254" t="s">
        <v>23</v>
      </c>
      <c r="J254" t="s">
        <v>24</v>
      </c>
      <c r="K254" t="s">
        <v>63</v>
      </c>
      <c r="L254">
        <v>27</v>
      </c>
      <c r="M254">
        <v>69</v>
      </c>
      <c r="N254">
        <v>3</v>
      </c>
      <c r="O254">
        <v>2</v>
      </c>
      <c r="P254">
        <v>114</v>
      </c>
      <c r="Q254">
        <v>0.50029999999999997</v>
      </c>
      <c r="R254">
        <v>476.72140857742659</v>
      </c>
      <c r="S254">
        <v>165.8214085774265</v>
      </c>
      <c r="T254">
        <v>0.33263888888888887</v>
      </c>
      <c r="U254">
        <v>42</v>
      </c>
      <c r="V254">
        <v>0.67291666666666672</v>
      </c>
      <c r="W254">
        <v>70.5</v>
      </c>
      <c r="X254">
        <v>13.5</v>
      </c>
      <c r="Y254">
        <v>40.5</v>
      </c>
      <c r="Z254">
        <v>0.34722222222222221</v>
      </c>
      <c r="AA254">
        <v>71.5</v>
      </c>
      <c r="AB254">
        <v>17.600000000000001</v>
      </c>
      <c r="AD254">
        <v>28.5</v>
      </c>
      <c r="AE254">
        <v>31</v>
      </c>
      <c r="AV254" t="s">
        <v>623</v>
      </c>
    </row>
    <row r="255" spans="1:48" x14ac:dyDescent="0.35">
      <c r="A255">
        <v>253</v>
      </c>
      <c r="B255">
        <v>46076</v>
      </c>
      <c r="C255" t="s">
        <v>16</v>
      </c>
      <c r="D255" t="s">
        <v>66</v>
      </c>
      <c r="E255" t="s">
        <v>19</v>
      </c>
      <c r="F255" t="s">
        <v>67</v>
      </c>
      <c r="G255" t="s">
        <v>68</v>
      </c>
      <c r="H255" t="s">
        <v>22</v>
      </c>
      <c r="I255" t="s">
        <v>23</v>
      </c>
      <c r="J255" t="s">
        <v>24</v>
      </c>
      <c r="K255" t="s">
        <v>65</v>
      </c>
      <c r="L255">
        <v>27</v>
      </c>
      <c r="M255">
        <v>69</v>
      </c>
      <c r="N255">
        <v>3</v>
      </c>
      <c r="O255">
        <v>1</v>
      </c>
      <c r="P255">
        <v>115</v>
      </c>
      <c r="Q255">
        <v>0.50029999999999997</v>
      </c>
      <c r="R255">
        <v>473.64182500000027</v>
      </c>
      <c r="S255">
        <v>150.04182500000024</v>
      </c>
      <c r="T255">
        <v>0.33263888888888887</v>
      </c>
      <c r="U255">
        <v>42</v>
      </c>
      <c r="V255">
        <v>0.67291666666666672</v>
      </c>
      <c r="W255">
        <v>67.5</v>
      </c>
      <c r="X255">
        <v>13.8</v>
      </c>
      <c r="Y255">
        <v>41.5</v>
      </c>
      <c r="Z255">
        <v>0.34791666666666665</v>
      </c>
      <c r="AA255">
        <v>70</v>
      </c>
      <c r="AB255">
        <v>16.7</v>
      </c>
      <c r="AD255">
        <v>25.5</v>
      </c>
      <c r="AE255">
        <v>28.5</v>
      </c>
      <c r="AF255">
        <v>24.024988739845064</v>
      </c>
      <c r="AG255">
        <v>26.508734798790837</v>
      </c>
      <c r="AH255">
        <v>50.533723538635897</v>
      </c>
      <c r="AI255">
        <v>3.3154484460986189</v>
      </c>
      <c r="AJ255">
        <v>4.4269587113980693</v>
      </c>
      <c r="AK255">
        <v>7.7424071574966877</v>
      </c>
      <c r="AL255">
        <v>106.69185209442993</v>
      </c>
      <c r="AM255">
        <v>31.678330983544399</v>
      </c>
      <c r="AN255">
        <v>2.9691424754260343</v>
      </c>
      <c r="AO255">
        <v>13.8</v>
      </c>
      <c r="AP255">
        <v>15.321267888714312</v>
      </c>
      <c r="AQ255">
        <v>16.346544474818462</v>
      </c>
      <c r="AR255">
        <v>51.601659453933429</v>
      </c>
      <c r="AS255">
        <v>-0.54027101577754377</v>
      </c>
      <c r="AT255">
        <v>9.0726149957123923</v>
      </c>
      <c r="AU255">
        <v>28.639813759207343</v>
      </c>
    </row>
    <row r="256" spans="1:48" x14ac:dyDescent="0.35">
      <c r="A256">
        <v>254</v>
      </c>
      <c r="B256">
        <v>46076</v>
      </c>
      <c r="C256" t="s">
        <v>16</v>
      </c>
      <c r="D256" t="s">
        <v>66</v>
      </c>
      <c r="E256" t="s">
        <v>19</v>
      </c>
      <c r="F256" t="s">
        <v>67</v>
      </c>
      <c r="G256" t="s">
        <v>68</v>
      </c>
      <c r="H256" t="s">
        <v>22</v>
      </c>
      <c r="I256" t="s">
        <v>23</v>
      </c>
      <c r="J256" t="s">
        <v>24</v>
      </c>
      <c r="K256" t="s">
        <v>65</v>
      </c>
      <c r="L256">
        <v>27</v>
      </c>
      <c r="M256">
        <v>69</v>
      </c>
      <c r="N256">
        <v>3</v>
      </c>
      <c r="O256">
        <v>2</v>
      </c>
      <c r="P256">
        <v>116</v>
      </c>
      <c r="Q256">
        <v>0.5</v>
      </c>
      <c r="R256">
        <v>473.35781031381202</v>
      </c>
      <c r="S256">
        <v>169.95781031381205</v>
      </c>
      <c r="T256">
        <v>0.33263888888888887</v>
      </c>
      <c r="U256">
        <v>42</v>
      </c>
      <c r="V256">
        <v>0.67361111111111116</v>
      </c>
      <c r="W256">
        <v>67</v>
      </c>
      <c r="X256">
        <v>13.7</v>
      </c>
      <c r="Y256">
        <v>40</v>
      </c>
      <c r="Z256">
        <v>0.34791666666666665</v>
      </c>
      <c r="AA256">
        <v>68</v>
      </c>
      <c r="AB256">
        <v>17.7</v>
      </c>
      <c r="AD256">
        <v>25</v>
      </c>
      <c r="AE256">
        <v>28</v>
      </c>
      <c r="AF256">
        <v>23.524988739845064</v>
      </c>
      <c r="AG256">
        <v>26.008734798790837</v>
      </c>
      <c r="AH256">
        <v>49.533723538635897</v>
      </c>
      <c r="AI256">
        <v>3.2229234573587733</v>
      </c>
      <c r="AJ256">
        <v>4.6035460593859776</v>
      </c>
      <c r="AK256">
        <v>7.8264695167447513</v>
      </c>
      <c r="AL256">
        <v>104.64330039425687</v>
      </c>
      <c r="AM256">
        <v>35.904722941222559</v>
      </c>
      <c r="AN256">
        <v>3.4311535287922852</v>
      </c>
      <c r="AO256">
        <v>13.699999999999998</v>
      </c>
      <c r="AP256">
        <v>15.800285053555825</v>
      </c>
      <c r="AQ256">
        <v>16.533939751741293</v>
      </c>
      <c r="AR256">
        <v>46.04948429433086</v>
      </c>
      <c r="AS256">
        <v>-1.0783104864757656</v>
      </c>
      <c r="AT256">
        <v>9.176622616537383</v>
      </c>
      <c r="AU256">
        <v>25.558260487234154</v>
      </c>
    </row>
    <row r="257" spans="1:48" x14ac:dyDescent="0.35">
      <c r="A257">
        <v>255</v>
      </c>
      <c r="B257">
        <v>46076</v>
      </c>
      <c r="C257" t="s">
        <v>16</v>
      </c>
      <c r="D257" t="s">
        <v>70</v>
      </c>
      <c r="E257" t="s">
        <v>19</v>
      </c>
      <c r="F257" t="s">
        <v>20</v>
      </c>
      <c r="G257" t="s">
        <v>21</v>
      </c>
      <c r="H257" t="s">
        <v>22</v>
      </c>
      <c r="I257" t="s">
        <v>23</v>
      </c>
      <c r="J257" t="s">
        <v>24</v>
      </c>
      <c r="K257" t="s">
        <v>69</v>
      </c>
      <c r="L257">
        <v>27</v>
      </c>
      <c r="M257">
        <v>69</v>
      </c>
      <c r="N257">
        <v>3</v>
      </c>
      <c r="O257">
        <v>1</v>
      </c>
      <c r="P257">
        <v>117</v>
      </c>
      <c r="Q257">
        <v>0.50039999999999996</v>
      </c>
      <c r="R257">
        <v>473.53798255593136</v>
      </c>
      <c r="S257">
        <v>139.33798255593132</v>
      </c>
      <c r="T257">
        <v>0.33333333333333331</v>
      </c>
      <c r="U257">
        <v>42</v>
      </c>
      <c r="V257">
        <v>0.6743055555555556</v>
      </c>
      <c r="W257">
        <v>69.5</v>
      </c>
      <c r="X257">
        <v>13.4</v>
      </c>
      <c r="Y257">
        <v>41</v>
      </c>
      <c r="Z257">
        <v>0.34861111111111109</v>
      </c>
      <c r="AA257">
        <v>73.5</v>
      </c>
      <c r="AB257">
        <v>17</v>
      </c>
      <c r="AD257">
        <v>27.5</v>
      </c>
      <c r="AE257">
        <v>32.5</v>
      </c>
      <c r="AF257">
        <v>26.024988739845064</v>
      </c>
      <c r="AG257">
        <v>30.508734798790837</v>
      </c>
      <c r="AH257">
        <v>56.533723538635897</v>
      </c>
      <c r="AI257">
        <v>3.4873484911392389</v>
      </c>
      <c r="AJ257">
        <v>5.1864849157944422</v>
      </c>
      <c r="AK257">
        <v>8.6738334069336815</v>
      </c>
      <c r="AL257">
        <v>119.38582673663032</v>
      </c>
      <c r="AM257">
        <v>29.424879880564507</v>
      </c>
      <c r="AN257">
        <v>2.4646878683075935</v>
      </c>
      <c r="AO257">
        <v>13.400000000000002</v>
      </c>
      <c r="AP257">
        <v>15.342759797178173</v>
      </c>
      <c r="AQ257">
        <v>18.317080628076507</v>
      </c>
      <c r="AR257">
        <v>62.250315727457433</v>
      </c>
      <c r="AS257">
        <v>-0.49717346046131122</v>
      </c>
      <c r="AT257">
        <v>10.166296653091598</v>
      </c>
      <c r="AU257">
        <v>34.55000222382067</v>
      </c>
    </row>
    <row r="258" spans="1:48" x14ac:dyDescent="0.35">
      <c r="A258">
        <v>256</v>
      </c>
      <c r="B258">
        <v>46076</v>
      </c>
      <c r="C258" t="s">
        <v>16</v>
      </c>
      <c r="D258" t="s">
        <v>70</v>
      </c>
      <c r="E258" t="s">
        <v>19</v>
      </c>
      <c r="F258" t="s">
        <v>20</v>
      </c>
      <c r="G258" t="s">
        <v>21</v>
      </c>
      <c r="H258" t="s">
        <v>22</v>
      </c>
      <c r="I258" t="s">
        <v>23</v>
      </c>
      <c r="J258" t="s">
        <v>24</v>
      </c>
      <c r="K258" t="s">
        <v>69</v>
      </c>
      <c r="L258">
        <v>27</v>
      </c>
      <c r="M258">
        <v>69</v>
      </c>
      <c r="N258">
        <v>3</v>
      </c>
      <c r="O258">
        <v>2</v>
      </c>
      <c r="P258">
        <v>118</v>
      </c>
      <c r="Q258">
        <v>0.50049999999999994</v>
      </c>
      <c r="R258">
        <v>473.63261444692972</v>
      </c>
      <c r="S258">
        <v>169.73261444692969</v>
      </c>
      <c r="T258">
        <v>0.33333333333333331</v>
      </c>
      <c r="U258">
        <v>40.5</v>
      </c>
      <c r="V258">
        <v>0.6743055555555556</v>
      </c>
      <c r="W258">
        <v>66.5</v>
      </c>
      <c r="X258">
        <v>13.6</v>
      </c>
      <c r="Y258">
        <v>40</v>
      </c>
      <c r="Z258">
        <v>0.34861111111111109</v>
      </c>
      <c r="AA258">
        <v>64.5</v>
      </c>
      <c r="AB258">
        <v>18.3</v>
      </c>
      <c r="AC258" t="s">
        <v>551</v>
      </c>
      <c r="AD258">
        <v>26</v>
      </c>
      <c r="AE258">
        <v>24.5</v>
      </c>
      <c r="AF258">
        <v>24.524988739845064</v>
      </c>
      <c r="AG258">
        <v>22.508734798790837</v>
      </c>
      <c r="AH258">
        <v>47.033723538635897</v>
      </c>
      <c r="AI258">
        <v>3.3353984686189291</v>
      </c>
      <c r="AJ258">
        <v>4.1190984681787226</v>
      </c>
      <c r="AK258">
        <v>7.4544969367976517</v>
      </c>
      <c r="AL258">
        <v>99.304233078539397</v>
      </c>
      <c r="AM258">
        <v>35.836344303512512</v>
      </c>
      <c r="AN258">
        <v>3.6087428695179251</v>
      </c>
      <c r="AO258">
        <v>13.600000000000001</v>
      </c>
      <c r="AP258">
        <v>15.849259586420258</v>
      </c>
      <c r="AQ258">
        <v>15.738985680921525</v>
      </c>
      <c r="AR258">
        <v>43.919060347287882</v>
      </c>
      <c r="AS258">
        <v>-1.1000071864261951</v>
      </c>
      <c r="AT258">
        <v>8.7354093537017743</v>
      </c>
      <c r="AU258">
        <v>24.375838338079507</v>
      </c>
    </row>
    <row r="259" spans="1:48" x14ac:dyDescent="0.35">
      <c r="A259">
        <v>257</v>
      </c>
      <c r="B259">
        <v>46076</v>
      </c>
      <c r="C259" t="s">
        <v>16</v>
      </c>
      <c r="D259" t="s">
        <v>72</v>
      </c>
      <c r="E259" t="s">
        <v>19</v>
      </c>
      <c r="F259" t="s">
        <v>73</v>
      </c>
      <c r="G259" t="s">
        <v>74</v>
      </c>
      <c r="H259" t="s">
        <v>22</v>
      </c>
      <c r="I259" t="s">
        <v>23</v>
      </c>
      <c r="J259" t="s">
        <v>24</v>
      </c>
      <c r="K259" t="s">
        <v>71</v>
      </c>
      <c r="L259">
        <v>27</v>
      </c>
      <c r="M259">
        <v>69</v>
      </c>
      <c r="N259">
        <v>3</v>
      </c>
      <c r="O259">
        <v>1</v>
      </c>
      <c r="P259">
        <v>119</v>
      </c>
      <c r="Q259">
        <v>0.50049999999999994</v>
      </c>
      <c r="R259">
        <v>469.19996717962931</v>
      </c>
      <c r="S259">
        <v>140.49996717962921</v>
      </c>
      <c r="T259">
        <v>0.33333333333333331</v>
      </c>
      <c r="U259">
        <v>41.5</v>
      </c>
      <c r="V259">
        <v>0.67500000000000004</v>
      </c>
      <c r="W259">
        <v>72.5</v>
      </c>
      <c r="X259">
        <v>14.3</v>
      </c>
      <c r="Y259">
        <v>41</v>
      </c>
      <c r="Z259">
        <v>0.34930555555555554</v>
      </c>
      <c r="AA259">
        <v>73</v>
      </c>
      <c r="AB259">
        <v>19</v>
      </c>
      <c r="AD259">
        <v>31</v>
      </c>
      <c r="AE259">
        <v>32</v>
      </c>
      <c r="AF259">
        <v>29.524988739845064</v>
      </c>
      <c r="AG259">
        <v>30.008734798790837</v>
      </c>
      <c r="AH259">
        <v>59.533723538635897</v>
      </c>
      <c r="AI259">
        <v>4.2220733897978446</v>
      </c>
      <c r="AJ259">
        <v>5.7016596117702587</v>
      </c>
      <c r="AK259">
        <v>9.9237330015681025</v>
      </c>
      <c r="AL259">
        <v>126.88347762787438</v>
      </c>
      <c r="AM259">
        <v>29.944581629913024</v>
      </c>
      <c r="AN259">
        <v>2.3600063766958614</v>
      </c>
      <c r="AO259">
        <v>14.3</v>
      </c>
      <c r="AP259">
        <v>16.669095114011888</v>
      </c>
      <c r="AQ259">
        <v>21.150327569756382</v>
      </c>
      <c r="AR259">
        <v>70.631568111902894</v>
      </c>
      <c r="AS259">
        <v>-0.49526631504657576</v>
      </c>
      <c r="AT259">
        <v>11.738797723837106</v>
      </c>
      <c r="AU259">
        <v>39.201742301554418</v>
      </c>
    </row>
    <row r="260" spans="1:48" x14ac:dyDescent="0.35">
      <c r="A260">
        <v>258</v>
      </c>
      <c r="B260">
        <v>46076</v>
      </c>
      <c r="C260" t="s">
        <v>16</v>
      </c>
      <c r="D260" t="s">
        <v>72</v>
      </c>
      <c r="E260" t="s">
        <v>19</v>
      </c>
      <c r="F260" t="s">
        <v>73</v>
      </c>
      <c r="G260" t="s">
        <v>74</v>
      </c>
      <c r="H260" t="s">
        <v>22</v>
      </c>
      <c r="I260" t="s">
        <v>23</v>
      </c>
      <c r="J260" t="s">
        <v>24</v>
      </c>
      <c r="K260" t="s">
        <v>71</v>
      </c>
      <c r="L260">
        <v>27</v>
      </c>
      <c r="M260">
        <v>69</v>
      </c>
      <c r="N260">
        <v>3</v>
      </c>
      <c r="O260">
        <v>2</v>
      </c>
      <c r="P260">
        <v>120</v>
      </c>
      <c r="Q260">
        <v>0.50049999999999994</v>
      </c>
      <c r="R260">
        <v>469.19996717962931</v>
      </c>
      <c r="S260">
        <v>149.29996717962933</v>
      </c>
      <c r="T260">
        <v>0.33402777777777776</v>
      </c>
      <c r="U260">
        <v>40</v>
      </c>
      <c r="V260">
        <v>0.67569444444444449</v>
      </c>
      <c r="W260">
        <v>73</v>
      </c>
      <c r="X260">
        <v>13.6</v>
      </c>
      <c r="Y260">
        <v>40</v>
      </c>
      <c r="Z260">
        <v>0.34930555555555554</v>
      </c>
      <c r="AA260">
        <v>72</v>
      </c>
      <c r="AB260">
        <v>19</v>
      </c>
      <c r="AD260">
        <v>33</v>
      </c>
      <c r="AE260">
        <v>32</v>
      </c>
      <c r="AF260">
        <v>31.524988739845064</v>
      </c>
      <c r="AG260">
        <v>30.008734798790837</v>
      </c>
      <c r="AH260">
        <v>61.533723538635897</v>
      </c>
      <c r="AI260">
        <v>4.287398468618929</v>
      </c>
      <c r="AJ260">
        <v>5.7016596117702587</v>
      </c>
      <c r="AK260">
        <v>9.9890580803891886</v>
      </c>
      <c r="AL260">
        <v>131.14605252109538</v>
      </c>
      <c r="AM260">
        <v>31.820114582930287</v>
      </c>
      <c r="AN260">
        <v>2.4263112744328987</v>
      </c>
      <c r="AO260">
        <v>13.600000000000001</v>
      </c>
      <c r="AP260">
        <v>16.233469235966588</v>
      </c>
      <c r="AQ260">
        <v>21.289554090196603</v>
      </c>
      <c r="AR260">
        <v>66.905963002462798</v>
      </c>
      <c r="AS260">
        <v>-0.59375573222912437</v>
      </c>
      <c r="AT260">
        <v>11.816070851444756</v>
      </c>
      <c r="AU260">
        <v>37.13396700897934</v>
      </c>
    </row>
    <row r="261" spans="1:48" x14ac:dyDescent="0.35">
      <c r="A261">
        <v>259</v>
      </c>
      <c r="B261">
        <v>46076</v>
      </c>
      <c r="C261" t="s">
        <v>16</v>
      </c>
      <c r="D261" t="s">
        <v>76</v>
      </c>
      <c r="E261" t="s">
        <v>19</v>
      </c>
      <c r="F261" t="s">
        <v>20</v>
      </c>
      <c r="G261" t="s">
        <v>21</v>
      </c>
      <c r="H261" t="s">
        <v>22</v>
      </c>
      <c r="I261" t="s">
        <v>23</v>
      </c>
      <c r="J261" t="s">
        <v>24</v>
      </c>
      <c r="K261" t="s">
        <v>75</v>
      </c>
      <c r="L261">
        <v>27</v>
      </c>
      <c r="M261">
        <v>69</v>
      </c>
      <c r="N261">
        <v>3</v>
      </c>
      <c r="O261">
        <v>1</v>
      </c>
      <c r="P261">
        <v>121</v>
      </c>
      <c r="Q261">
        <v>0.50019999999999998</v>
      </c>
      <c r="R261">
        <v>467.24177049485172</v>
      </c>
      <c r="S261">
        <v>49.741770494851721</v>
      </c>
      <c r="T261">
        <v>0.33402777777777776</v>
      </c>
      <c r="U261">
        <v>42.5</v>
      </c>
      <c r="V261">
        <v>0.67569444444444449</v>
      </c>
      <c r="W261">
        <v>66.5</v>
      </c>
      <c r="X261">
        <v>13.5</v>
      </c>
      <c r="Y261">
        <v>41</v>
      </c>
      <c r="Z261">
        <v>0.35</v>
      </c>
      <c r="AA261">
        <v>65</v>
      </c>
      <c r="AB261">
        <v>16.899999999999999</v>
      </c>
      <c r="AD261">
        <v>24</v>
      </c>
      <c r="AE261">
        <v>24</v>
      </c>
      <c r="AF261">
        <v>22.524988739845064</v>
      </c>
      <c r="AG261">
        <v>22.008734798790837</v>
      </c>
      <c r="AH261">
        <v>44.533723538635897</v>
      </c>
      <c r="AI261">
        <v>3.040873479879084</v>
      </c>
      <c r="AJ261">
        <v>3.7194761809956511</v>
      </c>
      <c r="AK261">
        <v>6.7603496608747351</v>
      </c>
      <c r="AL261">
        <v>95.311948440462885</v>
      </c>
      <c r="AM261">
        <v>10.645831266791632</v>
      </c>
      <c r="AN261">
        <v>1.1169461374972947</v>
      </c>
      <c r="AO261">
        <v>13.500000000000002</v>
      </c>
      <c r="AP261">
        <v>15.180292874027687</v>
      </c>
      <c r="AQ261">
        <v>14.468632917204529</v>
      </c>
      <c r="AR261">
        <v>135.90890701356182</v>
      </c>
      <c r="AS261">
        <v>-0.16440295191358048</v>
      </c>
      <c r="AT261">
        <v>8.0303415914173222</v>
      </c>
      <c r="AU261">
        <v>75.431794757700047</v>
      </c>
    </row>
    <row r="262" spans="1:48" x14ac:dyDescent="0.35">
      <c r="A262">
        <v>260</v>
      </c>
      <c r="B262">
        <v>46076</v>
      </c>
      <c r="C262" t="s">
        <v>16</v>
      </c>
      <c r="D262" t="s">
        <v>76</v>
      </c>
      <c r="E262" t="s">
        <v>19</v>
      </c>
      <c r="F262" t="s">
        <v>20</v>
      </c>
      <c r="G262" t="s">
        <v>21</v>
      </c>
      <c r="H262" t="s">
        <v>22</v>
      </c>
      <c r="I262" t="s">
        <v>23</v>
      </c>
      <c r="J262" t="s">
        <v>24</v>
      </c>
      <c r="K262" t="s">
        <v>75</v>
      </c>
      <c r="L262">
        <v>27</v>
      </c>
      <c r="M262">
        <v>69</v>
      </c>
      <c r="N262">
        <v>3</v>
      </c>
      <c r="O262">
        <v>2</v>
      </c>
      <c r="P262">
        <v>122</v>
      </c>
      <c r="Q262">
        <v>0.50039999999999996</v>
      </c>
      <c r="R262">
        <v>467.42859247425787</v>
      </c>
      <c r="S262">
        <v>92.628592474257857</v>
      </c>
      <c r="T262">
        <v>0.33402777777777776</v>
      </c>
      <c r="U262">
        <v>41.5</v>
      </c>
      <c r="V262">
        <v>0.67569444444444449</v>
      </c>
      <c r="W262">
        <v>66.5</v>
      </c>
      <c r="X262">
        <v>13.5</v>
      </c>
      <c r="Y262">
        <v>40</v>
      </c>
      <c r="Z262">
        <v>0.35</v>
      </c>
      <c r="AA262">
        <v>63</v>
      </c>
      <c r="AB262">
        <v>16.8</v>
      </c>
      <c r="AD262">
        <v>25</v>
      </c>
      <c r="AE262">
        <v>23</v>
      </c>
      <c r="AF262">
        <v>23.524988739845064</v>
      </c>
      <c r="AG262">
        <v>21.008734798790837</v>
      </c>
      <c r="AH262">
        <v>44.533723538635897</v>
      </c>
      <c r="AI262">
        <v>3.1758734798790837</v>
      </c>
      <c r="AJ262">
        <v>3.5294674461968607</v>
      </c>
      <c r="AK262">
        <v>6.7053409260759445</v>
      </c>
      <c r="AL262">
        <v>95.273854136529849</v>
      </c>
      <c r="AM262">
        <v>19.816629527077779</v>
      </c>
      <c r="AN262">
        <v>2.0799651390905263</v>
      </c>
      <c r="AO262">
        <v>13.5</v>
      </c>
      <c r="AP262">
        <v>15.056771348253928</v>
      </c>
      <c r="AQ262">
        <v>14.345166372006263</v>
      </c>
      <c r="AR262">
        <v>72.389537042133142</v>
      </c>
      <c r="AS262">
        <v>-0.25173220850555833</v>
      </c>
      <c r="AT262">
        <v>7.9618155227328886</v>
      </c>
      <c r="AU262">
        <v>40.177445472519572</v>
      </c>
    </row>
    <row r="263" spans="1:48" x14ac:dyDescent="0.35">
      <c r="A263">
        <v>261</v>
      </c>
      <c r="B263">
        <v>46076</v>
      </c>
      <c r="C263" t="s">
        <v>16</v>
      </c>
      <c r="D263" t="s">
        <v>78</v>
      </c>
      <c r="E263" t="s">
        <v>79</v>
      </c>
      <c r="F263" t="s">
        <v>80</v>
      </c>
      <c r="G263" t="s">
        <v>81</v>
      </c>
      <c r="H263" t="s">
        <v>22</v>
      </c>
      <c r="I263" t="s">
        <v>23</v>
      </c>
      <c r="J263" t="s">
        <v>24</v>
      </c>
      <c r="K263" t="s">
        <v>77</v>
      </c>
      <c r="L263">
        <v>27</v>
      </c>
      <c r="M263">
        <v>69</v>
      </c>
      <c r="N263">
        <v>3</v>
      </c>
      <c r="O263">
        <v>1</v>
      </c>
      <c r="P263">
        <v>123</v>
      </c>
      <c r="Q263">
        <v>0.5</v>
      </c>
      <c r="R263">
        <v>473.13308729697542</v>
      </c>
      <c r="S263">
        <v>148.83308729697552</v>
      </c>
      <c r="T263">
        <v>0.33402777777777776</v>
      </c>
      <c r="U263">
        <v>41</v>
      </c>
      <c r="V263">
        <v>0.67638888888888893</v>
      </c>
      <c r="W263">
        <v>55.5</v>
      </c>
      <c r="X263">
        <v>10</v>
      </c>
      <c r="Y263">
        <v>40.5</v>
      </c>
      <c r="Z263">
        <v>0.35069444444444442</v>
      </c>
      <c r="AA263">
        <v>56</v>
      </c>
      <c r="AB263">
        <v>9.1999999999999993</v>
      </c>
      <c r="AD263">
        <v>14.5</v>
      </c>
      <c r="AE263">
        <v>15.5</v>
      </c>
      <c r="AF263">
        <v>13.024988739845064</v>
      </c>
      <c r="AG263">
        <v>13.508734798790837</v>
      </c>
      <c r="AH263">
        <v>26.5337235386359</v>
      </c>
      <c r="AI263">
        <v>1.3024988739845065</v>
      </c>
      <c r="AJ263">
        <v>1.2428036014887569</v>
      </c>
      <c r="AK263">
        <v>2.5453024754732634</v>
      </c>
      <c r="AL263">
        <v>56.080887705875568</v>
      </c>
      <c r="AM263">
        <v>31.456917998963835</v>
      </c>
      <c r="AN263">
        <v>5.6092047194303074</v>
      </c>
      <c r="AO263">
        <v>10</v>
      </c>
      <c r="AP263">
        <v>9.5927074530909113</v>
      </c>
      <c r="AQ263">
        <v>5.3796754947210701</v>
      </c>
      <c r="AR263">
        <v>17.10172463462019</v>
      </c>
      <c r="AS263">
        <v>-5.3068034799720373E-2</v>
      </c>
      <c r="AT263">
        <v>2.9858129735406909</v>
      </c>
      <c r="AU263">
        <v>9.4917530498030391</v>
      </c>
    </row>
    <row r="264" spans="1:48" x14ac:dyDescent="0.35">
      <c r="A264">
        <v>262</v>
      </c>
      <c r="B264">
        <v>46076</v>
      </c>
      <c r="C264" t="s">
        <v>16</v>
      </c>
      <c r="D264" t="s">
        <v>78</v>
      </c>
      <c r="E264" t="s">
        <v>79</v>
      </c>
      <c r="F264" t="s">
        <v>80</v>
      </c>
      <c r="G264" t="s">
        <v>81</v>
      </c>
      <c r="H264" t="s">
        <v>22</v>
      </c>
      <c r="I264" t="s">
        <v>23</v>
      </c>
      <c r="J264" t="s">
        <v>24</v>
      </c>
      <c r="K264" t="s">
        <v>77</v>
      </c>
      <c r="L264">
        <v>27</v>
      </c>
      <c r="M264">
        <v>69</v>
      </c>
      <c r="N264">
        <v>3</v>
      </c>
      <c r="O264">
        <v>2</v>
      </c>
      <c r="P264">
        <v>124</v>
      </c>
      <c r="Q264">
        <v>0.50009999999999999</v>
      </c>
      <c r="R264">
        <v>473.22771391443473</v>
      </c>
      <c r="S264">
        <v>211.12771391443471</v>
      </c>
      <c r="T264">
        <v>0.3347222222222222</v>
      </c>
      <c r="U264">
        <v>40.5</v>
      </c>
      <c r="V264">
        <v>0.67638888888888893</v>
      </c>
      <c r="W264">
        <v>56</v>
      </c>
      <c r="X264">
        <v>9</v>
      </c>
      <c r="Y264">
        <v>39.5</v>
      </c>
      <c r="Z264">
        <v>0.35138888888888886</v>
      </c>
      <c r="AA264">
        <v>51.5</v>
      </c>
      <c r="AB264">
        <v>2.1</v>
      </c>
      <c r="AD264">
        <v>15.5</v>
      </c>
      <c r="AE264">
        <v>12</v>
      </c>
      <c r="AF264">
        <v>14.024988739845064</v>
      </c>
      <c r="AG264">
        <v>10.008734798790837</v>
      </c>
      <c r="AH264">
        <v>24.0337235386359</v>
      </c>
      <c r="AI264">
        <v>1.2622489865860558</v>
      </c>
      <c r="AJ264">
        <v>0.21018343077460758</v>
      </c>
      <c r="AK264">
        <v>1.4724324173606633</v>
      </c>
      <c r="AL264">
        <v>50.786804812918227</v>
      </c>
      <c r="AM264">
        <v>44.614401842198347</v>
      </c>
      <c r="AN264">
        <v>8.7846443592076806</v>
      </c>
      <c r="AO264">
        <v>9</v>
      </c>
      <c r="AP264">
        <v>6.1265263994304693</v>
      </c>
      <c r="AQ264">
        <v>3.1114670042906591</v>
      </c>
      <c r="AR264">
        <v>6.9741313921364529</v>
      </c>
      <c r="AS264">
        <v>-7.5277241755520655E-2</v>
      </c>
      <c r="AT264">
        <v>1.7269180189903865</v>
      </c>
      <c r="AU264">
        <v>3.8707635823483981</v>
      </c>
    </row>
    <row r="265" spans="1:48" x14ac:dyDescent="0.35">
      <c r="A265">
        <v>263</v>
      </c>
      <c r="B265">
        <v>46076</v>
      </c>
      <c r="C265" t="s">
        <v>16</v>
      </c>
      <c r="D265" t="s">
        <v>83</v>
      </c>
      <c r="E265" t="s">
        <v>84</v>
      </c>
      <c r="F265" t="s">
        <v>67</v>
      </c>
      <c r="G265" t="s">
        <v>85</v>
      </c>
      <c r="H265" t="s">
        <v>22</v>
      </c>
      <c r="I265" t="s">
        <v>23</v>
      </c>
      <c r="J265" t="s">
        <v>24</v>
      </c>
      <c r="K265" t="s">
        <v>82</v>
      </c>
      <c r="L265">
        <v>27</v>
      </c>
      <c r="M265">
        <v>69</v>
      </c>
      <c r="N265">
        <v>3</v>
      </c>
      <c r="O265">
        <v>1</v>
      </c>
      <c r="P265">
        <v>125</v>
      </c>
      <c r="Q265">
        <v>0.50019999999999998</v>
      </c>
      <c r="R265">
        <v>467.27499217401248</v>
      </c>
      <c r="S265">
        <v>135.3749921740125</v>
      </c>
      <c r="T265">
        <v>0.3347222222222222</v>
      </c>
      <c r="U265">
        <v>41.5</v>
      </c>
      <c r="V265">
        <v>0.67708333333333337</v>
      </c>
      <c r="W265">
        <v>77.5</v>
      </c>
      <c r="X265">
        <v>11.4</v>
      </c>
      <c r="Y265">
        <v>40</v>
      </c>
      <c r="Z265">
        <v>0.35208333333333336</v>
      </c>
      <c r="AA265">
        <v>74.5</v>
      </c>
      <c r="AB265">
        <v>15.7</v>
      </c>
      <c r="AD265">
        <v>36</v>
      </c>
      <c r="AE265">
        <v>34.5</v>
      </c>
      <c r="AF265">
        <v>34.524988739845064</v>
      </c>
      <c r="AG265">
        <v>32.50873479879084</v>
      </c>
      <c r="AH265">
        <v>67.033723538635911</v>
      </c>
      <c r="AI265">
        <v>3.9358487163423375</v>
      </c>
      <c r="AJ265">
        <v>5.1038713634101622</v>
      </c>
      <c r="AK265">
        <v>9.0397200797524988</v>
      </c>
      <c r="AL265">
        <v>143.45668966096233</v>
      </c>
      <c r="AM265">
        <v>28.971161402020645</v>
      </c>
      <c r="AN265">
        <v>2.0195057804895331</v>
      </c>
      <c r="AO265">
        <v>11.4</v>
      </c>
      <c r="AP265">
        <v>13.485331863658622</v>
      </c>
      <c r="AQ265">
        <v>19.345610681399616</v>
      </c>
      <c r="AR265">
        <v>66.775406111438528</v>
      </c>
      <c r="AS265">
        <v>-0.21662682296881058</v>
      </c>
      <c r="AT265">
        <v>10.737148627323524</v>
      </c>
      <c r="AU265">
        <v>37.061505675691151</v>
      </c>
    </row>
    <row r="266" spans="1:48" x14ac:dyDescent="0.35">
      <c r="A266">
        <v>264</v>
      </c>
      <c r="B266">
        <v>46076</v>
      </c>
      <c r="C266" t="s">
        <v>16</v>
      </c>
      <c r="D266" t="s">
        <v>83</v>
      </c>
      <c r="E266" t="s">
        <v>84</v>
      </c>
      <c r="F266" t="s">
        <v>67</v>
      </c>
      <c r="G266" t="s">
        <v>85</v>
      </c>
      <c r="H266" t="s">
        <v>22</v>
      </c>
      <c r="I266" t="s">
        <v>23</v>
      </c>
      <c r="J266" t="s">
        <v>24</v>
      </c>
      <c r="K266" t="s">
        <v>82</v>
      </c>
      <c r="L266">
        <v>27</v>
      </c>
      <c r="M266">
        <v>69</v>
      </c>
      <c r="N266">
        <v>3</v>
      </c>
      <c r="O266">
        <v>2</v>
      </c>
      <c r="P266">
        <v>126</v>
      </c>
      <c r="Q266">
        <v>0.50060000000000004</v>
      </c>
      <c r="R266">
        <v>467.64866269954155</v>
      </c>
      <c r="S266">
        <v>205.04866269954158</v>
      </c>
      <c r="T266">
        <v>0.3347222222222222</v>
      </c>
      <c r="U266">
        <v>41.5</v>
      </c>
      <c r="V266">
        <v>0.67777777777777781</v>
      </c>
      <c r="W266">
        <v>76</v>
      </c>
      <c r="X266">
        <v>11.2</v>
      </c>
      <c r="Y266">
        <v>40</v>
      </c>
      <c r="Z266">
        <v>0.35555555555555557</v>
      </c>
      <c r="AA266">
        <v>72.5</v>
      </c>
      <c r="AB266">
        <v>15.6</v>
      </c>
      <c r="AD266">
        <v>34.5</v>
      </c>
      <c r="AE266">
        <v>32.5</v>
      </c>
      <c r="AF266">
        <v>33.024988739845064</v>
      </c>
      <c r="AG266">
        <v>30.508734798790837</v>
      </c>
      <c r="AH266">
        <v>63.533723538635897</v>
      </c>
      <c r="AI266">
        <v>3.6987987388626467</v>
      </c>
      <c r="AJ266">
        <v>4.7593626286113704</v>
      </c>
      <c r="AK266">
        <v>8.4581613674740161</v>
      </c>
      <c r="AL266">
        <v>135.85781080155792</v>
      </c>
      <c r="AM266">
        <v>43.846733467787722</v>
      </c>
      <c r="AN266">
        <v>3.2273987935690269</v>
      </c>
      <c r="AO266">
        <v>11.2</v>
      </c>
      <c r="AP266">
        <v>13.312868971595014</v>
      </c>
      <c r="AQ266">
        <v>18.086572339688868</v>
      </c>
      <c r="AR266">
        <v>41.249531970212281</v>
      </c>
      <c r="AS266">
        <v>-0.70209378648715104</v>
      </c>
      <c r="AT266">
        <v>10.038360565003787</v>
      </c>
      <c r="AU266">
        <v>22.89420390319049</v>
      </c>
    </row>
    <row r="267" spans="1:48" x14ac:dyDescent="0.35">
      <c r="A267">
        <v>265</v>
      </c>
      <c r="B267">
        <v>46076</v>
      </c>
      <c r="C267" t="s">
        <v>16</v>
      </c>
      <c r="D267" t="s">
        <v>87</v>
      </c>
      <c r="E267" t="s">
        <v>88</v>
      </c>
      <c r="F267" t="s">
        <v>89</v>
      </c>
      <c r="G267" t="s">
        <v>90</v>
      </c>
      <c r="H267" t="s">
        <v>22</v>
      </c>
      <c r="I267" t="s">
        <v>23</v>
      </c>
      <c r="J267" t="s">
        <v>24</v>
      </c>
      <c r="K267" t="s">
        <v>86</v>
      </c>
      <c r="L267">
        <v>27</v>
      </c>
      <c r="M267">
        <v>69</v>
      </c>
      <c r="N267">
        <v>3</v>
      </c>
      <c r="O267">
        <v>1</v>
      </c>
      <c r="P267">
        <v>127</v>
      </c>
      <c r="Q267">
        <v>0.50019999999999998</v>
      </c>
      <c r="R267">
        <v>469.16567561687623</v>
      </c>
      <c r="S267">
        <v>5.2656756168761376</v>
      </c>
      <c r="T267">
        <v>0.3347222222222222</v>
      </c>
      <c r="U267">
        <v>41.5</v>
      </c>
      <c r="V267">
        <v>0.67777777777777781</v>
      </c>
      <c r="W267">
        <v>68</v>
      </c>
      <c r="X267">
        <v>13.3</v>
      </c>
      <c r="Y267">
        <v>41</v>
      </c>
      <c r="Z267">
        <v>0.35555555555555557</v>
      </c>
      <c r="AA267">
        <v>60.5</v>
      </c>
      <c r="AB267">
        <v>17.7</v>
      </c>
      <c r="AV267" t="s">
        <v>624</v>
      </c>
    </row>
    <row r="268" spans="1:48" x14ac:dyDescent="0.35">
      <c r="A268">
        <v>266</v>
      </c>
      <c r="B268">
        <v>46076</v>
      </c>
      <c r="C268" t="s">
        <v>16</v>
      </c>
      <c r="D268" t="s">
        <v>87</v>
      </c>
      <c r="E268" t="s">
        <v>88</v>
      </c>
      <c r="F268" t="s">
        <v>89</v>
      </c>
      <c r="G268" t="s">
        <v>90</v>
      </c>
      <c r="H268" t="s">
        <v>22</v>
      </c>
      <c r="I268" t="s">
        <v>23</v>
      </c>
      <c r="J268" t="s">
        <v>24</v>
      </c>
      <c r="K268" t="s">
        <v>86</v>
      </c>
      <c r="L268">
        <v>27</v>
      </c>
      <c r="M268">
        <v>69</v>
      </c>
      <c r="N268">
        <v>3</v>
      </c>
      <c r="O268">
        <v>2</v>
      </c>
      <c r="P268">
        <v>128</v>
      </c>
      <c r="Q268">
        <v>0.50029999999999997</v>
      </c>
      <c r="R268">
        <v>469.25947123375278</v>
      </c>
      <c r="S268">
        <v>20.759471233752777</v>
      </c>
      <c r="T268">
        <v>0.33541666666666664</v>
      </c>
      <c r="U268">
        <v>40.5</v>
      </c>
      <c r="V268">
        <v>0.67847222222222225</v>
      </c>
      <c r="W268">
        <v>69</v>
      </c>
      <c r="X268">
        <v>13.3</v>
      </c>
      <c r="Y268">
        <v>40</v>
      </c>
      <c r="Z268">
        <v>0.35625000000000001</v>
      </c>
      <c r="AA268">
        <v>59.5</v>
      </c>
      <c r="AB268">
        <v>18.5</v>
      </c>
      <c r="AV268" t="s">
        <v>625</v>
      </c>
    </row>
    <row r="269" spans="1:48" x14ac:dyDescent="0.35">
      <c r="A269">
        <v>267</v>
      </c>
      <c r="B269">
        <v>46076</v>
      </c>
      <c r="C269" t="s">
        <v>16</v>
      </c>
      <c r="D269" t="s">
        <v>92</v>
      </c>
      <c r="E269" t="s">
        <v>79</v>
      </c>
      <c r="F269" t="s">
        <v>80</v>
      </c>
      <c r="G269" t="s">
        <v>81</v>
      </c>
      <c r="H269" t="s">
        <v>22</v>
      </c>
      <c r="I269" t="s">
        <v>23</v>
      </c>
      <c r="J269" t="s">
        <v>24</v>
      </c>
      <c r="K269" t="s">
        <v>91</v>
      </c>
      <c r="L269">
        <v>27</v>
      </c>
      <c r="M269">
        <v>69</v>
      </c>
      <c r="N269">
        <v>3</v>
      </c>
      <c r="O269">
        <v>1</v>
      </c>
      <c r="P269">
        <v>129</v>
      </c>
      <c r="Q269">
        <v>0.50060000000000004</v>
      </c>
      <c r="R269">
        <v>465.42892264641193</v>
      </c>
      <c r="S269">
        <v>203.72892264641189</v>
      </c>
      <c r="T269">
        <v>0.33541666666666664</v>
      </c>
      <c r="U269">
        <v>41</v>
      </c>
      <c r="V269">
        <v>0.67847222222222225</v>
      </c>
      <c r="W269">
        <v>54.5</v>
      </c>
      <c r="X269">
        <v>8.1999999999999993</v>
      </c>
      <c r="Y269">
        <v>40.5</v>
      </c>
      <c r="Z269">
        <v>0.35625000000000001</v>
      </c>
      <c r="AA269">
        <v>54</v>
      </c>
      <c r="AB269">
        <v>7.9</v>
      </c>
      <c r="AD269">
        <v>13.5</v>
      </c>
      <c r="AE269">
        <v>13.5</v>
      </c>
      <c r="AF269">
        <v>12.024988739845064</v>
      </c>
      <c r="AG269">
        <v>11.508734798790837</v>
      </c>
      <c r="AH269">
        <v>23.5337235386359</v>
      </c>
      <c r="AI269">
        <v>0.98604907666729513</v>
      </c>
      <c r="AJ269">
        <v>0.90919004910447609</v>
      </c>
      <c r="AK269">
        <v>1.8952391257717713</v>
      </c>
      <c r="AL269">
        <v>50.56351763621393</v>
      </c>
      <c r="AM269">
        <v>43.772295345982506</v>
      </c>
      <c r="AN269">
        <v>8.6568928334670474</v>
      </c>
      <c r="AO269">
        <v>8.1999999999999993</v>
      </c>
      <c r="AP269">
        <v>8.0532905158858945</v>
      </c>
      <c r="AQ269">
        <v>4.0720269702955081</v>
      </c>
      <c r="AR269">
        <v>9.3027494631241581</v>
      </c>
      <c r="AS269">
        <v>-0.12382583147998424</v>
      </c>
      <c r="AT269">
        <v>2.2600454188076111</v>
      </c>
      <c r="AU269">
        <v>5.1631868992564529</v>
      </c>
    </row>
    <row r="270" spans="1:48" x14ac:dyDescent="0.35">
      <c r="A270">
        <v>268</v>
      </c>
      <c r="B270">
        <v>46076</v>
      </c>
      <c r="C270" t="s">
        <v>16</v>
      </c>
      <c r="D270" t="s">
        <v>92</v>
      </c>
      <c r="E270" t="s">
        <v>79</v>
      </c>
      <c r="F270" t="s">
        <v>80</v>
      </c>
      <c r="G270" t="s">
        <v>81</v>
      </c>
      <c r="H270" t="s">
        <v>22</v>
      </c>
      <c r="I270" t="s">
        <v>23</v>
      </c>
      <c r="J270" t="s">
        <v>24</v>
      </c>
      <c r="K270" t="s">
        <v>91</v>
      </c>
      <c r="L270">
        <v>27</v>
      </c>
      <c r="M270">
        <v>69</v>
      </c>
      <c r="N270">
        <v>3</v>
      </c>
      <c r="O270">
        <v>2</v>
      </c>
      <c r="P270">
        <v>130</v>
      </c>
      <c r="Q270">
        <v>0.5</v>
      </c>
      <c r="R270">
        <v>464.87107735358762</v>
      </c>
      <c r="S270">
        <v>256.37107735358757</v>
      </c>
      <c r="T270">
        <v>0.33611111111111114</v>
      </c>
      <c r="U270">
        <v>40.5</v>
      </c>
      <c r="V270">
        <v>0.6791666666666667</v>
      </c>
      <c r="W270">
        <v>55.5</v>
      </c>
      <c r="X270">
        <v>7.3</v>
      </c>
      <c r="Y270">
        <v>40</v>
      </c>
      <c r="Z270">
        <v>0.35694444444444445</v>
      </c>
      <c r="AA270">
        <v>53</v>
      </c>
      <c r="AB270">
        <v>1</v>
      </c>
      <c r="AC270" t="s">
        <v>551</v>
      </c>
      <c r="AD270">
        <v>15</v>
      </c>
      <c r="AE270">
        <v>13</v>
      </c>
      <c r="AF270">
        <v>13.524988739845064</v>
      </c>
      <c r="AG270">
        <v>11.008734798790837</v>
      </c>
      <c r="AH270">
        <v>24.5337235386359</v>
      </c>
      <c r="AI270">
        <v>0.98732417800868966</v>
      </c>
      <c r="AJ270">
        <v>0.11008734798790837</v>
      </c>
      <c r="AK270">
        <v>1.097411525996598</v>
      </c>
      <c r="AL270">
        <v>52.77532790015929</v>
      </c>
      <c r="AM270">
        <v>55.148855207997386</v>
      </c>
      <c r="AN270">
        <v>10.449741840037138</v>
      </c>
      <c r="AO270">
        <v>7.3</v>
      </c>
      <c r="AP270">
        <v>4.4730736623341567</v>
      </c>
      <c r="AQ270">
        <v>2.3606792925125153</v>
      </c>
      <c r="AR270">
        <v>4.2805590136169904</v>
      </c>
      <c r="AS270">
        <v>0.136763897170459</v>
      </c>
      <c r="AT270">
        <v>1.3102178495467383</v>
      </c>
      <c r="AU270">
        <v>2.3757843106718521</v>
      </c>
    </row>
    <row r="271" spans="1:48" x14ac:dyDescent="0.35">
      <c r="A271">
        <v>269</v>
      </c>
      <c r="B271">
        <v>46076</v>
      </c>
      <c r="C271" t="s">
        <v>16</v>
      </c>
      <c r="D271" t="s">
        <v>94</v>
      </c>
      <c r="E271" t="s">
        <v>19</v>
      </c>
      <c r="F271" t="s">
        <v>29</v>
      </c>
      <c r="G271" t="s">
        <v>30</v>
      </c>
      <c r="H271" t="s">
        <v>22</v>
      </c>
      <c r="I271" t="s">
        <v>23</v>
      </c>
      <c r="J271" t="s">
        <v>24</v>
      </c>
      <c r="K271" t="s">
        <v>93</v>
      </c>
      <c r="L271">
        <v>27</v>
      </c>
      <c r="M271">
        <v>69</v>
      </c>
      <c r="N271">
        <v>3</v>
      </c>
      <c r="O271">
        <v>1</v>
      </c>
      <c r="P271">
        <v>131</v>
      </c>
      <c r="Q271">
        <v>0.50009999999999999</v>
      </c>
      <c r="R271">
        <v>473.08174190144013</v>
      </c>
      <c r="S271">
        <v>78.281741901440171</v>
      </c>
      <c r="T271">
        <v>0.33611111111111114</v>
      </c>
      <c r="U271">
        <v>41</v>
      </c>
      <c r="V271">
        <v>0.67986111111111114</v>
      </c>
      <c r="W271">
        <v>62</v>
      </c>
      <c r="X271">
        <v>11.7</v>
      </c>
      <c r="Y271">
        <v>40</v>
      </c>
      <c r="Z271">
        <v>8.3569444444444443</v>
      </c>
      <c r="AA271">
        <v>52.5</v>
      </c>
      <c r="AB271">
        <v>9.1999999999999993</v>
      </c>
      <c r="AD271">
        <v>21</v>
      </c>
      <c r="AE271">
        <v>12.5</v>
      </c>
      <c r="AF271">
        <v>19.524988739845064</v>
      </c>
      <c r="AG271">
        <v>10.508734798790837</v>
      </c>
      <c r="AH271">
        <v>30.0337235386359</v>
      </c>
      <c r="AI271">
        <v>2.2844236825618722</v>
      </c>
      <c r="AJ271">
        <v>0.96680360148875699</v>
      </c>
      <c r="AK271">
        <v>3.2512272840506293</v>
      </c>
      <c r="AL271">
        <v>63.485273005722973</v>
      </c>
      <c r="AM271">
        <v>16.547191524831469</v>
      </c>
      <c r="AN271">
        <v>2.6064614266272108</v>
      </c>
      <c r="AO271">
        <v>11.699999999999998</v>
      </c>
      <c r="AP271">
        <v>10.82525541619305</v>
      </c>
      <c r="AQ271">
        <v>6.8724429545369699</v>
      </c>
      <c r="AR271">
        <v>41.532382967972964</v>
      </c>
      <c r="AS271">
        <v>-9.280964952368792E-2</v>
      </c>
      <c r="AT271">
        <v>3.8143247401651554</v>
      </c>
      <c r="AU271">
        <v>23.051191100563543</v>
      </c>
    </row>
    <row r="272" spans="1:48" x14ac:dyDescent="0.35">
      <c r="A272">
        <v>270</v>
      </c>
      <c r="B272">
        <v>46076</v>
      </c>
      <c r="C272" t="s">
        <v>16</v>
      </c>
      <c r="D272" t="s">
        <v>94</v>
      </c>
      <c r="E272" t="s">
        <v>19</v>
      </c>
      <c r="F272" t="s">
        <v>29</v>
      </c>
      <c r="G272" t="s">
        <v>30</v>
      </c>
      <c r="H272" t="s">
        <v>22</v>
      </c>
      <c r="I272" t="s">
        <v>23</v>
      </c>
      <c r="J272" t="s">
        <v>24</v>
      </c>
      <c r="K272" t="s">
        <v>93</v>
      </c>
      <c r="L272">
        <v>27</v>
      </c>
      <c r="M272">
        <v>69</v>
      </c>
      <c r="N272">
        <v>3</v>
      </c>
      <c r="O272">
        <v>2</v>
      </c>
      <c r="P272">
        <v>132</v>
      </c>
      <c r="Q272">
        <v>0.50009999999999999</v>
      </c>
      <c r="R272">
        <v>473.08174190144013</v>
      </c>
      <c r="S272">
        <v>99.38174190144008</v>
      </c>
      <c r="T272">
        <v>0.33611111111111114</v>
      </c>
      <c r="U272">
        <v>41.5</v>
      </c>
      <c r="V272">
        <v>0.67986111111111114</v>
      </c>
      <c r="W272">
        <v>62.5</v>
      </c>
      <c r="X272">
        <v>12.3</v>
      </c>
      <c r="Y272">
        <v>40</v>
      </c>
      <c r="Z272">
        <v>0.35833333333333334</v>
      </c>
      <c r="AA272">
        <v>53</v>
      </c>
      <c r="AB272">
        <v>15.8</v>
      </c>
      <c r="AD272">
        <v>21</v>
      </c>
      <c r="AE272">
        <v>13</v>
      </c>
      <c r="AF272">
        <v>19.524988739845064</v>
      </c>
      <c r="AG272">
        <v>11.008734798790837</v>
      </c>
      <c r="AH272">
        <v>30.5337235386359</v>
      </c>
      <c r="AI272">
        <v>2.401573615000943</v>
      </c>
      <c r="AJ272">
        <v>1.7393800982089522</v>
      </c>
      <c r="AK272">
        <v>4.1409537132098952</v>
      </c>
      <c r="AL272">
        <v>64.542172809106575</v>
      </c>
      <c r="AM272">
        <v>21.007308695110211</v>
      </c>
      <c r="AN272">
        <v>3.2548189471777729</v>
      </c>
      <c r="AO272">
        <v>12.3</v>
      </c>
      <c r="AP272">
        <v>13.56190216358687</v>
      </c>
      <c r="AQ272">
        <v>8.7531463306241992</v>
      </c>
      <c r="AR272">
        <v>41.667147646864613</v>
      </c>
      <c r="AS272">
        <v>-0.14887792111706807</v>
      </c>
      <c r="AT272">
        <v>4.8581476520142619</v>
      </c>
      <c r="AU272">
        <v>23.125987828917246</v>
      </c>
    </row>
    <row r="273" spans="1:48" x14ac:dyDescent="0.35">
      <c r="A273">
        <v>271</v>
      </c>
      <c r="B273">
        <v>46076</v>
      </c>
      <c r="C273" t="s">
        <v>16</v>
      </c>
      <c r="D273" t="s">
        <v>96</v>
      </c>
      <c r="E273" t="s">
        <v>19</v>
      </c>
      <c r="F273" t="s">
        <v>29</v>
      </c>
      <c r="G273" t="s">
        <v>30</v>
      </c>
      <c r="H273" t="s">
        <v>22</v>
      </c>
      <c r="I273" t="s">
        <v>23</v>
      </c>
      <c r="J273" t="s">
        <v>24</v>
      </c>
      <c r="K273" t="s">
        <v>95</v>
      </c>
      <c r="L273">
        <v>27</v>
      </c>
      <c r="M273">
        <v>69</v>
      </c>
      <c r="N273">
        <v>3</v>
      </c>
      <c r="O273">
        <v>1</v>
      </c>
      <c r="P273">
        <v>133</v>
      </c>
      <c r="Q273">
        <v>0.50029999999999997</v>
      </c>
      <c r="R273">
        <v>470.66462501661408</v>
      </c>
      <c r="S273">
        <v>56.36462501661407</v>
      </c>
      <c r="T273">
        <v>0.33680555555555558</v>
      </c>
      <c r="U273">
        <v>40.5</v>
      </c>
      <c r="V273">
        <v>0.68055555555555558</v>
      </c>
      <c r="W273">
        <v>65.5</v>
      </c>
      <c r="X273">
        <v>12.5</v>
      </c>
      <c r="Y273">
        <v>40</v>
      </c>
      <c r="Z273">
        <v>0.35902777777777778</v>
      </c>
      <c r="AA273">
        <v>55.5</v>
      </c>
      <c r="AB273">
        <v>16.100000000000001</v>
      </c>
      <c r="AD273">
        <v>25</v>
      </c>
      <c r="AE273">
        <v>15.5</v>
      </c>
      <c r="AF273">
        <v>23.524988739845064</v>
      </c>
      <c r="AG273">
        <v>13.508734798790837</v>
      </c>
      <c r="AH273">
        <v>37.033723538635897</v>
      </c>
      <c r="AI273">
        <v>2.940623592480633</v>
      </c>
      <c r="AJ273">
        <v>2.1749063026053248</v>
      </c>
      <c r="AK273">
        <v>5.1155298950859578</v>
      </c>
      <c r="AL273">
        <v>78.683889908506799</v>
      </c>
      <c r="AM273">
        <v>11.975538848840497</v>
      </c>
      <c r="AN273">
        <v>1.5219810386555099</v>
      </c>
      <c r="AO273">
        <v>12.5</v>
      </c>
      <c r="AP273">
        <v>13.813166504170495</v>
      </c>
      <c r="AQ273">
        <v>10.868736725020248</v>
      </c>
      <c r="AR273">
        <v>90.75780941642212</v>
      </c>
      <c r="AS273">
        <v>-0.14607395522823399</v>
      </c>
      <c r="AT273">
        <v>6.0323369228140065</v>
      </c>
      <c r="AU273">
        <v>50.37215443042944</v>
      </c>
    </row>
    <row r="274" spans="1:48" x14ac:dyDescent="0.35">
      <c r="A274">
        <v>272</v>
      </c>
      <c r="B274">
        <v>46076</v>
      </c>
      <c r="C274" t="s">
        <v>16</v>
      </c>
      <c r="D274" t="s">
        <v>96</v>
      </c>
      <c r="E274" t="s">
        <v>19</v>
      </c>
      <c r="F274" t="s">
        <v>29</v>
      </c>
      <c r="G274" t="s">
        <v>30</v>
      </c>
      <c r="H274" t="s">
        <v>22</v>
      </c>
      <c r="I274" t="s">
        <v>23</v>
      </c>
      <c r="J274" t="s">
        <v>24</v>
      </c>
      <c r="K274" t="s">
        <v>95</v>
      </c>
      <c r="L274">
        <v>27</v>
      </c>
      <c r="M274">
        <v>69</v>
      </c>
      <c r="N274">
        <v>3</v>
      </c>
      <c r="O274">
        <v>2</v>
      </c>
      <c r="P274">
        <v>134</v>
      </c>
      <c r="Q274">
        <v>0.50039999999999996</v>
      </c>
      <c r="R274">
        <v>470.75870149572989</v>
      </c>
      <c r="S274">
        <v>79.658701495729872</v>
      </c>
      <c r="T274">
        <v>0.33680555555555558</v>
      </c>
      <c r="U274">
        <v>41</v>
      </c>
      <c r="V274">
        <v>0.68055555555555558</v>
      </c>
      <c r="W274">
        <v>65.5</v>
      </c>
      <c r="X274">
        <v>12.5</v>
      </c>
      <c r="Y274">
        <v>40</v>
      </c>
      <c r="Z274">
        <v>0.35972222222222222</v>
      </c>
      <c r="AA274">
        <v>55.5</v>
      </c>
      <c r="AB274">
        <v>16.600000000000001</v>
      </c>
      <c r="AD274">
        <v>24.5</v>
      </c>
      <c r="AE274">
        <v>15.5</v>
      </c>
      <c r="AF274">
        <v>23.024988739845064</v>
      </c>
      <c r="AG274">
        <v>13.508734798790837</v>
      </c>
      <c r="AH274">
        <v>36.533723538635897</v>
      </c>
      <c r="AI274">
        <v>2.878123592480633</v>
      </c>
      <c r="AJ274">
        <v>2.2424499765992789</v>
      </c>
      <c r="AK274">
        <v>5.1205735690799123</v>
      </c>
      <c r="AL274">
        <v>77.606050451235859</v>
      </c>
      <c r="AM274">
        <v>16.921344468542433</v>
      </c>
      <c r="AN274">
        <v>2.1804156209669556</v>
      </c>
      <c r="AO274">
        <v>12.5</v>
      </c>
      <c r="AP274">
        <v>14.016018826180412</v>
      </c>
      <c r="AQ274">
        <v>10.877278641500288</v>
      </c>
      <c r="AR274">
        <v>64.281408972683323</v>
      </c>
      <c r="AS274">
        <v>-0.18665200850770328</v>
      </c>
      <c r="AT274">
        <v>6.0370778342444495</v>
      </c>
      <c r="AU274">
        <v>35.677294114942569</v>
      </c>
    </row>
    <row r="275" spans="1:48" x14ac:dyDescent="0.35">
      <c r="A275">
        <v>273</v>
      </c>
      <c r="B275">
        <v>46076</v>
      </c>
      <c r="C275" t="s">
        <v>16</v>
      </c>
      <c r="D275" t="s">
        <v>98</v>
      </c>
      <c r="E275" t="s">
        <v>99</v>
      </c>
      <c r="F275" t="s">
        <v>100</v>
      </c>
      <c r="G275" t="s">
        <v>101</v>
      </c>
      <c r="H275" t="s">
        <v>22</v>
      </c>
      <c r="I275" t="s">
        <v>23</v>
      </c>
      <c r="J275" t="s">
        <v>24</v>
      </c>
      <c r="K275" t="s">
        <v>97</v>
      </c>
      <c r="L275">
        <v>27</v>
      </c>
      <c r="M275">
        <v>69</v>
      </c>
      <c r="N275">
        <v>3</v>
      </c>
      <c r="O275">
        <v>1</v>
      </c>
      <c r="P275">
        <v>135</v>
      </c>
      <c r="Q275">
        <v>0.50060000000000004</v>
      </c>
      <c r="R275">
        <v>472.92521002798344</v>
      </c>
      <c r="S275">
        <v>192.32521002798336</v>
      </c>
      <c r="T275">
        <v>0.33750000000000002</v>
      </c>
      <c r="U275">
        <v>41.5</v>
      </c>
      <c r="V275">
        <v>0.68125000000000002</v>
      </c>
      <c r="W275">
        <v>76.5</v>
      </c>
      <c r="X275">
        <v>11.4</v>
      </c>
      <c r="Y275">
        <v>39.5</v>
      </c>
      <c r="Z275">
        <v>0.35972222222222222</v>
      </c>
      <c r="AA275">
        <v>60.5</v>
      </c>
      <c r="AB275">
        <v>15.4</v>
      </c>
      <c r="AD275">
        <v>35</v>
      </c>
      <c r="AE275">
        <v>21</v>
      </c>
      <c r="AF275">
        <v>33.524988739845064</v>
      </c>
      <c r="AG275">
        <v>19.008734798790837</v>
      </c>
      <c r="AH275">
        <v>52.533723538635897</v>
      </c>
      <c r="AI275">
        <v>3.8218487163423376</v>
      </c>
      <c r="AJ275">
        <v>2.9273451590137887</v>
      </c>
      <c r="AK275">
        <v>6.7491938753561262</v>
      </c>
      <c r="AL275">
        <v>111.08251880995608</v>
      </c>
      <c r="AM275">
        <v>40.667151158341355</v>
      </c>
      <c r="AN275">
        <v>3.6609856882986391</v>
      </c>
      <c r="AO275">
        <v>11.4</v>
      </c>
      <c r="AP275">
        <v>12.847354843203595</v>
      </c>
      <c r="AQ275">
        <v>14.271165360283437</v>
      </c>
      <c r="AR275">
        <v>35.092611490579507</v>
      </c>
      <c r="AS275">
        <v>-2.4821486083332669</v>
      </c>
      <c r="AT275">
        <v>7.9207436809323983</v>
      </c>
      <c r="AU275">
        <v>19.477006515878731</v>
      </c>
    </row>
    <row r="276" spans="1:48" x14ac:dyDescent="0.35">
      <c r="A276">
        <v>274</v>
      </c>
      <c r="B276">
        <v>46076</v>
      </c>
      <c r="C276" t="s">
        <v>16</v>
      </c>
      <c r="D276" t="s">
        <v>98</v>
      </c>
      <c r="E276" t="s">
        <v>99</v>
      </c>
      <c r="F276" t="s">
        <v>100</v>
      </c>
      <c r="G276" t="s">
        <v>101</v>
      </c>
      <c r="H276" t="s">
        <v>22</v>
      </c>
      <c r="I276" t="s">
        <v>23</v>
      </c>
      <c r="J276" t="s">
        <v>24</v>
      </c>
      <c r="K276" t="s">
        <v>97</v>
      </c>
      <c r="L276">
        <v>27</v>
      </c>
      <c r="M276">
        <v>69</v>
      </c>
      <c r="N276">
        <v>3</v>
      </c>
      <c r="O276">
        <v>2</v>
      </c>
      <c r="P276">
        <v>136</v>
      </c>
      <c r="Q276">
        <v>0.50029999999999997</v>
      </c>
      <c r="R276">
        <v>472.64179500000017</v>
      </c>
      <c r="S276">
        <v>181.54179500000015</v>
      </c>
      <c r="T276">
        <v>0.33750000000000002</v>
      </c>
      <c r="U276">
        <v>42</v>
      </c>
      <c r="V276">
        <v>0.68125000000000002</v>
      </c>
      <c r="W276">
        <v>76.5</v>
      </c>
      <c r="X276">
        <v>11.9</v>
      </c>
      <c r="Y276">
        <v>41</v>
      </c>
      <c r="Z276">
        <v>0.36041666666666666</v>
      </c>
      <c r="AA276">
        <v>73</v>
      </c>
      <c r="AB276">
        <v>15.3</v>
      </c>
      <c r="AD276">
        <v>34.5</v>
      </c>
      <c r="AE276">
        <v>32</v>
      </c>
      <c r="AF276">
        <v>33.024988739845064</v>
      </c>
      <c r="AG276">
        <v>30.008734798790837</v>
      </c>
      <c r="AH276">
        <v>63.033723538635897</v>
      </c>
      <c r="AI276">
        <v>3.9299736600415627</v>
      </c>
      <c r="AJ276">
        <v>4.5913364242149983</v>
      </c>
      <c r="AK276">
        <v>8.5213100842565606</v>
      </c>
      <c r="AL276">
        <v>133.36468379533781</v>
      </c>
      <c r="AM276">
        <v>38.410017252071434</v>
      </c>
      <c r="AN276">
        <v>2.8800741065015125</v>
      </c>
      <c r="AO276">
        <v>11.9</v>
      </c>
      <c r="AP276">
        <v>13.518652565453328</v>
      </c>
      <c r="AQ276">
        <v>18.029108247307157</v>
      </c>
      <c r="AR276">
        <v>46.938558056322805</v>
      </c>
      <c r="AS276">
        <v>-1.2859012114889006</v>
      </c>
      <c r="AT276">
        <v>10.006466999543488</v>
      </c>
      <c r="AU276">
        <v>26.051711807038682</v>
      </c>
    </row>
    <row r="277" spans="1:48" x14ac:dyDescent="0.35">
      <c r="A277">
        <v>275</v>
      </c>
      <c r="B277">
        <v>46076</v>
      </c>
      <c r="C277" t="s">
        <v>473</v>
      </c>
      <c r="D277" t="s">
        <v>104</v>
      </c>
      <c r="E277" t="s">
        <v>105</v>
      </c>
      <c r="F277" t="s">
        <v>106</v>
      </c>
      <c r="G277" t="s">
        <v>107</v>
      </c>
      <c r="H277" t="s">
        <v>108</v>
      </c>
      <c r="I277" t="s">
        <v>109</v>
      </c>
      <c r="J277" t="s">
        <v>110</v>
      </c>
      <c r="K277" t="s">
        <v>103</v>
      </c>
      <c r="L277">
        <v>27</v>
      </c>
      <c r="M277">
        <v>69</v>
      </c>
      <c r="N277">
        <v>3</v>
      </c>
      <c r="O277">
        <v>1</v>
      </c>
      <c r="P277">
        <v>137</v>
      </c>
      <c r="Q277">
        <v>0.50019999999999998</v>
      </c>
      <c r="R277">
        <v>485.19925272418357</v>
      </c>
      <c r="S277">
        <v>235.69925272418362</v>
      </c>
      <c r="T277">
        <v>0.33750000000000002</v>
      </c>
      <c r="U277">
        <v>40.5</v>
      </c>
      <c r="V277">
        <v>0.68194444444444446</v>
      </c>
      <c r="W277">
        <v>85.5</v>
      </c>
      <c r="X277">
        <v>12.1</v>
      </c>
      <c r="Y277">
        <v>40</v>
      </c>
      <c r="Z277">
        <v>0.3611111111111111</v>
      </c>
      <c r="AA277">
        <v>88.5</v>
      </c>
      <c r="AB277">
        <v>13.5</v>
      </c>
      <c r="AD277">
        <v>45</v>
      </c>
      <c r="AE277">
        <v>48.5</v>
      </c>
      <c r="AF277">
        <v>43.524988739845064</v>
      </c>
      <c r="AG277">
        <v>46.50873479879084</v>
      </c>
      <c r="AH277">
        <v>90.033723538635911</v>
      </c>
      <c r="AI277">
        <v>5.266523637521253</v>
      </c>
      <c r="AJ277">
        <v>6.2786791978367642</v>
      </c>
      <c r="AK277">
        <v>11.545202835358017</v>
      </c>
      <c r="AL277">
        <v>185.56030957000772</v>
      </c>
      <c r="AM277">
        <v>48.57782682080289</v>
      </c>
      <c r="AN277">
        <v>2.6178996431602508</v>
      </c>
      <c r="AO277">
        <v>12.1</v>
      </c>
      <c r="AP277">
        <v>12.82319822127945</v>
      </c>
      <c r="AQ277">
        <v>23.794766316181871</v>
      </c>
      <c r="AR277">
        <v>48.982772333471367</v>
      </c>
      <c r="AS277">
        <v>0.66969808126929864</v>
      </c>
      <c r="AT277">
        <v>13.206506979638656</v>
      </c>
      <c r="AU277">
        <v>27.186286097885144</v>
      </c>
    </row>
    <row r="278" spans="1:48" x14ac:dyDescent="0.35">
      <c r="A278">
        <v>276</v>
      </c>
      <c r="B278">
        <v>46076</v>
      </c>
      <c r="C278" t="s">
        <v>473</v>
      </c>
      <c r="D278" t="s">
        <v>104</v>
      </c>
      <c r="E278" t="s">
        <v>105</v>
      </c>
      <c r="F278" t="s">
        <v>106</v>
      </c>
      <c r="G278" t="s">
        <v>107</v>
      </c>
      <c r="H278" t="s">
        <v>108</v>
      </c>
      <c r="I278" t="s">
        <v>109</v>
      </c>
      <c r="J278" t="s">
        <v>110</v>
      </c>
      <c r="K278" t="s">
        <v>103</v>
      </c>
      <c r="L278">
        <v>27</v>
      </c>
      <c r="M278">
        <v>69</v>
      </c>
      <c r="N278">
        <v>3</v>
      </c>
      <c r="O278">
        <v>2</v>
      </c>
      <c r="P278">
        <v>138</v>
      </c>
      <c r="Q278">
        <v>0.50039999999999996</v>
      </c>
      <c r="R278">
        <v>485.39325482443309</v>
      </c>
      <c r="S278">
        <v>182.79325482443312</v>
      </c>
      <c r="T278">
        <v>0.33819444444444446</v>
      </c>
      <c r="U278">
        <v>41</v>
      </c>
      <c r="V278">
        <v>0.68194444444444446</v>
      </c>
      <c r="W278">
        <v>86.5</v>
      </c>
      <c r="X278">
        <v>12.3</v>
      </c>
      <c r="Y278">
        <v>40.5</v>
      </c>
      <c r="Z278">
        <v>0.3611111111111111</v>
      </c>
      <c r="AA278">
        <v>87.5</v>
      </c>
      <c r="AB278">
        <v>13.4</v>
      </c>
      <c r="AD278">
        <v>45.5</v>
      </c>
      <c r="AE278">
        <v>47</v>
      </c>
      <c r="AF278">
        <v>44.024988739845064</v>
      </c>
      <c r="AG278">
        <v>45.00873479879084</v>
      </c>
      <c r="AH278">
        <v>89.033723538635911</v>
      </c>
      <c r="AI278">
        <v>5.4150736150009431</v>
      </c>
      <c r="AJ278">
        <v>6.0311704630379728</v>
      </c>
      <c r="AK278">
        <v>11.446244078038916</v>
      </c>
      <c r="AL278">
        <v>183.4259595775377</v>
      </c>
      <c r="AM278">
        <v>37.658795833607023</v>
      </c>
      <c r="AN278">
        <v>2.0530788510166098</v>
      </c>
      <c r="AO278">
        <v>12.3</v>
      </c>
      <c r="AP278">
        <v>12.856077026894033</v>
      </c>
      <c r="AQ278">
        <v>23.581382650607758</v>
      </c>
      <c r="AR278">
        <v>62.618525443034841</v>
      </c>
      <c r="AS278">
        <v>-34.265739341827569</v>
      </c>
      <c r="AT278">
        <v>13.088075353486103</v>
      </c>
      <c r="AU278">
        <v>34.75436498637643</v>
      </c>
    </row>
    <row r="279" spans="1:48" x14ac:dyDescent="0.35">
      <c r="A279">
        <v>277</v>
      </c>
      <c r="B279">
        <v>46076</v>
      </c>
      <c r="C279" t="s">
        <v>112</v>
      </c>
      <c r="D279" t="s">
        <v>114</v>
      </c>
      <c r="E279" t="s">
        <v>544</v>
      </c>
      <c r="F279" t="s">
        <v>116</v>
      </c>
      <c r="G279" t="s">
        <v>117</v>
      </c>
      <c r="H279" t="s">
        <v>22</v>
      </c>
      <c r="I279" t="s">
        <v>23</v>
      </c>
      <c r="J279" t="s">
        <v>118</v>
      </c>
      <c r="K279" t="s">
        <v>113</v>
      </c>
      <c r="L279">
        <v>27</v>
      </c>
      <c r="M279">
        <v>69</v>
      </c>
      <c r="N279">
        <v>3</v>
      </c>
      <c r="O279">
        <v>1</v>
      </c>
      <c r="P279">
        <v>139</v>
      </c>
      <c r="Q279">
        <v>0.50039999999999996</v>
      </c>
      <c r="R279">
        <v>467.86036003873045</v>
      </c>
      <c r="S279">
        <v>246.06036003873044</v>
      </c>
      <c r="T279">
        <v>0.33819444444444446</v>
      </c>
      <c r="U279">
        <v>40.5</v>
      </c>
      <c r="V279">
        <v>0.68263888888888891</v>
      </c>
      <c r="W279">
        <v>78.5</v>
      </c>
      <c r="X279">
        <v>13.5</v>
      </c>
      <c r="Y279">
        <v>40</v>
      </c>
      <c r="Z279">
        <v>0.3611111111111111</v>
      </c>
      <c r="AA279">
        <v>87</v>
      </c>
      <c r="AB279">
        <v>15.7</v>
      </c>
      <c r="AD279">
        <v>38</v>
      </c>
      <c r="AE279">
        <v>47</v>
      </c>
      <c r="AF279">
        <v>36.524988739845064</v>
      </c>
      <c r="AG279">
        <v>45.00873479879084</v>
      </c>
      <c r="AH279">
        <v>81.533723538635911</v>
      </c>
      <c r="AI279">
        <v>4.9308734798790841</v>
      </c>
      <c r="AJ279">
        <v>7.0663713634101617</v>
      </c>
      <c r="AK279">
        <v>11.997244843289245</v>
      </c>
      <c r="AL279">
        <v>174.26935577933205</v>
      </c>
      <c r="AM279">
        <v>52.59269240470833</v>
      </c>
      <c r="AN279">
        <v>3.0178967592732504</v>
      </c>
      <c r="AO279">
        <v>13.5</v>
      </c>
      <c r="AP279">
        <v>14.71445718728175</v>
      </c>
      <c r="AQ279">
        <v>25.642789746701531</v>
      </c>
      <c r="AR279">
        <v>48.757324590603915</v>
      </c>
      <c r="AS279">
        <v>-27.993508697040308</v>
      </c>
      <c r="AT279">
        <v>14.232191956300783</v>
      </c>
      <c r="AU279">
        <v>27.061158700113733</v>
      </c>
    </row>
    <row r="280" spans="1:48" x14ac:dyDescent="0.35">
      <c r="A280">
        <v>278</v>
      </c>
      <c r="B280">
        <v>46076</v>
      </c>
      <c r="C280" t="s">
        <v>112</v>
      </c>
      <c r="D280" t="s">
        <v>114</v>
      </c>
      <c r="E280" t="s">
        <v>544</v>
      </c>
      <c r="F280" t="s">
        <v>116</v>
      </c>
      <c r="G280" t="s">
        <v>117</v>
      </c>
      <c r="H280" t="s">
        <v>22</v>
      </c>
      <c r="I280" t="s">
        <v>23</v>
      </c>
      <c r="J280" t="s">
        <v>118</v>
      </c>
      <c r="K280" t="s">
        <v>113</v>
      </c>
      <c r="L280">
        <v>27</v>
      </c>
      <c r="M280">
        <v>69</v>
      </c>
      <c r="N280">
        <v>3</v>
      </c>
      <c r="O280">
        <v>2</v>
      </c>
      <c r="P280">
        <v>140</v>
      </c>
      <c r="Q280">
        <v>0.50009999999999999</v>
      </c>
      <c r="R280">
        <v>467.57986821616527</v>
      </c>
      <c r="S280">
        <v>127.87986821616528</v>
      </c>
      <c r="T280">
        <v>0.33819444444444446</v>
      </c>
      <c r="U280">
        <v>40.5</v>
      </c>
      <c r="V280">
        <v>0.68333333333333335</v>
      </c>
      <c r="W280">
        <v>79.5</v>
      </c>
      <c r="X280">
        <v>13.5</v>
      </c>
      <c r="Y280">
        <v>40</v>
      </c>
      <c r="Z280">
        <v>0.36180555555555555</v>
      </c>
      <c r="AA280">
        <v>87.5</v>
      </c>
      <c r="AB280">
        <v>15.9</v>
      </c>
      <c r="AC280" t="s">
        <v>552</v>
      </c>
      <c r="AV280" t="s">
        <v>626</v>
      </c>
    </row>
    <row r="281" spans="1:48" x14ac:dyDescent="0.35">
      <c r="A281">
        <v>279</v>
      </c>
      <c r="B281">
        <v>46076</v>
      </c>
      <c r="C281" t="s">
        <v>120</v>
      </c>
      <c r="D281" t="s">
        <v>122</v>
      </c>
      <c r="E281" t="s">
        <v>123</v>
      </c>
      <c r="F281" t="s">
        <v>545</v>
      </c>
      <c r="G281" t="s">
        <v>125</v>
      </c>
      <c r="H281" t="s">
        <v>108</v>
      </c>
      <c r="I281" t="s">
        <v>109</v>
      </c>
      <c r="J281" t="s">
        <v>110</v>
      </c>
      <c r="K281" t="s">
        <v>121</v>
      </c>
      <c r="L281">
        <v>27</v>
      </c>
      <c r="M281">
        <v>69</v>
      </c>
      <c r="N281">
        <v>3</v>
      </c>
      <c r="O281">
        <v>1</v>
      </c>
      <c r="P281">
        <v>141</v>
      </c>
      <c r="Q281">
        <v>0.50039999999999996</v>
      </c>
      <c r="R281">
        <v>468.12419999999992</v>
      </c>
      <c r="S281">
        <v>99.424199999999871</v>
      </c>
      <c r="T281">
        <v>0.33958333333333335</v>
      </c>
      <c r="U281">
        <v>41.5</v>
      </c>
      <c r="V281">
        <v>0.68333333333333335</v>
      </c>
      <c r="W281">
        <v>65.5</v>
      </c>
      <c r="X281">
        <v>14.6</v>
      </c>
      <c r="Y281">
        <v>40</v>
      </c>
      <c r="Z281">
        <v>0.36249999999999999</v>
      </c>
      <c r="AA281">
        <v>84</v>
      </c>
      <c r="AB281">
        <v>16.100000000000001</v>
      </c>
      <c r="AD281">
        <v>24</v>
      </c>
      <c r="AE281">
        <v>44</v>
      </c>
      <c r="AF281">
        <v>22.524988739845064</v>
      </c>
      <c r="AG281">
        <v>42.00873479879084</v>
      </c>
      <c r="AH281">
        <v>64.533723538635911</v>
      </c>
      <c r="AI281">
        <v>3.2886483560173789</v>
      </c>
      <c r="AJ281">
        <v>6.7634063026053255</v>
      </c>
      <c r="AK281">
        <v>10.052054658622705</v>
      </c>
      <c r="AL281">
        <v>137.85598680571508</v>
      </c>
      <c r="AM281">
        <v>21.238850715258874</v>
      </c>
      <c r="AN281">
        <v>1.5406549405207537</v>
      </c>
      <c r="AO281">
        <v>14.599999999999998</v>
      </c>
      <c r="AP281">
        <v>15.576436795258848</v>
      </c>
      <c r="AQ281">
        <v>21.473050653272587</v>
      </c>
      <c r="AR281">
        <v>101.10269590927277</v>
      </c>
      <c r="AS281">
        <v>-2.8745525999139896</v>
      </c>
      <c r="AT281">
        <v>11.917914618632953</v>
      </c>
      <c r="AU281">
        <v>56.113745411236515</v>
      </c>
    </row>
    <row r="282" spans="1:48" x14ac:dyDescent="0.35">
      <c r="A282">
        <v>280</v>
      </c>
      <c r="B282">
        <v>46076</v>
      </c>
      <c r="C282" t="s">
        <v>120</v>
      </c>
      <c r="D282" t="s">
        <v>122</v>
      </c>
      <c r="E282" t="s">
        <v>123</v>
      </c>
      <c r="F282" t="s">
        <v>545</v>
      </c>
      <c r="G282" t="s">
        <v>125</v>
      </c>
      <c r="H282" t="s">
        <v>108</v>
      </c>
      <c r="I282" t="s">
        <v>109</v>
      </c>
      <c r="J282" t="s">
        <v>110</v>
      </c>
      <c r="K282" t="s">
        <v>121</v>
      </c>
      <c r="L282">
        <v>27</v>
      </c>
      <c r="M282">
        <v>69</v>
      </c>
      <c r="N282">
        <v>3</v>
      </c>
      <c r="O282">
        <v>2</v>
      </c>
      <c r="P282">
        <v>142</v>
      </c>
      <c r="Q282">
        <v>0.50019999999999998</v>
      </c>
      <c r="R282">
        <v>467.93709999999999</v>
      </c>
      <c r="S282">
        <v>94.537099999999896</v>
      </c>
      <c r="T282">
        <v>0.33958333333333335</v>
      </c>
      <c r="U282">
        <v>40.5</v>
      </c>
      <c r="V282">
        <v>0.68402777777777779</v>
      </c>
      <c r="W282">
        <v>64.5</v>
      </c>
      <c r="X282">
        <v>15.4</v>
      </c>
      <c r="Y282">
        <v>40</v>
      </c>
      <c r="Z282">
        <v>0.36319444444444443</v>
      </c>
      <c r="AA282">
        <v>83</v>
      </c>
      <c r="AB282">
        <v>16.2</v>
      </c>
      <c r="AD282">
        <v>24</v>
      </c>
      <c r="AE282">
        <v>43</v>
      </c>
      <c r="AF282">
        <v>22.524988739845064</v>
      </c>
      <c r="AG282">
        <v>41.00873479879084</v>
      </c>
      <c r="AH282">
        <v>63.533723538635904</v>
      </c>
      <c r="AI282">
        <v>3.4688482659361397</v>
      </c>
      <c r="AJ282">
        <v>6.6434150374041163</v>
      </c>
      <c r="AK282">
        <v>10.112263303340256</v>
      </c>
      <c r="AL282">
        <v>135.77406779380371</v>
      </c>
      <c r="AM282">
        <v>20.202950353797529</v>
      </c>
      <c r="AN282">
        <v>1.4879829913087075</v>
      </c>
      <c r="AO282">
        <v>15.399999999999999</v>
      </c>
      <c r="AP282">
        <v>15.916371243676318</v>
      </c>
      <c r="AQ282">
        <v>21.610304682702562</v>
      </c>
      <c r="AR282">
        <v>106.96608319210412</v>
      </c>
      <c r="AS282">
        <v>-2.0815063659603523</v>
      </c>
      <c r="AT282">
        <v>11.994092979603774</v>
      </c>
      <c r="AU282">
        <v>59.36802679589448</v>
      </c>
    </row>
    <row r="283" spans="1:48" x14ac:dyDescent="0.35">
      <c r="A283">
        <v>281</v>
      </c>
      <c r="B283">
        <v>46076</v>
      </c>
      <c r="D283" t="s">
        <v>553</v>
      </c>
      <c r="E283" t="s">
        <v>554</v>
      </c>
      <c r="F283">
        <v>24</v>
      </c>
      <c r="G283" t="s">
        <v>553</v>
      </c>
      <c r="K283" t="s">
        <v>553</v>
      </c>
      <c r="L283">
        <v>27</v>
      </c>
      <c r="M283">
        <v>69</v>
      </c>
      <c r="N283">
        <v>3</v>
      </c>
      <c r="O283">
        <v>1</v>
      </c>
      <c r="P283">
        <v>143</v>
      </c>
      <c r="S283">
        <v>0</v>
      </c>
      <c r="T283">
        <v>0.33958333333333335</v>
      </c>
      <c r="U283">
        <v>39.5</v>
      </c>
      <c r="V283">
        <v>0.68402777777777779</v>
      </c>
      <c r="W283">
        <v>41.5</v>
      </c>
      <c r="Y283">
        <v>40</v>
      </c>
      <c r="Z283">
        <v>0.36319444444444443</v>
      </c>
      <c r="AA283">
        <v>42</v>
      </c>
      <c r="AD283">
        <v>2</v>
      </c>
      <c r="AE283">
        <v>2</v>
      </c>
    </row>
    <row r="284" spans="1:48" x14ac:dyDescent="0.35">
      <c r="A284">
        <v>282</v>
      </c>
      <c r="B284">
        <v>46076</v>
      </c>
      <c r="D284" t="s">
        <v>553</v>
      </c>
      <c r="E284" t="s">
        <v>554</v>
      </c>
      <c r="F284">
        <v>24</v>
      </c>
      <c r="G284" t="s">
        <v>553</v>
      </c>
      <c r="K284" t="s">
        <v>553</v>
      </c>
      <c r="L284">
        <v>27</v>
      </c>
      <c r="M284">
        <v>69</v>
      </c>
      <c r="N284">
        <v>3</v>
      </c>
      <c r="O284">
        <v>2</v>
      </c>
      <c r="P284">
        <v>144</v>
      </c>
      <c r="S284">
        <v>0</v>
      </c>
      <c r="T284">
        <v>0.33958333333333335</v>
      </c>
      <c r="U284">
        <v>40</v>
      </c>
      <c r="V284">
        <v>0.68472222222222223</v>
      </c>
      <c r="W284">
        <v>42</v>
      </c>
      <c r="Y284">
        <v>40</v>
      </c>
      <c r="Z284">
        <v>0.36319444444444443</v>
      </c>
      <c r="AA284">
        <v>43</v>
      </c>
      <c r="AD284">
        <v>2</v>
      </c>
      <c r="AE284">
        <v>3</v>
      </c>
    </row>
    <row r="285" spans="1:48" x14ac:dyDescent="0.35">
      <c r="A285">
        <v>283</v>
      </c>
      <c r="B285">
        <v>46048</v>
      </c>
      <c r="D285" t="s">
        <v>537</v>
      </c>
      <c r="E285" t="s">
        <v>538</v>
      </c>
      <c r="F285">
        <v>24</v>
      </c>
      <c r="G285" t="s">
        <v>537</v>
      </c>
      <c r="K285" t="s">
        <v>539</v>
      </c>
      <c r="L285">
        <v>28</v>
      </c>
      <c r="M285">
        <v>60</v>
      </c>
      <c r="N285">
        <v>1</v>
      </c>
      <c r="O285">
        <v>1</v>
      </c>
      <c r="P285">
        <v>211</v>
      </c>
      <c r="S285">
        <v>0</v>
      </c>
      <c r="T285">
        <v>0.33680555555555558</v>
      </c>
      <c r="U285">
        <v>39.5</v>
      </c>
      <c r="V285">
        <v>0.67083333333333328</v>
      </c>
      <c r="W285">
        <v>41.5</v>
      </c>
      <c r="Y285">
        <v>40</v>
      </c>
      <c r="Z285">
        <v>0.33680555555555558</v>
      </c>
      <c r="AA285">
        <v>42.5</v>
      </c>
      <c r="AD285">
        <v>2</v>
      </c>
      <c r="AE285">
        <v>2.5</v>
      </c>
    </row>
    <row r="286" spans="1:48" x14ac:dyDescent="0.35">
      <c r="A286">
        <v>284</v>
      </c>
      <c r="B286">
        <v>46048</v>
      </c>
      <c r="D286" t="s">
        <v>537</v>
      </c>
      <c r="E286" t="s">
        <v>538</v>
      </c>
      <c r="F286">
        <v>24</v>
      </c>
      <c r="G286" t="s">
        <v>537</v>
      </c>
      <c r="K286" t="s">
        <v>539</v>
      </c>
      <c r="L286">
        <v>28</v>
      </c>
      <c r="M286">
        <v>60</v>
      </c>
      <c r="N286">
        <v>1</v>
      </c>
      <c r="O286">
        <v>2</v>
      </c>
      <c r="P286">
        <v>212</v>
      </c>
      <c r="S286">
        <v>0</v>
      </c>
      <c r="T286">
        <v>0.33750000000000002</v>
      </c>
      <c r="U286">
        <v>39.5</v>
      </c>
      <c r="V286">
        <v>0.67083333333333328</v>
      </c>
      <c r="W286">
        <v>41.5</v>
      </c>
      <c r="Y286">
        <v>40</v>
      </c>
      <c r="Z286">
        <v>0.33750000000000002</v>
      </c>
      <c r="AA286">
        <v>42.5</v>
      </c>
      <c r="AD286">
        <v>2</v>
      </c>
      <c r="AE286">
        <v>2.5</v>
      </c>
    </row>
    <row r="287" spans="1:48" x14ac:dyDescent="0.35">
      <c r="A287">
        <v>285</v>
      </c>
      <c r="B287">
        <v>46048</v>
      </c>
      <c r="C287" t="s">
        <v>16</v>
      </c>
      <c r="D287" t="s">
        <v>128</v>
      </c>
      <c r="E287" t="s">
        <v>129</v>
      </c>
      <c r="F287" t="s">
        <v>130</v>
      </c>
      <c r="G287" t="s">
        <v>131</v>
      </c>
      <c r="H287" t="s">
        <v>22</v>
      </c>
      <c r="I287" t="s">
        <v>23</v>
      </c>
      <c r="J287" t="s">
        <v>24</v>
      </c>
      <c r="K287" t="s">
        <v>127</v>
      </c>
      <c r="L287">
        <v>28</v>
      </c>
      <c r="M287">
        <v>60</v>
      </c>
      <c r="N287">
        <v>1</v>
      </c>
      <c r="O287">
        <v>1</v>
      </c>
      <c r="P287">
        <v>213</v>
      </c>
      <c r="Q287">
        <v>0.50029999999999997</v>
      </c>
      <c r="R287">
        <v>473.2195871651341</v>
      </c>
      <c r="S287">
        <v>271.51958716513411</v>
      </c>
      <c r="T287">
        <v>0.34236111111111112</v>
      </c>
      <c r="U287">
        <v>39</v>
      </c>
      <c r="V287">
        <v>0.67083333333333328</v>
      </c>
      <c r="W287">
        <v>65.5</v>
      </c>
      <c r="X287">
        <v>13.2</v>
      </c>
      <c r="Y287">
        <v>38.5</v>
      </c>
      <c r="Z287">
        <v>0.33888888888888891</v>
      </c>
      <c r="AA287">
        <v>79.5</v>
      </c>
      <c r="AB287">
        <v>13.6</v>
      </c>
      <c r="AC287" t="s">
        <v>555</v>
      </c>
      <c r="AD287">
        <v>26.5</v>
      </c>
      <c r="AE287">
        <v>41</v>
      </c>
      <c r="AF287">
        <v>25.246240428868305</v>
      </c>
      <c r="AG287">
        <v>39.00873479879084</v>
      </c>
      <c r="AH287">
        <v>64.254975227659145</v>
      </c>
      <c r="AI287">
        <v>3.3325037366106165</v>
      </c>
      <c r="AJ287">
        <v>5.3051879326355547</v>
      </c>
      <c r="AK287">
        <v>8.6376916692461716</v>
      </c>
      <c r="AL287">
        <v>135.78257741312979</v>
      </c>
      <c r="AM287">
        <v>57.377081280954037</v>
      </c>
      <c r="AN287">
        <v>4.2256585766802379</v>
      </c>
      <c r="AO287">
        <v>13.200000000000001</v>
      </c>
      <c r="AP287">
        <v>13.442837132287924</v>
      </c>
      <c r="AQ287">
        <v>18.25303073566981</v>
      </c>
      <c r="AR287">
        <v>31.812407198427483</v>
      </c>
      <c r="AS287">
        <v>0.47997322605111531</v>
      </c>
      <c r="AT287">
        <v>10.130747854676255</v>
      </c>
      <c r="AU287">
        <v>17.656436382795047</v>
      </c>
    </row>
    <row r="288" spans="1:48" x14ac:dyDescent="0.35">
      <c r="A288">
        <v>286</v>
      </c>
      <c r="B288">
        <v>46048</v>
      </c>
      <c r="C288" t="s">
        <v>16</v>
      </c>
      <c r="D288" t="s">
        <v>128</v>
      </c>
      <c r="E288" t="s">
        <v>129</v>
      </c>
      <c r="F288" t="s">
        <v>130</v>
      </c>
      <c r="G288" t="s">
        <v>131</v>
      </c>
      <c r="H288" t="s">
        <v>22</v>
      </c>
      <c r="I288" t="s">
        <v>23</v>
      </c>
      <c r="J288" t="s">
        <v>24</v>
      </c>
      <c r="K288" t="s">
        <v>127</v>
      </c>
      <c r="L288">
        <v>28</v>
      </c>
      <c r="M288">
        <v>60</v>
      </c>
      <c r="N288">
        <v>1</v>
      </c>
      <c r="O288">
        <v>2</v>
      </c>
      <c r="P288">
        <v>214</v>
      </c>
      <c r="Q288">
        <v>0.50060000000000004</v>
      </c>
      <c r="R288">
        <v>473.50334866053606</v>
      </c>
      <c r="S288">
        <v>279.00334866053606</v>
      </c>
      <c r="T288">
        <v>0.34305555555555556</v>
      </c>
      <c r="U288">
        <v>41.5</v>
      </c>
      <c r="V288">
        <v>0.67152777777777772</v>
      </c>
      <c r="W288">
        <v>70.5</v>
      </c>
      <c r="X288">
        <v>12.9</v>
      </c>
      <c r="Y288">
        <v>41</v>
      </c>
      <c r="Z288">
        <v>0.33888888888888891</v>
      </c>
      <c r="AA288">
        <v>82.5</v>
      </c>
      <c r="AB288">
        <v>14.3</v>
      </c>
      <c r="AD288">
        <v>29</v>
      </c>
      <c r="AE288">
        <v>41.5</v>
      </c>
      <c r="AF288">
        <v>27.746240428868305</v>
      </c>
      <c r="AG288">
        <v>39.50873479879084</v>
      </c>
      <c r="AH288">
        <v>67.254975227659145</v>
      </c>
      <c r="AI288">
        <v>3.5792650153240113</v>
      </c>
      <c r="AJ288">
        <v>5.6497490762270912</v>
      </c>
      <c r="AK288">
        <v>9.2290140915511021</v>
      </c>
      <c r="AL288">
        <v>142.03695796009157</v>
      </c>
      <c r="AM288">
        <v>58.923204967777131</v>
      </c>
      <c r="AN288">
        <v>4.1484417727626148</v>
      </c>
      <c r="AO288">
        <v>12.899999999999999</v>
      </c>
      <c r="AP288">
        <v>13.722425828439823</v>
      </c>
      <c r="AQ288">
        <v>19.490916205045817</v>
      </c>
      <c r="AR288">
        <v>33.078506533554418</v>
      </c>
      <c r="AS288">
        <v>0.44008797250395637</v>
      </c>
      <c r="AT288">
        <v>10.817795706883562</v>
      </c>
      <c r="AU288">
        <v>18.35914341862328</v>
      </c>
    </row>
    <row r="289" spans="1:48" x14ac:dyDescent="0.35">
      <c r="A289">
        <v>287</v>
      </c>
      <c r="B289">
        <v>46048</v>
      </c>
      <c r="C289" t="s">
        <v>16</v>
      </c>
      <c r="D289" t="s">
        <v>128</v>
      </c>
      <c r="E289" t="s">
        <v>129</v>
      </c>
      <c r="F289" t="s">
        <v>130</v>
      </c>
      <c r="G289" t="s">
        <v>131</v>
      </c>
      <c r="H289" t="s">
        <v>22</v>
      </c>
      <c r="I289" t="s">
        <v>23</v>
      </c>
      <c r="J289" t="s">
        <v>24</v>
      </c>
      <c r="K289" t="s">
        <v>127</v>
      </c>
      <c r="L289">
        <v>28</v>
      </c>
      <c r="M289">
        <v>60</v>
      </c>
      <c r="N289">
        <v>1</v>
      </c>
      <c r="O289">
        <v>3</v>
      </c>
      <c r="P289">
        <v>215</v>
      </c>
      <c r="Q289">
        <v>0.50060000000000004</v>
      </c>
      <c r="R289">
        <v>473.50334866053606</v>
      </c>
      <c r="S289">
        <v>281.70334866053611</v>
      </c>
      <c r="T289">
        <v>0.34375</v>
      </c>
      <c r="U289">
        <v>41.5</v>
      </c>
      <c r="V289">
        <v>0.67152777777777772</v>
      </c>
      <c r="W289">
        <v>70</v>
      </c>
      <c r="X289">
        <v>12.9</v>
      </c>
      <c r="Y289">
        <v>40.5</v>
      </c>
      <c r="Z289">
        <v>0.33958333333333335</v>
      </c>
      <c r="AA289">
        <v>83.5</v>
      </c>
      <c r="AB289">
        <v>14.6</v>
      </c>
      <c r="AD289">
        <v>28.5</v>
      </c>
      <c r="AE289">
        <v>43</v>
      </c>
      <c r="AF289">
        <v>27.246240428868305</v>
      </c>
      <c r="AG289">
        <v>41.00873479879084</v>
      </c>
      <c r="AH289">
        <v>68.254975227659145</v>
      </c>
      <c r="AI289">
        <v>3.5147650153240115</v>
      </c>
      <c r="AJ289">
        <v>5.9872752806234626</v>
      </c>
      <c r="AK289">
        <v>9.5020402959474737</v>
      </c>
      <c r="AL289">
        <v>144.14887544246807</v>
      </c>
      <c r="AM289">
        <v>59.493422688018796</v>
      </c>
      <c r="AN289">
        <v>4.127220729638192</v>
      </c>
      <c r="AO289">
        <v>12.9</v>
      </c>
      <c r="AP289">
        <v>13.921388535054273</v>
      </c>
      <c r="AQ289">
        <v>20.067525019257413</v>
      </c>
      <c r="AR289">
        <v>33.73066149596189</v>
      </c>
      <c r="AS289">
        <v>0.43058194955948853</v>
      </c>
      <c r="AT289">
        <v>11.13782357470204</v>
      </c>
      <c r="AU289">
        <v>18.721100705717259</v>
      </c>
    </row>
    <row r="290" spans="1:48" x14ac:dyDescent="0.35">
      <c r="A290">
        <v>288</v>
      </c>
      <c r="B290">
        <v>46048</v>
      </c>
      <c r="C290" t="s">
        <v>16</v>
      </c>
      <c r="D290" t="s">
        <v>135</v>
      </c>
      <c r="E290" t="s">
        <v>99</v>
      </c>
      <c r="F290" t="s">
        <v>100</v>
      </c>
      <c r="G290" t="s">
        <v>101</v>
      </c>
      <c r="H290" t="s">
        <v>22</v>
      </c>
      <c r="I290" t="s">
        <v>23</v>
      </c>
      <c r="J290" t="s">
        <v>24</v>
      </c>
      <c r="K290" t="s">
        <v>134</v>
      </c>
      <c r="L290">
        <v>28</v>
      </c>
      <c r="M290">
        <v>60</v>
      </c>
      <c r="N290">
        <v>1</v>
      </c>
      <c r="O290">
        <v>1</v>
      </c>
      <c r="P290">
        <v>216</v>
      </c>
      <c r="Q290">
        <v>0.50049999999999994</v>
      </c>
      <c r="R290">
        <v>463.77247178276008</v>
      </c>
      <c r="S290">
        <v>124.67247178276</v>
      </c>
      <c r="T290">
        <v>0.34444444444444444</v>
      </c>
      <c r="U290">
        <v>42</v>
      </c>
      <c r="V290">
        <v>0.67222222222222228</v>
      </c>
      <c r="W290">
        <v>75.5</v>
      </c>
      <c r="X290">
        <v>10.4</v>
      </c>
      <c r="Y290">
        <v>40.5</v>
      </c>
      <c r="Z290">
        <v>0.33958333333333335</v>
      </c>
      <c r="AA290">
        <v>71.5</v>
      </c>
      <c r="AB290">
        <v>13.2</v>
      </c>
      <c r="AD290">
        <v>33.5</v>
      </c>
      <c r="AE290">
        <v>31</v>
      </c>
      <c r="AV290" t="s">
        <v>627</v>
      </c>
    </row>
    <row r="291" spans="1:48" x14ac:dyDescent="0.35">
      <c r="A291">
        <v>289</v>
      </c>
      <c r="B291">
        <v>46048</v>
      </c>
      <c r="C291" t="s">
        <v>16</v>
      </c>
      <c r="D291" t="s">
        <v>135</v>
      </c>
      <c r="E291" t="s">
        <v>99</v>
      </c>
      <c r="F291" t="s">
        <v>100</v>
      </c>
      <c r="G291" t="s">
        <v>101</v>
      </c>
      <c r="H291" t="s">
        <v>22</v>
      </c>
      <c r="I291" t="s">
        <v>23</v>
      </c>
      <c r="J291" t="s">
        <v>24</v>
      </c>
      <c r="K291" t="s">
        <v>134</v>
      </c>
      <c r="L291">
        <v>28</v>
      </c>
      <c r="M291">
        <v>60</v>
      </c>
      <c r="N291">
        <v>1</v>
      </c>
      <c r="O291">
        <v>2</v>
      </c>
      <c r="P291">
        <v>217</v>
      </c>
      <c r="Q291">
        <v>0.50049999999999994</v>
      </c>
      <c r="R291">
        <v>463.77247178276008</v>
      </c>
      <c r="S291">
        <v>164.57247178276003</v>
      </c>
      <c r="T291">
        <v>0.34513888888888888</v>
      </c>
      <c r="U291">
        <v>42</v>
      </c>
      <c r="V291">
        <v>0.67222222222222228</v>
      </c>
      <c r="W291">
        <v>76.5</v>
      </c>
      <c r="X291">
        <v>10.199999999999999</v>
      </c>
      <c r="Y291">
        <v>40.5</v>
      </c>
      <c r="Z291">
        <v>0.34027777777777779</v>
      </c>
      <c r="AA291">
        <v>71</v>
      </c>
      <c r="AB291">
        <v>13.2</v>
      </c>
      <c r="AC291" t="s">
        <v>551</v>
      </c>
      <c r="AD291">
        <v>34.5</v>
      </c>
      <c r="AE291">
        <v>30.5</v>
      </c>
      <c r="AF291">
        <v>33.246240428868305</v>
      </c>
      <c r="AG291">
        <v>28.508734798790837</v>
      </c>
      <c r="AH291">
        <v>61.754975227659145</v>
      </c>
      <c r="AI291">
        <v>3.3911165237445671</v>
      </c>
      <c r="AJ291">
        <v>3.7631529934403907</v>
      </c>
      <c r="AK291">
        <v>7.1542695171849573</v>
      </c>
      <c r="AL291">
        <v>133.15791467801125</v>
      </c>
      <c r="AM291">
        <v>35.485605937354755</v>
      </c>
      <c r="AN291">
        <v>2.6649265290134947</v>
      </c>
      <c r="AO291">
        <v>10.199999999999999</v>
      </c>
      <c r="AP291">
        <v>11.584928162971176</v>
      </c>
      <c r="AQ291">
        <v>15.426248758758055</v>
      </c>
      <c r="AR291">
        <v>43.471848236130157</v>
      </c>
      <c r="AS291">
        <v>-0.27118360416435111</v>
      </c>
      <c r="AT291">
        <v>8.5618349512276541</v>
      </c>
      <c r="AU291">
        <v>24.127627879153209</v>
      </c>
    </row>
    <row r="292" spans="1:48" x14ac:dyDescent="0.35">
      <c r="A292">
        <v>290</v>
      </c>
      <c r="B292">
        <v>46048</v>
      </c>
      <c r="C292" t="s">
        <v>16</v>
      </c>
      <c r="D292" t="s">
        <v>135</v>
      </c>
      <c r="E292" t="s">
        <v>99</v>
      </c>
      <c r="F292" t="s">
        <v>100</v>
      </c>
      <c r="G292" t="s">
        <v>101</v>
      </c>
      <c r="H292" t="s">
        <v>22</v>
      </c>
      <c r="I292" t="s">
        <v>23</v>
      </c>
      <c r="J292" t="s">
        <v>24</v>
      </c>
      <c r="K292" t="s">
        <v>134</v>
      </c>
      <c r="L292">
        <v>28</v>
      </c>
      <c r="M292">
        <v>60</v>
      </c>
      <c r="N292">
        <v>1</v>
      </c>
      <c r="O292">
        <v>3</v>
      </c>
      <c r="P292">
        <v>218</v>
      </c>
      <c r="Q292">
        <v>0.5</v>
      </c>
      <c r="R292">
        <v>463.30916262014</v>
      </c>
      <c r="S292">
        <v>211.1091626201399</v>
      </c>
      <c r="T292">
        <v>0.34513888888888888</v>
      </c>
      <c r="U292">
        <v>41.5</v>
      </c>
      <c r="V292">
        <v>0.67291666666666672</v>
      </c>
      <c r="W292">
        <v>76.5</v>
      </c>
      <c r="X292">
        <v>10</v>
      </c>
      <c r="Y292">
        <v>40.5</v>
      </c>
      <c r="Z292">
        <v>0.34027777777777779</v>
      </c>
      <c r="AA292">
        <v>71.5</v>
      </c>
      <c r="AB292">
        <v>12.9</v>
      </c>
      <c r="AD292">
        <v>35</v>
      </c>
      <c r="AE292">
        <v>31</v>
      </c>
      <c r="AF292">
        <v>33.746240428868305</v>
      </c>
      <c r="AG292">
        <v>29.008734798790837</v>
      </c>
      <c r="AH292">
        <v>62.754975227659145</v>
      </c>
      <c r="AI292">
        <v>3.3746240428868308</v>
      </c>
      <c r="AJ292">
        <v>3.742126789044018</v>
      </c>
      <c r="AK292">
        <v>7.1167508319308492</v>
      </c>
      <c r="AL292">
        <v>135.44945857052036</v>
      </c>
      <c r="AM292">
        <v>45.56550563909849</v>
      </c>
      <c r="AN292">
        <v>3.3640227225696346</v>
      </c>
      <c r="AO292">
        <v>10</v>
      </c>
      <c r="AP292">
        <v>11.340536437331192</v>
      </c>
      <c r="AQ292">
        <v>15.360695203357684</v>
      </c>
      <c r="AR292">
        <v>33.711236137753062</v>
      </c>
      <c r="AS292">
        <v>-1.0725360512706663</v>
      </c>
      <c r="AT292">
        <v>8.525451593835891</v>
      </c>
      <c r="AU292">
        <v>18.710319295832502</v>
      </c>
    </row>
    <row r="293" spans="1:48" x14ac:dyDescent="0.35">
      <c r="A293">
        <v>291</v>
      </c>
      <c r="B293">
        <v>46048</v>
      </c>
      <c r="C293" t="s">
        <v>16</v>
      </c>
      <c r="D293" t="s">
        <v>137</v>
      </c>
      <c r="E293" t="s">
        <v>99</v>
      </c>
      <c r="F293" t="s">
        <v>100</v>
      </c>
      <c r="G293" t="s">
        <v>101</v>
      </c>
      <c r="H293" t="s">
        <v>22</v>
      </c>
      <c r="I293" t="s">
        <v>23</v>
      </c>
      <c r="J293" t="s">
        <v>24</v>
      </c>
      <c r="K293" t="s">
        <v>136</v>
      </c>
      <c r="L293">
        <v>28</v>
      </c>
      <c r="M293">
        <v>60</v>
      </c>
      <c r="N293">
        <v>1</v>
      </c>
      <c r="O293">
        <v>1</v>
      </c>
      <c r="P293">
        <v>219</v>
      </c>
      <c r="Q293">
        <v>0.5</v>
      </c>
      <c r="R293">
        <v>471.30431427962986</v>
      </c>
      <c r="S293">
        <v>216.80431427962992</v>
      </c>
      <c r="T293">
        <v>0.34583333333333333</v>
      </c>
      <c r="U293">
        <v>41.5</v>
      </c>
      <c r="V293">
        <v>0.67291666666666672</v>
      </c>
      <c r="W293">
        <v>71</v>
      </c>
      <c r="X293">
        <v>11.5</v>
      </c>
      <c r="Y293">
        <v>40.5</v>
      </c>
      <c r="Z293">
        <v>0.34097222222222223</v>
      </c>
      <c r="AA293">
        <v>73.5</v>
      </c>
      <c r="AB293">
        <v>14.1</v>
      </c>
      <c r="AD293">
        <v>29.5</v>
      </c>
      <c r="AE293">
        <v>33</v>
      </c>
      <c r="AF293">
        <v>28.246240428868305</v>
      </c>
      <c r="AG293">
        <v>31.008734798790837</v>
      </c>
      <c r="AH293">
        <v>59.254975227659145</v>
      </c>
      <c r="AI293">
        <v>3.2483176493198553</v>
      </c>
      <c r="AJ293">
        <v>4.3722316066295077</v>
      </c>
      <c r="AK293">
        <v>7.6205492559493635</v>
      </c>
      <c r="AL293">
        <v>125.72550989317391</v>
      </c>
      <c r="AM293">
        <v>46.000918665683507</v>
      </c>
      <c r="AN293">
        <v>3.6588373119162085</v>
      </c>
      <c r="AO293">
        <v>11.500000000000002</v>
      </c>
      <c r="AP293">
        <v>12.860606601675245</v>
      </c>
      <c r="AQ293">
        <v>16.169063225311383</v>
      </c>
      <c r="AR293">
        <v>35.149435477195027</v>
      </c>
      <c r="AS293">
        <v>-0.44390540879260043</v>
      </c>
      <c r="AT293">
        <v>8.9741098316261123</v>
      </c>
      <c r="AU293">
        <v>19.508544811564299</v>
      </c>
    </row>
    <row r="294" spans="1:48" x14ac:dyDescent="0.35">
      <c r="A294">
        <v>292</v>
      </c>
      <c r="B294">
        <v>46048</v>
      </c>
      <c r="C294" t="s">
        <v>16</v>
      </c>
      <c r="D294" t="s">
        <v>137</v>
      </c>
      <c r="E294" t="s">
        <v>99</v>
      </c>
      <c r="F294" t="s">
        <v>100</v>
      </c>
      <c r="G294" t="s">
        <v>101</v>
      </c>
      <c r="H294" t="s">
        <v>22</v>
      </c>
      <c r="I294" t="s">
        <v>23</v>
      </c>
      <c r="J294" t="s">
        <v>24</v>
      </c>
      <c r="K294" t="s">
        <v>136</v>
      </c>
      <c r="L294">
        <v>28</v>
      </c>
      <c r="M294">
        <v>60</v>
      </c>
      <c r="N294">
        <v>1</v>
      </c>
      <c r="O294">
        <v>2</v>
      </c>
      <c r="P294">
        <v>220</v>
      </c>
      <c r="Q294">
        <v>0.50049999999999994</v>
      </c>
      <c r="R294">
        <v>471.77561859390948</v>
      </c>
      <c r="S294">
        <v>249.37561859390945</v>
      </c>
      <c r="T294">
        <v>0.34652777777777777</v>
      </c>
      <c r="U294">
        <v>41.5</v>
      </c>
      <c r="V294">
        <v>0.67291666666666672</v>
      </c>
      <c r="W294">
        <v>73.5</v>
      </c>
      <c r="X294">
        <v>11</v>
      </c>
      <c r="Y294">
        <v>40.5</v>
      </c>
      <c r="Z294">
        <v>0.34097222222222223</v>
      </c>
      <c r="AA294">
        <v>75.5</v>
      </c>
      <c r="AB294">
        <v>14.3</v>
      </c>
      <c r="AD294">
        <v>32</v>
      </c>
      <c r="AE294">
        <v>35</v>
      </c>
      <c r="AF294">
        <v>30.746240428868305</v>
      </c>
      <c r="AG294">
        <v>33.00873479879084</v>
      </c>
      <c r="AH294">
        <v>63.754975227659145</v>
      </c>
      <c r="AI294">
        <v>3.3820864471755137</v>
      </c>
      <c r="AJ294">
        <v>4.7202490762270903</v>
      </c>
      <c r="AK294">
        <v>8.1023355234026049</v>
      </c>
      <c r="AL294">
        <v>135.13834270977355</v>
      </c>
      <c r="AM294">
        <v>52.85894581351068</v>
      </c>
      <c r="AN294">
        <v>3.9114691473634449</v>
      </c>
      <c r="AO294">
        <v>11</v>
      </c>
      <c r="AP294">
        <v>12.708554108083987</v>
      </c>
      <c r="AQ294">
        <v>17.17412940403954</v>
      </c>
      <c r="AR294">
        <v>32.490487919737994</v>
      </c>
      <c r="AS294">
        <v>-3.5435098180674323</v>
      </c>
      <c r="AT294">
        <v>9.5319389495084508</v>
      </c>
      <c r="AU294">
        <v>18.032782914622747</v>
      </c>
    </row>
    <row r="295" spans="1:48" x14ac:dyDescent="0.35">
      <c r="A295">
        <v>293</v>
      </c>
      <c r="B295">
        <v>46048</v>
      </c>
      <c r="C295" t="s">
        <v>16</v>
      </c>
      <c r="D295" t="s">
        <v>137</v>
      </c>
      <c r="E295" t="s">
        <v>99</v>
      </c>
      <c r="F295" t="s">
        <v>100</v>
      </c>
      <c r="G295" t="s">
        <v>101</v>
      </c>
      <c r="H295" t="s">
        <v>22</v>
      </c>
      <c r="I295" t="s">
        <v>23</v>
      </c>
      <c r="J295" t="s">
        <v>24</v>
      </c>
      <c r="K295" t="s">
        <v>136</v>
      </c>
      <c r="L295">
        <v>28</v>
      </c>
      <c r="M295">
        <v>60</v>
      </c>
      <c r="N295">
        <v>1</v>
      </c>
      <c r="O295">
        <v>3</v>
      </c>
      <c r="P295">
        <v>221</v>
      </c>
      <c r="Q295">
        <v>0.50039999999999996</v>
      </c>
      <c r="R295">
        <v>471.68135773105359</v>
      </c>
      <c r="S295">
        <v>238.98135773105369</v>
      </c>
      <c r="T295">
        <v>0.34722222222222221</v>
      </c>
      <c r="U295">
        <v>41.5</v>
      </c>
      <c r="V295">
        <v>0.67361111111111116</v>
      </c>
      <c r="W295">
        <v>73</v>
      </c>
      <c r="X295">
        <v>11.3</v>
      </c>
      <c r="Y295">
        <v>40.5</v>
      </c>
      <c r="Z295">
        <v>0.34166666666666667</v>
      </c>
      <c r="AA295">
        <v>75.5</v>
      </c>
      <c r="AB295">
        <v>14</v>
      </c>
      <c r="AC295" t="s">
        <v>551</v>
      </c>
      <c r="AD295">
        <v>31.5</v>
      </c>
      <c r="AE295">
        <v>35</v>
      </c>
      <c r="AF295">
        <v>30.246240428868305</v>
      </c>
      <c r="AG295">
        <v>33.00873479879084</v>
      </c>
      <c r="AH295">
        <v>63.254975227659145</v>
      </c>
      <c r="AI295">
        <v>3.4178251684621186</v>
      </c>
      <c r="AJ295">
        <v>4.6212228718307182</v>
      </c>
      <c r="AK295">
        <v>8.0390480402928368</v>
      </c>
      <c r="AL295">
        <v>134.1053111192202</v>
      </c>
      <c r="AM295">
        <v>50.66584757146957</v>
      </c>
      <c r="AN295">
        <v>3.7780642055576314</v>
      </c>
      <c r="AO295">
        <v>11.3</v>
      </c>
      <c r="AP295">
        <v>12.708957692829271</v>
      </c>
      <c r="AQ295">
        <v>17.043387253978764</v>
      </c>
      <c r="AR295">
        <v>33.638808133895822</v>
      </c>
      <c r="AS295">
        <v>-1.141082497510423</v>
      </c>
      <c r="AT295">
        <v>9.4593747942498041</v>
      </c>
      <c r="AU295">
        <v>18.670120500612075</v>
      </c>
    </row>
    <row r="296" spans="1:48" x14ac:dyDescent="0.35">
      <c r="A296">
        <v>294</v>
      </c>
      <c r="B296">
        <v>46048</v>
      </c>
      <c r="C296" t="s">
        <v>16</v>
      </c>
      <c r="D296" t="s">
        <v>139</v>
      </c>
      <c r="E296" t="s">
        <v>79</v>
      </c>
      <c r="F296" t="s">
        <v>80</v>
      </c>
      <c r="G296" t="s">
        <v>81</v>
      </c>
      <c r="H296" t="s">
        <v>22</v>
      </c>
      <c r="I296" t="s">
        <v>23</v>
      </c>
      <c r="J296" t="s">
        <v>24</v>
      </c>
      <c r="K296" t="s">
        <v>138</v>
      </c>
      <c r="L296">
        <v>28</v>
      </c>
      <c r="M296">
        <v>60</v>
      </c>
      <c r="N296">
        <v>1</v>
      </c>
      <c r="O296">
        <v>1</v>
      </c>
      <c r="P296">
        <v>222</v>
      </c>
      <c r="Q296">
        <v>0.50029999999999997</v>
      </c>
      <c r="R296">
        <v>467.21842480689094</v>
      </c>
      <c r="S296">
        <v>279.71842480689094</v>
      </c>
      <c r="T296">
        <v>0.34722222222222221</v>
      </c>
      <c r="U296">
        <v>41.5</v>
      </c>
      <c r="V296">
        <v>0.6743055555555556</v>
      </c>
      <c r="W296">
        <v>52.5</v>
      </c>
      <c r="X296">
        <v>9</v>
      </c>
      <c r="Y296">
        <v>40.5</v>
      </c>
      <c r="Z296">
        <v>0.34166666666666667</v>
      </c>
      <c r="AA296">
        <v>55</v>
      </c>
      <c r="AB296">
        <v>5.0999999999999996</v>
      </c>
      <c r="AC296" t="s">
        <v>556</v>
      </c>
      <c r="AD296">
        <v>11</v>
      </c>
      <c r="AE296">
        <v>14.5</v>
      </c>
      <c r="AF296">
        <v>9.7462404288683047</v>
      </c>
      <c r="AG296">
        <v>12.508734798790837</v>
      </c>
      <c r="AH296">
        <v>22.254975227659141</v>
      </c>
      <c r="AI296">
        <v>0.87716163859814744</v>
      </c>
      <c r="AJ296">
        <v>0.63794547473833263</v>
      </c>
      <c r="AK296">
        <v>1.5151071133364802</v>
      </c>
      <c r="AL296">
        <v>47.632914384439118</v>
      </c>
      <c r="AM296">
        <v>59.868877157938108</v>
      </c>
      <c r="AN296">
        <v>12.568804141343128</v>
      </c>
      <c r="AO296">
        <v>9</v>
      </c>
      <c r="AP296">
        <v>6.8079478760931638</v>
      </c>
      <c r="AQ296">
        <v>3.2428239831566978</v>
      </c>
      <c r="AR296">
        <v>5.4165438489883666</v>
      </c>
      <c r="AS296">
        <v>6.448740818277833E-2</v>
      </c>
      <c r="AT296">
        <v>1.7998234148731291</v>
      </c>
      <c r="AU296">
        <v>3.0062755480198415</v>
      </c>
    </row>
    <row r="297" spans="1:48" x14ac:dyDescent="0.35">
      <c r="A297">
        <v>295</v>
      </c>
      <c r="B297">
        <v>46048</v>
      </c>
      <c r="C297" t="s">
        <v>16</v>
      </c>
      <c r="D297" t="s">
        <v>139</v>
      </c>
      <c r="E297" t="s">
        <v>79</v>
      </c>
      <c r="F297" t="s">
        <v>80</v>
      </c>
      <c r="G297" t="s">
        <v>81</v>
      </c>
      <c r="H297" t="s">
        <v>22</v>
      </c>
      <c r="I297" t="s">
        <v>23</v>
      </c>
      <c r="J297" t="s">
        <v>24</v>
      </c>
      <c r="K297" t="s">
        <v>138</v>
      </c>
      <c r="L297">
        <v>28</v>
      </c>
      <c r="M297">
        <v>60</v>
      </c>
      <c r="N297">
        <v>1</v>
      </c>
      <c r="O297">
        <v>2</v>
      </c>
      <c r="P297">
        <v>223</v>
      </c>
      <c r="Q297">
        <v>0.5</v>
      </c>
      <c r="R297">
        <v>466.93826184978116</v>
      </c>
      <c r="S297">
        <v>276.83826184978125</v>
      </c>
      <c r="T297">
        <v>0.34791666666666665</v>
      </c>
      <c r="U297">
        <v>40.5</v>
      </c>
      <c r="V297">
        <v>0.6743055555555556</v>
      </c>
      <c r="W297">
        <v>53</v>
      </c>
      <c r="X297">
        <v>6.2</v>
      </c>
      <c r="Y297">
        <v>40</v>
      </c>
      <c r="Z297">
        <v>0.34236111111111112</v>
      </c>
      <c r="AA297">
        <v>56</v>
      </c>
      <c r="AB297">
        <v>1.9</v>
      </c>
      <c r="AC297" t="s">
        <v>557</v>
      </c>
      <c r="AD297">
        <v>12.5</v>
      </c>
      <c r="AE297">
        <v>16</v>
      </c>
      <c r="AF297">
        <v>11.246240428868305</v>
      </c>
      <c r="AG297">
        <v>14.008734798790837</v>
      </c>
      <c r="AH297">
        <v>25.254975227659141</v>
      </c>
      <c r="AI297">
        <v>0.69726690658983492</v>
      </c>
      <c r="AJ297">
        <v>0.2661659611770259</v>
      </c>
      <c r="AK297">
        <v>0.96343286776686088</v>
      </c>
      <c r="AL297">
        <v>54.086326375592513</v>
      </c>
      <c r="AM297">
        <v>59.28797968988092</v>
      </c>
      <c r="AN297">
        <v>10.961731672838434</v>
      </c>
      <c r="AO297">
        <v>6.2</v>
      </c>
      <c r="AP297">
        <v>3.8148240458842868</v>
      </c>
      <c r="AQ297">
        <v>2.0632981841115585</v>
      </c>
      <c r="AR297">
        <v>3.4801290158715181</v>
      </c>
      <c r="AS297">
        <v>4.3034977563098091E-2</v>
      </c>
      <c r="AT297">
        <v>1.1451661893823322</v>
      </c>
      <c r="AU297">
        <v>1.9315318136532578</v>
      </c>
    </row>
    <row r="298" spans="1:48" x14ac:dyDescent="0.35">
      <c r="A298">
        <v>296</v>
      </c>
      <c r="B298">
        <v>46048</v>
      </c>
      <c r="C298" t="s">
        <v>16</v>
      </c>
      <c r="D298" t="s">
        <v>139</v>
      </c>
      <c r="E298" t="s">
        <v>79</v>
      </c>
      <c r="F298" t="s">
        <v>80</v>
      </c>
      <c r="G298" t="s">
        <v>81</v>
      </c>
      <c r="H298" t="s">
        <v>22</v>
      </c>
      <c r="I298" t="s">
        <v>23</v>
      </c>
      <c r="J298" t="s">
        <v>24</v>
      </c>
      <c r="K298" t="s">
        <v>138</v>
      </c>
      <c r="L298">
        <v>28</v>
      </c>
      <c r="M298">
        <v>60</v>
      </c>
      <c r="N298">
        <v>1</v>
      </c>
      <c r="O298">
        <v>3</v>
      </c>
      <c r="P298">
        <v>224</v>
      </c>
      <c r="Q298">
        <v>0.50039999999999996</v>
      </c>
      <c r="R298">
        <v>467.31181245926098</v>
      </c>
      <c r="S298">
        <v>295.31181245926098</v>
      </c>
      <c r="T298">
        <v>0.34930555555555554</v>
      </c>
      <c r="U298">
        <v>40.5</v>
      </c>
      <c r="V298">
        <v>0.67500000000000004</v>
      </c>
      <c r="W298">
        <v>53.5</v>
      </c>
      <c r="X298">
        <v>5.6</v>
      </c>
      <c r="Y298">
        <v>40</v>
      </c>
      <c r="Z298">
        <v>0.34305555555555556</v>
      </c>
      <c r="AA298">
        <v>54.5</v>
      </c>
      <c r="AB298">
        <v>0.9</v>
      </c>
      <c r="AC298" t="s">
        <v>558</v>
      </c>
      <c r="AD298">
        <v>13</v>
      </c>
      <c r="AE298">
        <v>14.5</v>
      </c>
      <c r="AF298">
        <v>11.746240428868305</v>
      </c>
      <c r="AG298">
        <v>12.508734798790837</v>
      </c>
      <c r="AH298">
        <v>24.254975227659141</v>
      </c>
      <c r="AI298">
        <v>0.65778946401662497</v>
      </c>
      <c r="AJ298">
        <v>0.11257861318911755</v>
      </c>
      <c r="AK298">
        <v>0.77036807720574252</v>
      </c>
      <c r="AL298">
        <v>51.903193073626028</v>
      </c>
      <c r="AM298">
        <v>63.193740150749022</v>
      </c>
      <c r="AN298">
        <v>12.175308763972778</v>
      </c>
      <c r="AO298">
        <v>5.6</v>
      </c>
      <c r="AP298">
        <v>3.1761239497258025</v>
      </c>
      <c r="AQ298">
        <v>1.6485097458838605</v>
      </c>
      <c r="AR298">
        <v>2.6086598798414702</v>
      </c>
      <c r="AS298">
        <v>2.5822604969074275E-2</v>
      </c>
      <c r="AT298">
        <v>0.91495142989540201</v>
      </c>
      <c r="AU298">
        <v>1.4478513658358885</v>
      </c>
    </row>
    <row r="299" spans="1:48" x14ac:dyDescent="0.35">
      <c r="A299">
        <v>297</v>
      </c>
      <c r="B299">
        <v>46048</v>
      </c>
      <c r="C299" t="s">
        <v>16</v>
      </c>
      <c r="D299" t="s">
        <v>141</v>
      </c>
      <c r="E299" t="s">
        <v>142</v>
      </c>
      <c r="F299" t="s">
        <v>143</v>
      </c>
      <c r="G299" t="s">
        <v>144</v>
      </c>
      <c r="H299" t="s">
        <v>22</v>
      </c>
      <c r="I299" t="s">
        <v>23</v>
      </c>
      <c r="J299" t="s">
        <v>24</v>
      </c>
      <c r="K299" t="s">
        <v>140</v>
      </c>
      <c r="L299">
        <v>28</v>
      </c>
      <c r="M299">
        <v>60</v>
      </c>
      <c r="N299">
        <v>1</v>
      </c>
      <c r="O299">
        <v>1</v>
      </c>
      <c r="P299">
        <v>225</v>
      </c>
      <c r="Q299">
        <v>0.50049999999999994</v>
      </c>
      <c r="R299">
        <v>466.50299062388405</v>
      </c>
      <c r="S299">
        <v>119.50299062388405</v>
      </c>
      <c r="T299">
        <v>0.35</v>
      </c>
      <c r="U299">
        <v>41.5</v>
      </c>
      <c r="V299">
        <v>0.67569444444444449</v>
      </c>
      <c r="W299">
        <v>80</v>
      </c>
      <c r="X299">
        <v>13.3</v>
      </c>
      <c r="Y299">
        <v>41</v>
      </c>
      <c r="Z299">
        <v>0.34861111111111109</v>
      </c>
      <c r="AA299">
        <v>80.5</v>
      </c>
      <c r="AB299">
        <v>16.600000000000001</v>
      </c>
      <c r="AD299">
        <v>38.5</v>
      </c>
      <c r="AE299">
        <v>39.5</v>
      </c>
      <c r="AF299">
        <v>37.246240428868305</v>
      </c>
      <c r="AG299">
        <v>37.50873479879084</v>
      </c>
      <c r="AH299">
        <v>74.754975227659145</v>
      </c>
      <c r="AI299">
        <v>4.9537499770394851</v>
      </c>
      <c r="AJ299">
        <v>6.2264499765992802</v>
      </c>
      <c r="AK299">
        <v>11.180199953638766</v>
      </c>
      <c r="AL299">
        <v>160.24543621399849</v>
      </c>
      <c r="AM299">
        <v>25.616768386428802</v>
      </c>
      <c r="AN299">
        <v>1.5985958159968496</v>
      </c>
      <c r="AO299">
        <v>13.3</v>
      </c>
      <c r="AP299">
        <v>14.955793804479947</v>
      </c>
      <c r="AQ299">
        <v>23.965977021255053</v>
      </c>
      <c r="AR299">
        <v>93.555817266754445</v>
      </c>
      <c r="AS299">
        <v>-0.3334259768782849</v>
      </c>
      <c r="AT299">
        <v>13.301531883077198</v>
      </c>
      <c r="AU299">
        <v>51.925097195804199</v>
      </c>
    </row>
    <row r="300" spans="1:48" x14ac:dyDescent="0.35">
      <c r="A300">
        <v>298</v>
      </c>
      <c r="B300">
        <v>46048</v>
      </c>
      <c r="C300" t="s">
        <v>16</v>
      </c>
      <c r="D300" t="s">
        <v>141</v>
      </c>
      <c r="E300" t="s">
        <v>142</v>
      </c>
      <c r="F300" t="s">
        <v>143</v>
      </c>
      <c r="G300" t="s">
        <v>144</v>
      </c>
      <c r="H300" t="s">
        <v>22</v>
      </c>
      <c r="I300" t="s">
        <v>23</v>
      </c>
      <c r="J300" t="s">
        <v>24</v>
      </c>
      <c r="K300" t="s">
        <v>140</v>
      </c>
      <c r="L300">
        <v>28</v>
      </c>
      <c r="M300">
        <v>60</v>
      </c>
      <c r="N300">
        <v>1</v>
      </c>
      <c r="O300">
        <v>2</v>
      </c>
      <c r="P300">
        <v>226</v>
      </c>
      <c r="Q300">
        <v>0.50060000000000004</v>
      </c>
      <c r="R300">
        <v>466.59619801461815</v>
      </c>
      <c r="S300">
        <v>235.19619801461809</v>
      </c>
      <c r="T300">
        <v>0.35069444444444442</v>
      </c>
      <c r="U300">
        <v>42</v>
      </c>
      <c r="V300">
        <v>0.67569444444444449</v>
      </c>
      <c r="W300">
        <v>79.5</v>
      </c>
      <c r="X300">
        <v>13.5</v>
      </c>
      <c r="Y300">
        <v>40.5</v>
      </c>
      <c r="Z300">
        <v>0.34861111111111109</v>
      </c>
      <c r="AA300">
        <v>84</v>
      </c>
      <c r="AB300">
        <v>18.2</v>
      </c>
      <c r="AD300">
        <v>37.5</v>
      </c>
      <c r="AE300">
        <v>43.5</v>
      </c>
      <c r="AF300">
        <v>36.246240428868305</v>
      </c>
      <c r="AG300">
        <v>41.50873479879084</v>
      </c>
      <c r="AH300">
        <v>77.754975227659145</v>
      </c>
      <c r="AI300">
        <v>4.8932424578972213</v>
      </c>
      <c r="AJ300">
        <v>7.5545897333799328</v>
      </c>
      <c r="AK300">
        <v>12.447832191277154</v>
      </c>
      <c r="AL300">
        <v>166.64296785638004</v>
      </c>
      <c r="AM300">
        <v>50.406796929633266</v>
      </c>
      <c r="AN300">
        <v>3.0248379261389524</v>
      </c>
      <c r="AO300">
        <v>13.500000000000002</v>
      </c>
      <c r="AP300">
        <v>16.009049137796122</v>
      </c>
      <c r="AQ300">
        <v>26.677954608809678</v>
      </c>
      <c r="AR300">
        <v>52.925312128147098</v>
      </c>
      <c r="AS300">
        <v>1.1345834157764583</v>
      </c>
      <c r="AT300">
        <v>14.80672636419748</v>
      </c>
      <c r="AU300">
        <v>29.374463893961227</v>
      </c>
    </row>
    <row r="301" spans="1:48" x14ac:dyDescent="0.35">
      <c r="A301">
        <v>299</v>
      </c>
      <c r="B301">
        <v>46048</v>
      </c>
      <c r="C301" t="s">
        <v>16</v>
      </c>
      <c r="D301" t="s">
        <v>141</v>
      </c>
      <c r="E301" t="s">
        <v>142</v>
      </c>
      <c r="F301" t="s">
        <v>143</v>
      </c>
      <c r="G301" t="s">
        <v>144</v>
      </c>
      <c r="H301" t="s">
        <v>22</v>
      </c>
      <c r="I301" t="s">
        <v>23</v>
      </c>
      <c r="J301" t="s">
        <v>24</v>
      </c>
      <c r="K301" t="s">
        <v>140</v>
      </c>
      <c r="L301">
        <v>28</v>
      </c>
      <c r="M301">
        <v>60</v>
      </c>
      <c r="N301">
        <v>1</v>
      </c>
      <c r="O301">
        <v>3</v>
      </c>
      <c r="P301">
        <v>227</v>
      </c>
      <c r="Q301">
        <v>0.50039999999999996</v>
      </c>
      <c r="R301">
        <v>466.40978323314999</v>
      </c>
      <c r="S301">
        <v>188.60978323314993</v>
      </c>
      <c r="T301">
        <v>0.35138888888888886</v>
      </c>
      <c r="U301">
        <v>42</v>
      </c>
      <c r="V301">
        <v>0.67638888888888893</v>
      </c>
      <c r="W301">
        <v>80.5</v>
      </c>
      <c r="X301">
        <v>13.1</v>
      </c>
      <c r="Y301">
        <v>40.5</v>
      </c>
      <c r="Z301">
        <v>0.34861111111111109</v>
      </c>
      <c r="AA301">
        <v>80.5</v>
      </c>
      <c r="AB301">
        <v>18.5</v>
      </c>
      <c r="AD301">
        <v>38.5</v>
      </c>
      <c r="AE301">
        <v>40</v>
      </c>
      <c r="AF301">
        <v>37.246240428868305</v>
      </c>
      <c r="AG301">
        <v>38.00873479879084</v>
      </c>
      <c r="AH301">
        <v>75.254975227659145</v>
      </c>
      <c r="AI301">
        <v>4.8792574961817481</v>
      </c>
      <c r="AJ301">
        <v>7.031615937776305</v>
      </c>
      <c r="AK301">
        <v>11.910873433958052</v>
      </c>
      <c r="AL301">
        <v>161.349478362122</v>
      </c>
      <c r="AM301">
        <v>40.438642158341523</v>
      </c>
      <c r="AN301">
        <v>2.5062765971628207</v>
      </c>
      <c r="AO301">
        <v>13.1</v>
      </c>
      <c r="AP301">
        <v>15.82735679325603</v>
      </c>
      <c r="AQ301">
        <v>25.537357624430484</v>
      </c>
      <c r="AR301">
        <v>63.150878124038925</v>
      </c>
      <c r="AS301">
        <v>-1.7203913941879745</v>
      </c>
      <c r="AT301">
        <v>14.173675304355188</v>
      </c>
      <c r="AU301">
        <v>35.049829934587699</v>
      </c>
    </row>
    <row r="302" spans="1:48" x14ac:dyDescent="0.35">
      <c r="A302">
        <v>300</v>
      </c>
      <c r="B302">
        <v>46048</v>
      </c>
      <c r="C302" t="s">
        <v>16</v>
      </c>
      <c r="D302" t="s">
        <v>146</v>
      </c>
      <c r="E302" t="s">
        <v>88</v>
      </c>
      <c r="F302" t="s">
        <v>147</v>
      </c>
      <c r="G302" t="s">
        <v>148</v>
      </c>
      <c r="H302" t="s">
        <v>22</v>
      </c>
      <c r="I302" t="s">
        <v>23</v>
      </c>
      <c r="J302" t="s">
        <v>24</v>
      </c>
      <c r="K302" t="s">
        <v>145</v>
      </c>
      <c r="L302">
        <v>28</v>
      </c>
      <c r="M302">
        <v>60</v>
      </c>
      <c r="N302">
        <v>1</v>
      </c>
      <c r="O302">
        <v>1</v>
      </c>
      <c r="P302">
        <v>228</v>
      </c>
      <c r="Q302">
        <v>0.50029999999999997</v>
      </c>
      <c r="R302">
        <v>470.14250195538108</v>
      </c>
      <c r="S302">
        <v>115.94250195538103</v>
      </c>
      <c r="T302">
        <v>0.35138888888888886</v>
      </c>
      <c r="U302">
        <v>41.5</v>
      </c>
      <c r="V302">
        <v>0.67708333333333337</v>
      </c>
      <c r="W302">
        <v>63.5</v>
      </c>
      <c r="X302">
        <v>11.8</v>
      </c>
      <c r="Y302">
        <v>41</v>
      </c>
      <c r="Z302">
        <v>0.34930555555555554</v>
      </c>
      <c r="AA302">
        <v>58.5</v>
      </c>
      <c r="AB302">
        <v>12.9</v>
      </c>
      <c r="AC302" t="s">
        <v>559</v>
      </c>
      <c r="AD302">
        <v>22</v>
      </c>
      <c r="AE302">
        <v>17.5</v>
      </c>
      <c r="AF302">
        <v>20.746240428868305</v>
      </c>
      <c r="AG302">
        <v>15.508734798790837</v>
      </c>
      <c r="AH302">
        <v>36.254975227659145</v>
      </c>
      <c r="AI302">
        <v>2.44805637060646</v>
      </c>
      <c r="AJ302">
        <v>2.0006267890440181</v>
      </c>
      <c r="AK302">
        <v>4.4486831596504786</v>
      </c>
      <c r="AL302">
        <v>77.114864273853556</v>
      </c>
      <c r="AM302">
        <v>24.661140286862338</v>
      </c>
      <c r="AN302">
        <v>3.1979749324701725</v>
      </c>
      <c r="AO302">
        <v>11.8</v>
      </c>
      <c r="AP302">
        <v>12.270545302308054</v>
      </c>
      <c r="AQ302">
        <v>9.4624143555365716</v>
      </c>
      <c r="AR302">
        <v>38.369735727822203</v>
      </c>
      <c r="AS302">
        <v>-0.15206434684528647</v>
      </c>
      <c r="AT302">
        <v>5.2518036769137231</v>
      </c>
      <c r="AU302">
        <v>21.295867165199585</v>
      </c>
    </row>
    <row r="303" spans="1:48" x14ac:dyDescent="0.35">
      <c r="A303">
        <v>301</v>
      </c>
      <c r="B303">
        <v>46048</v>
      </c>
      <c r="C303" t="s">
        <v>16</v>
      </c>
      <c r="D303" t="s">
        <v>146</v>
      </c>
      <c r="E303" t="s">
        <v>88</v>
      </c>
      <c r="F303" t="s">
        <v>147</v>
      </c>
      <c r="G303" t="s">
        <v>148</v>
      </c>
      <c r="H303" t="s">
        <v>22</v>
      </c>
      <c r="I303" t="s">
        <v>23</v>
      </c>
      <c r="J303" t="s">
        <v>24</v>
      </c>
      <c r="K303" t="s">
        <v>145</v>
      </c>
      <c r="L303">
        <v>28</v>
      </c>
      <c r="M303">
        <v>60</v>
      </c>
      <c r="N303">
        <v>1</v>
      </c>
      <c r="O303">
        <v>2</v>
      </c>
      <c r="P303">
        <v>229</v>
      </c>
      <c r="Q303">
        <v>0.50029999999999997</v>
      </c>
      <c r="R303">
        <v>470.14250195538108</v>
      </c>
      <c r="S303">
        <v>116.54250195538117</v>
      </c>
      <c r="T303">
        <v>0.35208333333333336</v>
      </c>
      <c r="U303">
        <v>41</v>
      </c>
      <c r="V303">
        <v>0.67708333333333337</v>
      </c>
      <c r="W303">
        <v>61.5</v>
      </c>
      <c r="X303">
        <v>12.1</v>
      </c>
      <c r="Y303">
        <v>40.5</v>
      </c>
      <c r="Z303">
        <v>0.35</v>
      </c>
      <c r="AA303">
        <v>58.5</v>
      </c>
      <c r="AB303">
        <v>11.5</v>
      </c>
      <c r="AD303">
        <v>20.5</v>
      </c>
      <c r="AE303">
        <v>18</v>
      </c>
      <c r="AF303">
        <v>19.246240428868305</v>
      </c>
      <c r="AG303">
        <v>16.008734798790837</v>
      </c>
      <c r="AH303">
        <v>35.254975227659145</v>
      </c>
      <c r="AI303">
        <v>2.3287950918930647</v>
      </c>
      <c r="AJ303">
        <v>1.8410045018609462</v>
      </c>
      <c r="AK303">
        <v>4.1697995937540107</v>
      </c>
      <c r="AL303">
        <v>74.987849600981249</v>
      </c>
      <c r="AM303">
        <v>24.788761167234703</v>
      </c>
      <c r="AN303">
        <v>3.3057036972174139</v>
      </c>
      <c r="AO303">
        <v>12.099999999999998</v>
      </c>
      <c r="AP303">
        <v>11.827549351056163</v>
      </c>
      <c r="AQ303">
        <v>8.8692249188518293</v>
      </c>
      <c r="AR303">
        <v>35.779218086037297</v>
      </c>
      <c r="AS303">
        <v>-0.14360636513851827</v>
      </c>
      <c r="AT303">
        <v>4.9225732767606694</v>
      </c>
      <c r="AU303">
        <v>19.858085055364644</v>
      </c>
    </row>
    <row r="304" spans="1:48" x14ac:dyDescent="0.35">
      <c r="A304">
        <v>302</v>
      </c>
      <c r="B304">
        <v>46048</v>
      </c>
      <c r="C304" t="s">
        <v>16</v>
      </c>
      <c r="D304" t="s">
        <v>146</v>
      </c>
      <c r="E304" t="s">
        <v>88</v>
      </c>
      <c r="F304" t="s">
        <v>147</v>
      </c>
      <c r="G304" t="s">
        <v>148</v>
      </c>
      <c r="H304" t="s">
        <v>22</v>
      </c>
      <c r="I304" t="s">
        <v>23</v>
      </c>
      <c r="J304" t="s">
        <v>24</v>
      </c>
      <c r="K304" t="s">
        <v>145</v>
      </c>
      <c r="L304">
        <v>28</v>
      </c>
      <c r="M304">
        <v>60</v>
      </c>
      <c r="N304">
        <v>1</v>
      </c>
      <c r="O304">
        <v>3</v>
      </c>
      <c r="P304">
        <v>230</v>
      </c>
      <c r="Q304">
        <v>0.50060000000000004</v>
      </c>
      <c r="R304">
        <v>470.42441830674358</v>
      </c>
      <c r="S304">
        <v>0</v>
      </c>
      <c r="T304">
        <v>0.3527777777777778</v>
      </c>
      <c r="U304">
        <v>40.5</v>
      </c>
      <c r="V304">
        <v>0.67777777777777781</v>
      </c>
      <c r="W304">
        <v>62.5</v>
      </c>
      <c r="X304">
        <v>11.6</v>
      </c>
      <c r="Y304">
        <v>40.5</v>
      </c>
      <c r="Z304">
        <v>0.35069444444444442</v>
      </c>
      <c r="AA304">
        <v>58</v>
      </c>
      <c r="AB304">
        <v>11.4</v>
      </c>
      <c r="AD304">
        <v>22</v>
      </c>
      <c r="AE304">
        <v>17.5</v>
      </c>
      <c r="AV304" t="s">
        <v>611</v>
      </c>
    </row>
    <row r="305" spans="1:47" x14ac:dyDescent="0.35">
      <c r="A305">
        <v>303</v>
      </c>
      <c r="B305">
        <v>46048</v>
      </c>
      <c r="C305" t="s">
        <v>16</v>
      </c>
      <c r="D305" t="s">
        <v>150</v>
      </c>
      <c r="E305" t="s">
        <v>142</v>
      </c>
      <c r="F305" t="s">
        <v>151</v>
      </c>
      <c r="G305" t="s">
        <v>152</v>
      </c>
      <c r="H305" t="s">
        <v>22</v>
      </c>
      <c r="I305" t="s">
        <v>23</v>
      </c>
      <c r="J305" t="s">
        <v>24</v>
      </c>
      <c r="K305" t="s">
        <v>149</v>
      </c>
      <c r="L305">
        <v>28</v>
      </c>
      <c r="M305">
        <v>60</v>
      </c>
      <c r="N305">
        <v>1</v>
      </c>
      <c r="O305">
        <v>1</v>
      </c>
      <c r="P305">
        <v>231</v>
      </c>
      <c r="Q305">
        <v>0.50029999999999997</v>
      </c>
      <c r="R305">
        <v>469.86587523742867</v>
      </c>
      <c r="S305">
        <v>332.26587523742876</v>
      </c>
      <c r="T305">
        <v>0.3527777777777778</v>
      </c>
      <c r="U305">
        <v>41</v>
      </c>
      <c r="V305">
        <v>0.67777777777777781</v>
      </c>
      <c r="W305">
        <v>89.5</v>
      </c>
      <c r="X305">
        <v>12.1</v>
      </c>
      <c r="Y305">
        <v>40.5</v>
      </c>
      <c r="Z305">
        <v>0.35069444444444442</v>
      </c>
      <c r="AA305">
        <v>94.5</v>
      </c>
      <c r="AB305">
        <v>16.8</v>
      </c>
      <c r="AD305">
        <v>48.5</v>
      </c>
      <c r="AE305">
        <v>54</v>
      </c>
      <c r="AF305">
        <v>47.246240428868305</v>
      </c>
      <c r="AG305">
        <v>52.00873479879084</v>
      </c>
      <c r="AH305">
        <v>99.254975227659145</v>
      </c>
      <c r="AI305">
        <v>5.716795091893065</v>
      </c>
      <c r="AJ305">
        <v>8.7374674461968613</v>
      </c>
      <c r="AK305">
        <v>14.454262538089926</v>
      </c>
      <c r="AL305">
        <v>211.24108061157762</v>
      </c>
      <c r="AM305">
        <v>70.715047154580219</v>
      </c>
      <c r="AN305">
        <v>3.3475991956606426</v>
      </c>
      <c r="AO305">
        <v>12.100000000000001</v>
      </c>
      <c r="AP305">
        <v>14.562758697925695</v>
      </c>
      <c r="AQ305">
        <v>30.762528840354751</v>
      </c>
      <c r="AR305">
        <v>43.502097613127667</v>
      </c>
      <c r="AS305">
        <v>0.3203661370455862</v>
      </c>
      <c r="AT305">
        <v>17.073735730079243</v>
      </c>
      <c r="AU305">
        <v>24.144416806732451</v>
      </c>
    </row>
    <row r="306" spans="1:47" x14ac:dyDescent="0.35">
      <c r="A306">
        <v>304</v>
      </c>
      <c r="B306">
        <v>46048</v>
      </c>
      <c r="C306" t="s">
        <v>16</v>
      </c>
      <c r="D306" t="s">
        <v>150</v>
      </c>
      <c r="E306" t="s">
        <v>142</v>
      </c>
      <c r="F306" t="s">
        <v>151</v>
      </c>
      <c r="G306" t="s">
        <v>152</v>
      </c>
      <c r="H306" t="s">
        <v>22</v>
      </c>
      <c r="I306" t="s">
        <v>23</v>
      </c>
      <c r="J306" t="s">
        <v>24</v>
      </c>
      <c r="K306" t="s">
        <v>149</v>
      </c>
      <c r="L306">
        <v>28</v>
      </c>
      <c r="M306">
        <v>60</v>
      </c>
      <c r="N306">
        <v>1</v>
      </c>
      <c r="O306">
        <v>2</v>
      </c>
      <c r="P306">
        <v>232</v>
      </c>
      <c r="Q306">
        <v>0.5</v>
      </c>
      <c r="R306">
        <v>469.58412476257115</v>
      </c>
      <c r="S306">
        <v>313.48412476257113</v>
      </c>
      <c r="T306">
        <v>0.35347222222222224</v>
      </c>
      <c r="U306">
        <v>41.5</v>
      </c>
      <c r="V306">
        <v>0.67847222222222225</v>
      </c>
      <c r="W306">
        <v>90.5</v>
      </c>
      <c r="X306">
        <v>12.5</v>
      </c>
      <c r="Y306">
        <v>40.5</v>
      </c>
      <c r="Z306">
        <v>0.35069444444444442</v>
      </c>
      <c r="AA306">
        <v>95.5</v>
      </c>
      <c r="AB306">
        <v>17.5</v>
      </c>
      <c r="AD306">
        <v>49</v>
      </c>
      <c r="AE306">
        <v>55</v>
      </c>
      <c r="AF306">
        <v>47.746240428868305</v>
      </c>
      <c r="AG306">
        <v>53.00873479879084</v>
      </c>
      <c r="AH306">
        <v>100.75497522765914</v>
      </c>
      <c r="AI306">
        <v>5.9682800536085381</v>
      </c>
      <c r="AJ306">
        <v>9.2765285897883967</v>
      </c>
      <c r="AK306">
        <v>15.244808643396935</v>
      </c>
      <c r="AL306">
        <v>214.56214108303254</v>
      </c>
      <c r="AM306">
        <v>66.757820001064445</v>
      </c>
      <c r="AN306">
        <v>3.1113513159448805</v>
      </c>
      <c r="AO306">
        <v>12.5</v>
      </c>
      <c r="AP306">
        <v>15.130576538727535</v>
      </c>
      <c r="AQ306">
        <v>32.464488979700796</v>
      </c>
      <c r="AR306">
        <v>48.630241339790842</v>
      </c>
      <c r="AS306">
        <v>0.40435199045177267</v>
      </c>
      <c r="AT306">
        <v>18.018353053093449</v>
      </c>
      <c r="AU306">
        <v>26.99062529724031</v>
      </c>
    </row>
    <row r="307" spans="1:47" x14ac:dyDescent="0.35">
      <c r="A307">
        <v>305</v>
      </c>
      <c r="B307">
        <v>46048</v>
      </c>
      <c r="C307" t="s">
        <v>16</v>
      </c>
      <c r="D307" t="s">
        <v>150</v>
      </c>
      <c r="E307" t="s">
        <v>142</v>
      </c>
      <c r="F307" t="s">
        <v>151</v>
      </c>
      <c r="G307" t="s">
        <v>152</v>
      </c>
      <c r="H307" t="s">
        <v>22</v>
      </c>
      <c r="I307" t="s">
        <v>23</v>
      </c>
      <c r="J307" t="s">
        <v>24</v>
      </c>
      <c r="K307" t="s">
        <v>149</v>
      </c>
      <c r="L307">
        <v>28</v>
      </c>
      <c r="M307">
        <v>60</v>
      </c>
      <c r="N307">
        <v>1</v>
      </c>
      <c r="O307">
        <v>3</v>
      </c>
      <c r="P307">
        <v>233</v>
      </c>
      <c r="Q307">
        <v>0.50060000000000004</v>
      </c>
      <c r="R307">
        <v>470.1476257122863</v>
      </c>
      <c r="S307">
        <v>327.34762571228634</v>
      </c>
      <c r="T307">
        <v>0.35416666666666669</v>
      </c>
      <c r="U307">
        <v>42.5</v>
      </c>
      <c r="V307">
        <v>0.67847222222222225</v>
      </c>
      <c r="W307">
        <v>90</v>
      </c>
      <c r="X307">
        <v>12.2</v>
      </c>
      <c r="Y307">
        <v>40.5</v>
      </c>
      <c r="Z307">
        <v>0.35138888888888886</v>
      </c>
      <c r="AA307">
        <v>96</v>
      </c>
      <c r="AB307">
        <v>16.899999999999999</v>
      </c>
      <c r="AD307">
        <v>47.5</v>
      </c>
      <c r="AE307">
        <v>55.5</v>
      </c>
      <c r="AF307">
        <v>46.246240428868305</v>
      </c>
      <c r="AG307">
        <v>53.50873479879084</v>
      </c>
      <c r="AH307">
        <v>99.754975227659145</v>
      </c>
      <c r="AI307">
        <v>5.6420413323219334</v>
      </c>
      <c r="AJ307">
        <v>9.0429761809956517</v>
      </c>
      <c r="AK307">
        <v>14.685017513317586</v>
      </c>
      <c r="AL307">
        <v>212.17798362062908</v>
      </c>
      <c r="AM307">
        <v>69.626561490413977</v>
      </c>
      <c r="AN307">
        <v>3.2815167861574728</v>
      </c>
      <c r="AO307">
        <v>12.2</v>
      </c>
      <c r="AP307">
        <v>14.721087825247496</v>
      </c>
      <c r="AQ307">
        <v>31.234907314632057</v>
      </c>
      <c r="AR307">
        <v>44.860620208758135</v>
      </c>
      <c r="AS307">
        <v>0.34089328144654396</v>
      </c>
      <c r="AT307">
        <v>17.335913955941113</v>
      </c>
      <c r="AU307">
        <v>24.898420351158492</v>
      </c>
    </row>
    <row r="308" spans="1:47" x14ac:dyDescent="0.35">
      <c r="A308">
        <v>306</v>
      </c>
      <c r="B308">
        <v>46048</v>
      </c>
      <c r="C308" t="s">
        <v>16</v>
      </c>
      <c r="D308" t="s">
        <v>154</v>
      </c>
      <c r="E308" t="s">
        <v>99</v>
      </c>
      <c r="F308" t="s">
        <v>155</v>
      </c>
      <c r="G308" t="s">
        <v>156</v>
      </c>
      <c r="H308" t="s">
        <v>22</v>
      </c>
      <c r="I308" t="s">
        <v>23</v>
      </c>
      <c r="J308" t="s">
        <v>24</v>
      </c>
      <c r="K308" t="s">
        <v>153</v>
      </c>
      <c r="L308">
        <v>28</v>
      </c>
      <c r="M308">
        <v>60</v>
      </c>
      <c r="N308">
        <v>1</v>
      </c>
      <c r="O308">
        <v>1</v>
      </c>
      <c r="P308">
        <v>234</v>
      </c>
      <c r="Q308">
        <v>0.5</v>
      </c>
      <c r="R308">
        <v>466.05682828698065</v>
      </c>
      <c r="S308">
        <v>129.75682828698058</v>
      </c>
      <c r="T308">
        <v>0.35416666666666669</v>
      </c>
      <c r="U308">
        <v>41.5</v>
      </c>
      <c r="V308">
        <v>0.6791666666666667</v>
      </c>
      <c r="W308">
        <v>64.5</v>
      </c>
      <c r="X308">
        <v>10.8</v>
      </c>
      <c r="Y308">
        <v>40</v>
      </c>
      <c r="Z308">
        <v>0.35208333333333336</v>
      </c>
      <c r="AA308">
        <v>62.5</v>
      </c>
      <c r="AB308">
        <v>14.2</v>
      </c>
      <c r="AD308">
        <v>23</v>
      </c>
      <c r="AE308">
        <v>22.5</v>
      </c>
      <c r="AF308">
        <v>21.746240428868305</v>
      </c>
      <c r="AG308">
        <v>20.508734798790837</v>
      </c>
      <c r="AH308">
        <v>42.254975227659145</v>
      </c>
      <c r="AI308">
        <v>2.3485939663177771</v>
      </c>
      <c r="AJ308">
        <v>2.9122403414282987</v>
      </c>
      <c r="AK308">
        <v>5.2608343077460757</v>
      </c>
      <c r="AL308">
        <v>90.664856006873237</v>
      </c>
      <c r="AM308">
        <v>27.841417700907733</v>
      </c>
      <c r="AN308">
        <v>3.0708059249327095</v>
      </c>
      <c r="AO308">
        <v>10.8</v>
      </c>
      <c r="AP308">
        <v>12.450212736848211</v>
      </c>
      <c r="AQ308">
        <v>11.287967450412824</v>
      </c>
      <c r="AR308">
        <v>40.543795476495418</v>
      </c>
      <c r="AS308">
        <v>-0.38291422210125009</v>
      </c>
      <c r="AT308">
        <v>6.2650172285336216</v>
      </c>
      <c r="AU308">
        <v>22.502507939203685</v>
      </c>
    </row>
    <row r="309" spans="1:47" x14ac:dyDescent="0.35">
      <c r="A309">
        <v>307</v>
      </c>
      <c r="B309">
        <v>46048</v>
      </c>
      <c r="C309" t="s">
        <v>16</v>
      </c>
      <c r="D309" t="s">
        <v>154</v>
      </c>
      <c r="E309" t="s">
        <v>99</v>
      </c>
      <c r="F309" t="s">
        <v>155</v>
      </c>
      <c r="G309" t="s">
        <v>156</v>
      </c>
      <c r="H309" t="s">
        <v>22</v>
      </c>
      <c r="I309" t="s">
        <v>23</v>
      </c>
      <c r="J309" t="s">
        <v>24</v>
      </c>
      <c r="K309" t="s">
        <v>153</v>
      </c>
      <c r="L309">
        <v>28</v>
      </c>
      <c r="M309">
        <v>60</v>
      </c>
      <c r="N309">
        <v>1</v>
      </c>
      <c r="O309">
        <v>2</v>
      </c>
      <c r="P309">
        <v>235</v>
      </c>
      <c r="Q309">
        <v>0.50029999999999997</v>
      </c>
      <c r="R309">
        <v>466.33646238395278</v>
      </c>
      <c r="S309">
        <v>136.4364623839528</v>
      </c>
      <c r="T309">
        <v>0.35486111111111113</v>
      </c>
      <c r="U309">
        <v>41.5</v>
      </c>
      <c r="V309">
        <v>0.6791666666666667</v>
      </c>
      <c r="W309">
        <v>63</v>
      </c>
      <c r="X309">
        <v>10.5</v>
      </c>
      <c r="Y309">
        <v>39</v>
      </c>
      <c r="Z309">
        <v>0.3527777777777778</v>
      </c>
      <c r="AA309">
        <v>61.5</v>
      </c>
      <c r="AB309">
        <v>13.2</v>
      </c>
      <c r="AD309">
        <v>21.5</v>
      </c>
      <c r="AE309">
        <v>22.5</v>
      </c>
      <c r="AF309">
        <v>20.246240428868305</v>
      </c>
      <c r="AG309">
        <v>20.508734798790837</v>
      </c>
      <c r="AH309">
        <v>40.754975227659145</v>
      </c>
      <c r="AI309">
        <v>2.1258552450311718</v>
      </c>
      <c r="AJ309">
        <v>2.7071529934403906</v>
      </c>
      <c r="AK309">
        <v>4.833008238471562</v>
      </c>
      <c r="AL309">
        <v>87.393928022089767</v>
      </c>
      <c r="AM309">
        <v>29.257086543582218</v>
      </c>
      <c r="AN309">
        <v>3.347725317505716</v>
      </c>
      <c r="AO309">
        <v>10.5</v>
      </c>
      <c r="AP309">
        <v>11.858695070906455</v>
      </c>
      <c r="AQ309">
        <v>10.363779434627096</v>
      </c>
      <c r="AR309">
        <v>35.423142421200772</v>
      </c>
      <c r="AS309">
        <v>-0.41998735274658244</v>
      </c>
      <c r="AT309">
        <v>5.752076890360506</v>
      </c>
      <c r="AU309">
        <v>19.660456900901746</v>
      </c>
    </row>
    <row r="310" spans="1:47" x14ac:dyDescent="0.35">
      <c r="A310">
        <v>308</v>
      </c>
      <c r="B310">
        <v>46048</v>
      </c>
      <c r="C310" t="s">
        <v>16</v>
      </c>
      <c r="D310" t="s">
        <v>154</v>
      </c>
      <c r="E310" t="s">
        <v>99</v>
      </c>
      <c r="F310" t="s">
        <v>155</v>
      </c>
      <c r="G310" t="s">
        <v>156</v>
      </c>
      <c r="H310" t="s">
        <v>22</v>
      </c>
      <c r="I310" t="s">
        <v>23</v>
      </c>
      <c r="J310" t="s">
        <v>24</v>
      </c>
      <c r="K310" t="s">
        <v>153</v>
      </c>
      <c r="L310">
        <v>28</v>
      </c>
      <c r="M310">
        <v>60</v>
      </c>
      <c r="N310">
        <v>1</v>
      </c>
      <c r="O310">
        <v>3</v>
      </c>
      <c r="P310">
        <v>236</v>
      </c>
      <c r="Q310">
        <v>0.50039999999999996</v>
      </c>
      <c r="R310">
        <v>466.42967374961017</v>
      </c>
      <c r="S310">
        <v>132.92967374961017</v>
      </c>
      <c r="T310">
        <v>0.35555555555555557</v>
      </c>
      <c r="U310">
        <v>41.5</v>
      </c>
      <c r="V310">
        <v>0.67986111111111114</v>
      </c>
      <c r="W310">
        <v>66</v>
      </c>
      <c r="X310">
        <v>10.199999999999999</v>
      </c>
      <c r="Y310">
        <v>40</v>
      </c>
      <c r="Z310">
        <v>0.3527777777777778</v>
      </c>
      <c r="AA310">
        <v>62</v>
      </c>
      <c r="AB310">
        <v>13.4</v>
      </c>
      <c r="AD310">
        <v>24.5</v>
      </c>
      <c r="AE310">
        <v>22</v>
      </c>
      <c r="AF310">
        <v>23.246240428868305</v>
      </c>
      <c r="AG310">
        <v>20.008734798790837</v>
      </c>
      <c r="AH310">
        <v>43.254975227659145</v>
      </c>
      <c r="AI310">
        <v>2.3711165237445671</v>
      </c>
      <c r="AJ310">
        <v>2.6811704630379722</v>
      </c>
      <c r="AK310">
        <v>5.0522869867825388</v>
      </c>
      <c r="AL310">
        <v>92.736328029762902</v>
      </c>
      <c r="AM310">
        <v>28.499403282169776</v>
      </c>
      <c r="AN310">
        <v>3.0731649492336102</v>
      </c>
      <c r="AO310">
        <v>10.200000000000001</v>
      </c>
      <c r="AP310">
        <v>11.680244781534133</v>
      </c>
      <c r="AQ310">
        <v>10.831830115282758</v>
      </c>
      <c r="AR310">
        <v>38.007217232016679</v>
      </c>
      <c r="AS310">
        <v>-0.39776160901362523</v>
      </c>
      <c r="AT310">
        <v>6.011853115887039</v>
      </c>
      <c r="AU310">
        <v>21.09466312808123</v>
      </c>
    </row>
    <row r="311" spans="1:47" x14ac:dyDescent="0.35">
      <c r="A311">
        <v>309</v>
      </c>
      <c r="B311">
        <v>46048</v>
      </c>
      <c r="C311" t="s">
        <v>16</v>
      </c>
      <c r="D311" t="s">
        <v>158</v>
      </c>
      <c r="E311" t="s">
        <v>159</v>
      </c>
      <c r="F311" t="s">
        <v>160</v>
      </c>
      <c r="G311" t="s">
        <v>161</v>
      </c>
      <c r="H311" t="s">
        <v>22</v>
      </c>
      <c r="I311" t="s">
        <v>23</v>
      </c>
      <c r="J311" t="s">
        <v>24</v>
      </c>
      <c r="K311" t="s">
        <v>157</v>
      </c>
      <c r="L311">
        <v>28</v>
      </c>
      <c r="M311">
        <v>60</v>
      </c>
      <c r="N311">
        <v>1</v>
      </c>
      <c r="O311">
        <v>1</v>
      </c>
      <c r="P311">
        <v>237</v>
      </c>
      <c r="Q311">
        <v>0.50060000000000004</v>
      </c>
      <c r="R311">
        <v>464.49615153938419</v>
      </c>
      <c r="S311">
        <v>115.69615153938418</v>
      </c>
      <c r="T311">
        <v>0.35555555555555557</v>
      </c>
      <c r="U311">
        <v>42.5</v>
      </c>
      <c r="V311">
        <v>0.68055555555555558</v>
      </c>
      <c r="W311">
        <v>56.5</v>
      </c>
      <c r="X311">
        <v>10.1</v>
      </c>
      <c r="Y311">
        <v>40.5</v>
      </c>
      <c r="Z311">
        <v>0.35416666666666669</v>
      </c>
      <c r="AA311">
        <v>54.5</v>
      </c>
      <c r="AB311">
        <v>13.1</v>
      </c>
      <c r="AD311">
        <v>14</v>
      </c>
      <c r="AE311">
        <v>14</v>
      </c>
      <c r="AF311">
        <v>12.746240428868305</v>
      </c>
      <c r="AG311">
        <v>12.008734798790837</v>
      </c>
      <c r="AH311">
        <v>24.754975227659141</v>
      </c>
      <c r="AI311">
        <v>1.2873702833156986</v>
      </c>
      <c r="AJ311">
        <v>1.5731442586415996</v>
      </c>
      <c r="AK311">
        <v>2.8605145419572979</v>
      </c>
      <c r="AL311">
        <v>53.294252590939266</v>
      </c>
      <c r="AM311">
        <v>24.907881616662738</v>
      </c>
      <c r="AN311">
        <v>4.673652487040866</v>
      </c>
      <c r="AO311">
        <v>10.099999999999998</v>
      </c>
      <c r="AP311">
        <v>11.555311672302537</v>
      </c>
      <c r="AQ311">
        <v>6.1583169903072017</v>
      </c>
      <c r="AR311">
        <v>24.724370723632489</v>
      </c>
      <c r="AS311">
        <v>-7.0262932969121394E-2</v>
      </c>
      <c r="AT311">
        <v>3.4179724748971458</v>
      </c>
      <c r="AU311">
        <v>13.722453508894988</v>
      </c>
    </row>
    <row r="312" spans="1:47" x14ac:dyDescent="0.35">
      <c r="A312">
        <v>310</v>
      </c>
      <c r="B312">
        <v>46048</v>
      </c>
      <c r="C312" t="s">
        <v>16</v>
      </c>
      <c r="D312" t="s">
        <v>158</v>
      </c>
      <c r="E312" t="s">
        <v>159</v>
      </c>
      <c r="F312" t="s">
        <v>160</v>
      </c>
      <c r="G312" t="s">
        <v>161</v>
      </c>
      <c r="H312" t="s">
        <v>22</v>
      </c>
      <c r="I312" t="s">
        <v>23</v>
      </c>
      <c r="J312" t="s">
        <v>24</v>
      </c>
      <c r="K312" t="s">
        <v>157</v>
      </c>
      <c r="L312">
        <v>28</v>
      </c>
      <c r="M312">
        <v>60</v>
      </c>
      <c r="N312">
        <v>1</v>
      </c>
      <c r="O312">
        <v>2</v>
      </c>
      <c r="P312">
        <v>238</v>
      </c>
      <c r="Q312">
        <v>0.50019999999999998</v>
      </c>
      <c r="R312">
        <v>464.12499999999989</v>
      </c>
      <c r="S312">
        <v>99.924999999999898</v>
      </c>
      <c r="T312">
        <v>0.35625000000000001</v>
      </c>
      <c r="U312">
        <v>42</v>
      </c>
      <c r="V312">
        <v>0.68125000000000002</v>
      </c>
      <c r="W312">
        <v>56.5</v>
      </c>
      <c r="X312">
        <v>10</v>
      </c>
      <c r="Y312">
        <v>40</v>
      </c>
      <c r="Z312">
        <v>0.35416666666666669</v>
      </c>
      <c r="AA312">
        <v>55</v>
      </c>
      <c r="AB312">
        <v>13.1</v>
      </c>
      <c r="AD312">
        <v>14.5</v>
      </c>
      <c r="AE312">
        <v>15</v>
      </c>
      <c r="AF312">
        <v>13.246240428868305</v>
      </c>
      <c r="AG312">
        <v>13.008734798790837</v>
      </c>
      <c r="AH312">
        <v>26.254975227659141</v>
      </c>
      <c r="AI312">
        <v>1.3246240428868306</v>
      </c>
      <c r="AJ312">
        <v>1.7041442586415996</v>
      </c>
      <c r="AK312">
        <v>3.0287683015284301</v>
      </c>
      <c r="AL312">
        <v>56.568758906887474</v>
      </c>
      <c r="AM312">
        <v>21.52976030164286</v>
      </c>
      <c r="AN312">
        <v>3.8059453164035255</v>
      </c>
      <c r="AO312">
        <v>10</v>
      </c>
      <c r="AP312">
        <v>11.535978515560274</v>
      </c>
      <c r="AQ312">
        <v>6.5257598740176261</v>
      </c>
      <c r="AR312">
        <v>30.310415827154699</v>
      </c>
      <c r="AS312">
        <v>-6.4384788363348086E-2</v>
      </c>
      <c r="AT312">
        <v>3.6219096324997482</v>
      </c>
      <c r="AU312">
        <v>16.822805185728765</v>
      </c>
    </row>
    <row r="313" spans="1:47" x14ac:dyDescent="0.35">
      <c r="A313">
        <v>311</v>
      </c>
      <c r="B313">
        <v>46048</v>
      </c>
      <c r="C313" t="s">
        <v>16</v>
      </c>
      <c r="D313" t="s">
        <v>158</v>
      </c>
      <c r="E313" t="s">
        <v>159</v>
      </c>
      <c r="F313" t="s">
        <v>160</v>
      </c>
      <c r="G313" t="s">
        <v>161</v>
      </c>
      <c r="H313" t="s">
        <v>22</v>
      </c>
      <c r="I313" t="s">
        <v>23</v>
      </c>
      <c r="J313" t="s">
        <v>24</v>
      </c>
      <c r="K313" t="s">
        <v>157</v>
      </c>
      <c r="L313">
        <v>28</v>
      </c>
      <c r="M313">
        <v>60</v>
      </c>
      <c r="N313">
        <v>1</v>
      </c>
      <c r="O313">
        <v>3</v>
      </c>
      <c r="P313">
        <v>239</v>
      </c>
      <c r="Q313">
        <v>0.50049999999999994</v>
      </c>
      <c r="R313">
        <v>464.40336365453805</v>
      </c>
      <c r="S313">
        <v>110.70336365453807</v>
      </c>
      <c r="T313">
        <v>0.35625000000000001</v>
      </c>
      <c r="U313">
        <v>41.5</v>
      </c>
      <c r="V313">
        <v>0.68125000000000002</v>
      </c>
      <c r="W313">
        <v>56.5</v>
      </c>
      <c r="X313">
        <v>10</v>
      </c>
      <c r="Y313">
        <v>40</v>
      </c>
      <c r="Z313">
        <v>0.35416666666666669</v>
      </c>
      <c r="AA313">
        <v>58.5</v>
      </c>
      <c r="AB313">
        <v>12.7</v>
      </c>
      <c r="AD313">
        <v>15</v>
      </c>
      <c r="AE313">
        <v>18.5</v>
      </c>
      <c r="AF313">
        <v>13.746240428868305</v>
      </c>
      <c r="AG313">
        <v>16.508734798790837</v>
      </c>
      <c r="AH313">
        <v>30.254975227659141</v>
      </c>
      <c r="AI313">
        <v>1.3746240428868306</v>
      </c>
      <c r="AJ313">
        <v>2.0966093194464364</v>
      </c>
      <c r="AK313">
        <v>3.4712333623332672</v>
      </c>
      <c r="AL313">
        <v>65.148053600587858</v>
      </c>
      <c r="AM313">
        <v>23.837760946298499</v>
      </c>
      <c r="AN313">
        <v>3.6590135282389156</v>
      </c>
      <c r="AO313">
        <v>10</v>
      </c>
      <c r="AP313">
        <v>11.473264599337238</v>
      </c>
      <c r="AQ313">
        <v>7.474608570913496</v>
      </c>
      <c r="AR313">
        <v>31.356168843844976</v>
      </c>
      <c r="AS313">
        <v>-8.1261508108095667E-2</v>
      </c>
      <c r="AT313">
        <v>4.1485370753443762</v>
      </c>
      <c r="AU313">
        <v>17.403216202604618</v>
      </c>
    </row>
    <row r="314" spans="1:47" x14ac:dyDescent="0.35">
      <c r="A314">
        <v>312</v>
      </c>
      <c r="B314">
        <v>46048</v>
      </c>
      <c r="C314" t="s">
        <v>16</v>
      </c>
      <c r="D314" t="s">
        <v>163</v>
      </c>
      <c r="E314" t="s">
        <v>129</v>
      </c>
      <c r="F314" t="s">
        <v>164</v>
      </c>
      <c r="G314" t="s">
        <v>165</v>
      </c>
      <c r="H314" t="s">
        <v>22</v>
      </c>
      <c r="I314" t="s">
        <v>23</v>
      </c>
      <c r="J314" t="s">
        <v>24</v>
      </c>
      <c r="K314" t="s">
        <v>162</v>
      </c>
      <c r="L314">
        <v>28</v>
      </c>
      <c r="M314">
        <v>60</v>
      </c>
      <c r="N314">
        <v>1</v>
      </c>
      <c r="O314">
        <v>1</v>
      </c>
      <c r="P314">
        <v>240</v>
      </c>
      <c r="Q314">
        <v>0.50019999999999998</v>
      </c>
      <c r="R314">
        <v>466.37040295970445</v>
      </c>
      <c r="S314">
        <v>122.97040295970442</v>
      </c>
      <c r="T314">
        <v>0.35694444444444445</v>
      </c>
      <c r="U314">
        <v>40.5</v>
      </c>
      <c r="V314">
        <v>0.68125000000000002</v>
      </c>
      <c r="W314">
        <v>55</v>
      </c>
      <c r="X314">
        <v>12.8</v>
      </c>
      <c r="Y314">
        <v>30.5</v>
      </c>
      <c r="Z314">
        <v>0.35486111111111113</v>
      </c>
      <c r="AA314">
        <v>58.5</v>
      </c>
      <c r="AB314">
        <v>14</v>
      </c>
      <c r="AC314" t="s">
        <v>560</v>
      </c>
      <c r="AD314">
        <v>14.5</v>
      </c>
      <c r="AE314">
        <v>28</v>
      </c>
      <c r="AF314">
        <v>13.246240428868305</v>
      </c>
      <c r="AG314">
        <v>26.008734798790837</v>
      </c>
      <c r="AH314">
        <v>39.254975227659145</v>
      </c>
      <c r="AI314">
        <v>1.695518774895143</v>
      </c>
      <c r="AJ314">
        <v>3.6412228718307174</v>
      </c>
      <c r="AK314">
        <v>5.3367416467258604</v>
      </c>
      <c r="AL314">
        <v>84.171240238525314</v>
      </c>
      <c r="AM314">
        <v>26.367540088158076</v>
      </c>
      <c r="AN314">
        <v>3.1326068159905294</v>
      </c>
      <c r="AO314">
        <v>12.799999999999999</v>
      </c>
      <c r="AP314">
        <v>13.595070728679456</v>
      </c>
      <c r="AQ314">
        <v>11.44313964363422</v>
      </c>
      <c r="AR314">
        <v>43.398586312469284</v>
      </c>
      <c r="AS314">
        <v>-0.71095462671194232</v>
      </c>
      <c r="AT314">
        <v>6.3511404804115195</v>
      </c>
      <c r="AU314">
        <v>24.086966244014096</v>
      </c>
    </row>
    <row r="315" spans="1:47" x14ac:dyDescent="0.35">
      <c r="A315">
        <v>313</v>
      </c>
      <c r="B315">
        <v>46048</v>
      </c>
      <c r="C315" t="s">
        <v>16</v>
      </c>
      <c r="D315" t="s">
        <v>163</v>
      </c>
      <c r="E315" t="s">
        <v>129</v>
      </c>
      <c r="F315" t="s">
        <v>164</v>
      </c>
      <c r="G315" t="s">
        <v>165</v>
      </c>
      <c r="H315" t="s">
        <v>22</v>
      </c>
      <c r="I315" t="s">
        <v>23</v>
      </c>
      <c r="J315" t="s">
        <v>24</v>
      </c>
      <c r="K315" t="s">
        <v>162</v>
      </c>
      <c r="L315">
        <v>28</v>
      </c>
      <c r="M315">
        <v>60</v>
      </c>
      <c r="N315">
        <v>1</v>
      </c>
      <c r="O315">
        <v>2</v>
      </c>
      <c r="P315">
        <v>241</v>
      </c>
      <c r="Q315">
        <v>0.50060000000000004</v>
      </c>
      <c r="R315">
        <v>466.74335010321482</v>
      </c>
      <c r="S315">
        <v>115.24335010321477</v>
      </c>
      <c r="T315">
        <v>0.35694444444444445</v>
      </c>
      <c r="U315">
        <v>41</v>
      </c>
      <c r="V315">
        <v>0.68125000000000002</v>
      </c>
      <c r="W315">
        <v>64.5</v>
      </c>
      <c r="X315">
        <v>13.1</v>
      </c>
      <c r="Y315">
        <v>40</v>
      </c>
      <c r="Z315">
        <v>0.35555555555555557</v>
      </c>
      <c r="AA315">
        <v>72</v>
      </c>
      <c r="AB315">
        <v>14.7</v>
      </c>
      <c r="AD315">
        <v>23.5</v>
      </c>
      <c r="AE315">
        <v>32</v>
      </c>
      <c r="AF315">
        <v>22.246240428868305</v>
      </c>
      <c r="AG315">
        <v>30.008734798790837</v>
      </c>
      <c r="AH315">
        <v>52.254975227659145</v>
      </c>
      <c r="AI315">
        <v>2.9142574961817482</v>
      </c>
      <c r="AJ315">
        <v>4.411284015422253</v>
      </c>
      <c r="AK315">
        <v>7.3255415116040012</v>
      </c>
      <c r="AL315">
        <v>111.95655003141141</v>
      </c>
      <c r="AM315">
        <v>24.690946336510216</v>
      </c>
      <c r="AN315">
        <v>2.2054043581713376</v>
      </c>
      <c r="AO315">
        <v>13.100000000000001</v>
      </c>
      <c r="AP315">
        <v>14.018840272507699</v>
      </c>
      <c r="AQ315">
        <v>15.695009923513734</v>
      </c>
      <c r="AR315">
        <v>63.565850047252766</v>
      </c>
      <c r="AS315">
        <v>-0.73591424871946443</v>
      </c>
      <c r="AT315">
        <v>8.7110020475141958</v>
      </c>
      <c r="AU315">
        <v>35.280146531416406</v>
      </c>
    </row>
    <row r="316" spans="1:47" x14ac:dyDescent="0.35">
      <c r="A316">
        <v>314</v>
      </c>
      <c r="B316">
        <v>46048</v>
      </c>
      <c r="C316" t="s">
        <v>16</v>
      </c>
      <c r="D316" t="s">
        <v>163</v>
      </c>
      <c r="E316" t="s">
        <v>129</v>
      </c>
      <c r="F316" t="s">
        <v>164</v>
      </c>
      <c r="G316" t="s">
        <v>165</v>
      </c>
      <c r="H316" t="s">
        <v>22</v>
      </c>
      <c r="I316" t="s">
        <v>23</v>
      </c>
      <c r="J316" t="s">
        <v>24</v>
      </c>
      <c r="K316" t="s">
        <v>162</v>
      </c>
      <c r="L316">
        <v>28</v>
      </c>
      <c r="M316">
        <v>60</v>
      </c>
      <c r="N316">
        <v>1</v>
      </c>
      <c r="O316">
        <v>3</v>
      </c>
      <c r="P316">
        <v>242</v>
      </c>
      <c r="Q316">
        <v>0.50060000000000004</v>
      </c>
      <c r="R316">
        <v>466.74335010321482</v>
      </c>
      <c r="S316">
        <v>124.1433501032148</v>
      </c>
      <c r="T316">
        <v>0.3576388888888889</v>
      </c>
      <c r="U316">
        <v>40.5</v>
      </c>
      <c r="V316">
        <v>0.68194444444444446</v>
      </c>
      <c r="W316">
        <v>64.5</v>
      </c>
      <c r="X316">
        <v>13.3</v>
      </c>
      <c r="Y316">
        <v>40</v>
      </c>
      <c r="Z316">
        <v>0.35555555555555557</v>
      </c>
      <c r="AA316">
        <v>71.5</v>
      </c>
      <c r="AB316">
        <v>15</v>
      </c>
      <c r="AD316">
        <v>24</v>
      </c>
      <c r="AE316">
        <v>31.5</v>
      </c>
      <c r="AF316">
        <v>22.746240428868305</v>
      </c>
      <c r="AG316">
        <v>29.508734798790837</v>
      </c>
      <c r="AH316">
        <v>52.254975227659145</v>
      </c>
      <c r="AI316">
        <v>3.0252499770394845</v>
      </c>
      <c r="AJ316">
        <v>4.4263102198186255</v>
      </c>
      <c r="AK316">
        <v>7.45156019685811</v>
      </c>
      <c r="AL316">
        <v>111.95655003141141</v>
      </c>
      <c r="AM316">
        <v>26.597775860279949</v>
      </c>
      <c r="AN316">
        <v>2.3757230687099118</v>
      </c>
      <c r="AO316">
        <v>13.299999999999999</v>
      </c>
      <c r="AP316">
        <v>14.260001395836307</v>
      </c>
      <c r="AQ316">
        <v>15.965005597209439</v>
      </c>
      <c r="AR316">
        <v>60.023836884237149</v>
      </c>
      <c r="AS316">
        <v>-1.0392270259000416</v>
      </c>
      <c r="AT316">
        <v>8.8608543176207419</v>
      </c>
      <c r="AU316">
        <v>33.314267945438196</v>
      </c>
    </row>
    <row r="317" spans="1:47" x14ac:dyDescent="0.35">
      <c r="A317">
        <v>315</v>
      </c>
      <c r="B317">
        <v>46048</v>
      </c>
      <c r="C317" t="s">
        <v>16</v>
      </c>
      <c r="D317" t="s">
        <v>167</v>
      </c>
      <c r="E317" t="s">
        <v>88</v>
      </c>
      <c r="F317" t="s">
        <v>168</v>
      </c>
      <c r="G317" t="s">
        <v>169</v>
      </c>
      <c r="H317" t="s">
        <v>22</v>
      </c>
      <c r="I317" t="s">
        <v>23</v>
      </c>
      <c r="J317" t="s">
        <v>24</v>
      </c>
      <c r="K317" t="s">
        <v>166</v>
      </c>
      <c r="L317">
        <v>28</v>
      </c>
      <c r="M317">
        <v>60</v>
      </c>
      <c r="N317">
        <v>1</v>
      </c>
      <c r="O317">
        <v>1</v>
      </c>
      <c r="P317">
        <v>243</v>
      </c>
      <c r="Q317">
        <v>0.50049999999999994</v>
      </c>
      <c r="R317">
        <v>473.55215034989499</v>
      </c>
      <c r="S317">
        <v>167.45215034989508</v>
      </c>
      <c r="T317">
        <v>0.35833333333333334</v>
      </c>
      <c r="U317">
        <v>40.5</v>
      </c>
      <c r="V317">
        <v>0.68263888888888891</v>
      </c>
      <c r="W317">
        <v>73.5</v>
      </c>
      <c r="X317">
        <v>13</v>
      </c>
      <c r="Y317">
        <v>40</v>
      </c>
      <c r="Z317">
        <v>0.35555555555555557</v>
      </c>
      <c r="AA317">
        <v>74.5</v>
      </c>
      <c r="AB317">
        <v>17</v>
      </c>
      <c r="AD317">
        <v>33</v>
      </c>
      <c r="AE317">
        <v>34.5</v>
      </c>
      <c r="AF317">
        <v>31.746240428868305</v>
      </c>
      <c r="AG317">
        <v>32.50873479879084</v>
      </c>
      <c r="AH317">
        <v>64.254975227659145</v>
      </c>
      <c r="AI317">
        <v>4.1270112557528797</v>
      </c>
      <c r="AJ317">
        <v>5.5264849157944429</v>
      </c>
      <c r="AK317">
        <v>9.6534961715473226</v>
      </c>
      <c r="AL317">
        <v>135.68722089041907</v>
      </c>
      <c r="AM317">
        <v>35.360867905714116</v>
      </c>
      <c r="AN317">
        <v>2.6060573481913623</v>
      </c>
      <c r="AO317">
        <v>13</v>
      </c>
      <c r="AP317">
        <v>15.023733395498821</v>
      </c>
      <c r="AQ317">
        <v>20.385286318338146</v>
      </c>
      <c r="AR317">
        <v>57.649281608961864</v>
      </c>
      <c r="AS317">
        <v>-3.3788390330020963</v>
      </c>
      <c r="AT317">
        <v>11.314186593292174</v>
      </c>
      <c r="AU317">
        <v>31.996348685389211</v>
      </c>
    </row>
    <row r="318" spans="1:47" x14ac:dyDescent="0.35">
      <c r="A318">
        <v>316</v>
      </c>
      <c r="B318">
        <v>46048</v>
      </c>
      <c r="C318" t="s">
        <v>16</v>
      </c>
      <c r="D318" t="s">
        <v>167</v>
      </c>
      <c r="E318" t="s">
        <v>88</v>
      </c>
      <c r="F318" t="s">
        <v>168</v>
      </c>
      <c r="G318" t="s">
        <v>169</v>
      </c>
      <c r="H318" t="s">
        <v>22</v>
      </c>
      <c r="I318" t="s">
        <v>23</v>
      </c>
      <c r="J318" t="s">
        <v>24</v>
      </c>
      <c r="K318" t="s">
        <v>166</v>
      </c>
      <c r="L318">
        <v>28</v>
      </c>
      <c r="M318">
        <v>60</v>
      </c>
      <c r="N318">
        <v>1</v>
      </c>
      <c r="O318">
        <v>2</v>
      </c>
      <c r="P318">
        <v>244</v>
      </c>
      <c r="Q318">
        <v>0.50019999999999998</v>
      </c>
      <c r="R318">
        <v>473.26830290712786</v>
      </c>
      <c r="S318">
        <v>188.06830290712787</v>
      </c>
      <c r="T318">
        <v>0.35833333333333334</v>
      </c>
      <c r="U318">
        <v>40.5</v>
      </c>
      <c r="V318">
        <v>0.68263888888888891</v>
      </c>
      <c r="W318">
        <v>76</v>
      </c>
      <c r="X318">
        <v>12.3</v>
      </c>
      <c r="Y318">
        <v>40</v>
      </c>
      <c r="Z318">
        <v>0.35625000000000001</v>
      </c>
      <c r="AA318">
        <v>71.5</v>
      </c>
      <c r="AB318">
        <v>17.899999999999999</v>
      </c>
      <c r="AD318">
        <v>35.5</v>
      </c>
      <c r="AE318">
        <v>31.5</v>
      </c>
      <c r="AF318">
        <v>34.246240428868305</v>
      </c>
      <c r="AG318">
        <v>29.508734798790837</v>
      </c>
      <c r="AH318">
        <v>63.754975227659145</v>
      </c>
      <c r="AI318">
        <v>4.2122875727508022</v>
      </c>
      <c r="AJ318">
        <v>5.2820635289835591</v>
      </c>
      <c r="AK318">
        <v>9.4943511017343614</v>
      </c>
      <c r="AL318">
        <v>134.71211749452434</v>
      </c>
      <c r="AM318">
        <v>39.738199611486252</v>
      </c>
      <c r="AN318">
        <v>2.9498608106357986</v>
      </c>
      <c r="AO318">
        <v>12.300000000000002</v>
      </c>
      <c r="AP318">
        <v>14.891937559118333</v>
      </c>
      <c r="AQ318">
        <v>20.061244421850688</v>
      </c>
      <c r="AR318">
        <v>50.483526224102071</v>
      </c>
      <c r="AS318">
        <v>2.3109688598897891</v>
      </c>
      <c r="AT318">
        <v>11.134337734480452</v>
      </c>
      <c r="AU318">
        <v>28.019230471785367</v>
      </c>
    </row>
    <row r="319" spans="1:47" x14ac:dyDescent="0.35">
      <c r="A319">
        <v>317</v>
      </c>
      <c r="B319">
        <v>46048</v>
      </c>
      <c r="C319" t="s">
        <v>16</v>
      </c>
      <c r="D319" t="s">
        <v>167</v>
      </c>
      <c r="E319" t="s">
        <v>88</v>
      </c>
      <c r="F319" t="s">
        <v>168</v>
      </c>
      <c r="G319" t="s">
        <v>169</v>
      </c>
      <c r="H319" t="s">
        <v>22</v>
      </c>
      <c r="I319" t="s">
        <v>23</v>
      </c>
      <c r="J319" t="s">
        <v>24</v>
      </c>
      <c r="K319" t="s">
        <v>166</v>
      </c>
      <c r="L319">
        <v>28</v>
      </c>
      <c r="M319">
        <v>60</v>
      </c>
      <c r="N319">
        <v>1</v>
      </c>
      <c r="O319">
        <v>3</v>
      </c>
      <c r="P319">
        <v>245</v>
      </c>
      <c r="Q319">
        <v>0.50060000000000004</v>
      </c>
      <c r="R319">
        <v>473.64676616415073</v>
      </c>
      <c r="S319">
        <v>184.74676616415081</v>
      </c>
      <c r="T319">
        <v>0.35833333333333334</v>
      </c>
      <c r="U319">
        <v>41</v>
      </c>
      <c r="V319">
        <v>0.68333333333333335</v>
      </c>
      <c r="W319">
        <v>75</v>
      </c>
      <c r="X319">
        <v>12.8</v>
      </c>
      <c r="Y319">
        <v>40</v>
      </c>
      <c r="Z319">
        <v>0.35694444444444445</v>
      </c>
      <c r="AA319">
        <v>71.5</v>
      </c>
      <c r="AB319">
        <v>17.7</v>
      </c>
      <c r="AD319">
        <v>34</v>
      </c>
      <c r="AE319">
        <v>31.5</v>
      </c>
      <c r="AF319">
        <v>32.746240428868305</v>
      </c>
      <c r="AG319">
        <v>29.508734798790837</v>
      </c>
      <c r="AH319">
        <v>62.254975227659145</v>
      </c>
      <c r="AI319">
        <v>4.191518774895143</v>
      </c>
      <c r="AJ319">
        <v>5.223046059385978</v>
      </c>
      <c r="AK319">
        <v>9.414564834281121</v>
      </c>
      <c r="AL319">
        <v>131.43755996020792</v>
      </c>
      <c r="AM319">
        <v>39.005178407599118</v>
      </c>
      <c r="AN319">
        <v>2.9675823576919522</v>
      </c>
      <c r="AO319">
        <v>12.799999999999999</v>
      </c>
      <c r="AP319">
        <v>15.122590282709391</v>
      </c>
      <c r="AQ319">
        <v>19.876763670372736</v>
      </c>
      <c r="AR319">
        <v>50.959294334365296</v>
      </c>
      <c r="AS319">
        <v>3.200093800391373</v>
      </c>
      <c r="AT319">
        <v>11.031947725701682</v>
      </c>
      <c r="AU319">
        <v>28.283290004263645</v>
      </c>
    </row>
    <row r="320" spans="1:47" x14ac:dyDescent="0.35">
      <c r="A320">
        <v>318</v>
      </c>
      <c r="B320">
        <v>46048</v>
      </c>
      <c r="C320" t="s">
        <v>16</v>
      </c>
      <c r="D320" t="s">
        <v>171</v>
      </c>
      <c r="E320" t="s">
        <v>88</v>
      </c>
      <c r="F320" t="s">
        <v>147</v>
      </c>
      <c r="G320" t="s">
        <v>148</v>
      </c>
      <c r="H320" t="s">
        <v>22</v>
      </c>
      <c r="I320" t="s">
        <v>23</v>
      </c>
      <c r="J320" t="s">
        <v>24</v>
      </c>
      <c r="K320" t="s">
        <v>170</v>
      </c>
      <c r="L320">
        <v>28</v>
      </c>
      <c r="M320">
        <v>60</v>
      </c>
      <c r="N320">
        <v>1</v>
      </c>
      <c r="O320">
        <v>1</v>
      </c>
      <c r="P320">
        <v>246</v>
      </c>
      <c r="Q320">
        <v>0.5</v>
      </c>
      <c r="R320">
        <v>473.93406521830326</v>
      </c>
      <c r="S320">
        <v>178.63406521830325</v>
      </c>
      <c r="T320">
        <v>0.35902777777777778</v>
      </c>
      <c r="U320">
        <v>41.5</v>
      </c>
      <c r="V320">
        <v>0.68333333333333335</v>
      </c>
      <c r="W320">
        <v>61</v>
      </c>
      <c r="X320">
        <v>10.199999999999999</v>
      </c>
      <c r="Y320">
        <v>40</v>
      </c>
      <c r="Z320">
        <v>0.3576388888888889</v>
      </c>
      <c r="AA320">
        <v>59.5</v>
      </c>
      <c r="AB320">
        <v>12.3</v>
      </c>
      <c r="AD320">
        <v>19.5</v>
      </c>
      <c r="AE320">
        <v>19.5</v>
      </c>
      <c r="AF320">
        <v>18.246240428868305</v>
      </c>
      <c r="AG320">
        <v>17.508734798790837</v>
      </c>
      <c r="AH320">
        <v>35.754975227659145</v>
      </c>
      <c r="AI320">
        <v>1.861116523744567</v>
      </c>
      <c r="AJ320">
        <v>2.153574380251273</v>
      </c>
      <c r="AK320">
        <v>4.0146909039958398</v>
      </c>
      <c r="AL320">
        <v>75.442931520842905</v>
      </c>
      <c r="AM320">
        <v>37.691754682377791</v>
      </c>
      <c r="AN320">
        <v>4.996061781078132</v>
      </c>
      <c r="AO320">
        <v>10.199999999999999</v>
      </c>
      <c r="AP320">
        <v>11.228342009562283</v>
      </c>
      <c r="AQ320">
        <v>8.4709903732001095</v>
      </c>
      <c r="AR320">
        <v>22.47438582943073</v>
      </c>
      <c r="AS320">
        <v>-0.21149414812944903</v>
      </c>
      <c r="AT320">
        <v>4.7015462140529323</v>
      </c>
      <c r="AU320">
        <v>12.473672965538716</v>
      </c>
    </row>
    <row r="321" spans="1:47" x14ac:dyDescent="0.35">
      <c r="A321">
        <v>319</v>
      </c>
      <c r="B321">
        <v>46048</v>
      </c>
      <c r="C321" t="s">
        <v>16</v>
      </c>
      <c r="D321" t="s">
        <v>171</v>
      </c>
      <c r="E321" t="s">
        <v>88</v>
      </c>
      <c r="F321" t="s">
        <v>147</v>
      </c>
      <c r="G321" t="s">
        <v>148</v>
      </c>
      <c r="H321" t="s">
        <v>22</v>
      </c>
      <c r="I321" t="s">
        <v>23</v>
      </c>
      <c r="J321" t="s">
        <v>24</v>
      </c>
      <c r="K321" t="s">
        <v>170</v>
      </c>
      <c r="L321">
        <v>28</v>
      </c>
      <c r="M321">
        <v>60</v>
      </c>
      <c r="N321">
        <v>1</v>
      </c>
      <c r="O321">
        <v>2</v>
      </c>
      <c r="P321">
        <v>247</v>
      </c>
      <c r="Q321">
        <v>0.50009999999999999</v>
      </c>
      <c r="R321">
        <v>474.0288520313469</v>
      </c>
      <c r="S321">
        <v>170.3288520313468</v>
      </c>
      <c r="T321">
        <v>0.35902777777777778</v>
      </c>
      <c r="U321">
        <v>41.5</v>
      </c>
      <c r="V321">
        <v>0.68402777777777779</v>
      </c>
      <c r="W321">
        <v>61.5</v>
      </c>
      <c r="X321">
        <v>10</v>
      </c>
      <c r="Y321">
        <v>40</v>
      </c>
      <c r="Z321">
        <v>0.35833333333333334</v>
      </c>
      <c r="AA321">
        <v>59.5</v>
      </c>
      <c r="AB321">
        <v>10.9</v>
      </c>
      <c r="AD321">
        <v>20</v>
      </c>
      <c r="AE321">
        <v>19.5</v>
      </c>
      <c r="AF321">
        <v>18.746240428868305</v>
      </c>
      <c r="AG321">
        <v>17.508734798790837</v>
      </c>
      <c r="AH321">
        <v>36.254975227659145</v>
      </c>
      <c r="AI321">
        <v>1.8746240428868306</v>
      </c>
      <c r="AJ321">
        <v>1.9084520930682012</v>
      </c>
      <c r="AK321">
        <v>3.7830761359550316</v>
      </c>
      <c r="AL321">
        <v>76.482634068150887</v>
      </c>
      <c r="AM321">
        <v>35.932169803892691</v>
      </c>
      <c r="AN321">
        <v>4.6980821518091087</v>
      </c>
      <c r="AO321">
        <v>10</v>
      </c>
      <c r="AP321">
        <v>10.434639969272132</v>
      </c>
      <c r="AQ321">
        <v>7.9806875040274168</v>
      </c>
      <c r="AR321">
        <v>22.210424662868071</v>
      </c>
      <c r="AS321">
        <v>-0.16932135257285921</v>
      </c>
      <c r="AT321">
        <v>4.4294196389134868</v>
      </c>
      <c r="AU321">
        <v>12.32716995129425</v>
      </c>
    </row>
    <row r="322" spans="1:47" x14ac:dyDescent="0.35">
      <c r="A322">
        <v>320</v>
      </c>
      <c r="B322">
        <v>46048</v>
      </c>
      <c r="C322" t="s">
        <v>16</v>
      </c>
      <c r="D322" t="s">
        <v>171</v>
      </c>
      <c r="E322" t="s">
        <v>88</v>
      </c>
      <c r="F322" t="s">
        <v>147</v>
      </c>
      <c r="G322" t="s">
        <v>148</v>
      </c>
      <c r="H322" t="s">
        <v>22</v>
      </c>
      <c r="I322" t="s">
        <v>23</v>
      </c>
      <c r="J322" t="s">
        <v>24</v>
      </c>
      <c r="K322" t="s">
        <v>170</v>
      </c>
      <c r="L322">
        <v>28</v>
      </c>
      <c r="M322">
        <v>60</v>
      </c>
      <c r="N322">
        <v>1</v>
      </c>
      <c r="O322">
        <v>3</v>
      </c>
      <c r="P322">
        <v>248</v>
      </c>
      <c r="Q322">
        <v>0.50029999999999997</v>
      </c>
      <c r="R322">
        <v>474.2184256574343</v>
      </c>
      <c r="S322">
        <v>145.01842565743436</v>
      </c>
      <c r="T322">
        <v>0.35972222222222222</v>
      </c>
      <c r="U322">
        <v>41.5</v>
      </c>
      <c r="V322">
        <v>0.68472222222222223</v>
      </c>
      <c r="W322">
        <v>60.5</v>
      </c>
      <c r="X322">
        <v>10.5</v>
      </c>
      <c r="Y322">
        <v>40</v>
      </c>
      <c r="Z322">
        <v>0.35833333333333334</v>
      </c>
      <c r="AA322">
        <v>60.5</v>
      </c>
      <c r="AB322">
        <v>10.7</v>
      </c>
      <c r="AD322">
        <v>19</v>
      </c>
      <c r="AE322">
        <v>20.5</v>
      </c>
      <c r="AF322">
        <v>17.746240428868305</v>
      </c>
      <c r="AG322">
        <v>18.508734798790837</v>
      </c>
      <c r="AH322">
        <v>36.254975227659145</v>
      </c>
      <c r="AI322">
        <v>1.8633552450311719</v>
      </c>
      <c r="AJ322">
        <v>1.9804346234706194</v>
      </c>
      <c r="AK322">
        <v>3.8437898685017915</v>
      </c>
      <c r="AL322">
        <v>76.45205935934888</v>
      </c>
      <c r="AM322">
        <v>30.580512652241971</v>
      </c>
      <c r="AN322">
        <v>3.9999593089446908</v>
      </c>
      <c r="AO322">
        <v>10.5</v>
      </c>
      <c r="AP322">
        <v>10.602103144093007</v>
      </c>
      <c r="AQ322">
        <v>8.105526189061381</v>
      </c>
      <c r="AR322">
        <v>26.505527494703841</v>
      </c>
      <c r="AS322">
        <v>-0.11804528671880897</v>
      </c>
      <c r="AT322">
        <v>4.4987072689461787</v>
      </c>
      <c r="AU322">
        <v>14.71102633270068</v>
      </c>
    </row>
    <row r="323" spans="1:47" x14ac:dyDescent="0.35">
      <c r="A323">
        <v>321</v>
      </c>
      <c r="B323">
        <v>46048</v>
      </c>
      <c r="C323" t="s">
        <v>16</v>
      </c>
      <c r="D323" t="s">
        <v>173</v>
      </c>
      <c r="E323" t="s">
        <v>99</v>
      </c>
      <c r="F323" t="s">
        <v>100</v>
      </c>
      <c r="G323" t="s">
        <v>101</v>
      </c>
      <c r="H323" t="s">
        <v>22</v>
      </c>
      <c r="I323" t="s">
        <v>23</v>
      </c>
      <c r="J323" t="s">
        <v>24</v>
      </c>
      <c r="K323" t="s">
        <v>172</v>
      </c>
      <c r="L323">
        <v>28</v>
      </c>
      <c r="M323">
        <v>60</v>
      </c>
      <c r="N323">
        <v>1</v>
      </c>
      <c r="O323">
        <v>1</v>
      </c>
      <c r="P323">
        <v>249</v>
      </c>
      <c r="Q323">
        <v>0.50060000000000004</v>
      </c>
      <c r="R323">
        <v>469.09824677746616</v>
      </c>
      <c r="S323">
        <v>239.49824677746614</v>
      </c>
      <c r="T323">
        <v>0.36041666666666666</v>
      </c>
      <c r="U323">
        <v>41</v>
      </c>
      <c r="V323">
        <v>0.68472222222222223</v>
      </c>
      <c r="W323">
        <v>74.5</v>
      </c>
      <c r="X323">
        <v>10.4</v>
      </c>
      <c r="Y323">
        <v>40</v>
      </c>
      <c r="Z323">
        <v>0.35902777777777778</v>
      </c>
      <c r="AA323">
        <v>76.5</v>
      </c>
      <c r="AB323">
        <v>13.6</v>
      </c>
      <c r="AD323">
        <v>33.5</v>
      </c>
      <c r="AE323">
        <v>36.5</v>
      </c>
      <c r="AF323">
        <v>32.246240428868305</v>
      </c>
      <c r="AG323">
        <v>34.50873479879084</v>
      </c>
      <c r="AH323">
        <v>66.754975227659145</v>
      </c>
      <c r="AI323">
        <v>3.3536090046023039</v>
      </c>
      <c r="AJ323">
        <v>4.6931879326355546</v>
      </c>
      <c r="AK323">
        <v>8.0467969372378576</v>
      </c>
      <c r="AL323">
        <v>142.30489174973786</v>
      </c>
      <c r="AM323">
        <v>51.055029180503595</v>
      </c>
      <c r="AN323">
        <v>3.5877213040779146</v>
      </c>
      <c r="AO323">
        <v>10.4</v>
      </c>
      <c r="AP323">
        <v>12.054228032884899</v>
      </c>
      <c r="AQ323">
        <v>17.153756153463412</v>
      </c>
      <c r="AR323">
        <v>33.598563018770967</v>
      </c>
      <c r="AS323">
        <v>0.59056869174513826</v>
      </c>
      <c r="AT323">
        <v>9.5206314429603154</v>
      </c>
      <c r="AU323">
        <v>18.647783765435516</v>
      </c>
    </row>
    <row r="324" spans="1:47" x14ac:dyDescent="0.35">
      <c r="A324">
        <v>322</v>
      </c>
      <c r="B324">
        <v>46048</v>
      </c>
      <c r="C324" t="s">
        <v>16</v>
      </c>
      <c r="D324" t="s">
        <v>173</v>
      </c>
      <c r="E324" t="s">
        <v>99</v>
      </c>
      <c r="F324" t="s">
        <v>100</v>
      </c>
      <c r="G324" t="s">
        <v>101</v>
      </c>
      <c r="H324" t="s">
        <v>22</v>
      </c>
      <c r="I324" t="s">
        <v>23</v>
      </c>
      <c r="J324" t="s">
        <v>24</v>
      </c>
      <c r="K324" t="s">
        <v>172</v>
      </c>
      <c r="L324">
        <v>28</v>
      </c>
      <c r="M324">
        <v>60</v>
      </c>
      <c r="N324">
        <v>1</v>
      </c>
      <c r="O324">
        <v>2</v>
      </c>
      <c r="P324">
        <v>250</v>
      </c>
      <c r="Q324">
        <v>0.50039999999999996</v>
      </c>
      <c r="R324">
        <v>468.91083237603681</v>
      </c>
      <c r="S324">
        <v>226.1108323760368</v>
      </c>
      <c r="T324">
        <v>0.36041666666666666</v>
      </c>
      <c r="U324">
        <v>41</v>
      </c>
      <c r="V324">
        <v>0.68541666666666667</v>
      </c>
      <c r="W324">
        <v>75.5</v>
      </c>
      <c r="X324">
        <v>10.6</v>
      </c>
      <c r="Y324">
        <v>40</v>
      </c>
      <c r="Z324">
        <v>0.35902777777777778</v>
      </c>
      <c r="AA324">
        <v>76</v>
      </c>
      <c r="AB324">
        <v>14.1</v>
      </c>
      <c r="AC324" t="s">
        <v>561</v>
      </c>
      <c r="AD324">
        <v>34.5</v>
      </c>
      <c r="AE324">
        <v>36</v>
      </c>
      <c r="AF324">
        <v>33.246240428868305</v>
      </c>
      <c r="AG324">
        <v>34.00873479879084</v>
      </c>
      <c r="AH324">
        <v>67.254975227659145</v>
      </c>
      <c r="AI324">
        <v>3.5241014854600401</v>
      </c>
      <c r="AJ324">
        <v>4.7952316066295078</v>
      </c>
      <c r="AK324">
        <v>8.319333092089547</v>
      </c>
      <c r="AL324">
        <v>143.42806901446227</v>
      </c>
      <c r="AM324">
        <v>48.220432705787914</v>
      </c>
      <c r="AN324">
        <v>3.3619941366515724</v>
      </c>
      <c r="AO324">
        <v>10.6</v>
      </c>
      <c r="AP324">
        <v>12.36984039311363</v>
      </c>
      <c r="AQ324">
        <v>17.741823216013845</v>
      </c>
      <c r="AR324">
        <v>36.793164682415409</v>
      </c>
      <c r="AS324">
        <v>0.96475974035674872</v>
      </c>
      <c r="AT324">
        <v>9.8470188368464378</v>
      </c>
      <c r="AU324">
        <v>20.420842958683153</v>
      </c>
    </row>
    <row r="325" spans="1:47" x14ac:dyDescent="0.35">
      <c r="A325">
        <v>323</v>
      </c>
      <c r="B325">
        <v>46048</v>
      </c>
      <c r="C325" t="s">
        <v>16</v>
      </c>
      <c r="D325" t="s">
        <v>173</v>
      </c>
      <c r="E325" t="s">
        <v>99</v>
      </c>
      <c r="F325" t="s">
        <v>100</v>
      </c>
      <c r="G325" t="s">
        <v>101</v>
      </c>
      <c r="H325" t="s">
        <v>22</v>
      </c>
      <c r="I325" t="s">
        <v>23</v>
      </c>
      <c r="J325" t="s">
        <v>24</v>
      </c>
      <c r="K325" t="s">
        <v>172</v>
      </c>
      <c r="L325">
        <v>28</v>
      </c>
      <c r="M325">
        <v>60</v>
      </c>
      <c r="N325">
        <v>1</v>
      </c>
      <c r="O325">
        <v>3</v>
      </c>
      <c r="P325">
        <v>251</v>
      </c>
      <c r="Q325">
        <v>0.50009999999999999</v>
      </c>
      <c r="R325">
        <v>468.6297107738929</v>
      </c>
      <c r="S325">
        <v>169.72971077389298</v>
      </c>
      <c r="T325">
        <v>0.36041666666666666</v>
      </c>
      <c r="U325">
        <v>41</v>
      </c>
      <c r="V325">
        <v>0.68611111111111112</v>
      </c>
      <c r="W325">
        <v>73.5</v>
      </c>
      <c r="X325">
        <v>10.8</v>
      </c>
      <c r="Y325">
        <v>40</v>
      </c>
      <c r="Z325">
        <v>0.35902777777777778</v>
      </c>
      <c r="AA325">
        <v>75.5</v>
      </c>
      <c r="AB325">
        <v>14.3</v>
      </c>
      <c r="AD325">
        <v>32.5</v>
      </c>
      <c r="AE325">
        <v>35.5</v>
      </c>
      <c r="AF325">
        <v>31.246240428868305</v>
      </c>
      <c r="AG325">
        <v>33.50873479879084</v>
      </c>
      <c r="AH325">
        <v>64.754975227659145</v>
      </c>
      <c r="AI325">
        <v>3.3745939663177773</v>
      </c>
      <c r="AJ325">
        <v>4.7917490762270907</v>
      </c>
      <c r="AK325">
        <v>8.1663430425448684</v>
      </c>
      <c r="AL325">
        <v>138.17940633922481</v>
      </c>
      <c r="AM325">
        <v>36.218299196950646</v>
      </c>
      <c r="AN325">
        <v>2.6211068752196107</v>
      </c>
      <c r="AO325">
        <v>10.8</v>
      </c>
      <c r="AP325">
        <v>12.61114379834823</v>
      </c>
      <c r="AQ325">
        <v>17.426003633143551</v>
      </c>
      <c r="AR325">
        <v>48.113809923495005</v>
      </c>
      <c r="AS325">
        <v>-0.65032803681530371</v>
      </c>
      <c r="AT325">
        <v>9.6717335043468022</v>
      </c>
      <c r="AU325">
        <v>26.703996926396538</v>
      </c>
    </row>
    <row r="326" spans="1:47" x14ac:dyDescent="0.35">
      <c r="A326">
        <v>324</v>
      </c>
      <c r="B326">
        <v>46048</v>
      </c>
      <c r="C326" t="s">
        <v>16</v>
      </c>
      <c r="D326" t="s">
        <v>175</v>
      </c>
      <c r="E326" t="s">
        <v>159</v>
      </c>
      <c r="F326" t="s">
        <v>160</v>
      </c>
      <c r="G326" t="s">
        <v>161</v>
      </c>
      <c r="H326" t="s">
        <v>22</v>
      </c>
      <c r="I326" t="s">
        <v>23</v>
      </c>
      <c r="J326" t="s">
        <v>24</v>
      </c>
      <c r="K326" t="s">
        <v>174</v>
      </c>
      <c r="L326">
        <v>28</v>
      </c>
      <c r="M326">
        <v>60</v>
      </c>
      <c r="N326">
        <v>1</v>
      </c>
      <c r="O326">
        <v>1</v>
      </c>
      <c r="P326">
        <v>252</v>
      </c>
      <c r="Q326">
        <v>0.50029999999999997</v>
      </c>
      <c r="R326">
        <v>474.58713101979578</v>
      </c>
      <c r="S326">
        <v>82.887131019795845</v>
      </c>
      <c r="T326">
        <v>0.3611111111111111</v>
      </c>
      <c r="U326">
        <v>41</v>
      </c>
      <c r="V326">
        <v>0.68611111111111112</v>
      </c>
      <c r="W326">
        <v>61</v>
      </c>
      <c r="X326">
        <v>10.4</v>
      </c>
      <c r="Y326">
        <v>40</v>
      </c>
      <c r="Z326">
        <v>0.35972222222222222</v>
      </c>
      <c r="AA326">
        <v>55</v>
      </c>
      <c r="AB326">
        <v>12.8</v>
      </c>
      <c r="AC326" t="s">
        <v>561</v>
      </c>
      <c r="AD326">
        <v>20</v>
      </c>
      <c r="AE326">
        <v>15</v>
      </c>
      <c r="AF326">
        <v>18.746240428868305</v>
      </c>
      <c r="AG326">
        <v>13.008734798790837</v>
      </c>
      <c r="AH326">
        <v>31.754975227659141</v>
      </c>
      <c r="AI326">
        <v>1.9496090046023038</v>
      </c>
      <c r="AJ326">
        <v>1.6651180542452271</v>
      </c>
      <c r="AK326">
        <v>3.6147270588475306</v>
      </c>
      <c r="AL326">
        <v>66.910738096551114</v>
      </c>
      <c r="AM326">
        <v>17.465102949944612</v>
      </c>
      <c r="AN326">
        <v>2.6102092798233296</v>
      </c>
      <c r="AO326">
        <v>10.4</v>
      </c>
      <c r="AP326">
        <v>11.383183368693167</v>
      </c>
      <c r="AQ326">
        <v>7.6165720108764496</v>
      </c>
      <c r="AR326">
        <v>43.610232546041786</v>
      </c>
      <c r="AS326">
        <v>-7.2211032814696277E-2</v>
      </c>
      <c r="AT326">
        <v>4.2273292406386931</v>
      </c>
      <c r="AU326">
        <v>24.204433565346374</v>
      </c>
    </row>
    <row r="327" spans="1:47" x14ac:dyDescent="0.35">
      <c r="A327">
        <v>325</v>
      </c>
      <c r="B327">
        <v>46048</v>
      </c>
      <c r="C327" t="s">
        <v>16</v>
      </c>
      <c r="D327" t="s">
        <v>175</v>
      </c>
      <c r="E327" t="s">
        <v>159</v>
      </c>
      <c r="F327" t="s">
        <v>160</v>
      </c>
      <c r="G327" t="s">
        <v>161</v>
      </c>
      <c r="H327" t="s">
        <v>22</v>
      </c>
      <c r="I327" t="s">
        <v>23</v>
      </c>
      <c r="J327" t="s">
        <v>24</v>
      </c>
      <c r="K327" t="s">
        <v>174</v>
      </c>
      <c r="L327">
        <v>28</v>
      </c>
      <c r="M327">
        <v>60</v>
      </c>
      <c r="N327">
        <v>1</v>
      </c>
      <c r="O327">
        <v>2</v>
      </c>
      <c r="P327">
        <v>253</v>
      </c>
      <c r="Q327">
        <v>0.50049999999999994</v>
      </c>
      <c r="R327">
        <v>474.77685203959186</v>
      </c>
      <c r="S327">
        <v>106.4768520395919</v>
      </c>
      <c r="T327">
        <v>0.3611111111111111</v>
      </c>
      <c r="U327">
        <v>41.5</v>
      </c>
      <c r="V327">
        <v>0.68611111111111112</v>
      </c>
      <c r="W327">
        <v>60</v>
      </c>
      <c r="X327">
        <v>10.1</v>
      </c>
      <c r="Y327">
        <v>40</v>
      </c>
      <c r="Z327">
        <v>0.36041666666666666</v>
      </c>
      <c r="AA327">
        <v>53.5</v>
      </c>
      <c r="AB327">
        <v>12.2</v>
      </c>
      <c r="AD327">
        <v>18.5</v>
      </c>
      <c r="AE327">
        <v>13.5</v>
      </c>
      <c r="AF327">
        <v>17.246240428868305</v>
      </c>
      <c r="AG327">
        <v>11.508734798790837</v>
      </c>
      <c r="AH327">
        <v>28.754975227659141</v>
      </c>
      <c r="AI327">
        <v>1.7418702833156987</v>
      </c>
      <c r="AJ327">
        <v>1.404065645452482</v>
      </c>
      <c r="AK327">
        <v>3.1459359287681807</v>
      </c>
      <c r="AL327">
        <v>60.565242606354474</v>
      </c>
      <c r="AM327">
        <v>22.426715115149033</v>
      </c>
      <c r="AN327">
        <v>3.7029018872940225</v>
      </c>
      <c r="AO327">
        <v>10.1</v>
      </c>
      <c r="AP327">
        <v>10.94049257167203</v>
      </c>
      <c r="AQ327">
        <v>6.6261358683633542</v>
      </c>
      <c r="AR327">
        <v>29.545726310526245</v>
      </c>
      <c r="AS327">
        <v>-7.6660873715616779E-2</v>
      </c>
      <c r="AT327">
        <v>3.6776200459705262</v>
      </c>
      <c r="AU327">
        <v>16.398389274077545</v>
      </c>
    </row>
    <row r="328" spans="1:47" x14ac:dyDescent="0.35">
      <c r="A328">
        <v>326</v>
      </c>
      <c r="B328">
        <v>46048</v>
      </c>
      <c r="C328" t="s">
        <v>16</v>
      </c>
      <c r="D328" t="s">
        <v>175</v>
      </c>
      <c r="E328" t="s">
        <v>159</v>
      </c>
      <c r="F328" t="s">
        <v>160</v>
      </c>
      <c r="G328" t="s">
        <v>161</v>
      </c>
      <c r="H328" t="s">
        <v>22</v>
      </c>
      <c r="I328" t="s">
        <v>23</v>
      </c>
      <c r="J328" t="s">
        <v>24</v>
      </c>
      <c r="K328" t="s">
        <v>174</v>
      </c>
      <c r="L328">
        <v>28</v>
      </c>
      <c r="M328">
        <v>60</v>
      </c>
      <c r="N328">
        <v>1</v>
      </c>
      <c r="O328">
        <v>3</v>
      </c>
      <c r="P328">
        <v>254</v>
      </c>
      <c r="Q328">
        <v>0.50019999999999998</v>
      </c>
      <c r="R328">
        <v>474.49227050989776</v>
      </c>
      <c r="S328">
        <v>110.39227050989768</v>
      </c>
      <c r="T328">
        <v>0.3611111111111111</v>
      </c>
      <c r="U328">
        <v>41</v>
      </c>
      <c r="V328">
        <v>0.68680555555555556</v>
      </c>
      <c r="W328">
        <v>57.5</v>
      </c>
      <c r="X328">
        <v>11.5</v>
      </c>
      <c r="Y328">
        <v>40</v>
      </c>
      <c r="Z328">
        <v>0.36041666666666666</v>
      </c>
      <c r="AA328">
        <v>54.5</v>
      </c>
      <c r="AB328">
        <v>12.5</v>
      </c>
      <c r="AD328">
        <v>16.5</v>
      </c>
      <c r="AE328">
        <v>14.5</v>
      </c>
      <c r="AF328">
        <v>15.246240428868305</v>
      </c>
      <c r="AG328">
        <v>12.508734798790837</v>
      </c>
      <c r="AH328">
        <v>27.754975227659141</v>
      </c>
      <c r="AI328">
        <v>1.753317649319855</v>
      </c>
      <c r="AJ328">
        <v>1.5635918498488546</v>
      </c>
      <c r="AK328">
        <v>3.3169094991687098</v>
      </c>
      <c r="AL328">
        <v>58.49405133161212</v>
      </c>
      <c r="AM328">
        <v>23.265346428355556</v>
      </c>
      <c r="AN328">
        <v>3.9773867425356801</v>
      </c>
      <c r="AO328">
        <v>11.5</v>
      </c>
      <c r="AP328">
        <v>11.950684415899795</v>
      </c>
      <c r="AQ328">
        <v>6.9904394767153955</v>
      </c>
      <c r="AR328">
        <v>30.046573766877259</v>
      </c>
      <c r="AS328">
        <v>-8.3946208322889876E-2</v>
      </c>
      <c r="AT328">
        <v>3.8798148514365036</v>
      </c>
      <c r="AU328">
        <v>16.67636827753326</v>
      </c>
    </row>
    <row r="329" spans="1:47" x14ac:dyDescent="0.35">
      <c r="A329">
        <v>327</v>
      </c>
      <c r="B329">
        <v>46048</v>
      </c>
      <c r="C329" t="s">
        <v>16</v>
      </c>
      <c r="D329" t="s">
        <v>177</v>
      </c>
      <c r="E329" t="s">
        <v>159</v>
      </c>
      <c r="F329" t="s">
        <v>160</v>
      </c>
      <c r="G329" t="s">
        <v>161</v>
      </c>
      <c r="H329" t="s">
        <v>22</v>
      </c>
      <c r="I329" t="s">
        <v>23</v>
      </c>
      <c r="J329" t="s">
        <v>24</v>
      </c>
      <c r="K329" t="s">
        <v>176</v>
      </c>
      <c r="L329">
        <v>28</v>
      </c>
      <c r="M329">
        <v>60</v>
      </c>
      <c r="N329">
        <v>1</v>
      </c>
      <c r="O329">
        <v>1</v>
      </c>
      <c r="P329">
        <v>255</v>
      </c>
      <c r="Q329">
        <v>0.50029999999999997</v>
      </c>
      <c r="R329">
        <v>469.66743825617431</v>
      </c>
      <c r="S329">
        <v>52.467438256174319</v>
      </c>
      <c r="T329">
        <v>0.36180555555555555</v>
      </c>
      <c r="U329">
        <v>40.5</v>
      </c>
      <c r="V329">
        <v>0.68680555555555556</v>
      </c>
      <c r="W329">
        <v>61.5</v>
      </c>
      <c r="X329">
        <v>10.8</v>
      </c>
      <c r="Y329">
        <v>39.5</v>
      </c>
      <c r="Z329">
        <v>0.3611111111111111</v>
      </c>
      <c r="AA329">
        <v>54.5</v>
      </c>
      <c r="AB329">
        <v>12.1</v>
      </c>
    </row>
    <row r="330" spans="1:47" x14ac:dyDescent="0.35">
      <c r="A330">
        <v>328</v>
      </c>
      <c r="B330">
        <v>46048</v>
      </c>
      <c r="C330" t="s">
        <v>16</v>
      </c>
      <c r="D330" t="s">
        <v>177</v>
      </c>
      <c r="E330" t="s">
        <v>159</v>
      </c>
      <c r="F330" t="s">
        <v>160</v>
      </c>
      <c r="G330" t="s">
        <v>161</v>
      </c>
      <c r="H330" t="s">
        <v>22</v>
      </c>
      <c r="I330" t="s">
        <v>23</v>
      </c>
      <c r="J330" t="s">
        <v>24</v>
      </c>
      <c r="K330" t="s">
        <v>176</v>
      </c>
      <c r="L330">
        <v>28</v>
      </c>
      <c r="M330">
        <v>60</v>
      </c>
      <c r="N330">
        <v>1</v>
      </c>
      <c r="O330">
        <v>2</v>
      </c>
      <c r="P330">
        <v>256</v>
      </c>
      <c r="Q330">
        <v>0.50060000000000004</v>
      </c>
      <c r="R330">
        <v>469.94906974023763</v>
      </c>
      <c r="S330">
        <v>67.149069740237564</v>
      </c>
      <c r="T330">
        <v>0.36180555555555555</v>
      </c>
      <c r="U330">
        <v>41</v>
      </c>
      <c r="V330">
        <v>0.68819444444444444</v>
      </c>
      <c r="W330">
        <v>61</v>
      </c>
      <c r="X330">
        <v>11.2</v>
      </c>
      <c r="Y330">
        <v>40.5</v>
      </c>
      <c r="Z330">
        <v>0.3611111111111111</v>
      </c>
      <c r="AA330">
        <v>56.5</v>
      </c>
      <c r="AB330">
        <v>12.2</v>
      </c>
    </row>
    <row r="331" spans="1:47" x14ac:dyDescent="0.35">
      <c r="A331">
        <v>329</v>
      </c>
      <c r="B331">
        <v>46048</v>
      </c>
      <c r="C331" t="s">
        <v>16</v>
      </c>
      <c r="D331" t="s">
        <v>177</v>
      </c>
      <c r="E331" t="s">
        <v>159</v>
      </c>
      <c r="F331" t="s">
        <v>160</v>
      </c>
      <c r="G331" t="s">
        <v>161</v>
      </c>
      <c r="H331" t="s">
        <v>22</v>
      </c>
      <c r="I331" t="s">
        <v>23</v>
      </c>
      <c r="J331" t="s">
        <v>24</v>
      </c>
      <c r="K331" t="s">
        <v>176</v>
      </c>
      <c r="L331">
        <v>28</v>
      </c>
      <c r="M331">
        <v>60</v>
      </c>
      <c r="N331">
        <v>1</v>
      </c>
      <c r="O331">
        <v>3</v>
      </c>
      <c r="P331">
        <v>257</v>
      </c>
      <c r="Q331">
        <v>0.50049999999999994</v>
      </c>
      <c r="R331">
        <v>469.85519257888313</v>
      </c>
      <c r="S331">
        <v>112.75519257888317</v>
      </c>
      <c r="T331">
        <v>0.36249999999999999</v>
      </c>
      <c r="U331">
        <v>41</v>
      </c>
      <c r="V331">
        <v>0.68888888888888888</v>
      </c>
      <c r="W331">
        <v>61.5</v>
      </c>
      <c r="X331">
        <v>11.2</v>
      </c>
      <c r="Y331">
        <v>40</v>
      </c>
      <c r="Z331">
        <v>0.36180555555555555</v>
      </c>
      <c r="AA331">
        <v>55.5</v>
      </c>
      <c r="AB331">
        <v>12</v>
      </c>
    </row>
    <row r="332" spans="1:47" x14ac:dyDescent="0.35">
      <c r="A332">
        <v>330</v>
      </c>
      <c r="B332">
        <v>46048</v>
      </c>
      <c r="C332" t="s">
        <v>16</v>
      </c>
      <c r="D332" t="s">
        <v>181</v>
      </c>
      <c r="E332" t="s">
        <v>159</v>
      </c>
      <c r="F332" t="s">
        <v>160</v>
      </c>
      <c r="G332" t="s">
        <v>161</v>
      </c>
      <c r="H332" t="s">
        <v>22</v>
      </c>
      <c r="I332" t="s">
        <v>23</v>
      </c>
      <c r="J332" t="s">
        <v>24</v>
      </c>
      <c r="K332" t="s">
        <v>180</v>
      </c>
      <c r="L332">
        <v>28</v>
      </c>
      <c r="M332">
        <v>60</v>
      </c>
      <c r="N332">
        <v>1</v>
      </c>
      <c r="O332">
        <v>1</v>
      </c>
      <c r="P332">
        <v>258</v>
      </c>
      <c r="Q332">
        <v>0.50039999999999996</v>
      </c>
      <c r="R332">
        <v>477.961559971165</v>
      </c>
      <c r="S332">
        <v>145.16155997116499</v>
      </c>
      <c r="T332">
        <v>0.36249999999999999</v>
      </c>
      <c r="U332">
        <v>41.5</v>
      </c>
      <c r="V332">
        <v>0.68958333333333333</v>
      </c>
      <c r="W332">
        <v>64</v>
      </c>
      <c r="X332">
        <v>11.9</v>
      </c>
      <c r="Y332">
        <v>40</v>
      </c>
      <c r="Z332">
        <v>0.36249999999999999</v>
      </c>
      <c r="AA332">
        <v>54.5</v>
      </c>
      <c r="AB332">
        <v>12.3</v>
      </c>
      <c r="AD332">
        <v>22.5</v>
      </c>
      <c r="AE332">
        <v>14.5</v>
      </c>
      <c r="AF332">
        <v>21.246240428868305</v>
      </c>
      <c r="AG332">
        <v>12.508734798790837</v>
      </c>
      <c r="AH332">
        <v>33.754975227659145</v>
      </c>
      <c r="AI332">
        <v>2.5283026110353286</v>
      </c>
      <c r="AJ332">
        <v>1.538574380251273</v>
      </c>
      <c r="AK332">
        <v>4.0668769912866019</v>
      </c>
      <c r="AL332">
        <v>70.622782362865237</v>
      </c>
      <c r="AM332">
        <v>30.370969577537256</v>
      </c>
      <c r="AN332">
        <v>4.3004493113127289</v>
      </c>
      <c r="AO332">
        <v>11.900000000000002</v>
      </c>
      <c r="AP332">
        <v>12.048229820515953</v>
      </c>
      <c r="AQ332">
        <v>8.5087951247208089</v>
      </c>
      <c r="AR332">
        <v>28.01621167542185</v>
      </c>
      <c r="AS332">
        <v>-0.14474475988232766</v>
      </c>
      <c r="AT332">
        <v>4.7225285052083654</v>
      </c>
      <c r="AU332">
        <v>15.549482189403681</v>
      </c>
    </row>
    <row r="333" spans="1:47" x14ac:dyDescent="0.35">
      <c r="A333">
        <v>331</v>
      </c>
      <c r="B333">
        <v>46048</v>
      </c>
      <c r="C333" t="s">
        <v>16</v>
      </c>
      <c r="D333" t="s">
        <v>181</v>
      </c>
      <c r="E333" t="s">
        <v>159</v>
      </c>
      <c r="F333" t="s">
        <v>160</v>
      </c>
      <c r="G333" t="s">
        <v>161</v>
      </c>
      <c r="H333" t="s">
        <v>22</v>
      </c>
      <c r="I333" t="s">
        <v>23</v>
      </c>
      <c r="J333" t="s">
        <v>24</v>
      </c>
      <c r="K333" t="s">
        <v>180</v>
      </c>
      <c r="L333">
        <v>28</v>
      </c>
      <c r="M333">
        <v>60</v>
      </c>
      <c r="N333">
        <v>1</v>
      </c>
      <c r="O333">
        <v>2</v>
      </c>
      <c r="P333">
        <v>259</v>
      </c>
      <c r="Q333">
        <v>0.50009999999999999</v>
      </c>
      <c r="R333">
        <v>477.67501227334066</v>
      </c>
      <c r="S333">
        <v>138.27501227334062</v>
      </c>
      <c r="T333">
        <v>0.36319444444444443</v>
      </c>
      <c r="U333">
        <v>40.5</v>
      </c>
      <c r="V333">
        <v>0.68958333333333333</v>
      </c>
      <c r="W333">
        <v>60</v>
      </c>
      <c r="X333">
        <v>11.9</v>
      </c>
      <c r="Y333">
        <v>39.5</v>
      </c>
      <c r="Z333">
        <v>0.36249999999999999</v>
      </c>
      <c r="AA333">
        <v>53.5</v>
      </c>
      <c r="AB333">
        <v>12.6</v>
      </c>
      <c r="AD333">
        <v>19.5</v>
      </c>
      <c r="AE333">
        <v>14</v>
      </c>
      <c r="AF333">
        <v>18.246240428868305</v>
      </c>
      <c r="AG333">
        <v>12.008734798790837</v>
      </c>
      <c r="AH333">
        <v>30.254975227659141</v>
      </c>
      <c r="AI333">
        <v>2.1713026110353284</v>
      </c>
      <c r="AJ333">
        <v>1.5131005846476455</v>
      </c>
      <c r="AK333">
        <v>3.6844031956829739</v>
      </c>
      <c r="AL333">
        <v>63.337990161282065</v>
      </c>
      <c r="AM333">
        <v>28.947507975195343</v>
      </c>
      <c r="AN333">
        <v>4.5703231033198604</v>
      </c>
      <c r="AO333">
        <v>11.9</v>
      </c>
      <c r="AP333">
        <v>12.177842381158809</v>
      </c>
      <c r="AQ333">
        <v>7.7132006092348053</v>
      </c>
      <c r="AR333">
        <v>26.645473647832219</v>
      </c>
      <c r="AS333">
        <v>-0.11995204203536829</v>
      </c>
      <c r="AT333">
        <v>4.280959784502639</v>
      </c>
      <c r="AU333">
        <v>14.788698868900651</v>
      </c>
    </row>
    <row r="334" spans="1:47" x14ac:dyDescent="0.35">
      <c r="A334">
        <v>332</v>
      </c>
      <c r="B334">
        <v>46048</v>
      </c>
      <c r="C334" t="s">
        <v>16</v>
      </c>
      <c r="D334" t="s">
        <v>181</v>
      </c>
      <c r="E334" t="s">
        <v>159</v>
      </c>
      <c r="F334" t="s">
        <v>160</v>
      </c>
      <c r="G334" t="s">
        <v>161</v>
      </c>
      <c r="H334" t="s">
        <v>22</v>
      </c>
      <c r="I334" t="s">
        <v>23</v>
      </c>
      <c r="J334" t="s">
        <v>24</v>
      </c>
      <c r="K334" t="s">
        <v>180</v>
      </c>
      <c r="L334">
        <v>28</v>
      </c>
      <c r="M334">
        <v>60</v>
      </c>
      <c r="N334">
        <v>1</v>
      </c>
      <c r="O334">
        <v>3</v>
      </c>
      <c r="P334">
        <v>260</v>
      </c>
      <c r="Q334">
        <v>0.5</v>
      </c>
      <c r="R334">
        <v>477.5794963740658</v>
      </c>
      <c r="S334">
        <v>145.17949637406588</v>
      </c>
      <c r="T334">
        <v>0.36388888888888887</v>
      </c>
      <c r="U334">
        <v>41</v>
      </c>
      <c r="V334">
        <v>0.69027777777777777</v>
      </c>
      <c r="W334">
        <v>62.5</v>
      </c>
      <c r="X334">
        <v>11.6</v>
      </c>
      <c r="Y334">
        <v>39.5</v>
      </c>
      <c r="Z334">
        <v>0.36319444444444443</v>
      </c>
      <c r="AA334">
        <v>53</v>
      </c>
      <c r="AB334">
        <v>12.7</v>
      </c>
      <c r="AD334">
        <v>21.5</v>
      </c>
      <c r="AE334">
        <v>13.5</v>
      </c>
      <c r="AF334">
        <v>20.246240428868305</v>
      </c>
      <c r="AG334">
        <v>11.508734798790837</v>
      </c>
      <c r="AH334">
        <v>31.754975227659141</v>
      </c>
      <c r="AI334">
        <v>2.3485638897487231</v>
      </c>
      <c r="AJ334">
        <v>1.4616093194464364</v>
      </c>
      <c r="AK334">
        <v>3.8101732091951597</v>
      </c>
      <c r="AL334">
        <v>66.491496114789115</v>
      </c>
      <c r="AM334">
        <v>30.399022042678638</v>
      </c>
      <c r="AN334">
        <v>4.5718661511539143</v>
      </c>
      <c r="AO334">
        <v>11.6</v>
      </c>
      <c r="AP334">
        <v>11.998665348907064</v>
      </c>
      <c r="AQ334">
        <v>7.9780921042950892</v>
      </c>
      <c r="AR334">
        <v>26.244568305829922</v>
      </c>
      <c r="AS334">
        <v>-0.13585792480838396</v>
      </c>
      <c r="AT334">
        <v>4.4279791471589345</v>
      </c>
      <c r="AU334">
        <v>14.566189468010794</v>
      </c>
    </row>
    <row r="335" spans="1:47" x14ac:dyDescent="0.35">
      <c r="A335">
        <v>333</v>
      </c>
      <c r="B335">
        <v>46048</v>
      </c>
      <c r="C335" t="s">
        <v>16</v>
      </c>
      <c r="D335" t="s">
        <v>183</v>
      </c>
      <c r="E335" t="s">
        <v>19</v>
      </c>
      <c r="F335" t="s">
        <v>20</v>
      </c>
      <c r="G335" t="s">
        <v>21</v>
      </c>
      <c r="H335" t="s">
        <v>22</v>
      </c>
      <c r="I335" t="s">
        <v>23</v>
      </c>
      <c r="J335" t="s">
        <v>24</v>
      </c>
      <c r="K335" t="s">
        <v>182</v>
      </c>
      <c r="L335">
        <v>28</v>
      </c>
      <c r="M335">
        <v>60</v>
      </c>
      <c r="N335">
        <v>1</v>
      </c>
      <c r="O335">
        <v>1</v>
      </c>
      <c r="P335">
        <v>261</v>
      </c>
      <c r="Q335">
        <v>0.50019999999999998</v>
      </c>
      <c r="R335">
        <v>479.47085312162562</v>
      </c>
      <c r="S335">
        <v>97.770853121625578</v>
      </c>
      <c r="T335">
        <v>0.36388888888888887</v>
      </c>
      <c r="U335">
        <v>40.5</v>
      </c>
      <c r="V335">
        <v>0.69097222222222221</v>
      </c>
      <c r="W335">
        <v>68</v>
      </c>
      <c r="X335">
        <v>12.9</v>
      </c>
      <c r="Y335">
        <v>40</v>
      </c>
      <c r="Z335">
        <v>0.36319444444444443</v>
      </c>
      <c r="AA335">
        <v>68</v>
      </c>
      <c r="AB335">
        <v>16.5</v>
      </c>
      <c r="AD335">
        <v>27.5</v>
      </c>
      <c r="AE335">
        <v>28</v>
      </c>
      <c r="AF335">
        <v>26.246240428868305</v>
      </c>
      <c r="AG335">
        <v>26.008734798790837</v>
      </c>
      <c r="AH335">
        <v>52.254975227659145</v>
      </c>
      <c r="AI335">
        <v>3.3857650153240115</v>
      </c>
      <c r="AJ335">
        <v>4.2914412418004879</v>
      </c>
      <c r="AK335">
        <v>7.6772062571244994</v>
      </c>
      <c r="AL335">
        <v>108.98467526743239</v>
      </c>
      <c r="AM335">
        <v>20.391407003174894</v>
      </c>
      <c r="AN335">
        <v>1.8710343406664629</v>
      </c>
      <c r="AO335">
        <v>12.9</v>
      </c>
      <c r="AP335">
        <v>14.691818766877663</v>
      </c>
      <c r="AQ335">
        <v>16.011830973961313</v>
      </c>
      <c r="AR335">
        <v>78.522443161809818</v>
      </c>
      <c r="AS335">
        <v>-0.34720359759271829</v>
      </c>
      <c r="AT335">
        <v>8.8868432118456564</v>
      </c>
      <c r="AU335">
        <v>43.581314474582328</v>
      </c>
    </row>
    <row r="336" spans="1:47" x14ac:dyDescent="0.35">
      <c r="A336">
        <v>334</v>
      </c>
      <c r="B336">
        <v>46048</v>
      </c>
      <c r="C336" t="s">
        <v>16</v>
      </c>
      <c r="D336" t="s">
        <v>183</v>
      </c>
      <c r="E336" t="s">
        <v>19</v>
      </c>
      <c r="F336" t="s">
        <v>20</v>
      </c>
      <c r="G336" t="s">
        <v>21</v>
      </c>
      <c r="H336" t="s">
        <v>22</v>
      </c>
      <c r="I336" t="s">
        <v>23</v>
      </c>
      <c r="J336" t="s">
        <v>24</v>
      </c>
      <c r="K336" t="s">
        <v>182</v>
      </c>
      <c r="L336">
        <v>28</v>
      </c>
      <c r="M336">
        <v>60</v>
      </c>
      <c r="N336">
        <v>1</v>
      </c>
      <c r="O336">
        <v>2</v>
      </c>
      <c r="P336">
        <v>262</v>
      </c>
      <c r="Q336">
        <v>0.50049999999999994</v>
      </c>
      <c r="R336">
        <v>479.75842060650461</v>
      </c>
      <c r="S336">
        <v>105.15842060650459</v>
      </c>
      <c r="T336">
        <v>0.36458333333333331</v>
      </c>
      <c r="U336">
        <v>41</v>
      </c>
      <c r="V336">
        <v>0.69097222222222221</v>
      </c>
      <c r="W336">
        <v>68</v>
      </c>
      <c r="X336">
        <v>13.1</v>
      </c>
      <c r="Y336">
        <v>40</v>
      </c>
      <c r="Z336">
        <v>0.36319444444444443</v>
      </c>
      <c r="AA336">
        <v>68</v>
      </c>
      <c r="AB336">
        <v>17.7</v>
      </c>
      <c r="AD336">
        <v>27</v>
      </c>
      <c r="AE336">
        <v>28</v>
      </c>
      <c r="AF336">
        <v>25.746240428868305</v>
      </c>
      <c r="AG336">
        <v>26.008734798790837</v>
      </c>
      <c r="AH336">
        <v>51.754975227659145</v>
      </c>
      <c r="AI336">
        <v>3.3727574961817481</v>
      </c>
      <c r="AJ336">
        <v>4.6035460593859776</v>
      </c>
      <c r="AK336">
        <v>7.9763035555677257</v>
      </c>
      <c r="AL336">
        <v>107.87715859626007</v>
      </c>
      <c r="AM336">
        <v>21.919035933452637</v>
      </c>
      <c r="AN336">
        <v>2.031851433488955</v>
      </c>
      <c r="AO336">
        <v>13.1</v>
      </c>
      <c r="AP336">
        <v>15.411665294943452</v>
      </c>
      <c r="AQ336">
        <v>16.625666612550919</v>
      </c>
      <c r="AR336">
        <v>75.850355202789629</v>
      </c>
      <c r="AS336">
        <v>-0.40348936822504516</v>
      </c>
      <c r="AT336">
        <v>9.2275326112566365</v>
      </c>
      <c r="AU336">
        <v>42.098259427430641</v>
      </c>
    </row>
    <row r="337" spans="1:48" x14ac:dyDescent="0.35">
      <c r="A337">
        <v>335</v>
      </c>
      <c r="B337">
        <v>46048</v>
      </c>
      <c r="C337" t="s">
        <v>16</v>
      </c>
      <c r="D337" t="s">
        <v>183</v>
      </c>
      <c r="E337" t="s">
        <v>19</v>
      </c>
      <c r="F337" t="s">
        <v>20</v>
      </c>
      <c r="G337" t="s">
        <v>21</v>
      </c>
      <c r="H337" t="s">
        <v>22</v>
      </c>
      <c r="I337" t="s">
        <v>23</v>
      </c>
      <c r="J337" t="s">
        <v>24</v>
      </c>
      <c r="K337" t="s">
        <v>182</v>
      </c>
      <c r="L337">
        <v>28</v>
      </c>
      <c r="M337">
        <v>60</v>
      </c>
      <c r="N337">
        <v>1</v>
      </c>
      <c r="O337">
        <v>3</v>
      </c>
      <c r="P337">
        <v>263</v>
      </c>
      <c r="Q337">
        <v>0.50039999999999996</v>
      </c>
      <c r="R337">
        <v>479.66256477821162</v>
      </c>
      <c r="S337">
        <v>94.962564778211686</v>
      </c>
      <c r="T337">
        <v>0.36458333333333331</v>
      </c>
      <c r="U337">
        <v>41.5</v>
      </c>
      <c r="V337">
        <v>0.69166666666666665</v>
      </c>
      <c r="W337">
        <v>58.5</v>
      </c>
      <c r="X337">
        <v>12.9</v>
      </c>
      <c r="Y337">
        <v>33</v>
      </c>
      <c r="Z337">
        <v>0.36388888888888887</v>
      </c>
      <c r="AA337">
        <v>56</v>
      </c>
      <c r="AB337">
        <v>17.2</v>
      </c>
      <c r="AC337" t="s">
        <v>560</v>
      </c>
      <c r="AD337">
        <v>17</v>
      </c>
      <c r="AE337">
        <v>23</v>
      </c>
      <c r="AF337">
        <v>15.746240428868305</v>
      </c>
      <c r="AG337">
        <v>21.008734798790837</v>
      </c>
      <c r="AH337">
        <v>36.754975227659145</v>
      </c>
      <c r="AI337">
        <v>2.0312650153240113</v>
      </c>
      <c r="AJ337">
        <v>3.6135023853920236</v>
      </c>
      <c r="AK337">
        <v>5.6447674007160344</v>
      </c>
      <c r="AL337">
        <v>76.626732888054462</v>
      </c>
      <c r="AM337">
        <v>19.79778530811986</v>
      </c>
      <c r="AN337">
        <v>2.583665590576965</v>
      </c>
      <c r="AO337">
        <v>12.9</v>
      </c>
      <c r="AP337">
        <v>15.357832145859236</v>
      </c>
      <c r="AQ337">
        <v>11.76820501580332</v>
      </c>
      <c r="AR337">
        <v>59.442027644257308</v>
      </c>
      <c r="AS337">
        <v>-0.24518911986354697</v>
      </c>
      <c r="AT337">
        <v>6.5315573859337448</v>
      </c>
      <c r="AU337">
        <v>32.991353751345578</v>
      </c>
    </row>
    <row r="338" spans="1:48" x14ac:dyDescent="0.35">
      <c r="A338">
        <v>336</v>
      </c>
      <c r="B338">
        <v>46048</v>
      </c>
      <c r="C338" t="s">
        <v>16</v>
      </c>
      <c r="D338" t="s">
        <v>185</v>
      </c>
      <c r="E338" t="s">
        <v>19</v>
      </c>
      <c r="F338" t="s">
        <v>20</v>
      </c>
      <c r="G338" t="s">
        <v>21</v>
      </c>
      <c r="H338" t="s">
        <v>22</v>
      </c>
      <c r="I338" t="s">
        <v>23</v>
      </c>
      <c r="J338" t="s">
        <v>24</v>
      </c>
      <c r="K338" t="s">
        <v>184</v>
      </c>
      <c r="L338">
        <v>28</v>
      </c>
      <c r="M338">
        <v>60</v>
      </c>
      <c r="N338">
        <v>1</v>
      </c>
      <c r="O338">
        <v>1</v>
      </c>
      <c r="P338">
        <v>264</v>
      </c>
      <c r="Q338">
        <v>0.50049999999999994</v>
      </c>
      <c r="R338">
        <v>478.63361904246204</v>
      </c>
      <c r="S338">
        <v>126.93361904246206</v>
      </c>
      <c r="T338">
        <v>0.36527777777777776</v>
      </c>
      <c r="U338">
        <v>41.5</v>
      </c>
      <c r="V338">
        <v>0.69166666666666665</v>
      </c>
      <c r="W338">
        <v>64</v>
      </c>
      <c r="X338">
        <v>12.2</v>
      </c>
      <c r="Y338">
        <v>40</v>
      </c>
      <c r="Z338">
        <v>0.36458333333333331</v>
      </c>
      <c r="AA338">
        <v>60.5</v>
      </c>
      <c r="AB338">
        <v>16.7</v>
      </c>
      <c r="AD338">
        <v>22.5</v>
      </c>
      <c r="AE338">
        <v>20.5</v>
      </c>
      <c r="AF338">
        <v>21.246240428868305</v>
      </c>
      <c r="AG338">
        <v>18.508734798790837</v>
      </c>
      <c r="AH338">
        <v>39.754975227659145</v>
      </c>
      <c r="AI338">
        <v>2.5920413323219331</v>
      </c>
      <c r="AJ338">
        <v>3.0909587113980694</v>
      </c>
      <c r="AK338">
        <v>5.6830000437200026</v>
      </c>
      <c r="AL338">
        <v>83.059303914320893</v>
      </c>
      <c r="AM338">
        <v>26.519996505134991</v>
      </c>
      <c r="AN338">
        <v>3.1928989595785033</v>
      </c>
      <c r="AO338">
        <v>12.2</v>
      </c>
      <c r="AP338">
        <v>14.295066243095302</v>
      </c>
      <c r="AQ338">
        <v>11.873382515606023</v>
      </c>
      <c r="AR338">
        <v>44.771433183662047</v>
      </c>
      <c r="AS338">
        <v>-0.44585725948482924</v>
      </c>
      <c r="AT338">
        <v>6.5899327180041736</v>
      </c>
      <c r="AU338">
        <v>24.848920009202054</v>
      </c>
    </row>
    <row r="339" spans="1:48" x14ac:dyDescent="0.35">
      <c r="A339">
        <v>337</v>
      </c>
      <c r="B339">
        <v>46048</v>
      </c>
      <c r="C339" t="s">
        <v>16</v>
      </c>
      <c r="D339" t="s">
        <v>185</v>
      </c>
      <c r="E339" t="s">
        <v>19</v>
      </c>
      <c r="F339" t="s">
        <v>20</v>
      </c>
      <c r="G339" t="s">
        <v>21</v>
      </c>
      <c r="H339" t="s">
        <v>22</v>
      </c>
      <c r="I339" t="s">
        <v>23</v>
      </c>
      <c r="J339" t="s">
        <v>24</v>
      </c>
      <c r="K339" t="s">
        <v>184</v>
      </c>
      <c r="L339">
        <v>28</v>
      </c>
      <c r="M339">
        <v>60</v>
      </c>
      <c r="N339">
        <v>1</v>
      </c>
      <c r="O339">
        <v>2</v>
      </c>
      <c r="P339">
        <v>265</v>
      </c>
      <c r="Q339">
        <v>0.50039999999999996</v>
      </c>
      <c r="R339">
        <v>478.53798794974625</v>
      </c>
      <c r="S339">
        <v>70.43798794974623</v>
      </c>
      <c r="T339">
        <v>0.36527777777777776</v>
      </c>
      <c r="U339">
        <v>41.5</v>
      </c>
      <c r="V339">
        <v>0.69236111111111109</v>
      </c>
      <c r="W339">
        <v>63.5</v>
      </c>
      <c r="X339">
        <v>12.4</v>
      </c>
      <c r="Y339">
        <v>41</v>
      </c>
      <c r="Z339">
        <v>0.36458333333333331</v>
      </c>
      <c r="AA339">
        <v>61</v>
      </c>
      <c r="AB339">
        <v>17.399999999999999</v>
      </c>
      <c r="AD339">
        <v>22</v>
      </c>
      <c r="AE339">
        <v>20</v>
      </c>
      <c r="AV339" t="s">
        <v>628</v>
      </c>
    </row>
    <row r="340" spans="1:48" x14ac:dyDescent="0.35">
      <c r="A340">
        <v>338</v>
      </c>
      <c r="B340">
        <v>46048</v>
      </c>
      <c r="C340" t="s">
        <v>16</v>
      </c>
      <c r="D340" t="s">
        <v>185</v>
      </c>
      <c r="E340" t="s">
        <v>19</v>
      </c>
      <c r="F340" t="s">
        <v>20</v>
      </c>
      <c r="G340" t="s">
        <v>21</v>
      </c>
      <c r="H340" t="s">
        <v>22</v>
      </c>
      <c r="I340" t="s">
        <v>23</v>
      </c>
      <c r="J340" t="s">
        <v>24</v>
      </c>
      <c r="K340" t="s">
        <v>184</v>
      </c>
      <c r="L340">
        <v>28</v>
      </c>
      <c r="M340">
        <v>60</v>
      </c>
      <c r="N340">
        <v>1</v>
      </c>
      <c r="O340">
        <v>3</v>
      </c>
      <c r="P340">
        <v>266</v>
      </c>
      <c r="Q340">
        <v>0.5</v>
      </c>
      <c r="R340">
        <v>478.1554635788832</v>
      </c>
      <c r="S340">
        <v>0</v>
      </c>
      <c r="T340">
        <v>0.3659722222222222</v>
      </c>
      <c r="U340">
        <v>42.5</v>
      </c>
      <c r="V340">
        <v>0.69236111111111109</v>
      </c>
      <c r="W340">
        <v>65.5</v>
      </c>
      <c r="X340">
        <v>11.8</v>
      </c>
      <c r="Y340">
        <v>40.5</v>
      </c>
      <c r="Z340">
        <v>0.36527777777777776</v>
      </c>
      <c r="AA340">
        <v>59</v>
      </c>
      <c r="AB340">
        <v>17.399999999999999</v>
      </c>
      <c r="AD340">
        <v>23</v>
      </c>
      <c r="AE340">
        <v>18.5</v>
      </c>
      <c r="AV340" t="s">
        <v>611</v>
      </c>
    </row>
    <row r="341" spans="1:48" x14ac:dyDescent="0.35">
      <c r="A341">
        <v>339</v>
      </c>
      <c r="B341">
        <v>46048</v>
      </c>
      <c r="D341" t="s">
        <v>187</v>
      </c>
      <c r="E341" t="s">
        <v>105</v>
      </c>
      <c r="F341" t="s">
        <v>188</v>
      </c>
      <c r="G341" t="s">
        <v>189</v>
      </c>
      <c r="H341" t="s">
        <v>108</v>
      </c>
      <c r="I341" t="s">
        <v>109</v>
      </c>
      <c r="J341" t="s">
        <v>110</v>
      </c>
      <c r="K341" t="s">
        <v>186</v>
      </c>
      <c r="L341">
        <v>28</v>
      </c>
      <c r="M341">
        <v>60</v>
      </c>
      <c r="N341">
        <v>1</v>
      </c>
      <c r="O341">
        <v>1</v>
      </c>
      <c r="P341">
        <v>267</v>
      </c>
      <c r="Q341">
        <v>0.50029999999999997</v>
      </c>
      <c r="R341">
        <v>474.49097469269549</v>
      </c>
      <c r="S341">
        <v>226.39097469269549</v>
      </c>
      <c r="T341">
        <v>0.3659722222222222</v>
      </c>
      <c r="U341">
        <v>41</v>
      </c>
      <c r="V341">
        <v>0.69305555555555554</v>
      </c>
      <c r="W341">
        <v>78</v>
      </c>
      <c r="X341">
        <v>13.3</v>
      </c>
      <c r="Y341">
        <v>40.5</v>
      </c>
      <c r="Z341">
        <v>0.36527777777777776</v>
      </c>
      <c r="AA341">
        <v>88.5</v>
      </c>
      <c r="AB341">
        <v>15.1</v>
      </c>
      <c r="AD341">
        <v>37</v>
      </c>
      <c r="AE341">
        <v>48</v>
      </c>
      <c r="AV341" t="s">
        <v>611</v>
      </c>
    </row>
    <row r="342" spans="1:48" x14ac:dyDescent="0.35">
      <c r="A342">
        <v>340</v>
      </c>
      <c r="B342">
        <v>46048</v>
      </c>
      <c r="D342" t="s">
        <v>187</v>
      </c>
      <c r="E342" t="s">
        <v>105</v>
      </c>
      <c r="F342" t="s">
        <v>188</v>
      </c>
      <c r="G342" t="s">
        <v>189</v>
      </c>
      <c r="H342" t="s">
        <v>108</v>
      </c>
      <c r="I342" t="s">
        <v>109</v>
      </c>
      <c r="J342" t="s">
        <v>110</v>
      </c>
      <c r="K342" t="s">
        <v>186</v>
      </c>
      <c r="L342">
        <v>28</v>
      </c>
      <c r="M342">
        <v>60</v>
      </c>
      <c r="N342">
        <v>1</v>
      </c>
      <c r="O342">
        <v>2</v>
      </c>
      <c r="P342">
        <v>268</v>
      </c>
      <c r="Q342">
        <v>0.50060000000000004</v>
      </c>
      <c r="R342">
        <v>474.77549856318888</v>
      </c>
      <c r="S342">
        <v>98.975498563188978</v>
      </c>
      <c r="T342">
        <v>0.36666666666666664</v>
      </c>
      <c r="U342">
        <v>41</v>
      </c>
      <c r="V342">
        <v>0.69374999999999998</v>
      </c>
      <c r="W342">
        <v>77.5</v>
      </c>
      <c r="X342">
        <v>13.5</v>
      </c>
      <c r="Y342">
        <v>40.5</v>
      </c>
      <c r="Z342">
        <v>0.3659722222222222</v>
      </c>
      <c r="AA342">
        <v>89.5</v>
      </c>
      <c r="AB342">
        <v>14.9</v>
      </c>
      <c r="AD342">
        <v>36.5</v>
      </c>
      <c r="AE342">
        <v>49</v>
      </c>
      <c r="AF342">
        <v>35.246240428868305</v>
      </c>
      <c r="AG342">
        <v>47.00873479879084</v>
      </c>
      <c r="AH342">
        <v>82.254975227659145</v>
      </c>
      <c r="AI342">
        <v>4.7582424578972216</v>
      </c>
      <c r="AJ342">
        <v>7.0043014850198348</v>
      </c>
      <c r="AK342">
        <v>11.762543942917056</v>
      </c>
      <c r="AL342">
        <v>173.25025296500564</v>
      </c>
      <c r="AM342">
        <v>20.846799984986191</v>
      </c>
      <c r="AN342">
        <v>1.2032767414889132</v>
      </c>
      <c r="AO342">
        <v>13.500000000000002</v>
      </c>
      <c r="AP342">
        <v>14.30010028008831</v>
      </c>
      <c r="AQ342">
        <v>24.774959909502478</v>
      </c>
      <c r="AR342">
        <v>118.84298754410911</v>
      </c>
      <c r="AS342">
        <v>-0.72288334774215024</v>
      </c>
      <c r="AT342">
        <v>13.750531382298263</v>
      </c>
      <c r="AU342">
        <v>65.959914194031498</v>
      </c>
    </row>
    <row r="343" spans="1:48" x14ac:dyDescent="0.35">
      <c r="A343">
        <v>341</v>
      </c>
      <c r="B343">
        <v>46048</v>
      </c>
      <c r="D343" t="s">
        <v>187</v>
      </c>
      <c r="E343" t="s">
        <v>105</v>
      </c>
      <c r="F343" t="s">
        <v>188</v>
      </c>
      <c r="G343" t="s">
        <v>189</v>
      </c>
      <c r="H343" t="s">
        <v>108</v>
      </c>
      <c r="I343" t="s">
        <v>109</v>
      </c>
      <c r="J343" t="s">
        <v>110</v>
      </c>
      <c r="K343" t="s">
        <v>186</v>
      </c>
      <c r="L343">
        <v>28</v>
      </c>
      <c r="M343">
        <v>60</v>
      </c>
      <c r="N343">
        <v>1</v>
      </c>
      <c r="O343">
        <v>3</v>
      </c>
      <c r="P343">
        <v>269</v>
      </c>
      <c r="Q343">
        <v>0.50009999999999999</v>
      </c>
      <c r="R343">
        <v>474.30129211236658</v>
      </c>
      <c r="S343">
        <v>133.30129211236664</v>
      </c>
      <c r="T343">
        <v>0.36666666666666664</v>
      </c>
      <c r="U343">
        <v>41</v>
      </c>
      <c r="V343">
        <v>0.69374999999999998</v>
      </c>
      <c r="W343">
        <v>77</v>
      </c>
      <c r="X343">
        <v>13.2</v>
      </c>
      <c r="Y343">
        <v>40</v>
      </c>
      <c r="Z343">
        <v>0.3659722222222222</v>
      </c>
      <c r="AA343">
        <v>89.5</v>
      </c>
      <c r="AB343">
        <v>14.4</v>
      </c>
      <c r="AD343">
        <v>36</v>
      </c>
      <c r="AE343">
        <v>49.5</v>
      </c>
      <c r="AF343">
        <v>34.746240428868305</v>
      </c>
      <c r="AG343">
        <v>47.50873479879084</v>
      </c>
      <c r="AH343">
        <v>82.254975227659145</v>
      </c>
      <c r="AI343">
        <v>4.5865037366106165</v>
      </c>
      <c r="AJ343">
        <v>6.8412578110258817</v>
      </c>
      <c r="AK343">
        <v>11.427761547636498</v>
      </c>
      <c r="AL343">
        <v>173.42346857484873</v>
      </c>
      <c r="AM343">
        <v>28.104771024065915</v>
      </c>
      <c r="AN343">
        <v>1.620586374786757</v>
      </c>
      <c r="AO343">
        <v>13.200000000000001</v>
      </c>
      <c r="AP343">
        <v>13.893094631671334</v>
      </c>
      <c r="AQ343">
        <v>24.09388660263053</v>
      </c>
      <c r="AR343">
        <v>85.728813026084097</v>
      </c>
      <c r="AS343">
        <v>-2.0369821375980766</v>
      </c>
      <c r="AT343">
        <v>13.372523913709125</v>
      </c>
      <c r="AU343">
        <v>47.580974426933878</v>
      </c>
    </row>
    <row r="344" spans="1:48" x14ac:dyDescent="0.35">
      <c r="A344">
        <v>342</v>
      </c>
      <c r="B344">
        <v>46048</v>
      </c>
      <c r="D344" t="s">
        <v>193</v>
      </c>
      <c r="E344" t="s">
        <v>105</v>
      </c>
      <c r="F344" t="s">
        <v>188</v>
      </c>
      <c r="G344" t="s">
        <v>189</v>
      </c>
      <c r="H344" t="s">
        <v>108</v>
      </c>
      <c r="I344" t="s">
        <v>109</v>
      </c>
      <c r="J344" t="s">
        <v>110</v>
      </c>
      <c r="K344" t="s">
        <v>192</v>
      </c>
      <c r="L344">
        <v>28</v>
      </c>
      <c r="M344">
        <v>60</v>
      </c>
      <c r="N344">
        <v>1</v>
      </c>
      <c r="O344">
        <v>1</v>
      </c>
      <c r="P344">
        <v>270</v>
      </c>
      <c r="Q344">
        <v>0.50019999999999998</v>
      </c>
      <c r="R344">
        <v>475.56995000000012</v>
      </c>
      <c r="S344">
        <v>184.4699500000001</v>
      </c>
      <c r="T344">
        <v>0.36736111111111114</v>
      </c>
      <c r="U344">
        <v>40.5</v>
      </c>
      <c r="V344">
        <v>0.69513888888888886</v>
      </c>
      <c r="W344">
        <v>73.5</v>
      </c>
      <c r="X344">
        <v>13.7</v>
      </c>
      <c r="Y344">
        <v>40</v>
      </c>
      <c r="Z344">
        <v>0.36666666666666664</v>
      </c>
      <c r="AA344">
        <v>90</v>
      </c>
      <c r="AB344">
        <v>14.6</v>
      </c>
      <c r="AD344">
        <v>33</v>
      </c>
      <c r="AE344">
        <v>50</v>
      </c>
      <c r="AF344">
        <v>31.746240428868305</v>
      </c>
      <c r="AG344">
        <v>48.00873479879084</v>
      </c>
      <c r="AH344">
        <v>79.754975227659145</v>
      </c>
      <c r="AI344">
        <v>4.3492349387549574</v>
      </c>
      <c r="AJ344">
        <v>7.0092752806234619</v>
      </c>
      <c r="AK344">
        <v>11.35851021937842</v>
      </c>
      <c r="AL344">
        <v>167.70398387799551</v>
      </c>
      <c r="AM344">
        <v>38.78923594730913</v>
      </c>
      <c r="AN344">
        <v>2.3129585267054993</v>
      </c>
      <c r="AO344">
        <v>13.7</v>
      </c>
      <c r="AP344">
        <v>14.241757566792238</v>
      </c>
      <c r="AQ344">
        <v>23.883994813756455</v>
      </c>
      <c r="AR344">
        <v>61.573769708174225</v>
      </c>
      <c r="AS344">
        <v>1.0921759022800521</v>
      </c>
      <c r="AT344">
        <v>13.256030339538185</v>
      </c>
      <c r="AU344">
        <v>34.17450747817005</v>
      </c>
    </row>
    <row r="345" spans="1:48" x14ac:dyDescent="0.35">
      <c r="A345">
        <v>343</v>
      </c>
      <c r="B345">
        <v>46048</v>
      </c>
      <c r="D345" t="s">
        <v>193</v>
      </c>
      <c r="E345" t="s">
        <v>105</v>
      </c>
      <c r="F345" t="s">
        <v>188</v>
      </c>
      <c r="G345" t="s">
        <v>189</v>
      </c>
      <c r="H345" t="s">
        <v>108</v>
      </c>
      <c r="I345" t="s">
        <v>109</v>
      </c>
      <c r="J345" t="s">
        <v>110</v>
      </c>
      <c r="K345" t="s">
        <v>192</v>
      </c>
      <c r="L345">
        <v>28</v>
      </c>
      <c r="M345">
        <v>60</v>
      </c>
      <c r="N345">
        <v>1</v>
      </c>
      <c r="O345">
        <v>2</v>
      </c>
      <c r="P345">
        <v>271</v>
      </c>
      <c r="Q345">
        <v>0.50039999999999996</v>
      </c>
      <c r="R345">
        <v>475.7601019192324</v>
      </c>
      <c r="S345">
        <v>112.56010191923241</v>
      </c>
      <c r="T345">
        <v>0.36736111111111114</v>
      </c>
      <c r="U345">
        <v>40.5</v>
      </c>
      <c r="V345">
        <v>0.69513888888888886</v>
      </c>
      <c r="W345">
        <v>74.5</v>
      </c>
      <c r="X345">
        <v>14</v>
      </c>
      <c r="Y345">
        <v>40</v>
      </c>
      <c r="Z345">
        <v>0.36666666666666664</v>
      </c>
      <c r="AA345">
        <v>89.5</v>
      </c>
      <c r="AB345">
        <v>14.7</v>
      </c>
      <c r="AD345">
        <v>34</v>
      </c>
      <c r="AE345">
        <v>49.5</v>
      </c>
      <c r="AF345">
        <v>32.746240428868305</v>
      </c>
      <c r="AG345">
        <v>47.50873479879084</v>
      </c>
      <c r="AH345">
        <v>80.254975227659145</v>
      </c>
      <c r="AI345">
        <v>4.5844736600415628</v>
      </c>
      <c r="AJ345">
        <v>6.9837840154222528</v>
      </c>
      <c r="AK345">
        <v>11.568257675463816</v>
      </c>
      <c r="AL345">
        <v>168.68790574053571</v>
      </c>
      <c r="AM345">
        <v>23.659004078980381</v>
      </c>
      <c r="AN345">
        <v>1.4025311402805043</v>
      </c>
      <c r="AO345">
        <v>14</v>
      </c>
      <c r="AP345">
        <v>14.414380719261528</v>
      </c>
      <c r="AQ345">
        <v>24.315316960789843</v>
      </c>
      <c r="AR345">
        <v>102.77405117991655</v>
      </c>
      <c r="AS345">
        <v>-0.98472605447762174</v>
      </c>
      <c r="AT345">
        <v>13.495421593462597</v>
      </c>
      <c r="AU345">
        <v>57.041376502624971</v>
      </c>
    </row>
    <row r="346" spans="1:48" x14ac:dyDescent="0.35">
      <c r="A346">
        <v>344</v>
      </c>
      <c r="B346">
        <v>46048</v>
      </c>
      <c r="D346" t="s">
        <v>193</v>
      </c>
      <c r="E346" t="s">
        <v>105</v>
      </c>
      <c r="F346" t="s">
        <v>188</v>
      </c>
      <c r="G346" t="s">
        <v>189</v>
      </c>
      <c r="H346" t="s">
        <v>108</v>
      </c>
      <c r="I346" t="s">
        <v>109</v>
      </c>
      <c r="J346" t="s">
        <v>110</v>
      </c>
      <c r="K346" t="s">
        <v>192</v>
      </c>
      <c r="L346">
        <v>28</v>
      </c>
      <c r="M346">
        <v>60</v>
      </c>
      <c r="N346">
        <v>1</v>
      </c>
      <c r="O346">
        <v>3</v>
      </c>
      <c r="P346">
        <v>272</v>
      </c>
      <c r="Q346">
        <v>0.50039999999999996</v>
      </c>
      <c r="R346">
        <v>475.7601019192324</v>
      </c>
      <c r="S346">
        <v>158.76010191923234</v>
      </c>
      <c r="T346">
        <v>0.36805555555555558</v>
      </c>
      <c r="U346">
        <v>40.5</v>
      </c>
      <c r="V346">
        <v>0.6958333333333333</v>
      </c>
      <c r="W346">
        <v>74.5</v>
      </c>
      <c r="X346">
        <v>13.9</v>
      </c>
      <c r="Y346">
        <v>40</v>
      </c>
      <c r="Z346">
        <v>0.36736111111111114</v>
      </c>
      <c r="AA346">
        <v>92.5</v>
      </c>
      <c r="AB346">
        <v>14.7</v>
      </c>
      <c r="AD346">
        <v>34</v>
      </c>
      <c r="AE346">
        <v>52.5</v>
      </c>
      <c r="AF346">
        <v>32.746240428868305</v>
      </c>
      <c r="AG346">
        <v>50.50873479879084</v>
      </c>
      <c r="AH346">
        <v>83.254975227659145</v>
      </c>
      <c r="AI346">
        <v>4.5517274196126944</v>
      </c>
      <c r="AJ346">
        <v>7.4247840154222535</v>
      </c>
      <c r="AK346">
        <v>11.976511435034947</v>
      </c>
      <c r="AL346">
        <v>174.99360474282258</v>
      </c>
      <c r="AM346">
        <v>33.369780542502134</v>
      </c>
      <c r="AN346">
        <v>1.906914289327525</v>
      </c>
      <c r="AO346">
        <v>13.9</v>
      </c>
      <c r="AP346">
        <v>14.385340218149612</v>
      </c>
      <c r="AQ346">
        <v>25.173425402259024</v>
      </c>
      <c r="AR346">
        <v>75.437791298016933</v>
      </c>
      <c r="AS346">
        <v>4.8548627092239798</v>
      </c>
      <c r="AT346">
        <v>13.971686624644802</v>
      </c>
      <c r="AU346">
        <v>41.869279322497981</v>
      </c>
    </row>
    <row r="347" spans="1:48" x14ac:dyDescent="0.35">
      <c r="A347">
        <v>345</v>
      </c>
      <c r="B347">
        <v>46048</v>
      </c>
      <c r="D347" t="s">
        <v>195</v>
      </c>
      <c r="E347" t="s">
        <v>105</v>
      </c>
      <c r="F347" t="s">
        <v>188</v>
      </c>
      <c r="G347" t="s">
        <v>189</v>
      </c>
      <c r="H347" t="s">
        <v>108</v>
      </c>
      <c r="I347" t="s">
        <v>109</v>
      </c>
      <c r="J347" t="s">
        <v>110</v>
      </c>
      <c r="K347" t="s">
        <v>194</v>
      </c>
      <c r="L347">
        <v>28</v>
      </c>
      <c r="M347">
        <v>60</v>
      </c>
      <c r="N347">
        <v>1</v>
      </c>
      <c r="O347">
        <v>1</v>
      </c>
      <c r="P347">
        <v>3</v>
      </c>
      <c r="Q347">
        <v>0.50009999999999999</v>
      </c>
      <c r="R347">
        <v>480.19901759823972</v>
      </c>
      <c r="S347">
        <v>126.09901759823975</v>
      </c>
      <c r="T347">
        <v>0.36805555555555558</v>
      </c>
      <c r="U347">
        <v>40.5</v>
      </c>
      <c r="V347">
        <v>0.69652777777777775</v>
      </c>
      <c r="W347">
        <v>73.5</v>
      </c>
      <c r="X347">
        <v>14</v>
      </c>
      <c r="Y347">
        <v>40</v>
      </c>
      <c r="Z347">
        <v>0.36736111111111114</v>
      </c>
      <c r="AA347">
        <v>88</v>
      </c>
      <c r="AB347">
        <v>14.7</v>
      </c>
      <c r="AD347">
        <v>33</v>
      </c>
      <c r="AE347">
        <v>48</v>
      </c>
      <c r="AF347">
        <v>31.746240428868305</v>
      </c>
      <c r="AG347">
        <v>46.00873479879084</v>
      </c>
      <c r="AH347">
        <v>77.754975227659145</v>
      </c>
      <c r="AI347">
        <v>4.4444736600415631</v>
      </c>
      <c r="AJ347">
        <v>6.7632840154222533</v>
      </c>
      <c r="AK347">
        <v>11.207757675463817</v>
      </c>
      <c r="AL347">
        <v>161.92239546127755</v>
      </c>
      <c r="AM347">
        <v>26.259740852643926</v>
      </c>
      <c r="AN347">
        <v>1.6217485405793504</v>
      </c>
      <c r="AO347">
        <v>14.000000000000002</v>
      </c>
      <c r="AP347">
        <v>14.414200046554672</v>
      </c>
      <c r="AQ347">
        <v>23.339818001961905</v>
      </c>
      <c r="AR347">
        <v>88.880610562506618</v>
      </c>
      <c r="AS347">
        <v>-1.2894158555470401</v>
      </c>
      <c r="AT347">
        <v>12.954002794168476</v>
      </c>
      <c r="AU347">
        <v>49.330276589017515</v>
      </c>
    </row>
    <row r="348" spans="1:48" x14ac:dyDescent="0.35">
      <c r="A348">
        <v>346</v>
      </c>
      <c r="B348">
        <v>46048</v>
      </c>
      <c r="D348" t="s">
        <v>195</v>
      </c>
      <c r="E348" t="s">
        <v>105</v>
      </c>
      <c r="F348" t="s">
        <v>188</v>
      </c>
      <c r="G348" t="s">
        <v>189</v>
      </c>
      <c r="H348" t="s">
        <v>108</v>
      </c>
      <c r="I348" t="s">
        <v>109</v>
      </c>
      <c r="J348" t="s">
        <v>110</v>
      </c>
      <c r="K348" t="s">
        <v>194</v>
      </c>
      <c r="L348">
        <v>28</v>
      </c>
      <c r="M348">
        <v>60</v>
      </c>
      <c r="N348">
        <v>1</v>
      </c>
      <c r="O348">
        <v>2</v>
      </c>
      <c r="P348">
        <v>4</v>
      </c>
      <c r="Q348">
        <v>0.50029999999999997</v>
      </c>
      <c r="R348">
        <v>480.39105879703925</v>
      </c>
      <c r="S348">
        <v>178.1910587970392</v>
      </c>
      <c r="T348">
        <v>0.36805555555555558</v>
      </c>
      <c r="U348">
        <v>41</v>
      </c>
      <c r="V348">
        <v>0.69652777777777775</v>
      </c>
      <c r="W348">
        <v>66.5</v>
      </c>
      <c r="X348">
        <v>13.9</v>
      </c>
      <c r="Y348">
        <v>34</v>
      </c>
      <c r="Z348">
        <v>0.36805555555555558</v>
      </c>
      <c r="AA348">
        <v>78</v>
      </c>
      <c r="AB348">
        <v>14.4</v>
      </c>
      <c r="AC348" t="s">
        <v>560</v>
      </c>
      <c r="AD348">
        <v>25.5</v>
      </c>
      <c r="AE348">
        <v>44</v>
      </c>
      <c r="AF348">
        <v>24.246240428868305</v>
      </c>
      <c r="AG348">
        <v>42.00873479879084</v>
      </c>
      <c r="AH348">
        <v>66.254975227659145</v>
      </c>
      <c r="AI348">
        <v>3.3702274196126947</v>
      </c>
      <c r="AJ348">
        <v>6.0492578110258819</v>
      </c>
      <c r="AK348">
        <v>9.4194852306385766</v>
      </c>
      <c r="AL348">
        <v>137.91883511231472</v>
      </c>
      <c r="AM348">
        <v>37.09291743340362</v>
      </c>
      <c r="AN348">
        <v>2.6894743856556547</v>
      </c>
      <c r="AO348">
        <v>13.900000000000002</v>
      </c>
      <c r="AP348">
        <v>14.217023247344406</v>
      </c>
      <c r="AQ348">
        <v>19.607952850384383</v>
      </c>
      <c r="AR348">
        <v>52.861716486950293</v>
      </c>
      <c r="AS348">
        <v>1.2946265568801145</v>
      </c>
      <c r="AT348">
        <v>10.88275306990192</v>
      </c>
      <c r="AU348">
        <v>29.339167212826393</v>
      </c>
    </row>
    <row r="349" spans="1:48" x14ac:dyDescent="0.35">
      <c r="A349">
        <v>347</v>
      </c>
      <c r="B349">
        <v>46048</v>
      </c>
      <c r="D349" t="s">
        <v>195</v>
      </c>
      <c r="E349" t="s">
        <v>105</v>
      </c>
      <c r="F349" t="s">
        <v>188</v>
      </c>
      <c r="G349" t="s">
        <v>189</v>
      </c>
      <c r="H349" t="s">
        <v>108</v>
      </c>
      <c r="I349" t="s">
        <v>109</v>
      </c>
      <c r="J349" t="s">
        <v>110</v>
      </c>
      <c r="K349" t="s">
        <v>194</v>
      </c>
      <c r="L349">
        <v>28</v>
      </c>
      <c r="M349">
        <v>60</v>
      </c>
      <c r="N349">
        <v>1</v>
      </c>
      <c r="O349">
        <v>3</v>
      </c>
      <c r="P349">
        <v>5</v>
      </c>
      <c r="Q349">
        <v>0.50009999999999999</v>
      </c>
      <c r="R349">
        <v>480.19901759823972</v>
      </c>
      <c r="S349">
        <v>177.89901759823971</v>
      </c>
      <c r="T349">
        <v>0.36875000000000002</v>
      </c>
      <c r="U349">
        <v>39</v>
      </c>
      <c r="V349">
        <v>0.69722222222222219</v>
      </c>
      <c r="W349">
        <v>72.5</v>
      </c>
      <c r="X349">
        <v>13.8</v>
      </c>
      <c r="Y349">
        <v>37.5</v>
      </c>
      <c r="Z349">
        <v>0.36805555555555558</v>
      </c>
      <c r="AA349">
        <v>85</v>
      </c>
      <c r="AB349">
        <v>14.8</v>
      </c>
      <c r="AD349">
        <v>33.5</v>
      </c>
      <c r="AE349">
        <v>47.5</v>
      </c>
      <c r="AF349">
        <v>32.246240428868305</v>
      </c>
      <c r="AG349">
        <v>45.50873479879084</v>
      </c>
      <c r="AH349">
        <v>77.754975227659145</v>
      </c>
      <c r="AI349">
        <v>4.4499811791838262</v>
      </c>
      <c r="AJ349">
        <v>6.7352927502210456</v>
      </c>
      <c r="AK349">
        <v>11.185273929404872</v>
      </c>
      <c r="AL349">
        <v>161.92239546127755</v>
      </c>
      <c r="AM349">
        <v>37.046934932940573</v>
      </c>
      <c r="AN349">
        <v>2.2879438528193003</v>
      </c>
      <c r="AO349">
        <v>13.8</v>
      </c>
      <c r="AP349">
        <v>14.385283895539105</v>
      </c>
      <c r="AQ349">
        <v>23.292996277562303</v>
      </c>
      <c r="AR349">
        <v>62.874287224369411</v>
      </c>
      <c r="AS349">
        <v>1.5517743595873588</v>
      </c>
      <c r="AT349">
        <v>12.92801592706226</v>
      </c>
      <c r="AU349">
        <v>34.896317199961423</v>
      </c>
    </row>
    <row r="350" spans="1:48" x14ac:dyDescent="0.35">
      <c r="A350">
        <v>348</v>
      </c>
      <c r="B350">
        <v>46048</v>
      </c>
      <c r="D350" t="s">
        <v>197</v>
      </c>
      <c r="E350" t="s">
        <v>105</v>
      </c>
      <c r="F350" t="s">
        <v>188</v>
      </c>
      <c r="G350" t="s">
        <v>189</v>
      </c>
      <c r="H350" t="s">
        <v>108</v>
      </c>
      <c r="I350" t="s">
        <v>109</v>
      </c>
      <c r="J350" t="s">
        <v>110</v>
      </c>
      <c r="K350" t="s">
        <v>196</v>
      </c>
      <c r="L350">
        <v>28</v>
      </c>
      <c r="M350">
        <v>60</v>
      </c>
      <c r="N350">
        <v>1</v>
      </c>
      <c r="O350">
        <v>1</v>
      </c>
      <c r="P350">
        <v>6</v>
      </c>
      <c r="Q350">
        <v>0.50039999999999996</v>
      </c>
      <c r="R350">
        <v>480.18586141385839</v>
      </c>
      <c r="S350">
        <v>140.98586141385846</v>
      </c>
      <c r="T350">
        <v>0.36944444444444446</v>
      </c>
      <c r="U350">
        <v>41</v>
      </c>
      <c r="V350">
        <v>0.69791666666666663</v>
      </c>
      <c r="W350">
        <v>78.5</v>
      </c>
      <c r="X350">
        <v>13.9</v>
      </c>
      <c r="Y350">
        <v>40.5</v>
      </c>
      <c r="Z350">
        <v>0.36944444444444446</v>
      </c>
      <c r="AA350">
        <v>92.5</v>
      </c>
      <c r="AB350">
        <v>14.9</v>
      </c>
      <c r="AD350">
        <v>37.5</v>
      </c>
      <c r="AE350">
        <v>52</v>
      </c>
      <c r="AF350">
        <v>36.246240428868305</v>
      </c>
      <c r="AG350">
        <v>50.00873479879084</v>
      </c>
      <c r="AH350">
        <v>86.254975227659145</v>
      </c>
      <c r="AI350">
        <v>5.0382274196126948</v>
      </c>
      <c r="AJ350">
        <v>7.4513014850198349</v>
      </c>
      <c r="AK350">
        <v>12.489528904632529</v>
      </c>
      <c r="AL350">
        <v>179.62831094961888</v>
      </c>
      <c r="AM350">
        <v>29.360685672572689</v>
      </c>
      <c r="AN350">
        <v>1.6345243974825108</v>
      </c>
      <c r="AO350">
        <v>13.900000000000002</v>
      </c>
      <c r="AP350">
        <v>14.479777974160898</v>
      </c>
      <c r="AQ350">
        <v>26.009780604240163</v>
      </c>
      <c r="AR350">
        <v>88.587102134802066</v>
      </c>
      <c r="AS350">
        <v>-2.6227552173160986</v>
      </c>
      <c r="AT350">
        <v>14.435878231557515</v>
      </c>
      <c r="AU350">
        <v>49.167374333641007</v>
      </c>
    </row>
    <row r="351" spans="1:48" x14ac:dyDescent="0.35">
      <c r="A351">
        <v>349</v>
      </c>
      <c r="B351">
        <v>46048</v>
      </c>
      <c r="D351" t="s">
        <v>197</v>
      </c>
      <c r="E351" t="s">
        <v>105</v>
      </c>
      <c r="F351" t="s">
        <v>188</v>
      </c>
      <c r="G351" t="s">
        <v>189</v>
      </c>
      <c r="H351" t="s">
        <v>108</v>
      </c>
      <c r="I351" t="s">
        <v>109</v>
      </c>
      <c r="J351" t="s">
        <v>110</v>
      </c>
      <c r="K351" t="s">
        <v>196</v>
      </c>
      <c r="L351">
        <v>28</v>
      </c>
      <c r="M351">
        <v>60</v>
      </c>
      <c r="N351">
        <v>1</v>
      </c>
      <c r="O351">
        <v>2</v>
      </c>
      <c r="P351">
        <v>7</v>
      </c>
      <c r="Q351">
        <v>0.50060000000000004</v>
      </c>
      <c r="R351">
        <v>480.37778222177769</v>
      </c>
      <c r="S351">
        <v>248.87778222177778</v>
      </c>
      <c r="T351">
        <v>0.37013888888888891</v>
      </c>
      <c r="U351">
        <v>45</v>
      </c>
      <c r="V351">
        <v>0.69861111111111107</v>
      </c>
      <c r="W351">
        <v>87.5</v>
      </c>
      <c r="X351">
        <v>13.9</v>
      </c>
      <c r="Y351">
        <v>45</v>
      </c>
      <c r="Z351">
        <v>0.37013888888888891</v>
      </c>
      <c r="AA351">
        <v>107</v>
      </c>
      <c r="AB351">
        <v>15.2</v>
      </c>
      <c r="AC351" t="s">
        <v>563</v>
      </c>
      <c r="AD351">
        <v>42.5</v>
      </c>
      <c r="AE351">
        <v>62</v>
      </c>
      <c r="AF351">
        <v>41.246240428868305</v>
      </c>
      <c r="AG351">
        <v>60.00873479879084</v>
      </c>
      <c r="AH351">
        <v>101.25497522765914</v>
      </c>
      <c r="AI351">
        <v>5.7332274196126951</v>
      </c>
      <c r="AJ351">
        <v>9.1213276894162068</v>
      </c>
      <c r="AK351">
        <v>14.854555109028901</v>
      </c>
      <c r="AL351">
        <v>210.78196988909119</v>
      </c>
      <c r="AM351">
        <v>51.808762068616552</v>
      </c>
      <c r="AN351">
        <v>2.4579313921336432</v>
      </c>
      <c r="AO351">
        <v>13.900000000000002</v>
      </c>
      <c r="AP351">
        <v>14.67044466272427</v>
      </c>
      <c r="AQ351">
        <v>30.922652251579251</v>
      </c>
      <c r="AR351">
        <v>59.686143843052413</v>
      </c>
      <c r="AS351">
        <v>0.52066906721029016</v>
      </c>
      <c r="AT351">
        <v>17.162606993610076</v>
      </c>
      <c r="AU351">
        <v>33.126842465140513</v>
      </c>
    </row>
    <row r="352" spans="1:48" x14ac:dyDescent="0.35">
      <c r="A352">
        <v>350</v>
      </c>
      <c r="B352">
        <v>46048</v>
      </c>
      <c r="D352" t="s">
        <v>197</v>
      </c>
      <c r="E352" t="s">
        <v>105</v>
      </c>
      <c r="F352" t="s">
        <v>188</v>
      </c>
      <c r="G352" t="s">
        <v>189</v>
      </c>
      <c r="H352" t="s">
        <v>108</v>
      </c>
      <c r="I352" t="s">
        <v>109</v>
      </c>
      <c r="J352" t="s">
        <v>110</v>
      </c>
      <c r="K352" t="s">
        <v>196</v>
      </c>
      <c r="L352">
        <v>28</v>
      </c>
      <c r="M352">
        <v>60</v>
      </c>
      <c r="N352">
        <v>1</v>
      </c>
      <c r="O352">
        <v>3</v>
      </c>
      <c r="P352">
        <v>8</v>
      </c>
      <c r="Q352">
        <v>0.50049999999999994</v>
      </c>
      <c r="R352">
        <v>480.28182181781801</v>
      </c>
      <c r="S352">
        <v>193.68182181781805</v>
      </c>
      <c r="T352">
        <v>0.37083333333333335</v>
      </c>
      <c r="U352">
        <v>41</v>
      </c>
      <c r="V352">
        <v>0.69861111111111107</v>
      </c>
      <c r="W352">
        <v>81</v>
      </c>
      <c r="X352">
        <v>13.3</v>
      </c>
      <c r="Y352">
        <v>40</v>
      </c>
      <c r="Z352">
        <v>0.37083333333333335</v>
      </c>
      <c r="AA352">
        <v>96.5</v>
      </c>
      <c r="AB352">
        <v>14.8</v>
      </c>
      <c r="AD352">
        <v>40</v>
      </c>
      <c r="AE352">
        <v>56.5</v>
      </c>
      <c r="AF352">
        <v>38.746240428868305</v>
      </c>
      <c r="AG352">
        <v>54.50873479879084</v>
      </c>
      <c r="AH352">
        <v>93.254975227659145</v>
      </c>
      <c r="AI352">
        <v>5.1532499770394846</v>
      </c>
      <c r="AJ352">
        <v>8.0672927502210463</v>
      </c>
      <c r="AK352">
        <v>13.220542727260531</v>
      </c>
      <c r="AL352">
        <v>194.16719723994242</v>
      </c>
      <c r="AM352">
        <v>40.326702577405904</v>
      </c>
      <c r="AN352">
        <v>2.0769060454414512</v>
      </c>
      <c r="AO352">
        <v>13.299999999999999</v>
      </c>
      <c r="AP352">
        <v>14.17676933052185</v>
      </c>
      <c r="AQ352">
        <v>27.526635668246026</v>
      </c>
      <c r="AR352">
        <v>68.259078746667839</v>
      </c>
      <c r="AS352">
        <v>1.1494906508073108</v>
      </c>
      <c r="AT352">
        <v>15.277759035247968</v>
      </c>
      <c r="AU352">
        <v>37.884969657320148</v>
      </c>
    </row>
    <row r="353" spans="1:48" x14ac:dyDescent="0.35">
      <c r="A353">
        <v>351</v>
      </c>
      <c r="B353">
        <v>46048</v>
      </c>
      <c r="D353" t="s">
        <v>199</v>
      </c>
      <c r="E353" t="s">
        <v>105</v>
      </c>
      <c r="F353" t="s">
        <v>188</v>
      </c>
      <c r="G353" t="s">
        <v>189</v>
      </c>
      <c r="H353" t="s">
        <v>108</v>
      </c>
      <c r="I353" t="s">
        <v>109</v>
      </c>
      <c r="J353" t="s">
        <v>110</v>
      </c>
      <c r="K353" t="s">
        <v>198</v>
      </c>
      <c r="L353">
        <v>28</v>
      </c>
      <c r="M353">
        <v>60</v>
      </c>
      <c r="N353">
        <v>1</v>
      </c>
      <c r="O353">
        <v>1</v>
      </c>
      <c r="P353">
        <v>9</v>
      </c>
      <c r="Q353">
        <v>0.50019999999999998</v>
      </c>
      <c r="R353">
        <v>486.54590540945924</v>
      </c>
      <c r="S353">
        <v>163.64590540945926</v>
      </c>
      <c r="T353">
        <v>0.37152777777777779</v>
      </c>
      <c r="U353">
        <v>41.5</v>
      </c>
      <c r="V353">
        <v>0.69930555555555551</v>
      </c>
      <c r="W353">
        <v>76.5</v>
      </c>
      <c r="X353">
        <v>13.7</v>
      </c>
      <c r="Y353">
        <v>40</v>
      </c>
      <c r="Z353">
        <v>0.37152777777777779</v>
      </c>
      <c r="AA353">
        <v>95.5</v>
      </c>
      <c r="AB353">
        <v>14.3</v>
      </c>
      <c r="AD353">
        <v>35</v>
      </c>
      <c r="AE353">
        <v>55.5</v>
      </c>
      <c r="AF353">
        <v>33.746240428868305</v>
      </c>
      <c r="AG353">
        <v>53.50873479879084</v>
      </c>
      <c r="AH353">
        <v>87.254975227659145</v>
      </c>
      <c r="AI353">
        <v>4.6232349387549574</v>
      </c>
      <c r="AJ353">
        <v>7.651749076227091</v>
      </c>
      <c r="AK353">
        <v>12.274984014982049</v>
      </c>
      <c r="AL353">
        <v>179.33554523334965</v>
      </c>
      <c r="AM353">
        <v>33.634216954665533</v>
      </c>
      <c r="AN353">
        <v>1.8754908242479769</v>
      </c>
      <c r="AO353">
        <v>13.699999999999998</v>
      </c>
      <c r="AP353">
        <v>14.067947395498171</v>
      </c>
      <c r="AQ353">
        <v>25.22883016485746</v>
      </c>
      <c r="AR353">
        <v>75.009417340866236</v>
      </c>
      <c r="AS353">
        <v>2.8151443686440194</v>
      </c>
      <c r="AT353">
        <v>14.00243722644684</v>
      </c>
      <c r="AU353">
        <v>41.631524364965209</v>
      </c>
    </row>
    <row r="354" spans="1:48" x14ac:dyDescent="0.35">
      <c r="A354">
        <v>352</v>
      </c>
      <c r="B354">
        <v>46048</v>
      </c>
      <c r="D354" t="s">
        <v>199</v>
      </c>
      <c r="E354" t="s">
        <v>105</v>
      </c>
      <c r="F354" t="s">
        <v>188</v>
      </c>
      <c r="G354" t="s">
        <v>189</v>
      </c>
      <c r="H354" t="s">
        <v>108</v>
      </c>
      <c r="I354" t="s">
        <v>109</v>
      </c>
      <c r="J354" t="s">
        <v>110</v>
      </c>
      <c r="K354" t="s">
        <v>198</v>
      </c>
      <c r="L354">
        <v>28</v>
      </c>
      <c r="M354">
        <v>60</v>
      </c>
      <c r="N354">
        <v>1</v>
      </c>
      <c r="O354">
        <v>2</v>
      </c>
      <c r="P354">
        <v>10</v>
      </c>
      <c r="Q354">
        <v>0.50060000000000004</v>
      </c>
      <c r="R354">
        <v>486.93498650135012</v>
      </c>
      <c r="S354">
        <v>205.93498650135012</v>
      </c>
      <c r="T354">
        <v>0.37222222222222223</v>
      </c>
      <c r="U354">
        <v>41</v>
      </c>
      <c r="V354">
        <v>0.69930555555555551</v>
      </c>
      <c r="W354">
        <v>76.5</v>
      </c>
      <c r="X354">
        <v>13.4</v>
      </c>
      <c r="Y354">
        <v>40.5</v>
      </c>
      <c r="Z354">
        <v>0.37152777777777779</v>
      </c>
      <c r="AA354">
        <v>97</v>
      </c>
      <c r="AB354">
        <v>14.5</v>
      </c>
      <c r="AD354">
        <v>35.5</v>
      </c>
      <c r="AE354">
        <v>56.5</v>
      </c>
      <c r="AF354">
        <v>34.246240428868305</v>
      </c>
      <c r="AG354">
        <v>54.50873479879084</v>
      </c>
      <c r="AH354">
        <v>88.754975227659145</v>
      </c>
      <c r="AI354">
        <v>4.5889962174683534</v>
      </c>
      <c r="AJ354">
        <v>7.9037665458246709</v>
      </c>
      <c r="AK354">
        <v>12.492762763293024</v>
      </c>
      <c r="AL354">
        <v>182.27274212799466</v>
      </c>
      <c r="AM354">
        <v>42.292090773966009</v>
      </c>
      <c r="AN354">
        <v>2.3202641426367454</v>
      </c>
      <c r="AO354">
        <v>13.400000000000002</v>
      </c>
      <c r="AP354">
        <v>14.075563348700978</v>
      </c>
      <c r="AQ354">
        <v>25.655915285640262</v>
      </c>
      <c r="AR354">
        <v>60.663624843615978</v>
      </c>
      <c r="AS354">
        <v>0.74197423980368926</v>
      </c>
      <c r="AT354">
        <v>14.239476857497227</v>
      </c>
      <c r="AU354">
        <v>33.669361331889284</v>
      </c>
    </row>
    <row r="355" spans="1:48" x14ac:dyDescent="0.35">
      <c r="A355">
        <v>353</v>
      </c>
      <c r="B355">
        <v>46048</v>
      </c>
      <c r="D355" t="s">
        <v>199</v>
      </c>
      <c r="E355" t="s">
        <v>105</v>
      </c>
      <c r="F355" t="s">
        <v>188</v>
      </c>
      <c r="G355" t="s">
        <v>189</v>
      </c>
      <c r="H355" t="s">
        <v>108</v>
      </c>
      <c r="I355" t="s">
        <v>109</v>
      </c>
      <c r="J355" t="s">
        <v>110</v>
      </c>
      <c r="K355" t="s">
        <v>198</v>
      </c>
      <c r="L355">
        <v>28</v>
      </c>
      <c r="M355">
        <v>60</v>
      </c>
      <c r="N355">
        <v>1</v>
      </c>
      <c r="O355">
        <v>3</v>
      </c>
      <c r="P355">
        <v>11</v>
      </c>
      <c r="Q355">
        <v>0.50019999999999998</v>
      </c>
      <c r="R355">
        <v>486.54590540945924</v>
      </c>
      <c r="S355">
        <v>148.34590540945919</v>
      </c>
      <c r="T355">
        <v>0.37222222222222223</v>
      </c>
      <c r="U355">
        <v>41</v>
      </c>
      <c r="V355">
        <v>0.7</v>
      </c>
      <c r="W355">
        <v>76</v>
      </c>
      <c r="X355">
        <v>13.6</v>
      </c>
      <c r="Y355">
        <v>40</v>
      </c>
      <c r="Z355">
        <v>0.37222222222222223</v>
      </c>
      <c r="AA355">
        <v>91.5</v>
      </c>
      <c r="AB355">
        <v>14.7</v>
      </c>
      <c r="AD355">
        <v>35</v>
      </c>
      <c r="AE355">
        <v>51.5</v>
      </c>
      <c r="AF355">
        <v>33.746240428868305</v>
      </c>
      <c r="AG355">
        <v>49.50873479879084</v>
      </c>
      <c r="AH355">
        <v>83.254975227659145</v>
      </c>
      <c r="AI355">
        <v>4.5894886983260896</v>
      </c>
      <c r="AJ355">
        <v>7.2777840154222533</v>
      </c>
      <c r="AK355">
        <v>11.867272713748342</v>
      </c>
      <c r="AL355">
        <v>171.114327141639</v>
      </c>
      <c r="AM355">
        <v>30.489601034586183</v>
      </c>
      <c r="AN355">
        <v>1.7818263113262618</v>
      </c>
      <c r="AO355">
        <v>13.6</v>
      </c>
      <c r="AP355">
        <v>14.254130376349895</v>
      </c>
      <c r="AQ355">
        <v>24.390859283383097</v>
      </c>
      <c r="AR355">
        <v>79.997305493486394</v>
      </c>
      <c r="AS355">
        <v>-69.251984384884437</v>
      </c>
      <c r="AT355">
        <v>13.537348889462452</v>
      </c>
      <c r="AU355">
        <v>44.399888585312162</v>
      </c>
    </row>
    <row r="356" spans="1:48" x14ac:dyDescent="0.35">
      <c r="A356">
        <v>354</v>
      </c>
      <c r="B356">
        <v>46048</v>
      </c>
      <c r="D356" t="s">
        <v>201</v>
      </c>
      <c r="E356" t="s">
        <v>105</v>
      </c>
      <c r="F356" t="s">
        <v>188</v>
      </c>
      <c r="G356" t="s">
        <v>189</v>
      </c>
      <c r="H356" t="s">
        <v>108</v>
      </c>
      <c r="I356" t="s">
        <v>109</v>
      </c>
      <c r="J356" t="s">
        <v>110</v>
      </c>
      <c r="K356" t="s">
        <v>200</v>
      </c>
      <c r="L356">
        <v>28</v>
      </c>
      <c r="M356">
        <v>60</v>
      </c>
      <c r="N356">
        <v>1</v>
      </c>
      <c r="O356">
        <v>1</v>
      </c>
      <c r="P356">
        <v>12</v>
      </c>
      <c r="Q356">
        <v>0.50039999999999996</v>
      </c>
      <c r="R356">
        <v>485.88839999999976</v>
      </c>
      <c r="S356">
        <v>141.98839999999979</v>
      </c>
      <c r="T356">
        <v>0.37291666666666667</v>
      </c>
      <c r="U356">
        <v>40.5</v>
      </c>
      <c r="V356">
        <v>0.7006944444444444</v>
      </c>
      <c r="W356">
        <v>78.5</v>
      </c>
      <c r="X356">
        <v>13.5</v>
      </c>
      <c r="Y356">
        <v>40.5</v>
      </c>
      <c r="Z356">
        <v>0.37430555555555556</v>
      </c>
      <c r="AA356">
        <v>92.5</v>
      </c>
      <c r="AB356">
        <v>14.5</v>
      </c>
      <c r="AD356">
        <v>38</v>
      </c>
      <c r="AE356">
        <v>52</v>
      </c>
      <c r="AF356">
        <v>36.746240428868305</v>
      </c>
      <c r="AG356">
        <v>50.00873479879084</v>
      </c>
      <c r="AH356">
        <v>86.754975227659145</v>
      </c>
      <c r="AI356">
        <v>4.9607424578972212</v>
      </c>
      <c r="AJ356">
        <v>7.251266545824671</v>
      </c>
      <c r="AK356">
        <v>12.212009003721892</v>
      </c>
      <c r="AL356">
        <v>178.54917966277685</v>
      </c>
      <c r="AM356">
        <v>29.222430500501734</v>
      </c>
      <c r="AN356">
        <v>1.6366600258647894</v>
      </c>
      <c r="AO356">
        <v>13.5</v>
      </c>
      <c r="AP356">
        <v>14.076436506005098</v>
      </c>
      <c r="AQ356">
        <v>25.133361907223755</v>
      </c>
      <c r="AR356">
        <v>86.007089337734001</v>
      </c>
      <c r="AS356">
        <v>-1.1797467192416839</v>
      </c>
      <c r="AT356">
        <v>13.949450691760175</v>
      </c>
      <c r="AU356">
        <v>47.735422594368636</v>
      </c>
    </row>
    <row r="357" spans="1:48" x14ac:dyDescent="0.35">
      <c r="A357">
        <v>355</v>
      </c>
      <c r="B357">
        <v>46048</v>
      </c>
      <c r="D357" t="s">
        <v>201</v>
      </c>
      <c r="E357" t="s">
        <v>105</v>
      </c>
      <c r="F357" t="s">
        <v>188</v>
      </c>
      <c r="G357" t="s">
        <v>189</v>
      </c>
      <c r="H357" t="s">
        <v>108</v>
      </c>
      <c r="I357" t="s">
        <v>109</v>
      </c>
      <c r="J357" t="s">
        <v>110</v>
      </c>
      <c r="K357" t="s">
        <v>200</v>
      </c>
      <c r="L357">
        <v>28</v>
      </c>
      <c r="M357">
        <v>60</v>
      </c>
      <c r="N357">
        <v>1</v>
      </c>
      <c r="O357">
        <v>2</v>
      </c>
      <c r="P357">
        <v>13</v>
      </c>
      <c r="Q357">
        <v>0.50039999999999996</v>
      </c>
      <c r="R357">
        <v>485.88839999999976</v>
      </c>
      <c r="S357">
        <v>212.58839999999975</v>
      </c>
      <c r="T357">
        <v>0.37291666666666667</v>
      </c>
      <c r="U357">
        <v>41</v>
      </c>
      <c r="V357">
        <v>0.7006944444444444</v>
      </c>
      <c r="W357">
        <v>76</v>
      </c>
      <c r="X357">
        <v>13.9</v>
      </c>
      <c r="Y357">
        <v>40.5</v>
      </c>
      <c r="Z357">
        <v>0.37430555555555556</v>
      </c>
      <c r="AA357">
        <v>91.5</v>
      </c>
      <c r="AB357">
        <v>14.4</v>
      </c>
      <c r="AD357">
        <v>35</v>
      </c>
      <c r="AE357">
        <v>51</v>
      </c>
      <c r="AF357">
        <v>33.746240428868305</v>
      </c>
      <c r="AG357">
        <v>49.00873479879084</v>
      </c>
      <c r="AH357">
        <v>82.754975227659145</v>
      </c>
      <c r="AI357">
        <v>4.6907274196126947</v>
      </c>
      <c r="AJ357">
        <v>7.0572578110258819</v>
      </c>
      <c r="AK357">
        <v>11.747985230638577</v>
      </c>
      <c r="AL357">
        <v>170.3168365979908</v>
      </c>
      <c r="AM357">
        <v>43.752516009849145</v>
      </c>
      <c r="AN357">
        <v>2.568889657874569</v>
      </c>
      <c r="AO357">
        <v>13.9</v>
      </c>
      <c r="AP357">
        <v>14.196107482746312</v>
      </c>
      <c r="AQ357">
        <v>24.17836118466418</v>
      </c>
      <c r="AR357">
        <v>55.261647534101527</v>
      </c>
      <c r="AS357">
        <v>0.95489561745433538</v>
      </c>
      <c r="AT357">
        <v>13.419408768235758</v>
      </c>
      <c r="AU357">
        <v>30.671170465293724</v>
      </c>
    </row>
    <row r="358" spans="1:48" x14ac:dyDescent="0.35">
      <c r="A358">
        <v>356</v>
      </c>
      <c r="B358">
        <v>46048</v>
      </c>
      <c r="D358" t="s">
        <v>201</v>
      </c>
      <c r="E358" t="s">
        <v>105</v>
      </c>
      <c r="F358" t="s">
        <v>188</v>
      </c>
      <c r="G358" t="s">
        <v>189</v>
      </c>
      <c r="H358" t="s">
        <v>108</v>
      </c>
      <c r="I358" t="s">
        <v>109</v>
      </c>
      <c r="J358" t="s">
        <v>110</v>
      </c>
      <c r="K358" t="s">
        <v>200</v>
      </c>
      <c r="L358">
        <v>28</v>
      </c>
      <c r="M358">
        <v>60</v>
      </c>
      <c r="N358">
        <v>1</v>
      </c>
      <c r="O358">
        <v>3</v>
      </c>
      <c r="P358">
        <v>19</v>
      </c>
      <c r="Q358">
        <v>0.50029999999999997</v>
      </c>
      <c r="R358">
        <v>485.79129999999975</v>
      </c>
      <c r="S358">
        <v>192.49129999999974</v>
      </c>
      <c r="T358">
        <v>0.37361111111111112</v>
      </c>
      <c r="U358">
        <v>40.5</v>
      </c>
      <c r="V358">
        <v>0.70138888888888884</v>
      </c>
      <c r="W358">
        <v>76.5</v>
      </c>
      <c r="X358">
        <v>14</v>
      </c>
      <c r="Y358">
        <v>40</v>
      </c>
      <c r="Z358">
        <v>0.375</v>
      </c>
      <c r="AA358">
        <v>93.5</v>
      </c>
      <c r="AB358">
        <v>14.4</v>
      </c>
      <c r="AD358">
        <v>36</v>
      </c>
      <c r="AE358">
        <v>53.5</v>
      </c>
      <c r="AF358">
        <v>34.746240428868305</v>
      </c>
      <c r="AG358">
        <v>51.50873479879084</v>
      </c>
      <c r="AH358">
        <v>86.254975227659145</v>
      </c>
      <c r="AI358">
        <v>4.864473660041563</v>
      </c>
      <c r="AJ358">
        <v>7.4172578110258822</v>
      </c>
      <c r="AK358">
        <v>12.281731471067445</v>
      </c>
      <c r="AL358">
        <v>177.5556195173919</v>
      </c>
      <c r="AM358">
        <v>39.624278985646683</v>
      </c>
      <c r="AN358">
        <v>2.2316544580987148</v>
      </c>
      <c r="AO358">
        <v>14.000000000000002</v>
      </c>
      <c r="AP358">
        <v>14.238867310148036</v>
      </c>
      <c r="AQ358">
        <v>25.281909064792746</v>
      </c>
      <c r="AR358">
        <v>63.80408606034382</v>
      </c>
      <c r="AS358">
        <v>2.0935561817969295</v>
      </c>
      <c r="AT358">
        <v>14.031896934230991</v>
      </c>
      <c r="AU358">
        <v>35.412371640412282</v>
      </c>
    </row>
    <row r="359" spans="1:48" x14ac:dyDescent="0.35">
      <c r="A359">
        <v>357</v>
      </c>
      <c r="B359">
        <v>46048</v>
      </c>
      <c r="D359" t="s">
        <v>203</v>
      </c>
      <c r="E359" t="s">
        <v>105</v>
      </c>
      <c r="F359" t="s">
        <v>188</v>
      </c>
      <c r="G359" t="s">
        <v>189</v>
      </c>
      <c r="H359" t="s">
        <v>108</v>
      </c>
      <c r="I359" t="s">
        <v>109</v>
      </c>
      <c r="J359" t="s">
        <v>110</v>
      </c>
      <c r="K359" t="s">
        <v>202</v>
      </c>
      <c r="L359">
        <v>28</v>
      </c>
      <c r="M359">
        <v>60</v>
      </c>
      <c r="N359">
        <v>1</v>
      </c>
      <c r="O359">
        <v>1</v>
      </c>
      <c r="P359">
        <v>20</v>
      </c>
      <c r="Q359">
        <v>0.50039999999999996</v>
      </c>
      <c r="R359">
        <v>482.88775122487726</v>
      </c>
      <c r="S359">
        <v>126.48775122487723</v>
      </c>
      <c r="T359">
        <v>0.37361111111111112</v>
      </c>
      <c r="U359">
        <v>40.5</v>
      </c>
      <c r="V359">
        <v>0.70138888888888884</v>
      </c>
      <c r="W359">
        <v>75.5</v>
      </c>
      <c r="X359">
        <v>13.6</v>
      </c>
      <c r="Y359">
        <v>40.5</v>
      </c>
      <c r="Z359">
        <v>0.37569444444444444</v>
      </c>
      <c r="AA359">
        <v>90</v>
      </c>
      <c r="AB359">
        <v>14.1</v>
      </c>
      <c r="AD359">
        <v>35</v>
      </c>
      <c r="AE359">
        <v>49.5</v>
      </c>
      <c r="AF359">
        <v>33.746240428868305</v>
      </c>
      <c r="AG359">
        <v>47.50873479879084</v>
      </c>
      <c r="AH359">
        <v>81.254975227659145</v>
      </c>
      <c r="AI359">
        <v>4.5894886983260896</v>
      </c>
      <c r="AJ359">
        <v>6.698731606629508</v>
      </c>
      <c r="AK359">
        <v>11.288220304955598</v>
      </c>
      <c r="AL359">
        <v>168.26886791298895</v>
      </c>
      <c r="AM359">
        <v>26.194027681181094</v>
      </c>
      <c r="AN359">
        <v>1.5566770018757063</v>
      </c>
      <c r="AO359">
        <v>13.6</v>
      </c>
      <c r="AP359">
        <v>13.892343543676443</v>
      </c>
      <c r="AQ359">
        <v>23.376489207527563</v>
      </c>
      <c r="AR359">
        <v>89.243584423338731</v>
      </c>
      <c r="AS359">
        <v>-1.3712992939665796</v>
      </c>
      <c r="AT359">
        <v>12.974355947707339</v>
      </c>
      <c r="AU359">
        <v>49.531733361603912</v>
      </c>
    </row>
    <row r="360" spans="1:48" x14ac:dyDescent="0.35">
      <c r="A360">
        <v>358</v>
      </c>
      <c r="B360">
        <v>46048</v>
      </c>
      <c r="D360" t="s">
        <v>203</v>
      </c>
      <c r="E360" t="s">
        <v>105</v>
      </c>
      <c r="F360" t="s">
        <v>188</v>
      </c>
      <c r="G360" t="s">
        <v>189</v>
      </c>
      <c r="H360" t="s">
        <v>108</v>
      </c>
      <c r="I360" t="s">
        <v>109</v>
      </c>
      <c r="J360" t="s">
        <v>110</v>
      </c>
      <c r="K360" t="s">
        <v>202</v>
      </c>
      <c r="L360">
        <v>28</v>
      </c>
      <c r="M360">
        <v>60</v>
      </c>
      <c r="N360">
        <v>1</v>
      </c>
      <c r="O360">
        <v>2</v>
      </c>
      <c r="P360">
        <v>21</v>
      </c>
      <c r="Q360">
        <v>0.50049999999999994</v>
      </c>
      <c r="R360">
        <v>482.98425157484229</v>
      </c>
      <c r="S360">
        <v>123.88425157484232</v>
      </c>
      <c r="T360">
        <v>0.37361111111111112</v>
      </c>
      <c r="U360">
        <v>41</v>
      </c>
      <c r="V360">
        <v>0.70208333333333328</v>
      </c>
      <c r="W360">
        <v>77</v>
      </c>
      <c r="X360">
        <v>13.3</v>
      </c>
      <c r="Y360">
        <v>40.5</v>
      </c>
      <c r="Z360">
        <v>0.37569444444444444</v>
      </c>
      <c r="AA360">
        <v>89.5</v>
      </c>
      <c r="AB360">
        <v>14.1</v>
      </c>
      <c r="AD360">
        <v>36</v>
      </c>
      <c r="AE360">
        <v>49</v>
      </c>
      <c r="AF360">
        <v>34.746240428868305</v>
      </c>
      <c r="AG360">
        <v>47.00873479879084</v>
      </c>
      <c r="AH360">
        <v>81.754975227659145</v>
      </c>
      <c r="AI360">
        <v>4.6212499770394846</v>
      </c>
      <c r="AJ360">
        <v>6.6282316066295079</v>
      </c>
      <c r="AK360">
        <v>11.249481583668992</v>
      </c>
      <c r="AL360">
        <v>169.27047820106935</v>
      </c>
      <c r="AM360">
        <v>25.649749690781682</v>
      </c>
      <c r="AN360">
        <v>1.5153114685665039</v>
      </c>
      <c r="AO360">
        <v>13.3</v>
      </c>
      <c r="AP360">
        <v>13.759996321132876</v>
      </c>
      <c r="AQ360">
        <v>23.291611573231172</v>
      </c>
      <c r="AR360">
        <v>90.806389356703903</v>
      </c>
      <c r="AS360">
        <v>-1.2458009355248469</v>
      </c>
      <c r="AT360">
        <v>12.927247392201659</v>
      </c>
      <c r="AU360">
        <v>50.399117137769224</v>
      </c>
    </row>
    <row r="361" spans="1:48" x14ac:dyDescent="0.35">
      <c r="A361">
        <v>359</v>
      </c>
      <c r="B361">
        <v>46048</v>
      </c>
      <c r="D361" t="s">
        <v>203</v>
      </c>
      <c r="E361" t="s">
        <v>105</v>
      </c>
      <c r="F361" t="s">
        <v>188</v>
      </c>
      <c r="G361" t="s">
        <v>189</v>
      </c>
      <c r="H361" t="s">
        <v>108</v>
      </c>
      <c r="I361" t="s">
        <v>109</v>
      </c>
      <c r="J361" t="s">
        <v>110</v>
      </c>
      <c r="K361" t="s">
        <v>202</v>
      </c>
      <c r="L361">
        <v>28</v>
      </c>
      <c r="M361">
        <v>60</v>
      </c>
      <c r="N361">
        <v>1</v>
      </c>
      <c r="O361">
        <v>3</v>
      </c>
      <c r="P361">
        <v>17</v>
      </c>
      <c r="Q361">
        <v>0.50049999999999994</v>
      </c>
      <c r="R361">
        <v>482.98425157484229</v>
      </c>
      <c r="S361">
        <v>130.18425157484228</v>
      </c>
      <c r="T361">
        <v>0.37430555555555556</v>
      </c>
      <c r="U361">
        <v>40.5</v>
      </c>
      <c r="V361">
        <v>0.70208333333333328</v>
      </c>
      <c r="W361">
        <v>76</v>
      </c>
      <c r="X361">
        <v>13.2</v>
      </c>
      <c r="Y361">
        <v>40</v>
      </c>
      <c r="Z361">
        <v>0.37638888888888888</v>
      </c>
      <c r="AA361">
        <v>91.5</v>
      </c>
      <c r="AB361">
        <v>14</v>
      </c>
      <c r="AD361">
        <v>35.5</v>
      </c>
      <c r="AE361">
        <v>51.5</v>
      </c>
      <c r="AF361">
        <v>34.246240428868305</v>
      </c>
      <c r="AG361">
        <v>49.50873479879084</v>
      </c>
      <c r="AH361">
        <v>83.754975227659145</v>
      </c>
      <c r="AI361">
        <v>4.5205037366106167</v>
      </c>
      <c r="AJ361">
        <v>6.9312228718307187</v>
      </c>
      <c r="AK361">
        <v>11.451726608441335</v>
      </c>
      <c r="AL361">
        <v>173.41139996710768</v>
      </c>
      <c r="AM361">
        <v>26.954140047083747</v>
      </c>
      <c r="AN361">
        <v>1.5543464877278166</v>
      </c>
      <c r="AO361">
        <v>13.200000000000003</v>
      </c>
      <c r="AP361">
        <v>13.67289116534719</v>
      </c>
      <c r="AQ361">
        <v>23.710351985807552</v>
      </c>
      <c r="AR361">
        <v>87.965529393221544</v>
      </c>
      <c r="AS361">
        <v>-1.6090408991847687</v>
      </c>
      <c r="AT361">
        <v>13.159655565825366</v>
      </c>
      <c r="AU361">
        <v>48.82239070821015</v>
      </c>
    </row>
    <row r="362" spans="1:48" x14ac:dyDescent="0.35">
      <c r="A362">
        <v>360</v>
      </c>
      <c r="B362">
        <v>46048</v>
      </c>
      <c r="D362" t="s">
        <v>205</v>
      </c>
      <c r="E362" t="s">
        <v>105</v>
      </c>
      <c r="F362" t="s">
        <v>188</v>
      </c>
      <c r="G362" t="s">
        <v>189</v>
      </c>
      <c r="H362" t="s">
        <v>108</v>
      </c>
      <c r="I362" t="s">
        <v>109</v>
      </c>
      <c r="J362" t="s">
        <v>110</v>
      </c>
      <c r="K362" t="s">
        <v>204</v>
      </c>
      <c r="L362">
        <v>28</v>
      </c>
      <c r="M362">
        <v>60</v>
      </c>
      <c r="N362">
        <v>1</v>
      </c>
      <c r="O362">
        <v>1</v>
      </c>
      <c r="P362">
        <v>18</v>
      </c>
      <c r="Q362">
        <v>0.50049999999999994</v>
      </c>
      <c r="R362">
        <v>484.81793102684969</v>
      </c>
      <c r="S362">
        <v>111.51793102684974</v>
      </c>
      <c r="T362">
        <v>0.375</v>
      </c>
      <c r="U362">
        <v>40.5</v>
      </c>
      <c r="V362">
        <v>0.70277777777777772</v>
      </c>
      <c r="W362">
        <v>75</v>
      </c>
      <c r="X362">
        <v>13.8</v>
      </c>
      <c r="Y362">
        <v>40.5</v>
      </c>
      <c r="Z362">
        <v>0.37708333333333333</v>
      </c>
      <c r="AA362">
        <v>85.5</v>
      </c>
      <c r="AB362">
        <v>14.7</v>
      </c>
      <c r="AV362" t="s">
        <v>629</v>
      </c>
    </row>
    <row r="363" spans="1:48" x14ac:dyDescent="0.35">
      <c r="A363">
        <v>361</v>
      </c>
      <c r="B363">
        <v>46048</v>
      </c>
      <c r="D363" t="s">
        <v>205</v>
      </c>
      <c r="E363" t="s">
        <v>105</v>
      </c>
      <c r="F363" t="s">
        <v>188</v>
      </c>
      <c r="G363" t="s">
        <v>189</v>
      </c>
      <c r="H363" t="s">
        <v>108</v>
      </c>
      <c r="I363" t="s">
        <v>109</v>
      </c>
      <c r="J363" t="s">
        <v>110</v>
      </c>
      <c r="K363" t="s">
        <v>204</v>
      </c>
      <c r="L363">
        <v>28</v>
      </c>
      <c r="M363">
        <v>60</v>
      </c>
      <c r="N363">
        <v>1</v>
      </c>
      <c r="O363">
        <v>2</v>
      </c>
      <c r="P363">
        <v>14</v>
      </c>
      <c r="Q363">
        <v>0.50019999999999998</v>
      </c>
      <c r="R363">
        <v>484.52733086839203</v>
      </c>
      <c r="S363">
        <v>77.327330868392153</v>
      </c>
      <c r="T363">
        <v>0.375</v>
      </c>
      <c r="U363">
        <v>41.5</v>
      </c>
      <c r="V363">
        <v>0.70277777777777772</v>
      </c>
      <c r="W363">
        <v>76.5</v>
      </c>
      <c r="X363">
        <v>13.8</v>
      </c>
      <c r="Y363">
        <v>40.5</v>
      </c>
      <c r="Z363">
        <v>0.37708333333333333</v>
      </c>
      <c r="AA363">
        <v>92.5</v>
      </c>
      <c r="AB363">
        <v>14.4</v>
      </c>
      <c r="AV363" t="s">
        <v>629</v>
      </c>
    </row>
    <row r="364" spans="1:48" x14ac:dyDescent="0.35">
      <c r="A364">
        <v>362</v>
      </c>
      <c r="B364">
        <v>46048</v>
      </c>
      <c r="D364" t="s">
        <v>205</v>
      </c>
      <c r="E364" t="s">
        <v>105</v>
      </c>
      <c r="F364" t="s">
        <v>188</v>
      </c>
      <c r="G364" t="s">
        <v>189</v>
      </c>
      <c r="H364" t="s">
        <v>108</v>
      </c>
      <c r="I364" t="s">
        <v>109</v>
      </c>
      <c r="J364" t="s">
        <v>110</v>
      </c>
      <c r="K364" t="s">
        <v>204</v>
      </c>
      <c r="L364">
        <v>28</v>
      </c>
      <c r="M364">
        <v>60</v>
      </c>
      <c r="N364">
        <v>1</v>
      </c>
      <c r="O364">
        <v>3</v>
      </c>
      <c r="P364">
        <v>15</v>
      </c>
      <c r="Q364">
        <v>0.50049999999999994</v>
      </c>
      <c r="R364">
        <v>484.81793102684969</v>
      </c>
      <c r="S364">
        <v>148.51793102684974</v>
      </c>
      <c r="T364">
        <v>0.37569444444444444</v>
      </c>
      <c r="U364">
        <v>41</v>
      </c>
      <c r="V364">
        <v>0.70347222222222228</v>
      </c>
      <c r="W364">
        <v>77.5</v>
      </c>
      <c r="X364">
        <v>13.6</v>
      </c>
      <c r="Y364">
        <v>40.5</v>
      </c>
      <c r="Z364">
        <v>0.37777777777777777</v>
      </c>
      <c r="AA364">
        <v>93.5</v>
      </c>
      <c r="AB364">
        <v>14.3</v>
      </c>
      <c r="AV364" t="s">
        <v>629</v>
      </c>
    </row>
    <row r="365" spans="1:48" x14ac:dyDescent="0.35">
      <c r="A365">
        <v>363</v>
      </c>
      <c r="B365">
        <v>46048</v>
      </c>
      <c r="D365" t="s">
        <v>207</v>
      </c>
      <c r="E365" t="s">
        <v>105</v>
      </c>
      <c r="F365" t="s">
        <v>188</v>
      </c>
      <c r="G365" t="s">
        <v>189</v>
      </c>
      <c r="H365" t="s">
        <v>108</v>
      </c>
      <c r="I365" t="s">
        <v>109</v>
      </c>
      <c r="J365" t="s">
        <v>110</v>
      </c>
      <c r="K365" t="s">
        <v>206</v>
      </c>
      <c r="L365">
        <v>28</v>
      </c>
      <c r="M365">
        <v>60</v>
      </c>
      <c r="N365">
        <v>1</v>
      </c>
      <c r="O365">
        <v>1</v>
      </c>
      <c r="P365">
        <v>16</v>
      </c>
      <c r="Q365">
        <v>0.5</v>
      </c>
      <c r="R365">
        <v>488.27677696690995</v>
      </c>
      <c r="S365">
        <v>205.87677696690997</v>
      </c>
      <c r="T365">
        <v>0.37569444444444444</v>
      </c>
      <c r="U365">
        <v>41</v>
      </c>
      <c r="V365">
        <v>0.70347222222222228</v>
      </c>
      <c r="W365">
        <v>78.5</v>
      </c>
      <c r="X365">
        <v>13.7</v>
      </c>
      <c r="Y365">
        <v>40.5</v>
      </c>
      <c r="Z365">
        <v>0.37777777777777777</v>
      </c>
      <c r="AA365">
        <v>91.5</v>
      </c>
      <c r="AB365">
        <v>14.8</v>
      </c>
      <c r="AD365">
        <v>37.5</v>
      </c>
      <c r="AE365">
        <v>51</v>
      </c>
      <c r="AV365" t="s">
        <v>629</v>
      </c>
    </row>
    <row r="366" spans="1:48" x14ac:dyDescent="0.35">
      <c r="A366">
        <v>364</v>
      </c>
      <c r="B366">
        <v>46048</v>
      </c>
      <c r="D366" t="s">
        <v>207</v>
      </c>
      <c r="E366" t="s">
        <v>105</v>
      </c>
      <c r="F366" t="s">
        <v>188</v>
      </c>
      <c r="G366" t="s">
        <v>189</v>
      </c>
      <c r="H366" t="s">
        <v>108</v>
      </c>
      <c r="I366" t="s">
        <v>109</v>
      </c>
      <c r="J366" t="s">
        <v>110</v>
      </c>
      <c r="K366" t="s">
        <v>206</v>
      </c>
      <c r="L366">
        <v>28</v>
      </c>
      <c r="M366">
        <v>60</v>
      </c>
      <c r="N366">
        <v>1</v>
      </c>
      <c r="O366">
        <v>2</v>
      </c>
      <c r="P366">
        <v>22</v>
      </c>
      <c r="Q366">
        <v>0.50019999999999998</v>
      </c>
      <c r="R366">
        <v>488.47208767769672</v>
      </c>
      <c r="S366">
        <v>131.27208767769667</v>
      </c>
      <c r="T366">
        <v>0.37638888888888888</v>
      </c>
      <c r="U366">
        <v>41.5</v>
      </c>
      <c r="V366">
        <v>0.70416666666666672</v>
      </c>
      <c r="W366">
        <v>76.5</v>
      </c>
      <c r="X366">
        <v>14</v>
      </c>
      <c r="Y366">
        <v>41</v>
      </c>
      <c r="Z366">
        <v>0.37777777777777777</v>
      </c>
      <c r="AA366">
        <v>90</v>
      </c>
      <c r="AB366">
        <v>14.6</v>
      </c>
      <c r="AD366">
        <v>35</v>
      </c>
      <c r="AE366">
        <v>49</v>
      </c>
      <c r="AV366" t="s">
        <v>629</v>
      </c>
    </row>
    <row r="367" spans="1:48" x14ac:dyDescent="0.35">
      <c r="A367">
        <v>365</v>
      </c>
      <c r="B367">
        <v>46048</v>
      </c>
      <c r="D367" t="s">
        <v>207</v>
      </c>
      <c r="E367" t="s">
        <v>105</v>
      </c>
      <c r="F367" t="s">
        <v>188</v>
      </c>
      <c r="G367" t="s">
        <v>189</v>
      </c>
      <c r="H367" t="s">
        <v>108</v>
      </c>
      <c r="I367" t="s">
        <v>109</v>
      </c>
      <c r="J367" t="s">
        <v>110</v>
      </c>
      <c r="K367" t="s">
        <v>206</v>
      </c>
      <c r="L367">
        <v>28</v>
      </c>
      <c r="M367">
        <v>60</v>
      </c>
      <c r="N367">
        <v>1</v>
      </c>
      <c r="O367">
        <v>3</v>
      </c>
      <c r="P367">
        <v>23</v>
      </c>
      <c r="Q367">
        <v>0.50060000000000004</v>
      </c>
      <c r="R367">
        <v>488.86270909927032</v>
      </c>
      <c r="S367">
        <v>135.36270909927026</v>
      </c>
      <c r="T367">
        <v>0.37708333333333333</v>
      </c>
      <c r="U367">
        <v>41</v>
      </c>
      <c r="V367">
        <v>0.70416666666666672</v>
      </c>
      <c r="W367">
        <v>76.5</v>
      </c>
      <c r="X367">
        <v>14</v>
      </c>
      <c r="Y367">
        <v>40.5</v>
      </c>
      <c r="Z367">
        <v>0.37847222222222221</v>
      </c>
      <c r="AA367">
        <v>89.5</v>
      </c>
      <c r="AB367">
        <v>18.8</v>
      </c>
      <c r="AD367">
        <v>35.5</v>
      </c>
      <c r="AE367">
        <v>49</v>
      </c>
      <c r="AV367" t="s">
        <v>629</v>
      </c>
    </row>
    <row r="368" spans="1:48" x14ac:dyDescent="0.35">
      <c r="A368">
        <v>366</v>
      </c>
      <c r="B368">
        <v>46048</v>
      </c>
      <c r="D368" t="s">
        <v>209</v>
      </c>
      <c r="E368" t="s">
        <v>105</v>
      </c>
      <c r="F368" t="s">
        <v>188</v>
      </c>
      <c r="G368" t="s">
        <v>189</v>
      </c>
      <c r="H368" t="s">
        <v>108</v>
      </c>
      <c r="I368" t="s">
        <v>109</v>
      </c>
      <c r="J368" t="s">
        <v>110</v>
      </c>
      <c r="K368" t="s">
        <v>208</v>
      </c>
      <c r="L368">
        <v>28</v>
      </c>
      <c r="M368">
        <v>60</v>
      </c>
      <c r="N368">
        <v>1</v>
      </c>
      <c r="O368">
        <v>1</v>
      </c>
      <c r="P368">
        <v>24</v>
      </c>
      <c r="Q368">
        <v>0.50039999999999996</v>
      </c>
      <c r="R368">
        <v>483.0188498517403</v>
      </c>
      <c r="S368">
        <v>156.21884985174034</v>
      </c>
      <c r="T368">
        <v>0.37708333333333333</v>
      </c>
      <c r="U368">
        <v>41</v>
      </c>
      <c r="V368">
        <v>0.70486111111111116</v>
      </c>
      <c r="W368">
        <v>77.5</v>
      </c>
      <c r="X368">
        <v>14</v>
      </c>
      <c r="Y368">
        <v>40</v>
      </c>
      <c r="Z368">
        <v>0.37847222222222221</v>
      </c>
      <c r="AA368">
        <v>91.5</v>
      </c>
      <c r="AB368">
        <v>15</v>
      </c>
      <c r="AD368">
        <v>36.5</v>
      </c>
      <c r="AE368">
        <v>51.5</v>
      </c>
      <c r="AF368">
        <v>36.5</v>
      </c>
      <c r="AG368">
        <v>51.5</v>
      </c>
      <c r="AH368">
        <v>35.246240428868305</v>
      </c>
      <c r="AI368">
        <v>49.50873479879084</v>
      </c>
      <c r="AJ368">
        <v>84.754975227659145</v>
      </c>
      <c r="AK368">
        <v>4.9344736600415633</v>
      </c>
      <c r="AL368">
        <v>7.4263102198186255</v>
      </c>
      <c r="AM368">
        <v>12.36078387986019</v>
      </c>
      <c r="AN368">
        <v>175.46929121642805</v>
      </c>
      <c r="AO368">
        <v>32.342184968493626</v>
      </c>
      <c r="AP368">
        <v>1.8431820601931992</v>
      </c>
      <c r="AQ368">
        <v>14.000000000000002</v>
      </c>
      <c r="AR368">
        <v>14.584139570164538</v>
      </c>
      <c r="AS368">
        <v>25.59068633378233</v>
      </c>
      <c r="AT368">
        <v>79.12479122456223</v>
      </c>
      <c r="AU368">
        <v>-10.577590020293236</v>
      </c>
    </row>
    <row r="369" spans="1:47" x14ac:dyDescent="0.35">
      <c r="A369">
        <v>367</v>
      </c>
      <c r="B369">
        <v>46048</v>
      </c>
      <c r="D369" t="s">
        <v>209</v>
      </c>
      <c r="E369" t="s">
        <v>105</v>
      </c>
      <c r="F369" t="s">
        <v>188</v>
      </c>
      <c r="G369" t="s">
        <v>189</v>
      </c>
      <c r="H369" t="s">
        <v>108</v>
      </c>
      <c r="I369" t="s">
        <v>109</v>
      </c>
      <c r="J369" t="s">
        <v>110</v>
      </c>
      <c r="K369" t="s">
        <v>208</v>
      </c>
      <c r="L369">
        <v>28</v>
      </c>
      <c r="M369">
        <v>60</v>
      </c>
      <c r="N369">
        <v>1</v>
      </c>
      <c r="O369">
        <v>2</v>
      </c>
      <c r="P369">
        <v>25</v>
      </c>
      <c r="Q369">
        <v>0.50019999999999998</v>
      </c>
      <c r="R369">
        <v>482.82579675427769</v>
      </c>
      <c r="S369">
        <v>99.425796754277599</v>
      </c>
      <c r="T369">
        <v>0.37708333333333333</v>
      </c>
      <c r="U369">
        <v>40.5</v>
      </c>
      <c r="V369">
        <v>0.7055555555555556</v>
      </c>
      <c r="W369">
        <v>77.5</v>
      </c>
      <c r="X369">
        <v>14</v>
      </c>
      <c r="Y369">
        <v>40</v>
      </c>
      <c r="Z369">
        <v>0.37916666666666665</v>
      </c>
      <c r="AA369">
        <v>92.5</v>
      </c>
      <c r="AB369">
        <v>14.9</v>
      </c>
      <c r="AD369">
        <v>37</v>
      </c>
      <c r="AE369">
        <v>52.5</v>
      </c>
      <c r="AF369">
        <v>37</v>
      </c>
      <c r="AG369">
        <v>52.5</v>
      </c>
      <c r="AH369">
        <v>35.746240428868305</v>
      </c>
      <c r="AI369">
        <v>50.50873479879084</v>
      </c>
      <c r="AJ369">
        <v>86.254975227659145</v>
      </c>
      <c r="AK369">
        <v>5.0044736600415627</v>
      </c>
      <c r="AL369">
        <v>7.5258014850198345</v>
      </c>
      <c r="AM369">
        <v>12.530275145061397</v>
      </c>
      <c r="AN369">
        <v>178.64616142611885</v>
      </c>
      <c r="AO369">
        <v>20.592478161409819</v>
      </c>
      <c r="AP369">
        <v>1.1526963690135639</v>
      </c>
      <c r="AQ369">
        <v>14</v>
      </c>
      <c r="AR369">
        <v>14.527017267107565</v>
      </c>
      <c r="AS369">
        <v>25.951958717397144</v>
      </c>
      <c r="AT369">
        <v>126.02639912485597</v>
      </c>
      <c r="AU369">
        <v>-0.66871313250199649</v>
      </c>
    </row>
    <row r="370" spans="1:47" x14ac:dyDescent="0.35">
      <c r="A370">
        <v>368</v>
      </c>
      <c r="B370">
        <v>46048</v>
      </c>
      <c r="D370" t="s">
        <v>209</v>
      </c>
      <c r="E370" t="s">
        <v>105</v>
      </c>
      <c r="F370" t="s">
        <v>188</v>
      </c>
      <c r="G370" t="s">
        <v>189</v>
      </c>
      <c r="H370" t="s">
        <v>108</v>
      </c>
      <c r="I370" t="s">
        <v>109</v>
      </c>
      <c r="J370" t="s">
        <v>110</v>
      </c>
      <c r="K370" t="s">
        <v>208</v>
      </c>
      <c r="L370">
        <v>28</v>
      </c>
      <c r="M370">
        <v>60</v>
      </c>
      <c r="N370">
        <v>1</v>
      </c>
      <c r="O370">
        <v>3</v>
      </c>
      <c r="P370">
        <v>26</v>
      </c>
      <c r="Q370">
        <v>0.50019999999999998</v>
      </c>
      <c r="R370">
        <v>482.82579675427769</v>
      </c>
      <c r="S370">
        <v>158.32579675427769</v>
      </c>
      <c r="T370">
        <v>0.37777777777777777</v>
      </c>
      <c r="U370">
        <v>40.5</v>
      </c>
      <c r="V370">
        <v>0.7055555555555556</v>
      </c>
      <c r="W370">
        <v>77</v>
      </c>
      <c r="X370">
        <v>14.1</v>
      </c>
      <c r="Y370">
        <v>40.5</v>
      </c>
      <c r="Z370">
        <v>0.37916666666666665</v>
      </c>
      <c r="AA370">
        <v>91.5</v>
      </c>
      <c r="AB370">
        <v>14.7</v>
      </c>
      <c r="AD370">
        <v>36.5</v>
      </c>
      <c r="AE370">
        <v>51</v>
      </c>
      <c r="AF370">
        <v>36.5</v>
      </c>
      <c r="AG370">
        <v>51</v>
      </c>
      <c r="AH370">
        <v>35.246240428868305</v>
      </c>
      <c r="AI370">
        <v>49.00873479879084</v>
      </c>
      <c r="AJ370">
        <v>84.254975227659145</v>
      </c>
      <c r="AK370">
        <v>4.9697199004704302</v>
      </c>
      <c r="AL370">
        <v>7.2042840154222532</v>
      </c>
      <c r="AM370">
        <v>12.174003915892683</v>
      </c>
      <c r="AN370">
        <v>174.50388068336505</v>
      </c>
      <c r="AO370">
        <v>32.791494948819746</v>
      </c>
      <c r="AP370">
        <v>1.879126975308903</v>
      </c>
      <c r="AQ370">
        <v>14.099999999999998</v>
      </c>
      <c r="AR370">
        <v>14.449003020887735</v>
      </c>
      <c r="AS370">
        <v>25.214070991505746</v>
      </c>
      <c r="AT370">
        <v>76.892105806274827</v>
      </c>
      <c r="AU370">
        <v>-24.50829122934914</v>
      </c>
    </row>
    <row r="371" spans="1:47" x14ac:dyDescent="0.35">
      <c r="A371">
        <v>369</v>
      </c>
      <c r="B371">
        <v>46048</v>
      </c>
      <c r="C371" t="s">
        <v>16</v>
      </c>
      <c r="D371" t="s">
        <v>211</v>
      </c>
      <c r="E371" t="s">
        <v>212</v>
      </c>
      <c r="F371" t="s">
        <v>213</v>
      </c>
      <c r="G371" t="s">
        <v>214</v>
      </c>
      <c r="H371" t="s">
        <v>22</v>
      </c>
      <c r="I371" t="s">
        <v>23</v>
      </c>
      <c r="J371" t="s">
        <v>215</v>
      </c>
      <c r="K371" t="s">
        <v>210</v>
      </c>
      <c r="L371">
        <v>28</v>
      </c>
      <c r="M371">
        <v>60</v>
      </c>
      <c r="N371">
        <v>1</v>
      </c>
      <c r="O371">
        <v>1</v>
      </c>
      <c r="P371">
        <v>27</v>
      </c>
      <c r="Q371">
        <v>0.50009999999999999</v>
      </c>
      <c r="R371">
        <v>458.47500208341705</v>
      </c>
      <c r="S371">
        <v>140.475002083417</v>
      </c>
      <c r="T371">
        <v>0.37847222222222221</v>
      </c>
      <c r="U371">
        <v>40.5</v>
      </c>
      <c r="V371">
        <v>0.70625000000000004</v>
      </c>
      <c r="W371">
        <v>74</v>
      </c>
      <c r="X371">
        <v>13.9</v>
      </c>
      <c r="Y371">
        <v>40</v>
      </c>
      <c r="Z371">
        <v>0.37986111111111109</v>
      </c>
      <c r="AA371">
        <v>79</v>
      </c>
      <c r="AB371">
        <v>16.5</v>
      </c>
      <c r="AD371">
        <v>33.5</v>
      </c>
      <c r="AE371">
        <v>39</v>
      </c>
      <c r="AF371">
        <v>32.246240428868305</v>
      </c>
      <c r="AG371">
        <v>37.00873479879084</v>
      </c>
      <c r="AH371">
        <v>69.254975227659145</v>
      </c>
      <c r="AI371">
        <v>4.4822274196126948</v>
      </c>
      <c r="AJ371">
        <v>6.1064412418004892</v>
      </c>
      <c r="AK371">
        <v>10.588668661413184</v>
      </c>
      <c r="AL371">
        <v>151.05507369638133</v>
      </c>
      <c r="AM371">
        <v>30.63962079613194</v>
      </c>
      <c r="AN371">
        <v>2.0283741582700605</v>
      </c>
      <c r="AO371">
        <v>13.9</v>
      </c>
      <c r="AP371">
        <v>15.289397803703592</v>
      </c>
      <c r="AQ371">
        <v>23.095411120117369</v>
      </c>
      <c r="AR371">
        <v>75.377601027728829</v>
      </c>
      <c r="AS371">
        <v>-0.42999577259474142</v>
      </c>
      <c r="AT371">
        <v>12.818352746251993</v>
      </c>
      <c r="AU371">
        <v>41.835872681133928</v>
      </c>
    </row>
    <row r="372" spans="1:47" x14ac:dyDescent="0.35">
      <c r="A372">
        <v>370</v>
      </c>
      <c r="B372">
        <v>46048</v>
      </c>
      <c r="C372" t="s">
        <v>16</v>
      </c>
      <c r="D372" t="s">
        <v>211</v>
      </c>
      <c r="E372" t="s">
        <v>212</v>
      </c>
      <c r="F372" t="s">
        <v>213</v>
      </c>
      <c r="G372" t="s">
        <v>214</v>
      </c>
      <c r="H372" t="s">
        <v>22</v>
      </c>
      <c r="I372" t="s">
        <v>23</v>
      </c>
      <c r="J372" t="s">
        <v>215</v>
      </c>
      <c r="K372" t="s">
        <v>210</v>
      </c>
      <c r="L372">
        <v>28</v>
      </c>
      <c r="M372">
        <v>60</v>
      </c>
      <c r="N372">
        <v>1</v>
      </c>
      <c r="O372">
        <v>2</v>
      </c>
      <c r="P372">
        <v>28</v>
      </c>
      <c r="Q372">
        <v>0.5</v>
      </c>
      <c r="R372">
        <v>458.38332541833336</v>
      </c>
      <c r="S372">
        <v>68.283325418333334</v>
      </c>
      <c r="T372">
        <v>0.37847222222222221</v>
      </c>
      <c r="U372">
        <v>41</v>
      </c>
      <c r="V372">
        <v>0.70694444444444449</v>
      </c>
      <c r="W372">
        <v>73.5</v>
      </c>
      <c r="X372">
        <v>14</v>
      </c>
      <c r="Y372">
        <v>40.5</v>
      </c>
      <c r="Z372">
        <v>0.37986111111111109</v>
      </c>
      <c r="AA372">
        <v>79</v>
      </c>
      <c r="AB372">
        <v>16.8</v>
      </c>
      <c r="AD372">
        <v>32.5</v>
      </c>
      <c r="AE372">
        <v>38.5</v>
      </c>
    </row>
    <row r="373" spans="1:47" x14ac:dyDescent="0.35">
      <c r="A373">
        <v>371</v>
      </c>
      <c r="B373">
        <v>46048</v>
      </c>
      <c r="C373" t="s">
        <v>16</v>
      </c>
      <c r="D373" t="s">
        <v>211</v>
      </c>
      <c r="E373" t="s">
        <v>212</v>
      </c>
      <c r="F373" t="s">
        <v>213</v>
      </c>
      <c r="G373" t="s">
        <v>214</v>
      </c>
      <c r="H373" t="s">
        <v>22</v>
      </c>
      <c r="I373" t="s">
        <v>23</v>
      </c>
      <c r="J373" t="s">
        <v>215</v>
      </c>
      <c r="K373" t="s">
        <v>210</v>
      </c>
      <c r="L373">
        <v>28</v>
      </c>
      <c r="M373">
        <v>60</v>
      </c>
      <c r="N373">
        <v>1</v>
      </c>
      <c r="O373">
        <v>3</v>
      </c>
      <c r="P373">
        <v>29</v>
      </c>
      <c r="Q373">
        <v>0.50039999999999996</v>
      </c>
      <c r="R373">
        <v>458.75003207866803</v>
      </c>
      <c r="S373">
        <v>170.75003207866808</v>
      </c>
      <c r="T373">
        <v>0.37916666666666665</v>
      </c>
      <c r="U373">
        <v>41</v>
      </c>
      <c r="V373">
        <v>0.70694444444444449</v>
      </c>
      <c r="W373">
        <v>73</v>
      </c>
      <c r="X373">
        <v>14.1</v>
      </c>
      <c r="Y373">
        <v>41</v>
      </c>
      <c r="Z373">
        <v>0.38055555555555554</v>
      </c>
      <c r="AA373">
        <v>78.5</v>
      </c>
      <c r="AB373">
        <v>16.600000000000001</v>
      </c>
      <c r="AD373">
        <v>32</v>
      </c>
      <c r="AE373">
        <v>37.5</v>
      </c>
      <c r="AF373">
        <v>30.746240428868305</v>
      </c>
      <c r="AG373">
        <v>35.50873479879084</v>
      </c>
      <c r="AH373">
        <v>66.254975227659145</v>
      </c>
      <c r="AI373">
        <v>4.3352199004704302</v>
      </c>
      <c r="AJ373">
        <v>5.8944499765992795</v>
      </c>
      <c r="AK373">
        <v>10.229669877069711</v>
      </c>
      <c r="AL373">
        <v>144.42500402113873</v>
      </c>
      <c r="AM373">
        <v>37.220712836786738</v>
      </c>
      <c r="AN373">
        <v>2.5771654353798006</v>
      </c>
      <c r="AO373">
        <v>14.099999999999998</v>
      </c>
      <c r="AP373">
        <v>15.439851636680078</v>
      </c>
      <c r="AQ373">
        <v>22.299006347133055</v>
      </c>
      <c r="AR373">
        <v>59.91020764409982</v>
      </c>
      <c r="AS373">
        <v>-0.7991738652530721</v>
      </c>
      <c r="AT373">
        <v>12.376334318616406</v>
      </c>
      <c r="AU373">
        <v>33.251201751258165</v>
      </c>
    </row>
    <row r="374" spans="1:47" x14ac:dyDescent="0.35">
      <c r="A374">
        <v>372</v>
      </c>
      <c r="B374">
        <v>46048</v>
      </c>
      <c r="C374" t="s">
        <v>120</v>
      </c>
      <c r="D374" t="s">
        <v>122</v>
      </c>
      <c r="E374" t="s">
        <v>123</v>
      </c>
      <c r="F374" t="s">
        <v>545</v>
      </c>
      <c r="G374" t="s">
        <v>125</v>
      </c>
      <c r="H374" t="s">
        <v>108</v>
      </c>
      <c r="I374" t="s">
        <v>109</v>
      </c>
      <c r="J374" t="s">
        <v>110</v>
      </c>
      <c r="K374" t="s">
        <v>121</v>
      </c>
      <c r="L374">
        <v>28</v>
      </c>
      <c r="M374">
        <v>60</v>
      </c>
      <c r="N374">
        <v>1</v>
      </c>
      <c r="O374">
        <v>1</v>
      </c>
      <c r="P374">
        <v>30</v>
      </c>
      <c r="Q374">
        <v>0.50049999999999994</v>
      </c>
      <c r="R374">
        <v>468.21774999999991</v>
      </c>
      <c r="S374">
        <v>159.61774999999994</v>
      </c>
      <c r="T374">
        <v>0.37916666666666665</v>
      </c>
      <c r="U374">
        <v>41.5</v>
      </c>
      <c r="V374">
        <v>0.70763888888888893</v>
      </c>
      <c r="W374">
        <v>62</v>
      </c>
      <c r="X374">
        <v>14</v>
      </c>
      <c r="Y374">
        <v>41</v>
      </c>
      <c r="Z374">
        <v>0.38055555555555554</v>
      </c>
      <c r="AA374">
        <v>80.5</v>
      </c>
      <c r="AB374">
        <v>16.2</v>
      </c>
      <c r="AD374">
        <v>20.5</v>
      </c>
      <c r="AE374">
        <v>39.5</v>
      </c>
      <c r="AF374">
        <v>19.246240428868305</v>
      </c>
      <c r="AG374">
        <v>37.50873479879084</v>
      </c>
      <c r="AH374">
        <v>56.754975227659145</v>
      </c>
      <c r="AI374">
        <v>2.6944736600415631</v>
      </c>
      <c r="AJ374">
        <v>6.0764150374041161</v>
      </c>
      <c r="AK374">
        <v>8.7708886974456792</v>
      </c>
      <c r="AL374">
        <v>121.21491598227354</v>
      </c>
      <c r="AM374">
        <v>34.090495287716024</v>
      </c>
      <c r="AN374">
        <v>2.8124010161176378</v>
      </c>
      <c r="AO374">
        <v>14.000000000000002</v>
      </c>
      <c r="AP374">
        <v>15.453955644000082</v>
      </c>
      <c r="AQ374">
        <v>18.732499349812517</v>
      </c>
      <c r="AR374">
        <v>54.949331746912122</v>
      </c>
      <c r="AS374">
        <v>0.65498742802050258</v>
      </c>
      <c r="AT374">
        <v>10.396861230830201</v>
      </c>
      <c r="AU374">
        <v>30.497829800016277</v>
      </c>
    </row>
    <row r="375" spans="1:47" x14ac:dyDescent="0.35">
      <c r="A375">
        <v>373</v>
      </c>
      <c r="B375">
        <v>46048</v>
      </c>
      <c r="C375" t="s">
        <v>120</v>
      </c>
      <c r="D375" t="s">
        <v>122</v>
      </c>
      <c r="E375" t="s">
        <v>123</v>
      </c>
      <c r="F375" t="s">
        <v>545</v>
      </c>
      <c r="G375" t="s">
        <v>125</v>
      </c>
      <c r="H375" t="s">
        <v>108</v>
      </c>
      <c r="I375" t="s">
        <v>109</v>
      </c>
      <c r="J375" t="s">
        <v>110</v>
      </c>
      <c r="K375" t="s">
        <v>121</v>
      </c>
      <c r="L375">
        <v>28</v>
      </c>
      <c r="M375">
        <v>60</v>
      </c>
      <c r="N375">
        <v>1</v>
      </c>
      <c r="O375">
        <v>2</v>
      </c>
      <c r="P375">
        <v>31</v>
      </c>
      <c r="Q375">
        <v>0.50039999999999996</v>
      </c>
      <c r="R375">
        <v>468.12419999999992</v>
      </c>
      <c r="S375">
        <v>86.62419999999986</v>
      </c>
      <c r="T375">
        <v>0.37986111111111109</v>
      </c>
      <c r="U375">
        <v>41</v>
      </c>
      <c r="V375">
        <v>0.70763888888888893</v>
      </c>
      <c r="W375">
        <v>62.5</v>
      </c>
      <c r="X375">
        <v>11.9</v>
      </c>
      <c r="Y375">
        <v>40.5</v>
      </c>
      <c r="Z375">
        <v>0.38124999999999998</v>
      </c>
      <c r="AA375">
        <v>82.5</v>
      </c>
      <c r="AB375">
        <v>16.3</v>
      </c>
      <c r="AD375">
        <v>21.5</v>
      </c>
      <c r="AE375">
        <v>42</v>
      </c>
      <c r="AF375">
        <v>20.246240428868305</v>
      </c>
      <c r="AG375">
        <v>40.00873479879084</v>
      </c>
      <c r="AH375">
        <v>60.254975227659145</v>
      </c>
      <c r="AI375">
        <v>2.4093026110353284</v>
      </c>
      <c r="AJ375">
        <v>6.5214237722029074</v>
      </c>
      <c r="AK375">
        <v>8.9307263832382358</v>
      </c>
      <c r="AL375">
        <v>128.7157878777879</v>
      </c>
      <c r="AM375">
        <v>18.504533625905236</v>
      </c>
      <c r="AN375">
        <v>1.4376273440111933</v>
      </c>
      <c r="AO375">
        <v>11.900000000000002</v>
      </c>
      <c r="AP375">
        <v>14.821558467986423</v>
      </c>
      <c r="AQ375">
        <v>19.077685757835713</v>
      </c>
      <c r="AR375">
        <v>103.09736059020747</v>
      </c>
      <c r="AS375">
        <v>-1.2596284188286775</v>
      </c>
      <c r="AT375">
        <v>10.588445659366258</v>
      </c>
      <c r="AU375">
        <v>57.22081881892484</v>
      </c>
    </row>
    <row r="376" spans="1:47" x14ac:dyDescent="0.35">
      <c r="A376">
        <v>374</v>
      </c>
      <c r="B376">
        <v>46048</v>
      </c>
      <c r="C376" t="s">
        <v>120</v>
      </c>
      <c r="D376" t="s">
        <v>122</v>
      </c>
      <c r="E376" t="s">
        <v>123</v>
      </c>
      <c r="F376" t="s">
        <v>545</v>
      </c>
      <c r="G376" t="s">
        <v>125</v>
      </c>
      <c r="H376" t="s">
        <v>108</v>
      </c>
      <c r="I376" t="s">
        <v>109</v>
      </c>
      <c r="J376" t="s">
        <v>110</v>
      </c>
      <c r="K376" t="s">
        <v>121</v>
      </c>
      <c r="L376">
        <v>28</v>
      </c>
      <c r="M376">
        <v>60</v>
      </c>
      <c r="N376">
        <v>1</v>
      </c>
      <c r="O376">
        <v>3</v>
      </c>
      <c r="P376">
        <v>32</v>
      </c>
      <c r="Q376">
        <v>0.50009999999999999</v>
      </c>
      <c r="R376">
        <v>467.84354999999999</v>
      </c>
      <c r="S376">
        <v>139.9435499999999</v>
      </c>
      <c r="T376">
        <v>0.37986111111111109</v>
      </c>
      <c r="U376">
        <v>41.5</v>
      </c>
      <c r="V376">
        <v>0.70833333333333337</v>
      </c>
      <c r="W376">
        <v>62</v>
      </c>
      <c r="X376">
        <v>13.7</v>
      </c>
      <c r="Y376">
        <v>40.5</v>
      </c>
      <c r="Z376">
        <v>0.38124999999999998</v>
      </c>
      <c r="AA376">
        <v>81.5</v>
      </c>
      <c r="AB376">
        <v>16.100000000000001</v>
      </c>
      <c r="AD376">
        <v>20.5</v>
      </c>
      <c r="AE376">
        <v>41</v>
      </c>
      <c r="AF376">
        <v>19.246240428868305</v>
      </c>
      <c r="AG376">
        <v>39.00873479879084</v>
      </c>
      <c r="AH376">
        <v>58.254975227659145</v>
      </c>
      <c r="AI376">
        <v>2.6367349387549575</v>
      </c>
      <c r="AJ376">
        <v>6.2804063026053258</v>
      </c>
      <c r="AK376">
        <v>8.9171412413602837</v>
      </c>
      <c r="AL376">
        <v>124.51806854590419</v>
      </c>
      <c r="AM376">
        <v>29.912467533217011</v>
      </c>
      <c r="AN376">
        <v>2.4022591967999922</v>
      </c>
      <c r="AO376">
        <v>13.699999999999998</v>
      </c>
      <c r="AP376">
        <v>15.30708957734905</v>
      </c>
      <c r="AQ376">
        <v>19.060092292306443</v>
      </c>
      <c r="AR376">
        <v>63.719558646041854</v>
      </c>
      <c r="AS376">
        <v>1.1286455098817501</v>
      </c>
      <c r="AT376">
        <v>10.578680981612296</v>
      </c>
      <c r="AU376">
        <v>35.365457463062675</v>
      </c>
    </row>
    <row r="377" spans="1:47" x14ac:dyDescent="0.35">
      <c r="A377">
        <v>375</v>
      </c>
      <c r="B377">
        <v>46048</v>
      </c>
      <c r="D377" t="s">
        <v>564</v>
      </c>
      <c r="E377" t="s">
        <v>538</v>
      </c>
      <c r="G377" t="s">
        <v>564</v>
      </c>
      <c r="K377" t="s">
        <v>543</v>
      </c>
      <c r="L377">
        <v>28</v>
      </c>
      <c r="M377">
        <v>60</v>
      </c>
      <c r="N377">
        <v>1</v>
      </c>
      <c r="O377">
        <v>1</v>
      </c>
      <c r="P377">
        <v>33</v>
      </c>
      <c r="S377">
        <v>0</v>
      </c>
      <c r="T377">
        <v>0.38055555555555554</v>
      </c>
      <c r="U377">
        <v>40</v>
      </c>
      <c r="V377">
        <v>0.70972222222222225</v>
      </c>
      <c r="W377">
        <v>41.5</v>
      </c>
      <c r="AD377">
        <v>1.5</v>
      </c>
    </row>
    <row r="378" spans="1:47" x14ac:dyDescent="0.35">
      <c r="A378">
        <v>376</v>
      </c>
      <c r="B378">
        <v>46048</v>
      </c>
      <c r="D378" t="s">
        <v>564</v>
      </c>
      <c r="E378" t="s">
        <v>538</v>
      </c>
      <c r="G378" t="s">
        <v>564</v>
      </c>
      <c r="K378" t="s">
        <v>543</v>
      </c>
      <c r="L378">
        <v>28</v>
      </c>
      <c r="M378">
        <v>60</v>
      </c>
      <c r="N378">
        <v>1</v>
      </c>
      <c r="O378">
        <v>2</v>
      </c>
      <c r="P378">
        <v>34</v>
      </c>
      <c r="S378">
        <v>0</v>
      </c>
      <c r="T378">
        <v>0.38055555555555554</v>
      </c>
      <c r="U378">
        <v>40</v>
      </c>
      <c r="V378">
        <v>0.70972222222222225</v>
      </c>
      <c r="W378">
        <v>41</v>
      </c>
      <c r="AD378">
        <v>1</v>
      </c>
    </row>
    <row r="379" spans="1:47" x14ac:dyDescent="0.35">
      <c r="A379">
        <v>377</v>
      </c>
      <c r="B379">
        <v>46048</v>
      </c>
      <c r="C379" t="s">
        <v>16</v>
      </c>
      <c r="D379" t="s">
        <v>218</v>
      </c>
      <c r="E379" t="s">
        <v>219</v>
      </c>
      <c r="F379" t="s">
        <v>220</v>
      </c>
      <c r="G379" t="s">
        <v>221</v>
      </c>
      <c r="H379" t="s">
        <v>22</v>
      </c>
      <c r="I379" t="s">
        <v>23</v>
      </c>
      <c r="J379" t="s">
        <v>215</v>
      </c>
      <c r="K379" t="s">
        <v>217</v>
      </c>
      <c r="L379">
        <v>28</v>
      </c>
      <c r="M379">
        <v>60</v>
      </c>
      <c r="N379">
        <v>1</v>
      </c>
      <c r="O379">
        <v>1</v>
      </c>
      <c r="P379">
        <v>35</v>
      </c>
      <c r="Q379">
        <v>0.5</v>
      </c>
      <c r="R379">
        <v>459.68312674930036</v>
      </c>
      <c r="S379">
        <v>238.78312674930027</v>
      </c>
      <c r="T379">
        <v>0.38055555555555554</v>
      </c>
      <c r="U379">
        <v>40.5</v>
      </c>
      <c r="V379">
        <v>0.7104166666666667</v>
      </c>
      <c r="W379">
        <v>61.5</v>
      </c>
      <c r="X379">
        <v>11.7</v>
      </c>
      <c r="Y379">
        <v>40.5</v>
      </c>
      <c r="Z379">
        <v>0.38124999999999998</v>
      </c>
      <c r="AA379">
        <v>86</v>
      </c>
      <c r="AB379">
        <v>15.6</v>
      </c>
      <c r="AD379">
        <v>21</v>
      </c>
      <c r="AE379">
        <v>45.5</v>
      </c>
      <c r="AF379">
        <v>19.746240428868305</v>
      </c>
      <c r="AG379">
        <v>43.50873479879084</v>
      </c>
      <c r="AH379">
        <v>63.254975227659145</v>
      </c>
      <c r="AI379">
        <v>2.3103101301775917</v>
      </c>
      <c r="AJ379">
        <v>6.7873626286113709</v>
      </c>
      <c r="AK379">
        <v>9.0976727587889634</v>
      </c>
      <c r="AL379">
        <v>137.60560600728081</v>
      </c>
      <c r="AM379">
        <v>51.945158056568516</v>
      </c>
      <c r="AN379">
        <v>3.7749303653966009</v>
      </c>
      <c r="AO379">
        <v>11.7</v>
      </c>
      <c r="AP379">
        <v>14.382541019178007</v>
      </c>
      <c r="AQ379">
        <v>19.791182728685637</v>
      </c>
      <c r="AR379">
        <v>38.100149213393379</v>
      </c>
      <c r="AS379">
        <v>-0.6555089030261031</v>
      </c>
      <c r="AT379">
        <v>10.984448822426215</v>
      </c>
      <c r="AU379">
        <v>21.146241985565045</v>
      </c>
    </row>
    <row r="380" spans="1:47" x14ac:dyDescent="0.35">
      <c r="A380">
        <v>378</v>
      </c>
      <c r="B380">
        <v>46048</v>
      </c>
      <c r="C380" t="s">
        <v>16</v>
      </c>
      <c r="D380" t="s">
        <v>218</v>
      </c>
      <c r="E380" t="s">
        <v>219</v>
      </c>
      <c r="F380" t="s">
        <v>220</v>
      </c>
      <c r="G380" t="s">
        <v>221</v>
      </c>
      <c r="H380" t="s">
        <v>22</v>
      </c>
      <c r="I380" t="s">
        <v>23</v>
      </c>
      <c r="J380" t="s">
        <v>215</v>
      </c>
      <c r="K380" t="s">
        <v>217</v>
      </c>
      <c r="L380">
        <v>28</v>
      </c>
      <c r="M380">
        <v>60</v>
      </c>
      <c r="N380">
        <v>1</v>
      </c>
      <c r="O380">
        <v>2</v>
      </c>
      <c r="P380">
        <v>36</v>
      </c>
      <c r="Q380">
        <v>0.50009999999999999</v>
      </c>
      <c r="R380">
        <v>459.77506337465019</v>
      </c>
      <c r="S380">
        <v>190.5750633746502</v>
      </c>
      <c r="T380">
        <v>0.38055555555555554</v>
      </c>
      <c r="U380">
        <v>41.5</v>
      </c>
      <c r="V380">
        <v>0.7104166666666667</v>
      </c>
      <c r="W380">
        <v>72.5</v>
      </c>
      <c r="X380">
        <v>11.4</v>
      </c>
      <c r="Y380">
        <v>40.5</v>
      </c>
      <c r="Z380">
        <v>0.38194444444444442</v>
      </c>
      <c r="AA380">
        <v>86.5</v>
      </c>
      <c r="AB380">
        <v>15.5</v>
      </c>
      <c r="AD380">
        <v>31</v>
      </c>
      <c r="AE380">
        <v>46</v>
      </c>
      <c r="AF380">
        <v>29.746240428868305</v>
      </c>
      <c r="AG380">
        <v>44.00873479879084</v>
      </c>
      <c r="AH380">
        <v>73.754975227659145</v>
      </c>
      <c r="AI380">
        <v>3.391071408890987</v>
      </c>
      <c r="AJ380">
        <v>6.8213538938125806</v>
      </c>
      <c r="AK380">
        <v>10.212425302703569</v>
      </c>
      <c r="AL380">
        <v>160.415344595493</v>
      </c>
      <c r="AM380">
        <v>41.449630168254487</v>
      </c>
      <c r="AN380">
        <v>2.5838943445700173</v>
      </c>
      <c r="AO380">
        <v>11.400000000000002</v>
      </c>
      <c r="AP380">
        <v>13.846422253117057</v>
      </c>
      <c r="AQ380">
        <v>22.211785971484755</v>
      </c>
      <c r="AR380">
        <v>53.587416537425113</v>
      </c>
      <c r="AS380">
        <v>-0.26354134168899213</v>
      </c>
      <c r="AT380">
        <v>12.327925501128563</v>
      </c>
      <c r="AU380">
        <v>29.741943296204109</v>
      </c>
    </row>
    <row r="381" spans="1:47" x14ac:dyDescent="0.35">
      <c r="A381">
        <v>379</v>
      </c>
      <c r="B381">
        <v>46048</v>
      </c>
      <c r="C381" t="s">
        <v>16</v>
      </c>
      <c r="D381" t="s">
        <v>218</v>
      </c>
      <c r="E381" t="s">
        <v>219</v>
      </c>
      <c r="F381" t="s">
        <v>220</v>
      </c>
      <c r="G381" t="s">
        <v>221</v>
      </c>
      <c r="H381" t="s">
        <v>22</v>
      </c>
      <c r="I381" t="s">
        <v>23</v>
      </c>
      <c r="J381" t="s">
        <v>215</v>
      </c>
      <c r="K381" t="s">
        <v>217</v>
      </c>
      <c r="L381">
        <v>28</v>
      </c>
      <c r="M381">
        <v>60</v>
      </c>
      <c r="N381">
        <v>1</v>
      </c>
      <c r="O381">
        <v>3</v>
      </c>
      <c r="P381">
        <v>37</v>
      </c>
      <c r="Q381">
        <v>0.50049999999999994</v>
      </c>
      <c r="R381">
        <v>460.14280987604957</v>
      </c>
      <c r="S381">
        <v>196.84280987604961</v>
      </c>
      <c r="T381">
        <v>0.38194444444444442</v>
      </c>
      <c r="U381">
        <v>41</v>
      </c>
      <c r="V381">
        <v>0.71180555555555558</v>
      </c>
      <c r="W381">
        <v>70</v>
      </c>
      <c r="X381">
        <v>11.2</v>
      </c>
      <c r="Y381">
        <v>40</v>
      </c>
      <c r="Z381">
        <v>0.38194444444444442</v>
      </c>
      <c r="AA381">
        <v>97</v>
      </c>
      <c r="AB381">
        <v>15.2</v>
      </c>
      <c r="AD381">
        <v>29</v>
      </c>
      <c r="AE381">
        <v>57</v>
      </c>
      <c r="AF381">
        <v>27.746240428868305</v>
      </c>
      <c r="AG381">
        <v>55.00873479879084</v>
      </c>
      <c r="AH381">
        <v>82.754975227659145</v>
      </c>
      <c r="AI381">
        <v>3.10757892803325</v>
      </c>
      <c r="AJ381">
        <v>8.361327689416207</v>
      </c>
      <c r="AK381">
        <v>11.468906617449457</v>
      </c>
      <c r="AL381">
        <v>179.84628565629694</v>
      </c>
      <c r="AM381">
        <v>42.778634295964309</v>
      </c>
      <c r="AN381">
        <v>2.3786220627162846</v>
      </c>
      <c r="AO381">
        <v>11.199999999999998</v>
      </c>
      <c r="AP381">
        <v>13.858872636839617</v>
      </c>
      <c r="AQ381">
        <v>24.924667671192953</v>
      </c>
      <c r="AR381">
        <v>58.264290296766944</v>
      </c>
      <c r="AS381">
        <v>-0.3221483357556465</v>
      </c>
      <c r="AT381">
        <v>13.833621780136156</v>
      </c>
      <c r="AU381">
        <v>32.337689147409748</v>
      </c>
    </row>
    <row r="382" spans="1:47" x14ac:dyDescent="0.35">
      <c r="A382">
        <v>380</v>
      </c>
      <c r="B382">
        <v>46048</v>
      </c>
      <c r="C382" t="s">
        <v>16</v>
      </c>
      <c r="D382" t="s">
        <v>223</v>
      </c>
      <c r="E382" t="s">
        <v>219</v>
      </c>
      <c r="F382" t="s">
        <v>220</v>
      </c>
      <c r="G382" t="s">
        <v>221</v>
      </c>
      <c r="H382" t="s">
        <v>22</v>
      </c>
      <c r="I382" t="s">
        <v>23</v>
      </c>
      <c r="J382" t="s">
        <v>215</v>
      </c>
      <c r="K382" t="s">
        <v>222</v>
      </c>
      <c r="L382">
        <v>28</v>
      </c>
      <c r="M382">
        <v>60</v>
      </c>
      <c r="N382">
        <v>1</v>
      </c>
      <c r="O382">
        <v>1</v>
      </c>
      <c r="P382">
        <v>38</v>
      </c>
      <c r="Q382">
        <v>0.50029999999999997</v>
      </c>
      <c r="R382">
        <v>457.41856528752805</v>
      </c>
      <c r="S382">
        <v>224.01856528752799</v>
      </c>
      <c r="T382">
        <v>0.38194444444444442</v>
      </c>
      <c r="U382">
        <v>40.5</v>
      </c>
      <c r="V382">
        <v>0.71250000000000002</v>
      </c>
      <c r="W382">
        <v>80.5</v>
      </c>
      <c r="X382">
        <v>12.4</v>
      </c>
      <c r="Y382">
        <v>40.5</v>
      </c>
      <c r="Z382">
        <v>0.38263888888888886</v>
      </c>
      <c r="AA382">
        <v>88.5</v>
      </c>
      <c r="AB382">
        <v>16.7</v>
      </c>
      <c r="AD382">
        <v>40</v>
      </c>
      <c r="AE382">
        <v>48</v>
      </c>
      <c r="AF382">
        <v>38.746240428868305</v>
      </c>
      <c r="AG382">
        <v>46.00873479879084</v>
      </c>
      <c r="AH382">
        <v>84.754975227659145</v>
      </c>
      <c r="AI382">
        <v>4.8045338131796695</v>
      </c>
      <c r="AJ382">
        <v>7.6834587113980692</v>
      </c>
      <c r="AK382">
        <v>12.487992524577738</v>
      </c>
      <c r="AL382">
        <v>185.28975791435826</v>
      </c>
      <c r="AM382">
        <v>48.974524054727098</v>
      </c>
      <c r="AN382">
        <v>2.6431317416564029</v>
      </c>
      <c r="AO382">
        <v>12.399999999999999</v>
      </c>
      <c r="AP382">
        <v>14.734229455007116</v>
      </c>
      <c r="AQ382">
        <v>27.30101808772875</v>
      </c>
      <c r="AR382">
        <v>55.745346411577053</v>
      </c>
      <c r="AS382">
        <v>-1.0199826666914336</v>
      </c>
      <c r="AT382">
        <v>15.152537374642533</v>
      </c>
      <c r="AU382">
        <v>30.939631710785324</v>
      </c>
    </row>
    <row r="383" spans="1:47" x14ac:dyDescent="0.35">
      <c r="A383">
        <v>381</v>
      </c>
      <c r="B383">
        <v>46048</v>
      </c>
      <c r="C383" t="s">
        <v>16</v>
      </c>
      <c r="D383" t="s">
        <v>223</v>
      </c>
      <c r="E383" t="s">
        <v>219</v>
      </c>
      <c r="F383" t="s">
        <v>220</v>
      </c>
      <c r="G383" t="s">
        <v>221</v>
      </c>
      <c r="H383" t="s">
        <v>22</v>
      </c>
      <c r="I383" t="s">
        <v>23</v>
      </c>
      <c r="J383" t="s">
        <v>215</v>
      </c>
      <c r="K383" t="s">
        <v>222</v>
      </c>
      <c r="L383">
        <v>28</v>
      </c>
      <c r="M383">
        <v>60</v>
      </c>
      <c r="N383">
        <v>1</v>
      </c>
      <c r="O383">
        <v>2</v>
      </c>
      <c r="P383">
        <v>39</v>
      </c>
      <c r="Q383">
        <v>0.50029999999999997</v>
      </c>
      <c r="R383">
        <v>457.41856528752805</v>
      </c>
      <c r="S383">
        <v>249.71856528752807</v>
      </c>
      <c r="T383">
        <v>0.38263888888888886</v>
      </c>
      <c r="U383">
        <v>41</v>
      </c>
      <c r="V383">
        <v>0.71250000000000002</v>
      </c>
      <c r="W383">
        <v>79</v>
      </c>
      <c r="X383">
        <v>12.3</v>
      </c>
      <c r="Y383">
        <v>40.5</v>
      </c>
      <c r="Z383">
        <v>0.38333333333333336</v>
      </c>
      <c r="AA383">
        <v>89</v>
      </c>
      <c r="AB383">
        <v>16.5</v>
      </c>
      <c r="AD383">
        <v>38</v>
      </c>
      <c r="AE383">
        <v>48.5</v>
      </c>
      <c r="AF383">
        <v>36.746240428868305</v>
      </c>
      <c r="AG383">
        <v>46.50873479879084</v>
      </c>
      <c r="AH383">
        <v>83.254975227659145</v>
      </c>
      <c r="AI383">
        <v>4.5197875727508023</v>
      </c>
      <c r="AJ383">
        <v>7.6739412418004891</v>
      </c>
      <c r="AK383">
        <v>12.193728814551292</v>
      </c>
      <c r="AL383">
        <v>182.01048568137153</v>
      </c>
      <c r="AM383">
        <v>54.593010480577639</v>
      </c>
      <c r="AN383">
        <v>2.9994431516516267</v>
      </c>
      <c r="AO383">
        <v>12.300000000000002</v>
      </c>
      <c r="AP383">
        <v>14.646246402942014</v>
      </c>
      <c r="AQ383">
        <v>26.657704212085168</v>
      </c>
      <c r="AR383">
        <v>48.829884956736514</v>
      </c>
      <c r="AS383">
        <v>105.17933958816558</v>
      </c>
      <c r="AT383">
        <v>14.795487043662495</v>
      </c>
      <c r="AU383">
        <v>27.101430958686976</v>
      </c>
    </row>
    <row r="384" spans="1:47" x14ac:dyDescent="0.35">
      <c r="A384">
        <v>382</v>
      </c>
      <c r="B384">
        <v>46048</v>
      </c>
      <c r="C384" t="s">
        <v>16</v>
      </c>
      <c r="D384" t="s">
        <v>223</v>
      </c>
      <c r="E384" t="s">
        <v>219</v>
      </c>
      <c r="F384" t="s">
        <v>220</v>
      </c>
      <c r="G384" t="s">
        <v>221</v>
      </c>
      <c r="H384" t="s">
        <v>22</v>
      </c>
      <c r="I384" t="s">
        <v>23</v>
      </c>
      <c r="J384" t="s">
        <v>215</v>
      </c>
      <c r="K384" t="s">
        <v>222</v>
      </c>
      <c r="L384">
        <v>28</v>
      </c>
      <c r="M384">
        <v>60</v>
      </c>
      <c r="N384">
        <v>1</v>
      </c>
      <c r="O384">
        <v>3</v>
      </c>
      <c r="P384">
        <v>40</v>
      </c>
      <c r="Q384">
        <v>0.50039999999999996</v>
      </c>
      <c r="R384">
        <v>457.50999414327208</v>
      </c>
      <c r="S384">
        <v>265.30999414327204</v>
      </c>
      <c r="T384">
        <v>0.38263888888888886</v>
      </c>
      <c r="U384">
        <v>40.5</v>
      </c>
      <c r="V384">
        <v>0.71319444444444446</v>
      </c>
      <c r="W384">
        <v>79</v>
      </c>
      <c r="X384">
        <v>12.8</v>
      </c>
      <c r="Y384">
        <v>40</v>
      </c>
      <c r="Z384">
        <v>0.38333333333333336</v>
      </c>
      <c r="AA384">
        <v>89.5</v>
      </c>
      <c r="AB384">
        <v>16.8</v>
      </c>
      <c r="AD384">
        <v>38.5</v>
      </c>
      <c r="AE384">
        <v>49.5</v>
      </c>
      <c r="AF384">
        <v>37.246240428868305</v>
      </c>
      <c r="AG384">
        <v>47.50873479879084</v>
      </c>
      <c r="AH384">
        <v>84.754975227659145</v>
      </c>
      <c r="AI384">
        <v>4.7675187748951435</v>
      </c>
      <c r="AJ384">
        <v>7.981467446196862</v>
      </c>
      <c r="AK384">
        <v>12.748986221092006</v>
      </c>
      <c r="AL384">
        <v>185.25272958543854</v>
      </c>
      <c r="AM384">
        <v>57.989988752068342</v>
      </c>
      <c r="AN384">
        <v>3.130317641302196</v>
      </c>
      <c r="AO384">
        <v>12.8</v>
      </c>
      <c r="AP384">
        <v>15.042168541548309</v>
      </c>
      <c r="AQ384">
        <v>27.866027812060388</v>
      </c>
      <c r="AR384">
        <v>48.053169886270211</v>
      </c>
      <c r="AS384">
        <v>1.6800538943096321</v>
      </c>
      <c r="AT384">
        <v>15.466127546901339</v>
      </c>
      <c r="AU384">
        <v>26.670340656601184</v>
      </c>
    </row>
    <row r="385" spans="1:47" x14ac:dyDescent="0.35">
      <c r="A385">
        <v>383</v>
      </c>
      <c r="B385">
        <v>46048</v>
      </c>
      <c r="C385" t="s">
        <v>16</v>
      </c>
      <c r="D385" t="s">
        <v>225</v>
      </c>
      <c r="E385" t="s">
        <v>226</v>
      </c>
      <c r="F385" t="s">
        <v>227</v>
      </c>
      <c r="G385" t="s">
        <v>228</v>
      </c>
      <c r="H385" t="s">
        <v>22</v>
      </c>
      <c r="I385" t="s">
        <v>23</v>
      </c>
      <c r="J385" t="s">
        <v>215</v>
      </c>
      <c r="K385" t="s">
        <v>224</v>
      </c>
      <c r="L385">
        <v>28</v>
      </c>
      <c r="M385">
        <v>60</v>
      </c>
      <c r="N385">
        <v>1</v>
      </c>
      <c r="O385">
        <v>1</v>
      </c>
      <c r="P385">
        <v>41</v>
      </c>
      <c r="Q385">
        <v>0.50019999999999998</v>
      </c>
      <c r="R385">
        <v>455.59780726613326</v>
      </c>
      <c r="S385">
        <v>201.29780726613328</v>
      </c>
      <c r="T385">
        <v>0.38263888888888886</v>
      </c>
      <c r="U385">
        <v>41</v>
      </c>
      <c r="V385">
        <v>0.71319444444444446</v>
      </c>
      <c r="W385">
        <v>74.5</v>
      </c>
      <c r="X385">
        <v>11.6</v>
      </c>
      <c r="Y385">
        <v>40</v>
      </c>
      <c r="Z385">
        <v>0.38333333333333336</v>
      </c>
      <c r="AA385">
        <v>75</v>
      </c>
      <c r="AB385">
        <v>15</v>
      </c>
      <c r="AD385">
        <v>33.5</v>
      </c>
      <c r="AE385">
        <v>35</v>
      </c>
      <c r="AF385">
        <v>32.246240428868305</v>
      </c>
      <c r="AG385">
        <v>33.00873479879084</v>
      </c>
      <c r="AH385">
        <v>65.254975227659145</v>
      </c>
      <c r="AI385">
        <v>3.740563889748723</v>
      </c>
      <c r="AJ385">
        <v>4.9513102198186258</v>
      </c>
      <c r="AK385">
        <v>8.6918741095673493</v>
      </c>
      <c r="AL385">
        <v>143.22934436236446</v>
      </c>
      <c r="AM385">
        <v>44.183225655549968</v>
      </c>
      <c r="AN385">
        <v>3.0847886550236656</v>
      </c>
      <c r="AO385">
        <v>11.599999999999998</v>
      </c>
      <c r="AP385">
        <v>13.319864239076731</v>
      </c>
      <c r="AQ385">
        <v>19.077954219586641</v>
      </c>
      <c r="AR385">
        <v>43.179179284729777</v>
      </c>
      <c r="AS385">
        <v>-0.38831270344673485</v>
      </c>
      <c r="AT385">
        <v>10.588594660282691</v>
      </c>
      <c r="AU385">
        <v>23.965191547649329</v>
      </c>
    </row>
    <row r="386" spans="1:47" x14ac:dyDescent="0.35">
      <c r="A386">
        <v>384</v>
      </c>
      <c r="B386">
        <v>46048</v>
      </c>
      <c r="C386" t="s">
        <v>16</v>
      </c>
      <c r="D386" t="s">
        <v>225</v>
      </c>
      <c r="E386" t="s">
        <v>226</v>
      </c>
      <c r="F386" t="s">
        <v>227</v>
      </c>
      <c r="G386" t="s">
        <v>228</v>
      </c>
      <c r="H386" t="s">
        <v>22</v>
      </c>
      <c r="I386" t="s">
        <v>23</v>
      </c>
      <c r="J386" t="s">
        <v>215</v>
      </c>
      <c r="K386" t="s">
        <v>224</v>
      </c>
      <c r="L386">
        <v>28</v>
      </c>
      <c r="M386">
        <v>60</v>
      </c>
      <c r="N386">
        <v>1</v>
      </c>
      <c r="O386">
        <v>2</v>
      </c>
      <c r="P386">
        <v>42</v>
      </c>
      <c r="Q386">
        <v>0.50039999999999996</v>
      </c>
      <c r="R386">
        <v>455.7799735225372</v>
      </c>
      <c r="S386">
        <v>124.77997352253726</v>
      </c>
      <c r="T386">
        <v>0.38263888888888886</v>
      </c>
      <c r="U386">
        <v>40</v>
      </c>
      <c r="V386">
        <v>0.71388888888888891</v>
      </c>
      <c r="W386">
        <v>73.5</v>
      </c>
      <c r="X386">
        <v>11.8</v>
      </c>
      <c r="Y386">
        <v>40</v>
      </c>
      <c r="Z386">
        <v>0.3840277777777778</v>
      </c>
      <c r="AA386">
        <v>72.5</v>
      </c>
      <c r="AB386">
        <v>15.1</v>
      </c>
      <c r="AD386">
        <v>33.5</v>
      </c>
      <c r="AE386">
        <v>32.5</v>
      </c>
      <c r="AF386">
        <v>32.246240428868305</v>
      </c>
      <c r="AG386">
        <v>30.508734798790837</v>
      </c>
      <c r="AH386">
        <v>62.754975227659145</v>
      </c>
      <c r="AI386">
        <v>3.8050563706064602</v>
      </c>
      <c r="AJ386">
        <v>4.6068189546174159</v>
      </c>
      <c r="AK386">
        <v>8.4118753252238765</v>
      </c>
      <c r="AL386">
        <v>137.68699564101419</v>
      </c>
      <c r="AM386">
        <v>27.377239188059061</v>
      </c>
      <c r="AN386">
        <v>1.9883678237441278</v>
      </c>
      <c r="AO386">
        <v>11.8</v>
      </c>
      <c r="AP386">
        <v>13.404316223068728</v>
      </c>
      <c r="AQ386">
        <v>18.456000293764397</v>
      </c>
      <c r="AR386">
        <v>67.413664931613056</v>
      </c>
      <c r="AS386">
        <v>-0.1420146330584503</v>
      </c>
      <c r="AT386">
        <v>10.243399471002801</v>
      </c>
      <c r="AU386">
        <v>37.415750363428145</v>
      </c>
    </row>
    <row r="387" spans="1:47" x14ac:dyDescent="0.35">
      <c r="A387">
        <v>385</v>
      </c>
      <c r="B387">
        <v>46048</v>
      </c>
      <c r="C387" t="s">
        <v>16</v>
      </c>
      <c r="D387" t="s">
        <v>225</v>
      </c>
      <c r="E387" t="s">
        <v>226</v>
      </c>
      <c r="F387" t="s">
        <v>227</v>
      </c>
      <c r="G387" t="s">
        <v>228</v>
      </c>
      <c r="H387" t="s">
        <v>22</v>
      </c>
      <c r="I387" t="s">
        <v>23</v>
      </c>
      <c r="J387" t="s">
        <v>215</v>
      </c>
      <c r="K387" t="s">
        <v>224</v>
      </c>
      <c r="L387">
        <v>28</v>
      </c>
      <c r="M387">
        <v>60</v>
      </c>
      <c r="N387">
        <v>1</v>
      </c>
      <c r="O387">
        <v>3</v>
      </c>
      <c r="P387">
        <v>43</v>
      </c>
      <c r="Q387">
        <v>0.50039999999999996</v>
      </c>
      <c r="R387">
        <v>455.7799735225372</v>
      </c>
      <c r="S387">
        <v>216.47997352253714</v>
      </c>
      <c r="T387">
        <v>0.38333333333333336</v>
      </c>
      <c r="U387">
        <v>40.5</v>
      </c>
      <c r="V387">
        <v>0.71458333333333335</v>
      </c>
      <c r="W387">
        <v>74</v>
      </c>
      <c r="X387">
        <v>11.8</v>
      </c>
      <c r="Y387">
        <v>40</v>
      </c>
      <c r="Z387">
        <v>0.3840277777777778</v>
      </c>
      <c r="AA387">
        <v>75.5</v>
      </c>
      <c r="AB387">
        <v>14.8</v>
      </c>
      <c r="AD387">
        <v>33.5</v>
      </c>
      <c r="AE387">
        <v>35.5</v>
      </c>
      <c r="AF387">
        <v>32.246240428868305</v>
      </c>
      <c r="AG387">
        <v>33.50873479879084</v>
      </c>
      <c r="AH387">
        <v>65.754975227659145</v>
      </c>
      <c r="AI387">
        <v>3.8050563706064602</v>
      </c>
      <c r="AJ387">
        <v>4.9592927502210449</v>
      </c>
      <c r="AK387">
        <v>8.7643491208275055</v>
      </c>
      <c r="AL387">
        <v>144.26911897744387</v>
      </c>
      <c r="AM387">
        <v>47.496596186412461</v>
      </c>
      <c r="AN387">
        <v>3.2922219615022694</v>
      </c>
      <c r="AO387">
        <v>11.8</v>
      </c>
      <c r="AP387">
        <v>13.328799973664767</v>
      </c>
      <c r="AQ387">
        <v>19.229342292271934</v>
      </c>
      <c r="AR387">
        <v>40.485727054632484</v>
      </c>
      <c r="AS387">
        <v>-0.57969830817762369</v>
      </c>
      <c r="AT387">
        <v>10.672617659793833</v>
      </c>
      <c r="AU387">
        <v>22.47027896042578</v>
      </c>
    </row>
    <row r="388" spans="1:47" x14ac:dyDescent="0.35">
      <c r="A388">
        <v>386</v>
      </c>
      <c r="B388">
        <v>46048</v>
      </c>
      <c r="C388" t="s">
        <v>16</v>
      </c>
      <c r="D388" t="s">
        <v>230</v>
      </c>
      <c r="E388" t="s">
        <v>226</v>
      </c>
      <c r="F388" t="s">
        <v>231</v>
      </c>
      <c r="G388" t="s">
        <v>232</v>
      </c>
      <c r="H388" t="s">
        <v>22</v>
      </c>
      <c r="I388" t="s">
        <v>23</v>
      </c>
      <c r="J388" t="s">
        <v>215</v>
      </c>
      <c r="K388" t="s">
        <v>229</v>
      </c>
      <c r="L388">
        <v>28</v>
      </c>
      <c r="M388">
        <v>60</v>
      </c>
      <c r="N388">
        <v>1</v>
      </c>
      <c r="O388">
        <v>1</v>
      </c>
      <c r="P388">
        <v>44</v>
      </c>
      <c r="Q388">
        <v>0.5</v>
      </c>
      <c r="R388">
        <v>464.98905795494943</v>
      </c>
      <c r="S388">
        <v>230.28905795494941</v>
      </c>
      <c r="T388">
        <v>0.38333333333333336</v>
      </c>
      <c r="U388">
        <v>40.5</v>
      </c>
      <c r="V388">
        <v>0.71527777777777779</v>
      </c>
      <c r="W388">
        <v>72</v>
      </c>
      <c r="X388">
        <v>12.7</v>
      </c>
      <c r="Y388">
        <v>40.5</v>
      </c>
      <c r="Z388">
        <v>0.38472222222222224</v>
      </c>
      <c r="AA388">
        <v>84</v>
      </c>
      <c r="AB388">
        <v>14.9</v>
      </c>
      <c r="AD388">
        <v>31.5</v>
      </c>
      <c r="AE388">
        <v>43.5</v>
      </c>
      <c r="AF388">
        <v>30.246240428868305</v>
      </c>
      <c r="AG388">
        <v>41.50873479879084</v>
      </c>
      <c r="AH388">
        <v>71.754975227659145</v>
      </c>
      <c r="AI388">
        <v>3.8412725344662748</v>
      </c>
      <c r="AJ388">
        <v>6.1848014850198352</v>
      </c>
      <c r="AK388">
        <v>10.02607401948611</v>
      </c>
      <c r="AL388">
        <v>154.31540592211343</v>
      </c>
      <c r="AM388">
        <v>49.525693995418926</v>
      </c>
      <c r="AN388">
        <v>3.2093810530113691</v>
      </c>
      <c r="AO388">
        <v>12.700000000000001</v>
      </c>
      <c r="AP388">
        <v>13.97265344692279</v>
      </c>
      <c r="AQ388">
        <v>21.561956884709076</v>
      </c>
      <c r="AR388">
        <v>43.536910127303898</v>
      </c>
      <c r="AS388">
        <v>5.3515608659344922</v>
      </c>
      <c r="AT388">
        <v>11.967259115250297</v>
      </c>
      <c r="AU388">
        <v>24.163738354392883</v>
      </c>
    </row>
    <row r="389" spans="1:47" x14ac:dyDescent="0.35">
      <c r="A389">
        <v>387</v>
      </c>
      <c r="B389">
        <v>46048</v>
      </c>
      <c r="C389" t="s">
        <v>16</v>
      </c>
      <c r="D389" t="s">
        <v>230</v>
      </c>
      <c r="E389" t="s">
        <v>226</v>
      </c>
      <c r="F389" t="s">
        <v>231</v>
      </c>
      <c r="G389" t="s">
        <v>232</v>
      </c>
      <c r="H389" t="s">
        <v>22</v>
      </c>
      <c r="I389" t="s">
        <v>23</v>
      </c>
      <c r="J389" t="s">
        <v>215</v>
      </c>
      <c r="K389" t="s">
        <v>229</v>
      </c>
      <c r="L389">
        <v>28</v>
      </c>
      <c r="M389">
        <v>60</v>
      </c>
      <c r="N389">
        <v>1</v>
      </c>
      <c r="O389">
        <v>2</v>
      </c>
      <c r="P389">
        <v>45</v>
      </c>
      <c r="Q389">
        <v>0.50039999999999996</v>
      </c>
      <c r="R389">
        <v>465.36104920131339</v>
      </c>
      <c r="S389">
        <v>192.06104920131338</v>
      </c>
      <c r="T389">
        <v>0.38333333333333336</v>
      </c>
      <c r="U389">
        <v>41.5</v>
      </c>
      <c r="V389">
        <v>0.71527777777777779</v>
      </c>
      <c r="W389">
        <v>71.5</v>
      </c>
      <c r="X389">
        <v>12.2</v>
      </c>
      <c r="Y389">
        <v>40</v>
      </c>
      <c r="Z389">
        <v>0.38472222222222224</v>
      </c>
      <c r="AA389">
        <v>85</v>
      </c>
      <c r="AB389">
        <v>14.6</v>
      </c>
      <c r="AD389">
        <v>30</v>
      </c>
      <c r="AE389">
        <v>45</v>
      </c>
      <c r="AF389">
        <v>28.746240428868305</v>
      </c>
      <c r="AG389">
        <v>43.00873479879084</v>
      </c>
      <c r="AH389">
        <v>71.754975227659145</v>
      </c>
      <c r="AI389">
        <v>3.5070413323219332</v>
      </c>
      <c r="AJ389">
        <v>6.2792752806234624</v>
      </c>
      <c r="AK389">
        <v>9.7863166129453951</v>
      </c>
      <c r="AL389">
        <v>154.19205228028918</v>
      </c>
      <c r="AM389">
        <v>41.271406262071693</v>
      </c>
      <c r="AN389">
        <v>2.6766234479484603</v>
      </c>
      <c r="AO389">
        <v>12.200000000000001</v>
      </c>
      <c r="AP389">
        <v>13.638519951956024</v>
      </c>
      <c r="AQ389">
        <v>21.029513814577705</v>
      </c>
      <c r="AR389">
        <v>50.954197395264842</v>
      </c>
      <c r="AS389">
        <v>-0.69046190830715604</v>
      </c>
      <c r="AT389">
        <v>11.671743999509564</v>
      </c>
      <c r="AU389">
        <v>28.280461114880559</v>
      </c>
    </row>
    <row r="390" spans="1:47" x14ac:dyDescent="0.35">
      <c r="A390">
        <v>388</v>
      </c>
      <c r="B390">
        <v>46048</v>
      </c>
      <c r="C390" t="s">
        <v>16</v>
      </c>
      <c r="D390" t="s">
        <v>230</v>
      </c>
      <c r="E390" t="s">
        <v>226</v>
      </c>
      <c r="F390" t="s">
        <v>231</v>
      </c>
      <c r="G390" t="s">
        <v>232</v>
      </c>
      <c r="H390" t="s">
        <v>22</v>
      </c>
      <c r="I390" t="s">
        <v>23</v>
      </c>
      <c r="J390" t="s">
        <v>215</v>
      </c>
      <c r="K390" t="s">
        <v>229</v>
      </c>
      <c r="L390">
        <v>28</v>
      </c>
      <c r="M390">
        <v>60</v>
      </c>
      <c r="N390">
        <v>1</v>
      </c>
      <c r="O390">
        <v>3</v>
      </c>
      <c r="P390">
        <v>46</v>
      </c>
      <c r="Q390">
        <v>0.50019999999999998</v>
      </c>
      <c r="R390">
        <v>465.17505357813138</v>
      </c>
      <c r="S390">
        <v>140.57505357813136</v>
      </c>
      <c r="T390">
        <v>0.3840277777777778</v>
      </c>
      <c r="U390">
        <v>40.5</v>
      </c>
      <c r="V390">
        <v>0.71597222222222223</v>
      </c>
      <c r="W390">
        <v>73</v>
      </c>
      <c r="X390">
        <v>13</v>
      </c>
      <c r="Y390">
        <v>40.5</v>
      </c>
      <c r="Z390">
        <v>0.38541666666666669</v>
      </c>
      <c r="AA390">
        <v>84.5</v>
      </c>
      <c r="AB390">
        <v>15</v>
      </c>
      <c r="AD390">
        <v>32.5</v>
      </c>
      <c r="AE390">
        <v>44</v>
      </c>
      <c r="AF390">
        <v>31.246240428868305</v>
      </c>
      <c r="AG390">
        <v>42.00873479879084</v>
      </c>
      <c r="AH390">
        <v>73.254975227659145</v>
      </c>
      <c r="AI390">
        <v>4.0620112557528794</v>
      </c>
      <c r="AJ390">
        <v>6.3013102198186255</v>
      </c>
      <c r="AK390">
        <v>10.363321475571505</v>
      </c>
      <c r="AL390">
        <v>157.47829696408076</v>
      </c>
      <c r="AM390">
        <v>30.219817786191793</v>
      </c>
      <c r="AN390">
        <v>1.9189830198052396</v>
      </c>
      <c r="AO390">
        <v>13</v>
      </c>
      <c r="AP390">
        <v>14.146918271919077</v>
      </c>
      <c r="AQ390">
        <v>22.278325967518526</v>
      </c>
      <c r="AR390">
        <v>73.720914285916237</v>
      </c>
      <c r="AS390">
        <v>-0.29062415258331631</v>
      </c>
      <c r="AT390">
        <v>12.364856350138307</v>
      </c>
      <c r="AU390">
        <v>40.916382877027559</v>
      </c>
    </row>
    <row r="391" spans="1:47" x14ac:dyDescent="0.35">
      <c r="A391">
        <v>389</v>
      </c>
      <c r="B391">
        <v>46048</v>
      </c>
      <c r="C391" t="s">
        <v>16</v>
      </c>
      <c r="D391" t="s">
        <v>234</v>
      </c>
      <c r="E391" t="s">
        <v>235</v>
      </c>
      <c r="F391" t="s">
        <v>236</v>
      </c>
      <c r="G391" t="s">
        <v>237</v>
      </c>
      <c r="H391" t="s">
        <v>22</v>
      </c>
      <c r="I391" t="s">
        <v>23</v>
      </c>
      <c r="J391" t="s">
        <v>215</v>
      </c>
      <c r="K391" t="s">
        <v>233</v>
      </c>
      <c r="L391">
        <v>28</v>
      </c>
      <c r="M391">
        <v>60</v>
      </c>
      <c r="N391">
        <v>1</v>
      </c>
      <c r="O391">
        <v>1</v>
      </c>
      <c r="P391">
        <v>47</v>
      </c>
      <c r="Q391">
        <v>0.5</v>
      </c>
      <c r="R391">
        <v>444.23901772157853</v>
      </c>
      <c r="S391">
        <v>199.43901772157852</v>
      </c>
      <c r="T391">
        <v>0.3840277777777778</v>
      </c>
      <c r="U391">
        <v>41</v>
      </c>
      <c r="V391">
        <v>0.71597222222222223</v>
      </c>
      <c r="W391">
        <v>83.5</v>
      </c>
      <c r="X391">
        <v>13.6</v>
      </c>
      <c r="Y391">
        <v>40</v>
      </c>
      <c r="Z391">
        <v>0.38541666666666669</v>
      </c>
      <c r="AA391">
        <v>91.5</v>
      </c>
      <c r="AB391">
        <v>15.9</v>
      </c>
      <c r="AD391">
        <v>42.5</v>
      </c>
      <c r="AE391">
        <v>51.5</v>
      </c>
      <c r="AF391">
        <v>41.246240428868305</v>
      </c>
      <c r="AG391">
        <v>49.50873479879084</v>
      </c>
      <c r="AH391">
        <v>90.754975227659145</v>
      </c>
      <c r="AI391">
        <v>5.6094886983260901</v>
      </c>
      <c r="AJ391">
        <v>7.8718888330077439</v>
      </c>
      <c r="AK391">
        <v>13.481377531333834</v>
      </c>
      <c r="AL391">
        <v>204.29312061134337</v>
      </c>
      <c r="AM391">
        <v>44.89452969360169</v>
      </c>
      <c r="AN391">
        <v>2.1975546488915358</v>
      </c>
      <c r="AO391">
        <v>13.600000000000001</v>
      </c>
      <c r="AP391">
        <v>14.854698045496411</v>
      </c>
      <c r="AQ391">
        <v>30.347126194536848</v>
      </c>
      <c r="AR391">
        <v>67.596489821034666</v>
      </c>
      <c r="AS391">
        <v>-1.7115271023164293</v>
      </c>
      <c r="AT391">
        <v>16.843180074753324</v>
      </c>
      <c r="AU391">
        <v>37.517221340117516</v>
      </c>
    </row>
    <row r="392" spans="1:47" x14ac:dyDescent="0.35">
      <c r="A392">
        <v>390</v>
      </c>
      <c r="B392">
        <v>46048</v>
      </c>
      <c r="C392" t="s">
        <v>16</v>
      </c>
      <c r="D392" t="s">
        <v>234</v>
      </c>
      <c r="E392" t="s">
        <v>235</v>
      </c>
      <c r="F392" t="s">
        <v>236</v>
      </c>
      <c r="G392" t="s">
        <v>237</v>
      </c>
      <c r="H392" t="s">
        <v>22</v>
      </c>
      <c r="I392" t="s">
        <v>23</v>
      </c>
      <c r="J392" t="s">
        <v>215</v>
      </c>
      <c r="K392" t="s">
        <v>233</v>
      </c>
      <c r="L392">
        <v>28</v>
      </c>
      <c r="M392">
        <v>60</v>
      </c>
      <c r="N392">
        <v>1</v>
      </c>
      <c r="O392">
        <v>2</v>
      </c>
      <c r="P392">
        <v>48</v>
      </c>
      <c r="Q392">
        <v>0.50009999999999999</v>
      </c>
      <c r="R392">
        <v>444.32786552512283</v>
      </c>
      <c r="S392">
        <v>230.9278655251228</v>
      </c>
      <c r="T392">
        <v>0.38472222222222224</v>
      </c>
      <c r="U392">
        <v>40.5</v>
      </c>
      <c r="V392">
        <v>0.71666666666666667</v>
      </c>
      <c r="W392">
        <v>86</v>
      </c>
      <c r="X392">
        <v>13.1</v>
      </c>
      <c r="Y392">
        <v>40</v>
      </c>
      <c r="Z392">
        <v>0.38611111111111113</v>
      </c>
      <c r="AA392">
        <v>91</v>
      </c>
      <c r="AB392">
        <v>16</v>
      </c>
      <c r="AD392">
        <v>45.5</v>
      </c>
      <c r="AE392">
        <v>51</v>
      </c>
      <c r="AF392">
        <v>44.246240428868305</v>
      </c>
      <c r="AG392">
        <v>49.00873479879084</v>
      </c>
      <c r="AH392">
        <v>93.254975227659145</v>
      </c>
      <c r="AI392">
        <v>5.7962574961817479</v>
      </c>
      <c r="AJ392">
        <v>7.8413975678065349</v>
      </c>
      <c r="AK392">
        <v>13.637655063988284</v>
      </c>
      <c r="AL392">
        <v>209.87874599637595</v>
      </c>
      <c r="AM392">
        <v>51.972402237749336</v>
      </c>
      <c r="AN392">
        <v>2.4763061162299285</v>
      </c>
      <c r="AO392">
        <v>13.1</v>
      </c>
      <c r="AP392">
        <v>14.624050921353305</v>
      </c>
      <c r="AQ392">
        <v>30.69277468760778</v>
      </c>
      <c r="AR392">
        <v>59.055909225059004</v>
      </c>
      <c r="AS392">
        <v>2.2808753513369879</v>
      </c>
      <c r="AT392">
        <v>17.035020968485426</v>
      </c>
      <c r="AU392">
        <v>32.777051348441049</v>
      </c>
    </row>
    <row r="393" spans="1:47" x14ac:dyDescent="0.35">
      <c r="A393">
        <v>391</v>
      </c>
      <c r="B393">
        <v>46048</v>
      </c>
      <c r="C393" t="s">
        <v>16</v>
      </c>
      <c r="D393" t="s">
        <v>234</v>
      </c>
      <c r="E393" t="s">
        <v>235</v>
      </c>
      <c r="F393" t="s">
        <v>236</v>
      </c>
      <c r="G393" t="s">
        <v>237</v>
      </c>
      <c r="H393" t="s">
        <v>22</v>
      </c>
      <c r="I393" t="s">
        <v>23</v>
      </c>
      <c r="J393" t="s">
        <v>215</v>
      </c>
      <c r="K393" t="s">
        <v>233</v>
      </c>
      <c r="L393">
        <v>28</v>
      </c>
      <c r="M393">
        <v>60</v>
      </c>
      <c r="N393">
        <v>1</v>
      </c>
      <c r="O393">
        <v>3</v>
      </c>
      <c r="P393">
        <v>49</v>
      </c>
      <c r="Q393">
        <v>0.50019999999999998</v>
      </c>
      <c r="R393">
        <v>444.41671332866719</v>
      </c>
      <c r="S393">
        <v>207.91671332866713</v>
      </c>
      <c r="T393">
        <v>0.38472222222222224</v>
      </c>
      <c r="U393">
        <v>40.5</v>
      </c>
      <c r="V393">
        <v>0.71736111111111112</v>
      </c>
      <c r="W393">
        <v>86</v>
      </c>
      <c r="X393">
        <v>13.1</v>
      </c>
      <c r="Y393">
        <v>40</v>
      </c>
      <c r="Z393">
        <v>0.38611111111111113</v>
      </c>
      <c r="AA393">
        <v>94.5</v>
      </c>
      <c r="AB393">
        <v>15.8</v>
      </c>
      <c r="AD393">
        <v>45.5</v>
      </c>
      <c r="AE393">
        <v>54.5</v>
      </c>
      <c r="AF393">
        <v>44.246240428868305</v>
      </c>
      <c r="AG393">
        <v>52.50873479879084</v>
      </c>
      <c r="AH393">
        <v>96.754975227659145</v>
      </c>
      <c r="AI393">
        <v>5.7962574961817479</v>
      </c>
      <c r="AJ393">
        <v>8.2963800982089531</v>
      </c>
      <c r="AK393">
        <v>14.092637594390702</v>
      </c>
      <c r="AL393">
        <v>217.71227842213096</v>
      </c>
      <c r="AM393">
        <v>46.78417959832732</v>
      </c>
      <c r="AN393">
        <v>2.148899452864832</v>
      </c>
      <c r="AO393">
        <v>13.1</v>
      </c>
      <c r="AP393">
        <v>14.565284690768097</v>
      </c>
      <c r="AQ393">
        <v>31.710413158941055</v>
      </c>
      <c r="AR393">
        <v>67.780205683193799</v>
      </c>
      <c r="AS393">
        <v>-3.3734190878303596</v>
      </c>
      <c r="AT393">
        <v>17.599827926277321</v>
      </c>
      <c r="AU393">
        <v>37.619186822090967</v>
      </c>
    </row>
    <row r="394" spans="1:47" x14ac:dyDescent="0.35">
      <c r="A394">
        <v>392</v>
      </c>
      <c r="B394">
        <v>46048</v>
      </c>
      <c r="C394" t="s">
        <v>16</v>
      </c>
      <c r="D394" t="s">
        <v>239</v>
      </c>
      <c r="E394" t="s">
        <v>240</v>
      </c>
      <c r="F394" t="s">
        <v>241</v>
      </c>
      <c r="G394" t="s">
        <v>242</v>
      </c>
      <c r="H394" t="s">
        <v>22</v>
      </c>
      <c r="I394" t="s">
        <v>23</v>
      </c>
      <c r="J394" t="s">
        <v>215</v>
      </c>
      <c r="K394" t="s">
        <v>238</v>
      </c>
      <c r="L394">
        <v>28</v>
      </c>
      <c r="M394">
        <v>60</v>
      </c>
      <c r="N394">
        <v>1</v>
      </c>
      <c r="O394">
        <v>1</v>
      </c>
      <c r="P394">
        <v>50</v>
      </c>
      <c r="Q394">
        <v>0.50019999999999998</v>
      </c>
      <c r="R394">
        <v>460.04800729509282</v>
      </c>
      <c r="S394">
        <v>168.7480072950928</v>
      </c>
      <c r="T394">
        <v>0.38541666666666669</v>
      </c>
      <c r="U394">
        <v>40.5</v>
      </c>
      <c r="V394">
        <v>0.71805555555555556</v>
      </c>
      <c r="W394">
        <v>72.5</v>
      </c>
      <c r="X394">
        <v>11.4</v>
      </c>
      <c r="Y394">
        <v>40</v>
      </c>
      <c r="Z394">
        <v>0.38680555555555557</v>
      </c>
      <c r="AA394">
        <v>85</v>
      </c>
      <c r="AB394">
        <v>15</v>
      </c>
      <c r="AD394">
        <v>32</v>
      </c>
      <c r="AE394">
        <v>45</v>
      </c>
      <c r="AF394">
        <v>30.746240428868305</v>
      </c>
      <c r="AG394">
        <v>43.00873479879084</v>
      </c>
      <c r="AH394">
        <v>73.754975227659145</v>
      </c>
      <c r="AI394">
        <v>3.5050714088909869</v>
      </c>
      <c r="AJ394">
        <v>6.4513102198186258</v>
      </c>
      <c r="AK394">
        <v>9.9563816287096127</v>
      </c>
      <c r="AL394">
        <v>160.32017106499455</v>
      </c>
      <c r="AM394">
        <v>36.68052129760693</v>
      </c>
      <c r="AN394">
        <v>2.2879542264670159</v>
      </c>
      <c r="AO394">
        <v>11.4</v>
      </c>
      <c r="AP394">
        <v>13.499267809361056</v>
      </c>
      <c r="AQ394">
        <v>21.642049244489389</v>
      </c>
      <c r="AR394">
        <v>59.001476748099911</v>
      </c>
      <c r="AS394">
        <v>-0.92751814134087407</v>
      </c>
      <c r="AT394">
        <v>12.011711760609336</v>
      </c>
      <c r="AU394">
        <v>32.746840381990403</v>
      </c>
    </row>
    <row r="395" spans="1:47" x14ac:dyDescent="0.35">
      <c r="A395">
        <v>393</v>
      </c>
      <c r="B395">
        <v>46048</v>
      </c>
      <c r="C395" t="s">
        <v>16</v>
      </c>
      <c r="D395" t="s">
        <v>239</v>
      </c>
      <c r="E395" t="s">
        <v>240</v>
      </c>
      <c r="F395" t="s">
        <v>241</v>
      </c>
      <c r="G395" t="s">
        <v>242</v>
      </c>
      <c r="H395" t="s">
        <v>22</v>
      </c>
      <c r="I395" t="s">
        <v>23</v>
      </c>
      <c r="J395" t="s">
        <v>215</v>
      </c>
      <c r="K395" t="s">
        <v>238</v>
      </c>
      <c r="L395">
        <v>28</v>
      </c>
      <c r="M395">
        <v>60</v>
      </c>
      <c r="N395">
        <v>1</v>
      </c>
      <c r="O395">
        <v>2</v>
      </c>
      <c r="P395">
        <v>51</v>
      </c>
      <c r="Q395">
        <v>0.50039999999999996</v>
      </c>
      <c r="R395">
        <v>460.23195291976094</v>
      </c>
      <c r="S395">
        <v>149.83195291976091</v>
      </c>
      <c r="T395">
        <v>0.38541666666666669</v>
      </c>
      <c r="U395">
        <v>40.5</v>
      </c>
      <c r="V395">
        <v>0.71875</v>
      </c>
      <c r="W395">
        <v>72.5</v>
      </c>
      <c r="X395">
        <v>10.8</v>
      </c>
      <c r="Y395">
        <v>40</v>
      </c>
      <c r="Z395">
        <v>0.38680555555555557</v>
      </c>
      <c r="AA395">
        <v>89.5</v>
      </c>
      <c r="AB395">
        <v>14.5</v>
      </c>
      <c r="AD395">
        <v>32</v>
      </c>
      <c r="AE395">
        <v>49.5</v>
      </c>
      <c r="AF395">
        <v>30.746240428868305</v>
      </c>
      <c r="AG395">
        <v>47.50873479879084</v>
      </c>
      <c r="AH395">
        <v>78.254975227659145</v>
      </c>
      <c r="AI395">
        <v>3.3205939663177775</v>
      </c>
      <c r="AJ395">
        <v>6.8887665458246712</v>
      </c>
      <c r="AK395">
        <v>10.20936051214245</v>
      </c>
      <c r="AL395">
        <v>170.03377260357777</v>
      </c>
      <c r="AM395">
        <v>32.555747589712297</v>
      </c>
      <c r="AN395">
        <v>1.9146636042484229</v>
      </c>
      <c r="AO395">
        <v>10.800000000000002</v>
      </c>
      <c r="AP395">
        <v>13.046276588090928</v>
      </c>
      <c r="AQ395">
        <v>22.183076267028333</v>
      </c>
      <c r="AR395">
        <v>68.138740189883535</v>
      </c>
      <c r="AS395">
        <v>-0.56883238606435704</v>
      </c>
      <c r="AT395">
        <v>12.311991118447557</v>
      </c>
      <c r="AU395">
        <v>37.818179676322892</v>
      </c>
    </row>
    <row r="396" spans="1:47" x14ac:dyDescent="0.35">
      <c r="A396">
        <v>394</v>
      </c>
      <c r="B396">
        <v>46048</v>
      </c>
      <c r="C396" t="s">
        <v>16</v>
      </c>
      <c r="D396" t="s">
        <v>239</v>
      </c>
      <c r="E396" t="s">
        <v>240</v>
      </c>
      <c r="F396" t="s">
        <v>241</v>
      </c>
      <c r="G396" t="s">
        <v>242</v>
      </c>
      <c r="H396" t="s">
        <v>22</v>
      </c>
      <c r="I396" t="s">
        <v>23</v>
      </c>
      <c r="J396" t="s">
        <v>215</v>
      </c>
      <c r="K396" t="s">
        <v>238</v>
      </c>
      <c r="L396">
        <v>28</v>
      </c>
      <c r="M396">
        <v>60</v>
      </c>
      <c r="N396">
        <v>1</v>
      </c>
      <c r="O396">
        <v>3</v>
      </c>
      <c r="P396">
        <v>52</v>
      </c>
      <c r="Q396">
        <v>0.50029999999999997</v>
      </c>
      <c r="R396">
        <v>460.13998010742688</v>
      </c>
      <c r="S396">
        <v>152.93998010742683</v>
      </c>
      <c r="T396">
        <v>0.38611111111111113</v>
      </c>
      <c r="U396">
        <v>40.5</v>
      </c>
      <c r="V396">
        <v>0.71944444444444444</v>
      </c>
      <c r="W396">
        <v>72.5</v>
      </c>
      <c r="X396">
        <v>10.9</v>
      </c>
      <c r="Y396">
        <v>40</v>
      </c>
      <c r="Z396">
        <v>0.38750000000000001</v>
      </c>
      <c r="AA396">
        <v>85</v>
      </c>
      <c r="AB396">
        <v>14.8</v>
      </c>
      <c r="AD396">
        <v>32</v>
      </c>
      <c r="AE396">
        <v>45</v>
      </c>
      <c r="AF396">
        <v>30.746240428868305</v>
      </c>
      <c r="AG396">
        <v>43.00873479879084</v>
      </c>
      <c r="AH396">
        <v>73.754975227659145</v>
      </c>
      <c r="AI396">
        <v>3.3513402067466451</v>
      </c>
      <c r="AJ396">
        <v>6.3652927502210455</v>
      </c>
      <c r="AK396">
        <v>9.7166329569676897</v>
      </c>
      <c r="AL396">
        <v>160.28812625766597</v>
      </c>
      <c r="AM396">
        <v>33.237707375855621</v>
      </c>
      <c r="AN396">
        <v>2.0736225540764903</v>
      </c>
      <c r="AO396">
        <v>10.9</v>
      </c>
      <c r="AP396">
        <v>13.174206793474477</v>
      </c>
      <c r="AQ396">
        <v>21.116689218570379</v>
      </c>
      <c r="AR396">
        <v>63.532327846143389</v>
      </c>
      <c r="AS396">
        <v>-0.57991404495581267</v>
      </c>
      <c r="AT396">
        <v>11.72012785695048</v>
      </c>
      <c r="AU396">
        <v>35.261541129831826</v>
      </c>
    </row>
    <row r="397" spans="1:47" x14ac:dyDescent="0.35">
      <c r="A397">
        <v>395</v>
      </c>
      <c r="B397">
        <v>46048</v>
      </c>
      <c r="C397" t="s">
        <v>16</v>
      </c>
      <c r="D397" t="s">
        <v>244</v>
      </c>
      <c r="E397" t="s">
        <v>240</v>
      </c>
      <c r="F397" t="s">
        <v>245</v>
      </c>
      <c r="G397" t="s">
        <v>246</v>
      </c>
      <c r="H397" t="s">
        <v>22</v>
      </c>
      <c r="I397" t="s">
        <v>23</v>
      </c>
      <c r="J397" t="s">
        <v>215</v>
      </c>
      <c r="K397" t="s">
        <v>243</v>
      </c>
      <c r="L397">
        <v>28</v>
      </c>
      <c r="M397">
        <v>60</v>
      </c>
      <c r="N397">
        <v>1</v>
      </c>
      <c r="O397">
        <v>1</v>
      </c>
      <c r="P397">
        <v>53</v>
      </c>
      <c r="Q397">
        <v>0.50019999999999998</v>
      </c>
      <c r="R397">
        <v>455.24781975538917</v>
      </c>
      <c r="S397">
        <v>166.24781975538912</v>
      </c>
      <c r="T397">
        <v>0.38611111111111113</v>
      </c>
      <c r="U397">
        <v>40.5</v>
      </c>
      <c r="V397">
        <v>0.72013888888888888</v>
      </c>
      <c r="W397">
        <v>76.5</v>
      </c>
      <c r="X397">
        <v>11.2</v>
      </c>
      <c r="Y397">
        <v>40</v>
      </c>
      <c r="Z397">
        <v>0.38750000000000001</v>
      </c>
      <c r="AA397">
        <v>85.5</v>
      </c>
      <c r="AB397">
        <v>15.4</v>
      </c>
      <c r="AD397">
        <v>36</v>
      </c>
      <c r="AE397">
        <v>45.5</v>
      </c>
      <c r="AF397">
        <v>34.746240428868305</v>
      </c>
      <c r="AG397">
        <v>43.50873479879084</v>
      </c>
      <c r="AH397">
        <v>78.254975227659145</v>
      </c>
      <c r="AI397">
        <v>3.8915789280332498</v>
      </c>
      <c r="AJ397">
        <v>6.7003451590137892</v>
      </c>
      <c r="AK397">
        <v>10.591924087047039</v>
      </c>
      <c r="AL397">
        <v>171.89533223839842</v>
      </c>
      <c r="AM397">
        <v>36.518092463290948</v>
      </c>
      <c r="AN397">
        <v>2.1244377021619578</v>
      </c>
      <c r="AO397">
        <v>11.2</v>
      </c>
      <c r="AP397">
        <v>13.535144642539397</v>
      </c>
      <c r="AQ397">
        <v>23.266281852240883</v>
      </c>
      <c r="AR397">
        <v>63.711657107032167</v>
      </c>
      <c r="AS397">
        <v>-1.8765930496981693</v>
      </c>
      <c r="AT397">
        <v>12.913188958821582</v>
      </c>
      <c r="AU397">
        <v>35.361071972207469</v>
      </c>
    </row>
    <row r="398" spans="1:47" x14ac:dyDescent="0.35">
      <c r="A398">
        <v>396</v>
      </c>
      <c r="B398">
        <v>46048</v>
      </c>
      <c r="C398" t="s">
        <v>16</v>
      </c>
      <c r="D398" t="s">
        <v>244</v>
      </c>
      <c r="E398" t="s">
        <v>240</v>
      </c>
      <c r="F398" t="s">
        <v>245</v>
      </c>
      <c r="G398" t="s">
        <v>246</v>
      </c>
      <c r="H398" t="s">
        <v>22</v>
      </c>
      <c r="I398" t="s">
        <v>23</v>
      </c>
      <c r="J398" t="s">
        <v>215</v>
      </c>
      <c r="K398" t="s">
        <v>243</v>
      </c>
      <c r="L398">
        <v>28</v>
      </c>
      <c r="M398">
        <v>60</v>
      </c>
      <c r="N398">
        <v>1</v>
      </c>
      <c r="O398">
        <v>2</v>
      </c>
      <c r="P398">
        <v>54</v>
      </c>
      <c r="Q398">
        <v>0.5</v>
      </c>
      <c r="R398">
        <v>455.06579343801405</v>
      </c>
      <c r="S398">
        <v>129.66579343801413</v>
      </c>
      <c r="T398">
        <v>0.38680555555555557</v>
      </c>
      <c r="U398">
        <v>40.5</v>
      </c>
      <c r="V398">
        <v>0.72083333333333333</v>
      </c>
      <c r="W398">
        <v>75</v>
      </c>
      <c r="X398">
        <v>10.9</v>
      </c>
      <c r="Y398">
        <v>40</v>
      </c>
      <c r="Z398">
        <v>0.38819444444444445</v>
      </c>
      <c r="AA398">
        <v>81.5</v>
      </c>
      <c r="AB398">
        <v>15.3</v>
      </c>
      <c r="AD398">
        <v>34.5</v>
      </c>
      <c r="AE398">
        <v>41.5</v>
      </c>
      <c r="AF398">
        <v>33.246240428868305</v>
      </c>
      <c r="AG398">
        <v>39.50873479879084</v>
      </c>
      <c r="AH398">
        <v>72.754975227659145</v>
      </c>
      <c r="AI398">
        <v>3.6238402067466451</v>
      </c>
      <c r="AJ398">
        <v>6.0448364242149983</v>
      </c>
      <c r="AK398">
        <v>9.6686766309616434</v>
      </c>
      <c r="AL398">
        <v>159.87792595439132</v>
      </c>
      <c r="AM398">
        <v>28.493856340726325</v>
      </c>
      <c r="AN398">
        <v>1.782225793250209</v>
      </c>
      <c r="AO398">
        <v>10.899999999999999</v>
      </c>
      <c r="AP398">
        <v>13.289368322519774</v>
      </c>
      <c r="AQ398">
        <v>21.2467664464845</v>
      </c>
      <c r="AR398">
        <v>74.566131703683979</v>
      </c>
      <c r="AS398">
        <v>-0.50893487456244213</v>
      </c>
      <c r="AT398">
        <v>11.79232296891389</v>
      </c>
      <c r="AU398">
        <v>41.38549316702737</v>
      </c>
    </row>
    <row r="399" spans="1:47" x14ac:dyDescent="0.35">
      <c r="A399">
        <v>397</v>
      </c>
      <c r="B399">
        <v>46048</v>
      </c>
      <c r="C399" t="s">
        <v>16</v>
      </c>
      <c r="D399" t="s">
        <v>244</v>
      </c>
      <c r="E399" t="s">
        <v>240</v>
      </c>
      <c r="F399" t="s">
        <v>245</v>
      </c>
      <c r="G399" t="s">
        <v>246</v>
      </c>
      <c r="H399" t="s">
        <v>22</v>
      </c>
      <c r="I399" t="s">
        <v>23</v>
      </c>
      <c r="J399" t="s">
        <v>215</v>
      </c>
      <c r="K399" t="s">
        <v>243</v>
      </c>
      <c r="L399">
        <v>28</v>
      </c>
      <c r="M399">
        <v>60</v>
      </c>
      <c r="N399">
        <v>1</v>
      </c>
      <c r="O399">
        <v>3</v>
      </c>
      <c r="P399">
        <v>55</v>
      </c>
      <c r="Q399">
        <v>0.5</v>
      </c>
      <c r="R399">
        <v>455.06579343801405</v>
      </c>
      <c r="S399">
        <v>155.2657934380141</v>
      </c>
      <c r="T399">
        <v>0.38680555555555557</v>
      </c>
      <c r="U399">
        <v>40.5</v>
      </c>
      <c r="V399">
        <v>0.72083333333333333</v>
      </c>
      <c r="W399">
        <v>77</v>
      </c>
      <c r="X399">
        <v>11.9</v>
      </c>
      <c r="Y399">
        <v>40</v>
      </c>
      <c r="Z399">
        <v>0.38819444444444445</v>
      </c>
      <c r="AA399">
        <v>84</v>
      </c>
      <c r="AB399">
        <v>15.6</v>
      </c>
      <c r="AD399">
        <v>36.5</v>
      </c>
      <c r="AE399">
        <v>44</v>
      </c>
      <c r="AF399">
        <v>35.246240428868305</v>
      </c>
      <c r="AG399">
        <v>42.00873479879084</v>
      </c>
      <c r="AH399">
        <v>77.254975227659145</v>
      </c>
      <c r="AI399">
        <v>4.1943026110353285</v>
      </c>
      <c r="AJ399">
        <v>6.5533626286113709</v>
      </c>
      <c r="AK399">
        <v>10.7476652396467</v>
      </c>
      <c r="AL399">
        <v>169.76660593185693</v>
      </c>
      <c r="AM399">
        <v>34.119416505684548</v>
      </c>
      <c r="AN399">
        <v>2.0097837450658478</v>
      </c>
      <c r="AO399">
        <v>11.900000000000002</v>
      </c>
      <c r="AP399">
        <v>13.911939273781266</v>
      </c>
      <c r="AQ399">
        <v>23.617827124399483</v>
      </c>
      <c r="AR399">
        <v>69.221075690038788</v>
      </c>
      <c r="AS399">
        <v>-1.1153637508456249</v>
      </c>
      <c r="AT399">
        <v>13.10830266696774</v>
      </c>
      <c r="AU399">
        <v>38.418894604436744</v>
      </c>
    </row>
    <row r="400" spans="1:47" x14ac:dyDescent="0.35">
      <c r="A400">
        <v>398</v>
      </c>
      <c r="B400">
        <v>46048</v>
      </c>
      <c r="C400" t="s">
        <v>16</v>
      </c>
      <c r="D400" t="s">
        <v>248</v>
      </c>
      <c r="E400" t="s">
        <v>226</v>
      </c>
      <c r="F400" t="s">
        <v>227</v>
      </c>
      <c r="G400" t="s">
        <v>228</v>
      </c>
      <c r="H400" t="s">
        <v>22</v>
      </c>
      <c r="I400" t="s">
        <v>23</v>
      </c>
      <c r="J400" t="s">
        <v>215</v>
      </c>
      <c r="K400" t="s">
        <v>247</v>
      </c>
      <c r="L400">
        <v>28</v>
      </c>
      <c r="M400">
        <v>60</v>
      </c>
      <c r="N400">
        <v>1</v>
      </c>
      <c r="O400">
        <v>1</v>
      </c>
      <c r="P400">
        <v>56</v>
      </c>
      <c r="Q400">
        <v>0.50009999999999999</v>
      </c>
      <c r="R400">
        <v>461.60775534679186</v>
      </c>
      <c r="S400">
        <v>147.70775534679188</v>
      </c>
      <c r="T400">
        <v>0.38680555555555557</v>
      </c>
      <c r="U400">
        <v>41.5</v>
      </c>
      <c r="V400">
        <v>0.72152777777777777</v>
      </c>
      <c r="W400">
        <v>69.5</v>
      </c>
      <c r="X400">
        <v>11.1</v>
      </c>
      <c r="Y400">
        <v>40</v>
      </c>
      <c r="Z400">
        <v>0.3888888888888889</v>
      </c>
      <c r="AA400">
        <v>75.5</v>
      </c>
      <c r="AB400">
        <v>13.8</v>
      </c>
      <c r="AD400">
        <v>28</v>
      </c>
      <c r="AE400">
        <v>35.5</v>
      </c>
      <c r="AF400">
        <v>26.746240428868305</v>
      </c>
      <c r="AG400">
        <v>33.50873479879084</v>
      </c>
      <c r="AH400">
        <v>60.254975227659145</v>
      </c>
      <c r="AI400">
        <v>2.9688326876043818</v>
      </c>
      <c r="AJ400">
        <v>4.6242054022331365</v>
      </c>
      <c r="AK400">
        <v>7.5930380898375187</v>
      </c>
      <c r="AL400">
        <v>130.53284857051722</v>
      </c>
      <c r="AM400">
        <v>31.998542839867049</v>
      </c>
      <c r="AN400">
        <v>2.4513785756066304</v>
      </c>
      <c r="AO400">
        <v>11.1</v>
      </c>
      <c r="AP400">
        <v>12.601512258778671</v>
      </c>
      <c r="AQ400">
        <v>16.449112914346728</v>
      </c>
      <c r="AR400">
        <v>51.405818685758227</v>
      </c>
      <c r="AS400">
        <v>-0.24095821781817925</v>
      </c>
      <c r="AT400">
        <v>9.1295422541910565</v>
      </c>
      <c r="AU400">
        <v>28.531118744621523</v>
      </c>
    </row>
    <row r="401" spans="1:47" x14ac:dyDescent="0.35">
      <c r="A401">
        <v>399</v>
      </c>
      <c r="B401">
        <v>46048</v>
      </c>
      <c r="C401" t="s">
        <v>16</v>
      </c>
      <c r="D401" t="s">
        <v>248</v>
      </c>
      <c r="E401" t="s">
        <v>226</v>
      </c>
      <c r="F401" t="s">
        <v>227</v>
      </c>
      <c r="G401" t="s">
        <v>228</v>
      </c>
      <c r="H401" t="s">
        <v>22</v>
      </c>
      <c r="I401" t="s">
        <v>23</v>
      </c>
      <c r="J401" t="s">
        <v>215</v>
      </c>
      <c r="K401" t="s">
        <v>247</v>
      </c>
      <c r="L401">
        <v>28</v>
      </c>
      <c r="M401">
        <v>60</v>
      </c>
      <c r="N401">
        <v>1</v>
      </c>
      <c r="O401">
        <v>2</v>
      </c>
      <c r="P401">
        <v>57</v>
      </c>
      <c r="Q401">
        <v>0.50019999999999998</v>
      </c>
      <c r="R401">
        <v>461.70005843724323</v>
      </c>
      <c r="S401">
        <v>188.50005843724324</v>
      </c>
      <c r="T401">
        <v>0.38680555555555557</v>
      </c>
      <c r="U401">
        <v>41</v>
      </c>
      <c r="V401">
        <v>0.72222222222222221</v>
      </c>
      <c r="W401">
        <v>70.5</v>
      </c>
      <c r="X401">
        <v>11</v>
      </c>
      <c r="Y401">
        <v>40.5</v>
      </c>
      <c r="Z401">
        <v>0.3888888888888889</v>
      </c>
      <c r="AA401">
        <v>77.5</v>
      </c>
      <c r="AB401">
        <v>13.6</v>
      </c>
      <c r="AD401">
        <v>29.5</v>
      </c>
      <c r="AE401">
        <v>37</v>
      </c>
      <c r="AF401">
        <v>28.246240428868305</v>
      </c>
      <c r="AG401">
        <v>35.00873479879084</v>
      </c>
      <c r="AH401">
        <v>63.254975227659145</v>
      </c>
      <c r="AI401">
        <v>3.1070864471755137</v>
      </c>
      <c r="AJ401">
        <v>4.7611879326355542</v>
      </c>
      <c r="AK401">
        <v>7.8682743798110675</v>
      </c>
      <c r="AL401">
        <v>137.00447741281172</v>
      </c>
      <c r="AM401">
        <v>40.827384574148844</v>
      </c>
      <c r="AN401">
        <v>2.9800036717873679</v>
      </c>
      <c r="AO401">
        <v>11.000000000000002</v>
      </c>
      <c r="AP401">
        <v>12.438981046933604</v>
      </c>
      <c r="AQ401">
        <v>17.04196097883008</v>
      </c>
      <c r="AR401">
        <v>41.741495705852145</v>
      </c>
      <c r="AS401">
        <v>-0.54499808664613392</v>
      </c>
      <c r="AT401">
        <v>9.458583186866246</v>
      </c>
      <c r="AU401">
        <v>23.167252287953925</v>
      </c>
    </row>
    <row r="402" spans="1:47" x14ac:dyDescent="0.35">
      <c r="A402">
        <v>400</v>
      </c>
      <c r="B402">
        <v>46048</v>
      </c>
      <c r="C402" t="s">
        <v>16</v>
      </c>
      <c r="D402" t="s">
        <v>248</v>
      </c>
      <c r="E402" t="s">
        <v>226</v>
      </c>
      <c r="F402" t="s">
        <v>227</v>
      </c>
      <c r="G402" t="s">
        <v>228</v>
      </c>
      <c r="H402" t="s">
        <v>22</v>
      </c>
      <c r="I402" t="s">
        <v>23</v>
      </c>
      <c r="J402" t="s">
        <v>215</v>
      </c>
      <c r="K402" t="s">
        <v>247</v>
      </c>
      <c r="L402">
        <v>28</v>
      </c>
      <c r="M402">
        <v>60</v>
      </c>
      <c r="N402">
        <v>1</v>
      </c>
      <c r="O402">
        <v>3</v>
      </c>
      <c r="P402">
        <v>58</v>
      </c>
      <c r="Q402">
        <v>0.5</v>
      </c>
      <c r="R402">
        <v>461.51545225634067</v>
      </c>
      <c r="S402">
        <v>136.21545225634065</v>
      </c>
      <c r="T402">
        <v>0.38750000000000001</v>
      </c>
      <c r="U402">
        <v>41</v>
      </c>
      <c r="V402">
        <v>0.72291666666666665</v>
      </c>
      <c r="W402">
        <v>70</v>
      </c>
      <c r="X402">
        <v>11.7</v>
      </c>
      <c r="Y402">
        <v>40.5</v>
      </c>
      <c r="Z402">
        <v>0.38958333333333334</v>
      </c>
      <c r="AA402">
        <v>77.5</v>
      </c>
      <c r="AB402">
        <v>13.8</v>
      </c>
      <c r="AD402">
        <v>29</v>
      </c>
      <c r="AE402">
        <v>37</v>
      </c>
      <c r="AF402">
        <v>27.746240428868305</v>
      </c>
      <c r="AG402">
        <v>35.00873479879084</v>
      </c>
      <c r="AH402">
        <v>62.754975227659145</v>
      </c>
      <c r="AI402">
        <v>3.2463101301775916</v>
      </c>
      <c r="AJ402">
        <v>4.8312054022331363</v>
      </c>
      <c r="AK402">
        <v>8.0775155324107288</v>
      </c>
      <c r="AL402">
        <v>135.9758918598526</v>
      </c>
      <c r="AM402">
        <v>29.514819404287717</v>
      </c>
      <c r="AN402">
        <v>2.1705920807423715</v>
      </c>
      <c r="AO402">
        <v>11.7</v>
      </c>
      <c r="AP402">
        <v>12.871514175740726</v>
      </c>
      <c r="AQ402">
        <v>17.502156196330812</v>
      </c>
      <c r="AR402">
        <v>59.299553748203557</v>
      </c>
      <c r="AS402">
        <v>-0.22242759672901</v>
      </c>
      <c r="AT402">
        <v>9.713999494434125</v>
      </c>
      <c r="AU402">
        <v>32.912278274089452</v>
      </c>
    </row>
    <row r="403" spans="1:47" x14ac:dyDescent="0.35">
      <c r="A403">
        <v>401</v>
      </c>
      <c r="B403">
        <v>46048</v>
      </c>
      <c r="C403" t="s">
        <v>16</v>
      </c>
      <c r="D403" t="s">
        <v>250</v>
      </c>
      <c r="E403" t="s">
        <v>219</v>
      </c>
      <c r="F403" t="s">
        <v>220</v>
      </c>
      <c r="G403" t="s">
        <v>221</v>
      </c>
      <c r="H403" t="s">
        <v>22</v>
      </c>
      <c r="I403" t="s">
        <v>23</v>
      </c>
      <c r="J403" t="s">
        <v>215</v>
      </c>
      <c r="K403" t="s">
        <v>249</v>
      </c>
      <c r="L403">
        <v>28</v>
      </c>
      <c r="M403">
        <v>60</v>
      </c>
      <c r="N403">
        <v>1</v>
      </c>
      <c r="O403">
        <v>1</v>
      </c>
      <c r="P403">
        <v>59</v>
      </c>
      <c r="Q403">
        <v>0.50029999999999997</v>
      </c>
      <c r="R403">
        <v>454.97732179964021</v>
      </c>
      <c r="S403">
        <v>224.47732179964029</v>
      </c>
      <c r="T403">
        <v>0.38750000000000001</v>
      </c>
      <c r="U403">
        <v>40</v>
      </c>
      <c r="V403">
        <v>0.72361111111111109</v>
      </c>
      <c r="W403">
        <v>75.5</v>
      </c>
      <c r="X403">
        <v>13.3</v>
      </c>
      <c r="Y403">
        <v>39.5</v>
      </c>
      <c r="Z403">
        <v>0.38958333333333334</v>
      </c>
      <c r="AA403">
        <v>88</v>
      </c>
      <c r="AB403">
        <v>15.2</v>
      </c>
      <c r="AD403">
        <v>35.5</v>
      </c>
      <c r="AE403">
        <v>48.5</v>
      </c>
      <c r="AF403">
        <v>34.246240428868305</v>
      </c>
      <c r="AG403">
        <v>46.50873479879084</v>
      </c>
      <c r="AH403">
        <v>80.754975227659145</v>
      </c>
      <c r="AI403">
        <v>4.554749977039485</v>
      </c>
      <c r="AJ403">
        <v>7.0693276894162071</v>
      </c>
      <c r="AK403">
        <v>11.624077666455692</v>
      </c>
      <c r="AL403">
        <v>177.49230864570757</v>
      </c>
      <c r="AM403">
        <v>49.338134241885157</v>
      </c>
      <c r="AN403">
        <v>2.7797336469586984</v>
      </c>
      <c r="AO403">
        <v>13.300000000000002</v>
      </c>
      <c r="AP403">
        <v>14.394255751655985</v>
      </c>
      <c r="AQ403">
        <v>25.548696845981752</v>
      </c>
      <c r="AR403">
        <v>51.78285972616375</v>
      </c>
      <c r="AS403">
        <v>-3.765433384187884</v>
      </c>
      <c r="AT403">
        <v>14.179968768496444</v>
      </c>
      <c r="AU403">
        <v>28.74038304524797</v>
      </c>
    </row>
    <row r="404" spans="1:47" x14ac:dyDescent="0.35">
      <c r="A404">
        <v>402</v>
      </c>
      <c r="B404">
        <v>46048</v>
      </c>
      <c r="C404" t="s">
        <v>16</v>
      </c>
      <c r="D404" t="s">
        <v>250</v>
      </c>
      <c r="E404" t="s">
        <v>219</v>
      </c>
      <c r="F404" t="s">
        <v>220</v>
      </c>
      <c r="G404" t="s">
        <v>221</v>
      </c>
      <c r="H404" t="s">
        <v>22</v>
      </c>
      <c r="I404" t="s">
        <v>23</v>
      </c>
      <c r="J404" t="s">
        <v>215</v>
      </c>
      <c r="K404" t="s">
        <v>249</v>
      </c>
      <c r="L404">
        <v>28</v>
      </c>
      <c r="M404">
        <v>60</v>
      </c>
      <c r="N404">
        <v>1</v>
      </c>
      <c r="O404">
        <v>2</v>
      </c>
      <c r="P404">
        <v>60</v>
      </c>
      <c r="Q404">
        <v>0.50029999999999997</v>
      </c>
      <c r="R404">
        <v>454.97732179964021</v>
      </c>
      <c r="S404">
        <v>235.97732179964024</v>
      </c>
      <c r="T404">
        <v>0.38819444444444445</v>
      </c>
      <c r="U404">
        <v>41</v>
      </c>
      <c r="V404">
        <v>0.72361111111111109</v>
      </c>
      <c r="W404">
        <v>76.5</v>
      </c>
      <c r="X404">
        <v>13.7</v>
      </c>
      <c r="Y404">
        <v>40.5</v>
      </c>
      <c r="Z404">
        <v>0.39027777777777778</v>
      </c>
      <c r="AA404">
        <v>88</v>
      </c>
      <c r="AB404">
        <v>15.1</v>
      </c>
      <c r="AD404">
        <v>35.5</v>
      </c>
      <c r="AE404">
        <v>47.5</v>
      </c>
      <c r="AF404">
        <v>34.246240428868305</v>
      </c>
      <c r="AG404">
        <v>45.50873479879084</v>
      </c>
      <c r="AH404">
        <v>79.754975227659145</v>
      </c>
      <c r="AI404">
        <v>4.6917349387549567</v>
      </c>
      <c r="AJ404">
        <v>6.8718189546174164</v>
      </c>
      <c r="AK404">
        <v>11.563553893372372</v>
      </c>
      <c r="AL404">
        <v>175.29439689915156</v>
      </c>
      <c r="AM404">
        <v>51.865732750424499</v>
      </c>
      <c r="AN404">
        <v>2.9587786984579609</v>
      </c>
      <c r="AO404">
        <v>13.699999999999998</v>
      </c>
      <c r="AP404">
        <v>14.498849583194549</v>
      </c>
      <c r="AQ404">
        <v>25.415670934176035</v>
      </c>
      <c r="AR404">
        <v>49.002818597926819</v>
      </c>
      <c r="AS404">
        <v>5.6239613761390261</v>
      </c>
      <c r="AT404">
        <v>14.10613708595791</v>
      </c>
      <c r="AU404">
        <v>27.197412121479104</v>
      </c>
    </row>
    <row r="405" spans="1:47" x14ac:dyDescent="0.35">
      <c r="A405">
        <v>403</v>
      </c>
      <c r="B405">
        <v>46048</v>
      </c>
      <c r="C405" t="s">
        <v>16</v>
      </c>
      <c r="D405" t="s">
        <v>250</v>
      </c>
      <c r="E405" t="s">
        <v>219</v>
      </c>
      <c r="F405" t="s">
        <v>220</v>
      </c>
      <c r="G405" t="s">
        <v>221</v>
      </c>
      <c r="H405" t="s">
        <v>22</v>
      </c>
      <c r="I405" t="s">
        <v>23</v>
      </c>
      <c r="J405" t="s">
        <v>215</v>
      </c>
      <c r="K405" t="s">
        <v>249</v>
      </c>
      <c r="L405">
        <v>28</v>
      </c>
      <c r="M405">
        <v>60</v>
      </c>
      <c r="N405">
        <v>1</v>
      </c>
      <c r="O405">
        <v>3</v>
      </c>
      <c r="P405">
        <v>61</v>
      </c>
      <c r="Q405">
        <v>0.50029999999999997</v>
      </c>
      <c r="R405">
        <v>454.97732179964021</v>
      </c>
      <c r="S405">
        <v>172.57732179964023</v>
      </c>
      <c r="T405">
        <v>0.38819444444444445</v>
      </c>
      <c r="U405">
        <v>41</v>
      </c>
      <c r="V405">
        <v>0.72430555555555554</v>
      </c>
      <c r="W405">
        <v>73.5</v>
      </c>
      <c r="X405">
        <v>13.6</v>
      </c>
      <c r="Y405">
        <v>40</v>
      </c>
      <c r="Z405">
        <v>0.39027777777777778</v>
      </c>
      <c r="AA405">
        <v>88.5</v>
      </c>
      <c r="AB405">
        <v>15.8</v>
      </c>
      <c r="AD405">
        <v>32.5</v>
      </c>
      <c r="AE405">
        <v>48.5</v>
      </c>
      <c r="AF405">
        <v>31.246240428868305</v>
      </c>
      <c r="AG405">
        <v>46.50873479879084</v>
      </c>
      <c r="AH405">
        <v>77.754975227659145</v>
      </c>
      <c r="AI405">
        <v>4.2494886983260898</v>
      </c>
      <c r="AJ405">
        <v>7.3483800982089527</v>
      </c>
      <c r="AK405">
        <v>11.597868796535042</v>
      </c>
      <c r="AL405">
        <v>170.89857340603967</v>
      </c>
      <c r="AM405">
        <v>37.930972277259713</v>
      </c>
      <c r="AN405">
        <v>2.2195019842055164</v>
      </c>
      <c r="AO405">
        <v>13.600000000000001</v>
      </c>
      <c r="AP405">
        <v>14.915918579586181</v>
      </c>
      <c r="AQ405">
        <v>25.491092062919197</v>
      </c>
      <c r="AR405">
        <v>67.203898377794971</v>
      </c>
      <c r="AS405">
        <v>-0.44101032771943566</v>
      </c>
      <c r="AT405">
        <v>14.147997117274183</v>
      </c>
      <c r="AU405">
        <v>37.299326296879975</v>
      </c>
    </row>
    <row r="406" spans="1:47" x14ac:dyDescent="0.35">
      <c r="A406">
        <v>404</v>
      </c>
      <c r="B406">
        <v>46048</v>
      </c>
      <c r="C406" t="s">
        <v>16</v>
      </c>
      <c r="D406" t="s">
        <v>252</v>
      </c>
      <c r="E406" t="s">
        <v>219</v>
      </c>
      <c r="F406" t="s">
        <v>253</v>
      </c>
      <c r="G406" t="s">
        <v>254</v>
      </c>
      <c r="H406" t="s">
        <v>22</v>
      </c>
      <c r="I406" t="s">
        <v>23</v>
      </c>
      <c r="J406" t="s">
        <v>215</v>
      </c>
      <c r="K406" t="s">
        <v>251</v>
      </c>
      <c r="L406">
        <v>28</v>
      </c>
      <c r="M406">
        <v>60</v>
      </c>
      <c r="N406">
        <v>1</v>
      </c>
      <c r="O406">
        <v>1</v>
      </c>
      <c r="P406">
        <v>62</v>
      </c>
      <c r="Q406">
        <v>0.50029999999999997</v>
      </c>
      <c r="R406">
        <v>460.56109337514715</v>
      </c>
      <c r="S406">
        <v>233.56109337514718</v>
      </c>
      <c r="T406">
        <v>0.38819444444444445</v>
      </c>
      <c r="U406">
        <v>40.5</v>
      </c>
      <c r="V406">
        <v>0.72499999999999998</v>
      </c>
      <c r="W406">
        <v>80.5</v>
      </c>
      <c r="X406">
        <v>13.6</v>
      </c>
      <c r="Y406">
        <v>40</v>
      </c>
      <c r="Z406">
        <v>0.39097222222222222</v>
      </c>
      <c r="AA406">
        <v>89</v>
      </c>
      <c r="AB406">
        <v>15.6</v>
      </c>
      <c r="AD406">
        <v>40</v>
      </c>
      <c r="AE406">
        <v>49</v>
      </c>
      <c r="AF406">
        <v>38.746240428868305</v>
      </c>
      <c r="AG406">
        <v>47.00873479879084</v>
      </c>
      <c r="AH406">
        <v>85.754975227659145</v>
      </c>
      <c r="AI406">
        <v>5.2694886983260902</v>
      </c>
      <c r="AJ406">
        <v>7.3333626286113711</v>
      </c>
      <c r="AK406">
        <v>12.602851326937461</v>
      </c>
      <c r="AL406">
        <v>186.19674232405899</v>
      </c>
      <c r="AM406">
        <v>50.712293490431989</v>
      </c>
      <c r="AN406">
        <v>2.7235865062650628</v>
      </c>
      <c r="AO406">
        <v>13.600000000000001</v>
      </c>
      <c r="AP406">
        <v>14.696350029231397</v>
      </c>
      <c r="AQ406">
        <v>27.36412499496975</v>
      </c>
      <c r="AR406">
        <v>53.959549276020425</v>
      </c>
      <c r="AS406">
        <v>-6.2694140118444448</v>
      </c>
      <c r="AT406">
        <v>15.187562799976289</v>
      </c>
      <c r="AU406">
        <v>29.948483404407181</v>
      </c>
    </row>
    <row r="407" spans="1:47" x14ac:dyDescent="0.35">
      <c r="A407">
        <v>405</v>
      </c>
      <c r="B407">
        <v>46048</v>
      </c>
      <c r="C407" t="s">
        <v>16</v>
      </c>
      <c r="D407" t="s">
        <v>252</v>
      </c>
      <c r="E407" t="s">
        <v>219</v>
      </c>
      <c r="F407" t="s">
        <v>253</v>
      </c>
      <c r="G407" t="s">
        <v>254</v>
      </c>
      <c r="H407" t="s">
        <v>22</v>
      </c>
      <c r="I407" t="s">
        <v>23</v>
      </c>
      <c r="J407" t="s">
        <v>215</v>
      </c>
      <c r="K407" t="s">
        <v>251</v>
      </c>
      <c r="L407">
        <v>28</v>
      </c>
      <c r="M407">
        <v>60</v>
      </c>
      <c r="N407">
        <v>1</v>
      </c>
      <c r="O407">
        <v>2</v>
      </c>
      <c r="P407">
        <v>63</v>
      </c>
      <c r="Q407">
        <v>0.5</v>
      </c>
      <c r="R407">
        <v>460.2849224216942</v>
      </c>
      <c r="S407">
        <v>162.38492242169417</v>
      </c>
      <c r="T407">
        <v>0.3888888888888889</v>
      </c>
      <c r="U407">
        <v>40.5</v>
      </c>
      <c r="V407">
        <v>0.72569444444444442</v>
      </c>
      <c r="W407">
        <v>80</v>
      </c>
      <c r="X407">
        <v>13.7</v>
      </c>
      <c r="Y407">
        <v>40</v>
      </c>
      <c r="Z407">
        <v>0.39097222222222222</v>
      </c>
      <c r="AA407">
        <v>87</v>
      </c>
      <c r="AB407">
        <v>15.7</v>
      </c>
      <c r="AD407">
        <v>39.5</v>
      </c>
      <c r="AE407">
        <v>47</v>
      </c>
      <c r="AF407">
        <v>38.246240428868305</v>
      </c>
      <c r="AG407">
        <v>45.00873479879084</v>
      </c>
      <c r="AH407">
        <v>83.254975227659145</v>
      </c>
      <c r="AI407">
        <v>5.2397349387549568</v>
      </c>
      <c r="AJ407">
        <v>7.0663713634101617</v>
      </c>
      <c r="AK407">
        <v>12.306106302165119</v>
      </c>
      <c r="AL407">
        <v>180.87704196268317</v>
      </c>
      <c r="AM407">
        <v>35.279218264925859</v>
      </c>
      <c r="AN407">
        <v>1.9504530747580633</v>
      </c>
      <c r="AO407">
        <v>13.699999999999998</v>
      </c>
      <c r="AP407">
        <v>14.781226309315818</v>
      </c>
      <c r="AQ407">
        <v>26.735844914100333</v>
      </c>
      <c r="AR407">
        <v>75.783552553035918</v>
      </c>
      <c r="AS407">
        <v>-0.36245734769822374</v>
      </c>
      <c r="AT407">
        <v>14.838856485196171</v>
      </c>
      <c r="AU407">
        <v>42.061182801062145</v>
      </c>
    </row>
    <row r="408" spans="1:47" x14ac:dyDescent="0.35">
      <c r="A408">
        <v>406</v>
      </c>
      <c r="B408">
        <v>46048</v>
      </c>
      <c r="C408" t="s">
        <v>16</v>
      </c>
      <c r="D408" t="s">
        <v>252</v>
      </c>
      <c r="E408" t="s">
        <v>219</v>
      </c>
      <c r="F408" t="s">
        <v>253</v>
      </c>
      <c r="G408" t="s">
        <v>254</v>
      </c>
      <c r="H408" t="s">
        <v>22</v>
      </c>
      <c r="I408" t="s">
        <v>23</v>
      </c>
      <c r="J408" t="s">
        <v>215</v>
      </c>
      <c r="K408" t="s">
        <v>251</v>
      </c>
      <c r="L408">
        <v>28</v>
      </c>
      <c r="M408">
        <v>60</v>
      </c>
      <c r="N408">
        <v>1</v>
      </c>
      <c r="O408">
        <v>3</v>
      </c>
      <c r="P408">
        <v>64</v>
      </c>
      <c r="Q408">
        <v>0.50019999999999998</v>
      </c>
      <c r="R408">
        <v>460.46903639066289</v>
      </c>
      <c r="S408">
        <v>232.26903639066282</v>
      </c>
      <c r="T408">
        <v>0.3888888888888889</v>
      </c>
      <c r="U408">
        <v>40.5</v>
      </c>
      <c r="V408">
        <v>0.72569444444444442</v>
      </c>
      <c r="W408">
        <v>79.5</v>
      </c>
      <c r="X408">
        <v>13.8</v>
      </c>
      <c r="Y408">
        <v>40</v>
      </c>
      <c r="Z408">
        <v>0.39166666666666666</v>
      </c>
      <c r="AA408">
        <v>88.5</v>
      </c>
      <c r="AB408">
        <v>15.8</v>
      </c>
      <c r="AD408">
        <v>39</v>
      </c>
      <c r="AE408">
        <v>48.5</v>
      </c>
      <c r="AF408">
        <v>37.746240428868305</v>
      </c>
      <c r="AG408">
        <v>46.50873479879084</v>
      </c>
      <c r="AH408">
        <v>84.254975227659145</v>
      </c>
      <c r="AI408">
        <v>5.2089811791838265</v>
      </c>
      <c r="AJ408">
        <v>7.3483800982089527</v>
      </c>
      <c r="AK408">
        <v>12.557361277392779</v>
      </c>
      <c r="AL408">
        <v>182.9764187578881</v>
      </c>
      <c r="AM408">
        <v>50.441836048581834</v>
      </c>
      <c r="AN408">
        <v>2.7567397149315611</v>
      </c>
      <c r="AO408">
        <v>13.8</v>
      </c>
      <c r="AP408">
        <v>14.903999726381096</v>
      </c>
      <c r="AQ408">
        <v>27.270804951017571</v>
      </c>
      <c r="AR408">
        <v>54.063862633295805</v>
      </c>
      <c r="AS408">
        <v>-4.8861808291959514</v>
      </c>
      <c r="AT408">
        <v>15.135768561049197</v>
      </c>
      <c r="AU408">
        <v>30.006379122424384</v>
      </c>
    </row>
    <row r="409" spans="1:47" x14ac:dyDescent="0.35">
      <c r="A409">
        <v>407</v>
      </c>
      <c r="B409">
        <v>46048</v>
      </c>
      <c r="C409" t="s">
        <v>16</v>
      </c>
      <c r="D409" t="s">
        <v>256</v>
      </c>
      <c r="E409" t="s">
        <v>219</v>
      </c>
      <c r="F409" t="s">
        <v>253</v>
      </c>
      <c r="G409" t="s">
        <v>254</v>
      </c>
      <c r="H409" t="s">
        <v>22</v>
      </c>
      <c r="I409" t="s">
        <v>23</v>
      </c>
      <c r="J409" t="s">
        <v>215</v>
      </c>
      <c r="K409" t="s">
        <v>255</v>
      </c>
      <c r="L409">
        <v>28</v>
      </c>
      <c r="M409">
        <v>60</v>
      </c>
      <c r="N409">
        <v>1</v>
      </c>
      <c r="O409">
        <v>1</v>
      </c>
      <c r="P409">
        <v>65</v>
      </c>
      <c r="Q409">
        <v>0.50029999999999997</v>
      </c>
      <c r="R409">
        <v>461.39225154969012</v>
      </c>
      <c r="S409">
        <v>197.69225154969007</v>
      </c>
      <c r="T409">
        <v>0.38958333333333334</v>
      </c>
      <c r="U409">
        <v>40</v>
      </c>
      <c r="V409">
        <v>0.72638888888888886</v>
      </c>
      <c r="W409">
        <v>78</v>
      </c>
      <c r="X409">
        <v>11.9</v>
      </c>
      <c r="Y409">
        <v>40</v>
      </c>
      <c r="Z409">
        <v>0.39166666666666666</v>
      </c>
      <c r="AA409">
        <v>87.5</v>
      </c>
      <c r="AB409">
        <v>15.2</v>
      </c>
      <c r="AD409">
        <v>38</v>
      </c>
      <c r="AE409">
        <v>47.5</v>
      </c>
      <c r="AF409">
        <v>36.746240428868305</v>
      </c>
      <c r="AG409">
        <v>45.50873479879084</v>
      </c>
      <c r="AH409">
        <v>82.254975227659145</v>
      </c>
      <c r="AI409">
        <v>4.3728026110353282</v>
      </c>
      <c r="AJ409">
        <v>6.9173276894162079</v>
      </c>
      <c r="AK409">
        <v>11.290130300451537</v>
      </c>
      <c r="AL409">
        <v>178.27558861551583</v>
      </c>
      <c r="AM409">
        <v>42.846894564374665</v>
      </c>
      <c r="AN409">
        <v>2.4034078303778257</v>
      </c>
      <c r="AO409">
        <v>11.9</v>
      </c>
      <c r="AP409">
        <v>13.725771929544155</v>
      </c>
      <c r="AQ409">
        <v>24.469700699418084</v>
      </c>
      <c r="AR409">
        <v>57.109624742241124</v>
      </c>
      <c r="AS409">
        <v>-0.74480606725313736</v>
      </c>
      <c r="AT409">
        <v>13.581107239400209</v>
      </c>
      <c r="AU409">
        <v>31.696829787735211</v>
      </c>
    </row>
    <row r="410" spans="1:47" x14ac:dyDescent="0.35">
      <c r="A410">
        <v>408</v>
      </c>
      <c r="B410">
        <v>46048</v>
      </c>
      <c r="C410" t="s">
        <v>16</v>
      </c>
      <c r="D410" t="s">
        <v>256</v>
      </c>
      <c r="E410" t="s">
        <v>219</v>
      </c>
      <c r="F410" t="s">
        <v>253</v>
      </c>
      <c r="G410" t="s">
        <v>254</v>
      </c>
      <c r="H410" t="s">
        <v>22</v>
      </c>
      <c r="I410" t="s">
        <v>23</v>
      </c>
      <c r="J410" t="s">
        <v>215</v>
      </c>
      <c r="K410" t="s">
        <v>255</v>
      </c>
      <c r="L410">
        <v>28</v>
      </c>
      <c r="M410">
        <v>60</v>
      </c>
      <c r="N410">
        <v>1</v>
      </c>
      <c r="O410">
        <v>2</v>
      </c>
      <c r="P410">
        <v>66</v>
      </c>
      <c r="Q410">
        <v>0.50029999999999997</v>
      </c>
      <c r="R410">
        <v>461.39225154969012</v>
      </c>
      <c r="S410">
        <v>216.39225154969012</v>
      </c>
      <c r="T410">
        <v>0.38958333333333334</v>
      </c>
      <c r="U410">
        <v>40</v>
      </c>
      <c r="V410">
        <v>0.7270833333333333</v>
      </c>
      <c r="W410">
        <v>78.5</v>
      </c>
      <c r="X410">
        <v>11.8</v>
      </c>
      <c r="Y410">
        <v>40</v>
      </c>
      <c r="Z410">
        <v>0.3923611111111111</v>
      </c>
      <c r="AA410">
        <v>85</v>
      </c>
      <c r="AB410">
        <v>15.5</v>
      </c>
      <c r="AD410">
        <v>38.5</v>
      </c>
      <c r="AE410">
        <v>45</v>
      </c>
      <c r="AF410">
        <v>37.246240428868305</v>
      </c>
      <c r="AG410">
        <v>43.00873479879084</v>
      </c>
      <c r="AH410">
        <v>80.254975227659145</v>
      </c>
      <c r="AI410">
        <v>4.3950563706064605</v>
      </c>
      <c r="AJ410">
        <v>6.6663538938125804</v>
      </c>
      <c r="AK410">
        <v>11.061410264419042</v>
      </c>
      <c r="AL410">
        <v>173.9408820978347</v>
      </c>
      <c r="AM410">
        <v>46.899845158406507</v>
      </c>
      <c r="AN410">
        <v>2.6963094927865918</v>
      </c>
      <c r="AO410">
        <v>11.8</v>
      </c>
      <c r="AP410">
        <v>13.782834314061102</v>
      </c>
      <c r="AQ410">
        <v>23.97398358396093</v>
      </c>
      <c r="AR410">
        <v>51.117404552163514</v>
      </c>
      <c r="AS410">
        <v>-1.5819768747457448</v>
      </c>
      <c r="AT410">
        <v>13.305975663900806</v>
      </c>
      <c r="AU410">
        <v>28.371043910612553</v>
      </c>
    </row>
    <row r="411" spans="1:47" x14ac:dyDescent="0.35">
      <c r="A411">
        <v>409</v>
      </c>
      <c r="B411">
        <v>46048</v>
      </c>
      <c r="C411" t="s">
        <v>16</v>
      </c>
      <c r="D411" t="s">
        <v>256</v>
      </c>
      <c r="E411" t="s">
        <v>219</v>
      </c>
      <c r="F411" t="s">
        <v>253</v>
      </c>
      <c r="G411" t="s">
        <v>254</v>
      </c>
      <c r="H411" t="s">
        <v>22</v>
      </c>
      <c r="I411" t="s">
        <v>23</v>
      </c>
      <c r="J411" t="s">
        <v>215</v>
      </c>
      <c r="K411" t="s">
        <v>255</v>
      </c>
      <c r="L411">
        <v>28</v>
      </c>
      <c r="M411">
        <v>60</v>
      </c>
      <c r="N411">
        <v>1</v>
      </c>
      <c r="O411">
        <v>3</v>
      </c>
      <c r="P411">
        <v>67</v>
      </c>
      <c r="Q411">
        <v>0.50019999999999998</v>
      </c>
      <c r="R411">
        <v>461.30002843325002</v>
      </c>
      <c r="S411">
        <v>249.40002843325004</v>
      </c>
      <c r="T411">
        <v>0.38958333333333334</v>
      </c>
      <c r="U411">
        <v>40</v>
      </c>
      <c r="V411">
        <v>0.7270833333333333</v>
      </c>
      <c r="W411">
        <v>78</v>
      </c>
      <c r="X411">
        <v>11.6</v>
      </c>
      <c r="Y411">
        <v>40</v>
      </c>
      <c r="Z411">
        <v>0.3923611111111111</v>
      </c>
      <c r="AA411">
        <v>86</v>
      </c>
      <c r="AB411">
        <v>15.2</v>
      </c>
      <c r="AD411">
        <v>38</v>
      </c>
      <c r="AE411">
        <v>46</v>
      </c>
      <c r="AF411">
        <v>36.746240428868305</v>
      </c>
      <c r="AG411">
        <v>44.00873479879084</v>
      </c>
      <c r="AH411">
        <v>80.754975227659145</v>
      </c>
      <c r="AI411">
        <v>4.2625638897487228</v>
      </c>
      <c r="AJ411">
        <v>6.6893276894162073</v>
      </c>
      <c r="AK411">
        <v>10.951891579164929</v>
      </c>
      <c r="AL411">
        <v>175.05954964263429</v>
      </c>
      <c r="AM411">
        <v>54.06460287468596</v>
      </c>
      <c r="AN411">
        <v>3.0883549617860422</v>
      </c>
      <c r="AO411">
        <v>11.599999999999998</v>
      </c>
      <c r="AP411">
        <v>13.561878445619076</v>
      </c>
      <c r="AQ411">
        <v>23.741363329982246</v>
      </c>
      <c r="AR411">
        <v>43.912952408087307</v>
      </c>
      <c r="AS411">
        <v>1.471195380501801</v>
      </c>
      <c r="AT411">
        <v>13.176867398370769</v>
      </c>
      <c r="AU411">
        <v>24.372448326149495</v>
      </c>
    </row>
    <row r="412" spans="1:47" x14ac:dyDescent="0.35">
      <c r="A412">
        <v>410</v>
      </c>
      <c r="B412">
        <v>46048</v>
      </c>
      <c r="C412" t="s">
        <v>16</v>
      </c>
      <c r="D412" t="s">
        <v>258</v>
      </c>
      <c r="E412" t="s">
        <v>259</v>
      </c>
      <c r="F412" t="s">
        <v>260</v>
      </c>
      <c r="G412" t="s">
        <v>261</v>
      </c>
      <c r="H412" t="s">
        <v>22</v>
      </c>
      <c r="I412" t="s">
        <v>23</v>
      </c>
      <c r="J412" t="s">
        <v>215</v>
      </c>
      <c r="K412" t="s">
        <v>257</v>
      </c>
      <c r="L412">
        <v>28</v>
      </c>
      <c r="M412">
        <v>60</v>
      </c>
      <c r="N412">
        <v>1</v>
      </c>
      <c r="O412">
        <v>1</v>
      </c>
      <c r="P412">
        <v>68</v>
      </c>
      <c r="Q412">
        <v>0.5</v>
      </c>
      <c r="R412">
        <v>457.0314780565829</v>
      </c>
      <c r="S412">
        <v>70.031478056582898</v>
      </c>
      <c r="T412">
        <v>0.39027777777777778</v>
      </c>
      <c r="U412">
        <v>40.5</v>
      </c>
      <c r="V412">
        <v>0.72777777777777775</v>
      </c>
      <c r="W412">
        <v>77</v>
      </c>
      <c r="X412">
        <v>13.7</v>
      </c>
      <c r="Y412">
        <v>40</v>
      </c>
      <c r="Z412">
        <v>0.39305555555555555</v>
      </c>
      <c r="AA412">
        <v>77.5</v>
      </c>
      <c r="AB412">
        <v>17.5</v>
      </c>
      <c r="AD412">
        <v>36.5</v>
      </c>
      <c r="AE412">
        <v>37.5</v>
      </c>
    </row>
    <row r="413" spans="1:47" x14ac:dyDescent="0.35">
      <c r="A413">
        <v>411</v>
      </c>
      <c r="B413">
        <v>46048</v>
      </c>
      <c r="C413" t="s">
        <v>16</v>
      </c>
      <c r="D413" t="s">
        <v>258</v>
      </c>
      <c r="E413" t="s">
        <v>259</v>
      </c>
      <c r="F413" t="s">
        <v>260</v>
      </c>
      <c r="G413" t="s">
        <v>261</v>
      </c>
      <c r="H413" t="s">
        <v>22</v>
      </c>
      <c r="I413" t="s">
        <v>23</v>
      </c>
      <c r="J413" t="s">
        <v>215</v>
      </c>
      <c r="K413" t="s">
        <v>257</v>
      </c>
      <c r="L413">
        <v>28</v>
      </c>
      <c r="M413">
        <v>60</v>
      </c>
      <c r="N413">
        <v>1</v>
      </c>
      <c r="O413">
        <v>2</v>
      </c>
      <c r="P413">
        <v>69</v>
      </c>
      <c r="Q413">
        <v>0.5</v>
      </c>
      <c r="R413">
        <v>457.0314780565829</v>
      </c>
      <c r="S413">
        <v>180.83147805658291</v>
      </c>
      <c r="T413">
        <v>0.39027777777777778</v>
      </c>
      <c r="U413">
        <v>40</v>
      </c>
      <c r="V413">
        <v>0.72777777777777775</v>
      </c>
      <c r="W413">
        <v>79</v>
      </c>
      <c r="X413">
        <v>13.9</v>
      </c>
      <c r="Y413">
        <v>40</v>
      </c>
      <c r="Z413">
        <v>0.39305555555555555</v>
      </c>
      <c r="AA413">
        <v>80</v>
      </c>
      <c r="AB413">
        <v>17.8</v>
      </c>
      <c r="AD413">
        <v>39</v>
      </c>
      <c r="AE413">
        <v>40</v>
      </c>
      <c r="AF413">
        <v>37.746240428868305</v>
      </c>
      <c r="AG413">
        <v>38.00873479879084</v>
      </c>
      <c r="AH413">
        <v>75.754975227659145</v>
      </c>
      <c r="AI413">
        <v>5.2467274196126947</v>
      </c>
      <c r="AJ413">
        <v>6.7655547941847702</v>
      </c>
      <c r="AK413">
        <v>12.012282213797466</v>
      </c>
      <c r="AL413">
        <v>165.75439300108837</v>
      </c>
      <c r="AM413">
        <v>39.566525882533412</v>
      </c>
      <c r="AN413">
        <v>2.3870574508558344</v>
      </c>
      <c r="AO413">
        <v>13.9</v>
      </c>
      <c r="AP413">
        <v>15.856756837023719</v>
      </c>
      <c r="AQ413">
        <v>26.283271044867245</v>
      </c>
      <c r="AR413">
        <v>66.428048605778542</v>
      </c>
      <c r="AS413">
        <v>-2.3161716908088938</v>
      </c>
      <c r="AT413">
        <v>14.587670157774072</v>
      </c>
      <c r="AU413">
        <v>36.868716250404432</v>
      </c>
    </row>
    <row r="414" spans="1:47" x14ac:dyDescent="0.35">
      <c r="A414">
        <v>412</v>
      </c>
      <c r="B414">
        <v>46048</v>
      </c>
      <c r="C414" t="s">
        <v>16</v>
      </c>
      <c r="D414" t="s">
        <v>258</v>
      </c>
      <c r="E414" t="s">
        <v>259</v>
      </c>
      <c r="F414" t="s">
        <v>260</v>
      </c>
      <c r="G414" t="s">
        <v>261</v>
      </c>
      <c r="H414" t="s">
        <v>22</v>
      </c>
      <c r="I414" t="s">
        <v>23</v>
      </c>
      <c r="J414" t="s">
        <v>215</v>
      </c>
      <c r="K414" t="s">
        <v>257</v>
      </c>
      <c r="L414">
        <v>28</v>
      </c>
      <c r="M414">
        <v>60</v>
      </c>
      <c r="N414">
        <v>1</v>
      </c>
      <c r="O414">
        <v>3</v>
      </c>
      <c r="P414">
        <v>70</v>
      </c>
      <c r="Q414">
        <v>0.50009999999999999</v>
      </c>
      <c r="R414">
        <v>457.12288435219421</v>
      </c>
      <c r="S414">
        <v>203.42288435219416</v>
      </c>
      <c r="T414">
        <v>0.39097222222222222</v>
      </c>
      <c r="U414">
        <v>40.5</v>
      </c>
      <c r="V414">
        <v>0.72847222222222219</v>
      </c>
      <c r="W414">
        <v>77</v>
      </c>
      <c r="X414">
        <v>14</v>
      </c>
      <c r="Y414">
        <v>40</v>
      </c>
      <c r="Z414">
        <v>0.39374999999999999</v>
      </c>
      <c r="AA414">
        <v>80.5</v>
      </c>
      <c r="AB414">
        <v>17.7</v>
      </c>
      <c r="AD414">
        <v>36.5</v>
      </c>
      <c r="AE414">
        <v>40.5</v>
      </c>
      <c r="AF414">
        <v>35.246240428868305</v>
      </c>
      <c r="AG414">
        <v>38.50873479879084</v>
      </c>
      <c r="AH414">
        <v>73.754975227659145</v>
      </c>
      <c r="AI414">
        <v>4.9344736600415633</v>
      </c>
      <c r="AJ414">
        <v>6.816046059385978</v>
      </c>
      <c r="AK414">
        <v>11.75051971942754</v>
      </c>
      <c r="AL414">
        <v>161.34605759713835</v>
      </c>
      <c r="AM414">
        <v>44.500700208976035</v>
      </c>
      <c r="AN414">
        <v>2.7580903352524988</v>
      </c>
      <c r="AO414">
        <v>14.000000000000002</v>
      </c>
      <c r="AP414">
        <v>15.931833321287499</v>
      </c>
      <c r="AQ414">
        <v>25.705384966844608</v>
      </c>
      <c r="AR414">
        <v>57.764001119379451</v>
      </c>
      <c r="AS414">
        <v>3.4541944924718178</v>
      </c>
      <c r="AT414">
        <v>14.266933386442476</v>
      </c>
      <c r="AU414">
        <v>32.060019998437589</v>
      </c>
    </row>
    <row r="415" spans="1:47" x14ac:dyDescent="0.35">
      <c r="A415">
        <v>413</v>
      </c>
      <c r="B415">
        <v>46048</v>
      </c>
      <c r="C415" t="s">
        <v>16</v>
      </c>
      <c r="D415" t="s">
        <v>263</v>
      </c>
      <c r="E415" t="s">
        <v>264</v>
      </c>
      <c r="F415" t="s">
        <v>265</v>
      </c>
      <c r="G415" t="s">
        <v>266</v>
      </c>
      <c r="H415" t="s">
        <v>22</v>
      </c>
      <c r="I415" t="s">
        <v>23</v>
      </c>
      <c r="J415" t="s">
        <v>215</v>
      </c>
      <c r="K415" t="s">
        <v>262</v>
      </c>
      <c r="L415">
        <v>28</v>
      </c>
      <c r="M415">
        <v>60</v>
      </c>
      <c r="N415">
        <v>1</v>
      </c>
      <c r="O415">
        <v>1</v>
      </c>
      <c r="P415">
        <v>71</v>
      </c>
      <c r="Q415">
        <v>0.5</v>
      </c>
      <c r="R415">
        <v>453.78425018639803</v>
      </c>
      <c r="S415">
        <v>185.28425018639797</v>
      </c>
      <c r="T415">
        <v>0.39166666666666666</v>
      </c>
      <c r="U415">
        <v>40</v>
      </c>
      <c r="V415">
        <v>0.72916666666666663</v>
      </c>
      <c r="W415">
        <v>73</v>
      </c>
      <c r="X415">
        <v>13.3</v>
      </c>
      <c r="Y415">
        <v>40</v>
      </c>
      <c r="Z415">
        <v>0.39374999999999999</v>
      </c>
      <c r="AA415">
        <v>73.5</v>
      </c>
      <c r="AB415">
        <v>16.8</v>
      </c>
      <c r="AD415">
        <v>33</v>
      </c>
      <c r="AE415">
        <v>33.5</v>
      </c>
      <c r="AF415">
        <v>31.746240428868305</v>
      </c>
      <c r="AG415">
        <v>31.508734798790837</v>
      </c>
      <c r="AH415">
        <v>63.254975227659145</v>
      </c>
      <c r="AI415">
        <v>4.2222499770394846</v>
      </c>
      <c r="AJ415">
        <v>5.2934674461968605</v>
      </c>
      <c r="AK415">
        <v>9.515717423236346</v>
      </c>
      <c r="AL415">
        <v>139.39438224591601</v>
      </c>
      <c r="AM415">
        <v>40.830912511901843</v>
      </c>
      <c r="AN415">
        <v>2.9291648525597678</v>
      </c>
      <c r="AO415">
        <v>13.3</v>
      </c>
      <c r="AP415">
        <v>15.043429214838206</v>
      </c>
      <c r="AQ415">
        <v>20.969695222625369</v>
      </c>
      <c r="AR415">
        <v>51.357400392442592</v>
      </c>
      <c r="AS415">
        <v>-0.9102405302113068</v>
      </c>
      <c r="AT415">
        <v>11.638543646052282</v>
      </c>
      <c r="AU415">
        <v>28.504245754144609</v>
      </c>
    </row>
    <row r="416" spans="1:47" x14ac:dyDescent="0.35">
      <c r="A416">
        <v>414</v>
      </c>
      <c r="B416">
        <v>46048</v>
      </c>
      <c r="C416" t="s">
        <v>16</v>
      </c>
      <c r="D416" t="s">
        <v>263</v>
      </c>
      <c r="E416" t="s">
        <v>264</v>
      </c>
      <c r="F416" t="s">
        <v>265</v>
      </c>
      <c r="G416" t="s">
        <v>266</v>
      </c>
      <c r="H416" t="s">
        <v>22</v>
      </c>
      <c r="I416" t="s">
        <v>23</v>
      </c>
      <c r="J416" t="s">
        <v>215</v>
      </c>
      <c r="K416" t="s">
        <v>262</v>
      </c>
      <c r="L416">
        <v>28</v>
      </c>
      <c r="M416">
        <v>60</v>
      </c>
      <c r="N416">
        <v>1</v>
      </c>
      <c r="O416">
        <v>2</v>
      </c>
      <c r="P416">
        <v>72</v>
      </c>
      <c r="Q416">
        <v>0.50039999999999996</v>
      </c>
      <c r="R416">
        <v>454.14727758654715</v>
      </c>
      <c r="S416">
        <v>140.24727758654706</v>
      </c>
      <c r="T416">
        <v>0.39166666666666666</v>
      </c>
      <c r="U416">
        <v>40</v>
      </c>
      <c r="V416">
        <v>0.72916666666666663</v>
      </c>
      <c r="W416">
        <v>71.5</v>
      </c>
      <c r="X416">
        <v>13.6</v>
      </c>
      <c r="Y416">
        <v>40</v>
      </c>
      <c r="Z416">
        <v>0.39444444444444443</v>
      </c>
      <c r="AA416">
        <v>75</v>
      </c>
      <c r="AB416">
        <v>16.3</v>
      </c>
      <c r="AD416">
        <v>31.5</v>
      </c>
      <c r="AE416">
        <v>35</v>
      </c>
      <c r="AF416">
        <v>30.246240428868305</v>
      </c>
      <c r="AG416">
        <v>33.00873479879084</v>
      </c>
      <c r="AH416">
        <v>63.254975227659145</v>
      </c>
      <c r="AI416">
        <v>4.1134886983260897</v>
      </c>
      <c r="AJ416">
        <v>5.3804237722029074</v>
      </c>
      <c r="AK416">
        <v>9.493912470528997</v>
      </c>
      <c r="AL416">
        <v>139.28295588121102</v>
      </c>
      <c r="AM416">
        <v>30.881452891638229</v>
      </c>
      <c r="AN416">
        <v>2.2171738599499431</v>
      </c>
      <c r="AO416">
        <v>13.600000000000001</v>
      </c>
      <c r="AP416">
        <v>15.00895769282927</v>
      </c>
      <c r="AQ416">
        <v>20.904919921533022</v>
      </c>
      <c r="AR416">
        <v>67.694094558593278</v>
      </c>
      <c r="AS416">
        <v>-0.32706893404753135</v>
      </c>
      <c r="AT416">
        <v>11.602592233266078</v>
      </c>
      <c r="AU416">
        <v>37.571393658125828</v>
      </c>
    </row>
    <row r="417" spans="1:47" x14ac:dyDescent="0.35">
      <c r="A417">
        <v>415</v>
      </c>
      <c r="B417">
        <v>46048</v>
      </c>
      <c r="C417" t="s">
        <v>16</v>
      </c>
      <c r="D417" t="s">
        <v>263</v>
      </c>
      <c r="E417" t="s">
        <v>264</v>
      </c>
      <c r="F417" t="s">
        <v>265</v>
      </c>
      <c r="G417" t="s">
        <v>266</v>
      </c>
      <c r="H417" t="s">
        <v>22</v>
      </c>
      <c r="I417" t="s">
        <v>23</v>
      </c>
      <c r="J417" t="s">
        <v>215</v>
      </c>
      <c r="K417" t="s">
        <v>262</v>
      </c>
      <c r="L417">
        <v>28</v>
      </c>
      <c r="M417">
        <v>60</v>
      </c>
      <c r="N417">
        <v>1</v>
      </c>
      <c r="O417">
        <v>3</v>
      </c>
      <c r="P417">
        <v>73</v>
      </c>
      <c r="Q417">
        <v>0.50039999999999996</v>
      </c>
      <c r="R417">
        <v>454.14727758654715</v>
      </c>
      <c r="S417">
        <v>195.34727758654725</v>
      </c>
      <c r="T417">
        <v>0.39166666666666666</v>
      </c>
      <c r="U417">
        <v>40.5</v>
      </c>
      <c r="V417">
        <v>0.72986111111111107</v>
      </c>
      <c r="W417">
        <v>73</v>
      </c>
      <c r="X417">
        <v>13.4</v>
      </c>
      <c r="Y417">
        <v>40</v>
      </c>
      <c r="Z417">
        <v>0.39444444444444443</v>
      </c>
      <c r="AA417">
        <v>75.5</v>
      </c>
      <c r="AB417">
        <v>16.399999999999999</v>
      </c>
      <c r="AD417">
        <v>32.5</v>
      </c>
      <c r="AE417">
        <v>35.5</v>
      </c>
      <c r="AF417">
        <v>31.246240428868305</v>
      </c>
      <c r="AG417">
        <v>33.50873479879084</v>
      </c>
      <c r="AH417">
        <v>64.754975227659145</v>
      </c>
      <c r="AI417">
        <v>4.1869962174683533</v>
      </c>
      <c r="AJ417">
        <v>5.4954325070016967</v>
      </c>
      <c r="AK417">
        <v>9.68242872447005</v>
      </c>
      <c r="AL417">
        <v>142.58584918043186</v>
      </c>
      <c r="AM417">
        <v>43.014080944109544</v>
      </c>
      <c r="AN417">
        <v>3.0167145752085394</v>
      </c>
      <c r="AO417">
        <v>13.400000000000002</v>
      </c>
      <c r="AP417">
        <v>14.952408970012767</v>
      </c>
      <c r="AQ417">
        <v>21.32001930282377</v>
      </c>
      <c r="AR417">
        <v>49.565209426480578</v>
      </c>
      <c r="AS417">
        <v>-1.5179472987187685</v>
      </c>
      <c r="AT417">
        <v>11.83297957153264</v>
      </c>
      <c r="AU417">
        <v>27.509548761271574</v>
      </c>
    </row>
    <row r="418" spans="1:47" x14ac:dyDescent="0.35">
      <c r="A418">
        <v>416</v>
      </c>
      <c r="B418">
        <v>46048</v>
      </c>
      <c r="C418" t="s">
        <v>16</v>
      </c>
      <c r="D418" t="s">
        <v>268</v>
      </c>
      <c r="E418" t="s">
        <v>269</v>
      </c>
      <c r="F418" t="s">
        <v>270</v>
      </c>
      <c r="G418" t="s">
        <v>271</v>
      </c>
      <c r="H418" t="s">
        <v>22</v>
      </c>
      <c r="I418" t="s">
        <v>23</v>
      </c>
      <c r="J418" t="s">
        <v>215</v>
      </c>
      <c r="K418" t="s">
        <v>267</v>
      </c>
      <c r="L418">
        <v>28</v>
      </c>
      <c r="M418">
        <v>60</v>
      </c>
      <c r="N418">
        <v>1</v>
      </c>
      <c r="O418">
        <v>1</v>
      </c>
      <c r="P418">
        <v>74</v>
      </c>
      <c r="Q418">
        <v>0.50019999999999998</v>
      </c>
      <c r="R418">
        <v>456.75217804236979</v>
      </c>
      <c r="S418">
        <v>208.5521780423698</v>
      </c>
      <c r="T418">
        <v>0.39166666666666666</v>
      </c>
      <c r="U418">
        <v>40.5</v>
      </c>
      <c r="V418">
        <v>0.73055555555555551</v>
      </c>
      <c r="W418">
        <v>83</v>
      </c>
      <c r="X418">
        <v>12.5</v>
      </c>
      <c r="Y418">
        <v>40</v>
      </c>
      <c r="Z418">
        <v>0.39513888888888887</v>
      </c>
      <c r="AA418">
        <v>90.5</v>
      </c>
      <c r="AB418">
        <v>14.8</v>
      </c>
      <c r="AD418">
        <v>42.5</v>
      </c>
      <c r="AE418">
        <v>50.5</v>
      </c>
      <c r="AF418">
        <v>41.246240428868305</v>
      </c>
      <c r="AG418">
        <v>48.50873479879084</v>
      </c>
      <c r="AH418">
        <v>89.754975227659145</v>
      </c>
      <c r="AI418">
        <v>5.1557800536085381</v>
      </c>
      <c r="AJ418">
        <v>7.1792927502210455</v>
      </c>
      <c r="AK418">
        <v>12.335072803829583</v>
      </c>
      <c r="AL418">
        <v>196.50694521555886</v>
      </c>
      <c r="AM418">
        <v>45.659810301555659</v>
      </c>
      <c r="AN418">
        <v>2.3235723425179198</v>
      </c>
      <c r="AO418">
        <v>12.5</v>
      </c>
      <c r="AP418">
        <v>13.743051872659169</v>
      </c>
      <c r="AQ418">
        <v>27.006051414352189</v>
      </c>
      <c r="AR418">
        <v>59.146219040318869</v>
      </c>
      <c r="AS418">
        <v>12.578163176294447</v>
      </c>
      <c r="AT418">
        <v>14.988825767688896</v>
      </c>
      <c r="AU418">
        <v>32.827174858363826</v>
      </c>
    </row>
    <row r="419" spans="1:47" x14ac:dyDescent="0.35">
      <c r="A419">
        <v>417</v>
      </c>
      <c r="B419">
        <v>46048</v>
      </c>
      <c r="C419" t="s">
        <v>16</v>
      </c>
      <c r="D419" t="s">
        <v>268</v>
      </c>
      <c r="E419" t="s">
        <v>269</v>
      </c>
      <c r="F419" t="s">
        <v>270</v>
      </c>
      <c r="G419" t="s">
        <v>271</v>
      </c>
      <c r="H419" t="s">
        <v>22</v>
      </c>
      <c r="I419" t="s">
        <v>23</v>
      </c>
      <c r="J419" t="s">
        <v>215</v>
      </c>
      <c r="K419" t="s">
        <v>267</v>
      </c>
      <c r="L419">
        <v>28</v>
      </c>
      <c r="M419">
        <v>60</v>
      </c>
      <c r="N419">
        <v>1</v>
      </c>
      <c r="O419">
        <v>2</v>
      </c>
      <c r="P419">
        <v>75</v>
      </c>
      <c r="Q419">
        <v>0.50029999999999997</v>
      </c>
      <c r="R419">
        <v>456.84349195241424</v>
      </c>
      <c r="S419">
        <v>231.14349195241422</v>
      </c>
      <c r="T419">
        <v>0.3923611111111111</v>
      </c>
      <c r="U419">
        <v>40.5</v>
      </c>
      <c r="V419">
        <v>0.73055555555555551</v>
      </c>
      <c r="W419">
        <v>81.5</v>
      </c>
      <c r="X419">
        <v>12.4</v>
      </c>
      <c r="Y419">
        <v>40</v>
      </c>
      <c r="Z419">
        <v>0.39513888888888887</v>
      </c>
      <c r="AA419">
        <v>92</v>
      </c>
      <c r="AB419">
        <v>14.2</v>
      </c>
      <c r="AD419">
        <v>41</v>
      </c>
      <c r="AE419">
        <v>52</v>
      </c>
      <c r="AF419">
        <v>39.746240428868305</v>
      </c>
      <c r="AG419">
        <v>50.00873479879084</v>
      </c>
      <c r="AH419">
        <v>89.754975227659145</v>
      </c>
      <c r="AI419">
        <v>4.9285338131796701</v>
      </c>
      <c r="AJ419">
        <v>7.1012403414282987</v>
      </c>
      <c r="AK419">
        <v>12.029774154607969</v>
      </c>
      <c r="AL419">
        <v>196.46766739320915</v>
      </c>
      <c r="AM419">
        <v>50.595772080406611</v>
      </c>
      <c r="AN419">
        <v>2.5752721937266427</v>
      </c>
      <c r="AO419">
        <v>12.4</v>
      </c>
      <c r="AP419">
        <v>13.402905102580698</v>
      </c>
      <c r="AQ419">
        <v>26.332375017965703</v>
      </c>
      <c r="AR419">
        <v>52.044615459407147</v>
      </c>
      <c r="AS419">
        <v>1.2059874824769099</v>
      </c>
      <c r="AT419">
        <v>14.614923712393422</v>
      </c>
      <c r="AU419">
        <v>28.885662005843969</v>
      </c>
    </row>
    <row r="420" spans="1:47" x14ac:dyDescent="0.35">
      <c r="A420">
        <v>418</v>
      </c>
      <c r="B420">
        <v>46048</v>
      </c>
      <c r="C420" t="s">
        <v>16</v>
      </c>
      <c r="D420" t="s">
        <v>268</v>
      </c>
      <c r="E420" t="s">
        <v>269</v>
      </c>
      <c r="F420" t="s">
        <v>270</v>
      </c>
      <c r="G420" t="s">
        <v>271</v>
      </c>
      <c r="H420" t="s">
        <v>22</v>
      </c>
      <c r="I420" t="s">
        <v>23</v>
      </c>
      <c r="J420" t="s">
        <v>215</v>
      </c>
      <c r="K420" t="s">
        <v>267</v>
      </c>
      <c r="L420">
        <v>28</v>
      </c>
      <c r="M420">
        <v>60</v>
      </c>
      <c r="N420">
        <v>1</v>
      </c>
      <c r="O420">
        <v>3</v>
      </c>
      <c r="P420">
        <v>76</v>
      </c>
      <c r="Q420">
        <v>0.50039999999999996</v>
      </c>
      <c r="R420">
        <v>456.93480586245869</v>
      </c>
      <c r="S420">
        <v>223.43480586245866</v>
      </c>
      <c r="T420">
        <v>0.39305555555555555</v>
      </c>
      <c r="U420">
        <v>40</v>
      </c>
      <c r="V420">
        <v>0.73124999999999996</v>
      </c>
      <c r="W420">
        <v>82</v>
      </c>
      <c r="X420">
        <v>12.6</v>
      </c>
      <c r="Y420">
        <v>40</v>
      </c>
      <c r="Z420">
        <v>0.39583333333333331</v>
      </c>
      <c r="AA420">
        <v>91.5</v>
      </c>
      <c r="AB420">
        <v>14.3</v>
      </c>
      <c r="AD420">
        <v>42</v>
      </c>
      <c r="AE420">
        <v>51.5</v>
      </c>
      <c r="AF420">
        <v>40.746240428868305</v>
      </c>
      <c r="AG420">
        <v>49.50873479879084</v>
      </c>
      <c r="AH420">
        <v>90.254975227659145</v>
      </c>
      <c r="AI420">
        <v>5.1340262940374064</v>
      </c>
      <c r="AJ420">
        <v>7.0797490762270909</v>
      </c>
      <c r="AK420">
        <v>12.213775370264496</v>
      </c>
      <c r="AL420">
        <v>197.5226532750203</v>
      </c>
      <c r="AM420">
        <v>48.898618138911147</v>
      </c>
      <c r="AN420">
        <v>2.4755954483269949</v>
      </c>
      <c r="AO420">
        <v>12.600000000000001</v>
      </c>
      <c r="AP420">
        <v>13.532523098539965</v>
      </c>
      <c r="AQ420">
        <v>26.729798679291129</v>
      </c>
      <c r="AR420">
        <v>54.663709725614623</v>
      </c>
      <c r="AS420">
        <v>1.7746217193300824</v>
      </c>
      <c r="AT420">
        <v>14.835500720270923</v>
      </c>
      <c r="AU420">
        <v>30.339304636638705</v>
      </c>
    </row>
    <row r="421" spans="1:47" x14ac:dyDescent="0.35">
      <c r="A421">
        <v>419</v>
      </c>
      <c r="B421">
        <v>46048</v>
      </c>
      <c r="C421" t="s">
        <v>16</v>
      </c>
      <c r="D421" t="s">
        <v>273</v>
      </c>
      <c r="E421" t="s">
        <v>235</v>
      </c>
      <c r="F421" t="s">
        <v>274</v>
      </c>
      <c r="G421" t="s">
        <v>275</v>
      </c>
      <c r="H421" t="s">
        <v>22</v>
      </c>
      <c r="I421" t="s">
        <v>23</v>
      </c>
      <c r="J421" t="s">
        <v>215</v>
      </c>
      <c r="K421" t="s">
        <v>272</v>
      </c>
      <c r="L421">
        <v>28</v>
      </c>
      <c r="M421">
        <v>60</v>
      </c>
      <c r="N421">
        <v>1</v>
      </c>
      <c r="O421">
        <v>1</v>
      </c>
      <c r="P421">
        <v>77</v>
      </c>
      <c r="Q421">
        <v>0.50049999999999994</v>
      </c>
      <c r="R421">
        <v>451.72870968903135</v>
      </c>
      <c r="S421">
        <v>114.5287096890313</v>
      </c>
      <c r="T421">
        <v>0.39305555555555555</v>
      </c>
      <c r="U421">
        <v>40.5</v>
      </c>
      <c r="V421">
        <v>0.73124999999999996</v>
      </c>
      <c r="W421">
        <v>72.5</v>
      </c>
      <c r="X421">
        <v>13.1</v>
      </c>
      <c r="Y421">
        <v>40</v>
      </c>
      <c r="Z421">
        <v>0.39583333333333331</v>
      </c>
      <c r="AA421">
        <v>79.5</v>
      </c>
      <c r="AB421">
        <v>16.399999999999999</v>
      </c>
      <c r="AD421">
        <v>32</v>
      </c>
      <c r="AE421">
        <v>39.5</v>
      </c>
      <c r="AF421">
        <v>30.746240428868305</v>
      </c>
      <c r="AG421">
        <v>37.50873479879084</v>
      </c>
      <c r="AH421">
        <v>68.254975227659145</v>
      </c>
      <c r="AI421">
        <v>4.0277574961817484</v>
      </c>
      <c r="AJ421">
        <v>6.1514325070016973</v>
      </c>
      <c r="AK421">
        <v>10.179190003183447</v>
      </c>
      <c r="AL421">
        <v>151.09727091431859</v>
      </c>
      <c r="AM421">
        <v>25.35342723022243</v>
      </c>
      <c r="AN421">
        <v>1.6779540144440712</v>
      </c>
      <c r="AO421">
        <v>13.100000000000001</v>
      </c>
      <c r="AP421">
        <v>14.913476957879704</v>
      </c>
      <c r="AQ421">
        <v>22.533856681791974</v>
      </c>
      <c r="AR421">
        <v>88.87893726229882</v>
      </c>
      <c r="AS421">
        <v>-0.23306773664896513</v>
      </c>
      <c r="AT421">
        <v>12.506680317506687</v>
      </c>
      <c r="AU421">
        <v>49.329347878452346</v>
      </c>
    </row>
    <row r="422" spans="1:47" x14ac:dyDescent="0.35">
      <c r="A422">
        <v>420</v>
      </c>
      <c r="B422">
        <v>46048</v>
      </c>
      <c r="C422" t="s">
        <v>16</v>
      </c>
      <c r="D422" t="s">
        <v>273</v>
      </c>
      <c r="E422" t="s">
        <v>235</v>
      </c>
      <c r="F422" t="s">
        <v>274</v>
      </c>
      <c r="G422" t="s">
        <v>275</v>
      </c>
      <c r="H422" t="s">
        <v>22</v>
      </c>
      <c r="I422" t="s">
        <v>23</v>
      </c>
      <c r="J422" t="s">
        <v>215</v>
      </c>
      <c r="K422" t="s">
        <v>272</v>
      </c>
      <c r="L422">
        <v>28</v>
      </c>
      <c r="M422">
        <v>60</v>
      </c>
      <c r="N422">
        <v>1</v>
      </c>
      <c r="O422">
        <v>2</v>
      </c>
      <c r="P422">
        <v>78</v>
      </c>
      <c r="Q422">
        <v>0.50029999999999997</v>
      </c>
      <c r="R422">
        <v>451.5481987161287</v>
      </c>
      <c r="S422">
        <v>189.24819871612874</v>
      </c>
      <c r="T422">
        <v>0.39305555555555555</v>
      </c>
      <c r="U422">
        <v>40.5</v>
      </c>
      <c r="V422">
        <v>0.7319444444444444</v>
      </c>
      <c r="W422">
        <v>74</v>
      </c>
      <c r="X422">
        <v>12.7</v>
      </c>
      <c r="Y422">
        <v>39</v>
      </c>
      <c r="Z422">
        <v>0.39652777777777776</v>
      </c>
      <c r="AA422">
        <v>81</v>
      </c>
      <c r="AB422">
        <v>17.100000000000001</v>
      </c>
      <c r="AD422">
        <v>33.5</v>
      </c>
      <c r="AE422">
        <v>42</v>
      </c>
      <c r="AF422">
        <v>32.246240428868305</v>
      </c>
      <c r="AG422">
        <v>40.00873479879084</v>
      </c>
      <c r="AH422">
        <v>72.254975227659145</v>
      </c>
      <c r="AI422">
        <v>4.0952725344662744</v>
      </c>
      <c r="AJ422">
        <v>6.8414936505932342</v>
      </c>
      <c r="AK422">
        <v>10.936766185059508</v>
      </c>
      <c r="AL422">
        <v>160.0160856207581</v>
      </c>
      <c r="AM422">
        <v>41.910963049838657</v>
      </c>
      <c r="AN422">
        <v>2.6191718718309751</v>
      </c>
      <c r="AO422">
        <v>12.7</v>
      </c>
      <c r="AP422">
        <v>15.13635033518484</v>
      </c>
      <c r="AQ422">
        <v>24.22059531220728</v>
      </c>
      <c r="AR422">
        <v>57.790595943608409</v>
      </c>
      <c r="AS422">
        <v>-0.9263768624970018</v>
      </c>
      <c r="AT422">
        <v>13.442849439716426</v>
      </c>
      <c r="AU422">
        <v>32.074780586002731</v>
      </c>
    </row>
    <row r="423" spans="1:47" x14ac:dyDescent="0.35">
      <c r="A423">
        <v>421</v>
      </c>
      <c r="B423">
        <v>46048</v>
      </c>
      <c r="C423" t="s">
        <v>16</v>
      </c>
      <c r="D423" t="s">
        <v>273</v>
      </c>
      <c r="E423" t="s">
        <v>235</v>
      </c>
      <c r="F423" t="s">
        <v>274</v>
      </c>
      <c r="G423" t="s">
        <v>275</v>
      </c>
      <c r="H423" t="s">
        <v>22</v>
      </c>
      <c r="I423" t="s">
        <v>23</v>
      </c>
      <c r="J423" t="s">
        <v>215</v>
      </c>
      <c r="K423" t="s">
        <v>272</v>
      </c>
      <c r="L423">
        <v>28</v>
      </c>
      <c r="M423">
        <v>60</v>
      </c>
      <c r="N423">
        <v>1</v>
      </c>
      <c r="O423">
        <v>3</v>
      </c>
      <c r="P423">
        <v>79</v>
      </c>
      <c r="Q423">
        <v>0.50039999999999996</v>
      </c>
      <c r="R423">
        <v>451.63845420257996</v>
      </c>
      <c r="S423">
        <v>163.43845420258009</v>
      </c>
      <c r="T423">
        <v>0.39374999999999999</v>
      </c>
      <c r="U423">
        <v>40.5</v>
      </c>
      <c r="V423">
        <v>0.73263888888888884</v>
      </c>
      <c r="W423">
        <v>74.5</v>
      </c>
      <c r="X423">
        <v>13.1</v>
      </c>
      <c r="Y423">
        <v>40</v>
      </c>
      <c r="Z423">
        <v>0.39652777777777776</v>
      </c>
      <c r="AA423">
        <v>81</v>
      </c>
      <c r="AB423">
        <v>17.3</v>
      </c>
      <c r="AD423">
        <v>34</v>
      </c>
      <c r="AE423">
        <v>41</v>
      </c>
      <c r="AF423">
        <v>32.746240428868305</v>
      </c>
      <c r="AG423">
        <v>39.00873479879084</v>
      </c>
      <c r="AH423">
        <v>71.754975227659145</v>
      </c>
      <c r="AI423">
        <v>4.289757496181748</v>
      </c>
      <c r="AJ423">
        <v>6.7485111201908161</v>
      </c>
      <c r="AK423">
        <v>11.038268616372564</v>
      </c>
      <c r="AL423">
        <v>158.87702776405712</v>
      </c>
      <c r="AM423">
        <v>36.187896022084658</v>
      </c>
      <c r="AN423">
        <v>2.2777299230336858</v>
      </c>
      <c r="AO423">
        <v>13.1</v>
      </c>
      <c r="AP423">
        <v>15.383279809310951</v>
      </c>
      <c r="AQ423">
        <v>24.440497733661559</v>
      </c>
      <c r="AR423">
        <v>67.537769310340863</v>
      </c>
      <c r="AS423">
        <v>-0.48368186104426897</v>
      </c>
      <c r="AT423">
        <v>13.564899088163715</v>
      </c>
      <c r="AU423">
        <v>37.484630440756661</v>
      </c>
    </row>
    <row r="424" spans="1:47" x14ac:dyDescent="0.35">
      <c r="A424">
        <v>422</v>
      </c>
      <c r="B424">
        <v>46048</v>
      </c>
      <c r="C424" t="s">
        <v>16</v>
      </c>
      <c r="D424" t="s">
        <v>277</v>
      </c>
      <c r="E424" t="s">
        <v>269</v>
      </c>
      <c r="F424" t="s">
        <v>270</v>
      </c>
      <c r="G424" t="s">
        <v>271</v>
      </c>
      <c r="H424" t="s">
        <v>22</v>
      </c>
      <c r="I424" t="s">
        <v>23</v>
      </c>
      <c r="J424" t="s">
        <v>215</v>
      </c>
      <c r="K424" t="s">
        <v>276</v>
      </c>
      <c r="L424">
        <v>28</v>
      </c>
      <c r="M424">
        <v>60</v>
      </c>
      <c r="N424">
        <v>1</v>
      </c>
      <c r="O424">
        <v>1</v>
      </c>
      <c r="P424">
        <v>80</v>
      </c>
      <c r="Q424">
        <v>0.50039999999999996</v>
      </c>
      <c r="R424">
        <v>460.39702029796996</v>
      </c>
      <c r="S424">
        <v>222.09702029797</v>
      </c>
      <c r="T424">
        <v>0.39374999999999999</v>
      </c>
      <c r="U424">
        <v>40.5</v>
      </c>
      <c r="V424">
        <v>0.73263888888888884</v>
      </c>
      <c r="W424">
        <v>80.5</v>
      </c>
      <c r="X424">
        <v>12.3</v>
      </c>
      <c r="Y424">
        <v>40</v>
      </c>
      <c r="Z424">
        <v>0.3972222222222222</v>
      </c>
      <c r="AA424">
        <v>94.5</v>
      </c>
      <c r="AB424">
        <v>14.7</v>
      </c>
      <c r="AD424">
        <v>40</v>
      </c>
      <c r="AE424">
        <v>54.5</v>
      </c>
      <c r="AF424">
        <v>38.746240428868305</v>
      </c>
      <c r="AG424">
        <v>52.50873479879084</v>
      </c>
      <c r="AH424">
        <v>91.254975227659145</v>
      </c>
      <c r="AI424">
        <v>4.7657875727508019</v>
      </c>
      <c r="AJ424">
        <v>7.7187840154222531</v>
      </c>
      <c r="AK424">
        <v>12.484571588173054</v>
      </c>
      <c r="AL424">
        <v>198.2093089321011</v>
      </c>
      <c r="AM424">
        <v>48.240325307541809</v>
      </c>
      <c r="AN424">
        <v>2.4338072498939542</v>
      </c>
      <c r="AO424">
        <v>12.3</v>
      </c>
      <c r="AP424">
        <v>13.68097635994866</v>
      </c>
      <c r="AQ424">
        <v>27.116968698218361</v>
      </c>
      <c r="AR424">
        <v>56.212242611015185</v>
      </c>
      <c r="AS424">
        <v>-3.531196382220406</v>
      </c>
      <c r="AT424">
        <v>15.050386779218773</v>
      </c>
      <c r="AU424">
        <v>31.198767179262404</v>
      </c>
    </row>
    <row r="425" spans="1:47" x14ac:dyDescent="0.35">
      <c r="A425">
        <v>423</v>
      </c>
      <c r="B425">
        <v>46048</v>
      </c>
      <c r="C425" t="s">
        <v>16</v>
      </c>
      <c r="D425" t="s">
        <v>277</v>
      </c>
      <c r="E425" t="s">
        <v>269</v>
      </c>
      <c r="F425" t="s">
        <v>270</v>
      </c>
      <c r="G425" t="s">
        <v>271</v>
      </c>
      <c r="H425" t="s">
        <v>22</v>
      </c>
      <c r="I425" t="s">
        <v>23</v>
      </c>
      <c r="J425" t="s">
        <v>215</v>
      </c>
      <c r="K425" t="s">
        <v>276</v>
      </c>
      <c r="L425">
        <v>28</v>
      </c>
      <c r="M425">
        <v>60</v>
      </c>
      <c r="N425">
        <v>1</v>
      </c>
      <c r="O425">
        <v>2</v>
      </c>
      <c r="P425">
        <v>81</v>
      </c>
      <c r="Q425">
        <v>0.50029999999999997</v>
      </c>
      <c r="R425">
        <v>460.30501449854989</v>
      </c>
      <c r="S425">
        <v>207.40501449854989</v>
      </c>
      <c r="T425">
        <v>0.39374999999999999</v>
      </c>
      <c r="U425">
        <v>40.5</v>
      </c>
      <c r="V425">
        <v>0.73333333333333328</v>
      </c>
      <c r="W425">
        <v>80</v>
      </c>
      <c r="X425">
        <v>12.1</v>
      </c>
      <c r="Y425">
        <v>40</v>
      </c>
      <c r="Z425">
        <v>0.3972222222222222</v>
      </c>
      <c r="AA425">
        <v>94</v>
      </c>
      <c r="AB425">
        <v>14.8</v>
      </c>
      <c r="AD425">
        <v>39.5</v>
      </c>
      <c r="AE425">
        <v>54</v>
      </c>
      <c r="AF425">
        <v>38.246240428868305</v>
      </c>
      <c r="AG425">
        <v>52.00873479879084</v>
      </c>
      <c r="AH425">
        <v>90.254975227659145</v>
      </c>
      <c r="AI425">
        <v>4.6277950918930646</v>
      </c>
      <c r="AJ425">
        <v>7.6972927502210453</v>
      </c>
      <c r="AK425">
        <v>12.32508784211411</v>
      </c>
      <c r="AL425">
        <v>196.07645449177153</v>
      </c>
      <c r="AM425">
        <v>45.058169684398102</v>
      </c>
      <c r="AN425">
        <v>2.2979898224490283</v>
      </c>
      <c r="AO425">
        <v>12.1</v>
      </c>
      <c r="AP425">
        <v>13.655854218590509</v>
      </c>
      <c r="AQ425">
        <v>26.775914782377278</v>
      </c>
      <c r="AR425">
        <v>59.425216270266617</v>
      </c>
      <c r="AS425">
        <v>-1.2448562360206927</v>
      </c>
      <c r="AT425">
        <v>14.861095955340192</v>
      </c>
      <c r="AU425">
        <v>32.982023147926526</v>
      </c>
    </row>
    <row r="426" spans="1:47" x14ac:dyDescent="0.35">
      <c r="A426">
        <v>424</v>
      </c>
      <c r="B426">
        <v>46048</v>
      </c>
      <c r="C426" t="s">
        <v>16</v>
      </c>
      <c r="D426" t="s">
        <v>277</v>
      </c>
      <c r="E426" t="s">
        <v>269</v>
      </c>
      <c r="F426" t="s">
        <v>270</v>
      </c>
      <c r="G426" t="s">
        <v>271</v>
      </c>
      <c r="H426" t="s">
        <v>22</v>
      </c>
      <c r="I426" t="s">
        <v>23</v>
      </c>
      <c r="J426" t="s">
        <v>215</v>
      </c>
      <c r="K426" t="s">
        <v>276</v>
      </c>
      <c r="L426">
        <v>28</v>
      </c>
      <c r="M426">
        <v>60</v>
      </c>
      <c r="N426">
        <v>1</v>
      </c>
      <c r="O426">
        <v>3</v>
      </c>
      <c r="P426">
        <v>82</v>
      </c>
      <c r="Q426">
        <v>0.50009999999999999</v>
      </c>
      <c r="R426">
        <v>460.12100289970982</v>
      </c>
      <c r="S426">
        <v>177.32100289970975</v>
      </c>
      <c r="T426">
        <v>0.39444444444444443</v>
      </c>
      <c r="U426">
        <v>40.5</v>
      </c>
      <c r="V426">
        <v>0.73333333333333328</v>
      </c>
      <c r="W426">
        <v>79.5</v>
      </c>
      <c r="X426">
        <v>12.3</v>
      </c>
      <c r="Y426">
        <v>40</v>
      </c>
      <c r="Z426">
        <v>0.39791666666666664</v>
      </c>
      <c r="AA426">
        <v>94.5</v>
      </c>
      <c r="AB426">
        <v>14.9</v>
      </c>
      <c r="AD426">
        <v>39</v>
      </c>
      <c r="AE426">
        <v>54.5</v>
      </c>
      <c r="AF426">
        <v>37.746240428868305</v>
      </c>
      <c r="AG426">
        <v>52.50873479879084</v>
      </c>
      <c r="AH426">
        <v>90.254975227659145</v>
      </c>
      <c r="AI426">
        <v>4.6427875727508017</v>
      </c>
      <c r="AJ426">
        <v>7.8238014850198345</v>
      </c>
      <c r="AK426">
        <v>12.466589057770637</v>
      </c>
      <c r="AL426">
        <v>196.15486939058843</v>
      </c>
      <c r="AM426">
        <v>38.537906720671799</v>
      </c>
      <c r="AN426">
        <v>1.964667348835178</v>
      </c>
      <c r="AO426">
        <v>12.3</v>
      </c>
      <c r="AP426">
        <v>13.81263362637341</v>
      </c>
      <c r="AQ426">
        <v>27.094153449213259</v>
      </c>
      <c r="AR426">
        <v>70.305202733494369</v>
      </c>
      <c r="AS426">
        <v>-0.54336338052853217</v>
      </c>
      <c r="AT426">
        <v>15.03772392129345</v>
      </c>
      <c r="AU426">
        <v>39.020603870077842</v>
      </c>
    </row>
    <row r="427" spans="1:47" x14ac:dyDescent="0.35">
      <c r="A427">
        <v>425</v>
      </c>
      <c r="B427">
        <v>46048</v>
      </c>
      <c r="C427" t="s">
        <v>16</v>
      </c>
      <c r="D427" t="s">
        <v>279</v>
      </c>
      <c r="E427" t="s">
        <v>269</v>
      </c>
      <c r="F427" t="s">
        <v>270</v>
      </c>
      <c r="G427" t="s">
        <v>271</v>
      </c>
      <c r="H427" t="s">
        <v>22</v>
      </c>
      <c r="I427" t="s">
        <v>23</v>
      </c>
      <c r="J427" t="s">
        <v>215</v>
      </c>
      <c r="K427" t="s">
        <v>278</v>
      </c>
      <c r="L427">
        <v>28</v>
      </c>
      <c r="M427">
        <v>60</v>
      </c>
      <c r="N427">
        <v>1</v>
      </c>
      <c r="O427">
        <v>1</v>
      </c>
      <c r="P427">
        <v>83</v>
      </c>
      <c r="Q427">
        <v>0.50049999999999994</v>
      </c>
      <c r="R427">
        <v>461.29756782549919</v>
      </c>
      <c r="S427">
        <v>181.69756782549922</v>
      </c>
      <c r="T427">
        <v>0.39444444444444443</v>
      </c>
      <c r="U427">
        <v>40.5</v>
      </c>
      <c r="V427">
        <v>0.73402777777777772</v>
      </c>
      <c r="W427">
        <v>79.5</v>
      </c>
      <c r="X427">
        <v>12</v>
      </c>
      <c r="Y427">
        <v>40</v>
      </c>
      <c r="Z427">
        <v>0.39791666666666664</v>
      </c>
      <c r="AA427">
        <v>88</v>
      </c>
      <c r="AB427">
        <v>13.6</v>
      </c>
      <c r="AD427">
        <v>39</v>
      </c>
      <c r="AE427">
        <v>48</v>
      </c>
      <c r="AF427">
        <v>37.746240428868305</v>
      </c>
      <c r="AG427">
        <v>46.00873479879084</v>
      </c>
      <c r="AH427">
        <v>83.754975227659145</v>
      </c>
      <c r="AI427">
        <v>4.5295488514641962</v>
      </c>
      <c r="AJ427">
        <v>6.2571879326355546</v>
      </c>
      <c r="AK427">
        <v>10.786736784099752</v>
      </c>
      <c r="AL427">
        <v>181.56387778602419</v>
      </c>
      <c r="AM427">
        <v>39.388364582540405</v>
      </c>
      <c r="AN427">
        <v>2.1693943235206836</v>
      </c>
      <c r="AO427">
        <v>11.999999999999998</v>
      </c>
      <c r="AP427">
        <v>12.878920631018888</v>
      </c>
      <c r="AQ427">
        <v>23.383467714662189</v>
      </c>
      <c r="AR427">
        <v>59.366434637469894</v>
      </c>
      <c r="AS427">
        <v>-0.37684094810128527</v>
      </c>
      <c r="AT427">
        <v>12.978229139902476</v>
      </c>
      <c r="AU427">
        <v>32.949398324741082</v>
      </c>
    </row>
    <row r="428" spans="1:47" x14ac:dyDescent="0.35">
      <c r="A428">
        <v>426</v>
      </c>
      <c r="B428">
        <v>46048</v>
      </c>
      <c r="C428" t="s">
        <v>16</v>
      </c>
      <c r="D428" t="s">
        <v>279</v>
      </c>
      <c r="E428" t="s">
        <v>269</v>
      </c>
      <c r="F428" t="s">
        <v>270</v>
      </c>
      <c r="G428" t="s">
        <v>271</v>
      </c>
      <c r="H428" t="s">
        <v>22</v>
      </c>
      <c r="I428" t="s">
        <v>23</v>
      </c>
      <c r="J428" t="s">
        <v>215</v>
      </c>
      <c r="K428" t="s">
        <v>278</v>
      </c>
      <c r="L428">
        <v>28</v>
      </c>
      <c r="M428">
        <v>60</v>
      </c>
      <c r="N428">
        <v>1</v>
      </c>
      <c r="O428">
        <v>2</v>
      </c>
      <c r="P428">
        <v>84</v>
      </c>
      <c r="Q428">
        <v>0.5</v>
      </c>
      <c r="R428">
        <v>460.8367310944048</v>
      </c>
      <c r="S428">
        <v>256.93673109440482</v>
      </c>
      <c r="T428">
        <v>0.39444444444444443</v>
      </c>
      <c r="U428">
        <v>41</v>
      </c>
      <c r="V428">
        <v>0.73472222222222228</v>
      </c>
      <c r="W428">
        <v>79.5</v>
      </c>
      <c r="X428">
        <v>11.9</v>
      </c>
      <c r="Y428">
        <v>40</v>
      </c>
      <c r="Z428">
        <v>0.39791666666666664</v>
      </c>
      <c r="AA428">
        <v>87</v>
      </c>
      <c r="AB428">
        <v>12.9</v>
      </c>
      <c r="AD428">
        <v>38.5</v>
      </c>
      <c r="AE428">
        <v>47</v>
      </c>
      <c r="AF428">
        <v>37.246240428868305</v>
      </c>
      <c r="AG428">
        <v>45.00873479879084</v>
      </c>
      <c r="AH428">
        <v>82.254975227659145</v>
      </c>
      <c r="AI428">
        <v>4.432302611035329</v>
      </c>
      <c r="AJ428">
        <v>5.8061267890440185</v>
      </c>
      <c r="AK428">
        <v>10.238429400079347</v>
      </c>
      <c r="AL428">
        <v>178.49049278758292</v>
      </c>
      <c r="AM428">
        <v>55.75439494248343</v>
      </c>
      <c r="AN428">
        <v>3.1236618865092916</v>
      </c>
      <c r="AO428">
        <v>11.900000000000002</v>
      </c>
      <c r="AP428">
        <v>12.447185561410956</v>
      </c>
      <c r="AQ428">
        <v>22.217042846747283</v>
      </c>
      <c r="AR428">
        <v>39.848056587586534</v>
      </c>
      <c r="AS428">
        <v>1.6767032876191219</v>
      </c>
      <c r="AT428">
        <v>12.330843157848665</v>
      </c>
      <c r="AU428">
        <v>22.116360818854258</v>
      </c>
    </row>
    <row r="429" spans="1:47" x14ac:dyDescent="0.35">
      <c r="A429">
        <v>427</v>
      </c>
      <c r="B429">
        <v>46048</v>
      </c>
      <c r="C429" t="s">
        <v>16</v>
      </c>
      <c r="D429" t="s">
        <v>279</v>
      </c>
      <c r="E429" t="s">
        <v>269</v>
      </c>
      <c r="F429" t="s">
        <v>270</v>
      </c>
      <c r="G429" t="s">
        <v>271</v>
      </c>
      <c r="H429" t="s">
        <v>22</v>
      </c>
      <c r="I429" t="s">
        <v>23</v>
      </c>
      <c r="J429" t="s">
        <v>215</v>
      </c>
      <c r="K429" t="s">
        <v>278</v>
      </c>
      <c r="L429">
        <v>28</v>
      </c>
      <c r="M429">
        <v>60</v>
      </c>
      <c r="N429">
        <v>1</v>
      </c>
      <c r="O429">
        <v>3</v>
      </c>
      <c r="P429">
        <v>85</v>
      </c>
      <c r="Q429">
        <v>0.50049999999999994</v>
      </c>
      <c r="R429">
        <v>461.29756782549919</v>
      </c>
      <c r="S429">
        <v>261.99756782549912</v>
      </c>
      <c r="T429">
        <v>0.39513888888888887</v>
      </c>
      <c r="U429">
        <v>41</v>
      </c>
      <c r="V429">
        <v>0.73472222222222228</v>
      </c>
      <c r="W429">
        <v>80</v>
      </c>
      <c r="X429">
        <v>11.9</v>
      </c>
      <c r="Y429">
        <v>40</v>
      </c>
      <c r="Z429">
        <v>0.39861111111111114</v>
      </c>
      <c r="AA429">
        <v>85.5</v>
      </c>
      <c r="AB429">
        <v>13.4</v>
      </c>
      <c r="AD429">
        <v>39</v>
      </c>
      <c r="AE429">
        <v>45.5</v>
      </c>
      <c r="AF429">
        <v>37.746240428868305</v>
      </c>
      <c r="AG429">
        <v>43.50873479879084</v>
      </c>
      <c r="AH429">
        <v>81.254975227659145</v>
      </c>
      <c r="AI429">
        <v>4.4918026110353289</v>
      </c>
      <c r="AJ429">
        <v>5.8301704630379731</v>
      </c>
      <c r="AK429">
        <v>10.321973074073302</v>
      </c>
      <c r="AL429">
        <v>176.14438248761044</v>
      </c>
      <c r="AM429">
        <v>56.795783481045412</v>
      </c>
      <c r="AN429">
        <v>3.2243880093672752</v>
      </c>
      <c r="AO429">
        <v>11.900000000000002</v>
      </c>
      <c r="AP429">
        <v>12.70318899877002</v>
      </c>
      <c r="AQ429">
        <v>22.375953818117516</v>
      </c>
      <c r="AR429">
        <v>39.397209522754615</v>
      </c>
      <c r="AS429">
        <v>1.241185802574615</v>
      </c>
      <c r="AT429">
        <v>12.419041496283908</v>
      </c>
      <c r="AU429">
        <v>21.866132897750315</v>
      </c>
    </row>
    <row r="430" spans="1:47" x14ac:dyDescent="0.35">
      <c r="A430">
        <v>428</v>
      </c>
      <c r="B430">
        <v>46048</v>
      </c>
      <c r="C430" t="s">
        <v>16</v>
      </c>
      <c r="D430" t="s">
        <v>281</v>
      </c>
      <c r="E430" t="s">
        <v>269</v>
      </c>
      <c r="F430" t="s">
        <v>282</v>
      </c>
      <c r="G430" t="s">
        <v>283</v>
      </c>
      <c r="H430" t="s">
        <v>22</v>
      </c>
      <c r="I430" t="s">
        <v>23</v>
      </c>
      <c r="J430" t="s">
        <v>215</v>
      </c>
      <c r="K430" t="s">
        <v>280</v>
      </c>
      <c r="L430">
        <v>28</v>
      </c>
      <c r="M430">
        <v>60</v>
      </c>
      <c r="N430">
        <v>1</v>
      </c>
      <c r="O430">
        <v>1</v>
      </c>
      <c r="P430">
        <v>86</v>
      </c>
      <c r="Q430">
        <v>0.50029999999999997</v>
      </c>
      <c r="R430">
        <v>456.2367889633112</v>
      </c>
      <c r="S430">
        <v>319.03678896331121</v>
      </c>
      <c r="T430">
        <v>0.39513888888888887</v>
      </c>
      <c r="U430">
        <v>41</v>
      </c>
      <c r="V430">
        <v>0.73541666666666672</v>
      </c>
      <c r="W430">
        <v>84.5</v>
      </c>
      <c r="X430">
        <v>12.6</v>
      </c>
      <c r="Y430">
        <v>40.5</v>
      </c>
      <c r="Z430">
        <v>0.39861111111111114</v>
      </c>
      <c r="AA430">
        <v>90</v>
      </c>
      <c r="AB430">
        <v>15</v>
      </c>
      <c r="AD430">
        <v>43.5</v>
      </c>
      <c r="AE430">
        <v>49.5</v>
      </c>
      <c r="AF430">
        <v>42.246240428868305</v>
      </c>
      <c r="AG430">
        <v>47.50873479879084</v>
      </c>
      <c r="AH430">
        <v>89.754975227659145</v>
      </c>
      <c r="AI430">
        <v>5.3230262940374065</v>
      </c>
      <c r="AJ430">
        <v>7.1263102198186257</v>
      </c>
      <c r="AK430">
        <v>12.449336513856032</v>
      </c>
      <c r="AL430">
        <v>196.72892979894456</v>
      </c>
      <c r="AM430">
        <v>69.927896364571097</v>
      </c>
      <c r="AN430">
        <v>3.5545304107553912</v>
      </c>
      <c r="AO430">
        <v>12.6</v>
      </c>
      <c r="AP430">
        <v>13.870358141461121</v>
      </c>
      <c r="AQ430">
        <v>27.287007130977241</v>
      </c>
      <c r="AR430">
        <v>39.021633067174861</v>
      </c>
      <c r="AS430">
        <v>0.31499021515950076</v>
      </c>
      <c r="AT430">
        <v>15.14476105124135</v>
      </c>
      <c r="AU430">
        <v>21.657681467040998</v>
      </c>
    </row>
    <row r="431" spans="1:47" x14ac:dyDescent="0.35">
      <c r="A431">
        <v>429</v>
      </c>
      <c r="B431">
        <v>46048</v>
      </c>
      <c r="C431" t="s">
        <v>16</v>
      </c>
      <c r="D431" t="s">
        <v>281</v>
      </c>
      <c r="E431" t="s">
        <v>269</v>
      </c>
      <c r="F431" t="s">
        <v>282</v>
      </c>
      <c r="G431" t="s">
        <v>283</v>
      </c>
      <c r="H431" t="s">
        <v>22</v>
      </c>
      <c r="I431" t="s">
        <v>23</v>
      </c>
      <c r="J431" t="s">
        <v>215</v>
      </c>
      <c r="K431" t="s">
        <v>280</v>
      </c>
      <c r="L431">
        <v>28</v>
      </c>
      <c r="M431">
        <v>60</v>
      </c>
      <c r="N431">
        <v>1</v>
      </c>
      <c r="O431">
        <v>2</v>
      </c>
      <c r="P431">
        <v>87</v>
      </c>
      <c r="Q431">
        <v>0.50049999999999994</v>
      </c>
      <c r="R431">
        <v>456.41917424772589</v>
      </c>
      <c r="S431">
        <v>280.41917424772583</v>
      </c>
      <c r="T431">
        <v>0.39513888888888887</v>
      </c>
      <c r="U431">
        <v>41.5</v>
      </c>
      <c r="V431">
        <v>0.73611111111111116</v>
      </c>
      <c r="W431">
        <v>85.5</v>
      </c>
      <c r="X431">
        <v>12.9</v>
      </c>
      <c r="Y431">
        <v>40</v>
      </c>
      <c r="Z431">
        <v>0.39861111111111114</v>
      </c>
      <c r="AA431">
        <v>89</v>
      </c>
      <c r="AB431">
        <v>14.7</v>
      </c>
      <c r="AD431">
        <v>44</v>
      </c>
      <c r="AE431">
        <v>49</v>
      </c>
      <c r="AF431">
        <v>42.746240428868305</v>
      </c>
      <c r="AG431">
        <v>47.00873479879084</v>
      </c>
      <c r="AH431">
        <v>89.754975227659145</v>
      </c>
      <c r="AI431">
        <v>5.5142650153240114</v>
      </c>
      <c r="AJ431">
        <v>6.9102840154222527</v>
      </c>
      <c r="AK431">
        <v>12.424549030746263</v>
      </c>
      <c r="AL431">
        <v>196.65031683998396</v>
      </c>
      <c r="AM431">
        <v>61.438955694601397</v>
      </c>
      <c r="AN431">
        <v>3.1242744319906075</v>
      </c>
      <c r="AO431">
        <v>12.9</v>
      </c>
      <c r="AP431">
        <v>13.842741306798867</v>
      </c>
      <c r="AQ431">
        <v>27.22179463915931</v>
      </c>
      <c r="AR431">
        <v>44.307059472938391</v>
      </c>
      <c r="AS431">
        <v>0.55340522616580456</v>
      </c>
      <c r="AT431">
        <v>15.108566990038593</v>
      </c>
      <c r="AU431">
        <v>24.591184565603182</v>
      </c>
    </row>
    <row r="432" spans="1:47" x14ac:dyDescent="0.35">
      <c r="A432">
        <v>430</v>
      </c>
      <c r="B432">
        <v>46048</v>
      </c>
      <c r="C432" t="s">
        <v>16</v>
      </c>
      <c r="D432" t="s">
        <v>281</v>
      </c>
      <c r="E432" t="s">
        <v>269</v>
      </c>
      <c r="F432" t="s">
        <v>282</v>
      </c>
      <c r="G432" t="s">
        <v>283</v>
      </c>
      <c r="H432" t="s">
        <v>22</v>
      </c>
      <c r="I432" t="s">
        <v>23</v>
      </c>
      <c r="J432" t="s">
        <v>215</v>
      </c>
      <c r="K432" t="s">
        <v>280</v>
      </c>
      <c r="L432">
        <v>28</v>
      </c>
      <c r="M432">
        <v>60</v>
      </c>
      <c r="N432">
        <v>1</v>
      </c>
      <c r="O432">
        <v>3</v>
      </c>
      <c r="P432">
        <v>88</v>
      </c>
      <c r="Q432">
        <v>0.50039999999999996</v>
      </c>
      <c r="R432">
        <v>456.32798160551852</v>
      </c>
      <c r="S432">
        <v>312.12798160551853</v>
      </c>
      <c r="T432">
        <v>0.39583333333333331</v>
      </c>
      <c r="U432">
        <v>41</v>
      </c>
      <c r="V432">
        <v>0.7368055555555556</v>
      </c>
      <c r="W432">
        <v>88</v>
      </c>
      <c r="X432">
        <v>12.9</v>
      </c>
      <c r="Y432">
        <v>40</v>
      </c>
      <c r="Z432">
        <v>0.39930555555555558</v>
      </c>
      <c r="AA432">
        <v>86.5</v>
      </c>
      <c r="AB432">
        <v>14.9</v>
      </c>
      <c r="AD432">
        <v>47</v>
      </c>
      <c r="AE432">
        <v>46.5</v>
      </c>
      <c r="AF432">
        <v>45.746240428868305</v>
      </c>
      <c r="AG432">
        <v>44.50873479879084</v>
      </c>
      <c r="AH432">
        <v>90.254975227659145</v>
      </c>
      <c r="AI432">
        <v>5.9012650153240118</v>
      </c>
      <c r="AJ432">
        <v>6.6318014850198352</v>
      </c>
      <c r="AK432">
        <v>12.533066500343846</v>
      </c>
      <c r="AL432">
        <v>197.78531859937922</v>
      </c>
      <c r="AM432">
        <v>68.399921588710185</v>
      </c>
      <c r="AN432">
        <v>3.4582911448173013</v>
      </c>
      <c r="AO432">
        <v>12.9</v>
      </c>
      <c r="AP432">
        <v>13.886288782120255</v>
      </c>
      <c r="AQ432">
        <v>27.465040509346402</v>
      </c>
      <c r="AR432">
        <v>40.153614026773489</v>
      </c>
      <c r="AS432">
        <v>0.34384205583660216</v>
      </c>
      <c r="AT432">
        <v>15.243572656398486</v>
      </c>
      <c r="AU432">
        <v>22.2859504840639</v>
      </c>
    </row>
    <row r="433" spans="1:47" x14ac:dyDescent="0.35">
      <c r="A433">
        <v>431</v>
      </c>
      <c r="B433">
        <v>46048</v>
      </c>
      <c r="C433" t="s">
        <v>16</v>
      </c>
      <c r="D433" t="s">
        <v>285</v>
      </c>
      <c r="E433" t="s">
        <v>269</v>
      </c>
      <c r="F433" t="s">
        <v>282</v>
      </c>
      <c r="G433" t="s">
        <v>283</v>
      </c>
      <c r="H433" t="s">
        <v>22</v>
      </c>
      <c r="I433" t="s">
        <v>23</v>
      </c>
      <c r="J433" t="s">
        <v>215</v>
      </c>
      <c r="K433" t="s">
        <v>284</v>
      </c>
      <c r="L433">
        <v>28</v>
      </c>
      <c r="M433">
        <v>60</v>
      </c>
      <c r="N433">
        <v>1</v>
      </c>
      <c r="O433">
        <v>1</v>
      </c>
      <c r="P433">
        <v>89</v>
      </c>
      <c r="Q433">
        <v>0.5</v>
      </c>
      <c r="R433">
        <v>467.03163583471684</v>
      </c>
      <c r="S433">
        <v>230.03163583471684</v>
      </c>
      <c r="T433">
        <v>0.39583333333333331</v>
      </c>
      <c r="U433">
        <v>40</v>
      </c>
      <c r="V433">
        <v>0.7368055555555556</v>
      </c>
      <c r="W433">
        <v>82.5</v>
      </c>
      <c r="X433">
        <v>12.8</v>
      </c>
      <c r="Y433">
        <v>40</v>
      </c>
      <c r="Z433">
        <v>0.39930555555555558</v>
      </c>
      <c r="AA433">
        <v>83</v>
      </c>
      <c r="AB433">
        <v>16.8</v>
      </c>
      <c r="AD433">
        <v>42.5</v>
      </c>
      <c r="AE433">
        <v>43</v>
      </c>
      <c r="AF433">
        <v>41.246240428868305</v>
      </c>
      <c r="AG433">
        <v>41.00873479879084</v>
      </c>
      <c r="AH433">
        <v>82.254975227659145</v>
      </c>
      <c r="AI433">
        <v>5.2795187748951431</v>
      </c>
      <c r="AJ433">
        <v>6.8894674461968615</v>
      </c>
      <c r="AK433">
        <v>12.168986221092005</v>
      </c>
      <c r="AL433">
        <v>176.12291955478855</v>
      </c>
      <c r="AM433">
        <v>49.253973004116872</v>
      </c>
      <c r="AN433">
        <v>2.7965680519391385</v>
      </c>
      <c r="AO433">
        <v>12.8</v>
      </c>
      <c r="AP433">
        <v>14.794225136426823</v>
      </c>
      <c r="AQ433">
        <v>26.056021235783323</v>
      </c>
      <c r="AR433">
        <v>52.901359314923575</v>
      </c>
      <c r="AS433">
        <v>1.2047812048706652</v>
      </c>
      <c r="AT433">
        <v>14.461542582074896</v>
      </c>
      <c r="AU433">
        <v>29.361169668213638</v>
      </c>
    </row>
    <row r="434" spans="1:47" x14ac:dyDescent="0.35">
      <c r="A434">
        <v>432</v>
      </c>
      <c r="B434">
        <v>46048</v>
      </c>
      <c r="C434" t="s">
        <v>16</v>
      </c>
      <c r="D434" t="s">
        <v>285</v>
      </c>
      <c r="E434" t="s">
        <v>269</v>
      </c>
      <c r="F434" t="s">
        <v>282</v>
      </c>
      <c r="G434" t="s">
        <v>283</v>
      </c>
      <c r="H434" t="s">
        <v>22</v>
      </c>
      <c r="I434" t="s">
        <v>23</v>
      </c>
      <c r="J434" t="s">
        <v>215</v>
      </c>
      <c r="K434" t="s">
        <v>284</v>
      </c>
      <c r="L434">
        <v>28</v>
      </c>
      <c r="M434">
        <v>60</v>
      </c>
      <c r="N434">
        <v>1</v>
      </c>
      <c r="O434">
        <v>2</v>
      </c>
      <c r="P434">
        <v>90</v>
      </c>
      <c r="Q434">
        <v>0.50019999999999998</v>
      </c>
      <c r="R434">
        <v>467.21844848905067</v>
      </c>
      <c r="S434">
        <v>246.41844848905069</v>
      </c>
      <c r="T434">
        <v>0.39652777777777776</v>
      </c>
      <c r="U434">
        <v>40.5</v>
      </c>
      <c r="V434">
        <v>0.73750000000000004</v>
      </c>
      <c r="W434">
        <v>84</v>
      </c>
      <c r="X434">
        <v>12.9</v>
      </c>
      <c r="Y434">
        <v>40</v>
      </c>
      <c r="Z434">
        <v>0.4</v>
      </c>
      <c r="AA434">
        <v>81</v>
      </c>
      <c r="AB434">
        <v>16.899999999999999</v>
      </c>
      <c r="AD434">
        <v>43.5</v>
      </c>
      <c r="AE434">
        <v>41</v>
      </c>
      <c r="AF434">
        <v>42.246240428868305</v>
      </c>
      <c r="AG434">
        <v>39.00873479879084</v>
      </c>
      <c r="AH434">
        <v>81.254975227659145</v>
      </c>
      <c r="AI434">
        <v>5.4497650153240116</v>
      </c>
      <c r="AJ434">
        <v>6.5924761809956509</v>
      </c>
      <c r="AK434">
        <v>12.042241196319662</v>
      </c>
      <c r="AL434">
        <v>173.91217211227772</v>
      </c>
      <c r="AM434">
        <v>52.741592136601078</v>
      </c>
      <c r="AN434">
        <v>3.0326567425396247</v>
      </c>
      <c r="AO434">
        <v>12.9</v>
      </c>
      <c r="AP434">
        <v>14.820312433275458</v>
      </c>
      <c r="AQ434">
        <v>25.774327266535312</v>
      </c>
      <c r="AR434">
        <v>48.86907319706927</v>
      </c>
      <c r="AS434">
        <v>0.73973675840300823</v>
      </c>
      <c r="AT434">
        <v>14.305197555544165</v>
      </c>
      <c r="AU434">
        <v>27.123181110068895</v>
      </c>
    </row>
    <row r="435" spans="1:47" x14ac:dyDescent="0.35">
      <c r="A435">
        <v>433</v>
      </c>
      <c r="B435">
        <v>46048</v>
      </c>
      <c r="C435" t="s">
        <v>16</v>
      </c>
      <c r="D435" t="s">
        <v>285</v>
      </c>
      <c r="E435" t="s">
        <v>269</v>
      </c>
      <c r="F435" t="s">
        <v>282</v>
      </c>
      <c r="G435" t="s">
        <v>283</v>
      </c>
      <c r="H435" t="s">
        <v>22</v>
      </c>
      <c r="I435" t="s">
        <v>23</v>
      </c>
      <c r="J435" t="s">
        <v>215</v>
      </c>
      <c r="K435" t="s">
        <v>284</v>
      </c>
      <c r="L435">
        <v>28</v>
      </c>
      <c r="M435">
        <v>60</v>
      </c>
      <c r="N435">
        <v>1</v>
      </c>
      <c r="O435">
        <v>3</v>
      </c>
      <c r="P435">
        <v>91</v>
      </c>
      <c r="Q435">
        <v>0.50019999999999998</v>
      </c>
      <c r="R435">
        <v>467.21844848905067</v>
      </c>
      <c r="S435">
        <v>245.3184484890507</v>
      </c>
      <c r="T435">
        <v>0.39652777777777776</v>
      </c>
      <c r="U435">
        <v>40.5</v>
      </c>
      <c r="V435">
        <v>0.73750000000000004</v>
      </c>
      <c r="W435">
        <v>85</v>
      </c>
      <c r="X435">
        <v>13.1</v>
      </c>
      <c r="Y435">
        <v>40.5</v>
      </c>
      <c r="Z435">
        <v>0.40069444444444446</v>
      </c>
      <c r="AA435">
        <v>79.5</v>
      </c>
      <c r="AB435">
        <v>16.5</v>
      </c>
      <c r="AD435">
        <v>44.5</v>
      </c>
      <c r="AE435">
        <v>39</v>
      </c>
      <c r="AF435">
        <v>43.246240428868305</v>
      </c>
      <c r="AG435">
        <v>37.00873479879084</v>
      </c>
      <c r="AH435">
        <v>80.254975227659145</v>
      </c>
      <c r="AI435">
        <v>5.6652574961817486</v>
      </c>
      <c r="AJ435">
        <v>6.1064412418004892</v>
      </c>
      <c r="AK435">
        <v>11.771698737982238</v>
      </c>
      <c r="AL435">
        <v>171.77184566918902</v>
      </c>
      <c r="AM435">
        <v>52.506156227861311</v>
      </c>
      <c r="AN435">
        <v>3.0567381996338083</v>
      </c>
      <c r="AO435">
        <v>13.100000000000001</v>
      </c>
      <c r="AP435">
        <v>14.667874115703707</v>
      </c>
      <c r="AQ435">
        <v>25.195278088977492</v>
      </c>
      <c r="AR435">
        <v>47.98537904705379</v>
      </c>
      <c r="AS435">
        <v>0.74213196479067967</v>
      </c>
      <c r="AT435">
        <v>13.983815243847715</v>
      </c>
      <c r="AU435">
        <v>26.632715567984178</v>
      </c>
    </row>
    <row r="436" spans="1:47" x14ac:dyDescent="0.35">
      <c r="A436">
        <v>434</v>
      </c>
      <c r="B436">
        <v>46048</v>
      </c>
      <c r="C436" t="s">
        <v>16</v>
      </c>
      <c r="D436" t="s">
        <v>287</v>
      </c>
      <c r="E436" t="s">
        <v>235</v>
      </c>
      <c r="F436" t="s">
        <v>274</v>
      </c>
      <c r="G436" t="s">
        <v>275</v>
      </c>
      <c r="H436" t="s">
        <v>22</v>
      </c>
      <c r="I436" t="s">
        <v>23</v>
      </c>
      <c r="J436" t="s">
        <v>215</v>
      </c>
      <c r="K436" t="s">
        <v>286</v>
      </c>
      <c r="L436">
        <v>28</v>
      </c>
      <c r="M436">
        <v>60</v>
      </c>
      <c r="N436">
        <v>1</v>
      </c>
      <c r="O436">
        <v>1</v>
      </c>
      <c r="P436">
        <v>92</v>
      </c>
      <c r="Q436">
        <v>0.50019999999999998</v>
      </c>
      <c r="R436">
        <v>460.66510888203317</v>
      </c>
      <c r="S436">
        <v>194.76510888203313</v>
      </c>
      <c r="T436">
        <v>0.3972222222222222</v>
      </c>
      <c r="U436">
        <v>41</v>
      </c>
      <c r="V436">
        <v>0.73819444444444449</v>
      </c>
      <c r="W436">
        <v>73</v>
      </c>
      <c r="X436">
        <v>12.1</v>
      </c>
      <c r="Y436">
        <v>39.5</v>
      </c>
      <c r="Z436">
        <v>0.40069444444444446</v>
      </c>
      <c r="AA436">
        <v>69.5</v>
      </c>
      <c r="AB436">
        <v>17.7</v>
      </c>
      <c r="AD436">
        <v>32</v>
      </c>
      <c r="AE436">
        <v>30</v>
      </c>
      <c r="AF436">
        <v>30.746240428868305</v>
      </c>
      <c r="AG436">
        <v>28.008734798790837</v>
      </c>
      <c r="AH436">
        <v>58.754975227659145</v>
      </c>
      <c r="AI436">
        <v>3.7202950918930648</v>
      </c>
      <c r="AJ436">
        <v>4.9575460593859777</v>
      </c>
      <c r="AK436">
        <v>8.6778411512790434</v>
      </c>
      <c r="AL436">
        <v>127.54379286560008</v>
      </c>
      <c r="AM436">
        <v>42.279110166320081</v>
      </c>
      <c r="AN436">
        <v>3.3148700706173844</v>
      </c>
      <c r="AO436">
        <v>12.1</v>
      </c>
      <c r="AP436">
        <v>14.769542694307722</v>
      </c>
      <c r="AQ436">
        <v>18.837634941224213</v>
      </c>
      <c r="AR436">
        <v>44.55541960821693</v>
      </c>
      <c r="AS436">
        <v>-0.52007377806536725</v>
      </c>
      <c r="AT436">
        <v>10.45521330301856</v>
      </c>
      <c r="AU436">
        <v>24.729028737570918</v>
      </c>
    </row>
    <row r="437" spans="1:47" x14ac:dyDescent="0.35">
      <c r="A437">
        <v>435</v>
      </c>
      <c r="B437">
        <v>46048</v>
      </c>
      <c r="C437" t="s">
        <v>16</v>
      </c>
      <c r="D437" t="s">
        <v>287</v>
      </c>
      <c r="E437" t="s">
        <v>235</v>
      </c>
      <c r="F437" t="s">
        <v>274</v>
      </c>
      <c r="G437" t="s">
        <v>275</v>
      </c>
      <c r="H437" t="s">
        <v>22</v>
      </c>
      <c r="I437" t="s">
        <v>23</v>
      </c>
      <c r="J437" t="s">
        <v>215</v>
      </c>
      <c r="K437" t="s">
        <v>286</v>
      </c>
      <c r="L437">
        <v>28</v>
      </c>
      <c r="M437">
        <v>60</v>
      </c>
      <c r="N437">
        <v>1</v>
      </c>
      <c r="O437">
        <v>2</v>
      </c>
      <c r="P437">
        <v>273</v>
      </c>
      <c r="Q437">
        <v>0.50039999999999996</v>
      </c>
      <c r="R437">
        <v>460.84930124863939</v>
      </c>
      <c r="S437">
        <v>201.44930124863942</v>
      </c>
      <c r="T437">
        <v>0.3972222222222222</v>
      </c>
      <c r="U437">
        <v>40.5</v>
      </c>
      <c r="V437">
        <v>0.73819444444444449</v>
      </c>
      <c r="W437">
        <v>72.5</v>
      </c>
      <c r="X437">
        <v>12.3</v>
      </c>
      <c r="Y437">
        <v>40</v>
      </c>
      <c r="Z437">
        <v>0.40138888888888891</v>
      </c>
      <c r="AA437">
        <v>71.5</v>
      </c>
      <c r="AB437">
        <v>17.600000000000001</v>
      </c>
      <c r="AD437">
        <v>32</v>
      </c>
      <c r="AE437">
        <v>31.5</v>
      </c>
      <c r="AF437">
        <v>30.746240428868305</v>
      </c>
      <c r="AG437">
        <v>29.508734798790837</v>
      </c>
      <c r="AH437">
        <v>60.254975227659145</v>
      </c>
      <c r="AI437">
        <v>3.7817875727508019</v>
      </c>
      <c r="AJ437">
        <v>5.1935373245871874</v>
      </c>
      <c r="AK437">
        <v>8.9753248973379893</v>
      </c>
      <c r="AL437">
        <v>130.74767622388154</v>
      </c>
      <c r="AM437">
        <v>43.712619440417164</v>
      </c>
      <c r="AN437">
        <v>3.3432807911298772</v>
      </c>
      <c r="AO437">
        <v>12.3</v>
      </c>
      <c r="AP437">
        <v>14.895574786026964</v>
      </c>
      <c r="AQ437">
        <v>19.475617892920667</v>
      </c>
      <c r="AR437">
        <v>44.553765347938175</v>
      </c>
      <c r="AS437">
        <v>-0.65095781265474117</v>
      </c>
      <c r="AT437">
        <v>10.809304878977423</v>
      </c>
      <c r="AU437">
        <v>24.728110594495792</v>
      </c>
    </row>
    <row r="438" spans="1:47" x14ac:dyDescent="0.35">
      <c r="A438">
        <v>436</v>
      </c>
      <c r="B438">
        <v>46048</v>
      </c>
      <c r="C438" t="s">
        <v>16</v>
      </c>
      <c r="D438" t="s">
        <v>287</v>
      </c>
      <c r="E438" t="s">
        <v>235</v>
      </c>
      <c r="F438" t="s">
        <v>274</v>
      </c>
      <c r="G438" t="s">
        <v>275</v>
      </c>
      <c r="H438" t="s">
        <v>22</v>
      </c>
      <c r="I438" t="s">
        <v>23</v>
      </c>
      <c r="J438" t="s">
        <v>215</v>
      </c>
      <c r="K438" t="s">
        <v>286</v>
      </c>
      <c r="L438">
        <v>28</v>
      </c>
      <c r="M438">
        <v>60</v>
      </c>
      <c r="N438">
        <v>1</v>
      </c>
      <c r="O438">
        <v>3</v>
      </c>
      <c r="P438">
        <v>274</v>
      </c>
      <c r="Q438">
        <v>0.5</v>
      </c>
      <c r="R438">
        <v>460.48091651542705</v>
      </c>
      <c r="S438">
        <v>200.58091651542702</v>
      </c>
      <c r="T438">
        <v>0.3972222222222222</v>
      </c>
      <c r="U438">
        <v>40.5</v>
      </c>
      <c r="V438">
        <v>0.73888888888888893</v>
      </c>
      <c r="W438">
        <v>72</v>
      </c>
      <c r="X438">
        <v>12.4</v>
      </c>
      <c r="Y438">
        <v>40</v>
      </c>
      <c r="Z438">
        <v>0.40208333333333335</v>
      </c>
      <c r="AA438">
        <v>72.5</v>
      </c>
      <c r="AB438">
        <v>17.2</v>
      </c>
      <c r="AD438">
        <v>31.5</v>
      </c>
      <c r="AE438">
        <v>32.5</v>
      </c>
      <c r="AF438">
        <v>30.246240428868305</v>
      </c>
      <c r="AG438">
        <v>30.508734798790837</v>
      </c>
      <c r="AH438">
        <v>60.754975227659145</v>
      </c>
      <c r="AI438">
        <v>3.7505338131796697</v>
      </c>
      <c r="AJ438">
        <v>5.2475023853920231</v>
      </c>
      <c r="AK438">
        <v>8.9980361985716932</v>
      </c>
      <c r="AL438">
        <v>131.93809569223208</v>
      </c>
      <c r="AM438">
        <v>43.559007403232343</v>
      </c>
      <c r="AN438">
        <v>3.3014731018129213</v>
      </c>
      <c r="AO438">
        <v>12.4</v>
      </c>
      <c r="AP438">
        <v>14.810369298735672</v>
      </c>
      <c r="AQ438">
        <v>19.540519217738833</v>
      </c>
      <c r="AR438">
        <v>44.859881761880573</v>
      </c>
      <c r="AS438">
        <v>-0.63823058168783364</v>
      </c>
      <c r="AT438">
        <v>10.845326237111795</v>
      </c>
      <c r="AU438">
        <v>24.898010500365547</v>
      </c>
    </row>
    <row r="439" spans="1:47" x14ac:dyDescent="0.35">
      <c r="A439">
        <v>437</v>
      </c>
      <c r="B439">
        <v>46048</v>
      </c>
      <c r="C439" t="s">
        <v>16</v>
      </c>
      <c r="D439" t="s">
        <v>289</v>
      </c>
      <c r="E439" t="s">
        <v>290</v>
      </c>
      <c r="F439" t="s">
        <v>291</v>
      </c>
      <c r="G439" t="s">
        <v>292</v>
      </c>
      <c r="H439" t="s">
        <v>22</v>
      </c>
      <c r="I439" t="s">
        <v>23</v>
      </c>
      <c r="J439" t="s">
        <v>215</v>
      </c>
      <c r="K439" t="s">
        <v>288</v>
      </c>
      <c r="L439">
        <v>28</v>
      </c>
      <c r="M439">
        <v>60</v>
      </c>
      <c r="N439">
        <v>1</v>
      </c>
      <c r="O439">
        <v>1</v>
      </c>
      <c r="P439">
        <v>275</v>
      </c>
      <c r="Q439">
        <v>0.50009999999999999</v>
      </c>
      <c r="R439">
        <v>458.08352488506898</v>
      </c>
      <c r="S439">
        <v>252.38352488506899</v>
      </c>
      <c r="T439">
        <v>0.39791666666666664</v>
      </c>
      <c r="U439">
        <v>40.5</v>
      </c>
      <c r="V439">
        <v>0.73958333333333337</v>
      </c>
      <c r="W439">
        <v>70</v>
      </c>
      <c r="X439">
        <v>12.4</v>
      </c>
      <c r="Y439">
        <v>40</v>
      </c>
      <c r="Z439">
        <v>0.40208333333333335</v>
      </c>
      <c r="AA439">
        <v>85.5</v>
      </c>
      <c r="AB439">
        <v>16.100000000000001</v>
      </c>
      <c r="AD439">
        <v>29.5</v>
      </c>
      <c r="AE439">
        <v>45.5</v>
      </c>
      <c r="AF439">
        <v>28.246240428868305</v>
      </c>
      <c r="AG439">
        <v>43.50873479879084</v>
      </c>
      <c r="AH439">
        <v>71.754975227659145</v>
      </c>
      <c r="AI439">
        <v>3.5025338131796699</v>
      </c>
      <c r="AJ439">
        <v>7.0049063026053258</v>
      </c>
      <c r="AK439">
        <v>10.507440115784995</v>
      </c>
      <c r="AL439">
        <v>156.64168504130799</v>
      </c>
      <c r="AM439">
        <v>55.095525417202204</v>
      </c>
      <c r="AN439">
        <v>3.5172965231236479</v>
      </c>
      <c r="AO439">
        <v>12.400000000000002</v>
      </c>
      <c r="AP439">
        <v>14.643500443624609</v>
      </c>
      <c r="AQ439">
        <v>22.937825843924998</v>
      </c>
      <c r="AR439">
        <v>41.632828927997174</v>
      </c>
      <c r="AS439">
        <v>-2.0076370693381631</v>
      </c>
      <c r="AT439">
        <v>12.730890191576366</v>
      </c>
      <c r="AU439">
        <v>23.106940346196357</v>
      </c>
    </row>
    <row r="440" spans="1:47" x14ac:dyDescent="0.35">
      <c r="A440">
        <v>438</v>
      </c>
      <c r="B440">
        <v>46048</v>
      </c>
      <c r="C440" t="s">
        <v>16</v>
      </c>
      <c r="D440" t="s">
        <v>289</v>
      </c>
      <c r="E440" t="s">
        <v>290</v>
      </c>
      <c r="F440" t="s">
        <v>291</v>
      </c>
      <c r="G440" t="s">
        <v>292</v>
      </c>
      <c r="H440" t="s">
        <v>22</v>
      </c>
      <c r="I440" t="s">
        <v>23</v>
      </c>
      <c r="J440" t="s">
        <v>215</v>
      </c>
      <c r="K440" t="s">
        <v>288</v>
      </c>
      <c r="L440">
        <v>28</v>
      </c>
      <c r="M440">
        <v>60</v>
      </c>
      <c r="N440">
        <v>1</v>
      </c>
      <c r="O440">
        <v>2</v>
      </c>
      <c r="P440">
        <v>1</v>
      </c>
      <c r="Q440">
        <v>0.50009999999999999</v>
      </c>
      <c r="R440">
        <v>458.08352488506898</v>
      </c>
      <c r="S440">
        <v>256.98352488506907</v>
      </c>
      <c r="T440">
        <v>0.39791666666666664</v>
      </c>
      <c r="U440">
        <v>40.5</v>
      </c>
      <c r="V440">
        <v>0.73958333333333337</v>
      </c>
      <c r="W440">
        <v>73</v>
      </c>
      <c r="X440">
        <v>12.2</v>
      </c>
      <c r="Y440">
        <v>40</v>
      </c>
      <c r="Z440">
        <v>0.40208333333333335</v>
      </c>
      <c r="AA440">
        <v>87</v>
      </c>
      <c r="AB440">
        <v>17.5</v>
      </c>
      <c r="AD440">
        <v>32.5</v>
      </c>
      <c r="AE440">
        <v>47</v>
      </c>
      <c r="AF440">
        <v>31.246240428868305</v>
      </c>
      <c r="AG440">
        <v>45.00873479879084</v>
      </c>
      <c r="AH440">
        <v>76.254975227659145</v>
      </c>
      <c r="AI440">
        <v>3.8120413323219329</v>
      </c>
      <c r="AJ440">
        <v>7.8765285897883963</v>
      </c>
      <c r="AK440">
        <v>11.688569922110329</v>
      </c>
      <c r="AL440">
        <v>166.46522104629534</v>
      </c>
      <c r="AM440">
        <v>56.099709097712051</v>
      </c>
      <c r="AN440">
        <v>3.3700558438035686</v>
      </c>
      <c r="AO440">
        <v>12.2</v>
      </c>
      <c r="AP440">
        <v>15.328271876312483</v>
      </c>
      <c r="AQ440">
        <v>25.516241661480702</v>
      </c>
      <c r="AR440">
        <v>45.483732575221765</v>
      </c>
      <c r="AS440">
        <v>-4.05792789084418</v>
      </c>
      <c r="AT440">
        <v>14.16195557958998</v>
      </c>
      <c r="AU440">
        <v>25.244258495036576</v>
      </c>
    </row>
    <row r="441" spans="1:47" x14ac:dyDescent="0.35">
      <c r="A441">
        <v>439</v>
      </c>
      <c r="B441">
        <v>46048</v>
      </c>
      <c r="C441" t="s">
        <v>16</v>
      </c>
      <c r="D441" t="s">
        <v>289</v>
      </c>
      <c r="E441" t="s">
        <v>290</v>
      </c>
      <c r="F441" t="s">
        <v>291</v>
      </c>
      <c r="G441" t="s">
        <v>292</v>
      </c>
      <c r="H441" t="s">
        <v>22</v>
      </c>
      <c r="I441" t="s">
        <v>23</v>
      </c>
      <c r="J441" t="s">
        <v>215</v>
      </c>
      <c r="K441" t="s">
        <v>288</v>
      </c>
      <c r="L441">
        <v>28</v>
      </c>
      <c r="M441">
        <v>60</v>
      </c>
      <c r="N441">
        <v>1</v>
      </c>
      <c r="O441">
        <v>3</v>
      </c>
      <c r="P441">
        <v>2</v>
      </c>
      <c r="Q441">
        <v>0.50019999999999998</v>
      </c>
      <c r="R441">
        <v>458.17512327036894</v>
      </c>
      <c r="S441">
        <v>234.87512327036887</v>
      </c>
      <c r="T441">
        <v>0.39861111111111114</v>
      </c>
      <c r="U441">
        <v>40.5</v>
      </c>
      <c r="V441">
        <v>0.74027777777777781</v>
      </c>
      <c r="W441">
        <v>73</v>
      </c>
      <c r="X441">
        <v>12.6</v>
      </c>
      <c r="Y441">
        <v>40.5</v>
      </c>
      <c r="Z441">
        <v>0.40277777777777779</v>
      </c>
      <c r="AA441">
        <v>89</v>
      </c>
      <c r="AB441">
        <v>16</v>
      </c>
      <c r="AD441">
        <v>32.5</v>
      </c>
      <c r="AE441">
        <v>48.5</v>
      </c>
      <c r="AF441">
        <v>31.246240428868305</v>
      </c>
      <c r="AG441">
        <v>46.50873479879084</v>
      </c>
      <c r="AH441">
        <v>77.754975227659145</v>
      </c>
      <c r="AI441">
        <v>3.9370262940374063</v>
      </c>
      <c r="AJ441">
        <v>7.4413975678065345</v>
      </c>
      <c r="AK441">
        <v>11.378423861843942</v>
      </c>
      <c r="AL441">
        <v>169.70579867509736</v>
      </c>
      <c r="AM441">
        <v>51.263176750818303</v>
      </c>
      <c r="AN441">
        <v>3.0207086116698889</v>
      </c>
      <c r="AO441">
        <v>12.6</v>
      </c>
      <c r="AP441">
        <v>14.633692350269554</v>
      </c>
      <c r="AQ441">
        <v>24.83422447868157</v>
      </c>
      <c r="AR441">
        <v>48.444567919379175</v>
      </c>
      <c r="AS441">
        <v>-0.80046021984105176</v>
      </c>
      <c r="AT441">
        <v>13.783424243531224</v>
      </c>
      <c r="AU441">
        <v>26.887573336568927</v>
      </c>
    </row>
    <row r="442" spans="1:47" x14ac:dyDescent="0.35">
      <c r="A442">
        <v>440</v>
      </c>
      <c r="B442">
        <v>46048</v>
      </c>
      <c r="C442" t="s">
        <v>16</v>
      </c>
      <c r="D442" t="s">
        <v>294</v>
      </c>
      <c r="E442" t="s">
        <v>240</v>
      </c>
      <c r="F442" t="s">
        <v>241</v>
      </c>
      <c r="G442" t="s">
        <v>242</v>
      </c>
      <c r="H442" t="s">
        <v>22</v>
      </c>
      <c r="I442" t="s">
        <v>23</v>
      </c>
      <c r="J442" t="s">
        <v>215</v>
      </c>
      <c r="K442" t="s">
        <v>293</v>
      </c>
      <c r="L442">
        <v>28</v>
      </c>
      <c r="M442">
        <v>60</v>
      </c>
      <c r="N442">
        <v>1</v>
      </c>
      <c r="O442">
        <v>1</v>
      </c>
      <c r="P442">
        <v>276</v>
      </c>
      <c r="Q442">
        <v>0.50029999999999997</v>
      </c>
      <c r="R442">
        <v>464.01230808272004</v>
      </c>
      <c r="S442">
        <v>200.81230808272005</v>
      </c>
      <c r="T442">
        <v>0.39861111111111114</v>
      </c>
      <c r="U442">
        <v>40.5</v>
      </c>
      <c r="V442">
        <v>0.74097222222222225</v>
      </c>
      <c r="W442">
        <v>71</v>
      </c>
      <c r="X442">
        <v>11.5</v>
      </c>
      <c r="Y442">
        <v>40</v>
      </c>
      <c r="Z442">
        <v>0.40277777777777779</v>
      </c>
      <c r="AA442">
        <v>84.5</v>
      </c>
      <c r="AB442">
        <v>15.1</v>
      </c>
      <c r="AD442">
        <v>30.5</v>
      </c>
      <c r="AE442">
        <v>44.5</v>
      </c>
      <c r="AF442">
        <v>29.246240428868305</v>
      </c>
      <c r="AG442">
        <v>42.50873479879084</v>
      </c>
      <c r="AH442">
        <v>71.754975227659145</v>
      </c>
      <c r="AI442">
        <v>3.3633176493198551</v>
      </c>
      <c r="AJ442">
        <v>6.418818954617417</v>
      </c>
      <c r="AK442">
        <v>9.7821366039372712</v>
      </c>
      <c r="AL442">
        <v>154.64024116978229</v>
      </c>
      <c r="AM442">
        <v>43.277366695825016</v>
      </c>
      <c r="AN442">
        <v>2.7985837559778521</v>
      </c>
      <c r="AO442">
        <v>11.5</v>
      </c>
      <c r="AP442">
        <v>13.632694559368455</v>
      </c>
      <c r="AQ442">
        <v>21.081631744547167</v>
      </c>
      <c r="AR442">
        <v>48.712833876237028</v>
      </c>
      <c r="AS442">
        <v>10.668300505307538</v>
      </c>
      <c r="AT442">
        <v>11.700670352336907</v>
      </c>
      <c r="AU442">
        <v>27.036465583904562</v>
      </c>
    </row>
    <row r="443" spans="1:47" x14ac:dyDescent="0.35">
      <c r="A443">
        <v>441</v>
      </c>
      <c r="B443">
        <v>46048</v>
      </c>
      <c r="C443" t="s">
        <v>16</v>
      </c>
      <c r="D443" t="s">
        <v>294</v>
      </c>
      <c r="E443" t="s">
        <v>240</v>
      </c>
      <c r="F443" t="s">
        <v>241</v>
      </c>
      <c r="G443" t="s">
        <v>242</v>
      </c>
      <c r="H443" t="s">
        <v>22</v>
      </c>
      <c r="I443" t="s">
        <v>23</v>
      </c>
      <c r="J443" t="s">
        <v>215</v>
      </c>
      <c r="K443" t="s">
        <v>293</v>
      </c>
      <c r="L443">
        <v>28</v>
      </c>
      <c r="M443">
        <v>60</v>
      </c>
      <c r="N443">
        <v>1</v>
      </c>
      <c r="O443">
        <v>2</v>
      </c>
      <c r="P443">
        <v>277</v>
      </c>
      <c r="Q443">
        <v>0.50029999999999997</v>
      </c>
      <c r="R443">
        <v>464.01230808272004</v>
      </c>
      <c r="S443">
        <v>252.21230808272006</v>
      </c>
      <c r="T443">
        <v>0.39861111111111114</v>
      </c>
      <c r="U443">
        <v>41</v>
      </c>
      <c r="V443">
        <v>0.74097222222222225</v>
      </c>
      <c r="W443">
        <v>74</v>
      </c>
      <c r="X443">
        <v>11.3</v>
      </c>
      <c r="Y443">
        <v>40.5</v>
      </c>
      <c r="Z443">
        <v>0.40347222222222223</v>
      </c>
      <c r="AA443">
        <v>87.5</v>
      </c>
      <c r="AB443">
        <v>14.8</v>
      </c>
      <c r="AD443">
        <v>33</v>
      </c>
      <c r="AE443">
        <v>47</v>
      </c>
      <c r="AF443">
        <v>31.746240428868305</v>
      </c>
      <c r="AG443">
        <v>45.00873479879084</v>
      </c>
      <c r="AH443">
        <v>76.754975227659145</v>
      </c>
      <c r="AI443">
        <v>3.5873251684621184</v>
      </c>
      <c r="AJ443">
        <v>6.6612927502210448</v>
      </c>
      <c r="AK443">
        <v>10.248617918683163</v>
      </c>
      <c r="AL443">
        <v>165.41581740537782</v>
      </c>
      <c r="AM443">
        <v>54.354659066017241</v>
      </c>
      <c r="AN443">
        <v>3.2859408440253621</v>
      </c>
      <c r="AO443">
        <v>11.299999999999999</v>
      </c>
      <c r="AP443">
        <v>13.35238255016726</v>
      </c>
      <c r="AQ443">
        <v>22.086952738452208</v>
      </c>
      <c r="AR443">
        <v>40.634884144202204</v>
      </c>
      <c r="AS443">
        <v>0.50568647521666354</v>
      </c>
      <c r="AT443">
        <v>12.258640897050983</v>
      </c>
      <c r="AU443">
        <v>22.55306372570946</v>
      </c>
    </row>
    <row r="444" spans="1:47" x14ac:dyDescent="0.35">
      <c r="A444">
        <v>442</v>
      </c>
      <c r="B444">
        <v>46048</v>
      </c>
      <c r="C444" t="s">
        <v>16</v>
      </c>
      <c r="D444" t="s">
        <v>294</v>
      </c>
      <c r="E444" t="s">
        <v>240</v>
      </c>
      <c r="F444" t="s">
        <v>241</v>
      </c>
      <c r="G444" t="s">
        <v>242</v>
      </c>
      <c r="H444" t="s">
        <v>22</v>
      </c>
      <c r="I444" t="s">
        <v>23</v>
      </c>
      <c r="J444" t="s">
        <v>215</v>
      </c>
      <c r="K444" t="s">
        <v>293</v>
      </c>
      <c r="L444">
        <v>28</v>
      </c>
      <c r="M444">
        <v>60</v>
      </c>
      <c r="N444">
        <v>1</v>
      </c>
      <c r="O444">
        <v>3</v>
      </c>
      <c r="P444">
        <v>278</v>
      </c>
      <c r="Q444">
        <v>0.50019999999999998</v>
      </c>
      <c r="R444">
        <v>463.9195612691916</v>
      </c>
      <c r="S444">
        <v>249.21956126919162</v>
      </c>
      <c r="T444">
        <v>0.39930555555555558</v>
      </c>
      <c r="U444">
        <v>40.5</v>
      </c>
      <c r="V444">
        <v>0.7416666666666667</v>
      </c>
      <c r="W444">
        <v>70.5</v>
      </c>
      <c r="X444">
        <v>11.5</v>
      </c>
      <c r="Y444">
        <v>40</v>
      </c>
      <c r="Z444">
        <v>0.40347222222222223</v>
      </c>
      <c r="AA444">
        <v>84.5</v>
      </c>
      <c r="AB444">
        <v>14.8</v>
      </c>
      <c r="AD444">
        <v>30</v>
      </c>
      <c r="AE444">
        <v>44.5</v>
      </c>
      <c r="AF444">
        <v>28.746240428868305</v>
      </c>
      <c r="AG444">
        <v>42.50873479879084</v>
      </c>
      <c r="AH444">
        <v>71.254975227659145</v>
      </c>
      <c r="AI444">
        <v>3.305817649319855</v>
      </c>
      <c r="AJ444">
        <v>6.2912927502210456</v>
      </c>
      <c r="AK444">
        <v>9.5971103995409006</v>
      </c>
      <c r="AL444">
        <v>153.59338380282932</v>
      </c>
      <c r="AM444">
        <v>53.720425279627463</v>
      </c>
      <c r="AN444">
        <v>3.497574176019806</v>
      </c>
      <c r="AO444">
        <v>11.5</v>
      </c>
      <c r="AP444">
        <v>13.468688142656987</v>
      </c>
      <c r="AQ444">
        <v>20.687013872157312</v>
      </c>
      <c r="AR444">
        <v>38.508656185196848</v>
      </c>
      <c r="AS444">
        <v>0.50092272856105879</v>
      </c>
      <c r="AT444">
        <v>11.481650605861706</v>
      </c>
      <c r="AU444">
        <v>21.37297042251064</v>
      </c>
    </row>
    <row r="445" spans="1:47" x14ac:dyDescent="0.35">
      <c r="A445">
        <v>443</v>
      </c>
      <c r="B445">
        <v>46048</v>
      </c>
      <c r="C445" t="s">
        <v>16</v>
      </c>
      <c r="D445" t="s">
        <v>296</v>
      </c>
      <c r="E445" t="s">
        <v>240</v>
      </c>
      <c r="F445" t="s">
        <v>297</v>
      </c>
      <c r="G445" t="s">
        <v>298</v>
      </c>
      <c r="H445" t="s">
        <v>22</v>
      </c>
      <c r="I445" t="s">
        <v>23</v>
      </c>
      <c r="J445" t="s">
        <v>215</v>
      </c>
      <c r="K445" t="s">
        <v>295</v>
      </c>
      <c r="L445">
        <v>28</v>
      </c>
      <c r="M445">
        <v>60</v>
      </c>
      <c r="N445">
        <v>1</v>
      </c>
      <c r="O445">
        <v>1</v>
      </c>
      <c r="P445">
        <v>279</v>
      </c>
      <c r="Q445">
        <v>0.5</v>
      </c>
      <c r="R445">
        <v>458.60621646293623</v>
      </c>
      <c r="S445">
        <v>279.30621646293622</v>
      </c>
      <c r="T445">
        <v>0.39930555555555558</v>
      </c>
      <c r="U445">
        <v>41</v>
      </c>
      <c r="V445">
        <v>0.74236111111111114</v>
      </c>
      <c r="W445">
        <v>78</v>
      </c>
      <c r="X445">
        <v>11.2</v>
      </c>
      <c r="Y445">
        <v>40.5</v>
      </c>
      <c r="Z445">
        <v>0.40416666666666667</v>
      </c>
      <c r="AA445">
        <v>88</v>
      </c>
      <c r="AB445">
        <v>15.2</v>
      </c>
      <c r="AD445">
        <v>37</v>
      </c>
      <c r="AE445">
        <v>47.5</v>
      </c>
      <c r="AF445">
        <v>35.746240428868305</v>
      </c>
      <c r="AG445">
        <v>45.50873479879084</v>
      </c>
      <c r="AH445">
        <v>81.254975227659145</v>
      </c>
      <c r="AI445">
        <v>4.0035789280332494</v>
      </c>
      <c r="AJ445">
        <v>6.9173276894162079</v>
      </c>
      <c r="AK445">
        <v>10.920906617449457</v>
      </c>
      <c r="AL445">
        <v>177.17809377803329</v>
      </c>
      <c r="AM445">
        <v>60.903277460371982</v>
      </c>
      <c r="AN445">
        <v>3.4374044872991427</v>
      </c>
      <c r="AO445">
        <v>11.2</v>
      </c>
      <c r="AP445">
        <v>13.440292839732463</v>
      </c>
      <c r="AQ445">
        <v>23.813254651623474</v>
      </c>
      <c r="AR445">
        <v>39.100120132480676</v>
      </c>
      <c r="AS445">
        <v>0.30312680936983077</v>
      </c>
      <c r="AT445">
        <v>13.21676832567614</v>
      </c>
      <c r="AU445">
        <v>21.701243146193423</v>
      </c>
    </row>
    <row r="446" spans="1:47" x14ac:dyDescent="0.35">
      <c r="A446">
        <v>444</v>
      </c>
      <c r="B446">
        <v>46048</v>
      </c>
      <c r="C446" t="s">
        <v>16</v>
      </c>
      <c r="D446" t="s">
        <v>296</v>
      </c>
      <c r="E446" t="s">
        <v>240</v>
      </c>
      <c r="F446" t="s">
        <v>297</v>
      </c>
      <c r="G446" t="s">
        <v>298</v>
      </c>
      <c r="H446" t="s">
        <v>22</v>
      </c>
      <c r="I446" t="s">
        <v>23</v>
      </c>
      <c r="J446" t="s">
        <v>215</v>
      </c>
      <c r="K446" t="s">
        <v>295</v>
      </c>
      <c r="L446">
        <v>28</v>
      </c>
      <c r="M446">
        <v>60</v>
      </c>
      <c r="N446">
        <v>1</v>
      </c>
      <c r="O446">
        <v>2</v>
      </c>
      <c r="P446">
        <v>0</v>
      </c>
      <c r="Q446">
        <v>0.50029999999999997</v>
      </c>
      <c r="R446">
        <v>458.88138019281399</v>
      </c>
      <c r="S446">
        <v>277.08138019281404</v>
      </c>
      <c r="T446">
        <v>0.39930555555555558</v>
      </c>
      <c r="U446">
        <v>40.5</v>
      </c>
      <c r="V446">
        <v>0.74236111111111114</v>
      </c>
      <c r="W446">
        <v>78</v>
      </c>
      <c r="X446">
        <v>11.5</v>
      </c>
      <c r="Y446">
        <v>40</v>
      </c>
      <c r="Z446">
        <v>0.40416666666666667</v>
      </c>
      <c r="AA446">
        <v>86.5</v>
      </c>
      <c r="AB446">
        <v>15.3</v>
      </c>
      <c r="AD446">
        <v>37.5</v>
      </c>
      <c r="AE446">
        <v>46.5</v>
      </c>
      <c r="AF446">
        <v>36.246240428868305</v>
      </c>
      <c r="AG446">
        <v>44.50873479879084</v>
      </c>
      <c r="AH446">
        <v>80.754975227659145</v>
      </c>
      <c r="AI446">
        <v>4.1683176493198548</v>
      </c>
      <c r="AJ446">
        <v>6.809836424214998</v>
      </c>
      <c r="AK446">
        <v>10.978154073534853</v>
      </c>
      <c r="AL446">
        <v>175.98224446092649</v>
      </c>
      <c r="AM446">
        <v>60.381918324162385</v>
      </c>
      <c r="AN446">
        <v>3.4311369598180712</v>
      </c>
      <c r="AO446">
        <v>11.5</v>
      </c>
      <c r="AP446">
        <v>13.594399654740725</v>
      </c>
      <c r="AQ446">
        <v>23.92372963340117</v>
      </c>
      <c r="AR446">
        <v>39.620684962285914</v>
      </c>
      <c r="AS446">
        <v>0.31210602660924391</v>
      </c>
      <c r="AT446">
        <v>13.278083851894628</v>
      </c>
      <c r="AU446">
        <v>21.990165633047265</v>
      </c>
    </row>
    <row r="447" spans="1:47" x14ac:dyDescent="0.35">
      <c r="A447">
        <v>445</v>
      </c>
      <c r="B447">
        <v>46048</v>
      </c>
      <c r="C447" t="s">
        <v>16</v>
      </c>
      <c r="D447" t="s">
        <v>296</v>
      </c>
      <c r="E447" t="s">
        <v>240</v>
      </c>
      <c r="F447" t="s">
        <v>297</v>
      </c>
      <c r="G447" t="s">
        <v>298</v>
      </c>
      <c r="H447" t="s">
        <v>22</v>
      </c>
      <c r="I447" t="s">
        <v>23</v>
      </c>
      <c r="J447" t="s">
        <v>215</v>
      </c>
      <c r="K447" t="s">
        <v>295</v>
      </c>
      <c r="L447">
        <v>28</v>
      </c>
      <c r="M447">
        <v>60</v>
      </c>
      <c r="N447">
        <v>1</v>
      </c>
      <c r="O447">
        <v>3</v>
      </c>
      <c r="P447">
        <v>0</v>
      </c>
      <c r="Q447">
        <v>0.50009999999999999</v>
      </c>
      <c r="R447">
        <v>458.69793770622886</v>
      </c>
      <c r="S447">
        <v>264.19793770622886</v>
      </c>
      <c r="T447">
        <v>0.39930555555555558</v>
      </c>
      <c r="U447">
        <v>41.5</v>
      </c>
      <c r="V447">
        <v>0.74236111111111114</v>
      </c>
      <c r="W447">
        <v>78</v>
      </c>
      <c r="X447">
        <v>11.1</v>
      </c>
      <c r="Y447">
        <v>40</v>
      </c>
      <c r="Z447">
        <v>0.40555555555555556</v>
      </c>
      <c r="AA447">
        <v>87.5</v>
      </c>
      <c r="AB447">
        <v>14.9</v>
      </c>
      <c r="AD447">
        <v>36.5</v>
      </c>
      <c r="AE447">
        <v>47.5</v>
      </c>
      <c r="AF447">
        <v>35.246240428868305</v>
      </c>
      <c r="AG447">
        <v>45.50873479879084</v>
      </c>
      <c r="AH447">
        <v>80.754975227659145</v>
      </c>
      <c r="AI447">
        <v>3.912332687604382</v>
      </c>
      <c r="AJ447">
        <v>6.7808014850198353</v>
      </c>
      <c r="AK447">
        <v>10.693134172624218</v>
      </c>
      <c r="AL447">
        <v>176.05262328294643</v>
      </c>
      <c r="AM447">
        <v>57.597367676728751</v>
      </c>
      <c r="AN447">
        <v>3.271599513979409</v>
      </c>
      <c r="AO447">
        <v>11.100000000000001</v>
      </c>
      <c r="AP447">
        <v>13.241455579026349</v>
      </c>
      <c r="AQ447">
        <v>23.31192990772195</v>
      </c>
      <c r="AR447">
        <v>40.473950196062077</v>
      </c>
      <c r="AS447">
        <v>0.34924129849631763</v>
      </c>
      <c r="AT447">
        <v>12.938524419372323</v>
      </c>
      <c r="AU447">
        <v>22.463742600167325</v>
      </c>
    </row>
    <row r="448" spans="1:47" x14ac:dyDescent="0.35">
      <c r="A448">
        <v>446</v>
      </c>
      <c r="B448">
        <v>46048</v>
      </c>
      <c r="C448" t="s">
        <v>16</v>
      </c>
      <c r="D448" t="s">
        <v>300</v>
      </c>
      <c r="E448" t="s">
        <v>212</v>
      </c>
      <c r="F448" t="s">
        <v>301</v>
      </c>
      <c r="G448" t="s">
        <v>302</v>
      </c>
      <c r="H448" t="s">
        <v>22</v>
      </c>
      <c r="I448" t="s">
        <v>23</v>
      </c>
      <c r="J448" t="s">
        <v>303</v>
      </c>
      <c r="K448" t="s">
        <v>299</v>
      </c>
      <c r="L448">
        <v>28</v>
      </c>
      <c r="M448">
        <v>60</v>
      </c>
      <c r="N448">
        <v>1</v>
      </c>
      <c r="O448">
        <v>1</v>
      </c>
      <c r="P448">
        <v>0</v>
      </c>
      <c r="Q448">
        <v>0.50009999999999999</v>
      </c>
      <c r="R448">
        <v>458.42292770722918</v>
      </c>
      <c r="S448">
        <v>279.52292770722909</v>
      </c>
      <c r="T448">
        <v>0.4</v>
      </c>
      <c r="U448">
        <v>40.5</v>
      </c>
      <c r="V448">
        <v>0.74305555555555558</v>
      </c>
      <c r="W448">
        <v>78.5</v>
      </c>
      <c r="X448">
        <v>12.1</v>
      </c>
      <c r="Y448">
        <v>40</v>
      </c>
      <c r="Z448">
        <v>0.40555555555555556</v>
      </c>
      <c r="AA448">
        <v>81.5</v>
      </c>
      <c r="AB448">
        <v>16.5</v>
      </c>
      <c r="AD448">
        <v>38</v>
      </c>
      <c r="AE448">
        <v>41.5</v>
      </c>
      <c r="AF448">
        <v>36.746240428868305</v>
      </c>
      <c r="AG448">
        <v>39.50873479879084</v>
      </c>
      <c r="AH448">
        <v>76.254975227659145</v>
      </c>
      <c r="AI448">
        <v>4.4462950918930648</v>
      </c>
      <c r="AJ448">
        <v>6.5189412418004888</v>
      </c>
      <c r="AK448">
        <v>10.965236333693554</v>
      </c>
      <c r="AL448">
        <v>166.34197510373917</v>
      </c>
      <c r="AM448">
        <v>60.974901300256477</v>
      </c>
      <c r="AN448">
        <v>3.6656352831105603</v>
      </c>
      <c r="AO448">
        <v>12.1</v>
      </c>
      <c r="AP448">
        <v>14.379699555283903</v>
      </c>
      <c r="AQ448">
        <v>23.919476254242849</v>
      </c>
      <c r="AR448">
        <v>39.228396838983052</v>
      </c>
      <c r="AS448">
        <v>0.47557090227846216</v>
      </c>
      <c r="AT448">
        <v>13.275723152873883</v>
      </c>
      <c r="AU448">
        <v>21.772438937622425</v>
      </c>
    </row>
    <row r="449" spans="1:47" x14ac:dyDescent="0.35">
      <c r="A449">
        <v>447</v>
      </c>
      <c r="B449">
        <v>46048</v>
      </c>
      <c r="C449" t="s">
        <v>16</v>
      </c>
      <c r="D449" t="s">
        <v>300</v>
      </c>
      <c r="E449" t="s">
        <v>212</v>
      </c>
      <c r="F449" t="s">
        <v>301</v>
      </c>
      <c r="G449" t="s">
        <v>302</v>
      </c>
      <c r="H449" t="s">
        <v>22</v>
      </c>
      <c r="I449" t="s">
        <v>23</v>
      </c>
      <c r="J449" t="s">
        <v>303</v>
      </c>
      <c r="K449" t="s">
        <v>299</v>
      </c>
      <c r="L449">
        <v>28</v>
      </c>
      <c r="M449">
        <v>60</v>
      </c>
      <c r="N449">
        <v>1</v>
      </c>
      <c r="O449">
        <v>2</v>
      </c>
      <c r="P449">
        <v>0</v>
      </c>
      <c r="Q449">
        <v>0.50039999999999996</v>
      </c>
      <c r="R449">
        <v>458.69792646410212</v>
      </c>
      <c r="S449">
        <v>268.79792646410215</v>
      </c>
      <c r="T449">
        <v>0.4</v>
      </c>
      <c r="U449">
        <v>40.5</v>
      </c>
      <c r="V449">
        <v>0.74305555555555558</v>
      </c>
      <c r="W449">
        <v>80</v>
      </c>
      <c r="X449">
        <v>12.2</v>
      </c>
      <c r="Y449">
        <v>40.5</v>
      </c>
      <c r="Z449">
        <v>0.40555555555555556</v>
      </c>
      <c r="AA449">
        <v>86.5</v>
      </c>
      <c r="AB449">
        <v>16.100000000000001</v>
      </c>
      <c r="AD449">
        <v>39.5</v>
      </c>
      <c r="AE449">
        <v>46</v>
      </c>
      <c r="AF449">
        <v>38.246240428868305</v>
      </c>
      <c r="AG449">
        <v>44.00873479879084</v>
      </c>
      <c r="AH449">
        <v>82.254975227659145</v>
      </c>
      <c r="AI449">
        <v>4.6660413323219334</v>
      </c>
      <c r="AJ449">
        <v>7.0854063026053256</v>
      </c>
      <c r="AK449">
        <v>11.75144763492726</v>
      </c>
      <c r="AL449">
        <v>179.32275356404179</v>
      </c>
      <c r="AM449">
        <v>58.6002052671451</v>
      </c>
      <c r="AN449">
        <v>3.2678622262075141</v>
      </c>
      <c r="AO449">
        <v>12.200000000000001</v>
      </c>
      <c r="AP449">
        <v>14.286610144131082</v>
      </c>
      <c r="AQ449">
        <v>25.619142701415576</v>
      </c>
      <c r="AR449">
        <v>43.718520412383697</v>
      </c>
      <c r="AS449">
        <v>0.63953536373054243</v>
      </c>
      <c r="AT449">
        <v>14.219067437048645</v>
      </c>
      <c r="AU449">
        <v>24.264535204658632</v>
      </c>
    </row>
    <row r="450" spans="1:47" x14ac:dyDescent="0.35">
      <c r="A450">
        <v>448</v>
      </c>
      <c r="B450">
        <v>46048</v>
      </c>
      <c r="C450" t="s">
        <v>16</v>
      </c>
      <c r="D450" t="s">
        <v>300</v>
      </c>
      <c r="E450" t="s">
        <v>212</v>
      </c>
      <c r="F450" t="s">
        <v>301</v>
      </c>
      <c r="G450" t="s">
        <v>302</v>
      </c>
      <c r="H450" t="s">
        <v>22</v>
      </c>
      <c r="I450" t="s">
        <v>23</v>
      </c>
      <c r="J450" t="s">
        <v>303</v>
      </c>
      <c r="K450" t="s">
        <v>299</v>
      </c>
      <c r="L450">
        <v>28</v>
      </c>
      <c r="M450">
        <v>60</v>
      </c>
      <c r="N450">
        <v>1</v>
      </c>
      <c r="O450">
        <v>3</v>
      </c>
      <c r="P450">
        <v>0</v>
      </c>
      <c r="Q450">
        <v>0.5</v>
      </c>
      <c r="R450">
        <v>458.33126145493821</v>
      </c>
      <c r="S450">
        <v>262.33126145493827</v>
      </c>
      <c r="T450">
        <v>0.40069444444444446</v>
      </c>
      <c r="U450">
        <v>40.5</v>
      </c>
      <c r="V450">
        <v>0.74375000000000002</v>
      </c>
      <c r="W450">
        <v>80</v>
      </c>
      <c r="X450">
        <v>12.2</v>
      </c>
      <c r="Y450">
        <v>40</v>
      </c>
      <c r="Z450">
        <v>0.40625</v>
      </c>
      <c r="AA450">
        <v>81</v>
      </c>
      <c r="AB450">
        <v>16.5</v>
      </c>
      <c r="AD450">
        <v>39.5</v>
      </c>
      <c r="AE450">
        <v>41</v>
      </c>
      <c r="AF450">
        <v>38.246240428868305</v>
      </c>
      <c r="AG450">
        <v>39.00873479879084</v>
      </c>
      <c r="AH450">
        <v>77.254975227659145</v>
      </c>
      <c r="AI450">
        <v>4.6660413323219334</v>
      </c>
      <c r="AJ450">
        <v>6.4364412418004893</v>
      </c>
      <c r="AK450">
        <v>11.102482574122423</v>
      </c>
      <c r="AL450">
        <v>168.55707154344876</v>
      </c>
      <c r="AM450">
        <v>57.236170324098637</v>
      </c>
      <c r="AN450">
        <v>3.3956552400914801</v>
      </c>
      <c r="AO450">
        <v>12.200000000000001</v>
      </c>
      <c r="AP450">
        <v>14.371220159484908</v>
      </c>
      <c r="AQ450">
        <v>24.223707845889507</v>
      </c>
      <c r="AR450">
        <v>42.322377106510203</v>
      </c>
      <c r="AS450">
        <v>0.70781340083813804</v>
      </c>
      <c r="AT450">
        <v>13.444576949760128</v>
      </c>
      <c r="AU450">
        <v>23.489651515170369</v>
      </c>
    </row>
    <row r="451" spans="1:47" x14ac:dyDescent="0.35">
      <c r="A451">
        <v>449</v>
      </c>
      <c r="B451">
        <v>46048</v>
      </c>
      <c r="C451" t="s">
        <v>16</v>
      </c>
      <c r="D451" t="s">
        <v>305</v>
      </c>
      <c r="E451" t="s">
        <v>212</v>
      </c>
      <c r="F451" t="s">
        <v>301</v>
      </c>
      <c r="G451" t="s">
        <v>302</v>
      </c>
      <c r="H451" t="s">
        <v>22</v>
      </c>
      <c r="I451" t="s">
        <v>23</v>
      </c>
      <c r="J451" t="s">
        <v>303</v>
      </c>
      <c r="K451" t="s">
        <v>304</v>
      </c>
      <c r="L451">
        <v>28</v>
      </c>
      <c r="M451">
        <v>60</v>
      </c>
      <c r="N451">
        <v>1</v>
      </c>
      <c r="O451">
        <v>1</v>
      </c>
      <c r="P451">
        <v>0</v>
      </c>
      <c r="Q451">
        <v>0.50039999999999996</v>
      </c>
      <c r="R451">
        <v>459.42747052309028</v>
      </c>
      <c r="S451">
        <v>209.22747052309029</v>
      </c>
      <c r="T451">
        <v>0.40069444444444446</v>
      </c>
      <c r="U451">
        <v>40.5</v>
      </c>
      <c r="V451">
        <v>0.74444444444444446</v>
      </c>
      <c r="W451">
        <v>78</v>
      </c>
      <c r="X451">
        <v>13.9</v>
      </c>
      <c r="Y451">
        <v>40</v>
      </c>
      <c r="Z451">
        <v>0.40625</v>
      </c>
      <c r="AA451">
        <v>72.5</v>
      </c>
      <c r="AB451">
        <v>16.5</v>
      </c>
      <c r="AD451">
        <v>37.5</v>
      </c>
      <c r="AE451">
        <v>32.5</v>
      </c>
      <c r="AF451">
        <v>36.246240428868305</v>
      </c>
      <c r="AG451">
        <v>30.508734798790837</v>
      </c>
      <c r="AH451">
        <v>66.754975227659145</v>
      </c>
      <c r="AI451">
        <v>5.0382274196126948</v>
      </c>
      <c r="AJ451">
        <v>5.0339412418004885</v>
      </c>
      <c r="AK451">
        <v>10.072168661413183</v>
      </c>
      <c r="AL451">
        <v>145.30035644506398</v>
      </c>
      <c r="AM451">
        <v>45.54091427856288</v>
      </c>
      <c r="AN451">
        <v>3.1342603275568188</v>
      </c>
      <c r="AO451">
        <v>13.900000000000002</v>
      </c>
      <c r="AP451">
        <v>15.088266645389899</v>
      </c>
      <c r="AQ451">
        <v>21.923305217133219</v>
      </c>
      <c r="AR451">
        <v>48.139800362886007</v>
      </c>
      <c r="AS451">
        <v>-1.2230495572276421</v>
      </c>
      <c r="AT451">
        <v>12.167813691446948</v>
      </c>
      <c r="AU451">
        <v>26.71842206992012</v>
      </c>
    </row>
    <row r="452" spans="1:47" x14ac:dyDescent="0.35">
      <c r="A452">
        <v>450</v>
      </c>
      <c r="B452">
        <v>46048</v>
      </c>
      <c r="C452" t="s">
        <v>16</v>
      </c>
      <c r="D452" t="s">
        <v>305</v>
      </c>
      <c r="E452" t="s">
        <v>212</v>
      </c>
      <c r="F452" t="s">
        <v>301</v>
      </c>
      <c r="G452" t="s">
        <v>302</v>
      </c>
      <c r="H452" t="s">
        <v>22</v>
      </c>
      <c r="I452" t="s">
        <v>23</v>
      </c>
      <c r="J452" t="s">
        <v>303</v>
      </c>
      <c r="K452" t="s">
        <v>304</v>
      </c>
      <c r="L452">
        <v>28</v>
      </c>
      <c r="M452">
        <v>60</v>
      </c>
      <c r="N452">
        <v>1</v>
      </c>
      <c r="O452">
        <v>2</v>
      </c>
      <c r="P452">
        <v>0</v>
      </c>
      <c r="Q452">
        <v>0.50049999999999994</v>
      </c>
      <c r="R452">
        <v>459.51928256755934</v>
      </c>
      <c r="S452">
        <v>229.1192825675594</v>
      </c>
      <c r="T452">
        <v>0.40138888888888891</v>
      </c>
      <c r="U452">
        <v>40.5</v>
      </c>
      <c r="V452">
        <v>0.74444444444444446</v>
      </c>
      <c r="W452">
        <v>76</v>
      </c>
      <c r="X452">
        <v>13.8</v>
      </c>
      <c r="Y452">
        <v>40</v>
      </c>
      <c r="Z452">
        <v>0.40694444444444444</v>
      </c>
      <c r="AA452">
        <v>68.5</v>
      </c>
      <c r="AB452">
        <v>17.2</v>
      </c>
      <c r="AD452">
        <v>35.5</v>
      </c>
      <c r="AE452">
        <v>28.5</v>
      </c>
      <c r="AF452">
        <v>34.246240428868305</v>
      </c>
      <c r="AG452">
        <v>26.508734798790837</v>
      </c>
      <c r="AH452">
        <v>60.754975227659145</v>
      </c>
      <c r="AI452">
        <v>4.7259811791838269</v>
      </c>
      <c r="AJ452">
        <v>4.5595023853920233</v>
      </c>
      <c r="AK452">
        <v>9.2854835645758502</v>
      </c>
      <c r="AL452">
        <v>132.21420195512002</v>
      </c>
      <c r="AM452">
        <v>49.86064595317039</v>
      </c>
      <c r="AN452">
        <v>3.7712019749660137</v>
      </c>
      <c r="AO452">
        <v>13.800000000000004</v>
      </c>
      <c r="AP452">
        <v>15.283494939766786</v>
      </c>
      <c r="AQ452">
        <v>20.206950865463806</v>
      </c>
      <c r="AR452">
        <v>40.526853351323155</v>
      </c>
      <c r="AS452">
        <v>26.529492800823263</v>
      </c>
      <c r="AT452">
        <v>11.215207331558458</v>
      </c>
      <c r="AU452">
        <v>22.493104766616725</v>
      </c>
    </row>
    <row r="453" spans="1:47" x14ac:dyDescent="0.35">
      <c r="A453">
        <v>451</v>
      </c>
      <c r="B453">
        <v>46048</v>
      </c>
      <c r="C453" t="s">
        <v>16</v>
      </c>
      <c r="D453" t="s">
        <v>305</v>
      </c>
      <c r="E453" t="s">
        <v>212</v>
      </c>
      <c r="F453" t="s">
        <v>301</v>
      </c>
      <c r="G453" t="s">
        <v>302</v>
      </c>
      <c r="H453" t="s">
        <v>22</v>
      </c>
      <c r="I453" t="s">
        <v>23</v>
      </c>
      <c r="J453" t="s">
        <v>303</v>
      </c>
      <c r="K453" t="s">
        <v>304</v>
      </c>
      <c r="L453">
        <v>28</v>
      </c>
      <c r="M453">
        <v>60</v>
      </c>
      <c r="N453">
        <v>1</v>
      </c>
      <c r="O453">
        <v>3</v>
      </c>
      <c r="P453">
        <v>0</v>
      </c>
      <c r="Q453">
        <v>0.50019999999999998</v>
      </c>
      <c r="R453">
        <v>459.2438464341522</v>
      </c>
      <c r="S453">
        <v>217.3438464341522</v>
      </c>
      <c r="T453">
        <v>0.40138888888888891</v>
      </c>
      <c r="U453">
        <v>40.5</v>
      </c>
      <c r="V453">
        <v>0.74513888888888891</v>
      </c>
      <c r="W453">
        <v>75</v>
      </c>
      <c r="X453">
        <v>14.3</v>
      </c>
      <c r="Y453">
        <v>40</v>
      </c>
      <c r="Z453">
        <v>0.40694444444444444</v>
      </c>
      <c r="AA453">
        <v>74.5</v>
      </c>
      <c r="AB453">
        <v>17</v>
      </c>
      <c r="AD453">
        <v>34.5</v>
      </c>
      <c r="AE453">
        <v>34.5</v>
      </c>
      <c r="AF453">
        <v>33.246240428868305</v>
      </c>
      <c r="AG453">
        <v>32.50873479879084</v>
      </c>
      <c r="AH453">
        <v>65.754975227659145</v>
      </c>
      <c r="AI453">
        <v>4.754212381328168</v>
      </c>
      <c r="AJ453">
        <v>5.5264849157944429</v>
      </c>
      <c r="AK453">
        <v>10.280697297122611</v>
      </c>
      <c r="AL453">
        <v>143.18096091699576</v>
      </c>
      <c r="AM453">
        <v>47.326458072708355</v>
      </c>
      <c r="AN453">
        <v>3.3053597188905757</v>
      </c>
      <c r="AO453">
        <v>14.3</v>
      </c>
      <c r="AP453">
        <v>15.634858444594386</v>
      </c>
      <c r="AQ453">
        <v>22.386140558982294</v>
      </c>
      <c r="AR453">
        <v>47.301533794458322</v>
      </c>
      <c r="AS453">
        <v>-2.1936400382439318</v>
      </c>
      <c r="AT453">
        <v>12.424695313705053</v>
      </c>
      <c r="AU453">
        <v>26.253169621560954</v>
      </c>
    </row>
    <row r="454" spans="1:47" x14ac:dyDescent="0.35">
      <c r="A454">
        <v>452</v>
      </c>
      <c r="B454">
        <v>46048</v>
      </c>
      <c r="C454" t="s">
        <v>16</v>
      </c>
      <c r="D454" t="s">
        <v>307</v>
      </c>
      <c r="E454" t="s">
        <v>212</v>
      </c>
      <c r="F454" t="s">
        <v>213</v>
      </c>
      <c r="G454" t="s">
        <v>214</v>
      </c>
      <c r="H454" t="s">
        <v>22</v>
      </c>
      <c r="I454" t="s">
        <v>23</v>
      </c>
      <c r="J454" t="s">
        <v>215</v>
      </c>
      <c r="K454" t="s">
        <v>306</v>
      </c>
      <c r="L454">
        <v>28</v>
      </c>
      <c r="M454">
        <v>60</v>
      </c>
      <c r="N454">
        <v>1</v>
      </c>
      <c r="O454">
        <v>1</v>
      </c>
      <c r="P454">
        <v>0</v>
      </c>
      <c r="Q454">
        <v>0.50049999999999994</v>
      </c>
      <c r="R454">
        <v>453.99711928991366</v>
      </c>
      <c r="S454">
        <v>164.1971192899137</v>
      </c>
      <c r="T454">
        <v>0.40208333333333335</v>
      </c>
      <c r="U454">
        <v>40.5</v>
      </c>
      <c r="V454">
        <v>0.74583333333333335</v>
      </c>
      <c r="W454">
        <v>71.5</v>
      </c>
      <c r="X454">
        <v>14.3</v>
      </c>
      <c r="Y454">
        <v>40</v>
      </c>
      <c r="Z454">
        <v>0.40763888888888888</v>
      </c>
      <c r="AA454">
        <v>71.5</v>
      </c>
      <c r="AB454">
        <v>17.399999999999999</v>
      </c>
      <c r="AD454">
        <v>31</v>
      </c>
      <c r="AE454">
        <v>31.5</v>
      </c>
      <c r="AF454">
        <v>29.746240428868305</v>
      </c>
      <c r="AG454">
        <v>29.508734798790837</v>
      </c>
      <c r="AH454">
        <v>59.254975227659145</v>
      </c>
      <c r="AI454">
        <v>4.2537123813281683</v>
      </c>
      <c r="AJ454">
        <v>5.1345198549896054</v>
      </c>
      <c r="AK454">
        <v>9.3882322363177728</v>
      </c>
      <c r="AL454">
        <v>130.51839474298532</v>
      </c>
      <c r="AM454">
        <v>36.1669958493857</v>
      </c>
      <c r="AN454">
        <v>2.7710267139436668</v>
      </c>
      <c r="AO454">
        <v>14.300000000000002</v>
      </c>
      <c r="AP454">
        <v>15.843787294227939</v>
      </c>
      <c r="AQ454">
        <v>20.679056842919373</v>
      </c>
      <c r="AR454">
        <v>57.176595283267389</v>
      </c>
      <c r="AS454">
        <v>-0.98818270469161085</v>
      </c>
      <c r="AT454">
        <v>11.477234316969785</v>
      </c>
      <c r="AU454">
        <v>31.733999596664674</v>
      </c>
    </row>
    <row r="455" spans="1:47" x14ac:dyDescent="0.35">
      <c r="A455">
        <v>453</v>
      </c>
      <c r="B455">
        <v>46048</v>
      </c>
      <c r="C455" t="s">
        <v>16</v>
      </c>
      <c r="D455" t="s">
        <v>307</v>
      </c>
      <c r="E455" t="s">
        <v>212</v>
      </c>
      <c r="F455" t="s">
        <v>213</v>
      </c>
      <c r="G455" t="s">
        <v>214</v>
      </c>
      <c r="H455" t="s">
        <v>22</v>
      </c>
      <c r="I455" t="s">
        <v>23</v>
      </c>
      <c r="J455" t="s">
        <v>215</v>
      </c>
      <c r="K455" t="s">
        <v>306</v>
      </c>
      <c r="L455">
        <v>28</v>
      </c>
      <c r="M455">
        <v>60</v>
      </c>
      <c r="N455">
        <v>1</v>
      </c>
      <c r="O455">
        <v>2</v>
      </c>
      <c r="P455">
        <v>0</v>
      </c>
      <c r="Q455">
        <v>0.5</v>
      </c>
      <c r="R455">
        <v>453.54357571419951</v>
      </c>
      <c r="S455">
        <v>185.34357571419952</v>
      </c>
      <c r="T455">
        <v>0.40208333333333335</v>
      </c>
      <c r="U455">
        <v>40</v>
      </c>
      <c r="V455">
        <v>0.74652777777777779</v>
      </c>
      <c r="W455">
        <v>72.5</v>
      </c>
      <c r="X455">
        <v>14.8</v>
      </c>
      <c r="Y455">
        <v>40</v>
      </c>
      <c r="Z455">
        <v>0.40763888888888888</v>
      </c>
      <c r="AA455">
        <v>74</v>
      </c>
      <c r="AB455">
        <v>17.2</v>
      </c>
      <c r="AD455">
        <v>32.5</v>
      </c>
      <c r="AE455">
        <v>34</v>
      </c>
      <c r="AF455">
        <v>31.246240428868305</v>
      </c>
      <c r="AG455">
        <v>32.00873479879084</v>
      </c>
      <c r="AH455">
        <v>63.254975227659145</v>
      </c>
      <c r="AI455">
        <v>4.6244435834725097</v>
      </c>
      <c r="AJ455">
        <v>5.505502385392024</v>
      </c>
      <c r="AK455">
        <v>10.129945968864533</v>
      </c>
      <c r="AL455">
        <v>139.4683523585378</v>
      </c>
      <c r="AM455">
        <v>40.86566002447222</v>
      </c>
      <c r="AN455">
        <v>2.9301027317951647</v>
      </c>
      <c r="AO455">
        <v>14.800000000000002</v>
      </c>
      <c r="AP455">
        <v>16.014465158520952</v>
      </c>
      <c r="AQ455">
        <v>22.335110695621271</v>
      </c>
      <c r="AR455">
        <v>54.654961359356456</v>
      </c>
      <c r="AS455">
        <v>-7.0331544087429361</v>
      </c>
      <c r="AT455">
        <v>12.396372856670075</v>
      </c>
      <c r="AU455">
        <v>30.3344491420096</v>
      </c>
    </row>
    <row r="456" spans="1:47" x14ac:dyDescent="0.35">
      <c r="A456">
        <v>454</v>
      </c>
      <c r="B456">
        <v>46048</v>
      </c>
      <c r="C456" t="s">
        <v>16</v>
      </c>
      <c r="D456" t="s">
        <v>307</v>
      </c>
      <c r="E456" t="s">
        <v>212</v>
      </c>
      <c r="F456" t="s">
        <v>213</v>
      </c>
      <c r="G456" t="s">
        <v>214</v>
      </c>
      <c r="H456" t="s">
        <v>22</v>
      </c>
      <c r="I456" t="s">
        <v>23</v>
      </c>
      <c r="J456" t="s">
        <v>215</v>
      </c>
      <c r="K456" t="s">
        <v>306</v>
      </c>
      <c r="L456">
        <v>28</v>
      </c>
      <c r="M456">
        <v>60</v>
      </c>
      <c r="N456">
        <v>1</v>
      </c>
      <c r="O456">
        <v>3</v>
      </c>
      <c r="P456">
        <v>0</v>
      </c>
      <c r="Q456">
        <v>0.50009999999999999</v>
      </c>
      <c r="R456">
        <v>453.63428442934236</v>
      </c>
      <c r="S456">
        <v>176.93428442934231</v>
      </c>
      <c r="T456">
        <v>0.40277777777777779</v>
      </c>
      <c r="U456">
        <v>40</v>
      </c>
      <c r="V456">
        <v>0.74652777777777779</v>
      </c>
      <c r="W456">
        <v>72.5</v>
      </c>
      <c r="X456">
        <v>14.9</v>
      </c>
      <c r="Y456">
        <v>39.5</v>
      </c>
      <c r="Z456">
        <v>0.40833333333333333</v>
      </c>
      <c r="AA456">
        <v>73.5</v>
      </c>
      <c r="AB456">
        <v>17.3</v>
      </c>
      <c r="AD456">
        <v>32.5</v>
      </c>
      <c r="AE456">
        <v>34</v>
      </c>
      <c r="AF456">
        <v>31.246240428868305</v>
      </c>
      <c r="AG456">
        <v>32.00873479879084</v>
      </c>
      <c r="AH456">
        <v>63.254975227659145</v>
      </c>
      <c r="AI456">
        <v>4.6556898239013771</v>
      </c>
      <c r="AJ456">
        <v>5.5375111201908158</v>
      </c>
      <c r="AK456">
        <v>10.193200944092194</v>
      </c>
      <c r="AL456">
        <v>139.44046426568465</v>
      </c>
      <c r="AM456">
        <v>39.003728444361315</v>
      </c>
      <c r="AN456">
        <v>2.7971599671416083</v>
      </c>
      <c r="AO456">
        <v>14.899999999999999</v>
      </c>
      <c r="AP456">
        <v>16.114465158520954</v>
      </c>
      <c r="AQ456">
        <v>22.470085030973618</v>
      </c>
      <c r="AR456">
        <v>57.610095052905308</v>
      </c>
      <c r="AS456">
        <v>-2.1995074906032328</v>
      </c>
      <c r="AT456">
        <v>12.47128594798674</v>
      </c>
      <c r="AU456">
        <v>31.974599468809725</v>
      </c>
    </row>
    <row r="457" spans="1:47" x14ac:dyDescent="0.35">
      <c r="A457">
        <v>455</v>
      </c>
      <c r="B457">
        <v>46048</v>
      </c>
      <c r="C457" t="s">
        <v>16</v>
      </c>
      <c r="D457" t="s">
        <v>309</v>
      </c>
      <c r="E457" t="s">
        <v>212</v>
      </c>
      <c r="F457" t="s">
        <v>310</v>
      </c>
      <c r="G457" t="s">
        <v>311</v>
      </c>
      <c r="H457" t="s">
        <v>22</v>
      </c>
      <c r="I457" t="s">
        <v>23</v>
      </c>
      <c r="J457" t="s">
        <v>215</v>
      </c>
      <c r="K457" t="s">
        <v>308</v>
      </c>
      <c r="L457">
        <v>28</v>
      </c>
      <c r="M457">
        <v>60</v>
      </c>
      <c r="N457">
        <v>1</v>
      </c>
      <c r="O457">
        <v>1</v>
      </c>
      <c r="P457">
        <v>0</v>
      </c>
      <c r="Q457">
        <v>0.50029999999999997</v>
      </c>
      <c r="R457">
        <v>463.32322088955482</v>
      </c>
      <c r="S457">
        <v>180.52322088955475</v>
      </c>
      <c r="T457">
        <v>0.40277777777777779</v>
      </c>
      <c r="U457">
        <v>40.5</v>
      </c>
      <c r="V457">
        <v>0.74722222222222223</v>
      </c>
      <c r="W457">
        <v>67</v>
      </c>
      <c r="X457">
        <v>13.8</v>
      </c>
      <c r="Y457">
        <v>40</v>
      </c>
      <c r="Z457">
        <v>0.40902777777777777</v>
      </c>
      <c r="AA457">
        <v>74.5</v>
      </c>
      <c r="AB457">
        <v>16.5</v>
      </c>
      <c r="AD457">
        <v>26.5</v>
      </c>
      <c r="AE457">
        <v>34.5</v>
      </c>
      <c r="AF457">
        <v>25.246240428868305</v>
      </c>
      <c r="AG457">
        <v>32.50873479879084</v>
      </c>
      <c r="AH457">
        <v>57.754975227659145</v>
      </c>
      <c r="AI457">
        <v>3.4839811791838264</v>
      </c>
      <c r="AJ457">
        <v>5.3639412418004886</v>
      </c>
      <c r="AK457">
        <v>8.8479224209843146</v>
      </c>
      <c r="AL457">
        <v>124.65374629135316</v>
      </c>
      <c r="AM457">
        <v>38.962696612304512</v>
      </c>
      <c r="AN457">
        <v>3.1256739385302565</v>
      </c>
      <c r="AO457">
        <v>13.8</v>
      </c>
      <c r="AP457">
        <v>15.319757970819802</v>
      </c>
      <c r="AQ457">
        <v>19.096652233395069</v>
      </c>
      <c r="AR457">
        <v>49.012655421196641</v>
      </c>
      <c r="AS457">
        <v>-3.4621917182055859</v>
      </c>
      <c r="AT457">
        <v>10.598972381441417</v>
      </c>
      <c r="AU457">
        <v>27.202871728581112</v>
      </c>
    </row>
    <row r="458" spans="1:47" x14ac:dyDescent="0.35">
      <c r="A458">
        <v>456</v>
      </c>
      <c r="B458">
        <v>46048</v>
      </c>
      <c r="C458" t="s">
        <v>16</v>
      </c>
      <c r="D458" t="s">
        <v>309</v>
      </c>
      <c r="E458" t="s">
        <v>212</v>
      </c>
      <c r="F458" t="s">
        <v>310</v>
      </c>
      <c r="G458" t="s">
        <v>311</v>
      </c>
      <c r="H458" t="s">
        <v>22</v>
      </c>
      <c r="I458" t="s">
        <v>23</v>
      </c>
      <c r="J458" t="s">
        <v>215</v>
      </c>
      <c r="K458" t="s">
        <v>308</v>
      </c>
      <c r="L458">
        <v>28</v>
      </c>
      <c r="M458">
        <v>60</v>
      </c>
      <c r="N458">
        <v>1</v>
      </c>
      <c r="O458">
        <v>2</v>
      </c>
      <c r="P458">
        <v>0</v>
      </c>
      <c r="Q458">
        <v>0.5</v>
      </c>
      <c r="R458">
        <v>463.04539365336285</v>
      </c>
      <c r="S458">
        <v>114.64539365336282</v>
      </c>
      <c r="T458">
        <v>0.40277777777777779</v>
      </c>
      <c r="U458">
        <v>40.5</v>
      </c>
      <c r="V458">
        <v>0.74791666666666667</v>
      </c>
      <c r="W458">
        <v>69</v>
      </c>
      <c r="X458">
        <v>12.8</v>
      </c>
      <c r="Y458">
        <v>39.5</v>
      </c>
      <c r="Z458">
        <v>0.40902777777777777</v>
      </c>
      <c r="AA458">
        <v>73.5</v>
      </c>
      <c r="AB458">
        <v>16.399999999999999</v>
      </c>
      <c r="AD458">
        <v>28.5</v>
      </c>
      <c r="AE458">
        <v>34</v>
      </c>
      <c r="AF458">
        <v>27.246240428868305</v>
      </c>
      <c r="AG458">
        <v>32.00873479879084</v>
      </c>
      <c r="AH458">
        <v>59.254975227659145</v>
      </c>
      <c r="AI458">
        <v>3.4875187748951433</v>
      </c>
      <c r="AJ458">
        <v>5.2494325070016972</v>
      </c>
      <c r="AK458">
        <v>8.7369512818968396</v>
      </c>
      <c r="AL458">
        <v>127.96796175888015</v>
      </c>
      <c r="AM458">
        <v>24.75899668255564</v>
      </c>
      <c r="AN458">
        <v>1.934780889079647</v>
      </c>
      <c r="AO458">
        <v>12.8</v>
      </c>
      <c r="AP458">
        <v>14.744671225208089</v>
      </c>
      <c r="AQ458">
        <v>18.868455234946893</v>
      </c>
      <c r="AR458">
        <v>76.208480807467353</v>
      </c>
      <c r="AS458">
        <v>-0.33068451805168186</v>
      </c>
      <c r="AT458">
        <v>10.472319099257723</v>
      </c>
      <c r="AU458">
        <v>42.297025333971497</v>
      </c>
    </row>
    <row r="459" spans="1:47" x14ac:dyDescent="0.35">
      <c r="A459">
        <v>457</v>
      </c>
      <c r="B459">
        <v>46048</v>
      </c>
      <c r="C459" t="s">
        <v>16</v>
      </c>
      <c r="D459" t="s">
        <v>309</v>
      </c>
      <c r="E459" t="s">
        <v>212</v>
      </c>
      <c r="F459" t="s">
        <v>310</v>
      </c>
      <c r="G459" t="s">
        <v>311</v>
      </c>
      <c r="H459" t="s">
        <v>22</v>
      </c>
      <c r="I459" t="s">
        <v>23</v>
      </c>
      <c r="J459" t="s">
        <v>215</v>
      </c>
      <c r="K459" t="s">
        <v>308</v>
      </c>
      <c r="L459">
        <v>28</v>
      </c>
      <c r="M459">
        <v>60</v>
      </c>
      <c r="N459">
        <v>1</v>
      </c>
      <c r="O459">
        <v>3</v>
      </c>
      <c r="P459">
        <v>0</v>
      </c>
      <c r="Q459">
        <v>0.50029999999999997</v>
      </c>
      <c r="R459">
        <v>463.32322088955482</v>
      </c>
      <c r="S459">
        <v>151.42322088955473</v>
      </c>
      <c r="T459">
        <v>0.40277777777777779</v>
      </c>
      <c r="U459">
        <v>40</v>
      </c>
      <c r="V459">
        <v>0.74791666666666667</v>
      </c>
      <c r="W459">
        <v>67.5</v>
      </c>
      <c r="X459">
        <v>13.1</v>
      </c>
      <c r="Y459">
        <v>40</v>
      </c>
      <c r="Z459">
        <v>0.40972222222222221</v>
      </c>
      <c r="AA459">
        <v>74</v>
      </c>
      <c r="AB459">
        <v>16.399999999999999</v>
      </c>
      <c r="AD459">
        <v>27.5</v>
      </c>
      <c r="AE459">
        <v>34</v>
      </c>
      <c r="AF459">
        <v>26.246240428868305</v>
      </c>
      <c r="AG459">
        <v>32.00873479879084</v>
      </c>
      <c r="AH459">
        <v>58.254975227659145</v>
      </c>
      <c r="AI459">
        <v>3.4382574961817483</v>
      </c>
      <c r="AJ459">
        <v>5.2494325070016972</v>
      </c>
      <c r="AK459">
        <v>8.6876900031834445</v>
      </c>
      <c r="AL459">
        <v>125.73290653512429</v>
      </c>
      <c r="AM459">
        <v>32.6819839935565</v>
      </c>
      <c r="AN459">
        <v>2.5993182607630705</v>
      </c>
      <c r="AO459">
        <v>13.100000000000001</v>
      </c>
      <c r="AP459">
        <v>14.91321551375165</v>
      </c>
      <c r="AQ459">
        <v>18.750819323287022</v>
      </c>
      <c r="AR459">
        <v>57.373564979971491</v>
      </c>
      <c r="AS459">
        <v>-0.66275189270248791</v>
      </c>
      <c r="AT459">
        <v>10.407029133063105</v>
      </c>
      <c r="AU459">
        <v>31.843321186115666</v>
      </c>
    </row>
    <row r="460" spans="1:47" x14ac:dyDescent="0.35">
      <c r="A460">
        <v>458</v>
      </c>
      <c r="B460">
        <v>46048</v>
      </c>
      <c r="C460" t="s">
        <v>16</v>
      </c>
      <c r="D460" t="s">
        <v>313</v>
      </c>
      <c r="E460" t="s">
        <v>290</v>
      </c>
      <c r="F460" t="s">
        <v>314</v>
      </c>
      <c r="G460" t="s">
        <v>315</v>
      </c>
      <c r="H460" t="s">
        <v>22</v>
      </c>
      <c r="I460" t="s">
        <v>23</v>
      </c>
      <c r="J460" t="s">
        <v>215</v>
      </c>
      <c r="K460" t="s">
        <v>312</v>
      </c>
      <c r="L460">
        <v>28</v>
      </c>
      <c r="M460">
        <v>60</v>
      </c>
      <c r="N460">
        <v>1</v>
      </c>
      <c r="O460">
        <v>1</v>
      </c>
      <c r="P460">
        <v>0</v>
      </c>
      <c r="Q460">
        <v>0.50049999999999994</v>
      </c>
      <c r="R460">
        <v>449.58697595354431</v>
      </c>
      <c r="S460">
        <v>169.18697595354422</v>
      </c>
      <c r="T460">
        <v>0.40277777777777779</v>
      </c>
      <c r="U460">
        <v>41</v>
      </c>
      <c r="V460">
        <v>0.74861111111111112</v>
      </c>
      <c r="W460">
        <v>65</v>
      </c>
      <c r="X460">
        <v>12.3</v>
      </c>
      <c r="Y460">
        <v>40.5</v>
      </c>
      <c r="Z460">
        <v>0.40972222222222221</v>
      </c>
      <c r="AA460">
        <v>77.5</v>
      </c>
      <c r="AB460">
        <v>16</v>
      </c>
      <c r="AD460">
        <v>24</v>
      </c>
      <c r="AE460">
        <v>37</v>
      </c>
      <c r="AF460">
        <v>22.746240428868305</v>
      </c>
      <c r="AG460">
        <v>35.00873479879084</v>
      </c>
      <c r="AH460">
        <v>57.754975227659145</v>
      </c>
      <c r="AI460">
        <v>2.7977875727508019</v>
      </c>
      <c r="AJ460">
        <v>5.6013975678065346</v>
      </c>
      <c r="AK460">
        <v>8.3991851405573357</v>
      </c>
      <c r="AL460">
        <v>128.46229610002527</v>
      </c>
      <c r="AM460">
        <v>37.631645266126718</v>
      </c>
      <c r="AN460">
        <v>2.9293922348099239</v>
      </c>
      <c r="AO460">
        <v>12.3</v>
      </c>
      <c r="AP460">
        <v>14.54279065560905</v>
      </c>
      <c r="AQ460">
        <v>18.682002793215304</v>
      </c>
      <c r="AR460">
        <v>49.644395457860803</v>
      </c>
      <c r="AS460">
        <v>-0.33807268763504067</v>
      </c>
      <c r="AT460">
        <v>10.368834768275896</v>
      </c>
      <c r="AU460">
        <v>27.55349837868814</v>
      </c>
    </row>
    <row r="461" spans="1:47" x14ac:dyDescent="0.35">
      <c r="A461">
        <v>459</v>
      </c>
      <c r="B461">
        <v>46048</v>
      </c>
      <c r="C461" t="s">
        <v>16</v>
      </c>
      <c r="D461" t="s">
        <v>313</v>
      </c>
      <c r="E461" t="s">
        <v>290</v>
      </c>
      <c r="F461" t="s">
        <v>314</v>
      </c>
      <c r="G461" t="s">
        <v>315</v>
      </c>
      <c r="H461" t="s">
        <v>22</v>
      </c>
      <c r="I461" t="s">
        <v>23</v>
      </c>
      <c r="J461" t="s">
        <v>215</v>
      </c>
      <c r="K461" t="s">
        <v>312</v>
      </c>
      <c r="L461">
        <v>28</v>
      </c>
      <c r="M461">
        <v>60</v>
      </c>
      <c r="N461">
        <v>1</v>
      </c>
      <c r="O461">
        <v>2</v>
      </c>
      <c r="P461">
        <v>0</v>
      </c>
      <c r="Q461">
        <v>0.5</v>
      </c>
      <c r="R461">
        <v>449.13783811542891</v>
      </c>
      <c r="S461">
        <v>215.33783811542889</v>
      </c>
      <c r="T461">
        <v>0.40347222222222223</v>
      </c>
      <c r="U461">
        <v>40.5</v>
      </c>
      <c r="V461">
        <v>0.74930555555555556</v>
      </c>
      <c r="W461">
        <v>62</v>
      </c>
      <c r="X461">
        <v>12.9</v>
      </c>
      <c r="Y461">
        <v>40</v>
      </c>
      <c r="Z461">
        <v>0.41041666666666665</v>
      </c>
      <c r="AA461">
        <v>80</v>
      </c>
      <c r="AB461">
        <v>15.7</v>
      </c>
      <c r="AD461">
        <v>21.5</v>
      </c>
      <c r="AE461">
        <v>40</v>
      </c>
      <c r="AF461">
        <v>20.246240428868305</v>
      </c>
      <c r="AG461">
        <v>38.00873479879084</v>
      </c>
      <c r="AH461">
        <v>58.254975227659145</v>
      </c>
      <c r="AI461">
        <v>2.6117650153240115</v>
      </c>
      <c r="AJ461">
        <v>5.9673713634101615</v>
      </c>
      <c r="AK461">
        <v>8.579136378734173</v>
      </c>
      <c r="AL461">
        <v>129.70400238843283</v>
      </c>
      <c r="AM461">
        <v>47.944710919699183</v>
      </c>
      <c r="AN461">
        <v>3.6964711987927799</v>
      </c>
      <c r="AO461">
        <v>12.900000000000002</v>
      </c>
      <c r="AP461">
        <v>14.726873275985612</v>
      </c>
      <c r="AQ461">
        <v>19.101344065625856</v>
      </c>
      <c r="AR461">
        <v>39.840357151423824</v>
      </c>
      <c r="AS461">
        <v>-2.042460746648818</v>
      </c>
      <c r="AT461">
        <v>10.601576429503067</v>
      </c>
      <c r="AU461">
        <v>22.112087498575711</v>
      </c>
    </row>
    <row r="462" spans="1:47" x14ac:dyDescent="0.35">
      <c r="A462">
        <v>460</v>
      </c>
      <c r="B462">
        <v>46048</v>
      </c>
      <c r="C462" t="s">
        <v>16</v>
      </c>
      <c r="D462" t="s">
        <v>313</v>
      </c>
      <c r="E462" t="s">
        <v>290</v>
      </c>
      <c r="F462" t="s">
        <v>314</v>
      </c>
      <c r="G462" t="s">
        <v>315</v>
      </c>
      <c r="H462" t="s">
        <v>22</v>
      </c>
      <c r="I462" t="s">
        <v>23</v>
      </c>
      <c r="J462" t="s">
        <v>215</v>
      </c>
      <c r="K462" t="s">
        <v>312</v>
      </c>
      <c r="L462">
        <v>28</v>
      </c>
      <c r="M462">
        <v>60</v>
      </c>
      <c r="N462">
        <v>1</v>
      </c>
      <c r="O462">
        <v>3</v>
      </c>
      <c r="P462">
        <v>0</v>
      </c>
      <c r="Q462">
        <v>0.50019999999999998</v>
      </c>
      <c r="R462">
        <v>449.31749325067506</v>
      </c>
      <c r="S462">
        <v>190.71749325067509</v>
      </c>
      <c r="T462">
        <v>0.40347222222222223</v>
      </c>
      <c r="U462">
        <v>41</v>
      </c>
      <c r="V462">
        <v>0.74930555555555556</v>
      </c>
      <c r="W462">
        <v>63</v>
      </c>
      <c r="X462">
        <v>12.2</v>
      </c>
      <c r="Y462">
        <v>40</v>
      </c>
      <c r="Z462">
        <v>0.41111111111111109</v>
      </c>
      <c r="AA462">
        <v>78</v>
      </c>
      <c r="AB462">
        <v>15.4</v>
      </c>
      <c r="AD462">
        <v>22</v>
      </c>
      <c r="AE462">
        <v>38</v>
      </c>
      <c r="AF462">
        <v>20.746240428868305</v>
      </c>
      <c r="AG462">
        <v>36.00873479879084</v>
      </c>
      <c r="AH462">
        <v>56.754975227659145</v>
      </c>
      <c r="AI462">
        <v>2.5310413323219332</v>
      </c>
      <c r="AJ462">
        <v>5.545345159013789</v>
      </c>
      <c r="AK462">
        <v>8.0763864913357217</v>
      </c>
      <c r="AL462">
        <v>126.31374491354477</v>
      </c>
      <c r="AM462">
        <v>42.446042300933392</v>
      </c>
      <c r="AN462">
        <v>3.3603660733822371</v>
      </c>
      <c r="AO462">
        <v>12.200000000000001</v>
      </c>
      <c r="AP462">
        <v>14.230270489836723</v>
      </c>
      <c r="AQ462">
        <v>17.974787567039797</v>
      </c>
      <c r="AR462">
        <v>42.347381740804906</v>
      </c>
      <c r="AS462">
        <v>-0.53108906399831834</v>
      </c>
      <c r="AT462">
        <v>9.9763180821909447</v>
      </c>
      <c r="AU462">
        <v>23.503529519810058</v>
      </c>
    </row>
    <row r="463" spans="1:47" x14ac:dyDescent="0.35">
      <c r="A463">
        <v>461</v>
      </c>
      <c r="B463">
        <v>46048</v>
      </c>
      <c r="C463" t="s">
        <v>16</v>
      </c>
      <c r="D463" t="s">
        <v>317</v>
      </c>
      <c r="E463" t="s">
        <v>290</v>
      </c>
      <c r="F463" t="s">
        <v>318</v>
      </c>
      <c r="G463" t="s">
        <v>319</v>
      </c>
      <c r="H463" t="s">
        <v>22</v>
      </c>
      <c r="I463" t="s">
        <v>23</v>
      </c>
      <c r="J463" t="s">
        <v>215</v>
      </c>
      <c r="K463" t="s">
        <v>316</v>
      </c>
      <c r="L463">
        <v>28</v>
      </c>
      <c r="M463">
        <v>60</v>
      </c>
      <c r="N463">
        <v>1</v>
      </c>
      <c r="O463">
        <v>1</v>
      </c>
      <c r="P463">
        <v>0</v>
      </c>
      <c r="Q463">
        <v>0.50019999999999998</v>
      </c>
      <c r="R463">
        <v>451.89522950553499</v>
      </c>
      <c r="S463">
        <v>171.19522950553505</v>
      </c>
      <c r="T463">
        <v>0.40416666666666667</v>
      </c>
      <c r="U463">
        <v>41</v>
      </c>
      <c r="V463">
        <v>0.75</v>
      </c>
      <c r="W463">
        <v>65</v>
      </c>
      <c r="X463">
        <v>12.7</v>
      </c>
      <c r="Y463">
        <v>40</v>
      </c>
      <c r="Z463">
        <v>0.41111111111111109</v>
      </c>
      <c r="AA463">
        <v>70</v>
      </c>
      <c r="AB463">
        <v>14.9</v>
      </c>
      <c r="AD463">
        <v>24</v>
      </c>
      <c r="AE463">
        <v>30</v>
      </c>
      <c r="AF463">
        <v>22.746240428868305</v>
      </c>
      <c r="AG463">
        <v>28.008734798790837</v>
      </c>
      <c r="AH463">
        <v>50.754975227659145</v>
      </c>
      <c r="AI463">
        <v>2.8887725344662747</v>
      </c>
      <c r="AJ463">
        <v>4.1733014850198344</v>
      </c>
      <c r="AK463">
        <v>7.0620740194861096</v>
      </c>
      <c r="AL463">
        <v>112.31580223406071</v>
      </c>
      <c r="AM463">
        <v>37.883831987528907</v>
      </c>
      <c r="AN463">
        <v>3.3729743485765997</v>
      </c>
      <c r="AO463">
        <v>12.7</v>
      </c>
      <c r="AP463">
        <v>13.914052736326823</v>
      </c>
      <c r="AQ463">
        <v>15.627679954075751</v>
      </c>
      <c r="AR463">
        <v>41.251581833696946</v>
      </c>
      <c r="AS463">
        <v>-0.24338053727258477</v>
      </c>
      <c r="AT463">
        <v>8.6736327495977523</v>
      </c>
      <c r="AU463">
        <v>22.895341612889244</v>
      </c>
    </row>
    <row r="464" spans="1:47" x14ac:dyDescent="0.35">
      <c r="A464">
        <v>462</v>
      </c>
      <c r="B464">
        <v>46048</v>
      </c>
      <c r="C464" t="s">
        <v>16</v>
      </c>
      <c r="D464" t="s">
        <v>317</v>
      </c>
      <c r="E464" t="s">
        <v>290</v>
      </c>
      <c r="F464" t="s">
        <v>318</v>
      </c>
      <c r="G464" t="s">
        <v>319</v>
      </c>
      <c r="H464" t="s">
        <v>22</v>
      </c>
      <c r="I464" t="s">
        <v>23</v>
      </c>
      <c r="J464" t="s">
        <v>215</v>
      </c>
      <c r="K464" t="s">
        <v>316</v>
      </c>
      <c r="L464">
        <v>28</v>
      </c>
      <c r="M464">
        <v>60</v>
      </c>
      <c r="N464">
        <v>1</v>
      </c>
      <c r="O464">
        <v>2</v>
      </c>
      <c r="P464">
        <v>0</v>
      </c>
      <c r="Q464">
        <v>0.50029999999999997</v>
      </c>
      <c r="R464">
        <v>451.98557241427261</v>
      </c>
      <c r="S464">
        <v>187.1855724142726</v>
      </c>
      <c r="T464">
        <v>0.40416666666666667</v>
      </c>
      <c r="U464">
        <v>41.5</v>
      </c>
      <c r="V464">
        <v>0.75</v>
      </c>
      <c r="W464">
        <v>65.5</v>
      </c>
      <c r="X464">
        <v>12</v>
      </c>
      <c r="Y464">
        <v>40</v>
      </c>
      <c r="Z464">
        <v>0.41111111111111109</v>
      </c>
      <c r="AA464">
        <v>65.5</v>
      </c>
      <c r="AB464">
        <v>15.1</v>
      </c>
      <c r="AD464">
        <v>24</v>
      </c>
      <c r="AE464">
        <v>25.5</v>
      </c>
      <c r="AF464">
        <v>22.746240428868305</v>
      </c>
      <c r="AG464">
        <v>23.508734798790837</v>
      </c>
      <c r="AH464">
        <v>46.254975227659145</v>
      </c>
      <c r="AI464">
        <v>2.7295488514641963</v>
      </c>
      <c r="AJ464">
        <v>3.5498189546174164</v>
      </c>
      <c r="AK464">
        <v>6.2793678060816127</v>
      </c>
      <c r="AL464">
        <v>102.33728253888513</v>
      </c>
      <c r="AM464">
        <v>41.414059173266153</v>
      </c>
      <c r="AN464">
        <v>4.0468202932328241</v>
      </c>
      <c r="AO464">
        <v>11.999999999999998</v>
      </c>
      <c r="AP464">
        <v>13.575551116773124</v>
      </c>
      <c r="AQ464">
        <v>13.892850102582889</v>
      </c>
      <c r="AR464">
        <v>33.546216864322929</v>
      </c>
      <c r="AS464">
        <v>-0.28958214681864514</v>
      </c>
      <c r="AT464">
        <v>7.7107721676619212</v>
      </c>
      <c r="AU464">
        <v>18.618730744074043</v>
      </c>
    </row>
    <row r="465" spans="1:47" x14ac:dyDescent="0.35">
      <c r="A465">
        <v>463</v>
      </c>
      <c r="B465">
        <v>46048</v>
      </c>
      <c r="C465" t="s">
        <v>16</v>
      </c>
      <c r="D465" t="s">
        <v>317</v>
      </c>
      <c r="E465" t="s">
        <v>290</v>
      </c>
      <c r="F465" t="s">
        <v>318</v>
      </c>
      <c r="G465" t="s">
        <v>319</v>
      </c>
      <c r="H465" t="s">
        <v>22</v>
      </c>
      <c r="I465" t="s">
        <v>23</v>
      </c>
      <c r="J465" t="s">
        <v>215</v>
      </c>
      <c r="K465" t="s">
        <v>316</v>
      </c>
      <c r="L465">
        <v>28</v>
      </c>
      <c r="M465">
        <v>60</v>
      </c>
      <c r="N465">
        <v>1</v>
      </c>
      <c r="O465">
        <v>3</v>
      </c>
      <c r="P465">
        <v>0</v>
      </c>
      <c r="Q465">
        <v>0.50039999999999996</v>
      </c>
      <c r="R465">
        <v>452.07591532301024</v>
      </c>
      <c r="S465">
        <v>181.1759153230102</v>
      </c>
      <c r="T465">
        <v>0.40486111111111112</v>
      </c>
      <c r="U465">
        <v>41</v>
      </c>
      <c r="V465">
        <v>0.75069444444444444</v>
      </c>
      <c r="W465">
        <v>65</v>
      </c>
      <c r="X465">
        <v>12.5</v>
      </c>
      <c r="Y465">
        <v>40</v>
      </c>
      <c r="Z465">
        <v>0.41180555555555554</v>
      </c>
      <c r="AA465">
        <v>67.5</v>
      </c>
      <c r="AB465">
        <v>14.9</v>
      </c>
      <c r="AD465">
        <v>24</v>
      </c>
      <c r="AE465">
        <v>27.5</v>
      </c>
      <c r="AF465">
        <v>22.746240428868305</v>
      </c>
      <c r="AG465">
        <v>25.508734798790837</v>
      </c>
      <c r="AH465">
        <v>48.254975227659145</v>
      </c>
      <c r="AI465">
        <v>2.8432800536085381</v>
      </c>
      <c r="AJ465">
        <v>3.8008014850198344</v>
      </c>
      <c r="AK465">
        <v>6.644081538628372</v>
      </c>
      <c r="AL465">
        <v>106.7408671686939</v>
      </c>
      <c r="AM465">
        <v>40.076436098914755</v>
      </c>
      <c r="AN465">
        <v>3.7545541049032067</v>
      </c>
      <c r="AO465">
        <v>12.5</v>
      </c>
      <c r="AP465">
        <v>13.768697439554519</v>
      </c>
      <c r="AQ465">
        <v>14.696827044814247</v>
      </c>
      <c r="AR465">
        <v>36.671991013722462</v>
      </c>
      <c r="AS465">
        <v>-0.27160263066873291</v>
      </c>
      <c r="AT465">
        <v>8.1569932802360032</v>
      </c>
      <c r="AU465">
        <v>20.353589476128317</v>
      </c>
    </row>
    <row r="466" spans="1:47" x14ac:dyDescent="0.35">
      <c r="A466">
        <v>464</v>
      </c>
      <c r="B466">
        <v>46048</v>
      </c>
      <c r="C466" t="s">
        <v>120</v>
      </c>
      <c r="D466" t="s">
        <v>122</v>
      </c>
      <c r="E466" t="s">
        <v>123</v>
      </c>
      <c r="F466" t="s">
        <v>545</v>
      </c>
      <c r="G466" t="s">
        <v>125</v>
      </c>
      <c r="H466" t="s">
        <v>108</v>
      </c>
      <c r="I466" t="s">
        <v>109</v>
      </c>
      <c r="J466" t="s">
        <v>110</v>
      </c>
      <c r="K466" t="s">
        <v>121</v>
      </c>
      <c r="L466">
        <v>28</v>
      </c>
      <c r="M466">
        <v>60</v>
      </c>
      <c r="N466">
        <v>1</v>
      </c>
      <c r="O466">
        <v>1</v>
      </c>
      <c r="P466">
        <v>0</v>
      </c>
      <c r="Q466">
        <v>0.50039999999999996</v>
      </c>
      <c r="R466">
        <v>468.12419999999992</v>
      </c>
      <c r="S466">
        <v>109.32419999999991</v>
      </c>
      <c r="T466">
        <v>0.40486111111111112</v>
      </c>
      <c r="U466">
        <v>41</v>
      </c>
      <c r="V466">
        <v>0.75138888888888888</v>
      </c>
      <c r="W466">
        <v>60.5</v>
      </c>
      <c r="X466">
        <v>13.6</v>
      </c>
      <c r="Y466">
        <v>40</v>
      </c>
      <c r="Z466">
        <v>0.41249999999999998</v>
      </c>
      <c r="AA466">
        <v>77.5</v>
      </c>
      <c r="AB466">
        <v>15.3</v>
      </c>
      <c r="AD466">
        <v>19.5</v>
      </c>
      <c r="AE466">
        <v>37.5</v>
      </c>
      <c r="AF466">
        <v>18.246240428868305</v>
      </c>
      <c r="AG466">
        <v>35.50873479879084</v>
      </c>
      <c r="AH466">
        <v>53.754975227659145</v>
      </c>
      <c r="AI466">
        <v>2.4814886983260895</v>
      </c>
      <c r="AJ466">
        <v>5.4328364242149982</v>
      </c>
      <c r="AK466">
        <v>7.9143251225410882</v>
      </c>
      <c r="AL466">
        <v>114.83058390841396</v>
      </c>
      <c r="AM466">
        <v>23.353674089055836</v>
      </c>
      <c r="AN466">
        <v>2.0337503558879533</v>
      </c>
      <c r="AO466">
        <v>13.600000000000001</v>
      </c>
      <c r="AP466">
        <v>14.72296301695409</v>
      </c>
      <c r="AQ466">
        <v>16.90646440098822</v>
      </c>
      <c r="AR466">
        <v>72.393167501258603</v>
      </c>
      <c r="AS466">
        <v>-11.024191416887117</v>
      </c>
      <c r="AT466">
        <v>9.3833802419325636</v>
      </c>
      <c r="AU466">
        <v>40.179460440144915</v>
      </c>
    </row>
    <row r="467" spans="1:47" x14ac:dyDescent="0.35">
      <c r="A467">
        <v>465</v>
      </c>
      <c r="B467">
        <v>46048</v>
      </c>
      <c r="C467" t="s">
        <v>120</v>
      </c>
      <c r="D467" t="s">
        <v>122</v>
      </c>
      <c r="E467" t="s">
        <v>123</v>
      </c>
      <c r="F467" t="s">
        <v>545</v>
      </c>
      <c r="G467" t="s">
        <v>125</v>
      </c>
      <c r="H467" t="s">
        <v>108</v>
      </c>
      <c r="I467" t="s">
        <v>109</v>
      </c>
      <c r="J467" t="s">
        <v>110</v>
      </c>
      <c r="K467" t="s">
        <v>121</v>
      </c>
      <c r="L467">
        <v>28</v>
      </c>
      <c r="M467">
        <v>60</v>
      </c>
      <c r="N467">
        <v>1</v>
      </c>
      <c r="O467">
        <v>2</v>
      </c>
      <c r="P467">
        <v>0</v>
      </c>
      <c r="Q467">
        <v>0.50019999999999998</v>
      </c>
      <c r="R467">
        <v>467.93709999999999</v>
      </c>
      <c r="S467">
        <v>175.13709999999992</v>
      </c>
      <c r="T467">
        <v>0.40486111111111112</v>
      </c>
      <c r="U467">
        <v>40.5</v>
      </c>
      <c r="V467">
        <v>0.75138888888888888</v>
      </c>
      <c r="W467">
        <v>60.5</v>
      </c>
      <c r="X467">
        <v>15</v>
      </c>
      <c r="Y467">
        <v>40</v>
      </c>
      <c r="Z467">
        <v>0.41249999999999998</v>
      </c>
      <c r="AA467">
        <v>79.5</v>
      </c>
      <c r="AB467">
        <v>15.8</v>
      </c>
      <c r="AD467">
        <v>20</v>
      </c>
      <c r="AE467">
        <v>39.5</v>
      </c>
      <c r="AF467">
        <v>18.746240428868305</v>
      </c>
      <c r="AG467">
        <v>37.50873479879084</v>
      </c>
      <c r="AH467">
        <v>56.254975227659145</v>
      </c>
      <c r="AI467">
        <v>2.8119360643302458</v>
      </c>
      <c r="AJ467">
        <v>5.926380098208953</v>
      </c>
      <c r="AK467">
        <v>8.7383161625391992</v>
      </c>
      <c r="AL467">
        <v>120.21909617266753</v>
      </c>
      <c r="AM467">
        <v>37.427487583267052</v>
      </c>
      <c r="AN467">
        <v>3.1132730801361981</v>
      </c>
      <c r="AO467">
        <v>15</v>
      </c>
      <c r="AP467">
        <v>15.53341038223903</v>
      </c>
      <c r="AQ467">
        <v>18.674125566319059</v>
      </c>
      <c r="AR467">
        <v>49.894146714426604</v>
      </c>
      <c r="AS467">
        <v>0.49158120151726759</v>
      </c>
      <c r="AT467">
        <v>10.364462771064282</v>
      </c>
      <c r="AU467">
        <v>27.692114647038153</v>
      </c>
    </row>
    <row r="468" spans="1:47" x14ac:dyDescent="0.35">
      <c r="A468">
        <v>466</v>
      </c>
      <c r="B468">
        <v>46048</v>
      </c>
      <c r="C468" t="s">
        <v>120</v>
      </c>
      <c r="D468" t="s">
        <v>122</v>
      </c>
      <c r="E468" t="s">
        <v>123</v>
      </c>
      <c r="F468" t="s">
        <v>545</v>
      </c>
      <c r="G468" t="s">
        <v>125</v>
      </c>
      <c r="H468" t="s">
        <v>108</v>
      </c>
      <c r="I468" t="s">
        <v>109</v>
      </c>
      <c r="J468" t="s">
        <v>110</v>
      </c>
      <c r="K468" t="s">
        <v>121</v>
      </c>
      <c r="L468">
        <v>28</v>
      </c>
      <c r="M468">
        <v>60</v>
      </c>
      <c r="N468">
        <v>1</v>
      </c>
      <c r="O468">
        <v>3</v>
      </c>
      <c r="P468">
        <v>0</v>
      </c>
      <c r="Q468">
        <v>0.50009999999999999</v>
      </c>
      <c r="R468">
        <v>467.84354999999999</v>
      </c>
      <c r="S468">
        <v>77.043549999999982</v>
      </c>
      <c r="T468">
        <v>0.40486111111111112</v>
      </c>
      <c r="U468">
        <v>41</v>
      </c>
      <c r="V468">
        <v>0.75138888888888888</v>
      </c>
      <c r="W468">
        <v>60</v>
      </c>
      <c r="X468">
        <v>14.1</v>
      </c>
      <c r="Y468">
        <v>40</v>
      </c>
      <c r="Z468">
        <v>0.41319444444444442</v>
      </c>
      <c r="AA468">
        <v>76</v>
      </c>
      <c r="AB468">
        <v>15.1</v>
      </c>
      <c r="AD468">
        <v>19</v>
      </c>
      <c r="AE468">
        <v>36</v>
      </c>
      <c r="AF468">
        <v>17.746240428868305</v>
      </c>
      <c r="AG468">
        <v>34.00873479879084</v>
      </c>
      <c r="AH468">
        <v>51.754975227659145</v>
      </c>
      <c r="AI468">
        <v>2.5022199004704309</v>
      </c>
      <c r="AJ468">
        <v>5.1353189546174169</v>
      </c>
      <c r="AK468">
        <v>7.6375388550878478</v>
      </c>
      <c r="AL468">
        <v>110.62453512003991</v>
      </c>
      <c r="AM468">
        <v>16.467802110342227</v>
      </c>
      <c r="AN468">
        <v>1.4886211356705663</v>
      </c>
      <c r="AO468">
        <v>14.1</v>
      </c>
      <c r="AP468">
        <v>14.75711044492232</v>
      </c>
      <c r="AQ468">
        <v>16.324984826846173</v>
      </c>
      <c r="AR468">
        <v>99.132748362294436</v>
      </c>
      <c r="AS468">
        <v>-0.78202533826631915</v>
      </c>
      <c r="AT468">
        <v>9.0606490180834811</v>
      </c>
      <c r="AU468">
        <v>55.02039044052605</v>
      </c>
    </row>
    <row r="469" spans="1:47" x14ac:dyDescent="0.35">
      <c r="A469">
        <v>467</v>
      </c>
      <c r="B469">
        <v>46048</v>
      </c>
      <c r="D469" t="s">
        <v>537</v>
      </c>
      <c r="E469" t="s">
        <v>538</v>
      </c>
      <c r="F469">
        <v>24</v>
      </c>
      <c r="G469" t="s">
        <v>537</v>
      </c>
      <c r="K469" t="s">
        <v>539</v>
      </c>
      <c r="L469">
        <v>28</v>
      </c>
      <c r="M469">
        <v>60</v>
      </c>
      <c r="N469">
        <v>1</v>
      </c>
      <c r="O469">
        <v>1</v>
      </c>
      <c r="P469">
        <v>0</v>
      </c>
      <c r="S469">
        <v>0</v>
      </c>
      <c r="T469">
        <v>0.40555555555555556</v>
      </c>
      <c r="U469">
        <v>40</v>
      </c>
      <c r="V469">
        <v>0.75208333333333333</v>
      </c>
      <c r="W469">
        <v>41</v>
      </c>
      <c r="Y469">
        <v>40</v>
      </c>
      <c r="Z469">
        <v>0.41388888888888886</v>
      </c>
      <c r="AA469">
        <v>42</v>
      </c>
      <c r="AD469">
        <v>1</v>
      </c>
      <c r="AE469">
        <v>2</v>
      </c>
    </row>
    <row r="470" spans="1:47" x14ac:dyDescent="0.35">
      <c r="A470">
        <v>468</v>
      </c>
      <c r="B470">
        <v>46048</v>
      </c>
      <c r="D470" t="s">
        <v>537</v>
      </c>
      <c r="E470" t="s">
        <v>538</v>
      </c>
      <c r="F470">
        <v>24</v>
      </c>
      <c r="G470" t="s">
        <v>537</v>
      </c>
      <c r="K470" t="s">
        <v>539</v>
      </c>
      <c r="L470">
        <v>28</v>
      </c>
      <c r="M470">
        <v>60</v>
      </c>
      <c r="N470">
        <v>1</v>
      </c>
      <c r="O470">
        <v>2</v>
      </c>
      <c r="P470">
        <v>0</v>
      </c>
      <c r="S470">
        <v>0</v>
      </c>
      <c r="T470">
        <v>0.40555555555555556</v>
      </c>
      <c r="U470">
        <v>40</v>
      </c>
      <c r="V470">
        <v>0.66874999999999996</v>
      </c>
      <c r="W470">
        <v>41</v>
      </c>
      <c r="Y470">
        <v>40</v>
      </c>
      <c r="Z470">
        <v>0.41458333333333336</v>
      </c>
      <c r="AA470">
        <v>42</v>
      </c>
      <c r="AD470">
        <v>1</v>
      </c>
      <c r="AE470">
        <v>2</v>
      </c>
    </row>
    <row r="471" spans="1:47" x14ac:dyDescent="0.35">
      <c r="A471">
        <v>469</v>
      </c>
      <c r="B471">
        <v>46050</v>
      </c>
      <c r="D471" t="s">
        <v>537</v>
      </c>
      <c r="E471" t="s">
        <v>538</v>
      </c>
      <c r="F471">
        <v>24</v>
      </c>
      <c r="G471" t="s">
        <v>537</v>
      </c>
      <c r="K471" t="s">
        <v>539</v>
      </c>
      <c r="L471">
        <v>28</v>
      </c>
      <c r="M471">
        <v>61</v>
      </c>
      <c r="N471">
        <v>2</v>
      </c>
      <c r="O471">
        <v>1</v>
      </c>
      <c r="P471">
        <v>0</v>
      </c>
      <c r="S471">
        <v>0</v>
      </c>
      <c r="T471">
        <v>0.32708333333333334</v>
      </c>
      <c r="U471">
        <v>39</v>
      </c>
      <c r="V471">
        <v>0.66249999999999998</v>
      </c>
      <c r="W471">
        <v>42.5</v>
      </c>
      <c r="Y471">
        <v>39</v>
      </c>
      <c r="Z471">
        <v>0.36249999999999999</v>
      </c>
      <c r="AA471">
        <v>44</v>
      </c>
      <c r="AD471">
        <v>3.5</v>
      </c>
      <c r="AE471">
        <v>5</v>
      </c>
    </row>
    <row r="472" spans="1:47" x14ac:dyDescent="0.35">
      <c r="A472">
        <v>470</v>
      </c>
      <c r="B472">
        <v>46050</v>
      </c>
      <c r="D472" t="s">
        <v>537</v>
      </c>
      <c r="E472" t="s">
        <v>538</v>
      </c>
      <c r="F472">
        <v>24</v>
      </c>
      <c r="G472" t="s">
        <v>537</v>
      </c>
      <c r="K472" t="s">
        <v>539</v>
      </c>
      <c r="L472">
        <v>28</v>
      </c>
      <c r="M472">
        <v>61</v>
      </c>
      <c r="N472">
        <v>2</v>
      </c>
      <c r="O472">
        <v>2</v>
      </c>
      <c r="P472">
        <v>0</v>
      </c>
      <c r="S472">
        <v>0</v>
      </c>
      <c r="T472">
        <v>0.32708333333333334</v>
      </c>
      <c r="U472">
        <v>39.5</v>
      </c>
      <c r="V472">
        <v>0.66249999999999998</v>
      </c>
      <c r="W472">
        <v>44</v>
      </c>
      <c r="Y472">
        <v>40</v>
      </c>
      <c r="Z472">
        <v>0.36388888888888887</v>
      </c>
      <c r="AA472">
        <v>44</v>
      </c>
      <c r="AD472">
        <v>4.5</v>
      </c>
      <c r="AE472">
        <v>4</v>
      </c>
    </row>
    <row r="473" spans="1:47" x14ac:dyDescent="0.35">
      <c r="A473">
        <v>471</v>
      </c>
      <c r="B473">
        <v>46050</v>
      </c>
      <c r="C473" t="s">
        <v>16</v>
      </c>
      <c r="D473" t="s">
        <v>128</v>
      </c>
      <c r="E473" t="s">
        <v>129</v>
      </c>
      <c r="F473" t="s">
        <v>130</v>
      </c>
      <c r="G473" t="s">
        <v>131</v>
      </c>
      <c r="H473" t="s">
        <v>22</v>
      </c>
      <c r="I473" t="s">
        <v>23</v>
      </c>
      <c r="J473" t="s">
        <v>24</v>
      </c>
      <c r="K473" t="s">
        <v>127</v>
      </c>
      <c r="L473">
        <v>28</v>
      </c>
      <c r="M473">
        <v>61</v>
      </c>
      <c r="N473">
        <v>2</v>
      </c>
      <c r="O473">
        <v>1</v>
      </c>
      <c r="P473">
        <v>0</v>
      </c>
      <c r="Q473">
        <v>0.50019999999999998</v>
      </c>
      <c r="R473">
        <v>473.12500000000023</v>
      </c>
      <c r="S473">
        <v>259.32500000000027</v>
      </c>
      <c r="T473">
        <v>0.32777777777777778</v>
      </c>
      <c r="U473">
        <v>41</v>
      </c>
      <c r="V473">
        <v>0.66249999999999998</v>
      </c>
      <c r="W473">
        <v>74.5</v>
      </c>
      <c r="X473">
        <v>12.6</v>
      </c>
      <c r="Y473">
        <v>40.5</v>
      </c>
      <c r="Z473">
        <v>0.36458333333333331</v>
      </c>
      <c r="AA473">
        <v>83.5</v>
      </c>
      <c r="AB473">
        <v>14.8</v>
      </c>
      <c r="AD473">
        <v>33.5</v>
      </c>
      <c r="AE473">
        <v>43</v>
      </c>
      <c r="AF473">
        <v>30.107474101643646</v>
      </c>
      <c r="AG473">
        <v>38.685592064046816</v>
      </c>
      <c r="AH473">
        <v>68.793066165690462</v>
      </c>
      <c r="AI473">
        <v>3.7935417368070996</v>
      </c>
      <c r="AJ473">
        <v>5.7254676254789292</v>
      </c>
      <c r="AK473">
        <v>9.5190093622860292</v>
      </c>
      <c r="AL473">
        <v>145.40146085218586</v>
      </c>
      <c r="AM473">
        <v>54.811096433289329</v>
      </c>
      <c r="AN473">
        <v>3.7696386344432899</v>
      </c>
      <c r="AO473">
        <v>12.600000000000001</v>
      </c>
      <c r="AP473">
        <v>13.83716396556474</v>
      </c>
      <c r="AQ473">
        <v>20.11943854644338</v>
      </c>
      <c r="AR473">
        <v>36.706871155060327</v>
      </c>
      <c r="AS473">
        <v>0.72890086609355575</v>
      </c>
      <c r="AT473">
        <v>11.16663648044816</v>
      </c>
      <c r="AU473">
        <v>20.372948558033482</v>
      </c>
    </row>
    <row r="474" spans="1:47" x14ac:dyDescent="0.35">
      <c r="A474">
        <v>472</v>
      </c>
      <c r="B474">
        <v>46050</v>
      </c>
      <c r="C474" t="s">
        <v>16</v>
      </c>
      <c r="D474" t="s">
        <v>128</v>
      </c>
      <c r="E474" t="s">
        <v>129</v>
      </c>
      <c r="F474" t="s">
        <v>130</v>
      </c>
      <c r="G474" t="s">
        <v>131</v>
      </c>
      <c r="H474" t="s">
        <v>22</v>
      </c>
      <c r="I474" t="s">
        <v>23</v>
      </c>
      <c r="J474" t="s">
        <v>24</v>
      </c>
      <c r="K474" t="s">
        <v>127</v>
      </c>
      <c r="L474">
        <v>28</v>
      </c>
      <c r="M474">
        <v>61</v>
      </c>
      <c r="N474">
        <v>2</v>
      </c>
      <c r="O474">
        <v>2</v>
      </c>
      <c r="P474">
        <v>0</v>
      </c>
      <c r="Q474">
        <v>0.50039999999999996</v>
      </c>
      <c r="R474">
        <v>473.31417433026809</v>
      </c>
      <c r="S474">
        <v>261.71417433026807</v>
      </c>
      <c r="T474">
        <v>0.32847222222222222</v>
      </c>
      <c r="U474">
        <v>41.5</v>
      </c>
      <c r="V474">
        <v>0.66319444444444442</v>
      </c>
      <c r="W474">
        <v>76.5</v>
      </c>
      <c r="X474">
        <v>13.1</v>
      </c>
      <c r="Y474">
        <v>40.5</v>
      </c>
      <c r="Z474">
        <v>0.36527777777777776</v>
      </c>
      <c r="AA474">
        <v>85.5</v>
      </c>
      <c r="AB474">
        <v>15.8</v>
      </c>
      <c r="AD474">
        <v>35</v>
      </c>
      <c r="AE474">
        <v>45</v>
      </c>
      <c r="AF474">
        <v>31.607474101643646</v>
      </c>
      <c r="AG474">
        <v>40.685592064046816</v>
      </c>
      <c r="AH474">
        <v>72.293066165690462</v>
      </c>
      <c r="AI474">
        <v>4.1405791073153182</v>
      </c>
      <c r="AJ474">
        <v>6.4283235461193966</v>
      </c>
      <c r="AK474">
        <v>10.568902653434716</v>
      </c>
      <c r="AL474">
        <v>152.73801226845569</v>
      </c>
      <c r="AM474">
        <v>55.29396509212711</v>
      </c>
      <c r="AN474">
        <v>3.620183624947352</v>
      </c>
      <c r="AO474">
        <v>13.100000000000001</v>
      </c>
      <c r="AP474">
        <v>14.619524684720879</v>
      </c>
      <c r="AQ474">
        <v>22.329571406538886</v>
      </c>
      <c r="AR474">
        <v>40.38337885397592</v>
      </c>
      <c r="AS474">
        <v>0.75554706375954994</v>
      </c>
      <c r="AT474">
        <v>12.3932984553939</v>
      </c>
      <c r="AU474">
        <v>22.413473938331272</v>
      </c>
    </row>
    <row r="475" spans="1:47" x14ac:dyDescent="0.35">
      <c r="A475">
        <v>473</v>
      </c>
      <c r="B475">
        <v>46050</v>
      </c>
      <c r="C475" t="s">
        <v>16</v>
      </c>
      <c r="D475" t="s">
        <v>128</v>
      </c>
      <c r="E475" t="s">
        <v>129</v>
      </c>
      <c r="F475" t="s">
        <v>130</v>
      </c>
      <c r="G475" t="s">
        <v>131</v>
      </c>
      <c r="H475" t="s">
        <v>22</v>
      </c>
      <c r="I475" t="s">
        <v>23</v>
      </c>
      <c r="J475" t="s">
        <v>24</v>
      </c>
      <c r="K475" t="s">
        <v>127</v>
      </c>
      <c r="L475">
        <v>28</v>
      </c>
      <c r="M475">
        <v>61</v>
      </c>
      <c r="N475">
        <v>2</v>
      </c>
      <c r="O475">
        <v>3</v>
      </c>
      <c r="P475">
        <v>0</v>
      </c>
      <c r="Q475">
        <v>0.5</v>
      </c>
      <c r="R475">
        <v>472.93582566973237</v>
      </c>
      <c r="S475">
        <v>254.13582566973238</v>
      </c>
      <c r="T475">
        <v>0.32916666666666666</v>
      </c>
      <c r="U475">
        <v>41.5</v>
      </c>
      <c r="V475">
        <v>0.66319444444444442</v>
      </c>
      <c r="W475">
        <v>75</v>
      </c>
      <c r="X475">
        <v>13.9</v>
      </c>
      <c r="Y475">
        <v>40.5</v>
      </c>
      <c r="Z475">
        <v>0.36527777777777776</v>
      </c>
      <c r="AA475">
        <v>86.5</v>
      </c>
      <c r="AB475">
        <v>16.100000000000001</v>
      </c>
      <c r="AD475">
        <v>33.5</v>
      </c>
      <c r="AE475">
        <v>46</v>
      </c>
      <c r="AF475">
        <v>30.107474101643646</v>
      </c>
      <c r="AG475">
        <v>41.685592064046816</v>
      </c>
      <c r="AH475">
        <v>71.793066165690462</v>
      </c>
      <c r="AI475">
        <v>4.1849389001284676</v>
      </c>
      <c r="AJ475">
        <v>6.7113803223115376</v>
      </c>
      <c r="AK475">
        <v>10.896319222440006</v>
      </c>
      <c r="AL475">
        <v>151.80297678659278</v>
      </c>
      <c r="AM475">
        <v>53.73579498018497</v>
      </c>
      <c r="AN475">
        <v>3.5398380267422342</v>
      </c>
      <c r="AO475">
        <v>13.900000000000004</v>
      </c>
      <c r="AP475">
        <v>15.177397768877157</v>
      </c>
      <c r="AQ475">
        <v>23.039741611897437</v>
      </c>
      <c r="AR475">
        <v>42.875966793444341</v>
      </c>
      <c r="AS475">
        <v>0.99142261088924422</v>
      </c>
      <c r="AT475">
        <v>12.787455206049652</v>
      </c>
      <c r="AU475">
        <v>23.796903369095059</v>
      </c>
    </row>
    <row r="476" spans="1:47" x14ac:dyDescent="0.35">
      <c r="A476">
        <v>474</v>
      </c>
      <c r="B476">
        <v>46050</v>
      </c>
      <c r="C476" t="s">
        <v>16</v>
      </c>
      <c r="D476" t="s">
        <v>135</v>
      </c>
      <c r="E476" t="s">
        <v>99</v>
      </c>
      <c r="F476" t="s">
        <v>100</v>
      </c>
      <c r="G476" t="s">
        <v>101</v>
      </c>
      <c r="H476" t="s">
        <v>22</v>
      </c>
      <c r="I476" t="s">
        <v>23</v>
      </c>
      <c r="J476" t="s">
        <v>24</v>
      </c>
      <c r="K476" t="s">
        <v>134</v>
      </c>
      <c r="L476">
        <v>28</v>
      </c>
      <c r="M476">
        <v>61</v>
      </c>
      <c r="N476">
        <v>2</v>
      </c>
      <c r="O476">
        <v>1</v>
      </c>
      <c r="P476">
        <v>0</v>
      </c>
      <c r="Q476">
        <v>0.5</v>
      </c>
      <c r="R476">
        <v>463.30916262014</v>
      </c>
      <c r="S476">
        <v>228.6091626201401</v>
      </c>
      <c r="T476">
        <v>0.3298611111111111</v>
      </c>
      <c r="U476">
        <v>41.5</v>
      </c>
      <c r="V476">
        <v>0.66388888888888886</v>
      </c>
      <c r="W476">
        <v>81</v>
      </c>
      <c r="X476">
        <v>11.4</v>
      </c>
      <c r="Y476">
        <v>40</v>
      </c>
      <c r="Z476">
        <v>0.36666666666666664</v>
      </c>
      <c r="AA476">
        <v>71.5</v>
      </c>
      <c r="AB476">
        <v>14.1</v>
      </c>
      <c r="AD476">
        <v>39.5</v>
      </c>
      <c r="AE476">
        <v>31.5</v>
      </c>
      <c r="AF476">
        <v>36.107474101643646</v>
      </c>
      <c r="AG476">
        <v>27.185592064046812</v>
      </c>
      <c r="AH476">
        <v>63.293066165690462</v>
      </c>
      <c r="AI476">
        <v>4.1162520475873761</v>
      </c>
      <c r="AJ476">
        <v>3.8331684810305999</v>
      </c>
      <c r="AK476">
        <v>7.949420528617976</v>
      </c>
      <c r="AL476">
        <v>136.61086650596519</v>
      </c>
      <c r="AM476">
        <v>49.342681100303039</v>
      </c>
      <c r="AN476">
        <v>3.6119148031425792</v>
      </c>
      <c r="AO476">
        <v>11.400000000000002</v>
      </c>
      <c r="AP476">
        <v>12.559702049838679</v>
      </c>
      <c r="AQ476">
        <v>17.15791780085209</v>
      </c>
      <c r="AR476">
        <v>34.772974265370259</v>
      </c>
      <c r="AS476">
        <v>10.406029673541129</v>
      </c>
      <c r="AT476">
        <v>9.5229412292618534</v>
      </c>
      <c r="AU476">
        <v>19.299602325831799</v>
      </c>
    </row>
    <row r="477" spans="1:47" x14ac:dyDescent="0.35">
      <c r="A477">
        <v>475</v>
      </c>
      <c r="B477">
        <v>46050</v>
      </c>
      <c r="C477" t="s">
        <v>16</v>
      </c>
      <c r="D477" t="s">
        <v>135</v>
      </c>
      <c r="E477" t="s">
        <v>99</v>
      </c>
      <c r="F477" t="s">
        <v>100</v>
      </c>
      <c r="G477" t="s">
        <v>101</v>
      </c>
      <c r="H477" t="s">
        <v>22</v>
      </c>
      <c r="I477" t="s">
        <v>23</v>
      </c>
      <c r="J477" t="s">
        <v>24</v>
      </c>
      <c r="K477" t="s">
        <v>134</v>
      </c>
      <c r="L477">
        <v>28</v>
      </c>
      <c r="M477">
        <v>61</v>
      </c>
      <c r="N477">
        <v>2</v>
      </c>
      <c r="O477">
        <v>2</v>
      </c>
      <c r="P477">
        <v>0</v>
      </c>
      <c r="Q477">
        <v>0.50009999999999999</v>
      </c>
      <c r="R477">
        <v>463.40182445266396</v>
      </c>
      <c r="S477">
        <v>261.30182445266394</v>
      </c>
      <c r="T477">
        <v>0.33055555555555555</v>
      </c>
      <c r="U477">
        <v>41.5</v>
      </c>
      <c r="V477">
        <v>0.66388888888888886</v>
      </c>
      <c r="W477">
        <v>80.5</v>
      </c>
      <c r="X477">
        <v>11.7</v>
      </c>
      <c r="Y477">
        <v>40</v>
      </c>
      <c r="Z477">
        <v>0.36666666666666664</v>
      </c>
      <c r="AA477">
        <v>73</v>
      </c>
      <c r="AB477">
        <v>13.8</v>
      </c>
      <c r="AD477">
        <v>39</v>
      </c>
      <c r="AE477">
        <v>33</v>
      </c>
      <c r="AF477">
        <v>35.607474101643646</v>
      </c>
      <c r="AG477">
        <v>28.685592064046812</v>
      </c>
      <c r="AH477">
        <v>64.293066165690462</v>
      </c>
      <c r="AI477">
        <v>4.1660744698923065</v>
      </c>
      <c r="AJ477">
        <v>3.9586117048384604</v>
      </c>
      <c r="AK477">
        <v>8.1246861747307673</v>
      </c>
      <c r="AL477">
        <v>138.74150418295977</v>
      </c>
      <c r="AM477">
        <v>56.387741839664606</v>
      </c>
      <c r="AN477">
        <v>4.0642302511947364</v>
      </c>
      <c r="AO477">
        <v>11.700000000000001</v>
      </c>
      <c r="AP477">
        <v>12.636955521443848</v>
      </c>
      <c r="AQ477">
        <v>17.532702173382781</v>
      </c>
      <c r="AR477">
        <v>31.093109249233706</v>
      </c>
      <c r="AS477">
        <v>0.5578235873031705</v>
      </c>
      <c r="AT477">
        <v>9.7309530401750788</v>
      </c>
      <c r="AU477">
        <v>17.257213576391301</v>
      </c>
    </row>
    <row r="478" spans="1:47" x14ac:dyDescent="0.35">
      <c r="A478">
        <v>476</v>
      </c>
      <c r="B478">
        <v>46050</v>
      </c>
      <c r="C478" t="s">
        <v>16</v>
      </c>
      <c r="D478" t="s">
        <v>135</v>
      </c>
      <c r="E478" t="s">
        <v>99</v>
      </c>
      <c r="F478" t="s">
        <v>100</v>
      </c>
      <c r="G478" t="s">
        <v>101</v>
      </c>
      <c r="H478" t="s">
        <v>22</v>
      </c>
      <c r="I478" t="s">
        <v>23</v>
      </c>
      <c r="J478" t="s">
        <v>24</v>
      </c>
      <c r="K478" t="s">
        <v>134</v>
      </c>
      <c r="L478">
        <v>28</v>
      </c>
      <c r="M478">
        <v>61</v>
      </c>
      <c r="N478">
        <v>2</v>
      </c>
      <c r="O478">
        <v>3</v>
      </c>
      <c r="P478">
        <v>0</v>
      </c>
      <c r="Q478">
        <v>0.50019999999999998</v>
      </c>
      <c r="R478">
        <v>463.49448628518803</v>
      </c>
      <c r="S478">
        <v>242.89448628518801</v>
      </c>
      <c r="T478">
        <v>0.33124999999999999</v>
      </c>
      <c r="U478">
        <v>41.5</v>
      </c>
      <c r="V478">
        <v>0.6645833333333333</v>
      </c>
      <c r="W478">
        <v>80.5</v>
      </c>
      <c r="X478">
        <v>11.8</v>
      </c>
      <c r="Y478">
        <v>40</v>
      </c>
      <c r="Z478">
        <v>0.36736111111111114</v>
      </c>
      <c r="AA478">
        <v>71.5</v>
      </c>
      <c r="AB478">
        <v>13.9</v>
      </c>
      <c r="AD478">
        <v>39</v>
      </c>
      <c r="AE478">
        <v>31.5</v>
      </c>
      <c r="AF478">
        <v>35.607474101643646</v>
      </c>
      <c r="AG478">
        <v>27.185592064046812</v>
      </c>
      <c r="AH478">
        <v>62.793066165690462</v>
      </c>
      <c r="AI478">
        <v>4.2016819439939503</v>
      </c>
      <c r="AJ478">
        <v>3.7787972969025074</v>
      </c>
      <c r="AK478">
        <v>7.9804792408964573</v>
      </c>
      <c r="AL478">
        <v>135.47748252404003</v>
      </c>
      <c r="AM478">
        <v>52.405043311720235</v>
      </c>
      <c r="AN478">
        <v>3.8681736872709562</v>
      </c>
      <c r="AO478">
        <v>11.8</v>
      </c>
      <c r="AP478">
        <v>12.709172729101285</v>
      </c>
      <c r="AQ478">
        <v>17.218067263018249</v>
      </c>
      <c r="AR478">
        <v>32.855744743116126</v>
      </c>
      <c r="AS478">
        <v>1.1800215369037308</v>
      </c>
      <c r="AT478">
        <v>9.5563252214122052</v>
      </c>
      <c r="AU478">
        <v>18.235506770919812</v>
      </c>
    </row>
    <row r="479" spans="1:47" x14ac:dyDescent="0.35">
      <c r="A479">
        <v>477</v>
      </c>
      <c r="B479">
        <v>46050</v>
      </c>
      <c r="C479" t="s">
        <v>16</v>
      </c>
      <c r="D479" t="s">
        <v>137</v>
      </c>
      <c r="E479" t="s">
        <v>99</v>
      </c>
      <c r="F479" t="s">
        <v>100</v>
      </c>
      <c r="G479" t="s">
        <v>101</v>
      </c>
      <c r="H479" t="s">
        <v>22</v>
      </c>
      <c r="I479" t="s">
        <v>23</v>
      </c>
      <c r="J479" t="s">
        <v>24</v>
      </c>
      <c r="K479" t="s">
        <v>136</v>
      </c>
      <c r="L479">
        <v>28</v>
      </c>
      <c r="M479">
        <v>61</v>
      </c>
      <c r="N479">
        <v>2</v>
      </c>
      <c r="O479">
        <v>1</v>
      </c>
      <c r="P479">
        <v>0</v>
      </c>
      <c r="Q479">
        <v>0.5</v>
      </c>
      <c r="R479">
        <v>471.30431427962986</v>
      </c>
      <c r="S479">
        <v>251.00431427962982</v>
      </c>
      <c r="T479">
        <v>0.33402777777777776</v>
      </c>
      <c r="U479">
        <v>41.5</v>
      </c>
      <c r="V479">
        <v>0.6645833333333333</v>
      </c>
      <c r="W479">
        <v>78</v>
      </c>
      <c r="X479">
        <v>12.5</v>
      </c>
      <c r="Y479">
        <v>41</v>
      </c>
      <c r="Z479">
        <v>0.36805555555555558</v>
      </c>
      <c r="AA479">
        <v>74</v>
      </c>
      <c r="AB479">
        <v>15.1</v>
      </c>
      <c r="AC479" t="s">
        <v>565</v>
      </c>
      <c r="AD479">
        <v>36.5</v>
      </c>
      <c r="AE479">
        <v>33</v>
      </c>
      <c r="AF479">
        <v>33.107474101643646</v>
      </c>
      <c r="AG479">
        <v>28.685592064046812</v>
      </c>
      <c r="AH479">
        <v>61.793066165690462</v>
      </c>
      <c r="AI479">
        <v>4.1384342627054558</v>
      </c>
      <c r="AJ479">
        <v>4.3315244016710688</v>
      </c>
      <c r="AK479">
        <v>8.4699586643765237</v>
      </c>
      <c r="AL479">
        <v>131.11075857673558</v>
      </c>
      <c r="AM479">
        <v>53.257376746758631</v>
      </c>
      <c r="AN479">
        <v>4.0620142332246925</v>
      </c>
      <c r="AO479">
        <v>12.5</v>
      </c>
      <c r="AP479">
        <v>13.706972626451936</v>
      </c>
      <c r="AQ479">
        <v>17.971315788446628</v>
      </c>
      <c r="AR479">
        <v>33.744275227638596</v>
      </c>
      <c r="AS479">
        <v>-5.9563118071139147</v>
      </c>
      <c r="AT479">
        <v>9.9743911850063629</v>
      </c>
      <c r="AU479">
        <v>18.728656562329515</v>
      </c>
    </row>
    <row r="480" spans="1:47" x14ac:dyDescent="0.35">
      <c r="A480">
        <v>478</v>
      </c>
      <c r="B480">
        <v>46050</v>
      </c>
      <c r="C480" t="s">
        <v>16</v>
      </c>
      <c r="D480" t="s">
        <v>137</v>
      </c>
      <c r="E480" t="s">
        <v>99</v>
      </c>
      <c r="F480" t="s">
        <v>100</v>
      </c>
      <c r="G480" t="s">
        <v>101</v>
      </c>
      <c r="H480" t="s">
        <v>22</v>
      </c>
      <c r="I480" t="s">
        <v>23</v>
      </c>
      <c r="J480" t="s">
        <v>24</v>
      </c>
      <c r="K480" t="s">
        <v>136</v>
      </c>
      <c r="L480">
        <v>28</v>
      </c>
      <c r="M480">
        <v>61</v>
      </c>
      <c r="N480">
        <v>2</v>
      </c>
      <c r="O480">
        <v>2</v>
      </c>
      <c r="P480">
        <v>0</v>
      </c>
      <c r="Q480">
        <v>0.50019999999999998</v>
      </c>
      <c r="R480">
        <v>471.49283600534176</v>
      </c>
      <c r="S480">
        <v>248.39283600534179</v>
      </c>
      <c r="T480">
        <v>0.33402777777777776</v>
      </c>
      <c r="U480">
        <v>41.5</v>
      </c>
      <c r="V480">
        <v>0.66527777777777775</v>
      </c>
      <c r="W480">
        <v>79.5</v>
      </c>
      <c r="X480">
        <v>12.3</v>
      </c>
      <c r="Y480">
        <v>40</v>
      </c>
      <c r="Z480">
        <v>0.36805555555555558</v>
      </c>
      <c r="AA480">
        <v>75.5</v>
      </c>
      <c r="AB480">
        <v>15.2</v>
      </c>
      <c r="AD480">
        <v>38</v>
      </c>
      <c r="AE480">
        <v>35.5</v>
      </c>
      <c r="AF480">
        <v>34.607474101643646</v>
      </c>
      <c r="AG480">
        <v>31.185592064046812</v>
      </c>
      <c r="AH480">
        <v>65.793066165690462</v>
      </c>
      <c r="AI480">
        <v>4.2567193145021687</v>
      </c>
      <c r="AJ480">
        <v>4.7402099937351156</v>
      </c>
      <c r="AK480">
        <v>8.9969293082372843</v>
      </c>
      <c r="AL480">
        <v>139.54202724078093</v>
      </c>
      <c r="AM480">
        <v>52.682207880360586</v>
      </c>
      <c r="AN480">
        <v>3.7753649507654776</v>
      </c>
      <c r="AO480">
        <v>12.3</v>
      </c>
      <c r="AP480">
        <v>13.67458583793587</v>
      </c>
      <c r="AQ480">
        <v>19.081794295036445</v>
      </c>
      <c r="AR480">
        <v>36.220566796233214</v>
      </c>
      <c r="AS480">
        <v>-3.3696190439986737</v>
      </c>
      <c r="AT480">
        <v>10.590725968594622</v>
      </c>
      <c r="AU480">
        <v>20.103041225314211</v>
      </c>
    </row>
    <row r="481" spans="1:47" x14ac:dyDescent="0.35">
      <c r="A481">
        <v>479</v>
      </c>
      <c r="B481">
        <v>46050</v>
      </c>
      <c r="C481" t="s">
        <v>16</v>
      </c>
      <c r="D481" t="s">
        <v>137</v>
      </c>
      <c r="E481" t="s">
        <v>99</v>
      </c>
      <c r="F481" t="s">
        <v>100</v>
      </c>
      <c r="G481" t="s">
        <v>101</v>
      </c>
      <c r="H481" t="s">
        <v>22</v>
      </c>
      <c r="I481" t="s">
        <v>23</v>
      </c>
      <c r="J481" t="s">
        <v>24</v>
      </c>
      <c r="K481" t="s">
        <v>136</v>
      </c>
      <c r="L481">
        <v>28</v>
      </c>
      <c r="M481">
        <v>61</v>
      </c>
      <c r="N481">
        <v>2</v>
      </c>
      <c r="O481">
        <v>3</v>
      </c>
      <c r="P481">
        <v>0</v>
      </c>
      <c r="Q481">
        <v>0.50029999999999997</v>
      </c>
      <c r="R481">
        <v>471.58709686819759</v>
      </c>
      <c r="S481">
        <v>234.18709686819753</v>
      </c>
      <c r="T481">
        <v>0.33402777777777776</v>
      </c>
      <c r="U481">
        <v>41</v>
      </c>
      <c r="V481">
        <v>0.66527777777777775</v>
      </c>
      <c r="W481">
        <v>78.5</v>
      </c>
      <c r="X481">
        <v>12.3</v>
      </c>
      <c r="Y481">
        <v>40</v>
      </c>
      <c r="Z481">
        <v>0.36875000000000002</v>
      </c>
      <c r="AA481">
        <v>74</v>
      </c>
      <c r="AB481">
        <v>15.3</v>
      </c>
      <c r="AD481">
        <v>37.5</v>
      </c>
      <c r="AE481">
        <v>34</v>
      </c>
      <c r="AF481">
        <v>34.107474101643646</v>
      </c>
      <c r="AG481">
        <v>29.685592064046812</v>
      </c>
      <c r="AH481">
        <v>63.793066165690462</v>
      </c>
      <c r="AI481">
        <v>4.195219314502169</v>
      </c>
      <c r="AJ481">
        <v>4.5418955857991623</v>
      </c>
      <c r="AK481">
        <v>8.7371149003013322</v>
      </c>
      <c r="AL481">
        <v>135.27313743174741</v>
      </c>
      <c r="AM481">
        <v>49.659352094964071</v>
      </c>
      <c r="AN481">
        <v>3.6710431234006013</v>
      </c>
      <c r="AO481">
        <v>12.3</v>
      </c>
      <c r="AP481">
        <v>13.696025956188285</v>
      </c>
      <c r="AQ481">
        <v>18.527044014402374</v>
      </c>
      <c r="AR481">
        <v>37.308267693410343</v>
      </c>
      <c r="AS481">
        <v>-0.94670245091441507</v>
      </c>
      <c r="AT481">
        <v>10.282829965086993</v>
      </c>
      <c r="AU481">
        <v>20.706734041602143</v>
      </c>
    </row>
    <row r="482" spans="1:47" x14ac:dyDescent="0.35">
      <c r="A482">
        <v>480</v>
      </c>
      <c r="B482">
        <v>46050</v>
      </c>
      <c r="C482" t="s">
        <v>16</v>
      </c>
      <c r="D482" t="s">
        <v>139</v>
      </c>
      <c r="E482" t="s">
        <v>79</v>
      </c>
      <c r="F482" t="s">
        <v>80</v>
      </c>
      <c r="G482" t="s">
        <v>81</v>
      </c>
      <c r="H482" t="s">
        <v>22</v>
      </c>
      <c r="I482" t="s">
        <v>23</v>
      </c>
      <c r="J482" t="s">
        <v>24</v>
      </c>
      <c r="K482" t="s">
        <v>138</v>
      </c>
      <c r="L482">
        <v>28</v>
      </c>
      <c r="M482">
        <v>61</v>
      </c>
      <c r="N482">
        <v>2</v>
      </c>
      <c r="O482">
        <v>1</v>
      </c>
      <c r="P482">
        <v>0</v>
      </c>
      <c r="Q482">
        <v>0.5</v>
      </c>
      <c r="R482">
        <v>466.93826184978116</v>
      </c>
      <c r="S482">
        <v>289.63826184978114</v>
      </c>
      <c r="T482">
        <v>0.3347222222222222</v>
      </c>
      <c r="U482">
        <v>40</v>
      </c>
      <c r="V482">
        <v>0.66597222222222219</v>
      </c>
      <c r="W482">
        <v>59.5</v>
      </c>
      <c r="X482">
        <v>9.1</v>
      </c>
      <c r="Y482">
        <v>39.5</v>
      </c>
      <c r="Z482">
        <v>0.36875000000000002</v>
      </c>
      <c r="AA482">
        <v>57</v>
      </c>
      <c r="AB482">
        <v>5.7</v>
      </c>
      <c r="AC482" t="s">
        <v>566</v>
      </c>
      <c r="AD482">
        <v>19.5</v>
      </c>
      <c r="AE482">
        <v>17.5</v>
      </c>
      <c r="AF482">
        <v>16.107474101643646</v>
      </c>
      <c r="AG482">
        <v>13.185592064046812</v>
      </c>
      <c r="AH482">
        <v>29.293066165690458</v>
      </c>
      <c r="AI482">
        <v>1.4657801432495718</v>
      </c>
      <c r="AJ482">
        <v>0.75157874765066834</v>
      </c>
      <c r="AK482">
        <v>2.2173588909002402</v>
      </c>
      <c r="AL482">
        <v>62.734345327893351</v>
      </c>
      <c r="AM482">
        <v>62.029241446690598</v>
      </c>
      <c r="AN482">
        <v>9.8876048076189562</v>
      </c>
      <c r="AO482">
        <v>9.1000000000000014</v>
      </c>
      <c r="AP482">
        <v>7.5695691204129556</v>
      </c>
      <c r="AQ482">
        <v>4.7487196318334428</v>
      </c>
      <c r="AR482">
        <v>7.6556145473979464</v>
      </c>
      <c r="AS482">
        <v>8.0300958812827769E-2</v>
      </c>
      <c r="AT482">
        <v>2.6356215534466578</v>
      </c>
      <c r="AU482">
        <v>4.2489985238845351</v>
      </c>
    </row>
    <row r="483" spans="1:47" x14ac:dyDescent="0.35">
      <c r="A483">
        <v>481</v>
      </c>
      <c r="B483">
        <v>46050</v>
      </c>
      <c r="C483" t="s">
        <v>16</v>
      </c>
      <c r="D483" t="s">
        <v>139</v>
      </c>
      <c r="E483" t="s">
        <v>79</v>
      </c>
      <c r="F483" t="s">
        <v>80</v>
      </c>
      <c r="G483" t="s">
        <v>81</v>
      </c>
      <c r="H483" t="s">
        <v>22</v>
      </c>
      <c r="I483" t="s">
        <v>23</v>
      </c>
      <c r="J483" t="s">
        <v>24</v>
      </c>
      <c r="K483" t="s">
        <v>138</v>
      </c>
      <c r="L483">
        <v>28</v>
      </c>
      <c r="M483">
        <v>61</v>
      </c>
      <c r="N483">
        <v>2</v>
      </c>
      <c r="O483">
        <v>2</v>
      </c>
      <c r="P483">
        <v>0</v>
      </c>
      <c r="Q483">
        <v>0.50019999999999998</v>
      </c>
      <c r="R483">
        <v>467.12503715452101</v>
      </c>
      <c r="S483">
        <v>283.22503715452092</v>
      </c>
      <c r="T483">
        <v>0.3347222222222222</v>
      </c>
      <c r="U483">
        <v>40</v>
      </c>
      <c r="V483">
        <v>0.66597222222222219</v>
      </c>
      <c r="W483">
        <v>60.5</v>
      </c>
      <c r="X483">
        <v>7.9</v>
      </c>
      <c r="Y483">
        <v>39.5</v>
      </c>
      <c r="Z483">
        <v>0.36944444444444446</v>
      </c>
      <c r="AA483">
        <v>55.5</v>
      </c>
      <c r="AB483">
        <v>2.2000000000000002</v>
      </c>
      <c r="AD483">
        <v>20.5</v>
      </c>
      <c r="AE483">
        <v>16</v>
      </c>
      <c r="AF483">
        <v>17.107474101643646</v>
      </c>
      <c r="AG483">
        <v>11.685592064046812</v>
      </c>
      <c r="AH483">
        <v>28.793066165690458</v>
      </c>
      <c r="AI483">
        <v>1.351490454029848</v>
      </c>
      <c r="AJ483">
        <v>0.25708302540902989</v>
      </c>
      <c r="AK483">
        <v>1.608573479438878</v>
      </c>
      <c r="AL483">
        <v>61.638884400379418</v>
      </c>
      <c r="AM483">
        <v>60.63152574303836</v>
      </c>
      <c r="AN483">
        <v>9.8365709134516965</v>
      </c>
      <c r="AO483">
        <v>7.8999999999999995</v>
      </c>
      <c r="AP483">
        <v>5.5866696175471535</v>
      </c>
      <c r="AQ483">
        <v>3.4435608273910088</v>
      </c>
      <c r="AR483">
        <v>5.6794889872722596</v>
      </c>
      <c r="AS483">
        <v>6.4475703825731173E-2</v>
      </c>
      <c r="AT483">
        <v>1.9112358363789541</v>
      </c>
      <c r="AU483">
        <v>3.1522146489912464</v>
      </c>
    </row>
    <row r="484" spans="1:47" x14ac:dyDescent="0.35">
      <c r="A484">
        <v>482</v>
      </c>
      <c r="B484">
        <v>46050</v>
      </c>
      <c r="C484" t="s">
        <v>16</v>
      </c>
      <c r="D484" t="s">
        <v>139</v>
      </c>
      <c r="E484" t="s">
        <v>79</v>
      </c>
      <c r="F484" t="s">
        <v>80</v>
      </c>
      <c r="G484" t="s">
        <v>81</v>
      </c>
      <c r="H484" t="s">
        <v>22</v>
      </c>
      <c r="I484" t="s">
        <v>23</v>
      </c>
      <c r="J484" t="s">
        <v>24</v>
      </c>
      <c r="K484" t="s">
        <v>138</v>
      </c>
      <c r="L484">
        <v>28</v>
      </c>
      <c r="M484">
        <v>61</v>
      </c>
      <c r="N484">
        <v>2</v>
      </c>
      <c r="O484">
        <v>3</v>
      </c>
      <c r="P484">
        <v>0</v>
      </c>
      <c r="Q484">
        <v>0.50029999999999997</v>
      </c>
      <c r="R484">
        <v>467.21842480689094</v>
      </c>
      <c r="S484">
        <v>270.21842480689099</v>
      </c>
      <c r="T484">
        <v>0.3347222222222222</v>
      </c>
      <c r="U484">
        <v>41</v>
      </c>
      <c r="V484">
        <v>0.66666666666666663</v>
      </c>
      <c r="W484">
        <v>59.5</v>
      </c>
      <c r="X484">
        <v>8.4</v>
      </c>
      <c r="Y484">
        <v>40</v>
      </c>
      <c r="Z484">
        <v>0.36944444444444446</v>
      </c>
      <c r="AA484">
        <v>56.5</v>
      </c>
      <c r="AB484">
        <v>1.1000000000000001</v>
      </c>
      <c r="AD484">
        <v>18.5</v>
      </c>
      <c r="AE484">
        <v>16.5</v>
      </c>
      <c r="AF484">
        <v>15.107474101643646</v>
      </c>
      <c r="AG484">
        <v>12.185592064046812</v>
      </c>
      <c r="AH484">
        <v>27.293066165690458</v>
      </c>
      <c r="AI484">
        <v>1.2690278245380664</v>
      </c>
      <c r="AJ484">
        <v>0.13404151270451495</v>
      </c>
      <c r="AK484">
        <v>1.4030693372425813</v>
      </c>
      <c r="AL484">
        <v>58.41607418836518</v>
      </c>
      <c r="AM484">
        <v>57.835566933940306</v>
      </c>
      <c r="AN484">
        <v>9.9006254250237706</v>
      </c>
      <c r="AO484">
        <v>8.4</v>
      </c>
      <c r="AP484">
        <v>5.1407538043722996</v>
      </c>
      <c r="AQ484">
        <v>3.003026556203328</v>
      </c>
      <c r="AR484">
        <v>5.1923525875234873</v>
      </c>
      <c r="AS484">
        <v>7.1518224774412442E-2</v>
      </c>
      <c r="AT484">
        <v>1.6667316941695982</v>
      </c>
      <c r="AU484">
        <v>2.8818455191652852</v>
      </c>
    </row>
    <row r="485" spans="1:47" x14ac:dyDescent="0.35">
      <c r="A485">
        <v>483</v>
      </c>
      <c r="B485">
        <v>46050</v>
      </c>
      <c r="C485" t="s">
        <v>16</v>
      </c>
      <c r="D485" t="s">
        <v>141</v>
      </c>
      <c r="E485" t="s">
        <v>142</v>
      </c>
      <c r="F485" t="s">
        <v>143</v>
      </c>
      <c r="G485" t="s">
        <v>144</v>
      </c>
      <c r="H485" t="s">
        <v>22</v>
      </c>
      <c r="I485" t="s">
        <v>23</v>
      </c>
      <c r="J485" t="s">
        <v>24</v>
      </c>
      <c r="K485" t="s">
        <v>140</v>
      </c>
      <c r="L485">
        <v>28</v>
      </c>
      <c r="M485">
        <v>61</v>
      </c>
      <c r="N485">
        <v>2</v>
      </c>
      <c r="O485">
        <v>1</v>
      </c>
      <c r="P485">
        <v>0</v>
      </c>
      <c r="Q485">
        <v>0.50019999999999998</v>
      </c>
      <c r="R485">
        <v>466.22336845168195</v>
      </c>
      <c r="S485">
        <v>211.12336845168196</v>
      </c>
      <c r="T485">
        <v>0.33541666666666664</v>
      </c>
      <c r="U485">
        <v>41</v>
      </c>
      <c r="V485">
        <v>0.66666666666666663</v>
      </c>
      <c r="W485">
        <v>87</v>
      </c>
      <c r="X485">
        <v>14.2</v>
      </c>
      <c r="Y485">
        <v>40</v>
      </c>
      <c r="Z485">
        <v>0.37013888888888891</v>
      </c>
      <c r="AA485">
        <v>81.599999999999994</v>
      </c>
      <c r="AB485">
        <v>17.8</v>
      </c>
      <c r="AD485">
        <v>46</v>
      </c>
      <c r="AE485">
        <v>41.599999999999994</v>
      </c>
      <c r="AF485">
        <v>42.607474101643646</v>
      </c>
      <c r="AG485">
        <v>37.28559206404681</v>
      </c>
      <c r="AH485">
        <v>79.893066165690456</v>
      </c>
      <c r="AI485">
        <v>6.0502613224333972</v>
      </c>
      <c r="AJ485">
        <v>6.6368353874003327</v>
      </c>
      <c r="AK485">
        <v>12.68709670983373</v>
      </c>
      <c r="AL485">
        <v>171.36220870054981</v>
      </c>
      <c r="AM485">
        <v>45.283737954366856</v>
      </c>
      <c r="AN485">
        <v>2.6425743632599179</v>
      </c>
      <c r="AO485">
        <v>14.2</v>
      </c>
      <c r="AP485">
        <v>15.880097383572593</v>
      </c>
      <c r="AQ485">
        <v>27.21248562028822</v>
      </c>
      <c r="AR485">
        <v>60.093284807253916</v>
      </c>
      <c r="AS485">
        <v>7.1498050766340828</v>
      </c>
      <c r="AT485">
        <v>15.103400323509446</v>
      </c>
      <c r="AU485">
        <v>33.352812744233667</v>
      </c>
    </row>
    <row r="486" spans="1:47" x14ac:dyDescent="0.35">
      <c r="A486">
        <v>484</v>
      </c>
      <c r="B486">
        <v>46050</v>
      </c>
      <c r="C486" t="s">
        <v>16</v>
      </c>
      <c r="D486" t="s">
        <v>141</v>
      </c>
      <c r="E486" t="s">
        <v>142</v>
      </c>
      <c r="F486" t="s">
        <v>143</v>
      </c>
      <c r="G486" t="s">
        <v>144</v>
      </c>
      <c r="H486" t="s">
        <v>22</v>
      </c>
      <c r="I486" t="s">
        <v>23</v>
      </c>
      <c r="J486" t="s">
        <v>24</v>
      </c>
      <c r="K486" t="s">
        <v>140</v>
      </c>
      <c r="L486">
        <v>28</v>
      </c>
      <c r="M486">
        <v>61</v>
      </c>
      <c r="N486">
        <v>2</v>
      </c>
      <c r="O486">
        <v>2</v>
      </c>
      <c r="P486">
        <v>0</v>
      </c>
      <c r="Q486">
        <v>0.50009999999999999</v>
      </c>
      <c r="R486">
        <v>466.1301610609479</v>
      </c>
      <c r="S486">
        <v>243.63016106094798</v>
      </c>
      <c r="T486">
        <v>0.33611111111111114</v>
      </c>
      <c r="U486">
        <v>40.5</v>
      </c>
      <c r="V486">
        <v>0.66736111111111107</v>
      </c>
      <c r="W486">
        <v>85.5</v>
      </c>
      <c r="X486">
        <v>15.1</v>
      </c>
      <c r="Y486">
        <v>40</v>
      </c>
      <c r="Z486">
        <v>0.37013888888888891</v>
      </c>
      <c r="AA486">
        <v>82.5</v>
      </c>
      <c r="AB486">
        <v>18.899999999999999</v>
      </c>
      <c r="AC486" t="s">
        <v>559</v>
      </c>
      <c r="AD486">
        <v>45</v>
      </c>
      <c r="AE486">
        <v>42.5</v>
      </c>
      <c r="AF486">
        <v>41.607474101643646</v>
      </c>
      <c r="AG486">
        <v>38.185592064046816</v>
      </c>
      <c r="AH486">
        <v>79.793066165690462</v>
      </c>
      <c r="AI486">
        <v>6.2827285893481903</v>
      </c>
      <c r="AJ486">
        <v>7.2170769001048471</v>
      </c>
      <c r="AK486">
        <v>13.499805489453038</v>
      </c>
      <c r="AL486">
        <v>171.18194193672286</v>
      </c>
      <c r="AM486">
        <v>52.266551580019424</v>
      </c>
      <c r="AN486">
        <v>3.0532748366261484</v>
      </c>
      <c r="AO486">
        <v>15.099999999999998</v>
      </c>
      <c r="AP486">
        <v>16.918519538302569</v>
      </c>
      <c r="AQ486">
        <v>28.96145029261022</v>
      </c>
      <c r="AR486">
        <v>55.411060070168588</v>
      </c>
      <c r="AS486">
        <v>0.9433909408227148</v>
      </c>
      <c r="AT486">
        <v>16.074105975552524</v>
      </c>
      <c r="AU486">
        <v>30.754097007802912</v>
      </c>
    </row>
    <row r="487" spans="1:47" x14ac:dyDescent="0.35">
      <c r="A487">
        <v>485</v>
      </c>
      <c r="B487">
        <v>46050</v>
      </c>
      <c r="C487" t="s">
        <v>16</v>
      </c>
      <c r="D487" t="s">
        <v>141</v>
      </c>
      <c r="E487" t="s">
        <v>142</v>
      </c>
      <c r="F487" t="s">
        <v>143</v>
      </c>
      <c r="G487" t="s">
        <v>144</v>
      </c>
      <c r="H487" t="s">
        <v>22</v>
      </c>
      <c r="I487" t="s">
        <v>23</v>
      </c>
      <c r="J487" t="s">
        <v>24</v>
      </c>
      <c r="K487" t="s">
        <v>140</v>
      </c>
      <c r="L487">
        <v>28</v>
      </c>
      <c r="M487">
        <v>61</v>
      </c>
      <c r="N487">
        <v>2</v>
      </c>
      <c r="O487">
        <v>3</v>
      </c>
      <c r="P487">
        <v>0</v>
      </c>
      <c r="Q487">
        <v>0.50029999999999997</v>
      </c>
      <c r="R487">
        <v>466.31657584241594</v>
      </c>
      <c r="S487">
        <v>192.11657584241595</v>
      </c>
      <c r="T487">
        <v>0.33611111111111114</v>
      </c>
      <c r="U487">
        <v>40.5</v>
      </c>
      <c r="V487">
        <v>0.66736111111111107</v>
      </c>
      <c r="W487">
        <v>86</v>
      </c>
      <c r="X487">
        <v>14.7</v>
      </c>
      <c r="Y487">
        <v>40</v>
      </c>
      <c r="Z487">
        <v>0.37083333333333335</v>
      </c>
      <c r="AA487">
        <v>81.5</v>
      </c>
      <c r="AB487">
        <v>19.2</v>
      </c>
      <c r="AD487">
        <v>45.5</v>
      </c>
      <c r="AE487">
        <v>41.5</v>
      </c>
      <c r="AF487">
        <v>42.107474101643646</v>
      </c>
      <c r="AG487">
        <v>37.185592064046816</v>
      </c>
      <c r="AH487">
        <v>79.293066165690462</v>
      </c>
      <c r="AI487">
        <v>6.1897986929416158</v>
      </c>
      <c r="AJ487">
        <v>7.139633676296989</v>
      </c>
      <c r="AK487">
        <v>13.329432369238605</v>
      </c>
      <c r="AL487">
        <v>170.04127726415251</v>
      </c>
      <c r="AM487">
        <v>41.198744757325251</v>
      </c>
      <c r="AN487">
        <v>2.4228672837669052</v>
      </c>
      <c r="AO487">
        <v>14.700000000000001</v>
      </c>
      <c r="AP487">
        <v>16.810337919567239</v>
      </c>
      <c r="AQ487">
        <v>28.584513310852302</v>
      </c>
      <c r="AR487">
        <v>69.382000542067232</v>
      </c>
      <c r="AS487">
        <v>-2.3978844769371439</v>
      </c>
      <c r="AT487">
        <v>15.864899429275811</v>
      </c>
      <c r="AU487">
        <v>38.508210681479532</v>
      </c>
    </row>
    <row r="488" spans="1:47" x14ac:dyDescent="0.35">
      <c r="A488">
        <v>486</v>
      </c>
      <c r="B488">
        <v>46050</v>
      </c>
      <c r="C488" t="s">
        <v>16</v>
      </c>
      <c r="D488" t="s">
        <v>146</v>
      </c>
      <c r="E488" t="s">
        <v>88</v>
      </c>
      <c r="F488" t="s">
        <v>147</v>
      </c>
      <c r="G488" t="s">
        <v>148</v>
      </c>
      <c r="H488" t="s">
        <v>22</v>
      </c>
      <c r="I488" t="s">
        <v>23</v>
      </c>
      <c r="J488" t="s">
        <v>24</v>
      </c>
      <c r="K488" t="s">
        <v>145</v>
      </c>
      <c r="L488">
        <v>28</v>
      </c>
      <c r="M488">
        <v>61</v>
      </c>
      <c r="N488">
        <v>2</v>
      </c>
      <c r="O488">
        <v>1</v>
      </c>
      <c r="P488">
        <v>0</v>
      </c>
      <c r="Q488">
        <v>0.5</v>
      </c>
      <c r="R488">
        <v>469.86058560401869</v>
      </c>
      <c r="S488">
        <v>17.160585604018706</v>
      </c>
      <c r="T488">
        <v>0.33611111111111114</v>
      </c>
      <c r="U488">
        <v>41</v>
      </c>
      <c r="V488">
        <v>0.66805555555555551</v>
      </c>
      <c r="W488">
        <v>63</v>
      </c>
      <c r="X488">
        <v>14.2</v>
      </c>
      <c r="Y488">
        <v>40.5</v>
      </c>
      <c r="Z488">
        <v>0.37152777777777779</v>
      </c>
      <c r="AA488">
        <v>61</v>
      </c>
      <c r="AB488">
        <v>13.5</v>
      </c>
      <c r="AD488">
        <v>22</v>
      </c>
      <c r="AE488">
        <v>20.5</v>
      </c>
    </row>
    <row r="489" spans="1:47" x14ac:dyDescent="0.35">
      <c r="A489">
        <v>487</v>
      </c>
      <c r="B489">
        <v>46050</v>
      </c>
      <c r="C489" t="s">
        <v>16</v>
      </c>
      <c r="D489" t="s">
        <v>146</v>
      </c>
      <c r="E489" t="s">
        <v>88</v>
      </c>
      <c r="F489" t="s">
        <v>147</v>
      </c>
      <c r="G489" t="s">
        <v>148</v>
      </c>
      <c r="H489" t="s">
        <v>22</v>
      </c>
      <c r="I489" t="s">
        <v>23</v>
      </c>
      <c r="J489" t="s">
        <v>24</v>
      </c>
      <c r="K489" t="s">
        <v>145</v>
      </c>
      <c r="L489">
        <v>28</v>
      </c>
      <c r="M489">
        <v>61</v>
      </c>
      <c r="N489">
        <v>2</v>
      </c>
      <c r="O489">
        <v>2</v>
      </c>
      <c r="P489">
        <v>0</v>
      </c>
      <c r="Q489">
        <v>0.5</v>
      </c>
      <c r="R489">
        <v>469.86058560401869</v>
      </c>
      <c r="S489">
        <v>122.86058560401869</v>
      </c>
      <c r="T489">
        <v>0.33680555555555558</v>
      </c>
      <c r="U489">
        <v>40.5</v>
      </c>
      <c r="V489">
        <v>0.66874999999999996</v>
      </c>
      <c r="W489">
        <v>65.5</v>
      </c>
      <c r="X489">
        <v>12.6</v>
      </c>
      <c r="Y489">
        <v>40</v>
      </c>
      <c r="Z489">
        <v>0.37152777777777779</v>
      </c>
      <c r="AA489">
        <v>60.5</v>
      </c>
      <c r="AB489">
        <v>12.1</v>
      </c>
      <c r="AD489">
        <v>25</v>
      </c>
      <c r="AE489">
        <v>20.5</v>
      </c>
      <c r="AF489">
        <v>21.607474101643646</v>
      </c>
      <c r="AG489">
        <v>16.185592064046812</v>
      </c>
      <c r="AH489">
        <v>37.793066165690462</v>
      </c>
      <c r="AI489">
        <v>2.7225417368070994</v>
      </c>
      <c r="AJ489">
        <v>1.9584566397496641</v>
      </c>
      <c r="AK489">
        <v>4.6809983765567633</v>
      </c>
      <c r="AL489">
        <v>80.434638111018472</v>
      </c>
      <c r="AM489">
        <v>26.148306405841222</v>
      </c>
      <c r="AN489">
        <v>3.2508763661931925</v>
      </c>
      <c r="AO489">
        <v>12.600000000000001</v>
      </c>
      <c r="AP489">
        <v>12.3858655871809</v>
      </c>
      <c r="AQ489">
        <v>9.9625261619661316</v>
      </c>
      <c r="AR489">
        <v>38.100081922478239</v>
      </c>
      <c r="AS489">
        <v>-0.17529329042301375</v>
      </c>
      <c r="AT489">
        <v>5.5293743819355274</v>
      </c>
      <c r="AU489">
        <v>21.146204637942944</v>
      </c>
    </row>
    <row r="490" spans="1:47" x14ac:dyDescent="0.35">
      <c r="A490">
        <v>488</v>
      </c>
      <c r="B490">
        <v>46050</v>
      </c>
      <c r="C490" t="s">
        <v>16</v>
      </c>
      <c r="D490" t="s">
        <v>146</v>
      </c>
      <c r="E490" t="s">
        <v>88</v>
      </c>
      <c r="F490" t="s">
        <v>147</v>
      </c>
      <c r="G490" t="s">
        <v>148</v>
      </c>
      <c r="H490" t="s">
        <v>22</v>
      </c>
      <c r="I490" t="s">
        <v>23</v>
      </c>
      <c r="J490" t="s">
        <v>24</v>
      </c>
      <c r="K490" t="s">
        <v>145</v>
      </c>
      <c r="L490">
        <v>28</v>
      </c>
      <c r="M490">
        <v>61</v>
      </c>
      <c r="N490">
        <v>2</v>
      </c>
      <c r="O490">
        <v>3</v>
      </c>
      <c r="P490">
        <v>0</v>
      </c>
      <c r="Q490">
        <v>0.50029999999999997</v>
      </c>
      <c r="R490">
        <v>470.14250195538108</v>
      </c>
      <c r="S490">
        <v>109.44250195538103</v>
      </c>
      <c r="T490">
        <v>0.33680555555555558</v>
      </c>
      <c r="U490">
        <v>41</v>
      </c>
      <c r="V490">
        <v>0.66874999999999996</v>
      </c>
      <c r="W490">
        <v>65</v>
      </c>
      <c r="X490">
        <v>12.7</v>
      </c>
      <c r="Y490">
        <v>40</v>
      </c>
      <c r="Z490">
        <v>0.37222222222222223</v>
      </c>
      <c r="AA490">
        <v>61</v>
      </c>
      <c r="AB490">
        <v>11.8</v>
      </c>
      <c r="AD490">
        <v>24</v>
      </c>
      <c r="AE490">
        <v>21</v>
      </c>
      <c r="AF490">
        <v>20.607474101643646</v>
      </c>
      <c r="AG490">
        <v>16.685592064046812</v>
      </c>
      <c r="AH490">
        <v>37.293066165690462</v>
      </c>
      <c r="AI490">
        <v>2.6171492109087433</v>
      </c>
      <c r="AJ490">
        <v>1.9688998635575239</v>
      </c>
      <c r="AK490">
        <v>4.586049074466267</v>
      </c>
      <c r="AL490">
        <v>79.322898930821964</v>
      </c>
      <c r="AM490">
        <v>23.27858074949533</v>
      </c>
      <c r="AN490">
        <v>2.9346608688364673</v>
      </c>
      <c r="AO490">
        <v>12.700000000000001</v>
      </c>
      <c r="AP490">
        <v>12.297323727930479</v>
      </c>
      <c r="AQ490">
        <v>9.754593671902283</v>
      </c>
      <c r="AR490">
        <v>41.903730201050848</v>
      </c>
      <c r="AS490">
        <v>-0.14500305325440238</v>
      </c>
      <c r="AT490">
        <v>5.4139682525021664</v>
      </c>
      <c r="AU490">
        <v>23.257295239614383</v>
      </c>
    </row>
    <row r="491" spans="1:47" x14ac:dyDescent="0.35">
      <c r="A491">
        <v>489</v>
      </c>
      <c r="B491">
        <v>46050</v>
      </c>
      <c r="C491" t="s">
        <v>16</v>
      </c>
      <c r="D491" t="s">
        <v>150</v>
      </c>
      <c r="E491" t="s">
        <v>142</v>
      </c>
      <c r="F491" t="s">
        <v>151</v>
      </c>
      <c r="G491" t="s">
        <v>152</v>
      </c>
      <c r="H491" t="s">
        <v>22</v>
      </c>
      <c r="I491" t="s">
        <v>23</v>
      </c>
      <c r="J491" t="s">
        <v>24</v>
      </c>
      <c r="K491" t="s">
        <v>149</v>
      </c>
      <c r="L491">
        <v>28</v>
      </c>
      <c r="M491">
        <v>61</v>
      </c>
      <c r="N491">
        <v>2</v>
      </c>
      <c r="O491">
        <v>1</v>
      </c>
      <c r="P491">
        <v>0</v>
      </c>
      <c r="Q491">
        <v>0.5</v>
      </c>
      <c r="R491">
        <v>469.58412476257115</v>
      </c>
      <c r="S491">
        <v>316.68412476257123</v>
      </c>
      <c r="T491">
        <v>0.33750000000000002</v>
      </c>
      <c r="U491">
        <v>41.5</v>
      </c>
      <c r="V491">
        <v>0.6694444444444444</v>
      </c>
      <c r="W491">
        <v>96.5</v>
      </c>
      <c r="X491">
        <v>14</v>
      </c>
      <c r="Y491">
        <v>40.5</v>
      </c>
      <c r="Z491">
        <v>0.37291666666666667</v>
      </c>
      <c r="AA491">
        <v>93.5</v>
      </c>
      <c r="AB491">
        <v>17.899999999999999</v>
      </c>
      <c r="AD491">
        <v>55</v>
      </c>
      <c r="AE491">
        <v>53</v>
      </c>
      <c r="AF491">
        <v>51.607474101643646</v>
      </c>
      <c r="AG491">
        <v>48.685592064046816</v>
      </c>
      <c r="AH491">
        <v>100.29306616569046</v>
      </c>
      <c r="AI491">
        <v>7.2250463742301108</v>
      </c>
      <c r="AJ491">
        <v>8.7147209794643796</v>
      </c>
      <c r="AK491">
        <v>15.93976735369449</v>
      </c>
      <c r="AL491">
        <v>213.57848546604967</v>
      </c>
      <c r="AM491">
        <v>67.439274043323223</v>
      </c>
      <c r="AN491">
        <v>3.1575874272244215</v>
      </c>
      <c r="AO491">
        <v>14</v>
      </c>
      <c r="AP491">
        <v>15.893189791765852</v>
      </c>
      <c r="AQ491">
        <v>33.944434049498327</v>
      </c>
      <c r="AR491">
        <v>50.333332514362922</v>
      </c>
      <c r="AS491">
        <v>0.40893302500174383</v>
      </c>
      <c r="AT491">
        <v>18.839748171417064</v>
      </c>
      <c r="AU491">
        <v>27.935870364373056</v>
      </c>
    </row>
    <row r="492" spans="1:47" x14ac:dyDescent="0.35">
      <c r="A492">
        <v>490</v>
      </c>
      <c r="B492">
        <v>46050</v>
      </c>
      <c r="C492" t="s">
        <v>16</v>
      </c>
      <c r="D492" t="s">
        <v>150</v>
      </c>
      <c r="E492" t="s">
        <v>142</v>
      </c>
      <c r="F492" t="s">
        <v>151</v>
      </c>
      <c r="G492" t="s">
        <v>152</v>
      </c>
      <c r="H492" t="s">
        <v>22</v>
      </c>
      <c r="I492" t="s">
        <v>23</v>
      </c>
      <c r="J492" t="s">
        <v>24</v>
      </c>
      <c r="K492" t="s">
        <v>149</v>
      </c>
      <c r="L492">
        <v>28</v>
      </c>
      <c r="M492">
        <v>61</v>
      </c>
      <c r="N492">
        <v>2</v>
      </c>
      <c r="O492">
        <v>2</v>
      </c>
      <c r="P492">
        <v>0</v>
      </c>
      <c r="Q492">
        <v>0.50009999999999999</v>
      </c>
      <c r="R492">
        <v>469.67804158752364</v>
      </c>
      <c r="S492">
        <v>201.97804158752359</v>
      </c>
      <c r="T492">
        <v>0.33750000000000002</v>
      </c>
      <c r="U492">
        <v>42.5</v>
      </c>
      <c r="V492">
        <v>0.67013888888888884</v>
      </c>
      <c r="W492">
        <v>98.5</v>
      </c>
      <c r="X492">
        <v>14.2</v>
      </c>
      <c r="Y492">
        <v>41</v>
      </c>
      <c r="Z492">
        <v>0.37291666666666667</v>
      </c>
      <c r="AA492">
        <v>95</v>
      </c>
      <c r="AB492">
        <v>18.3</v>
      </c>
      <c r="AD492">
        <v>56</v>
      </c>
      <c r="AE492">
        <v>54</v>
      </c>
    </row>
    <row r="493" spans="1:47" x14ac:dyDescent="0.35">
      <c r="A493">
        <v>491</v>
      </c>
      <c r="B493">
        <v>46050</v>
      </c>
      <c r="C493" t="s">
        <v>16</v>
      </c>
      <c r="D493" t="s">
        <v>150</v>
      </c>
      <c r="E493" t="s">
        <v>142</v>
      </c>
      <c r="F493" t="s">
        <v>151</v>
      </c>
      <c r="G493" t="s">
        <v>152</v>
      </c>
      <c r="H493" t="s">
        <v>22</v>
      </c>
      <c r="I493" t="s">
        <v>23</v>
      </c>
      <c r="J493" t="s">
        <v>24</v>
      </c>
      <c r="K493" t="s">
        <v>149</v>
      </c>
      <c r="L493">
        <v>28</v>
      </c>
      <c r="M493">
        <v>61</v>
      </c>
      <c r="N493">
        <v>2</v>
      </c>
      <c r="O493">
        <v>3</v>
      </c>
      <c r="P493">
        <v>0</v>
      </c>
      <c r="Q493">
        <v>0.50019999999999998</v>
      </c>
      <c r="R493">
        <v>469.77195841247618</v>
      </c>
      <c r="S493">
        <v>303.87195841247626</v>
      </c>
      <c r="T493">
        <v>0.33750000000000002</v>
      </c>
      <c r="U493">
        <v>42</v>
      </c>
      <c r="V493">
        <v>0.67013888888888884</v>
      </c>
      <c r="W493">
        <v>97</v>
      </c>
      <c r="X493">
        <v>14.2</v>
      </c>
      <c r="Y493">
        <v>40.5</v>
      </c>
      <c r="Z493">
        <v>0.37361111111111112</v>
      </c>
      <c r="AA493">
        <v>95.5</v>
      </c>
      <c r="AB493">
        <v>18.3</v>
      </c>
      <c r="AD493">
        <v>55</v>
      </c>
      <c r="AE493">
        <v>55</v>
      </c>
      <c r="AF493">
        <v>51.607474101643646</v>
      </c>
      <c r="AG493">
        <v>50.685592064046816</v>
      </c>
      <c r="AH493">
        <v>102.29306616569046</v>
      </c>
      <c r="AI493">
        <v>7.3282613224333968</v>
      </c>
      <c r="AJ493">
        <v>9.2754633477205672</v>
      </c>
      <c r="AK493">
        <v>16.603724670153966</v>
      </c>
      <c r="AL493">
        <v>217.7504730409506</v>
      </c>
      <c r="AM493">
        <v>64.684992999447218</v>
      </c>
      <c r="AN493">
        <v>2.9706017211398854</v>
      </c>
      <c r="AO493">
        <v>14.199999999999998</v>
      </c>
      <c r="AP493">
        <v>16.231525060808984</v>
      </c>
      <c r="AQ493">
        <v>35.344222601672016</v>
      </c>
      <c r="AR493">
        <v>54.640529375915776</v>
      </c>
      <c r="AS493">
        <v>0.49098455429408056</v>
      </c>
      <c r="AT493">
        <v>19.616655035668479</v>
      </c>
      <c r="AU493">
        <v>30.326439141511727</v>
      </c>
    </row>
    <row r="494" spans="1:47" x14ac:dyDescent="0.35">
      <c r="A494">
        <v>492</v>
      </c>
      <c r="B494">
        <v>46050</v>
      </c>
      <c r="C494" t="s">
        <v>16</v>
      </c>
      <c r="D494" t="s">
        <v>154</v>
      </c>
      <c r="E494" t="s">
        <v>99</v>
      </c>
      <c r="F494" t="s">
        <v>155</v>
      </c>
      <c r="G494" t="s">
        <v>156</v>
      </c>
      <c r="H494" t="s">
        <v>22</v>
      </c>
      <c r="I494" t="s">
        <v>23</v>
      </c>
      <c r="J494" t="s">
        <v>24</v>
      </c>
      <c r="K494" t="s">
        <v>153</v>
      </c>
      <c r="L494">
        <v>28</v>
      </c>
      <c r="M494">
        <v>61</v>
      </c>
      <c r="N494">
        <v>2</v>
      </c>
      <c r="O494">
        <v>1</v>
      </c>
      <c r="P494">
        <v>0</v>
      </c>
      <c r="Q494">
        <v>0.5</v>
      </c>
      <c r="R494">
        <v>466.05682828698065</v>
      </c>
      <c r="S494">
        <v>143.25682828698069</v>
      </c>
      <c r="T494">
        <v>0.33819444444444446</v>
      </c>
      <c r="U494">
        <v>42.5</v>
      </c>
      <c r="V494">
        <v>0.67083333333333328</v>
      </c>
      <c r="W494">
        <v>71.5</v>
      </c>
      <c r="X494">
        <v>12.4</v>
      </c>
      <c r="Y494">
        <v>40</v>
      </c>
      <c r="Z494">
        <v>0.37430555555555556</v>
      </c>
      <c r="AA494">
        <v>63</v>
      </c>
      <c r="AB494">
        <v>14.8</v>
      </c>
      <c r="AD494">
        <v>29</v>
      </c>
      <c r="AE494">
        <v>23</v>
      </c>
      <c r="AF494">
        <v>25.607474101643646</v>
      </c>
      <c r="AG494">
        <v>18.685592064046812</v>
      </c>
      <c r="AH494">
        <v>44.293066165690462</v>
      </c>
      <c r="AI494">
        <v>3.1753267886038121</v>
      </c>
      <c r="AJ494">
        <v>2.7654676254789288</v>
      </c>
      <c r="AK494">
        <v>5.9407944140827409</v>
      </c>
      <c r="AL494">
        <v>95.037908420937072</v>
      </c>
      <c r="AM494">
        <v>30.738060166080949</v>
      </c>
      <c r="AN494">
        <v>3.2342946805960309</v>
      </c>
      <c r="AO494">
        <v>12.4</v>
      </c>
      <c r="AP494">
        <v>13.412470457248446</v>
      </c>
      <c r="AQ494">
        <v>12.74693139014502</v>
      </c>
      <c r="AR494">
        <v>41.46953750910766</v>
      </c>
      <c r="AS494">
        <v>-0.64762893599307791</v>
      </c>
      <c r="AT494">
        <v>7.0747674566756444</v>
      </c>
      <c r="AU494">
        <v>23.016310783601618</v>
      </c>
    </row>
    <row r="495" spans="1:47" x14ac:dyDescent="0.35">
      <c r="A495">
        <v>493</v>
      </c>
      <c r="B495">
        <v>46050</v>
      </c>
      <c r="C495" t="s">
        <v>16</v>
      </c>
      <c r="D495" t="s">
        <v>154</v>
      </c>
      <c r="E495" t="s">
        <v>99</v>
      </c>
      <c r="F495" t="s">
        <v>155</v>
      </c>
      <c r="G495" t="s">
        <v>156</v>
      </c>
      <c r="H495" t="s">
        <v>22</v>
      </c>
      <c r="I495" t="s">
        <v>23</v>
      </c>
      <c r="J495" t="s">
        <v>24</v>
      </c>
      <c r="K495" t="s">
        <v>153</v>
      </c>
      <c r="L495">
        <v>28</v>
      </c>
      <c r="M495">
        <v>61</v>
      </c>
      <c r="N495">
        <v>2</v>
      </c>
      <c r="O495">
        <v>2</v>
      </c>
      <c r="P495">
        <v>0</v>
      </c>
      <c r="Q495">
        <v>0.50009999999999999</v>
      </c>
      <c r="R495">
        <v>466.15003965263804</v>
      </c>
      <c r="S495">
        <v>137.95003965263811</v>
      </c>
      <c r="T495">
        <v>0.33819444444444446</v>
      </c>
      <c r="U495">
        <v>41.5</v>
      </c>
      <c r="V495">
        <v>0.67152777777777772</v>
      </c>
      <c r="W495">
        <v>70</v>
      </c>
      <c r="X495">
        <v>12.4</v>
      </c>
      <c r="Y495">
        <v>40</v>
      </c>
      <c r="Z495">
        <v>0.37430555555555556</v>
      </c>
      <c r="AA495">
        <v>62.5</v>
      </c>
      <c r="AB495">
        <v>14.2</v>
      </c>
      <c r="AD495">
        <v>28.5</v>
      </c>
      <c r="AE495">
        <v>22.5</v>
      </c>
      <c r="AF495">
        <v>25.107474101643646</v>
      </c>
      <c r="AG495">
        <v>18.185592064046812</v>
      </c>
      <c r="AH495">
        <v>43.293066165690462</v>
      </c>
      <c r="AI495">
        <v>3.1133267886038123</v>
      </c>
      <c r="AJ495">
        <v>2.5823540730946473</v>
      </c>
      <c r="AK495">
        <v>5.6956808616984596</v>
      </c>
      <c r="AL495">
        <v>92.87367260110338</v>
      </c>
      <c r="AM495">
        <v>29.593484483115056</v>
      </c>
      <c r="AN495">
        <v>3.1864234130398188</v>
      </c>
      <c r="AO495">
        <v>12.4</v>
      </c>
      <c r="AP495">
        <v>13.156104120461345</v>
      </c>
      <c r="AQ495">
        <v>12.218557067897541</v>
      </c>
      <c r="AR495">
        <v>41.287997278147486</v>
      </c>
      <c r="AS495">
        <v>-0.51886148919025799</v>
      </c>
      <c r="AT495">
        <v>6.7815105664040329</v>
      </c>
      <c r="AU495">
        <v>22.915552814584277</v>
      </c>
    </row>
    <row r="496" spans="1:47" x14ac:dyDescent="0.35">
      <c r="A496">
        <v>494</v>
      </c>
      <c r="B496">
        <v>46050</v>
      </c>
      <c r="C496" t="s">
        <v>16</v>
      </c>
      <c r="D496" t="s">
        <v>154</v>
      </c>
      <c r="E496" t="s">
        <v>99</v>
      </c>
      <c r="F496" t="s">
        <v>155</v>
      </c>
      <c r="G496" t="s">
        <v>156</v>
      </c>
      <c r="H496" t="s">
        <v>22</v>
      </c>
      <c r="I496" t="s">
        <v>23</v>
      </c>
      <c r="J496" t="s">
        <v>24</v>
      </c>
      <c r="K496" t="s">
        <v>153</v>
      </c>
      <c r="L496">
        <v>28</v>
      </c>
      <c r="M496">
        <v>61</v>
      </c>
      <c r="N496">
        <v>2</v>
      </c>
      <c r="O496">
        <v>3</v>
      </c>
      <c r="P496">
        <v>0</v>
      </c>
      <c r="Q496">
        <v>0.50029999999999997</v>
      </c>
      <c r="R496">
        <v>466.33646238395278</v>
      </c>
      <c r="S496">
        <v>144.53646238395282</v>
      </c>
      <c r="T496">
        <v>0.33888888888888891</v>
      </c>
      <c r="U496">
        <v>42</v>
      </c>
      <c r="V496">
        <v>0.67152777777777772</v>
      </c>
      <c r="W496">
        <v>70.5</v>
      </c>
      <c r="X496">
        <v>12.7</v>
      </c>
      <c r="Y496">
        <v>40</v>
      </c>
      <c r="Z496">
        <v>0.375</v>
      </c>
      <c r="AA496">
        <v>63</v>
      </c>
      <c r="AB496">
        <v>14</v>
      </c>
      <c r="AC496" t="s">
        <v>559</v>
      </c>
      <c r="AD496">
        <v>28.5</v>
      </c>
      <c r="AE496">
        <v>23</v>
      </c>
      <c r="AF496">
        <v>25.107474101643646</v>
      </c>
      <c r="AG496">
        <v>18.685592064046812</v>
      </c>
      <c r="AH496">
        <v>43.793066165690462</v>
      </c>
      <c r="AI496">
        <v>3.1886492109087432</v>
      </c>
      <c r="AJ496">
        <v>2.615982888966554</v>
      </c>
      <c r="AK496">
        <v>5.8046320998752972</v>
      </c>
      <c r="AL496">
        <v>93.908732638697131</v>
      </c>
      <c r="AM496">
        <v>30.994029856698269</v>
      </c>
      <c r="AN496">
        <v>3.3004417146107357</v>
      </c>
      <c r="AO496">
        <v>12.700000000000001</v>
      </c>
      <c r="AP496">
        <v>13.254683008295311</v>
      </c>
      <c r="AQ496">
        <v>12.447304828366862</v>
      </c>
      <c r="AR496">
        <v>40.160330508544099</v>
      </c>
      <c r="AS496">
        <v>-0.66189806046501953</v>
      </c>
      <c r="AT496">
        <v>6.9084695310382163</v>
      </c>
      <c r="AU496">
        <v>22.289678247648698</v>
      </c>
    </row>
    <row r="497" spans="1:47" x14ac:dyDescent="0.35">
      <c r="A497">
        <v>495</v>
      </c>
      <c r="B497">
        <v>46050</v>
      </c>
      <c r="C497" t="s">
        <v>16</v>
      </c>
      <c r="D497" t="s">
        <v>158</v>
      </c>
      <c r="E497" t="s">
        <v>159</v>
      </c>
      <c r="F497" t="s">
        <v>160</v>
      </c>
      <c r="G497" t="s">
        <v>161</v>
      </c>
      <c r="H497" t="s">
        <v>22</v>
      </c>
      <c r="I497" t="s">
        <v>23</v>
      </c>
      <c r="J497" t="s">
        <v>24</v>
      </c>
      <c r="K497" t="s">
        <v>157</v>
      </c>
      <c r="L497">
        <v>28</v>
      </c>
      <c r="M497">
        <v>61</v>
      </c>
      <c r="N497">
        <v>2</v>
      </c>
      <c r="O497">
        <v>1</v>
      </c>
      <c r="P497">
        <v>0</v>
      </c>
      <c r="Q497">
        <v>0.50009999999999999</v>
      </c>
      <c r="R497">
        <v>464.03221211515387</v>
      </c>
      <c r="S497">
        <v>94.032212115153868</v>
      </c>
      <c r="T497">
        <v>0.33958333333333335</v>
      </c>
      <c r="U497">
        <v>41.5</v>
      </c>
      <c r="V497">
        <v>0.67222222222222228</v>
      </c>
      <c r="W497">
        <v>61</v>
      </c>
      <c r="X497">
        <v>12.8</v>
      </c>
      <c r="Y497">
        <v>40.5</v>
      </c>
      <c r="Z497">
        <v>0.375</v>
      </c>
      <c r="AA497">
        <v>58</v>
      </c>
      <c r="AB497">
        <v>13.1</v>
      </c>
      <c r="AD497">
        <v>19.5</v>
      </c>
      <c r="AE497">
        <v>17.5</v>
      </c>
      <c r="AF497">
        <v>16.107474101643646</v>
      </c>
      <c r="AG497">
        <v>13.185592064046812</v>
      </c>
      <c r="AH497">
        <v>29.293066165690458</v>
      </c>
      <c r="AI497">
        <v>2.0617566850103866</v>
      </c>
      <c r="AJ497">
        <v>1.7273125603901325</v>
      </c>
      <c r="AK497">
        <v>3.789069245400519</v>
      </c>
      <c r="AL497">
        <v>63.127225655664418</v>
      </c>
      <c r="AM497">
        <v>20.264156164188645</v>
      </c>
      <c r="AN497">
        <v>3.2100501730777919</v>
      </c>
      <c r="AO497">
        <v>12.799999999999999</v>
      </c>
      <c r="AP497">
        <v>12.935038018787093</v>
      </c>
      <c r="AQ497">
        <v>8.1655306387657127</v>
      </c>
      <c r="AR497">
        <v>40.295438766880686</v>
      </c>
      <c r="AS497">
        <v>-7.6681268738832076E-2</v>
      </c>
      <c r="AT497">
        <v>4.5320107766713509</v>
      </c>
      <c r="AU497">
        <v>22.364665668538628</v>
      </c>
    </row>
    <row r="498" spans="1:47" x14ac:dyDescent="0.35">
      <c r="A498">
        <v>496</v>
      </c>
      <c r="B498">
        <v>46050</v>
      </c>
      <c r="C498" t="s">
        <v>16</v>
      </c>
      <c r="D498" t="s">
        <v>158</v>
      </c>
      <c r="E498" t="s">
        <v>159</v>
      </c>
      <c r="F498" t="s">
        <v>160</v>
      </c>
      <c r="G498" t="s">
        <v>161</v>
      </c>
      <c r="H498" t="s">
        <v>22</v>
      </c>
      <c r="I498" t="s">
        <v>23</v>
      </c>
      <c r="J498" t="s">
        <v>24</v>
      </c>
      <c r="K498" t="s">
        <v>157</v>
      </c>
      <c r="L498">
        <v>28</v>
      </c>
      <c r="M498">
        <v>61</v>
      </c>
      <c r="N498">
        <v>2</v>
      </c>
      <c r="O498">
        <v>2</v>
      </c>
      <c r="P498">
        <v>0</v>
      </c>
      <c r="Q498">
        <v>0.50019999999999998</v>
      </c>
      <c r="R498">
        <v>464.12499999999989</v>
      </c>
      <c r="S498">
        <v>89.824999999999932</v>
      </c>
      <c r="T498">
        <v>0.33958333333333335</v>
      </c>
      <c r="U498">
        <v>42</v>
      </c>
      <c r="V498">
        <v>0.67291666666666672</v>
      </c>
      <c r="W498">
        <v>60.5</v>
      </c>
      <c r="X498">
        <v>12.7</v>
      </c>
      <c r="Y498">
        <v>40</v>
      </c>
      <c r="Z498">
        <v>0.37569444444444444</v>
      </c>
      <c r="AA498">
        <v>57</v>
      </c>
      <c r="AB498">
        <v>12.9</v>
      </c>
      <c r="AD498">
        <v>18.5</v>
      </c>
      <c r="AE498">
        <v>17</v>
      </c>
      <c r="AF498">
        <v>15.107474101643646</v>
      </c>
      <c r="AG498">
        <v>12.685592064046812</v>
      </c>
      <c r="AH498">
        <v>27.793066165690458</v>
      </c>
      <c r="AI498">
        <v>1.9186492109087432</v>
      </c>
      <c r="AJ498">
        <v>1.6364413762620389</v>
      </c>
      <c r="AK498">
        <v>3.5550905871707821</v>
      </c>
      <c r="AL498">
        <v>59.882717297474741</v>
      </c>
      <c r="AM498">
        <v>19.353622407756522</v>
      </c>
      <c r="AN498">
        <v>3.2319212088548066</v>
      </c>
      <c r="AO498">
        <v>12.7</v>
      </c>
      <c r="AP498">
        <v>12.79128602068171</v>
      </c>
      <c r="AQ498">
        <v>7.6597696464762359</v>
      </c>
      <c r="AR498">
        <v>39.577963675711494</v>
      </c>
      <c r="AS498">
        <v>-6.9544791230070513E-2</v>
      </c>
      <c r="AT498">
        <v>4.2513046757605126</v>
      </c>
      <c r="AU498">
        <v>21.966454579875858</v>
      </c>
    </row>
    <row r="499" spans="1:47" x14ac:dyDescent="0.35">
      <c r="A499">
        <v>497</v>
      </c>
      <c r="B499">
        <v>46050</v>
      </c>
      <c r="C499" t="s">
        <v>16</v>
      </c>
      <c r="D499" t="s">
        <v>158</v>
      </c>
      <c r="E499" t="s">
        <v>159</v>
      </c>
      <c r="F499" t="s">
        <v>160</v>
      </c>
      <c r="G499" t="s">
        <v>161</v>
      </c>
      <c r="H499" t="s">
        <v>22</v>
      </c>
      <c r="I499" t="s">
        <v>23</v>
      </c>
      <c r="J499" t="s">
        <v>24</v>
      </c>
      <c r="K499" t="s">
        <v>157</v>
      </c>
      <c r="L499">
        <v>28</v>
      </c>
      <c r="M499">
        <v>61</v>
      </c>
      <c r="N499">
        <v>2</v>
      </c>
      <c r="O499">
        <v>3</v>
      </c>
      <c r="P499">
        <v>0</v>
      </c>
      <c r="Q499">
        <v>0.50009999999999999</v>
      </c>
      <c r="R499">
        <v>464.03221211515387</v>
      </c>
      <c r="S499">
        <v>134.43221211515385</v>
      </c>
      <c r="T499">
        <v>0.33958333333333335</v>
      </c>
      <c r="U499">
        <v>42</v>
      </c>
      <c r="V499">
        <v>0.67361111111111116</v>
      </c>
      <c r="W499">
        <v>62</v>
      </c>
      <c r="X499">
        <v>11.8</v>
      </c>
      <c r="Y499">
        <v>40</v>
      </c>
      <c r="Z499">
        <v>0.37638888888888888</v>
      </c>
      <c r="AA499">
        <v>56.5</v>
      </c>
      <c r="AB499">
        <v>12.9</v>
      </c>
      <c r="AD499">
        <v>20</v>
      </c>
      <c r="AE499">
        <v>16.5</v>
      </c>
      <c r="AF499">
        <v>16.607474101643646</v>
      </c>
      <c r="AG499">
        <v>12.185592064046812</v>
      </c>
      <c r="AH499">
        <v>28.793066165690458</v>
      </c>
      <c r="AI499">
        <v>1.9596819439939503</v>
      </c>
      <c r="AJ499">
        <v>1.5719413762620389</v>
      </c>
      <c r="AK499">
        <v>3.5316233202559895</v>
      </c>
      <c r="AL499">
        <v>62.049714252477784</v>
      </c>
      <c r="AM499">
        <v>28.970448301936692</v>
      </c>
      <c r="AN499">
        <v>4.6689092207672545</v>
      </c>
      <c r="AO499">
        <v>11.8</v>
      </c>
      <c r="AP499">
        <v>12.26553400021092</v>
      </c>
      <c r="AQ499">
        <v>7.6107287986713832</v>
      </c>
      <c r="AR499">
        <v>26.27066284701781</v>
      </c>
      <c r="AS499">
        <v>-0.10669904532924407</v>
      </c>
      <c r="AT499">
        <v>4.2240861567712455</v>
      </c>
      <c r="AU499">
        <v>14.580672389832721</v>
      </c>
    </row>
    <row r="500" spans="1:47" x14ac:dyDescent="0.35">
      <c r="A500">
        <v>498</v>
      </c>
      <c r="B500">
        <v>46050</v>
      </c>
      <c r="C500" t="s">
        <v>16</v>
      </c>
      <c r="D500" t="s">
        <v>163</v>
      </c>
      <c r="E500" t="s">
        <v>129</v>
      </c>
      <c r="F500" t="s">
        <v>164</v>
      </c>
      <c r="G500" t="s">
        <v>165</v>
      </c>
      <c r="H500" t="s">
        <v>22</v>
      </c>
      <c r="I500" t="s">
        <v>23</v>
      </c>
      <c r="J500" t="s">
        <v>24</v>
      </c>
      <c r="K500" t="s">
        <v>162</v>
      </c>
      <c r="L500">
        <v>28</v>
      </c>
      <c r="M500">
        <v>61</v>
      </c>
      <c r="N500">
        <v>2</v>
      </c>
      <c r="O500">
        <v>1</v>
      </c>
      <c r="P500">
        <v>0</v>
      </c>
      <c r="Q500">
        <v>0.50029999999999997</v>
      </c>
      <c r="R500">
        <v>466.46363974558199</v>
      </c>
      <c r="S500">
        <v>172.36363974558196</v>
      </c>
      <c r="T500">
        <v>0.34097222222222223</v>
      </c>
      <c r="U500">
        <v>41</v>
      </c>
      <c r="V500">
        <v>0.67361111111111116</v>
      </c>
      <c r="W500">
        <v>69.5</v>
      </c>
      <c r="X500">
        <v>14.9</v>
      </c>
      <c r="Y500">
        <v>40</v>
      </c>
      <c r="Z500">
        <v>0.37638888888888888</v>
      </c>
      <c r="AA500">
        <v>72</v>
      </c>
      <c r="AB500">
        <v>16</v>
      </c>
      <c r="AC500" t="s">
        <v>567</v>
      </c>
      <c r="AD500">
        <v>28.5</v>
      </c>
      <c r="AE500">
        <v>32</v>
      </c>
      <c r="AF500">
        <v>25.107474101643646</v>
      </c>
      <c r="AG500">
        <v>27.685592064046812</v>
      </c>
      <c r="AH500">
        <v>52.793066165690462</v>
      </c>
      <c r="AI500">
        <v>3.7410136411449031</v>
      </c>
      <c r="AJ500">
        <v>4.4296947302474896</v>
      </c>
      <c r="AK500">
        <v>8.1707083713923936</v>
      </c>
      <c r="AL500">
        <v>113.1772375537883</v>
      </c>
      <c r="AM500">
        <v>36.95114153797546</v>
      </c>
      <c r="AN500">
        <v>3.2648916280903362</v>
      </c>
      <c r="AO500">
        <v>14.9</v>
      </c>
      <c r="AP500">
        <v>15.476858922625775</v>
      </c>
      <c r="AQ500">
        <v>17.516281388724856</v>
      </c>
      <c r="AR500">
        <v>47.40389784906376</v>
      </c>
      <c r="AS500">
        <v>1.0282726768142654</v>
      </c>
      <c r="AT500">
        <v>9.72183922059331</v>
      </c>
      <c r="AU500">
        <v>26.309983442871374</v>
      </c>
    </row>
    <row r="501" spans="1:47" x14ac:dyDescent="0.35">
      <c r="A501">
        <v>499</v>
      </c>
      <c r="B501">
        <v>46050</v>
      </c>
      <c r="C501" t="s">
        <v>16</v>
      </c>
      <c r="D501" t="s">
        <v>163</v>
      </c>
      <c r="E501" t="s">
        <v>129</v>
      </c>
      <c r="F501" t="s">
        <v>164</v>
      </c>
      <c r="G501" t="s">
        <v>165</v>
      </c>
      <c r="H501" t="s">
        <v>22</v>
      </c>
      <c r="I501" t="s">
        <v>23</v>
      </c>
      <c r="J501" t="s">
        <v>24</v>
      </c>
      <c r="K501" t="s">
        <v>162</v>
      </c>
      <c r="L501">
        <v>28</v>
      </c>
      <c r="M501">
        <v>61</v>
      </c>
      <c r="N501">
        <v>2</v>
      </c>
      <c r="O501">
        <v>2</v>
      </c>
      <c r="P501">
        <v>0</v>
      </c>
      <c r="Q501">
        <v>0.50039999999999996</v>
      </c>
      <c r="R501">
        <v>466.55687653145958</v>
      </c>
      <c r="S501">
        <v>134.45687653145961</v>
      </c>
      <c r="T501">
        <v>0.34097222222222223</v>
      </c>
      <c r="U501">
        <v>41</v>
      </c>
      <c r="V501">
        <v>0.6743055555555556</v>
      </c>
      <c r="W501">
        <v>69.5</v>
      </c>
      <c r="X501">
        <v>15</v>
      </c>
      <c r="Y501">
        <v>40</v>
      </c>
      <c r="Z501">
        <v>0.37708333333333333</v>
      </c>
      <c r="AA501">
        <v>73</v>
      </c>
      <c r="AB501">
        <v>15.9</v>
      </c>
      <c r="AD501">
        <v>28.5</v>
      </c>
      <c r="AE501">
        <v>33</v>
      </c>
      <c r="AF501">
        <v>25.107474101643646</v>
      </c>
      <c r="AG501">
        <v>28.685592064046812</v>
      </c>
      <c r="AH501">
        <v>53.793066165690462</v>
      </c>
      <c r="AI501">
        <v>3.7661211152465466</v>
      </c>
      <c r="AJ501">
        <v>4.5610091381834428</v>
      </c>
      <c r="AK501">
        <v>8.3271302534299885</v>
      </c>
      <c r="AL501">
        <v>115.29798160002736</v>
      </c>
      <c r="AM501">
        <v>28.818967910420092</v>
      </c>
      <c r="AN501">
        <v>2.4995205909496381</v>
      </c>
      <c r="AO501">
        <v>15</v>
      </c>
      <c r="AP501">
        <v>15.479932353700042</v>
      </c>
      <c r="AQ501">
        <v>17.848049556865757</v>
      </c>
      <c r="AR501">
        <v>61.931605643699783</v>
      </c>
      <c r="AS501">
        <v>-2.1203417700046852</v>
      </c>
      <c r="AT501">
        <v>9.9059762938452156</v>
      </c>
      <c r="AU501">
        <v>34.373112613319876</v>
      </c>
    </row>
    <row r="502" spans="1:47" x14ac:dyDescent="0.35">
      <c r="A502">
        <v>500</v>
      </c>
      <c r="B502">
        <v>46050</v>
      </c>
      <c r="C502" t="s">
        <v>16</v>
      </c>
      <c r="D502" t="s">
        <v>163</v>
      </c>
      <c r="E502" t="s">
        <v>129</v>
      </c>
      <c r="F502" t="s">
        <v>164</v>
      </c>
      <c r="G502" t="s">
        <v>165</v>
      </c>
      <c r="H502" t="s">
        <v>22</v>
      </c>
      <c r="I502" t="s">
        <v>23</v>
      </c>
      <c r="J502" t="s">
        <v>24</v>
      </c>
      <c r="K502" t="s">
        <v>162</v>
      </c>
      <c r="L502">
        <v>28</v>
      </c>
      <c r="M502">
        <v>61</v>
      </c>
      <c r="N502">
        <v>2</v>
      </c>
      <c r="O502">
        <v>3</v>
      </c>
      <c r="P502">
        <v>0</v>
      </c>
      <c r="Q502">
        <v>0.5</v>
      </c>
      <c r="R502">
        <v>466.18392938794926</v>
      </c>
      <c r="S502">
        <v>143.98392938794922</v>
      </c>
      <c r="T502">
        <v>0.34097222222222223</v>
      </c>
      <c r="U502">
        <v>41.5</v>
      </c>
      <c r="V502">
        <v>0.67500000000000004</v>
      </c>
      <c r="W502">
        <v>68.5</v>
      </c>
      <c r="X502">
        <v>15.1</v>
      </c>
      <c r="Y502">
        <v>40.5</v>
      </c>
      <c r="Z502">
        <v>0.37777777777777777</v>
      </c>
      <c r="AA502">
        <v>73</v>
      </c>
      <c r="AB502">
        <v>16.100000000000001</v>
      </c>
      <c r="AD502">
        <v>27</v>
      </c>
      <c r="AE502">
        <v>32.5</v>
      </c>
      <c r="AF502">
        <v>23.607474101643646</v>
      </c>
      <c r="AG502">
        <v>28.185592064046812</v>
      </c>
      <c r="AH502">
        <v>51.793066165690462</v>
      </c>
      <c r="AI502">
        <v>3.5647285893481904</v>
      </c>
      <c r="AJ502">
        <v>4.5378803223115369</v>
      </c>
      <c r="AK502">
        <v>8.1026089116597273</v>
      </c>
      <c r="AL502">
        <v>111.10006780733377</v>
      </c>
      <c r="AM502">
        <v>30.885648412845345</v>
      </c>
      <c r="AN502">
        <v>2.7799846590918613</v>
      </c>
      <c r="AO502">
        <v>15.099999999999998</v>
      </c>
      <c r="AP502">
        <v>15.644196243834621</v>
      </c>
      <c r="AQ502">
        <v>17.380712634812625</v>
      </c>
      <c r="AR502">
        <v>56.274397747738355</v>
      </c>
      <c r="AS502">
        <v>-8.905734512139901</v>
      </c>
      <c r="AT502">
        <v>9.6465962166918544</v>
      </c>
      <c r="AU502">
        <v>31.233264355492153</v>
      </c>
    </row>
    <row r="503" spans="1:47" x14ac:dyDescent="0.35">
      <c r="A503">
        <v>501</v>
      </c>
      <c r="B503">
        <v>46050</v>
      </c>
      <c r="C503" t="s">
        <v>16</v>
      </c>
      <c r="D503" t="s">
        <v>167</v>
      </c>
      <c r="E503" t="s">
        <v>88</v>
      </c>
      <c r="F503" t="s">
        <v>168</v>
      </c>
      <c r="G503" t="s">
        <v>169</v>
      </c>
      <c r="H503" t="s">
        <v>22</v>
      </c>
      <c r="I503" t="s">
        <v>23</v>
      </c>
      <c r="J503" t="s">
        <v>24</v>
      </c>
      <c r="K503" t="s">
        <v>166</v>
      </c>
      <c r="L503">
        <v>28</v>
      </c>
      <c r="M503">
        <v>61</v>
      </c>
      <c r="N503">
        <v>2</v>
      </c>
      <c r="O503">
        <v>1</v>
      </c>
      <c r="P503">
        <v>0</v>
      </c>
      <c r="Q503">
        <v>0.50009999999999999</v>
      </c>
      <c r="R503">
        <v>473.17368709287211</v>
      </c>
      <c r="S503">
        <v>162.07368709287209</v>
      </c>
      <c r="T503">
        <v>0.34097222222222223</v>
      </c>
      <c r="U503">
        <v>40.5</v>
      </c>
      <c r="V503">
        <v>0.67569444444444449</v>
      </c>
      <c r="W503">
        <v>79.5</v>
      </c>
      <c r="X503">
        <v>14.4</v>
      </c>
      <c r="Y503">
        <v>40</v>
      </c>
      <c r="Z503">
        <v>0.37777777777777777</v>
      </c>
      <c r="AA503">
        <v>74.5</v>
      </c>
      <c r="AB503">
        <v>18.2</v>
      </c>
      <c r="AD503">
        <v>39</v>
      </c>
      <c r="AE503">
        <v>34.5</v>
      </c>
      <c r="AF503">
        <v>35.607474101643646</v>
      </c>
      <c r="AG503">
        <v>30.185592064046812</v>
      </c>
      <c r="AH503">
        <v>65.793066165690462</v>
      </c>
      <c r="AI503">
        <v>5.1274762706366861</v>
      </c>
      <c r="AJ503">
        <v>5.4937777556565193</v>
      </c>
      <c r="AK503">
        <v>10.621254026293204</v>
      </c>
      <c r="AL503">
        <v>139.0463332183916</v>
      </c>
      <c r="AM503">
        <v>34.252472509330616</v>
      </c>
      <c r="AN503">
        <v>2.4633855288749213</v>
      </c>
      <c r="AO503">
        <v>14.400000000000004</v>
      </c>
      <c r="AP503">
        <v>16.143424596666598</v>
      </c>
      <c r="AQ503">
        <v>22.446839957540831</v>
      </c>
      <c r="AR503">
        <v>65.533487988133274</v>
      </c>
      <c r="AS503">
        <v>-2.2985846979037499</v>
      </c>
      <c r="AT503">
        <v>12.458384530067645</v>
      </c>
      <c r="AU503">
        <v>36.372219630784002</v>
      </c>
    </row>
    <row r="504" spans="1:47" x14ac:dyDescent="0.35">
      <c r="A504">
        <v>502</v>
      </c>
      <c r="B504">
        <v>46050</v>
      </c>
      <c r="C504" t="s">
        <v>16</v>
      </c>
      <c r="D504" t="s">
        <v>167</v>
      </c>
      <c r="E504" t="s">
        <v>88</v>
      </c>
      <c r="F504" t="s">
        <v>168</v>
      </c>
      <c r="G504" t="s">
        <v>169</v>
      </c>
      <c r="H504" t="s">
        <v>22</v>
      </c>
      <c r="I504" t="s">
        <v>23</v>
      </c>
      <c r="J504" t="s">
        <v>24</v>
      </c>
      <c r="K504" t="s">
        <v>166</v>
      </c>
      <c r="L504">
        <v>28</v>
      </c>
      <c r="M504">
        <v>61</v>
      </c>
      <c r="N504">
        <v>2</v>
      </c>
      <c r="O504">
        <v>2</v>
      </c>
      <c r="P504">
        <v>0</v>
      </c>
      <c r="Q504">
        <v>0.5</v>
      </c>
      <c r="R504">
        <v>473.07907127861637</v>
      </c>
      <c r="S504">
        <v>198.77907127861636</v>
      </c>
      <c r="T504">
        <v>0.34166666666666667</v>
      </c>
      <c r="U504">
        <v>40.5</v>
      </c>
      <c r="V504">
        <v>0.67569444444444449</v>
      </c>
      <c r="W504">
        <v>79</v>
      </c>
      <c r="X504">
        <v>15.2</v>
      </c>
      <c r="Y504">
        <v>40</v>
      </c>
      <c r="Z504">
        <v>0.37847222222222221</v>
      </c>
      <c r="AA504">
        <v>74.5</v>
      </c>
      <c r="AB504">
        <v>18.5</v>
      </c>
      <c r="AD504">
        <v>38.5</v>
      </c>
      <c r="AE504">
        <v>34.5</v>
      </c>
      <c r="AF504">
        <v>35.107474101643646</v>
      </c>
      <c r="AG504">
        <v>30.185592064046812</v>
      </c>
      <c r="AH504">
        <v>65.293066165690462</v>
      </c>
      <c r="AI504">
        <v>5.336336063449834</v>
      </c>
      <c r="AJ504">
        <v>5.5843345318486604</v>
      </c>
      <c r="AK504">
        <v>10.920670595298494</v>
      </c>
      <c r="AL504">
        <v>138.01723671524795</v>
      </c>
      <c r="AM504">
        <v>42.018149469467211</v>
      </c>
      <c r="AN504">
        <v>3.04441318124326</v>
      </c>
      <c r="AO504">
        <v>15.199999999999998</v>
      </c>
      <c r="AP504">
        <v>16.725620707696184</v>
      </c>
      <c r="AQ504">
        <v>23.084239524235574</v>
      </c>
      <c r="AR504">
        <v>54.938734370036691</v>
      </c>
      <c r="AS504">
        <v>1.4116038094346244</v>
      </c>
      <c r="AT504">
        <v>12.812152317257393</v>
      </c>
      <c r="AU504">
        <v>30.491948072504794</v>
      </c>
    </row>
    <row r="505" spans="1:47" x14ac:dyDescent="0.35">
      <c r="A505">
        <v>503</v>
      </c>
      <c r="B505">
        <v>46050</v>
      </c>
      <c r="C505" t="s">
        <v>16</v>
      </c>
      <c r="D505" t="s">
        <v>167</v>
      </c>
      <c r="E505" t="s">
        <v>88</v>
      </c>
      <c r="F505" t="s">
        <v>168</v>
      </c>
      <c r="G505" t="s">
        <v>169</v>
      </c>
      <c r="H505" t="s">
        <v>22</v>
      </c>
      <c r="I505" t="s">
        <v>23</v>
      </c>
      <c r="J505" t="s">
        <v>24</v>
      </c>
      <c r="K505" t="s">
        <v>166</v>
      </c>
      <c r="L505">
        <v>28</v>
      </c>
      <c r="M505">
        <v>61</v>
      </c>
      <c r="N505">
        <v>2</v>
      </c>
      <c r="O505">
        <v>3</v>
      </c>
      <c r="P505">
        <v>0</v>
      </c>
      <c r="Q505">
        <v>0.50039999999999996</v>
      </c>
      <c r="R505">
        <v>473.45753453563924</v>
      </c>
      <c r="S505">
        <v>164.95753453563924</v>
      </c>
      <c r="T505">
        <v>0.34166666666666667</v>
      </c>
      <c r="U505">
        <v>41</v>
      </c>
      <c r="V505">
        <v>0.67638888888888893</v>
      </c>
      <c r="W505">
        <v>78.5</v>
      </c>
      <c r="X505">
        <v>14.9</v>
      </c>
      <c r="Y505">
        <v>40.5</v>
      </c>
      <c r="Z505">
        <v>0.37916666666666665</v>
      </c>
      <c r="AA505">
        <v>74</v>
      </c>
      <c r="AB505">
        <v>18.600000000000001</v>
      </c>
      <c r="AD505">
        <v>37.5</v>
      </c>
      <c r="AE505">
        <v>33.5</v>
      </c>
      <c r="AF505">
        <v>34.107474101643646</v>
      </c>
      <c r="AG505">
        <v>29.185592064046812</v>
      </c>
      <c r="AH505">
        <v>63.293066165690462</v>
      </c>
      <c r="AI505">
        <v>5.0820136411449033</v>
      </c>
      <c r="AJ505">
        <v>5.4285201239127074</v>
      </c>
      <c r="AK505">
        <v>10.510533765057611</v>
      </c>
      <c r="AL505">
        <v>133.68266750209699</v>
      </c>
      <c r="AM505">
        <v>34.841041171184948</v>
      </c>
      <c r="AN505">
        <v>2.6062496973018896</v>
      </c>
      <c r="AO505">
        <v>14.899999999999999</v>
      </c>
      <c r="AP505">
        <v>16.606137767986819</v>
      </c>
      <c r="AQ505">
        <v>22.199527937317971</v>
      </c>
      <c r="AR505">
        <v>63.716603152715031</v>
      </c>
      <c r="AS505">
        <v>-2.8528519828878536</v>
      </c>
      <c r="AT505">
        <v>12.321122080089282</v>
      </c>
      <c r="AU505">
        <v>35.363817113133187</v>
      </c>
    </row>
    <row r="506" spans="1:47" x14ac:dyDescent="0.35">
      <c r="A506">
        <v>504</v>
      </c>
      <c r="B506">
        <v>46050</v>
      </c>
      <c r="C506" t="s">
        <v>16</v>
      </c>
      <c r="D506" t="s">
        <v>171</v>
      </c>
      <c r="E506" t="s">
        <v>88</v>
      </c>
      <c r="F506" t="s">
        <v>147</v>
      </c>
      <c r="G506" t="s">
        <v>148</v>
      </c>
      <c r="H506" t="s">
        <v>22</v>
      </c>
      <c r="I506" t="s">
        <v>23</v>
      </c>
      <c r="J506" t="s">
        <v>24</v>
      </c>
      <c r="K506" t="s">
        <v>170</v>
      </c>
      <c r="L506">
        <v>28</v>
      </c>
      <c r="M506">
        <v>61</v>
      </c>
      <c r="N506">
        <v>2</v>
      </c>
      <c r="O506">
        <v>1</v>
      </c>
      <c r="P506">
        <v>0</v>
      </c>
      <c r="Q506">
        <v>0.50029999999999997</v>
      </c>
      <c r="R506">
        <v>474.2184256574343</v>
      </c>
      <c r="S506">
        <v>182.51842565743436</v>
      </c>
      <c r="T506">
        <v>0.34236111111111112</v>
      </c>
      <c r="U506">
        <v>42</v>
      </c>
      <c r="V506">
        <v>0.67708333333333337</v>
      </c>
      <c r="W506">
        <v>64.5</v>
      </c>
      <c r="X506">
        <v>12</v>
      </c>
      <c r="Y506">
        <v>40</v>
      </c>
      <c r="Z506">
        <v>0.37916666666666665</v>
      </c>
      <c r="AA506">
        <v>63</v>
      </c>
      <c r="AB506">
        <v>12.4</v>
      </c>
      <c r="AC506" t="s">
        <v>551</v>
      </c>
      <c r="AD506">
        <v>22.5</v>
      </c>
      <c r="AE506">
        <v>23</v>
      </c>
      <c r="AF506">
        <v>19.107474101643646</v>
      </c>
      <c r="AG506">
        <v>18.685592064046812</v>
      </c>
      <c r="AH506">
        <v>37.793066165690462</v>
      </c>
      <c r="AI506">
        <v>2.2928968921972372</v>
      </c>
      <c r="AJ506">
        <v>2.3170134159418048</v>
      </c>
      <c r="AK506">
        <v>4.6099103081390425</v>
      </c>
      <c r="AL506">
        <v>79.695482336638264</v>
      </c>
      <c r="AM506">
        <v>38.488261059109909</v>
      </c>
      <c r="AN506">
        <v>4.8294156620488602</v>
      </c>
      <c r="AO506">
        <v>11.999999999999998</v>
      </c>
      <c r="AP506">
        <v>12.197767410372329</v>
      </c>
      <c r="AQ506">
        <v>9.7210695719974982</v>
      </c>
      <c r="AR506">
        <v>25.257232476853062</v>
      </c>
      <c r="AS506">
        <v>-0.26400390062540979</v>
      </c>
      <c r="AT506">
        <v>5.3953617970532832</v>
      </c>
      <c r="AU506">
        <v>14.01820100099388</v>
      </c>
    </row>
    <row r="507" spans="1:47" x14ac:dyDescent="0.35">
      <c r="A507">
        <v>505</v>
      </c>
      <c r="B507">
        <v>46050</v>
      </c>
      <c r="C507" t="s">
        <v>16</v>
      </c>
      <c r="D507" t="s">
        <v>171</v>
      </c>
      <c r="E507" t="s">
        <v>88</v>
      </c>
      <c r="F507" t="s">
        <v>147</v>
      </c>
      <c r="G507" t="s">
        <v>148</v>
      </c>
      <c r="H507" t="s">
        <v>22</v>
      </c>
      <c r="I507" t="s">
        <v>23</v>
      </c>
      <c r="J507" t="s">
        <v>24</v>
      </c>
      <c r="K507" t="s">
        <v>170</v>
      </c>
      <c r="L507">
        <v>28</v>
      </c>
      <c r="M507">
        <v>61</v>
      </c>
      <c r="N507">
        <v>2</v>
      </c>
      <c r="O507">
        <v>2</v>
      </c>
      <c r="P507">
        <v>0</v>
      </c>
      <c r="Q507">
        <v>0.50009999999999999</v>
      </c>
      <c r="R507">
        <v>474.0288520313469</v>
      </c>
      <c r="S507">
        <v>127.42885203134688</v>
      </c>
      <c r="T507">
        <v>0.34236111111111112</v>
      </c>
      <c r="U507">
        <v>42</v>
      </c>
      <c r="V507">
        <v>0.67777777777777781</v>
      </c>
      <c r="W507">
        <v>63.5</v>
      </c>
      <c r="X507">
        <v>12.1</v>
      </c>
      <c r="Y507">
        <v>40</v>
      </c>
      <c r="Z507">
        <v>0.37986111111111109</v>
      </c>
      <c r="AA507">
        <v>61.5</v>
      </c>
      <c r="AB507">
        <v>11</v>
      </c>
      <c r="AD507">
        <v>21.5</v>
      </c>
      <c r="AE507">
        <v>21.5</v>
      </c>
      <c r="AF507">
        <v>18.107474101643646</v>
      </c>
      <c r="AG507">
        <v>17.185592064046812</v>
      </c>
      <c r="AH507">
        <v>35.293066165690462</v>
      </c>
      <c r="AI507">
        <v>2.191004366298881</v>
      </c>
      <c r="AJ507">
        <v>1.8904151270451492</v>
      </c>
      <c r="AK507">
        <v>4.08141949334403</v>
      </c>
      <c r="AL507">
        <v>74.453413572717679</v>
      </c>
      <c r="AM507">
        <v>26.882087764337214</v>
      </c>
      <c r="AN507">
        <v>3.61059170753559</v>
      </c>
      <c r="AO507">
        <v>12.099999999999998</v>
      </c>
      <c r="AP507">
        <v>11.564366423089957</v>
      </c>
      <c r="AQ507">
        <v>8.6100655600476639</v>
      </c>
      <c r="AR507">
        <v>32.02900621234523</v>
      </c>
      <c r="AS507">
        <v>-0.1030026097553319</v>
      </c>
      <c r="AT507">
        <v>4.7787353488984268</v>
      </c>
      <c r="AU507">
        <v>17.776652582907179</v>
      </c>
    </row>
    <row r="508" spans="1:47" x14ac:dyDescent="0.35">
      <c r="A508">
        <v>506</v>
      </c>
      <c r="B508">
        <v>46050</v>
      </c>
      <c r="C508" t="s">
        <v>16</v>
      </c>
      <c r="D508" t="s">
        <v>171</v>
      </c>
      <c r="E508" t="s">
        <v>88</v>
      </c>
      <c r="F508" t="s">
        <v>147</v>
      </c>
      <c r="G508" t="s">
        <v>148</v>
      </c>
      <c r="H508" t="s">
        <v>22</v>
      </c>
      <c r="I508" t="s">
        <v>23</v>
      </c>
      <c r="J508" t="s">
        <v>24</v>
      </c>
      <c r="K508" t="s">
        <v>170</v>
      </c>
      <c r="L508">
        <v>28</v>
      </c>
      <c r="M508">
        <v>61</v>
      </c>
      <c r="N508">
        <v>2</v>
      </c>
      <c r="O508">
        <v>3</v>
      </c>
      <c r="P508">
        <v>0</v>
      </c>
      <c r="Q508">
        <v>0.50009999999999999</v>
      </c>
      <c r="R508">
        <v>474.0288520313469</v>
      </c>
      <c r="S508">
        <v>90.12885203134698</v>
      </c>
      <c r="T508">
        <v>0.34305555555555556</v>
      </c>
      <c r="U508">
        <v>41.5</v>
      </c>
      <c r="V508">
        <v>0.67847222222222225</v>
      </c>
      <c r="W508">
        <v>62.5</v>
      </c>
      <c r="X508">
        <v>12.3</v>
      </c>
      <c r="Y508">
        <v>40</v>
      </c>
      <c r="Z508">
        <v>0.38055555555555554</v>
      </c>
      <c r="AA508">
        <v>62</v>
      </c>
      <c r="AB508">
        <v>10.6</v>
      </c>
      <c r="AD508">
        <v>21</v>
      </c>
      <c r="AE508">
        <v>22</v>
      </c>
      <c r="AF508">
        <v>17.607474101643646</v>
      </c>
      <c r="AG508">
        <v>17.685592064046812</v>
      </c>
      <c r="AH508">
        <v>35.293066165690462</v>
      </c>
      <c r="AI508">
        <v>2.1657193145021685</v>
      </c>
      <c r="AJ508">
        <v>1.874672758788962</v>
      </c>
      <c r="AK508">
        <v>4.0403920732911303</v>
      </c>
      <c r="AL508">
        <v>74.453413572717679</v>
      </c>
      <c r="AM508">
        <v>19.013368415259855</v>
      </c>
      <c r="AN508">
        <v>2.5537268881150421</v>
      </c>
      <c r="AO508">
        <v>12.299999999999999</v>
      </c>
      <c r="AP508">
        <v>11.448118603021596</v>
      </c>
      <c r="AQ508">
        <v>8.5235150898028991</v>
      </c>
      <c r="AR508">
        <v>44.829063970390685</v>
      </c>
      <c r="AS508">
        <v>-7.3931652152586708E-2</v>
      </c>
      <c r="AT508">
        <v>4.7306983404996013</v>
      </c>
      <c r="AU508">
        <v>24.88090609290888</v>
      </c>
    </row>
    <row r="509" spans="1:47" x14ac:dyDescent="0.35">
      <c r="A509">
        <v>507</v>
      </c>
      <c r="B509">
        <v>46050</v>
      </c>
      <c r="C509" t="s">
        <v>16</v>
      </c>
      <c r="D509" t="s">
        <v>173</v>
      </c>
      <c r="E509" t="s">
        <v>99</v>
      </c>
      <c r="F509" t="s">
        <v>100</v>
      </c>
      <c r="G509" t="s">
        <v>101</v>
      </c>
      <c r="H509" t="s">
        <v>22</v>
      </c>
      <c r="I509" t="s">
        <v>23</v>
      </c>
      <c r="J509" t="s">
        <v>24</v>
      </c>
      <c r="K509" t="s">
        <v>172</v>
      </c>
      <c r="L509">
        <v>28</v>
      </c>
      <c r="M509">
        <v>61</v>
      </c>
      <c r="N509">
        <v>2</v>
      </c>
      <c r="O509">
        <v>1</v>
      </c>
      <c r="P509">
        <v>0</v>
      </c>
      <c r="Q509">
        <v>0.50019999999999998</v>
      </c>
      <c r="R509">
        <v>468.72341797460751</v>
      </c>
      <c r="S509">
        <v>212.72341797460751</v>
      </c>
      <c r="T509">
        <v>0.34305555555555556</v>
      </c>
      <c r="U509">
        <v>42</v>
      </c>
      <c r="V509">
        <v>0.67847222222222225</v>
      </c>
      <c r="W509">
        <v>80</v>
      </c>
      <c r="X509">
        <v>12.3</v>
      </c>
      <c r="Y509">
        <v>40.5</v>
      </c>
      <c r="Z509">
        <v>0.38055555555555554</v>
      </c>
      <c r="AA509">
        <v>80.5</v>
      </c>
      <c r="AB509">
        <v>14.3</v>
      </c>
      <c r="AD509">
        <v>38</v>
      </c>
      <c r="AE509">
        <v>40</v>
      </c>
      <c r="AF509">
        <v>34.607474101643646</v>
      </c>
      <c r="AG509">
        <v>35.685592064046816</v>
      </c>
      <c r="AH509">
        <v>70.293066165690462</v>
      </c>
      <c r="AI509">
        <v>4.2567193145021687</v>
      </c>
      <c r="AJ509">
        <v>5.1030396651586951</v>
      </c>
      <c r="AK509">
        <v>9.3597589796608638</v>
      </c>
      <c r="AL509">
        <v>149.96704553280608</v>
      </c>
      <c r="AM509">
        <v>45.383569460600647</v>
      </c>
      <c r="AN509">
        <v>3.0262361507063735</v>
      </c>
      <c r="AO509">
        <v>12.3</v>
      </c>
      <c r="AP509">
        <v>13.315337472402497</v>
      </c>
      <c r="AQ509">
        <v>19.968618210084646</v>
      </c>
      <c r="AR509">
        <v>43.999664300138903</v>
      </c>
      <c r="AS509">
        <v>2.587763848385034</v>
      </c>
      <c r="AT509">
        <v>11.082928584420683</v>
      </c>
      <c r="AU509">
        <v>24.420574926443877</v>
      </c>
    </row>
    <row r="510" spans="1:47" x14ac:dyDescent="0.35">
      <c r="A510">
        <v>508</v>
      </c>
      <c r="B510">
        <v>46050</v>
      </c>
      <c r="C510" t="s">
        <v>16</v>
      </c>
      <c r="D510" t="s">
        <v>173</v>
      </c>
      <c r="E510" t="s">
        <v>99</v>
      </c>
      <c r="F510" t="s">
        <v>100</v>
      </c>
      <c r="G510" t="s">
        <v>101</v>
      </c>
      <c r="H510" t="s">
        <v>22</v>
      </c>
      <c r="I510" t="s">
        <v>23</v>
      </c>
      <c r="J510" t="s">
        <v>24</v>
      </c>
      <c r="K510" t="s">
        <v>172</v>
      </c>
      <c r="L510">
        <v>28</v>
      </c>
      <c r="M510">
        <v>61</v>
      </c>
      <c r="N510">
        <v>2</v>
      </c>
      <c r="O510">
        <v>2</v>
      </c>
      <c r="P510">
        <v>0</v>
      </c>
      <c r="Q510">
        <v>0.50039999999999996</v>
      </c>
      <c r="R510">
        <v>468.91083237603681</v>
      </c>
      <c r="S510">
        <v>108.51083237603677</v>
      </c>
      <c r="T510">
        <v>0.34375</v>
      </c>
      <c r="U510">
        <v>41.5</v>
      </c>
      <c r="V510">
        <v>0.6791666666666667</v>
      </c>
      <c r="W510">
        <v>78.5</v>
      </c>
      <c r="X510">
        <v>12.1</v>
      </c>
      <c r="Y510">
        <v>40</v>
      </c>
      <c r="Z510">
        <v>0.38124999999999998</v>
      </c>
      <c r="AA510">
        <v>73.5</v>
      </c>
      <c r="AB510">
        <v>15</v>
      </c>
      <c r="AD510">
        <v>37</v>
      </c>
      <c r="AE510">
        <v>33.5</v>
      </c>
    </row>
    <row r="511" spans="1:47" x14ac:dyDescent="0.35">
      <c r="A511">
        <v>509</v>
      </c>
      <c r="B511">
        <v>46050</v>
      </c>
      <c r="C511" t="s">
        <v>16</v>
      </c>
      <c r="D511" t="s">
        <v>173</v>
      </c>
      <c r="E511" t="s">
        <v>99</v>
      </c>
      <c r="F511" t="s">
        <v>100</v>
      </c>
      <c r="G511" t="s">
        <v>101</v>
      </c>
      <c r="H511" t="s">
        <v>22</v>
      </c>
      <c r="I511" t="s">
        <v>23</v>
      </c>
      <c r="J511" t="s">
        <v>24</v>
      </c>
      <c r="K511" t="s">
        <v>172</v>
      </c>
      <c r="L511">
        <v>28</v>
      </c>
      <c r="M511">
        <v>61</v>
      </c>
      <c r="N511">
        <v>2</v>
      </c>
      <c r="O511">
        <v>3</v>
      </c>
      <c r="P511">
        <v>0</v>
      </c>
      <c r="Q511">
        <v>0.50029999999999997</v>
      </c>
      <c r="R511">
        <v>468.81712517532213</v>
      </c>
      <c r="S511">
        <v>162.31712517532213</v>
      </c>
      <c r="T511">
        <v>0.34375</v>
      </c>
      <c r="U511">
        <v>41.5</v>
      </c>
      <c r="V511">
        <v>0.67986111111111114</v>
      </c>
      <c r="W511">
        <v>79.5</v>
      </c>
      <c r="X511">
        <v>11.9</v>
      </c>
      <c r="Y511">
        <v>40.5</v>
      </c>
      <c r="Z511">
        <v>0.38124999999999998</v>
      </c>
      <c r="AA511">
        <v>79</v>
      </c>
      <c r="AB511">
        <v>14.8</v>
      </c>
      <c r="AD511">
        <v>38</v>
      </c>
      <c r="AE511">
        <v>38.5</v>
      </c>
      <c r="AF511">
        <v>34.607474101643646</v>
      </c>
      <c r="AG511">
        <v>34.185592064046816</v>
      </c>
      <c r="AH511">
        <v>68.793066165690462</v>
      </c>
      <c r="AI511">
        <v>4.1182894180955945</v>
      </c>
      <c r="AJ511">
        <v>5.0594676254789297</v>
      </c>
      <c r="AK511">
        <v>9.1777570435745233</v>
      </c>
      <c r="AL511">
        <v>146.73752828453979</v>
      </c>
      <c r="AM511">
        <v>34.62269538780626</v>
      </c>
      <c r="AN511">
        <v>2.3594983364221007</v>
      </c>
      <c r="AO511">
        <v>11.9</v>
      </c>
      <c r="AP511">
        <v>13.341107694588841</v>
      </c>
      <c r="AQ511">
        <v>19.576411676818214</v>
      </c>
      <c r="AR511">
        <v>56.542136473039648</v>
      </c>
      <c r="AS511">
        <v>-0.59700215247081989</v>
      </c>
      <c r="AT511">
        <v>10.865247172877655</v>
      </c>
      <c r="AU511">
        <v>31.38186398019225</v>
      </c>
    </row>
    <row r="512" spans="1:47" x14ac:dyDescent="0.35">
      <c r="A512">
        <v>510</v>
      </c>
      <c r="B512">
        <v>46050</v>
      </c>
      <c r="C512" t="s">
        <v>16</v>
      </c>
      <c r="D512" t="s">
        <v>175</v>
      </c>
      <c r="E512" t="s">
        <v>159</v>
      </c>
      <c r="F512" t="s">
        <v>160</v>
      </c>
      <c r="G512" t="s">
        <v>161</v>
      </c>
      <c r="H512" t="s">
        <v>22</v>
      </c>
      <c r="I512" t="s">
        <v>23</v>
      </c>
      <c r="J512" t="s">
        <v>24</v>
      </c>
      <c r="K512" t="s">
        <v>174</v>
      </c>
      <c r="L512">
        <v>28</v>
      </c>
      <c r="M512">
        <v>61</v>
      </c>
      <c r="N512">
        <v>2</v>
      </c>
      <c r="O512">
        <v>1</v>
      </c>
      <c r="P512">
        <v>0</v>
      </c>
      <c r="Q512">
        <v>0.50039999999999996</v>
      </c>
      <c r="R512">
        <v>474.68199152969379</v>
      </c>
      <c r="S512">
        <v>115.08199152969377</v>
      </c>
      <c r="T512">
        <v>0.34444444444444444</v>
      </c>
      <c r="U512">
        <v>41.5</v>
      </c>
      <c r="V512">
        <v>0.68055555555555558</v>
      </c>
      <c r="W512">
        <v>66</v>
      </c>
      <c r="X512">
        <v>11.3</v>
      </c>
      <c r="Y512">
        <v>39.5</v>
      </c>
      <c r="Z512">
        <v>0.38194444444444442</v>
      </c>
      <c r="AA512">
        <v>57.5</v>
      </c>
      <c r="AB512">
        <v>11.8</v>
      </c>
      <c r="AD512">
        <v>24.5</v>
      </c>
      <c r="AE512">
        <v>18</v>
      </c>
      <c r="AF512">
        <v>21.107474101643646</v>
      </c>
      <c r="AG512">
        <v>13.685592064046812</v>
      </c>
      <c r="AH512">
        <v>34.793066165690462</v>
      </c>
      <c r="AI512">
        <v>2.3851445734857322</v>
      </c>
      <c r="AJ512">
        <v>1.614899863557524</v>
      </c>
      <c r="AK512">
        <v>4.0000444370432557</v>
      </c>
      <c r="AL512">
        <v>73.297632491950097</v>
      </c>
      <c r="AM512">
        <v>24.244018855409809</v>
      </c>
      <c r="AN512">
        <v>3.3076128151986914</v>
      </c>
      <c r="AO512">
        <v>11.3</v>
      </c>
      <c r="AP512">
        <v>11.496671256262291</v>
      </c>
      <c r="AQ512">
        <v>8.4267878462227959</v>
      </c>
      <c r="AR512">
        <v>34.758213547348575</v>
      </c>
      <c r="AS512">
        <v>-0.10600922920370606</v>
      </c>
      <c r="AT512">
        <v>4.6770130468309228</v>
      </c>
      <c r="AU512">
        <v>19.29140987195402</v>
      </c>
    </row>
    <row r="513" spans="1:47" x14ac:dyDescent="0.35">
      <c r="A513">
        <v>511</v>
      </c>
      <c r="B513">
        <v>46050</v>
      </c>
      <c r="C513" t="s">
        <v>16</v>
      </c>
      <c r="D513" t="s">
        <v>175</v>
      </c>
      <c r="E513" t="s">
        <v>159</v>
      </c>
      <c r="F513" t="s">
        <v>160</v>
      </c>
      <c r="G513" t="s">
        <v>161</v>
      </c>
      <c r="H513" t="s">
        <v>22</v>
      </c>
      <c r="I513" t="s">
        <v>23</v>
      </c>
      <c r="J513" t="s">
        <v>24</v>
      </c>
      <c r="K513" t="s">
        <v>174</v>
      </c>
      <c r="L513">
        <v>28</v>
      </c>
      <c r="M513">
        <v>61</v>
      </c>
      <c r="N513">
        <v>2</v>
      </c>
      <c r="O513">
        <v>2</v>
      </c>
      <c r="P513">
        <v>0</v>
      </c>
      <c r="Q513">
        <v>0.50019999999999998</v>
      </c>
      <c r="R513">
        <v>474.49227050989776</v>
      </c>
      <c r="S513">
        <v>10.492270509897821</v>
      </c>
      <c r="T513">
        <v>0.34513888888888888</v>
      </c>
      <c r="U513">
        <v>42</v>
      </c>
      <c r="V513">
        <v>0.68055555555555558</v>
      </c>
      <c r="W513">
        <v>63.5</v>
      </c>
      <c r="X513">
        <v>11.9</v>
      </c>
      <c r="Y513">
        <v>40</v>
      </c>
      <c r="Z513">
        <v>0.38263888888888886</v>
      </c>
      <c r="AA513">
        <v>58.5</v>
      </c>
      <c r="AB513">
        <v>12.8</v>
      </c>
    </row>
    <row r="514" spans="1:47" x14ac:dyDescent="0.35">
      <c r="A514">
        <v>512</v>
      </c>
      <c r="B514">
        <v>46050</v>
      </c>
      <c r="C514" t="s">
        <v>16</v>
      </c>
      <c r="D514" t="s">
        <v>175</v>
      </c>
      <c r="E514" t="s">
        <v>159</v>
      </c>
      <c r="F514" t="s">
        <v>160</v>
      </c>
      <c r="G514" t="s">
        <v>161</v>
      </c>
      <c r="H514" t="s">
        <v>22</v>
      </c>
      <c r="I514" t="s">
        <v>23</v>
      </c>
      <c r="J514" t="s">
        <v>24</v>
      </c>
      <c r="K514" t="s">
        <v>174</v>
      </c>
      <c r="L514">
        <v>28</v>
      </c>
      <c r="M514">
        <v>61</v>
      </c>
      <c r="N514">
        <v>2</v>
      </c>
      <c r="O514">
        <v>3</v>
      </c>
      <c r="P514">
        <v>0</v>
      </c>
      <c r="Q514">
        <v>0.50029999999999997</v>
      </c>
      <c r="R514">
        <v>474.58713101979578</v>
      </c>
      <c r="S514">
        <v>96.087131019795834</v>
      </c>
      <c r="T514">
        <v>0.34583333333333333</v>
      </c>
      <c r="U514">
        <v>41.5</v>
      </c>
      <c r="V514">
        <v>0.68125000000000002</v>
      </c>
      <c r="W514">
        <v>64</v>
      </c>
      <c r="X514">
        <v>11.8</v>
      </c>
      <c r="Y514">
        <v>40</v>
      </c>
      <c r="Z514">
        <v>0.38333333333333336</v>
      </c>
      <c r="AA514">
        <v>59</v>
      </c>
      <c r="AB514">
        <v>12.9</v>
      </c>
      <c r="AD514">
        <v>22.5</v>
      </c>
      <c r="AE514">
        <v>19</v>
      </c>
      <c r="AF514">
        <v>19.107474101643646</v>
      </c>
      <c r="AG514">
        <v>14.685592064046812</v>
      </c>
      <c r="AH514">
        <v>33.793066165690462</v>
      </c>
      <c r="AI514">
        <v>2.2546819439939503</v>
      </c>
      <c r="AJ514">
        <v>1.8944413762620389</v>
      </c>
      <c r="AK514">
        <v>4.1491233202559892</v>
      </c>
      <c r="AL514">
        <v>71.205188587974803</v>
      </c>
      <c r="AM514">
        <v>20.246467874786912</v>
      </c>
      <c r="AN514">
        <v>2.8433978304505407</v>
      </c>
      <c r="AO514">
        <v>11.8</v>
      </c>
      <c r="AP514">
        <v>12.278031534375904</v>
      </c>
      <c r="AQ514">
        <v>8.7425955089433778</v>
      </c>
      <c r="AR514">
        <v>43.180843014255352</v>
      </c>
      <c r="AS514">
        <v>-9.2200722440697339E-2</v>
      </c>
      <c r="AT514">
        <v>4.8522917634412384</v>
      </c>
      <c r="AU514">
        <v>23.966114946320268</v>
      </c>
    </row>
    <row r="515" spans="1:47" x14ac:dyDescent="0.35">
      <c r="A515">
        <v>513</v>
      </c>
      <c r="B515">
        <v>46050</v>
      </c>
      <c r="C515" t="s">
        <v>16</v>
      </c>
      <c r="D515" t="s">
        <v>177</v>
      </c>
      <c r="E515" t="s">
        <v>159</v>
      </c>
      <c r="F515" t="s">
        <v>160</v>
      </c>
      <c r="G515" t="s">
        <v>161</v>
      </c>
      <c r="H515" t="s">
        <v>22</v>
      </c>
      <c r="I515" t="s">
        <v>23</v>
      </c>
      <c r="J515" t="s">
        <v>24</v>
      </c>
      <c r="K515" t="s">
        <v>176</v>
      </c>
      <c r="L515">
        <v>28</v>
      </c>
      <c r="M515">
        <v>61</v>
      </c>
      <c r="N515">
        <v>2</v>
      </c>
      <c r="O515">
        <v>1</v>
      </c>
      <c r="P515">
        <v>0</v>
      </c>
      <c r="Q515">
        <v>0.50029999999999997</v>
      </c>
      <c r="R515">
        <v>469.66743825617431</v>
      </c>
      <c r="S515">
        <v>107.96743825617426</v>
      </c>
      <c r="T515">
        <v>0.34583333333333333</v>
      </c>
      <c r="U515">
        <v>40.5</v>
      </c>
      <c r="V515">
        <v>0.68194444444444446</v>
      </c>
      <c r="W515">
        <v>62.5</v>
      </c>
      <c r="X515">
        <v>13.1</v>
      </c>
      <c r="Y515">
        <v>40</v>
      </c>
      <c r="Z515">
        <v>0.38333333333333336</v>
      </c>
      <c r="AA515">
        <v>59.5</v>
      </c>
      <c r="AB515">
        <v>13.5</v>
      </c>
    </row>
    <row r="516" spans="1:47" x14ac:dyDescent="0.35">
      <c r="A516">
        <v>514</v>
      </c>
      <c r="B516">
        <v>46050</v>
      </c>
      <c r="C516" t="s">
        <v>16</v>
      </c>
      <c r="D516" t="s">
        <v>177</v>
      </c>
      <c r="E516" t="s">
        <v>159</v>
      </c>
      <c r="F516" t="s">
        <v>160</v>
      </c>
      <c r="G516" t="s">
        <v>161</v>
      </c>
      <c r="H516" t="s">
        <v>22</v>
      </c>
      <c r="I516" t="s">
        <v>23</v>
      </c>
      <c r="J516" t="s">
        <v>24</v>
      </c>
      <c r="K516" t="s">
        <v>176</v>
      </c>
      <c r="L516">
        <v>28</v>
      </c>
      <c r="M516">
        <v>61</v>
      </c>
      <c r="N516">
        <v>2</v>
      </c>
      <c r="O516">
        <v>2</v>
      </c>
      <c r="P516">
        <v>0</v>
      </c>
      <c r="Q516">
        <v>0.50019999999999998</v>
      </c>
      <c r="R516">
        <v>469.57356109481992</v>
      </c>
      <c r="S516">
        <v>36.573561094819866</v>
      </c>
      <c r="T516">
        <v>0.34652777777777777</v>
      </c>
      <c r="U516">
        <v>40.5</v>
      </c>
      <c r="V516">
        <v>0.68194444444444446</v>
      </c>
      <c r="W516">
        <v>68</v>
      </c>
      <c r="X516">
        <v>14.3</v>
      </c>
      <c r="Y516">
        <v>40</v>
      </c>
      <c r="Z516">
        <v>0.38541666666666669</v>
      </c>
      <c r="AA516">
        <v>57.5</v>
      </c>
      <c r="AB516">
        <v>13.3</v>
      </c>
      <c r="AC516" t="s">
        <v>568</v>
      </c>
    </row>
    <row r="517" spans="1:47" x14ac:dyDescent="0.35">
      <c r="A517">
        <v>515</v>
      </c>
      <c r="B517">
        <v>46050</v>
      </c>
      <c r="C517" t="s">
        <v>16</v>
      </c>
      <c r="D517" t="s">
        <v>177</v>
      </c>
      <c r="E517" t="s">
        <v>159</v>
      </c>
      <c r="F517" t="s">
        <v>160</v>
      </c>
      <c r="G517" t="s">
        <v>161</v>
      </c>
      <c r="H517" t="s">
        <v>22</v>
      </c>
      <c r="I517" t="s">
        <v>23</v>
      </c>
      <c r="J517" t="s">
        <v>24</v>
      </c>
      <c r="K517" t="s">
        <v>176</v>
      </c>
      <c r="L517">
        <v>28</v>
      </c>
      <c r="M517">
        <v>61</v>
      </c>
      <c r="N517">
        <v>2</v>
      </c>
      <c r="O517">
        <v>3</v>
      </c>
      <c r="P517">
        <v>0</v>
      </c>
      <c r="Q517">
        <v>0.50009999999999999</v>
      </c>
      <c r="R517">
        <v>469.47968393346548</v>
      </c>
      <c r="S517">
        <v>65.879683933465515</v>
      </c>
      <c r="T517">
        <v>0.34652777777777777</v>
      </c>
      <c r="U517">
        <v>41.5</v>
      </c>
      <c r="V517">
        <v>0.68263888888888891</v>
      </c>
      <c r="W517">
        <v>64</v>
      </c>
      <c r="X517">
        <v>12.9</v>
      </c>
      <c r="Y517">
        <v>40</v>
      </c>
      <c r="Z517">
        <v>0.38541666666666669</v>
      </c>
      <c r="AA517">
        <v>58.5</v>
      </c>
      <c r="AB517">
        <v>13.3</v>
      </c>
    </row>
    <row r="518" spans="1:47" x14ac:dyDescent="0.35">
      <c r="A518">
        <v>516</v>
      </c>
      <c r="B518">
        <v>46050</v>
      </c>
      <c r="C518" t="s">
        <v>16</v>
      </c>
      <c r="D518" t="s">
        <v>181</v>
      </c>
      <c r="E518" t="s">
        <v>159</v>
      </c>
      <c r="F518" t="s">
        <v>160</v>
      </c>
      <c r="G518" t="s">
        <v>161</v>
      </c>
      <c r="H518" t="s">
        <v>22</v>
      </c>
      <c r="I518" t="s">
        <v>23</v>
      </c>
      <c r="J518" t="s">
        <v>24</v>
      </c>
      <c r="K518" t="s">
        <v>180</v>
      </c>
      <c r="L518">
        <v>28</v>
      </c>
      <c r="M518">
        <v>61</v>
      </c>
      <c r="N518">
        <v>2</v>
      </c>
      <c r="O518">
        <v>1</v>
      </c>
      <c r="P518">
        <v>0</v>
      </c>
      <c r="Q518">
        <v>0.50029999999999997</v>
      </c>
      <c r="R518">
        <v>477.86604407189026</v>
      </c>
      <c r="S518">
        <v>150.76604407189029</v>
      </c>
      <c r="T518">
        <v>0.34722222222222221</v>
      </c>
      <c r="U518">
        <v>41.5</v>
      </c>
      <c r="V518">
        <v>0.68263888888888891</v>
      </c>
      <c r="W518">
        <v>66</v>
      </c>
      <c r="X518">
        <v>12.9</v>
      </c>
      <c r="Y518">
        <v>40</v>
      </c>
      <c r="Z518">
        <v>0.38680555555555557</v>
      </c>
      <c r="AA518">
        <v>58.5</v>
      </c>
      <c r="AB518">
        <v>13</v>
      </c>
      <c r="AD518">
        <v>24.5</v>
      </c>
      <c r="AE518">
        <v>18.5</v>
      </c>
      <c r="AF518">
        <v>21.107474101643646</v>
      </c>
      <c r="AG518">
        <v>14.185592064046812</v>
      </c>
      <c r="AH518">
        <v>35.293066165690462</v>
      </c>
      <c r="AI518">
        <v>2.7228641591120306</v>
      </c>
      <c r="AJ518">
        <v>1.8441269683260857</v>
      </c>
      <c r="AK518">
        <v>4.5669911274381167</v>
      </c>
      <c r="AL518">
        <v>73.855563925318293</v>
      </c>
      <c r="AM518">
        <v>31.549855015270563</v>
      </c>
      <c r="AN518">
        <v>4.2718318483321482</v>
      </c>
      <c r="AO518">
        <v>12.9</v>
      </c>
      <c r="AP518">
        <v>12.94019370829797</v>
      </c>
      <c r="AQ518">
        <v>9.5570530362920252</v>
      </c>
      <c r="AR518">
        <v>30.29190793956511</v>
      </c>
      <c r="AS518">
        <v>-0.17614070868971257</v>
      </c>
      <c r="AT518">
        <v>5.3043297820804174</v>
      </c>
      <c r="AU518">
        <v>16.812532987910881</v>
      </c>
    </row>
    <row r="519" spans="1:47" x14ac:dyDescent="0.35">
      <c r="A519">
        <v>517</v>
      </c>
      <c r="B519">
        <v>46050</v>
      </c>
      <c r="C519" t="s">
        <v>16</v>
      </c>
      <c r="D519" t="s">
        <v>181</v>
      </c>
      <c r="E519" t="s">
        <v>159</v>
      </c>
      <c r="F519" t="s">
        <v>160</v>
      </c>
      <c r="G519" t="s">
        <v>161</v>
      </c>
      <c r="H519" t="s">
        <v>22</v>
      </c>
      <c r="I519" t="s">
        <v>23</v>
      </c>
      <c r="J519" t="s">
        <v>24</v>
      </c>
      <c r="K519" t="s">
        <v>180</v>
      </c>
      <c r="L519">
        <v>28</v>
      </c>
      <c r="M519">
        <v>61</v>
      </c>
      <c r="N519">
        <v>2</v>
      </c>
      <c r="O519">
        <v>2</v>
      </c>
      <c r="P519">
        <v>0</v>
      </c>
      <c r="Q519">
        <v>0.50019999999999998</v>
      </c>
      <c r="R519">
        <v>477.7705281726154</v>
      </c>
      <c r="S519">
        <v>164.17052817261543</v>
      </c>
      <c r="T519">
        <v>0.34722222222222221</v>
      </c>
      <c r="U519">
        <v>41.5</v>
      </c>
      <c r="V519">
        <v>0.68333333333333335</v>
      </c>
      <c r="W519">
        <v>64.5</v>
      </c>
      <c r="X519">
        <v>13.3</v>
      </c>
      <c r="Y519">
        <v>40</v>
      </c>
      <c r="Z519">
        <v>0.38680555555555557</v>
      </c>
      <c r="AA519">
        <v>52.5</v>
      </c>
      <c r="AB519">
        <v>13.2</v>
      </c>
      <c r="AD519">
        <v>23</v>
      </c>
      <c r="AE519">
        <v>12.5</v>
      </c>
      <c r="AF519">
        <v>19.607474101643646</v>
      </c>
      <c r="AG519">
        <v>8.1855920640468121</v>
      </c>
      <c r="AH519">
        <v>27.793066165690458</v>
      </c>
      <c r="AI519">
        <v>2.607794055518605</v>
      </c>
      <c r="AJ519">
        <v>1.0804981524541792</v>
      </c>
      <c r="AK519">
        <v>3.6882922079727845</v>
      </c>
      <c r="AL519">
        <v>58.172416519691659</v>
      </c>
      <c r="AM519">
        <v>34.361794730314905</v>
      </c>
      <c r="AN519">
        <v>5.906887969607256</v>
      </c>
      <c r="AO519">
        <v>13.3</v>
      </c>
      <c r="AP519">
        <v>13.270548078375924</v>
      </c>
      <c r="AQ519">
        <v>7.7197985025987794</v>
      </c>
      <c r="AR519">
        <v>22.466226118824245</v>
      </c>
      <c r="AS519">
        <v>-0.17770667876812996</v>
      </c>
      <c r="AT519">
        <v>4.2846217294700493</v>
      </c>
      <c r="AU519">
        <v>12.469144184980651</v>
      </c>
    </row>
    <row r="520" spans="1:47" x14ac:dyDescent="0.35">
      <c r="A520">
        <v>518</v>
      </c>
      <c r="B520">
        <v>46050</v>
      </c>
      <c r="C520" t="s">
        <v>16</v>
      </c>
      <c r="D520" t="s">
        <v>181</v>
      </c>
      <c r="E520" t="s">
        <v>159</v>
      </c>
      <c r="F520" t="s">
        <v>160</v>
      </c>
      <c r="G520" t="s">
        <v>161</v>
      </c>
      <c r="H520" t="s">
        <v>22</v>
      </c>
      <c r="I520" t="s">
        <v>23</v>
      </c>
      <c r="J520" t="s">
        <v>24</v>
      </c>
      <c r="K520" t="s">
        <v>180</v>
      </c>
      <c r="L520">
        <v>28</v>
      </c>
      <c r="M520">
        <v>61</v>
      </c>
      <c r="N520">
        <v>2</v>
      </c>
      <c r="O520">
        <v>3</v>
      </c>
      <c r="P520">
        <v>0</v>
      </c>
      <c r="Q520">
        <v>0.50039999999999996</v>
      </c>
      <c r="R520">
        <v>477.961559971165</v>
      </c>
      <c r="S520">
        <v>113.46155997116495</v>
      </c>
      <c r="T520">
        <v>0.34722222222222221</v>
      </c>
      <c r="U520">
        <v>40.5</v>
      </c>
      <c r="V520">
        <v>0.68333333333333335</v>
      </c>
      <c r="W520">
        <v>65.5</v>
      </c>
      <c r="X520">
        <v>13.2</v>
      </c>
      <c r="Y520">
        <v>40</v>
      </c>
      <c r="Z520">
        <v>0.38680555555555557</v>
      </c>
      <c r="AA520">
        <v>57.5</v>
      </c>
      <c r="AB520">
        <v>13.3</v>
      </c>
      <c r="AD520">
        <v>25</v>
      </c>
      <c r="AE520">
        <v>17.5</v>
      </c>
      <c r="AF520">
        <v>21.607474101643646</v>
      </c>
      <c r="AG520">
        <v>13.185592064046812</v>
      </c>
      <c r="AH520">
        <v>34.793066165690462</v>
      </c>
      <c r="AI520">
        <v>2.8521865814169614</v>
      </c>
      <c r="AJ520">
        <v>1.7536837445182261</v>
      </c>
      <c r="AK520">
        <v>4.6058703259351876</v>
      </c>
      <c r="AL520">
        <v>72.794695388870807</v>
      </c>
      <c r="AN520">
        <v>3.2610394102905969</v>
      </c>
      <c r="AO520">
        <v>13.200000000000001</v>
      </c>
      <c r="AP520">
        <v>13.237897183310189</v>
      </c>
      <c r="AQ520">
        <v>9.6364869304825582</v>
      </c>
      <c r="AR520">
        <v>40.594103651542611</v>
      </c>
      <c r="AS520">
        <v>-0.11429406125176496</v>
      </c>
      <c r="AT520">
        <v>5.348416967644992</v>
      </c>
      <c r="AU520">
        <v>22.530429846738528</v>
      </c>
    </row>
    <row r="521" spans="1:47" x14ac:dyDescent="0.35">
      <c r="A521">
        <v>519</v>
      </c>
      <c r="B521">
        <v>46050</v>
      </c>
      <c r="C521" t="s">
        <v>16</v>
      </c>
      <c r="D521" t="s">
        <v>183</v>
      </c>
      <c r="E521" t="s">
        <v>19</v>
      </c>
      <c r="F521" t="s">
        <v>20</v>
      </c>
      <c r="G521" t="s">
        <v>21</v>
      </c>
      <c r="H521" t="s">
        <v>22</v>
      </c>
      <c r="I521" t="s">
        <v>23</v>
      </c>
      <c r="J521" t="s">
        <v>24</v>
      </c>
      <c r="K521" t="s">
        <v>182</v>
      </c>
      <c r="L521">
        <v>28</v>
      </c>
      <c r="M521">
        <v>61</v>
      </c>
      <c r="N521">
        <v>2</v>
      </c>
      <c r="O521">
        <v>1</v>
      </c>
      <c r="P521">
        <v>0</v>
      </c>
      <c r="Q521">
        <v>0.5</v>
      </c>
      <c r="R521">
        <v>479.27914146503963</v>
      </c>
      <c r="S521">
        <v>118.67914146503972</v>
      </c>
      <c r="T521">
        <v>0.34791666666666665</v>
      </c>
      <c r="U521">
        <v>41.5</v>
      </c>
      <c r="V521">
        <v>0.68472222222222223</v>
      </c>
      <c r="W521">
        <v>75</v>
      </c>
      <c r="X521">
        <v>14</v>
      </c>
      <c r="Y521">
        <v>40</v>
      </c>
      <c r="Z521">
        <v>0.38750000000000001</v>
      </c>
      <c r="AA521">
        <v>68.5</v>
      </c>
      <c r="AB521">
        <v>18</v>
      </c>
      <c r="AD521">
        <v>33.5</v>
      </c>
      <c r="AE521">
        <v>28.5</v>
      </c>
      <c r="AF521">
        <v>30.107474101643646</v>
      </c>
      <c r="AG521">
        <v>24.185592064046812</v>
      </c>
      <c r="AH521">
        <v>54.293066165690462</v>
      </c>
      <c r="AI521">
        <v>4.215046374230111</v>
      </c>
      <c r="AJ521">
        <v>4.353406571528426</v>
      </c>
      <c r="AK521">
        <v>8.568452945758537</v>
      </c>
      <c r="AL521">
        <v>113.28067814453551</v>
      </c>
      <c r="AM521">
        <v>24.762008440898654</v>
      </c>
      <c r="AN521">
        <v>2.1858986763218926</v>
      </c>
      <c r="AO521">
        <v>14.000000000000002</v>
      </c>
      <c r="AP521">
        <v>15.781854941862205</v>
      </c>
      <c r="AQ521">
        <v>17.877792301928398</v>
      </c>
      <c r="AR521">
        <v>72.198474306309478</v>
      </c>
      <c r="AS521">
        <v>-0.55612296957314522</v>
      </c>
      <c r="AT521">
        <v>9.9224840319353476</v>
      </c>
      <c r="AU521">
        <v>40.071402348553768</v>
      </c>
    </row>
    <row r="522" spans="1:47" x14ac:dyDescent="0.35">
      <c r="A522">
        <v>520</v>
      </c>
      <c r="B522">
        <v>46050</v>
      </c>
      <c r="C522" t="s">
        <v>16</v>
      </c>
      <c r="D522" t="s">
        <v>183</v>
      </c>
      <c r="E522" t="s">
        <v>19</v>
      </c>
      <c r="F522" t="s">
        <v>20</v>
      </c>
      <c r="G522" t="s">
        <v>21</v>
      </c>
      <c r="H522" t="s">
        <v>22</v>
      </c>
      <c r="I522" t="s">
        <v>23</v>
      </c>
      <c r="J522" t="s">
        <v>24</v>
      </c>
      <c r="K522" t="s">
        <v>182</v>
      </c>
      <c r="L522">
        <v>28</v>
      </c>
      <c r="M522">
        <v>61</v>
      </c>
      <c r="N522">
        <v>2</v>
      </c>
      <c r="O522">
        <v>2</v>
      </c>
      <c r="P522">
        <v>0</v>
      </c>
      <c r="Q522">
        <v>0.50039999999999996</v>
      </c>
      <c r="R522">
        <v>479.66256477821162</v>
      </c>
      <c r="S522">
        <v>136.86256477821161</v>
      </c>
      <c r="T522">
        <v>0.34930555555555554</v>
      </c>
      <c r="U522">
        <v>41</v>
      </c>
      <c r="V522">
        <v>0.68541666666666667</v>
      </c>
      <c r="W522">
        <v>74</v>
      </c>
      <c r="X522">
        <v>14.5</v>
      </c>
      <c r="Y522">
        <v>40</v>
      </c>
      <c r="Z522">
        <v>0.38819444444444445</v>
      </c>
      <c r="AA522">
        <v>67.5</v>
      </c>
      <c r="AB522">
        <v>18.600000000000001</v>
      </c>
      <c r="AD522">
        <v>33</v>
      </c>
      <c r="AE522">
        <v>27.5</v>
      </c>
      <c r="AF522">
        <v>29.607474101643646</v>
      </c>
      <c r="AG522">
        <v>23.185592064046812</v>
      </c>
      <c r="AH522">
        <v>52.793066165690462</v>
      </c>
      <c r="AI522">
        <v>4.2930837447383281</v>
      </c>
      <c r="AJ522">
        <v>4.3125201239127078</v>
      </c>
      <c r="AK522">
        <v>8.6056038686510359</v>
      </c>
      <c r="AL522">
        <v>110.06292765436291</v>
      </c>
      <c r="AM522">
        <v>28.533092809003076</v>
      </c>
      <c r="AN522">
        <v>2.5924344751765305</v>
      </c>
      <c r="AO522">
        <v>14.5</v>
      </c>
      <c r="AP522">
        <v>16.300632817276501</v>
      </c>
      <c r="AQ522">
        <v>17.940953704882372</v>
      </c>
      <c r="AR522">
        <v>62.877704232684671</v>
      </c>
      <c r="AS522">
        <v>-0.89427300730698667</v>
      </c>
      <c r="AT522">
        <v>9.9575397033326389</v>
      </c>
      <c r="AU522">
        <v>34.898213698694192</v>
      </c>
    </row>
    <row r="523" spans="1:47" x14ac:dyDescent="0.35">
      <c r="A523">
        <v>521</v>
      </c>
      <c r="B523">
        <v>46050</v>
      </c>
      <c r="C523" t="s">
        <v>16</v>
      </c>
      <c r="D523" t="s">
        <v>183</v>
      </c>
      <c r="E523" t="s">
        <v>19</v>
      </c>
      <c r="F523" t="s">
        <v>20</v>
      </c>
      <c r="G523" t="s">
        <v>21</v>
      </c>
      <c r="H523" t="s">
        <v>22</v>
      </c>
      <c r="I523" t="s">
        <v>23</v>
      </c>
      <c r="J523" t="s">
        <v>24</v>
      </c>
      <c r="K523" t="s">
        <v>182</v>
      </c>
      <c r="L523">
        <v>28</v>
      </c>
      <c r="M523">
        <v>61</v>
      </c>
      <c r="N523">
        <v>2</v>
      </c>
      <c r="O523">
        <v>3</v>
      </c>
      <c r="P523">
        <v>0</v>
      </c>
      <c r="Q523">
        <v>0.50009999999999999</v>
      </c>
      <c r="R523">
        <v>479.37499729333268</v>
      </c>
      <c r="S523">
        <v>86.074997293332729</v>
      </c>
      <c r="T523">
        <v>0.35</v>
      </c>
      <c r="U523">
        <v>41</v>
      </c>
      <c r="V523">
        <v>0.68541666666666667</v>
      </c>
      <c r="W523">
        <v>73.5</v>
      </c>
      <c r="X523">
        <v>14.9</v>
      </c>
      <c r="Y523">
        <v>40</v>
      </c>
      <c r="Z523">
        <v>0.38819444444444445</v>
      </c>
      <c r="AA523">
        <v>68</v>
      </c>
      <c r="AB523">
        <v>18.5</v>
      </c>
      <c r="AD523">
        <v>32.5</v>
      </c>
      <c r="AE523">
        <v>28</v>
      </c>
      <c r="AF523">
        <v>29.107474101643646</v>
      </c>
      <c r="AG523">
        <v>23.685592064046812</v>
      </c>
      <c r="AH523">
        <v>52.793066165690462</v>
      </c>
      <c r="AI523">
        <v>4.3370136411449032</v>
      </c>
      <c r="AJ523">
        <v>4.3818345318486598</v>
      </c>
      <c r="AK523">
        <v>8.7188481729935638</v>
      </c>
      <c r="AL523">
        <v>110.12895220604516</v>
      </c>
      <c r="AM523">
        <v>17.955670983954732</v>
      </c>
      <c r="AN523">
        <v>1.6304223934102877</v>
      </c>
      <c r="AO523">
        <v>14.899999999999999</v>
      </c>
      <c r="AP523">
        <v>16.515138835902341</v>
      </c>
      <c r="AQ523">
        <v>18.187949355352892</v>
      </c>
      <c r="AR523">
        <v>101.2936212275538</v>
      </c>
      <c r="AS523">
        <v>-0.3373160383489644</v>
      </c>
      <c r="AT523">
        <v>10.094626562624926</v>
      </c>
      <c r="AU523">
        <v>56.219712266088685</v>
      </c>
    </row>
    <row r="524" spans="1:47" x14ac:dyDescent="0.35">
      <c r="A524">
        <v>522</v>
      </c>
      <c r="B524">
        <v>46050</v>
      </c>
      <c r="C524" t="s">
        <v>16</v>
      </c>
      <c r="D524" t="s">
        <v>185</v>
      </c>
      <c r="E524" t="s">
        <v>19</v>
      </c>
      <c r="F524" t="s">
        <v>20</v>
      </c>
      <c r="G524" t="s">
        <v>21</v>
      </c>
      <c r="H524" t="s">
        <v>22</v>
      </c>
      <c r="I524" t="s">
        <v>23</v>
      </c>
      <c r="J524" t="s">
        <v>24</v>
      </c>
      <c r="K524" t="s">
        <v>184</v>
      </c>
      <c r="L524">
        <v>28</v>
      </c>
      <c r="M524">
        <v>61</v>
      </c>
      <c r="N524">
        <v>2</v>
      </c>
      <c r="O524">
        <v>1</v>
      </c>
      <c r="P524">
        <v>0</v>
      </c>
      <c r="Q524">
        <v>0.50029999999999997</v>
      </c>
      <c r="R524">
        <v>478.44235685703057</v>
      </c>
      <c r="S524">
        <v>116.34235685703061</v>
      </c>
      <c r="T524">
        <v>0.35</v>
      </c>
      <c r="U524">
        <v>41</v>
      </c>
      <c r="V524">
        <v>0.68611111111111112</v>
      </c>
      <c r="W524">
        <v>79</v>
      </c>
      <c r="X524">
        <v>14.9</v>
      </c>
      <c r="Y524">
        <v>40</v>
      </c>
      <c r="Z524">
        <v>0.3888888888888889</v>
      </c>
      <c r="AA524">
        <v>62</v>
      </c>
      <c r="AB524">
        <v>17.399999999999999</v>
      </c>
      <c r="AD524">
        <v>38</v>
      </c>
      <c r="AE524">
        <v>22</v>
      </c>
      <c r="AF524">
        <v>34.607474101643646</v>
      </c>
      <c r="AG524">
        <v>17.685592064046812</v>
      </c>
      <c r="AH524">
        <v>52.293066165690462</v>
      </c>
      <c r="AI524">
        <v>5.1565136411449028</v>
      </c>
      <c r="AJ524">
        <v>3.077293019144145</v>
      </c>
      <c r="AK524">
        <v>8.2338066602890478</v>
      </c>
      <c r="AL524">
        <v>109.2985715337006</v>
      </c>
      <c r="AM524">
        <v>24.316901543020435</v>
      </c>
      <c r="AN524">
        <v>2.2248142131960691</v>
      </c>
      <c r="AO524">
        <v>14.899999999999999</v>
      </c>
      <c r="AP524">
        <v>15.745503685326559</v>
      </c>
      <c r="AQ524">
        <v>17.209610608848109</v>
      </c>
      <c r="AR524">
        <v>70.772218156172542</v>
      </c>
      <c r="AS524">
        <v>-0.51057249069476351</v>
      </c>
      <c r="AT524">
        <v>9.5516316320388821</v>
      </c>
      <c r="AU524">
        <v>39.279805509515839</v>
      </c>
    </row>
    <row r="525" spans="1:47" x14ac:dyDescent="0.35">
      <c r="A525">
        <v>523</v>
      </c>
      <c r="B525">
        <v>46050</v>
      </c>
      <c r="C525" t="s">
        <v>16</v>
      </c>
      <c r="D525" t="s">
        <v>185</v>
      </c>
      <c r="E525" t="s">
        <v>19</v>
      </c>
      <c r="F525" t="s">
        <v>20</v>
      </c>
      <c r="G525" t="s">
        <v>21</v>
      </c>
      <c r="H525" t="s">
        <v>22</v>
      </c>
      <c r="I525" t="s">
        <v>23</v>
      </c>
      <c r="J525" t="s">
        <v>24</v>
      </c>
      <c r="K525" t="s">
        <v>184</v>
      </c>
      <c r="L525">
        <v>28</v>
      </c>
      <c r="M525">
        <v>61</v>
      </c>
      <c r="N525">
        <v>2</v>
      </c>
      <c r="O525">
        <v>2</v>
      </c>
      <c r="P525">
        <v>0</v>
      </c>
      <c r="Q525">
        <v>0.50019999999999998</v>
      </c>
      <c r="R525">
        <v>478.34672576431473</v>
      </c>
      <c r="S525">
        <v>147.14672576431479</v>
      </c>
      <c r="T525">
        <v>0.35</v>
      </c>
      <c r="U525">
        <v>41.5</v>
      </c>
      <c r="V525">
        <v>0.68680555555555556</v>
      </c>
      <c r="W525">
        <v>67.5</v>
      </c>
      <c r="X525">
        <v>14.7</v>
      </c>
      <c r="Y525">
        <v>40</v>
      </c>
      <c r="Z525">
        <v>0.3888888888888889</v>
      </c>
      <c r="AA525">
        <v>61.5</v>
      </c>
      <c r="AB525">
        <v>17.600000000000001</v>
      </c>
      <c r="AD525">
        <v>26</v>
      </c>
      <c r="AE525">
        <v>21.5</v>
      </c>
      <c r="AF525">
        <v>22.607474101643646</v>
      </c>
      <c r="AG525">
        <v>17.185592064046812</v>
      </c>
      <c r="AH525">
        <v>39.793066165690462</v>
      </c>
      <c r="AI525">
        <v>3.323298692941616</v>
      </c>
      <c r="AJ525">
        <v>3.0246642032722391</v>
      </c>
      <c r="AK525">
        <v>6.347962896213855</v>
      </c>
      <c r="AL525">
        <v>83.188749963968249</v>
      </c>
      <c r="AM525">
        <v>30.761520428346188</v>
      </c>
      <c r="AN525">
        <v>3.6977981327607408</v>
      </c>
      <c r="AO525">
        <v>14.7</v>
      </c>
      <c r="AP525">
        <v>15.952434702523783</v>
      </c>
      <c r="AQ525">
        <v>13.27063101784781</v>
      </c>
      <c r="AR525">
        <v>43.140361181949778</v>
      </c>
      <c r="AS525">
        <v>-1.0176077818350999</v>
      </c>
      <c r="AT525">
        <v>7.3654298105978846</v>
      </c>
      <c r="AU525">
        <v>23.943646829012955</v>
      </c>
    </row>
    <row r="526" spans="1:47" x14ac:dyDescent="0.35">
      <c r="A526">
        <v>524</v>
      </c>
      <c r="B526">
        <v>46050</v>
      </c>
      <c r="C526" t="s">
        <v>16</v>
      </c>
      <c r="D526" t="s">
        <v>185</v>
      </c>
      <c r="E526" t="s">
        <v>19</v>
      </c>
      <c r="F526" t="s">
        <v>20</v>
      </c>
      <c r="G526" t="s">
        <v>21</v>
      </c>
      <c r="H526" t="s">
        <v>22</v>
      </c>
      <c r="I526" t="s">
        <v>23</v>
      </c>
      <c r="J526" t="s">
        <v>24</v>
      </c>
      <c r="K526" t="s">
        <v>184</v>
      </c>
      <c r="L526">
        <v>28</v>
      </c>
      <c r="M526">
        <v>61</v>
      </c>
      <c r="N526">
        <v>2</v>
      </c>
      <c r="O526">
        <v>3</v>
      </c>
      <c r="P526">
        <v>0</v>
      </c>
      <c r="Q526">
        <v>0.50049999999999994</v>
      </c>
      <c r="R526">
        <v>478.63361904246204</v>
      </c>
      <c r="S526">
        <v>136.13361904246204</v>
      </c>
      <c r="T526">
        <v>0.35069444444444442</v>
      </c>
      <c r="U526">
        <v>42</v>
      </c>
      <c r="V526">
        <v>0.6875</v>
      </c>
      <c r="W526">
        <v>68</v>
      </c>
      <c r="X526">
        <v>14.8</v>
      </c>
      <c r="Y526">
        <v>40</v>
      </c>
      <c r="Z526">
        <v>0.38958333333333334</v>
      </c>
      <c r="AA526">
        <v>63</v>
      </c>
      <c r="AB526">
        <v>17.399999999999999</v>
      </c>
      <c r="AD526">
        <v>26</v>
      </c>
      <c r="AE526">
        <v>23</v>
      </c>
      <c r="AF526">
        <v>22.607474101643646</v>
      </c>
      <c r="AG526">
        <v>18.685592064046812</v>
      </c>
      <c r="AH526">
        <v>41.293066165690462</v>
      </c>
      <c r="AI526">
        <v>3.3459061670432599</v>
      </c>
      <c r="AJ526">
        <v>3.2512930191441449</v>
      </c>
      <c r="AK526">
        <v>6.5971991861874049</v>
      </c>
      <c r="AL526">
        <v>86.272807681792074</v>
      </c>
      <c r="AM526">
        <v>28.442134782509903</v>
      </c>
      <c r="AN526">
        <v>3.2967670285422543</v>
      </c>
      <c r="AO526">
        <v>14.8</v>
      </c>
      <c r="AP526">
        <v>15.976530199321644</v>
      </c>
      <c r="AQ526">
        <v>13.783401173084195</v>
      </c>
      <c r="AR526">
        <v>48.461204753027559</v>
      </c>
      <c r="AS526">
        <v>-0.67339372853034696</v>
      </c>
      <c r="AT526">
        <v>7.6500261182100511</v>
      </c>
      <c r="AU526">
        <v>26.896807067078271</v>
      </c>
    </row>
    <row r="527" spans="1:47" x14ac:dyDescent="0.35">
      <c r="A527">
        <v>525</v>
      </c>
      <c r="B527">
        <v>46050</v>
      </c>
      <c r="D527" t="s">
        <v>187</v>
      </c>
      <c r="E527" t="s">
        <v>105</v>
      </c>
      <c r="F527" t="s">
        <v>188</v>
      </c>
      <c r="G527" t="s">
        <v>189</v>
      </c>
      <c r="H527" t="s">
        <v>108</v>
      </c>
      <c r="I527" t="s">
        <v>109</v>
      </c>
      <c r="J527" t="s">
        <v>110</v>
      </c>
      <c r="K527" t="s">
        <v>186</v>
      </c>
      <c r="L527">
        <v>28</v>
      </c>
      <c r="M527">
        <v>61</v>
      </c>
      <c r="N527">
        <v>2</v>
      </c>
      <c r="O527">
        <v>1</v>
      </c>
      <c r="P527">
        <v>0</v>
      </c>
      <c r="Q527">
        <v>0.50019999999999998</v>
      </c>
      <c r="R527">
        <v>474.39613340253106</v>
      </c>
      <c r="S527">
        <v>88.696133402531018</v>
      </c>
      <c r="T527">
        <v>0.35069444444444442</v>
      </c>
      <c r="U527">
        <v>41.5</v>
      </c>
      <c r="V527">
        <v>0.68819444444444444</v>
      </c>
      <c r="W527">
        <v>83</v>
      </c>
      <c r="X527">
        <v>15.1</v>
      </c>
      <c r="Y527">
        <v>40</v>
      </c>
      <c r="Z527">
        <v>0.39027777777777778</v>
      </c>
      <c r="AA527">
        <v>100</v>
      </c>
      <c r="AB527">
        <v>16.2</v>
      </c>
      <c r="AD527">
        <v>41.5</v>
      </c>
      <c r="AE527">
        <v>60</v>
      </c>
      <c r="AF527">
        <v>38.107474101643646</v>
      </c>
      <c r="AG527">
        <v>55.685592064046816</v>
      </c>
      <c r="AH527">
        <v>93.793066165690462</v>
      </c>
      <c r="AI527">
        <v>5.7542285893481901</v>
      </c>
      <c r="AJ527">
        <v>9.0210659143755851</v>
      </c>
      <c r="AK527">
        <v>14.775294503723774</v>
      </c>
      <c r="AL527">
        <v>197.71043556568341</v>
      </c>
      <c r="AM527">
        <v>18.696639191886337</v>
      </c>
      <c r="AN527">
        <v>0.94565768055651955</v>
      </c>
      <c r="AO527">
        <v>15.1</v>
      </c>
      <c r="AP527">
        <v>15.75307760770122</v>
      </c>
      <c r="AQ527">
        <v>31.14547835318622</v>
      </c>
      <c r="AR527">
        <v>166.58329892092172</v>
      </c>
      <c r="AS527">
        <v>-0.7604304439342795</v>
      </c>
      <c r="AT527">
        <v>17.28627933512481</v>
      </c>
      <c r="AU527">
        <v>92.456612965106743</v>
      </c>
    </row>
    <row r="528" spans="1:47" x14ac:dyDescent="0.35">
      <c r="A528">
        <v>526</v>
      </c>
      <c r="B528">
        <v>46050</v>
      </c>
      <c r="D528" t="s">
        <v>187</v>
      </c>
      <c r="E528" t="s">
        <v>105</v>
      </c>
      <c r="F528" t="s">
        <v>188</v>
      </c>
      <c r="G528" t="s">
        <v>189</v>
      </c>
      <c r="H528" t="s">
        <v>108</v>
      </c>
      <c r="I528" t="s">
        <v>109</v>
      </c>
      <c r="J528" t="s">
        <v>110</v>
      </c>
      <c r="K528" t="s">
        <v>186</v>
      </c>
      <c r="L528">
        <v>28</v>
      </c>
      <c r="M528">
        <v>61</v>
      </c>
      <c r="N528">
        <v>2</v>
      </c>
      <c r="O528">
        <v>2</v>
      </c>
      <c r="P528">
        <v>0</v>
      </c>
      <c r="Q528">
        <v>0.50009999999999999</v>
      </c>
      <c r="R528">
        <v>474.30129211236658</v>
      </c>
      <c r="S528">
        <v>245.30129211236661</v>
      </c>
      <c r="T528">
        <v>0.35069444444444442</v>
      </c>
      <c r="U528">
        <v>41</v>
      </c>
      <c r="V528">
        <v>0.68888888888888888</v>
      </c>
      <c r="W528">
        <v>85.5</v>
      </c>
      <c r="X528">
        <v>14.4</v>
      </c>
      <c r="Y528">
        <v>40</v>
      </c>
      <c r="Z528">
        <v>0.39027777777777778</v>
      </c>
      <c r="AA528">
        <v>102</v>
      </c>
      <c r="AB528">
        <v>16</v>
      </c>
      <c r="AD528">
        <v>44.5</v>
      </c>
      <c r="AE528">
        <v>62</v>
      </c>
    </row>
    <row r="529" spans="1:47" x14ac:dyDescent="0.35">
      <c r="A529">
        <v>527</v>
      </c>
      <c r="B529">
        <v>46050</v>
      </c>
      <c r="D529" t="s">
        <v>187</v>
      </c>
      <c r="E529" t="s">
        <v>105</v>
      </c>
      <c r="F529" t="s">
        <v>188</v>
      </c>
      <c r="G529" t="s">
        <v>189</v>
      </c>
      <c r="H529" t="s">
        <v>108</v>
      </c>
      <c r="I529" t="s">
        <v>109</v>
      </c>
      <c r="J529" t="s">
        <v>110</v>
      </c>
      <c r="K529" t="s">
        <v>186</v>
      </c>
      <c r="L529">
        <v>28</v>
      </c>
      <c r="M529">
        <v>61</v>
      </c>
      <c r="N529">
        <v>2</v>
      </c>
      <c r="O529">
        <v>3</v>
      </c>
      <c r="P529">
        <v>0</v>
      </c>
      <c r="Q529">
        <v>0.5</v>
      </c>
      <c r="R529">
        <v>474.20645082220221</v>
      </c>
      <c r="S529">
        <v>99.006450822202225</v>
      </c>
      <c r="T529">
        <v>0.35138888888888886</v>
      </c>
      <c r="U529">
        <v>40.5</v>
      </c>
      <c r="V529">
        <v>0.68888888888888888</v>
      </c>
      <c r="W529">
        <v>84</v>
      </c>
      <c r="X529">
        <v>14.8</v>
      </c>
      <c r="Y529">
        <v>40</v>
      </c>
      <c r="Z529">
        <v>0.39097222222222222</v>
      </c>
      <c r="AA529">
        <v>102.5</v>
      </c>
      <c r="AB529">
        <v>16.100000000000001</v>
      </c>
      <c r="AD529">
        <v>43.5</v>
      </c>
      <c r="AE529">
        <v>62.5</v>
      </c>
      <c r="AF529">
        <v>40.107474101643646</v>
      </c>
      <c r="AG529">
        <v>58.185592064046816</v>
      </c>
      <c r="AH529">
        <v>98.293066165690462</v>
      </c>
      <c r="AI529">
        <v>5.9359061670432602</v>
      </c>
      <c r="AJ529">
        <v>9.367880322311537</v>
      </c>
      <c r="AK529">
        <v>15.303786489354797</v>
      </c>
      <c r="AL529">
        <v>207.27905745538715</v>
      </c>
      <c r="AM529">
        <v>20.878343314507852</v>
      </c>
      <c r="AN529">
        <v>1.007257731235174</v>
      </c>
      <c r="AO529">
        <v>14.8</v>
      </c>
      <c r="AP529">
        <v>15.569548378476201</v>
      </c>
      <c r="AQ529">
        <v>32.272413128965979</v>
      </c>
      <c r="AR529">
        <v>154.57362992273752</v>
      </c>
      <c r="AS529">
        <v>-0.94320115477975952</v>
      </c>
      <c r="AT529">
        <v>17.911747632824024</v>
      </c>
      <c r="AU529">
        <v>85.791038891374043</v>
      </c>
    </row>
    <row r="530" spans="1:47" x14ac:dyDescent="0.35">
      <c r="A530">
        <v>528</v>
      </c>
      <c r="B530">
        <v>46050</v>
      </c>
      <c r="D530" t="s">
        <v>193</v>
      </c>
      <c r="E530" t="s">
        <v>105</v>
      </c>
      <c r="F530" t="s">
        <v>188</v>
      </c>
      <c r="G530" t="s">
        <v>189</v>
      </c>
      <c r="H530" t="s">
        <v>108</v>
      </c>
      <c r="I530" t="s">
        <v>109</v>
      </c>
      <c r="J530" t="s">
        <v>110</v>
      </c>
      <c r="K530" t="s">
        <v>192</v>
      </c>
      <c r="L530">
        <v>28</v>
      </c>
      <c r="M530">
        <v>61</v>
      </c>
      <c r="N530">
        <v>2</v>
      </c>
      <c r="O530">
        <v>1</v>
      </c>
      <c r="P530">
        <v>0</v>
      </c>
      <c r="Q530">
        <v>0.50029999999999997</v>
      </c>
      <c r="R530">
        <v>475.66502595961629</v>
      </c>
      <c r="S530">
        <v>226.26502595961634</v>
      </c>
      <c r="T530">
        <v>0.35138888888888886</v>
      </c>
      <c r="U530">
        <v>41</v>
      </c>
      <c r="V530">
        <v>0.68958333333333333</v>
      </c>
      <c r="W530">
        <v>82</v>
      </c>
      <c r="X530">
        <v>14.5</v>
      </c>
      <c r="Y530">
        <v>40</v>
      </c>
      <c r="Z530">
        <v>0.39097222222222222</v>
      </c>
      <c r="AA530">
        <v>105.5</v>
      </c>
      <c r="AB530">
        <v>16</v>
      </c>
      <c r="AD530">
        <v>41</v>
      </c>
      <c r="AE530">
        <v>65.5</v>
      </c>
      <c r="AF530">
        <v>37.607474101643646</v>
      </c>
      <c r="AG530">
        <v>61.185592064046816</v>
      </c>
      <c r="AH530">
        <v>98.793066165690462</v>
      </c>
      <c r="AI530">
        <v>5.4530837447383282</v>
      </c>
      <c r="AJ530">
        <v>9.7896947302474899</v>
      </c>
      <c r="AK530">
        <v>15.242778474985819</v>
      </c>
      <c r="AL530">
        <v>207.69461863710353</v>
      </c>
      <c r="AM530">
        <v>47.568144305574009</v>
      </c>
      <c r="AN530">
        <v>2.2902925755957075</v>
      </c>
      <c r="AO530">
        <v>14.5</v>
      </c>
      <c r="AP530">
        <v>15.428996251033897</v>
      </c>
      <c r="AQ530">
        <v>32.045194923117862</v>
      </c>
      <c r="AR530">
        <v>67.36692252962834</v>
      </c>
      <c r="AS530">
        <v>0.65559132889704952</v>
      </c>
      <c r="AT530">
        <v>17.785637597467488</v>
      </c>
      <c r="AU530">
        <v>37.389807521634552</v>
      </c>
    </row>
    <row r="531" spans="1:47" x14ac:dyDescent="0.35">
      <c r="A531">
        <v>529</v>
      </c>
      <c r="B531">
        <v>46050</v>
      </c>
      <c r="D531" t="s">
        <v>193</v>
      </c>
      <c r="E531" t="s">
        <v>105</v>
      </c>
      <c r="F531" t="s">
        <v>188</v>
      </c>
      <c r="G531" t="s">
        <v>189</v>
      </c>
      <c r="H531" t="s">
        <v>108</v>
      </c>
      <c r="I531" t="s">
        <v>109</v>
      </c>
      <c r="J531" t="s">
        <v>110</v>
      </c>
      <c r="K531" t="s">
        <v>192</v>
      </c>
      <c r="L531">
        <v>28</v>
      </c>
      <c r="M531">
        <v>61</v>
      </c>
      <c r="N531">
        <v>2</v>
      </c>
      <c r="O531">
        <v>2</v>
      </c>
      <c r="P531">
        <v>0</v>
      </c>
      <c r="Q531">
        <v>0.50019999999999998</v>
      </c>
      <c r="R531">
        <v>475.56995000000012</v>
      </c>
      <c r="S531">
        <v>215.06995000000006</v>
      </c>
      <c r="T531">
        <v>0.35208333333333336</v>
      </c>
      <c r="U531">
        <v>40.5</v>
      </c>
      <c r="V531">
        <v>0.68958333333333333</v>
      </c>
      <c r="W531">
        <v>80.5</v>
      </c>
      <c r="X531">
        <v>15.1</v>
      </c>
      <c r="Y531">
        <v>40</v>
      </c>
      <c r="Z531">
        <v>0.39166666666666666</v>
      </c>
      <c r="AA531">
        <v>99.5</v>
      </c>
      <c r="AB531">
        <v>15.9</v>
      </c>
      <c r="AD531">
        <v>40</v>
      </c>
      <c r="AE531">
        <v>59.5</v>
      </c>
      <c r="AF531">
        <v>36.607474101643646</v>
      </c>
      <c r="AG531">
        <v>55.185592064046816</v>
      </c>
      <c r="AH531">
        <v>91.793066165690462</v>
      </c>
      <c r="AI531">
        <v>5.5277285893481904</v>
      </c>
      <c r="AJ531">
        <v>8.7745091381834435</v>
      </c>
      <c r="AK531">
        <v>14.302237727531633</v>
      </c>
      <c r="AL531">
        <v>193.01696031401991</v>
      </c>
      <c r="AM531">
        <v>45.223620626156048</v>
      </c>
      <c r="AN531">
        <v>2.3429868832553158</v>
      </c>
      <c r="AO531">
        <v>15.1</v>
      </c>
      <c r="AP531">
        <v>15.580956519869893</v>
      </c>
      <c r="AQ531">
        <v>30.073888662501972</v>
      </c>
      <c r="AR531">
        <v>66.500400114156477</v>
      </c>
      <c r="AS531">
        <v>0.72166018058499248</v>
      </c>
      <c r="AT531">
        <v>16.691528517181023</v>
      </c>
      <c r="AU531">
        <v>36.908872589310377</v>
      </c>
    </row>
    <row r="532" spans="1:47" x14ac:dyDescent="0.35">
      <c r="A532">
        <v>530</v>
      </c>
      <c r="B532">
        <v>46050</v>
      </c>
      <c r="D532" t="s">
        <v>193</v>
      </c>
      <c r="E532" t="s">
        <v>105</v>
      </c>
      <c r="F532" t="s">
        <v>188</v>
      </c>
      <c r="G532" t="s">
        <v>189</v>
      </c>
      <c r="H532" t="s">
        <v>108</v>
      </c>
      <c r="I532" t="s">
        <v>109</v>
      </c>
      <c r="J532" t="s">
        <v>110</v>
      </c>
      <c r="K532" t="s">
        <v>192</v>
      </c>
      <c r="L532">
        <v>28</v>
      </c>
      <c r="M532">
        <v>61</v>
      </c>
      <c r="N532">
        <v>2</v>
      </c>
      <c r="O532">
        <v>3</v>
      </c>
      <c r="P532">
        <v>0</v>
      </c>
      <c r="Q532">
        <v>0.50019999999999998</v>
      </c>
      <c r="R532">
        <v>475.56995000000012</v>
      </c>
      <c r="S532">
        <v>164.06995000000012</v>
      </c>
      <c r="T532">
        <v>0.3527777777777778</v>
      </c>
      <c r="U532">
        <v>40.5</v>
      </c>
      <c r="V532">
        <v>0.69027777777777777</v>
      </c>
      <c r="W532">
        <v>82.5</v>
      </c>
      <c r="X532">
        <v>14.5</v>
      </c>
      <c r="Y532">
        <v>40</v>
      </c>
      <c r="Z532">
        <v>0.3923611111111111</v>
      </c>
      <c r="AA532">
        <v>101</v>
      </c>
      <c r="AB532">
        <v>16</v>
      </c>
      <c r="AD532">
        <v>42</v>
      </c>
      <c r="AE532">
        <v>61</v>
      </c>
      <c r="AF532">
        <v>38.607474101643646</v>
      </c>
      <c r="AG532">
        <v>56.685592064046816</v>
      </c>
      <c r="AH532">
        <v>95.293066165690462</v>
      </c>
      <c r="AI532">
        <v>5.5980837447383287</v>
      </c>
      <c r="AJ532">
        <v>9.0696947302474911</v>
      </c>
      <c r="AK532">
        <v>14.66777847498582</v>
      </c>
      <c r="AL532">
        <v>200.37655063296248</v>
      </c>
      <c r="AM532">
        <v>34.499646161411185</v>
      </c>
      <c r="AN532">
        <v>1.721740695327445</v>
      </c>
      <c r="AO532">
        <v>14.5</v>
      </c>
      <c r="AP532">
        <v>15.392283053923645</v>
      </c>
      <c r="AQ532">
        <v>30.842525847114217</v>
      </c>
      <c r="AR532">
        <v>89.399542542591192</v>
      </c>
      <c r="AS532">
        <v>3.5594458891755187</v>
      </c>
      <c r="AT532">
        <v>17.118135452862006</v>
      </c>
      <c r="AU532">
        <v>49.61829281602639</v>
      </c>
    </row>
    <row r="533" spans="1:47" x14ac:dyDescent="0.35">
      <c r="A533">
        <v>531</v>
      </c>
      <c r="B533">
        <v>46050</v>
      </c>
      <c r="D533" t="s">
        <v>195</v>
      </c>
      <c r="E533" t="s">
        <v>105</v>
      </c>
      <c r="F533" t="s">
        <v>188</v>
      </c>
      <c r="G533" t="s">
        <v>189</v>
      </c>
      <c r="H533" t="s">
        <v>108</v>
      </c>
      <c r="I533" t="s">
        <v>109</v>
      </c>
      <c r="J533" t="s">
        <v>110</v>
      </c>
      <c r="K533" t="s">
        <v>194</v>
      </c>
      <c r="L533">
        <v>28</v>
      </c>
      <c r="M533">
        <v>61</v>
      </c>
      <c r="N533">
        <v>2</v>
      </c>
      <c r="O533">
        <v>1</v>
      </c>
      <c r="P533">
        <v>0</v>
      </c>
      <c r="Q533">
        <v>0.50009999999999999</v>
      </c>
      <c r="R533">
        <v>480.19901759823972</v>
      </c>
      <c r="S533">
        <v>205.49901759823979</v>
      </c>
      <c r="T533">
        <v>0.3527777777777778</v>
      </c>
      <c r="U533">
        <v>40.5</v>
      </c>
      <c r="V533">
        <v>0.69027777777777777</v>
      </c>
      <c r="W533">
        <v>79.5</v>
      </c>
      <c r="X533">
        <v>15</v>
      </c>
      <c r="Y533">
        <v>40</v>
      </c>
      <c r="Z533">
        <v>0.39305555555555555</v>
      </c>
      <c r="AA533">
        <v>100</v>
      </c>
      <c r="AB533">
        <v>16.100000000000001</v>
      </c>
      <c r="AC533" t="s">
        <v>569</v>
      </c>
      <c r="AD533">
        <v>39</v>
      </c>
      <c r="AE533">
        <v>60</v>
      </c>
      <c r="AF533">
        <v>35.607474101643646</v>
      </c>
      <c r="AG533">
        <v>55.685592064046816</v>
      </c>
      <c r="AH533">
        <v>91.293066165690462</v>
      </c>
      <c r="AI533">
        <v>5.3411211152465468</v>
      </c>
      <c r="AJ533">
        <v>8.9653803223115371</v>
      </c>
      <c r="AK533">
        <v>14.306501437558083</v>
      </c>
      <c r="AL533">
        <v>190.11506233873877</v>
      </c>
      <c r="AM533">
        <v>42.794551856033017</v>
      </c>
      <c r="AN533">
        <v>2.2509816597163423</v>
      </c>
      <c r="AO533">
        <v>15</v>
      </c>
      <c r="AP533">
        <v>15.67096170435638</v>
      </c>
      <c r="AQ533">
        <v>29.792858613317009</v>
      </c>
      <c r="AR533">
        <v>69.618344675145678</v>
      </c>
      <c r="AS533">
        <v>0.91240663604291083</v>
      </c>
      <c r="AT533">
        <v>16.535551977771796</v>
      </c>
      <c r="AU533">
        <v>38.639385764336907</v>
      </c>
    </row>
    <row r="534" spans="1:47" x14ac:dyDescent="0.35">
      <c r="A534">
        <v>532</v>
      </c>
      <c r="B534">
        <v>46050</v>
      </c>
      <c r="D534" t="s">
        <v>195</v>
      </c>
      <c r="E534" t="s">
        <v>105</v>
      </c>
      <c r="F534" t="s">
        <v>188</v>
      </c>
      <c r="G534" t="s">
        <v>189</v>
      </c>
      <c r="H534" t="s">
        <v>108</v>
      </c>
      <c r="I534" t="s">
        <v>109</v>
      </c>
      <c r="J534" t="s">
        <v>110</v>
      </c>
      <c r="K534" t="s">
        <v>194</v>
      </c>
      <c r="L534">
        <v>28</v>
      </c>
      <c r="M534">
        <v>61</v>
      </c>
      <c r="N534">
        <v>2</v>
      </c>
      <c r="O534">
        <v>2</v>
      </c>
      <c r="P534">
        <v>0</v>
      </c>
      <c r="Q534">
        <v>0.50029999999999997</v>
      </c>
      <c r="R534">
        <v>480.39105879703925</v>
      </c>
      <c r="S534">
        <v>117.59105879703935</v>
      </c>
      <c r="T534">
        <v>0.3527777777777778</v>
      </c>
      <c r="U534">
        <v>40.5</v>
      </c>
      <c r="V534">
        <v>0.69097222222222221</v>
      </c>
      <c r="W534">
        <v>81</v>
      </c>
      <c r="X534">
        <v>14.7</v>
      </c>
      <c r="Y534">
        <v>40</v>
      </c>
      <c r="Z534">
        <v>0.39305555555555555</v>
      </c>
      <c r="AA534">
        <v>96</v>
      </c>
      <c r="AB534">
        <v>16.100000000000001</v>
      </c>
      <c r="AD534">
        <v>40.5</v>
      </c>
      <c r="AE534">
        <v>56</v>
      </c>
      <c r="AF534">
        <v>37.107474101643646</v>
      </c>
      <c r="AG534">
        <v>51.685592064046816</v>
      </c>
      <c r="AH534">
        <v>88.793066165690462</v>
      </c>
      <c r="AI534">
        <v>5.4547986929416155</v>
      </c>
      <c r="AJ534">
        <v>8.321380322311537</v>
      </c>
      <c r="AK534">
        <v>13.776179015253152</v>
      </c>
      <c r="AL534">
        <v>184.83496838604714</v>
      </c>
      <c r="AM534">
        <v>24.478194721505105</v>
      </c>
      <c r="AN534">
        <v>1.3243270434834518</v>
      </c>
      <c r="AO534">
        <v>14.7</v>
      </c>
      <c r="AP534">
        <v>15.514926570444588</v>
      </c>
      <c r="AQ534">
        <v>28.67700962159968</v>
      </c>
      <c r="AR534">
        <v>117.15328662046201</v>
      </c>
      <c r="AS534">
        <v>-1.217181826201883</v>
      </c>
      <c r="AT534">
        <v>15.916236482022796</v>
      </c>
      <c r="AU534">
        <v>65.022100947827354</v>
      </c>
    </row>
    <row r="535" spans="1:47" x14ac:dyDescent="0.35">
      <c r="A535">
        <v>533</v>
      </c>
      <c r="B535">
        <v>46050</v>
      </c>
      <c r="D535" t="s">
        <v>195</v>
      </c>
      <c r="E535" t="s">
        <v>105</v>
      </c>
      <c r="F535" t="s">
        <v>188</v>
      </c>
      <c r="G535" t="s">
        <v>189</v>
      </c>
      <c r="H535" t="s">
        <v>108</v>
      </c>
      <c r="I535" t="s">
        <v>109</v>
      </c>
      <c r="J535" t="s">
        <v>110</v>
      </c>
      <c r="K535" t="s">
        <v>194</v>
      </c>
      <c r="L535">
        <v>28</v>
      </c>
      <c r="M535">
        <v>61</v>
      </c>
      <c r="N535">
        <v>2</v>
      </c>
      <c r="O535">
        <v>3</v>
      </c>
      <c r="P535">
        <v>0</v>
      </c>
      <c r="Q535">
        <v>0.50009999999999999</v>
      </c>
      <c r="R535">
        <v>480.19901759823972</v>
      </c>
      <c r="S535">
        <v>201.0990175982397</v>
      </c>
      <c r="T535">
        <v>0.35347222222222224</v>
      </c>
      <c r="U535">
        <v>40.5</v>
      </c>
      <c r="V535">
        <v>0.69166666666666665</v>
      </c>
      <c r="W535">
        <v>80</v>
      </c>
      <c r="X535">
        <v>15.1</v>
      </c>
      <c r="Y535">
        <v>40</v>
      </c>
      <c r="Z535">
        <v>0.39374999999999999</v>
      </c>
      <c r="AA535">
        <v>97.5</v>
      </c>
      <c r="AB535">
        <v>15.1</v>
      </c>
      <c r="AD535">
        <v>39.5</v>
      </c>
      <c r="AE535">
        <v>57.5</v>
      </c>
      <c r="AF535">
        <v>36.107474101643646</v>
      </c>
      <c r="AG535">
        <v>53.185592064046816</v>
      </c>
      <c r="AH535">
        <v>89.293066165690462</v>
      </c>
      <c r="AI535">
        <v>5.4522285893481905</v>
      </c>
      <c r="AJ535">
        <v>8.0310244016710683</v>
      </c>
      <c r="AK535">
        <v>13.48325299101926</v>
      </c>
      <c r="AL535">
        <v>185.95012253939643</v>
      </c>
      <c r="AM535">
        <v>41.878265100177678</v>
      </c>
      <c r="AN535">
        <v>2.2521235548691352</v>
      </c>
      <c r="AO535">
        <v>15.100000000000001</v>
      </c>
      <c r="AP535">
        <v>15.1</v>
      </c>
      <c r="AQ535">
        <v>28.07846850344886</v>
      </c>
      <c r="AR535">
        <v>67.047831222907405</v>
      </c>
      <c r="AS535">
        <v>0.94095237952817345</v>
      </c>
      <c r="AT535">
        <v>15.584035806066426</v>
      </c>
      <c r="AU535">
        <v>37.212706325793583</v>
      </c>
    </row>
    <row r="536" spans="1:47" x14ac:dyDescent="0.35">
      <c r="A536">
        <v>534</v>
      </c>
      <c r="B536">
        <v>46050</v>
      </c>
      <c r="D536" t="s">
        <v>197</v>
      </c>
      <c r="E536" t="s">
        <v>105</v>
      </c>
      <c r="F536" t="s">
        <v>188</v>
      </c>
      <c r="G536" t="s">
        <v>189</v>
      </c>
      <c r="H536" t="s">
        <v>108</v>
      </c>
      <c r="I536" t="s">
        <v>109</v>
      </c>
      <c r="J536" t="s">
        <v>110</v>
      </c>
      <c r="K536" t="s">
        <v>196</v>
      </c>
      <c r="L536">
        <v>28</v>
      </c>
      <c r="M536">
        <v>61</v>
      </c>
      <c r="N536">
        <v>2</v>
      </c>
      <c r="O536">
        <v>1</v>
      </c>
      <c r="P536">
        <v>0</v>
      </c>
      <c r="Q536">
        <v>0.50009999999999999</v>
      </c>
      <c r="R536">
        <v>479.89798020197964</v>
      </c>
      <c r="S536">
        <v>18.297980201979499</v>
      </c>
      <c r="T536">
        <v>0.35347222222222224</v>
      </c>
      <c r="U536">
        <v>40.5</v>
      </c>
      <c r="V536">
        <v>0.69166666666666665</v>
      </c>
      <c r="W536">
        <v>88.5</v>
      </c>
      <c r="X536">
        <v>14.1</v>
      </c>
      <c r="Y536">
        <v>40</v>
      </c>
      <c r="Z536">
        <v>0.39374999999999999</v>
      </c>
      <c r="AA536">
        <v>105</v>
      </c>
      <c r="AB536">
        <v>16</v>
      </c>
      <c r="AC536" t="s">
        <v>569</v>
      </c>
      <c r="AD536">
        <v>48</v>
      </c>
      <c r="AE536">
        <v>65</v>
      </c>
    </row>
    <row r="537" spans="1:47" x14ac:dyDescent="0.35">
      <c r="A537">
        <v>535</v>
      </c>
      <c r="B537">
        <v>46050</v>
      </c>
      <c r="D537" t="s">
        <v>197</v>
      </c>
      <c r="E537" t="s">
        <v>105</v>
      </c>
      <c r="F537" t="s">
        <v>188</v>
      </c>
      <c r="G537" t="s">
        <v>189</v>
      </c>
      <c r="H537" t="s">
        <v>108</v>
      </c>
      <c r="I537" t="s">
        <v>109</v>
      </c>
      <c r="J537" t="s">
        <v>110</v>
      </c>
      <c r="K537" t="s">
        <v>196</v>
      </c>
      <c r="L537">
        <v>28</v>
      </c>
      <c r="M537">
        <v>61</v>
      </c>
      <c r="N537">
        <v>2</v>
      </c>
      <c r="O537">
        <v>2</v>
      </c>
      <c r="P537">
        <v>0</v>
      </c>
      <c r="Q537">
        <v>0.5</v>
      </c>
      <c r="R537">
        <v>479.80201979802007</v>
      </c>
      <c r="S537">
        <v>203.90201979802004</v>
      </c>
      <c r="T537">
        <v>0.35416666666666669</v>
      </c>
      <c r="U537">
        <v>40.5</v>
      </c>
      <c r="V537">
        <v>0.69236111111111109</v>
      </c>
      <c r="W537">
        <v>87.5</v>
      </c>
      <c r="X537">
        <v>14.5</v>
      </c>
      <c r="Y537">
        <v>40</v>
      </c>
      <c r="Z537">
        <v>0.39444444444444443</v>
      </c>
      <c r="AA537">
        <v>104.5</v>
      </c>
      <c r="AB537">
        <v>16.3</v>
      </c>
      <c r="AD537">
        <v>47</v>
      </c>
      <c r="AE537">
        <v>64.5</v>
      </c>
      <c r="AF537">
        <v>43.607474101643646</v>
      </c>
      <c r="AG537">
        <v>60.185592064046816</v>
      </c>
      <c r="AH537">
        <v>103.79306616569046</v>
      </c>
      <c r="AI537">
        <v>6.3230837447383283</v>
      </c>
      <c r="AJ537">
        <v>9.8102515064396307</v>
      </c>
      <c r="AK537">
        <v>16.133335251177961</v>
      </c>
      <c r="AL537">
        <v>216.32477956091915</v>
      </c>
      <c r="AM537">
        <v>42.49711576534331</v>
      </c>
      <c r="AN537">
        <v>1.9645052153341367</v>
      </c>
      <c r="AO537">
        <v>14.5</v>
      </c>
      <c r="AP537">
        <v>15.543750509714636</v>
      </c>
      <c r="AQ537">
        <v>33.624984025639442</v>
      </c>
      <c r="AR537">
        <v>79.122979101233113</v>
      </c>
      <c r="AS537">
        <v>1.0960101359959202</v>
      </c>
      <c r="AT537">
        <v>18.662447881358361</v>
      </c>
      <c r="AU537">
        <v>43.914622310857418</v>
      </c>
    </row>
    <row r="538" spans="1:47" x14ac:dyDescent="0.35">
      <c r="A538">
        <v>536</v>
      </c>
      <c r="B538">
        <v>46050</v>
      </c>
      <c r="D538" t="s">
        <v>197</v>
      </c>
      <c r="E538" t="s">
        <v>105</v>
      </c>
      <c r="F538" t="s">
        <v>188</v>
      </c>
      <c r="G538" t="s">
        <v>189</v>
      </c>
      <c r="H538" t="s">
        <v>108</v>
      </c>
      <c r="I538" t="s">
        <v>109</v>
      </c>
      <c r="J538" t="s">
        <v>110</v>
      </c>
      <c r="K538" t="s">
        <v>196</v>
      </c>
      <c r="L538">
        <v>28</v>
      </c>
      <c r="M538">
        <v>61</v>
      </c>
      <c r="N538">
        <v>2</v>
      </c>
      <c r="O538">
        <v>3</v>
      </c>
      <c r="P538">
        <v>0</v>
      </c>
      <c r="Q538">
        <v>0.50029999999999997</v>
      </c>
      <c r="R538">
        <v>480.08990100989882</v>
      </c>
      <c r="S538">
        <v>218.9899010098988</v>
      </c>
      <c r="T538">
        <v>0.35416666666666669</v>
      </c>
      <c r="U538">
        <v>40.5</v>
      </c>
      <c r="V538">
        <v>0.69305555555555554</v>
      </c>
      <c r="W538">
        <v>88</v>
      </c>
      <c r="X538">
        <v>13.9</v>
      </c>
      <c r="Y538">
        <v>40</v>
      </c>
      <c r="Z538">
        <v>0.39513888888888887</v>
      </c>
      <c r="AA538">
        <v>105</v>
      </c>
      <c r="AB538">
        <v>16.100000000000001</v>
      </c>
      <c r="AD538">
        <v>47.5</v>
      </c>
      <c r="AE538">
        <v>65</v>
      </c>
      <c r="AF538">
        <v>44.107474101643646</v>
      </c>
      <c r="AG538">
        <v>60.685592064046816</v>
      </c>
      <c r="AH538">
        <v>104.79306616569046</v>
      </c>
      <c r="AI538">
        <v>6.1309389001284673</v>
      </c>
      <c r="AJ538">
        <v>9.7703803223115369</v>
      </c>
      <c r="AK538">
        <v>15.901319222440005</v>
      </c>
      <c r="AL538">
        <v>218.27800573445049</v>
      </c>
      <c r="AM538">
        <v>45.614352759606064</v>
      </c>
      <c r="AN538">
        <v>2.0897365543598982</v>
      </c>
      <c r="AO538">
        <v>13.900000000000002</v>
      </c>
      <c r="AP538">
        <v>15.174018476850467</v>
      </c>
      <c r="AQ538">
        <v>33.121544921046237</v>
      </c>
      <c r="AR538">
        <v>72.612112015709954</v>
      </c>
      <c r="AS538">
        <v>0.82206699146641193</v>
      </c>
      <c r="AT538">
        <v>18.383030468290023</v>
      </c>
      <c r="AU538">
        <v>40.300978433632793</v>
      </c>
    </row>
    <row r="539" spans="1:47" x14ac:dyDescent="0.35">
      <c r="A539">
        <v>537</v>
      </c>
      <c r="B539">
        <v>46050</v>
      </c>
      <c r="D539" t="s">
        <v>199</v>
      </c>
      <c r="E539" t="s">
        <v>105</v>
      </c>
      <c r="F539" t="s">
        <v>188</v>
      </c>
      <c r="G539" t="s">
        <v>189</v>
      </c>
      <c r="H539" t="s">
        <v>108</v>
      </c>
      <c r="I539" t="s">
        <v>109</v>
      </c>
      <c r="J539" t="s">
        <v>110</v>
      </c>
      <c r="K539" t="s">
        <v>198</v>
      </c>
      <c r="L539">
        <v>28</v>
      </c>
      <c r="M539">
        <v>61</v>
      </c>
      <c r="N539">
        <v>2</v>
      </c>
      <c r="O539">
        <v>1</v>
      </c>
      <c r="P539">
        <v>0</v>
      </c>
      <c r="Q539">
        <v>0.50009999999999999</v>
      </c>
      <c r="R539">
        <v>486.44863513648653</v>
      </c>
      <c r="S539">
        <v>168.74863513648654</v>
      </c>
      <c r="T539">
        <v>0.35486111111111113</v>
      </c>
      <c r="U539">
        <v>40.5</v>
      </c>
      <c r="V539">
        <v>0.69305555555555554</v>
      </c>
      <c r="W539">
        <v>83.5</v>
      </c>
      <c r="X539">
        <v>14.4</v>
      </c>
      <c r="Y539">
        <v>40</v>
      </c>
      <c r="Z539">
        <v>0.39583333333333331</v>
      </c>
      <c r="AA539">
        <v>105</v>
      </c>
      <c r="AB539">
        <v>16.2</v>
      </c>
      <c r="AC539" t="s">
        <v>569</v>
      </c>
      <c r="AD539">
        <v>43</v>
      </c>
      <c r="AE539">
        <v>65</v>
      </c>
      <c r="AF539">
        <v>39.607474101643646</v>
      </c>
      <c r="AG539">
        <v>60.685592064046816</v>
      </c>
      <c r="AH539">
        <v>100.29306616569046</v>
      </c>
      <c r="AI539">
        <v>5.7034762706366857</v>
      </c>
      <c r="AJ539">
        <v>9.8310659143755839</v>
      </c>
      <c r="AK539">
        <v>15.53454218501227</v>
      </c>
      <c r="AL539">
        <v>206.17401082346646</v>
      </c>
      <c r="AM539">
        <v>34.689918513007953</v>
      </c>
      <c r="AN539">
        <v>1.682555350912327</v>
      </c>
      <c r="AO539">
        <v>14.400000000000002</v>
      </c>
      <c r="AP539">
        <v>15.489148730729029</v>
      </c>
      <c r="AQ539">
        <v>31.934599180556091</v>
      </c>
      <c r="AR539">
        <v>92.0572908482945</v>
      </c>
      <c r="AS539">
        <v>2.6411610745488194</v>
      </c>
      <c r="AT539">
        <v>17.724255046924558</v>
      </c>
      <c r="AU539">
        <v>51.093389107496336</v>
      </c>
    </row>
    <row r="540" spans="1:47" x14ac:dyDescent="0.35">
      <c r="A540">
        <v>538</v>
      </c>
      <c r="B540">
        <v>46050</v>
      </c>
      <c r="D540" t="s">
        <v>199</v>
      </c>
      <c r="E540" t="s">
        <v>105</v>
      </c>
      <c r="F540" t="s">
        <v>188</v>
      </c>
      <c r="G540" t="s">
        <v>189</v>
      </c>
      <c r="H540" t="s">
        <v>108</v>
      </c>
      <c r="I540" t="s">
        <v>109</v>
      </c>
      <c r="J540" t="s">
        <v>110</v>
      </c>
      <c r="K540" t="s">
        <v>198</v>
      </c>
      <c r="L540">
        <v>28</v>
      </c>
      <c r="M540">
        <v>61</v>
      </c>
      <c r="N540">
        <v>2</v>
      </c>
      <c r="O540">
        <v>2</v>
      </c>
      <c r="P540">
        <v>0</v>
      </c>
      <c r="Q540">
        <v>0.50009999999999999</v>
      </c>
      <c r="R540">
        <v>486.44863513648653</v>
      </c>
      <c r="S540">
        <v>47.248635136486484</v>
      </c>
      <c r="T540">
        <v>0.35486111111111113</v>
      </c>
      <c r="U540">
        <v>40.5</v>
      </c>
      <c r="V540">
        <v>0.69374999999999998</v>
      </c>
      <c r="W540">
        <v>83</v>
      </c>
      <c r="X540">
        <v>14.4</v>
      </c>
      <c r="Y540">
        <v>40</v>
      </c>
      <c r="Z540">
        <v>0.39583333333333331</v>
      </c>
      <c r="AA540">
        <v>105</v>
      </c>
      <c r="AB540">
        <v>16.2</v>
      </c>
      <c r="AD540">
        <v>42.5</v>
      </c>
      <c r="AE540">
        <v>65</v>
      </c>
    </row>
    <row r="541" spans="1:47" x14ac:dyDescent="0.35">
      <c r="A541">
        <v>539</v>
      </c>
      <c r="B541">
        <v>46050</v>
      </c>
      <c r="D541" t="s">
        <v>199</v>
      </c>
      <c r="E541" t="s">
        <v>105</v>
      </c>
      <c r="F541" t="s">
        <v>188</v>
      </c>
      <c r="G541" t="s">
        <v>189</v>
      </c>
      <c r="H541" t="s">
        <v>108</v>
      </c>
      <c r="I541" t="s">
        <v>109</v>
      </c>
      <c r="J541" t="s">
        <v>110</v>
      </c>
      <c r="K541" t="s">
        <v>198</v>
      </c>
      <c r="L541">
        <v>28</v>
      </c>
      <c r="M541">
        <v>61</v>
      </c>
      <c r="N541">
        <v>2</v>
      </c>
      <c r="O541">
        <v>3</v>
      </c>
      <c r="P541">
        <v>0</v>
      </c>
      <c r="Q541">
        <v>0.50029999999999997</v>
      </c>
      <c r="R541">
        <v>486.64317568243195</v>
      </c>
      <c r="S541">
        <v>220.54317568243192</v>
      </c>
      <c r="T541">
        <v>0.35625000000000001</v>
      </c>
      <c r="U541">
        <v>40.5</v>
      </c>
      <c r="V541">
        <v>0.69374999999999998</v>
      </c>
      <c r="W541">
        <v>82.5</v>
      </c>
      <c r="X541">
        <v>14.5</v>
      </c>
      <c r="Y541">
        <v>40</v>
      </c>
      <c r="Z541">
        <v>0.39583333333333331</v>
      </c>
      <c r="AA541">
        <v>97.5</v>
      </c>
      <c r="AB541">
        <v>16.2</v>
      </c>
      <c r="AD541">
        <v>42</v>
      </c>
      <c r="AE541">
        <v>57.5</v>
      </c>
      <c r="AF541">
        <v>38.607474101643646</v>
      </c>
      <c r="AG541">
        <v>53.185592064046816</v>
      </c>
      <c r="AH541">
        <v>91.793066165690462</v>
      </c>
      <c r="AI541">
        <v>5.5980837447383287</v>
      </c>
      <c r="AJ541">
        <v>8.616065914375584</v>
      </c>
      <c r="AK541">
        <v>14.214149659113913</v>
      </c>
      <c r="AL541">
        <v>188.62499414887867</v>
      </c>
      <c r="AM541">
        <v>45.319278416502748</v>
      </c>
      <c r="AN541">
        <v>2.4026125816991661</v>
      </c>
      <c r="AO541">
        <v>14.5</v>
      </c>
      <c r="AP541">
        <v>15.484992769995019</v>
      </c>
      <c r="AQ541">
        <v>29.208566706357391</v>
      </c>
      <c r="AR541">
        <v>64.450643803104469</v>
      </c>
      <c r="AS541">
        <v>0.67048922594237204</v>
      </c>
      <c r="AT541">
        <v>16.211259860552683</v>
      </c>
      <c r="AU541">
        <v>35.771222373764559</v>
      </c>
    </row>
    <row r="542" spans="1:47" x14ac:dyDescent="0.35">
      <c r="A542">
        <v>540</v>
      </c>
      <c r="B542">
        <v>46050</v>
      </c>
      <c r="D542" t="s">
        <v>201</v>
      </c>
      <c r="E542" t="s">
        <v>105</v>
      </c>
      <c r="F542" t="s">
        <v>188</v>
      </c>
      <c r="G542" t="s">
        <v>189</v>
      </c>
      <c r="H542" t="s">
        <v>108</v>
      </c>
      <c r="I542" t="s">
        <v>109</v>
      </c>
      <c r="J542" t="s">
        <v>110</v>
      </c>
      <c r="K542" t="s">
        <v>200</v>
      </c>
      <c r="L542">
        <v>28</v>
      </c>
      <c r="M542">
        <v>61</v>
      </c>
      <c r="N542">
        <v>2</v>
      </c>
      <c r="O542">
        <v>1</v>
      </c>
      <c r="P542">
        <v>0</v>
      </c>
      <c r="Q542">
        <v>0.5</v>
      </c>
      <c r="R542">
        <v>485.49999999999983</v>
      </c>
      <c r="S542">
        <v>211.19999999999982</v>
      </c>
      <c r="T542">
        <v>0.35694444444444445</v>
      </c>
      <c r="U542">
        <v>40.5</v>
      </c>
      <c r="V542">
        <v>0.69444444444444442</v>
      </c>
      <c r="W542">
        <v>83.5</v>
      </c>
      <c r="X542">
        <v>14.7</v>
      </c>
      <c r="Y542">
        <v>40</v>
      </c>
      <c r="Z542">
        <v>0.39652777777777776</v>
      </c>
      <c r="AA542">
        <v>103</v>
      </c>
      <c r="AB542">
        <v>15.6</v>
      </c>
      <c r="AD542">
        <v>43</v>
      </c>
      <c r="AE542">
        <v>63</v>
      </c>
      <c r="AF542">
        <v>39.607474101643646</v>
      </c>
      <c r="AG542">
        <v>58.685592064046816</v>
      </c>
      <c r="AH542">
        <v>98.293066165690462</v>
      </c>
      <c r="AI542">
        <v>5.8222986929416161</v>
      </c>
      <c r="AJ542">
        <v>9.1549523619913025</v>
      </c>
      <c r="AK542">
        <v>14.977251054932918</v>
      </c>
      <c r="AL542">
        <v>202.45739683973326</v>
      </c>
      <c r="AM542">
        <v>43.501544799176081</v>
      </c>
      <c r="AN542">
        <v>2.1486764859281591</v>
      </c>
      <c r="AO542">
        <v>14.7</v>
      </c>
      <c r="AP542">
        <v>15.237342407943705</v>
      </c>
      <c r="AQ542">
        <v>30.849126786679552</v>
      </c>
      <c r="AR542">
        <v>70.915014464644557</v>
      </c>
      <c r="AS542">
        <v>1.2573665014686333</v>
      </c>
      <c r="AT542">
        <v>17.121799088523876</v>
      </c>
      <c r="AU542">
        <v>39.359059931242179</v>
      </c>
    </row>
    <row r="543" spans="1:47" x14ac:dyDescent="0.35">
      <c r="A543">
        <v>541</v>
      </c>
      <c r="B543">
        <v>46050</v>
      </c>
      <c r="D543" t="s">
        <v>201</v>
      </c>
      <c r="E543" t="s">
        <v>105</v>
      </c>
      <c r="F543" t="s">
        <v>188</v>
      </c>
      <c r="G543" t="s">
        <v>189</v>
      </c>
      <c r="H543" t="s">
        <v>108</v>
      </c>
      <c r="I543" t="s">
        <v>109</v>
      </c>
      <c r="J543" t="s">
        <v>110</v>
      </c>
      <c r="K543" t="s">
        <v>200</v>
      </c>
      <c r="L543">
        <v>28</v>
      </c>
      <c r="M543">
        <v>61</v>
      </c>
      <c r="N543">
        <v>2</v>
      </c>
      <c r="O543">
        <v>2</v>
      </c>
      <c r="P543">
        <v>0</v>
      </c>
      <c r="Q543">
        <v>0.50049999999999994</v>
      </c>
      <c r="R543">
        <v>485.98549999999972</v>
      </c>
      <c r="S543">
        <v>78.385499999999752</v>
      </c>
      <c r="T543">
        <v>0.35694444444444445</v>
      </c>
      <c r="U543">
        <v>40</v>
      </c>
      <c r="V543">
        <v>0.69513888888888886</v>
      </c>
      <c r="W543">
        <v>83</v>
      </c>
      <c r="X543">
        <v>14.6</v>
      </c>
      <c r="Y543">
        <v>39.5</v>
      </c>
      <c r="Z543">
        <v>0.3972222222222222</v>
      </c>
      <c r="AA543">
        <v>99.5</v>
      </c>
      <c r="AB543">
        <v>15.8</v>
      </c>
      <c r="AD543">
        <v>43</v>
      </c>
      <c r="AE543">
        <v>60</v>
      </c>
    </row>
    <row r="544" spans="1:47" x14ac:dyDescent="0.35">
      <c r="A544">
        <v>542</v>
      </c>
      <c r="B544">
        <v>46050</v>
      </c>
      <c r="D544" t="s">
        <v>201</v>
      </c>
      <c r="E544" t="s">
        <v>105</v>
      </c>
      <c r="F544" t="s">
        <v>188</v>
      </c>
      <c r="G544" t="s">
        <v>189</v>
      </c>
      <c r="H544" t="s">
        <v>108</v>
      </c>
      <c r="I544" t="s">
        <v>109</v>
      </c>
      <c r="J544" t="s">
        <v>110</v>
      </c>
      <c r="K544" t="s">
        <v>200</v>
      </c>
      <c r="L544">
        <v>28</v>
      </c>
      <c r="M544">
        <v>61</v>
      </c>
      <c r="N544">
        <v>2</v>
      </c>
      <c r="O544">
        <v>3</v>
      </c>
      <c r="P544">
        <v>0</v>
      </c>
      <c r="Q544">
        <v>0.50029999999999997</v>
      </c>
      <c r="R544">
        <v>485.79129999999975</v>
      </c>
      <c r="S544">
        <v>62.091299999999762</v>
      </c>
      <c r="T544">
        <v>0.3576388888888889</v>
      </c>
      <c r="U544">
        <v>40.5</v>
      </c>
      <c r="V544">
        <v>0.6958333333333333</v>
      </c>
      <c r="W544">
        <v>84.5</v>
      </c>
      <c r="X544">
        <v>14.6</v>
      </c>
      <c r="Y544">
        <v>40</v>
      </c>
      <c r="Z544">
        <v>0.39791666666666664</v>
      </c>
      <c r="AA544">
        <v>102.2</v>
      </c>
      <c r="AB544">
        <v>15.9</v>
      </c>
      <c r="AC544" t="s">
        <v>569</v>
      </c>
      <c r="AD544">
        <v>44</v>
      </c>
      <c r="AE544">
        <v>62.2</v>
      </c>
    </row>
    <row r="545" spans="1:47" x14ac:dyDescent="0.35">
      <c r="A545">
        <v>543</v>
      </c>
      <c r="B545">
        <v>46050</v>
      </c>
      <c r="D545" t="s">
        <v>203</v>
      </c>
      <c r="E545" t="s">
        <v>105</v>
      </c>
      <c r="F545" t="s">
        <v>188</v>
      </c>
      <c r="G545" t="s">
        <v>189</v>
      </c>
      <c r="H545" t="s">
        <v>108</v>
      </c>
      <c r="I545" t="s">
        <v>109</v>
      </c>
      <c r="J545" t="s">
        <v>110</v>
      </c>
      <c r="K545" t="s">
        <v>202</v>
      </c>
      <c r="L545">
        <v>28</v>
      </c>
      <c r="M545">
        <v>61</v>
      </c>
      <c r="N545">
        <v>2</v>
      </c>
      <c r="O545">
        <v>1</v>
      </c>
      <c r="P545">
        <v>0</v>
      </c>
      <c r="Q545">
        <v>0.50019999999999998</v>
      </c>
      <c r="R545">
        <v>482.69475052494732</v>
      </c>
      <c r="S545">
        <v>48.894750524947256</v>
      </c>
      <c r="T545">
        <v>0.3576388888888889</v>
      </c>
      <c r="U545">
        <v>40.5</v>
      </c>
      <c r="V545">
        <v>0.6958333333333333</v>
      </c>
      <c r="W545">
        <v>85</v>
      </c>
      <c r="X545">
        <v>13.9</v>
      </c>
      <c r="Y545">
        <v>40</v>
      </c>
      <c r="Z545">
        <v>0.39861111111111114</v>
      </c>
      <c r="AA545">
        <v>101.5</v>
      </c>
      <c r="AB545">
        <v>15.5</v>
      </c>
      <c r="AD545">
        <v>44.5</v>
      </c>
      <c r="AE545">
        <v>61.5</v>
      </c>
      <c r="AF545">
        <v>41.107474101643646</v>
      </c>
      <c r="AG545">
        <v>57.185592064046816</v>
      </c>
      <c r="AH545">
        <v>98.293066165690462</v>
      </c>
      <c r="AI545">
        <v>5.7139389001284675</v>
      </c>
      <c r="AJ545">
        <v>8.8637667699272562</v>
      </c>
      <c r="AK545">
        <v>14.577705670055725</v>
      </c>
      <c r="AL545">
        <v>203.63400691387952</v>
      </c>
      <c r="AM545">
        <v>10.129538486128659</v>
      </c>
      <c r="AN545">
        <v>0.49743845046533036</v>
      </c>
      <c r="AO545">
        <v>13.9</v>
      </c>
      <c r="AP545">
        <v>14.83085861365074</v>
      </c>
      <c r="AQ545">
        <v>30.20067165470924</v>
      </c>
      <c r="AR545">
        <v>298.14459657827348</v>
      </c>
      <c r="AS545">
        <v>-0.45857238717238163</v>
      </c>
      <c r="AT545">
        <v>16.761895271333433</v>
      </c>
      <c r="AU545">
        <v>165.47540931195525</v>
      </c>
    </row>
    <row r="546" spans="1:47" x14ac:dyDescent="0.35">
      <c r="A546">
        <v>544</v>
      </c>
      <c r="B546">
        <v>46050</v>
      </c>
      <c r="D546" t="s">
        <v>203</v>
      </c>
      <c r="E546" t="s">
        <v>105</v>
      </c>
      <c r="F546" t="s">
        <v>188</v>
      </c>
      <c r="G546" t="s">
        <v>189</v>
      </c>
      <c r="H546" t="s">
        <v>108</v>
      </c>
      <c r="I546" t="s">
        <v>109</v>
      </c>
      <c r="J546" t="s">
        <v>110</v>
      </c>
      <c r="K546" t="s">
        <v>202</v>
      </c>
      <c r="L546">
        <v>28</v>
      </c>
      <c r="M546">
        <v>61</v>
      </c>
      <c r="N546">
        <v>2</v>
      </c>
      <c r="O546">
        <v>2</v>
      </c>
      <c r="P546">
        <v>0</v>
      </c>
      <c r="Q546">
        <v>0.50039999999999996</v>
      </c>
      <c r="R546">
        <v>482.88775122487726</v>
      </c>
      <c r="S546">
        <v>206.38775122487732</v>
      </c>
      <c r="T546">
        <v>0.35833333333333334</v>
      </c>
      <c r="U546">
        <v>40.5</v>
      </c>
      <c r="V546">
        <v>0.69652777777777775</v>
      </c>
      <c r="W546">
        <v>84</v>
      </c>
      <c r="X546">
        <v>14.3</v>
      </c>
      <c r="Y546">
        <v>40</v>
      </c>
      <c r="Z546">
        <v>0.39930555555555558</v>
      </c>
      <c r="AA546">
        <v>102</v>
      </c>
      <c r="AB546">
        <v>15.6</v>
      </c>
      <c r="AC546" t="s">
        <v>569</v>
      </c>
      <c r="AD546">
        <v>43.5</v>
      </c>
      <c r="AE546">
        <v>62</v>
      </c>
    </row>
    <row r="547" spans="1:47" x14ac:dyDescent="0.35">
      <c r="A547">
        <v>545</v>
      </c>
      <c r="B547">
        <v>46050</v>
      </c>
      <c r="D547" t="s">
        <v>203</v>
      </c>
      <c r="E547" t="s">
        <v>105</v>
      </c>
      <c r="F547" t="s">
        <v>188</v>
      </c>
      <c r="G547" t="s">
        <v>189</v>
      </c>
      <c r="H547" t="s">
        <v>108</v>
      </c>
      <c r="I547" t="s">
        <v>109</v>
      </c>
      <c r="J547" t="s">
        <v>110</v>
      </c>
      <c r="K547" t="s">
        <v>202</v>
      </c>
      <c r="L547">
        <v>28</v>
      </c>
      <c r="M547">
        <v>61</v>
      </c>
      <c r="N547">
        <v>2</v>
      </c>
      <c r="O547">
        <v>3</v>
      </c>
      <c r="P547">
        <v>0</v>
      </c>
      <c r="Q547">
        <v>0.50019999999999998</v>
      </c>
      <c r="R547">
        <v>482.69475052494732</v>
      </c>
      <c r="S547">
        <v>71.694750524947267</v>
      </c>
      <c r="T547">
        <v>0.35833333333333334</v>
      </c>
      <c r="U547">
        <v>40.5</v>
      </c>
      <c r="V547">
        <v>0.69722222222222219</v>
      </c>
      <c r="W547">
        <v>84</v>
      </c>
      <c r="X547">
        <v>13.9</v>
      </c>
      <c r="Y547">
        <v>40</v>
      </c>
      <c r="Z547">
        <v>0.4</v>
      </c>
      <c r="AA547">
        <v>105</v>
      </c>
      <c r="AB547">
        <v>15.4</v>
      </c>
      <c r="AD547">
        <v>43.5</v>
      </c>
      <c r="AE547">
        <v>65</v>
      </c>
      <c r="AF547">
        <v>40.107474101643646</v>
      </c>
      <c r="AG547">
        <v>60.685592064046816</v>
      </c>
      <c r="AH547">
        <v>100.79306616569046</v>
      </c>
      <c r="AI547">
        <v>5.5749389001284673</v>
      </c>
      <c r="AJ547">
        <v>9.3455811778632096</v>
      </c>
      <c r="AK547">
        <v>14.920520077991677</v>
      </c>
      <c r="AL547">
        <v>208.81326357097214</v>
      </c>
      <c r="AM547">
        <v>14.853020557397139</v>
      </c>
      <c r="AN547">
        <v>0.71130637505451599</v>
      </c>
      <c r="AO547">
        <v>13.9</v>
      </c>
      <c r="AP547">
        <v>14.803121529673794</v>
      </c>
      <c r="AQ547">
        <v>30.91088117648906</v>
      </c>
      <c r="AR547">
        <v>208.11175112186015</v>
      </c>
      <c r="AS547">
        <v>-0.60011817748211771</v>
      </c>
      <c r="AT547">
        <v>17.156073843283199</v>
      </c>
      <c r="AU547">
        <v>115.50562242195971</v>
      </c>
    </row>
    <row r="548" spans="1:47" x14ac:dyDescent="0.35">
      <c r="A548">
        <v>546</v>
      </c>
      <c r="B548">
        <v>46050</v>
      </c>
      <c r="D548" t="s">
        <v>205</v>
      </c>
      <c r="E548" t="s">
        <v>105</v>
      </c>
      <c r="F548" t="s">
        <v>188</v>
      </c>
      <c r="G548" t="s">
        <v>189</v>
      </c>
      <c r="H548" t="s">
        <v>108</v>
      </c>
      <c r="I548" t="s">
        <v>109</v>
      </c>
      <c r="J548" t="s">
        <v>110</v>
      </c>
      <c r="K548" t="s">
        <v>204</v>
      </c>
      <c r="L548">
        <v>28</v>
      </c>
      <c r="M548">
        <v>61</v>
      </c>
      <c r="N548">
        <v>2</v>
      </c>
      <c r="O548">
        <v>1</v>
      </c>
      <c r="P548">
        <v>0</v>
      </c>
      <c r="Q548">
        <v>0.50009999999999999</v>
      </c>
      <c r="R548">
        <v>484.4304641489062</v>
      </c>
      <c r="S548">
        <v>0</v>
      </c>
      <c r="AC548" t="s">
        <v>570</v>
      </c>
    </row>
    <row r="549" spans="1:47" x14ac:dyDescent="0.35">
      <c r="A549">
        <v>547</v>
      </c>
      <c r="B549">
        <v>46050</v>
      </c>
      <c r="D549" t="s">
        <v>205</v>
      </c>
      <c r="E549" t="s">
        <v>105</v>
      </c>
      <c r="F549" t="s">
        <v>188</v>
      </c>
      <c r="G549" t="s">
        <v>189</v>
      </c>
      <c r="H549" t="s">
        <v>108</v>
      </c>
      <c r="I549" t="s">
        <v>109</v>
      </c>
      <c r="J549" t="s">
        <v>110</v>
      </c>
      <c r="K549" t="s">
        <v>204</v>
      </c>
      <c r="L549">
        <v>28</v>
      </c>
      <c r="M549">
        <v>61</v>
      </c>
      <c r="N549">
        <v>2</v>
      </c>
      <c r="O549">
        <v>2</v>
      </c>
      <c r="P549">
        <v>0</v>
      </c>
      <c r="Q549">
        <v>0.50009999999999999</v>
      </c>
      <c r="R549">
        <v>484.4304641489062</v>
      </c>
      <c r="S549">
        <v>222.63046414890619</v>
      </c>
      <c r="T549">
        <v>0.36180555555555555</v>
      </c>
      <c r="U549">
        <v>41</v>
      </c>
      <c r="V549">
        <v>0.69722222222222219</v>
      </c>
      <c r="W549">
        <v>84</v>
      </c>
      <c r="X549">
        <v>13.7</v>
      </c>
      <c r="Y549">
        <v>40</v>
      </c>
      <c r="Z549">
        <v>0.40069444444444446</v>
      </c>
      <c r="AA549">
        <v>102</v>
      </c>
      <c r="AB549">
        <v>16</v>
      </c>
    </row>
    <row r="550" spans="1:47" x14ac:dyDescent="0.35">
      <c r="A550">
        <v>548</v>
      </c>
      <c r="B550">
        <v>46050</v>
      </c>
      <c r="D550" t="s">
        <v>205</v>
      </c>
      <c r="E550" t="s">
        <v>105</v>
      </c>
      <c r="F550" t="s">
        <v>188</v>
      </c>
      <c r="G550" t="s">
        <v>189</v>
      </c>
      <c r="H550" t="s">
        <v>108</v>
      </c>
      <c r="I550" t="s">
        <v>109</v>
      </c>
      <c r="J550" t="s">
        <v>110</v>
      </c>
      <c r="K550" t="s">
        <v>204</v>
      </c>
      <c r="L550">
        <v>28</v>
      </c>
      <c r="M550">
        <v>61</v>
      </c>
      <c r="N550">
        <v>2</v>
      </c>
      <c r="O550">
        <v>3</v>
      </c>
      <c r="P550">
        <v>0</v>
      </c>
      <c r="Q550">
        <v>0.5</v>
      </c>
      <c r="R550">
        <v>484.33359742942031</v>
      </c>
      <c r="S550">
        <v>223.03359742942035</v>
      </c>
      <c r="T550">
        <v>0.36180555555555555</v>
      </c>
      <c r="U550">
        <v>40.5</v>
      </c>
      <c r="V550">
        <v>0.69791666666666663</v>
      </c>
      <c r="W550">
        <v>83.5</v>
      </c>
      <c r="X550">
        <v>14.4</v>
      </c>
      <c r="Y550">
        <v>40</v>
      </c>
      <c r="Z550">
        <v>0.40069444444444446</v>
      </c>
      <c r="AA550">
        <v>105</v>
      </c>
      <c r="AB550">
        <v>15.9</v>
      </c>
    </row>
    <row r="551" spans="1:47" x14ac:dyDescent="0.35">
      <c r="A551">
        <v>549</v>
      </c>
      <c r="B551">
        <v>46050</v>
      </c>
      <c r="D551" t="s">
        <v>207</v>
      </c>
      <c r="E551" t="s">
        <v>105</v>
      </c>
      <c r="F551" t="s">
        <v>188</v>
      </c>
      <c r="G551" t="s">
        <v>189</v>
      </c>
      <c r="H551" t="s">
        <v>108</v>
      </c>
      <c r="I551" t="s">
        <v>109</v>
      </c>
      <c r="J551" t="s">
        <v>110</v>
      </c>
      <c r="K551" t="s">
        <v>206</v>
      </c>
      <c r="L551">
        <v>28</v>
      </c>
      <c r="M551">
        <v>61</v>
      </c>
      <c r="N551">
        <v>2</v>
      </c>
      <c r="O551">
        <v>1</v>
      </c>
      <c r="P551">
        <v>0</v>
      </c>
      <c r="Q551">
        <v>0.50019999999999998</v>
      </c>
      <c r="R551">
        <v>488.47208767769672</v>
      </c>
      <c r="S551">
        <v>37.872087677696584</v>
      </c>
      <c r="T551">
        <v>0.36180555555555555</v>
      </c>
      <c r="U551">
        <v>40.5</v>
      </c>
      <c r="V551">
        <v>0.69791666666666663</v>
      </c>
      <c r="W551">
        <v>84</v>
      </c>
      <c r="X551">
        <v>14.4</v>
      </c>
      <c r="Y551">
        <v>40</v>
      </c>
      <c r="Z551">
        <v>0.40138888888888891</v>
      </c>
      <c r="AA551">
        <v>98.5</v>
      </c>
      <c r="AB551">
        <v>16.100000000000001</v>
      </c>
      <c r="AC551" t="s">
        <v>569</v>
      </c>
      <c r="AD551">
        <v>43.5</v>
      </c>
      <c r="AE551">
        <v>58.5</v>
      </c>
    </row>
    <row r="552" spans="1:47" x14ac:dyDescent="0.35">
      <c r="A552">
        <v>550</v>
      </c>
      <c r="B552">
        <v>46050</v>
      </c>
      <c r="D552" t="s">
        <v>207</v>
      </c>
      <c r="E552" t="s">
        <v>105</v>
      </c>
      <c r="F552" t="s">
        <v>188</v>
      </c>
      <c r="G552" t="s">
        <v>189</v>
      </c>
      <c r="H552" t="s">
        <v>108</v>
      </c>
      <c r="I552" t="s">
        <v>109</v>
      </c>
      <c r="J552" t="s">
        <v>110</v>
      </c>
      <c r="K552" t="s">
        <v>206</v>
      </c>
      <c r="L552">
        <v>28</v>
      </c>
      <c r="M552">
        <v>61</v>
      </c>
      <c r="N552">
        <v>2</v>
      </c>
      <c r="O552">
        <v>2</v>
      </c>
      <c r="P552">
        <v>0</v>
      </c>
      <c r="Q552">
        <v>0.50029999999999997</v>
      </c>
      <c r="R552">
        <v>488.56974303309011</v>
      </c>
      <c r="S552">
        <v>236.56974303309011</v>
      </c>
      <c r="T552">
        <v>0.36249999999999999</v>
      </c>
      <c r="U552">
        <v>40.5</v>
      </c>
      <c r="V552">
        <v>0.69861111111111107</v>
      </c>
      <c r="W552">
        <v>82.5</v>
      </c>
      <c r="X552">
        <v>14.7</v>
      </c>
      <c r="Y552">
        <v>40</v>
      </c>
      <c r="Z552">
        <v>0.40138888888888891</v>
      </c>
      <c r="AA552">
        <v>99</v>
      </c>
      <c r="AB552">
        <v>16</v>
      </c>
      <c r="AD552">
        <v>42</v>
      </c>
      <c r="AE552">
        <v>59</v>
      </c>
    </row>
    <row r="553" spans="1:47" x14ac:dyDescent="0.35">
      <c r="A553">
        <v>551</v>
      </c>
      <c r="B553">
        <v>46050</v>
      </c>
      <c r="D553" t="s">
        <v>207</v>
      </c>
      <c r="E553" t="s">
        <v>105</v>
      </c>
      <c r="F553" t="s">
        <v>188</v>
      </c>
      <c r="G553" t="s">
        <v>189</v>
      </c>
      <c r="H553" t="s">
        <v>108</v>
      </c>
      <c r="I553" t="s">
        <v>109</v>
      </c>
      <c r="J553" t="s">
        <v>110</v>
      </c>
      <c r="K553" t="s">
        <v>206</v>
      </c>
      <c r="L553">
        <v>28</v>
      </c>
      <c r="M553">
        <v>61</v>
      </c>
      <c r="N553">
        <v>2</v>
      </c>
      <c r="O553">
        <v>3</v>
      </c>
      <c r="P553">
        <v>0</v>
      </c>
      <c r="Q553">
        <v>0.50049999999999994</v>
      </c>
      <c r="R553">
        <v>488.76505374387688</v>
      </c>
      <c r="S553">
        <v>257.16505374387685</v>
      </c>
      <c r="T553">
        <v>0.36249999999999999</v>
      </c>
      <c r="U553">
        <v>40</v>
      </c>
      <c r="V553">
        <v>0.69930555555555551</v>
      </c>
      <c r="W553">
        <v>84</v>
      </c>
      <c r="X553">
        <v>14.6</v>
      </c>
      <c r="Y553">
        <v>40</v>
      </c>
      <c r="Z553">
        <v>0.40208333333333335</v>
      </c>
      <c r="AA553">
        <v>98.5</v>
      </c>
      <c r="AB553">
        <v>16.100000000000001</v>
      </c>
      <c r="AD553">
        <v>44</v>
      </c>
      <c r="AE553">
        <v>58.5</v>
      </c>
    </row>
    <row r="554" spans="1:47" x14ac:dyDescent="0.35">
      <c r="A554">
        <v>552</v>
      </c>
      <c r="B554">
        <v>46050</v>
      </c>
      <c r="D554" t="s">
        <v>209</v>
      </c>
      <c r="E554" t="s">
        <v>105</v>
      </c>
      <c r="F554" t="s">
        <v>188</v>
      </c>
      <c r="G554" t="s">
        <v>189</v>
      </c>
      <c r="H554" t="s">
        <v>108</v>
      </c>
      <c r="I554" t="s">
        <v>109</v>
      </c>
      <c r="J554" t="s">
        <v>110</v>
      </c>
      <c r="K554" t="s">
        <v>208</v>
      </c>
      <c r="L554">
        <v>28</v>
      </c>
      <c r="M554">
        <v>61</v>
      </c>
      <c r="N554">
        <v>2</v>
      </c>
      <c r="O554">
        <v>1</v>
      </c>
      <c r="P554">
        <v>0</v>
      </c>
      <c r="Q554">
        <v>0.50009999999999999</v>
      </c>
      <c r="R554">
        <v>482.72927020554636</v>
      </c>
      <c r="S554">
        <v>251.22927020554633</v>
      </c>
      <c r="T554">
        <v>0.36319444444444443</v>
      </c>
      <c r="U554">
        <v>40.5</v>
      </c>
      <c r="V554">
        <v>0.69930555555555551</v>
      </c>
      <c r="W554">
        <v>85.5</v>
      </c>
      <c r="X554">
        <v>14.9</v>
      </c>
      <c r="Y554">
        <v>40</v>
      </c>
      <c r="Z554">
        <v>0.40208333333333335</v>
      </c>
      <c r="AA554">
        <v>100.5</v>
      </c>
      <c r="AB554">
        <v>16.2</v>
      </c>
      <c r="AD554">
        <v>45</v>
      </c>
      <c r="AE554">
        <v>60.5</v>
      </c>
      <c r="AF554">
        <v>45</v>
      </c>
      <c r="AG554">
        <v>60.5</v>
      </c>
      <c r="AH554">
        <v>41.607474101643646</v>
      </c>
      <c r="AI554">
        <v>56.185592064046816</v>
      </c>
      <c r="AJ554">
        <v>97.793066165690462</v>
      </c>
      <c r="AK554">
        <v>6.199513641144903</v>
      </c>
      <c r="AL554">
        <v>9.1020659143755847</v>
      </c>
      <c r="AM554">
        <v>15.301579555520487</v>
      </c>
      <c r="AN554">
        <v>202.58366790986204</v>
      </c>
      <c r="AO554">
        <v>52.043512940197886</v>
      </c>
      <c r="AP554">
        <v>2.5689885802321548</v>
      </c>
      <c r="AQ554">
        <v>14.899999999999999</v>
      </c>
      <c r="AR554">
        <v>15.646896201817697</v>
      </c>
      <c r="AS554">
        <v>31.69805623969118</v>
      </c>
      <c r="AT554">
        <v>60.906834394739555</v>
      </c>
      <c r="AU554">
        <v>0.54086825640778735</v>
      </c>
    </row>
    <row r="555" spans="1:47" x14ac:dyDescent="0.35">
      <c r="A555">
        <v>553</v>
      </c>
      <c r="B555">
        <v>46050</v>
      </c>
      <c r="D555" t="s">
        <v>209</v>
      </c>
      <c r="E555" t="s">
        <v>105</v>
      </c>
      <c r="F555" t="s">
        <v>188</v>
      </c>
      <c r="G555" t="s">
        <v>189</v>
      </c>
      <c r="H555" t="s">
        <v>108</v>
      </c>
      <c r="I555" t="s">
        <v>109</v>
      </c>
      <c r="J555" t="s">
        <v>110</v>
      </c>
      <c r="K555" t="s">
        <v>208</v>
      </c>
      <c r="L555">
        <v>28</v>
      </c>
      <c r="M555">
        <v>61</v>
      </c>
      <c r="N555">
        <v>2</v>
      </c>
      <c r="O555">
        <v>2</v>
      </c>
      <c r="P555">
        <v>0</v>
      </c>
      <c r="Q555">
        <v>0.50019999999999998</v>
      </c>
      <c r="R555">
        <v>482.82579675427769</v>
      </c>
      <c r="S555">
        <v>210.92579675427766</v>
      </c>
      <c r="T555">
        <v>0.36388888888888887</v>
      </c>
      <c r="U555">
        <v>40.5</v>
      </c>
      <c r="V555">
        <v>0.7</v>
      </c>
      <c r="W555">
        <v>87</v>
      </c>
      <c r="X555">
        <v>14.5</v>
      </c>
      <c r="Y555">
        <v>40</v>
      </c>
      <c r="Z555">
        <v>0.40277777777777779</v>
      </c>
      <c r="AA555">
        <v>99</v>
      </c>
      <c r="AB555">
        <v>16.2</v>
      </c>
      <c r="AD555">
        <v>46.5</v>
      </c>
      <c r="AE555">
        <v>59</v>
      </c>
      <c r="AF555">
        <v>46.5</v>
      </c>
      <c r="AG555">
        <v>59</v>
      </c>
      <c r="AH555">
        <v>43.107474101643646</v>
      </c>
      <c r="AI555">
        <v>54.685592064046816</v>
      </c>
      <c r="AJ555">
        <v>97.793066165690462</v>
      </c>
      <c r="AK555">
        <v>6.2505837447383286</v>
      </c>
      <c r="AL555">
        <v>8.8590659143755843</v>
      </c>
      <c r="AM555">
        <v>15.109649659113913</v>
      </c>
      <c r="AN555">
        <v>202.54316737649341</v>
      </c>
      <c r="AO555">
        <v>43.685693302262216</v>
      </c>
      <c r="AP555">
        <v>2.1568584054508197</v>
      </c>
      <c r="AQ555">
        <v>14.5</v>
      </c>
      <c r="AR555">
        <v>15.450634949428506</v>
      </c>
      <c r="AS555">
        <v>31.294205406351963</v>
      </c>
      <c r="AT555">
        <v>71.634906168998427</v>
      </c>
      <c r="AU555">
        <v>0.95671015999673137</v>
      </c>
    </row>
    <row r="556" spans="1:47" x14ac:dyDescent="0.35">
      <c r="A556">
        <v>554</v>
      </c>
      <c r="B556">
        <v>46050</v>
      </c>
      <c r="D556" t="s">
        <v>209</v>
      </c>
      <c r="E556" t="s">
        <v>105</v>
      </c>
      <c r="F556" t="s">
        <v>188</v>
      </c>
      <c r="G556" t="s">
        <v>189</v>
      </c>
      <c r="H556" t="s">
        <v>108</v>
      </c>
      <c r="I556" t="s">
        <v>109</v>
      </c>
      <c r="J556" t="s">
        <v>110</v>
      </c>
      <c r="K556" t="s">
        <v>208</v>
      </c>
      <c r="L556">
        <v>28</v>
      </c>
      <c r="M556">
        <v>61</v>
      </c>
      <c r="N556">
        <v>2</v>
      </c>
      <c r="O556">
        <v>3</v>
      </c>
      <c r="P556">
        <v>0</v>
      </c>
      <c r="Q556">
        <v>0.50039999999999996</v>
      </c>
      <c r="R556">
        <v>483.0188498517403</v>
      </c>
      <c r="S556">
        <v>65.318849851740254</v>
      </c>
      <c r="T556">
        <v>0.36388888888888887</v>
      </c>
      <c r="U556">
        <v>40.5</v>
      </c>
      <c r="V556">
        <v>0.7006944444444444</v>
      </c>
      <c r="W556">
        <v>86</v>
      </c>
      <c r="X556">
        <v>14.8</v>
      </c>
      <c r="Y556">
        <v>40</v>
      </c>
      <c r="Z556">
        <v>0.40277777777777779</v>
      </c>
      <c r="AA556">
        <v>101</v>
      </c>
      <c r="AB556">
        <v>16.2</v>
      </c>
      <c r="AD556">
        <v>45.5</v>
      </c>
      <c r="AE556">
        <v>61</v>
      </c>
      <c r="AF556">
        <v>45.5</v>
      </c>
      <c r="AG556">
        <v>61</v>
      </c>
      <c r="AH556">
        <v>42.107474101643646</v>
      </c>
      <c r="AI556">
        <v>56.685592064046816</v>
      </c>
      <c r="AJ556">
        <v>98.793066165690462</v>
      </c>
      <c r="AK556">
        <v>6.2319061670432605</v>
      </c>
      <c r="AL556">
        <v>9.1830659143755842</v>
      </c>
      <c r="AM556">
        <v>15.414972081418846</v>
      </c>
      <c r="AN556">
        <v>204.53252744901033</v>
      </c>
      <c r="AO556">
        <v>13.523043639350613</v>
      </c>
      <c r="AP556">
        <v>0.66116836319454808</v>
      </c>
      <c r="AQ556">
        <v>14.800000000000002</v>
      </c>
      <c r="AR556">
        <v>15.603293510058364</v>
      </c>
      <c r="AS556">
        <v>31.91381058140977</v>
      </c>
      <c r="AT556">
        <v>235.99576716992902</v>
      </c>
      <c r="AU556">
        <v>-0.52595024467723528</v>
      </c>
    </row>
    <row r="557" spans="1:47" x14ac:dyDescent="0.35">
      <c r="A557">
        <v>555</v>
      </c>
      <c r="B557">
        <v>46055</v>
      </c>
      <c r="C557" t="s">
        <v>16</v>
      </c>
      <c r="D557" t="s">
        <v>211</v>
      </c>
      <c r="E557" t="s">
        <v>212</v>
      </c>
      <c r="F557" t="s">
        <v>213</v>
      </c>
      <c r="G557" t="s">
        <v>214</v>
      </c>
      <c r="H557" t="s">
        <v>22</v>
      </c>
      <c r="I557" t="s">
        <v>23</v>
      </c>
      <c r="J557" t="s">
        <v>215</v>
      </c>
      <c r="K557" t="s">
        <v>210</v>
      </c>
      <c r="L557">
        <v>28</v>
      </c>
      <c r="M557">
        <v>62</v>
      </c>
      <c r="N557">
        <v>2</v>
      </c>
      <c r="O557">
        <v>1</v>
      </c>
      <c r="P557">
        <v>0</v>
      </c>
      <c r="Q557">
        <v>0.5</v>
      </c>
      <c r="R557">
        <v>458.38332541833336</v>
      </c>
      <c r="S557">
        <v>199.58332541833335</v>
      </c>
      <c r="T557">
        <v>0.3347222222222222</v>
      </c>
      <c r="U557">
        <v>40</v>
      </c>
      <c r="V557">
        <v>0.66666666666666663</v>
      </c>
      <c r="W557">
        <v>72.5</v>
      </c>
      <c r="X557">
        <v>13.1</v>
      </c>
      <c r="Y557">
        <v>39.5</v>
      </c>
      <c r="Z557">
        <v>0.34097222222222223</v>
      </c>
      <c r="AA557">
        <v>77</v>
      </c>
      <c r="AB557">
        <v>16.8</v>
      </c>
      <c r="AD557">
        <v>32.5</v>
      </c>
      <c r="AE557">
        <v>37.5</v>
      </c>
      <c r="AF557">
        <v>31.836244932930278</v>
      </c>
      <c r="AG557">
        <v>35.50873479879084</v>
      </c>
      <c r="AH557">
        <v>67.344979731721111</v>
      </c>
      <c r="AI557">
        <v>4.1705480862138664</v>
      </c>
      <c r="AJ557">
        <v>5.9654674461968611</v>
      </c>
      <c r="AK557">
        <v>10.136015532410728</v>
      </c>
      <c r="AL557">
        <v>146.91847629985278</v>
      </c>
      <c r="AM557">
        <v>43.540703675507409</v>
      </c>
      <c r="AN557">
        <v>2.9635961910361193</v>
      </c>
      <c r="AO557">
        <v>13.1</v>
      </c>
      <c r="AP557">
        <v>15.050885118369736</v>
      </c>
      <c r="AQ557">
        <v>22.11253108555011</v>
      </c>
      <c r="AR557">
        <v>50.785883596063442</v>
      </c>
      <c r="AS557">
        <v>-7.0160049340283699</v>
      </c>
      <c r="AT557">
        <v>12.272837322222275</v>
      </c>
      <c r="AU557">
        <v>28.187044044320338</v>
      </c>
    </row>
    <row r="558" spans="1:47" x14ac:dyDescent="0.35">
      <c r="A558">
        <v>556</v>
      </c>
      <c r="B558">
        <v>46055</v>
      </c>
      <c r="C558" t="s">
        <v>16</v>
      </c>
      <c r="D558" t="s">
        <v>211</v>
      </c>
      <c r="E558" t="s">
        <v>212</v>
      </c>
      <c r="F558" t="s">
        <v>213</v>
      </c>
      <c r="G558" t="s">
        <v>214</v>
      </c>
      <c r="H558" t="s">
        <v>22</v>
      </c>
      <c r="I558" t="s">
        <v>23</v>
      </c>
      <c r="J558" t="s">
        <v>215</v>
      </c>
      <c r="K558" t="s">
        <v>210</v>
      </c>
      <c r="L558">
        <v>28</v>
      </c>
      <c r="M558">
        <v>62</v>
      </c>
      <c r="N558">
        <v>2</v>
      </c>
      <c r="O558">
        <v>2</v>
      </c>
      <c r="P558">
        <v>0</v>
      </c>
      <c r="Q558">
        <v>0.50049999999999994</v>
      </c>
      <c r="R558">
        <v>458.84170874375161</v>
      </c>
      <c r="S558">
        <v>229.14170874375159</v>
      </c>
      <c r="T558">
        <v>0.33541666666666664</v>
      </c>
      <c r="U558">
        <v>40.5</v>
      </c>
      <c r="V558">
        <v>0.66736111111111107</v>
      </c>
      <c r="W558">
        <v>61</v>
      </c>
      <c r="X558">
        <v>14.2</v>
      </c>
      <c r="Y558">
        <v>40</v>
      </c>
      <c r="Z558">
        <v>0.34236111111111112</v>
      </c>
      <c r="AA558">
        <v>55</v>
      </c>
      <c r="AB558">
        <v>16.600000000000001</v>
      </c>
      <c r="AC558" t="s">
        <v>571</v>
      </c>
      <c r="AD558">
        <v>20.5</v>
      </c>
      <c r="AE558">
        <v>15</v>
      </c>
      <c r="AF558">
        <v>19.836244932930278</v>
      </c>
      <c r="AG558">
        <v>13.008734798790837</v>
      </c>
      <c r="AH558">
        <v>32.844979731721111</v>
      </c>
      <c r="AI558">
        <v>2.8167467804760991</v>
      </c>
      <c r="AJ558">
        <v>2.1594499765992792</v>
      </c>
      <c r="AK558">
        <v>4.9761967570753782</v>
      </c>
      <c r="AL558">
        <v>71.582376026029451</v>
      </c>
      <c r="AM558">
        <v>49.939162978690739</v>
      </c>
      <c r="AN558">
        <v>6.976460652903083</v>
      </c>
      <c r="AO558">
        <v>14.199999999999998</v>
      </c>
      <c r="AP558">
        <v>15.150555115945021</v>
      </c>
      <c r="AQ558">
        <v>10.845127333126607</v>
      </c>
      <c r="AR558">
        <v>21.716678226573944</v>
      </c>
      <c r="AS558">
        <v>0.49505046302710182</v>
      </c>
      <c r="AT558">
        <v>6.0192333018460475</v>
      </c>
      <c r="AU558">
        <v>12.053132136825123</v>
      </c>
    </row>
    <row r="559" spans="1:47" x14ac:dyDescent="0.35">
      <c r="A559">
        <v>557</v>
      </c>
      <c r="B559">
        <v>46055</v>
      </c>
      <c r="C559" t="s">
        <v>16</v>
      </c>
      <c r="D559" t="s">
        <v>211</v>
      </c>
      <c r="E559" t="s">
        <v>212</v>
      </c>
      <c r="F559" t="s">
        <v>213</v>
      </c>
      <c r="G559" t="s">
        <v>214</v>
      </c>
      <c r="H559" t="s">
        <v>22</v>
      </c>
      <c r="I559" t="s">
        <v>23</v>
      </c>
      <c r="J559" t="s">
        <v>215</v>
      </c>
      <c r="K559" t="s">
        <v>210</v>
      </c>
      <c r="L559">
        <v>28</v>
      </c>
      <c r="M559">
        <v>62</v>
      </c>
      <c r="N559">
        <v>2</v>
      </c>
      <c r="O559">
        <v>3</v>
      </c>
      <c r="P559">
        <v>0</v>
      </c>
      <c r="Q559">
        <v>0.50019999999999998</v>
      </c>
      <c r="R559">
        <v>458.56667874850064</v>
      </c>
      <c r="S559">
        <v>187.16667874850054</v>
      </c>
      <c r="T559">
        <v>0.33541666666666664</v>
      </c>
      <c r="U559">
        <v>40.5</v>
      </c>
      <c r="V559">
        <v>0.66805555555555551</v>
      </c>
      <c r="W559">
        <v>74.5</v>
      </c>
      <c r="X559">
        <v>13.4</v>
      </c>
      <c r="Y559">
        <v>40</v>
      </c>
      <c r="Z559">
        <v>0.34375</v>
      </c>
      <c r="AA559">
        <v>80.5</v>
      </c>
      <c r="AB559">
        <v>16.600000000000001</v>
      </c>
      <c r="AD559">
        <v>34</v>
      </c>
      <c r="AE559">
        <v>40.5</v>
      </c>
      <c r="AF559">
        <v>33.336244932930278</v>
      </c>
      <c r="AG559">
        <v>38.50873479879084</v>
      </c>
      <c r="AH559">
        <v>71.844979731721111</v>
      </c>
      <c r="AI559">
        <v>4.4670568210126573</v>
      </c>
      <c r="AJ559">
        <v>6.3924499765992797</v>
      </c>
      <c r="AK559">
        <v>10.859506797611937</v>
      </c>
      <c r="AL559">
        <v>156.67291816273519</v>
      </c>
      <c r="AM559">
        <v>40.815586352525081</v>
      </c>
      <c r="AN559">
        <v>2.6051462391305042</v>
      </c>
      <c r="AO559">
        <v>13.4</v>
      </c>
      <c r="AP559">
        <v>15.115192234951985</v>
      </c>
      <c r="AQ559">
        <v>23.681412760406424</v>
      </c>
      <c r="AR559">
        <v>58.020513428055558</v>
      </c>
      <c r="AS559">
        <v>-1.712552355936499</v>
      </c>
      <c r="AT559">
        <v>13.143593795049105</v>
      </c>
      <c r="AU559">
        <v>32.202388767682052</v>
      </c>
    </row>
    <row r="560" spans="1:47" x14ac:dyDescent="0.35">
      <c r="A560">
        <v>558</v>
      </c>
      <c r="B560">
        <v>46055</v>
      </c>
      <c r="C560" t="s">
        <v>16</v>
      </c>
      <c r="D560" t="s">
        <v>218</v>
      </c>
      <c r="E560" t="s">
        <v>219</v>
      </c>
      <c r="F560" t="s">
        <v>220</v>
      </c>
      <c r="G560" t="s">
        <v>221</v>
      </c>
      <c r="H560" t="s">
        <v>22</v>
      </c>
      <c r="I560" t="s">
        <v>23</v>
      </c>
      <c r="J560" t="s">
        <v>215</v>
      </c>
      <c r="K560" t="s">
        <v>217</v>
      </c>
      <c r="L560">
        <v>28</v>
      </c>
      <c r="M560">
        <v>62</v>
      </c>
      <c r="N560">
        <v>2</v>
      </c>
      <c r="O560">
        <v>1</v>
      </c>
      <c r="P560">
        <v>0</v>
      </c>
      <c r="Q560">
        <v>0.50039999999999996</v>
      </c>
      <c r="R560">
        <v>468.12419999999992</v>
      </c>
      <c r="S560">
        <v>281.22419999999988</v>
      </c>
      <c r="T560">
        <v>0.33611111111111114</v>
      </c>
      <c r="U560">
        <v>41</v>
      </c>
      <c r="V560">
        <v>0.66874999999999996</v>
      </c>
      <c r="W560">
        <v>71.5</v>
      </c>
      <c r="X560">
        <v>10.5</v>
      </c>
      <c r="Y560">
        <v>40</v>
      </c>
      <c r="Z560">
        <v>0.34375</v>
      </c>
      <c r="AA560">
        <v>91</v>
      </c>
      <c r="AB560">
        <v>14.8</v>
      </c>
      <c r="AD560">
        <v>30.5</v>
      </c>
      <c r="AE560">
        <v>51</v>
      </c>
      <c r="AF560">
        <v>29.836244932930278</v>
      </c>
      <c r="AG560">
        <v>49.00873479879084</v>
      </c>
      <c r="AH560">
        <v>78.844979731721111</v>
      </c>
      <c r="AI560">
        <v>3.1328057179576789</v>
      </c>
      <c r="AJ560">
        <v>7.2532927502210454</v>
      </c>
      <c r="AK560">
        <v>10.386098468178725</v>
      </c>
      <c r="AL560">
        <v>168.427480851708</v>
      </c>
      <c r="AM560">
        <v>60.074698124984764</v>
      </c>
      <c r="AN560">
        <v>3.5667990651642851</v>
      </c>
      <c r="AO560">
        <v>10.499999999999998</v>
      </c>
      <c r="AP560">
        <v>13.172808850377779</v>
      </c>
      <c r="AQ560">
        <v>22.186630104102132</v>
      </c>
      <c r="AR560">
        <v>36.931737980510675</v>
      </c>
      <c r="AS560">
        <v>1.9282347426992703</v>
      </c>
      <c r="AT560">
        <v>12.313963559508588</v>
      </c>
      <c r="AU560">
        <v>20.497753536587929</v>
      </c>
    </row>
    <row r="561" spans="1:48" x14ac:dyDescent="0.35">
      <c r="A561">
        <v>559</v>
      </c>
      <c r="B561">
        <v>46055</v>
      </c>
      <c r="C561" t="s">
        <v>16</v>
      </c>
      <c r="D561" t="s">
        <v>218</v>
      </c>
      <c r="E561" t="s">
        <v>219</v>
      </c>
      <c r="F561" t="s">
        <v>220</v>
      </c>
      <c r="G561" t="s">
        <v>221</v>
      </c>
      <c r="H561" t="s">
        <v>22</v>
      </c>
      <c r="I561" t="s">
        <v>23</v>
      </c>
      <c r="J561" t="s">
        <v>215</v>
      </c>
      <c r="K561" t="s">
        <v>217</v>
      </c>
      <c r="L561">
        <v>28</v>
      </c>
      <c r="M561">
        <v>62</v>
      </c>
      <c r="N561">
        <v>2</v>
      </c>
      <c r="O561">
        <v>2</v>
      </c>
      <c r="P561">
        <v>0</v>
      </c>
      <c r="Q561">
        <v>0.50029999999999997</v>
      </c>
      <c r="R561">
        <v>459.95893662534985</v>
      </c>
      <c r="S561">
        <v>238.65893662534981</v>
      </c>
      <c r="T561">
        <v>0.33611111111111114</v>
      </c>
      <c r="U561">
        <v>41</v>
      </c>
      <c r="V561">
        <v>0.66874999999999996</v>
      </c>
      <c r="W561">
        <v>69.5</v>
      </c>
      <c r="X561">
        <v>11.3</v>
      </c>
      <c r="Y561">
        <v>40.5</v>
      </c>
      <c r="Z561">
        <v>0.34444444444444444</v>
      </c>
      <c r="AA561">
        <v>85</v>
      </c>
      <c r="AB561">
        <v>14.9</v>
      </c>
      <c r="AC561" t="s">
        <v>569</v>
      </c>
      <c r="AD561">
        <v>28.5</v>
      </c>
      <c r="AE561">
        <v>44.5</v>
      </c>
      <c r="AF561">
        <v>27.836244932930278</v>
      </c>
      <c r="AG561">
        <v>42.50873479879084</v>
      </c>
      <c r="AH561">
        <v>70.344979731721111</v>
      </c>
      <c r="AI561">
        <v>3.1454956774211213</v>
      </c>
      <c r="AJ561">
        <v>6.3338014850198352</v>
      </c>
      <c r="AK561">
        <v>9.4792971624409574</v>
      </c>
      <c r="AL561">
        <v>152.93752144013496</v>
      </c>
      <c r="AM561">
        <v>51.887009387480298</v>
      </c>
      <c r="AN561">
        <v>3.3926932317777014</v>
      </c>
      <c r="AO561">
        <v>11.3</v>
      </c>
      <c r="AP561">
        <v>13.475442311011708</v>
      </c>
      <c r="AQ561">
        <v>20.609007473556545</v>
      </c>
      <c r="AR561">
        <v>39.719011977840552</v>
      </c>
      <c r="AS561">
        <v>-0.67629113348038727</v>
      </c>
      <c r="AT561">
        <v>11.438355705046611</v>
      </c>
      <c r="AU561">
        <v>22.044738827839531</v>
      </c>
    </row>
    <row r="562" spans="1:48" x14ac:dyDescent="0.35">
      <c r="A562">
        <v>560</v>
      </c>
      <c r="B562">
        <v>46055</v>
      </c>
      <c r="C562" t="s">
        <v>16</v>
      </c>
      <c r="D562" t="s">
        <v>218</v>
      </c>
      <c r="E562" t="s">
        <v>219</v>
      </c>
      <c r="F562" t="s">
        <v>220</v>
      </c>
      <c r="G562" t="s">
        <v>221</v>
      </c>
      <c r="H562" t="s">
        <v>22</v>
      </c>
      <c r="I562" t="s">
        <v>23</v>
      </c>
      <c r="J562" t="s">
        <v>215</v>
      </c>
      <c r="K562" t="s">
        <v>217</v>
      </c>
      <c r="L562">
        <v>28</v>
      </c>
      <c r="M562">
        <v>62</v>
      </c>
      <c r="N562">
        <v>2</v>
      </c>
      <c r="O562">
        <v>3</v>
      </c>
      <c r="P562">
        <v>0</v>
      </c>
      <c r="Q562">
        <v>0.5</v>
      </c>
      <c r="R562">
        <v>459.68312674930036</v>
      </c>
      <c r="S562">
        <v>277.28312674930032</v>
      </c>
      <c r="T562">
        <v>0.33680555555555558</v>
      </c>
      <c r="U562">
        <v>41</v>
      </c>
      <c r="V562">
        <v>0.6694444444444444</v>
      </c>
      <c r="W562">
        <v>70</v>
      </c>
      <c r="X562">
        <v>10.9</v>
      </c>
      <c r="Y562">
        <v>40.5</v>
      </c>
      <c r="Z562">
        <v>0.34513888888888888</v>
      </c>
      <c r="AA562">
        <v>89.5</v>
      </c>
      <c r="AB562">
        <v>15</v>
      </c>
      <c r="AD562">
        <v>29</v>
      </c>
      <c r="AE562">
        <v>49</v>
      </c>
      <c r="AF562">
        <v>28.336244932930278</v>
      </c>
      <c r="AG562">
        <v>47.00873479879084</v>
      </c>
      <c r="AH562">
        <v>75.344979731721111</v>
      </c>
      <c r="AI562">
        <v>3.0886506976894004</v>
      </c>
      <c r="AJ562">
        <v>7.0513102198186255</v>
      </c>
      <c r="AK562">
        <v>10.139960917508025</v>
      </c>
      <c r="AL562">
        <v>163.90634188496628</v>
      </c>
      <c r="AM562">
        <v>60.320492664183334</v>
      </c>
      <c r="AN562">
        <v>3.6801805208072929</v>
      </c>
      <c r="AO562">
        <v>10.9</v>
      </c>
      <c r="AP562">
        <v>13.458044522160758</v>
      </c>
      <c r="AQ562">
        <v>22.058588465523787</v>
      </c>
      <c r="AR562">
        <v>36.568979282593915</v>
      </c>
      <c r="AS562">
        <v>1.6988272212513917</v>
      </c>
      <c r="AT562">
        <v>12.242898234844342</v>
      </c>
      <c r="AU562">
        <v>20.296416183142085</v>
      </c>
    </row>
    <row r="563" spans="1:48" x14ac:dyDescent="0.35">
      <c r="A563">
        <v>561</v>
      </c>
      <c r="B563">
        <v>46055</v>
      </c>
      <c r="C563" t="s">
        <v>16</v>
      </c>
      <c r="D563" t="s">
        <v>223</v>
      </c>
      <c r="E563" t="s">
        <v>219</v>
      </c>
      <c r="F563" t="s">
        <v>220</v>
      </c>
      <c r="G563" t="s">
        <v>221</v>
      </c>
      <c r="H563" t="s">
        <v>22</v>
      </c>
      <c r="I563" t="s">
        <v>23</v>
      </c>
      <c r="J563" t="s">
        <v>215</v>
      </c>
      <c r="K563" t="s">
        <v>222</v>
      </c>
      <c r="L563">
        <v>28</v>
      </c>
      <c r="M563">
        <v>62</v>
      </c>
      <c r="N563">
        <v>2</v>
      </c>
      <c r="O563">
        <v>1</v>
      </c>
      <c r="P563">
        <v>0</v>
      </c>
      <c r="Q563">
        <v>0.5</v>
      </c>
      <c r="R563">
        <v>457.14427872029592</v>
      </c>
      <c r="S563">
        <v>290.94427872029587</v>
      </c>
      <c r="T563">
        <v>0.33750000000000002</v>
      </c>
      <c r="U563">
        <v>41</v>
      </c>
      <c r="V563">
        <v>0.67013888888888884</v>
      </c>
      <c r="W563">
        <v>81</v>
      </c>
      <c r="X563">
        <v>12</v>
      </c>
      <c r="Y563">
        <v>40</v>
      </c>
      <c r="Z563">
        <v>0.34513888888888888</v>
      </c>
      <c r="AA563">
        <v>91</v>
      </c>
      <c r="AB563">
        <v>16.8</v>
      </c>
      <c r="AD563">
        <v>40</v>
      </c>
      <c r="AE563">
        <v>51</v>
      </c>
      <c r="AF563">
        <v>39.336244932930278</v>
      </c>
      <c r="AG563">
        <v>49.00873479879084</v>
      </c>
      <c r="AH563">
        <v>88.344979731721111</v>
      </c>
      <c r="AI563">
        <v>4.7203493919516335</v>
      </c>
      <c r="AJ563">
        <v>8.2334674461968618</v>
      </c>
      <c r="AK563">
        <v>12.953816838148494</v>
      </c>
      <c r="AL563">
        <v>193.2540422009198</v>
      </c>
      <c r="AM563">
        <v>63.643863056702578</v>
      </c>
      <c r="AN563">
        <v>3.2932746105529929</v>
      </c>
      <c r="AO563">
        <v>12.000000000000002</v>
      </c>
      <c r="AP563">
        <v>14.662765080127471</v>
      </c>
      <c r="AQ563">
        <v>28.336386215771274</v>
      </c>
      <c r="AR563">
        <v>44.523359920068614</v>
      </c>
      <c r="AS563">
        <v>0.64686434083819255</v>
      </c>
      <c r="AT563">
        <v>15.727184598649524</v>
      </c>
      <c r="AU563">
        <v>24.711235055982723</v>
      </c>
    </row>
    <row r="564" spans="1:48" x14ac:dyDescent="0.35">
      <c r="A564">
        <v>562</v>
      </c>
      <c r="B564">
        <v>46055</v>
      </c>
      <c r="C564" t="s">
        <v>16</v>
      </c>
      <c r="D564" t="s">
        <v>223</v>
      </c>
      <c r="E564" t="s">
        <v>219</v>
      </c>
      <c r="F564" t="s">
        <v>220</v>
      </c>
      <c r="G564" t="s">
        <v>221</v>
      </c>
      <c r="H564" t="s">
        <v>22</v>
      </c>
      <c r="I564" t="s">
        <v>23</v>
      </c>
      <c r="J564" t="s">
        <v>215</v>
      </c>
      <c r="K564" t="s">
        <v>222</v>
      </c>
      <c r="L564">
        <v>28</v>
      </c>
      <c r="M564">
        <v>62</v>
      </c>
      <c r="N564">
        <v>2</v>
      </c>
      <c r="O564">
        <v>2</v>
      </c>
      <c r="P564">
        <v>0</v>
      </c>
      <c r="Q564">
        <v>0.50019999999999998</v>
      </c>
      <c r="R564">
        <v>457.32713643178403</v>
      </c>
      <c r="S564">
        <v>277.92713643178399</v>
      </c>
      <c r="T564">
        <v>0.33750000000000002</v>
      </c>
      <c r="U564">
        <v>41</v>
      </c>
      <c r="V564">
        <v>0.67013888888888884</v>
      </c>
      <c r="W564">
        <v>81.5</v>
      </c>
      <c r="X564">
        <v>12</v>
      </c>
      <c r="Y564">
        <v>40.5</v>
      </c>
      <c r="Z564">
        <v>0.34583333333333333</v>
      </c>
      <c r="AA564">
        <v>87</v>
      </c>
      <c r="AB564">
        <v>17.100000000000001</v>
      </c>
      <c r="AD564">
        <v>40.5</v>
      </c>
      <c r="AE564">
        <v>46.5</v>
      </c>
      <c r="AF564">
        <v>39.836244932930278</v>
      </c>
      <c r="AG564">
        <v>44.50873479879084</v>
      </c>
      <c r="AH564">
        <v>84.344979731721111</v>
      </c>
      <c r="AI564">
        <v>4.7803493919516331</v>
      </c>
      <c r="AJ564">
        <v>7.6109936505932341</v>
      </c>
      <c r="AK564">
        <v>12.391343042544868</v>
      </c>
      <c r="AL564">
        <v>184.43029729179912</v>
      </c>
      <c r="AM564">
        <v>60.772063210651019</v>
      </c>
      <c r="AN564">
        <v>3.2951236376580573</v>
      </c>
      <c r="AO564">
        <v>12</v>
      </c>
      <c r="AP564">
        <v>14.691263287937735</v>
      </c>
      <c r="AQ564">
        <v>27.095140557864511</v>
      </c>
      <c r="AR564">
        <v>44.584862067206849</v>
      </c>
      <c r="AS564">
        <v>0.90392931796938603</v>
      </c>
      <c r="AT564">
        <v>15.038271783672899</v>
      </c>
      <c r="AU564">
        <v>24.745369811695426</v>
      </c>
    </row>
    <row r="565" spans="1:48" x14ac:dyDescent="0.35">
      <c r="A565">
        <v>563</v>
      </c>
      <c r="B565">
        <v>46055</v>
      </c>
      <c r="C565" t="s">
        <v>16</v>
      </c>
      <c r="D565" t="s">
        <v>223</v>
      </c>
      <c r="E565" t="s">
        <v>219</v>
      </c>
      <c r="F565" t="s">
        <v>220</v>
      </c>
      <c r="G565" t="s">
        <v>221</v>
      </c>
      <c r="H565" t="s">
        <v>22</v>
      </c>
      <c r="I565" t="s">
        <v>23</v>
      </c>
      <c r="J565" t="s">
        <v>215</v>
      </c>
      <c r="K565" t="s">
        <v>222</v>
      </c>
      <c r="L565">
        <v>28</v>
      </c>
      <c r="M565">
        <v>62</v>
      </c>
      <c r="N565">
        <v>2</v>
      </c>
      <c r="O565">
        <v>3</v>
      </c>
      <c r="P565">
        <v>0</v>
      </c>
      <c r="Q565">
        <v>0.50009999999999999</v>
      </c>
      <c r="R565">
        <v>457.23570757603994</v>
      </c>
      <c r="S565">
        <v>278.53570757603995</v>
      </c>
      <c r="T565">
        <v>0.33750000000000002</v>
      </c>
      <c r="U565">
        <v>41</v>
      </c>
      <c r="V565">
        <v>0.67083333333333328</v>
      </c>
      <c r="W565">
        <v>82</v>
      </c>
      <c r="X565">
        <v>12</v>
      </c>
      <c r="Y565">
        <v>40.5</v>
      </c>
      <c r="Z565">
        <v>0.34583333333333333</v>
      </c>
      <c r="AA565">
        <v>89.5</v>
      </c>
      <c r="AB565">
        <v>17.2</v>
      </c>
      <c r="AD565">
        <v>41</v>
      </c>
      <c r="AE565">
        <v>49</v>
      </c>
      <c r="AF565">
        <v>40.336244932930278</v>
      </c>
      <c r="AG565">
        <v>47.00873479879084</v>
      </c>
      <c r="AH565">
        <v>87.344979731721111</v>
      </c>
      <c r="AI565">
        <v>4.8403493919516327</v>
      </c>
      <c r="AJ565">
        <v>8.085502385392024</v>
      </c>
      <c r="AK565">
        <v>12.925851777343656</v>
      </c>
      <c r="AL565">
        <v>191.0283433347019</v>
      </c>
      <c r="AM565">
        <v>60.917313097144422</v>
      </c>
      <c r="AN565">
        <v>3.1889149030838233</v>
      </c>
      <c r="AO565">
        <v>11.999999999999998</v>
      </c>
      <c r="AP565">
        <v>14.798620157729992</v>
      </c>
      <c r="AQ565">
        <v>28.26955892370685</v>
      </c>
      <c r="AR565">
        <v>46.406444221572244</v>
      </c>
      <c r="AS565">
        <v>0.92144387061029265</v>
      </c>
      <c r="AT565">
        <v>15.690094295372246</v>
      </c>
      <c r="AU565">
        <v>25.75637942263041</v>
      </c>
    </row>
    <row r="566" spans="1:48" x14ac:dyDescent="0.35">
      <c r="A566">
        <v>564</v>
      </c>
      <c r="B566">
        <v>46055</v>
      </c>
      <c r="C566" t="s">
        <v>16</v>
      </c>
      <c r="D566" t="s">
        <v>225</v>
      </c>
      <c r="E566" t="s">
        <v>226</v>
      </c>
      <c r="F566" t="s">
        <v>227</v>
      </c>
      <c r="G566" t="s">
        <v>228</v>
      </c>
      <c r="H566" t="s">
        <v>22</v>
      </c>
      <c r="I566" t="s">
        <v>23</v>
      </c>
      <c r="J566" t="s">
        <v>215</v>
      </c>
      <c r="K566" t="s">
        <v>224</v>
      </c>
      <c r="L566">
        <v>28</v>
      </c>
      <c r="M566">
        <v>62</v>
      </c>
      <c r="N566">
        <v>2</v>
      </c>
      <c r="O566">
        <v>1</v>
      </c>
      <c r="P566">
        <v>0</v>
      </c>
      <c r="Q566">
        <v>0.50009999999999999</v>
      </c>
      <c r="R566">
        <v>455.50672413793137</v>
      </c>
      <c r="S566">
        <v>173.90672413793129</v>
      </c>
      <c r="T566">
        <v>0.33819444444444446</v>
      </c>
      <c r="U566">
        <v>42</v>
      </c>
      <c r="V566">
        <v>0.67083333333333328</v>
      </c>
      <c r="W566">
        <v>75</v>
      </c>
      <c r="X566">
        <v>11.4</v>
      </c>
      <c r="Y566">
        <v>41</v>
      </c>
      <c r="Z566">
        <v>0.34652777777777777</v>
      </c>
      <c r="AA566">
        <v>77</v>
      </c>
      <c r="AB566">
        <v>14.6</v>
      </c>
      <c r="AD566">
        <v>33</v>
      </c>
      <c r="AE566">
        <v>36</v>
      </c>
      <c r="AF566">
        <v>32.336244932930278</v>
      </c>
      <c r="AG566">
        <v>34.00873479879084</v>
      </c>
      <c r="AH566">
        <v>66.344979731721111</v>
      </c>
      <c r="AI566">
        <v>3.6863319223540518</v>
      </c>
      <c r="AJ566">
        <v>4.9652752806234624</v>
      </c>
      <c r="AK566">
        <v>8.6516072029775142</v>
      </c>
      <c r="AL566">
        <v>145.65093381943419</v>
      </c>
      <c r="AM566">
        <v>38.178739176037027</v>
      </c>
      <c r="AN566">
        <v>2.6212491863160876</v>
      </c>
      <c r="AO566">
        <v>11.4</v>
      </c>
      <c r="AP566">
        <v>13.040334382438548</v>
      </c>
      <c r="AQ566">
        <v>18.993368801198493</v>
      </c>
      <c r="AR566">
        <v>49.748549090693196</v>
      </c>
      <c r="AS566">
        <v>-0.24337052185974201</v>
      </c>
      <c r="AT566">
        <v>10.541648289661724</v>
      </c>
      <c r="AU566">
        <v>27.611305446876084</v>
      </c>
    </row>
    <row r="567" spans="1:48" x14ac:dyDescent="0.35">
      <c r="A567">
        <v>565</v>
      </c>
      <c r="B567">
        <v>46055</v>
      </c>
      <c r="C567" t="s">
        <v>16</v>
      </c>
      <c r="D567" t="s">
        <v>225</v>
      </c>
      <c r="E567" t="s">
        <v>226</v>
      </c>
      <c r="F567" t="s">
        <v>227</v>
      </c>
      <c r="G567" t="s">
        <v>228</v>
      </c>
      <c r="H567" t="s">
        <v>22</v>
      </c>
      <c r="I567" t="s">
        <v>23</v>
      </c>
      <c r="J567" t="s">
        <v>215</v>
      </c>
      <c r="K567" t="s">
        <v>224</v>
      </c>
      <c r="L567">
        <v>28</v>
      </c>
      <c r="M567">
        <v>62</v>
      </c>
      <c r="N567">
        <v>2</v>
      </c>
      <c r="O567">
        <v>2</v>
      </c>
      <c r="P567">
        <v>0</v>
      </c>
      <c r="Q567">
        <v>0.50060000000000004</v>
      </c>
      <c r="R567">
        <v>455.96213977894109</v>
      </c>
      <c r="S567">
        <v>182.06213977894117</v>
      </c>
      <c r="T567">
        <v>0.33819444444444446</v>
      </c>
      <c r="U567">
        <v>41</v>
      </c>
      <c r="V567">
        <v>0.67152777777777772</v>
      </c>
      <c r="W567">
        <v>76.5</v>
      </c>
      <c r="X567">
        <v>11.4</v>
      </c>
      <c r="Y567">
        <v>40.5</v>
      </c>
      <c r="Z567">
        <v>0.34652777777777777</v>
      </c>
      <c r="AA567">
        <v>85</v>
      </c>
      <c r="AB567">
        <v>14.3</v>
      </c>
      <c r="AD567">
        <v>35.5</v>
      </c>
      <c r="AE567">
        <v>44.5</v>
      </c>
      <c r="AF567">
        <v>34.836244932930278</v>
      </c>
      <c r="AG567">
        <v>42.50873479879084</v>
      </c>
      <c r="AH567">
        <v>77.344979731721111</v>
      </c>
      <c r="AI567">
        <v>3.971331922354052</v>
      </c>
      <c r="AJ567">
        <v>6.0787490762270906</v>
      </c>
      <c r="AK567">
        <v>10.050080998581143</v>
      </c>
      <c r="AL567">
        <v>169.6302674805838</v>
      </c>
      <c r="AM567">
        <v>39.929223041897352</v>
      </c>
      <c r="AN567">
        <v>2.3538973106004053</v>
      </c>
      <c r="AO567">
        <v>11.4</v>
      </c>
      <c r="AP567">
        <v>12.993837523056914</v>
      </c>
      <c r="AQ567">
        <v>22.041481346353905</v>
      </c>
      <c r="AR567">
        <v>55.201378006343845</v>
      </c>
      <c r="AS567">
        <v>-0.31692716731899512</v>
      </c>
      <c r="AT567">
        <v>12.23340348773414</v>
      </c>
      <c r="AU567">
        <v>30.637719834662811</v>
      </c>
    </row>
    <row r="568" spans="1:48" x14ac:dyDescent="0.35">
      <c r="A568">
        <v>566</v>
      </c>
      <c r="B568">
        <v>46055</v>
      </c>
      <c r="C568" t="s">
        <v>16</v>
      </c>
      <c r="D568" t="s">
        <v>225</v>
      </c>
      <c r="E568" t="s">
        <v>226</v>
      </c>
      <c r="F568" t="s">
        <v>227</v>
      </c>
      <c r="G568" t="s">
        <v>228</v>
      </c>
      <c r="H568" t="s">
        <v>22</v>
      </c>
      <c r="I568" t="s">
        <v>23</v>
      </c>
      <c r="J568" t="s">
        <v>215</v>
      </c>
      <c r="K568" t="s">
        <v>224</v>
      </c>
      <c r="L568">
        <v>28</v>
      </c>
      <c r="M568">
        <v>62</v>
      </c>
      <c r="N568">
        <v>2</v>
      </c>
      <c r="O568">
        <v>3</v>
      </c>
      <c r="P568">
        <v>0</v>
      </c>
      <c r="Q568">
        <v>0.50029999999999997</v>
      </c>
      <c r="R568">
        <v>455.68889039433526</v>
      </c>
      <c r="S568">
        <v>179.88889039433531</v>
      </c>
      <c r="T568">
        <v>0.33888888888888891</v>
      </c>
      <c r="U568">
        <v>41.5</v>
      </c>
      <c r="V568">
        <v>0.67222222222222228</v>
      </c>
      <c r="W568">
        <v>75</v>
      </c>
      <c r="X568">
        <v>11.2</v>
      </c>
      <c r="Y568">
        <v>40.5</v>
      </c>
      <c r="Z568">
        <v>0.34722222222222221</v>
      </c>
      <c r="AA568">
        <v>76.5</v>
      </c>
      <c r="AB568">
        <v>14.4</v>
      </c>
      <c r="AD568">
        <v>33.5</v>
      </c>
      <c r="AE568">
        <v>36</v>
      </c>
      <c r="AF568">
        <v>32.836244932930278</v>
      </c>
      <c r="AG568">
        <v>34.00873479879084</v>
      </c>
      <c r="AH568">
        <v>66.844979731721111</v>
      </c>
      <c r="AI568">
        <v>3.6776594324881908</v>
      </c>
      <c r="AJ568">
        <v>4.8972578110258818</v>
      </c>
      <c r="AK568">
        <v>8.5749172435140721</v>
      </c>
      <c r="AL568">
        <v>146.68994820978867</v>
      </c>
      <c r="AM568">
        <v>39.476251053359348</v>
      </c>
      <c r="AN568">
        <v>2.691135386925243</v>
      </c>
      <c r="AO568">
        <v>11.2</v>
      </c>
      <c r="AP568">
        <v>12.828064692261201</v>
      </c>
      <c r="AQ568">
        <v>18.817481453396145</v>
      </c>
      <c r="AR568">
        <v>47.667853332782002</v>
      </c>
      <c r="AS568">
        <v>-0.26219623729526687</v>
      </c>
      <c r="AT568">
        <v>10.444027768597723</v>
      </c>
      <c r="AU568">
        <v>26.456483303038869</v>
      </c>
    </row>
    <row r="569" spans="1:48" x14ac:dyDescent="0.35">
      <c r="A569">
        <v>567</v>
      </c>
      <c r="B569">
        <v>46055</v>
      </c>
      <c r="C569" t="s">
        <v>16</v>
      </c>
      <c r="D569" t="s">
        <v>230</v>
      </c>
      <c r="E569" t="s">
        <v>226</v>
      </c>
      <c r="F569" t="s">
        <v>231</v>
      </c>
      <c r="G569" t="s">
        <v>232</v>
      </c>
      <c r="H569" t="s">
        <v>22</v>
      </c>
      <c r="I569" t="s">
        <v>23</v>
      </c>
      <c r="J569" t="s">
        <v>215</v>
      </c>
      <c r="K569" t="s">
        <v>229</v>
      </c>
      <c r="L569">
        <v>28</v>
      </c>
      <c r="M569">
        <v>62</v>
      </c>
      <c r="N569">
        <v>2</v>
      </c>
      <c r="O569">
        <v>1</v>
      </c>
      <c r="P569">
        <v>0</v>
      </c>
      <c r="Q569">
        <v>0.50019999999999998</v>
      </c>
      <c r="R569">
        <v>465.17505357813138</v>
      </c>
      <c r="S569">
        <v>206.5750535781313</v>
      </c>
      <c r="T569">
        <v>0.33888888888888891</v>
      </c>
      <c r="U569">
        <v>41</v>
      </c>
      <c r="V569">
        <v>0.67222222222222228</v>
      </c>
      <c r="W569">
        <v>74.5</v>
      </c>
      <c r="X569">
        <v>11.8</v>
      </c>
      <c r="Y569">
        <v>40.5</v>
      </c>
      <c r="Z569">
        <v>0.34791666666666665</v>
      </c>
      <c r="AA569">
        <v>84</v>
      </c>
      <c r="AB569">
        <v>14.6</v>
      </c>
      <c r="AD569">
        <v>33.5</v>
      </c>
      <c r="AE569">
        <v>43.5</v>
      </c>
      <c r="AF569">
        <v>32.836244932930278</v>
      </c>
      <c r="AG569">
        <v>41.50873479879084</v>
      </c>
      <c r="AH569">
        <v>74.344979731721111</v>
      </c>
      <c r="AI569">
        <v>3.8746769020857732</v>
      </c>
      <c r="AJ569">
        <v>6.0602752806234621</v>
      </c>
      <c r="AK569">
        <v>9.9349521827092353</v>
      </c>
      <c r="AL569">
        <v>159.82151054717733</v>
      </c>
      <c r="AM569">
        <v>44.408024890662951</v>
      </c>
      <c r="AN569">
        <v>2.7786012495204298</v>
      </c>
      <c r="AO569">
        <v>11.800000000000002</v>
      </c>
      <c r="AP569">
        <v>13.363312786633587</v>
      </c>
      <c r="AQ569">
        <v>21.357448354741898</v>
      </c>
      <c r="AR569">
        <v>48.093668672106212</v>
      </c>
      <c r="AS569">
        <v>-1.2302256546564168</v>
      </c>
      <c r="AT569">
        <v>11.85375334290865</v>
      </c>
      <c r="AU569">
        <v>26.692818183411195</v>
      </c>
    </row>
    <row r="570" spans="1:48" x14ac:dyDescent="0.35">
      <c r="A570">
        <v>568</v>
      </c>
      <c r="B570">
        <v>46055</v>
      </c>
      <c r="C570" t="s">
        <v>16</v>
      </c>
      <c r="D570" t="s">
        <v>230</v>
      </c>
      <c r="E570" t="s">
        <v>226</v>
      </c>
      <c r="F570" t="s">
        <v>231</v>
      </c>
      <c r="G570" t="s">
        <v>232</v>
      </c>
      <c r="H570" t="s">
        <v>22</v>
      </c>
      <c r="I570" t="s">
        <v>23</v>
      </c>
      <c r="J570" t="s">
        <v>215</v>
      </c>
      <c r="K570" t="s">
        <v>229</v>
      </c>
      <c r="L570">
        <v>28</v>
      </c>
      <c r="M570">
        <v>62</v>
      </c>
      <c r="N570">
        <v>2</v>
      </c>
      <c r="O570">
        <v>2</v>
      </c>
      <c r="P570">
        <v>0</v>
      </c>
      <c r="Q570">
        <v>0.5</v>
      </c>
      <c r="R570">
        <v>464.98905795494943</v>
      </c>
      <c r="S570">
        <v>210.78905795494944</v>
      </c>
      <c r="T570">
        <v>0.33958333333333335</v>
      </c>
      <c r="U570">
        <v>41.5</v>
      </c>
      <c r="V570">
        <v>0.67291666666666672</v>
      </c>
      <c r="W570">
        <v>72.5</v>
      </c>
      <c r="X570">
        <v>11.7</v>
      </c>
      <c r="Y570">
        <v>40.5</v>
      </c>
      <c r="Z570">
        <v>0.34791666666666665</v>
      </c>
      <c r="AA570">
        <v>85</v>
      </c>
      <c r="AB570">
        <v>14.5</v>
      </c>
      <c r="AD570">
        <v>31</v>
      </c>
      <c r="AE570">
        <v>44.5</v>
      </c>
      <c r="AF570">
        <v>30.336244932930278</v>
      </c>
      <c r="AG570">
        <v>42.50873479879084</v>
      </c>
      <c r="AH570">
        <v>72.844979731721111</v>
      </c>
      <c r="AI570">
        <v>3.5493406571528423</v>
      </c>
      <c r="AJ570">
        <v>6.1637665458246715</v>
      </c>
      <c r="AK570">
        <v>9.7131072029775147</v>
      </c>
      <c r="AL570">
        <v>156.65955679064325</v>
      </c>
      <c r="AM570">
        <v>45.3320469264401</v>
      </c>
      <c r="AN570">
        <v>2.8936662311014296</v>
      </c>
      <c r="AO570">
        <v>11.7</v>
      </c>
      <c r="AP570">
        <v>13.333941801823084</v>
      </c>
      <c r="AQ570">
        <v>20.888894129458354</v>
      </c>
      <c r="AR570">
        <v>46.079750520320808</v>
      </c>
      <c r="AS570">
        <v>-1.5468369706722687</v>
      </c>
      <c r="AT570">
        <v>11.593697641401802</v>
      </c>
      <c r="AU570">
        <v>25.575058766295705</v>
      </c>
    </row>
    <row r="571" spans="1:48" x14ac:dyDescent="0.35">
      <c r="A571">
        <v>569</v>
      </c>
      <c r="B571">
        <v>46055</v>
      </c>
      <c r="C571" t="s">
        <v>16</v>
      </c>
      <c r="D571" t="s">
        <v>230</v>
      </c>
      <c r="E571" t="s">
        <v>226</v>
      </c>
      <c r="F571" t="s">
        <v>231</v>
      </c>
      <c r="G571" t="s">
        <v>232</v>
      </c>
      <c r="H571" t="s">
        <v>22</v>
      </c>
      <c r="I571" t="s">
        <v>23</v>
      </c>
      <c r="J571" t="s">
        <v>215</v>
      </c>
      <c r="K571" t="s">
        <v>229</v>
      </c>
      <c r="L571">
        <v>28</v>
      </c>
      <c r="M571">
        <v>62</v>
      </c>
      <c r="N571">
        <v>2</v>
      </c>
      <c r="O571">
        <v>3</v>
      </c>
      <c r="P571">
        <v>0</v>
      </c>
      <c r="Q571">
        <v>0.50019999999999998</v>
      </c>
      <c r="R571">
        <v>465.17505357813138</v>
      </c>
      <c r="S571">
        <v>206.77505357813129</v>
      </c>
      <c r="T571">
        <v>0.33958333333333335</v>
      </c>
      <c r="U571">
        <v>41.5</v>
      </c>
      <c r="V571">
        <v>0.67291666666666672</v>
      </c>
      <c r="W571">
        <v>73</v>
      </c>
      <c r="X571">
        <v>11.5</v>
      </c>
      <c r="Y571">
        <v>40.5</v>
      </c>
      <c r="Z571">
        <v>0.34861111111111109</v>
      </c>
      <c r="AA571">
        <v>87</v>
      </c>
      <c r="AB571">
        <v>14.4</v>
      </c>
      <c r="AD571">
        <v>31.5</v>
      </c>
      <c r="AE571">
        <v>46.5</v>
      </c>
      <c r="AF571">
        <v>30.836244932930278</v>
      </c>
      <c r="AG571">
        <v>44.50873479879084</v>
      </c>
      <c r="AH571">
        <v>75.344979731721111</v>
      </c>
      <c r="AI571">
        <v>3.5461681672869823</v>
      </c>
      <c r="AJ571">
        <v>6.4092578110258813</v>
      </c>
      <c r="AK571">
        <v>9.9554259783128636</v>
      </c>
      <c r="AL571">
        <v>161.97123889633963</v>
      </c>
      <c r="AM571">
        <v>44.451019457646197</v>
      </c>
      <c r="AN571">
        <v>2.7443773203521959</v>
      </c>
      <c r="AO571">
        <v>11.5</v>
      </c>
      <c r="AP571">
        <v>13.213124502469691</v>
      </c>
      <c r="AQ571">
        <v>21.401461453565968</v>
      </c>
      <c r="AR571">
        <v>48.146165632843818</v>
      </c>
      <c r="AS571">
        <v>-1.2456536445384427</v>
      </c>
      <c r="AT571">
        <v>11.87818137422831</v>
      </c>
      <c r="AU571">
        <v>26.721954904872486</v>
      </c>
    </row>
    <row r="572" spans="1:48" x14ac:dyDescent="0.35">
      <c r="A572">
        <v>570</v>
      </c>
      <c r="B572">
        <v>46055</v>
      </c>
      <c r="C572" t="s">
        <v>16</v>
      </c>
      <c r="D572" t="s">
        <v>234</v>
      </c>
      <c r="E572" t="s">
        <v>235</v>
      </c>
      <c r="F572" t="s">
        <v>236</v>
      </c>
      <c r="G572" t="s">
        <v>237</v>
      </c>
      <c r="H572" t="s">
        <v>22</v>
      </c>
      <c r="I572" t="s">
        <v>23</v>
      </c>
      <c r="J572" t="s">
        <v>215</v>
      </c>
      <c r="K572" t="s">
        <v>233</v>
      </c>
      <c r="L572">
        <v>28</v>
      </c>
      <c r="M572">
        <v>62</v>
      </c>
      <c r="N572">
        <v>2</v>
      </c>
      <c r="O572">
        <v>1</v>
      </c>
      <c r="P572">
        <v>0</v>
      </c>
      <c r="Q572">
        <v>0.50009999999999999</v>
      </c>
      <c r="R572">
        <v>444.32786552512283</v>
      </c>
      <c r="S572">
        <v>174.32786552512283</v>
      </c>
      <c r="T572">
        <v>0.34027777777777779</v>
      </c>
      <c r="U572">
        <v>41.5</v>
      </c>
      <c r="V572">
        <v>0.67361111111111116</v>
      </c>
      <c r="W572">
        <v>88</v>
      </c>
      <c r="X572">
        <v>12.6</v>
      </c>
      <c r="Y572">
        <v>40.5</v>
      </c>
      <c r="Z572">
        <v>0.34861111111111109</v>
      </c>
      <c r="AA572">
        <v>95.5</v>
      </c>
      <c r="AB572">
        <v>16.2</v>
      </c>
      <c r="AD572">
        <v>46.5</v>
      </c>
      <c r="AE572">
        <v>55</v>
      </c>
      <c r="AF572">
        <v>45.836244932930278</v>
      </c>
      <c r="AG572">
        <v>53.00873479879084</v>
      </c>
      <c r="AH572">
        <v>98.844979731721111</v>
      </c>
      <c r="AI572">
        <v>5.7753668615492151</v>
      </c>
      <c r="AJ572">
        <v>8.5874150374041172</v>
      </c>
      <c r="AK572">
        <v>14.362781898953333</v>
      </c>
      <c r="AL572">
        <v>222.45955610932148</v>
      </c>
      <c r="AM572">
        <v>39.234060938108357</v>
      </c>
      <c r="AN572">
        <v>1.7636491605165248</v>
      </c>
      <c r="AO572">
        <v>12.600000000000001</v>
      </c>
      <c r="AP572">
        <v>14.530613429165449</v>
      </c>
      <c r="AQ572">
        <v>32.324738134482907</v>
      </c>
      <c r="AR572">
        <v>82.389478329748002</v>
      </c>
      <c r="AS572">
        <v>-0.75761114526550488</v>
      </c>
      <c r="AT572">
        <v>17.940788916162834</v>
      </c>
      <c r="AU572">
        <v>45.727585896510668</v>
      </c>
    </row>
    <row r="573" spans="1:48" x14ac:dyDescent="0.35">
      <c r="A573">
        <v>571</v>
      </c>
      <c r="B573">
        <v>46055</v>
      </c>
      <c r="C573" t="s">
        <v>16</v>
      </c>
      <c r="D573" t="s">
        <v>234</v>
      </c>
      <c r="E573" t="s">
        <v>235</v>
      </c>
      <c r="F573" t="s">
        <v>236</v>
      </c>
      <c r="G573" t="s">
        <v>237</v>
      </c>
      <c r="H573" t="s">
        <v>22</v>
      </c>
      <c r="I573" t="s">
        <v>23</v>
      </c>
      <c r="J573" t="s">
        <v>215</v>
      </c>
      <c r="K573" t="s">
        <v>233</v>
      </c>
      <c r="L573">
        <v>28</v>
      </c>
      <c r="M573">
        <v>62</v>
      </c>
      <c r="N573">
        <v>2</v>
      </c>
      <c r="O573">
        <v>2</v>
      </c>
      <c r="P573">
        <v>0</v>
      </c>
      <c r="Q573">
        <v>0.50039999999999996</v>
      </c>
      <c r="R573">
        <v>444.59440893575572</v>
      </c>
      <c r="S573">
        <v>194.19440893575577</v>
      </c>
      <c r="T573">
        <v>0.34027777777777779</v>
      </c>
      <c r="U573">
        <v>40</v>
      </c>
      <c r="V573">
        <v>0.6743055555555556</v>
      </c>
      <c r="W573">
        <v>83</v>
      </c>
      <c r="X573">
        <v>13</v>
      </c>
      <c r="Y573">
        <v>39.5</v>
      </c>
      <c r="Z573">
        <v>0.34930555555555554</v>
      </c>
      <c r="AA573">
        <v>92.5</v>
      </c>
      <c r="AB573">
        <v>16.3</v>
      </c>
      <c r="AD573">
        <v>43</v>
      </c>
      <c r="AE573">
        <v>53</v>
      </c>
      <c r="AF573">
        <v>42.336244932930278</v>
      </c>
      <c r="AG573">
        <v>51.00873479879084</v>
      </c>
      <c r="AH573">
        <v>93.344979731721111</v>
      </c>
      <c r="AI573">
        <v>5.5037118412809365</v>
      </c>
      <c r="AJ573">
        <v>8.3144237722029075</v>
      </c>
      <c r="AK573">
        <v>13.818135613483843</v>
      </c>
      <c r="AL573">
        <v>209.95536123624427</v>
      </c>
      <c r="AM573">
        <v>43.679003836464581</v>
      </c>
      <c r="AN573">
        <v>2.0803947838853443</v>
      </c>
      <c r="AO573">
        <v>13</v>
      </c>
      <c r="AP573">
        <v>14.803298102584591</v>
      </c>
      <c r="AQ573">
        <v>31.08031800615958</v>
      </c>
      <c r="AR573">
        <v>71.156196974008751</v>
      </c>
      <c r="AS573">
        <v>-1.3472725521391262</v>
      </c>
      <c r="AT573">
        <v>17.250114215183377</v>
      </c>
      <c r="AU573">
        <v>39.492920396647072</v>
      </c>
    </row>
    <row r="574" spans="1:48" x14ac:dyDescent="0.35">
      <c r="A574">
        <v>572</v>
      </c>
      <c r="B574">
        <v>46055</v>
      </c>
      <c r="C574" t="s">
        <v>16</v>
      </c>
      <c r="D574" t="s">
        <v>234</v>
      </c>
      <c r="E574" t="s">
        <v>235</v>
      </c>
      <c r="F574" t="s">
        <v>236</v>
      </c>
      <c r="G574" t="s">
        <v>237</v>
      </c>
      <c r="H574" t="s">
        <v>22</v>
      </c>
      <c r="I574" t="s">
        <v>23</v>
      </c>
      <c r="J574" t="s">
        <v>215</v>
      </c>
      <c r="K574" t="s">
        <v>233</v>
      </c>
      <c r="L574">
        <v>28</v>
      </c>
      <c r="M574">
        <v>62</v>
      </c>
      <c r="N574">
        <v>2</v>
      </c>
      <c r="O574">
        <v>3</v>
      </c>
      <c r="P574">
        <v>0</v>
      </c>
      <c r="Q574">
        <v>0.50029999999999997</v>
      </c>
      <c r="R574">
        <v>444.50556113221148</v>
      </c>
      <c r="S574">
        <v>138.10556113221151</v>
      </c>
      <c r="T574">
        <v>0.34027777777777779</v>
      </c>
      <c r="U574">
        <v>41</v>
      </c>
      <c r="V574">
        <v>0.6743055555555556</v>
      </c>
      <c r="W574">
        <v>84</v>
      </c>
      <c r="X574">
        <v>13.3</v>
      </c>
      <c r="Y574">
        <v>40</v>
      </c>
      <c r="Z574">
        <v>0.35</v>
      </c>
      <c r="AA574">
        <v>91.5</v>
      </c>
      <c r="AB574">
        <v>16.399999999999999</v>
      </c>
      <c r="AD574">
        <v>43</v>
      </c>
      <c r="AE574">
        <v>51.5</v>
      </c>
      <c r="AF574">
        <v>42.336244932930278</v>
      </c>
      <c r="AG574">
        <v>49.50873479879084</v>
      </c>
      <c r="AH574">
        <v>91.844979731721111</v>
      </c>
      <c r="AI574">
        <v>5.6307205760797272</v>
      </c>
      <c r="AJ574">
        <v>8.1194325070016973</v>
      </c>
      <c r="AK574">
        <v>13.750153083081425</v>
      </c>
      <c r="AL574">
        <v>206.62279116999215</v>
      </c>
      <c r="AM574">
        <v>31.069478811567464</v>
      </c>
      <c r="AN574">
        <v>1.5036811106673158</v>
      </c>
      <c r="AO574">
        <v>13.3</v>
      </c>
      <c r="AP574">
        <v>14.971044822749787</v>
      </c>
      <c r="AQ574">
        <v>30.933590680076215</v>
      </c>
      <c r="AR574">
        <v>99.562631441887419</v>
      </c>
      <c r="AS574">
        <v>-0.3935212861494814</v>
      </c>
      <c r="AT574">
        <v>17.168678010672057</v>
      </c>
      <c r="AU574">
        <v>55.258982987123673</v>
      </c>
    </row>
    <row r="575" spans="1:48" x14ac:dyDescent="0.35">
      <c r="A575">
        <v>573</v>
      </c>
      <c r="B575">
        <v>46055</v>
      </c>
      <c r="C575" t="s">
        <v>16</v>
      </c>
      <c r="D575" t="s">
        <v>239</v>
      </c>
      <c r="E575" t="s">
        <v>240</v>
      </c>
      <c r="F575" t="s">
        <v>241</v>
      </c>
      <c r="G575" t="s">
        <v>242</v>
      </c>
      <c r="H575" t="s">
        <v>22</v>
      </c>
      <c r="I575" t="s">
        <v>23</v>
      </c>
      <c r="J575" t="s">
        <v>215</v>
      </c>
      <c r="K575" t="s">
        <v>238</v>
      </c>
      <c r="L575">
        <v>28</v>
      </c>
      <c r="M575">
        <v>62</v>
      </c>
      <c r="N575">
        <v>2</v>
      </c>
      <c r="O575">
        <v>1</v>
      </c>
      <c r="P575">
        <v>0</v>
      </c>
      <c r="Q575">
        <v>0.50019999999999998</v>
      </c>
      <c r="R575">
        <v>460.04800729509282</v>
      </c>
      <c r="S575">
        <v>174.94800729509291</v>
      </c>
      <c r="T575">
        <v>0.34097222222222223</v>
      </c>
      <c r="U575">
        <v>40.5</v>
      </c>
      <c r="V575">
        <v>0.67500000000000004</v>
      </c>
      <c r="W575">
        <v>66</v>
      </c>
      <c r="X575">
        <v>10.5</v>
      </c>
      <c r="Y575">
        <v>35.5</v>
      </c>
      <c r="Z575">
        <v>0.35</v>
      </c>
      <c r="AA575">
        <v>85</v>
      </c>
      <c r="AB575">
        <v>14.2</v>
      </c>
      <c r="AC575" t="s">
        <v>572</v>
      </c>
      <c r="AD575">
        <v>25.5</v>
      </c>
      <c r="AE575">
        <v>49.5</v>
      </c>
      <c r="AF575">
        <v>24.836244932930278</v>
      </c>
      <c r="AG575">
        <v>47.50873479879084</v>
      </c>
      <c r="AH575">
        <v>72.344979731721111</v>
      </c>
      <c r="AI575">
        <v>2.607805717957679</v>
      </c>
      <c r="AJ575">
        <v>6.7462403414282983</v>
      </c>
      <c r="AK575">
        <v>9.3540460593859773</v>
      </c>
      <c r="AL575">
        <v>157.25528332810757</v>
      </c>
      <c r="AM575">
        <v>38.028206735145012</v>
      </c>
      <c r="AN575">
        <v>2.4182466833753695</v>
      </c>
      <c r="AO575">
        <v>10.5</v>
      </c>
      <c r="AP575">
        <v>12.929779086363483</v>
      </c>
      <c r="AQ575">
        <v>20.33276073595929</v>
      </c>
      <c r="AR575">
        <v>53.467577047665792</v>
      </c>
      <c r="AS575">
        <v>-1.116558024994017</v>
      </c>
      <c r="AT575">
        <v>11.285033986324814</v>
      </c>
      <c r="AU575">
        <v>29.67543030604012</v>
      </c>
    </row>
    <row r="576" spans="1:48" x14ac:dyDescent="0.35">
      <c r="A576">
        <v>574</v>
      </c>
      <c r="B576">
        <v>46055</v>
      </c>
      <c r="C576" t="s">
        <v>16</v>
      </c>
      <c r="D576" t="s">
        <v>239</v>
      </c>
      <c r="E576" t="s">
        <v>240</v>
      </c>
      <c r="F576" t="s">
        <v>241</v>
      </c>
      <c r="G576" t="s">
        <v>242</v>
      </c>
      <c r="H576" t="s">
        <v>22</v>
      </c>
      <c r="I576" t="s">
        <v>23</v>
      </c>
      <c r="J576" t="s">
        <v>215</v>
      </c>
      <c r="K576" t="s">
        <v>238</v>
      </c>
      <c r="L576">
        <v>28</v>
      </c>
      <c r="M576">
        <v>62</v>
      </c>
      <c r="N576">
        <v>2</v>
      </c>
      <c r="O576">
        <v>2</v>
      </c>
      <c r="P576">
        <v>0</v>
      </c>
      <c r="Q576">
        <v>0.50009999999999999</v>
      </c>
      <c r="R576">
        <v>459.95603448275875</v>
      </c>
      <c r="S576">
        <v>49.056034482758719</v>
      </c>
      <c r="T576">
        <v>0.34097222222222223</v>
      </c>
      <c r="U576">
        <v>41</v>
      </c>
      <c r="V576">
        <v>0.67569444444444449</v>
      </c>
      <c r="W576">
        <v>71</v>
      </c>
      <c r="X576">
        <v>10.5</v>
      </c>
      <c r="Y576">
        <v>40</v>
      </c>
      <c r="Z576">
        <v>0.35069444444444442</v>
      </c>
      <c r="AA576">
        <v>92</v>
      </c>
      <c r="AB576">
        <v>14.1</v>
      </c>
      <c r="AD576">
        <v>30</v>
      </c>
      <c r="AE576">
        <v>52</v>
      </c>
      <c r="AV576" t="s">
        <v>630</v>
      </c>
    </row>
    <row r="577" spans="1:48" x14ac:dyDescent="0.35">
      <c r="A577">
        <v>575</v>
      </c>
      <c r="B577">
        <v>46055</v>
      </c>
      <c r="C577" t="s">
        <v>16</v>
      </c>
      <c r="D577" t="s">
        <v>239</v>
      </c>
      <c r="E577" t="s">
        <v>240</v>
      </c>
      <c r="F577" t="s">
        <v>241</v>
      </c>
      <c r="G577" t="s">
        <v>242</v>
      </c>
      <c r="H577" t="s">
        <v>22</v>
      </c>
      <c r="I577" t="s">
        <v>23</v>
      </c>
      <c r="J577" t="s">
        <v>215</v>
      </c>
      <c r="K577" t="s">
        <v>238</v>
      </c>
      <c r="L577">
        <v>28</v>
      </c>
      <c r="M577">
        <v>62</v>
      </c>
      <c r="N577">
        <v>2</v>
      </c>
      <c r="O577">
        <v>3</v>
      </c>
      <c r="P577">
        <v>0</v>
      </c>
      <c r="Q577">
        <v>0.50009999999999999</v>
      </c>
      <c r="R577">
        <v>459.95603448275875</v>
      </c>
      <c r="S577">
        <v>179.95603448275875</v>
      </c>
      <c r="T577">
        <v>0.34236111111111112</v>
      </c>
      <c r="U577">
        <v>40.5</v>
      </c>
      <c r="V577">
        <v>0.67638888888888893</v>
      </c>
      <c r="W577">
        <v>71.5</v>
      </c>
      <c r="X577">
        <v>10.6</v>
      </c>
      <c r="Y577">
        <v>40</v>
      </c>
      <c r="Z577">
        <v>0.35138888888888886</v>
      </c>
      <c r="AA577">
        <v>92</v>
      </c>
      <c r="AB577">
        <v>14.3</v>
      </c>
      <c r="AC577" t="s">
        <v>573</v>
      </c>
      <c r="AD577">
        <v>31</v>
      </c>
      <c r="AE577">
        <v>52</v>
      </c>
      <c r="AF577">
        <v>30.336244932930278</v>
      </c>
      <c r="AG577">
        <v>50.00873479879084</v>
      </c>
      <c r="AH577">
        <v>80.344979731721111</v>
      </c>
      <c r="AI577">
        <v>3.2156419628906092</v>
      </c>
      <c r="AJ577">
        <v>7.1512490762270913</v>
      </c>
      <c r="AK577">
        <v>10.3668910391177</v>
      </c>
      <c r="AL577">
        <v>174.67969481490258</v>
      </c>
      <c r="AM577">
        <v>39.124616483209621</v>
      </c>
      <c r="AN577">
        <v>2.239791895942318</v>
      </c>
      <c r="AO577">
        <v>10.6</v>
      </c>
      <c r="AP577">
        <v>12.902972996861351</v>
      </c>
      <c r="AQ577">
        <v>22.538873852966699</v>
      </c>
      <c r="AR577">
        <v>57.607910003767799</v>
      </c>
      <c r="AS577">
        <v>-1.6047450428315448</v>
      </c>
      <c r="AT577">
        <v>12.509464934310927</v>
      </c>
      <c r="AU577">
        <v>31.973386728734788</v>
      </c>
    </row>
    <row r="578" spans="1:48" x14ac:dyDescent="0.35">
      <c r="A578">
        <v>576</v>
      </c>
      <c r="B578">
        <v>46055</v>
      </c>
      <c r="C578" t="s">
        <v>16</v>
      </c>
      <c r="D578" t="s">
        <v>244</v>
      </c>
      <c r="E578" t="s">
        <v>240</v>
      </c>
      <c r="F578" t="s">
        <v>245</v>
      </c>
      <c r="G578" t="s">
        <v>246</v>
      </c>
      <c r="H578" t="s">
        <v>22</v>
      </c>
      <c r="I578" t="s">
        <v>23</v>
      </c>
      <c r="J578" t="s">
        <v>215</v>
      </c>
      <c r="K578" t="s">
        <v>243</v>
      </c>
      <c r="L578">
        <v>28</v>
      </c>
      <c r="M578">
        <v>62</v>
      </c>
      <c r="N578">
        <v>2</v>
      </c>
      <c r="O578">
        <v>1</v>
      </c>
      <c r="P578">
        <v>0</v>
      </c>
      <c r="Q578">
        <v>0.50019999999999998</v>
      </c>
      <c r="R578">
        <v>455.24781975538917</v>
      </c>
      <c r="S578">
        <v>164.04781975538924</v>
      </c>
      <c r="T578">
        <v>0.34166666666666667</v>
      </c>
      <c r="U578">
        <v>41</v>
      </c>
      <c r="V578">
        <v>0.67708333333333337</v>
      </c>
      <c r="W578">
        <v>77.5</v>
      </c>
      <c r="X578">
        <v>10.4</v>
      </c>
      <c r="Y578">
        <v>40</v>
      </c>
      <c r="Z578">
        <v>0.35208333333333336</v>
      </c>
      <c r="AA578">
        <v>89.5</v>
      </c>
      <c r="AB578">
        <v>14.9</v>
      </c>
      <c r="AD578">
        <v>36.5</v>
      </c>
      <c r="AE578">
        <v>49.5</v>
      </c>
      <c r="AF578">
        <v>35.836244932930278</v>
      </c>
      <c r="AG578">
        <v>47.50873479879084</v>
      </c>
      <c r="AH578">
        <v>83.344979731721111</v>
      </c>
      <c r="AI578">
        <v>3.7269694730247491</v>
      </c>
      <c r="AJ578">
        <v>7.0788014850198353</v>
      </c>
      <c r="AK578">
        <v>10.805770958044585</v>
      </c>
      <c r="AL578">
        <v>183.07606563937748</v>
      </c>
      <c r="AM578">
        <v>36.034839187925023</v>
      </c>
      <c r="AN578">
        <v>1.9682987539674524</v>
      </c>
      <c r="AO578">
        <v>10.4</v>
      </c>
      <c r="AP578">
        <v>12.965113187173657</v>
      </c>
      <c r="AQ578">
        <v>23.736019128769627</v>
      </c>
      <c r="AR578">
        <v>65.869640780090876</v>
      </c>
      <c r="AS578">
        <v>-1.6757178818839824</v>
      </c>
      <c r="AT578">
        <v>13.173901274237535</v>
      </c>
      <c r="AU578">
        <v>36.558790246112721</v>
      </c>
    </row>
    <row r="579" spans="1:48" x14ac:dyDescent="0.35">
      <c r="A579">
        <v>577</v>
      </c>
      <c r="B579">
        <v>46055</v>
      </c>
      <c r="C579" t="s">
        <v>16</v>
      </c>
      <c r="D579" t="s">
        <v>244</v>
      </c>
      <c r="E579" t="s">
        <v>240</v>
      </c>
      <c r="F579" t="s">
        <v>245</v>
      </c>
      <c r="G579" t="s">
        <v>246</v>
      </c>
      <c r="H579" t="s">
        <v>22</v>
      </c>
      <c r="I579" t="s">
        <v>23</v>
      </c>
      <c r="J579" t="s">
        <v>215</v>
      </c>
      <c r="K579" t="s">
        <v>243</v>
      </c>
      <c r="L579">
        <v>28</v>
      </c>
      <c r="M579">
        <v>62</v>
      </c>
      <c r="N579">
        <v>2</v>
      </c>
      <c r="O579">
        <v>2</v>
      </c>
      <c r="P579">
        <v>0</v>
      </c>
      <c r="Q579">
        <v>0.5</v>
      </c>
      <c r="R579">
        <v>455.06579343801405</v>
      </c>
      <c r="S579">
        <v>64.16579343801402</v>
      </c>
      <c r="T579">
        <v>0.34236111111111112</v>
      </c>
      <c r="U579">
        <v>40.5</v>
      </c>
      <c r="V579">
        <v>0.67777777777777781</v>
      </c>
      <c r="W579">
        <v>75</v>
      </c>
      <c r="X579">
        <v>10.5</v>
      </c>
      <c r="Y579">
        <v>40</v>
      </c>
      <c r="Z579">
        <v>0.35069444444444442</v>
      </c>
      <c r="AA579">
        <v>87.5</v>
      </c>
      <c r="AB579">
        <v>15</v>
      </c>
      <c r="AD579">
        <v>34.5</v>
      </c>
      <c r="AE579">
        <v>47.5</v>
      </c>
      <c r="AF579">
        <v>33.836244932930278</v>
      </c>
      <c r="AG579">
        <v>45.50873479879084</v>
      </c>
      <c r="AH579">
        <v>79.344979731721111</v>
      </c>
      <c r="AI579">
        <v>3.5528057179576789</v>
      </c>
      <c r="AJ579">
        <v>6.8263102198186258</v>
      </c>
      <c r="AK579">
        <v>10.379115937776305</v>
      </c>
      <c r="AL579">
        <v>174.35935830788597</v>
      </c>
      <c r="AM579">
        <v>14.100333262415218</v>
      </c>
      <c r="AN579">
        <v>0.80869380337570818</v>
      </c>
      <c r="AO579">
        <v>10.5</v>
      </c>
      <c r="AP579">
        <v>13.080998914953238</v>
      </c>
      <c r="AQ579">
        <v>22.80794576837399</v>
      </c>
      <c r="AR579">
        <v>161.75465745316194</v>
      </c>
      <c r="AS579">
        <v>-0.24164997680390021</v>
      </c>
      <c r="AT579">
        <v>12.658804502585426</v>
      </c>
      <c r="AU579">
        <v>89.776633409990225</v>
      </c>
    </row>
    <row r="580" spans="1:48" x14ac:dyDescent="0.35">
      <c r="A580">
        <v>578</v>
      </c>
      <c r="B580">
        <v>46055</v>
      </c>
      <c r="C580" t="s">
        <v>16</v>
      </c>
      <c r="D580" t="s">
        <v>244</v>
      </c>
      <c r="E580" t="s">
        <v>240</v>
      </c>
      <c r="F580" t="s">
        <v>245</v>
      </c>
      <c r="G580" t="s">
        <v>246</v>
      </c>
      <c r="H580" t="s">
        <v>22</v>
      </c>
      <c r="I580" t="s">
        <v>23</v>
      </c>
      <c r="J580" t="s">
        <v>215</v>
      </c>
      <c r="K580" t="s">
        <v>243</v>
      </c>
      <c r="L580">
        <v>28</v>
      </c>
      <c r="M580">
        <v>62</v>
      </c>
      <c r="N580">
        <v>2</v>
      </c>
      <c r="O580">
        <v>3</v>
      </c>
      <c r="P580">
        <v>0</v>
      </c>
      <c r="Q580">
        <v>0.5</v>
      </c>
      <c r="R580">
        <v>455.06579343801405</v>
      </c>
      <c r="S580">
        <v>134.56579343801405</v>
      </c>
      <c r="T580">
        <v>0.34236111111111112</v>
      </c>
      <c r="U580">
        <v>41</v>
      </c>
      <c r="V580">
        <v>0.67847222222222225</v>
      </c>
      <c r="W580">
        <v>78</v>
      </c>
      <c r="X580">
        <v>10.3</v>
      </c>
      <c r="Y580">
        <v>40</v>
      </c>
      <c r="Z580">
        <v>0.35208333333333336</v>
      </c>
      <c r="AA580">
        <v>90.5</v>
      </c>
      <c r="AB580">
        <v>14.9</v>
      </c>
      <c r="AD580">
        <v>37</v>
      </c>
      <c r="AE580">
        <v>50.5</v>
      </c>
      <c r="AF580">
        <v>36.336244932930278</v>
      </c>
      <c r="AG580">
        <v>48.50873479879084</v>
      </c>
      <c r="AH580">
        <v>84.844979731721111</v>
      </c>
      <c r="AI580">
        <v>3.7426332280918189</v>
      </c>
      <c r="AJ580">
        <v>7.2278014850198344</v>
      </c>
      <c r="AK580">
        <v>10.970434713111654</v>
      </c>
      <c r="AL580">
        <v>186.44552272478839</v>
      </c>
      <c r="AM580">
        <v>29.570623716050342</v>
      </c>
      <c r="AN580">
        <v>1.5860195130402484</v>
      </c>
      <c r="AO580">
        <v>10.3</v>
      </c>
      <c r="AP580">
        <v>12.929975053090999</v>
      </c>
      <c r="AQ580">
        <v>24.107359575920249</v>
      </c>
      <c r="AR580">
        <v>81.524690880413374</v>
      </c>
      <c r="AS580">
        <v>-0.63759541110318441</v>
      </c>
      <c r="AT580">
        <v>13.380001646981343</v>
      </c>
      <c r="AU580">
        <v>45.247613900409362</v>
      </c>
    </row>
    <row r="581" spans="1:48" x14ac:dyDescent="0.35">
      <c r="A581">
        <v>579</v>
      </c>
      <c r="B581">
        <v>46055</v>
      </c>
      <c r="C581" t="s">
        <v>16</v>
      </c>
      <c r="D581" t="s">
        <v>248</v>
      </c>
      <c r="E581" t="s">
        <v>226</v>
      </c>
      <c r="F581" t="s">
        <v>227</v>
      </c>
      <c r="G581" t="s">
        <v>228</v>
      </c>
      <c r="H581" t="s">
        <v>22</v>
      </c>
      <c r="I581" t="s">
        <v>23</v>
      </c>
      <c r="J581" t="s">
        <v>215</v>
      </c>
      <c r="K581" t="s">
        <v>247</v>
      </c>
      <c r="L581">
        <v>28</v>
      </c>
      <c r="M581">
        <v>62</v>
      </c>
      <c r="N581">
        <v>2</v>
      </c>
      <c r="O581">
        <v>1</v>
      </c>
      <c r="P581">
        <v>0</v>
      </c>
      <c r="Q581">
        <v>0.50049999999999994</v>
      </c>
      <c r="R581">
        <v>461.97696770859693</v>
      </c>
      <c r="S581">
        <v>81.976967708596931</v>
      </c>
      <c r="T581">
        <v>0.34305555555555556</v>
      </c>
      <c r="U581">
        <v>41.5</v>
      </c>
      <c r="V581">
        <v>0.67847222222222225</v>
      </c>
      <c r="W581">
        <v>71.5</v>
      </c>
      <c r="X581">
        <v>11</v>
      </c>
      <c r="Y581">
        <v>40.5</v>
      </c>
      <c r="Z581">
        <v>0.3527777777777778</v>
      </c>
      <c r="AA581">
        <v>80</v>
      </c>
      <c r="AB581">
        <v>13.5</v>
      </c>
      <c r="AD581">
        <v>30</v>
      </c>
      <c r="AE581">
        <v>39.5</v>
      </c>
      <c r="AF581">
        <v>29.336244932930278</v>
      </c>
      <c r="AG581">
        <v>37.50873479879084</v>
      </c>
      <c r="AH581">
        <v>66.844979731721111</v>
      </c>
      <c r="AI581">
        <v>3.2269869426223305</v>
      </c>
      <c r="AJ581">
        <v>5.0636791978367635</v>
      </c>
      <c r="AK581">
        <v>8.2906661404590949</v>
      </c>
      <c r="AL581">
        <v>144.69331677566484</v>
      </c>
      <c r="AM581">
        <v>17.744817044711603</v>
      </c>
      <c r="AN581">
        <v>1.2263743371246019</v>
      </c>
      <c r="AO581">
        <v>11</v>
      </c>
      <c r="AP581">
        <v>12.402825423439811</v>
      </c>
      <c r="AQ581">
        <v>17.946059479070463</v>
      </c>
      <c r="AR581">
        <v>101.13409134538716</v>
      </c>
      <c r="AS581">
        <v>-0.14033440977979608</v>
      </c>
      <c r="AT581">
        <v>9.960373496342223</v>
      </c>
      <c r="AU581">
        <v>56.131170421453632</v>
      </c>
    </row>
    <row r="582" spans="1:48" x14ac:dyDescent="0.35">
      <c r="A582">
        <v>580</v>
      </c>
      <c r="B582">
        <v>46055</v>
      </c>
      <c r="C582" t="s">
        <v>16</v>
      </c>
      <c r="D582" t="s">
        <v>248</v>
      </c>
      <c r="E582" t="s">
        <v>226</v>
      </c>
      <c r="F582" t="s">
        <v>227</v>
      </c>
      <c r="G582" t="s">
        <v>228</v>
      </c>
      <c r="H582" t="s">
        <v>22</v>
      </c>
      <c r="I582" t="s">
        <v>23</v>
      </c>
      <c r="J582" t="s">
        <v>215</v>
      </c>
      <c r="K582" t="s">
        <v>247</v>
      </c>
      <c r="L582">
        <v>28</v>
      </c>
      <c r="M582">
        <v>62</v>
      </c>
      <c r="N582">
        <v>2</v>
      </c>
      <c r="O582">
        <v>2</v>
      </c>
      <c r="P582">
        <v>0</v>
      </c>
      <c r="Q582">
        <v>0.5</v>
      </c>
      <c r="R582">
        <v>461.51545225634067</v>
      </c>
      <c r="S582">
        <v>204.11545225634069</v>
      </c>
      <c r="T582">
        <v>0.34375</v>
      </c>
      <c r="U582">
        <v>41.5</v>
      </c>
      <c r="V582">
        <v>0.67847222222222225</v>
      </c>
      <c r="W582">
        <v>71.5</v>
      </c>
      <c r="X582">
        <v>11.2</v>
      </c>
      <c r="Y582">
        <v>40.5</v>
      </c>
      <c r="Z582">
        <v>0.3527777777777778</v>
      </c>
      <c r="AA582">
        <v>78.5</v>
      </c>
      <c r="AB582">
        <v>13.4</v>
      </c>
      <c r="AD582">
        <v>30</v>
      </c>
      <c r="AE582">
        <v>38</v>
      </c>
      <c r="AF582">
        <v>29.336244932930278</v>
      </c>
      <c r="AG582">
        <v>36.00873479879084</v>
      </c>
      <c r="AH582">
        <v>65.344979731721111</v>
      </c>
      <c r="AI582">
        <v>3.2856594324881909</v>
      </c>
      <c r="AJ582">
        <v>4.8251704630379733</v>
      </c>
      <c r="AK582">
        <v>8.1108298955261642</v>
      </c>
      <c r="AL582">
        <v>141.58784806066771</v>
      </c>
      <c r="AM582">
        <v>44.227219534779159</v>
      </c>
      <c r="AN582">
        <v>3.1236592787135682</v>
      </c>
      <c r="AO582">
        <v>11.2</v>
      </c>
      <c r="AP582">
        <v>12.412322918800811</v>
      </c>
      <c r="AQ582">
        <v>17.574340915071129</v>
      </c>
      <c r="AR582">
        <v>39.736481515079454</v>
      </c>
      <c r="AS582">
        <v>-1.0316340531135642</v>
      </c>
      <c r="AT582">
        <v>9.7540632622055661</v>
      </c>
      <c r="AU582">
        <v>22.054434723248246</v>
      </c>
    </row>
    <row r="583" spans="1:48" x14ac:dyDescent="0.35">
      <c r="A583">
        <v>581</v>
      </c>
      <c r="B583">
        <v>46055</v>
      </c>
      <c r="C583" t="s">
        <v>16</v>
      </c>
      <c r="D583" t="s">
        <v>248</v>
      </c>
      <c r="E583" t="s">
        <v>226</v>
      </c>
      <c r="F583" t="s">
        <v>227</v>
      </c>
      <c r="G583" t="s">
        <v>228</v>
      </c>
      <c r="H583" t="s">
        <v>22</v>
      </c>
      <c r="I583" t="s">
        <v>23</v>
      </c>
      <c r="J583" t="s">
        <v>215</v>
      </c>
      <c r="K583" t="s">
        <v>247</v>
      </c>
      <c r="L583">
        <v>28</v>
      </c>
      <c r="M583">
        <v>62</v>
      </c>
      <c r="N583">
        <v>2</v>
      </c>
      <c r="O583">
        <v>3</v>
      </c>
      <c r="P583">
        <v>0</v>
      </c>
      <c r="Q583">
        <v>0.50019999999999998</v>
      </c>
      <c r="R583">
        <v>461.70005843724323</v>
      </c>
      <c r="S583">
        <v>114.70005843724323</v>
      </c>
      <c r="T583">
        <v>0.34375</v>
      </c>
      <c r="U583">
        <v>41.5</v>
      </c>
      <c r="V583">
        <v>0.6791666666666667</v>
      </c>
      <c r="W583">
        <v>68.5</v>
      </c>
      <c r="X583">
        <v>11.5</v>
      </c>
      <c r="Y583">
        <v>40.5</v>
      </c>
      <c r="Z583">
        <v>0.35347222222222224</v>
      </c>
      <c r="AA583">
        <v>79.5</v>
      </c>
      <c r="AB583">
        <v>13.1</v>
      </c>
      <c r="AD583">
        <v>27</v>
      </c>
      <c r="AE583">
        <v>39</v>
      </c>
      <c r="AF583">
        <v>26.336244932930278</v>
      </c>
      <c r="AG583">
        <v>37.00873479879084</v>
      </c>
      <c r="AH583">
        <v>63.344979731721118</v>
      </c>
      <c r="AI583">
        <v>3.0286681672869822</v>
      </c>
      <c r="AJ583">
        <v>4.8481442586416001</v>
      </c>
      <c r="AK583">
        <v>7.8768124259285823</v>
      </c>
      <c r="AL583">
        <v>137.19941891740373</v>
      </c>
      <c r="AM583">
        <v>24.842981139200763</v>
      </c>
      <c r="AN583">
        <v>1.810720579957896</v>
      </c>
      <c r="AO583">
        <v>11.500000000000002</v>
      </c>
      <c r="AP583">
        <v>12.434785612511813</v>
      </c>
      <c r="AQ583">
        <v>17.060453603991132</v>
      </c>
      <c r="AR583">
        <v>68.673133503574334</v>
      </c>
      <c r="AS583">
        <v>-0.17368786968103497</v>
      </c>
      <c r="AT583">
        <v>9.4688469137722393</v>
      </c>
      <c r="AU583">
        <v>38.114777210980357</v>
      </c>
    </row>
    <row r="584" spans="1:48" x14ac:dyDescent="0.35">
      <c r="A584">
        <v>582</v>
      </c>
      <c r="B584">
        <v>46055</v>
      </c>
      <c r="C584" t="s">
        <v>16</v>
      </c>
      <c r="D584" t="s">
        <v>250</v>
      </c>
      <c r="E584" t="s">
        <v>219</v>
      </c>
      <c r="F584" t="s">
        <v>220</v>
      </c>
      <c r="G584" t="s">
        <v>221</v>
      </c>
      <c r="H584" t="s">
        <v>22</v>
      </c>
      <c r="I584" t="s">
        <v>23</v>
      </c>
      <c r="J584" t="s">
        <v>215</v>
      </c>
      <c r="K584" t="s">
        <v>249</v>
      </c>
      <c r="L584">
        <v>28</v>
      </c>
      <c r="M584">
        <v>62</v>
      </c>
      <c r="N584">
        <v>2</v>
      </c>
      <c r="O584">
        <v>1</v>
      </c>
      <c r="P584">
        <v>0</v>
      </c>
      <c r="Q584">
        <v>0.5</v>
      </c>
      <c r="R584">
        <v>454.70449910018016</v>
      </c>
      <c r="S584">
        <v>84.804499100180124</v>
      </c>
      <c r="T584">
        <v>0.34444444444444444</v>
      </c>
      <c r="U584">
        <v>40</v>
      </c>
      <c r="V584">
        <v>0.6791666666666667</v>
      </c>
      <c r="W584">
        <v>77</v>
      </c>
      <c r="X584">
        <v>12.9</v>
      </c>
      <c r="Y584">
        <v>40</v>
      </c>
      <c r="Z584">
        <v>0.35347222222222224</v>
      </c>
      <c r="AA584">
        <v>80.5</v>
      </c>
      <c r="AB584">
        <v>16.100000000000001</v>
      </c>
      <c r="AD584">
        <v>37</v>
      </c>
      <c r="AE584">
        <v>40.5</v>
      </c>
      <c r="AF584">
        <v>36.336244932930278</v>
      </c>
      <c r="AG584">
        <v>38.50873479879084</v>
      </c>
      <c r="AV584" t="s">
        <v>631</v>
      </c>
    </row>
    <row r="585" spans="1:48" x14ac:dyDescent="0.35">
      <c r="A585">
        <v>583</v>
      </c>
      <c r="B585">
        <v>46055</v>
      </c>
      <c r="C585" t="s">
        <v>16</v>
      </c>
      <c r="D585" t="s">
        <v>250</v>
      </c>
      <c r="E585" t="s">
        <v>219</v>
      </c>
      <c r="F585" t="s">
        <v>220</v>
      </c>
      <c r="G585" t="s">
        <v>221</v>
      </c>
      <c r="H585" t="s">
        <v>22</v>
      </c>
      <c r="I585" t="s">
        <v>23</v>
      </c>
      <c r="J585" t="s">
        <v>215</v>
      </c>
      <c r="K585" t="s">
        <v>249</v>
      </c>
      <c r="L585">
        <v>28</v>
      </c>
      <c r="M585">
        <v>62</v>
      </c>
      <c r="N585">
        <v>2</v>
      </c>
      <c r="O585">
        <v>2</v>
      </c>
      <c r="P585">
        <v>0</v>
      </c>
      <c r="Q585">
        <v>0.50060000000000004</v>
      </c>
      <c r="R585">
        <v>455.25014449910043</v>
      </c>
      <c r="S585">
        <v>122.15014449910035</v>
      </c>
      <c r="T585">
        <v>0.34513888888888888</v>
      </c>
      <c r="U585">
        <v>41.5</v>
      </c>
      <c r="V585">
        <v>0.67986111111111114</v>
      </c>
      <c r="W585">
        <v>76.5</v>
      </c>
      <c r="X585">
        <v>12.5</v>
      </c>
      <c r="Y585">
        <v>40</v>
      </c>
      <c r="Z585">
        <v>0.35416666666666669</v>
      </c>
      <c r="AA585">
        <v>88.5</v>
      </c>
      <c r="AB585">
        <v>16.2</v>
      </c>
      <c r="AD585">
        <v>35</v>
      </c>
      <c r="AE585">
        <v>48.5</v>
      </c>
      <c r="AF585">
        <v>34.336244932930278</v>
      </c>
      <c r="AG585">
        <v>46.50873479879084</v>
      </c>
      <c r="AH585">
        <v>80.844979731721111</v>
      </c>
      <c r="AI585">
        <v>4.2920306166162847</v>
      </c>
      <c r="AJ585">
        <v>7.5344150374041163</v>
      </c>
      <c r="AK585">
        <v>11.8264456540204</v>
      </c>
      <c r="AL585">
        <v>177.58364430762055</v>
      </c>
      <c r="AM585">
        <v>26.831434536610395</v>
      </c>
      <c r="AN585">
        <v>1.5109181164303311</v>
      </c>
      <c r="AO585">
        <v>12.5</v>
      </c>
      <c r="AP585">
        <v>14.628546748685821</v>
      </c>
      <c r="AQ585">
        <v>25.977906425560221</v>
      </c>
      <c r="AR585">
        <v>96.818924795520843</v>
      </c>
      <c r="AS585">
        <v>-0.24192971283950349</v>
      </c>
      <c r="AT585">
        <v>14.41818751093377</v>
      </c>
      <c r="AU585">
        <v>53.736178329417108</v>
      </c>
    </row>
    <row r="586" spans="1:48" x14ac:dyDescent="0.35">
      <c r="A586">
        <v>584</v>
      </c>
      <c r="B586">
        <v>46055</v>
      </c>
      <c r="C586" t="s">
        <v>16</v>
      </c>
      <c r="D586" t="s">
        <v>250</v>
      </c>
      <c r="E586" t="s">
        <v>219</v>
      </c>
      <c r="F586" t="s">
        <v>220</v>
      </c>
      <c r="G586" t="s">
        <v>221</v>
      </c>
      <c r="H586" t="s">
        <v>22</v>
      </c>
      <c r="I586" t="s">
        <v>23</v>
      </c>
      <c r="J586" t="s">
        <v>215</v>
      </c>
      <c r="K586" t="s">
        <v>249</v>
      </c>
      <c r="L586">
        <v>28</v>
      </c>
      <c r="M586">
        <v>62</v>
      </c>
      <c r="N586">
        <v>2</v>
      </c>
      <c r="O586">
        <v>3</v>
      </c>
      <c r="P586">
        <v>0</v>
      </c>
      <c r="Q586">
        <v>0.50049999999999994</v>
      </c>
      <c r="R586">
        <v>455.15920359928032</v>
      </c>
      <c r="S586">
        <v>105.65920359928026</v>
      </c>
      <c r="T586">
        <v>0.34513888888888888</v>
      </c>
      <c r="U586">
        <v>41.5</v>
      </c>
      <c r="V586">
        <v>0.68055555555555558</v>
      </c>
      <c r="W586">
        <v>76.5</v>
      </c>
      <c r="X586">
        <v>12.3</v>
      </c>
      <c r="Y586">
        <v>40</v>
      </c>
      <c r="Z586">
        <v>0.35416666666666669</v>
      </c>
      <c r="AA586">
        <v>86.5</v>
      </c>
      <c r="AB586">
        <v>16.3</v>
      </c>
      <c r="AD586">
        <v>35</v>
      </c>
      <c r="AE586">
        <v>46.5</v>
      </c>
      <c r="AF586">
        <v>34.336244932930278</v>
      </c>
      <c r="AG586">
        <v>44.50873479879084</v>
      </c>
      <c r="AV586" t="s">
        <v>632</v>
      </c>
    </row>
    <row r="587" spans="1:48" x14ac:dyDescent="0.35">
      <c r="A587">
        <v>585</v>
      </c>
      <c r="B587">
        <v>46055</v>
      </c>
      <c r="C587" t="s">
        <v>16</v>
      </c>
      <c r="D587" t="s">
        <v>252</v>
      </c>
      <c r="E587" t="s">
        <v>219</v>
      </c>
      <c r="F587" t="s">
        <v>253</v>
      </c>
      <c r="G587" t="s">
        <v>254</v>
      </c>
      <c r="H587" t="s">
        <v>22</v>
      </c>
      <c r="I587" t="s">
        <v>23</v>
      </c>
      <c r="J587" t="s">
        <v>215</v>
      </c>
      <c r="K587" t="s">
        <v>251</v>
      </c>
      <c r="L587">
        <v>28</v>
      </c>
      <c r="M587">
        <v>62</v>
      </c>
      <c r="N587">
        <v>2</v>
      </c>
      <c r="O587">
        <v>1</v>
      </c>
      <c r="P587">
        <v>0</v>
      </c>
      <c r="Q587">
        <v>0.50049999999999994</v>
      </c>
      <c r="R587">
        <v>460.74520734411584</v>
      </c>
      <c r="S587">
        <v>171.44520734411583</v>
      </c>
      <c r="T587">
        <v>0.34513888888888888</v>
      </c>
      <c r="U587">
        <v>40.5</v>
      </c>
      <c r="V587">
        <v>0.68125000000000002</v>
      </c>
      <c r="W587">
        <v>82.5</v>
      </c>
      <c r="X587">
        <v>12.5</v>
      </c>
      <c r="Y587">
        <v>40</v>
      </c>
      <c r="Z587">
        <v>0.35486111111111113</v>
      </c>
      <c r="AA587">
        <v>89</v>
      </c>
      <c r="AB587">
        <v>15.9</v>
      </c>
      <c r="AD587">
        <v>42</v>
      </c>
      <c r="AE587">
        <v>49</v>
      </c>
      <c r="AF587">
        <v>41.336244932930278</v>
      </c>
      <c r="AG587">
        <v>47.00873479879084</v>
      </c>
      <c r="AH587">
        <v>88.344979731721111</v>
      </c>
      <c r="AI587">
        <v>5.1670306166162847</v>
      </c>
      <c r="AJ587">
        <v>7.4743888330077439</v>
      </c>
      <c r="AK587">
        <v>12.641419449624028</v>
      </c>
      <c r="AL587">
        <v>191.7436759482971</v>
      </c>
      <c r="AM587">
        <v>37.210415781073749</v>
      </c>
      <c r="AN587">
        <v>1.9406332749721238</v>
      </c>
      <c r="AO587">
        <v>12.5</v>
      </c>
      <c r="AP587">
        <v>14.309154281332644</v>
      </c>
      <c r="AQ587">
        <v>27.436898416140345</v>
      </c>
      <c r="AR587">
        <v>73.734458054874835</v>
      </c>
      <c r="AS587">
        <v>-0.4220151270018645</v>
      </c>
      <c r="AT587">
        <v>15.227953307781702</v>
      </c>
      <c r="AU587">
        <v>40.923899903120841</v>
      </c>
    </row>
    <row r="588" spans="1:48" x14ac:dyDescent="0.35">
      <c r="A588">
        <v>586</v>
      </c>
      <c r="B588">
        <v>46055</v>
      </c>
      <c r="C588" t="s">
        <v>16</v>
      </c>
      <c r="D588" t="s">
        <v>252</v>
      </c>
      <c r="E588" t="s">
        <v>219</v>
      </c>
      <c r="F588" t="s">
        <v>253</v>
      </c>
      <c r="G588" t="s">
        <v>254</v>
      </c>
      <c r="H588" t="s">
        <v>22</v>
      </c>
      <c r="I588" t="s">
        <v>23</v>
      </c>
      <c r="J588" t="s">
        <v>215</v>
      </c>
      <c r="K588" t="s">
        <v>251</v>
      </c>
      <c r="L588">
        <v>28</v>
      </c>
      <c r="M588">
        <v>62</v>
      </c>
      <c r="N588">
        <v>2</v>
      </c>
      <c r="O588">
        <v>2</v>
      </c>
      <c r="P588">
        <v>0</v>
      </c>
      <c r="Q588">
        <v>0.50049999999999994</v>
      </c>
      <c r="R588">
        <v>460.74520734411584</v>
      </c>
      <c r="S588">
        <v>161.14520734411587</v>
      </c>
      <c r="T588">
        <v>0.34583333333333333</v>
      </c>
      <c r="U588">
        <v>40.5</v>
      </c>
      <c r="V588">
        <v>0.68125000000000002</v>
      </c>
      <c r="W588">
        <v>82.5</v>
      </c>
      <c r="X588">
        <v>12.7</v>
      </c>
      <c r="Y588">
        <v>40</v>
      </c>
      <c r="Z588">
        <v>0.35555555555555557</v>
      </c>
      <c r="AA588">
        <v>91.5</v>
      </c>
      <c r="AB588">
        <v>15.6</v>
      </c>
      <c r="AD588">
        <v>42</v>
      </c>
      <c r="AE588">
        <v>51.5</v>
      </c>
      <c r="AF588">
        <v>41.336244932930278</v>
      </c>
      <c r="AG588">
        <v>49.50873479879084</v>
      </c>
      <c r="AH588">
        <v>90.844979731721111</v>
      </c>
      <c r="AI588">
        <v>5.2497031064821451</v>
      </c>
      <c r="AJ588">
        <v>7.7233626286113708</v>
      </c>
      <c r="AK588">
        <v>12.973065735093517</v>
      </c>
      <c r="AL588">
        <v>197.16966836265297</v>
      </c>
      <c r="AM588">
        <v>34.974906906359131</v>
      </c>
      <c r="AN588">
        <v>1.7738482392753228</v>
      </c>
      <c r="AO588">
        <v>12.7</v>
      </c>
      <c r="AP588">
        <v>14.280443204902387</v>
      </c>
      <c r="AQ588">
        <v>28.156702507823049</v>
      </c>
      <c r="AR588">
        <v>80.505439466097911</v>
      </c>
      <c r="AS588">
        <v>-0.37514246564520176</v>
      </c>
      <c r="AT588">
        <v>15.627457032023589</v>
      </c>
      <c r="AU588">
        <v>44.681911731356763</v>
      </c>
    </row>
    <row r="589" spans="1:48" x14ac:dyDescent="0.35">
      <c r="A589">
        <v>587</v>
      </c>
      <c r="B589">
        <v>46055</v>
      </c>
      <c r="C589" t="s">
        <v>16</v>
      </c>
      <c r="D589" t="s">
        <v>252</v>
      </c>
      <c r="E589" t="s">
        <v>219</v>
      </c>
      <c r="F589" t="s">
        <v>253</v>
      </c>
      <c r="G589" t="s">
        <v>254</v>
      </c>
      <c r="H589" t="s">
        <v>22</v>
      </c>
      <c r="I589" t="s">
        <v>23</v>
      </c>
      <c r="J589" t="s">
        <v>215</v>
      </c>
      <c r="K589" t="s">
        <v>251</v>
      </c>
      <c r="L589">
        <v>28</v>
      </c>
      <c r="M589">
        <v>62</v>
      </c>
      <c r="N589">
        <v>2</v>
      </c>
      <c r="O589">
        <v>3</v>
      </c>
      <c r="P589">
        <v>0</v>
      </c>
      <c r="Q589">
        <v>0.50019999999999998</v>
      </c>
      <c r="R589">
        <v>460.46903639066289</v>
      </c>
      <c r="S589">
        <v>156.46903639066295</v>
      </c>
      <c r="T589">
        <v>0.34583333333333333</v>
      </c>
      <c r="U589">
        <v>40.5</v>
      </c>
      <c r="V589">
        <v>0.68194444444444446</v>
      </c>
      <c r="W589">
        <v>82.5</v>
      </c>
      <c r="X589">
        <v>12.6</v>
      </c>
      <c r="Y589">
        <v>40</v>
      </c>
      <c r="Z589">
        <v>0.35625000000000001</v>
      </c>
      <c r="AA589">
        <v>88</v>
      </c>
      <c r="AB589">
        <v>15.8</v>
      </c>
      <c r="AD589">
        <v>42</v>
      </c>
      <c r="AE589">
        <v>48</v>
      </c>
      <c r="AF589">
        <v>41.336244932930278</v>
      </c>
      <c r="AG589">
        <v>46.00873479879084</v>
      </c>
      <c r="AH589">
        <v>87.344979731721111</v>
      </c>
      <c r="AI589">
        <v>5.2083668615492149</v>
      </c>
      <c r="AJ589">
        <v>7.2693800982089529</v>
      </c>
      <c r="AK589">
        <v>12.477746959758168</v>
      </c>
      <c r="AL589">
        <v>189.68697747054907</v>
      </c>
      <c r="AM589">
        <v>33.98036002966208</v>
      </c>
      <c r="AN589">
        <v>1.7913912954271145</v>
      </c>
      <c r="AO589">
        <v>12.6</v>
      </c>
      <c r="AP589">
        <v>14.2855914536627</v>
      </c>
      <c r="AQ589">
        <v>27.097906642243846</v>
      </c>
      <c r="AR589">
        <v>79.745790269995922</v>
      </c>
      <c r="AS589">
        <v>-0.34054887193271749</v>
      </c>
      <c r="AT589">
        <v>15.03980700835956</v>
      </c>
      <c r="AU589">
        <v>44.260293284800511</v>
      </c>
    </row>
    <row r="590" spans="1:48" x14ac:dyDescent="0.35">
      <c r="A590">
        <v>588</v>
      </c>
      <c r="B590">
        <v>46055</v>
      </c>
      <c r="C590" t="s">
        <v>16</v>
      </c>
      <c r="D590" t="s">
        <v>256</v>
      </c>
      <c r="E590" t="s">
        <v>219</v>
      </c>
      <c r="F590" t="s">
        <v>253</v>
      </c>
      <c r="G590" t="s">
        <v>254</v>
      </c>
      <c r="H590" t="s">
        <v>22</v>
      </c>
      <c r="I590" t="s">
        <v>23</v>
      </c>
      <c r="J590" t="s">
        <v>215</v>
      </c>
      <c r="K590" t="s">
        <v>255</v>
      </c>
      <c r="L590">
        <v>28</v>
      </c>
      <c r="M590">
        <v>62</v>
      </c>
      <c r="N590">
        <v>2</v>
      </c>
      <c r="O590">
        <v>1</v>
      </c>
      <c r="P590">
        <v>0</v>
      </c>
      <c r="Q590">
        <v>0.50060000000000004</v>
      </c>
      <c r="R590">
        <v>461.6689208990104</v>
      </c>
      <c r="S590">
        <v>132.76892089901042</v>
      </c>
      <c r="T590">
        <v>0.34652777777777777</v>
      </c>
      <c r="U590">
        <v>41</v>
      </c>
      <c r="V590">
        <v>0.68263888888888891</v>
      </c>
      <c r="W590">
        <v>81.5</v>
      </c>
      <c r="X590">
        <v>11.6</v>
      </c>
      <c r="Y590">
        <v>40.5</v>
      </c>
      <c r="Z590">
        <v>0.35625000000000001</v>
      </c>
      <c r="AA590">
        <v>89</v>
      </c>
      <c r="AB590">
        <v>15.2</v>
      </c>
      <c r="AD590">
        <v>40.5</v>
      </c>
      <c r="AE590">
        <v>48.5</v>
      </c>
      <c r="AF590">
        <v>39.836244932930278</v>
      </c>
      <c r="AG590">
        <v>46.50873479879084</v>
      </c>
      <c r="AH590">
        <v>86.344979731721111</v>
      </c>
      <c r="AI590">
        <v>4.6210044122199117</v>
      </c>
      <c r="AJ590">
        <v>7.0693276894162071</v>
      </c>
      <c r="AK590">
        <v>11.69033210163612</v>
      </c>
      <c r="AL590">
        <v>187.02792374150087</v>
      </c>
      <c r="AM590">
        <v>28.758470602800983</v>
      </c>
      <c r="AN590">
        <v>1.5376565182079052</v>
      </c>
      <c r="AO590">
        <v>11.6</v>
      </c>
      <c r="AP590">
        <v>13.539098784849639</v>
      </c>
      <c r="AQ590">
        <v>25.321895350615051</v>
      </c>
      <c r="AR590">
        <v>88.05021553597075</v>
      </c>
      <c r="AS590">
        <v>-0.26846296014790971</v>
      </c>
      <c r="AT590">
        <v>14.054090014666624</v>
      </c>
      <c r="AU590">
        <v>48.86939298259415</v>
      </c>
    </row>
    <row r="591" spans="1:48" x14ac:dyDescent="0.35">
      <c r="A591">
        <v>589</v>
      </c>
      <c r="B591">
        <v>46055</v>
      </c>
      <c r="C591" t="s">
        <v>16</v>
      </c>
      <c r="D591" t="s">
        <v>256</v>
      </c>
      <c r="E591" t="s">
        <v>219</v>
      </c>
      <c r="F591" t="s">
        <v>253</v>
      </c>
      <c r="G591" t="s">
        <v>254</v>
      </c>
      <c r="H591" t="s">
        <v>22</v>
      </c>
      <c r="I591" t="s">
        <v>23</v>
      </c>
      <c r="J591" t="s">
        <v>215</v>
      </c>
      <c r="K591" t="s">
        <v>255</v>
      </c>
      <c r="L591">
        <v>28</v>
      </c>
      <c r="M591">
        <v>62</v>
      </c>
      <c r="N591">
        <v>2</v>
      </c>
      <c r="O591">
        <v>2</v>
      </c>
      <c r="P591">
        <v>0</v>
      </c>
      <c r="Q591">
        <v>0.50039999999999996</v>
      </c>
      <c r="R591">
        <v>461.48447466613015</v>
      </c>
      <c r="S591">
        <v>225.58447466613015</v>
      </c>
      <c r="T591">
        <v>0.34652777777777777</v>
      </c>
      <c r="U591">
        <v>40.5</v>
      </c>
      <c r="V591">
        <v>0.68263888888888891</v>
      </c>
      <c r="W591">
        <v>81.5</v>
      </c>
      <c r="X591">
        <v>11.3</v>
      </c>
      <c r="Y591">
        <v>40</v>
      </c>
      <c r="Z591">
        <v>0.35694444444444445</v>
      </c>
      <c r="AA591">
        <v>86</v>
      </c>
      <c r="AB591">
        <v>15.5</v>
      </c>
      <c r="AD591">
        <v>41</v>
      </c>
      <c r="AE591">
        <v>46</v>
      </c>
      <c r="AF591">
        <v>40.336244932930278</v>
      </c>
      <c r="AG591">
        <v>44.00873479879084</v>
      </c>
      <c r="AH591">
        <v>84.344979731721111</v>
      </c>
      <c r="AI591">
        <v>4.5579956774211219</v>
      </c>
      <c r="AJ591">
        <v>6.8213538938125806</v>
      </c>
      <c r="AK591">
        <v>11.379349571233703</v>
      </c>
      <c r="AL591">
        <v>182.76883484052658</v>
      </c>
      <c r="AM591">
        <v>48.882354022707609</v>
      </c>
      <c r="AN591">
        <v>2.6745453657544789</v>
      </c>
      <c r="AO591">
        <v>11.300000000000002</v>
      </c>
      <c r="AP591">
        <v>13.491436725017161</v>
      </c>
      <c r="AQ591">
        <v>24.658141705560762</v>
      </c>
      <c r="AR591">
        <v>50.443850748485168</v>
      </c>
      <c r="AS591">
        <v>-3.7962002886963102</v>
      </c>
      <c r="AT591">
        <v>13.685695258034416</v>
      </c>
      <c r="AU591">
        <v>27.997209896391077</v>
      </c>
    </row>
    <row r="592" spans="1:48" x14ac:dyDescent="0.35">
      <c r="A592">
        <v>590</v>
      </c>
      <c r="B592">
        <v>46055</v>
      </c>
      <c r="C592" t="s">
        <v>16</v>
      </c>
      <c r="D592" t="s">
        <v>256</v>
      </c>
      <c r="E592" t="s">
        <v>219</v>
      </c>
      <c r="F592" t="s">
        <v>253</v>
      </c>
      <c r="G592" t="s">
        <v>254</v>
      </c>
      <c r="H592" t="s">
        <v>22</v>
      </c>
      <c r="I592" t="s">
        <v>23</v>
      </c>
      <c r="J592" t="s">
        <v>215</v>
      </c>
      <c r="K592" t="s">
        <v>255</v>
      </c>
      <c r="L592">
        <v>28</v>
      </c>
      <c r="M592">
        <v>62</v>
      </c>
      <c r="N592">
        <v>2</v>
      </c>
      <c r="O592">
        <v>3</v>
      </c>
      <c r="P592">
        <v>0</v>
      </c>
      <c r="Q592">
        <v>0.50019999999999998</v>
      </c>
      <c r="R592">
        <v>461.30002843325002</v>
      </c>
      <c r="S592">
        <v>257.50002843325001</v>
      </c>
      <c r="T592">
        <v>0.34652777777777777</v>
      </c>
      <c r="U592">
        <v>41</v>
      </c>
      <c r="V592">
        <v>0.68333333333333335</v>
      </c>
      <c r="W592">
        <v>80</v>
      </c>
      <c r="X592">
        <v>11.5</v>
      </c>
      <c r="Y592">
        <v>40</v>
      </c>
      <c r="Z592">
        <v>0.3576388888888889</v>
      </c>
      <c r="AA592">
        <v>86.5</v>
      </c>
      <c r="AB592">
        <v>15.4</v>
      </c>
      <c r="AD592">
        <v>39</v>
      </c>
      <c r="AE592">
        <v>46.5</v>
      </c>
      <c r="AF592">
        <v>38.336244932930278</v>
      </c>
      <c r="AG592">
        <v>44.50873479879084</v>
      </c>
      <c r="AH592">
        <v>82.844979731721111</v>
      </c>
      <c r="AI592">
        <v>4.4086681672869821</v>
      </c>
      <c r="AJ592">
        <v>6.8543451590137892</v>
      </c>
      <c r="AK592">
        <v>11.263013326300772</v>
      </c>
      <c r="AL592">
        <v>179.59023330888166</v>
      </c>
      <c r="AM592">
        <v>55.820509985186398</v>
      </c>
      <c r="AN592">
        <v>3.1082152384745405</v>
      </c>
      <c r="AO592">
        <v>11.5</v>
      </c>
      <c r="AP592">
        <v>13.595287684026308</v>
      </c>
      <c r="AQ592">
        <v>24.415808870756504</v>
      </c>
      <c r="AR592">
        <v>43.739852748095544</v>
      </c>
      <c r="AS592">
        <v>1.0255688023349974</v>
      </c>
      <c r="AT592">
        <v>13.551196342108453</v>
      </c>
      <c r="AU592">
        <v>24.276375020050263</v>
      </c>
    </row>
    <row r="593" spans="1:48" x14ac:dyDescent="0.35">
      <c r="A593">
        <v>591</v>
      </c>
      <c r="B593">
        <v>46055</v>
      </c>
      <c r="C593" t="s">
        <v>16</v>
      </c>
      <c r="D593" t="s">
        <v>258</v>
      </c>
      <c r="E593" t="s">
        <v>259</v>
      </c>
      <c r="F593" t="s">
        <v>260</v>
      </c>
      <c r="G593" t="s">
        <v>261</v>
      </c>
      <c r="H593" t="s">
        <v>22</v>
      </c>
      <c r="I593" t="s">
        <v>23</v>
      </c>
      <c r="J593" t="s">
        <v>215</v>
      </c>
      <c r="K593" t="s">
        <v>257</v>
      </c>
      <c r="L593">
        <v>28</v>
      </c>
      <c r="M593">
        <v>62</v>
      </c>
      <c r="N593">
        <v>2</v>
      </c>
      <c r="O593">
        <v>1</v>
      </c>
      <c r="P593">
        <v>0</v>
      </c>
      <c r="Q593">
        <v>0.50029999999999997</v>
      </c>
      <c r="R593">
        <v>457.30569694341682</v>
      </c>
      <c r="S593">
        <v>75.805696943416876</v>
      </c>
      <c r="T593">
        <v>0.34722222222222221</v>
      </c>
      <c r="U593">
        <v>40</v>
      </c>
      <c r="V593">
        <v>0.68333333333333335</v>
      </c>
      <c r="W593">
        <v>78.5</v>
      </c>
      <c r="X593">
        <v>13.3</v>
      </c>
      <c r="Y593">
        <v>39.5</v>
      </c>
      <c r="Z593">
        <v>0.35833333333333334</v>
      </c>
      <c r="AA593">
        <v>84.5</v>
      </c>
      <c r="AB593">
        <v>16.899999999999999</v>
      </c>
      <c r="AD593">
        <v>38.5</v>
      </c>
      <c r="AE593">
        <v>45</v>
      </c>
      <c r="AV593" t="s">
        <v>633</v>
      </c>
    </row>
    <row r="594" spans="1:48" x14ac:dyDescent="0.35">
      <c r="A594">
        <v>592</v>
      </c>
      <c r="B594">
        <v>46055</v>
      </c>
      <c r="C594" t="s">
        <v>16</v>
      </c>
      <c r="D594" t="s">
        <v>258</v>
      </c>
      <c r="E594" t="s">
        <v>259</v>
      </c>
      <c r="F594" t="s">
        <v>260</v>
      </c>
      <c r="G594" t="s">
        <v>261</v>
      </c>
      <c r="H594" t="s">
        <v>22</v>
      </c>
      <c r="I594" t="s">
        <v>23</v>
      </c>
      <c r="J594" t="s">
        <v>215</v>
      </c>
      <c r="K594" t="s">
        <v>257</v>
      </c>
      <c r="L594">
        <v>28</v>
      </c>
      <c r="M594">
        <v>62</v>
      </c>
      <c r="N594">
        <v>2</v>
      </c>
      <c r="O594">
        <v>2</v>
      </c>
      <c r="P594">
        <v>0</v>
      </c>
      <c r="Q594">
        <v>0.50060000000000004</v>
      </c>
      <c r="R594">
        <v>457.5799158302508</v>
      </c>
      <c r="S594">
        <v>115.57991583025074</v>
      </c>
      <c r="T594">
        <v>0.34722222222222221</v>
      </c>
      <c r="U594">
        <v>41</v>
      </c>
      <c r="V594">
        <v>0.68402777777777779</v>
      </c>
      <c r="W594">
        <v>77.5</v>
      </c>
      <c r="X594">
        <v>14</v>
      </c>
      <c r="Y594">
        <v>40.5</v>
      </c>
      <c r="Z594">
        <v>0.3576388888888889</v>
      </c>
      <c r="AA594">
        <v>84.5</v>
      </c>
      <c r="AB594">
        <v>17.100000000000001</v>
      </c>
      <c r="AD594">
        <v>36.5</v>
      </c>
      <c r="AE594">
        <v>44</v>
      </c>
      <c r="AF594">
        <v>35.836244932930278</v>
      </c>
      <c r="AG594">
        <v>42.00873479879084</v>
      </c>
      <c r="AH594">
        <v>77.844979731721111</v>
      </c>
      <c r="AI594">
        <v>5.017074290610239</v>
      </c>
      <c r="AJ594">
        <v>7.1834936505932339</v>
      </c>
      <c r="AK594">
        <v>12.200567941203474</v>
      </c>
      <c r="AL594">
        <v>170.12324413425392</v>
      </c>
      <c r="AM594">
        <v>25.258957360604008</v>
      </c>
      <c r="AN594">
        <v>1.4847446325835831</v>
      </c>
      <c r="AO594">
        <v>14</v>
      </c>
      <c r="AP594">
        <v>15.672902714151334</v>
      </c>
      <c r="AQ594">
        <v>26.66325054731978</v>
      </c>
      <c r="AR594">
        <v>105.5595849292894</v>
      </c>
      <c r="AS594">
        <v>-0.4054824500975871</v>
      </c>
      <c r="AT594">
        <v>14.798565355675063</v>
      </c>
      <c r="AU594">
        <v>58.587395926152325</v>
      </c>
    </row>
    <row r="595" spans="1:48" x14ac:dyDescent="0.35">
      <c r="A595">
        <v>593</v>
      </c>
      <c r="B595">
        <v>46055</v>
      </c>
      <c r="C595" t="s">
        <v>16</v>
      </c>
      <c r="D595" t="s">
        <v>258</v>
      </c>
      <c r="E595" t="s">
        <v>259</v>
      </c>
      <c r="F595" t="s">
        <v>260</v>
      </c>
      <c r="G595" t="s">
        <v>261</v>
      </c>
      <c r="H595" t="s">
        <v>22</v>
      </c>
      <c r="I595" t="s">
        <v>23</v>
      </c>
      <c r="J595" t="s">
        <v>215</v>
      </c>
      <c r="K595" t="s">
        <v>257</v>
      </c>
      <c r="L595">
        <v>28</v>
      </c>
      <c r="M595">
        <v>62</v>
      </c>
      <c r="N595">
        <v>2</v>
      </c>
      <c r="O595">
        <v>3</v>
      </c>
      <c r="P595">
        <v>0</v>
      </c>
      <c r="Q595">
        <v>0.50060000000000004</v>
      </c>
      <c r="R595">
        <v>457.5799158302508</v>
      </c>
      <c r="S595">
        <v>135.17991583025076</v>
      </c>
      <c r="T595">
        <v>0.34722222222222221</v>
      </c>
      <c r="U595">
        <v>41</v>
      </c>
      <c r="V595">
        <v>0.68472222222222223</v>
      </c>
      <c r="W595">
        <v>76.5</v>
      </c>
      <c r="X595">
        <v>13.8</v>
      </c>
      <c r="Y595">
        <v>40</v>
      </c>
      <c r="Z595">
        <v>0.35833333333333334</v>
      </c>
      <c r="AA595">
        <v>83</v>
      </c>
      <c r="AB595">
        <v>16.8</v>
      </c>
      <c r="AD595">
        <v>35.5</v>
      </c>
      <c r="AE595">
        <v>43</v>
      </c>
      <c r="AF595">
        <v>34.836244932930278</v>
      </c>
      <c r="AG595">
        <v>41.00873479879084</v>
      </c>
      <c r="AH595">
        <v>75.844979731721111</v>
      </c>
      <c r="AI595">
        <v>4.8074018007443788</v>
      </c>
      <c r="AJ595">
        <v>6.8894674461968615</v>
      </c>
      <c r="AK595">
        <v>11.69686924694124</v>
      </c>
      <c r="AL595">
        <v>165.75242292727168</v>
      </c>
      <c r="AM595">
        <v>29.542362143446589</v>
      </c>
      <c r="AN595">
        <v>1.7823185701731243</v>
      </c>
      <c r="AO595">
        <v>13.800000000000002</v>
      </c>
      <c r="AP595">
        <v>15.422074458079376</v>
      </c>
      <c r="AQ595">
        <v>25.562462079914468</v>
      </c>
      <c r="AR595">
        <v>86.528158973181561</v>
      </c>
      <c r="AS595">
        <v>-0.5167917525504282</v>
      </c>
      <c r="AT595">
        <v>14.187608711481941</v>
      </c>
      <c r="AU595">
        <v>48.024625257087614</v>
      </c>
    </row>
    <row r="596" spans="1:48" x14ac:dyDescent="0.35">
      <c r="A596">
        <v>594</v>
      </c>
      <c r="B596">
        <v>46055</v>
      </c>
      <c r="C596" t="s">
        <v>16</v>
      </c>
      <c r="D596" t="s">
        <v>263</v>
      </c>
      <c r="E596" t="s">
        <v>264</v>
      </c>
      <c r="F596" t="s">
        <v>265</v>
      </c>
      <c r="G596" t="s">
        <v>266</v>
      </c>
      <c r="H596" t="s">
        <v>22</v>
      </c>
      <c r="I596" t="s">
        <v>23</v>
      </c>
      <c r="J596" t="s">
        <v>215</v>
      </c>
      <c r="K596" t="s">
        <v>262</v>
      </c>
      <c r="L596">
        <v>28</v>
      </c>
      <c r="M596">
        <v>62</v>
      </c>
      <c r="N596">
        <v>2</v>
      </c>
      <c r="O596">
        <v>1</v>
      </c>
      <c r="P596">
        <v>0</v>
      </c>
      <c r="Q596">
        <v>0.5</v>
      </c>
      <c r="R596">
        <v>453.78425018639803</v>
      </c>
      <c r="S596">
        <v>135.28425018639803</v>
      </c>
      <c r="T596">
        <v>0.34791666666666665</v>
      </c>
      <c r="U596">
        <v>41</v>
      </c>
      <c r="V596">
        <v>0.68472222222222223</v>
      </c>
      <c r="W596">
        <v>72.5</v>
      </c>
      <c r="X596">
        <v>13.1</v>
      </c>
      <c r="Y596">
        <v>40.5</v>
      </c>
      <c r="Z596">
        <v>0.35902777777777778</v>
      </c>
      <c r="AA596">
        <v>83</v>
      </c>
      <c r="AB596">
        <v>15.5</v>
      </c>
      <c r="AD596">
        <v>31.5</v>
      </c>
      <c r="AE596">
        <v>42.5</v>
      </c>
      <c r="AF596">
        <v>30.836244932930278</v>
      </c>
      <c r="AG596">
        <v>40.50873479879084</v>
      </c>
      <c r="AH596">
        <v>71.344979731721111</v>
      </c>
      <c r="AI596">
        <v>4.0395480862138662</v>
      </c>
      <c r="AJ596">
        <v>6.2788538938125802</v>
      </c>
      <c r="AK596">
        <v>10.318401980026447</v>
      </c>
      <c r="AL596">
        <v>157.222247582227</v>
      </c>
      <c r="AM596">
        <v>29.812460465701086</v>
      </c>
      <c r="AN596">
        <v>1.8961985930209537</v>
      </c>
      <c r="AO596">
        <v>13.1</v>
      </c>
      <c r="AP596">
        <v>14.462688221128923</v>
      </c>
      <c r="AQ596">
        <v>22.738563482068898</v>
      </c>
      <c r="AR596">
        <v>76.272012195133541</v>
      </c>
      <c r="AS596">
        <v>-0.3326070809473658</v>
      </c>
      <c r="AT596">
        <v>12.620296133300522</v>
      </c>
      <c r="AU596">
        <v>42.332286353285191</v>
      </c>
    </row>
    <row r="597" spans="1:48" x14ac:dyDescent="0.35">
      <c r="A597">
        <v>595</v>
      </c>
      <c r="B597">
        <v>46055</v>
      </c>
      <c r="C597" t="s">
        <v>16</v>
      </c>
      <c r="D597" t="s">
        <v>263</v>
      </c>
      <c r="E597" t="s">
        <v>264</v>
      </c>
      <c r="F597" t="s">
        <v>265</v>
      </c>
      <c r="G597" t="s">
        <v>266</v>
      </c>
      <c r="H597" t="s">
        <v>22</v>
      </c>
      <c r="I597" t="s">
        <v>23</v>
      </c>
      <c r="J597" t="s">
        <v>215</v>
      </c>
      <c r="K597" t="s">
        <v>262</v>
      </c>
      <c r="L597">
        <v>28</v>
      </c>
      <c r="M597">
        <v>62</v>
      </c>
      <c r="N597">
        <v>2</v>
      </c>
      <c r="O597">
        <v>2</v>
      </c>
      <c r="P597">
        <v>0</v>
      </c>
      <c r="Q597">
        <v>0.50009999999999999</v>
      </c>
      <c r="R597">
        <v>453.87500703643531</v>
      </c>
      <c r="S597">
        <v>111.27500703643528</v>
      </c>
      <c r="T597">
        <v>0.34861111111111109</v>
      </c>
      <c r="U597">
        <v>41</v>
      </c>
      <c r="V597">
        <v>0.68541666666666667</v>
      </c>
      <c r="W597">
        <v>73</v>
      </c>
      <c r="X597">
        <v>12.9</v>
      </c>
      <c r="Y597">
        <v>40</v>
      </c>
      <c r="Z597">
        <v>0.35972222222222222</v>
      </c>
      <c r="AA597">
        <v>81.5</v>
      </c>
      <c r="AB597">
        <v>15.5</v>
      </c>
      <c r="AD597">
        <v>32</v>
      </c>
      <c r="AE597">
        <v>41.5</v>
      </c>
      <c r="AF597">
        <v>31.336244932930278</v>
      </c>
      <c r="AG597">
        <v>39.50873479879084</v>
      </c>
      <c r="AH597">
        <v>70.844979731721111</v>
      </c>
      <c r="AI597">
        <v>4.0423755963480064</v>
      </c>
      <c r="AJ597">
        <v>6.1238538938125799</v>
      </c>
      <c r="AK597">
        <v>10.166229490160585</v>
      </c>
      <c r="AL597">
        <v>156.0891845406988</v>
      </c>
      <c r="AM597">
        <v>24.516663246782954</v>
      </c>
      <c r="AN597">
        <v>1.5706830245109304</v>
      </c>
      <c r="AO597">
        <v>12.9</v>
      </c>
      <c r="AP597">
        <v>14.349964568637764</v>
      </c>
      <c r="AQ597">
        <v>22.398742677065894</v>
      </c>
      <c r="AR597">
        <v>91.361301705708371</v>
      </c>
      <c r="AS597">
        <v>-0.24850995023346023</v>
      </c>
      <c r="AT597">
        <v>12.431689707271174</v>
      </c>
      <c r="AU597">
        <v>50.707103092026379</v>
      </c>
    </row>
    <row r="598" spans="1:48" x14ac:dyDescent="0.35">
      <c r="A598">
        <v>596</v>
      </c>
      <c r="B598">
        <v>46055</v>
      </c>
      <c r="C598" t="s">
        <v>16</v>
      </c>
      <c r="D598" t="s">
        <v>263</v>
      </c>
      <c r="E598" t="s">
        <v>264</v>
      </c>
      <c r="F598" t="s">
        <v>265</v>
      </c>
      <c r="G598" t="s">
        <v>266</v>
      </c>
      <c r="H598" t="s">
        <v>22</v>
      </c>
      <c r="I598" t="s">
        <v>23</v>
      </c>
      <c r="J598" t="s">
        <v>215</v>
      </c>
      <c r="K598" t="s">
        <v>262</v>
      </c>
      <c r="L598">
        <v>28</v>
      </c>
      <c r="M598">
        <v>62</v>
      </c>
      <c r="N598">
        <v>2</v>
      </c>
      <c r="O598">
        <v>3</v>
      </c>
      <c r="P598">
        <v>0</v>
      </c>
      <c r="Q598">
        <v>0.50039999999999996</v>
      </c>
      <c r="R598">
        <v>454.14727758654715</v>
      </c>
      <c r="S598">
        <v>162.74727758654717</v>
      </c>
      <c r="T598">
        <v>0.34861111111111109</v>
      </c>
      <c r="U598">
        <v>41</v>
      </c>
      <c r="V598">
        <v>0.68541666666666667</v>
      </c>
      <c r="W598">
        <v>73</v>
      </c>
      <c r="X598">
        <v>13.2</v>
      </c>
      <c r="Y598">
        <v>40.5</v>
      </c>
      <c r="Z598">
        <v>0.35972222222222222</v>
      </c>
      <c r="AA598">
        <v>84</v>
      </c>
      <c r="AB598">
        <v>15.6</v>
      </c>
      <c r="AD598">
        <v>32</v>
      </c>
      <c r="AE598">
        <v>43.5</v>
      </c>
      <c r="AF598">
        <v>31.336244932930278</v>
      </c>
      <c r="AG598">
        <v>41.50873479879084</v>
      </c>
      <c r="AH598">
        <v>72.844979731721111</v>
      </c>
      <c r="AI598">
        <v>4.1363843311467967</v>
      </c>
      <c r="AJ598">
        <v>6.4753626286113715</v>
      </c>
      <c r="AK598">
        <v>10.611746959758168</v>
      </c>
      <c r="AL598">
        <v>160.39946362518708</v>
      </c>
      <c r="AM598">
        <v>35.835792840469537</v>
      </c>
      <c r="AN598">
        <v>2.2341591443353392</v>
      </c>
      <c r="AO598">
        <v>13.2</v>
      </c>
      <c r="AP598">
        <v>14.567574867670903</v>
      </c>
      <c r="AQ598">
        <v>23.366311950941686</v>
      </c>
      <c r="AR598">
        <v>65.203836998839876</v>
      </c>
      <c r="AS598">
        <v>-0.53652334706279659</v>
      </c>
      <c r="AT598">
        <v>12.968707394225074</v>
      </c>
      <c r="AU598">
        <v>36.189257628421849</v>
      </c>
    </row>
    <row r="599" spans="1:48" x14ac:dyDescent="0.35">
      <c r="A599">
        <v>597</v>
      </c>
      <c r="B599">
        <v>46055</v>
      </c>
      <c r="C599" t="s">
        <v>16</v>
      </c>
      <c r="D599" t="s">
        <v>268</v>
      </c>
      <c r="E599" t="s">
        <v>269</v>
      </c>
      <c r="F599" t="s">
        <v>270</v>
      </c>
      <c r="G599" t="s">
        <v>271</v>
      </c>
      <c r="H599" t="s">
        <v>22</v>
      </c>
      <c r="I599" t="s">
        <v>23</v>
      </c>
      <c r="J599" t="s">
        <v>215</v>
      </c>
      <c r="K599" t="s">
        <v>267</v>
      </c>
      <c r="L599">
        <v>28</v>
      </c>
      <c r="M599">
        <v>62</v>
      </c>
      <c r="N599">
        <v>2</v>
      </c>
      <c r="O599">
        <v>1</v>
      </c>
      <c r="P599">
        <v>0</v>
      </c>
      <c r="Q599">
        <v>0.50029999999999997</v>
      </c>
      <c r="R599">
        <v>456.84349195241424</v>
      </c>
      <c r="S599">
        <v>238.84349195241427</v>
      </c>
      <c r="T599">
        <v>0.34861111111111109</v>
      </c>
      <c r="U599">
        <v>41</v>
      </c>
      <c r="V599">
        <v>0.68611111111111112</v>
      </c>
      <c r="W599">
        <v>86.5</v>
      </c>
      <c r="X599">
        <v>11.9</v>
      </c>
      <c r="Y599">
        <v>40</v>
      </c>
      <c r="Z599">
        <v>0.36041666666666666</v>
      </c>
      <c r="AA599">
        <v>95</v>
      </c>
      <c r="AB599">
        <v>14.1</v>
      </c>
      <c r="AD599">
        <v>45.5</v>
      </c>
      <c r="AE599">
        <v>55</v>
      </c>
      <c r="AF599">
        <v>44.836244932930278</v>
      </c>
      <c r="AG599">
        <v>53.00873479879084</v>
      </c>
      <c r="AH599">
        <v>97.844979731721111</v>
      </c>
      <c r="AI599">
        <v>5.3355131470187036</v>
      </c>
      <c r="AJ599">
        <v>7.474231606629508</v>
      </c>
      <c r="AK599">
        <v>12.809744753648211</v>
      </c>
      <c r="AL599">
        <v>214.17614884598783</v>
      </c>
      <c r="AM599">
        <v>52.281250835306345</v>
      </c>
      <c r="AN599">
        <v>2.4410398224548029</v>
      </c>
      <c r="AO599">
        <v>11.9</v>
      </c>
      <c r="AP599">
        <v>13.091877364348129</v>
      </c>
      <c r="AQ599">
        <v>28.039678750600434</v>
      </c>
      <c r="AR599">
        <v>53.632379299664343</v>
      </c>
      <c r="AS599">
        <v>0.98186503576334694</v>
      </c>
      <c r="AT599">
        <v>15.56250682213256</v>
      </c>
      <c r="AU599">
        <v>29.766898407149345</v>
      </c>
    </row>
    <row r="600" spans="1:48" x14ac:dyDescent="0.35">
      <c r="A600">
        <v>598</v>
      </c>
      <c r="B600">
        <v>46055</v>
      </c>
      <c r="C600" t="s">
        <v>16</v>
      </c>
      <c r="D600" t="s">
        <v>268</v>
      </c>
      <c r="E600" t="s">
        <v>269</v>
      </c>
      <c r="F600" t="s">
        <v>270</v>
      </c>
      <c r="G600" t="s">
        <v>271</v>
      </c>
      <c r="H600" t="s">
        <v>22</v>
      </c>
      <c r="I600" t="s">
        <v>23</v>
      </c>
      <c r="J600" t="s">
        <v>215</v>
      </c>
      <c r="K600" t="s">
        <v>267</v>
      </c>
      <c r="L600">
        <v>28</v>
      </c>
      <c r="M600">
        <v>62</v>
      </c>
      <c r="N600">
        <v>2</v>
      </c>
      <c r="O600">
        <v>2</v>
      </c>
      <c r="P600">
        <v>0</v>
      </c>
      <c r="Q600">
        <v>0.50009999999999999</v>
      </c>
      <c r="R600">
        <v>456.66086413232534</v>
      </c>
      <c r="S600">
        <v>47.860864132325275</v>
      </c>
      <c r="T600">
        <v>0.34930555555555554</v>
      </c>
      <c r="U600">
        <v>41</v>
      </c>
      <c r="V600">
        <v>0.68611111111111112</v>
      </c>
      <c r="W600">
        <v>87.5</v>
      </c>
      <c r="X600">
        <v>11.9</v>
      </c>
      <c r="Y600">
        <v>40.5</v>
      </c>
      <c r="Z600">
        <v>0.36041666666666666</v>
      </c>
      <c r="AA600">
        <v>95</v>
      </c>
      <c r="AB600">
        <v>14.1</v>
      </c>
      <c r="AD600">
        <v>46.5</v>
      </c>
      <c r="AE600">
        <v>54.5</v>
      </c>
      <c r="AV600" t="s">
        <v>634</v>
      </c>
    </row>
    <row r="601" spans="1:48" x14ac:dyDescent="0.35">
      <c r="A601">
        <v>599</v>
      </c>
      <c r="B601">
        <v>46055</v>
      </c>
      <c r="C601" t="s">
        <v>16</v>
      </c>
      <c r="D601" t="s">
        <v>268</v>
      </c>
      <c r="E601" t="s">
        <v>269</v>
      </c>
      <c r="F601" t="s">
        <v>270</v>
      </c>
      <c r="G601" t="s">
        <v>271</v>
      </c>
      <c r="H601" t="s">
        <v>22</v>
      </c>
      <c r="I601" t="s">
        <v>23</v>
      </c>
      <c r="J601" t="s">
        <v>215</v>
      </c>
      <c r="K601" t="s">
        <v>267</v>
      </c>
      <c r="L601">
        <v>28</v>
      </c>
      <c r="M601">
        <v>62</v>
      </c>
      <c r="N601">
        <v>2</v>
      </c>
      <c r="O601">
        <v>3</v>
      </c>
      <c r="P601">
        <v>0</v>
      </c>
      <c r="Q601">
        <v>0.50060000000000004</v>
      </c>
      <c r="R601">
        <v>457.11743368254764</v>
      </c>
      <c r="S601">
        <v>200.31743368254763</v>
      </c>
      <c r="T601">
        <v>0.34930555555555554</v>
      </c>
      <c r="U601">
        <v>40.5</v>
      </c>
      <c r="V601">
        <v>0.68680555555555556</v>
      </c>
      <c r="W601">
        <v>83.5</v>
      </c>
      <c r="X601">
        <v>11.7</v>
      </c>
      <c r="Y601">
        <v>40</v>
      </c>
      <c r="Z601">
        <v>0.3611111111111111</v>
      </c>
      <c r="AA601">
        <v>94</v>
      </c>
      <c r="AB601">
        <v>14.1</v>
      </c>
      <c r="AD601">
        <v>43</v>
      </c>
      <c r="AE601">
        <v>54</v>
      </c>
      <c r="AF601">
        <v>42.336244932930278</v>
      </c>
      <c r="AG601">
        <v>52.00873479879084</v>
      </c>
      <c r="AH601">
        <v>94.344979731721111</v>
      </c>
      <c r="AI601">
        <v>4.9533406571528422</v>
      </c>
      <c r="AJ601">
        <v>7.333231606629508</v>
      </c>
      <c r="AK601">
        <v>12.28657226378235</v>
      </c>
      <c r="AL601">
        <v>206.39112136169467</v>
      </c>
      <c r="AM601">
        <v>43.821875719940536</v>
      </c>
      <c r="AN601">
        <v>2.1232442282797583</v>
      </c>
      <c r="AO601">
        <v>11.7</v>
      </c>
      <c r="AP601">
        <v>13.023027084981504</v>
      </c>
      <c r="AQ601">
        <v>26.878371635930545</v>
      </c>
      <c r="AR601">
        <v>61.335511532428349</v>
      </c>
      <c r="AS601">
        <v>-5.187639481699744</v>
      </c>
      <c r="AT601">
        <v>14.917961281672177</v>
      </c>
      <c r="AU601">
        <v>34.042270068517325</v>
      </c>
    </row>
    <row r="602" spans="1:48" x14ac:dyDescent="0.35">
      <c r="A602">
        <v>600</v>
      </c>
      <c r="B602">
        <v>46055</v>
      </c>
      <c r="C602" t="s">
        <v>16</v>
      </c>
      <c r="D602" t="s">
        <v>273</v>
      </c>
      <c r="E602" t="s">
        <v>235</v>
      </c>
      <c r="F602" t="s">
        <v>274</v>
      </c>
      <c r="G602" t="s">
        <v>275</v>
      </c>
      <c r="H602" t="s">
        <v>22</v>
      </c>
      <c r="I602" t="s">
        <v>23</v>
      </c>
      <c r="J602" t="s">
        <v>215</v>
      </c>
      <c r="K602" t="s">
        <v>272</v>
      </c>
      <c r="L602">
        <v>28</v>
      </c>
      <c r="M602">
        <v>62</v>
      </c>
      <c r="N602">
        <v>2</v>
      </c>
      <c r="O602">
        <v>1</v>
      </c>
      <c r="P602">
        <v>0</v>
      </c>
      <c r="Q602">
        <v>0.50019999999999998</v>
      </c>
      <c r="R602">
        <v>451.45794322967731</v>
      </c>
      <c r="S602">
        <v>170.25794322967732</v>
      </c>
      <c r="T602">
        <v>0.34930555555555554</v>
      </c>
      <c r="U602">
        <v>41.5</v>
      </c>
      <c r="V602">
        <v>0.6875</v>
      </c>
      <c r="W602">
        <v>76.5</v>
      </c>
      <c r="X602">
        <v>12.2</v>
      </c>
      <c r="Y602">
        <v>40.5</v>
      </c>
      <c r="Z602">
        <v>0.3611111111111111</v>
      </c>
      <c r="AA602">
        <v>82.5</v>
      </c>
      <c r="AB602">
        <v>17.2</v>
      </c>
      <c r="AD602">
        <v>35</v>
      </c>
      <c r="AE602">
        <v>42</v>
      </c>
      <c r="AF602">
        <v>34.336244932930278</v>
      </c>
      <c r="AG602">
        <v>40.00873479879084</v>
      </c>
      <c r="AH602">
        <v>74.344979731721111</v>
      </c>
      <c r="AI602">
        <v>4.189021881817494</v>
      </c>
      <c r="AJ602">
        <v>6.8815023853920243</v>
      </c>
      <c r="AK602">
        <v>11.070524267209517</v>
      </c>
      <c r="AL602">
        <v>164.67753164307138</v>
      </c>
      <c r="AM602">
        <v>37.712913413743905</v>
      </c>
      <c r="AN602">
        <v>2.2901067946223757</v>
      </c>
      <c r="AO602">
        <v>12.200000000000001</v>
      </c>
      <c r="AP602">
        <v>14.89074892098734</v>
      </c>
      <c r="AQ602">
        <v>24.521717766249235</v>
      </c>
      <c r="AR602">
        <v>65.022072140713121</v>
      </c>
      <c r="AS602">
        <v>-0.55669694541313985</v>
      </c>
      <c r="AT602">
        <v>13.609977611440753</v>
      </c>
      <c r="AU602">
        <v>36.088374987440773</v>
      </c>
    </row>
    <row r="603" spans="1:48" x14ac:dyDescent="0.35">
      <c r="A603">
        <v>601</v>
      </c>
      <c r="B603">
        <v>46055</v>
      </c>
      <c r="C603" t="s">
        <v>16</v>
      </c>
      <c r="D603" t="s">
        <v>273</v>
      </c>
      <c r="E603" t="s">
        <v>235</v>
      </c>
      <c r="F603" t="s">
        <v>274</v>
      </c>
      <c r="G603" t="s">
        <v>275</v>
      </c>
      <c r="H603" t="s">
        <v>22</v>
      </c>
      <c r="I603" t="s">
        <v>23</v>
      </c>
      <c r="J603" t="s">
        <v>215</v>
      </c>
      <c r="K603" t="s">
        <v>272</v>
      </c>
      <c r="L603">
        <v>28</v>
      </c>
      <c r="M603">
        <v>62</v>
      </c>
      <c r="N603">
        <v>2</v>
      </c>
      <c r="O603">
        <v>2</v>
      </c>
      <c r="P603">
        <v>0</v>
      </c>
      <c r="Q603">
        <v>0.50039999999999996</v>
      </c>
      <c r="R603">
        <v>451.63845420257996</v>
      </c>
      <c r="S603">
        <v>160.83845420258001</v>
      </c>
      <c r="T603">
        <v>0.35</v>
      </c>
      <c r="U603">
        <v>40.5</v>
      </c>
      <c r="V603">
        <v>0.6875</v>
      </c>
      <c r="W603">
        <v>74.5</v>
      </c>
      <c r="X603">
        <v>12.4</v>
      </c>
      <c r="Y603">
        <v>40</v>
      </c>
      <c r="Z603">
        <v>0.36180555555555555</v>
      </c>
      <c r="AA603">
        <v>82.5</v>
      </c>
      <c r="AB603">
        <v>17.3</v>
      </c>
      <c r="AD603">
        <v>34</v>
      </c>
      <c r="AE603">
        <v>42.5</v>
      </c>
      <c r="AF603">
        <v>33.336244932930278</v>
      </c>
      <c r="AG603">
        <v>40.50873479879084</v>
      </c>
      <c r="AH603">
        <v>73.844979731721111</v>
      </c>
      <c r="AI603">
        <v>4.1336943716833545</v>
      </c>
      <c r="AJ603">
        <v>7.0080111201908162</v>
      </c>
      <c r="AK603">
        <v>11.14170549187417</v>
      </c>
      <c r="AL603">
        <v>163.5046330634157</v>
      </c>
      <c r="AM603">
        <v>35.612214306808518</v>
      </c>
      <c r="AN603">
        <v>2.1780553639110782</v>
      </c>
      <c r="AO603">
        <v>12.4</v>
      </c>
      <c r="AP603">
        <v>15.087966077520772</v>
      </c>
      <c r="AQ603">
        <v>24.669523571782971</v>
      </c>
      <c r="AR603">
        <v>69.272647185734058</v>
      </c>
      <c r="AS603">
        <v>-0.46560787392280267</v>
      </c>
      <c r="AT603">
        <v>13.692012390705843</v>
      </c>
      <c r="AU603">
        <v>38.447517676788038</v>
      </c>
    </row>
    <row r="604" spans="1:48" x14ac:dyDescent="0.35">
      <c r="A604">
        <v>602</v>
      </c>
      <c r="B604">
        <v>46055</v>
      </c>
      <c r="C604" t="s">
        <v>16</v>
      </c>
      <c r="D604" t="s">
        <v>273</v>
      </c>
      <c r="E604" t="s">
        <v>235</v>
      </c>
      <c r="F604" t="s">
        <v>274</v>
      </c>
      <c r="G604" t="s">
        <v>275</v>
      </c>
      <c r="H604" t="s">
        <v>22</v>
      </c>
      <c r="I604" t="s">
        <v>23</v>
      </c>
      <c r="J604" t="s">
        <v>215</v>
      </c>
      <c r="K604" t="s">
        <v>272</v>
      </c>
      <c r="L604">
        <v>28</v>
      </c>
      <c r="M604">
        <v>62</v>
      </c>
      <c r="N604">
        <v>2</v>
      </c>
      <c r="O604">
        <v>3</v>
      </c>
      <c r="P604">
        <v>0</v>
      </c>
      <c r="Q604">
        <v>0.50009999999999999</v>
      </c>
      <c r="R604">
        <v>451.36768774322599</v>
      </c>
      <c r="S604">
        <v>186.66768774322594</v>
      </c>
      <c r="T604">
        <v>0.35</v>
      </c>
      <c r="U604">
        <v>40</v>
      </c>
      <c r="V604">
        <v>0.68819444444444444</v>
      </c>
      <c r="W604">
        <v>74</v>
      </c>
      <c r="X604">
        <v>12.5</v>
      </c>
      <c r="Y604">
        <v>40</v>
      </c>
      <c r="Z604">
        <v>0.36249999999999999</v>
      </c>
      <c r="AA604">
        <v>81.5</v>
      </c>
      <c r="AB604">
        <v>17.3</v>
      </c>
      <c r="AD604">
        <v>34</v>
      </c>
      <c r="AE604">
        <v>41.5</v>
      </c>
      <c r="AF604">
        <v>33.336244932930278</v>
      </c>
      <c r="AG604">
        <v>39.50873479879084</v>
      </c>
      <c r="AH604">
        <v>72.844979731721111</v>
      </c>
      <c r="AI604">
        <v>4.1670306166162847</v>
      </c>
      <c r="AJ604">
        <v>6.8350111201908161</v>
      </c>
      <c r="AK604">
        <v>11.002041736807101</v>
      </c>
      <c r="AL604">
        <v>161.38722755263146</v>
      </c>
      <c r="AM604">
        <v>41.356014799494787</v>
      </c>
      <c r="AN604">
        <v>2.5625333198073434</v>
      </c>
      <c r="AO604">
        <v>12.5</v>
      </c>
      <c r="AP604">
        <v>15.103363028346269</v>
      </c>
      <c r="AQ604">
        <v>24.374898858657208</v>
      </c>
      <c r="AR604">
        <v>58.93918690384784</v>
      </c>
      <c r="AS604">
        <v>-0.85458819850463352</v>
      </c>
      <c r="AT604">
        <v>13.528490577607668</v>
      </c>
      <c r="AU604">
        <v>32.712268440751537</v>
      </c>
    </row>
    <row r="605" spans="1:48" x14ac:dyDescent="0.35">
      <c r="A605">
        <v>603</v>
      </c>
      <c r="B605">
        <v>46055</v>
      </c>
      <c r="C605" t="s">
        <v>16</v>
      </c>
      <c r="D605" t="s">
        <v>277</v>
      </c>
      <c r="E605" t="s">
        <v>269</v>
      </c>
      <c r="F605" t="s">
        <v>270</v>
      </c>
      <c r="G605" t="s">
        <v>271</v>
      </c>
      <c r="H605" t="s">
        <v>22</v>
      </c>
      <c r="I605" t="s">
        <v>23</v>
      </c>
      <c r="J605" t="s">
        <v>215</v>
      </c>
      <c r="K605" t="s">
        <v>276</v>
      </c>
      <c r="L605">
        <v>28</v>
      </c>
      <c r="M605">
        <v>62</v>
      </c>
      <c r="N605">
        <v>2</v>
      </c>
      <c r="O605">
        <v>1</v>
      </c>
      <c r="P605">
        <v>0</v>
      </c>
      <c r="Q605">
        <v>0.50049999999999994</v>
      </c>
      <c r="R605">
        <v>460.48902609739002</v>
      </c>
      <c r="S605">
        <v>39.589026097390104</v>
      </c>
      <c r="T605">
        <v>0.35069444444444442</v>
      </c>
      <c r="U605">
        <v>41</v>
      </c>
      <c r="V605">
        <v>0.68819444444444444</v>
      </c>
      <c r="W605">
        <v>78.5</v>
      </c>
      <c r="X605">
        <v>12.5</v>
      </c>
      <c r="Y605">
        <v>40</v>
      </c>
      <c r="Z605">
        <v>0.36249999999999999</v>
      </c>
      <c r="AA605">
        <v>98</v>
      </c>
      <c r="AB605">
        <v>14.3</v>
      </c>
      <c r="AD605">
        <v>37.5</v>
      </c>
      <c r="AE605">
        <v>58</v>
      </c>
      <c r="AV605" t="s">
        <v>635</v>
      </c>
    </row>
    <row r="606" spans="1:48" x14ac:dyDescent="0.35">
      <c r="A606">
        <v>604</v>
      </c>
      <c r="B606">
        <v>46055</v>
      </c>
      <c r="C606" t="s">
        <v>16</v>
      </c>
      <c r="D606" t="s">
        <v>277</v>
      </c>
      <c r="E606" t="s">
        <v>269</v>
      </c>
      <c r="F606" t="s">
        <v>270</v>
      </c>
      <c r="G606" t="s">
        <v>271</v>
      </c>
      <c r="H606" t="s">
        <v>22</v>
      </c>
      <c r="I606" t="s">
        <v>23</v>
      </c>
      <c r="J606" t="s">
        <v>215</v>
      </c>
      <c r="K606" t="s">
        <v>276</v>
      </c>
      <c r="L606">
        <v>28</v>
      </c>
      <c r="M606">
        <v>62</v>
      </c>
      <c r="N606">
        <v>2</v>
      </c>
      <c r="O606">
        <v>2</v>
      </c>
      <c r="P606">
        <v>0</v>
      </c>
      <c r="Q606">
        <v>0.50009999999999999</v>
      </c>
      <c r="R606">
        <v>460.12100289970982</v>
      </c>
      <c r="S606">
        <v>180.42100289970989</v>
      </c>
      <c r="T606">
        <v>0.35069444444444442</v>
      </c>
      <c r="U606">
        <v>40.5</v>
      </c>
      <c r="V606">
        <v>0.68888888888888888</v>
      </c>
      <c r="W606">
        <v>78.5</v>
      </c>
      <c r="X606">
        <v>11.9</v>
      </c>
      <c r="Y606">
        <v>40</v>
      </c>
      <c r="Z606">
        <v>0.36319444444444443</v>
      </c>
      <c r="AA606">
        <v>96</v>
      </c>
      <c r="AB606">
        <v>14.3</v>
      </c>
      <c r="AD606">
        <v>38</v>
      </c>
      <c r="AE606">
        <v>56</v>
      </c>
      <c r="AF606">
        <v>37.336244932930278</v>
      </c>
      <c r="AG606">
        <v>54.00873479879084</v>
      </c>
      <c r="AH606">
        <v>91.344979731721111</v>
      </c>
      <c r="AI606">
        <v>4.4430131470187035</v>
      </c>
      <c r="AJ606">
        <v>7.7232490762270913</v>
      </c>
      <c r="AK606">
        <v>12.166262223245795</v>
      </c>
      <c r="AL606">
        <v>198.52382124714944</v>
      </c>
      <c r="AM606">
        <v>39.21164253809021</v>
      </c>
      <c r="AN606">
        <v>1.9751605772928493</v>
      </c>
      <c r="AO606">
        <v>11.9</v>
      </c>
      <c r="AP606">
        <v>13.319026682120827</v>
      </c>
      <c r="AQ606">
        <v>26.441440722273683</v>
      </c>
      <c r="AR606">
        <v>67.432627175942585</v>
      </c>
      <c r="AS606">
        <v>-0.56336524931015042</v>
      </c>
      <c r="AT606">
        <v>14.675457065234252</v>
      </c>
      <c r="AU606">
        <v>37.42627473709755</v>
      </c>
    </row>
    <row r="607" spans="1:48" x14ac:dyDescent="0.35">
      <c r="A607">
        <v>605</v>
      </c>
      <c r="B607">
        <v>46055</v>
      </c>
      <c r="C607" t="s">
        <v>16</v>
      </c>
      <c r="D607" t="s">
        <v>277</v>
      </c>
      <c r="E607" t="s">
        <v>269</v>
      </c>
      <c r="F607" t="s">
        <v>270</v>
      </c>
      <c r="G607" t="s">
        <v>271</v>
      </c>
      <c r="H607" t="s">
        <v>22</v>
      </c>
      <c r="I607" t="s">
        <v>23</v>
      </c>
      <c r="J607" t="s">
        <v>215</v>
      </c>
      <c r="K607" t="s">
        <v>276</v>
      </c>
      <c r="L607">
        <v>28</v>
      </c>
      <c r="M607">
        <v>62</v>
      </c>
      <c r="N607">
        <v>2</v>
      </c>
      <c r="O607">
        <v>3</v>
      </c>
      <c r="P607">
        <v>0</v>
      </c>
      <c r="Q607">
        <v>0.50009999999999999</v>
      </c>
      <c r="R607">
        <v>460.12100289970982</v>
      </c>
      <c r="S607">
        <v>152.12100289970988</v>
      </c>
      <c r="T607">
        <v>0.35069444444444442</v>
      </c>
      <c r="U607">
        <v>40</v>
      </c>
      <c r="V607">
        <v>0.68888888888888888</v>
      </c>
      <c r="W607">
        <v>77</v>
      </c>
      <c r="X607">
        <v>11.7</v>
      </c>
      <c r="Y607">
        <v>39</v>
      </c>
      <c r="Z607">
        <v>0.36388888888888887</v>
      </c>
      <c r="AA607">
        <v>98.5</v>
      </c>
      <c r="AB607">
        <v>14</v>
      </c>
      <c r="AD607">
        <v>37</v>
      </c>
      <c r="AE607">
        <v>59.5</v>
      </c>
      <c r="AF607">
        <v>36.336244932930278</v>
      </c>
      <c r="AG607">
        <v>57.50873479879084</v>
      </c>
      <c r="AH607">
        <v>93.844979731721111</v>
      </c>
      <c r="AI607">
        <v>4.2513406571528423</v>
      </c>
      <c r="AJ607">
        <v>8.0512228718307188</v>
      </c>
      <c r="AK607">
        <v>12.302563528983562</v>
      </c>
      <c r="AL607">
        <v>203.95717461342667</v>
      </c>
      <c r="AM607">
        <v>33.061086527464361</v>
      </c>
      <c r="AN607">
        <v>1.6209817865013672</v>
      </c>
      <c r="AO607">
        <v>11.7</v>
      </c>
      <c r="AP607">
        <v>13.109453019387352</v>
      </c>
      <c r="AQ607">
        <v>26.737669985616996</v>
      </c>
      <c r="AR607">
        <v>80.873536819201604</v>
      </c>
      <c r="AS607">
        <v>-0.36292114171278755</v>
      </c>
      <c r="AT607">
        <v>14.839869431463551</v>
      </c>
      <c r="AU607">
        <v>44.886212130795634</v>
      </c>
    </row>
    <row r="608" spans="1:48" x14ac:dyDescent="0.35">
      <c r="A608">
        <v>606</v>
      </c>
      <c r="B608">
        <v>46055</v>
      </c>
      <c r="C608" t="s">
        <v>16</v>
      </c>
      <c r="D608" t="s">
        <v>279</v>
      </c>
      <c r="E608" t="s">
        <v>269</v>
      </c>
      <c r="F608" t="s">
        <v>270</v>
      </c>
      <c r="G608" t="s">
        <v>271</v>
      </c>
      <c r="H608" t="s">
        <v>22</v>
      </c>
      <c r="I608" t="s">
        <v>23</v>
      </c>
      <c r="J608" t="s">
        <v>215</v>
      </c>
      <c r="K608" t="s">
        <v>278</v>
      </c>
      <c r="L608">
        <v>28</v>
      </c>
      <c r="M608">
        <v>62</v>
      </c>
      <c r="N608">
        <v>2</v>
      </c>
      <c r="O608">
        <v>1</v>
      </c>
      <c r="P608">
        <v>0</v>
      </c>
      <c r="Q608">
        <v>0.50060000000000004</v>
      </c>
      <c r="R608">
        <v>461.38973517171809</v>
      </c>
      <c r="S608">
        <v>218.38973517171809</v>
      </c>
      <c r="T608">
        <v>0.35208333333333336</v>
      </c>
      <c r="U608">
        <v>40.5</v>
      </c>
      <c r="V608">
        <v>0.68888888888888888</v>
      </c>
      <c r="W608">
        <v>79</v>
      </c>
      <c r="X608">
        <v>12</v>
      </c>
      <c r="Y608">
        <v>40</v>
      </c>
      <c r="Z608">
        <v>0.36388888888888887</v>
      </c>
      <c r="AA608">
        <v>89</v>
      </c>
      <c r="AB608">
        <v>13.3</v>
      </c>
      <c r="AD608">
        <v>38.5</v>
      </c>
      <c r="AE608">
        <v>49</v>
      </c>
      <c r="AF608">
        <v>37.836244932930278</v>
      </c>
      <c r="AG608">
        <v>47.00873479879084</v>
      </c>
      <c r="AH608">
        <v>84.844979731721111</v>
      </c>
      <c r="AI608">
        <v>4.5403493919516329</v>
      </c>
      <c r="AJ608">
        <v>6.2521617282391819</v>
      </c>
      <c r="AK608">
        <v>10.792511120190815</v>
      </c>
      <c r="AL608">
        <v>183.89004623205122</v>
      </c>
      <c r="AM608">
        <v>47.333028570832575</v>
      </c>
      <c r="AN608">
        <v>2.5739853537859756</v>
      </c>
      <c r="AO608">
        <v>11.999999999999998</v>
      </c>
      <c r="AP608">
        <v>12.720270727056114</v>
      </c>
      <c r="AQ608">
        <v>23.39131172082557</v>
      </c>
      <c r="AR608">
        <v>49.418582387605127</v>
      </c>
      <c r="AS608">
        <v>-0.91736251171419003</v>
      </c>
      <c r="AT608">
        <v>12.982582699032598</v>
      </c>
      <c r="AU608">
        <v>27.428168217895713</v>
      </c>
    </row>
    <row r="609" spans="1:48" x14ac:dyDescent="0.35">
      <c r="A609">
        <v>607</v>
      </c>
      <c r="B609">
        <v>46055</v>
      </c>
      <c r="C609" t="s">
        <v>16</v>
      </c>
      <c r="D609" t="s">
        <v>279</v>
      </c>
      <c r="E609" t="s">
        <v>269</v>
      </c>
      <c r="F609" t="s">
        <v>270</v>
      </c>
      <c r="G609" t="s">
        <v>271</v>
      </c>
      <c r="H609" t="s">
        <v>22</v>
      </c>
      <c r="I609" t="s">
        <v>23</v>
      </c>
      <c r="J609" t="s">
        <v>215</v>
      </c>
      <c r="K609" t="s">
        <v>278</v>
      </c>
      <c r="L609">
        <v>28</v>
      </c>
      <c r="M609">
        <v>62</v>
      </c>
      <c r="N609">
        <v>2</v>
      </c>
      <c r="O609">
        <v>2</v>
      </c>
      <c r="P609">
        <v>0</v>
      </c>
      <c r="Q609">
        <v>0.50060000000000004</v>
      </c>
      <c r="R609">
        <v>461.38973517171809</v>
      </c>
      <c r="S609">
        <v>219.48973517171808</v>
      </c>
      <c r="T609">
        <v>0.35208333333333336</v>
      </c>
      <c r="U609">
        <v>41</v>
      </c>
      <c r="V609">
        <v>0.68958333333333333</v>
      </c>
      <c r="W609">
        <v>77.5</v>
      </c>
      <c r="X609">
        <v>12.1</v>
      </c>
      <c r="Y609">
        <v>40</v>
      </c>
      <c r="Z609">
        <v>0.36458333333333331</v>
      </c>
      <c r="AA609">
        <v>86.5</v>
      </c>
      <c r="AB609">
        <v>13.2</v>
      </c>
      <c r="AD609">
        <v>36.5</v>
      </c>
      <c r="AE609">
        <v>46.5</v>
      </c>
      <c r="AF609">
        <v>35.836244932930278</v>
      </c>
      <c r="AG609">
        <v>44.50873479879084</v>
      </c>
      <c r="AH609">
        <v>80.344979731721111</v>
      </c>
      <c r="AI609">
        <v>4.3361856368845633</v>
      </c>
      <c r="AJ609">
        <v>5.8751529934403912</v>
      </c>
      <c r="AK609">
        <v>10.211338630324954</v>
      </c>
      <c r="AL609">
        <v>174.13690337479801</v>
      </c>
      <c r="AM609">
        <v>47.571438729565436</v>
      </c>
      <c r="AN609">
        <v>2.7318413160923489</v>
      </c>
      <c r="AO609">
        <v>12.1</v>
      </c>
      <c r="AP609">
        <v>12.709367361123874</v>
      </c>
      <c r="AQ609">
        <v>22.131698761188396</v>
      </c>
      <c r="AR609">
        <v>46.523080554706119</v>
      </c>
      <c r="AS609">
        <v>-0.9069661412786425</v>
      </c>
      <c r="AT609">
        <v>12.283475713822208</v>
      </c>
      <c r="AU609">
        <v>25.821114605449349</v>
      </c>
    </row>
    <row r="610" spans="1:48" x14ac:dyDescent="0.35">
      <c r="A610">
        <v>608</v>
      </c>
      <c r="B610">
        <v>46055</v>
      </c>
      <c r="C610" t="s">
        <v>16</v>
      </c>
      <c r="D610" t="s">
        <v>279</v>
      </c>
      <c r="E610" t="s">
        <v>269</v>
      </c>
      <c r="F610" t="s">
        <v>270</v>
      </c>
      <c r="G610" t="s">
        <v>271</v>
      </c>
      <c r="H610" t="s">
        <v>22</v>
      </c>
      <c r="I610" t="s">
        <v>23</v>
      </c>
      <c r="J610" t="s">
        <v>215</v>
      </c>
      <c r="K610" t="s">
        <v>278</v>
      </c>
      <c r="L610">
        <v>28</v>
      </c>
      <c r="M610">
        <v>62</v>
      </c>
      <c r="N610">
        <v>2</v>
      </c>
      <c r="O610">
        <v>3</v>
      </c>
      <c r="P610">
        <v>0</v>
      </c>
      <c r="Q610">
        <v>0.50039999999999996</v>
      </c>
      <c r="R610">
        <v>461.20540047928034</v>
      </c>
      <c r="S610">
        <v>142.90540047928033</v>
      </c>
      <c r="T610">
        <v>0.3527777777777778</v>
      </c>
      <c r="U610">
        <v>40.5</v>
      </c>
      <c r="V610">
        <v>0.69027777777777777</v>
      </c>
      <c r="W610">
        <v>76.5</v>
      </c>
      <c r="X610">
        <v>12.1</v>
      </c>
      <c r="Y610">
        <v>39</v>
      </c>
      <c r="Z610">
        <v>0.36527777777777776</v>
      </c>
      <c r="AA610">
        <v>82</v>
      </c>
      <c r="AB610">
        <v>13.5</v>
      </c>
      <c r="AD610">
        <v>36</v>
      </c>
      <c r="AE610">
        <v>43</v>
      </c>
      <c r="AF610">
        <v>35.336244932930278</v>
      </c>
      <c r="AG610">
        <v>41.00873479879084</v>
      </c>
      <c r="AH610">
        <v>76.344979731721111</v>
      </c>
      <c r="AI610">
        <v>4.275685636884563</v>
      </c>
      <c r="AJ610">
        <v>5.5361791978367636</v>
      </c>
      <c r="AK610">
        <v>9.8118648347213266</v>
      </c>
      <c r="AL610">
        <v>165.53357712720648</v>
      </c>
      <c r="AM610">
        <v>30.985196689105194</v>
      </c>
      <c r="AN610">
        <v>1.8718375586902352</v>
      </c>
      <c r="AO610">
        <v>12.099999999999998</v>
      </c>
      <c r="AP610">
        <v>12.852010530621081</v>
      </c>
      <c r="AQ610">
        <v>21.274392764102348</v>
      </c>
      <c r="AR610">
        <v>68.659860311884685</v>
      </c>
      <c r="AS610">
        <v>-0.21120544946087857</v>
      </c>
      <c r="AT610">
        <v>11.807656053155764</v>
      </c>
      <c r="AU610">
        <v>38.107410359952603</v>
      </c>
    </row>
    <row r="611" spans="1:48" x14ac:dyDescent="0.35">
      <c r="A611">
        <v>609</v>
      </c>
      <c r="B611">
        <v>46055</v>
      </c>
      <c r="C611" t="s">
        <v>16</v>
      </c>
      <c r="D611" t="s">
        <v>281</v>
      </c>
      <c r="E611" t="s">
        <v>269</v>
      </c>
      <c r="F611" t="s">
        <v>282</v>
      </c>
      <c r="G611" t="s">
        <v>283</v>
      </c>
      <c r="H611" t="s">
        <v>22</v>
      </c>
      <c r="I611" t="s">
        <v>23</v>
      </c>
      <c r="J611" t="s">
        <v>215</v>
      </c>
      <c r="K611" t="s">
        <v>280</v>
      </c>
      <c r="L611">
        <v>28</v>
      </c>
      <c r="M611">
        <v>62</v>
      </c>
      <c r="N611">
        <v>2</v>
      </c>
      <c r="O611">
        <v>1</v>
      </c>
      <c r="P611">
        <v>0</v>
      </c>
      <c r="Q611">
        <v>0.5</v>
      </c>
      <c r="R611">
        <v>455.96321103668919</v>
      </c>
      <c r="S611">
        <v>240.0632110366891</v>
      </c>
      <c r="T611">
        <v>0.3527777777777778</v>
      </c>
      <c r="U611">
        <v>41.5</v>
      </c>
      <c r="V611">
        <v>0.69097222222222221</v>
      </c>
      <c r="W611">
        <v>82.5</v>
      </c>
      <c r="X611">
        <v>12.5</v>
      </c>
      <c r="Y611">
        <v>40.5</v>
      </c>
      <c r="Z611">
        <v>0.36527777777777776</v>
      </c>
      <c r="AA611">
        <v>92</v>
      </c>
      <c r="AB611">
        <v>14.8</v>
      </c>
      <c r="AD611">
        <v>41</v>
      </c>
      <c r="AE611">
        <v>51.5</v>
      </c>
      <c r="AF611">
        <v>40.336244932930278</v>
      </c>
      <c r="AG611">
        <v>49.50873479879084</v>
      </c>
      <c r="AH611">
        <v>89.844979731721111</v>
      </c>
      <c r="AI611">
        <v>5.0420306166162847</v>
      </c>
      <c r="AJ611">
        <v>7.3272927502210452</v>
      </c>
      <c r="AK611">
        <v>12.36932336683733</v>
      </c>
      <c r="AL611">
        <v>197.04436138048803</v>
      </c>
      <c r="AM611">
        <v>52.649688664766501</v>
      </c>
      <c r="AN611">
        <v>2.6719713416767705</v>
      </c>
      <c r="AO611">
        <v>12.5</v>
      </c>
      <c r="AP611">
        <v>13.767406263290809</v>
      </c>
      <c r="AQ611">
        <v>27.127897750158684</v>
      </c>
      <c r="AR611">
        <v>51.525276669513985</v>
      </c>
      <c r="AS611">
        <v>2.5902895577888243</v>
      </c>
      <c r="AT611">
        <v>15.056452592129595</v>
      </c>
      <c r="AU611">
        <v>28.597419992353096</v>
      </c>
    </row>
    <row r="612" spans="1:48" x14ac:dyDescent="0.35">
      <c r="A612">
        <v>610</v>
      </c>
      <c r="B612">
        <v>46055</v>
      </c>
      <c r="C612" t="s">
        <v>16</v>
      </c>
      <c r="D612" t="s">
        <v>281</v>
      </c>
      <c r="E612" t="s">
        <v>269</v>
      </c>
      <c r="F612" t="s">
        <v>282</v>
      </c>
      <c r="G612" t="s">
        <v>283</v>
      </c>
      <c r="H612" t="s">
        <v>22</v>
      </c>
      <c r="I612" t="s">
        <v>23</v>
      </c>
      <c r="J612" t="s">
        <v>215</v>
      </c>
      <c r="K612" t="s">
        <v>280</v>
      </c>
      <c r="L612">
        <v>28</v>
      </c>
      <c r="M612">
        <v>62</v>
      </c>
      <c r="N612">
        <v>2</v>
      </c>
      <c r="O612">
        <v>2</v>
      </c>
      <c r="P612">
        <v>0</v>
      </c>
      <c r="Q612">
        <v>0.50049999999999994</v>
      </c>
      <c r="R612">
        <v>456.41917424772589</v>
      </c>
      <c r="S612">
        <v>273.01917424772591</v>
      </c>
      <c r="T612">
        <v>0.3527777777777778</v>
      </c>
      <c r="U612">
        <v>41</v>
      </c>
      <c r="V612">
        <v>0.69097222222222221</v>
      </c>
      <c r="W612">
        <v>82</v>
      </c>
      <c r="X612">
        <v>12.7</v>
      </c>
      <c r="Y612">
        <v>40.5</v>
      </c>
      <c r="Z612">
        <v>0.3659722222222222</v>
      </c>
      <c r="AA612">
        <v>93.5</v>
      </c>
      <c r="AB612">
        <v>14.9</v>
      </c>
      <c r="AD612">
        <v>41</v>
      </c>
      <c r="AE612">
        <v>53</v>
      </c>
      <c r="AF612">
        <v>40.336244932930278</v>
      </c>
      <c r="AG612">
        <v>51.00873479879084</v>
      </c>
      <c r="AH612">
        <v>91.344979731721111</v>
      </c>
      <c r="AI612">
        <v>5.1227031064821453</v>
      </c>
      <c r="AJ612">
        <v>7.6003014850198349</v>
      </c>
      <c r="AK612">
        <v>12.723004591501979</v>
      </c>
      <c r="AL612">
        <v>200.13396650628607</v>
      </c>
      <c r="AM612">
        <v>59.81763905903351</v>
      </c>
      <c r="AN612">
        <v>2.9888799039594653</v>
      </c>
      <c r="AO612">
        <v>12.700000000000001</v>
      </c>
      <c r="AP612">
        <v>13.928520898323324</v>
      </c>
      <c r="AQ612">
        <v>27.875701349471456</v>
      </c>
      <c r="AR612">
        <v>46.601139376231757</v>
      </c>
      <c r="AS612">
        <v>0.66298425234909075</v>
      </c>
      <c r="AT612">
        <v>15.471496527526718</v>
      </c>
      <c r="AU612">
        <v>25.864438601894719</v>
      </c>
    </row>
    <row r="613" spans="1:48" x14ac:dyDescent="0.35">
      <c r="A613">
        <v>611</v>
      </c>
      <c r="B613">
        <v>46055</v>
      </c>
      <c r="C613" t="s">
        <v>16</v>
      </c>
      <c r="D613" t="s">
        <v>281</v>
      </c>
      <c r="E613" t="s">
        <v>269</v>
      </c>
      <c r="F613" t="s">
        <v>282</v>
      </c>
      <c r="G613" t="s">
        <v>283</v>
      </c>
      <c r="H613" t="s">
        <v>22</v>
      </c>
      <c r="I613" t="s">
        <v>23</v>
      </c>
      <c r="J613" t="s">
        <v>215</v>
      </c>
      <c r="K613" t="s">
        <v>280</v>
      </c>
      <c r="L613">
        <v>28</v>
      </c>
      <c r="M613">
        <v>62</v>
      </c>
      <c r="N613">
        <v>2</v>
      </c>
      <c r="O613">
        <v>3</v>
      </c>
      <c r="P613">
        <v>0</v>
      </c>
      <c r="Q613">
        <v>0.50009999999999999</v>
      </c>
      <c r="R613">
        <v>456.05440367889656</v>
      </c>
      <c r="S613">
        <v>206.75440367889661</v>
      </c>
      <c r="T613">
        <v>0.35347222222222224</v>
      </c>
      <c r="U613">
        <v>41.5</v>
      </c>
      <c r="V613">
        <v>0.69166666666666665</v>
      </c>
      <c r="W613">
        <v>83.5</v>
      </c>
      <c r="X613">
        <v>12.7</v>
      </c>
      <c r="Y613">
        <v>40.5</v>
      </c>
      <c r="Z613">
        <v>0.36666666666666664</v>
      </c>
      <c r="AA613">
        <v>90.5</v>
      </c>
      <c r="AB613">
        <v>15.3</v>
      </c>
      <c r="AD613">
        <v>42</v>
      </c>
      <c r="AE613">
        <v>50</v>
      </c>
      <c r="AF613">
        <v>41.336244932930278</v>
      </c>
      <c r="AG613">
        <v>48.00873479879084</v>
      </c>
      <c r="AH613">
        <v>89.344979731721111</v>
      </c>
      <c r="AI613">
        <v>5.2497031064821451</v>
      </c>
      <c r="AJ613">
        <v>7.3453364242149988</v>
      </c>
      <c r="AK613">
        <v>12.595039530697143</v>
      </c>
      <c r="AL613">
        <v>195.90859996306062</v>
      </c>
      <c r="AM613">
        <v>45.33546919206384</v>
      </c>
      <c r="AN613">
        <v>2.3141132753034848</v>
      </c>
      <c r="AO613">
        <v>12.7</v>
      </c>
      <c r="AP613">
        <v>14.097087008712355</v>
      </c>
      <c r="AQ613">
        <v>27.617405794342876</v>
      </c>
      <c r="AR613">
        <v>60.917877958517778</v>
      </c>
      <c r="AS613">
        <v>-1.2678550803640793</v>
      </c>
      <c r="AT613">
        <v>15.328138025649125</v>
      </c>
      <c r="AU613">
        <v>33.810476209502603</v>
      </c>
    </row>
    <row r="614" spans="1:48" x14ac:dyDescent="0.35">
      <c r="A614">
        <v>612</v>
      </c>
      <c r="B614">
        <v>46055</v>
      </c>
      <c r="C614" t="s">
        <v>16</v>
      </c>
      <c r="D614" t="s">
        <v>285</v>
      </c>
      <c r="E614" t="s">
        <v>269</v>
      </c>
      <c r="F614" t="s">
        <v>282</v>
      </c>
      <c r="G614" t="s">
        <v>283</v>
      </c>
      <c r="H614" t="s">
        <v>22</v>
      </c>
      <c r="I614" t="s">
        <v>23</v>
      </c>
      <c r="J614" t="s">
        <v>215</v>
      </c>
      <c r="K614" t="s">
        <v>284</v>
      </c>
      <c r="L614">
        <v>28</v>
      </c>
      <c r="M614">
        <v>62</v>
      </c>
      <c r="N614">
        <v>2</v>
      </c>
      <c r="O614">
        <v>1</v>
      </c>
      <c r="P614">
        <v>0</v>
      </c>
      <c r="Q614">
        <v>0.50060000000000004</v>
      </c>
      <c r="R614">
        <v>467.59207379771863</v>
      </c>
      <c r="S614">
        <v>206.39207379771864</v>
      </c>
      <c r="T614">
        <v>0.35416666666666669</v>
      </c>
      <c r="U614">
        <v>41</v>
      </c>
      <c r="V614">
        <v>0.69166666666666665</v>
      </c>
      <c r="W614">
        <v>84.5</v>
      </c>
      <c r="X614">
        <v>12.7</v>
      </c>
      <c r="Y614">
        <v>40</v>
      </c>
      <c r="Z614">
        <v>0.36666666666666664</v>
      </c>
      <c r="AA614">
        <v>84.5</v>
      </c>
      <c r="AB614">
        <v>16.3</v>
      </c>
      <c r="AD614">
        <v>43.5</v>
      </c>
      <c r="AE614">
        <v>44.5</v>
      </c>
      <c r="AF614">
        <v>42.836244932930278</v>
      </c>
      <c r="AG614">
        <v>42.50873479879084</v>
      </c>
      <c r="AH614">
        <v>85.344979731721111</v>
      </c>
      <c r="AI614">
        <v>5.4402031064821452</v>
      </c>
      <c r="AJ614">
        <v>6.9289237722029071</v>
      </c>
      <c r="AK614">
        <v>12.369126878685051</v>
      </c>
      <c r="AL614">
        <v>182.52015916044277</v>
      </c>
      <c r="AM614">
        <v>44.139343963089566</v>
      </c>
      <c r="AN614">
        <v>2.418327058562844</v>
      </c>
      <c r="AO614">
        <v>12.7</v>
      </c>
      <c r="AP614">
        <v>14.493092525848573</v>
      </c>
      <c r="AQ614">
        <v>26.452815545449052</v>
      </c>
      <c r="AR614">
        <v>59.930241753410655</v>
      </c>
      <c r="AS614">
        <v>11.896518468075909</v>
      </c>
      <c r="AT614">
        <v>14.681770288892832</v>
      </c>
      <c r="AU614">
        <v>33.262321028536576</v>
      </c>
    </row>
    <row r="615" spans="1:48" x14ac:dyDescent="0.35">
      <c r="A615">
        <v>613</v>
      </c>
      <c r="B615">
        <v>46055</v>
      </c>
      <c r="C615" t="s">
        <v>16</v>
      </c>
      <c r="D615" t="s">
        <v>285</v>
      </c>
      <c r="E615" t="s">
        <v>269</v>
      </c>
      <c r="F615" t="s">
        <v>282</v>
      </c>
      <c r="G615" t="s">
        <v>283</v>
      </c>
      <c r="H615" t="s">
        <v>22</v>
      </c>
      <c r="I615" t="s">
        <v>23</v>
      </c>
      <c r="J615" t="s">
        <v>215</v>
      </c>
      <c r="K615" t="s">
        <v>284</v>
      </c>
      <c r="L615">
        <v>28</v>
      </c>
      <c r="M615">
        <v>62</v>
      </c>
      <c r="N615">
        <v>2</v>
      </c>
      <c r="O615">
        <v>2</v>
      </c>
      <c r="P615">
        <v>0</v>
      </c>
      <c r="Q615">
        <v>0.50039999999999996</v>
      </c>
      <c r="R615">
        <v>467.40526114338462</v>
      </c>
      <c r="S615">
        <v>198.20526114338463</v>
      </c>
      <c r="T615">
        <v>0.35416666666666669</v>
      </c>
      <c r="U615">
        <v>41</v>
      </c>
      <c r="V615">
        <v>0.69236111111111109</v>
      </c>
      <c r="W615">
        <v>83.5</v>
      </c>
      <c r="X615">
        <v>12.7</v>
      </c>
      <c r="Y615">
        <v>40</v>
      </c>
      <c r="Z615">
        <v>0.36736111111111114</v>
      </c>
      <c r="AA615">
        <v>84</v>
      </c>
      <c r="AB615">
        <v>16.399999999999999</v>
      </c>
      <c r="AD615">
        <v>42.5</v>
      </c>
      <c r="AE615">
        <v>44</v>
      </c>
      <c r="AF615">
        <v>41.836244932930278</v>
      </c>
      <c r="AG615">
        <v>42.00873479879084</v>
      </c>
      <c r="AH615">
        <v>83.844979731721111</v>
      </c>
      <c r="AI615">
        <v>5.3132031064821454</v>
      </c>
      <c r="AJ615">
        <v>6.8894325070016968</v>
      </c>
      <c r="AK615">
        <v>12.202635613483842</v>
      </c>
      <c r="AL615">
        <v>179.38390236904121</v>
      </c>
      <c r="AM615">
        <v>42.405440764301055</v>
      </c>
      <c r="AN615">
        <v>2.3639490614415108</v>
      </c>
      <c r="AO615">
        <v>12.700000000000001</v>
      </c>
      <c r="AP615">
        <v>14.553805907674652</v>
      </c>
      <c r="AQ615">
        <v>26.107184980402849</v>
      </c>
      <c r="AR615">
        <v>61.565649383324264</v>
      </c>
      <c r="AS615">
        <v>-6.0052938090995545</v>
      </c>
      <c r="AT615">
        <v>14.489939345524625</v>
      </c>
      <c r="AU615">
        <v>34.170000557388271</v>
      </c>
    </row>
    <row r="616" spans="1:48" x14ac:dyDescent="0.35">
      <c r="A616">
        <v>614</v>
      </c>
      <c r="B616">
        <v>46055</v>
      </c>
      <c r="C616" t="s">
        <v>16</v>
      </c>
      <c r="D616" t="s">
        <v>285</v>
      </c>
      <c r="E616" t="s">
        <v>269</v>
      </c>
      <c r="F616" t="s">
        <v>282</v>
      </c>
      <c r="G616" t="s">
        <v>283</v>
      </c>
      <c r="H616" t="s">
        <v>22</v>
      </c>
      <c r="I616" t="s">
        <v>23</v>
      </c>
      <c r="J616" t="s">
        <v>215</v>
      </c>
      <c r="K616" t="s">
        <v>284</v>
      </c>
      <c r="L616">
        <v>28</v>
      </c>
      <c r="M616">
        <v>62</v>
      </c>
      <c r="N616">
        <v>2</v>
      </c>
      <c r="O616">
        <v>3</v>
      </c>
      <c r="P616">
        <v>0</v>
      </c>
      <c r="Q616">
        <v>0.50009999999999999</v>
      </c>
      <c r="R616">
        <v>467.12504216188375</v>
      </c>
      <c r="S616">
        <v>162.52504216188379</v>
      </c>
      <c r="T616">
        <v>0.35416666666666669</v>
      </c>
      <c r="U616">
        <v>40.5</v>
      </c>
      <c r="V616">
        <v>0.69236111111111109</v>
      </c>
      <c r="W616">
        <v>83.5</v>
      </c>
      <c r="X616">
        <v>12.6</v>
      </c>
      <c r="Y616">
        <v>40</v>
      </c>
      <c r="Z616">
        <v>0.36736111111111114</v>
      </c>
      <c r="AA616">
        <v>85</v>
      </c>
      <c r="AB616">
        <v>16.2</v>
      </c>
      <c r="AD616">
        <v>43</v>
      </c>
      <c r="AE616">
        <v>45</v>
      </c>
      <c r="AF616">
        <v>42.336244932930278</v>
      </c>
      <c r="AG616">
        <v>43.00873479879084</v>
      </c>
      <c r="AH616">
        <v>85.344979731721111</v>
      </c>
      <c r="AI616">
        <v>5.3343668615492152</v>
      </c>
      <c r="AJ616">
        <v>6.9674150374041162</v>
      </c>
      <c r="AK616">
        <v>12.301781898953331</v>
      </c>
      <c r="AL616">
        <v>182.70264282287079</v>
      </c>
      <c r="AM616">
        <v>34.792620282078602</v>
      </c>
      <c r="AN616">
        <v>1.9043304324727177</v>
      </c>
      <c r="AO616">
        <v>12.6</v>
      </c>
      <c r="AP616">
        <v>14.414183397340466</v>
      </c>
      <c r="AQ616">
        <v>26.335094008276496</v>
      </c>
      <c r="AR616">
        <v>75.691608722673564</v>
      </c>
      <c r="AS616">
        <v>-0.79271635227394155</v>
      </c>
      <c r="AT616">
        <v>14.616432799057266</v>
      </c>
      <c r="AU616">
        <v>42.010152384487334</v>
      </c>
    </row>
    <row r="617" spans="1:48" x14ac:dyDescent="0.35">
      <c r="A617">
        <v>615</v>
      </c>
      <c r="B617">
        <v>46055</v>
      </c>
      <c r="C617" t="s">
        <v>16</v>
      </c>
      <c r="D617" t="s">
        <v>287</v>
      </c>
      <c r="E617" t="s">
        <v>235</v>
      </c>
      <c r="F617" t="s">
        <v>274</v>
      </c>
      <c r="G617" t="s">
        <v>275</v>
      </c>
      <c r="H617" t="s">
        <v>22</v>
      </c>
      <c r="I617" t="s">
        <v>23</v>
      </c>
      <c r="J617" t="s">
        <v>215</v>
      </c>
      <c r="K617" t="s">
        <v>286</v>
      </c>
      <c r="L617">
        <v>28</v>
      </c>
      <c r="M617">
        <v>62</v>
      </c>
      <c r="N617">
        <v>2</v>
      </c>
      <c r="O617">
        <v>1</v>
      </c>
      <c r="P617">
        <v>0</v>
      </c>
      <c r="Q617">
        <v>0.5</v>
      </c>
      <c r="R617">
        <v>460.48091651542705</v>
      </c>
      <c r="S617">
        <v>120.28091651542712</v>
      </c>
      <c r="T617">
        <v>0.35416666666666669</v>
      </c>
      <c r="U617">
        <v>41</v>
      </c>
      <c r="V617">
        <v>0.69305555555555554</v>
      </c>
      <c r="W617">
        <v>73</v>
      </c>
      <c r="X617">
        <v>12.2</v>
      </c>
      <c r="Y617">
        <v>40</v>
      </c>
      <c r="Z617">
        <v>0.36805555555555558</v>
      </c>
      <c r="AA617">
        <v>70.5</v>
      </c>
      <c r="AB617">
        <v>17.2</v>
      </c>
      <c r="AD617">
        <v>32</v>
      </c>
      <c r="AE617">
        <v>30.5</v>
      </c>
      <c r="AF617">
        <v>31.336244932930278</v>
      </c>
      <c r="AG617">
        <v>28.508734798790837</v>
      </c>
      <c r="AH617">
        <v>59.844979731721111</v>
      </c>
      <c r="AI617">
        <v>3.8230218818174939</v>
      </c>
      <c r="AJ617">
        <v>4.9035023853920237</v>
      </c>
      <c r="AK617">
        <v>8.726524267209518</v>
      </c>
      <c r="AL617">
        <v>129.96191065762912</v>
      </c>
      <c r="AM617">
        <v>26.120716885646978</v>
      </c>
      <c r="AN617">
        <v>2.0098747974288589</v>
      </c>
      <c r="AO617">
        <v>12.2</v>
      </c>
      <c r="AP617">
        <v>14.581881899416841</v>
      </c>
      <c r="AQ617">
        <v>18.95089232632111</v>
      </c>
      <c r="AR617">
        <v>72.551195318587887</v>
      </c>
      <c r="AS617">
        <v>-0.17682631595365816</v>
      </c>
      <c r="AT617">
        <v>10.518073111217667</v>
      </c>
      <c r="AU617">
        <v>40.267168612807957</v>
      </c>
    </row>
    <row r="618" spans="1:48" x14ac:dyDescent="0.35">
      <c r="A618">
        <v>616</v>
      </c>
      <c r="B618">
        <v>46055</v>
      </c>
      <c r="C618" t="s">
        <v>16</v>
      </c>
      <c r="D618" t="s">
        <v>287</v>
      </c>
      <c r="E618" t="s">
        <v>235</v>
      </c>
      <c r="F618" t="s">
        <v>274</v>
      </c>
      <c r="G618" t="s">
        <v>275</v>
      </c>
      <c r="H618" t="s">
        <v>22</v>
      </c>
      <c r="I618" t="s">
        <v>23</v>
      </c>
      <c r="J618" t="s">
        <v>215</v>
      </c>
      <c r="K618" t="s">
        <v>286</v>
      </c>
      <c r="L618">
        <v>28</v>
      </c>
      <c r="M618">
        <v>62</v>
      </c>
      <c r="N618">
        <v>2</v>
      </c>
      <c r="O618">
        <v>2</v>
      </c>
      <c r="P618">
        <v>0</v>
      </c>
      <c r="Q618">
        <v>0.50049999999999994</v>
      </c>
      <c r="R618">
        <v>460.94139743194239</v>
      </c>
      <c r="S618">
        <v>130.34139743194237</v>
      </c>
      <c r="T618">
        <v>0.35486111111111113</v>
      </c>
      <c r="U618">
        <v>40.5</v>
      </c>
      <c r="V618">
        <v>0.69305555555555554</v>
      </c>
      <c r="W618">
        <v>72.5</v>
      </c>
      <c r="X618">
        <v>12.2</v>
      </c>
      <c r="Y618">
        <v>40</v>
      </c>
      <c r="Z618">
        <v>0.36805555555555558</v>
      </c>
      <c r="AA618">
        <v>78.5</v>
      </c>
      <c r="AB618">
        <v>17.100000000000001</v>
      </c>
      <c r="AD618">
        <v>32</v>
      </c>
      <c r="AE618">
        <v>38.5</v>
      </c>
      <c r="AF618">
        <v>31.336244932930278</v>
      </c>
      <c r="AG618">
        <v>36.50873479879084</v>
      </c>
      <c r="AH618">
        <v>67.844979731721111</v>
      </c>
      <c r="AI618">
        <v>3.8230218818174939</v>
      </c>
      <c r="AJ618">
        <v>6.2429936505932337</v>
      </c>
      <c r="AK618">
        <v>10.066015532410727</v>
      </c>
      <c r="AL618">
        <v>147.18786403154073</v>
      </c>
      <c r="AM618">
        <v>28.277216617582535</v>
      </c>
      <c r="AN618">
        <v>1.9211649549804624</v>
      </c>
      <c r="AO618">
        <v>12.2</v>
      </c>
      <c r="AP618">
        <v>14.836787588727562</v>
      </c>
      <c r="AQ618">
        <v>21.837950742744834</v>
      </c>
      <c r="AR618">
        <v>77.228077423879753</v>
      </c>
      <c r="AS618">
        <v>-0.22373225724117149</v>
      </c>
      <c r="AT618">
        <v>12.120440481440383</v>
      </c>
      <c r="AU618">
        <v>42.862919096160255</v>
      </c>
    </row>
    <row r="619" spans="1:48" x14ac:dyDescent="0.35">
      <c r="A619">
        <v>617</v>
      </c>
      <c r="B619">
        <v>46055</v>
      </c>
      <c r="C619" t="s">
        <v>16</v>
      </c>
      <c r="D619" t="s">
        <v>287</v>
      </c>
      <c r="E619" t="s">
        <v>235</v>
      </c>
      <c r="F619" t="s">
        <v>274</v>
      </c>
      <c r="G619" t="s">
        <v>275</v>
      </c>
      <c r="H619" t="s">
        <v>22</v>
      </c>
      <c r="I619" t="s">
        <v>23</v>
      </c>
      <c r="J619" t="s">
        <v>215</v>
      </c>
      <c r="K619" t="s">
        <v>286</v>
      </c>
      <c r="L619">
        <v>28</v>
      </c>
      <c r="M619">
        <v>62</v>
      </c>
      <c r="N619">
        <v>2</v>
      </c>
      <c r="O619">
        <v>3</v>
      </c>
      <c r="P619">
        <v>0</v>
      </c>
      <c r="Q619">
        <v>0.50029999999999997</v>
      </c>
      <c r="R619">
        <v>460.75720506533628</v>
      </c>
      <c r="S619">
        <v>15.557205065336348</v>
      </c>
      <c r="T619">
        <v>0.35486111111111113</v>
      </c>
      <c r="U619">
        <v>41.5</v>
      </c>
      <c r="V619">
        <v>0.69374999999999998</v>
      </c>
      <c r="W619">
        <v>72</v>
      </c>
      <c r="X619">
        <v>12.2</v>
      </c>
      <c r="Y619">
        <v>40.5</v>
      </c>
      <c r="Z619">
        <v>0.36875000000000002</v>
      </c>
      <c r="AA619">
        <v>80</v>
      </c>
      <c r="AB619">
        <v>16.8</v>
      </c>
      <c r="AD619">
        <v>30.5</v>
      </c>
      <c r="AE619">
        <v>39.5</v>
      </c>
      <c r="AV619" t="s">
        <v>636</v>
      </c>
    </row>
    <row r="620" spans="1:48" x14ac:dyDescent="0.35">
      <c r="A620">
        <v>618</v>
      </c>
      <c r="B620">
        <v>46055</v>
      </c>
      <c r="C620" t="s">
        <v>16</v>
      </c>
      <c r="D620" t="s">
        <v>289</v>
      </c>
      <c r="E620" t="s">
        <v>290</v>
      </c>
      <c r="F620" t="s">
        <v>291</v>
      </c>
      <c r="G620" t="s">
        <v>292</v>
      </c>
      <c r="H620" t="s">
        <v>22</v>
      </c>
      <c r="I620" t="s">
        <v>23</v>
      </c>
      <c r="J620" t="s">
        <v>215</v>
      </c>
      <c r="K620" t="s">
        <v>288</v>
      </c>
      <c r="L620">
        <v>28</v>
      </c>
      <c r="M620">
        <v>62</v>
      </c>
      <c r="N620">
        <v>2</v>
      </c>
      <c r="O620">
        <v>1</v>
      </c>
      <c r="P620">
        <v>0</v>
      </c>
      <c r="Q620">
        <v>0.50019999999999998</v>
      </c>
      <c r="R620">
        <v>458.17512327036894</v>
      </c>
      <c r="S620">
        <v>221.27512327036894</v>
      </c>
      <c r="T620">
        <v>0.35486111111111113</v>
      </c>
      <c r="U620">
        <v>40.5</v>
      </c>
      <c r="V620">
        <v>0.69374999999999998</v>
      </c>
      <c r="W620">
        <v>72.5</v>
      </c>
      <c r="X620">
        <v>12.2</v>
      </c>
      <c r="Y620">
        <v>40</v>
      </c>
      <c r="Z620">
        <v>0.36875000000000002</v>
      </c>
      <c r="AA620">
        <v>91</v>
      </c>
      <c r="AB620">
        <v>15.6</v>
      </c>
      <c r="AD620">
        <v>32</v>
      </c>
      <c r="AE620">
        <v>51</v>
      </c>
      <c r="AF620">
        <v>31.336244932930278</v>
      </c>
      <c r="AG620">
        <v>49.00873479879084</v>
      </c>
      <c r="AH620">
        <v>80.344979731721111</v>
      </c>
      <c r="AI620">
        <v>3.8230218818174939</v>
      </c>
      <c r="AJ620">
        <v>7.6453626286113714</v>
      </c>
      <c r="AK620">
        <v>11.468384510428866</v>
      </c>
      <c r="AL620">
        <v>175.35866888239931</v>
      </c>
      <c r="AM620">
        <v>48.294879410071026</v>
      </c>
      <c r="AN620">
        <v>2.7540628426222256</v>
      </c>
      <c r="AO620">
        <v>12.2</v>
      </c>
      <c r="AP620">
        <v>14.273927940143617</v>
      </c>
      <c r="AQ620">
        <v>25.030570033068724</v>
      </c>
      <c r="AR620">
        <v>51.828621043930077</v>
      </c>
      <c r="AS620">
        <v>-0.54170091126354936</v>
      </c>
      <c r="AT620">
        <v>13.892399423198004</v>
      </c>
      <c r="AU620">
        <v>28.765781368326589</v>
      </c>
    </row>
    <row r="621" spans="1:48" x14ac:dyDescent="0.35">
      <c r="A621">
        <v>619</v>
      </c>
      <c r="B621">
        <v>46055</v>
      </c>
      <c r="C621" t="s">
        <v>16</v>
      </c>
      <c r="D621" t="s">
        <v>289</v>
      </c>
      <c r="E621" t="s">
        <v>290</v>
      </c>
      <c r="F621" t="s">
        <v>291</v>
      </c>
      <c r="G621" t="s">
        <v>292</v>
      </c>
      <c r="H621" t="s">
        <v>22</v>
      </c>
      <c r="I621" t="s">
        <v>23</v>
      </c>
      <c r="J621" t="s">
        <v>215</v>
      </c>
      <c r="K621" t="s">
        <v>288</v>
      </c>
      <c r="L621">
        <v>28</v>
      </c>
      <c r="M621">
        <v>62</v>
      </c>
      <c r="N621">
        <v>2</v>
      </c>
      <c r="O621">
        <v>2</v>
      </c>
      <c r="P621">
        <v>0</v>
      </c>
      <c r="Q621">
        <v>0.50009999999999999</v>
      </c>
      <c r="R621">
        <v>458.08352488506898</v>
      </c>
      <c r="S621">
        <v>111.98352488506902</v>
      </c>
      <c r="T621">
        <v>0.35555555555555557</v>
      </c>
      <c r="U621">
        <v>40.5</v>
      </c>
      <c r="V621">
        <v>0.69444444444444442</v>
      </c>
      <c r="W621">
        <v>71.5</v>
      </c>
      <c r="X621">
        <v>12.3</v>
      </c>
      <c r="Y621">
        <v>40</v>
      </c>
      <c r="Z621">
        <v>0.36875000000000002</v>
      </c>
      <c r="AA621">
        <v>88.5</v>
      </c>
      <c r="AB621">
        <v>15.2</v>
      </c>
      <c r="AD621">
        <v>31</v>
      </c>
      <c r="AE621">
        <v>48.5</v>
      </c>
      <c r="AV621" t="s">
        <v>637</v>
      </c>
    </row>
    <row r="622" spans="1:48" x14ac:dyDescent="0.35">
      <c r="A622">
        <v>620</v>
      </c>
      <c r="B622">
        <v>46055</v>
      </c>
      <c r="C622" t="s">
        <v>16</v>
      </c>
      <c r="D622" t="s">
        <v>289</v>
      </c>
      <c r="E622" t="s">
        <v>290</v>
      </c>
      <c r="F622" t="s">
        <v>291</v>
      </c>
      <c r="G622" t="s">
        <v>292</v>
      </c>
      <c r="H622" t="s">
        <v>22</v>
      </c>
      <c r="I622" t="s">
        <v>23</v>
      </c>
      <c r="J622" t="s">
        <v>215</v>
      </c>
      <c r="K622" t="s">
        <v>288</v>
      </c>
      <c r="L622">
        <v>28</v>
      </c>
      <c r="M622">
        <v>62</v>
      </c>
      <c r="N622">
        <v>2</v>
      </c>
      <c r="O622">
        <v>3</v>
      </c>
      <c r="P622">
        <v>0</v>
      </c>
      <c r="Q622">
        <v>0.50019999999999998</v>
      </c>
      <c r="R622">
        <v>458.17512327036894</v>
      </c>
      <c r="S622">
        <v>183.77512327036897</v>
      </c>
      <c r="T622">
        <v>0.35555555555555557</v>
      </c>
      <c r="U622">
        <v>40.5</v>
      </c>
      <c r="V622">
        <v>0.69444444444444442</v>
      </c>
      <c r="W622">
        <v>72.5</v>
      </c>
      <c r="X622">
        <v>12.4</v>
      </c>
      <c r="Y622">
        <v>40.5</v>
      </c>
      <c r="Z622">
        <v>0.36944444444444446</v>
      </c>
      <c r="AA622">
        <v>87</v>
      </c>
      <c r="AB622">
        <v>15.9</v>
      </c>
      <c r="AD622">
        <v>32</v>
      </c>
      <c r="AE622">
        <v>46.5</v>
      </c>
      <c r="AF622">
        <v>31.336244932930278</v>
      </c>
      <c r="AG622">
        <v>44.50873479879084</v>
      </c>
      <c r="AH622">
        <v>75.844979731721111</v>
      </c>
      <c r="AI622">
        <v>3.8856943716833543</v>
      </c>
      <c r="AJ622">
        <v>7.076888833007744</v>
      </c>
      <c r="AK622">
        <v>10.962583204691098</v>
      </c>
      <c r="AL622">
        <v>165.53709679904426</v>
      </c>
      <c r="AM622">
        <v>40.110236007275176</v>
      </c>
      <c r="AN622">
        <v>2.4230360917811358</v>
      </c>
      <c r="AO622">
        <v>12.399999999999999</v>
      </c>
      <c r="AP622">
        <v>14.453933857544628</v>
      </c>
      <c r="AQ622">
        <v>23.926622481033487</v>
      </c>
      <c r="AR622">
        <v>59.652160801780582</v>
      </c>
      <c r="AS622">
        <v>-0.27167524038009389</v>
      </c>
      <c r="AT622">
        <v>13.279689432379831</v>
      </c>
      <c r="AU622">
        <v>33.107981289292752</v>
      </c>
    </row>
    <row r="623" spans="1:48" x14ac:dyDescent="0.35">
      <c r="A623">
        <v>621</v>
      </c>
      <c r="B623">
        <v>46055</v>
      </c>
      <c r="C623" t="s">
        <v>16</v>
      </c>
      <c r="D623" t="s">
        <v>294</v>
      </c>
      <c r="E623" t="s">
        <v>240</v>
      </c>
      <c r="F623" t="s">
        <v>241</v>
      </c>
      <c r="G623" t="s">
        <v>242</v>
      </c>
      <c r="H623" t="s">
        <v>22</v>
      </c>
      <c r="I623" t="s">
        <v>23</v>
      </c>
      <c r="J623" t="s">
        <v>215</v>
      </c>
      <c r="K623" t="s">
        <v>293</v>
      </c>
      <c r="L623">
        <v>28</v>
      </c>
      <c r="M623">
        <v>62</v>
      </c>
      <c r="N623">
        <v>2</v>
      </c>
      <c r="O623">
        <v>1</v>
      </c>
      <c r="P623">
        <v>0</v>
      </c>
      <c r="Q623">
        <v>0.50009999999999999</v>
      </c>
      <c r="R623">
        <v>463.82681445566323</v>
      </c>
      <c r="S623">
        <v>189.42681445566313</v>
      </c>
      <c r="T623">
        <v>0.35555555555555557</v>
      </c>
      <c r="U623">
        <v>41</v>
      </c>
      <c r="V623">
        <v>0.69444444444444442</v>
      </c>
      <c r="W623">
        <v>70.5</v>
      </c>
      <c r="X623">
        <v>11.3</v>
      </c>
      <c r="Y623">
        <v>40.5</v>
      </c>
      <c r="Z623">
        <v>0.36944444444444446</v>
      </c>
      <c r="AA623">
        <v>89.5</v>
      </c>
      <c r="AB623">
        <v>14.5</v>
      </c>
      <c r="AD623">
        <v>29.5</v>
      </c>
      <c r="AE623">
        <v>49</v>
      </c>
      <c r="AF623">
        <v>28.836244932930278</v>
      </c>
      <c r="AG623">
        <v>47.00873479879084</v>
      </c>
      <c r="AH623">
        <v>75.844979731721111</v>
      </c>
      <c r="AI623">
        <v>3.2584956774211213</v>
      </c>
      <c r="AJ623">
        <v>6.8162665458246714</v>
      </c>
      <c r="AK623">
        <v>10.074762223245793</v>
      </c>
      <c r="AL623">
        <v>163.52004103240793</v>
      </c>
      <c r="AM623">
        <v>40.839987804062211</v>
      </c>
      <c r="AN623">
        <v>2.4975524434933432</v>
      </c>
      <c r="AO623">
        <v>11.3</v>
      </c>
      <c r="AP623">
        <v>13.283360690295186</v>
      </c>
      <c r="AQ623">
        <v>21.720956851253433</v>
      </c>
      <c r="AR623">
        <v>53.185512580130897</v>
      </c>
      <c r="AS623">
        <v>-3.015784347433208</v>
      </c>
      <c r="AT623">
        <v>12.055506847546887</v>
      </c>
      <c r="AU623">
        <v>29.518879646550158</v>
      </c>
    </row>
    <row r="624" spans="1:48" x14ac:dyDescent="0.35">
      <c r="A624">
        <v>622</v>
      </c>
      <c r="B624">
        <v>46055</v>
      </c>
      <c r="C624" t="s">
        <v>16</v>
      </c>
      <c r="D624" t="s">
        <v>294</v>
      </c>
      <c r="E624" t="s">
        <v>240</v>
      </c>
      <c r="F624" t="s">
        <v>241</v>
      </c>
      <c r="G624" t="s">
        <v>242</v>
      </c>
      <c r="H624" t="s">
        <v>22</v>
      </c>
      <c r="I624" t="s">
        <v>23</v>
      </c>
      <c r="J624" t="s">
        <v>215</v>
      </c>
      <c r="K624" t="s">
        <v>293</v>
      </c>
      <c r="L624">
        <v>28</v>
      </c>
      <c r="M624">
        <v>62</v>
      </c>
      <c r="N624">
        <v>2</v>
      </c>
      <c r="O624">
        <v>2</v>
      </c>
      <c r="P624">
        <v>0</v>
      </c>
      <c r="Q624">
        <v>0.50019999999999998</v>
      </c>
      <c r="R624">
        <v>463.9195612691916</v>
      </c>
      <c r="S624">
        <v>192.21956126919156</v>
      </c>
      <c r="T624">
        <v>0.35625000000000001</v>
      </c>
      <c r="U624">
        <v>40</v>
      </c>
      <c r="V624">
        <v>0.69513888888888886</v>
      </c>
      <c r="W624">
        <v>68</v>
      </c>
      <c r="X624">
        <v>10.9</v>
      </c>
      <c r="Y624">
        <v>39</v>
      </c>
      <c r="Z624">
        <v>0.37013888888888891</v>
      </c>
      <c r="AA624">
        <v>86.5</v>
      </c>
      <c r="AB624">
        <v>14.2</v>
      </c>
      <c r="AD624">
        <v>28</v>
      </c>
      <c r="AE624">
        <v>47.5</v>
      </c>
      <c r="AF624">
        <v>27.336244932930278</v>
      </c>
      <c r="AG624">
        <v>45.50873479879084</v>
      </c>
      <c r="AH624">
        <v>72.844979731721111</v>
      </c>
      <c r="AI624">
        <v>2.9796506976894004</v>
      </c>
      <c r="AJ624">
        <v>6.4622403414282985</v>
      </c>
      <c r="AK624">
        <v>9.4418910391176993</v>
      </c>
      <c r="AL624">
        <v>157.02071180708947</v>
      </c>
      <c r="AM624">
        <v>41.43381252200642</v>
      </c>
      <c r="AN624">
        <v>2.6387482291451243</v>
      </c>
      <c r="AO624">
        <v>10.9</v>
      </c>
      <c r="AP624">
        <v>12.96162216516635</v>
      </c>
      <c r="AQ624">
        <v>20.352431385489684</v>
      </c>
      <c r="AR624">
        <v>49.120344343596315</v>
      </c>
      <c r="AS624">
        <v>-4.0991379126534886</v>
      </c>
      <c r="AT624">
        <v>11.295951537136835</v>
      </c>
      <c r="AU624">
        <v>27.262640943643078</v>
      </c>
    </row>
    <row r="625" spans="1:48" x14ac:dyDescent="0.35">
      <c r="A625">
        <v>623</v>
      </c>
      <c r="B625">
        <v>46055</v>
      </c>
      <c r="C625" t="s">
        <v>16</v>
      </c>
      <c r="D625" t="s">
        <v>294</v>
      </c>
      <c r="E625" t="s">
        <v>240</v>
      </c>
      <c r="F625" t="s">
        <v>241</v>
      </c>
      <c r="G625" t="s">
        <v>242</v>
      </c>
      <c r="H625" t="s">
        <v>22</v>
      </c>
      <c r="I625" t="s">
        <v>23</v>
      </c>
      <c r="J625" t="s">
        <v>215</v>
      </c>
      <c r="K625" t="s">
        <v>293</v>
      </c>
      <c r="L625">
        <v>28</v>
      </c>
      <c r="M625">
        <v>62</v>
      </c>
      <c r="N625">
        <v>2</v>
      </c>
      <c r="O625">
        <v>3</v>
      </c>
      <c r="P625">
        <v>0</v>
      </c>
      <c r="Q625">
        <v>0.50060000000000004</v>
      </c>
      <c r="R625">
        <v>464.29054852330535</v>
      </c>
      <c r="S625">
        <v>81.490548523305335</v>
      </c>
      <c r="T625">
        <v>0.35625000000000001</v>
      </c>
      <c r="U625">
        <v>41.5</v>
      </c>
      <c r="V625">
        <v>0.69513888888888886</v>
      </c>
      <c r="W625">
        <v>70</v>
      </c>
      <c r="X625">
        <v>11</v>
      </c>
      <c r="Y625">
        <v>40.5</v>
      </c>
      <c r="Z625">
        <v>0.37152777777777779</v>
      </c>
      <c r="AA625">
        <v>88.5</v>
      </c>
      <c r="AB625">
        <v>14.4</v>
      </c>
      <c r="AD625">
        <v>28.5</v>
      </c>
      <c r="AE625">
        <v>48</v>
      </c>
      <c r="AV625" t="s">
        <v>638</v>
      </c>
    </row>
    <row r="626" spans="1:48" x14ac:dyDescent="0.35">
      <c r="A626">
        <v>624</v>
      </c>
      <c r="B626">
        <v>46055</v>
      </c>
      <c r="C626" t="s">
        <v>16</v>
      </c>
      <c r="D626" t="s">
        <v>296</v>
      </c>
      <c r="E626" t="s">
        <v>240</v>
      </c>
      <c r="F626" t="s">
        <v>297</v>
      </c>
      <c r="G626" t="s">
        <v>298</v>
      </c>
      <c r="H626" t="s">
        <v>22</v>
      </c>
      <c r="I626" t="s">
        <v>23</v>
      </c>
      <c r="J626" t="s">
        <v>215</v>
      </c>
      <c r="K626" t="s">
        <v>295</v>
      </c>
      <c r="L626">
        <v>28</v>
      </c>
      <c r="M626">
        <v>62</v>
      </c>
      <c r="N626">
        <v>2</v>
      </c>
      <c r="O626">
        <v>1</v>
      </c>
      <c r="P626">
        <v>0</v>
      </c>
      <c r="Q626">
        <v>0.50039999999999996</v>
      </c>
      <c r="R626">
        <v>458.97310143610656</v>
      </c>
      <c r="S626">
        <v>158.47310143610656</v>
      </c>
      <c r="T626">
        <v>0.3576388888888889</v>
      </c>
      <c r="U626">
        <v>39.5</v>
      </c>
      <c r="V626">
        <v>0.6958333333333333</v>
      </c>
      <c r="W626">
        <v>79.5</v>
      </c>
      <c r="X626">
        <v>11</v>
      </c>
      <c r="Y626">
        <v>39.5</v>
      </c>
      <c r="Z626">
        <v>0.37152777777777779</v>
      </c>
      <c r="AA626">
        <v>89</v>
      </c>
      <c r="AB626">
        <v>15.4</v>
      </c>
      <c r="AC626" t="s">
        <v>559</v>
      </c>
      <c r="AD626">
        <v>40</v>
      </c>
      <c r="AE626">
        <v>49.5</v>
      </c>
      <c r="AV626" t="s">
        <v>639</v>
      </c>
    </row>
    <row r="627" spans="1:48" x14ac:dyDescent="0.35">
      <c r="A627">
        <v>625</v>
      </c>
      <c r="B627">
        <v>46055</v>
      </c>
      <c r="C627" t="s">
        <v>16</v>
      </c>
      <c r="D627" t="s">
        <v>296</v>
      </c>
      <c r="E627" t="s">
        <v>240</v>
      </c>
      <c r="F627" t="s">
        <v>297</v>
      </c>
      <c r="G627" t="s">
        <v>298</v>
      </c>
      <c r="H627" t="s">
        <v>22</v>
      </c>
      <c r="I627" t="s">
        <v>23</v>
      </c>
      <c r="J627" t="s">
        <v>215</v>
      </c>
      <c r="K627" t="s">
        <v>295</v>
      </c>
      <c r="L627">
        <v>28</v>
      </c>
      <c r="M627">
        <v>62</v>
      </c>
      <c r="N627">
        <v>2</v>
      </c>
      <c r="O627">
        <v>2</v>
      </c>
      <c r="P627">
        <v>0</v>
      </c>
      <c r="Q627">
        <v>0.50049999999999994</v>
      </c>
      <c r="R627">
        <v>459.06482267939913</v>
      </c>
      <c r="S627">
        <v>211.86482267939905</v>
      </c>
      <c r="T627">
        <v>0.3576388888888889</v>
      </c>
      <c r="U627">
        <v>41.5</v>
      </c>
      <c r="V627">
        <v>0.6958333333333333</v>
      </c>
      <c r="W627">
        <v>80.5</v>
      </c>
      <c r="X627">
        <v>10.8</v>
      </c>
      <c r="Y627">
        <v>40</v>
      </c>
      <c r="Z627">
        <v>0.37152777777777779</v>
      </c>
      <c r="AA627">
        <v>87</v>
      </c>
      <c r="AB627">
        <v>15.5</v>
      </c>
      <c r="AD627">
        <v>39</v>
      </c>
      <c r="AE627">
        <v>47</v>
      </c>
      <c r="AF627">
        <v>38.336244932930278</v>
      </c>
      <c r="AG627">
        <v>45.00873479879084</v>
      </c>
      <c r="AH627">
        <v>83.344979731721111</v>
      </c>
      <c r="AI627">
        <v>4.1403144527564706</v>
      </c>
      <c r="AJ627">
        <v>6.97635389381258</v>
      </c>
      <c r="AK627">
        <v>11.11666834656905</v>
      </c>
      <c r="AL627">
        <v>181.55383643918941</v>
      </c>
      <c r="AM627">
        <v>46.151395666263198</v>
      </c>
      <c r="AN627">
        <v>2.5420226072568504</v>
      </c>
      <c r="AO627">
        <v>10.8</v>
      </c>
      <c r="AP627">
        <v>13.338137920667156</v>
      </c>
      <c r="AQ627">
        <v>24.215901104521549</v>
      </c>
      <c r="AR627">
        <v>52.470571593620164</v>
      </c>
      <c r="AS627">
        <v>0.93499296364555584</v>
      </c>
      <c r="AT627">
        <v>13.44024407323618</v>
      </c>
      <c r="AU627">
        <v>29.12207502981548</v>
      </c>
    </row>
    <row r="628" spans="1:48" x14ac:dyDescent="0.35">
      <c r="A628">
        <v>626</v>
      </c>
      <c r="B628">
        <v>46055</v>
      </c>
      <c r="C628" t="s">
        <v>16</v>
      </c>
      <c r="D628" t="s">
        <v>296</v>
      </c>
      <c r="E628" t="s">
        <v>240</v>
      </c>
      <c r="F628" t="s">
        <v>297</v>
      </c>
      <c r="G628" t="s">
        <v>298</v>
      </c>
      <c r="H628" t="s">
        <v>22</v>
      </c>
      <c r="I628" t="s">
        <v>23</v>
      </c>
      <c r="J628" t="s">
        <v>215</v>
      </c>
      <c r="K628" t="s">
        <v>295</v>
      </c>
      <c r="L628">
        <v>28</v>
      </c>
      <c r="M628">
        <v>62</v>
      </c>
      <c r="N628">
        <v>2</v>
      </c>
      <c r="O628">
        <v>3</v>
      </c>
      <c r="P628">
        <v>0</v>
      </c>
      <c r="Q628">
        <v>0.50009999999999999</v>
      </c>
      <c r="R628">
        <v>458.69793770622886</v>
      </c>
      <c r="S628">
        <v>267.19793770622886</v>
      </c>
      <c r="T628">
        <v>0.35833333333333334</v>
      </c>
      <c r="U628">
        <v>41</v>
      </c>
      <c r="V628">
        <v>0.69652777777777775</v>
      </c>
      <c r="W628">
        <v>80.5</v>
      </c>
      <c r="X628">
        <v>10.7</v>
      </c>
      <c r="Y628">
        <v>40.5</v>
      </c>
      <c r="Z628">
        <v>0.37222222222222223</v>
      </c>
      <c r="AA628">
        <v>88.5</v>
      </c>
      <c r="AB628">
        <v>15.2</v>
      </c>
      <c r="AD628">
        <v>39.5</v>
      </c>
      <c r="AE628">
        <v>48</v>
      </c>
      <c r="AF628">
        <v>38.836244932930278</v>
      </c>
      <c r="AG628">
        <v>46.00873479879084</v>
      </c>
      <c r="AH628">
        <v>84.844979731721111</v>
      </c>
      <c r="AI628">
        <v>4.1554782078235393</v>
      </c>
      <c r="AJ628">
        <v>6.9933276894162075</v>
      </c>
      <c r="AK628">
        <v>11.148805897239747</v>
      </c>
      <c r="AL628">
        <v>184.96917635164891</v>
      </c>
      <c r="AM628">
        <v>58.251392853951444</v>
      </c>
      <c r="AN628">
        <v>3.1492486479589692</v>
      </c>
      <c r="AO628">
        <v>10.7</v>
      </c>
      <c r="AP628">
        <v>13.140206919127269</v>
      </c>
      <c r="AQ628">
        <v>24.305332509212093</v>
      </c>
      <c r="AR628">
        <v>41.724895008348895</v>
      </c>
      <c r="AS628">
        <v>0.35182675612828646</v>
      </c>
      <c r="AT628">
        <v>13.489880050095568</v>
      </c>
      <c r="AU628">
        <v>23.158038613630318</v>
      </c>
    </row>
    <row r="629" spans="1:48" x14ac:dyDescent="0.35">
      <c r="A629">
        <v>627</v>
      </c>
      <c r="B629">
        <v>46055</v>
      </c>
      <c r="C629" t="s">
        <v>16</v>
      </c>
      <c r="D629" t="s">
        <v>300</v>
      </c>
      <c r="E629" t="s">
        <v>212</v>
      </c>
      <c r="F629" t="s">
        <v>301</v>
      </c>
      <c r="G629" t="s">
        <v>302</v>
      </c>
      <c r="H629" t="s">
        <v>22</v>
      </c>
      <c r="I629" t="s">
        <v>23</v>
      </c>
      <c r="J629" t="s">
        <v>303</v>
      </c>
      <c r="K629" t="s">
        <v>299</v>
      </c>
      <c r="L629">
        <v>28</v>
      </c>
      <c r="M629">
        <v>62</v>
      </c>
      <c r="N629">
        <v>2</v>
      </c>
      <c r="O629">
        <v>1</v>
      </c>
      <c r="P629">
        <v>0</v>
      </c>
      <c r="Q629">
        <v>0.50039999999999996</v>
      </c>
      <c r="R629">
        <v>458.69792646410212</v>
      </c>
      <c r="S629">
        <v>179.19792646410207</v>
      </c>
      <c r="T629">
        <v>0.35833333333333334</v>
      </c>
      <c r="U629">
        <v>41</v>
      </c>
      <c r="V629">
        <v>0.69652777777777775</v>
      </c>
      <c r="W629">
        <v>82</v>
      </c>
      <c r="X629">
        <v>11.9</v>
      </c>
      <c r="Y629">
        <v>40</v>
      </c>
      <c r="Z629">
        <v>0.37291666666666667</v>
      </c>
      <c r="AA629">
        <v>88</v>
      </c>
      <c r="AB629">
        <v>16.2</v>
      </c>
      <c r="AD629">
        <v>41</v>
      </c>
      <c r="AE629">
        <v>48</v>
      </c>
      <c r="AF629">
        <v>40.336244932930278</v>
      </c>
      <c r="AG629">
        <v>46.00873479879084</v>
      </c>
      <c r="AH629">
        <v>86.344979731721111</v>
      </c>
      <c r="AI629">
        <v>4.8000131470187037</v>
      </c>
      <c r="AJ629">
        <v>7.4534150374041159</v>
      </c>
      <c r="AK629">
        <v>12.25342818442282</v>
      </c>
      <c r="AL629">
        <v>188.23930685127809</v>
      </c>
      <c r="AM629">
        <v>39.066652828683793</v>
      </c>
      <c r="AN629">
        <v>2.0753716894818957</v>
      </c>
      <c r="AO629">
        <v>11.900000000000002</v>
      </c>
      <c r="AP629">
        <v>14.191245654923931</v>
      </c>
      <c r="AQ629">
        <v>26.713502454390923</v>
      </c>
      <c r="AR629">
        <v>68.3792967151185</v>
      </c>
      <c r="AS629">
        <v>-0.6084749009122522</v>
      </c>
      <c r="AT629">
        <v>14.826456033509706</v>
      </c>
      <c r="AU629">
        <v>37.95169270970591</v>
      </c>
    </row>
    <row r="630" spans="1:48" x14ac:dyDescent="0.35">
      <c r="A630">
        <v>628</v>
      </c>
      <c r="B630">
        <v>46055</v>
      </c>
      <c r="C630" t="s">
        <v>16</v>
      </c>
      <c r="D630" t="s">
        <v>300</v>
      </c>
      <c r="E630" t="s">
        <v>212</v>
      </c>
      <c r="F630" t="s">
        <v>301</v>
      </c>
      <c r="G630" t="s">
        <v>302</v>
      </c>
      <c r="H630" t="s">
        <v>22</v>
      </c>
      <c r="I630" t="s">
        <v>23</v>
      </c>
      <c r="J630" t="s">
        <v>303</v>
      </c>
      <c r="K630" t="s">
        <v>299</v>
      </c>
      <c r="L630">
        <v>28</v>
      </c>
      <c r="M630">
        <v>62</v>
      </c>
      <c r="N630">
        <v>2</v>
      </c>
      <c r="O630">
        <v>2</v>
      </c>
      <c r="P630">
        <v>0</v>
      </c>
      <c r="Q630">
        <v>0.50049999999999994</v>
      </c>
      <c r="R630">
        <v>458.78959271639309</v>
      </c>
      <c r="S630">
        <v>209.08959271639316</v>
      </c>
      <c r="T630">
        <v>0.35833333333333334</v>
      </c>
      <c r="U630">
        <v>40.5</v>
      </c>
      <c r="V630">
        <v>0.69652777777777775</v>
      </c>
      <c r="W630">
        <v>81</v>
      </c>
      <c r="X630">
        <v>12</v>
      </c>
      <c r="Y630">
        <v>40</v>
      </c>
      <c r="Z630">
        <v>0.37291666666666667</v>
      </c>
      <c r="AA630">
        <v>87.5</v>
      </c>
      <c r="AB630">
        <v>16.3</v>
      </c>
      <c r="AD630">
        <v>40.5</v>
      </c>
      <c r="AE630">
        <v>47.5</v>
      </c>
      <c r="AF630">
        <v>39.836244932930278</v>
      </c>
      <c r="AG630">
        <v>45.50873479879084</v>
      </c>
      <c r="AH630">
        <v>85.344979731721111</v>
      </c>
      <c r="AI630">
        <v>4.7803493919516331</v>
      </c>
      <c r="AJ630">
        <v>7.417923772202907</v>
      </c>
      <c r="AK630">
        <v>12.198273164154539</v>
      </c>
      <c r="AL630">
        <v>186.02204820386643</v>
      </c>
      <c r="AM630">
        <v>45.574179544574953</v>
      </c>
      <c r="AN630">
        <v>2.449934294596575</v>
      </c>
      <c r="AO630">
        <v>12</v>
      </c>
      <c r="AP630">
        <v>14.292900651566587</v>
      </c>
      <c r="AQ630">
        <v>26.587946539787936</v>
      </c>
      <c r="AR630">
        <v>58.339934597797715</v>
      </c>
      <c r="AS630">
        <v>-1.6692792665031377</v>
      </c>
      <c r="AT630">
        <v>14.756770328657387</v>
      </c>
      <c r="AU630">
        <v>32.379673043206765</v>
      </c>
    </row>
    <row r="631" spans="1:48" x14ac:dyDescent="0.35">
      <c r="A631">
        <v>629</v>
      </c>
      <c r="B631">
        <v>46055</v>
      </c>
      <c r="C631" t="s">
        <v>16</v>
      </c>
      <c r="D631" t="s">
        <v>300</v>
      </c>
      <c r="E631" t="s">
        <v>212</v>
      </c>
      <c r="F631" t="s">
        <v>301</v>
      </c>
      <c r="G631" t="s">
        <v>302</v>
      </c>
      <c r="H631" t="s">
        <v>22</v>
      </c>
      <c r="I631" t="s">
        <v>23</v>
      </c>
      <c r="J631" t="s">
        <v>303</v>
      </c>
      <c r="K631" t="s">
        <v>299</v>
      </c>
      <c r="L631">
        <v>28</v>
      </c>
      <c r="M631">
        <v>62</v>
      </c>
      <c r="N631">
        <v>2</v>
      </c>
      <c r="O631">
        <v>3</v>
      </c>
      <c r="P631">
        <v>0</v>
      </c>
      <c r="Q631">
        <v>0.50019999999999998</v>
      </c>
      <c r="R631">
        <v>458.5145939595202</v>
      </c>
      <c r="S631">
        <v>188.11459395952022</v>
      </c>
      <c r="T631">
        <v>0.35902777777777778</v>
      </c>
      <c r="U631">
        <v>41.5</v>
      </c>
      <c r="V631">
        <v>0.69722222222222219</v>
      </c>
      <c r="W631">
        <v>79.5</v>
      </c>
      <c r="X631">
        <v>11.9</v>
      </c>
      <c r="Y631">
        <v>41</v>
      </c>
      <c r="Z631">
        <v>0.37361111111111112</v>
      </c>
      <c r="AA631">
        <v>88</v>
      </c>
      <c r="AB631">
        <v>16.100000000000001</v>
      </c>
      <c r="AD631">
        <v>38</v>
      </c>
      <c r="AE631">
        <v>47</v>
      </c>
      <c r="AF631">
        <v>37.336244932930278</v>
      </c>
      <c r="AG631">
        <v>45.00873479879084</v>
      </c>
      <c r="AH631">
        <v>82.344979731721111</v>
      </c>
      <c r="AI631">
        <v>4.4430131470187035</v>
      </c>
      <c r="AJ631">
        <v>7.2464063026053251</v>
      </c>
      <c r="AK631">
        <v>11.68941944962403</v>
      </c>
      <c r="AL631">
        <v>179.59074981807646</v>
      </c>
      <c r="AM631">
        <v>41.026958888058388</v>
      </c>
      <c r="AN631">
        <v>2.2844694913083368</v>
      </c>
      <c r="AO631">
        <v>11.9</v>
      </c>
      <c r="AP631">
        <v>14.195667407664692</v>
      </c>
      <c r="AQ631">
        <v>25.49410553910532</v>
      </c>
      <c r="AR631">
        <v>62.139886138443032</v>
      </c>
      <c r="AS631">
        <v>-0.71833483760323313</v>
      </c>
      <c r="AT631">
        <v>14.149669648693747</v>
      </c>
      <c r="AU631">
        <v>34.488711891371146</v>
      </c>
    </row>
    <row r="632" spans="1:48" x14ac:dyDescent="0.35">
      <c r="A632">
        <v>630</v>
      </c>
      <c r="B632">
        <v>46055</v>
      </c>
      <c r="C632" t="s">
        <v>16</v>
      </c>
      <c r="D632" t="s">
        <v>305</v>
      </c>
      <c r="E632" t="s">
        <v>212</v>
      </c>
      <c r="F632" t="s">
        <v>301</v>
      </c>
      <c r="G632" t="s">
        <v>302</v>
      </c>
      <c r="H632" t="s">
        <v>22</v>
      </c>
      <c r="I632" t="s">
        <v>23</v>
      </c>
      <c r="J632" t="s">
        <v>303</v>
      </c>
      <c r="K632" t="s">
        <v>304</v>
      </c>
      <c r="L632">
        <v>28</v>
      </c>
      <c r="M632">
        <v>62</v>
      </c>
      <c r="N632">
        <v>2</v>
      </c>
      <c r="O632">
        <v>1</v>
      </c>
      <c r="P632">
        <v>0</v>
      </c>
      <c r="Q632">
        <v>0.50049999999999994</v>
      </c>
      <c r="R632">
        <v>459.51928256755934</v>
      </c>
      <c r="S632">
        <v>116.01928256755934</v>
      </c>
      <c r="T632">
        <v>0.35972222222222222</v>
      </c>
      <c r="U632">
        <v>40</v>
      </c>
      <c r="V632">
        <v>0.69861111111111107</v>
      </c>
      <c r="W632">
        <v>77.5</v>
      </c>
      <c r="X632">
        <v>13.5</v>
      </c>
      <c r="Y632">
        <v>40</v>
      </c>
      <c r="Z632">
        <v>0.37361111111111112</v>
      </c>
      <c r="AA632">
        <v>78.5</v>
      </c>
      <c r="AB632">
        <v>16.3</v>
      </c>
      <c r="AD632">
        <v>37.5</v>
      </c>
      <c r="AE632">
        <v>38.5</v>
      </c>
      <c r="AV632" t="s">
        <v>640</v>
      </c>
    </row>
    <row r="633" spans="1:48" x14ac:dyDescent="0.35">
      <c r="A633">
        <v>631</v>
      </c>
      <c r="B633">
        <v>46055</v>
      </c>
      <c r="C633" t="s">
        <v>16</v>
      </c>
      <c r="D633" t="s">
        <v>305</v>
      </c>
      <c r="E633" t="s">
        <v>212</v>
      </c>
      <c r="F633" t="s">
        <v>301</v>
      </c>
      <c r="G633" t="s">
        <v>302</v>
      </c>
      <c r="H633" t="s">
        <v>22</v>
      </c>
      <c r="I633" t="s">
        <v>23</v>
      </c>
      <c r="J633" t="s">
        <v>303</v>
      </c>
      <c r="K633" t="s">
        <v>304</v>
      </c>
      <c r="L633">
        <v>28</v>
      </c>
      <c r="M633">
        <v>62</v>
      </c>
      <c r="N633">
        <v>2</v>
      </c>
      <c r="O633">
        <v>2</v>
      </c>
      <c r="P633">
        <v>0</v>
      </c>
      <c r="Q633">
        <v>0.5</v>
      </c>
      <c r="R633">
        <v>459.06022234521413</v>
      </c>
      <c r="S633">
        <v>219.56022234521407</v>
      </c>
      <c r="T633">
        <v>0.35972222222222222</v>
      </c>
      <c r="U633">
        <v>40</v>
      </c>
      <c r="V633">
        <v>0.69861111111111107</v>
      </c>
      <c r="W633">
        <v>76</v>
      </c>
      <c r="X633">
        <v>13.6</v>
      </c>
      <c r="Y633">
        <v>40</v>
      </c>
      <c r="Z633">
        <v>0.37430555555555556</v>
      </c>
      <c r="AA633">
        <v>80</v>
      </c>
      <c r="AB633">
        <v>16.3</v>
      </c>
      <c r="AD633">
        <v>36</v>
      </c>
      <c r="AE633">
        <v>40</v>
      </c>
      <c r="AF633">
        <v>35.336244932930278</v>
      </c>
      <c r="AG633">
        <v>38.00873479879084</v>
      </c>
      <c r="AH633">
        <v>73.344979731721111</v>
      </c>
      <c r="AI633">
        <v>4.805729310878518</v>
      </c>
      <c r="AJ633">
        <v>6.1954237722029069</v>
      </c>
      <c r="AK633">
        <v>11.001153083081425</v>
      </c>
      <c r="AL633">
        <v>159.77202153787474</v>
      </c>
      <c r="AM633">
        <v>47.828195878863227</v>
      </c>
      <c r="AN633">
        <v>2.9935276163183131</v>
      </c>
      <c r="AO633">
        <v>13.600000000000001</v>
      </c>
      <c r="AP633">
        <v>14.999190296760712</v>
      </c>
      <c r="AQ633">
        <v>23.964509551447343</v>
      </c>
      <c r="AR633">
        <v>50.105401450105724</v>
      </c>
      <c r="AS633">
        <v>-2.9818202758204291</v>
      </c>
      <c r="AT633">
        <v>13.300717411945168</v>
      </c>
      <c r="AU633">
        <v>27.809364680266295</v>
      </c>
    </row>
    <row r="634" spans="1:48" x14ac:dyDescent="0.35">
      <c r="A634">
        <v>632</v>
      </c>
      <c r="B634">
        <v>46055</v>
      </c>
      <c r="C634" t="s">
        <v>16</v>
      </c>
      <c r="D634" t="s">
        <v>305</v>
      </c>
      <c r="E634" t="s">
        <v>212</v>
      </c>
      <c r="F634" t="s">
        <v>301</v>
      </c>
      <c r="G634" t="s">
        <v>302</v>
      </c>
      <c r="H634" t="s">
        <v>22</v>
      </c>
      <c r="I634" t="s">
        <v>23</v>
      </c>
      <c r="J634" t="s">
        <v>303</v>
      </c>
      <c r="K634" t="s">
        <v>304</v>
      </c>
      <c r="L634">
        <v>28</v>
      </c>
      <c r="M634">
        <v>62</v>
      </c>
      <c r="N634">
        <v>2</v>
      </c>
      <c r="O634">
        <v>3</v>
      </c>
      <c r="P634">
        <v>0</v>
      </c>
      <c r="Q634">
        <v>0.50060000000000004</v>
      </c>
      <c r="R634">
        <v>459.61109461202841</v>
      </c>
      <c r="S634">
        <v>0</v>
      </c>
      <c r="T634">
        <v>0.36041666666666666</v>
      </c>
      <c r="U634">
        <v>40.5</v>
      </c>
      <c r="V634">
        <v>0.69930555555555551</v>
      </c>
      <c r="W634">
        <v>76.5</v>
      </c>
      <c r="X634">
        <v>13.4</v>
      </c>
      <c r="Y634">
        <v>40</v>
      </c>
      <c r="Z634">
        <v>0.37430555555555556</v>
      </c>
      <c r="AA634">
        <v>77</v>
      </c>
      <c r="AB634">
        <v>16.5</v>
      </c>
      <c r="AD634">
        <v>36</v>
      </c>
      <c r="AE634">
        <v>37</v>
      </c>
      <c r="AV634" t="s">
        <v>611</v>
      </c>
    </row>
    <row r="635" spans="1:48" x14ac:dyDescent="0.35">
      <c r="A635">
        <v>633</v>
      </c>
      <c r="B635">
        <v>46055</v>
      </c>
      <c r="C635" t="s">
        <v>16</v>
      </c>
      <c r="D635" t="s">
        <v>307</v>
      </c>
      <c r="E635" t="s">
        <v>212</v>
      </c>
      <c r="F635" t="s">
        <v>213</v>
      </c>
      <c r="G635" t="s">
        <v>214</v>
      </c>
      <c r="H635" t="s">
        <v>22</v>
      </c>
      <c r="I635" t="s">
        <v>23</v>
      </c>
      <c r="J635" t="s">
        <v>215</v>
      </c>
      <c r="K635" t="s">
        <v>306</v>
      </c>
      <c r="L635">
        <v>28</v>
      </c>
      <c r="M635">
        <v>62</v>
      </c>
      <c r="N635">
        <v>2</v>
      </c>
      <c r="O635">
        <v>1</v>
      </c>
      <c r="P635">
        <v>0</v>
      </c>
      <c r="Q635">
        <v>0.50039999999999996</v>
      </c>
      <c r="R635">
        <v>453.9064105747708</v>
      </c>
      <c r="S635">
        <v>0</v>
      </c>
      <c r="T635">
        <v>0.36041666666666666</v>
      </c>
      <c r="U635">
        <v>40.5</v>
      </c>
      <c r="V635">
        <v>0.69930555555555551</v>
      </c>
      <c r="W635">
        <v>74</v>
      </c>
      <c r="X635">
        <v>14.5</v>
      </c>
      <c r="Y635">
        <v>40</v>
      </c>
      <c r="Z635">
        <v>0.375</v>
      </c>
      <c r="AA635">
        <v>77.5</v>
      </c>
      <c r="AB635">
        <v>16.8</v>
      </c>
      <c r="AC635" t="s">
        <v>574</v>
      </c>
      <c r="AD635">
        <v>33.5</v>
      </c>
      <c r="AE635">
        <v>37.5</v>
      </c>
      <c r="AV635" t="s">
        <v>641</v>
      </c>
    </row>
    <row r="636" spans="1:48" x14ac:dyDescent="0.35">
      <c r="A636">
        <v>634</v>
      </c>
      <c r="B636">
        <v>46055</v>
      </c>
      <c r="C636" t="s">
        <v>16</v>
      </c>
      <c r="D636" t="s">
        <v>307</v>
      </c>
      <c r="E636" t="s">
        <v>212</v>
      </c>
      <c r="F636" t="s">
        <v>213</v>
      </c>
      <c r="G636" t="s">
        <v>214</v>
      </c>
      <c r="H636" t="s">
        <v>22</v>
      </c>
      <c r="I636" t="s">
        <v>23</v>
      </c>
      <c r="J636" t="s">
        <v>215</v>
      </c>
      <c r="K636" t="s">
        <v>306</v>
      </c>
      <c r="L636">
        <v>28</v>
      </c>
      <c r="M636">
        <v>62</v>
      </c>
      <c r="N636">
        <v>2</v>
      </c>
      <c r="O636">
        <v>2</v>
      </c>
      <c r="P636">
        <v>0</v>
      </c>
      <c r="Q636">
        <v>0.50049999999999994</v>
      </c>
      <c r="R636">
        <v>453.99711928991366</v>
      </c>
      <c r="S636">
        <v>158.49711928991354</v>
      </c>
      <c r="T636">
        <v>0.36041666666666666</v>
      </c>
      <c r="U636">
        <v>40.5</v>
      </c>
      <c r="V636">
        <v>0.69930555555555551</v>
      </c>
      <c r="W636">
        <v>73</v>
      </c>
      <c r="X636">
        <v>14.2</v>
      </c>
      <c r="Y636">
        <v>40</v>
      </c>
      <c r="Z636">
        <v>0.37569444444444444</v>
      </c>
      <c r="AA636">
        <v>79</v>
      </c>
      <c r="AB636">
        <v>16.8</v>
      </c>
      <c r="AD636">
        <v>32.5</v>
      </c>
      <c r="AE636">
        <v>39</v>
      </c>
      <c r="AF636">
        <v>31.836244932930278</v>
      </c>
      <c r="AG636">
        <v>37.00873479879084</v>
      </c>
      <c r="AH636">
        <v>68.844979731721111</v>
      </c>
      <c r="AI636">
        <v>4.5207467804760988</v>
      </c>
      <c r="AJ636">
        <v>6.2174674461968618</v>
      </c>
      <c r="AK636">
        <v>10.738214226672961</v>
      </c>
      <c r="AL636">
        <v>151.64188671373057</v>
      </c>
      <c r="AM636">
        <v>34.911481274994699</v>
      </c>
      <c r="AN636">
        <v>2.3022320568261301</v>
      </c>
      <c r="AO636">
        <v>14.199999999999998</v>
      </c>
      <c r="AP636">
        <v>15.597672144749293</v>
      </c>
      <c r="AQ636">
        <v>23.652604323719832</v>
      </c>
      <c r="AR636">
        <v>67.750217005718909</v>
      </c>
      <c r="AS636">
        <v>-0.92139985814026193</v>
      </c>
      <c r="AT636">
        <v>13.127604614272185</v>
      </c>
      <c r="AU636">
        <v>37.60254258725714</v>
      </c>
    </row>
    <row r="637" spans="1:48" x14ac:dyDescent="0.35">
      <c r="A637">
        <v>635</v>
      </c>
      <c r="B637">
        <v>46055</v>
      </c>
      <c r="C637" t="s">
        <v>16</v>
      </c>
      <c r="D637" t="s">
        <v>307</v>
      </c>
      <c r="E637" t="s">
        <v>212</v>
      </c>
      <c r="F637" t="s">
        <v>213</v>
      </c>
      <c r="G637" t="s">
        <v>214</v>
      </c>
      <c r="H637" t="s">
        <v>22</v>
      </c>
      <c r="I637" t="s">
        <v>23</v>
      </c>
      <c r="J637" t="s">
        <v>215</v>
      </c>
      <c r="K637" t="s">
        <v>306</v>
      </c>
      <c r="L637">
        <v>28</v>
      </c>
      <c r="M637">
        <v>62</v>
      </c>
      <c r="N637">
        <v>2</v>
      </c>
      <c r="O637">
        <v>3</v>
      </c>
      <c r="P637">
        <v>0</v>
      </c>
      <c r="Q637">
        <v>0.50019999999999998</v>
      </c>
      <c r="R637">
        <v>453.72499314448515</v>
      </c>
      <c r="S637">
        <v>39.9249931444852</v>
      </c>
      <c r="T637">
        <v>0.36041666666666666</v>
      </c>
      <c r="U637">
        <v>41</v>
      </c>
      <c r="V637">
        <v>0.7</v>
      </c>
      <c r="W637">
        <v>73</v>
      </c>
      <c r="X637">
        <v>14.2</v>
      </c>
      <c r="Y637">
        <v>40</v>
      </c>
      <c r="Z637">
        <v>0.37569444444444444</v>
      </c>
      <c r="AA637">
        <v>77</v>
      </c>
      <c r="AB637">
        <v>16.8</v>
      </c>
      <c r="AD637">
        <v>32</v>
      </c>
      <c r="AE637">
        <v>37</v>
      </c>
      <c r="AV637" t="s">
        <v>642</v>
      </c>
    </row>
    <row r="638" spans="1:48" x14ac:dyDescent="0.35">
      <c r="A638">
        <v>636</v>
      </c>
      <c r="B638">
        <v>46055</v>
      </c>
      <c r="C638" t="s">
        <v>16</v>
      </c>
      <c r="D638" t="s">
        <v>309</v>
      </c>
      <c r="E638" t="s">
        <v>212</v>
      </c>
      <c r="F638" t="s">
        <v>310</v>
      </c>
      <c r="G638" t="s">
        <v>311</v>
      </c>
      <c r="H638" t="s">
        <v>22</v>
      </c>
      <c r="I638" t="s">
        <v>23</v>
      </c>
      <c r="J638" t="s">
        <v>215</v>
      </c>
      <c r="K638" t="s">
        <v>308</v>
      </c>
      <c r="L638">
        <v>28</v>
      </c>
      <c r="M638">
        <v>62</v>
      </c>
      <c r="N638">
        <v>2</v>
      </c>
      <c r="O638">
        <v>1</v>
      </c>
      <c r="P638">
        <v>0</v>
      </c>
      <c r="Q638">
        <v>0.50049999999999994</v>
      </c>
      <c r="R638">
        <v>463.50843904701611</v>
      </c>
      <c r="S638">
        <v>168.40843904701609</v>
      </c>
      <c r="T638">
        <v>0.3611111111111111</v>
      </c>
      <c r="U638">
        <v>41</v>
      </c>
      <c r="V638">
        <v>0.7</v>
      </c>
      <c r="W638">
        <v>69.5</v>
      </c>
      <c r="X638">
        <v>12.7</v>
      </c>
      <c r="Y638">
        <v>40.5</v>
      </c>
      <c r="Z638">
        <v>0.37638888888888888</v>
      </c>
      <c r="AA638">
        <v>75</v>
      </c>
      <c r="AB638">
        <v>16.100000000000001</v>
      </c>
      <c r="AD638">
        <v>28.5</v>
      </c>
      <c r="AE638">
        <v>34.5</v>
      </c>
      <c r="AF638">
        <v>27.836244932930278</v>
      </c>
      <c r="AG638">
        <v>32.50873479879084</v>
      </c>
      <c r="AH638">
        <v>60.344979731721118</v>
      </c>
      <c r="AI638">
        <v>3.5352031064821454</v>
      </c>
      <c r="AJ638">
        <v>5.233906302605325</v>
      </c>
      <c r="AK638">
        <v>8.7691094090874699</v>
      </c>
      <c r="AL638">
        <v>130.19176059834373</v>
      </c>
      <c r="AM638">
        <v>36.333413776298798</v>
      </c>
      <c r="AN638">
        <v>2.7907613822345856</v>
      </c>
      <c r="AO638">
        <v>12.700000000000001</v>
      </c>
      <c r="AP638">
        <v>14.531630382631274</v>
      </c>
      <c r="AQ638">
        <v>18.918985438791488</v>
      </c>
      <c r="AR638">
        <v>52.070486839672675</v>
      </c>
      <c r="AS638">
        <v>-1.2575200485845479</v>
      </c>
      <c r="AT638">
        <v>10.50036423661645</v>
      </c>
      <c r="AU638">
        <v>28.900021069493068</v>
      </c>
    </row>
    <row r="639" spans="1:48" x14ac:dyDescent="0.35">
      <c r="A639">
        <v>637</v>
      </c>
      <c r="B639">
        <v>46055</v>
      </c>
      <c r="C639" t="s">
        <v>16</v>
      </c>
      <c r="D639" t="s">
        <v>309</v>
      </c>
      <c r="E639" t="s">
        <v>212</v>
      </c>
      <c r="F639" t="s">
        <v>310</v>
      </c>
      <c r="G639" t="s">
        <v>311</v>
      </c>
      <c r="H639" t="s">
        <v>22</v>
      </c>
      <c r="I639" t="s">
        <v>23</v>
      </c>
      <c r="J639" t="s">
        <v>215</v>
      </c>
      <c r="K639" t="s">
        <v>308</v>
      </c>
      <c r="L639">
        <v>28</v>
      </c>
      <c r="M639">
        <v>62</v>
      </c>
      <c r="N639">
        <v>2</v>
      </c>
      <c r="O639">
        <v>2</v>
      </c>
      <c r="P639">
        <v>0</v>
      </c>
      <c r="Q639">
        <v>0.50009999999999999</v>
      </c>
      <c r="R639">
        <v>463.13800273209341</v>
      </c>
      <c r="S639">
        <v>83.038002732093446</v>
      </c>
      <c r="T639">
        <v>0.3611111111111111</v>
      </c>
      <c r="U639">
        <v>41.5</v>
      </c>
      <c r="V639">
        <v>0.7006944444444444</v>
      </c>
      <c r="W639">
        <v>68.5</v>
      </c>
      <c r="X639">
        <v>12.8</v>
      </c>
      <c r="Y639">
        <v>40</v>
      </c>
      <c r="Z639">
        <v>0.37638888888888888</v>
      </c>
      <c r="AA639">
        <v>75</v>
      </c>
      <c r="AB639">
        <v>16</v>
      </c>
      <c r="AD639">
        <v>27</v>
      </c>
      <c r="AE639">
        <v>35</v>
      </c>
      <c r="AV639" t="s">
        <v>643</v>
      </c>
    </row>
    <row r="640" spans="1:48" x14ac:dyDescent="0.35">
      <c r="A640">
        <v>638</v>
      </c>
      <c r="B640">
        <v>46055</v>
      </c>
      <c r="C640" t="s">
        <v>16</v>
      </c>
      <c r="D640" t="s">
        <v>309</v>
      </c>
      <c r="E640" t="s">
        <v>212</v>
      </c>
      <c r="F640" t="s">
        <v>310</v>
      </c>
      <c r="G640" t="s">
        <v>311</v>
      </c>
      <c r="H640" t="s">
        <v>22</v>
      </c>
      <c r="I640" t="s">
        <v>23</v>
      </c>
      <c r="J640" t="s">
        <v>215</v>
      </c>
      <c r="K640" t="s">
        <v>308</v>
      </c>
      <c r="L640">
        <v>28</v>
      </c>
      <c r="M640">
        <v>62</v>
      </c>
      <c r="N640">
        <v>2</v>
      </c>
      <c r="O640">
        <v>3</v>
      </c>
      <c r="P640">
        <v>0</v>
      </c>
      <c r="Q640">
        <v>0.50049999999999994</v>
      </c>
      <c r="R640">
        <v>463.50843904701611</v>
      </c>
      <c r="S640">
        <v>0</v>
      </c>
      <c r="T640">
        <v>0.36180555555555555</v>
      </c>
      <c r="U640">
        <v>40.5</v>
      </c>
      <c r="V640">
        <v>0.7006944444444444</v>
      </c>
      <c r="W640">
        <v>69.5</v>
      </c>
      <c r="X640">
        <v>12.7</v>
      </c>
      <c r="Y640">
        <v>40</v>
      </c>
      <c r="Z640">
        <v>0.37708333333333333</v>
      </c>
      <c r="AA640">
        <v>74</v>
      </c>
      <c r="AB640">
        <v>16</v>
      </c>
      <c r="AD640">
        <v>29</v>
      </c>
      <c r="AE640">
        <v>34</v>
      </c>
      <c r="AV640" t="s">
        <v>641</v>
      </c>
    </row>
    <row r="641" spans="1:48" x14ac:dyDescent="0.35">
      <c r="A641">
        <v>639</v>
      </c>
      <c r="B641">
        <v>46055</v>
      </c>
      <c r="C641" t="s">
        <v>16</v>
      </c>
      <c r="D641" t="s">
        <v>313</v>
      </c>
      <c r="E641" t="s">
        <v>290</v>
      </c>
      <c r="F641" t="s">
        <v>314</v>
      </c>
      <c r="G641" t="s">
        <v>315</v>
      </c>
      <c r="H641" t="s">
        <v>22</v>
      </c>
      <c r="I641" t="s">
        <v>23</v>
      </c>
      <c r="J641" t="s">
        <v>215</v>
      </c>
      <c r="K641" t="s">
        <v>312</v>
      </c>
      <c r="L641">
        <v>28</v>
      </c>
      <c r="M641">
        <v>62</v>
      </c>
      <c r="N641">
        <v>2</v>
      </c>
      <c r="O641">
        <v>1</v>
      </c>
      <c r="P641">
        <v>0</v>
      </c>
      <c r="Q641">
        <v>0.50009999999999999</v>
      </c>
      <c r="R641">
        <v>449.22766568305201</v>
      </c>
      <c r="S641">
        <v>0</v>
      </c>
      <c r="T641">
        <v>0.36180555555555555</v>
      </c>
      <c r="U641">
        <v>41</v>
      </c>
      <c r="V641">
        <v>0.70138888888888884</v>
      </c>
      <c r="W641">
        <v>63</v>
      </c>
      <c r="X641">
        <v>12.8</v>
      </c>
      <c r="Y641">
        <v>40.5</v>
      </c>
      <c r="Z641">
        <v>0.37708333333333333</v>
      </c>
      <c r="AA641">
        <v>83</v>
      </c>
      <c r="AB641">
        <v>15.2</v>
      </c>
      <c r="AD641">
        <v>22</v>
      </c>
      <c r="AE641">
        <v>42.5</v>
      </c>
      <c r="AV641" t="s">
        <v>641</v>
      </c>
    </row>
    <row r="642" spans="1:48" x14ac:dyDescent="0.35">
      <c r="A642">
        <v>640</v>
      </c>
      <c r="B642">
        <v>46055</v>
      </c>
      <c r="C642" t="s">
        <v>16</v>
      </c>
      <c r="D642" t="s">
        <v>313</v>
      </c>
      <c r="E642" t="s">
        <v>290</v>
      </c>
      <c r="F642" t="s">
        <v>314</v>
      </c>
      <c r="G642" t="s">
        <v>315</v>
      </c>
      <c r="H642" t="s">
        <v>22</v>
      </c>
      <c r="I642" t="s">
        <v>23</v>
      </c>
      <c r="J642" t="s">
        <v>215</v>
      </c>
      <c r="K642" t="s">
        <v>312</v>
      </c>
      <c r="L642">
        <v>28</v>
      </c>
      <c r="M642">
        <v>62</v>
      </c>
      <c r="N642">
        <v>2</v>
      </c>
      <c r="O642">
        <v>2</v>
      </c>
      <c r="P642">
        <v>0</v>
      </c>
      <c r="Q642">
        <v>0.50049999999999994</v>
      </c>
      <c r="R642">
        <v>449.58697595354431</v>
      </c>
      <c r="S642">
        <v>167.58697595354431</v>
      </c>
      <c r="T642">
        <v>0.36249999999999999</v>
      </c>
      <c r="U642">
        <v>41.5</v>
      </c>
      <c r="V642">
        <v>0.70138888888888884</v>
      </c>
      <c r="W642">
        <v>64</v>
      </c>
      <c r="X642">
        <v>12.6</v>
      </c>
      <c r="Y642">
        <v>40.5</v>
      </c>
      <c r="Z642">
        <v>0.37777777777777777</v>
      </c>
      <c r="AA642">
        <v>83</v>
      </c>
      <c r="AB642">
        <v>15.2</v>
      </c>
      <c r="AD642">
        <v>22.5</v>
      </c>
      <c r="AE642">
        <v>42.5</v>
      </c>
      <c r="AF642">
        <v>21.836244932930278</v>
      </c>
      <c r="AG642">
        <v>40.50873479879084</v>
      </c>
      <c r="AH642">
        <v>62.344979731721118</v>
      </c>
      <c r="AI642">
        <v>2.7513668615492151</v>
      </c>
      <c r="AJ642">
        <v>6.1573276894162072</v>
      </c>
      <c r="AK642">
        <v>8.9086945509654214</v>
      </c>
      <c r="AL642">
        <v>138.67167659715128</v>
      </c>
      <c r="AM642">
        <v>37.275763070783668</v>
      </c>
      <c r="AN642">
        <v>2.6880588729789268</v>
      </c>
      <c r="AO642">
        <v>12.600000000000001</v>
      </c>
      <c r="AP642">
        <v>14.289353512184524</v>
      </c>
      <c r="AQ642">
        <v>19.8152860902402</v>
      </c>
      <c r="AR642">
        <v>53.158633004004692</v>
      </c>
      <c r="AS642">
        <v>-0.34858553824791294</v>
      </c>
      <c r="AT642">
        <v>10.997826605102173</v>
      </c>
      <c r="AU642">
        <v>29.503961016755543</v>
      </c>
    </row>
    <row r="643" spans="1:48" x14ac:dyDescent="0.35">
      <c r="A643">
        <v>641</v>
      </c>
      <c r="B643">
        <v>46055</v>
      </c>
      <c r="C643" t="s">
        <v>16</v>
      </c>
      <c r="D643" t="s">
        <v>313</v>
      </c>
      <c r="E643" t="s">
        <v>290</v>
      </c>
      <c r="F643" t="s">
        <v>314</v>
      </c>
      <c r="G643" t="s">
        <v>315</v>
      </c>
      <c r="H643" t="s">
        <v>22</v>
      </c>
      <c r="I643" t="s">
        <v>23</v>
      </c>
      <c r="J643" t="s">
        <v>215</v>
      </c>
      <c r="K643" t="s">
        <v>312</v>
      </c>
      <c r="L643">
        <v>28</v>
      </c>
      <c r="M643">
        <v>62</v>
      </c>
      <c r="N643">
        <v>2</v>
      </c>
      <c r="O643">
        <v>3</v>
      </c>
      <c r="P643">
        <v>0</v>
      </c>
      <c r="Q643">
        <v>0.50049999999999994</v>
      </c>
      <c r="R643">
        <v>449.58697595354431</v>
      </c>
      <c r="S643">
        <v>77.686975953544277</v>
      </c>
      <c r="T643">
        <v>0.36249999999999999</v>
      </c>
      <c r="U643">
        <v>41.5</v>
      </c>
      <c r="V643">
        <v>0.70208333333333328</v>
      </c>
      <c r="W643">
        <v>62.5</v>
      </c>
      <c r="X643">
        <v>12.6</v>
      </c>
      <c r="Y643">
        <v>40.5</v>
      </c>
      <c r="Z643">
        <v>0.37847222222222221</v>
      </c>
      <c r="AA643">
        <v>82</v>
      </c>
      <c r="AB643">
        <v>15</v>
      </c>
      <c r="AD643">
        <v>21</v>
      </c>
      <c r="AE643">
        <v>41.5</v>
      </c>
      <c r="AV643" t="s">
        <v>644</v>
      </c>
    </row>
    <row r="644" spans="1:48" x14ac:dyDescent="0.35">
      <c r="A644">
        <v>642</v>
      </c>
      <c r="B644">
        <v>46055</v>
      </c>
      <c r="C644" t="s">
        <v>16</v>
      </c>
      <c r="D644" t="s">
        <v>317</v>
      </c>
      <c r="E644" t="s">
        <v>290</v>
      </c>
      <c r="F644" t="s">
        <v>318</v>
      </c>
      <c r="G644" t="s">
        <v>319</v>
      </c>
      <c r="H644" t="s">
        <v>22</v>
      </c>
      <c r="I644" t="s">
        <v>23</v>
      </c>
      <c r="J644" t="s">
        <v>215</v>
      </c>
      <c r="K644" t="s">
        <v>316</v>
      </c>
      <c r="L644">
        <v>28</v>
      </c>
      <c r="M644">
        <v>62</v>
      </c>
      <c r="N644">
        <v>2</v>
      </c>
      <c r="O644">
        <v>1</v>
      </c>
      <c r="P644">
        <v>0</v>
      </c>
      <c r="Q644">
        <v>0.50009999999999999</v>
      </c>
      <c r="R644">
        <v>451.80488659679742</v>
      </c>
      <c r="S644">
        <v>6.204886596797337</v>
      </c>
      <c r="T644">
        <v>0.36249999999999999</v>
      </c>
      <c r="U644">
        <v>41.5</v>
      </c>
      <c r="V644">
        <v>0.70208333333333328</v>
      </c>
      <c r="W644">
        <v>65.5</v>
      </c>
      <c r="X644">
        <v>12.5</v>
      </c>
      <c r="Y644">
        <v>40.5</v>
      </c>
      <c r="Z644">
        <v>0.37847222222222221</v>
      </c>
      <c r="AA644">
        <v>70</v>
      </c>
      <c r="AB644">
        <v>14.6</v>
      </c>
      <c r="AD644">
        <v>24</v>
      </c>
      <c r="AE644">
        <v>29.5</v>
      </c>
      <c r="AV644" t="s">
        <v>645</v>
      </c>
    </row>
    <row r="645" spans="1:48" x14ac:dyDescent="0.35">
      <c r="A645">
        <v>643</v>
      </c>
      <c r="B645">
        <v>46055</v>
      </c>
      <c r="C645" t="s">
        <v>16</v>
      </c>
      <c r="D645" t="s">
        <v>317</v>
      </c>
      <c r="E645" t="s">
        <v>290</v>
      </c>
      <c r="F645" t="s">
        <v>318</v>
      </c>
      <c r="G645" t="s">
        <v>319</v>
      </c>
      <c r="H645" t="s">
        <v>22</v>
      </c>
      <c r="I645" t="s">
        <v>23</v>
      </c>
      <c r="J645" t="s">
        <v>215</v>
      </c>
      <c r="K645" t="s">
        <v>316</v>
      </c>
      <c r="L645">
        <v>28</v>
      </c>
      <c r="M645">
        <v>62</v>
      </c>
      <c r="N645">
        <v>2</v>
      </c>
      <c r="O645">
        <v>2</v>
      </c>
      <c r="P645">
        <v>0</v>
      </c>
      <c r="Q645">
        <v>0.50049999999999994</v>
      </c>
      <c r="R645">
        <v>452.1662582317478</v>
      </c>
      <c r="S645">
        <v>101.66625823174775</v>
      </c>
      <c r="T645">
        <v>0.36249999999999999</v>
      </c>
      <c r="U645">
        <v>41.5</v>
      </c>
      <c r="V645">
        <v>0.70277777777777772</v>
      </c>
      <c r="W645">
        <v>66</v>
      </c>
      <c r="X645">
        <v>12.3</v>
      </c>
      <c r="Y645">
        <v>40</v>
      </c>
      <c r="Z645">
        <v>0.37916666666666665</v>
      </c>
      <c r="AA645">
        <v>70</v>
      </c>
      <c r="AB645">
        <v>14.5</v>
      </c>
      <c r="AD645">
        <v>24.5</v>
      </c>
      <c r="AE645">
        <v>30</v>
      </c>
      <c r="AF645">
        <v>23.836244932930278</v>
      </c>
      <c r="AG645">
        <v>28.008734798790837</v>
      </c>
      <c r="AH645">
        <v>51.844979731721111</v>
      </c>
      <c r="AI645">
        <v>2.9318581267504245</v>
      </c>
      <c r="AJ645">
        <v>4.0612665458246706</v>
      </c>
      <c r="AK645">
        <v>6.9931246725750951</v>
      </c>
      <c r="AL645">
        <v>114.65910776816327</v>
      </c>
      <c r="AM645">
        <v>22.484264666126627</v>
      </c>
      <c r="AN645">
        <v>1.960966302963828</v>
      </c>
      <c r="AO645">
        <v>12.3</v>
      </c>
      <c r="AP645">
        <v>13.488528125118322</v>
      </c>
      <c r="AQ645">
        <v>15.465825999318428</v>
      </c>
      <c r="AR645">
        <v>68.785109181792663</v>
      </c>
      <c r="AS645">
        <v>-0.1146379682343575</v>
      </c>
      <c r="AT645">
        <v>8.5838010044660056</v>
      </c>
      <c r="AU645">
        <v>38.176925649686993</v>
      </c>
    </row>
    <row r="646" spans="1:48" x14ac:dyDescent="0.35">
      <c r="A646">
        <v>644</v>
      </c>
      <c r="B646">
        <v>46055</v>
      </c>
      <c r="C646" t="s">
        <v>16</v>
      </c>
      <c r="D646" t="s">
        <v>317</v>
      </c>
      <c r="E646" t="s">
        <v>290</v>
      </c>
      <c r="F646" t="s">
        <v>318</v>
      </c>
      <c r="G646" t="s">
        <v>319</v>
      </c>
      <c r="H646" t="s">
        <v>22</v>
      </c>
      <c r="I646" t="s">
        <v>23</v>
      </c>
      <c r="J646" t="s">
        <v>215</v>
      </c>
      <c r="K646" t="s">
        <v>316</v>
      </c>
      <c r="L646">
        <v>28</v>
      </c>
      <c r="M646">
        <v>62</v>
      </c>
      <c r="N646">
        <v>2</v>
      </c>
      <c r="O646">
        <v>3</v>
      </c>
      <c r="P646">
        <v>0</v>
      </c>
      <c r="Q646">
        <v>0.50019999999999998</v>
      </c>
      <c r="R646">
        <v>451.89522950553499</v>
      </c>
      <c r="S646">
        <v>41.895229505534928</v>
      </c>
      <c r="T646">
        <v>0.36319444444444443</v>
      </c>
      <c r="U646">
        <v>40</v>
      </c>
      <c r="V646">
        <v>0.70277777777777772</v>
      </c>
      <c r="W646">
        <v>65</v>
      </c>
      <c r="X646">
        <v>12.3</v>
      </c>
      <c r="Y646">
        <v>40</v>
      </c>
      <c r="Z646">
        <v>0.37916666666666665</v>
      </c>
      <c r="AA646">
        <v>68.5</v>
      </c>
      <c r="AB646">
        <v>14.5</v>
      </c>
      <c r="AD646">
        <v>25</v>
      </c>
      <c r="AE646">
        <v>28.5</v>
      </c>
      <c r="AV646" t="s">
        <v>646</v>
      </c>
    </row>
    <row r="647" spans="1:48" x14ac:dyDescent="0.35">
      <c r="A647">
        <v>645</v>
      </c>
      <c r="B647">
        <v>46050</v>
      </c>
      <c r="C647" t="s">
        <v>120</v>
      </c>
      <c r="D647" t="s">
        <v>122</v>
      </c>
      <c r="E647" t="s">
        <v>123</v>
      </c>
      <c r="F647" t="s">
        <v>545</v>
      </c>
      <c r="G647" t="s">
        <v>125</v>
      </c>
      <c r="H647" t="s">
        <v>108</v>
      </c>
      <c r="I647" t="s">
        <v>109</v>
      </c>
      <c r="J647" t="s">
        <v>110</v>
      </c>
      <c r="K647" t="s">
        <v>121</v>
      </c>
      <c r="L647">
        <v>28</v>
      </c>
      <c r="M647">
        <v>61</v>
      </c>
      <c r="N647">
        <v>2</v>
      </c>
      <c r="O647">
        <v>1</v>
      </c>
      <c r="P647">
        <v>0</v>
      </c>
      <c r="Q647">
        <v>0.50029999999999997</v>
      </c>
      <c r="R647">
        <v>468.03064999999998</v>
      </c>
      <c r="S647">
        <v>179.93064999999996</v>
      </c>
      <c r="T647">
        <v>0.36458333333333331</v>
      </c>
      <c r="U647">
        <v>41</v>
      </c>
      <c r="V647">
        <v>0.70138888888888884</v>
      </c>
      <c r="W647">
        <v>70.5</v>
      </c>
      <c r="X647">
        <v>15.4</v>
      </c>
      <c r="Y647">
        <v>40</v>
      </c>
      <c r="Z647">
        <v>0.40347222222222223</v>
      </c>
      <c r="AA647">
        <v>89.5</v>
      </c>
      <c r="AB647">
        <v>16.5</v>
      </c>
      <c r="AD647">
        <v>29.5</v>
      </c>
      <c r="AE647">
        <v>49.5</v>
      </c>
      <c r="AF647">
        <v>26.107474101643646</v>
      </c>
      <c r="AG647">
        <v>45.185592064046816</v>
      </c>
      <c r="AH647">
        <v>71.293066165690462</v>
      </c>
      <c r="AI647">
        <v>4.0205510116531213</v>
      </c>
      <c r="AJ647">
        <v>7.4556226905677248</v>
      </c>
      <c r="AK647">
        <v>11.476173702220846</v>
      </c>
      <c r="AL647">
        <v>152.32563543795789</v>
      </c>
      <c r="AM647">
        <v>38.444202318801125</v>
      </c>
      <c r="AN647">
        <v>2.5238169667415842</v>
      </c>
      <c r="AO647">
        <v>15.399999999999999</v>
      </c>
      <c r="AP647">
        <v>16.097180720982532</v>
      </c>
      <c r="AQ647">
        <v>24.520132820833094</v>
      </c>
      <c r="AR647">
        <v>63.781094006056499</v>
      </c>
      <c r="AS647">
        <v>0.60047075776033043</v>
      </c>
      <c r="AT647">
        <v>13.609097939313591</v>
      </c>
      <c r="AU647">
        <v>35.399610652496399</v>
      </c>
    </row>
    <row r="648" spans="1:48" x14ac:dyDescent="0.35">
      <c r="A648">
        <v>646</v>
      </c>
      <c r="B648">
        <v>46050</v>
      </c>
      <c r="C648" t="s">
        <v>120</v>
      </c>
      <c r="D648" t="s">
        <v>122</v>
      </c>
      <c r="E648" t="s">
        <v>123</v>
      </c>
      <c r="F648" t="s">
        <v>545</v>
      </c>
      <c r="G648" t="s">
        <v>125</v>
      </c>
      <c r="H648" t="s">
        <v>108</v>
      </c>
      <c r="I648" t="s">
        <v>109</v>
      </c>
      <c r="J648" t="s">
        <v>110</v>
      </c>
      <c r="K648" t="s">
        <v>121</v>
      </c>
      <c r="L648">
        <v>28</v>
      </c>
      <c r="M648">
        <v>61</v>
      </c>
      <c r="N648">
        <v>2</v>
      </c>
      <c r="O648">
        <v>2</v>
      </c>
      <c r="P648">
        <v>0</v>
      </c>
      <c r="Q648">
        <v>0.5</v>
      </c>
      <c r="R648">
        <v>467.75</v>
      </c>
      <c r="S648">
        <v>157.14999999999992</v>
      </c>
      <c r="T648">
        <v>0.36458333333333331</v>
      </c>
      <c r="U648">
        <v>40.5</v>
      </c>
      <c r="V648">
        <v>0.70208333333333328</v>
      </c>
      <c r="W648">
        <v>65</v>
      </c>
      <c r="X648">
        <v>17</v>
      </c>
      <c r="Y648">
        <v>40</v>
      </c>
      <c r="Z648">
        <v>0.40416666666666667</v>
      </c>
      <c r="AA648">
        <v>89</v>
      </c>
      <c r="AB648">
        <v>16.5</v>
      </c>
      <c r="AD648">
        <v>24.5</v>
      </c>
      <c r="AE648">
        <v>49</v>
      </c>
      <c r="AF648">
        <v>21.107474101643646</v>
      </c>
      <c r="AG648">
        <v>44.685592064046816</v>
      </c>
      <c r="AH648">
        <v>65.793066165690462</v>
      </c>
      <c r="AI648">
        <v>3.5882705972794202</v>
      </c>
      <c r="AJ648">
        <v>7.3731226905677252</v>
      </c>
      <c r="AK648">
        <v>10.961393287847145</v>
      </c>
      <c r="AL648">
        <v>140.65861286090959</v>
      </c>
      <c r="AM648">
        <v>33.59700694815605</v>
      </c>
      <c r="AN648">
        <v>2.388549571534484</v>
      </c>
      <c r="AO648">
        <v>17</v>
      </c>
      <c r="AP648">
        <v>16.660408043975998</v>
      </c>
      <c r="AQ648">
        <v>23.434298851624039</v>
      </c>
      <c r="AR648">
        <v>69.751150415826586</v>
      </c>
      <c r="AS648">
        <v>0.86022628803394896</v>
      </c>
      <c r="AT648">
        <v>13.006441300347737</v>
      </c>
      <c r="AU648">
        <v>38.713095248091996</v>
      </c>
    </row>
    <row r="649" spans="1:48" x14ac:dyDescent="0.35">
      <c r="A649">
        <v>647</v>
      </c>
      <c r="B649">
        <v>46050</v>
      </c>
      <c r="C649" t="s">
        <v>120</v>
      </c>
      <c r="D649" t="s">
        <v>122</v>
      </c>
      <c r="E649" t="s">
        <v>123</v>
      </c>
      <c r="F649" t="s">
        <v>545</v>
      </c>
      <c r="G649" t="s">
        <v>125</v>
      </c>
      <c r="H649" t="s">
        <v>108</v>
      </c>
      <c r="I649" t="s">
        <v>109</v>
      </c>
      <c r="J649" t="s">
        <v>110</v>
      </c>
      <c r="K649" t="s">
        <v>121</v>
      </c>
      <c r="L649">
        <v>28</v>
      </c>
      <c r="M649">
        <v>61</v>
      </c>
      <c r="N649">
        <v>2</v>
      </c>
      <c r="O649">
        <v>3</v>
      </c>
      <c r="P649">
        <v>0</v>
      </c>
      <c r="Q649">
        <v>0.50009999999999999</v>
      </c>
      <c r="R649">
        <v>467.84354999999999</v>
      </c>
      <c r="S649">
        <v>105.74355000000003</v>
      </c>
      <c r="T649">
        <v>0.36458333333333331</v>
      </c>
      <c r="U649">
        <v>41</v>
      </c>
      <c r="V649">
        <v>0.70208333333333328</v>
      </c>
      <c r="W649">
        <v>69</v>
      </c>
      <c r="X649">
        <v>15.6</v>
      </c>
      <c r="Y649">
        <v>40</v>
      </c>
      <c r="Z649">
        <v>0.40416666666666667</v>
      </c>
      <c r="AA649">
        <v>87.5</v>
      </c>
      <c r="AB649">
        <v>16.7</v>
      </c>
      <c r="AD649">
        <v>28</v>
      </c>
      <c r="AE649">
        <v>47.5</v>
      </c>
      <c r="AF649">
        <v>24.607474101643646</v>
      </c>
      <c r="AG649">
        <v>43.185592064046816</v>
      </c>
      <c r="AH649">
        <v>67.793066165690462</v>
      </c>
      <c r="AI649">
        <v>3.838765959856409</v>
      </c>
      <c r="AJ649">
        <v>7.2119938746958177</v>
      </c>
      <c r="AK649">
        <v>11.050759834552228</v>
      </c>
      <c r="AL649">
        <v>144.90542012536127</v>
      </c>
      <c r="AM649">
        <v>22.602331484531536</v>
      </c>
      <c r="AN649">
        <v>1.5597988995151248</v>
      </c>
      <c r="AO649">
        <v>15.600000000000001</v>
      </c>
      <c r="AP649">
        <v>16.300722860865275</v>
      </c>
      <c r="AQ649">
        <v>23.620630945007637</v>
      </c>
      <c r="AR649">
        <v>104.50528504624845</v>
      </c>
      <c r="AS649">
        <v>-6.4805673666654879</v>
      </c>
      <c r="AT649">
        <v>13.109858835914272</v>
      </c>
      <c r="AU649">
        <v>58.002241250582173</v>
      </c>
    </row>
    <row r="650" spans="1:48" x14ac:dyDescent="0.35">
      <c r="A650">
        <v>648</v>
      </c>
      <c r="B650">
        <v>46055</v>
      </c>
      <c r="D650" t="s">
        <v>537</v>
      </c>
      <c r="E650" t="s">
        <v>538</v>
      </c>
      <c r="F650">
        <v>24</v>
      </c>
      <c r="G650" t="s">
        <v>537</v>
      </c>
      <c r="K650" t="s">
        <v>539</v>
      </c>
      <c r="L650">
        <v>28</v>
      </c>
      <c r="M650">
        <v>62</v>
      </c>
      <c r="N650">
        <v>2</v>
      </c>
      <c r="O650">
        <v>1</v>
      </c>
      <c r="P650">
        <v>0</v>
      </c>
      <c r="S650">
        <v>0</v>
      </c>
      <c r="T650">
        <v>0.33333333333333331</v>
      </c>
      <c r="U650">
        <v>39.5</v>
      </c>
      <c r="V650">
        <v>0.66666666666666663</v>
      </c>
      <c r="W650">
        <v>40.5</v>
      </c>
      <c r="Y650">
        <v>39.5</v>
      </c>
      <c r="Z650">
        <v>0.33958333333333335</v>
      </c>
      <c r="AA650">
        <v>42</v>
      </c>
      <c r="AD650">
        <v>1</v>
      </c>
      <c r="AE650">
        <v>2.5</v>
      </c>
    </row>
    <row r="651" spans="1:48" x14ac:dyDescent="0.35">
      <c r="A651">
        <v>649</v>
      </c>
      <c r="B651">
        <v>46055</v>
      </c>
      <c r="D651" t="s">
        <v>537</v>
      </c>
      <c r="E651" t="s">
        <v>538</v>
      </c>
      <c r="F651">
        <v>24</v>
      </c>
      <c r="G651" t="s">
        <v>537</v>
      </c>
      <c r="K651" t="s">
        <v>539</v>
      </c>
      <c r="L651">
        <v>28</v>
      </c>
      <c r="M651">
        <v>62</v>
      </c>
      <c r="N651">
        <v>2</v>
      </c>
      <c r="O651">
        <v>2</v>
      </c>
      <c r="P651">
        <v>0</v>
      </c>
      <c r="S651">
        <v>0</v>
      </c>
      <c r="T651">
        <v>0.33402777777777776</v>
      </c>
      <c r="U651">
        <v>39.5</v>
      </c>
      <c r="V651">
        <v>0.66666666666666663</v>
      </c>
      <c r="W651">
        <v>40</v>
      </c>
      <c r="Y651">
        <v>39</v>
      </c>
      <c r="Z651">
        <v>0.34027777777777779</v>
      </c>
      <c r="AA651">
        <v>41</v>
      </c>
      <c r="AD651">
        <v>0.5</v>
      </c>
      <c r="AE651">
        <v>2</v>
      </c>
    </row>
    <row r="652" spans="1:48" x14ac:dyDescent="0.35">
      <c r="A652">
        <v>650</v>
      </c>
      <c r="B652">
        <v>46050</v>
      </c>
      <c r="E652" t="s">
        <v>554</v>
      </c>
      <c r="F652" t="s">
        <v>542</v>
      </c>
      <c r="G652" t="s">
        <v>575</v>
      </c>
      <c r="L652">
        <v>28</v>
      </c>
      <c r="M652">
        <v>61</v>
      </c>
      <c r="N652">
        <v>2</v>
      </c>
      <c r="O652">
        <v>1</v>
      </c>
      <c r="P652">
        <v>276</v>
      </c>
      <c r="S652">
        <v>0</v>
      </c>
      <c r="T652">
        <v>0.36527777777777776</v>
      </c>
      <c r="U652">
        <v>39.5</v>
      </c>
      <c r="V652">
        <v>0.70277777777777772</v>
      </c>
      <c r="W652">
        <v>43.5</v>
      </c>
      <c r="AD652">
        <v>4</v>
      </c>
    </row>
    <row r="653" spans="1:48" x14ac:dyDescent="0.35">
      <c r="A653">
        <v>651</v>
      </c>
      <c r="B653">
        <v>46050</v>
      </c>
      <c r="E653" t="s">
        <v>554</v>
      </c>
      <c r="F653" t="s">
        <v>542</v>
      </c>
      <c r="G653" t="s">
        <v>575</v>
      </c>
      <c r="L653">
        <v>28</v>
      </c>
      <c r="M653">
        <v>61</v>
      </c>
      <c r="N653">
        <v>2</v>
      </c>
      <c r="O653">
        <v>2</v>
      </c>
      <c r="P653">
        <v>277</v>
      </c>
      <c r="S653">
        <v>0</v>
      </c>
      <c r="T653">
        <v>0.3659722222222222</v>
      </c>
      <c r="U653">
        <v>39.5</v>
      </c>
      <c r="V653">
        <v>0.70277777777777772</v>
      </c>
      <c r="W653">
        <v>43.5</v>
      </c>
      <c r="AC653" t="s">
        <v>559</v>
      </c>
      <c r="AD653">
        <v>4</v>
      </c>
    </row>
    <row r="654" spans="1:48" x14ac:dyDescent="0.35">
      <c r="A654">
        <v>652</v>
      </c>
      <c r="B654">
        <v>46050</v>
      </c>
      <c r="E654" t="s">
        <v>554</v>
      </c>
      <c r="F654" t="s">
        <v>576</v>
      </c>
      <c r="G654" t="s">
        <v>577</v>
      </c>
      <c r="L654">
        <v>28</v>
      </c>
      <c r="M654">
        <v>61</v>
      </c>
      <c r="N654">
        <v>2</v>
      </c>
      <c r="O654">
        <v>1</v>
      </c>
      <c r="P654">
        <v>278</v>
      </c>
      <c r="S654">
        <v>0</v>
      </c>
      <c r="T654">
        <v>0.3659722222222222</v>
      </c>
      <c r="U654">
        <v>40</v>
      </c>
      <c r="V654">
        <v>0.70347222222222228</v>
      </c>
      <c r="W654">
        <v>43</v>
      </c>
      <c r="Y654">
        <v>39.5</v>
      </c>
      <c r="Z654">
        <v>0.40486111111111112</v>
      </c>
      <c r="AA654">
        <v>45</v>
      </c>
      <c r="AD654">
        <v>3</v>
      </c>
      <c r="AE654">
        <v>5.5</v>
      </c>
    </row>
    <row r="655" spans="1:48" x14ac:dyDescent="0.35">
      <c r="A655">
        <v>653</v>
      </c>
      <c r="B655">
        <v>46050</v>
      </c>
      <c r="E655" t="s">
        <v>554</v>
      </c>
      <c r="F655" t="s">
        <v>576</v>
      </c>
      <c r="G655" t="s">
        <v>577</v>
      </c>
      <c r="L655">
        <v>28</v>
      </c>
      <c r="M655">
        <v>61</v>
      </c>
      <c r="N655">
        <v>2</v>
      </c>
      <c r="O655">
        <v>2</v>
      </c>
      <c r="P655">
        <v>279</v>
      </c>
      <c r="S655">
        <v>0</v>
      </c>
      <c r="T655">
        <v>0.36666666666666664</v>
      </c>
      <c r="U655">
        <v>39.5</v>
      </c>
      <c r="V655">
        <v>0.70347222222222228</v>
      </c>
      <c r="W655">
        <v>43.5</v>
      </c>
      <c r="Y655">
        <v>39</v>
      </c>
      <c r="Z655">
        <v>0.40555555555555556</v>
      </c>
      <c r="AA655">
        <v>44</v>
      </c>
      <c r="AD655">
        <v>4</v>
      </c>
      <c r="AE655">
        <v>5</v>
      </c>
    </row>
    <row r="656" spans="1:48" x14ac:dyDescent="0.35">
      <c r="A656">
        <v>654</v>
      </c>
      <c r="B656">
        <v>46076</v>
      </c>
      <c r="D656" t="s">
        <v>537</v>
      </c>
      <c r="G656" t="s">
        <v>537</v>
      </c>
      <c r="K656" t="s">
        <v>539</v>
      </c>
      <c r="L656">
        <v>28</v>
      </c>
      <c r="M656">
        <v>69</v>
      </c>
      <c r="N656">
        <v>3</v>
      </c>
      <c r="O656">
        <v>1</v>
      </c>
      <c r="P656">
        <v>73</v>
      </c>
      <c r="S656">
        <v>0</v>
      </c>
      <c r="T656">
        <v>0.34027777777777779</v>
      </c>
      <c r="U656">
        <v>40</v>
      </c>
      <c r="V656">
        <v>0.68541666666666667</v>
      </c>
      <c r="W656">
        <v>42.5</v>
      </c>
      <c r="Y656">
        <v>39.5</v>
      </c>
      <c r="Z656">
        <v>0.36458333333333331</v>
      </c>
      <c r="AA656">
        <v>43</v>
      </c>
      <c r="AD656">
        <v>2.5</v>
      </c>
      <c r="AE656">
        <v>3.5</v>
      </c>
    </row>
    <row r="657" spans="1:47" x14ac:dyDescent="0.35">
      <c r="A657">
        <v>655</v>
      </c>
      <c r="B657">
        <v>46076</v>
      </c>
      <c r="D657" t="s">
        <v>537</v>
      </c>
      <c r="G657" t="s">
        <v>537</v>
      </c>
      <c r="K657" t="s">
        <v>539</v>
      </c>
      <c r="L657">
        <v>28</v>
      </c>
      <c r="M657">
        <v>69</v>
      </c>
      <c r="N657">
        <v>3</v>
      </c>
      <c r="O657">
        <v>2</v>
      </c>
      <c r="P657">
        <v>74</v>
      </c>
      <c r="S657">
        <v>0</v>
      </c>
      <c r="T657">
        <v>0.34027777777777779</v>
      </c>
      <c r="U657">
        <v>39.5</v>
      </c>
      <c r="V657">
        <v>0.68611111111111112</v>
      </c>
      <c r="W657">
        <v>41.5</v>
      </c>
      <c r="Y657">
        <v>39.5</v>
      </c>
      <c r="Z657">
        <v>0.36458333333333331</v>
      </c>
      <c r="AA657">
        <v>42</v>
      </c>
      <c r="AD657">
        <v>2</v>
      </c>
      <c r="AE657">
        <v>2.5</v>
      </c>
    </row>
    <row r="658" spans="1:47" x14ac:dyDescent="0.35">
      <c r="A658">
        <v>656</v>
      </c>
      <c r="B658">
        <v>46076</v>
      </c>
      <c r="C658" t="s">
        <v>16</v>
      </c>
      <c r="D658" t="s">
        <v>128</v>
      </c>
      <c r="E658" t="s">
        <v>129</v>
      </c>
      <c r="F658" t="s">
        <v>130</v>
      </c>
      <c r="G658" t="s">
        <v>131</v>
      </c>
      <c r="H658" t="s">
        <v>22</v>
      </c>
      <c r="I658" t="s">
        <v>23</v>
      </c>
      <c r="J658" t="s">
        <v>24</v>
      </c>
      <c r="K658" t="s">
        <v>127</v>
      </c>
      <c r="L658">
        <v>28</v>
      </c>
      <c r="M658">
        <v>69</v>
      </c>
      <c r="N658">
        <v>3</v>
      </c>
      <c r="O658">
        <v>1</v>
      </c>
      <c r="P658">
        <v>75</v>
      </c>
      <c r="Q658">
        <v>0.50009999999999999</v>
      </c>
      <c r="R658">
        <v>473.0304128348663</v>
      </c>
      <c r="S658">
        <v>258.73041283486634</v>
      </c>
      <c r="T658">
        <v>0.34097222222222223</v>
      </c>
      <c r="U658">
        <v>41</v>
      </c>
      <c r="V658">
        <v>0.68611111111111112</v>
      </c>
      <c r="W658">
        <v>69.5</v>
      </c>
      <c r="X658">
        <v>13.3</v>
      </c>
      <c r="Y658">
        <v>40</v>
      </c>
      <c r="Z658">
        <v>0.36527777777777776</v>
      </c>
      <c r="AA658">
        <v>79.5</v>
      </c>
      <c r="AB658">
        <v>15</v>
      </c>
      <c r="AD658">
        <v>28.5</v>
      </c>
      <c r="AE658">
        <v>39.5</v>
      </c>
      <c r="AF658">
        <v>25.107474101643646</v>
      </c>
      <c r="AG658">
        <v>35.185592064046816</v>
      </c>
      <c r="AH658">
        <v>60.293066165690462</v>
      </c>
      <c r="AI658">
        <v>3.339294055518605</v>
      </c>
      <c r="AJ658">
        <v>5.2778388096070223</v>
      </c>
      <c r="AK658">
        <v>8.6171328651256278</v>
      </c>
      <c r="AL658">
        <v>127.4612890202022</v>
      </c>
      <c r="AM658">
        <v>54.696359010892706</v>
      </c>
      <c r="AN658">
        <v>4.291213389676571</v>
      </c>
      <c r="AO658">
        <v>13.3</v>
      </c>
      <c r="AP658">
        <v>14.2920793602452</v>
      </c>
      <c r="AQ658">
        <v>18.216868580358799</v>
      </c>
      <c r="AR658">
        <v>33.305450142907937</v>
      </c>
      <c r="AS658">
        <v>0.67118660800652674</v>
      </c>
      <c r="AT658">
        <v>10.110677232835821</v>
      </c>
      <c r="AU658">
        <v>18.48510104817451</v>
      </c>
    </row>
    <row r="659" spans="1:47" x14ac:dyDescent="0.35">
      <c r="A659">
        <v>657</v>
      </c>
      <c r="B659">
        <v>46076</v>
      </c>
      <c r="C659" t="s">
        <v>16</v>
      </c>
      <c r="D659" t="s">
        <v>128</v>
      </c>
      <c r="E659" t="s">
        <v>129</v>
      </c>
      <c r="F659" t="s">
        <v>130</v>
      </c>
      <c r="G659" t="s">
        <v>131</v>
      </c>
      <c r="H659" t="s">
        <v>22</v>
      </c>
      <c r="I659" t="s">
        <v>23</v>
      </c>
      <c r="J659" t="s">
        <v>24</v>
      </c>
      <c r="K659" t="s">
        <v>127</v>
      </c>
      <c r="L659">
        <v>28</v>
      </c>
      <c r="M659">
        <v>69</v>
      </c>
      <c r="N659">
        <v>3</v>
      </c>
      <c r="O659">
        <v>2</v>
      </c>
      <c r="P659">
        <v>76</v>
      </c>
      <c r="Q659">
        <v>0.5</v>
      </c>
      <c r="R659">
        <v>472.93582566973237</v>
      </c>
      <c r="S659">
        <v>249.9358256697324</v>
      </c>
      <c r="T659">
        <v>0.34097222222222223</v>
      </c>
      <c r="U659">
        <v>41</v>
      </c>
      <c r="V659">
        <v>0.68611111111111112</v>
      </c>
      <c r="W659">
        <v>70</v>
      </c>
      <c r="X659">
        <v>13.1</v>
      </c>
      <c r="Y659">
        <v>41</v>
      </c>
      <c r="Z659">
        <v>0.36527777777777776</v>
      </c>
      <c r="AA659">
        <v>81</v>
      </c>
      <c r="AB659">
        <v>15</v>
      </c>
      <c r="AD659">
        <v>29</v>
      </c>
      <c r="AE659">
        <v>40</v>
      </c>
      <c r="AF659">
        <v>25.607474101643646</v>
      </c>
      <c r="AG659">
        <v>35.685592064046816</v>
      </c>
      <c r="AH659">
        <v>61.293066165690462</v>
      </c>
      <c r="AI659">
        <v>3.3545791073153177</v>
      </c>
      <c r="AJ659">
        <v>5.3528388096070225</v>
      </c>
      <c r="AK659">
        <v>8.7074179169223402</v>
      </c>
      <c r="AL659">
        <v>129.6012330613616</v>
      </c>
      <c r="AM659">
        <v>52.847725231175723</v>
      </c>
      <c r="AN659">
        <v>4.0777177795950594</v>
      </c>
      <c r="AO659">
        <v>13.1</v>
      </c>
      <c r="AP659">
        <v>14.206203836146843</v>
      </c>
      <c r="AQ659">
        <v>18.41141534285676</v>
      </c>
      <c r="AR659">
        <v>34.838614646738989</v>
      </c>
      <c r="AS659">
        <v>0.93809720411744257</v>
      </c>
      <c r="AT659">
        <v>10.218654051883126</v>
      </c>
      <c r="AU659">
        <v>19.336033873138174</v>
      </c>
    </row>
    <row r="660" spans="1:47" x14ac:dyDescent="0.35">
      <c r="A660">
        <v>658</v>
      </c>
      <c r="B660">
        <v>46076</v>
      </c>
      <c r="C660" t="s">
        <v>16</v>
      </c>
      <c r="D660" t="s">
        <v>135</v>
      </c>
      <c r="E660" t="s">
        <v>99</v>
      </c>
      <c r="F660" t="s">
        <v>100</v>
      </c>
      <c r="G660" t="s">
        <v>101</v>
      </c>
      <c r="H660" t="s">
        <v>22</v>
      </c>
      <c r="I660" t="s">
        <v>23</v>
      </c>
      <c r="J660" t="s">
        <v>24</v>
      </c>
      <c r="K660" t="s">
        <v>134</v>
      </c>
      <c r="L660">
        <v>28</v>
      </c>
      <c r="M660">
        <v>69</v>
      </c>
      <c r="N660">
        <v>3</v>
      </c>
      <c r="O660">
        <v>1</v>
      </c>
      <c r="P660">
        <v>77</v>
      </c>
      <c r="Q660">
        <v>0.50039999999999996</v>
      </c>
      <c r="R660">
        <v>463.67980995023606</v>
      </c>
      <c r="S660">
        <v>255.27980995023603</v>
      </c>
      <c r="T660">
        <v>0.34166666666666667</v>
      </c>
      <c r="U660">
        <v>41.5</v>
      </c>
      <c r="V660">
        <v>0.68680555555555556</v>
      </c>
      <c r="W660">
        <v>77.5</v>
      </c>
      <c r="X660">
        <v>10.7</v>
      </c>
      <c r="Y660">
        <v>40</v>
      </c>
      <c r="Z660">
        <v>0.36666666666666664</v>
      </c>
      <c r="AA660">
        <v>64</v>
      </c>
      <c r="AB660">
        <v>13.7</v>
      </c>
      <c r="AD660">
        <v>36</v>
      </c>
      <c r="AE660">
        <v>24</v>
      </c>
      <c r="AF660">
        <v>32.607474101643646</v>
      </c>
      <c r="AG660">
        <v>19.685592064046812</v>
      </c>
      <c r="AH660">
        <v>52.293066165690462</v>
      </c>
      <c r="AI660">
        <v>3.4889997288758701</v>
      </c>
      <c r="AJ660">
        <v>2.6969261127744129</v>
      </c>
      <c r="AK660">
        <v>6.1859258416502829</v>
      </c>
      <c r="AL660">
        <v>112.77839803139749</v>
      </c>
      <c r="AM660">
        <v>55.05519206834424</v>
      </c>
      <c r="AN660">
        <v>4.8817143202386051</v>
      </c>
      <c r="AO660">
        <v>10.7</v>
      </c>
      <c r="AP660">
        <v>11.829342387478659</v>
      </c>
      <c r="AQ660">
        <v>13.3409428422475</v>
      </c>
      <c r="AR660">
        <v>24.231943148407076</v>
      </c>
      <c r="AS660">
        <v>0.517453605034501</v>
      </c>
      <c r="AT660">
        <v>7.4044540896072624</v>
      </c>
      <c r="AU660">
        <v>13.44914768513666</v>
      </c>
    </row>
    <row r="661" spans="1:47" x14ac:dyDescent="0.35">
      <c r="A661">
        <v>659</v>
      </c>
      <c r="B661">
        <v>46076</v>
      </c>
      <c r="C661" t="s">
        <v>16</v>
      </c>
      <c r="D661" t="s">
        <v>135</v>
      </c>
      <c r="E661" t="s">
        <v>99</v>
      </c>
      <c r="F661" t="s">
        <v>100</v>
      </c>
      <c r="G661" t="s">
        <v>101</v>
      </c>
      <c r="H661" t="s">
        <v>22</v>
      </c>
      <c r="I661" t="s">
        <v>23</v>
      </c>
      <c r="J661" t="s">
        <v>24</v>
      </c>
      <c r="K661" t="s">
        <v>134</v>
      </c>
      <c r="L661">
        <v>28</v>
      </c>
      <c r="M661">
        <v>69</v>
      </c>
      <c r="N661">
        <v>3</v>
      </c>
      <c r="O661">
        <v>2</v>
      </c>
      <c r="P661">
        <v>78</v>
      </c>
      <c r="Q661">
        <v>0.50009999999999999</v>
      </c>
      <c r="R661">
        <v>463.40182445266396</v>
      </c>
      <c r="S661">
        <v>219.0018244526639</v>
      </c>
      <c r="T661">
        <v>0.34166666666666667</v>
      </c>
      <c r="U661">
        <v>41</v>
      </c>
      <c r="V661">
        <v>0.68680555555555556</v>
      </c>
      <c r="W661">
        <v>76</v>
      </c>
      <c r="X661">
        <v>10.8</v>
      </c>
      <c r="Y661">
        <v>40</v>
      </c>
      <c r="Z661">
        <v>0.36736111111111114</v>
      </c>
      <c r="AA661">
        <v>68.5</v>
      </c>
      <c r="AB661">
        <v>13.6</v>
      </c>
      <c r="AD661">
        <v>35</v>
      </c>
      <c r="AE661">
        <v>28.5</v>
      </c>
      <c r="AF661">
        <v>31.607474101643646</v>
      </c>
      <c r="AG661">
        <v>24.185592064046812</v>
      </c>
      <c r="AH661">
        <v>55.793066165690462</v>
      </c>
      <c r="AI661">
        <v>3.4136072029775142</v>
      </c>
      <c r="AJ661">
        <v>3.2892405207103668</v>
      </c>
      <c r="AK661">
        <v>6.7028477236878814</v>
      </c>
      <c r="AL661">
        <v>120.39889189385285</v>
      </c>
      <c r="AM661">
        <v>47.259594782850215</v>
      </c>
      <c r="AN661">
        <v>3.9252516397339976</v>
      </c>
      <c r="AO661">
        <v>10.8</v>
      </c>
      <c r="AP661">
        <v>12.01376476385474</v>
      </c>
      <c r="AQ661">
        <v>14.464439650415255</v>
      </c>
      <c r="AR661">
        <v>30.606355633976314</v>
      </c>
      <c r="AS661">
        <v>-2.0208928915093773</v>
      </c>
      <c r="AT661">
        <v>8.0280142558014056</v>
      </c>
      <c r="AU661">
        <v>16.987056898580622</v>
      </c>
    </row>
    <row r="662" spans="1:47" x14ac:dyDescent="0.35">
      <c r="A662">
        <v>660</v>
      </c>
      <c r="B662">
        <v>46076</v>
      </c>
      <c r="C662" t="s">
        <v>16</v>
      </c>
      <c r="D662" t="s">
        <v>137</v>
      </c>
      <c r="E662" t="s">
        <v>99</v>
      </c>
      <c r="F662" t="s">
        <v>100</v>
      </c>
      <c r="G662" t="s">
        <v>101</v>
      </c>
      <c r="H662" t="s">
        <v>22</v>
      </c>
      <c r="I662" t="s">
        <v>23</v>
      </c>
      <c r="J662" t="s">
        <v>24</v>
      </c>
      <c r="K662" t="s">
        <v>136</v>
      </c>
      <c r="L662">
        <v>28</v>
      </c>
      <c r="M662">
        <v>69</v>
      </c>
      <c r="N662">
        <v>3</v>
      </c>
      <c r="O662">
        <v>1</v>
      </c>
      <c r="P662">
        <v>79</v>
      </c>
      <c r="Q662">
        <v>0.5</v>
      </c>
      <c r="R662">
        <v>471.30431427962986</v>
      </c>
      <c r="S662">
        <v>174.20431427962995</v>
      </c>
      <c r="T662">
        <v>0.34166666666666667</v>
      </c>
      <c r="U662">
        <v>41.5</v>
      </c>
      <c r="V662">
        <v>0.6875</v>
      </c>
      <c r="W662">
        <v>75</v>
      </c>
      <c r="X662">
        <v>11.3</v>
      </c>
      <c r="Y662">
        <v>40</v>
      </c>
      <c r="Z662">
        <v>0.36736111111111114</v>
      </c>
      <c r="AA662">
        <v>72</v>
      </c>
      <c r="AB662">
        <v>14.7</v>
      </c>
      <c r="AD662">
        <v>33.5</v>
      </c>
      <c r="AE662">
        <v>32</v>
      </c>
      <c r="AF662">
        <v>30.107474101643646</v>
      </c>
      <c r="AG662">
        <v>27.685592064046812</v>
      </c>
      <c r="AH662">
        <v>57.793066165690462</v>
      </c>
      <c r="AI662">
        <v>3.4021445734857321</v>
      </c>
      <c r="AJ662">
        <v>4.0697820334148815</v>
      </c>
      <c r="AK662">
        <v>7.4719266069006132</v>
      </c>
      <c r="AL662">
        <v>122.6236731017939</v>
      </c>
      <c r="AM662">
        <v>36.962172634870619</v>
      </c>
      <c r="AN662">
        <v>3.0142770722735666</v>
      </c>
      <c r="AO662">
        <v>11.3</v>
      </c>
      <c r="AP662">
        <v>12.928759629189583</v>
      </c>
      <c r="AQ662">
        <v>15.853719943814136</v>
      </c>
      <c r="AR662">
        <v>42.891742594312547</v>
      </c>
      <c r="AS662">
        <v>-0.20315574486308474</v>
      </c>
      <c r="AT662">
        <v>8.7990888546290229</v>
      </c>
      <c r="AU662">
        <v>23.805659211514644</v>
      </c>
    </row>
    <row r="663" spans="1:47" x14ac:dyDescent="0.35">
      <c r="A663">
        <v>661</v>
      </c>
      <c r="B663">
        <v>46076</v>
      </c>
      <c r="C663" t="s">
        <v>16</v>
      </c>
      <c r="D663" t="s">
        <v>137</v>
      </c>
      <c r="E663" t="s">
        <v>99</v>
      </c>
      <c r="F663" t="s">
        <v>100</v>
      </c>
      <c r="G663" t="s">
        <v>101</v>
      </c>
      <c r="H663" t="s">
        <v>22</v>
      </c>
      <c r="I663" t="s">
        <v>23</v>
      </c>
      <c r="J663" t="s">
        <v>24</v>
      </c>
      <c r="K663" t="s">
        <v>136</v>
      </c>
      <c r="L663">
        <v>28</v>
      </c>
      <c r="M663">
        <v>69</v>
      </c>
      <c r="N663">
        <v>3</v>
      </c>
      <c r="O663">
        <v>2</v>
      </c>
      <c r="P663">
        <v>80</v>
      </c>
      <c r="Q663">
        <v>0.50039999999999996</v>
      </c>
      <c r="R663">
        <v>471.68135773105359</v>
      </c>
      <c r="S663">
        <v>212.2813577310535</v>
      </c>
      <c r="T663">
        <v>0.34166666666666667</v>
      </c>
      <c r="U663">
        <v>41</v>
      </c>
      <c r="V663">
        <v>0.6875</v>
      </c>
      <c r="W663">
        <v>75.5</v>
      </c>
      <c r="X663">
        <v>11.2</v>
      </c>
      <c r="Y663">
        <v>40</v>
      </c>
      <c r="Z663">
        <v>0.36736111111111114</v>
      </c>
      <c r="AA663">
        <v>73</v>
      </c>
      <c r="AB663">
        <v>14.7</v>
      </c>
      <c r="AD663">
        <v>34.5</v>
      </c>
      <c r="AE663">
        <v>33</v>
      </c>
      <c r="AF663">
        <v>31.107474101643646</v>
      </c>
      <c r="AG663">
        <v>28.685592064046812</v>
      </c>
      <c r="AH663">
        <v>59.793066165690462</v>
      </c>
      <c r="AI663">
        <v>3.4840370993840879</v>
      </c>
      <c r="AJ663">
        <v>4.2167820334148809</v>
      </c>
      <c r="AK663">
        <v>7.7008191327989692</v>
      </c>
      <c r="AL663">
        <v>126.76580319670735</v>
      </c>
      <c r="AM663">
        <v>45.005246497804876</v>
      </c>
      <c r="AN663">
        <v>3.5502671353699791</v>
      </c>
      <c r="AO663">
        <v>11.2</v>
      </c>
      <c r="AP663">
        <v>12.879117306778515</v>
      </c>
      <c r="AQ663">
        <v>16.326316498583932</v>
      </c>
      <c r="AR663">
        <v>36.276473898171496</v>
      </c>
      <c r="AS663">
        <v>-0.39843920705968222</v>
      </c>
      <c r="AT663">
        <v>9.0613881189372396</v>
      </c>
      <c r="AU663">
        <v>20.134070634140858</v>
      </c>
    </row>
    <row r="664" spans="1:47" x14ac:dyDescent="0.35">
      <c r="A664">
        <v>662</v>
      </c>
      <c r="B664">
        <v>46076</v>
      </c>
      <c r="C664" t="s">
        <v>16</v>
      </c>
      <c r="D664" t="s">
        <v>139</v>
      </c>
      <c r="E664" t="s">
        <v>79</v>
      </c>
      <c r="F664" t="s">
        <v>80</v>
      </c>
      <c r="G664" t="s">
        <v>81</v>
      </c>
      <c r="H664" t="s">
        <v>22</v>
      </c>
      <c r="I664" t="s">
        <v>23</v>
      </c>
      <c r="J664" t="s">
        <v>24</v>
      </c>
      <c r="K664" t="s">
        <v>138</v>
      </c>
      <c r="L664">
        <v>28</v>
      </c>
      <c r="M664">
        <v>69</v>
      </c>
      <c r="N664">
        <v>3</v>
      </c>
      <c r="O664">
        <v>1</v>
      </c>
      <c r="P664">
        <v>81</v>
      </c>
      <c r="Q664">
        <v>0.50029999999999997</v>
      </c>
      <c r="R664">
        <v>467.21842480689094</v>
      </c>
      <c r="S664">
        <v>304.21842480689099</v>
      </c>
      <c r="T664">
        <v>0.34236111111111112</v>
      </c>
      <c r="U664">
        <v>40.5</v>
      </c>
      <c r="V664">
        <v>0.6875</v>
      </c>
      <c r="W664">
        <v>55.5</v>
      </c>
      <c r="X664">
        <v>13.3</v>
      </c>
      <c r="Y664">
        <v>40</v>
      </c>
      <c r="Z664">
        <v>0.36805555555555558</v>
      </c>
      <c r="AA664">
        <v>54.5</v>
      </c>
      <c r="AB664">
        <v>3.8</v>
      </c>
      <c r="AD664">
        <v>15</v>
      </c>
      <c r="AE664">
        <v>14.5</v>
      </c>
      <c r="AF664">
        <v>11.607474101643646</v>
      </c>
      <c r="AG664">
        <v>10.185592064046812</v>
      </c>
      <c r="AH664">
        <v>21.793066165690458</v>
      </c>
      <c r="AI664">
        <v>1.5437940555186049</v>
      </c>
      <c r="AJ664">
        <v>0.38705249843377887</v>
      </c>
      <c r="AK664">
        <v>1.9308465539523838</v>
      </c>
      <c r="AL664">
        <v>46.644278154693687</v>
      </c>
      <c r="AM664">
        <v>65.11267720930087</v>
      </c>
      <c r="AN664">
        <v>13.959413626974257</v>
      </c>
      <c r="AO664">
        <v>13.3</v>
      </c>
      <c r="AP664">
        <v>8.859912319231972</v>
      </c>
      <c r="AQ664">
        <v>4.1326421464445344</v>
      </c>
      <c r="AR664">
        <v>6.3469086567588047</v>
      </c>
      <c r="AS664">
        <v>5.7652144206011044E-2</v>
      </c>
      <c r="AT664">
        <v>2.2936878902757898</v>
      </c>
      <c r="AU664">
        <v>3.522644112609385</v>
      </c>
    </row>
    <row r="665" spans="1:47" x14ac:dyDescent="0.35">
      <c r="A665">
        <v>663</v>
      </c>
      <c r="B665">
        <v>46076</v>
      </c>
      <c r="C665" t="s">
        <v>16</v>
      </c>
      <c r="D665" t="s">
        <v>139</v>
      </c>
      <c r="E665" t="s">
        <v>79</v>
      </c>
      <c r="F665" t="s">
        <v>80</v>
      </c>
      <c r="G665" t="s">
        <v>81</v>
      </c>
      <c r="H665" t="s">
        <v>22</v>
      </c>
      <c r="I665" t="s">
        <v>23</v>
      </c>
      <c r="J665" t="s">
        <v>24</v>
      </c>
      <c r="K665" t="s">
        <v>138</v>
      </c>
      <c r="L665">
        <v>28</v>
      </c>
      <c r="M665">
        <v>69</v>
      </c>
      <c r="N665">
        <v>3</v>
      </c>
      <c r="O665">
        <v>2</v>
      </c>
      <c r="P665">
        <v>82</v>
      </c>
      <c r="Q665">
        <v>0.50009999999999999</v>
      </c>
      <c r="R665">
        <v>467.03164950215108</v>
      </c>
      <c r="S665">
        <v>278.63164950215105</v>
      </c>
      <c r="T665">
        <v>0.34236111111111112</v>
      </c>
      <c r="U665">
        <v>41</v>
      </c>
      <c r="V665">
        <v>0.68819444444444444</v>
      </c>
      <c r="W665">
        <v>55.5</v>
      </c>
      <c r="X665">
        <v>6.7</v>
      </c>
      <c r="Y665">
        <v>40</v>
      </c>
      <c r="Z665">
        <v>0.36875000000000002</v>
      </c>
      <c r="AA665">
        <v>54.5</v>
      </c>
      <c r="AB665">
        <v>0.8</v>
      </c>
      <c r="AD665">
        <v>14.5</v>
      </c>
      <c r="AE665">
        <v>14.5</v>
      </c>
      <c r="AF665">
        <v>11.107474101643646</v>
      </c>
      <c r="AG665">
        <v>10.185592064046812</v>
      </c>
      <c r="AH665">
        <v>21.293066165690458</v>
      </c>
      <c r="AI665">
        <v>0.74420076481012432</v>
      </c>
      <c r="AJ665">
        <v>8.1484736512374492E-2</v>
      </c>
      <c r="AK665">
        <v>0.82568550132249885</v>
      </c>
      <c r="AL665">
        <v>45.592340879656781</v>
      </c>
      <c r="AM665">
        <v>59.660121492658647</v>
      </c>
      <c r="AN665">
        <v>13.085557868181077</v>
      </c>
      <c r="AO665">
        <v>6.7</v>
      </c>
      <c r="AP665">
        <v>3.8777200751525718</v>
      </c>
      <c r="AQ665">
        <v>1.7679433550224435</v>
      </c>
      <c r="AR665">
        <v>2.9633586234650795</v>
      </c>
      <c r="AS665">
        <v>3.5749144396937681E-2</v>
      </c>
      <c r="AT665">
        <v>0.98123914929273315</v>
      </c>
      <c r="AU665">
        <v>1.6447153052034558</v>
      </c>
    </row>
    <row r="666" spans="1:47" x14ac:dyDescent="0.35">
      <c r="A666">
        <v>664</v>
      </c>
      <c r="B666">
        <v>46076</v>
      </c>
      <c r="C666" t="s">
        <v>16</v>
      </c>
      <c r="D666" t="s">
        <v>141</v>
      </c>
      <c r="E666" t="s">
        <v>142</v>
      </c>
      <c r="F666" t="s">
        <v>143</v>
      </c>
      <c r="G666" t="s">
        <v>144</v>
      </c>
      <c r="H666" t="s">
        <v>22</v>
      </c>
      <c r="I666" t="s">
        <v>23</v>
      </c>
      <c r="J666" t="s">
        <v>24</v>
      </c>
      <c r="K666" t="s">
        <v>140</v>
      </c>
      <c r="L666">
        <v>28</v>
      </c>
      <c r="M666">
        <v>69</v>
      </c>
      <c r="N666">
        <v>3</v>
      </c>
      <c r="O666">
        <v>1</v>
      </c>
      <c r="P666">
        <v>83</v>
      </c>
      <c r="Q666">
        <v>0.5</v>
      </c>
      <c r="R666">
        <v>466.03695367021385</v>
      </c>
      <c r="S666">
        <v>217.43695367021391</v>
      </c>
      <c r="T666">
        <v>0.34236111111111112</v>
      </c>
      <c r="U666">
        <v>40.5</v>
      </c>
      <c r="V666">
        <v>0.68819444444444444</v>
      </c>
      <c r="W666">
        <v>83</v>
      </c>
      <c r="X666">
        <v>13</v>
      </c>
      <c r="Y666">
        <v>40</v>
      </c>
      <c r="Z666">
        <v>0.36875000000000002</v>
      </c>
      <c r="AA666">
        <v>78.5</v>
      </c>
      <c r="AB666">
        <v>18.100000000000001</v>
      </c>
      <c r="AD666">
        <v>42.5</v>
      </c>
      <c r="AE666">
        <v>38.5</v>
      </c>
      <c r="AF666">
        <v>39.107474101643646</v>
      </c>
      <c r="AG666">
        <v>34.185592064046816</v>
      </c>
      <c r="AH666">
        <v>73.293066165690462</v>
      </c>
      <c r="AI666">
        <v>5.0839716332136744</v>
      </c>
      <c r="AJ666">
        <v>6.1875921635924742</v>
      </c>
      <c r="AK666">
        <v>11.271563796806149</v>
      </c>
      <c r="AL666">
        <v>157.26878649532057</v>
      </c>
      <c r="AM666">
        <v>46.656590632527582</v>
      </c>
      <c r="AN666">
        <v>2.9666783646172421</v>
      </c>
      <c r="AO666">
        <v>13</v>
      </c>
      <c r="AP666">
        <v>15.378758710032697</v>
      </c>
      <c r="AQ666">
        <v>24.185987201311836</v>
      </c>
      <c r="AR666">
        <v>51.838308100571076</v>
      </c>
      <c r="AS666">
        <v>2.6590242256522645</v>
      </c>
      <c r="AT666">
        <v>13.423641339413212</v>
      </c>
      <c r="AU666">
        <v>28.771157852358485</v>
      </c>
    </row>
    <row r="667" spans="1:47" x14ac:dyDescent="0.35">
      <c r="A667">
        <v>665</v>
      </c>
      <c r="B667">
        <v>46076</v>
      </c>
      <c r="C667" t="s">
        <v>16</v>
      </c>
      <c r="D667" t="s">
        <v>141</v>
      </c>
      <c r="E667" t="s">
        <v>142</v>
      </c>
      <c r="F667" t="s">
        <v>143</v>
      </c>
      <c r="G667" t="s">
        <v>144</v>
      </c>
      <c r="H667" t="s">
        <v>22</v>
      </c>
      <c r="I667" t="s">
        <v>23</v>
      </c>
      <c r="J667" t="s">
        <v>24</v>
      </c>
      <c r="K667" t="s">
        <v>140</v>
      </c>
      <c r="L667">
        <v>28</v>
      </c>
      <c r="M667">
        <v>69</v>
      </c>
      <c r="N667">
        <v>3</v>
      </c>
      <c r="O667">
        <v>2</v>
      </c>
      <c r="P667">
        <v>84</v>
      </c>
      <c r="Q667">
        <v>0.50019999999999998</v>
      </c>
      <c r="R667">
        <v>466.22336845168195</v>
      </c>
      <c r="S667">
        <v>255.82336845168192</v>
      </c>
      <c r="T667">
        <v>0.34305555555555556</v>
      </c>
      <c r="U667">
        <v>41</v>
      </c>
      <c r="V667">
        <v>0.68888888888888888</v>
      </c>
      <c r="W667">
        <v>83.5</v>
      </c>
      <c r="X667">
        <v>13.8</v>
      </c>
      <c r="Y667">
        <v>41</v>
      </c>
      <c r="Z667">
        <v>0.36944444444444446</v>
      </c>
      <c r="AA667">
        <v>84</v>
      </c>
      <c r="AB667">
        <v>18.2</v>
      </c>
      <c r="AD667">
        <v>42.5</v>
      </c>
      <c r="AE667">
        <v>43</v>
      </c>
      <c r="AF667">
        <v>39.107474101643646</v>
      </c>
      <c r="AG667">
        <v>38.685592064046816</v>
      </c>
      <c r="AH667">
        <v>77.793066165690462</v>
      </c>
      <c r="AI667">
        <v>5.3968314260268233</v>
      </c>
      <c r="AJ667">
        <v>7.0407777556565199</v>
      </c>
      <c r="AK667">
        <v>12.437609181683342</v>
      </c>
      <c r="AL667">
        <v>166.8579299747235</v>
      </c>
      <c r="AM667">
        <v>54.871416956482889</v>
      </c>
      <c r="AN667">
        <v>3.28851118821833</v>
      </c>
      <c r="AO667">
        <v>13.8</v>
      </c>
      <c r="AP667">
        <v>15.98806911041742</v>
      </c>
      <c r="AQ667">
        <v>26.677361160570698</v>
      </c>
      <c r="AR667">
        <v>48.61795565025745</v>
      </c>
      <c r="AS667">
        <v>0.6550910914761835</v>
      </c>
      <c r="AT667">
        <v>14.806396990157578</v>
      </c>
      <c r="AU667">
        <v>26.983806526994105</v>
      </c>
    </row>
    <row r="668" spans="1:47" x14ac:dyDescent="0.35">
      <c r="A668">
        <v>666</v>
      </c>
      <c r="B668">
        <v>46076</v>
      </c>
      <c r="C668" t="s">
        <v>16</v>
      </c>
      <c r="D668" t="s">
        <v>146</v>
      </c>
      <c r="E668" t="s">
        <v>88</v>
      </c>
      <c r="F668" t="s">
        <v>147</v>
      </c>
      <c r="G668" t="s">
        <v>148</v>
      </c>
      <c r="H668" t="s">
        <v>22</v>
      </c>
      <c r="I668" t="s">
        <v>23</v>
      </c>
      <c r="J668" t="s">
        <v>24</v>
      </c>
      <c r="K668" t="s">
        <v>145</v>
      </c>
      <c r="L668">
        <v>28</v>
      </c>
      <c r="M668">
        <v>69</v>
      </c>
      <c r="N668">
        <v>3</v>
      </c>
      <c r="O668">
        <v>1</v>
      </c>
      <c r="P668">
        <v>85</v>
      </c>
      <c r="Q668">
        <v>0.50039999999999996</v>
      </c>
      <c r="R668">
        <v>470.23647407250184</v>
      </c>
      <c r="S668">
        <v>133.73647407250184</v>
      </c>
      <c r="T668">
        <v>0.34305555555555556</v>
      </c>
      <c r="U668">
        <v>40.5</v>
      </c>
      <c r="V668">
        <v>0.68958333333333333</v>
      </c>
      <c r="W668">
        <v>63</v>
      </c>
      <c r="X668">
        <v>12</v>
      </c>
      <c r="Y668">
        <v>39.5</v>
      </c>
      <c r="Z668">
        <v>0.37083333333333335</v>
      </c>
      <c r="AA668">
        <v>56.5</v>
      </c>
      <c r="AB668">
        <v>12.9</v>
      </c>
      <c r="AD668">
        <v>22.5</v>
      </c>
      <c r="AE668">
        <v>17</v>
      </c>
      <c r="AF668">
        <v>19.107474101643646</v>
      </c>
      <c r="AG668">
        <v>12.685592064046812</v>
      </c>
      <c r="AH668">
        <v>31.793066165690458</v>
      </c>
      <c r="AI668">
        <v>2.2928968921972372</v>
      </c>
      <c r="AJ668">
        <v>1.6364413762620389</v>
      </c>
      <c r="AK668">
        <v>3.9293382684592761</v>
      </c>
      <c r="AL668">
        <v>67.610804177620111</v>
      </c>
      <c r="AM668">
        <v>28.440259623901937</v>
      </c>
      <c r="AN668">
        <v>4.2064666986043573</v>
      </c>
      <c r="AO668">
        <v>11.999999999999998</v>
      </c>
      <c r="AP668">
        <v>12.359104491468106</v>
      </c>
      <c r="AQ668">
        <v>8.3560899358339533</v>
      </c>
      <c r="AR668">
        <v>29.381201319313124</v>
      </c>
      <c r="AS668">
        <v>-0.17255422896742212</v>
      </c>
      <c r="AT668">
        <v>4.6377744834178749</v>
      </c>
      <c r="AU668">
        <v>16.307075057501123</v>
      </c>
    </row>
    <row r="669" spans="1:47" x14ac:dyDescent="0.35">
      <c r="A669">
        <v>667</v>
      </c>
      <c r="B669">
        <v>46076</v>
      </c>
      <c r="C669" t="s">
        <v>16</v>
      </c>
      <c r="D669" t="s">
        <v>146</v>
      </c>
      <c r="E669" t="s">
        <v>88</v>
      </c>
      <c r="F669" t="s">
        <v>147</v>
      </c>
      <c r="G669" t="s">
        <v>148</v>
      </c>
      <c r="H669" t="s">
        <v>22</v>
      </c>
      <c r="I669" t="s">
        <v>23</v>
      </c>
      <c r="J669" t="s">
        <v>24</v>
      </c>
      <c r="K669" t="s">
        <v>145</v>
      </c>
      <c r="L669">
        <v>28</v>
      </c>
      <c r="M669">
        <v>69</v>
      </c>
      <c r="N669">
        <v>3</v>
      </c>
      <c r="O669">
        <v>2</v>
      </c>
      <c r="P669">
        <v>86</v>
      </c>
      <c r="Q669">
        <v>0.50009999999999999</v>
      </c>
      <c r="R669">
        <v>469.95455772113945</v>
      </c>
      <c r="S669">
        <v>134.65455772113938</v>
      </c>
      <c r="T669">
        <v>0.34305555555555556</v>
      </c>
      <c r="U669">
        <v>41</v>
      </c>
      <c r="V669">
        <v>0.69027777777777777</v>
      </c>
      <c r="W669">
        <v>63</v>
      </c>
      <c r="X669">
        <v>12</v>
      </c>
      <c r="Y669">
        <v>40</v>
      </c>
      <c r="Z669">
        <v>0.37083333333333335</v>
      </c>
      <c r="AA669">
        <v>56.5</v>
      </c>
      <c r="AB669">
        <v>11.8</v>
      </c>
      <c r="AD669">
        <v>22</v>
      </c>
      <c r="AE669">
        <v>16.5</v>
      </c>
      <c r="AF669">
        <v>18.607474101643646</v>
      </c>
      <c r="AG669">
        <v>12.185592064046812</v>
      </c>
      <c r="AH669">
        <v>30.793066165690458</v>
      </c>
      <c r="AI669">
        <v>2.2328968921972376</v>
      </c>
      <c r="AJ669">
        <v>1.437899863557524</v>
      </c>
      <c r="AK669">
        <v>3.6707967557547616</v>
      </c>
      <c r="AL669">
        <v>65.523497239838193</v>
      </c>
      <c r="AM669">
        <v>28.652676202161743</v>
      </c>
      <c r="AN669">
        <v>4.3728856683707287</v>
      </c>
      <c r="AO669">
        <v>12.000000000000002</v>
      </c>
      <c r="AP669">
        <v>11.920854961318378</v>
      </c>
      <c r="AQ669">
        <v>7.8109610715445612</v>
      </c>
      <c r="AR669">
        <v>27.260842988744113</v>
      </c>
      <c r="AS669">
        <v>-0.16382233763125159</v>
      </c>
      <c r="AT669">
        <v>4.3352185324420329</v>
      </c>
      <c r="AU669">
        <v>15.130239499635138</v>
      </c>
    </row>
    <row r="670" spans="1:47" x14ac:dyDescent="0.35">
      <c r="A670">
        <v>668</v>
      </c>
      <c r="B670">
        <v>46076</v>
      </c>
      <c r="C670" t="s">
        <v>16</v>
      </c>
      <c r="D670" t="s">
        <v>150</v>
      </c>
      <c r="E670" t="s">
        <v>142</v>
      </c>
      <c r="F670" t="s">
        <v>151</v>
      </c>
      <c r="G670" t="s">
        <v>152</v>
      </c>
      <c r="H670" t="s">
        <v>22</v>
      </c>
      <c r="I670" t="s">
        <v>23</v>
      </c>
      <c r="J670" t="s">
        <v>24</v>
      </c>
      <c r="K670" t="s">
        <v>149</v>
      </c>
      <c r="L670">
        <v>28</v>
      </c>
      <c r="M670">
        <v>69</v>
      </c>
      <c r="N670">
        <v>3</v>
      </c>
      <c r="O670">
        <v>1</v>
      </c>
      <c r="P670">
        <v>87</v>
      </c>
      <c r="Q670">
        <v>0.50009999999999999</v>
      </c>
      <c r="R670">
        <v>469.67804158752364</v>
      </c>
      <c r="S670">
        <v>317.37804158752363</v>
      </c>
      <c r="T670">
        <v>0.34375</v>
      </c>
      <c r="U670">
        <v>41.5</v>
      </c>
      <c r="V670">
        <v>0.69097222222222221</v>
      </c>
      <c r="W670">
        <v>93</v>
      </c>
      <c r="X670">
        <v>12.7</v>
      </c>
      <c r="Y670">
        <v>41</v>
      </c>
      <c r="Z670">
        <v>0.37152777777777779</v>
      </c>
      <c r="AA670">
        <v>91</v>
      </c>
      <c r="AB670">
        <v>17.600000000000001</v>
      </c>
      <c r="AD670">
        <v>51.5</v>
      </c>
      <c r="AE670">
        <v>50</v>
      </c>
      <c r="AF670">
        <v>48.107474101643646</v>
      </c>
      <c r="AG670">
        <v>45.685592064046816</v>
      </c>
      <c r="AH670">
        <v>93.793066165690462</v>
      </c>
      <c r="AI670">
        <v>6.109649210908743</v>
      </c>
      <c r="AJ670">
        <v>8.0406642032722395</v>
      </c>
      <c r="AK670">
        <v>14.150313414180982</v>
      </c>
      <c r="AL670">
        <v>199.69651093048236</v>
      </c>
      <c r="AM670">
        <v>67.573531969852766</v>
      </c>
      <c r="AN670">
        <v>3.3838113472786824</v>
      </c>
      <c r="AO670">
        <v>12.700000000000001</v>
      </c>
      <c r="AP670">
        <v>15.086737210599019</v>
      </c>
      <c r="AQ670">
        <v>30.12768782281702</v>
      </c>
      <c r="AR670">
        <v>44.585042315470766</v>
      </c>
      <c r="AS670">
        <v>0.36069648151230932</v>
      </c>
      <c r="AT670">
        <v>16.721387981937198</v>
      </c>
      <c r="AU670">
        <v>24.745469852600387</v>
      </c>
    </row>
    <row r="671" spans="1:47" x14ac:dyDescent="0.35">
      <c r="A671">
        <v>669</v>
      </c>
      <c r="B671">
        <v>46076</v>
      </c>
      <c r="C671" t="s">
        <v>16</v>
      </c>
      <c r="D671" t="s">
        <v>150</v>
      </c>
      <c r="E671" t="s">
        <v>142</v>
      </c>
      <c r="F671" t="s">
        <v>151</v>
      </c>
      <c r="G671" t="s">
        <v>152</v>
      </c>
      <c r="H671" t="s">
        <v>22</v>
      </c>
      <c r="I671" t="s">
        <v>23</v>
      </c>
      <c r="J671" t="s">
        <v>24</v>
      </c>
      <c r="K671" t="s">
        <v>149</v>
      </c>
      <c r="L671">
        <v>28</v>
      </c>
      <c r="M671">
        <v>69</v>
      </c>
      <c r="N671">
        <v>3</v>
      </c>
      <c r="O671">
        <v>2</v>
      </c>
      <c r="P671">
        <v>88</v>
      </c>
      <c r="Q671">
        <v>0.50039999999999996</v>
      </c>
      <c r="R671">
        <v>469.95979206238121</v>
      </c>
      <c r="S671">
        <v>295.6597920623812</v>
      </c>
      <c r="T671">
        <v>0.34375</v>
      </c>
      <c r="U671">
        <v>41.5</v>
      </c>
      <c r="V671">
        <v>0.69097222222222221</v>
      </c>
      <c r="W671">
        <v>94.5</v>
      </c>
      <c r="X671">
        <v>12.8</v>
      </c>
      <c r="Y671">
        <v>41.5</v>
      </c>
      <c r="Z671">
        <v>0.37152777777777779</v>
      </c>
      <c r="AA671">
        <v>84</v>
      </c>
      <c r="AB671">
        <v>17.899999999999999</v>
      </c>
      <c r="AD671">
        <v>53</v>
      </c>
      <c r="AE671">
        <v>42.5</v>
      </c>
      <c r="AF671">
        <v>49.607474101643646</v>
      </c>
      <c r="AG671">
        <v>38.185592064046816</v>
      </c>
      <c r="AH671">
        <v>87.793066165690462</v>
      </c>
      <c r="AI671">
        <v>6.3497566850103873</v>
      </c>
      <c r="AJ671">
        <v>6.8352209794643795</v>
      </c>
      <c r="AK671">
        <v>13.184977664474767</v>
      </c>
      <c r="AL671">
        <v>186.80973914899735</v>
      </c>
      <c r="AM671">
        <v>62.911720759110409</v>
      </c>
      <c r="AN671">
        <v>3.3676895565349905</v>
      </c>
      <c r="AO671">
        <v>12.8</v>
      </c>
      <c r="AP671">
        <v>15.018244880058031</v>
      </c>
      <c r="AQ671">
        <v>28.055544085194054</v>
      </c>
      <c r="AR671">
        <v>44.595098888836638</v>
      </c>
      <c r="AS671">
        <v>0.43237987153492302</v>
      </c>
      <c r="AT671">
        <v>15.571312357318776</v>
      </c>
      <c r="AU671">
        <v>24.751051424807599</v>
      </c>
    </row>
    <row r="672" spans="1:47" x14ac:dyDescent="0.35">
      <c r="A672">
        <v>670</v>
      </c>
      <c r="B672">
        <v>46076</v>
      </c>
      <c r="C672" t="s">
        <v>16</v>
      </c>
      <c r="D672" t="s">
        <v>154</v>
      </c>
      <c r="E672" t="s">
        <v>99</v>
      </c>
      <c r="F672" t="s">
        <v>155</v>
      </c>
      <c r="G672" t="s">
        <v>156</v>
      </c>
      <c r="H672" t="s">
        <v>22</v>
      </c>
      <c r="I672" t="s">
        <v>23</v>
      </c>
      <c r="J672" t="s">
        <v>24</v>
      </c>
      <c r="K672" t="s">
        <v>153</v>
      </c>
      <c r="L672">
        <v>28</v>
      </c>
      <c r="M672">
        <v>69</v>
      </c>
      <c r="N672">
        <v>3</v>
      </c>
      <c r="O672">
        <v>1</v>
      </c>
      <c r="P672">
        <v>89</v>
      </c>
      <c r="Q672">
        <v>0.50029999999999997</v>
      </c>
      <c r="R672">
        <v>466.33646238395278</v>
      </c>
      <c r="S672">
        <v>196.33646238395278</v>
      </c>
      <c r="T672">
        <v>0.34444444444444444</v>
      </c>
      <c r="U672">
        <v>42</v>
      </c>
      <c r="V672">
        <v>0.69097222222222221</v>
      </c>
      <c r="W672">
        <v>68</v>
      </c>
      <c r="X672">
        <v>10.9</v>
      </c>
      <c r="Y672">
        <v>40</v>
      </c>
      <c r="Z672">
        <v>0.37222222222222223</v>
      </c>
      <c r="AA672">
        <v>61</v>
      </c>
      <c r="AB672">
        <v>14.3</v>
      </c>
      <c r="AD672">
        <v>26</v>
      </c>
      <c r="AE672">
        <v>21</v>
      </c>
      <c r="AF672">
        <v>22.607474101643646</v>
      </c>
      <c r="AG672">
        <v>16.685592064046812</v>
      </c>
      <c r="AH672">
        <v>39.293066165690462</v>
      </c>
      <c r="AI672">
        <v>2.4642146770791573</v>
      </c>
      <c r="AJ672">
        <v>2.3860396651586946</v>
      </c>
      <c r="AK672">
        <v>4.8502543422378519</v>
      </c>
      <c r="AL672">
        <v>84.259047565830187</v>
      </c>
      <c r="AM672">
        <v>42.101889562798419</v>
      </c>
      <c r="AN672">
        <v>4.9967203260759518</v>
      </c>
      <c r="AO672">
        <v>10.9</v>
      </c>
      <c r="AP672">
        <v>12.343791960101475</v>
      </c>
      <c r="AQ672">
        <v>10.400761539089025</v>
      </c>
      <c r="AR672">
        <v>24.703787994064822</v>
      </c>
      <c r="AS672">
        <v>0.55501704144961206</v>
      </c>
      <c r="AT672">
        <v>5.7726025981656743</v>
      </c>
      <c r="AU672">
        <v>13.711029737882345</v>
      </c>
    </row>
    <row r="673" spans="1:48" x14ac:dyDescent="0.35">
      <c r="A673">
        <v>671</v>
      </c>
      <c r="B673">
        <v>46076</v>
      </c>
      <c r="C673" t="s">
        <v>16</v>
      </c>
      <c r="D673" t="s">
        <v>154</v>
      </c>
      <c r="E673" t="s">
        <v>99</v>
      </c>
      <c r="F673" t="s">
        <v>155</v>
      </c>
      <c r="G673" t="s">
        <v>156</v>
      </c>
      <c r="H673" t="s">
        <v>22</v>
      </c>
      <c r="I673" t="s">
        <v>23</v>
      </c>
      <c r="J673" t="s">
        <v>24</v>
      </c>
      <c r="K673" t="s">
        <v>153</v>
      </c>
      <c r="L673">
        <v>28</v>
      </c>
      <c r="M673">
        <v>69</v>
      </c>
      <c r="N673">
        <v>3</v>
      </c>
      <c r="O673">
        <v>2</v>
      </c>
      <c r="P673">
        <v>90</v>
      </c>
      <c r="Q673">
        <v>0.50039999999999996</v>
      </c>
      <c r="R673">
        <v>466.42967374961017</v>
      </c>
      <c r="S673">
        <v>175.42967374961012</v>
      </c>
      <c r="T673">
        <v>0.34444444444444444</v>
      </c>
      <c r="U673">
        <v>41.5</v>
      </c>
      <c r="V673">
        <v>0.69166666666666665</v>
      </c>
      <c r="W673">
        <v>67.5</v>
      </c>
      <c r="X673">
        <v>10.7</v>
      </c>
      <c r="Y673">
        <v>40</v>
      </c>
      <c r="Z673">
        <v>0.37291666666666667</v>
      </c>
      <c r="AA673">
        <v>60.5</v>
      </c>
      <c r="AB673">
        <v>13.5</v>
      </c>
      <c r="AD673">
        <v>26</v>
      </c>
      <c r="AE673">
        <v>20.5</v>
      </c>
      <c r="AF673">
        <v>22.607474101643646</v>
      </c>
      <c r="AG673">
        <v>16.185592064046812</v>
      </c>
      <c r="AH673">
        <v>38.793066165690462</v>
      </c>
      <c r="AI673">
        <v>2.4189997288758702</v>
      </c>
      <c r="AJ673">
        <v>2.1850549286463199</v>
      </c>
      <c r="AK673">
        <v>4.6040546575221901</v>
      </c>
      <c r="AL673">
        <v>83.170236262702801</v>
      </c>
      <c r="AM673">
        <v>37.611173478594907</v>
      </c>
      <c r="AN673">
        <v>4.5221914916528156</v>
      </c>
      <c r="AO673">
        <v>10.700000000000001</v>
      </c>
      <c r="AP673">
        <v>11.868241189952984</v>
      </c>
      <c r="AQ673">
        <v>9.8708442379113066</v>
      </c>
      <c r="AR673">
        <v>26.244446330633515</v>
      </c>
      <c r="AS673">
        <v>2.7726893115032185</v>
      </c>
      <c r="AT673">
        <v>5.4784893278926425</v>
      </c>
      <c r="AU673">
        <v>14.566121769666491</v>
      </c>
    </row>
    <row r="674" spans="1:48" x14ac:dyDescent="0.35">
      <c r="A674">
        <v>672</v>
      </c>
      <c r="B674">
        <v>46076</v>
      </c>
      <c r="C674" t="s">
        <v>16</v>
      </c>
      <c r="D674" t="s">
        <v>158</v>
      </c>
      <c r="E674" t="s">
        <v>159</v>
      </c>
      <c r="F674" t="s">
        <v>160</v>
      </c>
      <c r="G674" t="s">
        <v>161</v>
      </c>
      <c r="H674" t="s">
        <v>22</v>
      </c>
      <c r="I674" t="s">
        <v>23</v>
      </c>
      <c r="J674" t="s">
        <v>24</v>
      </c>
      <c r="K674" t="s">
        <v>157</v>
      </c>
      <c r="L674">
        <v>28</v>
      </c>
      <c r="M674">
        <v>69</v>
      </c>
      <c r="N674">
        <v>3</v>
      </c>
      <c r="O674">
        <v>1</v>
      </c>
      <c r="P674">
        <v>91</v>
      </c>
      <c r="Q674">
        <v>0.50009999999999999</v>
      </c>
      <c r="R674">
        <v>464.03221211515387</v>
      </c>
      <c r="S674">
        <v>129.13221211515389</v>
      </c>
      <c r="T674">
        <v>0.34513888888888888</v>
      </c>
      <c r="U674">
        <v>42</v>
      </c>
      <c r="V674">
        <v>0.69166666666666665</v>
      </c>
      <c r="W674">
        <v>54.5</v>
      </c>
      <c r="X674">
        <v>10.9</v>
      </c>
      <c r="Y674">
        <v>40</v>
      </c>
      <c r="Z674">
        <v>0.37361111111111112</v>
      </c>
      <c r="AA674">
        <v>53.5</v>
      </c>
      <c r="AB674">
        <v>13.7</v>
      </c>
      <c r="AC674" t="s">
        <v>578</v>
      </c>
      <c r="AD674">
        <v>12.5</v>
      </c>
      <c r="AE674">
        <v>13.5</v>
      </c>
      <c r="AF674">
        <v>9.1074741016436462</v>
      </c>
      <c r="AG674">
        <v>9.1855920640468121</v>
      </c>
      <c r="AH674">
        <v>18.293066165690458</v>
      </c>
      <c r="AI674">
        <v>0.99271467707915739</v>
      </c>
      <c r="AJ674">
        <v>1.2584261127744132</v>
      </c>
      <c r="AK674">
        <v>2.2511407898535705</v>
      </c>
      <c r="AL674">
        <v>39.421974785558348</v>
      </c>
      <c r="AM674">
        <v>27.828286214558862</v>
      </c>
      <c r="AN674">
        <v>7.0590797051479361</v>
      </c>
      <c r="AO674">
        <v>10.899999999999999</v>
      </c>
      <c r="AP674">
        <v>12.305978502803949</v>
      </c>
      <c r="AQ674">
        <v>4.8512597424916031</v>
      </c>
      <c r="AR674">
        <v>17.432836880747551</v>
      </c>
      <c r="AS674">
        <v>-6.3881785732522678E-2</v>
      </c>
      <c r="AT674">
        <v>2.6925330889122945</v>
      </c>
      <c r="AU674">
        <v>9.675526074989298</v>
      </c>
    </row>
    <row r="675" spans="1:48" x14ac:dyDescent="0.35">
      <c r="A675">
        <v>673</v>
      </c>
      <c r="B675">
        <v>46076</v>
      </c>
      <c r="C675" t="s">
        <v>16</v>
      </c>
      <c r="D675" t="s">
        <v>158</v>
      </c>
      <c r="E675" t="s">
        <v>159</v>
      </c>
      <c r="F675" t="s">
        <v>160</v>
      </c>
      <c r="G675" t="s">
        <v>161</v>
      </c>
      <c r="H675" t="s">
        <v>22</v>
      </c>
      <c r="I675" t="s">
        <v>23</v>
      </c>
      <c r="J675" t="s">
        <v>24</v>
      </c>
      <c r="K675" t="s">
        <v>157</v>
      </c>
      <c r="L675">
        <v>28</v>
      </c>
      <c r="M675">
        <v>69</v>
      </c>
      <c r="N675">
        <v>3</v>
      </c>
      <c r="O675">
        <v>2</v>
      </c>
      <c r="P675">
        <v>92</v>
      </c>
      <c r="Q675">
        <v>0.5</v>
      </c>
      <c r="R675">
        <v>463.93942423030779</v>
      </c>
      <c r="S675">
        <v>160.03942423030787</v>
      </c>
      <c r="T675">
        <v>0.34513888888888888</v>
      </c>
      <c r="U675">
        <v>42.5</v>
      </c>
      <c r="V675">
        <v>0.69236111111111109</v>
      </c>
      <c r="W675">
        <v>56</v>
      </c>
      <c r="X675">
        <v>10.5</v>
      </c>
      <c r="Y675">
        <v>40</v>
      </c>
      <c r="Z675">
        <v>0.37430555555555556</v>
      </c>
      <c r="AA675">
        <v>52.5</v>
      </c>
      <c r="AB675">
        <v>13.9</v>
      </c>
      <c r="AC675" t="s">
        <v>578</v>
      </c>
      <c r="AD675">
        <v>13.5</v>
      </c>
      <c r="AE675">
        <v>12.5</v>
      </c>
      <c r="AF675">
        <v>10.107474101643646</v>
      </c>
      <c r="AG675">
        <v>8.1855920640468121</v>
      </c>
      <c r="AH675">
        <v>18.293066165690458</v>
      </c>
      <c r="AI675">
        <v>1.0612847806725829</v>
      </c>
      <c r="AJ675">
        <v>1.137797296902507</v>
      </c>
      <c r="AK675">
        <v>2.1990820775750901</v>
      </c>
      <c r="AL675">
        <v>39.429859180515464</v>
      </c>
      <c r="AM675">
        <v>34.495758685698902</v>
      </c>
      <c r="AN675">
        <v>8.7486385705240419</v>
      </c>
      <c r="AO675">
        <v>10.500000000000002</v>
      </c>
      <c r="AP675">
        <v>12.021396837778767</v>
      </c>
      <c r="AQ675">
        <v>4.7400198446671062</v>
      </c>
      <c r="AR675">
        <v>13.740877212920099</v>
      </c>
      <c r="AS675">
        <v>-9.6682908314685637E-2</v>
      </c>
      <c r="AT675">
        <v>2.630793021053992</v>
      </c>
      <c r="AU675">
        <v>7.6264245846103238</v>
      </c>
    </row>
    <row r="676" spans="1:48" x14ac:dyDescent="0.35">
      <c r="A676">
        <v>674</v>
      </c>
      <c r="B676">
        <v>46076</v>
      </c>
      <c r="C676" t="s">
        <v>16</v>
      </c>
      <c r="D676" t="s">
        <v>163</v>
      </c>
      <c r="E676" t="s">
        <v>129</v>
      </c>
      <c r="F676" t="s">
        <v>164</v>
      </c>
      <c r="G676" t="s">
        <v>165</v>
      </c>
      <c r="H676" t="s">
        <v>22</v>
      </c>
      <c r="I676" t="s">
        <v>23</v>
      </c>
      <c r="J676" t="s">
        <v>24</v>
      </c>
      <c r="K676" t="s">
        <v>162</v>
      </c>
      <c r="L676">
        <v>28</v>
      </c>
      <c r="M676">
        <v>69</v>
      </c>
      <c r="N676">
        <v>3</v>
      </c>
      <c r="O676">
        <v>1</v>
      </c>
      <c r="P676">
        <v>93</v>
      </c>
      <c r="Q676">
        <v>0.50009999999999999</v>
      </c>
      <c r="R676">
        <v>466.2771661738268</v>
      </c>
      <c r="S676">
        <v>156.7771661738268</v>
      </c>
      <c r="T676">
        <v>0.34583333333333333</v>
      </c>
      <c r="U676">
        <v>41</v>
      </c>
      <c r="V676">
        <v>0.69236111111111109</v>
      </c>
      <c r="W676">
        <v>60.5</v>
      </c>
      <c r="X676">
        <v>13.8</v>
      </c>
      <c r="Y676">
        <v>40</v>
      </c>
      <c r="Z676">
        <v>0.375</v>
      </c>
      <c r="AA676">
        <v>69.5</v>
      </c>
      <c r="AB676">
        <v>15.5</v>
      </c>
      <c r="AD676">
        <v>19.5</v>
      </c>
      <c r="AE676">
        <v>29.5</v>
      </c>
      <c r="AF676">
        <v>16.107474101643646</v>
      </c>
      <c r="AG676">
        <v>25.185592064046812</v>
      </c>
      <c r="AH676">
        <v>41.293066165690462</v>
      </c>
      <c r="AI676">
        <v>2.2228314260268234</v>
      </c>
      <c r="AJ676">
        <v>3.9037667699272558</v>
      </c>
      <c r="AK676">
        <v>6.1265981959540792</v>
      </c>
      <c r="AL676">
        <v>88.559057061560083</v>
      </c>
      <c r="AM676">
        <v>33.623170411776229</v>
      </c>
      <c r="AN676">
        <v>3.7966947173346415</v>
      </c>
      <c r="AO676">
        <v>13.800000000000002</v>
      </c>
      <c r="AP676">
        <v>14.836869152246535</v>
      </c>
      <c r="AQ676">
        <v>13.139391418687016</v>
      </c>
      <c r="AR676">
        <v>39.078383322487213</v>
      </c>
      <c r="AS676">
        <v>1.9845956109763354</v>
      </c>
      <c r="AT676">
        <v>7.2925895624823438</v>
      </c>
      <c r="AU676">
        <v>21.689178840577675</v>
      </c>
    </row>
    <row r="677" spans="1:48" x14ac:dyDescent="0.35">
      <c r="A677">
        <v>675</v>
      </c>
      <c r="B677">
        <v>46076</v>
      </c>
      <c r="C677" t="s">
        <v>16</v>
      </c>
      <c r="D677" t="s">
        <v>163</v>
      </c>
      <c r="E677" t="s">
        <v>129</v>
      </c>
      <c r="F677" t="s">
        <v>164</v>
      </c>
      <c r="G677" t="s">
        <v>165</v>
      </c>
      <c r="H677" t="s">
        <v>22</v>
      </c>
      <c r="I677" t="s">
        <v>23</v>
      </c>
      <c r="J677" t="s">
        <v>24</v>
      </c>
      <c r="K677" t="s">
        <v>162</v>
      </c>
      <c r="L677">
        <v>28</v>
      </c>
      <c r="M677">
        <v>69</v>
      </c>
      <c r="N677">
        <v>3</v>
      </c>
      <c r="O677">
        <v>2</v>
      </c>
      <c r="P677">
        <v>94</v>
      </c>
      <c r="Q677">
        <v>0.5</v>
      </c>
      <c r="R677">
        <v>466.18392938794926</v>
      </c>
      <c r="S677">
        <v>146.38392938794919</v>
      </c>
      <c r="T677">
        <v>0.34583333333333333</v>
      </c>
      <c r="U677">
        <v>41</v>
      </c>
      <c r="V677">
        <v>0.69305555555555554</v>
      </c>
      <c r="W677">
        <v>66.5</v>
      </c>
      <c r="X677">
        <v>13.9</v>
      </c>
      <c r="Y677">
        <v>40</v>
      </c>
      <c r="Z677">
        <v>0.375</v>
      </c>
      <c r="AA677">
        <v>69</v>
      </c>
      <c r="AB677">
        <v>15.8</v>
      </c>
      <c r="AD677">
        <v>25.5</v>
      </c>
      <c r="AE677">
        <v>29</v>
      </c>
      <c r="AF677">
        <v>22.107474101643646</v>
      </c>
      <c r="AG677">
        <v>24.685592064046812</v>
      </c>
      <c r="AH677">
        <v>46.793066165690462</v>
      </c>
      <c r="AI677">
        <v>3.072938900128467</v>
      </c>
      <c r="AJ677">
        <v>3.9003235461193961</v>
      </c>
      <c r="AK677">
        <v>6.9732624462478636</v>
      </c>
      <c r="AL677">
        <v>100.37468736239978</v>
      </c>
      <c r="AM677">
        <v>31.400466674202171</v>
      </c>
      <c r="AN677">
        <v>3.1283252281356289</v>
      </c>
      <c r="AO677">
        <v>13.900000000000002</v>
      </c>
      <c r="AP677">
        <v>14.902341345950926</v>
      </c>
      <c r="AQ677">
        <v>14.958178535675881</v>
      </c>
      <c r="AR677">
        <v>47.63680327071426</v>
      </c>
      <c r="AS677">
        <v>-44.089014292878787</v>
      </c>
      <c r="AT677">
        <v>8.3020478793163015</v>
      </c>
      <c r="AU677">
        <v>26.439249981392965</v>
      </c>
    </row>
    <row r="678" spans="1:48" x14ac:dyDescent="0.35">
      <c r="A678">
        <v>676</v>
      </c>
      <c r="B678">
        <v>46076</v>
      </c>
      <c r="C678" t="s">
        <v>16</v>
      </c>
      <c r="D678" t="s">
        <v>167</v>
      </c>
      <c r="E678" t="s">
        <v>88</v>
      </c>
      <c r="F678" t="s">
        <v>168</v>
      </c>
      <c r="G678" t="s">
        <v>169</v>
      </c>
      <c r="H678" t="s">
        <v>22</v>
      </c>
      <c r="I678" t="s">
        <v>23</v>
      </c>
      <c r="J678" t="s">
        <v>24</v>
      </c>
      <c r="K678" t="s">
        <v>166</v>
      </c>
      <c r="L678">
        <v>28</v>
      </c>
      <c r="M678">
        <v>69</v>
      </c>
      <c r="N678">
        <v>3</v>
      </c>
      <c r="O678">
        <v>1</v>
      </c>
      <c r="P678">
        <v>95</v>
      </c>
      <c r="Q678">
        <v>0.50009999999999999</v>
      </c>
      <c r="R678">
        <v>473.17368709287211</v>
      </c>
      <c r="S678">
        <v>222.57368709287218</v>
      </c>
      <c r="T678">
        <v>0.34583333333333333</v>
      </c>
      <c r="U678">
        <v>40.5</v>
      </c>
      <c r="V678">
        <v>0.69374999999999998</v>
      </c>
      <c r="W678">
        <v>77.5</v>
      </c>
      <c r="X678">
        <v>13.1</v>
      </c>
      <c r="Y678">
        <v>40</v>
      </c>
      <c r="Z678">
        <v>0.37569444444444444</v>
      </c>
      <c r="AA678">
        <v>73</v>
      </c>
      <c r="AB678">
        <v>18</v>
      </c>
      <c r="AD678">
        <v>37</v>
      </c>
      <c r="AE678">
        <v>33</v>
      </c>
      <c r="AF678">
        <v>33.607474101643646</v>
      </c>
      <c r="AG678">
        <v>28.685592064046812</v>
      </c>
      <c r="AH678">
        <v>62.293066165690462</v>
      </c>
      <c r="AI678">
        <v>4.4025791073153178</v>
      </c>
      <c r="AJ678">
        <v>5.1634065715284256</v>
      </c>
      <c r="AK678">
        <v>9.5659856788437434</v>
      </c>
      <c r="AL678">
        <v>131.64947220208359</v>
      </c>
      <c r="AM678">
        <v>47.038475123234512</v>
      </c>
      <c r="AN678">
        <v>3.5730090167797917</v>
      </c>
      <c r="AO678">
        <v>13.1</v>
      </c>
      <c r="AP678">
        <v>15.356421296392151</v>
      </c>
      <c r="AQ678">
        <v>20.216647585828625</v>
      </c>
      <c r="AR678">
        <v>42.978960378421526</v>
      </c>
      <c r="AS678">
        <v>0.60833163182702044</v>
      </c>
      <c r="AT678">
        <v>11.220589179124262</v>
      </c>
      <c r="AU678">
        <v>23.854066590653328</v>
      </c>
    </row>
    <row r="679" spans="1:48" x14ac:dyDescent="0.35">
      <c r="A679">
        <v>677</v>
      </c>
      <c r="B679">
        <v>46076</v>
      </c>
      <c r="C679" t="s">
        <v>16</v>
      </c>
      <c r="D679" t="s">
        <v>167</v>
      </c>
      <c r="E679" t="s">
        <v>88</v>
      </c>
      <c r="F679" t="s">
        <v>168</v>
      </c>
      <c r="G679" t="s">
        <v>169</v>
      </c>
      <c r="H679" t="s">
        <v>22</v>
      </c>
      <c r="I679" t="s">
        <v>23</v>
      </c>
      <c r="J679" t="s">
        <v>24</v>
      </c>
      <c r="K679" t="s">
        <v>166</v>
      </c>
      <c r="L679">
        <v>28</v>
      </c>
      <c r="M679">
        <v>69</v>
      </c>
      <c r="N679">
        <v>3</v>
      </c>
      <c r="O679">
        <v>2</v>
      </c>
      <c r="P679">
        <v>96</v>
      </c>
      <c r="Q679">
        <v>0.5</v>
      </c>
      <c r="R679">
        <v>473.07907127861637</v>
      </c>
      <c r="S679">
        <v>186.77907127861636</v>
      </c>
      <c r="T679">
        <v>0.34583333333333333</v>
      </c>
      <c r="U679">
        <v>41</v>
      </c>
      <c r="V679">
        <v>0.69374999999999998</v>
      </c>
      <c r="W679">
        <v>77.5</v>
      </c>
      <c r="X679">
        <v>13.6</v>
      </c>
      <c r="Y679">
        <v>40</v>
      </c>
      <c r="Z679">
        <v>0.37638888888888888</v>
      </c>
      <c r="AA679">
        <v>74</v>
      </c>
      <c r="AB679">
        <v>18.399999999999999</v>
      </c>
      <c r="AD679">
        <v>36.5</v>
      </c>
      <c r="AE679">
        <v>34</v>
      </c>
      <c r="AF679">
        <v>33.107474101643646</v>
      </c>
      <c r="AG679">
        <v>29.685592064046812</v>
      </c>
      <c r="AH679">
        <v>62.793066165690462</v>
      </c>
      <c r="AI679">
        <v>4.502616477823536</v>
      </c>
      <c r="AJ679">
        <v>5.4621489397846137</v>
      </c>
      <c r="AK679">
        <v>9.9647654176081488</v>
      </c>
      <c r="AL679">
        <v>132.73270786631133</v>
      </c>
      <c r="AM679">
        <v>39.481575621977626</v>
      </c>
      <c r="AN679">
        <v>2.9745174536590899</v>
      </c>
      <c r="AO679">
        <v>13.6</v>
      </c>
      <c r="AP679">
        <v>15.869212997680949</v>
      </c>
      <c r="AQ679">
        <v>21.063636128894561</v>
      </c>
      <c r="AR679">
        <v>53.350545911773025</v>
      </c>
      <c r="AS679">
        <v>2.693156160583551</v>
      </c>
      <c r="AT679">
        <v>11.690682474306877</v>
      </c>
      <c r="AU679">
        <v>29.610476000859492</v>
      </c>
    </row>
    <row r="680" spans="1:48" x14ac:dyDescent="0.35">
      <c r="A680">
        <v>678</v>
      </c>
      <c r="B680">
        <v>46076</v>
      </c>
      <c r="C680" t="s">
        <v>16</v>
      </c>
      <c r="D680" t="s">
        <v>171</v>
      </c>
      <c r="E680" t="s">
        <v>88</v>
      </c>
      <c r="F680" t="s">
        <v>147</v>
      </c>
      <c r="G680" t="s">
        <v>148</v>
      </c>
      <c r="H680" t="s">
        <v>22</v>
      </c>
      <c r="I680" t="s">
        <v>23</v>
      </c>
      <c r="J680" t="s">
        <v>24</v>
      </c>
      <c r="K680" t="s">
        <v>170</v>
      </c>
      <c r="L680">
        <v>28</v>
      </c>
      <c r="M680">
        <v>69</v>
      </c>
      <c r="N680">
        <v>3</v>
      </c>
      <c r="O680">
        <v>1</v>
      </c>
      <c r="P680">
        <v>97</v>
      </c>
      <c r="Q680">
        <v>0.50009999999999999</v>
      </c>
      <c r="R680">
        <v>474.0288520313469</v>
      </c>
      <c r="S680">
        <v>200.0288520313469</v>
      </c>
      <c r="T680">
        <v>0.34652777777777777</v>
      </c>
      <c r="U680">
        <v>42</v>
      </c>
      <c r="V680">
        <v>0.69444444444444442</v>
      </c>
      <c r="W680">
        <v>62</v>
      </c>
      <c r="X680">
        <v>10.3</v>
      </c>
      <c r="Y680">
        <v>40</v>
      </c>
      <c r="Z680">
        <v>0.37708333333333333</v>
      </c>
      <c r="AA680">
        <v>58.5</v>
      </c>
      <c r="AB680">
        <v>11.7</v>
      </c>
      <c r="AD680">
        <v>20</v>
      </c>
      <c r="AE680">
        <v>18.5</v>
      </c>
      <c r="AF680">
        <v>16.607474101643646</v>
      </c>
      <c r="AG680">
        <v>14.185592064046812</v>
      </c>
      <c r="AH680">
        <v>30.793066165690458</v>
      </c>
      <c r="AI680">
        <v>1.7105698324692957</v>
      </c>
      <c r="AJ680">
        <v>1.6597142714934769</v>
      </c>
      <c r="AK680">
        <v>3.3702841039627724</v>
      </c>
      <c r="AL680">
        <v>64.960320524232884</v>
      </c>
      <c r="AM680">
        <v>42.197611215892664</v>
      </c>
      <c r="AN680">
        <v>6.4959056352179196</v>
      </c>
      <c r="AO680">
        <v>10.3</v>
      </c>
      <c r="AP680">
        <v>10.944944832151638</v>
      </c>
      <c r="AQ680">
        <v>7.1098712441661673</v>
      </c>
      <c r="AR680">
        <v>16.848989881892681</v>
      </c>
      <c r="AS680">
        <v>-0.32474567177526897</v>
      </c>
      <c r="AT680">
        <v>3.946101548665236</v>
      </c>
      <c r="AU680">
        <v>9.3514808894656962</v>
      </c>
    </row>
    <row r="681" spans="1:48" x14ac:dyDescent="0.35">
      <c r="A681">
        <v>679</v>
      </c>
      <c r="B681">
        <v>46076</v>
      </c>
      <c r="C681" t="s">
        <v>16</v>
      </c>
      <c r="D681" t="s">
        <v>171</v>
      </c>
      <c r="E681" t="s">
        <v>88</v>
      </c>
      <c r="F681" t="s">
        <v>147</v>
      </c>
      <c r="G681" t="s">
        <v>148</v>
      </c>
      <c r="H681" t="s">
        <v>22</v>
      </c>
      <c r="I681" t="s">
        <v>23</v>
      </c>
      <c r="J681" t="s">
        <v>24</v>
      </c>
      <c r="K681" t="s">
        <v>170</v>
      </c>
      <c r="L681">
        <v>28</v>
      </c>
      <c r="M681">
        <v>69</v>
      </c>
      <c r="N681">
        <v>3</v>
      </c>
      <c r="O681">
        <v>2</v>
      </c>
      <c r="P681">
        <v>98</v>
      </c>
      <c r="Q681">
        <v>0.50009999999999999</v>
      </c>
      <c r="R681">
        <v>474.0288520313469</v>
      </c>
      <c r="S681">
        <v>186.32885203134697</v>
      </c>
      <c r="T681">
        <v>0.34652777777777777</v>
      </c>
      <c r="U681">
        <v>42</v>
      </c>
      <c r="V681">
        <v>0.69444444444444442</v>
      </c>
      <c r="W681">
        <v>62</v>
      </c>
      <c r="X681">
        <v>10.1</v>
      </c>
      <c r="Y681">
        <v>40</v>
      </c>
      <c r="Z681">
        <v>0.37708333333333333</v>
      </c>
      <c r="AA681">
        <v>60</v>
      </c>
      <c r="AB681">
        <v>10.9</v>
      </c>
      <c r="AC681" t="s">
        <v>578</v>
      </c>
      <c r="AD681">
        <v>20</v>
      </c>
      <c r="AE681">
        <v>20</v>
      </c>
      <c r="AF681">
        <v>16.607474101643646</v>
      </c>
      <c r="AG681">
        <v>15.685592064046812</v>
      </c>
      <c r="AH681">
        <v>32.293066165690462</v>
      </c>
      <c r="AI681">
        <v>1.6773548842660082</v>
      </c>
      <c r="AJ681">
        <v>1.7097295349811026</v>
      </c>
      <c r="AK681">
        <v>3.3870844192471106</v>
      </c>
      <c r="AL681">
        <v>68.124684873727816</v>
      </c>
      <c r="AM681">
        <v>39.307491776687314</v>
      </c>
      <c r="AN681">
        <v>5.7699337398103969</v>
      </c>
      <c r="AO681">
        <v>10.1</v>
      </c>
      <c r="AP681">
        <v>10.488581052875352</v>
      </c>
      <c r="AQ681">
        <v>7.1453127899968569</v>
      </c>
      <c r="AR681">
        <v>18.177992202073384</v>
      </c>
      <c r="AS681">
        <v>-0.2130625323251141</v>
      </c>
      <c r="AT681">
        <v>3.9657722197768019</v>
      </c>
      <c r="AU681">
        <v>10.089100170285711</v>
      </c>
    </row>
    <row r="682" spans="1:48" x14ac:dyDescent="0.35">
      <c r="A682">
        <v>680</v>
      </c>
      <c r="B682">
        <v>46076</v>
      </c>
      <c r="C682" t="s">
        <v>16</v>
      </c>
      <c r="D682" t="s">
        <v>173</v>
      </c>
      <c r="E682" t="s">
        <v>99</v>
      </c>
      <c r="F682" t="s">
        <v>100</v>
      </c>
      <c r="G682" t="s">
        <v>101</v>
      </c>
      <c r="H682" t="s">
        <v>22</v>
      </c>
      <c r="I682" t="s">
        <v>23</v>
      </c>
      <c r="J682" t="s">
        <v>24</v>
      </c>
      <c r="K682" t="s">
        <v>172</v>
      </c>
      <c r="L682">
        <v>28</v>
      </c>
      <c r="M682">
        <v>69</v>
      </c>
      <c r="N682">
        <v>3</v>
      </c>
      <c r="O682">
        <v>1</v>
      </c>
      <c r="P682">
        <v>99</v>
      </c>
      <c r="Q682">
        <v>0.50019999999999998</v>
      </c>
      <c r="R682">
        <v>468.72341797460751</v>
      </c>
      <c r="S682">
        <v>243.12341797460761</v>
      </c>
      <c r="T682">
        <v>0.34652777777777777</v>
      </c>
      <c r="U682">
        <v>42</v>
      </c>
      <c r="V682">
        <v>0.69513888888888886</v>
      </c>
      <c r="W682">
        <v>76</v>
      </c>
      <c r="X682">
        <v>11.1</v>
      </c>
      <c r="Y682">
        <v>40.5</v>
      </c>
      <c r="Z682">
        <v>0.37847222222222221</v>
      </c>
      <c r="AA682">
        <v>74</v>
      </c>
      <c r="AB682">
        <v>14.1</v>
      </c>
      <c r="AD682">
        <v>34</v>
      </c>
      <c r="AE682">
        <v>33.5</v>
      </c>
      <c r="AF682">
        <v>30.607474101643646</v>
      </c>
      <c r="AG682">
        <v>29.185592064046812</v>
      </c>
      <c r="AH682">
        <v>59.793066165690462</v>
      </c>
      <c r="AI682">
        <v>3.3974296252824447</v>
      </c>
      <c r="AJ682">
        <v>4.1151684810306</v>
      </c>
      <c r="AK682">
        <v>7.5125981063130443</v>
      </c>
      <c r="AL682">
        <v>127.56577519438056</v>
      </c>
      <c r="AM682">
        <v>51.86927058715434</v>
      </c>
      <c r="AN682">
        <v>4.0660804599131417</v>
      </c>
      <c r="AO682">
        <v>11.100000000000001</v>
      </c>
      <c r="AP682">
        <v>12.564329926642577</v>
      </c>
      <c r="AQ682">
        <v>16.027784868901151</v>
      </c>
      <c r="AR682">
        <v>30.900347522663072</v>
      </c>
      <c r="AS682">
        <v>0.49876438288596636</v>
      </c>
      <c r="AT682">
        <v>8.8956978995562093</v>
      </c>
      <c r="AU682">
        <v>17.150227483166631</v>
      </c>
    </row>
    <row r="683" spans="1:48" x14ac:dyDescent="0.35">
      <c r="A683">
        <v>681</v>
      </c>
      <c r="B683">
        <v>46076</v>
      </c>
      <c r="C683" t="s">
        <v>16</v>
      </c>
      <c r="D683" t="s">
        <v>173</v>
      </c>
      <c r="E683" t="s">
        <v>99</v>
      </c>
      <c r="F683" t="s">
        <v>100</v>
      </c>
      <c r="G683" t="s">
        <v>101</v>
      </c>
      <c r="H683" t="s">
        <v>22</v>
      </c>
      <c r="I683" t="s">
        <v>23</v>
      </c>
      <c r="J683" t="s">
        <v>24</v>
      </c>
      <c r="K683" t="s">
        <v>172</v>
      </c>
      <c r="L683">
        <v>28</v>
      </c>
      <c r="M683">
        <v>69</v>
      </c>
      <c r="N683">
        <v>3</v>
      </c>
      <c r="O683">
        <v>2</v>
      </c>
      <c r="P683">
        <v>100</v>
      </c>
      <c r="Q683">
        <v>0.5</v>
      </c>
      <c r="R683">
        <v>468.53600357317833</v>
      </c>
      <c r="S683">
        <v>271.23600357317832</v>
      </c>
      <c r="T683">
        <v>0.34861111111111109</v>
      </c>
      <c r="U683">
        <v>41</v>
      </c>
      <c r="V683">
        <v>0.69513888888888886</v>
      </c>
      <c r="W683">
        <v>76.5</v>
      </c>
      <c r="X683">
        <v>10.9</v>
      </c>
      <c r="Y683">
        <v>39.5</v>
      </c>
      <c r="Z683">
        <v>0.37916666666666665</v>
      </c>
      <c r="AA683">
        <v>75</v>
      </c>
      <c r="AB683">
        <v>14.2</v>
      </c>
      <c r="AC683" t="s">
        <v>579</v>
      </c>
      <c r="AD683">
        <v>35.5</v>
      </c>
      <c r="AE683">
        <v>35.5</v>
      </c>
      <c r="AF683">
        <v>32.107474101643646</v>
      </c>
      <c r="AG683">
        <v>31.185592064046812</v>
      </c>
      <c r="AH683">
        <v>63.293066165690462</v>
      </c>
      <c r="AI683">
        <v>3.4997146770791576</v>
      </c>
      <c r="AJ683">
        <v>4.4283540730946473</v>
      </c>
      <c r="AK683">
        <v>7.9280687501738054</v>
      </c>
      <c r="AL683">
        <v>135.0868784533119</v>
      </c>
      <c r="AM683">
        <v>57.890109085462271</v>
      </c>
      <c r="AN683">
        <v>4.2853983857114564</v>
      </c>
      <c r="AO683">
        <v>10.9</v>
      </c>
      <c r="AP683">
        <v>12.525967266966452</v>
      </c>
      <c r="AQ683">
        <v>16.920938177028606</v>
      </c>
      <c r="AR683">
        <v>29.229411456192786</v>
      </c>
      <c r="AS683">
        <v>0.30863464122597123</v>
      </c>
      <c r="AT683">
        <v>9.3914134380463281</v>
      </c>
      <c r="AU683">
        <v>16.222829057347138</v>
      </c>
    </row>
    <row r="684" spans="1:48" x14ac:dyDescent="0.35">
      <c r="A684">
        <v>682</v>
      </c>
      <c r="B684">
        <v>46076</v>
      </c>
      <c r="C684" t="s">
        <v>16</v>
      </c>
      <c r="D684" t="s">
        <v>175</v>
      </c>
      <c r="E684" t="s">
        <v>159</v>
      </c>
      <c r="F684" t="s">
        <v>160</v>
      </c>
      <c r="G684" t="s">
        <v>161</v>
      </c>
      <c r="H684" t="s">
        <v>22</v>
      </c>
      <c r="I684" t="s">
        <v>23</v>
      </c>
      <c r="J684" t="s">
        <v>24</v>
      </c>
      <c r="K684" t="s">
        <v>174</v>
      </c>
      <c r="L684">
        <v>28</v>
      </c>
      <c r="M684">
        <v>69</v>
      </c>
      <c r="N684">
        <v>3</v>
      </c>
      <c r="O684">
        <v>1</v>
      </c>
      <c r="P684">
        <v>101</v>
      </c>
      <c r="Q684">
        <v>0.50029999999999997</v>
      </c>
      <c r="R684">
        <v>474.58713101979578</v>
      </c>
      <c r="S684">
        <v>144.88713101979579</v>
      </c>
      <c r="T684">
        <v>0.34861111111111109</v>
      </c>
      <c r="U684">
        <v>41</v>
      </c>
      <c r="V684">
        <v>0.6958333333333333</v>
      </c>
      <c r="W684">
        <v>61.5</v>
      </c>
      <c r="X684">
        <v>10.5</v>
      </c>
      <c r="Y684">
        <v>40</v>
      </c>
      <c r="Z684">
        <v>0.37916666666666665</v>
      </c>
      <c r="AA684">
        <v>53.5</v>
      </c>
      <c r="AB684">
        <v>12.6</v>
      </c>
      <c r="AC684" t="s">
        <v>578</v>
      </c>
      <c r="AD684">
        <v>20.5</v>
      </c>
      <c r="AE684">
        <v>13.5</v>
      </c>
      <c r="AF684">
        <v>17.107474101643646</v>
      </c>
      <c r="AG684">
        <v>9.1855920640468121</v>
      </c>
      <c r="AH684">
        <v>26.293066165690458</v>
      </c>
      <c r="AI684">
        <v>1.7962847806725828</v>
      </c>
      <c r="AJ684">
        <v>1.1573846000698984</v>
      </c>
      <c r="AK684">
        <v>2.9536693807424812</v>
      </c>
      <c r="AL684">
        <v>55.401978787734407</v>
      </c>
      <c r="AM684">
        <v>30.529089718143311</v>
      </c>
      <c r="AN684">
        <v>5.5104691901189318</v>
      </c>
      <c r="AO684">
        <v>10.5</v>
      </c>
      <c r="AP684">
        <v>11.233643737589999</v>
      </c>
      <c r="AQ684">
        <v>6.2236609205892668</v>
      </c>
      <c r="AR684">
        <v>20.386002262263887</v>
      </c>
      <c r="AS684">
        <v>-0.11228116303157111</v>
      </c>
      <c r="AT684">
        <v>3.4542394867215163</v>
      </c>
      <c r="AU684">
        <v>11.314583954557534</v>
      </c>
    </row>
    <row r="685" spans="1:48" x14ac:dyDescent="0.35">
      <c r="A685">
        <v>683</v>
      </c>
      <c r="B685">
        <v>46076</v>
      </c>
      <c r="C685" t="s">
        <v>16</v>
      </c>
      <c r="D685" t="s">
        <v>175</v>
      </c>
      <c r="E685" t="s">
        <v>159</v>
      </c>
      <c r="F685" t="s">
        <v>160</v>
      </c>
      <c r="G685" t="s">
        <v>161</v>
      </c>
      <c r="H685" t="s">
        <v>22</v>
      </c>
      <c r="I685" t="s">
        <v>23</v>
      </c>
      <c r="J685" t="s">
        <v>24</v>
      </c>
      <c r="K685" t="s">
        <v>174</v>
      </c>
      <c r="L685">
        <v>28</v>
      </c>
      <c r="M685">
        <v>69</v>
      </c>
      <c r="N685">
        <v>3</v>
      </c>
      <c r="O685">
        <v>2</v>
      </c>
      <c r="P685">
        <v>102</v>
      </c>
      <c r="Q685">
        <v>0.5</v>
      </c>
      <c r="R685">
        <v>474.30254949010174</v>
      </c>
      <c r="S685">
        <v>96.602549490101694</v>
      </c>
      <c r="T685">
        <v>0.34930555555555554</v>
      </c>
      <c r="U685">
        <v>41.5</v>
      </c>
      <c r="V685">
        <v>0.69652777777777775</v>
      </c>
      <c r="W685">
        <v>60.5</v>
      </c>
      <c r="X685">
        <v>10.6</v>
      </c>
      <c r="Y685">
        <v>40</v>
      </c>
      <c r="Z685">
        <v>0.37986111111111109</v>
      </c>
      <c r="AA685">
        <v>53.5</v>
      </c>
      <c r="AB685">
        <v>12.1</v>
      </c>
      <c r="AC685" t="s">
        <v>578</v>
      </c>
      <c r="AD685">
        <v>19</v>
      </c>
      <c r="AE685">
        <v>13.5</v>
      </c>
      <c r="AF685">
        <v>15.607474101643646</v>
      </c>
      <c r="AG685">
        <v>9.1855920640468121</v>
      </c>
      <c r="AH685">
        <v>24.793066165690458</v>
      </c>
      <c r="AI685">
        <v>1.6543922547742265</v>
      </c>
      <c r="AJ685">
        <v>1.1114566397496641</v>
      </c>
      <c r="AK685">
        <v>2.7658488945238906</v>
      </c>
      <c r="AL685">
        <v>52.272681629782952</v>
      </c>
      <c r="AM685">
        <v>20.367284467257054</v>
      </c>
      <c r="AN685">
        <v>3.8963534741735089</v>
      </c>
      <c r="AO685">
        <v>10.6</v>
      </c>
      <c r="AP685">
        <v>11.15573554331643</v>
      </c>
      <c r="AQ685">
        <v>5.8314021240183349</v>
      </c>
      <c r="AR685">
        <v>28.631220491828646</v>
      </c>
      <c r="AS685">
        <v>-6.176344255358935E-2</v>
      </c>
      <c r="AT685">
        <v>3.2365290681402796</v>
      </c>
      <c r="AU685">
        <v>15.890822722800399</v>
      </c>
    </row>
    <row r="686" spans="1:48" x14ac:dyDescent="0.35">
      <c r="A686">
        <v>684</v>
      </c>
      <c r="B686">
        <v>46076</v>
      </c>
      <c r="C686" t="s">
        <v>16</v>
      </c>
      <c r="D686" t="s">
        <v>177</v>
      </c>
      <c r="E686" t="s">
        <v>159</v>
      </c>
      <c r="F686" t="s">
        <v>160</v>
      </c>
      <c r="G686" t="s">
        <v>161</v>
      </c>
      <c r="H686" t="s">
        <v>22</v>
      </c>
      <c r="I686" t="s">
        <v>23</v>
      </c>
      <c r="J686" t="s">
        <v>24</v>
      </c>
      <c r="K686" t="s">
        <v>176</v>
      </c>
      <c r="L686">
        <v>28</v>
      </c>
      <c r="M686">
        <v>69</v>
      </c>
      <c r="N686">
        <v>3</v>
      </c>
      <c r="O686">
        <v>1</v>
      </c>
      <c r="P686">
        <v>103</v>
      </c>
      <c r="Q686">
        <v>0.50029999999999997</v>
      </c>
      <c r="R686">
        <v>469.66743825617431</v>
      </c>
      <c r="S686">
        <v>38.867438256174353</v>
      </c>
      <c r="T686">
        <v>0.34930555555555554</v>
      </c>
      <c r="U686">
        <v>41.5</v>
      </c>
      <c r="V686">
        <v>0.69652777777777775</v>
      </c>
      <c r="W686">
        <v>63.5</v>
      </c>
      <c r="X686">
        <v>11.2</v>
      </c>
      <c r="Y686">
        <v>40</v>
      </c>
      <c r="Z686">
        <v>0.38055555555555554</v>
      </c>
      <c r="AA686">
        <v>55.5</v>
      </c>
      <c r="AB686">
        <v>12.3</v>
      </c>
      <c r="AV686" t="s">
        <v>647</v>
      </c>
    </row>
    <row r="687" spans="1:48" x14ac:dyDescent="0.35">
      <c r="A687">
        <v>685</v>
      </c>
      <c r="B687">
        <v>46076</v>
      </c>
      <c r="C687" t="s">
        <v>16</v>
      </c>
      <c r="D687" t="s">
        <v>177</v>
      </c>
      <c r="E687" t="s">
        <v>159</v>
      </c>
      <c r="F687" t="s">
        <v>160</v>
      </c>
      <c r="G687" t="s">
        <v>161</v>
      </c>
      <c r="H687" t="s">
        <v>22</v>
      </c>
      <c r="I687" t="s">
        <v>23</v>
      </c>
      <c r="J687" t="s">
        <v>24</v>
      </c>
      <c r="K687" t="s">
        <v>176</v>
      </c>
      <c r="L687">
        <v>28</v>
      </c>
      <c r="M687">
        <v>69</v>
      </c>
      <c r="N687">
        <v>3</v>
      </c>
      <c r="O687">
        <v>2</v>
      </c>
      <c r="P687">
        <v>104</v>
      </c>
      <c r="Q687">
        <v>0.5</v>
      </c>
      <c r="R687">
        <v>469.38580677211104</v>
      </c>
      <c r="S687">
        <v>144.78580677211102</v>
      </c>
      <c r="T687">
        <v>0.35</v>
      </c>
      <c r="U687">
        <v>42</v>
      </c>
      <c r="V687">
        <v>0.69722222222222219</v>
      </c>
      <c r="W687">
        <v>62</v>
      </c>
      <c r="X687">
        <v>11.8</v>
      </c>
      <c r="Y687">
        <v>40</v>
      </c>
      <c r="Z687">
        <v>0.38055555555555554</v>
      </c>
      <c r="AA687">
        <v>55.5</v>
      </c>
      <c r="AB687">
        <v>12.3</v>
      </c>
      <c r="AC687" t="s">
        <v>578</v>
      </c>
    </row>
    <row r="688" spans="1:48" x14ac:dyDescent="0.35">
      <c r="A688">
        <v>686</v>
      </c>
      <c r="B688">
        <v>46076</v>
      </c>
      <c r="C688" t="s">
        <v>16</v>
      </c>
      <c r="D688" t="s">
        <v>181</v>
      </c>
      <c r="E688" t="s">
        <v>159</v>
      </c>
      <c r="F688" t="s">
        <v>160</v>
      </c>
      <c r="G688" t="s">
        <v>161</v>
      </c>
      <c r="H688" t="s">
        <v>22</v>
      </c>
      <c r="I688" t="s">
        <v>23</v>
      </c>
      <c r="J688" t="s">
        <v>24</v>
      </c>
      <c r="K688" t="s">
        <v>180</v>
      </c>
      <c r="L688">
        <v>28</v>
      </c>
      <c r="M688">
        <v>69</v>
      </c>
      <c r="N688">
        <v>3</v>
      </c>
      <c r="O688">
        <v>1</v>
      </c>
      <c r="P688">
        <v>105</v>
      </c>
      <c r="Q688">
        <v>0.5</v>
      </c>
      <c r="R688">
        <v>477.5794963740658</v>
      </c>
      <c r="S688">
        <v>30.779496374065843</v>
      </c>
      <c r="T688">
        <v>0.35</v>
      </c>
      <c r="U688">
        <v>41</v>
      </c>
      <c r="V688">
        <v>0.69722222222222219</v>
      </c>
      <c r="W688">
        <v>62</v>
      </c>
      <c r="X688">
        <v>12.4</v>
      </c>
      <c r="Y688">
        <v>40</v>
      </c>
      <c r="Z688">
        <v>0.38124999999999998</v>
      </c>
      <c r="AA688">
        <v>53</v>
      </c>
      <c r="AB688">
        <v>12.7</v>
      </c>
      <c r="AV688" t="s">
        <v>648</v>
      </c>
    </row>
    <row r="689" spans="1:48" x14ac:dyDescent="0.35">
      <c r="A689">
        <v>687</v>
      </c>
      <c r="B689">
        <v>46076</v>
      </c>
      <c r="C689" t="s">
        <v>16</v>
      </c>
      <c r="D689" t="s">
        <v>181</v>
      </c>
      <c r="E689" t="s">
        <v>159</v>
      </c>
      <c r="F689" t="s">
        <v>160</v>
      </c>
      <c r="G689" t="s">
        <v>161</v>
      </c>
      <c r="H689" t="s">
        <v>22</v>
      </c>
      <c r="I689" t="s">
        <v>23</v>
      </c>
      <c r="J689" t="s">
        <v>24</v>
      </c>
      <c r="K689" t="s">
        <v>180</v>
      </c>
      <c r="L689">
        <v>28</v>
      </c>
      <c r="M689">
        <v>69</v>
      </c>
      <c r="N689">
        <v>3</v>
      </c>
      <c r="O689">
        <v>2</v>
      </c>
      <c r="P689">
        <v>106</v>
      </c>
      <c r="Q689">
        <v>0.50029999999999997</v>
      </c>
      <c r="R689">
        <v>477.86604407189026</v>
      </c>
      <c r="S689">
        <v>147.56604407189025</v>
      </c>
      <c r="T689">
        <v>0.35</v>
      </c>
      <c r="U689">
        <v>41.5</v>
      </c>
      <c r="V689">
        <v>0.69791666666666663</v>
      </c>
      <c r="W689">
        <v>62.5</v>
      </c>
      <c r="X689">
        <v>12.1</v>
      </c>
      <c r="Y689">
        <v>40</v>
      </c>
      <c r="Z689">
        <v>0.38124999999999998</v>
      </c>
      <c r="AA689">
        <v>53.5</v>
      </c>
      <c r="AB689">
        <v>13.3</v>
      </c>
      <c r="AD689">
        <v>21</v>
      </c>
      <c r="AE689">
        <v>13.5</v>
      </c>
      <c r="AF689">
        <v>17.607474101643646</v>
      </c>
      <c r="AG689">
        <v>9.1855920640468121</v>
      </c>
      <c r="AH689">
        <v>26.793066165690458</v>
      </c>
      <c r="AI689">
        <v>2.1305043662988812</v>
      </c>
      <c r="AJ689">
        <v>1.221683744518226</v>
      </c>
      <c r="AK689">
        <v>3.3521881108171074</v>
      </c>
      <c r="AL689">
        <v>56.068152357901589</v>
      </c>
      <c r="AM689">
        <v>30.880211285673688</v>
      </c>
      <c r="AN689">
        <v>5.5076206343585339</v>
      </c>
      <c r="AO689">
        <v>12.1</v>
      </c>
      <c r="AP689">
        <v>12.511401606993797</v>
      </c>
      <c r="AQ689">
        <v>7.0149117151182301</v>
      </c>
      <c r="AR689">
        <v>22.716527585329935</v>
      </c>
      <c r="AS689">
        <v>-0.12342357351936777</v>
      </c>
      <c r="AT689">
        <v>3.8933973671452042</v>
      </c>
      <c r="AU689">
        <v>12.60806582936651</v>
      </c>
    </row>
    <row r="690" spans="1:48" x14ac:dyDescent="0.35">
      <c r="A690">
        <v>688</v>
      </c>
      <c r="B690">
        <v>46076</v>
      </c>
      <c r="C690" t="s">
        <v>16</v>
      </c>
      <c r="D690" t="s">
        <v>183</v>
      </c>
      <c r="E690" t="s">
        <v>19</v>
      </c>
      <c r="F690" t="s">
        <v>20</v>
      </c>
      <c r="G690" t="s">
        <v>21</v>
      </c>
      <c r="H690" t="s">
        <v>22</v>
      </c>
      <c r="I690" t="s">
        <v>23</v>
      </c>
      <c r="J690" t="s">
        <v>24</v>
      </c>
      <c r="K690" t="s">
        <v>182</v>
      </c>
      <c r="L690">
        <v>28</v>
      </c>
      <c r="M690">
        <v>69</v>
      </c>
      <c r="N690">
        <v>3</v>
      </c>
      <c r="O690">
        <v>1</v>
      </c>
      <c r="P690">
        <v>107</v>
      </c>
      <c r="Q690">
        <v>0.50029999999999997</v>
      </c>
      <c r="R690">
        <v>479.56670894991868</v>
      </c>
      <c r="S690">
        <v>122.06670894991873</v>
      </c>
      <c r="T690">
        <v>0.35069444444444442</v>
      </c>
      <c r="U690">
        <v>41.5</v>
      </c>
      <c r="V690">
        <v>0.69861111111111107</v>
      </c>
      <c r="W690">
        <v>69.5</v>
      </c>
      <c r="X690">
        <v>13.7</v>
      </c>
      <c r="Y690">
        <v>40</v>
      </c>
      <c r="Z690">
        <v>0.38124999999999998</v>
      </c>
      <c r="AA690">
        <v>66</v>
      </c>
      <c r="AB690">
        <v>18</v>
      </c>
      <c r="AC690" t="s">
        <v>559</v>
      </c>
      <c r="AD690">
        <v>28</v>
      </c>
      <c r="AE690">
        <v>26</v>
      </c>
      <c r="AF690">
        <v>24.607474101643646</v>
      </c>
      <c r="AG690">
        <v>21.685592064046812</v>
      </c>
      <c r="AH690">
        <v>46.293066165690462</v>
      </c>
      <c r="AI690">
        <v>3.3712239519251792</v>
      </c>
      <c r="AJ690">
        <v>3.9034065715284259</v>
      </c>
      <c r="AK690">
        <v>7.2746305234536051</v>
      </c>
      <c r="AL690">
        <v>96.531025406362943</v>
      </c>
      <c r="AM690">
        <v>25.453541013554009</v>
      </c>
      <c r="AN690">
        <v>2.6368248867556536</v>
      </c>
      <c r="AO690">
        <v>13.7</v>
      </c>
      <c r="AP690">
        <v>15.714298330157073</v>
      </c>
      <c r="AQ690">
        <v>15.169173313515591</v>
      </c>
      <c r="AR690">
        <v>59.59553252507385</v>
      </c>
      <c r="AS690">
        <v>-0.50705816241553481</v>
      </c>
      <c r="AT690">
        <v>8.4191536314460222</v>
      </c>
      <c r="AU690">
        <v>33.076551615992543</v>
      </c>
    </row>
    <row r="691" spans="1:48" x14ac:dyDescent="0.35">
      <c r="A691">
        <v>689</v>
      </c>
      <c r="B691">
        <v>46076</v>
      </c>
      <c r="C691" t="s">
        <v>16</v>
      </c>
      <c r="D691" t="s">
        <v>183</v>
      </c>
      <c r="E691" t="s">
        <v>19</v>
      </c>
      <c r="F691" t="s">
        <v>20</v>
      </c>
      <c r="G691" t="s">
        <v>21</v>
      </c>
      <c r="H691" t="s">
        <v>22</v>
      </c>
      <c r="I691" t="s">
        <v>23</v>
      </c>
      <c r="J691" t="s">
        <v>24</v>
      </c>
      <c r="K691" t="s">
        <v>182</v>
      </c>
      <c r="L691">
        <v>28</v>
      </c>
      <c r="M691">
        <v>69</v>
      </c>
      <c r="N691">
        <v>3</v>
      </c>
      <c r="O691">
        <v>2</v>
      </c>
      <c r="P691">
        <v>108</v>
      </c>
      <c r="Q691">
        <v>0.50009999999999999</v>
      </c>
      <c r="R691">
        <v>479.37499729333268</v>
      </c>
      <c r="S691">
        <v>0</v>
      </c>
      <c r="T691">
        <v>0.35069444444444442</v>
      </c>
      <c r="U691">
        <v>41</v>
      </c>
      <c r="V691">
        <v>0.69930555555555551</v>
      </c>
      <c r="W691">
        <v>70.5</v>
      </c>
      <c r="X691">
        <v>13.7</v>
      </c>
      <c r="Y691">
        <v>40</v>
      </c>
      <c r="Z691">
        <v>0.38194444444444442</v>
      </c>
      <c r="AA691">
        <v>65.5</v>
      </c>
      <c r="AB691">
        <v>18.8</v>
      </c>
      <c r="AD691">
        <v>29.5</v>
      </c>
      <c r="AE691">
        <v>25.5</v>
      </c>
      <c r="AV691" t="s">
        <v>649</v>
      </c>
    </row>
    <row r="692" spans="1:48" x14ac:dyDescent="0.35">
      <c r="A692">
        <v>690</v>
      </c>
      <c r="B692">
        <v>46076</v>
      </c>
      <c r="C692" t="s">
        <v>16</v>
      </c>
      <c r="D692" t="s">
        <v>185</v>
      </c>
      <c r="E692" t="s">
        <v>19</v>
      </c>
      <c r="F692" t="s">
        <v>20</v>
      </c>
      <c r="G692" t="s">
        <v>21</v>
      </c>
      <c r="H692" t="s">
        <v>22</v>
      </c>
      <c r="I692" t="s">
        <v>23</v>
      </c>
      <c r="J692" t="s">
        <v>24</v>
      </c>
      <c r="K692" t="s">
        <v>184</v>
      </c>
      <c r="L692">
        <v>28</v>
      </c>
      <c r="M692">
        <v>69</v>
      </c>
      <c r="N692">
        <v>3</v>
      </c>
      <c r="O692">
        <v>1</v>
      </c>
      <c r="P692">
        <v>109</v>
      </c>
      <c r="Q692">
        <v>0.50039999999999996</v>
      </c>
      <c r="R692">
        <v>478.53798794974625</v>
      </c>
      <c r="S692">
        <v>100.63798794974622</v>
      </c>
      <c r="T692">
        <v>0.35069444444444442</v>
      </c>
      <c r="U692">
        <v>42</v>
      </c>
      <c r="V692">
        <v>0.70416666666666672</v>
      </c>
      <c r="W692">
        <v>65</v>
      </c>
      <c r="X692">
        <v>12.8</v>
      </c>
      <c r="Y692">
        <v>41</v>
      </c>
      <c r="Z692">
        <v>0.38194444444444442</v>
      </c>
      <c r="AA692">
        <v>59.5</v>
      </c>
      <c r="AB692">
        <v>18.2</v>
      </c>
      <c r="AD692">
        <v>23</v>
      </c>
      <c r="AE692">
        <v>18.5</v>
      </c>
      <c r="AF692">
        <v>19.607474101643646</v>
      </c>
      <c r="AG692">
        <v>14.185592064046812</v>
      </c>
      <c r="AH692">
        <v>33.793066165690462</v>
      </c>
      <c r="AI692">
        <v>2.509756685010387</v>
      </c>
      <c r="AJ692">
        <v>2.5817777556565198</v>
      </c>
      <c r="AK692">
        <v>5.0915344406669067</v>
      </c>
      <c r="AL692">
        <v>70.617311512663534</v>
      </c>
      <c r="AM692">
        <v>21.030302814813258</v>
      </c>
      <c r="AN692">
        <v>2.978066194298826</v>
      </c>
      <c r="AO692">
        <v>12.8</v>
      </c>
      <c r="AP692">
        <v>15.066802212331526</v>
      </c>
      <c r="AQ692">
        <v>10.639770653279035</v>
      </c>
      <c r="AR692">
        <v>50.592569907194232</v>
      </c>
      <c r="AS692">
        <v>-0.24051266042350608</v>
      </c>
      <c r="AT692">
        <v>5.9052567916469103</v>
      </c>
      <c r="AU692">
        <v>28.079751602470434</v>
      </c>
    </row>
    <row r="693" spans="1:48" x14ac:dyDescent="0.35">
      <c r="A693">
        <v>691</v>
      </c>
      <c r="B693">
        <v>46076</v>
      </c>
      <c r="C693" t="s">
        <v>16</v>
      </c>
      <c r="D693" t="s">
        <v>185</v>
      </c>
      <c r="E693" t="s">
        <v>19</v>
      </c>
      <c r="F693" t="s">
        <v>20</v>
      </c>
      <c r="G693" t="s">
        <v>21</v>
      </c>
      <c r="H693" t="s">
        <v>22</v>
      </c>
      <c r="I693" t="s">
        <v>23</v>
      </c>
      <c r="J693" t="s">
        <v>24</v>
      </c>
      <c r="K693" t="s">
        <v>184</v>
      </c>
      <c r="L693">
        <v>28</v>
      </c>
      <c r="M693">
        <v>69</v>
      </c>
      <c r="N693">
        <v>3</v>
      </c>
      <c r="O693">
        <v>2</v>
      </c>
      <c r="P693">
        <v>110</v>
      </c>
      <c r="Q693">
        <v>0.50039999999999996</v>
      </c>
      <c r="R693">
        <v>478.53798794974625</v>
      </c>
      <c r="S693">
        <v>58.537987949746309</v>
      </c>
      <c r="T693">
        <v>0.35069444444444442</v>
      </c>
      <c r="U693">
        <v>42.5</v>
      </c>
      <c r="V693">
        <v>0.70416666666666672</v>
      </c>
      <c r="W693">
        <v>66.5</v>
      </c>
      <c r="X693">
        <v>12</v>
      </c>
      <c r="Y693">
        <v>40.5</v>
      </c>
      <c r="Z693">
        <v>0.38263888888888886</v>
      </c>
      <c r="AA693">
        <v>57.5</v>
      </c>
      <c r="AB693">
        <v>18.3</v>
      </c>
      <c r="AD693">
        <v>24</v>
      </c>
      <c r="AE693">
        <v>17</v>
      </c>
      <c r="AV693" t="s">
        <v>650</v>
      </c>
    </row>
    <row r="694" spans="1:48" x14ac:dyDescent="0.35">
      <c r="A694">
        <v>692</v>
      </c>
      <c r="B694">
        <v>46076</v>
      </c>
      <c r="D694" t="s">
        <v>187</v>
      </c>
      <c r="E694" t="s">
        <v>105</v>
      </c>
      <c r="F694" t="s">
        <v>188</v>
      </c>
      <c r="G694" t="s">
        <v>189</v>
      </c>
      <c r="H694" t="s">
        <v>108</v>
      </c>
      <c r="I694" t="s">
        <v>109</v>
      </c>
      <c r="J694" t="s">
        <v>110</v>
      </c>
      <c r="K694" t="s">
        <v>186</v>
      </c>
      <c r="L694">
        <v>28</v>
      </c>
      <c r="M694">
        <v>69</v>
      </c>
      <c r="N694">
        <v>3</v>
      </c>
      <c r="O694">
        <v>1</v>
      </c>
      <c r="P694">
        <v>111</v>
      </c>
      <c r="Q694">
        <v>0.50019999999999998</v>
      </c>
      <c r="R694">
        <v>474.39613340253106</v>
      </c>
      <c r="S694">
        <v>228.79613340253113</v>
      </c>
      <c r="T694">
        <v>0.35138888888888886</v>
      </c>
      <c r="U694">
        <v>41</v>
      </c>
      <c r="V694">
        <v>0.70486111111111116</v>
      </c>
      <c r="W694">
        <v>80.5</v>
      </c>
      <c r="X694">
        <v>13.6</v>
      </c>
      <c r="Y694">
        <v>40</v>
      </c>
      <c r="Z694">
        <v>0.38333333333333336</v>
      </c>
      <c r="AA694">
        <v>97.5</v>
      </c>
      <c r="AB694">
        <v>15.1</v>
      </c>
      <c r="AD694">
        <v>39.5</v>
      </c>
      <c r="AE694">
        <v>57.5</v>
      </c>
      <c r="AV694" t="s">
        <v>611</v>
      </c>
    </row>
    <row r="695" spans="1:48" x14ac:dyDescent="0.35">
      <c r="A695">
        <v>693</v>
      </c>
      <c r="B695">
        <v>46076</v>
      </c>
      <c r="D695" t="s">
        <v>187</v>
      </c>
      <c r="E695" t="s">
        <v>105</v>
      </c>
      <c r="F695" t="s">
        <v>188</v>
      </c>
      <c r="G695" t="s">
        <v>189</v>
      </c>
      <c r="H695" t="s">
        <v>108</v>
      </c>
      <c r="I695" t="s">
        <v>109</v>
      </c>
      <c r="J695" t="s">
        <v>110</v>
      </c>
      <c r="K695" t="s">
        <v>186</v>
      </c>
      <c r="L695">
        <v>28</v>
      </c>
      <c r="M695">
        <v>69</v>
      </c>
      <c r="N695">
        <v>3</v>
      </c>
      <c r="O695">
        <v>2</v>
      </c>
      <c r="P695">
        <v>112</v>
      </c>
      <c r="Q695">
        <v>0.50029999999999997</v>
      </c>
      <c r="R695">
        <v>474.49097469269549</v>
      </c>
      <c r="S695">
        <v>104.99097469269554</v>
      </c>
      <c r="T695">
        <v>0.35138888888888886</v>
      </c>
      <c r="U695">
        <v>40.5</v>
      </c>
      <c r="V695">
        <v>0.7055555555555556</v>
      </c>
      <c r="W695">
        <v>81.5</v>
      </c>
      <c r="X695">
        <v>13.7</v>
      </c>
      <c r="Y695">
        <v>40</v>
      </c>
      <c r="Z695">
        <v>0.38333333333333336</v>
      </c>
      <c r="AA695">
        <v>94.5</v>
      </c>
      <c r="AB695">
        <v>15</v>
      </c>
      <c r="AD695">
        <v>41</v>
      </c>
      <c r="AE695">
        <v>54.5</v>
      </c>
      <c r="AF695">
        <v>37.607474101643646</v>
      </c>
      <c r="AG695">
        <v>50.185592064046816</v>
      </c>
      <c r="AH695">
        <v>87.793066165690462</v>
      </c>
      <c r="AI695">
        <v>5.1522239519251789</v>
      </c>
      <c r="AJ695">
        <v>7.5278388096070223</v>
      </c>
      <c r="AK695">
        <v>12.680062761532202</v>
      </c>
      <c r="AL695">
        <v>185.02578731355158</v>
      </c>
      <c r="AM695">
        <v>22.127075180026985</v>
      </c>
      <c r="AN695">
        <v>1.1958914214768139</v>
      </c>
      <c r="AO695">
        <v>13.7</v>
      </c>
      <c r="AP695">
        <v>14.443125539779327</v>
      </c>
      <c r="AQ695">
        <v>26.723506742661346</v>
      </c>
      <c r="AR695">
        <v>120.77288356114654</v>
      </c>
      <c r="AS695">
        <v>-0.88110753711840162</v>
      </c>
      <c r="AT695">
        <v>14.832008586584362</v>
      </c>
      <c r="AU695">
        <v>67.031039872691721</v>
      </c>
    </row>
    <row r="696" spans="1:48" x14ac:dyDescent="0.35">
      <c r="A696">
        <v>694</v>
      </c>
      <c r="B696">
        <v>46076</v>
      </c>
      <c r="D696" t="s">
        <v>193</v>
      </c>
      <c r="E696" t="s">
        <v>105</v>
      </c>
      <c r="F696" t="s">
        <v>188</v>
      </c>
      <c r="G696" t="s">
        <v>189</v>
      </c>
      <c r="H696" t="s">
        <v>108</v>
      </c>
      <c r="I696" t="s">
        <v>109</v>
      </c>
      <c r="J696" t="s">
        <v>110</v>
      </c>
      <c r="K696" t="s">
        <v>192</v>
      </c>
      <c r="L696">
        <v>28</v>
      </c>
      <c r="M696">
        <v>69</v>
      </c>
      <c r="N696">
        <v>3</v>
      </c>
      <c r="O696">
        <v>1</v>
      </c>
      <c r="P696">
        <v>113</v>
      </c>
      <c r="Q696">
        <v>0.50019999999999998</v>
      </c>
      <c r="R696">
        <v>475.56995000000012</v>
      </c>
      <c r="S696">
        <v>24.769950000000165</v>
      </c>
      <c r="T696">
        <v>0.35138888888888886</v>
      </c>
      <c r="U696">
        <v>41</v>
      </c>
      <c r="V696">
        <v>0.7055555555555556</v>
      </c>
      <c r="W696">
        <v>76</v>
      </c>
      <c r="X696">
        <v>14</v>
      </c>
      <c r="Y696">
        <v>40.5</v>
      </c>
      <c r="Z696">
        <v>0.3840277777777778</v>
      </c>
      <c r="AA696">
        <v>91.5</v>
      </c>
      <c r="AB696">
        <v>14.7</v>
      </c>
      <c r="AV696" t="s">
        <v>651</v>
      </c>
    </row>
    <row r="697" spans="1:48" x14ac:dyDescent="0.35">
      <c r="A697">
        <v>695</v>
      </c>
      <c r="B697">
        <v>46076</v>
      </c>
      <c r="D697" t="s">
        <v>193</v>
      </c>
      <c r="E697" t="s">
        <v>105</v>
      </c>
      <c r="F697" t="s">
        <v>188</v>
      </c>
      <c r="G697" t="s">
        <v>189</v>
      </c>
      <c r="H697" t="s">
        <v>108</v>
      </c>
      <c r="I697" t="s">
        <v>109</v>
      </c>
      <c r="J697" t="s">
        <v>110</v>
      </c>
      <c r="K697" t="s">
        <v>192</v>
      </c>
      <c r="L697">
        <v>28</v>
      </c>
      <c r="M697">
        <v>69</v>
      </c>
      <c r="N697">
        <v>3</v>
      </c>
      <c r="O697">
        <v>2</v>
      </c>
      <c r="P697">
        <v>114</v>
      </c>
      <c r="Q697">
        <v>0.50019999999999998</v>
      </c>
      <c r="R697">
        <v>475.56995000000012</v>
      </c>
      <c r="S697">
        <v>46.069950000000119</v>
      </c>
      <c r="T697">
        <v>0.35208333333333336</v>
      </c>
      <c r="U697">
        <v>41.5</v>
      </c>
      <c r="V697">
        <v>0.70625000000000004</v>
      </c>
      <c r="W697">
        <v>78</v>
      </c>
      <c r="X697">
        <v>13.7</v>
      </c>
      <c r="Y697">
        <v>41</v>
      </c>
      <c r="Z697">
        <v>0.3840277777777778</v>
      </c>
      <c r="AA697">
        <v>92</v>
      </c>
      <c r="AB697">
        <v>14.9</v>
      </c>
      <c r="AC697" t="s">
        <v>580</v>
      </c>
      <c r="AV697" t="s">
        <v>652</v>
      </c>
    </row>
    <row r="698" spans="1:48" x14ac:dyDescent="0.35">
      <c r="A698">
        <v>696</v>
      </c>
      <c r="B698">
        <v>46076</v>
      </c>
      <c r="D698" t="s">
        <v>195</v>
      </c>
      <c r="E698" t="s">
        <v>105</v>
      </c>
      <c r="F698" t="s">
        <v>188</v>
      </c>
      <c r="G698" t="s">
        <v>189</v>
      </c>
      <c r="H698" t="s">
        <v>108</v>
      </c>
      <c r="I698" t="s">
        <v>109</v>
      </c>
      <c r="J698" t="s">
        <v>110</v>
      </c>
      <c r="K698" t="s">
        <v>194</v>
      </c>
      <c r="L698">
        <v>28</v>
      </c>
      <c r="M698">
        <v>69</v>
      </c>
      <c r="N698">
        <v>3</v>
      </c>
      <c r="O698">
        <v>1</v>
      </c>
      <c r="P698">
        <v>115</v>
      </c>
      <c r="Q698">
        <v>0.50019999999999998</v>
      </c>
      <c r="R698">
        <v>480.29503819763954</v>
      </c>
      <c r="S698">
        <v>138.59503819763955</v>
      </c>
      <c r="T698">
        <v>0.35208333333333336</v>
      </c>
      <c r="U698">
        <v>40.5</v>
      </c>
      <c r="V698">
        <v>0.70625000000000004</v>
      </c>
      <c r="W698">
        <v>76.5</v>
      </c>
      <c r="X698">
        <v>13.8</v>
      </c>
      <c r="Y698">
        <v>40</v>
      </c>
      <c r="Z698">
        <v>0.38472222222222224</v>
      </c>
      <c r="AA698">
        <v>91.5</v>
      </c>
      <c r="AB698">
        <v>14.8</v>
      </c>
      <c r="AD698">
        <v>36</v>
      </c>
      <c r="AE698">
        <v>51.5</v>
      </c>
      <c r="AF698">
        <v>32.607474101643646</v>
      </c>
      <c r="AG698">
        <v>47.185592064046816</v>
      </c>
      <c r="AH698">
        <v>79.793066165690462</v>
      </c>
      <c r="AI698">
        <v>4.499831426026824</v>
      </c>
      <c r="AJ698">
        <v>6.9834676254789301</v>
      </c>
      <c r="AK698">
        <v>11.483299051505753</v>
      </c>
      <c r="AL698">
        <v>166.13343844883929</v>
      </c>
      <c r="AM698">
        <v>28.856229437166959</v>
      </c>
      <c r="AN698">
        <v>1.7369308494781575</v>
      </c>
      <c r="AO698">
        <v>13.800000000000002</v>
      </c>
      <c r="AP698">
        <v>14.391349528617761</v>
      </c>
      <c r="AQ698">
        <v>23.908843811083511</v>
      </c>
      <c r="AR698">
        <v>82.855051673136501</v>
      </c>
      <c r="AS698">
        <v>-2.3604233141476616</v>
      </c>
      <c r="AT698">
        <v>13.269821962968148</v>
      </c>
      <c r="AU698">
        <v>45.98598715699341</v>
      </c>
    </row>
    <row r="699" spans="1:48" x14ac:dyDescent="0.35">
      <c r="A699">
        <v>697</v>
      </c>
      <c r="B699">
        <v>46076</v>
      </c>
      <c r="D699" t="s">
        <v>195</v>
      </c>
      <c r="E699" t="s">
        <v>105</v>
      </c>
      <c r="F699" t="s">
        <v>188</v>
      </c>
      <c r="G699" t="s">
        <v>189</v>
      </c>
      <c r="H699" t="s">
        <v>108</v>
      </c>
      <c r="I699" t="s">
        <v>109</v>
      </c>
      <c r="J699" t="s">
        <v>110</v>
      </c>
      <c r="K699" t="s">
        <v>194</v>
      </c>
      <c r="L699">
        <v>28</v>
      </c>
      <c r="M699">
        <v>69</v>
      </c>
      <c r="N699">
        <v>3</v>
      </c>
      <c r="O699">
        <v>2</v>
      </c>
      <c r="P699">
        <v>116</v>
      </c>
      <c r="Q699">
        <v>0.5</v>
      </c>
      <c r="R699">
        <v>480.10299699884001</v>
      </c>
      <c r="S699">
        <v>185.30299699884006</v>
      </c>
      <c r="T699">
        <v>0.35208333333333336</v>
      </c>
      <c r="U699">
        <v>40</v>
      </c>
      <c r="V699">
        <v>0.70694444444444449</v>
      </c>
      <c r="W699">
        <v>74</v>
      </c>
      <c r="X699">
        <v>14.5</v>
      </c>
      <c r="Y699">
        <v>40</v>
      </c>
      <c r="Z699">
        <v>0.38472222222222224</v>
      </c>
      <c r="AA699">
        <v>92.5</v>
      </c>
      <c r="AB699">
        <v>14.9</v>
      </c>
      <c r="AD699">
        <v>34</v>
      </c>
      <c r="AE699">
        <v>52.5</v>
      </c>
      <c r="AF699">
        <v>30.607474101643646</v>
      </c>
      <c r="AG699">
        <v>48.185592064046816</v>
      </c>
      <c r="AH699">
        <v>78.793066165690462</v>
      </c>
      <c r="AI699">
        <v>4.4380837447383286</v>
      </c>
      <c r="AJ699">
        <v>7.1796532175429748</v>
      </c>
      <c r="AK699">
        <v>11.617736962281302</v>
      </c>
      <c r="AL699">
        <v>164.1170054305677</v>
      </c>
      <c r="AM699">
        <v>38.596509115165503</v>
      </c>
      <c r="AN699">
        <v>2.3517678143045551</v>
      </c>
      <c r="AO699">
        <v>14.5</v>
      </c>
      <c r="AP699">
        <v>14.744618438697227</v>
      </c>
      <c r="AQ699">
        <v>24.198426243753218</v>
      </c>
      <c r="AR699">
        <v>62.695893484950098</v>
      </c>
      <c r="AS699">
        <v>1.223936806732653</v>
      </c>
      <c r="AT699">
        <v>13.430545223176527</v>
      </c>
      <c r="AU699">
        <v>34.797305588186831</v>
      </c>
    </row>
    <row r="700" spans="1:48" x14ac:dyDescent="0.35">
      <c r="A700">
        <v>698</v>
      </c>
      <c r="B700">
        <v>46076</v>
      </c>
      <c r="D700" t="s">
        <v>197</v>
      </c>
      <c r="E700" t="s">
        <v>105</v>
      </c>
      <c r="F700" t="s">
        <v>188</v>
      </c>
      <c r="G700" t="s">
        <v>189</v>
      </c>
      <c r="H700" t="s">
        <v>108</v>
      </c>
      <c r="I700" t="s">
        <v>109</v>
      </c>
      <c r="J700" t="s">
        <v>110</v>
      </c>
      <c r="K700" t="s">
        <v>196</v>
      </c>
      <c r="L700">
        <v>28</v>
      </c>
      <c r="M700">
        <v>69</v>
      </c>
      <c r="N700">
        <v>3</v>
      </c>
      <c r="O700">
        <v>1</v>
      </c>
      <c r="P700">
        <v>117</v>
      </c>
      <c r="Q700">
        <v>0.50009999999999999</v>
      </c>
      <c r="R700">
        <v>479.89798020197964</v>
      </c>
      <c r="S700">
        <v>168.79798020197961</v>
      </c>
      <c r="T700">
        <v>0.35208333333333336</v>
      </c>
      <c r="U700">
        <v>41</v>
      </c>
      <c r="V700">
        <v>0.70763888888888893</v>
      </c>
      <c r="W700">
        <v>83.5</v>
      </c>
      <c r="X700">
        <v>13.9</v>
      </c>
      <c r="Y700">
        <v>40</v>
      </c>
      <c r="Z700">
        <v>0.38541666666666669</v>
      </c>
      <c r="AA700">
        <v>100</v>
      </c>
      <c r="AB700">
        <v>15.2</v>
      </c>
      <c r="AD700">
        <v>42.5</v>
      </c>
      <c r="AE700">
        <v>60</v>
      </c>
      <c r="AF700">
        <v>39.107474101643646</v>
      </c>
      <c r="AG700">
        <v>55.685592064046816</v>
      </c>
      <c r="AH700">
        <v>94.793066165690462</v>
      </c>
      <c r="AI700">
        <v>5.435938900128467</v>
      </c>
      <c r="AJ700">
        <v>8.4642099937351158</v>
      </c>
      <c r="AK700">
        <v>13.900148893863584</v>
      </c>
      <c r="AL700">
        <v>197.52753726071927</v>
      </c>
      <c r="AM700">
        <v>35.173721742053566</v>
      </c>
      <c r="AN700">
        <v>1.7806996548348237</v>
      </c>
      <c r="AO700">
        <v>13.9</v>
      </c>
      <c r="AP700">
        <v>14.663676844851995</v>
      </c>
      <c r="AQ700">
        <v>28.964799743506493</v>
      </c>
      <c r="AR700">
        <v>82.347838980247261</v>
      </c>
      <c r="AS700">
        <v>3.6019481091277026</v>
      </c>
      <c r="AT700">
        <v>16.075964978748935</v>
      </c>
      <c r="AU700">
        <v>45.704475337133779</v>
      </c>
    </row>
    <row r="701" spans="1:48" x14ac:dyDescent="0.35">
      <c r="A701">
        <v>699</v>
      </c>
      <c r="B701">
        <v>46076</v>
      </c>
      <c r="D701" t="s">
        <v>197</v>
      </c>
      <c r="E701" t="s">
        <v>105</v>
      </c>
      <c r="F701" t="s">
        <v>188</v>
      </c>
      <c r="G701" t="s">
        <v>189</v>
      </c>
      <c r="H701" t="s">
        <v>108</v>
      </c>
      <c r="I701" t="s">
        <v>109</v>
      </c>
      <c r="J701" t="s">
        <v>110</v>
      </c>
      <c r="K701" t="s">
        <v>196</v>
      </c>
      <c r="L701">
        <v>28</v>
      </c>
      <c r="M701">
        <v>69</v>
      </c>
      <c r="N701">
        <v>3</v>
      </c>
      <c r="O701">
        <v>2</v>
      </c>
      <c r="P701">
        <v>118</v>
      </c>
      <c r="Q701">
        <v>0.50009999999999999</v>
      </c>
      <c r="R701">
        <v>479.89798020197964</v>
      </c>
      <c r="S701">
        <v>44.097980201979567</v>
      </c>
      <c r="T701">
        <v>0.3527777777777778</v>
      </c>
      <c r="U701">
        <v>40.5</v>
      </c>
      <c r="V701">
        <v>0.70833333333333337</v>
      </c>
      <c r="W701">
        <v>81</v>
      </c>
      <c r="X701">
        <v>13.5</v>
      </c>
      <c r="Y701">
        <v>40</v>
      </c>
      <c r="Z701">
        <v>0.38611111111111113</v>
      </c>
      <c r="AA701">
        <v>100.5</v>
      </c>
      <c r="AB701">
        <v>15</v>
      </c>
      <c r="AD701">
        <v>40.5</v>
      </c>
      <c r="AE701">
        <v>60.5</v>
      </c>
      <c r="AV701" t="s">
        <v>653</v>
      </c>
    </row>
    <row r="702" spans="1:48" x14ac:dyDescent="0.35">
      <c r="A702">
        <v>700</v>
      </c>
      <c r="B702">
        <v>46076</v>
      </c>
      <c r="D702" t="s">
        <v>199</v>
      </c>
      <c r="E702" t="s">
        <v>105</v>
      </c>
      <c r="F702" t="s">
        <v>188</v>
      </c>
      <c r="G702" t="s">
        <v>189</v>
      </c>
      <c r="H702" t="s">
        <v>108</v>
      </c>
      <c r="I702" t="s">
        <v>109</v>
      </c>
      <c r="J702" t="s">
        <v>110</v>
      </c>
      <c r="K702" t="s">
        <v>198</v>
      </c>
      <c r="L702">
        <v>28</v>
      </c>
      <c r="M702">
        <v>69</v>
      </c>
      <c r="N702">
        <v>3</v>
      </c>
      <c r="O702">
        <v>1</v>
      </c>
      <c r="P702">
        <v>119</v>
      </c>
      <c r="Q702">
        <v>0.5</v>
      </c>
      <c r="R702">
        <v>486.35136486351382</v>
      </c>
      <c r="S702">
        <v>180.45136486351379</v>
      </c>
      <c r="T702">
        <v>0.3527777777777778</v>
      </c>
      <c r="U702">
        <v>40</v>
      </c>
      <c r="V702">
        <v>0.70902777777777781</v>
      </c>
      <c r="W702">
        <v>76.5</v>
      </c>
      <c r="X702">
        <v>14.1</v>
      </c>
      <c r="Y702">
        <v>39.5</v>
      </c>
      <c r="Z702">
        <v>0.38680555555555557</v>
      </c>
      <c r="AA702">
        <v>84</v>
      </c>
      <c r="AB702">
        <v>15</v>
      </c>
      <c r="AD702">
        <v>36.5</v>
      </c>
      <c r="AE702">
        <v>44.5</v>
      </c>
      <c r="AF702">
        <v>33.107474101643646</v>
      </c>
      <c r="AG702">
        <v>40.185592064046816</v>
      </c>
      <c r="AH702">
        <v>73.293066165690462</v>
      </c>
      <c r="AI702">
        <v>4.6681538483317535</v>
      </c>
      <c r="AJ702">
        <v>6.0278388096070223</v>
      </c>
      <c r="AK702">
        <v>10.695992657938776</v>
      </c>
      <c r="AL702">
        <v>150.69982621773644</v>
      </c>
      <c r="AM702">
        <v>37.103085937500012</v>
      </c>
      <c r="AN702">
        <v>2.4620523373326364</v>
      </c>
      <c r="AO702">
        <v>14.099999999999998</v>
      </c>
      <c r="AP702">
        <v>14.593457768240736</v>
      </c>
      <c r="AQ702">
        <v>21.992315495897543</v>
      </c>
      <c r="AR702">
        <v>59.273548116573117</v>
      </c>
      <c r="AS702">
        <v>1.1428169701824471</v>
      </c>
      <c r="AT702">
        <v>12.20611559011061</v>
      </c>
      <c r="AU702">
        <v>32.897844698610129</v>
      </c>
    </row>
    <row r="703" spans="1:48" x14ac:dyDescent="0.35">
      <c r="A703">
        <v>701</v>
      </c>
      <c r="B703">
        <v>46076</v>
      </c>
      <c r="D703" t="s">
        <v>199</v>
      </c>
      <c r="E703" t="s">
        <v>105</v>
      </c>
      <c r="F703" t="s">
        <v>188</v>
      </c>
      <c r="G703" t="s">
        <v>189</v>
      </c>
      <c r="H703" t="s">
        <v>108</v>
      </c>
      <c r="I703" t="s">
        <v>109</v>
      </c>
      <c r="J703" t="s">
        <v>110</v>
      </c>
      <c r="K703" t="s">
        <v>198</v>
      </c>
      <c r="L703">
        <v>28</v>
      </c>
      <c r="M703">
        <v>69</v>
      </c>
      <c r="N703">
        <v>3</v>
      </c>
      <c r="O703">
        <v>2</v>
      </c>
      <c r="P703">
        <v>120</v>
      </c>
      <c r="Q703">
        <v>0.50029999999999997</v>
      </c>
      <c r="R703">
        <v>486.64317568243195</v>
      </c>
      <c r="S703">
        <v>142.34317568243199</v>
      </c>
      <c r="T703">
        <v>0.3527777777777778</v>
      </c>
      <c r="U703">
        <v>41</v>
      </c>
      <c r="V703">
        <v>0.70902777777777781</v>
      </c>
      <c r="W703">
        <v>78.5</v>
      </c>
      <c r="X703">
        <v>13.9</v>
      </c>
      <c r="Y703">
        <v>40.5</v>
      </c>
      <c r="Z703">
        <v>0.38750000000000001</v>
      </c>
      <c r="AA703">
        <v>93.5</v>
      </c>
      <c r="AB703">
        <v>15.2</v>
      </c>
      <c r="AD703">
        <v>37.5</v>
      </c>
      <c r="AE703">
        <v>53</v>
      </c>
      <c r="AF703">
        <v>34.107474101643646</v>
      </c>
      <c r="AG703">
        <v>48.685592064046816</v>
      </c>
      <c r="AH703">
        <v>82.793066165690462</v>
      </c>
      <c r="AI703">
        <v>4.7409389001284676</v>
      </c>
      <c r="AJ703">
        <v>7.4002099937351158</v>
      </c>
      <c r="AK703">
        <v>12.141148893863583</v>
      </c>
      <c r="AL703">
        <v>170.13095077227305</v>
      </c>
      <c r="AM703">
        <v>29.250009615940996</v>
      </c>
      <c r="AN703">
        <v>1.7192644538319946</v>
      </c>
      <c r="AO703">
        <v>13.900000000000002</v>
      </c>
      <c r="AP703">
        <v>14.664451331668266</v>
      </c>
      <c r="AQ703">
        <v>24.948770476104482</v>
      </c>
      <c r="AR703">
        <v>85.294913757934694</v>
      </c>
      <c r="AS703">
        <v>-6.2016223153335837</v>
      </c>
      <c r="AT703">
        <v>13.846999253865599</v>
      </c>
      <c r="AU703">
        <v>47.340152826203202</v>
      </c>
    </row>
    <row r="704" spans="1:48" x14ac:dyDescent="0.35">
      <c r="A704">
        <v>702</v>
      </c>
      <c r="B704">
        <v>46076</v>
      </c>
      <c r="D704" t="s">
        <v>201</v>
      </c>
      <c r="E704" t="s">
        <v>105</v>
      </c>
      <c r="F704" t="s">
        <v>188</v>
      </c>
      <c r="G704" t="s">
        <v>189</v>
      </c>
      <c r="H704" t="s">
        <v>108</v>
      </c>
      <c r="I704" t="s">
        <v>109</v>
      </c>
      <c r="J704" t="s">
        <v>110</v>
      </c>
      <c r="K704" t="s">
        <v>200</v>
      </c>
      <c r="L704">
        <v>28</v>
      </c>
      <c r="M704">
        <v>69</v>
      </c>
      <c r="N704">
        <v>3</v>
      </c>
      <c r="O704">
        <v>1</v>
      </c>
      <c r="P704">
        <v>121</v>
      </c>
      <c r="Q704">
        <v>0.50039999999999996</v>
      </c>
      <c r="R704">
        <v>485.88839999999976</v>
      </c>
      <c r="S704">
        <v>209.08839999999981</v>
      </c>
      <c r="T704">
        <v>0.3527777777777778</v>
      </c>
      <c r="U704">
        <v>40.5</v>
      </c>
      <c r="V704">
        <v>0.70972222222222225</v>
      </c>
      <c r="W704">
        <v>77.5</v>
      </c>
      <c r="X704">
        <v>13.9</v>
      </c>
      <c r="Y704">
        <v>40</v>
      </c>
      <c r="Z704">
        <v>0.38750000000000001</v>
      </c>
      <c r="AA704">
        <v>95</v>
      </c>
      <c r="AB704">
        <v>14.8</v>
      </c>
      <c r="AD704">
        <v>37</v>
      </c>
      <c r="AE704">
        <v>55</v>
      </c>
      <c r="AF704">
        <v>33.607474101643646</v>
      </c>
      <c r="AG704">
        <v>50.685592064046816</v>
      </c>
      <c r="AH704">
        <v>84.293066165690462</v>
      </c>
      <c r="AI704">
        <v>4.6714389001284671</v>
      </c>
      <c r="AJ704">
        <v>7.5014676254789299</v>
      </c>
      <c r="AK704">
        <v>12.172906525607397</v>
      </c>
      <c r="AL704">
        <v>173.48235966466888</v>
      </c>
      <c r="AM704">
        <v>43.032185991680379</v>
      </c>
      <c r="AN704">
        <v>2.4804934677427166</v>
      </c>
      <c r="AO704">
        <v>13.9</v>
      </c>
      <c r="AP704">
        <v>14.441171829815458</v>
      </c>
      <c r="AQ704">
        <v>25.0528856535933</v>
      </c>
      <c r="AR704">
        <v>58.218947228097818</v>
      </c>
      <c r="AS704">
        <v>1.0888292393872745</v>
      </c>
      <c r="AT704">
        <v>13.904784978672543</v>
      </c>
      <c r="AU704">
        <v>32.312522959816228</v>
      </c>
    </row>
    <row r="705" spans="1:48" x14ac:dyDescent="0.35">
      <c r="A705">
        <v>703</v>
      </c>
      <c r="B705">
        <v>46076</v>
      </c>
      <c r="D705" t="s">
        <v>201</v>
      </c>
      <c r="E705" t="s">
        <v>105</v>
      </c>
      <c r="F705" t="s">
        <v>188</v>
      </c>
      <c r="G705" t="s">
        <v>189</v>
      </c>
      <c r="H705" t="s">
        <v>108</v>
      </c>
      <c r="I705" t="s">
        <v>109</v>
      </c>
      <c r="J705" t="s">
        <v>110</v>
      </c>
      <c r="K705" t="s">
        <v>200</v>
      </c>
      <c r="L705">
        <v>28</v>
      </c>
      <c r="M705">
        <v>69</v>
      </c>
      <c r="N705">
        <v>3</v>
      </c>
      <c r="O705">
        <v>2</v>
      </c>
      <c r="P705">
        <v>122</v>
      </c>
      <c r="Q705">
        <v>0.50009999999999999</v>
      </c>
      <c r="R705">
        <v>485.59709999999984</v>
      </c>
      <c r="S705">
        <v>88.29709999999983</v>
      </c>
      <c r="T705">
        <v>0.35347222222222224</v>
      </c>
      <c r="U705">
        <v>40.5</v>
      </c>
      <c r="V705">
        <v>0.7104166666666667</v>
      </c>
      <c r="W705">
        <v>80.5</v>
      </c>
      <c r="X705">
        <v>13.8</v>
      </c>
      <c r="Y705">
        <v>40</v>
      </c>
      <c r="Z705">
        <v>0.38819444444444445</v>
      </c>
      <c r="AA705">
        <v>95.5</v>
      </c>
      <c r="AB705">
        <v>14.8</v>
      </c>
      <c r="AC705" t="s">
        <v>559</v>
      </c>
      <c r="AD705">
        <v>40</v>
      </c>
      <c r="AE705">
        <v>55.5</v>
      </c>
      <c r="AV705" t="s">
        <v>654</v>
      </c>
    </row>
    <row r="706" spans="1:48" x14ac:dyDescent="0.35">
      <c r="A706">
        <v>704</v>
      </c>
      <c r="B706">
        <v>46076</v>
      </c>
      <c r="D706" t="s">
        <v>203</v>
      </c>
      <c r="E706" t="s">
        <v>105</v>
      </c>
      <c r="F706" t="s">
        <v>188</v>
      </c>
      <c r="G706" t="s">
        <v>189</v>
      </c>
      <c r="H706" t="s">
        <v>108</v>
      </c>
      <c r="I706" t="s">
        <v>109</v>
      </c>
      <c r="J706" t="s">
        <v>110</v>
      </c>
      <c r="K706" t="s">
        <v>202</v>
      </c>
      <c r="L706">
        <v>28</v>
      </c>
      <c r="M706">
        <v>69</v>
      </c>
      <c r="N706">
        <v>3</v>
      </c>
      <c r="O706">
        <v>1</v>
      </c>
      <c r="P706">
        <v>123</v>
      </c>
      <c r="Q706">
        <v>0.50009999999999999</v>
      </c>
      <c r="R706">
        <v>482.5982501749823</v>
      </c>
      <c r="S706">
        <v>145.69825017498232</v>
      </c>
      <c r="T706">
        <v>0.35347222222222224</v>
      </c>
      <c r="U706">
        <v>40.5</v>
      </c>
      <c r="V706">
        <v>0.7104166666666667</v>
      </c>
      <c r="W706">
        <v>80.5</v>
      </c>
      <c r="X706">
        <v>13.9</v>
      </c>
      <c r="Y706">
        <v>40</v>
      </c>
      <c r="Z706">
        <v>0.3888888888888889</v>
      </c>
      <c r="AA706">
        <v>97.5</v>
      </c>
      <c r="AB706">
        <v>14.7</v>
      </c>
      <c r="AD706">
        <v>40</v>
      </c>
      <c r="AE706">
        <v>57.5</v>
      </c>
      <c r="AV706" t="s">
        <v>649</v>
      </c>
    </row>
    <row r="707" spans="1:48" x14ac:dyDescent="0.35">
      <c r="A707">
        <v>705</v>
      </c>
      <c r="B707">
        <v>46076</v>
      </c>
      <c r="D707" t="s">
        <v>203</v>
      </c>
      <c r="E707" t="s">
        <v>105</v>
      </c>
      <c r="F707" t="s">
        <v>188</v>
      </c>
      <c r="G707" t="s">
        <v>189</v>
      </c>
      <c r="H707" t="s">
        <v>108</v>
      </c>
      <c r="I707" t="s">
        <v>109</v>
      </c>
      <c r="J707" t="s">
        <v>110</v>
      </c>
      <c r="K707" t="s">
        <v>202</v>
      </c>
      <c r="L707">
        <v>28</v>
      </c>
      <c r="M707">
        <v>69</v>
      </c>
      <c r="N707">
        <v>3</v>
      </c>
      <c r="O707">
        <v>2</v>
      </c>
      <c r="P707">
        <v>124</v>
      </c>
      <c r="Q707">
        <v>0.50009999999999999</v>
      </c>
      <c r="R707">
        <v>482.5982501749823</v>
      </c>
      <c r="S707">
        <v>206.09825017498224</v>
      </c>
      <c r="T707">
        <v>0.35347222222222224</v>
      </c>
      <c r="U707">
        <v>40</v>
      </c>
      <c r="V707">
        <v>0.71111111111111114</v>
      </c>
      <c r="W707">
        <v>80.5</v>
      </c>
      <c r="X707">
        <v>13.4</v>
      </c>
      <c r="Y707">
        <v>39.5</v>
      </c>
      <c r="Z707">
        <v>0.3888888888888889</v>
      </c>
      <c r="AA707">
        <v>95.5</v>
      </c>
      <c r="AB707">
        <v>14.6</v>
      </c>
      <c r="AD707">
        <v>40.5</v>
      </c>
      <c r="AE707">
        <v>56</v>
      </c>
      <c r="AV707" t="s">
        <v>649</v>
      </c>
    </row>
    <row r="708" spans="1:48" x14ac:dyDescent="0.35">
      <c r="A708">
        <v>706</v>
      </c>
      <c r="B708">
        <v>46076</v>
      </c>
      <c r="D708" t="s">
        <v>205</v>
      </c>
      <c r="E708" t="s">
        <v>105</v>
      </c>
      <c r="F708" t="s">
        <v>188</v>
      </c>
      <c r="G708" t="s">
        <v>189</v>
      </c>
      <c r="H708" t="s">
        <v>108</v>
      </c>
      <c r="I708" t="s">
        <v>109</v>
      </c>
      <c r="J708" t="s">
        <v>110</v>
      </c>
      <c r="K708" t="s">
        <v>204</v>
      </c>
      <c r="L708">
        <v>28</v>
      </c>
      <c r="M708">
        <v>69</v>
      </c>
      <c r="N708">
        <v>3</v>
      </c>
      <c r="O708">
        <v>1</v>
      </c>
      <c r="P708">
        <v>125</v>
      </c>
      <c r="Q708">
        <v>0.50029999999999997</v>
      </c>
      <c r="R708">
        <v>484.62419758787797</v>
      </c>
      <c r="S708">
        <v>51.124197587878086</v>
      </c>
      <c r="T708">
        <v>0.35416666666666669</v>
      </c>
      <c r="U708">
        <v>40.5</v>
      </c>
      <c r="V708">
        <v>0.71111111111111114</v>
      </c>
      <c r="W708">
        <v>79.5</v>
      </c>
      <c r="X708">
        <v>13.7</v>
      </c>
      <c r="Y708">
        <v>40</v>
      </c>
      <c r="Z708">
        <v>0.39027777777777778</v>
      </c>
      <c r="AA708">
        <v>97</v>
      </c>
      <c r="AB708">
        <v>15.1</v>
      </c>
      <c r="AV708" t="s">
        <v>629</v>
      </c>
    </row>
    <row r="709" spans="1:48" x14ac:dyDescent="0.35">
      <c r="A709">
        <v>707</v>
      </c>
      <c r="B709">
        <v>46076</v>
      </c>
      <c r="D709" t="s">
        <v>205</v>
      </c>
      <c r="E709" t="s">
        <v>105</v>
      </c>
      <c r="F709" t="s">
        <v>188</v>
      </c>
      <c r="G709" t="s">
        <v>189</v>
      </c>
      <c r="H709" t="s">
        <v>108</v>
      </c>
      <c r="I709" t="s">
        <v>109</v>
      </c>
      <c r="J709" t="s">
        <v>110</v>
      </c>
      <c r="K709" t="s">
        <v>204</v>
      </c>
      <c r="L709">
        <v>28</v>
      </c>
      <c r="M709">
        <v>69</v>
      </c>
      <c r="N709">
        <v>3</v>
      </c>
      <c r="O709">
        <v>2</v>
      </c>
      <c r="P709">
        <v>126</v>
      </c>
      <c r="Q709">
        <v>0.50009999999999999</v>
      </c>
      <c r="R709">
        <v>484.4304641489062</v>
      </c>
      <c r="S709">
        <v>147.83046414890617</v>
      </c>
      <c r="T709">
        <v>0.35416666666666669</v>
      </c>
      <c r="U709">
        <v>40.5</v>
      </c>
      <c r="V709">
        <v>0.71180555555555558</v>
      </c>
      <c r="W709">
        <v>79</v>
      </c>
      <c r="X709">
        <v>13.7</v>
      </c>
      <c r="Y709">
        <v>40</v>
      </c>
      <c r="Z709">
        <v>0.38958333333333334</v>
      </c>
      <c r="AA709">
        <v>98</v>
      </c>
      <c r="AB709">
        <v>14.8</v>
      </c>
      <c r="AV709" t="s">
        <v>629</v>
      </c>
    </row>
    <row r="710" spans="1:48" x14ac:dyDescent="0.35">
      <c r="A710">
        <v>708</v>
      </c>
      <c r="B710">
        <v>46076</v>
      </c>
      <c r="D710" t="s">
        <v>207</v>
      </c>
      <c r="E710" t="s">
        <v>105</v>
      </c>
      <c r="F710" t="s">
        <v>188</v>
      </c>
      <c r="G710" t="s">
        <v>189</v>
      </c>
      <c r="H710" t="s">
        <v>108</v>
      </c>
      <c r="I710" t="s">
        <v>109</v>
      </c>
      <c r="J710" t="s">
        <v>110</v>
      </c>
      <c r="K710" t="s">
        <v>206</v>
      </c>
      <c r="L710">
        <v>28</v>
      </c>
      <c r="M710">
        <v>69</v>
      </c>
      <c r="N710">
        <v>3</v>
      </c>
      <c r="O710">
        <v>1</v>
      </c>
      <c r="P710">
        <v>127</v>
      </c>
      <c r="Q710">
        <v>0.50019999999999998</v>
      </c>
      <c r="R710">
        <v>488.47208767769672</v>
      </c>
      <c r="S710">
        <v>80.472087677696663</v>
      </c>
      <c r="T710">
        <v>0.35416666666666669</v>
      </c>
      <c r="U710">
        <v>40</v>
      </c>
      <c r="V710">
        <v>0.71180555555555558</v>
      </c>
      <c r="W710">
        <v>80</v>
      </c>
      <c r="X710">
        <v>13.3</v>
      </c>
      <c r="Y710">
        <v>39.5</v>
      </c>
      <c r="Z710">
        <v>0.38958333333333334</v>
      </c>
      <c r="AA710">
        <v>91.5</v>
      </c>
      <c r="AB710">
        <v>14.9</v>
      </c>
      <c r="AD710">
        <v>40</v>
      </c>
      <c r="AE710">
        <v>52</v>
      </c>
      <c r="AV710" t="s">
        <v>629</v>
      </c>
    </row>
    <row r="711" spans="1:48" x14ac:dyDescent="0.35">
      <c r="A711">
        <v>709</v>
      </c>
      <c r="B711">
        <v>46076</v>
      </c>
      <c r="D711" t="s">
        <v>207</v>
      </c>
      <c r="E711" t="s">
        <v>105</v>
      </c>
      <c r="F711" t="s">
        <v>188</v>
      </c>
      <c r="G711" t="s">
        <v>189</v>
      </c>
      <c r="H711" t="s">
        <v>108</v>
      </c>
      <c r="I711" t="s">
        <v>109</v>
      </c>
      <c r="J711" t="s">
        <v>110</v>
      </c>
      <c r="K711" t="s">
        <v>206</v>
      </c>
      <c r="L711">
        <v>28</v>
      </c>
      <c r="M711">
        <v>69</v>
      </c>
      <c r="N711">
        <v>3</v>
      </c>
      <c r="O711">
        <v>2</v>
      </c>
      <c r="P711">
        <v>128</v>
      </c>
      <c r="Q711">
        <v>0.50019999999999998</v>
      </c>
      <c r="R711">
        <v>488.47208767769672</v>
      </c>
      <c r="S711">
        <v>182.07208767769674</v>
      </c>
      <c r="T711">
        <v>0.35486111111111113</v>
      </c>
      <c r="U711">
        <v>41</v>
      </c>
      <c r="V711">
        <v>0.71250000000000002</v>
      </c>
      <c r="W711">
        <v>78.5</v>
      </c>
      <c r="X711">
        <v>13.6</v>
      </c>
      <c r="Y711">
        <v>40</v>
      </c>
      <c r="Z711">
        <v>0.39027777777777778</v>
      </c>
      <c r="AA711">
        <v>93</v>
      </c>
      <c r="AB711">
        <v>14.9</v>
      </c>
      <c r="AD711">
        <v>37.5</v>
      </c>
      <c r="AE711">
        <v>53</v>
      </c>
      <c r="AV711" t="s">
        <v>629</v>
      </c>
    </row>
    <row r="712" spans="1:48" x14ac:dyDescent="0.35">
      <c r="A712">
        <v>710</v>
      </c>
      <c r="B712">
        <v>46076</v>
      </c>
      <c r="D712" t="s">
        <v>209</v>
      </c>
      <c r="E712" t="s">
        <v>105</v>
      </c>
      <c r="F712" t="s">
        <v>188</v>
      </c>
      <c r="G712" t="s">
        <v>189</v>
      </c>
      <c r="H712" t="s">
        <v>108</v>
      </c>
      <c r="I712" t="s">
        <v>109</v>
      </c>
      <c r="J712" t="s">
        <v>110</v>
      </c>
      <c r="K712" t="s">
        <v>208</v>
      </c>
      <c r="L712">
        <v>28</v>
      </c>
      <c r="M712">
        <v>69</v>
      </c>
      <c r="N712">
        <v>3</v>
      </c>
      <c r="O712">
        <v>1</v>
      </c>
      <c r="P712">
        <v>129</v>
      </c>
      <c r="Q712">
        <v>0.50029999999999997</v>
      </c>
      <c r="R712">
        <v>482.92232330300902</v>
      </c>
      <c r="S712">
        <v>201.52232330300905</v>
      </c>
      <c r="T712">
        <v>0.35486111111111113</v>
      </c>
      <c r="U712">
        <v>41</v>
      </c>
      <c r="V712">
        <v>0.71319444444444446</v>
      </c>
      <c r="W712">
        <v>81.5</v>
      </c>
      <c r="X712">
        <v>13.9</v>
      </c>
      <c r="Y712">
        <v>40</v>
      </c>
      <c r="Z712">
        <v>0.39097222222222222</v>
      </c>
      <c r="AA712">
        <v>95.5</v>
      </c>
      <c r="AB712">
        <v>15.2</v>
      </c>
    </row>
    <row r="713" spans="1:48" x14ac:dyDescent="0.35">
      <c r="A713">
        <v>711</v>
      </c>
      <c r="B713">
        <v>46076</v>
      </c>
      <c r="D713" t="s">
        <v>209</v>
      </c>
      <c r="E713" t="s">
        <v>105</v>
      </c>
      <c r="F713" t="s">
        <v>188</v>
      </c>
      <c r="G713" t="s">
        <v>189</v>
      </c>
      <c r="H713" t="s">
        <v>108</v>
      </c>
      <c r="I713" t="s">
        <v>109</v>
      </c>
      <c r="J713" t="s">
        <v>110</v>
      </c>
      <c r="K713" t="s">
        <v>208</v>
      </c>
      <c r="L713">
        <v>28</v>
      </c>
      <c r="M713">
        <v>69</v>
      </c>
      <c r="N713">
        <v>3</v>
      </c>
      <c r="O713">
        <v>2</v>
      </c>
      <c r="P713">
        <v>130</v>
      </c>
      <c r="Q713">
        <v>0.50009999999999999</v>
      </c>
      <c r="R713">
        <v>482.72927020554636</v>
      </c>
      <c r="S713">
        <v>55.429270205546345</v>
      </c>
      <c r="T713">
        <v>0.35486111111111113</v>
      </c>
      <c r="U713">
        <v>40.5</v>
      </c>
      <c r="V713">
        <v>0.71319444444444446</v>
      </c>
      <c r="W713">
        <v>80</v>
      </c>
      <c r="X713">
        <v>13.7</v>
      </c>
      <c r="Y713">
        <v>40</v>
      </c>
      <c r="Z713">
        <v>0.39097222222222222</v>
      </c>
      <c r="AA713">
        <v>95.5</v>
      </c>
      <c r="AB713">
        <v>15.1</v>
      </c>
      <c r="AD713">
        <v>39.5</v>
      </c>
      <c r="AE713">
        <v>55.5</v>
      </c>
      <c r="AF713">
        <v>36.107474101643646</v>
      </c>
      <c r="AG713">
        <v>51.185592064046816</v>
      </c>
      <c r="AH713">
        <v>87.293066165690462</v>
      </c>
      <c r="AI713">
        <v>4.9467239519251791</v>
      </c>
      <c r="AJ713">
        <v>7.7290244016710687</v>
      </c>
      <c r="AK713">
        <v>12.675748353596248</v>
      </c>
      <c r="AL713">
        <v>180.83234548532977</v>
      </c>
      <c r="AM713">
        <v>11.482475504736751</v>
      </c>
      <c r="AN713">
        <v>0.63497907268300524</v>
      </c>
      <c r="AO713">
        <v>13.7</v>
      </c>
      <c r="AP713">
        <v>14.520910892895529</v>
      </c>
      <c r="AQ713">
        <v>26.258503753457727</v>
      </c>
      <c r="AR713">
        <v>228.68329867218586</v>
      </c>
      <c r="AS713">
        <v>-0.39170966785314121</v>
      </c>
      <c r="AT713">
        <v>14.573923882541935</v>
      </c>
      <c r="AU713">
        <v>126.92318722151768</v>
      </c>
    </row>
    <row r="714" spans="1:48" x14ac:dyDescent="0.35">
      <c r="A714">
        <v>712</v>
      </c>
      <c r="B714">
        <v>46076</v>
      </c>
      <c r="C714" t="s">
        <v>16</v>
      </c>
      <c r="D714" t="s">
        <v>211</v>
      </c>
      <c r="E714" t="s">
        <v>212</v>
      </c>
      <c r="F714" t="s">
        <v>213</v>
      </c>
      <c r="G714" t="s">
        <v>214</v>
      </c>
      <c r="H714" t="s">
        <v>22</v>
      </c>
      <c r="I714" t="s">
        <v>23</v>
      </c>
      <c r="J714" t="s">
        <v>24</v>
      </c>
      <c r="K714" t="s">
        <v>210</v>
      </c>
      <c r="L714">
        <v>28</v>
      </c>
      <c r="M714">
        <v>69</v>
      </c>
      <c r="N714">
        <v>3</v>
      </c>
      <c r="O714">
        <v>1</v>
      </c>
      <c r="P714">
        <v>131</v>
      </c>
      <c r="Q714">
        <v>0.50009999999999999</v>
      </c>
      <c r="R714">
        <v>458.47500208341705</v>
      </c>
      <c r="S714">
        <v>148.57500208341696</v>
      </c>
      <c r="T714">
        <v>0.35555555555555557</v>
      </c>
      <c r="U714">
        <v>40.5</v>
      </c>
      <c r="V714">
        <v>0.71388888888888891</v>
      </c>
      <c r="W714">
        <v>76.5</v>
      </c>
      <c r="X714">
        <v>13.9</v>
      </c>
      <c r="Y714">
        <v>39.5</v>
      </c>
      <c r="Z714">
        <v>0.39166666666666666</v>
      </c>
      <c r="AA714">
        <v>76</v>
      </c>
      <c r="AB714">
        <v>16.8</v>
      </c>
      <c r="AD714">
        <v>36</v>
      </c>
      <c r="AE714">
        <v>36.5</v>
      </c>
      <c r="AF714">
        <v>32.607474101643646</v>
      </c>
      <c r="AG714">
        <v>32.185592064046816</v>
      </c>
      <c r="AH714">
        <v>64.793066165690462</v>
      </c>
      <c r="AI714">
        <v>4.5324389001284668</v>
      </c>
      <c r="AJ714">
        <v>5.4071794667598656</v>
      </c>
      <c r="AK714">
        <v>9.9396183668883324</v>
      </c>
      <c r="AL714">
        <v>141.32300751677997</v>
      </c>
      <c r="AM714">
        <v>32.406347436230462</v>
      </c>
      <c r="AN714">
        <v>2.2930694729506582</v>
      </c>
      <c r="AO714">
        <v>13.9</v>
      </c>
      <c r="AP714">
        <v>15.340558728106014</v>
      </c>
      <c r="AQ714">
        <v>21.679738964437309</v>
      </c>
      <c r="AR714">
        <v>66.899668366201766</v>
      </c>
      <c r="AS714">
        <v>-0.46337162001324461</v>
      </c>
      <c r="AT714">
        <v>12.03263020725171</v>
      </c>
      <c r="AU714">
        <v>37.130473376950746</v>
      </c>
    </row>
    <row r="715" spans="1:48" x14ac:dyDescent="0.35">
      <c r="A715">
        <v>713</v>
      </c>
      <c r="B715">
        <v>46076</v>
      </c>
      <c r="C715" t="s">
        <v>16</v>
      </c>
      <c r="D715" t="s">
        <v>211</v>
      </c>
      <c r="E715" t="s">
        <v>212</v>
      </c>
      <c r="F715" t="s">
        <v>213</v>
      </c>
      <c r="G715" t="s">
        <v>214</v>
      </c>
      <c r="H715" t="s">
        <v>22</v>
      </c>
      <c r="I715" t="s">
        <v>23</v>
      </c>
      <c r="J715" t="s">
        <v>24</v>
      </c>
      <c r="K715" t="s">
        <v>210</v>
      </c>
      <c r="L715">
        <v>28</v>
      </c>
      <c r="M715">
        <v>69</v>
      </c>
      <c r="N715">
        <v>3</v>
      </c>
      <c r="O715">
        <v>2</v>
      </c>
      <c r="P715">
        <v>132</v>
      </c>
      <c r="Q715">
        <v>0.5</v>
      </c>
      <c r="R715">
        <v>458.38332541833336</v>
      </c>
      <c r="S715">
        <v>30.183325418333425</v>
      </c>
      <c r="T715">
        <v>0.35555555555555557</v>
      </c>
      <c r="U715">
        <v>42</v>
      </c>
      <c r="V715">
        <v>0.71388888888888891</v>
      </c>
      <c r="W715">
        <v>76</v>
      </c>
      <c r="X715">
        <v>14.3</v>
      </c>
      <c r="Y715">
        <v>40</v>
      </c>
      <c r="Z715">
        <v>0.3923611111111111</v>
      </c>
      <c r="AA715">
        <v>78</v>
      </c>
      <c r="AB715">
        <v>16.600000000000001</v>
      </c>
      <c r="AD715">
        <v>34</v>
      </c>
      <c r="AE715">
        <v>38</v>
      </c>
      <c r="AV715" t="s">
        <v>655</v>
      </c>
    </row>
    <row r="716" spans="1:48" x14ac:dyDescent="0.35">
      <c r="A716">
        <v>714</v>
      </c>
      <c r="B716">
        <v>46076</v>
      </c>
      <c r="C716" t="s">
        <v>120</v>
      </c>
      <c r="D716" t="s">
        <v>122</v>
      </c>
      <c r="E716" t="s">
        <v>123</v>
      </c>
      <c r="F716" t="s">
        <v>545</v>
      </c>
      <c r="G716" t="s">
        <v>125</v>
      </c>
      <c r="H716" t="s">
        <v>108</v>
      </c>
      <c r="I716" t="s">
        <v>109</v>
      </c>
      <c r="J716" t="s">
        <v>110</v>
      </c>
      <c r="K716" t="s">
        <v>121</v>
      </c>
      <c r="L716">
        <v>28</v>
      </c>
      <c r="M716">
        <v>69</v>
      </c>
      <c r="N716">
        <v>3</v>
      </c>
      <c r="O716">
        <v>1</v>
      </c>
      <c r="P716">
        <v>133</v>
      </c>
      <c r="Q716">
        <v>0.5</v>
      </c>
      <c r="R716">
        <v>467.75</v>
      </c>
      <c r="S716">
        <v>45.449999999999989</v>
      </c>
      <c r="T716">
        <v>0.35555555555555557</v>
      </c>
      <c r="U716">
        <v>41</v>
      </c>
      <c r="V716">
        <v>0.71458333333333335</v>
      </c>
      <c r="W716">
        <v>65</v>
      </c>
      <c r="X716">
        <v>14.4</v>
      </c>
      <c r="Y716">
        <v>40</v>
      </c>
      <c r="Z716">
        <v>0.3923611111111111</v>
      </c>
      <c r="AA716">
        <v>84</v>
      </c>
      <c r="AB716">
        <v>15.8</v>
      </c>
      <c r="AD716">
        <v>24</v>
      </c>
      <c r="AE716">
        <v>44</v>
      </c>
      <c r="AV716" t="s">
        <v>656</v>
      </c>
    </row>
    <row r="717" spans="1:48" x14ac:dyDescent="0.35">
      <c r="A717">
        <v>715</v>
      </c>
      <c r="B717">
        <v>46076</v>
      </c>
      <c r="C717" t="s">
        <v>120</v>
      </c>
      <c r="D717" t="s">
        <v>122</v>
      </c>
      <c r="E717" t="s">
        <v>123</v>
      </c>
      <c r="F717" t="s">
        <v>545</v>
      </c>
      <c r="G717" t="s">
        <v>125</v>
      </c>
      <c r="H717" t="s">
        <v>108</v>
      </c>
      <c r="I717" t="s">
        <v>109</v>
      </c>
      <c r="J717" t="s">
        <v>110</v>
      </c>
      <c r="K717" t="s">
        <v>121</v>
      </c>
      <c r="L717">
        <v>28</v>
      </c>
      <c r="M717">
        <v>69</v>
      </c>
      <c r="N717">
        <v>3</v>
      </c>
      <c r="O717">
        <v>2</v>
      </c>
      <c r="P717">
        <v>134</v>
      </c>
      <c r="Q717">
        <v>0.5</v>
      </c>
      <c r="R717">
        <v>467.75</v>
      </c>
      <c r="S717">
        <v>113.25000000000006</v>
      </c>
      <c r="T717">
        <v>0.35555555555555557</v>
      </c>
      <c r="U717">
        <v>41</v>
      </c>
      <c r="V717">
        <v>0.71527777777777779</v>
      </c>
      <c r="W717">
        <v>64.5</v>
      </c>
      <c r="X717">
        <v>14.5</v>
      </c>
      <c r="Y717">
        <v>40.5</v>
      </c>
      <c r="Z717">
        <v>0.39305555555555555</v>
      </c>
      <c r="AA717">
        <v>83</v>
      </c>
      <c r="AB717">
        <v>16</v>
      </c>
      <c r="AD717">
        <v>23.5</v>
      </c>
      <c r="AE717">
        <v>42.5</v>
      </c>
      <c r="AF717">
        <v>20.107474101643646</v>
      </c>
      <c r="AG717">
        <v>38.185592064046816</v>
      </c>
      <c r="AH717">
        <v>58.293066165690462</v>
      </c>
      <c r="AI717">
        <v>2.9155837447383286</v>
      </c>
      <c r="AJ717">
        <v>6.1096947302474902</v>
      </c>
      <c r="AK717">
        <v>9.0252784749858179</v>
      </c>
      <c r="AL717">
        <v>124.62440655412178</v>
      </c>
      <c r="AM717">
        <v>24.211651523249611</v>
      </c>
      <c r="AN717">
        <v>1.9427696542518738</v>
      </c>
      <c r="AO717">
        <v>14.5</v>
      </c>
      <c r="AP717">
        <v>15.48259350320094</v>
      </c>
      <c r="AQ717">
        <v>19.295090272551189</v>
      </c>
      <c r="AR717">
        <v>79.69340816764516</v>
      </c>
      <c r="AS717">
        <v>22.038194608673884</v>
      </c>
      <c r="AT717">
        <v>10.709108926357128</v>
      </c>
      <c r="AU717">
        <v>44.231220311731079</v>
      </c>
    </row>
    <row r="718" spans="1:48" x14ac:dyDescent="0.35">
      <c r="A718">
        <v>716</v>
      </c>
      <c r="B718">
        <v>46076</v>
      </c>
      <c r="C718" t="s">
        <v>16</v>
      </c>
      <c r="D718" t="s">
        <v>564</v>
      </c>
      <c r="E718" t="s">
        <v>538</v>
      </c>
      <c r="F718">
        <v>8</v>
      </c>
      <c r="G718" t="s">
        <v>564</v>
      </c>
      <c r="K718" t="s">
        <v>543</v>
      </c>
      <c r="L718">
        <v>28</v>
      </c>
      <c r="M718">
        <v>69</v>
      </c>
      <c r="N718">
        <v>3</v>
      </c>
      <c r="O718">
        <v>1</v>
      </c>
      <c r="P718">
        <v>135</v>
      </c>
      <c r="S718">
        <v>0</v>
      </c>
      <c r="T718">
        <v>0.35625000000000001</v>
      </c>
      <c r="U718">
        <v>40</v>
      </c>
      <c r="V718">
        <v>0.71527777777777779</v>
      </c>
      <c r="W718">
        <v>42</v>
      </c>
      <c r="AD718">
        <v>2</v>
      </c>
    </row>
    <row r="719" spans="1:48" x14ac:dyDescent="0.35">
      <c r="A719">
        <v>717</v>
      </c>
      <c r="B719">
        <v>46076</v>
      </c>
      <c r="C719" t="s">
        <v>16</v>
      </c>
      <c r="D719" t="s">
        <v>564</v>
      </c>
      <c r="E719" t="s">
        <v>538</v>
      </c>
      <c r="F719">
        <v>8</v>
      </c>
      <c r="G719" t="s">
        <v>564</v>
      </c>
      <c r="K719" t="s">
        <v>543</v>
      </c>
      <c r="L719">
        <v>28</v>
      </c>
      <c r="M719">
        <v>69</v>
      </c>
      <c r="N719">
        <v>3</v>
      </c>
      <c r="O719">
        <v>2</v>
      </c>
      <c r="P719">
        <v>136</v>
      </c>
      <c r="S719">
        <v>0</v>
      </c>
      <c r="T719">
        <v>0.35625000000000001</v>
      </c>
      <c r="U719">
        <v>39.5</v>
      </c>
      <c r="V719">
        <v>0.71597222222222223</v>
      </c>
      <c r="W719">
        <v>41.5</v>
      </c>
      <c r="AD719">
        <v>2</v>
      </c>
    </row>
    <row r="720" spans="1:48" x14ac:dyDescent="0.35">
      <c r="A720">
        <v>718</v>
      </c>
      <c r="B720">
        <v>46076</v>
      </c>
      <c r="C720" t="s">
        <v>16</v>
      </c>
      <c r="D720" t="s">
        <v>218</v>
      </c>
      <c r="E720" t="s">
        <v>219</v>
      </c>
      <c r="F720" t="s">
        <v>220</v>
      </c>
      <c r="G720" t="s">
        <v>221</v>
      </c>
      <c r="H720" t="s">
        <v>22</v>
      </c>
      <c r="I720" t="s">
        <v>23</v>
      </c>
      <c r="J720" t="s">
        <v>24</v>
      </c>
      <c r="K720" t="s">
        <v>217</v>
      </c>
      <c r="L720">
        <v>28</v>
      </c>
      <c r="M720">
        <v>69</v>
      </c>
      <c r="N720">
        <v>3</v>
      </c>
      <c r="O720">
        <v>1</v>
      </c>
      <c r="P720">
        <v>137</v>
      </c>
      <c r="Q720">
        <v>0.50019999999999998</v>
      </c>
      <c r="R720">
        <v>459.86700000000008</v>
      </c>
      <c r="S720">
        <v>254.36700000000005</v>
      </c>
      <c r="T720">
        <v>0.3576388888888889</v>
      </c>
      <c r="U720">
        <v>41.5</v>
      </c>
      <c r="V720">
        <v>0.71597222222222223</v>
      </c>
      <c r="W720">
        <v>72.5</v>
      </c>
      <c r="X720">
        <v>11.2</v>
      </c>
      <c r="Y720">
        <v>38.5</v>
      </c>
      <c r="Z720">
        <v>0.39305555555555555</v>
      </c>
      <c r="AA720">
        <v>81</v>
      </c>
      <c r="AB720">
        <v>16.100000000000001</v>
      </c>
      <c r="AD720">
        <v>31</v>
      </c>
      <c r="AE720">
        <v>42.5</v>
      </c>
      <c r="AF720">
        <v>27.607474101643646</v>
      </c>
      <c r="AG720">
        <v>38.185592064046816</v>
      </c>
      <c r="AH720">
        <v>65.793066165690462</v>
      </c>
      <c r="AI720">
        <v>3.092037099384088</v>
      </c>
      <c r="AJ720">
        <v>6.1478803223115372</v>
      </c>
      <c r="AK720">
        <v>9.2399174216956261</v>
      </c>
      <c r="AL720">
        <v>143.06977053298118</v>
      </c>
      <c r="AM720">
        <v>55.313166632961277</v>
      </c>
      <c r="AN720">
        <v>3.8661672851575726</v>
      </c>
      <c r="AO720">
        <v>11.199999999999998</v>
      </c>
      <c r="AP720">
        <v>14.043907603312196</v>
      </c>
      <c r="AQ720">
        <v>20.092586381922651</v>
      </c>
      <c r="AR720">
        <v>36.325142104501069</v>
      </c>
      <c r="AS720">
        <v>-1.5667789515242474</v>
      </c>
      <c r="AT720">
        <v>11.151733064568838</v>
      </c>
      <c r="AU720">
        <v>20.161082330664264</v>
      </c>
    </row>
    <row r="721" spans="1:48" x14ac:dyDescent="0.35">
      <c r="A721">
        <v>719</v>
      </c>
      <c r="B721">
        <v>46076</v>
      </c>
      <c r="C721" t="s">
        <v>16</v>
      </c>
      <c r="D721" t="s">
        <v>218</v>
      </c>
      <c r="E721" t="s">
        <v>219</v>
      </c>
      <c r="F721" t="s">
        <v>220</v>
      </c>
      <c r="G721" t="s">
        <v>221</v>
      </c>
      <c r="H721" t="s">
        <v>22</v>
      </c>
      <c r="I721" t="s">
        <v>23</v>
      </c>
      <c r="J721" t="s">
        <v>24</v>
      </c>
      <c r="K721" t="s">
        <v>217</v>
      </c>
      <c r="L721">
        <v>28</v>
      </c>
      <c r="M721">
        <v>69</v>
      </c>
      <c r="N721">
        <v>3</v>
      </c>
      <c r="O721">
        <v>2</v>
      </c>
      <c r="P721">
        <v>138</v>
      </c>
      <c r="Q721">
        <v>0.50009999999999999</v>
      </c>
      <c r="R721">
        <v>459.77506337465019</v>
      </c>
      <c r="S721">
        <v>217.57506337465011</v>
      </c>
      <c r="T721">
        <v>0.3576388888888889</v>
      </c>
      <c r="U721">
        <v>40.5</v>
      </c>
      <c r="V721">
        <v>0.71736111111111112</v>
      </c>
      <c r="W721">
        <v>74</v>
      </c>
      <c r="X721">
        <v>11.6</v>
      </c>
      <c r="Y721">
        <v>40</v>
      </c>
      <c r="Z721">
        <v>0.39374999999999999</v>
      </c>
      <c r="AA721">
        <v>86</v>
      </c>
      <c r="AB721">
        <v>15.9</v>
      </c>
      <c r="AD721">
        <v>33.5</v>
      </c>
      <c r="AE721">
        <v>46</v>
      </c>
      <c r="AF721">
        <v>30.107474101643646</v>
      </c>
      <c r="AG721">
        <v>41.685592064046816</v>
      </c>
      <c r="AH721">
        <v>71.793066165690462</v>
      </c>
      <c r="AI721">
        <v>3.4924669957906627</v>
      </c>
      <c r="AJ721">
        <v>6.6280091381834438</v>
      </c>
      <c r="AK721">
        <v>10.120476133974107</v>
      </c>
      <c r="AL721">
        <v>156.14823831189273</v>
      </c>
      <c r="AM721">
        <v>47.322066964157621</v>
      </c>
      <c r="AN721">
        <v>3.0305860300284557</v>
      </c>
      <c r="AO721">
        <v>11.6</v>
      </c>
      <c r="AP721">
        <v>14.096732002805348</v>
      </c>
      <c r="AQ721">
        <v>22.011798681929346</v>
      </c>
      <c r="AR721">
        <v>46.514871589614593</v>
      </c>
      <c r="AS721">
        <v>-0.40751772991191498</v>
      </c>
      <c r="AT721">
        <v>12.216929095437601</v>
      </c>
      <c r="AU721">
        <v>25.816558487799927</v>
      </c>
    </row>
    <row r="722" spans="1:48" x14ac:dyDescent="0.35">
      <c r="A722">
        <v>720</v>
      </c>
      <c r="B722">
        <v>46076</v>
      </c>
      <c r="C722" t="s">
        <v>16</v>
      </c>
      <c r="D722" t="s">
        <v>223</v>
      </c>
      <c r="E722" t="s">
        <v>219</v>
      </c>
      <c r="F722" t="s">
        <v>220</v>
      </c>
      <c r="G722" t="s">
        <v>221</v>
      </c>
      <c r="H722" t="s">
        <v>22</v>
      </c>
      <c r="I722" t="s">
        <v>23</v>
      </c>
      <c r="J722" t="s">
        <v>24</v>
      </c>
      <c r="K722" t="s">
        <v>222</v>
      </c>
      <c r="L722">
        <v>28</v>
      </c>
      <c r="M722">
        <v>69</v>
      </c>
      <c r="N722">
        <v>3</v>
      </c>
      <c r="O722">
        <v>1</v>
      </c>
      <c r="P722">
        <v>139</v>
      </c>
      <c r="Q722">
        <v>0.50019999999999998</v>
      </c>
      <c r="R722">
        <v>457.32713643178403</v>
      </c>
      <c r="S722">
        <v>280.52713643178407</v>
      </c>
      <c r="T722">
        <v>0.3576388888888889</v>
      </c>
      <c r="U722">
        <v>41</v>
      </c>
      <c r="V722">
        <v>0.71736111111111112</v>
      </c>
      <c r="W722">
        <v>85.5</v>
      </c>
      <c r="X722">
        <v>12.6</v>
      </c>
      <c r="Y722">
        <v>40</v>
      </c>
      <c r="Z722">
        <v>0.39444444444444443</v>
      </c>
      <c r="AA722">
        <v>89</v>
      </c>
      <c r="AB722">
        <v>16.8</v>
      </c>
      <c r="AD722">
        <v>44.5</v>
      </c>
      <c r="AE722">
        <v>49</v>
      </c>
      <c r="AF722">
        <v>42.656235924806332</v>
      </c>
      <c r="AG722">
        <v>46.676857265255975</v>
      </c>
      <c r="AH722">
        <v>89.3330931900623</v>
      </c>
      <c r="AI722">
        <v>5.3746857265255974</v>
      </c>
      <c r="AJ722">
        <v>7.841712020563004</v>
      </c>
      <c r="AK722">
        <v>13.216397747088601</v>
      </c>
      <c r="AL722">
        <v>195.33739870996575</v>
      </c>
      <c r="AM722">
        <v>61.340584033685076</v>
      </c>
      <c r="AN722">
        <v>3.1402375806571849</v>
      </c>
      <c r="AO722">
        <v>12.6</v>
      </c>
      <c r="AP722">
        <v>14.794514860209539</v>
      </c>
      <c r="AQ722">
        <v>28.899220479692637</v>
      </c>
      <c r="AR722">
        <v>47.11272469108328</v>
      </c>
      <c r="AS722">
        <v>0.88351318981493965</v>
      </c>
      <c r="AT722">
        <v>16.039567352742903</v>
      </c>
      <c r="AU722">
        <v>26.148377302594319</v>
      </c>
    </row>
    <row r="723" spans="1:48" x14ac:dyDescent="0.35">
      <c r="A723">
        <v>721</v>
      </c>
      <c r="B723">
        <v>46076</v>
      </c>
      <c r="C723" t="s">
        <v>16</v>
      </c>
      <c r="D723" t="s">
        <v>223</v>
      </c>
      <c r="E723" t="s">
        <v>219</v>
      </c>
      <c r="F723" t="s">
        <v>220</v>
      </c>
      <c r="G723" t="s">
        <v>221</v>
      </c>
      <c r="H723" t="s">
        <v>22</v>
      </c>
      <c r="I723" t="s">
        <v>23</v>
      </c>
      <c r="J723" t="s">
        <v>24</v>
      </c>
      <c r="K723" t="s">
        <v>222</v>
      </c>
      <c r="L723">
        <v>28</v>
      </c>
      <c r="M723">
        <v>69</v>
      </c>
      <c r="N723">
        <v>3</v>
      </c>
      <c r="O723">
        <v>2</v>
      </c>
      <c r="P723">
        <v>140</v>
      </c>
      <c r="Q723">
        <v>0.50009999999999999</v>
      </c>
      <c r="R723">
        <v>457.23570757603994</v>
      </c>
      <c r="S723">
        <v>198.13570757603992</v>
      </c>
      <c r="T723">
        <v>0.3576388888888889</v>
      </c>
      <c r="U723">
        <v>40.5</v>
      </c>
      <c r="V723">
        <v>0.71805555555555556</v>
      </c>
      <c r="W723">
        <v>83.5</v>
      </c>
      <c r="X723">
        <v>12.9</v>
      </c>
      <c r="Y723">
        <v>40</v>
      </c>
      <c r="Z723">
        <v>0.39444444444444443</v>
      </c>
      <c r="AA723">
        <v>89.5</v>
      </c>
      <c r="AB723">
        <v>16.8</v>
      </c>
      <c r="AD723">
        <v>43</v>
      </c>
      <c r="AE723">
        <v>49.5</v>
      </c>
      <c r="AF723">
        <v>41.156235924806332</v>
      </c>
      <c r="AG723">
        <v>47.176857265255975</v>
      </c>
      <c r="AH723">
        <v>88.3330931900623</v>
      </c>
      <c r="AI723">
        <v>5.3091544343000168</v>
      </c>
      <c r="AJ723">
        <v>7.9257120205630045</v>
      </c>
      <c r="AK723">
        <v>13.23486645486302</v>
      </c>
      <c r="AL723">
        <v>193.18940259138049</v>
      </c>
      <c r="AM723">
        <v>43.333384574538997</v>
      </c>
      <c r="AN723">
        <v>2.243051844111474</v>
      </c>
      <c r="AO723">
        <v>12.899999999999999</v>
      </c>
      <c r="AP723">
        <v>14.982908417331386</v>
      </c>
      <c r="AQ723">
        <v>28.945391262256162</v>
      </c>
      <c r="AR723">
        <v>66.796977772337087</v>
      </c>
      <c r="AS723">
        <v>-0.53685828148744907</v>
      </c>
      <c r="AT723">
        <v>16.065192935868126</v>
      </c>
      <c r="AU723">
        <v>37.073478320701973</v>
      </c>
    </row>
    <row r="724" spans="1:48" x14ac:dyDescent="0.35">
      <c r="A724">
        <v>722</v>
      </c>
      <c r="B724">
        <v>46076</v>
      </c>
      <c r="C724" t="s">
        <v>16</v>
      </c>
      <c r="D724" t="s">
        <v>225</v>
      </c>
      <c r="E724" t="s">
        <v>226</v>
      </c>
      <c r="F724" t="s">
        <v>227</v>
      </c>
      <c r="G724" t="s">
        <v>228</v>
      </c>
      <c r="H724" t="s">
        <v>22</v>
      </c>
      <c r="I724" t="s">
        <v>23</v>
      </c>
      <c r="J724" t="s">
        <v>24</v>
      </c>
      <c r="K724" t="s">
        <v>224</v>
      </c>
      <c r="L724">
        <v>28</v>
      </c>
      <c r="M724">
        <v>69</v>
      </c>
      <c r="N724">
        <v>3</v>
      </c>
      <c r="O724">
        <v>1</v>
      </c>
      <c r="P724">
        <v>141</v>
      </c>
      <c r="Q724">
        <v>0.50029999999999997</v>
      </c>
      <c r="R724">
        <v>455.68889039433526</v>
      </c>
      <c r="S724">
        <v>155.58889039433535</v>
      </c>
      <c r="T724">
        <v>0.3576388888888889</v>
      </c>
      <c r="U724">
        <v>41</v>
      </c>
      <c r="V724">
        <v>0.71875</v>
      </c>
      <c r="W724">
        <v>78.5</v>
      </c>
      <c r="X724">
        <v>11.8</v>
      </c>
      <c r="Y724">
        <v>40</v>
      </c>
      <c r="Z724">
        <v>0.39513888888888887</v>
      </c>
      <c r="AA724">
        <v>75</v>
      </c>
      <c r="AB724">
        <v>15.6</v>
      </c>
      <c r="AD724">
        <v>37.5</v>
      </c>
      <c r="AE724">
        <v>35</v>
      </c>
      <c r="AF724">
        <v>35.656235924806332</v>
      </c>
      <c r="AG724">
        <v>32.676857265255975</v>
      </c>
      <c r="AH724">
        <v>68.3330931900623</v>
      </c>
      <c r="AI724">
        <v>4.2074358391271476</v>
      </c>
      <c r="AJ724">
        <v>5.097589733379932</v>
      </c>
      <c r="AK724">
        <v>9.3050255725070805</v>
      </c>
      <c r="AL724">
        <v>149.9555829217814</v>
      </c>
      <c r="AM724">
        <v>34.143665486269555</v>
      </c>
      <c r="AN724">
        <v>2.2769185928928897</v>
      </c>
      <c r="AO724">
        <v>11.8</v>
      </c>
      <c r="AP724">
        <v>13.617158448580684</v>
      </c>
      <c r="AQ724">
        <v>20.419689328951769</v>
      </c>
      <c r="AR724">
        <v>59.805205557567596</v>
      </c>
      <c r="AS724">
        <v>-0.20958960371871979</v>
      </c>
      <c r="AT724">
        <v>11.333280859390532</v>
      </c>
      <c r="AU724">
        <v>33.192923776587691</v>
      </c>
    </row>
    <row r="725" spans="1:48" x14ac:dyDescent="0.35">
      <c r="A725">
        <v>723</v>
      </c>
      <c r="B725">
        <v>46076</v>
      </c>
      <c r="C725" t="s">
        <v>16</v>
      </c>
      <c r="D725" t="s">
        <v>225</v>
      </c>
      <c r="E725" t="s">
        <v>226</v>
      </c>
      <c r="F725" t="s">
        <v>227</v>
      </c>
      <c r="G725" t="s">
        <v>228</v>
      </c>
      <c r="H725" t="s">
        <v>22</v>
      </c>
      <c r="I725" t="s">
        <v>23</v>
      </c>
      <c r="J725" t="s">
        <v>24</v>
      </c>
      <c r="K725" t="s">
        <v>224</v>
      </c>
      <c r="L725">
        <v>28</v>
      </c>
      <c r="M725">
        <v>69</v>
      </c>
      <c r="N725">
        <v>3</v>
      </c>
      <c r="O725">
        <v>2</v>
      </c>
      <c r="P725">
        <v>142</v>
      </c>
      <c r="Q725">
        <v>0.50029999999999997</v>
      </c>
      <c r="R725">
        <v>455.68889039433526</v>
      </c>
      <c r="S725">
        <v>150.88889039433519</v>
      </c>
      <c r="T725">
        <v>0.3576388888888889</v>
      </c>
      <c r="U725">
        <v>41.5</v>
      </c>
      <c r="V725">
        <v>0.71875</v>
      </c>
      <c r="W725">
        <v>78</v>
      </c>
      <c r="X725">
        <v>11.6</v>
      </c>
      <c r="Y725">
        <v>40.5</v>
      </c>
      <c r="Z725">
        <v>0.39513888888888887</v>
      </c>
      <c r="AA725">
        <v>75.5</v>
      </c>
      <c r="AB725">
        <v>15.2</v>
      </c>
      <c r="AD725">
        <v>36.5</v>
      </c>
      <c r="AE725">
        <v>35</v>
      </c>
      <c r="AF725">
        <v>34.656235924806332</v>
      </c>
      <c r="AG725">
        <v>32.676857265255975</v>
      </c>
      <c r="AH725">
        <v>67.3330931900623</v>
      </c>
      <c r="AI725">
        <v>4.0201233672775345</v>
      </c>
      <c r="AJ725">
        <v>4.9668823043189079</v>
      </c>
      <c r="AK725">
        <v>8.9870056715964424</v>
      </c>
      <c r="AL725">
        <v>147.76110326454281</v>
      </c>
      <c r="AM725">
        <v>33.112260047367378</v>
      </c>
      <c r="AN725">
        <v>2.2409321070163593</v>
      </c>
      <c r="AO725">
        <v>11.6</v>
      </c>
      <c r="AP725">
        <v>13.347085728304007</v>
      </c>
      <c r="AQ725">
        <v>19.721801125806337</v>
      </c>
      <c r="AR725">
        <v>59.560419909707548</v>
      </c>
      <c r="AS725">
        <v>-0.19261502302871608</v>
      </c>
      <c r="AT725">
        <v>10.945940832454452</v>
      </c>
      <c r="AU725">
        <v>33.057063506979553</v>
      </c>
    </row>
    <row r="726" spans="1:48" x14ac:dyDescent="0.35">
      <c r="A726">
        <v>724</v>
      </c>
      <c r="B726">
        <v>46076</v>
      </c>
      <c r="C726" t="s">
        <v>16</v>
      </c>
      <c r="D726" t="s">
        <v>230</v>
      </c>
      <c r="E726" t="s">
        <v>226</v>
      </c>
      <c r="F726" t="s">
        <v>231</v>
      </c>
      <c r="G726" t="s">
        <v>232</v>
      </c>
      <c r="H726" t="s">
        <v>22</v>
      </c>
      <c r="I726" t="s">
        <v>23</v>
      </c>
      <c r="J726" t="s">
        <v>24</v>
      </c>
      <c r="K726" t="s">
        <v>229</v>
      </c>
      <c r="L726">
        <v>28</v>
      </c>
      <c r="M726">
        <v>69</v>
      </c>
      <c r="N726">
        <v>3</v>
      </c>
      <c r="O726">
        <v>1</v>
      </c>
      <c r="P726">
        <v>143</v>
      </c>
      <c r="Q726">
        <v>0.5</v>
      </c>
      <c r="R726">
        <v>464.98905795494943</v>
      </c>
      <c r="S726">
        <v>154.88905795494952</v>
      </c>
      <c r="T726">
        <v>0.35833333333333334</v>
      </c>
      <c r="U726">
        <v>41</v>
      </c>
      <c r="V726">
        <v>0.71944444444444444</v>
      </c>
      <c r="W726">
        <v>76</v>
      </c>
      <c r="X726">
        <v>12.5</v>
      </c>
      <c r="Y726">
        <v>40.5</v>
      </c>
      <c r="Z726">
        <v>0.39583333333333331</v>
      </c>
      <c r="AA726">
        <v>82.5</v>
      </c>
      <c r="AB726">
        <v>15.2</v>
      </c>
      <c r="AD726">
        <v>35</v>
      </c>
      <c r="AE726">
        <v>42</v>
      </c>
      <c r="AF726">
        <v>33.156235924806332</v>
      </c>
      <c r="AG726">
        <v>39.676857265255975</v>
      </c>
      <c r="AH726">
        <v>72.8330931900623</v>
      </c>
      <c r="AI726">
        <v>4.1445294906007915</v>
      </c>
      <c r="AJ726">
        <v>6.0308823043189079</v>
      </c>
      <c r="AK726">
        <v>10.1754117949197</v>
      </c>
      <c r="AL726">
        <v>156.63399373393159</v>
      </c>
      <c r="AM726">
        <v>33.310258662034151</v>
      </c>
      <c r="AN726">
        <v>2.1266302331929978</v>
      </c>
      <c r="AO726">
        <v>12.5</v>
      </c>
      <c r="AP726">
        <v>13.970863173923364</v>
      </c>
      <c r="AQ726">
        <v>21.883120948419279</v>
      </c>
      <c r="AR726">
        <v>65.694839450048732</v>
      </c>
      <c r="AS726">
        <v>-0.34317547964116174</v>
      </c>
      <c r="AT726">
        <v>12.145510727081151</v>
      </c>
      <c r="AU726">
        <v>36.461772483694865</v>
      </c>
    </row>
    <row r="727" spans="1:48" x14ac:dyDescent="0.35">
      <c r="A727">
        <v>725</v>
      </c>
      <c r="B727">
        <v>46076</v>
      </c>
      <c r="C727" t="s">
        <v>16</v>
      </c>
      <c r="D727" t="s">
        <v>230</v>
      </c>
      <c r="E727" t="s">
        <v>226</v>
      </c>
      <c r="F727" t="s">
        <v>231</v>
      </c>
      <c r="G727" t="s">
        <v>232</v>
      </c>
      <c r="H727" t="s">
        <v>22</v>
      </c>
      <c r="I727" t="s">
        <v>23</v>
      </c>
      <c r="J727" t="s">
        <v>24</v>
      </c>
      <c r="K727" t="s">
        <v>229</v>
      </c>
      <c r="L727">
        <v>28</v>
      </c>
      <c r="M727">
        <v>69</v>
      </c>
      <c r="N727">
        <v>3</v>
      </c>
      <c r="O727">
        <v>2</v>
      </c>
      <c r="P727">
        <v>144</v>
      </c>
      <c r="Q727">
        <v>0.50009999999999999</v>
      </c>
      <c r="R727">
        <v>465.08205576654046</v>
      </c>
      <c r="S727">
        <v>181.78205576654045</v>
      </c>
      <c r="T727">
        <v>0.35833333333333334</v>
      </c>
      <c r="U727">
        <v>40.5</v>
      </c>
      <c r="V727">
        <v>0.71944444444444444</v>
      </c>
      <c r="W727">
        <v>74.5</v>
      </c>
      <c r="X727">
        <v>12.1</v>
      </c>
      <c r="Y727">
        <v>38.5</v>
      </c>
      <c r="Z727">
        <v>0.39583333333333331</v>
      </c>
      <c r="AA727">
        <v>77.5</v>
      </c>
      <c r="AB727">
        <v>15</v>
      </c>
      <c r="AD727">
        <v>34</v>
      </c>
      <c r="AE727">
        <v>39</v>
      </c>
      <c r="AF727">
        <v>32.156235924806332</v>
      </c>
      <c r="AG727">
        <v>36.676857265255975</v>
      </c>
      <c r="AH727">
        <v>68.8330931900623</v>
      </c>
      <c r="AI727">
        <v>3.8909045469015662</v>
      </c>
      <c r="AJ727">
        <v>5.5015285897883963</v>
      </c>
      <c r="AK727">
        <v>9.3924331366899629</v>
      </c>
      <c r="AL727">
        <v>148.00204036385094</v>
      </c>
      <c r="AM727">
        <v>39.086017942990793</v>
      </c>
      <c r="AN727">
        <v>2.6409107500748643</v>
      </c>
      <c r="AO727">
        <v>12.1</v>
      </c>
      <c r="AP727">
        <v>13.645228917369044</v>
      </c>
      <c r="AQ727">
        <v>20.195217210024396</v>
      </c>
      <c r="AR727">
        <v>51.668648465239613</v>
      </c>
      <c r="AS727">
        <v>-0.50984408692797856</v>
      </c>
      <c r="AT727">
        <v>11.208694949785166</v>
      </c>
      <c r="AU727">
        <v>28.67699381946171</v>
      </c>
    </row>
    <row r="728" spans="1:48" x14ac:dyDescent="0.35">
      <c r="A728">
        <v>726</v>
      </c>
      <c r="B728">
        <v>46076</v>
      </c>
      <c r="C728" t="s">
        <v>16</v>
      </c>
      <c r="D728" t="s">
        <v>234</v>
      </c>
      <c r="E728" t="s">
        <v>235</v>
      </c>
      <c r="F728" t="s">
        <v>236</v>
      </c>
      <c r="G728" t="s">
        <v>237</v>
      </c>
      <c r="H728" t="s">
        <v>22</v>
      </c>
      <c r="I728" t="s">
        <v>23</v>
      </c>
      <c r="J728" t="s">
        <v>24</v>
      </c>
      <c r="K728" t="s">
        <v>233</v>
      </c>
      <c r="L728">
        <v>28</v>
      </c>
      <c r="M728">
        <v>69</v>
      </c>
      <c r="N728">
        <v>3</v>
      </c>
      <c r="O728">
        <v>1</v>
      </c>
      <c r="P728">
        <v>145</v>
      </c>
      <c r="Q728">
        <v>0.50019999999999998</v>
      </c>
      <c r="R728">
        <v>444.41671332866719</v>
      </c>
      <c r="S728">
        <v>96.616713328667174</v>
      </c>
      <c r="T728">
        <v>0.35902777777777778</v>
      </c>
      <c r="U728">
        <v>41.5</v>
      </c>
      <c r="V728">
        <v>0.72013888888888888</v>
      </c>
      <c r="W728">
        <v>92.5</v>
      </c>
      <c r="X728">
        <v>13.2</v>
      </c>
      <c r="Y728">
        <v>40.5</v>
      </c>
      <c r="Z728">
        <v>0.39652777777777776</v>
      </c>
      <c r="AA728">
        <v>92.5</v>
      </c>
      <c r="AB728">
        <v>15.9</v>
      </c>
      <c r="AD728">
        <v>51</v>
      </c>
      <c r="AE728">
        <v>52</v>
      </c>
      <c r="AF728">
        <v>49.156235924806332</v>
      </c>
      <c r="AG728">
        <v>49.676857265255975</v>
      </c>
      <c r="AH728">
        <v>98.8330931900623</v>
      </c>
      <c r="AI728">
        <v>6.4886231420744362</v>
      </c>
      <c r="AJ728">
        <v>7.8986203051757</v>
      </c>
      <c r="AK728">
        <v>14.387243447250135</v>
      </c>
      <c r="AL728">
        <v>222.38833560017477</v>
      </c>
      <c r="AM728">
        <v>21.740116973776939</v>
      </c>
      <c r="AN728">
        <v>0.97757451689655317</v>
      </c>
      <c r="AO728">
        <v>13.200000000000001</v>
      </c>
      <c r="AP728">
        <v>14.557111371170539</v>
      </c>
      <c r="AQ728">
        <v>32.373317689809944</v>
      </c>
      <c r="AR728">
        <v>148.91050369627189</v>
      </c>
      <c r="AS728">
        <v>-0.27041212643538665</v>
      </c>
      <c r="AT728">
        <v>17.96775140984607</v>
      </c>
      <c r="AU728">
        <v>82.647905857723231</v>
      </c>
    </row>
    <row r="729" spans="1:48" x14ac:dyDescent="0.35">
      <c r="A729">
        <v>727</v>
      </c>
      <c r="B729">
        <v>46076</v>
      </c>
      <c r="C729" t="s">
        <v>16</v>
      </c>
      <c r="D729" t="s">
        <v>234</v>
      </c>
      <c r="E729" t="s">
        <v>235</v>
      </c>
      <c r="F729" t="s">
        <v>236</v>
      </c>
      <c r="G729" t="s">
        <v>237</v>
      </c>
      <c r="H729" t="s">
        <v>22</v>
      </c>
      <c r="I729" t="s">
        <v>23</v>
      </c>
      <c r="J729" t="s">
        <v>24</v>
      </c>
      <c r="K729" t="s">
        <v>233</v>
      </c>
      <c r="L729">
        <v>28</v>
      </c>
      <c r="M729">
        <v>69</v>
      </c>
      <c r="N729">
        <v>3</v>
      </c>
      <c r="O729">
        <v>2</v>
      </c>
      <c r="P729">
        <v>146</v>
      </c>
      <c r="Q729">
        <v>0.5</v>
      </c>
      <c r="R729">
        <v>444.23901772157853</v>
      </c>
      <c r="S729">
        <v>200.13901772157854</v>
      </c>
      <c r="T729">
        <v>0.35902777777777778</v>
      </c>
      <c r="U729">
        <v>40.5</v>
      </c>
      <c r="V729">
        <v>0.72083333333333333</v>
      </c>
      <c r="W729">
        <v>98</v>
      </c>
      <c r="X729">
        <v>13.7</v>
      </c>
      <c r="Y729">
        <v>40</v>
      </c>
      <c r="Z729">
        <v>0.3972222222222222</v>
      </c>
      <c r="AA729">
        <v>91.5</v>
      </c>
      <c r="AB729">
        <v>16</v>
      </c>
      <c r="AD729">
        <v>57.5</v>
      </c>
      <c r="AE729">
        <v>51.5</v>
      </c>
      <c r="AF729">
        <v>55.656235924806332</v>
      </c>
      <c r="AG729">
        <v>49.176857265255975</v>
      </c>
      <c r="AH729">
        <v>104.8330931900623</v>
      </c>
      <c r="AI729">
        <v>7.6249043216984669</v>
      </c>
      <c r="AJ729">
        <v>7.8682971624409559</v>
      </c>
      <c r="AK729">
        <v>15.493201484139423</v>
      </c>
      <c r="AL729">
        <v>235.9835336565713</v>
      </c>
      <c r="AM729">
        <v>45.052102525360183</v>
      </c>
      <c r="AN729">
        <v>1.9091205995298326</v>
      </c>
      <c r="AO729">
        <v>13.7</v>
      </c>
      <c r="AP729">
        <v>14.778922392426466</v>
      </c>
      <c r="AQ729">
        <v>34.87582329801026</v>
      </c>
      <c r="AR729">
        <v>77.412199083002591</v>
      </c>
      <c r="AS729">
        <v>-2.0471067140817554</v>
      </c>
      <c r="AT729">
        <v>19.356685318342027</v>
      </c>
      <c r="AU729">
        <v>42.965109802469264</v>
      </c>
    </row>
    <row r="730" spans="1:48" x14ac:dyDescent="0.35">
      <c r="A730">
        <v>728</v>
      </c>
      <c r="B730">
        <v>46076</v>
      </c>
      <c r="C730" t="s">
        <v>16</v>
      </c>
      <c r="D730" t="s">
        <v>239</v>
      </c>
      <c r="E730" t="s">
        <v>240</v>
      </c>
      <c r="F730" t="s">
        <v>241</v>
      </c>
      <c r="G730" t="s">
        <v>242</v>
      </c>
      <c r="H730" t="s">
        <v>22</v>
      </c>
      <c r="I730" t="s">
        <v>23</v>
      </c>
      <c r="J730" t="s">
        <v>24</v>
      </c>
      <c r="K730" t="s">
        <v>238</v>
      </c>
      <c r="L730">
        <v>28</v>
      </c>
      <c r="M730">
        <v>69</v>
      </c>
      <c r="N730">
        <v>3</v>
      </c>
      <c r="O730">
        <v>1</v>
      </c>
      <c r="P730">
        <v>147</v>
      </c>
      <c r="Q730">
        <v>0.50039999999999996</v>
      </c>
      <c r="R730">
        <v>460.23195291976094</v>
      </c>
      <c r="S730">
        <v>47.13195291976092</v>
      </c>
      <c r="T730">
        <v>0.35902777777777778</v>
      </c>
      <c r="U730">
        <v>41</v>
      </c>
      <c r="V730">
        <v>0.72083333333333333</v>
      </c>
      <c r="W730">
        <v>76.5</v>
      </c>
      <c r="X730">
        <v>11.4</v>
      </c>
      <c r="Y730">
        <v>40</v>
      </c>
      <c r="Z730">
        <v>0.3972222222222222</v>
      </c>
      <c r="AA730">
        <v>89</v>
      </c>
      <c r="AB730">
        <v>14.9</v>
      </c>
      <c r="AD730">
        <v>35.5</v>
      </c>
      <c r="AE730">
        <v>49</v>
      </c>
      <c r="AV730" t="s">
        <v>657</v>
      </c>
    </row>
    <row r="731" spans="1:48" x14ac:dyDescent="0.35">
      <c r="A731">
        <v>729</v>
      </c>
      <c r="B731">
        <v>46076</v>
      </c>
      <c r="C731" t="s">
        <v>16</v>
      </c>
      <c r="D731" t="s">
        <v>239</v>
      </c>
      <c r="E731" t="s">
        <v>240</v>
      </c>
      <c r="F731" t="s">
        <v>241</v>
      </c>
      <c r="G731" t="s">
        <v>242</v>
      </c>
      <c r="H731" t="s">
        <v>22</v>
      </c>
      <c r="I731" t="s">
        <v>23</v>
      </c>
      <c r="J731" t="s">
        <v>24</v>
      </c>
      <c r="K731" t="s">
        <v>238</v>
      </c>
      <c r="L731">
        <v>28</v>
      </c>
      <c r="M731">
        <v>69</v>
      </c>
      <c r="N731">
        <v>3</v>
      </c>
      <c r="O731">
        <v>2</v>
      </c>
      <c r="P731">
        <v>148</v>
      </c>
      <c r="Q731">
        <v>0.50009999999999999</v>
      </c>
      <c r="R731">
        <v>459.95603448275875</v>
      </c>
      <c r="S731">
        <v>167.05603448275883</v>
      </c>
      <c r="T731">
        <v>0.35972222222222222</v>
      </c>
      <c r="U731">
        <v>41.5</v>
      </c>
      <c r="V731">
        <v>0.72152777777777777</v>
      </c>
      <c r="W731">
        <v>74.5</v>
      </c>
      <c r="X731">
        <v>11</v>
      </c>
      <c r="Y731">
        <v>40</v>
      </c>
      <c r="Z731">
        <v>0.39791666666666664</v>
      </c>
      <c r="AA731">
        <v>88</v>
      </c>
      <c r="AB731">
        <v>14.7</v>
      </c>
      <c r="AD731">
        <v>33</v>
      </c>
      <c r="AE731">
        <v>48</v>
      </c>
      <c r="AF731">
        <v>31.156235924806332</v>
      </c>
      <c r="AG731">
        <v>45.676857265255975</v>
      </c>
      <c r="AH731">
        <v>76.8330931900623</v>
      </c>
      <c r="AI731">
        <v>3.4271859517286964</v>
      </c>
      <c r="AJ731">
        <v>6.7144980179926277</v>
      </c>
      <c r="AK731">
        <v>10.141683969721324</v>
      </c>
      <c r="AL731">
        <v>167.04442909736923</v>
      </c>
      <c r="AM731">
        <v>36.320000599757506</v>
      </c>
      <c r="AN731">
        <v>2.1742718865881363</v>
      </c>
      <c r="AO731">
        <v>11</v>
      </c>
      <c r="AP731">
        <v>13.199629936326792</v>
      </c>
      <c r="AQ731">
        <v>22.049246470102524</v>
      </c>
      <c r="AR731">
        <v>60.708276723568495</v>
      </c>
      <c r="AS731">
        <v>-0.89236742917528844</v>
      </c>
      <c r="AT731">
        <v>12.237713265759325</v>
      </c>
      <c r="AU731">
        <v>33.694143897786809</v>
      </c>
    </row>
    <row r="732" spans="1:48" x14ac:dyDescent="0.35">
      <c r="A732">
        <v>730</v>
      </c>
      <c r="B732">
        <v>46076</v>
      </c>
      <c r="C732" t="s">
        <v>16</v>
      </c>
      <c r="D732" t="s">
        <v>244</v>
      </c>
      <c r="E732" t="s">
        <v>240</v>
      </c>
      <c r="F732" t="s">
        <v>245</v>
      </c>
      <c r="G732" t="s">
        <v>246</v>
      </c>
      <c r="H732" t="s">
        <v>22</v>
      </c>
      <c r="I732" t="s">
        <v>23</v>
      </c>
      <c r="J732" t="s">
        <v>24</v>
      </c>
      <c r="K732" t="s">
        <v>243</v>
      </c>
      <c r="L732">
        <v>28</v>
      </c>
      <c r="M732">
        <v>69</v>
      </c>
      <c r="N732">
        <v>3</v>
      </c>
      <c r="O732">
        <v>1</v>
      </c>
      <c r="P732">
        <v>149</v>
      </c>
      <c r="Q732">
        <v>0.50009999999999999</v>
      </c>
      <c r="R732">
        <v>455.15680659670164</v>
      </c>
      <c r="S732">
        <v>171.05680659670162</v>
      </c>
      <c r="T732">
        <v>0.35972222222222222</v>
      </c>
      <c r="U732">
        <v>40.5</v>
      </c>
      <c r="V732">
        <v>0.72152777777777777</v>
      </c>
      <c r="W732">
        <v>81</v>
      </c>
      <c r="X732">
        <v>11.4</v>
      </c>
      <c r="Y732">
        <v>39.5</v>
      </c>
      <c r="Z732">
        <v>0.39861111111111114</v>
      </c>
      <c r="AA732">
        <v>82.5</v>
      </c>
      <c r="AB732">
        <v>15.7</v>
      </c>
      <c r="AD732">
        <v>40.5</v>
      </c>
      <c r="AE732">
        <v>43</v>
      </c>
      <c r="AF732">
        <v>38.656235924806332</v>
      </c>
      <c r="AG732">
        <v>40.676857265255975</v>
      </c>
      <c r="AH732">
        <v>79.3330931900623</v>
      </c>
      <c r="AI732">
        <v>4.4068108954279221</v>
      </c>
      <c r="AJ732">
        <v>6.3862665906451879</v>
      </c>
      <c r="AK732">
        <v>10.793077486073109</v>
      </c>
      <c r="AL732">
        <v>174.29837814192362</v>
      </c>
      <c r="AM732">
        <v>37.581950685463219</v>
      </c>
      <c r="AN732">
        <v>2.1561847612180225</v>
      </c>
      <c r="AO732">
        <v>11.4</v>
      </c>
      <c r="AP732">
        <v>13.604760702088836</v>
      </c>
      <c r="AQ732">
        <v>23.712877253830619</v>
      </c>
      <c r="AR732">
        <v>63.096451411721986</v>
      </c>
      <c r="AS732">
        <v>-2.7861750143192063</v>
      </c>
      <c r="AT732">
        <v>13.161057133267928</v>
      </c>
      <c r="AU732">
        <v>35.019622167613171</v>
      </c>
    </row>
    <row r="733" spans="1:48" x14ac:dyDescent="0.35">
      <c r="A733">
        <v>731</v>
      </c>
      <c r="B733">
        <v>46076</v>
      </c>
      <c r="C733" t="s">
        <v>16</v>
      </c>
      <c r="D733" t="s">
        <v>244</v>
      </c>
      <c r="E733" t="s">
        <v>240</v>
      </c>
      <c r="F733" t="s">
        <v>245</v>
      </c>
      <c r="G733" t="s">
        <v>246</v>
      </c>
      <c r="H733" t="s">
        <v>22</v>
      </c>
      <c r="I733" t="s">
        <v>23</v>
      </c>
      <c r="J733" t="s">
        <v>24</v>
      </c>
      <c r="K733" t="s">
        <v>243</v>
      </c>
      <c r="L733">
        <v>28</v>
      </c>
      <c r="M733">
        <v>69</v>
      </c>
      <c r="N733">
        <v>3</v>
      </c>
      <c r="O733">
        <v>2</v>
      </c>
      <c r="P733">
        <v>150</v>
      </c>
      <c r="Q733">
        <v>0.50019999999999998</v>
      </c>
      <c r="R733">
        <v>455.24781975538917</v>
      </c>
      <c r="S733">
        <v>103.84781975538914</v>
      </c>
      <c r="T733">
        <v>0.35972222222222222</v>
      </c>
      <c r="U733">
        <v>40.5</v>
      </c>
      <c r="V733">
        <v>0.72222222222222221</v>
      </c>
      <c r="W733">
        <v>81.5</v>
      </c>
      <c r="X733">
        <v>11.4</v>
      </c>
      <c r="Y733">
        <v>40</v>
      </c>
      <c r="Z733">
        <v>0.39861111111111114</v>
      </c>
      <c r="AA733">
        <v>84</v>
      </c>
      <c r="AB733">
        <v>15.4</v>
      </c>
      <c r="AD733">
        <v>41</v>
      </c>
      <c r="AE733">
        <v>44</v>
      </c>
      <c r="AF733">
        <v>39.156235924806332</v>
      </c>
      <c r="AG733">
        <v>41.676857265255975</v>
      </c>
      <c r="AH733">
        <v>80.8330931900623</v>
      </c>
      <c r="AI733">
        <v>4.4638108954279216</v>
      </c>
      <c r="AJ733">
        <v>6.4182360188494201</v>
      </c>
      <c r="AK733">
        <v>10.882046914277343</v>
      </c>
      <c r="AL733">
        <v>177.55844110026715</v>
      </c>
      <c r="AM733">
        <v>22.811272289274878</v>
      </c>
      <c r="AN733">
        <v>1.284719112643784</v>
      </c>
      <c r="AO733">
        <v>11.4</v>
      </c>
      <c r="AP733">
        <v>13.462366074115783</v>
      </c>
      <c r="AQ733">
        <v>23.903567336411218</v>
      </c>
      <c r="AR733">
        <v>104.78840037190693</v>
      </c>
      <c r="AS733">
        <v>-0.38243526858835003</v>
      </c>
      <c r="AT733">
        <v>13.266893428236539</v>
      </c>
      <c r="AU733">
        <v>58.159375154511665</v>
      </c>
    </row>
    <row r="734" spans="1:48" x14ac:dyDescent="0.35">
      <c r="A734">
        <v>732</v>
      </c>
      <c r="B734">
        <v>46076</v>
      </c>
      <c r="C734" t="s">
        <v>16</v>
      </c>
      <c r="D734" t="s">
        <v>248</v>
      </c>
      <c r="E734" t="s">
        <v>226</v>
      </c>
      <c r="F734" t="s">
        <v>227</v>
      </c>
      <c r="G734" t="s">
        <v>228</v>
      </c>
      <c r="H734" t="s">
        <v>22</v>
      </c>
      <c r="I734" t="s">
        <v>23</v>
      </c>
      <c r="J734" t="s">
        <v>24</v>
      </c>
      <c r="K734" t="s">
        <v>247</v>
      </c>
      <c r="L734">
        <v>28</v>
      </c>
      <c r="M734">
        <v>69</v>
      </c>
      <c r="N734">
        <v>3</v>
      </c>
      <c r="O734">
        <v>1</v>
      </c>
      <c r="P734">
        <v>151</v>
      </c>
      <c r="Q734">
        <v>0.50009999999999999</v>
      </c>
      <c r="R734">
        <v>461.60775534679186</v>
      </c>
      <c r="S734">
        <v>163.50775534679184</v>
      </c>
      <c r="T734">
        <v>0.35972222222222222</v>
      </c>
      <c r="U734">
        <v>42</v>
      </c>
      <c r="V734">
        <v>0.72291666666666665</v>
      </c>
      <c r="W734">
        <v>75</v>
      </c>
      <c r="X734">
        <v>11.4</v>
      </c>
      <c r="Y734">
        <v>40.5</v>
      </c>
      <c r="Z734">
        <v>0.39930555555555558</v>
      </c>
      <c r="AA734">
        <v>77.5</v>
      </c>
      <c r="AB734">
        <v>14.5</v>
      </c>
      <c r="AD734">
        <v>33</v>
      </c>
      <c r="AE734">
        <v>37</v>
      </c>
      <c r="AF734">
        <v>31.156235924806332</v>
      </c>
      <c r="AG734">
        <v>34.676857265255975</v>
      </c>
      <c r="AH734">
        <v>65.8330931900623</v>
      </c>
      <c r="AI734">
        <v>3.5518108954279217</v>
      </c>
      <c r="AJ734">
        <v>5.028144303462116</v>
      </c>
      <c r="AK734">
        <v>8.5799551988900369</v>
      </c>
      <c r="AL734">
        <v>142.61695655568849</v>
      </c>
      <c r="AM734">
        <v>35.421362282779114</v>
      </c>
      <c r="AN734">
        <v>2.4836711663348336</v>
      </c>
      <c r="AO734">
        <v>11.4</v>
      </c>
      <c r="AP734">
        <v>13.032890880760267</v>
      </c>
      <c r="AQ734">
        <v>18.587112325364156</v>
      </c>
      <c r="AR734">
        <v>52.474301177288979</v>
      </c>
      <c r="AS734">
        <v>-0.34468362675208436</v>
      </c>
      <c r="AT734">
        <v>10.316168916914917</v>
      </c>
      <c r="AU734">
        <v>29.124145013277342</v>
      </c>
    </row>
    <row r="735" spans="1:48" x14ac:dyDescent="0.35">
      <c r="A735">
        <v>733</v>
      </c>
      <c r="B735">
        <v>46076</v>
      </c>
      <c r="C735" t="s">
        <v>16</v>
      </c>
      <c r="D735" t="s">
        <v>248</v>
      </c>
      <c r="E735" t="s">
        <v>226</v>
      </c>
      <c r="F735" t="s">
        <v>227</v>
      </c>
      <c r="G735" t="s">
        <v>228</v>
      </c>
      <c r="H735" t="s">
        <v>22</v>
      </c>
      <c r="I735" t="s">
        <v>23</v>
      </c>
      <c r="J735" t="s">
        <v>24</v>
      </c>
      <c r="K735" t="s">
        <v>247</v>
      </c>
      <c r="L735">
        <v>28</v>
      </c>
      <c r="M735">
        <v>69</v>
      </c>
      <c r="N735">
        <v>3</v>
      </c>
      <c r="O735">
        <v>2</v>
      </c>
      <c r="P735">
        <v>152</v>
      </c>
      <c r="Q735">
        <v>0.50009999999999999</v>
      </c>
      <c r="R735">
        <v>461.60775534679186</v>
      </c>
      <c r="S735">
        <v>207.00775534679181</v>
      </c>
      <c r="T735">
        <v>0.36041666666666666</v>
      </c>
      <c r="U735">
        <v>40.5</v>
      </c>
      <c r="V735">
        <v>0.72291666666666665</v>
      </c>
      <c r="W735">
        <v>73</v>
      </c>
      <c r="X735">
        <v>11.9</v>
      </c>
      <c r="Y735">
        <v>40</v>
      </c>
      <c r="Z735">
        <v>0.39930555555555558</v>
      </c>
      <c r="AA735">
        <v>77</v>
      </c>
      <c r="AB735">
        <v>14.4</v>
      </c>
      <c r="AD735">
        <v>32.5</v>
      </c>
      <c r="AE735">
        <v>37</v>
      </c>
      <c r="AF735">
        <v>30.656235924806332</v>
      </c>
      <c r="AG735">
        <v>34.676857265255975</v>
      </c>
      <c r="AH735">
        <v>65.3330931900623</v>
      </c>
      <c r="AI735">
        <v>3.6480920750519537</v>
      </c>
      <c r="AJ735">
        <v>4.9934674461968607</v>
      </c>
      <c r="AK735">
        <v>8.6415595212488139</v>
      </c>
      <c r="AL735">
        <v>141.53378584590621</v>
      </c>
      <c r="AM735">
        <v>44.844947457885141</v>
      </c>
      <c r="AN735">
        <v>3.1684976975539771</v>
      </c>
      <c r="AO735">
        <v>11.900000000000002</v>
      </c>
      <c r="AP735">
        <v>13.226925435949306</v>
      </c>
      <c r="AQ735">
        <v>18.720568320514186</v>
      </c>
      <c r="AR735">
        <v>41.745100355162805</v>
      </c>
      <c r="AS735">
        <v>-1.2960796167266431</v>
      </c>
      <c r="AT735">
        <v>10.390239303150432</v>
      </c>
      <c r="AU735">
        <v>23.169252930685516</v>
      </c>
    </row>
    <row r="736" spans="1:48" x14ac:dyDescent="0.35">
      <c r="A736">
        <v>734</v>
      </c>
      <c r="B736">
        <v>46076</v>
      </c>
      <c r="C736" t="s">
        <v>16</v>
      </c>
      <c r="D736" t="s">
        <v>250</v>
      </c>
      <c r="E736" t="s">
        <v>219</v>
      </c>
      <c r="F736" t="s">
        <v>220</v>
      </c>
      <c r="G736" t="s">
        <v>221</v>
      </c>
      <c r="H736" t="s">
        <v>22</v>
      </c>
      <c r="I736" t="s">
        <v>23</v>
      </c>
      <c r="J736" t="s">
        <v>24</v>
      </c>
      <c r="K736" t="s">
        <v>249</v>
      </c>
      <c r="L736">
        <v>28</v>
      </c>
      <c r="M736">
        <v>69</v>
      </c>
      <c r="N736">
        <v>3</v>
      </c>
      <c r="O736">
        <v>1</v>
      </c>
      <c r="P736">
        <v>153</v>
      </c>
      <c r="Q736">
        <v>0.50019999999999998</v>
      </c>
      <c r="R736">
        <v>454.88638089982027</v>
      </c>
      <c r="S736">
        <v>206.08638089982026</v>
      </c>
      <c r="T736">
        <v>0.3611111111111111</v>
      </c>
      <c r="U736">
        <v>40</v>
      </c>
      <c r="V736">
        <v>0.72361111111111109</v>
      </c>
      <c r="W736">
        <v>78</v>
      </c>
      <c r="X736">
        <v>13.8</v>
      </c>
      <c r="Y736">
        <v>39.5</v>
      </c>
      <c r="Z736">
        <v>0.4</v>
      </c>
      <c r="AA736">
        <v>89</v>
      </c>
      <c r="AB736">
        <v>15.9</v>
      </c>
      <c r="AD736">
        <v>38</v>
      </c>
      <c r="AE736">
        <v>49.5</v>
      </c>
      <c r="AF736">
        <v>36.156235924806332</v>
      </c>
      <c r="AG736">
        <v>47.176857265255975</v>
      </c>
      <c r="AH736">
        <v>83.3330931900623</v>
      </c>
      <c r="AI736">
        <v>4.9895605576232738</v>
      </c>
      <c r="AJ736">
        <v>7.5011203051757001</v>
      </c>
      <c r="AK736">
        <v>12.490680862798975</v>
      </c>
      <c r="AL736">
        <v>183.19540150931616</v>
      </c>
      <c r="AM736">
        <v>45.305023309811226</v>
      </c>
      <c r="AN736">
        <v>2.4730436974154779</v>
      </c>
      <c r="AO736">
        <v>13.8</v>
      </c>
      <c r="AP736">
        <v>14.988860229045862</v>
      </c>
      <c r="AQ736">
        <v>27.458902678270778</v>
      </c>
      <c r="AR736">
        <v>60.608958283714848</v>
      </c>
      <c r="AS736">
        <v>-1.105991901342444</v>
      </c>
      <c r="AT736">
        <v>15.240166053960666</v>
      </c>
      <c r="AU736">
        <v>33.639020445355925</v>
      </c>
    </row>
    <row r="737" spans="1:48" x14ac:dyDescent="0.35">
      <c r="A737">
        <v>735</v>
      </c>
      <c r="B737">
        <v>46076</v>
      </c>
      <c r="C737" t="s">
        <v>16</v>
      </c>
      <c r="D737" t="s">
        <v>250</v>
      </c>
      <c r="E737" t="s">
        <v>219</v>
      </c>
      <c r="F737" t="s">
        <v>220</v>
      </c>
      <c r="G737" t="s">
        <v>221</v>
      </c>
      <c r="H737" t="s">
        <v>22</v>
      </c>
      <c r="I737" t="s">
        <v>23</v>
      </c>
      <c r="J737" t="s">
        <v>24</v>
      </c>
      <c r="K737" t="s">
        <v>249</v>
      </c>
      <c r="L737">
        <v>28</v>
      </c>
      <c r="M737">
        <v>69</v>
      </c>
      <c r="N737">
        <v>3</v>
      </c>
      <c r="O737">
        <v>2</v>
      </c>
      <c r="P737">
        <v>154</v>
      </c>
      <c r="Q737">
        <v>0.50019999999999998</v>
      </c>
      <c r="R737">
        <v>454.88638089982027</v>
      </c>
      <c r="S737">
        <v>153.38638089982027</v>
      </c>
      <c r="T737">
        <v>0.3611111111111111</v>
      </c>
      <c r="U737">
        <v>41</v>
      </c>
      <c r="V737">
        <v>0.72430555555555554</v>
      </c>
      <c r="W737">
        <v>80.5</v>
      </c>
      <c r="X737">
        <v>13.5</v>
      </c>
      <c r="Y737">
        <v>40.5</v>
      </c>
      <c r="Z737">
        <v>0.4</v>
      </c>
      <c r="AA737">
        <v>90</v>
      </c>
      <c r="AB737">
        <v>15.8</v>
      </c>
      <c r="AD737">
        <v>39.5</v>
      </c>
      <c r="AE737">
        <v>49.5</v>
      </c>
      <c r="AF737">
        <v>37.656235924806332</v>
      </c>
      <c r="AG737">
        <v>47.176857265255975</v>
      </c>
      <c r="AH737">
        <v>84.8330931900623</v>
      </c>
      <c r="AI737">
        <v>5.0835918498488555</v>
      </c>
      <c r="AJ737">
        <v>7.4539434479104445</v>
      </c>
      <c r="AK737">
        <v>12.5375352977593</v>
      </c>
      <c r="AL737">
        <v>186.49292823903011</v>
      </c>
      <c r="AM737">
        <v>33.719712732749542</v>
      </c>
      <c r="AN737">
        <v>1.8080960522819718</v>
      </c>
      <c r="AO737">
        <v>13.500000000000002</v>
      </c>
      <c r="AP737">
        <v>14.779061833416677</v>
      </c>
      <c r="AQ737">
        <v>27.561905179395652</v>
      </c>
      <c r="AR737">
        <v>81.738256188128048</v>
      </c>
      <c r="AS737">
        <v>-0.359576538840438</v>
      </c>
      <c r="AT737">
        <v>15.297334224135165</v>
      </c>
      <c r="AU737">
        <v>45.366146341092517</v>
      </c>
    </row>
    <row r="738" spans="1:48" x14ac:dyDescent="0.35">
      <c r="A738">
        <v>736</v>
      </c>
      <c r="B738">
        <v>46076</v>
      </c>
      <c r="C738" t="s">
        <v>16</v>
      </c>
      <c r="D738" t="s">
        <v>252</v>
      </c>
      <c r="E738" t="s">
        <v>219</v>
      </c>
      <c r="F738" t="s">
        <v>253</v>
      </c>
      <c r="G738" t="s">
        <v>254</v>
      </c>
      <c r="H738" t="s">
        <v>22</v>
      </c>
      <c r="I738" t="s">
        <v>23</v>
      </c>
      <c r="J738" t="s">
        <v>24</v>
      </c>
      <c r="K738" t="s">
        <v>251</v>
      </c>
      <c r="L738">
        <v>28</v>
      </c>
      <c r="M738">
        <v>69</v>
      </c>
      <c r="N738">
        <v>3</v>
      </c>
      <c r="O738">
        <v>1</v>
      </c>
      <c r="P738">
        <v>155</v>
      </c>
      <c r="Q738">
        <v>0.50029999999999997</v>
      </c>
      <c r="R738">
        <v>460.56109337514715</v>
      </c>
      <c r="S738">
        <v>157.86109337514716</v>
      </c>
      <c r="T738">
        <v>0.3611111111111111</v>
      </c>
      <c r="U738">
        <v>41</v>
      </c>
      <c r="V738">
        <v>0.72499999999999998</v>
      </c>
      <c r="W738">
        <v>86</v>
      </c>
      <c r="X738">
        <v>13.3</v>
      </c>
      <c r="Y738">
        <v>40.5</v>
      </c>
      <c r="Z738">
        <v>0.40069444444444446</v>
      </c>
      <c r="AA738">
        <v>88</v>
      </c>
      <c r="AB738">
        <v>16.399999999999999</v>
      </c>
      <c r="AD738">
        <v>45</v>
      </c>
      <c r="AE738">
        <v>47.5</v>
      </c>
      <c r="AF738">
        <v>43.156235924806332</v>
      </c>
      <c r="AG738">
        <v>45.176857265255975</v>
      </c>
      <c r="AH738">
        <v>88.3330931900623</v>
      </c>
      <c r="AI738">
        <v>5.7397793779992421</v>
      </c>
      <c r="AJ738">
        <v>7.4090045915019793</v>
      </c>
      <c r="AK738">
        <v>13.148783969501221</v>
      </c>
      <c r="AL738">
        <v>191.79451860062164</v>
      </c>
      <c r="AM738">
        <v>34.275820438562839</v>
      </c>
      <c r="AN738">
        <v>1.7871115759015099</v>
      </c>
      <c r="AO738">
        <v>13.3</v>
      </c>
      <c r="AP738">
        <v>14.885456282176806</v>
      </c>
      <c r="AQ738">
        <v>28.549489217906995</v>
      </c>
      <c r="AR738">
        <v>83.293379567908758</v>
      </c>
      <c r="AS738">
        <v>-0.36495410917786386</v>
      </c>
      <c r="AT738">
        <v>15.845460451737999</v>
      </c>
      <c r="AU738">
        <v>46.229266722119604</v>
      </c>
    </row>
    <row r="739" spans="1:48" x14ac:dyDescent="0.35">
      <c r="A739">
        <v>737</v>
      </c>
      <c r="B739">
        <v>46076</v>
      </c>
      <c r="C739" t="s">
        <v>16</v>
      </c>
      <c r="D739" t="s">
        <v>252</v>
      </c>
      <c r="E739" t="s">
        <v>219</v>
      </c>
      <c r="F739" t="s">
        <v>253</v>
      </c>
      <c r="G739" t="s">
        <v>254</v>
      </c>
      <c r="H739" t="s">
        <v>22</v>
      </c>
      <c r="I739" t="s">
        <v>23</v>
      </c>
      <c r="J739" t="s">
        <v>24</v>
      </c>
      <c r="K739" t="s">
        <v>251</v>
      </c>
      <c r="L739">
        <v>28</v>
      </c>
      <c r="M739">
        <v>69</v>
      </c>
      <c r="N739">
        <v>3</v>
      </c>
      <c r="O739">
        <v>2</v>
      </c>
      <c r="P739">
        <v>156</v>
      </c>
      <c r="Q739">
        <v>0.5</v>
      </c>
      <c r="R739">
        <v>460.2849224216942</v>
      </c>
      <c r="S739">
        <v>99.284922421694205</v>
      </c>
      <c r="T739">
        <v>0.3611111111111111</v>
      </c>
      <c r="U739">
        <v>40.5</v>
      </c>
      <c r="V739">
        <v>0.72569444444444442</v>
      </c>
      <c r="W739">
        <v>85.5</v>
      </c>
      <c r="X739">
        <v>13.2</v>
      </c>
      <c r="Y739">
        <v>40.5</v>
      </c>
      <c r="Z739">
        <v>0.40069444444444446</v>
      </c>
      <c r="AA739">
        <v>88</v>
      </c>
      <c r="AB739">
        <v>16.100000000000001</v>
      </c>
      <c r="AD739">
        <v>45</v>
      </c>
      <c r="AE739">
        <v>47.5</v>
      </c>
      <c r="AF739">
        <v>43.156235924806332</v>
      </c>
      <c r="AG739">
        <v>45.176857265255975</v>
      </c>
      <c r="AH739">
        <v>88.3330931900623</v>
      </c>
      <c r="AI739">
        <v>5.6966231420744364</v>
      </c>
      <c r="AJ739">
        <v>7.273474019706212</v>
      </c>
      <c r="AK739">
        <v>12.970097161780648</v>
      </c>
      <c r="AL739">
        <v>191.90959531178197</v>
      </c>
      <c r="AM739">
        <v>21.570318206237793</v>
      </c>
      <c r="AN739">
        <v>1.1239833094949743</v>
      </c>
      <c r="AO739">
        <v>13.200000000000003</v>
      </c>
      <c r="AP739">
        <v>14.683168780100885</v>
      </c>
      <c r="AQ739">
        <v>28.178409784837523</v>
      </c>
      <c r="AR739">
        <v>130.63511402761216</v>
      </c>
      <c r="AS739">
        <v>-0.20810414429816698</v>
      </c>
      <c r="AT739">
        <v>15.639504946325047</v>
      </c>
      <c r="AU739">
        <v>72.504748408404808</v>
      </c>
    </row>
    <row r="740" spans="1:48" x14ac:dyDescent="0.35">
      <c r="A740">
        <v>738</v>
      </c>
      <c r="B740">
        <v>46076</v>
      </c>
      <c r="C740" t="s">
        <v>16</v>
      </c>
      <c r="D740" t="s">
        <v>256</v>
      </c>
      <c r="E740" t="s">
        <v>219</v>
      </c>
      <c r="F740" t="s">
        <v>253</v>
      </c>
      <c r="G740" t="s">
        <v>254</v>
      </c>
      <c r="H740" t="s">
        <v>22</v>
      </c>
      <c r="I740" t="s">
        <v>23</v>
      </c>
      <c r="J740" t="s">
        <v>24</v>
      </c>
      <c r="K740" t="s">
        <v>255</v>
      </c>
      <c r="L740">
        <v>28</v>
      </c>
      <c r="M740">
        <v>69</v>
      </c>
      <c r="N740">
        <v>3</v>
      </c>
      <c r="O740">
        <v>1</v>
      </c>
      <c r="P740">
        <v>157</v>
      </c>
      <c r="Q740">
        <v>0.50049999999999994</v>
      </c>
      <c r="R740">
        <v>461.57669778257019</v>
      </c>
      <c r="S740">
        <v>236.07669778257016</v>
      </c>
      <c r="T740">
        <v>0.3611111111111111</v>
      </c>
      <c r="U740">
        <v>41</v>
      </c>
      <c r="V740">
        <v>0.72569444444444442</v>
      </c>
      <c r="W740">
        <v>84.5</v>
      </c>
      <c r="X740">
        <v>12.2</v>
      </c>
      <c r="Y740">
        <v>40</v>
      </c>
      <c r="Z740">
        <v>0.40138888888888891</v>
      </c>
      <c r="AA740">
        <v>89.5</v>
      </c>
      <c r="AB740">
        <v>15.7</v>
      </c>
      <c r="AC740" t="s">
        <v>581</v>
      </c>
      <c r="AD740">
        <v>43.5</v>
      </c>
      <c r="AE740">
        <v>49.5</v>
      </c>
      <c r="AF740">
        <v>41.656235924806332</v>
      </c>
      <c r="AG740">
        <v>47.176857265255975</v>
      </c>
      <c r="AH740">
        <v>88.8330931900623</v>
      </c>
      <c r="AI740">
        <v>5.082060782826372</v>
      </c>
      <c r="AJ740">
        <v>7.4067665906451881</v>
      </c>
      <c r="AK740">
        <v>12.48882737347156</v>
      </c>
      <c r="AL740">
        <v>192.455757876902</v>
      </c>
      <c r="AM740">
        <v>51.145714009543909</v>
      </c>
      <c r="AN740">
        <v>2.6575309865375703</v>
      </c>
      <c r="AO740">
        <v>12.199999999999998</v>
      </c>
      <c r="AP740">
        <v>14.058755498641894</v>
      </c>
      <c r="AQ740">
        <v>27.056884442971889</v>
      </c>
      <c r="AR740">
        <v>52.901567544688127</v>
      </c>
      <c r="AS740">
        <v>7.990760952021815</v>
      </c>
      <c r="AT740">
        <v>15.017038978036991</v>
      </c>
      <c r="AU740">
        <v>29.361285239335551</v>
      </c>
    </row>
    <row r="741" spans="1:48" x14ac:dyDescent="0.35">
      <c r="A741">
        <v>739</v>
      </c>
      <c r="B741">
        <v>46076</v>
      </c>
      <c r="C741" t="s">
        <v>16</v>
      </c>
      <c r="D741" t="s">
        <v>256</v>
      </c>
      <c r="E741" t="s">
        <v>219</v>
      </c>
      <c r="F741" t="s">
        <v>253</v>
      </c>
      <c r="G741" t="s">
        <v>254</v>
      </c>
      <c r="H741" t="s">
        <v>22</v>
      </c>
      <c r="I741" t="s">
        <v>23</v>
      </c>
      <c r="J741" t="s">
        <v>24</v>
      </c>
      <c r="K741" t="s">
        <v>255</v>
      </c>
      <c r="L741">
        <v>28</v>
      </c>
      <c r="M741">
        <v>69</v>
      </c>
      <c r="N741">
        <v>3</v>
      </c>
      <c r="O741">
        <v>2</v>
      </c>
      <c r="P741">
        <v>158</v>
      </c>
      <c r="Q741">
        <v>0.5</v>
      </c>
      <c r="R741">
        <v>461.11558220036989</v>
      </c>
      <c r="S741">
        <v>329.41558220036984</v>
      </c>
      <c r="T741">
        <v>0.36180555555555555</v>
      </c>
      <c r="U741">
        <v>40.5</v>
      </c>
      <c r="V741">
        <v>0.72638888888888886</v>
      </c>
      <c r="W741">
        <v>84</v>
      </c>
      <c r="X741">
        <v>12.1</v>
      </c>
      <c r="Y741">
        <v>40.5</v>
      </c>
      <c r="Z741">
        <v>0.40138888888888891</v>
      </c>
      <c r="AA741">
        <v>88</v>
      </c>
      <c r="AB741">
        <v>15.6</v>
      </c>
      <c r="AD741">
        <v>43.5</v>
      </c>
      <c r="AE741">
        <v>47.5</v>
      </c>
      <c r="AF741">
        <v>41.656235924806332</v>
      </c>
      <c r="AG741">
        <v>45.176857265255975</v>
      </c>
      <c r="AH741">
        <v>86.8330931900623</v>
      </c>
      <c r="AI741">
        <v>5.0404045469015664</v>
      </c>
      <c r="AJ741">
        <v>7.0475897333799322</v>
      </c>
      <c r="AK741">
        <v>12.087994280281499</v>
      </c>
      <c r="AL741">
        <v>188.31090629318717</v>
      </c>
      <c r="AN741">
        <v>3.7936640294425228</v>
      </c>
      <c r="AO741">
        <v>12.1</v>
      </c>
      <c r="AP741">
        <v>13.920953217482435</v>
      </c>
      <c r="AQ741">
        <v>26.214673168491775</v>
      </c>
      <c r="AR741">
        <v>36.695271667291301</v>
      </c>
      <c r="AS741">
        <v>0.28474662899328407</v>
      </c>
      <c r="AT741">
        <v>14.549597149571213</v>
      </c>
      <c r="AU741">
        <v>20.366510641638492</v>
      </c>
      <c r="AV741" t="s">
        <v>658</v>
      </c>
    </row>
    <row r="742" spans="1:48" x14ac:dyDescent="0.35">
      <c r="A742">
        <v>740</v>
      </c>
      <c r="B742">
        <v>46076</v>
      </c>
      <c r="C742" t="s">
        <v>16</v>
      </c>
      <c r="D742" t="s">
        <v>258</v>
      </c>
      <c r="E742" t="s">
        <v>259</v>
      </c>
      <c r="F742" t="s">
        <v>260</v>
      </c>
      <c r="G742" t="s">
        <v>261</v>
      </c>
      <c r="H742" t="s">
        <v>22</v>
      </c>
      <c r="I742" t="s">
        <v>23</v>
      </c>
      <c r="J742" t="s">
        <v>24</v>
      </c>
      <c r="K742" t="s">
        <v>257</v>
      </c>
      <c r="L742">
        <v>28</v>
      </c>
      <c r="M742">
        <v>69</v>
      </c>
      <c r="N742">
        <v>3</v>
      </c>
      <c r="O742">
        <v>1</v>
      </c>
      <c r="P742">
        <v>159</v>
      </c>
      <c r="Q742">
        <v>0.50039999999999996</v>
      </c>
      <c r="R742">
        <v>457.39710323902813</v>
      </c>
      <c r="S742">
        <v>136.59710323902806</v>
      </c>
      <c r="T742">
        <v>0.36180555555555555</v>
      </c>
      <c r="U742">
        <v>41</v>
      </c>
      <c r="V742">
        <v>0.7270833333333333</v>
      </c>
      <c r="W742">
        <v>82.5</v>
      </c>
      <c r="X742">
        <v>14.2</v>
      </c>
      <c r="Y742">
        <v>40.5</v>
      </c>
      <c r="Z742">
        <v>0.40208333333333335</v>
      </c>
      <c r="AA742">
        <v>78.8</v>
      </c>
      <c r="AB742">
        <v>18.2</v>
      </c>
      <c r="AD742">
        <v>41.5</v>
      </c>
      <c r="AE742">
        <v>38.299999999999997</v>
      </c>
      <c r="AF742">
        <v>39.656235924806332</v>
      </c>
      <c r="AG742">
        <v>35.976857265255973</v>
      </c>
      <c r="AH742">
        <v>75.633093190062311</v>
      </c>
      <c r="AI742">
        <v>5.6311855013224985</v>
      </c>
      <c r="AJ742">
        <v>6.5477880222765865</v>
      </c>
      <c r="AK742">
        <v>12.178973523599085</v>
      </c>
      <c r="AL742">
        <v>165.35542672761028</v>
      </c>
      <c r="AM742">
        <v>29.864007067758951</v>
      </c>
      <c r="AN742">
        <v>1.8060494087656329</v>
      </c>
      <c r="AO742">
        <v>14.199999999999998</v>
      </c>
      <c r="AP742">
        <v>16.102704530401677</v>
      </c>
      <c r="AQ742">
        <v>26.626695790931922</v>
      </c>
      <c r="AR742">
        <v>89.159822827921801</v>
      </c>
      <c r="AS742">
        <v>-0.55173913402872599</v>
      </c>
      <c r="AT742">
        <v>14.778276833444568</v>
      </c>
      <c r="AU742">
        <v>49.485244226984967</v>
      </c>
    </row>
    <row r="743" spans="1:48" x14ac:dyDescent="0.35">
      <c r="A743">
        <v>741</v>
      </c>
      <c r="B743">
        <v>46076</v>
      </c>
      <c r="C743" t="s">
        <v>16</v>
      </c>
      <c r="D743" t="s">
        <v>258</v>
      </c>
      <c r="E743" t="s">
        <v>259</v>
      </c>
      <c r="F743" t="s">
        <v>260</v>
      </c>
      <c r="G743" t="s">
        <v>261</v>
      </c>
      <c r="H743" t="s">
        <v>22</v>
      </c>
      <c r="I743" t="s">
        <v>23</v>
      </c>
      <c r="J743" t="s">
        <v>24</v>
      </c>
      <c r="K743" t="s">
        <v>257</v>
      </c>
      <c r="L743">
        <v>28</v>
      </c>
      <c r="M743">
        <v>69</v>
      </c>
      <c r="N743">
        <v>3</v>
      </c>
      <c r="O743">
        <v>2</v>
      </c>
      <c r="P743">
        <v>160</v>
      </c>
      <c r="Q743">
        <v>0.50029999999999997</v>
      </c>
      <c r="R743">
        <v>457.30569694341682</v>
      </c>
      <c r="S743">
        <v>185.40569694341679</v>
      </c>
      <c r="T743">
        <v>0.36180555555555555</v>
      </c>
      <c r="U743">
        <v>40</v>
      </c>
      <c r="V743">
        <v>0.72777777777777775</v>
      </c>
      <c r="W743">
        <v>80.5</v>
      </c>
      <c r="X743">
        <v>14.4</v>
      </c>
      <c r="Y743">
        <v>40</v>
      </c>
      <c r="Z743">
        <v>0.40208333333333335</v>
      </c>
      <c r="AA743">
        <v>78.5</v>
      </c>
      <c r="AB743">
        <v>18</v>
      </c>
      <c r="AD743">
        <v>40.5</v>
      </c>
      <c r="AE743">
        <v>38.5</v>
      </c>
      <c r="AF743">
        <v>38.656235924806332</v>
      </c>
      <c r="AG743">
        <v>36.176857265255975</v>
      </c>
      <c r="AH743">
        <v>74.8330931900623</v>
      </c>
      <c r="AI743">
        <v>5.5664979731721127</v>
      </c>
      <c r="AJ743">
        <v>6.5118343077460752</v>
      </c>
      <c r="AK743">
        <v>12.078332280918188</v>
      </c>
      <c r="AL743">
        <v>163.63910113134131</v>
      </c>
      <c r="AM743">
        <v>40.543054281337184</v>
      </c>
      <c r="AN743">
        <v>2.4775896470365111</v>
      </c>
      <c r="AO743">
        <v>14.400000000000002</v>
      </c>
      <c r="AP743">
        <v>16.14036219275534</v>
      </c>
      <c r="AQ743">
        <v>26.41194361156769</v>
      </c>
      <c r="AR743">
        <v>65.14542152717307</v>
      </c>
      <c r="AS743">
        <v>-3.464225955555873</v>
      </c>
      <c r="AT743">
        <v>14.659085658461789</v>
      </c>
      <c r="AU743">
        <v>36.156836030998463</v>
      </c>
    </row>
    <row r="744" spans="1:48" x14ac:dyDescent="0.35">
      <c r="A744">
        <v>742</v>
      </c>
      <c r="B744">
        <v>46076</v>
      </c>
      <c r="C744" t="s">
        <v>16</v>
      </c>
      <c r="D744" t="s">
        <v>263</v>
      </c>
      <c r="E744" t="s">
        <v>264</v>
      </c>
      <c r="F744" t="s">
        <v>265</v>
      </c>
      <c r="G744" t="s">
        <v>266</v>
      </c>
      <c r="H744" t="s">
        <v>22</v>
      </c>
      <c r="I744" t="s">
        <v>23</v>
      </c>
      <c r="J744" t="s">
        <v>24</v>
      </c>
      <c r="K744" t="s">
        <v>262</v>
      </c>
      <c r="L744">
        <v>28</v>
      </c>
      <c r="M744">
        <v>69</v>
      </c>
      <c r="N744">
        <v>3</v>
      </c>
      <c r="O744">
        <v>1</v>
      </c>
      <c r="P744">
        <v>161</v>
      </c>
      <c r="Q744">
        <v>0.5</v>
      </c>
      <c r="R744">
        <v>453.78425018639803</v>
      </c>
      <c r="S744">
        <v>191.48425018639807</v>
      </c>
      <c r="T744">
        <v>0.36180555555555555</v>
      </c>
      <c r="U744">
        <v>40</v>
      </c>
      <c r="V744">
        <v>0.72777777777777775</v>
      </c>
      <c r="W744">
        <v>76.5</v>
      </c>
      <c r="X744">
        <v>13.9</v>
      </c>
      <c r="Y744">
        <v>40</v>
      </c>
      <c r="Z744">
        <v>0.40277777777777779</v>
      </c>
      <c r="AA744">
        <v>79</v>
      </c>
      <c r="AB744">
        <v>16.3</v>
      </c>
      <c r="AD744">
        <v>36.5</v>
      </c>
      <c r="AE744">
        <v>39</v>
      </c>
      <c r="AF744">
        <v>34.656235924806332</v>
      </c>
      <c r="AG744">
        <v>36.676857265255975</v>
      </c>
      <c r="AH744">
        <v>71.3330931900623</v>
      </c>
      <c r="AI744">
        <v>4.8172167935480807</v>
      </c>
      <c r="AJ744">
        <v>5.978327734236724</v>
      </c>
      <c r="AK744">
        <v>10.795544527784806</v>
      </c>
      <c r="AL744">
        <v>157.19605332437445</v>
      </c>
      <c r="AM744">
        <v>42.197200565630766</v>
      </c>
      <c r="AN744">
        <v>2.6843676843817916</v>
      </c>
      <c r="AO744">
        <v>13.9</v>
      </c>
      <c r="AP744">
        <v>15.13399187530084</v>
      </c>
      <c r="AQ744">
        <v>23.790037938404407</v>
      </c>
      <c r="AR744">
        <v>56.378237464835941</v>
      </c>
      <c r="AS744">
        <v>-1.3659113713269242</v>
      </c>
      <c r="AT744">
        <v>13.203882648166319</v>
      </c>
      <c r="AU744">
        <v>31.29089719501621</v>
      </c>
    </row>
    <row r="745" spans="1:48" x14ac:dyDescent="0.35">
      <c r="A745">
        <v>743</v>
      </c>
      <c r="B745">
        <v>46076</v>
      </c>
      <c r="C745" t="s">
        <v>16</v>
      </c>
      <c r="D745" t="s">
        <v>263</v>
      </c>
      <c r="E745" t="s">
        <v>264</v>
      </c>
      <c r="F745" t="s">
        <v>265</v>
      </c>
      <c r="G745" t="s">
        <v>266</v>
      </c>
      <c r="H745" t="s">
        <v>22</v>
      </c>
      <c r="I745" t="s">
        <v>23</v>
      </c>
      <c r="J745" t="s">
        <v>24</v>
      </c>
      <c r="K745" t="s">
        <v>262</v>
      </c>
      <c r="L745">
        <v>28</v>
      </c>
      <c r="M745">
        <v>69</v>
      </c>
      <c r="N745">
        <v>3</v>
      </c>
      <c r="O745">
        <v>2</v>
      </c>
      <c r="P745">
        <v>162</v>
      </c>
      <c r="Q745">
        <v>0.50019999999999998</v>
      </c>
      <c r="R745">
        <v>453.96576388647253</v>
      </c>
      <c r="S745">
        <v>134.36576388647251</v>
      </c>
      <c r="T745">
        <v>0.36249999999999999</v>
      </c>
      <c r="U745">
        <v>41</v>
      </c>
      <c r="V745">
        <v>0.72847222222222219</v>
      </c>
      <c r="W745">
        <v>77.5</v>
      </c>
      <c r="X745">
        <v>13.6</v>
      </c>
      <c r="Y745">
        <v>40</v>
      </c>
      <c r="Z745">
        <v>0.40277777777777779</v>
      </c>
      <c r="AA745">
        <v>76</v>
      </c>
      <c r="AB745">
        <v>16.7</v>
      </c>
      <c r="AD745">
        <v>36.5</v>
      </c>
      <c r="AE745">
        <v>36</v>
      </c>
      <c r="AF745">
        <v>34.656235924806332</v>
      </c>
      <c r="AG745">
        <v>33.676857265255975</v>
      </c>
      <c r="AH745">
        <v>68.3330931900623</v>
      </c>
      <c r="AI745">
        <v>4.7132480857736612</v>
      </c>
      <c r="AJ745">
        <v>5.624035163297747</v>
      </c>
      <c r="AK745">
        <v>10.337283249071408</v>
      </c>
      <c r="AL745">
        <v>150.52477218777889</v>
      </c>
      <c r="AM745">
        <v>29.598215234590818</v>
      </c>
      <c r="AN745">
        <v>1.9663351622726388</v>
      </c>
      <c r="AO745">
        <v>13.6</v>
      </c>
      <c r="AP745">
        <v>15.127784747456394</v>
      </c>
      <c r="AQ745">
        <v>22.771063528166302</v>
      </c>
      <c r="AR745">
        <v>76.933907493024208</v>
      </c>
      <c r="AS745">
        <v>-0.32897459766295317</v>
      </c>
      <c r="AT745">
        <v>12.638334221169117</v>
      </c>
      <c r="AU745">
        <v>42.699649695090258</v>
      </c>
    </row>
    <row r="746" spans="1:48" x14ac:dyDescent="0.35">
      <c r="A746">
        <v>744</v>
      </c>
      <c r="B746">
        <v>46076</v>
      </c>
      <c r="C746" t="s">
        <v>16</v>
      </c>
      <c r="D746" t="s">
        <v>268</v>
      </c>
      <c r="E746" t="s">
        <v>269</v>
      </c>
      <c r="F746" t="s">
        <v>270</v>
      </c>
      <c r="G746" t="s">
        <v>271</v>
      </c>
      <c r="H746" t="s">
        <v>22</v>
      </c>
      <c r="I746" t="s">
        <v>23</v>
      </c>
      <c r="J746" t="s">
        <v>24</v>
      </c>
      <c r="K746" t="s">
        <v>267</v>
      </c>
      <c r="L746">
        <v>28</v>
      </c>
      <c r="M746">
        <v>69</v>
      </c>
      <c r="N746">
        <v>3</v>
      </c>
      <c r="O746">
        <v>1</v>
      </c>
      <c r="P746">
        <v>163</v>
      </c>
      <c r="Q746">
        <v>0.50019999999999998</v>
      </c>
      <c r="R746">
        <v>456.75217804236979</v>
      </c>
      <c r="S746">
        <v>246.85217804236981</v>
      </c>
      <c r="T746">
        <v>0.36249999999999999</v>
      </c>
      <c r="U746">
        <v>41</v>
      </c>
      <c r="V746">
        <v>0.72847222222222219</v>
      </c>
      <c r="W746">
        <v>90.5</v>
      </c>
      <c r="X746">
        <v>12.5</v>
      </c>
      <c r="Y746">
        <v>40</v>
      </c>
      <c r="Z746">
        <v>0.40347222222222223</v>
      </c>
      <c r="AA746">
        <v>91.5</v>
      </c>
      <c r="AB746">
        <v>14.2</v>
      </c>
      <c r="AD746">
        <v>49.5</v>
      </c>
      <c r="AE746">
        <v>51.5</v>
      </c>
      <c r="AF746">
        <v>47.656235924806332</v>
      </c>
      <c r="AG746">
        <v>49.176857265255975</v>
      </c>
      <c r="AH746">
        <v>96.8330931900623</v>
      </c>
      <c r="AI746">
        <v>5.9570294906007915</v>
      </c>
      <c r="AJ746">
        <v>6.9831137316663483</v>
      </c>
      <c r="AK746">
        <v>12.940143222267139</v>
      </c>
      <c r="AL746">
        <v>212.00357183864321</v>
      </c>
      <c r="AM746">
        <v>54.045101459695942</v>
      </c>
      <c r="AN746">
        <v>2.5492542880753866</v>
      </c>
      <c r="AO746">
        <v>12.5</v>
      </c>
      <c r="AP746">
        <v>13.363348000118567</v>
      </c>
      <c r="AQ746">
        <v>28.330775077479259</v>
      </c>
      <c r="AR746">
        <v>52.420615952783237</v>
      </c>
      <c r="AS746">
        <v>0.79580480095318629</v>
      </c>
      <c r="AT746">
        <v>15.724070319818939</v>
      </c>
      <c r="AU746">
        <v>29.094348784866543</v>
      </c>
    </row>
    <row r="747" spans="1:48" x14ac:dyDescent="0.35">
      <c r="A747">
        <v>745</v>
      </c>
      <c r="B747">
        <v>46076</v>
      </c>
      <c r="C747" t="s">
        <v>16</v>
      </c>
      <c r="D747" t="s">
        <v>268</v>
      </c>
      <c r="E747" t="s">
        <v>269</v>
      </c>
      <c r="F747" t="s">
        <v>270</v>
      </c>
      <c r="G747" t="s">
        <v>271</v>
      </c>
      <c r="H747" t="s">
        <v>22</v>
      </c>
      <c r="I747" t="s">
        <v>23</v>
      </c>
      <c r="J747" t="s">
        <v>24</v>
      </c>
      <c r="K747" t="s">
        <v>267</v>
      </c>
      <c r="L747">
        <v>28</v>
      </c>
      <c r="M747">
        <v>69</v>
      </c>
      <c r="N747">
        <v>3</v>
      </c>
      <c r="O747">
        <v>2</v>
      </c>
      <c r="P747">
        <v>164</v>
      </c>
      <c r="Q747">
        <v>0.50049999999999994</v>
      </c>
      <c r="R747">
        <v>457.02611977250314</v>
      </c>
      <c r="S747">
        <v>306.42611977250317</v>
      </c>
      <c r="T747">
        <v>0.36249999999999999</v>
      </c>
      <c r="U747">
        <v>40.5</v>
      </c>
      <c r="V747">
        <v>0.72916666666666663</v>
      </c>
      <c r="W747">
        <v>89.5</v>
      </c>
      <c r="X747">
        <v>12.3</v>
      </c>
      <c r="Y747">
        <v>40</v>
      </c>
      <c r="Z747">
        <v>0.40416666666666667</v>
      </c>
      <c r="AA747">
        <v>87</v>
      </c>
      <c r="AB747">
        <v>14.3</v>
      </c>
      <c r="AD747">
        <v>49</v>
      </c>
      <c r="AE747">
        <v>47</v>
      </c>
      <c r="AF747">
        <v>47.156235924806332</v>
      </c>
      <c r="AG747">
        <v>44.676857265255975</v>
      </c>
      <c r="AH747">
        <v>91.8330931900623</v>
      </c>
      <c r="AI747">
        <v>5.8002170187511792</v>
      </c>
      <c r="AJ747">
        <v>6.388790588931605</v>
      </c>
      <c r="AK747">
        <v>12.189007607682784</v>
      </c>
      <c r="AL747">
        <v>200.93620302440189</v>
      </c>
      <c r="AM747">
        <v>67.047835236426948</v>
      </c>
      <c r="AN747">
        <v>3.3367722803184745</v>
      </c>
      <c r="AO747">
        <v>12.3</v>
      </c>
      <c r="AP747">
        <v>13.273001250710148</v>
      </c>
      <c r="AQ747">
        <v>26.670264740558341</v>
      </c>
      <c r="AR747">
        <v>39.777965457814574</v>
      </c>
      <c r="AS747">
        <v>0.3050746403196356</v>
      </c>
      <c r="AT747">
        <v>14.802458354275288</v>
      </c>
      <c r="AU747">
        <v>22.077459029181515</v>
      </c>
    </row>
    <row r="748" spans="1:48" x14ac:dyDescent="0.35">
      <c r="A748">
        <v>746</v>
      </c>
      <c r="B748">
        <v>46076</v>
      </c>
      <c r="C748" t="s">
        <v>16</v>
      </c>
      <c r="D748" t="s">
        <v>273</v>
      </c>
      <c r="E748" t="s">
        <v>235</v>
      </c>
      <c r="F748" t="s">
        <v>274</v>
      </c>
      <c r="G748" t="s">
        <v>275</v>
      </c>
      <c r="H748" t="s">
        <v>22</v>
      </c>
      <c r="I748" t="s">
        <v>23</v>
      </c>
      <c r="J748" t="s">
        <v>24</v>
      </c>
      <c r="K748" t="s">
        <v>272</v>
      </c>
      <c r="L748">
        <v>28</v>
      </c>
      <c r="M748">
        <v>69</v>
      </c>
      <c r="N748">
        <v>3</v>
      </c>
      <c r="O748">
        <v>1</v>
      </c>
      <c r="P748">
        <v>165</v>
      </c>
      <c r="Q748">
        <v>0.5</v>
      </c>
      <c r="R748">
        <v>451.27743225677466</v>
      </c>
      <c r="S748">
        <v>204.27743225677466</v>
      </c>
      <c r="T748">
        <v>0.36319444444444443</v>
      </c>
      <c r="U748">
        <v>41</v>
      </c>
      <c r="V748">
        <v>0.72916666666666663</v>
      </c>
      <c r="W748">
        <v>78.5</v>
      </c>
      <c r="X748">
        <v>12.6</v>
      </c>
      <c r="Y748">
        <v>40</v>
      </c>
      <c r="Z748">
        <v>0.40416666666666667</v>
      </c>
      <c r="AA748">
        <v>74.5</v>
      </c>
      <c r="AB748">
        <v>17.8</v>
      </c>
      <c r="AD748">
        <v>37.5</v>
      </c>
      <c r="AE748">
        <v>34.5</v>
      </c>
      <c r="AF748">
        <v>35.656235924806332</v>
      </c>
      <c r="AG748">
        <v>32.176857265255975</v>
      </c>
      <c r="AH748">
        <v>67.8330931900623</v>
      </c>
      <c r="AI748">
        <v>4.4926857265255977</v>
      </c>
      <c r="AJ748">
        <v>5.7274805932155646</v>
      </c>
      <c r="AK748">
        <v>10.220166319741162</v>
      </c>
      <c r="AL748">
        <v>150.31350637420221</v>
      </c>
      <c r="AM748">
        <v>45.266485238406915</v>
      </c>
      <c r="AN748">
        <v>3.0114715789888491</v>
      </c>
      <c r="AO748">
        <v>12.6</v>
      </c>
      <c r="AP748">
        <v>15.066637593991423</v>
      </c>
      <c r="AQ748">
        <v>22.647191260222243</v>
      </c>
      <c r="AR748">
        <v>50.030814499834307</v>
      </c>
      <c r="AS748">
        <v>-1.9112154756033037</v>
      </c>
      <c r="AT748">
        <v>12.569582969341342</v>
      </c>
      <c r="AU748">
        <v>27.76796763243399</v>
      </c>
    </row>
    <row r="749" spans="1:48" x14ac:dyDescent="0.35">
      <c r="A749">
        <v>747</v>
      </c>
      <c r="B749">
        <v>46076</v>
      </c>
      <c r="C749" t="s">
        <v>16</v>
      </c>
      <c r="D749" t="s">
        <v>273</v>
      </c>
      <c r="E749" t="s">
        <v>235</v>
      </c>
      <c r="F749" t="s">
        <v>274</v>
      </c>
      <c r="G749" t="s">
        <v>275</v>
      </c>
      <c r="H749" t="s">
        <v>22</v>
      </c>
      <c r="I749" t="s">
        <v>23</v>
      </c>
      <c r="J749" t="s">
        <v>24</v>
      </c>
      <c r="K749" t="s">
        <v>272</v>
      </c>
      <c r="L749">
        <v>28</v>
      </c>
      <c r="M749">
        <v>69</v>
      </c>
      <c r="N749">
        <v>3</v>
      </c>
      <c r="O749">
        <v>2</v>
      </c>
      <c r="P749">
        <v>166</v>
      </c>
      <c r="Q749">
        <v>0.50019999999999998</v>
      </c>
      <c r="R749">
        <v>451.45794322967731</v>
      </c>
      <c r="S749">
        <v>162.05794322967733</v>
      </c>
      <c r="T749">
        <v>0.36319444444444443</v>
      </c>
      <c r="U749">
        <v>40</v>
      </c>
      <c r="V749">
        <v>0.72986111111111107</v>
      </c>
      <c r="W749">
        <v>77.5</v>
      </c>
      <c r="X749">
        <v>13</v>
      </c>
      <c r="Y749">
        <v>39</v>
      </c>
      <c r="Z749">
        <v>0.40486111111111112</v>
      </c>
      <c r="AA749">
        <v>75</v>
      </c>
      <c r="AB749">
        <v>17.899999999999999</v>
      </c>
      <c r="AD749">
        <v>37.5</v>
      </c>
      <c r="AE749">
        <v>36</v>
      </c>
      <c r="AF749">
        <v>35.656235924806332</v>
      </c>
      <c r="AG749">
        <v>33.676857265255975</v>
      </c>
      <c r="AH749">
        <v>69.3330931900623</v>
      </c>
      <c r="AI749">
        <v>4.6353106702248237</v>
      </c>
      <c r="AJ749">
        <v>6.0281574504808191</v>
      </c>
      <c r="AK749">
        <v>10.663468120705643</v>
      </c>
      <c r="AL749">
        <v>153.57597364233192</v>
      </c>
      <c r="AM749">
        <v>35.896575895937012</v>
      </c>
      <c r="AN749">
        <v>2.3373822769659083</v>
      </c>
      <c r="AO749">
        <v>13</v>
      </c>
      <c r="AP749">
        <v>15.380055367606282</v>
      </c>
      <c r="AQ749">
        <v>23.620069777531079</v>
      </c>
      <c r="AR749">
        <v>65.800342199782193</v>
      </c>
      <c r="AS749">
        <v>-0.45605351066635202</v>
      </c>
      <c r="AT749">
        <v>13.109547378256003</v>
      </c>
      <c r="AU749">
        <v>36.520328335104018</v>
      </c>
    </row>
    <row r="750" spans="1:48" x14ac:dyDescent="0.35">
      <c r="A750">
        <v>748</v>
      </c>
      <c r="B750">
        <v>46076</v>
      </c>
      <c r="C750" t="s">
        <v>16</v>
      </c>
      <c r="D750" t="s">
        <v>277</v>
      </c>
      <c r="E750" t="s">
        <v>269</v>
      </c>
      <c r="F750" t="s">
        <v>270</v>
      </c>
      <c r="G750" t="s">
        <v>271</v>
      </c>
      <c r="H750" t="s">
        <v>22</v>
      </c>
      <c r="I750" t="s">
        <v>23</v>
      </c>
      <c r="J750" t="s">
        <v>24</v>
      </c>
      <c r="K750" t="s">
        <v>276</v>
      </c>
      <c r="L750">
        <v>28</v>
      </c>
      <c r="M750">
        <v>69</v>
      </c>
      <c r="N750">
        <v>3</v>
      </c>
      <c r="O750">
        <v>1</v>
      </c>
      <c r="P750">
        <v>167</v>
      </c>
      <c r="Q750">
        <v>0.5</v>
      </c>
      <c r="R750">
        <v>460.02899710028976</v>
      </c>
      <c r="S750">
        <v>225.72899710028969</v>
      </c>
      <c r="T750">
        <v>0.36458333333333331</v>
      </c>
      <c r="U750">
        <v>41.5</v>
      </c>
      <c r="V750">
        <v>0.73055555555555551</v>
      </c>
      <c r="W750">
        <v>84</v>
      </c>
      <c r="X750">
        <v>12.4</v>
      </c>
      <c r="Y750">
        <v>40.5</v>
      </c>
      <c r="Z750">
        <v>0.40555555555555556</v>
      </c>
      <c r="AA750">
        <v>88</v>
      </c>
      <c r="AB750">
        <v>15.1</v>
      </c>
      <c r="AD750">
        <v>42.5</v>
      </c>
      <c r="AE750">
        <v>47.5</v>
      </c>
      <c r="AF750">
        <v>40.656235924806332</v>
      </c>
      <c r="AG750">
        <v>45.176857265255975</v>
      </c>
      <c r="AH750">
        <v>85.8330931900623</v>
      </c>
      <c r="AI750">
        <v>5.0413732546759853</v>
      </c>
      <c r="AJ750">
        <v>6.8217054470536524</v>
      </c>
      <c r="AK750">
        <v>11.863078701729638</v>
      </c>
      <c r="AL750">
        <v>186.58191925095113</v>
      </c>
      <c r="AM750">
        <v>49.068427973699904</v>
      </c>
      <c r="AN750">
        <v>2.6298597511853905</v>
      </c>
      <c r="AO750">
        <v>12.4</v>
      </c>
      <c r="AP750">
        <v>13.821101233601047</v>
      </c>
      <c r="AQ750">
        <v>25.787675943269718</v>
      </c>
      <c r="AR750">
        <v>52.55451826802279</v>
      </c>
      <c r="AS750">
        <v>-6.3133595417032815</v>
      </c>
      <c r="AT750">
        <v>14.312606302077727</v>
      </c>
      <c r="AU750">
        <v>29.168666886473549</v>
      </c>
    </row>
    <row r="751" spans="1:48" x14ac:dyDescent="0.35">
      <c r="A751">
        <v>749</v>
      </c>
      <c r="B751">
        <v>46076</v>
      </c>
      <c r="C751" t="s">
        <v>16</v>
      </c>
      <c r="D751" t="s">
        <v>277</v>
      </c>
      <c r="E751" t="s">
        <v>269</v>
      </c>
      <c r="F751" t="s">
        <v>270</v>
      </c>
      <c r="G751" t="s">
        <v>271</v>
      </c>
      <c r="H751" t="s">
        <v>22</v>
      </c>
      <c r="I751" t="s">
        <v>23</v>
      </c>
      <c r="J751" t="s">
        <v>24</v>
      </c>
      <c r="K751" t="s">
        <v>276</v>
      </c>
      <c r="L751">
        <v>28</v>
      </c>
      <c r="M751">
        <v>69</v>
      </c>
      <c r="N751">
        <v>3</v>
      </c>
      <c r="O751">
        <v>2</v>
      </c>
      <c r="P751">
        <v>168</v>
      </c>
      <c r="Q751">
        <v>0.50049999999999994</v>
      </c>
      <c r="R751">
        <v>460.48902609739002</v>
      </c>
      <c r="S751">
        <v>260.08902609738999</v>
      </c>
      <c r="T751">
        <v>0.36388888888888887</v>
      </c>
      <c r="U751">
        <v>40.5</v>
      </c>
      <c r="V751">
        <v>0.73055555555555551</v>
      </c>
      <c r="W751">
        <v>83.5</v>
      </c>
      <c r="X751">
        <v>12.4</v>
      </c>
      <c r="Y751">
        <v>39.5</v>
      </c>
      <c r="Z751">
        <v>0.40625</v>
      </c>
      <c r="AA751">
        <v>91.5</v>
      </c>
      <c r="AB751">
        <v>14.7</v>
      </c>
      <c r="AD751">
        <v>43</v>
      </c>
      <c r="AE751">
        <v>52</v>
      </c>
      <c r="AF751">
        <v>41.156235924806332</v>
      </c>
      <c r="AG751">
        <v>49.676857265255975</v>
      </c>
      <c r="AH751">
        <v>90.8330931900623</v>
      </c>
      <c r="AI751">
        <v>5.1033732546759847</v>
      </c>
      <c r="AJ751">
        <v>7.3024980179926278</v>
      </c>
      <c r="AK751">
        <v>12.405871272668612</v>
      </c>
      <c r="AL751">
        <v>197.25354577907308</v>
      </c>
      <c r="AM751">
        <v>56.481047616188597</v>
      </c>
      <c r="AN751">
        <v>2.8633729950511619</v>
      </c>
      <c r="AO751">
        <v>12.399999999999999</v>
      </c>
      <c r="AP751">
        <v>13.657876041620799</v>
      </c>
      <c r="AQ751">
        <v>26.940644770207538</v>
      </c>
      <c r="AR751">
        <v>47.698557139520567</v>
      </c>
      <c r="AS751">
        <v>0.95809260333516666</v>
      </c>
      <c r="AT751">
        <v>14.952523948585775</v>
      </c>
      <c r="AU751">
        <v>26.473524446986502</v>
      </c>
    </row>
    <row r="752" spans="1:48" x14ac:dyDescent="0.35">
      <c r="A752">
        <v>750</v>
      </c>
      <c r="B752">
        <v>46076</v>
      </c>
      <c r="C752" t="s">
        <v>16</v>
      </c>
      <c r="D752" t="s">
        <v>279</v>
      </c>
      <c r="E752" t="s">
        <v>269</v>
      </c>
      <c r="F752" t="s">
        <v>270</v>
      </c>
      <c r="G752" t="s">
        <v>271</v>
      </c>
      <c r="H752" t="s">
        <v>22</v>
      </c>
      <c r="I752" t="s">
        <v>23</v>
      </c>
      <c r="J752" t="s">
        <v>24</v>
      </c>
      <c r="K752" t="s">
        <v>278</v>
      </c>
      <c r="L752">
        <v>28</v>
      </c>
      <c r="M752">
        <v>69</v>
      </c>
      <c r="N752">
        <v>3</v>
      </c>
      <c r="O752">
        <v>1</v>
      </c>
      <c r="P752">
        <v>169</v>
      </c>
      <c r="Q752">
        <v>0.50019999999999998</v>
      </c>
      <c r="R752">
        <v>461.02106578684254</v>
      </c>
      <c r="S752">
        <v>180.3210657868425</v>
      </c>
      <c r="T752">
        <v>0.36458333333333331</v>
      </c>
      <c r="U752">
        <v>40.5</v>
      </c>
      <c r="V752">
        <v>0.73124999999999996</v>
      </c>
      <c r="W752">
        <v>82</v>
      </c>
      <c r="X752">
        <v>12.7</v>
      </c>
      <c r="Y752">
        <v>40</v>
      </c>
      <c r="Z752">
        <v>0.40763888888888888</v>
      </c>
      <c r="AA752">
        <v>80</v>
      </c>
      <c r="AB752">
        <v>13.9</v>
      </c>
      <c r="AD752">
        <v>41.5</v>
      </c>
      <c r="AE752">
        <v>40</v>
      </c>
      <c r="AV752" t="s">
        <v>649</v>
      </c>
    </row>
    <row r="753" spans="1:48" x14ac:dyDescent="0.35">
      <c r="A753">
        <v>751</v>
      </c>
      <c r="B753">
        <v>46076</v>
      </c>
      <c r="C753" t="s">
        <v>16</v>
      </c>
      <c r="D753" t="s">
        <v>279</v>
      </c>
      <c r="E753" t="s">
        <v>269</v>
      </c>
      <c r="F753" t="s">
        <v>270</v>
      </c>
      <c r="G753" t="s">
        <v>271</v>
      </c>
      <c r="H753" t="s">
        <v>22</v>
      </c>
      <c r="I753" t="s">
        <v>23</v>
      </c>
      <c r="J753" t="s">
        <v>24</v>
      </c>
      <c r="K753" t="s">
        <v>278</v>
      </c>
      <c r="L753">
        <v>28</v>
      </c>
      <c r="M753">
        <v>69</v>
      </c>
      <c r="N753">
        <v>3</v>
      </c>
      <c r="O753">
        <v>2</v>
      </c>
      <c r="P753">
        <v>170</v>
      </c>
      <c r="Q753">
        <v>0.50009999999999999</v>
      </c>
      <c r="R753">
        <v>460.9288984406237</v>
      </c>
      <c r="S753">
        <v>181.02889844062366</v>
      </c>
      <c r="T753">
        <v>0.36458333333333331</v>
      </c>
      <c r="U753">
        <v>40.5</v>
      </c>
      <c r="V753">
        <v>0.7319444444444444</v>
      </c>
      <c r="W753">
        <v>82.5</v>
      </c>
      <c r="X753">
        <v>12.6</v>
      </c>
      <c r="Y753">
        <v>40.5</v>
      </c>
      <c r="Z753">
        <v>0.40833333333333333</v>
      </c>
      <c r="AA753">
        <v>85</v>
      </c>
      <c r="AB753">
        <v>13.4</v>
      </c>
      <c r="AD753">
        <v>42</v>
      </c>
      <c r="AE753">
        <v>44.5</v>
      </c>
      <c r="AV753" t="s">
        <v>649</v>
      </c>
    </row>
    <row r="754" spans="1:48" x14ac:dyDescent="0.35">
      <c r="A754">
        <v>752</v>
      </c>
      <c r="B754">
        <v>46076</v>
      </c>
      <c r="C754" t="s">
        <v>16</v>
      </c>
      <c r="D754" t="s">
        <v>281</v>
      </c>
      <c r="E754" t="s">
        <v>269</v>
      </c>
      <c r="F754" t="s">
        <v>282</v>
      </c>
      <c r="G754" t="s">
        <v>283</v>
      </c>
      <c r="H754" t="s">
        <v>22</v>
      </c>
      <c r="I754" t="s">
        <v>23</v>
      </c>
      <c r="J754" t="s">
        <v>24</v>
      </c>
      <c r="K754" t="s">
        <v>280</v>
      </c>
      <c r="L754">
        <v>28</v>
      </c>
      <c r="M754">
        <v>69</v>
      </c>
      <c r="N754">
        <v>3</v>
      </c>
      <c r="O754">
        <v>1</v>
      </c>
      <c r="P754">
        <v>171</v>
      </c>
      <c r="Q754">
        <v>0.50009999999999999</v>
      </c>
      <c r="R754">
        <v>456.05440367889656</v>
      </c>
      <c r="S754">
        <v>270.25440367889649</v>
      </c>
      <c r="T754">
        <v>0.36458333333333331</v>
      </c>
      <c r="U754">
        <v>40.5</v>
      </c>
      <c r="V754">
        <v>0.7319444444444444</v>
      </c>
      <c r="W754">
        <v>87.5</v>
      </c>
      <c r="X754">
        <v>13</v>
      </c>
      <c r="Y754">
        <v>40</v>
      </c>
      <c r="Z754">
        <v>0.40833333333333333</v>
      </c>
      <c r="AA754">
        <v>85</v>
      </c>
      <c r="AB754">
        <v>15.2</v>
      </c>
      <c r="AD754">
        <v>47</v>
      </c>
      <c r="AE754">
        <v>45</v>
      </c>
      <c r="AF754">
        <v>45.156235924806332</v>
      </c>
      <c r="AG754">
        <v>42.676857265255975</v>
      </c>
      <c r="AH754">
        <v>87.8330931900623</v>
      </c>
      <c r="AI754">
        <v>5.8703106702248231</v>
      </c>
      <c r="AJ754">
        <v>6.4868823043189083</v>
      </c>
      <c r="AK754">
        <v>12.357192974543732</v>
      </c>
      <c r="AL754">
        <v>192.59345481927355</v>
      </c>
      <c r="AM754">
        <v>59.259246594005035</v>
      </c>
      <c r="AN754">
        <v>3.0769086441495594</v>
      </c>
      <c r="AO754">
        <v>13</v>
      </c>
      <c r="AP754">
        <v>14.068948873067654</v>
      </c>
      <c r="AQ754">
        <v>27.095874691398247</v>
      </c>
      <c r="AR754">
        <v>45.724298314213463</v>
      </c>
      <c r="AS754">
        <v>0.68394432118900428</v>
      </c>
      <c r="AT754">
        <v>15.038679240485394</v>
      </c>
      <c r="AU754">
        <v>25.377776642213977</v>
      </c>
    </row>
    <row r="755" spans="1:48" x14ac:dyDescent="0.35">
      <c r="A755">
        <v>753</v>
      </c>
      <c r="B755">
        <v>46076</v>
      </c>
      <c r="C755" t="s">
        <v>16</v>
      </c>
      <c r="D755" t="s">
        <v>281</v>
      </c>
      <c r="E755" t="s">
        <v>269</v>
      </c>
      <c r="F755" t="s">
        <v>282</v>
      </c>
      <c r="G755" t="s">
        <v>283</v>
      </c>
      <c r="H755" t="s">
        <v>22</v>
      </c>
      <c r="I755" t="s">
        <v>23</v>
      </c>
      <c r="J755" t="s">
        <v>24</v>
      </c>
      <c r="K755" t="s">
        <v>280</v>
      </c>
      <c r="L755">
        <v>28</v>
      </c>
      <c r="M755">
        <v>69</v>
      </c>
      <c r="N755">
        <v>3</v>
      </c>
      <c r="O755">
        <v>2</v>
      </c>
      <c r="P755">
        <v>172</v>
      </c>
      <c r="Q755">
        <v>0.50019999999999998</v>
      </c>
      <c r="R755">
        <v>456.14559632110388</v>
      </c>
      <c r="S755">
        <v>283.64559632110388</v>
      </c>
      <c r="T755">
        <v>0.36458333333333331</v>
      </c>
      <c r="U755">
        <v>40.5</v>
      </c>
      <c r="V755">
        <v>0.73263888888888884</v>
      </c>
      <c r="W755">
        <v>86.5</v>
      </c>
      <c r="X755">
        <v>13.3</v>
      </c>
      <c r="Y755">
        <v>40</v>
      </c>
      <c r="Z755">
        <v>0.40902777777777777</v>
      </c>
      <c r="AA755">
        <v>87.5</v>
      </c>
      <c r="AB755">
        <v>15.5</v>
      </c>
      <c r="AD755">
        <v>46</v>
      </c>
      <c r="AE755">
        <v>47.5</v>
      </c>
      <c r="AF755">
        <v>44.156235924806332</v>
      </c>
      <c r="AG755">
        <v>45.176857265255975</v>
      </c>
      <c r="AH755">
        <v>89.3330931900623</v>
      </c>
      <c r="AI755">
        <v>5.8727793779992421</v>
      </c>
      <c r="AJ755">
        <v>7.0024128761146764</v>
      </c>
      <c r="AK755">
        <v>12.875192254113919</v>
      </c>
      <c r="AL755">
        <v>195.84337525244075</v>
      </c>
      <c r="AM755">
        <v>62.183127187625296</v>
      </c>
      <c r="AN755">
        <v>3.1751458075858672</v>
      </c>
      <c r="AO755">
        <v>13.3</v>
      </c>
      <c r="AP755">
        <v>14.412567386109718</v>
      </c>
      <c r="AQ755">
        <v>28.22605842948974</v>
      </c>
      <c r="AR755">
        <v>45.391828468714976</v>
      </c>
      <c r="AS755">
        <v>0.53763867987790337</v>
      </c>
      <c r="AT755">
        <v>15.665950768478043</v>
      </c>
      <c r="AU755">
        <v>25.193250125888866</v>
      </c>
    </row>
    <row r="756" spans="1:48" x14ac:dyDescent="0.35">
      <c r="A756">
        <v>754</v>
      </c>
      <c r="B756">
        <v>46076</v>
      </c>
      <c r="C756" t="s">
        <v>16</v>
      </c>
      <c r="D756" t="s">
        <v>285</v>
      </c>
      <c r="E756" t="s">
        <v>269</v>
      </c>
      <c r="F756" t="s">
        <v>282</v>
      </c>
      <c r="G756" t="s">
        <v>283</v>
      </c>
      <c r="H756" t="s">
        <v>22</v>
      </c>
      <c r="I756" t="s">
        <v>23</v>
      </c>
      <c r="J756" t="s">
        <v>24</v>
      </c>
      <c r="K756" t="s">
        <v>284</v>
      </c>
      <c r="L756">
        <v>28</v>
      </c>
      <c r="M756">
        <v>69</v>
      </c>
      <c r="N756">
        <v>3</v>
      </c>
      <c r="O756">
        <v>1</v>
      </c>
      <c r="P756">
        <v>173</v>
      </c>
      <c r="Q756">
        <v>0.50009999999999999</v>
      </c>
      <c r="R756">
        <v>467.12504216188375</v>
      </c>
      <c r="S756">
        <v>266.72504216188372</v>
      </c>
      <c r="T756">
        <v>0.36527777777777776</v>
      </c>
      <c r="U756">
        <v>41</v>
      </c>
      <c r="V756">
        <v>0.73263888888888884</v>
      </c>
      <c r="W756">
        <v>90</v>
      </c>
      <c r="X756">
        <v>13</v>
      </c>
      <c r="Y756">
        <v>40.5</v>
      </c>
      <c r="Z756">
        <v>0.40902777777777777</v>
      </c>
      <c r="AA756">
        <v>83</v>
      </c>
      <c r="AB756">
        <v>16.8</v>
      </c>
      <c r="AD756">
        <v>49</v>
      </c>
      <c r="AE756">
        <v>42.5</v>
      </c>
      <c r="AF756">
        <v>47.156235924806332</v>
      </c>
      <c r="AG756">
        <v>40.176857265255975</v>
      </c>
      <c r="AH756">
        <v>87.3330931900623</v>
      </c>
      <c r="AI756">
        <v>6.1303106702248229</v>
      </c>
      <c r="AJ756">
        <v>6.7497120205630043</v>
      </c>
      <c r="AK756">
        <v>12.880022690787827</v>
      </c>
      <c r="AL756">
        <v>186.95870550180592</v>
      </c>
      <c r="AM756">
        <v>57.099281367460762</v>
      </c>
      <c r="AN756">
        <v>3.0541119341944318</v>
      </c>
      <c r="AO756">
        <v>12.999999999999998</v>
      </c>
      <c r="AP756">
        <v>14.748158138355569</v>
      </c>
      <c r="AQ756">
        <v>27.572965540828815</v>
      </c>
      <c r="AR756">
        <v>48.289514124326359</v>
      </c>
      <c r="AS756">
        <v>0.53669042450521931</v>
      </c>
      <c r="AT756">
        <v>15.303472916086305</v>
      </c>
      <c r="AU756">
        <v>26.801515797723003</v>
      </c>
    </row>
    <row r="757" spans="1:48" x14ac:dyDescent="0.35">
      <c r="A757">
        <v>755</v>
      </c>
      <c r="B757">
        <v>46076</v>
      </c>
      <c r="C757" t="s">
        <v>16</v>
      </c>
      <c r="D757" t="s">
        <v>285</v>
      </c>
      <c r="E757" t="s">
        <v>269</v>
      </c>
      <c r="F757" t="s">
        <v>282</v>
      </c>
      <c r="G757" t="s">
        <v>283</v>
      </c>
      <c r="H757" t="s">
        <v>22</v>
      </c>
      <c r="I757" t="s">
        <v>23</v>
      </c>
      <c r="J757" t="s">
        <v>24</v>
      </c>
      <c r="K757" t="s">
        <v>284</v>
      </c>
      <c r="L757">
        <v>28</v>
      </c>
      <c r="M757">
        <v>69</v>
      </c>
      <c r="N757">
        <v>3</v>
      </c>
      <c r="O757">
        <v>2</v>
      </c>
      <c r="P757">
        <v>174</v>
      </c>
      <c r="Q757">
        <v>0.50049999999999994</v>
      </c>
      <c r="R757">
        <v>467.49866747055154</v>
      </c>
      <c r="S757">
        <v>204.69866747055153</v>
      </c>
      <c r="T757">
        <v>0.36527777777777776</v>
      </c>
      <c r="U757">
        <v>40.5</v>
      </c>
      <c r="V757">
        <v>0.73333333333333328</v>
      </c>
      <c r="W757">
        <v>88.5</v>
      </c>
      <c r="X757">
        <v>13.4</v>
      </c>
      <c r="Y757">
        <v>40.5</v>
      </c>
      <c r="Z757">
        <v>0.40972222222222221</v>
      </c>
      <c r="AA757">
        <v>83</v>
      </c>
      <c r="AB757">
        <v>17.100000000000001</v>
      </c>
      <c r="AD757">
        <v>48</v>
      </c>
      <c r="AE757">
        <v>42.5</v>
      </c>
      <c r="AF757">
        <v>46.156235924806332</v>
      </c>
      <c r="AG757">
        <v>40.176857265255975</v>
      </c>
      <c r="AH757">
        <v>86.3330931900623</v>
      </c>
      <c r="AI757">
        <v>6.1849356139240488</v>
      </c>
      <c r="AJ757">
        <v>6.870242592358772</v>
      </c>
      <c r="AK757">
        <v>13.055178206282822</v>
      </c>
      <c r="AL757">
        <v>184.67024442481551</v>
      </c>
      <c r="AM757">
        <v>43.785936028030669</v>
      </c>
      <c r="AN757">
        <v>2.3710336315635931</v>
      </c>
      <c r="AO757">
        <v>13.4</v>
      </c>
      <c r="AP757">
        <v>15.121870100891494</v>
      </c>
      <c r="AQ757">
        <v>27.925594476919418</v>
      </c>
      <c r="AR757">
        <v>63.777543682158921</v>
      </c>
      <c r="AS757">
        <v>31.561332330214164</v>
      </c>
      <c r="AT757">
        <v>15.499188076463234</v>
      </c>
      <c r="AU757">
        <v>35.397640161308964</v>
      </c>
    </row>
    <row r="758" spans="1:48" x14ac:dyDescent="0.35">
      <c r="A758">
        <v>756</v>
      </c>
      <c r="B758">
        <v>46076</v>
      </c>
      <c r="C758" t="s">
        <v>16</v>
      </c>
      <c r="D758" t="s">
        <v>287</v>
      </c>
      <c r="E758" t="s">
        <v>235</v>
      </c>
      <c r="F758" t="s">
        <v>274</v>
      </c>
      <c r="G758" t="s">
        <v>275</v>
      </c>
      <c r="H758" t="s">
        <v>22</v>
      </c>
      <c r="I758" t="s">
        <v>23</v>
      </c>
      <c r="J758" t="s">
        <v>24</v>
      </c>
      <c r="K758" t="s">
        <v>286</v>
      </c>
      <c r="L758">
        <v>28</v>
      </c>
      <c r="M758">
        <v>69</v>
      </c>
      <c r="N758">
        <v>3</v>
      </c>
      <c r="O758">
        <v>1</v>
      </c>
      <c r="P758">
        <v>175</v>
      </c>
      <c r="Q758">
        <v>0.50039999999999996</v>
      </c>
      <c r="R758">
        <v>460.84930124863939</v>
      </c>
      <c r="S758">
        <v>180.54930124863938</v>
      </c>
      <c r="T758">
        <v>0.36527777777777776</v>
      </c>
      <c r="U758">
        <v>40.5</v>
      </c>
      <c r="V758">
        <v>0.73402777777777772</v>
      </c>
      <c r="W758">
        <v>77.5</v>
      </c>
      <c r="X758">
        <v>12.4</v>
      </c>
      <c r="Y758">
        <v>40</v>
      </c>
      <c r="Z758">
        <v>0.41041666666666665</v>
      </c>
      <c r="AA758">
        <v>71.5</v>
      </c>
      <c r="AB758">
        <v>18</v>
      </c>
      <c r="AD758">
        <v>37</v>
      </c>
      <c r="AE758">
        <v>31.5</v>
      </c>
      <c r="AF758">
        <v>35.156235924806332</v>
      </c>
      <c r="AG758">
        <v>29.176857265255975</v>
      </c>
      <c r="AH758">
        <v>64.3330931900623</v>
      </c>
      <c r="AI758">
        <v>4.3593732546759849</v>
      </c>
      <c r="AJ758">
        <v>5.2518343077460754</v>
      </c>
      <c r="AK758">
        <v>9.6112075624220594</v>
      </c>
      <c r="AL758">
        <v>139.59681183362159</v>
      </c>
      <c r="AM758">
        <v>39.17751437605601</v>
      </c>
      <c r="AN758">
        <v>2.8064762985239033</v>
      </c>
      <c r="AO758">
        <v>12.399999999999999</v>
      </c>
      <c r="AP758">
        <v>14.939756641309341</v>
      </c>
      <c r="AQ758">
        <v>20.855423966969582</v>
      </c>
      <c r="AR758">
        <v>53.233147378323011</v>
      </c>
      <c r="AS758">
        <v>-0.41868271006622454</v>
      </c>
      <c r="AT758">
        <v>11.575121122151977</v>
      </c>
      <c r="AU758">
        <v>29.545317783678243</v>
      </c>
    </row>
    <row r="759" spans="1:48" x14ac:dyDescent="0.35">
      <c r="A759">
        <v>757</v>
      </c>
      <c r="B759">
        <v>46076</v>
      </c>
      <c r="C759" t="s">
        <v>16</v>
      </c>
      <c r="D759" t="s">
        <v>287</v>
      </c>
      <c r="E759" t="s">
        <v>235</v>
      </c>
      <c r="F759" t="s">
        <v>274</v>
      </c>
      <c r="G759" t="s">
        <v>275</v>
      </c>
      <c r="H759" t="s">
        <v>22</v>
      </c>
      <c r="I759" t="s">
        <v>23</v>
      </c>
      <c r="J759" t="s">
        <v>24</v>
      </c>
      <c r="K759" t="s">
        <v>286</v>
      </c>
      <c r="L759">
        <v>28</v>
      </c>
      <c r="M759">
        <v>69</v>
      </c>
      <c r="N759">
        <v>3</v>
      </c>
      <c r="O759">
        <v>2</v>
      </c>
      <c r="P759">
        <v>176</v>
      </c>
      <c r="Q759">
        <v>0.5</v>
      </c>
      <c r="R759">
        <v>460.48091651542705</v>
      </c>
      <c r="S759">
        <v>109.38091651542709</v>
      </c>
      <c r="T759">
        <v>0.36527777777777776</v>
      </c>
      <c r="U759">
        <v>40.5</v>
      </c>
      <c r="V759">
        <v>0.73402777777777772</v>
      </c>
      <c r="W759">
        <v>77.5</v>
      </c>
      <c r="X759">
        <v>12.7</v>
      </c>
      <c r="Y759">
        <v>39.5</v>
      </c>
      <c r="Z759">
        <v>0.41111111111111109</v>
      </c>
      <c r="AA759">
        <v>72.5</v>
      </c>
      <c r="AB759">
        <v>18</v>
      </c>
      <c r="AD759">
        <v>37</v>
      </c>
      <c r="AE759">
        <v>33</v>
      </c>
      <c r="AF759">
        <v>35.156235924806332</v>
      </c>
      <c r="AG759">
        <v>30.676857265255975</v>
      </c>
      <c r="AH759">
        <v>65.8330931900623</v>
      </c>
      <c r="AI759">
        <v>4.4648419624504045</v>
      </c>
      <c r="AJ759">
        <v>5.521834307746075</v>
      </c>
      <c r="AK759">
        <v>9.9866762701964795</v>
      </c>
      <c r="AL759">
        <v>142.96595326520281</v>
      </c>
      <c r="AM759">
        <v>23.753626391977221</v>
      </c>
      <c r="AN759">
        <v>1.6614883368709532</v>
      </c>
      <c r="AO759">
        <v>12.700000000000001</v>
      </c>
      <c r="AP759">
        <v>15.169690175979758</v>
      </c>
      <c r="AQ759">
        <v>21.687492167467283</v>
      </c>
      <c r="AR759">
        <v>91.301815603162908</v>
      </c>
      <c r="AS759">
        <v>-0.18447378004837342</v>
      </c>
      <c r="AT759">
        <v>12.036933369071805</v>
      </c>
      <c r="AU759">
        <v>50.67408727594232</v>
      </c>
    </row>
    <row r="760" spans="1:48" x14ac:dyDescent="0.35">
      <c r="A760">
        <v>758</v>
      </c>
      <c r="B760">
        <v>46076</v>
      </c>
      <c r="C760" t="s">
        <v>16</v>
      </c>
      <c r="D760" t="s">
        <v>289</v>
      </c>
      <c r="E760" t="s">
        <v>290</v>
      </c>
      <c r="F760" t="s">
        <v>291</v>
      </c>
      <c r="G760" t="s">
        <v>292</v>
      </c>
      <c r="H760" t="s">
        <v>22</v>
      </c>
      <c r="I760" t="s">
        <v>23</v>
      </c>
      <c r="J760" t="s">
        <v>24</v>
      </c>
      <c r="K760" t="s">
        <v>288</v>
      </c>
      <c r="L760">
        <v>28</v>
      </c>
      <c r="M760">
        <v>69</v>
      </c>
      <c r="N760">
        <v>3</v>
      </c>
      <c r="O760">
        <v>1</v>
      </c>
      <c r="P760">
        <v>177</v>
      </c>
      <c r="Q760">
        <v>0.5</v>
      </c>
      <c r="R760">
        <v>457.99192649976902</v>
      </c>
      <c r="S760">
        <v>233.79192649976895</v>
      </c>
      <c r="T760">
        <v>0.3659722222222222</v>
      </c>
      <c r="U760">
        <v>41</v>
      </c>
      <c r="V760">
        <v>0.73472222222222228</v>
      </c>
      <c r="W760">
        <v>76.5</v>
      </c>
      <c r="X760">
        <v>12.7</v>
      </c>
      <c r="Y760">
        <v>40.5</v>
      </c>
      <c r="Z760">
        <v>0.41180555555555554</v>
      </c>
      <c r="AA760">
        <v>85.5</v>
      </c>
      <c r="AB760">
        <v>16.3</v>
      </c>
      <c r="AD760">
        <v>35.5</v>
      </c>
      <c r="AE760">
        <v>45</v>
      </c>
      <c r="AF760">
        <v>33.656235924806332</v>
      </c>
      <c r="AG760">
        <v>42.676857265255975</v>
      </c>
      <c r="AH760">
        <v>76.3330931900623</v>
      </c>
      <c r="AI760">
        <v>4.2743419624504044</v>
      </c>
      <c r="AJ760">
        <v>6.9563277342367247</v>
      </c>
      <c r="AK760">
        <v>11.23066969668713</v>
      </c>
      <c r="AL760">
        <v>166.66908033388836</v>
      </c>
      <c r="AM760">
        <v>51.047172007274867</v>
      </c>
      <c r="AN760">
        <v>3.0627859651599443</v>
      </c>
      <c r="AO760">
        <v>12.700000000000001</v>
      </c>
      <c r="AP760">
        <v>14.712714010846918</v>
      </c>
      <c r="AQ760">
        <v>24.521545134033698</v>
      </c>
      <c r="AR760">
        <v>48.037029613587748</v>
      </c>
      <c r="AS760">
        <v>-0.76289816888108297</v>
      </c>
      <c r="AT760">
        <v>13.60988179757441</v>
      </c>
      <c r="AU760">
        <v>26.661382526018937</v>
      </c>
    </row>
    <row r="761" spans="1:48" x14ac:dyDescent="0.35">
      <c r="A761">
        <v>759</v>
      </c>
      <c r="B761">
        <v>46076</v>
      </c>
      <c r="C761" t="s">
        <v>16</v>
      </c>
      <c r="D761" t="s">
        <v>289</v>
      </c>
      <c r="E761" t="s">
        <v>290</v>
      </c>
      <c r="F761" t="s">
        <v>291</v>
      </c>
      <c r="G761" t="s">
        <v>292</v>
      </c>
      <c r="H761" t="s">
        <v>22</v>
      </c>
      <c r="I761" t="s">
        <v>23</v>
      </c>
      <c r="J761" t="s">
        <v>24</v>
      </c>
      <c r="K761" t="s">
        <v>288</v>
      </c>
      <c r="L761">
        <v>28</v>
      </c>
      <c r="M761">
        <v>69</v>
      </c>
      <c r="N761">
        <v>3</v>
      </c>
      <c r="O761">
        <v>2</v>
      </c>
      <c r="P761">
        <v>178</v>
      </c>
      <c r="Q761">
        <v>0.5</v>
      </c>
      <c r="R761">
        <v>457.99192649976902</v>
      </c>
      <c r="S761">
        <v>247.49192649976899</v>
      </c>
      <c r="T761">
        <v>0.3659722222222222</v>
      </c>
      <c r="U761">
        <v>40.5</v>
      </c>
      <c r="V761">
        <v>0.73472222222222228</v>
      </c>
      <c r="W761">
        <v>75.5</v>
      </c>
      <c r="X761">
        <v>12.5</v>
      </c>
      <c r="Y761">
        <v>40</v>
      </c>
      <c r="Z761">
        <v>0.41180555555555554</v>
      </c>
      <c r="AA761">
        <v>85</v>
      </c>
      <c r="AB761">
        <v>16</v>
      </c>
      <c r="AD761">
        <v>35</v>
      </c>
      <c r="AE761">
        <v>45</v>
      </c>
      <c r="AF761">
        <v>33.156235924806332</v>
      </c>
      <c r="AG761">
        <v>42.676857265255975</v>
      </c>
      <c r="AH761">
        <v>75.8330931900623</v>
      </c>
      <c r="AI761">
        <v>4.1445294906007915</v>
      </c>
      <c r="AJ761">
        <v>6.8282971624409559</v>
      </c>
      <c r="AK761">
        <v>10.972826653041746</v>
      </c>
      <c r="AL761">
        <v>165.57735803253411</v>
      </c>
      <c r="AM761">
        <v>54.038491112985554</v>
      </c>
      <c r="AN761">
        <v>3.2636401350459758</v>
      </c>
      <c r="AO761">
        <v>12.5</v>
      </c>
      <c r="AP761">
        <v>14.469707342070683</v>
      </c>
      <c r="AQ761">
        <v>23.958559132040246</v>
      </c>
      <c r="AR761">
        <v>44.33609939616349</v>
      </c>
      <c r="AS761">
        <v>-1.4230285460824958</v>
      </c>
      <c r="AT761">
        <v>13.297414826225797</v>
      </c>
      <c r="AU761">
        <v>24.607302225413921</v>
      </c>
    </row>
    <row r="762" spans="1:48" x14ac:dyDescent="0.35">
      <c r="A762">
        <v>760</v>
      </c>
      <c r="B762">
        <v>46076</v>
      </c>
      <c r="C762" t="s">
        <v>16</v>
      </c>
      <c r="D762" t="s">
        <v>294</v>
      </c>
      <c r="E762" t="s">
        <v>240</v>
      </c>
      <c r="F762" t="s">
        <v>241</v>
      </c>
      <c r="G762" t="s">
        <v>242</v>
      </c>
      <c r="H762" t="s">
        <v>22</v>
      </c>
      <c r="I762" t="s">
        <v>23</v>
      </c>
      <c r="J762" t="s">
        <v>24</v>
      </c>
      <c r="K762" t="s">
        <v>293</v>
      </c>
      <c r="L762">
        <v>28</v>
      </c>
      <c r="M762">
        <v>69</v>
      </c>
      <c r="N762">
        <v>3</v>
      </c>
      <c r="O762">
        <v>1</v>
      </c>
      <c r="P762">
        <v>179</v>
      </c>
      <c r="Q762">
        <v>0.50029999999999997</v>
      </c>
      <c r="R762">
        <v>464.01230808272004</v>
      </c>
      <c r="S762">
        <v>149.91230808272002</v>
      </c>
      <c r="T762">
        <v>0.3659722222222222</v>
      </c>
      <c r="U762">
        <v>40.5</v>
      </c>
      <c r="V762">
        <v>0.73541666666666672</v>
      </c>
      <c r="W762">
        <v>74.5</v>
      </c>
      <c r="X762">
        <v>11.3</v>
      </c>
      <c r="Y762">
        <v>40</v>
      </c>
      <c r="Z762">
        <v>0.41249999999999998</v>
      </c>
      <c r="AA762">
        <v>84</v>
      </c>
      <c r="AB762">
        <v>14.8</v>
      </c>
      <c r="AD762">
        <v>34</v>
      </c>
      <c r="AE762">
        <v>44</v>
      </c>
      <c r="AF762">
        <v>32.156235924806332</v>
      </c>
      <c r="AG762">
        <v>41.676857265255975</v>
      </c>
      <c r="AH762">
        <v>73.8330931900623</v>
      </c>
      <c r="AI762">
        <v>3.6336546595031156</v>
      </c>
      <c r="AJ762">
        <v>6.1681748752578853</v>
      </c>
      <c r="AK762">
        <v>9.8018295347610014</v>
      </c>
      <c r="AL762">
        <v>159.11882487586942</v>
      </c>
      <c r="AM762">
        <v>32.307830087988734</v>
      </c>
      <c r="AN762">
        <v>2.030421611848408</v>
      </c>
      <c r="AO762">
        <v>11.3</v>
      </c>
      <c r="AP762">
        <v>13.2756588018451</v>
      </c>
      <c r="AQ762">
        <v>21.12407228002585</v>
      </c>
      <c r="AR762">
        <v>65.383754410294685</v>
      </c>
      <c r="AS762">
        <v>-0.5372441684743855</v>
      </c>
      <c r="AT762">
        <v>11.724225583792894</v>
      </c>
      <c r="AU762">
        <v>36.289114904537264</v>
      </c>
    </row>
    <row r="763" spans="1:48" x14ac:dyDescent="0.35">
      <c r="A763">
        <v>761</v>
      </c>
      <c r="B763">
        <v>46076</v>
      </c>
      <c r="C763" t="s">
        <v>16</v>
      </c>
      <c r="D763" t="s">
        <v>294</v>
      </c>
      <c r="E763" t="s">
        <v>240</v>
      </c>
      <c r="F763" t="s">
        <v>241</v>
      </c>
      <c r="G763" t="s">
        <v>242</v>
      </c>
      <c r="H763" t="s">
        <v>22</v>
      </c>
      <c r="I763" t="s">
        <v>23</v>
      </c>
      <c r="J763" t="s">
        <v>24</v>
      </c>
      <c r="K763" t="s">
        <v>293</v>
      </c>
      <c r="L763">
        <v>28</v>
      </c>
      <c r="M763">
        <v>69</v>
      </c>
      <c r="N763">
        <v>3</v>
      </c>
      <c r="O763">
        <v>2</v>
      </c>
      <c r="P763">
        <v>180</v>
      </c>
      <c r="Q763">
        <v>0.50009999999999999</v>
      </c>
      <c r="R763">
        <v>463.82681445566323</v>
      </c>
      <c r="S763">
        <v>138.4268144556633</v>
      </c>
      <c r="T763">
        <v>0.3659722222222222</v>
      </c>
      <c r="U763">
        <v>41</v>
      </c>
      <c r="V763">
        <v>0.73541666666666672</v>
      </c>
      <c r="W763">
        <v>72</v>
      </c>
      <c r="X763">
        <v>11.2</v>
      </c>
      <c r="Y763">
        <v>40</v>
      </c>
      <c r="Z763">
        <v>0.41249999999999998</v>
      </c>
      <c r="AA763">
        <v>82</v>
      </c>
      <c r="AB763">
        <v>14.7</v>
      </c>
      <c r="AD763">
        <v>31</v>
      </c>
      <c r="AE763">
        <v>42</v>
      </c>
      <c r="AF763">
        <v>29.156235924806332</v>
      </c>
      <c r="AG763">
        <v>39.676857265255975</v>
      </c>
      <c r="AH763">
        <v>68.8330931900623</v>
      </c>
      <c r="AI763">
        <v>3.2654984235783089</v>
      </c>
      <c r="AJ763">
        <v>5.832498017992628</v>
      </c>
      <c r="AK763">
        <v>9.0979964415709365</v>
      </c>
      <c r="AL763">
        <v>148.4025740746431</v>
      </c>
      <c r="AM763">
        <v>29.844504487761863</v>
      </c>
      <c r="AN763">
        <v>2.01105032536368</v>
      </c>
      <c r="AO763">
        <v>11.199999999999998</v>
      </c>
      <c r="AP763">
        <v>13.217474357064706</v>
      </c>
      <c r="AQ763">
        <v>19.615072173539904</v>
      </c>
      <c r="AR763">
        <v>65.724234696485993</v>
      </c>
      <c r="AS763">
        <v>-0.40350209674020654</v>
      </c>
      <c r="AT763">
        <v>10.886704417424916</v>
      </c>
      <c r="AU763">
        <v>36.478087354035829</v>
      </c>
    </row>
    <row r="764" spans="1:48" x14ac:dyDescent="0.35">
      <c r="A764">
        <v>762</v>
      </c>
      <c r="B764">
        <v>46076</v>
      </c>
      <c r="C764" t="s">
        <v>16</v>
      </c>
      <c r="D764" t="s">
        <v>296</v>
      </c>
      <c r="E764" t="s">
        <v>240</v>
      </c>
      <c r="F764" t="s">
        <v>297</v>
      </c>
      <c r="G764" t="s">
        <v>298</v>
      </c>
      <c r="H764" t="s">
        <v>22</v>
      </c>
      <c r="I764" t="s">
        <v>23</v>
      </c>
      <c r="J764" t="s">
        <v>24</v>
      </c>
      <c r="K764" t="s">
        <v>295</v>
      </c>
      <c r="L764">
        <v>28</v>
      </c>
      <c r="M764">
        <v>69</v>
      </c>
      <c r="N764">
        <v>3</v>
      </c>
      <c r="O764">
        <v>1</v>
      </c>
      <c r="P764">
        <v>181</v>
      </c>
      <c r="Q764">
        <v>0.5</v>
      </c>
      <c r="R764">
        <v>458.60621646293623</v>
      </c>
      <c r="S764">
        <v>244.1062164629362</v>
      </c>
      <c r="T764">
        <v>0.36666666666666664</v>
      </c>
      <c r="U764">
        <v>40.5</v>
      </c>
      <c r="V764">
        <v>0.73611111111111116</v>
      </c>
      <c r="W764">
        <v>84.5</v>
      </c>
      <c r="X764">
        <v>11.5</v>
      </c>
      <c r="Y764">
        <v>40.5</v>
      </c>
      <c r="Z764">
        <v>0.41388888888888886</v>
      </c>
      <c r="AA764">
        <v>86.5</v>
      </c>
      <c r="AB764">
        <v>15.7</v>
      </c>
      <c r="AD764">
        <v>44</v>
      </c>
      <c r="AE764">
        <v>46</v>
      </c>
      <c r="AF764">
        <v>42.156235924806332</v>
      </c>
      <c r="AG764">
        <v>43.676857265255975</v>
      </c>
      <c r="AH764">
        <v>85.8330931900623</v>
      </c>
      <c r="AI764">
        <v>4.8479671313527284</v>
      </c>
      <c r="AJ764">
        <v>6.857266590645188</v>
      </c>
      <c r="AK764">
        <v>11.705233721997917</v>
      </c>
      <c r="AL764">
        <v>187.16077128666481</v>
      </c>
      <c r="AM764">
        <v>53.227847268543172</v>
      </c>
      <c r="AN764">
        <v>2.8439638767579525</v>
      </c>
      <c r="AO764">
        <v>11.500000000000002</v>
      </c>
      <c r="AP764">
        <v>13.637203655329925</v>
      </c>
      <c r="AQ764">
        <v>25.523495543248735</v>
      </c>
      <c r="AR764">
        <v>47.951395468763813</v>
      </c>
      <c r="AS764">
        <v>0.49876353790888006</v>
      </c>
      <c r="AT764">
        <v>14.165981609470926</v>
      </c>
      <c r="AU764">
        <v>26.613854094082065</v>
      </c>
    </row>
    <row r="765" spans="1:48" x14ac:dyDescent="0.35">
      <c r="A765">
        <v>763</v>
      </c>
      <c r="B765">
        <v>46076</v>
      </c>
      <c r="C765" t="s">
        <v>16</v>
      </c>
      <c r="D765" t="s">
        <v>296</v>
      </c>
      <c r="E765" t="s">
        <v>240</v>
      </c>
      <c r="F765" t="s">
        <v>297</v>
      </c>
      <c r="G765" t="s">
        <v>298</v>
      </c>
      <c r="H765" t="s">
        <v>22</v>
      </c>
      <c r="I765" t="s">
        <v>23</v>
      </c>
      <c r="J765" t="s">
        <v>24</v>
      </c>
      <c r="K765" t="s">
        <v>295</v>
      </c>
      <c r="L765">
        <v>28</v>
      </c>
      <c r="M765">
        <v>69</v>
      </c>
      <c r="N765">
        <v>3</v>
      </c>
      <c r="O765">
        <v>2</v>
      </c>
      <c r="P765">
        <v>182</v>
      </c>
      <c r="Q765">
        <v>0.50019999999999998</v>
      </c>
      <c r="R765">
        <v>458.78965894952137</v>
      </c>
      <c r="S765">
        <v>224.28965894952134</v>
      </c>
      <c r="T765">
        <v>0.36666666666666664</v>
      </c>
      <c r="U765">
        <v>40.5</v>
      </c>
      <c r="V765">
        <v>0.7368055555555556</v>
      </c>
      <c r="W765">
        <v>83.5</v>
      </c>
      <c r="X765">
        <v>11.4</v>
      </c>
      <c r="Y765">
        <v>40</v>
      </c>
      <c r="Z765">
        <v>0.41388888888888886</v>
      </c>
      <c r="AA765">
        <v>84.5</v>
      </c>
      <c r="AB765">
        <v>15.6</v>
      </c>
      <c r="AD765">
        <v>43</v>
      </c>
      <c r="AE765">
        <v>44.5</v>
      </c>
      <c r="AF765">
        <v>41.156235924806332</v>
      </c>
      <c r="AG765">
        <v>42.176857265255975</v>
      </c>
      <c r="AH765">
        <v>83.3330931900623</v>
      </c>
      <c r="AI765">
        <v>4.6918108954279223</v>
      </c>
      <c r="AJ765">
        <v>6.5795897333799322</v>
      </c>
      <c r="AK765">
        <v>11.271400628807854</v>
      </c>
      <c r="AL765">
        <v>181.63681670783055</v>
      </c>
      <c r="AM765">
        <v>48.887252485827929</v>
      </c>
      <c r="AN765">
        <v>2.6914836634945467</v>
      </c>
      <c r="AO765">
        <v>11.4</v>
      </c>
      <c r="AP765">
        <v>13.525719731896379</v>
      </c>
      <c r="AQ765">
        <v>24.567686757839493</v>
      </c>
      <c r="AR765">
        <v>50.253768638279467</v>
      </c>
      <c r="AS765">
        <v>0.68870190098305084</v>
      </c>
      <c r="AT765">
        <v>13.635491197084619</v>
      </c>
      <c r="AU765">
        <v>27.891711036609092</v>
      </c>
    </row>
    <row r="766" spans="1:48" x14ac:dyDescent="0.35">
      <c r="A766">
        <v>764</v>
      </c>
      <c r="B766">
        <v>46076</v>
      </c>
      <c r="C766" t="s">
        <v>16</v>
      </c>
      <c r="D766" t="s">
        <v>300</v>
      </c>
      <c r="E766" t="s">
        <v>212</v>
      </c>
      <c r="F766" t="s">
        <v>301</v>
      </c>
      <c r="G766" t="s">
        <v>302</v>
      </c>
      <c r="H766" t="s">
        <v>22</v>
      </c>
      <c r="I766" t="s">
        <v>23</v>
      </c>
      <c r="J766" t="s">
        <v>24</v>
      </c>
      <c r="K766" t="s">
        <v>299</v>
      </c>
      <c r="L766">
        <v>28</v>
      </c>
      <c r="M766">
        <v>69</v>
      </c>
      <c r="N766">
        <v>3</v>
      </c>
      <c r="O766">
        <v>1</v>
      </c>
      <c r="P766">
        <v>183</v>
      </c>
      <c r="Q766">
        <v>0.50029999999999997</v>
      </c>
      <c r="R766">
        <v>458.6062602118111</v>
      </c>
      <c r="S766">
        <v>190.10626021181116</v>
      </c>
      <c r="T766">
        <v>0.36666666666666664</v>
      </c>
      <c r="U766">
        <v>40.5</v>
      </c>
      <c r="V766">
        <v>0.73750000000000004</v>
      </c>
      <c r="W766">
        <v>86.5</v>
      </c>
      <c r="X766">
        <v>12.5</v>
      </c>
      <c r="Y766">
        <v>40</v>
      </c>
      <c r="Z766">
        <v>0.41388888888888886</v>
      </c>
      <c r="AA766">
        <v>85</v>
      </c>
      <c r="AB766">
        <v>16.2</v>
      </c>
      <c r="AD766">
        <v>46</v>
      </c>
      <c r="AE766">
        <v>45</v>
      </c>
      <c r="AF766">
        <v>44.156235924806332</v>
      </c>
      <c r="AG766">
        <v>42.676857265255975</v>
      </c>
      <c r="AH766">
        <v>86.8330931900623</v>
      </c>
      <c r="AI766">
        <v>5.5195294906007915</v>
      </c>
      <c r="AJ766">
        <v>6.9136508769714684</v>
      </c>
      <c r="AK766">
        <v>12.433180367572259</v>
      </c>
      <c r="AL766">
        <v>189.34127316525883</v>
      </c>
      <c r="AM766">
        <v>41.453045173000689</v>
      </c>
      <c r="AN766">
        <v>2.1893295888435316</v>
      </c>
      <c r="AO766">
        <v>12.5</v>
      </c>
      <c r="AP766">
        <v>14.318481480739402</v>
      </c>
      <c r="AQ766">
        <v>27.110795133563791</v>
      </c>
      <c r="AR766">
        <v>65.40121484542145</v>
      </c>
      <c r="AS766">
        <v>-0.80563057258461623</v>
      </c>
      <c r="AT766">
        <v>15.046960344026409</v>
      </c>
      <c r="AU766">
        <v>36.298805748116273</v>
      </c>
    </row>
    <row r="767" spans="1:48" x14ac:dyDescent="0.35">
      <c r="A767">
        <v>765</v>
      </c>
      <c r="B767">
        <v>46076</v>
      </c>
      <c r="C767" t="s">
        <v>16</v>
      </c>
      <c r="D767" t="s">
        <v>300</v>
      </c>
      <c r="E767" t="s">
        <v>212</v>
      </c>
      <c r="F767" t="s">
        <v>301</v>
      </c>
      <c r="G767" t="s">
        <v>302</v>
      </c>
      <c r="H767" t="s">
        <v>22</v>
      </c>
      <c r="I767" t="s">
        <v>23</v>
      </c>
      <c r="J767" t="s">
        <v>24</v>
      </c>
      <c r="K767" t="s">
        <v>299</v>
      </c>
      <c r="L767">
        <v>28</v>
      </c>
      <c r="M767">
        <v>69</v>
      </c>
      <c r="N767">
        <v>3</v>
      </c>
      <c r="O767">
        <v>2</v>
      </c>
      <c r="P767">
        <v>184</v>
      </c>
      <c r="Q767">
        <v>0.50039999999999996</v>
      </c>
      <c r="R767">
        <v>458.69792646410212</v>
      </c>
      <c r="S767">
        <v>175.99792646410219</v>
      </c>
      <c r="T767">
        <v>0.36736111111111114</v>
      </c>
      <c r="U767">
        <v>41</v>
      </c>
      <c r="V767">
        <v>0.73750000000000004</v>
      </c>
      <c r="W767">
        <v>85</v>
      </c>
      <c r="X767">
        <v>12.1</v>
      </c>
      <c r="Y767">
        <v>40.5</v>
      </c>
      <c r="Z767">
        <v>0.41458333333333336</v>
      </c>
      <c r="AA767">
        <v>85.5</v>
      </c>
      <c r="AB767">
        <v>16.7</v>
      </c>
      <c r="AD767">
        <v>44</v>
      </c>
      <c r="AE767">
        <v>45</v>
      </c>
      <c r="AF767">
        <v>42.156235924806332</v>
      </c>
      <c r="AG767">
        <v>42.676857265255975</v>
      </c>
      <c r="AH767">
        <v>84.8330931900623</v>
      </c>
      <c r="AI767">
        <v>5.1009045469015657</v>
      </c>
      <c r="AJ767">
        <v>7.1270351632977471</v>
      </c>
      <c r="AK767">
        <v>12.227939710199312</v>
      </c>
      <c r="AL767">
        <v>184.94326722599948</v>
      </c>
      <c r="AM767">
        <v>38.369025955881639</v>
      </c>
      <c r="AN767">
        <v>2.0746376189512716</v>
      </c>
      <c r="AO767">
        <v>12.1</v>
      </c>
      <c r="AP767">
        <v>14.414115117556202</v>
      </c>
      <c r="AQ767">
        <v>26.657935440125158</v>
      </c>
      <c r="AR767">
        <v>69.477748720485138</v>
      </c>
      <c r="AS767">
        <v>-0.56838722501203487</v>
      </c>
      <c r="AT767">
        <v>14.795615379225175</v>
      </c>
      <c r="AU767">
        <v>38.561352577044346</v>
      </c>
    </row>
    <row r="768" spans="1:48" x14ac:dyDescent="0.35">
      <c r="A768">
        <v>766</v>
      </c>
      <c r="B768">
        <v>46076</v>
      </c>
      <c r="C768" t="s">
        <v>16</v>
      </c>
      <c r="D768" t="s">
        <v>305</v>
      </c>
      <c r="E768" t="s">
        <v>212</v>
      </c>
      <c r="F768" t="s">
        <v>301</v>
      </c>
      <c r="G768" t="s">
        <v>302</v>
      </c>
      <c r="H768" t="s">
        <v>22</v>
      </c>
      <c r="I768" t="s">
        <v>23</v>
      </c>
      <c r="J768" t="s">
        <v>24</v>
      </c>
      <c r="K768" t="s">
        <v>304</v>
      </c>
      <c r="L768">
        <v>28</v>
      </c>
      <c r="M768">
        <v>69</v>
      </c>
      <c r="N768">
        <v>3</v>
      </c>
      <c r="O768">
        <v>1</v>
      </c>
      <c r="P768">
        <v>185</v>
      </c>
      <c r="Q768">
        <v>0.50009999999999999</v>
      </c>
      <c r="R768">
        <v>459.15203438968319</v>
      </c>
      <c r="S768">
        <v>188.35203438968313</v>
      </c>
      <c r="T768">
        <v>0.36736111111111114</v>
      </c>
      <c r="U768">
        <v>40.5</v>
      </c>
      <c r="V768">
        <v>0.73819444444444449</v>
      </c>
      <c r="W768">
        <v>83.5</v>
      </c>
      <c r="X768">
        <v>14.4</v>
      </c>
      <c r="Y768">
        <v>40</v>
      </c>
      <c r="Z768">
        <v>0.41458333333333336</v>
      </c>
      <c r="AA768">
        <v>74</v>
      </c>
      <c r="AB768">
        <v>17.2</v>
      </c>
      <c r="AD768">
        <v>43</v>
      </c>
      <c r="AE768">
        <v>34</v>
      </c>
      <c r="AF768">
        <v>41.156235924806332</v>
      </c>
      <c r="AG768">
        <v>31.676857265255975</v>
      </c>
      <c r="AH768">
        <v>72.8330931900623</v>
      </c>
      <c r="AI768">
        <v>5.9264979731721121</v>
      </c>
      <c r="AJ768">
        <v>5.4484194496240272</v>
      </c>
      <c r="AK768">
        <v>11.374917422796139</v>
      </c>
      <c r="AL768">
        <v>158.62522157148655</v>
      </c>
      <c r="AM768">
        <v>41.021714003738552</v>
      </c>
      <c r="AN768">
        <v>2.5860776487711057</v>
      </c>
      <c r="AO768">
        <v>14.4</v>
      </c>
      <c r="AP768">
        <v>15.617787086307887</v>
      </c>
      <c r="AQ768">
        <v>24.773749370218898</v>
      </c>
      <c r="AR768">
        <v>60.391794862499211</v>
      </c>
      <c r="AS768">
        <v>-0.66067850955562824</v>
      </c>
      <c r="AT768">
        <v>13.749859512052286</v>
      </c>
      <c r="AU768">
        <v>33.518490989428621</v>
      </c>
    </row>
    <row r="769" spans="1:48" x14ac:dyDescent="0.35">
      <c r="A769">
        <v>767</v>
      </c>
      <c r="B769">
        <v>46076</v>
      </c>
      <c r="C769" t="s">
        <v>16</v>
      </c>
      <c r="D769" t="s">
        <v>305</v>
      </c>
      <c r="E769" t="s">
        <v>212</v>
      </c>
      <c r="F769" t="s">
        <v>301</v>
      </c>
      <c r="G769" t="s">
        <v>302</v>
      </c>
      <c r="H769" t="s">
        <v>22</v>
      </c>
      <c r="I769" t="s">
        <v>23</v>
      </c>
      <c r="J769" t="s">
        <v>24</v>
      </c>
      <c r="K769" t="s">
        <v>304</v>
      </c>
      <c r="L769">
        <v>28</v>
      </c>
      <c r="M769">
        <v>69</v>
      </c>
      <c r="N769">
        <v>3</v>
      </c>
      <c r="O769">
        <v>2</v>
      </c>
      <c r="P769">
        <v>186</v>
      </c>
      <c r="Q769">
        <v>0.5</v>
      </c>
      <c r="R769">
        <v>459.06022234521413</v>
      </c>
      <c r="S769">
        <v>224.16022234521412</v>
      </c>
      <c r="T769">
        <v>0.36736111111111114</v>
      </c>
      <c r="U769">
        <v>41</v>
      </c>
      <c r="V769">
        <v>0.73888888888888893</v>
      </c>
      <c r="W769">
        <v>83.5</v>
      </c>
      <c r="X769">
        <v>14.4</v>
      </c>
      <c r="Y769">
        <v>40.5</v>
      </c>
      <c r="Z769">
        <v>0.41597222222222224</v>
      </c>
      <c r="AA769">
        <v>75.5</v>
      </c>
      <c r="AB769">
        <v>17</v>
      </c>
      <c r="AD769">
        <v>42.5</v>
      </c>
      <c r="AE769">
        <v>35</v>
      </c>
      <c r="AF769">
        <v>40.656235924806332</v>
      </c>
      <c r="AG769">
        <v>32.676857265255975</v>
      </c>
      <c r="AH769">
        <v>73.3330931900623</v>
      </c>
      <c r="AI769">
        <v>5.8544979731721121</v>
      </c>
      <c r="AJ769">
        <v>5.5550657350935166</v>
      </c>
      <c r="AK769">
        <v>11.40956370826563</v>
      </c>
      <c r="AL769">
        <v>159.74612833022957</v>
      </c>
      <c r="AM769">
        <v>48.830243056137675</v>
      </c>
      <c r="AN769">
        <v>3.0567403145567993</v>
      </c>
      <c r="AO769">
        <v>14.4</v>
      </c>
      <c r="AP769">
        <v>15.558546915094249</v>
      </c>
      <c r="AQ769">
        <v>24.854176321305435</v>
      </c>
      <c r="AR769">
        <v>50.899145213616563</v>
      </c>
      <c r="AS769">
        <v>-6.7198915043128391</v>
      </c>
      <c r="AT769">
        <v>13.79449786137506</v>
      </c>
      <c r="AU769">
        <v>28.249906201605871</v>
      </c>
    </row>
    <row r="770" spans="1:48" x14ac:dyDescent="0.35">
      <c r="A770">
        <v>768</v>
      </c>
      <c r="B770">
        <v>46076</v>
      </c>
      <c r="C770" t="s">
        <v>16</v>
      </c>
      <c r="D770" t="s">
        <v>307</v>
      </c>
      <c r="E770" t="s">
        <v>212</v>
      </c>
      <c r="F770" t="s">
        <v>213</v>
      </c>
      <c r="G770" t="s">
        <v>214</v>
      </c>
      <c r="H770" t="s">
        <v>22</v>
      </c>
      <c r="I770" t="s">
        <v>23</v>
      </c>
      <c r="J770" t="s">
        <v>24</v>
      </c>
      <c r="K770" t="s">
        <v>306</v>
      </c>
      <c r="L770">
        <v>28</v>
      </c>
      <c r="M770">
        <v>69</v>
      </c>
      <c r="N770">
        <v>3</v>
      </c>
      <c r="O770">
        <v>1</v>
      </c>
      <c r="P770">
        <v>187</v>
      </c>
      <c r="Q770">
        <v>0.5</v>
      </c>
      <c r="R770">
        <v>453.54357571419951</v>
      </c>
      <c r="S770">
        <v>69.84357571419946</v>
      </c>
      <c r="T770">
        <v>0.36736111111111114</v>
      </c>
      <c r="U770">
        <v>40.5</v>
      </c>
      <c r="V770">
        <v>0.73958333333333337</v>
      </c>
      <c r="W770">
        <v>78</v>
      </c>
      <c r="X770">
        <v>14.7</v>
      </c>
      <c r="Y770">
        <v>40</v>
      </c>
      <c r="Z770">
        <v>0.41666666666666669</v>
      </c>
      <c r="AA770">
        <v>74</v>
      </c>
      <c r="AB770">
        <v>17.8</v>
      </c>
      <c r="AD770">
        <v>37.5</v>
      </c>
      <c r="AE770">
        <v>34</v>
      </c>
      <c r="AF770">
        <v>35.656235924806332</v>
      </c>
      <c r="AG770">
        <v>31.676857265255975</v>
      </c>
      <c r="AH770">
        <v>67.3330931900623</v>
      </c>
      <c r="AI770">
        <v>5.2414666809465302</v>
      </c>
      <c r="AJ770">
        <v>5.6384805932155642</v>
      </c>
      <c r="AK770">
        <v>10.879947274162095</v>
      </c>
      <c r="AL770">
        <v>148.46003073471434</v>
      </c>
      <c r="AM770">
        <v>15.399529274384738</v>
      </c>
      <c r="AN770">
        <v>1.0372845268975062</v>
      </c>
      <c r="AO770">
        <v>14.699999999999998</v>
      </c>
      <c r="AP770">
        <v>16.158395164545727</v>
      </c>
      <c r="AQ770">
        <v>23.988758427521184</v>
      </c>
      <c r="AR770">
        <v>155.77592016025838</v>
      </c>
      <c r="AS770">
        <v>-0.2411044100245652</v>
      </c>
      <c r="AT770">
        <v>13.314175957696879</v>
      </c>
      <c r="AU770">
        <v>86.458330774067278</v>
      </c>
    </row>
    <row r="771" spans="1:48" x14ac:dyDescent="0.35">
      <c r="A771">
        <v>769</v>
      </c>
      <c r="B771">
        <v>46076</v>
      </c>
      <c r="C771" t="s">
        <v>16</v>
      </c>
      <c r="D771" t="s">
        <v>307</v>
      </c>
      <c r="E771" t="s">
        <v>212</v>
      </c>
      <c r="F771" t="s">
        <v>213</v>
      </c>
      <c r="G771" t="s">
        <v>214</v>
      </c>
      <c r="H771" t="s">
        <v>22</v>
      </c>
      <c r="I771" t="s">
        <v>23</v>
      </c>
      <c r="J771" t="s">
        <v>24</v>
      </c>
      <c r="K771" t="s">
        <v>306</v>
      </c>
      <c r="L771">
        <v>28</v>
      </c>
      <c r="M771">
        <v>69</v>
      </c>
      <c r="N771">
        <v>3</v>
      </c>
      <c r="O771">
        <v>2</v>
      </c>
      <c r="P771">
        <v>188</v>
      </c>
      <c r="Q771">
        <v>0.5</v>
      </c>
      <c r="R771">
        <v>453.54357571419951</v>
      </c>
      <c r="S771">
        <v>181.44357571419948</v>
      </c>
      <c r="T771">
        <v>0.36805555555555558</v>
      </c>
      <c r="U771">
        <v>41</v>
      </c>
      <c r="V771">
        <v>0.74027777777777781</v>
      </c>
      <c r="W771">
        <v>78.5</v>
      </c>
      <c r="X771">
        <v>15.2</v>
      </c>
      <c r="Y771">
        <v>40.5</v>
      </c>
      <c r="Z771">
        <v>0.41666666666666669</v>
      </c>
      <c r="AA771">
        <v>78</v>
      </c>
      <c r="AB771">
        <v>17.2</v>
      </c>
      <c r="AD771">
        <v>37.5</v>
      </c>
      <c r="AE771">
        <v>37.5</v>
      </c>
      <c r="AF771">
        <v>35.656235924806332</v>
      </c>
      <c r="AG771">
        <v>35.176857265255975</v>
      </c>
      <c r="AH771">
        <v>70.8330931900623</v>
      </c>
      <c r="AI771">
        <v>5.4197478605705625</v>
      </c>
      <c r="AJ771">
        <v>6.0504194496240276</v>
      </c>
      <c r="AK771">
        <v>11.47016731019459</v>
      </c>
      <c r="AL771">
        <v>156.17704005292265</v>
      </c>
      <c r="AM771">
        <v>40.005764700443287</v>
      </c>
      <c r="AN771">
        <v>2.5615650473902436</v>
      </c>
      <c r="AO771">
        <v>15.2</v>
      </c>
      <c r="AP771">
        <v>16.193232278332616</v>
      </c>
      <c r="AQ771">
        <v>25.290110861194329</v>
      </c>
      <c r="AR771">
        <v>63.216166596395801</v>
      </c>
      <c r="AS771">
        <v>-3.9343425807533094</v>
      </c>
      <c r="AT771">
        <v>14.036449073133461</v>
      </c>
      <c r="AU771">
        <v>35.0860661663041</v>
      </c>
    </row>
    <row r="772" spans="1:48" x14ac:dyDescent="0.35">
      <c r="A772">
        <v>770</v>
      </c>
      <c r="B772">
        <v>46076</v>
      </c>
      <c r="C772" t="s">
        <v>16</v>
      </c>
      <c r="D772" t="s">
        <v>309</v>
      </c>
      <c r="E772" t="s">
        <v>212</v>
      </c>
      <c r="F772" t="s">
        <v>310</v>
      </c>
      <c r="G772" t="s">
        <v>311</v>
      </c>
      <c r="H772" t="s">
        <v>22</v>
      </c>
      <c r="I772" t="s">
        <v>23</v>
      </c>
      <c r="J772" t="s">
        <v>24</v>
      </c>
      <c r="K772" t="s">
        <v>308</v>
      </c>
      <c r="L772">
        <v>28</v>
      </c>
      <c r="M772">
        <v>69</v>
      </c>
      <c r="N772">
        <v>3</v>
      </c>
      <c r="O772">
        <v>1</v>
      </c>
      <c r="P772">
        <v>189</v>
      </c>
      <c r="Q772">
        <v>0.50009999999999999</v>
      </c>
      <c r="R772">
        <v>463.13800273209341</v>
      </c>
      <c r="S772">
        <v>131.63800273209353</v>
      </c>
      <c r="T772">
        <v>0.36805555555555558</v>
      </c>
      <c r="U772">
        <v>40</v>
      </c>
      <c r="V772">
        <v>0.74097222222222225</v>
      </c>
      <c r="W772">
        <v>73.5</v>
      </c>
      <c r="X772">
        <v>13.1</v>
      </c>
      <c r="Y772">
        <v>39</v>
      </c>
      <c r="Z772">
        <v>0.41666666666666669</v>
      </c>
      <c r="AA772">
        <v>77.5</v>
      </c>
      <c r="AB772">
        <v>16.600000000000001</v>
      </c>
      <c r="AD772">
        <v>33.5</v>
      </c>
      <c r="AE772">
        <v>38.5</v>
      </c>
      <c r="AF772">
        <v>31.656235924806332</v>
      </c>
      <c r="AG772">
        <v>36.176857265255975</v>
      </c>
      <c r="AH772">
        <v>67.8330931900623</v>
      </c>
      <c r="AI772">
        <v>4.1469669061496299</v>
      </c>
      <c r="AJ772">
        <v>6.005358306032492</v>
      </c>
      <c r="AK772">
        <v>10.152325212182122</v>
      </c>
      <c r="AL772">
        <v>146.46410527727951</v>
      </c>
      <c r="AM772">
        <v>28.423062231030254</v>
      </c>
      <c r="AN772">
        <v>1.9406162470470798</v>
      </c>
      <c r="AO772">
        <v>13.100000000000001</v>
      </c>
      <c r="AP772">
        <v>14.966625779155034</v>
      </c>
      <c r="AQ772">
        <v>21.920734537638083</v>
      </c>
      <c r="AR772">
        <v>77.123057183144056</v>
      </c>
      <c r="AS772">
        <v>-0.50099313224026476</v>
      </c>
      <c r="AT772">
        <v>12.166386919851725</v>
      </c>
      <c r="AU772">
        <v>42.804631045592757</v>
      </c>
    </row>
    <row r="773" spans="1:48" x14ac:dyDescent="0.35">
      <c r="A773">
        <v>771</v>
      </c>
      <c r="B773">
        <v>46076</v>
      </c>
      <c r="C773" t="s">
        <v>16</v>
      </c>
      <c r="D773" t="s">
        <v>309</v>
      </c>
      <c r="E773" t="s">
        <v>212</v>
      </c>
      <c r="F773" t="s">
        <v>310</v>
      </c>
      <c r="G773" t="s">
        <v>311</v>
      </c>
      <c r="H773" t="s">
        <v>22</v>
      </c>
      <c r="I773" t="s">
        <v>23</v>
      </c>
      <c r="J773" t="s">
        <v>24</v>
      </c>
      <c r="K773" t="s">
        <v>308</v>
      </c>
      <c r="L773">
        <v>28</v>
      </c>
      <c r="M773">
        <v>69</v>
      </c>
      <c r="N773">
        <v>3</v>
      </c>
      <c r="O773">
        <v>2</v>
      </c>
      <c r="P773">
        <v>190</v>
      </c>
      <c r="Q773">
        <v>0.50019999999999998</v>
      </c>
      <c r="R773">
        <v>463.23061181082414</v>
      </c>
      <c r="S773">
        <v>121.83061181082411</v>
      </c>
      <c r="T773">
        <v>0.36805555555555558</v>
      </c>
      <c r="U773">
        <v>40</v>
      </c>
      <c r="V773">
        <v>0.74097222222222225</v>
      </c>
      <c r="W773">
        <v>73</v>
      </c>
      <c r="X773">
        <v>13</v>
      </c>
      <c r="Y773">
        <v>40</v>
      </c>
      <c r="Z773">
        <v>0.41666666666666669</v>
      </c>
      <c r="AA773">
        <v>74.5</v>
      </c>
      <c r="AB773">
        <v>16.5</v>
      </c>
      <c r="AD773">
        <v>33</v>
      </c>
      <c r="AE773">
        <v>34.5</v>
      </c>
      <c r="AF773">
        <v>31.156235924806332</v>
      </c>
      <c r="AG773">
        <v>32.176857265255975</v>
      </c>
      <c r="AH773">
        <v>63.333093190062307</v>
      </c>
      <c r="AI773">
        <v>4.0503106702248228</v>
      </c>
      <c r="AJ773">
        <v>5.3091814487672364</v>
      </c>
      <c r="AK773">
        <v>9.3594921189920584</v>
      </c>
      <c r="AL773">
        <v>136.7204402629732</v>
      </c>
      <c r="AM773">
        <v>26.300207435465804</v>
      </c>
      <c r="AN773">
        <v>1.9236485330853972</v>
      </c>
      <c r="AO773">
        <v>13</v>
      </c>
      <c r="AP773">
        <v>14.778201486076588</v>
      </c>
      <c r="AQ773">
        <v>20.204822134713158</v>
      </c>
      <c r="AR773">
        <v>76.823812832240151</v>
      </c>
      <c r="AS773">
        <v>-0.39274037283875224</v>
      </c>
      <c r="AT773">
        <v>11.214025849162597</v>
      </c>
      <c r="AU773">
        <v>42.638545253603183</v>
      </c>
    </row>
    <row r="774" spans="1:48" x14ac:dyDescent="0.35">
      <c r="A774">
        <v>772</v>
      </c>
      <c r="B774">
        <v>46076</v>
      </c>
      <c r="C774" t="s">
        <v>16</v>
      </c>
      <c r="D774" t="s">
        <v>313</v>
      </c>
      <c r="E774" t="s">
        <v>290</v>
      </c>
      <c r="F774" t="s">
        <v>314</v>
      </c>
      <c r="G774" t="s">
        <v>315</v>
      </c>
      <c r="H774" t="s">
        <v>22</v>
      </c>
      <c r="I774" t="s">
        <v>23</v>
      </c>
      <c r="J774" t="s">
        <v>24</v>
      </c>
      <c r="K774" t="s">
        <v>312</v>
      </c>
      <c r="L774">
        <v>28</v>
      </c>
      <c r="M774">
        <v>69</v>
      </c>
      <c r="N774">
        <v>3</v>
      </c>
      <c r="O774">
        <v>1</v>
      </c>
      <c r="P774">
        <v>191</v>
      </c>
      <c r="Q774">
        <v>0.50009999999999999</v>
      </c>
      <c r="R774">
        <v>449.22766568305201</v>
      </c>
      <c r="S774">
        <v>126.72766568305201</v>
      </c>
      <c r="T774">
        <v>0.36805555555555558</v>
      </c>
      <c r="U774">
        <v>40.5</v>
      </c>
      <c r="V774">
        <v>0.7416666666666667</v>
      </c>
      <c r="W774">
        <v>68</v>
      </c>
      <c r="X774">
        <v>12.1</v>
      </c>
      <c r="Y774">
        <v>40</v>
      </c>
      <c r="Z774">
        <v>0.41736111111111113</v>
      </c>
      <c r="AA774">
        <v>81.5</v>
      </c>
      <c r="AB774">
        <v>15.9</v>
      </c>
      <c r="AD774">
        <v>27.5</v>
      </c>
      <c r="AE774">
        <v>41.5</v>
      </c>
      <c r="AF774">
        <v>25.656235924806332</v>
      </c>
      <c r="AG774">
        <v>39.176857265255975</v>
      </c>
      <c r="AH774">
        <v>64.8330931900623</v>
      </c>
      <c r="AI774">
        <v>3.104404546901566</v>
      </c>
      <c r="AJ774">
        <v>6.2291203051756998</v>
      </c>
      <c r="AK774">
        <v>9.3335248520772662</v>
      </c>
      <c r="AL774">
        <v>144.32123874535506</v>
      </c>
      <c r="AM774">
        <v>28.21012047206893</v>
      </c>
      <c r="AN774">
        <v>1.9546756054279544</v>
      </c>
      <c r="AO774">
        <v>12.1</v>
      </c>
      <c r="AP774">
        <v>14.396235614912666</v>
      </c>
      <c r="AQ774">
        <v>20.776825572141945</v>
      </c>
      <c r="AR774">
        <v>73.650254676201214</v>
      </c>
      <c r="AS774">
        <v>-0.21356410121075611</v>
      </c>
      <c r="AT774">
        <v>11.531497653188815</v>
      </c>
      <c r="AU774">
        <v>40.877165571151124</v>
      </c>
    </row>
    <row r="775" spans="1:48" x14ac:dyDescent="0.35">
      <c r="A775">
        <v>773</v>
      </c>
      <c r="B775">
        <v>46076</v>
      </c>
      <c r="C775" t="s">
        <v>16</v>
      </c>
      <c r="D775" t="s">
        <v>313</v>
      </c>
      <c r="E775" t="s">
        <v>290</v>
      </c>
      <c r="F775" t="s">
        <v>314</v>
      </c>
      <c r="G775" t="s">
        <v>315</v>
      </c>
      <c r="H775" t="s">
        <v>22</v>
      </c>
      <c r="I775" t="s">
        <v>23</v>
      </c>
      <c r="J775" t="s">
        <v>24</v>
      </c>
      <c r="K775" t="s">
        <v>312</v>
      </c>
      <c r="L775">
        <v>28</v>
      </c>
      <c r="M775">
        <v>69</v>
      </c>
      <c r="N775">
        <v>3</v>
      </c>
      <c r="O775">
        <v>2</v>
      </c>
      <c r="P775">
        <v>192</v>
      </c>
      <c r="Q775">
        <v>0.50019999999999998</v>
      </c>
      <c r="R775">
        <v>449.31749325067506</v>
      </c>
      <c r="S775">
        <v>194.31749325067506</v>
      </c>
      <c r="T775">
        <v>0.36875000000000002</v>
      </c>
      <c r="U775">
        <v>41</v>
      </c>
      <c r="V775">
        <v>0.74236111111111114</v>
      </c>
      <c r="W775">
        <v>69.5</v>
      </c>
      <c r="X775">
        <v>12.4</v>
      </c>
      <c r="Y775">
        <v>40.5</v>
      </c>
      <c r="Z775">
        <v>0.41736111111111113</v>
      </c>
      <c r="AA775">
        <v>81.5</v>
      </c>
      <c r="AB775">
        <v>15.9</v>
      </c>
      <c r="AD775">
        <v>28.5</v>
      </c>
      <c r="AE775">
        <v>41</v>
      </c>
      <c r="AF775">
        <v>26.656235924806332</v>
      </c>
      <c r="AG775">
        <v>38.676857265255975</v>
      </c>
      <c r="AH775">
        <v>65.3330931900623</v>
      </c>
      <c r="AI775">
        <v>3.3053732546759851</v>
      </c>
      <c r="AJ775">
        <v>6.1496203051757004</v>
      </c>
      <c r="AK775">
        <v>9.454993559851685</v>
      </c>
      <c r="AL775">
        <v>145.40518491144712</v>
      </c>
      <c r="AM775">
        <v>43.247257489319466</v>
      </c>
      <c r="AN775">
        <v>2.9742582780426559</v>
      </c>
      <c r="AO775">
        <v>12.4</v>
      </c>
      <c r="AP775">
        <v>14.47198211225956</v>
      </c>
      <c r="AQ775">
        <v>21.043012350682567</v>
      </c>
      <c r="AR775">
        <v>48.657449217165826</v>
      </c>
      <c r="AS775">
        <v>-0.69504615110427825</v>
      </c>
      <c r="AT775">
        <v>11.679235920586448</v>
      </c>
      <c r="AU775">
        <v>27.005726139907956</v>
      </c>
    </row>
    <row r="776" spans="1:48" x14ac:dyDescent="0.35">
      <c r="A776">
        <v>774</v>
      </c>
      <c r="B776">
        <v>46076</v>
      </c>
      <c r="C776" t="s">
        <v>16</v>
      </c>
      <c r="D776" t="s">
        <v>317</v>
      </c>
      <c r="E776" t="s">
        <v>290</v>
      </c>
      <c r="F776" t="s">
        <v>318</v>
      </c>
      <c r="G776" t="s">
        <v>319</v>
      </c>
      <c r="H776" t="s">
        <v>22</v>
      </c>
      <c r="I776" t="s">
        <v>23</v>
      </c>
      <c r="J776" t="s">
        <v>24</v>
      </c>
      <c r="K776" t="s">
        <v>316</v>
      </c>
      <c r="L776">
        <v>28</v>
      </c>
      <c r="M776">
        <v>69</v>
      </c>
      <c r="N776">
        <v>3</v>
      </c>
      <c r="O776">
        <v>1</v>
      </c>
      <c r="P776">
        <v>193</v>
      </c>
      <c r="Q776">
        <v>0.50009999999999999</v>
      </c>
      <c r="R776">
        <v>451.80488659679742</v>
      </c>
      <c r="S776">
        <v>85.104886596797371</v>
      </c>
      <c r="T776">
        <v>0.36875000000000002</v>
      </c>
      <c r="U776">
        <v>40.5</v>
      </c>
      <c r="V776">
        <v>0.74305555555555558</v>
      </c>
      <c r="W776">
        <v>67.5</v>
      </c>
      <c r="X776">
        <v>13.2</v>
      </c>
      <c r="Y776">
        <v>39.5</v>
      </c>
      <c r="Z776">
        <v>0.41736111111111113</v>
      </c>
      <c r="AA776">
        <v>69</v>
      </c>
      <c r="AB776">
        <v>14.9</v>
      </c>
      <c r="AD776">
        <v>27</v>
      </c>
      <c r="AE776">
        <v>29.5</v>
      </c>
      <c r="AF776">
        <v>25.156235924806332</v>
      </c>
      <c r="AG776">
        <v>27.176857265255975</v>
      </c>
      <c r="AH776">
        <v>52.333093190062307</v>
      </c>
      <c r="AI776">
        <v>3.3206231420744361</v>
      </c>
      <c r="AJ776">
        <v>4.0493517325231405</v>
      </c>
      <c r="AK776">
        <v>7.3699748745975766</v>
      </c>
      <c r="AL776">
        <v>115.83118010134702</v>
      </c>
      <c r="AM776">
        <v>18.836645888858484</v>
      </c>
      <c r="AN776">
        <v>1.6262154863981593</v>
      </c>
      <c r="AO776">
        <v>13.200000000000001</v>
      </c>
      <c r="AP776">
        <v>14.082819159630878</v>
      </c>
      <c r="AQ776">
        <v>16.312295624139047</v>
      </c>
      <c r="AR776">
        <v>86.598727397574848</v>
      </c>
      <c r="AS776">
        <v>-0.10746849964809733</v>
      </c>
      <c r="AT776">
        <v>9.0536062910446446</v>
      </c>
      <c r="AU776">
        <v>48.063791953532878</v>
      </c>
    </row>
    <row r="777" spans="1:48" x14ac:dyDescent="0.35">
      <c r="A777">
        <v>775</v>
      </c>
      <c r="B777">
        <v>46076</v>
      </c>
      <c r="C777" t="s">
        <v>16</v>
      </c>
      <c r="D777" t="s">
        <v>317</v>
      </c>
      <c r="E777" t="s">
        <v>290</v>
      </c>
      <c r="F777" t="s">
        <v>318</v>
      </c>
      <c r="G777" t="s">
        <v>319</v>
      </c>
      <c r="H777" t="s">
        <v>22</v>
      </c>
      <c r="I777" t="s">
        <v>23</v>
      </c>
      <c r="J777" t="s">
        <v>24</v>
      </c>
      <c r="K777" t="s">
        <v>316</v>
      </c>
      <c r="L777">
        <v>28</v>
      </c>
      <c r="M777">
        <v>69</v>
      </c>
      <c r="N777">
        <v>3</v>
      </c>
      <c r="O777">
        <v>2</v>
      </c>
      <c r="P777">
        <v>194</v>
      </c>
      <c r="Q777">
        <v>0.50009999999999999</v>
      </c>
      <c r="R777">
        <v>451.80488659679742</v>
      </c>
      <c r="S777">
        <v>154.20488659679745</v>
      </c>
      <c r="T777">
        <v>0.36875000000000002</v>
      </c>
      <c r="U777">
        <v>41</v>
      </c>
      <c r="V777">
        <v>0.74375000000000002</v>
      </c>
      <c r="W777">
        <v>63.5</v>
      </c>
      <c r="X777">
        <v>13</v>
      </c>
      <c r="Y777">
        <v>40</v>
      </c>
      <c r="Z777">
        <v>0.41805555555555557</v>
      </c>
      <c r="AA777">
        <v>68</v>
      </c>
      <c r="AB777">
        <v>14.7</v>
      </c>
      <c r="AD777">
        <v>22.5</v>
      </c>
      <c r="AE777">
        <v>28</v>
      </c>
      <c r="AF777">
        <v>20.656235924806332</v>
      </c>
      <c r="AG777">
        <v>25.676857265255975</v>
      </c>
      <c r="AH777">
        <v>46.333093190062307</v>
      </c>
      <c r="AI777">
        <v>2.6853106702248231</v>
      </c>
      <c r="AJ777">
        <v>3.7744980179926282</v>
      </c>
      <c r="AK777">
        <v>6.4598086882174517</v>
      </c>
      <c r="AL777">
        <v>102.55111125305552</v>
      </c>
      <c r="AM777">
        <v>34.130858512474205</v>
      </c>
      <c r="AN777">
        <v>3.3281802698610221</v>
      </c>
      <c r="AO777">
        <v>13</v>
      </c>
      <c r="AP777">
        <v>13.942105401249091</v>
      </c>
      <c r="AQ777">
        <v>14.29778402105322</v>
      </c>
      <c r="AR777">
        <v>41.891076416456507</v>
      </c>
      <c r="AS777">
        <v>-0.1754829724426025</v>
      </c>
      <c r="AT777">
        <v>7.9355174981900909</v>
      </c>
      <c r="AU777">
        <v>23.250272170240912</v>
      </c>
    </row>
    <row r="778" spans="1:48" x14ac:dyDescent="0.35">
      <c r="A778">
        <v>776</v>
      </c>
      <c r="B778">
        <v>46076</v>
      </c>
      <c r="C778" t="s">
        <v>120</v>
      </c>
      <c r="D778" t="s">
        <v>122</v>
      </c>
      <c r="E778" t="s">
        <v>123</v>
      </c>
      <c r="F778" t="s">
        <v>545</v>
      </c>
      <c r="G778" t="s">
        <v>125</v>
      </c>
      <c r="H778" t="s">
        <v>108</v>
      </c>
      <c r="I778" t="s">
        <v>109</v>
      </c>
      <c r="J778" t="s">
        <v>110</v>
      </c>
      <c r="K778" t="s">
        <v>121</v>
      </c>
      <c r="L778">
        <v>28</v>
      </c>
      <c r="M778">
        <v>69</v>
      </c>
      <c r="N778">
        <v>3</v>
      </c>
      <c r="O778">
        <v>1</v>
      </c>
      <c r="P778">
        <v>195</v>
      </c>
      <c r="Q778">
        <v>0.50019999999999998</v>
      </c>
      <c r="R778">
        <v>467.93709999999999</v>
      </c>
      <c r="S778">
        <v>198.13710000000003</v>
      </c>
      <c r="T778">
        <v>0.36944444444444446</v>
      </c>
      <c r="U778">
        <v>40.5</v>
      </c>
      <c r="V778">
        <v>0.74444444444444446</v>
      </c>
      <c r="W778">
        <v>75</v>
      </c>
      <c r="X778">
        <v>14.1</v>
      </c>
      <c r="Y778">
        <v>40</v>
      </c>
      <c r="Z778">
        <v>0.41875000000000001</v>
      </c>
      <c r="AA778">
        <v>80</v>
      </c>
      <c r="AB778">
        <v>16.5</v>
      </c>
      <c r="AD778">
        <v>34.5</v>
      </c>
      <c r="AE778">
        <v>40</v>
      </c>
      <c r="AF778">
        <v>32.656235924806332</v>
      </c>
      <c r="AG778">
        <v>37.676857265255975</v>
      </c>
      <c r="AH778">
        <v>70.3330931900623</v>
      </c>
      <c r="AI778">
        <v>4.6045292653976926</v>
      </c>
      <c r="AJ778">
        <v>6.2166814487672362</v>
      </c>
      <c r="AK778">
        <v>10.821210714164929</v>
      </c>
      <c r="AL778">
        <v>150.3045883518582</v>
      </c>
      <c r="AM778">
        <v>42.342678107805519</v>
      </c>
      <c r="AN778">
        <v>2.8171247845529956</v>
      </c>
      <c r="AO778">
        <v>14.1</v>
      </c>
      <c r="AP778">
        <v>15.385660182643452</v>
      </c>
      <c r="AQ778">
        <v>23.125353202737994</v>
      </c>
      <c r="AR778">
        <v>54.614762778727084</v>
      </c>
      <c r="AS778">
        <v>0.44651548464613861</v>
      </c>
      <c r="AT778">
        <v>12.834971120135551</v>
      </c>
      <c r="AU778">
        <v>30.312138234283132</v>
      </c>
    </row>
    <row r="779" spans="1:48" x14ac:dyDescent="0.35">
      <c r="A779">
        <v>777</v>
      </c>
      <c r="B779">
        <v>46076</v>
      </c>
      <c r="C779" t="s">
        <v>120</v>
      </c>
      <c r="D779" t="s">
        <v>122</v>
      </c>
      <c r="E779" t="s">
        <v>123</v>
      </c>
      <c r="F779" t="s">
        <v>545</v>
      </c>
      <c r="G779" t="s">
        <v>125</v>
      </c>
      <c r="H779" t="s">
        <v>108</v>
      </c>
      <c r="I779" t="s">
        <v>109</v>
      </c>
      <c r="J779" t="s">
        <v>110</v>
      </c>
      <c r="K779" t="s">
        <v>121</v>
      </c>
      <c r="L779">
        <v>28</v>
      </c>
      <c r="M779">
        <v>69</v>
      </c>
      <c r="N779">
        <v>3</v>
      </c>
      <c r="O779">
        <v>2</v>
      </c>
      <c r="P779">
        <v>196</v>
      </c>
      <c r="Q779">
        <v>0.5</v>
      </c>
      <c r="R779">
        <v>467.75</v>
      </c>
      <c r="S779">
        <v>31.549999999999955</v>
      </c>
      <c r="T779">
        <v>0.36944444444444446</v>
      </c>
      <c r="U779">
        <v>41</v>
      </c>
      <c r="V779">
        <v>0.74444444444444446</v>
      </c>
      <c r="W779">
        <v>65.5</v>
      </c>
      <c r="X779">
        <v>14.2</v>
      </c>
      <c r="Y779">
        <v>40</v>
      </c>
      <c r="Z779">
        <v>0.41944444444444445</v>
      </c>
      <c r="AA779">
        <v>80</v>
      </c>
      <c r="AB779">
        <v>16</v>
      </c>
      <c r="AD779">
        <v>24.5</v>
      </c>
      <c r="AE779">
        <v>40</v>
      </c>
      <c r="AV779" t="s">
        <v>659</v>
      </c>
    </row>
    <row r="780" spans="1:48" x14ac:dyDescent="0.35">
      <c r="A780">
        <v>778</v>
      </c>
      <c r="B780">
        <v>46076</v>
      </c>
      <c r="D780" t="s">
        <v>537</v>
      </c>
      <c r="E780" t="s">
        <v>538</v>
      </c>
      <c r="F780">
        <v>24</v>
      </c>
      <c r="G780" t="s">
        <v>537</v>
      </c>
      <c r="K780" t="s">
        <v>539</v>
      </c>
      <c r="L780">
        <v>28</v>
      </c>
      <c r="M780">
        <v>69</v>
      </c>
      <c r="N780">
        <v>3</v>
      </c>
      <c r="O780">
        <v>1</v>
      </c>
      <c r="P780">
        <v>197</v>
      </c>
      <c r="S780">
        <v>0</v>
      </c>
      <c r="T780">
        <v>0.36944444444444446</v>
      </c>
      <c r="U780">
        <v>39</v>
      </c>
      <c r="V780">
        <v>0.74583333333333335</v>
      </c>
      <c r="W780">
        <v>41</v>
      </c>
      <c r="Y780">
        <v>39</v>
      </c>
      <c r="Z780">
        <v>0.4201388888888889</v>
      </c>
      <c r="AA780">
        <v>41.5</v>
      </c>
      <c r="AD780">
        <v>2</v>
      </c>
      <c r="AE780">
        <v>2.5</v>
      </c>
    </row>
    <row r="781" spans="1:48" x14ac:dyDescent="0.35">
      <c r="A781">
        <v>779</v>
      </c>
      <c r="B781">
        <v>46076</v>
      </c>
      <c r="D781" t="s">
        <v>537</v>
      </c>
      <c r="E781" t="s">
        <v>538</v>
      </c>
      <c r="F781">
        <v>24</v>
      </c>
      <c r="G781" t="s">
        <v>537</v>
      </c>
      <c r="K781" t="s">
        <v>539</v>
      </c>
      <c r="L781">
        <v>28</v>
      </c>
      <c r="M781">
        <v>69</v>
      </c>
      <c r="N781">
        <v>3</v>
      </c>
      <c r="O781">
        <v>2</v>
      </c>
      <c r="P781">
        <v>198</v>
      </c>
      <c r="S781">
        <v>0</v>
      </c>
      <c r="T781">
        <v>0.36944444444444446</v>
      </c>
      <c r="U781">
        <v>40</v>
      </c>
      <c r="V781">
        <v>0.74583333333333335</v>
      </c>
      <c r="W781">
        <v>42</v>
      </c>
      <c r="Y781">
        <v>40</v>
      </c>
      <c r="Z781">
        <v>0.4201388888888889</v>
      </c>
      <c r="AA781">
        <v>42</v>
      </c>
      <c r="AD781">
        <v>2</v>
      </c>
      <c r="AE781">
        <v>2</v>
      </c>
    </row>
    <row r="782" spans="1:48" x14ac:dyDescent="0.35">
      <c r="A782">
        <v>780</v>
      </c>
      <c r="B782">
        <v>46055</v>
      </c>
      <c r="D782" t="s">
        <v>537</v>
      </c>
      <c r="E782" t="s">
        <v>538</v>
      </c>
      <c r="F782">
        <v>24</v>
      </c>
      <c r="G782" t="s">
        <v>537</v>
      </c>
      <c r="K782" t="s">
        <v>539</v>
      </c>
      <c r="L782">
        <v>29</v>
      </c>
      <c r="M782">
        <v>62</v>
      </c>
      <c r="N782">
        <v>1</v>
      </c>
      <c r="O782">
        <v>1</v>
      </c>
      <c r="P782">
        <v>161</v>
      </c>
      <c r="T782">
        <v>0.38541666666666669</v>
      </c>
      <c r="U782">
        <v>40</v>
      </c>
      <c r="W782">
        <v>40</v>
      </c>
      <c r="Y782">
        <v>39.5</v>
      </c>
      <c r="Z782">
        <v>0.40486111111111112</v>
      </c>
      <c r="AA782">
        <v>41</v>
      </c>
      <c r="AD782">
        <v>0</v>
      </c>
      <c r="AE782">
        <v>1.5</v>
      </c>
    </row>
    <row r="783" spans="1:48" x14ac:dyDescent="0.35">
      <c r="A783">
        <v>781</v>
      </c>
      <c r="B783">
        <v>46055</v>
      </c>
      <c r="D783" t="s">
        <v>537</v>
      </c>
      <c r="E783" t="s">
        <v>538</v>
      </c>
      <c r="F783">
        <v>24</v>
      </c>
      <c r="G783" t="s">
        <v>537</v>
      </c>
      <c r="K783" t="s">
        <v>539</v>
      </c>
      <c r="L783">
        <v>29</v>
      </c>
      <c r="M783">
        <v>62</v>
      </c>
      <c r="N783">
        <v>1</v>
      </c>
      <c r="O783">
        <v>2</v>
      </c>
      <c r="P783">
        <v>162</v>
      </c>
      <c r="T783">
        <v>0.38541666666666669</v>
      </c>
      <c r="U783">
        <v>40</v>
      </c>
      <c r="W783">
        <v>40.5</v>
      </c>
      <c r="Y783">
        <v>40</v>
      </c>
      <c r="Z783">
        <v>0.40486111111111112</v>
      </c>
      <c r="AA783">
        <v>41</v>
      </c>
      <c r="AD783">
        <v>0.5</v>
      </c>
      <c r="AE783">
        <v>1</v>
      </c>
    </row>
    <row r="784" spans="1:48" x14ac:dyDescent="0.35">
      <c r="A784">
        <v>782</v>
      </c>
      <c r="B784">
        <v>46055</v>
      </c>
      <c r="C784" t="s">
        <v>16</v>
      </c>
      <c r="D784" t="s">
        <v>322</v>
      </c>
      <c r="E784" t="s">
        <v>290</v>
      </c>
      <c r="F784" t="s">
        <v>318</v>
      </c>
      <c r="G784" t="s">
        <v>319</v>
      </c>
      <c r="H784" t="s">
        <v>22</v>
      </c>
      <c r="I784" t="s">
        <v>23</v>
      </c>
      <c r="J784" t="s">
        <v>215</v>
      </c>
      <c r="K784" t="s">
        <v>321</v>
      </c>
      <c r="L784">
        <v>29</v>
      </c>
      <c r="M784">
        <v>62</v>
      </c>
      <c r="N784">
        <v>1</v>
      </c>
      <c r="O784">
        <v>1</v>
      </c>
      <c r="P784">
        <v>93</v>
      </c>
      <c r="Q784">
        <v>0.50039999999999996</v>
      </c>
      <c r="R784">
        <v>448.04098141757436</v>
      </c>
      <c r="T784">
        <v>0.36319444444444443</v>
      </c>
      <c r="U784">
        <v>41</v>
      </c>
      <c r="V784">
        <v>0.70486111111111116</v>
      </c>
      <c r="W784">
        <v>71</v>
      </c>
      <c r="X784">
        <v>12.9</v>
      </c>
      <c r="Y784">
        <v>40.5</v>
      </c>
      <c r="Z784">
        <v>0.37986111111111109</v>
      </c>
      <c r="AA784">
        <v>70.5</v>
      </c>
      <c r="AB784">
        <v>14.8</v>
      </c>
      <c r="AD784">
        <v>30</v>
      </c>
      <c r="AE784">
        <v>30</v>
      </c>
    </row>
    <row r="785" spans="1:48" x14ac:dyDescent="0.35">
      <c r="A785">
        <v>783</v>
      </c>
      <c r="B785">
        <v>46055</v>
      </c>
      <c r="C785" t="s">
        <v>16</v>
      </c>
      <c r="D785" t="s">
        <v>322</v>
      </c>
      <c r="E785" t="s">
        <v>290</v>
      </c>
      <c r="F785" t="s">
        <v>318</v>
      </c>
      <c r="G785" t="s">
        <v>319</v>
      </c>
      <c r="H785" t="s">
        <v>22</v>
      </c>
      <c r="I785" t="s">
        <v>23</v>
      </c>
      <c r="J785" t="s">
        <v>215</v>
      </c>
      <c r="K785" t="s">
        <v>321</v>
      </c>
      <c r="L785">
        <v>29</v>
      </c>
      <c r="M785">
        <v>62</v>
      </c>
      <c r="N785">
        <v>1</v>
      </c>
      <c r="O785">
        <v>2</v>
      </c>
      <c r="P785">
        <v>94</v>
      </c>
      <c r="Q785">
        <v>0.50049999999999994</v>
      </c>
      <c r="R785">
        <v>448.13051798460424</v>
      </c>
      <c r="S785">
        <v>122.83051798460423</v>
      </c>
      <c r="T785">
        <v>0.36388888888888887</v>
      </c>
      <c r="U785">
        <v>40.5</v>
      </c>
      <c r="V785">
        <v>0.7055555555555556</v>
      </c>
      <c r="W785">
        <v>70.5</v>
      </c>
      <c r="X785">
        <v>12.9</v>
      </c>
      <c r="Y785">
        <v>40</v>
      </c>
      <c r="Z785">
        <v>0.38055555555555554</v>
      </c>
      <c r="AA785">
        <v>70</v>
      </c>
      <c r="AB785">
        <v>14.5</v>
      </c>
      <c r="AD785">
        <v>30</v>
      </c>
      <c r="AE785">
        <v>30</v>
      </c>
      <c r="AF785">
        <v>28.81999099187605</v>
      </c>
      <c r="AG785">
        <v>27.123728042697874</v>
      </c>
      <c r="AH785">
        <v>55.943719034573924</v>
      </c>
      <c r="AI785">
        <v>3.7177788379520105</v>
      </c>
      <c r="AJ785">
        <v>3.9329405661911916</v>
      </c>
      <c r="AK785">
        <v>7.6507194041432021</v>
      </c>
      <c r="AL785">
        <v>124.83800319195377</v>
      </c>
      <c r="AM785">
        <v>27.409540983063362</v>
      </c>
      <c r="AN785">
        <v>2.1956087314948336</v>
      </c>
      <c r="AO785">
        <v>12.9</v>
      </c>
      <c r="AP785">
        <v>13.675743293746633</v>
      </c>
      <c r="AQ785">
        <v>17.072524849570826</v>
      </c>
      <c r="AR785">
        <v>62.286795901179502</v>
      </c>
      <c r="AS785">
        <v>-0.20293249247268508</v>
      </c>
      <c r="AT785">
        <v>9.4755466639140504</v>
      </c>
      <c r="AU785">
        <v>34.570249351381293</v>
      </c>
    </row>
    <row r="786" spans="1:48" x14ac:dyDescent="0.35">
      <c r="A786">
        <v>784</v>
      </c>
      <c r="B786">
        <v>46055</v>
      </c>
      <c r="C786" t="s">
        <v>16</v>
      </c>
      <c r="D786" t="s">
        <v>322</v>
      </c>
      <c r="E786" t="s">
        <v>290</v>
      </c>
      <c r="F786" t="s">
        <v>318</v>
      </c>
      <c r="G786" t="s">
        <v>319</v>
      </c>
      <c r="H786" t="s">
        <v>22</v>
      </c>
      <c r="I786" t="s">
        <v>23</v>
      </c>
      <c r="J786" t="s">
        <v>215</v>
      </c>
      <c r="K786" t="s">
        <v>321</v>
      </c>
      <c r="L786">
        <v>29</v>
      </c>
      <c r="M786">
        <v>62</v>
      </c>
      <c r="N786">
        <v>1</v>
      </c>
      <c r="O786">
        <v>3</v>
      </c>
      <c r="P786">
        <v>95</v>
      </c>
      <c r="Q786">
        <v>0.50060000000000004</v>
      </c>
      <c r="R786">
        <v>448.22005455163423</v>
      </c>
      <c r="S786">
        <v>73.120054551634155</v>
      </c>
      <c r="T786">
        <v>0.36458333333333331</v>
      </c>
      <c r="U786">
        <v>41</v>
      </c>
      <c r="V786">
        <v>0.7055555555555556</v>
      </c>
      <c r="W786">
        <v>71</v>
      </c>
      <c r="X786">
        <v>12.7</v>
      </c>
      <c r="Y786">
        <v>40</v>
      </c>
      <c r="Z786">
        <v>0.38055555555555554</v>
      </c>
      <c r="AA786">
        <v>69</v>
      </c>
      <c r="AB786">
        <v>15.2</v>
      </c>
      <c r="AD786">
        <v>30</v>
      </c>
      <c r="AE786">
        <v>29</v>
      </c>
      <c r="AV786" t="s">
        <v>660</v>
      </c>
    </row>
    <row r="787" spans="1:48" x14ac:dyDescent="0.35">
      <c r="A787">
        <v>785</v>
      </c>
      <c r="B787">
        <v>46055</v>
      </c>
      <c r="C787" t="s">
        <v>16</v>
      </c>
      <c r="D787" t="s">
        <v>326</v>
      </c>
      <c r="E787" t="s">
        <v>290</v>
      </c>
      <c r="F787" t="s">
        <v>318</v>
      </c>
      <c r="G787" t="s">
        <v>319</v>
      </c>
      <c r="H787" t="s">
        <v>22</v>
      </c>
      <c r="I787" t="s">
        <v>23</v>
      </c>
      <c r="J787" t="s">
        <v>215</v>
      </c>
      <c r="K787" t="s">
        <v>325</v>
      </c>
      <c r="L787">
        <v>29</v>
      </c>
      <c r="M787">
        <v>62</v>
      </c>
      <c r="N787">
        <v>1</v>
      </c>
      <c r="O787">
        <v>1</v>
      </c>
      <c r="P787">
        <v>96</v>
      </c>
      <c r="Q787">
        <v>0.5</v>
      </c>
      <c r="R787">
        <v>464.70529911615881</v>
      </c>
      <c r="S787">
        <v>124.30529911615878</v>
      </c>
      <c r="T787">
        <v>0.36458333333333331</v>
      </c>
      <c r="U787">
        <v>41.5</v>
      </c>
      <c r="V787">
        <v>0.70625000000000004</v>
      </c>
      <c r="W787">
        <v>67</v>
      </c>
      <c r="X787">
        <v>11.4</v>
      </c>
      <c r="Y787">
        <v>40</v>
      </c>
      <c r="Z787">
        <v>0.38124999999999998</v>
      </c>
      <c r="AA787">
        <v>70.5</v>
      </c>
      <c r="AB787">
        <v>13.9</v>
      </c>
      <c r="AD787">
        <v>25.5</v>
      </c>
      <c r="AE787">
        <v>30.5</v>
      </c>
      <c r="AF787">
        <v>24.31999099187605</v>
      </c>
      <c r="AG787">
        <v>27.623728042697874</v>
      </c>
      <c r="AH787">
        <v>51.943719034573924</v>
      </c>
      <c r="AI787">
        <v>2.7724789730738699</v>
      </c>
      <c r="AJ787">
        <v>3.8396981979350047</v>
      </c>
      <c r="AK787">
        <v>6.6121771710088746</v>
      </c>
      <c r="AL787">
        <v>111.77776352748228</v>
      </c>
      <c r="AM787">
        <v>26.749275154077196</v>
      </c>
      <c r="AN787">
        <v>2.393076611118675</v>
      </c>
      <c r="AO787">
        <v>11.4</v>
      </c>
      <c r="AP787">
        <v>12.729502804001743</v>
      </c>
      <c r="AQ787">
        <v>14.228753542481295</v>
      </c>
      <c r="AR787">
        <v>53.193043402196679</v>
      </c>
      <c r="AS787">
        <v>-0.15698393348379855</v>
      </c>
      <c r="AT787">
        <v>7.8972043882837362</v>
      </c>
      <c r="AU787">
        <v>29.523059383087709</v>
      </c>
    </row>
    <row r="788" spans="1:48" x14ac:dyDescent="0.35">
      <c r="A788">
        <v>786</v>
      </c>
      <c r="B788">
        <v>46055</v>
      </c>
      <c r="C788" t="s">
        <v>16</v>
      </c>
      <c r="D788" t="s">
        <v>326</v>
      </c>
      <c r="E788" t="s">
        <v>290</v>
      </c>
      <c r="F788" t="s">
        <v>318</v>
      </c>
      <c r="G788" t="s">
        <v>319</v>
      </c>
      <c r="H788" t="s">
        <v>22</v>
      </c>
      <c r="I788" t="s">
        <v>23</v>
      </c>
      <c r="J788" t="s">
        <v>215</v>
      </c>
      <c r="K788" t="s">
        <v>325</v>
      </c>
      <c r="L788">
        <v>29</v>
      </c>
      <c r="M788">
        <v>62</v>
      </c>
      <c r="N788">
        <v>1</v>
      </c>
      <c r="O788">
        <v>2</v>
      </c>
      <c r="P788">
        <v>97</v>
      </c>
      <c r="Q788">
        <v>0.50009999999999999</v>
      </c>
      <c r="R788">
        <v>464.79824017598202</v>
      </c>
      <c r="S788">
        <v>112.29824017598196</v>
      </c>
      <c r="T788">
        <v>0.36527777777777776</v>
      </c>
      <c r="U788">
        <v>41</v>
      </c>
      <c r="V788">
        <v>0.70694444444444449</v>
      </c>
      <c r="W788">
        <v>67.5</v>
      </c>
      <c r="X788">
        <v>11</v>
      </c>
      <c r="Y788">
        <v>40</v>
      </c>
      <c r="Z788">
        <v>0.38124999999999998</v>
      </c>
      <c r="AA788">
        <v>71</v>
      </c>
      <c r="AB788">
        <v>13.6</v>
      </c>
      <c r="AC788" t="s">
        <v>582</v>
      </c>
      <c r="AD788">
        <v>26.5</v>
      </c>
      <c r="AE788">
        <v>31</v>
      </c>
      <c r="AF788">
        <v>25.31999099187605</v>
      </c>
      <c r="AG788">
        <v>28.123728042697874</v>
      </c>
      <c r="AH788">
        <v>53.443719034573924</v>
      </c>
      <c r="AI788">
        <v>2.7851990091063654</v>
      </c>
      <c r="AJ788">
        <v>3.8248270138069111</v>
      </c>
      <c r="AK788">
        <v>6.6100260229132761</v>
      </c>
      <c r="AL788">
        <v>114.98261915608599</v>
      </c>
      <c r="AM788">
        <v>24.160642289321828</v>
      </c>
      <c r="AN788">
        <v>2.1012429936497075</v>
      </c>
      <c r="AO788">
        <v>11</v>
      </c>
      <c r="AP788">
        <v>12.368199935032786</v>
      </c>
      <c r="AQ788">
        <v>14.221280227762021</v>
      </c>
      <c r="AR788">
        <v>58.861350031440743</v>
      </c>
      <c r="AS788">
        <v>-0.14021367661243642</v>
      </c>
      <c r="AT788">
        <v>7.8930565693184356</v>
      </c>
      <c r="AU788">
        <v>32.669067629906898</v>
      </c>
    </row>
    <row r="789" spans="1:48" x14ac:dyDescent="0.35">
      <c r="A789">
        <v>787</v>
      </c>
      <c r="B789">
        <v>46055</v>
      </c>
      <c r="C789" t="s">
        <v>16</v>
      </c>
      <c r="D789" t="s">
        <v>326</v>
      </c>
      <c r="E789" t="s">
        <v>290</v>
      </c>
      <c r="F789" t="s">
        <v>318</v>
      </c>
      <c r="G789" t="s">
        <v>319</v>
      </c>
      <c r="H789" t="s">
        <v>22</v>
      </c>
      <c r="I789" t="s">
        <v>23</v>
      </c>
      <c r="J789" t="s">
        <v>215</v>
      </c>
      <c r="K789" t="s">
        <v>325</v>
      </c>
      <c r="L789">
        <v>29</v>
      </c>
      <c r="M789">
        <v>62</v>
      </c>
      <c r="N789">
        <v>1</v>
      </c>
      <c r="O789">
        <v>3</v>
      </c>
      <c r="P789">
        <v>98</v>
      </c>
      <c r="Q789">
        <v>0.5</v>
      </c>
      <c r="R789">
        <v>464.70529911615881</v>
      </c>
      <c r="S789">
        <v>115.9052991161588</v>
      </c>
      <c r="T789">
        <v>0.36527777777777776</v>
      </c>
      <c r="U789">
        <v>42.5</v>
      </c>
      <c r="V789">
        <v>0.70694444444444449</v>
      </c>
      <c r="W789">
        <v>68.5</v>
      </c>
      <c r="X789">
        <v>10.8</v>
      </c>
      <c r="Y789">
        <v>41</v>
      </c>
      <c r="Z789">
        <v>0.38194444444444442</v>
      </c>
      <c r="AA789">
        <v>72.5</v>
      </c>
      <c r="AB789">
        <v>13.4</v>
      </c>
      <c r="AD789">
        <v>26</v>
      </c>
      <c r="AE789">
        <v>31.5</v>
      </c>
      <c r="AF789">
        <v>24.81999099187605</v>
      </c>
      <c r="AG789">
        <v>28.623728042697874</v>
      </c>
      <c r="AH789">
        <v>53.443719034573924</v>
      </c>
      <c r="AI789">
        <v>2.6805590271226136</v>
      </c>
      <c r="AJ789">
        <v>3.8355795577215153</v>
      </c>
      <c r="AK789">
        <v>6.5161385848441284</v>
      </c>
      <c r="AL789">
        <v>115.0056156799172</v>
      </c>
      <c r="AM789">
        <v>24.941677948713654</v>
      </c>
      <c r="AN789">
        <v>2.1687356570596648</v>
      </c>
      <c r="AO789">
        <v>10.8</v>
      </c>
      <c r="AP789">
        <v>12.192524589519481</v>
      </c>
      <c r="AQ789">
        <v>14.022087971102176</v>
      </c>
      <c r="AR789">
        <v>56.219505359403264</v>
      </c>
      <c r="AS789">
        <v>-0.14281269997824816</v>
      </c>
      <c r="AT789">
        <v>7.7825014206394076</v>
      </c>
      <c r="AU789">
        <v>31.202798130270878</v>
      </c>
    </row>
    <row r="790" spans="1:48" x14ac:dyDescent="0.35">
      <c r="A790">
        <v>788</v>
      </c>
      <c r="B790">
        <v>46055</v>
      </c>
      <c r="C790" t="s">
        <v>16</v>
      </c>
      <c r="D790" t="s">
        <v>328</v>
      </c>
      <c r="E790" t="s">
        <v>264</v>
      </c>
      <c r="F790" t="s">
        <v>329</v>
      </c>
      <c r="G790" t="s">
        <v>330</v>
      </c>
      <c r="H790" t="s">
        <v>22</v>
      </c>
      <c r="I790" t="s">
        <v>23</v>
      </c>
      <c r="J790" t="s">
        <v>215</v>
      </c>
      <c r="K790" t="s">
        <v>327</v>
      </c>
      <c r="L790">
        <v>29</v>
      </c>
      <c r="M790">
        <v>62</v>
      </c>
      <c r="N790">
        <v>1</v>
      </c>
      <c r="O790">
        <v>1</v>
      </c>
      <c r="P790">
        <v>99</v>
      </c>
      <c r="Q790">
        <v>0.50029999999999997</v>
      </c>
      <c r="R790">
        <v>452.98581236429101</v>
      </c>
      <c r="S790">
        <v>177.18581236429094</v>
      </c>
      <c r="T790">
        <v>0.3659722222222222</v>
      </c>
      <c r="U790">
        <v>40</v>
      </c>
      <c r="V790">
        <v>0.70694444444444449</v>
      </c>
      <c r="W790">
        <v>51.5</v>
      </c>
      <c r="X790">
        <v>12.4</v>
      </c>
      <c r="Y790">
        <v>39</v>
      </c>
      <c r="Z790">
        <v>0.38263888888888886</v>
      </c>
      <c r="AA790">
        <v>55</v>
      </c>
      <c r="AB790">
        <v>16.600000000000001</v>
      </c>
      <c r="AC790" t="s">
        <v>583</v>
      </c>
      <c r="AD790">
        <v>11.5</v>
      </c>
      <c r="AE790">
        <v>16</v>
      </c>
      <c r="AF790">
        <v>10.31999099187605</v>
      </c>
      <c r="AG790">
        <v>13.123728042697875</v>
      </c>
      <c r="AH790">
        <v>23.443719034573924</v>
      </c>
      <c r="AI790">
        <v>1.2796788829926302</v>
      </c>
      <c r="AJ790">
        <v>2.1785388550878473</v>
      </c>
      <c r="AK790">
        <v>3.4582177380804775</v>
      </c>
      <c r="AL790">
        <v>51.75376003988508</v>
      </c>
      <c r="AM790">
        <v>39.115090920728043</v>
      </c>
      <c r="AN790">
        <v>7.5579225336638736</v>
      </c>
      <c r="AO790">
        <v>12.4</v>
      </c>
      <c r="AP790">
        <v>14.751148198715514</v>
      </c>
      <c r="AQ790">
        <v>7.6342738418910576</v>
      </c>
      <c r="AR790">
        <v>19.517464135166996</v>
      </c>
      <c r="AS790">
        <v>-0.19530573345910726</v>
      </c>
      <c r="AT790">
        <v>4.2371540631118529</v>
      </c>
      <c r="AU790">
        <v>10.832530267407567</v>
      </c>
    </row>
    <row r="791" spans="1:48" x14ac:dyDescent="0.35">
      <c r="A791">
        <v>789</v>
      </c>
      <c r="B791">
        <v>46055</v>
      </c>
      <c r="C791" t="s">
        <v>16</v>
      </c>
      <c r="D791" t="s">
        <v>328</v>
      </c>
      <c r="E791" t="s">
        <v>264</v>
      </c>
      <c r="F791" t="s">
        <v>329</v>
      </c>
      <c r="G791" t="s">
        <v>330</v>
      </c>
      <c r="H791" t="s">
        <v>22</v>
      </c>
      <c r="I791" t="s">
        <v>23</v>
      </c>
      <c r="J791" t="s">
        <v>215</v>
      </c>
      <c r="K791" t="s">
        <v>327</v>
      </c>
      <c r="L791">
        <v>29</v>
      </c>
      <c r="M791">
        <v>62</v>
      </c>
      <c r="N791">
        <v>1</v>
      </c>
      <c r="O791">
        <v>2</v>
      </c>
      <c r="P791">
        <v>100</v>
      </c>
      <c r="Q791">
        <v>0.50049999999999994</v>
      </c>
      <c r="R791">
        <v>453.16689803783254</v>
      </c>
      <c r="S791">
        <v>178.76689803783256</v>
      </c>
      <c r="T791">
        <v>0.3659722222222222</v>
      </c>
      <c r="U791">
        <v>40.5</v>
      </c>
      <c r="V791">
        <v>0.70763888888888893</v>
      </c>
      <c r="W791">
        <v>74</v>
      </c>
      <c r="X791">
        <v>12.9</v>
      </c>
      <c r="Y791">
        <v>40</v>
      </c>
      <c r="Z791">
        <v>0.38263888888888886</v>
      </c>
      <c r="AA791">
        <v>83</v>
      </c>
      <c r="AB791">
        <v>17.2</v>
      </c>
      <c r="AD791">
        <v>33.5</v>
      </c>
      <c r="AE791">
        <v>43</v>
      </c>
      <c r="AF791">
        <v>32.319990991876054</v>
      </c>
      <c r="AG791">
        <v>40.123728042697877</v>
      </c>
      <c r="AH791">
        <v>72.443719034573931</v>
      </c>
      <c r="AI791">
        <v>4.1692788379520112</v>
      </c>
      <c r="AJ791">
        <v>6.9012812233440339</v>
      </c>
      <c r="AK791">
        <v>11.070560061296046</v>
      </c>
      <c r="AL791">
        <v>159.86101224129126</v>
      </c>
      <c r="AM791">
        <v>39.44835750622461</v>
      </c>
      <c r="AN791">
        <v>2.4676659401281658</v>
      </c>
      <c r="AO791">
        <v>12.900000000000002</v>
      </c>
      <c r="AP791">
        <v>15.281600957030651</v>
      </c>
      <c r="AQ791">
        <v>24.429321976584049</v>
      </c>
      <c r="AR791">
        <v>61.927348870556429</v>
      </c>
      <c r="AS791">
        <v>-0.64882800659058359</v>
      </c>
      <c r="AT791">
        <v>13.5586963496335</v>
      </c>
      <c r="AU791">
        <v>34.370750030578719</v>
      </c>
    </row>
    <row r="792" spans="1:48" x14ac:dyDescent="0.35">
      <c r="A792">
        <v>790</v>
      </c>
      <c r="B792">
        <v>46055</v>
      </c>
      <c r="C792" t="s">
        <v>16</v>
      </c>
      <c r="D792" t="s">
        <v>328</v>
      </c>
      <c r="E792" t="s">
        <v>264</v>
      </c>
      <c r="F792" t="s">
        <v>329</v>
      </c>
      <c r="G792" t="s">
        <v>330</v>
      </c>
      <c r="H792" t="s">
        <v>22</v>
      </c>
      <c r="I792" t="s">
        <v>23</v>
      </c>
      <c r="J792" t="s">
        <v>215</v>
      </c>
      <c r="K792" t="s">
        <v>327</v>
      </c>
      <c r="L792">
        <v>29</v>
      </c>
      <c r="M792">
        <v>62</v>
      </c>
      <c r="N792">
        <v>1</v>
      </c>
      <c r="O792">
        <v>3</v>
      </c>
      <c r="P792">
        <v>101</v>
      </c>
      <c r="Q792">
        <v>0.50019999999999998</v>
      </c>
      <c r="R792">
        <v>452.89526952752016</v>
      </c>
      <c r="S792">
        <v>195.39526952752021</v>
      </c>
      <c r="T792">
        <v>0.36666666666666664</v>
      </c>
      <c r="U792">
        <v>41</v>
      </c>
      <c r="V792">
        <v>0.70763888888888893</v>
      </c>
      <c r="W792">
        <v>74</v>
      </c>
      <c r="X792">
        <v>13</v>
      </c>
      <c r="Y792">
        <v>40</v>
      </c>
      <c r="Z792">
        <v>0.38333333333333336</v>
      </c>
      <c r="AA792">
        <v>82</v>
      </c>
      <c r="AB792">
        <v>17.399999999999999</v>
      </c>
      <c r="AD792">
        <v>33</v>
      </c>
      <c r="AE792">
        <v>42</v>
      </c>
      <c r="AF792">
        <v>31.81999099187605</v>
      </c>
      <c r="AG792">
        <v>39.123728042697877</v>
      </c>
      <c r="AH792">
        <v>70.943719034573931</v>
      </c>
      <c r="AI792">
        <v>4.1365988289438871</v>
      </c>
      <c r="AJ792">
        <v>6.8075286794294305</v>
      </c>
      <c r="AK792">
        <v>10.944127508373317</v>
      </c>
      <c r="AL792">
        <v>156.64486650210648</v>
      </c>
      <c r="AM792">
        <v>43.143588081934475</v>
      </c>
      <c r="AN792">
        <v>2.7542292987529406</v>
      </c>
      <c r="AO792">
        <v>13.000000000000002</v>
      </c>
      <c r="AP792">
        <v>15.426492517314708</v>
      </c>
      <c r="AQ792">
        <v>24.164808609705066</v>
      </c>
      <c r="AR792">
        <v>56.010196842722976</v>
      </c>
      <c r="AS792">
        <v>-1.103401714909884</v>
      </c>
      <c r="AT792">
        <v>13.411886854659837</v>
      </c>
      <c r="AU792">
        <v>31.086628282258701</v>
      </c>
    </row>
    <row r="793" spans="1:48" x14ac:dyDescent="0.35">
      <c r="A793">
        <v>791</v>
      </c>
      <c r="B793">
        <v>46055</v>
      </c>
      <c r="C793" t="s">
        <v>16</v>
      </c>
      <c r="D793" t="s">
        <v>332</v>
      </c>
      <c r="E793" t="s">
        <v>333</v>
      </c>
      <c r="F793" t="s">
        <v>334</v>
      </c>
      <c r="G793" t="s">
        <v>335</v>
      </c>
      <c r="H793" t="s">
        <v>22</v>
      </c>
      <c r="I793" t="s">
        <v>23</v>
      </c>
      <c r="J793" t="s">
        <v>303</v>
      </c>
      <c r="K793" t="s">
        <v>331</v>
      </c>
      <c r="L793">
        <v>29</v>
      </c>
      <c r="M793">
        <v>62</v>
      </c>
      <c r="N793">
        <v>1</v>
      </c>
      <c r="O793">
        <v>1</v>
      </c>
      <c r="P793">
        <v>102</v>
      </c>
      <c r="Q793">
        <v>0.50019999999999998</v>
      </c>
      <c r="R793">
        <v>455.35000954786028</v>
      </c>
      <c r="S793">
        <v>103.65000954786029</v>
      </c>
      <c r="T793">
        <v>0.36666666666666664</v>
      </c>
      <c r="U793">
        <v>41</v>
      </c>
      <c r="V793">
        <v>0.70763888888888893</v>
      </c>
      <c r="W793">
        <v>75.5</v>
      </c>
      <c r="X793">
        <v>13.4</v>
      </c>
      <c r="Y793">
        <v>40</v>
      </c>
      <c r="Z793">
        <v>0.38333333333333336</v>
      </c>
      <c r="AA793">
        <v>84</v>
      </c>
      <c r="AB793">
        <v>15.6</v>
      </c>
      <c r="AD793">
        <v>34.5</v>
      </c>
      <c r="AE793">
        <v>44</v>
      </c>
      <c r="AF793">
        <v>33.319990991876054</v>
      </c>
      <c r="AG793">
        <v>41.123728042697877</v>
      </c>
      <c r="AH793">
        <v>74.443719034573931</v>
      </c>
      <c r="AI793">
        <v>4.4648787929113913</v>
      </c>
      <c r="AJ793">
        <v>6.4153015746608686</v>
      </c>
      <c r="AK793">
        <v>10.88018036757226</v>
      </c>
      <c r="AL793">
        <v>163.48680679394914</v>
      </c>
      <c r="AM793">
        <v>22.762711622819456</v>
      </c>
      <c r="AN793">
        <v>1.3923271283601786</v>
      </c>
      <c r="AO793">
        <v>13.4</v>
      </c>
      <c r="AP793">
        <v>14.615310074069745</v>
      </c>
      <c r="AQ793">
        <v>23.894103743130991</v>
      </c>
      <c r="AR793">
        <v>104.97037496700226</v>
      </c>
      <c r="AS793">
        <v>-0.24555247132621966</v>
      </c>
      <c r="AT793">
        <v>13.261640970236023</v>
      </c>
      <c r="AU793">
        <v>58.260374203138973</v>
      </c>
    </row>
    <row r="794" spans="1:48" x14ac:dyDescent="0.35">
      <c r="A794">
        <v>792</v>
      </c>
      <c r="B794">
        <v>46055</v>
      </c>
      <c r="C794" t="s">
        <v>16</v>
      </c>
      <c r="D794" t="s">
        <v>332</v>
      </c>
      <c r="E794" t="s">
        <v>333</v>
      </c>
      <c r="F794" t="s">
        <v>334</v>
      </c>
      <c r="G794" t="s">
        <v>335</v>
      </c>
      <c r="H794" t="s">
        <v>22</v>
      </c>
      <c r="I794" t="s">
        <v>23</v>
      </c>
      <c r="J794" t="s">
        <v>303</v>
      </c>
      <c r="K794" t="s">
        <v>331</v>
      </c>
      <c r="L794">
        <v>29</v>
      </c>
      <c r="M794">
        <v>62</v>
      </c>
      <c r="N794">
        <v>1</v>
      </c>
      <c r="O794">
        <v>2</v>
      </c>
      <c r="P794">
        <v>103</v>
      </c>
      <c r="Q794">
        <v>0.50060000000000004</v>
      </c>
      <c r="R794">
        <v>455.71414390175704</v>
      </c>
      <c r="S794">
        <v>78.714143901757041</v>
      </c>
      <c r="T794">
        <v>0.36736111111111114</v>
      </c>
      <c r="U794">
        <v>40.5</v>
      </c>
      <c r="V794">
        <v>0.70833333333333337</v>
      </c>
      <c r="W794">
        <v>74.5</v>
      </c>
      <c r="X794">
        <v>13.5</v>
      </c>
      <c r="Y794">
        <v>40</v>
      </c>
      <c r="Z794">
        <v>0.3840277777777778</v>
      </c>
      <c r="AA794">
        <v>84</v>
      </c>
      <c r="AB794">
        <v>15.2</v>
      </c>
      <c r="AD794">
        <v>34</v>
      </c>
      <c r="AE794">
        <v>44</v>
      </c>
      <c r="AF794">
        <v>32.819990991876054</v>
      </c>
      <c r="AG794">
        <v>41.123728042697877</v>
      </c>
      <c r="AH794">
        <v>73.943719034573931</v>
      </c>
      <c r="AI794">
        <v>4.4306987839032672</v>
      </c>
      <c r="AJ794">
        <v>6.2508066624900769</v>
      </c>
      <c r="AK794">
        <v>10.681505446393345</v>
      </c>
      <c r="AL794">
        <v>162.2589950829236</v>
      </c>
      <c r="AM794">
        <v>17.272701529037082</v>
      </c>
      <c r="AN794">
        <v>1.0645142674654029</v>
      </c>
      <c r="AO794">
        <v>13.5</v>
      </c>
      <c r="AP794">
        <v>14.445453360817549</v>
      </c>
      <c r="AQ794">
        <v>23.439047458434967</v>
      </c>
      <c r="AR794">
        <v>135.69995069405709</v>
      </c>
      <c r="AS794">
        <v>-0.19575230417475772</v>
      </c>
      <c r="AT794">
        <v>13.009076859283628</v>
      </c>
      <c r="AU794">
        <v>75.315820385213698</v>
      </c>
    </row>
    <row r="795" spans="1:48" x14ac:dyDescent="0.35">
      <c r="A795">
        <v>793</v>
      </c>
      <c r="B795">
        <v>46055</v>
      </c>
      <c r="C795" t="s">
        <v>16</v>
      </c>
      <c r="D795" t="s">
        <v>332</v>
      </c>
      <c r="E795" t="s">
        <v>333</v>
      </c>
      <c r="F795" t="s">
        <v>334</v>
      </c>
      <c r="G795" t="s">
        <v>335</v>
      </c>
      <c r="H795" t="s">
        <v>22</v>
      </c>
      <c r="I795" t="s">
        <v>23</v>
      </c>
      <c r="J795" t="s">
        <v>303</v>
      </c>
      <c r="K795" t="s">
        <v>331</v>
      </c>
      <c r="L795">
        <v>29</v>
      </c>
      <c r="M795">
        <v>62</v>
      </c>
      <c r="N795">
        <v>1</v>
      </c>
      <c r="O795">
        <v>3</v>
      </c>
      <c r="P795">
        <v>104</v>
      </c>
      <c r="Q795">
        <v>0.5</v>
      </c>
      <c r="R795">
        <v>455.16794237091193</v>
      </c>
      <c r="S795">
        <v>98.367942370911919</v>
      </c>
      <c r="T795">
        <v>0.36805555555555558</v>
      </c>
      <c r="U795">
        <v>41</v>
      </c>
      <c r="V795">
        <v>0.70833333333333337</v>
      </c>
      <c r="W795">
        <v>72</v>
      </c>
      <c r="X795">
        <v>13.9</v>
      </c>
      <c r="Y795">
        <v>40.5</v>
      </c>
      <c r="Z795">
        <v>0.38472222222222224</v>
      </c>
      <c r="AA795">
        <v>85</v>
      </c>
      <c r="AB795">
        <v>15.1</v>
      </c>
      <c r="AD795">
        <v>31</v>
      </c>
      <c r="AE795">
        <v>44.5</v>
      </c>
      <c r="AF795">
        <v>29.81999099187605</v>
      </c>
      <c r="AG795">
        <v>41.623728042697877</v>
      </c>
      <c r="AH795">
        <v>71.443719034573931</v>
      </c>
      <c r="AI795">
        <v>4.1449787478707716</v>
      </c>
      <c r="AJ795">
        <v>6.2851829344473789</v>
      </c>
      <c r="AK795">
        <v>10.43016168231815</v>
      </c>
      <c r="AL795">
        <v>156.96122767880507</v>
      </c>
      <c r="AM795">
        <v>21.6113511550321</v>
      </c>
      <c r="AN795">
        <v>1.3768592075016208</v>
      </c>
      <c r="AO795">
        <v>13.900000000000002</v>
      </c>
      <c r="AP795">
        <v>14.59913036899809</v>
      </c>
      <c r="AQ795">
        <v>22.914974257608666</v>
      </c>
      <c r="AR795">
        <v>106.03212216221391</v>
      </c>
      <c r="AS795">
        <v>-0.22449685738025196</v>
      </c>
      <c r="AT795">
        <v>12.718207165814633</v>
      </c>
      <c r="AU795">
        <v>58.849662265810068</v>
      </c>
    </row>
    <row r="796" spans="1:48" x14ac:dyDescent="0.35">
      <c r="A796">
        <v>794</v>
      </c>
      <c r="B796">
        <v>46055</v>
      </c>
      <c r="C796" t="s">
        <v>16</v>
      </c>
      <c r="D796" t="s">
        <v>337</v>
      </c>
      <c r="E796" t="s">
        <v>264</v>
      </c>
      <c r="F796" t="s">
        <v>265</v>
      </c>
      <c r="G796" t="s">
        <v>266</v>
      </c>
      <c r="H796" t="s">
        <v>22</v>
      </c>
      <c r="I796" t="s">
        <v>23</v>
      </c>
      <c r="J796" t="s">
        <v>215</v>
      </c>
      <c r="K796" t="s">
        <v>336</v>
      </c>
      <c r="L796">
        <v>29</v>
      </c>
      <c r="M796">
        <v>62</v>
      </c>
      <c r="N796">
        <v>1</v>
      </c>
      <c r="O796">
        <v>1</v>
      </c>
      <c r="P796">
        <v>105</v>
      </c>
      <c r="Q796">
        <v>0.50009999999999999</v>
      </c>
      <c r="R796">
        <v>460.97305769423059</v>
      </c>
      <c r="S796">
        <v>235.37305769423057</v>
      </c>
      <c r="T796">
        <v>0.36805555555555558</v>
      </c>
      <c r="U796">
        <v>41.5</v>
      </c>
      <c r="V796">
        <v>0.70902777777777781</v>
      </c>
      <c r="W796">
        <v>78.5</v>
      </c>
      <c r="X796">
        <v>13.4</v>
      </c>
      <c r="Y796">
        <v>40</v>
      </c>
      <c r="Z796">
        <v>0.38472222222222224</v>
      </c>
      <c r="AA796">
        <v>84.5</v>
      </c>
      <c r="AB796">
        <v>18</v>
      </c>
      <c r="AD796">
        <v>37</v>
      </c>
      <c r="AE796">
        <v>44.5</v>
      </c>
      <c r="AF796">
        <v>35.819990991876054</v>
      </c>
      <c r="AG796">
        <v>41.623728042697877</v>
      </c>
      <c r="AH796">
        <v>77.443719034573931</v>
      </c>
      <c r="AI796">
        <v>4.7998787929113913</v>
      </c>
      <c r="AJ796">
        <v>7.4922710476856178</v>
      </c>
      <c r="AK796">
        <v>12.292149840597009</v>
      </c>
      <c r="AL796">
        <v>168.00053222620954</v>
      </c>
      <c r="AM796">
        <v>51.060046518023739</v>
      </c>
      <c r="AN796">
        <v>3.0392788547403149</v>
      </c>
      <c r="AO796">
        <v>13.4</v>
      </c>
      <c r="AP796">
        <v>15.8723651108611</v>
      </c>
      <c r="AQ796">
        <v>26.665657863133841</v>
      </c>
      <c r="AR796">
        <v>52.224115882309469</v>
      </c>
      <c r="AS796">
        <v>-3.1438862599323061</v>
      </c>
      <c r="AT796">
        <v>14.799901457600926</v>
      </c>
      <c r="AU796">
        <v>28.985287846098402</v>
      </c>
    </row>
    <row r="797" spans="1:48" x14ac:dyDescent="0.35">
      <c r="A797">
        <v>795</v>
      </c>
      <c r="B797">
        <v>46055</v>
      </c>
      <c r="C797" t="s">
        <v>16</v>
      </c>
      <c r="D797" t="s">
        <v>337</v>
      </c>
      <c r="E797" t="s">
        <v>264</v>
      </c>
      <c r="F797" t="s">
        <v>265</v>
      </c>
      <c r="G797" t="s">
        <v>266</v>
      </c>
      <c r="H797" t="s">
        <v>22</v>
      </c>
      <c r="I797" t="s">
        <v>23</v>
      </c>
      <c r="J797" t="s">
        <v>215</v>
      </c>
      <c r="K797" t="s">
        <v>336</v>
      </c>
      <c r="L797">
        <v>29</v>
      </c>
      <c r="M797">
        <v>62</v>
      </c>
      <c r="N797">
        <v>1</v>
      </c>
      <c r="O797">
        <v>2</v>
      </c>
      <c r="P797">
        <v>106</v>
      </c>
      <c r="Q797">
        <v>0.50049999999999994</v>
      </c>
      <c r="R797">
        <v>461.34176239944497</v>
      </c>
      <c r="S797">
        <v>198.74176239944501</v>
      </c>
      <c r="T797">
        <v>0.36875000000000002</v>
      </c>
      <c r="U797">
        <v>41.5</v>
      </c>
      <c r="V797">
        <v>0.70902777777777781</v>
      </c>
      <c r="W797">
        <v>77.5</v>
      </c>
      <c r="X797">
        <v>13.6</v>
      </c>
      <c r="Y797">
        <v>40.5</v>
      </c>
      <c r="Z797">
        <v>0.38541666666666669</v>
      </c>
      <c r="AA797">
        <v>83.5</v>
      </c>
      <c r="AB797">
        <v>18.3</v>
      </c>
      <c r="AD797">
        <v>36</v>
      </c>
      <c r="AE797">
        <v>43</v>
      </c>
      <c r="AF797">
        <v>34.819990991876054</v>
      </c>
      <c r="AG797">
        <v>40.123728042697877</v>
      </c>
      <c r="AH797">
        <v>74.943719034573931</v>
      </c>
      <c r="AI797">
        <v>4.7355187748951435</v>
      </c>
      <c r="AJ797">
        <v>7.342642231813711</v>
      </c>
      <c r="AK797">
        <v>12.078161006708854</v>
      </c>
      <c r="AL797">
        <v>162.44728993271843</v>
      </c>
      <c r="AM797">
        <v>43.079074689832183</v>
      </c>
      <c r="AN797">
        <v>2.651880170341681</v>
      </c>
      <c r="AO797">
        <v>13.6</v>
      </c>
      <c r="AP797">
        <v>16.116308561010712</v>
      </c>
      <c r="AQ797">
        <v>26.180506494556592</v>
      </c>
      <c r="AR797">
        <v>60.773140284593666</v>
      </c>
      <c r="AS797">
        <v>-0.57914532391630147</v>
      </c>
      <c r="AT797">
        <v>14.530634054418261</v>
      </c>
      <c r="AU797">
        <v>33.73014429636271</v>
      </c>
    </row>
    <row r="798" spans="1:48" x14ac:dyDescent="0.35">
      <c r="A798">
        <v>796</v>
      </c>
      <c r="B798">
        <v>46055</v>
      </c>
      <c r="C798" t="s">
        <v>16</v>
      </c>
      <c r="D798" t="s">
        <v>337</v>
      </c>
      <c r="E798" t="s">
        <v>264</v>
      </c>
      <c r="F798" t="s">
        <v>265</v>
      </c>
      <c r="G798" t="s">
        <v>266</v>
      </c>
      <c r="H798" t="s">
        <v>22</v>
      </c>
      <c r="I798" t="s">
        <v>23</v>
      </c>
      <c r="J798" t="s">
        <v>215</v>
      </c>
      <c r="K798" t="s">
        <v>336</v>
      </c>
      <c r="L798">
        <v>29</v>
      </c>
      <c r="M798">
        <v>62</v>
      </c>
      <c r="N798">
        <v>1</v>
      </c>
      <c r="O798">
        <v>3</v>
      </c>
      <c r="P798">
        <v>107</v>
      </c>
      <c r="Q798">
        <v>0.50060000000000004</v>
      </c>
      <c r="R798">
        <v>461.43393857574853</v>
      </c>
      <c r="S798">
        <v>247.33393857574845</v>
      </c>
      <c r="T798">
        <v>0.36944444444444446</v>
      </c>
      <c r="U798">
        <v>40.5</v>
      </c>
      <c r="V798">
        <v>0.70902777777777781</v>
      </c>
      <c r="W798">
        <v>77.5</v>
      </c>
      <c r="X798">
        <v>13.9</v>
      </c>
      <c r="Y798">
        <v>41</v>
      </c>
      <c r="Z798">
        <v>0.38541666666666669</v>
      </c>
      <c r="AA798">
        <v>84</v>
      </c>
      <c r="AB798">
        <v>18.399999999999999</v>
      </c>
      <c r="AD798">
        <v>37</v>
      </c>
      <c r="AE798">
        <v>43</v>
      </c>
      <c r="AF798">
        <v>35.819990991876054</v>
      </c>
      <c r="AG798">
        <v>40.123728042697877</v>
      </c>
      <c r="AH798">
        <v>75.943719034573931</v>
      </c>
      <c r="AI798">
        <v>4.9789787478707721</v>
      </c>
      <c r="AJ798">
        <v>7.3827659598564095</v>
      </c>
      <c r="AK798">
        <v>12.361744707727182</v>
      </c>
      <c r="AL798">
        <v>164.58199687040812</v>
      </c>
      <c r="AM798">
        <v>53.60115888726429</v>
      </c>
      <c r="AN798">
        <v>3.2568057203407155</v>
      </c>
      <c r="AO798">
        <v>13.900000000000002</v>
      </c>
      <c r="AP798">
        <v>16.277507692373359</v>
      </c>
      <c r="AQ798">
        <v>26.78984720084236</v>
      </c>
      <c r="AR798">
        <v>49.979977591879397</v>
      </c>
      <c r="AS798">
        <v>8.3218295412609162</v>
      </c>
      <c r="AT798">
        <v>14.868828688633613</v>
      </c>
      <c r="AU798">
        <v>27.739752268987729</v>
      </c>
    </row>
    <row r="799" spans="1:48" x14ac:dyDescent="0.35">
      <c r="A799">
        <v>797</v>
      </c>
      <c r="B799">
        <v>46055</v>
      </c>
      <c r="C799" t="s">
        <v>16</v>
      </c>
      <c r="D799" t="s">
        <v>339</v>
      </c>
      <c r="E799" t="s">
        <v>219</v>
      </c>
      <c r="F799" t="s">
        <v>253</v>
      </c>
      <c r="G799" t="s">
        <v>254</v>
      </c>
      <c r="H799" t="s">
        <v>22</v>
      </c>
      <c r="I799" t="s">
        <v>23</v>
      </c>
      <c r="J799" t="s">
        <v>215</v>
      </c>
      <c r="K799" t="s">
        <v>338</v>
      </c>
      <c r="L799">
        <v>29</v>
      </c>
      <c r="M799">
        <v>62</v>
      </c>
      <c r="N799">
        <v>1</v>
      </c>
      <c r="O799">
        <v>1</v>
      </c>
      <c r="P799">
        <v>108</v>
      </c>
      <c r="Q799">
        <v>0.50060000000000004</v>
      </c>
      <c r="R799">
        <v>453.57327964407091</v>
      </c>
      <c r="S799">
        <v>250.97327964407091</v>
      </c>
      <c r="T799">
        <v>0.36944444444444446</v>
      </c>
      <c r="U799">
        <v>40.5</v>
      </c>
      <c r="V799">
        <v>0.70972222222222225</v>
      </c>
      <c r="W799">
        <v>80.5</v>
      </c>
      <c r="X799">
        <v>12.9</v>
      </c>
      <c r="Y799">
        <v>40</v>
      </c>
      <c r="Z799">
        <v>0.38611111111111113</v>
      </c>
      <c r="AA799">
        <v>85</v>
      </c>
      <c r="AB799">
        <v>15.6</v>
      </c>
      <c r="AD799">
        <v>40</v>
      </c>
      <c r="AE799">
        <v>45</v>
      </c>
      <c r="AF799">
        <v>38.819990991876054</v>
      </c>
      <c r="AG799">
        <v>42.123728042697877</v>
      </c>
      <c r="AH799">
        <v>80.943719034573931</v>
      </c>
      <c r="AI799">
        <v>5.007778837952011</v>
      </c>
      <c r="AJ799">
        <v>6.5713015746608692</v>
      </c>
      <c r="AK799">
        <v>11.57908041261288</v>
      </c>
      <c r="AL799">
        <v>178.45786484180081</v>
      </c>
      <c r="AM799">
        <v>55.332465757465975</v>
      </c>
      <c r="AN799">
        <v>3.1005899239306181</v>
      </c>
      <c r="AO799">
        <v>12.9</v>
      </c>
      <c r="AP799">
        <v>14.305100569529111</v>
      </c>
      <c r="AQ799">
        <v>25.528577039853943</v>
      </c>
      <c r="AR799">
        <v>46.13670598333924</v>
      </c>
      <c r="AS799">
        <v>1.6262533295677559</v>
      </c>
      <c r="AT799">
        <v>14.168801928001981</v>
      </c>
      <c r="AU799">
        <v>25.606670033659569</v>
      </c>
    </row>
    <row r="800" spans="1:48" x14ac:dyDescent="0.35">
      <c r="A800">
        <v>798</v>
      </c>
      <c r="B800">
        <v>46055</v>
      </c>
      <c r="C800" t="s">
        <v>16</v>
      </c>
      <c r="D800" t="s">
        <v>339</v>
      </c>
      <c r="E800" t="s">
        <v>219</v>
      </c>
      <c r="F800" t="s">
        <v>253</v>
      </c>
      <c r="G800" t="s">
        <v>254</v>
      </c>
      <c r="H800" t="s">
        <v>22</v>
      </c>
      <c r="I800" t="s">
        <v>23</v>
      </c>
      <c r="J800" t="s">
        <v>215</v>
      </c>
      <c r="K800" t="s">
        <v>338</v>
      </c>
      <c r="L800">
        <v>29</v>
      </c>
      <c r="M800">
        <v>62</v>
      </c>
      <c r="N800">
        <v>1</v>
      </c>
      <c r="O800">
        <v>2</v>
      </c>
      <c r="P800">
        <v>109</v>
      </c>
      <c r="Q800">
        <v>0.5</v>
      </c>
      <c r="R800">
        <v>453.02964407118543</v>
      </c>
      <c r="S800">
        <v>291.1296440711854</v>
      </c>
      <c r="T800">
        <v>0.36944444444444446</v>
      </c>
      <c r="U800">
        <v>40.5</v>
      </c>
      <c r="V800">
        <v>0.70972222222222225</v>
      </c>
      <c r="W800">
        <v>77.5</v>
      </c>
      <c r="X800">
        <v>12.9</v>
      </c>
      <c r="Y800">
        <v>40.5</v>
      </c>
      <c r="Z800">
        <v>0.38611111111111113</v>
      </c>
      <c r="AA800">
        <v>83.5</v>
      </c>
      <c r="AB800">
        <v>15.3</v>
      </c>
      <c r="AD800">
        <v>37</v>
      </c>
      <c r="AE800">
        <v>43</v>
      </c>
      <c r="AF800">
        <v>35.819990991876054</v>
      </c>
      <c r="AG800">
        <v>40.123728042697877</v>
      </c>
      <c r="AH800">
        <v>75.943719034573931</v>
      </c>
      <c r="AI800">
        <v>4.6207788379520114</v>
      </c>
      <c r="AJ800">
        <v>6.1389303905327752</v>
      </c>
      <c r="AK800">
        <v>10.759709228484788</v>
      </c>
      <c r="AL800">
        <v>167.63520892827214</v>
      </c>
      <c r="AM800">
        <v>64.262824272364753</v>
      </c>
      <c r="AN800">
        <v>3.8334920619129345</v>
      </c>
      <c r="AO800">
        <v>12.9</v>
      </c>
      <c r="AP800">
        <v>14.168004102599125</v>
      </c>
      <c r="AQ800">
        <v>23.750563278358211</v>
      </c>
      <c r="AR800">
        <v>36.958480345800453</v>
      </c>
      <c r="AS800">
        <v>0.41883635047697226</v>
      </c>
      <c r="AT800">
        <v>13.181973528888088</v>
      </c>
      <c r="AU800">
        <v>20.512596011994436</v>
      </c>
    </row>
    <row r="801" spans="1:47" x14ac:dyDescent="0.35">
      <c r="A801">
        <v>799</v>
      </c>
      <c r="B801">
        <v>46055</v>
      </c>
      <c r="C801" t="s">
        <v>16</v>
      </c>
      <c r="D801" t="s">
        <v>339</v>
      </c>
      <c r="E801" t="s">
        <v>219</v>
      </c>
      <c r="F801" t="s">
        <v>253</v>
      </c>
      <c r="G801" t="s">
        <v>254</v>
      </c>
      <c r="H801" t="s">
        <v>22</v>
      </c>
      <c r="I801" t="s">
        <v>23</v>
      </c>
      <c r="J801" t="s">
        <v>215</v>
      </c>
      <c r="K801" t="s">
        <v>338</v>
      </c>
      <c r="L801">
        <v>29</v>
      </c>
      <c r="M801">
        <v>62</v>
      </c>
      <c r="N801">
        <v>1</v>
      </c>
      <c r="O801">
        <v>3</v>
      </c>
      <c r="P801">
        <v>110</v>
      </c>
      <c r="Q801">
        <v>0.50029999999999997</v>
      </c>
      <c r="R801">
        <v>453.30146185762817</v>
      </c>
      <c r="S801">
        <v>257.10146185762812</v>
      </c>
      <c r="T801">
        <v>0.37013888888888891</v>
      </c>
      <c r="U801">
        <v>40.5</v>
      </c>
      <c r="V801">
        <v>0.7104166666666667</v>
      </c>
      <c r="W801">
        <v>77</v>
      </c>
      <c r="X801">
        <v>12.9</v>
      </c>
      <c r="Y801">
        <v>40</v>
      </c>
      <c r="Z801">
        <v>0.38680555555555557</v>
      </c>
      <c r="AA801">
        <v>83.5</v>
      </c>
      <c r="AB801">
        <v>15.2</v>
      </c>
      <c r="AD801">
        <v>36.5</v>
      </c>
      <c r="AE801">
        <v>43.5</v>
      </c>
      <c r="AF801">
        <v>35.319990991876054</v>
      </c>
      <c r="AG801">
        <v>40.623728042697877</v>
      </c>
      <c r="AH801">
        <v>75.943719034573931</v>
      </c>
      <c r="AI801">
        <v>4.5562788379520107</v>
      </c>
      <c r="AJ801">
        <v>6.1748066624900773</v>
      </c>
      <c r="AK801">
        <v>10.731085500442088</v>
      </c>
      <c r="AL801">
        <v>167.53468811540287</v>
      </c>
      <c r="AM801">
        <v>56.717545274181781</v>
      </c>
      <c r="AN801">
        <v>3.3854210081623841</v>
      </c>
      <c r="AO801">
        <v>12.899999999999999</v>
      </c>
      <c r="AP801">
        <v>14.130313391100431</v>
      </c>
      <c r="AQ801">
        <v>23.673176469509116</v>
      </c>
      <c r="AR801">
        <v>41.738718336749514</v>
      </c>
      <c r="AS801">
        <v>1.0730896730019426</v>
      </c>
      <c r="AT801">
        <v>13.139022511104717</v>
      </c>
      <c r="AU801">
        <v>23.165710800050594</v>
      </c>
    </row>
    <row r="802" spans="1:47" x14ac:dyDescent="0.35">
      <c r="A802">
        <v>800</v>
      </c>
      <c r="B802">
        <v>46055</v>
      </c>
      <c r="C802" t="s">
        <v>16</v>
      </c>
      <c r="D802" t="s">
        <v>341</v>
      </c>
      <c r="E802" t="s">
        <v>333</v>
      </c>
      <c r="F802" t="s">
        <v>334</v>
      </c>
      <c r="G802" t="s">
        <v>335</v>
      </c>
      <c r="H802" t="s">
        <v>22</v>
      </c>
      <c r="I802" t="s">
        <v>23</v>
      </c>
      <c r="J802" t="s">
        <v>303</v>
      </c>
      <c r="K802" t="s">
        <v>340</v>
      </c>
      <c r="L802">
        <v>29</v>
      </c>
      <c r="M802">
        <v>62</v>
      </c>
      <c r="N802">
        <v>1</v>
      </c>
      <c r="O802">
        <v>1</v>
      </c>
      <c r="P802">
        <v>111</v>
      </c>
      <c r="Q802">
        <v>0.5</v>
      </c>
      <c r="R802">
        <v>462.39566355139465</v>
      </c>
      <c r="S802">
        <v>261.59566355139464</v>
      </c>
      <c r="T802">
        <v>0.37013888888888891</v>
      </c>
      <c r="U802">
        <v>41</v>
      </c>
      <c r="V802">
        <v>0.71111111111111114</v>
      </c>
      <c r="W802">
        <v>81</v>
      </c>
      <c r="X802">
        <v>13.2</v>
      </c>
      <c r="Y802">
        <v>40.5</v>
      </c>
      <c r="Z802">
        <v>0.38680555555555557</v>
      </c>
      <c r="AA802">
        <v>85</v>
      </c>
      <c r="AB802">
        <v>15.6</v>
      </c>
      <c r="AD802">
        <v>40</v>
      </c>
      <c r="AE802">
        <v>44.5</v>
      </c>
      <c r="AF802">
        <v>38.819990991876054</v>
      </c>
      <c r="AG802">
        <v>41.623728042697877</v>
      </c>
      <c r="AH802">
        <v>80.443719034573931</v>
      </c>
      <c r="AI802">
        <v>5.1242388109276398</v>
      </c>
      <c r="AJ802">
        <v>6.4933015746608689</v>
      </c>
      <c r="AK802">
        <v>11.617540385588509</v>
      </c>
      <c r="AL802">
        <v>173.97161213998436</v>
      </c>
      <c r="AM802">
        <v>56.573987208753017</v>
      </c>
      <c r="AN802">
        <v>3.2519091197034706</v>
      </c>
      <c r="AO802">
        <v>13.200000000000003</v>
      </c>
      <c r="AP802">
        <v>14.441824079012809</v>
      </c>
      <c r="AQ802">
        <v>25.124674172679033</v>
      </c>
      <c r="AR802">
        <v>44.410294222274288</v>
      </c>
      <c r="AS802">
        <v>2.5403054293862835</v>
      </c>
      <c r="AT802">
        <v>13.944628848781027</v>
      </c>
      <c r="AU802">
        <v>24.648481637552923</v>
      </c>
    </row>
    <row r="803" spans="1:47" x14ac:dyDescent="0.35">
      <c r="A803">
        <v>801</v>
      </c>
      <c r="B803">
        <v>46055</v>
      </c>
      <c r="C803" t="s">
        <v>16</v>
      </c>
      <c r="D803" t="s">
        <v>341</v>
      </c>
      <c r="E803" t="s">
        <v>333</v>
      </c>
      <c r="F803" t="s">
        <v>334</v>
      </c>
      <c r="G803" t="s">
        <v>335</v>
      </c>
      <c r="H803" t="s">
        <v>22</v>
      </c>
      <c r="I803" t="s">
        <v>23</v>
      </c>
      <c r="J803" t="s">
        <v>303</v>
      </c>
      <c r="K803" t="s">
        <v>340</v>
      </c>
      <c r="L803">
        <v>29</v>
      </c>
      <c r="M803">
        <v>62</v>
      </c>
      <c r="N803">
        <v>1</v>
      </c>
      <c r="O803">
        <v>2</v>
      </c>
      <c r="P803">
        <v>112</v>
      </c>
      <c r="Q803">
        <v>0.50049999999999994</v>
      </c>
      <c r="R803">
        <v>462.85805921494597</v>
      </c>
      <c r="S803">
        <v>234.25805921494594</v>
      </c>
      <c r="T803">
        <v>0.37013888888888891</v>
      </c>
      <c r="U803">
        <v>41</v>
      </c>
      <c r="V803">
        <v>0.71111111111111114</v>
      </c>
      <c r="W803">
        <v>81.5</v>
      </c>
      <c r="X803">
        <v>13.1</v>
      </c>
      <c r="Y803">
        <v>40.5</v>
      </c>
      <c r="Z803">
        <v>0.38750000000000001</v>
      </c>
      <c r="AA803">
        <v>85</v>
      </c>
      <c r="AB803">
        <v>15.5</v>
      </c>
      <c r="AD803">
        <v>40.5</v>
      </c>
      <c r="AE803">
        <v>44.5</v>
      </c>
      <c r="AF803">
        <v>39.319990991876054</v>
      </c>
      <c r="AG803">
        <v>41.623728042697877</v>
      </c>
      <c r="AH803">
        <v>80.943719034573931</v>
      </c>
      <c r="AI803">
        <v>5.1509188199357636</v>
      </c>
      <c r="AJ803">
        <v>6.4516778466181712</v>
      </c>
      <c r="AK803">
        <v>11.602596666553936</v>
      </c>
      <c r="AL803">
        <v>174.87805910058614</v>
      </c>
      <c r="AM803">
        <v>50.611208890317542</v>
      </c>
      <c r="AN803">
        <v>2.8940856932319359</v>
      </c>
      <c r="AO803">
        <v>13.100000000000001</v>
      </c>
      <c r="AP803">
        <v>14.334153168324345</v>
      </c>
      <c r="AQ803">
        <v>25.067288849270792</v>
      </c>
      <c r="AR803">
        <v>49.529124869543338</v>
      </c>
      <c r="AS803">
        <v>-1.3602659631252192</v>
      </c>
      <c r="AT803">
        <v>13.912779001463791</v>
      </c>
      <c r="AU803">
        <v>27.489521207871114</v>
      </c>
    </row>
    <row r="804" spans="1:47" x14ac:dyDescent="0.35">
      <c r="A804">
        <v>802</v>
      </c>
      <c r="B804">
        <v>46055</v>
      </c>
      <c r="C804" t="s">
        <v>16</v>
      </c>
      <c r="D804" t="s">
        <v>341</v>
      </c>
      <c r="E804" t="s">
        <v>333</v>
      </c>
      <c r="F804" t="s">
        <v>334</v>
      </c>
      <c r="G804" t="s">
        <v>335</v>
      </c>
      <c r="H804" t="s">
        <v>22</v>
      </c>
      <c r="I804" t="s">
        <v>23</v>
      </c>
      <c r="J804" t="s">
        <v>303</v>
      </c>
      <c r="K804" t="s">
        <v>340</v>
      </c>
      <c r="L804">
        <v>29</v>
      </c>
      <c r="M804">
        <v>62</v>
      </c>
      <c r="N804">
        <v>1</v>
      </c>
      <c r="O804">
        <v>3</v>
      </c>
      <c r="P804">
        <v>113</v>
      </c>
      <c r="Q804">
        <v>0.50060000000000004</v>
      </c>
      <c r="R804">
        <v>462.95053834765639</v>
      </c>
      <c r="S804">
        <v>216.25053834765637</v>
      </c>
      <c r="T804">
        <v>0.37083333333333335</v>
      </c>
      <c r="U804">
        <v>41</v>
      </c>
      <c r="V804">
        <v>0.71111111111111114</v>
      </c>
      <c r="W804">
        <v>79</v>
      </c>
      <c r="X804">
        <v>13.5</v>
      </c>
      <c r="Y804">
        <v>40.5</v>
      </c>
      <c r="Z804">
        <v>0.38750000000000001</v>
      </c>
      <c r="AA804">
        <v>85.5</v>
      </c>
      <c r="AB804">
        <v>15.8</v>
      </c>
      <c r="AD804">
        <v>38</v>
      </c>
      <c r="AE804">
        <v>45</v>
      </c>
      <c r="AF804">
        <v>36.819990991876054</v>
      </c>
      <c r="AG804">
        <v>42.123728042697877</v>
      </c>
      <c r="AH804">
        <v>78.943719034573931</v>
      </c>
      <c r="AI804">
        <v>4.9706987839032672</v>
      </c>
      <c r="AJ804">
        <v>6.6555490307462648</v>
      </c>
      <c r="AK804">
        <v>11.626247814649531</v>
      </c>
      <c r="AL804">
        <v>170.52300946951382</v>
      </c>
      <c r="AM804">
        <v>46.711369884024478</v>
      </c>
      <c r="AN804">
        <v>2.7393001114242921</v>
      </c>
      <c r="AO804">
        <v>13.5</v>
      </c>
      <c r="AP804">
        <v>14.72726134115589</v>
      </c>
      <c r="AQ804">
        <v>25.113369251379307</v>
      </c>
      <c r="AR804">
        <v>53.762861833705728</v>
      </c>
      <c r="AS804">
        <v>-0.67992241223807182</v>
      </c>
      <c r="AT804">
        <v>13.938354421872807</v>
      </c>
      <c r="AU804">
        <v>29.839318471025599</v>
      </c>
    </row>
    <row r="805" spans="1:47" x14ac:dyDescent="0.35">
      <c r="A805">
        <v>803</v>
      </c>
      <c r="B805">
        <v>46055</v>
      </c>
      <c r="C805" t="s">
        <v>16</v>
      </c>
      <c r="D805" t="s">
        <v>343</v>
      </c>
      <c r="E805" t="s">
        <v>212</v>
      </c>
      <c r="F805" t="s">
        <v>301</v>
      </c>
      <c r="G805" t="s">
        <v>302</v>
      </c>
      <c r="H805" t="s">
        <v>22</v>
      </c>
      <c r="I805" t="s">
        <v>23</v>
      </c>
      <c r="J805" t="s">
        <v>303</v>
      </c>
      <c r="K805" t="s">
        <v>342</v>
      </c>
      <c r="L805">
        <v>29</v>
      </c>
      <c r="M805">
        <v>62</v>
      </c>
      <c r="N805">
        <v>1</v>
      </c>
      <c r="O805">
        <v>1</v>
      </c>
      <c r="P805">
        <v>114</v>
      </c>
      <c r="Q805">
        <v>0.50049999999999994</v>
      </c>
      <c r="R805">
        <v>463.29153796740684</v>
      </c>
      <c r="S805">
        <v>127.59153796740685</v>
      </c>
      <c r="T805">
        <v>0.37083333333333335</v>
      </c>
      <c r="U805">
        <v>41</v>
      </c>
      <c r="V805">
        <v>0.71180555555555558</v>
      </c>
      <c r="W805">
        <v>77.5</v>
      </c>
      <c r="X805">
        <v>13.5</v>
      </c>
      <c r="Y805">
        <v>40.5</v>
      </c>
      <c r="Z805">
        <v>0.38819444444444445</v>
      </c>
      <c r="AA805">
        <v>77.5</v>
      </c>
      <c r="AB805">
        <v>16.7</v>
      </c>
      <c r="AD805">
        <v>36.5</v>
      </c>
      <c r="AE805">
        <v>37</v>
      </c>
      <c r="AF805">
        <v>35.319990991876054</v>
      </c>
      <c r="AG805">
        <v>34.123728042697877</v>
      </c>
      <c r="AH805">
        <v>69.443719034573931</v>
      </c>
      <c r="AI805">
        <v>4.7681987839032676</v>
      </c>
      <c r="AJ805">
        <v>5.6986625831305444</v>
      </c>
      <c r="AK805">
        <v>10.466861367033811</v>
      </c>
      <c r="AL805">
        <v>149.89205142671824</v>
      </c>
      <c r="AM805">
        <v>27.540226296208132</v>
      </c>
      <c r="AN805">
        <v>1.8373373393766954</v>
      </c>
      <c r="AO805">
        <v>13.5</v>
      </c>
      <c r="AP805">
        <v>15.072437813739031</v>
      </c>
      <c r="AQ805">
        <v>22.592386239029835</v>
      </c>
      <c r="AR805">
        <v>82.034134346021929</v>
      </c>
      <c r="AS805">
        <v>-0.4929876089141727</v>
      </c>
      <c r="AT805">
        <v>12.539165234395799</v>
      </c>
      <c r="AU805">
        <v>45.530363837722895</v>
      </c>
    </row>
    <row r="806" spans="1:47" x14ac:dyDescent="0.35">
      <c r="A806">
        <v>804</v>
      </c>
      <c r="B806">
        <v>46055</v>
      </c>
      <c r="C806" t="s">
        <v>16</v>
      </c>
      <c r="D806" t="s">
        <v>343</v>
      </c>
      <c r="E806" t="s">
        <v>212</v>
      </c>
      <c r="F806" t="s">
        <v>301</v>
      </c>
      <c r="G806" t="s">
        <v>302</v>
      </c>
      <c r="H806" t="s">
        <v>22</v>
      </c>
      <c r="I806" t="s">
        <v>23</v>
      </c>
      <c r="J806" t="s">
        <v>303</v>
      </c>
      <c r="K806" t="s">
        <v>342</v>
      </c>
      <c r="L806">
        <v>29</v>
      </c>
      <c r="M806">
        <v>62</v>
      </c>
      <c r="N806">
        <v>1</v>
      </c>
      <c r="O806">
        <v>2</v>
      </c>
      <c r="P806">
        <v>115</v>
      </c>
      <c r="Q806">
        <v>0.50060000000000004</v>
      </c>
      <c r="R806">
        <v>463.38410370925857</v>
      </c>
      <c r="S806">
        <v>194.48410370925865</v>
      </c>
      <c r="T806">
        <v>0.37083333333333335</v>
      </c>
      <c r="U806">
        <v>41</v>
      </c>
      <c r="V806">
        <v>0.71180555555555558</v>
      </c>
      <c r="W806">
        <v>78</v>
      </c>
      <c r="X806">
        <v>13.6</v>
      </c>
      <c r="Y806">
        <v>40</v>
      </c>
      <c r="Z806">
        <v>0.38819444444444445</v>
      </c>
      <c r="AA806">
        <v>76.5</v>
      </c>
      <c r="AB806">
        <v>16.899999999999999</v>
      </c>
      <c r="AD806">
        <v>37</v>
      </c>
      <c r="AE806">
        <v>36.5</v>
      </c>
      <c r="AF806">
        <v>35.819990991876054</v>
      </c>
      <c r="AG806">
        <v>33.623728042697877</v>
      </c>
      <c r="AH806">
        <v>69.443719034573931</v>
      </c>
      <c r="AI806">
        <v>4.8715187748951436</v>
      </c>
      <c r="AJ806">
        <v>5.6824100392159407</v>
      </c>
      <c r="AK806">
        <v>10.553928814111085</v>
      </c>
      <c r="AL806">
        <v>149.86210894740805</v>
      </c>
      <c r="AM806">
        <v>41.970387450166818</v>
      </c>
      <c r="AN806">
        <v>2.8006003482104824</v>
      </c>
      <c r="AO806">
        <v>13.6</v>
      </c>
      <c r="AP806">
        <v>15.197816247221152</v>
      </c>
      <c r="AQ806">
        <v>22.775767942037444</v>
      </c>
      <c r="AR806">
        <v>54.266279931487546</v>
      </c>
      <c r="AS806">
        <v>3.6250080610138031</v>
      </c>
      <c r="AT806">
        <v>12.640945252258845</v>
      </c>
      <c r="AU806">
        <v>30.118724224950181</v>
      </c>
    </row>
    <row r="807" spans="1:47" x14ac:dyDescent="0.35">
      <c r="A807">
        <v>805</v>
      </c>
      <c r="B807">
        <v>46055</v>
      </c>
      <c r="C807" t="s">
        <v>16</v>
      </c>
      <c r="D807" t="s">
        <v>343</v>
      </c>
      <c r="E807" t="s">
        <v>212</v>
      </c>
      <c r="F807" t="s">
        <v>301</v>
      </c>
      <c r="G807" t="s">
        <v>302</v>
      </c>
      <c r="H807" t="s">
        <v>22</v>
      </c>
      <c r="I807" t="s">
        <v>23</v>
      </c>
      <c r="J807" t="s">
        <v>303</v>
      </c>
      <c r="K807" t="s">
        <v>342</v>
      </c>
      <c r="L807">
        <v>29</v>
      </c>
      <c r="M807">
        <v>62</v>
      </c>
      <c r="N807">
        <v>1</v>
      </c>
      <c r="O807">
        <v>3</v>
      </c>
      <c r="P807">
        <v>116</v>
      </c>
      <c r="Q807">
        <v>0.50019999999999998</v>
      </c>
      <c r="R807">
        <v>463.01384074185205</v>
      </c>
      <c r="S807">
        <v>179.81384074185206</v>
      </c>
      <c r="T807">
        <v>0.37152777777777779</v>
      </c>
      <c r="U807">
        <v>40.5</v>
      </c>
      <c r="V807">
        <v>0.71250000000000002</v>
      </c>
      <c r="W807">
        <v>77</v>
      </c>
      <c r="X807">
        <v>13.6</v>
      </c>
      <c r="Y807">
        <v>40</v>
      </c>
      <c r="Z807">
        <v>0.3888888888888889</v>
      </c>
      <c r="AA807">
        <v>77.5</v>
      </c>
      <c r="AB807">
        <v>17</v>
      </c>
      <c r="AD807">
        <v>36.5</v>
      </c>
      <c r="AE807">
        <v>37.5</v>
      </c>
      <c r="AF807">
        <v>35.319990991876054</v>
      </c>
      <c r="AG807">
        <v>34.623728042697877</v>
      </c>
      <c r="AH807">
        <v>69.943719034573931</v>
      </c>
      <c r="AI807">
        <v>4.803518774895144</v>
      </c>
      <c r="AJ807">
        <v>5.8860337672586391</v>
      </c>
      <c r="AK807">
        <v>10.689552542153784</v>
      </c>
      <c r="AL807">
        <v>151.06183202322504</v>
      </c>
      <c r="AM807">
        <v>38.835521731650601</v>
      </c>
      <c r="AN807">
        <v>2.5708361411689897</v>
      </c>
      <c r="AO807">
        <v>13.600000000000001</v>
      </c>
      <c r="AP807">
        <v>15.283077150744335</v>
      </c>
      <c r="AQ807">
        <v>23.086896333437295</v>
      </c>
      <c r="AR807">
        <v>59.447885090781931</v>
      </c>
      <c r="AS807">
        <v>-4.5809483892423444</v>
      </c>
      <c r="AT807">
        <v>12.813626892329902</v>
      </c>
      <c r="AU807">
        <v>32.994604735506648</v>
      </c>
    </row>
    <row r="808" spans="1:47" x14ac:dyDescent="0.35">
      <c r="A808">
        <v>806</v>
      </c>
      <c r="B808">
        <v>46055</v>
      </c>
      <c r="C808" t="s">
        <v>16</v>
      </c>
      <c r="D808" t="s">
        <v>345</v>
      </c>
      <c r="E808" t="s">
        <v>346</v>
      </c>
      <c r="F808" t="s">
        <v>347</v>
      </c>
      <c r="G808" t="s">
        <v>348</v>
      </c>
      <c r="H808" t="s">
        <v>22</v>
      </c>
      <c r="I808" t="s">
        <v>23</v>
      </c>
      <c r="J808" t="s">
        <v>303</v>
      </c>
      <c r="K808" t="s">
        <v>344</v>
      </c>
      <c r="L808">
        <v>29</v>
      </c>
      <c r="M808">
        <v>62</v>
      </c>
      <c r="N808">
        <v>1</v>
      </c>
      <c r="O808">
        <v>1</v>
      </c>
      <c r="P808">
        <v>117</v>
      </c>
      <c r="Q808">
        <v>0.50029999999999997</v>
      </c>
      <c r="R808">
        <v>464.31598983951358</v>
      </c>
      <c r="S808">
        <v>86.9159898395136</v>
      </c>
      <c r="T808">
        <v>0.37152777777777779</v>
      </c>
      <c r="U808">
        <v>40.5</v>
      </c>
      <c r="V808">
        <v>0.71250000000000002</v>
      </c>
      <c r="W808">
        <v>66</v>
      </c>
      <c r="X808">
        <v>12.8</v>
      </c>
      <c r="Y808">
        <v>40</v>
      </c>
      <c r="Z808">
        <v>0.3888888888888889</v>
      </c>
      <c r="AA808">
        <v>75.5</v>
      </c>
      <c r="AB808">
        <v>15.2</v>
      </c>
      <c r="AD808">
        <v>25.5</v>
      </c>
      <c r="AE808">
        <v>35.5</v>
      </c>
      <c r="AF808">
        <v>24.31999099187605</v>
      </c>
      <c r="AG808">
        <v>32.623728042697877</v>
      </c>
      <c r="AH808">
        <v>56.943719034573931</v>
      </c>
      <c r="AI808">
        <v>3.1129588469601344</v>
      </c>
      <c r="AJ808">
        <v>4.9588066624900771</v>
      </c>
      <c r="AK808">
        <v>8.071765509450211</v>
      </c>
      <c r="AL808">
        <v>122.64001300979531</v>
      </c>
      <c r="AM808">
        <v>18.719146387690692</v>
      </c>
      <c r="AN808">
        <v>1.5263490216847571</v>
      </c>
      <c r="AO808">
        <v>12.799999999999999</v>
      </c>
      <c r="AP808">
        <v>14.174988297742477</v>
      </c>
      <c r="AQ808">
        <v>17.384207492488336</v>
      </c>
      <c r="AR808">
        <v>92.868590973356646</v>
      </c>
      <c r="AS808">
        <v>-0.1873025340220803</v>
      </c>
      <c r="AT808">
        <v>9.6485359231665395</v>
      </c>
      <c r="AU808">
        <v>51.543674713240165</v>
      </c>
    </row>
    <row r="809" spans="1:47" x14ac:dyDescent="0.35">
      <c r="A809">
        <v>807</v>
      </c>
      <c r="B809">
        <v>46055</v>
      </c>
      <c r="C809" t="s">
        <v>16</v>
      </c>
      <c r="D809" t="s">
        <v>345</v>
      </c>
      <c r="E809" t="s">
        <v>346</v>
      </c>
      <c r="F809" t="s">
        <v>347</v>
      </c>
      <c r="G809" t="s">
        <v>348</v>
      </c>
      <c r="H809" t="s">
        <v>22</v>
      </c>
      <c r="I809" t="s">
        <v>23</v>
      </c>
      <c r="J809" t="s">
        <v>303</v>
      </c>
      <c r="K809" t="s">
        <v>344</v>
      </c>
      <c r="L809">
        <v>29</v>
      </c>
      <c r="M809">
        <v>62</v>
      </c>
      <c r="N809">
        <v>1</v>
      </c>
      <c r="O809">
        <v>2</v>
      </c>
      <c r="P809">
        <v>118</v>
      </c>
      <c r="Q809">
        <v>0.50039999999999996</v>
      </c>
      <c r="R809">
        <v>464.40879735297335</v>
      </c>
      <c r="S809">
        <v>198.40879735297347</v>
      </c>
      <c r="T809">
        <v>0.37152777777777779</v>
      </c>
      <c r="U809">
        <v>41</v>
      </c>
      <c r="V809">
        <v>0.71319444444444446</v>
      </c>
      <c r="W809">
        <v>66.5</v>
      </c>
      <c r="X809">
        <v>12.2</v>
      </c>
      <c r="Y809">
        <v>39.5</v>
      </c>
      <c r="Z809">
        <v>0.38958333333333334</v>
      </c>
      <c r="AA809">
        <v>74</v>
      </c>
      <c r="AB809">
        <v>15.1</v>
      </c>
      <c r="AD809">
        <v>25.5</v>
      </c>
      <c r="AE809">
        <v>34.5</v>
      </c>
      <c r="AF809">
        <v>24.31999099187605</v>
      </c>
      <c r="AG809">
        <v>31.623728042697874</v>
      </c>
      <c r="AH809">
        <v>55.943719034573924</v>
      </c>
      <c r="AI809">
        <v>2.9670389010088782</v>
      </c>
      <c r="AJ809">
        <v>4.7751829344473791</v>
      </c>
      <c r="AK809">
        <v>7.7422218354562578</v>
      </c>
      <c r="AL809">
        <v>120.46222929763746</v>
      </c>
      <c r="AM809">
        <v>42.722876587148953</v>
      </c>
      <c r="AN809">
        <v>3.5465786110922357</v>
      </c>
      <c r="AO809">
        <v>12.200000000000001</v>
      </c>
      <c r="AP809">
        <v>13.839304874728594</v>
      </c>
      <c r="AQ809">
        <v>16.671135171394681</v>
      </c>
      <c r="AR809">
        <v>39.021565267001144</v>
      </c>
      <c r="AS809">
        <v>-9.2579727546002299</v>
      </c>
      <c r="AT809">
        <v>9.2527684480681884</v>
      </c>
      <c r="AU809">
        <v>21.65764383677157</v>
      </c>
    </row>
    <row r="810" spans="1:47" x14ac:dyDescent="0.35">
      <c r="A810">
        <v>808</v>
      </c>
      <c r="B810">
        <v>46055</v>
      </c>
      <c r="C810" t="s">
        <v>16</v>
      </c>
      <c r="D810" t="s">
        <v>345</v>
      </c>
      <c r="E810" t="s">
        <v>346</v>
      </c>
      <c r="F810" t="s">
        <v>347</v>
      </c>
      <c r="G810" t="s">
        <v>348</v>
      </c>
      <c r="H810" t="s">
        <v>22</v>
      </c>
      <c r="I810" t="s">
        <v>23</v>
      </c>
      <c r="J810" t="s">
        <v>303</v>
      </c>
      <c r="K810" t="s">
        <v>344</v>
      </c>
      <c r="L810">
        <v>29</v>
      </c>
      <c r="M810">
        <v>62</v>
      </c>
      <c r="N810">
        <v>1</v>
      </c>
      <c r="O810">
        <v>3</v>
      </c>
      <c r="P810">
        <v>119</v>
      </c>
      <c r="Q810">
        <v>0.50029999999999997</v>
      </c>
      <c r="R810">
        <v>464.31598983951358</v>
      </c>
      <c r="S810">
        <v>150.91598983951354</v>
      </c>
      <c r="T810">
        <v>0.37222222222222223</v>
      </c>
      <c r="U810">
        <v>41</v>
      </c>
      <c r="V810">
        <v>0.71319444444444446</v>
      </c>
      <c r="W810">
        <v>67.5</v>
      </c>
      <c r="X810">
        <v>12.3</v>
      </c>
      <c r="Y810">
        <v>40</v>
      </c>
      <c r="Z810">
        <v>0.38958333333333334</v>
      </c>
      <c r="AA810">
        <v>73.5</v>
      </c>
      <c r="AB810">
        <v>15</v>
      </c>
      <c r="AD810">
        <v>26.5</v>
      </c>
      <c r="AE810">
        <v>33.5</v>
      </c>
      <c r="AF810">
        <v>25.31999099187605</v>
      </c>
      <c r="AG810">
        <v>30.623728042697874</v>
      </c>
      <c r="AH810">
        <v>55.943719034573924</v>
      </c>
      <c r="AI810">
        <v>3.1143588920007543</v>
      </c>
      <c r="AJ810">
        <v>4.5935592064046809</v>
      </c>
      <c r="AK810">
        <v>7.7079180984054352</v>
      </c>
      <c r="AL810">
        <v>120.48630729669755</v>
      </c>
      <c r="AM810">
        <v>32.50286295151632</v>
      </c>
      <c r="AN810">
        <v>2.6976395642600299</v>
      </c>
      <c r="AO810">
        <v>12.3</v>
      </c>
      <c r="AP810">
        <v>13.777986575475692</v>
      </c>
      <c r="AQ810">
        <v>16.600587244625377</v>
      </c>
      <c r="AR810">
        <v>51.074230812799613</v>
      </c>
      <c r="AS810">
        <v>-0.40937303975801254</v>
      </c>
      <c r="AT810">
        <v>9.21361312815886</v>
      </c>
      <c r="AU810">
        <v>28.347081738315076</v>
      </c>
    </row>
    <row r="811" spans="1:47" x14ac:dyDescent="0.35">
      <c r="A811">
        <v>809</v>
      </c>
      <c r="B811">
        <v>46055</v>
      </c>
      <c r="C811" t="s">
        <v>16</v>
      </c>
      <c r="D811" t="s">
        <v>350</v>
      </c>
      <c r="E811" t="s">
        <v>212</v>
      </c>
      <c r="F811" t="s">
        <v>351</v>
      </c>
      <c r="G811" t="s">
        <v>352</v>
      </c>
      <c r="H811" t="s">
        <v>22</v>
      </c>
      <c r="I811" t="s">
        <v>23</v>
      </c>
      <c r="J811" t="s">
        <v>215</v>
      </c>
      <c r="K811" t="s">
        <v>349</v>
      </c>
      <c r="L811">
        <v>29</v>
      </c>
      <c r="M811">
        <v>62</v>
      </c>
      <c r="N811">
        <v>1</v>
      </c>
      <c r="O811">
        <v>1</v>
      </c>
      <c r="P811">
        <v>120</v>
      </c>
      <c r="Q811">
        <v>0.50060000000000004</v>
      </c>
      <c r="R811">
        <v>464.38701810282868</v>
      </c>
      <c r="S811">
        <v>202.08701810282861</v>
      </c>
      <c r="T811">
        <v>0.37291666666666667</v>
      </c>
      <c r="U811">
        <v>40.5</v>
      </c>
      <c r="V811">
        <v>0.71319444444444446</v>
      </c>
      <c r="W811">
        <v>76</v>
      </c>
      <c r="X811">
        <v>12.7</v>
      </c>
      <c r="Y811">
        <v>40</v>
      </c>
      <c r="Z811">
        <v>0.39027777777777778</v>
      </c>
      <c r="AA811">
        <v>81</v>
      </c>
      <c r="AB811">
        <v>16</v>
      </c>
      <c r="AD811">
        <v>35.5</v>
      </c>
      <c r="AE811">
        <v>41</v>
      </c>
      <c r="AF811">
        <v>34.319990991876054</v>
      </c>
      <c r="AG811">
        <v>38.123728042697877</v>
      </c>
      <c r="AH811">
        <v>72.443719034573931</v>
      </c>
      <c r="AI811">
        <v>4.358638855968259</v>
      </c>
      <c r="AJ811">
        <v>6.0997964868316608</v>
      </c>
      <c r="AK811">
        <v>10.45843534279992</v>
      </c>
      <c r="AL811">
        <v>155.99858783850158</v>
      </c>
      <c r="AM811">
        <v>43.51693958380222</v>
      </c>
      <c r="AN811">
        <v>2.7895726613149461</v>
      </c>
      <c r="AO811">
        <v>12.700000000000001</v>
      </c>
      <c r="AP811">
        <v>14.436635062604402</v>
      </c>
      <c r="AQ811">
        <v>22.520946829060843</v>
      </c>
      <c r="AR811">
        <v>51.752138464818749</v>
      </c>
      <c r="AS811">
        <v>2.6269618458970756</v>
      </c>
      <c r="AT811">
        <v>12.499515125887056</v>
      </c>
      <c r="AU811">
        <v>28.723332213691791</v>
      </c>
    </row>
    <row r="812" spans="1:47" x14ac:dyDescent="0.35">
      <c r="A812">
        <v>810</v>
      </c>
      <c r="B812">
        <v>46055</v>
      </c>
      <c r="C812" t="s">
        <v>16</v>
      </c>
      <c r="D812" t="s">
        <v>350</v>
      </c>
      <c r="E812" t="s">
        <v>212</v>
      </c>
      <c r="F812" t="s">
        <v>351</v>
      </c>
      <c r="G812" t="s">
        <v>352</v>
      </c>
      <c r="H812" t="s">
        <v>22</v>
      </c>
      <c r="I812" t="s">
        <v>23</v>
      </c>
      <c r="J812" t="s">
        <v>215</v>
      </c>
      <c r="K812" t="s">
        <v>349</v>
      </c>
      <c r="L812">
        <v>29</v>
      </c>
      <c r="M812">
        <v>62</v>
      </c>
      <c r="N812">
        <v>1</v>
      </c>
      <c r="O812">
        <v>2</v>
      </c>
      <c r="P812">
        <v>121</v>
      </c>
      <c r="Q812">
        <v>0.50060000000000004</v>
      </c>
      <c r="R812">
        <v>464.38701810282868</v>
      </c>
      <c r="S812">
        <v>201.88701810282873</v>
      </c>
      <c r="T812">
        <v>0.37291666666666667</v>
      </c>
      <c r="U812">
        <v>40.5</v>
      </c>
      <c r="V812">
        <v>0.71527777777777779</v>
      </c>
      <c r="W812">
        <v>76.5</v>
      </c>
      <c r="X812">
        <v>12.9</v>
      </c>
      <c r="Y812">
        <v>40</v>
      </c>
      <c r="Z812">
        <v>0.39027777777777778</v>
      </c>
      <c r="AA812">
        <v>81</v>
      </c>
      <c r="AB812">
        <v>15.9</v>
      </c>
      <c r="AD812">
        <v>36</v>
      </c>
      <c r="AE812">
        <v>41</v>
      </c>
      <c r="AF812">
        <v>34.819990991876054</v>
      </c>
      <c r="AG812">
        <v>38.123728042697877</v>
      </c>
      <c r="AH812">
        <v>72.943719034573931</v>
      </c>
      <c r="AI812">
        <v>4.4917788379520109</v>
      </c>
      <c r="AJ812">
        <v>6.0616727587889629</v>
      </c>
      <c r="AK812">
        <v>10.553451596740974</v>
      </c>
      <c r="AL812">
        <v>157.07527598978248</v>
      </c>
      <c r="AM812">
        <v>43.473872057751009</v>
      </c>
      <c r="AN812">
        <v>2.7677094172719401</v>
      </c>
      <c r="AO812">
        <v>12.9</v>
      </c>
      <c r="AP812">
        <v>14.46793738572452</v>
      </c>
      <c r="AQ812">
        <v>22.725552578655709</v>
      </c>
      <c r="AR812">
        <v>52.274047612936165</v>
      </c>
      <c r="AS812">
        <v>2.7004893764450228</v>
      </c>
      <c r="AT812">
        <v>12.613074856804069</v>
      </c>
      <c r="AU812">
        <v>29.013000820466988</v>
      </c>
    </row>
    <row r="813" spans="1:47" x14ac:dyDescent="0.35">
      <c r="A813">
        <v>811</v>
      </c>
      <c r="B813">
        <v>46055</v>
      </c>
      <c r="C813" t="s">
        <v>16</v>
      </c>
      <c r="D813" t="s">
        <v>350</v>
      </c>
      <c r="E813" t="s">
        <v>212</v>
      </c>
      <c r="F813" t="s">
        <v>351</v>
      </c>
      <c r="G813" t="s">
        <v>352</v>
      </c>
      <c r="H813" t="s">
        <v>22</v>
      </c>
      <c r="I813" t="s">
        <v>23</v>
      </c>
      <c r="J813" t="s">
        <v>215</v>
      </c>
      <c r="K813" t="s">
        <v>349</v>
      </c>
      <c r="L813">
        <v>29</v>
      </c>
      <c r="M813">
        <v>62</v>
      </c>
      <c r="N813">
        <v>1</v>
      </c>
      <c r="O813">
        <v>3</v>
      </c>
      <c r="P813">
        <v>122</v>
      </c>
      <c r="Q813">
        <v>0.50039999999999996</v>
      </c>
      <c r="R813">
        <v>464.2014859341898</v>
      </c>
      <c r="S813">
        <v>194.70148593418975</v>
      </c>
      <c r="T813">
        <v>0.37361111111111112</v>
      </c>
      <c r="U813">
        <v>41</v>
      </c>
      <c r="V813">
        <v>0.71527777777777779</v>
      </c>
      <c r="W813">
        <v>76.5</v>
      </c>
      <c r="X813">
        <v>12.9</v>
      </c>
      <c r="Y813">
        <v>40</v>
      </c>
      <c r="Z813">
        <v>0.39097222222222222</v>
      </c>
      <c r="AA813">
        <v>82.5</v>
      </c>
      <c r="AB813">
        <v>15.8</v>
      </c>
      <c r="AD813">
        <v>35.5</v>
      </c>
      <c r="AE813">
        <v>42.5</v>
      </c>
      <c r="AF813">
        <v>34.319990991876054</v>
      </c>
      <c r="AG813">
        <v>39.623728042697877</v>
      </c>
      <c r="AH813">
        <v>73.943719034573931</v>
      </c>
      <c r="AI813">
        <v>4.4272788379520112</v>
      </c>
      <c r="AJ813">
        <v>6.2605490307462643</v>
      </c>
      <c r="AK813">
        <v>10.687827868698275</v>
      </c>
      <c r="AL813">
        <v>159.29229284082254</v>
      </c>
      <c r="AM813">
        <v>41.943313805288582</v>
      </c>
      <c r="AN813">
        <v>2.6331037777955557</v>
      </c>
      <c r="AO813">
        <v>12.9</v>
      </c>
      <c r="AP813">
        <v>14.454003677717315</v>
      </c>
      <c r="AQ813">
        <v>23.024113865532726</v>
      </c>
      <c r="AR813">
        <v>54.893406783299149</v>
      </c>
      <c r="AS813">
        <v>8.1830510063281903</v>
      </c>
      <c r="AT813">
        <v>12.778781536441</v>
      </c>
      <c r="AU813">
        <v>30.466790477651152</v>
      </c>
    </row>
    <row r="814" spans="1:47" x14ac:dyDescent="0.35">
      <c r="A814">
        <v>812</v>
      </c>
      <c r="B814">
        <v>46055</v>
      </c>
      <c r="C814" t="s">
        <v>16</v>
      </c>
      <c r="D814" t="s">
        <v>354</v>
      </c>
      <c r="E814" t="s">
        <v>226</v>
      </c>
      <c r="F814" t="s">
        <v>227</v>
      </c>
      <c r="G814" t="s">
        <v>228</v>
      </c>
      <c r="H814" t="s">
        <v>22</v>
      </c>
      <c r="I814" t="s">
        <v>23</v>
      </c>
      <c r="J814" t="s">
        <v>215</v>
      </c>
      <c r="K814" t="s">
        <v>353</v>
      </c>
      <c r="L814">
        <v>29</v>
      </c>
      <c r="M814">
        <v>62</v>
      </c>
      <c r="N814">
        <v>1</v>
      </c>
      <c r="O814">
        <v>1</v>
      </c>
      <c r="P814">
        <v>123</v>
      </c>
      <c r="Q814">
        <v>0.50009999999999999</v>
      </c>
      <c r="R814">
        <v>461.58081709145438</v>
      </c>
      <c r="S814">
        <v>269.88081709145439</v>
      </c>
      <c r="T814">
        <v>0.37361111111111112</v>
      </c>
      <c r="U814">
        <v>41</v>
      </c>
      <c r="V814">
        <v>0.71527777777777779</v>
      </c>
      <c r="W814">
        <v>76</v>
      </c>
      <c r="X814">
        <v>12.2</v>
      </c>
      <c r="Y814">
        <v>40</v>
      </c>
      <c r="Z814">
        <v>0.39097222222222222</v>
      </c>
      <c r="AA814">
        <v>78</v>
      </c>
      <c r="AB814">
        <v>15.3</v>
      </c>
      <c r="AD814">
        <v>35</v>
      </c>
      <c r="AE814">
        <v>38</v>
      </c>
      <c r="AF814">
        <v>33.819990991876054</v>
      </c>
      <c r="AG814">
        <v>35.123728042697877</v>
      </c>
      <c r="AH814">
        <v>68.943719034573931</v>
      </c>
      <c r="AI814">
        <v>4.1260389010088785</v>
      </c>
      <c r="AJ814">
        <v>5.3739303905327747</v>
      </c>
      <c r="AK814">
        <v>9.4999692915416531</v>
      </c>
      <c r="AL814">
        <v>149.36435068729017</v>
      </c>
      <c r="AM814">
        <v>58.468811332335349</v>
      </c>
      <c r="AN814">
        <v>3.9145091223772601</v>
      </c>
      <c r="AO814">
        <v>12.2</v>
      </c>
      <c r="AP814">
        <v>13.779310754584625</v>
      </c>
      <c r="AQ814">
        <v>20.581378037769269</v>
      </c>
      <c r="AR814">
        <v>35.200609639189004</v>
      </c>
      <c r="AS814">
        <v>1.1582112222651066</v>
      </c>
      <c r="AT814">
        <v>11.42302089016675</v>
      </c>
      <c r="AU814">
        <v>19.536947356837079</v>
      </c>
    </row>
    <row r="815" spans="1:47" x14ac:dyDescent="0.35">
      <c r="A815">
        <v>813</v>
      </c>
      <c r="B815">
        <v>46055</v>
      </c>
      <c r="C815" t="s">
        <v>16</v>
      </c>
      <c r="D815" t="s">
        <v>354</v>
      </c>
      <c r="E815" t="s">
        <v>226</v>
      </c>
      <c r="F815" t="s">
        <v>227</v>
      </c>
      <c r="G815" t="s">
        <v>228</v>
      </c>
      <c r="H815" t="s">
        <v>22</v>
      </c>
      <c r="I815" t="s">
        <v>23</v>
      </c>
      <c r="J815" t="s">
        <v>215</v>
      </c>
      <c r="K815" t="s">
        <v>353</v>
      </c>
      <c r="L815">
        <v>29</v>
      </c>
      <c r="M815">
        <v>62</v>
      </c>
      <c r="N815">
        <v>1</v>
      </c>
      <c r="O815">
        <v>2</v>
      </c>
      <c r="P815">
        <v>124</v>
      </c>
      <c r="Q815">
        <v>0.5</v>
      </c>
      <c r="R815">
        <v>461.48851938757684</v>
      </c>
      <c r="S815">
        <v>218.38851938757685</v>
      </c>
      <c r="T815">
        <v>0.37361111111111112</v>
      </c>
      <c r="U815">
        <v>40.5</v>
      </c>
      <c r="V815">
        <v>0.71527777777777779</v>
      </c>
      <c r="W815">
        <v>74.5</v>
      </c>
      <c r="X815">
        <v>12.2</v>
      </c>
      <c r="Y815">
        <v>40</v>
      </c>
      <c r="Z815">
        <v>0.39166666666666666</v>
      </c>
      <c r="AA815">
        <v>74</v>
      </c>
      <c r="AB815">
        <v>15.2</v>
      </c>
      <c r="AD815">
        <v>34</v>
      </c>
      <c r="AE815">
        <v>34</v>
      </c>
      <c r="AF815">
        <v>32.819990991876054</v>
      </c>
      <c r="AG815">
        <v>31.123728042697874</v>
      </c>
      <c r="AH815">
        <v>63.943719034573931</v>
      </c>
      <c r="AI815">
        <v>4.0040389010088786</v>
      </c>
      <c r="AJ815">
        <v>4.7308066624900764</v>
      </c>
      <c r="AK815">
        <v>8.7348455634989541</v>
      </c>
      <c r="AL815">
        <v>138.55971784396959</v>
      </c>
      <c r="AM815">
        <v>47.322633221166932</v>
      </c>
      <c r="AN815">
        <v>3.4153240175082038</v>
      </c>
      <c r="AO815">
        <v>12.200000000000001</v>
      </c>
      <c r="AP815">
        <v>13.660208845181625</v>
      </c>
      <c r="AQ815">
        <v>18.927546832780632</v>
      </c>
      <c r="AR815">
        <v>39.996816627512885</v>
      </c>
      <c r="AS815">
        <v>-0.53149512430882717</v>
      </c>
      <c r="AT815">
        <v>10.505115958401431</v>
      </c>
      <c r="AU815">
        <v>22.198925214716496</v>
      </c>
    </row>
    <row r="816" spans="1:47" x14ac:dyDescent="0.35">
      <c r="A816">
        <v>814</v>
      </c>
      <c r="B816">
        <v>46055</v>
      </c>
      <c r="C816" t="s">
        <v>16</v>
      </c>
      <c r="D816" t="s">
        <v>354</v>
      </c>
      <c r="E816" t="s">
        <v>226</v>
      </c>
      <c r="F816" t="s">
        <v>227</v>
      </c>
      <c r="G816" t="s">
        <v>228</v>
      </c>
      <c r="H816" t="s">
        <v>22</v>
      </c>
      <c r="I816" t="s">
        <v>23</v>
      </c>
      <c r="J816" t="s">
        <v>215</v>
      </c>
      <c r="K816" t="s">
        <v>353</v>
      </c>
      <c r="L816">
        <v>29</v>
      </c>
      <c r="M816">
        <v>62</v>
      </c>
      <c r="N816">
        <v>1</v>
      </c>
      <c r="O816">
        <v>3</v>
      </c>
      <c r="P816">
        <v>125</v>
      </c>
      <c r="Q816">
        <v>0.50039999999999996</v>
      </c>
      <c r="R816">
        <v>461.85771020308692</v>
      </c>
      <c r="S816">
        <v>290.65771020308694</v>
      </c>
      <c r="T816">
        <v>0.37430555555555556</v>
      </c>
      <c r="U816">
        <v>41.5</v>
      </c>
      <c r="V816">
        <v>0.71597222222222223</v>
      </c>
      <c r="W816">
        <v>75</v>
      </c>
      <c r="X816">
        <v>12.5</v>
      </c>
      <c r="Y816">
        <v>41</v>
      </c>
      <c r="Z816">
        <v>0.39166666666666666</v>
      </c>
      <c r="AA816">
        <v>76</v>
      </c>
      <c r="AB816">
        <v>15.1</v>
      </c>
      <c r="AC816" t="s">
        <v>584</v>
      </c>
      <c r="AD816">
        <v>33.5</v>
      </c>
      <c r="AE816">
        <v>35</v>
      </c>
      <c r="AF816">
        <v>32.319990991876054</v>
      </c>
      <c r="AG816">
        <v>32.123728042697877</v>
      </c>
      <c r="AH816">
        <v>64.443719034573931</v>
      </c>
      <c r="AI816">
        <v>4.0399988739845067</v>
      </c>
      <c r="AJ816">
        <v>4.850682934447379</v>
      </c>
      <c r="AK816">
        <v>8.8906818084318857</v>
      </c>
      <c r="AL816">
        <v>139.53154318077077</v>
      </c>
      <c r="AM816">
        <v>62.932306591846142</v>
      </c>
      <c r="AN816">
        <v>4.510256617051378</v>
      </c>
      <c r="AO816">
        <v>12.5</v>
      </c>
      <c r="AP816">
        <v>13.796040858011395</v>
      </c>
      <c r="AQ816">
        <v>19.249828707032947</v>
      </c>
      <c r="AR816">
        <v>30.58815058516711</v>
      </c>
      <c r="AS816">
        <v>0.49206554976799088</v>
      </c>
      <c r="AT816">
        <v>10.683987974422436</v>
      </c>
      <c r="AU816">
        <v>16.97695278152527</v>
      </c>
    </row>
    <row r="817" spans="1:48" x14ac:dyDescent="0.35">
      <c r="A817">
        <v>815</v>
      </c>
      <c r="B817">
        <v>46055</v>
      </c>
      <c r="C817" t="s">
        <v>16</v>
      </c>
      <c r="D817" t="s">
        <v>356</v>
      </c>
      <c r="E817" t="s">
        <v>219</v>
      </c>
      <c r="F817" t="s">
        <v>253</v>
      </c>
      <c r="G817" t="s">
        <v>254</v>
      </c>
      <c r="H817" t="s">
        <v>22</v>
      </c>
      <c r="I817" t="s">
        <v>23</v>
      </c>
      <c r="J817" t="s">
        <v>215</v>
      </c>
      <c r="K817" t="s">
        <v>355</v>
      </c>
      <c r="L817">
        <v>29</v>
      </c>
      <c r="M817">
        <v>62</v>
      </c>
      <c r="N817">
        <v>1</v>
      </c>
      <c r="O817">
        <v>1</v>
      </c>
      <c r="P817">
        <v>126</v>
      </c>
      <c r="Q817">
        <v>0.50009999999999999</v>
      </c>
      <c r="R817">
        <v>450.45244128935502</v>
      </c>
      <c r="S817">
        <v>208.55244128935502</v>
      </c>
      <c r="T817">
        <v>0.37430555555555556</v>
      </c>
      <c r="U817">
        <v>40.5</v>
      </c>
      <c r="V817">
        <v>0.71597222222222223</v>
      </c>
      <c r="W817">
        <v>67.5</v>
      </c>
      <c r="X817">
        <v>12.6</v>
      </c>
      <c r="Y817">
        <v>40</v>
      </c>
      <c r="Z817">
        <v>0.39166666666666666</v>
      </c>
      <c r="AA817">
        <v>81</v>
      </c>
      <c r="AB817">
        <v>14.6</v>
      </c>
      <c r="AD817">
        <v>27</v>
      </c>
      <c r="AE817">
        <v>41</v>
      </c>
      <c r="AF817">
        <v>25.81999099187605</v>
      </c>
      <c r="AG817">
        <v>38.123728042697877</v>
      </c>
      <c r="AH817">
        <v>63.943719034573931</v>
      </c>
      <c r="AI817">
        <v>3.2533188649763822</v>
      </c>
      <c r="AJ817">
        <v>5.5660642942338896</v>
      </c>
      <c r="AK817">
        <v>8.8193831592102718</v>
      </c>
      <c r="AL817">
        <v>141.95442886610687</v>
      </c>
      <c r="AM817">
        <v>46.298437342775586</v>
      </c>
      <c r="AN817">
        <v>3.2615000259304927</v>
      </c>
      <c r="AO817">
        <v>12.6</v>
      </c>
      <c r="AP817">
        <v>13.79241509934962</v>
      </c>
      <c r="AQ817">
        <v>19.57894408112444</v>
      </c>
      <c r="AR817">
        <v>42.288563512780293</v>
      </c>
      <c r="AS817">
        <v>-1.0692976623432469</v>
      </c>
      <c r="AT817">
        <v>10.866652701080831</v>
      </c>
      <c r="AU817">
        <v>23.470884385639998</v>
      </c>
    </row>
    <row r="818" spans="1:48" x14ac:dyDescent="0.35">
      <c r="A818">
        <v>816</v>
      </c>
      <c r="B818">
        <v>46055</v>
      </c>
      <c r="C818" t="s">
        <v>16</v>
      </c>
      <c r="D818" t="s">
        <v>356</v>
      </c>
      <c r="E818" t="s">
        <v>219</v>
      </c>
      <c r="F818" t="s">
        <v>253</v>
      </c>
      <c r="G818" t="s">
        <v>254</v>
      </c>
      <c r="H818" t="s">
        <v>22</v>
      </c>
      <c r="I818" t="s">
        <v>23</v>
      </c>
      <c r="J818" t="s">
        <v>215</v>
      </c>
      <c r="K818" t="s">
        <v>355</v>
      </c>
      <c r="L818">
        <v>29</v>
      </c>
      <c r="M818">
        <v>62</v>
      </c>
      <c r="N818">
        <v>1</v>
      </c>
      <c r="O818">
        <v>2</v>
      </c>
      <c r="P818">
        <v>127</v>
      </c>
      <c r="Q818">
        <v>0.50039999999999996</v>
      </c>
      <c r="R818">
        <v>450.72265871064434</v>
      </c>
      <c r="S818">
        <v>183.02265871064429</v>
      </c>
      <c r="T818">
        <v>0.37430555555555556</v>
      </c>
      <c r="U818">
        <v>40.5</v>
      </c>
      <c r="V818">
        <v>0.71597222222222223</v>
      </c>
      <c r="W818">
        <v>65.5</v>
      </c>
      <c r="X818">
        <v>12.7</v>
      </c>
      <c r="Y818">
        <v>40</v>
      </c>
      <c r="Z818">
        <v>0.3923611111111111</v>
      </c>
      <c r="AA818">
        <v>79.5</v>
      </c>
      <c r="AB818">
        <v>14.1</v>
      </c>
      <c r="AD818">
        <v>25</v>
      </c>
      <c r="AE818">
        <v>39.5</v>
      </c>
      <c r="AF818">
        <v>23.81999099187605</v>
      </c>
      <c r="AG818">
        <v>36.623728042697877</v>
      </c>
      <c r="AH818">
        <v>60.443719034573931</v>
      </c>
      <c r="AI818">
        <v>3.0251388559682586</v>
      </c>
      <c r="AJ818">
        <v>5.1639456540204005</v>
      </c>
      <c r="AK818">
        <v>8.1890845099886587</v>
      </c>
      <c r="AL818">
        <v>134.10401688586438</v>
      </c>
      <c r="AM818">
        <v>40.606491635944465</v>
      </c>
      <c r="AN818">
        <v>3.0279847374373996</v>
      </c>
      <c r="AO818">
        <v>12.700000000000001</v>
      </c>
      <c r="AP818">
        <v>13.548280352015544</v>
      </c>
      <c r="AQ818">
        <v>18.168788171011169</v>
      </c>
      <c r="AR818">
        <v>44.743555621358681</v>
      </c>
      <c r="AS818">
        <v>-0.4152416297417863</v>
      </c>
      <c r="AT818">
        <v>10.083991773806892</v>
      </c>
      <c r="AU818">
        <v>24.833447479812918</v>
      </c>
    </row>
    <row r="819" spans="1:48" x14ac:dyDescent="0.35">
      <c r="A819">
        <v>817</v>
      </c>
      <c r="B819">
        <v>46055</v>
      </c>
      <c r="C819" t="s">
        <v>16</v>
      </c>
      <c r="D819" t="s">
        <v>356</v>
      </c>
      <c r="E819" t="s">
        <v>219</v>
      </c>
      <c r="F819" t="s">
        <v>253</v>
      </c>
      <c r="G819" t="s">
        <v>254</v>
      </c>
      <c r="H819" t="s">
        <v>22</v>
      </c>
      <c r="I819" t="s">
        <v>23</v>
      </c>
      <c r="J819" t="s">
        <v>215</v>
      </c>
      <c r="K819" t="s">
        <v>355</v>
      </c>
      <c r="L819">
        <v>29</v>
      </c>
      <c r="M819">
        <v>62</v>
      </c>
      <c r="N819">
        <v>1</v>
      </c>
      <c r="O819">
        <v>3</v>
      </c>
      <c r="P819">
        <v>128</v>
      </c>
      <c r="Q819">
        <v>0.50009999999999999</v>
      </c>
      <c r="R819">
        <v>450.45244128935502</v>
      </c>
      <c r="S819">
        <v>146.25244128935498</v>
      </c>
      <c r="T819">
        <v>0.375</v>
      </c>
      <c r="U819">
        <v>40.5</v>
      </c>
      <c r="V819">
        <v>0.71666666666666667</v>
      </c>
      <c r="W819">
        <v>66</v>
      </c>
      <c r="X819">
        <v>12.7</v>
      </c>
      <c r="Y819">
        <v>40</v>
      </c>
      <c r="Z819">
        <v>0.3923611111111111</v>
      </c>
      <c r="AA819">
        <v>79</v>
      </c>
      <c r="AB819">
        <v>14.4</v>
      </c>
      <c r="AV819" t="s">
        <v>661</v>
      </c>
    </row>
    <row r="820" spans="1:48" x14ac:dyDescent="0.35">
      <c r="A820">
        <v>818</v>
      </c>
      <c r="B820">
        <v>46055</v>
      </c>
      <c r="C820" t="s">
        <v>16</v>
      </c>
      <c r="D820" t="s">
        <v>358</v>
      </c>
      <c r="E820" t="s">
        <v>212</v>
      </c>
      <c r="F820" t="s">
        <v>359</v>
      </c>
      <c r="G820" t="s">
        <v>360</v>
      </c>
      <c r="H820" t="s">
        <v>22</v>
      </c>
      <c r="I820" t="s">
        <v>23</v>
      </c>
      <c r="J820" t="s">
        <v>215</v>
      </c>
      <c r="K820" t="s">
        <v>357</v>
      </c>
      <c r="L820">
        <v>29</v>
      </c>
      <c r="M820">
        <v>62</v>
      </c>
      <c r="N820">
        <v>1</v>
      </c>
      <c r="O820">
        <v>1</v>
      </c>
      <c r="P820">
        <v>129</v>
      </c>
      <c r="Q820">
        <v>0.50019999999999998</v>
      </c>
      <c r="R820">
        <v>459.56281371862826</v>
      </c>
      <c r="S820">
        <v>203.16281371862817</v>
      </c>
      <c r="T820">
        <v>0.375</v>
      </c>
      <c r="U820">
        <v>41</v>
      </c>
      <c r="V820">
        <v>0.71666666666666667</v>
      </c>
      <c r="W820">
        <v>76</v>
      </c>
      <c r="X820">
        <v>13.4</v>
      </c>
      <c r="Y820">
        <v>40</v>
      </c>
      <c r="Z820">
        <v>0.39305555555555555</v>
      </c>
      <c r="AA820">
        <v>79</v>
      </c>
      <c r="AB820">
        <v>16.3</v>
      </c>
      <c r="AD820">
        <v>35</v>
      </c>
      <c r="AE820">
        <v>39</v>
      </c>
      <c r="AF820">
        <v>33.819990991876054</v>
      </c>
      <c r="AG820">
        <v>36.123728042697877</v>
      </c>
      <c r="AH820">
        <v>69.943719034573931</v>
      </c>
      <c r="AI820">
        <v>4.5318787929113915</v>
      </c>
      <c r="AJ820">
        <v>5.8881676709597546</v>
      </c>
      <c r="AK820">
        <v>10.420046463871145</v>
      </c>
      <c r="AL820">
        <v>152.19621115253605</v>
      </c>
      <c r="AM820">
        <v>44.207844423856393</v>
      </c>
      <c r="AN820">
        <v>2.9046612980102275</v>
      </c>
      <c r="AO820">
        <v>13.4</v>
      </c>
      <c r="AP820">
        <v>14.897758666107539</v>
      </c>
      <c r="AQ820">
        <v>22.673824236464263</v>
      </c>
      <c r="AR820">
        <v>51.289142304863255</v>
      </c>
      <c r="AS820">
        <v>-5.1462890541134785</v>
      </c>
      <c r="AT820">
        <v>12.5843647319338</v>
      </c>
      <c r="AU820">
        <v>28.466361334602304</v>
      </c>
    </row>
    <row r="821" spans="1:48" x14ac:dyDescent="0.35">
      <c r="A821">
        <v>819</v>
      </c>
      <c r="B821">
        <v>46055</v>
      </c>
      <c r="C821" t="s">
        <v>16</v>
      </c>
      <c r="D821" t="s">
        <v>358</v>
      </c>
      <c r="E821" t="s">
        <v>212</v>
      </c>
      <c r="F821" t="s">
        <v>359</v>
      </c>
      <c r="G821" t="s">
        <v>360</v>
      </c>
      <c r="H821" t="s">
        <v>22</v>
      </c>
      <c r="I821" t="s">
        <v>23</v>
      </c>
      <c r="J821" t="s">
        <v>215</v>
      </c>
      <c r="K821" t="s">
        <v>357</v>
      </c>
      <c r="L821">
        <v>29</v>
      </c>
      <c r="M821">
        <v>62</v>
      </c>
      <c r="N821">
        <v>1</v>
      </c>
      <c r="O821">
        <v>2</v>
      </c>
      <c r="P821">
        <v>130</v>
      </c>
      <c r="Q821">
        <v>0.5</v>
      </c>
      <c r="R821">
        <v>459.37906209379082</v>
      </c>
      <c r="S821">
        <v>183.77906209379086</v>
      </c>
      <c r="T821">
        <v>0.375</v>
      </c>
      <c r="U821">
        <v>41</v>
      </c>
      <c r="V821">
        <v>0.71736111111111112</v>
      </c>
      <c r="W821">
        <v>76.5</v>
      </c>
      <c r="X821">
        <v>13.4</v>
      </c>
      <c r="Y821">
        <v>40.5</v>
      </c>
      <c r="Z821">
        <v>0.39374999999999999</v>
      </c>
      <c r="AA821">
        <v>79</v>
      </c>
      <c r="AB821">
        <v>16.3</v>
      </c>
      <c r="AD821">
        <v>35.5</v>
      </c>
      <c r="AE821">
        <v>38.5</v>
      </c>
      <c r="AF821">
        <v>34.319990991876054</v>
      </c>
      <c r="AG821">
        <v>35.623728042697877</v>
      </c>
      <c r="AH821">
        <v>69.943719034573931</v>
      </c>
      <c r="AI821">
        <v>4.5988787929113917</v>
      </c>
      <c r="AJ821">
        <v>5.8066676709597544</v>
      </c>
      <c r="AK821">
        <v>10.405546463871147</v>
      </c>
      <c r="AL821">
        <v>152.25708963699702</v>
      </c>
      <c r="AM821">
        <v>40.005972683245396</v>
      </c>
      <c r="AN821">
        <v>2.6275277413107943</v>
      </c>
      <c r="AO821">
        <v>13.400000000000002</v>
      </c>
      <c r="AP821">
        <v>14.877027712420574</v>
      </c>
      <c r="AQ821">
        <v>22.651329419421078</v>
      </c>
      <c r="AR821">
        <v>56.619869234944296</v>
      </c>
      <c r="AS821">
        <v>-1.0717914554217256</v>
      </c>
      <c r="AT821">
        <v>12.571879719291147</v>
      </c>
      <c r="AU821">
        <v>31.425007007906807</v>
      </c>
    </row>
    <row r="822" spans="1:48" x14ac:dyDescent="0.35">
      <c r="A822">
        <v>820</v>
      </c>
      <c r="B822">
        <v>46055</v>
      </c>
      <c r="C822" t="s">
        <v>16</v>
      </c>
      <c r="D822" t="s">
        <v>358</v>
      </c>
      <c r="E822" t="s">
        <v>212</v>
      </c>
      <c r="F822" t="s">
        <v>359</v>
      </c>
      <c r="G822" t="s">
        <v>360</v>
      </c>
      <c r="H822" t="s">
        <v>22</v>
      </c>
      <c r="I822" t="s">
        <v>23</v>
      </c>
      <c r="J822" t="s">
        <v>215</v>
      </c>
      <c r="K822" t="s">
        <v>357</v>
      </c>
      <c r="L822">
        <v>29</v>
      </c>
      <c r="M822">
        <v>62</v>
      </c>
      <c r="N822">
        <v>1</v>
      </c>
      <c r="O822">
        <v>3</v>
      </c>
      <c r="P822">
        <v>131</v>
      </c>
      <c r="Q822">
        <v>0.5</v>
      </c>
      <c r="R822">
        <v>459.37906209379082</v>
      </c>
      <c r="S822">
        <v>138.57906209379087</v>
      </c>
      <c r="T822">
        <v>0.37569444444444444</v>
      </c>
      <c r="U822">
        <v>40.5</v>
      </c>
      <c r="V822">
        <v>0.71736111111111112</v>
      </c>
      <c r="W822">
        <v>75</v>
      </c>
      <c r="X822">
        <v>13.4</v>
      </c>
      <c r="Y822">
        <v>40</v>
      </c>
      <c r="Z822">
        <v>0.39374999999999999</v>
      </c>
      <c r="AA822">
        <v>76.5</v>
      </c>
      <c r="AB822">
        <v>16.2</v>
      </c>
      <c r="AD822">
        <v>34.5</v>
      </c>
      <c r="AE822">
        <v>36.5</v>
      </c>
      <c r="AF822">
        <v>33.319990991876054</v>
      </c>
      <c r="AG822">
        <v>33.623728042697877</v>
      </c>
      <c r="AH822">
        <v>66.943719034573931</v>
      </c>
      <c r="AI822">
        <v>4.4648787929113913</v>
      </c>
      <c r="AJ822">
        <v>5.4470439429170563</v>
      </c>
      <c r="AK822">
        <v>9.9119227358284476</v>
      </c>
      <c r="AL822">
        <v>145.72653513952736</v>
      </c>
      <c r="AM822">
        <v>30.166603907057777</v>
      </c>
      <c r="AN822">
        <v>2.0700831099960246</v>
      </c>
      <c r="AO822">
        <v>13.4</v>
      </c>
      <c r="AP822">
        <v>14.806352080184414</v>
      </c>
      <c r="AQ822">
        <v>21.576783867012082</v>
      </c>
      <c r="AR822">
        <v>71.525399191401789</v>
      </c>
      <c r="AS822">
        <v>-0.35781312432059198</v>
      </c>
      <c r="AT822">
        <v>11.975488346950652</v>
      </c>
      <c r="AU822">
        <v>39.697834014881828</v>
      </c>
    </row>
    <row r="823" spans="1:48" x14ac:dyDescent="0.35">
      <c r="A823">
        <v>821</v>
      </c>
      <c r="B823">
        <v>46055</v>
      </c>
      <c r="C823" t="s">
        <v>16</v>
      </c>
      <c r="D823" t="s">
        <v>362</v>
      </c>
      <c r="E823" t="s">
        <v>219</v>
      </c>
      <c r="F823" t="s">
        <v>253</v>
      </c>
      <c r="G823" t="s">
        <v>254</v>
      </c>
      <c r="H823" t="s">
        <v>22</v>
      </c>
      <c r="I823" t="s">
        <v>23</v>
      </c>
      <c r="J823" t="s">
        <v>215</v>
      </c>
      <c r="K823" t="s">
        <v>361</v>
      </c>
      <c r="L823">
        <v>29</v>
      </c>
      <c r="M823">
        <v>62</v>
      </c>
      <c r="N823">
        <v>1</v>
      </c>
      <c r="O823">
        <v>1</v>
      </c>
      <c r="P823">
        <v>132</v>
      </c>
      <c r="Q823">
        <v>0.50009999999999999</v>
      </c>
      <c r="R823">
        <v>459.0373334176229</v>
      </c>
      <c r="S823">
        <v>206.53733341762296</v>
      </c>
      <c r="T823">
        <v>0.37569444444444444</v>
      </c>
      <c r="U823">
        <v>41</v>
      </c>
      <c r="V823">
        <v>0.71805555555555556</v>
      </c>
      <c r="W823">
        <v>75</v>
      </c>
      <c r="X823">
        <v>12.9</v>
      </c>
      <c r="Y823">
        <v>40</v>
      </c>
      <c r="Z823">
        <v>0.39444444444444443</v>
      </c>
      <c r="AA823">
        <v>82.5</v>
      </c>
      <c r="AB823">
        <v>15.4</v>
      </c>
      <c r="AD823">
        <v>34</v>
      </c>
      <c r="AE823">
        <v>42.5</v>
      </c>
      <c r="AF823">
        <v>32.819990991876054</v>
      </c>
      <c r="AG823">
        <v>39.623728042697877</v>
      </c>
      <c r="AH823">
        <v>72.443719034573931</v>
      </c>
      <c r="AI823">
        <v>4.2337788379520109</v>
      </c>
      <c r="AJ823">
        <v>6.1020541185754729</v>
      </c>
      <c r="AK823">
        <v>10.335832956527483</v>
      </c>
      <c r="AL823">
        <v>157.81661699543312</v>
      </c>
      <c r="AM823">
        <v>44.993580779130106</v>
      </c>
      <c r="AN823">
        <v>2.8510040093200151</v>
      </c>
      <c r="AO823">
        <v>12.9</v>
      </c>
      <c r="AP823">
        <v>14.267396945199188</v>
      </c>
      <c r="AQ823">
        <v>22.516323192223126</v>
      </c>
      <c r="AR823">
        <v>50.043412420882788</v>
      </c>
      <c r="AS823">
        <v>-0.60308212455905541</v>
      </c>
      <c r="AT823">
        <v>12.496948927448409</v>
      </c>
      <c r="AU823">
        <v>27.77495969657301</v>
      </c>
    </row>
    <row r="824" spans="1:48" x14ac:dyDescent="0.35">
      <c r="A824">
        <v>822</v>
      </c>
      <c r="B824">
        <v>46055</v>
      </c>
      <c r="C824" t="s">
        <v>16</v>
      </c>
      <c r="D824" t="s">
        <v>362</v>
      </c>
      <c r="E824" t="s">
        <v>219</v>
      </c>
      <c r="F824" t="s">
        <v>253</v>
      </c>
      <c r="G824" t="s">
        <v>254</v>
      </c>
      <c r="H824" t="s">
        <v>22</v>
      </c>
      <c r="I824" t="s">
        <v>23</v>
      </c>
      <c r="J824" t="s">
        <v>215</v>
      </c>
      <c r="K824" t="s">
        <v>361</v>
      </c>
      <c r="L824">
        <v>29</v>
      </c>
      <c r="M824">
        <v>62</v>
      </c>
      <c r="N824">
        <v>1</v>
      </c>
      <c r="O824">
        <v>2</v>
      </c>
      <c r="P824">
        <v>133</v>
      </c>
      <c r="Q824">
        <v>0.50039999999999996</v>
      </c>
      <c r="R824">
        <v>459.31270074420809</v>
      </c>
      <c r="S824">
        <v>221.11270074420813</v>
      </c>
      <c r="T824">
        <v>0.37638888888888888</v>
      </c>
      <c r="U824">
        <v>41</v>
      </c>
      <c r="V824">
        <v>0.71805555555555556</v>
      </c>
      <c r="W824">
        <v>74.5</v>
      </c>
      <c r="X824">
        <v>12.7</v>
      </c>
      <c r="Y824">
        <v>40</v>
      </c>
      <c r="Z824">
        <v>0.39513888888888887</v>
      </c>
      <c r="AA824">
        <v>80.5</v>
      </c>
      <c r="AB824">
        <v>15.2</v>
      </c>
      <c r="AD824">
        <v>33.5</v>
      </c>
      <c r="AE824">
        <v>40.5</v>
      </c>
      <c r="AF824">
        <v>32.319990991876054</v>
      </c>
      <c r="AG824">
        <v>37.623728042697877</v>
      </c>
      <c r="AH824">
        <v>69.943719034573931</v>
      </c>
      <c r="AI824">
        <v>4.1046388559682585</v>
      </c>
      <c r="AJ824">
        <v>5.7188066624900769</v>
      </c>
      <c r="AK824">
        <v>9.8234455184583354</v>
      </c>
      <c r="AL824">
        <v>152.27908769177645</v>
      </c>
      <c r="AM824">
        <v>48.13990564291975</v>
      </c>
      <c r="AN824">
        <v>3.1612945922264979</v>
      </c>
      <c r="AO824">
        <v>12.7</v>
      </c>
      <c r="AP824">
        <v>14.044785799283137</v>
      </c>
      <c r="AQ824">
        <v>21.387271683412532</v>
      </c>
      <c r="AR824">
        <v>44.42732364714989</v>
      </c>
      <c r="AS824">
        <v>-0.9411118840953473</v>
      </c>
      <c r="AT824">
        <v>11.870305806295399</v>
      </c>
      <c r="AU824">
        <v>24.657933262985612</v>
      </c>
    </row>
    <row r="825" spans="1:48" x14ac:dyDescent="0.35">
      <c r="A825">
        <v>823</v>
      </c>
      <c r="B825">
        <v>46055</v>
      </c>
      <c r="C825" t="s">
        <v>16</v>
      </c>
      <c r="D825" t="s">
        <v>362</v>
      </c>
      <c r="E825" t="s">
        <v>219</v>
      </c>
      <c r="F825" t="s">
        <v>253</v>
      </c>
      <c r="G825" t="s">
        <v>254</v>
      </c>
      <c r="H825" t="s">
        <v>22</v>
      </c>
      <c r="I825" t="s">
        <v>23</v>
      </c>
      <c r="J825" t="s">
        <v>215</v>
      </c>
      <c r="K825" t="s">
        <v>361</v>
      </c>
      <c r="L825">
        <v>29</v>
      </c>
      <c r="M825">
        <v>62</v>
      </c>
      <c r="N825">
        <v>1</v>
      </c>
      <c r="O825">
        <v>3</v>
      </c>
      <c r="P825">
        <v>134</v>
      </c>
      <c r="Q825">
        <v>0.5</v>
      </c>
      <c r="R825">
        <v>458.9455443087611</v>
      </c>
      <c r="S825">
        <v>253.04554430876112</v>
      </c>
      <c r="T825">
        <v>0.37638888888888888</v>
      </c>
      <c r="U825">
        <v>41</v>
      </c>
      <c r="V825">
        <v>0.71875</v>
      </c>
      <c r="W825">
        <v>74.5</v>
      </c>
      <c r="X825">
        <v>12.5</v>
      </c>
      <c r="Y825">
        <v>40</v>
      </c>
      <c r="Z825">
        <v>0.39513888888888887</v>
      </c>
      <c r="AA825">
        <v>85</v>
      </c>
      <c r="AB825">
        <v>15.1</v>
      </c>
      <c r="AD825">
        <v>33.5</v>
      </c>
      <c r="AE825">
        <v>45</v>
      </c>
      <c r="AF825">
        <v>32.319990991876054</v>
      </c>
      <c r="AG825">
        <v>42.123728042697877</v>
      </c>
      <c r="AH825">
        <v>74.443719034573931</v>
      </c>
      <c r="AI825">
        <v>4.0399988739845067</v>
      </c>
      <c r="AJ825">
        <v>6.3606829344473796</v>
      </c>
      <c r="AK825">
        <v>10.400681808431887</v>
      </c>
      <c r="AL825">
        <v>162.20599580435413</v>
      </c>
      <c r="AM825">
        <v>55.136289576551967</v>
      </c>
      <c r="AN825">
        <v>3.3991523743089602</v>
      </c>
      <c r="AO825">
        <v>12.5</v>
      </c>
      <c r="AP825">
        <v>13.971201255543795</v>
      </c>
      <c r="AQ825">
        <v>22.662126122385239</v>
      </c>
      <c r="AR825">
        <v>41.102015199845539</v>
      </c>
      <c r="AS825">
        <v>2.3314949072213857</v>
      </c>
      <c r="AT825">
        <v>12.577872076230424</v>
      </c>
      <c r="AU825">
        <v>22.812329543443681</v>
      </c>
    </row>
    <row r="826" spans="1:48" x14ac:dyDescent="0.35">
      <c r="A826">
        <v>824</v>
      </c>
      <c r="B826">
        <v>46055</v>
      </c>
      <c r="C826" t="s">
        <v>16</v>
      </c>
      <c r="D826" t="s">
        <v>364</v>
      </c>
      <c r="E826" t="s">
        <v>219</v>
      </c>
      <c r="F826" t="s">
        <v>365</v>
      </c>
      <c r="G826" t="s">
        <v>366</v>
      </c>
      <c r="H826" t="s">
        <v>22</v>
      </c>
      <c r="I826" t="s">
        <v>23</v>
      </c>
      <c r="J826" t="s">
        <v>215</v>
      </c>
      <c r="K826" t="s">
        <v>363</v>
      </c>
      <c r="L826">
        <v>29</v>
      </c>
      <c r="M826">
        <v>62</v>
      </c>
      <c r="N826">
        <v>1</v>
      </c>
      <c r="O826">
        <v>1</v>
      </c>
      <c r="P826">
        <v>135</v>
      </c>
      <c r="Q826">
        <v>0.50060000000000004</v>
      </c>
      <c r="R826">
        <v>453.82357463907198</v>
      </c>
      <c r="S826">
        <v>253.52357463907205</v>
      </c>
      <c r="T826">
        <v>0.37708333333333333</v>
      </c>
      <c r="U826">
        <v>41</v>
      </c>
      <c r="V826">
        <v>0.71875</v>
      </c>
      <c r="W826">
        <v>80</v>
      </c>
      <c r="X826">
        <v>12.7</v>
      </c>
      <c r="Y826">
        <v>40</v>
      </c>
      <c r="Z826">
        <v>0.39583333333333331</v>
      </c>
      <c r="AA826">
        <v>85.5</v>
      </c>
      <c r="AB826">
        <v>16.7</v>
      </c>
      <c r="AD826">
        <v>39</v>
      </c>
      <c r="AE826">
        <v>45.5</v>
      </c>
      <c r="AF826">
        <v>37.819990991876054</v>
      </c>
      <c r="AG826">
        <v>42.623728042697877</v>
      </c>
      <c r="AH826">
        <v>80.443719034573931</v>
      </c>
      <c r="AI826">
        <v>4.8031388559682586</v>
      </c>
      <c r="AJ826">
        <v>7.1181625831305446</v>
      </c>
      <c r="AK826">
        <v>11.921301439098803</v>
      </c>
      <c r="AL826">
        <v>177.25769116016329</v>
      </c>
      <c r="AM826">
        <v>55.863905889133356</v>
      </c>
      <c r="AN826">
        <v>3.1515645681437241</v>
      </c>
      <c r="AO826">
        <v>12.700000000000001</v>
      </c>
      <c r="AP826">
        <v>14.81943100365007</v>
      </c>
      <c r="AQ826">
        <v>26.268581240143529</v>
      </c>
      <c r="AR826">
        <v>47.022457205687964</v>
      </c>
      <c r="AS826">
        <v>-2.3154733349687611</v>
      </c>
      <c r="AT826">
        <v>14.579517062003536</v>
      </c>
      <c r="AU826">
        <v>26.098277286478716</v>
      </c>
    </row>
    <row r="827" spans="1:48" x14ac:dyDescent="0.35">
      <c r="A827">
        <v>825</v>
      </c>
      <c r="B827">
        <v>46055</v>
      </c>
      <c r="C827" t="s">
        <v>16</v>
      </c>
      <c r="D827" t="s">
        <v>364</v>
      </c>
      <c r="E827" t="s">
        <v>219</v>
      </c>
      <c r="F827" t="s">
        <v>365</v>
      </c>
      <c r="G827" t="s">
        <v>366</v>
      </c>
      <c r="H827" t="s">
        <v>22</v>
      </c>
      <c r="I827" t="s">
        <v>23</v>
      </c>
      <c r="J827" t="s">
        <v>215</v>
      </c>
      <c r="K827" t="s">
        <v>363</v>
      </c>
      <c r="L827">
        <v>29</v>
      </c>
      <c r="M827">
        <v>62</v>
      </c>
      <c r="N827">
        <v>1</v>
      </c>
      <c r="O827">
        <v>2</v>
      </c>
      <c r="P827">
        <v>136</v>
      </c>
      <c r="Q827">
        <v>0.50019999999999998</v>
      </c>
      <c r="R827">
        <v>453.46095092781417</v>
      </c>
      <c r="S827">
        <v>188.16095092781421</v>
      </c>
      <c r="T827">
        <v>0.37708333333333333</v>
      </c>
      <c r="U827">
        <v>41.5</v>
      </c>
      <c r="V827">
        <v>0.71875</v>
      </c>
      <c r="W827">
        <v>79.5</v>
      </c>
      <c r="X827">
        <v>12.7</v>
      </c>
      <c r="Y827">
        <v>40.5</v>
      </c>
      <c r="Z827">
        <v>0.39583333333333331</v>
      </c>
      <c r="AA827">
        <v>82</v>
      </c>
      <c r="AB827">
        <v>17.2</v>
      </c>
      <c r="AD827">
        <v>38</v>
      </c>
      <c r="AE827">
        <v>41.5</v>
      </c>
      <c r="AF827">
        <v>36.819990991876054</v>
      </c>
      <c r="AG827">
        <v>38.623728042697877</v>
      </c>
      <c r="AH827">
        <v>75.443719034573931</v>
      </c>
      <c r="AI827">
        <v>4.6761388559682588</v>
      </c>
      <c r="AJ827">
        <v>6.6432812233440339</v>
      </c>
      <c r="AK827">
        <v>11.319420079312293</v>
      </c>
      <c r="AL827">
        <v>166.37313285788022</v>
      </c>
      <c r="AM827">
        <v>41.494411049688665</v>
      </c>
      <c r="AN827">
        <v>2.4940572036432198</v>
      </c>
      <c r="AO827">
        <v>12.7</v>
      </c>
      <c r="AP827">
        <v>15.003793853435157</v>
      </c>
      <c r="AQ827">
        <v>24.962281881498143</v>
      </c>
      <c r="AR827">
        <v>60.158178535432988</v>
      </c>
      <c r="AS827">
        <v>-0.28742622941696078</v>
      </c>
      <c r="AT827">
        <v>13.854498317620422</v>
      </c>
      <c r="AU827">
        <v>33.388829886101909</v>
      </c>
    </row>
    <row r="828" spans="1:48" x14ac:dyDescent="0.35">
      <c r="A828">
        <v>826</v>
      </c>
      <c r="B828">
        <v>46055</v>
      </c>
      <c r="C828" t="s">
        <v>16</v>
      </c>
      <c r="D828" t="s">
        <v>364</v>
      </c>
      <c r="E828" t="s">
        <v>219</v>
      </c>
      <c r="F828" t="s">
        <v>365</v>
      </c>
      <c r="G828" t="s">
        <v>366</v>
      </c>
      <c r="H828" t="s">
        <v>22</v>
      </c>
      <c r="I828" t="s">
        <v>23</v>
      </c>
      <c r="J828" t="s">
        <v>215</v>
      </c>
      <c r="K828" t="s">
        <v>363</v>
      </c>
      <c r="L828">
        <v>29</v>
      </c>
      <c r="M828">
        <v>62</v>
      </c>
      <c r="N828">
        <v>1</v>
      </c>
      <c r="O828">
        <v>3</v>
      </c>
      <c r="P828">
        <v>137</v>
      </c>
      <c r="Q828">
        <v>0.50029999999999997</v>
      </c>
      <c r="R828">
        <v>453.55160685562856</v>
      </c>
      <c r="S828">
        <v>227.15160685562864</v>
      </c>
      <c r="T828">
        <v>0.37708333333333333</v>
      </c>
      <c r="U828">
        <v>41.5</v>
      </c>
      <c r="V828">
        <v>0.71944444444444444</v>
      </c>
      <c r="W828">
        <v>80.5</v>
      </c>
      <c r="X828">
        <v>13.1</v>
      </c>
      <c r="Y828">
        <v>40.5</v>
      </c>
      <c r="Z828">
        <v>0.39652777777777776</v>
      </c>
      <c r="AA828">
        <v>85.5</v>
      </c>
      <c r="AB828">
        <v>17.2</v>
      </c>
      <c r="AD828">
        <v>39</v>
      </c>
      <c r="AE828">
        <v>45</v>
      </c>
      <c r="AF828">
        <v>37.819990991876054</v>
      </c>
      <c r="AG828">
        <v>42.123728042697877</v>
      </c>
      <c r="AH828">
        <v>79.943719034573931</v>
      </c>
      <c r="AI828">
        <v>4.9544188199357633</v>
      </c>
      <c r="AJ828">
        <v>7.2452812233440342</v>
      </c>
      <c r="AK828">
        <v>12.199700043279798</v>
      </c>
      <c r="AL828">
        <v>176.26157161873107</v>
      </c>
      <c r="AM828">
        <v>50.082857920054501</v>
      </c>
      <c r="AN828">
        <v>2.8413940406924336</v>
      </c>
      <c r="AO828">
        <v>13.100000000000001</v>
      </c>
      <c r="AP828">
        <v>15.260360902153788</v>
      </c>
      <c r="AQ828">
        <v>26.898151960826635</v>
      </c>
      <c r="AR828">
        <v>53.707302414257597</v>
      </c>
      <c r="AS828">
        <v>-0.64476569893394298</v>
      </c>
      <c r="AT828">
        <v>14.928939704209663</v>
      </c>
      <c r="AU828">
        <v>29.80848203199626</v>
      </c>
    </row>
    <row r="829" spans="1:48" x14ac:dyDescent="0.35">
      <c r="A829">
        <v>827</v>
      </c>
      <c r="B829">
        <v>46055</v>
      </c>
      <c r="C829" t="s">
        <v>16</v>
      </c>
      <c r="D829" t="s">
        <v>368</v>
      </c>
      <c r="E829" t="s">
        <v>219</v>
      </c>
      <c r="F829" t="s">
        <v>365</v>
      </c>
      <c r="G829" t="s">
        <v>366</v>
      </c>
      <c r="H829" t="s">
        <v>22</v>
      </c>
      <c r="I829" t="s">
        <v>23</v>
      </c>
      <c r="J829" t="s">
        <v>215</v>
      </c>
      <c r="K829" t="s">
        <v>367</v>
      </c>
      <c r="L829">
        <v>29</v>
      </c>
      <c r="M829">
        <v>62</v>
      </c>
      <c r="N829">
        <v>1</v>
      </c>
      <c r="O829">
        <v>1</v>
      </c>
      <c r="P829">
        <v>138</v>
      </c>
      <c r="Q829">
        <v>0.50009999999999999</v>
      </c>
      <c r="R829">
        <v>455.44553544645538</v>
      </c>
      <c r="S829">
        <v>218.94553544645544</v>
      </c>
      <c r="T829">
        <v>0.37708333333333333</v>
      </c>
      <c r="U829">
        <v>40.5</v>
      </c>
      <c r="V829">
        <v>0.71944444444444444</v>
      </c>
      <c r="W829">
        <v>75.5</v>
      </c>
      <c r="X829">
        <v>12.8</v>
      </c>
      <c r="Y829">
        <v>40.5</v>
      </c>
      <c r="Z829">
        <v>0.3972222222222222</v>
      </c>
      <c r="AA829">
        <v>87</v>
      </c>
      <c r="AB829">
        <v>16.3</v>
      </c>
      <c r="AC829" t="s">
        <v>585</v>
      </c>
      <c r="AD829">
        <v>35</v>
      </c>
      <c r="AE829">
        <v>46.5</v>
      </c>
      <c r="AF829">
        <v>33.819990991876054</v>
      </c>
      <c r="AG829">
        <v>43.623728042697877</v>
      </c>
      <c r="AH829">
        <v>77.443719034573931</v>
      </c>
      <c r="AI829">
        <v>4.328958846960135</v>
      </c>
      <c r="AJ829">
        <v>7.1106676709597538</v>
      </c>
      <c r="AK829">
        <v>11.439626517919889</v>
      </c>
      <c r="AL829">
        <v>170.03947345462262</v>
      </c>
      <c r="AM829">
        <v>48.072825048516883</v>
      </c>
      <c r="AN829">
        <v>2.8271567814132159</v>
      </c>
      <c r="AO829">
        <v>12.8</v>
      </c>
      <c r="AP829">
        <v>14.771535588073693</v>
      </c>
      <c r="AQ829">
        <v>25.117441335122699</v>
      </c>
      <c r="AR829">
        <v>52.248731606210463</v>
      </c>
      <c r="AS829">
        <v>-1.887680721723183</v>
      </c>
      <c r="AT829">
        <v>13.940614498801663</v>
      </c>
      <c r="AU829">
        <v>28.998949998741029</v>
      </c>
    </row>
    <row r="830" spans="1:48" x14ac:dyDescent="0.35">
      <c r="A830">
        <v>828</v>
      </c>
      <c r="B830">
        <v>46055</v>
      </c>
      <c r="C830" t="s">
        <v>16</v>
      </c>
      <c r="D830" t="s">
        <v>368</v>
      </c>
      <c r="E830" t="s">
        <v>219</v>
      </c>
      <c r="F830" t="s">
        <v>365</v>
      </c>
      <c r="G830" t="s">
        <v>366</v>
      </c>
      <c r="H830" t="s">
        <v>22</v>
      </c>
      <c r="I830" t="s">
        <v>23</v>
      </c>
      <c r="J830" t="s">
        <v>215</v>
      </c>
      <c r="K830" t="s">
        <v>367</v>
      </c>
      <c r="L830">
        <v>29</v>
      </c>
      <c r="M830">
        <v>62</v>
      </c>
      <c r="N830">
        <v>1</v>
      </c>
      <c r="O830">
        <v>2</v>
      </c>
      <c r="P830">
        <v>139</v>
      </c>
      <c r="Q830">
        <v>0.50060000000000004</v>
      </c>
      <c r="R830">
        <v>455.90088991100896</v>
      </c>
      <c r="S830">
        <v>206.20088991100903</v>
      </c>
      <c r="T830">
        <v>0.37777777777777777</v>
      </c>
      <c r="U830">
        <v>41.5</v>
      </c>
      <c r="V830">
        <v>0.72013888888888888</v>
      </c>
      <c r="W830">
        <v>75.5</v>
      </c>
      <c r="X830">
        <v>12.9</v>
      </c>
      <c r="Y830">
        <v>40</v>
      </c>
      <c r="Z830">
        <v>0.3972222222222222</v>
      </c>
      <c r="AA830">
        <v>76.3</v>
      </c>
      <c r="AB830">
        <v>16.600000000000001</v>
      </c>
      <c r="AD830">
        <v>34</v>
      </c>
      <c r="AE830">
        <v>36.299999999999997</v>
      </c>
      <c r="AF830">
        <v>32.819990991876054</v>
      </c>
      <c r="AG830">
        <v>33.423728042697874</v>
      </c>
      <c r="AH830">
        <v>66.243719034573928</v>
      </c>
      <c r="AI830">
        <v>4.2337788379520109</v>
      </c>
      <c r="AJ830">
        <v>5.5483388550878479</v>
      </c>
      <c r="AK830">
        <v>9.7821176930398579</v>
      </c>
      <c r="AL830">
        <v>145.30289477501256</v>
      </c>
      <c r="AM830">
        <v>45.229323845202209</v>
      </c>
      <c r="AN830">
        <v>3.1127613744540619</v>
      </c>
      <c r="AO830">
        <v>12.9</v>
      </c>
      <c r="AP830">
        <v>14.766860670872621</v>
      </c>
      <c r="AQ830">
        <v>21.456676022170761</v>
      </c>
      <c r="AR830">
        <v>47.439745275888804</v>
      </c>
      <c r="AS830">
        <v>-0.82424733715467513</v>
      </c>
      <c r="AT830">
        <v>11.908826415073323</v>
      </c>
      <c r="AU830">
        <v>26.329879384956968</v>
      </c>
    </row>
    <row r="831" spans="1:48" x14ac:dyDescent="0.35">
      <c r="A831">
        <v>829</v>
      </c>
      <c r="B831">
        <v>46055</v>
      </c>
      <c r="C831" t="s">
        <v>16</v>
      </c>
      <c r="D831" t="s">
        <v>368</v>
      </c>
      <c r="E831" t="s">
        <v>219</v>
      </c>
      <c r="F831" t="s">
        <v>365</v>
      </c>
      <c r="G831" t="s">
        <v>366</v>
      </c>
      <c r="H831" t="s">
        <v>22</v>
      </c>
      <c r="I831" t="s">
        <v>23</v>
      </c>
      <c r="J831" t="s">
        <v>215</v>
      </c>
      <c r="K831" t="s">
        <v>367</v>
      </c>
      <c r="L831">
        <v>29</v>
      </c>
      <c r="M831">
        <v>62</v>
      </c>
      <c r="N831">
        <v>1</v>
      </c>
      <c r="O831">
        <v>3</v>
      </c>
      <c r="P831">
        <v>140</v>
      </c>
      <c r="Q831">
        <v>0.50009999999999999</v>
      </c>
      <c r="R831">
        <v>455.44553544645538</v>
      </c>
      <c r="S831">
        <v>165.94553544645538</v>
      </c>
      <c r="T831">
        <v>0.37777777777777777</v>
      </c>
      <c r="U831">
        <v>41</v>
      </c>
      <c r="V831">
        <v>0.72013888888888888</v>
      </c>
      <c r="W831">
        <v>74.5</v>
      </c>
      <c r="X831">
        <v>12.9</v>
      </c>
      <c r="Y831">
        <v>40</v>
      </c>
      <c r="Z831">
        <v>0.39791666666666664</v>
      </c>
      <c r="AA831">
        <v>83</v>
      </c>
      <c r="AB831">
        <v>16.399999999999999</v>
      </c>
      <c r="AD831">
        <v>33.5</v>
      </c>
      <c r="AE831">
        <v>43</v>
      </c>
      <c r="AF831">
        <v>32.319990991876054</v>
      </c>
      <c r="AG831">
        <v>40.123728042697877</v>
      </c>
      <c r="AH831">
        <v>72.443719034573931</v>
      </c>
      <c r="AI831">
        <v>4.1692788379520112</v>
      </c>
      <c r="AJ831">
        <v>6.5802913990024514</v>
      </c>
      <c r="AK831">
        <v>10.749570236954462</v>
      </c>
      <c r="AL831">
        <v>159.06121236551414</v>
      </c>
      <c r="AM831">
        <v>36.435868294061876</v>
      </c>
      <c r="AN831">
        <v>2.2906821689711636</v>
      </c>
      <c r="AO831">
        <v>12.900000000000002</v>
      </c>
      <c r="AP831">
        <v>14.838512406885412</v>
      </c>
      <c r="AQ831">
        <v>23.602317731399168</v>
      </c>
      <c r="AR831">
        <v>64.777700756058962</v>
      </c>
      <c r="AS831">
        <v>-0.36038056005438607</v>
      </c>
      <c r="AT831">
        <v>13.099694685523966</v>
      </c>
      <c r="AU831">
        <v>35.952744641079086</v>
      </c>
    </row>
    <row r="832" spans="1:48" x14ac:dyDescent="0.35">
      <c r="A832">
        <v>830</v>
      </c>
      <c r="B832">
        <v>46055</v>
      </c>
      <c r="D832" t="s">
        <v>541</v>
      </c>
      <c r="E832" t="s">
        <v>538</v>
      </c>
      <c r="F832" t="s">
        <v>542</v>
      </c>
      <c r="G832" t="s">
        <v>541</v>
      </c>
      <c r="K832" t="s">
        <v>543</v>
      </c>
      <c r="L832">
        <v>29</v>
      </c>
      <c r="M832">
        <v>62</v>
      </c>
      <c r="N832">
        <v>1</v>
      </c>
      <c r="O832">
        <v>1</v>
      </c>
      <c r="P832">
        <v>141</v>
      </c>
      <c r="T832">
        <v>0.37777777777777777</v>
      </c>
      <c r="U832">
        <v>40</v>
      </c>
      <c r="V832">
        <v>0.70416666666666672</v>
      </c>
      <c r="W832">
        <v>40.5</v>
      </c>
      <c r="AD832">
        <v>0.5</v>
      </c>
    </row>
    <row r="833" spans="1:48" x14ac:dyDescent="0.35">
      <c r="A833">
        <v>831</v>
      </c>
      <c r="B833">
        <v>46055</v>
      </c>
      <c r="D833" t="s">
        <v>541</v>
      </c>
      <c r="E833" t="s">
        <v>538</v>
      </c>
      <c r="F833" t="s">
        <v>542</v>
      </c>
      <c r="G833" t="s">
        <v>541</v>
      </c>
      <c r="K833" t="s">
        <v>543</v>
      </c>
      <c r="L833">
        <v>29</v>
      </c>
      <c r="M833">
        <v>62</v>
      </c>
      <c r="N833">
        <v>1</v>
      </c>
      <c r="O833">
        <v>2</v>
      </c>
      <c r="P833">
        <v>142</v>
      </c>
      <c r="T833">
        <v>0.37847222222222221</v>
      </c>
      <c r="U833">
        <v>40</v>
      </c>
      <c r="V833">
        <v>0.70416666666666672</v>
      </c>
      <c r="W833">
        <v>40</v>
      </c>
      <c r="AD833">
        <v>0</v>
      </c>
    </row>
    <row r="834" spans="1:48" x14ac:dyDescent="0.35">
      <c r="A834">
        <v>832</v>
      </c>
      <c r="B834">
        <v>46055</v>
      </c>
      <c r="C834" t="s">
        <v>16</v>
      </c>
      <c r="D834" t="s">
        <v>370</v>
      </c>
      <c r="E834" t="s">
        <v>219</v>
      </c>
      <c r="F834" t="s">
        <v>365</v>
      </c>
      <c r="G834" t="s">
        <v>366</v>
      </c>
      <c r="H834" t="s">
        <v>22</v>
      </c>
      <c r="I834" t="s">
        <v>23</v>
      </c>
      <c r="J834" t="s">
        <v>215</v>
      </c>
      <c r="K834" t="s">
        <v>369</v>
      </c>
      <c r="L834">
        <v>29</v>
      </c>
      <c r="M834">
        <v>62</v>
      </c>
      <c r="N834">
        <v>1</v>
      </c>
      <c r="O834">
        <v>1</v>
      </c>
      <c r="P834">
        <v>143</v>
      </c>
      <c r="Q834">
        <v>0.50029999999999997</v>
      </c>
      <c r="R834">
        <v>458.14788605697112</v>
      </c>
      <c r="S834">
        <v>186.24788605697108</v>
      </c>
      <c r="T834">
        <v>0.37847222222222221</v>
      </c>
      <c r="U834">
        <v>41.5</v>
      </c>
      <c r="V834">
        <v>0.72083333333333333</v>
      </c>
      <c r="W834">
        <v>79</v>
      </c>
      <c r="X834">
        <v>13.2</v>
      </c>
      <c r="Y834">
        <v>40</v>
      </c>
      <c r="Z834">
        <v>0.39791666666666664</v>
      </c>
      <c r="AA834">
        <v>84.5</v>
      </c>
      <c r="AB834">
        <v>17.100000000000001</v>
      </c>
      <c r="AD834">
        <v>37.5</v>
      </c>
      <c r="AE834">
        <v>44.5</v>
      </c>
      <c r="AF834">
        <v>36.319990991876054</v>
      </c>
      <c r="AG834">
        <v>41.623728042697877</v>
      </c>
      <c r="AH834">
        <v>77.943719034573931</v>
      </c>
      <c r="AI834">
        <v>4.7942388109276397</v>
      </c>
      <c r="AJ834">
        <v>7.1176574953013372</v>
      </c>
      <c r="AK834">
        <v>11.911896306228977</v>
      </c>
      <c r="AL834">
        <v>170.12785916223032</v>
      </c>
      <c r="AM834">
        <v>40.652350851142202</v>
      </c>
      <c r="AN834">
        <v>2.3895175693933215</v>
      </c>
      <c r="AO834">
        <v>13.200000000000001</v>
      </c>
      <c r="AP834">
        <v>15.282689168251197</v>
      </c>
      <c r="AQ834">
        <v>26.000111904363827</v>
      </c>
      <c r="AR834">
        <v>63.95721615108836</v>
      </c>
      <c r="AS834">
        <v>-1.2723139373668348</v>
      </c>
      <c r="AT834">
        <v>14.430511935847605</v>
      </c>
      <c r="AU834">
        <v>35.497361490085034</v>
      </c>
    </row>
    <row r="835" spans="1:48" x14ac:dyDescent="0.35">
      <c r="A835">
        <v>833</v>
      </c>
      <c r="B835">
        <v>46055</v>
      </c>
      <c r="C835" t="s">
        <v>16</v>
      </c>
      <c r="D835" t="s">
        <v>370</v>
      </c>
      <c r="E835" t="s">
        <v>219</v>
      </c>
      <c r="F835" t="s">
        <v>365</v>
      </c>
      <c r="G835" t="s">
        <v>366</v>
      </c>
      <c r="H835" t="s">
        <v>22</v>
      </c>
      <c r="I835" t="s">
        <v>23</v>
      </c>
      <c r="J835" t="s">
        <v>215</v>
      </c>
      <c r="K835" t="s">
        <v>369</v>
      </c>
      <c r="L835">
        <v>29</v>
      </c>
      <c r="M835">
        <v>62</v>
      </c>
      <c r="N835">
        <v>1</v>
      </c>
      <c r="O835">
        <v>2</v>
      </c>
      <c r="P835">
        <v>144</v>
      </c>
      <c r="Q835">
        <v>0.50039999999999996</v>
      </c>
      <c r="R835">
        <v>458.23946068940307</v>
      </c>
      <c r="S835">
        <v>143.53946068940309</v>
      </c>
      <c r="T835">
        <v>0.37916666666666665</v>
      </c>
      <c r="U835">
        <v>40.5</v>
      </c>
      <c r="V835">
        <v>0.72083333333333333</v>
      </c>
      <c r="W835">
        <v>77</v>
      </c>
      <c r="X835">
        <v>13.2</v>
      </c>
      <c r="Y835">
        <v>40</v>
      </c>
      <c r="Z835">
        <v>0.39861111111111114</v>
      </c>
      <c r="AA835">
        <v>76.5</v>
      </c>
      <c r="AB835">
        <v>17.7</v>
      </c>
      <c r="AD835">
        <v>36.5</v>
      </c>
      <c r="AE835">
        <v>36.5</v>
      </c>
      <c r="AF835">
        <v>35.319990991876054</v>
      </c>
      <c r="AG835">
        <v>33.623728042697877</v>
      </c>
      <c r="AH835">
        <v>68.943719034573931</v>
      </c>
      <c r="AI835">
        <v>4.6622388109276391</v>
      </c>
      <c r="AJ835">
        <v>5.9513998635575236</v>
      </c>
      <c r="AK835">
        <v>10.613638674485163</v>
      </c>
      <c r="AL835">
        <v>150.45347454549386</v>
      </c>
      <c r="AM835">
        <v>31.324116101536447</v>
      </c>
      <c r="AN835">
        <v>2.0819802398159117</v>
      </c>
      <c r="AO835">
        <v>13.2</v>
      </c>
      <c r="AP835">
        <v>15.39464192403463</v>
      </c>
      <c r="AQ835">
        <v>23.161773668547365</v>
      </c>
      <c r="AR835">
        <v>73.942305645493647</v>
      </c>
      <c r="AS835">
        <v>-0.399731573429422</v>
      </c>
      <c r="AT835">
        <v>12.85518510877162</v>
      </c>
      <c r="AU835">
        <v>41.039258911893363</v>
      </c>
    </row>
    <row r="836" spans="1:48" x14ac:dyDescent="0.35">
      <c r="A836">
        <v>834</v>
      </c>
      <c r="B836">
        <v>46055</v>
      </c>
      <c r="C836" t="s">
        <v>16</v>
      </c>
      <c r="D836" t="s">
        <v>370</v>
      </c>
      <c r="E836" t="s">
        <v>219</v>
      </c>
      <c r="F836" t="s">
        <v>365</v>
      </c>
      <c r="G836" t="s">
        <v>366</v>
      </c>
      <c r="H836" t="s">
        <v>22</v>
      </c>
      <c r="I836" t="s">
        <v>23</v>
      </c>
      <c r="J836" t="s">
        <v>215</v>
      </c>
      <c r="K836" t="s">
        <v>369</v>
      </c>
      <c r="L836">
        <v>29</v>
      </c>
      <c r="M836">
        <v>62</v>
      </c>
      <c r="N836">
        <v>1</v>
      </c>
      <c r="O836">
        <v>3</v>
      </c>
      <c r="P836">
        <v>145</v>
      </c>
      <c r="Q836">
        <v>0.50019999999999998</v>
      </c>
      <c r="R836">
        <v>458.05631142453916</v>
      </c>
      <c r="S836">
        <v>167.95631142453914</v>
      </c>
      <c r="T836">
        <v>0.37916666666666665</v>
      </c>
      <c r="U836">
        <v>40.5</v>
      </c>
      <c r="V836">
        <v>0.72152777777777777</v>
      </c>
      <c r="W836">
        <v>77</v>
      </c>
      <c r="X836">
        <v>13.3</v>
      </c>
      <c r="Y836">
        <v>40</v>
      </c>
      <c r="Z836">
        <v>0.39861111111111114</v>
      </c>
      <c r="AA836">
        <v>80.5</v>
      </c>
      <c r="AB836">
        <v>17.5</v>
      </c>
      <c r="AD836">
        <v>36.5</v>
      </c>
      <c r="AE836">
        <v>40.5</v>
      </c>
      <c r="AF836">
        <v>35.319990991876054</v>
      </c>
      <c r="AG836">
        <v>37.623728042697877</v>
      </c>
      <c r="AH836">
        <v>72.943719034573931</v>
      </c>
      <c r="AI836">
        <v>4.6975588019195156</v>
      </c>
      <c r="AJ836">
        <v>6.5841524074721285</v>
      </c>
      <c r="AK836">
        <v>11.281711209391645</v>
      </c>
      <c r="AL836">
        <v>159.24618265322337</v>
      </c>
      <c r="AM836">
        <v>36.667175461942847</v>
      </c>
      <c r="AN836">
        <v>2.3025465886230871</v>
      </c>
      <c r="AO836">
        <v>13.3</v>
      </c>
      <c r="AP836">
        <v>15.466323020964053</v>
      </c>
      <c r="AQ836">
        <v>24.629529007701947</v>
      </c>
      <c r="AR836">
        <v>67.170510674499965</v>
      </c>
      <c r="AS836">
        <v>-0.67530746737053859</v>
      </c>
      <c r="AT836">
        <v>13.669814715693398</v>
      </c>
      <c r="AU836">
        <v>37.280795543909321</v>
      </c>
    </row>
    <row r="837" spans="1:48" x14ac:dyDescent="0.35">
      <c r="A837">
        <v>835</v>
      </c>
      <c r="B837">
        <v>46055</v>
      </c>
      <c r="C837" t="s">
        <v>16</v>
      </c>
      <c r="D837" t="s">
        <v>372</v>
      </c>
      <c r="E837" t="s">
        <v>219</v>
      </c>
      <c r="F837" t="s">
        <v>220</v>
      </c>
      <c r="G837" t="s">
        <v>221</v>
      </c>
      <c r="H837" t="s">
        <v>22</v>
      </c>
      <c r="I837" t="s">
        <v>23</v>
      </c>
      <c r="J837" t="s">
        <v>215</v>
      </c>
      <c r="K837" t="s">
        <v>371</v>
      </c>
      <c r="L837">
        <v>29</v>
      </c>
      <c r="M837">
        <v>62</v>
      </c>
      <c r="N837">
        <v>1</v>
      </c>
      <c r="O837">
        <v>1</v>
      </c>
      <c r="P837">
        <v>146</v>
      </c>
      <c r="Q837">
        <v>0.50019999999999998</v>
      </c>
      <c r="R837">
        <v>447.89214433130559</v>
      </c>
      <c r="S837">
        <v>167.19214433130554</v>
      </c>
      <c r="T837">
        <v>0.37986111111111109</v>
      </c>
      <c r="U837">
        <v>40.5</v>
      </c>
      <c r="V837">
        <v>0.72152777777777777</v>
      </c>
      <c r="W837">
        <v>69.5</v>
      </c>
      <c r="X837">
        <v>13.6</v>
      </c>
      <c r="Y837">
        <v>40</v>
      </c>
      <c r="Z837">
        <v>0.39930555555555558</v>
      </c>
      <c r="AA837">
        <v>76.5</v>
      </c>
      <c r="AB837">
        <v>17</v>
      </c>
      <c r="AD837">
        <v>29</v>
      </c>
      <c r="AE837">
        <v>36.5</v>
      </c>
      <c r="AF837">
        <v>27.81999099187605</v>
      </c>
      <c r="AG837">
        <v>33.623728042697877</v>
      </c>
      <c r="AH837">
        <v>61.443719034573931</v>
      </c>
      <c r="AI837">
        <v>3.7835187748951431</v>
      </c>
      <c r="AJ837">
        <v>5.7160337672586392</v>
      </c>
      <c r="AK837">
        <v>9.4995525421537828</v>
      </c>
      <c r="AL837">
        <v>137.18418555053745</v>
      </c>
      <c r="AM837">
        <v>37.328661921704438</v>
      </c>
      <c r="AN837">
        <v>2.7210615984561048</v>
      </c>
      <c r="AO837">
        <v>13.600000000000001</v>
      </c>
      <c r="AP837">
        <v>15.460575452485964</v>
      </c>
      <c r="AQ837">
        <v>21.209464515919191</v>
      </c>
      <c r="AR837">
        <v>56.818175160966931</v>
      </c>
      <c r="AS837">
        <v>-0.23713521778944374</v>
      </c>
      <c r="AT837">
        <v>11.771619752088021</v>
      </c>
      <c r="AU837">
        <v>31.535070227747728</v>
      </c>
    </row>
    <row r="838" spans="1:48" x14ac:dyDescent="0.35">
      <c r="A838">
        <v>836</v>
      </c>
      <c r="B838">
        <v>46055</v>
      </c>
      <c r="C838" t="s">
        <v>16</v>
      </c>
      <c r="D838" t="s">
        <v>372</v>
      </c>
      <c r="E838" t="s">
        <v>219</v>
      </c>
      <c r="F838" t="s">
        <v>220</v>
      </c>
      <c r="G838" t="s">
        <v>221</v>
      </c>
      <c r="H838" t="s">
        <v>22</v>
      </c>
      <c r="I838" t="s">
        <v>23</v>
      </c>
      <c r="J838" t="s">
        <v>215</v>
      </c>
      <c r="K838" t="s">
        <v>371</v>
      </c>
      <c r="L838">
        <v>29</v>
      </c>
      <c r="M838">
        <v>62</v>
      </c>
      <c r="N838">
        <v>1</v>
      </c>
      <c r="O838">
        <v>2</v>
      </c>
      <c r="P838">
        <v>147</v>
      </c>
      <c r="Q838">
        <v>0.50009999999999999</v>
      </c>
      <c r="R838">
        <v>447.80260171948413</v>
      </c>
      <c r="S838">
        <v>171.60260171948414</v>
      </c>
      <c r="T838">
        <v>0.38055555555555554</v>
      </c>
      <c r="U838">
        <v>41</v>
      </c>
      <c r="V838">
        <v>0.72152777777777777</v>
      </c>
      <c r="W838">
        <v>69.5</v>
      </c>
      <c r="X838">
        <v>13.4</v>
      </c>
      <c r="Y838">
        <v>40</v>
      </c>
      <c r="Z838">
        <v>0.39930555555555558</v>
      </c>
      <c r="AA838">
        <v>79</v>
      </c>
      <c r="AB838">
        <v>16.600000000000001</v>
      </c>
      <c r="AD838">
        <v>28.5</v>
      </c>
      <c r="AE838">
        <v>39</v>
      </c>
      <c r="AF838">
        <v>27.31999099187605</v>
      </c>
      <c r="AG838">
        <v>36.123728042697877</v>
      </c>
      <c r="AH838">
        <v>63.443719034573931</v>
      </c>
      <c r="AI838">
        <v>3.6608787929113911</v>
      </c>
      <c r="AJ838">
        <v>5.9965388550878478</v>
      </c>
      <c r="AK838">
        <v>9.6574176479992389</v>
      </c>
      <c r="AL838">
        <v>141.67787054153121</v>
      </c>
      <c r="AM838">
        <v>38.321037229475664</v>
      </c>
      <c r="AN838">
        <v>2.7048004803433505</v>
      </c>
      <c r="AO838">
        <v>13.4</v>
      </c>
      <c r="AP838">
        <v>15.222023227762525</v>
      </c>
      <c r="AQ838">
        <v>21.5662383624312</v>
      </c>
      <c r="AR838">
        <v>56.277804364446965</v>
      </c>
      <c r="AS838">
        <v>-0.25520464600608411</v>
      </c>
      <c r="AT838">
        <v>11.969635409460087</v>
      </c>
      <c r="AU838">
        <v>31.235155086703436</v>
      </c>
    </row>
    <row r="839" spans="1:48" x14ac:dyDescent="0.35">
      <c r="A839">
        <v>837</v>
      </c>
      <c r="B839">
        <v>46055</v>
      </c>
      <c r="C839" t="s">
        <v>16</v>
      </c>
      <c r="D839" t="s">
        <v>372</v>
      </c>
      <c r="E839" t="s">
        <v>219</v>
      </c>
      <c r="F839" t="s">
        <v>220</v>
      </c>
      <c r="G839" t="s">
        <v>221</v>
      </c>
      <c r="H839" t="s">
        <v>22</v>
      </c>
      <c r="I839" t="s">
        <v>23</v>
      </c>
      <c r="J839" t="s">
        <v>215</v>
      </c>
      <c r="K839" t="s">
        <v>371</v>
      </c>
      <c r="L839">
        <v>29</v>
      </c>
      <c r="M839">
        <v>62</v>
      </c>
      <c r="N839">
        <v>1</v>
      </c>
      <c r="O839">
        <v>3</v>
      </c>
      <c r="P839">
        <v>148</v>
      </c>
      <c r="Q839">
        <v>0.50009999999999999</v>
      </c>
      <c r="R839">
        <v>447.80260171948413</v>
      </c>
      <c r="S839">
        <v>224.20260171948411</v>
      </c>
      <c r="T839">
        <v>0.38055555555555554</v>
      </c>
      <c r="U839">
        <v>41</v>
      </c>
      <c r="V839">
        <v>0.72222222222222221</v>
      </c>
      <c r="W839">
        <v>70</v>
      </c>
      <c r="X839">
        <v>13.4</v>
      </c>
      <c r="Y839">
        <v>40</v>
      </c>
      <c r="Z839">
        <v>0.4</v>
      </c>
      <c r="AA839">
        <v>81</v>
      </c>
      <c r="AB839">
        <v>16.7</v>
      </c>
      <c r="AD839">
        <v>29</v>
      </c>
      <c r="AE839">
        <v>41</v>
      </c>
      <c r="AF839">
        <v>27.81999099187605</v>
      </c>
      <c r="AG839">
        <v>38.123728042697877</v>
      </c>
      <c r="AH839">
        <v>65.943719034573931</v>
      </c>
      <c r="AI839">
        <v>3.7278787929113908</v>
      </c>
      <c r="AJ839">
        <v>6.3666625831305446</v>
      </c>
      <c r="AK839">
        <v>10.094541376041935</v>
      </c>
      <c r="AL839">
        <v>147.26068759172347</v>
      </c>
      <c r="AM839">
        <v>50.067284303080214</v>
      </c>
      <c r="AN839">
        <v>3.3999083612790462</v>
      </c>
      <c r="AO839">
        <v>13.400000000000002</v>
      </c>
      <c r="AP839">
        <v>15.307813274452146</v>
      </c>
      <c r="AQ839">
        <v>22.542391083215353</v>
      </c>
      <c r="AR839">
        <v>45.024193736484541</v>
      </c>
      <c r="AS839">
        <v>-0.87089342848613316</v>
      </c>
      <c r="AT839">
        <v>12.511417057950666</v>
      </c>
      <c r="AU839">
        <v>24.98920648903848</v>
      </c>
    </row>
    <row r="840" spans="1:48" x14ac:dyDescent="0.35">
      <c r="A840">
        <v>838</v>
      </c>
      <c r="B840">
        <v>46055</v>
      </c>
      <c r="C840" t="s">
        <v>16</v>
      </c>
      <c r="D840" t="s">
        <v>374</v>
      </c>
      <c r="E840" t="s">
        <v>219</v>
      </c>
      <c r="F840" t="s">
        <v>253</v>
      </c>
      <c r="G840" t="s">
        <v>254</v>
      </c>
      <c r="H840" t="s">
        <v>22</v>
      </c>
      <c r="I840" t="s">
        <v>23</v>
      </c>
      <c r="J840" t="s">
        <v>215</v>
      </c>
      <c r="K840" t="s">
        <v>373</v>
      </c>
      <c r="L840">
        <v>29</v>
      </c>
      <c r="M840">
        <v>62</v>
      </c>
      <c r="N840">
        <v>1</v>
      </c>
      <c r="O840">
        <v>1</v>
      </c>
      <c r="P840">
        <v>149</v>
      </c>
      <c r="Q840">
        <v>0.5</v>
      </c>
      <c r="R840">
        <v>452.41191689683649</v>
      </c>
      <c r="S840">
        <v>248.91191689683649</v>
      </c>
      <c r="T840">
        <v>0.38124999999999998</v>
      </c>
      <c r="U840">
        <v>40.5</v>
      </c>
      <c r="V840">
        <v>0.72222222222222221</v>
      </c>
      <c r="W840">
        <v>79</v>
      </c>
      <c r="X840">
        <v>13.4</v>
      </c>
      <c r="Y840">
        <v>40</v>
      </c>
      <c r="Z840">
        <v>0.4</v>
      </c>
      <c r="AA840">
        <v>80</v>
      </c>
      <c r="AB840">
        <v>16</v>
      </c>
      <c r="AD840">
        <v>38.5</v>
      </c>
      <c r="AE840">
        <v>40</v>
      </c>
      <c r="AF840">
        <v>37.319990991876054</v>
      </c>
      <c r="AG840">
        <v>37.123728042697877</v>
      </c>
      <c r="AH840">
        <v>74.443719034573931</v>
      </c>
      <c r="AI840">
        <v>5.0008787929113918</v>
      </c>
      <c r="AJ840">
        <v>5.9397964868316606</v>
      </c>
      <c r="AK840">
        <v>10.940675279743052</v>
      </c>
      <c r="AL840">
        <v>164.54853697310836</v>
      </c>
      <c r="AM840">
        <v>55.018868336661406</v>
      </c>
      <c r="AN840">
        <v>3.3436254948686028</v>
      </c>
      <c r="AO840">
        <v>13.4</v>
      </c>
      <c r="AP840">
        <v>14.696572688236962</v>
      </c>
      <c r="AQ840">
        <v>24.182995343683345</v>
      </c>
      <c r="AR840">
        <v>43.954003553303167</v>
      </c>
      <c r="AS840">
        <v>1.4559317843782675</v>
      </c>
      <c r="AT840">
        <v>13.421980806667158</v>
      </c>
      <c r="AU840">
        <v>24.39523242197172</v>
      </c>
    </row>
    <row r="841" spans="1:48" x14ac:dyDescent="0.35">
      <c r="A841">
        <v>839</v>
      </c>
      <c r="B841">
        <v>46055</v>
      </c>
      <c r="C841" t="s">
        <v>16</v>
      </c>
      <c r="D841" t="s">
        <v>374</v>
      </c>
      <c r="E841" t="s">
        <v>219</v>
      </c>
      <c r="F841" t="s">
        <v>253</v>
      </c>
      <c r="G841" t="s">
        <v>254</v>
      </c>
      <c r="H841" t="s">
        <v>22</v>
      </c>
      <c r="I841" t="s">
        <v>23</v>
      </c>
      <c r="J841" t="s">
        <v>215</v>
      </c>
      <c r="K841" t="s">
        <v>373</v>
      </c>
      <c r="L841">
        <v>29</v>
      </c>
      <c r="M841">
        <v>62</v>
      </c>
      <c r="N841">
        <v>1</v>
      </c>
      <c r="O841">
        <v>2</v>
      </c>
      <c r="P841">
        <v>150</v>
      </c>
      <c r="Q841">
        <v>0.5</v>
      </c>
      <c r="R841">
        <v>452.41191689683649</v>
      </c>
      <c r="S841">
        <v>242.81191689683646</v>
      </c>
      <c r="T841">
        <v>0.38194444444444442</v>
      </c>
      <c r="U841">
        <v>40.5</v>
      </c>
      <c r="V841">
        <v>0.72222222222222221</v>
      </c>
      <c r="W841">
        <v>81.5</v>
      </c>
      <c r="X841">
        <v>14</v>
      </c>
      <c r="Y841">
        <v>40.5</v>
      </c>
      <c r="Z841">
        <v>0.4</v>
      </c>
      <c r="AA841">
        <v>85</v>
      </c>
      <c r="AB841">
        <v>15.6</v>
      </c>
      <c r="AD841">
        <v>41</v>
      </c>
      <c r="AE841">
        <v>44.5</v>
      </c>
      <c r="AF841">
        <v>39.819990991876054</v>
      </c>
      <c r="AG841">
        <v>41.623728042697877</v>
      </c>
      <c r="AH841">
        <v>81.443719034573931</v>
      </c>
      <c r="AI841">
        <v>5.5747987388626479</v>
      </c>
      <c r="AJ841">
        <v>6.4933015746608689</v>
      </c>
      <c r="AK841">
        <v>12.068100313523516</v>
      </c>
      <c r="AL841">
        <v>180.02116211528875</v>
      </c>
      <c r="AM841">
        <v>53.670539574271402</v>
      </c>
      <c r="AN841">
        <v>2.9813461341783718</v>
      </c>
      <c r="AO841">
        <v>14.000000000000002</v>
      </c>
      <c r="AP841">
        <v>14.817717629520882</v>
      </c>
      <c r="AQ841">
        <v>26.675027475625505</v>
      </c>
      <c r="AR841">
        <v>49.701433388258664</v>
      </c>
      <c r="AS841">
        <v>2.5447988148806</v>
      </c>
      <c r="AT841">
        <v>14.805101754637823</v>
      </c>
      <c r="AU841">
        <v>27.585155416874358</v>
      </c>
    </row>
    <row r="842" spans="1:48" x14ac:dyDescent="0.35">
      <c r="A842">
        <v>840</v>
      </c>
      <c r="B842">
        <v>46055</v>
      </c>
      <c r="C842" t="s">
        <v>16</v>
      </c>
      <c r="D842" t="s">
        <v>374</v>
      </c>
      <c r="E842" t="s">
        <v>219</v>
      </c>
      <c r="F842" t="s">
        <v>253</v>
      </c>
      <c r="G842" t="s">
        <v>254</v>
      </c>
      <c r="H842" t="s">
        <v>22</v>
      </c>
      <c r="I842" t="s">
        <v>23</v>
      </c>
      <c r="J842" t="s">
        <v>215</v>
      </c>
      <c r="K842" t="s">
        <v>373</v>
      </c>
      <c r="L842">
        <v>29</v>
      </c>
      <c r="M842">
        <v>62</v>
      </c>
      <c r="N842">
        <v>1</v>
      </c>
      <c r="O842">
        <v>3</v>
      </c>
      <c r="P842">
        <v>151</v>
      </c>
      <c r="Q842">
        <v>0.50049999999999994</v>
      </c>
      <c r="R842">
        <v>452.86432881373321</v>
      </c>
      <c r="S842">
        <v>206.66432881373322</v>
      </c>
      <c r="T842">
        <v>0.38263888888888886</v>
      </c>
      <c r="U842">
        <v>40.5</v>
      </c>
      <c r="V842">
        <v>0.72291666666666665</v>
      </c>
      <c r="W842">
        <v>82</v>
      </c>
      <c r="X842">
        <v>13.7</v>
      </c>
      <c r="Y842">
        <v>40</v>
      </c>
      <c r="Z842">
        <v>0.40069444444444446</v>
      </c>
      <c r="AA842">
        <v>85</v>
      </c>
      <c r="AB842">
        <v>15.7</v>
      </c>
      <c r="AD842">
        <v>41.5</v>
      </c>
      <c r="AE842">
        <v>45</v>
      </c>
      <c r="AF842">
        <v>40.319990991876054</v>
      </c>
      <c r="AG842">
        <v>42.123728042697877</v>
      </c>
      <c r="AH842">
        <v>82.443719034573931</v>
      </c>
      <c r="AI842">
        <v>5.5238387658870183</v>
      </c>
      <c r="AJ842">
        <v>6.6134253027035665</v>
      </c>
      <c r="AK842">
        <v>12.137264068590586</v>
      </c>
      <c r="AL842">
        <v>182.04948764795228</v>
      </c>
      <c r="AM842">
        <v>45.634932067863517</v>
      </c>
      <c r="AN842">
        <v>2.5067322439331687</v>
      </c>
      <c r="AO842">
        <v>13.699999999999998</v>
      </c>
      <c r="AP842">
        <v>14.721878404709829</v>
      </c>
      <c r="AQ842">
        <v>26.801104207928773</v>
      </c>
      <c r="AR842">
        <v>58.729361463873694</v>
      </c>
      <c r="AS842">
        <v>-1.0303537661183564</v>
      </c>
      <c r="AT842">
        <v>14.875076522324484</v>
      </c>
      <c r="AU842">
        <v>32.595811691367956</v>
      </c>
    </row>
    <row r="843" spans="1:48" x14ac:dyDescent="0.35">
      <c r="A843">
        <v>841</v>
      </c>
      <c r="B843">
        <v>46055</v>
      </c>
      <c r="C843" t="s">
        <v>16</v>
      </c>
      <c r="D843" t="s">
        <v>376</v>
      </c>
      <c r="E843" t="s">
        <v>219</v>
      </c>
      <c r="F843" t="s">
        <v>253</v>
      </c>
      <c r="G843" t="s">
        <v>254</v>
      </c>
      <c r="H843" t="s">
        <v>22</v>
      </c>
      <c r="I843" t="s">
        <v>23</v>
      </c>
      <c r="J843" t="s">
        <v>215</v>
      </c>
      <c r="K843" t="s">
        <v>375</v>
      </c>
      <c r="L843">
        <v>29</v>
      </c>
      <c r="M843">
        <v>62</v>
      </c>
      <c r="N843">
        <v>1</v>
      </c>
      <c r="O843">
        <v>1</v>
      </c>
      <c r="P843">
        <v>152</v>
      </c>
      <c r="Q843">
        <v>0.50070000000000003</v>
      </c>
      <c r="R843">
        <v>448.08957496614278</v>
      </c>
      <c r="S843">
        <v>198.88957496614279</v>
      </c>
      <c r="T843">
        <v>0.38263888888888886</v>
      </c>
      <c r="U843">
        <v>41</v>
      </c>
      <c r="V843">
        <v>0.72291666666666665</v>
      </c>
      <c r="W843">
        <v>73</v>
      </c>
      <c r="X843">
        <v>12.3</v>
      </c>
      <c r="Y843">
        <v>40</v>
      </c>
      <c r="Z843">
        <v>0.40069444444444446</v>
      </c>
      <c r="AA843">
        <v>82</v>
      </c>
      <c r="AB843">
        <v>14.5</v>
      </c>
      <c r="AC843" t="s">
        <v>582</v>
      </c>
      <c r="AD843">
        <v>32</v>
      </c>
      <c r="AE843">
        <v>42</v>
      </c>
      <c r="AF843">
        <v>30.81999099187605</v>
      </c>
      <c r="AG843">
        <v>39.123728042697877</v>
      </c>
      <c r="AH843">
        <v>69.943719034573931</v>
      </c>
      <c r="AI843">
        <v>3.7908588920007547</v>
      </c>
      <c r="AJ843">
        <v>5.6729405661911914</v>
      </c>
      <c r="AK843">
        <v>9.4637994581919465</v>
      </c>
      <c r="AL843">
        <v>156.09316293479671</v>
      </c>
      <c r="AM843">
        <v>44.38611966841021</v>
      </c>
      <c r="AN843">
        <v>2.8435659085818634</v>
      </c>
      <c r="AO843">
        <v>12.3</v>
      </c>
      <c r="AP843">
        <v>13.530592294518812</v>
      </c>
      <c r="AQ843">
        <v>21.120329476326294</v>
      </c>
      <c r="AR843">
        <v>47.583185090535693</v>
      </c>
      <c r="AS843">
        <v>-0.31218231555831177</v>
      </c>
      <c r="AT843">
        <v>11.722148262985254</v>
      </c>
      <c r="AU843">
        <v>26.409490963743686</v>
      </c>
    </row>
    <row r="844" spans="1:48" x14ac:dyDescent="0.35">
      <c r="A844">
        <v>842</v>
      </c>
      <c r="B844">
        <v>46055</v>
      </c>
      <c r="C844" t="s">
        <v>16</v>
      </c>
      <c r="D844" t="s">
        <v>376</v>
      </c>
      <c r="E844" t="s">
        <v>219</v>
      </c>
      <c r="F844" t="s">
        <v>253</v>
      </c>
      <c r="G844" t="s">
        <v>254</v>
      </c>
      <c r="H844" t="s">
        <v>22</v>
      </c>
      <c r="I844" t="s">
        <v>23</v>
      </c>
      <c r="J844" t="s">
        <v>215</v>
      </c>
      <c r="K844" t="s">
        <v>375</v>
      </c>
      <c r="L844">
        <v>29</v>
      </c>
      <c r="M844">
        <v>62</v>
      </c>
      <c r="N844">
        <v>1</v>
      </c>
      <c r="O844">
        <v>2</v>
      </c>
      <c r="P844">
        <v>153</v>
      </c>
      <c r="Q844">
        <v>0.50039999999999996</v>
      </c>
      <c r="R844">
        <v>447.82109709018931</v>
      </c>
      <c r="S844">
        <v>211.62109709018935</v>
      </c>
      <c r="T844">
        <v>0.38263888888888886</v>
      </c>
      <c r="U844">
        <v>41</v>
      </c>
      <c r="V844">
        <v>0.72361111111111109</v>
      </c>
      <c r="W844">
        <v>72</v>
      </c>
      <c r="X844">
        <v>11.8</v>
      </c>
      <c r="Y844">
        <v>40.5</v>
      </c>
      <c r="Z844">
        <v>0.40138888888888891</v>
      </c>
      <c r="AA844">
        <v>83.5</v>
      </c>
      <c r="AB844">
        <v>14</v>
      </c>
      <c r="AD844">
        <v>31</v>
      </c>
      <c r="AE844">
        <v>43</v>
      </c>
      <c r="AF844">
        <v>29.81999099187605</v>
      </c>
      <c r="AG844">
        <v>40.123728042697877</v>
      </c>
      <c r="AH844">
        <v>69.943719034573931</v>
      </c>
      <c r="AI844">
        <v>3.5187589370413743</v>
      </c>
      <c r="AJ844">
        <v>5.617321925977703</v>
      </c>
      <c r="AK844">
        <v>9.1360808630190782</v>
      </c>
      <c r="AL844">
        <v>156.18674396773127</v>
      </c>
      <c r="AM844">
        <v>47.255722980726325</v>
      </c>
      <c r="AN844">
        <v>3.0255911468702825</v>
      </c>
      <c r="AO844">
        <v>11.8</v>
      </c>
      <c r="AP844">
        <v>13.062046155285246</v>
      </c>
      <c r="AQ844">
        <v>20.401184585502254</v>
      </c>
      <c r="AR844">
        <v>43.171881200131168</v>
      </c>
      <c r="AS844">
        <v>-0.38727149402555072</v>
      </c>
      <c r="AT844">
        <v>11.323010406624782</v>
      </c>
      <c r="AU844">
        <v>23.961140984432667</v>
      </c>
    </row>
    <row r="845" spans="1:48" x14ac:dyDescent="0.35">
      <c r="A845">
        <v>843</v>
      </c>
      <c r="B845">
        <v>46055</v>
      </c>
      <c r="C845" t="s">
        <v>16</v>
      </c>
      <c r="D845" t="s">
        <v>376</v>
      </c>
      <c r="E845" t="s">
        <v>219</v>
      </c>
      <c r="F845" t="s">
        <v>253</v>
      </c>
      <c r="G845" t="s">
        <v>254</v>
      </c>
      <c r="H845" t="s">
        <v>22</v>
      </c>
      <c r="I845" t="s">
        <v>23</v>
      </c>
      <c r="J845" t="s">
        <v>215</v>
      </c>
      <c r="K845" t="s">
        <v>375</v>
      </c>
      <c r="L845">
        <v>29</v>
      </c>
      <c r="M845">
        <v>62</v>
      </c>
      <c r="N845">
        <v>1</v>
      </c>
      <c r="O845">
        <v>3</v>
      </c>
      <c r="P845">
        <v>154</v>
      </c>
      <c r="Q845">
        <v>0.50060000000000004</v>
      </c>
      <c r="R845">
        <v>448.00008234082497</v>
      </c>
      <c r="S845">
        <v>197.90008234082487</v>
      </c>
      <c r="T845">
        <v>0.38263888888888886</v>
      </c>
      <c r="U845">
        <v>42</v>
      </c>
      <c r="V845">
        <v>0.72361111111111109</v>
      </c>
      <c r="W845">
        <v>73.5</v>
      </c>
      <c r="X845">
        <v>11.8</v>
      </c>
      <c r="Y845">
        <v>41</v>
      </c>
      <c r="Z845">
        <v>0.40138888888888891</v>
      </c>
      <c r="AA845">
        <v>85</v>
      </c>
      <c r="AB845">
        <v>13.8</v>
      </c>
      <c r="AD845">
        <v>31.5</v>
      </c>
      <c r="AE845">
        <v>44</v>
      </c>
      <c r="AF845">
        <v>30.31999099187605</v>
      </c>
      <c r="AG845">
        <v>41.123728042697877</v>
      </c>
      <c r="AH845">
        <v>71.443719034573931</v>
      </c>
      <c r="AI845">
        <v>3.577758937041374</v>
      </c>
      <c r="AJ845">
        <v>5.6750744698923077</v>
      </c>
      <c r="AK845">
        <v>9.2528334069336822</v>
      </c>
      <c r="AL845">
        <v>159.4725578202499</v>
      </c>
      <c r="AM845">
        <v>44.174117403458077</v>
      </c>
      <c r="AN845">
        <v>2.7700137257000099</v>
      </c>
      <c r="AO845">
        <v>11.8</v>
      </c>
      <c r="AP845">
        <v>12.951220249964782</v>
      </c>
      <c r="AQ845">
        <v>20.653642201553001</v>
      </c>
      <c r="AR845">
        <v>46.755076084295858</v>
      </c>
      <c r="AS845">
        <v>-0.30030218461343211</v>
      </c>
      <c r="AT845">
        <v>11.463128751311769</v>
      </c>
      <c r="AU845">
        <v>25.949876138135142</v>
      </c>
    </row>
    <row r="846" spans="1:48" x14ac:dyDescent="0.35">
      <c r="A846">
        <v>844</v>
      </c>
      <c r="B846">
        <v>46055</v>
      </c>
      <c r="C846" t="s">
        <v>16</v>
      </c>
      <c r="D846" t="s">
        <v>378</v>
      </c>
      <c r="E846" t="s">
        <v>212</v>
      </c>
      <c r="F846" t="s">
        <v>379</v>
      </c>
      <c r="G846" t="s">
        <v>380</v>
      </c>
      <c r="H846" t="s">
        <v>22</v>
      </c>
      <c r="I846" t="s">
        <v>23</v>
      </c>
      <c r="J846" t="s">
        <v>215</v>
      </c>
      <c r="K846" t="s">
        <v>377</v>
      </c>
      <c r="L846">
        <v>29</v>
      </c>
      <c r="M846">
        <v>62</v>
      </c>
      <c r="N846">
        <v>1</v>
      </c>
      <c r="O846">
        <v>1</v>
      </c>
      <c r="P846">
        <v>155</v>
      </c>
      <c r="Q846">
        <v>0.50039999999999996</v>
      </c>
      <c r="R846">
        <v>469.33761372450664</v>
      </c>
      <c r="S846">
        <v>38.737613724506559</v>
      </c>
      <c r="T846">
        <v>0.38333333333333336</v>
      </c>
      <c r="U846">
        <v>41.5</v>
      </c>
      <c r="V846">
        <v>0.72430555555555554</v>
      </c>
      <c r="W846">
        <v>58</v>
      </c>
      <c r="X846">
        <v>11.6</v>
      </c>
      <c r="Y846">
        <v>40.5</v>
      </c>
      <c r="Z846">
        <v>0.40208333333333335</v>
      </c>
      <c r="AA846">
        <v>52</v>
      </c>
      <c r="AB846">
        <v>14</v>
      </c>
      <c r="AV846" t="s">
        <v>629</v>
      </c>
    </row>
    <row r="847" spans="1:48" x14ac:dyDescent="0.35">
      <c r="A847">
        <v>845</v>
      </c>
      <c r="B847">
        <v>46055</v>
      </c>
      <c r="C847" t="s">
        <v>16</v>
      </c>
      <c r="D847" t="s">
        <v>378</v>
      </c>
      <c r="E847" t="s">
        <v>212</v>
      </c>
      <c r="F847" t="s">
        <v>379</v>
      </c>
      <c r="G847" t="s">
        <v>380</v>
      </c>
      <c r="H847" t="s">
        <v>22</v>
      </c>
      <c r="I847" t="s">
        <v>23</v>
      </c>
      <c r="J847" t="s">
        <v>215</v>
      </c>
      <c r="K847" t="s">
        <v>377</v>
      </c>
      <c r="L847">
        <v>29</v>
      </c>
      <c r="M847">
        <v>62</v>
      </c>
      <c r="N847">
        <v>1</v>
      </c>
      <c r="O847">
        <v>2</v>
      </c>
      <c r="P847">
        <v>156</v>
      </c>
      <c r="Q847">
        <v>0.50019999999999998</v>
      </c>
      <c r="R847">
        <v>469.15002874699894</v>
      </c>
      <c r="S847">
        <v>4.1500287469988848</v>
      </c>
      <c r="T847">
        <v>0.3840277777777778</v>
      </c>
      <c r="U847">
        <v>41.5</v>
      </c>
      <c r="V847">
        <v>0.72430555555555554</v>
      </c>
      <c r="W847">
        <v>54.5</v>
      </c>
      <c r="X847">
        <v>11.3</v>
      </c>
      <c r="Y847">
        <v>38</v>
      </c>
      <c r="Z847">
        <v>0.40208333333333335</v>
      </c>
      <c r="AA847">
        <v>49</v>
      </c>
      <c r="AB847">
        <v>13.9</v>
      </c>
      <c r="AV847" t="s">
        <v>629</v>
      </c>
    </row>
    <row r="848" spans="1:48" x14ac:dyDescent="0.35">
      <c r="A848">
        <v>846</v>
      </c>
      <c r="B848">
        <v>46055</v>
      </c>
      <c r="C848" t="s">
        <v>16</v>
      </c>
      <c r="D848" t="s">
        <v>378</v>
      </c>
      <c r="E848" t="s">
        <v>212</v>
      </c>
      <c r="F848" t="s">
        <v>379</v>
      </c>
      <c r="G848" t="s">
        <v>380</v>
      </c>
      <c r="H848" t="s">
        <v>22</v>
      </c>
      <c r="I848" t="s">
        <v>23</v>
      </c>
      <c r="J848" t="s">
        <v>215</v>
      </c>
      <c r="K848" t="s">
        <v>377</v>
      </c>
      <c r="L848">
        <v>29</v>
      </c>
      <c r="M848">
        <v>62</v>
      </c>
      <c r="N848">
        <v>1</v>
      </c>
      <c r="O848">
        <v>3</v>
      </c>
      <c r="P848">
        <v>157</v>
      </c>
      <c r="Q848">
        <v>0.50029999999999997</v>
      </c>
      <c r="R848">
        <v>469.24382123575276</v>
      </c>
      <c r="S848">
        <v>19.043821235752716</v>
      </c>
      <c r="T848">
        <v>0.38472222222222224</v>
      </c>
      <c r="U848">
        <v>41.5</v>
      </c>
      <c r="V848">
        <v>0.72430555555555554</v>
      </c>
      <c r="W848">
        <v>58</v>
      </c>
      <c r="X848">
        <v>11.8</v>
      </c>
      <c r="Y848">
        <v>40.5</v>
      </c>
      <c r="Z848">
        <v>0.40277777777777779</v>
      </c>
      <c r="AA848">
        <v>51.5</v>
      </c>
      <c r="AB848">
        <v>14.5</v>
      </c>
      <c r="AV848" t="s">
        <v>629</v>
      </c>
    </row>
    <row r="849" spans="1:47" x14ac:dyDescent="0.35">
      <c r="A849">
        <v>847</v>
      </c>
      <c r="B849">
        <v>46055</v>
      </c>
      <c r="C849" t="s">
        <v>120</v>
      </c>
      <c r="D849" t="s">
        <v>122</v>
      </c>
      <c r="E849" t="s">
        <v>123</v>
      </c>
      <c r="F849" t="s">
        <v>545</v>
      </c>
      <c r="G849" t="s">
        <v>125</v>
      </c>
      <c r="H849" t="s">
        <v>108</v>
      </c>
      <c r="I849" t="s">
        <v>109</v>
      </c>
      <c r="J849" t="s">
        <v>110</v>
      </c>
      <c r="K849" t="s">
        <v>121</v>
      </c>
      <c r="L849">
        <v>29</v>
      </c>
      <c r="M849">
        <v>62</v>
      </c>
      <c r="N849">
        <v>1</v>
      </c>
      <c r="O849">
        <v>1</v>
      </c>
      <c r="P849">
        <v>158</v>
      </c>
      <c r="Q849">
        <v>0.50049999999999994</v>
      </c>
      <c r="R849">
        <v>468.21774999999991</v>
      </c>
      <c r="S849">
        <v>145.9177499999999</v>
      </c>
      <c r="T849">
        <v>0.38472222222222224</v>
      </c>
      <c r="U849">
        <v>41.5</v>
      </c>
      <c r="V849">
        <v>0.72499999999999998</v>
      </c>
      <c r="W849">
        <v>58.5</v>
      </c>
      <c r="X849">
        <v>13.9</v>
      </c>
      <c r="Y849">
        <v>40.5</v>
      </c>
      <c r="Z849">
        <v>0.40347222222222223</v>
      </c>
      <c r="AA849">
        <v>73.5</v>
      </c>
      <c r="AB849">
        <v>15.8</v>
      </c>
      <c r="AD849">
        <v>17</v>
      </c>
      <c r="AE849">
        <v>33</v>
      </c>
      <c r="AF849">
        <v>15.81999099187605</v>
      </c>
      <c r="AG849">
        <v>30.123728042697874</v>
      </c>
      <c r="AH849">
        <v>45.943719034573924</v>
      </c>
      <c r="AI849">
        <v>2.1989787478707714</v>
      </c>
      <c r="AJ849">
        <v>4.759549030746264</v>
      </c>
      <c r="AK849">
        <v>6.9585277786170359</v>
      </c>
      <c r="AL849">
        <v>98.124684582278078</v>
      </c>
      <c r="AM849">
        <v>31.164506258039115</v>
      </c>
      <c r="AN849">
        <v>3.1760108468840484</v>
      </c>
      <c r="AO849">
        <v>13.900000000000002</v>
      </c>
      <c r="AP849">
        <v>15.145765133598676</v>
      </c>
      <c r="AQ849">
        <v>14.861734264916349</v>
      </c>
      <c r="AR849">
        <v>47.688014505548786</v>
      </c>
      <c r="AS849">
        <v>0.72894694442137553</v>
      </c>
      <c r="AT849">
        <v>8.2485196404587615</v>
      </c>
      <c r="AU849">
        <v>26.467673102733645</v>
      </c>
    </row>
    <row r="850" spans="1:47" x14ac:dyDescent="0.35">
      <c r="A850">
        <v>848</v>
      </c>
      <c r="B850">
        <v>46055</v>
      </c>
      <c r="C850" t="s">
        <v>120</v>
      </c>
      <c r="D850" t="s">
        <v>122</v>
      </c>
      <c r="E850" t="s">
        <v>123</v>
      </c>
      <c r="F850" t="s">
        <v>545</v>
      </c>
      <c r="G850" t="s">
        <v>125</v>
      </c>
      <c r="H850" t="s">
        <v>108</v>
      </c>
      <c r="I850" t="s">
        <v>109</v>
      </c>
      <c r="J850" t="s">
        <v>110</v>
      </c>
      <c r="K850" t="s">
        <v>121</v>
      </c>
      <c r="L850">
        <v>29</v>
      </c>
      <c r="M850">
        <v>62</v>
      </c>
      <c r="N850">
        <v>1</v>
      </c>
      <c r="O850">
        <v>2</v>
      </c>
      <c r="P850">
        <v>159</v>
      </c>
      <c r="Q850">
        <v>0.50070000000000003</v>
      </c>
      <c r="R850">
        <v>468.40485000000001</v>
      </c>
      <c r="S850">
        <v>118.40485000000001</v>
      </c>
      <c r="T850">
        <v>0.38541666666666669</v>
      </c>
      <c r="U850">
        <v>40</v>
      </c>
      <c r="V850">
        <v>0.72499999999999998</v>
      </c>
      <c r="W850">
        <v>58.5</v>
      </c>
      <c r="X850">
        <v>15</v>
      </c>
      <c r="Y850">
        <v>39.5</v>
      </c>
      <c r="Z850">
        <v>0.40347222222222223</v>
      </c>
      <c r="AA850">
        <v>74</v>
      </c>
      <c r="AB850">
        <v>15.5</v>
      </c>
      <c r="AC850" t="s">
        <v>582</v>
      </c>
      <c r="AD850">
        <v>18.5</v>
      </c>
      <c r="AE850">
        <v>34.5</v>
      </c>
      <c r="AF850">
        <v>17.31999099187605</v>
      </c>
      <c r="AG850">
        <v>31.623728042697874</v>
      </c>
      <c r="AH850">
        <v>48.943719034573924</v>
      </c>
      <c r="AI850">
        <v>2.5979986487814073</v>
      </c>
      <c r="AJ850">
        <v>4.9016778466181705</v>
      </c>
      <c r="AK850">
        <v>7.4996764953995783</v>
      </c>
      <c r="AL850">
        <v>104.49020550187284</v>
      </c>
      <c r="AM850">
        <v>25.278314261690504</v>
      </c>
      <c r="AN850">
        <v>2.4192041866773271</v>
      </c>
      <c r="AO850">
        <v>14.999999999999998</v>
      </c>
      <c r="AP850">
        <v>15.323062168818423</v>
      </c>
      <c r="AQ850">
        <v>16.011099149378104</v>
      </c>
      <c r="AR850">
        <v>63.339267736073126</v>
      </c>
      <c r="AS850">
        <v>4.140749299074348</v>
      </c>
      <c r="AT850">
        <v>8.8864370365406486</v>
      </c>
      <c r="AU850">
        <v>35.154389428602521</v>
      </c>
    </row>
    <row r="851" spans="1:47" x14ac:dyDescent="0.35">
      <c r="A851">
        <v>849</v>
      </c>
      <c r="B851">
        <v>46055</v>
      </c>
      <c r="C851" t="s">
        <v>120</v>
      </c>
      <c r="D851" t="s">
        <v>122</v>
      </c>
      <c r="E851" t="s">
        <v>123</v>
      </c>
      <c r="F851" t="s">
        <v>545</v>
      </c>
      <c r="G851" t="s">
        <v>125</v>
      </c>
      <c r="H851" t="s">
        <v>108</v>
      </c>
      <c r="I851" t="s">
        <v>109</v>
      </c>
      <c r="J851" t="s">
        <v>110</v>
      </c>
      <c r="K851" t="s">
        <v>121</v>
      </c>
      <c r="L851">
        <v>29</v>
      </c>
      <c r="M851">
        <v>62</v>
      </c>
      <c r="N851">
        <v>1</v>
      </c>
      <c r="O851">
        <v>3</v>
      </c>
      <c r="P851">
        <v>160</v>
      </c>
      <c r="Q851">
        <v>0.5</v>
      </c>
      <c r="R851">
        <v>467.75</v>
      </c>
      <c r="S851">
        <v>25.549999999999955</v>
      </c>
      <c r="T851">
        <v>0.38541666666666669</v>
      </c>
      <c r="U851">
        <v>41</v>
      </c>
      <c r="V851">
        <v>0.72569444444444442</v>
      </c>
      <c r="W851">
        <v>58</v>
      </c>
      <c r="X851">
        <v>14.7</v>
      </c>
      <c r="Y851">
        <v>40</v>
      </c>
      <c r="Z851">
        <v>0.40416666666666667</v>
      </c>
      <c r="AA851">
        <v>67.5</v>
      </c>
      <c r="AB851">
        <v>15.9</v>
      </c>
      <c r="AD851">
        <v>17</v>
      </c>
      <c r="AE851">
        <v>27.5</v>
      </c>
      <c r="AF851">
        <v>15.81999099187605</v>
      </c>
      <c r="AG851">
        <v>24.623728042697874</v>
      </c>
      <c r="AH851">
        <v>40.443719034573924</v>
      </c>
      <c r="AI851">
        <v>2.3255386758057792</v>
      </c>
      <c r="AJ851">
        <v>3.915172758788962</v>
      </c>
      <c r="AK851">
        <v>6.2407114345947416</v>
      </c>
      <c r="AL851">
        <v>86.464391308549267</v>
      </c>
      <c r="AM851">
        <v>5.4623196151790392</v>
      </c>
      <c r="AN851">
        <v>0.63174210013075582</v>
      </c>
      <c r="AO851">
        <v>14.699999999999998</v>
      </c>
      <c r="AP851">
        <v>15.430607232880279</v>
      </c>
      <c r="AQ851">
        <v>13.341980619122911</v>
      </c>
      <c r="AR851">
        <v>244.25485066907055</v>
      </c>
      <c r="AS851">
        <v>-0.25758020003624821</v>
      </c>
      <c r="AT851">
        <v>7.4050300737277333</v>
      </c>
      <c r="AU851">
        <v>135.56566798380248</v>
      </c>
    </row>
    <row r="852" spans="1:47" x14ac:dyDescent="0.35">
      <c r="A852">
        <v>850</v>
      </c>
      <c r="B852">
        <v>46055</v>
      </c>
      <c r="D852" t="s">
        <v>537</v>
      </c>
      <c r="E852" t="s">
        <v>538</v>
      </c>
      <c r="F852">
        <v>24</v>
      </c>
      <c r="G852" t="s">
        <v>537</v>
      </c>
      <c r="K852" t="s">
        <v>539</v>
      </c>
      <c r="L852">
        <v>29</v>
      </c>
      <c r="M852">
        <v>62</v>
      </c>
      <c r="N852">
        <v>1</v>
      </c>
      <c r="O852">
        <v>1</v>
      </c>
      <c r="P852">
        <v>161</v>
      </c>
      <c r="T852">
        <v>0.3659722222222222</v>
      </c>
      <c r="U852">
        <v>40</v>
      </c>
      <c r="V852">
        <v>0.70347222222222228</v>
      </c>
      <c r="W852">
        <v>43</v>
      </c>
      <c r="Y852">
        <v>39.5</v>
      </c>
      <c r="Z852">
        <v>0.40486111111111112</v>
      </c>
      <c r="AA852">
        <v>45</v>
      </c>
      <c r="AD852">
        <v>3</v>
      </c>
      <c r="AE852">
        <v>5.5</v>
      </c>
    </row>
    <row r="853" spans="1:47" x14ac:dyDescent="0.35">
      <c r="A853">
        <v>851</v>
      </c>
      <c r="B853">
        <v>46055</v>
      </c>
      <c r="D853" t="s">
        <v>537</v>
      </c>
      <c r="E853" t="s">
        <v>538</v>
      </c>
      <c r="F853">
        <v>24</v>
      </c>
      <c r="G853" t="s">
        <v>537</v>
      </c>
      <c r="K853" t="s">
        <v>539</v>
      </c>
      <c r="L853">
        <v>29</v>
      </c>
      <c r="M853">
        <v>62</v>
      </c>
      <c r="N853">
        <v>1</v>
      </c>
      <c r="O853">
        <v>2</v>
      </c>
      <c r="P853">
        <v>162</v>
      </c>
      <c r="T853">
        <v>0.36666666666666664</v>
      </c>
      <c r="U853">
        <v>39.5</v>
      </c>
      <c r="V853">
        <v>0.70347222222222228</v>
      </c>
      <c r="W853">
        <v>43.5</v>
      </c>
      <c r="Y853">
        <v>39</v>
      </c>
      <c r="Z853">
        <v>0.40555555555555556</v>
      </c>
      <c r="AA853">
        <v>44</v>
      </c>
      <c r="AD853">
        <v>4</v>
      </c>
      <c r="AE853">
        <v>5</v>
      </c>
    </row>
    <row r="854" spans="1:47" x14ac:dyDescent="0.35">
      <c r="A854">
        <v>852</v>
      </c>
      <c r="B854">
        <v>46057</v>
      </c>
      <c r="D854" t="s">
        <v>537</v>
      </c>
      <c r="E854" t="s">
        <v>538</v>
      </c>
      <c r="F854">
        <v>24</v>
      </c>
      <c r="G854" t="s">
        <v>537</v>
      </c>
      <c r="K854" t="s">
        <v>539</v>
      </c>
      <c r="L854">
        <v>29</v>
      </c>
      <c r="M854">
        <v>63</v>
      </c>
      <c r="N854">
        <v>2</v>
      </c>
      <c r="O854">
        <v>1</v>
      </c>
      <c r="P854">
        <v>163</v>
      </c>
      <c r="T854">
        <v>0.3298611111111111</v>
      </c>
      <c r="U854">
        <v>39</v>
      </c>
      <c r="V854">
        <v>0.66319444444444442</v>
      </c>
      <c r="W854">
        <v>42</v>
      </c>
      <c r="Y854">
        <v>39</v>
      </c>
      <c r="Z854">
        <v>0.33194444444444443</v>
      </c>
      <c r="AA854">
        <v>43.5</v>
      </c>
      <c r="AD854">
        <v>3</v>
      </c>
      <c r="AE854">
        <v>4.5</v>
      </c>
    </row>
    <row r="855" spans="1:47" x14ac:dyDescent="0.35">
      <c r="A855">
        <v>853</v>
      </c>
      <c r="B855">
        <v>46057</v>
      </c>
      <c r="D855" t="s">
        <v>537</v>
      </c>
      <c r="E855" t="s">
        <v>538</v>
      </c>
      <c r="F855">
        <v>24</v>
      </c>
      <c r="G855" t="s">
        <v>537</v>
      </c>
      <c r="K855" t="s">
        <v>539</v>
      </c>
      <c r="L855">
        <v>29</v>
      </c>
      <c r="M855">
        <v>63</v>
      </c>
      <c r="N855">
        <v>2</v>
      </c>
      <c r="O855">
        <v>2</v>
      </c>
      <c r="P855">
        <v>164</v>
      </c>
      <c r="T855">
        <v>0.33055555555555555</v>
      </c>
      <c r="U855">
        <v>39</v>
      </c>
      <c r="V855">
        <v>0.66319444444444442</v>
      </c>
      <c r="W855">
        <v>42.5</v>
      </c>
      <c r="Y855">
        <v>39</v>
      </c>
      <c r="Z855">
        <v>0.33263888888888887</v>
      </c>
      <c r="AA855">
        <v>43.5</v>
      </c>
      <c r="AD855">
        <v>3.5</v>
      </c>
      <c r="AE855">
        <v>4.5</v>
      </c>
    </row>
    <row r="856" spans="1:47" x14ac:dyDescent="0.35">
      <c r="A856">
        <v>854</v>
      </c>
      <c r="B856">
        <v>46057</v>
      </c>
      <c r="C856" t="s">
        <v>16</v>
      </c>
      <c r="D856" t="s">
        <v>322</v>
      </c>
      <c r="E856" t="s">
        <v>290</v>
      </c>
      <c r="F856" t="s">
        <v>318</v>
      </c>
      <c r="G856" t="s">
        <v>319</v>
      </c>
      <c r="H856" t="s">
        <v>22</v>
      </c>
      <c r="I856" t="s">
        <v>23</v>
      </c>
      <c r="J856" t="s">
        <v>215</v>
      </c>
      <c r="K856" t="s">
        <v>321</v>
      </c>
      <c r="L856">
        <v>29</v>
      </c>
      <c r="M856">
        <v>63</v>
      </c>
      <c r="N856">
        <v>2</v>
      </c>
      <c r="O856">
        <v>1</v>
      </c>
      <c r="P856">
        <v>165</v>
      </c>
      <c r="Q856">
        <v>0.50019999999999998</v>
      </c>
      <c r="R856">
        <v>447.86190828351459</v>
      </c>
      <c r="S856">
        <v>174.56190828351458</v>
      </c>
      <c r="T856">
        <v>0.33055555555555555</v>
      </c>
      <c r="U856">
        <v>40</v>
      </c>
      <c r="V856">
        <v>0.66319444444444442</v>
      </c>
      <c r="W856">
        <v>79</v>
      </c>
      <c r="X856">
        <v>14.5</v>
      </c>
      <c r="Y856">
        <v>39</v>
      </c>
      <c r="Z856">
        <v>0.33333333333333331</v>
      </c>
      <c r="AA856">
        <v>74</v>
      </c>
      <c r="AB856">
        <v>12.4</v>
      </c>
      <c r="AD856">
        <v>39</v>
      </c>
      <c r="AE856">
        <v>35</v>
      </c>
      <c r="AF856">
        <v>35.754975227659145</v>
      </c>
      <c r="AG856">
        <v>30.685592064046812</v>
      </c>
      <c r="AH856">
        <v>66.44056729170596</v>
      </c>
      <c r="AI856">
        <v>5.1844714080105758</v>
      </c>
      <c r="AJ856">
        <v>3.8050134159418048</v>
      </c>
      <c r="AK856">
        <v>8.989484823952381</v>
      </c>
      <c r="AL856">
        <v>148.3505653480278</v>
      </c>
      <c r="AM856">
        <v>38.97672587350516</v>
      </c>
      <c r="AN856">
        <v>2.6273392205864838</v>
      </c>
      <c r="AO856">
        <v>14.499999999999998</v>
      </c>
      <c r="AP856">
        <v>13.530114492376669</v>
      </c>
      <c r="AQ856">
        <v>20.072001341676227</v>
      </c>
      <c r="AR856">
        <v>51.497402339072259</v>
      </c>
      <c r="AS856">
        <v>-0.57045724428138977</v>
      </c>
      <c r="AT856">
        <v>11.140308011089505</v>
      </c>
      <c r="AU856">
        <v>28.58194925670308</v>
      </c>
    </row>
    <row r="857" spans="1:47" x14ac:dyDescent="0.35">
      <c r="A857">
        <v>855</v>
      </c>
      <c r="B857">
        <v>46057</v>
      </c>
      <c r="C857" t="s">
        <v>16</v>
      </c>
      <c r="D857" t="s">
        <v>322</v>
      </c>
      <c r="E857" t="s">
        <v>290</v>
      </c>
      <c r="F857" t="s">
        <v>318</v>
      </c>
      <c r="G857" t="s">
        <v>319</v>
      </c>
      <c r="H857" t="s">
        <v>22</v>
      </c>
      <c r="I857" t="s">
        <v>23</v>
      </c>
      <c r="J857" t="s">
        <v>215</v>
      </c>
      <c r="K857" t="s">
        <v>321</v>
      </c>
      <c r="L857">
        <v>29</v>
      </c>
      <c r="M857">
        <v>63</v>
      </c>
      <c r="N857">
        <v>2</v>
      </c>
      <c r="O857">
        <v>2</v>
      </c>
      <c r="P857">
        <v>166</v>
      </c>
      <c r="Q857">
        <v>0.5</v>
      </c>
      <c r="R857">
        <v>447.68283514945477</v>
      </c>
      <c r="S857">
        <v>179.68283514945477</v>
      </c>
      <c r="T857">
        <v>0.33055555555555555</v>
      </c>
      <c r="U857">
        <v>40</v>
      </c>
      <c r="V857">
        <v>0.66319444444444442</v>
      </c>
      <c r="W857">
        <v>79.5</v>
      </c>
      <c r="X857">
        <v>14.5</v>
      </c>
      <c r="Y857">
        <v>39.5</v>
      </c>
      <c r="Z857">
        <v>0.33402777777777776</v>
      </c>
      <c r="AA857">
        <v>75.5</v>
      </c>
      <c r="AB857">
        <v>14.6</v>
      </c>
      <c r="AD857">
        <v>39.5</v>
      </c>
      <c r="AE857">
        <v>36</v>
      </c>
      <c r="AF857">
        <v>36.254975227659145</v>
      </c>
      <c r="AG857">
        <v>31.685592064046812</v>
      </c>
      <c r="AH857">
        <v>67.94056729170596</v>
      </c>
      <c r="AI857">
        <v>5.2569714080105756</v>
      </c>
      <c r="AJ857">
        <v>4.6260964413508345</v>
      </c>
      <c r="AK857">
        <v>9.8830678493614101</v>
      </c>
      <c r="AL857">
        <v>151.76049193180395</v>
      </c>
      <c r="AM857">
        <v>40.136190410219619</v>
      </c>
      <c r="AN857">
        <v>2.6447061352605172</v>
      </c>
      <c r="AO857">
        <v>14.499999999999998</v>
      </c>
      <c r="AP857">
        <v>14.546637220334064</v>
      </c>
      <c r="AQ857">
        <v>22.076048205113871</v>
      </c>
      <c r="AR857">
        <v>55.002848998575587</v>
      </c>
      <c r="AS857">
        <v>-0.72889715447699377</v>
      </c>
      <c r="AT857">
        <v>12.252588692388459</v>
      </c>
      <c r="AU857">
        <v>30.527532800593509</v>
      </c>
    </row>
    <row r="858" spans="1:47" x14ac:dyDescent="0.35">
      <c r="A858">
        <v>856</v>
      </c>
      <c r="B858">
        <v>46057</v>
      </c>
      <c r="C858" t="s">
        <v>16</v>
      </c>
      <c r="D858" t="s">
        <v>322</v>
      </c>
      <c r="E858" t="s">
        <v>290</v>
      </c>
      <c r="F858" t="s">
        <v>318</v>
      </c>
      <c r="G858" t="s">
        <v>319</v>
      </c>
      <c r="H858" t="s">
        <v>22</v>
      </c>
      <c r="I858" t="s">
        <v>23</v>
      </c>
      <c r="J858" t="s">
        <v>215</v>
      </c>
      <c r="K858" t="s">
        <v>321</v>
      </c>
      <c r="L858">
        <v>29</v>
      </c>
      <c r="M858">
        <v>63</v>
      </c>
      <c r="N858">
        <v>2</v>
      </c>
      <c r="O858">
        <v>3</v>
      </c>
      <c r="P858">
        <v>167</v>
      </c>
      <c r="Q858">
        <v>0.50029999999999997</v>
      </c>
      <c r="R858">
        <v>447.95144485054442</v>
      </c>
      <c r="S858">
        <v>193.65144485054435</v>
      </c>
      <c r="T858">
        <v>0.33194444444444443</v>
      </c>
      <c r="U858">
        <v>40</v>
      </c>
      <c r="V858">
        <v>0.66388888888888886</v>
      </c>
      <c r="W858">
        <v>79.5</v>
      </c>
      <c r="X858">
        <v>14.5</v>
      </c>
      <c r="Y858">
        <v>39</v>
      </c>
      <c r="Z858">
        <v>0.33402777777777776</v>
      </c>
      <c r="AA858">
        <v>74.5</v>
      </c>
      <c r="AB858">
        <v>15.1</v>
      </c>
      <c r="AD858">
        <v>39.5</v>
      </c>
      <c r="AE858">
        <v>35.5</v>
      </c>
      <c r="AF858">
        <v>36.254975227659145</v>
      </c>
      <c r="AG858">
        <v>31.185592064046812</v>
      </c>
      <c r="AH858">
        <v>67.44056729170596</v>
      </c>
      <c r="AI858">
        <v>5.2569714080105756</v>
      </c>
      <c r="AJ858">
        <v>4.7090244016710683</v>
      </c>
      <c r="AK858">
        <v>9.9659958096816439</v>
      </c>
      <c r="AL858">
        <v>150.55329783389132</v>
      </c>
      <c r="AM858">
        <v>43.230454344254802</v>
      </c>
      <c r="AN858">
        <v>2.8714385514126626</v>
      </c>
      <c r="AO858">
        <v>14.499999999999998</v>
      </c>
      <c r="AP858">
        <v>14.777449552841013</v>
      </c>
      <c r="AQ858">
        <v>22.247937637541771</v>
      </c>
      <c r="AR858">
        <v>51.463575793989897</v>
      </c>
      <c r="AS858">
        <v>-1.2960938425973396</v>
      </c>
      <c r="AT858">
        <v>12.347990301251556</v>
      </c>
      <c r="AU858">
        <v>28.563174938948027</v>
      </c>
    </row>
    <row r="859" spans="1:47" x14ac:dyDescent="0.35">
      <c r="A859">
        <v>857</v>
      </c>
      <c r="B859">
        <v>46057</v>
      </c>
      <c r="C859" t="s">
        <v>16</v>
      </c>
      <c r="D859" t="s">
        <v>326</v>
      </c>
      <c r="E859" t="s">
        <v>290</v>
      </c>
      <c r="F859" t="s">
        <v>318</v>
      </c>
      <c r="G859" t="s">
        <v>319</v>
      </c>
      <c r="H859" t="s">
        <v>22</v>
      </c>
      <c r="I859" t="s">
        <v>23</v>
      </c>
      <c r="J859" t="s">
        <v>215</v>
      </c>
      <c r="K859" t="s">
        <v>325</v>
      </c>
      <c r="L859">
        <v>29</v>
      </c>
      <c r="M859">
        <v>63</v>
      </c>
      <c r="N859">
        <v>2</v>
      </c>
      <c r="O859">
        <v>1</v>
      </c>
      <c r="P859">
        <v>168</v>
      </c>
      <c r="Q859">
        <v>0.5</v>
      </c>
      <c r="R859">
        <v>464.70529911615881</v>
      </c>
      <c r="S859">
        <v>208.20529911615887</v>
      </c>
      <c r="T859">
        <v>0.33194444444444443</v>
      </c>
      <c r="U859">
        <v>40</v>
      </c>
      <c r="V859">
        <v>0.6645833333333333</v>
      </c>
      <c r="W859">
        <v>74.5</v>
      </c>
      <c r="X859">
        <v>13.1</v>
      </c>
      <c r="Y859">
        <v>39</v>
      </c>
      <c r="Z859">
        <v>0.3347222222222222</v>
      </c>
      <c r="AA859">
        <v>72.5</v>
      </c>
      <c r="AB859">
        <v>14.6</v>
      </c>
      <c r="AC859" t="s">
        <v>569</v>
      </c>
      <c r="AD859">
        <v>34.5</v>
      </c>
      <c r="AE859">
        <v>33.5</v>
      </c>
      <c r="AF859">
        <v>31.254975227659141</v>
      </c>
      <c r="AG859">
        <v>29.185592064046812</v>
      </c>
      <c r="AH859">
        <v>60.440567291705953</v>
      </c>
      <c r="AI859">
        <v>4.0944017548233473</v>
      </c>
      <c r="AJ859">
        <v>4.2610964413508343</v>
      </c>
      <c r="AK859">
        <v>8.3554981961741817</v>
      </c>
      <c r="AL859">
        <v>130.06214348461322</v>
      </c>
      <c r="AM859">
        <v>44.803728193363121</v>
      </c>
      <c r="AN859">
        <v>3.4447939264251439</v>
      </c>
      <c r="AO859">
        <v>13.099999999999998</v>
      </c>
      <c r="AP859">
        <v>13.824321263974598</v>
      </c>
      <c r="AQ859">
        <v>17.980208558124538</v>
      </c>
      <c r="AR859">
        <v>40.131054452714018</v>
      </c>
      <c r="AS859">
        <v>-1.178311544048896</v>
      </c>
      <c r="AT859">
        <v>9.97932682603175</v>
      </c>
      <c r="AU859">
        <v>22.273429530156847</v>
      </c>
    </row>
    <row r="860" spans="1:47" x14ac:dyDescent="0.35">
      <c r="A860">
        <v>858</v>
      </c>
      <c r="B860">
        <v>46057</v>
      </c>
      <c r="C860" t="s">
        <v>16</v>
      </c>
      <c r="D860" t="s">
        <v>326</v>
      </c>
      <c r="E860" t="s">
        <v>290</v>
      </c>
      <c r="F860" t="s">
        <v>318</v>
      </c>
      <c r="G860" t="s">
        <v>319</v>
      </c>
      <c r="H860" t="s">
        <v>22</v>
      </c>
      <c r="I860" t="s">
        <v>23</v>
      </c>
      <c r="J860" t="s">
        <v>215</v>
      </c>
      <c r="K860" t="s">
        <v>325</v>
      </c>
      <c r="L860">
        <v>29</v>
      </c>
      <c r="M860">
        <v>63</v>
      </c>
      <c r="N860">
        <v>2</v>
      </c>
      <c r="O860">
        <v>2</v>
      </c>
      <c r="P860">
        <v>169</v>
      </c>
      <c r="Q860">
        <v>0.50019999999999998</v>
      </c>
      <c r="R860">
        <v>464.89118123580528</v>
      </c>
      <c r="S860">
        <v>209.39118123580533</v>
      </c>
      <c r="T860">
        <v>0.33194444444444443</v>
      </c>
      <c r="U860">
        <v>39.5</v>
      </c>
      <c r="V860">
        <v>0.6645833333333333</v>
      </c>
      <c r="W860">
        <v>73</v>
      </c>
      <c r="X860">
        <v>13</v>
      </c>
      <c r="Y860">
        <v>39</v>
      </c>
      <c r="Z860">
        <v>0.33541666666666664</v>
      </c>
      <c r="AA860">
        <v>72.5</v>
      </c>
      <c r="AB860">
        <v>14.3</v>
      </c>
      <c r="AD860">
        <v>33.5</v>
      </c>
      <c r="AE860">
        <v>33.5</v>
      </c>
      <c r="AF860">
        <v>30.254975227659141</v>
      </c>
      <c r="AG860">
        <v>29.185592064046812</v>
      </c>
      <c r="AH860">
        <v>59.440567291705953</v>
      </c>
      <c r="AI860">
        <v>3.9331467795956887</v>
      </c>
      <c r="AJ860">
        <v>4.1735396651586942</v>
      </c>
      <c r="AK860">
        <v>8.1066864447543825</v>
      </c>
      <c r="AL860">
        <v>127.8590984102925</v>
      </c>
      <c r="AM860">
        <v>45.040901976068355</v>
      </c>
      <c r="AN860">
        <v>3.5226982307926722</v>
      </c>
      <c r="AO860">
        <v>13</v>
      </c>
      <c r="AP860">
        <v>13.638305982126033</v>
      </c>
      <c r="AQ860">
        <v>17.43781506718333</v>
      </c>
      <c r="AR860">
        <v>38.715510352009808</v>
      </c>
      <c r="AS860">
        <v>-1.2225590948757499</v>
      </c>
      <c r="AT860">
        <v>9.6782890545889479</v>
      </c>
      <c r="AU860">
        <v>21.487778063883638</v>
      </c>
    </row>
    <row r="861" spans="1:47" x14ac:dyDescent="0.35">
      <c r="A861">
        <v>859</v>
      </c>
      <c r="B861">
        <v>46057</v>
      </c>
      <c r="C861" t="s">
        <v>16</v>
      </c>
      <c r="D861" t="s">
        <v>326</v>
      </c>
      <c r="E861" t="s">
        <v>290</v>
      </c>
      <c r="F861" t="s">
        <v>318</v>
      </c>
      <c r="G861" t="s">
        <v>319</v>
      </c>
      <c r="H861" t="s">
        <v>22</v>
      </c>
      <c r="I861" t="s">
        <v>23</v>
      </c>
      <c r="J861" t="s">
        <v>215</v>
      </c>
      <c r="K861" t="s">
        <v>325</v>
      </c>
      <c r="L861">
        <v>29</v>
      </c>
      <c r="M861">
        <v>63</v>
      </c>
      <c r="N861">
        <v>2</v>
      </c>
      <c r="O861">
        <v>3</v>
      </c>
      <c r="P861">
        <v>170</v>
      </c>
      <c r="Q861">
        <v>0.50039999999999996</v>
      </c>
      <c r="R861">
        <v>465.07706335545174</v>
      </c>
      <c r="S861">
        <v>138.8770633554517</v>
      </c>
      <c r="T861">
        <v>0.33263888888888887</v>
      </c>
      <c r="U861">
        <v>40</v>
      </c>
      <c r="V861">
        <v>0.66527777777777775</v>
      </c>
      <c r="W861">
        <v>76.5</v>
      </c>
      <c r="X861">
        <v>12.7</v>
      </c>
      <c r="Y861">
        <v>39.5</v>
      </c>
      <c r="Z861">
        <v>0.33541666666666664</v>
      </c>
      <c r="AA861">
        <v>73.5</v>
      </c>
      <c r="AB861">
        <v>14.2</v>
      </c>
      <c r="AC861" t="s">
        <v>569</v>
      </c>
      <c r="AD861">
        <v>36.5</v>
      </c>
      <c r="AE861">
        <v>34</v>
      </c>
      <c r="AF861">
        <v>33.254975227659145</v>
      </c>
      <c r="AG861">
        <v>29.685592064046812</v>
      </c>
      <c r="AH861">
        <v>62.94056729170596</v>
      </c>
      <c r="AI861">
        <v>4.223381853912711</v>
      </c>
      <c r="AJ861">
        <v>4.2153540730946473</v>
      </c>
      <c r="AK861">
        <v>8.4387359270073574</v>
      </c>
      <c r="AL861">
        <v>135.33363016787044</v>
      </c>
      <c r="AM861">
        <v>29.861086322657442</v>
      </c>
      <c r="AN861">
        <v>2.206479371433189</v>
      </c>
      <c r="AO861">
        <v>12.7</v>
      </c>
      <c r="AP861">
        <v>13.407467218871696</v>
      </c>
      <c r="AQ861">
        <v>18.144812100866286</v>
      </c>
      <c r="AR861">
        <v>60.764072360953264</v>
      </c>
      <c r="AS861">
        <v>-0.23387276492135625</v>
      </c>
      <c r="AT861">
        <v>10.070684640065581</v>
      </c>
      <c r="AU861">
        <v>33.725111441857798</v>
      </c>
    </row>
    <row r="862" spans="1:47" x14ac:dyDescent="0.35">
      <c r="A862">
        <v>860</v>
      </c>
      <c r="B862">
        <v>46057</v>
      </c>
      <c r="C862" t="s">
        <v>16</v>
      </c>
      <c r="D862" t="s">
        <v>328</v>
      </c>
      <c r="E862" t="s">
        <v>264</v>
      </c>
      <c r="F862" t="s">
        <v>329</v>
      </c>
      <c r="G862" t="s">
        <v>330</v>
      </c>
      <c r="H862" t="s">
        <v>22</v>
      </c>
      <c r="I862" t="s">
        <v>23</v>
      </c>
      <c r="J862" t="s">
        <v>215</v>
      </c>
      <c r="K862" t="s">
        <v>327</v>
      </c>
      <c r="L862">
        <v>29</v>
      </c>
      <c r="M862">
        <v>63</v>
      </c>
      <c r="N862">
        <v>2</v>
      </c>
      <c r="O862">
        <v>1</v>
      </c>
      <c r="P862">
        <v>171</v>
      </c>
      <c r="Q862">
        <v>0.50039999999999996</v>
      </c>
      <c r="R862">
        <v>453.0763552010618</v>
      </c>
      <c r="S862">
        <v>205.37635520106187</v>
      </c>
      <c r="T862">
        <v>0.33263888888888887</v>
      </c>
      <c r="U862">
        <v>40.5</v>
      </c>
      <c r="V862">
        <v>0.66527777777777775</v>
      </c>
      <c r="W862">
        <v>85.5</v>
      </c>
      <c r="X862">
        <v>14.6</v>
      </c>
      <c r="Y862">
        <v>39.5</v>
      </c>
      <c r="Z862">
        <v>0.33611111111111114</v>
      </c>
      <c r="AA862">
        <v>84</v>
      </c>
      <c r="AB862">
        <v>17.899999999999999</v>
      </c>
      <c r="AC862" t="s">
        <v>569</v>
      </c>
      <c r="AD862">
        <v>45</v>
      </c>
      <c r="AE862">
        <v>44.5</v>
      </c>
      <c r="AF862">
        <v>41.754975227659145</v>
      </c>
      <c r="AG862">
        <v>40.185592064046816</v>
      </c>
      <c r="AH862">
        <v>81.94056729170596</v>
      </c>
      <c r="AI862">
        <v>6.0962263832382346</v>
      </c>
      <c r="AJ862">
        <v>7.19322097946438</v>
      </c>
      <c r="AK862">
        <v>13.289447362702614</v>
      </c>
      <c r="AL862">
        <v>180.85377078515424</v>
      </c>
      <c r="AM862">
        <v>45.329303293684781</v>
      </c>
      <c r="AN862">
        <v>2.5064063136142103</v>
      </c>
      <c r="AO862">
        <v>14.599999999999998</v>
      </c>
      <c r="AP862">
        <v>16.218398043782855</v>
      </c>
      <c r="AQ862">
        <v>29.331584423126987</v>
      </c>
      <c r="AR862">
        <v>64.707776850418583</v>
      </c>
      <c r="AS862">
        <v>-2.3343624833947487</v>
      </c>
      <c r="AT862">
        <v>16.279536821694009</v>
      </c>
      <c r="AU862">
        <v>35.913935663692527</v>
      </c>
    </row>
    <row r="863" spans="1:47" x14ac:dyDescent="0.35">
      <c r="A863">
        <v>861</v>
      </c>
      <c r="B863">
        <v>46057</v>
      </c>
      <c r="C863" t="s">
        <v>16</v>
      </c>
      <c r="D863" t="s">
        <v>328</v>
      </c>
      <c r="E863" t="s">
        <v>264</v>
      </c>
      <c r="F863" t="s">
        <v>329</v>
      </c>
      <c r="G863" t="s">
        <v>330</v>
      </c>
      <c r="H863" t="s">
        <v>22</v>
      </c>
      <c r="I863" t="s">
        <v>23</v>
      </c>
      <c r="J863" t="s">
        <v>215</v>
      </c>
      <c r="K863" t="s">
        <v>327</v>
      </c>
      <c r="L863">
        <v>29</v>
      </c>
      <c r="M863">
        <v>63</v>
      </c>
      <c r="N863">
        <v>2</v>
      </c>
      <c r="O863">
        <v>2</v>
      </c>
      <c r="P863">
        <v>172</v>
      </c>
      <c r="Q863">
        <v>0.50009999999999999</v>
      </c>
      <c r="R863">
        <v>452.80472669074948</v>
      </c>
      <c r="S863">
        <v>177.80472669074948</v>
      </c>
      <c r="T863">
        <v>0.33263888888888887</v>
      </c>
      <c r="U863">
        <v>41</v>
      </c>
      <c r="V863">
        <v>0.66527777777777775</v>
      </c>
      <c r="W863">
        <v>86</v>
      </c>
      <c r="X863">
        <v>14.4</v>
      </c>
      <c r="Y863">
        <v>40.5</v>
      </c>
      <c r="Z863">
        <v>0.33680555555555558</v>
      </c>
      <c r="AA863">
        <v>82</v>
      </c>
      <c r="AB863">
        <v>18.399999999999999</v>
      </c>
      <c r="AD863">
        <v>45</v>
      </c>
      <c r="AE863">
        <v>41.5</v>
      </c>
      <c r="AF863">
        <v>41.754975227659145</v>
      </c>
      <c r="AG863">
        <v>37.185592064046816</v>
      </c>
      <c r="AH863">
        <v>78.94056729170596</v>
      </c>
      <c r="AI863">
        <v>6.0127164327829172</v>
      </c>
      <c r="AJ863">
        <v>6.8421489397846136</v>
      </c>
      <c r="AK863">
        <v>12.854865372567531</v>
      </c>
      <c r="AL863">
        <v>174.33688881436908</v>
      </c>
      <c r="AM863">
        <v>39.267418427852277</v>
      </c>
      <c r="AN863">
        <v>2.2523872425911851</v>
      </c>
      <c r="AO863">
        <v>14.4</v>
      </c>
      <c r="AP863">
        <v>16.28423232007626</v>
      </c>
      <c r="AQ863">
        <v>28.3894239941249</v>
      </c>
      <c r="AR863">
        <v>72.297658289622518</v>
      </c>
      <c r="AS863">
        <v>-0.73826778272240634</v>
      </c>
      <c r="AT863">
        <v>15.756621483244409</v>
      </c>
      <c r="AU863">
        <v>40.126451175278383</v>
      </c>
    </row>
    <row r="864" spans="1:47" x14ac:dyDescent="0.35">
      <c r="A864">
        <v>862</v>
      </c>
      <c r="B864">
        <v>46057</v>
      </c>
      <c r="C864" t="s">
        <v>16</v>
      </c>
      <c r="D864" t="s">
        <v>328</v>
      </c>
      <c r="E864" t="s">
        <v>264</v>
      </c>
      <c r="F864" t="s">
        <v>329</v>
      </c>
      <c r="G864" t="s">
        <v>330</v>
      </c>
      <c r="H864" t="s">
        <v>22</v>
      </c>
      <c r="I864" t="s">
        <v>23</v>
      </c>
      <c r="J864" t="s">
        <v>215</v>
      </c>
      <c r="K864" t="s">
        <v>327</v>
      </c>
      <c r="L864">
        <v>29</v>
      </c>
      <c r="M864">
        <v>63</v>
      </c>
      <c r="N864">
        <v>2</v>
      </c>
      <c r="O864">
        <v>3</v>
      </c>
      <c r="P864">
        <v>173</v>
      </c>
      <c r="Q864">
        <v>0.50049999999999994</v>
      </c>
      <c r="R864">
        <v>453.16689803783254</v>
      </c>
      <c r="S864">
        <v>214.46689803783252</v>
      </c>
      <c r="T864">
        <v>0.33333333333333331</v>
      </c>
      <c r="U864">
        <v>40.5</v>
      </c>
      <c r="V864">
        <v>0.66597222222222219</v>
      </c>
      <c r="W864">
        <v>83</v>
      </c>
      <c r="X864">
        <v>14.9</v>
      </c>
      <c r="Y864">
        <v>40</v>
      </c>
      <c r="Z864">
        <v>0.33680555555555558</v>
      </c>
      <c r="AA864">
        <v>85</v>
      </c>
      <c r="AB864">
        <v>18.600000000000001</v>
      </c>
      <c r="AD864">
        <v>42.5</v>
      </c>
      <c r="AE864">
        <v>45</v>
      </c>
      <c r="AF864">
        <v>39.254975227659145</v>
      </c>
      <c r="AG864">
        <v>40.685592064046816</v>
      </c>
      <c r="AH864">
        <v>79.94056729170596</v>
      </c>
      <c r="AI864">
        <v>5.848991308921212</v>
      </c>
      <c r="AJ864">
        <v>7.5675201239127086</v>
      </c>
      <c r="AK864">
        <v>13.416511432833921</v>
      </c>
      <c r="AL864">
        <v>176.40425114420458</v>
      </c>
      <c r="AM864">
        <v>47.326249769445383</v>
      </c>
      <c r="AN864">
        <v>2.68282932312996</v>
      </c>
      <c r="AO864">
        <v>14.899999999999999</v>
      </c>
      <c r="AP864">
        <v>16.783107610278268</v>
      </c>
      <c r="AQ864">
        <v>29.606115298637384</v>
      </c>
      <c r="AR864">
        <v>62.557492813959627</v>
      </c>
      <c r="AS864">
        <v>-7.3220685908271657</v>
      </c>
      <c r="AT864">
        <v>16.431906207271407</v>
      </c>
      <c r="AU864">
        <v>34.720490821311849</v>
      </c>
    </row>
    <row r="865" spans="1:48" x14ac:dyDescent="0.35">
      <c r="A865">
        <v>863</v>
      </c>
      <c r="B865">
        <v>46057</v>
      </c>
      <c r="C865" t="s">
        <v>16</v>
      </c>
      <c r="D865" t="s">
        <v>332</v>
      </c>
      <c r="E865" t="s">
        <v>333</v>
      </c>
      <c r="F865" t="s">
        <v>334</v>
      </c>
      <c r="G865" t="s">
        <v>335</v>
      </c>
      <c r="H865" t="s">
        <v>22</v>
      </c>
      <c r="I865" t="s">
        <v>23</v>
      </c>
      <c r="J865" t="s">
        <v>303</v>
      </c>
      <c r="K865" t="s">
        <v>331</v>
      </c>
      <c r="L865">
        <v>29</v>
      </c>
      <c r="M865">
        <v>63</v>
      </c>
      <c r="N865">
        <v>2</v>
      </c>
      <c r="O865">
        <v>1</v>
      </c>
      <c r="P865">
        <v>174</v>
      </c>
      <c r="Q865">
        <v>0.50039999999999996</v>
      </c>
      <c r="R865">
        <v>455.53207672480863</v>
      </c>
      <c r="S865">
        <v>181.03207672480869</v>
      </c>
      <c r="T865">
        <v>0.33333333333333331</v>
      </c>
      <c r="U865">
        <v>40.5</v>
      </c>
      <c r="V865">
        <v>0.66597222222222219</v>
      </c>
      <c r="W865">
        <v>85.5</v>
      </c>
      <c r="X865">
        <v>14.7</v>
      </c>
      <c r="Y865">
        <v>39.5</v>
      </c>
      <c r="Z865">
        <v>0.33750000000000002</v>
      </c>
      <c r="AA865">
        <v>83</v>
      </c>
      <c r="AB865">
        <v>16.5</v>
      </c>
      <c r="AD865">
        <v>45</v>
      </c>
      <c r="AE865">
        <v>43.5</v>
      </c>
      <c r="AF865">
        <v>41.754975227659145</v>
      </c>
      <c r="AG865">
        <v>39.185592064046816</v>
      </c>
      <c r="AH865">
        <v>80.94056729170596</v>
      </c>
      <c r="AI865">
        <v>6.1379813584658942</v>
      </c>
      <c r="AJ865">
        <v>6.4656226905677245</v>
      </c>
      <c r="AK865">
        <v>12.603604049033619</v>
      </c>
      <c r="AL865">
        <v>177.68357362154092</v>
      </c>
      <c r="AM865">
        <v>39.740796746168968</v>
      </c>
      <c r="AN865">
        <v>2.236604990330469</v>
      </c>
      <c r="AO865">
        <v>14.7</v>
      </c>
      <c r="AP865">
        <v>15.571430335558224</v>
      </c>
      <c r="AQ865">
        <v>27.667873884208554</v>
      </c>
      <c r="AR865">
        <v>69.620833374146542</v>
      </c>
      <c r="AS865">
        <v>-1.00128847790084</v>
      </c>
      <c r="AT865">
        <v>15.356148688674917</v>
      </c>
      <c r="AU865">
        <v>38.640767035339465</v>
      </c>
    </row>
    <row r="866" spans="1:48" x14ac:dyDescent="0.35">
      <c r="A866">
        <v>864</v>
      </c>
      <c r="B866">
        <v>46057</v>
      </c>
      <c r="C866" t="s">
        <v>16</v>
      </c>
      <c r="D866" t="s">
        <v>332</v>
      </c>
      <c r="E866" t="s">
        <v>333</v>
      </c>
      <c r="F866" t="s">
        <v>334</v>
      </c>
      <c r="G866" t="s">
        <v>335</v>
      </c>
      <c r="H866" t="s">
        <v>22</v>
      </c>
      <c r="I866" t="s">
        <v>23</v>
      </c>
      <c r="J866" t="s">
        <v>303</v>
      </c>
      <c r="K866" t="s">
        <v>331</v>
      </c>
      <c r="L866">
        <v>29</v>
      </c>
      <c r="M866">
        <v>63</v>
      </c>
      <c r="N866">
        <v>2</v>
      </c>
      <c r="O866">
        <v>2</v>
      </c>
      <c r="P866">
        <v>175</v>
      </c>
      <c r="Q866">
        <v>0.50049999999999994</v>
      </c>
      <c r="R866">
        <v>455.62311031328278</v>
      </c>
      <c r="S866">
        <v>101.92311031328279</v>
      </c>
      <c r="T866">
        <v>0.33402777777777776</v>
      </c>
      <c r="U866">
        <v>39.5</v>
      </c>
      <c r="V866">
        <v>0.66666666666666663</v>
      </c>
      <c r="W866">
        <v>82.5</v>
      </c>
      <c r="X866">
        <v>14.8</v>
      </c>
      <c r="Y866">
        <v>38.5</v>
      </c>
      <c r="Z866">
        <v>0.33819444444444446</v>
      </c>
      <c r="AA866">
        <v>86</v>
      </c>
      <c r="AB866">
        <v>16.3</v>
      </c>
      <c r="AD866">
        <v>43</v>
      </c>
      <c r="AE866">
        <v>47.5</v>
      </c>
      <c r="AF866">
        <v>39.754975227659145</v>
      </c>
      <c r="AG866">
        <v>43.185592064046816</v>
      </c>
      <c r="AH866">
        <v>82.94056729170596</v>
      </c>
      <c r="AI866">
        <v>5.8837363336935544</v>
      </c>
      <c r="AJ866">
        <v>7.0392515064396308</v>
      </c>
      <c r="AK866">
        <v>12.922987840133185</v>
      </c>
      <c r="AL866">
        <v>182.03766537363896</v>
      </c>
      <c r="AM866">
        <v>22.370048403207925</v>
      </c>
      <c r="AN866">
        <v>1.2288692209544976</v>
      </c>
      <c r="AO866">
        <v>14.800000000000002</v>
      </c>
      <c r="AP866">
        <v>15.581021763068508</v>
      </c>
      <c r="AQ866">
        <v>28.363328258848508</v>
      </c>
      <c r="AR866">
        <v>126.79153727169017</v>
      </c>
      <c r="AS866">
        <v>-0.28690571605508774</v>
      </c>
      <c r="AT866">
        <v>15.742137898682701</v>
      </c>
      <c r="AU866">
        <v>70.371496811000355</v>
      </c>
    </row>
    <row r="867" spans="1:48" x14ac:dyDescent="0.35">
      <c r="A867">
        <v>865</v>
      </c>
      <c r="B867">
        <v>46057</v>
      </c>
      <c r="C867" t="s">
        <v>16</v>
      </c>
      <c r="D867" t="s">
        <v>332</v>
      </c>
      <c r="E867" t="s">
        <v>333</v>
      </c>
      <c r="F867" t="s">
        <v>334</v>
      </c>
      <c r="G867" t="s">
        <v>335</v>
      </c>
      <c r="H867" t="s">
        <v>22</v>
      </c>
      <c r="I867" t="s">
        <v>23</v>
      </c>
      <c r="J867" t="s">
        <v>303</v>
      </c>
      <c r="K867" t="s">
        <v>331</v>
      </c>
      <c r="L867">
        <v>29</v>
      </c>
      <c r="M867">
        <v>63</v>
      </c>
      <c r="N867">
        <v>2</v>
      </c>
      <c r="O867">
        <v>3</v>
      </c>
      <c r="P867">
        <v>176</v>
      </c>
      <c r="Q867">
        <v>0.50019999999999998</v>
      </c>
      <c r="R867">
        <v>455.35000954786028</v>
      </c>
      <c r="S867">
        <v>145.85000954786028</v>
      </c>
      <c r="T867">
        <v>0.33750000000000002</v>
      </c>
      <c r="U867">
        <v>41</v>
      </c>
      <c r="V867">
        <v>0.66666666666666663</v>
      </c>
      <c r="W867">
        <v>85.5</v>
      </c>
      <c r="X867">
        <v>14.6</v>
      </c>
      <c r="Y867">
        <v>39.5</v>
      </c>
      <c r="Z867">
        <v>0.33819444444444446</v>
      </c>
      <c r="AA867">
        <v>88</v>
      </c>
      <c r="AB867">
        <v>16.2</v>
      </c>
      <c r="AD867">
        <v>44.5</v>
      </c>
      <c r="AE867">
        <v>48.5</v>
      </c>
      <c r="AF867">
        <v>41.254975227659145</v>
      </c>
      <c r="AG867">
        <v>44.185592064046816</v>
      </c>
      <c r="AH867">
        <v>85.44056729170596</v>
      </c>
      <c r="AI867">
        <v>6.0232263832382351</v>
      </c>
      <c r="AJ867">
        <v>7.1580659143755847</v>
      </c>
      <c r="AK867">
        <v>13.181292297613819</v>
      </c>
      <c r="AL867">
        <v>187.63712638667596</v>
      </c>
      <c r="AM867">
        <v>32.03030778294746</v>
      </c>
      <c r="AN867">
        <v>1.7070346577862492</v>
      </c>
      <c r="AO867">
        <v>14.6</v>
      </c>
      <c r="AP867">
        <v>15.427440050358113</v>
      </c>
      <c r="AQ867">
        <v>28.947605185519116</v>
      </c>
      <c r="AR867">
        <v>90.375669761532748</v>
      </c>
      <c r="AS867">
        <v>-0.48831272434599904</v>
      </c>
      <c r="AT867">
        <v>16.066421701582236</v>
      </c>
      <c r="AU867">
        <v>50.160060310553128</v>
      </c>
    </row>
    <row r="868" spans="1:48" x14ac:dyDescent="0.35">
      <c r="A868">
        <v>866</v>
      </c>
      <c r="B868">
        <v>46057</v>
      </c>
      <c r="C868" t="s">
        <v>16</v>
      </c>
      <c r="D868" t="s">
        <v>337</v>
      </c>
      <c r="E868" t="s">
        <v>264</v>
      </c>
      <c r="F868" t="s">
        <v>265</v>
      </c>
      <c r="G868" t="s">
        <v>266</v>
      </c>
      <c r="H868" t="s">
        <v>22</v>
      </c>
      <c r="I868" t="s">
        <v>23</v>
      </c>
      <c r="J868" t="s">
        <v>215</v>
      </c>
      <c r="K868" t="s">
        <v>336</v>
      </c>
      <c r="L868">
        <v>29</v>
      </c>
      <c r="M868">
        <v>63</v>
      </c>
      <c r="N868">
        <v>2</v>
      </c>
      <c r="O868">
        <v>1</v>
      </c>
      <c r="P868">
        <v>177</v>
      </c>
      <c r="Q868">
        <v>0.50029999999999997</v>
      </c>
      <c r="R868">
        <v>461.15741004683775</v>
      </c>
      <c r="S868">
        <v>277.55741004683773</v>
      </c>
      <c r="T868">
        <v>0.33819444444444446</v>
      </c>
      <c r="U868">
        <v>41.5</v>
      </c>
      <c r="V868">
        <v>0.66736111111111107</v>
      </c>
      <c r="W868">
        <v>90</v>
      </c>
      <c r="X868">
        <v>15.2</v>
      </c>
      <c r="Y868">
        <v>40.5</v>
      </c>
      <c r="Z868">
        <v>0.33888888888888891</v>
      </c>
      <c r="AA868">
        <v>85.5</v>
      </c>
      <c r="AB868">
        <v>18.2</v>
      </c>
      <c r="AD868">
        <v>48.5</v>
      </c>
      <c r="AE868">
        <v>45</v>
      </c>
      <c r="AF868">
        <v>45.254975227659145</v>
      </c>
      <c r="AG868">
        <v>40.685592064046816</v>
      </c>
      <c r="AH868">
        <v>85.94056729170596</v>
      </c>
      <c r="AI868">
        <v>6.8787562346041895</v>
      </c>
      <c r="AJ868">
        <v>7.4047777556565206</v>
      </c>
      <c r="AK868">
        <v>14.283533990260711</v>
      </c>
      <c r="AL868">
        <v>186.35842213394631</v>
      </c>
      <c r="AM868">
        <v>60.187130034112954</v>
      </c>
      <c r="AN868">
        <v>3.2296436804371029</v>
      </c>
      <c r="AO868">
        <v>15.2</v>
      </c>
      <c r="AP868">
        <v>16.620246340448816</v>
      </c>
      <c r="AQ868">
        <v>30.973228834835368</v>
      </c>
      <c r="AR868">
        <v>51.461548037396547</v>
      </c>
      <c r="AS868">
        <v>0.92337294294495209</v>
      </c>
      <c r="AT868">
        <v>17.190677872344612</v>
      </c>
      <c r="AU868">
        <v>28.562049498956423</v>
      </c>
    </row>
    <row r="869" spans="1:48" x14ac:dyDescent="0.35">
      <c r="A869">
        <v>867</v>
      </c>
      <c r="B869">
        <v>46057</v>
      </c>
      <c r="C869" t="s">
        <v>16</v>
      </c>
      <c r="D869" t="s">
        <v>337</v>
      </c>
      <c r="E869" t="s">
        <v>264</v>
      </c>
      <c r="F869" t="s">
        <v>265</v>
      </c>
      <c r="G869" t="s">
        <v>266</v>
      </c>
      <c r="H869" t="s">
        <v>22</v>
      </c>
      <c r="I869" t="s">
        <v>23</v>
      </c>
      <c r="J869" t="s">
        <v>215</v>
      </c>
      <c r="K869" t="s">
        <v>336</v>
      </c>
      <c r="L869">
        <v>29</v>
      </c>
      <c r="M869">
        <v>63</v>
      </c>
      <c r="N869">
        <v>2</v>
      </c>
      <c r="O869">
        <v>2</v>
      </c>
      <c r="P869">
        <v>178</v>
      </c>
      <c r="Q869">
        <v>0.50019999999999998</v>
      </c>
      <c r="R869">
        <v>461.0652338705342</v>
      </c>
      <c r="S869">
        <v>272.66523387053417</v>
      </c>
      <c r="T869">
        <v>0.33888888888888891</v>
      </c>
      <c r="U869">
        <v>40.5</v>
      </c>
      <c r="V869">
        <v>0.66736111111111107</v>
      </c>
      <c r="W869">
        <v>91</v>
      </c>
      <c r="X869">
        <v>15.3</v>
      </c>
      <c r="Y869">
        <v>40.5</v>
      </c>
      <c r="Z869">
        <v>0.33888888888888891</v>
      </c>
      <c r="AA869">
        <v>85</v>
      </c>
      <c r="AB869">
        <v>18.3</v>
      </c>
      <c r="AD869">
        <v>50.5</v>
      </c>
      <c r="AE869">
        <v>44.5</v>
      </c>
      <c r="AF869">
        <v>47.254975227659145</v>
      </c>
      <c r="AG869">
        <v>40.185592064046816</v>
      </c>
      <c r="AH869">
        <v>87.44056729170596</v>
      </c>
      <c r="AI869">
        <v>7.230011209831849</v>
      </c>
      <c r="AJ869">
        <v>7.3539633477205673</v>
      </c>
      <c r="AK869">
        <v>14.583974557552416</v>
      </c>
      <c r="AL869">
        <v>189.64901464736988</v>
      </c>
      <c r="AM869">
        <v>59.13810320972884</v>
      </c>
      <c r="AN869">
        <v>3.1182921419174896</v>
      </c>
      <c r="AO869">
        <v>15.299999999999999</v>
      </c>
      <c r="AP869">
        <v>16.678728202779805</v>
      </c>
      <c r="AQ869">
        <v>31.631043692284887</v>
      </c>
      <c r="AR869">
        <v>53.486740317165342</v>
      </c>
      <c r="AS869">
        <v>1.1013786927676263</v>
      </c>
      <c r="AT869">
        <v>17.555776499108983</v>
      </c>
      <c r="AU869">
        <v>29.686066252156824</v>
      </c>
    </row>
    <row r="870" spans="1:48" x14ac:dyDescent="0.35">
      <c r="A870">
        <v>868</v>
      </c>
      <c r="B870">
        <v>46057</v>
      </c>
      <c r="C870" t="s">
        <v>16</v>
      </c>
      <c r="D870" t="s">
        <v>337</v>
      </c>
      <c r="E870" t="s">
        <v>264</v>
      </c>
      <c r="F870" t="s">
        <v>265</v>
      </c>
      <c r="G870" t="s">
        <v>266</v>
      </c>
      <c r="H870" t="s">
        <v>22</v>
      </c>
      <c r="I870" t="s">
        <v>23</v>
      </c>
      <c r="J870" t="s">
        <v>215</v>
      </c>
      <c r="K870" t="s">
        <v>336</v>
      </c>
      <c r="L870">
        <v>29</v>
      </c>
      <c r="M870">
        <v>63</v>
      </c>
      <c r="N870">
        <v>2</v>
      </c>
      <c r="O870">
        <v>3</v>
      </c>
      <c r="P870">
        <v>179</v>
      </c>
      <c r="Q870">
        <v>0.5</v>
      </c>
      <c r="R870">
        <v>460.88088151792704</v>
      </c>
      <c r="S870">
        <v>267.08088151792708</v>
      </c>
      <c r="T870">
        <v>0.33888888888888891</v>
      </c>
      <c r="U870">
        <v>40.5</v>
      </c>
      <c r="V870">
        <v>0.66736111111111107</v>
      </c>
      <c r="W870">
        <v>85.5</v>
      </c>
      <c r="X870">
        <v>15.5</v>
      </c>
      <c r="Y870">
        <v>41</v>
      </c>
      <c r="Z870">
        <v>0.34027777777777779</v>
      </c>
      <c r="AA870">
        <v>59</v>
      </c>
      <c r="AB870">
        <v>18.8</v>
      </c>
      <c r="AC870" t="s">
        <v>586</v>
      </c>
      <c r="AD870">
        <v>45</v>
      </c>
      <c r="AE870">
        <v>18</v>
      </c>
      <c r="AF870">
        <v>41.754975227659145</v>
      </c>
      <c r="AG870">
        <v>13.685592064046812</v>
      </c>
      <c r="AH870">
        <v>55.44056729170596</v>
      </c>
      <c r="AI870">
        <v>6.4720211602871673</v>
      </c>
      <c r="AJ870">
        <v>2.5728913080408007</v>
      </c>
      <c r="AK870">
        <v>9.0449124683279685</v>
      </c>
      <c r="AL870">
        <v>120.29261684518252</v>
      </c>
      <c r="AM870">
        <v>57.950089107251969</v>
      </c>
      <c r="AN870">
        <v>4.8174269233692169</v>
      </c>
      <c r="AO870">
        <v>15.499999999999998</v>
      </c>
      <c r="AP870">
        <v>16.314610239713598</v>
      </c>
      <c r="AQ870">
        <v>19.625271585443592</v>
      </c>
      <c r="AR870">
        <v>33.865817788686812</v>
      </c>
      <c r="AS870">
        <v>0.84380815775910589</v>
      </c>
      <c r="AT870">
        <v>10.892365267491877</v>
      </c>
      <c r="AU870">
        <v>18.796114786523752</v>
      </c>
    </row>
    <row r="871" spans="1:48" x14ac:dyDescent="0.35">
      <c r="A871">
        <v>869</v>
      </c>
      <c r="B871">
        <v>46057</v>
      </c>
      <c r="C871" t="s">
        <v>16</v>
      </c>
      <c r="D871" t="s">
        <v>339</v>
      </c>
      <c r="E871" t="s">
        <v>219</v>
      </c>
      <c r="F871" t="s">
        <v>253</v>
      </c>
      <c r="G871" t="s">
        <v>254</v>
      </c>
      <c r="H871" t="s">
        <v>22</v>
      </c>
      <c r="I871" t="s">
        <v>23</v>
      </c>
      <c r="J871" t="s">
        <v>215</v>
      </c>
      <c r="K871" t="s">
        <v>338</v>
      </c>
      <c r="L871">
        <v>29</v>
      </c>
      <c r="M871">
        <v>63</v>
      </c>
      <c r="N871">
        <v>2</v>
      </c>
      <c r="O871">
        <v>1</v>
      </c>
      <c r="P871">
        <v>180</v>
      </c>
      <c r="Q871">
        <v>0.50029999999999997</v>
      </c>
      <c r="R871">
        <v>453.30146185762817</v>
      </c>
      <c r="S871">
        <v>324.60146185762824</v>
      </c>
      <c r="T871">
        <v>0.33888888888888891</v>
      </c>
      <c r="U871">
        <v>40.5</v>
      </c>
      <c r="V871">
        <v>0.66805555555555551</v>
      </c>
      <c r="W871">
        <v>93.5</v>
      </c>
      <c r="X871">
        <v>14.4</v>
      </c>
      <c r="Y871">
        <v>41</v>
      </c>
      <c r="Z871">
        <v>0.34027777777777779</v>
      </c>
      <c r="AA871">
        <v>82</v>
      </c>
      <c r="AB871">
        <v>17.5</v>
      </c>
      <c r="AD871">
        <v>53</v>
      </c>
      <c r="AE871">
        <v>41</v>
      </c>
      <c r="AF871">
        <v>49.754975227659145</v>
      </c>
      <c r="AG871">
        <v>36.685592064046816</v>
      </c>
      <c r="AH871">
        <v>86.44056729170596</v>
      </c>
      <c r="AI871">
        <v>7.1647164327829174</v>
      </c>
      <c r="AJ871">
        <v>6.419978611208192</v>
      </c>
      <c r="AK871">
        <v>13.584695043991109</v>
      </c>
      <c r="AL871">
        <v>190.69112845450078</v>
      </c>
      <c r="AM871">
        <v>71.608298046825695</v>
      </c>
      <c r="AN871">
        <v>3.7551981902457272</v>
      </c>
      <c r="AO871">
        <v>14.400000000000002</v>
      </c>
      <c r="AP871">
        <v>15.715647721454243</v>
      </c>
      <c r="AQ871">
        <v>29.968345983975134</v>
      </c>
      <c r="AR871">
        <v>41.850381591779225</v>
      </c>
      <c r="AS871">
        <v>0.33162991906540951</v>
      </c>
      <c r="AT871">
        <v>16.632950504600732</v>
      </c>
      <c r="AU871">
        <v>23.227685838482305</v>
      </c>
    </row>
    <row r="872" spans="1:48" x14ac:dyDescent="0.35">
      <c r="A872">
        <v>870</v>
      </c>
      <c r="B872">
        <v>46057</v>
      </c>
      <c r="C872" t="s">
        <v>16</v>
      </c>
      <c r="D872" t="s">
        <v>339</v>
      </c>
      <c r="E872" t="s">
        <v>219</v>
      </c>
      <c r="F872" t="s">
        <v>253</v>
      </c>
      <c r="G872" t="s">
        <v>254</v>
      </c>
      <c r="H872" t="s">
        <v>22</v>
      </c>
      <c r="I872" t="s">
        <v>23</v>
      </c>
      <c r="J872" t="s">
        <v>215</v>
      </c>
      <c r="K872" t="s">
        <v>338</v>
      </c>
      <c r="L872">
        <v>29</v>
      </c>
      <c r="M872">
        <v>63</v>
      </c>
      <c r="N872">
        <v>2</v>
      </c>
      <c r="O872">
        <v>2</v>
      </c>
      <c r="P872">
        <v>181</v>
      </c>
      <c r="Q872">
        <v>0.50039999999999996</v>
      </c>
      <c r="R872">
        <v>453.39206778644228</v>
      </c>
      <c r="S872">
        <v>272.69206778644229</v>
      </c>
      <c r="T872">
        <v>0.33958333333333335</v>
      </c>
      <c r="U872">
        <v>40</v>
      </c>
      <c r="V872">
        <v>0.66805555555555551</v>
      </c>
      <c r="W872">
        <v>91.5</v>
      </c>
      <c r="X872">
        <v>14.4</v>
      </c>
      <c r="Y872">
        <v>40</v>
      </c>
      <c r="Z872">
        <v>0.34027777777777779</v>
      </c>
      <c r="AA872">
        <v>87</v>
      </c>
      <c r="AB872">
        <v>17.2</v>
      </c>
      <c r="AD872">
        <v>51.5</v>
      </c>
      <c r="AE872">
        <v>47</v>
      </c>
      <c r="AF872">
        <v>48.254975227659145</v>
      </c>
      <c r="AG872">
        <v>42.685592064046816</v>
      </c>
      <c r="AH872">
        <v>90.94056729170596</v>
      </c>
      <c r="AI872">
        <v>6.9487164327829181</v>
      </c>
      <c r="AJ872">
        <v>7.341921835016052</v>
      </c>
      <c r="AK872">
        <v>14.29063826779897</v>
      </c>
      <c r="AL872">
        <v>200.57820538347173</v>
      </c>
      <c r="AM872">
        <v>60.14486956460965</v>
      </c>
      <c r="AN872">
        <v>2.9985745185835517</v>
      </c>
      <c r="AO872">
        <v>14.400000000000002</v>
      </c>
      <c r="AP872">
        <v>15.7142611855054</v>
      </c>
      <c r="AQ872">
        <v>31.519383075158203</v>
      </c>
      <c r="AR872">
        <v>52.405771769608741</v>
      </c>
      <c r="AS872">
        <v>0.83440122310283893</v>
      </c>
      <c r="AT872">
        <v>17.493802924759084</v>
      </c>
      <c r="AU872">
        <v>29.086110006384917</v>
      </c>
    </row>
    <row r="873" spans="1:48" x14ac:dyDescent="0.35">
      <c r="A873">
        <v>871</v>
      </c>
      <c r="B873">
        <v>46057</v>
      </c>
      <c r="C873" t="s">
        <v>16</v>
      </c>
      <c r="D873" t="s">
        <v>339</v>
      </c>
      <c r="E873" t="s">
        <v>219</v>
      </c>
      <c r="F873" t="s">
        <v>253</v>
      </c>
      <c r="G873" t="s">
        <v>254</v>
      </c>
      <c r="H873" t="s">
        <v>22</v>
      </c>
      <c r="I873" t="s">
        <v>23</v>
      </c>
      <c r="J873" t="s">
        <v>215</v>
      </c>
      <c r="K873" t="s">
        <v>338</v>
      </c>
      <c r="L873">
        <v>29</v>
      </c>
      <c r="M873">
        <v>63</v>
      </c>
      <c r="N873">
        <v>2</v>
      </c>
      <c r="O873">
        <v>3</v>
      </c>
      <c r="P873">
        <v>182</v>
      </c>
      <c r="Q873">
        <v>0.50039999999999996</v>
      </c>
      <c r="R873">
        <v>453.39206778644228</v>
      </c>
      <c r="S873">
        <v>184.89206778644223</v>
      </c>
      <c r="T873">
        <v>0.33958333333333335</v>
      </c>
      <c r="U873">
        <v>40.5</v>
      </c>
      <c r="V873">
        <v>0.66874999999999996</v>
      </c>
      <c r="W873">
        <v>93.5</v>
      </c>
      <c r="X873">
        <v>14.5</v>
      </c>
      <c r="Y873">
        <v>40.5</v>
      </c>
      <c r="Z873">
        <v>0.34097222222222223</v>
      </c>
      <c r="AA873">
        <v>88</v>
      </c>
      <c r="AB873">
        <v>17.3</v>
      </c>
      <c r="AV873" t="s">
        <v>662</v>
      </c>
    </row>
    <row r="874" spans="1:48" x14ac:dyDescent="0.35">
      <c r="A874">
        <v>872</v>
      </c>
      <c r="B874">
        <v>46057</v>
      </c>
      <c r="C874" t="s">
        <v>16</v>
      </c>
      <c r="D874" t="s">
        <v>341</v>
      </c>
      <c r="E874" t="s">
        <v>333</v>
      </c>
      <c r="F874" t="s">
        <v>334</v>
      </c>
      <c r="G874" t="s">
        <v>335</v>
      </c>
      <c r="H874" t="s">
        <v>22</v>
      </c>
      <c r="I874" t="s">
        <v>23</v>
      </c>
      <c r="J874" t="s">
        <v>303</v>
      </c>
      <c r="K874" t="s">
        <v>340</v>
      </c>
      <c r="L874">
        <v>29</v>
      </c>
      <c r="M874">
        <v>63</v>
      </c>
      <c r="N874">
        <v>2</v>
      </c>
      <c r="O874">
        <v>1</v>
      </c>
      <c r="P874">
        <v>183</v>
      </c>
      <c r="Q874">
        <v>0.50019999999999998</v>
      </c>
      <c r="R874">
        <v>462.58062181681515</v>
      </c>
      <c r="S874">
        <v>261.48062181681507</v>
      </c>
      <c r="T874">
        <v>0.33958333333333335</v>
      </c>
      <c r="U874">
        <v>40.5</v>
      </c>
      <c r="V874">
        <v>0.66874999999999996</v>
      </c>
      <c r="W874">
        <v>93.5</v>
      </c>
      <c r="X874">
        <v>14.5</v>
      </c>
      <c r="Y874">
        <v>40</v>
      </c>
      <c r="Z874">
        <v>0.34097222222222223</v>
      </c>
      <c r="AA874">
        <v>89</v>
      </c>
      <c r="AB874">
        <v>16.8</v>
      </c>
      <c r="AD874">
        <v>53</v>
      </c>
      <c r="AE874">
        <v>49</v>
      </c>
      <c r="AF874">
        <v>49.754975227659145</v>
      </c>
      <c r="AG874">
        <v>44.685592064046816</v>
      </c>
      <c r="AH874">
        <v>94.44056729170596</v>
      </c>
      <c r="AI874">
        <v>7.2144714080105752</v>
      </c>
      <c r="AJ874">
        <v>7.5071794667598652</v>
      </c>
      <c r="AK874">
        <v>14.72165087477044</v>
      </c>
      <c r="AL874">
        <v>204.16023248182029</v>
      </c>
      <c r="AM874">
        <v>56.526497108727355</v>
      </c>
      <c r="AN874">
        <v>2.7687320112040354</v>
      </c>
      <c r="AO874">
        <v>14.499999999999998</v>
      </c>
      <c r="AP874">
        <v>15.588270270866255</v>
      </c>
      <c r="AQ874">
        <v>31.825048824895013</v>
      </c>
      <c r="AR874">
        <v>56.301116206936186</v>
      </c>
      <c r="AS874">
        <v>3.2942245888912405</v>
      </c>
      <c r="AT874">
        <v>17.663452704197788</v>
      </c>
      <c r="AU874">
        <v>31.24809356260403</v>
      </c>
    </row>
    <row r="875" spans="1:48" x14ac:dyDescent="0.35">
      <c r="A875">
        <v>873</v>
      </c>
      <c r="B875">
        <v>46057</v>
      </c>
      <c r="C875" t="s">
        <v>16</v>
      </c>
      <c r="D875" t="s">
        <v>341</v>
      </c>
      <c r="E875" t="s">
        <v>333</v>
      </c>
      <c r="F875" t="s">
        <v>334</v>
      </c>
      <c r="G875" t="s">
        <v>335</v>
      </c>
      <c r="H875" t="s">
        <v>22</v>
      </c>
      <c r="I875" t="s">
        <v>23</v>
      </c>
      <c r="J875" t="s">
        <v>303</v>
      </c>
      <c r="K875" t="s">
        <v>340</v>
      </c>
      <c r="L875">
        <v>29</v>
      </c>
      <c r="M875">
        <v>63</v>
      </c>
      <c r="N875">
        <v>2</v>
      </c>
      <c r="O875">
        <v>2</v>
      </c>
      <c r="P875">
        <v>184</v>
      </c>
      <c r="Q875">
        <v>0.5</v>
      </c>
      <c r="R875">
        <v>462.39566355139465</v>
      </c>
      <c r="S875">
        <v>251.09566355139461</v>
      </c>
      <c r="T875">
        <v>0.33958333333333335</v>
      </c>
      <c r="U875">
        <v>41</v>
      </c>
      <c r="V875">
        <v>0.6694444444444444</v>
      </c>
      <c r="W875">
        <v>95.5</v>
      </c>
      <c r="X875">
        <v>14.6</v>
      </c>
      <c r="Y875">
        <v>40.5</v>
      </c>
      <c r="Z875">
        <v>0.34166666666666667</v>
      </c>
      <c r="AA875">
        <v>89</v>
      </c>
      <c r="AB875">
        <v>16.8</v>
      </c>
      <c r="AD875">
        <v>54.5</v>
      </c>
      <c r="AE875">
        <v>48.5</v>
      </c>
      <c r="AF875">
        <v>51.254975227659145</v>
      </c>
      <c r="AG875">
        <v>44.185592064046816</v>
      </c>
      <c r="AH875">
        <v>95.44056729170596</v>
      </c>
      <c r="AI875">
        <v>7.4832263832382351</v>
      </c>
      <c r="AJ875">
        <v>7.4231794667598656</v>
      </c>
      <c r="AK875">
        <v>14.906405849998102</v>
      </c>
      <c r="AL875">
        <v>206.40454661421771</v>
      </c>
      <c r="AM875">
        <v>54.303204667378047</v>
      </c>
      <c r="AN875">
        <v>2.6309112642210319</v>
      </c>
      <c r="AO875">
        <v>14.599999999999998</v>
      </c>
      <c r="AP875">
        <v>15.618521843481863</v>
      </c>
      <c r="AQ875">
        <v>32.237339198881294</v>
      </c>
      <c r="AR875">
        <v>59.365445181999483</v>
      </c>
      <c r="AS875">
        <v>-35.776126499200011</v>
      </c>
      <c r="AT875">
        <v>17.892280994811625</v>
      </c>
      <c r="AU875">
        <v>32.948849159836392</v>
      </c>
    </row>
    <row r="876" spans="1:48" x14ac:dyDescent="0.35">
      <c r="A876">
        <v>874</v>
      </c>
      <c r="B876">
        <v>46057</v>
      </c>
      <c r="C876" t="s">
        <v>16</v>
      </c>
      <c r="D876" t="s">
        <v>341</v>
      </c>
      <c r="E876" t="s">
        <v>333</v>
      </c>
      <c r="F876" t="s">
        <v>334</v>
      </c>
      <c r="G876" t="s">
        <v>335</v>
      </c>
      <c r="H876" t="s">
        <v>22</v>
      </c>
      <c r="I876" t="s">
        <v>23</v>
      </c>
      <c r="J876" t="s">
        <v>303</v>
      </c>
      <c r="K876" t="s">
        <v>340</v>
      </c>
      <c r="L876">
        <v>29</v>
      </c>
      <c r="M876">
        <v>63</v>
      </c>
      <c r="N876">
        <v>2</v>
      </c>
      <c r="O876">
        <v>3</v>
      </c>
      <c r="P876">
        <v>185</v>
      </c>
      <c r="Q876">
        <v>0.50009999999999999</v>
      </c>
      <c r="R876">
        <v>462.48814268410496</v>
      </c>
      <c r="S876">
        <v>276.78814268410497</v>
      </c>
      <c r="T876">
        <v>0.33958333333333335</v>
      </c>
      <c r="U876">
        <v>41</v>
      </c>
      <c r="V876">
        <v>0.6694444444444444</v>
      </c>
      <c r="W876">
        <v>94</v>
      </c>
      <c r="X876">
        <v>14.4</v>
      </c>
      <c r="Y876">
        <v>40.5</v>
      </c>
      <c r="Z876">
        <v>0.34166666666666667</v>
      </c>
      <c r="AA876">
        <v>90.5</v>
      </c>
      <c r="AB876">
        <v>16.899999999999999</v>
      </c>
      <c r="AD876">
        <v>53</v>
      </c>
      <c r="AE876">
        <v>50</v>
      </c>
      <c r="AF876">
        <v>49.754975227659145</v>
      </c>
      <c r="AG876">
        <v>45.685592064046816</v>
      </c>
      <c r="AH876">
        <v>95.44056729170596</v>
      </c>
      <c r="AI876">
        <v>7.1647164327829174</v>
      </c>
      <c r="AJ876">
        <v>7.7208650588239109</v>
      </c>
      <c r="AK876">
        <v>14.885581491606828</v>
      </c>
      <c r="AL876">
        <v>206.36327395942581</v>
      </c>
      <c r="AM876">
        <v>59.84761924440528</v>
      </c>
      <c r="AN876">
        <v>2.9001099903160217</v>
      </c>
      <c r="AO876">
        <v>14.400000000000002</v>
      </c>
      <c r="AP876">
        <v>15.596702653820484</v>
      </c>
      <c r="AQ876">
        <v>32.185866226140597</v>
      </c>
      <c r="AR876">
        <v>53.779693549212354</v>
      </c>
      <c r="AS876">
        <v>1.2650337214225829</v>
      </c>
      <c r="AT876">
        <v>17.863712604404679</v>
      </c>
      <c r="AU876">
        <v>29.848660364337931</v>
      </c>
    </row>
    <row r="877" spans="1:48" x14ac:dyDescent="0.35">
      <c r="A877">
        <v>875</v>
      </c>
      <c r="B877">
        <v>46057</v>
      </c>
      <c r="C877" t="s">
        <v>16</v>
      </c>
      <c r="D877" t="s">
        <v>343</v>
      </c>
      <c r="E877" t="s">
        <v>212</v>
      </c>
      <c r="F877" t="s">
        <v>301</v>
      </c>
      <c r="G877" t="s">
        <v>302</v>
      </c>
      <c r="H877" t="s">
        <v>22</v>
      </c>
      <c r="I877" t="s">
        <v>23</v>
      </c>
      <c r="J877" t="s">
        <v>303</v>
      </c>
      <c r="K877" t="s">
        <v>342</v>
      </c>
      <c r="L877">
        <v>29</v>
      </c>
      <c r="M877">
        <v>63</v>
      </c>
      <c r="N877">
        <v>2</v>
      </c>
      <c r="O877">
        <v>1</v>
      </c>
      <c r="P877">
        <v>186</v>
      </c>
      <c r="Q877">
        <v>0.50019999999999998</v>
      </c>
      <c r="R877">
        <v>463.01384074185205</v>
      </c>
      <c r="S877">
        <v>184.91384074185203</v>
      </c>
      <c r="T877">
        <v>0.34027777777777779</v>
      </c>
      <c r="U877">
        <v>41</v>
      </c>
      <c r="V877">
        <v>0.67013888888888884</v>
      </c>
      <c r="W877">
        <v>90</v>
      </c>
      <c r="X877">
        <v>14.6</v>
      </c>
      <c r="Y877">
        <v>40.5</v>
      </c>
      <c r="Z877">
        <v>0.34236111111111112</v>
      </c>
      <c r="AA877">
        <v>83</v>
      </c>
      <c r="AB877">
        <v>17.7</v>
      </c>
      <c r="AD877">
        <v>49</v>
      </c>
      <c r="AE877">
        <v>42.5</v>
      </c>
      <c r="AF877">
        <v>45.754975227659145</v>
      </c>
      <c r="AG877">
        <v>38.185592064046816</v>
      </c>
      <c r="AH877">
        <v>83.94056729170596</v>
      </c>
      <c r="AI877">
        <v>6.6802263832382351</v>
      </c>
      <c r="AJ877">
        <v>6.7588497953362863</v>
      </c>
      <c r="AK877">
        <v>13.439076178574521</v>
      </c>
      <c r="AL877">
        <v>181.2917021167539</v>
      </c>
      <c r="AM877">
        <v>39.937000683517056</v>
      </c>
      <c r="AN877">
        <v>2.2029138795220304</v>
      </c>
      <c r="AO877">
        <v>14.6</v>
      </c>
      <c r="AP877">
        <v>16.010227965069298</v>
      </c>
      <c r="AQ877">
        <v>29.025214790646661</v>
      </c>
      <c r="AR877">
        <v>72.677502801621387</v>
      </c>
      <c r="AS877">
        <v>-27.392564904248928</v>
      </c>
      <c r="AT877">
        <v>16.109496375154755</v>
      </c>
      <c r="AU877">
        <v>40.337271451142108</v>
      </c>
    </row>
    <row r="878" spans="1:48" x14ac:dyDescent="0.35">
      <c r="A878">
        <v>876</v>
      </c>
      <c r="B878">
        <v>46057</v>
      </c>
      <c r="C878" t="s">
        <v>16</v>
      </c>
      <c r="D878" t="s">
        <v>343</v>
      </c>
      <c r="E878" t="s">
        <v>212</v>
      </c>
      <c r="F878" t="s">
        <v>301</v>
      </c>
      <c r="G878" t="s">
        <v>302</v>
      </c>
      <c r="H878" t="s">
        <v>22</v>
      </c>
      <c r="I878" t="s">
        <v>23</v>
      </c>
      <c r="J878" t="s">
        <v>303</v>
      </c>
      <c r="K878" t="s">
        <v>342</v>
      </c>
      <c r="L878">
        <v>29</v>
      </c>
      <c r="M878">
        <v>63</v>
      </c>
      <c r="N878">
        <v>2</v>
      </c>
      <c r="O878">
        <v>2</v>
      </c>
      <c r="P878">
        <v>187</v>
      </c>
      <c r="Q878">
        <v>0.50029999999999997</v>
      </c>
      <c r="R878">
        <v>463.10640648370361</v>
      </c>
      <c r="S878">
        <v>204.50640648370364</v>
      </c>
      <c r="T878">
        <v>0.34027777777777779</v>
      </c>
      <c r="U878">
        <v>40.5</v>
      </c>
      <c r="V878">
        <v>0.67013888888888884</v>
      </c>
      <c r="W878">
        <v>88</v>
      </c>
      <c r="X878">
        <v>14.8</v>
      </c>
      <c r="Y878">
        <v>40</v>
      </c>
      <c r="Z878">
        <v>0.34305555555555556</v>
      </c>
      <c r="AA878">
        <v>83</v>
      </c>
      <c r="AB878">
        <v>17.8</v>
      </c>
      <c r="AD878">
        <v>47.5</v>
      </c>
      <c r="AE878">
        <v>43</v>
      </c>
      <c r="AF878">
        <v>44.254975227659145</v>
      </c>
      <c r="AG878">
        <v>38.685592064046816</v>
      </c>
      <c r="AH878">
        <v>82.94056729170596</v>
      </c>
      <c r="AI878">
        <v>6.5497363336935539</v>
      </c>
      <c r="AJ878">
        <v>6.8860353874003337</v>
      </c>
      <c r="AK878">
        <v>13.435771721093888</v>
      </c>
      <c r="AL878">
        <v>179.09613456108511</v>
      </c>
      <c r="AM878">
        <v>44.159701446691187</v>
      </c>
      <c r="AN878">
        <v>2.4656981880102746</v>
      </c>
      <c r="AO878">
        <v>14.8</v>
      </c>
      <c r="AP878">
        <v>16.19927637321268</v>
      </c>
      <c r="AQ878">
        <v>29.01227781129105</v>
      </c>
      <c r="AR878">
        <v>65.698537039056205</v>
      </c>
      <c r="AS878">
        <v>2.0436702401835123</v>
      </c>
      <c r="AT878">
        <v>16.102316127789219</v>
      </c>
      <c r="AU878">
        <v>36.46382470956614</v>
      </c>
    </row>
    <row r="879" spans="1:48" x14ac:dyDescent="0.35">
      <c r="A879">
        <v>877</v>
      </c>
      <c r="B879">
        <v>46057</v>
      </c>
      <c r="C879" t="s">
        <v>16</v>
      </c>
      <c r="D879" t="s">
        <v>343</v>
      </c>
      <c r="E879" t="s">
        <v>212</v>
      </c>
      <c r="F879" t="s">
        <v>301</v>
      </c>
      <c r="G879" t="s">
        <v>302</v>
      </c>
      <c r="H879" t="s">
        <v>22</v>
      </c>
      <c r="I879" t="s">
        <v>23</v>
      </c>
      <c r="J879" t="s">
        <v>303</v>
      </c>
      <c r="K879" t="s">
        <v>342</v>
      </c>
      <c r="L879">
        <v>29</v>
      </c>
      <c r="M879">
        <v>63</v>
      </c>
      <c r="N879">
        <v>2</v>
      </c>
      <c r="O879">
        <v>3</v>
      </c>
      <c r="P879">
        <v>188</v>
      </c>
      <c r="Q879">
        <v>0.50049999999999994</v>
      </c>
      <c r="R879">
        <v>463.29153796740684</v>
      </c>
      <c r="S879">
        <v>157.19153796740682</v>
      </c>
      <c r="T879">
        <v>0.34166666666666667</v>
      </c>
      <c r="U879">
        <v>41</v>
      </c>
      <c r="V879">
        <v>0.67083333333333328</v>
      </c>
      <c r="W879">
        <v>89.5</v>
      </c>
      <c r="X879">
        <v>14.8</v>
      </c>
      <c r="Y879">
        <v>40</v>
      </c>
      <c r="Z879">
        <v>0.34305555555555556</v>
      </c>
      <c r="AA879">
        <v>84</v>
      </c>
      <c r="AB879">
        <v>17.8</v>
      </c>
      <c r="AC879" t="s">
        <v>573</v>
      </c>
      <c r="AD879">
        <v>48.5</v>
      </c>
      <c r="AE879">
        <v>44</v>
      </c>
      <c r="AF879">
        <v>45.254975227659145</v>
      </c>
      <c r="AG879">
        <v>39.685592064046816</v>
      </c>
      <c r="AH879">
        <v>84.94056729170596</v>
      </c>
      <c r="AI879">
        <v>6.6977363336935545</v>
      </c>
      <c r="AJ879">
        <v>7.0640353874003337</v>
      </c>
      <c r="AK879">
        <v>13.761771721093888</v>
      </c>
      <c r="AL879">
        <v>183.34150384952994</v>
      </c>
      <c r="AM879">
        <v>33.929291835773924</v>
      </c>
      <c r="AN879">
        <v>1.8506061706366284</v>
      </c>
      <c r="AO879">
        <v>14.800000000000002</v>
      </c>
      <c r="AP879">
        <v>16.201647999162422</v>
      </c>
      <c r="AQ879">
        <v>29.704345090071659</v>
      </c>
      <c r="AR879">
        <v>87.547789779544928</v>
      </c>
      <c r="AS879">
        <v>-1.3054196867705716</v>
      </c>
      <c r="AT879">
        <v>16.48642544099479</v>
      </c>
      <c r="AU879">
        <v>48.590537995290681</v>
      </c>
    </row>
    <row r="880" spans="1:48" x14ac:dyDescent="0.35">
      <c r="A880">
        <v>878</v>
      </c>
      <c r="B880">
        <v>46057</v>
      </c>
      <c r="C880" t="s">
        <v>16</v>
      </c>
      <c r="D880" t="s">
        <v>345</v>
      </c>
      <c r="E880" t="s">
        <v>346</v>
      </c>
      <c r="F880" t="s">
        <v>347</v>
      </c>
      <c r="G880" t="s">
        <v>348</v>
      </c>
      <c r="H880" t="s">
        <v>22</v>
      </c>
      <c r="I880" t="s">
        <v>23</v>
      </c>
      <c r="J880" t="s">
        <v>303</v>
      </c>
      <c r="K880" t="s">
        <v>344</v>
      </c>
      <c r="L880">
        <v>29</v>
      </c>
      <c r="M880">
        <v>63</v>
      </c>
      <c r="N880">
        <v>2</v>
      </c>
      <c r="O880">
        <v>1</v>
      </c>
      <c r="P880">
        <v>189</v>
      </c>
      <c r="Q880">
        <v>0.50009999999999999</v>
      </c>
      <c r="R880">
        <v>464.13037481259397</v>
      </c>
      <c r="S880">
        <v>140.030374812594</v>
      </c>
      <c r="T880">
        <v>0.34166666666666667</v>
      </c>
      <c r="U880">
        <v>41</v>
      </c>
      <c r="V880">
        <v>0.67083333333333328</v>
      </c>
      <c r="W880">
        <v>75</v>
      </c>
      <c r="X880">
        <v>13.8</v>
      </c>
      <c r="Y880">
        <v>40</v>
      </c>
      <c r="Z880">
        <v>0.34375</v>
      </c>
      <c r="AA880">
        <v>79</v>
      </c>
      <c r="AB880">
        <v>16.399999999999999</v>
      </c>
      <c r="AD880">
        <v>34</v>
      </c>
      <c r="AE880">
        <v>39</v>
      </c>
      <c r="AF880">
        <v>30.754975227659141</v>
      </c>
      <c r="AG880">
        <v>34.685592064046816</v>
      </c>
      <c r="AH880">
        <v>65.44056729170596</v>
      </c>
      <c r="AI880">
        <v>4.2441865814169617</v>
      </c>
      <c r="AJ880">
        <v>5.6884370985036767</v>
      </c>
      <c r="AK880">
        <v>9.9326236799206384</v>
      </c>
      <c r="AL880">
        <v>140.99608826103977</v>
      </c>
      <c r="AM880">
        <v>30.170482780648715</v>
      </c>
      <c r="AN880">
        <v>2.1398099162007367</v>
      </c>
      <c r="AO880">
        <v>13.8</v>
      </c>
      <c r="AP880">
        <v>15.178083092778314</v>
      </c>
      <c r="AQ880">
        <v>21.400503433827666</v>
      </c>
      <c r="AR880">
        <v>70.931922400505655</v>
      </c>
      <c r="AS880">
        <v>-0.43308195833406582</v>
      </c>
      <c r="AT880">
        <v>11.877649656698816</v>
      </c>
      <c r="AU880">
        <v>39.368444128169919</v>
      </c>
    </row>
    <row r="881" spans="1:48" x14ac:dyDescent="0.35">
      <c r="A881">
        <v>879</v>
      </c>
      <c r="B881">
        <v>46057</v>
      </c>
      <c r="C881" t="s">
        <v>16</v>
      </c>
      <c r="D881" t="s">
        <v>345</v>
      </c>
      <c r="E881" t="s">
        <v>346</v>
      </c>
      <c r="F881" t="s">
        <v>347</v>
      </c>
      <c r="G881" t="s">
        <v>348</v>
      </c>
      <c r="H881" t="s">
        <v>22</v>
      </c>
      <c r="I881" t="s">
        <v>23</v>
      </c>
      <c r="J881" t="s">
        <v>303</v>
      </c>
      <c r="K881" t="s">
        <v>344</v>
      </c>
      <c r="L881">
        <v>29</v>
      </c>
      <c r="M881">
        <v>63</v>
      </c>
      <c r="N881">
        <v>2</v>
      </c>
      <c r="O881">
        <v>2</v>
      </c>
      <c r="P881">
        <v>190</v>
      </c>
      <c r="Q881">
        <v>0.50039999999999996</v>
      </c>
      <c r="R881">
        <v>464.40879735297335</v>
      </c>
      <c r="S881">
        <v>169.80879735297339</v>
      </c>
      <c r="T881">
        <v>0.34166666666666667</v>
      </c>
      <c r="U881">
        <v>41</v>
      </c>
      <c r="V881">
        <v>0.67083333333333328</v>
      </c>
      <c r="W881">
        <v>75</v>
      </c>
      <c r="X881">
        <v>13.6</v>
      </c>
      <c r="Y881">
        <v>40.5</v>
      </c>
      <c r="Z881">
        <v>0.34375</v>
      </c>
      <c r="AA881">
        <v>80</v>
      </c>
      <c r="AB881">
        <v>16.2</v>
      </c>
      <c r="AD881">
        <v>34</v>
      </c>
      <c r="AE881">
        <v>39.5</v>
      </c>
      <c r="AF881">
        <v>30.754975227659141</v>
      </c>
      <c r="AG881">
        <v>35.185592064046816</v>
      </c>
      <c r="AH881">
        <v>65.94056729170596</v>
      </c>
      <c r="AI881">
        <v>4.1826766309616437</v>
      </c>
      <c r="AJ881">
        <v>5.7000659143755845</v>
      </c>
      <c r="AK881">
        <v>9.8827425453372282</v>
      </c>
      <c r="AL881">
        <v>141.98819589024262</v>
      </c>
      <c r="AM881">
        <v>36.564509182609306</v>
      </c>
      <c r="AN881">
        <v>2.5751795037154923</v>
      </c>
      <c r="AO881">
        <v>13.600000000000001</v>
      </c>
      <c r="AP881">
        <v>14.987348382397499</v>
      </c>
      <c r="AQ881">
        <v>21.280265579951671</v>
      </c>
      <c r="AR881">
        <v>58.19923760954768</v>
      </c>
      <c r="AS881">
        <v>-0.84626496339116808</v>
      </c>
      <c r="AT881">
        <v>11.81091556755795</v>
      </c>
      <c r="AU881">
        <v>32.301583780524034</v>
      </c>
    </row>
    <row r="882" spans="1:48" x14ac:dyDescent="0.35">
      <c r="A882">
        <v>880</v>
      </c>
      <c r="B882">
        <v>46057</v>
      </c>
      <c r="C882" t="s">
        <v>16</v>
      </c>
      <c r="D882" t="s">
        <v>345</v>
      </c>
      <c r="E882" t="s">
        <v>346</v>
      </c>
      <c r="F882" t="s">
        <v>347</v>
      </c>
      <c r="G882" t="s">
        <v>348</v>
      </c>
      <c r="H882" t="s">
        <v>22</v>
      </c>
      <c r="I882" t="s">
        <v>23</v>
      </c>
      <c r="J882" t="s">
        <v>303</v>
      </c>
      <c r="K882" t="s">
        <v>344</v>
      </c>
      <c r="L882">
        <v>29</v>
      </c>
      <c r="M882">
        <v>63</v>
      </c>
      <c r="N882">
        <v>2</v>
      </c>
      <c r="O882">
        <v>3</v>
      </c>
      <c r="P882">
        <v>191</v>
      </c>
      <c r="Q882">
        <v>0.50009999999999999</v>
      </c>
      <c r="R882">
        <v>464.13037481259397</v>
      </c>
      <c r="S882">
        <v>180.13037481259403</v>
      </c>
      <c r="T882">
        <v>0.34236111111111112</v>
      </c>
      <c r="U882">
        <v>41</v>
      </c>
      <c r="V882">
        <v>0.67152777777777772</v>
      </c>
      <c r="W882">
        <v>75</v>
      </c>
      <c r="X882">
        <v>13.6</v>
      </c>
      <c r="Y882">
        <v>40</v>
      </c>
      <c r="Z882">
        <v>0.34513888888888888</v>
      </c>
      <c r="AA882">
        <v>82</v>
      </c>
      <c r="AB882">
        <v>16.399999999999999</v>
      </c>
      <c r="AD882">
        <v>34</v>
      </c>
      <c r="AE882">
        <v>42</v>
      </c>
      <c r="AF882">
        <v>30.754975227659141</v>
      </c>
      <c r="AG882">
        <v>37.685592064046816</v>
      </c>
      <c r="AH882">
        <v>68.44056729170596</v>
      </c>
      <c r="AI882">
        <v>4.1826766309616437</v>
      </c>
      <c r="AJ882">
        <v>6.1804370985036767</v>
      </c>
      <c r="AK882">
        <v>10.36311372946532</v>
      </c>
      <c r="AL882">
        <v>147.45978933040271</v>
      </c>
      <c r="AM882">
        <v>38.81029654336389</v>
      </c>
      <c r="AN882">
        <v>2.6319240465212115</v>
      </c>
      <c r="AO882">
        <v>13.600000000000001</v>
      </c>
      <c r="AP882">
        <v>15.141770647949006</v>
      </c>
      <c r="AQ882">
        <v>22.328023098358358</v>
      </c>
      <c r="AR882">
        <v>57.531183956326124</v>
      </c>
      <c r="AS882">
        <v>-1.3416134137966693</v>
      </c>
      <c r="AT882">
        <v>12.39243911756637</v>
      </c>
      <c r="AU882">
        <v>31.930802444964392</v>
      </c>
    </row>
    <row r="883" spans="1:48" x14ac:dyDescent="0.35">
      <c r="A883">
        <v>881</v>
      </c>
      <c r="B883">
        <v>46057</v>
      </c>
      <c r="C883" t="s">
        <v>16</v>
      </c>
      <c r="D883" t="s">
        <v>350</v>
      </c>
      <c r="E883" t="s">
        <v>212</v>
      </c>
      <c r="F883" t="s">
        <v>351</v>
      </c>
      <c r="G883" t="s">
        <v>352</v>
      </c>
      <c r="H883" t="s">
        <v>22</v>
      </c>
      <c r="I883" t="s">
        <v>23</v>
      </c>
      <c r="J883" t="s">
        <v>215</v>
      </c>
      <c r="K883" t="s">
        <v>349</v>
      </c>
      <c r="L883">
        <v>29</v>
      </c>
      <c r="M883">
        <v>63</v>
      </c>
      <c r="N883">
        <v>2</v>
      </c>
      <c r="O883">
        <v>1</v>
      </c>
      <c r="P883">
        <v>192</v>
      </c>
      <c r="Q883">
        <v>0.50049999999999994</v>
      </c>
      <c r="R883">
        <v>464.29425201850916</v>
      </c>
      <c r="S883">
        <v>204.29425201850916</v>
      </c>
      <c r="T883">
        <v>0.34236111111111112</v>
      </c>
      <c r="U883">
        <v>41</v>
      </c>
      <c r="V883">
        <v>0.67152777777777772</v>
      </c>
      <c r="W883">
        <v>81</v>
      </c>
      <c r="X883">
        <v>14.2</v>
      </c>
      <c r="Y883">
        <v>40</v>
      </c>
      <c r="Z883">
        <v>0.34513888888888888</v>
      </c>
      <c r="AA883">
        <v>90</v>
      </c>
      <c r="AB883">
        <v>17.3</v>
      </c>
      <c r="AD883">
        <v>40</v>
      </c>
      <c r="AE883">
        <v>50</v>
      </c>
      <c r="AF883">
        <v>36.754975227659145</v>
      </c>
      <c r="AG883">
        <v>45.685592064046816</v>
      </c>
      <c r="AH883">
        <v>82.44056729170596</v>
      </c>
      <c r="AI883">
        <v>5.2192064823275981</v>
      </c>
      <c r="AJ883">
        <v>7.9036074270801002</v>
      </c>
      <c r="AK883">
        <v>13.122813909407698</v>
      </c>
      <c r="AL883">
        <v>177.56103361886861</v>
      </c>
      <c r="AM883">
        <v>44.001029762988523</v>
      </c>
      <c r="AN883">
        <v>2.4780791633279122</v>
      </c>
      <c r="AO883">
        <v>14.2</v>
      </c>
      <c r="AP883">
        <v>15.917908307173835</v>
      </c>
      <c r="AQ883">
        <v>28.264002520721611</v>
      </c>
      <c r="AR883">
        <v>64.234866031467021</v>
      </c>
      <c r="AS883">
        <v>2.731573133278673</v>
      </c>
      <c r="AT883">
        <v>15.687010395583901</v>
      </c>
      <c r="AU883">
        <v>35.651461977326342</v>
      </c>
    </row>
    <row r="884" spans="1:48" x14ac:dyDescent="0.35">
      <c r="A884">
        <v>882</v>
      </c>
      <c r="B884">
        <v>46057</v>
      </c>
      <c r="C884" t="s">
        <v>16</v>
      </c>
      <c r="D884" t="s">
        <v>350</v>
      </c>
      <c r="E884" t="s">
        <v>212</v>
      </c>
      <c r="F884" t="s">
        <v>351</v>
      </c>
      <c r="G884" t="s">
        <v>352</v>
      </c>
      <c r="H884" t="s">
        <v>22</v>
      </c>
      <c r="I884" t="s">
        <v>23</v>
      </c>
      <c r="J884" t="s">
        <v>215</v>
      </c>
      <c r="K884" t="s">
        <v>349</v>
      </c>
      <c r="L884">
        <v>29</v>
      </c>
      <c r="M884">
        <v>63</v>
      </c>
      <c r="N884">
        <v>2</v>
      </c>
      <c r="O884">
        <v>2</v>
      </c>
      <c r="P884">
        <v>193</v>
      </c>
      <c r="Q884">
        <v>0.50039999999999996</v>
      </c>
      <c r="R884">
        <v>464.2014859341898</v>
      </c>
      <c r="S884">
        <v>209.2014859341898</v>
      </c>
      <c r="T884">
        <v>0.34305555555555556</v>
      </c>
      <c r="U884">
        <v>41</v>
      </c>
      <c r="V884">
        <v>0.67222222222222228</v>
      </c>
      <c r="W884">
        <v>91</v>
      </c>
      <c r="X884">
        <v>14.2</v>
      </c>
      <c r="Y884">
        <v>40</v>
      </c>
      <c r="Z884">
        <v>0.34583333333333333</v>
      </c>
      <c r="AA884">
        <v>89</v>
      </c>
      <c r="AB884">
        <v>17.5</v>
      </c>
      <c r="AD884">
        <v>50</v>
      </c>
      <c r="AE884">
        <v>49</v>
      </c>
      <c r="AF884">
        <v>46.754975227659145</v>
      </c>
      <c r="AG884">
        <v>44.685592064046816</v>
      </c>
      <c r="AH884">
        <v>91.44056729170596</v>
      </c>
      <c r="AI884">
        <v>6.639206482327598</v>
      </c>
      <c r="AJ884">
        <v>7.8199786112081924</v>
      </c>
      <c r="AK884">
        <v>14.45918509353579</v>
      </c>
      <c r="AL884">
        <v>196.98465011951632</v>
      </c>
      <c r="AM884">
        <v>45.066957403890875</v>
      </c>
      <c r="AN884">
        <v>2.2878410767817408</v>
      </c>
      <c r="AO884">
        <v>14.2</v>
      </c>
      <c r="AP884">
        <v>15.812659000035861</v>
      </c>
      <c r="AQ884">
        <v>31.14851100581285</v>
      </c>
      <c r="AR884">
        <v>69.116072617592835</v>
      </c>
      <c r="AS884">
        <v>2.1854362535524121</v>
      </c>
      <c r="AT884">
        <v>17.287962509800625</v>
      </c>
      <c r="AU884">
        <v>38.360616082567098</v>
      </c>
    </row>
    <row r="885" spans="1:48" x14ac:dyDescent="0.35">
      <c r="A885">
        <v>883</v>
      </c>
      <c r="B885">
        <v>46057</v>
      </c>
      <c r="C885" t="s">
        <v>16</v>
      </c>
      <c r="D885" t="s">
        <v>350</v>
      </c>
      <c r="E885" t="s">
        <v>212</v>
      </c>
      <c r="F885" t="s">
        <v>351</v>
      </c>
      <c r="G885" t="s">
        <v>352</v>
      </c>
      <c r="H885" t="s">
        <v>22</v>
      </c>
      <c r="I885" t="s">
        <v>23</v>
      </c>
      <c r="J885" t="s">
        <v>215</v>
      </c>
      <c r="K885" t="s">
        <v>349</v>
      </c>
      <c r="L885">
        <v>29</v>
      </c>
      <c r="M885">
        <v>63</v>
      </c>
      <c r="N885">
        <v>2</v>
      </c>
      <c r="O885">
        <v>3</v>
      </c>
      <c r="P885">
        <v>194</v>
      </c>
      <c r="Q885">
        <v>0.50029999999999997</v>
      </c>
      <c r="R885">
        <v>464.1087198498704</v>
      </c>
      <c r="S885">
        <v>179.00871984987037</v>
      </c>
      <c r="T885">
        <v>0.34375</v>
      </c>
      <c r="U885">
        <v>41</v>
      </c>
      <c r="V885">
        <v>0.67222222222222228</v>
      </c>
      <c r="W885">
        <v>90</v>
      </c>
      <c r="X885">
        <v>14.2</v>
      </c>
      <c r="Y885">
        <v>40</v>
      </c>
      <c r="Z885">
        <v>0.34583333333333333</v>
      </c>
      <c r="AA885">
        <v>88.5</v>
      </c>
      <c r="AB885">
        <v>17.399999999999999</v>
      </c>
      <c r="AD885">
        <v>49</v>
      </c>
      <c r="AE885">
        <v>48.5</v>
      </c>
      <c r="AF885">
        <v>45.754975227659145</v>
      </c>
      <c r="AG885">
        <v>44.185592064046816</v>
      </c>
      <c r="AH885">
        <v>89.94056729170596</v>
      </c>
      <c r="AI885">
        <v>6.4972064823275977</v>
      </c>
      <c r="AJ885">
        <v>7.6882930191441456</v>
      </c>
      <c r="AK885">
        <v>14.185499501471742</v>
      </c>
      <c r="AL885">
        <v>193.79202209516743</v>
      </c>
      <c r="AM885">
        <v>38.570428047069662</v>
      </c>
      <c r="AN885">
        <v>1.9903000974998075</v>
      </c>
      <c r="AO885">
        <v>14.199999999999998</v>
      </c>
      <c r="AP885">
        <v>15.772081418458971</v>
      </c>
      <c r="AQ885">
        <v>30.565035507327806</v>
      </c>
      <c r="AR885">
        <v>79.244740219184436</v>
      </c>
      <c r="AS885">
        <v>-3.2038297228776798</v>
      </c>
      <c r="AT885">
        <v>16.964123513409618</v>
      </c>
      <c r="AU885">
        <v>43.982201837914133</v>
      </c>
    </row>
    <row r="886" spans="1:48" x14ac:dyDescent="0.35">
      <c r="A886">
        <v>884</v>
      </c>
      <c r="B886">
        <v>46057</v>
      </c>
      <c r="C886" t="s">
        <v>16</v>
      </c>
      <c r="D886" t="s">
        <v>354</v>
      </c>
      <c r="E886" t="s">
        <v>226</v>
      </c>
      <c r="F886" t="s">
        <v>227</v>
      </c>
      <c r="G886" t="s">
        <v>228</v>
      </c>
      <c r="H886" t="s">
        <v>22</v>
      </c>
      <c r="I886" t="s">
        <v>23</v>
      </c>
      <c r="J886" t="s">
        <v>215</v>
      </c>
      <c r="K886" t="s">
        <v>353</v>
      </c>
      <c r="L886">
        <v>29</v>
      </c>
      <c r="M886">
        <v>63</v>
      </c>
      <c r="N886">
        <v>2</v>
      </c>
      <c r="O886">
        <v>1</v>
      </c>
      <c r="P886">
        <v>195</v>
      </c>
      <c r="Q886">
        <v>0.50039999999999996</v>
      </c>
      <c r="R886">
        <v>461.85771020308692</v>
      </c>
      <c r="S886">
        <v>276.25771020308684</v>
      </c>
      <c r="T886">
        <v>0.34375</v>
      </c>
      <c r="U886">
        <v>41</v>
      </c>
      <c r="V886">
        <v>0.67291666666666672</v>
      </c>
      <c r="W886">
        <v>90.5</v>
      </c>
      <c r="X886">
        <v>13.7</v>
      </c>
      <c r="Y886">
        <v>40</v>
      </c>
      <c r="Z886">
        <v>0.34583333333333333</v>
      </c>
      <c r="AA886">
        <v>79</v>
      </c>
      <c r="AB886">
        <v>17</v>
      </c>
      <c r="AD886">
        <v>49.5</v>
      </c>
      <c r="AE886">
        <v>39</v>
      </c>
      <c r="AF886">
        <v>46.254975227659145</v>
      </c>
      <c r="AG886">
        <v>34.685592064046816</v>
      </c>
      <c r="AH886">
        <v>80.94056729170596</v>
      </c>
      <c r="AI886">
        <v>6.3369316061893022</v>
      </c>
      <c r="AJ886">
        <v>5.896550650887959</v>
      </c>
      <c r="AK886">
        <v>12.233482257077261</v>
      </c>
      <c r="AL886">
        <v>175.25000774830625</v>
      </c>
      <c r="AM886">
        <v>59.814463221066831</v>
      </c>
      <c r="AN886">
        <v>3.413093328188165</v>
      </c>
      <c r="AO886">
        <v>13.7</v>
      </c>
      <c r="AP886">
        <v>15.114154331274172</v>
      </c>
      <c r="AQ886">
        <v>26.487556636648947</v>
      </c>
      <c r="AR886">
        <v>44.28286272294082</v>
      </c>
      <c r="AS886">
        <v>1.0945606149585074</v>
      </c>
      <c r="AT886">
        <v>14.701052195565712</v>
      </c>
      <c r="AU886">
        <v>24.577754950725627</v>
      </c>
    </row>
    <row r="887" spans="1:48" x14ac:dyDescent="0.35">
      <c r="A887">
        <v>885</v>
      </c>
      <c r="B887">
        <v>46057</v>
      </c>
      <c r="C887" t="s">
        <v>16</v>
      </c>
      <c r="D887" t="s">
        <v>354</v>
      </c>
      <c r="E887" t="s">
        <v>226</v>
      </c>
      <c r="F887" t="s">
        <v>227</v>
      </c>
      <c r="G887" t="s">
        <v>228</v>
      </c>
      <c r="H887" t="s">
        <v>22</v>
      </c>
      <c r="I887" t="s">
        <v>23</v>
      </c>
      <c r="J887" t="s">
        <v>215</v>
      </c>
      <c r="K887" t="s">
        <v>353</v>
      </c>
      <c r="L887">
        <v>29</v>
      </c>
      <c r="M887">
        <v>63</v>
      </c>
      <c r="N887">
        <v>2</v>
      </c>
      <c r="O887">
        <v>2</v>
      </c>
      <c r="P887">
        <v>196</v>
      </c>
      <c r="Q887">
        <v>0.5</v>
      </c>
      <c r="R887">
        <v>461.48851938757684</v>
      </c>
      <c r="S887">
        <v>216.18851938757689</v>
      </c>
      <c r="T887">
        <v>0.34375</v>
      </c>
      <c r="U887">
        <v>41</v>
      </c>
      <c r="V887">
        <v>0.67291666666666672</v>
      </c>
      <c r="W887">
        <v>89</v>
      </c>
      <c r="X887">
        <v>13.7</v>
      </c>
      <c r="Y887">
        <v>40.5</v>
      </c>
      <c r="Z887">
        <v>0.34652777777777777</v>
      </c>
      <c r="AA887">
        <v>79</v>
      </c>
      <c r="AB887">
        <v>16.899999999999999</v>
      </c>
      <c r="AD887">
        <v>48</v>
      </c>
      <c r="AE887">
        <v>38.5</v>
      </c>
      <c r="AF887">
        <v>44.754975227659145</v>
      </c>
      <c r="AG887">
        <v>34.185592064046816</v>
      </c>
      <c r="AH887">
        <v>78.94056729170596</v>
      </c>
      <c r="AI887">
        <v>6.1314316061893024</v>
      </c>
      <c r="AJ887">
        <v>5.7773650588239116</v>
      </c>
      <c r="AK887">
        <v>11.908796665013213</v>
      </c>
      <c r="AL887">
        <v>171.05640546912167</v>
      </c>
      <c r="AM887">
        <v>46.845914969774789</v>
      </c>
      <c r="AN887">
        <v>2.7386238382187451</v>
      </c>
      <c r="AO887">
        <v>13.7</v>
      </c>
      <c r="AP887">
        <v>15.085775379605655</v>
      </c>
      <c r="AQ887">
        <v>25.805185101499177</v>
      </c>
      <c r="AR887">
        <v>55.085240875642647</v>
      </c>
      <c r="AS887">
        <v>-0.68096241774171751</v>
      </c>
      <c r="AT887">
        <v>14.322324187821689</v>
      </c>
      <c r="AU887">
        <v>30.573261717830729</v>
      </c>
    </row>
    <row r="888" spans="1:48" x14ac:dyDescent="0.35">
      <c r="A888">
        <v>886</v>
      </c>
      <c r="B888">
        <v>46057</v>
      </c>
      <c r="C888" t="s">
        <v>16</v>
      </c>
      <c r="D888" t="s">
        <v>354</v>
      </c>
      <c r="E888" t="s">
        <v>226</v>
      </c>
      <c r="F888" t="s">
        <v>227</v>
      </c>
      <c r="G888" t="s">
        <v>228</v>
      </c>
      <c r="H888" t="s">
        <v>22</v>
      </c>
      <c r="I888" t="s">
        <v>23</v>
      </c>
      <c r="J888" t="s">
        <v>215</v>
      </c>
      <c r="K888" t="s">
        <v>353</v>
      </c>
      <c r="L888">
        <v>29</v>
      </c>
      <c r="M888">
        <v>63</v>
      </c>
      <c r="N888">
        <v>2</v>
      </c>
      <c r="O888">
        <v>3</v>
      </c>
      <c r="P888">
        <v>197</v>
      </c>
      <c r="Q888">
        <v>0.50049999999999994</v>
      </c>
      <c r="R888">
        <v>461.9500079069644</v>
      </c>
      <c r="S888">
        <v>269.05000790696431</v>
      </c>
      <c r="T888">
        <v>0.34375</v>
      </c>
      <c r="U888">
        <v>40.5</v>
      </c>
      <c r="V888">
        <v>0.67361111111111116</v>
      </c>
      <c r="W888">
        <v>87.5</v>
      </c>
      <c r="X888">
        <v>13.6</v>
      </c>
      <c r="Y888">
        <v>40</v>
      </c>
      <c r="Z888">
        <v>0.34652777777777777</v>
      </c>
      <c r="AA888">
        <v>79.5</v>
      </c>
      <c r="AB888">
        <v>16.7</v>
      </c>
      <c r="AD888">
        <v>47</v>
      </c>
      <c r="AE888">
        <v>39.5</v>
      </c>
      <c r="AF888">
        <v>43.754975227659145</v>
      </c>
      <c r="AG888">
        <v>35.185592064046816</v>
      </c>
      <c r="AH888">
        <v>78.94056729170596</v>
      </c>
      <c r="AI888">
        <v>5.9506766309616443</v>
      </c>
      <c r="AJ888">
        <v>5.8759938746958174</v>
      </c>
      <c r="AK888">
        <v>11.826670505657461</v>
      </c>
      <c r="AL888">
        <v>170.8855199491725</v>
      </c>
      <c r="AM888">
        <v>58.242234722756045</v>
      </c>
      <c r="AN888">
        <v>3.4082603804043421</v>
      </c>
      <c r="AO888">
        <v>13.600000000000001</v>
      </c>
      <c r="AP888">
        <v>14.981739948681685</v>
      </c>
      <c r="AQ888">
        <v>25.60162420873759</v>
      </c>
      <c r="AR888">
        <v>43.957146099572107</v>
      </c>
      <c r="AS888">
        <v>1.5356385763792439</v>
      </c>
      <c r="AT888">
        <v>14.209344370524255</v>
      </c>
      <c r="AU888">
        <v>24.3969765895203</v>
      </c>
    </row>
    <row r="889" spans="1:48" x14ac:dyDescent="0.35">
      <c r="A889">
        <v>887</v>
      </c>
      <c r="B889">
        <v>46057</v>
      </c>
      <c r="C889" t="s">
        <v>16</v>
      </c>
      <c r="D889" t="s">
        <v>356</v>
      </c>
      <c r="E889" t="s">
        <v>219</v>
      </c>
      <c r="F889" t="s">
        <v>253</v>
      </c>
      <c r="G889" t="s">
        <v>254</v>
      </c>
      <c r="H889" t="s">
        <v>22</v>
      </c>
      <c r="I889" t="s">
        <v>23</v>
      </c>
      <c r="J889" t="s">
        <v>215</v>
      </c>
      <c r="K889" t="s">
        <v>355</v>
      </c>
      <c r="L889">
        <v>29</v>
      </c>
      <c r="M889">
        <v>63</v>
      </c>
      <c r="N889">
        <v>2</v>
      </c>
      <c r="O889">
        <v>1</v>
      </c>
      <c r="P889">
        <v>198</v>
      </c>
      <c r="Q889">
        <v>0.50029999999999997</v>
      </c>
      <c r="R889">
        <v>450.6325862368812</v>
      </c>
      <c r="S889">
        <v>138.03258623688123</v>
      </c>
      <c r="T889">
        <v>0.34444444444444444</v>
      </c>
      <c r="U889">
        <v>40</v>
      </c>
      <c r="V889">
        <v>0.6743055555555556</v>
      </c>
      <c r="W889">
        <v>79</v>
      </c>
      <c r="X889">
        <v>13.8</v>
      </c>
      <c r="Y889">
        <v>40.5</v>
      </c>
      <c r="Z889">
        <v>0.34722222222222221</v>
      </c>
      <c r="AA889">
        <v>90</v>
      </c>
      <c r="AB889">
        <v>16.600000000000001</v>
      </c>
      <c r="AV889" t="s">
        <v>661</v>
      </c>
    </row>
    <row r="890" spans="1:48" x14ac:dyDescent="0.35">
      <c r="A890">
        <v>888</v>
      </c>
      <c r="B890">
        <v>46057</v>
      </c>
      <c r="C890" t="s">
        <v>16</v>
      </c>
      <c r="D890" t="s">
        <v>356</v>
      </c>
      <c r="E890" t="s">
        <v>219</v>
      </c>
      <c r="F890" t="s">
        <v>253</v>
      </c>
      <c r="G890" t="s">
        <v>254</v>
      </c>
      <c r="H890" t="s">
        <v>22</v>
      </c>
      <c r="I890" t="s">
        <v>23</v>
      </c>
      <c r="J890" t="s">
        <v>215</v>
      </c>
      <c r="K890" t="s">
        <v>355</v>
      </c>
      <c r="L890">
        <v>29</v>
      </c>
      <c r="M890">
        <v>63</v>
      </c>
      <c r="N890">
        <v>2</v>
      </c>
      <c r="O890">
        <v>2</v>
      </c>
      <c r="P890">
        <v>199</v>
      </c>
      <c r="Q890">
        <v>0.50019999999999998</v>
      </c>
      <c r="R890">
        <v>450.54251376311811</v>
      </c>
      <c r="S890">
        <v>219.04251376311808</v>
      </c>
      <c r="T890">
        <v>0.34444444444444444</v>
      </c>
      <c r="U890">
        <v>40</v>
      </c>
      <c r="V890">
        <v>0.6743055555555556</v>
      </c>
      <c r="W890">
        <v>78</v>
      </c>
      <c r="X890">
        <v>13.9</v>
      </c>
      <c r="Y890">
        <v>40</v>
      </c>
      <c r="Z890">
        <v>0.34722222222222221</v>
      </c>
      <c r="AA890">
        <v>89</v>
      </c>
      <c r="AB890">
        <v>16.2</v>
      </c>
      <c r="AD890">
        <v>38</v>
      </c>
      <c r="AE890">
        <v>49</v>
      </c>
      <c r="AF890">
        <v>34.754975227659145</v>
      </c>
      <c r="AG890">
        <v>44.685592064046816</v>
      </c>
      <c r="AH890">
        <v>79.44056729170596</v>
      </c>
      <c r="AI890">
        <v>4.8309415566446212</v>
      </c>
      <c r="AJ890">
        <v>7.2390659143755842</v>
      </c>
      <c r="AK890">
        <v>12.070007471020205</v>
      </c>
      <c r="AL890">
        <v>176.32202259490535</v>
      </c>
      <c r="AM890">
        <v>48.617501583498537</v>
      </c>
      <c r="AN890">
        <v>2.7573130609552852</v>
      </c>
      <c r="AO890">
        <v>13.9</v>
      </c>
      <c r="AP890">
        <v>15.193757902935292</v>
      </c>
      <c r="AQ890">
        <v>26.789941242628782</v>
      </c>
      <c r="AR890">
        <v>55.103492302289894</v>
      </c>
      <c r="AS890">
        <v>-3.3779062298741618</v>
      </c>
      <c r="AT890">
        <v>14.8688808834521</v>
      </c>
      <c r="AU890">
        <v>30.583391575388575</v>
      </c>
    </row>
    <row r="891" spans="1:48" x14ac:dyDescent="0.35">
      <c r="A891">
        <v>889</v>
      </c>
      <c r="B891">
        <v>46057</v>
      </c>
      <c r="C891" t="s">
        <v>16</v>
      </c>
      <c r="D891" t="s">
        <v>356</v>
      </c>
      <c r="E891" t="s">
        <v>219</v>
      </c>
      <c r="F891" t="s">
        <v>253</v>
      </c>
      <c r="G891" t="s">
        <v>254</v>
      </c>
      <c r="H891" t="s">
        <v>22</v>
      </c>
      <c r="I891" t="s">
        <v>23</v>
      </c>
      <c r="J891" t="s">
        <v>215</v>
      </c>
      <c r="K891" t="s">
        <v>355</v>
      </c>
      <c r="L891">
        <v>29</v>
      </c>
      <c r="M891">
        <v>63</v>
      </c>
      <c r="N891">
        <v>2</v>
      </c>
      <c r="O891">
        <v>3</v>
      </c>
      <c r="P891">
        <v>200</v>
      </c>
      <c r="Q891">
        <v>0.50039999999999996</v>
      </c>
      <c r="R891">
        <v>450.72265871064434</v>
      </c>
      <c r="S891">
        <v>234.92265871064436</v>
      </c>
      <c r="T891">
        <v>0.34513888888888888</v>
      </c>
      <c r="U891">
        <v>40</v>
      </c>
      <c r="V891">
        <v>0.67500000000000004</v>
      </c>
      <c r="W891">
        <v>78.5</v>
      </c>
      <c r="X891">
        <v>13.8</v>
      </c>
      <c r="Y891">
        <v>40</v>
      </c>
      <c r="Z891">
        <v>0.34791666666666665</v>
      </c>
      <c r="AA891">
        <v>89.5</v>
      </c>
      <c r="AB891">
        <v>16.3</v>
      </c>
      <c r="AD891">
        <v>38.5</v>
      </c>
      <c r="AE891">
        <v>49.5</v>
      </c>
      <c r="AF891">
        <v>35.254975227659145</v>
      </c>
      <c r="AG891">
        <v>45.185592064046816</v>
      </c>
      <c r="AH891">
        <v>80.44056729170596</v>
      </c>
      <c r="AI891">
        <v>4.8651865814169621</v>
      </c>
      <c r="AJ891">
        <v>7.3652515064396313</v>
      </c>
      <c r="AK891">
        <v>12.230438087856594</v>
      </c>
      <c r="AL891">
        <v>178.47020942283561</v>
      </c>
      <c r="AM891">
        <v>52.121333190275756</v>
      </c>
      <c r="AN891">
        <v>2.920450049273418</v>
      </c>
      <c r="AO891">
        <v>13.799999999999999</v>
      </c>
      <c r="AP891">
        <v>15.204316055485659</v>
      </c>
      <c r="AQ891">
        <v>27.135174705535071</v>
      </c>
      <c r="AR891">
        <v>52.061551469672828</v>
      </c>
      <c r="AS891">
        <v>3.5048700172062945</v>
      </c>
      <c r="AT891">
        <v>15.060491428262372</v>
      </c>
      <c r="AU891">
        <v>28.895061784551974</v>
      </c>
    </row>
    <row r="892" spans="1:48" x14ac:dyDescent="0.35">
      <c r="A892">
        <v>890</v>
      </c>
      <c r="B892">
        <v>46057</v>
      </c>
      <c r="C892" t="s">
        <v>16</v>
      </c>
      <c r="D892" t="s">
        <v>358</v>
      </c>
      <c r="E892" t="s">
        <v>212</v>
      </c>
      <c r="F892" t="s">
        <v>359</v>
      </c>
      <c r="G892" t="s">
        <v>360</v>
      </c>
      <c r="H892" t="s">
        <v>22</v>
      </c>
      <c r="I892" t="s">
        <v>23</v>
      </c>
      <c r="J892" t="s">
        <v>215</v>
      </c>
      <c r="K892" t="s">
        <v>357</v>
      </c>
      <c r="L892">
        <v>29</v>
      </c>
      <c r="M892">
        <v>63</v>
      </c>
      <c r="N892">
        <v>2</v>
      </c>
      <c r="O892">
        <v>1</v>
      </c>
      <c r="P892">
        <v>201</v>
      </c>
      <c r="Q892">
        <v>0.50009999999999999</v>
      </c>
      <c r="R892">
        <v>459.47093790620954</v>
      </c>
      <c r="S892">
        <v>214.37093790620955</v>
      </c>
      <c r="T892">
        <v>0.34513888888888888</v>
      </c>
      <c r="U892">
        <v>41</v>
      </c>
      <c r="V892">
        <v>0.67500000000000004</v>
      </c>
      <c r="W892">
        <v>91.5</v>
      </c>
      <c r="X892">
        <v>14.5</v>
      </c>
      <c r="Y892">
        <v>40</v>
      </c>
      <c r="Z892">
        <v>0.34791666666666665</v>
      </c>
      <c r="AA892">
        <v>84.5</v>
      </c>
      <c r="AB892">
        <v>17.399999999999999</v>
      </c>
      <c r="AD892">
        <v>50.5</v>
      </c>
      <c r="AE892">
        <v>44.5</v>
      </c>
      <c r="AF892">
        <v>47.254975227659145</v>
      </c>
      <c r="AG892">
        <v>40.185592064046816</v>
      </c>
      <c r="AH892">
        <v>87.44056729170596</v>
      </c>
      <c r="AI892">
        <v>6.8519714080105754</v>
      </c>
      <c r="AJ892">
        <v>6.992293019144145</v>
      </c>
      <c r="AK892">
        <v>13.844264427154719</v>
      </c>
      <c r="AL892">
        <v>190.30706858233316</v>
      </c>
      <c r="AM892">
        <v>46.656038547963277</v>
      </c>
      <c r="AN892">
        <v>2.4516187914364478</v>
      </c>
      <c r="AO892">
        <v>14.499999999999998</v>
      </c>
      <c r="AP892">
        <v>15.832770596020476</v>
      </c>
      <c r="AQ892">
        <v>30.130881596652166</v>
      </c>
      <c r="AR892">
        <v>64.580882849016547</v>
      </c>
      <c r="AS892">
        <v>5.645787209009109</v>
      </c>
      <c r="AT892">
        <v>16.723160581671305</v>
      </c>
      <c r="AU892">
        <v>35.843507297516453</v>
      </c>
    </row>
    <row r="893" spans="1:48" x14ac:dyDescent="0.35">
      <c r="A893">
        <v>891</v>
      </c>
      <c r="B893">
        <v>46057</v>
      </c>
      <c r="C893" t="s">
        <v>16</v>
      </c>
      <c r="D893" t="s">
        <v>358</v>
      </c>
      <c r="E893" t="s">
        <v>212</v>
      </c>
      <c r="F893" t="s">
        <v>359</v>
      </c>
      <c r="G893" t="s">
        <v>360</v>
      </c>
      <c r="H893" t="s">
        <v>22</v>
      </c>
      <c r="I893" t="s">
        <v>23</v>
      </c>
      <c r="J893" t="s">
        <v>215</v>
      </c>
      <c r="K893" t="s">
        <v>357</v>
      </c>
      <c r="L893">
        <v>29</v>
      </c>
      <c r="M893">
        <v>63</v>
      </c>
      <c r="N893">
        <v>2</v>
      </c>
      <c r="O893">
        <v>2</v>
      </c>
      <c r="P893">
        <v>202</v>
      </c>
      <c r="Q893">
        <v>0.50039999999999996</v>
      </c>
      <c r="R893">
        <v>459.74656534346582</v>
      </c>
      <c r="S893">
        <v>191.34656534346584</v>
      </c>
      <c r="T893">
        <v>0.34513888888888888</v>
      </c>
      <c r="U893">
        <v>40</v>
      </c>
      <c r="V893">
        <v>0.67569444444444449</v>
      </c>
      <c r="W893">
        <v>88.5</v>
      </c>
      <c r="X893">
        <v>14.5</v>
      </c>
      <c r="Y893">
        <v>37.5</v>
      </c>
      <c r="Z893">
        <v>0.34861111111111109</v>
      </c>
      <c r="AA893">
        <v>81</v>
      </c>
      <c r="AB893">
        <v>17.399999999999999</v>
      </c>
      <c r="AC893" t="s">
        <v>587</v>
      </c>
      <c r="AD893">
        <v>48.5</v>
      </c>
      <c r="AE893">
        <v>43.5</v>
      </c>
      <c r="AF893">
        <v>45.254975227659145</v>
      </c>
      <c r="AG893">
        <v>39.185592064046816</v>
      </c>
      <c r="AH893">
        <v>84.44056729170596</v>
      </c>
      <c r="AI893">
        <v>6.5619714080105753</v>
      </c>
      <c r="AJ893">
        <v>6.8182930191441455</v>
      </c>
      <c r="AK893">
        <v>13.380264427154721</v>
      </c>
      <c r="AL893">
        <v>183.6676413854716</v>
      </c>
      <c r="AM893">
        <v>41.620009754834236</v>
      </c>
      <c r="AN893">
        <v>2.2660502111792487</v>
      </c>
      <c r="AO893">
        <v>14.499999999999998</v>
      </c>
      <c r="AP893">
        <v>15.845777517021698</v>
      </c>
      <c r="AQ893">
        <v>29.103565824703097</v>
      </c>
      <c r="AR893">
        <v>69.926859691143306</v>
      </c>
      <c r="AS893">
        <v>-1.9801980501146814</v>
      </c>
      <c r="AT893">
        <v>16.152982554610297</v>
      </c>
      <c r="AU893">
        <v>38.81061693584563</v>
      </c>
    </row>
    <row r="894" spans="1:48" x14ac:dyDescent="0.35">
      <c r="A894">
        <v>892</v>
      </c>
      <c r="B894">
        <v>46057</v>
      </c>
      <c r="C894" t="s">
        <v>16</v>
      </c>
      <c r="D894" t="s">
        <v>358</v>
      </c>
      <c r="E894" t="s">
        <v>212</v>
      </c>
      <c r="F894" t="s">
        <v>359</v>
      </c>
      <c r="G894" t="s">
        <v>360</v>
      </c>
      <c r="H894" t="s">
        <v>22</v>
      </c>
      <c r="I894" t="s">
        <v>23</v>
      </c>
      <c r="J894" t="s">
        <v>215</v>
      </c>
      <c r="K894" t="s">
        <v>357</v>
      </c>
      <c r="L894">
        <v>29</v>
      </c>
      <c r="M894">
        <v>63</v>
      </c>
      <c r="N894">
        <v>2</v>
      </c>
      <c r="O894">
        <v>3</v>
      </c>
      <c r="P894">
        <v>203</v>
      </c>
      <c r="Q894">
        <v>0.50009999999999999</v>
      </c>
      <c r="R894">
        <v>459.47093790620954</v>
      </c>
      <c r="S894">
        <v>202.57093790620962</v>
      </c>
      <c r="T894">
        <v>0.34583333333333333</v>
      </c>
      <c r="U894">
        <v>40</v>
      </c>
      <c r="V894">
        <v>0.67569444444444449</v>
      </c>
      <c r="W894">
        <v>90.5</v>
      </c>
      <c r="X894">
        <v>14.6</v>
      </c>
      <c r="Y894">
        <v>40</v>
      </c>
      <c r="Z894">
        <v>0.34861111111111109</v>
      </c>
      <c r="AA894">
        <v>86</v>
      </c>
      <c r="AB894">
        <v>17.5</v>
      </c>
      <c r="AD894">
        <v>50.5</v>
      </c>
      <c r="AE894">
        <v>46</v>
      </c>
      <c r="AF894">
        <v>47.254975227659145</v>
      </c>
      <c r="AG894">
        <v>41.685592064046816</v>
      </c>
      <c r="AH894">
        <v>88.94056729170596</v>
      </c>
      <c r="AI894">
        <v>6.8992263832382346</v>
      </c>
      <c r="AJ894">
        <v>7.294978611208192</v>
      </c>
      <c r="AK894">
        <v>14.194204994446427</v>
      </c>
      <c r="AL894">
        <v>193.57169290620322</v>
      </c>
      <c r="AM894">
        <v>44.087867413185513</v>
      </c>
      <c r="AN894">
        <v>2.2775988963711065</v>
      </c>
      <c r="AO894">
        <v>14.599999999999998</v>
      </c>
      <c r="AP894">
        <v>15.959202225338277</v>
      </c>
      <c r="AQ894">
        <v>30.892497921911765</v>
      </c>
      <c r="AR894">
        <v>70.070293108966823</v>
      </c>
      <c r="AS894">
        <v>-6.3249356909547982</v>
      </c>
      <c r="AT894">
        <v>17.145870818943415</v>
      </c>
      <c r="AU894">
        <v>38.890224964284698</v>
      </c>
    </row>
    <row r="895" spans="1:48" x14ac:dyDescent="0.35">
      <c r="A895">
        <v>893</v>
      </c>
      <c r="B895">
        <v>46057</v>
      </c>
      <c r="C895" t="s">
        <v>16</v>
      </c>
      <c r="D895" t="s">
        <v>362</v>
      </c>
      <c r="E895" t="s">
        <v>219</v>
      </c>
      <c r="F895" t="s">
        <v>253</v>
      </c>
      <c r="G895" t="s">
        <v>254</v>
      </c>
      <c r="H895" t="s">
        <v>22</v>
      </c>
      <c r="I895" t="s">
        <v>23</v>
      </c>
      <c r="J895" t="s">
        <v>215</v>
      </c>
      <c r="K895" t="s">
        <v>361</v>
      </c>
      <c r="L895">
        <v>29</v>
      </c>
      <c r="M895">
        <v>63</v>
      </c>
      <c r="N895">
        <v>2</v>
      </c>
      <c r="O895">
        <v>1</v>
      </c>
      <c r="P895">
        <v>204</v>
      </c>
      <c r="Q895">
        <v>0.50019999999999998</v>
      </c>
      <c r="R895">
        <v>459.12912252648465</v>
      </c>
      <c r="S895">
        <v>203.7291225264847</v>
      </c>
      <c r="T895">
        <v>0.34583333333333333</v>
      </c>
      <c r="U895">
        <v>41</v>
      </c>
      <c r="V895">
        <v>0.67638888888888893</v>
      </c>
      <c r="W895">
        <v>86.5</v>
      </c>
      <c r="X895">
        <v>13.4</v>
      </c>
      <c r="Y895">
        <v>40</v>
      </c>
      <c r="Z895">
        <v>0.34930555555555554</v>
      </c>
      <c r="AA895">
        <v>92</v>
      </c>
      <c r="AB895">
        <v>16.399999999999999</v>
      </c>
      <c r="AD895">
        <v>45.5</v>
      </c>
      <c r="AE895">
        <v>52</v>
      </c>
      <c r="AF895">
        <v>42.254975227659145</v>
      </c>
      <c r="AG895">
        <v>47.685592064046816</v>
      </c>
      <c r="AH895">
        <v>89.94056729170596</v>
      </c>
      <c r="AI895">
        <v>5.662166680506326</v>
      </c>
      <c r="AJ895">
        <v>7.8204370985036764</v>
      </c>
      <c r="AK895">
        <v>13.482603779010002</v>
      </c>
      <c r="AL895">
        <v>195.89384092384117</v>
      </c>
      <c r="AM895">
        <v>44.372947071056835</v>
      </c>
      <c r="AN895">
        <v>2.265152740984234</v>
      </c>
      <c r="AO895">
        <v>13.4</v>
      </c>
      <c r="AP895">
        <v>14.990570089781194</v>
      </c>
      <c r="AQ895">
        <v>29.365603525252887</v>
      </c>
      <c r="AR895">
        <v>66.179069598934092</v>
      </c>
      <c r="AS895">
        <v>-0.73036798328847086</v>
      </c>
      <c r="AT895">
        <v>16.298418011939667</v>
      </c>
      <c r="AU895">
        <v>36.73052859401048</v>
      </c>
    </row>
    <row r="896" spans="1:48" x14ac:dyDescent="0.35">
      <c r="A896">
        <v>894</v>
      </c>
      <c r="B896">
        <v>46057</v>
      </c>
      <c r="C896" t="s">
        <v>16</v>
      </c>
      <c r="D896" t="s">
        <v>362</v>
      </c>
      <c r="E896" t="s">
        <v>219</v>
      </c>
      <c r="F896" t="s">
        <v>253</v>
      </c>
      <c r="G896" t="s">
        <v>254</v>
      </c>
      <c r="H896" t="s">
        <v>22</v>
      </c>
      <c r="I896" t="s">
        <v>23</v>
      </c>
      <c r="J896" t="s">
        <v>215</v>
      </c>
      <c r="K896" t="s">
        <v>361</v>
      </c>
      <c r="L896">
        <v>29</v>
      </c>
      <c r="M896">
        <v>63</v>
      </c>
      <c r="N896">
        <v>2</v>
      </c>
      <c r="O896">
        <v>2</v>
      </c>
      <c r="P896">
        <v>205</v>
      </c>
      <c r="Q896">
        <v>0.50009999999999999</v>
      </c>
      <c r="R896">
        <v>459.0373334176229</v>
      </c>
      <c r="S896">
        <v>268.23733341762295</v>
      </c>
      <c r="T896">
        <v>0.34583333333333333</v>
      </c>
      <c r="U896">
        <v>41</v>
      </c>
      <c r="V896">
        <v>0.67638888888888893</v>
      </c>
      <c r="W896">
        <v>85</v>
      </c>
      <c r="X896">
        <v>13.3</v>
      </c>
      <c r="Y896">
        <v>40</v>
      </c>
      <c r="Z896">
        <v>0.34930555555555554</v>
      </c>
      <c r="AA896">
        <v>90</v>
      </c>
      <c r="AB896">
        <v>16.3</v>
      </c>
      <c r="AC896" t="s">
        <v>588</v>
      </c>
      <c r="AD896">
        <v>44</v>
      </c>
      <c r="AE896">
        <v>50</v>
      </c>
      <c r="AF896">
        <v>40.754975227659145</v>
      </c>
      <c r="AG896">
        <v>45.685592064046816</v>
      </c>
      <c r="AH896">
        <v>86.44056729170596</v>
      </c>
      <c r="AI896">
        <v>5.4204117052786662</v>
      </c>
      <c r="AJ896">
        <v>7.4467515064396315</v>
      </c>
      <c r="AK896">
        <v>12.867163211718298</v>
      </c>
      <c r="AL896">
        <v>188.30835968860961</v>
      </c>
      <c r="AM896">
        <v>58.43475331745752</v>
      </c>
      <c r="AN896">
        <v>3.1031417518630806</v>
      </c>
      <c r="AO896">
        <v>13.299999999999999</v>
      </c>
      <c r="AP896">
        <v>14.885560813473411</v>
      </c>
      <c r="AQ896">
        <v>28.03075539830224</v>
      </c>
      <c r="AR896">
        <v>47.969322717972325</v>
      </c>
      <c r="AS896">
        <v>1.1203295527618384</v>
      </c>
      <c r="AT896">
        <v>15.557554207223804</v>
      </c>
      <c r="AU896">
        <v>26.623804027552808</v>
      </c>
    </row>
    <row r="897" spans="1:47" x14ac:dyDescent="0.35">
      <c r="A897">
        <v>895</v>
      </c>
      <c r="B897">
        <v>46057</v>
      </c>
      <c r="C897" t="s">
        <v>16</v>
      </c>
      <c r="D897" t="s">
        <v>362</v>
      </c>
      <c r="E897" t="s">
        <v>219</v>
      </c>
      <c r="F897" t="s">
        <v>253</v>
      </c>
      <c r="G897" t="s">
        <v>254</v>
      </c>
      <c r="H897" t="s">
        <v>22</v>
      </c>
      <c r="I897" t="s">
        <v>23</v>
      </c>
      <c r="J897" t="s">
        <v>215</v>
      </c>
      <c r="K897" t="s">
        <v>361</v>
      </c>
      <c r="L897">
        <v>29</v>
      </c>
      <c r="M897">
        <v>63</v>
      </c>
      <c r="N897">
        <v>2</v>
      </c>
      <c r="O897">
        <v>3</v>
      </c>
      <c r="P897">
        <v>206</v>
      </c>
      <c r="Q897">
        <v>0.50029999999999997</v>
      </c>
      <c r="R897">
        <v>459.2209116353464</v>
      </c>
      <c r="S897">
        <v>272.52091163534641</v>
      </c>
      <c r="T897">
        <v>0.34652777777777777</v>
      </c>
      <c r="U897">
        <v>41</v>
      </c>
      <c r="V897">
        <v>0.67638888888888893</v>
      </c>
      <c r="W897">
        <v>85.5</v>
      </c>
      <c r="X897">
        <v>13.5</v>
      </c>
      <c r="Y897">
        <v>40</v>
      </c>
      <c r="Z897">
        <v>0.35</v>
      </c>
      <c r="AA897">
        <v>93</v>
      </c>
      <c r="AB897">
        <v>16.3</v>
      </c>
      <c r="AD897">
        <v>44.5</v>
      </c>
      <c r="AE897">
        <v>53</v>
      </c>
      <c r="AF897">
        <v>41.254975227659145</v>
      </c>
      <c r="AG897">
        <v>48.685592064046816</v>
      </c>
      <c r="AH897">
        <v>89.94056729170596</v>
      </c>
      <c r="AI897">
        <v>5.5694216557339846</v>
      </c>
      <c r="AJ897">
        <v>7.9357515064396313</v>
      </c>
      <c r="AK897">
        <v>13.505173162173616</v>
      </c>
      <c r="AL897">
        <v>195.8546856488214</v>
      </c>
      <c r="AM897">
        <v>59.344185931094337</v>
      </c>
      <c r="AN897">
        <v>3.0300110377497855</v>
      </c>
      <c r="AO897">
        <v>13.5</v>
      </c>
      <c r="AP897">
        <v>15.015663753122691</v>
      </c>
      <c r="AQ897">
        <v>29.408881041762466</v>
      </c>
      <c r="AR897">
        <v>49.556465524541323</v>
      </c>
      <c r="AS897">
        <v>1.0062093762691073</v>
      </c>
      <c r="AT897">
        <v>16.322437782348441</v>
      </c>
      <c r="AU897">
        <v>27.504695744416704</v>
      </c>
    </row>
    <row r="898" spans="1:47" x14ac:dyDescent="0.35">
      <c r="A898">
        <v>896</v>
      </c>
      <c r="B898">
        <v>46057</v>
      </c>
      <c r="C898" t="s">
        <v>16</v>
      </c>
      <c r="D898" t="s">
        <v>364</v>
      </c>
      <c r="E898" t="s">
        <v>219</v>
      </c>
      <c r="F898" t="s">
        <v>365</v>
      </c>
      <c r="G898" t="s">
        <v>366</v>
      </c>
      <c r="H898" t="s">
        <v>22</v>
      </c>
      <c r="I898" t="s">
        <v>23</v>
      </c>
      <c r="J898" t="s">
        <v>215</v>
      </c>
      <c r="K898" t="s">
        <v>363</v>
      </c>
      <c r="L898">
        <v>29</v>
      </c>
      <c r="M898">
        <v>63</v>
      </c>
      <c r="N898">
        <v>2</v>
      </c>
      <c r="O898">
        <v>1</v>
      </c>
      <c r="P898">
        <v>207</v>
      </c>
      <c r="Q898">
        <v>0.50029999999999997</v>
      </c>
      <c r="R898">
        <v>453.55160685562856</v>
      </c>
      <c r="S898">
        <v>246.35160685562863</v>
      </c>
      <c r="T898">
        <v>0.34652777777777777</v>
      </c>
      <c r="U898">
        <v>41</v>
      </c>
      <c r="V898">
        <v>0.67708333333333337</v>
      </c>
      <c r="W898">
        <v>95</v>
      </c>
      <c r="X898">
        <v>14.1</v>
      </c>
      <c r="Y898">
        <v>40</v>
      </c>
      <c r="Z898">
        <v>0.35</v>
      </c>
      <c r="AA898">
        <v>89</v>
      </c>
      <c r="AB898">
        <v>17.8</v>
      </c>
      <c r="AD898">
        <v>54</v>
      </c>
      <c r="AE898">
        <v>49</v>
      </c>
      <c r="AF898">
        <v>50.754975227659145</v>
      </c>
      <c r="AG898">
        <v>44.685592064046816</v>
      </c>
      <c r="AH898">
        <v>95.44056729170596</v>
      </c>
      <c r="AI898">
        <v>7.1564515070999386</v>
      </c>
      <c r="AJ898">
        <v>7.9540353874003342</v>
      </c>
      <c r="AK898">
        <v>15.110486894500273</v>
      </c>
      <c r="AL898">
        <v>210.42934442096671</v>
      </c>
      <c r="AM898">
        <v>54.316113785491581</v>
      </c>
      <c r="AN898">
        <v>2.5812043436694583</v>
      </c>
      <c r="AO898">
        <v>14.099999999999998</v>
      </c>
      <c r="AP898">
        <v>15.832352345849284</v>
      </c>
      <c r="AQ898">
        <v>33.315915247788197</v>
      </c>
      <c r="AR898">
        <v>61.337074628279531</v>
      </c>
      <c r="AS898">
        <v>-1.710114165599705</v>
      </c>
      <c r="AT898">
        <v>18.490909362440231</v>
      </c>
      <c r="AU898">
        <v>34.043137613757914</v>
      </c>
    </row>
    <row r="899" spans="1:47" x14ac:dyDescent="0.35">
      <c r="A899">
        <v>897</v>
      </c>
      <c r="B899">
        <v>46057</v>
      </c>
      <c r="C899" t="s">
        <v>16</v>
      </c>
      <c r="D899" t="s">
        <v>364</v>
      </c>
      <c r="E899" t="s">
        <v>219</v>
      </c>
      <c r="F899" t="s">
        <v>365</v>
      </c>
      <c r="G899" t="s">
        <v>366</v>
      </c>
      <c r="H899" t="s">
        <v>22</v>
      </c>
      <c r="I899" t="s">
        <v>23</v>
      </c>
      <c r="J899" t="s">
        <v>215</v>
      </c>
      <c r="K899" t="s">
        <v>363</v>
      </c>
      <c r="L899">
        <v>29</v>
      </c>
      <c r="M899">
        <v>63</v>
      </c>
      <c r="N899">
        <v>2</v>
      </c>
      <c r="O899">
        <v>2</v>
      </c>
      <c r="P899">
        <v>208</v>
      </c>
      <c r="Q899">
        <v>0.50019999999999998</v>
      </c>
      <c r="R899">
        <v>453.46095092781417</v>
      </c>
      <c r="S899">
        <v>278.26095092781418</v>
      </c>
      <c r="T899">
        <v>0.34722222222222221</v>
      </c>
      <c r="U899">
        <v>40.5</v>
      </c>
      <c r="V899">
        <v>0.67708333333333337</v>
      </c>
      <c r="W899">
        <v>95.5</v>
      </c>
      <c r="X899">
        <v>14.3</v>
      </c>
      <c r="Y899">
        <v>40</v>
      </c>
      <c r="Z899">
        <v>0.35069444444444442</v>
      </c>
      <c r="AA899">
        <v>91</v>
      </c>
      <c r="AB899">
        <v>17.8</v>
      </c>
      <c r="AC899" t="s">
        <v>569</v>
      </c>
      <c r="AD899">
        <v>55</v>
      </c>
      <c r="AE899">
        <v>51</v>
      </c>
      <c r="AF899">
        <v>51.754975227659145</v>
      </c>
      <c r="AG899">
        <v>46.685592064046816</v>
      </c>
      <c r="AH899">
        <v>98.44056729170596</v>
      </c>
      <c r="AI899">
        <v>7.4009614575552582</v>
      </c>
      <c r="AJ899">
        <v>8.3100353874003332</v>
      </c>
      <c r="AK899">
        <v>15.710996844955591</v>
      </c>
      <c r="AL899">
        <v>217.08719811549238</v>
      </c>
      <c r="AM899">
        <v>61.363817624973436</v>
      </c>
      <c r="AN899">
        <v>2.8266898351291689</v>
      </c>
      <c r="AO899">
        <v>14.299999999999999</v>
      </c>
      <c r="AP899">
        <v>15.959880440753322</v>
      </c>
      <c r="AQ899">
        <v>34.646857271413879</v>
      </c>
      <c r="AR899">
        <v>56.461378402430967</v>
      </c>
      <c r="AS899">
        <v>1.9751599219638305</v>
      </c>
      <c r="AT899">
        <v>19.229605212231093</v>
      </c>
      <c r="AU899">
        <v>31.337041853805982</v>
      </c>
    </row>
    <row r="900" spans="1:47" x14ac:dyDescent="0.35">
      <c r="A900">
        <v>898</v>
      </c>
      <c r="B900">
        <v>46057</v>
      </c>
      <c r="C900" t="s">
        <v>16</v>
      </c>
      <c r="D900" t="s">
        <v>364</v>
      </c>
      <c r="E900" t="s">
        <v>219</v>
      </c>
      <c r="F900" t="s">
        <v>365</v>
      </c>
      <c r="G900" t="s">
        <v>366</v>
      </c>
      <c r="H900" t="s">
        <v>22</v>
      </c>
      <c r="I900" t="s">
        <v>23</v>
      </c>
      <c r="J900" t="s">
        <v>215</v>
      </c>
      <c r="K900" t="s">
        <v>363</v>
      </c>
      <c r="L900">
        <v>29</v>
      </c>
      <c r="M900">
        <v>63</v>
      </c>
      <c r="N900">
        <v>2</v>
      </c>
      <c r="O900">
        <v>3</v>
      </c>
      <c r="P900">
        <v>209</v>
      </c>
      <c r="Q900">
        <v>0.50019999999999998</v>
      </c>
      <c r="R900">
        <v>453.46095092781417</v>
      </c>
      <c r="S900">
        <v>229.4609509278142</v>
      </c>
      <c r="T900">
        <v>0.34722222222222221</v>
      </c>
      <c r="U900">
        <v>41.5</v>
      </c>
      <c r="V900">
        <v>0.67777777777777781</v>
      </c>
      <c r="W900">
        <v>96</v>
      </c>
      <c r="X900">
        <v>14.2</v>
      </c>
      <c r="Y900">
        <v>40</v>
      </c>
      <c r="Z900">
        <v>0.35069444444444442</v>
      </c>
      <c r="AA900">
        <v>89</v>
      </c>
      <c r="AB900">
        <v>17.899999999999999</v>
      </c>
      <c r="AD900">
        <v>54.5</v>
      </c>
      <c r="AE900">
        <v>49</v>
      </c>
      <c r="AF900">
        <v>51.254975227659145</v>
      </c>
      <c r="AG900">
        <v>44.685592064046816</v>
      </c>
      <c r="AH900">
        <v>95.94056729170596</v>
      </c>
      <c r="AI900">
        <v>7.2782064823275983</v>
      </c>
      <c r="AJ900">
        <v>7.9987209794643794</v>
      </c>
      <c r="AK900">
        <v>15.276927461791978</v>
      </c>
      <c r="AL900">
        <v>211.5740442377774</v>
      </c>
      <c r="AM900">
        <v>50.602141255673807</v>
      </c>
      <c r="AN900">
        <v>2.3916989174156265</v>
      </c>
      <c r="AO900">
        <v>14.199999999999998</v>
      </c>
      <c r="AP900">
        <v>15.923324088070787</v>
      </c>
      <c r="AQ900">
        <v>33.689620750219547</v>
      </c>
      <c r="AR900">
        <v>66.577460783721421</v>
      </c>
      <c r="AS900">
        <v>-0.86388359825132144</v>
      </c>
      <c r="AT900">
        <v>18.698322381782756</v>
      </c>
      <c r="AU900">
        <v>36.95164259414851</v>
      </c>
    </row>
    <row r="901" spans="1:47" x14ac:dyDescent="0.35">
      <c r="A901">
        <v>899</v>
      </c>
      <c r="B901">
        <v>46057</v>
      </c>
      <c r="C901" t="s">
        <v>16</v>
      </c>
      <c r="D901" t="s">
        <v>368</v>
      </c>
      <c r="E901" t="s">
        <v>219</v>
      </c>
      <c r="F901" t="s">
        <v>365</v>
      </c>
      <c r="G901" t="s">
        <v>366</v>
      </c>
      <c r="H901" t="s">
        <v>22</v>
      </c>
      <c r="I901" t="s">
        <v>23</v>
      </c>
      <c r="J901" t="s">
        <v>215</v>
      </c>
      <c r="K901" t="s">
        <v>367</v>
      </c>
      <c r="L901">
        <v>29</v>
      </c>
      <c r="M901">
        <v>63</v>
      </c>
      <c r="N901">
        <v>2</v>
      </c>
      <c r="O901">
        <v>1</v>
      </c>
      <c r="P901">
        <v>210</v>
      </c>
      <c r="Q901">
        <v>0.50029999999999997</v>
      </c>
      <c r="R901">
        <v>455.62767723227682</v>
      </c>
      <c r="S901">
        <v>253.92767723227684</v>
      </c>
      <c r="T901">
        <v>0.34722222222222221</v>
      </c>
      <c r="U901">
        <v>41</v>
      </c>
      <c r="V901">
        <v>0.67777777777777781</v>
      </c>
      <c r="W901">
        <v>89</v>
      </c>
      <c r="X901">
        <v>14.1</v>
      </c>
      <c r="Y901">
        <v>40</v>
      </c>
      <c r="Z901">
        <v>0.35138888888888886</v>
      </c>
      <c r="AA901">
        <v>93</v>
      </c>
      <c r="AB901">
        <v>17.100000000000001</v>
      </c>
      <c r="AD901">
        <v>48</v>
      </c>
      <c r="AE901">
        <v>53</v>
      </c>
      <c r="AF901">
        <v>44.754975227659145</v>
      </c>
      <c r="AG901">
        <v>48.685592064046816</v>
      </c>
      <c r="AH901">
        <v>93.44056729170596</v>
      </c>
      <c r="AI901">
        <v>6.3104515070999385</v>
      </c>
      <c r="AJ901">
        <v>8.3252362429520055</v>
      </c>
      <c r="AK901">
        <v>14.635687750051943</v>
      </c>
      <c r="AL901">
        <v>205.08097282261983</v>
      </c>
      <c r="AM901">
        <v>55.731398666289913</v>
      </c>
      <c r="AN901">
        <v>2.7175314169439568</v>
      </c>
      <c r="AO901">
        <v>14.099999999999998</v>
      </c>
      <c r="AP901">
        <v>15.663098132058373</v>
      </c>
      <c r="AQ901">
        <v>32.122034023386902</v>
      </c>
      <c r="AR901">
        <v>57.637229267702672</v>
      </c>
      <c r="AS901">
        <v>1.5273629877666672</v>
      </c>
      <c r="AT901">
        <v>17.82828462751301</v>
      </c>
      <c r="AU901">
        <v>31.989659427472347</v>
      </c>
    </row>
    <row r="902" spans="1:47" x14ac:dyDescent="0.35">
      <c r="A902">
        <v>900</v>
      </c>
      <c r="B902">
        <v>46057</v>
      </c>
      <c r="C902" t="s">
        <v>16</v>
      </c>
      <c r="D902" t="s">
        <v>368</v>
      </c>
      <c r="E902" t="s">
        <v>219</v>
      </c>
      <c r="F902" t="s">
        <v>365</v>
      </c>
      <c r="G902" t="s">
        <v>366</v>
      </c>
      <c r="H902" t="s">
        <v>22</v>
      </c>
      <c r="I902" t="s">
        <v>23</v>
      </c>
      <c r="J902" t="s">
        <v>215</v>
      </c>
      <c r="K902" t="s">
        <v>367</v>
      </c>
      <c r="L902">
        <v>29</v>
      </c>
      <c r="M902">
        <v>63</v>
      </c>
      <c r="N902">
        <v>2</v>
      </c>
      <c r="O902">
        <v>2</v>
      </c>
      <c r="P902">
        <v>211</v>
      </c>
      <c r="Q902">
        <v>0.50029999999999997</v>
      </c>
      <c r="R902">
        <v>455.62767723227682</v>
      </c>
      <c r="S902">
        <v>224.22767723227676</v>
      </c>
      <c r="T902">
        <v>0.34791666666666665</v>
      </c>
      <c r="U902">
        <v>41.5</v>
      </c>
      <c r="V902">
        <v>0.67847222222222225</v>
      </c>
      <c r="W902">
        <v>87.5</v>
      </c>
      <c r="X902">
        <v>14.3</v>
      </c>
      <c r="Y902">
        <v>40.5</v>
      </c>
      <c r="Z902">
        <v>0.35138888888888886</v>
      </c>
      <c r="AA902">
        <v>94</v>
      </c>
      <c r="AB902">
        <v>17.2</v>
      </c>
      <c r="AD902">
        <v>46</v>
      </c>
      <c r="AE902">
        <v>53.5</v>
      </c>
      <c r="AF902">
        <v>42.754975227659145</v>
      </c>
      <c r="AG902">
        <v>49.185592064046816</v>
      </c>
      <c r="AH902">
        <v>91.94056729170596</v>
      </c>
      <c r="AI902">
        <v>6.1139614575552583</v>
      </c>
      <c r="AJ902">
        <v>8.4599218350160523</v>
      </c>
      <c r="AK902">
        <v>14.57388329257131</v>
      </c>
      <c r="AL902">
        <v>201.78881109725717</v>
      </c>
      <c r="AM902">
        <v>49.212918450071804</v>
      </c>
      <c r="AN902">
        <v>2.4388328660280578</v>
      </c>
      <c r="AO902">
        <v>14.300000000000002</v>
      </c>
      <c r="AP902">
        <v>15.851417629751815</v>
      </c>
      <c r="AQ902">
        <v>31.986387177137207</v>
      </c>
      <c r="AR902">
        <v>64.995916081645305</v>
      </c>
      <c r="AS902">
        <v>-3.9056026189902084</v>
      </c>
      <c r="AT902">
        <v>17.752998281013173</v>
      </c>
      <c r="AU902">
        <v>36.073857922131161</v>
      </c>
    </row>
    <row r="903" spans="1:47" x14ac:dyDescent="0.35">
      <c r="A903">
        <v>901</v>
      </c>
      <c r="B903">
        <v>46057</v>
      </c>
      <c r="C903" t="s">
        <v>16</v>
      </c>
      <c r="D903" t="s">
        <v>368</v>
      </c>
      <c r="E903" t="s">
        <v>219</v>
      </c>
      <c r="F903" t="s">
        <v>365</v>
      </c>
      <c r="G903" t="s">
        <v>366</v>
      </c>
      <c r="H903" t="s">
        <v>22</v>
      </c>
      <c r="I903" t="s">
        <v>23</v>
      </c>
      <c r="J903" t="s">
        <v>215</v>
      </c>
      <c r="K903" t="s">
        <v>367</v>
      </c>
      <c r="L903">
        <v>29</v>
      </c>
      <c r="M903">
        <v>63</v>
      </c>
      <c r="N903">
        <v>2</v>
      </c>
      <c r="O903">
        <v>3</v>
      </c>
      <c r="P903">
        <v>212</v>
      </c>
      <c r="Q903">
        <v>0.5</v>
      </c>
      <c r="R903">
        <v>455.35446455354469</v>
      </c>
      <c r="S903">
        <v>257.95446455354465</v>
      </c>
      <c r="T903">
        <v>0.34791666666666665</v>
      </c>
      <c r="U903">
        <v>40.5</v>
      </c>
      <c r="V903">
        <v>0.67847222222222225</v>
      </c>
      <c r="W903">
        <v>87.5</v>
      </c>
      <c r="X903">
        <v>14.4</v>
      </c>
      <c r="Y903">
        <v>40</v>
      </c>
      <c r="Z903">
        <v>0.35208333333333336</v>
      </c>
      <c r="AA903">
        <v>94</v>
      </c>
      <c r="AB903">
        <v>17.100000000000001</v>
      </c>
      <c r="AD903">
        <v>47</v>
      </c>
      <c r="AE903">
        <v>54</v>
      </c>
      <c r="AF903">
        <v>43.754975227659145</v>
      </c>
      <c r="AG903">
        <v>49.685592064046816</v>
      </c>
      <c r="AH903">
        <v>93.44056729170596</v>
      </c>
      <c r="AI903">
        <v>6.3007164327829175</v>
      </c>
      <c r="AJ903">
        <v>8.4962362429520066</v>
      </c>
      <c r="AK903">
        <v>14.796952675734925</v>
      </c>
      <c r="AL903">
        <v>205.20402140631342</v>
      </c>
      <c r="AM903">
        <v>56.64915678524374</v>
      </c>
      <c r="AN903">
        <v>2.7606260538664493</v>
      </c>
      <c r="AO903">
        <v>14.400000000000002</v>
      </c>
      <c r="AP903">
        <v>15.835683691368539</v>
      </c>
      <c r="AQ903">
        <v>32.495459751871969</v>
      </c>
      <c r="AR903">
        <v>57.362653913917669</v>
      </c>
      <c r="AS903">
        <v>1.2915403280336448</v>
      </c>
      <c r="AT903">
        <v>18.035542367474964</v>
      </c>
      <c r="AU903">
        <v>31.837265355683027</v>
      </c>
    </row>
    <row r="904" spans="1:47" x14ac:dyDescent="0.35">
      <c r="A904">
        <v>902</v>
      </c>
      <c r="B904">
        <v>46057</v>
      </c>
      <c r="D904" t="s">
        <v>541</v>
      </c>
      <c r="E904" t="s">
        <v>538</v>
      </c>
      <c r="F904" t="s">
        <v>542</v>
      </c>
      <c r="G904" t="s">
        <v>541</v>
      </c>
      <c r="K904" t="s">
        <v>543</v>
      </c>
      <c r="L904">
        <v>29</v>
      </c>
      <c r="M904">
        <v>63</v>
      </c>
      <c r="N904">
        <v>2</v>
      </c>
      <c r="O904">
        <v>1</v>
      </c>
      <c r="P904">
        <v>213</v>
      </c>
      <c r="T904">
        <v>0.34791666666666665</v>
      </c>
      <c r="U904">
        <v>40</v>
      </c>
      <c r="V904">
        <v>0.67847222222222225</v>
      </c>
      <c r="W904">
        <v>44</v>
      </c>
      <c r="AD904">
        <v>4</v>
      </c>
    </row>
    <row r="905" spans="1:47" x14ac:dyDescent="0.35">
      <c r="A905">
        <v>903</v>
      </c>
      <c r="B905">
        <v>46057</v>
      </c>
      <c r="D905" t="s">
        <v>541</v>
      </c>
      <c r="E905" t="s">
        <v>538</v>
      </c>
      <c r="F905" t="s">
        <v>542</v>
      </c>
      <c r="G905" t="s">
        <v>541</v>
      </c>
      <c r="K905" t="s">
        <v>543</v>
      </c>
      <c r="L905">
        <v>29</v>
      </c>
      <c r="M905">
        <v>63</v>
      </c>
      <c r="N905">
        <v>2</v>
      </c>
      <c r="O905">
        <v>2</v>
      </c>
      <c r="P905">
        <v>214</v>
      </c>
      <c r="T905">
        <v>0.34861111111111109</v>
      </c>
      <c r="U905">
        <v>40.5</v>
      </c>
      <c r="V905">
        <v>0.6791666666666667</v>
      </c>
      <c r="W905">
        <v>43.5</v>
      </c>
      <c r="AD905">
        <v>3</v>
      </c>
    </row>
    <row r="906" spans="1:47" x14ac:dyDescent="0.35">
      <c r="A906">
        <v>904</v>
      </c>
      <c r="B906">
        <v>46057</v>
      </c>
      <c r="C906" t="s">
        <v>16</v>
      </c>
      <c r="D906" t="s">
        <v>370</v>
      </c>
      <c r="E906" t="s">
        <v>219</v>
      </c>
      <c r="F906" t="s">
        <v>365</v>
      </c>
      <c r="G906" t="s">
        <v>366</v>
      </c>
      <c r="H906" t="s">
        <v>22</v>
      </c>
      <c r="I906" t="s">
        <v>23</v>
      </c>
      <c r="J906" t="s">
        <v>215</v>
      </c>
      <c r="K906" t="s">
        <v>369</v>
      </c>
      <c r="L906">
        <v>29</v>
      </c>
      <c r="M906">
        <v>63</v>
      </c>
      <c r="N906">
        <v>2</v>
      </c>
      <c r="O906">
        <v>1</v>
      </c>
      <c r="P906">
        <v>215</v>
      </c>
      <c r="Q906">
        <v>0.50029999999999997</v>
      </c>
      <c r="R906">
        <v>458.14788605697112</v>
      </c>
      <c r="S906">
        <v>206.04788605697112</v>
      </c>
      <c r="T906">
        <v>0.34861111111111109</v>
      </c>
      <c r="U906">
        <v>41.5</v>
      </c>
      <c r="V906">
        <v>0.6791666666666667</v>
      </c>
      <c r="W906">
        <v>98</v>
      </c>
      <c r="X906">
        <v>14.4</v>
      </c>
      <c r="Y906">
        <v>40.5</v>
      </c>
      <c r="Z906">
        <v>0.3527777777777778</v>
      </c>
      <c r="AA906">
        <v>96</v>
      </c>
      <c r="AB906">
        <v>17.899999999999999</v>
      </c>
      <c r="AC906" t="s">
        <v>569</v>
      </c>
      <c r="AD906">
        <v>56.5</v>
      </c>
      <c r="AE906">
        <v>55.5</v>
      </c>
      <c r="AF906">
        <v>53.254975227659145</v>
      </c>
      <c r="AG906">
        <v>51.185592064046816</v>
      </c>
      <c r="AH906">
        <v>104.44056729170596</v>
      </c>
      <c r="AI906">
        <v>7.6687164327829178</v>
      </c>
      <c r="AJ906">
        <v>9.1622209794643794</v>
      </c>
      <c r="AK906">
        <v>16.830937412247298</v>
      </c>
      <c r="AL906">
        <v>227.96256508039124</v>
      </c>
      <c r="AM906">
        <v>44.974099483534204</v>
      </c>
      <c r="AN906">
        <v>1.9728721453750109</v>
      </c>
      <c r="AO906">
        <v>14.400000000000002</v>
      </c>
      <c r="AP906">
        <v>16.115325537478107</v>
      </c>
      <c r="AQ906">
        <v>36.736909466290442</v>
      </c>
      <c r="AR906">
        <v>81.684591549721773</v>
      </c>
      <c r="AS906">
        <v>-12.034809885145737</v>
      </c>
      <c r="AT906">
        <v>20.389620340460166</v>
      </c>
      <c r="AU906">
        <v>45.336361538323096</v>
      </c>
    </row>
    <row r="907" spans="1:47" x14ac:dyDescent="0.35">
      <c r="A907">
        <v>905</v>
      </c>
      <c r="B907">
        <v>46057</v>
      </c>
      <c r="C907" t="s">
        <v>16</v>
      </c>
      <c r="D907" t="s">
        <v>370</v>
      </c>
      <c r="E907" t="s">
        <v>219</v>
      </c>
      <c r="F907" t="s">
        <v>365</v>
      </c>
      <c r="G907" t="s">
        <v>366</v>
      </c>
      <c r="H907" t="s">
        <v>22</v>
      </c>
      <c r="I907" t="s">
        <v>23</v>
      </c>
      <c r="J907" t="s">
        <v>215</v>
      </c>
      <c r="K907" t="s">
        <v>369</v>
      </c>
      <c r="L907">
        <v>29</v>
      </c>
      <c r="M907">
        <v>63</v>
      </c>
      <c r="N907">
        <v>2</v>
      </c>
      <c r="O907">
        <v>2</v>
      </c>
      <c r="P907">
        <v>216</v>
      </c>
      <c r="Q907">
        <v>0.50029999999999997</v>
      </c>
      <c r="R907">
        <v>458.14788605697112</v>
      </c>
      <c r="S907">
        <v>272.04788605697115</v>
      </c>
      <c r="T907">
        <v>0.34861111111111109</v>
      </c>
      <c r="U907">
        <v>40.5</v>
      </c>
      <c r="V907">
        <v>0.6791666666666667</v>
      </c>
      <c r="W907">
        <v>96.5</v>
      </c>
      <c r="X907">
        <v>14.6</v>
      </c>
      <c r="Y907">
        <v>40</v>
      </c>
      <c r="Z907">
        <v>0.35347222222222224</v>
      </c>
      <c r="AA907">
        <v>99</v>
      </c>
      <c r="AB907">
        <v>17.8</v>
      </c>
      <c r="AD907">
        <v>56</v>
      </c>
      <c r="AE907">
        <v>59</v>
      </c>
      <c r="AF907">
        <v>52.754975227659145</v>
      </c>
      <c r="AG907">
        <v>54.685592064046816</v>
      </c>
      <c r="AH907">
        <v>107.44056729170596</v>
      </c>
      <c r="AI907">
        <v>7.7022263832382345</v>
      </c>
      <c r="AJ907">
        <v>9.7340353874003345</v>
      </c>
      <c r="AK907">
        <v>17.43626177063857</v>
      </c>
      <c r="AL907">
        <v>234.51066906886399</v>
      </c>
      <c r="AM907">
        <v>59.37992825817421</v>
      </c>
      <c r="AN907">
        <v>2.5320779005042753</v>
      </c>
      <c r="AO907">
        <v>14.6</v>
      </c>
      <c r="AP907">
        <v>16.228750657373517</v>
      </c>
      <c r="AQ907">
        <v>38.058151748124303</v>
      </c>
      <c r="AR907">
        <v>64.092619955102833</v>
      </c>
      <c r="AS907">
        <v>0.69335413190461137</v>
      </c>
      <c r="AT907">
        <v>21.122932665740965</v>
      </c>
      <c r="AU907">
        <v>35.572512943939429</v>
      </c>
    </row>
    <row r="908" spans="1:47" x14ac:dyDescent="0.35">
      <c r="A908">
        <v>906</v>
      </c>
      <c r="B908">
        <v>46057</v>
      </c>
      <c r="C908" t="s">
        <v>16</v>
      </c>
      <c r="D908" t="s">
        <v>370</v>
      </c>
      <c r="E908" t="s">
        <v>219</v>
      </c>
      <c r="F908" t="s">
        <v>365</v>
      </c>
      <c r="G908" t="s">
        <v>366</v>
      </c>
      <c r="H908" t="s">
        <v>22</v>
      </c>
      <c r="I908" t="s">
        <v>23</v>
      </c>
      <c r="J908" t="s">
        <v>215</v>
      </c>
      <c r="K908" t="s">
        <v>369</v>
      </c>
      <c r="L908">
        <v>29</v>
      </c>
      <c r="M908">
        <v>63</v>
      </c>
      <c r="N908">
        <v>2</v>
      </c>
      <c r="O908">
        <v>3</v>
      </c>
      <c r="P908">
        <v>217</v>
      </c>
      <c r="Q908">
        <v>0.50039999999999996</v>
      </c>
      <c r="R908">
        <v>458.23946068940307</v>
      </c>
      <c r="S908">
        <v>231.73946068940305</v>
      </c>
      <c r="T908">
        <v>0.34930555555555554</v>
      </c>
      <c r="U908">
        <v>41</v>
      </c>
      <c r="V908">
        <v>0.67986111111111114</v>
      </c>
      <c r="W908">
        <v>94.5</v>
      </c>
      <c r="X908">
        <v>14.4</v>
      </c>
      <c r="Y908">
        <v>40</v>
      </c>
      <c r="Z908">
        <v>0.35347222222222224</v>
      </c>
      <c r="AA908">
        <v>89</v>
      </c>
      <c r="AB908">
        <v>18.100000000000001</v>
      </c>
      <c r="AD908">
        <v>53.5</v>
      </c>
      <c r="AE908">
        <v>49</v>
      </c>
      <c r="AF908">
        <v>50.254975227659145</v>
      </c>
      <c r="AG908">
        <v>44.685592064046816</v>
      </c>
      <c r="AH908">
        <v>94.94056729170596</v>
      </c>
      <c r="AI908">
        <v>7.2367164327829174</v>
      </c>
      <c r="AJ908">
        <v>8.0880921635924743</v>
      </c>
      <c r="AK908">
        <v>15.324808596375391</v>
      </c>
      <c r="AL908">
        <v>207.18549019953812</v>
      </c>
      <c r="AM908">
        <v>50.571694620266925</v>
      </c>
      <c r="AN908">
        <v>2.4408897829457974</v>
      </c>
      <c r="AO908">
        <v>14.4</v>
      </c>
      <c r="AP908">
        <v>16.141475697411565</v>
      </c>
      <c r="AQ908">
        <v>33.44279554912147</v>
      </c>
      <c r="AR908">
        <v>66.129473809879116</v>
      </c>
      <c r="AS908">
        <v>1.7187213884578412</v>
      </c>
      <c r="AT908">
        <v>18.561330124841117</v>
      </c>
      <c r="AU908">
        <v>36.703002073026333</v>
      </c>
    </row>
    <row r="909" spans="1:47" x14ac:dyDescent="0.35">
      <c r="A909">
        <v>907</v>
      </c>
      <c r="B909">
        <v>46057</v>
      </c>
      <c r="C909" t="s">
        <v>16</v>
      </c>
      <c r="D909" t="s">
        <v>372</v>
      </c>
      <c r="E909" t="s">
        <v>219</v>
      </c>
      <c r="F909" t="s">
        <v>220</v>
      </c>
      <c r="G909" t="s">
        <v>221</v>
      </c>
      <c r="H909" t="s">
        <v>22</v>
      </c>
      <c r="I909" t="s">
        <v>23</v>
      </c>
      <c r="J909" t="s">
        <v>215</v>
      </c>
      <c r="K909" t="s">
        <v>371</v>
      </c>
      <c r="L909">
        <v>29</v>
      </c>
      <c r="M909">
        <v>63</v>
      </c>
      <c r="N909">
        <v>2</v>
      </c>
      <c r="O909">
        <v>1</v>
      </c>
      <c r="P909">
        <v>218</v>
      </c>
      <c r="Q909">
        <v>0.50019999999999998</v>
      </c>
      <c r="R909">
        <v>447.89214433130559</v>
      </c>
      <c r="S909">
        <v>163.89214433130564</v>
      </c>
      <c r="T909">
        <v>0.35</v>
      </c>
      <c r="U909">
        <v>41</v>
      </c>
      <c r="V909">
        <v>0.67986111111111114</v>
      </c>
      <c r="W909">
        <v>83</v>
      </c>
      <c r="X909">
        <v>14.4</v>
      </c>
      <c r="Y909">
        <v>39.5</v>
      </c>
      <c r="Z909">
        <v>0.35347222222222224</v>
      </c>
      <c r="AA909">
        <v>88</v>
      </c>
      <c r="AB909">
        <v>16.399999999999999</v>
      </c>
      <c r="AD909">
        <v>42</v>
      </c>
      <c r="AE909">
        <v>48.5</v>
      </c>
      <c r="AF909">
        <v>38.754975227659145</v>
      </c>
      <c r="AG909">
        <v>44.185592064046816</v>
      </c>
      <c r="AH909">
        <v>82.94056729170596</v>
      </c>
      <c r="AI909">
        <v>5.5807164327829177</v>
      </c>
      <c r="AJ909">
        <v>7.2464370985036766</v>
      </c>
      <c r="AK909">
        <v>12.827153531286594</v>
      </c>
      <c r="AL909">
        <v>185.17977674186415</v>
      </c>
      <c r="AM909">
        <v>36.591877398518221</v>
      </c>
      <c r="AN909">
        <v>1.9760190903311416</v>
      </c>
      <c r="AO909">
        <v>14.400000000000002</v>
      </c>
      <c r="AP909">
        <v>15.465476003043094</v>
      </c>
      <c r="AQ909">
        <v>28.638933934501775</v>
      </c>
      <c r="AR909">
        <v>78.265822828925138</v>
      </c>
      <c r="AS909">
        <v>-0.3075596428338298</v>
      </c>
      <c r="AT909">
        <v>15.895103816934549</v>
      </c>
      <c r="AU909">
        <v>43.438885750033187</v>
      </c>
    </row>
    <row r="910" spans="1:47" x14ac:dyDescent="0.35">
      <c r="A910">
        <v>908</v>
      </c>
      <c r="B910">
        <v>46057</v>
      </c>
      <c r="C910" t="s">
        <v>16</v>
      </c>
      <c r="D910" t="s">
        <v>372</v>
      </c>
      <c r="E910" t="s">
        <v>219</v>
      </c>
      <c r="F910" t="s">
        <v>220</v>
      </c>
      <c r="G910" t="s">
        <v>221</v>
      </c>
      <c r="H910" t="s">
        <v>22</v>
      </c>
      <c r="I910" t="s">
        <v>23</v>
      </c>
      <c r="J910" t="s">
        <v>215</v>
      </c>
      <c r="K910" t="s">
        <v>371</v>
      </c>
      <c r="L910">
        <v>29</v>
      </c>
      <c r="M910">
        <v>63</v>
      </c>
      <c r="N910">
        <v>2</v>
      </c>
      <c r="O910">
        <v>2</v>
      </c>
      <c r="P910">
        <v>219</v>
      </c>
      <c r="Q910">
        <v>0.50029999999999997</v>
      </c>
      <c r="R910">
        <v>447.9816869431271</v>
      </c>
      <c r="S910">
        <v>247.78168694312706</v>
      </c>
      <c r="T910">
        <v>0.35</v>
      </c>
      <c r="U910">
        <v>41</v>
      </c>
      <c r="V910">
        <v>0.68055555555555558</v>
      </c>
      <c r="W910">
        <v>82.5</v>
      </c>
      <c r="X910">
        <v>14.7</v>
      </c>
      <c r="Y910">
        <v>40</v>
      </c>
      <c r="Z910">
        <v>0.35416666666666669</v>
      </c>
      <c r="AA910">
        <v>95</v>
      </c>
      <c r="AB910">
        <v>16.7</v>
      </c>
      <c r="AD910">
        <v>41.5</v>
      </c>
      <c r="AE910">
        <v>55</v>
      </c>
      <c r="AF910">
        <v>38.254975227659145</v>
      </c>
      <c r="AG910">
        <v>50.685592064046816</v>
      </c>
      <c r="AH910">
        <v>88.94056729170596</v>
      </c>
      <c r="AI910">
        <v>5.6234813584658943</v>
      </c>
      <c r="AJ910">
        <v>8.4644938746958172</v>
      </c>
      <c r="AK910">
        <v>14.087975233161711</v>
      </c>
      <c r="AL910">
        <v>198.5361676246317</v>
      </c>
      <c r="AM910">
        <v>55.310673218341591</v>
      </c>
      <c r="AN910">
        <v>2.7859242917852809</v>
      </c>
      <c r="AO910">
        <v>14.700000000000001</v>
      </c>
      <c r="AP910">
        <v>15.839763183605719</v>
      </c>
      <c r="AQ910">
        <v>31.447658785548143</v>
      </c>
      <c r="AR910">
        <v>56.856402129489503</v>
      </c>
      <c r="AS910">
        <v>110.88265475678588</v>
      </c>
      <c r="AT910">
        <v>17.453994703120841</v>
      </c>
      <c r="AU910">
        <v>31.556286856644</v>
      </c>
    </row>
    <row r="911" spans="1:47" x14ac:dyDescent="0.35">
      <c r="A911">
        <v>909</v>
      </c>
      <c r="B911">
        <v>46057</v>
      </c>
      <c r="C911" t="s">
        <v>16</v>
      </c>
      <c r="D911" t="s">
        <v>372</v>
      </c>
      <c r="E911" t="s">
        <v>219</v>
      </c>
      <c r="F911" t="s">
        <v>220</v>
      </c>
      <c r="G911" t="s">
        <v>221</v>
      </c>
      <c r="H911" t="s">
        <v>22</v>
      </c>
      <c r="I911" t="s">
        <v>23</v>
      </c>
      <c r="J911" t="s">
        <v>215</v>
      </c>
      <c r="K911" t="s">
        <v>371</v>
      </c>
      <c r="L911">
        <v>29</v>
      </c>
      <c r="M911">
        <v>63</v>
      </c>
      <c r="N911">
        <v>2</v>
      </c>
      <c r="O911">
        <v>3</v>
      </c>
      <c r="P911">
        <v>220</v>
      </c>
      <c r="Q911">
        <v>0.50039999999999996</v>
      </c>
      <c r="R911">
        <v>448.07122955494873</v>
      </c>
      <c r="S911">
        <v>182.37122955494868</v>
      </c>
      <c r="T911">
        <v>0.35</v>
      </c>
      <c r="U911">
        <v>41</v>
      </c>
      <c r="V911">
        <v>0.68055555555555558</v>
      </c>
      <c r="W911">
        <v>80.5</v>
      </c>
      <c r="X911">
        <v>14.6</v>
      </c>
      <c r="Y911">
        <v>40</v>
      </c>
      <c r="Z911">
        <v>0.35416666666666669</v>
      </c>
      <c r="AA911">
        <v>90</v>
      </c>
      <c r="AB911">
        <v>16.7</v>
      </c>
      <c r="AD911">
        <v>39.5</v>
      </c>
      <c r="AE911">
        <v>50</v>
      </c>
      <c r="AF911">
        <v>36.254975227659145</v>
      </c>
      <c r="AG911">
        <v>45.685592064046816</v>
      </c>
      <c r="AH911">
        <v>81.94056729170596</v>
      </c>
      <c r="AI911">
        <v>5.2932263832382347</v>
      </c>
      <c r="AJ911">
        <v>7.6294938746958172</v>
      </c>
      <c r="AK911">
        <v>12.922720257934053</v>
      </c>
      <c r="AL911">
        <v>182.87397602629889</v>
      </c>
      <c r="AM911">
        <v>40.701392440681978</v>
      </c>
      <c r="AN911">
        <v>2.2256525135554965</v>
      </c>
      <c r="AO911">
        <v>14.599999999999998</v>
      </c>
      <c r="AP911">
        <v>15.770845486008849</v>
      </c>
      <c r="AQ911">
        <v>28.84077219322846</v>
      </c>
      <c r="AR911">
        <v>70.859423876617669</v>
      </c>
      <c r="AS911">
        <v>-0.39735107211807785</v>
      </c>
      <c r="AT911">
        <v>16.007127542539255</v>
      </c>
      <c r="AU911">
        <v>39.328206193112365</v>
      </c>
    </row>
    <row r="912" spans="1:47" x14ac:dyDescent="0.35">
      <c r="A912">
        <v>910</v>
      </c>
      <c r="B912">
        <v>46057</v>
      </c>
      <c r="C912" t="s">
        <v>16</v>
      </c>
      <c r="D912" t="s">
        <v>374</v>
      </c>
      <c r="E912" t="s">
        <v>219</v>
      </c>
      <c r="F912" t="s">
        <v>253</v>
      </c>
      <c r="G912" t="s">
        <v>254</v>
      </c>
      <c r="H912" t="s">
        <v>22</v>
      </c>
      <c r="I912" t="s">
        <v>23</v>
      </c>
      <c r="J912" t="s">
        <v>215</v>
      </c>
      <c r="K912" t="s">
        <v>373</v>
      </c>
      <c r="L912">
        <v>29</v>
      </c>
      <c r="M912">
        <v>63</v>
      </c>
      <c r="N912">
        <v>2</v>
      </c>
      <c r="O912">
        <v>1</v>
      </c>
      <c r="P912">
        <v>221</v>
      </c>
      <c r="Q912">
        <v>0.50039999999999996</v>
      </c>
      <c r="R912">
        <v>452.7738464303539</v>
      </c>
      <c r="S912">
        <v>186.57384643035391</v>
      </c>
      <c r="T912">
        <v>0.35</v>
      </c>
      <c r="U912">
        <v>41</v>
      </c>
      <c r="V912">
        <v>0.68125000000000002</v>
      </c>
      <c r="W912">
        <v>92.5</v>
      </c>
      <c r="X912">
        <v>14.6</v>
      </c>
      <c r="Y912">
        <v>40.5</v>
      </c>
      <c r="Z912">
        <v>0.35486111111111113</v>
      </c>
      <c r="AA912">
        <v>88</v>
      </c>
      <c r="AB912">
        <v>17.100000000000001</v>
      </c>
      <c r="AD912">
        <v>51.5</v>
      </c>
      <c r="AE912">
        <v>47.5</v>
      </c>
      <c r="AF912">
        <v>48.254975227659145</v>
      </c>
      <c r="AG912">
        <v>43.185592064046816</v>
      </c>
      <c r="AH912">
        <v>91.44056729170596</v>
      </c>
      <c r="AI912">
        <v>7.0452263832382345</v>
      </c>
      <c r="AJ912">
        <v>7.3847362429520063</v>
      </c>
      <c r="AK912">
        <v>14.429962626190241</v>
      </c>
      <c r="AL912">
        <v>201.95638068015361</v>
      </c>
      <c r="AM912">
        <v>41.206851478125927</v>
      </c>
      <c r="AN912">
        <v>2.0403837372876508</v>
      </c>
      <c r="AO912">
        <v>14.599999999999998</v>
      </c>
      <c r="AP912">
        <v>15.780701119402501</v>
      </c>
      <c r="AQ912">
        <v>31.87013282669778</v>
      </c>
      <c r="AR912">
        <v>77.341829534381162</v>
      </c>
      <c r="AS912">
        <v>-0.69094929892623813</v>
      </c>
      <c r="AT912">
        <v>17.68847510519835</v>
      </c>
      <c r="AU912">
        <v>42.926053485518118</v>
      </c>
    </row>
    <row r="913" spans="1:48" x14ac:dyDescent="0.35">
      <c r="A913">
        <v>911</v>
      </c>
      <c r="B913">
        <v>46057</v>
      </c>
      <c r="C913" t="s">
        <v>16</v>
      </c>
      <c r="D913" t="s">
        <v>374</v>
      </c>
      <c r="E913" t="s">
        <v>219</v>
      </c>
      <c r="F913" t="s">
        <v>253</v>
      </c>
      <c r="G913" t="s">
        <v>254</v>
      </c>
      <c r="H913" t="s">
        <v>22</v>
      </c>
      <c r="I913" t="s">
        <v>23</v>
      </c>
      <c r="J913" t="s">
        <v>215</v>
      </c>
      <c r="K913" t="s">
        <v>373</v>
      </c>
      <c r="L913">
        <v>29</v>
      </c>
      <c r="M913">
        <v>63</v>
      </c>
      <c r="N913">
        <v>2</v>
      </c>
      <c r="O913">
        <v>2</v>
      </c>
      <c r="P913">
        <v>222</v>
      </c>
      <c r="Q913">
        <v>0.50029999999999997</v>
      </c>
      <c r="R913">
        <v>452.68336404697453</v>
      </c>
      <c r="S913">
        <v>244.1833640469745</v>
      </c>
      <c r="T913">
        <v>0.35069444444444442</v>
      </c>
      <c r="U913">
        <v>40.5</v>
      </c>
      <c r="V913">
        <v>0.68125000000000002</v>
      </c>
      <c r="W913">
        <v>92.5</v>
      </c>
      <c r="X913">
        <v>14.8</v>
      </c>
      <c r="Y913">
        <v>40.5</v>
      </c>
      <c r="Z913">
        <v>0.35486111111111113</v>
      </c>
      <c r="AA913">
        <v>91.5</v>
      </c>
      <c r="AB913">
        <v>16.899999999999999</v>
      </c>
      <c r="AD913">
        <v>52</v>
      </c>
      <c r="AE913">
        <v>51</v>
      </c>
      <c r="AF913">
        <v>48.754975227659145</v>
      </c>
      <c r="AG913">
        <v>46.685592064046816</v>
      </c>
      <c r="AH913">
        <v>95.44056729170596</v>
      </c>
      <c r="AI913">
        <v>7.2157363336935543</v>
      </c>
      <c r="AJ913">
        <v>7.8898650588239114</v>
      </c>
      <c r="AK913">
        <v>15.105601392517466</v>
      </c>
      <c r="AL913">
        <v>210.83294609828468</v>
      </c>
      <c r="AM913">
        <v>53.941316036883521</v>
      </c>
      <c r="AN913">
        <v>2.558486092194411</v>
      </c>
      <c r="AO913">
        <v>14.8</v>
      </c>
      <c r="AP913">
        <v>15.827233451314767</v>
      </c>
      <c r="AQ913">
        <v>33.369022571260139</v>
      </c>
      <c r="AR913">
        <v>61.861713845549048</v>
      </c>
      <c r="AS913">
        <v>2.8506497186763924</v>
      </c>
      <c r="AT913">
        <v>18.520384845778988</v>
      </c>
      <c r="AU913">
        <v>34.334321456145567</v>
      </c>
    </row>
    <row r="914" spans="1:48" x14ac:dyDescent="0.35">
      <c r="A914">
        <v>912</v>
      </c>
      <c r="B914">
        <v>46057</v>
      </c>
      <c r="C914" t="s">
        <v>16</v>
      </c>
      <c r="D914" t="s">
        <v>374</v>
      </c>
      <c r="E914" t="s">
        <v>219</v>
      </c>
      <c r="F914" t="s">
        <v>253</v>
      </c>
      <c r="G914" t="s">
        <v>254</v>
      </c>
      <c r="H914" t="s">
        <v>22</v>
      </c>
      <c r="I914" t="s">
        <v>23</v>
      </c>
      <c r="J914" t="s">
        <v>215</v>
      </c>
      <c r="K914" t="s">
        <v>373</v>
      </c>
      <c r="L914">
        <v>29</v>
      </c>
      <c r="M914">
        <v>63</v>
      </c>
      <c r="N914">
        <v>2</v>
      </c>
      <c r="O914">
        <v>3</v>
      </c>
      <c r="P914">
        <v>223</v>
      </c>
      <c r="Q914">
        <v>0.5</v>
      </c>
      <c r="R914">
        <v>452.41191689683649</v>
      </c>
      <c r="S914">
        <v>238.7119168968365</v>
      </c>
      <c r="T914">
        <v>0.35069444444444442</v>
      </c>
      <c r="U914">
        <v>41</v>
      </c>
      <c r="V914">
        <v>0.68125000000000002</v>
      </c>
      <c r="W914">
        <v>95</v>
      </c>
      <c r="X914">
        <v>14.9</v>
      </c>
      <c r="Y914">
        <v>40.5</v>
      </c>
      <c r="Z914">
        <v>0.35555555555555557</v>
      </c>
      <c r="AA914">
        <v>91</v>
      </c>
      <c r="AB914">
        <v>17.2</v>
      </c>
      <c r="AD914">
        <v>54</v>
      </c>
      <c r="AE914">
        <v>50.5</v>
      </c>
      <c r="AF914">
        <v>50.754975227659145</v>
      </c>
      <c r="AG914">
        <v>46.185592064046816</v>
      </c>
      <c r="AH914">
        <v>96.94056729170596</v>
      </c>
      <c r="AI914">
        <v>7.5624913089212127</v>
      </c>
      <c r="AJ914">
        <v>7.9439218350160514</v>
      </c>
      <c r="AK914">
        <v>15.506413143937264</v>
      </c>
      <c r="AL914">
        <v>214.27500839641084</v>
      </c>
      <c r="AM914">
        <v>52.764285815943701</v>
      </c>
      <c r="AN914">
        <v>2.4624563644085482</v>
      </c>
      <c r="AO914">
        <v>14.899999999999999</v>
      </c>
      <c r="AP914">
        <v>15.995793687978512</v>
      </c>
      <c r="AQ914">
        <v>34.274988267988512</v>
      </c>
      <c r="AR914">
        <v>64.958688889581623</v>
      </c>
      <c r="AS914">
        <v>5.3861950195613764</v>
      </c>
      <c r="AT914">
        <v>19.023211481610232</v>
      </c>
      <c r="AU914">
        <v>36.053196186466757</v>
      </c>
    </row>
    <row r="915" spans="1:48" x14ac:dyDescent="0.35">
      <c r="A915">
        <v>913</v>
      </c>
      <c r="B915">
        <v>46057</v>
      </c>
      <c r="C915" t="s">
        <v>16</v>
      </c>
      <c r="D915" t="s">
        <v>376</v>
      </c>
      <c r="E915" t="s">
        <v>219</v>
      </c>
      <c r="F915" t="s">
        <v>253</v>
      </c>
      <c r="G915" t="s">
        <v>254</v>
      </c>
      <c r="H915" t="s">
        <v>22</v>
      </c>
      <c r="I915" t="s">
        <v>23</v>
      </c>
      <c r="J915" t="s">
        <v>215</v>
      </c>
      <c r="K915" t="s">
        <v>375</v>
      </c>
      <c r="L915">
        <v>29</v>
      </c>
      <c r="M915">
        <v>63</v>
      </c>
      <c r="N915">
        <v>2</v>
      </c>
      <c r="O915">
        <v>1</v>
      </c>
      <c r="P915">
        <v>224</v>
      </c>
      <c r="Q915">
        <v>0.50039999999999996</v>
      </c>
      <c r="R915">
        <v>447.82109709018931</v>
      </c>
      <c r="S915">
        <v>149.32109709018931</v>
      </c>
      <c r="T915">
        <v>0.35138888888888886</v>
      </c>
      <c r="U915">
        <v>40.5</v>
      </c>
      <c r="V915">
        <v>0.68194444444444446</v>
      </c>
      <c r="W915">
        <v>85.5</v>
      </c>
      <c r="X915">
        <v>13.1</v>
      </c>
      <c r="Y915">
        <v>40</v>
      </c>
      <c r="Z915">
        <v>0.35555555555555557</v>
      </c>
      <c r="AA915">
        <v>87</v>
      </c>
      <c r="AB915">
        <v>16.600000000000001</v>
      </c>
      <c r="AD915">
        <v>45</v>
      </c>
    </row>
    <row r="916" spans="1:48" x14ac:dyDescent="0.35">
      <c r="A916">
        <v>914</v>
      </c>
      <c r="B916">
        <v>46057</v>
      </c>
      <c r="C916" t="s">
        <v>16</v>
      </c>
      <c r="D916" t="s">
        <v>376</v>
      </c>
      <c r="E916" t="s">
        <v>219</v>
      </c>
      <c r="F916" t="s">
        <v>253</v>
      </c>
      <c r="G916" t="s">
        <v>254</v>
      </c>
      <c r="H916" t="s">
        <v>22</v>
      </c>
      <c r="I916" t="s">
        <v>23</v>
      </c>
      <c r="J916" t="s">
        <v>215</v>
      </c>
      <c r="K916" t="s">
        <v>375</v>
      </c>
      <c r="L916">
        <v>29</v>
      </c>
      <c r="M916">
        <v>63</v>
      </c>
      <c r="N916">
        <v>2</v>
      </c>
      <c r="O916">
        <v>2</v>
      </c>
      <c r="P916">
        <v>225</v>
      </c>
      <c r="Q916">
        <v>0.50029999999999997</v>
      </c>
      <c r="R916">
        <v>447.73160446487151</v>
      </c>
      <c r="S916">
        <v>271.73160446487157</v>
      </c>
      <c r="T916">
        <v>0.35138888888888886</v>
      </c>
      <c r="U916">
        <v>41</v>
      </c>
      <c r="V916">
        <v>0.68194444444444446</v>
      </c>
      <c r="W916">
        <v>86.5</v>
      </c>
      <c r="X916">
        <v>13</v>
      </c>
      <c r="Y916">
        <v>40.5</v>
      </c>
      <c r="Z916">
        <v>0.35625000000000001</v>
      </c>
      <c r="AA916">
        <v>89</v>
      </c>
      <c r="AB916">
        <v>16.399999999999999</v>
      </c>
      <c r="AD916">
        <v>45.5</v>
      </c>
      <c r="AE916">
        <v>48.5</v>
      </c>
      <c r="AF916">
        <v>42.254975227659145</v>
      </c>
      <c r="AG916">
        <v>44.185592064046816</v>
      </c>
      <c r="AH916">
        <v>86.44056729170596</v>
      </c>
      <c r="AI916">
        <v>5.4931467795956888</v>
      </c>
      <c r="AJ916">
        <v>7.2464370985036766</v>
      </c>
      <c r="AK916">
        <v>12.739583878099365</v>
      </c>
      <c r="AL916">
        <v>193.06335856058155</v>
      </c>
      <c r="AM916">
        <v>60.690735644995399</v>
      </c>
      <c r="AN916">
        <v>3.1435657235783139</v>
      </c>
      <c r="AO916">
        <v>12.999999999999998</v>
      </c>
      <c r="AP916">
        <v>14.737968846395734</v>
      </c>
      <c r="AQ916">
        <v>28.4536176384638</v>
      </c>
      <c r="AR916">
        <v>46.882967121869299</v>
      </c>
      <c r="AS916">
        <v>1.6146175133004499</v>
      </c>
      <c r="AT916">
        <v>15.792250066469181</v>
      </c>
      <c r="AU916">
        <v>26.020857876636107</v>
      </c>
    </row>
    <row r="917" spans="1:48" x14ac:dyDescent="0.35">
      <c r="A917">
        <v>915</v>
      </c>
      <c r="B917">
        <v>46057</v>
      </c>
      <c r="C917" t="s">
        <v>16</v>
      </c>
      <c r="D917" t="s">
        <v>376</v>
      </c>
      <c r="E917" t="s">
        <v>219</v>
      </c>
      <c r="F917" t="s">
        <v>253</v>
      </c>
      <c r="G917" t="s">
        <v>254</v>
      </c>
      <c r="H917" t="s">
        <v>22</v>
      </c>
      <c r="I917" t="s">
        <v>23</v>
      </c>
      <c r="J917" t="s">
        <v>215</v>
      </c>
      <c r="K917" t="s">
        <v>375</v>
      </c>
      <c r="L917">
        <v>29</v>
      </c>
      <c r="M917">
        <v>63</v>
      </c>
      <c r="N917">
        <v>2</v>
      </c>
      <c r="O917">
        <v>3</v>
      </c>
      <c r="P917">
        <v>226</v>
      </c>
      <c r="Q917">
        <v>0.50019999999999998</v>
      </c>
      <c r="R917">
        <v>447.64211183955382</v>
      </c>
      <c r="S917">
        <v>262.34211183955381</v>
      </c>
      <c r="T917">
        <v>0.35138888888888886</v>
      </c>
      <c r="U917">
        <v>40.5</v>
      </c>
      <c r="V917">
        <v>0.68263888888888891</v>
      </c>
      <c r="W917">
        <v>85.5</v>
      </c>
      <c r="X917">
        <v>13.1</v>
      </c>
      <c r="Y917">
        <v>40</v>
      </c>
      <c r="Z917">
        <v>0.35694444444444445</v>
      </c>
      <c r="AA917">
        <v>87</v>
      </c>
      <c r="AB917">
        <v>16.399999999999999</v>
      </c>
      <c r="AD917">
        <v>45</v>
      </c>
      <c r="AE917">
        <v>47</v>
      </c>
      <c r="AF917">
        <v>41.754975227659145</v>
      </c>
      <c r="AG917">
        <v>42.685592064046816</v>
      </c>
      <c r="AH917">
        <v>84.44056729170596</v>
      </c>
      <c r="AI917">
        <v>5.469901754823348</v>
      </c>
      <c r="AJ917">
        <v>7.000437098503677</v>
      </c>
      <c r="AK917">
        <v>12.470338853327025</v>
      </c>
      <c r="AL917">
        <v>188.63410089971961</v>
      </c>
      <c r="AM917">
        <v>58.605324410046521</v>
      </c>
      <c r="AN917">
        <v>3.1068255490666505</v>
      </c>
      <c r="AO917">
        <v>13.1</v>
      </c>
      <c r="AP917">
        <v>14.768184598105968</v>
      </c>
      <c r="AQ917">
        <v>27.857832235848058</v>
      </c>
      <c r="AR917">
        <v>47.534643850674563</v>
      </c>
      <c r="AS917">
        <v>4.1517969899023939</v>
      </c>
      <c r="AT917">
        <v>15.461578860311519</v>
      </c>
      <c r="AU917">
        <v>26.382549735806919</v>
      </c>
    </row>
    <row r="918" spans="1:48" x14ac:dyDescent="0.35">
      <c r="A918">
        <v>916</v>
      </c>
      <c r="B918">
        <v>46057</v>
      </c>
      <c r="C918" t="s">
        <v>16</v>
      </c>
      <c r="D918" t="s">
        <v>378</v>
      </c>
      <c r="E918" t="s">
        <v>212</v>
      </c>
      <c r="F918" t="s">
        <v>379</v>
      </c>
      <c r="G918" t="s">
        <v>380</v>
      </c>
      <c r="H918" t="s">
        <v>22</v>
      </c>
      <c r="I918" t="s">
        <v>23</v>
      </c>
      <c r="J918" t="s">
        <v>215</v>
      </c>
      <c r="K918" t="s">
        <v>377</v>
      </c>
      <c r="L918">
        <v>29</v>
      </c>
      <c r="M918">
        <v>63</v>
      </c>
      <c r="N918">
        <v>2</v>
      </c>
      <c r="O918">
        <v>1</v>
      </c>
      <c r="P918">
        <v>227</v>
      </c>
      <c r="Q918">
        <v>0.50019999999999998</v>
      </c>
      <c r="R918">
        <v>469.15002874699894</v>
      </c>
      <c r="S918">
        <v>112.9500287469989</v>
      </c>
      <c r="T918">
        <v>0.35138888888888886</v>
      </c>
      <c r="U918">
        <v>41.5</v>
      </c>
      <c r="V918">
        <v>0.68263888888888891</v>
      </c>
      <c r="W918">
        <v>67.5</v>
      </c>
      <c r="X918">
        <v>12.6</v>
      </c>
      <c r="Y918">
        <v>40.5</v>
      </c>
      <c r="Z918">
        <v>0.35694444444444445</v>
      </c>
      <c r="AA918">
        <v>53.5</v>
      </c>
      <c r="AB918">
        <v>15.7</v>
      </c>
      <c r="AV918" t="s">
        <v>629</v>
      </c>
    </row>
    <row r="919" spans="1:48" x14ac:dyDescent="0.35">
      <c r="A919">
        <v>917</v>
      </c>
      <c r="B919">
        <v>46057</v>
      </c>
      <c r="C919" t="s">
        <v>16</v>
      </c>
      <c r="D919" t="s">
        <v>378</v>
      </c>
      <c r="E919" t="s">
        <v>212</v>
      </c>
      <c r="F919" t="s">
        <v>379</v>
      </c>
      <c r="G919" t="s">
        <v>380</v>
      </c>
      <c r="H919" t="s">
        <v>22</v>
      </c>
      <c r="I919" t="s">
        <v>23</v>
      </c>
      <c r="J919" t="s">
        <v>215</v>
      </c>
      <c r="K919" t="s">
        <v>377</v>
      </c>
      <c r="L919">
        <v>29</v>
      </c>
      <c r="M919">
        <v>63</v>
      </c>
      <c r="N919">
        <v>2</v>
      </c>
      <c r="O919">
        <v>2</v>
      </c>
      <c r="P919">
        <v>228</v>
      </c>
      <c r="Q919">
        <v>0.50039999999999996</v>
      </c>
      <c r="R919">
        <v>469.33761372450664</v>
      </c>
      <c r="S919">
        <v>40.037613724506514</v>
      </c>
      <c r="T919">
        <v>0.35208333333333336</v>
      </c>
      <c r="U919">
        <v>41.5</v>
      </c>
      <c r="V919">
        <v>0.68263888888888891</v>
      </c>
      <c r="W919">
        <v>66.5</v>
      </c>
      <c r="X919">
        <v>13</v>
      </c>
      <c r="Y919">
        <v>40.5</v>
      </c>
      <c r="Z919">
        <v>0.35694444444444445</v>
      </c>
      <c r="AA919">
        <v>53.5</v>
      </c>
      <c r="AB919">
        <v>15.3</v>
      </c>
      <c r="AV919" t="s">
        <v>629</v>
      </c>
    </row>
    <row r="920" spans="1:48" x14ac:dyDescent="0.35">
      <c r="A920">
        <v>918</v>
      </c>
      <c r="B920">
        <v>46057</v>
      </c>
      <c r="C920" t="s">
        <v>16</v>
      </c>
      <c r="D920" t="s">
        <v>378</v>
      </c>
      <c r="E920" t="s">
        <v>212</v>
      </c>
      <c r="F920" t="s">
        <v>379</v>
      </c>
      <c r="G920" t="s">
        <v>380</v>
      </c>
      <c r="H920" t="s">
        <v>22</v>
      </c>
      <c r="I920" t="s">
        <v>23</v>
      </c>
      <c r="J920" t="s">
        <v>215</v>
      </c>
      <c r="K920" t="s">
        <v>377</v>
      </c>
      <c r="L920">
        <v>29</v>
      </c>
      <c r="M920">
        <v>63</v>
      </c>
      <c r="N920">
        <v>2</v>
      </c>
      <c r="O920">
        <v>3</v>
      </c>
      <c r="P920">
        <v>229</v>
      </c>
      <c r="Q920">
        <v>0.50009999999999999</v>
      </c>
      <c r="R920">
        <v>469.05623625824506</v>
      </c>
      <c r="S920">
        <v>31.356236258245076</v>
      </c>
      <c r="T920">
        <v>0.35208333333333336</v>
      </c>
      <c r="U920">
        <v>41.5</v>
      </c>
      <c r="V920">
        <v>0.68333333333333335</v>
      </c>
      <c r="W920">
        <v>66.5</v>
      </c>
      <c r="X920">
        <v>13.1</v>
      </c>
      <c r="Y920">
        <v>40.5</v>
      </c>
      <c r="Z920">
        <v>0.3576388888888889</v>
      </c>
      <c r="AA920">
        <v>53.5</v>
      </c>
      <c r="AB920">
        <v>15.4</v>
      </c>
      <c r="AV920" t="s">
        <v>629</v>
      </c>
    </row>
    <row r="921" spans="1:48" x14ac:dyDescent="0.35">
      <c r="A921">
        <v>919</v>
      </c>
      <c r="B921">
        <v>46057</v>
      </c>
      <c r="C921" t="s">
        <v>120</v>
      </c>
      <c r="D921" t="s">
        <v>122</v>
      </c>
      <c r="E921" t="s">
        <v>123</v>
      </c>
      <c r="F921" t="s">
        <v>545</v>
      </c>
      <c r="G921" t="s">
        <v>125</v>
      </c>
      <c r="H921" t="s">
        <v>108</v>
      </c>
      <c r="I921" t="s">
        <v>109</v>
      </c>
      <c r="J921" t="s">
        <v>110</v>
      </c>
      <c r="K921" t="s">
        <v>121</v>
      </c>
      <c r="L921">
        <v>29</v>
      </c>
      <c r="M921">
        <v>63</v>
      </c>
      <c r="N921">
        <v>2</v>
      </c>
      <c r="O921">
        <v>1</v>
      </c>
      <c r="P921">
        <v>230</v>
      </c>
      <c r="Q921">
        <v>0.50009999999999999</v>
      </c>
      <c r="R921">
        <v>467.84354999999999</v>
      </c>
      <c r="S921">
        <v>44.243550000000027</v>
      </c>
      <c r="T921">
        <v>0.3527777777777778</v>
      </c>
      <c r="U921">
        <v>41</v>
      </c>
      <c r="V921">
        <v>0.68333333333333335</v>
      </c>
      <c r="W921">
        <v>69.5</v>
      </c>
      <c r="X921">
        <v>16</v>
      </c>
      <c r="Y921">
        <v>40</v>
      </c>
      <c r="Z921">
        <v>0.35833333333333334</v>
      </c>
      <c r="AA921">
        <v>85.5</v>
      </c>
      <c r="AB921">
        <v>17.100000000000001</v>
      </c>
      <c r="AD921">
        <v>28.5</v>
      </c>
      <c r="AE921">
        <v>45.5</v>
      </c>
      <c r="AF921">
        <v>25.254975227659141</v>
      </c>
      <c r="AG921">
        <v>41.185592064046816</v>
      </c>
      <c r="AH921">
        <v>66.44056729170596</v>
      </c>
      <c r="AI921">
        <v>4.0407960364254629</v>
      </c>
      <c r="AJ921">
        <v>7.0427362429520057</v>
      </c>
      <c r="AK921">
        <v>11.083532279377469</v>
      </c>
      <c r="AL921">
        <v>142.01449884626166</v>
      </c>
      <c r="AM921">
        <v>9.4569113969830365</v>
      </c>
      <c r="AN921">
        <v>0.66591168323036165</v>
      </c>
      <c r="AO921">
        <v>16</v>
      </c>
      <c r="AP921">
        <v>16.681874841187682</v>
      </c>
      <c r="AQ921">
        <v>23.690680953873294</v>
      </c>
      <c r="AR921">
        <v>250.51182103103076</v>
      </c>
      <c r="AS921">
        <v>-0.58398645168211338</v>
      </c>
      <c r="AT921">
        <v>13.148737802772581</v>
      </c>
      <c r="AU921">
        <v>139.03839478677276</v>
      </c>
    </row>
    <row r="922" spans="1:48" x14ac:dyDescent="0.35">
      <c r="A922">
        <v>920</v>
      </c>
      <c r="B922">
        <v>46057</v>
      </c>
      <c r="C922" t="s">
        <v>120</v>
      </c>
      <c r="D922" t="s">
        <v>122</v>
      </c>
      <c r="E922" t="s">
        <v>123</v>
      </c>
      <c r="F922" t="s">
        <v>545</v>
      </c>
      <c r="G922" t="s">
        <v>125</v>
      </c>
      <c r="H922" t="s">
        <v>108</v>
      </c>
      <c r="I922" t="s">
        <v>109</v>
      </c>
      <c r="J922" t="s">
        <v>110</v>
      </c>
      <c r="K922" t="s">
        <v>121</v>
      </c>
      <c r="L922">
        <v>29</v>
      </c>
      <c r="M922">
        <v>63</v>
      </c>
      <c r="N922">
        <v>2</v>
      </c>
      <c r="O922">
        <v>2</v>
      </c>
      <c r="P922">
        <v>231</v>
      </c>
      <c r="Q922">
        <v>0.50039999999999996</v>
      </c>
      <c r="R922">
        <v>468.12419999999992</v>
      </c>
      <c r="S922">
        <v>129.22419999999994</v>
      </c>
      <c r="T922">
        <v>0.3527777777777778</v>
      </c>
      <c r="U922">
        <v>41</v>
      </c>
      <c r="V922">
        <v>0.68402777777777779</v>
      </c>
      <c r="W922">
        <v>68.5</v>
      </c>
      <c r="X922">
        <v>16.7</v>
      </c>
      <c r="Y922">
        <v>40</v>
      </c>
      <c r="Z922">
        <v>0.35833333333333334</v>
      </c>
      <c r="AA922">
        <v>88</v>
      </c>
      <c r="AB922">
        <v>16.899999999999999</v>
      </c>
      <c r="AD922">
        <v>27.5</v>
      </c>
      <c r="AE922">
        <v>48</v>
      </c>
      <c r="AF922">
        <v>24.254975227659141</v>
      </c>
      <c r="AG922">
        <v>43.685592064046816</v>
      </c>
      <c r="AH922">
        <v>67.94056729170596</v>
      </c>
      <c r="AI922">
        <v>4.0505808630190758</v>
      </c>
      <c r="AJ922">
        <v>7.3828650588239109</v>
      </c>
      <c r="AK922">
        <v>11.433445921842987</v>
      </c>
      <c r="AL922">
        <v>145.13363609850967</v>
      </c>
      <c r="AM922">
        <v>27.604682688910327</v>
      </c>
      <c r="AN922">
        <v>1.9020182661291283</v>
      </c>
      <c r="AO922">
        <v>16.699999999999996</v>
      </c>
      <c r="AP922">
        <v>16.828599432726193</v>
      </c>
      <c r="AQ922">
        <v>24.4239582611687</v>
      </c>
      <c r="AR922">
        <v>88.477591053711237</v>
      </c>
      <c r="AS922">
        <v>2.3486093350363952</v>
      </c>
      <c r="AT922">
        <v>13.555719394780137</v>
      </c>
      <c r="AU922">
        <v>49.10659378898022</v>
      </c>
    </row>
    <row r="923" spans="1:48" x14ac:dyDescent="0.35">
      <c r="A923">
        <v>921</v>
      </c>
      <c r="B923">
        <v>46057</v>
      </c>
      <c r="C923" t="s">
        <v>120</v>
      </c>
      <c r="D923" t="s">
        <v>122</v>
      </c>
      <c r="E923" t="s">
        <v>123</v>
      </c>
      <c r="F923" t="s">
        <v>545</v>
      </c>
      <c r="G923" t="s">
        <v>125</v>
      </c>
      <c r="H923" t="s">
        <v>108</v>
      </c>
      <c r="I923" t="s">
        <v>109</v>
      </c>
      <c r="J923" t="s">
        <v>110</v>
      </c>
      <c r="K923" t="s">
        <v>121</v>
      </c>
      <c r="L923">
        <v>29</v>
      </c>
      <c r="M923">
        <v>63</v>
      </c>
      <c r="N923">
        <v>2</v>
      </c>
      <c r="O923">
        <v>3</v>
      </c>
      <c r="P923">
        <v>232</v>
      </c>
      <c r="Q923">
        <v>0.50029999999999997</v>
      </c>
      <c r="R923">
        <v>468.03064999999998</v>
      </c>
      <c r="S923">
        <v>140.43064999999996</v>
      </c>
      <c r="T923">
        <v>0.3527777777777778</v>
      </c>
      <c r="U923">
        <v>41</v>
      </c>
      <c r="V923">
        <v>0.68402777777777779</v>
      </c>
      <c r="W923">
        <v>68.5</v>
      </c>
      <c r="X923">
        <v>15.8</v>
      </c>
      <c r="Y923">
        <v>40</v>
      </c>
      <c r="Z923">
        <v>0.35902777777777778</v>
      </c>
      <c r="AA923">
        <v>83.5</v>
      </c>
      <c r="AB923">
        <v>17</v>
      </c>
      <c r="AD923">
        <v>27.5</v>
      </c>
      <c r="AE923">
        <v>43.5</v>
      </c>
      <c r="AF923">
        <v>24.254975227659141</v>
      </c>
      <c r="AG923">
        <v>39.185592064046816</v>
      </c>
      <c r="AH923">
        <v>63.44056729170596</v>
      </c>
      <c r="AI923">
        <v>3.8322860859701442</v>
      </c>
      <c r="AJ923">
        <v>6.6615506508879587</v>
      </c>
      <c r="AK923">
        <v>10.493836736858103</v>
      </c>
      <c r="AL923">
        <v>135.54789048902239</v>
      </c>
      <c r="AM923">
        <v>30.004584101489929</v>
      </c>
      <c r="AN923">
        <v>2.213578093560955</v>
      </c>
      <c r="AO923">
        <v>15.799999999999999</v>
      </c>
      <c r="AP923">
        <v>16.541208858688812</v>
      </c>
      <c r="AQ923">
        <v>22.421259669335981</v>
      </c>
      <c r="AR923">
        <v>74.726113828128732</v>
      </c>
      <c r="AS923">
        <v>1.308166064056673</v>
      </c>
      <c r="AT923">
        <v>12.444187027548415</v>
      </c>
      <c r="AU923">
        <v>41.474286013951044</v>
      </c>
    </row>
    <row r="924" spans="1:48" x14ac:dyDescent="0.35">
      <c r="A924">
        <v>922</v>
      </c>
      <c r="B924">
        <v>46057</v>
      </c>
      <c r="D924" t="s">
        <v>537</v>
      </c>
      <c r="E924" t="s">
        <v>538</v>
      </c>
      <c r="F924">
        <v>24</v>
      </c>
      <c r="G924" t="s">
        <v>537</v>
      </c>
      <c r="K924" t="s">
        <v>539</v>
      </c>
      <c r="L924">
        <v>29</v>
      </c>
      <c r="M924">
        <v>63</v>
      </c>
      <c r="N924">
        <v>2</v>
      </c>
      <c r="O924">
        <v>1</v>
      </c>
      <c r="P924">
        <v>233</v>
      </c>
      <c r="T924">
        <v>0.35347222222222224</v>
      </c>
      <c r="U924">
        <v>40</v>
      </c>
      <c r="V924">
        <v>0.68472222222222223</v>
      </c>
      <c r="W924">
        <v>44.5</v>
      </c>
      <c r="Y924">
        <v>40</v>
      </c>
      <c r="Z924">
        <v>0.35902777777777778</v>
      </c>
      <c r="AA924">
        <v>45</v>
      </c>
      <c r="AD924">
        <v>4.5</v>
      </c>
      <c r="AE924">
        <v>5</v>
      </c>
    </row>
    <row r="925" spans="1:48" x14ac:dyDescent="0.35">
      <c r="A925">
        <v>923</v>
      </c>
      <c r="B925">
        <v>46057</v>
      </c>
      <c r="D925" t="s">
        <v>537</v>
      </c>
      <c r="E925" t="s">
        <v>538</v>
      </c>
      <c r="F925">
        <v>24</v>
      </c>
      <c r="G925" t="s">
        <v>537</v>
      </c>
      <c r="K925" t="s">
        <v>539</v>
      </c>
      <c r="L925">
        <v>29</v>
      </c>
      <c r="M925">
        <v>63</v>
      </c>
      <c r="N925">
        <v>2</v>
      </c>
      <c r="O925">
        <v>2</v>
      </c>
      <c r="P925">
        <v>234</v>
      </c>
      <c r="T925">
        <v>0.35347222222222224</v>
      </c>
      <c r="U925">
        <v>39.5</v>
      </c>
      <c r="V925">
        <v>0.68472222222222223</v>
      </c>
      <c r="W925">
        <v>43.5</v>
      </c>
      <c r="Y925">
        <v>39.5</v>
      </c>
      <c r="Z925">
        <v>0.35972222222222222</v>
      </c>
      <c r="AA925">
        <v>45</v>
      </c>
      <c r="AD925">
        <v>4</v>
      </c>
      <c r="AE925">
        <v>5.5</v>
      </c>
    </row>
    <row r="926" spans="1:48" x14ac:dyDescent="0.35">
      <c r="A926">
        <v>924</v>
      </c>
      <c r="B926">
        <v>46078</v>
      </c>
      <c r="D926" t="s">
        <v>537</v>
      </c>
      <c r="E926" t="s">
        <v>538</v>
      </c>
      <c r="F926">
        <v>24</v>
      </c>
      <c r="G926" t="s">
        <v>537</v>
      </c>
      <c r="K926" t="s">
        <v>539</v>
      </c>
      <c r="L926">
        <v>29</v>
      </c>
      <c r="M926">
        <v>70</v>
      </c>
      <c r="N926">
        <v>3</v>
      </c>
      <c r="O926">
        <v>1</v>
      </c>
      <c r="P926">
        <v>199</v>
      </c>
      <c r="T926">
        <v>0.32569444444444445</v>
      </c>
      <c r="U926">
        <v>39</v>
      </c>
      <c r="V926">
        <v>0.65625</v>
      </c>
      <c r="W926">
        <v>41</v>
      </c>
      <c r="Y926">
        <v>39</v>
      </c>
      <c r="Z926">
        <v>0.33194444444444443</v>
      </c>
      <c r="AA926">
        <v>42</v>
      </c>
      <c r="AD926">
        <v>2</v>
      </c>
      <c r="AE926">
        <v>3</v>
      </c>
    </row>
    <row r="927" spans="1:48" x14ac:dyDescent="0.35">
      <c r="A927">
        <v>925</v>
      </c>
      <c r="B927">
        <v>46078</v>
      </c>
      <c r="D927" t="s">
        <v>537</v>
      </c>
      <c r="E927" t="s">
        <v>538</v>
      </c>
      <c r="F927">
        <v>24</v>
      </c>
      <c r="G927" t="s">
        <v>537</v>
      </c>
      <c r="K927" t="s">
        <v>539</v>
      </c>
      <c r="L927">
        <v>29</v>
      </c>
      <c r="M927">
        <v>70</v>
      </c>
      <c r="N927">
        <v>3</v>
      </c>
      <c r="O927">
        <v>2</v>
      </c>
      <c r="P927">
        <v>200</v>
      </c>
      <c r="T927">
        <v>0.32569444444444445</v>
      </c>
      <c r="U927">
        <v>40</v>
      </c>
      <c r="V927">
        <v>0.65694444444444444</v>
      </c>
      <c r="W927">
        <v>42</v>
      </c>
      <c r="Y927">
        <v>39.5</v>
      </c>
      <c r="Z927">
        <v>0.33194444444444443</v>
      </c>
      <c r="AA927">
        <v>42.5</v>
      </c>
      <c r="AD927">
        <v>2</v>
      </c>
      <c r="AE927">
        <v>3</v>
      </c>
    </row>
    <row r="928" spans="1:48" x14ac:dyDescent="0.35">
      <c r="A928">
        <v>926</v>
      </c>
      <c r="B928">
        <v>46078</v>
      </c>
      <c r="C928" t="s">
        <v>16</v>
      </c>
      <c r="D928" t="s">
        <v>322</v>
      </c>
      <c r="E928" t="s">
        <v>290</v>
      </c>
      <c r="F928" t="s">
        <v>318</v>
      </c>
      <c r="G928" t="s">
        <v>319</v>
      </c>
      <c r="H928" t="s">
        <v>22</v>
      </c>
      <c r="I928" t="s">
        <v>23</v>
      </c>
      <c r="J928" t="s">
        <v>215</v>
      </c>
      <c r="K928" t="s">
        <v>321</v>
      </c>
      <c r="L928">
        <v>29</v>
      </c>
      <c r="M928">
        <v>70</v>
      </c>
      <c r="N928">
        <v>3</v>
      </c>
      <c r="O928">
        <v>1</v>
      </c>
      <c r="P928">
        <v>201</v>
      </c>
      <c r="Q928">
        <v>0.50049999999999994</v>
      </c>
      <c r="R928">
        <v>448.13051798460424</v>
      </c>
      <c r="S928">
        <v>194.43051798460419</v>
      </c>
      <c r="T928">
        <v>0.3263888888888889</v>
      </c>
      <c r="U928">
        <v>41</v>
      </c>
      <c r="V928">
        <v>0.65694444444444444</v>
      </c>
      <c r="W928">
        <v>76</v>
      </c>
      <c r="X928">
        <v>13.1</v>
      </c>
      <c r="Y928">
        <v>40</v>
      </c>
      <c r="Z928">
        <v>0.33263888888888887</v>
      </c>
      <c r="AA928">
        <v>72</v>
      </c>
      <c r="AB928">
        <v>12.5</v>
      </c>
      <c r="AD928">
        <v>35</v>
      </c>
      <c r="AE928">
        <v>32</v>
      </c>
      <c r="AF928">
        <v>33.00873479879084</v>
      </c>
      <c r="AG928">
        <v>29.344979731721114</v>
      </c>
      <c r="AH928">
        <v>62.353714530511951</v>
      </c>
      <c r="AI928">
        <v>4.3241442586416001</v>
      </c>
      <c r="AJ928">
        <v>3.6681224664651393</v>
      </c>
      <c r="AK928">
        <v>7.9922667251067399</v>
      </c>
      <c r="AL928">
        <v>139.1418616409743</v>
      </c>
      <c r="AM928">
        <v>43.387029042124723</v>
      </c>
      <c r="AN928">
        <v>3.1181866140382422</v>
      </c>
      <c r="AO928">
        <v>13.1</v>
      </c>
      <c r="AP928">
        <v>12.817627282165896</v>
      </c>
      <c r="AQ928">
        <v>17.834685218607046</v>
      </c>
      <c r="AR928">
        <v>41.106030102432783</v>
      </c>
      <c r="AS928">
        <v>-1.0811698546873039</v>
      </c>
      <c r="AT928">
        <v>9.8985588548947074</v>
      </c>
      <c r="AU928">
        <v>22.814557883841591</v>
      </c>
    </row>
    <row r="929" spans="1:48" x14ac:dyDescent="0.35">
      <c r="A929">
        <v>927</v>
      </c>
      <c r="B929">
        <v>46078</v>
      </c>
      <c r="C929" t="s">
        <v>16</v>
      </c>
      <c r="D929" t="s">
        <v>322</v>
      </c>
      <c r="E929" t="s">
        <v>290</v>
      </c>
      <c r="F929" t="s">
        <v>318</v>
      </c>
      <c r="G929" t="s">
        <v>319</v>
      </c>
      <c r="H929" t="s">
        <v>22</v>
      </c>
      <c r="I929" t="s">
        <v>23</v>
      </c>
      <c r="J929" t="s">
        <v>215</v>
      </c>
      <c r="K929" t="s">
        <v>321</v>
      </c>
      <c r="L929">
        <v>29</v>
      </c>
      <c r="M929">
        <v>70</v>
      </c>
      <c r="N929">
        <v>3</v>
      </c>
      <c r="O929">
        <v>2</v>
      </c>
      <c r="P929">
        <v>202</v>
      </c>
      <c r="Q929">
        <v>0.50009999999999999</v>
      </c>
      <c r="R929">
        <v>447.77237171648466</v>
      </c>
      <c r="S929">
        <v>191.17237171648463</v>
      </c>
      <c r="T929">
        <v>0.3263888888888889</v>
      </c>
      <c r="U929">
        <v>40.5</v>
      </c>
      <c r="V929">
        <v>0.65694444444444444</v>
      </c>
      <c r="W929">
        <v>75.5</v>
      </c>
      <c r="X929">
        <v>13.8</v>
      </c>
      <c r="Y929">
        <v>39.5</v>
      </c>
      <c r="Z929">
        <v>0.33263888888888887</v>
      </c>
      <c r="AA929">
        <v>72</v>
      </c>
      <c r="AB929">
        <v>14.6</v>
      </c>
      <c r="AD929">
        <v>35</v>
      </c>
      <c r="AE929">
        <v>32.5</v>
      </c>
      <c r="AF929">
        <v>33.00873479879084</v>
      </c>
      <c r="AG929">
        <v>29.844979731721114</v>
      </c>
      <c r="AH929">
        <v>62.853714530511951</v>
      </c>
      <c r="AI929">
        <v>4.5552054022331365</v>
      </c>
      <c r="AJ929">
        <v>4.3573670408312823</v>
      </c>
      <c r="AK929">
        <v>8.9125724430644198</v>
      </c>
      <c r="AL929">
        <v>140.36979166349491</v>
      </c>
      <c r="AM929">
        <v>42.694097222579188</v>
      </c>
      <c r="AN929">
        <v>3.0415445315277458</v>
      </c>
      <c r="AO929">
        <v>13.800000000000002</v>
      </c>
      <c r="AP929">
        <v>14.179865915065157</v>
      </c>
      <c r="AQ929">
        <v>19.904248243139886</v>
      </c>
      <c r="AR929">
        <v>46.620609259804965</v>
      </c>
      <c r="AS929">
        <v>-1.0236452949658603</v>
      </c>
      <c r="AT929">
        <v>11.047202139099092</v>
      </c>
      <c r="AU929">
        <v>25.875244724127043</v>
      </c>
    </row>
    <row r="930" spans="1:48" x14ac:dyDescent="0.35">
      <c r="A930">
        <v>928</v>
      </c>
      <c r="B930">
        <v>46078</v>
      </c>
      <c r="C930" t="s">
        <v>16</v>
      </c>
      <c r="D930" t="s">
        <v>326</v>
      </c>
      <c r="E930" t="s">
        <v>290</v>
      </c>
      <c r="F930" t="s">
        <v>318</v>
      </c>
      <c r="G930" t="s">
        <v>319</v>
      </c>
      <c r="H930" t="s">
        <v>22</v>
      </c>
      <c r="I930" t="s">
        <v>23</v>
      </c>
      <c r="J930" t="s">
        <v>215</v>
      </c>
      <c r="K930" t="s">
        <v>325</v>
      </c>
      <c r="L930">
        <v>29</v>
      </c>
      <c r="M930">
        <v>70</v>
      </c>
      <c r="N930">
        <v>3</v>
      </c>
      <c r="O930">
        <v>1</v>
      </c>
      <c r="P930">
        <v>203</v>
      </c>
      <c r="Q930">
        <v>0.50039999999999996</v>
      </c>
      <c r="R930">
        <v>465.07706335545174</v>
      </c>
      <c r="S930">
        <v>180.47706335545178</v>
      </c>
      <c r="T930">
        <v>0.3263888888888889</v>
      </c>
      <c r="U930">
        <v>40.5</v>
      </c>
      <c r="V930">
        <v>0.65763888888888888</v>
      </c>
      <c r="W930">
        <v>70.5</v>
      </c>
      <c r="X930">
        <v>12.2</v>
      </c>
      <c r="Y930">
        <v>40</v>
      </c>
      <c r="Z930">
        <v>0.33333333333333331</v>
      </c>
      <c r="AA930">
        <v>73</v>
      </c>
      <c r="AB930">
        <v>13.7</v>
      </c>
      <c r="AD930">
        <v>30</v>
      </c>
      <c r="AE930">
        <v>33</v>
      </c>
      <c r="AF930">
        <v>28.008734798790837</v>
      </c>
      <c r="AG930">
        <v>30.344979731721114</v>
      </c>
      <c r="AH930">
        <v>58.353714530511951</v>
      </c>
      <c r="AI930">
        <v>3.4170656454524821</v>
      </c>
      <c r="AJ930">
        <v>4.1572622232457919</v>
      </c>
      <c r="AK930">
        <v>7.5743278686982745</v>
      </c>
      <c r="AL930">
        <v>125.47106518111181</v>
      </c>
      <c r="AM930">
        <v>38.805840488744067</v>
      </c>
      <c r="AN930">
        <v>3.0928119110752417</v>
      </c>
      <c r="AO930">
        <v>12.200000000000001</v>
      </c>
      <c r="AP930">
        <v>12.980026943679507</v>
      </c>
      <c r="AQ930">
        <v>16.286178067029986</v>
      </c>
      <c r="AR930">
        <v>41.968368322685656</v>
      </c>
      <c r="AS930">
        <v>-0.40443654056425343</v>
      </c>
      <c r="AT930">
        <v>9.0391105949882711</v>
      </c>
      <c r="AU930">
        <v>23.293170515428304</v>
      </c>
    </row>
    <row r="931" spans="1:48" x14ac:dyDescent="0.35">
      <c r="A931">
        <v>929</v>
      </c>
      <c r="B931">
        <v>46078</v>
      </c>
      <c r="C931" t="s">
        <v>16</v>
      </c>
      <c r="D931" t="s">
        <v>326</v>
      </c>
      <c r="E931" t="s">
        <v>290</v>
      </c>
      <c r="F931" t="s">
        <v>318</v>
      </c>
      <c r="G931" t="s">
        <v>319</v>
      </c>
      <c r="H931" t="s">
        <v>22</v>
      </c>
      <c r="I931" t="s">
        <v>23</v>
      </c>
      <c r="J931" t="s">
        <v>215</v>
      </c>
      <c r="K931" t="s">
        <v>325</v>
      </c>
      <c r="L931">
        <v>29</v>
      </c>
      <c r="M931">
        <v>70</v>
      </c>
      <c r="N931">
        <v>3</v>
      </c>
      <c r="O931">
        <v>2</v>
      </c>
      <c r="P931">
        <v>204</v>
      </c>
      <c r="Q931">
        <v>0.50039999999999996</v>
      </c>
      <c r="R931">
        <v>465.07706335545174</v>
      </c>
      <c r="S931">
        <v>237.97706335545166</v>
      </c>
      <c r="T931">
        <v>0.32708333333333334</v>
      </c>
      <c r="U931">
        <v>41</v>
      </c>
      <c r="V931">
        <v>0.65833333333333333</v>
      </c>
      <c r="W931">
        <v>71.5</v>
      </c>
      <c r="X931">
        <v>12</v>
      </c>
      <c r="Y931">
        <v>40</v>
      </c>
      <c r="Z931">
        <v>0.33333333333333331</v>
      </c>
      <c r="AA931">
        <v>72.5</v>
      </c>
      <c r="AB931">
        <v>13.7</v>
      </c>
      <c r="AD931">
        <v>30.5</v>
      </c>
      <c r="AE931">
        <v>32.5</v>
      </c>
      <c r="AV931" t="s">
        <v>663</v>
      </c>
    </row>
    <row r="932" spans="1:48" x14ac:dyDescent="0.35">
      <c r="A932">
        <v>930</v>
      </c>
      <c r="B932">
        <v>46078</v>
      </c>
      <c r="C932" t="s">
        <v>16</v>
      </c>
      <c r="D932" t="s">
        <v>328</v>
      </c>
      <c r="E932" t="s">
        <v>264</v>
      </c>
      <c r="F932" t="s">
        <v>329</v>
      </c>
      <c r="G932" t="s">
        <v>330</v>
      </c>
      <c r="H932" t="s">
        <v>22</v>
      </c>
      <c r="I932" t="s">
        <v>23</v>
      </c>
      <c r="J932" t="s">
        <v>215</v>
      </c>
      <c r="K932" t="s">
        <v>327</v>
      </c>
      <c r="L932">
        <v>29</v>
      </c>
      <c r="M932">
        <v>70</v>
      </c>
      <c r="N932">
        <v>3</v>
      </c>
      <c r="O932">
        <v>1</v>
      </c>
      <c r="P932">
        <v>205</v>
      </c>
      <c r="Q932">
        <v>0.5</v>
      </c>
      <c r="R932">
        <v>452.71418385397868</v>
      </c>
      <c r="S932">
        <v>258.21418385397868</v>
      </c>
      <c r="T932">
        <v>0.32708333333333334</v>
      </c>
      <c r="U932">
        <v>41</v>
      </c>
      <c r="V932">
        <v>0.65902777777777777</v>
      </c>
      <c r="W932">
        <v>77.5</v>
      </c>
      <c r="X932">
        <v>13.6</v>
      </c>
      <c r="Y932">
        <v>40</v>
      </c>
      <c r="Z932">
        <v>0.33402777777777776</v>
      </c>
      <c r="AA932">
        <v>84.5</v>
      </c>
      <c r="AB932">
        <v>17.399999999999999</v>
      </c>
      <c r="AD932">
        <v>36.5</v>
      </c>
      <c r="AE932">
        <v>44.5</v>
      </c>
      <c r="AF932">
        <v>34.50873479879084</v>
      </c>
      <c r="AG932">
        <v>41.844979731721118</v>
      </c>
      <c r="AH932">
        <v>76.353714530511951</v>
      </c>
      <c r="AI932">
        <v>4.6931879326355546</v>
      </c>
      <c r="AJ932">
        <v>7.2810264733194741</v>
      </c>
      <c r="AK932">
        <v>11.974214405955028</v>
      </c>
      <c r="AL932">
        <v>168.65765918909128</v>
      </c>
      <c r="AM932">
        <v>57.036910497433126</v>
      </c>
      <c r="AN932">
        <v>3.381815612268515</v>
      </c>
      <c r="AO932">
        <v>13.6</v>
      </c>
      <c r="AP932">
        <v>15.682556480169637</v>
      </c>
      <c r="AQ932">
        <v>26.449832660461258</v>
      </c>
      <c r="AR932">
        <v>46.373186117175123</v>
      </c>
      <c r="AS932">
        <v>0.7068209045443945</v>
      </c>
      <c r="AT932">
        <v>14.680114736117597</v>
      </c>
      <c r="AU932">
        <v>25.73792059929027</v>
      </c>
    </row>
    <row r="933" spans="1:48" x14ac:dyDescent="0.35">
      <c r="A933">
        <v>931</v>
      </c>
      <c r="B933">
        <v>46078</v>
      </c>
      <c r="C933" t="s">
        <v>16</v>
      </c>
      <c r="D933" t="s">
        <v>328</v>
      </c>
      <c r="E933" t="s">
        <v>264</v>
      </c>
      <c r="F933" t="s">
        <v>329</v>
      </c>
      <c r="G933" t="s">
        <v>330</v>
      </c>
      <c r="H933" t="s">
        <v>22</v>
      </c>
      <c r="I933" t="s">
        <v>23</v>
      </c>
      <c r="J933" t="s">
        <v>215</v>
      </c>
      <c r="K933" t="s">
        <v>327</v>
      </c>
      <c r="L933">
        <v>29</v>
      </c>
      <c r="M933">
        <v>70</v>
      </c>
      <c r="N933">
        <v>3</v>
      </c>
      <c r="O933">
        <v>2</v>
      </c>
      <c r="P933">
        <v>206</v>
      </c>
      <c r="Q933">
        <v>0.50049999999999994</v>
      </c>
      <c r="R933">
        <v>453.16689803783254</v>
      </c>
      <c r="S933">
        <v>255.26689803783256</v>
      </c>
      <c r="T933">
        <v>0.32708333333333334</v>
      </c>
      <c r="U933">
        <v>40.5</v>
      </c>
      <c r="V933">
        <v>0.65902777777777777</v>
      </c>
      <c r="W933">
        <v>77</v>
      </c>
      <c r="X933">
        <v>13.9</v>
      </c>
      <c r="Y933">
        <v>40</v>
      </c>
      <c r="Z933">
        <v>0.33402777777777776</v>
      </c>
      <c r="AA933">
        <v>84</v>
      </c>
      <c r="AB933">
        <v>16.2</v>
      </c>
      <c r="AD933">
        <v>36.5</v>
      </c>
      <c r="AE933">
        <v>44</v>
      </c>
      <c r="AF933">
        <v>34.50873479879084</v>
      </c>
      <c r="AG933">
        <v>41.344979731721118</v>
      </c>
      <c r="AH933">
        <v>75.853714530511951</v>
      </c>
      <c r="AI933">
        <v>4.7967141370319268</v>
      </c>
      <c r="AJ933">
        <v>6.6978867165388216</v>
      </c>
      <c r="AK933">
        <v>11.494600853570748</v>
      </c>
      <c r="AL933">
        <v>167.3858237637192</v>
      </c>
      <c r="AM933">
        <v>56.329555213126284</v>
      </c>
      <c r="AN933">
        <v>3.3652524417265308</v>
      </c>
      <c r="AO933">
        <v>13.9</v>
      </c>
      <c r="AP933">
        <v>15.153642672234696</v>
      </c>
      <c r="AQ933">
        <v>25.365049617130516</v>
      </c>
      <c r="AR933">
        <v>45.029735315963919</v>
      </c>
      <c r="AS933">
        <v>0.73809003465869205</v>
      </c>
      <c r="AT933">
        <v>14.078041379196314</v>
      </c>
      <c r="AU933">
        <v>24.992282161524606</v>
      </c>
    </row>
    <row r="934" spans="1:48" x14ac:dyDescent="0.35">
      <c r="A934">
        <v>932</v>
      </c>
      <c r="B934">
        <v>46078</v>
      </c>
      <c r="C934" t="s">
        <v>16</v>
      </c>
      <c r="D934" t="s">
        <v>332</v>
      </c>
      <c r="E934" t="s">
        <v>333</v>
      </c>
      <c r="F934" t="s">
        <v>334</v>
      </c>
      <c r="G934" t="s">
        <v>335</v>
      </c>
      <c r="H934" t="s">
        <v>22</v>
      </c>
      <c r="I934" t="s">
        <v>23</v>
      </c>
      <c r="J934" t="s">
        <v>303</v>
      </c>
      <c r="K934" t="s">
        <v>331</v>
      </c>
      <c r="L934">
        <v>29</v>
      </c>
      <c r="M934">
        <v>70</v>
      </c>
      <c r="N934">
        <v>3</v>
      </c>
      <c r="O934">
        <v>1</v>
      </c>
      <c r="P934">
        <v>207</v>
      </c>
      <c r="Q934">
        <v>0.50049999999999994</v>
      </c>
      <c r="R934">
        <v>455.62311031328278</v>
      </c>
      <c r="S934">
        <v>222.22311031328283</v>
      </c>
      <c r="T934">
        <v>0.32708333333333334</v>
      </c>
      <c r="U934">
        <v>40</v>
      </c>
      <c r="V934">
        <v>0.65972222222222221</v>
      </c>
      <c r="W934">
        <v>81.5</v>
      </c>
      <c r="X934">
        <v>14.3</v>
      </c>
      <c r="Y934">
        <v>40</v>
      </c>
      <c r="Z934">
        <v>0.33541666666666664</v>
      </c>
      <c r="AA934">
        <v>85.5</v>
      </c>
      <c r="AB934">
        <v>16</v>
      </c>
      <c r="AD934">
        <v>41.5</v>
      </c>
      <c r="AE934">
        <v>45.5</v>
      </c>
      <c r="AV934" t="s">
        <v>664</v>
      </c>
    </row>
    <row r="935" spans="1:48" x14ac:dyDescent="0.35">
      <c r="A935">
        <v>933</v>
      </c>
      <c r="B935">
        <v>46078</v>
      </c>
      <c r="C935" t="s">
        <v>16</v>
      </c>
      <c r="D935" t="s">
        <v>332</v>
      </c>
      <c r="E935" t="s">
        <v>333</v>
      </c>
      <c r="F935" t="s">
        <v>334</v>
      </c>
      <c r="G935" t="s">
        <v>335</v>
      </c>
      <c r="H935" t="s">
        <v>22</v>
      </c>
      <c r="I935" t="s">
        <v>23</v>
      </c>
      <c r="J935" t="s">
        <v>303</v>
      </c>
      <c r="K935" t="s">
        <v>331</v>
      </c>
      <c r="L935">
        <v>29</v>
      </c>
      <c r="M935">
        <v>70</v>
      </c>
      <c r="N935">
        <v>3</v>
      </c>
      <c r="O935">
        <v>2</v>
      </c>
      <c r="P935">
        <v>208</v>
      </c>
      <c r="Q935">
        <v>0.50039999999999996</v>
      </c>
      <c r="R935">
        <v>455.53207672480863</v>
      </c>
      <c r="S935">
        <v>274.03207672480863</v>
      </c>
      <c r="T935">
        <v>0.32777777777777778</v>
      </c>
      <c r="U935">
        <v>41</v>
      </c>
      <c r="V935">
        <v>0.65972222222222221</v>
      </c>
      <c r="W935">
        <v>83</v>
      </c>
      <c r="X935">
        <v>13.7</v>
      </c>
      <c r="Y935">
        <v>39.5</v>
      </c>
      <c r="Z935">
        <v>0.33541666666666664</v>
      </c>
      <c r="AA935">
        <v>86.5</v>
      </c>
      <c r="AB935">
        <v>17.600000000000001</v>
      </c>
      <c r="AD935">
        <v>42</v>
      </c>
      <c r="AE935">
        <v>47</v>
      </c>
      <c r="AV935" t="s">
        <v>665</v>
      </c>
    </row>
    <row r="936" spans="1:48" x14ac:dyDescent="0.35">
      <c r="A936">
        <v>934</v>
      </c>
      <c r="B936">
        <v>46078</v>
      </c>
      <c r="C936" t="s">
        <v>16</v>
      </c>
      <c r="D936" t="s">
        <v>337</v>
      </c>
      <c r="E936" t="s">
        <v>264</v>
      </c>
      <c r="F936" t="s">
        <v>265</v>
      </c>
      <c r="G936" t="s">
        <v>266</v>
      </c>
      <c r="H936" t="s">
        <v>22</v>
      </c>
      <c r="I936" t="s">
        <v>23</v>
      </c>
      <c r="J936" t="s">
        <v>215</v>
      </c>
      <c r="K936" t="s">
        <v>336</v>
      </c>
      <c r="L936">
        <v>29</v>
      </c>
      <c r="M936">
        <v>70</v>
      </c>
      <c r="N936">
        <v>3</v>
      </c>
      <c r="O936">
        <v>1</v>
      </c>
      <c r="P936">
        <v>209</v>
      </c>
      <c r="Q936">
        <v>0.50039999999999996</v>
      </c>
      <c r="R936">
        <v>461.24958622314131</v>
      </c>
      <c r="S936">
        <v>329.24958622314131</v>
      </c>
      <c r="T936">
        <v>0.32777777777777778</v>
      </c>
      <c r="U936">
        <v>41</v>
      </c>
      <c r="V936">
        <v>0.66041666666666665</v>
      </c>
      <c r="W936">
        <v>86</v>
      </c>
      <c r="X936">
        <v>14.1</v>
      </c>
      <c r="Y936">
        <v>40.5</v>
      </c>
      <c r="Z936">
        <v>0.33680555555555558</v>
      </c>
      <c r="AA936">
        <v>86.5</v>
      </c>
      <c r="AB936">
        <v>18.3</v>
      </c>
      <c r="AD936">
        <v>45</v>
      </c>
      <c r="AE936">
        <v>46</v>
      </c>
      <c r="AF936">
        <v>43.00873479879084</v>
      </c>
      <c r="AG936">
        <v>43.344979731721118</v>
      </c>
      <c r="AH936">
        <v>86.353714530511951</v>
      </c>
      <c r="AI936">
        <v>6.0642316066295079</v>
      </c>
      <c r="AJ936">
        <v>7.9321312909049642</v>
      </c>
      <c r="AK936">
        <v>13.996362897534471</v>
      </c>
      <c r="AL936">
        <v>187.21689321740902</v>
      </c>
      <c r="AM936">
        <v>71.382088148661964</v>
      </c>
      <c r="AN936">
        <v>3.8128016613206057</v>
      </c>
      <c r="AO936">
        <v>14.1</v>
      </c>
      <c r="AP936">
        <v>16.208177000410377</v>
      </c>
      <c r="AQ936">
        <v>30.344445427346947</v>
      </c>
      <c r="AR936">
        <v>42.509887584334756</v>
      </c>
      <c r="AS936">
        <v>0.35670312119025283</v>
      </c>
      <c r="AT936">
        <v>16.841692202582873</v>
      </c>
      <c r="AU936">
        <v>23.593723074488913</v>
      </c>
    </row>
    <row r="937" spans="1:48" x14ac:dyDescent="0.35">
      <c r="A937">
        <v>935</v>
      </c>
      <c r="B937">
        <v>46078</v>
      </c>
      <c r="C937" t="s">
        <v>16</v>
      </c>
      <c r="D937" t="s">
        <v>337</v>
      </c>
      <c r="E937" t="s">
        <v>264</v>
      </c>
      <c r="F937" t="s">
        <v>265</v>
      </c>
      <c r="G937" t="s">
        <v>266</v>
      </c>
      <c r="H937" t="s">
        <v>22</v>
      </c>
      <c r="I937" t="s">
        <v>23</v>
      </c>
      <c r="J937" t="s">
        <v>215</v>
      </c>
      <c r="K937" t="s">
        <v>336</v>
      </c>
      <c r="L937">
        <v>29</v>
      </c>
      <c r="M937">
        <v>70</v>
      </c>
      <c r="N937">
        <v>3</v>
      </c>
      <c r="O937">
        <v>2</v>
      </c>
      <c r="P937">
        <v>210</v>
      </c>
      <c r="Q937">
        <v>0.50019999999999998</v>
      </c>
      <c r="R937">
        <v>461.0652338705342</v>
      </c>
      <c r="S937">
        <v>277.16523387053428</v>
      </c>
      <c r="T937">
        <v>0.32777777777777778</v>
      </c>
      <c r="U937">
        <v>41.5</v>
      </c>
      <c r="V937">
        <v>0.66111111111111109</v>
      </c>
      <c r="W937">
        <v>87</v>
      </c>
      <c r="X937">
        <v>13.7</v>
      </c>
      <c r="Y937">
        <v>40.5</v>
      </c>
      <c r="Z937">
        <v>0.33750000000000002</v>
      </c>
      <c r="AA937">
        <v>86.5</v>
      </c>
      <c r="AB937">
        <v>18.600000000000001</v>
      </c>
      <c r="AD937">
        <v>45.5</v>
      </c>
      <c r="AE937">
        <v>46</v>
      </c>
      <c r="AF937">
        <v>43.50873479879084</v>
      </c>
      <c r="AG937">
        <v>43.344979731721118</v>
      </c>
      <c r="AH937">
        <v>86.853714530511951</v>
      </c>
      <c r="AI937">
        <v>5.9606966674343447</v>
      </c>
      <c r="AJ937">
        <v>8.0621662301001287</v>
      </c>
      <c r="AK937">
        <v>14.022862897534473</v>
      </c>
      <c r="AL937">
        <v>188.37619527587333</v>
      </c>
      <c r="AM937">
        <v>60.114103929241715</v>
      </c>
      <c r="AN937">
        <v>3.1911730588467275</v>
      </c>
      <c r="AO937">
        <v>13.7</v>
      </c>
      <c r="AP937">
        <v>16.14538073971287</v>
      </c>
      <c r="AQ937">
        <v>30.414053950274752</v>
      </c>
      <c r="AR937">
        <v>50.593873920293497</v>
      </c>
      <c r="AS937">
        <v>0.91569998632654859</v>
      </c>
      <c r="AT937">
        <v>16.880326137107506</v>
      </c>
      <c r="AU937">
        <v>28.080475352301303</v>
      </c>
    </row>
    <row r="938" spans="1:48" x14ac:dyDescent="0.35">
      <c r="A938">
        <v>936</v>
      </c>
      <c r="B938">
        <v>46078</v>
      </c>
      <c r="C938" t="s">
        <v>16</v>
      </c>
      <c r="D938" t="s">
        <v>339</v>
      </c>
      <c r="E938" t="s">
        <v>219</v>
      </c>
      <c r="F938" t="s">
        <v>253</v>
      </c>
      <c r="G938" t="s">
        <v>254</v>
      </c>
      <c r="H938" t="s">
        <v>22</v>
      </c>
      <c r="I938" t="s">
        <v>23</v>
      </c>
      <c r="J938" t="s">
        <v>215</v>
      </c>
      <c r="K938" t="s">
        <v>338</v>
      </c>
      <c r="L938">
        <v>29</v>
      </c>
      <c r="M938">
        <v>70</v>
      </c>
      <c r="N938">
        <v>3</v>
      </c>
      <c r="O938">
        <v>1</v>
      </c>
      <c r="P938">
        <v>211</v>
      </c>
      <c r="Q938">
        <v>0.50029999999999997</v>
      </c>
      <c r="R938">
        <v>453.30146185762817</v>
      </c>
      <c r="S938">
        <v>328.0014618576281</v>
      </c>
      <c r="T938">
        <v>0.32847222222222222</v>
      </c>
      <c r="U938">
        <v>40.5</v>
      </c>
      <c r="V938">
        <v>0.66111111111111109</v>
      </c>
      <c r="W938">
        <v>85.5</v>
      </c>
      <c r="X938">
        <v>13.5</v>
      </c>
      <c r="Y938">
        <v>40</v>
      </c>
      <c r="Z938">
        <v>0.33819444444444446</v>
      </c>
      <c r="AA938">
        <v>86.5</v>
      </c>
      <c r="AB938">
        <v>16.3</v>
      </c>
      <c r="AD938">
        <v>45</v>
      </c>
      <c r="AE938">
        <v>46.5</v>
      </c>
      <c r="AF938">
        <v>43.00873479879084</v>
      </c>
      <c r="AG938">
        <v>43.844979731721118</v>
      </c>
      <c r="AH938">
        <v>86.853714530511951</v>
      </c>
      <c r="AI938">
        <v>5.8061791978367641</v>
      </c>
      <c r="AJ938">
        <v>7.1467316962705425</v>
      </c>
      <c r="AK938">
        <v>12.952910894107307</v>
      </c>
      <c r="AL938">
        <v>191.6025467347616</v>
      </c>
      <c r="AM938">
        <v>72.358350779077355</v>
      </c>
      <c r="AN938">
        <v>3.7764816810730677</v>
      </c>
      <c r="AO938">
        <v>13.500000000000002</v>
      </c>
      <c r="AP938">
        <v>14.913479479978848</v>
      </c>
      <c r="AQ938">
        <v>28.57460649040555</v>
      </c>
      <c r="AR938">
        <v>39.490405990109977</v>
      </c>
      <c r="AS938">
        <v>0.30460918174027352</v>
      </c>
      <c r="AT938">
        <v>15.859400972529583</v>
      </c>
      <c r="AU938">
        <v>21.917858549528166</v>
      </c>
    </row>
    <row r="939" spans="1:48" x14ac:dyDescent="0.35">
      <c r="A939">
        <v>937</v>
      </c>
      <c r="B939">
        <v>46078</v>
      </c>
      <c r="C939" t="s">
        <v>16</v>
      </c>
      <c r="D939" t="s">
        <v>339</v>
      </c>
      <c r="E939" t="s">
        <v>219</v>
      </c>
      <c r="F939" t="s">
        <v>253</v>
      </c>
      <c r="G939" t="s">
        <v>254</v>
      </c>
      <c r="H939" t="s">
        <v>22</v>
      </c>
      <c r="I939" t="s">
        <v>23</v>
      </c>
      <c r="J939" t="s">
        <v>215</v>
      </c>
      <c r="K939" t="s">
        <v>338</v>
      </c>
      <c r="L939">
        <v>29</v>
      </c>
      <c r="M939">
        <v>70</v>
      </c>
      <c r="N939">
        <v>3</v>
      </c>
      <c r="O939">
        <v>2</v>
      </c>
      <c r="P939">
        <v>212</v>
      </c>
      <c r="Q939">
        <v>0.50019999999999998</v>
      </c>
      <c r="R939">
        <v>453.21085592881388</v>
      </c>
      <c r="S939">
        <v>336.51085592881384</v>
      </c>
      <c r="T939">
        <v>0.32847222222222222</v>
      </c>
      <c r="U939">
        <v>40.5</v>
      </c>
      <c r="V939">
        <v>0.66180555555555554</v>
      </c>
      <c r="W939">
        <v>86.5</v>
      </c>
      <c r="X939">
        <v>13.5</v>
      </c>
      <c r="Y939">
        <v>40.5</v>
      </c>
      <c r="Z939">
        <v>0.33888888888888891</v>
      </c>
      <c r="AA939">
        <v>87.5</v>
      </c>
      <c r="AB939">
        <v>16.100000000000001</v>
      </c>
      <c r="AD939">
        <v>46</v>
      </c>
      <c r="AE939">
        <v>47</v>
      </c>
      <c r="AF939">
        <v>44.00873479879084</v>
      </c>
      <c r="AG939">
        <v>44.344979731721118</v>
      </c>
      <c r="AH939">
        <v>88.353714530511951</v>
      </c>
      <c r="AI939">
        <v>5.9411791978367638</v>
      </c>
      <c r="AJ939">
        <v>7.1395417368071001</v>
      </c>
      <c r="AK939">
        <v>13.080720934643864</v>
      </c>
      <c r="AL939">
        <v>194.95056964034799</v>
      </c>
      <c r="AM939">
        <v>74.250396151514479</v>
      </c>
      <c r="AN939">
        <v>3.8086780812435865</v>
      </c>
      <c r="AO939">
        <v>13.500000000000002</v>
      </c>
      <c r="AP939">
        <v>14.804947368824642</v>
      </c>
      <c r="AQ939">
        <v>28.86232923047735</v>
      </c>
      <c r="AR939">
        <v>38.871616484821473</v>
      </c>
      <c r="AS939">
        <v>0.28156442730295844</v>
      </c>
      <c r="AT939">
        <v>16.01909207117151</v>
      </c>
      <c r="AU939">
        <v>21.574419668392263</v>
      </c>
    </row>
    <row r="940" spans="1:48" x14ac:dyDescent="0.35">
      <c r="A940">
        <v>938</v>
      </c>
      <c r="B940">
        <v>46078</v>
      </c>
      <c r="C940" t="s">
        <v>16</v>
      </c>
      <c r="D940" t="s">
        <v>341</v>
      </c>
      <c r="E940" t="s">
        <v>333</v>
      </c>
      <c r="F940" t="s">
        <v>334</v>
      </c>
      <c r="G940" t="s">
        <v>335</v>
      </c>
      <c r="H940" t="s">
        <v>22</v>
      </c>
      <c r="I940" t="s">
        <v>23</v>
      </c>
      <c r="J940" t="s">
        <v>303</v>
      </c>
      <c r="K940" t="s">
        <v>340</v>
      </c>
      <c r="L940">
        <v>29</v>
      </c>
      <c r="M940">
        <v>70</v>
      </c>
      <c r="N940">
        <v>3</v>
      </c>
      <c r="O940">
        <v>1</v>
      </c>
      <c r="P940">
        <v>213</v>
      </c>
      <c r="Q940">
        <v>0.5</v>
      </c>
      <c r="R940">
        <v>462.39566355139465</v>
      </c>
      <c r="S940">
        <v>289.69566355139455</v>
      </c>
      <c r="T940">
        <v>0.32847222222222222</v>
      </c>
      <c r="U940">
        <v>41</v>
      </c>
      <c r="V940">
        <v>0.66180555555555554</v>
      </c>
      <c r="W940">
        <v>90</v>
      </c>
      <c r="X940">
        <v>13.7</v>
      </c>
      <c r="Y940">
        <v>40.5</v>
      </c>
      <c r="Z940">
        <v>0.34027777777777779</v>
      </c>
      <c r="AA940">
        <v>88.5</v>
      </c>
      <c r="AB940">
        <v>16.2</v>
      </c>
      <c r="AD940">
        <v>49</v>
      </c>
      <c r="AE940">
        <v>48</v>
      </c>
      <c r="AF940">
        <v>47.00873479879084</v>
      </c>
      <c r="AG940">
        <v>45.344979731721118</v>
      </c>
      <c r="AH940">
        <v>92.353714530511951</v>
      </c>
      <c r="AI940">
        <v>6.4401966674343445</v>
      </c>
      <c r="AJ940">
        <v>7.3458867165388213</v>
      </c>
      <c r="AK940">
        <v>13.786083383973166</v>
      </c>
      <c r="AL940">
        <v>199.72876436858485</v>
      </c>
      <c r="AM940">
        <v>62.651033819480283</v>
      </c>
      <c r="AN940">
        <v>3.1368057584265814</v>
      </c>
      <c r="AO940">
        <v>13.7</v>
      </c>
      <c r="AP940">
        <v>14.927481210751409</v>
      </c>
      <c r="AQ940">
        <v>29.814473773586464</v>
      </c>
      <c r="AR940">
        <v>47.588159294374094</v>
      </c>
      <c r="AS940">
        <v>0.76899847243470143</v>
      </c>
      <c r="AT940">
        <v>16.547548765686052</v>
      </c>
      <c r="AU940">
        <v>26.412251732932887</v>
      </c>
    </row>
    <row r="941" spans="1:48" x14ac:dyDescent="0.35">
      <c r="A941">
        <v>939</v>
      </c>
      <c r="B941">
        <v>46078</v>
      </c>
      <c r="C941" t="s">
        <v>16</v>
      </c>
      <c r="D941" t="s">
        <v>341</v>
      </c>
      <c r="E941" t="s">
        <v>333</v>
      </c>
      <c r="F941" t="s">
        <v>334</v>
      </c>
      <c r="G941" t="s">
        <v>335</v>
      </c>
      <c r="H941" t="s">
        <v>22</v>
      </c>
      <c r="I941" t="s">
        <v>23</v>
      </c>
      <c r="J941" t="s">
        <v>303</v>
      </c>
      <c r="K941" t="s">
        <v>340</v>
      </c>
      <c r="L941">
        <v>29</v>
      </c>
      <c r="M941">
        <v>70</v>
      </c>
      <c r="N941">
        <v>3</v>
      </c>
      <c r="O941">
        <v>2</v>
      </c>
      <c r="P941">
        <v>214</v>
      </c>
      <c r="Q941">
        <v>0.50019999999999998</v>
      </c>
      <c r="R941">
        <v>462.58062181681515</v>
      </c>
      <c r="S941">
        <v>290.5806218168151</v>
      </c>
      <c r="T941">
        <v>0.32916666666666666</v>
      </c>
      <c r="U941">
        <v>40.5</v>
      </c>
      <c r="V941">
        <v>0.66249999999999998</v>
      </c>
      <c r="W941">
        <v>90</v>
      </c>
      <c r="X941">
        <v>13.5</v>
      </c>
      <c r="Y941">
        <v>40</v>
      </c>
      <c r="Z941">
        <v>0.34027777777777779</v>
      </c>
      <c r="AA941">
        <v>86.5</v>
      </c>
      <c r="AB941">
        <v>16.100000000000001</v>
      </c>
      <c r="AD941">
        <v>49.5</v>
      </c>
      <c r="AE941">
        <v>46.5</v>
      </c>
      <c r="AF941">
        <v>47.50873479879084</v>
      </c>
      <c r="AG941">
        <v>43.844979731721118</v>
      </c>
      <c r="AH941">
        <v>91.353714530511951</v>
      </c>
      <c r="AI941">
        <v>6.413679197836764</v>
      </c>
      <c r="AJ941">
        <v>7.0590417368071003</v>
      </c>
      <c r="AK941">
        <v>13.472720934643863</v>
      </c>
      <c r="AL941">
        <v>197.48711948138762</v>
      </c>
      <c r="AM941">
        <v>62.817292405276518</v>
      </c>
      <c r="AN941">
        <v>3.1808298470420899</v>
      </c>
      <c r="AO941">
        <v>13.5</v>
      </c>
      <c r="AP941">
        <v>14.747863295853177</v>
      </c>
      <c r="AQ941">
        <v>29.125130408033275</v>
      </c>
      <c r="AR941">
        <v>46.364829321403271</v>
      </c>
      <c r="AS941">
        <v>0.73650934618855768</v>
      </c>
      <c r="AT941">
        <v>16.164951271448224</v>
      </c>
      <c r="AU941">
        <v>25.733282433055656</v>
      </c>
    </row>
    <row r="942" spans="1:48" x14ac:dyDescent="0.35">
      <c r="A942">
        <v>940</v>
      </c>
      <c r="B942">
        <v>46078</v>
      </c>
      <c r="C942" t="s">
        <v>16</v>
      </c>
      <c r="D942" t="s">
        <v>343</v>
      </c>
      <c r="E942" t="s">
        <v>212</v>
      </c>
      <c r="F942" t="s">
        <v>301</v>
      </c>
      <c r="G942" t="s">
        <v>302</v>
      </c>
      <c r="H942" t="s">
        <v>22</v>
      </c>
      <c r="I942" t="s">
        <v>23</v>
      </c>
      <c r="J942" t="s">
        <v>303</v>
      </c>
      <c r="K942" t="s">
        <v>342</v>
      </c>
      <c r="L942">
        <v>29</v>
      </c>
      <c r="M942">
        <v>70</v>
      </c>
      <c r="N942">
        <v>3</v>
      </c>
      <c r="O942">
        <v>1</v>
      </c>
      <c r="P942">
        <v>215</v>
      </c>
      <c r="Q942">
        <v>0.50060000000000004</v>
      </c>
      <c r="R942">
        <v>463.38410370925857</v>
      </c>
      <c r="S942">
        <v>174.28410370925855</v>
      </c>
      <c r="T942">
        <v>0.32916666666666666</v>
      </c>
      <c r="U942">
        <v>40.5</v>
      </c>
      <c r="V942">
        <v>0.66249999999999998</v>
      </c>
      <c r="W942">
        <v>88.5</v>
      </c>
      <c r="X942">
        <v>13.9</v>
      </c>
      <c r="Y942">
        <v>40</v>
      </c>
      <c r="Z942">
        <v>0.34097222222222223</v>
      </c>
      <c r="AA942">
        <v>88</v>
      </c>
      <c r="AB942">
        <v>17.2</v>
      </c>
      <c r="AD942">
        <v>48</v>
      </c>
      <c r="AE942">
        <v>48</v>
      </c>
      <c r="AF942">
        <v>46.00873479879084</v>
      </c>
      <c r="AG942">
        <v>45.344979731721118</v>
      </c>
      <c r="AH942">
        <v>91.353714530511951</v>
      </c>
      <c r="AI942">
        <v>6.3952141370319273</v>
      </c>
      <c r="AJ942">
        <v>7.7993365138560318</v>
      </c>
      <c r="AK942">
        <v>14.194550650887958</v>
      </c>
      <c r="AL942">
        <v>197.14468795811362</v>
      </c>
      <c r="AM942">
        <v>37.611152888966984</v>
      </c>
      <c r="AN942">
        <v>1.9077943858653719</v>
      </c>
      <c r="AO942">
        <v>13.9</v>
      </c>
      <c r="AP942">
        <v>15.538011479705084</v>
      </c>
      <c r="AQ942">
        <v>30.632364246560464</v>
      </c>
      <c r="AR942">
        <v>81.444895712160687</v>
      </c>
      <c r="AS942">
        <v>-3.2393187081319428</v>
      </c>
      <c r="AT942">
        <v>17.001492128540828</v>
      </c>
      <c r="AU942">
        <v>45.203326201489872</v>
      </c>
    </row>
    <row r="943" spans="1:48" x14ac:dyDescent="0.35">
      <c r="A943">
        <v>941</v>
      </c>
      <c r="B943">
        <v>46078</v>
      </c>
      <c r="C943" t="s">
        <v>16</v>
      </c>
      <c r="D943" t="s">
        <v>343</v>
      </c>
      <c r="E943" t="s">
        <v>212</v>
      </c>
      <c r="F943" t="s">
        <v>301</v>
      </c>
      <c r="G943" t="s">
        <v>302</v>
      </c>
      <c r="H943" t="s">
        <v>22</v>
      </c>
      <c r="I943" t="s">
        <v>23</v>
      </c>
      <c r="J943" t="s">
        <v>303</v>
      </c>
      <c r="K943" t="s">
        <v>342</v>
      </c>
      <c r="L943">
        <v>29</v>
      </c>
      <c r="M943">
        <v>70</v>
      </c>
      <c r="N943">
        <v>3</v>
      </c>
      <c r="O943">
        <v>2</v>
      </c>
      <c r="P943">
        <v>216</v>
      </c>
      <c r="Q943">
        <v>0.50019999999999998</v>
      </c>
      <c r="R943">
        <v>463.01384074185205</v>
      </c>
      <c r="S943">
        <v>196.01384074185205</v>
      </c>
      <c r="T943">
        <v>0.32916666666666666</v>
      </c>
      <c r="U943">
        <v>40.5</v>
      </c>
      <c r="V943">
        <v>0.66319444444444442</v>
      </c>
      <c r="W943">
        <v>77.5</v>
      </c>
      <c r="X943">
        <v>14.1</v>
      </c>
      <c r="Y943">
        <v>40</v>
      </c>
      <c r="Z943">
        <v>0.34097222222222223</v>
      </c>
      <c r="AA943">
        <v>76.5</v>
      </c>
      <c r="AB943">
        <v>17.5</v>
      </c>
      <c r="AD943">
        <v>37</v>
      </c>
      <c r="AE943">
        <v>36.5</v>
      </c>
      <c r="AF943">
        <v>35.00873479879084</v>
      </c>
      <c r="AG943">
        <v>33.844979731721118</v>
      </c>
      <c r="AH943">
        <v>68.853714530511951</v>
      </c>
      <c r="AI943">
        <v>4.9362316066295078</v>
      </c>
      <c r="AJ943">
        <v>5.9228714530511954</v>
      </c>
      <c r="AK943">
        <v>10.859103059680702</v>
      </c>
      <c r="AL943">
        <v>148.70768100623698</v>
      </c>
      <c r="AM943">
        <v>42.334337225814657</v>
      </c>
      <c r="AN943">
        <v>2.8468157757122916</v>
      </c>
      <c r="AO943">
        <v>14.099999999999998</v>
      </c>
      <c r="AP943">
        <v>15.771266857169456</v>
      </c>
      <c r="AQ943">
        <v>23.453085208601937</v>
      </c>
      <c r="AR943">
        <v>55.399674934088019</v>
      </c>
      <c r="AS943">
        <v>3.0846729981288354</v>
      </c>
      <c r="AT943">
        <v>13.016868053493946</v>
      </c>
      <c r="AU943">
        <v>30.747778060303524</v>
      </c>
    </row>
    <row r="944" spans="1:48" x14ac:dyDescent="0.35">
      <c r="A944">
        <v>942</v>
      </c>
      <c r="B944">
        <v>46078</v>
      </c>
      <c r="C944" t="s">
        <v>16</v>
      </c>
      <c r="D944" t="s">
        <v>345</v>
      </c>
      <c r="E944" t="s">
        <v>346</v>
      </c>
      <c r="F944" t="s">
        <v>347</v>
      </c>
      <c r="G944" t="s">
        <v>348</v>
      </c>
      <c r="H944" t="s">
        <v>22</v>
      </c>
      <c r="I944" t="s">
        <v>23</v>
      </c>
      <c r="J944" t="s">
        <v>303</v>
      </c>
      <c r="K944" t="s">
        <v>344</v>
      </c>
      <c r="L944">
        <v>29</v>
      </c>
      <c r="M944">
        <v>70</v>
      </c>
      <c r="N944">
        <v>3</v>
      </c>
      <c r="O944">
        <v>1</v>
      </c>
      <c r="P944">
        <v>217</v>
      </c>
      <c r="Q944">
        <v>0.50009999999999999</v>
      </c>
      <c r="R944">
        <v>464.13037481259397</v>
      </c>
      <c r="S944">
        <v>215.93037481259398</v>
      </c>
      <c r="T944">
        <v>0.3298611111111111</v>
      </c>
      <c r="U944">
        <v>40.5</v>
      </c>
      <c r="V944">
        <v>0.66319444444444442</v>
      </c>
      <c r="W944">
        <v>72.5</v>
      </c>
      <c r="X944">
        <v>12.4</v>
      </c>
      <c r="Y944">
        <v>39.5</v>
      </c>
      <c r="Z944">
        <v>0.34166666666666667</v>
      </c>
      <c r="AA944">
        <v>77</v>
      </c>
      <c r="AB944">
        <v>15.7</v>
      </c>
      <c r="AD944">
        <v>32</v>
      </c>
      <c r="AE944">
        <v>37.5</v>
      </c>
      <c r="AF944">
        <v>30.008734798790837</v>
      </c>
      <c r="AG944">
        <v>34.844979731721118</v>
      </c>
      <c r="AH944">
        <v>64.853714530511951</v>
      </c>
      <c r="AI944">
        <v>3.7210831150500638</v>
      </c>
      <c r="AJ944">
        <v>5.4706618178802158</v>
      </c>
      <c r="AK944">
        <v>9.1917449329302805</v>
      </c>
      <c r="AL944">
        <v>139.73167465434364</v>
      </c>
      <c r="AM944">
        <v>46.523646486137025</v>
      </c>
      <c r="AN944">
        <v>3.3294989558540165</v>
      </c>
      <c r="AO944">
        <v>12.4</v>
      </c>
      <c r="AP944">
        <v>14.173043131717318</v>
      </c>
      <c r="AQ944">
        <v>19.804230517431041</v>
      </c>
      <c r="AR944">
        <v>42.568096039789665</v>
      </c>
      <c r="AS944">
        <v>1.5699039929346685</v>
      </c>
      <c r="AT944">
        <v>10.991690570920204</v>
      </c>
      <c r="AU944">
        <v>23.626029774333091</v>
      </c>
    </row>
    <row r="945" spans="1:47" x14ac:dyDescent="0.35">
      <c r="A945">
        <v>943</v>
      </c>
      <c r="B945">
        <v>46078</v>
      </c>
      <c r="C945" t="s">
        <v>16</v>
      </c>
      <c r="D945" t="s">
        <v>345</v>
      </c>
      <c r="E945" t="s">
        <v>346</v>
      </c>
      <c r="F945" t="s">
        <v>347</v>
      </c>
      <c r="G945" t="s">
        <v>348</v>
      </c>
      <c r="H945" t="s">
        <v>22</v>
      </c>
      <c r="I945" t="s">
        <v>23</v>
      </c>
      <c r="J945" t="s">
        <v>303</v>
      </c>
      <c r="K945" t="s">
        <v>344</v>
      </c>
      <c r="L945">
        <v>29</v>
      </c>
      <c r="M945">
        <v>70</v>
      </c>
      <c r="N945">
        <v>3</v>
      </c>
      <c r="O945">
        <v>2</v>
      </c>
      <c r="P945">
        <v>218</v>
      </c>
      <c r="Q945">
        <v>0.50039999999999996</v>
      </c>
      <c r="R945">
        <v>464.40879735297335</v>
      </c>
      <c r="S945">
        <v>217.60879735297334</v>
      </c>
      <c r="T945">
        <v>0.3298611111111111</v>
      </c>
      <c r="U945">
        <v>40.5</v>
      </c>
      <c r="V945">
        <v>0.66388888888888886</v>
      </c>
      <c r="W945">
        <v>70.5</v>
      </c>
      <c r="X945">
        <v>13.3</v>
      </c>
      <c r="Y945">
        <v>40</v>
      </c>
      <c r="Z945">
        <v>0.34166666666666667</v>
      </c>
      <c r="AA945">
        <v>76</v>
      </c>
      <c r="AB945">
        <v>15.6</v>
      </c>
      <c r="AD945">
        <v>30</v>
      </c>
      <c r="AE945">
        <v>36</v>
      </c>
      <c r="AF945">
        <v>28.008734798790837</v>
      </c>
      <c r="AG945">
        <v>33.344979731721118</v>
      </c>
      <c r="AH945">
        <v>61.353714530511951</v>
      </c>
      <c r="AI945">
        <v>3.7251617282391813</v>
      </c>
      <c r="AJ945">
        <v>5.2018168381484946</v>
      </c>
      <c r="AK945">
        <v>8.9269785663876764</v>
      </c>
      <c r="AL945">
        <v>132.11143906018674</v>
      </c>
      <c r="AM945">
        <v>46.857165194392309</v>
      </c>
      <c r="AN945">
        <v>3.5467909158907376</v>
      </c>
      <c r="AO945">
        <v>13.3</v>
      </c>
      <c r="AP945">
        <v>14.550021355183281</v>
      </c>
      <c r="AQ945">
        <v>19.222242595897118</v>
      </c>
      <c r="AR945">
        <v>41.02305915467025</v>
      </c>
      <c r="AS945">
        <v>1.3857180996181466</v>
      </c>
      <c r="AT945">
        <v>10.668677205473694</v>
      </c>
      <c r="AU945">
        <v>22.768507572349854</v>
      </c>
    </row>
    <row r="946" spans="1:47" x14ac:dyDescent="0.35">
      <c r="A946">
        <v>944</v>
      </c>
      <c r="B946">
        <v>46078</v>
      </c>
      <c r="C946" t="s">
        <v>16</v>
      </c>
      <c r="D946" t="s">
        <v>350</v>
      </c>
      <c r="E946" t="s">
        <v>212</v>
      </c>
      <c r="F946" t="s">
        <v>351</v>
      </c>
      <c r="G946" t="s">
        <v>352</v>
      </c>
      <c r="H946" t="s">
        <v>22</v>
      </c>
      <c r="I946" t="s">
        <v>23</v>
      </c>
      <c r="J946" t="s">
        <v>215</v>
      </c>
      <c r="K946" t="s">
        <v>349</v>
      </c>
      <c r="L946">
        <v>29</v>
      </c>
      <c r="M946">
        <v>70</v>
      </c>
      <c r="N946">
        <v>3</v>
      </c>
      <c r="O946">
        <v>1</v>
      </c>
      <c r="P946">
        <v>219</v>
      </c>
      <c r="Q946">
        <v>0.50029999999999997</v>
      </c>
      <c r="R946">
        <v>464.1087198498704</v>
      </c>
      <c r="S946">
        <v>227.60871984987034</v>
      </c>
      <c r="T946">
        <v>0.3298611111111111</v>
      </c>
      <c r="U946">
        <v>40.5</v>
      </c>
      <c r="V946">
        <v>0.6645833333333333</v>
      </c>
      <c r="W946">
        <v>82.5</v>
      </c>
      <c r="X946">
        <v>13.7</v>
      </c>
      <c r="Y946">
        <v>40</v>
      </c>
      <c r="Z946">
        <v>0.34305555555555556</v>
      </c>
      <c r="AA946">
        <v>85</v>
      </c>
      <c r="AB946">
        <v>16.100000000000001</v>
      </c>
      <c r="AD946">
        <v>42</v>
      </c>
      <c r="AE946">
        <v>45</v>
      </c>
      <c r="AF946">
        <v>40.00873479879084</v>
      </c>
      <c r="AG946">
        <v>42.344979731721118</v>
      </c>
      <c r="AH946">
        <v>82.353714530511951</v>
      </c>
      <c r="AI946">
        <v>5.4811966674343449</v>
      </c>
      <c r="AJ946">
        <v>6.8175417368071001</v>
      </c>
      <c r="AK946">
        <v>12.298738404241444</v>
      </c>
      <c r="AL946">
        <v>177.44487661673685</v>
      </c>
      <c r="AM946">
        <v>49.042112357530591</v>
      </c>
      <c r="AN946">
        <v>2.7637942155668229</v>
      </c>
      <c r="AO946">
        <v>13.7</v>
      </c>
      <c r="AP946">
        <v>14.934042106485405</v>
      </c>
      <c r="AQ946">
        <v>26.499692589744562</v>
      </c>
      <c r="AR946">
        <v>54.034566041027055</v>
      </c>
      <c r="AS946">
        <v>0.91961778597789667</v>
      </c>
      <c r="AT946">
        <v>14.707787859498364</v>
      </c>
      <c r="AU946">
        <v>29.990119006853767</v>
      </c>
    </row>
    <row r="947" spans="1:47" x14ac:dyDescent="0.35">
      <c r="A947">
        <v>945</v>
      </c>
      <c r="B947">
        <v>46078</v>
      </c>
      <c r="C947" t="s">
        <v>16</v>
      </c>
      <c r="D947" t="s">
        <v>350</v>
      </c>
      <c r="E947" t="s">
        <v>212</v>
      </c>
      <c r="F947" t="s">
        <v>351</v>
      </c>
      <c r="G947" t="s">
        <v>352</v>
      </c>
      <c r="H947" t="s">
        <v>22</v>
      </c>
      <c r="I947" t="s">
        <v>23</v>
      </c>
      <c r="J947" t="s">
        <v>215</v>
      </c>
      <c r="K947" t="s">
        <v>349</v>
      </c>
      <c r="L947">
        <v>29</v>
      </c>
      <c r="M947">
        <v>70</v>
      </c>
      <c r="N947">
        <v>3</v>
      </c>
      <c r="O947">
        <v>2</v>
      </c>
      <c r="P947">
        <v>220</v>
      </c>
      <c r="Q947">
        <v>0.50009999999999999</v>
      </c>
      <c r="R947">
        <v>463.9231876812317</v>
      </c>
      <c r="S947">
        <v>216.62318768123163</v>
      </c>
      <c r="T947">
        <v>0.3298611111111111</v>
      </c>
      <c r="U947">
        <v>40</v>
      </c>
      <c r="V947">
        <v>0.6645833333333333</v>
      </c>
      <c r="W947">
        <v>85</v>
      </c>
      <c r="X947">
        <v>13.1</v>
      </c>
      <c r="Y947">
        <v>39.5</v>
      </c>
      <c r="Z947">
        <v>0.34305555555555556</v>
      </c>
      <c r="AA947">
        <v>86.5</v>
      </c>
      <c r="AB947">
        <v>16.399999999999999</v>
      </c>
      <c r="AD947">
        <v>45</v>
      </c>
      <c r="AE947">
        <v>47</v>
      </c>
      <c r="AF947">
        <v>43.00873479879084</v>
      </c>
      <c r="AG947">
        <v>44.344979731721118</v>
      </c>
      <c r="AH947">
        <v>87.353714530511951</v>
      </c>
      <c r="AI947">
        <v>5.6341442586416006</v>
      </c>
      <c r="AJ947">
        <v>7.2725766760022621</v>
      </c>
      <c r="AK947">
        <v>12.906720934643863</v>
      </c>
      <c r="AL947">
        <v>188.29348661600838</v>
      </c>
      <c r="AM947">
        <v>46.693761690152151</v>
      </c>
      <c r="AN947">
        <v>2.4798394532560706</v>
      </c>
      <c r="AO947">
        <v>13.100000000000001</v>
      </c>
      <c r="AP947">
        <v>14.775239958611776</v>
      </c>
      <c r="AQ947">
        <v>27.820814473951788</v>
      </c>
      <c r="AR947">
        <v>59.581437577386872</v>
      </c>
      <c r="AS947">
        <v>1.3757405413802004</v>
      </c>
      <c r="AT947">
        <v>15.441033362013378</v>
      </c>
      <c r="AU947">
        <v>33.068728676169044</v>
      </c>
    </row>
    <row r="948" spans="1:47" x14ac:dyDescent="0.35">
      <c r="A948">
        <v>946</v>
      </c>
      <c r="B948">
        <v>46078</v>
      </c>
      <c r="C948" t="s">
        <v>16</v>
      </c>
      <c r="D948" t="s">
        <v>354</v>
      </c>
      <c r="E948" t="s">
        <v>226</v>
      </c>
      <c r="F948" t="s">
        <v>227</v>
      </c>
      <c r="G948" t="s">
        <v>228</v>
      </c>
      <c r="H948" t="s">
        <v>22</v>
      </c>
      <c r="I948" t="s">
        <v>23</v>
      </c>
      <c r="J948" t="s">
        <v>215</v>
      </c>
      <c r="K948" t="s">
        <v>353</v>
      </c>
      <c r="L948">
        <v>29</v>
      </c>
      <c r="M948">
        <v>70</v>
      </c>
      <c r="N948">
        <v>3</v>
      </c>
      <c r="O948">
        <v>1</v>
      </c>
      <c r="P948">
        <v>221</v>
      </c>
      <c r="Q948">
        <v>0.50039999999999996</v>
      </c>
      <c r="R948">
        <v>461.85771020308692</v>
      </c>
      <c r="S948">
        <v>272.95771020308689</v>
      </c>
      <c r="T948">
        <v>0.33055555555555555</v>
      </c>
      <c r="U948">
        <v>41</v>
      </c>
      <c r="V948">
        <v>0.66527777777777775</v>
      </c>
      <c r="W948">
        <v>84.5</v>
      </c>
      <c r="X948">
        <v>12.7</v>
      </c>
      <c r="Y948">
        <v>41</v>
      </c>
      <c r="Z948">
        <v>0.34375</v>
      </c>
      <c r="AA948">
        <v>80</v>
      </c>
      <c r="AB948">
        <v>16.2</v>
      </c>
      <c r="AD948">
        <v>43.5</v>
      </c>
      <c r="AE948">
        <v>39</v>
      </c>
      <c r="AF948">
        <v>41.50873479879084</v>
      </c>
      <c r="AG948">
        <v>36.344979731721118</v>
      </c>
      <c r="AH948">
        <v>77.853714530511951</v>
      </c>
      <c r="AI948">
        <v>5.2716093194464371</v>
      </c>
      <c r="AJ948">
        <v>5.8878867165388211</v>
      </c>
      <c r="AK948">
        <v>11.159496035985258</v>
      </c>
      <c r="AL948">
        <v>168.56644981909756</v>
      </c>
      <c r="AM948">
        <v>59.099957448596584</v>
      </c>
      <c r="AN948">
        <v>3.506033229745396</v>
      </c>
      <c r="AO948">
        <v>12.700000000000001</v>
      </c>
      <c r="AP948">
        <v>14.333928834714362</v>
      </c>
      <c r="AQ948">
        <v>24.16219495627394</v>
      </c>
      <c r="AR948">
        <v>40.883608042001569</v>
      </c>
      <c r="AS948">
        <v>1.162772160269824</v>
      </c>
      <c r="AT948">
        <v>13.410436231786646</v>
      </c>
      <c r="AU948">
        <v>22.691109792169733</v>
      </c>
    </row>
    <row r="949" spans="1:47" x14ac:dyDescent="0.35">
      <c r="A949">
        <v>947</v>
      </c>
      <c r="B949">
        <v>46078</v>
      </c>
      <c r="C949" t="s">
        <v>16</v>
      </c>
      <c r="D949" t="s">
        <v>354</v>
      </c>
      <c r="E949" t="s">
        <v>226</v>
      </c>
      <c r="F949" t="s">
        <v>227</v>
      </c>
      <c r="G949" t="s">
        <v>228</v>
      </c>
      <c r="H949" t="s">
        <v>22</v>
      </c>
      <c r="I949" t="s">
        <v>23</v>
      </c>
      <c r="J949" t="s">
        <v>215</v>
      </c>
      <c r="K949" t="s">
        <v>353</v>
      </c>
      <c r="L949">
        <v>29</v>
      </c>
      <c r="M949">
        <v>70</v>
      </c>
      <c r="N949">
        <v>3</v>
      </c>
      <c r="O949">
        <v>2</v>
      </c>
      <c r="P949">
        <v>222</v>
      </c>
      <c r="Q949">
        <v>0.50039999999999996</v>
      </c>
      <c r="R949">
        <v>461.85771020308692</v>
      </c>
      <c r="S949">
        <v>284.25771020308696</v>
      </c>
      <c r="T949">
        <v>0.33055555555555555</v>
      </c>
      <c r="U949">
        <v>41</v>
      </c>
      <c r="V949">
        <v>0.66527777777777775</v>
      </c>
      <c r="W949">
        <v>83.5</v>
      </c>
      <c r="X949">
        <v>12.4</v>
      </c>
      <c r="Y949">
        <v>41</v>
      </c>
      <c r="Z949">
        <v>0.34375</v>
      </c>
      <c r="AA949">
        <v>79</v>
      </c>
      <c r="AB949">
        <v>15.9</v>
      </c>
      <c r="AD949">
        <v>42.5</v>
      </c>
      <c r="AE949">
        <v>38</v>
      </c>
      <c r="AF949">
        <v>40.50873479879084</v>
      </c>
      <c r="AG949">
        <v>35.344979731721118</v>
      </c>
      <c r="AH949">
        <v>75.853714530511951</v>
      </c>
      <c r="AI949">
        <v>5.0230831150500643</v>
      </c>
      <c r="AJ949">
        <v>5.6198517773436576</v>
      </c>
      <c r="AK949">
        <v>10.642934892393722</v>
      </c>
      <c r="AL949">
        <v>164.23611180412632</v>
      </c>
      <c r="AM949">
        <v>61.546598427055358</v>
      </c>
      <c r="AN949">
        <v>3.7474461463419182</v>
      </c>
      <c r="AO949">
        <v>12.4</v>
      </c>
      <c r="AP949">
        <v>14.030868439689437</v>
      </c>
      <c r="AQ949">
        <v>23.043752777698217</v>
      </c>
      <c r="AR949">
        <v>37.441147628994521</v>
      </c>
      <c r="AS949">
        <v>0.70928268769264446</v>
      </c>
      <c r="AT949">
        <v>12.789681472466416</v>
      </c>
      <c r="AU949">
        <v>20.780484704812185</v>
      </c>
    </row>
    <row r="950" spans="1:47" x14ac:dyDescent="0.35">
      <c r="A950">
        <v>948</v>
      </c>
      <c r="B950">
        <v>46078</v>
      </c>
      <c r="D950" t="s">
        <v>541</v>
      </c>
      <c r="E950" t="s">
        <v>538</v>
      </c>
      <c r="F950" t="s">
        <v>542</v>
      </c>
      <c r="G950" t="s">
        <v>541</v>
      </c>
      <c r="K950" t="s">
        <v>543</v>
      </c>
      <c r="L950">
        <v>29</v>
      </c>
      <c r="M950">
        <v>70</v>
      </c>
      <c r="N950">
        <v>3</v>
      </c>
      <c r="O950">
        <v>1</v>
      </c>
      <c r="P950">
        <v>223</v>
      </c>
      <c r="T950">
        <v>0.33124999999999999</v>
      </c>
      <c r="U950">
        <v>39.5</v>
      </c>
      <c r="V950">
        <v>0.66597222222222219</v>
      </c>
      <c r="W950">
        <v>42</v>
      </c>
      <c r="AD950">
        <v>2.5</v>
      </c>
    </row>
    <row r="951" spans="1:47" x14ac:dyDescent="0.35">
      <c r="A951">
        <v>949</v>
      </c>
      <c r="B951">
        <v>46078</v>
      </c>
      <c r="D951" t="s">
        <v>541</v>
      </c>
      <c r="E951" t="s">
        <v>538</v>
      </c>
      <c r="F951" t="s">
        <v>542</v>
      </c>
      <c r="G951" t="s">
        <v>541</v>
      </c>
      <c r="K951" t="s">
        <v>543</v>
      </c>
      <c r="L951">
        <v>29</v>
      </c>
      <c r="M951">
        <v>70</v>
      </c>
      <c r="N951">
        <v>3</v>
      </c>
      <c r="O951">
        <v>2</v>
      </c>
      <c r="P951">
        <v>224</v>
      </c>
      <c r="T951">
        <v>0.33124999999999999</v>
      </c>
      <c r="U951">
        <v>39.5</v>
      </c>
      <c r="V951">
        <v>0.66597222222222219</v>
      </c>
      <c r="W951">
        <v>42</v>
      </c>
      <c r="AD951">
        <v>2.5</v>
      </c>
    </row>
    <row r="952" spans="1:47" x14ac:dyDescent="0.35">
      <c r="A952">
        <v>950</v>
      </c>
      <c r="B952">
        <v>46078</v>
      </c>
      <c r="C952" t="s">
        <v>16</v>
      </c>
      <c r="D952" t="s">
        <v>356</v>
      </c>
      <c r="E952" t="s">
        <v>219</v>
      </c>
      <c r="F952" t="s">
        <v>253</v>
      </c>
      <c r="G952" t="s">
        <v>254</v>
      </c>
      <c r="H952" t="s">
        <v>22</v>
      </c>
      <c r="I952" t="s">
        <v>23</v>
      </c>
      <c r="J952" t="s">
        <v>215</v>
      </c>
      <c r="K952" t="s">
        <v>355</v>
      </c>
      <c r="L952">
        <v>29</v>
      </c>
      <c r="M952">
        <v>70</v>
      </c>
      <c r="N952">
        <v>3</v>
      </c>
      <c r="O952">
        <v>1</v>
      </c>
      <c r="P952">
        <v>225</v>
      </c>
      <c r="Q952">
        <v>0.50039999999999996</v>
      </c>
      <c r="R952">
        <v>450.72265871064434</v>
      </c>
      <c r="S952">
        <v>248.22265871064434</v>
      </c>
      <c r="T952">
        <v>0.33124999999999999</v>
      </c>
      <c r="U952">
        <v>41</v>
      </c>
      <c r="V952">
        <v>0.66666666666666663</v>
      </c>
      <c r="W952">
        <v>74.5</v>
      </c>
      <c r="X952">
        <v>11.9</v>
      </c>
      <c r="Y952">
        <v>40</v>
      </c>
      <c r="Z952">
        <v>0.34444444444444444</v>
      </c>
      <c r="AA952">
        <v>89</v>
      </c>
      <c r="AB952">
        <v>15.6</v>
      </c>
      <c r="AD952">
        <v>33.5</v>
      </c>
      <c r="AE952">
        <v>49</v>
      </c>
      <c r="AF952">
        <v>31.508734798790837</v>
      </c>
      <c r="AG952">
        <v>46.344979731721118</v>
      </c>
      <c r="AH952">
        <v>77.853714530511951</v>
      </c>
      <c r="AI952">
        <v>3.7495394410561098</v>
      </c>
      <c r="AJ952">
        <v>7.2298168381484942</v>
      </c>
      <c r="AK952">
        <v>10.979356279204604</v>
      </c>
      <c r="AL952">
        <v>172.73086459248239</v>
      </c>
      <c r="AM952">
        <v>55.072150004776823</v>
      </c>
      <c r="AN952">
        <v>3.1883213306843881</v>
      </c>
      <c r="AO952">
        <v>11.9</v>
      </c>
      <c r="AP952">
        <v>14.102546481454834</v>
      </c>
      <c r="AQ952">
        <v>24.359450466973634</v>
      </c>
      <c r="AR952">
        <v>44.231885744175152</v>
      </c>
      <c r="AS952">
        <v>1.1633626654592955</v>
      </c>
      <c r="AT952">
        <v>13.519916452950074</v>
      </c>
      <c r="AU952">
        <v>24.549461845556038</v>
      </c>
    </row>
    <row r="953" spans="1:47" x14ac:dyDescent="0.35">
      <c r="A953">
        <v>951</v>
      </c>
      <c r="B953">
        <v>46078</v>
      </c>
      <c r="C953" t="s">
        <v>16</v>
      </c>
      <c r="D953" t="s">
        <v>356</v>
      </c>
      <c r="E953" t="s">
        <v>219</v>
      </c>
      <c r="F953" t="s">
        <v>253</v>
      </c>
      <c r="G953" t="s">
        <v>254</v>
      </c>
      <c r="H953" t="s">
        <v>22</v>
      </c>
      <c r="I953" t="s">
        <v>23</v>
      </c>
      <c r="J953" t="s">
        <v>215</v>
      </c>
      <c r="K953" t="s">
        <v>355</v>
      </c>
      <c r="L953">
        <v>29</v>
      </c>
      <c r="M953">
        <v>70</v>
      </c>
      <c r="N953">
        <v>3</v>
      </c>
      <c r="O953">
        <v>2</v>
      </c>
      <c r="P953">
        <v>226</v>
      </c>
      <c r="Q953">
        <v>0.50029999999999997</v>
      </c>
      <c r="R953">
        <v>450.6325862368812</v>
      </c>
      <c r="S953">
        <v>269.3325862368813</v>
      </c>
      <c r="T953">
        <v>0.33194444444444443</v>
      </c>
      <c r="U953">
        <v>41.5</v>
      </c>
      <c r="V953">
        <v>0.66666666666666663</v>
      </c>
      <c r="W953">
        <v>77.5</v>
      </c>
      <c r="X953">
        <v>12.6</v>
      </c>
      <c r="Y953">
        <v>43</v>
      </c>
      <c r="Z953">
        <v>0.34513888888888888</v>
      </c>
      <c r="AA953">
        <v>92</v>
      </c>
      <c r="AB953">
        <v>15.8</v>
      </c>
      <c r="AD953">
        <v>36</v>
      </c>
      <c r="AE953">
        <v>49</v>
      </c>
      <c r="AF953">
        <v>34.00873479879084</v>
      </c>
      <c r="AG953">
        <v>46.344979731721118</v>
      </c>
      <c r="AH953">
        <v>80.353714530511951</v>
      </c>
      <c r="AI953">
        <v>4.2851005846476458</v>
      </c>
      <c r="AJ953">
        <v>7.3225067976119371</v>
      </c>
      <c r="AK953">
        <v>11.607607382259584</v>
      </c>
      <c r="AL953">
        <v>178.31314686211556</v>
      </c>
      <c r="AM953">
        <v>59.76766759945383</v>
      </c>
      <c r="AN953">
        <v>3.3518374080218805</v>
      </c>
      <c r="AO953">
        <v>12.6</v>
      </c>
      <c r="AP953">
        <v>14.445638823394949</v>
      </c>
      <c r="AQ953">
        <v>25.758473170331019</v>
      </c>
      <c r="AR953">
        <v>43.097671709321318</v>
      </c>
      <c r="AS953">
        <v>0.61407796527347036</v>
      </c>
      <c r="AT953">
        <v>14.296398257858462</v>
      </c>
      <c r="AU953">
        <v>23.919953433131969</v>
      </c>
    </row>
    <row r="954" spans="1:47" x14ac:dyDescent="0.35">
      <c r="A954">
        <v>952</v>
      </c>
      <c r="B954">
        <v>46078</v>
      </c>
      <c r="C954" t="s">
        <v>16</v>
      </c>
      <c r="D954" t="s">
        <v>358</v>
      </c>
      <c r="E954" t="s">
        <v>212</v>
      </c>
      <c r="F954" t="s">
        <v>359</v>
      </c>
      <c r="G954" t="s">
        <v>360</v>
      </c>
      <c r="H954" t="s">
        <v>22</v>
      </c>
      <c r="I954" t="s">
        <v>23</v>
      </c>
      <c r="J954" t="s">
        <v>215</v>
      </c>
      <c r="K954" t="s">
        <v>357</v>
      </c>
      <c r="L954">
        <v>29</v>
      </c>
      <c r="M954">
        <v>70</v>
      </c>
      <c r="N954">
        <v>3</v>
      </c>
      <c r="O954">
        <v>1</v>
      </c>
      <c r="P954">
        <v>227</v>
      </c>
      <c r="Q954">
        <v>0.50029999999999997</v>
      </c>
      <c r="R954">
        <v>459.65468953104704</v>
      </c>
      <c r="S954">
        <v>201.85468953104714</v>
      </c>
      <c r="T954">
        <v>0.33194444444444443</v>
      </c>
      <c r="U954">
        <v>40.5</v>
      </c>
      <c r="V954">
        <v>0.66666666666666663</v>
      </c>
      <c r="W954">
        <v>85</v>
      </c>
      <c r="X954">
        <v>13.6</v>
      </c>
      <c r="Y954">
        <v>40</v>
      </c>
      <c r="Z954">
        <v>0.34513888888888888</v>
      </c>
      <c r="AA954">
        <v>85</v>
      </c>
      <c r="AB954">
        <v>16.600000000000001</v>
      </c>
      <c r="AD954">
        <v>44.5</v>
      </c>
      <c r="AE954">
        <v>45</v>
      </c>
      <c r="AF954">
        <v>42.50873479879084</v>
      </c>
      <c r="AG954">
        <v>42.344979731721118</v>
      </c>
      <c r="AH954">
        <v>84.853714530511951</v>
      </c>
      <c r="AI954">
        <v>5.7811879326355546</v>
      </c>
      <c r="AJ954">
        <v>7.0292666354657056</v>
      </c>
      <c r="AK954">
        <v>12.81045456810126</v>
      </c>
      <c r="AL954">
        <v>184.6031737804789</v>
      </c>
      <c r="AM954">
        <v>43.91441969992411</v>
      </c>
      <c r="AN954">
        <v>2.3788550760316287</v>
      </c>
      <c r="AO954">
        <v>13.6</v>
      </c>
      <c r="AP954">
        <v>15.097105222771171</v>
      </c>
      <c r="AQ954">
        <v>27.869735390214021</v>
      </c>
      <c r="AR954">
        <v>63.463745122111185</v>
      </c>
      <c r="AS954">
        <v>-5.0014610968374855</v>
      </c>
      <c r="AT954">
        <v>15.468185316921554</v>
      </c>
      <c r="AU954">
        <v>35.223476531441641</v>
      </c>
    </row>
    <row r="955" spans="1:47" x14ac:dyDescent="0.35">
      <c r="A955">
        <v>953</v>
      </c>
      <c r="B955">
        <v>46078</v>
      </c>
      <c r="C955" t="s">
        <v>16</v>
      </c>
      <c r="D955" t="s">
        <v>358</v>
      </c>
      <c r="E955" t="s">
        <v>212</v>
      </c>
      <c r="F955" t="s">
        <v>359</v>
      </c>
      <c r="G955" t="s">
        <v>360</v>
      </c>
      <c r="H955" t="s">
        <v>22</v>
      </c>
      <c r="I955" t="s">
        <v>23</v>
      </c>
      <c r="J955" t="s">
        <v>215</v>
      </c>
      <c r="K955" t="s">
        <v>357</v>
      </c>
      <c r="L955">
        <v>29</v>
      </c>
      <c r="M955">
        <v>70</v>
      </c>
      <c r="N955">
        <v>3</v>
      </c>
      <c r="O955">
        <v>2</v>
      </c>
      <c r="P955">
        <v>228</v>
      </c>
      <c r="Q955">
        <v>0.50009999999999999</v>
      </c>
      <c r="R955">
        <v>459.47093790620954</v>
      </c>
      <c r="S955">
        <v>249.67093790620945</v>
      </c>
      <c r="T955">
        <v>0.33194444444444443</v>
      </c>
      <c r="U955">
        <v>41</v>
      </c>
      <c r="V955">
        <v>0.66736111111111107</v>
      </c>
      <c r="W955">
        <v>85.5</v>
      </c>
      <c r="X955">
        <v>13.7</v>
      </c>
      <c r="Y955">
        <v>40.5</v>
      </c>
      <c r="Z955">
        <v>0.34583333333333333</v>
      </c>
      <c r="AA955">
        <v>86</v>
      </c>
      <c r="AB955">
        <v>16.7</v>
      </c>
      <c r="AD955">
        <v>44.5</v>
      </c>
      <c r="AE955">
        <v>45.5</v>
      </c>
      <c r="AF955">
        <v>42.50873479879084</v>
      </c>
      <c r="AG955">
        <v>42.844979731721118</v>
      </c>
      <c r="AH955">
        <v>85.353714530511951</v>
      </c>
      <c r="AI955">
        <v>5.8236966674343442</v>
      </c>
      <c r="AJ955">
        <v>7.1551116151974261</v>
      </c>
      <c r="AK955">
        <v>12.978808282631771</v>
      </c>
      <c r="AL955">
        <v>185.76520839264694</v>
      </c>
      <c r="AM955">
        <v>54.338787790137452</v>
      </c>
      <c r="AN955">
        <v>2.9251326586021977</v>
      </c>
      <c r="AO955">
        <v>13.699999999999998</v>
      </c>
      <c r="AP955">
        <v>15.205909144108956</v>
      </c>
      <c r="AQ955">
        <v>28.247288809550557</v>
      </c>
      <c r="AR955">
        <v>51.983656533974923</v>
      </c>
      <c r="AS955">
        <v>0.78653432303331194</v>
      </c>
      <c r="AT955">
        <v>15.677733996719407</v>
      </c>
      <c r="AU955">
        <v>28.851828747576391</v>
      </c>
    </row>
    <row r="956" spans="1:47" x14ac:dyDescent="0.35">
      <c r="A956">
        <v>954</v>
      </c>
      <c r="B956">
        <v>46078</v>
      </c>
      <c r="C956" t="s">
        <v>16</v>
      </c>
      <c r="D956" t="s">
        <v>362</v>
      </c>
      <c r="E956" t="s">
        <v>219</v>
      </c>
      <c r="F956" t="s">
        <v>253</v>
      </c>
      <c r="G956" t="s">
        <v>254</v>
      </c>
      <c r="H956" t="s">
        <v>22</v>
      </c>
      <c r="I956" t="s">
        <v>23</v>
      </c>
      <c r="J956" t="s">
        <v>215</v>
      </c>
      <c r="K956" t="s">
        <v>361</v>
      </c>
      <c r="L956">
        <v>29</v>
      </c>
      <c r="M956">
        <v>70</v>
      </c>
      <c r="N956">
        <v>3</v>
      </c>
      <c r="O956">
        <v>1</v>
      </c>
      <c r="P956">
        <v>229</v>
      </c>
      <c r="Q956">
        <v>0.50019999999999998</v>
      </c>
      <c r="R956">
        <v>459.12912252648465</v>
      </c>
      <c r="S956">
        <v>306.72912252648467</v>
      </c>
      <c r="T956">
        <v>0.33263888888888887</v>
      </c>
      <c r="U956">
        <v>40.5</v>
      </c>
      <c r="V956">
        <v>0.66736111111111107</v>
      </c>
      <c r="W956">
        <v>83</v>
      </c>
      <c r="X956">
        <v>12.5</v>
      </c>
      <c r="Y956">
        <v>40</v>
      </c>
      <c r="Z956">
        <v>0.34583333333333333</v>
      </c>
      <c r="AA956">
        <v>88.5</v>
      </c>
      <c r="AB956">
        <v>15.7</v>
      </c>
      <c r="AD956">
        <v>42.5</v>
      </c>
      <c r="AE956">
        <v>48.5</v>
      </c>
      <c r="AF956">
        <v>40.50873479879084</v>
      </c>
      <c r="AG956">
        <v>45.844979731721118</v>
      </c>
      <c r="AH956">
        <v>86.353714530511951</v>
      </c>
      <c r="AI956">
        <v>5.063591849848855</v>
      </c>
      <c r="AJ956">
        <v>7.1976618178802152</v>
      </c>
      <c r="AK956">
        <v>12.26125366772907</v>
      </c>
      <c r="AL956">
        <v>188.08154458886602</v>
      </c>
      <c r="AM956">
        <v>66.806723310998677</v>
      </c>
      <c r="AN956">
        <v>3.5520084363957034</v>
      </c>
      <c r="AO956">
        <v>12.5</v>
      </c>
      <c r="AP956">
        <v>14.198872317642708</v>
      </c>
      <c r="AQ956">
        <v>26.705458369223322</v>
      </c>
      <c r="AR956">
        <v>39.974207752869532</v>
      </c>
      <c r="AS956">
        <v>0.41827865456329999</v>
      </c>
      <c r="AT956">
        <v>14.821991427070662</v>
      </c>
      <c r="AU956">
        <v>22.186376898132426</v>
      </c>
    </row>
    <row r="957" spans="1:47" x14ac:dyDescent="0.35">
      <c r="A957">
        <v>955</v>
      </c>
      <c r="B957">
        <v>46078</v>
      </c>
      <c r="C957" t="s">
        <v>16</v>
      </c>
      <c r="D957" t="s">
        <v>362</v>
      </c>
      <c r="E957" t="s">
        <v>219</v>
      </c>
      <c r="F957" t="s">
        <v>253</v>
      </c>
      <c r="G957" t="s">
        <v>254</v>
      </c>
      <c r="H957" t="s">
        <v>22</v>
      </c>
      <c r="I957" t="s">
        <v>23</v>
      </c>
      <c r="J957" t="s">
        <v>215</v>
      </c>
      <c r="K957" t="s">
        <v>361</v>
      </c>
      <c r="L957">
        <v>29</v>
      </c>
      <c r="M957">
        <v>70</v>
      </c>
      <c r="N957">
        <v>3</v>
      </c>
      <c r="O957">
        <v>2</v>
      </c>
      <c r="P957">
        <v>230</v>
      </c>
      <c r="Q957">
        <v>0.50019999999999998</v>
      </c>
      <c r="R957">
        <v>459.12912252648465</v>
      </c>
      <c r="S957">
        <v>300.72912252648467</v>
      </c>
      <c r="T957">
        <v>0.33263888888888887</v>
      </c>
      <c r="U957">
        <v>40.5</v>
      </c>
      <c r="V957">
        <v>0.66805555555555551</v>
      </c>
      <c r="W957">
        <v>82.5</v>
      </c>
      <c r="X957">
        <v>12.4</v>
      </c>
      <c r="Y957">
        <v>40</v>
      </c>
      <c r="Z957">
        <v>0.34652777777777777</v>
      </c>
      <c r="AA957">
        <v>92.5</v>
      </c>
      <c r="AB957">
        <v>15.5</v>
      </c>
      <c r="AD957">
        <v>42</v>
      </c>
      <c r="AE957">
        <v>52.5</v>
      </c>
      <c r="AF957">
        <v>40.00873479879084</v>
      </c>
      <c r="AG957">
        <v>49.844979731721118</v>
      </c>
      <c r="AH957">
        <v>89.853714530511951</v>
      </c>
      <c r="AI957">
        <v>4.9610831150500641</v>
      </c>
      <c r="AJ957">
        <v>7.7259718584167736</v>
      </c>
      <c r="AK957">
        <v>12.687054973466838</v>
      </c>
      <c r="AL957">
        <v>195.70467243738995</v>
      </c>
      <c r="AM957">
        <v>65.499901394108846</v>
      </c>
      <c r="AN957">
        <v>3.3468746851235069</v>
      </c>
      <c r="AO957">
        <v>12.4</v>
      </c>
      <c r="AP957">
        <v>14.119677789345758</v>
      </c>
      <c r="AQ957">
        <v>27.632869166854018</v>
      </c>
      <c r="AR957">
        <v>42.18765002498057</v>
      </c>
      <c r="AS957">
        <v>0.47820330078142059</v>
      </c>
      <c r="AT957">
        <v>15.336720464925206</v>
      </c>
      <c r="AU957">
        <v>23.414875654003062</v>
      </c>
    </row>
    <row r="958" spans="1:47" x14ac:dyDescent="0.35">
      <c r="A958">
        <v>956</v>
      </c>
      <c r="B958">
        <v>46078</v>
      </c>
      <c r="C958" t="s">
        <v>16</v>
      </c>
      <c r="D958" t="s">
        <v>364</v>
      </c>
      <c r="E958" t="s">
        <v>219</v>
      </c>
      <c r="F958" t="s">
        <v>365</v>
      </c>
      <c r="G958" t="s">
        <v>366</v>
      </c>
      <c r="H958" t="s">
        <v>22</v>
      </c>
      <c r="I958" t="s">
        <v>23</v>
      </c>
      <c r="J958" t="s">
        <v>215</v>
      </c>
      <c r="K958" t="s">
        <v>363</v>
      </c>
      <c r="L958">
        <v>29</v>
      </c>
      <c r="M958">
        <v>70</v>
      </c>
      <c r="N958">
        <v>3</v>
      </c>
      <c r="O958">
        <v>1</v>
      </c>
      <c r="P958">
        <v>231</v>
      </c>
      <c r="Q958">
        <v>0.50009999999999999</v>
      </c>
      <c r="R958">
        <v>453.37029499999971</v>
      </c>
      <c r="S958">
        <v>282.87029499999971</v>
      </c>
      <c r="T958">
        <v>0.33333333333333331</v>
      </c>
      <c r="U958">
        <v>40.5</v>
      </c>
      <c r="V958">
        <v>0.66805555555555551</v>
      </c>
      <c r="W958">
        <v>89.5</v>
      </c>
      <c r="X958">
        <v>13.5</v>
      </c>
      <c r="Y958">
        <v>40</v>
      </c>
      <c r="Z958">
        <v>0.34652777777777777</v>
      </c>
      <c r="AA958">
        <v>89</v>
      </c>
      <c r="AB958">
        <v>17.100000000000001</v>
      </c>
      <c r="AD958">
        <v>49</v>
      </c>
      <c r="AE958">
        <v>49</v>
      </c>
      <c r="AF958">
        <v>47.00873479879084</v>
      </c>
      <c r="AG958">
        <v>46.344979731721118</v>
      </c>
      <c r="AH958">
        <v>93.353714530511951</v>
      </c>
      <c r="AI958">
        <v>6.3461791978367641</v>
      </c>
      <c r="AJ958">
        <v>7.9249915341243113</v>
      </c>
      <c r="AK958">
        <v>14.271170731961075</v>
      </c>
      <c r="AL958">
        <v>205.910522943529</v>
      </c>
      <c r="AM958">
        <v>62.392772115782293</v>
      </c>
      <c r="AN958">
        <v>3.0300914797294509</v>
      </c>
      <c r="AO958">
        <v>13.500000000000002</v>
      </c>
      <c r="AP958">
        <v>15.287201804162438</v>
      </c>
      <c r="AQ958">
        <v>31.477957178383477</v>
      </c>
      <c r="AR958">
        <v>50.451288043380764</v>
      </c>
      <c r="AS958">
        <v>1.3714839169009909</v>
      </c>
      <c r="AT958">
        <v>17.470810835338092</v>
      </c>
      <c r="AU958">
        <v>28.001337723731051</v>
      </c>
    </row>
    <row r="959" spans="1:47" x14ac:dyDescent="0.35">
      <c r="A959">
        <v>957</v>
      </c>
      <c r="B959">
        <v>46078</v>
      </c>
      <c r="C959" t="s">
        <v>16</v>
      </c>
      <c r="D959" t="s">
        <v>364</v>
      </c>
      <c r="E959" t="s">
        <v>219</v>
      </c>
      <c r="F959" t="s">
        <v>365</v>
      </c>
      <c r="G959" t="s">
        <v>366</v>
      </c>
      <c r="H959" t="s">
        <v>22</v>
      </c>
      <c r="I959" t="s">
        <v>23</v>
      </c>
      <c r="J959" t="s">
        <v>215</v>
      </c>
      <c r="K959" t="s">
        <v>363</v>
      </c>
      <c r="L959">
        <v>29</v>
      </c>
      <c r="M959">
        <v>70</v>
      </c>
      <c r="N959">
        <v>3</v>
      </c>
      <c r="O959">
        <v>2</v>
      </c>
      <c r="P959">
        <v>232</v>
      </c>
      <c r="Q959">
        <v>0.50019999999999998</v>
      </c>
      <c r="R959">
        <v>453.46095092781417</v>
      </c>
      <c r="S959">
        <v>263.6609509278141</v>
      </c>
      <c r="T959">
        <v>0.33333333333333331</v>
      </c>
      <c r="U959">
        <v>40.5</v>
      </c>
      <c r="V959">
        <v>0.66874999999999996</v>
      </c>
      <c r="W959">
        <v>89</v>
      </c>
      <c r="X959">
        <v>13.4</v>
      </c>
      <c r="Y959">
        <v>40</v>
      </c>
      <c r="Z959">
        <v>0.34722222222222221</v>
      </c>
      <c r="AA959">
        <v>89</v>
      </c>
      <c r="AB959">
        <v>16.8</v>
      </c>
      <c r="AD959">
        <v>48.5</v>
      </c>
      <c r="AE959">
        <v>49</v>
      </c>
      <c r="AF959">
        <v>46.50873479879084</v>
      </c>
      <c r="AG959">
        <v>46.344979731721118</v>
      </c>
      <c r="AH959">
        <v>92.853714530511951</v>
      </c>
      <c r="AI959">
        <v>6.2321704630379733</v>
      </c>
      <c r="AJ959">
        <v>7.7859565949291483</v>
      </c>
      <c r="AK959">
        <v>14.018127057967121</v>
      </c>
      <c r="AL959">
        <v>204.7667265296526</v>
      </c>
      <c r="AM959">
        <v>58.144135760387869</v>
      </c>
      <c r="AN959">
        <v>2.8395304620923323</v>
      </c>
      <c r="AO959">
        <v>13.400000000000002</v>
      </c>
      <c r="AP959">
        <v>15.09700191192753</v>
      </c>
      <c r="AQ959">
        <v>30.913636619173076</v>
      </c>
      <c r="AR959">
        <v>53.167247590656856</v>
      </c>
      <c r="AS959">
        <v>49.391727864852058</v>
      </c>
      <c r="AT959">
        <v>17.157603161644847</v>
      </c>
      <c r="AU959">
        <v>29.50874226138879</v>
      </c>
    </row>
    <row r="960" spans="1:47" x14ac:dyDescent="0.35">
      <c r="A960">
        <v>958</v>
      </c>
      <c r="B960">
        <v>46078</v>
      </c>
      <c r="C960" t="s">
        <v>16</v>
      </c>
      <c r="D960" t="s">
        <v>368</v>
      </c>
      <c r="E960" t="s">
        <v>219</v>
      </c>
      <c r="F960" t="s">
        <v>365</v>
      </c>
      <c r="G960" t="s">
        <v>366</v>
      </c>
      <c r="H960" t="s">
        <v>22</v>
      </c>
      <c r="I960" t="s">
        <v>23</v>
      </c>
      <c r="J960" t="s">
        <v>215</v>
      </c>
      <c r="K960" t="s">
        <v>367</v>
      </c>
      <c r="L960">
        <v>29</v>
      </c>
      <c r="M960">
        <v>70</v>
      </c>
      <c r="N960">
        <v>3</v>
      </c>
      <c r="O960">
        <v>1</v>
      </c>
      <c r="P960">
        <v>233</v>
      </c>
      <c r="Q960">
        <v>0.50019999999999998</v>
      </c>
      <c r="R960">
        <v>455.53660633936607</v>
      </c>
      <c r="S960">
        <v>258.43660633936599</v>
      </c>
      <c r="T960">
        <v>0.33333333333333331</v>
      </c>
      <c r="U960">
        <v>41</v>
      </c>
      <c r="V960">
        <v>0.66874999999999996</v>
      </c>
      <c r="W960">
        <v>83.5</v>
      </c>
      <c r="X960">
        <v>13.3</v>
      </c>
      <c r="Y960">
        <v>40.5</v>
      </c>
      <c r="Z960">
        <v>0.34722222222222221</v>
      </c>
      <c r="AA960">
        <v>90.5</v>
      </c>
      <c r="AB960">
        <v>16.5</v>
      </c>
      <c r="AD960">
        <v>42.5</v>
      </c>
      <c r="AE960">
        <v>50</v>
      </c>
      <c r="AF960">
        <v>40.50873479879084</v>
      </c>
      <c r="AG960">
        <v>47.344979731721118</v>
      </c>
      <c r="AH960">
        <v>87.853714530511951</v>
      </c>
      <c r="AI960">
        <v>5.3876617282391823</v>
      </c>
      <c r="AJ960">
        <v>7.8119216557339852</v>
      </c>
      <c r="AK960">
        <v>13.199583383973167</v>
      </c>
      <c r="AL960">
        <v>192.85763933768828</v>
      </c>
      <c r="AM960">
        <v>56.73234658705686</v>
      </c>
      <c r="AN960">
        <v>2.9416696575716204</v>
      </c>
      <c r="AO960">
        <v>13.3</v>
      </c>
      <c r="AP960">
        <v>15.02450232697776</v>
      </c>
      <c r="AQ960">
        <v>28.975900510045353</v>
      </c>
      <c r="AR960">
        <v>51.074743516172532</v>
      </c>
      <c r="AS960">
        <v>1.1352781764198807</v>
      </c>
      <c r="AT960">
        <v>16.082126096232784</v>
      </c>
      <c r="AU960">
        <v>28.34736629755735</v>
      </c>
    </row>
    <row r="961" spans="1:48" x14ac:dyDescent="0.35">
      <c r="A961">
        <v>959</v>
      </c>
      <c r="B961">
        <v>46078</v>
      </c>
      <c r="C961" t="s">
        <v>16</v>
      </c>
      <c r="D961" t="s">
        <v>368</v>
      </c>
      <c r="E961" t="s">
        <v>219</v>
      </c>
      <c r="F961" t="s">
        <v>365</v>
      </c>
      <c r="G961" t="s">
        <v>366</v>
      </c>
      <c r="H961" t="s">
        <v>22</v>
      </c>
      <c r="I961" t="s">
        <v>23</v>
      </c>
      <c r="J961" t="s">
        <v>215</v>
      </c>
      <c r="K961" t="s">
        <v>367</v>
      </c>
      <c r="L961">
        <v>29</v>
      </c>
      <c r="M961">
        <v>70</v>
      </c>
      <c r="N961">
        <v>3</v>
      </c>
      <c r="O961">
        <v>2</v>
      </c>
      <c r="P961">
        <v>234</v>
      </c>
      <c r="Q961">
        <v>0.5</v>
      </c>
      <c r="R961">
        <v>455.35446455354469</v>
      </c>
      <c r="S961">
        <v>234.05446455354473</v>
      </c>
      <c r="T961">
        <v>0.33402777777777776</v>
      </c>
      <c r="U961">
        <v>41</v>
      </c>
      <c r="V961">
        <v>0.6694444444444444</v>
      </c>
      <c r="W961">
        <v>82.5</v>
      </c>
      <c r="X961">
        <v>13.1</v>
      </c>
      <c r="Y961">
        <v>40</v>
      </c>
      <c r="Z961">
        <v>0.34791666666666665</v>
      </c>
      <c r="AA961">
        <v>89</v>
      </c>
      <c r="AB961">
        <v>16.399999999999999</v>
      </c>
      <c r="AD961">
        <v>41.5</v>
      </c>
      <c r="AE961">
        <v>49</v>
      </c>
      <c r="AF961">
        <v>39.50873479879084</v>
      </c>
      <c r="AG961">
        <v>46.344979731721118</v>
      </c>
      <c r="AH961">
        <v>85.853714530511951</v>
      </c>
      <c r="AI961">
        <v>5.1756442586416007</v>
      </c>
      <c r="AJ961">
        <v>7.6005766760022624</v>
      </c>
      <c r="AK961">
        <v>12.776220934643863</v>
      </c>
      <c r="AL961">
        <v>188.54259969689284</v>
      </c>
      <c r="AM961">
        <v>51.400498462889779</v>
      </c>
      <c r="AN961">
        <v>2.7262007920503315</v>
      </c>
      <c r="AO961">
        <v>13.100000000000001</v>
      </c>
      <c r="AP961">
        <v>14.881383996615851</v>
      </c>
      <c r="AQ961">
        <v>28.057748258096893</v>
      </c>
      <c r="AR961">
        <v>54.58652950292705</v>
      </c>
      <c r="AS961">
        <v>17.345961775227742</v>
      </c>
      <c r="AT961">
        <v>15.572535711414332</v>
      </c>
      <c r="AU961">
        <v>30.296468277749128</v>
      </c>
    </row>
    <row r="962" spans="1:48" x14ac:dyDescent="0.35">
      <c r="A962">
        <v>960</v>
      </c>
      <c r="B962">
        <v>46078</v>
      </c>
      <c r="C962" t="s">
        <v>16</v>
      </c>
      <c r="D962" t="s">
        <v>370</v>
      </c>
      <c r="E962" t="s">
        <v>219</v>
      </c>
      <c r="F962" t="s">
        <v>365</v>
      </c>
      <c r="G962" t="s">
        <v>366</v>
      </c>
      <c r="H962" t="s">
        <v>22</v>
      </c>
      <c r="I962" t="s">
        <v>23</v>
      </c>
      <c r="J962" t="s">
        <v>215</v>
      </c>
      <c r="K962" t="s">
        <v>369</v>
      </c>
      <c r="L962">
        <v>29</v>
      </c>
      <c r="M962">
        <v>70</v>
      </c>
      <c r="N962">
        <v>3</v>
      </c>
      <c r="O962">
        <v>1</v>
      </c>
      <c r="P962">
        <v>235</v>
      </c>
      <c r="Q962">
        <v>0.50039999999999996</v>
      </c>
      <c r="R962">
        <v>458.23946068940307</v>
      </c>
      <c r="S962">
        <v>310.13946068940305</v>
      </c>
      <c r="T962">
        <v>0.33402777777777776</v>
      </c>
      <c r="U962">
        <v>40.5</v>
      </c>
      <c r="V962">
        <v>0.67013888888888884</v>
      </c>
      <c r="W962">
        <v>89</v>
      </c>
      <c r="X962">
        <v>13.3</v>
      </c>
      <c r="Y962">
        <v>39.5</v>
      </c>
      <c r="Z962">
        <v>0.34861111111111109</v>
      </c>
      <c r="AA962">
        <v>95.5</v>
      </c>
      <c r="AB962">
        <v>17</v>
      </c>
      <c r="AD962">
        <v>48.5</v>
      </c>
      <c r="AE962">
        <v>56</v>
      </c>
      <c r="AF962">
        <v>46.50873479879084</v>
      </c>
      <c r="AG962">
        <v>53.344979731721118</v>
      </c>
      <c r="AH962">
        <v>99.853714530511951</v>
      </c>
      <c r="AI962">
        <v>6.1856617282391824</v>
      </c>
      <c r="AJ962">
        <v>9.0686465543925898</v>
      </c>
      <c r="AK962">
        <v>15.254308282631772</v>
      </c>
      <c r="AL962">
        <v>217.90728013752025</v>
      </c>
      <c r="AM962">
        <v>67.680653303582929</v>
      </c>
      <c r="AN962">
        <v>3.1059381430886561</v>
      </c>
      <c r="AO962">
        <v>13.3</v>
      </c>
      <c r="AP962">
        <v>15.276655810305952</v>
      </c>
      <c r="AQ962">
        <v>33.288945172208152</v>
      </c>
      <c r="AR962">
        <v>49.18531891660372</v>
      </c>
      <c r="AS962">
        <v>0.37717304522728912</v>
      </c>
      <c r="AT962">
        <v>18.475940503883006</v>
      </c>
      <c r="AU962">
        <v>27.298702955789746</v>
      </c>
    </row>
    <row r="963" spans="1:48" x14ac:dyDescent="0.35">
      <c r="A963">
        <v>961</v>
      </c>
      <c r="B963">
        <v>46078</v>
      </c>
      <c r="C963" t="s">
        <v>16</v>
      </c>
      <c r="D963" t="s">
        <v>370</v>
      </c>
      <c r="E963" t="s">
        <v>219</v>
      </c>
      <c r="F963" t="s">
        <v>365</v>
      </c>
      <c r="G963" t="s">
        <v>366</v>
      </c>
      <c r="H963" t="s">
        <v>22</v>
      </c>
      <c r="I963" t="s">
        <v>23</v>
      </c>
      <c r="J963" t="s">
        <v>215</v>
      </c>
      <c r="K963" t="s">
        <v>369</v>
      </c>
      <c r="L963">
        <v>29</v>
      </c>
      <c r="M963">
        <v>70</v>
      </c>
      <c r="N963">
        <v>3</v>
      </c>
      <c r="O963">
        <v>2</v>
      </c>
      <c r="P963">
        <v>236</v>
      </c>
      <c r="Q963">
        <v>0.50019999999999998</v>
      </c>
      <c r="R963">
        <v>458.05631142453916</v>
      </c>
      <c r="S963">
        <v>294.95631142453925</v>
      </c>
      <c r="T963">
        <v>0.33402777777777776</v>
      </c>
      <c r="U963">
        <v>40.5</v>
      </c>
      <c r="V963">
        <v>0.67013888888888884</v>
      </c>
      <c r="W963">
        <v>88.5</v>
      </c>
      <c r="X963">
        <v>13.5</v>
      </c>
      <c r="Y963">
        <v>40</v>
      </c>
      <c r="Z963">
        <v>0.34861111111111109</v>
      </c>
      <c r="AA963">
        <v>95</v>
      </c>
      <c r="AB963">
        <v>17.2</v>
      </c>
      <c r="AD963">
        <v>48</v>
      </c>
      <c r="AE963">
        <v>55</v>
      </c>
      <c r="AF963">
        <v>46.00873479879084</v>
      </c>
      <c r="AG963">
        <v>52.344979731721118</v>
      </c>
      <c r="AH963">
        <v>98.353714530511951</v>
      </c>
      <c r="AI963">
        <v>6.2111791978367634</v>
      </c>
      <c r="AJ963">
        <v>9.0033365138560324</v>
      </c>
      <c r="AK963">
        <v>15.214515711692796</v>
      </c>
      <c r="AL963">
        <v>214.71970165553518</v>
      </c>
      <c r="AM963">
        <v>64.393024191116453</v>
      </c>
      <c r="AN963">
        <v>2.9989341310849618</v>
      </c>
      <c r="AO963">
        <v>13.5</v>
      </c>
      <c r="AP963">
        <v>15.469182617371148</v>
      </c>
      <c r="AQ963">
        <v>33.215382764569235</v>
      </c>
      <c r="AR963">
        <v>51.58226870349656</v>
      </c>
      <c r="AS963">
        <v>0.44246841169281886</v>
      </c>
      <c r="AT963">
        <v>18.435112094937384</v>
      </c>
      <c r="AU963">
        <v>28.629051557234764</v>
      </c>
    </row>
    <row r="964" spans="1:48" x14ac:dyDescent="0.35">
      <c r="A964">
        <v>962</v>
      </c>
      <c r="B964">
        <v>46078</v>
      </c>
      <c r="C964" t="s">
        <v>16</v>
      </c>
      <c r="D964" t="s">
        <v>372</v>
      </c>
      <c r="E964" t="s">
        <v>219</v>
      </c>
      <c r="F964" t="s">
        <v>220</v>
      </c>
      <c r="G964" t="s">
        <v>221</v>
      </c>
      <c r="H964" t="s">
        <v>22</v>
      </c>
      <c r="I964" t="s">
        <v>23</v>
      </c>
      <c r="J964" t="s">
        <v>215</v>
      </c>
      <c r="K964" t="s">
        <v>371</v>
      </c>
      <c r="L964">
        <v>29</v>
      </c>
      <c r="M964">
        <v>70</v>
      </c>
      <c r="N964">
        <v>3</v>
      </c>
      <c r="O964">
        <v>1</v>
      </c>
      <c r="P964">
        <v>237</v>
      </c>
      <c r="Q964">
        <v>0.50039999999999996</v>
      </c>
      <c r="R964">
        <v>448.07122955494873</v>
      </c>
      <c r="S964">
        <v>242.6712295549487</v>
      </c>
      <c r="T964">
        <v>0.3347222222222222</v>
      </c>
      <c r="U964">
        <v>41</v>
      </c>
      <c r="V964">
        <v>0.67083333333333328</v>
      </c>
      <c r="W964">
        <v>80</v>
      </c>
      <c r="X964">
        <v>13.5</v>
      </c>
      <c r="Y964">
        <v>40.5</v>
      </c>
      <c r="Z964">
        <v>0.34930555555555554</v>
      </c>
      <c r="AA964">
        <v>91</v>
      </c>
      <c r="AB964">
        <v>16.399999999999999</v>
      </c>
      <c r="AD964">
        <v>39</v>
      </c>
      <c r="AE964">
        <v>50.5</v>
      </c>
      <c r="AF964">
        <v>37.00873479879084</v>
      </c>
      <c r="AG964">
        <v>47.844979731721118</v>
      </c>
      <c r="AH964">
        <v>84.853714530511951</v>
      </c>
      <c r="AI964">
        <v>4.9961791978367636</v>
      </c>
      <c r="AJ964">
        <v>7.8465766760022619</v>
      </c>
      <c r="AK964">
        <v>12.842755873839025</v>
      </c>
      <c r="AL964">
        <v>189.37550311988065</v>
      </c>
      <c r="AM964">
        <v>54.159074171306273</v>
      </c>
      <c r="AN964">
        <v>2.8598775068083584</v>
      </c>
      <c r="AO964">
        <v>13.500000000000002</v>
      </c>
      <c r="AP964">
        <v>15.135172272536153</v>
      </c>
      <c r="AQ964">
        <v>28.662308639176011</v>
      </c>
      <c r="AR964">
        <v>52.922449428357169</v>
      </c>
      <c r="AS964">
        <v>-5.249284859976858</v>
      </c>
      <c r="AT964">
        <v>15.908077182435406</v>
      </c>
      <c r="AU964">
        <v>29.372875046050137</v>
      </c>
    </row>
    <row r="965" spans="1:48" x14ac:dyDescent="0.35">
      <c r="A965">
        <v>963</v>
      </c>
      <c r="B965">
        <v>46078</v>
      </c>
      <c r="C965" t="s">
        <v>16</v>
      </c>
      <c r="D965" t="s">
        <v>372</v>
      </c>
      <c r="E965" t="s">
        <v>219</v>
      </c>
      <c r="F965" t="s">
        <v>220</v>
      </c>
      <c r="G965" t="s">
        <v>221</v>
      </c>
      <c r="H965" t="s">
        <v>22</v>
      </c>
      <c r="I965" t="s">
        <v>23</v>
      </c>
      <c r="J965" t="s">
        <v>215</v>
      </c>
      <c r="K965" t="s">
        <v>371</v>
      </c>
      <c r="L965">
        <v>29</v>
      </c>
      <c r="M965">
        <v>70</v>
      </c>
      <c r="N965">
        <v>3</v>
      </c>
      <c r="O965">
        <v>2</v>
      </c>
      <c r="P965">
        <v>238</v>
      </c>
      <c r="Q965">
        <v>0.50039999999999996</v>
      </c>
      <c r="R965">
        <v>448.07122955494873</v>
      </c>
      <c r="S965">
        <v>268.57122955494873</v>
      </c>
      <c r="T965">
        <v>0.3347222222222222</v>
      </c>
      <c r="U965">
        <v>41</v>
      </c>
      <c r="V965">
        <v>0.67083333333333328</v>
      </c>
      <c r="W965">
        <v>80</v>
      </c>
      <c r="X965">
        <v>13.5</v>
      </c>
      <c r="Y965">
        <v>40</v>
      </c>
      <c r="Z965">
        <v>0.34930555555555554</v>
      </c>
      <c r="AA965">
        <v>92</v>
      </c>
      <c r="AB965">
        <v>16.2</v>
      </c>
      <c r="AD965">
        <v>39</v>
      </c>
      <c r="AE965">
        <v>52</v>
      </c>
      <c r="AF965">
        <v>37.00873479879084</v>
      </c>
      <c r="AG965">
        <v>49.344979731721118</v>
      </c>
      <c r="AH965">
        <v>86.353714530511951</v>
      </c>
      <c r="AI965">
        <v>4.9961791978367636</v>
      </c>
      <c r="AJ965">
        <v>7.993886716538821</v>
      </c>
      <c r="AK965">
        <v>12.990065914375585</v>
      </c>
      <c r="AL965">
        <v>192.723185142424</v>
      </c>
      <c r="AM965">
        <v>59.939405130231151</v>
      </c>
      <c r="AN965">
        <v>3.1101294369919965</v>
      </c>
      <c r="AO965">
        <v>13.500000000000002</v>
      </c>
      <c r="AP965">
        <v>15.042857142857144</v>
      </c>
      <c r="AQ965">
        <v>28.991073422138928</v>
      </c>
      <c r="AR965">
        <v>48.367302543543154</v>
      </c>
      <c r="AS965">
        <v>1.2405196300541939</v>
      </c>
      <c r="AT965">
        <v>16.090547324951846</v>
      </c>
      <c r="AU965">
        <v>26.844689716208727</v>
      </c>
    </row>
    <row r="966" spans="1:48" x14ac:dyDescent="0.35">
      <c r="A966">
        <v>964</v>
      </c>
      <c r="B966">
        <v>46078</v>
      </c>
      <c r="C966" t="s">
        <v>16</v>
      </c>
      <c r="D966" t="s">
        <v>374</v>
      </c>
      <c r="E966" t="s">
        <v>219</v>
      </c>
      <c r="F966" t="s">
        <v>253</v>
      </c>
      <c r="G966" t="s">
        <v>254</v>
      </c>
      <c r="H966" t="s">
        <v>22</v>
      </c>
      <c r="I966" t="s">
        <v>23</v>
      </c>
      <c r="J966" t="s">
        <v>215</v>
      </c>
      <c r="K966" t="s">
        <v>373</v>
      </c>
      <c r="L966">
        <v>29</v>
      </c>
      <c r="M966">
        <v>70</v>
      </c>
      <c r="N966">
        <v>3</v>
      </c>
      <c r="O966">
        <v>1</v>
      </c>
      <c r="P966">
        <v>239</v>
      </c>
      <c r="Q966">
        <v>0.5</v>
      </c>
      <c r="R966">
        <v>452.41191689683649</v>
      </c>
      <c r="S966">
        <v>284.4119168968366</v>
      </c>
      <c r="T966">
        <v>0.33541666666666664</v>
      </c>
      <c r="U966">
        <v>40.5</v>
      </c>
      <c r="V966">
        <v>0.67152777777777772</v>
      </c>
      <c r="W966">
        <v>90</v>
      </c>
      <c r="X966">
        <v>13.7</v>
      </c>
      <c r="Y966">
        <v>40</v>
      </c>
      <c r="Z966">
        <v>0.35</v>
      </c>
      <c r="AA966">
        <v>91</v>
      </c>
      <c r="AB966">
        <v>16.3</v>
      </c>
      <c r="AD966">
        <v>49.5</v>
      </c>
      <c r="AE966">
        <v>51</v>
      </c>
      <c r="AF966">
        <v>47.50873479879084</v>
      </c>
      <c r="AG966">
        <v>48.344979731721118</v>
      </c>
      <c r="AH966">
        <v>95.853714530511951</v>
      </c>
      <c r="AI966">
        <v>6.5086966674343447</v>
      </c>
      <c r="AJ966">
        <v>7.8802316962705428</v>
      </c>
      <c r="AK966">
        <v>14.388928363704888</v>
      </c>
      <c r="AL966">
        <v>211.87265620231105</v>
      </c>
      <c r="AM966">
        <v>62.865699658767184</v>
      </c>
      <c r="AN966">
        <v>2.9671454913341226</v>
      </c>
      <c r="AO966">
        <v>13.7</v>
      </c>
      <c r="AP966">
        <v>15.011341432287047</v>
      </c>
      <c r="AQ966">
        <v>31.804927824184606</v>
      </c>
      <c r="AR966">
        <v>50.59186169377044</v>
      </c>
      <c r="AS966">
        <v>0.60845309820222071</v>
      </c>
      <c r="AT966">
        <v>17.652285200689313</v>
      </c>
      <c r="AU966">
        <v>28.079358531767401</v>
      </c>
    </row>
    <row r="967" spans="1:48" x14ac:dyDescent="0.35">
      <c r="A967">
        <v>965</v>
      </c>
      <c r="B967">
        <v>46078</v>
      </c>
      <c r="C967" t="s">
        <v>16</v>
      </c>
      <c r="D967" t="s">
        <v>374</v>
      </c>
      <c r="E967" t="s">
        <v>219</v>
      </c>
      <c r="F967" t="s">
        <v>253</v>
      </c>
      <c r="G967" t="s">
        <v>254</v>
      </c>
      <c r="H967" t="s">
        <v>22</v>
      </c>
      <c r="I967" t="s">
        <v>23</v>
      </c>
      <c r="J967" t="s">
        <v>215</v>
      </c>
      <c r="K967" t="s">
        <v>373</v>
      </c>
      <c r="L967">
        <v>29</v>
      </c>
      <c r="M967">
        <v>70</v>
      </c>
      <c r="N967">
        <v>3</v>
      </c>
      <c r="O967">
        <v>2</v>
      </c>
      <c r="P967">
        <v>240</v>
      </c>
      <c r="Q967">
        <v>0.5</v>
      </c>
      <c r="R967">
        <v>452.41191689683649</v>
      </c>
      <c r="S967">
        <v>303.41191689683649</v>
      </c>
      <c r="T967">
        <v>0.33541666666666664</v>
      </c>
      <c r="U967">
        <v>41</v>
      </c>
      <c r="V967">
        <v>0.67222222222222228</v>
      </c>
      <c r="W967">
        <v>90</v>
      </c>
      <c r="X967">
        <v>13.6</v>
      </c>
      <c r="Y967">
        <v>40.5</v>
      </c>
      <c r="Z967">
        <v>0.35</v>
      </c>
      <c r="AA967">
        <v>91</v>
      </c>
      <c r="AB967">
        <v>16.2</v>
      </c>
      <c r="AD967">
        <v>49</v>
      </c>
      <c r="AE967">
        <v>50.5</v>
      </c>
      <c r="AF967">
        <v>47.00873479879084</v>
      </c>
      <c r="AG967">
        <v>47.844979731721118</v>
      </c>
      <c r="AH967">
        <v>94.853714530511951</v>
      </c>
      <c r="AI967">
        <v>6.3931879326355547</v>
      </c>
      <c r="AJ967">
        <v>7.7508867165388216</v>
      </c>
      <c r="AK967">
        <v>14.144074649174376</v>
      </c>
      <c r="AL967">
        <v>209.66228118199956</v>
      </c>
      <c r="AM967">
        <v>67.065412197358967</v>
      </c>
      <c r="AN967">
        <v>3.1987352145206378</v>
      </c>
      <c r="AO967">
        <v>13.600000000000001</v>
      </c>
      <c r="AP967">
        <v>14.91146099990064</v>
      </c>
      <c r="AQ967">
        <v>31.263709289955887</v>
      </c>
      <c r="AR967">
        <v>46.616740679910485</v>
      </c>
      <c r="AS967">
        <v>0.43812245527329485</v>
      </c>
      <c r="AT967">
        <v>17.351899550549913</v>
      </c>
      <c r="AU967">
        <v>25.873097595355162</v>
      </c>
    </row>
    <row r="968" spans="1:48" x14ac:dyDescent="0.35">
      <c r="A968">
        <v>966</v>
      </c>
      <c r="B968">
        <v>46078</v>
      </c>
      <c r="C968" t="s">
        <v>16</v>
      </c>
      <c r="D968" t="s">
        <v>376</v>
      </c>
      <c r="E968" t="s">
        <v>219</v>
      </c>
      <c r="F968" t="s">
        <v>253</v>
      </c>
      <c r="G968" t="s">
        <v>254</v>
      </c>
      <c r="H968" t="s">
        <v>22</v>
      </c>
      <c r="I968" t="s">
        <v>23</v>
      </c>
      <c r="J968" t="s">
        <v>215</v>
      </c>
      <c r="K968" t="s">
        <v>375</v>
      </c>
      <c r="L968">
        <v>29</v>
      </c>
      <c r="M968">
        <v>70</v>
      </c>
      <c r="N968">
        <v>3</v>
      </c>
      <c r="O968">
        <v>1</v>
      </c>
      <c r="P968">
        <v>241</v>
      </c>
      <c r="Q968">
        <v>0.50009999999999999</v>
      </c>
      <c r="R968">
        <v>447.55261921423607</v>
      </c>
      <c r="S968">
        <v>309.75261921423612</v>
      </c>
      <c r="T968">
        <v>0.33611111111111114</v>
      </c>
      <c r="U968">
        <v>40</v>
      </c>
      <c r="V968">
        <v>0.67222222222222228</v>
      </c>
      <c r="W968">
        <v>84</v>
      </c>
      <c r="X968">
        <v>12.3</v>
      </c>
      <c r="Y968">
        <v>39.5</v>
      </c>
      <c r="Z968">
        <v>0.35069444444444442</v>
      </c>
      <c r="AA968">
        <v>87</v>
      </c>
      <c r="AB968">
        <v>16</v>
      </c>
    </row>
    <row r="969" spans="1:48" x14ac:dyDescent="0.35">
      <c r="A969">
        <v>967</v>
      </c>
      <c r="B969">
        <v>46078</v>
      </c>
      <c r="C969" t="s">
        <v>16</v>
      </c>
      <c r="D969" t="s">
        <v>376</v>
      </c>
      <c r="E969" t="s">
        <v>219</v>
      </c>
      <c r="F969" t="s">
        <v>253</v>
      </c>
      <c r="G969" t="s">
        <v>254</v>
      </c>
      <c r="H969" t="s">
        <v>22</v>
      </c>
      <c r="I969" t="s">
        <v>23</v>
      </c>
      <c r="J969" t="s">
        <v>215</v>
      </c>
      <c r="K969" t="s">
        <v>375</v>
      </c>
      <c r="L969">
        <v>29</v>
      </c>
      <c r="M969">
        <v>70</v>
      </c>
      <c r="N969">
        <v>3</v>
      </c>
      <c r="O969">
        <v>2</v>
      </c>
      <c r="P969">
        <v>242</v>
      </c>
      <c r="Q969">
        <v>0.50029999999999997</v>
      </c>
      <c r="R969">
        <v>447.73160446487151</v>
      </c>
      <c r="S969">
        <v>285.33160446487153</v>
      </c>
      <c r="T969">
        <v>0.33611111111111114</v>
      </c>
      <c r="U969">
        <v>40.5</v>
      </c>
      <c r="V969">
        <v>0.67291666666666672</v>
      </c>
      <c r="W969">
        <v>84.5</v>
      </c>
      <c r="X969">
        <v>11.9</v>
      </c>
      <c r="Y969">
        <v>40.5</v>
      </c>
      <c r="Z969">
        <v>0.35069444444444442</v>
      </c>
      <c r="AA969">
        <v>88</v>
      </c>
      <c r="AB969">
        <v>15.9</v>
      </c>
      <c r="AD969">
        <v>44</v>
      </c>
      <c r="AE969">
        <v>47.5</v>
      </c>
      <c r="AF969">
        <v>42.00873479879084</v>
      </c>
      <c r="AG969">
        <v>44.844979731721118</v>
      </c>
      <c r="AH969">
        <v>86.853714530511951</v>
      </c>
      <c r="AI969">
        <v>4.9990394410561105</v>
      </c>
      <c r="AJ969">
        <v>7.130351777343658</v>
      </c>
      <c r="AK969">
        <v>12.129391218399768</v>
      </c>
      <c r="AL969">
        <v>193.98611503943184</v>
      </c>
      <c r="AM969">
        <v>63.728269708791196</v>
      </c>
      <c r="AN969">
        <v>3.2851974841517428</v>
      </c>
      <c r="AO969">
        <v>11.9</v>
      </c>
      <c r="AP969">
        <v>13.965310849357719</v>
      </c>
      <c r="AQ969">
        <v>27.09076396984932</v>
      </c>
      <c r="AR969">
        <v>42.509806234566881</v>
      </c>
      <c r="AS969">
        <v>0.80820932806312051</v>
      </c>
      <c r="AT969">
        <v>15.035842701604953</v>
      </c>
      <c r="AU969">
        <v>23.593677923960303</v>
      </c>
    </row>
    <row r="970" spans="1:48" x14ac:dyDescent="0.35">
      <c r="A970">
        <v>968</v>
      </c>
      <c r="B970">
        <v>46078</v>
      </c>
      <c r="C970" t="s">
        <v>16</v>
      </c>
      <c r="D970" t="s">
        <v>378</v>
      </c>
      <c r="E970" t="s">
        <v>212</v>
      </c>
      <c r="F970" t="s">
        <v>379</v>
      </c>
      <c r="G970" t="s">
        <v>380</v>
      </c>
      <c r="H970" t="s">
        <v>22</v>
      </c>
      <c r="I970" t="s">
        <v>23</v>
      </c>
      <c r="J970" t="s">
        <v>215</v>
      </c>
      <c r="K970" t="s">
        <v>377</v>
      </c>
      <c r="L970">
        <v>29</v>
      </c>
      <c r="M970">
        <v>70</v>
      </c>
      <c r="N970">
        <v>3</v>
      </c>
      <c r="O970">
        <v>1</v>
      </c>
      <c r="P970">
        <v>243</v>
      </c>
      <c r="Q970">
        <v>0.50049999999999994</v>
      </c>
      <c r="R970">
        <v>469.43140621326057</v>
      </c>
      <c r="S970">
        <v>82.631406213260561</v>
      </c>
      <c r="T970">
        <v>0.33680555555555558</v>
      </c>
      <c r="U970">
        <v>41.5</v>
      </c>
      <c r="V970">
        <v>0.67361111111111116</v>
      </c>
      <c r="W970">
        <v>65.5</v>
      </c>
      <c r="X970">
        <v>11.7</v>
      </c>
      <c r="Y970">
        <v>40.5</v>
      </c>
      <c r="Z970">
        <v>0.35138888888888886</v>
      </c>
      <c r="AA970">
        <v>52</v>
      </c>
      <c r="AB970">
        <v>15</v>
      </c>
      <c r="AV970" t="s">
        <v>629</v>
      </c>
    </row>
    <row r="971" spans="1:48" x14ac:dyDescent="0.35">
      <c r="A971">
        <v>969</v>
      </c>
      <c r="B971">
        <v>46078</v>
      </c>
      <c r="C971" t="s">
        <v>16</v>
      </c>
      <c r="D971" t="s">
        <v>378</v>
      </c>
      <c r="E971" t="s">
        <v>212</v>
      </c>
      <c r="F971" t="s">
        <v>379</v>
      </c>
      <c r="G971" t="s">
        <v>380</v>
      </c>
      <c r="H971" t="s">
        <v>22</v>
      </c>
      <c r="I971" t="s">
        <v>23</v>
      </c>
      <c r="J971" t="s">
        <v>215</v>
      </c>
      <c r="K971" t="s">
        <v>377</v>
      </c>
      <c r="L971">
        <v>29</v>
      </c>
      <c r="M971">
        <v>70</v>
      </c>
      <c r="N971">
        <v>3</v>
      </c>
      <c r="O971">
        <v>2</v>
      </c>
      <c r="P971">
        <v>244</v>
      </c>
      <c r="Q971">
        <v>0.50049999999999994</v>
      </c>
      <c r="R971">
        <v>469.43140621326057</v>
      </c>
      <c r="S971">
        <v>57.631406213260505</v>
      </c>
      <c r="T971">
        <v>0.33680555555555558</v>
      </c>
      <c r="U971">
        <v>41.5</v>
      </c>
      <c r="V971">
        <v>0.67361111111111116</v>
      </c>
      <c r="W971">
        <v>64.5</v>
      </c>
      <c r="X971">
        <v>11.8</v>
      </c>
      <c r="Y971">
        <v>40</v>
      </c>
      <c r="Z971">
        <v>0.35208333333333336</v>
      </c>
      <c r="AA971">
        <v>52</v>
      </c>
      <c r="AB971">
        <v>14.8</v>
      </c>
      <c r="AV971" t="s">
        <v>629</v>
      </c>
    </row>
    <row r="972" spans="1:48" x14ac:dyDescent="0.35">
      <c r="A972">
        <v>970</v>
      </c>
      <c r="B972">
        <v>46078</v>
      </c>
      <c r="C972" t="s">
        <v>120</v>
      </c>
      <c r="D972" t="s">
        <v>122</v>
      </c>
      <c r="E972" t="s">
        <v>123</v>
      </c>
      <c r="F972" t="s">
        <v>545</v>
      </c>
      <c r="G972" t="s">
        <v>125</v>
      </c>
      <c r="H972" t="s">
        <v>108</v>
      </c>
      <c r="I972" t="s">
        <v>109</v>
      </c>
      <c r="J972" t="s">
        <v>110</v>
      </c>
      <c r="K972" t="s">
        <v>377</v>
      </c>
      <c r="L972">
        <v>29</v>
      </c>
      <c r="M972">
        <v>70</v>
      </c>
      <c r="N972">
        <v>3</v>
      </c>
      <c r="O972">
        <v>1</v>
      </c>
      <c r="P972">
        <v>245</v>
      </c>
      <c r="Q972">
        <v>0.50049999999999994</v>
      </c>
      <c r="R972">
        <v>468.21774999999991</v>
      </c>
      <c r="S972">
        <v>155.51774999999992</v>
      </c>
      <c r="T972">
        <v>0.33680555555555558</v>
      </c>
      <c r="U972">
        <v>40.5</v>
      </c>
      <c r="V972">
        <v>0.6743055555555556</v>
      </c>
      <c r="W972">
        <v>64.5</v>
      </c>
      <c r="X972">
        <v>14.9</v>
      </c>
      <c r="Y972">
        <v>39.5</v>
      </c>
      <c r="Z972">
        <v>0.3527777777777778</v>
      </c>
      <c r="AA972">
        <v>80.5</v>
      </c>
      <c r="AB972">
        <v>16.5</v>
      </c>
      <c r="AV972" t="s">
        <v>629</v>
      </c>
    </row>
    <row r="973" spans="1:48" x14ac:dyDescent="0.35">
      <c r="A973">
        <v>971</v>
      </c>
      <c r="B973">
        <v>46078</v>
      </c>
      <c r="C973" t="s">
        <v>120</v>
      </c>
      <c r="D973" t="s">
        <v>122</v>
      </c>
      <c r="E973" t="s">
        <v>123</v>
      </c>
      <c r="F973" t="s">
        <v>545</v>
      </c>
      <c r="G973" t="s">
        <v>125</v>
      </c>
      <c r="H973" t="s">
        <v>108</v>
      </c>
      <c r="I973" t="s">
        <v>109</v>
      </c>
      <c r="J973" t="s">
        <v>110</v>
      </c>
      <c r="K973" t="s">
        <v>121</v>
      </c>
      <c r="L973">
        <v>29</v>
      </c>
      <c r="M973">
        <v>70</v>
      </c>
      <c r="N973">
        <v>3</v>
      </c>
      <c r="O973">
        <v>2</v>
      </c>
      <c r="P973">
        <v>246</v>
      </c>
      <c r="Q973">
        <v>0.50039999999999996</v>
      </c>
      <c r="R973">
        <v>468.12419999999992</v>
      </c>
      <c r="S973">
        <v>118.12419999999992</v>
      </c>
      <c r="T973">
        <v>0.33888888888888891</v>
      </c>
      <c r="U973">
        <v>40.5</v>
      </c>
      <c r="V973">
        <v>0.6743055555555556</v>
      </c>
      <c r="W973">
        <v>67.5</v>
      </c>
      <c r="X973">
        <v>12.6</v>
      </c>
      <c r="Y973">
        <v>39.5</v>
      </c>
      <c r="Z973">
        <v>0.3527777777777778</v>
      </c>
      <c r="AA973">
        <v>80</v>
      </c>
      <c r="AB973">
        <v>16.7</v>
      </c>
      <c r="AD973">
        <v>27</v>
      </c>
      <c r="AE973">
        <v>40.5</v>
      </c>
      <c r="AF973">
        <v>25.008734798790837</v>
      </c>
      <c r="AG973">
        <v>37.844979731721118</v>
      </c>
      <c r="AH973">
        <v>62.853714530511951</v>
      </c>
      <c r="AI973">
        <v>3.1511005846476454</v>
      </c>
      <c r="AJ973">
        <v>6.3201116151974261</v>
      </c>
      <c r="AK973">
        <v>9.4712121998450716</v>
      </c>
      <c r="AL973">
        <v>134.26717638291711</v>
      </c>
      <c r="AM973">
        <v>25.233517087986467</v>
      </c>
      <c r="AN973">
        <v>1.8793511391066196</v>
      </c>
      <c r="AO973">
        <v>12.6</v>
      </c>
      <c r="AP973">
        <v>15.068659458857169</v>
      </c>
      <c r="AQ973">
        <v>20.232263574164875</v>
      </c>
      <c r="AR973">
        <v>80.180117197365817</v>
      </c>
      <c r="AS973">
        <v>5.4049494745996816</v>
      </c>
      <c r="AT973">
        <v>11.229256322823689</v>
      </c>
      <c r="AU973">
        <v>44.501352243797498</v>
      </c>
    </row>
    <row r="974" spans="1:48" x14ac:dyDescent="0.35">
      <c r="A974">
        <v>972</v>
      </c>
      <c r="B974">
        <v>46064</v>
      </c>
      <c r="D974" t="s">
        <v>537</v>
      </c>
      <c r="E974" t="s">
        <v>538</v>
      </c>
      <c r="G974" t="s">
        <v>537</v>
      </c>
      <c r="K974" t="s">
        <v>539</v>
      </c>
      <c r="L974">
        <v>30</v>
      </c>
      <c r="M974">
        <v>64</v>
      </c>
      <c r="N974">
        <v>1</v>
      </c>
      <c r="O974">
        <v>1</v>
      </c>
      <c r="P974">
        <v>106</v>
      </c>
      <c r="T974">
        <v>0.32569444444444445</v>
      </c>
      <c r="U974">
        <v>39.5</v>
      </c>
      <c r="V974">
        <v>0.65833333333333333</v>
      </c>
      <c r="W974">
        <v>43.5</v>
      </c>
      <c r="Y974">
        <v>40.5</v>
      </c>
      <c r="Z974">
        <v>0.33055555555555555</v>
      </c>
      <c r="AA974">
        <v>45</v>
      </c>
      <c r="AD974">
        <v>4</v>
      </c>
      <c r="AE974">
        <v>4.5</v>
      </c>
    </row>
    <row r="975" spans="1:48" x14ac:dyDescent="0.35">
      <c r="A975">
        <v>973</v>
      </c>
      <c r="B975">
        <v>46064</v>
      </c>
      <c r="D975" t="s">
        <v>537</v>
      </c>
      <c r="E975" t="s">
        <v>538</v>
      </c>
      <c r="G975" t="s">
        <v>537</v>
      </c>
      <c r="K975" t="s">
        <v>539</v>
      </c>
      <c r="L975">
        <v>30</v>
      </c>
      <c r="M975">
        <v>64</v>
      </c>
      <c r="N975">
        <v>1</v>
      </c>
      <c r="O975">
        <v>2</v>
      </c>
      <c r="P975">
        <v>107</v>
      </c>
      <c r="T975">
        <v>0.32569444444444445</v>
      </c>
      <c r="U975">
        <v>40</v>
      </c>
      <c r="V975">
        <v>0.65902777777777777</v>
      </c>
      <c r="W975">
        <v>43.5</v>
      </c>
      <c r="Y975">
        <v>40.5</v>
      </c>
      <c r="Z975">
        <v>0.33124999999999999</v>
      </c>
      <c r="AA975">
        <v>45</v>
      </c>
      <c r="AD975">
        <v>3.5</v>
      </c>
      <c r="AE975">
        <v>4.5</v>
      </c>
    </row>
    <row r="976" spans="1:48" x14ac:dyDescent="0.35">
      <c r="A976">
        <v>974</v>
      </c>
      <c r="B976">
        <v>46064</v>
      </c>
      <c r="C976" t="s">
        <v>16</v>
      </c>
      <c r="D976" t="s">
        <v>385</v>
      </c>
      <c r="E976" t="s">
        <v>226</v>
      </c>
      <c r="F976" t="s">
        <v>231</v>
      </c>
      <c r="G976" t="s">
        <v>232</v>
      </c>
      <c r="H976" t="s">
        <v>22</v>
      </c>
      <c r="I976" t="s">
        <v>23</v>
      </c>
      <c r="J976" t="s">
        <v>215</v>
      </c>
      <c r="K976" t="s">
        <v>384</v>
      </c>
      <c r="L976">
        <v>30</v>
      </c>
      <c r="M976">
        <v>64</v>
      </c>
      <c r="N976">
        <v>1</v>
      </c>
      <c r="O976">
        <v>1</v>
      </c>
      <c r="P976">
        <v>108</v>
      </c>
      <c r="Q976">
        <v>0.50009999999999999</v>
      </c>
      <c r="R976">
        <v>463.10726564061611</v>
      </c>
      <c r="S976">
        <v>213.00726564061611</v>
      </c>
      <c r="T976">
        <v>0.32569444444444445</v>
      </c>
      <c r="U976">
        <v>41</v>
      </c>
      <c r="V976">
        <v>0.65972222222222221</v>
      </c>
      <c r="W976">
        <v>80.5</v>
      </c>
      <c r="X976">
        <v>12.2</v>
      </c>
      <c r="Y976">
        <v>42</v>
      </c>
      <c r="Z976">
        <v>0.33194444444444443</v>
      </c>
      <c r="AA976">
        <v>80</v>
      </c>
      <c r="AB976">
        <v>14.1</v>
      </c>
      <c r="AD976">
        <v>39.5</v>
      </c>
      <c r="AE976">
        <v>38</v>
      </c>
      <c r="AF976">
        <v>36.771229168713369</v>
      </c>
      <c r="AG976">
        <v>34.349347131116531</v>
      </c>
      <c r="AH976">
        <v>71.120576299829906</v>
      </c>
      <c r="AI976">
        <v>4.4860899585830305</v>
      </c>
      <c r="AJ976">
        <v>4.84325794548743</v>
      </c>
      <c r="AK976">
        <v>9.3293479040704597</v>
      </c>
      <c r="AL976">
        <v>153.57257718997096</v>
      </c>
      <c r="AM976">
        <v>45.995232950181261</v>
      </c>
      <c r="AN976">
        <v>2.9950160238103352</v>
      </c>
      <c r="AO976">
        <v>12.199999999999998</v>
      </c>
      <c r="AP976">
        <v>13.117649475645168</v>
      </c>
      <c r="AQ976">
        <v>20.145112366494999</v>
      </c>
      <c r="AR976">
        <v>43.798261416166199</v>
      </c>
      <c r="AS976">
        <v>3.5542048869893939</v>
      </c>
      <c r="AT976">
        <v>11.180885894760545</v>
      </c>
      <c r="AU976">
        <v>24.308792841360059</v>
      </c>
    </row>
    <row r="977" spans="1:47" x14ac:dyDescent="0.35">
      <c r="A977">
        <v>975</v>
      </c>
      <c r="B977">
        <v>46064</v>
      </c>
      <c r="C977" t="s">
        <v>16</v>
      </c>
      <c r="D977" t="s">
        <v>385</v>
      </c>
      <c r="E977" t="s">
        <v>226</v>
      </c>
      <c r="F977" t="s">
        <v>231</v>
      </c>
      <c r="G977" t="s">
        <v>232</v>
      </c>
      <c r="H977" t="s">
        <v>22</v>
      </c>
      <c r="I977" t="s">
        <v>23</v>
      </c>
      <c r="J977" t="s">
        <v>215</v>
      </c>
      <c r="K977" t="s">
        <v>384</v>
      </c>
      <c r="L977">
        <v>30</v>
      </c>
      <c r="M977">
        <v>64</v>
      </c>
      <c r="N977">
        <v>1</v>
      </c>
      <c r="O977">
        <v>2</v>
      </c>
      <c r="P977">
        <v>109</v>
      </c>
      <c r="Q977">
        <v>0.50019999999999998</v>
      </c>
      <c r="R977">
        <v>463.19986857315774</v>
      </c>
      <c r="S977">
        <v>212.6998685731578</v>
      </c>
      <c r="T977">
        <v>0.3263888888888889</v>
      </c>
      <c r="U977">
        <v>41</v>
      </c>
      <c r="V977">
        <v>0.66041666666666665</v>
      </c>
      <c r="W977">
        <v>80</v>
      </c>
      <c r="X977">
        <v>13.4</v>
      </c>
      <c r="Y977">
        <v>42</v>
      </c>
      <c r="Z977">
        <v>0.33194444444444443</v>
      </c>
      <c r="AA977">
        <v>79.5</v>
      </c>
      <c r="AB977">
        <v>16.3</v>
      </c>
      <c r="AD977">
        <v>39</v>
      </c>
      <c r="AE977">
        <v>37.5</v>
      </c>
      <c r="AF977">
        <v>36.271229168713369</v>
      </c>
      <c r="AG977">
        <v>33.849347131116531</v>
      </c>
      <c r="AH977">
        <v>70.120576299829906</v>
      </c>
      <c r="AI977">
        <v>4.8603447086075917</v>
      </c>
      <c r="AJ977">
        <v>5.5174435823719952</v>
      </c>
      <c r="AK977">
        <v>10.377788290979588</v>
      </c>
      <c r="AL977">
        <v>151.38297969692769</v>
      </c>
      <c r="AM977">
        <v>45.919673774597371</v>
      </c>
      <c r="AN977">
        <v>3.0333445587165513</v>
      </c>
      <c r="AO977">
        <v>13.4</v>
      </c>
      <c r="AP977">
        <v>14.799918709459838</v>
      </c>
      <c r="AQ977">
        <v>22.404557935103391</v>
      </c>
      <c r="AR977">
        <v>48.790760241632036</v>
      </c>
      <c r="AS977">
        <v>4.1700696266341861</v>
      </c>
      <c r="AT977">
        <v>12.434917276091987</v>
      </c>
      <c r="AU977">
        <v>27.079716064905814</v>
      </c>
    </row>
    <row r="978" spans="1:47" x14ac:dyDescent="0.35">
      <c r="A978">
        <v>976</v>
      </c>
      <c r="B978">
        <v>46064</v>
      </c>
      <c r="C978" t="s">
        <v>16</v>
      </c>
      <c r="D978" t="s">
        <v>385</v>
      </c>
      <c r="E978" t="s">
        <v>226</v>
      </c>
      <c r="F978" t="s">
        <v>231</v>
      </c>
      <c r="G978" t="s">
        <v>232</v>
      </c>
      <c r="H978" t="s">
        <v>22</v>
      </c>
      <c r="I978" t="s">
        <v>23</v>
      </c>
      <c r="J978" t="s">
        <v>215</v>
      </c>
      <c r="K978" t="s">
        <v>384</v>
      </c>
      <c r="L978">
        <v>30</v>
      </c>
      <c r="M978">
        <v>64</v>
      </c>
      <c r="N978">
        <v>1</v>
      </c>
      <c r="O978">
        <v>3</v>
      </c>
      <c r="P978">
        <v>110</v>
      </c>
      <c r="Q978">
        <v>0.50039999999999996</v>
      </c>
      <c r="R978">
        <v>463.38507443824091</v>
      </c>
      <c r="S978">
        <v>241.58507443824089</v>
      </c>
      <c r="T978">
        <v>0.3263888888888889</v>
      </c>
      <c r="U978">
        <v>41</v>
      </c>
      <c r="V978">
        <v>0.66041666666666665</v>
      </c>
      <c r="W978">
        <v>82.5</v>
      </c>
      <c r="X978">
        <v>13.3</v>
      </c>
      <c r="Y978">
        <v>41.5</v>
      </c>
      <c r="Z978">
        <v>0.33333333333333331</v>
      </c>
      <c r="AA978">
        <v>79.5</v>
      </c>
      <c r="AB978">
        <v>16.399999999999999</v>
      </c>
      <c r="AD978">
        <v>41.5</v>
      </c>
      <c r="AE978">
        <v>38</v>
      </c>
      <c r="AF978">
        <v>38.771229168713369</v>
      </c>
      <c r="AG978">
        <v>34.349347131116531</v>
      </c>
      <c r="AH978">
        <v>73.120576299829906</v>
      </c>
      <c r="AI978">
        <v>5.1565734794388787</v>
      </c>
      <c r="AJ978">
        <v>5.63329292950311</v>
      </c>
      <c r="AK978">
        <v>10.78986640894199</v>
      </c>
      <c r="AL978">
        <v>157.79657208094923</v>
      </c>
      <c r="AM978">
        <v>52.134841574496782</v>
      </c>
      <c r="AN978">
        <v>3.3039273849213751</v>
      </c>
      <c r="AO978">
        <v>13.300000000000002</v>
      </c>
      <c r="AP978">
        <v>14.756265547878469</v>
      </c>
      <c r="AQ978">
        <v>23.284881201714327</v>
      </c>
      <c r="AR978">
        <v>44.662802261405119</v>
      </c>
      <c r="AS978">
        <v>0.78786296753594875</v>
      </c>
      <c r="AT978">
        <v>12.923511919567398</v>
      </c>
      <c r="AU978">
        <v>24.788627967921737</v>
      </c>
    </row>
    <row r="979" spans="1:47" x14ac:dyDescent="0.35">
      <c r="A979">
        <v>977</v>
      </c>
      <c r="B979">
        <v>46064</v>
      </c>
      <c r="C979" t="s">
        <v>16</v>
      </c>
      <c r="D979" t="s">
        <v>389</v>
      </c>
      <c r="E979" t="s">
        <v>226</v>
      </c>
      <c r="F979" t="s">
        <v>227</v>
      </c>
      <c r="G979" t="s">
        <v>228</v>
      </c>
      <c r="H979" t="s">
        <v>22</v>
      </c>
      <c r="I979" t="s">
        <v>23</v>
      </c>
      <c r="J979" t="s">
        <v>215</v>
      </c>
      <c r="K979" t="s">
        <v>388</v>
      </c>
      <c r="L979">
        <v>30</v>
      </c>
      <c r="M979">
        <v>64</v>
      </c>
      <c r="N979">
        <v>1</v>
      </c>
      <c r="O979">
        <v>1</v>
      </c>
      <c r="P979">
        <v>111</v>
      </c>
      <c r="Q979">
        <v>0.50029999999999997</v>
      </c>
      <c r="R979">
        <v>463.1925875950356</v>
      </c>
      <c r="S979">
        <v>212.49258759503567</v>
      </c>
      <c r="T979">
        <v>0.3263888888888889</v>
      </c>
      <c r="U979">
        <v>41</v>
      </c>
      <c r="V979">
        <v>0.66180555555555554</v>
      </c>
      <c r="W979">
        <v>73.5</v>
      </c>
      <c r="X979">
        <v>11.4</v>
      </c>
      <c r="Y979">
        <v>41</v>
      </c>
      <c r="Z979">
        <v>0.33402777777777776</v>
      </c>
      <c r="AA979">
        <v>74.5</v>
      </c>
      <c r="AB979">
        <v>14.7</v>
      </c>
      <c r="AD979">
        <v>32.5</v>
      </c>
      <c r="AE979">
        <v>33.5</v>
      </c>
      <c r="AF979">
        <v>29.771229168713369</v>
      </c>
      <c r="AG979">
        <v>29.849347131116534</v>
      </c>
      <c r="AH979">
        <v>59.620576299829906</v>
      </c>
      <c r="AI979">
        <v>3.3939201252333242</v>
      </c>
      <c r="AJ979">
        <v>4.3878540282741305</v>
      </c>
      <c r="AK979">
        <v>7.7817741535074543</v>
      </c>
      <c r="AL979">
        <v>128.71660276212265</v>
      </c>
      <c r="AM979">
        <v>45.875645095775084</v>
      </c>
      <c r="AN979">
        <v>3.5640814091835926</v>
      </c>
      <c r="AO979">
        <v>11.4</v>
      </c>
      <c r="AP979">
        <v>13.052161915331327</v>
      </c>
      <c r="AQ979">
        <v>16.800299404426088</v>
      </c>
      <c r="AR979">
        <v>36.621391087475537</v>
      </c>
      <c r="AS979">
        <v>-3.1595595535228664</v>
      </c>
      <c r="AT979">
        <v>9.3244568320759331</v>
      </c>
      <c r="AU979">
        <v>20.325505641630023</v>
      </c>
    </row>
    <row r="980" spans="1:47" x14ac:dyDescent="0.35">
      <c r="A980">
        <v>978</v>
      </c>
      <c r="B980">
        <v>46064</v>
      </c>
      <c r="C980" t="s">
        <v>16</v>
      </c>
      <c r="D980" t="s">
        <v>389</v>
      </c>
      <c r="E980" t="s">
        <v>226</v>
      </c>
      <c r="F980" t="s">
        <v>227</v>
      </c>
      <c r="G980" t="s">
        <v>228</v>
      </c>
      <c r="H980" t="s">
        <v>22</v>
      </c>
      <c r="I980" t="s">
        <v>23</v>
      </c>
      <c r="J980" t="s">
        <v>215</v>
      </c>
      <c r="K980" t="s">
        <v>388</v>
      </c>
      <c r="L980">
        <v>30</v>
      </c>
      <c r="M980">
        <v>64</v>
      </c>
      <c r="N980">
        <v>1</v>
      </c>
      <c r="O980">
        <v>2</v>
      </c>
      <c r="P980">
        <v>112</v>
      </c>
      <c r="Q980">
        <v>0.50009999999999999</v>
      </c>
      <c r="R980">
        <v>463.00742165955893</v>
      </c>
      <c r="S980">
        <v>192.90742165955891</v>
      </c>
      <c r="T980">
        <v>0.32708333333333334</v>
      </c>
      <c r="U980">
        <v>41.5</v>
      </c>
      <c r="V980">
        <v>0.66180555555555554</v>
      </c>
      <c r="W980">
        <v>74</v>
      </c>
      <c r="X980">
        <v>11.3</v>
      </c>
      <c r="Y980">
        <v>41.5</v>
      </c>
      <c r="Z980">
        <v>0.33402777777777776</v>
      </c>
      <c r="AA980">
        <v>73.5</v>
      </c>
      <c r="AB980">
        <v>14.6</v>
      </c>
      <c r="AD980">
        <v>32.5</v>
      </c>
      <c r="AE980">
        <v>32</v>
      </c>
      <c r="AF980">
        <v>29.771229168713369</v>
      </c>
      <c r="AG980">
        <v>28.349347131116534</v>
      </c>
      <c r="AH980">
        <v>58.120576299829906</v>
      </c>
      <c r="AI980">
        <v>3.3641488960646106</v>
      </c>
      <c r="AJ980">
        <v>4.1390046811430139</v>
      </c>
      <c r="AK980">
        <v>7.503153577207625</v>
      </c>
      <c r="AL980">
        <v>125.52839021782447</v>
      </c>
      <c r="AM980">
        <v>41.664002051656155</v>
      </c>
      <c r="AN980">
        <v>3.3190899667683347</v>
      </c>
      <c r="AO980">
        <v>11.299999999999999</v>
      </c>
      <c r="AP980">
        <v>12.909633824862096</v>
      </c>
      <c r="AQ980">
        <v>16.205255523365153</v>
      </c>
      <c r="AR980">
        <v>38.895100627331573</v>
      </c>
      <c r="AS980">
        <v>-0.71896831439077613</v>
      </c>
      <c r="AT980">
        <v>8.9941971832102769</v>
      </c>
      <c r="AU980">
        <v>21.587453773785409</v>
      </c>
    </row>
    <row r="981" spans="1:47" x14ac:dyDescent="0.35">
      <c r="A981">
        <v>979</v>
      </c>
      <c r="B981">
        <v>46064</v>
      </c>
      <c r="C981" t="s">
        <v>16</v>
      </c>
      <c r="D981" t="s">
        <v>389</v>
      </c>
      <c r="E981" t="s">
        <v>226</v>
      </c>
      <c r="F981" t="s">
        <v>227</v>
      </c>
      <c r="G981" t="s">
        <v>228</v>
      </c>
      <c r="H981" t="s">
        <v>22</v>
      </c>
      <c r="I981" t="s">
        <v>23</v>
      </c>
      <c r="J981" t="s">
        <v>215</v>
      </c>
      <c r="K981" t="s">
        <v>388</v>
      </c>
      <c r="L981">
        <v>30</v>
      </c>
      <c r="M981">
        <v>64</v>
      </c>
      <c r="N981">
        <v>1</v>
      </c>
      <c r="O981">
        <v>3</v>
      </c>
      <c r="P981">
        <v>113</v>
      </c>
      <c r="Q981">
        <v>0.5</v>
      </c>
      <c r="R981">
        <v>462.91483869182059</v>
      </c>
      <c r="S981">
        <v>173.7148386918206</v>
      </c>
      <c r="T981">
        <v>0.32708333333333334</v>
      </c>
      <c r="U981">
        <v>41.5</v>
      </c>
      <c r="V981">
        <v>0.66249999999999998</v>
      </c>
      <c r="W981">
        <v>74.5</v>
      </c>
      <c r="X981">
        <v>11.3</v>
      </c>
      <c r="Y981">
        <v>41.5</v>
      </c>
      <c r="Z981">
        <v>0.3347222222222222</v>
      </c>
      <c r="AA981">
        <v>74</v>
      </c>
      <c r="AB981">
        <v>14.7</v>
      </c>
      <c r="AD981">
        <v>33</v>
      </c>
      <c r="AE981">
        <v>32.5</v>
      </c>
      <c r="AF981">
        <v>30.271229168713369</v>
      </c>
      <c r="AG981">
        <v>28.849347131116534</v>
      </c>
      <c r="AH981">
        <v>59.120576299829906</v>
      </c>
      <c r="AI981">
        <v>3.4206488960646109</v>
      </c>
      <c r="AJ981">
        <v>4.2408540282741303</v>
      </c>
      <c r="AK981">
        <v>7.6615029243387411</v>
      </c>
      <c r="AL981">
        <v>127.71372044780929</v>
      </c>
      <c r="AM981">
        <v>37.526305957858682</v>
      </c>
      <c r="AN981">
        <v>2.938314366403096</v>
      </c>
      <c r="AO981">
        <v>11.3</v>
      </c>
      <c r="AP981">
        <v>12.959114074740141</v>
      </c>
      <c r="AQ981">
        <v>16.55056672192633</v>
      </c>
      <c r="AR981">
        <v>44.103906045301379</v>
      </c>
      <c r="AS981">
        <v>-0.41936990191008572</v>
      </c>
      <c r="AT981">
        <v>9.1858508726539245</v>
      </c>
      <c r="AU981">
        <v>24.478430898499454</v>
      </c>
    </row>
    <row r="982" spans="1:47" x14ac:dyDescent="0.35">
      <c r="A982">
        <v>980</v>
      </c>
      <c r="B982">
        <v>46064</v>
      </c>
      <c r="C982" t="s">
        <v>16</v>
      </c>
      <c r="D982" t="s">
        <v>391</v>
      </c>
      <c r="E982" t="s">
        <v>290</v>
      </c>
      <c r="F982" t="s">
        <v>314</v>
      </c>
      <c r="G982" t="s">
        <v>315</v>
      </c>
      <c r="H982" t="s">
        <v>22</v>
      </c>
      <c r="I982" t="s">
        <v>23</v>
      </c>
      <c r="J982" t="s">
        <v>215</v>
      </c>
      <c r="K982" t="s">
        <v>390</v>
      </c>
      <c r="L982">
        <v>30</v>
      </c>
      <c r="M982">
        <v>64</v>
      </c>
      <c r="N982">
        <v>1</v>
      </c>
      <c r="O982">
        <v>1</v>
      </c>
      <c r="P982">
        <v>114</v>
      </c>
      <c r="Q982">
        <v>0.50029999999999997</v>
      </c>
      <c r="R982">
        <v>474.10929499999986</v>
      </c>
      <c r="S982">
        <v>220.10929499999986</v>
      </c>
      <c r="T982">
        <v>0.32708333333333334</v>
      </c>
      <c r="U982">
        <v>41.5</v>
      </c>
      <c r="V982">
        <v>0.66319444444444442</v>
      </c>
      <c r="W982">
        <v>72.5</v>
      </c>
      <c r="X982">
        <v>13.7</v>
      </c>
      <c r="Y982">
        <v>41</v>
      </c>
      <c r="Z982">
        <v>0.3347222222222222</v>
      </c>
      <c r="AA982">
        <v>85.5</v>
      </c>
      <c r="AB982">
        <v>16.2</v>
      </c>
      <c r="AD982">
        <v>31</v>
      </c>
      <c r="AE982">
        <v>44.5</v>
      </c>
      <c r="AF982">
        <v>28.271229168713369</v>
      </c>
      <c r="AG982">
        <v>40.849347131116531</v>
      </c>
      <c r="AH982">
        <v>69.120576299829906</v>
      </c>
      <c r="AI982">
        <v>3.8731583961137308</v>
      </c>
      <c r="AJ982">
        <v>6.6175942352408779</v>
      </c>
      <c r="AK982">
        <v>10.490752631354608</v>
      </c>
      <c r="AL982">
        <v>145.79038426114369</v>
      </c>
      <c r="AM982">
        <v>46.425855245044275</v>
      </c>
      <c r="AN982">
        <v>3.1844250552138629</v>
      </c>
      <c r="AO982">
        <v>13.699999999999998</v>
      </c>
      <c r="AP982">
        <v>15.177466961282301</v>
      </c>
      <c r="AQ982">
        <v>22.127287403961592</v>
      </c>
      <c r="AR982">
        <v>47.661561186476085</v>
      </c>
      <c r="AS982">
        <v>-0.83576073920101035</v>
      </c>
      <c r="AT982">
        <v>12.281027334240276</v>
      </c>
      <c r="AU982">
        <v>26.452991052978426</v>
      </c>
    </row>
    <row r="983" spans="1:47" x14ac:dyDescent="0.35">
      <c r="A983">
        <v>981</v>
      </c>
      <c r="B983">
        <v>46064</v>
      </c>
      <c r="C983" t="s">
        <v>16</v>
      </c>
      <c r="D983" t="s">
        <v>391</v>
      </c>
      <c r="E983" t="s">
        <v>290</v>
      </c>
      <c r="F983" t="s">
        <v>314</v>
      </c>
      <c r="G983" t="s">
        <v>315</v>
      </c>
      <c r="H983" t="s">
        <v>22</v>
      </c>
      <c r="I983" t="s">
        <v>23</v>
      </c>
      <c r="J983" t="s">
        <v>215</v>
      </c>
      <c r="K983" t="s">
        <v>390</v>
      </c>
      <c r="L983">
        <v>30</v>
      </c>
      <c r="M983">
        <v>64</v>
      </c>
      <c r="N983">
        <v>1</v>
      </c>
      <c r="O983">
        <v>2</v>
      </c>
      <c r="P983">
        <v>115</v>
      </c>
      <c r="Q983">
        <v>0.50019999999999998</v>
      </c>
      <c r="R983">
        <v>474.01452999999987</v>
      </c>
      <c r="S983">
        <v>210.81452999999988</v>
      </c>
      <c r="T983">
        <v>0.32708333333333334</v>
      </c>
      <c r="U983">
        <v>40.5</v>
      </c>
      <c r="V983">
        <v>0.66319444444444442</v>
      </c>
      <c r="W983">
        <v>74.5</v>
      </c>
      <c r="X983">
        <v>14.3</v>
      </c>
      <c r="Y983">
        <v>40.5</v>
      </c>
      <c r="Z983">
        <v>0.33541666666666664</v>
      </c>
      <c r="AA983">
        <v>87</v>
      </c>
      <c r="AB983">
        <v>16</v>
      </c>
      <c r="AD983">
        <v>34</v>
      </c>
      <c r="AE983">
        <v>46.5</v>
      </c>
      <c r="AF983">
        <v>31.271229168713369</v>
      </c>
      <c r="AG983">
        <v>42.849347131116531</v>
      </c>
      <c r="AH983">
        <v>74.120576299829906</v>
      </c>
      <c r="AI983">
        <v>4.4717857711260125</v>
      </c>
      <c r="AJ983">
        <v>6.8558955409786453</v>
      </c>
      <c r="AK983">
        <v>11.327681312104659</v>
      </c>
      <c r="AL983">
        <v>156.36773054157209</v>
      </c>
      <c r="AM983">
        <v>44.474275925676778</v>
      </c>
      <c r="AN983">
        <v>2.8442106163236032</v>
      </c>
      <c r="AO983">
        <v>14.300000000000004</v>
      </c>
      <c r="AP983">
        <v>15.282775549777604</v>
      </c>
      <c r="AQ983">
        <v>23.897329290949504</v>
      </c>
      <c r="AR983">
        <v>53.732924917958286</v>
      </c>
      <c r="AS983">
        <v>-0.68024500485207595</v>
      </c>
      <c r="AT983">
        <v>13.263431205080625</v>
      </c>
      <c r="AU983">
        <v>29.822702964846055</v>
      </c>
    </row>
    <row r="984" spans="1:47" x14ac:dyDescent="0.35">
      <c r="A984">
        <v>982</v>
      </c>
      <c r="B984">
        <v>46064</v>
      </c>
      <c r="C984" t="s">
        <v>16</v>
      </c>
      <c r="D984" t="s">
        <v>391</v>
      </c>
      <c r="E984" t="s">
        <v>290</v>
      </c>
      <c r="F984" t="s">
        <v>314</v>
      </c>
      <c r="G984" t="s">
        <v>315</v>
      </c>
      <c r="H984" t="s">
        <v>22</v>
      </c>
      <c r="I984" t="s">
        <v>23</v>
      </c>
      <c r="J984" t="s">
        <v>215</v>
      </c>
      <c r="K984" t="s">
        <v>390</v>
      </c>
      <c r="L984">
        <v>30</v>
      </c>
      <c r="M984">
        <v>64</v>
      </c>
      <c r="N984">
        <v>1</v>
      </c>
      <c r="O984">
        <v>3</v>
      </c>
      <c r="P984">
        <v>116</v>
      </c>
      <c r="Q984">
        <v>0.50029999999999997</v>
      </c>
      <c r="R984">
        <v>474.10929499999986</v>
      </c>
      <c r="S984">
        <v>155.50929499999984</v>
      </c>
      <c r="T984">
        <v>0.32777777777777778</v>
      </c>
      <c r="U984">
        <v>41</v>
      </c>
      <c r="V984">
        <v>0.66388888888888886</v>
      </c>
      <c r="W984">
        <v>72.5</v>
      </c>
      <c r="X984">
        <v>14.2</v>
      </c>
      <c r="Y984">
        <v>41.5</v>
      </c>
      <c r="Z984">
        <v>0.33541666666666664</v>
      </c>
      <c r="AA984">
        <v>86.5</v>
      </c>
      <c r="AB984">
        <v>16.5</v>
      </c>
      <c r="AD984">
        <v>31.5</v>
      </c>
      <c r="AE984">
        <v>45</v>
      </c>
      <c r="AF984">
        <v>28.771229168713369</v>
      </c>
      <c r="AG984">
        <v>41.349347131116531</v>
      </c>
      <c r="AH984">
        <v>70.120576299829906</v>
      </c>
      <c r="AI984">
        <v>4.0855145419572976</v>
      </c>
      <c r="AJ984">
        <v>6.8226422766342276</v>
      </c>
      <c r="AK984">
        <v>10.908156818591525</v>
      </c>
      <c r="AL984">
        <v>147.8996025585829</v>
      </c>
      <c r="AM984">
        <v>32.800305043587024</v>
      </c>
      <c r="AN984">
        <v>2.217741256647046</v>
      </c>
      <c r="AO984">
        <v>14.199999999999998</v>
      </c>
      <c r="AP984">
        <v>15.556285179330429</v>
      </c>
      <c r="AQ984">
        <v>23.007683953109435</v>
      </c>
      <c r="AR984">
        <v>70.144725552202758</v>
      </c>
      <c r="AS984">
        <v>-0.2649034676260853</v>
      </c>
      <c r="AT984">
        <v>12.769662650791535</v>
      </c>
      <c r="AU984">
        <v>38.931536258039174</v>
      </c>
    </row>
    <row r="985" spans="1:47" x14ac:dyDescent="0.35">
      <c r="A985">
        <v>983</v>
      </c>
      <c r="B985">
        <v>46064</v>
      </c>
      <c r="C985" t="s">
        <v>16</v>
      </c>
      <c r="D985" t="s">
        <v>393</v>
      </c>
      <c r="E985" t="s">
        <v>226</v>
      </c>
      <c r="F985" t="s">
        <v>227</v>
      </c>
      <c r="G985" t="s">
        <v>228</v>
      </c>
      <c r="H985" t="s">
        <v>22</v>
      </c>
      <c r="I985" t="s">
        <v>23</v>
      </c>
      <c r="J985" t="s">
        <v>215</v>
      </c>
      <c r="K985" t="s">
        <v>392</v>
      </c>
      <c r="L985">
        <v>30</v>
      </c>
      <c r="M985">
        <v>64</v>
      </c>
      <c r="N985">
        <v>1</v>
      </c>
      <c r="O985">
        <v>1</v>
      </c>
      <c r="P985">
        <v>117</v>
      </c>
      <c r="Q985">
        <v>0.50009999999999999</v>
      </c>
      <c r="R985">
        <v>467.89998968012804</v>
      </c>
      <c r="S985">
        <v>225.19998968012803</v>
      </c>
      <c r="T985">
        <v>0.32777777777777778</v>
      </c>
      <c r="U985">
        <v>41.5</v>
      </c>
      <c r="V985">
        <v>0.6645833333333333</v>
      </c>
      <c r="W985">
        <v>77.5</v>
      </c>
      <c r="X985">
        <v>12.5</v>
      </c>
      <c r="Y985">
        <v>41</v>
      </c>
      <c r="Z985">
        <v>0.33611111111111114</v>
      </c>
      <c r="AA985">
        <v>74.5</v>
      </c>
      <c r="AB985">
        <v>15.8</v>
      </c>
      <c r="AD985">
        <v>36</v>
      </c>
      <c r="AE985">
        <v>33.5</v>
      </c>
      <c r="AF985">
        <v>33.271229168713369</v>
      </c>
      <c r="AG985">
        <v>29.849347131116534</v>
      </c>
      <c r="AH985">
        <v>63.120576299829906</v>
      </c>
      <c r="AI985">
        <v>4.1589036460891711</v>
      </c>
      <c r="AJ985">
        <v>4.7161968467164126</v>
      </c>
      <c r="AK985">
        <v>8.8751004928055828</v>
      </c>
      <c r="AL985">
        <v>134.90185443898221</v>
      </c>
      <c r="AM985">
        <v>48.129941151330698</v>
      </c>
      <c r="AN985">
        <v>3.567774612994699</v>
      </c>
      <c r="AO985">
        <v>12.5</v>
      </c>
      <c r="AP985">
        <v>14.060550478259017</v>
      </c>
      <c r="AQ985">
        <v>18.967943339500597</v>
      </c>
      <c r="AR985">
        <v>39.4098618983584</v>
      </c>
      <c r="AS985">
        <v>-4.3137749044420497</v>
      </c>
      <c r="AT985">
        <v>10.527536718532511</v>
      </c>
      <c r="AU985">
        <v>21.873155185109646</v>
      </c>
    </row>
    <row r="986" spans="1:47" x14ac:dyDescent="0.35">
      <c r="A986">
        <v>984</v>
      </c>
      <c r="B986">
        <v>46064</v>
      </c>
      <c r="C986" t="s">
        <v>16</v>
      </c>
      <c r="D986" t="s">
        <v>393</v>
      </c>
      <c r="E986" t="s">
        <v>226</v>
      </c>
      <c r="F986" t="s">
        <v>227</v>
      </c>
      <c r="G986" t="s">
        <v>228</v>
      </c>
      <c r="H986" t="s">
        <v>22</v>
      </c>
      <c r="I986" t="s">
        <v>23</v>
      </c>
      <c r="J986" t="s">
        <v>215</v>
      </c>
      <c r="K986" t="s">
        <v>392</v>
      </c>
      <c r="L986">
        <v>30</v>
      </c>
      <c r="M986">
        <v>64</v>
      </c>
      <c r="N986">
        <v>1</v>
      </c>
      <c r="O986">
        <v>2</v>
      </c>
      <c r="P986">
        <v>118</v>
      </c>
      <c r="Q986">
        <v>0.50039999999999996</v>
      </c>
      <c r="R986">
        <v>468.18067353716464</v>
      </c>
      <c r="S986">
        <v>226.38067353716463</v>
      </c>
      <c r="T986">
        <v>0.32777777777777778</v>
      </c>
      <c r="U986">
        <v>41.5</v>
      </c>
      <c r="V986">
        <v>0.6645833333333333</v>
      </c>
      <c r="W986">
        <v>77.5</v>
      </c>
      <c r="X986">
        <v>12.4</v>
      </c>
      <c r="Y986">
        <v>41.5</v>
      </c>
      <c r="Z986">
        <v>0.33680555555555558</v>
      </c>
      <c r="AA986">
        <v>73.5</v>
      </c>
      <c r="AB986">
        <v>15.7</v>
      </c>
      <c r="AD986">
        <v>36</v>
      </c>
      <c r="AE986">
        <v>32</v>
      </c>
      <c r="AF986">
        <v>33.271229168713369</v>
      </c>
      <c r="AG986">
        <v>28.349347131116534</v>
      </c>
      <c r="AH986">
        <v>61.620576299829906</v>
      </c>
      <c r="AI986">
        <v>4.1256324169204577</v>
      </c>
      <c r="AJ986">
        <v>4.4508474995852962</v>
      </c>
      <c r="AK986">
        <v>8.5764799165057539</v>
      </c>
      <c r="AL986">
        <v>131.61708669919801</v>
      </c>
      <c r="AM986">
        <v>48.353271788608829</v>
      </c>
      <c r="AN986">
        <v>3.6737837769587611</v>
      </c>
      <c r="AO986">
        <v>12.4</v>
      </c>
      <c r="AP986">
        <v>13.918207896620123</v>
      </c>
      <c r="AQ986">
        <v>18.318739754269128</v>
      </c>
      <c r="AR986">
        <v>37.885212471981468</v>
      </c>
      <c r="AS986">
        <v>-5.3007658819036898</v>
      </c>
      <c r="AT986">
        <v>10.167217496833107</v>
      </c>
      <c r="AU986">
        <v>21.02694837545269</v>
      </c>
    </row>
    <row r="987" spans="1:47" x14ac:dyDescent="0.35">
      <c r="A987">
        <v>985</v>
      </c>
      <c r="B987">
        <v>46064</v>
      </c>
      <c r="C987" t="s">
        <v>16</v>
      </c>
      <c r="D987" t="s">
        <v>393</v>
      </c>
      <c r="E987" t="s">
        <v>226</v>
      </c>
      <c r="F987" t="s">
        <v>227</v>
      </c>
      <c r="G987" t="s">
        <v>228</v>
      </c>
      <c r="H987" t="s">
        <v>22</v>
      </c>
      <c r="I987" t="s">
        <v>23</v>
      </c>
      <c r="J987" t="s">
        <v>215</v>
      </c>
      <c r="K987" t="s">
        <v>392</v>
      </c>
      <c r="L987">
        <v>30</v>
      </c>
      <c r="M987">
        <v>64</v>
      </c>
      <c r="N987">
        <v>1</v>
      </c>
      <c r="O987">
        <v>3</v>
      </c>
      <c r="P987">
        <v>119</v>
      </c>
      <c r="Q987">
        <v>0.50009999999999999</v>
      </c>
      <c r="R987">
        <v>467.89998968012804</v>
      </c>
      <c r="S987">
        <v>200.39998968012799</v>
      </c>
      <c r="T987">
        <v>0.32777777777777778</v>
      </c>
      <c r="U987">
        <v>42</v>
      </c>
      <c r="V987">
        <v>0.66527777777777775</v>
      </c>
      <c r="W987">
        <v>78</v>
      </c>
      <c r="X987">
        <v>12</v>
      </c>
      <c r="Y987">
        <v>41</v>
      </c>
      <c r="Z987">
        <v>0.33680555555555558</v>
      </c>
      <c r="AA987">
        <v>74</v>
      </c>
      <c r="AB987">
        <v>15.5</v>
      </c>
      <c r="AD987">
        <v>36</v>
      </c>
      <c r="AE987">
        <v>33</v>
      </c>
      <c r="AF987">
        <v>33.271229168713369</v>
      </c>
      <c r="AG987">
        <v>29.349347131116534</v>
      </c>
      <c r="AH987">
        <v>62.620576299829906</v>
      </c>
      <c r="AI987">
        <v>3.9925475002456041</v>
      </c>
      <c r="AJ987">
        <v>4.5491488053230631</v>
      </c>
      <c r="AK987">
        <v>8.5416963055686672</v>
      </c>
      <c r="AL987">
        <v>133.83325001276322</v>
      </c>
      <c r="AM987">
        <v>42.829663197284546</v>
      </c>
      <c r="AN987">
        <v>3.2002258925341818</v>
      </c>
      <c r="AO987">
        <v>12</v>
      </c>
      <c r="AP987">
        <v>13.640398747962127</v>
      </c>
      <c r="AQ987">
        <v>18.255388959097978</v>
      </c>
      <c r="AR987">
        <v>42.62323725266976</v>
      </c>
      <c r="AS987">
        <v>-0.68410221921960401</v>
      </c>
      <c r="AT987">
        <v>10.132056709478599</v>
      </c>
      <c r="AU987">
        <v>23.656634101481764</v>
      </c>
    </row>
    <row r="988" spans="1:47" x14ac:dyDescent="0.35">
      <c r="A988">
        <v>986</v>
      </c>
      <c r="B988">
        <v>46064</v>
      </c>
      <c r="C988" t="s">
        <v>16</v>
      </c>
      <c r="D988" t="s">
        <v>395</v>
      </c>
      <c r="E988" t="s">
        <v>240</v>
      </c>
      <c r="F988" t="s">
        <v>396</v>
      </c>
      <c r="G988" t="s">
        <v>397</v>
      </c>
      <c r="H988" t="s">
        <v>22</v>
      </c>
      <c r="I988" t="s">
        <v>23</v>
      </c>
      <c r="J988" t="s">
        <v>215</v>
      </c>
      <c r="K988" t="s">
        <v>394</v>
      </c>
      <c r="L988">
        <v>30</v>
      </c>
      <c r="M988">
        <v>64</v>
      </c>
      <c r="N988">
        <v>1</v>
      </c>
      <c r="O988">
        <v>1</v>
      </c>
      <c r="P988">
        <v>120</v>
      </c>
      <c r="Q988">
        <v>0.50049999999999994</v>
      </c>
      <c r="R988">
        <v>473.60748049040865</v>
      </c>
      <c r="S988">
        <v>191.10748049040865</v>
      </c>
      <c r="T988">
        <v>0.32847222222222222</v>
      </c>
      <c r="U988">
        <v>40.5</v>
      </c>
      <c r="V988">
        <v>0.66597222222222219</v>
      </c>
      <c r="W988">
        <v>77.5</v>
      </c>
      <c r="X988">
        <v>13.3</v>
      </c>
      <c r="Y988">
        <v>41</v>
      </c>
      <c r="Z988">
        <v>0.33750000000000002</v>
      </c>
      <c r="AA988">
        <v>76.5</v>
      </c>
      <c r="AB988">
        <v>16.600000000000001</v>
      </c>
      <c r="AF988">
        <v>34.271229168713369</v>
      </c>
      <c r="AG988">
        <v>31.849347131116534</v>
      </c>
      <c r="AH988">
        <v>66.120576299829906</v>
      </c>
      <c r="AI988">
        <v>4.5580734794388782</v>
      </c>
      <c r="AJ988">
        <v>5.2869916237653447</v>
      </c>
      <c r="AK988">
        <v>9.8450651032042238</v>
      </c>
      <c r="AL988">
        <v>139.61049819433535</v>
      </c>
      <c r="AM988">
        <v>40.351448902901964</v>
      </c>
      <c r="AN988">
        <v>2.8902875804320578</v>
      </c>
      <c r="AO988">
        <v>13.3</v>
      </c>
      <c r="AP988">
        <v>14.889563361578793</v>
      </c>
      <c r="AQ988">
        <v>20.787393588061374</v>
      </c>
      <c r="AR988">
        <v>51.515854209057665</v>
      </c>
      <c r="AS988">
        <v>4.9669778354592511</v>
      </c>
      <c r="AT988">
        <v>11.537363084861745</v>
      </c>
      <c r="AU988">
        <v>28.59219036378148</v>
      </c>
    </row>
    <row r="989" spans="1:47" x14ac:dyDescent="0.35">
      <c r="A989">
        <v>987</v>
      </c>
      <c r="B989">
        <v>46064</v>
      </c>
      <c r="C989" t="s">
        <v>16</v>
      </c>
      <c r="D989" t="s">
        <v>395</v>
      </c>
      <c r="E989" t="s">
        <v>240</v>
      </c>
      <c r="F989" t="s">
        <v>396</v>
      </c>
      <c r="G989" t="s">
        <v>397</v>
      </c>
      <c r="H989" t="s">
        <v>22</v>
      </c>
      <c r="I989" t="s">
        <v>23</v>
      </c>
      <c r="J989" t="s">
        <v>215</v>
      </c>
      <c r="K989" t="s">
        <v>394</v>
      </c>
      <c r="L989">
        <v>30</v>
      </c>
      <c r="M989">
        <v>64</v>
      </c>
      <c r="N989">
        <v>1</v>
      </c>
      <c r="O989">
        <v>2</v>
      </c>
      <c r="P989">
        <v>121</v>
      </c>
      <c r="Q989">
        <v>0.50019999999999998</v>
      </c>
      <c r="R989">
        <v>473.32359988272208</v>
      </c>
      <c r="T989">
        <v>0.32847222222222222</v>
      </c>
      <c r="U989">
        <v>41.5</v>
      </c>
      <c r="V989">
        <v>0.66597222222222219</v>
      </c>
      <c r="W989">
        <v>78</v>
      </c>
      <c r="X989">
        <v>14</v>
      </c>
      <c r="Y989">
        <v>41.5</v>
      </c>
      <c r="Z989">
        <v>0.33750000000000002</v>
      </c>
      <c r="AA989">
        <v>75.5</v>
      </c>
      <c r="AB989">
        <v>16.8</v>
      </c>
      <c r="AC989" t="s">
        <v>589</v>
      </c>
    </row>
    <row r="990" spans="1:47" x14ac:dyDescent="0.35">
      <c r="A990">
        <v>988</v>
      </c>
      <c r="B990">
        <v>46064</v>
      </c>
      <c r="C990" t="s">
        <v>16</v>
      </c>
      <c r="D990" t="s">
        <v>395</v>
      </c>
      <c r="E990" t="s">
        <v>240</v>
      </c>
      <c r="F990" t="s">
        <v>396</v>
      </c>
      <c r="G990" t="s">
        <v>397</v>
      </c>
      <c r="H990" t="s">
        <v>22</v>
      </c>
      <c r="I990" t="s">
        <v>23</v>
      </c>
      <c r="J990" t="s">
        <v>215</v>
      </c>
      <c r="K990" t="s">
        <v>394</v>
      </c>
      <c r="L990">
        <v>30</v>
      </c>
      <c r="M990">
        <v>64</v>
      </c>
      <c r="N990">
        <v>1</v>
      </c>
      <c r="O990">
        <v>3</v>
      </c>
      <c r="P990">
        <v>122</v>
      </c>
      <c r="Q990">
        <v>0.50009999999999999</v>
      </c>
      <c r="R990">
        <v>473.22897301349332</v>
      </c>
      <c r="S990">
        <v>196.72897301349326</v>
      </c>
      <c r="T990">
        <v>0.32847222222222222</v>
      </c>
      <c r="U990">
        <v>40</v>
      </c>
      <c r="V990">
        <v>0.66666666666666663</v>
      </c>
      <c r="W990">
        <v>77.5</v>
      </c>
      <c r="X990">
        <v>13.6</v>
      </c>
      <c r="Y990">
        <v>42</v>
      </c>
      <c r="Z990">
        <v>0.33819444444444446</v>
      </c>
      <c r="AA990">
        <v>76.5</v>
      </c>
      <c r="AB990">
        <v>16.5</v>
      </c>
      <c r="AF990">
        <v>34.771229168713369</v>
      </c>
      <c r="AG990">
        <v>30.849347131116534</v>
      </c>
      <c r="AH990">
        <v>65.620576299829906</v>
      </c>
      <c r="AI990">
        <v>4.7288871669450181</v>
      </c>
      <c r="AJ990">
        <v>5.0901422766342286</v>
      </c>
      <c r="AK990">
        <v>9.8190294435792467</v>
      </c>
      <c r="AL990">
        <v>138.6655932792155</v>
      </c>
      <c r="AM990">
        <v>41.571624780438768</v>
      </c>
      <c r="AN990">
        <v>2.9979769167922288</v>
      </c>
      <c r="AO990">
        <v>13.6</v>
      </c>
      <c r="AP990">
        <v>14.96333924090316</v>
      </c>
      <c r="AQ990">
        <v>20.749003132780025</v>
      </c>
      <c r="AR990">
        <v>49.911455812387018</v>
      </c>
      <c r="AS990">
        <v>2.4626586869248328</v>
      </c>
      <c r="AT990">
        <v>11.516055717985868</v>
      </c>
      <c r="AU990">
        <v>27.701721495871542</v>
      </c>
    </row>
    <row r="991" spans="1:47" x14ac:dyDescent="0.35">
      <c r="A991">
        <v>989</v>
      </c>
      <c r="B991">
        <v>46064</v>
      </c>
      <c r="C991" t="s">
        <v>16</v>
      </c>
      <c r="D991" t="s">
        <v>399</v>
      </c>
      <c r="E991" t="s">
        <v>240</v>
      </c>
      <c r="F991" t="s">
        <v>400</v>
      </c>
      <c r="G991" t="s">
        <v>401</v>
      </c>
      <c r="H991" t="s">
        <v>22</v>
      </c>
      <c r="I991" t="s">
        <v>23</v>
      </c>
      <c r="J991" t="s">
        <v>215</v>
      </c>
      <c r="K991" t="s">
        <v>398</v>
      </c>
      <c r="L991">
        <v>30</v>
      </c>
      <c r="M991">
        <v>64</v>
      </c>
      <c r="N991">
        <v>1</v>
      </c>
      <c r="O991">
        <v>1</v>
      </c>
      <c r="P991">
        <v>123</v>
      </c>
      <c r="Q991">
        <v>0.5</v>
      </c>
      <c r="R991">
        <v>477.28521285139124</v>
      </c>
      <c r="S991">
        <v>90.085212851391248</v>
      </c>
      <c r="T991">
        <v>0.32916666666666666</v>
      </c>
      <c r="U991">
        <v>40</v>
      </c>
      <c r="V991">
        <v>0.66736111111111107</v>
      </c>
      <c r="W991">
        <v>67</v>
      </c>
      <c r="X991">
        <v>13.3</v>
      </c>
      <c r="Y991">
        <v>40</v>
      </c>
      <c r="Z991">
        <v>0.33888888888888891</v>
      </c>
      <c r="AA991">
        <v>52</v>
      </c>
      <c r="AB991">
        <v>15.6</v>
      </c>
      <c r="AD991">
        <v>27</v>
      </c>
      <c r="AE991">
        <v>12</v>
      </c>
      <c r="AF991">
        <v>24.271229168713369</v>
      </c>
      <c r="AG991">
        <v>8.3493471311165344</v>
      </c>
      <c r="AH991">
        <v>32.620576299829906</v>
      </c>
      <c r="AI991">
        <v>3.2280734794388781</v>
      </c>
      <c r="AJ991">
        <v>1.3024981524541794</v>
      </c>
      <c r="AK991">
        <v>4.5305716318930571</v>
      </c>
      <c r="AL991">
        <v>68.346086200635625</v>
      </c>
      <c r="AM991">
        <v>18.874503216474132</v>
      </c>
      <c r="AN991">
        <v>2.7616070305864273</v>
      </c>
      <c r="AO991">
        <v>13.3</v>
      </c>
      <c r="AP991">
        <v>13.88869280006154</v>
      </c>
      <c r="AQ991">
        <v>9.4923779532715322</v>
      </c>
      <c r="AR991">
        <v>50.292067793267009</v>
      </c>
      <c r="AS991">
        <v>-0.10261158203762227</v>
      </c>
      <c r="AT991">
        <v>5.2684339920579717</v>
      </c>
      <c r="AU991">
        <v>27.912967730242311</v>
      </c>
    </row>
    <row r="992" spans="1:47" x14ac:dyDescent="0.35">
      <c r="A992">
        <v>990</v>
      </c>
      <c r="B992">
        <v>46064</v>
      </c>
      <c r="C992" t="s">
        <v>16</v>
      </c>
      <c r="D992" t="s">
        <v>399</v>
      </c>
      <c r="E992" t="s">
        <v>240</v>
      </c>
      <c r="F992" t="s">
        <v>400</v>
      </c>
      <c r="G992" t="s">
        <v>401</v>
      </c>
      <c r="H992" t="s">
        <v>22</v>
      </c>
      <c r="I992" t="s">
        <v>23</v>
      </c>
      <c r="J992" t="s">
        <v>215</v>
      </c>
      <c r="K992" t="s">
        <v>398</v>
      </c>
      <c r="L992">
        <v>30</v>
      </c>
      <c r="M992">
        <v>64</v>
      </c>
      <c r="N992">
        <v>1</v>
      </c>
      <c r="O992">
        <v>2</v>
      </c>
      <c r="P992">
        <v>124</v>
      </c>
      <c r="Q992">
        <v>0.50009999999999999</v>
      </c>
      <c r="R992">
        <v>477.38066989396157</v>
      </c>
      <c r="S992">
        <v>97.280669893961601</v>
      </c>
      <c r="T992">
        <v>0.32916666666666666</v>
      </c>
      <c r="U992">
        <v>40</v>
      </c>
      <c r="V992">
        <v>0.66736111111111107</v>
      </c>
      <c r="W992">
        <v>64.5</v>
      </c>
      <c r="X992">
        <v>13.1</v>
      </c>
      <c r="Y992">
        <v>40</v>
      </c>
      <c r="Z992">
        <v>0.33888888888888891</v>
      </c>
      <c r="AA992">
        <v>52</v>
      </c>
      <c r="AB992">
        <v>14.8</v>
      </c>
      <c r="AD992">
        <v>24.5</v>
      </c>
      <c r="AE992">
        <v>12</v>
      </c>
      <c r="AF992">
        <v>21.771229168713369</v>
      </c>
      <c r="AG992">
        <v>8.3493471311165344</v>
      </c>
      <c r="AH992">
        <v>30.120576299829903</v>
      </c>
      <c r="AI992">
        <v>2.8520310211014515</v>
      </c>
      <c r="AJ992">
        <v>1.2357033754052473</v>
      </c>
      <c r="AK992">
        <v>4.0877343965066988</v>
      </c>
      <c r="AL992">
        <v>63.095508887111933</v>
      </c>
      <c r="AM992">
        <v>20.378007747060668</v>
      </c>
      <c r="AN992">
        <v>3.2297081213054666</v>
      </c>
      <c r="AO992">
        <v>13.100000000000001</v>
      </c>
      <c r="AP992">
        <v>13.571235675626109</v>
      </c>
      <c r="AQ992">
        <v>8.5628402118055789</v>
      </c>
      <c r="AR992">
        <v>42.020006656640348</v>
      </c>
      <c r="AS992">
        <v>-9.8544638334766968E-2</v>
      </c>
      <c r="AT992">
        <v>4.7525244635765223</v>
      </c>
      <c r="AU992">
        <v>23.321830684169939</v>
      </c>
    </row>
    <row r="993" spans="1:48" x14ac:dyDescent="0.35">
      <c r="A993">
        <v>991</v>
      </c>
      <c r="B993">
        <v>46064</v>
      </c>
      <c r="C993" t="s">
        <v>16</v>
      </c>
      <c r="D993" t="s">
        <v>399</v>
      </c>
      <c r="E993" t="s">
        <v>240</v>
      </c>
      <c r="F993" t="s">
        <v>400</v>
      </c>
      <c r="G993" t="s">
        <v>401</v>
      </c>
      <c r="H993" t="s">
        <v>22</v>
      </c>
      <c r="I993" t="s">
        <v>23</v>
      </c>
      <c r="J993" t="s">
        <v>215</v>
      </c>
      <c r="K993" t="s">
        <v>398</v>
      </c>
      <c r="L993">
        <v>30</v>
      </c>
      <c r="M993">
        <v>64</v>
      </c>
      <c r="N993">
        <v>1</v>
      </c>
      <c r="O993">
        <v>3</v>
      </c>
      <c r="P993">
        <v>125</v>
      </c>
      <c r="Q993">
        <v>0.50049999999999994</v>
      </c>
      <c r="R993">
        <v>477.76249806424261</v>
      </c>
      <c r="S993">
        <v>44.062498064242732</v>
      </c>
      <c r="T993">
        <v>0.32916666666666666</v>
      </c>
      <c r="U993">
        <v>41</v>
      </c>
      <c r="V993">
        <v>0.66805555555555551</v>
      </c>
      <c r="W993">
        <v>68</v>
      </c>
      <c r="X993">
        <v>13.4</v>
      </c>
      <c r="Y993">
        <v>41</v>
      </c>
      <c r="Z993">
        <v>0.33958333333333335</v>
      </c>
      <c r="AA993">
        <v>53.5</v>
      </c>
      <c r="AB993">
        <v>14.9</v>
      </c>
      <c r="AD993">
        <v>27</v>
      </c>
      <c r="AE993">
        <v>12.5</v>
      </c>
      <c r="AV993" t="s">
        <v>611</v>
      </c>
    </row>
    <row r="994" spans="1:48" x14ac:dyDescent="0.35">
      <c r="A994">
        <v>992</v>
      </c>
      <c r="B994">
        <v>46064</v>
      </c>
      <c r="C994" t="s">
        <v>16</v>
      </c>
      <c r="D994" t="s">
        <v>403</v>
      </c>
      <c r="E994" t="s">
        <v>212</v>
      </c>
      <c r="F994" t="s">
        <v>404</v>
      </c>
      <c r="G994" t="s">
        <v>405</v>
      </c>
      <c r="H994" t="s">
        <v>22</v>
      </c>
      <c r="I994" t="s">
        <v>23</v>
      </c>
      <c r="J994" t="s">
        <v>215</v>
      </c>
      <c r="K994" t="s">
        <v>402</v>
      </c>
      <c r="L994">
        <v>30</v>
      </c>
      <c r="M994">
        <v>64</v>
      </c>
      <c r="N994">
        <v>1</v>
      </c>
      <c r="O994">
        <v>1</v>
      </c>
      <c r="P994">
        <v>126</v>
      </c>
      <c r="Q994">
        <v>0.50039999999999996</v>
      </c>
      <c r="R994">
        <v>472.6333533293344</v>
      </c>
      <c r="S994">
        <v>56.633353329334454</v>
      </c>
      <c r="T994">
        <v>0.32916666666666666</v>
      </c>
      <c r="U994">
        <v>40</v>
      </c>
      <c r="V994">
        <v>0.66805555555555551</v>
      </c>
      <c r="W994">
        <v>71.5</v>
      </c>
      <c r="X994">
        <v>14.2</v>
      </c>
      <c r="Y994">
        <v>40</v>
      </c>
      <c r="Z994">
        <v>0.34027777777777779</v>
      </c>
      <c r="AA994">
        <v>71.5</v>
      </c>
      <c r="AB994">
        <v>16.600000000000001</v>
      </c>
      <c r="AD994">
        <v>31.5</v>
      </c>
      <c r="AE994">
        <v>31.5</v>
      </c>
      <c r="AF994">
        <v>28.771229168713369</v>
      </c>
      <c r="AG994">
        <v>27.849347131116534</v>
      </c>
      <c r="AH994">
        <v>56.620576299829906</v>
      </c>
      <c r="AI994">
        <v>4.0855145419572976</v>
      </c>
      <c r="AJ994">
        <v>4.622991623765345</v>
      </c>
      <c r="AK994">
        <v>8.7085061657226426</v>
      </c>
      <c r="AL994">
        <v>119.79809698359622</v>
      </c>
      <c r="AM994">
        <v>11.982513068617887</v>
      </c>
      <c r="AN994">
        <v>1.0002256605343769</v>
      </c>
      <c r="AO994">
        <v>14.199999999999998</v>
      </c>
      <c r="AP994">
        <v>15.380461900647951</v>
      </c>
      <c r="AQ994">
        <v>18.4255006642633</v>
      </c>
      <c r="AR994">
        <v>153.76991920434077</v>
      </c>
      <c r="AS994">
        <v>-0.1967256621627296</v>
      </c>
      <c r="AT994">
        <v>10.22647164895444</v>
      </c>
      <c r="AU994">
        <v>85.34496553763411</v>
      </c>
    </row>
    <row r="995" spans="1:48" x14ac:dyDescent="0.35">
      <c r="A995">
        <v>993</v>
      </c>
      <c r="B995">
        <v>46064</v>
      </c>
      <c r="C995" t="s">
        <v>16</v>
      </c>
      <c r="D995" t="s">
        <v>403</v>
      </c>
      <c r="E995" t="s">
        <v>212</v>
      </c>
      <c r="F995" t="s">
        <v>404</v>
      </c>
      <c r="G995" t="s">
        <v>405</v>
      </c>
      <c r="H995" t="s">
        <v>22</v>
      </c>
      <c r="I995" t="s">
        <v>23</v>
      </c>
      <c r="J995" t="s">
        <v>215</v>
      </c>
      <c r="K995" t="s">
        <v>402</v>
      </c>
      <c r="L995">
        <v>30</v>
      </c>
      <c r="M995">
        <v>64</v>
      </c>
      <c r="N995">
        <v>1</v>
      </c>
      <c r="O995">
        <v>2</v>
      </c>
      <c r="P995">
        <v>127</v>
      </c>
      <c r="Q995">
        <v>0.50060000000000004</v>
      </c>
      <c r="R995">
        <v>472.8222555488905</v>
      </c>
      <c r="S995">
        <v>143.12225554889051</v>
      </c>
      <c r="T995">
        <v>0.32916666666666666</v>
      </c>
      <c r="U995">
        <v>40.5</v>
      </c>
      <c r="V995">
        <v>0.66874999999999996</v>
      </c>
      <c r="W995">
        <v>69.5</v>
      </c>
      <c r="X995">
        <v>14.7</v>
      </c>
      <c r="Y995">
        <v>40</v>
      </c>
      <c r="Z995">
        <v>0.34027777777777779</v>
      </c>
      <c r="AA995">
        <v>71.5</v>
      </c>
      <c r="AB995">
        <v>16.899999999999999</v>
      </c>
      <c r="AD995">
        <v>29</v>
      </c>
      <c r="AE995">
        <v>31.5</v>
      </c>
      <c r="AF995">
        <v>26.271229168713369</v>
      </c>
      <c r="AG995">
        <v>27.849347131116534</v>
      </c>
      <c r="AH995">
        <v>54.120576299829906</v>
      </c>
      <c r="AI995">
        <v>3.8618706878008648</v>
      </c>
      <c r="AJ995">
        <v>4.7065396651586937</v>
      </c>
      <c r="AK995">
        <v>8.5684103529595586</v>
      </c>
      <c r="AL995">
        <v>114.46283601223962</v>
      </c>
      <c r="AM995">
        <v>30.269779789181573</v>
      </c>
      <c r="AN995">
        <v>2.6445072342908573</v>
      </c>
      <c r="AO995">
        <v>14.7</v>
      </c>
      <c r="AP995">
        <v>15.83207522678669</v>
      </c>
      <c r="AQ995">
        <v>18.12184230417126</v>
      </c>
      <c r="AR995">
        <v>59.867770530157649</v>
      </c>
      <c r="AS995">
        <v>-0.59948050033217815</v>
      </c>
      <c r="AT995">
        <v>10.057936005498513</v>
      </c>
      <c r="AU995">
        <v>33.227648418814134</v>
      </c>
    </row>
    <row r="996" spans="1:48" x14ac:dyDescent="0.35">
      <c r="A996">
        <v>994</v>
      </c>
      <c r="B996">
        <v>46064</v>
      </c>
      <c r="C996" t="s">
        <v>16</v>
      </c>
      <c r="D996" t="s">
        <v>403</v>
      </c>
      <c r="E996" t="s">
        <v>212</v>
      </c>
      <c r="F996" t="s">
        <v>404</v>
      </c>
      <c r="G996" t="s">
        <v>405</v>
      </c>
      <c r="H996" t="s">
        <v>22</v>
      </c>
      <c r="I996" t="s">
        <v>23</v>
      </c>
      <c r="J996" t="s">
        <v>215</v>
      </c>
      <c r="K996" t="s">
        <v>402</v>
      </c>
      <c r="L996">
        <v>30</v>
      </c>
      <c r="M996">
        <v>64</v>
      </c>
      <c r="N996">
        <v>1</v>
      </c>
      <c r="O996">
        <v>3</v>
      </c>
      <c r="P996">
        <v>128</v>
      </c>
      <c r="Q996">
        <v>0.50029999999999997</v>
      </c>
      <c r="R996">
        <v>472.53890221955629</v>
      </c>
      <c r="S996">
        <v>68.438902219556269</v>
      </c>
      <c r="T996">
        <v>0.3298611111111111</v>
      </c>
      <c r="U996">
        <v>41</v>
      </c>
      <c r="V996">
        <v>0.6694444444444444</v>
      </c>
      <c r="W996">
        <v>71</v>
      </c>
      <c r="X996">
        <v>14.3</v>
      </c>
      <c r="Y996">
        <v>40.5</v>
      </c>
      <c r="Z996">
        <v>0.34097222222222223</v>
      </c>
      <c r="AA996">
        <v>70.5</v>
      </c>
      <c r="AB996">
        <v>16.8</v>
      </c>
      <c r="AD996">
        <v>30</v>
      </c>
      <c r="AE996">
        <v>30</v>
      </c>
      <c r="AF996">
        <v>27.271229168713369</v>
      </c>
      <c r="AG996">
        <v>26.349347131116534</v>
      </c>
      <c r="AH996">
        <v>53.620576299829906</v>
      </c>
      <c r="AI996">
        <v>3.899785771126012</v>
      </c>
      <c r="AJ996">
        <v>4.4266903180275783</v>
      </c>
      <c r="AK996">
        <v>8.3264760891535907</v>
      </c>
      <c r="AL996">
        <v>113.47335859115387</v>
      </c>
      <c r="AM996">
        <v>14.48323130605603</v>
      </c>
      <c r="AN996">
        <v>1.276355215521497</v>
      </c>
      <c r="AO996">
        <v>14.3</v>
      </c>
      <c r="AP996">
        <v>15.528509135363404</v>
      </c>
      <c r="AQ996">
        <v>17.620720855030999</v>
      </c>
      <c r="AR996">
        <v>121.66291128460442</v>
      </c>
      <c r="AS996">
        <v>-0.20728923545561403</v>
      </c>
      <c r="AT996">
        <v>9.7798049313044029</v>
      </c>
      <c r="AU996">
        <v>67.525020657614363</v>
      </c>
    </row>
    <row r="997" spans="1:48" x14ac:dyDescent="0.35">
      <c r="A997">
        <v>995</v>
      </c>
      <c r="B997">
        <v>46064</v>
      </c>
      <c r="C997" t="s">
        <v>16</v>
      </c>
      <c r="D997" t="s">
        <v>407</v>
      </c>
      <c r="E997" t="s">
        <v>226</v>
      </c>
      <c r="F997" t="s">
        <v>231</v>
      </c>
      <c r="G997" t="s">
        <v>232</v>
      </c>
      <c r="H997" t="s">
        <v>22</v>
      </c>
      <c r="I997" t="s">
        <v>23</v>
      </c>
      <c r="J997" t="s">
        <v>215</v>
      </c>
      <c r="K997" t="s">
        <v>406</v>
      </c>
      <c r="L997">
        <v>30</v>
      </c>
      <c r="M997">
        <v>64</v>
      </c>
      <c r="N997">
        <v>1</v>
      </c>
      <c r="O997">
        <v>1</v>
      </c>
      <c r="P997">
        <v>129</v>
      </c>
      <c r="Q997">
        <v>0.50029999999999997</v>
      </c>
      <c r="R997">
        <v>473.72101172774308</v>
      </c>
      <c r="S997">
        <v>158.32101172774304</v>
      </c>
      <c r="T997">
        <v>0.3298611111111111</v>
      </c>
      <c r="U997">
        <v>41</v>
      </c>
      <c r="V997">
        <v>0.67013888888888884</v>
      </c>
      <c r="W997">
        <v>78.5</v>
      </c>
      <c r="X997">
        <v>13.6</v>
      </c>
      <c r="Y997">
        <v>40.5</v>
      </c>
      <c r="Z997">
        <v>0.34097222222222223</v>
      </c>
      <c r="AA997">
        <v>77.5</v>
      </c>
      <c r="AB997">
        <v>16.5</v>
      </c>
      <c r="AD997">
        <v>37.5</v>
      </c>
      <c r="AE997">
        <v>37</v>
      </c>
      <c r="AF997">
        <v>34.771229168713369</v>
      </c>
      <c r="AG997">
        <v>33.349347131116531</v>
      </c>
      <c r="AH997">
        <v>68.120576299829906</v>
      </c>
      <c r="AI997">
        <v>4.7288871669450181</v>
      </c>
      <c r="AJ997">
        <v>5.5026422766342282</v>
      </c>
      <c r="AK997">
        <v>10.231529443579246</v>
      </c>
      <c r="AL997">
        <v>143.79893357776615</v>
      </c>
      <c r="AM997">
        <v>33.420728194073284</v>
      </c>
      <c r="AN997">
        <v>2.3241290712353875</v>
      </c>
      <c r="AO997">
        <v>13.6</v>
      </c>
      <c r="AP997">
        <v>15.019734123424898</v>
      </c>
      <c r="AQ997">
        <v>21.598217495700847</v>
      </c>
      <c r="AR997">
        <v>64.625215136787475</v>
      </c>
      <c r="AS997">
        <v>-0.34230779903443653</v>
      </c>
      <c r="AT997">
        <v>11.987384381696939</v>
      </c>
      <c r="AU997">
        <v>35.868112484223914</v>
      </c>
    </row>
    <row r="998" spans="1:48" x14ac:dyDescent="0.35">
      <c r="A998">
        <v>996</v>
      </c>
      <c r="B998">
        <v>46064</v>
      </c>
      <c r="C998" t="s">
        <v>16</v>
      </c>
      <c r="D998" t="s">
        <v>407</v>
      </c>
      <c r="E998" t="s">
        <v>226</v>
      </c>
      <c r="F998" t="s">
        <v>231</v>
      </c>
      <c r="G998" t="s">
        <v>232</v>
      </c>
      <c r="H998" t="s">
        <v>22</v>
      </c>
      <c r="I998" t="s">
        <v>23</v>
      </c>
      <c r="J998" t="s">
        <v>215</v>
      </c>
      <c r="K998" t="s">
        <v>406</v>
      </c>
      <c r="L998">
        <v>30</v>
      </c>
      <c r="M998">
        <v>64</v>
      </c>
      <c r="N998">
        <v>1</v>
      </c>
      <c r="O998">
        <v>2</v>
      </c>
      <c r="P998">
        <v>130</v>
      </c>
      <c r="Q998">
        <v>0.50009999999999999</v>
      </c>
      <c r="R998">
        <v>473.53163694791988</v>
      </c>
      <c r="S998">
        <v>153.53163694791982</v>
      </c>
      <c r="T998">
        <v>0.3298611111111111</v>
      </c>
      <c r="U998">
        <v>41</v>
      </c>
      <c r="V998">
        <v>0.67013888888888884</v>
      </c>
      <c r="W998">
        <v>79</v>
      </c>
      <c r="X998">
        <v>13.5</v>
      </c>
      <c r="Y998">
        <v>41.5</v>
      </c>
      <c r="Z998">
        <v>0.34166666666666667</v>
      </c>
      <c r="AA998">
        <v>80</v>
      </c>
      <c r="AB998">
        <v>16.3</v>
      </c>
      <c r="AD998">
        <v>38</v>
      </c>
      <c r="AE998">
        <v>38.5</v>
      </c>
      <c r="AF998">
        <v>35.271229168713369</v>
      </c>
      <c r="AG998">
        <v>34.849347131116531</v>
      </c>
      <c r="AH998">
        <v>70.120576299829906</v>
      </c>
      <c r="AI998">
        <v>4.7616159377763054</v>
      </c>
      <c r="AJ998">
        <v>5.6804435823719945</v>
      </c>
      <c r="AK998">
        <v>10.4420595201483</v>
      </c>
      <c r="AL998">
        <v>148.08002428682909</v>
      </c>
      <c r="AM998">
        <v>32.422677804060974</v>
      </c>
      <c r="AN998">
        <v>2.1895375801167258</v>
      </c>
      <c r="AO998">
        <v>13.500000000000002</v>
      </c>
      <c r="AP998">
        <v>14.891576868248913</v>
      </c>
      <c r="AQ998">
        <v>22.051450643194812</v>
      </c>
      <c r="AR998">
        <v>68.012428758838794</v>
      </c>
      <c r="AS998">
        <v>-0.32798551035970808</v>
      </c>
      <c r="AT998">
        <v>12.238936619960027</v>
      </c>
      <c r="AU998">
        <v>37.748074646774207</v>
      </c>
    </row>
    <row r="999" spans="1:48" x14ac:dyDescent="0.35">
      <c r="A999">
        <v>997</v>
      </c>
      <c r="B999">
        <v>46064</v>
      </c>
      <c r="C999" t="s">
        <v>16</v>
      </c>
      <c r="D999" t="s">
        <v>407</v>
      </c>
      <c r="E999" t="s">
        <v>226</v>
      </c>
      <c r="F999" t="s">
        <v>231</v>
      </c>
      <c r="G999" t="s">
        <v>232</v>
      </c>
      <c r="H999" t="s">
        <v>22</v>
      </c>
      <c r="I999" t="s">
        <v>23</v>
      </c>
      <c r="J999" t="s">
        <v>215</v>
      </c>
      <c r="K999" t="s">
        <v>406</v>
      </c>
      <c r="L999">
        <v>30</v>
      </c>
      <c r="M999">
        <v>64</v>
      </c>
      <c r="N999">
        <v>1</v>
      </c>
      <c r="O999">
        <v>3</v>
      </c>
      <c r="P999">
        <v>131</v>
      </c>
      <c r="Q999">
        <v>0.50009999999999999</v>
      </c>
      <c r="R999">
        <v>473.53163694791988</v>
      </c>
      <c r="S999">
        <v>195.63163694791984</v>
      </c>
      <c r="T999">
        <v>0.3298611111111111</v>
      </c>
      <c r="U999">
        <v>41</v>
      </c>
      <c r="V999">
        <v>0.67083333333333328</v>
      </c>
      <c r="W999">
        <v>79.5</v>
      </c>
      <c r="X999">
        <v>13.4</v>
      </c>
      <c r="Y999">
        <v>41.5</v>
      </c>
      <c r="Z999">
        <v>0.34236111111111112</v>
      </c>
      <c r="AA999">
        <v>81</v>
      </c>
      <c r="AB999">
        <v>16.5</v>
      </c>
      <c r="AD999">
        <v>38.5</v>
      </c>
      <c r="AE999">
        <v>39.5</v>
      </c>
      <c r="AF999">
        <v>35.771229168713369</v>
      </c>
      <c r="AG999">
        <v>35.849347131116531</v>
      </c>
      <c r="AH999">
        <v>71.620576299829906</v>
      </c>
      <c r="AI999">
        <v>4.7933447086075915</v>
      </c>
      <c r="AJ999">
        <v>5.9151422766342279</v>
      </c>
      <c r="AK999">
        <v>10.708486985241819</v>
      </c>
      <c r="AL999">
        <v>151.24771126476372</v>
      </c>
      <c r="AM999">
        <v>41.313319255464208</v>
      </c>
      <c r="AN999">
        <v>2.731500457758596</v>
      </c>
      <c r="AO999">
        <v>13.4</v>
      </c>
      <c r="AP999">
        <v>14.95169061529494</v>
      </c>
      <c r="AQ999">
        <v>22.614089851022062</v>
      </c>
      <c r="AR999">
        <v>54.738012482575009</v>
      </c>
      <c r="AS999">
        <v>-0.73891614778947579</v>
      </c>
      <c r="AT999">
        <v>12.551211114546501</v>
      </c>
      <c r="AU999">
        <v>30.380543952266542</v>
      </c>
    </row>
    <row r="1000" spans="1:48" x14ac:dyDescent="0.35">
      <c r="A1000">
        <v>998</v>
      </c>
      <c r="B1000">
        <v>46064</v>
      </c>
      <c r="C1000" t="s">
        <v>16</v>
      </c>
      <c r="D1000" t="s">
        <v>409</v>
      </c>
      <c r="E1000" t="s">
        <v>290</v>
      </c>
      <c r="F1000" t="s">
        <v>314</v>
      </c>
      <c r="G1000" t="s">
        <v>315</v>
      </c>
      <c r="H1000" t="s">
        <v>22</v>
      </c>
      <c r="I1000" t="s">
        <v>23</v>
      </c>
      <c r="J1000" t="s">
        <v>215</v>
      </c>
      <c r="K1000" t="s">
        <v>408</v>
      </c>
      <c r="L1000">
        <v>30</v>
      </c>
      <c r="M1000">
        <v>64</v>
      </c>
      <c r="N1000">
        <v>1</v>
      </c>
      <c r="O1000">
        <v>1</v>
      </c>
      <c r="P1000">
        <v>132</v>
      </c>
      <c r="Q1000">
        <v>0.50029999999999997</v>
      </c>
      <c r="R1000">
        <v>470.36754254061606</v>
      </c>
      <c r="S1000">
        <v>184.06754254061605</v>
      </c>
      <c r="T1000">
        <v>0.33055555555555555</v>
      </c>
      <c r="U1000">
        <v>41</v>
      </c>
      <c r="V1000">
        <v>0.67083333333333328</v>
      </c>
      <c r="W1000">
        <v>73</v>
      </c>
      <c r="X1000">
        <v>12.9</v>
      </c>
      <c r="Y1000">
        <v>40.5</v>
      </c>
      <c r="Z1000">
        <v>0.34236111111111112</v>
      </c>
      <c r="AA1000">
        <v>85.5</v>
      </c>
      <c r="AB1000">
        <v>15.4</v>
      </c>
      <c r="AD1000">
        <v>32</v>
      </c>
      <c r="AE1000">
        <v>45</v>
      </c>
      <c r="AF1000">
        <v>29.271229168713369</v>
      </c>
      <c r="AG1000">
        <v>41.349347131116531</v>
      </c>
      <c r="AH1000">
        <v>70.620576299829906</v>
      </c>
      <c r="AI1000">
        <v>3.7759885627640246</v>
      </c>
      <c r="AJ1000">
        <v>6.3677994581919455</v>
      </c>
      <c r="AK1000">
        <v>10.14378802095597</v>
      </c>
      <c r="AL1000">
        <v>150.1391357030802</v>
      </c>
      <c r="AM1000">
        <v>39.132704936740375</v>
      </c>
      <c r="AN1000">
        <v>2.6064293465849184</v>
      </c>
      <c r="AO1000">
        <v>12.9</v>
      </c>
      <c r="AP1000">
        <v>14.363785390095156</v>
      </c>
      <c r="AQ1000">
        <v>21.565663238934174</v>
      </c>
      <c r="AR1000">
        <v>55.109053345011425</v>
      </c>
      <c r="AS1000">
        <v>-0.29322610543730943</v>
      </c>
      <c r="AT1000">
        <v>11.969316205969003</v>
      </c>
      <c r="AU1000">
        <v>30.586478050310841</v>
      </c>
    </row>
    <row r="1001" spans="1:48" x14ac:dyDescent="0.35">
      <c r="A1001">
        <v>999</v>
      </c>
      <c r="B1001">
        <v>46064</v>
      </c>
      <c r="C1001" t="s">
        <v>16</v>
      </c>
      <c r="D1001" t="s">
        <v>409</v>
      </c>
      <c r="E1001" t="s">
        <v>290</v>
      </c>
      <c r="F1001" t="s">
        <v>314</v>
      </c>
      <c r="G1001" t="s">
        <v>315</v>
      </c>
      <c r="H1001" t="s">
        <v>22</v>
      </c>
      <c r="I1001" t="s">
        <v>23</v>
      </c>
      <c r="J1001" t="s">
        <v>215</v>
      </c>
      <c r="K1001" t="s">
        <v>408</v>
      </c>
      <c r="L1001">
        <v>30</v>
      </c>
      <c r="M1001">
        <v>64</v>
      </c>
      <c r="N1001">
        <v>1</v>
      </c>
      <c r="O1001">
        <v>2</v>
      </c>
      <c r="P1001">
        <v>133</v>
      </c>
      <c r="Q1001">
        <v>0.50019999999999998</v>
      </c>
      <c r="R1001">
        <v>470.27352544236692</v>
      </c>
      <c r="S1001">
        <v>208.67352544236695</v>
      </c>
      <c r="T1001">
        <v>0.33055555555555555</v>
      </c>
      <c r="U1001">
        <v>40.5</v>
      </c>
      <c r="V1001">
        <v>0.67152777777777772</v>
      </c>
      <c r="W1001">
        <v>70.5</v>
      </c>
      <c r="X1001">
        <v>13.5</v>
      </c>
      <c r="Y1001">
        <v>41.5</v>
      </c>
      <c r="Z1001">
        <v>0.34305555555555556</v>
      </c>
      <c r="AA1001">
        <v>86</v>
      </c>
      <c r="AB1001">
        <v>15.6</v>
      </c>
      <c r="AC1001" t="s">
        <v>590</v>
      </c>
      <c r="AD1001">
        <v>30</v>
      </c>
      <c r="AE1001">
        <v>44.5</v>
      </c>
      <c r="AF1001">
        <v>27.271229168713369</v>
      </c>
      <c r="AG1001">
        <v>40.849347131116531</v>
      </c>
      <c r="AH1001">
        <v>68.120576299829906</v>
      </c>
      <c r="AI1001">
        <v>3.6816159377763049</v>
      </c>
      <c r="AJ1001">
        <v>6.3724981524541784</v>
      </c>
      <c r="AK1001">
        <v>10.054114090230483</v>
      </c>
      <c r="AL1001">
        <v>144.85309636716565</v>
      </c>
      <c r="AM1001">
        <v>44.372798840010475</v>
      </c>
      <c r="AN1001">
        <v>3.063296536481122</v>
      </c>
      <c r="AO1001">
        <v>13.500000000000002</v>
      </c>
      <c r="AP1001">
        <v>14.759291004787913</v>
      </c>
      <c r="AQ1001">
        <v>21.37929002227585</v>
      </c>
      <c r="AR1001">
        <v>48.181071695207955</v>
      </c>
      <c r="AS1001">
        <v>-0.43701183272370953</v>
      </c>
      <c r="AT1001">
        <v>11.865875846273516</v>
      </c>
      <c r="AU1001">
        <v>26.741328373395696</v>
      </c>
    </row>
    <row r="1002" spans="1:48" x14ac:dyDescent="0.35">
      <c r="A1002">
        <v>1000</v>
      </c>
      <c r="B1002">
        <v>46064</v>
      </c>
      <c r="C1002" t="s">
        <v>16</v>
      </c>
      <c r="D1002" t="s">
        <v>409</v>
      </c>
      <c r="E1002" t="s">
        <v>290</v>
      </c>
      <c r="F1002" t="s">
        <v>314</v>
      </c>
      <c r="G1002" t="s">
        <v>315</v>
      </c>
      <c r="H1002" t="s">
        <v>22</v>
      </c>
      <c r="I1002" t="s">
        <v>23</v>
      </c>
      <c r="J1002" t="s">
        <v>215</v>
      </c>
      <c r="K1002" t="s">
        <v>408</v>
      </c>
      <c r="L1002">
        <v>30</v>
      </c>
      <c r="M1002">
        <v>64</v>
      </c>
      <c r="N1002">
        <v>1</v>
      </c>
      <c r="O1002">
        <v>3</v>
      </c>
      <c r="P1002">
        <v>134</v>
      </c>
      <c r="Q1002">
        <v>0.50060000000000004</v>
      </c>
      <c r="R1002">
        <v>470.64959383536365</v>
      </c>
      <c r="S1002">
        <v>154.34959383536375</v>
      </c>
      <c r="T1002">
        <v>0.33055555555555555</v>
      </c>
      <c r="U1002">
        <v>41</v>
      </c>
      <c r="V1002">
        <v>0.67152777777777772</v>
      </c>
      <c r="W1002">
        <v>72.5</v>
      </c>
      <c r="X1002">
        <v>13.3</v>
      </c>
      <c r="Y1002">
        <v>40.5</v>
      </c>
      <c r="Z1002">
        <v>0.34305555555555556</v>
      </c>
      <c r="AA1002">
        <v>85</v>
      </c>
      <c r="AB1002">
        <v>15.5</v>
      </c>
      <c r="AD1002">
        <v>31.5</v>
      </c>
      <c r="AE1002">
        <v>44.5</v>
      </c>
      <c r="AF1002">
        <v>28.771229168713369</v>
      </c>
      <c r="AG1002">
        <v>40.849347131116531</v>
      </c>
      <c r="AH1002">
        <v>69.620576299829906</v>
      </c>
      <c r="AI1002">
        <v>3.8265734794388782</v>
      </c>
      <c r="AJ1002">
        <v>6.331648805323062</v>
      </c>
      <c r="AK1002">
        <v>10.158222284761941</v>
      </c>
      <c r="AL1002">
        <v>147.92443722831226</v>
      </c>
      <c r="AM1002">
        <v>32.795012649975057</v>
      </c>
      <c r="AN1002">
        <v>2.2170111486960047</v>
      </c>
      <c r="AO1002">
        <v>13.3</v>
      </c>
      <c r="AP1002">
        <v>14.590833378072395</v>
      </c>
      <c r="AQ1002">
        <v>21.583408161434331</v>
      </c>
      <c r="AR1002">
        <v>65.813080762604145</v>
      </c>
      <c r="AS1002">
        <v>-0.2089822581196201</v>
      </c>
      <c r="AT1002">
        <v>11.979164944962166</v>
      </c>
      <c r="AU1002">
        <v>36.527398457860563</v>
      </c>
    </row>
    <row r="1003" spans="1:48" x14ac:dyDescent="0.35">
      <c r="A1003">
        <v>1001</v>
      </c>
      <c r="B1003">
        <v>46064</v>
      </c>
      <c r="C1003" t="s">
        <v>16</v>
      </c>
      <c r="D1003" t="s">
        <v>411</v>
      </c>
      <c r="E1003" t="s">
        <v>264</v>
      </c>
      <c r="F1003" t="s">
        <v>412</v>
      </c>
      <c r="G1003" t="s">
        <v>413</v>
      </c>
      <c r="H1003" t="s">
        <v>22</v>
      </c>
      <c r="I1003" t="s">
        <v>23</v>
      </c>
      <c r="J1003" t="s">
        <v>215</v>
      </c>
      <c r="K1003" t="s">
        <v>410</v>
      </c>
      <c r="L1003">
        <v>30</v>
      </c>
      <c r="M1003">
        <v>64</v>
      </c>
      <c r="N1003">
        <v>1</v>
      </c>
      <c r="O1003">
        <v>1</v>
      </c>
      <c r="P1003">
        <v>135</v>
      </c>
      <c r="Q1003">
        <v>0.50019999999999998</v>
      </c>
      <c r="R1003">
        <v>475.56885336261399</v>
      </c>
      <c r="S1003">
        <v>182.76885336261404</v>
      </c>
      <c r="T1003">
        <v>0.33124999999999999</v>
      </c>
      <c r="U1003">
        <v>41</v>
      </c>
      <c r="V1003">
        <v>0.67222222222222228</v>
      </c>
      <c r="W1003">
        <v>89.5</v>
      </c>
      <c r="X1003">
        <v>15</v>
      </c>
      <c r="Y1003">
        <v>40.5</v>
      </c>
      <c r="Z1003">
        <v>0.34375</v>
      </c>
      <c r="AA1003">
        <v>81.5</v>
      </c>
      <c r="AB1003">
        <v>17.8</v>
      </c>
      <c r="AD1003">
        <v>48.5</v>
      </c>
      <c r="AE1003">
        <v>41</v>
      </c>
      <c r="AF1003">
        <v>45.771229168713369</v>
      </c>
      <c r="AG1003">
        <v>37.349347131116531</v>
      </c>
      <c r="AH1003">
        <v>83.120576299829906</v>
      </c>
      <c r="AI1003">
        <v>6.8656843753070049</v>
      </c>
      <c r="AJ1003">
        <v>6.6481837893387432</v>
      </c>
      <c r="AK1003">
        <v>13.513868164645748</v>
      </c>
      <c r="AL1003">
        <v>174.78137121913602</v>
      </c>
      <c r="AM1003">
        <v>38.431628158637125</v>
      </c>
      <c r="AN1003">
        <v>2.1988400646229405</v>
      </c>
      <c r="AO1003">
        <v>15</v>
      </c>
      <c r="AP1003">
        <v>16.258150227326325</v>
      </c>
      <c r="AQ1003">
        <v>28.416217902188034</v>
      </c>
      <c r="AR1003">
        <v>73.939667049473627</v>
      </c>
      <c r="AS1003">
        <v>-0.72421833426084981</v>
      </c>
      <c r="AT1003">
        <v>15.771492565781871</v>
      </c>
      <c r="AU1003">
        <v>41.037794445451787</v>
      </c>
    </row>
    <row r="1004" spans="1:48" x14ac:dyDescent="0.35">
      <c r="A1004">
        <v>1002</v>
      </c>
      <c r="B1004">
        <v>46064</v>
      </c>
      <c r="C1004" t="s">
        <v>16</v>
      </c>
      <c r="D1004" t="s">
        <v>411</v>
      </c>
      <c r="E1004" t="s">
        <v>264</v>
      </c>
      <c r="F1004" t="s">
        <v>412</v>
      </c>
      <c r="G1004" t="s">
        <v>413</v>
      </c>
      <c r="H1004" t="s">
        <v>22</v>
      </c>
      <c r="I1004" t="s">
        <v>23</v>
      </c>
      <c r="J1004" t="s">
        <v>215</v>
      </c>
      <c r="K1004" t="s">
        <v>410</v>
      </c>
      <c r="L1004">
        <v>30</v>
      </c>
      <c r="M1004">
        <v>64</v>
      </c>
      <c r="N1004">
        <v>1</v>
      </c>
      <c r="O1004">
        <v>2</v>
      </c>
      <c r="P1004">
        <v>136</v>
      </c>
      <c r="Q1004">
        <v>0.50029999999999997</v>
      </c>
      <c r="R1004">
        <v>475.66392910299044</v>
      </c>
      <c r="S1004">
        <v>220.56392910299044</v>
      </c>
      <c r="T1004">
        <v>0.33124999999999999</v>
      </c>
      <c r="U1004">
        <v>40.5</v>
      </c>
      <c r="V1004">
        <v>0.67222222222222228</v>
      </c>
      <c r="W1004">
        <v>89.5</v>
      </c>
      <c r="X1004">
        <v>15.7</v>
      </c>
      <c r="Y1004">
        <v>40.5</v>
      </c>
      <c r="Z1004">
        <v>0.34375</v>
      </c>
      <c r="AA1004">
        <v>74.5</v>
      </c>
      <c r="AB1004">
        <v>19.3</v>
      </c>
      <c r="AD1004">
        <v>49</v>
      </c>
      <c r="AE1004">
        <v>34</v>
      </c>
      <c r="AF1004">
        <v>46.271229168713369</v>
      </c>
      <c r="AG1004">
        <v>30.349347131116534</v>
      </c>
      <c r="AH1004">
        <v>76.620576299829906</v>
      </c>
      <c r="AI1004">
        <v>7.264582979487999</v>
      </c>
      <c r="AJ1004">
        <v>5.8574239963054913</v>
      </c>
      <c r="AK1004">
        <v>13.122006975793489</v>
      </c>
      <c r="AL1004">
        <v>161.08132572575221</v>
      </c>
      <c r="AM1004">
        <v>46.369698353821164</v>
      </c>
      <c r="AN1004">
        <v>2.8786513982860775</v>
      </c>
      <c r="AO1004">
        <v>15.700000000000001</v>
      </c>
      <c r="AP1004">
        <v>17.125957033323203</v>
      </c>
      <c r="AQ1004">
        <v>27.586718632499714</v>
      </c>
      <c r="AR1004">
        <v>59.492987040806121</v>
      </c>
      <c r="AS1004">
        <v>-3.9042027548530589</v>
      </c>
      <c r="AT1004">
        <v>15.311106119906414</v>
      </c>
      <c r="AU1004">
        <v>33.019637098080622</v>
      </c>
    </row>
    <row r="1005" spans="1:48" x14ac:dyDescent="0.35">
      <c r="A1005">
        <v>1003</v>
      </c>
      <c r="B1005">
        <v>46064</v>
      </c>
      <c r="C1005" t="s">
        <v>16</v>
      </c>
      <c r="D1005" t="s">
        <v>411</v>
      </c>
      <c r="E1005" t="s">
        <v>264</v>
      </c>
      <c r="F1005" t="s">
        <v>412</v>
      </c>
      <c r="G1005" t="s">
        <v>413</v>
      </c>
      <c r="H1005" t="s">
        <v>22</v>
      </c>
      <c r="I1005" t="s">
        <v>23</v>
      </c>
      <c r="J1005" t="s">
        <v>215</v>
      </c>
      <c r="K1005" t="s">
        <v>410</v>
      </c>
      <c r="L1005">
        <v>30</v>
      </c>
      <c r="M1005">
        <v>64</v>
      </c>
      <c r="N1005">
        <v>1</v>
      </c>
      <c r="O1005">
        <v>3</v>
      </c>
      <c r="P1005">
        <v>137</v>
      </c>
      <c r="Q1005">
        <v>0.50049999999999994</v>
      </c>
      <c r="R1005">
        <v>475.8540805837431</v>
      </c>
      <c r="S1005">
        <v>231.8540805837431</v>
      </c>
      <c r="T1005">
        <v>0.33124999999999999</v>
      </c>
      <c r="U1005">
        <v>41</v>
      </c>
      <c r="V1005">
        <v>0.67291666666666672</v>
      </c>
      <c r="W1005">
        <v>90</v>
      </c>
      <c r="X1005">
        <v>15.5</v>
      </c>
      <c r="Y1005">
        <v>41</v>
      </c>
      <c r="Z1005">
        <v>0.34444444444444444</v>
      </c>
      <c r="AA1005">
        <v>81.5</v>
      </c>
      <c r="AB1005">
        <v>18.3</v>
      </c>
      <c r="AD1005">
        <v>49</v>
      </c>
      <c r="AE1005">
        <v>40.5</v>
      </c>
      <c r="AF1005">
        <v>46.271229168713369</v>
      </c>
      <c r="AG1005">
        <v>36.849347131116531</v>
      </c>
      <c r="AH1005">
        <v>83.120576299829906</v>
      </c>
      <c r="AI1005">
        <v>7.1720405211505724</v>
      </c>
      <c r="AJ1005">
        <v>6.7434305249943254</v>
      </c>
      <c r="AK1005">
        <v>13.915471046144898</v>
      </c>
      <c r="AL1005">
        <v>174.67660716046325</v>
      </c>
      <c r="AM1005">
        <v>48.723776898019118</v>
      </c>
      <c r="AN1005">
        <v>2.789370465231213</v>
      </c>
      <c r="AO1005">
        <v>15.5</v>
      </c>
      <c r="AP1005">
        <v>16.741307225721645</v>
      </c>
      <c r="AQ1005">
        <v>29.243147456200045</v>
      </c>
      <c r="AR1005">
        <v>60.018227891912325</v>
      </c>
      <c r="AS1005">
        <v>11.832981744276827</v>
      </c>
      <c r="AT1005">
        <v>16.230452774998223</v>
      </c>
      <c r="AU1005">
        <v>33.311154857656526</v>
      </c>
    </row>
    <row r="1006" spans="1:48" x14ac:dyDescent="0.35">
      <c r="A1006">
        <v>1004</v>
      </c>
      <c r="B1006">
        <v>46064</v>
      </c>
      <c r="C1006" t="s">
        <v>16</v>
      </c>
      <c r="D1006" t="s">
        <v>415</v>
      </c>
      <c r="E1006" t="s">
        <v>235</v>
      </c>
      <c r="F1006" t="s">
        <v>274</v>
      </c>
      <c r="G1006" t="s">
        <v>275</v>
      </c>
      <c r="H1006" t="s">
        <v>22</v>
      </c>
      <c r="I1006" t="s">
        <v>23</v>
      </c>
      <c r="J1006" t="s">
        <v>215</v>
      </c>
      <c r="K1006" t="s">
        <v>414</v>
      </c>
      <c r="L1006">
        <v>30</v>
      </c>
      <c r="M1006">
        <v>64</v>
      </c>
      <c r="N1006">
        <v>1</v>
      </c>
      <c r="O1006">
        <v>1</v>
      </c>
      <c r="P1006">
        <v>138</v>
      </c>
      <c r="Q1006">
        <v>0.5</v>
      </c>
      <c r="R1006">
        <v>473.62894434411743</v>
      </c>
      <c r="S1006">
        <v>192.02894434411735</v>
      </c>
      <c r="T1006">
        <v>0.33124999999999999</v>
      </c>
      <c r="U1006">
        <v>40.5</v>
      </c>
      <c r="V1006">
        <v>0.67361111111111116</v>
      </c>
      <c r="W1006">
        <v>85.5</v>
      </c>
      <c r="X1006">
        <v>12.6</v>
      </c>
      <c r="Y1006">
        <v>40</v>
      </c>
      <c r="Z1006">
        <v>0.34513888888888888</v>
      </c>
      <c r="AA1006">
        <v>78.5</v>
      </c>
      <c r="AB1006">
        <v>17.5</v>
      </c>
      <c r="AD1006">
        <v>45</v>
      </c>
      <c r="AE1006">
        <v>38.5</v>
      </c>
      <c r="AF1006">
        <v>42.271229168713369</v>
      </c>
      <c r="AG1006">
        <v>34.849347131116531</v>
      </c>
      <c r="AH1006">
        <v>77.120576299829906</v>
      </c>
      <c r="AI1006">
        <v>5.3261748752578848</v>
      </c>
      <c r="AJ1006">
        <v>6.0986357479453925</v>
      </c>
      <c r="AK1006">
        <v>11.424810623203278</v>
      </c>
      <c r="AL1006">
        <v>162.82910329018569</v>
      </c>
      <c r="AM1006">
        <v>40.544174218499151</v>
      </c>
      <c r="AN1006">
        <v>2.4899832646159945</v>
      </c>
      <c r="AO1006">
        <v>12.6</v>
      </c>
      <c r="AP1006">
        <v>14.814218424387574</v>
      </c>
      <c r="AQ1006">
        <v>24.121859019879761</v>
      </c>
      <c r="AR1006">
        <v>59.495252979831676</v>
      </c>
      <c r="AS1006">
        <v>-0.41608496333265454</v>
      </c>
      <c r="AT1006">
        <v>13.388049089234302</v>
      </c>
      <c r="AU1006">
        <v>33.020894733442908</v>
      </c>
    </row>
    <row r="1007" spans="1:48" x14ac:dyDescent="0.35">
      <c r="A1007">
        <v>1005</v>
      </c>
      <c r="B1007">
        <v>46064</v>
      </c>
      <c r="C1007" t="s">
        <v>16</v>
      </c>
      <c r="D1007" t="s">
        <v>415</v>
      </c>
      <c r="E1007" t="s">
        <v>235</v>
      </c>
      <c r="F1007" t="s">
        <v>274</v>
      </c>
      <c r="G1007" t="s">
        <v>275</v>
      </c>
      <c r="H1007" t="s">
        <v>22</v>
      </c>
      <c r="I1007" t="s">
        <v>23</v>
      </c>
      <c r="J1007" t="s">
        <v>215</v>
      </c>
      <c r="K1007" t="s">
        <v>414</v>
      </c>
      <c r="L1007">
        <v>30</v>
      </c>
      <c r="M1007">
        <v>64</v>
      </c>
      <c r="N1007">
        <v>1</v>
      </c>
      <c r="O1007">
        <v>2</v>
      </c>
      <c r="P1007">
        <v>139</v>
      </c>
      <c r="Q1007">
        <v>0.50029999999999997</v>
      </c>
      <c r="R1007">
        <v>473.91312171072389</v>
      </c>
      <c r="S1007">
        <v>256.51312171072385</v>
      </c>
      <c r="T1007">
        <v>0.33124999999999999</v>
      </c>
      <c r="U1007">
        <v>40.5</v>
      </c>
      <c r="V1007">
        <v>0.67361111111111116</v>
      </c>
      <c r="W1007">
        <v>84</v>
      </c>
      <c r="X1007">
        <v>12.2</v>
      </c>
      <c r="Y1007">
        <v>40</v>
      </c>
      <c r="Z1007">
        <v>0.34513888888888888</v>
      </c>
      <c r="AA1007">
        <v>76</v>
      </c>
      <c r="AB1007">
        <v>17.5</v>
      </c>
      <c r="AD1007">
        <v>43.5</v>
      </c>
      <c r="AE1007">
        <v>36</v>
      </c>
      <c r="AF1007">
        <v>40.771229168713369</v>
      </c>
      <c r="AG1007">
        <v>32.349347131116531</v>
      </c>
      <c r="AH1007">
        <v>73.120576299829906</v>
      </c>
      <c r="AI1007">
        <v>4.9740899585830309</v>
      </c>
      <c r="AJ1007">
        <v>5.6611357479453925</v>
      </c>
      <c r="AK1007">
        <v>10.635225706528423</v>
      </c>
      <c r="AL1007">
        <v>154.29109883237763</v>
      </c>
      <c r="AM1007">
        <v>54.126613077259165</v>
      </c>
      <c r="AN1007">
        <v>3.5080839715881802</v>
      </c>
      <c r="AO1007">
        <v>12.2</v>
      </c>
      <c r="AP1007">
        <v>14.544778289108155</v>
      </c>
      <c r="AQ1007">
        <v>22.44129824499807</v>
      </c>
      <c r="AR1007">
        <v>41.460747253787773</v>
      </c>
      <c r="AS1007">
        <v>6.4092754536716949</v>
      </c>
      <c r="AT1007">
        <v>12.455308783729031</v>
      </c>
      <c r="AU1007">
        <v>23.011432039818544</v>
      </c>
    </row>
    <row r="1008" spans="1:48" x14ac:dyDescent="0.35">
      <c r="A1008">
        <v>1006</v>
      </c>
      <c r="B1008">
        <v>46064</v>
      </c>
      <c r="C1008" t="s">
        <v>16</v>
      </c>
      <c r="D1008" t="s">
        <v>415</v>
      </c>
      <c r="E1008" t="s">
        <v>235</v>
      </c>
      <c r="F1008" t="s">
        <v>274</v>
      </c>
      <c r="G1008" t="s">
        <v>275</v>
      </c>
      <c r="H1008" t="s">
        <v>22</v>
      </c>
      <c r="I1008" t="s">
        <v>23</v>
      </c>
      <c r="J1008" t="s">
        <v>215</v>
      </c>
      <c r="K1008" t="s">
        <v>414</v>
      </c>
      <c r="L1008">
        <v>30</v>
      </c>
      <c r="M1008">
        <v>64</v>
      </c>
      <c r="N1008">
        <v>1</v>
      </c>
      <c r="O1008">
        <v>3</v>
      </c>
      <c r="P1008">
        <v>140</v>
      </c>
      <c r="Q1008">
        <v>0.50049999999999994</v>
      </c>
      <c r="R1008">
        <v>474.10257328846149</v>
      </c>
      <c r="S1008">
        <v>243.40257328846147</v>
      </c>
      <c r="T1008">
        <v>0.33194444444444443</v>
      </c>
      <c r="U1008">
        <v>41</v>
      </c>
      <c r="V1008">
        <v>0.6743055555555556</v>
      </c>
      <c r="W1008">
        <v>84.5</v>
      </c>
      <c r="X1008">
        <v>12.5</v>
      </c>
      <c r="Y1008">
        <v>40</v>
      </c>
      <c r="Z1008">
        <v>0.34583333333333333</v>
      </c>
      <c r="AA1008">
        <v>75.5</v>
      </c>
      <c r="AB1008">
        <v>17.7</v>
      </c>
      <c r="AD1008">
        <v>43.5</v>
      </c>
      <c r="AE1008">
        <v>35.5</v>
      </c>
      <c r="AF1008">
        <v>40.771229168713369</v>
      </c>
      <c r="AG1008">
        <v>31.849347131116534</v>
      </c>
      <c r="AH1008">
        <v>72.620576299829906</v>
      </c>
      <c r="AI1008">
        <v>5.0964036460891711</v>
      </c>
      <c r="AJ1008">
        <v>5.6373344422076261</v>
      </c>
      <c r="AK1008">
        <v>10.733738088296796</v>
      </c>
      <c r="AL1008">
        <v>153.17481994691656</v>
      </c>
      <c r="AM1008">
        <v>51.339643993108297</v>
      </c>
      <c r="AN1008">
        <v>3.3517025847264112</v>
      </c>
      <c r="AO1008">
        <v>12.5</v>
      </c>
      <c r="AP1008">
        <v>14.780574095116258</v>
      </c>
      <c r="AQ1008">
        <v>22.640117757314925</v>
      </c>
      <c r="AR1008">
        <v>44.098704230115182</v>
      </c>
      <c r="AS1008">
        <v>-2.487431063707414</v>
      </c>
      <c r="AT1008">
        <v>12.565657052848836</v>
      </c>
      <c r="AU1008">
        <v>24.475543801074306</v>
      </c>
    </row>
    <row r="1009" spans="1:47" x14ac:dyDescent="0.35">
      <c r="A1009">
        <v>1007</v>
      </c>
      <c r="B1009">
        <v>46064</v>
      </c>
      <c r="C1009" t="s">
        <v>16</v>
      </c>
      <c r="D1009" t="s">
        <v>417</v>
      </c>
      <c r="E1009" t="s">
        <v>290</v>
      </c>
      <c r="F1009" t="s">
        <v>291</v>
      </c>
      <c r="G1009" t="s">
        <v>292</v>
      </c>
      <c r="H1009" t="s">
        <v>22</v>
      </c>
      <c r="I1009" t="s">
        <v>23</v>
      </c>
      <c r="J1009" t="s">
        <v>215</v>
      </c>
      <c r="K1009" t="s">
        <v>416</v>
      </c>
      <c r="L1009">
        <v>30</v>
      </c>
      <c r="M1009">
        <v>64</v>
      </c>
      <c r="N1009">
        <v>1</v>
      </c>
      <c r="O1009">
        <v>1</v>
      </c>
      <c r="P1009">
        <v>141</v>
      </c>
      <c r="Q1009">
        <v>0.5</v>
      </c>
      <c r="R1009">
        <v>467.59120439780082</v>
      </c>
      <c r="S1009">
        <v>251.59120439780074</v>
      </c>
      <c r="T1009">
        <v>0.33194444444444443</v>
      </c>
      <c r="U1009">
        <v>40</v>
      </c>
      <c r="V1009">
        <v>0.67500000000000004</v>
      </c>
      <c r="W1009">
        <v>83</v>
      </c>
      <c r="X1009">
        <v>14.9</v>
      </c>
      <c r="Y1009">
        <v>40</v>
      </c>
      <c r="Z1009">
        <v>0.34583333333333333</v>
      </c>
      <c r="AA1009">
        <v>82</v>
      </c>
      <c r="AB1009">
        <v>17.3</v>
      </c>
      <c r="AD1009">
        <v>43</v>
      </c>
      <c r="AE1009">
        <v>42</v>
      </c>
      <c r="AF1009">
        <v>40.271229168713369</v>
      </c>
      <c r="AG1009">
        <v>38.349347131116531</v>
      </c>
      <c r="AH1009">
        <v>78.620576299829906</v>
      </c>
      <c r="AI1009">
        <v>6.0004131461382917</v>
      </c>
      <c r="AJ1009">
        <v>6.6344370536831603</v>
      </c>
      <c r="AK1009">
        <v>12.634850199821452</v>
      </c>
      <c r="AL1009">
        <v>168.13955343981161</v>
      </c>
      <c r="AM1009">
        <v>53.805803452145518</v>
      </c>
      <c r="AN1009">
        <v>3.2000681785684781</v>
      </c>
      <c r="AO1009">
        <v>14.9</v>
      </c>
      <c r="AP1009">
        <v>16.070665968711282</v>
      </c>
      <c r="AQ1009">
        <v>27.021145994594924</v>
      </c>
      <c r="AR1009">
        <v>50.219761179901958</v>
      </c>
      <c r="AS1009">
        <v>-1.2241571898735641</v>
      </c>
      <c r="AT1009">
        <v>14.997203520875523</v>
      </c>
      <c r="AU1009">
        <v>27.872836308845244</v>
      </c>
    </row>
    <row r="1010" spans="1:47" x14ac:dyDescent="0.35">
      <c r="A1010">
        <v>1008</v>
      </c>
      <c r="B1010">
        <v>46064</v>
      </c>
      <c r="C1010" t="s">
        <v>16</v>
      </c>
      <c r="D1010" t="s">
        <v>417</v>
      </c>
      <c r="E1010" t="s">
        <v>290</v>
      </c>
      <c r="F1010" t="s">
        <v>291</v>
      </c>
      <c r="G1010" t="s">
        <v>292</v>
      </c>
      <c r="H1010" t="s">
        <v>22</v>
      </c>
      <c r="I1010" t="s">
        <v>23</v>
      </c>
      <c r="J1010" t="s">
        <v>215</v>
      </c>
      <c r="K1010" t="s">
        <v>416</v>
      </c>
      <c r="L1010">
        <v>30</v>
      </c>
      <c r="M1010">
        <v>64</v>
      </c>
      <c r="N1010">
        <v>1</v>
      </c>
      <c r="O1010">
        <v>2</v>
      </c>
      <c r="P1010">
        <v>142</v>
      </c>
      <c r="Q1010">
        <v>0.50009999999999999</v>
      </c>
      <c r="R1010">
        <v>467.68472263868046</v>
      </c>
      <c r="S1010">
        <v>190.78472263868042</v>
      </c>
      <c r="T1010">
        <v>0.33194444444444443</v>
      </c>
      <c r="U1010">
        <v>40.5</v>
      </c>
      <c r="V1010">
        <v>0.67500000000000004</v>
      </c>
      <c r="W1010">
        <v>81.5</v>
      </c>
      <c r="X1010">
        <v>14.7</v>
      </c>
      <c r="Y1010">
        <v>40</v>
      </c>
      <c r="Z1010">
        <v>0.34652777777777777</v>
      </c>
      <c r="AA1010">
        <v>79</v>
      </c>
      <c r="AB1010">
        <v>17.5</v>
      </c>
      <c r="AD1010">
        <v>41</v>
      </c>
      <c r="AE1010">
        <v>39</v>
      </c>
      <c r="AF1010">
        <v>38.271229168713369</v>
      </c>
      <c r="AG1010">
        <v>35.349347131116531</v>
      </c>
      <c r="AH1010">
        <v>73.620576299829906</v>
      </c>
      <c r="AI1010">
        <v>5.6258706878008651</v>
      </c>
      <c r="AJ1010">
        <v>6.1861357479453929</v>
      </c>
      <c r="AK1010">
        <v>11.812006435746259</v>
      </c>
      <c r="AL1010">
        <v>157.41496939318887</v>
      </c>
      <c r="AM1010">
        <v>40.793447680367166</v>
      </c>
      <c r="AN1010">
        <v>2.5914592390812512</v>
      </c>
      <c r="AO1010">
        <v>14.700000000000001</v>
      </c>
      <c r="AP1010">
        <v>16.044436256027446</v>
      </c>
      <c r="AQ1010">
        <v>25.256344421735303</v>
      </c>
      <c r="AR1010">
        <v>61.912747899193938</v>
      </c>
      <c r="AS1010">
        <v>-0.2853317213176243</v>
      </c>
      <c r="AT1010">
        <v>14.017708115039246</v>
      </c>
      <c r="AU1010">
        <v>34.362646238860577</v>
      </c>
    </row>
    <row r="1011" spans="1:47" x14ac:dyDescent="0.35">
      <c r="A1011">
        <v>1009</v>
      </c>
      <c r="B1011">
        <v>46064</v>
      </c>
      <c r="C1011" t="s">
        <v>16</v>
      </c>
      <c r="D1011" t="s">
        <v>417</v>
      </c>
      <c r="E1011" t="s">
        <v>290</v>
      </c>
      <c r="F1011" t="s">
        <v>291</v>
      </c>
      <c r="G1011" t="s">
        <v>292</v>
      </c>
      <c r="H1011" t="s">
        <v>22</v>
      </c>
      <c r="I1011" t="s">
        <v>23</v>
      </c>
      <c r="J1011" t="s">
        <v>215</v>
      </c>
      <c r="K1011" t="s">
        <v>416</v>
      </c>
      <c r="L1011">
        <v>30</v>
      </c>
      <c r="M1011">
        <v>64</v>
      </c>
      <c r="N1011">
        <v>1</v>
      </c>
      <c r="O1011">
        <v>3</v>
      </c>
      <c r="P1011">
        <v>143</v>
      </c>
      <c r="Q1011">
        <v>0.50029999999999997</v>
      </c>
      <c r="R1011">
        <v>467.87175912043949</v>
      </c>
      <c r="S1011">
        <v>225.07175912043948</v>
      </c>
      <c r="T1011">
        <v>0.33263888888888887</v>
      </c>
      <c r="U1011">
        <v>41</v>
      </c>
      <c r="V1011">
        <v>0.67569444444444449</v>
      </c>
      <c r="W1011">
        <v>81.5</v>
      </c>
      <c r="X1011">
        <v>14.1</v>
      </c>
      <c r="Y1011">
        <v>40.5</v>
      </c>
      <c r="Z1011">
        <v>0.34652777777777777</v>
      </c>
      <c r="AA1011">
        <v>81.5</v>
      </c>
      <c r="AB1011">
        <v>17.2</v>
      </c>
      <c r="AD1011">
        <v>40.5</v>
      </c>
      <c r="AE1011">
        <v>41</v>
      </c>
      <c r="AF1011">
        <v>37.771229168713369</v>
      </c>
      <c r="AG1011">
        <v>37.349347131116531</v>
      </c>
      <c r="AH1011">
        <v>75.120576299829906</v>
      </c>
      <c r="AI1011">
        <v>5.3257433127885845</v>
      </c>
      <c r="AJ1011">
        <v>6.4240877065520428</v>
      </c>
      <c r="AK1011">
        <v>11.749831019340627</v>
      </c>
      <c r="AL1011">
        <v>160.55804787416625</v>
      </c>
      <c r="AM1011">
        <v>48.105438025059669</v>
      </c>
      <c r="AN1011">
        <v>2.9961399420327544</v>
      </c>
      <c r="AO1011">
        <v>14.1</v>
      </c>
      <c r="AP1011">
        <v>15.641295099285909</v>
      </c>
      <c r="AQ1011">
        <v>25.113358073651092</v>
      </c>
      <c r="AR1011">
        <v>52.20482154339544</v>
      </c>
      <c r="AS1011">
        <v>-0.49090762689389045</v>
      </c>
      <c r="AT1011">
        <v>13.938348218040257</v>
      </c>
      <c r="AU1011">
        <v>28.974579154189023</v>
      </c>
    </row>
    <row r="1012" spans="1:47" x14ac:dyDescent="0.35">
      <c r="A1012">
        <v>1010</v>
      </c>
      <c r="B1012">
        <v>46064</v>
      </c>
      <c r="C1012" t="s">
        <v>16</v>
      </c>
      <c r="D1012" t="s">
        <v>419</v>
      </c>
      <c r="E1012" t="s">
        <v>264</v>
      </c>
      <c r="F1012" t="s">
        <v>329</v>
      </c>
      <c r="G1012" t="s">
        <v>330</v>
      </c>
      <c r="H1012" t="s">
        <v>22</v>
      </c>
      <c r="I1012" t="s">
        <v>23</v>
      </c>
      <c r="J1012" t="s">
        <v>215</v>
      </c>
      <c r="K1012" t="s">
        <v>418</v>
      </c>
      <c r="L1012">
        <v>30</v>
      </c>
      <c r="M1012">
        <v>64</v>
      </c>
      <c r="N1012">
        <v>1</v>
      </c>
      <c r="O1012">
        <v>1</v>
      </c>
      <c r="P1012">
        <v>144</v>
      </c>
      <c r="Q1012">
        <v>0.50039999999999996</v>
      </c>
      <c r="R1012">
        <v>472.03582396675404</v>
      </c>
      <c r="S1012">
        <v>205.83582396675405</v>
      </c>
      <c r="T1012">
        <v>0.33263888888888887</v>
      </c>
      <c r="U1012">
        <v>40</v>
      </c>
      <c r="V1012">
        <v>0.67638888888888893</v>
      </c>
      <c r="W1012">
        <v>83</v>
      </c>
      <c r="X1012">
        <v>15</v>
      </c>
      <c r="Y1012">
        <v>40</v>
      </c>
      <c r="Z1012">
        <v>0.34722222222222221</v>
      </c>
      <c r="AA1012">
        <v>73.5</v>
      </c>
      <c r="AB1012">
        <v>18.399999999999999</v>
      </c>
      <c r="AD1012">
        <v>43</v>
      </c>
      <c r="AE1012">
        <v>33.5</v>
      </c>
      <c r="AF1012">
        <v>40.271229168713369</v>
      </c>
      <c r="AG1012">
        <v>29.849347131116534</v>
      </c>
      <c r="AH1012">
        <v>70.120576299829906</v>
      </c>
      <c r="AI1012">
        <v>6.0406843753070047</v>
      </c>
      <c r="AJ1012">
        <v>5.492279872125442</v>
      </c>
      <c r="AK1012">
        <v>11.532964247432446</v>
      </c>
      <c r="AL1012">
        <v>148.54926838088579</v>
      </c>
      <c r="AM1012">
        <v>43.605975122187182</v>
      </c>
      <c r="AN1012">
        <v>2.9354553945280872</v>
      </c>
      <c r="AO1012">
        <v>14.999999999999998</v>
      </c>
      <c r="AP1012">
        <v>16.447332375191021</v>
      </c>
      <c r="AQ1012">
        <v>24.432391911518827</v>
      </c>
      <c r="AR1012">
        <v>56.029917558448005</v>
      </c>
      <c r="AS1012">
        <v>4.0153065485649719</v>
      </c>
      <c r="AT1012">
        <v>13.560400216635362</v>
      </c>
      <c r="AU1012">
        <v>31.097573620674947</v>
      </c>
    </row>
    <row r="1013" spans="1:47" x14ac:dyDescent="0.35">
      <c r="A1013">
        <v>1011</v>
      </c>
      <c r="B1013">
        <v>46064</v>
      </c>
      <c r="C1013" t="s">
        <v>16</v>
      </c>
      <c r="D1013" t="s">
        <v>419</v>
      </c>
      <c r="E1013" t="s">
        <v>264</v>
      </c>
      <c r="F1013" t="s">
        <v>329</v>
      </c>
      <c r="G1013" t="s">
        <v>330</v>
      </c>
      <c r="H1013" t="s">
        <v>22</v>
      </c>
      <c r="I1013" t="s">
        <v>23</v>
      </c>
      <c r="J1013" t="s">
        <v>215</v>
      </c>
      <c r="K1013" t="s">
        <v>418</v>
      </c>
      <c r="L1013">
        <v>30</v>
      </c>
      <c r="M1013">
        <v>64</v>
      </c>
      <c r="N1013">
        <v>1</v>
      </c>
      <c r="O1013">
        <v>2</v>
      </c>
      <c r="P1013">
        <v>145</v>
      </c>
      <c r="Q1013">
        <v>0.50019999999999998</v>
      </c>
      <c r="R1013">
        <v>471.84716056788642</v>
      </c>
      <c r="S1013">
        <v>184.94716056788639</v>
      </c>
      <c r="T1013">
        <v>0.33263888888888887</v>
      </c>
      <c r="U1013">
        <v>40.5</v>
      </c>
      <c r="V1013">
        <v>0.67708333333333337</v>
      </c>
      <c r="W1013">
        <v>81.5</v>
      </c>
      <c r="X1013">
        <v>15.3</v>
      </c>
      <c r="Y1013">
        <v>40.5</v>
      </c>
      <c r="Z1013">
        <v>0.34791666666666665</v>
      </c>
      <c r="AA1013">
        <v>68.5</v>
      </c>
      <c r="AB1013">
        <v>18.5</v>
      </c>
      <c r="AD1013">
        <v>41</v>
      </c>
      <c r="AE1013">
        <v>28</v>
      </c>
      <c r="AF1013">
        <v>38.271229168713369</v>
      </c>
      <c r="AG1013">
        <v>24.349347131116534</v>
      </c>
      <c r="AH1013">
        <v>62.620576299829906</v>
      </c>
      <c r="AI1013">
        <v>5.8554980628131457</v>
      </c>
      <c r="AJ1013">
        <v>4.5046292192565591</v>
      </c>
      <c r="AK1013">
        <v>10.360127282069705</v>
      </c>
      <c r="AL1013">
        <v>132.71368683126886</v>
      </c>
      <c r="AM1013">
        <v>39.19641274206149</v>
      </c>
      <c r="AN1013">
        <v>2.9534566989986124</v>
      </c>
      <c r="AO1013">
        <v>15.3</v>
      </c>
      <c r="AP1013">
        <v>16.5442860705481</v>
      </c>
      <c r="AQ1013">
        <v>21.956532004136442</v>
      </c>
      <c r="AR1013">
        <v>56.016687416333355</v>
      </c>
      <c r="AS1013">
        <v>-2.1938432634861673</v>
      </c>
      <c r="AT1013">
        <v>12.186255133091644</v>
      </c>
      <c r="AU1013">
        <v>31.090230662906119</v>
      </c>
    </row>
    <row r="1014" spans="1:47" x14ac:dyDescent="0.35">
      <c r="A1014">
        <v>1012</v>
      </c>
      <c r="B1014">
        <v>46064</v>
      </c>
      <c r="C1014" t="s">
        <v>16</v>
      </c>
      <c r="D1014" t="s">
        <v>419</v>
      </c>
      <c r="E1014" t="s">
        <v>264</v>
      </c>
      <c r="F1014" t="s">
        <v>329</v>
      </c>
      <c r="G1014" t="s">
        <v>330</v>
      </c>
      <c r="H1014" t="s">
        <v>22</v>
      </c>
      <c r="I1014" t="s">
        <v>23</v>
      </c>
      <c r="J1014" t="s">
        <v>215</v>
      </c>
      <c r="K1014" t="s">
        <v>418</v>
      </c>
      <c r="L1014">
        <v>30</v>
      </c>
      <c r="M1014">
        <v>64</v>
      </c>
      <c r="N1014">
        <v>1</v>
      </c>
      <c r="O1014">
        <v>3</v>
      </c>
      <c r="P1014">
        <v>146</v>
      </c>
      <c r="Q1014">
        <v>0.50039999999999996</v>
      </c>
      <c r="R1014">
        <v>472.03582396675404</v>
      </c>
      <c r="S1014">
        <v>202.135823966754</v>
      </c>
      <c r="T1014">
        <v>0.33333333333333331</v>
      </c>
      <c r="U1014">
        <v>41</v>
      </c>
      <c r="V1014">
        <v>0.67708333333333337</v>
      </c>
      <c r="W1014">
        <v>81.5</v>
      </c>
      <c r="X1014">
        <v>15.4</v>
      </c>
      <c r="Y1014">
        <v>40.5</v>
      </c>
      <c r="Z1014">
        <v>0.34791666666666665</v>
      </c>
      <c r="AA1014">
        <v>71.5</v>
      </c>
      <c r="AB1014">
        <v>18.399999999999999</v>
      </c>
      <c r="AD1014">
        <v>40.5</v>
      </c>
      <c r="AE1014">
        <v>31</v>
      </c>
      <c r="AF1014">
        <v>37.771229168713369</v>
      </c>
      <c r="AG1014">
        <v>27.349347131116534</v>
      </c>
      <c r="AH1014">
        <v>65.120576299829906</v>
      </c>
      <c r="AI1014">
        <v>5.816769291981859</v>
      </c>
      <c r="AJ1014">
        <v>5.032279872125442</v>
      </c>
      <c r="AK1014">
        <v>10.849049164107301</v>
      </c>
      <c r="AL1014">
        <v>137.95685198760765</v>
      </c>
      <c r="AM1014">
        <v>42.822136309084591</v>
      </c>
      <c r="AN1014">
        <v>3.1040238808095739</v>
      </c>
      <c r="AO1014">
        <v>15.400000000000002</v>
      </c>
      <c r="AP1014">
        <v>16.65994034536153</v>
      </c>
      <c r="AQ1014">
        <v>22.983529243474134</v>
      </c>
      <c r="AR1014">
        <v>53.672075296715747</v>
      </c>
      <c r="AS1014">
        <v>7.1270295670813919</v>
      </c>
      <c r="AT1014">
        <v>12.756256369042392</v>
      </c>
      <c r="AU1014">
        <v>29.788930372294832</v>
      </c>
    </row>
    <row r="1015" spans="1:47" x14ac:dyDescent="0.35">
      <c r="A1015">
        <v>1013</v>
      </c>
      <c r="B1015">
        <v>46064</v>
      </c>
      <c r="C1015" t="s">
        <v>16</v>
      </c>
      <c r="D1015" t="s">
        <v>421</v>
      </c>
      <c r="E1015" t="s">
        <v>264</v>
      </c>
      <c r="F1015" t="s">
        <v>265</v>
      </c>
      <c r="G1015" t="s">
        <v>266</v>
      </c>
      <c r="H1015" t="s">
        <v>22</v>
      </c>
      <c r="I1015" t="s">
        <v>23</v>
      </c>
      <c r="J1015" t="s">
        <v>215</v>
      </c>
      <c r="K1015" t="s">
        <v>420</v>
      </c>
      <c r="L1015">
        <v>30</v>
      </c>
      <c r="M1015">
        <v>64</v>
      </c>
      <c r="N1015">
        <v>1</v>
      </c>
      <c r="O1015">
        <v>1</v>
      </c>
      <c r="P1015">
        <v>147</v>
      </c>
      <c r="Q1015">
        <v>0.50039999999999996</v>
      </c>
      <c r="R1015">
        <v>480.61709316273499</v>
      </c>
      <c r="S1015">
        <v>209.61709316273499</v>
      </c>
      <c r="T1015">
        <v>0.33333333333333331</v>
      </c>
      <c r="U1015">
        <v>40.5</v>
      </c>
      <c r="V1015">
        <v>0.67777777777777781</v>
      </c>
      <c r="W1015">
        <v>82.5</v>
      </c>
      <c r="X1015">
        <v>12.9</v>
      </c>
      <c r="Y1015">
        <v>40.5</v>
      </c>
      <c r="Z1015">
        <v>0.34861111111111109</v>
      </c>
      <c r="AA1015">
        <v>72.5</v>
      </c>
      <c r="AB1015">
        <v>18.399999999999999</v>
      </c>
      <c r="AD1015">
        <v>42</v>
      </c>
      <c r="AE1015">
        <v>32</v>
      </c>
      <c r="AF1015">
        <v>39.271229168713369</v>
      </c>
      <c r="AG1015">
        <v>28.349347131116534</v>
      </c>
      <c r="AH1015">
        <v>67.620576299829906</v>
      </c>
      <c r="AI1015">
        <v>5.0659885627640246</v>
      </c>
      <c r="AJ1015">
        <v>5.2162798721254422</v>
      </c>
      <c r="AK1015">
        <v>10.282268434889467</v>
      </c>
      <c r="AL1015">
        <v>140.69532120642629</v>
      </c>
      <c r="AM1015">
        <v>43.614156913008394</v>
      </c>
      <c r="AN1015">
        <v>3.0999010158282587</v>
      </c>
      <c r="AO1015">
        <v>12.9</v>
      </c>
      <c r="AP1015">
        <v>15.205827867094548</v>
      </c>
      <c r="AQ1015">
        <v>21.393888359704953</v>
      </c>
      <c r="AR1015">
        <v>49.052623904611103</v>
      </c>
      <c r="AS1015">
        <v>1.2394003862651342</v>
      </c>
      <c r="AT1015">
        <v>11.873978176113059</v>
      </c>
      <c r="AU1015">
        <v>27.225054928372391</v>
      </c>
    </row>
    <row r="1016" spans="1:47" x14ac:dyDescent="0.35">
      <c r="A1016">
        <v>1014</v>
      </c>
      <c r="B1016">
        <v>46064</v>
      </c>
      <c r="C1016" t="s">
        <v>16</v>
      </c>
      <c r="D1016" t="s">
        <v>421</v>
      </c>
      <c r="E1016" t="s">
        <v>264</v>
      </c>
      <c r="F1016" t="s">
        <v>265</v>
      </c>
      <c r="G1016" t="s">
        <v>266</v>
      </c>
      <c r="H1016" t="s">
        <v>22</v>
      </c>
      <c r="I1016" t="s">
        <v>23</v>
      </c>
      <c r="J1016" t="s">
        <v>215</v>
      </c>
      <c r="K1016" t="s">
        <v>420</v>
      </c>
      <c r="L1016">
        <v>30</v>
      </c>
      <c r="M1016">
        <v>64</v>
      </c>
      <c r="N1016">
        <v>1</v>
      </c>
      <c r="O1016">
        <v>2</v>
      </c>
      <c r="P1016">
        <v>148</v>
      </c>
      <c r="Q1016">
        <v>0.50009999999999999</v>
      </c>
      <c r="R1016">
        <v>480.32895341863269</v>
      </c>
      <c r="S1016">
        <v>203.62895341863265</v>
      </c>
      <c r="T1016">
        <v>0.33333333333333331</v>
      </c>
      <c r="U1016">
        <v>40.5</v>
      </c>
      <c r="V1016">
        <v>0.67847222222222225</v>
      </c>
      <c r="W1016">
        <v>82</v>
      </c>
      <c r="X1016">
        <v>15</v>
      </c>
      <c r="Y1016">
        <v>40.5</v>
      </c>
      <c r="Z1016">
        <v>0.34861111111111109</v>
      </c>
      <c r="AA1016">
        <v>73.5</v>
      </c>
      <c r="AB1016">
        <v>18.5</v>
      </c>
      <c r="AD1016">
        <v>41.5</v>
      </c>
      <c r="AE1016">
        <v>33</v>
      </c>
      <c r="AF1016">
        <v>38.771229168713369</v>
      </c>
      <c r="AG1016">
        <v>29.349347131116534</v>
      </c>
      <c r="AH1016">
        <v>68.120576299829906</v>
      </c>
      <c r="AI1016">
        <v>5.8156843753070051</v>
      </c>
      <c r="AJ1016">
        <v>5.4296292192565589</v>
      </c>
      <c r="AK1016">
        <v>11.245313594563564</v>
      </c>
      <c r="AL1016">
        <v>141.82067480004505</v>
      </c>
      <c r="AM1016">
        <v>42.39364543181285</v>
      </c>
      <c r="AN1016">
        <v>2.9892429641576754</v>
      </c>
      <c r="AO1016">
        <v>15</v>
      </c>
      <c r="AP1016">
        <v>16.507954285453753</v>
      </c>
      <c r="AQ1016">
        <v>23.411692163313472</v>
      </c>
      <c r="AR1016">
        <v>55.224531707162349</v>
      </c>
      <c r="AS1016">
        <v>1.7818114552432283</v>
      </c>
      <c r="AT1016">
        <v>12.993894197216195</v>
      </c>
      <c r="AU1016">
        <v>30.650570539200142</v>
      </c>
    </row>
    <row r="1017" spans="1:47" x14ac:dyDescent="0.35">
      <c r="A1017">
        <v>1015</v>
      </c>
      <c r="B1017">
        <v>46064</v>
      </c>
      <c r="C1017" t="s">
        <v>16</v>
      </c>
      <c r="D1017" t="s">
        <v>421</v>
      </c>
      <c r="E1017" t="s">
        <v>264</v>
      </c>
      <c r="F1017" t="s">
        <v>265</v>
      </c>
      <c r="G1017" t="s">
        <v>266</v>
      </c>
      <c r="H1017" t="s">
        <v>22</v>
      </c>
      <c r="I1017" t="s">
        <v>23</v>
      </c>
      <c r="J1017" t="s">
        <v>215</v>
      </c>
      <c r="K1017" t="s">
        <v>420</v>
      </c>
      <c r="L1017">
        <v>30</v>
      </c>
      <c r="M1017">
        <v>64</v>
      </c>
      <c r="N1017">
        <v>1</v>
      </c>
      <c r="O1017">
        <v>3</v>
      </c>
      <c r="P1017">
        <v>149</v>
      </c>
      <c r="Q1017">
        <v>0.50029999999999997</v>
      </c>
      <c r="R1017">
        <v>480.52104658136756</v>
      </c>
      <c r="S1017">
        <v>189.32104658136757</v>
      </c>
      <c r="T1017">
        <v>0.33402777777777776</v>
      </c>
      <c r="U1017">
        <v>40</v>
      </c>
      <c r="V1017">
        <v>0.67847222222222225</v>
      </c>
      <c r="W1017">
        <v>82</v>
      </c>
      <c r="X1017">
        <v>15.4</v>
      </c>
      <c r="Y1017">
        <v>40.5</v>
      </c>
      <c r="Z1017">
        <v>0.34861111111111109</v>
      </c>
      <c r="AA1017">
        <v>74.5</v>
      </c>
      <c r="AB1017">
        <v>18.3</v>
      </c>
      <c r="AD1017">
        <v>42</v>
      </c>
      <c r="AE1017">
        <v>34</v>
      </c>
      <c r="AF1017">
        <v>39.271229168713369</v>
      </c>
      <c r="AG1017">
        <v>30.349347131116534</v>
      </c>
      <c r="AH1017">
        <v>69.620576299829906</v>
      </c>
      <c r="AI1017">
        <v>6.0477692919818589</v>
      </c>
      <c r="AJ1017">
        <v>5.5539305249943256</v>
      </c>
      <c r="AK1017">
        <v>11.601699816976184</v>
      </c>
      <c r="AL1017">
        <v>144.88559199464933</v>
      </c>
      <c r="AM1017">
        <v>39.399116423365541</v>
      </c>
      <c r="AN1017">
        <v>2.7193260476045515</v>
      </c>
      <c r="AO1017">
        <v>15.4</v>
      </c>
      <c r="AP1017">
        <v>16.664182392015807</v>
      </c>
      <c r="AQ1017">
        <v>24.143999309740217</v>
      </c>
      <c r="AR1017">
        <v>61.2805603310984</v>
      </c>
      <c r="AS1017">
        <v>8.0512639421830254</v>
      </c>
      <c r="AT1017">
        <v>13.400337333156855</v>
      </c>
      <c r="AU1017">
        <v>34.011771201066374</v>
      </c>
    </row>
    <row r="1018" spans="1:47" x14ac:dyDescent="0.35">
      <c r="A1018">
        <v>1016</v>
      </c>
      <c r="B1018">
        <v>46064</v>
      </c>
      <c r="C1018" t="s">
        <v>16</v>
      </c>
      <c r="D1018" t="s">
        <v>423</v>
      </c>
      <c r="E1018" t="s">
        <v>212</v>
      </c>
      <c r="F1018" t="s">
        <v>424</v>
      </c>
      <c r="G1018" t="s">
        <v>425</v>
      </c>
      <c r="H1018" t="s">
        <v>22</v>
      </c>
      <c r="I1018" t="s">
        <v>23</v>
      </c>
      <c r="J1018" t="s">
        <v>215</v>
      </c>
      <c r="K1018" t="s">
        <v>422</v>
      </c>
      <c r="L1018">
        <v>30</v>
      </c>
      <c r="M1018">
        <v>64</v>
      </c>
      <c r="N1018">
        <v>1</v>
      </c>
      <c r="O1018">
        <v>1</v>
      </c>
      <c r="P1018">
        <v>150</v>
      </c>
      <c r="Q1018">
        <v>0.5</v>
      </c>
      <c r="R1018">
        <v>466.63665767596115</v>
      </c>
      <c r="S1018">
        <v>175.03665767596118</v>
      </c>
      <c r="T1018">
        <v>0.33402777777777776</v>
      </c>
      <c r="U1018">
        <v>40.5</v>
      </c>
      <c r="V1018">
        <v>0.6791666666666667</v>
      </c>
      <c r="W1018">
        <v>78.5</v>
      </c>
      <c r="X1018">
        <v>12.9</v>
      </c>
      <c r="Y1018">
        <v>40.5</v>
      </c>
      <c r="Z1018">
        <v>0.34930555555555554</v>
      </c>
      <c r="AA1018">
        <v>69</v>
      </c>
      <c r="AB1018">
        <v>16.600000000000001</v>
      </c>
      <c r="AD1018">
        <v>38</v>
      </c>
      <c r="AE1018">
        <v>28.5</v>
      </c>
      <c r="AF1018">
        <v>35.271229168713369</v>
      </c>
      <c r="AG1018">
        <v>24.849347131116534</v>
      </c>
      <c r="AH1018">
        <v>60.120576299829906</v>
      </c>
      <c r="AI1018">
        <v>4.5499885627640246</v>
      </c>
      <c r="AJ1018">
        <v>4.1249916237653448</v>
      </c>
      <c r="AK1018">
        <v>8.6749801865293694</v>
      </c>
      <c r="AL1018">
        <v>128.8380912876726</v>
      </c>
      <c r="AM1018">
        <v>37.510267313269892</v>
      </c>
      <c r="AN1018">
        <v>2.9114268100662968</v>
      </c>
      <c r="AO1018">
        <v>12.9</v>
      </c>
      <c r="AP1018">
        <v>14.429303111244316</v>
      </c>
      <c r="AQ1018">
        <v>18.59043871463993</v>
      </c>
      <c r="AR1018">
        <v>49.560933702179327</v>
      </c>
      <c r="AS1018">
        <v>-0.70482371112710818</v>
      </c>
      <c r="AT1018">
        <v>10.318015120512959</v>
      </c>
      <c r="AU1018">
        <v>27.507175660309905</v>
      </c>
    </row>
    <row r="1019" spans="1:47" x14ac:dyDescent="0.35">
      <c r="A1019">
        <v>1017</v>
      </c>
      <c r="B1019">
        <v>46064</v>
      </c>
      <c r="C1019" t="s">
        <v>16</v>
      </c>
      <c r="D1019" t="s">
        <v>423</v>
      </c>
      <c r="E1019" t="s">
        <v>212</v>
      </c>
      <c r="F1019" t="s">
        <v>424</v>
      </c>
      <c r="G1019" t="s">
        <v>425</v>
      </c>
      <c r="H1019" t="s">
        <v>22</v>
      </c>
      <c r="I1019" t="s">
        <v>23</v>
      </c>
      <c r="J1019" t="s">
        <v>215</v>
      </c>
      <c r="K1019" t="s">
        <v>422</v>
      </c>
      <c r="L1019">
        <v>30</v>
      </c>
      <c r="M1019">
        <v>64</v>
      </c>
      <c r="N1019">
        <v>1</v>
      </c>
      <c r="O1019">
        <v>2</v>
      </c>
      <c r="P1019">
        <v>151</v>
      </c>
      <c r="Q1019">
        <v>0.50009999999999999</v>
      </c>
      <c r="R1019">
        <v>466.72998500749634</v>
      </c>
      <c r="S1019">
        <v>187.8299850074963</v>
      </c>
      <c r="T1019">
        <v>0.33402777777777776</v>
      </c>
      <c r="U1019">
        <v>41</v>
      </c>
      <c r="V1019">
        <v>0.67986111111111114</v>
      </c>
      <c r="W1019">
        <v>78.5</v>
      </c>
      <c r="X1019">
        <v>13.1</v>
      </c>
      <c r="Y1019">
        <v>41</v>
      </c>
      <c r="Z1019">
        <v>0.35</v>
      </c>
      <c r="AA1019">
        <v>70</v>
      </c>
      <c r="AB1019">
        <v>16.100000000000001</v>
      </c>
      <c r="AD1019">
        <v>37.5</v>
      </c>
      <c r="AE1019">
        <v>29</v>
      </c>
      <c r="AF1019">
        <v>34.771229168713369</v>
      </c>
      <c r="AG1019">
        <v>25.349347131116534</v>
      </c>
      <c r="AH1019">
        <v>60.120576299829906</v>
      </c>
      <c r="AI1019">
        <v>4.5550310211014517</v>
      </c>
      <c r="AJ1019">
        <v>4.0812448881097625</v>
      </c>
      <c r="AK1019">
        <v>8.6362759092112142</v>
      </c>
      <c r="AL1019">
        <v>128.81232882190821</v>
      </c>
      <c r="AM1019">
        <v>40.243822132936131</v>
      </c>
      <c r="AN1019">
        <v>3.1242212993894358</v>
      </c>
      <c r="AO1019">
        <v>13.100000000000001</v>
      </c>
      <c r="AP1019">
        <v>14.364925356238889</v>
      </c>
      <c r="AQ1019">
        <v>18.503794884900106</v>
      </c>
      <c r="AR1019">
        <v>45.979218434514273</v>
      </c>
      <c r="AS1019">
        <v>-1.1678209901484129</v>
      </c>
      <c r="AT1019">
        <v>10.269926295979159</v>
      </c>
      <c r="AU1019">
        <v>25.519261719363634</v>
      </c>
    </row>
    <row r="1020" spans="1:47" x14ac:dyDescent="0.35">
      <c r="A1020">
        <v>1018</v>
      </c>
      <c r="B1020">
        <v>46064</v>
      </c>
      <c r="C1020" t="s">
        <v>16</v>
      </c>
      <c r="D1020" t="s">
        <v>423</v>
      </c>
      <c r="E1020" t="s">
        <v>212</v>
      </c>
      <c r="F1020" t="s">
        <v>424</v>
      </c>
      <c r="G1020" t="s">
        <v>425</v>
      </c>
      <c r="H1020" t="s">
        <v>22</v>
      </c>
      <c r="I1020" t="s">
        <v>23</v>
      </c>
      <c r="J1020" t="s">
        <v>215</v>
      </c>
      <c r="K1020" t="s">
        <v>422</v>
      </c>
      <c r="L1020">
        <v>30</v>
      </c>
      <c r="M1020">
        <v>64</v>
      </c>
      <c r="N1020">
        <v>1</v>
      </c>
      <c r="O1020">
        <v>3</v>
      </c>
      <c r="P1020">
        <v>152</v>
      </c>
      <c r="Q1020">
        <v>0.50009999999999999</v>
      </c>
      <c r="R1020">
        <v>466.72998500749634</v>
      </c>
      <c r="S1020">
        <v>114.92998500749633</v>
      </c>
      <c r="T1020">
        <v>0.33541666666666664</v>
      </c>
      <c r="U1020">
        <v>40.5</v>
      </c>
      <c r="V1020">
        <v>0.68055555555555558</v>
      </c>
      <c r="W1020">
        <v>76.5</v>
      </c>
      <c r="X1020">
        <v>13.6</v>
      </c>
      <c r="Y1020">
        <v>40.5</v>
      </c>
      <c r="Z1020">
        <v>0.35</v>
      </c>
      <c r="AA1020">
        <v>78</v>
      </c>
      <c r="AB1020">
        <v>16.2</v>
      </c>
      <c r="AC1020" t="s">
        <v>591</v>
      </c>
      <c r="AD1020">
        <v>36</v>
      </c>
      <c r="AE1020">
        <v>37.5</v>
      </c>
      <c r="AF1020">
        <v>33.271229168713369</v>
      </c>
      <c r="AG1020">
        <v>33.849347131116531</v>
      </c>
      <c r="AH1020">
        <v>67.120576299829906</v>
      </c>
      <c r="AI1020">
        <v>4.5248871669450184</v>
      </c>
      <c r="AJ1020">
        <v>5.4835942352408784</v>
      </c>
      <c r="AK1020">
        <v>10.008481402185897</v>
      </c>
      <c r="AL1020">
        <v>143.81029386563165</v>
      </c>
      <c r="AM1020">
        <v>24.624512823115573</v>
      </c>
      <c r="AN1020">
        <v>1.7122913917499778</v>
      </c>
      <c r="AO1020">
        <v>13.600000000000001</v>
      </c>
      <c r="AP1020">
        <v>14.911197063442467</v>
      </c>
      <c r="AQ1020">
        <v>21.443836315820047</v>
      </c>
      <c r="AR1020">
        <v>87.083291636495829</v>
      </c>
      <c r="AS1020">
        <v>-0.282194598744827</v>
      </c>
      <c r="AT1020">
        <v>11.901700155908429</v>
      </c>
      <c r="AU1020">
        <v>48.332733489598382</v>
      </c>
    </row>
    <row r="1021" spans="1:47" x14ac:dyDescent="0.35">
      <c r="A1021">
        <v>1019</v>
      </c>
      <c r="B1021">
        <v>46064</v>
      </c>
      <c r="C1021" t="s">
        <v>16</v>
      </c>
      <c r="D1021" t="s">
        <v>427</v>
      </c>
      <c r="E1021" t="s">
        <v>226</v>
      </c>
      <c r="F1021" t="s">
        <v>231</v>
      </c>
      <c r="G1021" t="s">
        <v>232</v>
      </c>
      <c r="H1021" t="s">
        <v>22</v>
      </c>
      <c r="I1021" t="s">
        <v>23</v>
      </c>
      <c r="J1021" t="s">
        <v>215</v>
      </c>
      <c r="K1021" t="s">
        <v>426</v>
      </c>
      <c r="L1021">
        <v>30</v>
      </c>
      <c r="M1021">
        <v>64</v>
      </c>
      <c r="N1021">
        <v>1</v>
      </c>
      <c r="O1021">
        <v>1</v>
      </c>
      <c r="P1021">
        <v>153</v>
      </c>
      <c r="Q1021">
        <v>0.50029999999999997</v>
      </c>
      <c r="R1021">
        <v>472.34438696077291</v>
      </c>
      <c r="S1021">
        <v>180.34438696077285</v>
      </c>
      <c r="T1021">
        <v>0.3347222222222222</v>
      </c>
      <c r="U1021">
        <v>40.5</v>
      </c>
      <c r="V1021">
        <v>0.68125000000000002</v>
      </c>
      <c r="W1021">
        <v>85.5</v>
      </c>
      <c r="X1021">
        <v>14.6</v>
      </c>
      <c r="Y1021">
        <v>40.5</v>
      </c>
      <c r="Z1021">
        <v>0.35069444444444442</v>
      </c>
      <c r="AA1021">
        <v>82</v>
      </c>
      <c r="AB1021">
        <v>16.600000000000001</v>
      </c>
      <c r="AD1021">
        <v>45</v>
      </c>
      <c r="AE1021">
        <v>41.5</v>
      </c>
      <c r="AF1021">
        <v>42.271229168713369</v>
      </c>
      <c r="AG1021">
        <v>37.849347131116531</v>
      </c>
      <c r="AH1021">
        <v>80.120576299829906</v>
      </c>
      <c r="AI1021">
        <v>6.1715994586321514</v>
      </c>
      <c r="AJ1021">
        <v>6.2829916237653443</v>
      </c>
      <c r="AK1021">
        <v>12.454591082397496</v>
      </c>
      <c r="AL1021">
        <v>169.62322092012863</v>
      </c>
      <c r="AM1021">
        <v>38.18069864684346</v>
      </c>
      <c r="AN1021">
        <v>2.250912253624862</v>
      </c>
      <c r="AO1021">
        <v>14.599999999999998</v>
      </c>
      <c r="AP1021">
        <v>15.544809657620918</v>
      </c>
      <c r="AQ1021">
        <v>26.367606827159822</v>
      </c>
      <c r="AR1021">
        <v>69.060042800813775</v>
      </c>
      <c r="AS1021">
        <v>-1.0128748355073114</v>
      </c>
      <c r="AT1021">
        <v>14.634477976043028</v>
      </c>
      <c r="AU1021">
        <v>38.329518564880722</v>
      </c>
    </row>
    <row r="1022" spans="1:47" x14ac:dyDescent="0.35">
      <c r="A1022">
        <v>1020</v>
      </c>
      <c r="B1022">
        <v>46064</v>
      </c>
      <c r="C1022" t="s">
        <v>16</v>
      </c>
      <c r="D1022" t="s">
        <v>427</v>
      </c>
      <c r="E1022" t="s">
        <v>226</v>
      </c>
      <c r="F1022" t="s">
        <v>231</v>
      </c>
      <c r="G1022" t="s">
        <v>232</v>
      </c>
      <c r="H1022" t="s">
        <v>22</v>
      </c>
      <c r="I1022" t="s">
        <v>23</v>
      </c>
      <c r="J1022" t="s">
        <v>215</v>
      </c>
      <c r="K1022" t="s">
        <v>426</v>
      </c>
      <c r="L1022">
        <v>30</v>
      </c>
      <c r="M1022">
        <v>64</v>
      </c>
      <c r="N1022">
        <v>1</v>
      </c>
      <c r="O1022">
        <v>2</v>
      </c>
      <c r="P1022">
        <v>154</v>
      </c>
      <c r="Q1022">
        <v>0.50029999999999997</v>
      </c>
      <c r="R1022">
        <v>472.34438696077291</v>
      </c>
      <c r="S1022">
        <v>88.744386960772943</v>
      </c>
      <c r="T1022">
        <v>0.3347222222222222</v>
      </c>
      <c r="U1022">
        <v>41</v>
      </c>
      <c r="V1022">
        <v>0.68125000000000002</v>
      </c>
      <c r="W1022">
        <v>86.5</v>
      </c>
      <c r="X1022">
        <v>15</v>
      </c>
      <c r="Y1022">
        <v>40.5</v>
      </c>
      <c r="Z1022">
        <v>0.35138888888888886</v>
      </c>
      <c r="AA1022">
        <v>82.5</v>
      </c>
      <c r="AB1022">
        <v>16.600000000000001</v>
      </c>
      <c r="AD1022">
        <v>45.5</v>
      </c>
      <c r="AE1022">
        <v>42</v>
      </c>
      <c r="AF1022">
        <v>42.771229168713369</v>
      </c>
      <c r="AG1022">
        <v>38.349347131116531</v>
      </c>
      <c r="AH1022">
        <v>81.120576299829906</v>
      </c>
      <c r="AI1022">
        <v>6.4156843753070047</v>
      </c>
      <c r="AJ1022">
        <v>6.3659916237653444</v>
      </c>
      <c r="AK1022">
        <v>12.781675999072348</v>
      </c>
      <c r="AL1022">
        <v>171.74032028153809</v>
      </c>
      <c r="AM1022">
        <v>18.78806849633273</v>
      </c>
      <c r="AN1022">
        <v>1.0939812191763119</v>
      </c>
      <c r="AO1022">
        <v>14.999999999999998</v>
      </c>
      <c r="AP1022">
        <v>15.756392005685429</v>
      </c>
      <c r="AQ1022">
        <v>27.06007809537882</v>
      </c>
      <c r="AR1022">
        <v>144.02799362084886</v>
      </c>
      <c r="AS1022">
        <v>-0.26895503918377078</v>
      </c>
      <c r="AT1022">
        <v>15.01881151037634</v>
      </c>
      <c r="AU1022">
        <v>79.938028293370778</v>
      </c>
    </row>
    <row r="1023" spans="1:47" x14ac:dyDescent="0.35">
      <c r="A1023">
        <v>1021</v>
      </c>
      <c r="B1023">
        <v>46064</v>
      </c>
      <c r="C1023" t="s">
        <v>16</v>
      </c>
      <c r="D1023" t="s">
        <v>427</v>
      </c>
      <c r="E1023" t="s">
        <v>226</v>
      </c>
      <c r="F1023" t="s">
        <v>231</v>
      </c>
      <c r="G1023" t="s">
        <v>232</v>
      </c>
      <c r="H1023" t="s">
        <v>22</v>
      </c>
      <c r="I1023" t="s">
        <v>23</v>
      </c>
      <c r="J1023" t="s">
        <v>215</v>
      </c>
      <c r="K1023" t="s">
        <v>426</v>
      </c>
      <c r="L1023">
        <v>30</v>
      </c>
      <c r="M1023">
        <v>64</v>
      </c>
      <c r="N1023">
        <v>1</v>
      </c>
      <c r="O1023">
        <v>3</v>
      </c>
      <c r="P1023">
        <v>155</v>
      </c>
      <c r="Q1023">
        <v>0.5</v>
      </c>
      <c r="R1023">
        <v>472.0611502706106</v>
      </c>
      <c r="S1023">
        <v>172.26115027061064</v>
      </c>
      <c r="T1023">
        <v>0.33541666666666664</v>
      </c>
      <c r="U1023">
        <v>41</v>
      </c>
      <c r="V1023">
        <v>0.68125000000000002</v>
      </c>
      <c r="W1023">
        <v>85.5</v>
      </c>
      <c r="X1023">
        <v>14.8</v>
      </c>
      <c r="Y1023">
        <v>40.5</v>
      </c>
      <c r="Z1023">
        <v>0.35138888888888886</v>
      </c>
      <c r="AA1023">
        <v>81.5</v>
      </c>
      <c r="AB1023">
        <v>16.600000000000001</v>
      </c>
      <c r="AD1023">
        <v>44.5</v>
      </c>
      <c r="AE1023">
        <v>41</v>
      </c>
      <c r="AF1023">
        <v>41.771229168713369</v>
      </c>
      <c r="AG1023">
        <v>37.349347131116531</v>
      </c>
      <c r="AH1023">
        <v>79.120576299829906</v>
      </c>
      <c r="AI1023">
        <v>6.182141916969579</v>
      </c>
      <c r="AJ1023">
        <v>6.1999916237653441</v>
      </c>
      <c r="AK1023">
        <v>12.382133540734923</v>
      </c>
      <c r="AL1023">
        <v>167.60662523165436</v>
      </c>
      <c r="AM1023">
        <v>36.491278761631065</v>
      </c>
      <c r="AN1023">
        <v>2.1771978709788664</v>
      </c>
      <c r="AO1023">
        <v>14.8</v>
      </c>
      <c r="AP1023">
        <v>15.649700899311501</v>
      </c>
      <c r="AQ1023">
        <v>26.22993553618387</v>
      </c>
      <c r="AR1023">
        <v>71.880011954427488</v>
      </c>
      <c r="AS1023">
        <v>-0.80585822865947176</v>
      </c>
      <c r="AT1023">
        <v>14.558068027695132</v>
      </c>
      <c r="AU1023">
        <v>39.894650233530001</v>
      </c>
    </row>
    <row r="1024" spans="1:47" x14ac:dyDescent="0.35">
      <c r="A1024">
        <v>1022</v>
      </c>
      <c r="B1024">
        <v>46064</v>
      </c>
      <c r="D1024" t="s">
        <v>541</v>
      </c>
      <c r="E1024" t="s">
        <v>538</v>
      </c>
      <c r="F1024" t="s">
        <v>542</v>
      </c>
      <c r="G1024" t="s">
        <v>541</v>
      </c>
      <c r="K1024" t="s">
        <v>543</v>
      </c>
      <c r="L1024">
        <v>30</v>
      </c>
      <c r="M1024">
        <v>64</v>
      </c>
      <c r="N1024">
        <v>1</v>
      </c>
      <c r="O1024">
        <v>1</v>
      </c>
      <c r="P1024">
        <v>156</v>
      </c>
      <c r="T1024">
        <v>0.33541666666666664</v>
      </c>
      <c r="U1024">
        <v>40</v>
      </c>
      <c r="V1024">
        <v>0.68194444444444446</v>
      </c>
      <c r="W1024">
        <v>43</v>
      </c>
      <c r="AD1024">
        <v>3</v>
      </c>
    </row>
    <row r="1025" spans="1:48" x14ac:dyDescent="0.35">
      <c r="A1025">
        <v>1023</v>
      </c>
      <c r="B1025">
        <v>46064</v>
      </c>
      <c r="D1025" t="s">
        <v>541</v>
      </c>
      <c r="E1025" t="s">
        <v>538</v>
      </c>
      <c r="F1025" t="s">
        <v>542</v>
      </c>
      <c r="G1025" t="s">
        <v>541</v>
      </c>
      <c r="K1025" t="s">
        <v>543</v>
      </c>
      <c r="L1025">
        <v>30</v>
      </c>
      <c r="M1025">
        <v>64</v>
      </c>
      <c r="N1025">
        <v>1</v>
      </c>
      <c r="O1025">
        <v>2</v>
      </c>
      <c r="P1025">
        <v>157</v>
      </c>
      <c r="T1025">
        <v>0.33611111111111114</v>
      </c>
      <c r="U1025">
        <v>40</v>
      </c>
      <c r="V1025">
        <v>0.68263888888888891</v>
      </c>
      <c r="W1025">
        <v>43</v>
      </c>
      <c r="AD1025">
        <v>3</v>
      </c>
    </row>
    <row r="1026" spans="1:48" x14ac:dyDescent="0.35">
      <c r="A1026">
        <v>1024</v>
      </c>
      <c r="B1026">
        <v>46064</v>
      </c>
      <c r="C1026" t="s">
        <v>16</v>
      </c>
      <c r="D1026" t="s">
        <v>429</v>
      </c>
      <c r="E1026" t="s">
        <v>212</v>
      </c>
      <c r="F1026" t="s">
        <v>213</v>
      </c>
      <c r="G1026" t="s">
        <v>214</v>
      </c>
      <c r="H1026" t="s">
        <v>22</v>
      </c>
      <c r="I1026" t="s">
        <v>23</v>
      </c>
      <c r="J1026" t="s">
        <v>215</v>
      </c>
      <c r="K1026" t="s">
        <v>428</v>
      </c>
      <c r="L1026">
        <v>30</v>
      </c>
      <c r="M1026">
        <v>64</v>
      </c>
      <c r="N1026">
        <v>1</v>
      </c>
      <c r="O1026">
        <v>1</v>
      </c>
      <c r="P1026">
        <v>158</v>
      </c>
      <c r="Q1026">
        <v>0.50029999999999997</v>
      </c>
      <c r="R1026">
        <v>466.93842834332855</v>
      </c>
      <c r="S1026">
        <v>137.33842834332853</v>
      </c>
      <c r="T1026">
        <v>0.33611111111111114</v>
      </c>
      <c r="U1026">
        <v>41</v>
      </c>
      <c r="V1026">
        <v>0.68263888888888891</v>
      </c>
      <c r="W1026">
        <v>73</v>
      </c>
      <c r="X1026">
        <v>15.3</v>
      </c>
      <c r="Y1026">
        <v>40</v>
      </c>
      <c r="Z1026">
        <v>0.35208333333333336</v>
      </c>
      <c r="AA1026">
        <v>68.5</v>
      </c>
      <c r="AB1026">
        <v>16.2</v>
      </c>
      <c r="AD1026">
        <v>32</v>
      </c>
      <c r="AE1026">
        <v>28.5</v>
      </c>
      <c r="AF1026">
        <v>29.271229168713369</v>
      </c>
      <c r="AG1026">
        <v>24.849347131116534</v>
      </c>
      <c r="AH1026">
        <v>54.120576299829906</v>
      </c>
      <c r="AI1026">
        <v>4.478498062813145</v>
      </c>
      <c r="AJ1026">
        <v>4.0255942352408791</v>
      </c>
      <c r="AK1026">
        <v>8.5040922980540241</v>
      </c>
      <c r="AL1026">
        <v>115.90516653736701</v>
      </c>
      <c r="AM1026">
        <v>29.412534931125201</v>
      </c>
      <c r="AN1026">
        <v>2.5376379509055629</v>
      </c>
      <c r="AO1026">
        <v>15.299999999999999</v>
      </c>
      <c r="AP1026">
        <v>15.713233079672051</v>
      </c>
      <c r="AQ1026">
        <v>18.212448969398533</v>
      </c>
      <c r="AR1026">
        <v>61.920704937695078</v>
      </c>
      <c r="AS1026">
        <v>-0.34454408537490511</v>
      </c>
      <c r="AT1026">
        <v>10.108224272289011</v>
      </c>
      <c r="AU1026">
        <v>34.36706253289374</v>
      </c>
    </row>
    <row r="1027" spans="1:48" x14ac:dyDescent="0.35">
      <c r="A1027">
        <v>1025</v>
      </c>
      <c r="B1027">
        <v>46064</v>
      </c>
      <c r="C1027" t="s">
        <v>16</v>
      </c>
      <c r="D1027" t="s">
        <v>429</v>
      </c>
      <c r="E1027" t="s">
        <v>212</v>
      </c>
      <c r="F1027" t="s">
        <v>213</v>
      </c>
      <c r="G1027" t="s">
        <v>214</v>
      </c>
      <c r="H1027" t="s">
        <v>22</v>
      </c>
      <c r="I1027" t="s">
        <v>23</v>
      </c>
      <c r="J1027" t="s">
        <v>215</v>
      </c>
      <c r="K1027" t="s">
        <v>428</v>
      </c>
      <c r="L1027">
        <v>30</v>
      </c>
      <c r="M1027">
        <v>64</v>
      </c>
      <c r="N1027">
        <v>1</v>
      </c>
      <c r="O1027">
        <v>2</v>
      </c>
      <c r="P1027">
        <v>159</v>
      </c>
      <c r="Q1027">
        <v>0.50019999999999998</v>
      </c>
      <c r="R1027">
        <v>466.84509665667184</v>
      </c>
      <c r="S1027">
        <v>110.44509665667181</v>
      </c>
      <c r="T1027">
        <v>0.33611111111111114</v>
      </c>
      <c r="U1027">
        <v>41</v>
      </c>
      <c r="V1027">
        <v>0.68333333333333335</v>
      </c>
      <c r="W1027">
        <v>72</v>
      </c>
      <c r="X1027">
        <v>15.4</v>
      </c>
      <c r="Y1027">
        <v>40.5</v>
      </c>
      <c r="Z1027">
        <v>0.35208333333333336</v>
      </c>
      <c r="AA1027">
        <v>62.5</v>
      </c>
      <c r="AB1027">
        <v>16.600000000000001</v>
      </c>
      <c r="AD1027">
        <v>31</v>
      </c>
      <c r="AE1027">
        <v>22</v>
      </c>
      <c r="AF1027">
        <v>28.271229168713369</v>
      </c>
      <c r="AG1027">
        <v>18.349347131116534</v>
      </c>
      <c r="AH1027">
        <v>46.620576299829906</v>
      </c>
      <c r="AI1027">
        <v>4.3537692919818589</v>
      </c>
      <c r="AJ1027">
        <v>3.045991623765345</v>
      </c>
      <c r="AK1027">
        <v>7.399760915747204</v>
      </c>
      <c r="AL1027">
        <v>99.863052292301802</v>
      </c>
      <c r="AM1027">
        <v>23.657760882063105</v>
      </c>
      <c r="AN1027">
        <v>2.3690204073490779</v>
      </c>
      <c r="AO1027">
        <v>15.4</v>
      </c>
      <c r="AP1027">
        <v>15.872306828978864</v>
      </c>
      <c r="AQ1027">
        <v>15.850570068617751</v>
      </c>
      <c r="AR1027">
        <v>66.999451670996351</v>
      </c>
      <c r="AS1027">
        <v>-0.2123493760244565</v>
      </c>
      <c r="AT1027">
        <v>8.7973406193989181</v>
      </c>
      <c r="AU1027">
        <v>37.185854837466486</v>
      </c>
    </row>
    <row r="1028" spans="1:48" x14ac:dyDescent="0.35">
      <c r="A1028">
        <v>1026</v>
      </c>
      <c r="B1028">
        <v>46064</v>
      </c>
      <c r="C1028" t="s">
        <v>16</v>
      </c>
      <c r="D1028" t="s">
        <v>429</v>
      </c>
      <c r="E1028" t="s">
        <v>212</v>
      </c>
      <c r="F1028" t="s">
        <v>213</v>
      </c>
      <c r="G1028" t="s">
        <v>214</v>
      </c>
      <c r="H1028" t="s">
        <v>22</v>
      </c>
      <c r="I1028" t="s">
        <v>23</v>
      </c>
      <c r="J1028" t="s">
        <v>215</v>
      </c>
      <c r="K1028" t="s">
        <v>428</v>
      </c>
      <c r="L1028">
        <v>30</v>
      </c>
      <c r="M1028">
        <v>64</v>
      </c>
      <c r="N1028">
        <v>1</v>
      </c>
      <c r="O1028">
        <v>3</v>
      </c>
      <c r="P1028">
        <v>160</v>
      </c>
      <c r="Q1028">
        <v>0.50019999999999998</v>
      </c>
      <c r="R1028">
        <v>466.84509665667184</v>
      </c>
      <c r="S1028">
        <v>200.3450966566719</v>
      </c>
      <c r="T1028">
        <v>0.33680555555555558</v>
      </c>
      <c r="U1028">
        <v>41</v>
      </c>
      <c r="V1028">
        <v>0.68402777777777779</v>
      </c>
      <c r="W1028">
        <v>74.5</v>
      </c>
      <c r="X1028">
        <v>14.8</v>
      </c>
      <c r="Y1028">
        <v>40</v>
      </c>
      <c r="Z1028">
        <v>0.3527777777777778</v>
      </c>
      <c r="AA1028">
        <v>63</v>
      </c>
      <c r="AB1028">
        <v>15.9</v>
      </c>
      <c r="AD1028">
        <v>33.5</v>
      </c>
      <c r="AE1028">
        <v>23</v>
      </c>
      <c r="AF1028">
        <v>30.771229168713369</v>
      </c>
      <c r="AG1028">
        <v>19.349347131116534</v>
      </c>
      <c r="AH1028">
        <v>50.120576299829906</v>
      </c>
      <c r="AI1028">
        <v>4.5541419169695789</v>
      </c>
      <c r="AJ1028">
        <v>3.0765461938475291</v>
      </c>
      <c r="AK1028">
        <v>7.6306881108171076</v>
      </c>
      <c r="AL1028">
        <v>107.36018576347966</v>
      </c>
      <c r="AM1028">
        <v>42.914683712317128</v>
      </c>
      <c r="AN1028">
        <v>3.9972624308661793</v>
      </c>
      <c r="AO1028">
        <v>14.8</v>
      </c>
      <c r="AP1028">
        <v>15.224661554506115</v>
      </c>
      <c r="AQ1028">
        <v>16.345224926778837</v>
      </c>
      <c r="AR1028">
        <v>38.08772082849471</v>
      </c>
      <c r="AS1028">
        <v>-9.1644358253749338</v>
      </c>
      <c r="AT1028">
        <v>9.0718826237208479</v>
      </c>
      <c r="AU1028">
        <v>21.139344016922319</v>
      </c>
    </row>
    <row r="1029" spans="1:48" x14ac:dyDescent="0.35">
      <c r="A1029">
        <v>1027</v>
      </c>
      <c r="B1029">
        <v>46064</v>
      </c>
      <c r="C1029" t="s">
        <v>16</v>
      </c>
      <c r="D1029" t="s">
        <v>431</v>
      </c>
      <c r="E1029" t="s">
        <v>212</v>
      </c>
      <c r="F1029" t="s">
        <v>404</v>
      </c>
      <c r="G1029" t="s">
        <v>433</v>
      </c>
      <c r="H1029" t="s">
        <v>22</v>
      </c>
      <c r="I1029" t="s">
        <v>23</v>
      </c>
      <c r="J1029" t="s">
        <v>215</v>
      </c>
      <c r="K1029" t="s">
        <v>430</v>
      </c>
      <c r="L1029">
        <v>30</v>
      </c>
      <c r="M1029">
        <v>64</v>
      </c>
      <c r="N1029">
        <v>1</v>
      </c>
      <c r="O1029">
        <v>1</v>
      </c>
      <c r="P1029">
        <v>161</v>
      </c>
      <c r="Q1029">
        <v>0.50009999999999999</v>
      </c>
      <c r="R1029">
        <v>477.85779315469205</v>
      </c>
      <c r="S1029">
        <v>155.95779315469207</v>
      </c>
      <c r="T1029">
        <v>0.33680555555555558</v>
      </c>
      <c r="U1029">
        <v>40.5</v>
      </c>
      <c r="V1029">
        <v>0.68402777777777779</v>
      </c>
      <c r="W1029">
        <v>73</v>
      </c>
      <c r="X1029">
        <v>13.8</v>
      </c>
      <c r="Y1029">
        <v>40</v>
      </c>
      <c r="Z1029">
        <v>0.35347222222222224</v>
      </c>
      <c r="AA1029">
        <v>71.5</v>
      </c>
      <c r="AB1029">
        <v>16.100000000000001</v>
      </c>
      <c r="AD1029">
        <v>32.5</v>
      </c>
      <c r="AE1029">
        <v>31.5</v>
      </c>
      <c r="AF1029">
        <v>29.771229168713369</v>
      </c>
      <c r="AG1029">
        <v>27.849347131116534</v>
      </c>
      <c r="AH1029">
        <v>57.620576299829906</v>
      </c>
      <c r="AI1029">
        <v>4.1084296252824455</v>
      </c>
      <c r="AJ1029">
        <v>4.4837448881097623</v>
      </c>
      <c r="AK1029">
        <v>8.5921745133922087</v>
      </c>
      <c r="AL1029">
        <v>120.58101201914893</v>
      </c>
      <c r="AM1029">
        <v>32.636862972370828</v>
      </c>
      <c r="AN1029">
        <v>2.7066336918111049</v>
      </c>
      <c r="AO1029">
        <v>13.8</v>
      </c>
      <c r="AP1029">
        <v>14.911642793509465</v>
      </c>
      <c r="AQ1029">
        <v>17.980609789094206</v>
      </c>
      <c r="AR1029">
        <v>55.09294751862619</v>
      </c>
      <c r="AS1029">
        <v>-0.66080941608508781</v>
      </c>
      <c r="AT1029">
        <v>9.9795495161616259</v>
      </c>
      <c r="AU1029">
        <v>30.577539038019516</v>
      </c>
    </row>
    <row r="1030" spans="1:48" x14ac:dyDescent="0.35">
      <c r="A1030">
        <v>1028</v>
      </c>
      <c r="B1030">
        <v>46064</v>
      </c>
      <c r="C1030" t="s">
        <v>16</v>
      </c>
      <c r="D1030" t="s">
        <v>431</v>
      </c>
      <c r="E1030" t="s">
        <v>212</v>
      </c>
      <c r="F1030" t="s">
        <v>404</v>
      </c>
      <c r="G1030" t="s">
        <v>433</v>
      </c>
      <c r="H1030" t="s">
        <v>22</v>
      </c>
      <c r="I1030" t="s">
        <v>23</v>
      </c>
      <c r="J1030" t="s">
        <v>215</v>
      </c>
      <c r="K1030" t="s">
        <v>430</v>
      </c>
      <c r="L1030">
        <v>30</v>
      </c>
      <c r="M1030">
        <v>64</v>
      </c>
      <c r="N1030">
        <v>1</v>
      </c>
      <c r="O1030">
        <v>2</v>
      </c>
      <c r="P1030">
        <v>162</v>
      </c>
      <c r="Q1030">
        <v>0.50039999999999996</v>
      </c>
      <c r="R1030">
        <v>478.14445049911598</v>
      </c>
      <c r="S1030">
        <v>142.54445049911595</v>
      </c>
      <c r="T1030">
        <v>0.33680555555555558</v>
      </c>
      <c r="U1030">
        <v>40.5</v>
      </c>
      <c r="V1030">
        <v>0.68472222222222223</v>
      </c>
      <c r="W1030">
        <v>72</v>
      </c>
      <c r="X1030">
        <v>14.2</v>
      </c>
      <c r="Y1030">
        <v>40.5</v>
      </c>
      <c r="Z1030">
        <v>0.35347222222222224</v>
      </c>
      <c r="AA1030">
        <v>72</v>
      </c>
      <c r="AB1030">
        <v>16.100000000000001</v>
      </c>
      <c r="AD1030">
        <v>31.5</v>
      </c>
      <c r="AE1030">
        <v>31.5</v>
      </c>
      <c r="AF1030">
        <v>28.771229168713369</v>
      </c>
      <c r="AG1030">
        <v>27.849347131116534</v>
      </c>
      <c r="AH1030">
        <v>56.620576299829906</v>
      </c>
      <c r="AI1030">
        <v>4.0855145419572976</v>
      </c>
      <c r="AJ1030">
        <v>4.4837448881097623</v>
      </c>
      <c r="AK1030">
        <v>8.5692594300670599</v>
      </c>
      <c r="AL1030">
        <v>118.41730305711158</v>
      </c>
      <c r="AM1030">
        <v>29.812005629328013</v>
      </c>
      <c r="AN1030">
        <v>2.5175379661323611</v>
      </c>
      <c r="AO1030">
        <v>14.199999999999998</v>
      </c>
      <c r="AP1030">
        <v>15.134532338012962</v>
      </c>
      <c r="AQ1030">
        <v>17.921905024981367</v>
      </c>
      <c r="AR1030">
        <v>60.116401586045647</v>
      </c>
      <c r="AS1030">
        <v>-0.48301373497973243</v>
      </c>
      <c r="AT1030">
        <v>9.9469673564256436</v>
      </c>
      <c r="AU1030">
        <v>33.365642956407342</v>
      </c>
    </row>
    <row r="1031" spans="1:48" x14ac:dyDescent="0.35">
      <c r="A1031">
        <v>1029</v>
      </c>
      <c r="B1031">
        <v>46064</v>
      </c>
      <c r="C1031" t="s">
        <v>16</v>
      </c>
      <c r="D1031" t="s">
        <v>431</v>
      </c>
      <c r="E1031" t="s">
        <v>212</v>
      </c>
      <c r="F1031" t="s">
        <v>404</v>
      </c>
      <c r="G1031" t="s">
        <v>433</v>
      </c>
      <c r="H1031" t="s">
        <v>22</v>
      </c>
      <c r="I1031" t="s">
        <v>23</v>
      </c>
      <c r="J1031" t="s">
        <v>215</v>
      </c>
      <c r="K1031" t="s">
        <v>430</v>
      </c>
      <c r="L1031">
        <v>30</v>
      </c>
      <c r="M1031">
        <v>64</v>
      </c>
      <c r="N1031">
        <v>1</v>
      </c>
      <c r="O1031">
        <v>3</v>
      </c>
      <c r="P1031">
        <v>163</v>
      </c>
      <c r="Q1031">
        <v>0.50009999999999999</v>
      </c>
      <c r="R1031">
        <v>477.85779315469205</v>
      </c>
      <c r="S1031">
        <v>165.25779315469208</v>
      </c>
      <c r="T1031">
        <v>0.33680555555555558</v>
      </c>
      <c r="U1031">
        <v>40.5</v>
      </c>
      <c r="V1031">
        <v>0.68472222222222223</v>
      </c>
      <c r="W1031">
        <v>72</v>
      </c>
      <c r="X1031">
        <v>14.1</v>
      </c>
      <c r="Y1031">
        <v>40</v>
      </c>
      <c r="Z1031">
        <v>0.35416666666666669</v>
      </c>
      <c r="AA1031">
        <v>72</v>
      </c>
      <c r="AB1031">
        <v>16.3</v>
      </c>
      <c r="AD1031">
        <v>31.5</v>
      </c>
      <c r="AE1031">
        <v>32</v>
      </c>
      <c r="AF1031">
        <v>28.771229168713369</v>
      </c>
      <c r="AG1031">
        <v>28.349347131116534</v>
      </c>
      <c r="AH1031">
        <v>57.120576299829906</v>
      </c>
      <c r="AI1031">
        <v>4.0567433127885844</v>
      </c>
      <c r="AJ1031">
        <v>4.6209435823719955</v>
      </c>
      <c r="AK1031">
        <v>8.6776868951605799</v>
      </c>
      <c r="AL1031">
        <v>119.53467562542994</v>
      </c>
      <c r="AM1031">
        <v>34.583048664688171</v>
      </c>
      <c r="AN1031">
        <v>2.8931394579641907</v>
      </c>
      <c r="AO1031">
        <v>14.099999999999998</v>
      </c>
      <c r="AP1031">
        <v>15.191875602953992</v>
      </c>
      <c r="AQ1031">
        <v>18.159559223409882</v>
      </c>
      <c r="AR1031">
        <v>52.510001068679998</v>
      </c>
      <c r="AS1031">
        <v>-0.89113885777513457</v>
      </c>
      <c r="AT1031">
        <v>10.078869548217803</v>
      </c>
      <c r="AU1031">
        <v>29.143959070644541</v>
      </c>
    </row>
    <row r="1032" spans="1:48" x14ac:dyDescent="0.35">
      <c r="A1032">
        <v>1030</v>
      </c>
      <c r="B1032">
        <v>46064</v>
      </c>
      <c r="C1032" t="s">
        <v>16</v>
      </c>
      <c r="D1032" t="s">
        <v>435</v>
      </c>
      <c r="E1032" t="s">
        <v>219</v>
      </c>
      <c r="F1032" t="s">
        <v>220</v>
      </c>
      <c r="G1032" t="s">
        <v>221</v>
      </c>
      <c r="H1032" t="s">
        <v>22</v>
      </c>
      <c r="I1032" t="s">
        <v>23</v>
      </c>
      <c r="J1032" t="s">
        <v>215</v>
      </c>
      <c r="K1032" t="s">
        <v>434</v>
      </c>
      <c r="L1032">
        <v>30</v>
      </c>
      <c r="M1032">
        <v>64</v>
      </c>
      <c r="N1032">
        <v>1</v>
      </c>
      <c r="O1032">
        <v>1</v>
      </c>
      <c r="P1032">
        <v>164</v>
      </c>
      <c r="Q1032">
        <v>0.50019999999999998</v>
      </c>
      <c r="R1032">
        <v>454.67497205610925</v>
      </c>
      <c r="S1032">
        <v>13.874972056109414</v>
      </c>
      <c r="T1032">
        <v>0.33750000000000002</v>
      </c>
      <c r="U1032">
        <v>41</v>
      </c>
      <c r="V1032">
        <v>0.68541666666666667</v>
      </c>
      <c r="W1032">
        <v>83.5</v>
      </c>
      <c r="X1032">
        <v>14.3</v>
      </c>
      <c r="Y1032">
        <v>40.5</v>
      </c>
      <c r="Z1032">
        <v>0.35486111111111113</v>
      </c>
      <c r="AA1032">
        <v>88</v>
      </c>
      <c r="AB1032">
        <v>16.2</v>
      </c>
      <c r="AD1032">
        <v>42.5</v>
      </c>
      <c r="AE1032">
        <v>47.5</v>
      </c>
      <c r="AV1032" t="s">
        <v>611</v>
      </c>
    </row>
    <row r="1033" spans="1:48" x14ac:dyDescent="0.35">
      <c r="A1033">
        <v>1031</v>
      </c>
      <c r="B1033">
        <v>46064</v>
      </c>
      <c r="C1033" t="s">
        <v>16</v>
      </c>
      <c r="D1033" t="s">
        <v>435</v>
      </c>
      <c r="E1033" t="s">
        <v>219</v>
      </c>
      <c r="F1033" t="s">
        <v>220</v>
      </c>
      <c r="G1033" t="s">
        <v>221</v>
      </c>
      <c r="H1033" t="s">
        <v>22</v>
      </c>
      <c r="I1033" t="s">
        <v>23</v>
      </c>
      <c r="J1033" t="s">
        <v>215</v>
      </c>
      <c r="K1033" t="s">
        <v>434</v>
      </c>
      <c r="L1033">
        <v>30</v>
      </c>
      <c r="M1033">
        <v>64</v>
      </c>
      <c r="N1033">
        <v>1</v>
      </c>
      <c r="O1033">
        <v>2</v>
      </c>
      <c r="P1033">
        <v>165</v>
      </c>
      <c r="Q1033">
        <v>0.50039999999999996</v>
      </c>
      <c r="R1033">
        <v>454.85676932602365</v>
      </c>
      <c r="S1033">
        <v>262.95676932602373</v>
      </c>
      <c r="T1033">
        <v>0.33750000000000002</v>
      </c>
      <c r="U1033">
        <v>41</v>
      </c>
      <c r="V1033">
        <v>0.68541666666666667</v>
      </c>
      <c r="W1033">
        <v>82.5</v>
      </c>
      <c r="X1033">
        <v>14.6</v>
      </c>
      <c r="Y1033">
        <v>40.5</v>
      </c>
      <c r="Z1033">
        <v>0.35486111111111113</v>
      </c>
      <c r="AA1033">
        <v>90.5</v>
      </c>
      <c r="AB1033">
        <v>17.100000000000001</v>
      </c>
      <c r="AD1033">
        <v>41.5</v>
      </c>
      <c r="AE1033">
        <v>50</v>
      </c>
      <c r="AF1033">
        <v>38.771229168713369</v>
      </c>
      <c r="AG1033">
        <v>46.349347131116531</v>
      </c>
      <c r="AH1033">
        <v>85.120576299829906</v>
      </c>
      <c r="AI1033">
        <v>5.6605994586321513</v>
      </c>
      <c r="AJ1033">
        <v>7.9257383594209276</v>
      </c>
      <c r="AK1033">
        <v>13.586337818053078</v>
      </c>
      <c r="AL1033">
        <v>187.13709906077884</v>
      </c>
      <c r="AM1033">
        <v>57.810895002322482</v>
      </c>
      <c r="AN1033">
        <v>3.0892268445150224</v>
      </c>
      <c r="AO1033">
        <v>14.6</v>
      </c>
      <c r="AP1033">
        <v>15.961285048395785</v>
      </c>
      <c r="AQ1033">
        <v>29.869485812389701</v>
      </c>
      <c r="AR1033">
        <v>51.667572022868228</v>
      </c>
      <c r="AS1033">
        <v>0.98643046344911867</v>
      </c>
      <c r="AT1033">
        <v>16.578081398987223</v>
      </c>
      <c r="AU1033">
        <v>28.676396375322021</v>
      </c>
    </row>
    <row r="1034" spans="1:48" x14ac:dyDescent="0.35">
      <c r="A1034">
        <v>1032</v>
      </c>
      <c r="B1034">
        <v>46064</v>
      </c>
      <c r="C1034" t="s">
        <v>16</v>
      </c>
      <c r="D1034" t="s">
        <v>435</v>
      </c>
      <c r="E1034" t="s">
        <v>219</v>
      </c>
      <c r="F1034" t="s">
        <v>220</v>
      </c>
      <c r="G1034" t="s">
        <v>221</v>
      </c>
      <c r="H1034" t="s">
        <v>22</v>
      </c>
      <c r="I1034" t="s">
        <v>23</v>
      </c>
      <c r="J1034" t="s">
        <v>215</v>
      </c>
      <c r="K1034" t="s">
        <v>434</v>
      </c>
      <c r="L1034">
        <v>30</v>
      </c>
      <c r="M1034">
        <v>64</v>
      </c>
      <c r="N1034">
        <v>1</v>
      </c>
      <c r="O1034">
        <v>3</v>
      </c>
      <c r="P1034">
        <v>166</v>
      </c>
      <c r="Q1034">
        <v>0.50019999999999998</v>
      </c>
      <c r="R1034">
        <v>454.67497205610925</v>
      </c>
      <c r="S1034">
        <v>194.47497205610927</v>
      </c>
      <c r="T1034">
        <v>0.33750000000000002</v>
      </c>
      <c r="U1034">
        <v>41.5</v>
      </c>
      <c r="V1034">
        <v>0.68611111111111112</v>
      </c>
      <c r="W1034">
        <v>83</v>
      </c>
      <c r="X1034">
        <v>14.3</v>
      </c>
      <c r="Y1034">
        <v>40</v>
      </c>
      <c r="Z1034">
        <v>0.35555555555555557</v>
      </c>
      <c r="AA1034">
        <v>87</v>
      </c>
      <c r="AB1034">
        <v>17.2</v>
      </c>
      <c r="AC1034" t="s">
        <v>551</v>
      </c>
      <c r="AD1034">
        <v>41.5</v>
      </c>
      <c r="AE1034">
        <v>47</v>
      </c>
      <c r="AF1034">
        <v>38.771229168713369</v>
      </c>
      <c r="AG1034">
        <v>43.349347131116531</v>
      </c>
      <c r="AH1034">
        <v>82.120576299829906</v>
      </c>
      <c r="AI1034">
        <v>5.5442857711260123</v>
      </c>
      <c r="AJ1034">
        <v>7.4560877065520428</v>
      </c>
      <c r="AK1034">
        <v>13.000373477678055</v>
      </c>
      <c r="AL1034">
        <v>180.61380402899283</v>
      </c>
      <c r="AM1034">
        <v>42.772306374521548</v>
      </c>
      <c r="AN1034">
        <v>2.3681637516286167</v>
      </c>
      <c r="AO1034">
        <v>14.300000000000002</v>
      </c>
      <c r="AP1034">
        <v>15.830835660739247</v>
      </c>
      <c r="AQ1034">
        <v>28.592674496439496</v>
      </c>
      <c r="AR1034">
        <v>66.848568431351822</v>
      </c>
      <c r="AS1034">
        <v>-0.76640162303179271</v>
      </c>
      <c r="AT1034">
        <v>15.869429028473682</v>
      </c>
      <c r="AU1034">
        <v>37.102112029027104</v>
      </c>
    </row>
    <row r="1035" spans="1:48" x14ac:dyDescent="0.35">
      <c r="A1035">
        <v>1033</v>
      </c>
      <c r="B1035">
        <v>46064</v>
      </c>
      <c r="C1035" t="s">
        <v>16</v>
      </c>
      <c r="D1035" t="s">
        <v>437</v>
      </c>
      <c r="E1035" t="s">
        <v>333</v>
      </c>
      <c r="F1035" t="s">
        <v>438</v>
      </c>
      <c r="G1035" t="s">
        <v>439</v>
      </c>
      <c r="H1035" t="s">
        <v>22</v>
      </c>
      <c r="I1035" t="s">
        <v>23</v>
      </c>
      <c r="J1035" t="s">
        <v>303</v>
      </c>
      <c r="K1035" t="s">
        <v>436</v>
      </c>
      <c r="L1035">
        <v>30</v>
      </c>
      <c r="M1035">
        <v>64</v>
      </c>
      <c r="N1035">
        <v>1</v>
      </c>
      <c r="O1035">
        <v>1</v>
      </c>
      <c r="P1035">
        <v>167</v>
      </c>
      <c r="Q1035">
        <v>0.50019999999999998</v>
      </c>
      <c r="R1035">
        <v>482.52513423959249</v>
      </c>
      <c r="S1035">
        <v>236.12513423959254</v>
      </c>
      <c r="T1035">
        <v>0.33819444444444446</v>
      </c>
      <c r="U1035">
        <v>41</v>
      </c>
      <c r="V1035">
        <v>0.6875</v>
      </c>
      <c r="W1035">
        <v>86.5</v>
      </c>
      <c r="X1035">
        <v>14.6</v>
      </c>
      <c r="Y1035">
        <v>40.5</v>
      </c>
      <c r="Z1035">
        <v>0.35555555555555557</v>
      </c>
      <c r="AA1035">
        <v>89</v>
      </c>
      <c r="AB1035">
        <v>15.2</v>
      </c>
      <c r="AD1035">
        <v>45.5</v>
      </c>
      <c r="AE1035">
        <v>48.5</v>
      </c>
      <c r="AF1035">
        <v>42.771229168713369</v>
      </c>
      <c r="AG1035">
        <v>44.849347131116531</v>
      </c>
      <c r="AH1035">
        <v>87.620576299829906</v>
      </c>
      <c r="AI1035">
        <v>6.2445994586321518</v>
      </c>
      <c r="AJ1035">
        <v>6.8171007639297123</v>
      </c>
      <c r="AK1035">
        <v>13.061700222561864</v>
      </c>
      <c r="AL1035">
        <v>181.58759012193318</v>
      </c>
      <c r="AM1035">
        <v>48.93530253334891</v>
      </c>
      <c r="AN1035">
        <v>2.6948594064434488</v>
      </c>
      <c r="AO1035">
        <v>14.6</v>
      </c>
      <c r="AP1035">
        <v>14.907115171059676</v>
      </c>
      <c r="AQ1035">
        <v>27.069471195828363</v>
      </c>
      <c r="AR1035">
        <v>55.316856736260689</v>
      </c>
      <c r="AS1035">
        <v>-2.657367215797072</v>
      </c>
      <c r="AT1035">
        <v>15.024024843636226</v>
      </c>
      <c r="AU1035">
        <v>30.701812527668562</v>
      </c>
    </row>
    <row r="1036" spans="1:48" x14ac:dyDescent="0.35">
      <c r="A1036">
        <v>1034</v>
      </c>
      <c r="B1036">
        <v>46064</v>
      </c>
      <c r="C1036" t="s">
        <v>16</v>
      </c>
      <c r="D1036" t="s">
        <v>437</v>
      </c>
      <c r="E1036" t="s">
        <v>333</v>
      </c>
      <c r="F1036" t="s">
        <v>438</v>
      </c>
      <c r="G1036" t="s">
        <v>439</v>
      </c>
      <c r="H1036" t="s">
        <v>22</v>
      </c>
      <c r="I1036" t="s">
        <v>23</v>
      </c>
      <c r="J1036" t="s">
        <v>303</v>
      </c>
      <c r="K1036" t="s">
        <v>436</v>
      </c>
      <c r="L1036">
        <v>30</v>
      </c>
      <c r="M1036">
        <v>64</v>
      </c>
      <c r="N1036">
        <v>1</v>
      </c>
      <c r="O1036">
        <v>2</v>
      </c>
      <c r="P1036">
        <v>168</v>
      </c>
      <c r="Q1036">
        <v>0.50019999999999998</v>
      </c>
      <c r="R1036">
        <v>482.52513423959249</v>
      </c>
      <c r="S1036">
        <v>155.8251342395925</v>
      </c>
      <c r="T1036">
        <v>0.33819444444444446</v>
      </c>
      <c r="U1036">
        <v>40.5</v>
      </c>
      <c r="V1036">
        <v>0.6875</v>
      </c>
      <c r="W1036">
        <v>84</v>
      </c>
      <c r="X1036">
        <v>14.9</v>
      </c>
      <c r="Y1036">
        <v>40</v>
      </c>
      <c r="Z1036">
        <v>0.35625000000000001</v>
      </c>
      <c r="AA1036">
        <v>86.5</v>
      </c>
      <c r="AB1036">
        <v>14.8</v>
      </c>
      <c r="AD1036">
        <v>43.5</v>
      </c>
      <c r="AE1036">
        <v>46.5</v>
      </c>
      <c r="AF1036">
        <v>40.771229168713369</v>
      </c>
      <c r="AG1036">
        <v>42.849347131116531</v>
      </c>
      <c r="AH1036">
        <v>83.620576299829906</v>
      </c>
      <c r="AI1036">
        <v>6.0749131461382913</v>
      </c>
      <c r="AJ1036">
        <v>6.3417033754052472</v>
      </c>
      <c r="AK1036">
        <v>12.416616521543538</v>
      </c>
      <c r="AL1036">
        <v>173.29786650721709</v>
      </c>
      <c r="AM1036">
        <v>32.293682376806359</v>
      </c>
      <c r="AN1036">
        <v>1.8634783582555801</v>
      </c>
      <c r="AO1036">
        <v>14.899999999999999</v>
      </c>
      <c r="AP1036">
        <v>14.848757412317422</v>
      </c>
      <c r="AQ1036">
        <v>25.73257979837835</v>
      </c>
      <c r="AR1036">
        <v>79.683015080558732</v>
      </c>
      <c r="AS1036">
        <v>-0.31750840386921991</v>
      </c>
      <c r="AT1036">
        <v>14.282026988442516</v>
      </c>
      <c r="AU1036">
        <v>44.225451968586924</v>
      </c>
    </row>
    <row r="1037" spans="1:48" x14ac:dyDescent="0.35">
      <c r="A1037">
        <v>1035</v>
      </c>
      <c r="B1037">
        <v>46064</v>
      </c>
      <c r="C1037" t="s">
        <v>16</v>
      </c>
      <c r="D1037" t="s">
        <v>437</v>
      </c>
      <c r="E1037" t="s">
        <v>333</v>
      </c>
      <c r="F1037" t="s">
        <v>438</v>
      </c>
      <c r="G1037" t="s">
        <v>439</v>
      </c>
      <c r="H1037" t="s">
        <v>22</v>
      </c>
      <c r="I1037" t="s">
        <v>23</v>
      </c>
      <c r="J1037" t="s">
        <v>303</v>
      </c>
      <c r="K1037" t="s">
        <v>436</v>
      </c>
      <c r="L1037">
        <v>30</v>
      </c>
      <c r="M1037">
        <v>64</v>
      </c>
      <c r="N1037">
        <v>1</v>
      </c>
      <c r="O1037">
        <v>3</v>
      </c>
      <c r="P1037">
        <v>169</v>
      </c>
      <c r="Q1037">
        <v>0.50049999999999994</v>
      </c>
      <c r="R1037">
        <v>482.81453356040794</v>
      </c>
      <c r="S1037">
        <v>186.61453356040801</v>
      </c>
      <c r="T1037">
        <v>0.33819444444444446</v>
      </c>
      <c r="U1037">
        <v>41</v>
      </c>
      <c r="V1037">
        <v>0.6875</v>
      </c>
      <c r="W1037">
        <v>86.5</v>
      </c>
      <c r="X1037">
        <v>14.4</v>
      </c>
      <c r="Y1037">
        <v>40.5</v>
      </c>
      <c r="Z1037">
        <v>0.35625000000000001</v>
      </c>
      <c r="AA1037">
        <v>88.5</v>
      </c>
      <c r="AB1037">
        <v>14.8</v>
      </c>
      <c r="AD1037">
        <v>45.5</v>
      </c>
      <c r="AE1037">
        <v>48</v>
      </c>
      <c r="AF1037">
        <v>42.771229168713369</v>
      </c>
      <c r="AG1037">
        <v>44.349347131116531</v>
      </c>
      <c r="AH1037">
        <v>87.120576299829906</v>
      </c>
      <c r="AI1037">
        <v>6.1590570002947258</v>
      </c>
      <c r="AJ1037">
        <v>6.5637033754052476</v>
      </c>
      <c r="AK1037">
        <v>12.722760375699973</v>
      </c>
      <c r="AL1037">
        <v>180.44315206789381</v>
      </c>
      <c r="AM1037">
        <v>38.6513910806</v>
      </c>
      <c r="AN1037">
        <v>2.1420259310287912</v>
      </c>
      <c r="AO1037">
        <v>14.4</v>
      </c>
      <c r="AP1037">
        <v>14.60362283637099</v>
      </c>
      <c r="AQ1037">
        <v>26.351237362054572</v>
      </c>
      <c r="AR1037">
        <v>68.176685561210888</v>
      </c>
      <c r="AS1037">
        <v>-0.48850741081787091</v>
      </c>
      <c r="AT1037">
        <v>14.625392639700877</v>
      </c>
      <c r="AU1037">
        <v>37.839240013903897</v>
      </c>
    </row>
    <row r="1038" spans="1:48" x14ac:dyDescent="0.35">
      <c r="A1038">
        <v>1036</v>
      </c>
      <c r="B1038">
        <v>46064</v>
      </c>
      <c r="C1038" t="s">
        <v>16</v>
      </c>
      <c r="D1038" t="s">
        <v>441</v>
      </c>
      <c r="E1038" t="s">
        <v>442</v>
      </c>
      <c r="F1038" t="s">
        <v>443</v>
      </c>
      <c r="G1038" t="s">
        <v>444</v>
      </c>
      <c r="H1038" t="s">
        <v>22</v>
      </c>
      <c r="I1038" t="s">
        <v>23</v>
      </c>
      <c r="J1038" t="s">
        <v>303</v>
      </c>
      <c r="K1038" t="s">
        <v>440</v>
      </c>
      <c r="L1038">
        <v>30</v>
      </c>
      <c r="M1038">
        <v>64</v>
      </c>
      <c r="N1038">
        <v>1</v>
      </c>
      <c r="O1038">
        <v>1</v>
      </c>
      <c r="P1038">
        <v>170</v>
      </c>
      <c r="Q1038">
        <v>0.50009999999999999</v>
      </c>
      <c r="R1038">
        <v>481.10187867869877</v>
      </c>
      <c r="S1038">
        <v>133.20187867869868</v>
      </c>
      <c r="T1038">
        <v>0.33819444444444446</v>
      </c>
      <c r="U1038">
        <v>41</v>
      </c>
      <c r="V1038">
        <v>0.68819444444444444</v>
      </c>
      <c r="W1038">
        <v>71</v>
      </c>
      <c r="X1038">
        <v>13.3</v>
      </c>
      <c r="Y1038">
        <v>40</v>
      </c>
      <c r="Z1038">
        <v>0.35694444444444445</v>
      </c>
      <c r="AA1038">
        <v>70.5</v>
      </c>
      <c r="AB1038">
        <v>14.5</v>
      </c>
      <c r="AD1038">
        <v>30</v>
      </c>
      <c r="AE1038">
        <v>30.5</v>
      </c>
      <c r="AF1038">
        <v>27.271229168713369</v>
      </c>
      <c r="AG1038">
        <v>26.849347131116534</v>
      </c>
      <c r="AH1038">
        <v>54.120576299829906</v>
      </c>
      <c r="AI1038">
        <v>3.6270734794388781</v>
      </c>
      <c r="AJ1038">
        <v>3.8931553340118974</v>
      </c>
      <c r="AK1038">
        <v>7.5202288134507755</v>
      </c>
      <c r="AL1038">
        <v>112.49296396111984</v>
      </c>
      <c r="AM1038">
        <v>27.686834032850825</v>
      </c>
      <c r="AN1038">
        <v>2.4612058441646214</v>
      </c>
      <c r="AO1038">
        <v>13.3</v>
      </c>
      <c r="AP1038">
        <v>13.895322865352435</v>
      </c>
      <c r="AQ1038">
        <v>15.631260543202158</v>
      </c>
      <c r="AR1038">
        <v>56.457377989319546</v>
      </c>
      <c r="AS1038">
        <v>-0.46569177868968592</v>
      </c>
      <c r="AT1038">
        <v>8.675620038510818</v>
      </c>
      <c r="AU1038">
        <v>31.334821555317838</v>
      </c>
    </row>
    <row r="1039" spans="1:48" x14ac:dyDescent="0.35">
      <c r="A1039">
        <v>1037</v>
      </c>
      <c r="B1039">
        <v>46064</v>
      </c>
      <c r="C1039" t="s">
        <v>16</v>
      </c>
      <c r="D1039" t="s">
        <v>441</v>
      </c>
      <c r="E1039" t="s">
        <v>442</v>
      </c>
      <c r="F1039" t="s">
        <v>443</v>
      </c>
      <c r="G1039" t="s">
        <v>444</v>
      </c>
      <c r="H1039" t="s">
        <v>22</v>
      </c>
      <c r="I1039" t="s">
        <v>23</v>
      </c>
      <c r="J1039" t="s">
        <v>303</v>
      </c>
      <c r="K1039" t="s">
        <v>440</v>
      </c>
      <c r="L1039">
        <v>30</v>
      </c>
      <c r="M1039">
        <v>64</v>
      </c>
      <c r="N1039">
        <v>1</v>
      </c>
      <c r="O1039">
        <v>2</v>
      </c>
      <c r="P1039">
        <v>171</v>
      </c>
      <c r="Q1039">
        <v>0.50039999999999996</v>
      </c>
      <c r="R1039">
        <v>481.39048208522468</v>
      </c>
      <c r="S1039">
        <v>151.79048208522465</v>
      </c>
      <c r="T1039">
        <v>0.33888888888888891</v>
      </c>
      <c r="U1039">
        <v>40.5</v>
      </c>
      <c r="V1039">
        <v>0.68888888888888888</v>
      </c>
      <c r="W1039">
        <v>69</v>
      </c>
      <c r="X1039">
        <v>13.2</v>
      </c>
      <c r="Y1039">
        <v>40</v>
      </c>
      <c r="Z1039">
        <v>0.3576388888888889</v>
      </c>
      <c r="AA1039">
        <v>72</v>
      </c>
      <c r="AB1039">
        <v>14.4</v>
      </c>
      <c r="AD1039">
        <v>28.5</v>
      </c>
      <c r="AE1039">
        <v>32</v>
      </c>
      <c r="AF1039">
        <v>25.771229168713369</v>
      </c>
      <c r="AG1039">
        <v>28.349347131116534</v>
      </c>
      <c r="AH1039">
        <v>54.120576299829906</v>
      </c>
      <c r="AI1039">
        <v>3.401802250270165</v>
      </c>
      <c r="AJ1039">
        <v>4.0823059868807814</v>
      </c>
      <c r="AK1039">
        <v>7.4841082371509469</v>
      </c>
      <c r="AL1039">
        <v>112.42552213620309</v>
      </c>
      <c r="AM1039">
        <v>31.531674957036621</v>
      </c>
      <c r="AN1039">
        <v>2.8046723162055778</v>
      </c>
      <c r="AO1039">
        <v>13.200000000000003</v>
      </c>
      <c r="AP1039">
        <v>13.828581934694714</v>
      </c>
      <c r="AQ1039">
        <v>15.546855444113188</v>
      </c>
      <c r="AR1039">
        <v>49.305517278408153</v>
      </c>
      <c r="AS1039">
        <v>-0.75043887260496711</v>
      </c>
      <c r="AT1039">
        <v>8.6287737482206044</v>
      </c>
      <c r="AU1039">
        <v>27.365415126147635</v>
      </c>
    </row>
    <row r="1040" spans="1:48" x14ac:dyDescent="0.35">
      <c r="A1040">
        <v>1038</v>
      </c>
      <c r="B1040">
        <v>46064</v>
      </c>
      <c r="C1040" t="s">
        <v>16</v>
      </c>
      <c r="D1040" t="s">
        <v>441</v>
      </c>
      <c r="E1040" t="s">
        <v>442</v>
      </c>
      <c r="F1040" t="s">
        <v>443</v>
      </c>
      <c r="G1040" t="s">
        <v>444</v>
      </c>
      <c r="H1040" t="s">
        <v>22</v>
      </c>
      <c r="I1040" t="s">
        <v>23</v>
      </c>
      <c r="J1040" t="s">
        <v>303</v>
      </c>
      <c r="K1040" t="s">
        <v>440</v>
      </c>
      <c r="L1040">
        <v>30</v>
      </c>
      <c r="M1040">
        <v>64</v>
      </c>
      <c r="N1040">
        <v>1</v>
      </c>
      <c r="O1040">
        <v>3</v>
      </c>
      <c r="P1040">
        <v>172</v>
      </c>
      <c r="Q1040">
        <v>0.5</v>
      </c>
      <c r="R1040">
        <v>481.00567754319019</v>
      </c>
      <c r="S1040">
        <v>175.20567754319012</v>
      </c>
      <c r="T1040">
        <v>0.33888888888888891</v>
      </c>
      <c r="U1040">
        <v>40.5</v>
      </c>
      <c r="V1040">
        <v>0.68888888888888888</v>
      </c>
      <c r="W1040">
        <v>69.5</v>
      </c>
      <c r="X1040">
        <v>13.2</v>
      </c>
      <c r="Y1040">
        <v>40</v>
      </c>
      <c r="Z1040">
        <v>0.3576388888888889</v>
      </c>
      <c r="AA1040">
        <v>73.5</v>
      </c>
      <c r="AB1040">
        <v>14.4</v>
      </c>
      <c r="AD1040">
        <v>29</v>
      </c>
      <c r="AE1040">
        <v>33.5</v>
      </c>
      <c r="AF1040">
        <v>26.271229168713369</v>
      </c>
      <c r="AG1040">
        <v>29.849347131116534</v>
      </c>
      <c r="AH1040">
        <v>56.120576299829906</v>
      </c>
      <c r="AI1040">
        <v>3.4678022502701649</v>
      </c>
      <c r="AJ1040">
        <v>4.2983059868807816</v>
      </c>
      <c r="AK1040">
        <v>7.7661082371509469</v>
      </c>
      <c r="AL1040">
        <v>116.67341763297743</v>
      </c>
      <c r="AM1040">
        <v>36.424866841090072</v>
      </c>
      <c r="AN1040">
        <v>3.1219507905110579</v>
      </c>
      <c r="AO1040">
        <v>13.200000000000001</v>
      </c>
      <c r="AP1040">
        <v>13.838254610322819</v>
      </c>
      <c r="AQ1040">
        <v>16.145564594616697</v>
      </c>
      <c r="AR1040">
        <v>44.325665389676175</v>
      </c>
      <c r="AS1040">
        <v>-3.6743666307784717</v>
      </c>
      <c r="AT1040">
        <v>8.9610676850398541</v>
      </c>
      <c r="AU1040">
        <v>24.601511171294316</v>
      </c>
    </row>
    <row r="1041" spans="1:48" x14ac:dyDescent="0.35">
      <c r="A1041">
        <v>1039</v>
      </c>
      <c r="B1041">
        <v>46064</v>
      </c>
      <c r="C1041" t="s">
        <v>16</v>
      </c>
      <c r="D1041" t="s">
        <v>446</v>
      </c>
      <c r="E1041" t="s">
        <v>442</v>
      </c>
      <c r="F1041" t="s">
        <v>447</v>
      </c>
      <c r="G1041" t="s">
        <v>448</v>
      </c>
      <c r="H1041" t="s">
        <v>22</v>
      </c>
      <c r="I1041" t="s">
        <v>23</v>
      </c>
      <c r="J1041" t="s">
        <v>303</v>
      </c>
      <c r="K1041" t="s">
        <v>445</v>
      </c>
      <c r="L1041">
        <v>30</v>
      </c>
      <c r="M1041">
        <v>64</v>
      </c>
      <c r="N1041">
        <v>1</v>
      </c>
      <c r="O1041">
        <v>1</v>
      </c>
      <c r="P1041">
        <v>173</v>
      </c>
      <c r="Q1041">
        <v>0.50019999999999998</v>
      </c>
      <c r="R1041">
        <v>476.65000976069012</v>
      </c>
      <c r="S1041">
        <v>155.65000976069018</v>
      </c>
      <c r="T1041">
        <v>0.33958333333333335</v>
      </c>
      <c r="U1041">
        <v>41</v>
      </c>
      <c r="V1041">
        <v>0.68958333333333333</v>
      </c>
      <c r="W1041">
        <v>76</v>
      </c>
      <c r="X1041">
        <v>13.1</v>
      </c>
      <c r="Y1041">
        <v>40</v>
      </c>
      <c r="Z1041">
        <v>0.35833333333333334</v>
      </c>
      <c r="AA1041">
        <v>73</v>
      </c>
      <c r="AB1041">
        <v>15.4</v>
      </c>
      <c r="AD1041">
        <v>35</v>
      </c>
      <c r="AE1041">
        <v>33</v>
      </c>
      <c r="AF1041">
        <v>32.271229168713369</v>
      </c>
      <c r="AG1041">
        <v>29.349347131116534</v>
      </c>
      <c r="AH1041">
        <v>61.620576299829906</v>
      </c>
      <c r="AI1041">
        <v>4.2275310211014512</v>
      </c>
      <c r="AJ1041">
        <v>4.5197994581919465</v>
      </c>
      <c r="AK1041">
        <v>8.7473304792933977</v>
      </c>
      <c r="AL1041">
        <v>129.278453871778</v>
      </c>
      <c r="AM1041">
        <v>32.65498931571129</v>
      </c>
      <c r="AN1041">
        <v>2.5259421301634246</v>
      </c>
      <c r="AO1041">
        <v>13.1</v>
      </c>
      <c r="AP1041">
        <v>14.195470092215841</v>
      </c>
      <c r="AQ1041">
        <v>18.351684255047299</v>
      </c>
      <c r="AR1041">
        <v>56.198714620977547</v>
      </c>
      <c r="AS1041">
        <v>-0.36875311598386173</v>
      </c>
      <c r="AT1041">
        <v>10.185502264739055</v>
      </c>
      <c r="AU1041">
        <v>31.191258910743251</v>
      </c>
    </row>
    <row r="1042" spans="1:48" x14ac:dyDescent="0.35">
      <c r="A1042">
        <v>1040</v>
      </c>
      <c r="B1042">
        <v>46064</v>
      </c>
      <c r="C1042" t="s">
        <v>16</v>
      </c>
      <c r="D1042" t="s">
        <v>446</v>
      </c>
      <c r="E1042" t="s">
        <v>442</v>
      </c>
      <c r="F1042" t="s">
        <v>447</v>
      </c>
      <c r="G1042" t="s">
        <v>448</v>
      </c>
      <c r="H1042" t="s">
        <v>22</v>
      </c>
      <c r="I1042" t="s">
        <v>23</v>
      </c>
      <c r="J1042" t="s">
        <v>303</v>
      </c>
      <c r="K1042" t="s">
        <v>445</v>
      </c>
      <c r="L1042">
        <v>30</v>
      </c>
      <c r="M1042">
        <v>64</v>
      </c>
      <c r="N1042">
        <v>1</v>
      </c>
      <c r="O1042">
        <v>2</v>
      </c>
      <c r="P1042">
        <v>174</v>
      </c>
      <c r="Q1042">
        <v>0.5</v>
      </c>
      <c r="R1042">
        <v>476.45942599029394</v>
      </c>
      <c r="S1042">
        <v>133.65942599029381</v>
      </c>
      <c r="T1042">
        <v>0.33958333333333335</v>
      </c>
      <c r="U1042">
        <v>40.5</v>
      </c>
      <c r="V1042">
        <v>0.68958333333333333</v>
      </c>
      <c r="W1042">
        <v>75</v>
      </c>
      <c r="X1042">
        <v>12.9</v>
      </c>
      <c r="Y1042">
        <v>40</v>
      </c>
      <c r="Z1042">
        <v>0.35833333333333334</v>
      </c>
      <c r="AA1042">
        <v>80.5</v>
      </c>
      <c r="AB1042">
        <v>15.3</v>
      </c>
      <c r="AD1042">
        <v>34.5</v>
      </c>
      <c r="AE1042">
        <v>40.5</v>
      </c>
      <c r="AF1042">
        <v>31.771229168713369</v>
      </c>
      <c r="AG1042">
        <v>36.849347131116531</v>
      </c>
      <c r="AH1042">
        <v>68.620576299829906</v>
      </c>
      <c r="AI1042">
        <v>4.0984885627640244</v>
      </c>
      <c r="AJ1042">
        <v>5.637950111060829</v>
      </c>
      <c r="AK1042">
        <v>9.7364386738248534</v>
      </c>
      <c r="AL1042">
        <v>144.02186745955527</v>
      </c>
      <c r="AM1042">
        <v>28.052635481497774</v>
      </c>
      <c r="AN1042">
        <v>1.9478038978612473</v>
      </c>
      <c r="AO1042">
        <v>12.9</v>
      </c>
      <c r="AP1042">
        <v>14.188803415585696</v>
      </c>
      <c r="AQ1042">
        <v>20.43497964929168</v>
      </c>
      <c r="AR1042">
        <v>72.845133081238146</v>
      </c>
      <c r="AS1042">
        <v>-0.30259485345001647</v>
      </c>
      <c r="AT1042">
        <v>11.341767251717599</v>
      </c>
      <c r="AU1042">
        <v>40.430309156507263</v>
      </c>
    </row>
    <row r="1043" spans="1:48" x14ac:dyDescent="0.35">
      <c r="A1043">
        <v>1041</v>
      </c>
      <c r="B1043">
        <v>46064</v>
      </c>
      <c r="C1043" t="s">
        <v>16</v>
      </c>
      <c r="D1043" t="s">
        <v>446</v>
      </c>
      <c r="E1043" t="s">
        <v>442</v>
      </c>
      <c r="F1043" t="s">
        <v>447</v>
      </c>
      <c r="G1043" t="s">
        <v>448</v>
      </c>
      <c r="H1043" t="s">
        <v>22</v>
      </c>
      <c r="I1043" t="s">
        <v>23</v>
      </c>
      <c r="J1043" t="s">
        <v>303</v>
      </c>
      <c r="K1043" t="s">
        <v>445</v>
      </c>
      <c r="L1043">
        <v>30</v>
      </c>
      <c r="M1043">
        <v>64</v>
      </c>
      <c r="N1043">
        <v>1</v>
      </c>
      <c r="O1043">
        <v>3</v>
      </c>
      <c r="P1043">
        <v>175</v>
      </c>
      <c r="Q1043">
        <v>0.50039999999999996</v>
      </c>
      <c r="R1043">
        <v>476.84059353108614</v>
      </c>
      <c r="S1043">
        <v>73.440593531086165</v>
      </c>
      <c r="T1043">
        <v>0.33958333333333335</v>
      </c>
      <c r="U1043">
        <v>40.5</v>
      </c>
      <c r="V1043">
        <v>0.69027777777777777</v>
      </c>
      <c r="W1043">
        <v>75</v>
      </c>
      <c r="X1043">
        <v>13.1</v>
      </c>
      <c r="Y1043">
        <v>40</v>
      </c>
      <c r="Z1043">
        <v>0.35902777777777778</v>
      </c>
      <c r="AA1043">
        <v>73</v>
      </c>
      <c r="AB1043">
        <v>15.5</v>
      </c>
      <c r="AD1043">
        <v>34.5</v>
      </c>
      <c r="AE1043">
        <v>33</v>
      </c>
      <c r="AV1043" t="s">
        <v>666</v>
      </c>
    </row>
    <row r="1044" spans="1:48" x14ac:dyDescent="0.35">
      <c r="A1044">
        <v>1042</v>
      </c>
      <c r="B1044">
        <v>46064</v>
      </c>
      <c r="C1044" t="s">
        <v>16</v>
      </c>
      <c r="D1044" t="s">
        <v>450</v>
      </c>
      <c r="E1044" t="s">
        <v>442</v>
      </c>
      <c r="F1044" t="s">
        <v>451</v>
      </c>
      <c r="G1044" t="s">
        <v>452</v>
      </c>
      <c r="H1044" t="s">
        <v>22</v>
      </c>
      <c r="I1044" t="s">
        <v>23</v>
      </c>
      <c r="J1044" t="s">
        <v>303</v>
      </c>
      <c r="K1044" t="s">
        <v>449</v>
      </c>
      <c r="L1044">
        <v>30</v>
      </c>
      <c r="M1044">
        <v>64</v>
      </c>
      <c r="N1044">
        <v>1</v>
      </c>
      <c r="O1044">
        <v>1</v>
      </c>
      <c r="P1044">
        <v>176</v>
      </c>
      <c r="Q1044">
        <v>0.50009999999999999</v>
      </c>
      <c r="R1044">
        <v>482.27582118440796</v>
      </c>
      <c r="S1044">
        <v>112.57582118440791</v>
      </c>
      <c r="T1044">
        <v>0.34027777777777779</v>
      </c>
      <c r="U1044">
        <v>41</v>
      </c>
      <c r="V1044">
        <v>0.69097222222222221</v>
      </c>
      <c r="W1044">
        <v>75</v>
      </c>
      <c r="X1044">
        <v>14</v>
      </c>
      <c r="Y1044">
        <v>40</v>
      </c>
      <c r="Z1044">
        <v>0.35902777777777778</v>
      </c>
      <c r="AA1044">
        <v>72.5</v>
      </c>
      <c r="AB1044">
        <v>16.7</v>
      </c>
      <c r="AD1044">
        <v>34</v>
      </c>
      <c r="AE1044">
        <v>32.5</v>
      </c>
      <c r="AF1044">
        <v>31.271229168713369</v>
      </c>
      <c r="AG1044">
        <v>28.849347131116534</v>
      </c>
      <c r="AH1044">
        <v>60.120576299829906</v>
      </c>
      <c r="AI1044">
        <v>4.3779720836198717</v>
      </c>
      <c r="AJ1044">
        <v>4.8178409708964605</v>
      </c>
      <c r="AK1044">
        <v>9.1958130545163321</v>
      </c>
      <c r="AL1044">
        <v>124.66015018580329</v>
      </c>
      <c r="AM1044">
        <v>23.342621844059288</v>
      </c>
      <c r="AN1044">
        <v>1.8725006996435996</v>
      </c>
      <c r="AO1044">
        <v>14.000000000000002</v>
      </c>
      <c r="AP1044">
        <v>15.295616942617945</v>
      </c>
      <c r="AQ1044">
        <v>19.067539052512704</v>
      </c>
      <c r="AR1044">
        <v>81.685507223197405</v>
      </c>
      <c r="AS1044">
        <v>-0.31629946517666896</v>
      </c>
      <c r="AT1044">
        <v>10.58281406236345</v>
      </c>
      <c r="AU1044">
        <v>45.33686975294416</v>
      </c>
    </row>
    <row r="1045" spans="1:48" x14ac:dyDescent="0.35">
      <c r="A1045">
        <v>1043</v>
      </c>
      <c r="B1045">
        <v>46064</v>
      </c>
      <c r="C1045" t="s">
        <v>16</v>
      </c>
      <c r="D1045" t="s">
        <v>450</v>
      </c>
      <c r="E1045" t="s">
        <v>442</v>
      </c>
      <c r="F1045" t="s">
        <v>451</v>
      </c>
      <c r="G1045" t="s">
        <v>452</v>
      </c>
      <c r="H1045" t="s">
        <v>22</v>
      </c>
      <c r="I1045" t="s">
        <v>23</v>
      </c>
      <c r="J1045" t="s">
        <v>303</v>
      </c>
      <c r="K1045" t="s">
        <v>449</v>
      </c>
      <c r="L1045">
        <v>30</v>
      </c>
      <c r="M1045">
        <v>64</v>
      </c>
      <c r="N1045">
        <v>1</v>
      </c>
      <c r="O1045">
        <v>2</v>
      </c>
      <c r="P1045">
        <v>177</v>
      </c>
      <c r="Q1045">
        <v>0.50019999999999998</v>
      </c>
      <c r="R1045">
        <v>482.3722570614695</v>
      </c>
      <c r="S1045">
        <v>117.47225706146952</v>
      </c>
      <c r="T1045">
        <v>0.34027777777777779</v>
      </c>
      <c r="U1045">
        <v>41</v>
      </c>
      <c r="V1045">
        <v>0.69097222222222221</v>
      </c>
      <c r="W1045">
        <v>74.5</v>
      </c>
      <c r="X1045">
        <v>13.9</v>
      </c>
      <c r="Y1045">
        <v>40</v>
      </c>
      <c r="Z1045">
        <v>0.35972222222222222</v>
      </c>
      <c r="AA1045">
        <v>69.5</v>
      </c>
      <c r="AB1045">
        <v>16.5</v>
      </c>
      <c r="AD1045">
        <v>33.5</v>
      </c>
      <c r="AE1045">
        <v>29.5</v>
      </c>
      <c r="AF1045">
        <v>30.771229168713369</v>
      </c>
      <c r="AG1045">
        <v>25.849347131116534</v>
      </c>
      <c r="AH1045">
        <v>56.620576299829906</v>
      </c>
      <c r="AI1045">
        <v>4.2772008544511584</v>
      </c>
      <c r="AJ1045">
        <v>4.2651422766342284</v>
      </c>
      <c r="AK1045">
        <v>8.5423431310853868</v>
      </c>
      <c r="AL1045">
        <v>117.37942112333101</v>
      </c>
      <c r="AM1045">
        <v>24.353029292582189</v>
      </c>
      <c r="AN1045">
        <v>2.0747273295030455</v>
      </c>
      <c r="AO1045">
        <v>13.899999999999999</v>
      </c>
      <c r="AP1045">
        <v>15.086994321375441</v>
      </c>
      <c r="AQ1045">
        <v>17.709026599340312</v>
      </c>
      <c r="AR1045">
        <v>72.717962051375665</v>
      </c>
      <c r="AS1045">
        <v>-0.31208517837223104</v>
      </c>
      <c r="AT1045">
        <v>9.8288161471771147</v>
      </c>
      <c r="AU1045">
        <v>40.359727034742754</v>
      </c>
    </row>
    <row r="1046" spans="1:48" x14ac:dyDescent="0.35">
      <c r="A1046">
        <v>1044</v>
      </c>
      <c r="B1046">
        <v>46064</v>
      </c>
      <c r="C1046" t="s">
        <v>16</v>
      </c>
      <c r="D1046" t="s">
        <v>450</v>
      </c>
      <c r="E1046" t="s">
        <v>442</v>
      </c>
      <c r="F1046" t="s">
        <v>451</v>
      </c>
      <c r="G1046" t="s">
        <v>452</v>
      </c>
      <c r="H1046" t="s">
        <v>22</v>
      </c>
      <c r="I1046" t="s">
        <v>23</v>
      </c>
      <c r="J1046" t="s">
        <v>303</v>
      </c>
      <c r="K1046" t="s">
        <v>449</v>
      </c>
      <c r="L1046">
        <v>30</v>
      </c>
      <c r="M1046">
        <v>64</v>
      </c>
      <c r="N1046">
        <v>1</v>
      </c>
      <c r="O1046">
        <v>3</v>
      </c>
      <c r="P1046">
        <v>178</v>
      </c>
      <c r="Q1046">
        <v>0.50039999999999996</v>
      </c>
      <c r="R1046">
        <v>482.5651288155924</v>
      </c>
      <c r="S1046">
        <v>181.46512881559238</v>
      </c>
      <c r="T1046">
        <v>0.34027777777777779</v>
      </c>
      <c r="U1046">
        <v>41</v>
      </c>
      <c r="V1046">
        <v>0.69166666666666665</v>
      </c>
      <c r="W1046">
        <v>76</v>
      </c>
      <c r="X1046">
        <v>13.8</v>
      </c>
      <c r="Y1046">
        <v>40</v>
      </c>
      <c r="Z1046">
        <v>0.36041666666666666</v>
      </c>
      <c r="AA1046">
        <v>72.5</v>
      </c>
      <c r="AB1046">
        <v>16.5</v>
      </c>
      <c r="AD1046">
        <v>35</v>
      </c>
      <c r="AE1046">
        <v>32.5</v>
      </c>
      <c r="AF1046">
        <v>32.271229168713369</v>
      </c>
      <c r="AG1046">
        <v>28.849347131116534</v>
      </c>
      <c r="AH1046">
        <v>61.120576299829906</v>
      </c>
      <c r="AI1046">
        <v>4.4534296252824452</v>
      </c>
      <c r="AJ1046">
        <v>4.7601422766342285</v>
      </c>
      <c r="AK1046">
        <v>9.2135719019166729</v>
      </c>
      <c r="AL1046">
        <v>126.65767302715017</v>
      </c>
      <c r="AM1046">
        <v>37.604277221808438</v>
      </c>
      <c r="AN1046">
        <v>2.9689695320509828</v>
      </c>
      <c r="AO1046">
        <v>13.800000000000002</v>
      </c>
      <c r="AP1046">
        <v>15.074419221309459</v>
      </c>
      <c r="AQ1046">
        <v>19.092908608068011</v>
      </c>
      <c r="AR1046">
        <v>50.773236500328636</v>
      </c>
      <c r="AS1046">
        <v>-1.8209268618674785</v>
      </c>
      <c r="AT1046">
        <v>10.596894604616294</v>
      </c>
      <c r="AU1046">
        <v>28.180024687379632</v>
      </c>
    </row>
    <row r="1047" spans="1:48" x14ac:dyDescent="0.35">
      <c r="A1047">
        <v>1045</v>
      </c>
      <c r="B1047">
        <v>46064</v>
      </c>
      <c r="C1047" t="s">
        <v>16</v>
      </c>
      <c r="D1047" t="s">
        <v>454</v>
      </c>
      <c r="E1047" t="s">
        <v>442</v>
      </c>
      <c r="F1047" t="s">
        <v>455</v>
      </c>
      <c r="G1047" t="s">
        <v>456</v>
      </c>
      <c r="H1047" t="s">
        <v>22</v>
      </c>
      <c r="I1047" t="s">
        <v>23</v>
      </c>
      <c r="J1047" t="s">
        <v>303</v>
      </c>
      <c r="K1047" t="s">
        <v>453</v>
      </c>
      <c r="L1047">
        <v>30</v>
      </c>
      <c r="M1047">
        <v>64</v>
      </c>
      <c r="N1047">
        <v>1</v>
      </c>
      <c r="O1047">
        <v>1</v>
      </c>
      <c r="P1047">
        <v>179</v>
      </c>
      <c r="Q1047">
        <v>0.5</v>
      </c>
      <c r="R1047">
        <v>478.33586433505769</v>
      </c>
      <c r="S1047">
        <v>151.73586433505767</v>
      </c>
      <c r="T1047">
        <v>0.34027777777777779</v>
      </c>
      <c r="U1047">
        <v>41</v>
      </c>
      <c r="V1047">
        <v>0.69166666666666665</v>
      </c>
      <c r="W1047">
        <v>72.5</v>
      </c>
      <c r="X1047">
        <v>13.6</v>
      </c>
      <c r="Y1047">
        <v>40</v>
      </c>
      <c r="Z1047">
        <v>0.36041666666666666</v>
      </c>
      <c r="AA1047">
        <v>76.599999999999994</v>
      </c>
      <c r="AB1047">
        <v>16</v>
      </c>
      <c r="AD1047">
        <v>31.5</v>
      </c>
      <c r="AE1047">
        <v>36.599999999999994</v>
      </c>
      <c r="AF1047">
        <v>28.771229168713369</v>
      </c>
      <c r="AG1047">
        <v>32.949347131116525</v>
      </c>
      <c r="AH1047">
        <v>61.720576299829894</v>
      </c>
      <c r="AI1047">
        <v>3.9128871669450183</v>
      </c>
      <c r="AJ1047">
        <v>5.2718955409786439</v>
      </c>
      <c r="AK1047">
        <v>9.184782707923663</v>
      </c>
      <c r="AL1047">
        <v>129.03188094756106</v>
      </c>
      <c r="AM1047">
        <v>31.721615636324511</v>
      </c>
      <c r="AN1047">
        <v>2.4584323969683326</v>
      </c>
      <c r="AO1047">
        <v>13.6</v>
      </c>
      <c r="AP1047">
        <v>14.881232902468826</v>
      </c>
      <c r="AQ1047">
        <v>19.201534722242865</v>
      </c>
      <c r="AR1047">
        <v>60.531389518051952</v>
      </c>
      <c r="AS1047">
        <v>-0.77983786405060063</v>
      </c>
      <c r="AT1047">
        <v>10.657183977327875</v>
      </c>
      <c r="AU1047">
        <v>33.595968438392852</v>
      </c>
    </row>
    <row r="1048" spans="1:48" x14ac:dyDescent="0.35">
      <c r="A1048">
        <v>1046</v>
      </c>
      <c r="B1048">
        <v>46064</v>
      </c>
      <c r="C1048" t="s">
        <v>16</v>
      </c>
      <c r="D1048" t="s">
        <v>454</v>
      </c>
      <c r="E1048" t="s">
        <v>442</v>
      </c>
      <c r="F1048" t="s">
        <v>455</v>
      </c>
      <c r="G1048" t="s">
        <v>456</v>
      </c>
      <c r="H1048" t="s">
        <v>22</v>
      </c>
      <c r="I1048" t="s">
        <v>23</v>
      </c>
      <c r="J1048" t="s">
        <v>303</v>
      </c>
      <c r="K1048" t="s">
        <v>453</v>
      </c>
      <c r="L1048">
        <v>30</v>
      </c>
      <c r="M1048">
        <v>64</v>
      </c>
      <c r="N1048">
        <v>1</v>
      </c>
      <c r="O1048">
        <v>2</v>
      </c>
      <c r="P1048">
        <v>180</v>
      </c>
      <c r="Q1048">
        <v>0.50009999999999999</v>
      </c>
      <c r="R1048">
        <v>478.43153150792472</v>
      </c>
      <c r="S1048">
        <v>169.33153150792469</v>
      </c>
      <c r="T1048">
        <v>0.34097222222222223</v>
      </c>
      <c r="U1048">
        <v>41</v>
      </c>
      <c r="V1048">
        <v>0.69236111111111109</v>
      </c>
      <c r="W1048">
        <v>74.5</v>
      </c>
      <c r="X1048">
        <v>13.2</v>
      </c>
      <c r="Y1048">
        <v>40</v>
      </c>
      <c r="Z1048">
        <v>0.36041666666666666</v>
      </c>
      <c r="AA1048">
        <v>80</v>
      </c>
      <c r="AB1048">
        <v>16.2</v>
      </c>
      <c r="AD1048">
        <v>33.5</v>
      </c>
      <c r="AE1048">
        <v>40</v>
      </c>
      <c r="AF1048">
        <v>30.771229168713369</v>
      </c>
      <c r="AG1048">
        <v>36.349347131116531</v>
      </c>
      <c r="AH1048">
        <v>67.120576299829906</v>
      </c>
      <c r="AI1048">
        <v>4.0618022502701647</v>
      </c>
      <c r="AJ1048">
        <v>5.8885942352408778</v>
      </c>
      <c r="AK1048">
        <v>9.9503964855110425</v>
      </c>
      <c r="AL1048">
        <v>140.2929612274481</v>
      </c>
      <c r="AM1048">
        <v>35.393054252553988</v>
      </c>
      <c r="AN1048">
        <v>2.522796150490648</v>
      </c>
      <c r="AO1048">
        <v>13.2</v>
      </c>
      <c r="AP1048">
        <v>14.824658896047438</v>
      </c>
      <c r="AQ1048">
        <v>20.797952957133269</v>
      </c>
      <c r="AR1048">
        <v>58.762809247050157</v>
      </c>
      <c r="AS1048">
        <v>-1.7253014629312649</v>
      </c>
      <c r="AT1048">
        <v>11.543223717384693</v>
      </c>
      <c r="AU1048">
        <v>32.61437578971227</v>
      </c>
    </row>
    <row r="1049" spans="1:48" x14ac:dyDescent="0.35">
      <c r="A1049">
        <v>1047</v>
      </c>
      <c r="B1049">
        <v>46064</v>
      </c>
      <c r="C1049" t="s">
        <v>16</v>
      </c>
      <c r="D1049" t="s">
        <v>454</v>
      </c>
      <c r="E1049" t="s">
        <v>442</v>
      </c>
      <c r="F1049" t="s">
        <v>455</v>
      </c>
      <c r="G1049" t="s">
        <v>456</v>
      </c>
      <c r="H1049" t="s">
        <v>22</v>
      </c>
      <c r="I1049" t="s">
        <v>23</v>
      </c>
      <c r="J1049" t="s">
        <v>303</v>
      </c>
      <c r="K1049" t="s">
        <v>453</v>
      </c>
      <c r="L1049">
        <v>30</v>
      </c>
      <c r="M1049">
        <v>64</v>
      </c>
      <c r="N1049">
        <v>1</v>
      </c>
      <c r="O1049">
        <v>3</v>
      </c>
      <c r="P1049">
        <v>181</v>
      </c>
      <c r="Q1049">
        <v>0.50039999999999996</v>
      </c>
      <c r="R1049">
        <v>478.71853302652573</v>
      </c>
      <c r="S1049">
        <v>89.318533026525756</v>
      </c>
      <c r="T1049">
        <v>0.34097222222222223</v>
      </c>
      <c r="U1049">
        <v>41</v>
      </c>
      <c r="V1049">
        <v>0.69305555555555554</v>
      </c>
      <c r="W1049">
        <v>74</v>
      </c>
      <c r="X1049">
        <v>13.2</v>
      </c>
      <c r="Y1049">
        <v>40</v>
      </c>
      <c r="Z1049">
        <v>0.3611111111111111</v>
      </c>
      <c r="AA1049">
        <v>76.5</v>
      </c>
      <c r="AB1049">
        <v>16.399999999999999</v>
      </c>
      <c r="AD1049">
        <v>33</v>
      </c>
      <c r="AE1049">
        <v>36.5</v>
      </c>
      <c r="AF1049">
        <v>30.271229168713369</v>
      </c>
      <c r="AG1049">
        <v>32.849347131116531</v>
      </c>
      <c r="AH1049">
        <v>63.120576299829899</v>
      </c>
      <c r="AI1049">
        <v>3.9958022502701649</v>
      </c>
      <c r="AJ1049">
        <v>5.3872929295031105</v>
      </c>
      <c r="AK1049">
        <v>9.3830951797732745</v>
      </c>
      <c r="AL1049">
        <v>131.85321215949747</v>
      </c>
      <c r="AM1049">
        <v>18.657838973110451</v>
      </c>
      <c r="AN1049">
        <v>1.4150462220473494</v>
      </c>
      <c r="AO1049">
        <v>13.2</v>
      </c>
      <c r="AP1049">
        <v>14.865350935965013</v>
      </c>
      <c r="AQ1049">
        <v>19.600442707851794</v>
      </c>
      <c r="AR1049">
        <v>105.05205204150285</v>
      </c>
      <c r="AS1049">
        <v>-0.28292690458039954</v>
      </c>
      <c r="AT1049">
        <v>10.878584810863071</v>
      </c>
      <c r="AU1049">
        <v>58.305706392584966</v>
      </c>
    </row>
    <row r="1050" spans="1:48" x14ac:dyDescent="0.35">
      <c r="A1050">
        <v>1048</v>
      </c>
      <c r="B1050">
        <v>46064</v>
      </c>
      <c r="C1050" t="s">
        <v>16</v>
      </c>
      <c r="D1050" t="s">
        <v>458</v>
      </c>
      <c r="E1050" t="s">
        <v>333</v>
      </c>
      <c r="F1050" t="s">
        <v>438</v>
      </c>
      <c r="G1050" t="s">
        <v>439</v>
      </c>
      <c r="H1050" t="s">
        <v>22</v>
      </c>
      <c r="I1050" t="s">
        <v>23</v>
      </c>
      <c r="J1050" t="s">
        <v>303</v>
      </c>
      <c r="K1050" t="s">
        <v>457</v>
      </c>
      <c r="L1050">
        <v>30</v>
      </c>
      <c r="M1050">
        <v>64</v>
      </c>
      <c r="N1050">
        <v>1</v>
      </c>
      <c r="O1050">
        <v>1</v>
      </c>
      <c r="P1050">
        <v>182</v>
      </c>
      <c r="Q1050">
        <v>0.50049999999999994</v>
      </c>
      <c r="R1050">
        <v>477.8819627349061</v>
      </c>
      <c r="S1050">
        <v>173.58196273490609</v>
      </c>
      <c r="T1050">
        <v>0.34097222222222223</v>
      </c>
      <c r="U1050">
        <v>41</v>
      </c>
      <c r="V1050">
        <v>0.69305555555555554</v>
      </c>
      <c r="W1050">
        <v>77.5</v>
      </c>
      <c r="X1050">
        <v>13.9</v>
      </c>
      <c r="Y1050">
        <v>40.5</v>
      </c>
      <c r="Z1050">
        <v>0.3611111111111111</v>
      </c>
      <c r="AA1050">
        <v>81</v>
      </c>
      <c r="AB1050">
        <v>13.8</v>
      </c>
      <c r="AD1050">
        <v>36.5</v>
      </c>
      <c r="AE1050">
        <v>40.5</v>
      </c>
      <c r="AF1050">
        <v>33.771229168713369</v>
      </c>
      <c r="AG1050">
        <v>36.849347131116531</v>
      </c>
      <c r="AH1050">
        <v>70.620576299829906</v>
      </c>
      <c r="AI1050">
        <v>4.6942008544511591</v>
      </c>
      <c r="AJ1050">
        <v>5.0852099040940812</v>
      </c>
      <c r="AK1050">
        <v>9.7794107585452394</v>
      </c>
      <c r="AL1050">
        <v>147.77828377465889</v>
      </c>
      <c r="AM1050">
        <v>36.323187789198194</v>
      </c>
      <c r="AN1050">
        <v>2.4579516598383262</v>
      </c>
      <c r="AO1050">
        <v>13.900000000000002</v>
      </c>
      <c r="AP1050">
        <v>13.847820664936705</v>
      </c>
      <c r="AQ1050">
        <v>20.464071718836017</v>
      </c>
      <c r="AR1050">
        <v>56.338864963062605</v>
      </c>
      <c r="AS1050">
        <v>-0.25457571845582566</v>
      </c>
      <c r="AT1050">
        <v>11.357913853637706</v>
      </c>
      <c r="AU1050">
        <v>31.26904477534686</v>
      </c>
    </row>
    <row r="1051" spans="1:48" x14ac:dyDescent="0.35">
      <c r="A1051">
        <v>1049</v>
      </c>
      <c r="B1051">
        <v>46064</v>
      </c>
      <c r="C1051" t="s">
        <v>16</v>
      </c>
      <c r="D1051" t="s">
        <v>458</v>
      </c>
      <c r="E1051" t="s">
        <v>333</v>
      </c>
      <c r="F1051" t="s">
        <v>438</v>
      </c>
      <c r="G1051" t="s">
        <v>439</v>
      </c>
      <c r="H1051" t="s">
        <v>22</v>
      </c>
      <c r="I1051" t="s">
        <v>23</v>
      </c>
      <c r="J1051" t="s">
        <v>303</v>
      </c>
      <c r="K1051" t="s">
        <v>457</v>
      </c>
      <c r="L1051">
        <v>30</v>
      </c>
      <c r="M1051">
        <v>64</v>
      </c>
      <c r="N1051">
        <v>1</v>
      </c>
      <c r="O1051">
        <v>2</v>
      </c>
      <c r="P1051">
        <v>183</v>
      </c>
      <c r="Q1051">
        <v>0.5</v>
      </c>
      <c r="R1051">
        <v>477.40455817672938</v>
      </c>
      <c r="S1051">
        <v>254.90455817672947</v>
      </c>
      <c r="T1051">
        <v>0.34166666666666667</v>
      </c>
      <c r="U1051">
        <v>41</v>
      </c>
      <c r="V1051">
        <v>0.69374999999999998</v>
      </c>
      <c r="W1051">
        <v>79</v>
      </c>
      <c r="X1051">
        <v>13.9</v>
      </c>
      <c r="Y1051">
        <v>40.5</v>
      </c>
      <c r="Z1051">
        <v>0.36180555555555555</v>
      </c>
      <c r="AA1051">
        <v>79.5</v>
      </c>
      <c r="AB1051">
        <v>13.5</v>
      </c>
      <c r="AD1051">
        <v>38</v>
      </c>
      <c r="AE1051">
        <v>39</v>
      </c>
      <c r="AF1051">
        <v>35.271229168713369</v>
      </c>
      <c r="AG1051">
        <v>35.349347131116531</v>
      </c>
      <c r="AH1051">
        <v>70.620576299829906</v>
      </c>
      <c r="AI1051">
        <v>4.902700854451159</v>
      </c>
      <c r="AJ1051">
        <v>4.7721618627007318</v>
      </c>
      <c r="AK1051">
        <v>9.6748627171518908</v>
      </c>
      <c r="AL1051">
        <v>147.92606205843353</v>
      </c>
      <c r="AM1051">
        <v>53.393825804731186</v>
      </c>
      <c r="AN1051">
        <v>3.6094941663247715</v>
      </c>
      <c r="AO1051">
        <v>13.900000000000002</v>
      </c>
      <c r="AP1051">
        <v>13.69977876713418</v>
      </c>
      <c r="AQ1051">
        <v>20.265543240939007</v>
      </c>
      <c r="AR1051">
        <v>37.954843908456716</v>
      </c>
      <c r="AS1051">
        <v>-7.3965090010654064</v>
      </c>
      <c r="AT1051">
        <v>11.247727113656111</v>
      </c>
      <c r="AU1051">
        <v>21.065595027392582</v>
      </c>
    </row>
    <row r="1052" spans="1:48" x14ac:dyDescent="0.35">
      <c r="A1052">
        <v>1050</v>
      </c>
      <c r="B1052">
        <v>46064</v>
      </c>
      <c r="C1052" t="s">
        <v>16</v>
      </c>
      <c r="D1052" t="s">
        <v>458</v>
      </c>
      <c r="E1052" t="s">
        <v>333</v>
      </c>
      <c r="F1052" t="s">
        <v>438</v>
      </c>
      <c r="G1052" t="s">
        <v>439</v>
      </c>
      <c r="H1052" t="s">
        <v>22</v>
      </c>
      <c r="I1052" t="s">
        <v>23</v>
      </c>
      <c r="J1052" t="s">
        <v>303</v>
      </c>
      <c r="K1052" t="s">
        <v>457</v>
      </c>
      <c r="L1052">
        <v>30</v>
      </c>
      <c r="M1052">
        <v>64</v>
      </c>
      <c r="N1052">
        <v>1</v>
      </c>
      <c r="O1052">
        <v>3</v>
      </c>
      <c r="P1052">
        <v>184</v>
      </c>
      <c r="Q1052">
        <v>0.50009999999999999</v>
      </c>
      <c r="R1052">
        <v>477.5000390883647</v>
      </c>
      <c r="S1052">
        <v>261.10003908836467</v>
      </c>
      <c r="T1052">
        <v>0.34166666666666667</v>
      </c>
      <c r="U1052">
        <v>41.5</v>
      </c>
      <c r="V1052">
        <v>0.69374999999999998</v>
      </c>
      <c r="W1052">
        <v>80.5</v>
      </c>
      <c r="X1052">
        <v>13.5</v>
      </c>
      <c r="Y1052">
        <v>40.5</v>
      </c>
      <c r="Z1052">
        <v>0.36249999999999999</v>
      </c>
      <c r="AA1052">
        <v>83</v>
      </c>
      <c r="AB1052">
        <v>13.3</v>
      </c>
      <c r="AD1052">
        <v>39</v>
      </c>
      <c r="AE1052">
        <v>42.5</v>
      </c>
      <c r="AF1052">
        <v>36.271229168713369</v>
      </c>
      <c r="AG1052">
        <v>38.849347131116531</v>
      </c>
      <c r="AH1052">
        <v>75.120576299829906</v>
      </c>
      <c r="AI1052">
        <v>4.8966159377763052</v>
      </c>
      <c r="AJ1052">
        <v>5.1669631684384987</v>
      </c>
      <c r="AK1052">
        <v>10.063579106214803</v>
      </c>
      <c r="AL1052">
        <v>157.32056576005499</v>
      </c>
      <c r="AM1052">
        <v>54.680631982115145</v>
      </c>
      <c r="AN1052">
        <v>3.4757459533621264</v>
      </c>
      <c r="AO1052">
        <v>13.5</v>
      </c>
      <c r="AP1052">
        <v>13.396568026911675</v>
      </c>
      <c r="AQ1052">
        <v>21.075556612368082</v>
      </c>
      <c r="AR1052">
        <v>38.543001147575325</v>
      </c>
      <c r="AS1052">
        <v>6.7581398843234615</v>
      </c>
      <c r="AT1052">
        <v>11.697298548871419</v>
      </c>
      <c r="AU1052">
        <v>21.392032470834195</v>
      </c>
    </row>
    <row r="1053" spans="1:48" x14ac:dyDescent="0.35">
      <c r="A1053">
        <v>1051</v>
      </c>
      <c r="B1053">
        <v>46064</v>
      </c>
      <c r="C1053" t="s">
        <v>16</v>
      </c>
      <c r="D1053" t="s">
        <v>460</v>
      </c>
      <c r="E1053" t="s">
        <v>333</v>
      </c>
      <c r="F1053" t="s">
        <v>461</v>
      </c>
      <c r="G1053" t="s">
        <v>462</v>
      </c>
      <c r="H1053" t="s">
        <v>22</v>
      </c>
      <c r="I1053" t="s">
        <v>23</v>
      </c>
      <c r="J1053" t="s">
        <v>303</v>
      </c>
      <c r="K1053" t="s">
        <v>459</v>
      </c>
      <c r="L1053">
        <v>30</v>
      </c>
      <c r="M1053">
        <v>64</v>
      </c>
      <c r="N1053">
        <v>1</v>
      </c>
      <c r="O1053">
        <v>1</v>
      </c>
      <c r="P1053">
        <v>185</v>
      </c>
      <c r="Q1053">
        <v>0.5</v>
      </c>
      <c r="R1053">
        <v>482.20799636167493</v>
      </c>
      <c r="S1053">
        <v>247.80799636167498</v>
      </c>
      <c r="T1053">
        <v>0.34166666666666667</v>
      </c>
      <c r="U1053">
        <v>40.5</v>
      </c>
      <c r="V1053">
        <v>0.69444444444444442</v>
      </c>
      <c r="W1053">
        <v>79.5</v>
      </c>
      <c r="X1053">
        <v>15</v>
      </c>
      <c r="Y1053">
        <v>40.5</v>
      </c>
      <c r="Z1053">
        <v>0.36319444444444443</v>
      </c>
      <c r="AA1053">
        <v>85.5</v>
      </c>
      <c r="AB1053">
        <v>15.3</v>
      </c>
      <c r="AD1053">
        <v>39</v>
      </c>
      <c r="AE1053">
        <v>45</v>
      </c>
      <c r="AF1053">
        <v>36.271229168713369</v>
      </c>
      <c r="AG1053">
        <v>41.349347131116531</v>
      </c>
      <c r="AH1053">
        <v>77.620576299829906</v>
      </c>
      <c r="AI1053">
        <v>5.4406843753070051</v>
      </c>
      <c r="AJ1053">
        <v>6.3264501110608293</v>
      </c>
      <c r="AK1053">
        <v>11.767134486367834</v>
      </c>
      <c r="AL1053">
        <v>160.96907742195842</v>
      </c>
      <c r="AM1053">
        <v>51.390271051376189</v>
      </c>
      <c r="AN1053">
        <v>3.1925554817378754</v>
      </c>
      <c r="AO1053">
        <v>14.999999999999998</v>
      </c>
      <c r="AP1053">
        <v>15.159813347577039</v>
      </c>
      <c r="AQ1053">
        <v>24.402611684485674</v>
      </c>
      <c r="AR1053">
        <v>47.484886118015893</v>
      </c>
      <c r="AS1053">
        <v>3.3063009340468579</v>
      </c>
      <c r="AT1053">
        <v>13.543871675403119</v>
      </c>
      <c r="AU1053">
        <v>26.354933333320929</v>
      </c>
    </row>
    <row r="1054" spans="1:48" x14ac:dyDescent="0.35">
      <c r="A1054">
        <v>1052</v>
      </c>
      <c r="B1054">
        <v>46064</v>
      </c>
      <c r="C1054" t="s">
        <v>16</v>
      </c>
      <c r="D1054" t="s">
        <v>460</v>
      </c>
      <c r="E1054" t="s">
        <v>333</v>
      </c>
      <c r="F1054" t="s">
        <v>461</v>
      </c>
      <c r="G1054" t="s">
        <v>462</v>
      </c>
      <c r="H1054" t="s">
        <v>22</v>
      </c>
      <c r="I1054" t="s">
        <v>23</v>
      </c>
      <c r="J1054" t="s">
        <v>303</v>
      </c>
      <c r="K1054" t="s">
        <v>459</v>
      </c>
      <c r="L1054">
        <v>30</v>
      </c>
      <c r="M1054">
        <v>64</v>
      </c>
      <c r="N1054">
        <v>1</v>
      </c>
      <c r="O1054">
        <v>2</v>
      </c>
      <c r="P1054">
        <v>186</v>
      </c>
      <c r="Q1054">
        <v>0.50039999999999996</v>
      </c>
      <c r="R1054">
        <v>482.59376275876423</v>
      </c>
      <c r="S1054">
        <v>238.29376275876416</v>
      </c>
      <c r="T1054">
        <v>0.34166666666666667</v>
      </c>
      <c r="U1054">
        <v>41</v>
      </c>
      <c r="V1054">
        <v>0.69513888888888886</v>
      </c>
      <c r="W1054">
        <v>80.5</v>
      </c>
      <c r="X1054">
        <v>14.7</v>
      </c>
      <c r="Y1054">
        <v>40.5</v>
      </c>
      <c r="Z1054">
        <v>0.36319444444444443</v>
      </c>
      <c r="AA1054">
        <v>84</v>
      </c>
      <c r="AB1054">
        <v>15.6</v>
      </c>
      <c r="AD1054">
        <v>39.5</v>
      </c>
      <c r="AE1054">
        <v>43.5</v>
      </c>
      <c r="AF1054">
        <v>36.771229168713369</v>
      </c>
      <c r="AG1054">
        <v>39.849347131116531</v>
      </c>
      <c r="AH1054">
        <v>76.620576299829906</v>
      </c>
      <c r="AI1054">
        <v>5.4053706878008647</v>
      </c>
      <c r="AJ1054">
        <v>6.2164981524541787</v>
      </c>
      <c r="AK1054">
        <v>11.621868840255043</v>
      </c>
      <c r="AL1054">
        <v>158.76826890970511</v>
      </c>
      <c r="AM1054">
        <v>49.377712922883518</v>
      </c>
      <c r="AN1054">
        <v>3.1100492095788788</v>
      </c>
      <c r="AO1054">
        <v>14.699999999999998</v>
      </c>
      <c r="AP1054">
        <v>15.168078082285117</v>
      </c>
      <c r="AQ1054">
        <v>24.082094998116474</v>
      </c>
      <c r="AR1054">
        <v>48.771183541301497</v>
      </c>
      <c r="AS1054">
        <v>-26.785703847649966</v>
      </c>
      <c r="AT1054">
        <v>13.365979369196824</v>
      </c>
      <c r="AU1054">
        <v>27.068850657525125</v>
      </c>
    </row>
    <row r="1055" spans="1:48" x14ac:dyDescent="0.35">
      <c r="A1055">
        <v>1053</v>
      </c>
      <c r="B1055">
        <v>46064</v>
      </c>
      <c r="C1055" t="s">
        <v>16</v>
      </c>
      <c r="D1055" t="s">
        <v>460</v>
      </c>
      <c r="E1055" t="s">
        <v>333</v>
      </c>
      <c r="F1055" t="s">
        <v>461</v>
      </c>
      <c r="G1055" t="s">
        <v>462</v>
      </c>
      <c r="H1055" t="s">
        <v>22</v>
      </c>
      <c r="I1055" t="s">
        <v>23</v>
      </c>
      <c r="J1055" t="s">
        <v>303</v>
      </c>
      <c r="K1055" t="s">
        <v>459</v>
      </c>
      <c r="L1055">
        <v>30</v>
      </c>
      <c r="M1055">
        <v>64</v>
      </c>
      <c r="N1055">
        <v>1</v>
      </c>
      <c r="O1055">
        <v>3</v>
      </c>
      <c r="P1055">
        <v>187</v>
      </c>
      <c r="Q1055">
        <v>0.50039999999999996</v>
      </c>
      <c r="R1055">
        <v>482.59376275876423</v>
      </c>
      <c r="S1055">
        <v>238.39376275876415</v>
      </c>
      <c r="T1055">
        <v>0.34236111111111112</v>
      </c>
      <c r="U1055">
        <v>40</v>
      </c>
      <c r="V1055">
        <v>0.69513888888888886</v>
      </c>
      <c r="W1055">
        <v>78</v>
      </c>
      <c r="X1055">
        <v>15.3</v>
      </c>
      <c r="Y1055">
        <v>40</v>
      </c>
      <c r="Z1055">
        <v>0.36388888888888887</v>
      </c>
      <c r="AA1055">
        <v>86.5</v>
      </c>
      <c r="AB1055">
        <v>15.5</v>
      </c>
      <c r="AD1055">
        <v>38</v>
      </c>
      <c r="AE1055">
        <v>46.5</v>
      </c>
      <c r="AF1055">
        <v>35.271229168713369</v>
      </c>
      <c r="AG1055">
        <v>42.849347131116531</v>
      </c>
      <c r="AH1055">
        <v>78.120576299829906</v>
      </c>
      <c r="AI1055">
        <v>5.3964980628131451</v>
      </c>
      <c r="AJ1055">
        <v>6.6416488053230625</v>
      </c>
      <c r="AK1055">
        <v>12.038146868136208</v>
      </c>
      <c r="AL1055">
        <v>161.87647319196768</v>
      </c>
      <c r="AM1055">
        <v>49.398434284765273</v>
      </c>
      <c r="AN1055">
        <v>3.0516129558978076</v>
      </c>
      <c r="AO1055">
        <v>15.299999999999999</v>
      </c>
      <c r="AP1055">
        <v>15.40970054026908</v>
      </c>
      <c r="AQ1055">
        <v>24.944679764031175</v>
      </c>
      <c r="AR1055">
        <v>50.496903647256367</v>
      </c>
      <c r="AS1055">
        <v>-30.649167667192209</v>
      </c>
      <c r="AT1055">
        <v>13.844728837891351</v>
      </c>
      <c r="AU1055">
        <v>28.026655173079316</v>
      </c>
    </row>
    <row r="1056" spans="1:48" x14ac:dyDescent="0.35">
      <c r="A1056">
        <v>1054</v>
      </c>
      <c r="B1056">
        <v>46064</v>
      </c>
      <c r="C1056" t="s">
        <v>16</v>
      </c>
      <c r="D1056" t="s">
        <v>464</v>
      </c>
      <c r="E1056" t="s">
        <v>333</v>
      </c>
      <c r="F1056" t="s">
        <v>438</v>
      </c>
      <c r="G1056" t="s">
        <v>439</v>
      </c>
      <c r="H1056" t="s">
        <v>22</v>
      </c>
      <c r="I1056" t="s">
        <v>23</v>
      </c>
      <c r="J1056" t="s">
        <v>303</v>
      </c>
      <c r="K1056" t="s">
        <v>463</v>
      </c>
      <c r="L1056">
        <v>30</v>
      </c>
      <c r="M1056">
        <v>64</v>
      </c>
      <c r="N1056">
        <v>1</v>
      </c>
      <c r="O1056">
        <v>1</v>
      </c>
      <c r="P1056">
        <v>188</v>
      </c>
      <c r="Q1056">
        <v>0.50009999999999999</v>
      </c>
      <c r="R1056">
        <v>479.28021509836844</v>
      </c>
      <c r="S1056">
        <v>118.5802150983684</v>
      </c>
      <c r="T1056">
        <v>0.34236111111111112</v>
      </c>
      <c r="U1056">
        <v>41</v>
      </c>
      <c r="V1056">
        <v>0.6958333333333333</v>
      </c>
      <c r="W1056">
        <v>78.5</v>
      </c>
      <c r="X1056">
        <v>14.9</v>
      </c>
      <c r="Y1056">
        <v>40</v>
      </c>
      <c r="Z1056">
        <v>0.36388888888888887</v>
      </c>
      <c r="AA1056">
        <v>76</v>
      </c>
      <c r="AB1056">
        <v>15.3</v>
      </c>
      <c r="AD1056">
        <v>37.5</v>
      </c>
      <c r="AE1056">
        <v>36</v>
      </c>
      <c r="AF1056">
        <v>34.771229168713369</v>
      </c>
      <c r="AG1056">
        <v>32.349347131116531</v>
      </c>
      <c r="AH1056">
        <v>67.120576299829906</v>
      </c>
      <c r="AI1056">
        <v>5.180913146138292</v>
      </c>
      <c r="AJ1056">
        <v>4.9494501110608295</v>
      </c>
      <c r="AK1056">
        <v>10.130363257199122</v>
      </c>
      <c r="AL1056">
        <v>140.04453800800843</v>
      </c>
      <c r="AM1056">
        <v>24.741312360250621</v>
      </c>
      <c r="AN1056">
        <v>1.7666745674033926</v>
      </c>
      <c r="AO1056">
        <v>14.9</v>
      </c>
      <c r="AP1056">
        <v>15.092783488548196</v>
      </c>
      <c r="AQ1056">
        <v>21.136618909086295</v>
      </c>
      <c r="AR1056">
        <v>85.430467880290678</v>
      </c>
      <c r="AS1056">
        <v>-0.52197277677783493</v>
      </c>
      <c r="AT1056">
        <v>11.73118917999115</v>
      </c>
      <c r="AU1056">
        <v>47.415387709337807</v>
      </c>
    </row>
    <row r="1057" spans="1:48" x14ac:dyDescent="0.35">
      <c r="A1057">
        <v>1055</v>
      </c>
      <c r="B1057">
        <v>46064</v>
      </c>
      <c r="C1057" t="s">
        <v>16</v>
      </c>
      <c r="D1057" t="s">
        <v>464</v>
      </c>
      <c r="E1057" t="s">
        <v>333</v>
      </c>
      <c r="F1057" t="s">
        <v>438</v>
      </c>
      <c r="G1057" t="s">
        <v>439</v>
      </c>
      <c r="H1057" t="s">
        <v>22</v>
      </c>
      <c r="I1057" t="s">
        <v>23</v>
      </c>
      <c r="J1057" t="s">
        <v>303</v>
      </c>
      <c r="K1057" t="s">
        <v>463</v>
      </c>
      <c r="L1057">
        <v>30</v>
      </c>
      <c r="M1057">
        <v>64</v>
      </c>
      <c r="N1057">
        <v>1</v>
      </c>
      <c r="O1057">
        <v>2</v>
      </c>
      <c r="P1057">
        <v>189</v>
      </c>
      <c r="Q1057">
        <v>0.50039999999999996</v>
      </c>
      <c r="R1057">
        <v>479.56772572530207</v>
      </c>
      <c r="S1057">
        <v>190.36772572530208</v>
      </c>
      <c r="T1057">
        <v>0.34236111111111112</v>
      </c>
      <c r="U1057">
        <v>40.5</v>
      </c>
      <c r="V1057">
        <v>0.6958333333333333</v>
      </c>
      <c r="W1057">
        <v>79</v>
      </c>
      <c r="X1057">
        <v>14.2</v>
      </c>
      <c r="Y1057">
        <v>40</v>
      </c>
      <c r="Z1057">
        <v>0.36458333333333331</v>
      </c>
      <c r="AA1057">
        <v>79.5</v>
      </c>
      <c r="AB1057">
        <v>15.3</v>
      </c>
      <c r="AD1057">
        <v>38.5</v>
      </c>
      <c r="AE1057">
        <v>39.5</v>
      </c>
      <c r="AF1057">
        <v>35.771229168713369</v>
      </c>
      <c r="AG1057">
        <v>35.849347131116531</v>
      </c>
      <c r="AH1057">
        <v>71.620576299829906</v>
      </c>
      <c r="AI1057">
        <v>5.0795145419572982</v>
      </c>
      <c r="AJ1057">
        <v>5.4849501110608294</v>
      </c>
      <c r="AK1057">
        <v>10.564464653018128</v>
      </c>
      <c r="AL1057">
        <v>149.34402892002456</v>
      </c>
      <c r="AM1057">
        <v>39.695691664277113</v>
      </c>
      <c r="AN1057">
        <v>2.6580032661054447</v>
      </c>
      <c r="AO1057">
        <v>14.2</v>
      </c>
      <c r="AP1057">
        <v>14.750599895749815</v>
      </c>
      <c r="AQ1057">
        <v>22.029140174185713</v>
      </c>
      <c r="AR1057">
        <v>55.495040521009848</v>
      </c>
      <c r="AS1057">
        <v>2.4458982167331995</v>
      </c>
      <c r="AT1057">
        <v>12.226553923665705</v>
      </c>
      <c r="AU1057">
        <v>30.800707610968786</v>
      </c>
    </row>
    <row r="1058" spans="1:48" x14ac:dyDescent="0.35">
      <c r="A1058">
        <v>1056</v>
      </c>
      <c r="B1058">
        <v>46064</v>
      </c>
      <c r="C1058" t="s">
        <v>16</v>
      </c>
      <c r="D1058" t="s">
        <v>464</v>
      </c>
      <c r="E1058" t="s">
        <v>333</v>
      </c>
      <c r="F1058" t="s">
        <v>438</v>
      </c>
      <c r="G1058" t="s">
        <v>439</v>
      </c>
      <c r="H1058" t="s">
        <v>22</v>
      </c>
      <c r="I1058" t="s">
        <v>23</v>
      </c>
      <c r="J1058" t="s">
        <v>303</v>
      </c>
      <c r="K1058" t="s">
        <v>463</v>
      </c>
      <c r="L1058">
        <v>30</v>
      </c>
      <c r="M1058">
        <v>64</v>
      </c>
      <c r="N1058">
        <v>1</v>
      </c>
      <c r="O1058">
        <v>3</v>
      </c>
      <c r="P1058">
        <v>190</v>
      </c>
      <c r="Q1058">
        <v>0.50019999999999998</v>
      </c>
      <c r="R1058">
        <v>479.37605197401308</v>
      </c>
      <c r="S1058">
        <v>183.87605197401308</v>
      </c>
      <c r="T1058">
        <v>0.34305555555555556</v>
      </c>
      <c r="U1058">
        <v>40.5</v>
      </c>
      <c r="V1058">
        <v>0.69652777777777775</v>
      </c>
      <c r="W1058">
        <v>79</v>
      </c>
      <c r="X1058">
        <v>14.2</v>
      </c>
      <c r="Y1058">
        <v>40</v>
      </c>
      <c r="Z1058">
        <v>0.36458333333333331</v>
      </c>
      <c r="AA1058">
        <v>75.5</v>
      </c>
      <c r="AB1058">
        <v>15.3</v>
      </c>
      <c r="AD1058">
        <v>38.5</v>
      </c>
      <c r="AE1058">
        <v>35.5</v>
      </c>
      <c r="AF1058">
        <v>35.771229168713369</v>
      </c>
      <c r="AG1058">
        <v>31.849347131116534</v>
      </c>
      <c r="AH1058">
        <v>67.620576299829906</v>
      </c>
      <c r="AI1058">
        <v>5.0795145419572982</v>
      </c>
      <c r="AJ1058">
        <v>4.8729501110608293</v>
      </c>
      <c r="AK1058">
        <v>9.9524646530181275</v>
      </c>
      <c r="AL1058">
        <v>141.05956278244707</v>
      </c>
      <c r="AM1058">
        <v>38.357371257248573</v>
      </c>
      <c r="AN1058">
        <v>2.7192322520101859</v>
      </c>
      <c r="AO1058">
        <v>14.2</v>
      </c>
      <c r="AP1058">
        <v>14.718100905985864</v>
      </c>
      <c r="AQ1058">
        <v>20.761288787863041</v>
      </c>
      <c r="AR1058">
        <v>54.125942699839428</v>
      </c>
      <c r="AS1058">
        <v>4.5324267088916157</v>
      </c>
      <c r="AT1058">
        <v>11.522874469111526</v>
      </c>
      <c r="AU1058">
        <v>30.040834633405684</v>
      </c>
    </row>
    <row r="1059" spans="1:48" x14ac:dyDescent="0.35">
      <c r="A1059">
        <v>1057</v>
      </c>
      <c r="B1059">
        <v>46064</v>
      </c>
      <c r="C1059" t="s">
        <v>16</v>
      </c>
      <c r="D1059" t="s">
        <v>466</v>
      </c>
      <c r="E1059" t="s">
        <v>346</v>
      </c>
      <c r="F1059" t="s">
        <v>347</v>
      </c>
      <c r="G1059" t="s">
        <v>348</v>
      </c>
      <c r="H1059" t="s">
        <v>22</v>
      </c>
      <c r="I1059" t="s">
        <v>23</v>
      </c>
      <c r="J1059" t="s">
        <v>303</v>
      </c>
      <c r="K1059" t="s">
        <v>465</v>
      </c>
      <c r="L1059">
        <v>30</v>
      </c>
      <c r="M1059">
        <v>64</v>
      </c>
      <c r="N1059">
        <v>1</v>
      </c>
      <c r="O1059">
        <v>1</v>
      </c>
      <c r="P1059">
        <v>191</v>
      </c>
      <c r="Q1059">
        <v>0.50039999999999996</v>
      </c>
      <c r="R1059">
        <v>481.91841250543075</v>
      </c>
      <c r="S1059">
        <v>95.11841250543074</v>
      </c>
      <c r="T1059">
        <v>0.34305555555555556</v>
      </c>
      <c r="U1059">
        <v>40.5</v>
      </c>
      <c r="V1059">
        <v>0.69652777777777775</v>
      </c>
      <c r="W1059">
        <v>71.5</v>
      </c>
      <c r="X1059">
        <v>15.1</v>
      </c>
      <c r="Y1059">
        <v>40</v>
      </c>
      <c r="Z1059">
        <v>0.36527777777777776</v>
      </c>
      <c r="AA1059">
        <v>73</v>
      </c>
      <c r="AB1059">
        <v>15.9</v>
      </c>
      <c r="AD1059">
        <v>31</v>
      </c>
      <c r="AE1059">
        <v>33</v>
      </c>
      <c r="AF1059">
        <v>28.271229168713369</v>
      </c>
      <c r="AG1059">
        <v>29.349347131116534</v>
      </c>
      <c r="AH1059">
        <v>57.620576299829906</v>
      </c>
      <c r="AI1059">
        <v>4.2689556044757184</v>
      </c>
      <c r="AJ1059">
        <v>4.6665461938475294</v>
      </c>
      <c r="AK1059">
        <v>8.9355017983232479</v>
      </c>
      <c r="AL1059">
        <v>119.56500271543491</v>
      </c>
      <c r="AM1059">
        <v>19.737451410275561</v>
      </c>
      <c r="AN1059">
        <v>1.6507716273172979</v>
      </c>
      <c r="AO1059">
        <v>15.1</v>
      </c>
      <c r="AP1059">
        <v>15.507484256712694</v>
      </c>
      <c r="AQ1059">
        <v>18.54152397263417</v>
      </c>
      <c r="AR1059">
        <v>93.940821371604372</v>
      </c>
      <c r="AS1059">
        <v>-0.32260409932076806</v>
      </c>
      <c r="AT1059">
        <v>10.290866592423948</v>
      </c>
      <c r="AU1059">
        <v>52.138781134966578</v>
      </c>
    </row>
    <row r="1060" spans="1:48" x14ac:dyDescent="0.35">
      <c r="A1060">
        <v>1058</v>
      </c>
      <c r="B1060">
        <v>46064</v>
      </c>
      <c r="C1060" t="s">
        <v>16</v>
      </c>
      <c r="D1060" t="s">
        <v>466</v>
      </c>
      <c r="E1060" t="s">
        <v>346</v>
      </c>
      <c r="F1060" t="s">
        <v>347</v>
      </c>
      <c r="G1060" t="s">
        <v>348</v>
      </c>
      <c r="H1060" t="s">
        <v>22</v>
      </c>
      <c r="I1060" t="s">
        <v>23</v>
      </c>
      <c r="J1060" t="s">
        <v>303</v>
      </c>
      <c r="K1060" t="s">
        <v>465</v>
      </c>
      <c r="L1060">
        <v>30</v>
      </c>
      <c r="M1060">
        <v>64</v>
      </c>
      <c r="N1060">
        <v>1</v>
      </c>
      <c r="O1060">
        <v>2</v>
      </c>
      <c r="P1060">
        <v>192</v>
      </c>
      <c r="Q1060">
        <v>0.5</v>
      </c>
      <c r="R1060">
        <v>481.53318595666548</v>
      </c>
      <c r="S1060">
        <v>142.6331859566655</v>
      </c>
      <c r="T1060">
        <v>0.34305555555555556</v>
      </c>
      <c r="U1060">
        <v>40.5</v>
      </c>
      <c r="V1060">
        <v>0.69722222222222219</v>
      </c>
      <c r="W1060">
        <v>73.5</v>
      </c>
      <c r="X1060">
        <v>14.9</v>
      </c>
      <c r="Y1060">
        <v>40</v>
      </c>
      <c r="Z1060">
        <v>0.36527777777777776</v>
      </c>
      <c r="AA1060">
        <v>75.5</v>
      </c>
      <c r="AB1060">
        <v>16.100000000000001</v>
      </c>
      <c r="AD1060">
        <v>33</v>
      </c>
      <c r="AE1060">
        <v>35.5</v>
      </c>
      <c r="AF1060">
        <v>30.271229168713369</v>
      </c>
      <c r="AG1060">
        <v>31.849347131116534</v>
      </c>
      <c r="AH1060">
        <v>62.120576299829906</v>
      </c>
      <c r="AI1060">
        <v>4.5104131461382915</v>
      </c>
      <c r="AJ1060">
        <v>5.1277448881097625</v>
      </c>
      <c r="AK1060">
        <v>9.638158034248054</v>
      </c>
      <c r="AL1060">
        <v>129.005805023416</v>
      </c>
      <c r="AM1060">
        <v>29.620634696920238</v>
      </c>
      <c r="AN1060">
        <v>2.2960699087567229</v>
      </c>
      <c r="AO1060">
        <v>14.899999999999997</v>
      </c>
      <c r="AP1060">
        <v>15.515242466085176</v>
      </c>
      <c r="AQ1060">
        <v>20.015563444708082</v>
      </c>
      <c r="AR1060">
        <v>67.5730403804925</v>
      </c>
      <c r="AS1060">
        <v>-0.80493346113158493</v>
      </c>
      <c r="AT1060">
        <v>11.108984001837982</v>
      </c>
      <c r="AU1060">
        <v>37.504206494916943</v>
      </c>
    </row>
    <row r="1061" spans="1:48" x14ac:dyDescent="0.35">
      <c r="A1061">
        <v>1059</v>
      </c>
      <c r="B1061">
        <v>46064</v>
      </c>
      <c r="C1061" t="s">
        <v>16</v>
      </c>
      <c r="D1061" t="s">
        <v>466</v>
      </c>
      <c r="E1061" t="s">
        <v>346</v>
      </c>
      <c r="F1061" t="s">
        <v>347</v>
      </c>
      <c r="G1061" t="s">
        <v>348</v>
      </c>
      <c r="H1061" t="s">
        <v>22</v>
      </c>
      <c r="I1061" t="s">
        <v>23</v>
      </c>
      <c r="J1061" t="s">
        <v>303</v>
      </c>
      <c r="K1061" t="s">
        <v>465</v>
      </c>
      <c r="L1061">
        <v>30</v>
      </c>
      <c r="M1061">
        <v>64</v>
      </c>
      <c r="N1061">
        <v>1</v>
      </c>
      <c r="O1061">
        <v>3</v>
      </c>
      <c r="P1061">
        <v>193</v>
      </c>
      <c r="Q1061">
        <v>0.50049999999999994</v>
      </c>
      <c r="R1061">
        <v>482.01471914262208</v>
      </c>
      <c r="S1061">
        <v>122.71471914262202</v>
      </c>
      <c r="T1061">
        <v>0.34375</v>
      </c>
      <c r="U1061">
        <v>41</v>
      </c>
      <c r="V1061">
        <v>0.69791666666666663</v>
      </c>
      <c r="W1061">
        <v>72</v>
      </c>
      <c r="X1061">
        <v>14.7</v>
      </c>
      <c r="Y1061">
        <v>40</v>
      </c>
      <c r="Z1061">
        <v>0.3659722222222222</v>
      </c>
      <c r="AA1061">
        <v>72</v>
      </c>
      <c r="AB1061">
        <v>16.2</v>
      </c>
      <c r="AD1061">
        <v>31</v>
      </c>
      <c r="AE1061">
        <v>32</v>
      </c>
      <c r="AF1061">
        <v>28.271229168713369</v>
      </c>
      <c r="AG1061">
        <v>28.349347131116534</v>
      </c>
      <c r="AH1061">
        <v>56.620576299829906</v>
      </c>
      <c r="AI1061">
        <v>4.1558706878008653</v>
      </c>
      <c r="AJ1061">
        <v>4.5925942352408784</v>
      </c>
      <c r="AK1061">
        <v>8.7484649230417446</v>
      </c>
      <c r="AL1061">
        <v>117.46648816148826</v>
      </c>
      <c r="AM1061">
        <v>25.458707850436468</v>
      </c>
      <c r="AN1061">
        <v>2.167316674644844</v>
      </c>
      <c r="AO1061">
        <v>14.700000000000001</v>
      </c>
      <c r="AP1061">
        <v>15.45103475583668</v>
      </c>
      <c r="AQ1061">
        <v>18.149787912292329</v>
      </c>
      <c r="AR1061">
        <v>71.29108051719588</v>
      </c>
      <c r="AS1061">
        <v>-0.47046141273928854</v>
      </c>
      <c r="AT1061">
        <v>10.073446301493735</v>
      </c>
      <c r="AU1061">
        <v>39.567783096741245</v>
      </c>
    </row>
    <row r="1062" spans="1:48" x14ac:dyDescent="0.35">
      <c r="A1062">
        <v>1060</v>
      </c>
      <c r="B1062">
        <v>46064</v>
      </c>
      <c r="C1062" t="s">
        <v>16</v>
      </c>
      <c r="D1062" t="s">
        <v>468</v>
      </c>
      <c r="E1062" t="s">
        <v>212</v>
      </c>
      <c r="F1062" t="s">
        <v>469</v>
      </c>
      <c r="G1062" t="s">
        <v>470</v>
      </c>
      <c r="H1062" t="s">
        <v>22</v>
      </c>
      <c r="I1062" t="s">
        <v>23</v>
      </c>
      <c r="J1062" t="s">
        <v>303</v>
      </c>
      <c r="K1062" t="s">
        <v>467</v>
      </c>
      <c r="L1062">
        <v>30</v>
      </c>
      <c r="M1062">
        <v>64</v>
      </c>
      <c r="N1062">
        <v>1</v>
      </c>
      <c r="O1062">
        <v>1</v>
      </c>
      <c r="P1062">
        <v>194</v>
      </c>
      <c r="Q1062">
        <v>0.50029999999999997</v>
      </c>
      <c r="R1062">
        <v>475.26503600959654</v>
      </c>
      <c r="S1062">
        <v>179.76503600959654</v>
      </c>
      <c r="T1062">
        <v>0.34375</v>
      </c>
      <c r="U1062">
        <v>40.5</v>
      </c>
      <c r="V1062">
        <v>0.69861111111111107</v>
      </c>
      <c r="W1062">
        <v>80.5</v>
      </c>
      <c r="X1062">
        <v>16.5</v>
      </c>
      <c r="Y1062">
        <v>40</v>
      </c>
      <c r="Z1062">
        <v>0.3659722222222222</v>
      </c>
      <c r="AA1062">
        <v>77</v>
      </c>
      <c r="AB1062">
        <v>16.2</v>
      </c>
      <c r="AD1062">
        <v>40</v>
      </c>
      <c r="AE1062">
        <v>37</v>
      </c>
      <c r="AF1062">
        <v>37.271229168713369</v>
      </c>
      <c r="AG1062">
        <v>33.349347131116531</v>
      </c>
      <c r="AH1062">
        <v>70.620576299829906</v>
      </c>
      <c r="AI1062">
        <v>6.1497528128377059</v>
      </c>
      <c r="AJ1062">
        <v>5.402594235240878</v>
      </c>
      <c r="AK1062">
        <v>11.552347048078584</v>
      </c>
      <c r="AL1062">
        <v>148.59198752084077</v>
      </c>
      <c r="AM1062">
        <v>37.824165968305465</v>
      </c>
      <c r="AN1062">
        <v>2.545505084047714</v>
      </c>
      <c r="AO1062">
        <v>16.5</v>
      </c>
      <c r="AP1062">
        <v>16.358330182737987</v>
      </c>
      <c r="AQ1062">
        <v>24.307167943751956</v>
      </c>
      <c r="AR1062">
        <v>64.263592656927329</v>
      </c>
      <c r="AS1062">
        <v>-0.84750456464933444</v>
      </c>
      <c r="AT1062">
        <v>13.490898748020118</v>
      </c>
      <c r="AU1062">
        <v>35.667405751457245</v>
      </c>
    </row>
    <row r="1063" spans="1:48" x14ac:dyDescent="0.35">
      <c r="A1063">
        <v>1061</v>
      </c>
      <c r="B1063">
        <v>46064</v>
      </c>
      <c r="C1063" t="s">
        <v>16</v>
      </c>
      <c r="D1063" t="s">
        <v>468</v>
      </c>
      <c r="E1063" t="s">
        <v>212</v>
      </c>
      <c r="F1063" t="s">
        <v>469</v>
      </c>
      <c r="G1063" t="s">
        <v>470</v>
      </c>
      <c r="H1063" t="s">
        <v>22</v>
      </c>
      <c r="I1063" t="s">
        <v>23</v>
      </c>
      <c r="J1063" t="s">
        <v>303</v>
      </c>
      <c r="K1063" t="s">
        <v>467</v>
      </c>
      <c r="L1063">
        <v>30</v>
      </c>
      <c r="M1063">
        <v>64</v>
      </c>
      <c r="N1063">
        <v>1</v>
      </c>
      <c r="O1063">
        <v>2</v>
      </c>
      <c r="P1063">
        <v>195</v>
      </c>
      <c r="Q1063">
        <v>0.50039999999999996</v>
      </c>
      <c r="R1063">
        <v>475.36003201919266</v>
      </c>
      <c r="S1063">
        <v>218.26003201919264</v>
      </c>
      <c r="T1063">
        <v>0.34375</v>
      </c>
      <c r="U1063">
        <v>41</v>
      </c>
      <c r="V1063">
        <v>0.69930555555555551</v>
      </c>
      <c r="W1063">
        <v>82.5</v>
      </c>
      <c r="X1063">
        <v>16.2</v>
      </c>
      <c r="Y1063">
        <v>40.5</v>
      </c>
      <c r="Z1063">
        <v>0.36666666666666664</v>
      </c>
      <c r="AA1063">
        <v>76</v>
      </c>
      <c r="AB1063">
        <v>17.600000000000001</v>
      </c>
      <c r="AD1063">
        <v>41.5</v>
      </c>
      <c r="AE1063">
        <v>35.5</v>
      </c>
      <c r="AF1063">
        <v>38.771229168713369</v>
      </c>
      <c r="AG1063">
        <v>31.849347131116534</v>
      </c>
      <c r="AH1063">
        <v>70.620576299829906</v>
      </c>
      <c r="AI1063">
        <v>6.2809391253315656</v>
      </c>
      <c r="AJ1063">
        <v>5.6054850950765109</v>
      </c>
      <c r="AK1063">
        <v>11.886424220408077</v>
      </c>
      <c r="AL1063">
        <v>148.56229287905003</v>
      </c>
      <c r="AM1063">
        <v>45.914678836604502</v>
      </c>
      <c r="AN1063">
        <v>3.0906011173363694</v>
      </c>
      <c r="AO1063">
        <v>16.2</v>
      </c>
      <c r="AP1063">
        <v>16.831389438033668</v>
      </c>
      <c r="AQ1063">
        <v>25.005098072545071</v>
      </c>
      <c r="AR1063">
        <v>54.459921546070554</v>
      </c>
      <c r="AS1063">
        <v>10.291219195313543</v>
      </c>
      <c r="AT1063">
        <v>13.878262044416019</v>
      </c>
      <c r="AU1063">
        <v>30.226198671244696</v>
      </c>
    </row>
    <row r="1064" spans="1:48" x14ac:dyDescent="0.35">
      <c r="A1064">
        <v>1062</v>
      </c>
      <c r="B1064">
        <v>46064</v>
      </c>
      <c r="C1064" t="s">
        <v>16</v>
      </c>
      <c r="D1064" t="s">
        <v>468</v>
      </c>
      <c r="E1064" t="s">
        <v>212</v>
      </c>
      <c r="F1064" t="s">
        <v>469</v>
      </c>
      <c r="G1064" t="s">
        <v>470</v>
      </c>
      <c r="H1064" t="s">
        <v>22</v>
      </c>
      <c r="I1064" t="s">
        <v>23</v>
      </c>
      <c r="J1064" t="s">
        <v>303</v>
      </c>
      <c r="K1064" t="s">
        <v>467</v>
      </c>
      <c r="L1064">
        <v>30</v>
      </c>
      <c r="M1064">
        <v>64</v>
      </c>
      <c r="N1064">
        <v>1</v>
      </c>
      <c r="O1064">
        <v>3</v>
      </c>
      <c r="P1064">
        <v>196</v>
      </c>
      <c r="Q1064">
        <v>0.5</v>
      </c>
      <c r="R1064">
        <v>474.98004798080808</v>
      </c>
      <c r="S1064">
        <v>223.28004798080804</v>
      </c>
      <c r="T1064">
        <v>0.34375</v>
      </c>
      <c r="U1064">
        <v>41</v>
      </c>
      <c r="V1064">
        <v>0.69930555555555551</v>
      </c>
      <c r="W1064">
        <v>82.5</v>
      </c>
      <c r="X1064">
        <v>16.5</v>
      </c>
      <c r="Y1064">
        <v>40.5</v>
      </c>
      <c r="Z1064">
        <v>0.36736111111111114</v>
      </c>
      <c r="AA1064">
        <v>78.5</v>
      </c>
      <c r="AB1064">
        <v>17.600000000000001</v>
      </c>
      <c r="AD1064">
        <v>41.5</v>
      </c>
      <c r="AE1064">
        <v>38</v>
      </c>
      <c r="AF1064">
        <v>38.771229168713369</v>
      </c>
      <c r="AG1064">
        <v>34.349347131116531</v>
      </c>
      <c r="AH1064">
        <v>73.120576299829906</v>
      </c>
      <c r="AI1064">
        <v>6.3972528128377064</v>
      </c>
      <c r="AJ1064">
        <v>6.0454850950765104</v>
      </c>
      <c r="AK1064">
        <v>12.442737907914218</v>
      </c>
      <c r="AL1064">
        <v>153.9445216923815</v>
      </c>
      <c r="AM1064">
        <v>47.008300439143888</v>
      </c>
      <c r="AN1064">
        <v>3.0535870924382666</v>
      </c>
      <c r="AO1064">
        <v>16.500000000000004</v>
      </c>
      <c r="AP1064">
        <v>17.016739387956878</v>
      </c>
      <c r="AQ1064">
        <v>26.196338058429298</v>
      </c>
      <c r="AR1064">
        <v>55.727047805828711</v>
      </c>
      <c r="AS1064">
        <v>3.9454634970814171</v>
      </c>
      <c r="AT1064">
        <v>14.539420846270103</v>
      </c>
      <c r="AU1064">
        <v>30.929475668010124</v>
      </c>
    </row>
    <row r="1065" spans="1:48" x14ac:dyDescent="0.35">
      <c r="A1065">
        <v>1063</v>
      </c>
      <c r="B1065">
        <v>46064</v>
      </c>
      <c r="C1065" t="s">
        <v>16</v>
      </c>
      <c r="D1065" t="s">
        <v>472</v>
      </c>
      <c r="E1065" t="s">
        <v>346</v>
      </c>
      <c r="F1065" t="s">
        <v>347</v>
      </c>
      <c r="G1065" t="s">
        <v>348</v>
      </c>
      <c r="H1065" t="s">
        <v>22</v>
      </c>
      <c r="I1065" t="s">
        <v>23</v>
      </c>
      <c r="J1065" t="s">
        <v>303</v>
      </c>
      <c r="K1065" t="s">
        <v>471</v>
      </c>
      <c r="L1065">
        <v>30</v>
      </c>
      <c r="M1065">
        <v>64</v>
      </c>
      <c r="N1065">
        <v>1</v>
      </c>
      <c r="O1065">
        <v>1</v>
      </c>
      <c r="P1065">
        <v>197</v>
      </c>
      <c r="Q1065">
        <v>0.5</v>
      </c>
      <c r="R1065">
        <v>478.00774927473253</v>
      </c>
      <c r="S1065">
        <v>31.107749274732555</v>
      </c>
      <c r="T1065">
        <v>0.34444444444444444</v>
      </c>
      <c r="U1065">
        <v>40</v>
      </c>
      <c r="V1065">
        <v>0.7</v>
      </c>
      <c r="W1065">
        <v>68.5</v>
      </c>
      <c r="X1065">
        <v>15.2</v>
      </c>
      <c r="Y1065">
        <v>40</v>
      </c>
      <c r="Z1065">
        <v>0.36736111111111114</v>
      </c>
      <c r="AA1065">
        <v>70.5</v>
      </c>
      <c r="AB1065">
        <v>16.3</v>
      </c>
      <c r="AD1065">
        <v>28.5</v>
      </c>
      <c r="AE1065">
        <v>30.5</v>
      </c>
      <c r="AV1065" t="s">
        <v>629</v>
      </c>
    </row>
    <row r="1066" spans="1:48" x14ac:dyDescent="0.35">
      <c r="A1066">
        <v>1064</v>
      </c>
      <c r="B1066">
        <v>46064</v>
      </c>
      <c r="C1066" t="s">
        <v>16</v>
      </c>
      <c r="D1066" t="s">
        <v>472</v>
      </c>
      <c r="E1066" t="s">
        <v>346</v>
      </c>
      <c r="F1066" t="s">
        <v>347</v>
      </c>
      <c r="G1066" t="s">
        <v>348</v>
      </c>
      <c r="H1066" t="s">
        <v>22</v>
      </c>
      <c r="I1066" t="s">
        <v>23</v>
      </c>
      <c r="J1066" t="s">
        <v>303</v>
      </c>
      <c r="K1066" t="s">
        <v>471</v>
      </c>
      <c r="L1066">
        <v>30</v>
      </c>
      <c r="M1066">
        <v>64</v>
      </c>
      <c r="N1066">
        <v>1</v>
      </c>
      <c r="O1066">
        <v>2</v>
      </c>
      <c r="P1066">
        <v>198</v>
      </c>
      <c r="Q1066">
        <v>0.50009999999999999</v>
      </c>
      <c r="R1066">
        <v>478.10335082458749</v>
      </c>
      <c r="T1066">
        <v>0.34444444444444444</v>
      </c>
      <c r="U1066">
        <v>40</v>
      </c>
      <c r="V1066">
        <v>0.7006944444444444</v>
      </c>
      <c r="W1066">
        <v>71.5</v>
      </c>
      <c r="X1066">
        <v>14.4</v>
      </c>
      <c r="Y1066">
        <v>40</v>
      </c>
      <c r="Z1066">
        <v>0.36736111111111114</v>
      </c>
      <c r="AA1066">
        <v>70</v>
      </c>
      <c r="AB1066">
        <v>15.8</v>
      </c>
      <c r="AC1066" t="s">
        <v>589</v>
      </c>
      <c r="AD1066">
        <v>31.5</v>
      </c>
      <c r="AE1066">
        <v>30</v>
      </c>
      <c r="AV1066" t="s">
        <v>629</v>
      </c>
    </row>
    <row r="1067" spans="1:48" x14ac:dyDescent="0.35">
      <c r="A1067">
        <v>1065</v>
      </c>
      <c r="B1067">
        <v>46064</v>
      </c>
      <c r="C1067" t="s">
        <v>16</v>
      </c>
      <c r="D1067" t="s">
        <v>472</v>
      </c>
      <c r="E1067" t="s">
        <v>346</v>
      </c>
      <c r="F1067" t="s">
        <v>347</v>
      </c>
      <c r="G1067" t="s">
        <v>348</v>
      </c>
      <c r="H1067" t="s">
        <v>22</v>
      </c>
      <c r="I1067" t="s">
        <v>23</v>
      </c>
      <c r="J1067" t="s">
        <v>303</v>
      </c>
      <c r="K1067" t="s">
        <v>471</v>
      </c>
      <c r="L1067">
        <v>30</v>
      </c>
      <c r="M1067">
        <v>64</v>
      </c>
      <c r="N1067">
        <v>1</v>
      </c>
      <c r="O1067">
        <v>3</v>
      </c>
      <c r="P1067">
        <v>199</v>
      </c>
      <c r="Q1067">
        <v>0.50009999999999999</v>
      </c>
      <c r="R1067">
        <v>478.10335082458749</v>
      </c>
      <c r="S1067">
        <v>167.10335082458744</v>
      </c>
      <c r="T1067">
        <v>0.34444444444444444</v>
      </c>
      <c r="U1067">
        <v>40.5</v>
      </c>
      <c r="V1067">
        <v>0.7006944444444444</v>
      </c>
      <c r="W1067">
        <v>69</v>
      </c>
      <c r="X1067">
        <v>14.6</v>
      </c>
      <c r="Y1067">
        <v>40</v>
      </c>
      <c r="Z1067">
        <v>0.36875000000000002</v>
      </c>
      <c r="AA1067">
        <v>69.5</v>
      </c>
      <c r="AB1067">
        <v>16</v>
      </c>
      <c r="AD1067">
        <v>28.5</v>
      </c>
      <c r="AE1067">
        <v>29.5</v>
      </c>
      <c r="AV1067" t="s">
        <v>629</v>
      </c>
    </row>
    <row r="1068" spans="1:48" x14ac:dyDescent="0.35">
      <c r="A1068">
        <v>1066</v>
      </c>
      <c r="B1068">
        <v>46064</v>
      </c>
      <c r="C1068" t="s">
        <v>473</v>
      </c>
      <c r="D1068" t="s">
        <v>475</v>
      </c>
      <c r="E1068" t="s">
        <v>592</v>
      </c>
      <c r="F1068" t="s">
        <v>106</v>
      </c>
      <c r="G1068" t="s">
        <v>476</v>
      </c>
      <c r="H1068" t="s">
        <v>108</v>
      </c>
      <c r="I1068" t="s">
        <v>109</v>
      </c>
      <c r="J1068" t="s">
        <v>110</v>
      </c>
      <c r="K1068" t="s">
        <v>474</v>
      </c>
      <c r="L1068">
        <v>30</v>
      </c>
      <c r="M1068">
        <v>64</v>
      </c>
      <c r="N1068">
        <v>1</v>
      </c>
      <c r="O1068">
        <v>1</v>
      </c>
      <c r="P1068">
        <v>200</v>
      </c>
      <c r="Q1068">
        <v>0.50049999999999994</v>
      </c>
      <c r="R1068">
        <v>465.91544999999996</v>
      </c>
      <c r="S1068">
        <v>217.41545000000002</v>
      </c>
      <c r="T1068">
        <v>0.34652777777777777</v>
      </c>
      <c r="U1068">
        <v>40</v>
      </c>
      <c r="V1068">
        <v>0.70138888888888884</v>
      </c>
      <c r="W1068">
        <v>79.5</v>
      </c>
      <c r="X1068">
        <v>13.7</v>
      </c>
      <c r="Y1068">
        <v>40</v>
      </c>
      <c r="Z1068">
        <v>0.36875000000000002</v>
      </c>
      <c r="AA1068">
        <v>80.5</v>
      </c>
      <c r="AB1068">
        <v>15.4</v>
      </c>
      <c r="AC1068" t="s">
        <v>593</v>
      </c>
      <c r="AD1068">
        <v>39.5</v>
      </c>
      <c r="AE1068">
        <v>40.5</v>
      </c>
      <c r="AF1068">
        <v>36.771229168713369</v>
      </c>
      <c r="AG1068">
        <v>36.849347131116531</v>
      </c>
      <c r="AH1068">
        <v>73.620576299829906</v>
      </c>
      <c r="AI1068">
        <v>5.0376583961137307</v>
      </c>
      <c r="AJ1068">
        <v>5.6747994581919459</v>
      </c>
      <c r="AK1068">
        <v>10.712457854305676</v>
      </c>
      <c r="AL1068">
        <v>158.01273879161963</v>
      </c>
      <c r="AM1068">
        <v>46.66414260355608</v>
      </c>
      <c r="AN1068">
        <v>2.9531886454480571</v>
      </c>
      <c r="AO1068">
        <v>13.699999999999998</v>
      </c>
      <c r="AP1068">
        <v>14.550901925404277</v>
      </c>
      <c r="AQ1068">
        <v>22.992278651213812</v>
      </c>
      <c r="AR1068">
        <v>49.271833507258449</v>
      </c>
      <c r="AS1068">
        <v>0.99651661066635855</v>
      </c>
      <c r="AT1068">
        <v>12.761112441711749</v>
      </c>
      <c r="AU1068">
        <v>27.346720050395344</v>
      </c>
    </row>
    <row r="1069" spans="1:48" x14ac:dyDescent="0.35">
      <c r="A1069">
        <v>1067</v>
      </c>
      <c r="B1069">
        <v>46064</v>
      </c>
      <c r="C1069" t="s">
        <v>473</v>
      </c>
      <c r="D1069" t="s">
        <v>475</v>
      </c>
      <c r="E1069" t="s">
        <v>592</v>
      </c>
      <c r="F1069" t="s">
        <v>106</v>
      </c>
      <c r="G1069" t="s">
        <v>476</v>
      </c>
      <c r="H1069" t="s">
        <v>108</v>
      </c>
      <c r="I1069" t="s">
        <v>109</v>
      </c>
      <c r="J1069" t="s">
        <v>110</v>
      </c>
      <c r="K1069" t="s">
        <v>474</v>
      </c>
      <c r="L1069">
        <v>30</v>
      </c>
      <c r="M1069">
        <v>64</v>
      </c>
      <c r="N1069">
        <v>1</v>
      </c>
      <c r="O1069">
        <v>2</v>
      </c>
      <c r="P1069">
        <v>201</v>
      </c>
      <c r="Q1069">
        <v>0.50039999999999996</v>
      </c>
      <c r="R1069">
        <v>465.82235999999995</v>
      </c>
      <c r="S1069">
        <v>246.12235999999993</v>
      </c>
      <c r="T1069">
        <v>0.34513888888888888</v>
      </c>
      <c r="U1069">
        <v>40.5</v>
      </c>
      <c r="V1069">
        <v>0.70208333333333328</v>
      </c>
      <c r="W1069">
        <v>82.5</v>
      </c>
      <c r="X1069">
        <v>13.5</v>
      </c>
      <c r="Y1069">
        <v>40</v>
      </c>
      <c r="Z1069">
        <v>0.36944444444444446</v>
      </c>
      <c r="AA1069">
        <v>92</v>
      </c>
      <c r="AB1069">
        <v>15.5</v>
      </c>
      <c r="AD1069">
        <v>42</v>
      </c>
      <c r="AE1069">
        <v>52</v>
      </c>
      <c r="AF1069">
        <v>39.271229168713369</v>
      </c>
      <c r="AG1069">
        <v>48.349347131116531</v>
      </c>
      <c r="AH1069">
        <v>87.620576299829906</v>
      </c>
      <c r="AI1069">
        <v>5.3016159377763055</v>
      </c>
      <c r="AJ1069">
        <v>7.4941488053230625</v>
      </c>
      <c r="AK1069">
        <v>12.795764743099369</v>
      </c>
      <c r="AL1069">
        <v>188.09869131191968</v>
      </c>
      <c r="AM1069">
        <v>52.836098292920063</v>
      </c>
      <c r="AN1069">
        <v>2.8089561880738021</v>
      </c>
      <c r="AO1069">
        <v>13.500000000000002</v>
      </c>
      <c r="AP1069">
        <v>14.603607147382125</v>
      </c>
      <c r="AQ1069">
        <v>27.469193928559744</v>
      </c>
      <c r="AR1069">
        <v>51.989444368644008</v>
      </c>
      <c r="AS1069">
        <v>0.6070728278433819</v>
      </c>
      <c r="AT1069">
        <v>15.245877875920355</v>
      </c>
      <c r="AU1069">
        <v>28.855041095953283</v>
      </c>
    </row>
    <row r="1070" spans="1:48" x14ac:dyDescent="0.35">
      <c r="A1070">
        <v>1068</v>
      </c>
      <c r="B1070">
        <v>46064</v>
      </c>
      <c r="C1070" t="s">
        <v>473</v>
      </c>
      <c r="D1070" t="s">
        <v>475</v>
      </c>
      <c r="E1070" t="s">
        <v>592</v>
      </c>
      <c r="F1070" t="s">
        <v>106</v>
      </c>
      <c r="G1070" t="s">
        <v>476</v>
      </c>
      <c r="H1070" t="s">
        <v>108</v>
      </c>
      <c r="I1070" t="s">
        <v>109</v>
      </c>
      <c r="J1070" t="s">
        <v>110</v>
      </c>
      <c r="K1070" t="s">
        <v>474</v>
      </c>
      <c r="L1070">
        <v>30</v>
      </c>
      <c r="M1070">
        <v>64</v>
      </c>
      <c r="N1070">
        <v>1</v>
      </c>
      <c r="O1070">
        <v>3</v>
      </c>
      <c r="P1070">
        <v>202</v>
      </c>
      <c r="Q1070">
        <v>0.50049999999999994</v>
      </c>
      <c r="R1070">
        <v>465.91544999999996</v>
      </c>
      <c r="S1070">
        <v>251.51545000000004</v>
      </c>
      <c r="T1070">
        <v>0.34583333333333333</v>
      </c>
      <c r="U1070">
        <v>40.5</v>
      </c>
      <c r="V1070">
        <v>0.70208333333333328</v>
      </c>
      <c r="W1070">
        <v>83</v>
      </c>
      <c r="X1070">
        <v>13.6</v>
      </c>
      <c r="Y1070">
        <v>40</v>
      </c>
      <c r="Z1070">
        <v>0.37013888888888891</v>
      </c>
      <c r="AA1070">
        <v>93.5</v>
      </c>
      <c r="AB1070">
        <v>15.5</v>
      </c>
      <c r="AD1070">
        <v>42.5</v>
      </c>
      <c r="AE1070">
        <v>53.5</v>
      </c>
      <c r="AF1070">
        <v>39.771229168713369</v>
      </c>
      <c r="AG1070">
        <v>49.849347131116531</v>
      </c>
      <c r="AH1070">
        <v>89.620576299829906</v>
      </c>
      <c r="AI1070">
        <v>5.4088871669450187</v>
      </c>
      <c r="AJ1070">
        <v>7.7266488053230624</v>
      </c>
      <c r="AK1070">
        <v>13.13553597226808</v>
      </c>
      <c r="AL1070">
        <v>192.35373349355535</v>
      </c>
      <c r="AM1070">
        <v>53.983067099406135</v>
      </c>
      <c r="AN1070">
        <v>2.806447585859559</v>
      </c>
      <c r="AO1070">
        <v>13.600000000000001</v>
      </c>
      <c r="AP1070">
        <v>14.656830512138775</v>
      </c>
      <c r="AQ1070">
        <v>28.192960701921521</v>
      </c>
      <c r="AR1070">
        <v>52.225562971451964</v>
      </c>
      <c r="AS1070">
        <v>0.57118227250499287</v>
      </c>
      <c r="AT1070">
        <v>15.647580957052636</v>
      </c>
      <c r="AU1070">
        <v>28.986091005608635</v>
      </c>
    </row>
    <row r="1071" spans="1:48" x14ac:dyDescent="0.35">
      <c r="A1071">
        <v>1069</v>
      </c>
      <c r="B1071">
        <v>46064</v>
      </c>
      <c r="C1071" t="s">
        <v>667</v>
      </c>
      <c r="D1071" t="s">
        <v>479</v>
      </c>
      <c r="E1071" t="s">
        <v>105</v>
      </c>
      <c r="F1071" t="s">
        <v>188</v>
      </c>
      <c r="G1071" t="s">
        <v>189</v>
      </c>
      <c r="H1071" t="s">
        <v>108</v>
      </c>
      <c r="I1071" t="s">
        <v>109</v>
      </c>
      <c r="J1071" t="s">
        <v>110</v>
      </c>
      <c r="K1071" t="s">
        <v>478</v>
      </c>
      <c r="L1071">
        <v>30</v>
      </c>
      <c r="M1071">
        <v>64</v>
      </c>
      <c r="N1071">
        <v>1</v>
      </c>
      <c r="O1071">
        <v>1</v>
      </c>
      <c r="P1071">
        <v>203</v>
      </c>
      <c r="Q1071">
        <v>0.50029999999999997</v>
      </c>
      <c r="R1071">
        <v>491.34463000000005</v>
      </c>
      <c r="S1071">
        <v>211.84463000000011</v>
      </c>
      <c r="T1071">
        <v>0.34583333333333333</v>
      </c>
      <c r="U1071">
        <v>40.5</v>
      </c>
      <c r="V1071">
        <v>0.70277777777777772</v>
      </c>
      <c r="W1071">
        <v>75.5</v>
      </c>
      <c r="X1071">
        <v>13.7</v>
      </c>
      <c r="Y1071">
        <v>40</v>
      </c>
      <c r="Z1071">
        <v>0.37083333333333335</v>
      </c>
      <c r="AA1071">
        <v>96.5</v>
      </c>
      <c r="AB1071">
        <v>15.5</v>
      </c>
      <c r="AD1071">
        <v>35</v>
      </c>
      <c r="AE1071">
        <v>56.5</v>
      </c>
      <c r="AF1071">
        <v>32.271229168713369</v>
      </c>
      <c r="AG1071">
        <v>52.849347131116531</v>
      </c>
      <c r="AH1071">
        <v>85.120576299829906</v>
      </c>
      <c r="AI1071">
        <v>4.4211583961137313</v>
      </c>
      <c r="AJ1071">
        <v>8.1916488053230623</v>
      </c>
      <c r="AK1071">
        <v>12.612807201436794</v>
      </c>
      <c r="AL1071">
        <v>173.24006634575389</v>
      </c>
      <c r="AM1071">
        <v>43.115283462037652</v>
      </c>
      <c r="AN1071">
        <v>2.4887593483130992</v>
      </c>
      <c r="AO1071">
        <v>13.7</v>
      </c>
      <c r="AP1071">
        <v>14.81757731175276</v>
      </c>
      <c r="AQ1071">
        <v>25.669980765713859</v>
      </c>
      <c r="AR1071">
        <v>59.538007649458883</v>
      </c>
      <c r="AS1071">
        <v>0.55652025102894309</v>
      </c>
      <c r="AT1071">
        <v>14.247283442285477</v>
      </c>
      <c r="AU1071">
        <v>33.044624314786176</v>
      </c>
    </row>
    <row r="1072" spans="1:48" x14ac:dyDescent="0.35">
      <c r="A1072">
        <v>1070</v>
      </c>
      <c r="B1072">
        <v>46064</v>
      </c>
      <c r="C1072" t="s">
        <v>667</v>
      </c>
      <c r="D1072" t="s">
        <v>479</v>
      </c>
      <c r="E1072" t="s">
        <v>105</v>
      </c>
      <c r="F1072" t="s">
        <v>188</v>
      </c>
      <c r="G1072" t="s">
        <v>189</v>
      </c>
      <c r="H1072" t="s">
        <v>108</v>
      </c>
      <c r="I1072" t="s">
        <v>109</v>
      </c>
      <c r="J1072" t="s">
        <v>110</v>
      </c>
      <c r="K1072" t="s">
        <v>478</v>
      </c>
      <c r="L1072">
        <v>30</v>
      </c>
      <c r="M1072">
        <v>64</v>
      </c>
      <c r="N1072">
        <v>1</v>
      </c>
      <c r="O1072">
        <v>2</v>
      </c>
      <c r="P1072">
        <v>204</v>
      </c>
      <c r="Q1072">
        <v>0.5</v>
      </c>
      <c r="R1072">
        <v>491.05000000000007</v>
      </c>
      <c r="S1072">
        <v>174.95000000000016</v>
      </c>
      <c r="T1072">
        <v>0.34652777777777777</v>
      </c>
      <c r="U1072">
        <v>40.5</v>
      </c>
      <c r="V1072">
        <v>0.70347222222222228</v>
      </c>
      <c r="W1072">
        <v>75.5</v>
      </c>
      <c r="X1072">
        <v>14</v>
      </c>
      <c r="Y1072">
        <v>40</v>
      </c>
      <c r="Z1072">
        <v>0.37083333333333335</v>
      </c>
      <c r="AA1072">
        <v>97.5</v>
      </c>
      <c r="AB1072">
        <v>15.4</v>
      </c>
      <c r="AD1072">
        <v>35</v>
      </c>
      <c r="AE1072">
        <v>57.5</v>
      </c>
      <c r="AF1072">
        <v>32.271229168713369</v>
      </c>
      <c r="AG1072">
        <v>53.849347131116531</v>
      </c>
      <c r="AH1072">
        <v>86.120576299829906</v>
      </c>
      <c r="AI1072">
        <v>4.5179720836198722</v>
      </c>
      <c r="AJ1072">
        <v>8.2927994581919453</v>
      </c>
      <c r="AK1072">
        <v>12.810771541811818</v>
      </c>
      <c r="AL1072">
        <v>175.3804628853068</v>
      </c>
      <c r="AM1072">
        <v>35.627736483046561</v>
      </c>
      <c r="AN1072">
        <v>2.0314541253289975</v>
      </c>
      <c r="AO1072">
        <v>14.000000000000004</v>
      </c>
      <c r="AP1072">
        <v>14.875389938417213</v>
      </c>
      <c r="AQ1072">
        <v>26.08852772999046</v>
      </c>
      <c r="AR1072">
        <v>73.22533033330555</v>
      </c>
      <c r="AS1072">
        <v>1.0261606684430764</v>
      </c>
      <c r="AT1072">
        <v>14.479584248755952</v>
      </c>
      <c r="AU1072">
        <v>40.641325209211807</v>
      </c>
    </row>
    <row r="1073" spans="1:47" x14ac:dyDescent="0.35">
      <c r="A1073">
        <v>1071</v>
      </c>
      <c r="B1073">
        <v>46064</v>
      </c>
      <c r="C1073" t="s">
        <v>667</v>
      </c>
      <c r="D1073" t="s">
        <v>479</v>
      </c>
      <c r="E1073" t="s">
        <v>105</v>
      </c>
      <c r="F1073" t="s">
        <v>188</v>
      </c>
      <c r="G1073" t="s">
        <v>189</v>
      </c>
      <c r="H1073" t="s">
        <v>108</v>
      </c>
      <c r="I1073" t="s">
        <v>109</v>
      </c>
      <c r="J1073" t="s">
        <v>110</v>
      </c>
      <c r="K1073" t="s">
        <v>478</v>
      </c>
      <c r="L1073">
        <v>30</v>
      </c>
      <c r="M1073">
        <v>64</v>
      </c>
      <c r="N1073">
        <v>1</v>
      </c>
      <c r="O1073">
        <v>3</v>
      </c>
      <c r="P1073">
        <v>205</v>
      </c>
      <c r="Q1073">
        <v>0.50019999999999998</v>
      </c>
      <c r="R1073">
        <v>491.24642</v>
      </c>
      <c r="S1073">
        <v>218.24642</v>
      </c>
      <c r="T1073">
        <v>0.34652777777777777</v>
      </c>
      <c r="U1073">
        <v>40</v>
      </c>
      <c r="V1073">
        <v>0.70347222222222228</v>
      </c>
      <c r="W1073">
        <v>75.5</v>
      </c>
      <c r="X1073">
        <v>14.1</v>
      </c>
      <c r="Y1073">
        <v>40</v>
      </c>
      <c r="Z1073">
        <v>0.37152777777777779</v>
      </c>
      <c r="AA1073">
        <v>97</v>
      </c>
      <c r="AB1073">
        <v>15.5</v>
      </c>
      <c r="AD1073">
        <v>35.5</v>
      </c>
      <c r="AE1073">
        <v>57</v>
      </c>
      <c r="AF1073">
        <v>32.771229168713369</v>
      </c>
      <c r="AG1073">
        <v>53.349347131116531</v>
      </c>
      <c r="AH1073">
        <v>86.120576299829906</v>
      </c>
      <c r="AI1073">
        <v>4.6207433127885844</v>
      </c>
      <c r="AJ1073">
        <v>8.2691488053230628</v>
      </c>
      <c r="AK1073">
        <v>12.889892118111646</v>
      </c>
      <c r="AL1073">
        <v>175.3103387498069</v>
      </c>
      <c r="AM1073">
        <v>44.427075926578766</v>
      </c>
      <c r="AN1073">
        <v>2.534196000270275</v>
      </c>
      <c r="AO1073">
        <v>14.1</v>
      </c>
      <c r="AP1073">
        <v>14.967261799590517</v>
      </c>
      <c r="AQ1073">
        <v>26.239157362432579</v>
      </c>
      <c r="AR1073">
        <v>59.061184683403496</v>
      </c>
      <c r="AS1073">
        <v>0.52725615141370863</v>
      </c>
      <c r="AT1073">
        <v>14.563186300810329</v>
      </c>
      <c r="AU1073">
        <v>32.779979319093151</v>
      </c>
    </row>
    <row r="1074" spans="1:47" x14ac:dyDescent="0.35">
      <c r="A1074">
        <v>1072</v>
      </c>
      <c r="B1074">
        <v>46064</v>
      </c>
      <c r="C1074" t="s">
        <v>320</v>
      </c>
      <c r="D1074" t="s">
        <v>122</v>
      </c>
      <c r="E1074" t="s">
        <v>123</v>
      </c>
      <c r="F1074" t="s">
        <v>545</v>
      </c>
      <c r="G1074" t="s">
        <v>125</v>
      </c>
      <c r="H1074" t="s">
        <v>108</v>
      </c>
      <c r="I1074" t="s">
        <v>109</v>
      </c>
      <c r="J1074" t="s">
        <v>110</v>
      </c>
      <c r="K1074" t="s">
        <v>121</v>
      </c>
      <c r="L1074">
        <v>30</v>
      </c>
      <c r="M1074">
        <v>64</v>
      </c>
      <c r="N1074">
        <v>1</v>
      </c>
      <c r="O1074">
        <v>1</v>
      </c>
      <c r="P1074">
        <v>206</v>
      </c>
      <c r="Q1074">
        <v>0.5</v>
      </c>
      <c r="R1074">
        <v>468.49999999999994</v>
      </c>
      <c r="S1074">
        <v>144.20000000000005</v>
      </c>
      <c r="T1074">
        <v>0.34791666666666665</v>
      </c>
      <c r="U1074">
        <v>40.5</v>
      </c>
      <c r="V1074">
        <v>0.70416666666666672</v>
      </c>
      <c r="W1074">
        <v>68</v>
      </c>
      <c r="X1074">
        <v>15.3</v>
      </c>
      <c r="Y1074">
        <v>40</v>
      </c>
      <c r="Z1074">
        <v>0.37152777777777779</v>
      </c>
      <c r="AA1074">
        <v>80</v>
      </c>
      <c r="AB1074">
        <v>16.5</v>
      </c>
      <c r="AC1074" t="s">
        <v>594</v>
      </c>
      <c r="AD1074">
        <v>27.5</v>
      </c>
      <c r="AE1074">
        <v>40</v>
      </c>
      <c r="AF1074">
        <v>24.771229168713369</v>
      </c>
      <c r="AG1074">
        <v>36.349347131116531</v>
      </c>
      <c r="AH1074">
        <v>61.120576299829899</v>
      </c>
      <c r="AI1074">
        <v>3.7899980628131451</v>
      </c>
      <c r="AJ1074">
        <v>5.9976422766342274</v>
      </c>
      <c r="AK1074">
        <v>9.787640339447373</v>
      </c>
      <c r="AL1074">
        <v>130.46014151511187</v>
      </c>
      <c r="AM1074">
        <v>30.779082177161165</v>
      </c>
      <c r="AN1074">
        <v>2.3592709481766021</v>
      </c>
      <c r="AO1074">
        <v>15.299999999999999</v>
      </c>
      <c r="AP1074">
        <v>16.013658463286795</v>
      </c>
      <c r="AQ1074">
        <v>20.891441492950637</v>
      </c>
      <c r="AR1074">
        <v>67.875453116833356</v>
      </c>
      <c r="AS1074">
        <v>1.0827598953605233</v>
      </c>
      <c r="AT1074">
        <v>11.595111472212048</v>
      </c>
      <c r="AU1074">
        <v>37.672050795640381</v>
      </c>
    </row>
    <row r="1075" spans="1:47" x14ac:dyDescent="0.35">
      <c r="A1075">
        <v>1073</v>
      </c>
      <c r="B1075">
        <v>46064</v>
      </c>
      <c r="C1075" t="s">
        <v>320</v>
      </c>
      <c r="D1075" t="s">
        <v>122</v>
      </c>
      <c r="E1075" t="s">
        <v>123</v>
      </c>
      <c r="F1075" t="s">
        <v>545</v>
      </c>
      <c r="G1075" t="s">
        <v>125</v>
      </c>
      <c r="H1075" t="s">
        <v>108</v>
      </c>
      <c r="I1075" t="s">
        <v>109</v>
      </c>
      <c r="J1075" t="s">
        <v>110</v>
      </c>
      <c r="K1075" t="s">
        <v>121</v>
      </c>
      <c r="L1075">
        <v>30</v>
      </c>
      <c r="M1075">
        <v>64</v>
      </c>
      <c r="N1075">
        <v>1</v>
      </c>
      <c r="O1075">
        <v>2</v>
      </c>
      <c r="P1075">
        <v>207</v>
      </c>
      <c r="Q1075">
        <v>0.5</v>
      </c>
      <c r="R1075">
        <v>468.49999999999994</v>
      </c>
      <c r="S1075">
        <v>174.59999999999991</v>
      </c>
      <c r="T1075">
        <v>0.34791666666666665</v>
      </c>
      <c r="U1075">
        <v>40.5</v>
      </c>
      <c r="V1075">
        <v>0.70416666666666672</v>
      </c>
      <c r="W1075">
        <v>72.5</v>
      </c>
      <c r="X1075">
        <v>15.7</v>
      </c>
      <c r="Y1075">
        <v>40</v>
      </c>
      <c r="Z1075">
        <v>0.37222222222222223</v>
      </c>
      <c r="AA1075">
        <v>83.5</v>
      </c>
      <c r="AB1075">
        <v>16.3</v>
      </c>
      <c r="AD1075">
        <v>32</v>
      </c>
      <c r="AE1075">
        <v>43.5</v>
      </c>
      <c r="AF1075">
        <v>29.271229168713369</v>
      </c>
      <c r="AG1075">
        <v>39.849347131116531</v>
      </c>
      <c r="AH1075">
        <v>69.120576299829906</v>
      </c>
      <c r="AI1075">
        <v>4.5955829794879985</v>
      </c>
      <c r="AJ1075">
        <v>6.4954435823719949</v>
      </c>
      <c r="AK1075">
        <v>11.091026561859994</v>
      </c>
      <c r="AL1075">
        <v>147.53591526110972</v>
      </c>
      <c r="AM1075">
        <v>37.267876200640323</v>
      </c>
      <c r="AN1075">
        <v>2.5260206055375374</v>
      </c>
      <c r="AO1075">
        <v>15.699999999999998</v>
      </c>
      <c r="AP1075">
        <v>16.045911587527211</v>
      </c>
      <c r="AQ1075">
        <v>23.673482522646733</v>
      </c>
      <c r="AR1075">
        <v>63.522488899541806</v>
      </c>
      <c r="AS1075">
        <v>0.6313846034249756</v>
      </c>
      <c r="AT1075">
        <v>13.139192375891129</v>
      </c>
      <c r="AU1075">
        <v>35.256080344243969</v>
      </c>
    </row>
    <row r="1076" spans="1:47" x14ac:dyDescent="0.35">
      <c r="A1076">
        <v>1074</v>
      </c>
      <c r="B1076">
        <v>46064</v>
      </c>
      <c r="C1076" t="s">
        <v>320</v>
      </c>
      <c r="D1076" t="s">
        <v>122</v>
      </c>
      <c r="E1076" t="s">
        <v>123</v>
      </c>
      <c r="F1076" t="s">
        <v>545</v>
      </c>
      <c r="G1076" t="s">
        <v>125</v>
      </c>
      <c r="H1076" t="s">
        <v>108</v>
      </c>
      <c r="I1076" t="s">
        <v>109</v>
      </c>
      <c r="J1076" t="s">
        <v>110</v>
      </c>
      <c r="K1076" t="s">
        <v>121</v>
      </c>
      <c r="L1076">
        <v>30</v>
      </c>
      <c r="M1076">
        <v>64</v>
      </c>
      <c r="N1076">
        <v>1</v>
      </c>
      <c r="O1076">
        <v>3</v>
      </c>
      <c r="P1076">
        <v>208</v>
      </c>
      <c r="Q1076">
        <v>0.50029999999999997</v>
      </c>
      <c r="R1076">
        <v>468.78109999999992</v>
      </c>
      <c r="S1076">
        <v>101.38109999999989</v>
      </c>
      <c r="T1076">
        <v>0.34722222222222221</v>
      </c>
      <c r="U1076">
        <v>40.5</v>
      </c>
      <c r="V1076">
        <v>0.70486111111111116</v>
      </c>
      <c r="W1076">
        <v>68</v>
      </c>
      <c r="X1076">
        <v>15.7</v>
      </c>
      <c r="Y1076">
        <v>40</v>
      </c>
      <c r="Z1076">
        <v>0.37222222222222223</v>
      </c>
      <c r="AA1076">
        <v>84.5</v>
      </c>
      <c r="AB1076">
        <v>16.2</v>
      </c>
      <c r="AD1076">
        <v>27.5</v>
      </c>
      <c r="AE1076">
        <v>44.5</v>
      </c>
      <c r="AF1076">
        <v>24.771229168713369</v>
      </c>
      <c r="AG1076">
        <v>40.849347131116531</v>
      </c>
      <c r="AH1076">
        <v>65.620576299829906</v>
      </c>
      <c r="AI1076">
        <v>3.8890829794879989</v>
      </c>
      <c r="AJ1076">
        <v>6.6175942352408779</v>
      </c>
      <c r="AK1076">
        <v>10.506677214728876</v>
      </c>
      <c r="AL1076">
        <v>139.98127548194654</v>
      </c>
      <c r="AM1076">
        <v>21.626533151613813</v>
      </c>
      <c r="AN1076">
        <v>1.5449590009203056</v>
      </c>
      <c r="AO1076">
        <v>15.7</v>
      </c>
      <c r="AP1076">
        <v>16.01125410225346</v>
      </c>
      <c r="AQ1076">
        <v>22.412757712989873</v>
      </c>
      <c r="AR1076">
        <v>103.63546277095915</v>
      </c>
      <c r="AS1076">
        <v>-3.5169113488874171</v>
      </c>
      <c r="AT1076">
        <v>12.439468294683653</v>
      </c>
      <c r="AU1076">
        <v>57.519474838968335</v>
      </c>
    </row>
    <row r="1077" spans="1:47" x14ac:dyDescent="0.35">
      <c r="A1077">
        <v>1075</v>
      </c>
      <c r="B1077">
        <v>46064</v>
      </c>
      <c r="D1077" t="s">
        <v>537</v>
      </c>
      <c r="E1077" t="s">
        <v>538</v>
      </c>
      <c r="F1077">
        <v>24</v>
      </c>
      <c r="G1077" t="s">
        <v>537</v>
      </c>
      <c r="K1077" t="s">
        <v>539</v>
      </c>
      <c r="L1077">
        <v>30</v>
      </c>
      <c r="M1077">
        <v>64</v>
      </c>
      <c r="N1077">
        <v>1</v>
      </c>
      <c r="O1077">
        <v>1</v>
      </c>
      <c r="P1077">
        <v>209</v>
      </c>
      <c r="T1077">
        <v>0.34791666666666665</v>
      </c>
      <c r="U1077">
        <v>39.5</v>
      </c>
      <c r="V1077">
        <v>0.7055555555555556</v>
      </c>
      <c r="W1077">
        <v>42</v>
      </c>
      <c r="Y1077">
        <v>40</v>
      </c>
      <c r="Z1077">
        <v>0.37361111111111112</v>
      </c>
      <c r="AA1077">
        <v>43.5</v>
      </c>
      <c r="AD1077">
        <v>2.5</v>
      </c>
      <c r="AE1077">
        <v>3.5</v>
      </c>
    </row>
    <row r="1078" spans="1:47" x14ac:dyDescent="0.35">
      <c r="A1078">
        <v>1076</v>
      </c>
      <c r="B1078">
        <v>46064</v>
      </c>
      <c r="D1078" t="s">
        <v>537</v>
      </c>
      <c r="E1078" t="s">
        <v>538</v>
      </c>
      <c r="F1078">
        <v>24</v>
      </c>
      <c r="G1078" t="s">
        <v>537</v>
      </c>
      <c r="K1078" t="s">
        <v>539</v>
      </c>
      <c r="L1078">
        <v>30</v>
      </c>
      <c r="M1078">
        <v>64</v>
      </c>
      <c r="N1078">
        <v>1</v>
      </c>
      <c r="O1078">
        <v>2</v>
      </c>
      <c r="P1078">
        <v>210</v>
      </c>
      <c r="T1078">
        <v>0.34791666666666665</v>
      </c>
      <c r="U1078">
        <v>39.5</v>
      </c>
      <c r="V1078">
        <v>0.7055555555555556</v>
      </c>
      <c r="W1078">
        <v>42</v>
      </c>
      <c r="Y1078">
        <v>40</v>
      </c>
      <c r="Z1078">
        <v>0.375</v>
      </c>
      <c r="AA1078">
        <v>44</v>
      </c>
      <c r="AD1078">
        <v>2.5</v>
      </c>
      <c r="AE1078">
        <v>4</v>
      </c>
    </row>
    <row r="1079" spans="1:47" x14ac:dyDescent="0.35">
      <c r="A1079">
        <v>1077</v>
      </c>
      <c r="B1079">
        <v>46083</v>
      </c>
      <c r="D1079" t="s">
        <v>537</v>
      </c>
      <c r="E1079" t="s">
        <v>538</v>
      </c>
      <c r="F1079">
        <v>24</v>
      </c>
      <c r="G1079" t="s">
        <v>537</v>
      </c>
      <c r="K1079" t="s">
        <v>539</v>
      </c>
      <c r="L1079">
        <v>30</v>
      </c>
      <c r="M1079">
        <v>65</v>
      </c>
      <c r="N1079">
        <v>2</v>
      </c>
      <c r="O1079">
        <v>1</v>
      </c>
      <c r="P1079">
        <v>1</v>
      </c>
      <c r="T1079">
        <v>0.3263888888888889</v>
      </c>
      <c r="U1079">
        <v>39.5</v>
      </c>
      <c r="V1079">
        <v>0.65972222222222221</v>
      </c>
      <c r="W1079">
        <v>41.5</v>
      </c>
      <c r="Y1079">
        <v>40</v>
      </c>
      <c r="Z1079">
        <v>0.35902777777777778</v>
      </c>
      <c r="AA1079">
        <v>43</v>
      </c>
      <c r="AD1079">
        <v>2</v>
      </c>
      <c r="AE1079">
        <v>3</v>
      </c>
    </row>
    <row r="1080" spans="1:47" x14ac:dyDescent="0.35">
      <c r="A1080">
        <v>1078</v>
      </c>
      <c r="B1080">
        <v>46083</v>
      </c>
      <c r="D1080" t="s">
        <v>537</v>
      </c>
      <c r="E1080" t="s">
        <v>538</v>
      </c>
      <c r="F1080">
        <v>24</v>
      </c>
      <c r="G1080" t="s">
        <v>537</v>
      </c>
      <c r="K1080" t="s">
        <v>539</v>
      </c>
      <c r="L1080">
        <v>30</v>
      </c>
      <c r="M1080">
        <v>65</v>
      </c>
      <c r="N1080">
        <v>2</v>
      </c>
      <c r="O1080">
        <v>2</v>
      </c>
      <c r="P1080">
        <v>2</v>
      </c>
      <c r="T1080">
        <v>0.32708333333333334</v>
      </c>
      <c r="U1080">
        <v>40</v>
      </c>
      <c r="V1080">
        <v>0.66041666666666665</v>
      </c>
      <c r="W1080">
        <v>42.5</v>
      </c>
      <c r="Y1080">
        <v>40</v>
      </c>
      <c r="Z1080">
        <v>0.35972222222222222</v>
      </c>
      <c r="AA1080">
        <v>43.5</v>
      </c>
      <c r="AD1080">
        <v>2.5</v>
      </c>
      <c r="AE1080">
        <v>3.5</v>
      </c>
    </row>
    <row r="1081" spans="1:47" x14ac:dyDescent="0.35">
      <c r="A1081">
        <v>1079</v>
      </c>
      <c r="B1081">
        <v>46083</v>
      </c>
      <c r="C1081" t="s">
        <v>16</v>
      </c>
      <c r="D1081" t="s">
        <v>385</v>
      </c>
      <c r="E1081" t="s">
        <v>226</v>
      </c>
      <c r="F1081" t="s">
        <v>231</v>
      </c>
      <c r="G1081" t="s">
        <v>232</v>
      </c>
      <c r="H1081" t="s">
        <v>22</v>
      </c>
      <c r="I1081" t="s">
        <v>23</v>
      </c>
      <c r="J1081" t="s">
        <v>215</v>
      </c>
      <c r="K1081" t="s">
        <v>384</v>
      </c>
      <c r="L1081">
        <v>30</v>
      </c>
      <c r="M1081">
        <v>65</v>
      </c>
      <c r="N1081">
        <v>2</v>
      </c>
      <c r="O1081">
        <v>1</v>
      </c>
      <c r="P1081">
        <v>3</v>
      </c>
      <c r="Q1081">
        <v>0.50019999999999998</v>
      </c>
      <c r="R1081">
        <v>463.19986857315774</v>
      </c>
      <c r="S1081">
        <v>205.99986857315776</v>
      </c>
      <c r="T1081">
        <v>0.32777777777777778</v>
      </c>
      <c r="U1081">
        <v>41</v>
      </c>
      <c r="V1081">
        <v>0.66111111111111109</v>
      </c>
      <c r="W1081">
        <v>79</v>
      </c>
      <c r="X1081">
        <v>12.8</v>
      </c>
      <c r="Y1081">
        <v>40.5</v>
      </c>
      <c r="Z1081">
        <v>0.3611111111111111</v>
      </c>
      <c r="AA1081">
        <v>85.5</v>
      </c>
      <c r="AB1081">
        <v>16.3</v>
      </c>
      <c r="AD1081">
        <v>38</v>
      </c>
      <c r="AE1081">
        <v>45</v>
      </c>
      <c r="AF1081">
        <v>35.861233672775342</v>
      </c>
      <c r="AG1081">
        <v>42.123728042697877</v>
      </c>
      <c r="AH1081">
        <v>77.984961715473219</v>
      </c>
      <c r="AI1081">
        <v>4.5902379101152437</v>
      </c>
      <c r="AJ1081">
        <v>6.8661676709597543</v>
      </c>
      <c r="AK1081">
        <v>11.456405581074998</v>
      </c>
      <c r="AL1081">
        <v>168.36136408176955</v>
      </c>
      <c r="AM1081">
        <v>44.473213951402954</v>
      </c>
      <c r="AN1081">
        <v>2.6415332397641573</v>
      </c>
      <c r="AO1081">
        <v>12.8</v>
      </c>
      <c r="AP1081">
        <v>14.690531775694774</v>
      </c>
      <c r="AQ1081">
        <v>24.733179688425526</v>
      </c>
      <c r="AR1081">
        <v>55.613654806805997</v>
      </c>
      <c r="AS1081">
        <v>-95.908295078391603</v>
      </c>
      <c r="AT1081">
        <v>13.727342636759355</v>
      </c>
      <c r="AU1081">
        <v>30.866540591735919</v>
      </c>
    </row>
    <row r="1082" spans="1:47" x14ac:dyDescent="0.35">
      <c r="A1082">
        <v>1080</v>
      </c>
      <c r="B1082">
        <v>46083</v>
      </c>
      <c r="C1082" t="s">
        <v>16</v>
      </c>
      <c r="D1082" t="s">
        <v>385</v>
      </c>
      <c r="E1082" t="s">
        <v>226</v>
      </c>
      <c r="F1082" t="s">
        <v>231</v>
      </c>
      <c r="G1082" t="s">
        <v>232</v>
      </c>
      <c r="H1082" t="s">
        <v>22</v>
      </c>
      <c r="I1082" t="s">
        <v>23</v>
      </c>
      <c r="J1082" t="s">
        <v>215</v>
      </c>
      <c r="K1082" t="s">
        <v>384</v>
      </c>
      <c r="L1082">
        <v>30</v>
      </c>
      <c r="M1082">
        <v>65</v>
      </c>
      <c r="N1082">
        <v>2</v>
      </c>
      <c r="O1082">
        <v>2</v>
      </c>
      <c r="P1082">
        <v>4</v>
      </c>
      <c r="Q1082">
        <v>0.50009999999999999</v>
      </c>
      <c r="R1082">
        <v>463.10726564061611</v>
      </c>
      <c r="S1082">
        <v>246.20726564061613</v>
      </c>
      <c r="T1082">
        <v>0.32777777777777778</v>
      </c>
      <c r="U1082">
        <v>41</v>
      </c>
      <c r="V1082">
        <v>0.66249999999999998</v>
      </c>
      <c r="W1082">
        <v>79</v>
      </c>
      <c r="X1082">
        <v>13.3</v>
      </c>
      <c r="Y1082">
        <v>41</v>
      </c>
      <c r="Z1082">
        <v>0.36180555555555555</v>
      </c>
      <c r="AA1082">
        <v>87.5</v>
      </c>
      <c r="AB1082">
        <v>16.5</v>
      </c>
      <c r="AD1082">
        <v>38</v>
      </c>
      <c r="AE1082">
        <v>46.5</v>
      </c>
      <c r="AF1082">
        <v>35.861233672775342</v>
      </c>
      <c r="AG1082">
        <v>43.623728042697877</v>
      </c>
      <c r="AH1082">
        <v>79.484961715473219</v>
      </c>
      <c r="AI1082">
        <v>4.7695440784791208</v>
      </c>
      <c r="AJ1082">
        <v>7.1979151270451505</v>
      </c>
      <c r="AK1082">
        <v>11.967459205524271</v>
      </c>
      <c r="AL1082">
        <v>171.63402004829638</v>
      </c>
      <c r="AM1082">
        <v>53.164198428205978</v>
      </c>
      <c r="AN1082">
        <v>3.0975326694116947</v>
      </c>
      <c r="AO1082">
        <v>13.300000000000002</v>
      </c>
      <c r="AP1082">
        <v>15.05625585926977</v>
      </c>
      <c r="AQ1082">
        <v>25.841657200021878</v>
      </c>
      <c r="AR1082">
        <v>48.607254438189223</v>
      </c>
      <c r="AS1082">
        <v>0.76955598958337823</v>
      </c>
      <c r="AT1082">
        <v>14.342566833506952</v>
      </c>
      <c r="AU1082">
        <v>26.977867169154155</v>
      </c>
    </row>
    <row r="1083" spans="1:47" x14ac:dyDescent="0.35">
      <c r="A1083">
        <v>1081</v>
      </c>
      <c r="B1083">
        <v>46083</v>
      </c>
      <c r="C1083" t="s">
        <v>16</v>
      </c>
      <c r="D1083" t="s">
        <v>389</v>
      </c>
      <c r="E1083" t="s">
        <v>226</v>
      </c>
      <c r="F1083" t="s">
        <v>227</v>
      </c>
      <c r="G1083" t="s">
        <v>228</v>
      </c>
      <c r="H1083" t="s">
        <v>22</v>
      </c>
      <c r="I1083" t="s">
        <v>23</v>
      </c>
      <c r="J1083" t="s">
        <v>215</v>
      </c>
      <c r="K1083" t="s">
        <v>388</v>
      </c>
      <c r="L1083">
        <v>30</v>
      </c>
      <c r="M1083">
        <v>65</v>
      </c>
      <c r="N1083">
        <v>2</v>
      </c>
      <c r="O1083">
        <v>1</v>
      </c>
      <c r="P1083">
        <v>5</v>
      </c>
      <c r="Q1083">
        <v>0.50029999999999997</v>
      </c>
      <c r="R1083">
        <v>463.1925875950356</v>
      </c>
      <c r="S1083">
        <v>206.9925875950355</v>
      </c>
      <c r="T1083">
        <v>0.32777777777777778</v>
      </c>
      <c r="U1083">
        <v>41</v>
      </c>
      <c r="V1083">
        <v>0.66249999999999998</v>
      </c>
      <c r="W1083">
        <v>73.5</v>
      </c>
      <c r="X1083">
        <v>10.9</v>
      </c>
      <c r="Y1083">
        <v>41</v>
      </c>
      <c r="Z1083">
        <v>0.36249999999999999</v>
      </c>
      <c r="AA1083">
        <v>74.5</v>
      </c>
      <c r="AB1083">
        <v>15.1</v>
      </c>
      <c r="AD1083">
        <v>32.5</v>
      </c>
      <c r="AE1083">
        <v>33.5</v>
      </c>
      <c r="AF1083">
        <v>30.361233672775342</v>
      </c>
      <c r="AG1083">
        <v>30.623728042697874</v>
      </c>
      <c r="AH1083">
        <v>60.984961715473219</v>
      </c>
      <c r="AI1083">
        <v>3.3093744703325121</v>
      </c>
      <c r="AJ1083">
        <v>4.6241829344473784</v>
      </c>
      <c r="AK1083">
        <v>7.93355740477989</v>
      </c>
      <c r="AL1083">
        <v>131.66221426840215</v>
      </c>
      <c r="AM1083">
        <v>44.688234038841514</v>
      </c>
      <c r="AN1083">
        <v>3.3941578673241497</v>
      </c>
      <c r="AO1083">
        <v>10.9</v>
      </c>
      <c r="AP1083">
        <v>13.009038919781716</v>
      </c>
      <c r="AQ1083">
        <v>17.127988696822833</v>
      </c>
      <c r="AR1083">
        <v>38.327736741478212</v>
      </c>
      <c r="AS1083">
        <v>-1.6841137443622292</v>
      </c>
      <c r="AT1083">
        <v>9.5063300587210477</v>
      </c>
      <c r="AU1083">
        <v>21.272557001152613</v>
      </c>
    </row>
    <row r="1084" spans="1:47" x14ac:dyDescent="0.35">
      <c r="A1084">
        <v>1082</v>
      </c>
      <c r="B1084">
        <v>46083</v>
      </c>
      <c r="C1084" t="s">
        <v>16</v>
      </c>
      <c r="D1084" t="s">
        <v>389</v>
      </c>
      <c r="E1084" t="s">
        <v>226</v>
      </c>
      <c r="F1084" t="s">
        <v>227</v>
      </c>
      <c r="G1084" t="s">
        <v>228</v>
      </c>
      <c r="H1084" t="s">
        <v>22</v>
      </c>
      <c r="I1084" t="s">
        <v>23</v>
      </c>
      <c r="J1084" t="s">
        <v>215</v>
      </c>
      <c r="K1084" t="s">
        <v>388</v>
      </c>
      <c r="L1084">
        <v>30</v>
      </c>
      <c r="M1084">
        <v>65</v>
      </c>
      <c r="N1084">
        <v>2</v>
      </c>
      <c r="O1084">
        <v>2</v>
      </c>
      <c r="P1084">
        <v>6</v>
      </c>
      <c r="Q1084">
        <v>0.50009999999999999</v>
      </c>
      <c r="R1084">
        <v>463.00742165955893</v>
      </c>
      <c r="S1084">
        <v>201.20742165955903</v>
      </c>
      <c r="T1084">
        <v>0.32847222222222222</v>
      </c>
      <c r="U1084">
        <v>41.5</v>
      </c>
      <c r="V1084">
        <v>0.66319444444444442</v>
      </c>
      <c r="W1084">
        <v>73.5</v>
      </c>
      <c r="X1084">
        <v>10.9</v>
      </c>
      <c r="Y1084">
        <v>41.5</v>
      </c>
      <c r="Z1084">
        <v>0.36319444444444443</v>
      </c>
      <c r="AA1084">
        <v>75.5</v>
      </c>
      <c r="AB1084">
        <v>14.7</v>
      </c>
      <c r="AD1084">
        <v>32</v>
      </c>
      <c r="AE1084">
        <v>34</v>
      </c>
      <c r="AF1084">
        <v>29.861233672775342</v>
      </c>
      <c r="AG1084">
        <v>31.123728042697874</v>
      </c>
      <c r="AH1084">
        <v>60.984961715473219</v>
      </c>
      <c r="AI1084">
        <v>3.2548744703325121</v>
      </c>
      <c r="AJ1084">
        <v>4.5751880222765875</v>
      </c>
      <c r="AK1084">
        <v>7.8300624926091</v>
      </c>
      <c r="AL1084">
        <v>131.71486862323854</v>
      </c>
      <c r="AM1084">
        <v>43.456629904196923</v>
      </c>
      <c r="AN1084">
        <v>3.2992956951960881</v>
      </c>
      <c r="AO1084">
        <v>10.9</v>
      </c>
      <c r="AP1084">
        <v>12.839333291935874</v>
      </c>
      <c r="AQ1084">
        <v>16.911310977573066</v>
      </c>
      <c r="AR1084">
        <v>38.915376122941865</v>
      </c>
      <c r="AS1084">
        <v>-1.1118500435702248</v>
      </c>
      <c r="AT1084">
        <v>9.3860701757879568</v>
      </c>
      <c r="AU1084">
        <v>21.598707024636251</v>
      </c>
    </row>
    <row r="1085" spans="1:47" x14ac:dyDescent="0.35">
      <c r="A1085">
        <v>1083</v>
      </c>
      <c r="B1085">
        <v>46083</v>
      </c>
      <c r="C1085" t="s">
        <v>16</v>
      </c>
      <c r="D1085" t="s">
        <v>391</v>
      </c>
      <c r="E1085" t="s">
        <v>290</v>
      </c>
      <c r="F1085" t="s">
        <v>314</v>
      </c>
      <c r="G1085" t="s">
        <v>315</v>
      </c>
      <c r="H1085" t="s">
        <v>22</v>
      </c>
      <c r="I1085" t="s">
        <v>23</v>
      </c>
      <c r="J1085" t="s">
        <v>215</v>
      </c>
      <c r="K1085" t="s">
        <v>390</v>
      </c>
      <c r="L1085">
        <v>30</v>
      </c>
      <c r="M1085">
        <v>65</v>
      </c>
      <c r="N1085">
        <v>2</v>
      </c>
      <c r="O1085">
        <v>1</v>
      </c>
      <c r="P1085">
        <v>7</v>
      </c>
      <c r="Q1085">
        <v>0.50029999999999997</v>
      </c>
      <c r="R1085">
        <v>474.10929499999986</v>
      </c>
      <c r="S1085">
        <v>237.30929499999985</v>
      </c>
      <c r="T1085">
        <v>0.32847222222222222</v>
      </c>
      <c r="U1085">
        <v>41</v>
      </c>
      <c r="V1085">
        <v>0.66388888888888886</v>
      </c>
      <c r="W1085">
        <v>68</v>
      </c>
      <c r="X1085">
        <v>13.1</v>
      </c>
      <c r="Y1085">
        <v>41</v>
      </c>
      <c r="Z1085">
        <v>0.36319444444444443</v>
      </c>
      <c r="AA1085">
        <v>84</v>
      </c>
      <c r="AB1085">
        <v>15.8</v>
      </c>
      <c r="AD1085">
        <v>27</v>
      </c>
      <c r="AE1085">
        <v>43</v>
      </c>
      <c r="AF1085">
        <v>24.861233672775342</v>
      </c>
      <c r="AG1085">
        <v>40.123728042697877</v>
      </c>
      <c r="AH1085">
        <v>64.984961715473219</v>
      </c>
      <c r="AI1085">
        <v>3.2568216111335699</v>
      </c>
      <c r="AJ1085">
        <v>6.339549030746265</v>
      </c>
      <c r="AK1085">
        <v>9.5963706418798349</v>
      </c>
      <c r="AL1085">
        <v>137.06747030866214</v>
      </c>
      <c r="AM1085">
        <v>50.053710716639699</v>
      </c>
      <c r="AN1085">
        <v>3.6517570948032954</v>
      </c>
      <c r="AO1085">
        <v>13.100000000000001</v>
      </c>
      <c r="AP1085">
        <v>14.767063622959547</v>
      </c>
      <c r="AQ1085">
        <v>20.240840546861328</v>
      </c>
      <c r="AR1085">
        <v>40.438241754836618</v>
      </c>
      <c r="AS1085">
        <v>-1.9462550161433088</v>
      </c>
      <c r="AT1085">
        <v>11.23401669106075</v>
      </c>
      <c r="AU1085">
        <v>22.443923797494097</v>
      </c>
    </row>
    <row r="1086" spans="1:47" x14ac:dyDescent="0.35">
      <c r="A1086">
        <v>1084</v>
      </c>
      <c r="B1086">
        <v>46083</v>
      </c>
      <c r="C1086" t="s">
        <v>16</v>
      </c>
      <c r="D1086" t="s">
        <v>391</v>
      </c>
      <c r="E1086" t="s">
        <v>290</v>
      </c>
      <c r="F1086" t="s">
        <v>314</v>
      </c>
      <c r="G1086" t="s">
        <v>315</v>
      </c>
      <c r="H1086" t="s">
        <v>22</v>
      </c>
      <c r="I1086" t="s">
        <v>23</v>
      </c>
      <c r="J1086" t="s">
        <v>215</v>
      </c>
      <c r="K1086" t="s">
        <v>390</v>
      </c>
      <c r="L1086">
        <v>30</v>
      </c>
      <c r="M1086">
        <v>65</v>
      </c>
      <c r="N1086">
        <v>2</v>
      </c>
      <c r="O1086">
        <v>2</v>
      </c>
      <c r="P1086">
        <v>8</v>
      </c>
      <c r="Q1086">
        <v>0.50009999999999999</v>
      </c>
      <c r="R1086">
        <v>473.91976499999993</v>
      </c>
      <c r="S1086">
        <v>239.3197649999999</v>
      </c>
      <c r="T1086">
        <v>0.32847222222222222</v>
      </c>
      <c r="U1086">
        <v>41</v>
      </c>
      <c r="V1086">
        <v>0.66388888888888886</v>
      </c>
      <c r="W1086">
        <v>68</v>
      </c>
      <c r="X1086">
        <v>13.8</v>
      </c>
      <c r="Y1086">
        <v>40.5</v>
      </c>
      <c r="Z1086">
        <v>0.36388888888888887</v>
      </c>
      <c r="AA1086">
        <v>86.5</v>
      </c>
      <c r="AB1086">
        <v>16.600000000000001</v>
      </c>
      <c r="AD1086">
        <v>27</v>
      </c>
      <c r="AE1086">
        <v>46</v>
      </c>
      <c r="AF1086">
        <v>24.861233672775342</v>
      </c>
      <c r="AG1086">
        <v>43.123728042697877</v>
      </c>
      <c r="AH1086">
        <v>67.984961715473219</v>
      </c>
      <c r="AI1086">
        <v>3.4308502468429976</v>
      </c>
      <c r="AJ1086">
        <v>7.1585388550878477</v>
      </c>
      <c r="AK1086">
        <v>10.589389101930845</v>
      </c>
      <c r="AL1086">
        <v>143.45247178174398</v>
      </c>
      <c r="AM1086">
        <v>50.497949795362494</v>
      </c>
      <c r="AN1086">
        <v>3.5201868025106395</v>
      </c>
      <c r="AO1086">
        <v>13.800000000000002</v>
      </c>
      <c r="AP1086">
        <v>15.576075700754165</v>
      </c>
      <c r="AQ1086">
        <v>22.344265599327443</v>
      </c>
      <c r="AR1086">
        <v>44.247866873556589</v>
      </c>
      <c r="AS1086">
        <v>-2.6490715912479326</v>
      </c>
      <c r="AT1086">
        <v>12.401453986616339</v>
      </c>
      <c r="AU1086">
        <v>24.558331648852867</v>
      </c>
    </row>
    <row r="1087" spans="1:47" x14ac:dyDescent="0.35">
      <c r="A1087">
        <v>1085</v>
      </c>
      <c r="B1087">
        <v>46083</v>
      </c>
      <c r="C1087" t="s">
        <v>16</v>
      </c>
      <c r="D1087" t="s">
        <v>393</v>
      </c>
      <c r="E1087" t="s">
        <v>226</v>
      </c>
      <c r="F1087" t="s">
        <v>227</v>
      </c>
      <c r="G1087" t="s">
        <v>228</v>
      </c>
      <c r="H1087" t="s">
        <v>22</v>
      </c>
      <c r="I1087" t="s">
        <v>23</v>
      </c>
      <c r="J1087" t="s">
        <v>215</v>
      </c>
      <c r="K1087" t="s">
        <v>392</v>
      </c>
      <c r="L1087">
        <v>30</v>
      </c>
      <c r="M1087">
        <v>65</v>
      </c>
      <c r="N1087">
        <v>2</v>
      </c>
      <c r="O1087">
        <v>1</v>
      </c>
      <c r="P1087">
        <v>9</v>
      </c>
      <c r="Q1087">
        <v>0.50029999999999997</v>
      </c>
      <c r="R1087">
        <v>468.08711225148579</v>
      </c>
      <c r="S1087">
        <v>170.78711225148589</v>
      </c>
      <c r="T1087">
        <v>0.32847222222222222</v>
      </c>
      <c r="U1087">
        <v>41.5</v>
      </c>
      <c r="V1087">
        <v>0.6645833333333333</v>
      </c>
      <c r="W1087">
        <v>76</v>
      </c>
      <c r="X1087">
        <v>11.5</v>
      </c>
      <c r="Y1087">
        <v>41.5</v>
      </c>
      <c r="Z1087">
        <v>0.36458333333333331</v>
      </c>
      <c r="AA1087">
        <v>77</v>
      </c>
      <c r="AB1087">
        <v>15.2</v>
      </c>
      <c r="AD1087">
        <v>34.5</v>
      </c>
      <c r="AE1087">
        <v>35.5</v>
      </c>
      <c r="AF1087">
        <v>32.361233672775342</v>
      </c>
      <c r="AG1087">
        <v>32.623728042697877</v>
      </c>
      <c r="AH1087">
        <v>64.984961715473219</v>
      </c>
      <c r="AI1087">
        <v>3.7215418723691642</v>
      </c>
      <c r="AJ1087">
        <v>4.9588066624900771</v>
      </c>
      <c r="AK1087">
        <v>8.6803485348592417</v>
      </c>
      <c r="AL1087">
        <v>138.83091419222671</v>
      </c>
      <c r="AM1087">
        <v>36.486181264424204</v>
      </c>
      <c r="AN1087">
        <v>2.6281020676637667</v>
      </c>
      <c r="AO1087">
        <v>11.5</v>
      </c>
      <c r="AP1087">
        <v>13.357472722481285</v>
      </c>
      <c r="AQ1087">
        <v>18.544301493598084</v>
      </c>
      <c r="AR1087">
        <v>50.825547785346551</v>
      </c>
      <c r="AS1087">
        <v>-0.34767054019721561</v>
      </c>
      <c r="AT1087">
        <v>10.292408164612915</v>
      </c>
      <c r="AU1087">
        <v>28.209058355604107</v>
      </c>
    </row>
    <row r="1088" spans="1:47" x14ac:dyDescent="0.35">
      <c r="A1088">
        <v>1086</v>
      </c>
      <c r="B1088">
        <v>46083</v>
      </c>
      <c r="C1088" t="s">
        <v>16</v>
      </c>
      <c r="D1088" t="s">
        <v>393</v>
      </c>
      <c r="E1088" t="s">
        <v>226</v>
      </c>
      <c r="F1088" t="s">
        <v>227</v>
      </c>
      <c r="G1088" t="s">
        <v>228</v>
      </c>
      <c r="H1088" t="s">
        <v>22</v>
      </c>
      <c r="I1088" t="s">
        <v>23</v>
      </c>
      <c r="J1088" t="s">
        <v>215</v>
      </c>
      <c r="K1088" t="s">
        <v>392</v>
      </c>
      <c r="L1088">
        <v>30</v>
      </c>
      <c r="M1088">
        <v>65</v>
      </c>
      <c r="N1088">
        <v>2</v>
      </c>
      <c r="O1088">
        <v>2</v>
      </c>
      <c r="P1088">
        <v>10</v>
      </c>
      <c r="Q1088">
        <v>0.5</v>
      </c>
      <c r="R1088">
        <v>467.80642839444914</v>
      </c>
      <c r="S1088">
        <v>219.60642839444915</v>
      </c>
      <c r="T1088">
        <v>0.32916666666666666</v>
      </c>
      <c r="U1088">
        <v>41.5</v>
      </c>
      <c r="V1088">
        <v>0.66527777777777775</v>
      </c>
      <c r="W1088">
        <v>75.5</v>
      </c>
      <c r="X1088">
        <v>11.6</v>
      </c>
      <c r="Y1088">
        <v>41.5</v>
      </c>
      <c r="Z1088">
        <v>0.36458333333333331</v>
      </c>
      <c r="AA1088">
        <v>77</v>
      </c>
      <c r="AB1088">
        <v>15.6</v>
      </c>
      <c r="AC1088" t="s">
        <v>551</v>
      </c>
      <c r="AD1088">
        <v>34</v>
      </c>
      <c r="AE1088">
        <v>35.5</v>
      </c>
      <c r="AF1088">
        <v>31.861233672775342</v>
      </c>
      <c r="AG1088">
        <v>32.623728042697877</v>
      </c>
      <c r="AH1088">
        <v>64.484961715473219</v>
      </c>
      <c r="AI1088">
        <v>3.6959031060419392</v>
      </c>
      <c r="AJ1088">
        <v>5.089301574660869</v>
      </c>
      <c r="AK1088">
        <v>8.7852046807028081</v>
      </c>
      <c r="AL1088">
        <v>137.84539459363782</v>
      </c>
      <c r="AM1088">
        <v>46.94386717774632</v>
      </c>
      <c r="AN1088">
        <v>3.4055448363824401</v>
      </c>
      <c r="AO1088">
        <v>11.6</v>
      </c>
      <c r="AP1088">
        <v>13.623648750022893</v>
      </c>
      <c r="AQ1088">
        <v>18.779572377520264</v>
      </c>
      <c r="AR1088">
        <v>40.004314741293186</v>
      </c>
      <c r="AS1088">
        <v>-2.000704190685016</v>
      </c>
      <c r="AT1088">
        <v>10.422987575620244</v>
      </c>
      <c r="AU1088">
        <v>22.203086797589712</v>
      </c>
    </row>
    <row r="1089" spans="1:47" x14ac:dyDescent="0.35">
      <c r="A1089">
        <v>1087</v>
      </c>
      <c r="B1089">
        <v>46083</v>
      </c>
      <c r="C1089" t="s">
        <v>16</v>
      </c>
      <c r="D1089" t="s">
        <v>395</v>
      </c>
      <c r="E1089" t="s">
        <v>240</v>
      </c>
      <c r="F1089" t="s">
        <v>396</v>
      </c>
      <c r="G1089" t="s">
        <v>397</v>
      </c>
      <c r="H1089" t="s">
        <v>22</v>
      </c>
      <c r="I1089" t="s">
        <v>23</v>
      </c>
      <c r="J1089" t="s">
        <v>215</v>
      </c>
      <c r="K1089" t="s">
        <v>394</v>
      </c>
      <c r="L1089">
        <v>30</v>
      </c>
      <c r="M1089">
        <v>65</v>
      </c>
      <c r="N1089">
        <v>2</v>
      </c>
      <c r="O1089">
        <v>1</v>
      </c>
      <c r="P1089">
        <v>11</v>
      </c>
      <c r="Q1089">
        <v>0.50029999999999997</v>
      </c>
      <c r="R1089">
        <v>473.41822675195095</v>
      </c>
      <c r="S1089">
        <v>201.41822675195095</v>
      </c>
      <c r="T1089">
        <v>0.33055555555555555</v>
      </c>
      <c r="U1089">
        <v>40.5</v>
      </c>
      <c r="V1089">
        <v>0.66527777777777775</v>
      </c>
      <c r="W1089">
        <v>76.5</v>
      </c>
      <c r="X1089">
        <v>13.7</v>
      </c>
      <c r="Y1089">
        <v>41</v>
      </c>
      <c r="Z1089">
        <v>0.36527777777777776</v>
      </c>
      <c r="AA1089">
        <v>79.5</v>
      </c>
      <c r="AB1089">
        <v>17.7</v>
      </c>
      <c r="AC1089" t="s">
        <v>595</v>
      </c>
      <c r="AF1089">
        <v>33.861233672775342</v>
      </c>
      <c r="AG1089">
        <v>35.623728042697877</v>
      </c>
      <c r="AH1089">
        <v>69.484961715473219</v>
      </c>
      <c r="AI1089">
        <v>4.6389890131702209</v>
      </c>
      <c r="AJ1089">
        <v>6.3053998635575237</v>
      </c>
      <c r="AK1089">
        <v>10.944388876727745</v>
      </c>
      <c r="AL1089">
        <v>146.77289083734433</v>
      </c>
      <c r="AM1089">
        <v>42.545515861070704</v>
      </c>
      <c r="AN1089">
        <v>2.8987312042671567</v>
      </c>
      <c r="AO1089">
        <v>13.699999999999998</v>
      </c>
      <c r="AP1089">
        <v>15.750730239361419</v>
      </c>
      <c r="AQ1089">
        <v>23.117802100302516</v>
      </c>
      <c r="AR1089">
        <v>54.336636029498436</v>
      </c>
      <c r="AS1089">
        <v>1.958720488643771</v>
      </c>
      <c r="AT1089">
        <v>12.830780127641951</v>
      </c>
      <c r="AU1089">
        <v>30.157773076579758</v>
      </c>
    </row>
    <row r="1090" spans="1:47" x14ac:dyDescent="0.35">
      <c r="A1090">
        <v>1088</v>
      </c>
      <c r="B1090">
        <v>46083</v>
      </c>
      <c r="C1090" t="s">
        <v>16</v>
      </c>
      <c r="D1090" t="s">
        <v>395</v>
      </c>
      <c r="E1090" t="s">
        <v>240</v>
      </c>
      <c r="F1090" t="s">
        <v>396</v>
      </c>
      <c r="G1090" t="s">
        <v>397</v>
      </c>
      <c r="H1090" t="s">
        <v>22</v>
      </c>
      <c r="I1090" t="s">
        <v>23</v>
      </c>
      <c r="J1090" t="s">
        <v>215</v>
      </c>
      <c r="K1090" t="s">
        <v>394</v>
      </c>
      <c r="L1090">
        <v>30</v>
      </c>
      <c r="M1090">
        <v>65</v>
      </c>
      <c r="N1090">
        <v>2</v>
      </c>
      <c r="O1090">
        <v>2</v>
      </c>
      <c r="P1090">
        <v>12</v>
      </c>
      <c r="Q1090">
        <v>0.50019999999999998</v>
      </c>
      <c r="R1090">
        <v>473.32359988272208</v>
      </c>
      <c r="S1090">
        <v>206.12359988272209</v>
      </c>
      <c r="T1090">
        <v>0.32916666666666666</v>
      </c>
      <c r="U1090">
        <v>41.5</v>
      </c>
      <c r="V1090">
        <v>0.66597222222222219</v>
      </c>
      <c r="W1090">
        <v>76</v>
      </c>
      <c r="X1090">
        <v>12.7</v>
      </c>
      <c r="Y1090">
        <v>41</v>
      </c>
      <c r="Z1090">
        <v>0.36527777777777776</v>
      </c>
      <c r="AA1090">
        <v>77.5</v>
      </c>
      <c r="AB1090">
        <v>17</v>
      </c>
      <c r="AF1090">
        <v>32.361233672775342</v>
      </c>
      <c r="AG1090">
        <v>33.623728042697877</v>
      </c>
      <c r="AH1090">
        <v>65.984961715473219</v>
      </c>
      <c r="AI1090">
        <v>4.1098766764424681</v>
      </c>
      <c r="AJ1090">
        <v>5.7160337672586392</v>
      </c>
      <c r="AK1090">
        <v>9.8259104437011082</v>
      </c>
      <c r="AL1090">
        <v>139.40771542306925</v>
      </c>
      <c r="AM1090">
        <v>43.548134919491538</v>
      </c>
      <c r="AN1090">
        <v>3.1237966124997674</v>
      </c>
      <c r="AO1090">
        <v>12.7</v>
      </c>
      <c r="AP1090">
        <v>14.891136083506993</v>
      </c>
      <c r="AQ1090">
        <v>20.759392614557413</v>
      </c>
      <c r="AR1090">
        <v>47.669992418586446</v>
      </c>
      <c r="AS1090">
        <v>1.3580928135273995</v>
      </c>
      <c r="AT1090">
        <v>11.52182206012114</v>
      </c>
      <c r="AU1090">
        <v>26.457670532668747</v>
      </c>
    </row>
    <row r="1091" spans="1:47" x14ac:dyDescent="0.35">
      <c r="A1091">
        <v>1089</v>
      </c>
      <c r="B1091">
        <v>46083</v>
      </c>
      <c r="C1091" t="s">
        <v>16</v>
      </c>
      <c r="D1091" t="s">
        <v>399</v>
      </c>
      <c r="E1091" t="s">
        <v>240</v>
      </c>
      <c r="F1091" t="s">
        <v>400</v>
      </c>
      <c r="G1091" t="s">
        <v>401</v>
      </c>
      <c r="H1091" t="s">
        <v>22</v>
      </c>
      <c r="I1091" t="s">
        <v>23</v>
      </c>
      <c r="J1091" t="s">
        <v>215</v>
      </c>
      <c r="K1091" t="s">
        <v>398</v>
      </c>
      <c r="L1091">
        <v>30</v>
      </c>
      <c r="M1091">
        <v>65</v>
      </c>
      <c r="N1091">
        <v>2</v>
      </c>
      <c r="O1091">
        <v>1</v>
      </c>
      <c r="P1091">
        <v>13</v>
      </c>
      <c r="Q1091">
        <v>0.50009999999999999</v>
      </c>
      <c r="R1091">
        <v>477.38066989396157</v>
      </c>
      <c r="S1091">
        <v>125.48066989396159</v>
      </c>
      <c r="T1091">
        <v>0.32916666666666666</v>
      </c>
      <c r="U1091">
        <v>41.5</v>
      </c>
      <c r="V1091">
        <v>0.66666666666666663</v>
      </c>
      <c r="W1091">
        <v>66</v>
      </c>
      <c r="X1091">
        <v>11.7</v>
      </c>
      <c r="Y1091">
        <v>40</v>
      </c>
      <c r="Z1091">
        <v>0.3659722222222222</v>
      </c>
      <c r="AA1091">
        <v>57</v>
      </c>
      <c r="AB1091">
        <v>14.6</v>
      </c>
      <c r="AD1091">
        <v>24.5</v>
      </c>
      <c r="AE1091">
        <v>17</v>
      </c>
      <c r="AF1091">
        <v>22.361233672775342</v>
      </c>
      <c r="AG1091">
        <v>14.123728042697875</v>
      </c>
      <c r="AH1091">
        <v>36.484961715473219</v>
      </c>
      <c r="AI1091">
        <v>2.6162643397147147</v>
      </c>
      <c r="AJ1091">
        <v>2.0620642942338896</v>
      </c>
      <c r="AK1091">
        <v>4.6783286339486043</v>
      </c>
      <c r="AL1091">
        <v>76.427396449834177</v>
      </c>
      <c r="AM1091">
        <v>26.285243162827278</v>
      </c>
      <c r="AN1091">
        <v>3.4392435675969319</v>
      </c>
      <c r="AO1091">
        <v>11.7</v>
      </c>
      <c r="AP1091">
        <v>12.822621743260681</v>
      </c>
      <c r="AQ1091">
        <v>9.79999595498448</v>
      </c>
      <c r="AR1091">
        <v>37.283261540618668</v>
      </c>
      <c r="AS1091">
        <v>-0.1509896979723733</v>
      </c>
      <c r="AT1091">
        <v>5.4391673051194136</v>
      </c>
      <c r="AU1091">
        <v>20.69285519417036</v>
      </c>
    </row>
    <row r="1092" spans="1:47" x14ac:dyDescent="0.35">
      <c r="A1092">
        <v>1090</v>
      </c>
      <c r="B1092">
        <v>46083</v>
      </c>
      <c r="C1092" t="s">
        <v>16</v>
      </c>
      <c r="D1092" t="s">
        <v>399</v>
      </c>
      <c r="E1092" t="s">
        <v>240</v>
      </c>
      <c r="F1092" t="s">
        <v>400</v>
      </c>
      <c r="G1092" t="s">
        <v>401</v>
      </c>
      <c r="H1092" t="s">
        <v>22</v>
      </c>
      <c r="I1092" t="s">
        <v>23</v>
      </c>
      <c r="J1092" t="s">
        <v>215</v>
      </c>
      <c r="K1092" t="s">
        <v>398</v>
      </c>
      <c r="L1092">
        <v>30</v>
      </c>
      <c r="M1092">
        <v>65</v>
      </c>
      <c r="N1092">
        <v>2</v>
      </c>
      <c r="O1092">
        <v>2</v>
      </c>
      <c r="P1092">
        <v>14</v>
      </c>
      <c r="Q1092">
        <v>0.50019999999999998</v>
      </c>
      <c r="R1092">
        <v>477.47612693653173</v>
      </c>
      <c r="S1092">
        <v>110.77612693653168</v>
      </c>
      <c r="T1092">
        <v>0.3298611111111111</v>
      </c>
      <c r="U1092">
        <v>40.5</v>
      </c>
      <c r="V1092">
        <v>0.66736111111111107</v>
      </c>
      <c r="W1092">
        <v>66.5</v>
      </c>
      <c r="X1092">
        <v>11.7</v>
      </c>
      <c r="Y1092">
        <v>40</v>
      </c>
      <c r="Z1092">
        <v>0.36666666666666664</v>
      </c>
      <c r="AA1092">
        <v>53.5</v>
      </c>
      <c r="AB1092">
        <v>13.3</v>
      </c>
      <c r="AD1092">
        <v>26</v>
      </c>
      <c r="AE1092">
        <v>13.5</v>
      </c>
      <c r="AF1092">
        <v>23.861233672775342</v>
      </c>
      <c r="AG1092">
        <v>10.623728042697875</v>
      </c>
      <c r="AH1092">
        <v>34.484961715473219</v>
      </c>
      <c r="AI1092">
        <v>2.7917643397147147</v>
      </c>
      <c r="AJ1092">
        <v>1.4129558296788174</v>
      </c>
      <c r="AK1092">
        <v>4.2047201693935321</v>
      </c>
      <c r="AL1092">
        <v>72.223425989331432</v>
      </c>
      <c r="AM1092">
        <v>23.200348810581801</v>
      </c>
      <c r="AN1092">
        <v>3.2123024479631952</v>
      </c>
      <c r="AO1092">
        <v>11.7</v>
      </c>
      <c r="AP1092">
        <v>12.192909489317765</v>
      </c>
      <c r="AQ1092">
        <v>8.8061369609635847</v>
      </c>
      <c r="AR1092">
        <v>37.956916220790006</v>
      </c>
      <c r="AS1092">
        <v>-0.11530522164430955</v>
      </c>
      <c r="AT1092">
        <v>4.8875583686455331</v>
      </c>
      <c r="AU1092">
        <v>21.066745196590716</v>
      </c>
    </row>
    <row r="1093" spans="1:47" x14ac:dyDescent="0.35">
      <c r="A1093">
        <v>1091</v>
      </c>
      <c r="B1093">
        <v>46083</v>
      </c>
      <c r="C1093" t="s">
        <v>16</v>
      </c>
      <c r="D1093" t="s">
        <v>403</v>
      </c>
      <c r="E1093" t="s">
        <v>212</v>
      </c>
      <c r="F1093" t="s">
        <v>404</v>
      </c>
      <c r="G1093" t="s">
        <v>405</v>
      </c>
      <c r="H1093" t="s">
        <v>22</v>
      </c>
      <c r="I1093" t="s">
        <v>23</v>
      </c>
      <c r="J1093" t="s">
        <v>215</v>
      </c>
      <c r="K1093" t="s">
        <v>402</v>
      </c>
      <c r="L1093">
        <v>30</v>
      </c>
      <c r="M1093">
        <v>65</v>
      </c>
      <c r="N1093">
        <v>2</v>
      </c>
      <c r="O1093">
        <v>1</v>
      </c>
      <c r="P1093">
        <v>15</v>
      </c>
      <c r="Q1093">
        <v>0.5</v>
      </c>
      <c r="R1093">
        <v>472.2555488902222</v>
      </c>
      <c r="S1093">
        <v>103.85554889022217</v>
      </c>
      <c r="T1093">
        <v>0.33055555555555555</v>
      </c>
      <c r="U1093">
        <v>40.5</v>
      </c>
      <c r="V1093">
        <v>0.66736111111111107</v>
      </c>
      <c r="W1093">
        <v>68.5</v>
      </c>
      <c r="X1093">
        <v>13.8</v>
      </c>
      <c r="Y1093">
        <v>40</v>
      </c>
      <c r="Z1093">
        <v>0.36666666666666664</v>
      </c>
      <c r="AA1093">
        <v>75</v>
      </c>
      <c r="AB1093">
        <v>16.7</v>
      </c>
      <c r="AD1093">
        <v>28</v>
      </c>
      <c r="AE1093">
        <v>35</v>
      </c>
      <c r="AF1093">
        <v>25.861233672775342</v>
      </c>
      <c r="AG1093">
        <v>32.123728042697877</v>
      </c>
      <c r="AH1093">
        <v>57.984961715473219</v>
      </c>
      <c r="AI1093">
        <v>3.5688502468429975</v>
      </c>
      <c r="AJ1093">
        <v>5.3646625831305448</v>
      </c>
      <c r="AK1093">
        <v>8.9335128299735427</v>
      </c>
      <c r="AL1093">
        <v>122.78301832923951</v>
      </c>
      <c r="AM1093">
        <v>21.991387742140393</v>
      </c>
      <c r="AN1093">
        <v>1.7910773037987269</v>
      </c>
      <c r="AO1093">
        <v>13.8</v>
      </c>
      <c r="AP1093">
        <v>15.406602963384636</v>
      </c>
      <c r="AQ1093">
        <v>18.916692140445711</v>
      </c>
      <c r="AR1093">
        <v>86.018637669677929</v>
      </c>
      <c r="AS1093">
        <v>-0.32063470603719668</v>
      </c>
      <c r="AT1093">
        <v>10.499091416358105</v>
      </c>
      <c r="AU1093">
        <v>47.741832118395635</v>
      </c>
    </row>
    <row r="1094" spans="1:47" x14ac:dyDescent="0.35">
      <c r="A1094">
        <v>1092</v>
      </c>
      <c r="B1094">
        <v>46083</v>
      </c>
      <c r="C1094" t="s">
        <v>16</v>
      </c>
      <c r="D1094" t="s">
        <v>403</v>
      </c>
      <c r="E1094" t="s">
        <v>212</v>
      </c>
      <c r="F1094" t="s">
        <v>404</v>
      </c>
      <c r="G1094" t="s">
        <v>405</v>
      </c>
      <c r="H1094" t="s">
        <v>22</v>
      </c>
      <c r="I1094" t="s">
        <v>23</v>
      </c>
      <c r="J1094" t="s">
        <v>215</v>
      </c>
      <c r="K1094" t="s">
        <v>402</v>
      </c>
      <c r="L1094">
        <v>30</v>
      </c>
      <c r="M1094">
        <v>65</v>
      </c>
      <c r="N1094">
        <v>2</v>
      </c>
      <c r="O1094">
        <v>2</v>
      </c>
      <c r="P1094">
        <v>16</v>
      </c>
      <c r="Q1094">
        <v>0.50029999999999997</v>
      </c>
      <c r="R1094">
        <v>472.53890221955629</v>
      </c>
      <c r="S1094">
        <v>140.93890221955638</v>
      </c>
      <c r="T1094">
        <v>0.33055555555555555</v>
      </c>
      <c r="U1094">
        <v>40.5</v>
      </c>
      <c r="V1094">
        <v>0.66805555555555551</v>
      </c>
      <c r="W1094">
        <v>68.5</v>
      </c>
      <c r="X1094">
        <v>14</v>
      </c>
      <c r="Y1094">
        <v>40</v>
      </c>
      <c r="Z1094">
        <v>0.36736111111111114</v>
      </c>
      <c r="AA1094">
        <v>73.5</v>
      </c>
      <c r="AB1094">
        <v>16.5</v>
      </c>
      <c r="AD1094">
        <v>28</v>
      </c>
      <c r="AE1094">
        <v>33.5</v>
      </c>
      <c r="AF1094">
        <v>25.861233672775342</v>
      </c>
      <c r="AG1094">
        <v>30.623728042697874</v>
      </c>
      <c r="AH1094">
        <v>56.484961715473219</v>
      </c>
      <c r="AI1094">
        <v>3.620572714188548</v>
      </c>
      <c r="AJ1094">
        <v>5.0529151270451491</v>
      </c>
      <c r="AK1094">
        <v>8.6734878412336975</v>
      </c>
      <c r="AL1094">
        <v>119.53505087127947</v>
      </c>
      <c r="AM1094">
        <v>29.825883447384776</v>
      </c>
      <c r="AN1094">
        <v>2.4951579666371315</v>
      </c>
      <c r="AO1094">
        <v>14</v>
      </c>
      <c r="AP1094">
        <v>15.355392971537988</v>
      </c>
      <c r="AQ1094">
        <v>18.355076800012807</v>
      </c>
      <c r="AR1094">
        <v>61.540764860804934</v>
      </c>
      <c r="AS1094">
        <v>-0.57743801775069159</v>
      </c>
      <c r="AT1094">
        <v>10.187385185889461</v>
      </c>
      <c r="AU1094">
        <v>34.156189216861975</v>
      </c>
    </row>
    <row r="1095" spans="1:47" x14ac:dyDescent="0.35">
      <c r="A1095">
        <v>1093</v>
      </c>
      <c r="B1095">
        <v>46083</v>
      </c>
      <c r="C1095" t="s">
        <v>16</v>
      </c>
      <c r="D1095" t="s">
        <v>407</v>
      </c>
      <c r="E1095" t="s">
        <v>226</v>
      </c>
      <c r="F1095" t="s">
        <v>231</v>
      </c>
      <c r="G1095" t="s">
        <v>232</v>
      </c>
      <c r="H1095" t="s">
        <v>22</v>
      </c>
      <c r="I1095" t="s">
        <v>23</v>
      </c>
      <c r="J1095" t="s">
        <v>215</v>
      </c>
      <c r="K1095" t="s">
        <v>406</v>
      </c>
      <c r="L1095">
        <v>30</v>
      </c>
      <c r="M1095">
        <v>65</v>
      </c>
      <c r="N1095">
        <v>2</v>
      </c>
      <c r="O1095">
        <v>1</v>
      </c>
      <c r="P1095">
        <v>17</v>
      </c>
      <c r="Q1095">
        <v>0.50009999999999999</v>
      </c>
      <c r="R1095">
        <v>473.53163694791988</v>
      </c>
      <c r="S1095">
        <v>244.93163694791986</v>
      </c>
      <c r="T1095">
        <v>0.33124999999999999</v>
      </c>
      <c r="U1095">
        <v>40.5</v>
      </c>
      <c r="V1095">
        <v>0.66805555555555551</v>
      </c>
      <c r="W1095">
        <v>77</v>
      </c>
      <c r="X1095">
        <v>13</v>
      </c>
      <c r="Y1095">
        <v>40.5</v>
      </c>
      <c r="Z1095">
        <v>0.36736111111111114</v>
      </c>
      <c r="AA1095">
        <v>81.5</v>
      </c>
      <c r="AB1095">
        <v>16.399999999999999</v>
      </c>
      <c r="AD1095">
        <v>36.5</v>
      </c>
      <c r="AE1095">
        <v>41</v>
      </c>
      <c r="AF1095">
        <v>34.361233672775342</v>
      </c>
      <c r="AG1095">
        <v>38.123728042697877</v>
      </c>
      <c r="AH1095">
        <v>72.484961715473219</v>
      </c>
      <c r="AI1095">
        <v>4.4669603774607944</v>
      </c>
      <c r="AJ1095">
        <v>6.2522913990024511</v>
      </c>
      <c r="AK1095">
        <v>10.719251776463246</v>
      </c>
      <c r="AL1095">
        <v>153.07311288146369</v>
      </c>
      <c r="AM1095">
        <v>51.72445045627606</v>
      </c>
      <c r="AN1095">
        <v>3.3790683081182449</v>
      </c>
      <c r="AO1095">
        <v>13</v>
      </c>
      <c r="AP1095">
        <v>14.788242309542435</v>
      </c>
      <c r="AQ1095">
        <v>22.636822843670263</v>
      </c>
      <c r="AR1095">
        <v>43.764259734002813</v>
      </c>
      <c r="AS1095">
        <v>1.8421198948713058</v>
      </c>
      <c r="AT1095">
        <v>12.563828318770621</v>
      </c>
      <c r="AU1095">
        <v>24.28992131949499</v>
      </c>
    </row>
    <row r="1096" spans="1:47" x14ac:dyDescent="0.35">
      <c r="A1096">
        <v>1094</v>
      </c>
      <c r="B1096">
        <v>46083</v>
      </c>
      <c r="C1096" t="s">
        <v>16</v>
      </c>
      <c r="D1096" t="s">
        <v>407</v>
      </c>
      <c r="E1096" t="s">
        <v>226</v>
      </c>
      <c r="F1096" t="s">
        <v>231</v>
      </c>
      <c r="G1096" t="s">
        <v>232</v>
      </c>
      <c r="H1096" t="s">
        <v>22</v>
      </c>
      <c r="I1096" t="s">
        <v>23</v>
      </c>
      <c r="J1096" t="s">
        <v>215</v>
      </c>
      <c r="K1096" t="s">
        <v>406</v>
      </c>
      <c r="L1096">
        <v>30</v>
      </c>
      <c r="M1096">
        <v>65</v>
      </c>
      <c r="N1096">
        <v>2</v>
      </c>
      <c r="O1096">
        <v>2</v>
      </c>
      <c r="P1096">
        <v>18</v>
      </c>
      <c r="Q1096">
        <v>0.5</v>
      </c>
      <c r="R1096">
        <v>473.43694955800828</v>
      </c>
      <c r="S1096">
        <v>206.33694955800826</v>
      </c>
      <c r="T1096">
        <v>0.33124999999999999</v>
      </c>
      <c r="U1096">
        <v>40.5</v>
      </c>
      <c r="V1096">
        <v>0.66874999999999996</v>
      </c>
      <c r="W1096">
        <v>78</v>
      </c>
      <c r="X1096">
        <v>13.1</v>
      </c>
      <c r="Y1096">
        <v>41.5</v>
      </c>
      <c r="Z1096">
        <v>0.36805555555555558</v>
      </c>
      <c r="AA1096">
        <v>81.5</v>
      </c>
      <c r="AB1096">
        <v>16.3</v>
      </c>
      <c r="AC1096" t="s">
        <v>596</v>
      </c>
      <c r="AD1096">
        <v>37.5</v>
      </c>
      <c r="AE1096">
        <v>40</v>
      </c>
      <c r="AF1096">
        <v>35.361233672775342</v>
      </c>
      <c r="AG1096">
        <v>37.123728042697877</v>
      </c>
      <c r="AH1096">
        <v>72.484961715473219</v>
      </c>
      <c r="AI1096">
        <v>4.6323216111335697</v>
      </c>
      <c r="AJ1096">
        <v>6.0511676709597539</v>
      </c>
      <c r="AK1096">
        <v>10.683489282093323</v>
      </c>
      <c r="AL1096">
        <v>153.10372750403997</v>
      </c>
      <c r="AM1096">
        <v>43.582772690353067</v>
      </c>
      <c r="AN1096">
        <v>2.8466173489605628</v>
      </c>
      <c r="AO1096">
        <v>13.1</v>
      </c>
      <c r="AP1096">
        <v>14.738904497224478</v>
      </c>
      <c r="AQ1096">
        <v>22.565812178511255</v>
      </c>
      <c r="AR1096">
        <v>51.776908134865266</v>
      </c>
      <c r="AS1096">
        <v>-1.0614847463522472</v>
      </c>
      <c r="AT1096">
        <v>12.524416171049152</v>
      </c>
      <c r="AU1096">
        <v>28.737079809108607</v>
      </c>
    </row>
    <row r="1097" spans="1:47" x14ac:dyDescent="0.35">
      <c r="A1097">
        <v>1095</v>
      </c>
      <c r="B1097">
        <v>46083</v>
      </c>
      <c r="C1097" t="s">
        <v>16</v>
      </c>
      <c r="D1097" t="s">
        <v>409</v>
      </c>
      <c r="E1097" t="s">
        <v>290</v>
      </c>
      <c r="F1097" t="s">
        <v>314</v>
      </c>
      <c r="G1097" t="s">
        <v>315</v>
      </c>
      <c r="H1097" t="s">
        <v>22</v>
      </c>
      <c r="I1097" t="s">
        <v>23</v>
      </c>
      <c r="J1097" t="s">
        <v>215</v>
      </c>
      <c r="K1097" t="s">
        <v>408</v>
      </c>
      <c r="L1097">
        <v>30</v>
      </c>
      <c r="M1097">
        <v>65</v>
      </c>
      <c r="N1097">
        <v>2</v>
      </c>
      <c r="O1097">
        <v>1</v>
      </c>
      <c r="P1097">
        <v>19</v>
      </c>
      <c r="Q1097">
        <v>0.50009999999999999</v>
      </c>
      <c r="R1097">
        <v>470.17950834411772</v>
      </c>
      <c r="S1097">
        <v>217.77950834411777</v>
      </c>
      <c r="T1097">
        <v>0.33124999999999999</v>
      </c>
      <c r="U1097">
        <v>41</v>
      </c>
      <c r="V1097">
        <v>0.6694444444444444</v>
      </c>
      <c r="W1097">
        <v>67</v>
      </c>
      <c r="X1097">
        <v>12.3</v>
      </c>
      <c r="Y1097">
        <v>41.5</v>
      </c>
      <c r="Z1097">
        <v>0.36805555555555558</v>
      </c>
      <c r="AA1097">
        <v>91.5</v>
      </c>
      <c r="AB1097">
        <v>15.5</v>
      </c>
      <c r="AD1097">
        <v>26</v>
      </c>
      <c r="AE1097">
        <v>50</v>
      </c>
      <c r="AF1097">
        <v>23.861233672775342</v>
      </c>
      <c r="AG1097">
        <v>47.123728042697877</v>
      </c>
      <c r="AH1097">
        <v>70.984961715473219</v>
      </c>
      <c r="AI1097">
        <v>2.9349317417513672</v>
      </c>
      <c r="AJ1097">
        <v>7.3041778466181713</v>
      </c>
      <c r="AK1097">
        <v>10.239109588369539</v>
      </c>
      <c r="AL1097">
        <v>150.97417147222913</v>
      </c>
      <c r="AM1097">
        <v>46.31837510551992</v>
      </c>
      <c r="AN1097">
        <v>3.0679668352437308</v>
      </c>
      <c r="AO1097">
        <v>12.3</v>
      </c>
      <c r="AP1097">
        <v>14.424336283240722</v>
      </c>
      <c r="AQ1097">
        <v>21.77702219399081</v>
      </c>
      <c r="AR1097">
        <v>47.01594592724728</v>
      </c>
      <c r="AS1097">
        <v>-0.54741957167278243</v>
      </c>
      <c r="AT1097">
        <v>12.08662408275476</v>
      </c>
      <c r="AU1097">
        <v>26.09466341429226</v>
      </c>
    </row>
    <row r="1098" spans="1:47" x14ac:dyDescent="0.35">
      <c r="A1098">
        <v>1096</v>
      </c>
      <c r="B1098">
        <v>46083</v>
      </c>
      <c r="C1098" t="s">
        <v>16</v>
      </c>
      <c r="D1098" t="s">
        <v>409</v>
      </c>
      <c r="E1098" t="s">
        <v>290</v>
      </c>
      <c r="F1098" t="s">
        <v>314</v>
      </c>
      <c r="G1098" t="s">
        <v>315</v>
      </c>
      <c r="H1098" t="s">
        <v>22</v>
      </c>
      <c r="I1098" t="s">
        <v>23</v>
      </c>
      <c r="J1098" t="s">
        <v>215</v>
      </c>
      <c r="K1098" t="s">
        <v>408</v>
      </c>
      <c r="L1098">
        <v>30</v>
      </c>
      <c r="M1098">
        <v>65</v>
      </c>
      <c r="N1098">
        <v>2</v>
      </c>
      <c r="O1098">
        <v>2</v>
      </c>
      <c r="P1098">
        <v>20</v>
      </c>
      <c r="Q1098">
        <v>0.5</v>
      </c>
      <c r="R1098">
        <v>470.08549124586858</v>
      </c>
      <c r="S1098">
        <v>241.38549124586856</v>
      </c>
      <c r="T1098">
        <v>0.33124999999999999</v>
      </c>
      <c r="U1098">
        <v>41</v>
      </c>
      <c r="V1098">
        <v>0.67013888888888884</v>
      </c>
      <c r="W1098">
        <v>69</v>
      </c>
      <c r="X1098">
        <v>11.7</v>
      </c>
      <c r="Y1098">
        <v>41</v>
      </c>
      <c r="Z1098">
        <v>0.36875000000000002</v>
      </c>
      <c r="AA1098">
        <v>91</v>
      </c>
      <c r="AB1098">
        <v>15.1</v>
      </c>
      <c r="AD1098">
        <v>28</v>
      </c>
      <c r="AE1098">
        <v>50</v>
      </c>
      <c r="AF1098">
        <v>25.861233672775342</v>
      </c>
      <c r="AG1098">
        <v>47.123728042697877</v>
      </c>
      <c r="AH1098">
        <v>72.984961715473219</v>
      </c>
      <c r="AI1098">
        <v>3.0257643397147147</v>
      </c>
      <c r="AJ1098">
        <v>7.1156829344473795</v>
      </c>
      <c r="AK1098">
        <v>10.141447274162093</v>
      </c>
      <c r="AL1098">
        <v>155.25891156955518</v>
      </c>
      <c r="AM1098">
        <v>51.34927491723348</v>
      </c>
      <c r="AN1098">
        <v>3.3073318882716287</v>
      </c>
      <c r="AO1098">
        <v>11.7</v>
      </c>
      <c r="AP1098">
        <v>13.895256003144619</v>
      </c>
      <c r="AQ1098">
        <v>21.573623230285609</v>
      </c>
      <c r="AR1098">
        <v>42.013491456420205</v>
      </c>
      <c r="AS1098">
        <v>-1.3379812515170371</v>
      </c>
      <c r="AT1098">
        <v>11.973734138885163</v>
      </c>
      <c r="AU1098">
        <v>23.318214635328033</v>
      </c>
    </row>
    <row r="1099" spans="1:47" x14ac:dyDescent="0.35">
      <c r="A1099">
        <v>1097</v>
      </c>
      <c r="B1099">
        <v>46083</v>
      </c>
      <c r="C1099" t="s">
        <v>16</v>
      </c>
      <c r="D1099" t="s">
        <v>411</v>
      </c>
      <c r="E1099" t="s">
        <v>264</v>
      </c>
      <c r="F1099" t="s">
        <v>412</v>
      </c>
      <c r="G1099" t="s">
        <v>413</v>
      </c>
      <c r="H1099" t="s">
        <v>22</v>
      </c>
      <c r="I1099" t="s">
        <v>23</v>
      </c>
      <c r="J1099" t="s">
        <v>215</v>
      </c>
      <c r="K1099" t="s">
        <v>410</v>
      </c>
      <c r="L1099">
        <v>30</v>
      </c>
      <c r="M1099">
        <v>65</v>
      </c>
      <c r="N1099">
        <v>2</v>
      </c>
      <c r="O1099">
        <v>1</v>
      </c>
      <c r="P1099">
        <v>21</v>
      </c>
      <c r="Q1099">
        <v>0.5</v>
      </c>
      <c r="R1099">
        <v>475.37870188186133</v>
      </c>
      <c r="S1099">
        <v>244.87870188186142</v>
      </c>
      <c r="T1099">
        <v>0.33194444444444443</v>
      </c>
      <c r="U1099">
        <v>41</v>
      </c>
      <c r="V1099">
        <v>0.67013888888888884</v>
      </c>
      <c r="W1099">
        <v>87.5</v>
      </c>
      <c r="X1099">
        <v>14.3</v>
      </c>
      <c r="Y1099">
        <v>40.5</v>
      </c>
      <c r="Z1099">
        <v>0.36875000000000002</v>
      </c>
      <c r="AA1099">
        <v>85</v>
      </c>
      <c r="AB1099">
        <v>18.600000000000001</v>
      </c>
      <c r="AD1099">
        <v>46.5</v>
      </c>
      <c r="AE1099">
        <v>44.5</v>
      </c>
      <c r="AF1099">
        <v>44.361233672775342</v>
      </c>
      <c r="AG1099">
        <v>41.623728042697877</v>
      </c>
      <c r="AH1099">
        <v>85.984961715473219</v>
      </c>
      <c r="AI1099">
        <v>6.3436564152068744</v>
      </c>
      <c r="AJ1099">
        <v>7.7420134159418064</v>
      </c>
      <c r="AK1099">
        <v>14.085669831148682</v>
      </c>
      <c r="AL1099">
        <v>180.87676493517321</v>
      </c>
      <c r="AM1099">
        <v>51.512341826100027</v>
      </c>
      <c r="AN1099">
        <v>2.8479247649393891</v>
      </c>
      <c r="AO1099">
        <v>14.3</v>
      </c>
      <c r="AP1099">
        <v>16.381550389890943</v>
      </c>
      <c r="AQ1099">
        <v>29.630418391459994</v>
      </c>
      <c r="AR1099">
        <v>57.521008249807416</v>
      </c>
      <c r="AS1099">
        <v>2.1503671331345897</v>
      </c>
      <c r="AT1099">
        <v>16.445394844256686</v>
      </c>
      <c r="AU1099">
        <v>31.925154751796228</v>
      </c>
    </row>
    <row r="1100" spans="1:47" x14ac:dyDescent="0.35">
      <c r="A1100">
        <v>1098</v>
      </c>
      <c r="B1100">
        <v>46083</v>
      </c>
      <c r="C1100" t="s">
        <v>16</v>
      </c>
      <c r="D1100" t="s">
        <v>411</v>
      </c>
      <c r="E1100" t="s">
        <v>264</v>
      </c>
      <c r="F1100" t="s">
        <v>412</v>
      </c>
      <c r="G1100" t="s">
        <v>413</v>
      </c>
      <c r="H1100" t="s">
        <v>22</v>
      </c>
      <c r="I1100" t="s">
        <v>23</v>
      </c>
      <c r="J1100" t="s">
        <v>215</v>
      </c>
      <c r="K1100" t="s">
        <v>410</v>
      </c>
      <c r="L1100">
        <v>30</v>
      </c>
      <c r="M1100">
        <v>65</v>
      </c>
      <c r="N1100">
        <v>2</v>
      </c>
      <c r="O1100">
        <v>2</v>
      </c>
      <c r="P1100">
        <v>22</v>
      </c>
      <c r="Q1100">
        <v>0.50019999999999998</v>
      </c>
      <c r="R1100">
        <v>475.56885336261399</v>
      </c>
      <c r="S1100">
        <v>240.06885336261394</v>
      </c>
      <c r="T1100">
        <v>0.33194444444444443</v>
      </c>
      <c r="U1100">
        <v>40.5</v>
      </c>
      <c r="V1100">
        <v>0.67083333333333328</v>
      </c>
      <c r="W1100">
        <v>87.5</v>
      </c>
      <c r="X1100">
        <v>14.1</v>
      </c>
      <c r="Y1100">
        <v>41.5</v>
      </c>
      <c r="Z1100">
        <v>0.36944444444444446</v>
      </c>
      <c r="AA1100">
        <v>86</v>
      </c>
      <c r="AB1100">
        <v>18.5</v>
      </c>
      <c r="AD1100">
        <v>47</v>
      </c>
      <c r="AE1100">
        <v>44.5</v>
      </c>
      <c r="AF1100">
        <v>44.861233672775342</v>
      </c>
      <c r="AG1100">
        <v>41.623728042697877</v>
      </c>
      <c r="AH1100">
        <v>86.484961715473219</v>
      </c>
      <c r="AI1100">
        <v>6.3254339478613222</v>
      </c>
      <c r="AJ1100">
        <v>7.7003896878991069</v>
      </c>
      <c r="AK1100">
        <v>14.025823635760428</v>
      </c>
      <c r="AL1100">
        <v>181.85581562787871</v>
      </c>
      <c r="AM1100">
        <v>50.48035666447759</v>
      </c>
      <c r="AN1100">
        <v>2.7758450556111267</v>
      </c>
      <c r="AO1100">
        <v>14.099999999999998</v>
      </c>
      <c r="AP1100">
        <v>16.217644498593838</v>
      </c>
      <c r="AQ1100">
        <v>29.492729678547622</v>
      </c>
      <c r="AR1100">
        <v>58.424170563163436</v>
      </c>
      <c r="AS1100">
        <v>3.0748783015867791</v>
      </c>
      <c r="AT1100">
        <v>16.36897522643266</v>
      </c>
      <c r="AU1100">
        <v>32.426425461354377</v>
      </c>
    </row>
    <row r="1101" spans="1:47" x14ac:dyDescent="0.35">
      <c r="A1101">
        <v>1099</v>
      </c>
      <c r="B1101">
        <v>46083</v>
      </c>
      <c r="C1101" t="s">
        <v>16</v>
      </c>
      <c r="D1101" t="s">
        <v>415</v>
      </c>
      <c r="E1101" t="s">
        <v>235</v>
      </c>
      <c r="F1101" t="s">
        <v>274</v>
      </c>
      <c r="G1101" t="s">
        <v>275</v>
      </c>
      <c r="H1101" t="s">
        <v>22</v>
      </c>
      <c r="I1101" t="s">
        <v>23</v>
      </c>
      <c r="J1101" t="s">
        <v>215</v>
      </c>
      <c r="K1101" t="s">
        <v>414</v>
      </c>
      <c r="L1101">
        <v>30</v>
      </c>
      <c r="M1101">
        <v>65</v>
      </c>
      <c r="N1101">
        <v>2</v>
      </c>
      <c r="O1101">
        <v>1</v>
      </c>
      <c r="P1101">
        <v>23</v>
      </c>
      <c r="Q1101">
        <v>0.5</v>
      </c>
      <c r="R1101">
        <v>473.62894434411743</v>
      </c>
      <c r="S1101">
        <v>204.82894434411742</v>
      </c>
      <c r="T1101">
        <v>0.33263888888888887</v>
      </c>
      <c r="U1101">
        <v>40</v>
      </c>
      <c r="V1101">
        <v>0.67152777777777772</v>
      </c>
      <c r="W1101">
        <v>81.5</v>
      </c>
      <c r="X1101">
        <v>11.9</v>
      </c>
      <c r="Y1101">
        <v>40</v>
      </c>
      <c r="Z1101">
        <v>0.37013888888888891</v>
      </c>
      <c r="AA1101">
        <v>81.5</v>
      </c>
      <c r="AB1101">
        <v>17.2</v>
      </c>
      <c r="AC1101" t="s">
        <v>597</v>
      </c>
      <c r="AD1101">
        <v>41.5</v>
      </c>
      <c r="AE1101">
        <v>41.5</v>
      </c>
      <c r="AF1101">
        <v>39.361233672775342</v>
      </c>
      <c r="AG1101">
        <v>38.623728042697877</v>
      </c>
      <c r="AH1101">
        <v>77.984961715473219</v>
      </c>
      <c r="AI1101">
        <v>4.6839868070602657</v>
      </c>
      <c r="AJ1101">
        <v>6.6432812233440339</v>
      </c>
      <c r="AK1101">
        <v>11.3272680304043</v>
      </c>
      <c r="AL1101">
        <v>164.65412987685326</v>
      </c>
      <c r="AM1101">
        <v>43.246711754021931</v>
      </c>
      <c r="AN1101">
        <v>2.6265184958534991</v>
      </c>
      <c r="AO1101">
        <v>11.9</v>
      </c>
      <c r="AP1101">
        <v>14.524938887232695</v>
      </c>
      <c r="AQ1101">
        <v>23.915911739917689</v>
      </c>
      <c r="AR1101">
        <v>55.301110234568334</v>
      </c>
      <c r="AS1101">
        <v>-0.52285315287520162</v>
      </c>
      <c r="AT1101">
        <v>13.273744785753625</v>
      </c>
      <c r="AU1101">
        <v>30.69307294679848</v>
      </c>
    </row>
    <row r="1102" spans="1:47" x14ac:dyDescent="0.35">
      <c r="A1102">
        <v>1100</v>
      </c>
      <c r="B1102">
        <v>46083</v>
      </c>
      <c r="C1102" t="s">
        <v>16</v>
      </c>
      <c r="D1102" t="s">
        <v>415</v>
      </c>
      <c r="E1102" t="s">
        <v>235</v>
      </c>
      <c r="F1102" t="s">
        <v>274</v>
      </c>
      <c r="G1102" t="s">
        <v>275</v>
      </c>
      <c r="H1102" t="s">
        <v>22</v>
      </c>
      <c r="I1102" t="s">
        <v>23</v>
      </c>
      <c r="J1102" t="s">
        <v>215</v>
      </c>
      <c r="K1102" t="s">
        <v>414</v>
      </c>
      <c r="L1102">
        <v>30</v>
      </c>
      <c r="M1102">
        <v>65</v>
      </c>
      <c r="N1102">
        <v>2</v>
      </c>
      <c r="O1102">
        <v>2</v>
      </c>
      <c r="P1102">
        <v>24</v>
      </c>
      <c r="Q1102">
        <v>0.5</v>
      </c>
      <c r="R1102">
        <v>473.62894434411743</v>
      </c>
      <c r="S1102">
        <v>215.92894434411738</v>
      </c>
      <c r="T1102">
        <v>0.33263888888888887</v>
      </c>
      <c r="U1102">
        <v>41.5</v>
      </c>
      <c r="V1102">
        <v>0.67222222222222228</v>
      </c>
      <c r="W1102">
        <v>83</v>
      </c>
      <c r="X1102">
        <v>11.3</v>
      </c>
      <c r="Y1102">
        <v>40.5</v>
      </c>
      <c r="Z1102">
        <v>0.37083333333333335</v>
      </c>
      <c r="AA1102">
        <v>81.5</v>
      </c>
      <c r="AB1102">
        <v>17.100000000000001</v>
      </c>
      <c r="AD1102">
        <v>41.5</v>
      </c>
      <c r="AE1102">
        <v>41</v>
      </c>
      <c r="AF1102">
        <v>39.361233672775342</v>
      </c>
      <c r="AG1102">
        <v>38.123728042697877</v>
      </c>
      <c r="AH1102">
        <v>77.484961715473219</v>
      </c>
      <c r="AI1102">
        <v>4.4478194050236137</v>
      </c>
      <c r="AJ1102">
        <v>6.5191574953013376</v>
      </c>
      <c r="AK1102">
        <v>10.966976900324951</v>
      </c>
      <c r="AL1102">
        <v>163.5984511520397</v>
      </c>
      <c r="AM1102">
        <v>45.590318523108067</v>
      </c>
      <c r="AN1102">
        <v>2.7867206689346258</v>
      </c>
      <c r="AO1102">
        <v>11.3</v>
      </c>
      <c r="AP1102">
        <v>14.153684350514327</v>
      </c>
      <c r="AQ1102">
        <v>23.155208378390068</v>
      </c>
      <c r="AR1102">
        <v>50.789749070635551</v>
      </c>
      <c r="AS1102">
        <v>-0.65906308198285768</v>
      </c>
      <c r="AT1102">
        <v>12.851541259147984</v>
      </c>
      <c r="AU1102">
        <v>28.189189449584575</v>
      </c>
    </row>
    <row r="1103" spans="1:47" x14ac:dyDescent="0.35">
      <c r="A1103">
        <v>1101</v>
      </c>
      <c r="B1103">
        <v>46083</v>
      </c>
      <c r="C1103" t="s">
        <v>16</v>
      </c>
      <c r="D1103" t="s">
        <v>417</v>
      </c>
      <c r="E1103" t="s">
        <v>290</v>
      </c>
      <c r="F1103" t="s">
        <v>291</v>
      </c>
      <c r="G1103" t="s">
        <v>292</v>
      </c>
      <c r="H1103" t="s">
        <v>22</v>
      </c>
      <c r="I1103" t="s">
        <v>23</v>
      </c>
      <c r="J1103" t="s">
        <v>215</v>
      </c>
      <c r="K1103" t="s">
        <v>416</v>
      </c>
      <c r="L1103">
        <v>30</v>
      </c>
      <c r="M1103">
        <v>65</v>
      </c>
      <c r="N1103">
        <v>2</v>
      </c>
      <c r="O1103">
        <v>1</v>
      </c>
      <c r="P1103">
        <v>25</v>
      </c>
      <c r="Q1103">
        <v>0.50009999999999999</v>
      </c>
      <c r="R1103">
        <v>467.68472263868046</v>
      </c>
      <c r="S1103">
        <v>246.28472263868042</v>
      </c>
      <c r="T1103">
        <v>0.33263888888888887</v>
      </c>
      <c r="U1103">
        <v>40.5</v>
      </c>
      <c r="V1103">
        <v>0.67222222222222228</v>
      </c>
      <c r="W1103">
        <v>81.5</v>
      </c>
      <c r="X1103">
        <v>13</v>
      </c>
      <c r="Y1103">
        <v>40</v>
      </c>
      <c r="Z1103">
        <v>0.37083333333333335</v>
      </c>
      <c r="AA1103">
        <v>94.5</v>
      </c>
      <c r="AB1103">
        <v>16.8</v>
      </c>
      <c r="AD1103">
        <v>41</v>
      </c>
      <c r="AE1103">
        <v>54.5</v>
      </c>
      <c r="AF1103">
        <v>38.861233672775342</v>
      </c>
      <c r="AG1103">
        <v>51.623728042697877</v>
      </c>
      <c r="AH1103">
        <v>90.484961715473219</v>
      </c>
      <c r="AI1103">
        <v>5.0519603774607944</v>
      </c>
      <c r="AJ1103">
        <v>8.6727863111732439</v>
      </c>
      <c r="AK1103">
        <v>13.724746688634038</v>
      </c>
      <c r="AL1103">
        <v>193.47427302084282</v>
      </c>
      <c r="AM1103">
        <v>52.660416455158142</v>
      </c>
      <c r="AN1103">
        <v>2.7218304342451298</v>
      </c>
      <c r="AO1103">
        <v>13</v>
      </c>
      <c r="AP1103">
        <v>15.167986401752616</v>
      </c>
      <c r="AQ1103">
        <v>29.346151422691172</v>
      </c>
      <c r="AR1103">
        <v>55.727154090549703</v>
      </c>
      <c r="AS1103">
        <v>-1.0511662705688645</v>
      </c>
      <c r="AT1103">
        <v>16.287621758476348</v>
      </c>
      <c r="AU1103">
        <v>30.929534657869109</v>
      </c>
    </row>
    <row r="1104" spans="1:47" x14ac:dyDescent="0.35">
      <c r="A1104">
        <v>1102</v>
      </c>
      <c r="B1104">
        <v>46083</v>
      </c>
      <c r="C1104" t="s">
        <v>16</v>
      </c>
      <c r="D1104" t="s">
        <v>417</v>
      </c>
      <c r="E1104" t="s">
        <v>290</v>
      </c>
      <c r="F1104" t="s">
        <v>291</v>
      </c>
      <c r="G1104" t="s">
        <v>292</v>
      </c>
      <c r="H1104" t="s">
        <v>22</v>
      </c>
      <c r="I1104" t="s">
        <v>23</v>
      </c>
      <c r="J1104" t="s">
        <v>215</v>
      </c>
      <c r="K1104" t="s">
        <v>416</v>
      </c>
      <c r="L1104">
        <v>30</v>
      </c>
      <c r="M1104">
        <v>65</v>
      </c>
      <c r="N1104">
        <v>2</v>
      </c>
      <c r="O1104">
        <v>2</v>
      </c>
      <c r="P1104">
        <v>26</v>
      </c>
      <c r="Q1104">
        <v>0.50019999999999998</v>
      </c>
      <c r="R1104">
        <v>467.77824087955992</v>
      </c>
      <c r="S1104">
        <v>243.67824087955995</v>
      </c>
      <c r="T1104">
        <v>0.33263888888888887</v>
      </c>
      <c r="U1104">
        <v>41</v>
      </c>
      <c r="V1104">
        <v>0.67291666666666672</v>
      </c>
      <c r="W1104">
        <v>83.5</v>
      </c>
      <c r="X1104">
        <v>12.8</v>
      </c>
      <c r="Y1104">
        <v>40</v>
      </c>
      <c r="Z1104">
        <v>0.37152777777777779</v>
      </c>
      <c r="AA1104">
        <v>90.5</v>
      </c>
      <c r="AB1104">
        <v>17.100000000000001</v>
      </c>
      <c r="AD1104">
        <v>42.5</v>
      </c>
      <c r="AE1104">
        <v>50.5</v>
      </c>
      <c r="AF1104">
        <v>40.361233672775342</v>
      </c>
      <c r="AG1104">
        <v>47.623728042697877</v>
      </c>
      <c r="AH1104">
        <v>87.984961715473219</v>
      </c>
      <c r="AI1104">
        <v>5.1662379101152442</v>
      </c>
      <c r="AJ1104">
        <v>8.143657495301337</v>
      </c>
      <c r="AK1104">
        <v>13.309895405416581</v>
      </c>
      <c r="AL1104">
        <v>188.09118087672431</v>
      </c>
      <c r="AM1104">
        <v>52.092684007997804</v>
      </c>
      <c r="AN1104">
        <v>2.7695442053787493</v>
      </c>
      <c r="AO1104">
        <v>12.8</v>
      </c>
      <c r="AP1104">
        <v>15.12746626913162</v>
      </c>
      <c r="AQ1104">
        <v>28.453429942337813</v>
      </c>
      <c r="AR1104">
        <v>54.620779259462523</v>
      </c>
      <c r="AS1104">
        <v>-0.92349363758340852</v>
      </c>
      <c r="AT1104">
        <v>15.79214589187192</v>
      </c>
      <c r="AU1104">
        <v>30.315477485182658</v>
      </c>
    </row>
    <row r="1105" spans="1:47" x14ac:dyDescent="0.35">
      <c r="A1105">
        <v>1103</v>
      </c>
      <c r="B1105">
        <v>46083</v>
      </c>
      <c r="C1105" t="s">
        <v>16</v>
      </c>
      <c r="D1105" t="s">
        <v>419</v>
      </c>
      <c r="E1105" t="s">
        <v>264</v>
      </c>
      <c r="F1105" t="s">
        <v>329</v>
      </c>
      <c r="G1105" t="s">
        <v>330</v>
      </c>
      <c r="H1105" t="s">
        <v>22</v>
      </c>
      <c r="I1105" t="s">
        <v>23</v>
      </c>
      <c r="J1105" t="s">
        <v>215</v>
      </c>
      <c r="K1105" t="s">
        <v>418</v>
      </c>
      <c r="L1105">
        <v>30</v>
      </c>
      <c r="M1105">
        <v>65</v>
      </c>
      <c r="N1105">
        <v>2</v>
      </c>
      <c r="O1105">
        <v>1</v>
      </c>
      <c r="P1105">
        <v>27</v>
      </c>
      <c r="Q1105">
        <v>0.50019999999999998</v>
      </c>
      <c r="R1105">
        <v>471.84716056788642</v>
      </c>
      <c r="S1105">
        <v>200.44716056788633</v>
      </c>
      <c r="T1105">
        <v>0.33402777777777776</v>
      </c>
      <c r="U1105">
        <v>41</v>
      </c>
      <c r="V1105">
        <v>0.67361111111111116</v>
      </c>
      <c r="W1105">
        <v>84</v>
      </c>
      <c r="X1105">
        <v>14.9</v>
      </c>
      <c r="Y1105">
        <v>41.5</v>
      </c>
      <c r="Z1105">
        <v>0.37222222222222223</v>
      </c>
      <c r="AA1105">
        <v>88</v>
      </c>
      <c r="AB1105">
        <v>19.5</v>
      </c>
      <c r="AC1105" t="s">
        <v>598</v>
      </c>
      <c r="AD1105">
        <v>43</v>
      </c>
      <c r="AE1105">
        <v>46.5</v>
      </c>
      <c r="AF1105">
        <v>40.861233672775342</v>
      </c>
      <c r="AG1105">
        <v>43.623728042697877</v>
      </c>
      <c r="AH1105">
        <v>84.484961715473219</v>
      </c>
      <c r="AI1105">
        <v>6.0883238172435252</v>
      </c>
      <c r="AJ1105">
        <v>8.5066269683260867</v>
      </c>
      <c r="AK1105">
        <v>14.594950785569612</v>
      </c>
      <c r="AL1105">
        <v>179.05154205822129</v>
      </c>
      <c r="AM1105">
        <v>42.481374758436687</v>
      </c>
      <c r="AN1105">
        <v>2.3725779890029224</v>
      </c>
      <c r="AO1105">
        <v>14.899999999999999</v>
      </c>
      <c r="AP1105">
        <v>17.275205538616682</v>
      </c>
      <c r="AQ1105">
        <v>30.931521910620422</v>
      </c>
      <c r="AR1105">
        <v>72.811960739282583</v>
      </c>
      <c r="AS1105">
        <v>15.603825542885305</v>
      </c>
      <c r="AT1105">
        <v>17.167529807832235</v>
      </c>
      <c r="AU1105">
        <v>40.411897932805971</v>
      </c>
    </row>
    <row r="1106" spans="1:47" x14ac:dyDescent="0.35">
      <c r="A1106">
        <v>1104</v>
      </c>
      <c r="B1106">
        <v>46083</v>
      </c>
      <c r="C1106" t="s">
        <v>16</v>
      </c>
      <c r="D1106" t="s">
        <v>419</v>
      </c>
      <c r="E1106" t="s">
        <v>264</v>
      </c>
      <c r="F1106" t="s">
        <v>329</v>
      </c>
      <c r="G1106" t="s">
        <v>330</v>
      </c>
      <c r="H1106" t="s">
        <v>22</v>
      </c>
      <c r="I1106" t="s">
        <v>23</v>
      </c>
      <c r="J1106" t="s">
        <v>215</v>
      </c>
      <c r="K1106" t="s">
        <v>418</v>
      </c>
      <c r="L1106">
        <v>30</v>
      </c>
      <c r="M1106">
        <v>65</v>
      </c>
      <c r="N1106">
        <v>2</v>
      </c>
      <c r="O1106">
        <v>2</v>
      </c>
      <c r="P1106">
        <v>28</v>
      </c>
      <c r="Q1106">
        <v>0.50019999999999998</v>
      </c>
      <c r="R1106">
        <v>471.84716056788642</v>
      </c>
      <c r="S1106">
        <v>215.84716056788642</v>
      </c>
      <c r="T1106">
        <v>0.33333333333333331</v>
      </c>
      <c r="U1106">
        <v>41</v>
      </c>
      <c r="V1106">
        <v>0.6743055555555556</v>
      </c>
      <c r="W1106">
        <v>83</v>
      </c>
      <c r="X1106">
        <v>14</v>
      </c>
      <c r="Y1106">
        <v>40.5</v>
      </c>
      <c r="Z1106">
        <v>0.37222222222222223</v>
      </c>
      <c r="AA1106">
        <v>80</v>
      </c>
      <c r="AB1106">
        <v>19.100000000000001</v>
      </c>
      <c r="AD1106">
        <v>42</v>
      </c>
      <c r="AE1106">
        <v>39.5</v>
      </c>
      <c r="AF1106">
        <v>39.861233672775342</v>
      </c>
      <c r="AG1106">
        <v>36.623728042697877</v>
      </c>
      <c r="AH1106">
        <v>76.484961715473219</v>
      </c>
      <c r="AI1106">
        <v>5.5805727141885484</v>
      </c>
      <c r="AJ1106">
        <v>6.9951320561552945</v>
      </c>
      <c r="AK1106">
        <v>12.575704770343844</v>
      </c>
      <c r="AL1106">
        <v>162.09689939305898</v>
      </c>
      <c r="AM1106">
        <v>45.745143471480461</v>
      </c>
      <c r="AN1106">
        <v>2.8220862732578142</v>
      </c>
      <c r="AO1106">
        <v>14.000000000000002</v>
      </c>
      <c r="AP1106">
        <v>16.442061927318356</v>
      </c>
      <c r="AQ1106">
        <v>26.652072580469689</v>
      </c>
      <c r="AR1106">
        <v>58.262081082084187</v>
      </c>
      <c r="AS1106">
        <v>1.9180363557836282</v>
      </c>
      <c r="AT1106">
        <v>14.79236139068283</v>
      </c>
      <c r="AU1106">
        <v>32.336462995039113</v>
      </c>
    </row>
    <row r="1107" spans="1:47" x14ac:dyDescent="0.35">
      <c r="A1107">
        <v>1105</v>
      </c>
      <c r="B1107">
        <v>46083</v>
      </c>
      <c r="C1107" t="s">
        <v>16</v>
      </c>
      <c r="D1107" t="s">
        <v>421</v>
      </c>
      <c r="E1107" t="s">
        <v>264</v>
      </c>
      <c r="F1107" t="s">
        <v>265</v>
      </c>
      <c r="G1107" t="s">
        <v>266</v>
      </c>
      <c r="H1107" t="s">
        <v>22</v>
      </c>
      <c r="I1107" t="s">
        <v>23</v>
      </c>
      <c r="J1107" t="s">
        <v>215</v>
      </c>
      <c r="K1107" t="s">
        <v>420</v>
      </c>
      <c r="L1107">
        <v>30</v>
      </c>
      <c r="M1107">
        <v>65</v>
      </c>
      <c r="N1107">
        <v>2</v>
      </c>
      <c r="O1107">
        <v>1</v>
      </c>
      <c r="P1107">
        <v>29</v>
      </c>
      <c r="Q1107">
        <v>0.50019999999999998</v>
      </c>
      <c r="R1107">
        <v>480.42500000000013</v>
      </c>
      <c r="S1107">
        <v>193.42500000000007</v>
      </c>
      <c r="T1107">
        <v>0.33333333333333331</v>
      </c>
      <c r="U1107">
        <v>41</v>
      </c>
      <c r="V1107">
        <v>0.67500000000000004</v>
      </c>
      <c r="W1107">
        <v>82</v>
      </c>
      <c r="X1107">
        <v>14.1</v>
      </c>
      <c r="Y1107">
        <v>40.5</v>
      </c>
      <c r="Z1107">
        <v>0.37291666666666667</v>
      </c>
      <c r="AA1107">
        <v>82</v>
      </c>
      <c r="AB1107">
        <v>18.600000000000001</v>
      </c>
      <c r="AD1107">
        <v>41</v>
      </c>
      <c r="AE1107">
        <v>41.5</v>
      </c>
      <c r="AF1107">
        <v>38.861233672775342</v>
      </c>
      <c r="AG1107">
        <v>38.623728042697877</v>
      </c>
      <c r="AH1107">
        <v>77.484961715473219</v>
      </c>
      <c r="AI1107">
        <v>5.479433947861323</v>
      </c>
      <c r="AJ1107">
        <v>7.1840134159418065</v>
      </c>
      <c r="AK1107">
        <v>12.66344736380313</v>
      </c>
      <c r="AL1107">
        <v>161.28419985528063</v>
      </c>
      <c r="AM1107">
        <v>40.26122703855961</v>
      </c>
      <c r="AN1107">
        <v>2.4962908378307223</v>
      </c>
      <c r="AO1107">
        <v>14.1</v>
      </c>
      <c r="AP1107">
        <v>16.343103337010909</v>
      </c>
      <c r="AQ1107">
        <v>26.358843448619716</v>
      </c>
      <c r="AR1107">
        <v>65.469548216637591</v>
      </c>
      <c r="AS1107">
        <v>4.4541246181573868</v>
      </c>
      <c r="AT1107">
        <v>14.629614149337723</v>
      </c>
      <c r="AU1107">
        <v>36.33673195137947</v>
      </c>
    </row>
    <row r="1108" spans="1:47" x14ac:dyDescent="0.35">
      <c r="A1108">
        <v>1106</v>
      </c>
      <c r="B1108">
        <v>46083</v>
      </c>
      <c r="C1108" t="s">
        <v>16</v>
      </c>
      <c r="D1108" t="s">
        <v>421</v>
      </c>
      <c r="E1108" t="s">
        <v>264</v>
      </c>
      <c r="F1108" t="s">
        <v>265</v>
      </c>
      <c r="G1108" t="s">
        <v>266</v>
      </c>
      <c r="H1108" t="s">
        <v>22</v>
      </c>
      <c r="I1108" t="s">
        <v>23</v>
      </c>
      <c r="J1108" t="s">
        <v>215</v>
      </c>
      <c r="K1108" t="s">
        <v>420</v>
      </c>
      <c r="L1108">
        <v>30</v>
      </c>
      <c r="M1108">
        <v>65</v>
      </c>
      <c r="N1108">
        <v>2</v>
      </c>
      <c r="O1108">
        <v>2</v>
      </c>
      <c r="P1108">
        <v>30</v>
      </c>
      <c r="Q1108">
        <v>0.50009999999999999</v>
      </c>
      <c r="R1108">
        <v>480.32895341863269</v>
      </c>
      <c r="S1108">
        <v>195.22895341863267</v>
      </c>
      <c r="T1108">
        <v>0.33402777777777776</v>
      </c>
      <c r="U1108">
        <v>40.5</v>
      </c>
      <c r="V1108">
        <v>0.67569444444444449</v>
      </c>
      <c r="W1108">
        <v>81</v>
      </c>
      <c r="X1108">
        <v>14.1</v>
      </c>
      <c r="Y1108">
        <v>40</v>
      </c>
      <c r="Z1108">
        <v>0.37291666666666667</v>
      </c>
      <c r="AA1108">
        <v>82</v>
      </c>
      <c r="AB1108">
        <v>18.600000000000001</v>
      </c>
      <c r="AC1108" t="s">
        <v>551</v>
      </c>
      <c r="AD1108">
        <v>40.5</v>
      </c>
      <c r="AE1108">
        <v>42</v>
      </c>
      <c r="AF1108">
        <v>38.361233672775342</v>
      </c>
      <c r="AG1108">
        <v>39.123728042697877</v>
      </c>
      <c r="AH1108">
        <v>77.484961715473219</v>
      </c>
      <c r="AI1108">
        <v>5.408933947861323</v>
      </c>
      <c r="AJ1108">
        <v>7.2770134159418065</v>
      </c>
      <c r="AK1108">
        <v>12.68594736380313</v>
      </c>
      <c r="AL1108">
        <v>161.31645024517371</v>
      </c>
      <c r="AM1108">
        <v>40.644843919804281</v>
      </c>
      <c r="AN1108">
        <v>2.519572173701504</v>
      </c>
      <c r="AO1108">
        <v>14.1</v>
      </c>
      <c r="AP1108">
        <v>16.372141229657256</v>
      </c>
      <c r="AQ1108">
        <v>26.410957060809615</v>
      </c>
      <c r="AR1108">
        <v>64.979846183985032</v>
      </c>
      <c r="AS1108">
        <v>3.6590734471484958</v>
      </c>
      <c r="AT1108">
        <v>14.658538105722707</v>
      </c>
      <c r="AU1108">
        <v>36.0649388509038</v>
      </c>
    </row>
    <row r="1109" spans="1:47" x14ac:dyDescent="0.35">
      <c r="A1109">
        <v>1107</v>
      </c>
      <c r="B1109">
        <v>46083</v>
      </c>
      <c r="C1109" t="s">
        <v>16</v>
      </c>
      <c r="D1109" t="s">
        <v>423</v>
      </c>
      <c r="E1109" t="s">
        <v>212</v>
      </c>
      <c r="F1109" t="s">
        <v>424</v>
      </c>
      <c r="G1109" t="s">
        <v>425</v>
      </c>
      <c r="H1109" t="s">
        <v>22</v>
      </c>
      <c r="I1109" t="s">
        <v>23</v>
      </c>
      <c r="J1109" t="s">
        <v>215</v>
      </c>
      <c r="K1109" t="s">
        <v>422</v>
      </c>
      <c r="L1109">
        <v>30</v>
      </c>
      <c r="M1109">
        <v>65</v>
      </c>
      <c r="N1109">
        <v>2</v>
      </c>
      <c r="O1109">
        <v>1</v>
      </c>
      <c r="P1109">
        <v>31</v>
      </c>
      <c r="Q1109">
        <v>0.50019999999999998</v>
      </c>
      <c r="R1109">
        <v>466.82331233903153</v>
      </c>
      <c r="S1109">
        <v>189.02331233903146</v>
      </c>
      <c r="T1109">
        <v>0.3347222222222222</v>
      </c>
      <c r="U1109">
        <v>40.5</v>
      </c>
      <c r="V1109">
        <v>0.67638888888888893</v>
      </c>
      <c r="W1109">
        <v>78</v>
      </c>
      <c r="X1109">
        <v>12.4</v>
      </c>
      <c r="Y1109">
        <v>41</v>
      </c>
      <c r="Z1109">
        <v>0.37361111111111112</v>
      </c>
      <c r="AA1109">
        <v>76.5</v>
      </c>
      <c r="AB1109">
        <v>15.9</v>
      </c>
      <c r="AD1109">
        <v>37.5</v>
      </c>
      <c r="AE1109">
        <v>35.5</v>
      </c>
      <c r="AF1109">
        <v>35.361233672775342</v>
      </c>
      <c r="AG1109">
        <v>32.623728042697877</v>
      </c>
      <c r="AH1109">
        <v>67.984961715473219</v>
      </c>
      <c r="AI1109">
        <v>4.3847929754241424</v>
      </c>
      <c r="AJ1109">
        <v>5.1871727587889627</v>
      </c>
      <c r="AK1109">
        <v>9.571965734213105</v>
      </c>
      <c r="AL1109">
        <v>145.63317623285056</v>
      </c>
      <c r="AM1109">
        <v>40.491403780142157</v>
      </c>
      <c r="AN1109">
        <v>2.7803694753866455</v>
      </c>
      <c r="AO1109">
        <v>12.399999999999999</v>
      </c>
      <c r="AP1109">
        <v>14.079533903796476</v>
      </c>
      <c r="AQ1109">
        <v>20.504472422879861</v>
      </c>
      <c r="AR1109">
        <v>50.639075232397076</v>
      </c>
      <c r="AS1109">
        <v>-1.3772125695251762</v>
      </c>
      <c r="AT1109">
        <v>11.380336943356161</v>
      </c>
      <c r="AU1109">
        <v>28.105562862548414</v>
      </c>
    </row>
    <row r="1110" spans="1:47" x14ac:dyDescent="0.35">
      <c r="A1110">
        <v>1108</v>
      </c>
      <c r="B1110">
        <v>46083</v>
      </c>
      <c r="C1110" t="s">
        <v>16</v>
      </c>
      <c r="D1110" t="s">
        <v>423</v>
      </c>
      <c r="E1110" t="s">
        <v>212</v>
      </c>
      <c r="F1110" t="s">
        <v>424</v>
      </c>
      <c r="G1110" t="s">
        <v>425</v>
      </c>
      <c r="H1110" t="s">
        <v>22</v>
      </c>
      <c r="I1110" t="s">
        <v>23</v>
      </c>
      <c r="J1110" t="s">
        <v>215</v>
      </c>
      <c r="K1110" t="s">
        <v>422</v>
      </c>
      <c r="L1110">
        <v>30</v>
      </c>
      <c r="M1110">
        <v>65</v>
      </c>
      <c r="N1110">
        <v>2</v>
      </c>
      <c r="O1110">
        <v>2</v>
      </c>
      <c r="P1110">
        <v>32</v>
      </c>
      <c r="Q1110">
        <v>0.50019999999999998</v>
      </c>
      <c r="R1110">
        <v>466.82331233903153</v>
      </c>
      <c r="S1110">
        <v>178.02331233903146</v>
      </c>
      <c r="T1110">
        <v>0.3347222222222222</v>
      </c>
      <c r="U1110">
        <v>41</v>
      </c>
      <c r="V1110">
        <v>0.67638888888888893</v>
      </c>
      <c r="W1110">
        <v>77</v>
      </c>
      <c r="X1110">
        <v>12.5</v>
      </c>
      <c r="Y1110">
        <v>40.5</v>
      </c>
      <c r="Z1110">
        <v>0.37430555555555556</v>
      </c>
      <c r="AA1110">
        <v>74</v>
      </c>
      <c r="AB1110">
        <v>15.8</v>
      </c>
      <c r="AD1110">
        <v>36</v>
      </c>
      <c r="AE1110">
        <v>33.5</v>
      </c>
      <c r="AF1110">
        <v>33.861233672775342</v>
      </c>
      <c r="AG1110">
        <v>30.623728042697874</v>
      </c>
      <c r="AH1110">
        <v>64.484961715473219</v>
      </c>
      <c r="AI1110">
        <v>4.2326542090969177</v>
      </c>
      <c r="AJ1110">
        <v>4.8385490307462637</v>
      </c>
      <c r="AK1110">
        <v>9.0712032398431823</v>
      </c>
      <c r="AL1110">
        <v>138.13569290781447</v>
      </c>
      <c r="AM1110">
        <v>38.135051877987962</v>
      </c>
      <c r="AN1110">
        <v>2.7606950148241247</v>
      </c>
      <c r="AO1110">
        <v>12.5</v>
      </c>
      <c r="AP1110">
        <v>14.067160774426791</v>
      </c>
      <c r="AQ1110">
        <v>19.431770008210727</v>
      </c>
      <c r="AR1110">
        <v>50.955142451050378</v>
      </c>
      <c r="AS1110">
        <v>-0.81100513442058786</v>
      </c>
      <c r="AT1110">
        <v>10.784968544349484</v>
      </c>
      <c r="AU1110">
        <v>28.280985637191975</v>
      </c>
    </row>
    <row r="1111" spans="1:47" x14ac:dyDescent="0.35">
      <c r="A1111">
        <v>1109</v>
      </c>
      <c r="B1111">
        <v>46083</v>
      </c>
      <c r="C1111" t="s">
        <v>16</v>
      </c>
      <c r="D1111" t="s">
        <v>427</v>
      </c>
      <c r="E1111" t="s">
        <v>226</v>
      </c>
      <c r="F1111" t="s">
        <v>231</v>
      </c>
      <c r="G1111" t="s">
        <v>232</v>
      </c>
      <c r="H1111" t="s">
        <v>22</v>
      </c>
      <c r="I1111" t="s">
        <v>23</v>
      </c>
      <c r="J1111" t="s">
        <v>215</v>
      </c>
      <c r="K1111" t="s">
        <v>426</v>
      </c>
      <c r="L1111">
        <v>30</v>
      </c>
      <c r="M1111">
        <v>65</v>
      </c>
      <c r="N1111">
        <v>2</v>
      </c>
      <c r="O1111">
        <v>1</v>
      </c>
      <c r="P1111">
        <v>33</v>
      </c>
      <c r="Q1111">
        <v>0.50019999999999998</v>
      </c>
      <c r="R1111">
        <v>472.2499747307188</v>
      </c>
      <c r="S1111">
        <v>198.64997473071884</v>
      </c>
      <c r="T1111">
        <v>0.3347222222222222</v>
      </c>
      <c r="U1111">
        <v>41</v>
      </c>
      <c r="V1111">
        <v>0.67708333333333337</v>
      </c>
      <c r="W1111">
        <v>86.5</v>
      </c>
      <c r="X1111">
        <v>13.9</v>
      </c>
      <c r="Y1111">
        <v>41</v>
      </c>
      <c r="Z1111">
        <v>0.37430555555555556</v>
      </c>
      <c r="AA1111">
        <v>87.5</v>
      </c>
      <c r="AB1111">
        <v>16.8</v>
      </c>
      <c r="AD1111">
        <v>45.5</v>
      </c>
      <c r="AE1111">
        <v>46.5</v>
      </c>
      <c r="AF1111">
        <v>43.361233672775342</v>
      </c>
      <c r="AG1111">
        <v>43.623728042697877</v>
      </c>
      <c r="AH1111">
        <v>86.984961715473219</v>
      </c>
      <c r="AI1111">
        <v>6.0272114805157733</v>
      </c>
      <c r="AJ1111">
        <v>7.3287863111732436</v>
      </c>
      <c r="AK1111">
        <v>13.355997791689017</v>
      </c>
      <c r="AL1111">
        <v>184.19262333486165</v>
      </c>
      <c r="AM1111">
        <v>42.064581336185533</v>
      </c>
      <c r="AN1111">
        <v>2.2837277940122633</v>
      </c>
      <c r="AO1111">
        <v>13.900000000000002</v>
      </c>
      <c r="AP1111">
        <v>15.354375662515467</v>
      </c>
      <c r="AQ1111">
        <v>28.281627329476784</v>
      </c>
      <c r="AR1111">
        <v>67.233825777193374</v>
      </c>
      <c r="AS1111">
        <v>-2.5483145953730082</v>
      </c>
      <c r="AT1111">
        <v>15.696792469370505</v>
      </c>
      <c r="AU1111">
        <v>37.31593652132117</v>
      </c>
    </row>
    <row r="1112" spans="1:47" x14ac:dyDescent="0.35">
      <c r="A1112">
        <v>1110</v>
      </c>
      <c r="B1112">
        <v>46083</v>
      </c>
      <c r="C1112" t="s">
        <v>16</v>
      </c>
      <c r="D1112" t="s">
        <v>427</v>
      </c>
      <c r="E1112" t="s">
        <v>226</v>
      </c>
      <c r="F1112" t="s">
        <v>231</v>
      </c>
      <c r="G1112" t="s">
        <v>232</v>
      </c>
      <c r="H1112" t="s">
        <v>22</v>
      </c>
      <c r="I1112" t="s">
        <v>23</v>
      </c>
      <c r="J1112" t="s">
        <v>215</v>
      </c>
      <c r="K1112" t="s">
        <v>426</v>
      </c>
      <c r="L1112">
        <v>30</v>
      </c>
      <c r="M1112">
        <v>65</v>
      </c>
      <c r="N1112">
        <v>2</v>
      </c>
      <c r="O1112">
        <v>2</v>
      </c>
      <c r="P1112">
        <v>34</v>
      </c>
      <c r="Q1112">
        <v>0.50019999999999998</v>
      </c>
      <c r="R1112">
        <v>472.2499747307188</v>
      </c>
      <c r="S1112">
        <v>226.84997473071886</v>
      </c>
      <c r="T1112">
        <v>0.33541666666666664</v>
      </c>
      <c r="U1112">
        <v>41</v>
      </c>
      <c r="V1112">
        <v>0.67777777777777781</v>
      </c>
      <c r="W1112">
        <v>86.5</v>
      </c>
      <c r="X1112">
        <v>14.1</v>
      </c>
      <c r="Y1112">
        <v>41</v>
      </c>
      <c r="Z1112">
        <v>0.375</v>
      </c>
      <c r="AA1112">
        <v>90.5</v>
      </c>
      <c r="AB1112">
        <v>16.600000000000001</v>
      </c>
      <c r="AD1112">
        <v>45.5</v>
      </c>
      <c r="AE1112">
        <v>49.5</v>
      </c>
      <c r="AF1112">
        <v>43.361233672775342</v>
      </c>
      <c r="AG1112">
        <v>46.623728042697877</v>
      </c>
      <c r="AH1112">
        <v>89.984961715473219</v>
      </c>
      <c r="AI1112">
        <v>6.1139339478613222</v>
      </c>
      <c r="AJ1112">
        <v>7.7395388550878481</v>
      </c>
      <c r="AK1112">
        <v>13.85347280294917</v>
      </c>
      <c r="AL1112">
        <v>190.54519117080619</v>
      </c>
      <c r="AM1112">
        <v>48.035995101973434</v>
      </c>
      <c r="AN1112">
        <v>2.5209765099195596</v>
      </c>
      <c r="AO1112">
        <v>14.099999999999998</v>
      </c>
      <c r="AP1112">
        <v>15.395319994415265</v>
      </c>
      <c r="AQ1112">
        <v>29.335041914715919</v>
      </c>
      <c r="AR1112">
        <v>61.06887523083865</v>
      </c>
      <c r="AS1112">
        <v>2.4711384916889303</v>
      </c>
      <c r="AT1112">
        <v>16.281455789344061</v>
      </c>
      <c r="AU1112">
        <v>33.894282308050244</v>
      </c>
    </row>
    <row r="1113" spans="1:47" x14ac:dyDescent="0.35">
      <c r="A1113">
        <v>1111</v>
      </c>
      <c r="B1113">
        <v>46083</v>
      </c>
      <c r="D1113" t="s">
        <v>541</v>
      </c>
      <c r="E1113" t="s">
        <v>538</v>
      </c>
      <c r="F1113" t="s">
        <v>542</v>
      </c>
      <c r="G1113" t="s">
        <v>541</v>
      </c>
      <c r="K1113" t="s">
        <v>543</v>
      </c>
      <c r="L1113">
        <v>30</v>
      </c>
      <c r="M1113">
        <v>65</v>
      </c>
      <c r="N1113">
        <v>2</v>
      </c>
      <c r="O1113">
        <v>1</v>
      </c>
      <c r="P1113">
        <v>35</v>
      </c>
      <c r="T1113">
        <v>0.33541666666666664</v>
      </c>
      <c r="U1113">
        <v>39.5</v>
      </c>
      <c r="V1113">
        <v>0.67777777777777781</v>
      </c>
      <c r="W1113">
        <v>42</v>
      </c>
      <c r="AD1113">
        <v>2.5</v>
      </c>
    </row>
    <row r="1114" spans="1:47" x14ac:dyDescent="0.35">
      <c r="A1114">
        <v>1112</v>
      </c>
      <c r="B1114">
        <v>46083</v>
      </c>
      <c r="D1114" t="s">
        <v>541</v>
      </c>
      <c r="E1114" t="s">
        <v>538</v>
      </c>
      <c r="F1114" t="s">
        <v>542</v>
      </c>
      <c r="G1114" t="s">
        <v>541</v>
      </c>
      <c r="K1114" t="s">
        <v>543</v>
      </c>
      <c r="L1114">
        <v>30</v>
      </c>
      <c r="M1114">
        <v>65</v>
      </c>
      <c r="N1114">
        <v>2</v>
      </c>
      <c r="O1114">
        <v>2</v>
      </c>
      <c r="P1114">
        <v>36</v>
      </c>
      <c r="T1114">
        <v>0.33541666666666664</v>
      </c>
      <c r="U1114">
        <v>40.5</v>
      </c>
      <c r="V1114">
        <v>0.67847222222222225</v>
      </c>
      <c r="W1114">
        <v>42.5</v>
      </c>
      <c r="AD1114">
        <v>2</v>
      </c>
    </row>
    <row r="1115" spans="1:47" x14ac:dyDescent="0.35">
      <c r="A1115">
        <v>1113</v>
      </c>
      <c r="B1115">
        <v>46083</v>
      </c>
      <c r="C1115" t="s">
        <v>16</v>
      </c>
      <c r="D1115" t="s">
        <v>429</v>
      </c>
      <c r="E1115" t="s">
        <v>212</v>
      </c>
      <c r="F1115" t="s">
        <v>213</v>
      </c>
      <c r="G1115" t="s">
        <v>214</v>
      </c>
      <c r="H1115" t="s">
        <v>22</v>
      </c>
      <c r="I1115" t="s">
        <v>23</v>
      </c>
      <c r="J1115" t="s">
        <v>215</v>
      </c>
      <c r="K1115" t="s">
        <v>428</v>
      </c>
      <c r="L1115">
        <v>30</v>
      </c>
      <c r="M1115">
        <v>65</v>
      </c>
      <c r="N1115">
        <v>2</v>
      </c>
      <c r="O1115">
        <v>1</v>
      </c>
      <c r="P1115">
        <v>37</v>
      </c>
      <c r="Q1115">
        <v>0.50009999999999999</v>
      </c>
      <c r="R1115">
        <v>466.75176497001524</v>
      </c>
      <c r="S1115">
        <v>181.35176497001515</v>
      </c>
      <c r="T1115">
        <v>0.33541666666666664</v>
      </c>
      <c r="U1115">
        <v>41</v>
      </c>
      <c r="V1115">
        <v>0.67847222222222225</v>
      </c>
      <c r="W1115">
        <v>72</v>
      </c>
      <c r="X1115">
        <v>13.9</v>
      </c>
      <c r="Y1115">
        <v>41</v>
      </c>
      <c r="Z1115">
        <v>0.37569444444444444</v>
      </c>
      <c r="AA1115">
        <v>78.5</v>
      </c>
      <c r="AB1115">
        <v>16</v>
      </c>
      <c r="AD1115">
        <v>31</v>
      </c>
      <c r="AE1115">
        <v>37.5</v>
      </c>
      <c r="AF1115">
        <v>28.861233672775342</v>
      </c>
      <c r="AG1115">
        <v>34.623728042697877</v>
      </c>
      <c r="AH1115">
        <v>63.484961715473219</v>
      </c>
      <c r="AI1115">
        <v>4.011711480515773</v>
      </c>
      <c r="AJ1115">
        <v>5.5397964868316603</v>
      </c>
      <c r="AK1115">
        <v>9.5515079673474332</v>
      </c>
      <c r="AL1115">
        <v>136.01440097297024</v>
      </c>
      <c r="AM1115">
        <v>38.854007329070392</v>
      </c>
      <c r="AN1115">
        <v>2.856609818602351</v>
      </c>
      <c r="AO1115">
        <v>13.9</v>
      </c>
      <c r="AP1115">
        <v>15.045307911116593</v>
      </c>
      <c r="AQ1115">
        <v>20.463785429844137</v>
      </c>
      <c r="AR1115">
        <v>52.668403690069887</v>
      </c>
      <c r="AS1115">
        <v>-1.1931604712013659</v>
      </c>
      <c r="AT1115">
        <v>11.357754958294118</v>
      </c>
      <c r="AU1115">
        <v>29.231875266045712</v>
      </c>
    </row>
    <row r="1116" spans="1:47" x14ac:dyDescent="0.35">
      <c r="A1116">
        <v>1114</v>
      </c>
      <c r="B1116">
        <v>46083</v>
      </c>
      <c r="C1116" t="s">
        <v>16</v>
      </c>
      <c r="D1116" t="s">
        <v>429</v>
      </c>
      <c r="E1116" t="s">
        <v>212</v>
      </c>
      <c r="F1116" t="s">
        <v>213</v>
      </c>
      <c r="G1116" t="s">
        <v>214</v>
      </c>
      <c r="H1116" t="s">
        <v>22</v>
      </c>
      <c r="I1116" t="s">
        <v>23</v>
      </c>
      <c r="J1116" t="s">
        <v>215</v>
      </c>
      <c r="K1116" t="s">
        <v>428</v>
      </c>
      <c r="L1116">
        <v>30</v>
      </c>
      <c r="M1116">
        <v>65</v>
      </c>
      <c r="N1116">
        <v>2</v>
      </c>
      <c r="O1116">
        <v>2</v>
      </c>
      <c r="P1116">
        <v>38</v>
      </c>
      <c r="Q1116">
        <v>0.50009999999999999</v>
      </c>
      <c r="R1116">
        <v>466.75176497001524</v>
      </c>
      <c r="S1116">
        <v>136.35176497001521</v>
      </c>
      <c r="T1116">
        <v>0.33611111111111114</v>
      </c>
      <c r="U1116">
        <v>41</v>
      </c>
      <c r="V1116">
        <v>0.6791666666666667</v>
      </c>
      <c r="W1116">
        <v>72.5</v>
      </c>
      <c r="X1116">
        <v>14.1</v>
      </c>
      <c r="Y1116">
        <v>41</v>
      </c>
      <c r="Z1116">
        <v>0.37569444444444444</v>
      </c>
      <c r="AA1116">
        <v>77.5</v>
      </c>
      <c r="AB1116">
        <v>15.8</v>
      </c>
      <c r="AC1116" t="s">
        <v>599</v>
      </c>
      <c r="AD1116">
        <v>31.5</v>
      </c>
      <c r="AE1116">
        <v>36.5</v>
      </c>
      <c r="AF1116">
        <v>29.361233672775342</v>
      </c>
      <c r="AG1116">
        <v>33.623728042697877</v>
      </c>
      <c r="AH1116">
        <v>62.984961715473219</v>
      </c>
      <c r="AI1116">
        <v>4.1399339478613228</v>
      </c>
      <c r="AJ1116">
        <v>5.3125490307462648</v>
      </c>
      <c r="AK1116">
        <v>9.4524829786075877</v>
      </c>
      <c r="AL1116">
        <v>134.94316774467785</v>
      </c>
      <c r="AM1116">
        <v>29.212908274438902</v>
      </c>
      <c r="AN1116">
        <v>2.1648304810593908</v>
      </c>
      <c r="AO1116">
        <v>14.099999999999998</v>
      </c>
      <c r="AP1116">
        <v>15.007523575719569</v>
      </c>
      <c r="AQ1116">
        <v>20.251627713105332</v>
      </c>
      <c r="AR1116">
        <v>69.324243662605028</v>
      </c>
      <c r="AS1116">
        <v>-0.37757417867421944</v>
      </c>
      <c r="AT1116">
        <v>11.240003754955346</v>
      </c>
      <c r="AU1116">
        <v>38.476154614124034</v>
      </c>
    </row>
    <row r="1117" spans="1:47" x14ac:dyDescent="0.35">
      <c r="A1117">
        <v>1115</v>
      </c>
      <c r="B1117">
        <v>46083</v>
      </c>
      <c r="C1117" t="s">
        <v>16</v>
      </c>
      <c r="D1117" t="s">
        <v>431</v>
      </c>
      <c r="E1117" t="s">
        <v>212</v>
      </c>
      <c r="F1117" t="s">
        <v>404</v>
      </c>
      <c r="G1117" t="s">
        <v>433</v>
      </c>
      <c r="H1117" t="s">
        <v>22</v>
      </c>
      <c r="I1117" t="s">
        <v>23</v>
      </c>
      <c r="J1117" t="s">
        <v>215</v>
      </c>
      <c r="K1117" t="s">
        <v>430</v>
      </c>
      <c r="L1117">
        <v>30</v>
      </c>
      <c r="M1117">
        <v>65</v>
      </c>
      <c r="N1117">
        <v>2</v>
      </c>
      <c r="O1117">
        <v>1</v>
      </c>
      <c r="P1117">
        <v>39</v>
      </c>
      <c r="Q1117">
        <v>0.50009999999999999</v>
      </c>
      <c r="R1117">
        <v>477.85779315469205</v>
      </c>
      <c r="S1117">
        <v>147.75779315469197</v>
      </c>
      <c r="T1117">
        <v>0.33611111111111114</v>
      </c>
      <c r="U1117">
        <v>40.5</v>
      </c>
      <c r="V1117">
        <v>0.6791666666666667</v>
      </c>
      <c r="W1117">
        <v>73</v>
      </c>
      <c r="X1117">
        <v>12.3</v>
      </c>
      <c r="Y1117">
        <v>40.5</v>
      </c>
      <c r="Z1117">
        <v>0.37638888888888888</v>
      </c>
      <c r="AA1117">
        <v>74</v>
      </c>
      <c r="AB1117">
        <v>15.8</v>
      </c>
      <c r="AD1117">
        <v>32.5</v>
      </c>
      <c r="AE1117">
        <v>33.5</v>
      </c>
      <c r="AF1117">
        <v>30.361233672775342</v>
      </c>
      <c r="AG1117">
        <v>30.623728042697874</v>
      </c>
      <c r="AH1117">
        <v>60.984961715473219</v>
      </c>
      <c r="AI1117">
        <v>3.7344317417513673</v>
      </c>
      <c r="AJ1117">
        <v>4.8385490307462637</v>
      </c>
      <c r="AK1117">
        <v>8.5729807724976315</v>
      </c>
      <c r="AL1117">
        <v>127.62156982491898</v>
      </c>
      <c r="AM1117">
        <v>30.920871286671648</v>
      </c>
      <c r="AN1117">
        <v>2.4228562091103614</v>
      </c>
      <c r="AO1117">
        <v>12.300000000000002</v>
      </c>
      <c r="AP1117">
        <v>14.057532433151431</v>
      </c>
      <c r="AQ1117">
        <v>17.940443569834986</v>
      </c>
      <c r="AR1117">
        <v>58.020498204939528</v>
      </c>
      <c r="AS1117">
        <v>-0.53982294132813902</v>
      </c>
      <c r="AT1117">
        <v>9.9572565695554722</v>
      </c>
      <c r="AU1117">
        <v>32.20238031858927</v>
      </c>
    </row>
    <row r="1118" spans="1:47" x14ac:dyDescent="0.35">
      <c r="A1118">
        <v>1116</v>
      </c>
      <c r="B1118">
        <v>46083</v>
      </c>
      <c r="C1118" t="s">
        <v>16</v>
      </c>
      <c r="D1118" t="s">
        <v>431</v>
      </c>
      <c r="E1118" t="s">
        <v>212</v>
      </c>
      <c r="F1118" t="s">
        <v>404</v>
      </c>
      <c r="G1118" t="s">
        <v>433</v>
      </c>
      <c r="H1118" t="s">
        <v>22</v>
      </c>
      <c r="I1118" t="s">
        <v>23</v>
      </c>
      <c r="J1118" t="s">
        <v>215</v>
      </c>
      <c r="K1118" t="s">
        <v>430</v>
      </c>
      <c r="L1118">
        <v>30</v>
      </c>
      <c r="M1118">
        <v>65</v>
      </c>
      <c r="N1118">
        <v>2</v>
      </c>
      <c r="O1118">
        <v>2</v>
      </c>
      <c r="P1118">
        <v>40</v>
      </c>
      <c r="Q1118">
        <v>0.50019999999999998</v>
      </c>
      <c r="R1118">
        <v>477.95334560283339</v>
      </c>
      <c r="S1118">
        <v>183.95334560283334</v>
      </c>
      <c r="T1118">
        <v>0.33680555555555558</v>
      </c>
      <c r="U1118">
        <v>40.5</v>
      </c>
      <c r="V1118">
        <v>0.67986111111111114</v>
      </c>
      <c r="W1118">
        <v>72.5</v>
      </c>
      <c r="X1118">
        <v>13.3</v>
      </c>
      <c r="Y1118">
        <v>40</v>
      </c>
      <c r="Z1118">
        <v>0.37708333333333333</v>
      </c>
      <c r="AA1118">
        <v>74.5</v>
      </c>
      <c r="AB1118">
        <v>16</v>
      </c>
      <c r="AD1118">
        <v>32</v>
      </c>
      <c r="AE1118">
        <v>34.5</v>
      </c>
      <c r="AF1118">
        <v>29.861233672775342</v>
      </c>
      <c r="AG1118">
        <v>31.623728042697874</v>
      </c>
      <c r="AH1118">
        <v>61.484961715473219</v>
      </c>
      <c r="AI1118">
        <v>3.9715440784791207</v>
      </c>
      <c r="AJ1118">
        <v>5.0597964868316598</v>
      </c>
      <c r="AK1118">
        <v>9.0313405653107814</v>
      </c>
      <c r="AL1118">
        <v>128.642182926711</v>
      </c>
      <c r="AM1118">
        <v>38.487720045314575</v>
      </c>
      <c r="AN1118">
        <v>2.9918428908534214</v>
      </c>
      <c r="AO1118">
        <v>13.300000000000002</v>
      </c>
      <c r="AP1118">
        <v>14.688698363518647</v>
      </c>
      <c r="AQ1118">
        <v>18.895862218350466</v>
      </c>
      <c r="AR1118">
        <v>49.095821202458609</v>
      </c>
      <c r="AS1118">
        <v>-2.8332598655704091</v>
      </c>
      <c r="AT1118">
        <v>10.487530449215969</v>
      </c>
      <c r="AU1118">
        <v>27.249030176035852</v>
      </c>
    </row>
    <row r="1119" spans="1:47" x14ac:dyDescent="0.35">
      <c r="A1119">
        <v>1117</v>
      </c>
      <c r="B1119">
        <v>46083</v>
      </c>
      <c r="C1119" t="s">
        <v>16</v>
      </c>
      <c r="D1119" t="s">
        <v>435</v>
      </c>
      <c r="E1119" t="s">
        <v>219</v>
      </c>
      <c r="F1119" t="s">
        <v>220</v>
      </c>
      <c r="G1119" t="s">
        <v>221</v>
      </c>
      <c r="H1119" t="s">
        <v>22</v>
      </c>
      <c r="I1119" t="s">
        <v>23</v>
      </c>
      <c r="J1119" t="s">
        <v>215</v>
      </c>
      <c r="K1119" t="s">
        <v>434</v>
      </c>
      <c r="L1119">
        <v>30</v>
      </c>
      <c r="M1119">
        <v>65</v>
      </c>
      <c r="N1119">
        <v>2</v>
      </c>
      <c r="O1119">
        <v>1</v>
      </c>
      <c r="P1119">
        <v>41</v>
      </c>
      <c r="Q1119">
        <v>0.5</v>
      </c>
      <c r="R1119">
        <v>454.4931747861948</v>
      </c>
      <c r="S1119">
        <v>287.69317478619485</v>
      </c>
      <c r="T1119">
        <v>0.33680555555555558</v>
      </c>
      <c r="U1119">
        <v>40.5</v>
      </c>
      <c r="V1119">
        <v>0.68055555555555558</v>
      </c>
      <c r="W1119">
        <v>82.5</v>
      </c>
      <c r="X1119">
        <v>13.8</v>
      </c>
      <c r="Y1119">
        <v>40</v>
      </c>
      <c r="Z1119">
        <v>0.37777777777777777</v>
      </c>
      <c r="AA1119">
        <v>89</v>
      </c>
      <c r="AB1119">
        <v>18.2</v>
      </c>
      <c r="AD1119">
        <v>42</v>
      </c>
      <c r="AE1119">
        <v>49</v>
      </c>
      <c r="AF1119">
        <v>39.861233672775342</v>
      </c>
      <c r="AG1119">
        <v>46.123728042697877</v>
      </c>
      <c r="AH1119">
        <v>85.984961715473219</v>
      </c>
      <c r="AI1119">
        <v>5.5008502468429974</v>
      </c>
      <c r="AJ1119">
        <v>8.3945185037710139</v>
      </c>
      <c r="AK1119">
        <v>13.895368750614011</v>
      </c>
      <c r="AL1119">
        <v>189.18867539853099</v>
      </c>
      <c r="AM1119">
        <v>63.299778906808243</v>
      </c>
      <c r="AN1119">
        <v>3.3458545430092772</v>
      </c>
      <c r="AO1119">
        <v>13.8</v>
      </c>
      <c r="AP1119">
        <v>16.160231363007636</v>
      </c>
      <c r="AQ1119">
        <v>30.573327657012115</v>
      </c>
      <c r="AR1119">
        <v>48.299264523534987</v>
      </c>
      <c r="AS1119">
        <v>0.55600373116523583</v>
      </c>
      <c r="AT1119">
        <v>16.968725799947208</v>
      </c>
      <c r="AU1119">
        <v>26.806927437975823</v>
      </c>
    </row>
    <row r="1120" spans="1:47" x14ac:dyDescent="0.35">
      <c r="A1120">
        <v>1118</v>
      </c>
      <c r="B1120">
        <v>46083</v>
      </c>
      <c r="C1120" t="s">
        <v>16</v>
      </c>
      <c r="D1120" t="s">
        <v>435</v>
      </c>
      <c r="E1120" t="s">
        <v>219</v>
      </c>
      <c r="F1120" t="s">
        <v>220</v>
      </c>
      <c r="G1120" t="s">
        <v>221</v>
      </c>
      <c r="H1120" t="s">
        <v>22</v>
      </c>
      <c r="I1120" t="s">
        <v>23</v>
      </c>
      <c r="J1120" t="s">
        <v>215</v>
      </c>
      <c r="K1120" t="s">
        <v>434</v>
      </c>
      <c r="L1120">
        <v>30</v>
      </c>
      <c r="M1120">
        <v>65</v>
      </c>
      <c r="N1120">
        <v>2</v>
      </c>
      <c r="O1120">
        <v>2</v>
      </c>
      <c r="P1120">
        <v>42</v>
      </c>
      <c r="Q1120">
        <v>0.50019999999999998</v>
      </c>
      <c r="R1120">
        <v>454.67497205610925</v>
      </c>
      <c r="S1120">
        <v>275.27497205610928</v>
      </c>
      <c r="T1120">
        <v>0.33680555555555558</v>
      </c>
      <c r="U1120">
        <v>41</v>
      </c>
      <c r="V1120">
        <v>0.68055555555555558</v>
      </c>
      <c r="W1120">
        <v>83</v>
      </c>
      <c r="X1120">
        <v>13.6</v>
      </c>
      <c r="Y1120">
        <v>40</v>
      </c>
      <c r="Z1120">
        <v>0.37777777777777777</v>
      </c>
      <c r="AA1120">
        <v>92</v>
      </c>
      <c r="AB1120">
        <v>15.5</v>
      </c>
      <c r="AD1120">
        <v>42</v>
      </c>
      <c r="AE1120">
        <v>52</v>
      </c>
      <c r="AF1120">
        <v>39.861233672775342</v>
      </c>
      <c r="AG1120">
        <v>49.123728042697877</v>
      </c>
      <c r="AH1120">
        <v>88.984961715473219</v>
      </c>
      <c r="AI1120">
        <v>5.4211277794974473</v>
      </c>
      <c r="AJ1120">
        <v>7.6141778466181709</v>
      </c>
      <c r="AK1120">
        <v>13.035305626115619</v>
      </c>
      <c r="AL1120">
        <v>195.71115012790284</v>
      </c>
      <c r="AM1120">
        <v>60.543242750150519</v>
      </c>
      <c r="AN1120">
        <v>3.0934999212146974</v>
      </c>
      <c r="AO1120">
        <v>13.600000000000001</v>
      </c>
      <c r="AP1120">
        <v>14.648886030648216</v>
      </c>
      <c r="AQ1120">
        <v>28.669503331507315</v>
      </c>
      <c r="AR1120">
        <v>47.353762417088298</v>
      </c>
      <c r="AS1120">
        <v>0.67339297563799461</v>
      </c>
      <c r="AT1120">
        <v>15.912070361154926</v>
      </c>
      <c r="AU1120">
        <v>26.28215741072998</v>
      </c>
    </row>
    <row r="1121" spans="1:48" x14ac:dyDescent="0.35">
      <c r="A1121">
        <v>1119</v>
      </c>
      <c r="B1121">
        <v>46083</v>
      </c>
      <c r="C1121" t="s">
        <v>16</v>
      </c>
      <c r="D1121" t="s">
        <v>437</v>
      </c>
      <c r="E1121" t="s">
        <v>333</v>
      </c>
      <c r="F1121" t="s">
        <v>438</v>
      </c>
      <c r="G1121" t="s">
        <v>439</v>
      </c>
      <c r="H1121" t="s">
        <v>22</v>
      </c>
      <c r="I1121" t="s">
        <v>23</v>
      </c>
      <c r="J1121" t="s">
        <v>215</v>
      </c>
      <c r="K1121" t="s">
        <v>436</v>
      </c>
      <c r="L1121">
        <v>30</v>
      </c>
      <c r="M1121">
        <v>65</v>
      </c>
      <c r="N1121">
        <v>2</v>
      </c>
      <c r="O1121">
        <v>1</v>
      </c>
      <c r="P1121">
        <v>43</v>
      </c>
      <c r="Q1121">
        <v>0.5</v>
      </c>
      <c r="R1121">
        <v>482.3322013590489</v>
      </c>
      <c r="S1121">
        <v>276.63220135904891</v>
      </c>
      <c r="T1121">
        <v>0.33680555555555558</v>
      </c>
      <c r="U1121">
        <v>41</v>
      </c>
      <c r="V1121">
        <v>0.68125000000000002</v>
      </c>
      <c r="W1121">
        <v>83</v>
      </c>
      <c r="X1121">
        <v>13.8</v>
      </c>
      <c r="Y1121">
        <v>40.5</v>
      </c>
      <c r="Z1121">
        <v>0.37847222222222221</v>
      </c>
      <c r="AA1121">
        <v>95.5</v>
      </c>
      <c r="AB1121">
        <v>14.9</v>
      </c>
      <c r="AC1121" t="s">
        <v>600</v>
      </c>
      <c r="AD1121">
        <v>42</v>
      </c>
      <c r="AE1121">
        <v>55</v>
      </c>
      <c r="AV1121" t="s">
        <v>611</v>
      </c>
    </row>
    <row r="1122" spans="1:48" x14ac:dyDescent="0.35">
      <c r="A1122">
        <v>1120</v>
      </c>
      <c r="B1122">
        <v>46083</v>
      </c>
      <c r="C1122" t="s">
        <v>16</v>
      </c>
      <c r="D1122" t="s">
        <v>437</v>
      </c>
      <c r="E1122" t="s">
        <v>333</v>
      </c>
      <c r="F1122" t="s">
        <v>438</v>
      </c>
      <c r="G1122" t="s">
        <v>439</v>
      </c>
      <c r="H1122" t="s">
        <v>22</v>
      </c>
      <c r="I1122" t="s">
        <v>23</v>
      </c>
      <c r="J1122" t="s">
        <v>215</v>
      </c>
      <c r="K1122" t="s">
        <v>436</v>
      </c>
      <c r="L1122">
        <v>30</v>
      </c>
      <c r="M1122">
        <v>65</v>
      </c>
      <c r="N1122">
        <v>2</v>
      </c>
      <c r="O1122">
        <v>2</v>
      </c>
      <c r="P1122">
        <v>44</v>
      </c>
      <c r="Q1122">
        <v>0.5</v>
      </c>
      <c r="R1122">
        <v>482.3322013590489</v>
      </c>
      <c r="S1122">
        <v>296.8322013590489</v>
      </c>
      <c r="T1122">
        <v>0.33750000000000002</v>
      </c>
      <c r="U1122">
        <v>40.5</v>
      </c>
      <c r="V1122">
        <v>0.68194444444444446</v>
      </c>
      <c r="W1122">
        <v>81.5</v>
      </c>
      <c r="X1122">
        <v>14.1</v>
      </c>
      <c r="Y1122">
        <v>40</v>
      </c>
      <c r="Z1122">
        <v>0.37847222222222221</v>
      </c>
      <c r="AA1122">
        <v>92.5</v>
      </c>
      <c r="AB1122">
        <v>14.8</v>
      </c>
      <c r="AC1122" t="s">
        <v>599</v>
      </c>
      <c r="AD1122">
        <v>41</v>
      </c>
      <c r="AE1122">
        <v>52.5</v>
      </c>
      <c r="AV1122" t="s">
        <v>668</v>
      </c>
    </row>
    <row r="1123" spans="1:48" x14ac:dyDescent="0.35">
      <c r="A1123">
        <v>1121</v>
      </c>
      <c r="B1123">
        <v>46083</v>
      </c>
      <c r="C1123" t="s">
        <v>16</v>
      </c>
      <c r="D1123" t="s">
        <v>441</v>
      </c>
      <c r="E1123" t="s">
        <v>442</v>
      </c>
      <c r="F1123" t="s">
        <v>443</v>
      </c>
      <c r="G1123" t="s">
        <v>444</v>
      </c>
      <c r="H1123" t="s">
        <v>22</v>
      </c>
      <c r="I1123" t="s">
        <v>23</v>
      </c>
      <c r="J1123" t="s">
        <v>215</v>
      </c>
      <c r="K1123" t="s">
        <v>440</v>
      </c>
      <c r="L1123">
        <v>30</v>
      </c>
      <c r="M1123">
        <v>65</v>
      </c>
      <c r="N1123">
        <v>2</v>
      </c>
      <c r="O1123">
        <v>1</v>
      </c>
      <c r="P1123">
        <v>45</v>
      </c>
      <c r="Q1123">
        <v>0.5</v>
      </c>
      <c r="R1123">
        <v>481.00567754319019</v>
      </c>
      <c r="S1123">
        <v>194.70567754319018</v>
      </c>
      <c r="T1123">
        <v>0.33750000000000002</v>
      </c>
      <c r="U1123">
        <v>41</v>
      </c>
      <c r="V1123">
        <v>0.68194444444444446</v>
      </c>
      <c r="W1123">
        <v>70</v>
      </c>
      <c r="X1123">
        <v>12.7</v>
      </c>
      <c r="Y1123">
        <v>40</v>
      </c>
      <c r="Z1123">
        <v>0.37916666666666665</v>
      </c>
      <c r="AA1123">
        <v>73.5</v>
      </c>
      <c r="AB1123">
        <v>14.6</v>
      </c>
      <c r="AD1123">
        <v>29</v>
      </c>
      <c r="AE1123">
        <v>33.5</v>
      </c>
      <c r="AF1123">
        <v>26.861233672775342</v>
      </c>
      <c r="AG1123">
        <v>30.623728042697874</v>
      </c>
      <c r="AH1123">
        <v>57.484961715473219</v>
      </c>
      <c r="AI1123">
        <v>3.4113766764424684</v>
      </c>
      <c r="AJ1123">
        <v>4.471064294233889</v>
      </c>
      <c r="AK1123">
        <v>7.8824409706763578</v>
      </c>
      <c r="AL1123">
        <v>119.50994426736587</v>
      </c>
      <c r="AM1123">
        <v>40.478873043178851</v>
      </c>
      <c r="AN1123">
        <v>3.3870715354548331</v>
      </c>
      <c r="AO1123">
        <v>12.7</v>
      </c>
      <c r="AP1123">
        <v>13.712179212523756</v>
      </c>
      <c r="AQ1123">
        <v>16.387417734728466</v>
      </c>
      <c r="AR1123">
        <v>40.483878385764335</v>
      </c>
      <c r="AS1123">
        <v>1.7923178467133305</v>
      </c>
      <c r="AT1123">
        <v>9.0953003621122708</v>
      </c>
      <c r="AU1123">
        <v>22.469252917220068</v>
      </c>
    </row>
    <row r="1124" spans="1:48" x14ac:dyDescent="0.35">
      <c r="A1124">
        <v>1122</v>
      </c>
      <c r="B1124">
        <v>46083</v>
      </c>
      <c r="C1124" t="s">
        <v>16</v>
      </c>
      <c r="D1124" t="s">
        <v>441</v>
      </c>
      <c r="E1124" t="s">
        <v>442</v>
      </c>
      <c r="F1124" t="s">
        <v>443</v>
      </c>
      <c r="G1124" t="s">
        <v>444</v>
      </c>
      <c r="H1124" t="s">
        <v>22</v>
      </c>
      <c r="I1124" t="s">
        <v>23</v>
      </c>
      <c r="J1124" t="s">
        <v>215</v>
      </c>
      <c r="K1124" t="s">
        <v>440</v>
      </c>
      <c r="L1124">
        <v>30</v>
      </c>
      <c r="M1124">
        <v>65</v>
      </c>
      <c r="N1124">
        <v>2</v>
      </c>
      <c r="O1124">
        <v>2</v>
      </c>
      <c r="P1124">
        <v>46</v>
      </c>
      <c r="Q1124">
        <v>0.5</v>
      </c>
      <c r="R1124">
        <v>481.00567754319019</v>
      </c>
      <c r="S1124">
        <v>147.60567754319015</v>
      </c>
      <c r="T1124">
        <v>0.33819444444444446</v>
      </c>
      <c r="U1124">
        <v>41</v>
      </c>
      <c r="V1124">
        <v>0.68263888888888891</v>
      </c>
      <c r="W1124">
        <v>69.5</v>
      </c>
      <c r="X1124">
        <v>12.3</v>
      </c>
      <c r="Y1124">
        <v>40</v>
      </c>
      <c r="Z1124">
        <v>0.37986111111111109</v>
      </c>
      <c r="AA1124">
        <v>73</v>
      </c>
      <c r="AB1124">
        <v>14.6</v>
      </c>
      <c r="AD1124">
        <v>28.5</v>
      </c>
      <c r="AE1124">
        <v>33</v>
      </c>
      <c r="AF1124">
        <v>26.361233672775342</v>
      </c>
      <c r="AG1124">
        <v>30.123728042697874</v>
      </c>
      <c r="AH1124">
        <v>56.484961715473219</v>
      </c>
      <c r="AI1124">
        <v>3.2424317417513673</v>
      </c>
      <c r="AJ1124">
        <v>4.3980642942338894</v>
      </c>
      <c r="AK1124">
        <v>7.6404960359852563</v>
      </c>
      <c r="AL1124">
        <v>117.43096672783317</v>
      </c>
      <c r="AM1124">
        <v>30.686888831979829</v>
      </c>
      <c r="AN1124">
        <v>2.6131854047580201</v>
      </c>
      <c r="AO1124">
        <v>12.3</v>
      </c>
      <c r="AP1124">
        <v>13.526602132567714</v>
      </c>
      <c r="AQ1124">
        <v>15.884419649701963</v>
      </c>
      <c r="AR1124">
        <v>51.76288719483442</v>
      </c>
      <c r="AS1124">
        <v>-0.67436807899726492</v>
      </c>
      <c r="AT1124">
        <v>8.8161277225335475</v>
      </c>
      <c r="AU1124">
        <v>28.729297944814679</v>
      </c>
    </row>
    <row r="1125" spans="1:48" x14ac:dyDescent="0.35">
      <c r="A1125">
        <v>1123</v>
      </c>
      <c r="B1125">
        <v>46083</v>
      </c>
      <c r="C1125" t="s">
        <v>16</v>
      </c>
      <c r="D1125" t="s">
        <v>446</v>
      </c>
      <c r="E1125" t="s">
        <v>442</v>
      </c>
      <c r="F1125" t="s">
        <v>447</v>
      </c>
      <c r="G1125" t="s">
        <v>448</v>
      </c>
      <c r="H1125" t="s">
        <v>22</v>
      </c>
      <c r="I1125" t="s">
        <v>23</v>
      </c>
      <c r="J1125" t="s">
        <v>215</v>
      </c>
      <c r="K1125" t="s">
        <v>445</v>
      </c>
      <c r="L1125">
        <v>30</v>
      </c>
      <c r="M1125">
        <v>65</v>
      </c>
      <c r="N1125">
        <v>2</v>
      </c>
      <c r="O1125">
        <v>1</v>
      </c>
      <c r="P1125">
        <v>47</v>
      </c>
      <c r="Q1125">
        <v>0.5</v>
      </c>
      <c r="R1125">
        <v>476.45942599029394</v>
      </c>
      <c r="S1125">
        <v>220.85942599029389</v>
      </c>
      <c r="T1125">
        <v>0.33819444444444446</v>
      </c>
      <c r="U1125">
        <v>41.5</v>
      </c>
      <c r="V1125">
        <v>0.68263888888888891</v>
      </c>
      <c r="W1125">
        <v>75.5</v>
      </c>
      <c r="X1125">
        <v>12.1</v>
      </c>
      <c r="Y1125">
        <v>40</v>
      </c>
      <c r="Z1125">
        <v>0.37986111111111109</v>
      </c>
      <c r="AA1125">
        <v>78.5</v>
      </c>
      <c r="AB1125">
        <v>15.6</v>
      </c>
      <c r="AD1125">
        <v>34</v>
      </c>
      <c r="AE1125">
        <v>38.5</v>
      </c>
      <c r="AF1125">
        <v>31.861233672775342</v>
      </c>
      <c r="AG1125">
        <v>35.623728042697877</v>
      </c>
      <c r="AH1125">
        <v>67.484961715473219</v>
      </c>
      <c r="AI1125">
        <v>3.8552092744058162</v>
      </c>
      <c r="AJ1125">
        <v>5.5573015746608689</v>
      </c>
      <c r="AK1125">
        <v>9.4125108490666847</v>
      </c>
      <c r="AL1125">
        <v>141.63842298892408</v>
      </c>
      <c r="AM1125">
        <v>46.354298801256803</v>
      </c>
      <c r="AN1125">
        <v>3.2727206236179041</v>
      </c>
      <c r="AO1125">
        <v>12.1</v>
      </c>
      <c r="AP1125">
        <v>13.94756788742246</v>
      </c>
      <c r="AQ1125">
        <v>19.755115201054767</v>
      </c>
      <c r="AR1125">
        <v>42.617655130011684</v>
      </c>
      <c r="AS1125">
        <v>6.5093211545151046</v>
      </c>
      <c r="AT1125">
        <v>10.964430720585414</v>
      </c>
      <c r="AU1125">
        <v>23.653535926830013</v>
      </c>
    </row>
    <row r="1126" spans="1:48" x14ac:dyDescent="0.35">
      <c r="A1126">
        <v>1124</v>
      </c>
      <c r="B1126">
        <v>46083</v>
      </c>
      <c r="C1126" t="s">
        <v>16</v>
      </c>
      <c r="D1126" t="s">
        <v>446</v>
      </c>
      <c r="E1126" t="s">
        <v>442</v>
      </c>
      <c r="F1126" t="s">
        <v>447</v>
      </c>
      <c r="G1126" t="s">
        <v>448</v>
      </c>
      <c r="H1126" t="s">
        <v>22</v>
      </c>
      <c r="I1126" t="s">
        <v>23</v>
      </c>
      <c r="J1126" t="s">
        <v>215</v>
      </c>
      <c r="K1126" t="s">
        <v>445</v>
      </c>
      <c r="L1126">
        <v>30</v>
      </c>
      <c r="M1126">
        <v>65</v>
      </c>
      <c r="N1126">
        <v>2</v>
      </c>
      <c r="O1126">
        <v>2</v>
      </c>
      <c r="P1126">
        <v>48</v>
      </c>
      <c r="Q1126">
        <v>0.5</v>
      </c>
      <c r="R1126">
        <v>476.45942599029394</v>
      </c>
      <c r="S1126">
        <v>169.85942599029397</v>
      </c>
      <c r="T1126">
        <v>0.33819444444444446</v>
      </c>
      <c r="U1126">
        <v>41</v>
      </c>
      <c r="V1126">
        <v>0.68333333333333335</v>
      </c>
      <c r="W1126">
        <v>74.5</v>
      </c>
      <c r="X1126">
        <v>12.3</v>
      </c>
      <c r="Y1126">
        <v>40.5</v>
      </c>
      <c r="Z1126">
        <v>0.38055555555555554</v>
      </c>
      <c r="AA1126">
        <v>79</v>
      </c>
      <c r="AB1126">
        <v>16</v>
      </c>
      <c r="AD1126">
        <v>33.5</v>
      </c>
      <c r="AE1126">
        <v>38.5</v>
      </c>
      <c r="AF1126">
        <v>31.361233672775342</v>
      </c>
      <c r="AG1126">
        <v>35.623728042697877</v>
      </c>
      <c r="AH1126">
        <v>66.984961715473219</v>
      </c>
      <c r="AI1126">
        <v>3.8574317417513675</v>
      </c>
      <c r="AJ1126">
        <v>5.6997964868316604</v>
      </c>
      <c r="AK1126">
        <v>9.5572282285830283</v>
      </c>
      <c r="AL1126">
        <v>140.58901568847918</v>
      </c>
      <c r="AM1126">
        <v>35.650344336718867</v>
      </c>
      <c r="AN1126">
        <v>2.5357844752049359</v>
      </c>
      <c r="AO1126">
        <v>12.300000000000002</v>
      </c>
      <c r="AP1126">
        <v>14.26772216304089</v>
      </c>
      <c r="AQ1126">
        <v>20.058850150186178</v>
      </c>
      <c r="AR1126">
        <v>56.265515869158435</v>
      </c>
      <c r="AS1126">
        <v>-0.52458848741150144</v>
      </c>
      <c r="AT1126">
        <v>11.133008872283265</v>
      </c>
      <c r="AU1126">
        <v>31.228334759214579</v>
      </c>
    </row>
    <row r="1127" spans="1:48" x14ac:dyDescent="0.35">
      <c r="A1127">
        <v>1125</v>
      </c>
      <c r="B1127">
        <v>46083</v>
      </c>
      <c r="C1127" t="s">
        <v>16</v>
      </c>
      <c r="D1127" t="s">
        <v>450</v>
      </c>
      <c r="E1127" t="s">
        <v>442</v>
      </c>
      <c r="F1127" t="s">
        <v>451</v>
      </c>
      <c r="G1127" t="s">
        <v>452</v>
      </c>
      <c r="H1127" t="s">
        <v>22</v>
      </c>
      <c r="I1127" t="s">
        <v>23</v>
      </c>
      <c r="J1127" t="s">
        <v>215</v>
      </c>
      <c r="K1127" t="s">
        <v>449</v>
      </c>
      <c r="L1127">
        <v>30</v>
      </c>
      <c r="M1127">
        <v>65</v>
      </c>
      <c r="N1127">
        <v>2</v>
      </c>
      <c r="O1127">
        <v>1</v>
      </c>
      <c r="P1127">
        <v>49</v>
      </c>
      <c r="Q1127">
        <v>0.50019999999999998</v>
      </c>
      <c r="R1127">
        <v>482.3722570614695</v>
      </c>
      <c r="S1127">
        <v>203.77225706146942</v>
      </c>
      <c r="T1127">
        <v>0.33819444444444446</v>
      </c>
      <c r="U1127">
        <v>41</v>
      </c>
      <c r="V1127">
        <v>0.68402777777777779</v>
      </c>
      <c r="W1127">
        <v>73</v>
      </c>
      <c r="X1127">
        <v>13.4</v>
      </c>
      <c r="Y1127">
        <v>40</v>
      </c>
      <c r="Z1127">
        <v>0.38124999999999998</v>
      </c>
      <c r="AA1127">
        <v>76</v>
      </c>
      <c r="AB1127">
        <v>17</v>
      </c>
      <c r="AD1127">
        <v>32</v>
      </c>
      <c r="AE1127">
        <v>36</v>
      </c>
      <c r="AF1127">
        <v>29.861233672775342</v>
      </c>
      <c r="AG1127">
        <v>33.123728042697877</v>
      </c>
      <c r="AH1127">
        <v>62.984961715473219</v>
      </c>
      <c r="AI1127">
        <v>4.0014053121518964</v>
      </c>
      <c r="AJ1127">
        <v>5.6310337672586392</v>
      </c>
      <c r="AK1127">
        <v>9.6324390794105348</v>
      </c>
      <c r="AL1127">
        <v>130.57335033977077</v>
      </c>
      <c r="AM1127">
        <v>42.243776269973665</v>
      </c>
      <c r="AN1127">
        <v>3.2352525350731405</v>
      </c>
      <c r="AO1127">
        <v>13.400000000000004</v>
      </c>
      <c r="AP1127">
        <v>15.293236380652079</v>
      </c>
      <c r="AQ1127">
        <v>19.968891117598119</v>
      </c>
      <c r="AR1127">
        <v>47.270610917877981</v>
      </c>
      <c r="AS1127">
        <v>3.5001499566409202</v>
      </c>
      <c r="AT1127">
        <v>11.083080052812242</v>
      </c>
      <c r="AU1127">
        <v>26.236006890060995</v>
      </c>
    </row>
    <row r="1128" spans="1:48" x14ac:dyDescent="0.35">
      <c r="A1128">
        <v>1126</v>
      </c>
      <c r="B1128">
        <v>46083</v>
      </c>
      <c r="C1128" t="s">
        <v>16</v>
      </c>
      <c r="D1128" t="s">
        <v>450</v>
      </c>
      <c r="E1128" t="s">
        <v>442</v>
      </c>
      <c r="F1128" t="s">
        <v>451</v>
      </c>
      <c r="G1128" t="s">
        <v>452</v>
      </c>
      <c r="H1128" t="s">
        <v>22</v>
      </c>
      <c r="I1128" t="s">
        <v>23</v>
      </c>
      <c r="J1128" t="s">
        <v>215</v>
      </c>
      <c r="K1128" t="s">
        <v>449</v>
      </c>
      <c r="L1128">
        <v>30</v>
      </c>
      <c r="M1128">
        <v>65</v>
      </c>
      <c r="N1128">
        <v>2</v>
      </c>
      <c r="O1128">
        <v>2</v>
      </c>
      <c r="P1128">
        <v>50</v>
      </c>
      <c r="Q1128">
        <v>0.50019999999999998</v>
      </c>
      <c r="R1128">
        <v>482.3722570614695</v>
      </c>
      <c r="S1128">
        <v>198.07225706146949</v>
      </c>
      <c r="T1128">
        <v>0.33888888888888891</v>
      </c>
      <c r="U1128">
        <v>41</v>
      </c>
      <c r="V1128">
        <v>0.68402777777777779</v>
      </c>
      <c r="W1128">
        <v>75</v>
      </c>
      <c r="X1128">
        <v>13</v>
      </c>
      <c r="Y1128">
        <v>40</v>
      </c>
      <c r="Z1128">
        <v>0.38194444444444442</v>
      </c>
      <c r="AA1128">
        <v>76</v>
      </c>
      <c r="AB1128">
        <v>16.600000000000001</v>
      </c>
      <c r="AD1128">
        <v>34</v>
      </c>
      <c r="AE1128">
        <v>36</v>
      </c>
      <c r="AF1128">
        <v>31.861233672775342</v>
      </c>
      <c r="AG1128">
        <v>33.123728042697877</v>
      </c>
      <c r="AH1128">
        <v>64.984961715473219</v>
      </c>
      <c r="AI1128">
        <v>4.1419603774607943</v>
      </c>
      <c r="AJ1128">
        <v>5.4985388550878476</v>
      </c>
      <c r="AK1128">
        <v>9.6404992325486418</v>
      </c>
      <c r="AL1128">
        <v>134.71952576906196</v>
      </c>
      <c r="AM1128">
        <v>41.062116272625687</v>
      </c>
      <c r="AN1128">
        <v>3.0479706663319859</v>
      </c>
      <c r="AO1128">
        <v>13</v>
      </c>
      <c r="AP1128">
        <v>14.834969473026856</v>
      </c>
      <c r="AQ1128">
        <v>19.985600522046891</v>
      </c>
      <c r="AR1128">
        <v>48.67162809962236</v>
      </c>
      <c r="AS1128">
        <v>12.645465641522513</v>
      </c>
      <c r="AT1128">
        <v>11.092354061371354</v>
      </c>
      <c r="AU1128">
        <v>27.013595664980716</v>
      </c>
    </row>
    <row r="1129" spans="1:48" x14ac:dyDescent="0.35">
      <c r="A1129">
        <v>1127</v>
      </c>
      <c r="B1129">
        <v>46083</v>
      </c>
      <c r="C1129" t="s">
        <v>16</v>
      </c>
      <c r="D1129" t="s">
        <v>454</v>
      </c>
      <c r="E1129" t="s">
        <v>442</v>
      </c>
      <c r="F1129" t="s">
        <v>455</v>
      </c>
      <c r="G1129" t="s">
        <v>456</v>
      </c>
      <c r="H1129" t="s">
        <v>22</v>
      </c>
      <c r="I1129" t="s">
        <v>23</v>
      </c>
      <c r="J1129" t="s">
        <v>215</v>
      </c>
      <c r="K1129" t="s">
        <v>453</v>
      </c>
      <c r="L1129">
        <v>30</v>
      </c>
      <c r="M1129">
        <v>65</v>
      </c>
      <c r="N1129">
        <v>2</v>
      </c>
      <c r="O1129">
        <v>1</v>
      </c>
      <c r="P1129">
        <v>51</v>
      </c>
      <c r="Q1129">
        <v>0.5</v>
      </c>
      <c r="R1129">
        <v>478.33586433505769</v>
      </c>
      <c r="S1129">
        <v>173.03586433505768</v>
      </c>
      <c r="T1129">
        <v>0.33888888888888891</v>
      </c>
      <c r="U1129">
        <v>40.5</v>
      </c>
      <c r="V1129">
        <v>0.68472222222222223</v>
      </c>
      <c r="W1129">
        <v>72</v>
      </c>
      <c r="X1129">
        <v>12.3</v>
      </c>
      <c r="Y1129">
        <v>40</v>
      </c>
      <c r="Z1129">
        <v>0.38194444444444442</v>
      </c>
      <c r="AA1129">
        <v>80.5</v>
      </c>
      <c r="AB1129">
        <v>16.8</v>
      </c>
      <c r="AC1129" t="s">
        <v>599</v>
      </c>
      <c r="AD1129">
        <v>31.5</v>
      </c>
      <c r="AE1129">
        <v>40.5</v>
      </c>
      <c r="AF1129">
        <v>29.361233672775342</v>
      </c>
      <c r="AG1129">
        <v>37.623728042697877</v>
      </c>
      <c r="AH1129">
        <v>66.984961715473219</v>
      </c>
      <c r="AI1129">
        <v>3.6114317417513675</v>
      </c>
      <c r="AJ1129">
        <v>6.3207863111732436</v>
      </c>
      <c r="AK1129">
        <v>9.9322180529246111</v>
      </c>
      <c r="AL1129">
        <v>140.03750650934376</v>
      </c>
      <c r="AM1129">
        <v>36.174553746999003</v>
      </c>
      <c r="AN1129">
        <v>2.5832046462913358</v>
      </c>
      <c r="AO1129">
        <v>12.3</v>
      </c>
      <c r="AP1129">
        <v>14.827534118945856</v>
      </c>
      <c r="AQ1129">
        <v>20.76410905699397</v>
      </c>
      <c r="AR1129">
        <v>57.399765598259897</v>
      </c>
      <c r="AS1129">
        <v>-2.2130840214671346</v>
      </c>
      <c r="AT1129">
        <v>11.52443976727278</v>
      </c>
      <c r="AU1129">
        <v>31.857862982563628</v>
      </c>
    </row>
    <row r="1130" spans="1:48" x14ac:dyDescent="0.35">
      <c r="A1130">
        <v>1128</v>
      </c>
      <c r="B1130">
        <v>46083</v>
      </c>
      <c r="C1130" t="s">
        <v>16</v>
      </c>
      <c r="D1130" t="s">
        <v>454</v>
      </c>
      <c r="E1130" t="s">
        <v>442</v>
      </c>
      <c r="F1130" t="s">
        <v>455</v>
      </c>
      <c r="G1130" t="s">
        <v>456</v>
      </c>
      <c r="H1130" t="s">
        <v>22</v>
      </c>
      <c r="I1130" t="s">
        <v>23</v>
      </c>
      <c r="J1130" t="s">
        <v>215</v>
      </c>
      <c r="K1130" t="s">
        <v>453</v>
      </c>
      <c r="L1130">
        <v>30</v>
      </c>
      <c r="M1130">
        <v>65</v>
      </c>
      <c r="N1130">
        <v>2</v>
      </c>
      <c r="O1130">
        <v>2</v>
      </c>
      <c r="P1130">
        <v>52</v>
      </c>
      <c r="Q1130">
        <v>0.5</v>
      </c>
      <c r="R1130">
        <v>478.33586433505769</v>
      </c>
      <c r="S1130">
        <v>165.73586433505773</v>
      </c>
      <c r="T1130">
        <v>0.33888888888888891</v>
      </c>
      <c r="U1130">
        <v>41.5</v>
      </c>
      <c r="V1130">
        <v>0.68541666666666667</v>
      </c>
      <c r="W1130">
        <v>73.5</v>
      </c>
      <c r="X1130">
        <v>12.2</v>
      </c>
      <c r="Y1130">
        <v>40</v>
      </c>
      <c r="Z1130">
        <v>0.38263888888888886</v>
      </c>
      <c r="AA1130">
        <v>83</v>
      </c>
      <c r="AB1130">
        <v>16.7</v>
      </c>
      <c r="AD1130">
        <v>32</v>
      </c>
      <c r="AE1130">
        <v>43</v>
      </c>
      <c r="AF1130">
        <v>29.861233672775342</v>
      </c>
      <c r="AG1130">
        <v>40.123728042697877</v>
      </c>
      <c r="AH1130">
        <v>69.984961715473219</v>
      </c>
      <c r="AI1130">
        <v>3.6430705080785915</v>
      </c>
      <c r="AJ1130">
        <v>6.7006625831305451</v>
      </c>
      <c r="AK1130">
        <v>10.343733091209137</v>
      </c>
      <c r="AL1130">
        <v>146.30925032719517</v>
      </c>
      <c r="AM1130">
        <v>34.64842941798851</v>
      </c>
      <c r="AN1130">
        <v>2.368163963693569</v>
      </c>
      <c r="AO1130">
        <v>12.200000000000001</v>
      </c>
      <c r="AP1130">
        <v>14.779936771648194</v>
      </c>
      <c r="AQ1130">
        <v>21.624414689431923</v>
      </c>
      <c r="AR1130">
        <v>62.410952105682242</v>
      </c>
      <c r="AS1130">
        <v>-1.4805621497392716</v>
      </c>
      <c r="AT1130">
        <v>12.001924277456332</v>
      </c>
      <c r="AU1130">
        <v>34.639158192911523</v>
      </c>
    </row>
    <row r="1131" spans="1:48" x14ac:dyDescent="0.35">
      <c r="A1131">
        <v>1129</v>
      </c>
      <c r="B1131">
        <v>46083</v>
      </c>
      <c r="C1131" t="s">
        <v>16</v>
      </c>
      <c r="D1131" t="s">
        <v>458</v>
      </c>
      <c r="E1131" t="s">
        <v>333</v>
      </c>
      <c r="F1131" t="s">
        <v>438</v>
      </c>
      <c r="G1131" t="s">
        <v>439</v>
      </c>
      <c r="H1131" t="s">
        <v>22</v>
      </c>
      <c r="I1131" t="s">
        <v>23</v>
      </c>
      <c r="J1131" t="s">
        <v>303</v>
      </c>
      <c r="K1131" t="s">
        <v>457</v>
      </c>
      <c r="L1131">
        <v>30</v>
      </c>
      <c r="M1131">
        <v>65</v>
      </c>
      <c r="N1131">
        <v>2</v>
      </c>
      <c r="O1131">
        <v>1</v>
      </c>
      <c r="P1131">
        <v>53</v>
      </c>
      <c r="Q1131">
        <v>0.5</v>
      </c>
      <c r="R1131">
        <v>477.40455817672938</v>
      </c>
      <c r="S1131">
        <v>273.60455817672937</v>
      </c>
      <c r="T1131">
        <v>0.33958333333333335</v>
      </c>
      <c r="U1131">
        <v>41.5</v>
      </c>
      <c r="V1131">
        <v>0.68611111111111112</v>
      </c>
      <c r="W1131">
        <v>73.5</v>
      </c>
      <c r="X1131">
        <v>12.8</v>
      </c>
      <c r="Y1131">
        <v>40</v>
      </c>
      <c r="Z1131">
        <v>0.38263888888888886</v>
      </c>
      <c r="AA1131">
        <v>84.5</v>
      </c>
      <c r="AB1131">
        <v>14</v>
      </c>
      <c r="AD1131">
        <v>32</v>
      </c>
      <c r="AE1131">
        <v>44.5</v>
      </c>
      <c r="AF1131">
        <v>29.861233672775342</v>
      </c>
      <c r="AG1131">
        <v>41.623728042697877</v>
      </c>
      <c r="AH1131">
        <v>71.484961715473219</v>
      </c>
      <c r="AI1131">
        <v>3.8222379101152439</v>
      </c>
      <c r="AJ1131">
        <v>5.8273219259777029</v>
      </c>
      <c r="AK1131">
        <v>9.6495598360929478</v>
      </c>
      <c r="AL1131">
        <v>149.73665519341429</v>
      </c>
      <c r="AM1131">
        <v>57.310839096648145</v>
      </c>
      <c r="AN1131">
        <v>3.8274421865921839</v>
      </c>
      <c r="AO1131">
        <v>12.800000000000002</v>
      </c>
      <c r="AP1131">
        <v>13.498727011284473</v>
      </c>
      <c r="AQ1131">
        <v>20.21254232038731</v>
      </c>
      <c r="AR1131">
        <v>35.268271480550439</v>
      </c>
      <c r="AS1131">
        <v>1.3390269896446991</v>
      </c>
      <c r="AT1131">
        <v>11.218310685778976</v>
      </c>
      <c r="AU1131">
        <v>19.574500849412768</v>
      </c>
    </row>
    <row r="1132" spans="1:48" x14ac:dyDescent="0.35">
      <c r="A1132">
        <v>1130</v>
      </c>
      <c r="B1132">
        <v>46083</v>
      </c>
      <c r="C1132" t="s">
        <v>16</v>
      </c>
      <c r="D1132" t="s">
        <v>458</v>
      </c>
      <c r="E1132" t="s">
        <v>333</v>
      </c>
      <c r="F1132" t="s">
        <v>438</v>
      </c>
      <c r="G1132" t="s">
        <v>439</v>
      </c>
      <c r="H1132" t="s">
        <v>22</v>
      </c>
      <c r="I1132" t="s">
        <v>23</v>
      </c>
      <c r="J1132" t="s">
        <v>303</v>
      </c>
      <c r="K1132" t="s">
        <v>457</v>
      </c>
      <c r="L1132">
        <v>30</v>
      </c>
      <c r="M1132">
        <v>65</v>
      </c>
      <c r="N1132">
        <v>2</v>
      </c>
      <c r="O1132">
        <v>2</v>
      </c>
      <c r="P1132">
        <v>54</v>
      </c>
      <c r="Q1132">
        <v>0.5</v>
      </c>
      <c r="R1132">
        <v>477.40455817672938</v>
      </c>
      <c r="S1132">
        <v>290.70455817672939</v>
      </c>
      <c r="T1132">
        <v>0.33958333333333335</v>
      </c>
      <c r="U1132">
        <v>41</v>
      </c>
      <c r="V1132">
        <v>0.68680555555555556</v>
      </c>
      <c r="W1132">
        <v>77.5</v>
      </c>
      <c r="X1132">
        <v>13.2</v>
      </c>
      <c r="Y1132">
        <v>41.5</v>
      </c>
      <c r="Z1132">
        <v>0.38333333333333336</v>
      </c>
      <c r="AA1132">
        <v>86</v>
      </c>
      <c r="AB1132">
        <v>13.8</v>
      </c>
      <c r="AD1132">
        <v>36.5</v>
      </c>
      <c r="AE1132">
        <v>44.5</v>
      </c>
      <c r="AF1132">
        <v>34.361233672775342</v>
      </c>
      <c r="AG1132">
        <v>41.623728042697877</v>
      </c>
      <c r="AH1132">
        <v>75.984961715473219</v>
      </c>
      <c r="AI1132">
        <v>4.5356828448063453</v>
      </c>
      <c r="AJ1132">
        <v>5.7440744698923076</v>
      </c>
      <c r="AK1132">
        <v>10.279757314698653</v>
      </c>
      <c r="AL1132">
        <v>159.16262300818775</v>
      </c>
      <c r="AM1132">
        <v>60.892706866262067</v>
      </c>
      <c r="AN1132">
        <v>3.8258169987013586</v>
      </c>
      <c r="AO1132">
        <v>13.2</v>
      </c>
      <c r="AP1132">
        <v>13.528673414604526</v>
      </c>
      <c r="AQ1132">
        <v>21.532591464895923</v>
      </c>
      <c r="AR1132">
        <v>35.36152779706066</v>
      </c>
      <c r="AS1132">
        <v>0.68566833543550465</v>
      </c>
      <c r="AT1132">
        <v>11.950960799201752</v>
      </c>
      <c r="AU1132">
        <v>19.626259718507022</v>
      </c>
    </row>
    <row r="1133" spans="1:48" x14ac:dyDescent="0.35">
      <c r="A1133">
        <v>1131</v>
      </c>
      <c r="B1133">
        <v>46083</v>
      </c>
      <c r="C1133" t="s">
        <v>16</v>
      </c>
      <c r="D1133" t="s">
        <v>460</v>
      </c>
      <c r="E1133" t="s">
        <v>333</v>
      </c>
      <c r="F1133" t="s">
        <v>461</v>
      </c>
      <c r="G1133" t="s">
        <v>462</v>
      </c>
      <c r="H1133" t="s">
        <v>22</v>
      </c>
      <c r="I1133" t="s">
        <v>23</v>
      </c>
      <c r="J1133" t="s">
        <v>303</v>
      </c>
      <c r="K1133" t="s">
        <v>459</v>
      </c>
      <c r="L1133">
        <v>30</v>
      </c>
      <c r="M1133">
        <v>65</v>
      </c>
      <c r="N1133">
        <v>2</v>
      </c>
      <c r="O1133">
        <v>1</v>
      </c>
      <c r="P1133">
        <v>55</v>
      </c>
      <c r="Q1133">
        <v>0.50019999999999998</v>
      </c>
      <c r="R1133">
        <v>482.40087956021961</v>
      </c>
      <c r="S1133">
        <v>212.80087956021953</v>
      </c>
      <c r="T1133">
        <v>0.34027777777777779</v>
      </c>
      <c r="U1133">
        <v>41</v>
      </c>
      <c r="V1133">
        <v>0.68680555555555556</v>
      </c>
      <c r="W1133">
        <v>78</v>
      </c>
      <c r="X1133">
        <v>13.8</v>
      </c>
      <c r="Y1133">
        <v>40.5</v>
      </c>
      <c r="Z1133">
        <v>0.38333333333333336</v>
      </c>
      <c r="AA1133">
        <v>80</v>
      </c>
      <c r="AB1133">
        <v>16.399999999999999</v>
      </c>
      <c r="AD1133">
        <v>37</v>
      </c>
      <c r="AE1133">
        <v>39.5</v>
      </c>
      <c r="AF1133">
        <v>34.861233672775342</v>
      </c>
      <c r="AG1133">
        <v>36.623728042697877</v>
      </c>
      <c r="AH1133">
        <v>71.484961715473219</v>
      </c>
      <c r="AI1133">
        <v>4.8108502468429979</v>
      </c>
      <c r="AJ1133">
        <v>6.0062913990024507</v>
      </c>
      <c r="AK1133">
        <v>10.817141645845449</v>
      </c>
      <c r="AL1133">
        <v>148.18580302059652</v>
      </c>
      <c r="AM1133">
        <v>44.112871384940114</v>
      </c>
      <c r="AN1133">
        <v>2.976862188262988</v>
      </c>
      <c r="AO1133">
        <v>13.8</v>
      </c>
      <c r="AP1133">
        <v>15.13205209355807</v>
      </c>
      <c r="AQ1133">
        <v>22.423552908334013</v>
      </c>
      <c r="AR1133">
        <v>50.832222442879313</v>
      </c>
      <c r="AS1133">
        <v>-0.99429088809285537</v>
      </c>
      <c r="AT1133">
        <v>12.445459814867739</v>
      </c>
      <c r="AU1133">
        <v>28.212762906013296</v>
      </c>
    </row>
    <row r="1134" spans="1:48" x14ac:dyDescent="0.35">
      <c r="A1134">
        <v>1132</v>
      </c>
      <c r="B1134">
        <v>46083</v>
      </c>
      <c r="C1134" t="s">
        <v>16</v>
      </c>
      <c r="D1134" t="s">
        <v>460</v>
      </c>
      <c r="E1134" t="s">
        <v>333</v>
      </c>
      <c r="F1134" t="s">
        <v>461</v>
      </c>
      <c r="G1134" t="s">
        <v>462</v>
      </c>
      <c r="H1134" t="s">
        <v>22</v>
      </c>
      <c r="I1134" t="s">
        <v>23</v>
      </c>
      <c r="J1134" t="s">
        <v>303</v>
      </c>
      <c r="K1134" t="s">
        <v>459</v>
      </c>
      <c r="L1134">
        <v>30</v>
      </c>
      <c r="M1134">
        <v>65</v>
      </c>
      <c r="N1134">
        <v>2</v>
      </c>
      <c r="O1134">
        <v>2</v>
      </c>
      <c r="P1134">
        <v>56</v>
      </c>
      <c r="Q1134">
        <v>0.50019999999999998</v>
      </c>
      <c r="R1134">
        <v>482.40087956021961</v>
      </c>
      <c r="S1134">
        <v>222.80087956021964</v>
      </c>
      <c r="T1134">
        <v>0.34027777777777779</v>
      </c>
      <c r="U1134">
        <v>40.5</v>
      </c>
      <c r="V1134">
        <v>0.6875</v>
      </c>
      <c r="W1134">
        <v>78</v>
      </c>
      <c r="X1134">
        <v>14.3</v>
      </c>
      <c r="Y1134">
        <v>40</v>
      </c>
      <c r="Z1134">
        <v>0.3840277777777778</v>
      </c>
      <c r="AA1134">
        <v>81.5</v>
      </c>
      <c r="AB1134">
        <v>16.2</v>
      </c>
      <c r="AD1134">
        <v>37.5</v>
      </c>
      <c r="AE1134">
        <v>41.5</v>
      </c>
      <c r="AF1134">
        <v>35.361233672775342</v>
      </c>
      <c r="AG1134">
        <v>38.623728042697877</v>
      </c>
      <c r="AH1134">
        <v>73.984961715473219</v>
      </c>
      <c r="AI1134">
        <v>5.0566564152068745</v>
      </c>
      <c r="AJ1134">
        <v>6.2570439429170559</v>
      </c>
      <c r="AK1134">
        <v>11.313700358123931</v>
      </c>
      <c r="AL1134">
        <v>153.36821479869928</v>
      </c>
      <c r="AM1134">
        <v>46.185836096181227</v>
      </c>
      <c r="AN1134">
        <v>3.0114346806997543</v>
      </c>
      <c r="AO1134">
        <v>14.3</v>
      </c>
      <c r="AP1134">
        <v>15.291891886939753</v>
      </c>
      <c r="AQ1134">
        <v>23.452901595946628</v>
      </c>
      <c r="AR1134">
        <v>50.779424122811925</v>
      </c>
      <c r="AS1134">
        <v>-1.6720115153429993</v>
      </c>
      <c r="AT1134">
        <v>13.016766145293559</v>
      </c>
      <c r="AU1134">
        <v>28.183458924910145</v>
      </c>
    </row>
    <row r="1135" spans="1:48" x14ac:dyDescent="0.35">
      <c r="A1135">
        <v>1133</v>
      </c>
      <c r="B1135">
        <v>46083</v>
      </c>
      <c r="C1135" t="s">
        <v>16</v>
      </c>
      <c r="D1135" t="s">
        <v>464</v>
      </c>
      <c r="E1135" t="s">
        <v>333</v>
      </c>
      <c r="F1135" t="s">
        <v>438</v>
      </c>
      <c r="G1135" t="s">
        <v>439</v>
      </c>
      <c r="H1135" t="s">
        <v>22</v>
      </c>
      <c r="I1135" t="s">
        <v>23</v>
      </c>
      <c r="J1135" t="s">
        <v>303</v>
      </c>
      <c r="K1135" t="s">
        <v>463</v>
      </c>
      <c r="L1135">
        <v>30</v>
      </c>
      <c r="M1135">
        <v>65</v>
      </c>
      <c r="N1135">
        <v>2</v>
      </c>
      <c r="O1135">
        <v>1</v>
      </c>
      <c r="P1135">
        <v>57</v>
      </c>
      <c r="Q1135">
        <v>0.50019999999999998</v>
      </c>
      <c r="R1135">
        <v>479.37605197401308</v>
      </c>
      <c r="S1135">
        <v>198.17605197401309</v>
      </c>
      <c r="T1135">
        <v>0.34027777777777779</v>
      </c>
      <c r="U1135">
        <v>41</v>
      </c>
      <c r="V1135">
        <v>0.6875</v>
      </c>
      <c r="W1135">
        <v>78</v>
      </c>
      <c r="X1135">
        <v>13.2</v>
      </c>
      <c r="Y1135">
        <v>40</v>
      </c>
      <c r="Z1135">
        <v>0.38472222222222224</v>
      </c>
      <c r="AA1135">
        <v>76</v>
      </c>
      <c r="AB1135">
        <v>16</v>
      </c>
      <c r="AD1135">
        <v>37</v>
      </c>
      <c r="AE1135">
        <v>36</v>
      </c>
      <c r="AF1135">
        <v>34.861233672775342</v>
      </c>
      <c r="AG1135">
        <v>33.123728042697877</v>
      </c>
      <c r="AH1135">
        <v>67.984961715473219</v>
      </c>
      <c r="AI1135">
        <v>4.6016828448063452</v>
      </c>
      <c r="AJ1135">
        <v>5.29979648683166</v>
      </c>
      <c r="AK1135">
        <v>9.9014793316380043</v>
      </c>
      <c r="AL1135">
        <v>141.8196871444022</v>
      </c>
      <c r="AM1135">
        <v>41.340415558505242</v>
      </c>
      <c r="AN1135">
        <v>2.9149983610111923</v>
      </c>
      <c r="AO1135">
        <v>13.2</v>
      </c>
      <c r="AP1135">
        <v>14.564219912452273</v>
      </c>
      <c r="AQ1135">
        <v>20.654931114862539</v>
      </c>
      <c r="AR1135">
        <v>49.963046659827441</v>
      </c>
      <c r="AS1135">
        <v>1.429026334225012</v>
      </c>
      <c r="AT1135">
        <v>11.463844120498102</v>
      </c>
      <c r="AU1135">
        <v>27.7303553087762</v>
      </c>
    </row>
    <row r="1136" spans="1:48" x14ac:dyDescent="0.35">
      <c r="A1136">
        <v>1134</v>
      </c>
      <c r="B1136">
        <v>46083</v>
      </c>
      <c r="C1136" t="s">
        <v>16</v>
      </c>
      <c r="D1136" t="s">
        <v>464</v>
      </c>
      <c r="E1136" t="s">
        <v>333</v>
      </c>
      <c r="F1136" t="s">
        <v>438</v>
      </c>
      <c r="G1136" t="s">
        <v>439</v>
      </c>
      <c r="H1136" t="s">
        <v>22</v>
      </c>
      <c r="I1136" t="s">
        <v>23</v>
      </c>
      <c r="J1136" t="s">
        <v>303</v>
      </c>
      <c r="K1136" t="s">
        <v>463</v>
      </c>
      <c r="L1136">
        <v>30</v>
      </c>
      <c r="M1136">
        <v>65</v>
      </c>
      <c r="N1136">
        <v>2</v>
      </c>
      <c r="O1136">
        <v>2</v>
      </c>
      <c r="P1136">
        <v>58</v>
      </c>
      <c r="Q1136">
        <v>0.50009999999999999</v>
      </c>
      <c r="R1136">
        <v>479.28021509836844</v>
      </c>
      <c r="S1136">
        <v>205.48021509836838</v>
      </c>
      <c r="T1136">
        <v>0.34097222222222223</v>
      </c>
      <c r="U1136">
        <v>41</v>
      </c>
      <c r="V1136">
        <v>0.68819444444444444</v>
      </c>
      <c r="W1136">
        <v>78.5</v>
      </c>
      <c r="X1136">
        <v>13.4</v>
      </c>
      <c r="Y1136">
        <v>40</v>
      </c>
      <c r="Z1136">
        <v>0.38541666666666669</v>
      </c>
      <c r="AA1136">
        <v>77.5</v>
      </c>
      <c r="AB1136">
        <v>15.8</v>
      </c>
      <c r="AD1136">
        <v>37.5</v>
      </c>
      <c r="AE1136">
        <v>37.5</v>
      </c>
      <c r="AF1136">
        <v>35.361233672775342</v>
      </c>
      <c r="AG1136">
        <v>34.623728042697877</v>
      </c>
      <c r="AH1136">
        <v>69.984961715473219</v>
      </c>
      <c r="AI1136">
        <v>4.7384053121518956</v>
      </c>
      <c r="AJ1136">
        <v>5.4705490307462643</v>
      </c>
      <c r="AK1136">
        <v>10.20895434289816</v>
      </c>
      <c r="AL1136">
        <v>146.02096959314159</v>
      </c>
      <c r="AM1136">
        <v>42.872667935227661</v>
      </c>
      <c r="AN1136">
        <v>2.9360624062888934</v>
      </c>
      <c r="AO1136">
        <v>13.399999999999999</v>
      </c>
      <c r="AP1136">
        <v>14.587354329638831</v>
      </c>
      <c r="AQ1136">
        <v>21.300596230125738</v>
      </c>
      <c r="AR1136">
        <v>49.683393303880301</v>
      </c>
      <c r="AS1136">
        <v>1.0907061077434583</v>
      </c>
      <c r="AT1136">
        <v>11.822199430145913</v>
      </c>
      <c r="AU1136">
        <v>27.575142857932185</v>
      </c>
    </row>
    <row r="1137" spans="1:48" x14ac:dyDescent="0.35">
      <c r="A1137">
        <v>1135</v>
      </c>
      <c r="B1137">
        <v>46083</v>
      </c>
      <c r="C1137" t="s">
        <v>16</v>
      </c>
      <c r="D1137" t="s">
        <v>466</v>
      </c>
      <c r="E1137" t="s">
        <v>346</v>
      </c>
      <c r="F1137" t="s">
        <v>347</v>
      </c>
      <c r="G1137" t="s">
        <v>348</v>
      </c>
      <c r="H1137" t="s">
        <v>22</v>
      </c>
      <c r="I1137" t="s">
        <v>23</v>
      </c>
      <c r="J1137" t="s">
        <v>303</v>
      </c>
      <c r="K1137" t="s">
        <v>465</v>
      </c>
      <c r="L1137">
        <v>30</v>
      </c>
      <c r="M1137">
        <v>65</v>
      </c>
      <c r="N1137">
        <v>2</v>
      </c>
      <c r="O1137">
        <v>1</v>
      </c>
      <c r="P1137">
        <v>59</v>
      </c>
      <c r="Q1137">
        <v>0.5</v>
      </c>
      <c r="R1137">
        <v>481.53318595666548</v>
      </c>
      <c r="T1137">
        <v>0.34097222222222223</v>
      </c>
      <c r="U1137">
        <v>41</v>
      </c>
      <c r="V1137">
        <v>0.68958333333333333</v>
      </c>
      <c r="W1137">
        <v>73</v>
      </c>
      <c r="X1137">
        <v>13.9</v>
      </c>
      <c r="Y1137">
        <v>40</v>
      </c>
      <c r="Z1137">
        <v>0.38611111111111113</v>
      </c>
      <c r="AA1137">
        <v>75.5</v>
      </c>
      <c r="AB1137">
        <v>16.399999999999999</v>
      </c>
      <c r="AD1137">
        <v>32</v>
      </c>
      <c r="AE1137">
        <v>35.5</v>
      </c>
      <c r="AV1137" t="s">
        <v>649</v>
      </c>
    </row>
    <row r="1138" spans="1:48" x14ac:dyDescent="0.35">
      <c r="A1138">
        <v>1136</v>
      </c>
      <c r="B1138">
        <v>46083</v>
      </c>
      <c r="C1138" t="s">
        <v>16</v>
      </c>
      <c r="D1138" t="s">
        <v>466</v>
      </c>
      <c r="E1138" t="s">
        <v>346</v>
      </c>
      <c r="F1138" t="s">
        <v>347</v>
      </c>
      <c r="G1138" t="s">
        <v>348</v>
      </c>
      <c r="H1138" t="s">
        <v>22</v>
      </c>
      <c r="I1138" t="s">
        <v>23</v>
      </c>
      <c r="J1138" t="s">
        <v>303</v>
      </c>
      <c r="K1138" t="s">
        <v>465</v>
      </c>
      <c r="L1138">
        <v>30</v>
      </c>
      <c r="M1138">
        <v>65</v>
      </c>
      <c r="N1138">
        <v>2</v>
      </c>
      <c r="O1138">
        <v>2</v>
      </c>
      <c r="P1138">
        <v>60</v>
      </c>
      <c r="Q1138">
        <v>0.5</v>
      </c>
      <c r="R1138">
        <v>481.53318595666548</v>
      </c>
      <c r="S1138">
        <v>209.1331859566655</v>
      </c>
      <c r="T1138">
        <v>0.34097222222222223</v>
      </c>
      <c r="U1138">
        <v>40.5</v>
      </c>
      <c r="V1138">
        <v>0.69027777777777777</v>
      </c>
      <c r="W1138">
        <v>72.5</v>
      </c>
      <c r="X1138">
        <v>14.1</v>
      </c>
      <c r="Y1138">
        <v>40</v>
      </c>
      <c r="Z1138">
        <v>0.38611111111111113</v>
      </c>
      <c r="AA1138">
        <v>75.5</v>
      </c>
      <c r="AB1138">
        <v>16.100000000000001</v>
      </c>
      <c r="AD1138">
        <v>32</v>
      </c>
      <c r="AE1138">
        <v>35.5</v>
      </c>
      <c r="AV1138" t="s">
        <v>661</v>
      </c>
    </row>
    <row r="1139" spans="1:48" x14ac:dyDescent="0.35">
      <c r="A1139">
        <v>1137</v>
      </c>
      <c r="B1139">
        <v>46083</v>
      </c>
      <c r="C1139" t="s">
        <v>16</v>
      </c>
      <c r="D1139" t="s">
        <v>468</v>
      </c>
      <c r="E1139" t="s">
        <v>212</v>
      </c>
      <c r="F1139" t="s">
        <v>469</v>
      </c>
      <c r="G1139" t="s">
        <v>470</v>
      </c>
      <c r="H1139" t="s">
        <v>22</v>
      </c>
      <c r="I1139" t="s">
        <v>23</v>
      </c>
      <c r="J1139" t="s">
        <v>303</v>
      </c>
      <c r="K1139" t="s">
        <v>467</v>
      </c>
      <c r="L1139">
        <v>30</v>
      </c>
      <c r="M1139">
        <v>65</v>
      </c>
      <c r="N1139">
        <v>2</v>
      </c>
      <c r="O1139">
        <v>1</v>
      </c>
      <c r="P1139">
        <v>61</v>
      </c>
      <c r="Q1139">
        <v>0.50009999999999999</v>
      </c>
      <c r="R1139">
        <v>475.07504399040425</v>
      </c>
      <c r="S1139">
        <v>241.17504399040425</v>
      </c>
      <c r="T1139">
        <v>0.34166666666666667</v>
      </c>
      <c r="U1139">
        <v>41.5</v>
      </c>
      <c r="V1139">
        <v>0.69027777777777777</v>
      </c>
      <c r="W1139">
        <v>80.5</v>
      </c>
      <c r="X1139">
        <v>15.6</v>
      </c>
      <c r="Y1139">
        <v>40</v>
      </c>
      <c r="Z1139">
        <v>0.38680555555555557</v>
      </c>
      <c r="AA1139">
        <v>79</v>
      </c>
      <c r="AB1139">
        <v>18.100000000000001</v>
      </c>
      <c r="AD1139">
        <v>39</v>
      </c>
      <c r="AE1139">
        <v>39</v>
      </c>
      <c r="AF1139">
        <v>36.861233672775342</v>
      </c>
      <c r="AG1139">
        <v>36.123728042697877</v>
      </c>
      <c r="AH1139">
        <v>72.984961715473219</v>
      </c>
      <c r="AI1139">
        <v>5.7503524529529537</v>
      </c>
      <c r="AJ1139">
        <v>6.5383947757283165</v>
      </c>
      <c r="AK1139">
        <v>12.28874722868127</v>
      </c>
      <c r="AL1139">
        <v>153.62827965542934</v>
      </c>
      <c r="AM1139">
        <v>50.765673137584464</v>
      </c>
      <c r="AN1139">
        <v>3.3044484551572189</v>
      </c>
      <c r="AO1139">
        <v>15.600000000000001</v>
      </c>
      <c r="AP1139">
        <v>16.837368876876436</v>
      </c>
      <c r="AQ1139">
        <v>25.866960144783953</v>
      </c>
      <c r="AR1139">
        <v>50.95364356674569</v>
      </c>
      <c r="AS1139">
        <v>1.2263529155013557</v>
      </c>
      <c r="AT1139">
        <v>14.356610405617115</v>
      </c>
      <c r="AU1139">
        <v>28.280153730470619</v>
      </c>
    </row>
    <row r="1140" spans="1:48" x14ac:dyDescent="0.35">
      <c r="A1140">
        <v>1138</v>
      </c>
      <c r="B1140">
        <v>46083</v>
      </c>
      <c r="C1140" t="s">
        <v>16</v>
      </c>
      <c r="D1140" t="s">
        <v>468</v>
      </c>
      <c r="E1140" t="s">
        <v>212</v>
      </c>
      <c r="F1140" t="s">
        <v>469</v>
      </c>
      <c r="G1140" t="s">
        <v>470</v>
      </c>
      <c r="H1140" t="s">
        <v>22</v>
      </c>
      <c r="I1140" t="s">
        <v>23</v>
      </c>
      <c r="J1140" t="s">
        <v>303</v>
      </c>
      <c r="K1140" t="s">
        <v>467</v>
      </c>
      <c r="L1140">
        <v>30</v>
      </c>
      <c r="M1140">
        <v>65</v>
      </c>
      <c r="N1140">
        <v>2</v>
      </c>
      <c r="O1140">
        <v>2</v>
      </c>
      <c r="P1140">
        <v>62</v>
      </c>
      <c r="Q1140">
        <v>0.50029999999999997</v>
      </c>
      <c r="R1140">
        <v>475.26503600959654</v>
      </c>
      <c r="S1140">
        <v>245.56503600959653</v>
      </c>
      <c r="T1140">
        <v>0.34166666666666667</v>
      </c>
      <c r="U1140">
        <v>41.5</v>
      </c>
      <c r="V1140">
        <v>0.69097222222222221</v>
      </c>
      <c r="W1140">
        <v>82</v>
      </c>
      <c r="X1140">
        <v>15.8</v>
      </c>
      <c r="Y1140">
        <v>40</v>
      </c>
      <c r="Z1140">
        <v>0.38680555555555557</v>
      </c>
      <c r="AA1140">
        <v>80.5</v>
      </c>
      <c r="AB1140">
        <v>18</v>
      </c>
      <c r="AD1140">
        <v>40.5</v>
      </c>
      <c r="AE1140">
        <v>40.5</v>
      </c>
      <c r="AF1140">
        <v>38.361233672775342</v>
      </c>
      <c r="AG1140">
        <v>37.623728042697877</v>
      </c>
      <c r="AH1140">
        <v>75.984961715473219</v>
      </c>
      <c r="AI1140">
        <v>6.0610749202985037</v>
      </c>
      <c r="AJ1140">
        <v>6.7722710476856181</v>
      </c>
      <c r="AK1140">
        <v>12.833345967984123</v>
      </c>
      <c r="AL1140">
        <v>159.87913260663032</v>
      </c>
      <c r="AM1140">
        <v>51.669072497190406</v>
      </c>
      <c r="AN1140">
        <v>3.2317583698879568</v>
      </c>
      <c r="AO1140">
        <v>15.799999999999999</v>
      </c>
      <c r="AP1140">
        <v>16.889323463817448</v>
      </c>
      <c r="AQ1140">
        <v>27.002503857079425</v>
      </c>
      <c r="AR1140">
        <v>52.260477210129395</v>
      </c>
      <c r="AS1140">
        <v>1.0995367232059732</v>
      </c>
      <c r="AT1140">
        <v>14.986856812026089</v>
      </c>
      <c r="AU1140">
        <v>29.005469012127175</v>
      </c>
    </row>
    <row r="1141" spans="1:48" x14ac:dyDescent="0.35">
      <c r="A1141">
        <v>1139</v>
      </c>
      <c r="B1141">
        <v>46083</v>
      </c>
      <c r="C1141" t="s">
        <v>16</v>
      </c>
      <c r="D1141" t="s">
        <v>472</v>
      </c>
      <c r="E1141" t="s">
        <v>346</v>
      </c>
      <c r="F1141" t="s">
        <v>347</v>
      </c>
      <c r="G1141" t="s">
        <v>348</v>
      </c>
      <c r="H1141" t="s">
        <v>22</v>
      </c>
      <c r="I1141" t="s">
        <v>23</v>
      </c>
      <c r="J1141" t="s">
        <v>303</v>
      </c>
      <c r="K1141" t="s">
        <v>471</v>
      </c>
      <c r="L1141">
        <v>30</v>
      </c>
      <c r="M1141">
        <v>65</v>
      </c>
      <c r="N1141">
        <v>2</v>
      </c>
      <c r="O1141">
        <v>1</v>
      </c>
      <c r="P1141">
        <v>63</v>
      </c>
      <c r="Q1141">
        <v>0.50029999999999997</v>
      </c>
      <c r="R1141">
        <v>478.29455392429736</v>
      </c>
      <c r="S1141">
        <v>325.29455392429736</v>
      </c>
      <c r="T1141">
        <v>0.34166666666666667</v>
      </c>
      <c r="U1141">
        <v>40</v>
      </c>
      <c r="V1141">
        <v>0.69097222222222221</v>
      </c>
      <c r="W1141">
        <v>70.5</v>
      </c>
      <c r="X1141">
        <v>14.2</v>
      </c>
      <c r="Y1141">
        <v>40</v>
      </c>
      <c r="Z1141">
        <v>0.38750000000000001</v>
      </c>
      <c r="AA1141">
        <v>71</v>
      </c>
      <c r="AB1141">
        <v>16.100000000000001</v>
      </c>
      <c r="AD1141">
        <v>30.5</v>
      </c>
      <c r="AE1141">
        <v>31</v>
      </c>
      <c r="AV1141" t="s">
        <v>629</v>
      </c>
    </row>
    <row r="1142" spans="1:48" x14ac:dyDescent="0.35">
      <c r="A1142">
        <v>1140</v>
      </c>
      <c r="B1142">
        <v>46083</v>
      </c>
      <c r="C1142" t="s">
        <v>16</v>
      </c>
      <c r="D1142" t="s">
        <v>472</v>
      </c>
      <c r="E1142" t="s">
        <v>346</v>
      </c>
      <c r="F1142" t="s">
        <v>347</v>
      </c>
      <c r="G1142" t="s">
        <v>348</v>
      </c>
      <c r="H1142" t="s">
        <v>22</v>
      </c>
      <c r="I1142" t="s">
        <v>23</v>
      </c>
      <c r="J1142" t="s">
        <v>303</v>
      </c>
      <c r="K1142" t="s">
        <v>471</v>
      </c>
      <c r="L1142">
        <v>30</v>
      </c>
      <c r="M1142">
        <v>65</v>
      </c>
      <c r="N1142">
        <v>2</v>
      </c>
      <c r="O1142">
        <v>2</v>
      </c>
      <c r="P1142">
        <v>64</v>
      </c>
      <c r="Q1142">
        <v>0.50039999999999996</v>
      </c>
      <c r="R1142">
        <v>478.39015547415232</v>
      </c>
      <c r="S1142">
        <v>168.89015547415232</v>
      </c>
      <c r="T1142">
        <v>0.34236111111111112</v>
      </c>
      <c r="U1142">
        <v>40.5</v>
      </c>
      <c r="V1142">
        <v>0.69166666666666665</v>
      </c>
      <c r="W1142">
        <v>70.5</v>
      </c>
      <c r="X1142">
        <v>13.9</v>
      </c>
      <c r="Y1142">
        <v>40</v>
      </c>
      <c r="Z1142">
        <v>0.38750000000000001</v>
      </c>
      <c r="AA1142">
        <v>73</v>
      </c>
      <c r="AB1142">
        <v>15.9</v>
      </c>
      <c r="AD1142">
        <v>30</v>
      </c>
      <c r="AE1142">
        <v>33</v>
      </c>
      <c r="AV1142" t="s">
        <v>629</v>
      </c>
    </row>
    <row r="1143" spans="1:48" x14ac:dyDescent="0.35">
      <c r="A1143">
        <v>1141</v>
      </c>
      <c r="B1143">
        <v>46083</v>
      </c>
      <c r="C1143" t="s">
        <v>473</v>
      </c>
      <c r="D1143" t="s">
        <v>475</v>
      </c>
      <c r="E1143" t="s">
        <v>592</v>
      </c>
      <c r="F1143" t="s">
        <v>106</v>
      </c>
      <c r="G1143" t="s">
        <v>476</v>
      </c>
      <c r="H1143" t="s">
        <v>108</v>
      </c>
      <c r="I1143" t="s">
        <v>109</v>
      </c>
      <c r="J1143" t="s">
        <v>110</v>
      </c>
      <c r="K1143" t="s">
        <v>474</v>
      </c>
      <c r="L1143">
        <v>30</v>
      </c>
      <c r="M1143">
        <v>65</v>
      </c>
      <c r="N1143">
        <v>2</v>
      </c>
      <c r="O1143">
        <v>1</v>
      </c>
      <c r="P1143">
        <v>65</v>
      </c>
      <c r="Q1143">
        <v>0.5</v>
      </c>
      <c r="R1143">
        <v>465.45000000000005</v>
      </c>
      <c r="S1143">
        <v>252.54999999999995</v>
      </c>
      <c r="T1143">
        <v>0.34236111111111112</v>
      </c>
      <c r="U1143">
        <v>40.5</v>
      </c>
      <c r="V1143">
        <v>0.69166666666666665</v>
      </c>
      <c r="W1143">
        <v>81</v>
      </c>
      <c r="X1143">
        <v>13.2</v>
      </c>
      <c r="Y1143">
        <v>40.5</v>
      </c>
      <c r="Z1143">
        <v>0.38819444444444445</v>
      </c>
      <c r="AA1143">
        <v>95.5</v>
      </c>
      <c r="AB1143">
        <v>15.4</v>
      </c>
      <c r="AD1143">
        <v>40.5</v>
      </c>
      <c r="AE1143">
        <v>55</v>
      </c>
      <c r="AF1143">
        <v>38.361233672775342</v>
      </c>
      <c r="AG1143">
        <v>52.123728042697877</v>
      </c>
      <c r="AH1143">
        <v>90.484961715473219</v>
      </c>
      <c r="AI1143">
        <v>5.0636828448063449</v>
      </c>
      <c r="AJ1143">
        <v>8.0270541185754727</v>
      </c>
      <c r="AK1143">
        <v>13.090736963381818</v>
      </c>
      <c r="AL1143">
        <v>194.40318340417488</v>
      </c>
      <c r="AM1143">
        <v>54.259318938661494</v>
      </c>
      <c r="AN1143">
        <v>2.7910715240631316</v>
      </c>
      <c r="AO1143">
        <v>13.2</v>
      </c>
      <c r="AP1143">
        <v>14.467306738267935</v>
      </c>
      <c r="AQ1143">
        <v>28.12490485203957</v>
      </c>
      <c r="AR1143">
        <v>51.834238619607284</v>
      </c>
      <c r="AS1143">
        <v>0.55801743604984855</v>
      </c>
      <c r="AT1143">
        <v>15.609808782931305</v>
      </c>
      <c r="AU1143">
        <v>28.768899220017335</v>
      </c>
    </row>
    <row r="1144" spans="1:48" x14ac:dyDescent="0.35">
      <c r="A1144">
        <v>1142</v>
      </c>
      <c r="B1144">
        <v>46083</v>
      </c>
      <c r="C1144" t="s">
        <v>473</v>
      </c>
      <c r="D1144" t="s">
        <v>475</v>
      </c>
      <c r="E1144" t="s">
        <v>592</v>
      </c>
      <c r="F1144" t="s">
        <v>106</v>
      </c>
      <c r="G1144" t="s">
        <v>476</v>
      </c>
      <c r="H1144" t="s">
        <v>108</v>
      </c>
      <c r="I1144" t="s">
        <v>109</v>
      </c>
      <c r="J1144" t="s">
        <v>110</v>
      </c>
      <c r="K1144" t="s">
        <v>474</v>
      </c>
      <c r="L1144">
        <v>30</v>
      </c>
      <c r="M1144">
        <v>65</v>
      </c>
      <c r="N1144">
        <v>2</v>
      </c>
      <c r="O1144">
        <v>2</v>
      </c>
      <c r="P1144">
        <v>66</v>
      </c>
      <c r="Q1144">
        <v>0.50009999999999999</v>
      </c>
      <c r="R1144">
        <v>465.54309000000006</v>
      </c>
      <c r="S1144">
        <v>236.14309000000011</v>
      </c>
      <c r="T1144">
        <v>0.34236111111111112</v>
      </c>
      <c r="U1144">
        <v>41</v>
      </c>
      <c r="V1144">
        <v>0.69236111111111109</v>
      </c>
      <c r="W1144">
        <v>83.5</v>
      </c>
      <c r="X1144">
        <v>13</v>
      </c>
      <c r="Y1144">
        <v>41</v>
      </c>
      <c r="Z1144">
        <v>0.3888888888888889</v>
      </c>
      <c r="AA1144">
        <v>97</v>
      </c>
      <c r="AB1144">
        <v>15.2</v>
      </c>
      <c r="AD1144">
        <v>42.5</v>
      </c>
      <c r="AE1144">
        <v>56</v>
      </c>
      <c r="AF1144">
        <v>40.361233672775342</v>
      </c>
      <c r="AG1144">
        <v>53.123728042697877</v>
      </c>
      <c r="AH1144">
        <v>93.484961715473219</v>
      </c>
      <c r="AI1144">
        <v>5.2469603774607947</v>
      </c>
      <c r="AJ1144">
        <v>8.0748066624900776</v>
      </c>
      <c r="AK1144">
        <v>13.321767039950872</v>
      </c>
      <c r="AL1144">
        <v>200.8083971678609</v>
      </c>
      <c r="AM1144">
        <v>50.72421760142548</v>
      </c>
      <c r="AN1144">
        <v>2.5260008205246423</v>
      </c>
      <c r="AO1144">
        <v>13</v>
      </c>
      <c r="AP1144">
        <v>14.250171145704083</v>
      </c>
      <c r="AQ1144">
        <v>28.615540271365365</v>
      </c>
      <c r="AR1144">
        <v>56.413960874107588</v>
      </c>
      <c r="AS1144">
        <v>0.75934020884803166</v>
      </c>
      <c r="AT1144">
        <v>15.882119929159185</v>
      </c>
      <c r="AU1144">
        <v>31.310724305214034</v>
      </c>
    </row>
    <row r="1145" spans="1:48" x14ac:dyDescent="0.35">
      <c r="A1145">
        <v>1143</v>
      </c>
      <c r="B1145">
        <v>46083</v>
      </c>
      <c r="C1145" t="s">
        <v>667</v>
      </c>
      <c r="D1145" t="s">
        <v>479</v>
      </c>
      <c r="E1145" t="s">
        <v>105</v>
      </c>
      <c r="F1145" t="s">
        <v>188</v>
      </c>
      <c r="G1145" t="s">
        <v>189</v>
      </c>
      <c r="H1145" t="s">
        <v>108</v>
      </c>
      <c r="I1145" t="s">
        <v>109</v>
      </c>
      <c r="J1145" t="s">
        <v>110</v>
      </c>
      <c r="K1145" t="s">
        <v>478</v>
      </c>
      <c r="L1145">
        <v>30</v>
      </c>
      <c r="M1145">
        <v>65</v>
      </c>
      <c r="N1145">
        <v>2</v>
      </c>
      <c r="O1145">
        <v>1</v>
      </c>
      <c r="P1145">
        <v>67</v>
      </c>
      <c r="Q1145">
        <v>0.50029999999999997</v>
      </c>
      <c r="R1145">
        <v>491.34463000000005</v>
      </c>
      <c r="S1145">
        <v>212.24463000000003</v>
      </c>
      <c r="T1145">
        <v>0.34236111111111112</v>
      </c>
      <c r="U1145">
        <v>40.5</v>
      </c>
      <c r="V1145">
        <v>0.69305555555555554</v>
      </c>
      <c r="W1145">
        <v>76.5</v>
      </c>
      <c r="X1145">
        <v>13.4</v>
      </c>
      <c r="Y1145">
        <v>40</v>
      </c>
      <c r="Z1145">
        <v>0.3888888888888889</v>
      </c>
      <c r="AA1145">
        <v>99.5</v>
      </c>
      <c r="AB1145">
        <v>15.5</v>
      </c>
      <c r="AC1145" t="s">
        <v>551</v>
      </c>
      <c r="AD1145">
        <v>36</v>
      </c>
      <c r="AE1145">
        <v>59.5</v>
      </c>
      <c r="AF1145">
        <v>33.861233672775342</v>
      </c>
      <c r="AG1145">
        <v>56.623728042697877</v>
      </c>
      <c r="AH1145">
        <v>90.484961715473219</v>
      </c>
      <c r="AI1145">
        <v>4.537405312151896</v>
      </c>
      <c r="AJ1145">
        <v>8.7766778466181705</v>
      </c>
      <c r="AK1145">
        <v>13.314083158770067</v>
      </c>
      <c r="AL1145">
        <v>184.15783177578069</v>
      </c>
      <c r="AM1145">
        <v>43.196692716474786</v>
      </c>
      <c r="AN1145">
        <v>2.3456343018345502</v>
      </c>
      <c r="AO1145">
        <v>13.4</v>
      </c>
      <c r="AP1145">
        <v>14.714139130252089</v>
      </c>
      <c r="AQ1145">
        <v>27.097239586743964</v>
      </c>
      <c r="AR1145">
        <v>62.729894079157923</v>
      </c>
      <c r="AS1145">
        <v>0.58460801742154844</v>
      </c>
      <c r="AT1145">
        <v>15.039436781016374</v>
      </c>
      <c r="AU1145">
        <v>34.816176506217758</v>
      </c>
    </row>
    <row r="1146" spans="1:48" x14ac:dyDescent="0.35">
      <c r="A1146">
        <v>1144</v>
      </c>
      <c r="B1146">
        <v>46083</v>
      </c>
      <c r="C1146" t="s">
        <v>667</v>
      </c>
      <c r="D1146" t="s">
        <v>479</v>
      </c>
      <c r="E1146" t="s">
        <v>105</v>
      </c>
      <c r="F1146" t="s">
        <v>188</v>
      </c>
      <c r="G1146" t="s">
        <v>189</v>
      </c>
      <c r="H1146" t="s">
        <v>108</v>
      </c>
      <c r="I1146" t="s">
        <v>109</v>
      </c>
      <c r="J1146" t="s">
        <v>110</v>
      </c>
      <c r="K1146" t="s">
        <v>478</v>
      </c>
      <c r="L1146">
        <v>30</v>
      </c>
      <c r="M1146">
        <v>65</v>
      </c>
      <c r="N1146">
        <v>2</v>
      </c>
      <c r="O1146">
        <v>2</v>
      </c>
      <c r="P1146">
        <v>68</v>
      </c>
      <c r="Q1146">
        <v>0.50009999999999999</v>
      </c>
      <c r="R1146">
        <v>491.14821000000006</v>
      </c>
      <c r="S1146">
        <v>225.04821000000004</v>
      </c>
      <c r="T1146">
        <v>0.34305555555555556</v>
      </c>
      <c r="U1146">
        <v>40.5</v>
      </c>
      <c r="V1146">
        <v>0.69374999999999998</v>
      </c>
      <c r="W1146">
        <v>75.5</v>
      </c>
      <c r="X1146">
        <v>13</v>
      </c>
      <c r="Y1146">
        <v>40</v>
      </c>
      <c r="Z1146">
        <v>0.38958333333333334</v>
      </c>
      <c r="AA1146">
        <v>97</v>
      </c>
      <c r="AB1146">
        <v>15.1</v>
      </c>
      <c r="AD1146">
        <v>35</v>
      </c>
      <c r="AE1146">
        <v>57</v>
      </c>
      <c r="AF1146">
        <v>32.861233672775342</v>
      </c>
      <c r="AG1146">
        <v>54.123728042697877</v>
      </c>
      <c r="AH1146">
        <v>86.984961715473219</v>
      </c>
      <c r="AI1146">
        <v>4.2719603774607942</v>
      </c>
      <c r="AJ1146">
        <v>8.1726829344473799</v>
      </c>
      <c r="AK1146">
        <v>12.444643311908173</v>
      </c>
      <c r="AL1146">
        <v>177.10532166140484</v>
      </c>
      <c r="AM1146">
        <v>45.820834814810787</v>
      </c>
      <c r="AN1146">
        <v>2.5872082433757928</v>
      </c>
      <c r="AO1146">
        <v>13</v>
      </c>
      <c r="AP1146">
        <v>14.306660676145901</v>
      </c>
      <c r="AQ1146">
        <v>25.337857409493914</v>
      </c>
      <c r="AR1146">
        <v>55.297677381695998</v>
      </c>
      <c r="AS1146">
        <v>0.47242647739115967</v>
      </c>
      <c r="AT1146">
        <v>14.062949233504579</v>
      </c>
      <c r="AU1146">
        <v>30.691167654062415</v>
      </c>
    </row>
    <row r="1147" spans="1:48" x14ac:dyDescent="0.35">
      <c r="A1147">
        <v>1145</v>
      </c>
      <c r="B1147">
        <v>46083</v>
      </c>
      <c r="C1147" t="s">
        <v>320</v>
      </c>
      <c r="D1147" t="s">
        <v>122</v>
      </c>
      <c r="E1147" t="s">
        <v>123</v>
      </c>
      <c r="F1147" t="s">
        <v>545</v>
      </c>
      <c r="G1147" t="s">
        <v>125</v>
      </c>
      <c r="H1147" t="s">
        <v>108</v>
      </c>
      <c r="I1147" t="s">
        <v>109</v>
      </c>
      <c r="J1147" t="s">
        <v>110</v>
      </c>
      <c r="K1147" t="s">
        <v>121</v>
      </c>
      <c r="L1147">
        <v>30</v>
      </c>
      <c r="M1147">
        <v>65</v>
      </c>
      <c r="N1147">
        <v>2</v>
      </c>
      <c r="O1147">
        <v>1</v>
      </c>
      <c r="P1147">
        <v>69</v>
      </c>
      <c r="Q1147">
        <v>0.50029999999999997</v>
      </c>
      <c r="R1147">
        <v>468.78109999999992</v>
      </c>
      <c r="S1147">
        <v>196.6810999999999</v>
      </c>
      <c r="T1147">
        <v>0.34305555555555556</v>
      </c>
      <c r="U1147">
        <v>41</v>
      </c>
      <c r="V1147">
        <v>0.69374999999999998</v>
      </c>
      <c r="W1147">
        <v>69</v>
      </c>
      <c r="X1147">
        <v>14.7</v>
      </c>
      <c r="Y1147">
        <v>40.5</v>
      </c>
      <c r="Z1147">
        <v>0.38958333333333334</v>
      </c>
      <c r="AA1147">
        <v>85</v>
      </c>
      <c r="AB1147">
        <v>16.600000000000001</v>
      </c>
      <c r="AD1147">
        <v>28</v>
      </c>
      <c r="AE1147">
        <v>44.5</v>
      </c>
      <c r="AF1147">
        <v>25.861233672775342</v>
      </c>
      <c r="AG1147">
        <v>41.623728042697877</v>
      </c>
      <c r="AH1147">
        <v>67.484961715473219</v>
      </c>
      <c r="AI1147">
        <v>3.8016013498979748</v>
      </c>
      <c r="AJ1147">
        <v>6.909538855087848</v>
      </c>
      <c r="AK1147">
        <v>10.711140204985822</v>
      </c>
      <c r="AL1147">
        <v>143.95836716854248</v>
      </c>
      <c r="AM1147">
        <v>41.955851035803263</v>
      </c>
      <c r="AN1147">
        <v>2.9144433811674531</v>
      </c>
      <c r="AO1147">
        <v>14.7</v>
      </c>
      <c r="AP1147">
        <v>15.87189194852863</v>
      </c>
      <c r="AQ1147">
        <v>22.848916487857178</v>
      </c>
      <c r="AR1147">
        <v>54.459428002923659</v>
      </c>
      <c r="AS1147">
        <v>0.45144245374151004</v>
      </c>
      <c r="AT1147">
        <v>12.681543960734572</v>
      </c>
      <c r="AU1147">
        <v>30.225924746259359</v>
      </c>
    </row>
    <row r="1148" spans="1:48" x14ac:dyDescent="0.35">
      <c r="A1148">
        <v>1146</v>
      </c>
      <c r="B1148">
        <v>46083</v>
      </c>
      <c r="C1148" t="s">
        <v>320</v>
      </c>
      <c r="D1148" t="s">
        <v>122</v>
      </c>
      <c r="E1148" t="s">
        <v>123</v>
      </c>
      <c r="F1148" t="s">
        <v>545</v>
      </c>
      <c r="G1148" t="s">
        <v>125</v>
      </c>
      <c r="H1148" t="s">
        <v>108</v>
      </c>
      <c r="I1148" t="s">
        <v>109</v>
      </c>
      <c r="J1148" t="s">
        <v>110</v>
      </c>
      <c r="K1148" t="s">
        <v>121</v>
      </c>
      <c r="L1148">
        <v>30</v>
      </c>
      <c r="M1148">
        <v>65</v>
      </c>
      <c r="N1148">
        <v>2</v>
      </c>
      <c r="O1148">
        <v>2</v>
      </c>
      <c r="P1148">
        <v>70</v>
      </c>
      <c r="Q1148">
        <v>0.50029999999999997</v>
      </c>
      <c r="R1148">
        <v>468.78109999999992</v>
      </c>
      <c r="S1148">
        <v>152.18109999999996</v>
      </c>
      <c r="T1148">
        <v>0.34305555555555556</v>
      </c>
      <c r="U1148">
        <v>41</v>
      </c>
      <c r="V1148">
        <v>0.69444444444444442</v>
      </c>
      <c r="W1148">
        <v>68.5</v>
      </c>
      <c r="X1148">
        <v>14.8</v>
      </c>
      <c r="Y1148">
        <v>40</v>
      </c>
      <c r="Z1148">
        <v>0.39027777777777778</v>
      </c>
      <c r="AA1148">
        <v>85</v>
      </c>
      <c r="AB1148">
        <v>16.600000000000001</v>
      </c>
      <c r="AD1148">
        <v>27.5</v>
      </c>
      <c r="AE1148">
        <v>45</v>
      </c>
      <c r="AF1148">
        <v>25.361233672775342</v>
      </c>
      <c r="AG1148">
        <v>42.123728042697877</v>
      </c>
      <c r="AH1148">
        <v>67.484961715473219</v>
      </c>
      <c r="AI1148">
        <v>3.7534625835707511</v>
      </c>
      <c r="AJ1148">
        <v>6.9925388550878482</v>
      </c>
      <c r="AK1148">
        <v>10.746001438658599</v>
      </c>
      <c r="AL1148">
        <v>143.95836716854248</v>
      </c>
      <c r="AM1148">
        <v>32.463147511706417</v>
      </c>
      <c r="AN1148">
        <v>2.255037213203416</v>
      </c>
      <c r="AO1148">
        <v>14.800000000000002</v>
      </c>
      <c r="AP1148">
        <v>15.923549729442481</v>
      </c>
      <c r="AQ1148">
        <v>22.923282185776262</v>
      </c>
      <c r="AR1148">
        <v>70.613245919884932</v>
      </c>
      <c r="AS1148">
        <v>0.95498846465504617</v>
      </c>
      <c r="AT1148">
        <v>12.722818209683435</v>
      </c>
      <c r="AU1148">
        <v>39.1915731679915</v>
      </c>
    </row>
    <row r="1149" spans="1:48" x14ac:dyDescent="0.35">
      <c r="A1149">
        <v>1147</v>
      </c>
      <c r="B1149">
        <v>46083</v>
      </c>
      <c r="D1149" t="s">
        <v>537</v>
      </c>
      <c r="E1149" t="s">
        <v>538</v>
      </c>
      <c r="F1149">
        <v>24</v>
      </c>
      <c r="G1149" t="s">
        <v>537</v>
      </c>
      <c r="K1149" t="s">
        <v>539</v>
      </c>
      <c r="L1149">
        <v>30</v>
      </c>
      <c r="M1149">
        <v>65</v>
      </c>
      <c r="N1149">
        <v>2</v>
      </c>
      <c r="O1149">
        <v>1</v>
      </c>
      <c r="P1149">
        <v>71</v>
      </c>
      <c r="T1149">
        <v>0.34375</v>
      </c>
      <c r="U1149">
        <v>40</v>
      </c>
      <c r="V1149">
        <v>0.69444444444444442</v>
      </c>
      <c r="W1149">
        <v>42.5</v>
      </c>
      <c r="Y1149">
        <v>40</v>
      </c>
      <c r="Z1149">
        <v>0.39097222222222222</v>
      </c>
      <c r="AA1149">
        <v>43</v>
      </c>
      <c r="AD1149">
        <v>2.5</v>
      </c>
      <c r="AE1149">
        <v>3</v>
      </c>
    </row>
    <row r="1150" spans="1:48" x14ac:dyDescent="0.35">
      <c r="A1150">
        <v>1148</v>
      </c>
      <c r="B1150">
        <v>46083</v>
      </c>
      <c r="D1150" t="s">
        <v>537</v>
      </c>
      <c r="E1150" t="s">
        <v>538</v>
      </c>
      <c r="F1150">
        <v>24</v>
      </c>
      <c r="G1150" t="s">
        <v>537</v>
      </c>
      <c r="K1150" t="s">
        <v>539</v>
      </c>
      <c r="L1150">
        <v>30</v>
      </c>
      <c r="M1150">
        <v>65</v>
      </c>
      <c r="N1150">
        <v>2</v>
      </c>
      <c r="O1150">
        <v>2</v>
      </c>
      <c r="P1150">
        <v>72</v>
      </c>
      <c r="T1150">
        <v>0.34375</v>
      </c>
      <c r="U1150">
        <v>40</v>
      </c>
      <c r="V1150">
        <v>0.69513888888888886</v>
      </c>
      <c r="W1150">
        <v>43</v>
      </c>
      <c r="Y1150">
        <v>40</v>
      </c>
      <c r="Z1150">
        <v>0.39166666666666666</v>
      </c>
      <c r="AA1150">
        <v>43.5</v>
      </c>
      <c r="AD1150">
        <v>3</v>
      </c>
      <c r="AE1150">
        <v>3.5</v>
      </c>
    </row>
    <row r="1151" spans="1:48" x14ac:dyDescent="0.35">
      <c r="A1151">
        <v>1149</v>
      </c>
      <c r="B1151">
        <v>46085</v>
      </c>
      <c r="D1151" t="s">
        <v>537</v>
      </c>
      <c r="E1151" t="s">
        <v>538</v>
      </c>
      <c r="F1151">
        <v>24</v>
      </c>
      <c r="G1151" t="s">
        <v>537</v>
      </c>
      <c r="K1151" t="s">
        <v>539</v>
      </c>
      <c r="L1151">
        <v>30</v>
      </c>
      <c r="M1151">
        <v>71</v>
      </c>
      <c r="N1151">
        <v>3</v>
      </c>
      <c r="O1151">
        <v>1</v>
      </c>
      <c r="P1151">
        <v>73</v>
      </c>
      <c r="T1151">
        <v>0.3298611111111111</v>
      </c>
      <c r="U1151">
        <v>40</v>
      </c>
      <c r="V1151">
        <v>0.66319444444444442</v>
      </c>
      <c r="W1151">
        <v>43</v>
      </c>
      <c r="Y1151">
        <v>39.5</v>
      </c>
      <c r="Z1151">
        <v>0.33333333333333331</v>
      </c>
      <c r="AA1151">
        <v>44.5</v>
      </c>
      <c r="AB1151" t="s">
        <v>601</v>
      </c>
      <c r="AD1151">
        <v>3</v>
      </c>
      <c r="AE1151">
        <v>5</v>
      </c>
    </row>
    <row r="1152" spans="1:48" x14ac:dyDescent="0.35">
      <c r="A1152">
        <v>1150</v>
      </c>
      <c r="B1152">
        <v>46085</v>
      </c>
      <c r="D1152" t="s">
        <v>537</v>
      </c>
      <c r="E1152" t="s">
        <v>538</v>
      </c>
      <c r="F1152">
        <v>24</v>
      </c>
      <c r="G1152" t="s">
        <v>537</v>
      </c>
      <c r="K1152" t="s">
        <v>539</v>
      </c>
      <c r="L1152">
        <v>30</v>
      </c>
      <c r="M1152">
        <v>71</v>
      </c>
      <c r="N1152">
        <v>3</v>
      </c>
      <c r="O1152">
        <v>2</v>
      </c>
      <c r="P1152">
        <v>74</v>
      </c>
      <c r="T1152">
        <v>0.33055555555555555</v>
      </c>
      <c r="U1152">
        <v>40</v>
      </c>
      <c r="V1152">
        <v>0.66319444444444442</v>
      </c>
      <c r="W1152">
        <v>43.5</v>
      </c>
      <c r="Y1152">
        <v>40</v>
      </c>
      <c r="Z1152">
        <v>0.33402777777777776</v>
      </c>
      <c r="AA1152">
        <v>44.5</v>
      </c>
      <c r="AD1152">
        <v>3.5</v>
      </c>
      <c r="AE1152">
        <v>4.5</v>
      </c>
    </row>
    <row r="1153" spans="1:47" x14ac:dyDescent="0.35">
      <c r="A1153">
        <v>1151</v>
      </c>
      <c r="B1153">
        <v>46085</v>
      </c>
      <c r="C1153" t="s">
        <v>16</v>
      </c>
      <c r="D1153" t="s">
        <v>385</v>
      </c>
      <c r="E1153" t="s">
        <v>226</v>
      </c>
      <c r="F1153" t="s">
        <v>231</v>
      </c>
      <c r="G1153" t="s">
        <v>232</v>
      </c>
      <c r="H1153" t="s">
        <v>22</v>
      </c>
      <c r="I1153" t="s">
        <v>23</v>
      </c>
      <c r="J1153" t="s">
        <v>215</v>
      </c>
      <c r="K1153" t="s">
        <v>384</v>
      </c>
      <c r="L1153">
        <v>30</v>
      </c>
      <c r="M1153">
        <v>71</v>
      </c>
      <c r="N1153">
        <v>3</v>
      </c>
      <c r="O1153">
        <v>1</v>
      </c>
      <c r="P1153">
        <v>75</v>
      </c>
      <c r="Q1153">
        <v>0.5</v>
      </c>
      <c r="R1153">
        <v>463.01466270807452</v>
      </c>
      <c r="S1153">
        <v>198.11466270807449</v>
      </c>
      <c r="T1153">
        <v>0.33055555555555555</v>
      </c>
      <c r="U1153">
        <v>41</v>
      </c>
      <c r="V1153">
        <v>0.66319444444444442</v>
      </c>
      <c r="W1153">
        <v>84.5</v>
      </c>
      <c r="X1153">
        <v>13</v>
      </c>
      <c r="Y1153">
        <v>40</v>
      </c>
      <c r="Z1153">
        <v>0.3347222222222222</v>
      </c>
      <c r="AA1153">
        <v>83</v>
      </c>
      <c r="AB1153">
        <v>15.5</v>
      </c>
      <c r="AD1153">
        <v>43.5</v>
      </c>
      <c r="AE1153">
        <v>43</v>
      </c>
      <c r="AF1153">
        <v>40.033723538635904</v>
      </c>
      <c r="AG1153">
        <v>38.685592064046816</v>
      </c>
      <c r="AH1153">
        <v>78.719315602682713</v>
      </c>
      <c r="AI1153">
        <v>5.2043840600226678</v>
      </c>
      <c r="AJ1153">
        <v>5.9962667699272565</v>
      </c>
      <c r="AK1153">
        <v>11.200650829949925</v>
      </c>
      <c r="AL1153">
        <v>170.01473590980927</v>
      </c>
      <c r="AM1153">
        <v>42.787988948199576</v>
      </c>
      <c r="AN1153">
        <v>2.5167223722829579</v>
      </c>
      <c r="AO1153">
        <v>13.000000000000002</v>
      </c>
      <c r="AP1153">
        <v>14.22859274651546</v>
      </c>
      <c r="AQ1153">
        <v>24.190704381670539</v>
      </c>
      <c r="AR1153">
        <v>56.536203211037865</v>
      </c>
      <c r="AS1153">
        <v>-3.5466942646196649</v>
      </c>
      <c r="AT1153">
        <v>13.426259456124411</v>
      </c>
      <c r="AU1153">
        <v>31.378570917129665</v>
      </c>
    </row>
    <row r="1154" spans="1:47" x14ac:dyDescent="0.35">
      <c r="A1154">
        <v>1152</v>
      </c>
      <c r="B1154">
        <v>46085</v>
      </c>
      <c r="C1154" t="s">
        <v>16</v>
      </c>
      <c r="D1154" t="s">
        <v>385</v>
      </c>
      <c r="E1154" t="s">
        <v>226</v>
      </c>
      <c r="F1154" t="s">
        <v>231</v>
      </c>
      <c r="G1154" t="s">
        <v>232</v>
      </c>
      <c r="H1154" t="s">
        <v>22</v>
      </c>
      <c r="I1154" t="s">
        <v>23</v>
      </c>
      <c r="J1154" t="s">
        <v>215</v>
      </c>
      <c r="K1154" t="s">
        <v>384</v>
      </c>
      <c r="L1154">
        <v>30</v>
      </c>
      <c r="M1154">
        <v>71</v>
      </c>
      <c r="N1154">
        <v>3</v>
      </c>
      <c r="O1154">
        <v>2</v>
      </c>
      <c r="P1154">
        <v>76</v>
      </c>
      <c r="Q1154">
        <v>0.5</v>
      </c>
      <c r="R1154">
        <v>463.01466270807452</v>
      </c>
      <c r="S1154">
        <v>130.4146627080745</v>
      </c>
      <c r="T1154">
        <v>0.33055555555555555</v>
      </c>
      <c r="U1154">
        <v>41.5</v>
      </c>
      <c r="V1154">
        <v>0.66388888888888886</v>
      </c>
      <c r="W1154">
        <v>85</v>
      </c>
      <c r="X1154">
        <v>13.6</v>
      </c>
      <c r="Y1154">
        <v>40.5</v>
      </c>
      <c r="Z1154">
        <v>0.3347222222222222</v>
      </c>
      <c r="AA1154">
        <v>83</v>
      </c>
      <c r="AB1154">
        <v>17</v>
      </c>
      <c r="AD1154">
        <v>43.5</v>
      </c>
      <c r="AE1154">
        <v>42.5</v>
      </c>
      <c r="AF1154">
        <v>40.033723538635904</v>
      </c>
      <c r="AG1154">
        <v>38.185592064046816</v>
      </c>
      <c r="AH1154">
        <v>78.219315602682713</v>
      </c>
      <c r="AI1154">
        <v>5.4445864012544831</v>
      </c>
      <c r="AJ1154">
        <v>6.4915506508879588</v>
      </c>
      <c r="AK1154">
        <v>11.936137052142442</v>
      </c>
      <c r="AL1154">
        <v>168.93485650150802</v>
      </c>
      <c r="AM1154">
        <v>28.16642175980061</v>
      </c>
      <c r="AN1154">
        <v>1.6672948580951483</v>
      </c>
      <c r="AO1154">
        <v>13.600000000000001</v>
      </c>
      <c r="AP1154">
        <v>15.259833150129307</v>
      </c>
      <c r="AQ1154">
        <v>25.779177234540498</v>
      </c>
      <c r="AR1154">
        <v>91.524501956200879</v>
      </c>
      <c r="AS1154">
        <v>-0.40431376661337143</v>
      </c>
      <c r="AT1154">
        <v>14.307889371696527</v>
      </c>
      <c r="AU1154">
        <v>50.797682054583468</v>
      </c>
    </row>
    <row r="1155" spans="1:47" x14ac:dyDescent="0.35">
      <c r="A1155">
        <v>1153</v>
      </c>
      <c r="B1155">
        <v>46085</v>
      </c>
      <c r="C1155" t="s">
        <v>16</v>
      </c>
      <c r="D1155" t="s">
        <v>389</v>
      </c>
      <c r="E1155" t="s">
        <v>226</v>
      </c>
      <c r="F1155" t="s">
        <v>227</v>
      </c>
      <c r="G1155" t="s">
        <v>228</v>
      </c>
      <c r="H1155" t="s">
        <v>22</v>
      </c>
      <c r="I1155" t="s">
        <v>23</v>
      </c>
      <c r="J1155" t="s">
        <v>215</v>
      </c>
      <c r="K1155" t="s">
        <v>388</v>
      </c>
      <c r="L1155">
        <v>30</v>
      </c>
      <c r="M1155">
        <v>71</v>
      </c>
      <c r="N1155">
        <v>3</v>
      </c>
      <c r="O1155">
        <v>1</v>
      </c>
      <c r="P1155">
        <v>77</v>
      </c>
      <c r="Q1155">
        <v>0.50049999999999994</v>
      </c>
      <c r="R1155">
        <v>463.37775353051234</v>
      </c>
      <c r="S1155">
        <v>147.47775353051236</v>
      </c>
      <c r="T1155">
        <v>0.33194444444444443</v>
      </c>
      <c r="U1155">
        <v>46</v>
      </c>
      <c r="V1155">
        <v>0.6645833333333333</v>
      </c>
      <c r="W1155">
        <v>83</v>
      </c>
      <c r="X1155">
        <v>11.5</v>
      </c>
      <c r="Y1155">
        <v>45.5</v>
      </c>
      <c r="Z1155">
        <v>0.33541666666666664</v>
      </c>
      <c r="AA1155">
        <v>80</v>
      </c>
      <c r="AB1155">
        <v>16.100000000000001</v>
      </c>
      <c r="AC1155" t="s">
        <v>602</v>
      </c>
      <c r="AD1155">
        <v>37</v>
      </c>
      <c r="AE1155">
        <v>34.5</v>
      </c>
      <c r="AF1155">
        <v>33.533723538635904</v>
      </c>
      <c r="AG1155">
        <v>30.185592064046812</v>
      </c>
      <c r="AH1155">
        <v>63.719315602682713</v>
      </c>
      <c r="AI1155">
        <v>3.8563782069431292</v>
      </c>
      <c r="AJ1155">
        <v>4.859880322311537</v>
      </c>
      <c r="AK1155">
        <v>8.7162585292546666</v>
      </c>
      <c r="AL1155">
        <v>137.51051947833088</v>
      </c>
      <c r="AM1155">
        <v>31.826679724451058</v>
      </c>
      <c r="AN1155">
        <v>2.3144905455372351</v>
      </c>
      <c r="AO1155">
        <v>11.5</v>
      </c>
      <c r="AP1155">
        <v>13.679146498691669</v>
      </c>
      <c r="AQ1155">
        <v>18.81026541055282</v>
      </c>
      <c r="AR1155">
        <v>59.102192165215747</v>
      </c>
      <c r="AS1155">
        <v>-0.29994981779921359</v>
      </c>
      <c r="AT1155">
        <v>10.440022739974646</v>
      </c>
      <c r="AU1155">
        <v>32.80273918097096</v>
      </c>
    </row>
    <row r="1156" spans="1:47" x14ac:dyDescent="0.35">
      <c r="A1156">
        <v>1154</v>
      </c>
      <c r="B1156">
        <v>46085</v>
      </c>
      <c r="C1156" t="s">
        <v>16</v>
      </c>
      <c r="D1156" t="s">
        <v>389</v>
      </c>
      <c r="E1156" t="s">
        <v>226</v>
      </c>
      <c r="F1156" t="s">
        <v>227</v>
      </c>
      <c r="G1156" t="s">
        <v>228</v>
      </c>
      <c r="H1156" t="s">
        <v>22</v>
      </c>
      <c r="I1156" t="s">
        <v>23</v>
      </c>
      <c r="J1156" t="s">
        <v>215</v>
      </c>
      <c r="K1156" t="s">
        <v>388</v>
      </c>
      <c r="L1156">
        <v>30</v>
      </c>
      <c r="M1156">
        <v>71</v>
      </c>
      <c r="N1156">
        <v>3</v>
      </c>
      <c r="O1156">
        <v>2</v>
      </c>
      <c r="P1156">
        <v>78</v>
      </c>
      <c r="Q1156">
        <v>0.50039999999999996</v>
      </c>
      <c r="R1156">
        <v>463.28517056277394</v>
      </c>
      <c r="S1156">
        <v>117.0851705627739</v>
      </c>
      <c r="T1156">
        <v>0.33194444444444443</v>
      </c>
      <c r="U1156">
        <v>41.5</v>
      </c>
      <c r="V1156">
        <v>0.6645833333333333</v>
      </c>
      <c r="W1156">
        <v>83</v>
      </c>
      <c r="X1156">
        <v>11.4</v>
      </c>
      <c r="Y1156">
        <v>40.5</v>
      </c>
      <c r="Z1156">
        <v>0.33611111111111114</v>
      </c>
      <c r="AA1156">
        <v>80.5</v>
      </c>
      <c r="AB1156">
        <v>15.7</v>
      </c>
      <c r="AD1156">
        <v>41.5</v>
      </c>
      <c r="AE1156">
        <v>40</v>
      </c>
      <c r="AF1156">
        <v>38.033723538635904</v>
      </c>
      <c r="AG1156">
        <v>35.685592064046816</v>
      </c>
      <c r="AH1156">
        <v>73.719315602682713</v>
      </c>
      <c r="AI1156">
        <v>4.3358444834044931</v>
      </c>
      <c r="AJ1156">
        <v>5.6026379540553499</v>
      </c>
      <c r="AK1156">
        <v>9.9384824374598431</v>
      </c>
      <c r="AL1156">
        <v>159.12297713551342</v>
      </c>
      <c r="AM1156">
        <v>25.272807765580996</v>
      </c>
      <c r="AN1156">
        <v>1.5882563423922109</v>
      </c>
      <c r="AO1156">
        <v>11.4</v>
      </c>
      <c r="AP1156">
        <v>13.481517504888735</v>
      </c>
      <c r="AQ1156">
        <v>21.452192016824341</v>
      </c>
      <c r="AR1156">
        <v>84.882503819144532</v>
      </c>
      <c r="AS1156">
        <v>-0.2396766838993622</v>
      </c>
      <c r="AT1156">
        <v>11.906337714528114</v>
      </c>
      <c r="AU1156">
        <v>47.111258175054608</v>
      </c>
    </row>
    <row r="1157" spans="1:47" x14ac:dyDescent="0.35">
      <c r="A1157">
        <v>1155</v>
      </c>
      <c r="B1157">
        <v>46085</v>
      </c>
      <c r="C1157" t="s">
        <v>16</v>
      </c>
      <c r="D1157" t="s">
        <v>391</v>
      </c>
      <c r="E1157" t="s">
        <v>290</v>
      </c>
      <c r="F1157" t="s">
        <v>314</v>
      </c>
      <c r="G1157" t="s">
        <v>315</v>
      </c>
      <c r="H1157" t="s">
        <v>22</v>
      </c>
      <c r="I1157" t="s">
        <v>23</v>
      </c>
      <c r="J1157" t="s">
        <v>215</v>
      </c>
      <c r="K1157" t="s">
        <v>390</v>
      </c>
      <c r="L1157">
        <v>30</v>
      </c>
      <c r="M1157">
        <v>71</v>
      </c>
      <c r="N1157">
        <v>3</v>
      </c>
      <c r="O1157">
        <v>1</v>
      </c>
      <c r="P1157">
        <v>79</v>
      </c>
      <c r="Q1157">
        <v>0.50019999999999998</v>
      </c>
      <c r="R1157">
        <v>474.01452999999987</v>
      </c>
      <c r="S1157">
        <v>182.91452999999984</v>
      </c>
      <c r="T1157">
        <v>0.33263888888888887</v>
      </c>
      <c r="U1157">
        <v>41</v>
      </c>
      <c r="V1157">
        <v>0.66527777777777775</v>
      </c>
      <c r="W1157">
        <v>76.5</v>
      </c>
      <c r="X1157">
        <v>14</v>
      </c>
      <c r="Y1157">
        <v>40</v>
      </c>
      <c r="Z1157">
        <v>0.33611111111111114</v>
      </c>
      <c r="AA1157">
        <v>89.5</v>
      </c>
      <c r="AB1157">
        <v>16.600000000000001</v>
      </c>
      <c r="AD1157">
        <v>35.5</v>
      </c>
      <c r="AE1157">
        <v>49.5</v>
      </c>
      <c r="AF1157">
        <v>32.033723538635904</v>
      </c>
      <c r="AG1157">
        <v>45.185592064046816</v>
      </c>
      <c r="AH1157">
        <v>77.219315602682713</v>
      </c>
      <c r="AI1157">
        <v>4.4847212954090274</v>
      </c>
      <c r="AJ1157">
        <v>7.5008082826317715</v>
      </c>
      <c r="AK1157">
        <v>11.985529578040799</v>
      </c>
      <c r="AL1157">
        <v>162.90495483900617</v>
      </c>
      <c r="AM1157">
        <v>38.58838040260072</v>
      </c>
      <c r="AN1157">
        <v>2.3687665265145799</v>
      </c>
      <c r="AO1157">
        <v>14.000000000000002</v>
      </c>
      <c r="AP1157">
        <v>15.521413890418376</v>
      </c>
      <c r="AQ1157">
        <v>25.285152288561285</v>
      </c>
      <c r="AR1157">
        <v>65.525300685740007</v>
      </c>
      <c r="AS1157">
        <v>-0.41303975920481789</v>
      </c>
      <c r="AT1157">
        <v>14.033696979533669</v>
      </c>
      <c r="AU1157">
        <v>36.367675536306912</v>
      </c>
    </row>
    <row r="1158" spans="1:47" x14ac:dyDescent="0.35">
      <c r="A1158">
        <v>1156</v>
      </c>
      <c r="B1158">
        <v>46085</v>
      </c>
      <c r="C1158" t="s">
        <v>16</v>
      </c>
      <c r="D1158" t="s">
        <v>391</v>
      </c>
      <c r="E1158" t="s">
        <v>290</v>
      </c>
      <c r="F1158" t="s">
        <v>314</v>
      </c>
      <c r="G1158" t="s">
        <v>315</v>
      </c>
      <c r="H1158" t="s">
        <v>22</v>
      </c>
      <c r="I1158" t="s">
        <v>23</v>
      </c>
      <c r="J1158" t="s">
        <v>215</v>
      </c>
      <c r="K1158" t="s">
        <v>390</v>
      </c>
      <c r="L1158">
        <v>30</v>
      </c>
      <c r="M1158">
        <v>71</v>
      </c>
      <c r="N1158">
        <v>3</v>
      </c>
      <c r="O1158">
        <v>2</v>
      </c>
      <c r="P1158">
        <v>80</v>
      </c>
      <c r="Q1158">
        <v>0.50029999999999997</v>
      </c>
      <c r="R1158">
        <v>474.10929499999986</v>
      </c>
      <c r="S1158">
        <v>253.60929499999983</v>
      </c>
      <c r="T1158">
        <v>0.33333333333333331</v>
      </c>
      <c r="U1158">
        <v>40</v>
      </c>
      <c r="V1158">
        <v>0.66527777777777775</v>
      </c>
      <c r="W1158">
        <v>77</v>
      </c>
      <c r="X1158">
        <v>14.4</v>
      </c>
      <c r="Y1158">
        <v>40</v>
      </c>
      <c r="Z1158">
        <v>0.33680555555555558</v>
      </c>
      <c r="AA1158">
        <v>88.5</v>
      </c>
      <c r="AB1158">
        <v>16.8</v>
      </c>
      <c r="AD1158">
        <v>37</v>
      </c>
      <c r="AE1158">
        <v>48.5</v>
      </c>
      <c r="AF1158">
        <v>33.533723538635904</v>
      </c>
      <c r="AG1158">
        <v>44.185592064046816</v>
      </c>
      <c r="AH1158">
        <v>77.719315602682713</v>
      </c>
      <c r="AI1158">
        <v>4.8288561895635711</v>
      </c>
      <c r="AJ1158">
        <v>7.4231794667598656</v>
      </c>
      <c r="AK1158">
        <v>12.252035656323436</v>
      </c>
      <c r="AL1158">
        <v>163.92700253363043</v>
      </c>
      <c r="AM1158">
        <v>53.491736541465599</v>
      </c>
      <c r="AN1158">
        <v>3.2631436990066054</v>
      </c>
      <c r="AO1158">
        <v>14.400000000000002</v>
      </c>
      <c r="AP1158">
        <v>15.764466736889947</v>
      </c>
      <c r="AQ1158">
        <v>25.842217787194912</v>
      </c>
      <c r="AR1158">
        <v>48.31067274692532</v>
      </c>
      <c r="AS1158">
        <v>5.3451877881853198</v>
      </c>
      <c r="AT1158">
        <v>14.342877969086727</v>
      </c>
      <c r="AU1158">
        <v>26.813259199331565</v>
      </c>
    </row>
    <row r="1159" spans="1:47" x14ac:dyDescent="0.35">
      <c r="A1159">
        <v>1157</v>
      </c>
      <c r="B1159">
        <v>46085</v>
      </c>
      <c r="C1159" t="s">
        <v>16</v>
      </c>
      <c r="D1159" t="s">
        <v>393</v>
      </c>
      <c r="E1159" t="s">
        <v>226</v>
      </c>
      <c r="F1159" t="s">
        <v>227</v>
      </c>
      <c r="G1159" t="s">
        <v>228</v>
      </c>
      <c r="H1159" t="s">
        <v>22</v>
      </c>
      <c r="I1159" t="s">
        <v>23</v>
      </c>
      <c r="J1159" t="s">
        <v>215</v>
      </c>
      <c r="K1159" t="s">
        <v>392</v>
      </c>
      <c r="L1159">
        <v>30</v>
      </c>
      <c r="M1159">
        <v>71</v>
      </c>
      <c r="N1159">
        <v>3</v>
      </c>
      <c r="O1159">
        <v>1</v>
      </c>
      <c r="P1159">
        <v>81</v>
      </c>
      <c r="Q1159">
        <v>0.5</v>
      </c>
      <c r="R1159">
        <v>467.80642839444914</v>
      </c>
      <c r="S1159">
        <v>209.40642839444916</v>
      </c>
      <c r="T1159">
        <v>0.33333333333333331</v>
      </c>
      <c r="U1159">
        <v>42</v>
      </c>
      <c r="V1159">
        <v>0.66597222222222219</v>
      </c>
      <c r="W1159">
        <v>82</v>
      </c>
      <c r="X1159">
        <v>12.3</v>
      </c>
      <c r="Y1159">
        <v>40.5</v>
      </c>
      <c r="Z1159">
        <v>0.33680555555555558</v>
      </c>
      <c r="AA1159">
        <v>75</v>
      </c>
      <c r="AB1159">
        <v>16.2</v>
      </c>
      <c r="AC1159" t="s">
        <v>603</v>
      </c>
      <c r="AD1159">
        <v>40</v>
      </c>
      <c r="AE1159">
        <v>34.5</v>
      </c>
      <c r="AF1159">
        <v>36.533723538635904</v>
      </c>
      <c r="AG1159">
        <v>30.185592064046812</v>
      </c>
      <c r="AH1159">
        <v>66.719315602682713</v>
      </c>
      <c r="AI1159">
        <v>4.4936479952522168</v>
      </c>
      <c r="AJ1159">
        <v>4.890065914375584</v>
      </c>
      <c r="AK1159">
        <v>9.3837139096278008</v>
      </c>
      <c r="AL1159">
        <v>142.62163055704258</v>
      </c>
      <c r="AM1159">
        <v>44.763478157653708</v>
      </c>
      <c r="AN1159">
        <v>3.1386177526381753</v>
      </c>
      <c r="AO1159">
        <v>12.300000000000002</v>
      </c>
      <c r="AP1159">
        <v>14.064463678716889</v>
      </c>
      <c r="AQ1159">
        <v>20.058967427689041</v>
      </c>
      <c r="AR1159">
        <v>44.811011684665836</v>
      </c>
      <c r="AS1159">
        <v>-1.0809360861443742</v>
      </c>
      <c r="AT1159">
        <v>11.133073963326373</v>
      </c>
      <c r="AU1159">
        <v>24.870886762008301</v>
      </c>
    </row>
    <row r="1160" spans="1:47" x14ac:dyDescent="0.35">
      <c r="A1160">
        <v>1158</v>
      </c>
      <c r="B1160">
        <v>46085</v>
      </c>
      <c r="C1160" t="s">
        <v>16</v>
      </c>
      <c r="D1160" t="s">
        <v>393</v>
      </c>
      <c r="E1160" t="s">
        <v>226</v>
      </c>
      <c r="F1160" t="s">
        <v>227</v>
      </c>
      <c r="G1160" t="s">
        <v>228</v>
      </c>
      <c r="H1160" t="s">
        <v>22</v>
      </c>
      <c r="I1160" t="s">
        <v>23</v>
      </c>
      <c r="J1160" t="s">
        <v>215</v>
      </c>
      <c r="K1160" t="s">
        <v>392</v>
      </c>
      <c r="L1160">
        <v>30</v>
      </c>
      <c r="M1160">
        <v>71</v>
      </c>
      <c r="N1160">
        <v>3</v>
      </c>
      <c r="O1160">
        <v>2</v>
      </c>
      <c r="P1160">
        <v>82</v>
      </c>
      <c r="Q1160">
        <v>0.50060000000000004</v>
      </c>
      <c r="R1160">
        <v>468.36779610852255</v>
      </c>
      <c r="S1160">
        <v>137.96779610852252</v>
      </c>
      <c r="T1160">
        <v>0.33333333333333331</v>
      </c>
      <c r="U1160">
        <v>41</v>
      </c>
      <c r="V1160">
        <v>0.66597222222222219</v>
      </c>
      <c r="W1160">
        <v>81</v>
      </c>
      <c r="X1160">
        <v>12.5</v>
      </c>
      <c r="Y1160">
        <v>40.5</v>
      </c>
      <c r="Z1160">
        <v>0.33750000000000002</v>
      </c>
      <c r="AA1160">
        <v>74.5</v>
      </c>
      <c r="AB1160">
        <v>16.5</v>
      </c>
      <c r="AD1160">
        <v>40</v>
      </c>
      <c r="AE1160">
        <v>34</v>
      </c>
      <c r="AF1160">
        <v>36.533723538635904</v>
      </c>
      <c r="AG1160">
        <v>29.685592064046812</v>
      </c>
      <c r="AH1160">
        <v>66.219315602682713</v>
      </c>
      <c r="AI1160">
        <v>4.566715442329488</v>
      </c>
      <c r="AJ1160">
        <v>4.8981226905677246</v>
      </c>
      <c r="AK1160">
        <v>9.4648381328972135</v>
      </c>
      <c r="AL1160">
        <v>141.38315262678617</v>
      </c>
      <c r="AM1160">
        <v>29.457148261439155</v>
      </c>
      <c r="AN1160">
        <v>2.0834977657626697</v>
      </c>
      <c r="AO1160">
        <v>12.5</v>
      </c>
      <c r="AP1160">
        <v>14.293168159100951</v>
      </c>
      <c r="AQ1160">
        <v>20.208131753584901</v>
      </c>
      <c r="AR1160">
        <v>68.601792591166529</v>
      </c>
      <c r="AS1160">
        <v>-0.24395671724299062</v>
      </c>
      <c r="AT1160">
        <v>11.215862744896256</v>
      </c>
      <c r="AU1160">
        <v>38.075181770322175</v>
      </c>
    </row>
    <row r="1161" spans="1:47" x14ac:dyDescent="0.35">
      <c r="A1161">
        <v>1159</v>
      </c>
      <c r="B1161">
        <v>46085</v>
      </c>
      <c r="C1161" t="s">
        <v>16</v>
      </c>
      <c r="D1161" t="s">
        <v>395</v>
      </c>
      <c r="E1161" t="s">
        <v>240</v>
      </c>
      <c r="F1161" t="s">
        <v>396</v>
      </c>
      <c r="G1161" t="s">
        <v>397</v>
      </c>
      <c r="H1161" t="s">
        <v>22</v>
      </c>
      <c r="I1161" t="s">
        <v>23</v>
      </c>
      <c r="J1161" t="s">
        <v>215</v>
      </c>
      <c r="K1161" t="s">
        <v>394</v>
      </c>
      <c r="L1161">
        <v>30</v>
      </c>
      <c r="M1161">
        <v>71</v>
      </c>
      <c r="N1161">
        <v>3</v>
      </c>
      <c r="O1161">
        <v>1</v>
      </c>
      <c r="P1161">
        <v>83</v>
      </c>
      <c r="Q1161">
        <v>0.50039999999999996</v>
      </c>
      <c r="R1161">
        <v>473.51285362117977</v>
      </c>
      <c r="S1161">
        <v>122.21285362117982</v>
      </c>
      <c r="T1161">
        <v>0.33333333333333331</v>
      </c>
      <c r="U1161">
        <v>41.5</v>
      </c>
      <c r="V1161">
        <v>0.66736111111111107</v>
      </c>
      <c r="W1161">
        <v>85</v>
      </c>
      <c r="X1161">
        <v>13</v>
      </c>
      <c r="Y1161">
        <v>40.5</v>
      </c>
      <c r="Z1161">
        <v>0.33819444444444446</v>
      </c>
      <c r="AA1161">
        <v>79.5</v>
      </c>
      <c r="AB1161">
        <v>17.100000000000001</v>
      </c>
      <c r="AF1161">
        <v>40.033723538635904</v>
      </c>
      <c r="AG1161">
        <v>34.685592064046816</v>
      </c>
      <c r="AH1161">
        <v>74.719315602682713</v>
      </c>
      <c r="AI1161">
        <v>5.2043840600226678</v>
      </c>
      <c r="AJ1161">
        <v>5.9312362429520062</v>
      </c>
      <c r="AK1161">
        <v>11.135620302974674</v>
      </c>
      <c r="AL1161">
        <v>157.79786130675924</v>
      </c>
      <c r="AM1161">
        <v>25.809828114814525</v>
      </c>
      <c r="AN1161">
        <v>1.6356259775054993</v>
      </c>
      <c r="AO1161">
        <v>13.000000000000002</v>
      </c>
      <c r="AP1161">
        <v>14.903268603513363</v>
      </c>
      <c r="AQ1161">
        <v>23.51703912114581</v>
      </c>
      <c r="AR1161">
        <v>91.116604948048135</v>
      </c>
      <c r="AS1161">
        <v>-0.5081621962827727</v>
      </c>
      <c r="AT1161">
        <v>13.052363581424872</v>
      </c>
      <c r="AU1161">
        <v>50.57129215801703</v>
      </c>
    </row>
    <row r="1162" spans="1:47" x14ac:dyDescent="0.35">
      <c r="A1162">
        <v>1160</v>
      </c>
      <c r="B1162">
        <v>46085</v>
      </c>
      <c r="C1162" t="s">
        <v>16</v>
      </c>
      <c r="D1162" t="s">
        <v>395</v>
      </c>
      <c r="E1162" t="s">
        <v>240</v>
      </c>
      <c r="F1162" t="s">
        <v>396</v>
      </c>
      <c r="G1162" t="s">
        <v>397</v>
      </c>
      <c r="H1162" t="s">
        <v>22</v>
      </c>
      <c r="I1162" t="s">
        <v>23</v>
      </c>
      <c r="J1162" t="s">
        <v>215</v>
      </c>
      <c r="K1162" t="s">
        <v>394</v>
      </c>
      <c r="L1162">
        <v>30</v>
      </c>
      <c r="M1162">
        <v>71</v>
      </c>
      <c r="N1162">
        <v>3</v>
      </c>
      <c r="O1162">
        <v>2</v>
      </c>
      <c r="P1162">
        <v>84</v>
      </c>
      <c r="Q1162">
        <v>0.50009999999999999</v>
      </c>
      <c r="R1162">
        <v>473.22897301349332</v>
      </c>
      <c r="S1162">
        <v>99.828973013493226</v>
      </c>
      <c r="T1162">
        <v>0.33402777777777776</v>
      </c>
      <c r="U1162">
        <v>42</v>
      </c>
      <c r="V1162">
        <v>0.66736111111111107</v>
      </c>
      <c r="W1162">
        <v>83.5</v>
      </c>
      <c r="X1162">
        <v>13.1</v>
      </c>
      <c r="Y1162">
        <v>40.5</v>
      </c>
      <c r="Z1162">
        <v>0.33819444444444446</v>
      </c>
      <c r="AA1162">
        <v>80.5</v>
      </c>
      <c r="AB1162">
        <v>17</v>
      </c>
    </row>
    <row r="1163" spans="1:47" x14ac:dyDescent="0.35">
      <c r="A1163">
        <v>1161</v>
      </c>
      <c r="B1163">
        <v>46085</v>
      </c>
      <c r="C1163" t="s">
        <v>16</v>
      </c>
      <c r="D1163" t="s">
        <v>399</v>
      </c>
      <c r="E1163" t="s">
        <v>240</v>
      </c>
      <c r="F1163" t="s">
        <v>400</v>
      </c>
      <c r="G1163" t="s">
        <v>401</v>
      </c>
      <c r="H1163" t="s">
        <v>22</v>
      </c>
      <c r="I1163" t="s">
        <v>23</v>
      </c>
      <c r="J1163" t="s">
        <v>215</v>
      </c>
      <c r="K1163" t="s">
        <v>398</v>
      </c>
      <c r="L1163">
        <v>30</v>
      </c>
      <c r="M1163">
        <v>71</v>
      </c>
      <c r="N1163">
        <v>3</v>
      </c>
      <c r="O1163">
        <v>1</v>
      </c>
      <c r="P1163">
        <v>85</v>
      </c>
      <c r="Q1163">
        <v>0.50029999999999997</v>
      </c>
      <c r="R1163">
        <v>477.57158397910206</v>
      </c>
      <c r="S1163">
        <v>74.37158397910207</v>
      </c>
      <c r="T1163">
        <v>0.33402777777777776</v>
      </c>
      <c r="U1163">
        <v>40.5</v>
      </c>
      <c r="V1163">
        <v>0.66805555555555551</v>
      </c>
      <c r="W1163">
        <v>68</v>
      </c>
      <c r="X1163">
        <v>13.1</v>
      </c>
      <c r="Y1163">
        <v>40</v>
      </c>
      <c r="Z1163">
        <v>0.33888888888888891</v>
      </c>
      <c r="AA1163">
        <v>54.5</v>
      </c>
      <c r="AB1163">
        <v>15.2</v>
      </c>
      <c r="AD1163">
        <v>27.5</v>
      </c>
      <c r="AE1163">
        <v>14.5</v>
      </c>
      <c r="AF1163">
        <v>24.0337235386359</v>
      </c>
      <c r="AG1163">
        <v>10.185592064046812</v>
      </c>
      <c r="AH1163">
        <v>34.219315602682713</v>
      </c>
      <c r="AI1163">
        <v>3.1484177835613032</v>
      </c>
      <c r="AJ1163">
        <v>1.5482099937351155</v>
      </c>
      <c r="AK1163">
        <v>4.6966277772964187</v>
      </c>
      <c r="AL1163">
        <v>71.652746416713313</v>
      </c>
      <c r="AM1163">
        <v>15.572866241211806</v>
      </c>
      <c r="AN1163">
        <v>2.1733802289509119</v>
      </c>
      <c r="AO1163">
        <v>13.100000000000001</v>
      </c>
      <c r="AP1163">
        <v>13.725078057751142</v>
      </c>
      <c r="AQ1163">
        <v>9.8343953762163903</v>
      </c>
      <c r="AR1163">
        <v>63.150837000004472</v>
      </c>
      <c r="AS1163">
        <v>-9.3896231096642427E-2</v>
      </c>
      <c r="AT1163">
        <v>5.4582595790488204</v>
      </c>
      <c r="AU1163">
        <v>35.049807110037086</v>
      </c>
    </row>
    <row r="1164" spans="1:47" x14ac:dyDescent="0.35">
      <c r="A1164">
        <v>1162</v>
      </c>
      <c r="B1164">
        <v>46085</v>
      </c>
      <c r="C1164" t="s">
        <v>16</v>
      </c>
      <c r="D1164" t="s">
        <v>399</v>
      </c>
      <c r="E1164" t="s">
        <v>240</v>
      </c>
      <c r="F1164" t="s">
        <v>400</v>
      </c>
      <c r="G1164" t="s">
        <v>401</v>
      </c>
      <c r="H1164" t="s">
        <v>22</v>
      </c>
      <c r="I1164" t="s">
        <v>23</v>
      </c>
      <c r="J1164" t="s">
        <v>215</v>
      </c>
      <c r="K1164" t="s">
        <v>398</v>
      </c>
      <c r="L1164">
        <v>30</v>
      </c>
      <c r="M1164">
        <v>71</v>
      </c>
      <c r="N1164">
        <v>3</v>
      </c>
      <c r="O1164">
        <v>2</v>
      </c>
      <c r="P1164">
        <v>86</v>
      </c>
      <c r="Q1164">
        <v>0.50009999999999999</v>
      </c>
      <c r="R1164">
        <v>477.38066989396157</v>
      </c>
      <c r="S1164">
        <v>58.280669893961544</v>
      </c>
      <c r="T1164">
        <v>0.33402777777777776</v>
      </c>
      <c r="U1164">
        <v>40.5</v>
      </c>
      <c r="V1164">
        <v>0.66805555555555551</v>
      </c>
      <c r="W1164">
        <v>69</v>
      </c>
      <c r="X1164">
        <v>12.7</v>
      </c>
      <c r="Y1164">
        <v>40</v>
      </c>
      <c r="Z1164">
        <v>0.33958333333333335</v>
      </c>
      <c r="AA1164">
        <v>54.5</v>
      </c>
      <c r="AB1164">
        <v>14.1</v>
      </c>
      <c r="AD1164">
        <v>28.5</v>
      </c>
      <c r="AE1164">
        <v>14.5</v>
      </c>
      <c r="AF1164">
        <v>25.0337235386359</v>
      </c>
      <c r="AG1164">
        <v>10.185592064046812</v>
      </c>
      <c r="AH1164">
        <v>35.219315602682713</v>
      </c>
      <c r="AI1164">
        <v>3.1792828894067595</v>
      </c>
      <c r="AJ1164">
        <v>1.4361684810306004</v>
      </c>
      <c r="AK1164">
        <v>4.6154513704373601</v>
      </c>
      <c r="AL1164">
        <v>73.776166116038638</v>
      </c>
      <c r="AM1164">
        <v>12.208426852915341</v>
      </c>
      <c r="AN1164">
        <v>1.6547928003894037</v>
      </c>
      <c r="AO1164">
        <v>12.700000000000001</v>
      </c>
      <c r="AP1164">
        <v>13.104886598323887</v>
      </c>
      <c r="AQ1164">
        <v>9.6682829060979145</v>
      </c>
      <c r="AR1164">
        <v>79.193519546616713</v>
      </c>
      <c r="AS1164">
        <v>-8.2422239358438218E-2</v>
      </c>
      <c r="AT1164">
        <v>5.3660642842148976</v>
      </c>
      <c r="AU1164">
        <v>43.953773478468236</v>
      </c>
    </row>
    <row r="1165" spans="1:47" x14ac:dyDescent="0.35">
      <c r="A1165">
        <v>1163</v>
      </c>
      <c r="B1165">
        <v>46085</v>
      </c>
      <c r="C1165" t="s">
        <v>16</v>
      </c>
      <c r="D1165" t="s">
        <v>403</v>
      </c>
      <c r="E1165" t="s">
        <v>212</v>
      </c>
      <c r="F1165" t="s">
        <v>404</v>
      </c>
      <c r="G1165" t="s">
        <v>405</v>
      </c>
      <c r="H1165" t="s">
        <v>22</v>
      </c>
      <c r="I1165" t="s">
        <v>23</v>
      </c>
      <c r="J1165" t="s">
        <v>215</v>
      </c>
      <c r="K1165" t="s">
        <v>402</v>
      </c>
      <c r="L1165">
        <v>30</v>
      </c>
      <c r="M1165">
        <v>71</v>
      </c>
      <c r="N1165">
        <v>3</v>
      </c>
      <c r="O1165">
        <v>1</v>
      </c>
      <c r="P1165">
        <v>87</v>
      </c>
      <c r="Q1165">
        <v>0.50009999999999999</v>
      </c>
      <c r="R1165">
        <v>472.35000000000019</v>
      </c>
      <c r="S1165">
        <v>93.150000000000205</v>
      </c>
      <c r="T1165">
        <v>0.3347222222222222</v>
      </c>
      <c r="U1165">
        <v>41</v>
      </c>
      <c r="V1165">
        <v>0.66874999999999996</v>
      </c>
      <c r="W1165">
        <v>74</v>
      </c>
      <c r="X1165">
        <v>13.5</v>
      </c>
      <c r="Y1165">
        <v>40</v>
      </c>
      <c r="Z1165">
        <v>0.33958333333333335</v>
      </c>
      <c r="AA1165">
        <v>75</v>
      </c>
      <c r="AB1165">
        <v>16.5</v>
      </c>
      <c r="AD1165">
        <v>33</v>
      </c>
      <c r="AE1165">
        <v>35</v>
      </c>
      <c r="AF1165">
        <v>29.5337235386359</v>
      </c>
      <c r="AG1165">
        <v>30.685592064046812</v>
      </c>
      <c r="AH1165">
        <v>60.219315602682713</v>
      </c>
      <c r="AI1165">
        <v>3.9870526777158468</v>
      </c>
      <c r="AJ1165">
        <v>5.0631226905677238</v>
      </c>
      <c r="AK1165">
        <v>9.0501753682835702</v>
      </c>
      <c r="AL1165">
        <v>127.48875961190365</v>
      </c>
      <c r="AM1165">
        <v>19.720546205144526</v>
      </c>
      <c r="AN1165">
        <v>1.5468458760738633</v>
      </c>
      <c r="AO1165">
        <v>13.5</v>
      </c>
      <c r="AP1165">
        <v>15.028691837009841</v>
      </c>
      <c r="AQ1165">
        <v>19.159892808899261</v>
      </c>
      <c r="AR1165">
        <v>97.157008784579176</v>
      </c>
      <c r="AS1165">
        <v>-0.2865426392277487</v>
      </c>
      <c r="AT1165">
        <v>10.634071994973844</v>
      </c>
      <c r="AU1165">
        <v>53.92382079254844</v>
      </c>
    </row>
    <row r="1166" spans="1:47" x14ac:dyDescent="0.35">
      <c r="A1166">
        <v>1164</v>
      </c>
      <c r="B1166">
        <v>46085</v>
      </c>
      <c r="C1166" t="s">
        <v>16</v>
      </c>
      <c r="D1166" t="s">
        <v>403</v>
      </c>
      <c r="E1166" t="s">
        <v>212</v>
      </c>
      <c r="F1166" t="s">
        <v>404</v>
      </c>
      <c r="G1166" t="s">
        <v>405</v>
      </c>
      <c r="H1166" t="s">
        <v>22</v>
      </c>
      <c r="I1166" t="s">
        <v>23</v>
      </c>
      <c r="J1166" t="s">
        <v>215</v>
      </c>
      <c r="K1166" t="s">
        <v>402</v>
      </c>
      <c r="L1166">
        <v>30</v>
      </c>
      <c r="M1166">
        <v>71</v>
      </c>
      <c r="N1166">
        <v>3</v>
      </c>
      <c r="O1166">
        <v>2</v>
      </c>
      <c r="P1166">
        <v>88</v>
      </c>
      <c r="Q1166">
        <v>0.50029999999999997</v>
      </c>
      <c r="R1166">
        <v>472.53890221955629</v>
      </c>
      <c r="S1166">
        <v>101.83890221955625</v>
      </c>
      <c r="T1166">
        <v>0.3347222222222222</v>
      </c>
      <c r="U1166">
        <v>41.5</v>
      </c>
      <c r="V1166">
        <v>0.66874999999999996</v>
      </c>
      <c r="W1166">
        <v>74.5</v>
      </c>
      <c r="X1166">
        <v>13.8</v>
      </c>
      <c r="Y1166">
        <v>40.5</v>
      </c>
      <c r="Z1166">
        <v>0.34027777777777779</v>
      </c>
      <c r="AA1166">
        <v>76.5</v>
      </c>
      <c r="AB1166">
        <v>16.8</v>
      </c>
      <c r="AD1166">
        <v>33</v>
      </c>
      <c r="AE1166">
        <v>36</v>
      </c>
      <c r="AF1166">
        <v>29.5337235386359</v>
      </c>
      <c r="AG1166">
        <v>31.685592064046812</v>
      </c>
      <c r="AH1166">
        <v>61.219315602682713</v>
      </c>
      <c r="AI1166">
        <v>4.075653848331755</v>
      </c>
      <c r="AJ1166">
        <v>5.3231794667598651</v>
      </c>
      <c r="AK1166">
        <v>9.3988333150916201</v>
      </c>
      <c r="AL1166">
        <v>129.55402256857639</v>
      </c>
      <c r="AM1166">
        <v>21.55143243047505</v>
      </c>
      <c r="AN1166">
        <v>1.6635093224579194</v>
      </c>
      <c r="AO1166">
        <v>13.8</v>
      </c>
      <c r="AP1166">
        <v>15.352725234778271</v>
      </c>
      <c r="AQ1166">
        <v>19.890073115556167</v>
      </c>
      <c r="AR1166">
        <v>92.291188438270012</v>
      </c>
      <c r="AS1166">
        <v>-0.32882502116220358</v>
      </c>
      <c r="AT1166">
        <v>11.039334698045707</v>
      </c>
      <c r="AU1166">
        <v>51.22320631660385</v>
      </c>
    </row>
    <row r="1167" spans="1:47" x14ac:dyDescent="0.35">
      <c r="A1167">
        <v>1165</v>
      </c>
      <c r="B1167">
        <v>46085</v>
      </c>
      <c r="C1167" t="s">
        <v>16</v>
      </c>
      <c r="D1167" t="s">
        <v>407</v>
      </c>
      <c r="E1167" t="s">
        <v>226</v>
      </c>
      <c r="F1167" t="s">
        <v>231</v>
      </c>
      <c r="G1167" t="s">
        <v>232</v>
      </c>
      <c r="H1167" t="s">
        <v>22</v>
      </c>
      <c r="I1167" t="s">
        <v>23</v>
      </c>
      <c r="J1167" t="s">
        <v>215</v>
      </c>
      <c r="K1167" t="s">
        <v>406</v>
      </c>
      <c r="L1167">
        <v>30</v>
      </c>
      <c r="M1167">
        <v>71</v>
      </c>
      <c r="N1167">
        <v>3</v>
      </c>
      <c r="O1167">
        <v>1</v>
      </c>
      <c r="P1167">
        <v>89</v>
      </c>
      <c r="Q1167">
        <v>0.50019999999999998</v>
      </c>
      <c r="R1167">
        <v>473.62632433783148</v>
      </c>
      <c r="S1167">
        <v>149.32632433783147</v>
      </c>
      <c r="T1167">
        <v>0.3347222222222222</v>
      </c>
      <c r="U1167">
        <v>40</v>
      </c>
      <c r="V1167">
        <v>0.66874999999999996</v>
      </c>
      <c r="W1167">
        <v>82</v>
      </c>
      <c r="X1167">
        <v>13.3</v>
      </c>
      <c r="Y1167">
        <v>40.5</v>
      </c>
      <c r="Z1167">
        <v>0.34027777777777779</v>
      </c>
      <c r="AA1167">
        <v>83</v>
      </c>
      <c r="AB1167">
        <v>16.5</v>
      </c>
      <c r="AD1167">
        <v>42</v>
      </c>
      <c r="AE1167">
        <v>42.5</v>
      </c>
      <c r="AF1167">
        <v>38.533723538635904</v>
      </c>
      <c r="AG1167">
        <v>38.185592064046816</v>
      </c>
      <c r="AH1167">
        <v>76.719315602682713</v>
      </c>
      <c r="AI1167">
        <v>5.1249852306385755</v>
      </c>
      <c r="AJ1167">
        <v>6.3006226905677245</v>
      </c>
      <c r="AK1167">
        <v>11.4256079212063</v>
      </c>
      <c r="AL1167">
        <v>161.98279457955093</v>
      </c>
      <c r="AM1167">
        <v>31.528299138904902</v>
      </c>
      <c r="AN1167">
        <v>1.9463980246013801</v>
      </c>
      <c r="AO1167">
        <v>13.3</v>
      </c>
      <c r="AP1167">
        <v>14.892739633363949</v>
      </c>
      <c r="AQ1167">
        <v>24.123675847579289</v>
      </c>
      <c r="AR1167">
        <v>76.514358549115173</v>
      </c>
      <c r="AS1167">
        <v>-0.34023212911627282</v>
      </c>
      <c r="AT1167">
        <v>13.389057460040547</v>
      </c>
      <c r="AU1167">
        <v>42.466792772588491</v>
      </c>
    </row>
    <row r="1168" spans="1:47" x14ac:dyDescent="0.35">
      <c r="A1168">
        <v>1166</v>
      </c>
      <c r="B1168">
        <v>46085</v>
      </c>
      <c r="C1168" t="s">
        <v>16</v>
      </c>
      <c r="D1168" t="s">
        <v>407</v>
      </c>
      <c r="E1168" t="s">
        <v>226</v>
      </c>
      <c r="F1168" t="s">
        <v>231</v>
      </c>
      <c r="G1168" t="s">
        <v>232</v>
      </c>
      <c r="H1168" t="s">
        <v>22</v>
      </c>
      <c r="I1168" t="s">
        <v>23</v>
      </c>
      <c r="J1168" t="s">
        <v>215</v>
      </c>
      <c r="K1168" t="s">
        <v>406</v>
      </c>
      <c r="L1168">
        <v>30</v>
      </c>
      <c r="M1168">
        <v>71</v>
      </c>
      <c r="N1168">
        <v>3</v>
      </c>
      <c r="O1168">
        <v>2</v>
      </c>
      <c r="P1168">
        <v>90</v>
      </c>
      <c r="Q1168">
        <v>0.50019999999999998</v>
      </c>
      <c r="R1168">
        <v>473.62632433783148</v>
      </c>
      <c r="S1168">
        <v>171.92632433783149</v>
      </c>
      <c r="T1168">
        <v>0.33541666666666664</v>
      </c>
      <c r="U1168">
        <v>40</v>
      </c>
      <c r="V1168">
        <v>0.6694444444444444</v>
      </c>
      <c r="W1168">
        <v>82</v>
      </c>
      <c r="X1168">
        <v>13.5</v>
      </c>
      <c r="Y1168">
        <v>40.5</v>
      </c>
      <c r="Z1168">
        <v>0.34097222222222223</v>
      </c>
      <c r="AA1168">
        <v>81.5</v>
      </c>
      <c r="AB1168">
        <v>16.7</v>
      </c>
      <c r="AD1168">
        <v>42</v>
      </c>
      <c r="AE1168">
        <v>41</v>
      </c>
      <c r="AF1168">
        <v>38.533723538635904</v>
      </c>
      <c r="AG1168">
        <v>36.685592064046816</v>
      </c>
      <c r="AH1168">
        <v>75.219315602682713</v>
      </c>
      <c r="AI1168">
        <v>5.2020526777158471</v>
      </c>
      <c r="AJ1168">
        <v>6.126493874695818</v>
      </c>
      <c r="AK1168">
        <v>11.328546552411666</v>
      </c>
      <c r="AL1168">
        <v>158.81574088569823</v>
      </c>
      <c r="AM1168">
        <v>36.299993370976289</v>
      </c>
      <c r="AN1168">
        <v>2.2856672247055076</v>
      </c>
      <c r="AO1168">
        <v>13.5</v>
      </c>
      <c r="AP1168">
        <v>15.060688151232835</v>
      </c>
      <c r="AQ1168">
        <v>23.918743469864992</v>
      </c>
      <c r="AR1168">
        <v>65.891867321907711</v>
      </c>
      <c r="AS1168">
        <v>-0.46672008645991131</v>
      </c>
      <c r="AT1168">
        <v>13.275316444866245</v>
      </c>
      <c r="AU1168">
        <v>36.571126361363319</v>
      </c>
    </row>
    <row r="1169" spans="1:47" x14ac:dyDescent="0.35">
      <c r="A1169">
        <v>1167</v>
      </c>
      <c r="B1169">
        <v>46085</v>
      </c>
      <c r="C1169" t="s">
        <v>16</v>
      </c>
      <c r="D1169" t="s">
        <v>409</v>
      </c>
      <c r="E1169" t="s">
        <v>290</v>
      </c>
      <c r="F1169" t="s">
        <v>314</v>
      </c>
      <c r="G1169" t="s">
        <v>315</v>
      </c>
      <c r="H1169" t="s">
        <v>22</v>
      </c>
      <c r="I1169" t="s">
        <v>23</v>
      </c>
      <c r="J1169" t="s">
        <v>215</v>
      </c>
      <c r="K1169" t="s">
        <v>408</v>
      </c>
      <c r="L1169">
        <v>30</v>
      </c>
      <c r="M1169">
        <v>71</v>
      </c>
      <c r="N1169">
        <v>3</v>
      </c>
      <c r="O1169">
        <v>1</v>
      </c>
      <c r="P1169">
        <v>91</v>
      </c>
      <c r="Q1169">
        <v>0.50019999999999998</v>
      </c>
      <c r="R1169">
        <v>470.27352544236692</v>
      </c>
      <c r="S1169">
        <v>185.37352544236688</v>
      </c>
      <c r="T1169">
        <v>0.33541666666666664</v>
      </c>
      <c r="U1169">
        <v>41</v>
      </c>
      <c r="V1169">
        <v>0.6694444444444444</v>
      </c>
      <c r="W1169">
        <v>73.5</v>
      </c>
      <c r="X1169">
        <v>13.2</v>
      </c>
      <c r="Y1169">
        <v>40.5</v>
      </c>
      <c r="Z1169">
        <v>0.34166666666666667</v>
      </c>
      <c r="AA1169">
        <v>87</v>
      </c>
      <c r="AB1169">
        <v>15.6</v>
      </c>
      <c r="AD1169">
        <v>32.5</v>
      </c>
      <c r="AE1169">
        <v>46.5</v>
      </c>
      <c r="AF1169">
        <v>29.0337235386359</v>
      </c>
      <c r="AG1169">
        <v>42.185592064046816</v>
      </c>
      <c r="AH1169">
        <v>71.219315602682713</v>
      </c>
      <c r="AI1169">
        <v>3.8324515070999392</v>
      </c>
      <c r="AJ1169">
        <v>6.5809523619913035</v>
      </c>
      <c r="AK1169">
        <v>10.413403869091242</v>
      </c>
      <c r="AL1169">
        <v>151.44232398727874</v>
      </c>
      <c r="AM1169">
        <v>39.418235433941057</v>
      </c>
      <c r="AN1169">
        <v>2.6028546311302123</v>
      </c>
      <c r="AO1169">
        <v>13.2</v>
      </c>
      <c r="AP1169">
        <v>14.621600588224393</v>
      </c>
      <c r="AQ1169">
        <v>22.143291734944643</v>
      </c>
      <c r="AR1169">
        <v>56.175248564978048</v>
      </c>
      <c r="AS1169">
        <v>-0.30661604841301332</v>
      </c>
      <c r="AT1169">
        <v>12.289910014827406</v>
      </c>
      <c r="AU1169">
        <v>31.178234843676396</v>
      </c>
    </row>
    <row r="1170" spans="1:47" x14ac:dyDescent="0.35">
      <c r="A1170">
        <v>1168</v>
      </c>
      <c r="B1170">
        <v>46085</v>
      </c>
      <c r="C1170" t="s">
        <v>16</v>
      </c>
      <c r="D1170" t="s">
        <v>409</v>
      </c>
      <c r="E1170" t="s">
        <v>290</v>
      </c>
      <c r="F1170" t="s">
        <v>314</v>
      </c>
      <c r="G1170" t="s">
        <v>315</v>
      </c>
      <c r="H1170" t="s">
        <v>22</v>
      </c>
      <c r="I1170" t="s">
        <v>23</v>
      </c>
      <c r="J1170" t="s">
        <v>215</v>
      </c>
      <c r="K1170" t="s">
        <v>408</v>
      </c>
      <c r="L1170">
        <v>30</v>
      </c>
      <c r="M1170">
        <v>71</v>
      </c>
      <c r="N1170">
        <v>3</v>
      </c>
      <c r="O1170">
        <v>2</v>
      </c>
      <c r="P1170">
        <v>92</v>
      </c>
      <c r="Q1170">
        <v>0.5</v>
      </c>
      <c r="R1170">
        <v>470.08549124586858</v>
      </c>
      <c r="S1170">
        <v>176.58549124586858</v>
      </c>
      <c r="T1170">
        <v>0.33541666666666664</v>
      </c>
      <c r="U1170">
        <v>41</v>
      </c>
      <c r="V1170">
        <v>0.67013888888888884</v>
      </c>
      <c r="W1170">
        <v>72</v>
      </c>
      <c r="X1170">
        <v>12.8</v>
      </c>
      <c r="Y1170">
        <v>40.5</v>
      </c>
      <c r="Z1170">
        <v>0.34166666666666667</v>
      </c>
      <c r="AA1170">
        <v>87</v>
      </c>
      <c r="AB1170">
        <v>15.5</v>
      </c>
      <c r="AD1170">
        <v>31</v>
      </c>
      <c r="AE1170">
        <v>46.5</v>
      </c>
      <c r="AF1170">
        <v>27.5337235386359</v>
      </c>
      <c r="AG1170">
        <v>42.185592064046816</v>
      </c>
      <c r="AH1170">
        <v>69.719315602682713</v>
      </c>
      <c r="AI1170">
        <v>3.5243166129453956</v>
      </c>
      <c r="AJ1170">
        <v>6.538766769927256</v>
      </c>
      <c r="AK1170">
        <v>10.063083382872652</v>
      </c>
      <c r="AL1170">
        <v>148.31199196959997</v>
      </c>
      <c r="AM1170">
        <v>37.564548265011041</v>
      </c>
      <c r="AN1170">
        <v>2.5328058618962372</v>
      </c>
      <c r="AO1170">
        <v>12.8</v>
      </c>
      <c r="AP1170">
        <v>14.433709361434749</v>
      </c>
      <c r="AQ1170">
        <v>21.406921869046499</v>
      </c>
      <c r="AR1170">
        <v>56.987033939619259</v>
      </c>
      <c r="AS1170">
        <v>-0.26439111882749206</v>
      </c>
      <c r="AT1170">
        <v>11.88121199929086</v>
      </c>
      <c r="AU1170">
        <v>31.628789771331935</v>
      </c>
    </row>
    <row r="1171" spans="1:47" x14ac:dyDescent="0.35">
      <c r="A1171">
        <v>1169</v>
      </c>
      <c r="B1171">
        <v>46085</v>
      </c>
      <c r="C1171" t="s">
        <v>16</v>
      </c>
      <c r="D1171" t="s">
        <v>411</v>
      </c>
      <c r="E1171" t="s">
        <v>264</v>
      </c>
      <c r="F1171" t="s">
        <v>412</v>
      </c>
      <c r="G1171" t="s">
        <v>413</v>
      </c>
      <c r="H1171" t="s">
        <v>22</v>
      </c>
      <c r="I1171" t="s">
        <v>23</v>
      </c>
      <c r="J1171" t="s">
        <v>215</v>
      </c>
      <c r="K1171" t="s">
        <v>410</v>
      </c>
      <c r="L1171">
        <v>30</v>
      </c>
      <c r="M1171">
        <v>71</v>
      </c>
      <c r="N1171">
        <v>3</v>
      </c>
      <c r="O1171">
        <v>1</v>
      </c>
      <c r="P1171">
        <v>93</v>
      </c>
      <c r="Q1171">
        <v>0.50029999999999997</v>
      </c>
      <c r="R1171">
        <v>475.66392910299044</v>
      </c>
      <c r="S1171">
        <v>219.26392910299035</v>
      </c>
      <c r="T1171">
        <v>0.33611111111111114</v>
      </c>
      <c r="U1171">
        <v>41</v>
      </c>
      <c r="V1171">
        <v>0.67083333333333328</v>
      </c>
      <c r="W1171">
        <v>92</v>
      </c>
      <c r="X1171">
        <v>15.4</v>
      </c>
      <c r="Y1171">
        <v>40.5</v>
      </c>
      <c r="Z1171">
        <v>0.34166666666666667</v>
      </c>
      <c r="AA1171">
        <v>84.5</v>
      </c>
      <c r="AB1171">
        <v>18.399999999999999</v>
      </c>
      <c r="AD1171">
        <v>51</v>
      </c>
      <c r="AE1171">
        <v>44</v>
      </c>
      <c r="AF1171">
        <v>47.533723538635904</v>
      </c>
      <c r="AG1171">
        <v>39.685592064046816</v>
      </c>
      <c r="AH1171">
        <v>87.219315602682713</v>
      </c>
      <c r="AI1171">
        <v>7.3201934249499292</v>
      </c>
      <c r="AJ1171">
        <v>7.3021489397846135</v>
      </c>
      <c r="AK1171">
        <v>14.622342364734543</v>
      </c>
      <c r="AL1171">
        <v>183.36331654822212</v>
      </c>
      <c r="AM1171">
        <v>46.096396150214588</v>
      </c>
      <c r="AN1171">
        <v>2.5139377394546556</v>
      </c>
      <c r="AO1171">
        <v>15.4</v>
      </c>
      <c r="AP1171">
        <v>16.765027636016885</v>
      </c>
      <c r="AQ1171">
        <v>30.740910693626557</v>
      </c>
      <c r="AR1171">
        <v>66.688316790429724</v>
      </c>
      <c r="AS1171">
        <v>-3.7611545114270566</v>
      </c>
      <c r="AT1171">
        <v>17.06173728462872</v>
      </c>
      <c r="AU1171">
        <v>37.013169595795596</v>
      </c>
    </row>
    <row r="1172" spans="1:47" x14ac:dyDescent="0.35">
      <c r="A1172">
        <v>1170</v>
      </c>
      <c r="B1172">
        <v>46085</v>
      </c>
      <c r="C1172" t="s">
        <v>16</v>
      </c>
      <c r="D1172" t="s">
        <v>411</v>
      </c>
      <c r="E1172" t="s">
        <v>264</v>
      </c>
      <c r="F1172" t="s">
        <v>412</v>
      </c>
      <c r="G1172" t="s">
        <v>413</v>
      </c>
      <c r="H1172" t="s">
        <v>22</v>
      </c>
      <c r="I1172" t="s">
        <v>23</v>
      </c>
      <c r="J1172" t="s">
        <v>215</v>
      </c>
      <c r="K1172" t="s">
        <v>410</v>
      </c>
      <c r="L1172">
        <v>30</v>
      </c>
      <c r="M1172">
        <v>71</v>
      </c>
      <c r="N1172">
        <v>3</v>
      </c>
      <c r="O1172">
        <v>2</v>
      </c>
      <c r="P1172">
        <v>94</v>
      </c>
      <c r="Q1172">
        <v>0.50019999999999998</v>
      </c>
      <c r="R1172">
        <v>475.56885336261399</v>
      </c>
      <c r="S1172">
        <v>172.76885336261404</v>
      </c>
      <c r="T1172">
        <v>0.33611111111111114</v>
      </c>
      <c r="U1172">
        <v>41</v>
      </c>
      <c r="V1172">
        <v>0.67083333333333328</v>
      </c>
      <c r="W1172">
        <v>94</v>
      </c>
      <c r="X1172">
        <v>15.4</v>
      </c>
      <c r="Y1172">
        <v>40</v>
      </c>
      <c r="Z1172">
        <v>0.34305555555555556</v>
      </c>
      <c r="AA1172">
        <v>86</v>
      </c>
      <c r="AB1172">
        <v>18.399999999999999</v>
      </c>
      <c r="AD1172">
        <v>53</v>
      </c>
      <c r="AE1172">
        <v>46</v>
      </c>
      <c r="AF1172">
        <v>49.533723538635904</v>
      </c>
      <c r="AG1172">
        <v>41.685592064046816</v>
      </c>
      <c r="AH1172">
        <v>91.219315602682713</v>
      </c>
      <c r="AI1172">
        <v>7.628193424949929</v>
      </c>
      <c r="AJ1172">
        <v>7.6701489397846139</v>
      </c>
      <c r="AK1172">
        <v>15.298342364734543</v>
      </c>
      <c r="AL1172">
        <v>191.81095430808077</v>
      </c>
      <c r="AM1172">
        <v>36.328883218699865</v>
      </c>
      <c r="AN1172">
        <v>1.8939941855640605</v>
      </c>
      <c r="AO1172">
        <v>15.4</v>
      </c>
      <c r="AP1172">
        <v>16.770946223021898</v>
      </c>
      <c r="AQ1172">
        <v>32.168511996873328</v>
      </c>
      <c r="AR1172">
        <v>88.548034364885112</v>
      </c>
      <c r="AS1172">
        <v>-0.67356399124276467</v>
      </c>
      <c r="AT1172">
        <v>17.854080706915163</v>
      </c>
      <c r="AU1172">
        <v>49.145691045424122</v>
      </c>
    </row>
    <row r="1173" spans="1:47" x14ac:dyDescent="0.35">
      <c r="A1173">
        <v>1171</v>
      </c>
      <c r="B1173">
        <v>46085</v>
      </c>
      <c r="C1173" t="s">
        <v>16</v>
      </c>
      <c r="D1173" t="s">
        <v>415</v>
      </c>
      <c r="E1173" t="s">
        <v>235</v>
      </c>
      <c r="F1173" t="s">
        <v>274</v>
      </c>
      <c r="G1173" t="s">
        <v>275</v>
      </c>
      <c r="H1173" t="s">
        <v>22</v>
      </c>
      <c r="I1173" t="s">
        <v>23</v>
      </c>
      <c r="J1173" t="s">
        <v>215</v>
      </c>
      <c r="K1173" t="s">
        <v>414</v>
      </c>
      <c r="L1173">
        <v>30</v>
      </c>
      <c r="M1173">
        <v>71</v>
      </c>
      <c r="N1173">
        <v>3</v>
      </c>
      <c r="O1173">
        <v>1</v>
      </c>
      <c r="P1173">
        <v>95</v>
      </c>
      <c r="Q1173">
        <v>0.50009999999999999</v>
      </c>
      <c r="R1173">
        <v>473.72367013298623</v>
      </c>
      <c r="S1173">
        <v>172.72367013298629</v>
      </c>
      <c r="T1173">
        <v>0.33611111111111114</v>
      </c>
      <c r="U1173">
        <v>41</v>
      </c>
      <c r="V1173">
        <v>0.67152777777777772</v>
      </c>
      <c r="W1173">
        <v>88</v>
      </c>
      <c r="X1173">
        <v>12.6</v>
      </c>
      <c r="Y1173">
        <v>40</v>
      </c>
      <c r="Z1173">
        <v>0.34305555555555556</v>
      </c>
      <c r="AA1173">
        <v>81.5</v>
      </c>
      <c r="AB1173">
        <v>17.5</v>
      </c>
      <c r="AD1173">
        <v>47</v>
      </c>
      <c r="AE1173">
        <v>41.5</v>
      </c>
      <c r="AF1173">
        <v>43.533723538635904</v>
      </c>
      <c r="AG1173">
        <v>37.185592064046816</v>
      </c>
      <c r="AH1173">
        <v>80.719315602682713</v>
      </c>
      <c r="AI1173">
        <v>5.4852491658681242</v>
      </c>
      <c r="AJ1173">
        <v>6.5074786112081924</v>
      </c>
      <c r="AK1173">
        <v>11.992727777076317</v>
      </c>
      <c r="AL1173">
        <v>170.39324967659471</v>
      </c>
      <c r="AM1173">
        <v>36.46084859650319</v>
      </c>
      <c r="AN1173">
        <v>2.1398059292668954</v>
      </c>
      <c r="AO1173">
        <v>12.6</v>
      </c>
      <c r="AP1173">
        <v>14.857320936796615</v>
      </c>
      <c r="AQ1173">
        <v>25.315871959088835</v>
      </c>
      <c r="AR1173">
        <v>69.433030040657869</v>
      </c>
      <c r="AS1173">
        <v>-0.33118587856395043</v>
      </c>
      <c r="AT1173">
        <v>14.050746928158651</v>
      </c>
      <c r="AU1173">
        <v>38.536532936060631</v>
      </c>
    </row>
    <row r="1174" spans="1:47" x14ac:dyDescent="0.35">
      <c r="A1174">
        <v>1172</v>
      </c>
      <c r="B1174">
        <v>46085</v>
      </c>
      <c r="C1174" t="s">
        <v>16</v>
      </c>
      <c r="D1174" t="s">
        <v>415</v>
      </c>
      <c r="E1174" t="s">
        <v>235</v>
      </c>
      <c r="F1174" t="s">
        <v>274</v>
      </c>
      <c r="G1174" t="s">
        <v>275</v>
      </c>
      <c r="H1174" t="s">
        <v>22</v>
      </c>
      <c r="I1174" t="s">
        <v>23</v>
      </c>
      <c r="J1174" t="s">
        <v>215</v>
      </c>
      <c r="K1174" t="s">
        <v>414</v>
      </c>
      <c r="L1174">
        <v>30</v>
      </c>
      <c r="M1174">
        <v>71</v>
      </c>
      <c r="N1174">
        <v>3</v>
      </c>
      <c r="O1174">
        <v>2</v>
      </c>
      <c r="P1174">
        <v>96</v>
      </c>
      <c r="Q1174">
        <v>0.50039999999999996</v>
      </c>
      <c r="R1174">
        <v>474.00784749959274</v>
      </c>
      <c r="S1174">
        <v>186.20784749959267</v>
      </c>
      <c r="T1174">
        <v>0.33680555555555558</v>
      </c>
      <c r="U1174">
        <v>40</v>
      </c>
      <c r="V1174">
        <v>0.67222222222222228</v>
      </c>
      <c r="W1174">
        <v>86.5</v>
      </c>
      <c r="X1174">
        <v>12.4</v>
      </c>
      <c r="Y1174">
        <v>40</v>
      </c>
      <c r="Z1174">
        <v>0.34305555555555556</v>
      </c>
      <c r="AA1174">
        <v>81</v>
      </c>
      <c r="AB1174">
        <v>17.399999999999999</v>
      </c>
      <c r="AD1174">
        <v>46.5</v>
      </c>
      <c r="AE1174">
        <v>41</v>
      </c>
      <c r="AF1174">
        <v>43.033723538635904</v>
      </c>
      <c r="AG1174">
        <v>36.685592064046816</v>
      </c>
      <c r="AH1174">
        <v>79.719315602682713</v>
      </c>
      <c r="AI1174">
        <v>5.3361817187908525</v>
      </c>
      <c r="AJ1174">
        <v>6.383293019144145</v>
      </c>
      <c r="AK1174">
        <v>11.719474737934998</v>
      </c>
      <c r="AL1174">
        <v>168.1814257363138</v>
      </c>
      <c r="AM1174">
        <v>39.283705635222141</v>
      </c>
      <c r="AN1174">
        <v>2.3357933531146173</v>
      </c>
      <c r="AO1174">
        <v>12.4</v>
      </c>
      <c r="AP1174">
        <v>14.700922416775759</v>
      </c>
      <c r="AQ1174">
        <v>24.724220916922832</v>
      </c>
      <c r="AR1174">
        <v>62.937598470228991</v>
      </c>
      <c r="AS1174">
        <v>-0.38857678685003116</v>
      </c>
      <c r="AT1174">
        <v>13.722370363579317</v>
      </c>
      <c r="AU1174">
        <v>34.931456036763777</v>
      </c>
    </row>
    <row r="1175" spans="1:47" x14ac:dyDescent="0.35">
      <c r="A1175">
        <v>1173</v>
      </c>
      <c r="B1175">
        <v>46085</v>
      </c>
      <c r="C1175" t="s">
        <v>16</v>
      </c>
      <c r="D1175" t="s">
        <v>417</v>
      </c>
      <c r="E1175" t="s">
        <v>290</v>
      </c>
      <c r="F1175" t="s">
        <v>291</v>
      </c>
      <c r="G1175" t="s">
        <v>292</v>
      </c>
      <c r="H1175" t="s">
        <v>22</v>
      </c>
      <c r="I1175" t="s">
        <v>23</v>
      </c>
      <c r="J1175" t="s">
        <v>215</v>
      </c>
      <c r="K1175" t="s">
        <v>416</v>
      </c>
      <c r="L1175">
        <v>30</v>
      </c>
      <c r="M1175">
        <v>71</v>
      </c>
      <c r="N1175">
        <v>3</v>
      </c>
      <c r="O1175">
        <v>1</v>
      </c>
      <c r="P1175">
        <v>97</v>
      </c>
      <c r="Q1175">
        <v>0.5</v>
      </c>
      <c r="R1175">
        <v>467.59120439780082</v>
      </c>
      <c r="S1175">
        <v>193.6912043978009</v>
      </c>
      <c r="T1175">
        <v>0.33680555555555558</v>
      </c>
      <c r="U1175">
        <v>40.5</v>
      </c>
      <c r="V1175">
        <v>0.67222222222222228</v>
      </c>
      <c r="W1175">
        <v>89</v>
      </c>
      <c r="X1175">
        <v>14</v>
      </c>
      <c r="Y1175">
        <v>40.5</v>
      </c>
      <c r="Z1175">
        <v>0.34375</v>
      </c>
      <c r="AA1175">
        <v>87.5</v>
      </c>
      <c r="AB1175">
        <v>16.899999999999999</v>
      </c>
      <c r="AD1175">
        <v>48.5</v>
      </c>
      <c r="AE1175">
        <v>47</v>
      </c>
      <c r="AF1175">
        <v>45.033723538635904</v>
      </c>
      <c r="AG1175">
        <v>42.685592064046816</v>
      </c>
      <c r="AH1175">
        <v>87.719315602682713</v>
      </c>
      <c r="AI1175">
        <v>6.3047212954090268</v>
      </c>
      <c r="AJ1175">
        <v>7.2138650588239113</v>
      </c>
      <c r="AK1175">
        <v>13.518586354232937</v>
      </c>
      <c r="AL1175">
        <v>187.59830120340749</v>
      </c>
      <c r="AM1175">
        <v>41.423192433067904</v>
      </c>
      <c r="AN1175">
        <v>2.2080792932209934</v>
      </c>
      <c r="AO1175">
        <v>14</v>
      </c>
      <c r="AP1175">
        <v>15.411185394405312</v>
      </c>
      <c r="AQ1175">
        <v>28.911121995212014</v>
      </c>
      <c r="AR1175">
        <v>69.794528854643346</v>
      </c>
      <c r="AS1175">
        <v>-0.33886695650700005</v>
      </c>
      <c r="AT1175">
        <v>16.046172899764734</v>
      </c>
      <c r="AU1175">
        <v>38.737171032127307</v>
      </c>
    </row>
    <row r="1176" spans="1:47" x14ac:dyDescent="0.35">
      <c r="A1176">
        <v>1174</v>
      </c>
      <c r="B1176">
        <v>46085</v>
      </c>
      <c r="C1176" t="s">
        <v>16</v>
      </c>
      <c r="D1176" t="s">
        <v>417</v>
      </c>
      <c r="E1176" t="s">
        <v>290</v>
      </c>
      <c r="F1176" t="s">
        <v>291</v>
      </c>
      <c r="G1176" t="s">
        <v>292</v>
      </c>
      <c r="H1176" t="s">
        <v>22</v>
      </c>
      <c r="I1176" t="s">
        <v>23</v>
      </c>
      <c r="J1176" t="s">
        <v>215</v>
      </c>
      <c r="K1176" t="s">
        <v>416</v>
      </c>
      <c r="L1176">
        <v>30</v>
      </c>
      <c r="M1176">
        <v>71</v>
      </c>
      <c r="N1176">
        <v>3</v>
      </c>
      <c r="O1176">
        <v>2</v>
      </c>
      <c r="P1176">
        <v>98</v>
      </c>
      <c r="Q1176">
        <v>0.50039999999999996</v>
      </c>
      <c r="R1176">
        <v>467.96527736131907</v>
      </c>
      <c r="S1176">
        <v>197.66527736131906</v>
      </c>
      <c r="T1176">
        <v>0.33680555555555558</v>
      </c>
      <c r="U1176">
        <v>41</v>
      </c>
      <c r="V1176">
        <v>0.67291666666666672</v>
      </c>
      <c r="W1176">
        <v>89.5</v>
      </c>
      <c r="X1176">
        <v>13.9</v>
      </c>
      <c r="Y1176">
        <v>40</v>
      </c>
      <c r="Z1176">
        <v>0.34444444444444444</v>
      </c>
      <c r="AA1176">
        <v>92.5</v>
      </c>
      <c r="AB1176">
        <v>16.8</v>
      </c>
      <c r="AC1176" t="s">
        <v>604</v>
      </c>
      <c r="AD1176">
        <v>48.5</v>
      </c>
      <c r="AE1176">
        <v>52.5</v>
      </c>
      <c r="AF1176">
        <v>45.033723538635904</v>
      </c>
      <c r="AG1176">
        <v>48.185592064046816</v>
      </c>
      <c r="AH1176">
        <v>93.219315602682713</v>
      </c>
      <c r="AI1176">
        <v>6.2596875718703915</v>
      </c>
      <c r="AJ1176">
        <v>8.0951794667598662</v>
      </c>
      <c r="AK1176">
        <v>14.354867038630257</v>
      </c>
      <c r="AL1176">
        <v>199.20135128040164</v>
      </c>
      <c r="AM1176">
        <v>42.2393042654531</v>
      </c>
      <c r="AN1176">
        <v>2.1204326172464469</v>
      </c>
      <c r="AO1176">
        <v>13.900000000000002</v>
      </c>
      <c r="AP1176">
        <v>15.399026420461238</v>
      </c>
      <c r="AQ1176">
        <v>30.675068713584853</v>
      </c>
      <c r="AR1176">
        <v>72.622097468289837</v>
      </c>
      <c r="AS1176">
        <v>-0.3783127013176138</v>
      </c>
      <c r="AT1176">
        <v>17.025193846570971</v>
      </c>
      <c r="AU1176">
        <v>40.306520532573316</v>
      </c>
    </row>
    <row r="1177" spans="1:47" x14ac:dyDescent="0.35">
      <c r="A1177">
        <v>1175</v>
      </c>
      <c r="B1177">
        <v>46085</v>
      </c>
      <c r="C1177" t="s">
        <v>16</v>
      </c>
      <c r="D1177" t="s">
        <v>419</v>
      </c>
      <c r="E1177" t="s">
        <v>264</v>
      </c>
      <c r="F1177" t="s">
        <v>329</v>
      </c>
      <c r="G1177" t="s">
        <v>330</v>
      </c>
      <c r="H1177" t="s">
        <v>22</v>
      </c>
      <c r="I1177" t="s">
        <v>23</v>
      </c>
      <c r="J1177" t="s">
        <v>215</v>
      </c>
      <c r="K1177" t="s">
        <v>418</v>
      </c>
      <c r="L1177">
        <v>30</v>
      </c>
      <c r="M1177">
        <v>71</v>
      </c>
      <c r="N1177">
        <v>3</v>
      </c>
      <c r="O1177">
        <v>1</v>
      </c>
      <c r="P1177">
        <v>99</v>
      </c>
      <c r="Q1177">
        <v>0.5</v>
      </c>
      <c r="R1177">
        <v>471.6584971690188</v>
      </c>
      <c r="S1177">
        <v>149.3584971690189</v>
      </c>
      <c r="T1177">
        <v>0.33750000000000002</v>
      </c>
      <c r="U1177">
        <v>41</v>
      </c>
      <c r="V1177">
        <v>0.67291666666666672</v>
      </c>
      <c r="W1177">
        <v>88.5</v>
      </c>
      <c r="X1177">
        <v>14.9</v>
      </c>
      <c r="Y1177">
        <v>40.5</v>
      </c>
      <c r="Z1177">
        <v>0.34444444444444444</v>
      </c>
      <c r="AA1177">
        <v>78.5</v>
      </c>
      <c r="AB1177">
        <v>18.7</v>
      </c>
      <c r="AD1177">
        <v>47.5</v>
      </c>
      <c r="AE1177">
        <v>38</v>
      </c>
      <c r="AF1177">
        <v>44.033723538635904</v>
      </c>
      <c r="AG1177">
        <v>33.685592064046816</v>
      </c>
      <c r="AH1177">
        <v>77.719315602682713</v>
      </c>
      <c r="AI1177">
        <v>6.5610248072567492</v>
      </c>
      <c r="AJ1177">
        <v>6.2992057159767549</v>
      </c>
      <c r="AK1177">
        <v>12.860230523233504</v>
      </c>
      <c r="AL1177">
        <v>164.77878818926905</v>
      </c>
      <c r="AM1177">
        <v>31.666660956072267</v>
      </c>
      <c r="AN1177">
        <v>1.9217680445433998</v>
      </c>
      <c r="AO1177">
        <v>14.899999999999999</v>
      </c>
      <c r="AP1177">
        <v>16.54701977688233</v>
      </c>
      <c r="AQ1177">
        <v>27.265978669785401</v>
      </c>
      <c r="AR1177">
        <v>86.103106063530163</v>
      </c>
      <c r="AS1177">
        <v>-0.72694048598667738</v>
      </c>
      <c r="AT1177">
        <v>15.133089891465668</v>
      </c>
      <c r="AU1177">
        <v>47.788713538374523</v>
      </c>
    </row>
    <row r="1178" spans="1:47" x14ac:dyDescent="0.35">
      <c r="A1178">
        <v>1176</v>
      </c>
      <c r="B1178">
        <v>46085</v>
      </c>
      <c r="C1178" t="s">
        <v>16</v>
      </c>
      <c r="D1178" t="s">
        <v>419</v>
      </c>
      <c r="E1178" t="s">
        <v>264</v>
      </c>
      <c r="F1178" t="s">
        <v>329</v>
      </c>
      <c r="G1178" t="s">
        <v>330</v>
      </c>
      <c r="H1178" t="s">
        <v>22</v>
      </c>
      <c r="I1178" t="s">
        <v>23</v>
      </c>
      <c r="J1178" t="s">
        <v>215</v>
      </c>
      <c r="K1178" t="s">
        <v>418</v>
      </c>
      <c r="L1178">
        <v>30</v>
      </c>
      <c r="M1178">
        <v>71</v>
      </c>
      <c r="N1178">
        <v>3</v>
      </c>
      <c r="O1178">
        <v>2</v>
      </c>
      <c r="P1178">
        <v>100</v>
      </c>
      <c r="Q1178">
        <v>0.50019999999999998</v>
      </c>
      <c r="R1178">
        <v>471.84716056788642</v>
      </c>
      <c r="S1178">
        <v>138.34716056788642</v>
      </c>
      <c r="T1178">
        <v>0.33750000000000002</v>
      </c>
      <c r="U1178">
        <v>40.5</v>
      </c>
      <c r="V1178">
        <v>0.67361111111111116</v>
      </c>
      <c r="W1178">
        <v>87</v>
      </c>
      <c r="X1178">
        <v>15.4</v>
      </c>
      <c r="Y1178">
        <v>40.5</v>
      </c>
      <c r="Z1178">
        <v>0.34513888888888888</v>
      </c>
      <c r="AA1178">
        <v>78.5</v>
      </c>
      <c r="AB1178">
        <v>19</v>
      </c>
      <c r="AD1178">
        <v>46.5</v>
      </c>
      <c r="AE1178">
        <v>38</v>
      </c>
      <c r="AF1178">
        <v>43.033723538635904</v>
      </c>
      <c r="AG1178">
        <v>33.685592064046816</v>
      </c>
      <c r="AH1178">
        <v>76.719315602682713</v>
      </c>
      <c r="AI1178">
        <v>6.6271934249499296</v>
      </c>
      <c r="AJ1178">
        <v>6.4002624921688946</v>
      </c>
      <c r="AK1178">
        <v>13.027455917118825</v>
      </c>
      <c r="AL1178">
        <v>162.59357269491252</v>
      </c>
      <c r="AM1178">
        <v>29.320333389604432</v>
      </c>
      <c r="AN1178">
        <v>1.8032898166657878</v>
      </c>
      <c r="AO1178">
        <v>15.4</v>
      </c>
      <c r="AP1178">
        <v>16.98067274815898</v>
      </c>
      <c r="AQ1178">
        <v>27.60948248886308</v>
      </c>
      <c r="AR1178">
        <v>94.16496777847712</v>
      </c>
      <c r="AS1178">
        <v>-0.59945981408712468</v>
      </c>
      <c r="AT1178">
        <v>15.323740454026428</v>
      </c>
      <c r="AU1178">
        <v>52.263186268746473</v>
      </c>
    </row>
    <row r="1179" spans="1:47" x14ac:dyDescent="0.35">
      <c r="A1179">
        <v>1177</v>
      </c>
      <c r="B1179">
        <v>46085</v>
      </c>
      <c r="C1179" t="s">
        <v>16</v>
      </c>
      <c r="D1179" t="s">
        <v>421</v>
      </c>
      <c r="E1179" t="s">
        <v>264</v>
      </c>
      <c r="F1179" t="s">
        <v>265</v>
      </c>
      <c r="G1179" t="s">
        <v>266</v>
      </c>
      <c r="H1179" t="s">
        <v>22</v>
      </c>
      <c r="I1179" t="s">
        <v>23</v>
      </c>
      <c r="J1179" t="s">
        <v>215</v>
      </c>
      <c r="K1179" t="s">
        <v>420</v>
      </c>
      <c r="L1179">
        <v>30</v>
      </c>
      <c r="M1179">
        <v>71</v>
      </c>
      <c r="N1179">
        <v>3</v>
      </c>
      <c r="O1179">
        <v>1</v>
      </c>
      <c r="P1179">
        <v>101</v>
      </c>
      <c r="Q1179">
        <v>0.50039999999999996</v>
      </c>
      <c r="R1179">
        <v>480.61709316273499</v>
      </c>
      <c r="S1179">
        <v>128.61709316273499</v>
      </c>
      <c r="T1179">
        <v>0.33750000000000002</v>
      </c>
      <c r="U1179">
        <v>41</v>
      </c>
      <c r="V1179">
        <v>0.67361111111111116</v>
      </c>
      <c r="W1179">
        <v>85</v>
      </c>
      <c r="X1179">
        <v>14.8</v>
      </c>
      <c r="Y1179">
        <v>40.5</v>
      </c>
      <c r="Z1179">
        <v>0.34583333333333333</v>
      </c>
      <c r="AA1179">
        <v>80</v>
      </c>
      <c r="AB1179">
        <v>18.399999999999999</v>
      </c>
      <c r="AD1179">
        <v>44</v>
      </c>
      <c r="AE1179">
        <v>39.5</v>
      </c>
      <c r="AF1179">
        <v>40.533723538635904</v>
      </c>
      <c r="AG1179">
        <v>35.185592064046816</v>
      </c>
      <c r="AH1179">
        <v>75.719315602682713</v>
      </c>
      <c r="AI1179">
        <v>5.9989910837181144</v>
      </c>
      <c r="AJ1179">
        <v>6.4741489397846141</v>
      </c>
      <c r="AK1179">
        <v>12.473140023502729</v>
      </c>
      <c r="AL1179">
        <v>157.546031299899</v>
      </c>
      <c r="AM1179">
        <v>26.760823739405744</v>
      </c>
      <c r="AN1179">
        <v>1.698603482334937</v>
      </c>
      <c r="AO1179">
        <v>14.800000000000002</v>
      </c>
      <c r="AP1179">
        <v>16.472864188250547</v>
      </c>
      <c r="AQ1179">
        <v>25.952343770011058</v>
      </c>
      <c r="AR1179">
        <v>96.978867402335666</v>
      </c>
      <c r="AS1179">
        <v>-0.65258375190747409</v>
      </c>
      <c r="AT1179">
        <v>14.403999794843507</v>
      </c>
      <c r="AU1179">
        <v>53.824949243372458</v>
      </c>
    </row>
    <row r="1180" spans="1:47" x14ac:dyDescent="0.35">
      <c r="A1180">
        <v>1178</v>
      </c>
      <c r="B1180">
        <v>46085</v>
      </c>
      <c r="C1180" t="s">
        <v>16</v>
      </c>
      <c r="D1180" t="s">
        <v>421</v>
      </c>
      <c r="E1180" t="s">
        <v>264</v>
      </c>
      <c r="F1180" t="s">
        <v>265</v>
      </c>
      <c r="G1180" t="s">
        <v>266</v>
      </c>
      <c r="H1180" t="s">
        <v>22</v>
      </c>
      <c r="I1180" t="s">
        <v>23</v>
      </c>
      <c r="J1180" t="s">
        <v>215</v>
      </c>
      <c r="K1180" t="s">
        <v>420</v>
      </c>
      <c r="L1180">
        <v>30</v>
      </c>
      <c r="M1180">
        <v>71</v>
      </c>
      <c r="N1180">
        <v>3</v>
      </c>
      <c r="O1180">
        <v>2</v>
      </c>
      <c r="P1180">
        <v>102</v>
      </c>
      <c r="Q1180">
        <v>0.50039999999999996</v>
      </c>
      <c r="R1180">
        <v>480.61709316273499</v>
      </c>
      <c r="S1180">
        <v>112.51709316273491</v>
      </c>
      <c r="T1180">
        <v>0.33750000000000002</v>
      </c>
      <c r="U1180">
        <v>40</v>
      </c>
      <c r="V1180">
        <v>0.6743055555555556</v>
      </c>
      <c r="W1180">
        <v>85.5</v>
      </c>
      <c r="X1180">
        <v>14.7</v>
      </c>
      <c r="Y1180">
        <v>40</v>
      </c>
      <c r="Z1180">
        <v>0.34652777777777777</v>
      </c>
      <c r="AA1180">
        <v>78</v>
      </c>
      <c r="AB1180">
        <v>18</v>
      </c>
      <c r="AD1180">
        <v>45.5</v>
      </c>
      <c r="AE1180">
        <v>38</v>
      </c>
      <c r="AF1180">
        <v>42.033723538635904</v>
      </c>
      <c r="AG1180">
        <v>33.685592064046816</v>
      </c>
      <c r="AH1180">
        <v>75.719315602682713</v>
      </c>
      <c r="AI1180">
        <v>6.1789573601794778</v>
      </c>
      <c r="AJ1180">
        <v>6.0634065715284269</v>
      </c>
      <c r="AK1180">
        <v>12.242363931707905</v>
      </c>
      <c r="AL1180">
        <v>157.546031299899</v>
      </c>
      <c r="AM1180">
        <v>23.410963688850135</v>
      </c>
      <c r="AN1180">
        <v>1.4859760982671701</v>
      </c>
      <c r="AO1180">
        <v>14.7</v>
      </c>
      <c r="AP1180">
        <v>16.168085823631191</v>
      </c>
      <c r="AQ1180">
        <v>25.472177552292525</v>
      </c>
      <c r="AR1180">
        <v>108.80448105783907</v>
      </c>
      <c r="AS1180">
        <v>-0.49843597213918373</v>
      </c>
      <c r="AT1180">
        <v>14.137499236635716</v>
      </c>
      <c r="AU1180">
        <v>60.388369417568818</v>
      </c>
    </row>
    <row r="1181" spans="1:47" x14ac:dyDescent="0.35">
      <c r="A1181">
        <v>1179</v>
      </c>
      <c r="B1181">
        <v>46085</v>
      </c>
      <c r="C1181" t="s">
        <v>16</v>
      </c>
      <c r="D1181" t="s">
        <v>423</v>
      </c>
      <c r="E1181" t="s">
        <v>212</v>
      </c>
      <c r="F1181" t="s">
        <v>424</v>
      </c>
      <c r="G1181" t="s">
        <v>425</v>
      </c>
      <c r="H1181" t="s">
        <v>22</v>
      </c>
      <c r="I1181" t="s">
        <v>23</v>
      </c>
      <c r="J1181" t="s">
        <v>215</v>
      </c>
      <c r="K1181" t="s">
        <v>422</v>
      </c>
      <c r="L1181">
        <v>30</v>
      </c>
      <c r="M1181">
        <v>71</v>
      </c>
      <c r="N1181">
        <v>3</v>
      </c>
      <c r="O1181">
        <v>1</v>
      </c>
      <c r="P1181">
        <v>103</v>
      </c>
      <c r="Q1181">
        <v>0.50029999999999997</v>
      </c>
      <c r="R1181">
        <v>466.91663967056667</v>
      </c>
      <c r="S1181">
        <v>122.51663967056675</v>
      </c>
      <c r="T1181">
        <v>0.33819444444444446</v>
      </c>
      <c r="U1181">
        <v>41</v>
      </c>
      <c r="V1181">
        <v>0.6743055555555556</v>
      </c>
      <c r="W1181">
        <v>80.5</v>
      </c>
      <c r="X1181">
        <v>13.1</v>
      </c>
      <c r="Y1181">
        <v>40</v>
      </c>
      <c r="Z1181">
        <v>0.34652777777777777</v>
      </c>
      <c r="AA1181">
        <v>74</v>
      </c>
      <c r="AB1181">
        <v>16</v>
      </c>
      <c r="AD1181">
        <v>39.5</v>
      </c>
      <c r="AE1181">
        <v>34</v>
      </c>
      <c r="AF1181">
        <v>36.033723538635904</v>
      </c>
      <c r="AG1181">
        <v>29.685592064046812</v>
      </c>
      <c r="AH1181">
        <v>65.719315602682713</v>
      </c>
      <c r="AI1181">
        <v>4.7204177835613033</v>
      </c>
      <c r="AJ1181">
        <v>4.7496947302474899</v>
      </c>
      <c r="AK1181">
        <v>9.4701125138087932</v>
      </c>
      <c r="AL1181">
        <v>140.7517103032589</v>
      </c>
      <c r="AM1181">
        <v>26.239510281108945</v>
      </c>
      <c r="AN1181">
        <v>1.8642409548398511</v>
      </c>
      <c r="AO1181">
        <v>13.1</v>
      </c>
      <c r="AP1181">
        <v>14.409937819593203</v>
      </c>
      <c r="AQ1181">
        <v>20.282233934713563</v>
      </c>
      <c r="AR1181">
        <v>77.296541427130592</v>
      </c>
      <c r="AS1181">
        <v>-0.29081465204594431</v>
      </c>
      <c r="AT1181">
        <v>11.256990737467319</v>
      </c>
      <c r="AU1181">
        <v>42.900917802462786</v>
      </c>
    </row>
    <row r="1182" spans="1:47" x14ac:dyDescent="0.35">
      <c r="A1182">
        <v>1180</v>
      </c>
      <c r="B1182">
        <v>46085</v>
      </c>
      <c r="C1182" t="s">
        <v>16</v>
      </c>
      <c r="D1182" t="s">
        <v>423</v>
      </c>
      <c r="E1182" t="s">
        <v>212</v>
      </c>
      <c r="F1182" t="s">
        <v>424</v>
      </c>
      <c r="G1182" t="s">
        <v>425</v>
      </c>
      <c r="H1182" t="s">
        <v>22</v>
      </c>
      <c r="I1182" t="s">
        <v>23</v>
      </c>
      <c r="J1182" t="s">
        <v>215</v>
      </c>
      <c r="K1182" t="s">
        <v>422</v>
      </c>
      <c r="L1182">
        <v>30</v>
      </c>
      <c r="M1182">
        <v>71</v>
      </c>
      <c r="N1182">
        <v>3</v>
      </c>
      <c r="O1182">
        <v>2</v>
      </c>
      <c r="P1182">
        <v>104</v>
      </c>
      <c r="Q1182">
        <v>0.50029999999999997</v>
      </c>
      <c r="R1182">
        <v>466.91663967056667</v>
      </c>
      <c r="S1182">
        <v>106.61663967056671</v>
      </c>
      <c r="T1182">
        <v>0.33819444444444446</v>
      </c>
      <c r="U1182">
        <v>41</v>
      </c>
      <c r="V1182">
        <v>0.67500000000000004</v>
      </c>
      <c r="W1182">
        <v>79</v>
      </c>
      <c r="X1182">
        <v>13</v>
      </c>
      <c r="Y1182">
        <v>40</v>
      </c>
      <c r="Z1182">
        <v>0.34722222222222221</v>
      </c>
      <c r="AA1182">
        <v>75</v>
      </c>
      <c r="AB1182">
        <v>15.8</v>
      </c>
      <c r="AD1182">
        <v>38</v>
      </c>
      <c r="AE1182">
        <v>35</v>
      </c>
      <c r="AF1182">
        <v>34.533723538635904</v>
      </c>
      <c r="AG1182">
        <v>30.685592064046812</v>
      </c>
      <c r="AH1182">
        <v>65.219315602682713</v>
      </c>
      <c r="AI1182">
        <v>4.489384060022668</v>
      </c>
      <c r="AJ1182">
        <v>4.8483235461193965</v>
      </c>
      <c r="AK1182">
        <v>9.3377076061420645</v>
      </c>
      <c r="AL1182">
        <v>139.68085534218321</v>
      </c>
      <c r="AM1182">
        <v>22.834191504888356</v>
      </c>
      <c r="AN1182">
        <v>1.6347402404538751</v>
      </c>
      <c r="AO1182">
        <v>13.000000000000002</v>
      </c>
      <c r="AP1182">
        <v>14.317395881654988</v>
      </c>
      <c r="AQ1182">
        <v>19.998661030222205</v>
      </c>
      <c r="AR1182">
        <v>87.582085075974248</v>
      </c>
      <c r="AS1182">
        <v>-0.24138297101600947</v>
      </c>
      <c r="AT1182">
        <v>11.099602869369003</v>
      </c>
      <c r="AU1182">
        <v>48.609572478153183</v>
      </c>
    </row>
    <row r="1183" spans="1:47" x14ac:dyDescent="0.35">
      <c r="A1183">
        <v>1181</v>
      </c>
      <c r="B1183">
        <v>46085</v>
      </c>
      <c r="C1183" t="s">
        <v>16</v>
      </c>
      <c r="D1183" t="s">
        <v>427</v>
      </c>
      <c r="E1183" t="s">
        <v>226</v>
      </c>
      <c r="F1183" t="s">
        <v>231</v>
      </c>
      <c r="G1183" t="s">
        <v>232</v>
      </c>
      <c r="H1183" t="s">
        <v>22</v>
      </c>
      <c r="I1183" t="s">
        <v>23</v>
      </c>
      <c r="J1183" t="s">
        <v>215</v>
      </c>
      <c r="K1183" t="s">
        <v>426</v>
      </c>
      <c r="L1183">
        <v>30</v>
      </c>
      <c r="M1183">
        <v>71</v>
      </c>
      <c r="N1183">
        <v>3</v>
      </c>
      <c r="O1183">
        <v>1</v>
      </c>
      <c r="P1183">
        <v>105</v>
      </c>
      <c r="Q1183">
        <v>0.50039999999999996</v>
      </c>
      <c r="R1183">
        <v>472.43879919082701</v>
      </c>
      <c r="S1183">
        <v>166.53879919082698</v>
      </c>
      <c r="T1183">
        <v>0.33819444444444446</v>
      </c>
      <c r="U1183">
        <v>40.5</v>
      </c>
      <c r="V1183">
        <v>0.67569444444444449</v>
      </c>
      <c r="W1183">
        <v>92</v>
      </c>
      <c r="X1183">
        <v>14.5</v>
      </c>
      <c r="Y1183">
        <v>40</v>
      </c>
      <c r="Z1183">
        <v>0.34722222222222221</v>
      </c>
      <c r="AA1183">
        <v>86</v>
      </c>
      <c r="AB1183">
        <v>16.8</v>
      </c>
      <c r="AD1183">
        <v>51.5</v>
      </c>
      <c r="AE1183">
        <v>46</v>
      </c>
      <c r="AF1183">
        <v>48.033723538635904</v>
      </c>
      <c r="AG1183">
        <v>41.685592064046816</v>
      </c>
      <c r="AH1183">
        <v>89.719315602682713</v>
      </c>
      <c r="AI1183">
        <v>6.9648899131022057</v>
      </c>
      <c r="AJ1183">
        <v>7.0031794667598657</v>
      </c>
      <c r="AK1183">
        <v>13.968069379862072</v>
      </c>
      <c r="AL1183">
        <v>189.90674719424004</v>
      </c>
      <c r="AM1183">
        <v>35.250872594729202</v>
      </c>
      <c r="AN1183">
        <v>1.8562201246422267</v>
      </c>
      <c r="AO1183">
        <v>14.5</v>
      </c>
      <c r="AP1183">
        <v>15.568631220638078</v>
      </c>
      <c r="AQ1183">
        <v>29.565881133780682</v>
      </c>
      <c r="AR1183">
        <v>83.872763870819597</v>
      </c>
      <c r="AS1183">
        <v>-0.79281238127619968</v>
      </c>
      <c r="AT1183">
        <v>16.409575549683122</v>
      </c>
      <c r="AU1183">
        <v>46.550835034184992</v>
      </c>
    </row>
    <row r="1184" spans="1:47" x14ac:dyDescent="0.35">
      <c r="A1184">
        <v>1182</v>
      </c>
      <c r="B1184">
        <v>46085</v>
      </c>
      <c r="C1184" t="s">
        <v>16</v>
      </c>
      <c r="D1184" t="s">
        <v>427</v>
      </c>
      <c r="E1184" t="s">
        <v>226</v>
      </c>
      <c r="F1184" t="s">
        <v>231</v>
      </c>
      <c r="G1184" t="s">
        <v>232</v>
      </c>
      <c r="H1184" t="s">
        <v>22</v>
      </c>
      <c r="I1184" t="s">
        <v>23</v>
      </c>
      <c r="J1184" t="s">
        <v>215</v>
      </c>
      <c r="K1184" t="s">
        <v>426</v>
      </c>
      <c r="L1184">
        <v>30</v>
      </c>
      <c r="M1184">
        <v>71</v>
      </c>
      <c r="N1184">
        <v>3</v>
      </c>
      <c r="O1184">
        <v>2</v>
      </c>
      <c r="P1184">
        <v>106</v>
      </c>
      <c r="Q1184">
        <v>0.5</v>
      </c>
      <c r="R1184">
        <v>472.0611502706106</v>
      </c>
      <c r="S1184">
        <v>144.46115027061057</v>
      </c>
      <c r="T1184">
        <v>0.33888888888888891</v>
      </c>
      <c r="U1184">
        <v>41</v>
      </c>
      <c r="V1184">
        <v>0.67569444444444449</v>
      </c>
      <c r="W1184">
        <v>91</v>
      </c>
      <c r="X1184">
        <v>14.9</v>
      </c>
      <c r="Y1184">
        <v>40.5</v>
      </c>
      <c r="Z1184">
        <v>0.34791666666666665</v>
      </c>
      <c r="AA1184">
        <v>85.5</v>
      </c>
      <c r="AB1184">
        <v>16.899999999999999</v>
      </c>
      <c r="AD1184">
        <v>50</v>
      </c>
      <c r="AE1184">
        <v>45</v>
      </c>
      <c r="AF1184">
        <v>46.533723538635904</v>
      </c>
      <c r="AG1184">
        <v>40.685592064046816</v>
      </c>
      <c r="AH1184">
        <v>87.219315602682713</v>
      </c>
      <c r="AI1184">
        <v>6.9335248072567497</v>
      </c>
      <c r="AJ1184">
        <v>6.8758650588239112</v>
      </c>
      <c r="AK1184">
        <v>13.809389866080661</v>
      </c>
      <c r="AL1184">
        <v>184.76274853942959</v>
      </c>
      <c r="AM1184">
        <v>30.602211215177892</v>
      </c>
      <c r="AN1184">
        <v>1.6562976821405739</v>
      </c>
      <c r="AO1184">
        <v>14.9</v>
      </c>
      <c r="AP1184">
        <v>15.832949124466539</v>
      </c>
      <c r="AQ1184">
        <v>29.25339197721393</v>
      </c>
      <c r="AR1184">
        <v>95.592412494378891</v>
      </c>
      <c r="AS1184">
        <v>-0.52985085111918262</v>
      </c>
      <c r="AT1184">
        <v>16.236138661401782</v>
      </c>
      <c r="AU1184">
        <v>53.055442782347313</v>
      </c>
    </row>
    <row r="1185" spans="1:48" x14ac:dyDescent="0.35">
      <c r="A1185">
        <v>1183</v>
      </c>
      <c r="B1185">
        <v>46085</v>
      </c>
      <c r="D1185" t="s">
        <v>541</v>
      </c>
      <c r="E1185" t="s">
        <v>538</v>
      </c>
      <c r="F1185" t="s">
        <v>542</v>
      </c>
      <c r="G1185" t="s">
        <v>541</v>
      </c>
      <c r="K1185" t="s">
        <v>543</v>
      </c>
      <c r="L1185">
        <v>30</v>
      </c>
      <c r="M1185">
        <v>71</v>
      </c>
      <c r="N1185">
        <v>3</v>
      </c>
      <c r="O1185">
        <v>1</v>
      </c>
      <c r="P1185">
        <v>107</v>
      </c>
      <c r="T1185">
        <v>0.33888888888888891</v>
      </c>
      <c r="U1185">
        <v>40</v>
      </c>
      <c r="V1185">
        <v>0.67638888888888893</v>
      </c>
      <c r="W1185">
        <v>43.5</v>
      </c>
      <c r="AD1185">
        <v>3.5</v>
      </c>
    </row>
    <row r="1186" spans="1:48" x14ac:dyDescent="0.35">
      <c r="A1186">
        <v>1184</v>
      </c>
      <c r="B1186">
        <v>46085</v>
      </c>
      <c r="D1186" t="s">
        <v>541</v>
      </c>
      <c r="E1186" t="s">
        <v>538</v>
      </c>
      <c r="F1186" t="s">
        <v>542</v>
      </c>
      <c r="G1186" t="s">
        <v>541</v>
      </c>
      <c r="K1186" t="s">
        <v>543</v>
      </c>
      <c r="L1186">
        <v>30</v>
      </c>
      <c r="M1186">
        <v>71</v>
      </c>
      <c r="N1186">
        <v>3</v>
      </c>
      <c r="O1186">
        <v>2</v>
      </c>
      <c r="P1186">
        <v>108</v>
      </c>
      <c r="T1186">
        <v>0.33888888888888891</v>
      </c>
      <c r="U1186">
        <v>39.5</v>
      </c>
      <c r="V1186">
        <v>0.67777777777777781</v>
      </c>
      <c r="W1186">
        <v>44</v>
      </c>
      <c r="AD1186">
        <v>4.5</v>
      </c>
    </row>
    <row r="1187" spans="1:48" x14ac:dyDescent="0.35">
      <c r="A1187">
        <v>1185</v>
      </c>
      <c r="B1187">
        <v>46085</v>
      </c>
      <c r="C1187" t="s">
        <v>16</v>
      </c>
      <c r="D1187" t="s">
        <v>429</v>
      </c>
      <c r="E1187" t="s">
        <v>212</v>
      </c>
      <c r="F1187" t="s">
        <v>213</v>
      </c>
      <c r="G1187" t="s">
        <v>214</v>
      </c>
      <c r="H1187" t="s">
        <v>22</v>
      </c>
      <c r="I1187" t="s">
        <v>23</v>
      </c>
      <c r="J1187" t="s">
        <v>215</v>
      </c>
      <c r="K1187" t="s">
        <v>428</v>
      </c>
      <c r="L1187">
        <v>30</v>
      </c>
      <c r="M1187">
        <v>71</v>
      </c>
      <c r="N1187">
        <v>3</v>
      </c>
      <c r="O1187">
        <v>1</v>
      </c>
      <c r="P1187">
        <v>109</v>
      </c>
      <c r="Q1187">
        <v>0.50019999999999998</v>
      </c>
      <c r="R1187">
        <v>466.84509665667184</v>
      </c>
      <c r="S1187">
        <v>173.04509665667177</v>
      </c>
      <c r="T1187">
        <v>0.33958333333333335</v>
      </c>
      <c r="U1187">
        <v>41.5</v>
      </c>
      <c r="V1187">
        <v>0.67777777777777781</v>
      </c>
      <c r="W1187">
        <v>78</v>
      </c>
      <c r="X1187">
        <v>15.1</v>
      </c>
      <c r="Y1187">
        <v>40.5</v>
      </c>
      <c r="Z1187">
        <v>0.34861111111111109</v>
      </c>
      <c r="AA1187">
        <v>76</v>
      </c>
      <c r="AB1187">
        <v>16.2</v>
      </c>
      <c r="AD1187">
        <v>36.5</v>
      </c>
      <c r="AE1187">
        <v>35.5</v>
      </c>
      <c r="AF1187">
        <v>33.033723538635904</v>
      </c>
      <c r="AG1187">
        <v>31.185592064046812</v>
      </c>
      <c r="AH1187">
        <v>64.219315602682713</v>
      </c>
      <c r="AI1187">
        <v>4.9880922543340214</v>
      </c>
      <c r="AJ1187">
        <v>5.0520659143755839</v>
      </c>
      <c r="AK1187">
        <v>10.040158168709606</v>
      </c>
      <c r="AL1187">
        <v>137.56022300028783</v>
      </c>
      <c r="AM1187">
        <v>37.066919604798365</v>
      </c>
      <c r="AN1187">
        <v>2.6945957774959992</v>
      </c>
      <c r="AO1187">
        <v>15.099999999999998</v>
      </c>
      <c r="AP1187">
        <v>15.634171860109618</v>
      </c>
      <c r="AQ1187">
        <v>21.506401675015042</v>
      </c>
      <c r="AR1187">
        <v>58.020471904093711</v>
      </c>
      <c r="AS1187">
        <v>-0.89950754523699572</v>
      </c>
      <c r="AT1187">
        <v>11.936425012707309</v>
      </c>
      <c r="AU1187">
        <v>32.202365721164817</v>
      </c>
    </row>
    <row r="1188" spans="1:48" x14ac:dyDescent="0.35">
      <c r="A1188">
        <v>1186</v>
      </c>
      <c r="B1188">
        <v>46085</v>
      </c>
      <c r="C1188" t="s">
        <v>16</v>
      </c>
      <c r="D1188" t="s">
        <v>429</v>
      </c>
      <c r="E1188" t="s">
        <v>212</v>
      </c>
      <c r="F1188" t="s">
        <v>213</v>
      </c>
      <c r="G1188" t="s">
        <v>214</v>
      </c>
      <c r="H1188" t="s">
        <v>22</v>
      </c>
      <c r="I1188" t="s">
        <v>23</v>
      </c>
      <c r="J1188" t="s">
        <v>215</v>
      </c>
      <c r="K1188" t="s">
        <v>428</v>
      </c>
      <c r="L1188">
        <v>30</v>
      </c>
      <c r="M1188">
        <v>71</v>
      </c>
      <c r="N1188">
        <v>3</v>
      </c>
      <c r="O1188">
        <v>2</v>
      </c>
      <c r="P1188">
        <v>110</v>
      </c>
      <c r="Q1188">
        <v>0.5</v>
      </c>
      <c r="R1188">
        <v>466.65843328335853</v>
      </c>
      <c r="S1188">
        <v>164.95843328335854</v>
      </c>
      <c r="T1188">
        <v>0.33958333333333335</v>
      </c>
      <c r="U1188">
        <v>40</v>
      </c>
      <c r="V1188">
        <v>0.67777777777777781</v>
      </c>
      <c r="W1188">
        <v>77.5</v>
      </c>
      <c r="X1188">
        <v>14.9</v>
      </c>
      <c r="Y1188">
        <v>40</v>
      </c>
      <c r="Z1188">
        <v>0.34861111111111109</v>
      </c>
      <c r="AA1188">
        <v>75.5</v>
      </c>
      <c r="AB1188">
        <v>16.100000000000001</v>
      </c>
      <c r="AD1188">
        <v>37.5</v>
      </c>
      <c r="AE1188">
        <v>35.5</v>
      </c>
      <c r="AF1188">
        <v>34.033723538635904</v>
      </c>
      <c r="AG1188">
        <v>31.185592064046812</v>
      </c>
      <c r="AH1188">
        <v>65.219315602682713</v>
      </c>
      <c r="AI1188">
        <v>5.0710248072567499</v>
      </c>
      <c r="AJ1188">
        <v>5.0208803223115366</v>
      </c>
      <c r="AK1188">
        <v>10.091905129568286</v>
      </c>
      <c r="AL1188">
        <v>139.75814203936403</v>
      </c>
      <c r="AM1188">
        <v>35.348859362238187</v>
      </c>
      <c r="AN1188">
        <v>2.5292880147391976</v>
      </c>
      <c r="AO1188">
        <v>14.900000000000002</v>
      </c>
      <c r="AP1188">
        <v>15.473797963548652</v>
      </c>
      <c r="AQ1188">
        <v>21.625892536780544</v>
      </c>
      <c r="AR1188">
        <v>61.178473441444744</v>
      </c>
      <c r="AS1188">
        <v>-0.71087104493426556</v>
      </c>
      <c r="AT1188">
        <v>12.002744508303113</v>
      </c>
      <c r="AU1188">
        <v>33.955111211099442</v>
      </c>
    </row>
    <row r="1189" spans="1:48" x14ac:dyDescent="0.35">
      <c r="A1189">
        <v>1187</v>
      </c>
      <c r="B1189">
        <v>46085</v>
      </c>
      <c r="C1189" t="s">
        <v>16</v>
      </c>
      <c r="D1189" t="s">
        <v>431</v>
      </c>
      <c r="E1189" t="s">
        <v>212</v>
      </c>
      <c r="F1189" t="s">
        <v>404</v>
      </c>
      <c r="G1189" t="s">
        <v>433</v>
      </c>
      <c r="H1189" t="s">
        <v>22</v>
      </c>
      <c r="I1189" t="s">
        <v>23</v>
      </c>
      <c r="J1189" t="s">
        <v>215</v>
      </c>
      <c r="K1189" t="s">
        <v>430</v>
      </c>
      <c r="L1189">
        <v>30</v>
      </c>
      <c r="M1189">
        <v>71</v>
      </c>
      <c r="N1189">
        <v>3</v>
      </c>
      <c r="O1189">
        <v>1</v>
      </c>
      <c r="P1189">
        <v>111</v>
      </c>
      <c r="Q1189">
        <v>0.50029999999999997</v>
      </c>
      <c r="R1189">
        <v>478.04889805097469</v>
      </c>
      <c r="S1189">
        <v>117.84889805097458</v>
      </c>
      <c r="T1189">
        <v>0.33958333333333335</v>
      </c>
      <c r="U1189">
        <v>40.5</v>
      </c>
      <c r="V1189">
        <v>0.67847222222222225</v>
      </c>
      <c r="W1189">
        <v>75.5</v>
      </c>
      <c r="X1189">
        <v>13.9</v>
      </c>
      <c r="Y1189">
        <v>40</v>
      </c>
      <c r="Z1189">
        <v>0.34930555555555554</v>
      </c>
      <c r="AA1189">
        <v>75.5</v>
      </c>
      <c r="AB1189">
        <v>15.8</v>
      </c>
      <c r="AD1189">
        <v>35</v>
      </c>
      <c r="AE1189">
        <v>35.5</v>
      </c>
      <c r="AF1189">
        <v>31.5337235386359</v>
      </c>
      <c r="AG1189">
        <v>31.185592064046812</v>
      </c>
      <c r="AH1189">
        <v>62.719315602682713</v>
      </c>
      <c r="AI1189">
        <v>4.3831875718703905</v>
      </c>
      <c r="AJ1189">
        <v>4.9273235461193963</v>
      </c>
      <c r="AK1189">
        <v>9.3105111179897868</v>
      </c>
      <c r="AL1189">
        <v>131.19853608781858</v>
      </c>
      <c r="AM1189">
        <v>24.652059346114896</v>
      </c>
      <c r="AN1189">
        <v>1.878988903474798</v>
      </c>
      <c r="AO1189">
        <v>13.900000000000002</v>
      </c>
      <c r="AP1189">
        <v>14.84472690513789</v>
      </c>
      <c r="AQ1189">
        <v>19.476064385775452</v>
      </c>
      <c r="AR1189">
        <v>79.003802937237481</v>
      </c>
      <c r="AS1189">
        <v>-0.35270951998128391</v>
      </c>
      <c r="AT1189">
        <v>10.809552690236615</v>
      </c>
      <c r="AU1189">
        <v>43.84847747796848</v>
      </c>
    </row>
    <row r="1190" spans="1:48" x14ac:dyDescent="0.35">
      <c r="A1190">
        <v>1188</v>
      </c>
      <c r="B1190">
        <v>46085</v>
      </c>
      <c r="C1190" t="s">
        <v>16</v>
      </c>
      <c r="D1190" t="s">
        <v>431</v>
      </c>
      <c r="E1190" t="s">
        <v>212</v>
      </c>
      <c r="F1190" t="s">
        <v>404</v>
      </c>
      <c r="G1190" t="s">
        <v>433</v>
      </c>
      <c r="H1190" t="s">
        <v>22</v>
      </c>
      <c r="I1190" t="s">
        <v>23</v>
      </c>
      <c r="J1190" t="s">
        <v>215</v>
      </c>
      <c r="K1190" t="s">
        <v>430</v>
      </c>
      <c r="L1190">
        <v>30</v>
      </c>
      <c r="M1190">
        <v>71</v>
      </c>
      <c r="N1190">
        <v>3</v>
      </c>
      <c r="O1190">
        <v>2</v>
      </c>
      <c r="P1190">
        <v>112</v>
      </c>
      <c r="Q1190">
        <v>0.50039999999999996</v>
      </c>
      <c r="R1190">
        <v>478.14445049911598</v>
      </c>
      <c r="S1190">
        <v>132.84445049911591</v>
      </c>
      <c r="T1190">
        <v>0.34097222222222223</v>
      </c>
      <c r="U1190">
        <v>40.5</v>
      </c>
      <c r="V1190">
        <v>0.6791666666666667</v>
      </c>
      <c r="W1190">
        <v>74</v>
      </c>
      <c r="X1190">
        <v>14.2</v>
      </c>
      <c r="Y1190">
        <v>40</v>
      </c>
      <c r="Z1190">
        <v>0.34930555555555554</v>
      </c>
      <c r="AA1190">
        <v>76</v>
      </c>
      <c r="AB1190">
        <v>15.9</v>
      </c>
      <c r="AC1190" t="s">
        <v>595</v>
      </c>
      <c r="AD1190">
        <v>33.5</v>
      </c>
      <c r="AE1190">
        <v>36</v>
      </c>
      <c r="AF1190">
        <v>30.0337235386359</v>
      </c>
      <c r="AG1190">
        <v>31.685592064046812</v>
      </c>
      <c r="AH1190">
        <v>61.719315602682713</v>
      </c>
      <c r="AI1190">
        <v>4.2647887424862976</v>
      </c>
      <c r="AJ1190">
        <v>5.0380091381834431</v>
      </c>
      <c r="AK1190">
        <v>9.3027978806697398</v>
      </c>
      <c r="AL1190">
        <v>129.08089916814129</v>
      </c>
      <c r="AM1190">
        <v>27.783329987505841</v>
      </c>
      <c r="AN1190">
        <v>2.152396688166478</v>
      </c>
      <c r="AO1190">
        <v>14.200000000000001</v>
      </c>
      <c r="AP1190">
        <v>15.072749575767139</v>
      </c>
      <c r="AQ1190">
        <v>19.456040681762424</v>
      </c>
      <c r="AR1190">
        <v>70.027749339304549</v>
      </c>
      <c r="AS1190">
        <v>-0.43996588083668231</v>
      </c>
      <c r="AT1190">
        <v>10.798439188078524</v>
      </c>
      <c r="AU1190">
        <v>38.866612436070767</v>
      </c>
    </row>
    <row r="1191" spans="1:48" x14ac:dyDescent="0.35">
      <c r="A1191">
        <v>1189</v>
      </c>
      <c r="B1191">
        <v>46085</v>
      </c>
      <c r="C1191" t="s">
        <v>16</v>
      </c>
      <c r="D1191" t="s">
        <v>435</v>
      </c>
      <c r="E1191" t="s">
        <v>219</v>
      </c>
      <c r="F1191" t="s">
        <v>220</v>
      </c>
      <c r="G1191" t="s">
        <v>221</v>
      </c>
      <c r="H1191" t="s">
        <v>22</v>
      </c>
      <c r="I1191" t="s">
        <v>23</v>
      </c>
      <c r="J1191" t="s">
        <v>215</v>
      </c>
      <c r="K1191" t="s">
        <v>434</v>
      </c>
      <c r="L1191">
        <v>30</v>
      </c>
      <c r="M1191">
        <v>71</v>
      </c>
      <c r="N1191">
        <v>3</v>
      </c>
      <c r="O1191">
        <v>1</v>
      </c>
      <c r="P1191">
        <v>113</v>
      </c>
      <c r="Q1191">
        <v>0.50009999999999999</v>
      </c>
      <c r="R1191">
        <v>454.58407342115203</v>
      </c>
      <c r="S1191">
        <v>178.38407342115204</v>
      </c>
      <c r="T1191">
        <v>0.33958333333333335</v>
      </c>
      <c r="U1191">
        <v>41</v>
      </c>
      <c r="V1191">
        <v>0.6791666666666667</v>
      </c>
      <c r="W1191">
        <v>85</v>
      </c>
      <c r="X1191">
        <v>14.3</v>
      </c>
      <c r="Y1191">
        <v>40</v>
      </c>
      <c r="Z1191">
        <v>0.35</v>
      </c>
      <c r="AA1191">
        <v>92</v>
      </c>
      <c r="AB1191">
        <v>17.2</v>
      </c>
      <c r="AD1191">
        <v>44</v>
      </c>
      <c r="AE1191">
        <v>52</v>
      </c>
      <c r="AF1191">
        <v>40.533723538635904</v>
      </c>
      <c r="AG1191">
        <v>47.685592064046816</v>
      </c>
      <c r="AH1191">
        <v>88.219315602682713</v>
      </c>
      <c r="AI1191">
        <v>5.7963224660249351</v>
      </c>
      <c r="AJ1191">
        <v>8.2019218350160514</v>
      </c>
      <c r="AK1191">
        <v>13.998244301040987</v>
      </c>
      <c r="AL1191">
        <v>194.0660061817683</v>
      </c>
      <c r="AN1191">
        <v>2.0220523385666285</v>
      </c>
      <c r="AO1191">
        <v>14.300000000000002</v>
      </c>
      <c r="AP1191">
        <v>15.867550326603652</v>
      </c>
      <c r="AQ1191">
        <v>30.793521197721844</v>
      </c>
      <c r="AR1191">
        <v>78.472500557783164</v>
      </c>
      <c r="AS1191">
        <v>-0.57892111793821832</v>
      </c>
      <c r="AT1191">
        <v>17.090937024617933</v>
      </c>
      <c r="AU1191">
        <v>43.553595465288652</v>
      </c>
    </row>
    <row r="1192" spans="1:48" x14ac:dyDescent="0.35">
      <c r="A1192">
        <v>1190</v>
      </c>
      <c r="B1192">
        <v>46085</v>
      </c>
      <c r="C1192" t="s">
        <v>16</v>
      </c>
      <c r="D1192" t="s">
        <v>435</v>
      </c>
      <c r="E1192" t="s">
        <v>219</v>
      </c>
      <c r="F1192" t="s">
        <v>220</v>
      </c>
      <c r="G1192" t="s">
        <v>221</v>
      </c>
      <c r="H1192" t="s">
        <v>22</v>
      </c>
      <c r="I1192" t="s">
        <v>23</v>
      </c>
      <c r="J1192" t="s">
        <v>215</v>
      </c>
      <c r="K1192" t="s">
        <v>434</v>
      </c>
      <c r="L1192">
        <v>30</v>
      </c>
      <c r="M1192">
        <v>71</v>
      </c>
      <c r="N1192">
        <v>3</v>
      </c>
      <c r="O1192">
        <v>2</v>
      </c>
      <c r="P1192">
        <v>114</v>
      </c>
      <c r="Q1192">
        <v>0.50019999999999998</v>
      </c>
      <c r="R1192">
        <v>454.67497205610925</v>
      </c>
      <c r="S1192">
        <v>221.07497205610923</v>
      </c>
      <c r="T1192">
        <v>0.34027777777777779</v>
      </c>
      <c r="U1192">
        <v>42</v>
      </c>
      <c r="V1192">
        <v>0.67986111111111114</v>
      </c>
      <c r="W1192">
        <v>88</v>
      </c>
      <c r="X1192">
        <v>13.7</v>
      </c>
      <c r="Y1192">
        <v>40.5</v>
      </c>
      <c r="Z1192">
        <v>0.35</v>
      </c>
      <c r="AA1192">
        <v>90.5</v>
      </c>
      <c r="AB1192">
        <v>17.3</v>
      </c>
      <c r="AD1192">
        <v>46</v>
      </c>
      <c r="AE1192">
        <v>50</v>
      </c>
      <c r="AF1192">
        <v>42.533723538635904</v>
      </c>
      <c r="AG1192">
        <v>45.685592064046816</v>
      </c>
      <c r="AH1192">
        <v>88.219315602682713</v>
      </c>
      <c r="AI1192">
        <v>5.8271201247931179</v>
      </c>
      <c r="AJ1192">
        <v>7.9036074270801002</v>
      </c>
      <c r="AK1192">
        <v>13.730727551873219</v>
      </c>
      <c r="AL1192">
        <v>194.02720849960482</v>
      </c>
      <c r="AM1192">
        <v>48.622639389270681</v>
      </c>
      <c r="AN1192">
        <v>2.5059701556944116</v>
      </c>
      <c r="AO1192">
        <v>13.699999999999998</v>
      </c>
      <c r="AP1192">
        <v>15.564309763762974</v>
      </c>
      <c r="AQ1192">
        <v>30.198995756860739</v>
      </c>
      <c r="AR1192">
        <v>62.108919088264479</v>
      </c>
      <c r="AS1192">
        <v>-2.7429257731512773</v>
      </c>
      <c r="AT1192">
        <v>16.760965119032743</v>
      </c>
      <c r="AU1192">
        <v>34.471524642759938</v>
      </c>
    </row>
    <row r="1193" spans="1:48" x14ac:dyDescent="0.35">
      <c r="A1193">
        <v>1191</v>
      </c>
      <c r="B1193">
        <v>46085</v>
      </c>
      <c r="C1193" t="s">
        <v>16</v>
      </c>
      <c r="D1193" t="s">
        <v>437</v>
      </c>
      <c r="E1193" t="s">
        <v>333</v>
      </c>
      <c r="F1193" t="s">
        <v>438</v>
      </c>
      <c r="G1193" t="s">
        <v>439</v>
      </c>
      <c r="H1193" t="s">
        <v>22</v>
      </c>
      <c r="I1193" t="s">
        <v>23</v>
      </c>
      <c r="J1193" t="s">
        <v>215</v>
      </c>
      <c r="K1193" t="s">
        <v>436</v>
      </c>
      <c r="L1193">
        <v>30</v>
      </c>
      <c r="M1193">
        <v>71</v>
      </c>
      <c r="N1193">
        <v>3</v>
      </c>
      <c r="O1193">
        <v>1</v>
      </c>
      <c r="P1193">
        <v>115</v>
      </c>
      <c r="Q1193">
        <v>0.50049999999999994</v>
      </c>
      <c r="R1193">
        <v>482.81453356040794</v>
      </c>
      <c r="S1193">
        <v>174.21453356040797</v>
      </c>
      <c r="T1193">
        <v>0.34097222222222223</v>
      </c>
      <c r="U1193">
        <v>41</v>
      </c>
      <c r="V1193">
        <v>0.67986111111111114</v>
      </c>
      <c r="W1193">
        <v>87</v>
      </c>
      <c r="X1193">
        <v>14.2</v>
      </c>
      <c r="Y1193">
        <v>40</v>
      </c>
      <c r="Z1193">
        <v>0.35069444444444442</v>
      </c>
      <c r="AA1193">
        <v>89.5</v>
      </c>
      <c r="AB1193">
        <v>14.9</v>
      </c>
      <c r="AD1193">
        <v>46</v>
      </c>
      <c r="AE1193">
        <v>49.5</v>
      </c>
      <c r="AF1193">
        <v>42.533723538635904</v>
      </c>
      <c r="AG1193">
        <v>45.185592064046816</v>
      </c>
      <c r="AH1193">
        <v>87.719315602682713</v>
      </c>
      <c r="AI1193">
        <v>6.0397887424862979</v>
      </c>
      <c r="AJ1193">
        <v>6.7326532175429756</v>
      </c>
      <c r="AK1193">
        <v>12.772441960029273</v>
      </c>
      <c r="AL1193">
        <v>181.68325413863624</v>
      </c>
      <c r="AM1193">
        <v>36.083117108282096</v>
      </c>
      <c r="AN1193">
        <v>1.9860452896087117</v>
      </c>
      <c r="AO1193">
        <v>14.2</v>
      </c>
      <c r="AP1193">
        <v>14.560580953322729</v>
      </c>
      <c r="AQ1193">
        <v>26.4541372974872</v>
      </c>
      <c r="AR1193">
        <v>73.314445695200831</v>
      </c>
      <c r="AS1193">
        <v>-0.40779407756228125</v>
      </c>
      <c r="AT1193">
        <v>14.682503884141683</v>
      </c>
      <c r="AU1193">
        <v>40.690785776851946</v>
      </c>
    </row>
    <row r="1194" spans="1:48" x14ac:dyDescent="0.35">
      <c r="A1194">
        <v>1192</v>
      </c>
      <c r="B1194">
        <v>46085</v>
      </c>
      <c r="C1194" t="s">
        <v>16</v>
      </c>
      <c r="D1194" t="s">
        <v>437</v>
      </c>
      <c r="E1194" t="s">
        <v>333</v>
      </c>
      <c r="F1194" t="s">
        <v>438</v>
      </c>
      <c r="G1194" t="s">
        <v>439</v>
      </c>
      <c r="H1194" t="s">
        <v>22</v>
      </c>
      <c r="I1194" t="s">
        <v>23</v>
      </c>
      <c r="J1194" t="s">
        <v>215</v>
      </c>
      <c r="K1194" t="s">
        <v>436</v>
      </c>
      <c r="L1194">
        <v>30</v>
      </c>
      <c r="M1194">
        <v>71</v>
      </c>
      <c r="N1194">
        <v>3</v>
      </c>
      <c r="O1194">
        <v>2</v>
      </c>
      <c r="P1194">
        <v>116</v>
      </c>
      <c r="Q1194">
        <v>0.50009999999999999</v>
      </c>
      <c r="R1194">
        <v>482.42866779932069</v>
      </c>
      <c r="S1194">
        <v>230.42866779932069</v>
      </c>
      <c r="T1194">
        <v>0.34236111111111112</v>
      </c>
      <c r="U1194">
        <v>41</v>
      </c>
      <c r="V1194">
        <v>0.68055555555555558</v>
      </c>
      <c r="W1194">
        <v>87.5</v>
      </c>
      <c r="X1194">
        <v>14.6</v>
      </c>
      <c r="Y1194">
        <v>40.5</v>
      </c>
      <c r="Z1194">
        <v>0.35138888888888886</v>
      </c>
      <c r="AA1194">
        <v>92.5</v>
      </c>
      <c r="AB1194">
        <v>14.6</v>
      </c>
      <c r="AD1194">
        <v>46.5</v>
      </c>
      <c r="AE1194">
        <v>52</v>
      </c>
      <c r="AF1194">
        <v>43.033723538635904</v>
      </c>
      <c r="AG1194">
        <v>47.685592064046816</v>
      </c>
      <c r="AH1194">
        <v>90.719315602682713</v>
      </c>
      <c r="AI1194">
        <v>6.2829236366408416</v>
      </c>
      <c r="AJ1194">
        <v>6.9620964413508348</v>
      </c>
      <c r="AK1194">
        <v>13.245020077991676</v>
      </c>
      <c r="AL1194">
        <v>188.04710759937649</v>
      </c>
      <c r="AM1194">
        <v>47.764298264126744</v>
      </c>
      <c r="AN1194">
        <v>2.5400177048128718</v>
      </c>
      <c r="AO1194">
        <v>14.6</v>
      </c>
      <c r="AP1194">
        <v>14.6</v>
      </c>
      <c r="AQ1194">
        <v>27.454877709508963</v>
      </c>
      <c r="AR1194">
        <v>57.479914302706057</v>
      </c>
      <c r="AS1194">
        <v>-1.8091392116293827</v>
      </c>
      <c r="AT1194">
        <v>15.237932126661724</v>
      </c>
      <c r="AU1194">
        <v>31.902346900187027</v>
      </c>
    </row>
    <row r="1195" spans="1:48" x14ac:dyDescent="0.35">
      <c r="A1195">
        <v>1193</v>
      </c>
      <c r="B1195">
        <v>46085</v>
      </c>
      <c r="C1195" t="s">
        <v>16</v>
      </c>
      <c r="D1195" t="s">
        <v>441</v>
      </c>
      <c r="E1195" t="s">
        <v>442</v>
      </c>
      <c r="F1195" t="s">
        <v>443</v>
      </c>
      <c r="G1195" t="s">
        <v>444</v>
      </c>
      <c r="H1195" t="s">
        <v>22</v>
      </c>
      <c r="I1195" t="s">
        <v>23</v>
      </c>
      <c r="J1195" t="s">
        <v>215</v>
      </c>
      <c r="K1195" t="s">
        <v>440</v>
      </c>
      <c r="L1195">
        <v>30</v>
      </c>
      <c r="M1195">
        <v>71</v>
      </c>
      <c r="N1195">
        <v>3</v>
      </c>
      <c r="O1195">
        <v>1</v>
      </c>
      <c r="P1195">
        <v>117</v>
      </c>
      <c r="Q1195">
        <v>0.50019999999999998</v>
      </c>
      <c r="R1195">
        <v>481.1980798142074</v>
      </c>
      <c r="S1195">
        <v>68.098079814207381</v>
      </c>
      <c r="T1195">
        <v>0.34236111111111112</v>
      </c>
      <c r="U1195">
        <v>40</v>
      </c>
      <c r="V1195">
        <v>0.68055555555555558</v>
      </c>
      <c r="W1195">
        <v>72.5</v>
      </c>
      <c r="X1195">
        <v>13</v>
      </c>
      <c r="Y1195">
        <v>40</v>
      </c>
      <c r="Z1195">
        <v>0.35138888888888886</v>
      </c>
      <c r="AA1195">
        <v>70</v>
      </c>
      <c r="AB1195">
        <v>14.7</v>
      </c>
      <c r="AD1195">
        <v>32.5</v>
      </c>
      <c r="AE1195">
        <v>30</v>
      </c>
      <c r="AF1195">
        <v>29.0337235386359</v>
      </c>
      <c r="AG1195">
        <v>25.685592064046812</v>
      </c>
      <c r="AH1195">
        <v>54.719315602682713</v>
      </c>
      <c r="AI1195">
        <v>3.7743840600226672</v>
      </c>
      <c r="AJ1195">
        <v>3.7757820334148811</v>
      </c>
      <c r="AK1195">
        <v>7.5501660934375483</v>
      </c>
      <c r="AL1195">
        <v>113.71474221969063</v>
      </c>
      <c r="AM1195">
        <v>14.151777131051798</v>
      </c>
      <c r="AN1195">
        <v>1.2444980180064378</v>
      </c>
      <c r="AO1195">
        <v>13</v>
      </c>
      <c r="AP1195">
        <v>13.79799072828204</v>
      </c>
      <c r="AQ1195">
        <v>15.690349588162736</v>
      </c>
      <c r="AR1195">
        <v>110.87193815209969</v>
      </c>
      <c r="AS1195">
        <v>-0.19927407137331857</v>
      </c>
      <c r="AT1195">
        <v>8.708415480765753</v>
      </c>
      <c r="AU1195">
        <v>61.535843874037326</v>
      </c>
    </row>
    <row r="1196" spans="1:48" x14ac:dyDescent="0.35">
      <c r="A1196">
        <v>1194</v>
      </c>
      <c r="B1196">
        <v>46085</v>
      </c>
      <c r="C1196" t="s">
        <v>16</v>
      </c>
      <c r="D1196" t="s">
        <v>441</v>
      </c>
      <c r="E1196" t="s">
        <v>442</v>
      </c>
      <c r="F1196" t="s">
        <v>443</v>
      </c>
      <c r="G1196" t="s">
        <v>444</v>
      </c>
      <c r="H1196" t="s">
        <v>22</v>
      </c>
      <c r="I1196" t="s">
        <v>23</v>
      </c>
      <c r="J1196" t="s">
        <v>215</v>
      </c>
      <c r="K1196" t="s">
        <v>440</v>
      </c>
      <c r="L1196">
        <v>30</v>
      </c>
      <c r="M1196">
        <v>71</v>
      </c>
      <c r="N1196">
        <v>3</v>
      </c>
      <c r="O1196">
        <v>2</v>
      </c>
      <c r="P1196">
        <v>118</v>
      </c>
      <c r="Q1196">
        <v>0.50019999999999998</v>
      </c>
      <c r="R1196">
        <v>481.1980798142074</v>
      </c>
      <c r="S1196">
        <v>104.29807981420737</v>
      </c>
      <c r="T1196">
        <v>0.34236111111111112</v>
      </c>
      <c r="U1196">
        <v>40</v>
      </c>
      <c r="V1196">
        <v>0.68125000000000002</v>
      </c>
      <c r="W1196">
        <v>71</v>
      </c>
      <c r="X1196">
        <v>13</v>
      </c>
      <c r="Y1196">
        <v>40</v>
      </c>
      <c r="Z1196">
        <v>0.35208333333333336</v>
      </c>
      <c r="AA1196">
        <v>75.5</v>
      </c>
      <c r="AB1196">
        <v>14.4</v>
      </c>
      <c r="AD1196">
        <v>31</v>
      </c>
      <c r="AE1196">
        <v>35.5</v>
      </c>
      <c r="AF1196">
        <v>27.5337235386359</v>
      </c>
      <c r="AG1196">
        <v>31.185592064046812</v>
      </c>
      <c r="AH1196">
        <v>58.719315602682713</v>
      </c>
      <c r="AI1196">
        <v>3.5793840600226674</v>
      </c>
      <c r="AJ1196">
        <v>4.4907252572227412</v>
      </c>
      <c r="AK1196">
        <v>8.070109317245409</v>
      </c>
      <c r="AL1196">
        <v>122.02732734377179</v>
      </c>
      <c r="AM1196">
        <v>21.674666668345246</v>
      </c>
      <c r="AN1196">
        <v>1.77621415957788</v>
      </c>
      <c r="AO1196">
        <v>13</v>
      </c>
      <c r="AP1196">
        <v>13.743534362441904</v>
      </c>
      <c r="AQ1196">
        <v>16.770867665060742</v>
      </c>
      <c r="AR1196">
        <v>77.375435210515803</v>
      </c>
      <c r="AS1196">
        <v>-0.31273214933313981</v>
      </c>
      <c r="AT1196">
        <v>9.3081217075285227</v>
      </c>
      <c r="AU1196">
        <v>42.944705217185934</v>
      </c>
    </row>
    <row r="1197" spans="1:48" x14ac:dyDescent="0.35">
      <c r="A1197">
        <v>1195</v>
      </c>
      <c r="B1197">
        <v>46085</v>
      </c>
      <c r="C1197" t="s">
        <v>16</v>
      </c>
      <c r="D1197" t="s">
        <v>446</v>
      </c>
      <c r="E1197" t="s">
        <v>442</v>
      </c>
      <c r="F1197" t="s">
        <v>447</v>
      </c>
      <c r="G1197" t="s">
        <v>448</v>
      </c>
      <c r="H1197" t="s">
        <v>22</v>
      </c>
      <c r="I1197" t="s">
        <v>23</v>
      </c>
      <c r="J1197" t="s">
        <v>215</v>
      </c>
      <c r="K1197" t="s">
        <v>445</v>
      </c>
      <c r="L1197">
        <v>30</v>
      </c>
      <c r="M1197">
        <v>71</v>
      </c>
      <c r="N1197">
        <v>3</v>
      </c>
      <c r="O1197">
        <v>1</v>
      </c>
      <c r="P1197">
        <v>119</v>
      </c>
      <c r="Q1197">
        <v>0.50049999999999994</v>
      </c>
      <c r="R1197">
        <v>476.93588541628424</v>
      </c>
      <c r="S1197">
        <v>76.535885416284259</v>
      </c>
      <c r="T1197">
        <v>0.34236111111111112</v>
      </c>
      <c r="U1197">
        <v>40.5</v>
      </c>
      <c r="V1197">
        <v>0.68125000000000002</v>
      </c>
      <c r="W1197">
        <v>79.5</v>
      </c>
      <c r="X1197">
        <v>13.5</v>
      </c>
      <c r="Y1197">
        <v>40</v>
      </c>
      <c r="Z1197">
        <v>0.35208333333333336</v>
      </c>
      <c r="AA1197">
        <v>79.5</v>
      </c>
      <c r="AB1197">
        <v>15.4</v>
      </c>
      <c r="AD1197">
        <v>39</v>
      </c>
      <c r="AE1197">
        <v>39.5</v>
      </c>
      <c r="AV1197" t="s">
        <v>669</v>
      </c>
    </row>
    <row r="1198" spans="1:48" x14ac:dyDescent="0.35">
      <c r="A1198">
        <v>1196</v>
      </c>
      <c r="B1198">
        <v>46085</v>
      </c>
      <c r="C1198" t="s">
        <v>16</v>
      </c>
      <c r="D1198" t="s">
        <v>446</v>
      </c>
      <c r="E1198" t="s">
        <v>442</v>
      </c>
      <c r="F1198" t="s">
        <v>447</v>
      </c>
      <c r="G1198" t="s">
        <v>448</v>
      </c>
      <c r="H1198" t="s">
        <v>22</v>
      </c>
      <c r="I1198" t="s">
        <v>23</v>
      </c>
      <c r="J1198" t="s">
        <v>215</v>
      </c>
      <c r="K1198" t="s">
        <v>445</v>
      </c>
      <c r="L1198">
        <v>30</v>
      </c>
      <c r="M1198">
        <v>71</v>
      </c>
      <c r="N1198">
        <v>3</v>
      </c>
      <c r="O1198">
        <v>2</v>
      </c>
      <c r="P1198">
        <v>120</v>
      </c>
      <c r="Q1198">
        <v>0.50009999999999999</v>
      </c>
      <c r="R1198">
        <v>476.55471787549203</v>
      </c>
      <c r="S1198">
        <v>160.05471787549203</v>
      </c>
      <c r="T1198">
        <v>0.34236111111111112</v>
      </c>
      <c r="U1198">
        <v>40.5</v>
      </c>
      <c r="V1198">
        <v>0.68194444444444446</v>
      </c>
      <c r="W1198">
        <v>80</v>
      </c>
      <c r="X1198">
        <v>13.3</v>
      </c>
      <c r="Y1198">
        <v>40</v>
      </c>
      <c r="Z1198">
        <v>0.3527777777777778</v>
      </c>
      <c r="AA1198">
        <v>80.5</v>
      </c>
      <c r="AB1198">
        <v>15.7</v>
      </c>
      <c r="AD1198">
        <v>39.5</v>
      </c>
      <c r="AE1198">
        <v>40.5</v>
      </c>
      <c r="AF1198">
        <v>36.033723538635904</v>
      </c>
      <c r="AG1198">
        <v>36.185592064046816</v>
      </c>
      <c r="AH1198">
        <v>72.219315602682713</v>
      </c>
      <c r="AI1198">
        <v>4.7924852306385759</v>
      </c>
      <c r="AJ1198">
        <v>5.6811379540553499</v>
      </c>
      <c r="AK1198">
        <v>10.473623184693926</v>
      </c>
      <c r="AL1198">
        <v>151.54464512415387</v>
      </c>
      <c r="AM1198">
        <v>33.585800721693623</v>
      </c>
      <c r="AN1198">
        <v>2.2162314408521828</v>
      </c>
      <c r="AO1198">
        <v>13.300000000000002</v>
      </c>
      <c r="AP1198">
        <v>14.502523455518409</v>
      </c>
      <c r="AQ1198">
        <v>21.97779770471255</v>
      </c>
      <c r="AR1198">
        <v>65.437766057239557</v>
      </c>
      <c r="AS1198">
        <v>-0.47582820045372465</v>
      </c>
      <c r="AT1198">
        <v>12.198057964830081</v>
      </c>
      <c r="AU1198">
        <v>36.319092303049224</v>
      </c>
    </row>
    <row r="1199" spans="1:48" x14ac:dyDescent="0.35">
      <c r="A1199">
        <v>1197</v>
      </c>
      <c r="B1199">
        <v>46085</v>
      </c>
      <c r="C1199" t="s">
        <v>16</v>
      </c>
      <c r="D1199" t="s">
        <v>450</v>
      </c>
      <c r="E1199" t="s">
        <v>442</v>
      </c>
      <c r="F1199" t="s">
        <v>451</v>
      </c>
      <c r="G1199" t="s">
        <v>452</v>
      </c>
      <c r="H1199" t="s">
        <v>22</v>
      </c>
      <c r="I1199" t="s">
        <v>23</v>
      </c>
      <c r="J1199" t="s">
        <v>215</v>
      </c>
      <c r="K1199" t="s">
        <v>449</v>
      </c>
      <c r="L1199">
        <v>30</v>
      </c>
      <c r="M1199">
        <v>71</v>
      </c>
      <c r="N1199">
        <v>3</v>
      </c>
      <c r="O1199">
        <v>1</v>
      </c>
      <c r="P1199">
        <v>121</v>
      </c>
      <c r="Q1199">
        <v>0.5</v>
      </c>
      <c r="R1199">
        <v>482.17938530734654</v>
      </c>
      <c r="S1199">
        <v>88.679385307346593</v>
      </c>
      <c r="T1199">
        <v>0.34305555555555556</v>
      </c>
      <c r="U1199">
        <v>41</v>
      </c>
      <c r="V1199">
        <v>0.68194444444444446</v>
      </c>
      <c r="W1199">
        <v>77</v>
      </c>
      <c r="X1199">
        <v>14.1</v>
      </c>
      <c r="Y1199">
        <v>40.5</v>
      </c>
      <c r="Z1199">
        <v>0.3527777777777778</v>
      </c>
      <c r="AA1199">
        <v>75.5</v>
      </c>
      <c r="AB1199">
        <v>16.399999999999999</v>
      </c>
      <c r="AD1199">
        <v>36</v>
      </c>
      <c r="AE1199">
        <v>35</v>
      </c>
      <c r="AF1199">
        <v>32.533723538635904</v>
      </c>
      <c r="AG1199">
        <v>30.685592064046812</v>
      </c>
      <c r="AH1199">
        <v>63.219315602682713</v>
      </c>
      <c r="AI1199">
        <v>4.587255018947662</v>
      </c>
      <c r="AJ1199">
        <v>5.0324370985036762</v>
      </c>
      <c r="AK1199">
        <v>9.6196921174513381</v>
      </c>
      <c r="AL1199">
        <v>131.11161017882588</v>
      </c>
      <c r="AM1199">
        <v>18.391368028067266</v>
      </c>
      <c r="AN1199">
        <v>1.402726120362864</v>
      </c>
      <c r="AO1199">
        <v>14.099999999999998</v>
      </c>
      <c r="AP1199">
        <v>15.216381300153028</v>
      </c>
      <c r="AQ1199">
        <v>19.9504425335804</v>
      </c>
      <c r="AR1199">
        <v>108.47720791152575</v>
      </c>
      <c r="AS1199">
        <v>-0.25714310672021601</v>
      </c>
      <c r="AT1199">
        <v>11.072840769502756</v>
      </c>
      <c r="AU1199">
        <v>60.206727159199758</v>
      </c>
    </row>
    <row r="1200" spans="1:48" x14ac:dyDescent="0.35">
      <c r="A1200">
        <v>1198</v>
      </c>
      <c r="B1200">
        <v>46085</v>
      </c>
      <c r="C1200" t="s">
        <v>16</v>
      </c>
      <c r="D1200" t="s">
        <v>450</v>
      </c>
      <c r="E1200" t="s">
        <v>442</v>
      </c>
      <c r="F1200" t="s">
        <v>451</v>
      </c>
      <c r="G1200" t="s">
        <v>452</v>
      </c>
      <c r="H1200" t="s">
        <v>22</v>
      </c>
      <c r="I1200" t="s">
        <v>23</v>
      </c>
      <c r="J1200" t="s">
        <v>215</v>
      </c>
      <c r="K1200" t="s">
        <v>449</v>
      </c>
      <c r="L1200">
        <v>30</v>
      </c>
      <c r="M1200">
        <v>71</v>
      </c>
      <c r="N1200">
        <v>3</v>
      </c>
      <c r="O1200">
        <v>2</v>
      </c>
      <c r="P1200">
        <v>122</v>
      </c>
      <c r="Q1200">
        <v>0.50019999999999998</v>
      </c>
      <c r="R1200">
        <v>482.3722570614695</v>
      </c>
      <c r="S1200">
        <v>122.97225706146946</v>
      </c>
      <c r="T1200">
        <v>0.34305555555555556</v>
      </c>
      <c r="U1200">
        <v>41</v>
      </c>
      <c r="V1200">
        <v>0.68263888888888891</v>
      </c>
      <c r="W1200">
        <v>78</v>
      </c>
      <c r="X1200">
        <v>13.9</v>
      </c>
      <c r="Y1200">
        <v>40</v>
      </c>
      <c r="Z1200">
        <v>0.35347222222222224</v>
      </c>
      <c r="AA1200">
        <v>76</v>
      </c>
      <c r="AB1200">
        <v>16.399999999999999</v>
      </c>
      <c r="AD1200">
        <v>37</v>
      </c>
      <c r="AE1200">
        <v>36</v>
      </c>
      <c r="AF1200">
        <v>33.533723538635904</v>
      </c>
      <c r="AG1200">
        <v>31.685592064046812</v>
      </c>
      <c r="AH1200">
        <v>65.219315602682713</v>
      </c>
      <c r="AI1200">
        <v>4.661187571870391</v>
      </c>
      <c r="AJ1200">
        <v>5.1964370985036767</v>
      </c>
      <c r="AK1200">
        <v>9.8576246703740686</v>
      </c>
      <c r="AL1200">
        <v>135.20536193351541</v>
      </c>
      <c r="AM1200">
        <v>25.493227535637253</v>
      </c>
      <c r="AN1200">
        <v>1.8855189743268506</v>
      </c>
      <c r="AO1200">
        <v>13.9</v>
      </c>
      <c r="AP1200">
        <v>15.114578525213146</v>
      </c>
      <c r="AQ1200">
        <v>20.435720599739827</v>
      </c>
      <c r="AR1200">
        <v>80.161370588218048</v>
      </c>
      <c r="AS1200">
        <v>-0.38730248616857732</v>
      </c>
      <c r="AT1200">
        <v>11.342178492035531</v>
      </c>
      <c r="AU1200">
        <v>44.490947551384693</v>
      </c>
    </row>
    <row r="1201" spans="1:48" x14ac:dyDescent="0.35">
      <c r="A1201">
        <v>1199</v>
      </c>
      <c r="B1201">
        <v>46085</v>
      </c>
      <c r="C1201" t="s">
        <v>16</v>
      </c>
      <c r="D1201" t="s">
        <v>454</v>
      </c>
      <c r="E1201" t="s">
        <v>442</v>
      </c>
      <c r="F1201" t="s">
        <v>455</v>
      </c>
      <c r="G1201" t="s">
        <v>456</v>
      </c>
      <c r="H1201" t="s">
        <v>22</v>
      </c>
      <c r="I1201" t="s">
        <v>23</v>
      </c>
      <c r="J1201" t="s">
        <v>215</v>
      </c>
      <c r="K1201" t="s">
        <v>453</v>
      </c>
      <c r="L1201">
        <v>30</v>
      </c>
      <c r="M1201">
        <v>71</v>
      </c>
      <c r="N1201">
        <v>3</v>
      </c>
      <c r="O1201">
        <v>1</v>
      </c>
      <c r="P1201">
        <v>123</v>
      </c>
      <c r="Q1201">
        <v>0.50049999999999994</v>
      </c>
      <c r="R1201">
        <v>478.8142001993927</v>
      </c>
      <c r="S1201">
        <v>112.8142001993927</v>
      </c>
      <c r="T1201">
        <v>0.34305555555555556</v>
      </c>
      <c r="U1201">
        <v>40.5</v>
      </c>
      <c r="V1201">
        <v>0.68333333333333335</v>
      </c>
      <c r="W1201">
        <v>76</v>
      </c>
      <c r="X1201">
        <v>13.2</v>
      </c>
      <c r="Y1201">
        <v>40</v>
      </c>
      <c r="Z1201">
        <v>0.35416666666666669</v>
      </c>
      <c r="AA1201">
        <v>77.5</v>
      </c>
      <c r="AB1201">
        <v>16.5</v>
      </c>
      <c r="AD1201">
        <v>35.5</v>
      </c>
      <c r="AE1201">
        <v>37.5</v>
      </c>
      <c r="AF1201">
        <v>32.033723538635904</v>
      </c>
      <c r="AG1201">
        <v>33.185592064046816</v>
      </c>
      <c r="AH1201">
        <v>65.219315602682713</v>
      </c>
      <c r="AI1201">
        <v>4.2284515070999396</v>
      </c>
      <c r="AJ1201">
        <v>5.4756226905677252</v>
      </c>
      <c r="AK1201">
        <v>9.7040741976676657</v>
      </c>
      <c r="AL1201">
        <v>136.21006974213259</v>
      </c>
      <c r="AM1201">
        <v>23.56116425795506</v>
      </c>
      <c r="AN1201">
        <v>1.729766698053977</v>
      </c>
      <c r="AO1201">
        <v>13.2</v>
      </c>
      <c r="AP1201">
        <v>14.87914141384903</v>
      </c>
      <c r="AQ1201">
        <v>20.266888896834296</v>
      </c>
      <c r="AR1201">
        <v>86.01819789101252</v>
      </c>
      <c r="AS1201">
        <v>-0.3860443859850039</v>
      </c>
      <c r="AT1201">
        <v>11.248473975959245</v>
      </c>
      <c r="AU1201">
        <v>47.741588033627714</v>
      </c>
    </row>
    <row r="1202" spans="1:48" x14ac:dyDescent="0.35">
      <c r="A1202">
        <v>1200</v>
      </c>
      <c r="B1202">
        <v>46085</v>
      </c>
      <c r="C1202" t="s">
        <v>16</v>
      </c>
      <c r="D1202" t="s">
        <v>454</v>
      </c>
      <c r="E1202" t="s">
        <v>442</v>
      </c>
      <c r="F1202" t="s">
        <v>455</v>
      </c>
      <c r="G1202" t="s">
        <v>456</v>
      </c>
      <c r="H1202" t="s">
        <v>22</v>
      </c>
      <c r="I1202" t="s">
        <v>23</v>
      </c>
      <c r="J1202" t="s">
        <v>215</v>
      </c>
      <c r="K1202" t="s">
        <v>453</v>
      </c>
      <c r="L1202">
        <v>30</v>
      </c>
      <c r="M1202">
        <v>71</v>
      </c>
      <c r="N1202">
        <v>3</v>
      </c>
      <c r="O1202">
        <v>2</v>
      </c>
      <c r="P1202">
        <v>124</v>
      </c>
      <c r="Q1202">
        <v>0.50019999999999998</v>
      </c>
      <c r="R1202">
        <v>478.52719868079168</v>
      </c>
      <c r="S1202">
        <v>143.52719868079174</v>
      </c>
      <c r="T1202">
        <v>0.34375</v>
      </c>
      <c r="U1202">
        <v>41</v>
      </c>
      <c r="V1202">
        <v>0.68333333333333335</v>
      </c>
      <c r="W1202">
        <v>76.5</v>
      </c>
      <c r="X1202">
        <v>13.3</v>
      </c>
      <c r="Y1202">
        <v>40</v>
      </c>
      <c r="Z1202">
        <v>0.35416666666666669</v>
      </c>
      <c r="AA1202">
        <v>77</v>
      </c>
      <c r="AB1202">
        <v>16.399999999999999</v>
      </c>
      <c r="AD1202">
        <v>35.5</v>
      </c>
      <c r="AE1202">
        <v>37</v>
      </c>
      <c r="AF1202">
        <v>32.033723538635904</v>
      </c>
      <c r="AG1202">
        <v>32.685592064046816</v>
      </c>
      <c r="AH1202">
        <v>64.719315602682713</v>
      </c>
      <c r="AI1202">
        <v>4.2604852306385759</v>
      </c>
      <c r="AJ1202">
        <v>5.3604370985036773</v>
      </c>
      <c r="AK1202">
        <v>9.6209223291422532</v>
      </c>
      <c r="AL1202">
        <v>135.2468904193984</v>
      </c>
      <c r="AM1202">
        <v>29.993529955344002</v>
      </c>
      <c r="AN1202">
        <v>2.2176872135347847</v>
      </c>
      <c r="AO1202">
        <v>13.3</v>
      </c>
      <c r="AP1202">
        <v>14.865611973102279</v>
      </c>
      <c r="AQ1202">
        <v>20.105277935434607</v>
      </c>
      <c r="AR1202">
        <v>67.032049796634269</v>
      </c>
      <c r="AS1202">
        <v>-0.65865865198877516</v>
      </c>
      <c r="AT1202">
        <v>11.15877709634502</v>
      </c>
      <c r="AU1202">
        <v>37.203947361176944</v>
      </c>
    </row>
    <row r="1203" spans="1:48" x14ac:dyDescent="0.35">
      <c r="A1203">
        <v>1201</v>
      </c>
      <c r="B1203">
        <v>46085</v>
      </c>
      <c r="C1203" t="s">
        <v>16</v>
      </c>
      <c r="D1203" t="s">
        <v>458</v>
      </c>
      <c r="E1203" t="s">
        <v>333</v>
      </c>
      <c r="F1203" t="s">
        <v>438</v>
      </c>
      <c r="G1203" t="s">
        <v>439</v>
      </c>
      <c r="H1203" t="s">
        <v>22</v>
      </c>
      <c r="I1203" t="s">
        <v>23</v>
      </c>
      <c r="J1203" t="s">
        <v>303</v>
      </c>
      <c r="K1203" t="s">
        <v>457</v>
      </c>
      <c r="L1203">
        <v>30</v>
      </c>
      <c r="M1203">
        <v>71</v>
      </c>
      <c r="N1203">
        <v>3</v>
      </c>
      <c r="O1203">
        <v>1</v>
      </c>
      <c r="P1203">
        <v>125</v>
      </c>
      <c r="Q1203">
        <v>0.50029999999999997</v>
      </c>
      <c r="R1203">
        <v>477.69100091163534</v>
      </c>
      <c r="S1203">
        <v>232.99100091163541</v>
      </c>
      <c r="T1203">
        <v>0.34375</v>
      </c>
      <c r="U1203">
        <v>41</v>
      </c>
      <c r="V1203">
        <v>0.68402777777777779</v>
      </c>
      <c r="W1203">
        <v>83</v>
      </c>
      <c r="X1203">
        <v>14.4</v>
      </c>
      <c r="Y1203">
        <v>40.5</v>
      </c>
      <c r="Z1203">
        <v>0.35486111111111113</v>
      </c>
      <c r="AA1203">
        <v>83</v>
      </c>
      <c r="AB1203">
        <v>14.4</v>
      </c>
      <c r="AD1203">
        <v>42</v>
      </c>
      <c r="AE1203">
        <v>42.5</v>
      </c>
      <c r="AF1203">
        <v>38.533723538635904</v>
      </c>
      <c r="AG1203">
        <v>38.185592064046816</v>
      </c>
      <c r="AH1203">
        <v>76.719315602682713</v>
      </c>
      <c r="AI1203">
        <v>5.5488561895635709</v>
      </c>
      <c r="AJ1203">
        <v>5.4987252572227421</v>
      </c>
      <c r="AK1203">
        <v>11.047581446786314</v>
      </c>
      <c r="AL1203">
        <v>160.60448167595786</v>
      </c>
      <c r="AM1203">
        <v>48.774417032556734</v>
      </c>
      <c r="AN1203">
        <v>3.0369275205511377</v>
      </c>
      <c r="AO1203">
        <v>14.4</v>
      </c>
      <c r="AP1203">
        <v>14.400000000000004</v>
      </c>
      <c r="AQ1203">
        <v>23.127045361337942</v>
      </c>
      <c r="AR1203">
        <v>47.416343994231084</v>
      </c>
      <c r="AS1203">
        <v>-0.97341877508506514</v>
      </c>
      <c r="AT1203">
        <v>12.835910297434621</v>
      </c>
      <c r="AU1203">
        <v>26.316891268770473</v>
      </c>
    </row>
    <row r="1204" spans="1:48" x14ac:dyDescent="0.35">
      <c r="A1204">
        <v>1202</v>
      </c>
      <c r="B1204">
        <v>46085</v>
      </c>
      <c r="C1204" t="s">
        <v>16</v>
      </c>
      <c r="D1204" t="s">
        <v>458</v>
      </c>
      <c r="E1204" t="s">
        <v>333</v>
      </c>
      <c r="F1204" t="s">
        <v>438</v>
      </c>
      <c r="G1204" t="s">
        <v>439</v>
      </c>
      <c r="H1204" t="s">
        <v>22</v>
      </c>
      <c r="I1204" t="s">
        <v>23</v>
      </c>
      <c r="J1204" t="s">
        <v>303</v>
      </c>
      <c r="K1204" t="s">
        <v>457</v>
      </c>
      <c r="L1204">
        <v>30</v>
      </c>
      <c r="M1204">
        <v>71</v>
      </c>
      <c r="N1204">
        <v>3</v>
      </c>
      <c r="O1204">
        <v>2</v>
      </c>
      <c r="P1204">
        <v>126</v>
      </c>
      <c r="Q1204">
        <v>0.5</v>
      </c>
      <c r="R1204">
        <v>477.40455817672938</v>
      </c>
      <c r="S1204">
        <v>251.00455817672935</v>
      </c>
      <c r="T1204">
        <v>0.34444444444444444</v>
      </c>
      <c r="U1204">
        <v>41</v>
      </c>
      <c r="V1204">
        <v>0.68472222222222223</v>
      </c>
      <c r="W1204">
        <v>83</v>
      </c>
      <c r="X1204">
        <v>14</v>
      </c>
      <c r="Y1204">
        <v>40</v>
      </c>
      <c r="Z1204">
        <v>0.35486111111111113</v>
      </c>
      <c r="AA1204">
        <v>82.5</v>
      </c>
      <c r="AB1204">
        <v>13.9</v>
      </c>
      <c r="AD1204">
        <v>42</v>
      </c>
      <c r="AE1204">
        <v>42.5</v>
      </c>
      <c r="AF1204">
        <v>38.533723538635904</v>
      </c>
      <c r="AG1204">
        <v>38.185592064046816</v>
      </c>
      <c r="AH1204">
        <v>76.719315602682713</v>
      </c>
      <c r="AI1204">
        <v>5.3947212954090267</v>
      </c>
      <c r="AJ1204">
        <v>5.3077972969025078</v>
      </c>
      <c r="AK1204">
        <v>10.702518592311534</v>
      </c>
      <c r="AL1204">
        <v>160.70084436496342</v>
      </c>
      <c r="AM1204">
        <v>52.576908594117469</v>
      </c>
      <c r="AN1204">
        <v>3.271725721285661</v>
      </c>
      <c r="AO1204">
        <v>14</v>
      </c>
      <c r="AP1204">
        <v>13.950226886457378</v>
      </c>
      <c r="AQ1204">
        <v>22.418132397365156</v>
      </c>
      <c r="AR1204">
        <v>42.638741981633729</v>
      </c>
      <c r="AS1204">
        <v>-3.4705987218042647</v>
      </c>
      <c r="AT1204">
        <v>12.442451337499552</v>
      </c>
      <c r="AU1204">
        <v>23.665239494304668</v>
      </c>
    </row>
    <row r="1205" spans="1:48" x14ac:dyDescent="0.35">
      <c r="A1205">
        <v>1203</v>
      </c>
      <c r="B1205">
        <v>46085</v>
      </c>
      <c r="C1205" t="s">
        <v>16</v>
      </c>
      <c r="D1205" t="s">
        <v>460</v>
      </c>
      <c r="E1205" t="s">
        <v>333</v>
      </c>
      <c r="F1205" t="s">
        <v>461</v>
      </c>
      <c r="G1205" t="s">
        <v>462</v>
      </c>
      <c r="H1205" t="s">
        <v>22</v>
      </c>
      <c r="I1205" t="s">
        <v>23</v>
      </c>
      <c r="J1205" t="s">
        <v>303</v>
      </c>
      <c r="K1205" t="s">
        <v>459</v>
      </c>
      <c r="L1205">
        <v>30</v>
      </c>
      <c r="M1205">
        <v>71</v>
      </c>
      <c r="N1205">
        <v>3</v>
      </c>
      <c r="O1205">
        <v>1</v>
      </c>
      <c r="P1205">
        <v>127</v>
      </c>
      <c r="Q1205">
        <v>0.50029999999999997</v>
      </c>
      <c r="R1205">
        <v>482.49732115949183</v>
      </c>
      <c r="S1205">
        <v>146.59732115949174</v>
      </c>
      <c r="T1205">
        <v>0.34444444444444444</v>
      </c>
      <c r="U1205">
        <v>41</v>
      </c>
      <c r="V1205">
        <v>0.68541666666666667</v>
      </c>
      <c r="W1205">
        <v>83</v>
      </c>
      <c r="X1205">
        <v>14.8</v>
      </c>
      <c r="Y1205">
        <v>40</v>
      </c>
      <c r="Z1205">
        <v>0.35555555555555557</v>
      </c>
      <c r="AA1205">
        <v>83.5</v>
      </c>
      <c r="AB1205">
        <v>15.6</v>
      </c>
      <c r="AD1205">
        <v>42</v>
      </c>
      <c r="AE1205">
        <v>43.5</v>
      </c>
      <c r="AF1205">
        <v>38.533723538635904</v>
      </c>
      <c r="AG1205">
        <v>39.185592064046816</v>
      </c>
      <c r="AH1205">
        <v>77.719315602682713</v>
      </c>
      <c r="AI1205">
        <v>5.702991083718115</v>
      </c>
      <c r="AJ1205">
        <v>6.1129523619913035</v>
      </c>
      <c r="AK1205">
        <v>11.815943445709419</v>
      </c>
      <c r="AL1205">
        <v>161.07719606798025</v>
      </c>
      <c r="AM1205">
        <v>30.383033175646023</v>
      </c>
      <c r="AN1205">
        <v>1.8862405056283267</v>
      </c>
      <c r="AO1205">
        <v>14.800000000000002</v>
      </c>
      <c r="AP1205">
        <v>15.203354988501154</v>
      </c>
      <c r="AQ1205">
        <v>24.489137923739065</v>
      </c>
      <c r="AR1205">
        <v>80.601359917444654</v>
      </c>
      <c r="AS1205">
        <v>-0.30997474258997709</v>
      </c>
      <c r="AT1205">
        <v>13.591895235182513</v>
      </c>
      <c r="AU1205">
        <v>44.735149241377584</v>
      </c>
    </row>
    <row r="1206" spans="1:48" x14ac:dyDescent="0.35">
      <c r="A1206">
        <v>1204</v>
      </c>
      <c r="B1206">
        <v>46085</v>
      </c>
      <c r="C1206" t="s">
        <v>16</v>
      </c>
      <c r="D1206" t="s">
        <v>460</v>
      </c>
      <c r="E1206" t="s">
        <v>333</v>
      </c>
      <c r="F1206" t="s">
        <v>461</v>
      </c>
      <c r="G1206" t="s">
        <v>462</v>
      </c>
      <c r="H1206" t="s">
        <v>22</v>
      </c>
      <c r="I1206" t="s">
        <v>23</v>
      </c>
      <c r="J1206" t="s">
        <v>303</v>
      </c>
      <c r="K1206" t="s">
        <v>459</v>
      </c>
      <c r="L1206">
        <v>30</v>
      </c>
      <c r="M1206">
        <v>71</v>
      </c>
      <c r="N1206">
        <v>3</v>
      </c>
      <c r="O1206">
        <v>2</v>
      </c>
      <c r="P1206">
        <v>128</v>
      </c>
      <c r="Q1206">
        <v>0.50019999999999998</v>
      </c>
      <c r="R1206">
        <v>482.40087956021961</v>
      </c>
      <c r="S1206">
        <v>180.20087956021956</v>
      </c>
      <c r="T1206">
        <v>0.34444444444444444</v>
      </c>
      <c r="U1206">
        <v>41.5</v>
      </c>
      <c r="V1206">
        <v>0.68541666666666667</v>
      </c>
      <c r="W1206">
        <v>83</v>
      </c>
      <c r="X1206">
        <v>14.7</v>
      </c>
      <c r="Y1206">
        <v>40</v>
      </c>
      <c r="Z1206">
        <v>0.35555555555555557</v>
      </c>
      <c r="AA1206">
        <v>83.5</v>
      </c>
      <c r="AB1206">
        <v>15.5</v>
      </c>
      <c r="AD1206">
        <v>41.5</v>
      </c>
      <c r="AE1206">
        <v>43.5</v>
      </c>
      <c r="AF1206">
        <v>38.033723538635904</v>
      </c>
      <c r="AG1206">
        <v>39.185592064046816</v>
      </c>
      <c r="AH1206">
        <v>77.219315602682713</v>
      </c>
      <c r="AI1206">
        <v>5.5909573601794778</v>
      </c>
      <c r="AJ1206">
        <v>6.0737667699272562</v>
      </c>
      <c r="AK1206">
        <v>11.664724130106734</v>
      </c>
      <c r="AL1206">
        <v>160.07291627055</v>
      </c>
      <c r="AM1206">
        <v>37.35500642629416</v>
      </c>
      <c r="AN1206">
        <v>2.3336244067146215</v>
      </c>
      <c r="AO1206">
        <v>14.7</v>
      </c>
      <c r="AP1206">
        <v>15.105966737811238</v>
      </c>
      <c r="AQ1206">
        <v>24.180561488073717</v>
      </c>
      <c r="AR1206">
        <v>64.731782433995349</v>
      </c>
      <c r="AS1206">
        <v>-0.48029151756791455</v>
      </c>
      <c r="AT1206">
        <v>13.420629974695586</v>
      </c>
      <c r="AU1206">
        <v>35.92725917789916</v>
      </c>
    </row>
    <row r="1207" spans="1:48" x14ac:dyDescent="0.35">
      <c r="A1207">
        <v>1205</v>
      </c>
      <c r="B1207">
        <v>46085</v>
      </c>
      <c r="C1207" t="s">
        <v>16</v>
      </c>
      <c r="D1207" t="s">
        <v>464</v>
      </c>
      <c r="E1207" t="s">
        <v>333</v>
      </c>
      <c r="F1207" t="s">
        <v>438</v>
      </c>
      <c r="G1207" t="s">
        <v>439</v>
      </c>
      <c r="H1207" t="s">
        <v>22</v>
      </c>
      <c r="I1207" t="s">
        <v>23</v>
      </c>
      <c r="J1207" t="s">
        <v>303</v>
      </c>
      <c r="K1207" t="s">
        <v>463</v>
      </c>
      <c r="L1207">
        <v>30</v>
      </c>
      <c r="M1207">
        <v>71</v>
      </c>
      <c r="N1207">
        <v>3</v>
      </c>
      <c r="O1207">
        <v>1</v>
      </c>
      <c r="P1207">
        <v>129</v>
      </c>
      <c r="Q1207">
        <v>0.50049999999999994</v>
      </c>
      <c r="R1207">
        <v>479.66356260094659</v>
      </c>
      <c r="S1207">
        <v>171.16356260094659</v>
      </c>
      <c r="T1207">
        <v>0.34513888888888888</v>
      </c>
      <c r="U1207">
        <v>41</v>
      </c>
      <c r="V1207">
        <v>0.68611111111111112</v>
      </c>
      <c r="W1207">
        <v>83</v>
      </c>
      <c r="X1207">
        <v>14</v>
      </c>
      <c r="Y1207">
        <v>40</v>
      </c>
      <c r="Z1207">
        <v>0.35625000000000001</v>
      </c>
      <c r="AA1207">
        <v>75</v>
      </c>
      <c r="AB1207">
        <v>15.9</v>
      </c>
      <c r="AD1207">
        <v>42</v>
      </c>
      <c r="AE1207">
        <v>35</v>
      </c>
      <c r="AF1207">
        <v>38.533723538635904</v>
      </c>
      <c r="AG1207">
        <v>30.685592064046812</v>
      </c>
      <c r="AH1207">
        <v>69.219315602682713</v>
      </c>
      <c r="AI1207">
        <v>5.3947212954090267</v>
      </c>
      <c r="AJ1207">
        <v>4.8790091381834433</v>
      </c>
      <c r="AK1207">
        <v>10.273730433592469</v>
      </c>
      <c r="AL1207">
        <v>144.30805464427019</v>
      </c>
      <c r="AM1207">
        <v>35.68408691976154</v>
      </c>
      <c r="AN1207">
        <v>2.4727716694487638</v>
      </c>
      <c r="AO1207">
        <v>14</v>
      </c>
      <c r="AP1207">
        <v>14.842288375925945</v>
      </c>
      <c r="AQ1207">
        <v>21.418617619991373</v>
      </c>
      <c r="AR1207">
        <v>60.022882659581029</v>
      </c>
      <c r="AS1207">
        <v>-5.0221527697845705</v>
      </c>
      <c r="AT1207">
        <v>11.887703343413898</v>
      </c>
      <c r="AU1207">
        <v>33.313738334244974</v>
      </c>
    </row>
    <row r="1208" spans="1:48" x14ac:dyDescent="0.35">
      <c r="A1208">
        <v>1206</v>
      </c>
      <c r="B1208">
        <v>46085</v>
      </c>
      <c r="C1208" t="s">
        <v>16</v>
      </c>
      <c r="D1208" t="s">
        <v>464</v>
      </c>
      <c r="E1208" t="s">
        <v>333</v>
      </c>
      <c r="F1208" t="s">
        <v>438</v>
      </c>
      <c r="G1208" t="s">
        <v>439</v>
      </c>
      <c r="H1208" t="s">
        <v>22</v>
      </c>
      <c r="I1208" t="s">
        <v>23</v>
      </c>
      <c r="J1208" t="s">
        <v>303</v>
      </c>
      <c r="K1208" t="s">
        <v>463</v>
      </c>
      <c r="L1208">
        <v>30</v>
      </c>
      <c r="M1208">
        <v>71</v>
      </c>
      <c r="N1208">
        <v>3</v>
      </c>
      <c r="O1208">
        <v>2</v>
      </c>
      <c r="P1208">
        <v>130</v>
      </c>
      <c r="Q1208">
        <v>0.50009999999999999</v>
      </c>
      <c r="R1208">
        <v>479.28021509836844</v>
      </c>
      <c r="S1208">
        <v>142.88021509836841</v>
      </c>
      <c r="T1208">
        <v>0.34513888888888888</v>
      </c>
      <c r="U1208">
        <v>41</v>
      </c>
      <c r="V1208">
        <v>0.68680555555555556</v>
      </c>
      <c r="W1208">
        <v>82</v>
      </c>
      <c r="X1208">
        <v>14.5</v>
      </c>
      <c r="Y1208">
        <v>40</v>
      </c>
      <c r="Z1208">
        <v>0.35625000000000001</v>
      </c>
      <c r="AA1208">
        <v>75.5</v>
      </c>
      <c r="AB1208">
        <v>15.9</v>
      </c>
      <c r="AD1208">
        <v>41</v>
      </c>
      <c r="AE1208">
        <v>35.5</v>
      </c>
      <c r="AF1208">
        <v>37.533723538635904</v>
      </c>
      <c r="AG1208">
        <v>31.185592064046812</v>
      </c>
      <c r="AH1208">
        <v>68.719315602682713</v>
      </c>
      <c r="AI1208">
        <v>5.4423899131022058</v>
      </c>
      <c r="AJ1208">
        <v>4.9585091381834436</v>
      </c>
      <c r="AK1208">
        <v>10.400899051285649</v>
      </c>
      <c r="AL1208">
        <v>143.38024695757287</v>
      </c>
      <c r="AM1208">
        <v>29.811415242551455</v>
      </c>
      <c r="AN1208">
        <v>2.0791856531934165</v>
      </c>
      <c r="AO1208">
        <v>14.499999999999998</v>
      </c>
      <c r="AP1208">
        <v>15.135335618621339</v>
      </c>
      <c r="AQ1208">
        <v>21.701081587836764</v>
      </c>
      <c r="AR1208">
        <v>72.794536627236781</v>
      </c>
      <c r="AS1208">
        <v>-0.91529403922094132</v>
      </c>
      <c r="AT1208">
        <v>12.04447573248795</v>
      </c>
      <c r="AU1208">
        <v>40.402227249165328</v>
      </c>
    </row>
    <row r="1209" spans="1:48" x14ac:dyDescent="0.35">
      <c r="A1209">
        <v>1207</v>
      </c>
      <c r="B1209">
        <v>46085</v>
      </c>
      <c r="C1209" t="s">
        <v>16</v>
      </c>
      <c r="D1209" t="s">
        <v>466</v>
      </c>
      <c r="E1209" t="s">
        <v>346</v>
      </c>
      <c r="F1209" t="s">
        <v>347</v>
      </c>
      <c r="G1209" t="s">
        <v>348</v>
      </c>
      <c r="H1209" t="s">
        <v>22</v>
      </c>
      <c r="I1209" t="s">
        <v>23</v>
      </c>
      <c r="J1209" t="s">
        <v>303</v>
      </c>
      <c r="K1209" t="s">
        <v>465</v>
      </c>
      <c r="L1209">
        <v>30</v>
      </c>
      <c r="M1209">
        <v>71</v>
      </c>
      <c r="N1209">
        <v>3</v>
      </c>
      <c r="O1209">
        <v>1</v>
      </c>
      <c r="P1209">
        <v>131</v>
      </c>
      <c r="Q1209">
        <v>0.50049999999999994</v>
      </c>
      <c r="R1209">
        <v>482.01471914262208</v>
      </c>
      <c r="S1209">
        <v>143.61471914262205</v>
      </c>
      <c r="T1209">
        <v>0.34513888888888888</v>
      </c>
      <c r="U1209">
        <v>40.5</v>
      </c>
      <c r="V1209">
        <v>0.68680555555555556</v>
      </c>
      <c r="W1209">
        <v>73.5</v>
      </c>
      <c r="X1209">
        <v>14.3</v>
      </c>
      <c r="Y1209">
        <v>40</v>
      </c>
      <c r="Z1209">
        <v>0.3576388888888889</v>
      </c>
      <c r="AA1209">
        <v>72</v>
      </c>
      <c r="AB1209">
        <v>16</v>
      </c>
      <c r="AC1209" t="s">
        <v>605</v>
      </c>
      <c r="AD1209">
        <v>33</v>
      </c>
      <c r="AE1209">
        <v>32</v>
      </c>
      <c r="AF1209">
        <v>29.5337235386359</v>
      </c>
      <c r="AG1209">
        <v>27.685592064046812</v>
      </c>
      <c r="AH1209">
        <v>57.219315602682713</v>
      </c>
      <c r="AI1209">
        <v>4.2233224660249347</v>
      </c>
      <c r="AJ1209">
        <v>4.4296947302474896</v>
      </c>
      <c r="AK1209">
        <v>8.6530171962724243</v>
      </c>
      <c r="AL1209">
        <v>118.70864795262038</v>
      </c>
      <c r="AM1209">
        <v>29.794675025292801</v>
      </c>
      <c r="AN1209">
        <v>2.5098992819111716</v>
      </c>
      <c r="AO1209">
        <v>14.300000000000002</v>
      </c>
      <c r="AP1209">
        <v>15.122545778696329</v>
      </c>
      <c r="AQ1209">
        <v>17.95176962990648</v>
      </c>
      <c r="AR1209">
        <v>60.251604069073288</v>
      </c>
      <c r="AS1209">
        <v>-0.73976646021021075</v>
      </c>
      <c r="AT1209">
        <v>9.9635427288477505</v>
      </c>
      <c r="AU1209">
        <v>33.440682673630988</v>
      </c>
    </row>
    <row r="1210" spans="1:48" x14ac:dyDescent="0.35">
      <c r="A1210">
        <v>1208</v>
      </c>
      <c r="B1210">
        <v>46085</v>
      </c>
      <c r="C1210" t="s">
        <v>16</v>
      </c>
      <c r="D1210" t="s">
        <v>466</v>
      </c>
      <c r="E1210" t="s">
        <v>346</v>
      </c>
      <c r="F1210" t="s">
        <v>347</v>
      </c>
      <c r="G1210" t="s">
        <v>348</v>
      </c>
      <c r="H1210" t="s">
        <v>22</v>
      </c>
      <c r="I1210" t="s">
        <v>23</v>
      </c>
      <c r="J1210" t="s">
        <v>303</v>
      </c>
      <c r="K1210" t="s">
        <v>465</v>
      </c>
      <c r="L1210">
        <v>30</v>
      </c>
      <c r="M1210">
        <v>71</v>
      </c>
      <c r="N1210">
        <v>3</v>
      </c>
      <c r="O1210">
        <v>2</v>
      </c>
      <c r="P1210">
        <v>132</v>
      </c>
      <c r="Q1210">
        <v>0.50019999999999998</v>
      </c>
      <c r="R1210">
        <v>481.72579923104814</v>
      </c>
      <c r="S1210">
        <v>127.72579923104803</v>
      </c>
      <c r="T1210">
        <v>0.34583333333333333</v>
      </c>
      <c r="U1210">
        <v>40.5</v>
      </c>
      <c r="V1210">
        <v>0.6875</v>
      </c>
      <c r="W1210">
        <v>76</v>
      </c>
      <c r="X1210">
        <v>14</v>
      </c>
      <c r="Y1210">
        <v>40</v>
      </c>
      <c r="Z1210">
        <v>0.3576388888888889</v>
      </c>
      <c r="AA1210">
        <v>75</v>
      </c>
      <c r="AB1210">
        <v>15.4</v>
      </c>
      <c r="AD1210">
        <v>35.5</v>
      </c>
      <c r="AE1210">
        <v>35</v>
      </c>
      <c r="AF1210">
        <v>32.033723538635904</v>
      </c>
      <c r="AG1210">
        <v>30.685592064046812</v>
      </c>
      <c r="AH1210">
        <v>62.719315602682713</v>
      </c>
      <c r="AI1210">
        <v>4.4847212954090274</v>
      </c>
      <c r="AJ1210">
        <v>4.7255811778632086</v>
      </c>
      <c r="AK1210">
        <v>9.2103024732722361</v>
      </c>
      <c r="AL1210">
        <v>130.19712812309001</v>
      </c>
      <c r="AM1210">
        <v>26.514211909540563</v>
      </c>
      <c r="AN1210">
        <v>2.0364667248630623</v>
      </c>
      <c r="AO1210">
        <v>14.000000000000002</v>
      </c>
      <c r="AP1210">
        <v>14.684953725608384</v>
      </c>
      <c r="AQ1210">
        <v>19.119388016946829</v>
      </c>
      <c r="AR1210">
        <v>72.109961563923136</v>
      </c>
      <c r="AS1210">
        <v>-0.54446677880087979</v>
      </c>
      <c r="AT1210">
        <v>10.6115911346653</v>
      </c>
      <c r="AU1210">
        <v>40.022276245167028</v>
      </c>
    </row>
    <row r="1211" spans="1:48" x14ac:dyDescent="0.35">
      <c r="A1211">
        <v>1209</v>
      </c>
      <c r="B1211">
        <v>46085</v>
      </c>
      <c r="C1211" t="s">
        <v>16</v>
      </c>
      <c r="D1211" t="s">
        <v>468</v>
      </c>
      <c r="E1211" t="s">
        <v>212</v>
      </c>
      <c r="F1211" t="s">
        <v>469</v>
      </c>
      <c r="G1211" t="s">
        <v>470</v>
      </c>
      <c r="H1211" t="s">
        <v>22</v>
      </c>
      <c r="I1211" t="s">
        <v>23</v>
      </c>
      <c r="J1211" t="s">
        <v>303</v>
      </c>
      <c r="K1211" t="s">
        <v>467</v>
      </c>
      <c r="L1211">
        <v>30</v>
      </c>
      <c r="M1211">
        <v>71</v>
      </c>
      <c r="N1211">
        <v>3</v>
      </c>
      <c r="O1211">
        <v>1</v>
      </c>
      <c r="P1211">
        <v>133</v>
      </c>
      <c r="Q1211">
        <v>0.50060000000000004</v>
      </c>
      <c r="R1211">
        <v>475.55002403838506</v>
      </c>
      <c r="S1211">
        <v>208.85002403838502</v>
      </c>
      <c r="T1211">
        <v>0.34583333333333333</v>
      </c>
      <c r="U1211">
        <v>41</v>
      </c>
      <c r="V1211">
        <v>0.68819444444444444</v>
      </c>
      <c r="W1211">
        <v>86</v>
      </c>
      <c r="X1211">
        <v>16.7</v>
      </c>
      <c r="Y1211">
        <v>40</v>
      </c>
      <c r="Z1211">
        <v>0.35833333333333334</v>
      </c>
      <c r="AA1211">
        <v>81</v>
      </c>
      <c r="AB1211">
        <v>17.100000000000001</v>
      </c>
      <c r="AD1211">
        <v>45</v>
      </c>
      <c r="AE1211">
        <v>41</v>
      </c>
      <c r="AF1211">
        <v>41.533723538635904</v>
      </c>
      <c r="AG1211">
        <v>36.685592064046816</v>
      </c>
      <c r="AH1211">
        <v>78.219315602682713</v>
      </c>
      <c r="AI1211">
        <v>6.9361318309521955</v>
      </c>
      <c r="AJ1211">
        <v>6.2732362429520059</v>
      </c>
      <c r="AK1211">
        <v>13.209368073904201</v>
      </c>
      <c r="AL1211">
        <v>164.48178245990178</v>
      </c>
      <c r="AM1211">
        <v>43.917571965368509</v>
      </c>
      <c r="AN1211">
        <v>2.6700569089512975</v>
      </c>
      <c r="AO1211">
        <v>16.7</v>
      </c>
      <c r="AP1211">
        <v>16.887603748671964</v>
      </c>
      <c r="AQ1211">
        <v>27.777031660580839</v>
      </c>
      <c r="AR1211">
        <v>63.248104158591914</v>
      </c>
      <c r="AS1211">
        <v>-5.2946401189341215</v>
      </c>
      <c r="AT1211">
        <v>15.416733143104382</v>
      </c>
      <c r="AU1211">
        <v>35.103792065875922</v>
      </c>
    </row>
    <row r="1212" spans="1:48" x14ac:dyDescent="0.35">
      <c r="A1212">
        <v>1210</v>
      </c>
      <c r="B1212">
        <v>46085</v>
      </c>
      <c r="C1212" t="s">
        <v>16</v>
      </c>
      <c r="D1212" t="s">
        <v>468</v>
      </c>
      <c r="E1212" t="s">
        <v>212</v>
      </c>
      <c r="F1212" t="s">
        <v>469</v>
      </c>
      <c r="G1212" t="s">
        <v>470</v>
      </c>
      <c r="H1212" t="s">
        <v>22</v>
      </c>
      <c r="I1212" t="s">
        <v>23</v>
      </c>
      <c r="J1212" t="s">
        <v>303</v>
      </c>
      <c r="K1212" t="s">
        <v>467</v>
      </c>
      <c r="L1212">
        <v>30</v>
      </c>
      <c r="M1212">
        <v>71</v>
      </c>
      <c r="N1212">
        <v>3</v>
      </c>
      <c r="O1212">
        <v>2</v>
      </c>
      <c r="P1212">
        <v>134</v>
      </c>
      <c r="Q1212">
        <v>0.50029999999999997</v>
      </c>
      <c r="R1212">
        <v>475.26503600959654</v>
      </c>
      <c r="S1212">
        <v>237.7650360095966</v>
      </c>
      <c r="T1212">
        <v>0.34583333333333333</v>
      </c>
      <c r="U1212">
        <v>41</v>
      </c>
      <c r="V1212">
        <v>0.68888888888888888</v>
      </c>
      <c r="W1212">
        <v>89</v>
      </c>
      <c r="X1212">
        <v>16.399999999999999</v>
      </c>
      <c r="Y1212">
        <v>40</v>
      </c>
      <c r="Z1212">
        <v>0.35833333333333334</v>
      </c>
      <c r="AA1212">
        <v>81</v>
      </c>
      <c r="AB1212">
        <v>17.600000000000001</v>
      </c>
      <c r="AD1212">
        <v>48</v>
      </c>
      <c r="AE1212">
        <v>41</v>
      </c>
      <c r="AF1212">
        <v>44.533723538635904</v>
      </c>
      <c r="AG1212">
        <v>36.685592064046816</v>
      </c>
      <c r="AH1212">
        <v>81.219315602682713</v>
      </c>
      <c r="AI1212">
        <v>7.3035306603362873</v>
      </c>
      <c r="AJ1212">
        <v>6.4566642032722399</v>
      </c>
      <c r="AK1212">
        <v>13.760194863608527</v>
      </c>
      <c r="AL1212">
        <v>170.89267976582803</v>
      </c>
      <c r="AM1212">
        <v>50.027882969450268</v>
      </c>
      <c r="AN1212">
        <v>2.9274444661996526</v>
      </c>
      <c r="AO1212">
        <v>16.399999999999999</v>
      </c>
      <c r="AP1212">
        <v>16.942022672195506</v>
      </c>
      <c r="AQ1212">
        <v>28.952676551049048</v>
      </c>
      <c r="AR1212">
        <v>57.873079635868507</v>
      </c>
      <c r="AS1212">
        <v>1.5867023968601925</v>
      </c>
      <c r="AT1212">
        <v>16.069236397191236</v>
      </c>
      <c r="AU1212">
        <v>32.120560462260585</v>
      </c>
    </row>
    <row r="1213" spans="1:48" x14ac:dyDescent="0.35">
      <c r="A1213">
        <v>1211</v>
      </c>
      <c r="B1213">
        <v>46085</v>
      </c>
      <c r="C1213" t="s">
        <v>16</v>
      </c>
      <c r="D1213" t="s">
        <v>472</v>
      </c>
      <c r="E1213" t="s">
        <v>346</v>
      </c>
      <c r="F1213" t="s">
        <v>347</v>
      </c>
      <c r="G1213" t="s">
        <v>348</v>
      </c>
      <c r="H1213" t="s">
        <v>22</v>
      </c>
      <c r="I1213" t="s">
        <v>23</v>
      </c>
      <c r="J1213" t="s">
        <v>303</v>
      </c>
      <c r="K1213" t="s">
        <v>471</v>
      </c>
      <c r="L1213">
        <v>30</v>
      </c>
      <c r="M1213">
        <v>71</v>
      </c>
      <c r="N1213">
        <v>3</v>
      </c>
      <c r="O1213">
        <v>1</v>
      </c>
      <c r="P1213">
        <v>135</v>
      </c>
      <c r="Q1213">
        <v>0.50029999999999997</v>
      </c>
      <c r="R1213">
        <v>478.29455392429736</v>
      </c>
      <c r="S1213">
        <v>172.19455392429734</v>
      </c>
      <c r="T1213">
        <v>0.34583333333333333</v>
      </c>
      <c r="U1213">
        <v>40.5</v>
      </c>
      <c r="V1213">
        <v>0.68958333333333333</v>
      </c>
      <c r="W1213">
        <v>73.5</v>
      </c>
      <c r="X1213">
        <v>14.5</v>
      </c>
      <c r="Y1213">
        <v>40</v>
      </c>
      <c r="Z1213">
        <v>0.35833333333333334</v>
      </c>
      <c r="AA1213">
        <v>74</v>
      </c>
      <c r="AB1213">
        <v>16.100000000000001</v>
      </c>
      <c r="AC1213" t="s">
        <v>606</v>
      </c>
      <c r="AD1213">
        <v>33</v>
      </c>
      <c r="AE1213">
        <v>34</v>
      </c>
      <c r="AV1213" t="s">
        <v>629</v>
      </c>
    </row>
    <row r="1214" spans="1:48" x14ac:dyDescent="0.35">
      <c r="A1214">
        <v>1212</v>
      </c>
      <c r="B1214">
        <v>46085</v>
      </c>
      <c r="C1214" t="s">
        <v>16</v>
      </c>
      <c r="D1214" t="s">
        <v>472</v>
      </c>
      <c r="E1214" t="s">
        <v>346</v>
      </c>
      <c r="F1214" t="s">
        <v>347</v>
      </c>
      <c r="G1214" t="s">
        <v>348</v>
      </c>
      <c r="H1214" t="s">
        <v>22</v>
      </c>
      <c r="I1214" t="s">
        <v>23</v>
      </c>
      <c r="J1214" t="s">
        <v>303</v>
      </c>
      <c r="K1214" t="s">
        <v>471</v>
      </c>
      <c r="L1214">
        <v>30</v>
      </c>
      <c r="M1214">
        <v>71</v>
      </c>
      <c r="N1214">
        <v>3</v>
      </c>
      <c r="O1214">
        <v>2</v>
      </c>
      <c r="P1214">
        <v>136</v>
      </c>
      <c r="Q1214">
        <v>0.50019999999999998</v>
      </c>
      <c r="R1214">
        <v>478.19895237444246</v>
      </c>
      <c r="S1214">
        <v>86.798952374442479</v>
      </c>
      <c r="T1214">
        <v>0.34652777777777777</v>
      </c>
      <c r="U1214">
        <v>40.5</v>
      </c>
      <c r="V1214">
        <v>0.69027777777777777</v>
      </c>
      <c r="W1214">
        <v>71.5</v>
      </c>
      <c r="X1214">
        <v>14.7</v>
      </c>
      <c r="Y1214">
        <v>40</v>
      </c>
      <c r="Z1214">
        <v>0.35902777777777778</v>
      </c>
      <c r="AA1214">
        <v>71.5</v>
      </c>
      <c r="AB1214">
        <v>16.399999999999999</v>
      </c>
      <c r="AD1214">
        <v>31</v>
      </c>
      <c r="AE1214">
        <v>31.5</v>
      </c>
      <c r="AV1214" t="s">
        <v>629</v>
      </c>
    </row>
    <row r="1215" spans="1:48" x14ac:dyDescent="0.35">
      <c r="A1215">
        <v>1213</v>
      </c>
      <c r="B1215">
        <v>46085</v>
      </c>
      <c r="C1215" t="s">
        <v>473</v>
      </c>
      <c r="D1215" t="s">
        <v>475</v>
      </c>
      <c r="E1215" t="s">
        <v>592</v>
      </c>
      <c r="F1215" t="s">
        <v>106</v>
      </c>
      <c r="G1215" t="s">
        <v>476</v>
      </c>
      <c r="H1215" t="s">
        <v>108</v>
      </c>
      <c r="I1215" t="s">
        <v>109</v>
      </c>
      <c r="J1215" t="s">
        <v>110</v>
      </c>
      <c r="K1215" t="s">
        <v>474</v>
      </c>
      <c r="L1215">
        <v>30</v>
      </c>
      <c r="M1215">
        <v>71</v>
      </c>
      <c r="N1215">
        <v>3</v>
      </c>
      <c r="O1215">
        <v>1</v>
      </c>
      <c r="P1215">
        <v>137</v>
      </c>
      <c r="Q1215">
        <v>0.50019999999999998</v>
      </c>
      <c r="R1215">
        <v>465.63617999999997</v>
      </c>
      <c r="S1215">
        <v>251.63618</v>
      </c>
      <c r="T1215">
        <v>0.34652777777777777</v>
      </c>
      <c r="U1215">
        <v>41</v>
      </c>
      <c r="V1215">
        <v>0.69097222222222221</v>
      </c>
      <c r="W1215">
        <v>87</v>
      </c>
      <c r="X1215">
        <v>13.8</v>
      </c>
      <c r="Y1215">
        <v>40.5</v>
      </c>
      <c r="Z1215">
        <v>0.35902777777777778</v>
      </c>
      <c r="AA1215">
        <v>98</v>
      </c>
      <c r="AB1215">
        <v>15.8</v>
      </c>
      <c r="AD1215">
        <v>46</v>
      </c>
      <c r="AE1215">
        <v>57.5</v>
      </c>
      <c r="AF1215">
        <v>42.533723538635904</v>
      </c>
      <c r="AG1215">
        <v>53.185592064046816</v>
      </c>
      <c r="AH1215">
        <v>95.719315602682713</v>
      </c>
      <c r="AI1215">
        <v>5.8696538483317555</v>
      </c>
      <c r="AJ1215">
        <v>8.4033235461193971</v>
      </c>
      <c r="AK1215">
        <v>14.272977394451154</v>
      </c>
      <c r="AL1215">
        <v>205.56674870643153</v>
      </c>
      <c r="AM1215">
        <v>54.041371956964348</v>
      </c>
      <c r="AN1215">
        <v>2.6288965650831235</v>
      </c>
      <c r="AO1215">
        <v>13.800000000000002</v>
      </c>
      <c r="AP1215">
        <v>14.911282330617842</v>
      </c>
      <c r="AQ1215">
        <v>30.652638277487707</v>
      </c>
      <c r="AR1215">
        <v>56.720688553017908</v>
      </c>
      <c r="AS1215">
        <v>0.61802053574970139</v>
      </c>
      <c r="AT1215">
        <v>17.012744566467223</v>
      </c>
      <c r="AU1215">
        <v>31.48096347371651</v>
      </c>
    </row>
    <row r="1216" spans="1:48" x14ac:dyDescent="0.35">
      <c r="A1216">
        <v>1214</v>
      </c>
      <c r="B1216">
        <v>46085</v>
      </c>
      <c r="C1216" t="s">
        <v>473</v>
      </c>
      <c r="D1216" t="s">
        <v>475</v>
      </c>
      <c r="E1216" t="s">
        <v>592</v>
      </c>
      <c r="F1216" t="s">
        <v>106</v>
      </c>
      <c r="G1216" t="s">
        <v>476</v>
      </c>
      <c r="H1216" t="s">
        <v>108</v>
      </c>
      <c r="I1216" t="s">
        <v>109</v>
      </c>
      <c r="J1216" t="s">
        <v>110</v>
      </c>
      <c r="K1216" t="s">
        <v>474</v>
      </c>
      <c r="L1216">
        <v>30</v>
      </c>
      <c r="M1216">
        <v>71</v>
      </c>
      <c r="N1216">
        <v>3</v>
      </c>
      <c r="O1216">
        <v>2</v>
      </c>
      <c r="P1216">
        <v>138</v>
      </c>
      <c r="Q1216">
        <v>0.50039999999999996</v>
      </c>
      <c r="R1216">
        <v>465.82235999999995</v>
      </c>
      <c r="S1216">
        <v>324.02236000000005</v>
      </c>
      <c r="T1216">
        <v>0.34652777777777777</v>
      </c>
      <c r="U1216">
        <v>40.5</v>
      </c>
      <c r="V1216">
        <v>0.69097222222222221</v>
      </c>
      <c r="W1216">
        <v>82</v>
      </c>
      <c r="X1216">
        <v>13.4</v>
      </c>
      <c r="Y1216">
        <v>40</v>
      </c>
      <c r="Z1216">
        <v>0.36041666666666666</v>
      </c>
      <c r="AA1216">
        <v>99</v>
      </c>
      <c r="AB1216">
        <v>15.6</v>
      </c>
      <c r="AD1216">
        <v>41.5</v>
      </c>
      <c r="AE1216">
        <v>59</v>
      </c>
      <c r="AF1216">
        <v>38.033723538635904</v>
      </c>
      <c r="AG1216">
        <v>54.685592064046816</v>
      </c>
      <c r="AH1216">
        <v>92.719315602682713</v>
      </c>
      <c r="AI1216">
        <v>5.0965189541772116</v>
      </c>
      <c r="AJ1216">
        <v>8.5309523619913037</v>
      </c>
      <c r="AK1216">
        <v>13.627471316168515</v>
      </c>
      <c r="AL1216">
        <v>199.04436447121756</v>
      </c>
      <c r="AM1216">
        <v>69.559211369759083</v>
      </c>
      <c r="AN1216">
        <v>3.4946586684104566</v>
      </c>
      <c r="AO1216">
        <v>13.4</v>
      </c>
      <c r="AP1216">
        <v>14.697553824237051</v>
      </c>
      <c r="AQ1216">
        <v>29.254652602267775</v>
      </c>
      <c r="AR1216">
        <v>42.057194189217412</v>
      </c>
      <c r="AS1216">
        <v>0.27776247989201025</v>
      </c>
      <c r="AT1216">
        <v>16.236838330116786</v>
      </c>
      <c r="AU1216">
        <v>23.342470408133124</v>
      </c>
    </row>
    <row r="1217" spans="1:47" x14ac:dyDescent="0.35">
      <c r="A1217">
        <v>1215</v>
      </c>
      <c r="B1217">
        <v>46085</v>
      </c>
      <c r="C1217" t="s">
        <v>667</v>
      </c>
      <c r="D1217" t="s">
        <v>479</v>
      </c>
      <c r="E1217" t="s">
        <v>105</v>
      </c>
      <c r="F1217" t="s">
        <v>188</v>
      </c>
      <c r="G1217" t="s">
        <v>189</v>
      </c>
      <c r="H1217" t="s">
        <v>108</v>
      </c>
      <c r="I1217" t="s">
        <v>109</v>
      </c>
      <c r="J1217" t="s">
        <v>110</v>
      </c>
      <c r="K1217" t="s">
        <v>478</v>
      </c>
      <c r="L1217">
        <v>30</v>
      </c>
      <c r="M1217">
        <v>71</v>
      </c>
      <c r="N1217">
        <v>3</v>
      </c>
      <c r="O1217">
        <v>1</v>
      </c>
      <c r="P1217">
        <v>139</v>
      </c>
      <c r="Q1217">
        <v>0.50049999999999994</v>
      </c>
      <c r="R1217">
        <v>491.54105000000004</v>
      </c>
      <c r="S1217">
        <v>252.24105000000009</v>
      </c>
      <c r="T1217">
        <v>0.34722222222222221</v>
      </c>
      <c r="U1217">
        <v>40.5</v>
      </c>
      <c r="V1217">
        <v>0.69166666666666665</v>
      </c>
      <c r="W1217">
        <v>79.5</v>
      </c>
      <c r="X1217">
        <v>14.1</v>
      </c>
      <c r="Y1217">
        <v>40.5</v>
      </c>
      <c r="Z1217">
        <v>0.35972222222222222</v>
      </c>
      <c r="AA1217">
        <v>99.5</v>
      </c>
      <c r="AB1217">
        <v>15.9</v>
      </c>
      <c r="AD1217">
        <v>39</v>
      </c>
      <c r="AE1217">
        <v>59</v>
      </c>
      <c r="AF1217">
        <v>35.533723538635904</v>
      </c>
      <c r="AG1217">
        <v>54.685592064046816</v>
      </c>
      <c r="AH1217">
        <v>90.219315602682713</v>
      </c>
      <c r="AI1217">
        <v>5.010255018947662</v>
      </c>
      <c r="AJ1217">
        <v>8.695009138183444</v>
      </c>
      <c r="AK1217">
        <v>13.705264157131106</v>
      </c>
      <c r="AL1217">
        <v>183.54380697742886</v>
      </c>
      <c r="AM1217">
        <v>51.316375305785769</v>
      </c>
      <c r="AN1217">
        <v>2.7958652569572315</v>
      </c>
      <c r="AO1217">
        <v>14.1</v>
      </c>
      <c r="AP1217">
        <v>15.191053119365021</v>
      </c>
      <c r="AQ1217">
        <v>27.882237215246018</v>
      </c>
      <c r="AR1217">
        <v>54.333995823166376</v>
      </c>
      <c r="AS1217">
        <v>0.40532165699870587</v>
      </c>
      <c r="AT1217">
        <v>15.475124046108865</v>
      </c>
      <c r="AU1217">
        <v>30.156307716387154</v>
      </c>
    </row>
    <row r="1218" spans="1:47" x14ac:dyDescent="0.35">
      <c r="A1218">
        <v>1216</v>
      </c>
      <c r="B1218">
        <v>46085</v>
      </c>
      <c r="C1218" t="s">
        <v>667</v>
      </c>
      <c r="D1218" t="s">
        <v>479</v>
      </c>
      <c r="E1218" t="s">
        <v>105</v>
      </c>
      <c r="F1218" t="s">
        <v>188</v>
      </c>
      <c r="G1218" t="s">
        <v>189</v>
      </c>
      <c r="H1218" t="s">
        <v>108</v>
      </c>
      <c r="I1218" t="s">
        <v>109</v>
      </c>
      <c r="J1218" t="s">
        <v>110</v>
      </c>
      <c r="K1218" t="s">
        <v>478</v>
      </c>
      <c r="L1218">
        <v>30</v>
      </c>
      <c r="M1218">
        <v>71</v>
      </c>
      <c r="N1218">
        <v>3</v>
      </c>
      <c r="O1218">
        <v>2</v>
      </c>
      <c r="P1218">
        <v>140</v>
      </c>
      <c r="Q1218">
        <v>0.50060000000000004</v>
      </c>
      <c r="R1218">
        <v>491.63926000000015</v>
      </c>
      <c r="S1218">
        <v>190.93926000000005</v>
      </c>
      <c r="T1218">
        <v>0.34791666666666665</v>
      </c>
      <c r="U1218">
        <v>40</v>
      </c>
      <c r="V1218">
        <v>0.69236111111111109</v>
      </c>
      <c r="W1218">
        <v>78.5</v>
      </c>
      <c r="X1218">
        <v>13.4</v>
      </c>
      <c r="Y1218">
        <v>40</v>
      </c>
      <c r="Z1218">
        <v>0.36041666666666666</v>
      </c>
      <c r="AA1218">
        <v>97.5</v>
      </c>
      <c r="AB1218">
        <v>15.7</v>
      </c>
      <c r="AD1218">
        <v>38.5</v>
      </c>
      <c r="AE1218">
        <v>57.5</v>
      </c>
      <c r="AF1218">
        <v>35.033723538635904</v>
      </c>
      <c r="AG1218">
        <v>53.185592064046816</v>
      </c>
      <c r="AH1218">
        <v>88.219315602682713</v>
      </c>
      <c r="AI1218">
        <v>4.6945189541772114</v>
      </c>
      <c r="AJ1218">
        <v>8.3501379540553504</v>
      </c>
      <c r="AK1218">
        <v>13.044656908232561</v>
      </c>
      <c r="AL1218">
        <v>179.43911884230459</v>
      </c>
      <c r="AM1218">
        <v>38.837268610322127</v>
      </c>
      <c r="AN1218">
        <v>2.1643702254497388</v>
      </c>
      <c r="AO1218">
        <v>13.400000000000002</v>
      </c>
      <c r="AP1218">
        <v>14.786622202990518</v>
      </c>
      <c r="AQ1218">
        <v>26.532984587586753</v>
      </c>
      <c r="AR1218">
        <v>68.318358980927016</v>
      </c>
      <c r="AS1218">
        <v>0.77427287049429439</v>
      </c>
      <c r="AT1218">
        <v>14.726265494286904</v>
      </c>
      <c r="AU1218">
        <v>37.917871212943574</v>
      </c>
    </row>
    <row r="1219" spans="1:47" x14ac:dyDescent="0.35">
      <c r="A1219">
        <v>1217</v>
      </c>
      <c r="B1219">
        <v>46085</v>
      </c>
      <c r="C1219" t="s">
        <v>320</v>
      </c>
      <c r="D1219" t="s">
        <v>122</v>
      </c>
      <c r="E1219" t="s">
        <v>123</v>
      </c>
      <c r="F1219" t="s">
        <v>545</v>
      </c>
      <c r="G1219" t="s">
        <v>125</v>
      </c>
      <c r="H1219" t="s">
        <v>108</v>
      </c>
      <c r="I1219" t="s">
        <v>109</v>
      </c>
      <c r="J1219" t="s">
        <v>110</v>
      </c>
      <c r="K1219" t="s">
        <v>121</v>
      </c>
      <c r="L1219">
        <v>30</v>
      </c>
      <c r="M1219">
        <v>71</v>
      </c>
      <c r="N1219">
        <v>3</v>
      </c>
      <c r="O1219">
        <v>1</v>
      </c>
      <c r="P1219">
        <v>141</v>
      </c>
      <c r="Q1219">
        <v>0.50029999999999997</v>
      </c>
      <c r="R1219">
        <v>468.78109999999992</v>
      </c>
      <c r="S1219">
        <v>167.8811</v>
      </c>
      <c r="T1219">
        <v>0.34791666666666665</v>
      </c>
      <c r="U1219">
        <v>41</v>
      </c>
      <c r="V1219">
        <v>0.69305555555555554</v>
      </c>
      <c r="W1219">
        <v>72.5</v>
      </c>
      <c r="X1219">
        <v>15.8</v>
      </c>
      <c r="Y1219">
        <v>40</v>
      </c>
      <c r="Z1219">
        <v>0.36041666666666666</v>
      </c>
      <c r="AA1219">
        <v>85.5</v>
      </c>
      <c r="AB1219">
        <v>16.2</v>
      </c>
      <c r="AD1219">
        <v>31.5</v>
      </c>
      <c r="AE1219">
        <v>45.5</v>
      </c>
      <c r="AF1219">
        <v>28.0337235386359</v>
      </c>
      <c r="AG1219">
        <v>41.185592064046816</v>
      </c>
      <c r="AH1219">
        <v>69.219315602682713</v>
      </c>
      <c r="AI1219">
        <v>4.4293283191044726</v>
      </c>
      <c r="AJ1219">
        <v>6.6720659143755841</v>
      </c>
      <c r="AK1219">
        <v>11.101394233480057</v>
      </c>
      <c r="AL1219">
        <v>147.65807666453003</v>
      </c>
      <c r="AM1219">
        <v>35.812258642679929</v>
      </c>
      <c r="AN1219">
        <v>2.4253504753446808</v>
      </c>
      <c r="AO1219">
        <v>15.8</v>
      </c>
      <c r="AP1219">
        <v>16.038000573715301</v>
      </c>
      <c r="AQ1219">
        <v>23.681403182594305</v>
      </c>
      <c r="AR1219">
        <v>66.126527843098813</v>
      </c>
      <c r="AS1219">
        <v>0.70919892398992779</v>
      </c>
      <c r="AT1219">
        <v>13.143588479197671</v>
      </c>
      <c r="AU1219">
        <v>36.701367010494984</v>
      </c>
    </row>
    <row r="1220" spans="1:47" x14ac:dyDescent="0.35">
      <c r="A1220">
        <v>1218</v>
      </c>
      <c r="B1220">
        <v>46085</v>
      </c>
      <c r="C1220" t="s">
        <v>320</v>
      </c>
      <c r="D1220" t="s">
        <v>122</v>
      </c>
      <c r="E1220" t="s">
        <v>123</v>
      </c>
      <c r="F1220" t="s">
        <v>545</v>
      </c>
      <c r="G1220" t="s">
        <v>125</v>
      </c>
      <c r="H1220" t="s">
        <v>108</v>
      </c>
      <c r="I1220" t="s">
        <v>109</v>
      </c>
      <c r="J1220" t="s">
        <v>110</v>
      </c>
      <c r="K1220" t="s">
        <v>121</v>
      </c>
      <c r="L1220">
        <v>30</v>
      </c>
      <c r="M1220">
        <v>71</v>
      </c>
      <c r="N1220">
        <v>3</v>
      </c>
      <c r="O1220">
        <v>2</v>
      </c>
      <c r="P1220">
        <v>142</v>
      </c>
      <c r="Q1220">
        <v>0.50009999999999999</v>
      </c>
      <c r="R1220">
        <v>468.5936999999999</v>
      </c>
      <c r="S1220">
        <v>155.0936999999999</v>
      </c>
      <c r="T1220">
        <v>0.34791666666666665</v>
      </c>
      <c r="U1220">
        <v>41</v>
      </c>
      <c r="V1220">
        <v>0.69305555555555554</v>
      </c>
      <c r="W1220">
        <v>71</v>
      </c>
      <c r="X1220">
        <v>16.100000000000001</v>
      </c>
      <c r="Y1220">
        <v>40</v>
      </c>
      <c r="Z1220">
        <v>0.3611111111111111</v>
      </c>
      <c r="AA1220">
        <v>86.5</v>
      </c>
      <c r="AB1220">
        <v>16.600000000000001</v>
      </c>
      <c r="AD1220">
        <v>30</v>
      </c>
      <c r="AE1220">
        <v>46.5</v>
      </c>
      <c r="AF1220">
        <v>26.5337235386359</v>
      </c>
      <c r="AG1220">
        <v>42.185592064046816</v>
      </c>
      <c r="AH1220">
        <v>68.719315602682713</v>
      </c>
      <c r="AI1220">
        <v>4.2719294897203799</v>
      </c>
      <c r="AJ1220">
        <v>7.0028082826317721</v>
      </c>
      <c r="AK1220">
        <v>11.274737772352152</v>
      </c>
      <c r="AL1220">
        <v>146.65010563027784</v>
      </c>
      <c r="AM1220">
        <v>33.097692094451958</v>
      </c>
      <c r="AN1220">
        <v>2.2569156668659436</v>
      </c>
      <c r="AO1220">
        <v>16.100000000000001</v>
      </c>
      <c r="AP1220">
        <v>16.406941299502698</v>
      </c>
      <c r="AQ1220">
        <v>24.060796746418387</v>
      </c>
      <c r="AR1220">
        <v>72.696297608169502</v>
      </c>
      <c r="AS1220">
        <v>0.9328509104947621</v>
      </c>
      <c r="AT1220">
        <v>13.354158471022524</v>
      </c>
      <c r="AU1220">
        <v>40.347702893945986</v>
      </c>
    </row>
    <row r="1221" spans="1:47" x14ac:dyDescent="0.35">
      <c r="A1221">
        <v>1219</v>
      </c>
      <c r="B1221">
        <v>46085</v>
      </c>
      <c r="D1221" t="s">
        <v>553</v>
      </c>
      <c r="E1221" t="s">
        <v>554</v>
      </c>
      <c r="G1221" t="s">
        <v>553</v>
      </c>
      <c r="K1221" t="s">
        <v>607</v>
      </c>
      <c r="L1221">
        <v>30</v>
      </c>
      <c r="M1221">
        <v>71</v>
      </c>
      <c r="N1221">
        <v>3</v>
      </c>
      <c r="O1221">
        <v>1</v>
      </c>
      <c r="P1221">
        <v>143</v>
      </c>
      <c r="T1221">
        <v>0.34791666666666665</v>
      </c>
      <c r="U1221">
        <v>40</v>
      </c>
      <c r="V1221">
        <v>0.69444444444444442</v>
      </c>
      <c r="W1221">
        <v>44</v>
      </c>
      <c r="Y1221">
        <v>40</v>
      </c>
      <c r="Z1221">
        <v>0.36180555555555555</v>
      </c>
      <c r="AA1221">
        <v>45</v>
      </c>
      <c r="AD1221">
        <v>4</v>
      </c>
      <c r="AE1221">
        <v>5</v>
      </c>
    </row>
    <row r="1222" spans="1:47" x14ac:dyDescent="0.35">
      <c r="A1222">
        <v>1220</v>
      </c>
      <c r="B1222">
        <v>46085</v>
      </c>
      <c r="D1222" t="s">
        <v>553</v>
      </c>
      <c r="E1222" t="s">
        <v>554</v>
      </c>
      <c r="G1222" t="s">
        <v>553</v>
      </c>
      <c r="K1222" t="s">
        <v>607</v>
      </c>
      <c r="L1222">
        <v>30</v>
      </c>
      <c r="M1222">
        <v>71</v>
      </c>
      <c r="N1222">
        <v>3</v>
      </c>
      <c r="O1222">
        <v>2</v>
      </c>
      <c r="P1222">
        <v>144</v>
      </c>
      <c r="T1222">
        <v>0.34791666666666665</v>
      </c>
      <c r="U1222">
        <v>39</v>
      </c>
      <c r="V1222">
        <v>0.69444444444444442</v>
      </c>
      <c r="W1222">
        <v>44</v>
      </c>
      <c r="Y1222">
        <v>39.5</v>
      </c>
      <c r="Z1222">
        <v>0.36249999999999999</v>
      </c>
      <c r="AA1222">
        <v>44.5</v>
      </c>
      <c r="AD1222">
        <v>5</v>
      </c>
      <c r="AE1222">
        <v>5</v>
      </c>
    </row>
    <row r="1230" spans="1:47" x14ac:dyDescent="0.35">
      <c r="AL1230">
        <v>4.0936551081992079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C308B-160C-4461-A7DA-E83DE6AECA3A}">
  <dimension ref="B3:AG1230"/>
  <sheetViews>
    <sheetView topLeftCell="B1" zoomScale="90" zoomScaleNormal="90" workbookViewId="0">
      <selection activeCell="B1" sqref="A1:XFD1048576"/>
    </sheetView>
  </sheetViews>
  <sheetFormatPr defaultColWidth="8.6328125" defaultRowHeight="14.5" x14ac:dyDescent="0.35"/>
  <cols>
    <col min="1" max="1" width="2.36328125" style="5" customWidth="1"/>
    <col min="2" max="2" width="8.6328125" style="5"/>
    <col min="3" max="3" width="15.36328125" style="5" hidden="1" customWidth="1"/>
    <col min="4" max="4" width="16" style="193" customWidth="1"/>
    <col min="5" max="5" width="18.453125" style="15" customWidth="1"/>
    <col min="6" max="6" width="12" style="15" customWidth="1"/>
    <col min="7" max="7" width="13.54296875" style="47" bestFit="1" customWidth="1"/>
    <col min="8" max="8" width="14.90625" style="47" bestFit="1" customWidth="1"/>
    <col min="9" max="9" width="30.453125" style="47" bestFit="1" customWidth="1"/>
    <col min="10" max="12" width="18" style="47" customWidth="1"/>
    <col min="13" max="13" width="18" style="46" customWidth="1"/>
    <col min="14" max="14" width="9.453125" style="46" customWidth="1"/>
    <col min="15" max="18" width="9.54296875" style="46" customWidth="1"/>
    <col min="19" max="20" width="9.54296875" style="120" customWidth="1"/>
    <col min="21" max="21" width="9.54296875" style="41" customWidth="1"/>
    <col min="22" max="22" width="12.36328125" style="252" customWidth="1"/>
    <col min="23" max="23" width="12.36328125" style="38" customWidth="1"/>
    <col min="24" max="24" width="12.36328125" style="41" customWidth="1"/>
    <col min="25" max="25" width="12.36328125" style="15" customWidth="1"/>
    <col min="26" max="27" width="12.36328125" style="5" customWidth="1"/>
    <col min="28" max="28" width="9.453125" style="15" customWidth="1"/>
    <col min="29" max="16384" width="8.6328125" style="5"/>
  </cols>
  <sheetData>
    <row r="3" spans="2:33" ht="14.4" customHeight="1" x14ac:dyDescent="0.35">
      <c r="F3" s="338" t="s">
        <v>670</v>
      </c>
      <c r="G3" s="338"/>
      <c r="H3" s="338"/>
      <c r="I3" s="338"/>
      <c r="J3" s="338"/>
      <c r="K3" s="338"/>
      <c r="L3" s="338"/>
      <c r="M3" s="338"/>
      <c r="N3" s="338"/>
      <c r="O3" s="338"/>
      <c r="P3" s="338"/>
      <c r="Q3" s="338"/>
      <c r="R3" s="338"/>
      <c r="S3" s="346"/>
      <c r="T3" s="338"/>
      <c r="U3" s="338"/>
      <c r="V3" s="347"/>
      <c r="W3" s="338"/>
      <c r="X3" s="338"/>
      <c r="Y3" s="338"/>
      <c r="Z3" s="338"/>
      <c r="AA3" s="338"/>
      <c r="AB3" s="338"/>
    </row>
    <row r="4" spans="2:33" ht="14.4" customHeight="1" x14ac:dyDescent="0.35">
      <c r="F4" s="338"/>
      <c r="G4" s="338"/>
      <c r="H4" s="338"/>
      <c r="I4" s="338"/>
      <c r="J4" s="338"/>
      <c r="K4" s="338"/>
      <c r="L4" s="338"/>
      <c r="M4" s="338"/>
      <c r="N4" s="338"/>
      <c r="O4" s="338"/>
      <c r="P4" s="338"/>
      <c r="Q4" s="338"/>
      <c r="R4" s="338"/>
      <c r="S4" s="346"/>
      <c r="T4" s="338"/>
      <c r="U4" s="338"/>
      <c r="V4" s="347"/>
      <c r="W4" s="338"/>
      <c r="X4" s="338"/>
      <c r="Y4" s="338"/>
      <c r="Z4" s="338"/>
      <c r="AA4" s="338"/>
      <c r="AB4" s="338"/>
    </row>
    <row r="5" spans="2:33" ht="14.4" customHeight="1" x14ac:dyDescent="0.35">
      <c r="F5" s="338"/>
      <c r="G5" s="338"/>
      <c r="H5" s="338"/>
      <c r="I5" s="338"/>
      <c r="J5" s="338"/>
      <c r="K5" s="338"/>
      <c r="L5" s="338"/>
      <c r="M5" s="338"/>
      <c r="N5" s="338"/>
      <c r="O5" s="338"/>
      <c r="P5" s="338"/>
      <c r="Q5" s="338"/>
      <c r="R5" s="338"/>
      <c r="S5" s="346"/>
      <c r="T5" s="338"/>
      <c r="U5" s="338"/>
      <c r="V5" s="347"/>
      <c r="W5" s="338"/>
      <c r="X5" s="338"/>
      <c r="Y5" s="338"/>
      <c r="Z5" s="338"/>
      <c r="AA5" s="338"/>
      <c r="AB5" s="338"/>
    </row>
    <row r="8" spans="2:33" x14ac:dyDescent="0.35">
      <c r="AG8" s="56"/>
    </row>
    <row r="10" spans="2:33" ht="44" thickBot="1" x14ac:dyDescent="0.4">
      <c r="B10" s="12" t="s">
        <v>482</v>
      </c>
      <c r="C10" s="12" t="s">
        <v>483</v>
      </c>
      <c r="D10" s="13" t="s">
        <v>483</v>
      </c>
      <c r="E10" s="12" t="s">
        <v>3</v>
      </c>
      <c r="F10" s="12" t="s">
        <v>501</v>
      </c>
      <c r="G10" s="201" t="s">
        <v>7</v>
      </c>
      <c r="H10" s="201" t="s">
        <v>8</v>
      </c>
      <c r="I10" s="244" t="s">
        <v>9</v>
      </c>
      <c r="J10" s="245" t="s">
        <v>10</v>
      </c>
      <c r="K10" s="245" t="s">
        <v>11</v>
      </c>
      <c r="L10" s="245" t="s">
        <v>12</v>
      </c>
      <c r="M10" s="12" t="s">
        <v>502</v>
      </c>
      <c r="N10" s="12" t="s">
        <v>4</v>
      </c>
      <c r="O10" s="12" t="s">
        <v>503</v>
      </c>
      <c r="P10" s="13" t="s">
        <v>504</v>
      </c>
      <c r="Q10" s="12" t="s">
        <v>490</v>
      </c>
      <c r="R10" s="12" t="s">
        <v>505</v>
      </c>
      <c r="S10" s="251" t="s">
        <v>671</v>
      </c>
      <c r="T10" s="251" t="s">
        <v>672</v>
      </c>
      <c r="U10" s="43" t="s">
        <v>518</v>
      </c>
      <c r="V10" s="253" t="s">
        <v>673</v>
      </c>
      <c r="W10" s="78" t="s">
        <v>508</v>
      </c>
      <c r="X10" s="54" t="s">
        <v>528</v>
      </c>
      <c r="Y10" s="43" t="s">
        <v>674</v>
      </c>
      <c r="Z10" s="43" t="s">
        <v>675</v>
      </c>
      <c r="AA10" s="54" t="s">
        <v>676</v>
      </c>
      <c r="AB10" s="43" t="s">
        <v>518</v>
      </c>
    </row>
    <row r="11" spans="2:33" x14ac:dyDescent="0.35">
      <c r="B11" s="230">
        <v>1</v>
      </c>
      <c r="C11" s="61">
        <v>45630</v>
      </c>
      <c r="D11" s="248">
        <f>Table3.110[[#This Row],[Date]]</f>
        <v>46041</v>
      </c>
      <c r="E11" s="230">
        <f>Table3.110[[#This Row],[Requisitioner]]</f>
        <v>0</v>
      </c>
      <c r="F11" s="230" t="str">
        <f>Table3.110[[#This Row],[Gene Bank ID]]</f>
        <v>BLANK 24 H</v>
      </c>
      <c r="G11" s="230" t="str">
        <f>Table3.110[[#This Row],[Genus]]</f>
        <v>BLANK</v>
      </c>
      <c r="H11" s="230">
        <f>Table3.110[[#This Row],[Species]]</f>
        <v>0</v>
      </c>
      <c r="I11" s="230" t="str">
        <f>Table3.110[[#This Row],[Tax Name]]</f>
        <v>BLANK 24 H</v>
      </c>
      <c r="J11" s="230">
        <f>Table3.110[[#This Row],[Family]]</f>
        <v>0</v>
      </c>
      <c r="K11" s="230">
        <f>Table3.110[[#This Row],[Order]]</f>
        <v>0</v>
      </c>
      <c r="L11" s="230">
        <f>Table3.110[[#This Row],[Functional Group]]</f>
        <v>0</v>
      </c>
      <c r="M11" s="230" t="str">
        <f>Table3.110[[#This Row],[CIAT ID]]</f>
        <v>BLANK24H</v>
      </c>
      <c r="N11" s="230">
        <f>Table3.110[[#This Row],[Set CIAT]]</f>
        <v>27</v>
      </c>
      <c r="O11" s="230">
        <f>Table3.110[[#This Row],[Batch]]</f>
        <v>58</v>
      </c>
      <c r="P11" s="230">
        <f>Table3.110[[#This Row],[Run]]</f>
        <v>1</v>
      </c>
      <c r="Q11" s="230">
        <f>Table3.110[[#This Row],[Replication]]</f>
        <v>1</v>
      </c>
      <c r="R11" s="230">
        <f>Table3.110[[#This Row],[Syrange No]]</f>
        <v>181</v>
      </c>
      <c r="S11" s="263"/>
      <c r="T11" s="263"/>
      <c r="U11" s="61"/>
      <c r="V11" s="254"/>
      <c r="W11" s="61"/>
      <c r="X11" s="61"/>
      <c r="Y11" s="37"/>
      <c r="Z11" s="37"/>
      <c r="AA11" s="37"/>
      <c r="AB11" s="57"/>
    </row>
    <row r="12" spans="2:33" x14ac:dyDescent="0.35">
      <c r="B12" s="230">
        <f>B11+1</f>
        <v>2</v>
      </c>
      <c r="C12" s="61">
        <v>45630</v>
      </c>
      <c r="D12" s="248">
        <f>Table3.110[[#This Row],[Date]]</f>
        <v>46041</v>
      </c>
      <c r="E12" s="230">
        <f>Table3.110[[#This Row],[Requisitioner]]</f>
        <v>0</v>
      </c>
      <c r="F12" s="230" t="str">
        <f>Table3.110[[#This Row],[Gene Bank ID]]</f>
        <v>BLANK 24 H</v>
      </c>
      <c r="G12" s="230" t="str">
        <f>Table3.110[[#This Row],[Genus]]</f>
        <v>BLANK</v>
      </c>
      <c r="H12" s="230">
        <f>Table3.110[[#This Row],[Species]]</f>
        <v>0</v>
      </c>
      <c r="I12" s="230" t="str">
        <f>Table3.110[[#This Row],[Tax Name]]</f>
        <v>BLANK 24 H</v>
      </c>
      <c r="J12" s="230">
        <f>Table3.110[[#This Row],[Family]]</f>
        <v>0</v>
      </c>
      <c r="K12" s="230">
        <f>Table3.110[[#This Row],[Order]]</f>
        <v>0</v>
      </c>
      <c r="L12" s="230">
        <f>Table3.110[[#This Row],[Functional Group]]</f>
        <v>0</v>
      </c>
      <c r="M12" s="230" t="str">
        <f>Table3.110[[#This Row],[CIAT ID]]</f>
        <v>BLANK24H</v>
      </c>
      <c r="N12" s="230">
        <f>Table3.110[[#This Row],[Set CIAT]]</f>
        <v>27</v>
      </c>
      <c r="O12" s="230">
        <f>Table3.110[[#This Row],[Batch]]</f>
        <v>58</v>
      </c>
      <c r="P12" s="230">
        <f>Table3.110[[#This Row],[Run]]</f>
        <v>1</v>
      </c>
      <c r="Q12" s="230">
        <f>Table3.110[[#This Row],[Replication]]</f>
        <v>2</v>
      </c>
      <c r="R12" s="230">
        <f>Table3.110[[#This Row],[Syrange No]]</f>
        <v>182</v>
      </c>
      <c r="S12" s="264"/>
      <c r="T12" s="264"/>
      <c r="U12" s="108"/>
      <c r="V12" s="254"/>
      <c r="W12" s="61"/>
      <c r="X12" s="61"/>
      <c r="Y12" s="37"/>
      <c r="Z12" s="37"/>
      <c r="AA12" s="37"/>
      <c r="AB12" s="57"/>
    </row>
    <row r="13" spans="2:33" x14ac:dyDescent="0.35">
      <c r="B13" s="230">
        <f t="shared" ref="B13:B76" si="0">B12+1</f>
        <v>3</v>
      </c>
      <c r="C13" s="61">
        <v>45630</v>
      </c>
      <c r="D13" s="248">
        <f>Table3.110[[#This Row],[Date]]</f>
        <v>46041</v>
      </c>
      <c r="E13" s="230" t="str">
        <f>Table3.110[[#This Row],[Requisitioner]]</f>
        <v>Genbank</v>
      </c>
      <c r="F13" s="230" t="str">
        <f>Table3.110[[#This Row],[Gene Bank ID]]</f>
        <v>CIAT-13262</v>
      </c>
      <c r="G13" s="230" t="str">
        <f>Table3.110[[#This Row],[Genus]]</f>
        <v>Dendrolobium</v>
      </c>
      <c r="H13" s="230" t="str">
        <f>Table3.110[[#This Row],[Species]]</f>
        <v>triangulare</v>
      </c>
      <c r="I13" s="230" t="str">
        <f>Table3.110[[#This Row],[Tax Name]]</f>
        <v>Dendrolobium triangulare</v>
      </c>
      <c r="J13" s="230" t="str">
        <f>Table3.110[[#This Row],[Family]]</f>
        <v>Fabaceae</v>
      </c>
      <c r="K13" s="230" t="str">
        <f>Table3.110[[#This Row],[Order]]</f>
        <v>Fabales</v>
      </c>
      <c r="L13" s="230" t="str">
        <f>Table3.110[[#This Row],[Functional Group]]</f>
        <v>Tree</v>
      </c>
      <c r="M13" s="230" t="str">
        <f>Table3.110[[#This Row],[CIAT ID]]</f>
        <v>F251728</v>
      </c>
      <c r="N13" s="230">
        <f>Table3.110[[#This Row],[Set CIAT]]</f>
        <v>27</v>
      </c>
      <c r="O13" s="230">
        <f>Table3.110[[#This Row],[Batch]]</f>
        <v>58</v>
      </c>
      <c r="P13" s="230">
        <f>Table3.110[[#This Row],[Run]]</f>
        <v>1</v>
      </c>
      <c r="Q13" s="230">
        <f>Table3.110[[#This Row],[Replication]]</f>
        <v>1</v>
      </c>
      <c r="R13" s="230">
        <f>Table3.110[[#This Row],[Syrange No]]</f>
        <v>183</v>
      </c>
      <c r="S13" s="265">
        <v>0.57069999999999999</v>
      </c>
      <c r="T13" s="265">
        <v>0.89949999999999997</v>
      </c>
      <c r="U13" s="108"/>
      <c r="V13" s="254">
        <f>T13-S13</f>
        <v>0.32879999999999998</v>
      </c>
      <c r="W13" s="61">
        <f>Table3.110[[#This Row],[DM Incubated, mg]]-('3.2 Digest'!V13*1000)</f>
        <v>146.52593577261712</v>
      </c>
      <c r="X13" s="61">
        <f>W13/Table3.110[[#This Row],[DM Incubated, mg]]*100</f>
        <v>30.826412940090677</v>
      </c>
      <c r="Y13" s="37">
        <f>Table3.1[[#This Row],[DM Incubated, mg]]*'2.4 NDF'!R11/100</f>
        <v>287.11758358672398</v>
      </c>
      <c r="Z13" s="37">
        <f>Y13-(V13*1000)</f>
        <v>-41.682416413275973</v>
      </c>
      <c r="AA13" s="37">
        <f>Z13/Y13*100</f>
        <v>-14.517542218268838</v>
      </c>
      <c r="AB13" s="89"/>
    </row>
    <row r="14" spans="2:33" x14ac:dyDescent="0.35">
      <c r="B14" s="230">
        <f t="shared" si="0"/>
        <v>4</v>
      </c>
      <c r="C14" s="61">
        <v>45630</v>
      </c>
      <c r="D14" s="248">
        <f>Table3.110[[#This Row],[Date]]</f>
        <v>46041</v>
      </c>
      <c r="E14" s="230" t="str">
        <f>Table3.110[[#This Row],[Requisitioner]]</f>
        <v>Genbank</v>
      </c>
      <c r="F14" s="230" t="str">
        <f>Table3.110[[#This Row],[Gene Bank ID]]</f>
        <v>CIAT-13262</v>
      </c>
      <c r="G14" s="230" t="str">
        <f>Table3.110[[#This Row],[Genus]]</f>
        <v>Dendrolobium</v>
      </c>
      <c r="H14" s="230" t="str">
        <f>Table3.110[[#This Row],[Species]]</f>
        <v>triangulare</v>
      </c>
      <c r="I14" s="230" t="str">
        <f>Table3.110[[#This Row],[Tax Name]]</f>
        <v>Dendrolobium triangulare</v>
      </c>
      <c r="J14" s="230" t="str">
        <f>Table3.110[[#This Row],[Family]]</f>
        <v>Fabaceae</v>
      </c>
      <c r="K14" s="230" t="str">
        <f>Table3.110[[#This Row],[Order]]</f>
        <v>Fabales</v>
      </c>
      <c r="L14" s="230" t="str">
        <f>Table3.110[[#This Row],[Functional Group]]</f>
        <v>Tree</v>
      </c>
      <c r="M14" s="230" t="str">
        <f>Table3.110[[#This Row],[CIAT ID]]</f>
        <v>F251728</v>
      </c>
      <c r="N14" s="230">
        <f>Table3.110[[#This Row],[Set CIAT]]</f>
        <v>27</v>
      </c>
      <c r="O14" s="230">
        <f>Table3.110[[#This Row],[Batch]]</f>
        <v>58</v>
      </c>
      <c r="P14" s="230">
        <f>Table3.110[[#This Row],[Run]]</f>
        <v>1</v>
      </c>
      <c r="Q14" s="230">
        <f>Table3.110[[#This Row],[Replication]]</f>
        <v>2</v>
      </c>
      <c r="R14" s="230">
        <f>Table3.110[[#This Row],[Syrange No]]</f>
        <v>184</v>
      </c>
      <c r="S14" s="110">
        <v>0.57889999999999997</v>
      </c>
      <c r="T14" s="110">
        <v>1.0674999999999999</v>
      </c>
      <c r="U14" s="108"/>
      <c r="V14" s="254"/>
      <c r="W14" s="61"/>
      <c r="X14" s="61"/>
      <c r="Y14" s="37"/>
      <c r="Z14" s="37"/>
      <c r="AA14" s="37"/>
      <c r="AB14" s="89" t="s">
        <v>546</v>
      </c>
      <c r="AC14" s="5" t="s">
        <v>677</v>
      </c>
    </row>
    <row r="15" spans="2:33" x14ac:dyDescent="0.35">
      <c r="B15" s="230">
        <f t="shared" si="0"/>
        <v>5</v>
      </c>
      <c r="C15" s="61">
        <v>45630</v>
      </c>
      <c r="D15" s="248">
        <f>Table3.110[[#This Row],[Date]]</f>
        <v>46041</v>
      </c>
      <c r="E15" s="230" t="str">
        <f>Table3.110[[#This Row],[Requisitioner]]</f>
        <v>Genbank</v>
      </c>
      <c r="F15" s="230" t="str">
        <f>Table3.110[[#This Row],[Gene Bank ID]]</f>
        <v>CIAT-13262</v>
      </c>
      <c r="G15" s="230" t="str">
        <f>Table3.110[[#This Row],[Genus]]</f>
        <v>Dendrolobium</v>
      </c>
      <c r="H15" s="230" t="str">
        <f>Table3.110[[#This Row],[Species]]</f>
        <v>triangulare</v>
      </c>
      <c r="I15" s="230" t="str">
        <f>Table3.110[[#This Row],[Tax Name]]</f>
        <v>Dendrolobium triangulare</v>
      </c>
      <c r="J15" s="230" t="str">
        <f>Table3.110[[#This Row],[Family]]</f>
        <v>Fabaceae</v>
      </c>
      <c r="K15" s="230" t="str">
        <f>Table3.110[[#This Row],[Order]]</f>
        <v>Fabales</v>
      </c>
      <c r="L15" s="230" t="str">
        <f>Table3.110[[#This Row],[Functional Group]]</f>
        <v>Tree</v>
      </c>
      <c r="M15" s="230" t="str">
        <f>Table3.110[[#This Row],[CIAT ID]]</f>
        <v>F251728</v>
      </c>
      <c r="N15" s="230">
        <f>Table3.110[[#This Row],[Set CIAT]]</f>
        <v>27</v>
      </c>
      <c r="O15" s="230">
        <f>Table3.110[[#This Row],[Batch]]</f>
        <v>58</v>
      </c>
      <c r="P15" s="230">
        <f>Table3.110[[#This Row],[Run]]</f>
        <v>1</v>
      </c>
      <c r="Q15" s="230">
        <f>Table3.110[[#This Row],[Replication]]</f>
        <v>3</v>
      </c>
      <c r="R15" s="230">
        <f>Table3.110[[#This Row],[Syrange No]]</f>
        <v>185</v>
      </c>
      <c r="S15" s="265">
        <v>0.58879999999999999</v>
      </c>
      <c r="T15" s="265">
        <v>0.94789999999999996</v>
      </c>
      <c r="U15" s="108"/>
      <c r="V15" s="254">
        <f t="shared" ref="V15:V77" si="1">T15-S15</f>
        <v>0.35909999999999997</v>
      </c>
      <c r="W15" s="61">
        <f>Table3.110[[#This Row],[DM Incubated, mg]]-('3.2 Digest'!V15*1000)</f>
        <v>116.03607120869748</v>
      </c>
      <c r="X15" s="61">
        <f>W15/Table3.110[[#This Row],[DM Incubated, mg]]*100</f>
        <v>24.421650604954831</v>
      </c>
      <c r="Y15" s="37">
        <f>Table3.1[[#This Row],[DM Incubated, mg]]*'2.4 NDF'!R11/100</f>
        <v>287.00289711435056</v>
      </c>
      <c r="Z15" s="37">
        <f t="shared" ref="Z15:Z77" si="2">Y15-(V15*1000)</f>
        <v>-72.097102885649406</v>
      </c>
      <c r="AA15" s="37">
        <f t="shared" ref="AA15:AA77" si="3">Z15/Y15*100</f>
        <v>-25.120688191842106</v>
      </c>
      <c r="AB15" s="89" t="s">
        <v>546</v>
      </c>
      <c r="AC15" s="5" t="s">
        <v>677</v>
      </c>
    </row>
    <row r="16" spans="2:33" x14ac:dyDescent="0.35">
      <c r="B16" s="230">
        <f t="shared" si="0"/>
        <v>6</v>
      </c>
      <c r="C16" s="61">
        <v>45630</v>
      </c>
      <c r="D16" s="248">
        <f>Table3.110[[#This Row],[Date]]</f>
        <v>46041</v>
      </c>
      <c r="E16" s="230" t="str">
        <f>Table3.110[[#This Row],[Requisitioner]]</f>
        <v>Genbank</v>
      </c>
      <c r="F16" s="230" t="str">
        <f>Table3.110[[#This Row],[Gene Bank ID]]</f>
        <v>CIAT-13528</v>
      </c>
      <c r="G16" s="230" t="str">
        <f>Table3.110[[#This Row],[Genus]]</f>
        <v>Dendrolobium</v>
      </c>
      <c r="H16" s="230" t="str">
        <f>Table3.110[[#This Row],[Species]]</f>
        <v>lanceolatum</v>
      </c>
      <c r="I16" s="230" t="str">
        <f>Table3.110[[#This Row],[Tax Name]]</f>
        <v>Dendrolobium lanceolatum</v>
      </c>
      <c r="J16" s="230" t="str">
        <f>Table3.110[[#This Row],[Family]]</f>
        <v>Fabaceae</v>
      </c>
      <c r="K16" s="230" t="str">
        <f>Table3.110[[#This Row],[Order]]</f>
        <v>Fabales</v>
      </c>
      <c r="L16" s="230" t="str">
        <f>Table3.110[[#This Row],[Functional Group]]</f>
        <v>Tree</v>
      </c>
      <c r="M16" s="230" t="str">
        <f>Table3.110[[#This Row],[CIAT ID]]</f>
        <v>F251729</v>
      </c>
      <c r="N16" s="230">
        <f>Table3.110[[#This Row],[Set CIAT]]</f>
        <v>27</v>
      </c>
      <c r="O16" s="230">
        <f>Table3.110[[#This Row],[Batch]]</f>
        <v>58</v>
      </c>
      <c r="P16" s="230">
        <f>Table3.110[[#This Row],[Run]]</f>
        <v>1</v>
      </c>
      <c r="Q16" s="230">
        <f>Table3.110[[#This Row],[Replication]]</f>
        <v>1</v>
      </c>
      <c r="R16" s="230">
        <f>Table3.110[[#This Row],[Syrange No]]</f>
        <v>186</v>
      </c>
      <c r="S16" s="110">
        <v>0.56089999999999995</v>
      </c>
      <c r="T16" s="110">
        <v>0.94389999999999996</v>
      </c>
      <c r="U16" s="108"/>
      <c r="V16" s="254">
        <f t="shared" si="1"/>
        <v>0.38300000000000001</v>
      </c>
      <c r="W16" s="61">
        <f>Table3.110[[#This Row],[DM Incubated, mg]]-('3.2 Digest'!V16*1000)</f>
        <v>92.228704384110983</v>
      </c>
      <c r="X16" s="61">
        <f>W16/Table3.110[[#This Row],[DM Incubated, mg]]*100</f>
        <v>19.407225096732731</v>
      </c>
      <c r="Y16" s="37">
        <f>Table3.1[[#This Row],[DM Incubated, mg]]*'2.4 NDF'!R13/100</f>
        <v>270.30793839047465</v>
      </c>
      <c r="Z16" s="37">
        <f t="shared" si="2"/>
        <v>-112.69206160952535</v>
      </c>
      <c r="AA16" s="37">
        <f t="shared" si="3"/>
        <v>-41.690252339809383</v>
      </c>
      <c r="AB16" s="89"/>
    </row>
    <row r="17" spans="2:29" x14ac:dyDescent="0.35">
      <c r="B17" s="230">
        <f t="shared" si="0"/>
        <v>7</v>
      </c>
      <c r="C17" s="61">
        <v>45630</v>
      </c>
      <c r="D17" s="248">
        <f>Table3.110[[#This Row],[Date]]</f>
        <v>46041</v>
      </c>
      <c r="E17" s="230" t="str">
        <f>Table3.110[[#This Row],[Requisitioner]]</f>
        <v>Genbank</v>
      </c>
      <c r="F17" s="230" t="str">
        <f>Table3.110[[#This Row],[Gene Bank ID]]</f>
        <v>CIAT-13528</v>
      </c>
      <c r="G17" s="230" t="str">
        <f>Table3.110[[#This Row],[Genus]]</f>
        <v>Dendrolobium</v>
      </c>
      <c r="H17" s="230" t="str">
        <f>Table3.110[[#This Row],[Species]]</f>
        <v>lanceolatum</v>
      </c>
      <c r="I17" s="230" t="str">
        <f>Table3.110[[#This Row],[Tax Name]]</f>
        <v>Dendrolobium lanceolatum</v>
      </c>
      <c r="J17" s="230" t="str">
        <f>Table3.110[[#This Row],[Family]]</f>
        <v>Fabaceae</v>
      </c>
      <c r="K17" s="230" t="str">
        <f>Table3.110[[#This Row],[Order]]</f>
        <v>Fabales</v>
      </c>
      <c r="L17" s="230" t="str">
        <f>Table3.110[[#This Row],[Functional Group]]</f>
        <v>Tree</v>
      </c>
      <c r="M17" s="230" t="str">
        <f>Table3.110[[#This Row],[CIAT ID]]</f>
        <v>F251729</v>
      </c>
      <c r="N17" s="230">
        <f>Table3.110[[#This Row],[Set CIAT]]</f>
        <v>27</v>
      </c>
      <c r="O17" s="230">
        <f>Table3.110[[#This Row],[Batch]]</f>
        <v>58</v>
      </c>
      <c r="P17" s="230">
        <f>Table3.110[[#This Row],[Run]]</f>
        <v>1</v>
      </c>
      <c r="Q17" s="230">
        <f>Table3.110[[#This Row],[Replication]]</f>
        <v>2</v>
      </c>
      <c r="R17" s="230">
        <f>Table3.110[[#This Row],[Syrange No]]</f>
        <v>187</v>
      </c>
      <c r="S17" s="265">
        <v>0.57399999999999995</v>
      </c>
      <c r="T17" s="265">
        <v>0.9345</v>
      </c>
      <c r="U17" s="108"/>
      <c r="V17" s="254">
        <f t="shared" si="1"/>
        <v>0.36050000000000004</v>
      </c>
      <c r="W17" s="61">
        <f>Table3.110[[#This Row],[DM Incubated, mg]]-('3.2 Digest'!V17*1000)</f>
        <v>115.20393308849498</v>
      </c>
      <c r="X17" s="61">
        <f>W17/Table3.110[[#This Row],[DM Incubated, mg]]*100</f>
        <v>24.217570021028948</v>
      </c>
      <c r="Y17" s="37">
        <f>Table3.1[[#This Row],[DM Incubated, mg]]*'2.4 NDF'!R13/100</f>
        <v>270.57824632886508</v>
      </c>
      <c r="Z17" s="37">
        <f t="shared" si="2"/>
        <v>-89.921753671134979</v>
      </c>
      <c r="AA17" s="37">
        <f t="shared" si="3"/>
        <v>-33.233179271123909</v>
      </c>
      <c r="AB17" s="89"/>
    </row>
    <row r="18" spans="2:29" x14ac:dyDescent="0.35">
      <c r="B18" s="230">
        <f t="shared" si="0"/>
        <v>8</v>
      </c>
      <c r="C18" s="61">
        <v>45630</v>
      </c>
      <c r="D18" s="248">
        <f>Table3.110[[#This Row],[Date]]</f>
        <v>46041</v>
      </c>
      <c r="E18" s="230" t="str">
        <f>Table3.110[[#This Row],[Requisitioner]]</f>
        <v>Genbank</v>
      </c>
      <c r="F18" s="230" t="str">
        <f>Table3.110[[#This Row],[Gene Bank ID]]</f>
        <v>CIAT-13528</v>
      </c>
      <c r="G18" s="230" t="str">
        <f>Table3.110[[#This Row],[Genus]]</f>
        <v>Dendrolobium</v>
      </c>
      <c r="H18" s="230" t="str">
        <f>Table3.110[[#This Row],[Species]]</f>
        <v>lanceolatum</v>
      </c>
      <c r="I18" s="230" t="str">
        <f>Table3.110[[#This Row],[Tax Name]]</f>
        <v>Dendrolobium lanceolatum</v>
      </c>
      <c r="J18" s="230" t="str">
        <f>Table3.110[[#This Row],[Family]]</f>
        <v>Fabaceae</v>
      </c>
      <c r="K18" s="230" t="str">
        <f>Table3.110[[#This Row],[Order]]</f>
        <v>Fabales</v>
      </c>
      <c r="L18" s="230" t="str">
        <f>Table3.110[[#This Row],[Functional Group]]</f>
        <v>Tree</v>
      </c>
      <c r="M18" s="230" t="str">
        <f>Table3.110[[#This Row],[CIAT ID]]</f>
        <v>F251729</v>
      </c>
      <c r="N18" s="230">
        <f>Table3.110[[#This Row],[Set CIAT]]</f>
        <v>27</v>
      </c>
      <c r="O18" s="230">
        <f>Table3.110[[#This Row],[Batch]]</f>
        <v>58</v>
      </c>
      <c r="P18" s="230">
        <f>Table3.110[[#This Row],[Run]]</f>
        <v>1</v>
      </c>
      <c r="Q18" s="230">
        <f>Table3.110[[#This Row],[Replication]]</f>
        <v>3</v>
      </c>
      <c r="R18" s="230">
        <f>Table3.110[[#This Row],[Syrange No]]</f>
        <v>188</v>
      </c>
      <c r="S18" s="110">
        <v>0.54900000000000004</v>
      </c>
      <c r="T18" s="110">
        <v>0.89770000000000005</v>
      </c>
      <c r="U18" s="108"/>
      <c r="V18" s="254">
        <f t="shared" si="1"/>
        <v>0.34870000000000001</v>
      </c>
      <c r="W18" s="61">
        <f>Table3.110[[#This Row],[DM Incubated, mg]]-('3.2 Digest'!V18*1000)</f>
        <v>126.90888734761825</v>
      </c>
      <c r="X18" s="61">
        <f>W18/Table3.110[[#This Row],[DM Incubated, mg]]*100</f>
        <v>26.683455823410991</v>
      </c>
      <c r="Y18" s="37">
        <f>Table3.1[[#This Row],[DM Incubated, mg]]*'2.4 NDF'!R13/100</f>
        <v>270.52418474118701</v>
      </c>
      <c r="Z18" s="37">
        <f t="shared" si="2"/>
        <v>-78.175815258812975</v>
      </c>
      <c r="AA18" s="37">
        <f t="shared" si="3"/>
        <v>-28.89790254191303</v>
      </c>
      <c r="AB18" s="89"/>
    </row>
    <row r="19" spans="2:29" x14ac:dyDescent="0.35">
      <c r="B19" s="230">
        <f t="shared" si="0"/>
        <v>9</v>
      </c>
      <c r="C19" s="61">
        <v>45630</v>
      </c>
      <c r="D19" s="248">
        <f>Table3.110[[#This Row],[Date]]</f>
        <v>46041</v>
      </c>
      <c r="E19" s="230" t="str">
        <f>Table3.110[[#This Row],[Requisitioner]]</f>
        <v>Genbank</v>
      </c>
      <c r="F19" s="230" t="str">
        <f>Table3.110[[#This Row],[Gene Bank ID]]</f>
        <v>CIAT-13529</v>
      </c>
      <c r="G19" s="230" t="str">
        <f>Table3.110[[#This Row],[Genus]]</f>
        <v>Dendrolobium</v>
      </c>
      <c r="H19" s="230" t="str">
        <f>Table3.110[[#This Row],[Species]]</f>
        <v>triangulare</v>
      </c>
      <c r="I19" s="230" t="str">
        <f>Table3.110[[#This Row],[Tax Name]]</f>
        <v>Dendrolobium triangulare</v>
      </c>
      <c r="J19" s="230" t="str">
        <f>Table3.110[[#This Row],[Family]]</f>
        <v>Fabaceae</v>
      </c>
      <c r="K19" s="230" t="str">
        <f>Table3.110[[#This Row],[Order]]</f>
        <v>Fabales</v>
      </c>
      <c r="L19" s="230" t="str">
        <f>Table3.110[[#This Row],[Functional Group]]</f>
        <v>Tree</v>
      </c>
      <c r="M19" s="230" t="str">
        <f>Table3.110[[#This Row],[CIAT ID]]</f>
        <v>F251730</v>
      </c>
      <c r="N19" s="230">
        <f>Table3.110[[#This Row],[Set CIAT]]</f>
        <v>27</v>
      </c>
      <c r="O19" s="230">
        <f>Table3.110[[#This Row],[Batch]]</f>
        <v>58</v>
      </c>
      <c r="P19" s="230">
        <f>Table3.110[[#This Row],[Run]]</f>
        <v>1</v>
      </c>
      <c r="Q19" s="230">
        <f>Table3.110[[#This Row],[Replication]]</f>
        <v>1</v>
      </c>
      <c r="R19" s="230">
        <f>Table3.110[[#This Row],[Syrange No]]</f>
        <v>189</v>
      </c>
      <c r="S19" s="265">
        <v>0.56669999999999998</v>
      </c>
      <c r="T19" s="265">
        <v>0.9093</v>
      </c>
      <c r="U19" s="108"/>
      <c r="V19" s="254">
        <f t="shared" si="1"/>
        <v>0.34260000000000002</v>
      </c>
      <c r="W19" s="61">
        <f>Table3.110[[#This Row],[DM Incubated, mg]]-('3.2 Digest'!V19*1000)</f>
        <v>129.84541476262467</v>
      </c>
      <c r="X19" s="61">
        <f>W19/Table3.110[[#This Row],[DM Incubated, mg]]*100</f>
        <v>27.483686094797672</v>
      </c>
      <c r="Y19" s="37">
        <f>Table3.1[[#This Row],[DM Incubated, mg]]*'2.4 NDF'!R15/100</f>
        <v>283.20260778529598</v>
      </c>
      <c r="Z19" s="37">
        <f t="shared" si="2"/>
        <v>-59.397392214704041</v>
      </c>
      <c r="AA19" s="37">
        <f t="shared" si="3"/>
        <v>-20.97346231350204</v>
      </c>
      <c r="AB19" s="89"/>
    </row>
    <row r="20" spans="2:29" x14ac:dyDescent="0.35">
      <c r="B20" s="230">
        <f t="shared" si="0"/>
        <v>10</v>
      </c>
      <c r="C20" s="61">
        <v>45630</v>
      </c>
      <c r="D20" s="248">
        <f>Table3.110[[#This Row],[Date]]</f>
        <v>46041</v>
      </c>
      <c r="E20" s="230" t="str">
        <f>Table3.110[[#This Row],[Requisitioner]]</f>
        <v>Genbank</v>
      </c>
      <c r="F20" s="230" t="str">
        <f>Table3.110[[#This Row],[Gene Bank ID]]</f>
        <v>CIAT-13529</v>
      </c>
      <c r="G20" s="230" t="str">
        <f>Table3.110[[#This Row],[Genus]]</f>
        <v>Dendrolobium</v>
      </c>
      <c r="H20" s="230" t="str">
        <f>Table3.110[[#This Row],[Species]]</f>
        <v>triangulare</v>
      </c>
      <c r="I20" s="230" t="str">
        <f>Table3.110[[#This Row],[Tax Name]]</f>
        <v>Dendrolobium triangulare</v>
      </c>
      <c r="J20" s="230" t="str">
        <f>Table3.110[[#This Row],[Family]]</f>
        <v>Fabaceae</v>
      </c>
      <c r="K20" s="230" t="str">
        <f>Table3.110[[#This Row],[Order]]</f>
        <v>Fabales</v>
      </c>
      <c r="L20" s="230" t="str">
        <f>Table3.110[[#This Row],[Functional Group]]</f>
        <v>Tree</v>
      </c>
      <c r="M20" s="230" t="str">
        <f>Table3.110[[#This Row],[CIAT ID]]</f>
        <v>F251730</v>
      </c>
      <c r="N20" s="230">
        <f>Table3.110[[#This Row],[Set CIAT]]</f>
        <v>27</v>
      </c>
      <c r="O20" s="230">
        <f>Table3.110[[#This Row],[Batch]]</f>
        <v>58</v>
      </c>
      <c r="P20" s="230">
        <f>Table3.110[[#This Row],[Run]]</f>
        <v>1</v>
      </c>
      <c r="Q20" s="230">
        <f>Table3.110[[#This Row],[Replication]]</f>
        <v>2</v>
      </c>
      <c r="R20" s="230">
        <f>Table3.110[[#This Row],[Syrange No]]</f>
        <v>190</v>
      </c>
      <c r="S20" s="110">
        <v>0.58879999999999999</v>
      </c>
      <c r="T20" s="110">
        <v>1.2097</v>
      </c>
      <c r="U20" s="108"/>
      <c r="V20" s="254"/>
      <c r="W20" s="61"/>
      <c r="X20" s="61"/>
      <c r="Y20" s="37"/>
      <c r="Z20" s="37"/>
      <c r="AA20" s="37"/>
      <c r="AB20" s="89" t="s">
        <v>546</v>
      </c>
      <c r="AC20" s="5" t="s">
        <v>677</v>
      </c>
    </row>
    <row r="21" spans="2:29" x14ac:dyDescent="0.35">
      <c r="B21" s="230">
        <f t="shared" si="0"/>
        <v>11</v>
      </c>
      <c r="C21" s="61">
        <v>45630</v>
      </c>
      <c r="D21" s="248">
        <f>Table3.110[[#This Row],[Date]]</f>
        <v>46041</v>
      </c>
      <c r="E21" s="230" t="str">
        <f>Table3.110[[#This Row],[Requisitioner]]</f>
        <v>Genbank</v>
      </c>
      <c r="F21" s="230" t="str">
        <f>Table3.110[[#This Row],[Gene Bank ID]]</f>
        <v>CIAT-13529</v>
      </c>
      <c r="G21" s="230" t="str">
        <f>Table3.110[[#This Row],[Genus]]</f>
        <v>Dendrolobium</v>
      </c>
      <c r="H21" s="230" t="str">
        <f>Table3.110[[#This Row],[Species]]</f>
        <v>triangulare</v>
      </c>
      <c r="I21" s="230" t="str">
        <f>Table3.110[[#This Row],[Tax Name]]</f>
        <v>Dendrolobium triangulare</v>
      </c>
      <c r="J21" s="230" t="str">
        <f>Table3.110[[#This Row],[Family]]</f>
        <v>Fabaceae</v>
      </c>
      <c r="K21" s="230" t="str">
        <f>Table3.110[[#This Row],[Order]]</f>
        <v>Fabales</v>
      </c>
      <c r="L21" s="230" t="str">
        <f>Table3.110[[#This Row],[Functional Group]]</f>
        <v>Tree</v>
      </c>
      <c r="M21" s="230" t="str">
        <f>Table3.110[[#This Row],[CIAT ID]]</f>
        <v>F251730</v>
      </c>
      <c r="N21" s="230">
        <f>Table3.110[[#This Row],[Set CIAT]]</f>
        <v>27</v>
      </c>
      <c r="O21" s="230">
        <f>Table3.110[[#This Row],[Batch]]</f>
        <v>58</v>
      </c>
      <c r="P21" s="230">
        <f>Table3.110[[#This Row],[Run]]</f>
        <v>1</v>
      </c>
      <c r="Q21" s="230">
        <f>Table3.110[[#This Row],[Replication]]</f>
        <v>3</v>
      </c>
      <c r="R21" s="230">
        <f>Table3.110[[#This Row],[Syrange No]]</f>
        <v>191</v>
      </c>
      <c r="S21" s="265">
        <v>0.58620000000000005</v>
      </c>
      <c r="T21" s="265">
        <v>0.91539999999999999</v>
      </c>
      <c r="U21" s="108"/>
      <c r="V21" s="254">
        <f t="shared" si="1"/>
        <v>0.32919999999999994</v>
      </c>
      <c r="W21" s="61">
        <f>Table3.110[[#This Row],[DM Incubated, mg]]-('3.2 Digest'!V21*1000)</f>
        <v>142.96234381309642</v>
      </c>
      <c r="X21" s="61">
        <f>W21/Table3.110[[#This Row],[DM Incubated, mg]]*100</f>
        <v>30.278218008356788</v>
      </c>
      <c r="Y21" s="37">
        <f>Table3.1[[#This Row],[DM Incubated, mg]]*'2.4 NDF'!R15/100</f>
        <v>283.03292377823465</v>
      </c>
      <c r="Z21" s="37">
        <f t="shared" si="2"/>
        <v>-46.167076221765285</v>
      </c>
      <c r="AA21" s="37">
        <f t="shared" si="3"/>
        <v>-16.311556834263801</v>
      </c>
      <c r="AB21" s="89"/>
    </row>
    <row r="22" spans="2:29" x14ac:dyDescent="0.35">
      <c r="B22" s="230">
        <f t="shared" si="0"/>
        <v>12</v>
      </c>
      <c r="C22" s="61">
        <v>45630</v>
      </c>
      <c r="D22" s="248">
        <f>Table3.110[[#This Row],[Date]]</f>
        <v>46041</v>
      </c>
      <c r="E22" s="230" t="str">
        <f>Table3.110[[#This Row],[Requisitioner]]</f>
        <v>Genbank</v>
      </c>
      <c r="F22" s="230" t="str">
        <f>Table3.110[[#This Row],[Gene Bank ID]]</f>
        <v>CIAT-13710</v>
      </c>
      <c r="G22" s="230" t="str">
        <f>Table3.110[[#This Row],[Genus]]</f>
        <v>Dendrolobium</v>
      </c>
      <c r="H22" s="230" t="str">
        <f>Table3.110[[#This Row],[Species]]</f>
        <v>lanceolatum</v>
      </c>
      <c r="I22" s="230" t="str">
        <f>Table3.110[[#This Row],[Tax Name]]</f>
        <v>Dendrolobium lanceolatum</v>
      </c>
      <c r="J22" s="230" t="str">
        <f>Table3.110[[#This Row],[Family]]</f>
        <v>Fabaceae</v>
      </c>
      <c r="K22" s="230" t="str">
        <f>Table3.110[[#This Row],[Order]]</f>
        <v>Fabales</v>
      </c>
      <c r="L22" s="230" t="str">
        <f>Table3.110[[#This Row],[Functional Group]]</f>
        <v>Tree</v>
      </c>
      <c r="M22" s="230" t="str">
        <f>Table3.110[[#This Row],[CIAT ID]]</f>
        <v>F251731</v>
      </c>
      <c r="N22" s="230">
        <f>Table3.110[[#This Row],[Set CIAT]]</f>
        <v>27</v>
      </c>
      <c r="O22" s="230">
        <f>Table3.110[[#This Row],[Batch]]</f>
        <v>58</v>
      </c>
      <c r="P22" s="230">
        <f>Table3.110[[#This Row],[Run]]</f>
        <v>1</v>
      </c>
      <c r="Q22" s="230">
        <f>Table3.110[[#This Row],[Replication]]</f>
        <v>1</v>
      </c>
      <c r="R22" s="230">
        <f>Table3.110[[#This Row],[Syrange No]]</f>
        <v>192</v>
      </c>
      <c r="S22" s="110">
        <v>0.56010000000000004</v>
      </c>
      <c r="T22" s="110">
        <v>1.0683</v>
      </c>
      <c r="U22" s="108"/>
      <c r="V22" s="254"/>
      <c r="W22" s="61"/>
      <c r="X22" s="61"/>
      <c r="Y22" s="37"/>
      <c r="Z22" s="37"/>
      <c r="AA22" s="37"/>
      <c r="AB22" s="89" t="s">
        <v>546</v>
      </c>
      <c r="AC22" s="5" t="s">
        <v>677</v>
      </c>
    </row>
    <row r="23" spans="2:29" x14ac:dyDescent="0.35">
      <c r="B23" s="230">
        <f t="shared" si="0"/>
        <v>13</v>
      </c>
      <c r="C23" s="61">
        <v>45630</v>
      </c>
      <c r="D23" s="248">
        <f>Table3.110[[#This Row],[Date]]</f>
        <v>46041</v>
      </c>
      <c r="E23" s="230" t="str">
        <f>Table3.110[[#This Row],[Requisitioner]]</f>
        <v>Genbank</v>
      </c>
      <c r="F23" s="230" t="str">
        <f>Table3.110[[#This Row],[Gene Bank ID]]</f>
        <v>CIAT-13710</v>
      </c>
      <c r="G23" s="230" t="str">
        <f>Table3.110[[#This Row],[Genus]]</f>
        <v>Dendrolobium</v>
      </c>
      <c r="H23" s="230" t="str">
        <f>Table3.110[[#This Row],[Species]]</f>
        <v>lanceolatum</v>
      </c>
      <c r="I23" s="230" t="str">
        <f>Table3.110[[#This Row],[Tax Name]]</f>
        <v>Dendrolobium lanceolatum</v>
      </c>
      <c r="J23" s="230" t="str">
        <f>Table3.110[[#This Row],[Family]]</f>
        <v>Fabaceae</v>
      </c>
      <c r="K23" s="230" t="str">
        <f>Table3.110[[#This Row],[Order]]</f>
        <v>Fabales</v>
      </c>
      <c r="L23" s="230" t="str">
        <f>Table3.110[[#This Row],[Functional Group]]</f>
        <v>Tree</v>
      </c>
      <c r="M23" s="230" t="str">
        <f>Table3.110[[#This Row],[CIAT ID]]</f>
        <v>F251731</v>
      </c>
      <c r="N23" s="230">
        <f>Table3.110[[#This Row],[Set CIAT]]</f>
        <v>27</v>
      </c>
      <c r="O23" s="230">
        <f>Table3.110[[#This Row],[Batch]]</f>
        <v>58</v>
      </c>
      <c r="P23" s="230">
        <f>Table3.110[[#This Row],[Run]]</f>
        <v>1</v>
      </c>
      <c r="Q23" s="230">
        <f>Table3.110[[#This Row],[Replication]]</f>
        <v>2</v>
      </c>
      <c r="R23" s="230">
        <f>Table3.110[[#This Row],[Syrange No]]</f>
        <v>193</v>
      </c>
      <c r="S23" s="265">
        <v>0.58430000000000004</v>
      </c>
      <c r="T23" s="265">
        <v>0.99480000000000002</v>
      </c>
      <c r="U23" s="108"/>
      <c r="V23" s="254">
        <f t="shared" si="1"/>
        <v>0.41049999999999998</v>
      </c>
      <c r="W23" s="61">
        <f>Table3.110[[#This Row],[DM Incubated, mg]]-('3.2 Digest'!V23*1000)</f>
        <v>60.6338746885055</v>
      </c>
      <c r="X23" s="61">
        <f>W23/Table3.110[[#This Row],[DM Incubated, mg]]*100</f>
        <v>12.869776075556899</v>
      </c>
      <c r="Y23" s="37">
        <f>Table3.1[[#This Row],[DM Incubated, mg]]*'2.4 NDF'!R17/100</f>
        <v>303.20763955497449</v>
      </c>
      <c r="Z23" s="37">
        <f>Y23-(V23*1000)</f>
        <v>-107.29236044502551</v>
      </c>
      <c r="AA23" s="37">
        <f t="shared" si="3"/>
        <v>-35.385770821111635</v>
      </c>
      <c r="AB23" s="89"/>
    </row>
    <row r="24" spans="2:29" x14ac:dyDescent="0.35">
      <c r="B24" s="230">
        <f t="shared" si="0"/>
        <v>14</v>
      </c>
      <c r="C24" s="61">
        <v>45630</v>
      </c>
      <c r="D24" s="248">
        <f>Table3.110[[#This Row],[Date]]</f>
        <v>46041</v>
      </c>
      <c r="E24" s="230" t="str">
        <f>Table3.110[[#This Row],[Requisitioner]]</f>
        <v>Genbank</v>
      </c>
      <c r="F24" s="230" t="str">
        <f>Table3.110[[#This Row],[Gene Bank ID]]</f>
        <v>CIAT-13710</v>
      </c>
      <c r="G24" s="230" t="str">
        <f>Table3.110[[#This Row],[Genus]]</f>
        <v>Dendrolobium</v>
      </c>
      <c r="H24" s="230" t="str">
        <f>Table3.110[[#This Row],[Species]]</f>
        <v>lanceolatum</v>
      </c>
      <c r="I24" s="230" t="str">
        <f>Table3.110[[#This Row],[Tax Name]]</f>
        <v>Dendrolobium lanceolatum</v>
      </c>
      <c r="J24" s="230" t="str">
        <f>Table3.110[[#This Row],[Family]]</f>
        <v>Fabaceae</v>
      </c>
      <c r="K24" s="230" t="str">
        <f>Table3.110[[#This Row],[Order]]</f>
        <v>Fabales</v>
      </c>
      <c r="L24" s="230" t="str">
        <f>Table3.110[[#This Row],[Functional Group]]</f>
        <v>Tree</v>
      </c>
      <c r="M24" s="230" t="str">
        <f>Table3.110[[#This Row],[CIAT ID]]</f>
        <v>F251731</v>
      </c>
      <c r="N24" s="230">
        <f>Table3.110[[#This Row],[Set CIAT]]</f>
        <v>27</v>
      </c>
      <c r="O24" s="230">
        <f>Table3.110[[#This Row],[Batch]]</f>
        <v>58</v>
      </c>
      <c r="P24" s="230">
        <f>Table3.110[[#This Row],[Run]]</f>
        <v>1</v>
      </c>
      <c r="Q24" s="230">
        <f>Table3.110[[#This Row],[Replication]]</f>
        <v>3</v>
      </c>
      <c r="R24" s="230">
        <f>Table3.110[[#This Row],[Syrange No]]</f>
        <v>194</v>
      </c>
      <c r="S24" s="110">
        <v>0.58069999999999999</v>
      </c>
      <c r="T24" s="110">
        <v>0.97599999999999998</v>
      </c>
      <c r="U24" s="108"/>
      <c r="V24" s="254">
        <f t="shared" si="1"/>
        <v>0.39529999999999998</v>
      </c>
      <c r="W24" s="61">
        <f>Table3.110[[#This Row],[DM Incubated, mg]]-('3.2 Digest'!V24*1000)</f>
        <v>75.833874688505489</v>
      </c>
      <c r="X24" s="61">
        <f>W24/Table3.110[[#This Row],[DM Incubated, mg]]*100</f>
        <v>16.096035280554545</v>
      </c>
      <c r="Y24" s="37">
        <f>Table3.1[[#This Row],[DM Incubated, mg]]*'2.4 NDF'!R17/100</f>
        <v>303.20763955497449</v>
      </c>
      <c r="Z24" s="37">
        <f t="shared" si="2"/>
        <v>-92.09236044502552</v>
      </c>
      <c r="AA24" s="37">
        <f t="shared" si="3"/>
        <v>-30.372704520305561</v>
      </c>
      <c r="AB24" s="89"/>
    </row>
    <row r="25" spans="2:29" x14ac:dyDescent="0.35">
      <c r="B25" s="230">
        <f t="shared" si="0"/>
        <v>15</v>
      </c>
      <c r="C25" s="61">
        <v>45630</v>
      </c>
      <c r="D25" s="248">
        <f>Table3.110[[#This Row],[Date]]</f>
        <v>46041</v>
      </c>
      <c r="E25" s="230" t="str">
        <f>Table3.110[[#This Row],[Requisitioner]]</f>
        <v>Genbank</v>
      </c>
      <c r="F25" s="230" t="str">
        <f>Table3.110[[#This Row],[Gene Bank ID]]</f>
        <v>CIAT-22004</v>
      </c>
      <c r="G25" s="230" t="str">
        <f>Table3.110[[#This Row],[Genus]]</f>
        <v>Dendrolobium</v>
      </c>
      <c r="H25" s="230" t="str">
        <f>Table3.110[[#This Row],[Species]]</f>
        <v>triangulare</v>
      </c>
      <c r="I25" s="230" t="str">
        <f>Table3.110[[#This Row],[Tax Name]]</f>
        <v>Dendrolobium triangulare</v>
      </c>
      <c r="J25" s="230" t="str">
        <f>Table3.110[[#This Row],[Family]]</f>
        <v>Fabaceae</v>
      </c>
      <c r="K25" s="230" t="str">
        <f>Table3.110[[#This Row],[Order]]</f>
        <v>Fabales</v>
      </c>
      <c r="L25" s="230" t="str">
        <f>Table3.110[[#This Row],[Functional Group]]</f>
        <v>Tree</v>
      </c>
      <c r="M25" s="230" t="str">
        <f>Table3.110[[#This Row],[CIAT ID]]</f>
        <v>F251732</v>
      </c>
      <c r="N25" s="230">
        <f>Table3.110[[#This Row],[Set CIAT]]</f>
        <v>27</v>
      </c>
      <c r="O25" s="230">
        <f>Table3.110[[#This Row],[Batch]]</f>
        <v>58</v>
      </c>
      <c r="P25" s="230">
        <f>Table3.110[[#This Row],[Run]]</f>
        <v>1</v>
      </c>
      <c r="Q25" s="230">
        <f>Table3.110[[#This Row],[Replication]]</f>
        <v>1</v>
      </c>
      <c r="R25" s="230">
        <f>Table3.110[[#This Row],[Syrange No]]</f>
        <v>195</v>
      </c>
      <c r="S25" s="265">
        <v>0.59219999999999995</v>
      </c>
      <c r="T25" s="265">
        <v>0.98019999999999996</v>
      </c>
      <c r="U25" s="108"/>
      <c r="V25" s="254">
        <f t="shared" si="1"/>
        <v>0.38800000000000001</v>
      </c>
      <c r="W25" s="61">
        <f>Table3.110[[#This Row],[DM Incubated, mg]]-('3.2 Digest'!V25*1000)</f>
        <v>83.762136845203599</v>
      </c>
      <c r="X25" s="61">
        <f>W25/Table3.110[[#This Row],[DM Incubated, mg]]*100</f>
        <v>17.755163100909886</v>
      </c>
      <c r="Y25" s="37">
        <f>Table3.1[[#This Row],[DM Incubated, mg]]*'2.4 NDF'!R19/100</f>
        <v>300.08094060931745</v>
      </c>
      <c r="Z25" s="37">
        <f t="shared" si="2"/>
        <v>-87.919059390682548</v>
      </c>
      <c r="AA25" s="37">
        <f t="shared" si="3"/>
        <v>-29.298448349356004</v>
      </c>
      <c r="AB25" s="89"/>
    </row>
    <row r="26" spans="2:29" x14ac:dyDescent="0.35">
      <c r="B26" s="230">
        <f t="shared" si="0"/>
        <v>16</v>
      </c>
      <c r="C26" s="61">
        <v>45630</v>
      </c>
      <c r="D26" s="248">
        <f>Table3.110[[#This Row],[Date]]</f>
        <v>46041</v>
      </c>
      <c r="E26" s="230" t="str">
        <f>Table3.110[[#This Row],[Requisitioner]]</f>
        <v>Genbank</v>
      </c>
      <c r="F26" s="230" t="str">
        <f>Table3.110[[#This Row],[Gene Bank ID]]</f>
        <v>CIAT-22004</v>
      </c>
      <c r="G26" s="230" t="str">
        <f>Table3.110[[#This Row],[Genus]]</f>
        <v>Dendrolobium</v>
      </c>
      <c r="H26" s="230" t="str">
        <f>Table3.110[[#This Row],[Species]]</f>
        <v>triangulare</v>
      </c>
      <c r="I26" s="230" t="str">
        <f>Table3.110[[#This Row],[Tax Name]]</f>
        <v>Dendrolobium triangulare</v>
      </c>
      <c r="J26" s="230" t="str">
        <f>Table3.110[[#This Row],[Family]]</f>
        <v>Fabaceae</v>
      </c>
      <c r="K26" s="230" t="str">
        <f>Table3.110[[#This Row],[Order]]</f>
        <v>Fabales</v>
      </c>
      <c r="L26" s="230" t="str">
        <f>Table3.110[[#This Row],[Functional Group]]</f>
        <v>Tree</v>
      </c>
      <c r="M26" s="230" t="str">
        <f>Table3.110[[#This Row],[CIAT ID]]</f>
        <v>F251732</v>
      </c>
      <c r="N26" s="230">
        <f>Table3.110[[#This Row],[Set CIAT]]</f>
        <v>27</v>
      </c>
      <c r="O26" s="230">
        <f>Table3.110[[#This Row],[Batch]]</f>
        <v>58</v>
      </c>
      <c r="P26" s="230">
        <f>Table3.110[[#This Row],[Run]]</f>
        <v>1</v>
      </c>
      <c r="Q26" s="230">
        <f>Table3.110[[#This Row],[Replication]]</f>
        <v>2</v>
      </c>
      <c r="R26" s="230">
        <f>Table3.110[[#This Row],[Syrange No]]</f>
        <v>196</v>
      </c>
      <c r="S26" s="110">
        <v>0.56699999999999995</v>
      </c>
      <c r="T26" s="110">
        <v>0.91990000000000005</v>
      </c>
      <c r="U26" s="108"/>
      <c r="V26" s="254">
        <f t="shared" si="1"/>
        <v>0.3529000000000001</v>
      </c>
      <c r="W26" s="61">
        <f>Table3.110[[#This Row],[DM Incubated, mg]]-('3.2 Digest'!V26*1000)</f>
        <v>118.67354514548521</v>
      </c>
      <c r="X26" s="61">
        <f>W26/Table3.110[[#This Row],[DM Incubated, mg]]*100</f>
        <v>25.165437367542147</v>
      </c>
      <c r="Y26" s="37">
        <f>Table3.1[[#This Row],[DM Incubated, mg]]*'2.4 NDF'!R19/100</f>
        <v>299.96098020931373</v>
      </c>
      <c r="Z26" s="37">
        <f t="shared" si="2"/>
        <v>-52.939019790686359</v>
      </c>
      <c r="AA26" s="37">
        <f t="shared" si="3"/>
        <v>-17.648635417095029</v>
      </c>
      <c r="AB26" s="89"/>
    </row>
    <row r="27" spans="2:29" x14ac:dyDescent="0.35">
      <c r="B27" s="230">
        <f t="shared" si="0"/>
        <v>17</v>
      </c>
      <c r="C27" s="61">
        <v>45630</v>
      </c>
      <c r="D27" s="248">
        <f>Table3.110[[#This Row],[Date]]</f>
        <v>46041</v>
      </c>
      <c r="E27" s="230" t="str">
        <f>Table3.110[[#This Row],[Requisitioner]]</f>
        <v>Genbank</v>
      </c>
      <c r="F27" s="230" t="str">
        <f>Table3.110[[#This Row],[Gene Bank ID]]</f>
        <v>CIAT-22004</v>
      </c>
      <c r="G27" s="230" t="str">
        <f>Table3.110[[#This Row],[Genus]]</f>
        <v>Dendrolobium</v>
      </c>
      <c r="H27" s="230" t="str">
        <f>Table3.110[[#This Row],[Species]]</f>
        <v>triangulare</v>
      </c>
      <c r="I27" s="230" t="str">
        <f>Table3.110[[#This Row],[Tax Name]]</f>
        <v>Dendrolobium triangulare</v>
      </c>
      <c r="J27" s="230" t="str">
        <f>Table3.110[[#This Row],[Family]]</f>
        <v>Fabaceae</v>
      </c>
      <c r="K27" s="230" t="str">
        <f>Table3.110[[#This Row],[Order]]</f>
        <v>Fabales</v>
      </c>
      <c r="L27" s="230" t="str">
        <f>Table3.110[[#This Row],[Functional Group]]</f>
        <v>Tree</v>
      </c>
      <c r="M27" s="230" t="str">
        <f>Table3.110[[#This Row],[CIAT ID]]</f>
        <v>F251732</v>
      </c>
      <c r="N27" s="230">
        <f>Table3.110[[#This Row],[Set CIAT]]</f>
        <v>27</v>
      </c>
      <c r="O27" s="230">
        <f>Table3.110[[#This Row],[Batch]]</f>
        <v>58</v>
      </c>
      <c r="P27" s="230">
        <f>Table3.110[[#This Row],[Run]]</f>
        <v>1</v>
      </c>
      <c r="Q27" s="230">
        <f>Table3.110[[#This Row],[Replication]]</f>
        <v>3</v>
      </c>
      <c r="R27" s="230">
        <f>Table3.110[[#This Row],[Syrange No]]</f>
        <v>197</v>
      </c>
      <c r="S27" s="265">
        <v>0.54059999999999997</v>
      </c>
      <c r="T27" s="265">
        <v>0.91020000000000001</v>
      </c>
      <c r="U27" s="108"/>
      <c r="V27" s="254">
        <f t="shared" si="1"/>
        <v>0.36960000000000004</v>
      </c>
      <c r="W27" s="61">
        <f>Table3.110[[#This Row],[DM Incubated, mg]]-('3.2 Digest'!V27*1000)</f>
        <v>102.44502439478094</v>
      </c>
      <c r="X27" s="61">
        <f>W27/Table3.110[[#This Row],[DM Incubated, mg]]*100</f>
        <v>21.702384116033826</v>
      </c>
      <c r="Y27" s="37">
        <f>Table3.1[[#This Row],[DM Incubated, mg]]*'2.4 NDF'!R19/100</f>
        <v>300.26088120932303</v>
      </c>
      <c r="Z27" s="37">
        <f t="shared" si="2"/>
        <v>-69.339118790676991</v>
      </c>
      <c r="AA27" s="37">
        <f t="shared" si="3"/>
        <v>-23.092957867641143</v>
      </c>
      <c r="AB27" s="89"/>
    </row>
    <row r="28" spans="2:29" x14ac:dyDescent="0.35">
      <c r="B28" s="230">
        <f t="shared" si="0"/>
        <v>18</v>
      </c>
      <c r="C28" s="61">
        <v>45630</v>
      </c>
      <c r="D28" s="248">
        <f>Table3.110[[#This Row],[Date]]</f>
        <v>46041</v>
      </c>
      <c r="E28" s="230" t="str">
        <f>Table3.110[[#This Row],[Requisitioner]]</f>
        <v>Genbank</v>
      </c>
      <c r="F28" s="230" t="str">
        <f>Table3.110[[#This Row],[Gene Bank ID]]</f>
        <v>CIAT-23104</v>
      </c>
      <c r="G28" s="230" t="str">
        <f>Table3.110[[#This Row],[Genus]]</f>
        <v>Dendrolobium</v>
      </c>
      <c r="H28" s="230" t="str">
        <f>Table3.110[[#This Row],[Species]]</f>
        <v>triangulare</v>
      </c>
      <c r="I28" s="230" t="str">
        <f>Table3.110[[#This Row],[Tax Name]]</f>
        <v>Dendrolobium triangulare</v>
      </c>
      <c r="J28" s="230" t="str">
        <f>Table3.110[[#This Row],[Family]]</f>
        <v>Fabaceae</v>
      </c>
      <c r="K28" s="230" t="str">
        <f>Table3.110[[#This Row],[Order]]</f>
        <v>Fabales</v>
      </c>
      <c r="L28" s="230" t="str">
        <f>Table3.110[[#This Row],[Functional Group]]</f>
        <v>Tree</v>
      </c>
      <c r="M28" s="230" t="str">
        <f>Table3.110[[#This Row],[CIAT ID]]</f>
        <v>F251733</v>
      </c>
      <c r="N28" s="230">
        <f>Table3.110[[#This Row],[Set CIAT]]</f>
        <v>27</v>
      </c>
      <c r="O28" s="230">
        <f>Table3.110[[#This Row],[Batch]]</f>
        <v>58</v>
      </c>
      <c r="P28" s="230">
        <f>Table3.110[[#This Row],[Run]]</f>
        <v>1</v>
      </c>
      <c r="Q28" s="230">
        <f>Table3.110[[#This Row],[Replication]]</f>
        <v>1</v>
      </c>
      <c r="R28" s="230">
        <f>Table3.110[[#This Row],[Syrange No]]</f>
        <v>198</v>
      </c>
      <c r="S28" s="110">
        <v>0.5766</v>
      </c>
      <c r="T28" s="110">
        <v>0.95440000000000003</v>
      </c>
      <c r="U28" s="108"/>
      <c r="V28" s="254">
        <f t="shared" si="1"/>
        <v>0.37780000000000002</v>
      </c>
      <c r="W28" s="61">
        <f>Table3.110[[#This Row],[DM Incubated, mg]]-('3.2 Digest'!V28*1000)</f>
        <v>85.548160551834144</v>
      </c>
      <c r="X28" s="61">
        <f>W28/Table3.110[[#This Row],[DM Incubated, mg]]*100</f>
        <v>18.463040934477604</v>
      </c>
      <c r="Y28" s="37">
        <f>Table3.1[[#This Row],[DM Incubated, mg]]*'2.4 NDF'!R21/100</f>
        <v>311.46045591662096</v>
      </c>
      <c r="Z28" s="37">
        <f t="shared" si="2"/>
        <v>-66.339544083379053</v>
      </c>
      <c r="AA28" s="37">
        <f t="shared" si="3"/>
        <v>-21.299507794061142</v>
      </c>
      <c r="AB28" s="89"/>
    </row>
    <row r="29" spans="2:29" x14ac:dyDescent="0.35">
      <c r="B29" s="230">
        <f t="shared" si="0"/>
        <v>19</v>
      </c>
      <c r="C29" s="61">
        <v>45630</v>
      </c>
      <c r="D29" s="248">
        <f>Table3.110[[#This Row],[Date]]</f>
        <v>46041</v>
      </c>
      <c r="E29" s="230" t="str">
        <f>Table3.110[[#This Row],[Requisitioner]]</f>
        <v>Genbank</v>
      </c>
      <c r="F29" s="230" t="str">
        <f>Table3.110[[#This Row],[Gene Bank ID]]</f>
        <v>CIAT-23104</v>
      </c>
      <c r="G29" s="230" t="str">
        <f>Table3.110[[#This Row],[Genus]]</f>
        <v>Dendrolobium</v>
      </c>
      <c r="H29" s="230" t="str">
        <f>Table3.110[[#This Row],[Species]]</f>
        <v>triangulare</v>
      </c>
      <c r="I29" s="230" t="str">
        <f>Table3.110[[#This Row],[Tax Name]]</f>
        <v>Dendrolobium triangulare</v>
      </c>
      <c r="J29" s="230" t="str">
        <f>Table3.110[[#This Row],[Family]]</f>
        <v>Fabaceae</v>
      </c>
      <c r="K29" s="230" t="str">
        <f>Table3.110[[#This Row],[Order]]</f>
        <v>Fabales</v>
      </c>
      <c r="L29" s="230" t="str">
        <f>Table3.110[[#This Row],[Functional Group]]</f>
        <v>Tree</v>
      </c>
      <c r="M29" s="230" t="str">
        <f>Table3.110[[#This Row],[CIAT ID]]</f>
        <v>F251733</v>
      </c>
      <c r="N29" s="230">
        <f>Table3.110[[#This Row],[Set CIAT]]</f>
        <v>27</v>
      </c>
      <c r="O29" s="230">
        <f>Table3.110[[#This Row],[Batch]]</f>
        <v>58</v>
      </c>
      <c r="P29" s="230">
        <f>Table3.110[[#This Row],[Run]]</f>
        <v>1</v>
      </c>
      <c r="Q29" s="230">
        <f>Table3.110[[#This Row],[Replication]]</f>
        <v>2</v>
      </c>
      <c r="R29" s="230">
        <f>Table3.110[[#This Row],[Syrange No]]</f>
        <v>199</v>
      </c>
      <c r="S29" s="265">
        <v>0.56130000000000002</v>
      </c>
      <c r="T29" s="265">
        <v>0.94779999999999998</v>
      </c>
      <c r="U29" s="108"/>
      <c r="V29" s="254">
        <f t="shared" si="1"/>
        <v>0.38649999999999995</v>
      </c>
      <c r="W29" s="61">
        <f>Table3.110[[#This Row],[DM Incubated, mg]]-('3.2 Digest'!V29*1000)</f>
        <v>77.218690868149281</v>
      </c>
      <c r="X29" s="61">
        <f>W29/Table3.110[[#This Row],[DM Incubated, mg]]*100</f>
        <v>16.652054874817445</v>
      </c>
      <c r="Y29" s="37">
        <f>Table3.1[[#This Row],[DM Incubated, mg]]*'2.4 NDF'!R21/100</f>
        <v>311.70952465385943</v>
      </c>
      <c r="Z29" s="37">
        <f t="shared" si="2"/>
        <v>-74.790475346140511</v>
      </c>
      <c r="AA29" s="37">
        <f t="shared" si="3"/>
        <v>-23.993644541081075</v>
      </c>
      <c r="AB29" s="89"/>
    </row>
    <row r="30" spans="2:29" x14ac:dyDescent="0.35">
      <c r="B30" s="230">
        <f t="shared" si="0"/>
        <v>20</v>
      </c>
      <c r="C30" s="61">
        <v>45630</v>
      </c>
      <c r="D30" s="248">
        <f>Table3.110[[#This Row],[Date]]</f>
        <v>46041</v>
      </c>
      <c r="E30" s="230" t="str">
        <f>Table3.110[[#This Row],[Requisitioner]]</f>
        <v>Genbank</v>
      </c>
      <c r="F30" s="230" t="str">
        <f>Table3.110[[#This Row],[Gene Bank ID]]</f>
        <v>CIAT-23104</v>
      </c>
      <c r="G30" s="230" t="str">
        <f>Table3.110[[#This Row],[Genus]]</f>
        <v>Dendrolobium</v>
      </c>
      <c r="H30" s="230" t="str">
        <f>Table3.110[[#This Row],[Species]]</f>
        <v>triangulare</v>
      </c>
      <c r="I30" s="230" t="str">
        <f>Table3.110[[#This Row],[Tax Name]]</f>
        <v>Dendrolobium triangulare</v>
      </c>
      <c r="J30" s="230" t="str">
        <f>Table3.110[[#This Row],[Family]]</f>
        <v>Fabaceae</v>
      </c>
      <c r="K30" s="230" t="str">
        <f>Table3.110[[#This Row],[Order]]</f>
        <v>Fabales</v>
      </c>
      <c r="L30" s="230" t="str">
        <f>Table3.110[[#This Row],[Functional Group]]</f>
        <v>Tree</v>
      </c>
      <c r="M30" s="230" t="str">
        <f>Table3.110[[#This Row],[CIAT ID]]</f>
        <v>F251733</v>
      </c>
      <c r="N30" s="230">
        <f>Table3.110[[#This Row],[Set CIAT]]</f>
        <v>27</v>
      </c>
      <c r="O30" s="230">
        <f>Table3.110[[#This Row],[Batch]]</f>
        <v>58</v>
      </c>
      <c r="P30" s="230">
        <f>Table3.110[[#This Row],[Run]]</f>
        <v>1</v>
      </c>
      <c r="Q30" s="230">
        <f>Table3.110[[#This Row],[Replication]]</f>
        <v>3</v>
      </c>
      <c r="R30" s="230">
        <f>Table3.110[[#This Row],[Syrange No]]</f>
        <v>200</v>
      </c>
      <c r="S30" s="110">
        <v>0.5595</v>
      </c>
      <c r="T30" s="110">
        <v>0.92600000000000005</v>
      </c>
      <c r="U30" s="108"/>
      <c r="V30" s="254">
        <f t="shared" si="1"/>
        <v>0.36650000000000005</v>
      </c>
      <c r="W30" s="61">
        <f>Table3.110[[#This Row],[DM Incubated, mg]]-('3.2 Digest'!V30*1000)</f>
        <v>96.662895393676649</v>
      </c>
      <c r="X30" s="61">
        <f>W30/Table3.110[[#This Row],[DM Incubated, mg]]*100</f>
        <v>20.870172536492941</v>
      </c>
      <c r="Y30" s="37">
        <f>Table3.1[[#This Row],[DM Incubated, mg]]*'2.4 NDF'!R21/100</f>
        <v>311.33592154800181</v>
      </c>
      <c r="Z30" s="37">
        <f t="shared" si="2"/>
        <v>-55.16407845199825</v>
      </c>
      <c r="AA30" s="37">
        <f t="shared" si="3"/>
        <v>-17.718507449354203</v>
      </c>
      <c r="AB30" s="89"/>
    </row>
    <row r="31" spans="2:29" x14ac:dyDescent="0.35">
      <c r="B31" s="230">
        <f t="shared" si="0"/>
        <v>21</v>
      </c>
      <c r="C31" s="61">
        <v>45630</v>
      </c>
      <c r="D31" s="248">
        <f>Table3.110[[#This Row],[Date]]</f>
        <v>46041</v>
      </c>
      <c r="E31" s="230" t="str">
        <f>Table3.110[[#This Row],[Requisitioner]]</f>
        <v>Genbank</v>
      </c>
      <c r="F31" s="230" t="str">
        <f>Table3.110[[#This Row],[Gene Bank ID]]</f>
        <v>CIAT-23106</v>
      </c>
      <c r="G31" s="230" t="str">
        <f>Table3.110[[#This Row],[Genus]]</f>
        <v>Dendrolobium</v>
      </c>
      <c r="H31" s="230" t="str">
        <f>Table3.110[[#This Row],[Species]]</f>
        <v>triangulare</v>
      </c>
      <c r="I31" s="230" t="str">
        <f>Table3.110[[#This Row],[Tax Name]]</f>
        <v>Dendrolobium triangulare</v>
      </c>
      <c r="J31" s="230" t="str">
        <f>Table3.110[[#This Row],[Family]]</f>
        <v>Fabaceae</v>
      </c>
      <c r="K31" s="230" t="str">
        <f>Table3.110[[#This Row],[Order]]</f>
        <v>Fabales</v>
      </c>
      <c r="L31" s="230" t="str">
        <f>Table3.110[[#This Row],[Functional Group]]</f>
        <v>Tree</v>
      </c>
      <c r="M31" s="230" t="str">
        <f>Table3.110[[#This Row],[CIAT ID]]</f>
        <v>F251734</v>
      </c>
      <c r="N31" s="230">
        <f>Table3.110[[#This Row],[Set CIAT]]</f>
        <v>27</v>
      </c>
      <c r="O31" s="230">
        <f>Table3.110[[#This Row],[Batch]]</f>
        <v>58</v>
      </c>
      <c r="P31" s="230">
        <f>Table3.110[[#This Row],[Run]]</f>
        <v>1</v>
      </c>
      <c r="Q31" s="230">
        <f>Table3.110[[#This Row],[Replication]]</f>
        <v>1</v>
      </c>
      <c r="R31" s="230">
        <f>Table3.110[[#This Row],[Syrange No]]</f>
        <v>201</v>
      </c>
      <c r="S31" s="265">
        <v>0.57430000000000003</v>
      </c>
      <c r="T31" s="265">
        <v>0.96050000000000002</v>
      </c>
      <c r="U31" s="108"/>
      <c r="V31" s="254">
        <f t="shared" si="1"/>
        <v>0.38619999999999999</v>
      </c>
      <c r="W31" s="61">
        <f>Table3.110[[#This Row],[DM Incubated, mg]]-('3.2 Digest'!V31*1000)</f>
        <v>87.252673663168196</v>
      </c>
      <c r="X31" s="61">
        <f>W31/Table3.110[[#This Row],[DM Incubated, mg]]*100</f>
        <v>18.429016988769398</v>
      </c>
      <c r="Y31" s="37">
        <f>Table3.1[[#This Row],[DM Incubated, mg]]*'2.4 NDF'!R23/100</f>
        <v>320.81629532975234</v>
      </c>
      <c r="Z31" s="37">
        <f t="shared" si="2"/>
        <v>-65.383704670247653</v>
      </c>
      <c r="AA31" s="37">
        <f t="shared" si="3"/>
        <v>-20.38041883223006</v>
      </c>
      <c r="AB31" s="89"/>
    </row>
    <row r="32" spans="2:29" x14ac:dyDescent="0.35">
      <c r="B32" s="230">
        <f t="shared" si="0"/>
        <v>22</v>
      </c>
      <c r="C32" s="61">
        <v>45630</v>
      </c>
      <c r="D32" s="248">
        <f>Table3.110[[#This Row],[Date]]</f>
        <v>46041</v>
      </c>
      <c r="E32" s="230" t="str">
        <f>Table3.110[[#This Row],[Requisitioner]]</f>
        <v>Genbank</v>
      </c>
      <c r="F32" s="230" t="str">
        <f>Table3.110[[#This Row],[Gene Bank ID]]</f>
        <v>CIAT-23106</v>
      </c>
      <c r="G32" s="230" t="str">
        <f>Table3.110[[#This Row],[Genus]]</f>
        <v>Dendrolobium</v>
      </c>
      <c r="H32" s="230" t="str">
        <f>Table3.110[[#This Row],[Species]]</f>
        <v>triangulare</v>
      </c>
      <c r="I32" s="230" t="str">
        <f>Table3.110[[#This Row],[Tax Name]]</f>
        <v>Dendrolobium triangulare</v>
      </c>
      <c r="J32" s="230" t="str">
        <f>Table3.110[[#This Row],[Family]]</f>
        <v>Fabaceae</v>
      </c>
      <c r="K32" s="230" t="str">
        <f>Table3.110[[#This Row],[Order]]</f>
        <v>Fabales</v>
      </c>
      <c r="L32" s="230" t="str">
        <f>Table3.110[[#This Row],[Functional Group]]</f>
        <v>Tree</v>
      </c>
      <c r="M32" s="230" t="str">
        <f>Table3.110[[#This Row],[CIAT ID]]</f>
        <v>F251734</v>
      </c>
      <c r="N32" s="230">
        <f>Table3.110[[#This Row],[Set CIAT]]</f>
        <v>27</v>
      </c>
      <c r="O32" s="230">
        <f>Table3.110[[#This Row],[Batch]]</f>
        <v>58</v>
      </c>
      <c r="P32" s="230">
        <f>Table3.110[[#This Row],[Run]]</f>
        <v>1</v>
      </c>
      <c r="Q32" s="230">
        <f>Table3.110[[#This Row],[Replication]]</f>
        <v>2</v>
      </c>
      <c r="R32" s="230">
        <f>Table3.110[[#This Row],[Syrange No]]</f>
        <v>202</v>
      </c>
      <c r="S32" s="110">
        <v>0.57179999999999997</v>
      </c>
      <c r="T32" s="110">
        <v>0.95330000000000004</v>
      </c>
      <c r="U32" s="108" t="s">
        <v>678</v>
      </c>
      <c r="V32" s="254">
        <f t="shared" si="1"/>
        <v>0.38150000000000006</v>
      </c>
      <c r="W32" s="61">
        <f>Table3.110[[#This Row],[DM Incubated, mg]]-('3.2 Digest'!V32*1000)</f>
        <v>92.236631684157658</v>
      </c>
      <c r="X32" s="61">
        <f>W32/Table3.110[[#This Row],[DM Incubated, mg]]*100</f>
        <v>19.470023113106489</v>
      </c>
      <c r="Y32" s="37">
        <f>Table3.1[[#This Row],[DM Incubated, mg]]*'2.4 NDF'!R23/100</f>
        <v>321.00870814182537</v>
      </c>
      <c r="Z32" s="37">
        <f t="shared" si="2"/>
        <v>-60.491291858174691</v>
      </c>
      <c r="AA32" s="37">
        <f t="shared" si="3"/>
        <v>-18.844128001489896</v>
      </c>
      <c r="AB32" s="89"/>
    </row>
    <row r="33" spans="2:29" x14ac:dyDescent="0.35">
      <c r="B33" s="230">
        <f t="shared" si="0"/>
        <v>23</v>
      </c>
      <c r="C33" s="61">
        <v>45630</v>
      </c>
      <c r="D33" s="248">
        <f>Table3.110[[#This Row],[Date]]</f>
        <v>46041</v>
      </c>
      <c r="E33" s="230" t="str">
        <f>Table3.110[[#This Row],[Requisitioner]]</f>
        <v>Genbank</v>
      </c>
      <c r="F33" s="230" t="str">
        <f>Table3.110[[#This Row],[Gene Bank ID]]</f>
        <v>CIAT-23106</v>
      </c>
      <c r="G33" s="230" t="str">
        <f>Table3.110[[#This Row],[Genus]]</f>
        <v>Dendrolobium</v>
      </c>
      <c r="H33" s="230" t="str">
        <f>Table3.110[[#This Row],[Species]]</f>
        <v>triangulare</v>
      </c>
      <c r="I33" s="230" t="str">
        <f>Table3.110[[#This Row],[Tax Name]]</f>
        <v>Dendrolobium triangulare</v>
      </c>
      <c r="J33" s="230" t="str">
        <f>Table3.110[[#This Row],[Family]]</f>
        <v>Fabaceae</v>
      </c>
      <c r="K33" s="230" t="str">
        <f>Table3.110[[#This Row],[Order]]</f>
        <v>Fabales</v>
      </c>
      <c r="L33" s="230" t="str">
        <f>Table3.110[[#This Row],[Functional Group]]</f>
        <v>Tree</v>
      </c>
      <c r="M33" s="230" t="str">
        <f>Table3.110[[#This Row],[CIAT ID]]</f>
        <v>F251734</v>
      </c>
      <c r="N33" s="230">
        <f>Table3.110[[#This Row],[Set CIAT]]</f>
        <v>27</v>
      </c>
      <c r="O33" s="230">
        <f>Table3.110[[#This Row],[Batch]]</f>
        <v>58</v>
      </c>
      <c r="P33" s="230">
        <f>Table3.110[[#This Row],[Run]]</f>
        <v>1</v>
      </c>
      <c r="Q33" s="230">
        <f>Table3.110[[#This Row],[Replication]]</f>
        <v>3</v>
      </c>
      <c r="R33" s="230">
        <f>Table3.110[[#This Row],[Syrange No]]</f>
        <v>203</v>
      </c>
      <c r="S33" s="265">
        <v>0.55500000000000005</v>
      </c>
      <c r="T33" s="265">
        <v>0.96099999999999997</v>
      </c>
      <c r="U33" s="108"/>
      <c r="V33" s="254">
        <f t="shared" si="1"/>
        <v>0.40599999999999992</v>
      </c>
      <c r="W33" s="61">
        <f>Table3.110[[#This Row],[DM Incubated, mg]]-('3.2 Digest'!V33*1000)</f>
        <v>67.452673663168241</v>
      </c>
      <c r="X33" s="61">
        <f>W33/Table3.110[[#This Row],[DM Incubated, mg]]*100</f>
        <v>14.24697280538679</v>
      </c>
      <c r="Y33" s="37">
        <f>Table3.1[[#This Row],[DM Incubated, mg]]*'2.4 NDF'!R23/100</f>
        <v>320.81629532975234</v>
      </c>
      <c r="Z33" s="37">
        <f t="shared" si="2"/>
        <v>-85.183704670247607</v>
      </c>
      <c r="AA33" s="37">
        <f t="shared" si="3"/>
        <v>-26.552175157652506</v>
      </c>
      <c r="AB33" s="89"/>
    </row>
    <row r="34" spans="2:29" x14ac:dyDescent="0.35">
      <c r="B34" s="230">
        <f t="shared" si="0"/>
        <v>24</v>
      </c>
      <c r="C34" s="61">
        <v>45630</v>
      </c>
      <c r="D34" s="248">
        <f>Table3.110[[#This Row],[Date]]</f>
        <v>46041</v>
      </c>
      <c r="E34" s="230" t="str">
        <f>Table3.110[[#This Row],[Requisitioner]]</f>
        <v>Genbank</v>
      </c>
      <c r="F34" s="230" t="str">
        <f>Table3.110[[#This Row],[Gene Bank ID]]</f>
        <v>CIAT-23107</v>
      </c>
      <c r="G34" s="230" t="str">
        <f>Table3.110[[#This Row],[Genus]]</f>
        <v>Dendrolobium</v>
      </c>
      <c r="H34" s="230" t="str">
        <f>Table3.110[[#This Row],[Species]]</f>
        <v>triangulare</v>
      </c>
      <c r="I34" s="230" t="str">
        <f>Table3.110[[#This Row],[Tax Name]]</f>
        <v>Dendrolobium triangulare</v>
      </c>
      <c r="J34" s="230" t="str">
        <f>Table3.110[[#This Row],[Family]]</f>
        <v>Fabaceae</v>
      </c>
      <c r="K34" s="230" t="str">
        <f>Table3.110[[#This Row],[Order]]</f>
        <v>Fabales</v>
      </c>
      <c r="L34" s="230" t="str">
        <f>Table3.110[[#This Row],[Functional Group]]</f>
        <v>Tree</v>
      </c>
      <c r="M34" s="230" t="str">
        <f>Table3.110[[#This Row],[CIAT ID]]</f>
        <v>F251735</v>
      </c>
      <c r="N34" s="230">
        <f>Table3.110[[#This Row],[Set CIAT]]</f>
        <v>27</v>
      </c>
      <c r="O34" s="230">
        <f>Table3.110[[#This Row],[Batch]]</f>
        <v>58</v>
      </c>
      <c r="P34" s="230">
        <f>Table3.110[[#This Row],[Run]]</f>
        <v>1</v>
      </c>
      <c r="Q34" s="230">
        <f>Table3.110[[#This Row],[Replication]]</f>
        <v>1</v>
      </c>
      <c r="R34" s="230">
        <f>Table3.110[[#This Row],[Syrange No]]</f>
        <v>204</v>
      </c>
      <c r="S34" s="110">
        <v>0.57769999999999999</v>
      </c>
      <c r="T34" s="110">
        <v>0.96850000000000003</v>
      </c>
      <c r="U34" s="108"/>
      <c r="V34" s="254">
        <f t="shared" si="1"/>
        <v>0.39080000000000004</v>
      </c>
      <c r="W34" s="61">
        <f>Table3.110[[#This Row],[DM Incubated, mg]]-('3.2 Digest'!V34*1000)</f>
        <v>84.230025236806512</v>
      </c>
      <c r="X34" s="61">
        <f>W34/Table3.110[[#This Row],[DM Incubated, mg]]*100</f>
        <v>17.731516064656571</v>
      </c>
      <c r="Y34" s="37">
        <f>Table3.1[[#This Row],[DM Incubated, mg]]*'2.4 NDF'!R25/100</f>
        <v>319.29987701925063</v>
      </c>
      <c r="Z34" s="37">
        <f t="shared" si="2"/>
        <v>-71.500122980749381</v>
      </c>
      <c r="AA34" s="37">
        <f t="shared" si="3"/>
        <v>-22.392781246338732</v>
      </c>
      <c r="AB34" s="89"/>
    </row>
    <row r="35" spans="2:29" x14ac:dyDescent="0.35">
      <c r="B35" s="230">
        <f t="shared" si="0"/>
        <v>25</v>
      </c>
      <c r="C35" s="61">
        <v>45630</v>
      </c>
      <c r="D35" s="248">
        <f>Table3.110[[#This Row],[Date]]</f>
        <v>46041</v>
      </c>
      <c r="E35" s="230" t="str">
        <f>Table3.110[[#This Row],[Requisitioner]]</f>
        <v>Genbank</v>
      </c>
      <c r="F35" s="230" t="str">
        <f>Table3.110[[#This Row],[Gene Bank ID]]</f>
        <v>CIAT-23107</v>
      </c>
      <c r="G35" s="230" t="str">
        <f>Table3.110[[#This Row],[Genus]]</f>
        <v>Dendrolobium</v>
      </c>
      <c r="H35" s="230" t="str">
        <f>Table3.110[[#This Row],[Species]]</f>
        <v>triangulare</v>
      </c>
      <c r="I35" s="230" t="str">
        <f>Table3.110[[#This Row],[Tax Name]]</f>
        <v>Dendrolobium triangulare</v>
      </c>
      <c r="J35" s="230" t="str">
        <f>Table3.110[[#This Row],[Family]]</f>
        <v>Fabaceae</v>
      </c>
      <c r="K35" s="230" t="str">
        <f>Table3.110[[#This Row],[Order]]</f>
        <v>Fabales</v>
      </c>
      <c r="L35" s="230" t="str">
        <f>Table3.110[[#This Row],[Functional Group]]</f>
        <v>Tree</v>
      </c>
      <c r="M35" s="230" t="str">
        <f>Table3.110[[#This Row],[CIAT ID]]</f>
        <v>F251735</v>
      </c>
      <c r="N35" s="230">
        <f>Table3.110[[#This Row],[Set CIAT]]</f>
        <v>27</v>
      </c>
      <c r="O35" s="230">
        <f>Table3.110[[#This Row],[Batch]]</f>
        <v>58</v>
      </c>
      <c r="P35" s="230">
        <f>Table3.110[[#This Row],[Run]]</f>
        <v>1</v>
      </c>
      <c r="Q35" s="230">
        <f>Table3.110[[#This Row],[Replication]]</f>
        <v>2</v>
      </c>
      <c r="R35" s="230">
        <f>Table3.110[[#This Row],[Syrange No]]</f>
        <v>205</v>
      </c>
      <c r="S35" s="265">
        <v>0.57350000000000001</v>
      </c>
      <c r="T35" s="265">
        <v>0.95269999999999999</v>
      </c>
      <c r="U35" s="108"/>
      <c r="V35" s="254">
        <f t="shared" si="1"/>
        <v>0.37919999999999998</v>
      </c>
      <c r="W35" s="61">
        <f>Table3.110[[#This Row],[DM Incubated, mg]]-('3.2 Digest'!V35*1000)</f>
        <v>95.925012244452375</v>
      </c>
      <c r="X35" s="61">
        <f>W35/Table3.110[[#This Row],[DM Incubated, mg]]*100</f>
        <v>20.189425892631991</v>
      </c>
      <c r="Y35" s="37">
        <f>Table3.1[[#This Row],[DM Incubated, mg]]*'2.4 NDF'!R25/100</f>
        <v>319.36372422521328</v>
      </c>
      <c r="Z35" s="37">
        <f t="shared" si="2"/>
        <v>-59.836275774786714</v>
      </c>
      <c r="AA35" s="37">
        <f t="shared" si="3"/>
        <v>-18.736090305795202</v>
      </c>
      <c r="AB35" s="89"/>
    </row>
    <row r="36" spans="2:29" x14ac:dyDescent="0.35">
      <c r="B36" s="230">
        <f t="shared" si="0"/>
        <v>26</v>
      </c>
      <c r="C36" s="61">
        <v>45630</v>
      </c>
      <c r="D36" s="248">
        <f>Table3.110[[#This Row],[Date]]</f>
        <v>46041</v>
      </c>
      <c r="E36" s="230" t="str">
        <f>Table3.110[[#This Row],[Requisitioner]]</f>
        <v>Genbank</v>
      </c>
      <c r="F36" s="230" t="str">
        <f>Table3.110[[#This Row],[Gene Bank ID]]</f>
        <v>CIAT-23107</v>
      </c>
      <c r="G36" s="230" t="str">
        <f>Table3.110[[#This Row],[Genus]]</f>
        <v>Dendrolobium</v>
      </c>
      <c r="H36" s="230" t="str">
        <f>Table3.110[[#This Row],[Species]]</f>
        <v>triangulare</v>
      </c>
      <c r="I36" s="230" t="str">
        <f>Table3.110[[#This Row],[Tax Name]]</f>
        <v>Dendrolobium triangulare</v>
      </c>
      <c r="J36" s="230" t="str">
        <f>Table3.110[[#This Row],[Family]]</f>
        <v>Fabaceae</v>
      </c>
      <c r="K36" s="230" t="str">
        <f>Table3.110[[#This Row],[Order]]</f>
        <v>Fabales</v>
      </c>
      <c r="L36" s="230" t="str">
        <f>Table3.110[[#This Row],[Functional Group]]</f>
        <v>Tree</v>
      </c>
      <c r="M36" s="230" t="str">
        <f>Table3.110[[#This Row],[CIAT ID]]</f>
        <v>F251735</v>
      </c>
      <c r="N36" s="230">
        <f>Table3.110[[#This Row],[Set CIAT]]</f>
        <v>27</v>
      </c>
      <c r="O36" s="230">
        <f>Table3.110[[#This Row],[Batch]]</f>
        <v>58</v>
      </c>
      <c r="P36" s="230">
        <f>Table3.110[[#This Row],[Run]]</f>
        <v>1</v>
      </c>
      <c r="Q36" s="230">
        <f>Table3.110[[#This Row],[Replication]]</f>
        <v>3</v>
      </c>
      <c r="R36" s="230">
        <f>Table3.110[[#This Row],[Syrange No]]</f>
        <v>206</v>
      </c>
      <c r="S36" s="110">
        <v>0.55779999999999996</v>
      </c>
      <c r="T36" s="110">
        <v>1.3983000000000001</v>
      </c>
      <c r="U36" s="108"/>
      <c r="V36" s="254"/>
      <c r="W36" s="61"/>
      <c r="X36" s="61"/>
      <c r="Y36" s="37"/>
      <c r="Z36" s="37"/>
      <c r="AA36" s="37"/>
      <c r="AB36" s="89" t="s">
        <v>546</v>
      </c>
      <c r="AC36" s="5" t="s">
        <v>677</v>
      </c>
    </row>
    <row r="37" spans="2:29" x14ac:dyDescent="0.35">
      <c r="B37" s="230">
        <f t="shared" si="0"/>
        <v>27</v>
      </c>
      <c r="C37" s="61">
        <v>45630</v>
      </c>
      <c r="D37" s="248">
        <f>Table3.110[[#This Row],[Date]]</f>
        <v>46041</v>
      </c>
      <c r="E37" s="230" t="str">
        <f>Table3.110[[#This Row],[Requisitioner]]</f>
        <v>Genbank</v>
      </c>
      <c r="F37" s="230" t="str">
        <f>Table3.110[[#This Row],[Gene Bank ID]]</f>
        <v>CIAT-23108</v>
      </c>
      <c r="G37" s="230" t="str">
        <f>Table3.110[[#This Row],[Genus]]</f>
        <v>Dendrolobium</v>
      </c>
      <c r="H37" s="230" t="str">
        <f>Table3.110[[#This Row],[Species]]</f>
        <v>triangulare</v>
      </c>
      <c r="I37" s="230" t="str">
        <f>Table3.110[[#This Row],[Tax Name]]</f>
        <v>Dendrolobium triangulare</v>
      </c>
      <c r="J37" s="230" t="str">
        <f>Table3.110[[#This Row],[Family]]</f>
        <v>Fabaceae</v>
      </c>
      <c r="K37" s="230" t="str">
        <f>Table3.110[[#This Row],[Order]]</f>
        <v>Fabales</v>
      </c>
      <c r="L37" s="230" t="str">
        <f>Table3.110[[#This Row],[Functional Group]]</f>
        <v>Tree</v>
      </c>
      <c r="M37" s="230" t="str">
        <f>Table3.110[[#This Row],[CIAT ID]]</f>
        <v>F251736</v>
      </c>
      <c r="N37" s="230">
        <f>Table3.110[[#This Row],[Set CIAT]]</f>
        <v>27</v>
      </c>
      <c r="O37" s="230">
        <f>Table3.110[[#This Row],[Batch]]</f>
        <v>58</v>
      </c>
      <c r="P37" s="230">
        <f>Table3.110[[#This Row],[Run]]</f>
        <v>1</v>
      </c>
      <c r="Q37" s="230">
        <f>Table3.110[[#This Row],[Replication]]</f>
        <v>1</v>
      </c>
      <c r="R37" s="230">
        <f>Table3.110[[#This Row],[Syrange No]]</f>
        <v>207</v>
      </c>
      <c r="S37" s="265">
        <v>0.57110000000000005</v>
      </c>
      <c r="T37" s="265">
        <v>0.96179999999999999</v>
      </c>
      <c r="U37" s="108"/>
      <c r="V37" s="254">
        <f t="shared" si="1"/>
        <v>0.39069999999999994</v>
      </c>
      <c r="W37" s="61">
        <f>Table3.110[[#This Row],[DM Incubated, mg]]-('3.2 Digest'!V37*1000)</f>
        <v>82.394543274035925</v>
      </c>
      <c r="X37" s="61">
        <f>W37/Table3.110[[#This Row],[DM Incubated, mg]]*100</f>
        <v>17.416084046082435</v>
      </c>
      <c r="Y37" s="37">
        <f>Table3.1[[#This Row],[DM Incubated, mg]]*'2.4 NDF'!R27/100</f>
        <v>328.16723696677929</v>
      </c>
      <c r="Z37" s="37">
        <f t="shared" si="2"/>
        <v>-62.532763033220647</v>
      </c>
      <c r="AA37" s="37">
        <f t="shared" si="3"/>
        <v>-19.055151151347538</v>
      </c>
      <c r="AB37" s="89"/>
    </row>
    <row r="38" spans="2:29" x14ac:dyDescent="0.35">
      <c r="B38" s="230">
        <f t="shared" si="0"/>
        <v>28</v>
      </c>
      <c r="C38" s="61">
        <v>45630</v>
      </c>
      <c r="D38" s="248">
        <f>Table3.110[[#This Row],[Date]]</f>
        <v>46041</v>
      </c>
      <c r="E38" s="230" t="str">
        <f>Table3.110[[#This Row],[Requisitioner]]</f>
        <v>Genbank</v>
      </c>
      <c r="F38" s="230" t="str">
        <f>Table3.110[[#This Row],[Gene Bank ID]]</f>
        <v>CIAT-23108</v>
      </c>
      <c r="G38" s="230" t="str">
        <f>Table3.110[[#This Row],[Genus]]</f>
        <v>Dendrolobium</v>
      </c>
      <c r="H38" s="230" t="str">
        <f>Table3.110[[#This Row],[Species]]</f>
        <v>triangulare</v>
      </c>
      <c r="I38" s="230" t="str">
        <f>Table3.110[[#This Row],[Tax Name]]</f>
        <v>Dendrolobium triangulare</v>
      </c>
      <c r="J38" s="230" t="str">
        <f>Table3.110[[#This Row],[Family]]</f>
        <v>Fabaceae</v>
      </c>
      <c r="K38" s="230" t="str">
        <f>Table3.110[[#This Row],[Order]]</f>
        <v>Fabales</v>
      </c>
      <c r="L38" s="230" t="str">
        <f>Table3.110[[#This Row],[Functional Group]]</f>
        <v>Tree</v>
      </c>
      <c r="M38" s="230" t="str">
        <f>Table3.110[[#This Row],[CIAT ID]]</f>
        <v>F251736</v>
      </c>
      <c r="N38" s="230">
        <f>Table3.110[[#This Row],[Set CIAT]]</f>
        <v>27</v>
      </c>
      <c r="O38" s="230">
        <f>Table3.110[[#This Row],[Batch]]</f>
        <v>58</v>
      </c>
      <c r="P38" s="230">
        <f>Table3.110[[#This Row],[Run]]</f>
        <v>1</v>
      </c>
      <c r="Q38" s="230">
        <f>Table3.110[[#This Row],[Replication]]</f>
        <v>2</v>
      </c>
      <c r="R38" s="230">
        <f>Table3.110[[#This Row],[Syrange No]]</f>
        <v>208</v>
      </c>
      <c r="S38" s="110">
        <v>0.57399999999999995</v>
      </c>
      <c r="T38" s="110">
        <v>0.97929999999999995</v>
      </c>
      <c r="U38" s="108"/>
      <c r="V38" s="254">
        <f t="shared" si="1"/>
        <v>0.40529999999999999</v>
      </c>
      <c r="W38" s="61">
        <f>Table3.110[[#This Row],[DM Incubated, mg]]-('3.2 Digest'!V38*1000)</f>
        <v>68.078173096142677</v>
      </c>
      <c r="X38" s="61">
        <f>W38/Table3.110[[#This Row],[DM Incubated, mg]]*100</f>
        <v>14.381350253408506</v>
      </c>
      <c r="Y38" s="37">
        <f>Table3.1[[#This Row],[DM Incubated, mg]]*'2.4 NDF'!R27/100</f>
        <v>328.36397991460115</v>
      </c>
      <c r="Z38" s="37">
        <f t="shared" si="2"/>
        <v>-76.936020085398866</v>
      </c>
      <c r="AA38" s="37">
        <f t="shared" si="3"/>
        <v>-23.430103419202041</v>
      </c>
      <c r="AB38" s="89"/>
    </row>
    <row r="39" spans="2:29" x14ac:dyDescent="0.35">
      <c r="B39" s="230">
        <f t="shared" si="0"/>
        <v>29</v>
      </c>
      <c r="C39" s="61">
        <v>45630</v>
      </c>
      <c r="D39" s="248">
        <f>Table3.110[[#This Row],[Date]]</f>
        <v>46041</v>
      </c>
      <c r="E39" s="230" t="str">
        <f>Table3.110[[#This Row],[Requisitioner]]</f>
        <v>Genbank</v>
      </c>
      <c r="F39" s="230" t="str">
        <f>Table3.110[[#This Row],[Gene Bank ID]]</f>
        <v>CIAT-23108</v>
      </c>
      <c r="G39" s="230" t="str">
        <f>Table3.110[[#This Row],[Genus]]</f>
        <v>Dendrolobium</v>
      </c>
      <c r="H39" s="230" t="str">
        <f>Table3.110[[#This Row],[Species]]</f>
        <v>triangulare</v>
      </c>
      <c r="I39" s="230" t="str">
        <f>Table3.110[[#This Row],[Tax Name]]</f>
        <v>Dendrolobium triangulare</v>
      </c>
      <c r="J39" s="230" t="str">
        <f>Table3.110[[#This Row],[Family]]</f>
        <v>Fabaceae</v>
      </c>
      <c r="K39" s="230" t="str">
        <f>Table3.110[[#This Row],[Order]]</f>
        <v>Fabales</v>
      </c>
      <c r="L39" s="230" t="str">
        <f>Table3.110[[#This Row],[Functional Group]]</f>
        <v>Tree</v>
      </c>
      <c r="M39" s="230" t="str">
        <f>Table3.110[[#This Row],[CIAT ID]]</f>
        <v>F251736</v>
      </c>
      <c r="N39" s="230">
        <f>Table3.110[[#This Row],[Set CIAT]]</f>
        <v>27</v>
      </c>
      <c r="O39" s="230">
        <f>Table3.110[[#This Row],[Batch]]</f>
        <v>58</v>
      </c>
      <c r="P39" s="230">
        <f>Table3.110[[#This Row],[Run]]</f>
        <v>1</v>
      </c>
      <c r="Q39" s="230">
        <f>Table3.110[[#This Row],[Replication]]</f>
        <v>3</v>
      </c>
      <c r="R39" s="230">
        <f>Table3.110[[#This Row],[Syrange No]]</f>
        <v>209</v>
      </c>
      <c r="S39" s="265">
        <v>0.57469999999999999</v>
      </c>
      <c r="T39" s="265">
        <v>1.0430999999999999</v>
      </c>
      <c r="U39" s="108"/>
      <c r="V39" s="254"/>
      <c r="W39" s="61"/>
      <c r="X39" s="61"/>
      <c r="Y39" s="37"/>
      <c r="Z39" s="37"/>
      <c r="AA39" s="37"/>
      <c r="AB39" s="89"/>
    </row>
    <row r="40" spans="2:29" x14ac:dyDescent="0.35">
      <c r="B40" s="230">
        <f t="shared" si="0"/>
        <v>30</v>
      </c>
      <c r="C40" s="61">
        <v>45630</v>
      </c>
      <c r="D40" s="248">
        <f>Table3.110[[#This Row],[Date]]</f>
        <v>46041</v>
      </c>
      <c r="E40" s="230" t="str">
        <f>Table3.110[[#This Row],[Requisitioner]]</f>
        <v>Genbank</v>
      </c>
      <c r="F40" s="230" t="str">
        <f>Table3.110[[#This Row],[Gene Bank ID]]</f>
        <v>CIAT-23412</v>
      </c>
      <c r="G40" s="230" t="str">
        <f>Table3.110[[#This Row],[Genus]]</f>
        <v>Dendrolobium</v>
      </c>
      <c r="H40" s="230" t="str">
        <f>Table3.110[[#This Row],[Species]]</f>
        <v>triangulare</v>
      </c>
      <c r="I40" s="230" t="str">
        <f>Table3.110[[#This Row],[Tax Name]]</f>
        <v>Dendrolobium triangulare</v>
      </c>
      <c r="J40" s="230" t="str">
        <f>Table3.110[[#This Row],[Family]]</f>
        <v>Fabaceae</v>
      </c>
      <c r="K40" s="230" t="str">
        <f>Table3.110[[#This Row],[Order]]</f>
        <v>Fabales</v>
      </c>
      <c r="L40" s="230" t="str">
        <f>Table3.110[[#This Row],[Functional Group]]</f>
        <v>Tree</v>
      </c>
      <c r="M40" s="230" t="str">
        <f>Table3.110[[#This Row],[CIAT ID]]</f>
        <v>F251737</v>
      </c>
      <c r="N40" s="230">
        <f>Table3.110[[#This Row],[Set CIAT]]</f>
        <v>27</v>
      </c>
      <c r="O40" s="230">
        <f>Table3.110[[#This Row],[Batch]]</f>
        <v>58</v>
      </c>
      <c r="P40" s="230">
        <f>Table3.110[[#This Row],[Run]]</f>
        <v>1</v>
      </c>
      <c r="Q40" s="230">
        <f>Table3.110[[#This Row],[Replication]]</f>
        <v>1</v>
      </c>
      <c r="R40" s="230">
        <f>Table3.110[[#This Row],[Syrange No]]</f>
        <v>210</v>
      </c>
      <c r="S40" s="110">
        <v>0.59740000000000004</v>
      </c>
      <c r="T40" s="110">
        <v>0.97009999999999996</v>
      </c>
      <c r="U40" s="108"/>
      <c r="V40" s="254">
        <f t="shared" si="1"/>
        <v>0.37269999999999992</v>
      </c>
      <c r="W40" s="61">
        <f>Table3.110[[#This Row],[DM Incubated, mg]]-('3.2 Digest'!V40*1000)</f>
        <v>98.238223330122537</v>
      </c>
      <c r="X40" s="61">
        <f>W40/Table3.110[[#This Row],[DM Incubated, mg]]*100</f>
        <v>20.860108282452714</v>
      </c>
      <c r="Y40" s="37">
        <f>Table3.1[[#This Row],[DM Incubated, mg]]*'2.4 NDF'!R29/100</f>
        <v>292.62295856251825</v>
      </c>
      <c r="Z40" s="37">
        <f t="shared" si="2"/>
        <v>-80.077041437481682</v>
      </c>
      <c r="AA40" s="37">
        <f t="shared" si="3"/>
        <v>-27.365262736339059</v>
      </c>
      <c r="AB40" s="89"/>
    </row>
    <row r="41" spans="2:29" x14ac:dyDescent="0.35">
      <c r="B41" s="230">
        <f t="shared" si="0"/>
        <v>31</v>
      </c>
      <c r="C41" s="61">
        <v>45630</v>
      </c>
      <c r="D41" s="248">
        <f>Table3.110[[#This Row],[Date]]</f>
        <v>46041</v>
      </c>
      <c r="E41" s="230" t="str">
        <f>Table3.110[[#This Row],[Requisitioner]]</f>
        <v>Genbank</v>
      </c>
      <c r="F41" s="230" t="str">
        <f>Table3.110[[#This Row],[Gene Bank ID]]</f>
        <v>CIAT-23412</v>
      </c>
      <c r="G41" s="230" t="str">
        <f>Table3.110[[#This Row],[Genus]]</f>
        <v>Dendrolobium</v>
      </c>
      <c r="H41" s="230" t="str">
        <f>Table3.110[[#This Row],[Species]]</f>
        <v>triangulare</v>
      </c>
      <c r="I41" s="230" t="str">
        <f>Table3.110[[#This Row],[Tax Name]]</f>
        <v>Dendrolobium triangulare</v>
      </c>
      <c r="J41" s="230" t="str">
        <f>Table3.110[[#This Row],[Family]]</f>
        <v>Fabaceae</v>
      </c>
      <c r="K41" s="230" t="str">
        <f>Table3.110[[#This Row],[Order]]</f>
        <v>Fabales</v>
      </c>
      <c r="L41" s="230" t="str">
        <f>Table3.110[[#This Row],[Functional Group]]</f>
        <v>Tree</v>
      </c>
      <c r="M41" s="230" t="str">
        <f>Table3.110[[#This Row],[CIAT ID]]</f>
        <v>F251737</v>
      </c>
      <c r="N41" s="230">
        <f>Table3.110[[#This Row],[Set CIAT]]</f>
        <v>27</v>
      </c>
      <c r="O41" s="230">
        <f>Table3.110[[#This Row],[Batch]]</f>
        <v>58</v>
      </c>
      <c r="P41" s="230">
        <f>Table3.110[[#This Row],[Run]]</f>
        <v>1</v>
      </c>
      <c r="Q41" s="230">
        <f>Table3.110[[#This Row],[Replication]]</f>
        <v>2</v>
      </c>
      <c r="R41" s="230">
        <f>Table3.110[[#This Row],[Syrange No]]</f>
        <v>211</v>
      </c>
      <c r="S41" s="265">
        <v>0.5827</v>
      </c>
      <c r="T41" s="265">
        <v>0.94699999999999995</v>
      </c>
      <c r="U41" s="108"/>
      <c r="V41" s="254">
        <f t="shared" si="1"/>
        <v>0.36429999999999996</v>
      </c>
      <c r="W41" s="61">
        <f>Table3.110[[#This Row],[DM Incubated, mg]]-('3.2 Digest'!V41*1000)</f>
        <v>107.29753684278478</v>
      </c>
      <c r="X41" s="61">
        <f>W41/Table3.110[[#This Row],[DM Incubated, mg]]*100</f>
        <v>22.751929020052174</v>
      </c>
      <c r="Y41" s="37">
        <f>Table3.1[[#This Row],[DM Incubated, mg]]*'2.4 NDF'!R29/100</f>
        <v>293.03263070450583</v>
      </c>
      <c r="Z41" s="37">
        <f t="shared" si="2"/>
        <v>-71.26736929549412</v>
      </c>
      <c r="AA41" s="37">
        <f t="shared" si="3"/>
        <v>-24.320625701019676</v>
      </c>
      <c r="AB41" s="89"/>
    </row>
    <row r="42" spans="2:29" x14ac:dyDescent="0.35">
      <c r="B42" s="230">
        <f t="shared" si="0"/>
        <v>32</v>
      </c>
      <c r="C42" s="61">
        <v>45630</v>
      </c>
      <c r="D42" s="248">
        <f>Table3.110[[#This Row],[Date]]</f>
        <v>46041</v>
      </c>
      <c r="E42" s="230" t="str">
        <f>Table3.110[[#This Row],[Requisitioner]]</f>
        <v>Genbank</v>
      </c>
      <c r="F42" s="230" t="str">
        <f>Table3.110[[#This Row],[Gene Bank ID]]</f>
        <v>CIAT-23412</v>
      </c>
      <c r="G42" s="230" t="str">
        <f>Table3.110[[#This Row],[Genus]]</f>
        <v>Dendrolobium</v>
      </c>
      <c r="H42" s="230" t="str">
        <f>Table3.110[[#This Row],[Species]]</f>
        <v>triangulare</v>
      </c>
      <c r="I42" s="230" t="str">
        <f>Table3.110[[#This Row],[Tax Name]]</f>
        <v>Dendrolobium triangulare</v>
      </c>
      <c r="J42" s="230" t="str">
        <f>Table3.110[[#This Row],[Family]]</f>
        <v>Fabaceae</v>
      </c>
      <c r="K42" s="230" t="str">
        <f>Table3.110[[#This Row],[Order]]</f>
        <v>Fabales</v>
      </c>
      <c r="L42" s="230" t="str">
        <f>Table3.110[[#This Row],[Functional Group]]</f>
        <v>Tree</v>
      </c>
      <c r="M42" s="230" t="str">
        <f>Table3.110[[#This Row],[CIAT ID]]</f>
        <v>F251737</v>
      </c>
      <c r="N42" s="230">
        <f>Table3.110[[#This Row],[Set CIAT]]</f>
        <v>27</v>
      </c>
      <c r="O42" s="230">
        <f>Table3.110[[#This Row],[Batch]]</f>
        <v>58</v>
      </c>
      <c r="P42" s="230">
        <f>Table3.110[[#This Row],[Run]]</f>
        <v>1</v>
      </c>
      <c r="Q42" s="230">
        <f>Table3.110[[#This Row],[Replication]]</f>
        <v>3</v>
      </c>
      <c r="R42" s="230">
        <f>Table3.110[[#This Row],[Syrange No]]</f>
        <v>212</v>
      </c>
      <c r="S42" s="110">
        <v>0.56630000000000003</v>
      </c>
      <c r="T42" s="110">
        <v>0.93340000000000001</v>
      </c>
      <c r="U42" s="108"/>
      <c r="V42" s="254">
        <f t="shared" si="1"/>
        <v>0.36709999999999998</v>
      </c>
      <c r="W42" s="61">
        <f>Table3.110[[#This Row],[DM Incubated, mg]]-('3.2 Digest'!V42*1000)</f>
        <v>104.12078626412057</v>
      </c>
      <c r="X42" s="61">
        <f>W42/Table3.110[[#This Row],[DM Incubated, mg]]*100</f>
        <v>22.095966328140833</v>
      </c>
      <c r="Y42" s="37">
        <f>Table3.1[[#This Row],[DM Incubated, mg]]*'2.4 NDF'!R29/100</f>
        <v>292.79853233765573</v>
      </c>
      <c r="Z42" s="37">
        <f t="shared" si="2"/>
        <v>-74.301467662344237</v>
      </c>
      <c r="AA42" s="37">
        <f t="shared" si="3"/>
        <v>-25.376311509874533</v>
      </c>
      <c r="AB42" s="89"/>
    </row>
    <row r="43" spans="2:29" x14ac:dyDescent="0.35">
      <c r="B43" s="230">
        <f t="shared" si="0"/>
        <v>33</v>
      </c>
      <c r="C43" s="61">
        <v>45630</v>
      </c>
      <c r="D43" s="248">
        <f>Table3.110[[#This Row],[Date]]</f>
        <v>46041</v>
      </c>
      <c r="E43" s="230" t="str">
        <f>Table3.110[[#This Row],[Requisitioner]]</f>
        <v>Genbank</v>
      </c>
      <c r="F43" s="230" t="str">
        <f>Table3.110[[#This Row],[Gene Bank ID]]</f>
        <v>CIAT-23413</v>
      </c>
      <c r="G43" s="230" t="str">
        <f>Table3.110[[#This Row],[Genus]]</f>
        <v>Dendrolobium</v>
      </c>
      <c r="H43" s="230" t="str">
        <f>Table3.110[[#This Row],[Species]]</f>
        <v>triangulare</v>
      </c>
      <c r="I43" s="230" t="str">
        <f>Table3.110[[#This Row],[Tax Name]]</f>
        <v>Dendrolobium triangulare</v>
      </c>
      <c r="J43" s="230" t="str">
        <f>Table3.110[[#This Row],[Family]]</f>
        <v>Fabaceae</v>
      </c>
      <c r="K43" s="230" t="str">
        <f>Table3.110[[#This Row],[Order]]</f>
        <v>Fabales</v>
      </c>
      <c r="L43" s="230" t="str">
        <f>Table3.110[[#This Row],[Functional Group]]</f>
        <v>Tree</v>
      </c>
      <c r="M43" s="230" t="str">
        <f>Table3.110[[#This Row],[CIAT ID]]</f>
        <v>F251738</v>
      </c>
      <c r="N43" s="230">
        <f>Table3.110[[#This Row],[Set CIAT]]</f>
        <v>27</v>
      </c>
      <c r="O43" s="230">
        <f>Table3.110[[#This Row],[Batch]]</f>
        <v>58</v>
      </c>
      <c r="P43" s="230">
        <f>Table3.110[[#This Row],[Run]]</f>
        <v>1</v>
      </c>
      <c r="Q43" s="230">
        <f>Table3.110[[#This Row],[Replication]]</f>
        <v>1</v>
      </c>
      <c r="R43" s="230">
        <f>Table3.110[[#This Row],[Syrange No]]</f>
        <v>213</v>
      </c>
      <c r="S43" s="265">
        <v>0.58640000000000003</v>
      </c>
      <c r="T43" s="265">
        <v>0.94530000000000003</v>
      </c>
      <c r="U43" s="108" t="s">
        <v>580</v>
      </c>
      <c r="V43" s="254">
        <f t="shared" si="1"/>
        <v>0.3589</v>
      </c>
      <c r="W43" s="61">
        <f>Table3.110[[#This Row],[DM Incubated, mg]]-('3.2 Digest'!V43*1000)</f>
        <v>108.73335711610764</v>
      </c>
      <c r="X43" s="61">
        <f>W43/Table3.110[[#This Row],[DM Incubated, mg]]*100</f>
        <v>23.251839386878999</v>
      </c>
      <c r="Y43" s="37">
        <f>Table3.1[[#This Row],[DM Incubated, mg]]*'2.4 NDF'!R31/100</f>
        <v>280.45448135842531</v>
      </c>
      <c r="Z43" s="37">
        <f t="shared" si="2"/>
        <v>-78.445518641574665</v>
      </c>
      <c r="AA43" s="37">
        <f t="shared" si="3"/>
        <v>-27.970855827160072</v>
      </c>
      <c r="AB43" s="89"/>
    </row>
    <row r="44" spans="2:29" x14ac:dyDescent="0.35">
      <c r="B44" s="230">
        <f t="shared" si="0"/>
        <v>34</v>
      </c>
      <c r="C44" s="61">
        <v>45630</v>
      </c>
      <c r="D44" s="248">
        <f>Table3.110[[#This Row],[Date]]</f>
        <v>46041</v>
      </c>
      <c r="E44" s="230" t="str">
        <f>Table3.110[[#This Row],[Requisitioner]]</f>
        <v>Genbank</v>
      </c>
      <c r="F44" s="230" t="str">
        <f>Table3.110[[#This Row],[Gene Bank ID]]</f>
        <v>CIAT-23413</v>
      </c>
      <c r="G44" s="230" t="str">
        <f>Table3.110[[#This Row],[Genus]]</f>
        <v>Dendrolobium</v>
      </c>
      <c r="H44" s="230" t="str">
        <f>Table3.110[[#This Row],[Species]]</f>
        <v>triangulare</v>
      </c>
      <c r="I44" s="230" t="str">
        <f>Table3.110[[#This Row],[Tax Name]]</f>
        <v>Dendrolobium triangulare</v>
      </c>
      <c r="J44" s="230" t="str">
        <f>Table3.110[[#This Row],[Family]]</f>
        <v>Fabaceae</v>
      </c>
      <c r="K44" s="230" t="str">
        <f>Table3.110[[#This Row],[Order]]</f>
        <v>Fabales</v>
      </c>
      <c r="L44" s="230" t="str">
        <f>Table3.110[[#This Row],[Functional Group]]</f>
        <v>Tree</v>
      </c>
      <c r="M44" s="230" t="str">
        <f>Table3.110[[#This Row],[CIAT ID]]</f>
        <v>F251738</v>
      </c>
      <c r="N44" s="230">
        <f>Table3.110[[#This Row],[Set CIAT]]</f>
        <v>27</v>
      </c>
      <c r="O44" s="230">
        <f>Table3.110[[#This Row],[Batch]]</f>
        <v>58</v>
      </c>
      <c r="P44" s="230">
        <f>Table3.110[[#This Row],[Run]]</f>
        <v>1</v>
      </c>
      <c r="Q44" s="230">
        <f>Table3.110[[#This Row],[Replication]]</f>
        <v>2</v>
      </c>
      <c r="R44" s="230">
        <f>Table3.110[[#This Row],[Syrange No]]</f>
        <v>214</v>
      </c>
      <c r="S44" s="110">
        <v>0.55010000000000003</v>
      </c>
      <c r="T44" s="110">
        <v>0.90010000000000001</v>
      </c>
      <c r="U44" s="108"/>
      <c r="V44" s="254">
        <f t="shared" si="1"/>
        <v>0.35</v>
      </c>
      <c r="W44" s="61">
        <f>Table3.110[[#This Row],[DM Incubated, mg]]-('3.2 Digest'!V44*1000)</f>
        <v>118.10099047322365</v>
      </c>
      <c r="X44" s="61">
        <f>W44/Table3.110[[#This Row],[DM Incubated, mg]]*100</f>
        <v>25.229809993315804</v>
      </c>
      <c r="Y44" s="37">
        <f>Table3.1[[#This Row],[DM Incubated, mg]]*'2.4 NDF'!R31/100</f>
        <v>280.7349358397837</v>
      </c>
      <c r="Z44" s="37">
        <f t="shared" si="2"/>
        <v>-69.265064160216298</v>
      </c>
      <c r="AA44" s="37">
        <f t="shared" si="3"/>
        <v>-24.672762566232969</v>
      </c>
      <c r="AB44" s="89"/>
    </row>
    <row r="45" spans="2:29" x14ac:dyDescent="0.35">
      <c r="B45" s="230">
        <f t="shared" si="0"/>
        <v>35</v>
      </c>
      <c r="C45" s="61">
        <v>45630</v>
      </c>
      <c r="D45" s="248">
        <f>Table3.110[[#This Row],[Date]]</f>
        <v>46041</v>
      </c>
      <c r="E45" s="230" t="str">
        <f>Table3.110[[#This Row],[Requisitioner]]</f>
        <v>Genbank</v>
      </c>
      <c r="F45" s="230" t="str">
        <f>Table3.110[[#This Row],[Gene Bank ID]]</f>
        <v>CIAT-23413</v>
      </c>
      <c r="G45" s="230" t="str">
        <f>Table3.110[[#This Row],[Genus]]</f>
        <v>Dendrolobium</v>
      </c>
      <c r="H45" s="230" t="str">
        <f>Table3.110[[#This Row],[Species]]</f>
        <v>triangulare</v>
      </c>
      <c r="I45" s="230" t="str">
        <f>Table3.110[[#This Row],[Tax Name]]</f>
        <v>Dendrolobium triangulare</v>
      </c>
      <c r="J45" s="230" t="str">
        <f>Table3.110[[#This Row],[Family]]</f>
        <v>Fabaceae</v>
      </c>
      <c r="K45" s="230" t="str">
        <f>Table3.110[[#This Row],[Order]]</f>
        <v>Fabales</v>
      </c>
      <c r="L45" s="230" t="str">
        <f>Table3.110[[#This Row],[Functional Group]]</f>
        <v>Tree</v>
      </c>
      <c r="M45" s="230" t="str">
        <f>Table3.110[[#This Row],[CIAT ID]]</f>
        <v>F251738</v>
      </c>
      <c r="N45" s="230">
        <f>Table3.110[[#This Row],[Set CIAT]]</f>
        <v>27</v>
      </c>
      <c r="O45" s="230">
        <f>Table3.110[[#This Row],[Batch]]</f>
        <v>58</v>
      </c>
      <c r="P45" s="230">
        <f>Table3.110[[#This Row],[Run]]</f>
        <v>1</v>
      </c>
      <c r="Q45" s="230">
        <f>Table3.110[[#This Row],[Replication]]</f>
        <v>3</v>
      </c>
      <c r="R45" s="230">
        <f>Table3.110[[#This Row],[Syrange No]]</f>
        <v>215</v>
      </c>
      <c r="S45" s="265">
        <v>0.56489999999999996</v>
      </c>
      <c r="T45" s="265">
        <v>0.91300000000000003</v>
      </c>
      <c r="U45" s="108" t="s">
        <v>679</v>
      </c>
      <c r="V45" s="254">
        <f t="shared" si="1"/>
        <v>0.34810000000000008</v>
      </c>
      <c r="W45" s="61">
        <f>Table3.110[[#This Row],[DM Incubated, mg]]-('3.2 Digest'!V45*1000)</f>
        <v>119.62688378753074</v>
      </c>
      <c r="X45" s="61">
        <f>W45/Table3.110[[#This Row],[DM Incubated, mg]]*100</f>
        <v>25.576225770651305</v>
      </c>
      <c r="Y45" s="37">
        <f>Table3.1[[#This Row],[DM Incubated, mg]]*'2.4 NDF'!R31/100</f>
        <v>280.51057225469697</v>
      </c>
      <c r="Z45" s="37">
        <f t="shared" si="2"/>
        <v>-67.589427745303112</v>
      </c>
      <c r="AA45" s="37">
        <f t="shared" si="3"/>
        <v>-24.095144508112696</v>
      </c>
      <c r="AB45" s="89"/>
    </row>
    <row r="46" spans="2:29" x14ac:dyDescent="0.35">
      <c r="B46" s="230">
        <f t="shared" si="0"/>
        <v>36</v>
      </c>
      <c r="C46" s="61">
        <v>45630</v>
      </c>
      <c r="D46" s="248">
        <f>Table3.110[[#This Row],[Date]]</f>
        <v>46041</v>
      </c>
      <c r="E46" s="230" t="str">
        <f>Table3.110[[#This Row],[Requisitioner]]</f>
        <v>Genbank</v>
      </c>
      <c r="F46" s="230" t="str">
        <f>Table3.110[[#This Row],[Gene Bank ID]]</f>
        <v>CIAT-23419</v>
      </c>
      <c r="G46" s="230" t="str">
        <f>Table3.110[[#This Row],[Genus]]</f>
        <v>Dendrolobium</v>
      </c>
      <c r="H46" s="230" t="str">
        <f>Table3.110[[#This Row],[Species]]</f>
        <v>triangulare</v>
      </c>
      <c r="I46" s="230" t="str">
        <f>Table3.110[[#This Row],[Tax Name]]</f>
        <v>Dendrolobium triangulare</v>
      </c>
      <c r="J46" s="230" t="str">
        <f>Table3.110[[#This Row],[Family]]</f>
        <v>Fabaceae</v>
      </c>
      <c r="K46" s="230" t="str">
        <f>Table3.110[[#This Row],[Order]]</f>
        <v>Fabales</v>
      </c>
      <c r="L46" s="230" t="str">
        <f>Table3.110[[#This Row],[Functional Group]]</f>
        <v>Tree</v>
      </c>
      <c r="M46" s="230" t="str">
        <f>Table3.110[[#This Row],[CIAT ID]]</f>
        <v>F251739</v>
      </c>
      <c r="N46" s="230">
        <f>Table3.110[[#This Row],[Set CIAT]]</f>
        <v>27</v>
      </c>
      <c r="O46" s="230">
        <f>Table3.110[[#This Row],[Batch]]</f>
        <v>58</v>
      </c>
      <c r="P46" s="230">
        <f>Table3.110[[#This Row],[Run]]</f>
        <v>1</v>
      </c>
      <c r="Q46" s="230">
        <f>Table3.110[[#This Row],[Replication]]</f>
        <v>1</v>
      </c>
      <c r="R46" s="230">
        <f>Table3.110[[#This Row],[Syrange No]]</f>
        <v>216</v>
      </c>
      <c r="S46" s="110">
        <v>0.58040000000000003</v>
      </c>
      <c r="T46" s="110">
        <v>0.95709999999999995</v>
      </c>
      <c r="U46" s="108"/>
      <c r="V46" s="254">
        <f t="shared" si="1"/>
        <v>0.37669999999999992</v>
      </c>
      <c r="W46" s="61">
        <f>Table3.110[[#This Row],[DM Incubated, mg]]-('3.2 Digest'!V46*1000)</f>
        <v>93.369029600464842</v>
      </c>
      <c r="X46" s="61">
        <f>W46/Table3.110[[#This Row],[DM Incubated, mg]]*100</f>
        <v>19.862833694834961</v>
      </c>
      <c r="Y46" s="37">
        <f>Table3.1[[#This Row],[DM Incubated, mg]]*'2.4 NDF'!R33/100</f>
        <v>282.15071892934463</v>
      </c>
      <c r="Z46" s="37">
        <f t="shared" si="2"/>
        <v>-94.549281070655297</v>
      </c>
      <c r="AA46" s="37">
        <f t="shared" si="3"/>
        <v>-33.510203847586887</v>
      </c>
      <c r="AB46" s="89"/>
    </row>
    <row r="47" spans="2:29" x14ac:dyDescent="0.35">
      <c r="B47" s="230">
        <f t="shared" si="0"/>
        <v>37</v>
      </c>
      <c r="C47" s="61">
        <v>45630</v>
      </c>
      <c r="D47" s="248">
        <f>Table3.110[[#This Row],[Date]]</f>
        <v>46041</v>
      </c>
      <c r="E47" s="230" t="str">
        <f>Table3.110[[#This Row],[Requisitioner]]</f>
        <v>Genbank</v>
      </c>
      <c r="F47" s="230" t="str">
        <f>Table3.110[[#This Row],[Gene Bank ID]]</f>
        <v>CIAT-23419</v>
      </c>
      <c r="G47" s="230" t="str">
        <f>Table3.110[[#This Row],[Genus]]</f>
        <v>Dendrolobium</v>
      </c>
      <c r="H47" s="230" t="str">
        <f>Table3.110[[#This Row],[Species]]</f>
        <v>triangulare</v>
      </c>
      <c r="I47" s="230" t="str">
        <f>Table3.110[[#This Row],[Tax Name]]</f>
        <v>Dendrolobium triangulare</v>
      </c>
      <c r="J47" s="230" t="str">
        <f>Table3.110[[#This Row],[Family]]</f>
        <v>Fabaceae</v>
      </c>
      <c r="K47" s="230" t="str">
        <f>Table3.110[[#This Row],[Order]]</f>
        <v>Fabales</v>
      </c>
      <c r="L47" s="230" t="str">
        <f>Table3.110[[#This Row],[Functional Group]]</f>
        <v>Tree</v>
      </c>
      <c r="M47" s="230" t="str">
        <f>Table3.110[[#This Row],[CIAT ID]]</f>
        <v>F251739</v>
      </c>
      <c r="N47" s="230">
        <f>Table3.110[[#This Row],[Set CIAT]]</f>
        <v>27</v>
      </c>
      <c r="O47" s="230">
        <f>Table3.110[[#This Row],[Batch]]</f>
        <v>58</v>
      </c>
      <c r="P47" s="230">
        <f>Table3.110[[#This Row],[Run]]</f>
        <v>1</v>
      </c>
      <c r="Q47" s="230">
        <f>Table3.110[[#This Row],[Replication]]</f>
        <v>2</v>
      </c>
      <c r="R47" s="230">
        <f>Table3.110[[#This Row],[Syrange No]]</f>
        <v>217</v>
      </c>
      <c r="S47" s="265">
        <v>0.58140000000000003</v>
      </c>
      <c r="T47" s="265">
        <v>0.96140000000000003</v>
      </c>
      <c r="U47" s="108"/>
      <c r="V47" s="254">
        <f t="shared" si="1"/>
        <v>0.38</v>
      </c>
      <c r="W47" s="61">
        <f>Table3.110[[#This Row],[DM Incubated, mg]]-('3.2 Digest'!V47*1000)</f>
        <v>90.350901894848448</v>
      </c>
      <c r="X47" s="61">
        <f>W47/Table3.110[[#This Row],[DM Incubated, mg]]*100</f>
        <v>19.20925452271106</v>
      </c>
      <c r="Y47" s="37">
        <f>Table3.1[[#This Row],[DM Incubated, mg]]*'2.4 NDF'!R33/100</f>
        <v>282.31990784735149</v>
      </c>
      <c r="Z47" s="37">
        <f t="shared" si="2"/>
        <v>-97.680092152648513</v>
      </c>
      <c r="AA47" s="37">
        <f t="shared" si="3"/>
        <v>-34.599080489025766</v>
      </c>
      <c r="AB47" s="89"/>
    </row>
    <row r="48" spans="2:29" x14ac:dyDescent="0.35">
      <c r="B48" s="230">
        <f t="shared" si="0"/>
        <v>38</v>
      </c>
      <c r="C48" s="61">
        <v>45630</v>
      </c>
      <c r="D48" s="248">
        <f>Table3.110[[#This Row],[Date]]</f>
        <v>46041</v>
      </c>
      <c r="E48" s="230" t="str">
        <f>Table3.110[[#This Row],[Requisitioner]]</f>
        <v>Genbank</v>
      </c>
      <c r="F48" s="230" t="str">
        <f>Table3.110[[#This Row],[Gene Bank ID]]</f>
        <v>CIAT-23419</v>
      </c>
      <c r="G48" s="230" t="str">
        <f>Table3.110[[#This Row],[Genus]]</f>
        <v>Dendrolobium</v>
      </c>
      <c r="H48" s="230" t="str">
        <f>Table3.110[[#This Row],[Species]]</f>
        <v>triangulare</v>
      </c>
      <c r="I48" s="230" t="str">
        <f>Table3.110[[#This Row],[Tax Name]]</f>
        <v>Dendrolobium triangulare</v>
      </c>
      <c r="J48" s="230" t="str">
        <f>Table3.110[[#This Row],[Family]]</f>
        <v>Fabaceae</v>
      </c>
      <c r="K48" s="230" t="str">
        <f>Table3.110[[#This Row],[Order]]</f>
        <v>Fabales</v>
      </c>
      <c r="L48" s="230" t="str">
        <f>Table3.110[[#This Row],[Functional Group]]</f>
        <v>Tree</v>
      </c>
      <c r="M48" s="230" t="str">
        <f>Table3.110[[#This Row],[CIAT ID]]</f>
        <v>F251739</v>
      </c>
      <c r="N48" s="230">
        <f>Table3.110[[#This Row],[Set CIAT]]</f>
        <v>27</v>
      </c>
      <c r="O48" s="230">
        <f>Table3.110[[#This Row],[Batch]]</f>
        <v>58</v>
      </c>
      <c r="P48" s="230">
        <f>Table3.110[[#This Row],[Run]]</f>
        <v>1</v>
      </c>
      <c r="Q48" s="230">
        <f>Table3.110[[#This Row],[Replication]]</f>
        <v>3</v>
      </c>
      <c r="R48" s="230">
        <f>Table3.110[[#This Row],[Syrange No]]</f>
        <v>218</v>
      </c>
      <c r="S48" s="110">
        <v>0.57589999999999997</v>
      </c>
      <c r="T48" s="110">
        <v>0.98180000000000001</v>
      </c>
      <c r="U48" s="108" t="s">
        <v>680</v>
      </c>
      <c r="V48" s="254">
        <f t="shared" si="1"/>
        <v>0.40590000000000004</v>
      </c>
      <c r="W48" s="61">
        <f>Table3.110[[#This Row],[DM Incubated, mg]]-('3.2 Digest'!V48*1000)</f>
        <v>64.075072169003533</v>
      </c>
      <c r="X48" s="61">
        <f>W48/Table3.110[[#This Row],[DM Incubated, mg]]*100</f>
        <v>13.633717182761998</v>
      </c>
      <c r="Y48" s="37">
        <f>Table3.1[[#This Row],[DM Incubated, mg]]*'2.4 NDF'!R33/100</f>
        <v>282.09432262334241</v>
      </c>
      <c r="Z48" s="37">
        <f t="shared" si="2"/>
        <v>-123.80567737665763</v>
      </c>
      <c r="AA48" s="37">
        <f t="shared" si="3"/>
        <v>-43.888042916044526</v>
      </c>
      <c r="AB48" s="89"/>
    </row>
    <row r="49" spans="2:28" x14ac:dyDescent="0.35">
      <c r="B49" s="230">
        <f t="shared" si="0"/>
        <v>39</v>
      </c>
      <c r="C49" s="61">
        <v>45630</v>
      </c>
      <c r="D49" s="248">
        <f>Table3.110[[#This Row],[Date]]</f>
        <v>46041</v>
      </c>
      <c r="E49" s="230" t="str">
        <f>Table3.110[[#This Row],[Requisitioner]]</f>
        <v>Genbank</v>
      </c>
      <c r="F49" s="230" t="str">
        <f>Table3.110[[#This Row],[Gene Bank ID]]</f>
        <v>CIAT-23422</v>
      </c>
      <c r="G49" s="230" t="str">
        <f>Table3.110[[#This Row],[Genus]]</f>
        <v>Dendrolobium</v>
      </c>
      <c r="H49" s="230" t="str">
        <f>Table3.110[[#This Row],[Species]]</f>
        <v>triangulare</v>
      </c>
      <c r="I49" s="230" t="str">
        <f>Table3.110[[#This Row],[Tax Name]]</f>
        <v>Dendrolobium triangulare</v>
      </c>
      <c r="J49" s="230" t="str">
        <f>Table3.110[[#This Row],[Family]]</f>
        <v>Fabaceae</v>
      </c>
      <c r="K49" s="230" t="str">
        <f>Table3.110[[#This Row],[Order]]</f>
        <v>Fabales</v>
      </c>
      <c r="L49" s="230" t="str">
        <f>Table3.110[[#This Row],[Functional Group]]</f>
        <v>Tree</v>
      </c>
      <c r="M49" s="230" t="str">
        <f>Table3.110[[#This Row],[CIAT ID]]</f>
        <v>F251740</v>
      </c>
      <c r="N49" s="230">
        <f>Table3.110[[#This Row],[Set CIAT]]</f>
        <v>27</v>
      </c>
      <c r="O49" s="230">
        <f>Table3.110[[#This Row],[Batch]]</f>
        <v>58</v>
      </c>
      <c r="P49" s="230">
        <f>Table3.110[[#This Row],[Run]]</f>
        <v>1</v>
      </c>
      <c r="Q49" s="230">
        <f>Table3.110[[#This Row],[Replication]]</f>
        <v>1</v>
      </c>
      <c r="R49" s="230">
        <f>Table3.110[[#This Row],[Syrange No]]</f>
        <v>219</v>
      </c>
      <c r="S49" s="265">
        <v>0.57230000000000003</v>
      </c>
      <c r="T49" s="265">
        <v>0.93969999999999998</v>
      </c>
      <c r="U49" s="108"/>
      <c r="V49" s="254">
        <f t="shared" si="1"/>
        <v>0.36739999999999995</v>
      </c>
      <c r="W49" s="61">
        <f>Table3.110[[#This Row],[DM Incubated, mg]]-('3.2 Digest'!V49*1000)</f>
        <v>92.162818257020547</v>
      </c>
      <c r="X49" s="61">
        <f>W49/Table3.110[[#This Row],[DM Incubated, mg]]*100</f>
        <v>20.054454928831184</v>
      </c>
      <c r="Y49" s="37">
        <f>Table3.1[[#This Row],[DM Incubated, mg]]*'2.4 NDF'!R35/100</f>
        <v>274.34318746317308</v>
      </c>
      <c r="Z49" s="37">
        <f t="shared" si="2"/>
        <v>-93.056812536826897</v>
      </c>
      <c r="AA49" s="37">
        <f t="shared" si="3"/>
        <v>-33.919855418067755</v>
      </c>
      <c r="AB49" s="89"/>
    </row>
    <row r="50" spans="2:28" x14ac:dyDescent="0.35">
      <c r="B50" s="230">
        <f t="shared" si="0"/>
        <v>40</v>
      </c>
      <c r="C50" s="61">
        <v>45630</v>
      </c>
      <c r="D50" s="248">
        <f>Table3.110[[#This Row],[Date]]</f>
        <v>46041</v>
      </c>
      <c r="E50" s="230" t="str">
        <f>Table3.110[[#This Row],[Requisitioner]]</f>
        <v>Genbank</v>
      </c>
      <c r="F50" s="230" t="str">
        <f>Table3.110[[#This Row],[Gene Bank ID]]</f>
        <v>CIAT-23422</v>
      </c>
      <c r="G50" s="230" t="str">
        <f>Table3.110[[#This Row],[Genus]]</f>
        <v>Dendrolobium</v>
      </c>
      <c r="H50" s="230" t="str">
        <f>Table3.110[[#This Row],[Species]]</f>
        <v>triangulare</v>
      </c>
      <c r="I50" s="230" t="str">
        <f>Table3.110[[#This Row],[Tax Name]]</f>
        <v>Dendrolobium triangulare</v>
      </c>
      <c r="J50" s="230" t="str">
        <f>Table3.110[[#This Row],[Family]]</f>
        <v>Fabaceae</v>
      </c>
      <c r="K50" s="230" t="str">
        <f>Table3.110[[#This Row],[Order]]</f>
        <v>Fabales</v>
      </c>
      <c r="L50" s="230" t="str">
        <f>Table3.110[[#This Row],[Functional Group]]</f>
        <v>Tree</v>
      </c>
      <c r="M50" s="230" t="str">
        <f>Table3.110[[#This Row],[CIAT ID]]</f>
        <v>F251740</v>
      </c>
      <c r="N50" s="230">
        <f>Table3.110[[#This Row],[Set CIAT]]</f>
        <v>27</v>
      </c>
      <c r="O50" s="230">
        <f>Table3.110[[#This Row],[Batch]]</f>
        <v>58</v>
      </c>
      <c r="P50" s="230">
        <f>Table3.110[[#This Row],[Run]]</f>
        <v>1</v>
      </c>
      <c r="Q50" s="230">
        <f>Table3.110[[#This Row],[Replication]]</f>
        <v>2</v>
      </c>
      <c r="R50" s="230">
        <f>Table3.110[[#This Row],[Syrange No]]</f>
        <v>220</v>
      </c>
      <c r="S50" s="110">
        <v>0.56289999999999996</v>
      </c>
      <c r="T50" s="110">
        <v>0.91859999999999997</v>
      </c>
      <c r="U50" s="108" t="s">
        <v>681</v>
      </c>
      <c r="V50" s="254">
        <f t="shared" si="1"/>
        <v>0.35570000000000002</v>
      </c>
      <c r="W50" s="61">
        <f>Table3.110[[#This Row],[DM Incubated, mg]]-('3.2 Digest'!V50*1000)</f>
        <v>103.86281825702054</v>
      </c>
      <c r="X50" s="61">
        <f>W50/Table3.110[[#This Row],[DM Incubated, mg]]*100</f>
        <v>22.600352798544503</v>
      </c>
      <c r="Y50" s="37">
        <f>Table3.1[[#This Row],[DM Incubated, mg]]*'2.4 NDF'!R35/100</f>
        <v>274.34318746317308</v>
      </c>
      <c r="Z50" s="37">
        <f t="shared" si="2"/>
        <v>-81.356812536826908</v>
      </c>
      <c r="AA50" s="37">
        <f t="shared" si="3"/>
        <v>-29.655124039756949</v>
      </c>
      <c r="AB50" s="89"/>
    </row>
    <row r="51" spans="2:28" x14ac:dyDescent="0.35">
      <c r="B51" s="230">
        <f t="shared" si="0"/>
        <v>41</v>
      </c>
      <c r="C51" s="61">
        <v>45630</v>
      </c>
      <c r="D51" s="248">
        <f>Table3.110[[#This Row],[Date]]</f>
        <v>46041</v>
      </c>
      <c r="E51" s="230" t="str">
        <f>Table3.110[[#This Row],[Requisitioner]]</f>
        <v>Genbank</v>
      </c>
      <c r="F51" s="230" t="str">
        <f>Table3.110[[#This Row],[Gene Bank ID]]</f>
        <v>CIAT-23422</v>
      </c>
      <c r="G51" s="230" t="str">
        <f>Table3.110[[#This Row],[Genus]]</f>
        <v>Dendrolobium</v>
      </c>
      <c r="H51" s="230" t="str">
        <f>Table3.110[[#This Row],[Species]]</f>
        <v>triangulare</v>
      </c>
      <c r="I51" s="230" t="str">
        <f>Table3.110[[#This Row],[Tax Name]]</f>
        <v>Dendrolobium triangulare</v>
      </c>
      <c r="J51" s="230" t="str">
        <f>Table3.110[[#This Row],[Family]]</f>
        <v>Fabaceae</v>
      </c>
      <c r="K51" s="230" t="str">
        <f>Table3.110[[#This Row],[Order]]</f>
        <v>Fabales</v>
      </c>
      <c r="L51" s="230" t="str">
        <f>Table3.110[[#This Row],[Functional Group]]</f>
        <v>Tree</v>
      </c>
      <c r="M51" s="230" t="str">
        <f>Table3.110[[#This Row],[CIAT ID]]</f>
        <v>F251740</v>
      </c>
      <c r="N51" s="230">
        <f>Table3.110[[#This Row],[Set CIAT]]</f>
        <v>27</v>
      </c>
      <c r="O51" s="230">
        <f>Table3.110[[#This Row],[Batch]]</f>
        <v>58</v>
      </c>
      <c r="P51" s="230">
        <f>Table3.110[[#This Row],[Run]]</f>
        <v>1</v>
      </c>
      <c r="Q51" s="230">
        <f>Table3.110[[#This Row],[Replication]]</f>
        <v>3</v>
      </c>
      <c r="R51" s="230">
        <f>Table3.110[[#This Row],[Syrange No]]</f>
        <v>221</v>
      </c>
      <c r="S51" s="265">
        <v>0.56850000000000001</v>
      </c>
      <c r="T51" s="265">
        <v>0.96099999999999997</v>
      </c>
      <c r="U51" s="108"/>
      <c r="V51" s="254">
        <f t="shared" si="1"/>
        <v>0.39249999999999996</v>
      </c>
      <c r="W51" s="61">
        <f>Table3.110[[#This Row],[DM Incubated, mg]]-('3.2 Digest'!V51*1000)</f>
        <v>67.246533155384327</v>
      </c>
      <c r="X51" s="61">
        <f>W51/Table3.110[[#This Row],[DM Incubated, mg]]*100</f>
        <v>14.626871179180043</v>
      </c>
      <c r="Y51" s="37">
        <f>Table3.1[[#This Row],[DM Incubated, mg]]*'2.4 NDF'!R35/100</f>
        <v>274.45285893527506</v>
      </c>
      <c r="Z51" s="37">
        <f t="shared" si="2"/>
        <v>-118.04714106472488</v>
      </c>
      <c r="AA51" s="37">
        <f t="shared" si="3"/>
        <v>-43.011809577310416</v>
      </c>
      <c r="AB51" s="89"/>
    </row>
    <row r="52" spans="2:28" x14ac:dyDescent="0.35">
      <c r="B52" s="230">
        <f t="shared" si="0"/>
        <v>42</v>
      </c>
      <c r="C52" s="61">
        <v>45630</v>
      </c>
      <c r="D52" s="248">
        <f>Table3.110[[#This Row],[Date]]</f>
        <v>46041</v>
      </c>
      <c r="E52" s="230" t="str">
        <f>Table3.110[[#This Row],[Requisitioner]]</f>
        <v>Genbank</v>
      </c>
      <c r="F52" s="230" t="str">
        <f>Table3.110[[#This Row],[Gene Bank ID]]</f>
        <v>CIAT-23734</v>
      </c>
      <c r="G52" s="230" t="str">
        <f>Table3.110[[#This Row],[Genus]]</f>
        <v>Dendrolobium</v>
      </c>
      <c r="H52" s="230" t="str">
        <f>Table3.110[[#This Row],[Species]]</f>
        <v>triangulare</v>
      </c>
      <c r="I52" s="230" t="str">
        <f>Table3.110[[#This Row],[Tax Name]]</f>
        <v>Dendrolobium triangulare</v>
      </c>
      <c r="J52" s="230" t="str">
        <f>Table3.110[[#This Row],[Family]]</f>
        <v>Fabaceae</v>
      </c>
      <c r="K52" s="230" t="str">
        <f>Table3.110[[#This Row],[Order]]</f>
        <v>Fabales</v>
      </c>
      <c r="L52" s="230" t="str">
        <f>Table3.110[[#This Row],[Functional Group]]</f>
        <v>Tree</v>
      </c>
      <c r="M52" s="230" t="str">
        <f>Table3.110[[#This Row],[CIAT ID]]</f>
        <v>F251741</v>
      </c>
      <c r="N52" s="230">
        <f>Table3.110[[#This Row],[Set CIAT]]</f>
        <v>27</v>
      </c>
      <c r="O52" s="230">
        <f>Table3.110[[#This Row],[Batch]]</f>
        <v>58</v>
      </c>
      <c r="P52" s="230">
        <f>Table3.110[[#This Row],[Run]]</f>
        <v>1</v>
      </c>
      <c r="Q52" s="230">
        <f>Table3.110[[#This Row],[Replication]]</f>
        <v>1</v>
      </c>
      <c r="R52" s="230">
        <f>Table3.110[[#This Row],[Syrange No]]</f>
        <v>222</v>
      </c>
      <c r="S52" s="110">
        <v>0.59909999999999997</v>
      </c>
      <c r="T52" s="110">
        <v>0.89100000000000001</v>
      </c>
      <c r="U52" s="108"/>
      <c r="V52" s="254">
        <f t="shared" si="1"/>
        <v>0.29190000000000005</v>
      </c>
      <c r="W52" s="61">
        <f>Table3.110[[#This Row],[DM Incubated, mg]]-('3.2 Digest'!V52*1000)</f>
        <v>181.74995974360411</v>
      </c>
      <c r="X52" s="61">
        <f>W52/Table3.110[[#This Row],[DM Incubated, mg]]*100</f>
        <v>38.372210533278391</v>
      </c>
      <c r="Y52" s="37">
        <f>Table3.1[[#This Row],[DM Incubated, mg]]*'2.4 NDF'!R37/100</f>
        <v>282.77692144663035</v>
      </c>
      <c r="Z52" s="37">
        <f t="shared" si="2"/>
        <v>-9.1230785533696803</v>
      </c>
      <c r="AA52" s="37">
        <f t="shared" si="3"/>
        <v>-3.2262458006466121</v>
      </c>
      <c r="AB52" s="89"/>
    </row>
    <row r="53" spans="2:28" x14ac:dyDescent="0.35">
      <c r="B53" s="230">
        <f t="shared" si="0"/>
        <v>43</v>
      </c>
      <c r="C53" s="61">
        <v>45630</v>
      </c>
      <c r="D53" s="248">
        <f>Table3.110[[#This Row],[Date]]</f>
        <v>46041</v>
      </c>
      <c r="E53" s="230" t="str">
        <f>Table3.110[[#This Row],[Requisitioner]]</f>
        <v>Genbank</v>
      </c>
      <c r="F53" s="230" t="str">
        <f>Table3.110[[#This Row],[Gene Bank ID]]</f>
        <v>CIAT-23734</v>
      </c>
      <c r="G53" s="230" t="str">
        <f>Table3.110[[#This Row],[Genus]]</f>
        <v>Dendrolobium</v>
      </c>
      <c r="H53" s="230" t="str">
        <f>Table3.110[[#This Row],[Species]]</f>
        <v>triangulare</v>
      </c>
      <c r="I53" s="230" t="str">
        <f>Table3.110[[#This Row],[Tax Name]]</f>
        <v>Dendrolobium triangulare</v>
      </c>
      <c r="J53" s="230" t="str">
        <f>Table3.110[[#This Row],[Family]]</f>
        <v>Fabaceae</v>
      </c>
      <c r="K53" s="230" t="str">
        <f>Table3.110[[#This Row],[Order]]</f>
        <v>Fabales</v>
      </c>
      <c r="L53" s="230" t="str">
        <f>Table3.110[[#This Row],[Functional Group]]</f>
        <v>Tree</v>
      </c>
      <c r="M53" s="230" t="str">
        <f>Table3.110[[#This Row],[CIAT ID]]</f>
        <v>F251741</v>
      </c>
      <c r="N53" s="230">
        <f>Table3.110[[#This Row],[Set CIAT]]</f>
        <v>27</v>
      </c>
      <c r="O53" s="230">
        <f>Table3.110[[#This Row],[Batch]]</f>
        <v>58</v>
      </c>
      <c r="P53" s="230">
        <f>Table3.110[[#This Row],[Run]]</f>
        <v>1</v>
      </c>
      <c r="Q53" s="230">
        <f>Table3.110[[#This Row],[Replication]]</f>
        <v>2</v>
      </c>
      <c r="R53" s="230">
        <f>Table3.110[[#This Row],[Syrange No]]</f>
        <v>223</v>
      </c>
      <c r="S53" s="265">
        <v>0.56389999999999996</v>
      </c>
      <c r="T53" s="265">
        <v>0.88119999999999998</v>
      </c>
      <c r="U53" s="108"/>
      <c r="V53" s="254">
        <f t="shared" si="1"/>
        <v>0.31730000000000003</v>
      </c>
      <c r="W53" s="61">
        <f>Table3.110[[#This Row],[DM Incubated, mg]]-('3.2 Digest'!V53*1000)</f>
        <v>156.44467079334288</v>
      </c>
      <c r="X53" s="61">
        <f>W53/Table3.110[[#This Row],[DM Incubated, mg]]*100</f>
        <v>33.022993278501119</v>
      </c>
      <c r="Y53" s="37">
        <f>Table3.1[[#This Row],[DM Incubated, mg]]*'2.4 NDF'!R37/100</f>
        <v>282.83346552210458</v>
      </c>
      <c r="Z53" s="37">
        <f t="shared" si="2"/>
        <v>-34.466534477895436</v>
      </c>
      <c r="AA53" s="37">
        <f t="shared" si="3"/>
        <v>-12.18615852769436</v>
      </c>
      <c r="AB53" s="89"/>
    </row>
    <row r="54" spans="2:28" x14ac:dyDescent="0.35">
      <c r="B54" s="230">
        <f t="shared" si="0"/>
        <v>44</v>
      </c>
      <c r="C54" s="61">
        <v>45630</v>
      </c>
      <c r="D54" s="248">
        <f>Table3.110[[#This Row],[Date]]</f>
        <v>46041</v>
      </c>
      <c r="E54" s="230" t="str">
        <f>Table3.110[[#This Row],[Requisitioner]]</f>
        <v>Genbank</v>
      </c>
      <c r="F54" s="230" t="str">
        <f>Table3.110[[#This Row],[Gene Bank ID]]</f>
        <v>CIAT-23734</v>
      </c>
      <c r="G54" s="230" t="str">
        <f>Table3.110[[#This Row],[Genus]]</f>
        <v>Dendrolobium</v>
      </c>
      <c r="H54" s="230" t="str">
        <f>Table3.110[[#This Row],[Species]]</f>
        <v>triangulare</v>
      </c>
      <c r="I54" s="230" t="str">
        <f>Table3.110[[#This Row],[Tax Name]]</f>
        <v>Dendrolobium triangulare</v>
      </c>
      <c r="J54" s="230" t="str">
        <f>Table3.110[[#This Row],[Family]]</f>
        <v>Fabaceae</v>
      </c>
      <c r="K54" s="230" t="str">
        <f>Table3.110[[#This Row],[Order]]</f>
        <v>Fabales</v>
      </c>
      <c r="L54" s="230" t="str">
        <f>Table3.110[[#This Row],[Functional Group]]</f>
        <v>Tree</v>
      </c>
      <c r="M54" s="230" t="str">
        <f>Table3.110[[#This Row],[CIAT ID]]</f>
        <v>F251741</v>
      </c>
      <c r="N54" s="230">
        <f>Table3.110[[#This Row],[Set CIAT]]</f>
        <v>27</v>
      </c>
      <c r="O54" s="230">
        <f>Table3.110[[#This Row],[Batch]]</f>
        <v>58</v>
      </c>
      <c r="P54" s="230">
        <f>Table3.110[[#This Row],[Run]]</f>
        <v>1</v>
      </c>
      <c r="Q54" s="230">
        <f>Table3.110[[#This Row],[Replication]]</f>
        <v>3</v>
      </c>
      <c r="R54" s="230">
        <f>Table3.110[[#This Row],[Syrange No]]</f>
        <v>224</v>
      </c>
      <c r="S54" s="110">
        <v>0.55410000000000004</v>
      </c>
      <c r="T54" s="110">
        <v>0.90669999999999995</v>
      </c>
      <c r="U54" s="108"/>
      <c r="V54" s="254">
        <f t="shared" si="1"/>
        <v>0.35259999999999991</v>
      </c>
      <c r="W54" s="61">
        <f>Table3.110[[#This Row],[DM Incubated, mg]]-('3.2 Digest'!V54*1000)</f>
        <v>121.04995974360423</v>
      </c>
      <c r="X54" s="61">
        <f>W54/Table3.110[[#This Row],[DM Incubated, mg]]*100</f>
        <v>25.556839445131786</v>
      </c>
      <c r="Y54" s="37">
        <f>Table3.1[[#This Row],[DM Incubated, mg]]*'2.4 NDF'!R37/100</f>
        <v>282.77692144663035</v>
      </c>
      <c r="Z54" s="37">
        <f t="shared" si="2"/>
        <v>-69.823078553369555</v>
      </c>
      <c r="AA54" s="37">
        <f t="shared" si="3"/>
        <v>-24.691929665323677</v>
      </c>
      <c r="AB54" s="89"/>
    </row>
    <row r="55" spans="2:28" x14ac:dyDescent="0.35">
      <c r="B55" s="230">
        <f t="shared" si="0"/>
        <v>45</v>
      </c>
      <c r="C55" s="61">
        <v>45630</v>
      </c>
      <c r="D55" s="248">
        <f>Table3.110[[#This Row],[Date]]</f>
        <v>46041</v>
      </c>
      <c r="E55" s="230" t="str">
        <f>Table3.110[[#This Row],[Requisitioner]]</f>
        <v>Genbank</v>
      </c>
      <c r="F55" s="230" t="str">
        <f>Table3.110[[#This Row],[Gene Bank ID]]</f>
        <v>CIAT-23932</v>
      </c>
      <c r="G55" s="230" t="str">
        <f>Table3.110[[#This Row],[Genus]]</f>
        <v>Dendrolobium</v>
      </c>
      <c r="H55" s="230" t="str">
        <f>Table3.110[[#This Row],[Species]]</f>
        <v>triangulare</v>
      </c>
      <c r="I55" s="230" t="str">
        <f>Table3.110[[#This Row],[Tax Name]]</f>
        <v>Dendrolobium triangulare</v>
      </c>
      <c r="J55" s="230" t="str">
        <f>Table3.110[[#This Row],[Family]]</f>
        <v>Fabaceae</v>
      </c>
      <c r="K55" s="230" t="str">
        <f>Table3.110[[#This Row],[Order]]</f>
        <v>Fabales</v>
      </c>
      <c r="L55" s="230" t="str">
        <f>Table3.110[[#This Row],[Functional Group]]</f>
        <v>Tree</v>
      </c>
      <c r="M55" s="230" t="str">
        <f>Table3.110[[#This Row],[CIAT ID]]</f>
        <v>F251742</v>
      </c>
      <c r="N55" s="230">
        <f>Table3.110[[#This Row],[Set CIAT]]</f>
        <v>27</v>
      </c>
      <c r="O55" s="230">
        <f>Table3.110[[#This Row],[Batch]]</f>
        <v>58</v>
      </c>
      <c r="P55" s="230">
        <f>Table3.110[[#This Row],[Run]]</f>
        <v>1</v>
      </c>
      <c r="Q55" s="230">
        <f>Table3.110[[#This Row],[Replication]]</f>
        <v>1</v>
      </c>
      <c r="R55" s="230">
        <f>Table3.110[[#This Row],[Syrange No]]</f>
        <v>225</v>
      </c>
      <c r="S55" s="265">
        <v>0.57320000000000004</v>
      </c>
      <c r="T55" s="265">
        <v>0.95889999999999997</v>
      </c>
      <c r="U55" s="108"/>
      <c r="V55" s="254">
        <f t="shared" si="1"/>
        <v>0.38569999999999993</v>
      </c>
      <c r="W55" s="61">
        <f>Table3.110[[#This Row],[DM Incubated, mg]]-('3.2 Digest'!V55*1000)</f>
        <v>90.385365853658129</v>
      </c>
      <c r="X55" s="61">
        <f>W55/Table3.110[[#This Row],[DM Incubated, mg]]*100</f>
        <v>18.985117446655842</v>
      </c>
      <c r="Y55" s="37">
        <f>Table3.1[[#This Row],[DM Incubated, mg]]*'2.4 NDF'!R39/100</f>
        <v>282.94874702849927</v>
      </c>
      <c r="Z55" s="37">
        <f t="shared" si="2"/>
        <v>-102.75125297150066</v>
      </c>
      <c r="AA55" s="37">
        <f t="shared" si="3"/>
        <v>-36.314440000383293</v>
      </c>
      <c r="AB55" s="89"/>
    </row>
    <row r="56" spans="2:28" x14ac:dyDescent="0.35">
      <c r="B56" s="230">
        <f t="shared" si="0"/>
        <v>46</v>
      </c>
      <c r="C56" s="61">
        <v>45630</v>
      </c>
      <c r="D56" s="248">
        <f>Table3.110[[#This Row],[Date]]</f>
        <v>46041</v>
      </c>
      <c r="E56" s="230" t="str">
        <f>Table3.110[[#This Row],[Requisitioner]]</f>
        <v>Genbank</v>
      </c>
      <c r="F56" s="230" t="str">
        <f>Table3.110[[#This Row],[Gene Bank ID]]</f>
        <v>CIAT-23932</v>
      </c>
      <c r="G56" s="230" t="str">
        <f>Table3.110[[#This Row],[Genus]]</f>
        <v>Dendrolobium</v>
      </c>
      <c r="H56" s="230" t="str">
        <f>Table3.110[[#This Row],[Species]]</f>
        <v>triangulare</v>
      </c>
      <c r="I56" s="230" t="str">
        <f>Table3.110[[#This Row],[Tax Name]]</f>
        <v>Dendrolobium triangulare</v>
      </c>
      <c r="J56" s="230" t="str">
        <f>Table3.110[[#This Row],[Family]]</f>
        <v>Fabaceae</v>
      </c>
      <c r="K56" s="230" t="str">
        <f>Table3.110[[#This Row],[Order]]</f>
        <v>Fabales</v>
      </c>
      <c r="L56" s="230" t="str">
        <f>Table3.110[[#This Row],[Functional Group]]</f>
        <v>Tree</v>
      </c>
      <c r="M56" s="230" t="str">
        <f>Table3.110[[#This Row],[CIAT ID]]</f>
        <v>F251742</v>
      </c>
      <c r="N56" s="230">
        <f>Table3.110[[#This Row],[Set CIAT]]</f>
        <v>27</v>
      </c>
      <c r="O56" s="230">
        <f>Table3.110[[#This Row],[Batch]]</f>
        <v>58</v>
      </c>
      <c r="P56" s="230">
        <f>Table3.110[[#This Row],[Run]]</f>
        <v>1</v>
      </c>
      <c r="Q56" s="230">
        <f>Table3.110[[#This Row],[Replication]]</f>
        <v>2</v>
      </c>
      <c r="R56" s="230">
        <f>Table3.110[[#This Row],[Syrange No]]</f>
        <v>226</v>
      </c>
      <c r="S56" s="110">
        <v>0.5827</v>
      </c>
      <c r="T56" s="110">
        <v>0.94410000000000005</v>
      </c>
      <c r="U56" s="108"/>
      <c r="V56" s="254">
        <f t="shared" si="1"/>
        <v>0.36140000000000005</v>
      </c>
      <c r="W56" s="61">
        <f>Table3.110[[#This Row],[DM Incubated, mg]]-('3.2 Digest'!V56*1000)</f>
        <v>114.59024390243849</v>
      </c>
      <c r="X56" s="61">
        <f>W56/Table3.110[[#This Row],[DM Incubated, mg]]*100</f>
        <v>24.074074074073987</v>
      </c>
      <c r="Y56" s="37">
        <f>Table3.1[[#This Row],[DM Incubated, mg]]*'2.4 NDF'!R39/100</f>
        <v>282.89221381230976</v>
      </c>
      <c r="Z56" s="37">
        <f t="shared" si="2"/>
        <v>-78.507786187690272</v>
      </c>
      <c r="AA56" s="37">
        <f t="shared" si="3"/>
        <v>-27.751837044118066</v>
      </c>
      <c r="AB56" s="89"/>
    </row>
    <row r="57" spans="2:28" x14ac:dyDescent="0.35">
      <c r="B57" s="230">
        <f t="shared" si="0"/>
        <v>47</v>
      </c>
      <c r="C57" s="61">
        <v>45630</v>
      </c>
      <c r="D57" s="248">
        <f>Table3.110[[#This Row],[Date]]</f>
        <v>46041</v>
      </c>
      <c r="E57" s="230" t="str">
        <f>Table3.110[[#This Row],[Requisitioner]]</f>
        <v>Genbank</v>
      </c>
      <c r="F57" s="230" t="str">
        <f>Table3.110[[#This Row],[Gene Bank ID]]</f>
        <v>CIAT-23932</v>
      </c>
      <c r="G57" s="230" t="str">
        <f>Table3.110[[#This Row],[Genus]]</f>
        <v>Dendrolobium</v>
      </c>
      <c r="H57" s="230" t="str">
        <f>Table3.110[[#This Row],[Species]]</f>
        <v>triangulare</v>
      </c>
      <c r="I57" s="230" t="str">
        <f>Table3.110[[#This Row],[Tax Name]]</f>
        <v>Dendrolobium triangulare</v>
      </c>
      <c r="J57" s="230" t="str">
        <f>Table3.110[[#This Row],[Family]]</f>
        <v>Fabaceae</v>
      </c>
      <c r="K57" s="230" t="str">
        <f>Table3.110[[#This Row],[Order]]</f>
        <v>Fabales</v>
      </c>
      <c r="L57" s="230" t="str">
        <f>Table3.110[[#This Row],[Functional Group]]</f>
        <v>Tree</v>
      </c>
      <c r="M57" s="230" t="str">
        <f>Table3.110[[#This Row],[CIAT ID]]</f>
        <v>F251742</v>
      </c>
      <c r="N57" s="230">
        <f>Table3.110[[#This Row],[Set CIAT]]</f>
        <v>27</v>
      </c>
      <c r="O57" s="230">
        <f>Table3.110[[#This Row],[Batch]]</f>
        <v>58</v>
      </c>
      <c r="P57" s="230">
        <f>Table3.110[[#This Row],[Run]]</f>
        <v>1</v>
      </c>
      <c r="Q57" s="230">
        <f>Table3.110[[#This Row],[Replication]]</f>
        <v>3</v>
      </c>
      <c r="R57" s="230">
        <f>Table3.110[[#This Row],[Syrange No]]</f>
        <v>227</v>
      </c>
      <c r="S57" s="265">
        <v>0.57840000000000003</v>
      </c>
      <c r="T57" s="265">
        <v>0.94689999999999996</v>
      </c>
      <c r="U57" s="108" t="s">
        <v>580</v>
      </c>
      <c r="V57" s="254">
        <f t="shared" si="1"/>
        <v>0.36849999999999994</v>
      </c>
      <c r="W57" s="61">
        <f>Table3.110[[#This Row],[DM Incubated, mg]]-('3.2 Digest'!V57*1000)</f>
        <v>107.58536585365812</v>
      </c>
      <c r="X57" s="61">
        <f>W57/Table3.110[[#This Row],[DM Incubated, mg]]*100</f>
        <v>22.597914905607148</v>
      </c>
      <c r="Y57" s="37">
        <f>Table3.1[[#This Row],[DM Incubated, mg]]*'2.4 NDF'!R39/100</f>
        <v>282.94874702849927</v>
      </c>
      <c r="Z57" s="37">
        <f t="shared" si="2"/>
        <v>-85.551252971500674</v>
      </c>
      <c r="AA57" s="37">
        <f t="shared" si="3"/>
        <v>-30.235600570757697</v>
      </c>
      <c r="AB57" s="89"/>
    </row>
    <row r="58" spans="2:28" x14ac:dyDescent="0.35">
      <c r="B58" s="230">
        <f t="shared" si="0"/>
        <v>48</v>
      </c>
      <c r="C58" s="61">
        <v>45630</v>
      </c>
      <c r="D58" s="248">
        <f>Table3.110[[#This Row],[Date]]</f>
        <v>46041</v>
      </c>
      <c r="E58" s="230" t="str">
        <f>Table3.110[[#This Row],[Requisitioner]]</f>
        <v>Genbank</v>
      </c>
      <c r="F58" s="230" t="str">
        <f>Table3.110[[#This Row],[Gene Bank ID]]</f>
        <v>CIAT-23933</v>
      </c>
      <c r="G58" s="230" t="str">
        <f>Table3.110[[#This Row],[Genus]]</f>
        <v>Dendrolobium</v>
      </c>
      <c r="H58" s="230" t="str">
        <f>Table3.110[[#This Row],[Species]]</f>
        <v>triangulare</v>
      </c>
      <c r="I58" s="230" t="str">
        <f>Table3.110[[#This Row],[Tax Name]]</f>
        <v>Dendrolobium triangulare</v>
      </c>
      <c r="J58" s="230" t="str">
        <f>Table3.110[[#This Row],[Family]]</f>
        <v>Fabaceae</v>
      </c>
      <c r="K58" s="230" t="str">
        <f>Table3.110[[#This Row],[Order]]</f>
        <v>Fabales</v>
      </c>
      <c r="L58" s="230" t="str">
        <f>Table3.110[[#This Row],[Functional Group]]</f>
        <v>Tree</v>
      </c>
      <c r="M58" s="230" t="str">
        <f>Table3.110[[#This Row],[CIAT ID]]</f>
        <v>F251743</v>
      </c>
      <c r="N58" s="230">
        <f>Table3.110[[#This Row],[Set CIAT]]</f>
        <v>27</v>
      </c>
      <c r="O58" s="230">
        <f>Table3.110[[#This Row],[Batch]]</f>
        <v>58</v>
      </c>
      <c r="P58" s="230">
        <f>Table3.110[[#This Row],[Run]]</f>
        <v>1</v>
      </c>
      <c r="Q58" s="230">
        <f>Table3.110[[#This Row],[Replication]]</f>
        <v>1</v>
      </c>
      <c r="R58" s="230">
        <f>Table3.110[[#This Row],[Syrange No]]</f>
        <v>228</v>
      </c>
      <c r="S58" s="110">
        <v>0.58720000000000006</v>
      </c>
      <c r="T58" s="110">
        <v>0.95389999999999997</v>
      </c>
      <c r="U58" s="108"/>
      <c r="V58" s="254">
        <f t="shared" si="1"/>
        <v>0.36669999999999991</v>
      </c>
      <c r="W58" s="61">
        <f>Table3.110[[#This Row],[DM Incubated, mg]]-('3.2 Digest'!V58*1000)</f>
        <v>102.18740218950234</v>
      </c>
      <c r="X58" s="61">
        <f>W58/Table3.110[[#This Row],[DM Incubated, mg]]*100</f>
        <v>21.793590894600957</v>
      </c>
      <c r="Y58" s="37">
        <f>Table3.1[[#This Row],[DM Incubated, mg]]*'2.4 NDF'!R41/100</f>
        <v>301.81929784529717</v>
      </c>
      <c r="Z58" s="37">
        <f t="shared" si="2"/>
        <v>-64.88070215470276</v>
      </c>
      <c r="AA58" s="37">
        <f t="shared" si="3"/>
        <v>-21.496538696461521</v>
      </c>
      <c r="AB58" s="89"/>
    </row>
    <row r="59" spans="2:28" x14ac:dyDescent="0.35">
      <c r="B59" s="230">
        <f t="shared" si="0"/>
        <v>49</v>
      </c>
      <c r="C59" s="61">
        <v>45630</v>
      </c>
      <c r="D59" s="248">
        <f>Table3.110[[#This Row],[Date]]</f>
        <v>46041</v>
      </c>
      <c r="E59" s="230" t="str">
        <f>Table3.110[[#This Row],[Requisitioner]]</f>
        <v>Genbank</v>
      </c>
      <c r="F59" s="230" t="str">
        <f>Table3.110[[#This Row],[Gene Bank ID]]</f>
        <v>CIAT-23933</v>
      </c>
      <c r="G59" s="230" t="str">
        <f>Table3.110[[#This Row],[Genus]]</f>
        <v>Dendrolobium</v>
      </c>
      <c r="H59" s="230" t="str">
        <f>Table3.110[[#This Row],[Species]]</f>
        <v>triangulare</v>
      </c>
      <c r="I59" s="230" t="str">
        <f>Table3.110[[#This Row],[Tax Name]]</f>
        <v>Dendrolobium triangulare</v>
      </c>
      <c r="J59" s="230" t="str">
        <f>Table3.110[[#This Row],[Family]]</f>
        <v>Fabaceae</v>
      </c>
      <c r="K59" s="230" t="str">
        <f>Table3.110[[#This Row],[Order]]</f>
        <v>Fabales</v>
      </c>
      <c r="L59" s="230" t="str">
        <f>Table3.110[[#This Row],[Functional Group]]</f>
        <v>Tree</v>
      </c>
      <c r="M59" s="230" t="str">
        <f>Table3.110[[#This Row],[CIAT ID]]</f>
        <v>F251743</v>
      </c>
      <c r="N59" s="230">
        <f>Table3.110[[#This Row],[Set CIAT]]</f>
        <v>27</v>
      </c>
      <c r="O59" s="230">
        <f>Table3.110[[#This Row],[Batch]]</f>
        <v>58</v>
      </c>
      <c r="P59" s="230">
        <f>Table3.110[[#This Row],[Run]]</f>
        <v>1</v>
      </c>
      <c r="Q59" s="230">
        <f>Table3.110[[#This Row],[Replication]]</f>
        <v>2</v>
      </c>
      <c r="R59" s="230">
        <f>Table3.110[[#This Row],[Syrange No]]</f>
        <v>229</v>
      </c>
      <c r="S59" s="265">
        <v>0.57530000000000003</v>
      </c>
      <c r="T59" s="265">
        <v>0.92830000000000001</v>
      </c>
      <c r="U59" s="108"/>
      <c r="V59" s="254">
        <f t="shared" si="1"/>
        <v>0.35299999999999998</v>
      </c>
      <c r="W59" s="61">
        <f>Table3.110[[#This Row],[DM Incubated, mg]]-('3.2 Digest'!V59*1000)</f>
        <v>116.07484468488082</v>
      </c>
      <c r="X59" s="61">
        <f>W59/Table3.110[[#This Row],[DM Incubated, mg]]*100</f>
        <v>24.745484862412219</v>
      </c>
      <c r="Y59" s="37">
        <f>Table3.1[[#This Row],[DM Incubated, mg]]*'2.4 NDF'!R41/100</f>
        <v>301.93995317123967</v>
      </c>
      <c r="Z59" s="37">
        <f t="shared" si="2"/>
        <v>-51.060046828760335</v>
      </c>
      <c r="AA59" s="37">
        <f t="shared" si="3"/>
        <v>-16.910662630924691</v>
      </c>
      <c r="AB59" s="89"/>
    </row>
    <row r="60" spans="2:28" x14ac:dyDescent="0.35">
      <c r="B60" s="230">
        <f t="shared" si="0"/>
        <v>50</v>
      </c>
      <c r="C60" s="61">
        <v>45630</v>
      </c>
      <c r="D60" s="248">
        <f>Table3.110[[#This Row],[Date]]</f>
        <v>46041</v>
      </c>
      <c r="E60" s="230" t="str">
        <f>Table3.110[[#This Row],[Requisitioner]]</f>
        <v>Genbank</v>
      </c>
      <c r="F60" s="230" t="str">
        <f>Table3.110[[#This Row],[Gene Bank ID]]</f>
        <v>CIAT-23933</v>
      </c>
      <c r="G60" s="230" t="str">
        <f>Table3.110[[#This Row],[Genus]]</f>
        <v>Dendrolobium</v>
      </c>
      <c r="H60" s="230" t="str">
        <f>Table3.110[[#This Row],[Species]]</f>
        <v>triangulare</v>
      </c>
      <c r="I60" s="230" t="str">
        <f>Table3.110[[#This Row],[Tax Name]]</f>
        <v>Dendrolobium triangulare</v>
      </c>
      <c r="J60" s="230" t="str">
        <f>Table3.110[[#This Row],[Family]]</f>
        <v>Fabaceae</v>
      </c>
      <c r="K60" s="230" t="str">
        <f>Table3.110[[#This Row],[Order]]</f>
        <v>Fabales</v>
      </c>
      <c r="L60" s="230" t="str">
        <f>Table3.110[[#This Row],[Functional Group]]</f>
        <v>Tree</v>
      </c>
      <c r="M60" s="230" t="str">
        <f>Table3.110[[#This Row],[CIAT ID]]</f>
        <v>F251743</v>
      </c>
      <c r="N60" s="230">
        <f>Table3.110[[#This Row],[Set CIAT]]</f>
        <v>27</v>
      </c>
      <c r="O60" s="230">
        <f>Table3.110[[#This Row],[Batch]]</f>
        <v>58</v>
      </c>
      <c r="P60" s="230">
        <f>Table3.110[[#This Row],[Run]]</f>
        <v>1</v>
      </c>
      <c r="Q60" s="230">
        <f>Table3.110[[#This Row],[Replication]]</f>
        <v>3</v>
      </c>
      <c r="R60" s="230">
        <f>Table3.110[[#This Row],[Syrange No]]</f>
        <v>230</v>
      </c>
      <c r="S60" s="110">
        <v>0.55840000000000001</v>
      </c>
      <c r="T60" s="110">
        <v>0.93069999999999997</v>
      </c>
      <c r="U60" s="108"/>
      <c r="V60" s="254">
        <f t="shared" si="1"/>
        <v>0.37229999999999996</v>
      </c>
      <c r="W60" s="61">
        <f>Table3.110[[#This Row],[DM Incubated, mg]]-('3.2 Digest'!V60*1000)</f>
        <v>96.774844684880861</v>
      </c>
      <c r="X60" s="61">
        <f>W60/Table3.110[[#This Row],[DM Incubated, mg]]*100</f>
        <v>20.631002873303323</v>
      </c>
      <c r="Y60" s="37">
        <f>Table3.1[[#This Row],[DM Incubated, mg]]*'2.4 NDF'!R41/100</f>
        <v>301.93995317123967</v>
      </c>
      <c r="Z60" s="37">
        <f t="shared" si="2"/>
        <v>-70.360046828760289</v>
      </c>
      <c r="AA60" s="37">
        <f t="shared" si="3"/>
        <v>-23.302662032558803</v>
      </c>
      <c r="AB60" s="89"/>
    </row>
    <row r="61" spans="2:28" x14ac:dyDescent="0.35">
      <c r="B61" s="230">
        <f t="shared" si="0"/>
        <v>51</v>
      </c>
      <c r="C61" s="61">
        <v>45630</v>
      </c>
      <c r="D61" s="248">
        <f>Table3.110[[#This Row],[Date]]</f>
        <v>46041</v>
      </c>
      <c r="E61" s="230" t="str">
        <f>Table3.110[[#This Row],[Requisitioner]]</f>
        <v>Genbank</v>
      </c>
      <c r="F61" s="230" t="str">
        <f>Table3.110[[#This Row],[Gene Bank ID]]</f>
        <v>BLANK 8H</v>
      </c>
      <c r="G61" s="230" t="str">
        <f>Table3.110[[#This Row],[Genus]]</f>
        <v>BLANK</v>
      </c>
      <c r="H61" s="230" t="str">
        <f>Table3.110[[#This Row],[Species]]</f>
        <v>8H</v>
      </c>
      <c r="I61" s="230" t="str">
        <f>Table3.110[[#This Row],[Tax Name]]</f>
        <v>BLANK 8H</v>
      </c>
      <c r="J61" s="230" t="str">
        <f>Table3.110[[#This Row],[Family]]</f>
        <v>Fabaceae</v>
      </c>
      <c r="K61" s="230" t="str">
        <f>Table3.110[[#This Row],[Order]]</f>
        <v>Fabales</v>
      </c>
      <c r="L61" s="230" t="str">
        <f>Table3.110[[#This Row],[Functional Group]]</f>
        <v>Tree</v>
      </c>
      <c r="M61" s="230" t="str">
        <f>Table3.110[[#This Row],[CIAT ID]]</f>
        <v>BLANK8H</v>
      </c>
      <c r="N61" s="230">
        <f>Table3.110[[#This Row],[Set CIAT]]</f>
        <v>27</v>
      </c>
      <c r="O61" s="230">
        <f>Table3.110[[#This Row],[Batch]]</f>
        <v>58</v>
      </c>
      <c r="P61" s="230">
        <f>Table3.110[[#This Row],[Run]]</f>
        <v>1</v>
      </c>
      <c r="Q61" s="230">
        <f>Table3.110[[#This Row],[Replication]]</f>
        <v>1</v>
      </c>
      <c r="R61" s="230">
        <f>Table3.110[[#This Row],[Syrange No]]</f>
        <v>231</v>
      </c>
      <c r="S61" s="263"/>
      <c r="T61" s="263"/>
      <c r="U61" s="108"/>
      <c r="V61" s="254"/>
      <c r="W61" s="61"/>
      <c r="X61" s="61"/>
      <c r="Y61" s="37"/>
      <c r="Z61" s="37"/>
      <c r="AA61" s="37"/>
      <c r="AB61" s="89"/>
    </row>
    <row r="62" spans="2:28" x14ac:dyDescent="0.35">
      <c r="B62" s="230">
        <f t="shared" si="0"/>
        <v>52</v>
      </c>
      <c r="C62" s="61">
        <v>45630</v>
      </c>
      <c r="D62" s="248">
        <f>Table3.110[[#This Row],[Date]]</f>
        <v>46041</v>
      </c>
      <c r="E62" s="230" t="str">
        <f>Table3.110[[#This Row],[Requisitioner]]</f>
        <v>Genbank</v>
      </c>
      <c r="F62" s="230" t="str">
        <f>Table3.110[[#This Row],[Gene Bank ID]]</f>
        <v>BLANK 8H</v>
      </c>
      <c r="G62" s="230" t="str">
        <f>Table3.110[[#This Row],[Genus]]</f>
        <v>BLANK</v>
      </c>
      <c r="H62" s="230" t="str">
        <f>Table3.110[[#This Row],[Species]]</f>
        <v>8H</v>
      </c>
      <c r="I62" s="230" t="str">
        <f>Table3.110[[#This Row],[Tax Name]]</f>
        <v>BLANK 8H</v>
      </c>
      <c r="J62" s="230" t="str">
        <f>Table3.110[[#This Row],[Family]]</f>
        <v>Fabaceae</v>
      </c>
      <c r="K62" s="230" t="str">
        <f>Table3.110[[#This Row],[Order]]</f>
        <v>Fabales</v>
      </c>
      <c r="L62" s="230" t="str">
        <f>Table3.110[[#This Row],[Functional Group]]</f>
        <v>Tree</v>
      </c>
      <c r="M62" s="230" t="str">
        <f>Table3.110[[#This Row],[CIAT ID]]</f>
        <v>BLANK8H</v>
      </c>
      <c r="N62" s="230">
        <f>Table3.110[[#This Row],[Set CIAT]]</f>
        <v>27</v>
      </c>
      <c r="O62" s="230">
        <f>Table3.110[[#This Row],[Batch]]</f>
        <v>58</v>
      </c>
      <c r="P62" s="230">
        <f>Table3.110[[#This Row],[Run]]</f>
        <v>1</v>
      </c>
      <c r="Q62" s="230">
        <f>Table3.110[[#This Row],[Replication]]</f>
        <v>2</v>
      </c>
      <c r="R62" s="230">
        <f>Table3.110[[#This Row],[Syrange No]]</f>
        <v>232</v>
      </c>
      <c r="S62" s="264"/>
      <c r="T62" s="264"/>
      <c r="U62" s="108"/>
      <c r="V62" s="254"/>
      <c r="W62" s="61"/>
      <c r="X62" s="61"/>
      <c r="Y62" s="37"/>
      <c r="Z62" s="37"/>
      <c r="AA62" s="37"/>
      <c r="AB62" s="89"/>
    </row>
    <row r="63" spans="2:28" x14ac:dyDescent="0.35">
      <c r="B63" s="230">
        <f t="shared" si="0"/>
        <v>53</v>
      </c>
      <c r="C63" s="61">
        <v>45630</v>
      </c>
      <c r="D63" s="248">
        <f>Table3.110[[#This Row],[Date]]</f>
        <v>46041</v>
      </c>
      <c r="E63" s="230" t="str">
        <f>Table3.110[[#This Row],[Requisitioner]]</f>
        <v>Genbank</v>
      </c>
      <c r="F63" s="230" t="str">
        <f>Table3.110[[#This Row],[Gene Bank ID]]</f>
        <v>CIAT-23934</v>
      </c>
      <c r="G63" s="230" t="str">
        <f>Table3.110[[#This Row],[Genus]]</f>
        <v>Dendrolobium</v>
      </c>
      <c r="H63" s="230" t="str">
        <f>Table3.110[[#This Row],[Species]]</f>
        <v>triangulare</v>
      </c>
      <c r="I63" s="230" t="str">
        <f>Table3.110[[#This Row],[Tax Name]]</f>
        <v>Dendrolobium triangulare</v>
      </c>
      <c r="J63" s="230" t="str">
        <f>Table3.110[[#This Row],[Family]]</f>
        <v>Fabaceae</v>
      </c>
      <c r="K63" s="230" t="str">
        <f>Table3.110[[#This Row],[Order]]</f>
        <v>Fabales</v>
      </c>
      <c r="L63" s="230" t="str">
        <f>Table3.110[[#This Row],[Functional Group]]</f>
        <v>Tree</v>
      </c>
      <c r="M63" s="230" t="str">
        <f>Table3.110[[#This Row],[CIAT ID]]</f>
        <v>F251744</v>
      </c>
      <c r="N63" s="230">
        <f>Table3.110[[#This Row],[Set CIAT]]</f>
        <v>27</v>
      </c>
      <c r="O63" s="230">
        <f>Table3.110[[#This Row],[Batch]]</f>
        <v>58</v>
      </c>
      <c r="P63" s="230">
        <f>Table3.110[[#This Row],[Run]]</f>
        <v>1</v>
      </c>
      <c r="Q63" s="230">
        <f>Table3.110[[#This Row],[Replication]]</f>
        <v>1</v>
      </c>
      <c r="R63" s="230">
        <f>Table3.110[[#This Row],[Syrange No]]</f>
        <v>233</v>
      </c>
      <c r="S63" s="265">
        <v>0.58779999999999999</v>
      </c>
      <c r="T63" s="265">
        <v>0.93569999999999998</v>
      </c>
      <c r="U63" s="108"/>
      <c r="V63" s="254">
        <f t="shared" si="1"/>
        <v>0.34789999999999999</v>
      </c>
      <c r="W63" s="61">
        <f>Table3.110[[#This Row],[DM Incubated, mg]]-('3.2 Digest'!V63*1000)</f>
        <v>123.3354867599441</v>
      </c>
      <c r="X63" s="61">
        <f>W63/Table3.110[[#This Row],[DM Incubated, mg]]*100</f>
        <v>26.17279263239643</v>
      </c>
      <c r="Y63" s="37">
        <f>Table3.1[[#This Row],[DM Incubated, mg]]*'2.4 NDF'!R43/100</f>
        <v>275.65727501641493</v>
      </c>
      <c r="Z63" s="37">
        <f t="shared" si="2"/>
        <v>-72.242724983585049</v>
      </c>
      <c r="AA63" s="37">
        <f t="shared" si="3"/>
        <v>-26.207443637859047</v>
      </c>
      <c r="AB63" s="89"/>
    </row>
    <row r="64" spans="2:28" x14ac:dyDescent="0.35">
      <c r="B64" s="230">
        <f t="shared" si="0"/>
        <v>54</v>
      </c>
      <c r="C64" s="61">
        <v>45630</v>
      </c>
      <c r="D64" s="248">
        <f>Table3.110[[#This Row],[Date]]</f>
        <v>46041</v>
      </c>
      <c r="E64" s="230" t="str">
        <f>Table3.110[[#This Row],[Requisitioner]]</f>
        <v>Genbank</v>
      </c>
      <c r="F64" s="230" t="str">
        <f>Table3.110[[#This Row],[Gene Bank ID]]</f>
        <v>CIAT-23934</v>
      </c>
      <c r="G64" s="230" t="str">
        <f>Table3.110[[#This Row],[Genus]]</f>
        <v>Dendrolobium</v>
      </c>
      <c r="H64" s="230" t="str">
        <f>Table3.110[[#This Row],[Species]]</f>
        <v>triangulare</v>
      </c>
      <c r="I64" s="230" t="str">
        <f>Table3.110[[#This Row],[Tax Name]]</f>
        <v>Dendrolobium triangulare</v>
      </c>
      <c r="J64" s="230" t="str">
        <f>Table3.110[[#This Row],[Family]]</f>
        <v>Fabaceae</v>
      </c>
      <c r="K64" s="230" t="str">
        <f>Table3.110[[#This Row],[Order]]</f>
        <v>Fabales</v>
      </c>
      <c r="L64" s="230" t="str">
        <f>Table3.110[[#This Row],[Functional Group]]</f>
        <v>Tree</v>
      </c>
      <c r="M64" s="230" t="str">
        <f>Table3.110[[#This Row],[CIAT ID]]</f>
        <v>F251744</v>
      </c>
      <c r="N64" s="230">
        <f>Table3.110[[#This Row],[Set CIAT]]</f>
        <v>27</v>
      </c>
      <c r="O64" s="230">
        <f>Table3.110[[#This Row],[Batch]]</f>
        <v>58</v>
      </c>
      <c r="P64" s="230">
        <f>Table3.110[[#This Row],[Run]]</f>
        <v>1</v>
      </c>
      <c r="Q64" s="230">
        <f>Table3.110[[#This Row],[Replication]]</f>
        <v>2</v>
      </c>
      <c r="R64" s="230">
        <f>Table3.110[[#This Row],[Syrange No]]</f>
        <v>234</v>
      </c>
      <c r="S64" s="110">
        <v>0.56589999999999996</v>
      </c>
      <c r="T64" s="110">
        <v>0.88180000000000003</v>
      </c>
      <c r="U64" s="108"/>
      <c r="V64" s="254">
        <f t="shared" si="1"/>
        <v>0.31590000000000007</v>
      </c>
      <c r="W64" s="61">
        <f>Table3.110[[#This Row],[DM Incubated, mg]]-('3.2 Digest'!V64*1000)</f>
        <v>155.24131499999999</v>
      </c>
      <c r="X64" s="61">
        <f>W64/Table3.110[[#This Row],[DM Incubated, mg]]*100</f>
        <v>32.950053425053575</v>
      </c>
      <c r="Y64" s="37">
        <f>Table3.1[[#This Row],[DM Incubated, mg]]*'2.4 NDF'!R43/100</f>
        <v>275.60218763131974</v>
      </c>
      <c r="Z64" s="37">
        <f t="shared" si="2"/>
        <v>-40.297812368680354</v>
      </c>
      <c r="AA64" s="37">
        <f t="shared" si="3"/>
        <v>-14.6217316760155</v>
      </c>
      <c r="AB64" s="89"/>
    </row>
    <row r="65" spans="2:28" x14ac:dyDescent="0.35">
      <c r="B65" s="230">
        <f t="shared" si="0"/>
        <v>55</v>
      </c>
      <c r="C65" s="61">
        <v>45635</v>
      </c>
      <c r="D65" s="248">
        <f>Table3.110[[#This Row],[Date]]</f>
        <v>46041</v>
      </c>
      <c r="E65" s="230" t="str">
        <f>Table3.110[[#This Row],[Requisitioner]]</f>
        <v>Genbank</v>
      </c>
      <c r="F65" s="230" t="str">
        <f>Table3.110[[#This Row],[Gene Bank ID]]</f>
        <v>CIAT-23934</v>
      </c>
      <c r="G65" s="230" t="str">
        <f>Table3.110[[#This Row],[Genus]]</f>
        <v>Dendrolobium</v>
      </c>
      <c r="H65" s="230" t="str">
        <f>Table3.110[[#This Row],[Species]]</f>
        <v>triangulare</v>
      </c>
      <c r="I65" s="230" t="str">
        <f>Table3.110[[#This Row],[Tax Name]]</f>
        <v>Dendrolobium triangulare</v>
      </c>
      <c r="J65" s="230" t="str">
        <f>Table3.110[[#This Row],[Family]]</f>
        <v>Fabaceae</v>
      </c>
      <c r="K65" s="230" t="str">
        <f>Table3.110[[#This Row],[Order]]</f>
        <v>Fabales</v>
      </c>
      <c r="L65" s="230" t="str">
        <f>Table3.110[[#This Row],[Functional Group]]</f>
        <v>Tree</v>
      </c>
      <c r="M65" s="230" t="str">
        <f>Table3.110[[#This Row],[CIAT ID]]</f>
        <v>F251744</v>
      </c>
      <c r="N65" s="230">
        <f>Table3.110[[#This Row],[Set CIAT]]</f>
        <v>27</v>
      </c>
      <c r="O65" s="230">
        <f>Table3.110[[#This Row],[Batch]]</f>
        <v>58</v>
      </c>
      <c r="P65" s="230">
        <f>Table3.110[[#This Row],[Run]]</f>
        <v>1</v>
      </c>
      <c r="Q65" s="230">
        <f>Table3.110[[#This Row],[Replication]]</f>
        <v>3</v>
      </c>
      <c r="R65" s="230">
        <f>Table3.110[[#This Row],[Syrange No]]</f>
        <v>235</v>
      </c>
      <c r="S65" s="265">
        <v>0.55810000000000004</v>
      </c>
      <c r="T65" s="265">
        <v>0.8962</v>
      </c>
      <c r="U65" s="108"/>
      <c r="V65" s="254">
        <f t="shared" si="1"/>
        <v>0.33809999999999996</v>
      </c>
      <c r="W65" s="61">
        <f>Table3.110[[#This Row],[DM Incubated, mg]]-('3.2 Digest'!V65*1000)</f>
        <v>133.22965851988812</v>
      </c>
      <c r="X65" s="61">
        <f>W65/Table3.110[[#This Row],[DM Incubated, mg]]*100</f>
        <v>28.2667674549206</v>
      </c>
      <c r="Y65" s="37">
        <f>Table3.1[[#This Row],[DM Incubated, mg]]*'2.4 NDF'!R43/100</f>
        <v>275.71236240151012</v>
      </c>
      <c r="Z65" s="37">
        <f t="shared" si="2"/>
        <v>-62.387637598489846</v>
      </c>
      <c r="AA65" s="37">
        <f t="shared" si="3"/>
        <v>-22.627798425533399</v>
      </c>
      <c r="AB65" s="89"/>
    </row>
    <row r="66" spans="2:28" x14ac:dyDescent="0.35">
      <c r="B66" s="230">
        <f t="shared" si="0"/>
        <v>56</v>
      </c>
      <c r="C66" s="61">
        <v>45635</v>
      </c>
      <c r="D66" s="248">
        <f>Table3.110[[#This Row],[Date]]</f>
        <v>46041</v>
      </c>
      <c r="E66" s="230" t="str">
        <f>Table3.110[[#This Row],[Requisitioner]]</f>
        <v>Genbank</v>
      </c>
      <c r="F66" s="230" t="str">
        <f>Table3.110[[#This Row],[Gene Bank ID]]</f>
        <v>CIAT-23936</v>
      </c>
      <c r="G66" s="230" t="str">
        <f>Table3.110[[#This Row],[Genus]]</f>
        <v>Dendrolobium</v>
      </c>
      <c r="H66" s="230" t="str">
        <f>Table3.110[[#This Row],[Species]]</f>
        <v>triangulare</v>
      </c>
      <c r="I66" s="230" t="str">
        <f>Table3.110[[#This Row],[Tax Name]]</f>
        <v>Dendrolobium triangulare</v>
      </c>
      <c r="J66" s="230" t="str">
        <f>Table3.110[[#This Row],[Family]]</f>
        <v>Fabaceae</v>
      </c>
      <c r="K66" s="230" t="str">
        <f>Table3.110[[#This Row],[Order]]</f>
        <v>Fabales</v>
      </c>
      <c r="L66" s="230" t="str">
        <f>Table3.110[[#This Row],[Functional Group]]</f>
        <v>Tree</v>
      </c>
      <c r="M66" s="230" t="str">
        <f>Table3.110[[#This Row],[CIAT ID]]</f>
        <v>F251745</v>
      </c>
      <c r="N66" s="230">
        <f>Table3.110[[#This Row],[Set CIAT]]</f>
        <v>27</v>
      </c>
      <c r="O66" s="230">
        <f>Table3.110[[#This Row],[Batch]]</f>
        <v>58</v>
      </c>
      <c r="P66" s="230">
        <f>Table3.110[[#This Row],[Run]]</f>
        <v>1</v>
      </c>
      <c r="Q66" s="230">
        <f>Table3.110[[#This Row],[Replication]]</f>
        <v>1</v>
      </c>
      <c r="R66" s="230">
        <f>Table3.110[[#This Row],[Syrange No]]</f>
        <v>236</v>
      </c>
      <c r="S66" s="110">
        <v>0.57979999999999998</v>
      </c>
      <c r="T66" s="110">
        <v>0.9657</v>
      </c>
      <c r="U66" s="108"/>
      <c r="V66" s="254">
        <f t="shared" si="1"/>
        <v>0.38590000000000002</v>
      </c>
      <c r="W66" s="61">
        <f>Table3.110[[#This Row],[DM Incubated, mg]]-('3.2 Digest'!V66*1000)</f>
        <v>84.863117129722013</v>
      </c>
      <c r="X66" s="61">
        <f>W66/Table3.110[[#This Row],[DM Incubated, mg]]*100</f>
        <v>18.02671323257837</v>
      </c>
      <c r="Y66" s="37">
        <f>Table3.1[[#This Row],[DM Incubated, mg]]*'2.4 NDF'!R45/100</f>
        <v>290.25165360989001</v>
      </c>
      <c r="Z66" s="37">
        <f t="shared" si="2"/>
        <v>-95.648346390110021</v>
      </c>
      <c r="AA66" s="37">
        <f t="shared" si="3"/>
        <v>-32.953592236433998</v>
      </c>
      <c r="AB66" s="89"/>
    </row>
    <row r="67" spans="2:28" x14ac:dyDescent="0.35">
      <c r="B67" s="230">
        <f t="shared" si="0"/>
        <v>57</v>
      </c>
      <c r="C67" s="61">
        <v>45635</v>
      </c>
      <c r="D67" s="248">
        <f>Table3.110[[#This Row],[Date]]</f>
        <v>46041</v>
      </c>
      <c r="E67" s="230" t="str">
        <f>Table3.110[[#This Row],[Requisitioner]]</f>
        <v>Genbank</v>
      </c>
      <c r="F67" s="230" t="str">
        <f>Table3.110[[#This Row],[Gene Bank ID]]</f>
        <v>CIAT-23936</v>
      </c>
      <c r="G67" s="230" t="str">
        <f>Table3.110[[#This Row],[Genus]]</f>
        <v>Dendrolobium</v>
      </c>
      <c r="H67" s="230" t="str">
        <f>Table3.110[[#This Row],[Species]]</f>
        <v>triangulare</v>
      </c>
      <c r="I67" s="230" t="str">
        <f>Table3.110[[#This Row],[Tax Name]]</f>
        <v>Dendrolobium triangulare</v>
      </c>
      <c r="J67" s="230" t="str">
        <f>Table3.110[[#This Row],[Family]]</f>
        <v>Fabaceae</v>
      </c>
      <c r="K67" s="230" t="str">
        <f>Table3.110[[#This Row],[Order]]</f>
        <v>Fabales</v>
      </c>
      <c r="L67" s="230" t="str">
        <f>Table3.110[[#This Row],[Functional Group]]</f>
        <v>Tree</v>
      </c>
      <c r="M67" s="230" t="str">
        <f>Table3.110[[#This Row],[CIAT ID]]</f>
        <v>F251745</v>
      </c>
      <c r="N67" s="230">
        <f>Table3.110[[#This Row],[Set CIAT]]</f>
        <v>27</v>
      </c>
      <c r="O67" s="230">
        <f>Table3.110[[#This Row],[Batch]]</f>
        <v>58</v>
      </c>
      <c r="P67" s="230">
        <f>Table3.110[[#This Row],[Run]]</f>
        <v>1</v>
      </c>
      <c r="Q67" s="230">
        <f>Table3.110[[#This Row],[Replication]]</f>
        <v>2</v>
      </c>
      <c r="R67" s="230">
        <f>Table3.110[[#This Row],[Syrange No]]</f>
        <v>237</v>
      </c>
      <c r="S67" s="265">
        <v>0.57279999999999998</v>
      </c>
      <c r="T67" s="265">
        <v>0.97060000000000002</v>
      </c>
      <c r="U67" s="108"/>
      <c r="V67" s="254">
        <f t="shared" si="1"/>
        <v>0.39780000000000004</v>
      </c>
      <c r="W67" s="61">
        <f>Table3.110[[#This Row],[DM Incubated, mg]]-('3.2 Digest'!V67*1000)</f>
        <v>72.586882870277691</v>
      </c>
      <c r="X67" s="61">
        <f>W67/Table3.110[[#This Row],[DM Incubated, mg]]*100</f>
        <v>15.431315266989607</v>
      </c>
      <c r="Y67" s="37">
        <f>Table3.1[[#This Row],[DM Incubated, mg]]*'2.4 NDF'!R45/100</f>
        <v>290.01968425635567</v>
      </c>
      <c r="Z67" s="37">
        <f t="shared" si="2"/>
        <v>-107.78031574364439</v>
      </c>
      <c r="AA67" s="37">
        <f t="shared" si="3"/>
        <v>-37.163103607951889</v>
      </c>
      <c r="AB67" s="89"/>
    </row>
    <row r="68" spans="2:28" x14ac:dyDescent="0.35">
      <c r="B68" s="230">
        <f t="shared" si="0"/>
        <v>58</v>
      </c>
      <c r="C68" s="61">
        <v>45635</v>
      </c>
      <c r="D68" s="248">
        <f>Table3.110[[#This Row],[Date]]</f>
        <v>46041</v>
      </c>
      <c r="E68" s="230" t="str">
        <f>Table3.110[[#This Row],[Requisitioner]]</f>
        <v>Genbank</v>
      </c>
      <c r="F68" s="230" t="str">
        <f>Table3.110[[#This Row],[Gene Bank ID]]</f>
        <v>CIAT-23936</v>
      </c>
      <c r="G68" s="230" t="str">
        <f>Table3.110[[#This Row],[Genus]]</f>
        <v>Dendrolobium</v>
      </c>
      <c r="H68" s="230" t="str">
        <f>Table3.110[[#This Row],[Species]]</f>
        <v>triangulare</v>
      </c>
      <c r="I68" s="230" t="str">
        <f>Table3.110[[#This Row],[Tax Name]]</f>
        <v>Dendrolobium triangulare</v>
      </c>
      <c r="J68" s="230" t="str">
        <f>Table3.110[[#This Row],[Family]]</f>
        <v>Fabaceae</v>
      </c>
      <c r="K68" s="230" t="str">
        <f>Table3.110[[#This Row],[Order]]</f>
        <v>Fabales</v>
      </c>
      <c r="L68" s="230" t="str">
        <f>Table3.110[[#This Row],[Functional Group]]</f>
        <v>Tree</v>
      </c>
      <c r="M68" s="230" t="str">
        <f>Table3.110[[#This Row],[CIAT ID]]</f>
        <v>F251745</v>
      </c>
      <c r="N68" s="230">
        <f>Table3.110[[#This Row],[Set CIAT]]</f>
        <v>27</v>
      </c>
      <c r="O68" s="230">
        <f>Table3.110[[#This Row],[Batch]]</f>
        <v>58</v>
      </c>
      <c r="P68" s="230">
        <f>Table3.110[[#This Row],[Run]]</f>
        <v>1</v>
      </c>
      <c r="Q68" s="230">
        <f>Table3.110[[#This Row],[Replication]]</f>
        <v>3</v>
      </c>
      <c r="R68" s="230">
        <f>Table3.110[[#This Row],[Syrange No]]</f>
        <v>238</v>
      </c>
      <c r="S68" s="110">
        <v>0.57450000000000001</v>
      </c>
      <c r="T68" s="110">
        <v>0.90529999999999999</v>
      </c>
      <c r="U68" s="108"/>
      <c r="V68" s="254">
        <f t="shared" si="1"/>
        <v>0.33079999999999998</v>
      </c>
      <c r="W68" s="61">
        <f>Table3.110[[#This Row],[DM Incubated, mg]]-('3.2 Digest'!V68*1000)</f>
        <v>139.86905856486106</v>
      </c>
      <c r="X68" s="61">
        <f>W68/Table3.110[[#This Row],[DM Incubated, mg]]*100</f>
        <v>29.717071054413974</v>
      </c>
      <c r="Y68" s="37">
        <f>Table3.1[[#This Row],[DM Incubated, mg]]*'2.4 NDF'!R45/100</f>
        <v>290.19366127150647</v>
      </c>
      <c r="Z68" s="37">
        <f t="shared" si="2"/>
        <v>-40.606338728493483</v>
      </c>
      <c r="AA68" s="37">
        <f t="shared" si="3"/>
        <v>-13.992841384120384</v>
      </c>
      <c r="AB68" s="89"/>
    </row>
    <row r="69" spans="2:28" x14ac:dyDescent="0.35">
      <c r="B69" s="230">
        <f t="shared" si="0"/>
        <v>59</v>
      </c>
      <c r="C69" s="61">
        <v>45635</v>
      </c>
      <c r="D69" s="248">
        <f>Table3.110[[#This Row],[Date]]</f>
        <v>46041</v>
      </c>
      <c r="E69" s="230" t="str">
        <f>Table3.110[[#This Row],[Requisitioner]]</f>
        <v>Genbank</v>
      </c>
      <c r="F69" s="230" t="str">
        <f>Table3.110[[#This Row],[Gene Bank ID]]</f>
        <v>CIAT-33119</v>
      </c>
      <c r="G69" s="230" t="str">
        <f>Table3.110[[#This Row],[Genus]]</f>
        <v>Dendrolobium</v>
      </c>
      <c r="H69" s="230" t="str">
        <f>Table3.110[[#This Row],[Species]]</f>
        <v>triangulare</v>
      </c>
      <c r="I69" s="230" t="str">
        <f>Table3.110[[#This Row],[Tax Name]]</f>
        <v>Dendrolobium triangulare</v>
      </c>
      <c r="J69" s="230" t="str">
        <f>Table3.110[[#This Row],[Family]]</f>
        <v>Fabaceae</v>
      </c>
      <c r="K69" s="230" t="str">
        <f>Table3.110[[#This Row],[Order]]</f>
        <v>Fabales</v>
      </c>
      <c r="L69" s="230" t="str">
        <f>Table3.110[[#This Row],[Functional Group]]</f>
        <v>Tree</v>
      </c>
      <c r="M69" s="230" t="str">
        <f>Table3.110[[#This Row],[CIAT ID]]</f>
        <v>F251746</v>
      </c>
      <c r="N69" s="230">
        <f>Table3.110[[#This Row],[Set CIAT]]</f>
        <v>27</v>
      </c>
      <c r="O69" s="230">
        <f>Table3.110[[#This Row],[Batch]]</f>
        <v>58</v>
      </c>
      <c r="P69" s="230">
        <f>Table3.110[[#This Row],[Run]]</f>
        <v>1</v>
      </c>
      <c r="Q69" s="230">
        <f>Table3.110[[#This Row],[Replication]]</f>
        <v>1</v>
      </c>
      <c r="R69" s="230">
        <f>Table3.110[[#This Row],[Syrange No]]</f>
        <v>239</v>
      </c>
      <c r="S69" s="265">
        <v>0.58079999999999998</v>
      </c>
      <c r="T69" s="265">
        <v>0.92500000000000004</v>
      </c>
      <c r="U69" s="108"/>
      <c r="V69" s="254">
        <f t="shared" si="1"/>
        <v>0.34420000000000006</v>
      </c>
      <c r="W69" s="61">
        <f>Table3.110[[#This Row],[DM Incubated, mg]]-('3.2 Digest'!V69*1000)</f>
        <v>132.80726990577602</v>
      </c>
      <c r="X69" s="61">
        <f>W69/Table3.110[[#This Row],[DM Incubated, mg]]*100</f>
        <v>27.84177061536392</v>
      </c>
      <c r="Y69" s="37">
        <f>Table3.1[[#This Row],[DM Incubated, mg]]*'2.4 NDF'!R47/100</f>
        <v>283.71611257967356</v>
      </c>
      <c r="Z69" s="37">
        <f t="shared" si="2"/>
        <v>-60.483887420326482</v>
      </c>
      <c r="AA69" s="37">
        <f t="shared" si="3"/>
        <v>-21.318453460531366</v>
      </c>
      <c r="AB69" s="89"/>
    </row>
    <row r="70" spans="2:28" x14ac:dyDescent="0.35">
      <c r="B70" s="230">
        <f t="shared" si="0"/>
        <v>60</v>
      </c>
      <c r="C70" s="61">
        <v>45635</v>
      </c>
      <c r="D70" s="248">
        <f>Table3.110[[#This Row],[Date]]</f>
        <v>46041</v>
      </c>
      <c r="E70" s="230" t="str">
        <f>Table3.110[[#This Row],[Requisitioner]]</f>
        <v>Genbank</v>
      </c>
      <c r="F70" s="230" t="str">
        <f>Table3.110[[#This Row],[Gene Bank ID]]</f>
        <v>CIAT-33119</v>
      </c>
      <c r="G70" s="230" t="str">
        <f>Table3.110[[#This Row],[Genus]]</f>
        <v>Dendrolobium</v>
      </c>
      <c r="H70" s="230" t="str">
        <f>Table3.110[[#This Row],[Species]]</f>
        <v>triangulare</v>
      </c>
      <c r="I70" s="230" t="str">
        <f>Table3.110[[#This Row],[Tax Name]]</f>
        <v>Dendrolobium triangulare</v>
      </c>
      <c r="J70" s="230" t="str">
        <f>Table3.110[[#This Row],[Family]]</f>
        <v>Fabaceae</v>
      </c>
      <c r="K70" s="230" t="str">
        <f>Table3.110[[#This Row],[Order]]</f>
        <v>Fabales</v>
      </c>
      <c r="L70" s="230" t="str">
        <f>Table3.110[[#This Row],[Functional Group]]</f>
        <v>Tree</v>
      </c>
      <c r="M70" s="230" t="str">
        <f>Table3.110[[#This Row],[CIAT ID]]</f>
        <v>F251746</v>
      </c>
      <c r="N70" s="230">
        <f>Table3.110[[#This Row],[Set CIAT]]</f>
        <v>27</v>
      </c>
      <c r="O70" s="230">
        <f>Table3.110[[#This Row],[Batch]]</f>
        <v>58</v>
      </c>
      <c r="P70" s="230">
        <f>Table3.110[[#This Row],[Run]]</f>
        <v>1</v>
      </c>
      <c r="Q70" s="230">
        <f>Table3.110[[#This Row],[Replication]]</f>
        <v>2</v>
      </c>
      <c r="R70" s="230">
        <f>Table3.110[[#This Row],[Syrange No]]</f>
        <v>240</v>
      </c>
      <c r="S70" s="110">
        <v>0.58409999999999995</v>
      </c>
      <c r="T70" s="110">
        <v>0.86760000000000004</v>
      </c>
      <c r="U70" s="108"/>
      <c r="V70" s="254">
        <f t="shared" si="1"/>
        <v>0.28350000000000009</v>
      </c>
      <c r="W70" s="61">
        <f>Table3.110[[#This Row],[DM Incubated, mg]]-('3.2 Digest'!V70*1000)</f>
        <v>193.22140857742647</v>
      </c>
      <c r="X70" s="61">
        <f>W70/Table3.110[[#This Row],[DM Incubated, mg]]*100</f>
        <v>40.531305097879709</v>
      </c>
      <c r="Y70" s="37">
        <f>Table3.1[[#This Row],[DM Incubated, mg]]*'2.4 NDF'!R47/100</f>
        <v>283.54608694288987</v>
      </c>
      <c r="Z70" s="37">
        <f t="shared" si="2"/>
        <v>4.608694288975812E-2</v>
      </c>
      <c r="AA70" s="37">
        <f t="shared" si="3"/>
        <v>1.6253774963588433E-2</v>
      </c>
      <c r="AB70" s="89"/>
    </row>
    <row r="71" spans="2:28" x14ac:dyDescent="0.35">
      <c r="B71" s="230">
        <f t="shared" si="0"/>
        <v>61</v>
      </c>
      <c r="C71" s="61">
        <v>45635</v>
      </c>
      <c r="D71" s="248">
        <f>Table3.110[[#This Row],[Date]]</f>
        <v>46041</v>
      </c>
      <c r="E71" s="230" t="str">
        <f>Table3.110[[#This Row],[Requisitioner]]</f>
        <v>Genbank</v>
      </c>
      <c r="F71" s="230" t="str">
        <f>Table3.110[[#This Row],[Gene Bank ID]]</f>
        <v>CIAT-33119</v>
      </c>
      <c r="G71" s="230" t="str">
        <f>Table3.110[[#This Row],[Genus]]</f>
        <v>Dendrolobium</v>
      </c>
      <c r="H71" s="230" t="str">
        <f>Table3.110[[#This Row],[Species]]</f>
        <v>triangulare</v>
      </c>
      <c r="I71" s="230" t="str">
        <f>Table3.110[[#This Row],[Tax Name]]</f>
        <v>Dendrolobium triangulare</v>
      </c>
      <c r="J71" s="230" t="str">
        <f>Table3.110[[#This Row],[Family]]</f>
        <v>Fabaceae</v>
      </c>
      <c r="K71" s="230" t="str">
        <f>Table3.110[[#This Row],[Order]]</f>
        <v>Fabales</v>
      </c>
      <c r="L71" s="230" t="str">
        <f>Table3.110[[#This Row],[Functional Group]]</f>
        <v>Tree</v>
      </c>
      <c r="M71" s="230" t="str">
        <f>Table3.110[[#This Row],[CIAT ID]]</f>
        <v>F251746</v>
      </c>
      <c r="N71" s="230">
        <f>Table3.110[[#This Row],[Set CIAT]]</f>
        <v>27</v>
      </c>
      <c r="O71" s="230">
        <f>Table3.110[[#This Row],[Batch]]</f>
        <v>58</v>
      </c>
      <c r="P71" s="230">
        <f>Table3.110[[#This Row],[Run]]</f>
        <v>1</v>
      </c>
      <c r="Q71" s="230">
        <f>Table3.110[[#This Row],[Replication]]</f>
        <v>3</v>
      </c>
      <c r="R71" s="230">
        <f>Table3.110[[#This Row],[Syrange No]]</f>
        <v>241</v>
      </c>
      <c r="S71" s="265">
        <v>0.56810000000000005</v>
      </c>
      <c r="T71" s="265">
        <v>0.90910000000000002</v>
      </c>
      <c r="U71" s="108"/>
      <c r="V71" s="254">
        <f t="shared" si="1"/>
        <v>0.34099999999999997</v>
      </c>
      <c r="W71" s="61">
        <f>Table3.110[[#This Row],[DM Incubated, mg]]-('3.2 Digest'!V71*1000)</f>
        <v>135.62612146797682</v>
      </c>
      <c r="X71" s="61">
        <f>W71/Table3.110[[#This Row],[DM Incubated, mg]]*100</f>
        <v>28.455452892564381</v>
      </c>
      <c r="Y71" s="37">
        <f>Table3.1[[#This Row],[DM Incubated, mg]]*'2.4 NDF'!R47/100</f>
        <v>283.4894117306286</v>
      </c>
      <c r="Z71" s="37">
        <f t="shared" si="2"/>
        <v>-57.51058826937134</v>
      </c>
      <c r="AA71" s="37">
        <f t="shared" si="3"/>
        <v>-20.286679463012135</v>
      </c>
      <c r="AB71" s="89"/>
    </row>
    <row r="72" spans="2:28" x14ac:dyDescent="0.35">
      <c r="B72" s="230">
        <f t="shared" si="0"/>
        <v>62</v>
      </c>
      <c r="C72" s="61">
        <v>45635</v>
      </c>
      <c r="D72" s="248">
        <f>Table3.110[[#This Row],[Date]]</f>
        <v>46041</v>
      </c>
      <c r="E72" s="230" t="str">
        <f>Table3.110[[#This Row],[Requisitioner]]</f>
        <v>Genbank</v>
      </c>
      <c r="F72" s="230" t="str">
        <f>Table3.110[[#This Row],[Gene Bank ID]]</f>
        <v>CIAT-33383</v>
      </c>
      <c r="G72" s="230" t="str">
        <f>Table3.110[[#This Row],[Genus]]</f>
        <v>Dendrolobium</v>
      </c>
      <c r="H72" s="230" t="str">
        <f>Table3.110[[#This Row],[Species]]</f>
        <v>sp.</v>
      </c>
      <c r="I72" s="230" t="str">
        <f>Table3.110[[#This Row],[Tax Name]]</f>
        <v>Dendrolobium sp.</v>
      </c>
      <c r="J72" s="230" t="str">
        <f>Table3.110[[#This Row],[Family]]</f>
        <v>Fabaceae</v>
      </c>
      <c r="K72" s="230" t="str">
        <f>Table3.110[[#This Row],[Order]]</f>
        <v>Fabales</v>
      </c>
      <c r="L72" s="230" t="str">
        <f>Table3.110[[#This Row],[Functional Group]]</f>
        <v>Tree</v>
      </c>
      <c r="M72" s="230" t="str">
        <f>Table3.110[[#This Row],[CIAT ID]]</f>
        <v>F251747</v>
      </c>
      <c r="N72" s="230">
        <f>Table3.110[[#This Row],[Set CIAT]]</f>
        <v>27</v>
      </c>
      <c r="O72" s="230">
        <f>Table3.110[[#This Row],[Batch]]</f>
        <v>58</v>
      </c>
      <c r="P72" s="230">
        <f>Table3.110[[#This Row],[Run]]</f>
        <v>1</v>
      </c>
      <c r="Q72" s="230">
        <f>Table3.110[[#This Row],[Replication]]</f>
        <v>1</v>
      </c>
      <c r="R72" s="230">
        <f>Table3.110[[#This Row],[Syrange No]]</f>
        <v>242</v>
      </c>
      <c r="S72" s="110">
        <v>0.59150000000000003</v>
      </c>
      <c r="T72" s="110">
        <v>0.94189999999999996</v>
      </c>
      <c r="U72" s="108"/>
      <c r="V72" s="254">
        <f t="shared" si="1"/>
        <v>0.35039999999999993</v>
      </c>
      <c r="W72" s="61">
        <f>Table3.110[[#This Row],[DM Incubated, mg]]-('3.2 Digest'!V72*1000)</f>
        <v>123.05248187587489</v>
      </c>
      <c r="X72" s="61">
        <f>W72/Table3.110[[#This Row],[DM Incubated, mg]]*100</f>
        <v>25.990460835335867</v>
      </c>
      <c r="Y72" s="37">
        <f>Table3.1[[#This Row],[DM Incubated, mg]]*'2.4 NDF'!R49/100</f>
        <v>282.92569187950193</v>
      </c>
      <c r="Z72" s="37">
        <f t="shared" si="2"/>
        <v>-67.474308120497994</v>
      </c>
      <c r="AA72" s="37">
        <f t="shared" si="3"/>
        <v>-23.848773744179905</v>
      </c>
      <c r="AB72" s="89"/>
    </row>
    <row r="73" spans="2:28" x14ac:dyDescent="0.35">
      <c r="B73" s="230">
        <f t="shared" si="0"/>
        <v>63</v>
      </c>
      <c r="C73" s="61">
        <v>45635</v>
      </c>
      <c r="D73" s="248">
        <f>Table3.110[[#This Row],[Date]]</f>
        <v>46041</v>
      </c>
      <c r="E73" s="230" t="str">
        <f>Table3.110[[#This Row],[Requisitioner]]</f>
        <v>Genbank</v>
      </c>
      <c r="F73" s="230" t="str">
        <f>Table3.110[[#This Row],[Gene Bank ID]]</f>
        <v>CIAT-33383</v>
      </c>
      <c r="G73" s="230" t="str">
        <f>Table3.110[[#This Row],[Genus]]</f>
        <v>Dendrolobium</v>
      </c>
      <c r="H73" s="230" t="str">
        <f>Table3.110[[#This Row],[Species]]</f>
        <v>sp.</v>
      </c>
      <c r="I73" s="230" t="str">
        <f>Table3.110[[#This Row],[Tax Name]]</f>
        <v>Dendrolobium sp.</v>
      </c>
      <c r="J73" s="230" t="str">
        <f>Table3.110[[#This Row],[Family]]</f>
        <v>Fabaceae</v>
      </c>
      <c r="K73" s="230" t="str">
        <f>Table3.110[[#This Row],[Order]]</f>
        <v>Fabales</v>
      </c>
      <c r="L73" s="230" t="str">
        <f>Table3.110[[#This Row],[Functional Group]]</f>
        <v>Tree</v>
      </c>
      <c r="M73" s="230" t="str">
        <f>Table3.110[[#This Row],[CIAT ID]]</f>
        <v>F251747</v>
      </c>
      <c r="N73" s="230">
        <f>Table3.110[[#This Row],[Set CIAT]]</f>
        <v>27</v>
      </c>
      <c r="O73" s="230">
        <f>Table3.110[[#This Row],[Batch]]</f>
        <v>58</v>
      </c>
      <c r="P73" s="230">
        <f>Table3.110[[#This Row],[Run]]</f>
        <v>1</v>
      </c>
      <c r="Q73" s="230">
        <f>Table3.110[[#This Row],[Replication]]</f>
        <v>2</v>
      </c>
      <c r="R73" s="230">
        <f>Table3.110[[#This Row],[Syrange No]]</f>
        <v>243</v>
      </c>
      <c r="S73" s="265">
        <v>0.57940000000000003</v>
      </c>
      <c r="T73" s="265">
        <v>0.88319999999999999</v>
      </c>
      <c r="U73" s="108"/>
      <c r="V73" s="254">
        <f t="shared" si="1"/>
        <v>0.30379999999999996</v>
      </c>
      <c r="W73" s="61">
        <f>Table3.110[[#This Row],[DM Incubated, mg]]-('3.2 Digest'!V73*1000)</f>
        <v>169.93649656206304</v>
      </c>
      <c r="X73" s="61">
        <f>W73/Table3.110[[#This Row],[DM Incubated, mg]]*100</f>
        <v>35.871523050325109</v>
      </c>
      <c r="Y73" s="37">
        <f>Table3.1[[#This Row],[DM Incubated, mg]]*'2.4 NDF'!R49/100</f>
        <v>283.09541335033538</v>
      </c>
      <c r="Z73" s="37">
        <f t="shared" si="2"/>
        <v>-20.704586649664577</v>
      </c>
      <c r="AA73" s="37">
        <f t="shared" si="3"/>
        <v>-7.3136425647568863</v>
      </c>
      <c r="AB73" s="89"/>
    </row>
    <row r="74" spans="2:28" x14ac:dyDescent="0.35">
      <c r="B74" s="230">
        <f t="shared" si="0"/>
        <v>64</v>
      </c>
      <c r="C74" s="61">
        <v>45635</v>
      </c>
      <c r="D74" s="248">
        <f>Table3.110[[#This Row],[Date]]</f>
        <v>46041</v>
      </c>
      <c r="E74" s="230" t="str">
        <f>Table3.110[[#This Row],[Requisitioner]]</f>
        <v>Genbank</v>
      </c>
      <c r="F74" s="230" t="str">
        <f>Table3.110[[#This Row],[Gene Bank ID]]</f>
        <v>CIAT-33383</v>
      </c>
      <c r="G74" s="230" t="str">
        <f>Table3.110[[#This Row],[Genus]]</f>
        <v>Dendrolobium</v>
      </c>
      <c r="H74" s="230" t="str">
        <f>Table3.110[[#This Row],[Species]]</f>
        <v>sp.</v>
      </c>
      <c r="I74" s="230" t="str">
        <f>Table3.110[[#This Row],[Tax Name]]</f>
        <v>Dendrolobium sp.</v>
      </c>
      <c r="J74" s="230" t="str">
        <f>Table3.110[[#This Row],[Family]]</f>
        <v>Fabaceae</v>
      </c>
      <c r="K74" s="230" t="str">
        <f>Table3.110[[#This Row],[Order]]</f>
        <v>Fabales</v>
      </c>
      <c r="L74" s="230" t="str">
        <f>Table3.110[[#This Row],[Functional Group]]</f>
        <v>Tree</v>
      </c>
      <c r="M74" s="230" t="str">
        <f>Table3.110[[#This Row],[CIAT ID]]</f>
        <v>F251747</v>
      </c>
      <c r="N74" s="230">
        <f>Table3.110[[#This Row],[Set CIAT]]</f>
        <v>27</v>
      </c>
      <c r="O74" s="230">
        <f>Table3.110[[#This Row],[Batch]]</f>
        <v>58</v>
      </c>
      <c r="P74" s="230">
        <f>Table3.110[[#This Row],[Run]]</f>
        <v>1</v>
      </c>
      <c r="Q74" s="230">
        <f>Table3.110[[#This Row],[Replication]]</f>
        <v>3</v>
      </c>
      <c r="R74" s="230">
        <f>Table3.110[[#This Row],[Syrange No]]</f>
        <v>244</v>
      </c>
      <c r="S74" s="110">
        <v>0.58620000000000005</v>
      </c>
      <c r="T74" s="110">
        <v>0.9677</v>
      </c>
      <c r="U74" s="108"/>
      <c r="V74" s="254">
        <f t="shared" si="1"/>
        <v>0.38149999999999995</v>
      </c>
      <c r="W74" s="61">
        <f>Table3.110[[#This Row],[DM Incubated, mg]]-('3.2 Digest'!V74*1000)</f>
        <v>91.952481875874867</v>
      </c>
      <c r="X74" s="61">
        <f>W74/Table3.110[[#This Row],[DM Incubated, mg]]*100</f>
        <v>19.421691805595408</v>
      </c>
      <c r="Y74" s="37">
        <f>Table3.1[[#This Row],[DM Incubated, mg]]*'2.4 NDF'!R49/100</f>
        <v>282.92569187950193</v>
      </c>
      <c r="Z74" s="37">
        <f t="shared" si="2"/>
        <v>-98.574308120498017</v>
      </c>
      <c r="AA74" s="37">
        <f t="shared" si="3"/>
        <v>-34.841059313369399</v>
      </c>
      <c r="AB74" s="89"/>
    </row>
    <row r="75" spans="2:28" x14ac:dyDescent="0.35">
      <c r="B75" s="230">
        <f t="shared" si="0"/>
        <v>65</v>
      </c>
      <c r="C75" s="61">
        <v>45635</v>
      </c>
      <c r="D75" s="248">
        <f>Table3.110[[#This Row],[Date]]</f>
        <v>46041</v>
      </c>
      <c r="E75" s="230" t="str">
        <f>Table3.110[[#This Row],[Requisitioner]]</f>
        <v>Genbank</v>
      </c>
      <c r="F75" s="230" t="str">
        <f>Table3.110[[#This Row],[Gene Bank ID]]</f>
        <v>CIAT-33402</v>
      </c>
      <c r="G75" s="230" t="str">
        <f>Table3.110[[#This Row],[Genus]]</f>
        <v>Dendrolobium</v>
      </c>
      <c r="H75" s="230" t="str">
        <f>Table3.110[[#This Row],[Species]]</f>
        <v>triangulare</v>
      </c>
      <c r="I75" s="230" t="str">
        <f>Table3.110[[#This Row],[Tax Name]]</f>
        <v>Dendrolobium triangulare</v>
      </c>
      <c r="J75" s="230" t="str">
        <f>Table3.110[[#This Row],[Family]]</f>
        <v>Fabaceae</v>
      </c>
      <c r="K75" s="230" t="str">
        <f>Table3.110[[#This Row],[Order]]</f>
        <v>Fabales</v>
      </c>
      <c r="L75" s="230" t="str">
        <f>Table3.110[[#This Row],[Functional Group]]</f>
        <v>Tree</v>
      </c>
      <c r="M75" s="230" t="str">
        <f>Table3.110[[#This Row],[CIAT ID]]</f>
        <v>F251748</v>
      </c>
      <c r="N75" s="230">
        <f>Table3.110[[#This Row],[Set CIAT]]</f>
        <v>27</v>
      </c>
      <c r="O75" s="230">
        <f>Table3.110[[#This Row],[Batch]]</f>
        <v>58</v>
      </c>
      <c r="P75" s="230">
        <f>Table3.110[[#This Row],[Run]]</f>
        <v>1</v>
      </c>
      <c r="Q75" s="230">
        <f>Table3.110[[#This Row],[Replication]]</f>
        <v>1</v>
      </c>
      <c r="R75" s="230">
        <f>Table3.110[[#This Row],[Syrange No]]</f>
        <v>245</v>
      </c>
      <c r="S75" s="265">
        <v>0.57799999999999996</v>
      </c>
      <c r="T75" s="265">
        <v>0.92159999999999997</v>
      </c>
      <c r="U75" s="231"/>
      <c r="V75" s="254">
        <f t="shared" si="1"/>
        <v>0.34360000000000002</v>
      </c>
      <c r="W75" s="61">
        <f>Table3.110[[#This Row],[DM Incubated, mg]]-('3.2 Digest'!V75*1000)</f>
        <v>130.0326144469297</v>
      </c>
      <c r="X75" s="61">
        <f>W75/Table3.110[[#This Row],[DM Incubated, mg]]*100</f>
        <v>27.454320179950315</v>
      </c>
      <c r="Y75" s="37">
        <f>Table3.1[[#This Row],[DM Incubated, mg]]*'2.4 NDF'!R51/100</f>
        <v>284.61246467926287</v>
      </c>
      <c r="Z75" s="37">
        <f t="shared" si="2"/>
        <v>-58.987535320737152</v>
      </c>
      <c r="AA75" s="37">
        <f t="shared" si="3"/>
        <v>-20.725562876247082</v>
      </c>
      <c r="AB75" s="89"/>
    </row>
    <row r="76" spans="2:28" x14ac:dyDescent="0.35">
      <c r="B76" s="230">
        <f t="shared" si="0"/>
        <v>66</v>
      </c>
      <c r="C76" s="61">
        <v>45635</v>
      </c>
      <c r="D76" s="248">
        <f>Table3.110[[#This Row],[Date]]</f>
        <v>46041</v>
      </c>
      <c r="E76" s="230" t="str">
        <f>Table3.110[[#This Row],[Requisitioner]]</f>
        <v>Genbank</v>
      </c>
      <c r="F76" s="230" t="str">
        <f>Table3.110[[#This Row],[Gene Bank ID]]</f>
        <v>CIAT-33402</v>
      </c>
      <c r="G76" s="230" t="str">
        <f>Table3.110[[#This Row],[Genus]]</f>
        <v>Dendrolobium</v>
      </c>
      <c r="H76" s="230" t="str">
        <f>Table3.110[[#This Row],[Species]]</f>
        <v>triangulare</v>
      </c>
      <c r="I76" s="230" t="str">
        <f>Table3.110[[#This Row],[Tax Name]]</f>
        <v>Dendrolobium triangulare</v>
      </c>
      <c r="J76" s="230" t="str">
        <f>Table3.110[[#This Row],[Family]]</f>
        <v>Fabaceae</v>
      </c>
      <c r="K76" s="230" t="str">
        <f>Table3.110[[#This Row],[Order]]</f>
        <v>Fabales</v>
      </c>
      <c r="L76" s="230" t="str">
        <f>Table3.110[[#This Row],[Functional Group]]</f>
        <v>Tree</v>
      </c>
      <c r="M76" s="230" t="str">
        <f>Table3.110[[#This Row],[CIAT ID]]</f>
        <v>F251748</v>
      </c>
      <c r="N76" s="230">
        <f>Table3.110[[#This Row],[Set CIAT]]</f>
        <v>27</v>
      </c>
      <c r="O76" s="230">
        <f>Table3.110[[#This Row],[Batch]]</f>
        <v>58</v>
      </c>
      <c r="P76" s="230">
        <f>Table3.110[[#This Row],[Run]]</f>
        <v>1</v>
      </c>
      <c r="Q76" s="230">
        <f>Table3.110[[#This Row],[Replication]]</f>
        <v>2</v>
      </c>
      <c r="R76" s="230">
        <f>Table3.110[[#This Row],[Syrange No]]</f>
        <v>246</v>
      </c>
      <c r="S76" s="110">
        <v>0.57509999999999994</v>
      </c>
      <c r="T76" s="110">
        <v>0.92600000000000005</v>
      </c>
      <c r="U76" s="108"/>
      <c r="V76" s="254">
        <f t="shared" si="1"/>
        <v>0.3509000000000001</v>
      </c>
      <c r="W76" s="61">
        <f>Table3.110[[#This Row],[DM Incubated, mg]]-('3.2 Digest'!V76*1000)</f>
        <v>122.73261444692963</v>
      </c>
      <c r="X76" s="61">
        <f>W76/Table3.110[[#This Row],[DM Incubated, mg]]*100</f>
        <v>25.913041184937601</v>
      </c>
      <c r="Y76" s="37">
        <f>Table3.1[[#This Row],[DM Incubated, mg]]*'2.4 NDF'!R51/100</f>
        <v>284.61246467926287</v>
      </c>
      <c r="Z76" s="37">
        <f t="shared" si="2"/>
        <v>-66.28753532073722</v>
      </c>
      <c r="AA76" s="37">
        <f t="shared" si="3"/>
        <v>-23.290454054933381</v>
      </c>
      <c r="AB76" s="89"/>
    </row>
    <row r="77" spans="2:28" x14ac:dyDescent="0.35">
      <c r="B77" s="230">
        <f t="shared" ref="B77:B140" si="4">B76+1</f>
        <v>67</v>
      </c>
      <c r="C77" s="61">
        <v>45635</v>
      </c>
      <c r="D77" s="248">
        <f>Table3.110[[#This Row],[Date]]</f>
        <v>46041</v>
      </c>
      <c r="E77" s="230" t="str">
        <f>Table3.110[[#This Row],[Requisitioner]]</f>
        <v>Genbank</v>
      </c>
      <c r="F77" s="230" t="str">
        <f>Table3.110[[#This Row],[Gene Bank ID]]</f>
        <v>CIAT-33402</v>
      </c>
      <c r="G77" s="230" t="str">
        <f>Table3.110[[#This Row],[Genus]]</f>
        <v>Dendrolobium</v>
      </c>
      <c r="H77" s="230" t="str">
        <f>Table3.110[[#This Row],[Species]]</f>
        <v>triangulare</v>
      </c>
      <c r="I77" s="230" t="str">
        <f>Table3.110[[#This Row],[Tax Name]]</f>
        <v>Dendrolobium triangulare</v>
      </c>
      <c r="J77" s="230" t="str">
        <f>Table3.110[[#This Row],[Family]]</f>
        <v>Fabaceae</v>
      </c>
      <c r="K77" s="230" t="str">
        <f>Table3.110[[#This Row],[Order]]</f>
        <v>Fabales</v>
      </c>
      <c r="L77" s="230" t="str">
        <f>Table3.110[[#This Row],[Functional Group]]</f>
        <v>Tree</v>
      </c>
      <c r="M77" s="230" t="str">
        <f>Table3.110[[#This Row],[CIAT ID]]</f>
        <v>F251748</v>
      </c>
      <c r="N77" s="230">
        <f>Table3.110[[#This Row],[Set CIAT]]</f>
        <v>27</v>
      </c>
      <c r="O77" s="230">
        <f>Table3.110[[#This Row],[Batch]]</f>
        <v>58</v>
      </c>
      <c r="P77" s="230">
        <f>Table3.110[[#This Row],[Run]]</f>
        <v>1</v>
      </c>
      <c r="Q77" s="230">
        <f>Table3.110[[#This Row],[Replication]]</f>
        <v>3</v>
      </c>
      <c r="R77" s="230">
        <f>Table3.110[[#This Row],[Syrange No]]</f>
        <v>247</v>
      </c>
      <c r="S77" s="265">
        <v>0.57809999999999995</v>
      </c>
      <c r="T77" s="265">
        <v>0.95279999999999998</v>
      </c>
      <c r="U77" s="108"/>
      <c r="V77" s="254">
        <f t="shared" si="1"/>
        <v>0.37470000000000003</v>
      </c>
      <c r="W77" s="61">
        <f>Table3.110[[#This Row],[DM Incubated, mg]]-('3.2 Digest'!V77*1000)</f>
        <v>98.459454991937832</v>
      </c>
      <c r="X77" s="61">
        <f>W77/Table3.110[[#This Row],[DM Incubated, mg]]*100</f>
        <v>20.808937442371402</v>
      </c>
      <c r="Y77" s="37">
        <f>Table3.1[[#This Row],[DM Incubated, mg]]*'2.4 NDF'!R51/100</f>
        <v>284.32813654272019</v>
      </c>
      <c r="Z77" s="37">
        <f t="shared" si="2"/>
        <v>-90.371863457279858</v>
      </c>
      <c r="AA77" s="37">
        <f t="shared" si="3"/>
        <v>-31.784354709369932</v>
      </c>
      <c r="AB77" s="89"/>
    </row>
    <row r="78" spans="2:28" x14ac:dyDescent="0.35">
      <c r="B78" s="230">
        <f t="shared" si="4"/>
        <v>68</v>
      </c>
      <c r="C78" s="61">
        <v>45635</v>
      </c>
      <c r="D78" s="248">
        <f>Table3.110[[#This Row],[Date]]</f>
        <v>46041</v>
      </c>
      <c r="E78" s="230" t="str">
        <f>Table3.110[[#This Row],[Requisitioner]]</f>
        <v>Genbank</v>
      </c>
      <c r="F78" s="230" t="str">
        <f>Table3.110[[#This Row],[Gene Bank ID]]</f>
        <v>CIAT-33508</v>
      </c>
      <c r="G78" s="230" t="str">
        <f>Table3.110[[#This Row],[Genus]]</f>
        <v>Dendrolobium</v>
      </c>
      <c r="H78" s="230" t="str">
        <f>Table3.110[[#This Row],[Species]]</f>
        <v>umbellatum</v>
      </c>
      <c r="I78" s="230" t="str">
        <f>Table3.110[[#This Row],[Tax Name]]</f>
        <v>Dendrolobium umbellatum</v>
      </c>
      <c r="J78" s="230" t="str">
        <f>Table3.110[[#This Row],[Family]]</f>
        <v>Fabaceae</v>
      </c>
      <c r="K78" s="230" t="str">
        <f>Table3.110[[#This Row],[Order]]</f>
        <v>Fabales</v>
      </c>
      <c r="L78" s="230" t="str">
        <f>Table3.110[[#This Row],[Functional Group]]</f>
        <v>Tree</v>
      </c>
      <c r="M78" s="230" t="str">
        <f>Table3.110[[#This Row],[CIAT ID]]</f>
        <v>F251749</v>
      </c>
      <c r="N78" s="230">
        <f>Table3.110[[#This Row],[Set CIAT]]</f>
        <v>27</v>
      </c>
      <c r="O78" s="230">
        <f>Table3.110[[#This Row],[Batch]]</f>
        <v>58</v>
      </c>
      <c r="P78" s="230">
        <f>Table3.110[[#This Row],[Run]]</f>
        <v>1</v>
      </c>
      <c r="Q78" s="230">
        <f>Table3.110[[#This Row],[Replication]]</f>
        <v>1</v>
      </c>
      <c r="R78" s="230">
        <f>Table3.110[[#This Row],[Syrange No]]</f>
        <v>248</v>
      </c>
      <c r="S78" s="110">
        <v>0.60440000000000005</v>
      </c>
      <c r="T78" s="110">
        <v>1.0062</v>
      </c>
      <c r="U78" s="108"/>
      <c r="V78" s="254">
        <f t="shared" ref="V78:V141" si="5">T78-S78</f>
        <v>0.40179999999999993</v>
      </c>
      <c r="W78" s="61">
        <f>Table3.110[[#This Row],[DM Incubated, mg]]-('3.2 Digest'!V78*1000)</f>
        <v>67.493713426818204</v>
      </c>
      <c r="X78" s="61">
        <f>W78/Table3.110[[#This Row],[DM Incubated, mg]]*100</f>
        <v>14.381976893313572</v>
      </c>
      <c r="Y78" s="37">
        <f>Table3.1[[#This Row],[DM Incubated, mg]]*'2.4 NDF'!R53/100</f>
        <v>273.886569728312</v>
      </c>
      <c r="Z78" s="37">
        <f t="shared" ref="Z78:Z141" si="6">Y78-(V78*1000)</f>
        <v>-127.91343027168796</v>
      </c>
      <c r="AA78" s="37">
        <f t="shared" ref="AA78:AA141" si="7">Z78/Y78*100</f>
        <v>-46.703067769469158</v>
      </c>
      <c r="AB78" s="89" t="s">
        <v>546</v>
      </c>
    </row>
    <row r="79" spans="2:28" x14ac:dyDescent="0.35">
      <c r="B79" s="230">
        <f t="shared" si="4"/>
        <v>69</v>
      </c>
      <c r="C79" s="61">
        <v>45635</v>
      </c>
      <c r="D79" s="248">
        <f>Table3.110[[#This Row],[Date]]</f>
        <v>46041</v>
      </c>
      <c r="E79" s="230" t="str">
        <f>Table3.110[[#This Row],[Requisitioner]]</f>
        <v>Genbank</v>
      </c>
      <c r="F79" s="230" t="str">
        <f>Table3.110[[#This Row],[Gene Bank ID]]</f>
        <v>CIAT-33508</v>
      </c>
      <c r="G79" s="230" t="str">
        <f>Table3.110[[#This Row],[Genus]]</f>
        <v>Dendrolobium</v>
      </c>
      <c r="H79" s="230" t="str">
        <f>Table3.110[[#This Row],[Species]]</f>
        <v>umbellatum</v>
      </c>
      <c r="I79" s="230" t="str">
        <f>Table3.110[[#This Row],[Tax Name]]</f>
        <v>Dendrolobium umbellatum</v>
      </c>
      <c r="J79" s="230" t="str">
        <f>Table3.110[[#This Row],[Family]]</f>
        <v>Fabaceae</v>
      </c>
      <c r="K79" s="230" t="str">
        <f>Table3.110[[#This Row],[Order]]</f>
        <v>Fabales</v>
      </c>
      <c r="L79" s="230" t="str">
        <f>Table3.110[[#This Row],[Functional Group]]</f>
        <v>Tree</v>
      </c>
      <c r="M79" s="230" t="str">
        <f>Table3.110[[#This Row],[CIAT ID]]</f>
        <v>F251749</v>
      </c>
      <c r="N79" s="230">
        <f>Table3.110[[#This Row],[Set CIAT]]</f>
        <v>27</v>
      </c>
      <c r="O79" s="230">
        <f>Table3.110[[#This Row],[Batch]]</f>
        <v>58</v>
      </c>
      <c r="P79" s="230">
        <f>Table3.110[[#This Row],[Run]]</f>
        <v>1</v>
      </c>
      <c r="Q79" s="230">
        <f>Table3.110[[#This Row],[Replication]]</f>
        <v>2</v>
      </c>
      <c r="R79" s="230">
        <f>Table3.110[[#This Row],[Syrange No]]</f>
        <v>249</v>
      </c>
      <c r="S79" s="265">
        <v>0.57430000000000003</v>
      </c>
      <c r="T79" s="265">
        <v>0.83960000000000001</v>
      </c>
      <c r="U79" s="108"/>
      <c r="V79" s="254">
        <f t="shared" si="5"/>
        <v>0.26529999999999998</v>
      </c>
      <c r="W79" s="61">
        <f>Table3.110[[#This Row],[DM Incubated, mg]]-('3.2 Digest'!V79*1000)</f>
        <v>203.80622093244062</v>
      </c>
      <c r="X79" s="61">
        <f>W79/Table3.110[[#This Row],[DM Incubated, mg]]*100</f>
        <v>43.445644469889103</v>
      </c>
      <c r="Y79" s="37">
        <f>Table3.1[[#This Row],[DM Incubated, mg]]*'2.4 NDF'!R53/100</f>
        <v>273.77714640840446</v>
      </c>
      <c r="Z79" s="37">
        <f t="shared" si="6"/>
        <v>8.4771464084045078</v>
      </c>
      <c r="AA79" s="37">
        <f t="shared" si="7"/>
        <v>3.0963674359286384</v>
      </c>
      <c r="AB79" s="89"/>
    </row>
    <row r="80" spans="2:28" x14ac:dyDescent="0.35">
      <c r="B80" s="230">
        <f t="shared" si="4"/>
        <v>70</v>
      </c>
      <c r="C80" s="61">
        <v>45635</v>
      </c>
      <c r="D80" s="248">
        <f>Table3.110[[#This Row],[Date]]</f>
        <v>46041</v>
      </c>
      <c r="E80" s="230" t="str">
        <f>Table3.110[[#This Row],[Requisitioner]]</f>
        <v>Genbank</v>
      </c>
      <c r="F80" s="230" t="str">
        <f>Table3.110[[#This Row],[Gene Bank ID]]</f>
        <v>CIAT-33508</v>
      </c>
      <c r="G80" s="230" t="str">
        <f>Table3.110[[#This Row],[Genus]]</f>
        <v>Dendrolobium</v>
      </c>
      <c r="H80" s="230" t="str">
        <f>Table3.110[[#This Row],[Species]]</f>
        <v>umbellatum</v>
      </c>
      <c r="I80" s="230" t="str">
        <f>Table3.110[[#This Row],[Tax Name]]</f>
        <v>Dendrolobium umbellatum</v>
      </c>
      <c r="J80" s="230" t="str">
        <f>Table3.110[[#This Row],[Family]]</f>
        <v>Fabaceae</v>
      </c>
      <c r="K80" s="230" t="str">
        <f>Table3.110[[#This Row],[Order]]</f>
        <v>Fabales</v>
      </c>
      <c r="L80" s="230" t="str">
        <f>Table3.110[[#This Row],[Functional Group]]</f>
        <v>Tree</v>
      </c>
      <c r="M80" s="230" t="str">
        <f>Table3.110[[#This Row],[CIAT ID]]</f>
        <v>F251749</v>
      </c>
      <c r="N80" s="230">
        <f>Table3.110[[#This Row],[Set CIAT]]</f>
        <v>27</v>
      </c>
      <c r="O80" s="230">
        <f>Table3.110[[#This Row],[Batch]]</f>
        <v>58</v>
      </c>
      <c r="P80" s="230">
        <f>Table3.110[[#This Row],[Run]]</f>
        <v>1</v>
      </c>
      <c r="Q80" s="230">
        <f>Table3.110[[#This Row],[Replication]]</f>
        <v>3</v>
      </c>
      <c r="R80" s="230">
        <f>Table3.110[[#This Row],[Syrange No]]</f>
        <v>250</v>
      </c>
      <c r="S80" s="110">
        <v>0.60609999999999997</v>
      </c>
      <c r="T80" s="110">
        <v>0.95940000000000003</v>
      </c>
      <c r="U80" s="108"/>
      <c r="V80" s="254">
        <f t="shared" si="5"/>
        <v>0.35330000000000006</v>
      </c>
      <c r="W80" s="61">
        <f>Table3.110[[#This Row],[DM Incubated, mg]]-('3.2 Digest'!V80*1000)</f>
        <v>115.99371342681809</v>
      </c>
      <c r="X80" s="61">
        <f>W80/Table3.110[[#This Row],[DM Incubated, mg]]*100</f>
        <v>24.716656138396406</v>
      </c>
      <c r="Y80" s="37">
        <f>Table3.1[[#This Row],[DM Incubated, mg]]*'2.4 NDF'!R53/100</f>
        <v>273.886569728312</v>
      </c>
      <c r="Z80" s="37">
        <f t="shared" si="6"/>
        <v>-79.413430271688071</v>
      </c>
      <c r="AA80" s="37">
        <f t="shared" si="7"/>
        <v>-28.995007075543729</v>
      </c>
      <c r="AB80" s="89"/>
    </row>
    <row r="81" spans="2:29" x14ac:dyDescent="0.35">
      <c r="B81" s="230">
        <f t="shared" si="4"/>
        <v>71</v>
      </c>
      <c r="C81" s="61">
        <v>45635</v>
      </c>
      <c r="D81" s="248">
        <f>Table3.110[[#This Row],[Date]]</f>
        <v>46041</v>
      </c>
      <c r="E81" s="230" t="str">
        <f>Table3.110[[#This Row],[Requisitioner]]</f>
        <v>Genbank</v>
      </c>
      <c r="F81" s="230" t="str">
        <f>Table3.110[[#This Row],[Gene Bank ID]]</f>
        <v>CIAT-33515</v>
      </c>
      <c r="G81" s="230" t="str">
        <f>Table3.110[[#This Row],[Genus]]</f>
        <v>Dendrolobium</v>
      </c>
      <c r="H81" s="230" t="str">
        <f>Table3.110[[#This Row],[Species]]</f>
        <v>triangulare</v>
      </c>
      <c r="I81" s="230" t="str">
        <f>Table3.110[[#This Row],[Tax Name]]</f>
        <v>Dendrolobium triangulare</v>
      </c>
      <c r="J81" s="230" t="str">
        <f>Table3.110[[#This Row],[Family]]</f>
        <v>Fabaceae</v>
      </c>
      <c r="K81" s="230" t="str">
        <f>Table3.110[[#This Row],[Order]]</f>
        <v>Fabales</v>
      </c>
      <c r="L81" s="230" t="str">
        <f>Table3.110[[#This Row],[Functional Group]]</f>
        <v>Tree</v>
      </c>
      <c r="M81" s="230" t="str">
        <f>Table3.110[[#This Row],[CIAT ID]]</f>
        <v>F251750</v>
      </c>
      <c r="N81" s="230">
        <f>Table3.110[[#This Row],[Set CIAT]]</f>
        <v>27</v>
      </c>
      <c r="O81" s="230">
        <f>Table3.110[[#This Row],[Batch]]</f>
        <v>58</v>
      </c>
      <c r="P81" s="230">
        <f>Table3.110[[#This Row],[Run]]</f>
        <v>1</v>
      </c>
      <c r="Q81" s="230">
        <f>Table3.110[[#This Row],[Replication]]</f>
        <v>1</v>
      </c>
      <c r="R81" s="230">
        <f>Table3.110[[#This Row],[Syrange No]]</f>
        <v>251</v>
      </c>
      <c r="S81" s="265">
        <v>0.5806</v>
      </c>
      <c r="T81" s="265">
        <v>1.012</v>
      </c>
      <c r="U81" s="108"/>
      <c r="V81" s="254">
        <f t="shared" si="5"/>
        <v>0.43140000000000001</v>
      </c>
      <c r="W81" s="61">
        <f>Table3.110[[#This Row],[DM Incubated, mg]]-('3.2 Digest'!V81*1000)</f>
        <v>36.122003463960993</v>
      </c>
      <c r="X81" s="61">
        <f>W81/Table3.110[[#This Row],[DM Incubated, mg]]*100</f>
        <v>7.7262681106613345</v>
      </c>
      <c r="Y81" s="37">
        <f>Table3.1[[#This Row],[DM Incubated, mg]]*'2.4 NDF'!R55/100</f>
        <v>296.02366371370704</v>
      </c>
      <c r="Z81" s="37">
        <f t="shared" si="6"/>
        <v>-135.37633628629294</v>
      </c>
      <c r="AA81" s="37">
        <f t="shared" si="7"/>
        <v>-45.731592734160358</v>
      </c>
      <c r="AB81" s="89"/>
    </row>
    <row r="82" spans="2:29" x14ac:dyDescent="0.35">
      <c r="B82" s="230">
        <f t="shared" si="4"/>
        <v>72</v>
      </c>
      <c r="C82" s="61">
        <v>45635</v>
      </c>
      <c r="D82" s="248">
        <f>Table3.110[[#This Row],[Date]]</f>
        <v>46041</v>
      </c>
      <c r="E82" s="230" t="str">
        <f>Table3.110[[#This Row],[Requisitioner]]</f>
        <v>Genbank</v>
      </c>
      <c r="F82" s="230" t="str">
        <f>Table3.110[[#This Row],[Gene Bank ID]]</f>
        <v>CIAT-33515</v>
      </c>
      <c r="G82" s="230" t="str">
        <f>Table3.110[[#This Row],[Genus]]</f>
        <v>Dendrolobium</v>
      </c>
      <c r="H82" s="230" t="str">
        <f>Table3.110[[#This Row],[Species]]</f>
        <v>triangulare</v>
      </c>
      <c r="I82" s="230" t="str">
        <f>Table3.110[[#This Row],[Tax Name]]</f>
        <v>Dendrolobium triangulare</v>
      </c>
      <c r="J82" s="230" t="str">
        <f>Table3.110[[#This Row],[Family]]</f>
        <v>Fabaceae</v>
      </c>
      <c r="K82" s="230" t="str">
        <f>Table3.110[[#This Row],[Order]]</f>
        <v>Fabales</v>
      </c>
      <c r="L82" s="230" t="str">
        <f>Table3.110[[#This Row],[Functional Group]]</f>
        <v>Tree</v>
      </c>
      <c r="M82" s="230" t="str">
        <f>Table3.110[[#This Row],[CIAT ID]]</f>
        <v>F251750</v>
      </c>
      <c r="N82" s="230">
        <f>Table3.110[[#This Row],[Set CIAT]]</f>
        <v>27</v>
      </c>
      <c r="O82" s="230">
        <f>Table3.110[[#This Row],[Batch]]</f>
        <v>58</v>
      </c>
      <c r="P82" s="230">
        <f>Table3.110[[#This Row],[Run]]</f>
        <v>1</v>
      </c>
      <c r="Q82" s="230">
        <f>Table3.110[[#This Row],[Replication]]</f>
        <v>2</v>
      </c>
      <c r="R82" s="230">
        <f>Table3.110[[#This Row],[Syrange No]]</f>
        <v>252</v>
      </c>
      <c r="S82" s="110">
        <v>0.59250000000000003</v>
      </c>
      <c r="T82" s="110">
        <v>0.97140000000000004</v>
      </c>
      <c r="U82" s="108"/>
      <c r="V82" s="254">
        <f t="shared" si="5"/>
        <v>0.37890000000000001</v>
      </c>
      <c r="W82" s="61">
        <f>Table3.110[[#This Row],[DM Incubated, mg]]-('3.2 Digest'!V82*1000)</f>
        <v>88.341770494851687</v>
      </c>
      <c r="X82" s="61">
        <f>W82/Table3.110[[#This Row],[DM Incubated, mg]]*100</f>
        <v>18.907078962843944</v>
      </c>
      <c r="Y82" s="37">
        <f>Table3.1[[#This Row],[DM Incubated, mg]]*'2.4 NDF'!R55/100</f>
        <v>295.84622695224027</v>
      </c>
      <c r="Z82" s="37">
        <f t="shared" si="6"/>
        <v>-83.053773047759762</v>
      </c>
      <c r="AA82" s="37">
        <f t="shared" si="7"/>
        <v>-28.073291284924007</v>
      </c>
      <c r="AB82" s="89"/>
    </row>
    <row r="83" spans="2:29" x14ac:dyDescent="0.35">
      <c r="B83" s="230">
        <f t="shared" si="4"/>
        <v>73</v>
      </c>
      <c r="C83" s="61">
        <v>45635</v>
      </c>
      <c r="D83" s="248">
        <f>Table3.110[[#This Row],[Date]]</f>
        <v>46041</v>
      </c>
      <c r="E83" s="230" t="str">
        <f>Table3.110[[#This Row],[Requisitioner]]</f>
        <v>Genbank</v>
      </c>
      <c r="F83" s="230" t="str">
        <f>Table3.110[[#This Row],[Gene Bank ID]]</f>
        <v>CIAT-33515</v>
      </c>
      <c r="G83" s="230" t="str">
        <f>Table3.110[[#This Row],[Genus]]</f>
        <v>Dendrolobium</v>
      </c>
      <c r="H83" s="230" t="str">
        <f>Table3.110[[#This Row],[Species]]</f>
        <v>triangulare</v>
      </c>
      <c r="I83" s="230" t="str">
        <f>Table3.110[[#This Row],[Tax Name]]</f>
        <v>Dendrolobium triangulare</v>
      </c>
      <c r="J83" s="230" t="str">
        <f>Table3.110[[#This Row],[Family]]</f>
        <v>Fabaceae</v>
      </c>
      <c r="K83" s="230" t="str">
        <f>Table3.110[[#This Row],[Order]]</f>
        <v>Fabales</v>
      </c>
      <c r="L83" s="230" t="str">
        <f>Table3.110[[#This Row],[Functional Group]]</f>
        <v>Tree</v>
      </c>
      <c r="M83" s="230" t="str">
        <f>Table3.110[[#This Row],[CIAT ID]]</f>
        <v>F251750</v>
      </c>
      <c r="N83" s="230">
        <f>Table3.110[[#This Row],[Set CIAT]]</f>
        <v>27</v>
      </c>
      <c r="O83" s="230">
        <f>Table3.110[[#This Row],[Batch]]</f>
        <v>58</v>
      </c>
      <c r="P83" s="230">
        <f>Table3.110[[#This Row],[Run]]</f>
        <v>1</v>
      </c>
      <c r="Q83" s="230">
        <f>Table3.110[[#This Row],[Replication]]</f>
        <v>3</v>
      </c>
      <c r="R83" s="230">
        <f>Table3.110[[#This Row],[Syrange No]]</f>
        <v>253</v>
      </c>
      <c r="S83" s="265">
        <v>0.59809999999999997</v>
      </c>
      <c r="T83" s="265">
        <v>1.1408</v>
      </c>
      <c r="U83" s="108" t="s">
        <v>569</v>
      </c>
      <c r="V83" s="254"/>
      <c r="W83" s="61"/>
      <c r="X83" s="61"/>
      <c r="Y83" s="37"/>
      <c r="Z83" s="37"/>
      <c r="AA83" s="37"/>
      <c r="AB83" s="89" t="s">
        <v>548</v>
      </c>
      <c r="AC83" s="5" t="s">
        <v>677</v>
      </c>
    </row>
    <row r="84" spans="2:29" x14ac:dyDescent="0.35">
      <c r="B84" s="230">
        <f t="shared" si="4"/>
        <v>74</v>
      </c>
      <c r="C84" s="61">
        <v>45635</v>
      </c>
      <c r="D84" s="248">
        <f>Table3.110[[#This Row],[Date]]</f>
        <v>46041</v>
      </c>
      <c r="E84" s="230" t="str">
        <f>Table3.110[[#This Row],[Requisitioner]]</f>
        <v>Genbank</v>
      </c>
      <c r="F84" s="230" t="str">
        <f>Table3.110[[#This Row],[Gene Bank ID]]</f>
        <v>CIAT-7353</v>
      </c>
      <c r="G84" s="230" t="str">
        <f>Table3.110[[#This Row],[Genus]]</f>
        <v>Prosopis</v>
      </c>
      <c r="H84" s="230" t="str">
        <f>Table3.110[[#This Row],[Species]]</f>
        <v>juliflora</v>
      </c>
      <c r="I84" s="230" t="str">
        <f>Table3.110[[#This Row],[Tax Name]]</f>
        <v>Prosopis juliflora</v>
      </c>
      <c r="J84" s="230" t="str">
        <f>Table3.110[[#This Row],[Family]]</f>
        <v>Fabaceae</v>
      </c>
      <c r="K84" s="230" t="str">
        <f>Table3.110[[#This Row],[Order]]</f>
        <v>Fabales</v>
      </c>
      <c r="L84" s="230" t="str">
        <f>Table3.110[[#This Row],[Functional Group]]</f>
        <v>Tree</v>
      </c>
      <c r="M84" s="230" t="str">
        <f>Table3.110[[#This Row],[CIAT ID]]</f>
        <v>F251751</v>
      </c>
      <c r="N84" s="230">
        <f>Table3.110[[#This Row],[Set CIAT]]</f>
        <v>27</v>
      </c>
      <c r="O84" s="230">
        <f>Table3.110[[#This Row],[Batch]]</f>
        <v>58</v>
      </c>
      <c r="P84" s="230">
        <f>Table3.110[[#This Row],[Run]]</f>
        <v>1</v>
      </c>
      <c r="Q84" s="230">
        <f>Table3.110[[#This Row],[Replication]]</f>
        <v>1</v>
      </c>
      <c r="R84" s="230">
        <f>Table3.110[[#This Row],[Syrange No]]</f>
        <v>254</v>
      </c>
      <c r="S84" s="110">
        <v>0.58530000000000004</v>
      </c>
      <c r="T84" s="110">
        <v>0.87350000000000005</v>
      </c>
      <c r="U84" s="108"/>
      <c r="V84" s="254">
        <f t="shared" si="5"/>
        <v>0.28820000000000001</v>
      </c>
      <c r="W84" s="61">
        <f>Table3.110[[#This Row],[DM Incubated, mg]]-('3.2 Digest'!V84*1000)</f>
        <v>185.21696714935354</v>
      </c>
      <c r="X84" s="61">
        <f>W84/Table3.110[[#This Row],[DM Incubated, mg]]*100</f>
        <v>39.123432407719619</v>
      </c>
      <c r="Y84" s="37">
        <f>Table3.1[[#This Row],[DM Incubated, mg]]*'2.4 NDF'!R57/100</f>
        <v>219.30791257113211</v>
      </c>
      <c r="Z84" s="37">
        <f t="shared" si="6"/>
        <v>-68.892087428867882</v>
      </c>
      <c r="AA84" s="37">
        <f t="shared" si="7"/>
        <v>-31.413407122975041</v>
      </c>
      <c r="AB84" s="89"/>
    </row>
    <row r="85" spans="2:29" x14ac:dyDescent="0.35">
      <c r="B85" s="230">
        <f t="shared" si="4"/>
        <v>75</v>
      </c>
      <c r="C85" s="61">
        <v>45635</v>
      </c>
      <c r="D85" s="248">
        <f>Table3.110[[#This Row],[Date]]</f>
        <v>46041</v>
      </c>
      <c r="E85" s="230" t="str">
        <f>Table3.110[[#This Row],[Requisitioner]]</f>
        <v>Genbank</v>
      </c>
      <c r="F85" s="230" t="str">
        <f>Table3.110[[#This Row],[Gene Bank ID]]</f>
        <v>CIAT-7353</v>
      </c>
      <c r="G85" s="230" t="str">
        <f>Table3.110[[#This Row],[Genus]]</f>
        <v>Prosopis</v>
      </c>
      <c r="H85" s="230" t="str">
        <f>Table3.110[[#This Row],[Species]]</f>
        <v>juliflora</v>
      </c>
      <c r="I85" s="230" t="str">
        <f>Table3.110[[#This Row],[Tax Name]]</f>
        <v>Prosopis juliflora</v>
      </c>
      <c r="J85" s="230" t="str">
        <f>Table3.110[[#This Row],[Family]]</f>
        <v>Fabaceae</v>
      </c>
      <c r="K85" s="230" t="str">
        <f>Table3.110[[#This Row],[Order]]</f>
        <v>Fabales</v>
      </c>
      <c r="L85" s="230" t="str">
        <f>Table3.110[[#This Row],[Functional Group]]</f>
        <v>Tree</v>
      </c>
      <c r="M85" s="230" t="str">
        <f>Table3.110[[#This Row],[CIAT ID]]</f>
        <v>F251751</v>
      </c>
      <c r="N85" s="230">
        <f>Table3.110[[#This Row],[Set CIAT]]</f>
        <v>27</v>
      </c>
      <c r="O85" s="230">
        <f>Table3.110[[#This Row],[Batch]]</f>
        <v>58</v>
      </c>
      <c r="P85" s="230">
        <f>Table3.110[[#This Row],[Run]]</f>
        <v>1</v>
      </c>
      <c r="Q85" s="230">
        <f>Table3.110[[#This Row],[Replication]]</f>
        <v>2</v>
      </c>
      <c r="R85" s="230">
        <f>Table3.110[[#This Row],[Syrange No]]</f>
        <v>255</v>
      </c>
      <c r="S85" s="265">
        <v>0.58440000000000003</v>
      </c>
      <c r="T85" s="265">
        <v>0.84019999999999995</v>
      </c>
      <c r="U85" s="108" t="s">
        <v>682</v>
      </c>
      <c r="V85" s="254">
        <f t="shared" si="5"/>
        <v>0.25579999999999992</v>
      </c>
      <c r="W85" s="61">
        <f>Table3.110[[#This Row],[DM Incubated, mg]]-('3.2 Digest'!V85*1000)</f>
        <v>217.90084700173188</v>
      </c>
      <c r="X85" s="61">
        <f>W85/Table3.110[[#This Row],[DM Incubated, mg]]*100</f>
        <v>45.999674347412608</v>
      </c>
      <c r="Y85" s="37">
        <f>Table3.1[[#This Row],[DM Incubated, mg]]*'2.4 NDF'!R57/100</f>
        <v>219.4394184151684</v>
      </c>
      <c r="Z85" s="37">
        <f t="shared" si="6"/>
        <v>-36.360581584831522</v>
      </c>
      <c r="AA85" s="37">
        <f t="shared" si="7"/>
        <v>-16.569758454262359</v>
      </c>
      <c r="AB85" s="89"/>
    </row>
    <row r="86" spans="2:29" x14ac:dyDescent="0.35">
      <c r="B86" s="230">
        <f t="shared" si="4"/>
        <v>76</v>
      </c>
      <c r="C86" s="61">
        <v>45635</v>
      </c>
      <c r="D86" s="248">
        <f>Table3.110[[#This Row],[Date]]</f>
        <v>46041</v>
      </c>
      <c r="E86" s="230" t="str">
        <f>Table3.110[[#This Row],[Requisitioner]]</f>
        <v>Genbank</v>
      </c>
      <c r="F86" s="230" t="str">
        <f>Table3.110[[#This Row],[Gene Bank ID]]</f>
        <v>CIAT-7353</v>
      </c>
      <c r="G86" s="230" t="str">
        <f>Table3.110[[#This Row],[Genus]]</f>
        <v>Prosopis</v>
      </c>
      <c r="H86" s="230" t="str">
        <f>Table3.110[[#This Row],[Species]]</f>
        <v>juliflora</v>
      </c>
      <c r="I86" s="230" t="str">
        <f>Table3.110[[#This Row],[Tax Name]]</f>
        <v>Prosopis juliflora</v>
      </c>
      <c r="J86" s="230" t="str">
        <f>Table3.110[[#This Row],[Family]]</f>
        <v>Fabaceae</v>
      </c>
      <c r="K86" s="230" t="str">
        <f>Table3.110[[#This Row],[Order]]</f>
        <v>Fabales</v>
      </c>
      <c r="L86" s="230" t="str">
        <f>Table3.110[[#This Row],[Functional Group]]</f>
        <v>Tree</v>
      </c>
      <c r="M86" s="230" t="str">
        <f>Table3.110[[#This Row],[CIAT ID]]</f>
        <v>F251751</v>
      </c>
      <c r="N86" s="230">
        <f>Table3.110[[#This Row],[Set CIAT]]</f>
        <v>27</v>
      </c>
      <c r="O86" s="230">
        <f>Table3.110[[#This Row],[Batch]]</f>
        <v>58</v>
      </c>
      <c r="P86" s="230">
        <f>Table3.110[[#This Row],[Run]]</f>
        <v>1</v>
      </c>
      <c r="Q86" s="230">
        <f>Table3.110[[#This Row],[Replication]]</f>
        <v>3</v>
      </c>
      <c r="R86" s="230">
        <f>Table3.110[[#This Row],[Syrange No]]</f>
        <v>256</v>
      </c>
      <c r="S86" s="110">
        <v>0.57969999999999999</v>
      </c>
      <c r="T86" s="110">
        <v>0.80500000000000005</v>
      </c>
      <c r="U86" s="108"/>
      <c r="V86" s="254">
        <f t="shared" si="5"/>
        <v>0.22530000000000006</v>
      </c>
      <c r="W86" s="61">
        <f>Table3.110[[#This Row],[DM Incubated, mg]]-('3.2 Digest'!V86*1000)</f>
        <v>248.11696714935346</v>
      </c>
      <c r="X86" s="61">
        <f>W86/Table3.110[[#This Row],[DM Incubated, mg]]*100</f>
        <v>52.409817215333888</v>
      </c>
      <c r="Y86" s="37">
        <f>Table3.1[[#This Row],[DM Incubated, mg]]*'2.4 NDF'!R57/100</f>
        <v>219.30791257113211</v>
      </c>
      <c r="Z86" s="37">
        <f t="shared" si="6"/>
        <v>-5.9920874288679613</v>
      </c>
      <c r="AA86" s="37">
        <f t="shared" si="7"/>
        <v>-2.7322714254208402</v>
      </c>
      <c r="AB86" s="89"/>
    </row>
    <row r="87" spans="2:29" x14ac:dyDescent="0.35">
      <c r="B87" s="230">
        <f t="shared" si="4"/>
        <v>77</v>
      </c>
      <c r="C87" s="61">
        <v>45635</v>
      </c>
      <c r="D87" s="248">
        <f>Table3.110[[#This Row],[Date]]</f>
        <v>46041</v>
      </c>
      <c r="E87" s="230" t="str">
        <f>Table3.110[[#This Row],[Requisitioner]]</f>
        <v>Genbank</v>
      </c>
      <c r="F87" s="230" t="str">
        <f>Table3.110[[#This Row],[Gene Bank ID]]</f>
        <v>CIAT-7976</v>
      </c>
      <c r="G87" s="230" t="str">
        <f>Table3.110[[#This Row],[Genus]]</f>
        <v>Cassia</v>
      </c>
      <c r="H87" s="230" t="str">
        <f>Table3.110[[#This Row],[Species]]</f>
        <v>sp.</v>
      </c>
      <c r="I87" s="230" t="str">
        <f>Table3.110[[#This Row],[Tax Name]]</f>
        <v>Cassia sp.</v>
      </c>
      <c r="J87" s="230" t="str">
        <f>Table3.110[[#This Row],[Family]]</f>
        <v>Fabaceae</v>
      </c>
      <c r="K87" s="230" t="str">
        <f>Table3.110[[#This Row],[Order]]</f>
        <v>Fabales</v>
      </c>
      <c r="L87" s="230" t="str">
        <f>Table3.110[[#This Row],[Functional Group]]</f>
        <v>Tree</v>
      </c>
      <c r="M87" s="230" t="str">
        <f>Table3.110[[#This Row],[CIAT ID]]</f>
        <v>F251752</v>
      </c>
      <c r="N87" s="230">
        <f>Table3.110[[#This Row],[Set CIAT]]</f>
        <v>27</v>
      </c>
      <c r="O87" s="230">
        <f>Table3.110[[#This Row],[Batch]]</f>
        <v>58</v>
      </c>
      <c r="P87" s="230">
        <f>Table3.110[[#This Row],[Run]]</f>
        <v>1</v>
      </c>
      <c r="Q87" s="230">
        <f>Table3.110[[#This Row],[Replication]]</f>
        <v>1</v>
      </c>
      <c r="R87" s="230">
        <f>Table3.110[[#This Row],[Syrange No]]</f>
        <v>257</v>
      </c>
      <c r="S87" s="265">
        <v>0.58330000000000004</v>
      </c>
      <c r="T87" s="265">
        <v>0.872</v>
      </c>
      <c r="U87" s="108"/>
      <c r="V87" s="254">
        <f t="shared" si="5"/>
        <v>0.28869999999999996</v>
      </c>
      <c r="W87" s="61">
        <f>Table3.110[[#This Row],[DM Incubated, mg]]-('3.2 Digest'!V87*1000)</f>
        <v>178.85524506815921</v>
      </c>
      <c r="X87" s="61">
        <f>W87/Table3.110[[#This Row],[DM Incubated, mg]]*100</f>
        <v>38.253285992350719</v>
      </c>
      <c r="Y87" s="37">
        <f>Table3.1[[#This Row],[DM Incubated, mg]]*'2.4 NDF'!R59/100</f>
        <v>234.3190069546464</v>
      </c>
      <c r="Z87" s="37">
        <f t="shared" si="6"/>
        <v>-54.380993045353534</v>
      </c>
      <c r="AA87" s="37">
        <f t="shared" si="7"/>
        <v>-23.20810153308615</v>
      </c>
      <c r="AB87" s="89"/>
    </row>
    <row r="88" spans="2:29" x14ac:dyDescent="0.35">
      <c r="B88" s="230">
        <f t="shared" si="4"/>
        <v>78</v>
      </c>
      <c r="C88" s="61">
        <v>45635</v>
      </c>
      <c r="D88" s="248">
        <f>Table3.110[[#This Row],[Date]]</f>
        <v>46041</v>
      </c>
      <c r="E88" s="230" t="str">
        <f>Table3.110[[#This Row],[Requisitioner]]</f>
        <v>Genbank</v>
      </c>
      <c r="F88" s="230" t="str">
        <f>Table3.110[[#This Row],[Gene Bank ID]]</f>
        <v>CIAT-7976</v>
      </c>
      <c r="G88" s="230" t="str">
        <f>Table3.110[[#This Row],[Genus]]</f>
        <v>Cassia</v>
      </c>
      <c r="H88" s="230" t="str">
        <f>Table3.110[[#This Row],[Species]]</f>
        <v>sp.</v>
      </c>
      <c r="I88" s="230" t="str">
        <f>Table3.110[[#This Row],[Tax Name]]</f>
        <v>Cassia sp.</v>
      </c>
      <c r="J88" s="230" t="str">
        <f>Table3.110[[#This Row],[Family]]</f>
        <v>Fabaceae</v>
      </c>
      <c r="K88" s="230" t="str">
        <f>Table3.110[[#This Row],[Order]]</f>
        <v>Fabales</v>
      </c>
      <c r="L88" s="230" t="str">
        <f>Table3.110[[#This Row],[Functional Group]]</f>
        <v>Tree</v>
      </c>
      <c r="M88" s="230" t="str">
        <f>Table3.110[[#This Row],[CIAT ID]]</f>
        <v>F251752</v>
      </c>
      <c r="N88" s="230">
        <f>Table3.110[[#This Row],[Set CIAT]]</f>
        <v>27</v>
      </c>
      <c r="O88" s="230">
        <f>Table3.110[[#This Row],[Batch]]</f>
        <v>58</v>
      </c>
      <c r="P88" s="230">
        <f>Table3.110[[#This Row],[Run]]</f>
        <v>1</v>
      </c>
      <c r="Q88" s="230">
        <f>Table3.110[[#This Row],[Replication]]</f>
        <v>2</v>
      </c>
      <c r="R88" s="230">
        <f>Table3.110[[#This Row],[Syrange No]]</f>
        <v>258</v>
      </c>
      <c r="S88" s="110">
        <v>0.59750000000000003</v>
      </c>
      <c r="T88" s="110">
        <v>0.85050000000000003</v>
      </c>
      <c r="U88" s="108"/>
      <c r="V88" s="254">
        <f t="shared" si="5"/>
        <v>0.253</v>
      </c>
      <c r="W88" s="61">
        <f>Table3.110[[#This Row],[DM Incubated, mg]]-('3.2 Digest'!V88*1000)</f>
        <v>214.08815691124801</v>
      </c>
      <c r="X88" s="61">
        <f>W88/Table3.110[[#This Row],[DM Incubated, mg]]*100</f>
        <v>45.834636083896072</v>
      </c>
      <c r="Y88" s="37">
        <f>Table3.1[[#This Row],[DM Incubated, mg]]*'2.4 NDF'!R59/100</f>
        <v>234.08492203261383</v>
      </c>
      <c r="Z88" s="37">
        <f t="shared" si="6"/>
        <v>-18.915077967386168</v>
      </c>
      <c r="AA88" s="37">
        <f t="shared" si="7"/>
        <v>-8.0804341446438102</v>
      </c>
      <c r="AB88" s="89"/>
    </row>
    <row r="89" spans="2:29" x14ac:dyDescent="0.35">
      <c r="B89" s="230">
        <f t="shared" si="4"/>
        <v>79</v>
      </c>
      <c r="C89" s="61">
        <v>45635</v>
      </c>
      <c r="D89" s="248">
        <f>Table3.110[[#This Row],[Date]]</f>
        <v>46041</v>
      </c>
      <c r="E89" s="230" t="str">
        <f>Table3.110[[#This Row],[Requisitioner]]</f>
        <v>Genbank</v>
      </c>
      <c r="F89" s="230" t="str">
        <f>Table3.110[[#This Row],[Gene Bank ID]]</f>
        <v>CIAT-7976</v>
      </c>
      <c r="G89" s="230" t="str">
        <f>Table3.110[[#This Row],[Genus]]</f>
        <v>Cassia</v>
      </c>
      <c r="H89" s="230" t="str">
        <f>Table3.110[[#This Row],[Species]]</f>
        <v>sp.</v>
      </c>
      <c r="I89" s="230" t="str">
        <f>Table3.110[[#This Row],[Tax Name]]</f>
        <v>Cassia sp.</v>
      </c>
      <c r="J89" s="230" t="str">
        <f>Table3.110[[#This Row],[Family]]</f>
        <v>Fabaceae</v>
      </c>
      <c r="K89" s="230" t="str">
        <f>Table3.110[[#This Row],[Order]]</f>
        <v>Fabales</v>
      </c>
      <c r="L89" s="230" t="str">
        <f>Table3.110[[#This Row],[Functional Group]]</f>
        <v>Tree</v>
      </c>
      <c r="M89" s="230" t="str">
        <f>Table3.110[[#This Row],[CIAT ID]]</f>
        <v>F251752</v>
      </c>
      <c r="N89" s="230">
        <f>Table3.110[[#This Row],[Set CIAT]]</f>
        <v>27</v>
      </c>
      <c r="O89" s="230">
        <f>Table3.110[[#This Row],[Batch]]</f>
        <v>58</v>
      </c>
      <c r="P89" s="230">
        <f>Table3.110[[#This Row],[Run]]</f>
        <v>1</v>
      </c>
      <c r="Q89" s="230">
        <f>Table3.110[[#This Row],[Replication]]</f>
        <v>3</v>
      </c>
      <c r="R89" s="230">
        <f>Table3.110[[#This Row],[Syrange No]]</f>
        <v>259</v>
      </c>
      <c r="S89" s="265">
        <v>0.5867</v>
      </c>
      <c r="T89" s="265">
        <v>0.80520000000000003</v>
      </c>
      <c r="U89" s="108"/>
      <c r="V89" s="254">
        <f t="shared" si="5"/>
        <v>0.21850000000000003</v>
      </c>
      <c r="W89" s="61">
        <f>Table3.110[[#This Row],[DM Incubated, mg]]-('3.2 Digest'!V89*1000)</f>
        <v>248.86840980539463</v>
      </c>
      <c r="X89" s="61">
        <f>W89/Table3.110[[#This Row],[DM Incubated, mg]]*100</f>
        <v>53.248872748806406</v>
      </c>
      <c r="Y89" s="37">
        <f>Table3.1[[#This Row],[DM Incubated, mg]]*'2.4 NDF'!R59/100</f>
        <v>234.22537298583336</v>
      </c>
      <c r="Z89" s="37">
        <f t="shared" si="6"/>
        <v>15.725372985833332</v>
      </c>
      <c r="AA89" s="37">
        <f t="shared" si="7"/>
        <v>6.713778607915569</v>
      </c>
      <c r="AB89" s="89"/>
    </row>
    <row r="90" spans="2:29" x14ac:dyDescent="0.35">
      <c r="B90" s="230">
        <f t="shared" si="4"/>
        <v>80</v>
      </c>
      <c r="C90" s="61">
        <v>45635</v>
      </c>
      <c r="D90" s="248">
        <f>Table3.110[[#This Row],[Date]]</f>
        <v>46041</v>
      </c>
      <c r="E90" s="230" t="str">
        <f>Table3.110[[#This Row],[Requisitioner]]</f>
        <v>Genbank</v>
      </c>
      <c r="F90" s="230" t="str">
        <f>Table3.110[[#This Row],[Gene Bank ID]]</f>
        <v>CIAT-8018</v>
      </c>
      <c r="G90" s="230" t="str">
        <f>Table3.110[[#This Row],[Genus]]</f>
        <v>Acacia</v>
      </c>
      <c r="H90" s="230" t="str">
        <f>Table3.110[[#This Row],[Species]]</f>
        <v>aroma</v>
      </c>
      <c r="I90" s="230" t="str">
        <f>Table3.110[[#This Row],[Tax Name]]</f>
        <v>Acacia aroma</v>
      </c>
      <c r="J90" s="230" t="str">
        <f>Table3.110[[#This Row],[Family]]</f>
        <v>Fabaceae</v>
      </c>
      <c r="K90" s="230" t="str">
        <f>Table3.110[[#This Row],[Order]]</f>
        <v>Fabales</v>
      </c>
      <c r="L90" s="230" t="str">
        <f>Table3.110[[#This Row],[Functional Group]]</f>
        <v>Tree</v>
      </c>
      <c r="M90" s="230" t="str">
        <f>Table3.110[[#This Row],[CIAT ID]]</f>
        <v>F251753</v>
      </c>
      <c r="N90" s="230">
        <f>Table3.110[[#This Row],[Set CIAT]]</f>
        <v>27</v>
      </c>
      <c r="O90" s="230">
        <f>Table3.110[[#This Row],[Batch]]</f>
        <v>58</v>
      </c>
      <c r="P90" s="230">
        <f>Table3.110[[#This Row],[Run]]</f>
        <v>1</v>
      </c>
      <c r="Q90" s="230">
        <f>Table3.110[[#This Row],[Replication]]</f>
        <v>1</v>
      </c>
      <c r="R90" s="230">
        <f>Table3.110[[#This Row],[Syrange No]]</f>
        <v>260</v>
      </c>
      <c r="S90" s="110">
        <v>0.59599999999999997</v>
      </c>
      <c r="T90" s="110">
        <v>0.96440000000000003</v>
      </c>
      <c r="U90" s="108" t="s">
        <v>551</v>
      </c>
      <c r="V90" s="254">
        <f t="shared" si="5"/>
        <v>0.36840000000000006</v>
      </c>
      <c r="W90" s="61">
        <f>Table3.110[[#This Row],[DM Incubated, mg]]-('3.2 Digest'!V90*1000)</f>
        <v>100.57808438312293</v>
      </c>
      <c r="X90" s="61">
        <f>W90/Table3.110[[#This Row],[DM Incubated, mg]]*100</f>
        <v>21.446222698320703</v>
      </c>
      <c r="Y90" s="37">
        <f>Table3.1[[#This Row],[DM Incubated, mg]]*'2.4 NDF'!R61/100</f>
        <v>329.85254683418816</v>
      </c>
      <c r="Z90" s="37">
        <f t="shared" si="6"/>
        <v>-38.547453165811874</v>
      </c>
      <c r="AA90" s="37">
        <f t="shared" si="7"/>
        <v>-11.68626816308594</v>
      </c>
      <c r="AB90" s="89"/>
    </row>
    <row r="91" spans="2:29" x14ac:dyDescent="0.35">
      <c r="B91" s="230">
        <f t="shared" si="4"/>
        <v>81</v>
      </c>
      <c r="C91" s="61">
        <v>45635</v>
      </c>
      <c r="D91" s="248">
        <f>Table3.110[[#This Row],[Date]]</f>
        <v>46041</v>
      </c>
      <c r="E91" s="230" t="str">
        <f>Table3.110[[#This Row],[Requisitioner]]</f>
        <v>Genbank</v>
      </c>
      <c r="F91" s="230" t="str">
        <f>Table3.110[[#This Row],[Gene Bank ID]]</f>
        <v>CIAT-8018</v>
      </c>
      <c r="G91" s="230" t="str">
        <f>Table3.110[[#This Row],[Genus]]</f>
        <v>Acacia</v>
      </c>
      <c r="H91" s="230" t="str">
        <f>Table3.110[[#This Row],[Species]]</f>
        <v>aroma</v>
      </c>
      <c r="I91" s="230" t="str">
        <f>Table3.110[[#This Row],[Tax Name]]</f>
        <v>Acacia aroma</v>
      </c>
      <c r="J91" s="230" t="str">
        <f>Table3.110[[#This Row],[Family]]</f>
        <v>Fabaceae</v>
      </c>
      <c r="K91" s="230" t="str">
        <f>Table3.110[[#This Row],[Order]]</f>
        <v>Fabales</v>
      </c>
      <c r="L91" s="230" t="str">
        <f>Table3.110[[#This Row],[Functional Group]]</f>
        <v>Tree</v>
      </c>
      <c r="M91" s="230" t="str">
        <f>Table3.110[[#This Row],[CIAT ID]]</f>
        <v>F251753</v>
      </c>
      <c r="N91" s="230">
        <f>Table3.110[[#This Row],[Set CIAT]]</f>
        <v>27</v>
      </c>
      <c r="O91" s="230">
        <f>Table3.110[[#This Row],[Batch]]</f>
        <v>58</v>
      </c>
      <c r="P91" s="230">
        <f>Table3.110[[#This Row],[Run]]</f>
        <v>1</v>
      </c>
      <c r="Q91" s="230">
        <f>Table3.110[[#This Row],[Replication]]</f>
        <v>2</v>
      </c>
      <c r="R91" s="230">
        <f>Table3.110[[#This Row],[Syrange No]]</f>
        <v>261</v>
      </c>
      <c r="S91" s="265">
        <v>0.60399999999999998</v>
      </c>
      <c r="T91" s="265">
        <v>0.97450000000000003</v>
      </c>
      <c r="U91" s="108"/>
      <c r="V91" s="254">
        <f t="shared" si="5"/>
        <v>0.37050000000000005</v>
      </c>
      <c r="W91" s="61">
        <f>Table3.110[[#This Row],[DM Incubated, mg]]-('3.2 Digest'!V91*1000)</f>
        <v>99.040858084382648</v>
      </c>
      <c r="X91" s="61">
        <f>W91/Table3.110[[#This Row],[DM Incubated, mg]]*100</f>
        <v>21.093128825560843</v>
      </c>
      <c r="Y91" s="37">
        <f>Table3.1[[#This Row],[DM Incubated, mg]]*'2.4 NDF'!R61/100</f>
        <v>330.2483698903892</v>
      </c>
      <c r="Z91" s="37">
        <f t="shared" si="6"/>
        <v>-40.251630109610858</v>
      </c>
      <c r="AA91" s="37">
        <f t="shared" si="7"/>
        <v>-12.188290323119698</v>
      </c>
      <c r="AB91" s="89"/>
    </row>
    <row r="92" spans="2:29" x14ac:dyDescent="0.35">
      <c r="B92" s="230">
        <f t="shared" si="4"/>
        <v>82</v>
      </c>
      <c r="C92" s="61">
        <v>45635</v>
      </c>
      <c r="D92" s="248">
        <f>Table3.110[[#This Row],[Date]]</f>
        <v>46041</v>
      </c>
      <c r="E92" s="230" t="str">
        <f>Table3.110[[#This Row],[Requisitioner]]</f>
        <v>Genbank</v>
      </c>
      <c r="F92" s="230" t="str">
        <f>Table3.110[[#This Row],[Gene Bank ID]]</f>
        <v>CIAT-8018</v>
      </c>
      <c r="G92" s="230" t="str">
        <f>Table3.110[[#This Row],[Genus]]</f>
        <v>Acacia</v>
      </c>
      <c r="H92" s="230" t="str">
        <f>Table3.110[[#This Row],[Species]]</f>
        <v>aroma</v>
      </c>
      <c r="I92" s="230" t="str">
        <f>Table3.110[[#This Row],[Tax Name]]</f>
        <v>Acacia aroma</v>
      </c>
      <c r="J92" s="230" t="str">
        <f>Table3.110[[#This Row],[Family]]</f>
        <v>Fabaceae</v>
      </c>
      <c r="K92" s="230" t="str">
        <f>Table3.110[[#This Row],[Order]]</f>
        <v>Fabales</v>
      </c>
      <c r="L92" s="230" t="str">
        <f>Table3.110[[#This Row],[Functional Group]]</f>
        <v>Tree</v>
      </c>
      <c r="M92" s="230" t="str">
        <f>Table3.110[[#This Row],[CIAT ID]]</f>
        <v>F251753</v>
      </c>
      <c r="N92" s="230">
        <f>Table3.110[[#This Row],[Set CIAT]]</f>
        <v>27</v>
      </c>
      <c r="O92" s="230">
        <f>Table3.110[[#This Row],[Batch]]</f>
        <v>58</v>
      </c>
      <c r="P92" s="230">
        <f>Table3.110[[#This Row],[Run]]</f>
        <v>1</v>
      </c>
      <c r="Q92" s="230">
        <f>Table3.110[[#This Row],[Replication]]</f>
        <v>3</v>
      </c>
      <c r="R92" s="230">
        <f>Table3.110[[#This Row],[Syrange No]]</f>
        <v>262</v>
      </c>
      <c r="S92" s="110">
        <v>0.59040000000000004</v>
      </c>
      <c r="T92" s="110">
        <v>0.99309999999999998</v>
      </c>
      <c r="U92" s="108"/>
      <c r="V92" s="254">
        <f t="shared" si="5"/>
        <v>0.40269999999999995</v>
      </c>
      <c r="W92" s="61">
        <f>Table3.110[[#This Row],[DM Incubated, mg]]-('3.2 Digest'!V92*1000)</f>
        <v>66.559471233752845</v>
      </c>
      <c r="X92" s="61">
        <f>W92/Table3.110[[#This Row],[DM Incubated, mg]]*100</f>
        <v>14.183937738914063</v>
      </c>
      <c r="Y92" s="37">
        <f>Table3.1[[#This Row],[DM Incubated, mg]]*'2.4 NDF'!R61/100</f>
        <v>330.05045836228862</v>
      </c>
      <c r="Z92" s="37">
        <f t="shared" si="6"/>
        <v>-72.649541637711309</v>
      </c>
      <c r="AA92" s="37">
        <f t="shared" si="7"/>
        <v>-22.011646945802941</v>
      </c>
      <c r="AB92" s="89"/>
    </row>
    <row r="93" spans="2:29" x14ac:dyDescent="0.35">
      <c r="B93" s="230">
        <f t="shared" si="4"/>
        <v>83</v>
      </c>
      <c r="C93" s="61">
        <v>45635</v>
      </c>
      <c r="D93" s="248">
        <f>Table3.110[[#This Row],[Date]]</f>
        <v>46041</v>
      </c>
      <c r="E93" s="230" t="str">
        <f>Table3.110[[#This Row],[Requisitioner]]</f>
        <v>Genbank</v>
      </c>
      <c r="F93" s="230" t="str">
        <f>Table3.110[[#This Row],[Gene Bank ID]]</f>
        <v>CIAT-9990</v>
      </c>
      <c r="G93" s="230" t="str">
        <f>Table3.110[[#This Row],[Genus]]</f>
        <v>Prosopis</v>
      </c>
      <c r="H93" s="230" t="str">
        <f>Table3.110[[#This Row],[Species]]</f>
        <v>juliflora</v>
      </c>
      <c r="I93" s="230" t="str">
        <f>Table3.110[[#This Row],[Tax Name]]</f>
        <v>Prosopis juliflora</v>
      </c>
      <c r="J93" s="230" t="str">
        <f>Table3.110[[#This Row],[Family]]</f>
        <v>Fabaceae</v>
      </c>
      <c r="K93" s="230" t="str">
        <f>Table3.110[[#This Row],[Order]]</f>
        <v>Fabales</v>
      </c>
      <c r="L93" s="230" t="str">
        <f>Table3.110[[#This Row],[Functional Group]]</f>
        <v>Tree</v>
      </c>
      <c r="M93" s="230" t="str">
        <f>Table3.110[[#This Row],[CIAT ID]]</f>
        <v>F251754</v>
      </c>
      <c r="N93" s="230">
        <f>Table3.110[[#This Row],[Set CIAT]]</f>
        <v>27</v>
      </c>
      <c r="O93" s="230">
        <f>Table3.110[[#This Row],[Batch]]</f>
        <v>58</v>
      </c>
      <c r="P93" s="230">
        <f>Table3.110[[#This Row],[Run]]</f>
        <v>1</v>
      </c>
      <c r="Q93" s="230">
        <f>Table3.110[[#This Row],[Replication]]</f>
        <v>1</v>
      </c>
      <c r="R93" s="230">
        <f>Table3.110[[#This Row],[Syrange No]]</f>
        <v>263</v>
      </c>
      <c r="S93" s="265">
        <v>0.58630000000000004</v>
      </c>
      <c r="T93" s="265">
        <v>0.82389999999999997</v>
      </c>
      <c r="U93" s="108"/>
      <c r="V93" s="254">
        <f t="shared" si="5"/>
        <v>0.23759999999999992</v>
      </c>
      <c r="W93" s="61">
        <f>Table3.110[[#This Row],[DM Incubated, mg]]-('3.2 Digest'!V93*1000)</f>
        <v>227.45702578452915</v>
      </c>
      <c r="X93" s="61">
        <f>W93/Table3.110[[#This Row],[DM Incubated, mg]]*100</f>
        <v>48.909491346963307</v>
      </c>
      <c r="Y93" s="37">
        <f>Table3.1[[#This Row],[DM Incubated, mg]]*'2.4 NDF'!R63/100</f>
        <v>226.78057180640604</v>
      </c>
      <c r="Z93" s="37">
        <f t="shared" si="6"/>
        <v>-10.819428193593865</v>
      </c>
      <c r="AA93" s="37">
        <f t="shared" si="7"/>
        <v>-4.7708796690176785</v>
      </c>
      <c r="AB93" s="89"/>
    </row>
    <row r="94" spans="2:29" x14ac:dyDescent="0.35">
      <c r="B94" s="230">
        <f t="shared" si="4"/>
        <v>84</v>
      </c>
      <c r="C94" s="61">
        <v>45635</v>
      </c>
      <c r="D94" s="248">
        <f>Table3.110[[#This Row],[Date]]</f>
        <v>46041</v>
      </c>
      <c r="E94" s="230" t="str">
        <f>Table3.110[[#This Row],[Requisitioner]]</f>
        <v>Genbank</v>
      </c>
      <c r="F94" s="230" t="str">
        <f>Table3.110[[#This Row],[Gene Bank ID]]</f>
        <v>CIAT-9990</v>
      </c>
      <c r="G94" s="230" t="str">
        <f>Table3.110[[#This Row],[Genus]]</f>
        <v>Prosopis</v>
      </c>
      <c r="H94" s="230" t="str">
        <f>Table3.110[[#This Row],[Species]]</f>
        <v>juliflora</v>
      </c>
      <c r="I94" s="230" t="str">
        <f>Table3.110[[#This Row],[Tax Name]]</f>
        <v>Prosopis juliflora</v>
      </c>
      <c r="J94" s="230" t="str">
        <f>Table3.110[[#This Row],[Family]]</f>
        <v>Fabaceae</v>
      </c>
      <c r="K94" s="230" t="str">
        <f>Table3.110[[#This Row],[Order]]</f>
        <v>Fabales</v>
      </c>
      <c r="L94" s="230" t="str">
        <f>Table3.110[[#This Row],[Functional Group]]</f>
        <v>Tree</v>
      </c>
      <c r="M94" s="230" t="str">
        <f>Table3.110[[#This Row],[CIAT ID]]</f>
        <v>F251754</v>
      </c>
      <c r="N94" s="230">
        <f>Table3.110[[#This Row],[Set CIAT]]</f>
        <v>27</v>
      </c>
      <c r="O94" s="230">
        <f>Table3.110[[#This Row],[Batch]]</f>
        <v>58</v>
      </c>
      <c r="P94" s="230">
        <f>Table3.110[[#This Row],[Run]]</f>
        <v>1</v>
      </c>
      <c r="Q94" s="230">
        <f>Table3.110[[#This Row],[Replication]]</f>
        <v>2</v>
      </c>
      <c r="R94" s="230">
        <f>Table3.110[[#This Row],[Syrange No]]</f>
        <v>264</v>
      </c>
      <c r="S94" s="110">
        <v>0.58230000000000004</v>
      </c>
      <c r="T94" s="110">
        <v>0.7994</v>
      </c>
      <c r="U94" s="108" t="s">
        <v>683</v>
      </c>
      <c r="V94" s="254">
        <f t="shared" si="5"/>
        <v>0.21709999999999996</v>
      </c>
      <c r="W94" s="61">
        <f>Table3.110[[#This Row],[DM Incubated, mg]]-('3.2 Digest'!V94*1000)</f>
        <v>247.86405156905835</v>
      </c>
      <c r="X94" s="61">
        <f>W94/Table3.110[[#This Row],[DM Incubated, mg]]*100</f>
        <v>53.308218287547462</v>
      </c>
      <c r="Y94" s="37">
        <f>Table3.1[[#This Row],[DM Incubated, mg]]*'2.4 NDF'!R63/100</f>
        <v>226.73523382723644</v>
      </c>
      <c r="Z94" s="37">
        <f t="shared" si="6"/>
        <v>9.6352338272364761</v>
      </c>
      <c r="AA94" s="37">
        <f t="shared" si="7"/>
        <v>4.2495529541642192</v>
      </c>
      <c r="AB94" s="89"/>
    </row>
    <row r="95" spans="2:29" x14ac:dyDescent="0.35">
      <c r="B95" s="230">
        <f t="shared" si="4"/>
        <v>85</v>
      </c>
      <c r="C95" s="61">
        <v>45635</v>
      </c>
      <c r="D95" s="248">
        <f>Table3.110[[#This Row],[Date]]</f>
        <v>46041</v>
      </c>
      <c r="E95" s="230" t="str">
        <f>Table3.110[[#This Row],[Requisitioner]]</f>
        <v>Genbank</v>
      </c>
      <c r="F95" s="230" t="str">
        <f>Table3.110[[#This Row],[Gene Bank ID]]</f>
        <v>CIAT-9990</v>
      </c>
      <c r="G95" s="230" t="str">
        <f>Table3.110[[#This Row],[Genus]]</f>
        <v>Prosopis</v>
      </c>
      <c r="H95" s="230" t="str">
        <f>Table3.110[[#This Row],[Species]]</f>
        <v>juliflora</v>
      </c>
      <c r="I95" s="230" t="str">
        <f>Table3.110[[#This Row],[Tax Name]]</f>
        <v>Prosopis juliflora</v>
      </c>
      <c r="J95" s="230" t="str">
        <f>Table3.110[[#This Row],[Family]]</f>
        <v>Fabaceae</v>
      </c>
      <c r="K95" s="230" t="str">
        <f>Table3.110[[#This Row],[Order]]</f>
        <v>Fabales</v>
      </c>
      <c r="L95" s="230" t="str">
        <f>Table3.110[[#This Row],[Functional Group]]</f>
        <v>Tree</v>
      </c>
      <c r="M95" s="230" t="str">
        <f>Table3.110[[#This Row],[CIAT ID]]</f>
        <v>F251754</v>
      </c>
      <c r="N95" s="230">
        <f>Table3.110[[#This Row],[Set CIAT]]</f>
        <v>27</v>
      </c>
      <c r="O95" s="230">
        <f>Table3.110[[#This Row],[Batch]]</f>
        <v>58</v>
      </c>
      <c r="P95" s="230">
        <f>Table3.110[[#This Row],[Run]]</f>
        <v>1</v>
      </c>
      <c r="Q95" s="230">
        <f>Table3.110[[#This Row],[Replication]]</f>
        <v>3</v>
      </c>
      <c r="R95" s="230">
        <f>Table3.110[[#This Row],[Syrange No]]</f>
        <v>265</v>
      </c>
      <c r="S95" s="265">
        <v>0.57740000000000002</v>
      </c>
      <c r="T95" s="265">
        <v>0.75609999999999999</v>
      </c>
      <c r="U95" s="108"/>
      <c r="V95" s="254">
        <f t="shared" si="5"/>
        <v>0.17869999999999997</v>
      </c>
      <c r="W95" s="61">
        <f>Table3.110[[#This Row],[DM Incubated, mg]]-('3.2 Digest'!V95*1000)</f>
        <v>286.6359484309412</v>
      </c>
      <c r="X95" s="61">
        <f>W95/Table3.110[[#This Row],[DM Incubated, mg]]*100</f>
        <v>61.597637018468987</v>
      </c>
      <c r="Y95" s="37">
        <f>Table3.1[[#This Row],[DM Incubated, mg]]*'2.4 NDF'!R63/100</f>
        <v>226.91658574391488</v>
      </c>
      <c r="Z95" s="37">
        <f t="shared" si="6"/>
        <v>48.216585743914919</v>
      </c>
      <c r="AA95" s="37">
        <f t="shared" si="7"/>
        <v>21.248594758220719</v>
      </c>
      <c r="AB95" s="89"/>
    </row>
    <row r="96" spans="2:29" x14ac:dyDescent="0.35">
      <c r="B96" s="230">
        <f t="shared" si="4"/>
        <v>86</v>
      </c>
      <c r="C96" s="61">
        <v>45635</v>
      </c>
      <c r="D96" s="248">
        <f>Table3.110[[#This Row],[Date]]</f>
        <v>46041</v>
      </c>
      <c r="E96" s="230" t="str">
        <f>Table3.110[[#This Row],[Requisitioner]]</f>
        <v>Genbank</v>
      </c>
      <c r="F96" s="230" t="str">
        <f>Table3.110[[#This Row],[Gene Bank ID]]</f>
        <v>CIAT-13258</v>
      </c>
      <c r="G96" s="230" t="str">
        <f>Table3.110[[#This Row],[Genus]]</f>
        <v>Dendrolobium</v>
      </c>
      <c r="H96" s="230" t="str">
        <f>Table3.110[[#This Row],[Species]]</f>
        <v>lanceolatum</v>
      </c>
      <c r="I96" s="230" t="str">
        <f>Table3.110[[#This Row],[Tax Name]]</f>
        <v>Dendrolobium lanceolatum</v>
      </c>
      <c r="J96" s="230" t="str">
        <f>Table3.110[[#This Row],[Family]]</f>
        <v>Fabaceae</v>
      </c>
      <c r="K96" s="230" t="str">
        <f>Table3.110[[#This Row],[Order]]</f>
        <v>Fabales</v>
      </c>
      <c r="L96" s="230" t="str">
        <f>Table3.110[[#This Row],[Functional Group]]</f>
        <v>Tree</v>
      </c>
      <c r="M96" s="230" t="str">
        <f>Table3.110[[#This Row],[CIAT ID]]</f>
        <v>F251755</v>
      </c>
      <c r="N96" s="230">
        <f>Table3.110[[#This Row],[Set CIAT]]</f>
        <v>27</v>
      </c>
      <c r="O96" s="230">
        <f>Table3.110[[#This Row],[Batch]]</f>
        <v>58</v>
      </c>
      <c r="P96" s="230">
        <f>Table3.110[[#This Row],[Run]]</f>
        <v>1</v>
      </c>
      <c r="Q96" s="230">
        <f>Table3.110[[#This Row],[Replication]]</f>
        <v>1</v>
      </c>
      <c r="R96" s="230">
        <f>Table3.110[[#This Row],[Syrange No]]</f>
        <v>266</v>
      </c>
      <c r="S96" s="110">
        <v>0.59870000000000001</v>
      </c>
      <c r="T96" s="110">
        <v>0.97340000000000004</v>
      </c>
      <c r="U96" s="108"/>
      <c r="V96" s="254">
        <f t="shared" si="5"/>
        <v>0.37470000000000003</v>
      </c>
      <c r="W96" s="61">
        <f>Table3.110[[#This Row],[DM Incubated, mg]]-('3.2 Digest'!V96*1000)</f>
        <v>98.760131617018146</v>
      </c>
      <c r="X96" s="61">
        <f>W96/Table3.110[[#This Row],[DM Incubated, mg]]*100</f>
        <v>20.859228691488894</v>
      </c>
      <c r="Y96" s="37">
        <f>Table3.1[[#This Row],[DM Incubated, mg]]*'2.4 NDF'!R65/100</f>
        <v>292.61087029660069</v>
      </c>
      <c r="Z96" s="37">
        <f t="shared" si="6"/>
        <v>-82.089129703399351</v>
      </c>
      <c r="AA96" s="37">
        <f t="shared" si="7"/>
        <v>-28.054026024457301</v>
      </c>
      <c r="AB96" s="89"/>
    </row>
    <row r="97" spans="2:28" x14ac:dyDescent="0.35">
      <c r="B97" s="230">
        <f t="shared" si="4"/>
        <v>87</v>
      </c>
      <c r="C97" s="61">
        <v>45635</v>
      </c>
      <c r="D97" s="248">
        <f>Table3.110[[#This Row],[Date]]</f>
        <v>46041</v>
      </c>
      <c r="E97" s="230" t="str">
        <f>Table3.110[[#This Row],[Requisitioner]]</f>
        <v>Genbank</v>
      </c>
      <c r="F97" s="230" t="str">
        <f>Table3.110[[#This Row],[Gene Bank ID]]</f>
        <v>CIAT-13258</v>
      </c>
      <c r="G97" s="230" t="str">
        <f>Table3.110[[#This Row],[Genus]]</f>
        <v>Dendrolobium</v>
      </c>
      <c r="H97" s="230" t="str">
        <f>Table3.110[[#This Row],[Species]]</f>
        <v>lanceolatum</v>
      </c>
      <c r="I97" s="230" t="str">
        <f>Table3.110[[#This Row],[Tax Name]]</f>
        <v>Dendrolobium lanceolatum</v>
      </c>
      <c r="J97" s="230" t="str">
        <f>Table3.110[[#This Row],[Family]]</f>
        <v>Fabaceae</v>
      </c>
      <c r="K97" s="230" t="str">
        <f>Table3.110[[#This Row],[Order]]</f>
        <v>Fabales</v>
      </c>
      <c r="L97" s="230" t="str">
        <f>Table3.110[[#This Row],[Functional Group]]</f>
        <v>Tree</v>
      </c>
      <c r="M97" s="230" t="str">
        <f>Table3.110[[#This Row],[CIAT ID]]</f>
        <v>F251755</v>
      </c>
      <c r="N97" s="230">
        <f>Table3.110[[#This Row],[Set CIAT]]</f>
        <v>27</v>
      </c>
      <c r="O97" s="230">
        <f>Table3.110[[#This Row],[Batch]]</f>
        <v>58</v>
      </c>
      <c r="P97" s="230">
        <f>Table3.110[[#This Row],[Run]]</f>
        <v>1</v>
      </c>
      <c r="Q97" s="230">
        <f>Table3.110[[#This Row],[Replication]]</f>
        <v>2</v>
      </c>
      <c r="R97" s="230">
        <f>Table3.110[[#This Row],[Syrange No]]</f>
        <v>267</v>
      </c>
      <c r="S97" s="265">
        <v>0.56479999999999997</v>
      </c>
      <c r="T97" s="265">
        <v>0.96830000000000005</v>
      </c>
      <c r="U97" s="108" t="s">
        <v>684</v>
      </c>
      <c r="V97" s="254">
        <f t="shared" si="5"/>
        <v>0.40350000000000008</v>
      </c>
      <c r="W97" s="61">
        <f>Table3.110[[#This Row],[DM Incubated, mg]]-('3.2 Digest'!V97*1000)</f>
        <v>69.581741901440068</v>
      </c>
      <c r="X97" s="61">
        <f>W97/Table3.110[[#This Row],[DM Incubated, mg]]*100</f>
        <v>14.708185866943992</v>
      </c>
      <c r="Y97" s="37">
        <f>Table3.1[[#This Row],[DM Incubated, mg]]*'2.4 NDF'!R65/100</f>
        <v>292.3770154552048</v>
      </c>
      <c r="Z97" s="37">
        <f t="shared" si="6"/>
        <v>-111.12298454479526</v>
      </c>
      <c r="AA97" s="37">
        <f t="shared" si="7"/>
        <v>-38.006744261954637</v>
      </c>
      <c r="AB97" s="89"/>
    </row>
    <row r="98" spans="2:28" x14ac:dyDescent="0.35">
      <c r="B98" s="230">
        <f t="shared" si="4"/>
        <v>88</v>
      </c>
      <c r="C98" s="61">
        <v>45635</v>
      </c>
      <c r="D98" s="248">
        <f>Table3.110[[#This Row],[Date]]</f>
        <v>46041</v>
      </c>
      <c r="E98" s="230" t="str">
        <f>Table3.110[[#This Row],[Requisitioner]]</f>
        <v>Genbank</v>
      </c>
      <c r="F98" s="230" t="str">
        <f>Table3.110[[#This Row],[Gene Bank ID]]</f>
        <v>CIAT-13258</v>
      </c>
      <c r="G98" s="230" t="str">
        <f>Table3.110[[#This Row],[Genus]]</f>
        <v>Dendrolobium</v>
      </c>
      <c r="H98" s="230" t="str">
        <f>Table3.110[[#This Row],[Species]]</f>
        <v>lanceolatum</v>
      </c>
      <c r="I98" s="230" t="str">
        <f>Table3.110[[#This Row],[Tax Name]]</f>
        <v>Dendrolobium lanceolatum</v>
      </c>
      <c r="J98" s="230" t="str">
        <f>Table3.110[[#This Row],[Family]]</f>
        <v>Fabaceae</v>
      </c>
      <c r="K98" s="230" t="str">
        <f>Table3.110[[#This Row],[Order]]</f>
        <v>Fabales</v>
      </c>
      <c r="L98" s="230" t="str">
        <f>Table3.110[[#This Row],[Functional Group]]</f>
        <v>Tree</v>
      </c>
      <c r="M98" s="230" t="str">
        <f>Table3.110[[#This Row],[CIAT ID]]</f>
        <v>F251755</v>
      </c>
      <c r="N98" s="230">
        <f>Table3.110[[#This Row],[Set CIAT]]</f>
        <v>27</v>
      </c>
      <c r="O98" s="230">
        <f>Table3.110[[#This Row],[Batch]]</f>
        <v>58</v>
      </c>
      <c r="P98" s="230">
        <f>Table3.110[[#This Row],[Run]]</f>
        <v>1</v>
      </c>
      <c r="Q98" s="230">
        <f>Table3.110[[#This Row],[Replication]]</f>
        <v>3</v>
      </c>
      <c r="R98" s="230">
        <f>Table3.110[[#This Row],[Syrange No]]</f>
        <v>268</v>
      </c>
      <c r="S98" s="110">
        <v>0.56559999999999999</v>
      </c>
      <c r="T98" s="110">
        <v>0.90910000000000002</v>
      </c>
      <c r="U98" s="108"/>
      <c r="V98" s="254">
        <f t="shared" si="5"/>
        <v>0.34350000000000003</v>
      </c>
      <c r="W98" s="61">
        <f>Table3.110[[#This Row],[DM Incubated, mg]]-('3.2 Digest'!V98*1000)</f>
        <v>129.48714447254571</v>
      </c>
      <c r="X98" s="61">
        <f>W98/Table3.110[[#This Row],[DM Incubated, mg]]*100</f>
        <v>27.376461704248651</v>
      </c>
      <c r="Y98" s="37">
        <f>Table3.1[[#This Row],[DM Incubated, mg]]*'2.4 NDF'!R65/100</f>
        <v>292.31855174485588</v>
      </c>
      <c r="Z98" s="37">
        <f t="shared" si="6"/>
        <v>-51.181448255144119</v>
      </c>
      <c r="AA98" s="37">
        <f t="shared" si="7"/>
        <v>-17.508792360129359</v>
      </c>
      <c r="AB98" s="89"/>
    </row>
    <row r="99" spans="2:28" x14ac:dyDescent="0.35">
      <c r="B99" s="230">
        <f t="shared" si="4"/>
        <v>89</v>
      </c>
      <c r="C99" s="61">
        <v>45635</v>
      </c>
      <c r="D99" s="248">
        <f>Table3.110[[#This Row],[Date]]</f>
        <v>46041</v>
      </c>
      <c r="E99" s="230" t="str">
        <f>Table3.110[[#This Row],[Requisitioner]]</f>
        <v>Genbank</v>
      </c>
      <c r="F99" s="230" t="str">
        <f>Table3.110[[#This Row],[Gene Bank ID]]</f>
        <v>CIAT-13260</v>
      </c>
      <c r="G99" s="230" t="str">
        <f>Table3.110[[#This Row],[Genus]]</f>
        <v>Dendrolobium</v>
      </c>
      <c r="H99" s="230" t="str">
        <f>Table3.110[[#This Row],[Species]]</f>
        <v>lanceolatum</v>
      </c>
      <c r="I99" s="230" t="str">
        <f>Table3.110[[#This Row],[Tax Name]]</f>
        <v>Dendrolobium lanceolatum</v>
      </c>
      <c r="J99" s="230" t="str">
        <f>Table3.110[[#This Row],[Family]]</f>
        <v>Fabaceae</v>
      </c>
      <c r="K99" s="230" t="str">
        <f>Table3.110[[#This Row],[Order]]</f>
        <v>Fabales</v>
      </c>
      <c r="L99" s="230" t="str">
        <f>Table3.110[[#This Row],[Functional Group]]</f>
        <v>Tree</v>
      </c>
      <c r="M99" s="230" t="str">
        <f>Table3.110[[#This Row],[CIAT ID]]</f>
        <v>F251756</v>
      </c>
      <c r="N99" s="230">
        <f>Table3.110[[#This Row],[Set CIAT]]</f>
        <v>27</v>
      </c>
      <c r="O99" s="230">
        <f>Table3.110[[#This Row],[Batch]]</f>
        <v>58</v>
      </c>
      <c r="P99" s="230">
        <f>Table3.110[[#This Row],[Run]]</f>
        <v>1</v>
      </c>
      <c r="Q99" s="230">
        <f>Table3.110[[#This Row],[Replication]]</f>
        <v>1</v>
      </c>
      <c r="R99" s="230">
        <f>Table3.110[[#This Row],[Syrange No]]</f>
        <v>269</v>
      </c>
      <c r="S99" s="265">
        <v>0.56659999999999999</v>
      </c>
      <c r="T99" s="265">
        <v>0.95540000000000003</v>
      </c>
      <c r="U99" s="108"/>
      <c r="V99" s="254">
        <f t="shared" si="5"/>
        <v>0.38880000000000003</v>
      </c>
      <c r="W99" s="61">
        <f>Table3.110[[#This Row],[DM Incubated, mg]]-('3.2 Digest'!V99*1000)</f>
        <v>81.958701495729883</v>
      </c>
      <c r="X99" s="61">
        <f>W99/Table3.110[[#This Row],[DM Incubated, mg]]*100</f>
        <v>17.40991748752058</v>
      </c>
      <c r="Y99" s="37">
        <f>Table3.1[[#This Row],[DM Incubated, mg]]*'2.4 NDF'!R67/100</f>
        <v>306.90445153823322</v>
      </c>
      <c r="Z99" s="37">
        <f t="shared" si="6"/>
        <v>-81.895548461766793</v>
      </c>
      <c r="AA99" s="37">
        <f t="shared" si="7"/>
        <v>-26.684379470971763</v>
      </c>
      <c r="AB99" s="89"/>
    </row>
    <row r="100" spans="2:28" x14ac:dyDescent="0.35">
      <c r="B100" s="230">
        <f t="shared" si="4"/>
        <v>90</v>
      </c>
      <c r="C100" s="61">
        <v>45635</v>
      </c>
      <c r="D100" s="248">
        <f>Table3.110[[#This Row],[Date]]</f>
        <v>46041</v>
      </c>
      <c r="E100" s="230" t="str">
        <f>Table3.110[[#This Row],[Requisitioner]]</f>
        <v>Genbank</v>
      </c>
      <c r="F100" s="230" t="str">
        <f>Table3.110[[#This Row],[Gene Bank ID]]</f>
        <v>CIAT-13260</v>
      </c>
      <c r="G100" s="230" t="str">
        <f>Table3.110[[#This Row],[Genus]]</f>
        <v>Dendrolobium</v>
      </c>
      <c r="H100" s="230" t="str">
        <f>Table3.110[[#This Row],[Species]]</f>
        <v>lanceolatum</v>
      </c>
      <c r="I100" s="230" t="str">
        <f>Table3.110[[#This Row],[Tax Name]]</f>
        <v>Dendrolobium lanceolatum</v>
      </c>
      <c r="J100" s="230" t="str">
        <f>Table3.110[[#This Row],[Family]]</f>
        <v>Fabaceae</v>
      </c>
      <c r="K100" s="230" t="str">
        <f>Table3.110[[#This Row],[Order]]</f>
        <v>Fabales</v>
      </c>
      <c r="L100" s="230" t="str">
        <f>Table3.110[[#This Row],[Functional Group]]</f>
        <v>Tree</v>
      </c>
      <c r="M100" s="230" t="str">
        <f>Table3.110[[#This Row],[CIAT ID]]</f>
        <v>F251756</v>
      </c>
      <c r="N100" s="230">
        <f>Table3.110[[#This Row],[Set CIAT]]</f>
        <v>27</v>
      </c>
      <c r="O100" s="230">
        <f>Table3.110[[#This Row],[Batch]]</f>
        <v>58</v>
      </c>
      <c r="P100" s="230">
        <f>Table3.110[[#This Row],[Run]]</f>
        <v>1</v>
      </c>
      <c r="Q100" s="230">
        <f>Table3.110[[#This Row],[Replication]]</f>
        <v>2</v>
      </c>
      <c r="R100" s="230">
        <f>Table3.110[[#This Row],[Syrange No]]</f>
        <v>270</v>
      </c>
      <c r="S100" s="110">
        <v>0.57650000000000001</v>
      </c>
      <c r="T100" s="110">
        <v>0.98080000000000001</v>
      </c>
      <c r="U100" s="108"/>
      <c r="V100" s="254">
        <f t="shared" si="5"/>
        <v>0.40429999999999999</v>
      </c>
      <c r="W100" s="61">
        <f>Table3.110[[#This Row],[DM Incubated, mg]]-('3.2 Digest'!V100*1000)</f>
        <v>66.55277797484581</v>
      </c>
      <c r="X100" s="61">
        <f>W100/Table3.110[[#This Row],[DM Incubated, mg]]*100</f>
        <v>14.134519554305621</v>
      </c>
      <c r="Y100" s="37">
        <f>Table3.1[[#This Row],[DM Incubated, mg]]*'2.4 NDF'!R67/100</f>
        <v>306.96578336308102</v>
      </c>
      <c r="Z100" s="37">
        <f t="shared" si="6"/>
        <v>-97.334216636918995</v>
      </c>
      <c r="AA100" s="37">
        <f t="shared" si="7"/>
        <v>-31.708490624113466</v>
      </c>
      <c r="AB100" s="89"/>
    </row>
    <row r="101" spans="2:28" x14ac:dyDescent="0.35">
      <c r="B101" s="230">
        <f t="shared" si="4"/>
        <v>91</v>
      </c>
      <c r="C101" s="61">
        <v>45635</v>
      </c>
      <c r="D101" s="248">
        <f>Table3.110[[#This Row],[Date]]</f>
        <v>46041</v>
      </c>
      <c r="E101" s="230" t="str">
        <f>Table3.110[[#This Row],[Requisitioner]]</f>
        <v>Genbank</v>
      </c>
      <c r="F101" s="230" t="str">
        <f>Table3.110[[#This Row],[Gene Bank ID]]</f>
        <v>CIAT-13260</v>
      </c>
      <c r="G101" s="230" t="str">
        <f>Table3.110[[#This Row],[Genus]]</f>
        <v>Dendrolobium</v>
      </c>
      <c r="H101" s="230" t="str">
        <f>Table3.110[[#This Row],[Species]]</f>
        <v>lanceolatum</v>
      </c>
      <c r="I101" s="230" t="str">
        <f>Table3.110[[#This Row],[Tax Name]]</f>
        <v>Dendrolobium lanceolatum</v>
      </c>
      <c r="J101" s="230" t="str">
        <f>Table3.110[[#This Row],[Family]]</f>
        <v>Fabaceae</v>
      </c>
      <c r="K101" s="230" t="str">
        <f>Table3.110[[#This Row],[Order]]</f>
        <v>Fabales</v>
      </c>
      <c r="L101" s="230" t="str">
        <f>Table3.110[[#This Row],[Functional Group]]</f>
        <v>Tree</v>
      </c>
      <c r="M101" s="230" t="str">
        <f>Table3.110[[#This Row],[CIAT ID]]</f>
        <v>F251756</v>
      </c>
      <c r="N101" s="230">
        <f>Table3.110[[#This Row],[Set CIAT]]</f>
        <v>27</v>
      </c>
      <c r="O101" s="230">
        <f>Table3.110[[#This Row],[Batch]]</f>
        <v>58</v>
      </c>
      <c r="P101" s="230">
        <f>Table3.110[[#This Row],[Run]]</f>
        <v>1</v>
      </c>
      <c r="Q101" s="230">
        <f>Table3.110[[#This Row],[Replication]]</f>
        <v>3</v>
      </c>
      <c r="R101" s="230">
        <f>Table3.110[[#This Row],[Syrange No]]</f>
        <v>271</v>
      </c>
      <c r="S101" s="265">
        <v>0.58730000000000004</v>
      </c>
      <c r="T101" s="265">
        <v>0.9889</v>
      </c>
      <c r="U101" s="108"/>
      <c r="V101" s="254">
        <f t="shared" si="5"/>
        <v>0.40159999999999996</v>
      </c>
      <c r="W101" s="61">
        <f>Table3.110[[#This Row],[DM Incubated, mg]]-('3.2 Digest'!V101*1000)</f>
        <v>68.78239557926662</v>
      </c>
      <c r="X101" s="61">
        <f>W101/Table3.110[[#This Row],[DM Incubated, mg]]*100</f>
        <v>14.622655147321673</v>
      </c>
      <c r="Y101" s="37">
        <f>Table3.1[[#This Row],[DM Incubated, mg]]*'2.4 NDF'!R67/100</f>
        <v>306.6591242388422</v>
      </c>
      <c r="Z101" s="37">
        <f t="shared" si="6"/>
        <v>-94.94087576115777</v>
      </c>
      <c r="AA101" s="37">
        <f t="shared" si="7"/>
        <v>-30.959742677414297</v>
      </c>
      <c r="AB101" s="89"/>
    </row>
    <row r="102" spans="2:28" x14ac:dyDescent="0.35">
      <c r="B102" s="230">
        <f t="shared" si="4"/>
        <v>92</v>
      </c>
      <c r="C102" s="61">
        <v>45635</v>
      </c>
      <c r="D102" s="248">
        <f>Table3.110[[#This Row],[Date]]</f>
        <v>46041</v>
      </c>
      <c r="E102" s="230" t="str">
        <f>Table3.110[[#This Row],[Requisitioner]]</f>
        <v>Genbank</v>
      </c>
      <c r="F102" s="230" t="str">
        <f>Table3.110[[#This Row],[Gene Bank ID]]</f>
        <v>CIAT-17263</v>
      </c>
      <c r="G102" s="230" t="str">
        <f>Table3.110[[#This Row],[Genus]]</f>
        <v>Leucaena</v>
      </c>
      <c r="H102" s="230" t="str">
        <f>Table3.110[[#This Row],[Species]]</f>
        <v>leucocephala</v>
      </c>
      <c r="I102" s="230" t="str">
        <f>Table3.110[[#This Row],[Tax Name]]</f>
        <v>Leucaena leucocephala</v>
      </c>
      <c r="J102" s="230" t="str">
        <f>Table3.110[[#This Row],[Family]]</f>
        <v>Fabaceae</v>
      </c>
      <c r="K102" s="230" t="str">
        <f>Table3.110[[#This Row],[Order]]</f>
        <v>Fabales</v>
      </c>
      <c r="L102" s="230" t="str">
        <f>Table3.110[[#This Row],[Functional Group]]</f>
        <v>Tree</v>
      </c>
      <c r="M102" s="230" t="str">
        <f>Table3.110[[#This Row],[CIAT ID]]</f>
        <v>F251757</v>
      </c>
      <c r="N102" s="230">
        <f>Table3.110[[#This Row],[Set CIAT]]</f>
        <v>27</v>
      </c>
      <c r="O102" s="230">
        <f>Table3.110[[#This Row],[Batch]]</f>
        <v>58</v>
      </c>
      <c r="P102" s="230">
        <f>Table3.110[[#This Row],[Run]]</f>
        <v>1</v>
      </c>
      <c r="Q102" s="230">
        <f>Table3.110[[#This Row],[Replication]]</f>
        <v>1</v>
      </c>
      <c r="R102" s="230">
        <f>Table3.110[[#This Row],[Syrange No]]</f>
        <v>272</v>
      </c>
      <c r="S102" s="110">
        <v>0.59799999999999998</v>
      </c>
      <c r="T102" s="110">
        <v>0.85189999999999999</v>
      </c>
      <c r="U102" s="108"/>
      <c r="V102" s="254">
        <f t="shared" si="5"/>
        <v>0.25390000000000001</v>
      </c>
      <c r="W102" s="61">
        <f>Table3.110[[#This Row],[DM Incubated, mg]]-('3.2 Digest'!V102*1000)</f>
        <v>218.55285164801134</v>
      </c>
      <c r="X102" s="61">
        <f>W102/Table3.110[[#This Row],[DM Incubated, mg]]*100</f>
        <v>46.259187744481736</v>
      </c>
      <c r="Y102" s="37">
        <f>Table3.1[[#This Row],[DM Incubated, mg]]*'2.4 NDF'!R69/100</f>
        <v>272.89934817719842</v>
      </c>
      <c r="Z102" s="37">
        <f t="shared" si="6"/>
        <v>18.999348177198414</v>
      </c>
      <c r="AA102" s="37">
        <f t="shared" si="7"/>
        <v>6.962035015511213</v>
      </c>
      <c r="AB102" s="89"/>
    </row>
    <row r="103" spans="2:28" x14ac:dyDescent="0.35">
      <c r="B103" s="230">
        <f t="shared" si="4"/>
        <v>93</v>
      </c>
      <c r="C103" s="61">
        <v>45635</v>
      </c>
      <c r="D103" s="248">
        <f>Table3.110[[#This Row],[Date]]</f>
        <v>46041</v>
      </c>
      <c r="E103" s="230" t="str">
        <f>Table3.110[[#This Row],[Requisitioner]]</f>
        <v>Genbank</v>
      </c>
      <c r="F103" s="230" t="str">
        <f>Table3.110[[#This Row],[Gene Bank ID]]</f>
        <v>CIAT-17263</v>
      </c>
      <c r="G103" s="230" t="str">
        <f>Table3.110[[#This Row],[Genus]]</f>
        <v>Leucaena</v>
      </c>
      <c r="H103" s="230" t="str">
        <f>Table3.110[[#This Row],[Species]]</f>
        <v>leucocephala</v>
      </c>
      <c r="I103" s="230" t="str">
        <f>Table3.110[[#This Row],[Tax Name]]</f>
        <v>Leucaena leucocephala</v>
      </c>
      <c r="J103" s="230" t="str">
        <f>Table3.110[[#This Row],[Family]]</f>
        <v>Fabaceae</v>
      </c>
      <c r="K103" s="230" t="str">
        <f>Table3.110[[#This Row],[Order]]</f>
        <v>Fabales</v>
      </c>
      <c r="L103" s="230" t="str">
        <f>Table3.110[[#This Row],[Functional Group]]</f>
        <v>Tree</v>
      </c>
      <c r="M103" s="230" t="str">
        <f>Table3.110[[#This Row],[CIAT ID]]</f>
        <v>F251757</v>
      </c>
      <c r="N103" s="230">
        <f>Table3.110[[#This Row],[Set CIAT]]</f>
        <v>27</v>
      </c>
      <c r="O103" s="230">
        <f>Table3.110[[#This Row],[Batch]]</f>
        <v>58</v>
      </c>
      <c r="P103" s="230">
        <f>Table3.110[[#This Row],[Run]]</f>
        <v>1</v>
      </c>
      <c r="Q103" s="230">
        <f>Table3.110[[#This Row],[Replication]]</f>
        <v>2</v>
      </c>
      <c r="R103" s="230">
        <f>Table3.110[[#This Row],[Syrange No]]</f>
        <v>273</v>
      </c>
      <c r="S103" s="265">
        <v>0.5907</v>
      </c>
      <c r="T103" s="265">
        <v>0.80830000000000002</v>
      </c>
      <c r="U103" s="108"/>
      <c r="V103" s="254">
        <f t="shared" si="5"/>
        <v>0.21760000000000002</v>
      </c>
      <c r="W103" s="61">
        <f>Table3.110[[#This Row],[DM Incubated, mg]]-('3.2 Digest'!V103*1000)</f>
        <v>254.94732332400577</v>
      </c>
      <c r="X103" s="61">
        <f>W103/Table3.110[[#This Row],[DM Incubated, mg]]*100</f>
        <v>53.951701922814429</v>
      </c>
      <c r="Y103" s="37">
        <f>Table3.1[[#This Row],[DM Incubated, mg]]*'2.4 NDF'!R69/100</f>
        <v>272.95391713304275</v>
      </c>
      <c r="Z103" s="37">
        <f t="shared" si="6"/>
        <v>55.353917133042728</v>
      </c>
      <c r="AA103" s="37">
        <f t="shared" si="7"/>
        <v>20.279583350350752</v>
      </c>
      <c r="AB103" s="89"/>
    </row>
    <row r="104" spans="2:28" x14ac:dyDescent="0.35">
      <c r="B104" s="230">
        <f t="shared" si="4"/>
        <v>94</v>
      </c>
      <c r="C104" s="61">
        <v>45635</v>
      </c>
      <c r="D104" s="248">
        <f>Table3.110[[#This Row],[Date]]</f>
        <v>46041</v>
      </c>
      <c r="E104" s="230" t="str">
        <f>Table3.110[[#This Row],[Requisitioner]]</f>
        <v>Genbank</v>
      </c>
      <c r="F104" s="230" t="str">
        <f>Table3.110[[#This Row],[Gene Bank ID]]</f>
        <v>CIAT-17263</v>
      </c>
      <c r="G104" s="230" t="str">
        <f>Table3.110[[#This Row],[Genus]]</f>
        <v>Leucaena</v>
      </c>
      <c r="H104" s="230" t="str">
        <f>Table3.110[[#This Row],[Species]]</f>
        <v>leucocephala</v>
      </c>
      <c r="I104" s="230" t="str">
        <f>Table3.110[[#This Row],[Tax Name]]</f>
        <v>Leucaena leucocephala</v>
      </c>
      <c r="J104" s="230" t="str">
        <f>Table3.110[[#This Row],[Family]]</f>
        <v>Fabaceae</v>
      </c>
      <c r="K104" s="230" t="str">
        <f>Table3.110[[#This Row],[Order]]</f>
        <v>Fabales</v>
      </c>
      <c r="L104" s="230" t="str">
        <f>Table3.110[[#This Row],[Functional Group]]</f>
        <v>Tree</v>
      </c>
      <c r="M104" s="230" t="str">
        <f>Table3.110[[#This Row],[CIAT ID]]</f>
        <v>F251757</v>
      </c>
      <c r="N104" s="230">
        <f>Table3.110[[#This Row],[Set CIAT]]</f>
        <v>27</v>
      </c>
      <c r="O104" s="230">
        <f>Table3.110[[#This Row],[Batch]]</f>
        <v>58</v>
      </c>
      <c r="P104" s="230">
        <f>Table3.110[[#This Row],[Run]]</f>
        <v>1</v>
      </c>
      <c r="Q104" s="230">
        <f>Table3.110[[#This Row],[Replication]]</f>
        <v>3</v>
      </c>
      <c r="R104" s="230">
        <f>Table3.110[[#This Row],[Syrange No]]</f>
        <v>274</v>
      </c>
      <c r="S104" s="110">
        <v>0.57350000000000001</v>
      </c>
      <c r="T104" s="110">
        <v>0.76170000000000004</v>
      </c>
      <c r="U104" s="108"/>
      <c r="V104" s="254">
        <f t="shared" si="5"/>
        <v>0.18820000000000003</v>
      </c>
      <c r="W104" s="61">
        <f>Table3.110[[#This Row],[DM Incubated, mg]]-('3.2 Digest'!V104*1000)</f>
        <v>284.34732332400574</v>
      </c>
      <c r="X104" s="61">
        <f>W104/Table3.110[[#This Row],[DM Incubated, mg]]*100</f>
        <v>60.17330101964005</v>
      </c>
      <c r="Y104" s="37">
        <f>Table3.1[[#This Row],[DM Incubated, mg]]*'2.4 NDF'!R69/100</f>
        <v>272.95391713304275</v>
      </c>
      <c r="Z104" s="37">
        <f t="shared" si="6"/>
        <v>84.753917133042705</v>
      </c>
      <c r="AA104" s="37">
        <f t="shared" si="7"/>
        <v>31.050632291066222</v>
      </c>
      <c r="AB104" s="89"/>
    </row>
    <row r="105" spans="2:28" x14ac:dyDescent="0.35">
      <c r="B105" s="230">
        <f t="shared" si="4"/>
        <v>95</v>
      </c>
      <c r="C105" s="61">
        <v>45635</v>
      </c>
      <c r="D105" s="248">
        <f>Table3.110[[#This Row],[Date]]</f>
        <v>46041</v>
      </c>
      <c r="E105" s="230" t="str">
        <f>Table3.110[[#This Row],[Requisitioner]]</f>
        <v>Isabel Molina</v>
      </c>
      <c r="F105" s="230" t="str">
        <f>Table3.110[[#This Row],[Gene Bank ID]]</f>
        <v xml:space="preserve"> Cayman Br02_1752</v>
      </c>
      <c r="G105" s="230" t="str">
        <f>Table3.110[[#This Row],[Genus]]</f>
        <v>Urochloa</v>
      </c>
      <c r="H105" s="230" t="str">
        <f>Table3.110[[#This Row],[Species]]</f>
        <v>interespecifico</v>
      </c>
      <c r="I105" s="230" t="str">
        <f>Table3.110[[#This Row],[Tax Name]]</f>
        <v>Urochloa interespecifico</v>
      </c>
      <c r="J105" s="230" t="str">
        <f>Table3.110[[#This Row],[Family]]</f>
        <v>Poaceae</v>
      </c>
      <c r="K105" s="230" t="str">
        <f>Table3.110[[#This Row],[Order]]</f>
        <v>Poales</v>
      </c>
      <c r="L105" s="230" t="str">
        <f>Table3.110[[#This Row],[Functional Group]]</f>
        <v>grasses</v>
      </c>
      <c r="M105" s="230" t="str">
        <f>Table3.110[[#This Row],[CIAT ID]]</f>
        <v>F252640</v>
      </c>
      <c r="N105" s="230">
        <f>Table3.110[[#This Row],[Set CIAT]]</f>
        <v>27</v>
      </c>
      <c r="O105" s="230">
        <f>Table3.110[[#This Row],[Batch]]</f>
        <v>58</v>
      </c>
      <c r="P105" s="230">
        <f>Table3.110[[#This Row],[Run]]</f>
        <v>1</v>
      </c>
      <c r="Q105" s="230">
        <f>Table3.110[[#This Row],[Replication]]</f>
        <v>1</v>
      </c>
      <c r="R105" s="230">
        <f>Table3.110[[#This Row],[Syrange No]]</f>
        <v>275</v>
      </c>
      <c r="S105" s="265">
        <v>0.58020000000000005</v>
      </c>
      <c r="T105" s="265">
        <v>0.78359999999999996</v>
      </c>
      <c r="U105" s="108"/>
      <c r="V105" s="254">
        <f t="shared" si="5"/>
        <v>0.20339999999999991</v>
      </c>
      <c r="W105" s="61">
        <f>Table3.110[[#This Row],[DM Incubated, mg]]-('3.2 Digest'!V105*1000)</f>
        <v>281.99325482443317</v>
      </c>
      <c r="X105" s="61">
        <f>W105/Table3.110[[#This Row],[DM Incubated, mg]]*100</f>
        <v>58.095833022325415</v>
      </c>
      <c r="Y105" s="37">
        <f>Table3.1[[#This Row],[DM Incubated, mg]]*'2.4 NDF'!R71/100</f>
        <v>301.59254999144105</v>
      </c>
      <c r="Z105" s="37">
        <f t="shared" si="6"/>
        <v>98.192549991441126</v>
      </c>
      <c r="AA105" s="37">
        <f t="shared" si="7"/>
        <v>32.558015771353688</v>
      </c>
      <c r="AB105" s="89"/>
    </row>
    <row r="106" spans="2:28" x14ac:dyDescent="0.35">
      <c r="B106" s="230">
        <f t="shared" si="4"/>
        <v>96</v>
      </c>
      <c r="C106" s="61">
        <v>45635</v>
      </c>
      <c r="D106" s="248">
        <f>Table3.110[[#This Row],[Date]]</f>
        <v>46041</v>
      </c>
      <c r="E106" s="230" t="str">
        <f>Table3.110[[#This Row],[Requisitioner]]</f>
        <v>Isabel Molina</v>
      </c>
      <c r="F106" s="230" t="str">
        <f>Table3.110[[#This Row],[Gene Bank ID]]</f>
        <v xml:space="preserve"> Cayman Br02_1752</v>
      </c>
      <c r="G106" s="230" t="str">
        <f>Table3.110[[#This Row],[Genus]]</f>
        <v>Urochloa</v>
      </c>
      <c r="H106" s="230" t="str">
        <f>Table3.110[[#This Row],[Species]]</f>
        <v>interespecifico</v>
      </c>
      <c r="I106" s="230" t="str">
        <f>Table3.110[[#This Row],[Tax Name]]</f>
        <v>Urochloa interespecifico</v>
      </c>
      <c r="J106" s="230" t="str">
        <f>Table3.110[[#This Row],[Family]]</f>
        <v>Poaceae</v>
      </c>
      <c r="K106" s="230" t="str">
        <f>Table3.110[[#This Row],[Order]]</f>
        <v>Poales</v>
      </c>
      <c r="L106" s="230" t="str">
        <f>Table3.110[[#This Row],[Functional Group]]</f>
        <v>grasses</v>
      </c>
      <c r="M106" s="230" t="str">
        <f>Table3.110[[#This Row],[CIAT ID]]</f>
        <v>F252640</v>
      </c>
      <c r="N106" s="230">
        <f>Table3.110[[#This Row],[Set CIAT]]</f>
        <v>27</v>
      </c>
      <c r="O106" s="230">
        <f>Table3.110[[#This Row],[Batch]]</f>
        <v>58</v>
      </c>
      <c r="P106" s="230">
        <f>Table3.110[[#This Row],[Run]]</f>
        <v>1</v>
      </c>
      <c r="Q106" s="230">
        <f>Table3.110[[#This Row],[Replication]]</f>
        <v>2</v>
      </c>
      <c r="R106" s="230">
        <f>Table3.110[[#This Row],[Syrange No]]</f>
        <v>276</v>
      </c>
      <c r="S106" s="110">
        <v>0.57379999999999998</v>
      </c>
      <c r="T106" s="110">
        <v>0.77700000000000002</v>
      </c>
      <c r="U106" s="108"/>
      <c r="V106" s="254">
        <f t="shared" si="5"/>
        <v>0.20320000000000005</v>
      </c>
      <c r="W106" s="61">
        <f>Table3.110[[#This Row],[DM Incubated, mg]]-('3.2 Digest'!V106*1000)</f>
        <v>281.99925272418352</v>
      </c>
      <c r="X106" s="61">
        <f>W106/Table3.110[[#This Row],[DM Incubated, mg]]*100</f>
        <v>58.120298236421405</v>
      </c>
      <c r="Y106" s="37">
        <f>Table3.1[[#This Row],[DM Incubated, mg]]*'2.4 NDF'!R71/100</f>
        <v>301.47200940391451</v>
      </c>
      <c r="Z106" s="37">
        <f t="shared" si="6"/>
        <v>98.272009403914467</v>
      </c>
      <c r="AA106" s="37">
        <f t="shared" si="7"/>
        <v>32.597390914739577</v>
      </c>
      <c r="AB106" s="89"/>
    </row>
    <row r="107" spans="2:28" x14ac:dyDescent="0.35">
      <c r="B107" s="230">
        <f t="shared" si="4"/>
        <v>97</v>
      </c>
      <c r="C107" s="61">
        <v>45635</v>
      </c>
      <c r="D107" s="248">
        <f>Table3.110[[#This Row],[Date]]</f>
        <v>46041</v>
      </c>
      <c r="E107" s="230" t="str">
        <f>Table3.110[[#This Row],[Requisitioner]]</f>
        <v>Isabel Molina</v>
      </c>
      <c r="F107" s="230" t="str">
        <f>Table3.110[[#This Row],[Gene Bank ID]]</f>
        <v xml:space="preserve"> Cayman Br02_1752</v>
      </c>
      <c r="G107" s="230" t="str">
        <f>Table3.110[[#This Row],[Genus]]</f>
        <v>Urochloa</v>
      </c>
      <c r="H107" s="230" t="str">
        <f>Table3.110[[#This Row],[Species]]</f>
        <v>interespecifico</v>
      </c>
      <c r="I107" s="230" t="str">
        <f>Table3.110[[#This Row],[Tax Name]]</f>
        <v>Urochloa interespecifico</v>
      </c>
      <c r="J107" s="230" t="str">
        <f>Table3.110[[#This Row],[Family]]</f>
        <v>Poaceae</v>
      </c>
      <c r="K107" s="230" t="str">
        <f>Table3.110[[#This Row],[Order]]</f>
        <v>Poales</v>
      </c>
      <c r="L107" s="230" t="str">
        <f>Table3.110[[#This Row],[Functional Group]]</f>
        <v>grasses</v>
      </c>
      <c r="M107" s="230" t="str">
        <f>Table3.110[[#This Row],[CIAT ID]]</f>
        <v>F252640</v>
      </c>
      <c r="N107" s="230">
        <f>Table3.110[[#This Row],[Set CIAT]]</f>
        <v>27</v>
      </c>
      <c r="O107" s="230">
        <f>Table3.110[[#This Row],[Batch]]</f>
        <v>58</v>
      </c>
      <c r="P107" s="230">
        <f>Table3.110[[#This Row],[Run]]</f>
        <v>1</v>
      </c>
      <c r="Q107" s="230">
        <f>Table3.110[[#This Row],[Replication]]</f>
        <v>3</v>
      </c>
      <c r="R107" s="230">
        <f>Table3.110[[#This Row],[Syrange No]]</f>
        <v>277</v>
      </c>
      <c r="S107" s="265">
        <v>0.56820000000000004</v>
      </c>
      <c r="T107" s="265">
        <v>0.79720000000000002</v>
      </c>
      <c r="U107" s="108" t="s">
        <v>685</v>
      </c>
      <c r="V107" s="254">
        <f t="shared" si="5"/>
        <v>0.22899999999999998</v>
      </c>
      <c r="W107" s="61">
        <f>Table3.110[[#This Row],[DM Incubated, mg]]-('3.2 Digest'!V107*1000)</f>
        <v>256.19925272418357</v>
      </c>
      <c r="X107" s="61">
        <f>W107/Table3.110[[#This Row],[DM Incubated, mg]]*100</f>
        <v>52.802895158171779</v>
      </c>
      <c r="Y107" s="37">
        <f>Table3.1[[#This Row],[DM Incubated, mg]]*'2.4 NDF'!R71/100</f>
        <v>301.47200940391451</v>
      </c>
      <c r="Z107" s="37">
        <f t="shared" si="6"/>
        <v>72.472009403914541</v>
      </c>
      <c r="AA107" s="37">
        <f t="shared" si="7"/>
        <v>24.03938247773311</v>
      </c>
      <c r="AB107" s="89"/>
    </row>
    <row r="108" spans="2:28" x14ac:dyDescent="0.35">
      <c r="B108" s="230">
        <f t="shared" si="4"/>
        <v>98</v>
      </c>
      <c r="C108" s="61">
        <v>45635</v>
      </c>
      <c r="D108" s="248">
        <f>Table3.110[[#This Row],[Date]]</f>
        <v>46041</v>
      </c>
      <c r="E108" s="230" t="str">
        <f>Table3.110[[#This Row],[Requisitioner]]</f>
        <v>Isabel Molina</v>
      </c>
      <c r="F108" s="230" t="str">
        <f>Table3.110[[#This Row],[Gene Bank ID]]</f>
        <v>N/A</v>
      </c>
      <c r="G108" s="230" t="str">
        <f>Table3.110[[#This Row],[Genus]]</f>
        <v>Gliricidia</v>
      </c>
      <c r="H108" s="230" t="str">
        <f>Table3.110[[#This Row],[Species]]</f>
        <v>sepium</v>
      </c>
      <c r="I108" s="230" t="str">
        <f>Table3.110[[#This Row],[Tax Name]]</f>
        <v xml:space="preserve">Gliricidia sepium </v>
      </c>
      <c r="J108" s="230" t="str">
        <f>Table3.110[[#This Row],[Family]]</f>
        <v>Fabaceae</v>
      </c>
      <c r="K108" s="230" t="str">
        <f>Table3.110[[#This Row],[Order]]</f>
        <v>Fabales</v>
      </c>
      <c r="L108" s="230" t="str">
        <f>Table3.110[[#This Row],[Functional Group]]</f>
        <v xml:space="preserve">Arbustiva </v>
      </c>
      <c r="M108" s="230" t="str">
        <f>Table3.110[[#This Row],[CIAT ID]]</f>
        <v>F252641</v>
      </c>
      <c r="N108" s="230">
        <f>Table3.110[[#This Row],[Set CIAT]]</f>
        <v>27</v>
      </c>
      <c r="O108" s="230">
        <f>Table3.110[[#This Row],[Batch]]</f>
        <v>58</v>
      </c>
      <c r="P108" s="230">
        <f>Table3.110[[#This Row],[Run]]</f>
        <v>1</v>
      </c>
      <c r="Q108" s="230">
        <f>Table3.110[[#This Row],[Replication]]</f>
        <v>1</v>
      </c>
      <c r="R108" s="230">
        <f>Table3.110[[#This Row],[Syrange No]]</f>
        <v>278</v>
      </c>
      <c r="S108" s="110">
        <v>0.59650000000000003</v>
      </c>
      <c r="T108" s="110">
        <v>0.75080000000000002</v>
      </c>
      <c r="U108" s="108"/>
      <c r="V108" s="254">
        <f t="shared" si="5"/>
        <v>0.15429999999999999</v>
      </c>
      <c r="W108" s="61">
        <f>Table3.110[[#This Row],[DM Incubated, mg]]-('3.2 Digest'!V108*1000)</f>
        <v>313.56036003873044</v>
      </c>
      <c r="X108" s="61">
        <f>W108/Table3.110[[#This Row],[DM Incubated, mg]]*100</f>
        <v>67.020074112022058</v>
      </c>
      <c r="Y108" s="37">
        <f>Table3.1[[#This Row],[DM Incubated, mg]]*'2.4 NDF'!R73/100</f>
        <v>220.8534829562827</v>
      </c>
      <c r="Z108" s="37">
        <f t="shared" si="6"/>
        <v>66.553482956282721</v>
      </c>
      <c r="AA108" s="37">
        <f t="shared" si="7"/>
        <v>30.134676648706865</v>
      </c>
      <c r="AB108" s="89"/>
    </row>
    <row r="109" spans="2:28" x14ac:dyDescent="0.35">
      <c r="B109" s="230">
        <f t="shared" si="4"/>
        <v>99</v>
      </c>
      <c r="C109" s="61">
        <v>45635</v>
      </c>
      <c r="D109" s="248">
        <f>Table3.110[[#This Row],[Date]]</f>
        <v>46041</v>
      </c>
      <c r="E109" s="230" t="str">
        <f>Table3.110[[#This Row],[Requisitioner]]</f>
        <v>Isabel Molina</v>
      </c>
      <c r="F109" s="230" t="str">
        <f>Table3.110[[#This Row],[Gene Bank ID]]</f>
        <v>N/A</v>
      </c>
      <c r="G109" s="230" t="str">
        <f>Table3.110[[#This Row],[Genus]]</f>
        <v>Gliricidia</v>
      </c>
      <c r="H109" s="230" t="str">
        <f>Table3.110[[#This Row],[Species]]</f>
        <v>sepium</v>
      </c>
      <c r="I109" s="230" t="str">
        <f>Table3.110[[#This Row],[Tax Name]]</f>
        <v xml:space="preserve">Gliricidia sepium </v>
      </c>
      <c r="J109" s="230" t="str">
        <f>Table3.110[[#This Row],[Family]]</f>
        <v>Fabaceae</v>
      </c>
      <c r="K109" s="230" t="str">
        <f>Table3.110[[#This Row],[Order]]</f>
        <v>Fabales</v>
      </c>
      <c r="L109" s="230" t="str">
        <f>Table3.110[[#This Row],[Functional Group]]</f>
        <v xml:space="preserve">Arbustiva </v>
      </c>
      <c r="M109" s="230" t="str">
        <f>Table3.110[[#This Row],[CIAT ID]]</f>
        <v>F252641</v>
      </c>
      <c r="N109" s="230">
        <f>Table3.110[[#This Row],[Set CIAT]]</f>
        <v>27</v>
      </c>
      <c r="O109" s="230">
        <f>Table3.110[[#This Row],[Batch]]</f>
        <v>58</v>
      </c>
      <c r="P109" s="230">
        <f>Table3.110[[#This Row],[Run]]</f>
        <v>1</v>
      </c>
      <c r="Q109" s="230">
        <f>Table3.110[[#This Row],[Replication]]</f>
        <v>2</v>
      </c>
      <c r="R109" s="230">
        <f>Table3.110[[#This Row],[Syrange No]]</f>
        <v>279</v>
      </c>
      <c r="S109" s="265">
        <v>0.5897</v>
      </c>
      <c r="T109" s="265">
        <v>0.75590000000000002</v>
      </c>
      <c r="U109" s="108"/>
      <c r="V109" s="254">
        <f t="shared" si="5"/>
        <v>0.16620000000000001</v>
      </c>
      <c r="W109" s="61">
        <f>Table3.110[[#This Row],[DM Incubated, mg]]-('3.2 Digest'!V109*1000)</f>
        <v>301.75385731291874</v>
      </c>
      <c r="X109" s="61">
        <f>W109/Table3.110[[#This Row],[DM Incubated, mg]]*100</f>
        <v>64.483677738152977</v>
      </c>
      <c r="Y109" s="37">
        <f>Table3.1[[#This Row],[DM Incubated, mg]]*'2.4 NDF'!R73/100</f>
        <v>220.89761834456331</v>
      </c>
      <c r="Z109" s="37">
        <f t="shared" si="6"/>
        <v>54.697618344563296</v>
      </c>
      <c r="AA109" s="37">
        <f t="shared" si="7"/>
        <v>24.761524707452555</v>
      </c>
      <c r="AB109" s="89"/>
    </row>
    <row r="110" spans="2:28" x14ac:dyDescent="0.35">
      <c r="B110" s="230">
        <f t="shared" si="4"/>
        <v>100</v>
      </c>
      <c r="C110" s="61">
        <v>45635</v>
      </c>
      <c r="D110" s="248">
        <f>Table3.110[[#This Row],[Date]]</f>
        <v>46041</v>
      </c>
      <c r="E110" s="230" t="str">
        <f>Table3.110[[#This Row],[Requisitioner]]</f>
        <v>Isabel Molina</v>
      </c>
      <c r="F110" s="230" t="str">
        <f>Table3.110[[#This Row],[Gene Bank ID]]</f>
        <v>N/A</v>
      </c>
      <c r="G110" s="230" t="str">
        <f>Table3.110[[#This Row],[Genus]]</f>
        <v>Gliricidia</v>
      </c>
      <c r="H110" s="230" t="str">
        <f>Table3.110[[#This Row],[Species]]</f>
        <v>sepium</v>
      </c>
      <c r="I110" s="230" t="str">
        <f>Table3.110[[#This Row],[Tax Name]]</f>
        <v xml:space="preserve">Gliricidia sepium </v>
      </c>
      <c r="J110" s="230" t="str">
        <f>Table3.110[[#This Row],[Family]]</f>
        <v>Fabaceae</v>
      </c>
      <c r="K110" s="230" t="str">
        <f>Table3.110[[#This Row],[Order]]</f>
        <v>Fabales</v>
      </c>
      <c r="L110" s="230" t="str">
        <f>Table3.110[[#This Row],[Functional Group]]</f>
        <v xml:space="preserve">Arbustiva </v>
      </c>
      <c r="M110" s="230" t="str">
        <f>Table3.110[[#This Row],[CIAT ID]]</f>
        <v>F252641</v>
      </c>
      <c r="N110" s="230">
        <f>Table3.110[[#This Row],[Set CIAT]]</f>
        <v>27</v>
      </c>
      <c r="O110" s="230">
        <f>Table3.110[[#This Row],[Batch]]</f>
        <v>58</v>
      </c>
      <c r="P110" s="230">
        <f>Table3.110[[#This Row],[Run]]</f>
        <v>1</v>
      </c>
      <c r="Q110" s="230">
        <f>Table3.110[[#This Row],[Replication]]</f>
        <v>3</v>
      </c>
      <c r="R110" s="230">
        <f>Table3.110[[#This Row],[Syrange No]]</f>
        <v>280</v>
      </c>
      <c r="S110" s="110">
        <v>0.57599999999999996</v>
      </c>
      <c r="T110" s="110">
        <v>0.79090000000000005</v>
      </c>
      <c r="U110" s="108"/>
      <c r="V110" s="254">
        <f t="shared" si="5"/>
        <v>0.21490000000000009</v>
      </c>
      <c r="W110" s="61">
        <f>Table3.110[[#This Row],[DM Incubated, mg]]-('3.2 Digest'!V110*1000)</f>
        <v>252.96036003873036</v>
      </c>
      <c r="X110" s="61">
        <f>W110/Table3.110[[#This Row],[DM Incubated, mg]]*100</f>
        <v>54.067491423678163</v>
      </c>
      <c r="Y110" s="37">
        <f>Table3.1[[#This Row],[DM Incubated, mg]]*'2.4 NDF'!R73/100</f>
        <v>220.8534829562827</v>
      </c>
      <c r="Z110" s="37">
        <f t="shared" si="6"/>
        <v>5.9534829562826133</v>
      </c>
      <c r="AA110" s="37">
        <f t="shared" si="7"/>
        <v>2.6956708477452844</v>
      </c>
      <c r="AB110" s="89"/>
    </row>
    <row r="111" spans="2:28" x14ac:dyDescent="0.35">
      <c r="B111" s="230">
        <f t="shared" si="4"/>
        <v>101</v>
      </c>
      <c r="C111" s="61">
        <v>45635</v>
      </c>
      <c r="D111" s="248">
        <f>Table3.110[[#This Row],[Date]]</f>
        <v>46041</v>
      </c>
      <c r="E111" s="230" t="str">
        <f>Table3.110[[#This Row],[Requisitioner]]</f>
        <v>Jacobo Arango/Alejandro Montoya</v>
      </c>
      <c r="F111" s="230" t="str">
        <f>Table3.110[[#This Row],[Gene Bank ID]]</f>
        <v>Sample 8</v>
      </c>
      <c r="G111" s="230" t="str">
        <f>Table3.110[[#This Row],[Genus]]</f>
        <v>Cynodon</v>
      </c>
      <c r="H111" s="230" t="str">
        <f>Table3.110[[#This Row],[Species]]</f>
        <v>nlemfuensis</v>
      </c>
      <c r="I111" s="230" t="str">
        <f>Table3.110[[#This Row],[Tax Name]]</f>
        <v xml:space="preserve">Cynodon nlemfuensis </v>
      </c>
      <c r="J111" s="230" t="str">
        <f>Table3.110[[#This Row],[Family]]</f>
        <v>Poaceae</v>
      </c>
      <c r="K111" s="230" t="str">
        <f>Table3.110[[#This Row],[Order]]</f>
        <v>Poales</v>
      </c>
      <c r="L111" s="230" t="str">
        <f>Table3.110[[#This Row],[Functional Group]]</f>
        <v>grasses</v>
      </c>
      <c r="M111" s="230" t="str">
        <f>Table3.110[[#This Row],[CIAT ID]]</f>
        <v>F250008</v>
      </c>
      <c r="N111" s="230">
        <f>Table3.110[[#This Row],[Set CIAT]]</f>
        <v>27</v>
      </c>
      <c r="O111" s="230">
        <f>Table3.110[[#This Row],[Batch]]</f>
        <v>58</v>
      </c>
      <c r="P111" s="230">
        <f>Table3.110[[#This Row],[Run]]</f>
        <v>1</v>
      </c>
      <c r="Q111" s="230">
        <f>Table3.110[[#This Row],[Replication]]</f>
        <v>1</v>
      </c>
      <c r="R111" s="230">
        <f>Table3.110[[#This Row],[Syrange No]]</f>
        <v>281</v>
      </c>
      <c r="S111" s="265">
        <v>0.58540000000000003</v>
      </c>
      <c r="T111" s="265">
        <v>0.83350000000000002</v>
      </c>
      <c r="U111" s="108"/>
      <c r="V111" s="254">
        <f t="shared" si="5"/>
        <v>0.24809999999999999</v>
      </c>
      <c r="W111" s="61">
        <f>Table3.110[[#This Row],[DM Incubated, mg]]-('3.2 Digest'!V111*1000)</f>
        <v>220.02419999999992</v>
      </c>
      <c r="X111" s="61">
        <f>W111/Table3.110[[#This Row],[DM Incubated, mg]]*100</f>
        <v>47.00124454151269</v>
      </c>
      <c r="Y111" s="37">
        <f>Table3.1[[#This Row],[DM Incubated, mg]]*'2.4 NDF'!R75/100</f>
        <v>356.2425161999999</v>
      </c>
      <c r="Z111" s="37">
        <f t="shared" si="6"/>
        <v>108.1425161999999</v>
      </c>
      <c r="AA111" s="37">
        <f t="shared" si="7"/>
        <v>30.356431723406946</v>
      </c>
      <c r="AB111" s="89"/>
    </row>
    <row r="112" spans="2:28" x14ac:dyDescent="0.35">
      <c r="B112" s="230">
        <f t="shared" si="4"/>
        <v>102</v>
      </c>
      <c r="C112" s="61">
        <v>45635</v>
      </c>
      <c r="D112" s="248">
        <f>Table3.110[[#This Row],[Date]]</f>
        <v>46041</v>
      </c>
      <c r="E112" s="230" t="str">
        <f>Table3.110[[#This Row],[Requisitioner]]</f>
        <v>Jacobo Arango/Alejandro Montoya</v>
      </c>
      <c r="F112" s="230" t="str">
        <f>Table3.110[[#This Row],[Gene Bank ID]]</f>
        <v>Sample 8</v>
      </c>
      <c r="G112" s="230" t="str">
        <f>Table3.110[[#This Row],[Genus]]</f>
        <v>Cynodon</v>
      </c>
      <c r="H112" s="230" t="str">
        <f>Table3.110[[#This Row],[Species]]</f>
        <v>nlemfuensis</v>
      </c>
      <c r="I112" s="230" t="str">
        <f>Table3.110[[#This Row],[Tax Name]]</f>
        <v xml:space="preserve">Cynodon nlemfuensis </v>
      </c>
      <c r="J112" s="230" t="str">
        <f>Table3.110[[#This Row],[Family]]</f>
        <v>Poaceae</v>
      </c>
      <c r="K112" s="230" t="str">
        <f>Table3.110[[#This Row],[Order]]</f>
        <v>Poales</v>
      </c>
      <c r="L112" s="230" t="str">
        <f>Table3.110[[#This Row],[Functional Group]]</f>
        <v>grasses</v>
      </c>
      <c r="M112" s="230" t="str">
        <f>Table3.110[[#This Row],[CIAT ID]]</f>
        <v>F250008</v>
      </c>
      <c r="N112" s="230">
        <f>Table3.110[[#This Row],[Set CIAT]]</f>
        <v>27</v>
      </c>
      <c r="O112" s="230">
        <f>Table3.110[[#This Row],[Batch]]</f>
        <v>58</v>
      </c>
      <c r="P112" s="230">
        <f>Table3.110[[#This Row],[Run]]</f>
        <v>1</v>
      </c>
      <c r="Q112" s="230">
        <f>Table3.110[[#This Row],[Replication]]</f>
        <v>2</v>
      </c>
      <c r="R112" s="230">
        <f>Table3.110[[#This Row],[Syrange No]]</f>
        <v>282</v>
      </c>
      <c r="S112" s="110">
        <v>0.55230000000000001</v>
      </c>
      <c r="T112" s="110">
        <v>0.84360000000000002</v>
      </c>
      <c r="U112" s="108"/>
      <c r="V112" s="254">
        <f t="shared" si="5"/>
        <v>0.2913</v>
      </c>
      <c r="W112" s="61">
        <f>Table3.110[[#This Row],[DM Incubated, mg]]-('3.2 Digest'!V112*1000)</f>
        <v>176.73064999999997</v>
      </c>
      <c r="X112" s="61">
        <f>W112/Table3.110[[#This Row],[DM Incubated, mg]]*100</f>
        <v>37.76048641258857</v>
      </c>
      <c r="Y112" s="37">
        <f>Table3.1[[#This Row],[DM Incubated, mg]]*'2.4 NDF'!R75/100</f>
        <v>356.17132464999997</v>
      </c>
      <c r="Z112" s="37">
        <f t="shared" si="6"/>
        <v>64.871324649999963</v>
      </c>
      <c r="AA112" s="37">
        <f t="shared" si="7"/>
        <v>18.213516967921905</v>
      </c>
      <c r="AB112" s="89"/>
    </row>
    <row r="113" spans="2:29" x14ac:dyDescent="0.35">
      <c r="B113" s="230">
        <f t="shared" si="4"/>
        <v>103</v>
      </c>
      <c r="C113" s="61">
        <v>45635</v>
      </c>
      <c r="D113" s="248">
        <f>Table3.110[[#This Row],[Date]]</f>
        <v>46041</v>
      </c>
      <c r="E113" s="230" t="str">
        <f>Table3.110[[#This Row],[Requisitioner]]</f>
        <v>Jacobo Arango/Alejandro Montoya</v>
      </c>
      <c r="F113" s="230" t="str">
        <f>Table3.110[[#This Row],[Gene Bank ID]]</f>
        <v>Sample 8</v>
      </c>
      <c r="G113" s="230" t="str">
        <f>Table3.110[[#This Row],[Genus]]</f>
        <v>Cynodon</v>
      </c>
      <c r="H113" s="230" t="str">
        <f>Table3.110[[#This Row],[Species]]</f>
        <v>nlemfuensis</v>
      </c>
      <c r="I113" s="230" t="str">
        <f>Table3.110[[#This Row],[Tax Name]]</f>
        <v xml:space="preserve">Cynodon nlemfuensis </v>
      </c>
      <c r="J113" s="230" t="str">
        <f>Table3.110[[#This Row],[Family]]</f>
        <v>Poaceae</v>
      </c>
      <c r="K113" s="230" t="str">
        <f>Table3.110[[#This Row],[Order]]</f>
        <v>Poales</v>
      </c>
      <c r="L113" s="230" t="str">
        <f>Table3.110[[#This Row],[Functional Group]]</f>
        <v>grasses</v>
      </c>
      <c r="M113" s="230" t="str">
        <f>Table3.110[[#This Row],[CIAT ID]]</f>
        <v>F250008</v>
      </c>
      <c r="N113" s="230">
        <f>Table3.110[[#This Row],[Set CIAT]]</f>
        <v>27</v>
      </c>
      <c r="O113" s="230">
        <f>Table3.110[[#This Row],[Batch]]</f>
        <v>58</v>
      </c>
      <c r="P113" s="230">
        <f>Table3.110[[#This Row],[Run]]</f>
        <v>1</v>
      </c>
      <c r="Q113" s="230">
        <f>Table3.110[[#This Row],[Replication]]</f>
        <v>3</v>
      </c>
      <c r="R113" s="230">
        <f>Table3.110[[#This Row],[Syrange No]]</f>
        <v>283</v>
      </c>
      <c r="S113" s="265">
        <v>0.57830000000000004</v>
      </c>
      <c r="T113" s="265">
        <v>0.88260000000000005</v>
      </c>
      <c r="U113" s="108"/>
      <c r="V113" s="254">
        <f t="shared" si="5"/>
        <v>0.30430000000000001</v>
      </c>
      <c r="W113" s="61">
        <f>Table3.110[[#This Row],[DM Incubated, mg]]-('3.2 Digest'!V113*1000)</f>
        <v>163.82419999999991</v>
      </c>
      <c r="X113" s="61">
        <f>W113/Table3.110[[#This Row],[DM Incubated, mg]]*100</f>
        <v>34.995883571069378</v>
      </c>
      <c r="Y113" s="37">
        <f>Table3.1[[#This Row],[DM Incubated, mg]]*'2.4 NDF'!R75/100</f>
        <v>356.2425161999999</v>
      </c>
      <c r="Z113" s="37">
        <f t="shared" si="6"/>
        <v>51.942516199999886</v>
      </c>
      <c r="AA113" s="37">
        <f t="shared" si="7"/>
        <v>14.580661722824399</v>
      </c>
      <c r="AB113" s="89"/>
    </row>
    <row r="114" spans="2:29" x14ac:dyDescent="0.35">
      <c r="B114" s="230">
        <f t="shared" si="4"/>
        <v>104</v>
      </c>
      <c r="C114" s="61">
        <v>45635</v>
      </c>
      <c r="D114" s="248">
        <f>Table3.110[[#This Row],[Date]]</f>
        <v>46041</v>
      </c>
      <c r="E114" s="230">
        <f>Table3.110[[#This Row],[Requisitioner]]</f>
        <v>0</v>
      </c>
      <c r="F114" s="230" t="str">
        <f>Table3.110[[#This Row],[Gene Bank ID]]</f>
        <v>BLANK 24 H</v>
      </c>
      <c r="G114" s="230" t="str">
        <f>Table3.110[[#This Row],[Genus]]</f>
        <v>BLANK</v>
      </c>
      <c r="H114" s="230">
        <f>Table3.110[[#This Row],[Species]]</f>
        <v>24</v>
      </c>
      <c r="I114" s="230" t="str">
        <f>Table3.110[[#This Row],[Tax Name]]</f>
        <v>BLANK 24 H</v>
      </c>
      <c r="J114" s="230">
        <f>Table3.110[[#This Row],[Family]]</f>
        <v>0</v>
      </c>
      <c r="K114" s="230">
        <f>Table3.110[[#This Row],[Order]]</f>
        <v>0</v>
      </c>
      <c r="L114" s="230">
        <f>Table3.110[[#This Row],[Functional Group]]</f>
        <v>0</v>
      </c>
      <c r="M114" s="230" t="str">
        <f>Table3.110[[#This Row],[CIAT ID]]</f>
        <v>BLANK24H</v>
      </c>
      <c r="N114" s="230">
        <f>Table3.110[[#This Row],[Set CIAT]]</f>
        <v>27</v>
      </c>
      <c r="O114" s="230">
        <f>Table3.110[[#This Row],[Batch]]</f>
        <v>58</v>
      </c>
      <c r="P114" s="230">
        <f>Table3.110[[#This Row],[Run]]</f>
        <v>1</v>
      </c>
      <c r="Q114" s="230">
        <f>Table3.110[[#This Row],[Replication]]</f>
        <v>1</v>
      </c>
      <c r="R114" s="230">
        <f>Table3.110[[#This Row],[Syrange No]]</f>
        <v>284</v>
      </c>
      <c r="S114" s="264"/>
      <c r="T114" s="264"/>
      <c r="U114" s="108"/>
      <c r="V114" s="254"/>
      <c r="W114" s="61"/>
      <c r="X114" s="61"/>
      <c r="Y114" s="37"/>
      <c r="Z114" s="37"/>
      <c r="AA114" s="37"/>
      <c r="AB114" s="89"/>
    </row>
    <row r="115" spans="2:29" x14ac:dyDescent="0.35">
      <c r="B115" s="230">
        <f t="shared" si="4"/>
        <v>105</v>
      </c>
      <c r="C115" s="61">
        <v>45635</v>
      </c>
      <c r="D115" s="248">
        <f>Table3.110[[#This Row],[Date]]</f>
        <v>46041</v>
      </c>
      <c r="E115" s="230">
        <f>Table3.110[[#This Row],[Requisitioner]]</f>
        <v>0</v>
      </c>
      <c r="F115" s="230" t="str">
        <f>Table3.110[[#This Row],[Gene Bank ID]]</f>
        <v>BLANK 24 H</v>
      </c>
      <c r="G115" s="230" t="str">
        <f>Table3.110[[#This Row],[Genus]]</f>
        <v>BLANK</v>
      </c>
      <c r="H115" s="230">
        <f>Table3.110[[#This Row],[Species]]</f>
        <v>24</v>
      </c>
      <c r="I115" s="230" t="str">
        <f>Table3.110[[#This Row],[Tax Name]]</f>
        <v>BLANK 24 H</v>
      </c>
      <c r="J115" s="230">
        <f>Table3.110[[#This Row],[Family]]</f>
        <v>0</v>
      </c>
      <c r="K115" s="230">
        <f>Table3.110[[#This Row],[Order]]</f>
        <v>0</v>
      </c>
      <c r="L115" s="230">
        <f>Table3.110[[#This Row],[Functional Group]]</f>
        <v>0</v>
      </c>
      <c r="M115" s="230" t="str">
        <f>Table3.110[[#This Row],[CIAT ID]]</f>
        <v>BLANK24H</v>
      </c>
      <c r="N115" s="230">
        <f>Table3.110[[#This Row],[Set CIAT]]</f>
        <v>27</v>
      </c>
      <c r="O115" s="230">
        <f>Table3.110[[#This Row],[Batch]]</f>
        <v>58</v>
      </c>
      <c r="P115" s="230">
        <f>Table3.110[[#This Row],[Run]]</f>
        <v>1</v>
      </c>
      <c r="Q115" s="230">
        <f>Table3.110[[#This Row],[Replication]]</f>
        <v>2</v>
      </c>
      <c r="R115" s="230">
        <f>Table3.110[[#This Row],[Syrange No]]</f>
        <v>285</v>
      </c>
      <c r="S115" s="263"/>
      <c r="T115" s="263"/>
      <c r="U115" s="108"/>
      <c r="V115" s="254"/>
      <c r="W115" s="61"/>
      <c r="X115" s="61"/>
      <c r="Y115" s="37"/>
      <c r="Z115" s="37"/>
      <c r="AA115" s="37"/>
      <c r="AB115" s="89"/>
    </row>
    <row r="116" spans="2:29" x14ac:dyDescent="0.35">
      <c r="B116" s="230">
        <f t="shared" si="4"/>
        <v>106</v>
      </c>
      <c r="C116" s="61">
        <v>45635</v>
      </c>
      <c r="D116" s="248">
        <f>Table3.110[[#This Row],[Date]]</f>
        <v>46043</v>
      </c>
      <c r="E116" s="230">
        <f>Table3.110[[#This Row],[Requisitioner]]</f>
        <v>0</v>
      </c>
      <c r="F116" s="230" t="str">
        <f>Table3.110[[#This Row],[Gene Bank ID]]</f>
        <v>BLANK 24 H</v>
      </c>
      <c r="G116" s="230" t="str">
        <f>Table3.110[[#This Row],[Genus]]</f>
        <v>BLANK</v>
      </c>
      <c r="H116" s="230">
        <f>Table3.110[[#This Row],[Species]]</f>
        <v>24</v>
      </c>
      <c r="I116" s="230" t="str">
        <f>Table3.110[[#This Row],[Tax Name]]</f>
        <v>BLANK 24 H</v>
      </c>
      <c r="J116" s="230">
        <f>Table3.110[[#This Row],[Family]]</f>
        <v>0</v>
      </c>
      <c r="K116" s="230">
        <f>Table3.110[[#This Row],[Order]]</f>
        <v>0</v>
      </c>
      <c r="L116" s="230">
        <f>Table3.110[[#This Row],[Functional Group]]</f>
        <v>0</v>
      </c>
      <c r="M116" s="230" t="str">
        <f>Table3.110[[#This Row],[CIAT ID]]</f>
        <v>BLANK24H</v>
      </c>
      <c r="N116" s="230">
        <f>Table3.110[[#This Row],[Set CIAT]]</f>
        <v>27</v>
      </c>
      <c r="O116" s="230">
        <f>Table3.110[[#This Row],[Batch]]</f>
        <v>59</v>
      </c>
      <c r="P116" s="230">
        <f>Table3.110[[#This Row],[Run]]</f>
        <v>2</v>
      </c>
      <c r="Q116" s="230">
        <f>Table3.110[[#This Row],[Replication]]</f>
        <v>1</v>
      </c>
      <c r="R116" s="230">
        <f>Table3.110[[#This Row],[Syrange No]]</f>
        <v>286</v>
      </c>
      <c r="S116" s="263"/>
      <c r="T116" s="263"/>
      <c r="U116" s="108"/>
      <c r="V116" s="254"/>
      <c r="W116" s="61"/>
      <c r="X116" s="61"/>
      <c r="Y116" s="37"/>
      <c r="Z116" s="37"/>
      <c r="AA116" s="37"/>
      <c r="AB116" s="89"/>
    </row>
    <row r="117" spans="2:29" x14ac:dyDescent="0.35">
      <c r="B117" s="230">
        <f t="shared" si="4"/>
        <v>107</v>
      </c>
      <c r="C117" s="61">
        <v>45635</v>
      </c>
      <c r="D117" s="248">
        <f>Table3.110[[#This Row],[Date]]</f>
        <v>46043</v>
      </c>
      <c r="E117" s="230">
        <f>Table3.110[[#This Row],[Requisitioner]]</f>
        <v>0</v>
      </c>
      <c r="F117" s="230" t="str">
        <f>Table3.110[[#This Row],[Gene Bank ID]]</f>
        <v>BLANK 24 H</v>
      </c>
      <c r="G117" s="230" t="str">
        <f>Table3.110[[#This Row],[Genus]]</f>
        <v>BLANK</v>
      </c>
      <c r="H117" s="230">
        <f>Table3.110[[#This Row],[Species]]</f>
        <v>24</v>
      </c>
      <c r="I117" s="230" t="str">
        <f>Table3.110[[#This Row],[Tax Name]]</f>
        <v>BLANK 24 H</v>
      </c>
      <c r="J117" s="230">
        <f>Table3.110[[#This Row],[Family]]</f>
        <v>0</v>
      </c>
      <c r="K117" s="230">
        <f>Table3.110[[#This Row],[Order]]</f>
        <v>0</v>
      </c>
      <c r="L117" s="230">
        <f>Table3.110[[#This Row],[Functional Group]]</f>
        <v>0</v>
      </c>
      <c r="M117" s="230" t="str">
        <f>Table3.110[[#This Row],[CIAT ID]]</f>
        <v>BLANK24H</v>
      </c>
      <c r="N117" s="230">
        <f>Table3.110[[#This Row],[Set CIAT]]</f>
        <v>27</v>
      </c>
      <c r="O117" s="230">
        <f>Table3.110[[#This Row],[Batch]]</f>
        <v>59</v>
      </c>
      <c r="P117" s="230">
        <f>Table3.110[[#This Row],[Run]]</f>
        <v>2</v>
      </c>
      <c r="Q117" s="230">
        <f>Table3.110[[#This Row],[Replication]]</f>
        <v>2</v>
      </c>
      <c r="R117" s="230">
        <f>Table3.110[[#This Row],[Syrange No]]</f>
        <v>287</v>
      </c>
      <c r="S117" s="264"/>
      <c r="T117" s="264"/>
      <c r="U117" s="108"/>
      <c r="V117" s="254"/>
      <c r="W117" s="61"/>
      <c r="X117" s="61"/>
      <c r="Y117" s="37"/>
      <c r="Z117" s="37"/>
      <c r="AA117" s="37"/>
      <c r="AB117" s="89"/>
    </row>
    <row r="118" spans="2:29" x14ac:dyDescent="0.35">
      <c r="B118" s="230">
        <f t="shared" si="4"/>
        <v>108</v>
      </c>
      <c r="C118" s="61">
        <v>45635</v>
      </c>
      <c r="D118" s="248">
        <f>Table3.110[[#This Row],[Date]]</f>
        <v>46043</v>
      </c>
      <c r="E118" s="230" t="str">
        <f>Table3.110[[#This Row],[Requisitioner]]</f>
        <v>Genbank</v>
      </c>
      <c r="F118" s="230" t="str">
        <f>Table3.110[[#This Row],[Gene Bank ID]]</f>
        <v>CIAT-13262</v>
      </c>
      <c r="G118" s="230" t="str">
        <f>Table3.110[[#This Row],[Genus]]</f>
        <v>Dendrolobium</v>
      </c>
      <c r="H118" s="230" t="str">
        <f>Table3.110[[#This Row],[Species]]</f>
        <v>triangulare</v>
      </c>
      <c r="I118" s="230" t="str">
        <f>Table3.110[[#This Row],[Tax Name]]</f>
        <v>Dendrolobium triangulare</v>
      </c>
      <c r="J118" s="230" t="str">
        <f>Table3.110[[#This Row],[Family]]</f>
        <v>Fabaceae</v>
      </c>
      <c r="K118" s="230" t="str">
        <f>Table3.110[[#This Row],[Order]]</f>
        <v>Fabales</v>
      </c>
      <c r="L118" s="230" t="str">
        <f>Table3.110[[#This Row],[Functional Group]]</f>
        <v>Tree</v>
      </c>
      <c r="M118" s="230" t="str">
        <f>Table3.110[[#This Row],[CIAT ID]]</f>
        <v>F251728</v>
      </c>
      <c r="N118" s="230">
        <f>Table3.110[[#This Row],[Set CIAT]]</f>
        <v>27</v>
      </c>
      <c r="O118" s="230">
        <f>Table3.110[[#This Row],[Batch]]</f>
        <v>59</v>
      </c>
      <c r="P118" s="230">
        <f>Table3.110[[#This Row],[Run]]</f>
        <v>2</v>
      </c>
      <c r="Q118" s="230">
        <f>Table3.110[[#This Row],[Replication]]</f>
        <v>1</v>
      </c>
      <c r="R118" s="230">
        <f>Table3.110[[#This Row],[Syrange No]]</f>
        <v>288</v>
      </c>
      <c r="S118" s="265">
        <v>0.58850000000000002</v>
      </c>
      <c r="T118" s="265">
        <v>0.89090000000000003</v>
      </c>
      <c r="U118" s="108"/>
      <c r="V118" s="254">
        <f t="shared" si="5"/>
        <v>0.3024</v>
      </c>
      <c r="W118" s="61">
        <f>Table3.110[[#This Row],[DM Incubated, mg]]-('3.2 Digest'!V118*1000)</f>
        <v>172.35634208085838</v>
      </c>
      <c r="X118" s="61">
        <f>W118/Table3.110[[#This Row],[DM Incubated, mg]]*100</f>
        <v>36.304168434152992</v>
      </c>
      <c r="Y118" s="37">
        <f>Table3.1[[#This Row],[DM Incubated, mg]]*'2.4 NDF'!R11/100</f>
        <v>286.77352416960383</v>
      </c>
      <c r="Z118" s="37">
        <f t="shared" si="6"/>
        <v>-15.626475830396146</v>
      </c>
      <c r="AA118" s="37">
        <f t="shared" si="7"/>
        <v>-5.4490650333377095</v>
      </c>
      <c r="AB118" s="89"/>
    </row>
    <row r="119" spans="2:29" x14ac:dyDescent="0.35">
      <c r="B119" s="230">
        <f t="shared" si="4"/>
        <v>109</v>
      </c>
      <c r="C119" s="61">
        <v>45637</v>
      </c>
      <c r="D119" s="248">
        <f>Table3.110[[#This Row],[Date]]</f>
        <v>46043</v>
      </c>
      <c r="E119" s="230" t="str">
        <f>Table3.110[[#This Row],[Requisitioner]]</f>
        <v>Genbank</v>
      </c>
      <c r="F119" s="230" t="str">
        <f>Table3.110[[#This Row],[Gene Bank ID]]</f>
        <v>CIAT-13262</v>
      </c>
      <c r="G119" s="230" t="str">
        <f>Table3.110[[#This Row],[Genus]]</f>
        <v>Dendrolobium</v>
      </c>
      <c r="H119" s="230" t="str">
        <f>Table3.110[[#This Row],[Species]]</f>
        <v>triangulare</v>
      </c>
      <c r="I119" s="230" t="str">
        <f>Table3.110[[#This Row],[Tax Name]]</f>
        <v>Dendrolobium triangulare</v>
      </c>
      <c r="J119" s="230" t="str">
        <f>Table3.110[[#This Row],[Family]]</f>
        <v>Fabaceae</v>
      </c>
      <c r="K119" s="230" t="str">
        <f>Table3.110[[#This Row],[Order]]</f>
        <v>Fabales</v>
      </c>
      <c r="L119" s="230" t="str">
        <f>Table3.110[[#This Row],[Functional Group]]</f>
        <v>Tree</v>
      </c>
      <c r="M119" s="230" t="str">
        <f>Table3.110[[#This Row],[CIAT ID]]</f>
        <v>F251728</v>
      </c>
      <c r="N119" s="230">
        <f>Table3.110[[#This Row],[Set CIAT]]</f>
        <v>27</v>
      </c>
      <c r="O119" s="230">
        <f>Table3.110[[#This Row],[Batch]]</f>
        <v>59</v>
      </c>
      <c r="P119" s="230">
        <f>Table3.110[[#This Row],[Run]]</f>
        <v>2</v>
      </c>
      <c r="Q119" s="230">
        <f>Table3.110[[#This Row],[Replication]]</f>
        <v>2</v>
      </c>
      <c r="R119" s="230">
        <f>Table3.110[[#This Row],[Syrange No]]</f>
        <v>289</v>
      </c>
      <c r="S119" s="110">
        <v>0.56789999999999996</v>
      </c>
      <c r="T119" s="110"/>
      <c r="U119" s="108"/>
      <c r="V119" s="254"/>
      <c r="W119" s="61"/>
      <c r="X119" s="61"/>
      <c r="Y119" s="37"/>
      <c r="Z119" s="37"/>
      <c r="AA119" s="37"/>
      <c r="AB119" s="89" t="s">
        <v>546</v>
      </c>
      <c r="AC119" s="5" t="s">
        <v>677</v>
      </c>
    </row>
    <row r="120" spans="2:29" x14ac:dyDescent="0.35">
      <c r="B120" s="230">
        <f t="shared" si="4"/>
        <v>110</v>
      </c>
      <c r="C120" s="61">
        <v>45637</v>
      </c>
      <c r="D120" s="248">
        <f>Table3.110[[#This Row],[Date]]</f>
        <v>46043</v>
      </c>
      <c r="E120" s="230" t="str">
        <f>Table3.110[[#This Row],[Requisitioner]]</f>
        <v>Genbank</v>
      </c>
      <c r="F120" s="230" t="str">
        <f>Table3.110[[#This Row],[Gene Bank ID]]</f>
        <v>CIAT-13262</v>
      </c>
      <c r="G120" s="230" t="str">
        <f>Table3.110[[#This Row],[Genus]]</f>
        <v>Dendrolobium</v>
      </c>
      <c r="H120" s="230" t="str">
        <f>Table3.110[[#This Row],[Species]]</f>
        <v>triangulare</v>
      </c>
      <c r="I120" s="230" t="str">
        <f>Table3.110[[#This Row],[Tax Name]]</f>
        <v>Dendrolobium triangulare</v>
      </c>
      <c r="J120" s="230" t="str">
        <f>Table3.110[[#This Row],[Family]]</f>
        <v>Fabaceae</v>
      </c>
      <c r="K120" s="230" t="str">
        <f>Table3.110[[#This Row],[Order]]</f>
        <v>Fabales</v>
      </c>
      <c r="L120" s="230" t="str">
        <f>Table3.110[[#This Row],[Functional Group]]</f>
        <v>Tree</v>
      </c>
      <c r="M120" s="230" t="str">
        <f>Table3.110[[#This Row],[CIAT ID]]</f>
        <v>F251728</v>
      </c>
      <c r="N120" s="230">
        <f>Table3.110[[#This Row],[Set CIAT]]</f>
        <v>27</v>
      </c>
      <c r="O120" s="230">
        <f>Table3.110[[#This Row],[Batch]]</f>
        <v>59</v>
      </c>
      <c r="P120" s="230">
        <f>Table3.110[[#This Row],[Run]]</f>
        <v>2</v>
      </c>
      <c r="Q120" s="230">
        <f>Table3.110[[#This Row],[Replication]]</f>
        <v>3</v>
      </c>
      <c r="R120" s="230">
        <f>Table3.110[[#This Row],[Syrange No]]</f>
        <v>290</v>
      </c>
      <c r="S120" s="265">
        <v>0.57479999999999998</v>
      </c>
      <c r="T120" s="265">
        <v>0.87029999999999996</v>
      </c>
      <c r="U120" s="108"/>
      <c r="V120" s="254">
        <f t="shared" si="5"/>
        <v>0.29549999999999998</v>
      </c>
      <c r="W120" s="61">
        <f>Table3.110[[#This Row],[DM Incubated, mg]]-('3.2 Digest'!V120*1000)</f>
        <v>179.35127436281817</v>
      </c>
      <c r="X120" s="61">
        <f>W120/Table3.110[[#This Row],[DM Incubated, mg]]*100</f>
        <v>37.76998905678029</v>
      </c>
      <c r="Y120" s="37">
        <f>Table3.1[[#This Row],[DM Incubated, mg]]*'2.4 NDF'!R11/100</f>
        <v>286.83086740579057</v>
      </c>
      <c r="Z120" s="37">
        <f t="shared" si="6"/>
        <v>-8.6691325942094295</v>
      </c>
      <c r="AA120" s="37">
        <f t="shared" si="7"/>
        <v>-3.0223848195336926</v>
      </c>
      <c r="AB120" s="89"/>
    </row>
    <row r="121" spans="2:29" x14ac:dyDescent="0.35">
      <c r="B121" s="230">
        <f t="shared" si="4"/>
        <v>111</v>
      </c>
      <c r="C121" s="61">
        <v>45637</v>
      </c>
      <c r="D121" s="248">
        <f>Table3.110[[#This Row],[Date]]</f>
        <v>46043</v>
      </c>
      <c r="E121" s="230" t="str">
        <f>Table3.110[[#This Row],[Requisitioner]]</f>
        <v>Genbank</v>
      </c>
      <c r="F121" s="230" t="str">
        <f>Table3.110[[#This Row],[Gene Bank ID]]</f>
        <v>CIAT-13528</v>
      </c>
      <c r="G121" s="230" t="str">
        <f>Table3.110[[#This Row],[Genus]]</f>
        <v>Dendrolobium</v>
      </c>
      <c r="H121" s="230" t="str">
        <f>Table3.110[[#This Row],[Species]]</f>
        <v>lanceolatum</v>
      </c>
      <c r="I121" s="230" t="str">
        <f>Table3.110[[#This Row],[Tax Name]]</f>
        <v>Dendrolobium lanceolatum</v>
      </c>
      <c r="J121" s="230" t="str">
        <f>Table3.110[[#This Row],[Family]]</f>
        <v>Fabaceae</v>
      </c>
      <c r="K121" s="230" t="str">
        <f>Table3.110[[#This Row],[Order]]</f>
        <v>Fabales</v>
      </c>
      <c r="L121" s="230" t="str">
        <f>Table3.110[[#This Row],[Functional Group]]</f>
        <v>Tree</v>
      </c>
      <c r="M121" s="230" t="str">
        <f>Table3.110[[#This Row],[CIAT ID]]</f>
        <v>F251729</v>
      </c>
      <c r="N121" s="230">
        <f>Table3.110[[#This Row],[Set CIAT]]</f>
        <v>27</v>
      </c>
      <c r="O121" s="230">
        <f>Table3.110[[#This Row],[Batch]]</f>
        <v>59</v>
      </c>
      <c r="P121" s="230">
        <f>Table3.110[[#This Row],[Run]]</f>
        <v>2</v>
      </c>
      <c r="Q121" s="230">
        <f>Table3.110[[#This Row],[Replication]]</f>
        <v>1</v>
      </c>
      <c r="R121" s="230">
        <f>Table3.110[[#This Row],[Syrange No]]</f>
        <v>291</v>
      </c>
      <c r="S121" s="110">
        <v>0.58279999999999998</v>
      </c>
      <c r="T121" s="265">
        <v>0.91569999999999996</v>
      </c>
      <c r="U121" s="108"/>
      <c r="V121" s="254">
        <f t="shared" si="5"/>
        <v>0.33289999999999997</v>
      </c>
      <c r="W121" s="61">
        <f>Table3.110[[#This Row],[DM Incubated, mg]]-('3.2 Digest'!V121*1000)</f>
        <v>142.6138416067414</v>
      </c>
      <c r="X121" s="61">
        <f>W121/Table3.110[[#This Row],[DM Incubated, mg]]*100</f>
        <v>29.99152267047689</v>
      </c>
      <c r="Y121" s="37">
        <f>Table3.1[[#This Row],[DM Incubated, mg]]*'2.4 NDF'!R13/100</f>
        <v>270.47012315350889</v>
      </c>
      <c r="Z121" s="37">
        <f t="shared" si="6"/>
        <v>-62.429876846491084</v>
      </c>
      <c r="AA121" s="37">
        <f t="shared" si="7"/>
        <v>-23.081986327583465</v>
      </c>
      <c r="AB121" s="89"/>
    </row>
    <row r="122" spans="2:29" x14ac:dyDescent="0.35">
      <c r="B122" s="230">
        <f t="shared" si="4"/>
        <v>112</v>
      </c>
      <c r="C122" s="61">
        <v>45637</v>
      </c>
      <c r="D122" s="248">
        <f>Table3.110[[#This Row],[Date]]</f>
        <v>46043</v>
      </c>
      <c r="E122" s="230" t="str">
        <f>Table3.110[[#This Row],[Requisitioner]]</f>
        <v>Genbank</v>
      </c>
      <c r="F122" s="230" t="str">
        <f>Table3.110[[#This Row],[Gene Bank ID]]</f>
        <v>CIAT-13528</v>
      </c>
      <c r="G122" s="230" t="str">
        <f>Table3.110[[#This Row],[Genus]]</f>
        <v>Dendrolobium</v>
      </c>
      <c r="H122" s="230" t="str">
        <f>Table3.110[[#This Row],[Species]]</f>
        <v>lanceolatum</v>
      </c>
      <c r="I122" s="230" t="str">
        <f>Table3.110[[#This Row],[Tax Name]]</f>
        <v>Dendrolobium lanceolatum</v>
      </c>
      <c r="J122" s="230" t="str">
        <f>Table3.110[[#This Row],[Family]]</f>
        <v>Fabaceae</v>
      </c>
      <c r="K122" s="230" t="str">
        <f>Table3.110[[#This Row],[Order]]</f>
        <v>Fabales</v>
      </c>
      <c r="L122" s="230" t="str">
        <f>Table3.110[[#This Row],[Functional Group]]</f>
        <v>Tree</v>
      </c>
      <c r="M122" s="230" t="str">
        <f>Table3.110[[#This Row],[CIAT ID]]</f>
        <v>F251729</v>
      </c>
      <c r="N122" s="230">
        <f>Table3.110[[#This Row],[Set CIAT]]</f>
        <v>27</v>
      </c>
      <c r="O122" s="230">
        <f>Table3.110[[#This Row],[Batch]]</f>
        <v>59</v>
      </c>
      <c r="P122" s="230">
        <f>Table3.110[[#This Row],[Run]]</f>
        <v>2</v>
      </c>
      <c r="Q122" s="230">
        <f>Table3.110[[#This Row],[Replication]]</f>
        <v>2</v>
      </c>
      <c r="R122" s="230">
        <f>Table3.110[[#This Row],[Syrange No]]</f>
        <v>292</v>
      </c>
      <c r="S122" s="265">
        <v>0.56720000000000004</v>
      </c>
      <c r="T122" s="110">
        <v>0.88370000000000004</v>
      </c>
      <c r="U122" s="108"/>
      <c r="V122" s="254">
        <f t="shared" si="5"/>
        <v>0.3165</v>
      </c>
      <c r="W122" s="61">
        <f>Table3.110[[#This Row],[DM Incubated, mg]]-('3.2 Digest'!V122*1000)</f>
        <v>159.10888734761824</v>
      </c>
      <c r="X122" s="61">
        <f>W122/Table3.110[[#This Row],[DM Incubated, mg]]*100</f>
        <v>33.453724600256891</v>
      </c>
      <c r="Y122" s="37">
        <f>Table3.1[[#This Row],[DM Incubated, mg]]*'2.4 NDF'!R13/100</f>
        <v>270.52418474118701</v>
      </c>
      <c r="Z122" s="37">
        <f t="shared" si="6"/>
        <v>-45.975815258812986</v>
      </c>
      <c r="AA122" s="37">
        <f t="shared" si="7"/>
        <v>-16.995085043061298</v>
      </c>
      <c r="AB122" s="89"/>
    </row>
    <row r="123" spans="2:29" x14ac:dyDescent="0.35">
      <c r="B123" s="230">
        <f t="shared" si="4"/>
        <v>113</v>
      </c>
      <c r="C123" s="61">
        <v>45637</v>
      </c>
      <c r="D123" s="248">
        <f>Table3.110[[#This Row],[Date]]</f>
        <v>46043</v>
      </c>
      <c r="E123" s="230" t="str">
        <f>Table3.110[[#This Row],[Requisitioner]]</f>
        <v>Genbank</v>
      </c>
      <c r="F123" s="230" t="str">
        <f>Table3.110[[#This Row],[Gene Bank ID]]</f>
        <v>CIAT-13528</v>
      </c>
      <c r="G123" s="230" t="str">
        <f>Table3.110[[#This Row],[Genus]]</f>
        <v>Dendrolobium</v>
      </c>
      <c r="H123" s="230" t="str">
        <f>Table3.110[[#This Row],[Species]]</f>
        <v>lanceolatum</v>
      </c>
      <c r="I123" s="230" t="str">
        <f>Table3.110[[#This Row],[Tax Name]]</f>
        <v>Dendrolobium lanceolatum</v>
      </c>
      <c r="J123" s="230" t="str">
        <f>Table3.110[[#This Row],[Family]]</f>
        <v>Fabaceae</v>
      </c>
      <c r="K123" s="230" t="str">
        <f>Table3.110[[#This Row],[Order]]</f>
        <v>Fabales</v>
      </c>
      <c r="L123" s="230" t="str">
        <f>Table3.110[[#This Row],[Functional Group]]</f>
        <v>Tree</v>
      </c>
      <c r="M123" s="230" t="str">
        <f>Table3.110[[#This Row],[CIAT ID]]</f>
        <v>F251729</v>
      </c>
      <c r="N123" s="230">
        <f>Table3.110[[#This Row],[Set CIAT]]</f>
        <v>27</v>
      </c>
      <c r="O123" s="230">
        <f>Table3.110[[#This Row],[Batch]]</f>
        <v>59</v>
      </c>
      <c r="P123" s="230">
        <f>Table3.110[[#This Row],[Run]]</f>
        <v>2</v>
      </c>
      <c r="Q123" s="230">
        <f>Table3.110[[#This Row],[Replication]]</f>
        <v>3</v>
      </c>
      <c r="R123" s="230">
        <f>Table3.110[[#This Row],[Syrange No]]</f>
        <v>293</v>
      </c>
      <c r="S123" s="110">
        <v>0.57699999999999996</v>
      </c>
      <c r="T123" s="110">
        <v>0.9012</v>
      </c>
      <c r="U123" s="108"/>
      <c r="V123" s="254">
        <f t="shared" si="5"/>
        <v>0.32420000000000004</v>
      </c>
      <c r="W123" s="61">
        <f>Table3.110[[#This Row],[DM Incubated, mg]]-('3.2 Digest'!V123*1000)</f>
        <v>151.31384160674133</v>
      </c>
      <c r="X123" s="61">
        <f>W123/Table3.110[[#This Row],[DM Incubated, mg]]*100</f>
        <v>31.821122408436775</v>
      </c>
      <c r="Y123" s="37">
        <f>Table3.1[[#This Row],[DM Incubated, mg]]*'2.4 NDF'!R13/100</f>
        <v>270.47012315350889</v>
      </c>
      <c r="Z123" s="37">
        <f t="shared" si="6"/>
        <v>-53.729876846491152</v>
      </c>
      <c r="AA123" s="37">
        <f t="shared" si="7"/>
        <v>-19.865364876547215</v>
      </c>
      <c r="AB123" s="89"/>
    </row>
    <row r="124" spans="2:29" x14ac:dyDescent="0.35">
      <c r="B124" s="230">
        <f t="shared" si="4"/>
        <v>114</v>
      </c>
      <c r="C124" s="61">
        <v>45637</v>
      </c>
      <c r="D124" s="248">
        <f>Table3.110[[#This Row],[Date]]</f>
        <v>46043</v>
      </c>
      <c r="E124" s="230" t="str">
        <f>Table3.110[[#This Row],[Requisitioner]]</f>
        <v>Genbank</v>
      </c>
      <c r="F124" s="230" t="str">
        <f>Table3.110[[#This Row],[Gene Bank ID]]</f>
        <v>CIAT-13529</v>
      </c>
      <c r="G124" s="230" t="str">
        <f>Table3.110[[#This Row],[Genus]]</f>
        <v>Dendrolobium</v>
      </c>
      <c r="H124" s="230" t="str">
        <f>Table3.110[[#This Row],[Species]]</f>
        <v>triangulare</v>
      </c>
      <c r="I124" s="230" t="str">
        <f>Table3.110[[#This Row],[Tax Name]]</f>
        <v>Dendrolobium triangulare</v>
      </c>
      <c r="J124" s="230" t="str">
        <f>Table3.110[[#This Row],[Family]]</f>
        <v>Fabaceae</v>
      </c>
      <c r="K124" s="230" t="str">
        <f>Table3.110[[#This Row],[Order]]</f>
        <v>Fabales</v>
      </c>
      <c r="L124" s="230" t="str">
        <f>Table3.110[[#This Row],[Functional Group]]</f>
        <v>Tree</v>
      </c>
      <c r="M124" s="230" t="str">
        <f>Table3.110[[#This Row],[CIAT ID]]</f>
        <v>F251730</v>
      </c>
      <c r="N124" s="230">
        <f>Table3.110[[#This Row],[Set CIAT]]</f>
        <v>27</v>
      </c>
      <c r="O124" s="230">
        <f>Table3.110[[#This Row],[Batch]]</f>
        <v>59</v>
      </c>
      <c r="P124" s="230">
        <f>Table3.110[[#This Row],[Run]]</f>
        <v>2</v>
      </c>
      <c r="Q124" s="230">
        <f>Table3.110[[#This Row],[Replication]]</f>
        <v>1</v>
      </c>
      <c r="R124" s="230">
        <f>Table3.110[[#This Row],[Syrange No]]</f>
        <v>294</v>
      </c>
      <c r="S124" s="265">
        <v>0.59940000000000004</v>
      </c>
      <c r="T124" s="265">
        <v>0.90559999999999996</v>
      </c>
      <c r="U124" s="108"/>
      <c r="V124" s="254">
        <f t="shared" si="5"/>
        <v>0.30619999999999992</v>
      </c>
      <c r="W124" s="61">
        <f>Table3.110[[#This Row],[DM Incubated, mg]]-('3.2 Digest'!V124*1000)</f>
        <v>166.05670079627248</v>
      </c>
      <c r="X124" s="61">
        <f>W124/Table3.110[[#This Row],[DM Incubated, mg]]*100</f>
        <v>35.16238107713118</v>
      </c>
      <c r="Y124" s="37">
        <f>Table3.1[[#This Row],[DM Incubated, mg]]*'2.4 NDF'!R15/100</f>
        <v>283.08948511392174</v>
      </c>
      <c r="Z124" s="37">
        <f t="shared" si="6"/>
        <v>-23.110514886078192</v>
      </c>
      <c r="AA124" s="37">
        <f t="shared" si="7"/>
        <v>-8.1636783071536509</v>
      </c>
      <c r="AB124" s="89"/>
    </row>
    <row r="125" spans="2:29" x14ac:dyDescent="0.35">
      <c r="B125" s="230">
        <f t="shared" si="4"/>
        <v>115</v>
      </c>
      <c r="C125" s="61">
        <v>45637</v>
      </c>
      <c r="D125" s="248">
        <f>Table3.110[[#This Row],[Date]]</f>
        <v>46043</v>
      </c>
      <c r="E125" s="230" t="str">
        <f>Table3.110[[#This Row],[Requisitioner]]</f>
        <v>Genbank</v>
      </c>
      <c r="F125" s="230" t="str">
        <f>Table3.110[[#This Row],[Gene Bank ID]]</f>
        <v>CIAT-13529</v>
      </c>
      <c r="G125" s="230" t="str">
        <f>Table3.110[[#This Row],[Genus]]</f>
        <v>Dendrolobium</v>
      </c>
      <c r="H125" s="230" t="str">
        <f>Table3.110[[#This Row],[Species]]</f>
        <v>triangulare</v>
      </c>
      <c r="I125" s="230" t="str">
        <f>Table3.110[[#This Row],[Tax Name]]</f>
        <v>Dendrolobium triangulare</v>
      </c>
      <c r="J125" s="230" t="str">
        <f>Table3.110[[#This Row],[Family]]</f>
        <v>Fabaceae</v>
      </c>
      <c r="K125" s="230" t="str">
        <f>Table3.110[[#This Row],[Order]]</f>
        <v>Fabales</v>
      </c>
      <c r="L125" s="230" t="str">
        <f>Table3.110[[#This Row],[Functional Group]]</f>
        <v>Tree</v>
      </c>
      <c r="M125" s="230" t="str">
        <f>Table3.110[[#This Row],[CIAT ID]]</f>
        <v>F251730</v>
      </c>
      <c r="N125" s="230">
        <f>Table3.110[[#This Row],[Set CIAT]]</f>
        <v>27</v>
      </c>
      <c r="O125" s="230">
        <f>Table3.110[[#This Row],[Batch]]</f>
        <v>59</v>
      </c>
      <c r="P125" s="230">
        <f>Table3.110[[#This Row],[Run]]</f>
        <v>2</v>
      </c>
      <c r="Q125" s="230">
        <f>Table3.110[[#This Row],[Replication]]</f>
        <v>2</v>
      </c>
      <c r="R125" s="230">
        <f>Table3.110[[#This Row],[Syrange No]]</f>
        <v>295</v>
      </c>
      <c r="S125" s="110">
        <v>0.56950000000000001</v>
      </c>
      <c r="T125" s="110">
        <v>0.85140000000000005</v>
      </c>
      <c r="U125" s="108"/>
      <c r="V125" s="254">
        <f t="shared" si="5"/>
        <v>0.28190000000000004</v>
      </c>
      <c r="W125" s="61">
        <f>Table3.110[[#This Row],[DM Incubated, mg]]-('3.2 Digest'!V125*1000)</f>
        <v>190.16798682992027</v>
      </c>
      <c r="X125" s="61">
        <f>W125/Table3.110[[#This Row],[DM Incubated, mg]]*100</f>
        <v>40.28402521148616</v>
      </c>
      <c r="Y125" s="37">
        <f>Table3.1[[#This Row],[DM Incubated, mg]]*'2.4 NDF'!R15/100</f>
        <v>282.97636244254755</v>
      </c>
      <c r="Z125" s="37">
        <f t="shared" si="6"/>
        <v>1.07636244254752</v>
      </c>
      <c r="AA125" s="37">
        <f t="shared" si="7"/>
        <v>0.3803718562415449</v>
      </c>
      <c r="AB125" s="89"/>
    </row>
    <row r="126" spans="2:29" x14ac:dyDescent="0.35">
      <c r="B126" s="230">
        <f t="shared" si="4"/>
        <v>116</v>
      </c>
      <c r="C126" s="61">
        <v>45637</v>
      </c>
      <c r="D126" s="248">
        <f>Table3.110[[#This Row],[Date]]</f>
        <v>46043</v>
      </c>
      <c r="E126" s="230" t="str">
        <f>Table3.110[[#This Row],[Requisitioner]]</f>
        <v>Genbank</v>
      </c>
      <c r="F126" s="230" t="str">
        <f>Table3.110[[#This Row],[Gene Bank ID]]</f>
        <v>CIAT-13529</v>
      </c>
      <c r="G126" s="230" t="str">
        <f>Table3.110[[#This Row],[Genus]]</f>
        <v>Dendrolobium</v>
      </c>
      <c r="H126" s="230" t="str">
        <f>Table3.110[[#This Row],[Species]]</f>
        <v>triangulare</v>
      </c>
      <c r="I126" s="230" t="str">
        <f>Table3.110[[#This Row],[Tax Name]]</f>
        <v>Dendrolobium triangulare</v>
      </c>
      <c r="J126" s="230" t="str">
        <f>Table3.110[[#This Row],[Family]]</f>
        <v>Fabaceae</v>
      </c>
      <c r="K126" s="230" t="str">
        <f>Table3.110[[#This Row],[Order]]</f>
        <v>Fabales</v>
      </c>
      <c r="L126" s="230" t="str">
        <f>Table3.110[[#This Row],[Functional Group]]</f>
        <v>Tree</v>
      </c>
      <c r="M126" s="230" t="str">
        <f>Table3.110[[#This Row],[CIAT ID]]</f>
        <v>F251730</v>
      </c>
      <c r="N126" s="230">
        <f>Table3.110[[#This Row],[Set CIAT]]</f>
        <v>27</v>
      </c>
      <c r="O126" s="230">
        <f>Table3.110[[#This Row],[Batch]]</f>
        <v>59</v>
      </c>
      <c r="P126" s="230">
        <f>Table3.110[[#This Row],[Run]]</f>
        <v>2</v>
      </c>
      <c r="Q126" s="230">
        <f>Table3.110[[#This Row],[Replication]]</f>
        <v>3</v>
      </c>
      <c r="R126" s="230">
        <f>Table3.110[[#This Row],[Syrange No]]</f>
        <v>296</v>
      </c>
      <c r="S126" s="265">
        <v>0.57909999999999995</v>
      </c>
      <c r="T126" s="265">
        <v>0.88229999999999997</v>
      </c>
      <c r="U126" s="108"/>
      <c r="V126" s="254">
        <f t="shared" si="5"/>
        <v>0.30320000000000003</v>
      </c>
      <c r="W126" s="61">
        <f>Table3.110[[#This Row],[DM Incubated, mg]]-('3.2 Digest'!V126*1000)</f>
        <v>168.96234381309631</v>
      </c>
      <c r="X126" s="61">
        <f>W126/Table3.110[[#This Row],[DM Incubated, mg]]*100</f>
        <v>35.784798603079501</v>
      </c>
      <c r="Y126" s="37">
        <f>Table3.1[[#This Row],[DM Incubated, mg]]*'2.4 NDF'!R15/100</f>
        <v>283.03292377823465</v>
      </c>
      <c r="Z126" s="37">
        <f t="shared" si="6"/>
        <v>-20.167076221765399</v>
      </c>
      <c r="AA126" s="37">
        <f t="shared" si="7"/>
        <v>-7.1253463917035127</v>
      </c>
      <c r="AB126" s="89"/>
    </row>
    <row r="127" spans="2:29" x14ac:dyDescent="0.35">
      <c r="B127" s="230">
        <f t="shared" si="4"/>
        <v>117</v>
      </c>
      <c r="C127" s="61">
        <v>45637</v>
      </c>
      <c r="D127" s="248">
        <f>Table3.110[[#This Row],[Date]]</f>
        <v>46043</v>
      </c>
      <c r="E127" s="230" t="str">
        <f>Table3.110[[#This Row],[Requisitioner]]</f>
        <v>Genbank</v>
      </c>
      <c r="F127" s="230" t="str">
        <f>Table3.110[[#This Row],[Gene Bank ID]]</f>
        <v>CIAT-13710</v>
      </c>
      <c r="G127" s="230" t="str">
        <f>Table3.110[[#This Row],[Genus]]</f>
        <v>Dendrolobium</v>
      </c>
      <c r="H127" s="230" t="str">
        <f>Table3.110[[#This Row],[Species]]</f>
        <v>lanceolatum</v>
      </c>
      <c r="I127" s="230" t="str">
        <f>Table3.110[[#This Row],[Tax Name]]</f>
        <v>Dendrolobium lanceolatum</v>
      </c>
      <c r="J127" s="230" t="str">
        <f>Table3.110[[#This Row],[Family]]</f>
        <v>Fabaceae</v>
      </c>
      <c r="K127" s="230" t="str">
        <f>Table3.110[[#This Row],[Order]]</f>
        <v>Fabales</v>
      </c>
      <c r="L127" s="230" t="str">
        <f>Table3.110[[#This Row],[Functional Group]]</f>
        <v>Tree</v>
      </c>
      <c r="M127" s="230" t="str">
        <f>Table3.110[[#This Row],[CIAT ID]]</f>
        <v>F251731</v>
      </c>
      <c r="N127" s="230">
        <f>Table3.110[[#This Row],[Set CIAT]]</f>
        <v>27</v>
      </c>
      <c r="O127" s="230">
        <f>Table3.110[[#This Row],[Batch]]</f>
        <v>59</v>
      </c>
      <c r="P127" s="230">
        <f>Table3.110[[#This Row],[Run]]</f>
        <v>2</v>
      </c>
      <c r="Q127" s="230">
        <f>Table3.110[[#This Row],[Replication]]</f>
        <v>1</v>
      </c>
      <c r="R127" s="230">
        <f>Table3.110[[#This Row],[Syrange No]]</f>
        <v>297</v>
      </c>
      <c r="S127" s="110">
        <v>0.60509999999999997</v>
      </c>
      <c r="T127" s="110">
        <v>0.98909999999999998</v>
      </c>
      <c r="U127" s="108"/>
      <c r="V127" s="254">
        <f t="shared" si="5"/>
        <v>0.38400000000000001</v>
      </c>
      <c r="W127" s="61">
        <f>Table3.110[[#This Row],[DM Incubated, mg]]-('3.2 Digest'!V127*1000)</f>
        <v>87.039742046210108</v>
      </c>
      <c r="X127" s="61">
        <f>W127/Table3.110[[#This Row],[DM Incubated, mg]]*100</f>
        <v>18.478216226110135</v>
      </c>
      <c r="Y127" s="37">
        <f>Table3.1[[#This Row],[DM Incubated, mg]]*'2.4 NDF'!R17/100</f>
        <v>303.14705860801047</v>
      </c>
      <c r="Z127" s="37">
        <f t="shared" si="6"/>
        <v>-80.852941391989532</v>
      </c>
      <c r="AA127" s="37">
        <f t="shared" si="7"/>
        <v>-26.671194424003243</v>
      </c>
      <c r="AB127" s="89"/>
    </row>
    <row r="128" spans="2:29" x14ac:dyDescent="0.35">
      <c r="B128" s="230">
        <f t="shared" si="4"/>
        <v>118</v>
      </c>
      <c r="C128" s="61">
        <v>45637</v>
      </c>
      <c r="D128" s="248">
        <f>Table3.110[[#This Row],[Date]]</f>
        <v>46043</v>
      </c>
      <c r="E128" s="230" t="str">
        <f>Table3.110[[#This Row],[Requisitioner]]</f>
        <v>Genbank</v>
      </c>
      <c r="F128" s="230" t="str">
        <f>Table3.110[[#This Row],[Gene Bank ID]]</f>
        <v>CIAT-13710</v>
      </c>
      <c r="G128" s="230" t="str">
        <f>Table3.110[[#This Row],[Genus]]</f>
        <v>Dendrolobium</v>
      </c>
      <c r="H128" s="230" t="str">
        <f>Table3.110[[#This Row],[Species]]</f>
        <v>lanceolatum</v>
      </c>
      <c r="I128" s="230" t="str">
        <f>Table3.110[[#This Row],[Tax Name]]</f>
        <v>Dendrolobium lanceolatum</v>
      </c>
      <c r="J128" s="230" t="str">
        <f>Table3.110[[#This Row],[Family]]</f>
        <v>Fabaceae</v>
      </c>
      <c r="K128" s="230" t="str">
        <f>Table3.110[[#This Row],[Order]]</f>
        <v>Fabales</v>
      </c>
      <c r="L128" s="230" t="str">
        <f>Table3.110[[#This Row],[Functional Group]]</f>
        <v>Tree</v>
      </c>
      <c r="M128" s="230" t="str">
        <f>Table3.110[[#This Row],[CIAT ID]]</f>
        <v>F251731</v>
      </c>
      <c r="N128" s="230">
        <f>Table3.110[[#This Row],[Set CIAT]]</f>
        <v>27</v>
      </c>
      <c r="O128" s="230">
        <f>Table3.110[[#This Row],[Batch]]</f>
        <v>59</v>
      </c>
      <c r="P128" s="230">
        <f>Table3.110[[#This Row],[Run]]</f>
        <v>2</v>
      </c>
      <c r="Q128" s="230">
        <f>Table3.110[[#This Row],[Replication]]</f>
        <v>2</v>
      </c>
      <c r="R128" s="230">
        <f>Table3.110[[#This Row],[Syrange No]]</f>
        <v>298</v>
      </c>
      <c r="S128" s="265">
        <v>0.57369999999999999</v>
      </c>
      <c r="T128" s="265">
        <v>0.93340000000000001</v>
      </c>
      <c r="U128" s="108"/>
      <c r="V128" s="254">
        <f t="shared" si="5"/>
        <v>0.35970000000000002</v>
      </c>
      <c r="W128" s="61">
        <f>Table3.110[[#This Row],[DM Incubated, mg]]-('3.2 Digest'!V128*1000)</f>
        <v>110.96321147702844</v>
      </c>
      <c r="X128" s="61">
        <f>W128/Table3.110[[#This Row],[DM Incubated, mg]]*100</f>
        <v>23.575926218836031</v>
      </c>
      <c r="Y128" s="37">
        <f>Table3.1[[#This Row],[DM Incubated, mg]]*'2.4 NDF'!R17/100</f>
        <v>302.90473482015432</v>
      </c>
      <c r="Z128" s="37">
        <f t="shared" si="6"/>
        <v>-56.795265179845728</v>
      </c>
      <c r="AA128" s="37">
        <f t="shared" si="7"/>
        <v>-18.750207128180801</v>
      </c>
      <c r="AB128" s="89"/>
    </row>
    <row r="129" spans="2:29" x14ac:dyDescent="0.35">
      <c r="B129" s="230">
        <f t="shared" si="4"/>
        <v>119</v>
      </c>
      <c r="C129" s="61">
        <v>45637</v>
      </c>
      <c r="D129" s="248">
        <f>Table3.110[[#This Row],[Date]]</f>
        <v>46043</v>
      </c>
      <c r="E129" s="230" t="str">
        <f>Table3.110[[#This Row],[Requisitioner]]</f>
        <v>Genbank</v>
      </c>
      <c r="F129" s="230" t="str">
        <f>Table3.110[[#This Row],[Gene Bank ID]]</f>
        <v>CIAT-13710</v>
      </c>
      <c r="G129" s="230" t="str">
        <f>Table3.110[[#This Row],[Genus]]</f>
        <v>Dendrolobium</v>
      </c>
      <c r="H129" s="230" t="str">
        <f>Table3.110[[#This Row],[Species]]</f>
        <v>lanceolatum</v>
      </c>
      <c r="I129" s="230" t="str">
        <f>Table3.110[[#This Row],[Tax Name]]</f>
        <v>Dendrolobium lanceolatum</v>
      </c>
      <c r="J129" s="230" t="str">
        <f>Table3.110[[#This Row],[Family]]</f>
        <v>Fabaceae</v>
      </c>
      <c r="K129" s="230" t="str">
        <f>Table3.110[[#This Row],[Order]]</f>
        <v>Fabales</v>
      </c>
      <c r="L129" s="230" t="str">
        <f>Table3.110[[#This Row],[Functional Group]]</f>
        <v>Tree</v>
      </c>
      <c r="M129" s="230" t="str">
        <f>Table3.110[[#This Row],[CIAT ID]]</f>
        <v>F251731</v>
      </c>
      <c r="N129" s="230">
        <f>Table3.110[[#This Row],[Set CIAT]]</f>
        <v>27</v>
      </c>
      <c r="O129" s="230">
        <f>Table3.110[[#This Row],[Batch]]</f>
        <v>59</v>
      </c>
      <c r="P129" s="230">
        <f>Table3.110[[#This Row],[Run]]</f>
        <v>2</v>
      </c>
      <c r="Q129" s="230">
        <f>Table3.110[[#This Row],[Replication]]</f>
        <v>3</v>
      </c>
      <c r="R129" s="230">
        <f>Table3.110[[#This Row],[Syrange No]]</f>
        <v>299</v>
      </c>
      <c r="S129" s="110">
        <v>0.56730000000000003</v>
      </c>
      <c r="T129" s="110">
        <v>0.9274</v>
      </c>
      <c r="U129" s="108"/>
      <c r="V129" s="254">
        <f t="shared" si="5"/>
        <v>0.36009999999999998</v>
      </c>
      <c r="W129" s="61">
        <f>Table3.110[[#This Row],[DM Incubated, mg]]-('3.2 Digest'!V129*1000)</f>
        <v>110.93974204621014</v>
      </c>
      <c r="X129" s="61">
        <f>W129/Table3.110[[#This Row],[DM Incubated, mg]]*100</f>
        <v>23.55209808078714</v>
      </c>
      <c r="Y129" s="37">
        <f>Table3.1[[#This Row],[DM Incubated, mg]]*'2.4 NDF'!R17/100</f>
        <v>303.14705860801047</v>
      </c>
      <c r="Z129" s="37">
        <f t="shared" si="6"/>
        <v>-56.952941391989498</v>
      </c>
      <c r="AA129" s="37">
        <f t="shared" si="7"/>
        <v>-18.787232062717614</v>
      </c>
      <c r="AB129" s="89"/>
    </row>
    <row r="130" spans="2:29" x14ac:dyDescent="0.35">
      <c r="B130" s="230">
        <f t="shared" si="4"/>
        <v>120</v>
      </c>
      <c r="C130" s="61">
        <v>45637</v>
      </c>
      <c r="D130" s="248">
        <f>Table3.110[[#This Row],[Date]]</f>
        <v>46043</v>
      </c>
      <c r="E130" s="230" t="str">
        <f>Table3.110[[#This Row],[Requisitioner]]</f>
        <v>Genbank</v>
      </c>
      <c r="F130" s="230" t="str">
        <f>Table3.110[[#This Row],[Gene Bank ID]]</f>
        <v>CIAT-22004</v>
      </c>
      <c r="G130" s="230" t="str">
        <f>Table3.110[[#This Row],[Genus]]</f>
        <v>Dendrolobium</v>
      </c>
      <c r="H130" s="230" t="str">
        <f>Table3.110[[#This Row],[Species]]</f>
        <v>triangulare</v>
      </c>
      <c r="I130" s="230" t="str">
        <f>Table3.110[[#This Row],[Tax Name]]</f>
        <v>Dendrolobium triangulare</v>
      </c>
      <c r="J130" s="230" t="str">
        <f>Table3.110[[#This Row],[Family]]</f>
        <v>Fabaceae</v>
      </c>
      <c r="K130" s="230" t="str">
        <f>Table3.110[[#This Row],[Order]]</f>
        <v>Fabales</v>
      </c>
      <c r="L130" s="230" t="str">
        <f>Table3.110[[#This Row],[Functional Group]]</f>
        <v>Tree</v>
      </c>
      <c r="M130" s="230" t="str">
        <f>Table3.110[[#This Row],[CIAT ID]]</f>
        <v>F251732</v>
      </c>
      <c r="N130" s="230">
        <f>Table3.110[[#This Row],[Set CIAT]]</f>
        <v>27</v>
      </c>
      <c r="O130" s="230">
        <f>Table3.110[[#This Row],[Batch]]</f>
        <v>59</v>
      </c>
      <c r="P130" s="230">
        <f>Table3.110[[#This Row],[Run]]</f>
        <v>2</v>
      </c>
      <c r="Q130" s="230">
        <f>Table3.110[[#This Row],[Replication]]</f>
        <v>1</v>
      </c>
      <c r="R130" s="230">
        <f>Table3.110[[#This Row],[Syrange No]]</f>
        <v>300</v>
      </c>
      <c r="S130" s="265">
        <v>0.59919999999999995</v>
      </c>
      <c r="T130" s="265">
        <v>1.0286999999999999</v>
      </c>
      <c r="U130" s="108"/>
      <c r="V130" s="254">
        <f t="shared" si="5"/>
        <v>0.42949999999999999</v>
      </c>
      <c r="W130" s="61">
        <f>Table3.110[[#This Row],[DM Incubated, mg]]-('3.2 Digest'!V130*1000)</f>
        <v>42.262136845203599</v>
      </c>
      <c r="X130" s="61">
        <f>W130/Table3.110[[#This Row],[DM Incubated, mg]]*100</f>
        <v>8.9583570923731877</v>
      </c>
      <c r="Y130" s="37">
        <f>Table3.1[[#This Row],[DM Incubated, mg]]*'2.4 NDF'!R19/100</f>
        <v>300.08094060931745</v>
      </c>
      <c r="Z130" s="37">
        <f t="shared" si="6"/>
        <v>-129.41905939068255</v>
      </c>
      <c r="AA130" s="37">
        <f t="shared" si="7"/>
        <v>-43.128050427959806</v>
      </c>
      <c r="AB130" s="89"/>
    </row>
    <row r="131" spans="2:29" x14ac:dyDescent="0.35">
      <c r="B131" s="230">
        <f t="shared" si="4"/>
        <v>121</v>
      </c>
      <c r="C131" s="61">
        <v>45637</v>
      </c>
      <c r="D131" s="248">
        <f>Table3.110[[#This Row],[Date]]</f>
        <v>46043</v>
      </c>
      <c r="E131" s="230" t="str">
        <f>Table3.110[[#This Row],[Requisitioner]]</f>
        <v>Genbank</v>
      </c>
      <c r="F131" s="230" t="str">
        <f>Table3.110[[#This Row],[Gene Bank ID]]</f>
        <v>CIAT-22004</v>
      </c>
      <c r="G131" s="230" t="str">
        <f>Table3.110[[#This Row],[Genus]]</f>
        <v>Dendrolobium</v>
      </c>
      <c r="H131" s="230" t="str">
        <f>Table3.110[[#This Row],[Species]]</f>
        <v>triangulare</v>
      </c>
      <c r="I131" s="230" t="str">
        <f>Table3.110[[#This Row],[Tax Name]]</f>
        <v>Dendrolobium triangulare</v>
      </c>
      <c r="J131" s="230" t="str">
        <f>Table3.110[[#This Row],[Family]]</f>
        <v>Fabaceae</v>
      </c>
      <c r="K131" s="230" t="str">
        <f>Table3.110[[#This Row],[Order]]</f>
        <v>Fabales</v>
      </c>
      <c r="L131" s="230" t="str">
        <f>Table3.110[[#This Row],[Functional Group]]</f>
        <v>Tree</v>
      </c>
      <c r="M131" s="230" t="str">
        <f>Table3.110[[#This Row],[CIAT ID]]</f>
        <v>F251732</v>
      </c>
      <c r="N131" s="230">
        <f>Table3.110[[#This Row],[Set CIAT]]</f>
        <v>27</v>
      </c>
      <c r="O131" s="230">
        <f>Table3.110[[#This Row],[Batch]]</f>
        <v>59</v>
      </c>
      <c r="P131" s="230">
        <f>Table3.110[[#This Row],[Run]]</f>
        <v>2</v>
      </c>
      <c r="Q131" s="230">
        <f>Table3.110[[#This Row],[Replication]]</f>
        <v>2</v>
      </c>
      <c r="R131" s="230">
        <f>Table3.110[[#This Row],[Syrange No]]</f>
        <v>301</v>
      </c>
      <c r="S131" s="110">
        <v>0.58179999999999998</v>
      </c>
      <c r="T131" s="110">
        <v>0.92179999999999995</v>
      </c>
      <c r="U131" s="108"/>
      <c r="V131" s="254">
        <f t="shared" si="5"/>
        <v>0.33999999999999997</v>
      </c>
      <c r="W131" s="61">
        <f>Table3.110[[#This Row],[DM Incubated, mg]]-('3.2 Digest'!V131*1000)</f>
        <v>131.47924929562623</v>
      </c>
      <c r="X131" s="61">
        <f>W131/Table3.110[[#This Row],[DM Incubated, mg]]*100</f>
        <v>27.886539967994718</v>
      </c>
      <c r="Y131" s="37">
        <f>Table3.1[[#This Row],[DM Incubated, mg]]*'2.4 NDF'!R19/100</f>
        <v>299.90100000931182</v>
      </c>
      <c r="Z131" s="37">
        <f t="shared" si="6"/>
        <v>-40.098999990688128</v>
      </c>
      <c r="AA131" s="37">
        <f t="shared" si="7"/>
        <v>-13.370745675887399</v>
      </c>
      <c r="AB131" s="89"/>
    </row>
    <row r="132" spans="2:29" x14ac:dyDescent="0.35">
      <c r="B132" s="230">
        <f t="shared" si="4"/>
        <v>122</v>
      </c>
      <c r="C132" s="61">
        <v>45637</v>
      </c>
      <c r="D132" s="248">
        <f>Table3.110[[#This Row],[Date]]</f>
        <v>46043</v>
      </c>
      <c r="E132" s="230" t="str">
        <f>Table3.110[[#This Row],[Requisitioner]]</f>
        <v>Genbank</v>
      </c>
      <c r="F132" s="230" t="str">
        <f>Table3.110[[#This Row],[Gene Bank ID]]</f>
        <v>CIAT-22004</v>
      </c>
      <c r="G132" s="230" t="str">
        <f>Table3.110[[#This Row],[Genus]]</f>
        <v>Dendrolobium</v>
      </c>
      <c r="H132" s="230" t="str">
        <f>Table3.110[[#This Row],[Species]]</f>
        <v>triangulare</v>
      </c>
      <c r="I132" s="230" t="str">
        <f>Table3.110[[#This Row],[Tax Name]]</f>
        <v>Dendrolobium triangulare</v>
      </c>
      <c r="J132" s="230" t="str">
        <f>Table3.110[[#This Row],[Family]]</f>
        <v>Fabaceae</v>
      </c>
      <c r="K132" s="230" t="str">
        <f>Table3.110[[#This Row],[Order]]</f>
        <v>Fabales</v>
      </c>
      <c r="L132" s="230" t="str">
        <f>Table3.110[[#This Row],[Functional Group]]</f>
        <v>Tree</v>
      </c>
      <c r="M132" s="230" t="str">
        <f>Table3.110[[#This Row],[CIAT ID]]</f>
        <v>F251732</v>
      </c>
      <c r="N132" s="230">
        <f>Table3.110[[#This Row],[Set CIAT]]</f>
        <v>27</v>
      </c>
      <c r="O132" s="230">
        <f>Table3.110[[#This Row],[Batch]]</f>
        <v>59</v>
      </c>
      <c r="P132" s="230">
        <f>Table3.110[[#This Row],[Run]]</f>
        <v>2</v>
      </c>
      <c r="Q132" s="230">
        <f>Table3.110[[#This Row],[Replication]]</f>
        <v>3</v>
      </c>
      <c r="R132" s="230">
        <f>Table3.110[[#This Row],[Syrange No]]</f>
        <v>302</v>
      </c>
      <c r="S132" s="265">
        <v>0.57299999999999995</v>
      </c>
      <c r="T132" s="265">
        <v>0.92020000000000002</v>
      </c>
      <c r="U132" s="108"/>
      <c r="V132" s="254">
        <f t="shared" si="5"/>
        <v>0.34720000000000006</v>
      </c>
      <c r="W132" s="61">
        <f>Table3.110[[#This Row],[DM Incubated, mg]]-('3.2 Digest'!V132*1000)</f>
        <v>124.65643269506262</v>
      </c>
      <c r="X132" s="61">
        <f>W132/Table3.110[[#This Row],[DM Incubated, mg]]*100</f>
        <v>26.418296765198889</v>
      </c>
      <c r="Y132" s="37">
        <f>Table3.1[[#This Row],[DM Incubated, mg]]*'2.4 NDF'!R19/100</f>
        <v>300.14092080931931</v>
      </c>
      <c r="Z132" s="37">
        <f t="shared" si="6"/>
        <v>-47.059079190680734</v>
      </c>
      <c r="AA132" s="37">
        <f t="shared" si="7"/>
        <v>-15.678994741465976</v>
      </c>
      <c r="AB132" s="89"/>
    </row>
    <row r="133" spans="2:29" x14ac:dyDescent="0.35">
      <c r="B133" s="230">
        <f t="shared" si="4"/>
        <v>123</v>
      </c>
      <c r="C133" s="61">
        <v>45637</v>
      </c>
      <c r="D133" s="248">
        <f>Table3.110[[#This Row],[Date]]</f>
        <v>46043</v>
      </c>
      <c r="E133" s="230" t="str">
        <f>Table3.110[[#This Row],[Requisitioner]]</f>
        <v>Genbank</v>
      </c>
      <c r="F133" s="230" t="str">
        <f>Table3.110[[#This Row],[Gene Bank ID]]</f>
        <v>CIAT-23104</v>
      </c>
      <c r="G133" s="230" t="str">
        <f>Table3.110[[#This Row],[Genus]]</f>
        <v>Dendrolobium</v>
      </c>
      <c r="H133" s="230" t="str">
        <f>Table3.110[[#This Row],[Species]]</f>
        <v>triangulare</v>
      </c>
      <c r="I133" s="230" t="str">
        <f>Table3.110[[#This Row],[Tax Name]]</f>
        <v>Dendrolobium triangulare</v>
      </c>
      <c r="J133" s="230" t="str">
        <f>Table3.110[[#This Row],[Family]]</f>
        <v>Fabaceae</v>
      </c>
      <c r="K133" s="230" t="str">
        <f>Table3.110[[#This Row],[Order]]</f>
        <v>Fabales</v>
      </c>
      <c r="L133" s="230" t="str">
        <f>Table3.110[[#This Row],[Functional Group]]</f>
        <v>Tree</v>
      </c>
      <c r="M133" s="230" t="str">
        <f>Table3.110[[#This Row],[CIAT ID]]</f>
        <v>F251733</v>
      </c>
      <c r="N133" s="230">
        <f>Table3.110[[#This Row],[Set CIAT]]</f>
        <v>27</v>
      </c>
      <c r="O133" s="230">
        <f>Table3.110[[#This Row],[Batch]]</f>
        <v>59</v>
      </c>
      <c r="P133" s="230">
        <f>Table3.110[[#This Row],[Run]]</f>
        <v>2</v>
      </c>
      <c r="Q133" s="230">
        <f>Table3.110[[#This Row],[Replication]]</f>
        <v>1</v>
      </c>
      <c r="R133" s="230">
        <f>Table3.110[[#This Row],[Syrange No]]</f>
        <v>303</v>
      </c>
      <c r="S133" s="110">
        <v>0.54169999999999996</v>
      </c>
      <c r="T133" s="110">
        <v>0.90720000000000001</v>
      </c>
      <c r="U133" s="108"/>
      <c r="V133" s="254">
        <f t="shared" si="5"/>
        <v>0.36550000000000005</v>
      </c>
      <c r="W133" s="61">
        <f>Table3.110[[#This Row],[DM Incubated, mg]]-('3.2 Digest'!V133*1000)</f>
        <v>97.94079313091288</v>
      </c>
      <c r="X133" s="61">
        <f>W133/Table3.110[[#This Row],[DM Incubated, mg]]*100</f>
        <v>21.133399256730197</v>
      </c>
      <c r="Y133" s="37">
        <f>Table3.1[[#This Row],[DM Incubated, mg]]*'2.4 NDF'!R21/100</f>
        <v>311.52272310093059</v>
      </c>
      <c r="Z133" s="37">
        <f t="shared" si="6"/>
        <v>-53.977276899069466</v>
      </c>
      <c r="AA133" s="37">
        <f t="shared" si="7"/>
        <v>-17.326914827199076</v>
      </c>
      <c r="AB133" s="89"/>
    </row>
    <row r="134" spans="2:29" x14ac:dyDescent="0.35">
      <c r="B134" s="230">
        <f t="shared" si="4"/>
        <v>124</v>
      </c>
      <c r="C134" s="61">
        <v>45637</v>
      </c>
      <c r="D134" s="248">
        <f>Table3.110[[#This Row],[Date]]</f>
        <v>46043</v>
      </c>
      <c r="E134" s="230" t="str">
        <f>Table3.110[[#This Row],[Requisitioner]]</f>
        <v>Genbank</v>
      </c>
      <c r="F134" s="230" t="str">
        <f>Table3.110[[#This Row],[Gene Bank ID]]</f>
        <v>CIAT-23104</v>
      </c>
      <c r="G134" s="230" t="str">
        <f>Table3.110[[#This Row],[Genus]]</f>
        <v>Dendrolobium</v>
      </c>
      <c r="H134" s="230" t="str">
        <f>Table3.110[[#This Row],[Species]]</f>
        <v>triangulare</v>
      </c>
      <c r="I134" s="230" t="str">
        <f>Table3.110[[#This Row],[Tax Name]]</f>
        <v>Dendrolobium triangulare</v>
      </c>
      <c r="J134" s="230" t="str">
        <f>Table3.110[[#This Row],[Family]]</f>
        <v>Fabaceae</v>
      </c>
      <c r="K134" s="230" t="str">
        <f>Table3.110[[#This Row],[Order]]</f>
        <v>Fabales</v>
      </c>
      <c r="L134" s="230" t="str">
        <f>Table3.110[[#This Row],[Functional Group]]</f>
        <v>Tree</v>
      </c>
      <c r="M134" s="230" t="str">
        <f>Table3.110[[#This Row],[CIAT ID]]</f>
        <v>F251733</v>
      </c>
      <c r="N134" s="230">
        <f>Table3.110[[#This Row],[Set CIAT]]</f>
        <v>27</v>
      </c>
      <c r="O134" s="230">
        <f>Table3.110[[#This Row],[Batch]]</f>
        <v>59</v>
      </c>
      <c r="P134" s="230">
        <f>Table3.110[[#This Row],[Run]]</f>
        <v>2</v>
      </c>
      <c r="Q134" s="230">
        <f>Table3.110[[#This Row],[Replication]]</f>
        <v>2</v>
      </c>
      <c r="R134" s="230">
        <f>Table3.110[[#This Row],[Syrange No]]</f>
        <v>304</v>
      </c>
      <c r="S134" s="265">
        <v>0.55369999999999997</v>
      </c>
      <c r="T134" s="265">
        <v>0.95199999999999996</v>
      </c>
      <c r="U134" s="108"/>
      <c r="V134" s="254">
        <f t="shared" si="5"/>
        <v>0.39829999999999999</v>
      </c>
      <c r="W134" s="61">
        <f>Table3.110[[#This Row],[DM Incubated, mg]]-('3.2 Digest'!V134*1000)</f>
        <v>65.233425709991593</v>
      </c>
      <c r="X134" s="61">
        <f>W134/Table3.110[[#This Row],[DM Incubated, mg]]*100</f>
        <v>14.073079111840514</v>
      </c>
      <c r="Y134" s="37">
        <f>Table3.1[[#This Row],[DM Incubated, mg]]*'2.4 NDF'!R21/100</f>
        <v>311.58499028524017</v>
      </c>
      <c r="Z134" s="37">
        <f t="shared" si="6"/>
        <v>-86.715009714759844</v>
      </c>
      <c r="AA134" s="37">
        <f t="shared" si="7"/>
        <v>-27.830291066131487</v>
      </c>
      <c r="AB134" s="89"/>
    </row>
    <row r="135" spans="2:29" x14ac:dyDescent="0.35">
      <c r="B135" s="230">
        <f t="shared" si="4"/>
        <v>125</v>
      </c>
      <c r="C135" s="61">
        <v>45637</v>
      </c>
      <c r="D135" s="248">
        <f>Table3.110[[#This Row],[Date]]</f>
        <v>46043</v>
      </c>
      <c r="E135" s="230" t="str">
        <f>Table3.110[[#This Row],[Requisitioner]]</f>
        <v>Genbank</v>
      </c>
      <c r="F135" s="230" t="str">
        <f>Table3.110[[#This Row],[Gene Bank ID]]</f>
        <v>CIAT-23104</v>
      </c>
      <c r="G135" s="230" t="str">
        <f>Table3.110[[#This Row],[Genus]]</f>
        <v>Dendrolobium</v>
      </c>
      <c r="H135" s="230" t="str">
        <f>Table3.110[[#This Row],[Species]]</f>
        <v>triangulare</v>
      </c>
      <c r="I135" s="230" t="str">
        <f>Table3.110[[#This Row],[Tax Name]]</f>
        <v>Dendrolobium triangulare</v>
      </c>
      <c r="J135" s="230" t="str">
        <f>Table3.110[[#This Row],[Family]]</f>
        <v>Fabaceae</v>
      </c>
      <c r="K135" s="230" t="str">
        <f>Table3.110[[#This Row],[Order]]</f>
        <v>Fabales</v>
      </c>
      <c r="L135" s="230" t="str">
        <f>Table3.110[[#This Row],[Functional Group]]</f>
        <v>Tree</v>
      </c>
      <c r="M135" s="230" t="str">
        <f>Table3.110[[#This Row],[CIAT ID]]</f>
        <v>F251733</v>
      </c>
      <c r="N135" s="230">
        <f>Table3.110[[#This Row],[Set CIAT]]</f>
        <v>27</v>
      </c>
      <c r="O135" s="230">
        <f>Table3.110[[#This Row],[Batch]]</f>
        <v>59</v>
      </c>
      <c r="P135" s="230">
        <f>Table3.110[[#This Row],[Run]]</f>
        <v>2</v>
      </c>
      <c r="Q135" s="230">
        <f>Table3.110[[#This Row],[Replication]]</f>
        <v>3</v>
      </c>
      <c r="R135" s="230">
        <f>Table3.110[[#This Row],[Syrange No]]</f>
        <v>305</v>
      </c>
      <c r="S135" s="110">
        <v>0.56259999999999999</v>
      </c>
      <c r="T135" s="110">
        <v>1.0185</v>
      </c>
      <c r="U135" s="108"/>
      <c r="V135" s="254">
        <f t="shared" si="5"/>
        <v>0.45589999999999997</v>
      </c>
      <c r="W135" s="61">
        <f>Table3.110[[#This Row],[DM Incubated, mg]]-('3.2 Digest'!V135*1000)</f>
        <v>7.3555279727555103</v>
      </c>
      <c r="X135" s="61">
        <f>W135/Table3.110[[#This Row],[DM Incubated, mg]]*100</f>
        <v>1.5877906530212191</v>
      </c>
      <c r="Y135" s="37">
        <f>Table3.1[[#This Row],[DM Incubated, mg]]*'2.4 NDF'!R21/100</f>
        <v>311.39818873231144</v>
      </c>
      <c r="Z135" s="37">
        <f t="shared" si="6"/>
        <v>-144.50181126768854</v>
      </c>
      <c r="AA135" s="37">
        <f t="shared" si="7"/>
        <v>-46.404191320427771</v>
      </c>
      <c r="AB135" s="89"/>
    </row>
    <row r="136" spans="2:29" x14ac:dyDescent="0.35">
      <c r="B136" s="230">
        <f t="shared" si="4"/>
        <v>126</v>
      </c>
      <c r="C136" s="61">
        <v>45637</v>
      </c>
      <c r="D136" s="248">
        <f>Table3.110[[#This Row],[Date]]</f>
        <v>46043</v>
      </c>
      <c r="E136" s="230" t="str">
        <f>Table3.110[[#This Row],[Requisitioner]]</f>
        <v>Genbank</v>
      </c>
      <c r="F136" s="230" t="str">
        <f>Table3.110[[#This Row],[Gene Bank ID]]</f>
        <v>CIAT-23106</v>
      </c>
      <c r="G136" s="230" t="str">
        <f>Table3.110[[#This Row],[Genus]]</f>
        <v>Dendrolobium</v>
      </c>
      <c r="H136" s="230" t="str">
        <f>Table3.110[[#This Row],[Species]]</f>
        <v>triangulare</v>
      </c>
      <c r="I136" s="230" t="str">
        <f>Table3.110[[#This Row],[Tax Name]]</f>
        <v>Dendrolobium triangulare</v>
      </c>
      <c r="J136" s="230" t="str">
        <f>Table3.110[[#This Row],[Family]]</f>
        <v>Fabaceae</v>
      </c>
      <c r="K136" s="230" t="str">
        <f>Table3.110[[#This Row],[Order]]</f>
        <v>Fabales</v>
      </c>
      <c r="L136" s="230" t="str">
        <f>Table3.110[[#This Row],[Functional Group]]</f>
        <v>Tree</v>
      </c>
      <c r="M136" s="230" t="str">
        <f>Table3.110[[#This Row],[CIAT ID]]</f>
        <v>F251734</v>
      </c>
      <c r="N136" s="230">
        <f>Table3.110[[#This Row],[Set CIAT]]</f>
        <v>27</v>
      </c>
      <c r="O136" s="230">
        <f>Table3.110[[#This Row],[Batch]]</f>
        <v>59</v>
      </c>
      <c r="P136" s="230">
        <f>Table3.110[[#This Row],[Run]]</f>
        <v>2</v>
      </c>
      <c r="Q136" s="230">
        <f>Table3.110[[#This Row],[Replication]]</f>
        <v>1</v>
      </c>
      <c r="R136" s="230">
        <f>Table3.110[[#This Row],[Syrange No]]</f>
        <v>306</v>
      </c>
      <c r="S136" s="266">
        <v>0.57040000000000002</v>
      </c>
      <c r="T136" s="267">
        <v>0.92500000000000004</v>
      </c>
      <c r="U136" s="108"/>
      <c r="V136" s="254">
        <f t="shared" si="5"/>
        <v>0.35460000000000003</v>
      </c>
      <c r="W136" s="61">
        <f>Table3.110[[#This Row],[DM Incubated, mg]]-('3.2 Digest'!V136*1000)</f>
        <v>118.75802098950498</v>
      </c>
      <c r="X136" s="61">
        <f>W136/Table3.110[[#This Row],[DM Incubated, mg]]*100</f>
        <v>25.088414207338005</v>
      </c>
      <c r="Y136" s="37">
        <f>Table3.1[[#This Row],[DM Incubated, mg]]*'2.4 NDF'!R23/100</f>
        <v>320.75215772572801</v>
      </c>
      <c r="Z136" s="37">
        <f t="shared" si="6"/>
        <v>-33.847842274272011</v>
      </c>
      <c r="AA136" s="37">
        <f t="shared" si="7"/>
        <v>-10.552646789430163</v>
      </c>
      <c r="AB136" s="89"/>
    </row>
    <row r="137" spans="2:29" x14ac:dyDescent="0.35">
      <c r="B137" s="230">
        <f t="shared" si="4"/>
        <v>127</v>
      </c>
      <c r="C137" s="61">
        <v>45637</v>
      </c>
      <c r="D137" s="248">
        <f>Table3.110[[#This Row],[Date]]</f>
        <v>46043</v>
      </c>
      <c r="E137" s="230" t="str">
        <f>Table3.110[[#This Row],[Requisitioner]]</f>
        <v>Genbank</v>
      </c>
      <c r="F137" s="230" t="str">
        <f>Table3.110[[#This Row],[Gene Bank ID]]</f>
        <v>CIAT-23106</v>
      </c>
      <c r="G137" s="230" t="str">
        <f>Table3.110[[#This Row],[Genus]]</f>
        <v>Dendrolobium</v>
      </c>
      <c r="H137" s="230" t="str">
        <f>Table3.110[[#This Row],[Species]]</f>
        <v>triangulare</v>
      </c>
      <c r="I137" s="230" t="str">
        <f>Table3.110[[#This Row],[Tax Name]]</f>
        <v>Dendrolobium triangulare</v>
      </c>
      <c r="J137" s="230" t="str">
        <f>Table3.110[[#This Row],[Family]]</f>
        <v>Fabaceae</v>
      </c>
      <c r="K137" s="230" t="str">
        <f>Table3.110[[#This Row],[Order]]</f>
        <v>Fabales</v>
      </c>
      <c r="L137" s="230" t="str">
        <f>Table3.110[[#This Row],[Functional Group]]</f>
        <v>Tree</v>
      </c>
      <c r="M137" s="230" t="str">
        <f>Table3.110[[#This Row],[CIAT ID]]</f>
        <v>F251734</v>
      </c>
      <c r="N137" s="230">
        <f>Table3.110[[#This Row],[Set CIAT]]</f>
        <v>27</v>
      </c>
      <c r="O137" s="230">
        <f>Table3.110[[#This Row],[Batch]]</f>
        <v>59</v>
      </c>
      <c r="P137" s="230">
        <f>Table3.110[[#This Row],[Run]]</f>
        <v>2</v>
      </c>
      <c r="Q137" s="230">
        <f>Table3.110[[#This Row],[Replication]]</f>
        <v>2</v>
      </c>
      <c r="R137" s="230">
        <f>Table3.110[[#This Row],[Syrange No]]</f>
        <v>307</v>
      </c>
      <c r="S137" s="268">
        <v>0.57089999999999996</v>
      </c>
      <c r="T137" s="269">
        <v>0.95779999999999998</v>
      </c>
      <c r="U137" s="108"/>
      <c r="V137" s="254">
        <f t="shared" si="5"/>
        <v>0.38690000000000002</v>
      </c>
      <c r="W137" s="61">
        <f>Table3.110[[#This Row],[DM Incubated, mg]]-('3.2 Digest'!V137*1000)</f>
        <v>86.458020989504973</v>
      </c>
      <c r="X137" s="61">
        <f>W137/Table3.110[[#This Row],[DM Incubated, mg]]*100</f>
        <v>18.2648264433702</v>
      </c>
      <c r="Y137" s="37">
        <f>Table3.1[[#This Row],[DM Incubated, mg]]*'2.4 NDF'!R23/100</f>
        <v>320.75215772572801</v>
      </c>
      <c r="Z137" s="37">
        <f t="shared" si="6"/>
        <v>-66.147842274272023</v>
      </c>
      <c r="AA137" s="37">
        <f t="shared" si="7"/>
        <v>-20.62272713714194</v>
      </c>
      <c r="AB137" s="89"/>
    </row>
    <row r="138" spans="2:29" x14ac:dyDescent="0.35">
      <c r="B138" s="230">
        <f t="shared" si="4"/>
        <v>128</v>
      </c>
      <c r="C138" s="61">
        <v>45637</v>
      </c>
      <c r="D138" s="248">
        <f>Table3.110[[#This Row],[Date]]</f>
        <v>46043</v>
      </c>
      <c r="E138" s="230" t="str">
        <f>Table3.110[[#This Row],[Requisitioner]]</f>
        <v>Genbank</v>
      </c>
      <c r="F138" s="230" t="str">
        <f>Table3.110[[#This Row],[Gene Bank ID]]</f>
        <v>CIAT-23106</v>
      </c>
      <c r="G138" s="230" t="str">
        <f>Table3.110[[#This Row],[Genus]]</f>
        <v>Dendrolobium</v>
      </c>
      <c r="H138" s="230" t="str">
        <f>Table3.110[[#This Row],[Species]]</f>
        <v>triangulare</v>
      </c>
      <c r="I138" s="230" t="str">
        <f>Table3.110[[#This Row],[Tax Name]]</f>
        <v>Dendrolobium triangulare</v>
      </c>
      <c r="J138" s="230" t="str">
        <f>Table3.110[[#This Row],[Family]]</f>
        <v>Fabaceae</v>
      </c>
      <c r="K138" s="230" t="str">
        <f>Table3.110[[#This Row],[Order]]</f>
        <v>Fabales</v>
      </c>
      <c r="L138" s="230" t="str">
        <f>Table3.110[[#This Row],[Functional Group]]</f>
        <v>Tree</v>
      </c>
      <c r="M138" s="230" t="str">
        <f>Table3.110[[#This Row],[CIAT ID]]</f>
        <v>F251734</v>
      </c>
      <c r="N138" s="230">
        <f>Table3.110[[#This Row],[Set CIAT]]</f>
        <v>27</v>
      </c>
      <c r="O138" s="230">
        <f>Table3.110[[#This Row],[Batch]]</f>
        <v>59</v>
      </c>
      <c r="P138" s="230">
        <f>Table3.110[[#This Row],[Run]]</f>
        <v>2</v>
      </c>
      <c r="Q138" s="230">
        <f>Table3.110[[#This Row],[Replication]]</f>
        <v>3</v>
      </c>
      <c r="R138" s="230">
        <f>Table3.110[[#This Row],[Syrange No]]</f>
        <v>308</v>
      </c>
      <c r="S138" s="266">
        <v>0.57789999999999997</v>
      </c>
      <c r="T138" s="267">
        <v>0.9365</v>
      </c>
      <c r="U138" s="108"/>
      <c r="V138" s="254">
        <f t="shared" si="5"/>
        <v>0.35860000000000003</v>
      </c>
      <c r="W138" s="61">
        <f>Table3.110[[#This Row],[DM Incubated, mg]]-('3.2 Digest'!V138*1000)</f>
        <v>114.85267366316816</v>
      </c>
      <c r="X138" s="61">
        <f>W138/Table3.110[[#This Row],[DM Incubated, mg]]*100</f>
        <v>24.258533123181518</v>
      </c>
      <c r="Y138" s="37">
        <f>Table3.1[[#This Row],[DM Incubated, mg]]*'2.4 NDF'!R23/100</f>
        <v>320.81629532975234</v>
      </c>
      <c r="Z138" s="37">
        <f t="shared" si="6"/>
        <v>-37.783704670247687</v>
      </c>
      <c r="AA138" s="37">
        <f t="shared" si="7"/>
        <v>-11.777364560429062</v>
      </c>
      <c r="AB138" s="89"/>
    </row>
    <row r="139" spans="2:29" x14ac:dyDescent="0.35">
      <c r="B139" s="230">
        <f t="shared" si="4"/>
        <v>129</v>
      </c>
      <c r="C139" s="61">
        <v>45637</v>
      </c>
      <c r="D139" s="248">
        <f>Table3.110[[#This Row],[Date]]</f>
        <v>46043</v>
      </c>
      <c r="E139" s="230" t="str">
        <f>Table3.110[[#This Row],[Requisitioner]]</f>
        <v>Genbank</v>
      </c>
      <c r="F139" s="230" t="str">
        <f>Table3.110[[#This Row],[Gene Bank ID]]</f>
        <v>CIAT-23107</v>
      </c>
      <c r="G139" s="230" t="str">
        <f>Table3.110[[#This Row],[Genus]]</f>
        <v>Dendrolobium</v>
      </c>
      <c r="H139" s="230" t="str">
        <f>Table3.110[[#This Row],[Species]]</f>
        <v>triangulare</v>
      </c>
      <c r="I139" s="230" t="str">
        <f>Table3.110[[#This Row],[Tax Name]]</f>
        <v>Dendrolobium triangulare</v>
      </c>
      <c r="J139" s="230" t="str">
        <f>Table3.110[[#This Row],[Family]]</f>
        <v>Fabaceae</v>
      </c>
      <c r="K139" s="230" t="str">
        <f>Table3.110[[#This Row],[Order]]</f>
        <v>Fabales</v>
      </c>
      <c r="L139" s="230" t="str">
        <f>Table3.110[[#This Row],[Functional Group]]</f>
        <v>Tree</v>
      </c>
      <c r="M139" s="230" t="str">
        <f>Table3.110[[#This Row],[CIAT ID]]</f>
        <v>F251735</v>
      </c>
      <c r="N139" s="230">
        <f>Table3.110[[#This Row],[Set CIAT]]</f>
        <v>27</v>
      </c>
      <c r="O139" s="230">
        <f>Table3.110[[#This Row],[Batch]]</f>
        <v>59</v>
      </c>
      <c r="P139" s="230">
        <f>Table3.110[[#This Row],[Run]]</f>
        <v>2</v>
      </c>
      <c r="Q139" s="230">
        <f>Table3.110[[#This Row],[Replication]]</f>
        <v>1</v>
      </c>
      <c r="R139" s="230">
        <f>Table3.110[[#This Row],[Syrange No]]</f>
        <v>309</v>
      </c>
      <c r="S139" s="268">
        <v>0.58930000000000005</v>
      </c>
      <c r="T139" s="269">
        <v>0.98150000000000004</v>
      </c>
      <c r="U139" s="108"/>
      <c r="V139" s="254">
        <f t="shared" si="5"/>
        <v>0.39219999999999999</v>
      </c>
      <c r="W139" s="61">
        <f>Table3.110[[#This Row],[DM Incubated, mg]]-('3.2 Digest'!V139*1000)</f>
        <v>82.830025236806534</v>
      </c>
      <c r="X139" s="61">
        <f>W139/Table3.110[[#This Row],[DM Incubated, mg]]*100</f>
        <v>17.436797851991578</v>
      </c>
      <c r="Y139" s="37">
        <f>Table3.1[[#This Row],[DM Incubated, mg]]*'2.4 NDF'!R25/100</f>
        <v>319.29987701925063</v>
      </c>
      <c r="Z139" s="37">
        <f t="shared" si="6"/>
        <v>-72.900122980749359</v>
      </c>
      <c r="AA139" s="37">
        <f t="shared" si="7"/>
        <v>-22.831240544559996</v>
      </c>
      <c r="AB139" s="89"/>
    </row>
    <row r="140" spans="2:29" x14ac:dyDescent="0.35">
      <c r="B140" s="230">
        <f t="shared" si="4"/>
        <v>130</v>
      </c>
      <c r="C140" s="61">
        <v>45637</v>
      </c>
      <c r="D140" s="248">
        <f>Table3.110[[#This Row],[Date]]</f>
        <v>46043</v>
      </c>
      <c r="E140" s="230" t="str">
        <f>Table3.110[[#This Row],[Requisitioner]]</f>
        <v>Genbank</v>
      </c>
      <c r="F140" s="230" t="str">
        <f>Table3.110[[#This Row],[Gene Bank ID]]</f>
        <v>CIAT-23107</v>
      </c>
      <c r="G140" s="230" t="str">
        <f>Table3.110[[#This Row],[Genus]]</f>
        <v>Dendrolobium</v>
      </c>
      <c r="H140" s="230" t="str">
        <f>Table3.110[[#This Row],[Species]]</f>
        <v>triangulare</v>
      </c>
      <c r="I140" s="230" t="str">
        <f>Table3.110[[#This Row],[Tax Name]]</f>
        <v>Dendrolobium triangulare</v>
      </c>
      <c r="J140" s="230" t="str">
        <f>Table3.110[[#This Row],[Family]]</f>
        <v>Fabaceae</v>
      </c>
      <c r="K140" s="230" t="str">
        <f>Table3.110[[#This Row],[Order]]</f>
        <v>Fabales</v>
      </c>
      <c r="L140" s="230" t="str">
        <f>Table3.110[[#This Row],[Functional Group]]</f>
        <v>Tree</v>
      </c>
      <c r="M140" s="230" t="str">
        <f>Table3.110[[#This Row],[CIAT ID]]</f>
        <v>F251735</v>
      </c>
      <c r="N140" s="230">
        <f>Table3.110[[#This Row],[Set CIAT]]</f>
        <v>27</v>
      </c>
      <c r="O140" s="230">
        <f>Table3.110[[#This Row],[Batch]]</f>
        <v>59</v>
      </c>
      <c r="P140" s="230">
        <f>Table3.110[[#This Row],[Run]]</f>
        <v>2</v>
      </c>
      <c r="Q140" s="230">
        <f>Table3.110[[#This Row],[Replication]]</f>
        <v>2</v>
      </c>
      <c r="R140" s="230">
        <f>Table3.110[[#This Row],[Syrange No]]</f>
        <v>310</v>
      </c>
      <c r="S140" s="266">
        <v>0.57599999999999996</v>
      </c>
      <c r="T140" s="267">
        <v>1.0707</v>
      </c>
      <c r="U140" s="108"/>
      <c r="V140" s="254"/>
      <c r="W140" s="61"/>
      <c r="X140" s="61"/>
      <c r="Y140" s="37"/>
      <c r="Z140" s="37"/>
      <c r="AA140" s="37"/>
      <c r="AB140" s="89" t="s">
        <v>546</v>
      </c>
      <c r="AC140" s="5" t="s">
        <v>677</v>
      </c>
    </row>
    <row r="141" spans="2:29" x14ac:dyDescent="0.35">
      <c r="B141" s="230">
        <f t="shared" ref="B141:B204" si="8">B140+1</f>
        <v>131</v>
      </c>
      <c r="C141" s="61">
        <v>45637</v>
      </c>
      <c r="D141" s="248">
        <f>Table3.110[[#This Row],[Date]]</f>
        <v>46043</v>
      </c>
      <c r="E141" s="230" t="str">
        <f>Table3.110[[#This Row],[Requisitioner]]</f>
        <v>Genbank</v>
      </c>
      <c r="F141" s="230" t="str">
        <f>Table3.110[[#This Row],[Gene Bank ID]]</f>
        <v>CIAT-23107</v>
      </c>
      <c r="G141" s="230" t="str">
        <f>Table3.110[[#This Row],[Genus]]</f>
        <v>Dendrolobium</v>
      </c>
      <c r="H141" s="230" t="str">
        <f>Table3.110[[#This Row],[Species]]</f>
        <v>triangulare</v>
      </c>
      <c r="I141" s="230" t="str">
        <f>Table3.110[[#This Row],[Tax Name]]</f>
        <v>Dendrolobium triangulare</v>
      </c>
      <c r="J141" s="230" t="str">
        <f>Table3.110[[#This Row],[Family]]</f>
        <v>Fabaceae</v>
      </c>
      <c r="K141" s="230" t="str">
        <f>Table3.110[[#This Row],[Order]]</f>
        <v>Fabales</v>
      </c>
      <c r="L141" s="230" t="str">
        <f>Table3.110[[#This Row],[Functional Group]]</f>
        <v>Tree</v>
      </c>
      <c r="M141" s="230" t="str">
        <f>Table3.110[[#This Row],[CIAT ID]]</f>
        <v>F251735</v>
      </c>
      <c r="N141" s="230">
        <f>Table3.110[[#This Row],[Set CIAT]]</f>
        <v>27</v>
      </c>
      <c r="O141" s="230">
        <f>Table3.110[[#This Row],[Batch]]</f>
        <v>59</v>
      </c>
      <c r="P141" s="230">
        <f>Table3.110[[#This Row],[Run]]</f>
        <v>2</v>
      </c>
      <c r="Q141" s="230">
        <f>Table3.110[[#This Row],[Replication]]</f>
        <v>3</v>
      </c>
      <c r="R141" s="230">
        <f>Table3.110[[#This Row],[Syrange No]]</f>
        <v>311</v>
      </c>
      <c r="S141" s="268">
        <v>0.56920000000000004</v>
      </c>
      <c r="T141" s="269">
        <v>0.95520000000000005</v>
      </c>
      <c r="U141" s="108"/>
      <c r="V141" s="254">
        <f t="shared" si="5"/>
        <v>0.38600000000000001</v>
      </c>
      <c r="W141" s="61">
        <f>Table3.110[[#This Row],[DM Incubated, mg]]-('3.2 Digest'!V141*1000)</f>
        <v>88.935038229160796</v>
      </c>
      <c r="X141" s="61">
        <f>W141/Table3.110[[#This Row],[DM Incubated, mg]]*100</f>
        <v>18.725726903781055</v>
      </c>
      <c r="Y141" s="37">
        <f>Table3.1[[#This Row],[DM Incubated, mg]]*'2.4 NDF'!R25/100</f>
        <v>319.2360298132881</v>
      </c>
      <c r="Z141" s="37">
        <f t="shared" si="6"/>
        <v>-66.763970186711902</v>
      </c>
      <c r="AA141" s="37">
        <f t="shared" si="7"/>
        <v>-20.91367012231051</v>
      </c>
      <c r="AB141" s="89"/>
    </row>
    <row r="142" spans="2:29" x14ac:dyDescent="0.35">
      <c r="B142" s="230">
        <f t="shared" si="8"/>
        <v>132</v>
      </c>
      <c r="C142" s="61">
        <v>45637</v>
      </c>
      <c r="D142" s="248">
        <f>Table3.110[[#This Row],[Date]]</f>
        <v>46043</v>
      </c>
      <c r="E142" s="230" t="str">
        <f>Table3.110[[#This Row],[Requisitioner]]</f>
        <v>Genbank</v>
      </c>
      <c r="F142" s="230" t="str">
        <f>Table3.110[[#This Row],[Gene Bank ID]]</f>
        <v>CIAT-23108</v>
      </c>
      <c r="G142" s="230" t="str">
        <f>Table3.110[[#This Row],[Genus]]</f>
        <v>Dendrolobium</v>
      </c>
      <c r="H142" s="230" t="str">
        <f>Table3.110[[#This Row],[Species]]</f>
        <v>triangulare</v>
      </c>
      <c r="I142" s="230" t="str">
        <f>Table3.110[[#This Row],[Tax Name]]</f>
        <v>Dendrolobium triangulare</v>
      </c>
      <c r="J142" s="230" t="str">
        <f>Table3.110[[#This Row],[Family]]</f>
        <v>Fabaceae</v>
      </c>
      <c r="K142" s="230" t="str">
        <f>Table3.110[[#This Row],[Order]]</f>
        <v>Fabales</v>
      </c>
      <c r="L142" s="230" t="str">
        <f>Table3.110[[#This Row],[Functional Group]]</f>
        <v>Tree</v>
      </c>
      <c r="M142" s="230" t="str">
        <f>Table3.110[[#This Row],[CIAT ID]]</f>
        <v>F251736</v>
      </c>
      <c r="N142" s="230">
        <f>Table3.110[[#This Row],[Set CIAT]]</f>
        <v>27</v>
      </c>
      <c r="O142" s="230">
        <f>Table3.110[[#This Row],[Batch]]</f>
        <v>59</v>
      </c>
      <c r="P142" s="230">
        <f>Table3.110[[#This Row],[Run]]</f>
        <v>2</v>
      </c>
      <c r="Q142" s="230">
        <f>Table3.110[[#This Row],[Replication]]</f>
        <v>1</v>
      </c>
      <c r="R142" s="230">
        <f>Table3.110[[#This Row],[Syrange No]]</f>
        <v>312</v>
      </c>
      <c r="S142" s="266">
        <v>0.57230000000000003</v>
      </c>
      <c r="T142" s="267">
        <v>0.94869999999999999</v>
      </c>
      <c r="U142" s="108"/>
      <c r="V142" s="254">
        <f t="shared" ref="V142:V205" si="9">T142-S142</f>
        <v>0.37639999999999996</v>
      </c>
      <c r="W142" s="61">
        <f>Table3.110[[#This Row],[DM Incubated, mg]]-('3.2 Digest'!V142*1000)</f>
        <v>96.505456725964734</v>
      </c>
      <c r="X142" s="61">
        <f>W142/Table3.110[[#This Row],[DM Incubated, mg]]*100</f>
        <v>20.406923911196674</v>
      </c>
      <c r="Y142" s="37">
        <f>Table3.1[[#This Row],[DM Incubated, mg]]*'2.4 NDF'!R27/100</f>
        <v>328.03607500156477</v>
      </c>
      <c r="Z142" s="37">
        <f t="shared" ref="Z142:Z205" si="10">Y142-(V142*1000)</f>
        <v>-48.363924998435209</v>
      </c>
      <c r="AA142" s="37">
        <f t="shared" ref="AA142:AA205" si="11">Z142/Y142*100</f>
        <v>-14.743477527038607</v>
      </c>
      <c r="AB142" s="89"/>
    </row>
    <row r="143" spans="2:29" x14ac:dyDescent="0.35">
      <c r="B143" s="230">
        <f t="shared" si="8"/>
        <v>133</v>
      </c>
      <c r="C143" s="61">
        <v>45637</v>
      </c>
      <c r="D143" s="248">
        <f>Table3.110[[#This Row],[Date]]</f>
        <v>46043</v>
      </c>
      <c r="E143" s="230" t="str">
        <f>Table3.110[[#This Row],[Requisitioner]]</f>
        <v>Genbank</v>
      </c>
      <c r="F143" s="230" t="str">
        <f>Table3.110[[#This Row],[Gene Bank ID]]</f>
        <v>CIAT-23108</v>
      </c>
      <c r="G143" s="230" t="str">
        <f>Table3.110[[#This Row],[Genus]]</f>
        <v>Dendrolobium</v>
      </c>
      <c r="H143" s="230" t="str">
        <f>Table3.110[[#This Row],[Species]]</f>
        <v>triangulare</v>
      </c>
      <c r="I143" s="230" t="str">
        <f>Table3.110[[#This Row],[Tax Name]]</f>
        <v>Dendrolobium triangulare</v>
      </c>
      <c r="J143" s="230" t="str">
        <f>Table3.110[[#This Row],[Family]]</f>
        <v>Fabaceae</v>
      </c>
      <c r="K143" s="230" t="str">
        <f>Table3.110[[#This Row],[Order]]</f>
        <v>Fabales</v>
      </c>
      <c r="L143" s="230" t="str">
        <f>Table3.110[[#This Row],[Functional Group]]</f>
        <v>Tree</v>
      </c>
      <c r="M143" s="230" t="str">
        <f>Table3.110[[#This Row],[CIAT ID]]</f>
        <v>F251736</v>
      </c>
      <c r="N143" s="230">
        <f>Table3.110[[#This Row],[Set CIAT]]</f>
        <v>27</v>
      </c>
      <c r="O143" s="230">
        <f>Table3.110[[#This Row],[Batch]]</f>
        <v>59</v>
      </c>
      <c r="P143" s="230">
        <f>Table3.110[[#This Row],[Run]]</f>
        <v>2</v>
      </c>
      <c r="Q143" s="230">
        <f>Table3.110[[#This Row],[Replication]]</f>
        <v>2</v>
      </c>
      <c r="R143" s="230">
        <f>Table3.110[[#This Row],[Syrange No]]</f>
        <v>313</v>
      </c>
      <c r="S143" s="268">
        <v>0.53600000000000003</v>
      </c>
      <c r="T143" s="269">
        <v>0.91249999999999998</v>
      </c>
      <c r="U143" s="108"/>
      <c r="V143" s="254">
        <f t="shared" si="9"/>
        <v>0.37649999999999995</v>
      </c>
      <c r="W143" s="61">
        <f>Table3.110[[#This Row],[DM Incubated, mg]]-('3.2 Digest'!V143*1000)</f>
        <v>96.500000000000341</v>
      </c>
      <c r="X143" s="61">
        <f>W143/Table3.110[[#This Row],[DM Incubated, mg]]*100</f>
        <v>20.401691331923949</v>
      </c>
      <c r="Y143" s="37">
        <f>Table3.1[[#This Row],[DM Incubated, mg]]*'2.4 NDF'!R27/100</f>
        <v>328.10165598417206</v>
      </c>
      <c r="Z143" s="37">
        <f t="shared" si="10"/>
        <v>-48.398344015827888</v>
      </c>
      <c r="AA143" s="37">
        <f t="shared" si="11"/>
        <v>-14.751020951312318</v>
      </c>
      <c r="AB143" s="89"/>
    </row>
    <row r="144" spans="2:29" x14ac:dyDescent="0.35">
      <c r="B144" s="230">
        <f t="shared" si="8"/>
        <v>134</v>
      </c>
      <c r="C144" s="61">
        <v>45637</v>
      </c>
      <c r="D144" s="248">
        <f>Table3.110[[#This Row],[Date]]</f>
        <v>46043</v>
      </c>
      <c r="E144" s="230" t="str">
        <f>Table3.110[[#This Row],[Requisitioner]]</f>
        <v>Genbank</v>
      </c>
      <c r="F144" s="230" t="str">
        <f>Table3.110[[#This Row],[Gene Bank ID]]</f>
        <v>CIAT-23108</v>
      </c>
      <c r="G144" s="230" t="str">
        <f>Table3.110[[#This Row],[Genus]]</f>
        <v>Dendrolobium</v>
      </c>
      <c r="H144" s="230" t="str">
        <f>Table3.110[[#This Row],[Species]]</f>
        <v>triangulare</v>
      </c>
      <c r="I144" s="230" t="str">
        <f>Table3.110[[#This Row],[Tax Name]]</f>
        <v>Dendrolobium triangulare</v>
      </c>
      <c r="J144" s="230" t="str">
        <f>Table3.110[[#This Row],[Family]]</f>
        <v>Fabaceae</v>
      </c>
      <c r="K144" s="230" t="str">
        <f>Table3.110[[#This Row],[Order]]</f>
        <v>Fabales</v>
      </c>
      <c r="L144" s="230" t="str">
        <f>Table3.110[[#This Row],[Functional Group]]</f>
        <v>Tree</v>
      </c>
      <c r="M144" s="230" t="str">
        <f>Table3.110[[#This Row],[CIAT ID]]</f>
        <v>F251736</v>
      </c>
      <c r="N144" s="230">
        <f>Table3.110[[#This Row],[Set CIAT]]</f>
        <v>27</v>
      </c>
      <c r="O144" s="230">
        <f>Table3.110[[#This Row],[Batch]]</f>
        <v>59</v>
      </c>
      <c r="P144" s="230">
        <f>Table3.110[[#This Row],[Run]]</f>
        <v>2</v>
      </c>
      <c r="Q144" s="230">
        <f>Table3.110[[#This Row],[Replication]]</f>
        <v>3</v>
      </c>
      <c r="R144" s="230">
        <f>Table3.110[[#This Row],[Syrange No]]</f>
        <v>314</v>
      </c>
      <c r="S144" s="266">
        <v>0.57310000000000005</v>
      </c>
      <c r="T144" s="267">
        <v>0.94820000000000004</v>
      </c>
      <c r="U144" s="108"/>
      <c r="V144" s="254">
        <f t="shared" si="9"/>
        <v>0.37509999999999999</v>
      </c>
      <c r="W144" s="61">
        <f>Table3.110[[#This Row],[DM Incubated, mg]]-('3.2 Digest'!V144*1000)</f>
        <v>97.900000000000318</v>
      </c>
      <c r="X144" s="61">
        <f>W144/Table3.110[[#This Row],[DM Incubated, mg]]*100</f>
        <v>20.697674418604706</v>
      </c>
      <c r="Y144" s="37">
        <f>Table3.1[[#This Row],[DM Incubated, mg]]*'2.4 NDF'!R27/100</f>
        <v>328.10165598417206</v>
      </c>
      <c r="Z144" s="37">
        <f t="shared" si="10"/>
        <v>-46.998344015827911</v>
      </c>
      <c r="AA144" s="37">
        <f t="shared" si="11"/>
        <v>-14.324323927854591</v>
      </c>
      <c r="AB144" s="89"/>
    </row>
    <row r="145" spans="2:28" x14ac:dyDescent="0.35">
      <c r="B145" s="230">
        <f t="shared" si="8"/>
        <v>135</v>
      </c>
      <c r="C145" s="61">
        <v>45637</v>
      </c>
      <c r="D145" s="248">
        <f>Table3.110[[#This Row],[Date]]</f>
        <v>46043</v>
      </c>
      <c r="E145" s="230" t="str">
        <f>Table3.110[[#This Row],[Requisitioner]]</f>
        <v>Genbank</v>
      </c>
      <c r="F145" s="230" t="str">
        <f>Table3.110[[#This Row],[Gene Bank ID]]</f>
        <v>CIAT-23412</v>
      </c>
      <c r="G145" s="230" t="str">
        <f>Table3.110[[#This Row],[Genus]]</f>
        <v>Dendrolobium</v>
      </c>
      <c r="H145" s="230" t="str">
        <f>Table3.110[[#This Row],[Species]]</f>
        <v>triangulare</v>
      </c>
      <c r="I145" s="230" t="str">
        <f>Table3.110[[#This Row],[Tax Name]]</f>
        <v>Dendrolobium triangulare</v>
      </c>
      <c r="J145" s="230" t="str">
        <f>Table3.110[[#This Row],[Family]]</f>
        <v>Fabaceae</v>
      </c>
      <c r="K145" s="230" t="str">
        <f>Table3.110[[#This Row],[Order]]</f>
        <v>Fabales</v>
      </c>
      <c r="L145" s="230" t="str">
        <f>Table3.110[[#This Row],[Functional Group]]</f>
        <v>Tree</v>
      </c>
      <c r="M145" s="230" t="str">
        <f>Table3.110[[#This Row],[CIAT ID]]</f>
        <v>F251737</v>
      </c>
      <c r="N145" s="230">
        <f>Table3.110[[#This Row],[Set CIAT]]</f>
        <v>27</v>
      </c>
      <c r="O145" s="230">
        <f>Table3.110[[#This Row],[Batch]]</f>
        <v>59</v>
      </c>
      <c r="P145" s="230">
        <f>Table3.110[[#This Row],[Run]]</f>
        <v>2</v>
      </c>
      <c r="Q145" s="230">
        <f>Table3.110[[#This Row],[Replication]]</f>
        <v>1</v>
      </c>
      <c r="R145" s="230">
        <f>Table3.110[[#This Row],[Syrange No]]</f>
        <v>315</v>
      </c>
      <c r="S145" s="268">
        <v>0.5696</v>
      </c>
      <c r="T145" s="269">
        <v>0.94350000000000001</v>
      </c>
      <c r="U145" s="108"/>
      <c r="V145" s="254">
        <f t="shared" si="9"/>
        <v>0.37390000000000001</v>
      </c>
      <c r="W145" s="61">
        <f>Table3.110[[#This Row],[DM Incubated, mg]]-('3.2 Digest'!V145*1000)</f>
        <v>97.3207862641205</v>
      </c>
      <c r="X145" s="61">
        <f>W145/Table3.110[[#This Row],[DM Incubated, mg]]*100</f>
        <v>20.652906047648742</v>
      </c>
      <c r="Y145" s="37">
        <f>Table3.1[[#This Row],[DM Incubated, mg]]*'2.4 NDF'!R29/100</f>
        <v>292.79853233765573</v>
      </c>
      <c r="Z145" s="37">
        <f t="shared" si="10"/>
        <v>-81.101467662344305</v>
      </c>
      <c r="AA145" s="37">
        <f t="shared" si="11"/>
        <v>-27.698727522588111</v>
      </c>
      <c r="AB145" s="89"/>
    </row>
    <row r="146" spans="2:28" x14ac:dyDescent="0.35">
      <c r="B146" s="230">
        <f t="shared" si="8"/>
        <v>136</v>
      </c>
      <c r="C146" s="61">
        <v>45637</v>
      </c>
      <c r="D146" s="248">
        <f>Table3.110[[#This Row],[Date]]</f>
        <v>46043</v>
      </c>
      <c r="E146" s="230" t="str">
        <f>Table3.110[[#This Row],[Requisitioner]]</f>
        <v>Genbank</v>
      </c>
      <c r="F146" s="230" t="str">
        <f>Table3.110[[#This Row],[Gene Bank ID]]</f>
        <v>CIAT-23412</v>
      </c>
      <c r="G146" s="230" t="str">
        <f>Table3.110[[#This Row],[Genus]]</f>
        <v>Dendrolobium</v>
      </c>
      <c r="H146" s="230" t="str">
        <f>Table3.110[[#This Row],[Species]]</f>
        <v>triangulare</v>
      </c>
      <c r="I146" s="230" t="str">
        <f>Table3.110[[#This Row],[Tax Name]]</f>
        <v>Dendrolobium triangulare</v>
      </c>
      <c r="J146" s="230" t="str">
        <f>Table3.110[[#This Row],[Family]]</f>
        <v>Fabaceae</v>
      </c>
      <c r="K146" s="230" t="str">
        <f>Table3.110[[#This Row],[Order]]</f>
        <v>Fabales</v>
      </c>
      <c r="L146" s="230" t="str">
        <f>Table3.110[[#This Row],[Functional Group]]</f>
        <v>Tree</v>
      </c>
      <c r="M146" s="230" t="str">
        <f>Table3.110[[#This Row],[CIAT ID]]</f>
        <v>F251737</v>
      </c>
      <c r="N146" s="230">
        <f>Table3.110[[#This Row],[Set CIAT]]</f>
        <v>27</v>
      </c>
      <c r="O146" s="230">
        <f>Table3.110[[#This Row],[Batch]]</f>
        <v>59</v>
      </c>
      <c r="P146" s="230">
        <f>Table3.110[[#This Row],[Run]]</f>
        <v>2</v>
      </c>
      <c r="Q146" s="230">
        <f>Table3.110[[#This Row],[Replication]]</f>
        <v>2</v>
      </c>
      <c r="R146" s="230">
        <f>Table3.110[[#This Row],[Syrange No]]</f>
        <v>316</v>
      </c>
      <c r="S146" s="266">
        <v>0.58750000000000002</v>
      </c>
      <c r="T146" s="267">
        <v>1.0038</v>
      </c>
      <c r="U146" s="108"/>
      <c r="V146" s="254">
        <f t="shared" si="9"/>
        <v>0.4163</v>
      </c>
      <c r="W146" s="61">
        <f>Table3.110[[#This Row],[DM Incubated, mg]]-('3.2 Digest'!V146*1000)</f>
        <v>54.638223330122457</v>
      </c>
      <c r="X146" s="61">
        <f>W146/Table3.110[[#This Row],[DM Incubated, mg]]*100</f>
        <v>11.601993769747942</v>
      </c>
      <c r="Y146" s="37">
        <f>Table3.1[[#This Row],[DM Incubated, mg]]*'2.4 NDF'!R29/100</f>
        <v>292.62295856251825</v>
      </c>
      <c r="Z146" s="37">
        <f t="shared" si="10"/>
        <v>-123.67704143748176</v>
      </c>
      <c r="AA146" s="37">
        <f t="shared" si="11"/>
        <v>-42.264982230045504</v>
      </c>
      <c r="AB146" s="89"/>
    </row>
    <row r="147" spans="2:28" x14ac:dyDescent="0.35">
      <c r="B147" s="230">
        <f t="shared" si="8"/>
        <v>137</v>
      </c>
      <c r="C147" s="61">
        <v>45637</v>
      </c>
      <c r="D147" s="248">
        <f>Table3.110[[#This Row],[Date]]</f>
        <v>46043</v>
      </c>
      <c r="E147" s="230" t="str">
        <f>Table3.110[[#This Row],[Requisitioner]]</f>
        <v>Genbank</v>
      </c>
      <c r="F147" s="230" t="str">
        <f>Table3.110[[#This Row],[Gene Bank ID]]</f>
        <v>CIAT-23412</v>
      </c>
      <c r="G147" s="230" t="str">
        <f>Table3.110[[#This Row],[Genus]]</f>
        <v>Dendrolobium</v>
      </c>
      <c r="H147" s="230" t="str">
        <f>Table3.110[[#This Row],[Species]]</f>
        <v>triangulare</v>
      </c>
      <c r="I147" s="230" t="str">
        <f>Table3.110[[#This Row],[Tax Name]]</f>
        <v>Dendrolobium triangulare</v>
      </c>
      <c r="J147" s="230" t="str">
        <f>Table3.110[[#This Row],[Family]]</f>
        <v>Fabaceae</v>
      </c>
      <c r="K147" s="230" t="str">
        <f>Table3.110[[#This Row],[Order]]</f>
        <v>Fabales</v>
      </c>
      <c r="L147" s="230" t="str">
        <f>Table3.110[[#This Row],[Functional Group]]</f>
        <v>Tree</v>
      </c>
      <c r="M147" s="230" t="str">
        <f>Table3.110[[#This Row],[CIAT ID]]</f>
        <v>F251737</v>
      </c>
      <c r="N147" s="230">
        <f>Table3.110[[#This Row],[Set CIAT]]</f>
        <v>27</v>
      </c>
      <c r="O147" s="230">
        <f>Table3.110[[#This Row],[Batch]]</f>
        <v>59</v>
      </c>
      <c r="P147" s="230">
        <f>Table3.110[[#This Row],[Run]]</f>
        <v>2</v>
      </c>
      <c r="Q147" s="230">
        <f>Table3.110[[#This Row],[Replication]]</f>
        <v>3</v>
      </c>
      <c r="R147" s="230">
        <f>Table3.110[[#This Row],[Syrange No]]</f>
        <v>317</v>
      </c>
      <c r="S147" s="268">
        <v>0.56589999999999996</v>
      </c>
      <c r="T147" s="269">
        <v>0.99839999999999995</v>
      </c>
      <c r="U147" s="108"/>
      <c r="V147" s="254">
        <f t="shared" si="9"/>
        <v>0.4325</v>
      </c>
      <c r="W147" s="61">
        <f>Table3.110[[#This Row],[DM Incubated, mg]]-('3.2 Digest'!V147*1000)</f>
        <v>38.814973908786556</v>
      </c>
      <c r="X147" s="61">
        <f>W147/Table3.110[[#This Row],[DM Incubated, mg]]*100</f>
        <v>8.2354637678662854</v>
      </c>
      <c r="Y147" s="37">
        <f>Table3.1[[#This Row],[DM Incubated, mg]]*'2.4 NDF'!R29/100</f>
        <v>292.85705692936824</v>
      </c>
      <c r="Z147" s="37">
        <f t="shared" si="10"/>
        <v>-139.64294307063176</v>
      </c>
      <c r="AA147" s="37">
        <f t="shared" si="11"/>
        <v>-47.682970161211138</v>
      </c>
      <c r="AB147" s="89"/>
    </row>
    <row r="148" spans="2:28" x14ac:dyDescent="0.35">
      <c r="B148" s="230">
        <f t="shared" si="8"/>
        <v>138</v>
      </c>
      <c r="C148" s="61">
        <v>45637</v>
      </c>
      <c r="D148" s="248">
        <f>Table3.110[[#This Row],[Date]]</f>
        <v>46043</v>
      </c>
      <c r="E148" s="230" t="str">
        <f>Table3.110[[#This Row],[Requisitioner]]</f>
        <v>Genbank</v>
      </c>
      <c r="F148" s="230" t="str">
        <f>Table3.110[[#This Row],[Gene Bank ID]]</f>
        <v>CIAT-23413</v>
      </c>
      <c r="G148" s="230" t="str">
        <f>Table3.110[[#This Row],[Genus]]</f>
        <v>Dendrolobium</v>
      </c>
      <c r="H148" s="230" t="str">
        <f>Table3.110[[#This Row],[Species]]</f>
        <v>triangulare</v>
      </c>
      <c r="I148" s="230" t="str">
        <f>Table3.110[[#This Row],[Tax Name]]</f>
        <v>Dendrolobium triangulare</v>
      </c>
      <c r="J148" s="230" t="str">
        <f>Table3.110[[#This Row],[Family]]</f>
        <v>Fabaceae</v>
      </c>
      <c r="K148" s="230" t="str">
        <f>Table3.110[[#This Row],[Order]]</f>
        <v>Fabales</v>
      </c>
      <c r="L148" s="230" t="str">
        <f>Table3.110[[#This Row],[Functional Group]]</f>
        <v>Tree</v>
      </c>
      <c r="M148" s="230" t="str">
        <f>Table3.110[[#This Row],[CIAT ID]]</f>
        <v>F251738</v>
      </c>
      <c r="N148" s="230">
        <f>Table3.110[[#This Row],[Set CIAT]]</f>
        <v>27</v>
      </c>
      <c r="O148" s="230">
        <f>Table3.110[[#This Row],[Batch]]</f>
        <v>59</v>
      </c>
      <c r="P148" s="230">
        <f>Table3.110[[#This Row],[Run]]</f>
        <v>2</v>
      </c>
      <c r="Q148" s="230">
        <f>Table3.110[[#This Row],[Replication]]</f>
        <v>1</v>
      </c>
      <c r="R148" s="230">
        <f>Table3.110[[#This Row],[Syrange No]]</f>
        <v>318</v>
      </c>
      <c r="S148" s="266">
        <v>0.55789999999999995</v>
      </c>
      <c r="T148" s="267">
        <v>0.90600000000000003</v>
      </c>
      <c r="U148" s="108"/>
      <c r="V148" s="254">
        <f t="shared" si="9"/>
        <v>0.34810000000000008</v>
      </c>
      <c r="W148" s="61">
        <f>Table3.110[[#This Row],[DM Incubated, mg]]-('3.2 Digest'!V148*1000)</f>
        <v>119.81393713037716</v>
      </c>
      <c r="X148" s="61">
        <f>W148/Table3.110[[#This Row],[DM Incubated, mg]]*100</f>
        <v>25.605977429347821</v>
      </c>
      <c r="Y148" s="37">
        <f>Table3.1[[#This Row],[DM Incubated, mg]]*'2.4 NDF'!R31/100</f>
        <v>280.62275404724033</v>
      </c>
      <c r="Z148" s="37">
        <f t="shared" si="10"/>
        <v>-67.477245952759745</v>
      </c>
      <c r="AA148" s="37">
        <f t="shared" si="11"/>
        <v>-24.04553621528515</v>
      </c>
      <c r="AB148" s="89"/>
    </row>
    <row r="149" spans="2:28" x14ac:dyDescent="0.35">
      <c r="B149" s="230">
        <f t="shared" si="8"/>
        <v>139</v>
      </c>
      <c r="C149" s="61">
        <v>45637</v>
      </c>
      <c r="D149" s="248">
        <f>Table3.110[[#This Row],[Date]]</f>
        <v>46043</v>
      </c>
      <c r="E149" s="230" t="str">
        <f>Table3.110[[#This Row],[Requisitioner]]</f>
        <v>Genbank</v>
      </c>
      <c r="F149" s="230" t="str">
        <f>Table3.110[[#This Row],[Gene Bank ID]]</f>
        <v>CIAT-23413</v>
      </c>
      <c r="G149" s="230" t="str">
        <f>Table3.110[[#This Row],[Genus]]</f>
        <v>Dendrolobium</v>
      </c>
      <c r="H149" s="230" t="str">
        <f>Table3.110[[#This Row],[Species]]</f>
        <v>triangulare</v>
      </c>
      <c r="I149" s="230" t="str">
        <f>Table3.110[[#This Row],[Tax Name]]</f>
        <v>Dendrolobium triangulare</v>
      </c>
      <c r="J149" s="230" t="str">
        <f>Table3.110[[#This Row],[Family]]</f>
        <v>Fabaceae</v>
      </c>
      <c r="K149" s="230" t="str">
        <f>Table3.110[[#This Row],[Order]]</f>
        <v>Fabales</v>
      </c>
      <c r="L149" s="230" t="str">
        <f>Table3.110[[#This Row],[Functional Group]]</f>
        <v>Tree</v>
      </c>
      <c r="M149" s="230" t="str">
        <f>Table3.110[[#This Row],[CIAT ID]]</f>
        <v>F251738</v>
      </c>
      <c r="N149" s="230">
        <f>Table3.110[[#This Row],[Set CIAT]]</f>
        <v>27</v>
      </c>
      <c r="O149" s="230">
        <f>Table3.110[[#This Row],[Batch]]</f>
        <v>59</v>
      </c>
      <c r="P149" s="230">
        <f>Table3.110[[#This Row],[Run]]</f>
        <v>2</v>
      </c>
      <c r="Q149" s="230">
        <f>Table3.110[[#This Row],[Replication]]</f>
        <v>2</v>
      </c>
      <c r="R149" s="230">
        <f>Table3.110[[#This Row],[Syrange No]]</f>
        <v>319</v>
      </c>
      <c r="S149" s="268">
        <v>0.55900000000000005</v>
      </c>
      <c r="T149" s="269">
        <v>0.89980000000000004</v>
      </c>
      <c r="U149" s="108"/>
      <c r="V149" s="254">
        <f t="shared" si="9"/>
        <v>0.34079999999999999</v>
      </c>
      <c r="W149" s="61">
        <f>Table3.110[[#This Row],[DM Incubated, mg]]-('3.2 Digest'!V149*1000)</f>
        <v>127.20746380180043</v>
      </c>
      <c r="X149" s="61">
        <f>W149/Table3.110[[#This Row],[DM Incubated, mg]]*100</f>
        <v>27.180648523945838</v>
      </c>
      <c r="Y149" s="37">
        <f>Table3.1[[#This Row],[DM Incubated, mg]]*'2.4 NDF'!R31/100</f>
        <v>280.67884494351199</v>
      </c>
      <c r="Z149" s="37">
        <f t="shared" si="10"/>
        <v>-60.121155056488021</v>
      </c>
      <c r="AA149" s="37">
        <f t="shared" si="11"/>
        <v>-21.419909672418562</v>
      </c>
      <c r="AB149" s="89"/>
    </row>
    <row r="150" spans="2:28" x14ac:dyDescent="0.35">
      <c r="B150" s="230">
        <f t="shared" si="8"/>
        <v>140</v>
      </c>
      <c r="C150" s="61">
        <v>45637</v>
      </c>
      <c r="D150" s="248">
        <f>Table3.110[[#This Row],[Date]]</f>
        <v>46043</v>
      </c>
      <c r="E150" s="230" t="str">
        <f>Table3.110[[#This Row],[Requisitioner]]</f>
        <v>Genbank</v>
      </c>
      <c r="F150" s="230" t="str">
        <f>Table3.110[[#This Row],[Gene Bank ID]]</f>
        <v>CIAT-23413</v>
      </c>
      <c r="G150" s="230" t="str">
        <f>Table3.110[[#This Row],[Genus]]</f>
        <v>Dendrolobium</v>
      </c>
      <c r="H150" s="230" t="str">
        <f>Table3.110[[#This Row],[Species]]</f>
        <v>triangulare</v>
      </c>
      <c r="I150" s="230" t="str">
        <f>Table3.110[[#This Row],[Tax Name]]</f>
        <v>Dendrolobium triangulare</v>
      </c>
      <c r="J150" s="230" t="str">
        <f>Table3.110[[#This Row],[Family]]</f>
        <v>Fabaceae</v>
      </c>
      <c r="K150" s="230" t="str">
        <f>Table3.110[[#This Row],[Order]]</f>
        <v>Fabales</v>
      </c>
      <c r="L150" s="230" t="str">
        <f>Table3.110[[#This Row],[Functional Group]]</f>
        <v>Tree</v>
      </c>
      <c r="M150" s="230" t="str">
        <f>Table3.110[[#This Row],[CIAT ID]]</f>
        <v>F251738</v>
      </c>
      <c r="N150" s="230">
        <f>Table3.110[[#This Row],[Set CIAT]]</f>
        <v>27</v>
      </c>
      <c r="O150" s="230">
        <f>Table3.110[[#This Row],[Batch]]</f>
        <v>59</v>
      </c>
      <c r="P150" s="230">
        <f>Table3.110[[#This Row],[Run]]</f>
        <v>2</v>
      </c>
      <c r="Q150" s="230">
        <f>Table3.110[[#This Row],[Replication]]</f>
        <v>3</v>
      </c>
      <c r="R150" s="230">
        <f>Table3.110[[#This Row],[Syrange No]]</f>
        <v>320</v>
      </c>
      <c r="S150" s="266">
        <v>0.55379999999999996</v>
      </c>
      <c r="T150" s="267">
        <v>0.92459999999999998</v>
      </c>
      <c r="U150" s="108"/>
      <c r="V150" s="254">
        <f t="shared" si="9"/>
        <v>0.37080000000000002</v>
      </c>
      <c r="W150" s="61">
        <f>Table3.110[[#This Row],[DM Incubated, mg]]-('3.2 Digest'!V150*1000)</f>
        <v>96.926883787530812</v>
      </c>
      <c r="X150" s="61">
        <f>W150/Table3.110[[#This Row],[DM Incubated, mg]]*100</f>
        <v>20.722966146962108</v>
      </c>
      <c r="Y150" s="37">
        <f>Table3.1[[#This Row],[DM Incubated, mg]]*'2.4 NDF'!R31/100</f>
        <v>280.51057225469697</v>
      </c>
      <c r="Z150" s="37">
        <f t="shared" si="10"/>
        <v>-90.289427745303044</v>
      </c>
      <c r="AA150" s="37">
        <f t="shared" si="11"/>
        <v>-32.187531122114848</v>
      </c>
      <c r="AB150" s="89"/>
    </row>
    <row r="151" spans="2:28" x14ac:dyDescent="0.35">
      <c r="B151" s="230">
        <f t="shared" si="8"/>
        <v>141</v>
      </c>
      <c r="C151" s="61">
        <v>45637</v>
      </c>
      <c r="D151" s="248">
        <f>Table3.110[[#This Row],[Date]]</f>
        <v>46043</v>
      </c>
      <c r="E151" s="230" t="str">
        <f>Table3.110[[#This Row],[Requisitioner]]</f>
        <v>Genbank</v>
      </c>
      <c r="F151" s="230" t="str">
        <f>Table3.110[[#This Row],[Gene Bank ID]]</f>
        <v>CIAT-23419</v>
      </c>
      <c r="G151" s="230" t="str">
        <f>Table3.110[[#This Row],[Genus]]</f>
        <v>Dendrolobium</v>
      </c>
      <c r="H151" s="230" t="str">
        <f>Table3.110[[#This Row],[Species]]</f>
        <v>triangulare</v>
      </c>
      <c r="I151" s="230" t="str">
        <f>Table3.110[[#This Row],[Tax Name]]</f>
        <v>Dendrolobium triangulare</v>
      </c>
      <c r="J151" s="230" t="str">
        <f>Table3.110[[#This Row],[Family]]</f>
        <v>Fabaceae</v>
      </c>
      <c r="K151" s="230" t="str">
        <f>Table3.110[[#This Row],[Order]]</f>
        <v>Fabales</v>
      </c>
      <c r="L151" s="230" t="str">
        <f>Table3.110[[#This Row],[Functional Group]]</f>
        <v>Tree</v>
      </c>
      <c r="M151" s="230" t="str">
        <f>Table3.110[[#This Row],[CIAT ID]]</f>
        <v>F251739</v>
      </c>
      <c r="N151" s="230">
        <f>Table3.110[[#This Row],[Set CIAT]]</f>
        <v>27</v>
      </c>
      <c r="O151" s="230">
        <f>Table3.110[[#This Row],[Batch]]</f>
        <v>59</v>
      </c>
      <c r="P151" s="230">
        <f>Table3.110[[#This Row],[Run]]</f>
        <v>2</v>
      </c>
      <c r="Q151" s="230">
        <f>Table3.110[[#This Row],[Replication]]</f>
        <v>1</v>
      </c>
      <c r="R151" s="230">
        <f>Table3.110[[#This Row],[Syrange No]]</f>
        <v>321</v>
      </c>
      <c r="S151" s="110">
        <v>0.57210000000000005</v>
      </c>
      <c r="T151" s="110">
        <v>0.9325</v>
      </c>
      <c r="U151" s="108"/>
      <c r="V151" s="254">
        <f t="shared" si="9"/>
        <v>0.36039999999999994</v>
      </c>
      <c r="W151" s="61">
        <f>Table3.110[[#This Row],[DM Incubated, mg]]-('3.2 Digest'!V151*1000)</f>
        <v>109.57507216900365</v>
      </c>
      <c r="X151" s="61">
        <f>W151/Table3.110[[#This Row],[DM Incubated, mg]]*100</f>
        <v>23.31508172620703</v>
      </c>
      <c r="Y151" s="37">
        <f>Table3.1[[#This Row],[DM Incubated, mg]]*'2.4 NDF'!R33/100</f>
        <v>282.09432262334241</v>
      </c>
      <c r="Z151" s="37">
        <f t="shared" si="10"/>
        <v>-78.305677376657513</v>
      </c>
      <c r="AA151" s="37">
        <f t="shared" si="11"/>
        <v>-27.758686048145933</v>
      </c>
      <c r="AB151" s="89"/>
    </row>
    <row r="152" spans="2:28" x14ac:dyDescent="0.35">
      <c r="B152" s="230">
        <f t="shared" si="8"/>
        <v>142</v>
      </c>
      <c r="C152" s="61">
        <v>45637</v>
      </c>
      <c r="D152" s="248">
        <f>Table3.110[[#This Row],[Date]]</f>
        <v>46043</v>
      </c>
      <c r="E152" s="230" t="str">
        <f>Table3.110[[#This Row],[Requisitioner]]</f>
        <v>Genbank</v>
      </c>
      <c r="F152" s="230" t="str">
        <f>Table3.110[[#This Row],[Gene Bank ID]]</f>
        <v>CIAT-23419</v>
      </c>
      <c r="G152" s="230" t="str">
        <f>Table3.110[[#This Row],[Genus]]</f>
        <v>Dendrolobium</v>
      </c>
      <c r="H152" s="230" t="str">
        <f>Table3.110[[#This Row],[Species]]</f>
        <v>triangulare</v>
      </c>
      <c r="I152" s="230" t="str">
        <f>Table3.110[[#This Row],[Tax Name]]</f>
        <v>Dendrolobium triangulare</v>
      </c>
      <c r="J152" s="230" t="str">
        <f>Table3.110[[#This Row],[Family]]</f>
        <v>Fabaceae</v>
      </c>
      <c r="K152" s="230" t="str">
        <f>Table3.110[[#This Row],[Order]]</f>
        <v>Fabales</v>
      </c>
      <c r="L152" s="230" t="str">
        <f>Table3.110[[#This Row],[Functional Group]]</f>
        <v>Tree</v>
      </c>
      <c r="M152" s="230" t="str">
        <f>Table3.110[[#This Row],[CIAT ID]]</f>
        <v>F251739</v>
      </c>
      <c r="N152" s="230">
        <f>Table3.110[[#This Row],[Set CIAT]]</f>
        <v>27</v>
      </c>
      <c r="O152" s="230">
        <f>Table3.110[[#This Row],[Batch]]</f>
        <v>59</v>
      </c>
      <c r="P152" s="230">
        <f>Table3.110[[#This Row],[Run]]</f>
        <v>2</v>
      </c>
      <c r="Q152" s="230">
        <f>Table3.110[[#This Row],[Replication]]</f>
        <v>2</v>
      </c>
      <c r="R152" s="230">
        <f>Table3.110[[#This Row],[Syrange No]]</f>
        <v>322</v>
      </c>
      <c r="S152" s="265">
        <v>0.55400000000000005</v>
      </c>
      <c r="T152" s="265">
        <v>0.92459999999999998</v>
      </c>
      <c r="U152" s="108"/>
      <c r="V152" s="254">
        <f t="shared" si="9"/>
        <v>0.37059999999999993</v>
      </c>
      <c r="W152" s="61">
        <f>Table3.110[[#This Row],[DM Incubated, mg]]-('3.2 Digest'!V152*1000)</f>
        <v>99.375072169003658</v>
      </c>
      <c r="X152" s="61">
        <f>W152/Table3.110[[#This Row],[DM Incubated, mg]]*100</f>
        <v>21.144753850533647</v>
      </c>
      <c r="Y152" s="37">
        <f>Table3.1[[#This Row],[DM Incubated, mg]]*'2.4 NDF'!R33/100</f>
        <v>282.09432262334241</v>
      </c>
      <c r="Z152" s="37">
        <f t="shared" si="10"/>
        <v>-88.505677376657502</v>
      </c>
      <c r="AA152" s="37">
        <f t="shared" si="11"/>
        <v>-31.374497917433075</v>
      </c>
      <c r="AB152" s="89"/>
    </row>
    <row r="153" spans="2:28" x14ac:dyDescent="0.35">
      <c r="B153" s="230">
        <f t="shared" si="8"/>
        <v>143</v>
      </c>
      <c r="C153" s="61">
        <v>45637</v>
      </c>
      <c r="D153" s="248">
        <f>Table3.110[[#This Row],[Date]]</f>
        <v>46043</v>
      </c>
      <c r="E153" s="230" t="str">
        <f>Table3.110[[#This Row],[Requisitioner]]</f>
        <v>Genbank</v>
      </c>
      <c r="F153" s="230" t="str">
        <f>Table3.110[[#This Row],[Gene Bank ID]]</f>
        <v>CIAT-23419</v>
      </c>
      <c r="G153" s="230" t="str">
        <f>Table3.110[[#This Row],[Genus]]</f>
        <v>Dendrolobium</v>
      </c>
      <c r="H153" s="230" t="str">
        <f>Table3.110[[#This Row],[Species]]</f>
        <v>triangulare</v>
      </c>
      <c r="I153" s="230" t="str">
        <f>Table3.110[[#This Row],[Tax Name]]</f>
        <v>Dendrolobium triangulare</v>
      </c>
      <c r="J153" s="230" t="str">
        <f>Table3.110[[#This Row],[Family]]</f>
        <v>Fabaceae</v>
      </c>
      <c r="K153" s="230" t="str">
        <f>Table3.110[[#This Row],[Order]]</f>
        <v>Fabales</v>
      </c>
      <c r="L153" s="230" t="str">
        <f>Table3.110[[#This Row],[Functional Group]]</f>
        <v>Tree</v>
      </c>
      <c r="M153" s="230" t="str">
        <f>Table3.110[[#This Row],[CIAT ID]]</f>
        <v>F251739</v>
      </c>
      <c r="N153" s="230">
        <f>Table3.110[[#This Row],[Set CIAT]]</f>
        <v>27</v>
      </c>
      <c r="O153" s="230">
        <f>Table3.110[[#This Row],[Batch]]</f>
        <v>59</v>
      </c>
      <c r="P153" s="230">
        <f>Table3.110[[#This Row],[Run]]</f>
        <v>2</v>
      </c>
      <c r="Q153" s="230">
        <f>Table3.110[[#This Row],[Replication]]</f>
        <v>3</v>
      </c>
      <c r="R153" s="230">
        <f>Table3.110[[#This Row],[Syrange No]]</f>
        <v>323</v>
      </c>
      <c r="S153" s="110">
        <v>0.57499999999999996</v>
      </c>
      <c r="T153" s="110">
        <v>0.95399999999999996</v>
      </c>
      <c r="U153" s="108"/>
      <c r="V153" s="254">
        <f t="shared" si="9"/>
        <v>0.379</v>
      </c>
      <c r="W153" s="61">
        <f>Table3.110[[#This Row],[DM Incubated, mg]]-('3.2 Digest'!V153*1000)</f>
        <v>90.975072169003568</v>
      </c>
      <c r="X153" s="61">
        <f>W153/Table3.110[[#This Row],[DM Incubated, mg]]*100</f>
        <v>19.357425011743778</v>
      </c>
      <c r="Y153" s="37">
        <f>Table3.1[[#This Row],[DM Incubated, mg]]*'2.4 NDF'!R33/100</f>
        <v>282.09432262334241</v>
      </c>
      <c r="Z153" s="37">
        <f t="shared" si="10"/>
        <v>-96.905677376657593</v>
      </c>
      <c r="AA153" s="37">
        <f t="shared" si="11"/>
        <v>-34.352225339198995</v>
      </c>
      <c r="AB153" s="89"/>
    </row>
    <row r="154" spans="2:28" x14ac:dyDescent="0.35">
      <c r="B154" s="230">
        <f t="shared" si="8"/>
        <v>144</v>
      </c>
      <c r="C154" s="61">
        <v>45637</v>
      </c>
      <c r="D154" s="248">
        <f>Table3.110[[#This Row],[Date]]</f>
        <v>46043</v>
      </c>
      <c r="E154" s="230" t="str">
        <f>Table3.110[[#This Row],[Requisitioner]]</f>
        <v>Genbank</v>
      </c>
      <c r="F154" s="230" t="str">
        <f>Table3.110[[#This Row],[Gene Bank ID]]</f>
        <v>CIAT-23422</v>
      </c>
      <c r="G154" s="230" t="str">
        <f>Table3.110[[#This Row],[Genus]]</f>
        <v>Dendrolobium</v>
      </c>
      <c r="H154" s="230" t="str">
        <f>Table3.110[[#This Row],[Species]]</f>
        <v>triangulare</v>
      </c>
      <c r="I154" s="230" t="str">
        <f>Table3.110[[#This Row],[Tax Name]]</f>
        <v>Dendrolobium triangulare</v>
      </c>
      <c r="J154" s="230" t="str">
        <f>Table3.110[[#This Row],[Family]]</f>
        <v>Fabaceae</v>
      </c>
      <c r="K154" s="230" t="str">
        <f>Table3.110[[#This Row],[Order]]</f>
        <v>Fabales</v>
      </c>
      <c r="L154" s="230" t="str">
        <f>Table3.110[[#This Row],[Functional Group]]</f>
        <v>Tree</v>
      </c>
      <c r="M154" s="230" t="str">
        <f>Table3.110[[#This Row],[CIAT ID]]</f>
        <v>F251740</v>
      </c>
      <c r="N154" s="230">
        <f>Table3.110[[#This Row],[Set CIAT]]</f>
        <v>27</v>
      </c>
      <c r="O154" s="230">
        <f>Table3.110[[#This Row],[Batch]]</f>
        <v>59</v>
      </c>
      <c r="P154" s="230">
        <f>Table3.110[[#This Row],[Run]]</f>
        <v>2</v>
      </c>
      <c r="Q154" s="230">
        <f>Table3.110[[#This Row],[Replication]]</f>
        <v>1</v>
      </c>
      <c r="R154" s="230">
        <f>Table3.110[[#This Row],[Syrange No]]</f>
        <v>324</v>
      </c>
      <c r="S154" s="265">
        <v>0.56000000000000005</v>
      </c>
      <c r="T154" s="265">
        <v>0.87890000000000001</v>
      </c>
      <c r="U154" s="108"/>
      <c r="V154" s="254">
        <f t="shared" si="9"/>
        <v>0.31889999999999996</v>
      </c>
      <c r="W154" s="61">
        <f>Table3.110[[#This Row],[DM Incubated, mg]]-('3.2 Digest'!V154*1000)</f>
        <v>140.66281825702055</v>
      </c>
      <c r="X154" s="61">
        <f>W154/Table3.110[[#This Row],[DM Incubated, mg]]*100</f>
        <v>30.60796319217274</v>
      </c>
      <c r="Y154" s="37">
        <f>Table3.1[[#This Row],[DM Incubated, mg]]*'2.4 NDF'!R35/100</f>
        <v>274.34318746317308</v>
      </c>
      <c r="Z154" s="37">
        <f t="shared" si="10"/>
        <v>-44.556812536826897</v>
      </c>
      <c r="AA154" s="37">
        <f t="shared" si="11"/>
        <v>-16.241268080625495</v>
      </c>
      <c r="AB154" s="89"/>
    </row>
    <row r="155" spans="2:28" x14ac:dyDescent="0.35">
      <c r="B155" s="230">
        <f t="shared" si="8"/>
        <v>145</v>
      </c>
      <c r="C155" s="61">
        <v>45637</v>
      </c>
      <c r="D155" s="248">
        <f>Table3.110[[#This Row],[Date]]</f>
        <v>46043</v>
      </c>
      <c r="E155" s="230" t="str">
        <f>Table3.110[[#This Row],[Requisitioner]]</f>
        <v>Genbank</v>
      </c>
      <c r="F155" s="230" t="str">
        <f>Table3.110[[#This Row],[Gene Bank ID]]</f>
        <v>CIAT-23422</v>
      </c>
      <c r="G155" s="230" t="str">
        <f>Table3.110[[#This Row],[Genus]]</f>
        <v>Dendrolobium</v>
      </c>
      <c r="H155" s="230" t="str">
        <f>Table3.110[[#This Row],[Species]]</f>
        <v>triangulare</v>
      </c>
      <c r="I155" s="230" t="str">
        <f>Table3.110[[#This Row],[Tax Name]]</f>
        <v>Dendrolobium triangulare</v>
      </c>
      <c r="J155" s="230" t="str">
        <f>Table3.110[[#This Row],[Family]]</f>
        <v>Fabaceae</v>
      </c>
      <c r="K155" s="230" t="str">
        <f>Table3.110[[#This Row],[Order]]</f>
        <v>Fabales</v>
      </c>
      <c r="L155" s="230" t="str">
        <f>Table3.110[[#This Row],[Functional Group]]</f>
        <v>Tree</v>
      </c>
      <c r="M155" s="230" t="str">
        <f>Table3.110[[#This Row],[CIAT ID]]</f>
        <v>F251740</v>
      </c>
      <c r="N155" s="230">
        <f>Table3.110[[#This Row],[Set CIAT]]</f>
        <v>27</v>
      </c>
      <c r="O155" s="230">
        <f>Table3.110[[#This Row],[Batch]]</f>
        <v>59</v>
      </c>
      <c r="P155" s="230">
        <f>Table3.110[[#This Row],[Run]]</f>
        <v>2</v>
      </c>
      <c r="Q155" s="230">
        <f>Table3.110[[#This Row],[Replication]]</f>
        <v>2</v>
      </c>
      <c r="R155" s="230">
        <f>Table3.110[[#This Row],[Syrange No]]</f>
        <v>325</v>
      </c>
      <c r="S155" s="110">
        <v>0.58289999999999997</v>
      </c>
      <c r="T155" s="110">
        <v>0.91110000000000002</v>
      </c>
      <c r="U155" s="108"/>
      <c r="V155" s="254">
        <f t="shared" si="9"/>
        <v>0.32820000000000005</v>
      </c>
      <c r="W155" s="61">
        <f>Table3.110[[#This Row],[DM Incubated, mg]]-('3.2 Digest'!V155*1000)</f>
        <v>131.0872459094748</v>
      </c>
      <c r="X155" s="61">
        <f>W155/Table3.110[[#This Row],[DM Incubated, mg]]*100</f>
        <v>28.541451363383164</v>
      </c>
      <c r="Y155" s="37">
        <f>Table3.1[[#This Row],[DM Incubated, mg]]*'2.4 NDF'!R35/100</f>
        <v>274.17868025502003</v>
      </c>
      <c r="Z155" s="37">
        <f t="shared" si="10"/>
        <v>-54.021319744980019</v>
      </c>
      <c r="AA155" s="37">
        <f t="shared" si="11"/>
        <v>-19.702961475609087</v>
      </c>
      <c r="AB155" s="89"/>
    </row>
    <row r="156" spans="2:28" x14ac:dyDescent="0.35">
      <c r="B156" s="230">
        <f t="shared" si="8"/>
        <v>146</v>
      </c>
      <c r="C156" s="61">
        <v>45637</v>
      </c>
      <c r="D156" s="248">
        <f>Table3.110[[#This Row],[Date]]</f>
        <v>46043</v>
      </c>
      <c r="E156" s="230" t="str">
        <f>Table3.110[[#This Row],[Requisitioner]]</f>
        <v>Genbank</v>
      </c>
      <c r="F156" s="230" t="str">
        <f>Table3.110[[#This Row],[Gene Bank ID]]</f>
        <v>CIAT-23422</v>
      </c>
      <c r="G156" s="230" t="str">
        <f>Table3.110[[#This Row],[Genus]]</f>
        <v>Dendrolobium</v>
      </c>
      <c r="H156" s="230" t="str">
        <f>Table3.110[[#This Row],[Species]]</f>
        <v>triangulare</v>
      </c>
      <c r="I156" s="230" t="str">
        <f>Table3.110[[#This Row],[Tax Name]]</f>
        <v>Dendrolobium triangulare</v>
      </c>
      <c r="J156" s="230" t="str">
        <f>Table3.110[[#This Row],[Family]]</f>
        <v>Fabaceae</v>
      </c>
      <c r="K156" s="230" t="str">
        <f>Table3.110[[#This Row],[Order]]</f>
        <v>Fabales</v>
      </c>
      <c r="L156" s="230" t="str">
        <f>Table3.110[[#This Row],[Functional Group]]</f>
        <v>Tree</v>
      </c>
      <c r="M156" s="230" t="str">
        <f>Table3.110[[#This Row],[CIAT ID]]</f>
        <v>F251740</v>
      </c>
      <c r="N156" s="230">
        <f>Table3.110[[#This Row],[Set CIAT]]</f>
        <v>27</v>
      </c>
      <c r="O156" s="230">
        <f>Table3.110[[#This Row],[Batch]]</f>
        <v>59</v>
      </c>
      <c r="P156" s="230">
        <f>Table3.110[[#This Row],[Run]]</f>
        <v>2</v>
      </c>
      <c r="Q156" s="230">
        <f>Table3.110[[#This Row],[Replication]]</f>
        <v>3</v>
      </c>
      <c r="R156" s="230">
        <f>Table3.110[[#This Row],[Syrange No]]</f>
        <v>326</v>
      </c>
      <c r="S156" s="265">
        <v>0.5625</v>
      </c>
      <c r="T156" s="265">
        <v>0.93889999999999996</v>
      </c>
      <c r="U156" s="108"/>
      <c r="V156" s="254">
        <f t="shared" si="9"/>
        <v>0.37639999999999996</v>
      </c>
      <c r="W156" s="61">
        <f>Table3.110[[#This Row],[DM Incubated, mg]]-('3.2 Digest'!V156*1000)</f>
        <v>82.887245909474871</v>
      </c>
      <c r="X156" s="61">
        <f>W156/Table3.110[[#This Row],[DM Incubated, mg]]*100</f>
        <v>18.046929595299904</v>
      </c>
      <c r="Y156" s="37">
        <f>Table3.1[[#This Row],[DM Incubated, mg]]*'2.4 NDF'!R35/100</f>
        <v>274.17868025502003</v>
      </c>
      <c r="Z156" s="37">
        <f t="shared" si="10"/>
        <v>-102.22131974497995</v>
      </c>
      <c r="AA156" s="37">
        <f t="shared" si="11"/>
        <v>-37.282738267578466</v>
      </c>
      <c r="AB156" s="89"/>
    </row>
    <row r="157" spans="2:28" x14ac:dyDescent="0.35">
      <c r="B157" s="230">
        <f t="shared" si="8"/>
        <v>147</v>
      </c>
      <c r="C157" s="61">
        <v>45637</v>
      </c>
      <c r="D157" s="248">
        <f>Table3.110[[#This Row],[Date]]</f>
        <v>46043</v>
      </c>
      <c r="E157" s="230" t="str">
        <f>Table3.110[[#This Row],[Requisitioner]]</f>
        <v>Genbank</v>
      </c>
      <c r="F157" s="230" t="str">
        <f>Table3.110[[#This Row],[Gene Bank ID]]</f>
        <v>CIAT-23734</v>
      </c>
      <c r="G157" s="230" t="str">
        <f>Table3.110[[#This Row],[Genus]]</f>
        <v>Dendrolobium</v>
      </c>
      <c r="H157" s="230" t="str">
        <f>Table3.110[[#This Row],[Species]]</f>
        <v>triangulare</v>
      </c>
      <c r="I157" s="230" t="str">
        <f>Table3.110[[#This Row],[Tax Name]]</f>
        <v>Dendrolobium triangulare</v>
      </c>
      <c r="J157" s="230" t="str">
        <f>Table3.110[[#This Row],[Family]]</f>
        <v>Fabaceae</v>
      </c>
      <c r="K157" s="230" t="str">
        <f>Table3.110[[#This Row],[Order]]</f>
        <v>Fabales</v>
      </c>
      <c r="L157" s="230" t="str">
        <f>Table3.110[[#This Row],[Functional Group]]</f>
        <v>Tree</v>
      </c>
      <c r="M157" s="230" t="str">
        <f>Table3.110[[#This Row],[CIAT ID]]</f>
        <v>F251741</v>
      </c>
      <c r="N157" s="230">
        <f>Table3.110[[#This Row],[Set CIAT]]</f>
        <v>27</v>
      </c>
      <c r="O157" s="230">
        <f>Table3.110[[#This Row],[Batch]]</f>
        <v>59</v>
      </c>
      <c r="P157" s="230">
        <f>Table3.110[[#This Row],[Run]]</f>
        <v>2</v>
      </c>
      <c r="Q157" s="230">
        <f>Table3.110[[#This Row],[Replication]]</f>
        <v>1</v>
      </c>
      <c r="R157" s="230">
        <f>Table3.110[[#This Row],[Syrange No]]</f>
        <v>327</v>
      </c>
      <c r="S157" s="110">
        <v>0.55589999999999995</v>
      </c>
      <c r="T157" s="110">
        <v>0.88929999999999998</v>
      </c>
      <c r="U157" s="108"/>
      <c r="V157" s="254">
        <f t="shared" si="9"/>
        <v>0.33340000000000003</v>
      </c>
      <c r="W157" s="61">
        <f>Table3.110[[#This Row],[DM Incubated, mg]]-('3.2 Digest'!V157*1000)</f>
        <v>140.53409289282035</v>
      </c>
      <c r="X157" s="61">
        <f>W157/Table3.110[[#This Row],[DM Incubated, mg]]*100</f>
        <v>29.652665845375669</v>
      </c>
      <c r="Y157" s="37">
        <f>Table3.1[[#This Row],[DM Incubated, mg]]*'2.4 NDF'!R37/100</f>
        <v>282.94655367305302</v>
      </c>
      <c r="Z157" s="37">
        <f t="shared" si="10"/>
        <v>-50.453446326947017</v>
      </c>
      <c r="AA157" s="37">
        <f t="shared" si="11"/>
        <v>-17.831440486547283</v>
      </c>
      <c r="AB157" s="89"/>
    </row>
    <row r="158" spans="2:28" x14ac:dyDescent="0.35">
      <c r="B158" s="230">
        <f t="shared" si="8"/>
        <v>148</v>
      </c>
      <c r="C158" s="61">
        <v>45637</v>
      </c>
      <c r="D158" s="248">
        <f>Table3.110[[#This Row],[Date]]</f>
        <v>46043</v>
      </c>
      <c r="E158" s="230" t="str">
        <f>Table3.110[[#This Row],[Requisitioner]]</f>
        <v>Genbank</v>
      </c>
      <c r="F158" s="230" t="str">
        <f>Table3.110[[#This Row],[Gene Bank ID]]</f>
        <v>CIAT-23734</v>
      </c>
      <c r="G158" s="230" t="str">
        <f>Table3.110[[#This Row],[Genus]]</f>
        <v>Dendrolobium</v>
      </c>
      <c r="H158" s="230" t="str">
        <f>Table3.110[[#This Row],[Species]]</f>
        <v>triangulare</v>
      </c>
      <c r="I158" s="230" t="str">
        <f>Table3.110[[#This Row],[Tax Name]]</f>
        <v>Dendrolobium triangulare</v>
      </c>
      <c r="J158" s="230" t="str">
        <f>Table3.110[[#This Row],[Family]]</f>
        <v>Fabaceae</v>
      </c>
      <c r="K158" s="230" t="str">
        <f>Table3.110[[#This Row],[Order]]</f>
        <v>Fabales</v>
      </c>
      <c r="L158" s="230" t="str">
        <f>Table3.110[[#This Row],[Functional Group]]</f>
        <v>Tree</v>
      </c>
      <c r="M158" s="230" t="str">
        <f>Table3.110[[#This Row],[CIAT ID]]</f>
        <v>F251741</v>
      </c>
      <c r="N158" s="230">
        <f>Table3.110[[#This Row],[Set CIAT]]</f>
        <v>27</v>
      </c>
      <c r="O158" s="230">
        <f>Table3.110[[#This Row],[Batch]]</f>
        <v>59</v>
      </c>
      <c r="P158" s="230">
        <f>Table3.110[[#This Row],[Run]]</f>
        <v>2</v>
      </c>
      <c r="Q158" s="230">
        <f>Table3.110[[#This Row],[Replication]]</f>
        <v>2</v>
      </c>
      <c r="R158" s="230">
        <f>Table3.110[[#This Row],[Syrange No]]</f>
        <v>328</v>
      </c>
      <c r="S158" s="265">
        <v>0.58760000000000001</v>
      </c>
      <c r="T158" s="265">
        <v>0.84960000000000002</v>
      </c>
      <c r="U158" s="108"/>
      <c r="V158" s="254">
        <f t="shared" si="9"/>
        <v>0.26200000000000001</v>
      </c>
      <c r="W158" s="61">
        <f>Table3.110[[#This Row],[DM Incubated, mg]]-('3.2 Digest'!V158*1000)</f>
        <v>211.55524869386534</v>
      </c>
      <c r="X158" s="61">
        <f>W158/Table3.110[[#This Row],[DM Incubated, mg]]*100</f>
        <v>44.673826185511757</v>
      </c>
      <c r="Y158" s="37">
        <f>Table3.1[[#This Row],[DM Incubated, mg]]*'2.4 NDF'!R37/100</f>
        <v>282.72037737115608</v>
      </c>
      <c r="Z158" s="37">
        <f t="shared" si="10"/>
        <v>20.720377371156076</v>
      </c>
      <c r="AA158" s="37">
        <f t="shared" si="11"/>
        <v>7.3289295818795219</v>
      </c>
      <c r="AB158" s="89"/>
    </row>
    <row r="159" spans="2:28" x14ac:dyDescent="0.35">
      <c r="B159" s="230">
        <f t="shared" si="8"/>
        <v>149</v>
      </c>
      <c r="C159" s="61">
        <v>45637</v>
      </c>
      <c r="D159" s="248">
        <f>Table3.110[[#This Row],[Date]]</f>
        <v>46043</v>
      </c>
      <c r="E159" s="230" t="str">
        <f>Table3.110[[#This Row],[Requisitioner]]</f>
        <v>Genbank</v>
      </c>
      <c r="F159" s="230" t="str">
        <f>Table3.110[[#This Row],[Gene Bank ID]]</f>
        <v>CIAT-23734</v>
      </c>
      <c r="G159" s="230" t="str">
        <f>Table3.110[[#This Row],[Genus]]</f>
        <v>Dendrolobium</v>
      </c>
      <c r="H159" s="230" t="str">
        <f>Table3.110[[#This Row],[Species]]</f>
        <v>triangulare</v>
      </c>
      <c r="I159" s="230" t="str">
        <f>Table3.110[[#This Row],[Tax Name]]</f>
        <v>Dendrolobium triangulare</v>
      </c>
      <c r="J159" s="230" t="str">
        <f>Table3.110[[#This Row],[Family]]</f>
        <v>Fabaceae</v>
      </c>
      <c r="K159" s="230" t="str">
        <f>Table3.110[[#This Row],[Order]]</f>
        <v>Fabales</v>
      </c>
      <c r="L159" s="230" t="str">
        <f>Table3.110[[#This Row],[Functional Group]]</f>
        <v>Tree</v>
      </c>
      <c r="M159" s="230" t="str">
        <f>Table3.110[[#This Row],[CIAT ID]]</f>
        <v>F251741</v>
      </c>
      <c r="N159" s="230">
        <f>Table3.110[[#This Row],[Set CIAT]]</f>
        <v>27</v>
      </c>
      <c r="O159" s="230">
        <f>Table3.110[[#This Row],[Batch]]</f>
        <v>59</v>
      </c>
      <c r="P159" s="230">
        <f>Table3.110[[#This Row],[Run]]</f>
        <v>2</v>
      </c>
      <c r="Q159" s="230">
        <f>Table3.110[[#This Row],[Replication]]</f>
        <v>3</v>
      </c>
      <c r="R159" s="230">
        <f>Table3.110[[#This Row],[Syrange No]]</f>
        <v>329</v>
      </c>
      <c r="S159" s="110">
        <v>0.57979999999999998</v>
      </c>
      <c r="T159" s="110">
        <v>0.90429999999999999</v>
      </c>
      <c r="U159" s="108"/>
      <c r="V159" s="254">
        <f t="shared" si="9"/>
        <v>0.32450000000000001</v>
      </c>
      <c r="W159" s="61">
        <f>Table3.110[[#This Row],[DM Incubated, mg]]-('3.2 Digest'!V159*1000)</f>
        <v>149.52880394255914</v>
      </c>
      <c r="X159" s="61">
        <f>W159/Table3.110[[#This Row],[DM Incubated, mg]]*100</f>
        <v>31.544244294631181</v>
      </c>
      <c r="Y159" s="37">
        <f>Table3.1[[#This Row],[DM Incubated, mg]]*'2.4 NDF'!R37/100</f>
        <v>283.00309774852724</v>
      </c>
      <c r="Z159" s="37">
        <f t="shared" si="10"/>
        <v>-41.496902251472761</v>
      </c>
      <c r="AA159" s="37">
        <f t="shared" si="11"/>
        <v>-14.663055839885667</v>
      </c>
      <c r="AB159" s="89"/>
    </row>
    <row r="160" spans="2:28" x14ac:dyDescent="0.35">
      <c r="B160" s="230">
        <f t="shared" si="8"/>
        <v>150</v>
      </c>
      <c r="C160" s="61">
        <v>45637</v>
      </c>
      <c r="D160" s="248">
        <f>Table3.110[[#This Row],[Date]]</f>
        <v>46043</v>
      </c>
      <c r="E160" s="230" t="str">
        <f>Table3.110[[#This Row],[Requisitioner]]</f>
        <v>Genbank</v>
      </c>
      <c r="F160" s="230" t="str">
        <f>Table3.110[[#This Row],[Gene Bank ID]]</f>
        <v>CIAT-23932</v>
      </c>
      <c r="G160" s="230" t="str">
        <f>Table3.110[[#This Row],[Genus]]</f>
        <v>Dendrolobium</v>
      </c>
      <c r="H160" s="230" t="str">
        <f>Table3.110[[#This Row],[Species]]</f>
        <v>triangulare</v>
      </c>
      <c r="I160" s="230" t="str">
        <f>Table3.110[[#This Row],[Tax Name]]</f>
        <v>Dendrolobium triangulare</v>
      </c>
      <c r="J160" s="230" t="str">
        <f>Table3.110[[#This Row],[Family]]</f>
        <v>Fabaceae</v>
      </c>
      <c r="K160" s="230" t="str">
        <f>Table3.110[[#This Row],[Order]]</f>
        <v>Fabales</v>
      </c>
      <c r="L160" s="230" t="str">
        <f>Table3.110[[#This Row],[Functional Group]]</f>
        <v>Tree</v>
      </c>
      <c r="M160" s="230" t="str">
        <f>Table3.110[[#This Row],[CIAT ID]]</f>
        <v>F251742</v>
      </c>
      <c r="N160" s="230">
        <f>Table3.110[[#This Row],[Set CIAT]]</f>
        <v>27</v>
      </c>
      <c r="O160" s="230">
        <f>Table3.110[[#This Row],[Batch]]</f>
        <v>59</v>
      </c>
      <c r="P160" s="230">
        <f>Table3.110[[#This Row],[Run]]</f>
        <v>2</v>
      </c>
      <c r="Q160" s="230">
        <f>Table3.110[[#This Row],[Replication]]</f>
        <v>1</v>
      </c>
      <c r="R160" s="230">
        <f>Table3.110[[#This Row],[Syrange No]]</f>
        <v>330</v>
      </c>
      <c r="S160" s="265">
        <v>0.58650000000000002</v>
      </c>
      <c r="T160" s="265">
        <v>0.94810000000000005</v>
      </c>
      <c r="U160" s="108"/>
      <c r="V160" s="254">
        <f t="shared" si="9"/>
        <v>0.36160000000000003</v>
      </c>
      <c r="W160" s="61">
        <f>Table3.110[[#This Row],[DM Incubated, mg]]-('3.2 Digest'!V160*1000)</f>
        <v>114.00975609756057</v>
      </c>
      <c r="X160" s="61">
        <f>W160/Table3.110[[#This Row],[DM Incubated, mg]]*100</f>
        <v>23.971282051281985</v>
      </c>
      <c r="Y160" s="37">
        <f>Table3.1[[#This Row],[DM Incubated, mg]]*'2.4 NDF'!R39/100</f>
        <v>282.66608094755173</v>
      </c>
      <c r="Z160" s="37">
        <f t="shared" si="10"/>
        <v>-78.933919052448289</v>
      </c>
      <c r="AA160" s="37">
        <f t="shared" si="11"/>
        <v>-27.924793377347019</v>
      </c>
      <c r="AB160" s="89"/>
    </row>
    <row r="161" spans="2:28" x14ac:dyDescent="0.35">
      <c r="B161" s="230">
        <f t="shared" si="8"/>
        <v>151</v>
      </c>
      <c r="C161" s="61">
        <v>45637</v>
      </c>
      <c r="D161" s="248">
        <f>Table3.110[[#This Row],[Date]]</f>
        <v>46043</v>
      </c>
      <c r="E161" s="230" t="str">
        <f>Table3.110[[#This Row],[Requisitioner]]</f>
        <v>Genbank</v>
      </c>
      <c r="F161" s="230" t="str">
        <f>Table3.110[[#This Row],[Gene Bank ID]]</f>
        <v>CIAT-23932</v>
      </c>
      <c r="G161" s="230" t="str">
        <f>Table3.110[[#This Row],[Genus]]</f>
        <v>Dendrolobium</v>
      </c>
      <c r="H161" s="230" t="str">
        <f>Table3.110[[#This Row],[Species]]</f>
        <v>triangulare</v>
      </c>
      <c r="I161" s="230" t="str">
        <f>Table3.110[[#This Row],[Tax Name]]</f>
        <v>Dendrolobium triangulare</v>
      </c>
      <c r="J161" s="230" t="str">
        <f>Table3.110[[#This Row],[Family]]</f>
        <v>Fabaceae</v>
      </c>
      <c r="K161" s="230" t="str">
        <f>Table3.110[[#This Row],[Order]]</f>
        <v>Fabales</v>
      </c>
      <c r="L161" s="230" t="str">
        <f>Table3.110[[#This Row],[Functional Group]]</f>
        <v>Tree</v>
      </c>
      <c r="M161" s="230" t="str">
        <f>Table3.110[[#This Row],[CIAT ID]]</f>
        <v>F251742</v>
      </c>
      <c r="N161" s="230">
        <f>Table3.110[[#This Row],[Set CIAT]]</f>
        <v>27</v>
      </c>
      <c r="O161" s="230">
        <f>Table3.110[[#This Row],[Batch]]</f>
        <v>59</v>
      </c>
      <c r="P161" s="230">
        <f>Table3.110[[#This Row],[Run]]</f>
        <v>2</v>
      </c>
      <c r="Q161" s="230">
        <f>Table3.110[[#This Row],[Replication]]</f>
        <v>2</v>
      </c>
      <c r="R161" s="230">
        <f>Table3.110[[#This Row],[Syrange No]]</f>
        <v>331</v>
      </c>
      <c r="S161" s="110">
        <v>0.56320000000000003</v>
      </c>
      <c r="T161" s="110">
        <v>0.90739999999999998</v>
      </c>
      <c r="U161" s="108"/>
      <c r="V161" s="254">
        <f t="shared" si="9"/>
        <v>0.34419999999999995</v>
      </c>
      <c r="W161" s="61">
        <f>Table3.110[[#This Row],[DM Incubated, mg]]-('3.2 Digest'!V161*1000)</f>
        <v>131.50487804878009</v>
      </c>
      <c r="X161" s="61">
        <f>W161/Table3.110[[#This Row],[DM Incubated, mg]]*100</f>
        <v>27.644214746794169</v>
      </c>
      <c r="Y161" s="37">
        <f>Table3.1[[#This Row],[DM Incubated, mg]]*'2.4 NDF'!R39/100</f>
        <v>282.72261416374124</v>
      </c>
      <c r="Z161" s="37">
        <f t="shared" si="10"/>
        <v>-61.477385836258691</v>
      </c>
      <c r="AA161" s="37">
        <f t="shared" si="11"/>
        <v>-21.744771290440013</v>
      </c>
      <c r="AB161" s="89"/>
    </row>
    <row r="162" spans="2:28" x14ac:dyDescent="0.35">
      <c r="B162" s="230">
        <f t="shared" si="8"/>
        <v>152</v>
      </c>
      <c r="C162" s="61">
        <v>45637</v>
      </c>
      <c r="D162" s="248">
        <f>Table3.110[[#This Row],[Date]]</f>
        <v>46043</v>
      </c>
      <c r="E162" s="230" t="str">
        <f>Table3.110[[#This Row],[Requisitioner]]</f>
        <v>Genbank</v>
      </c>
      <c r="F162" s="230" t="str">
        <f>Table3.110[[#This Row],[Gene Bank ID]]</f>
        <v>CIAT-23932</v>
      </c>
      <c r="G162" s="230" t="str">
        <f>Table3.110[[#This Row],[Genus]]</f>
        <v>Dendrolobium</v>
      </c>
      <c r="H162" s="230" t="str">
        <f>Table3.110[[#This Row],[Species]]</f>
        <v>triangulare</v>
      </c>
      <c r="I162" s="230" t="str">
        <f>Table3.110[[#This Row],[Tax Name]]</f>
        <v>Dendrolobium triangulare</v>
      </c>
      <c r="J162" s="230" t="str">
        <f>Table3.110[[#This Row],[Family]]</f>
        <v>Fabaceae</v>
      </c>
      <c r="K162" s="230" t="str">
        <f>Table3.110[[#This Row],[Order]]</f>
        <v>Fabales</v>
      </c>
      <c r="L162" s="230" t="str">
        <f>Table3.110[[#This Row],[Functional Group]]</f>
        <v>Tree</v>
      </c>
      <c r="M162" s="230" t="str">
        <f>Table3.110[[#This Row],[CIAT ID]]</f>
        <v>F251742</v>
      </c>
      <c r="N162" s="230">
        <f>Table3.110[[#This Row],[Set CIAT]]</f>
        <v>27</v>
      </c>
      <c r="O162" s="230">
        <f>Table3.110[[#This Row],[Batch]]</f>
        <v>59</v>
      </c>
      <c r="P162" s="230">
        <f>Table3.110[[#This Row],[Run]]</f>
        <v>2</v>
      </c>
      <c r="Q162" s="230">
        <f>Table3.110[[#This Row],[Replication]]</f>
        <v>3</v>
      </c>
      <c r="R162" s="230">
        <f>Table3.110[[#This Row],[Syrange No]]</f>
        <v>332</v>
      </c>
      <c r="S162" s="265">
        <v>0.60499999999999998</v>
      </c>
      <c r="T162" s="265">
        <v>0.92659999999999998</v>
      </c>
      <c r="U162" s="108"/>
      <c r="V162" s="254">
        <f t="shared" si="9"/>
        <v>0.3216</v>
      </c>
      <c r="W162" s="61">
        <f>Table3.110[[#This Row],[DM Incubated, mg]]-('3.2 Digest'!V162*1000)</f>
        <v>154.29512195121907</v>
      </c>
      <c r="X162" s="61">
        <f>W162/Table3.110[[#This Row],[DM Incubated, mg]]*100</f>
        <v>32.422085210412149</v>
      </c>
      <c r="Y162" s="37">
        <f>Table3.1[[#This Row],[DM Incubated, mg]]*'2.4 NDF'!R39/100</f>
        <v>282.83568059612026</v>
      </c>
      <c r="Z162" s="37">
        <f t="shared" si="10"/>
        <v>-38.764319403879767</v>
      </c>
      <c r="AA162" s="37">
        <f t="shared" si="11"/>
        <v>-13.705597300233805</v>
      </c>
      <c r="AB162" s="89"/>
    </row>
    <row r="163" spans="2:28" x14ac:dyDescent="0.35">
      <c r="B163" s="230">
        <f t="shared" si="8"/>
        <v>153</v>
      </c>
      <c r="C163" s="61">
        <v>45637</v>
      </c>
      <c r="D163" s="248">
        <f>Table3.110[[#This Row],[Date]]</f>
        <v>46043</v>
      </c>
      <c r="E163" s="230" t="str">
        <f>Table3.110[[#This Row],[Requisitioner]]</f>
        <v>Genbank</v>
      </c>
      <c r="F163" s="230" t="str">
        <f>Table3.110[[#This Row],[Gene Bank ID]]</f>
        <v>CIAT-23933</v>
      </c>
      <c r="G163" s="230" t="str">
        <f>Table3.110[[#This Row],[Genus]]</f>
        <v>Dendrolobium</v>
      </c>
      <c r="H163" s="230" t="str">
        <f>Table3.110[[#This Row],[Species]]</f>
        <v>triangulare</v>
      </c>
      <c r="I163" s="230" t="str">
        <f>Table3.110[[#This Row],[Tax Name]]</f>
        <v>Dendrolobium triangulare</v>
      </c>
      <c r="J163" s="230" t="str">
        <f>Table3.110[[#This Row],[Family]]</f>
        <v>Fabaceae</v>
      </c>
      <c r="K163" s="230" t="str">
        <f>Table3.110[[#This Row],[Order]]</f>
        <v>Fabales</v>
      </c>
      <c r="L163" s="230" t="str">
        <f>Table3.110[[#This Row],[Functional Group]]</f>
        <v>Tree</v>
      </c>
      <c r="M163" s="230" t="str">
        <f>Table3.110[[#This Row],[CIAT ID]]</f>
        <v>F251743</v>
      </c>
      <c r="N163" s="230">
        <f>Table3.110[[#This Row],[Set CIAT]]</f>
        <v>27</v>
      </c>
      <c r="O163" s="230">
        <f>Table3.110[[#This Row],[Batch]]</f>
        <v>59</v>
      </c>
      <c r="P163" s="230">
        <f>Table3.110[[#This Row],[Run]]</f>
        <v>2</v>
      </c>
      <c r="Q163" s="230">
        <f>Table3.110[[#This Row],[Replication]]</f>
        <v>1</v>
      </c>
      <c r="R163" s="230">
        <f>Table3.110[[#This Row],[Syrange No]]</f>
        <v>1</v>
      </c>
      <c r="S163" s="110">
        <v>0.61509999999999998</v>
      </c>
      <c r="T163" s="110">
        <v>0.94699999999999995</v>
      </c>
      <c r="U163" s="108"/>
      <c r="V163" s="254">
        <f t="shared" si="9"/>
        <v>0.33189999999999997</v>
      </c>
      <c r="W163" s="61">
        <f>Table3.110[[#This Row],[DM Incubated, mg]]-('3.2 Digest'!V163*1000)</f>
        <v>137.08112343719159</v>
      </c>
      <c r="X163" s="61">
        <f>W163/Table3.110[[#This Row],[DM Incubated, mg]]*100</f>
        <v>29.229560975187141</v>
      </c>
      <c r="Y163" s="37">
        <f>Table3.1[[#This Row],[DM Incubated, mg]]*'2.4 NDF'!R41/100</f>
        <v>301.87962550826842</v>
      </c>
      <c r="Z163" s="37">
        <f t="shared" si="10"/>
        <v>-30.020374491731559</v>
      </c>
      <c r="AA163" s="37">
        <f t="shared" si="11"/>
        <v>-9.9444851374738796</v>
      </c>
      <c r="AB163" s="89" t="s">
        <v>546</v>
      </c>
    </row>
    <row r="164" spans="2:28" x14ac:dyDescent="0.35">
      <c r="B164" s="230">
        <f t="shared" si="8"/>
        <v>154</v>
      </c>
      <c r="C164" s="61" t="s">
        <v>686</v>
      </c>
      <c r="D164" s="248">
        <f>Table3.110[[#This Row],[Date]]</f>
        <v>46043</v>
      </c>
      <c r="E164" s="230" t="str">
        <f>Table3.110[[#This Row],[Requisitioner]]</f>
        <v>Genbank</v>
      </c>
      <c r="F164" s="230" t="str">
        <f>Table3.110[[#This Row],[Gene Bank ID]]</f>
        <v>CIAT-23933</v>
      </c>
      <c r="G164" s="230" t="str">
        <f>Table3.110[[#This Row],[Genus]]</f>
        <v>Dendrolobium</v>
      </c>
      <c r="H164" s="230" t="str">
        <f>Table3.110[[#This Row],[Species]]</f>
        <v>triangulare</v>
      </c>
      <c r="I164" s="230" t="str">
        <f>Table3.110[[#This Row],[Tax Name]]</f>
        <v>Dendrolobium triangulare</v>
      </c>
      <c r="J164" s="230" t="str">
        <f>Table3.110[[#This Row],[Family]]</f>
        <v>Fabaceae</v>
      </c>
      <c r="K164" s="230" t="str">
        <f>Table3.110[[#This Row],[Order]]</f>
        <v>Fabales</v>
      </c>
      <c r="L164" s="230" t="str">
        <f>Table3.110[[#This Row],[Functional Group]]</f>
        <v>Tree</v>
      </c>
      <c r="M164" s="230" t="str">
        <f>Table3.110[[#This Row],[CIAT ID]]</f>
        <v>F251743</v>
      </c>
      <c r="N164" s="230">
        <f>Table3.110[[#This Row],[Set CIAT]]</f>
        <v>27</v>
      </c>
      <c r="O164" s="230">
        <f>Table3.110[[#This Row],[Batch]]</f>
        <v>59</v>
      </c>
      <c r="P164" s="230">
        <f>Table3.110[[#This Row],[Run]]</f>
        <v>2</v>
      </c>
      <c r="Q164" s="230">
        <f>Table3.110[[#This Row],[Replication]]</f>
        <v>2</v>
      </c>
      <c r="R164" s="230">
        <f>Table3.110[[#This Row],[Syrange No]]</f>
        <v>2</v>
      </c>
      <c r="S164" s="265">
        <v>0.58240000000000003</v>
      </c>
      <c r="T164" s="265">
        <v>0.95499999999999996</v>
      </c>
      <c r="U164" s="108"/>
      <c r="V164" s="254">
        <f t="shared" si="9"/>
        <v>0.37259999999999993</v>
      </c>
      <c r="W164" s="61">
        <f>Table3.110[[#This Row],[DM Incubated, mg]]-('3.2 Digest'!V164*1000)</f>
        <v>96.474844684880907</v>
      </c>
      <c r="X164" s="61">
        <f>W164/Table3.110[[#This Row],[DM Incubated, mg]]*100</f>
        <v>20.56704719471615</v>
      </c>
      <c r="Y164" s="37">
        <f>Table3.1[[#This Row],[DM Incubated, mg]]*'2.4 NDF'!R41/100</f>
        <v>301.93995317123967</v>
      </c>
      <c r="Z164" s="37">
        <f t="shared" si="10"/>
        <v>-70.660046828760244</v>
      </c>
      <c r="AA164" s="37">
        <f t="shared" si="11"/>
        <v>-23.402019536211132</v>
      </c>
      <c r="AB164" s="89"/>
    </row>
    <row r="165" spans="2:28" x14ac:dyDescent="0.35">
      <c r="B165" s="230">
        <f t="shared" si="8"/>
        <v>155</v>
      </c>
      <c r="C165" s="61" t="s">
        <v>686</v>
      </c>
      <c r="D165" s="248">
        <f>Table3.110[[#This Row],[Date]]</f>
        <v>46043</v>
      </c>
      <c r="E165" s="230" t="str">
        <f>Table3.110[[#This Row],[Requisitioner]]</f>
        <v>Genbank</v>
      </c>
      <c r="F165" s="230" t="str">
        <f>Table3.110[[#This Row],[Gene Bank ID]]</f>
        <v>CIAT-23933</v>
      </c>
      <c r="G165" s="230" t="str">
        <f>Table3.110[[#This Row],[Genus]]</f>
        <v>Dendrolobium</v>
      </c>
      <c r="H165" s="230" t="str">
        <f>Table3.110[[#This Row],[Species]]</f>
        <v>triangulare</v>
      </c>
      <c r="I165" s="230" t="str">
        <f>Table3.110[[#This Row],[Tax Name]]</f>
        <v>Dendrolobium triangulare</v>
      </c>
      <c r="J165" s="230" t="str">
        <f>Table3.110[[#This Row],[Family]]</f>
        <v>Fabaceae</v>
      </c>
      <c r="K165" s="230" t="str">
        <f>Table3.110[[#This Row],[Order]]</f>
        <v>Fabales</v>
      </c>
      <c r="L165" s="230" t="str">
        <f>Table3.110[[#This Row],[Functional Group]]</f>
        <v>Tree</v>
      </c>
      <c r="M165" s="230" t="str">
        <f>Table3.110[[#This Row],[CIAT ID]]</f>
        <v>F251743</v>
      </c>
      <c r="N165" s="230">
        <f>Table3.110[[#This Row],[Set CIAT]]</f>
        <v>27</v>
      </c>
      <c r="O165" s="230">
        <f>Table3.110[[#This Row],[Batch]]</f>
        <v>59</v>
      </c>
      <c r="P165" s="230">
        <f>Table3.110[[#This Row],[Run]]</f>
        <v>2</v>
      </c>
      <c r="Q165" s="230">
        <f>Table3.110[[#This Row],[Replication]]</f>
        <v>3</v>
      </c>
      <c r="R165" s="230">
        <f>Table3.110[[#This Row],[Syrange No]]</f>
        <v>3</v>
      </c>
      <c r="S165" s="110">
        <v>0.57650000000000001</v>
      </c>
      <c r="T165" s="110"/>
      <c r="U165" s="108"/>
      <c r="V165" s="254"/>
      <c r="W165" s="61"/>
      <c r="X165" s="61"/>
      <c r="Y165" s="37"/>
      <c r="Z165" s="37"/>
      <c r="AA165" s="37"/>
      <c r="AB165" s="89"/>
    </row>
    <row r="166" spans="2:28" x14ac:dyDescent="0.35">
      <c r="B166" s="230">
        <f t="shared" si="8"/>
        <v>156</v>
      </c>
      <c r="C166" s="61" t="s">
        <v>686</v>
      </c>
      <c r="D166" s="248">
        <f>Table3.110[[#This Row],[Date]]</f>
        <v>46043</v>
      </c>
      <c r="E166" s="230">
        <f>Table3.110[[#This Row],[Requisitioner]]</f>
        <v>0</v>
      </c>
      <c r="F166" s="230" t="str">
        <f>Table3.110[[#This Row],[Gene Bank ID]]</f>
        <v>BLANK 8H</v>
      </c>
      <c r="G166" s="230" t="str">
        <f>Table3.110[[#This Row],[Genus]]</f>
        <v>BLANK</v>
      </c>
      <c r="H166" s="230" t="str">
        <f>Table3.110[[#This Row],[Species]]</f>
        <v>8H</v>
      </c>
      <c r="I166" s="230" t="str">
        <f>Table3.110[[#This Row],[Tax Name]]</f>
        <v>BLANK 8H</v>
      </c>
      <c r="J166" s="230">
        <f>Table3.110[[#This Row],[Family]]</f>
        <v>0</v>
      </c>
      <c r="K166" s="230">
        <f>Table3.110[[#This Row],[Order]]</f>
        <v>0</v>
      </c>
      <c r="L166" s="230">
        <f>Table3.110[[#This Row],[Functional Group]]</f>
        <v>0</v>
      </c>
      <c r="M166" s="230" t="str">
        <f>Table3.110[[#This Row],[CIAT ID]]</f>
        <v>BLANK8H</v>
      </c>
      <c r="N166" s="230">
        <f>Table3.110[[#This Row],[Set CIAT]]</f>
        <v>27</v>
      </c>
      <c r="O166" s="230">
        <f>Table3.110[[#This Row],[Batch]]</f>
        <v>59</v>
      </c>
      <c r="P166" s="230">
        <f>Table3.110[[#This Row],[Run]]</f>
        <v>2</v>
      </c>
      <c r="Q166" s="230">
        <f>Table3.110[[#This Row],[Replication]]</f>
        <v>1</v>
      </c>
      <c r="R166" s="230">
        <f>Table3.110[[#This Row],[Syrange No]]</f>
        <v>4</v>
      </c>
      <c r="S166" s="263"/>
      <c r="T166" s="263"/>
      <c r="U166" s="108"/>
      <c r="V166" s="254"/>
      <c r="W166" s="61"/>
      <c r="X166" s="61"/>
      <c r="Y166" s="37"/>
      <c r="Z166" s="37"/>
      <c r="AA166" s="37"/>
      <c r="AB166" s="89"/>
    </row>
    <row r="167" spans="2:28" x14ac:dyDescent="0.35">
      <c r="B167" s="230">
        <f t="shared" si="8"/>
        <v>157</v>
      </c>
      <c r="C167" s="61" t="s">
        <v>686</v>
      </c>
      <c r="D167" s="248">
        <f>Table3.110[[#This Row],[Date]]</f>
        <v>46043</v>
      </c>
      <c r="E167" s="230">
        <f>Table3.110[[#This Row],[Requisitioner]]</f>
        <v>0</v>
      </c>
      <c r="F167" s="230" t="str">
        <f>Table3.110[[#This Row],[Gene Bank ID]]</f>
        <v>BLANK 8H</v>
      </c>
      <c r="G167" s="230" t="str">
        <f>Table3.110[[#This Row],[Genus]]</f>
        <v>BLANK</v>
      </c>
      <c r="H167" s="230" t="str">
        <f>Table3.110[[#This Row],[Species]]</f>
        <v>8H</v>
      </c>
      <c r="I167" s="230" t="str">
        <f>Table3.110[[#This Row],[Tax Name]]</f>
        <v>BLANK 8H</v>
      </c>
      <c r="J167" s="230">
        <f>Table3.110[[#This Row],[Family]]</f>
        <v>0</v>
      </c>
      <c r="K167" s="230">
        <f>Table3.110[[#This Row],[Order]]</f>
        <v>0</v>
      </c>
      <c r="L167" s="230">
        <f>Table3.110[[#This Row],[Functional Group]]</f>
        <v>0</v>
      </c>
      <c r="M167" s="230" t="str">
        <f>Table3.110[[#This Row],[CIAT ID]]</f>
        <v>BLANK8H</v>
      </c>
      <c r="N167" s="230">
        <f>Table3.110[[#This Row],[Set CIAT]]</f>
        <v>27</v>
      </c>
      <c r="O167" s="230">
        <f>Table3.110[[#This Row],[Batch]]</f>
        <v>59</v>
      </c>
      <c r="P167" s="230">
        <f>Table3.110[[#This Row],[Run]]</f>
        <v>2</v>
      </c>
      <c r="Q167" s="230">
        <f>Table3.110[[#This Row],[Replication]]</f>
        <v>2</v>
      </c>
      <c r="R167" s="230">
        <f>Table3.110[[#This Row],[Syrange No]]</f>
        <v>5</v>
      </c>
      <c r="S167" s="264"/>
      <c r="T167" s="264"/>
      <c r="U167" s="108"/>
      <c r="V167" s="254"/>
      <c r="W167" s="61"/>
      <c r="X167" s="61"/>
      <c r="Y167" s="37"/>
      <c r="Z167" s="37"/>
      <c r="AA167" s="37"/>
      <c r="AB167" s="89"/>
    </row>
    <row r="168" spans="2:28" x14ac:dyDescent="0.35">
      <c r="B168" s="230">
        <f t="shared" si="8"/>
        <v>158</v>
      </c>
      <c r="C168" s="61" t="s">
        <v>686</v>
      </c>
      <c r="D168" s="248">
        <f>Table3.110[[#This Row],[Date]]</f>
        <v>46043</v>
      </c>
      <c r="E168" s="230" t="str">
        <f>Table3.110[[#This Row],[Requisitioner]]</f>
        <v>Genbank</v>
      </c>
      <c r="F168" s="230" t="str">
        <f>Table3.110[[#This Row],[Gene Bank ID]]</f>
        <v>CIAT-23934</v>
      </c>
      <c r="G168" s="230" t="str">
        <f>Table3.110[[#This Row],[Genus]]</f>
        <v>Dendrolobium</v>
      </c>
      <c r="H168" s="230" t="str">
        <f>Table3.110[[#This Row],[Species]]</f>
        <v>triangulare</v>
      </c>
      <c r="I168" s="230" t="str">
        <f>Table3.110[[#This Row],[Tax Name]]</f>
        <v>Dendrolobium triangulare</v>
      </c>
      <c r="J168" s="230" t="str">
        <f>Table3.110[[#This Row],[Family]]</f>
        <v>Fabaceae</v>
      </c>
      <c r="K168" s="230" t="str">
        <f>Table3.110[[#This Row],[Order]]</f>
        <v>Fabales</v>
      </c>
      <c r="L168" s="230" t="str">
        <f>Table3.110[[#This Row],[Functional Group]]</f>
        <v>Tree</v>
      </c>
      <c r="M168" s="230" t="str">
        <f>Table3.110[[#This Row],[CIAT ID]]</f>
        <v>F251744</v>
      </c>
      <c r="N168" s="230">
        <f>Table3.110[[#This Row],[Set CIAT]]</f>
        <v>27</v>
      </c>
      <c r="O168" s="230">
        <f>Table3.110[[#This Row],[Batch]]</f>
        <v>59</v>
      </c>
      <c r="P168" s="230">
        <f>Table3.110[[#This Row],[Run]]</f>
        <v>2</v>
      </c>
      <c r="Q168" s="230">
        <f>Table3.110[[#This Row],[Replication]]</f>
        <v>1</v>
      </c>
      <c r="R168" s="230">
        <f>Table3.110[[#This Row],[Syrange No]]</f>
        <v>6</v>
      </c>
      <c r="S168" s="265">
        <v>0.55810000000000004</v>
      </c>
      <c r="T168" s="265">
        <v>0.90720000000000001</v>
      </c>
      <c r="U168" s="108"/>
      <c r="V168" s="254">
        <f t="shared" si="9"/>
        <v>0.34909999999999997</v>
      </c>
      <c r="W168" s="61">
        <f>Table3.110[[#This Row],[DM Incubated, mg]]-('3.2 Digest'!V168*1000)</f>
        <v>122.13548675994411</v>
      </c>
      <c r="X168" s="61">
        <f>W168/Table3.110[[#This Row],[DM Incubated, mg]]*100</f>
        <v>25.918142880050578</v>
      </c>
      <c r="Y168" s="37">
        <f>Table3.1[[#This Row],[DM Incubated, mg]]*'2.4 NDF'!R43/100</f>
        <v>275.65727501641493</v>
      </c>
      <c r="Z168" s="37">
        <f t="shared" si="10"/>
        <v>-73.442724983585038</v>
      </c>
      <c r="AA168" s="37">
        <f t="shared" si="11"/>
        <v>-26.642766812235102</v>
      </c>
      <c r="AB168" s="89"/>
    </row>
    <row r="169" spans="2:28" x14ac:dyDescent="0.35">
      <c r="B169" s="230">
        <f t="shared" si="8"/>
        <v>159</v>
      </c>
      <c r="C169" s="61" t="s">
        <v>686</v>
      </c>
      <c r="D169" s="248">
        <f>Table3.110[[#This Row],[Date]]</f>
        <v>46043</v>
      </c>
      <c r="E169" s="230" t="str">
        <f>Table3.110[[#This Row],[Requisitioner]]</f>
        <v>Genbank</v>
      </c>
      <c r="F169" s="230" t="str">
        <f>Table3.110[[#This Row],[Gene Bank ID]]</f>
        <v>CIAT-23934</v>
      </c>
      <c r="G169" s="230" t="str">
        <f>Table3.110[[#This Row],[Genus]]</f>
        <v>Dendrolobium</v>
      </c>
      <c r="H169" s="230" t="str">
        <f>Table3.110[[#This Row],[Species]]</f>
        <v>triangulare</v>
      </c>
      <c r="I169" s="230" t="str">
        <f>Table3.110[[#This Row],[Tax Name]]</f>
        <v>Dendrolobium triangulare</v>
      </c>
      <c r="J169" s="230" t="str">
        <f>Table3.110[[#This Row],[Family]]</f>
        <v>Fabaceae</v>
      </c>
      <c r="K169" s="230" t="str">
        <f>Table3.110[[#This Row],[Order]]</f>
        <v>Fabales</v>
      </c>
      <c r="L169" s="230" t="str">
        <f>Table3.110[[#This Row],[Functional Group]]</f>
        <v>Tree</v>
      </c>
      <c r="M169" s="230" t="str">
        <f>Table3.110[[#This Row],[CIAT ID]]</f>
        <v>F251744</v>
      </c>
      <c r="N169" s="230">
        <f>Table3.110[[#This Row],[Set CIAT]]</f>
        <v>27</v>
      </c>
      <c r="O169" s="230">
        <f>Table3.110[[#This Row],[Batch]]</f>
        <v>59</v>
      </c>
      <c r="P169" s="230">
        <f>Table3.110[[#This Row],[Run]]</f>
        <v>2</v>
      </c>
      <c r="Q169" s="230">
        <f>Table3.110[[#This Row],[Replication]]</f>
        <v>2</v>
      </c>
      <c r="R169" s="230">
        <f>Table3.110[[#This Row],[Syrange No]]</f>
        <v>7</v>
      </c>
      <c r="S169" s="110">
        <v>0.58279999999999998</v>
      </c>
      <c r="T169" s="110">
        <v>0.94110000000000005</v>
      </c>
      <c r="U169" s="108"/>
      <c r="V169" s="254">
        <f t="shared" si="9"/>
        <v>0.35830000000000006</v>
      </c>
      <c r="W169" s="61">
        <f>Table3.110[[#This Row],[DM Incubated, mg]]-('3.2 Digest'!V169*1000)</f>
        <v>113.02965851988802</v>
      </c>
      <c r="X169" s="61">
        <f>W169/Table3.110[[#This Row],[DM Incubated, mg]]*100</f>
        <v>23.981019754800482</v>
      </c>
      <c r="Y169" s="37">
        <f>Table3.1[[#This Row],[DM Incubated, mg]]*'2.4 NDF'!R43/100</f>
        <v>275.71236240151012</v>
      </c>
      <c r="Z169" s="37">
        <f t="shared" si="10"/>
        <v>-82.587637598489948</v>
      </c>
      <c r="AA169" s="37">
        <f t="shared" si="11"/>
        <v>-29.954274403633924</v>
      </c>
      <c r="AB169" s="89"/>
    </row>
    <row r="170" spans="2:28" x14ac:dyDescent="0.35">
      <c r="B170" s="230">
        <f t="shared" si="8"/>
        <v>160</v>
      </c>
      <c r="C170" s="61" t="s">
        <v>686</v>
      </c>
      <c r="D170" s="248">
        <f>Table3.110[[#This Row],[Date]]</f>
        <v>46043</v>
      </c>
      <c r="E170" s="230" t="str">
        <f>Table3.110[[#This Row],[Requisitioner]]</f>
        <v>Genbank</v>
      </c>
      <c r="F170" s="230" t="str">
        <f>Table3.110[[#This Row],[Gene Bank ID]]</f>
        <v>CIAT-23934</v>
      </c>
      <c r="G170" s="230" t="str">
        <f>Table3.110[[#This Row],[Genus]]</f>
        <v>Dendrolobium</v>
      </c>
      <c r="H170" s="230" t="str">
        <f>Table3.110[[#This Row],[Species]]</f>
        <v>triangulare</v>
      </c>
      <c r="I170" s="230" t="str">
        <f>Table3.110[[#This Row],[Tax Name]]</f>
        <v>Dendrolobium triangulare</v>
      </c>
      <c r="J170" s="230" t="str">
        <f>Table3.110[[#This Row],[Family]]</f>
        <v>Fabaceae</v>
      </c>
      <c r="K170" s="230" t="str">
        <f>Table3.110[[#This Row],[Order]]</f>
        <v>Fabales</v>
      </c>
      <c r="L170" s="230" t="str">
        <f>Table3.110[[#This Row],[Functional Group]]</f>
        <v>Tree</v>
      </c>
      <c r="M170" s="230" t="str">
        <f>Table3.110[[#This Row],[CIAT ID]]</f>
        <v>F251744</v>
      </c>
      <c r="N170" s="230">
        <f>Table3.110[[#This Row],[Set CIAT]]</f>
        <v>27</v>
      </c>
      <c r="O170" s="230">
        <f>Table3.110[[#This Row],[Batch]]</f>
        <v>59</v>
      </c>
      <c r="P170" s="230">
        <f>Table3.110[[#This Row],[Run]]</f>
        <v>2</v>
      </c>
      <c r="Q170" s="230">
        <f>Table3.110[[#This Row],[Replication]]</f>
        <v>3</v>
      </c>
      <c r="R170" s="230">
        <f>Table3.110[[#This Row],[Syrange No]]</f>
        <v>8</v>
      </c>
      <c r="S170" s="265">
        <v>0.57410000000000005</v>
      </c>
      <c r="T170" s="265">
        <v>0.83250000000000002</v>
      </c>
      <c r="U170" s="108"/>
      <c r="V170" s="254">
        <f t="shared" si="9"/>
        <v>0.25839999999999996</v>
      </c>
      <c r="W170" s="61">
        <f>Table3.110[[#This Row],[DM Incubated, mg]]-('3.2 Digest'!V170*1000)</f>
        <v>212.45879972016797</v>
      </c>
      <c r="X170" s="61">
        <f>W170/Table3.110[[#This Row],[DM Incubated, mg]]*100</f>
        <v>45.121552330854293</v>
      </c>
      <c r="Y170" s="37">
        <f>Table3.1[[#This Row],[DM Incubated, mg]]*'2.4 NDF'!R43/100</f>
        <v>275.43692547603411</v>
      </c>
      <c r="Z170" s="37">
        <f t="shared" si="10"/>
        <v>17.036925476034128</v>
      </c>
      <c r="AA170" s="37">
        <f t="shared" si="11"/>
        <v>6.185418112182826</v>
      </c>
      <c r="AB170" s="89"/>
    </row>
    <row r="171" spans="2:28" x14ac:dyDescent="0.35">
      <c r="B171" s="230">
        <f t="shared" si="8"/>
        <v>161</v>
      </c>
      <c r="C171" s="61" t="s">
        <v>686</v>
      </c>
      <c r="D171" s="248">
        <f>Table3.110[[#This Row],[Date]]</f>
        <v>46043</v>
      </c>
      <c r="E171" s="230" t="str">
        <f>Table3.110[[#This Row],[Requisitioner]]</f>
        <v>Genbank</v>
      </c>
      <c r="F171" s="230" t="str">
        <f>Table3.110[[#This Row],[Gene Bank ID]]</f>
        <v>CIAT-23936</v>
      </c>
      <c r="G171" s="230" t="str">
        <f>Table3.110[[#This Row],[Genus]]</f>
        <v>Dendrolobium</v>
      </c>
      <c r="H171" s="230" t="str">
        <f>Table3.110[[#This Row],[Species]]</f>
        <v>triangulare</v>
      </c>
      <c r="I171" s="230" t="str">
        <f>Table3.110[[#This Row],[Tax Name]]</f>
        <v>Dendrolobium triangulare</v>
      </c>
      <c r="J171" s="230" t="str">
        <f>Table3.110[[#This Row],[Family]]</f>
        <v>Fabaceae</v>
      </c>
      <c r="K171" s="230" t="str">
        <f>Table3.110[[#This Row],[Order]]</f>
        <v>Fabales</v>
      </c>
      <c r="L171" s="230" t="str">
        <f>Table3.110[[#This Row],[Functional Group]]</f>
        <v>Tree</v>
      </c>
      <c r="M171" s="230" t="str">
        <f>Table3.110[[#This Row],[CIAT ID]]</f>
        <v>F251745</v>
      </c>
      <c r="N171" s="230">
        <f>Table3.110[[#This Row],[Set CIAT]]</f>
        <v>27</v>
      </c>
      <c r="O171" s="230">
        <f>Table3.110[[#This Row],[Batch]]</f>
        <v>59</v>
      </c>
      <c r="P171" s="230">
        <f>Table3.110[[#This Row],[Run]]</f>
        <v>2</v>
      </c>
      <c r="Q171" s="230">
        <f>Table3.110[[#This Row],[Replication]]</f>
        <v>1</v>
      </c>
      <c r="R171" s="230">
        <f>Table3.110[[#This Row],[Syrange No]]</f>
        <v>9</v>
      </c>
      <c r="S171" s="110">
        <v>0.58330000000000004</v>
      </c>
      <c r="T171" s="110">
        <v>0.9607</v>
      </c>
      <c r="U171" s="108"/>
      <c r="V171" s="254">
        <f t="shared" si="9"/>
        <v>0.37739999999999996</v>
      </c>
      <c r="W171" s="61">
        <f>Table3.110[[#This Row],[DM Incubated, mg]]-('3.2 Digest'!V171*1000)</f>
        <v>92.986882870277782</v>
      </c>
      <c r="X171" s="61">
        <f>W171/Table3.110[[#This Row],[DM Incubated, mg]]*100</f>
        <v>19.768170894323493</v>
      </c>
      <c r="Y171" s="37">
        <f>Table3.1[[#This Row],[DM Incubated, mg]]*'2.4 NDF'!R45/100</f>
        <v>290.01968425635567</v>
      </c>
      <c r="Z171" s="37">
        <f t="shared" si="10"/>
        <v>-87.380315743644303</v>
      </c>
      <c r="AA171" s="37">
        <f t="shared" si="11"/>
        <v>-30.129098294723555</v>
      </c>
      <c r="AB171" s="89"/>
    </row>
    <row r="172" spans="2:28" x14ac:dyDescent="0.35">
      <c r="B172" s="230">
        <f t="shared" si="8"/>
        <v>162</v>
      </c>
      <c r="C172" s="61" t="s">
        <v>686</v>
      </c>
      <c r="D172" s="248">
        <f>Table3.110[[#This Row],[Date]]</f>
        <v>46043</v>
      </c>
      <c r="E172" s="230" t="str">
        <f>Table3.110[[#This Row],[Requisitioner]]</f>
        <v>Genbank</v>
      </c>
      <c r="F172" s="230" t="str">
        <f>Table3.110[[#This Row],[Gene Bank ID]]</f>
        <v>CIAT-23936</v>
      </c>
      <c r="G172" s="230" t="str">
        <f>Table3.110[[#This Row],[Genus]]</f>
        <v>Dendrolobium</v>
      </c>
      <c r="H172" s="230" t="str">
        <f>Table3.110[[#This Row],[Species]]</f>
        <v>triangulare</v>
      </c>
      <c r="I172" s="230" t="str">
        <f>Table3.110[[#This Row],[Tax Name]]</f>
        <v>Dendrolobium triangulare</v>
      </c>
      <c r="J172" s="230" t="str">
        <f>Table3.110[[#This Row],[Family]]</f>
        <v>Fabaceae</v>
      </c>
      <c r="K172" s="230" t="str">
        <f>Table3.110[[#This Row],[Order]]</f>
        <v>Fabales</v>
      </c>
      <c r="L172" s="230" t="str">
        <f>Table3.110[[#This Row],[Functional Group]]</f>
        <v>Tree</v>
      </c>
      <c r="M172" s="230" t="str">
        <f>Table3.110[[#This Row],[CIAT ID]]</f>
        <v>F251745</v>
      </c>
      <c r="N172" s="230">
        <f>Table3.110[[#This Row],[Set CIAT]]</f>
        <v>27</v>
      </c>
      <c r="O172" s="230">
        <f>Table3.110[[#This Row],[Batch]]</f>
        <v>59</v>
      </c>
      <c r="P172" s="230">
        <f>Table3.110[[#This Row],[Run]]</f>
        <v>2</v>
      </c>
      <c r="Q172" s="230">
        <f>Table3.110[[#This Row],[Replication]]</f>
        <v>2</v>
      </c>
      <c r="R172" s="230">
        <f>Table3.110[[#This Row],[Syrange No]]</f>
        <v>10</v>
      </c>
      <c r="S172" s="265">
        <v>0.55220000000000002</v>
      </c>
      <c r="T172" s="265">
        <v>0.89019999999999999</v>
      </c>
      <c r="U172" s="108"/>
      <c r="V172" s="254">
        <f t="shared" si="9"/>
        <v>0.33799999999999997</v>
      </c>
      <c r="W172" s="61">
        <f>Table3.110[[#This Row],[DM Incubated, mg]]-('3.2 Digest'!V172*1000)</f>
        <v>132.29282430541673</v>
      </c>
      <c r="X172" s="61">
        <f>W172/Table3.110[[#This Row],[DM Incubated, mg]]*100</f>
        <v>28.129883652977739</v>
      </c>
      <c r="Y172" s="37">
        <f>Table3.1[[#This Row],[DM Incubated, mg]]*'2.4 NDF'!R45/100</f>
        <v>289.96169191797208</v>
      </c>
      <c r="Z172" s="37">
        <f t="shared" si="10"/>
        <v>-48.038308082027868</v>
      </c>
      <c r="AA172" s="37">
        <f t="shared" si="11"/>
        <v>-16.567122285800959</v>
      </c>
      <c r="AB172" s="89"/>
    </row>
    <row r="173" spans="2:28" x14ac:dyDescent="0.35">
      <c r="B173" s="230">
        <f t="shared" si="8"/>
        <v>163</v>
      </c>
      <c r="C173" s="61" t="s">
        <v>686</v>
      </c>
      <c r="D173" s="248">
        <f>Table3.110[[#This Row],[Date]]</f>
        <v>46043</v>
      </c>
      <c r="E173" s="230" t="str">
        <f>Table3.110[[#This Row],[Requisitioner]]</f>
        <v>Genbank</v>
      </c>
      <c r="F173" s="230" t="str">
        <f>Table3.110[[#This Row],[Gene Bank ID]]</f>
        <v>CIAT-23936</v>
      </c>
      <c r="G173" s="230" t="str">
        <f>Table3.110[[#This Row],[Genus]]</f>
        <v>Dendrolobium</v>
      </c>
      <c r="H173" s="230" t="str">
        <f>Table3.110[[#This Row],[Species]]</f>
        <v>triangulare</v>
      </c>
      <c r="I173" s="230" t="str">
        <f>Table3.110[[#This Row],[Tax Name]]</f>
        <v>Dendrolobium triangulare</v>
      </c>
      <c r="J173" s="230" t="str">
        <f>Table3.110[[#This Row],[Family]]</f>
        <v>Fabaceae</v>
      </c>
      <c r="K173" s="230" t="str">
        <f>Table3.110[[#This Row],[Order]]</f>
        <v>Fabales</v>
      </c>
      <c r="L173" s="230" t="str">
        <f>Table3.110[[#This Row],[Functional Group]]</f>
        <v>Tree</v>
      </c>
      <c r="M173" s="230" t="str">
        <f>Table3.110[[#This Row],[CIAT ID]]</f>
        <v>F251745</v>
      </c>
      <c r="N173" s="230">
        <f>Table3.110[[#This Row],[Set CIAT]]</f>
        <v>27</v>
      </c>
      <c r="O173" s="230">
        <f>Table3.110[[#This Row],[Batch]]</f>
        <v>59</v>
      </c>
      <c r="P173" s="230">
        <f>Table3.110[[#This Row],[Run]]</f>
        <v>2</v>
      </c>
      <c r="Q173" s="230">
        <f>Table3.110[[#This Row],[Replication]]</f>
        <v>3</v>
      </c>
      <c r="R173" s="230">
        <f>Table3.110[[#This Row],[Syrange No]]</f>
        <v>11</v>
      </c>
      <c r="S173" s="110">
        <v>0.55469999999999997</v>
      </c>
      <c r="T173" s="110">
        <v>0.9405</v>
      </c>
      <c r="U173" s="108"/>
      <c r="V173" s="254">
        <f t="shared" si="9"/>
        <v>0.38580000000000003</v>
      </c>
      <c r="W173" s="61">
        <f>Table3.110[[#This Row],[DM Incubated, mg]]-('3.2 Digest'!V173*1000)</f>
        <v>84.492824305416661</v>
      </c>
      <c r="X173" s="61">
        <f>W173/Table3.110[[#This Row],[DM Incubated, mg]]*100</f>
        <v>17.966003293842622</v>
      </c>
      <c r="Y173" s="37">
        <f>Table3.1[[#This Row],[DM Incubated, mg]]*'2.4 NDF'!R45/100</f>
        <v>289.96169191797208</v>
      </c>
      <c r="Z173" s="37">
        <f t="shared" si="10"/>
        <v>-95.838308082027936</v>
      </c>
      <c r="AA173" s="37">
        <f t="shared" si="11"/>
        <v>-33.052058514384669</v>
      </c>
      <c r="AB173" s="89"/>
    </row>
    <row r="174" spans="2:28" x14ac:dyDescent="0.35">
      <c r="B174" s="230">
        <f t="shared" si="8"/>
        <v>164</v>
      </c>
      <c r="C174" s="61" t="s">
        <v>686</v>
      </c>
      <c r="D174" s="248">
        <f>Table3.110[[#This Row],[Date]]</f>
        <v>46043</v>
      </c>
      <c r="E174" s="230" t="str">
        <f>Table3.110[[#This Row],[Requisitioner]]</f>
        <v>Genbank</v>
      </c>
      <c r="F174" s="230" t="str">
        <f>Table3.110[[#This Row],[Gene Bank ID]]</f>
        <v>CIAT-33119</v>
      </c>
      <c r="G174" s="230" t="str">
        <f>Table3.110[[#This Row],[Genus]]</f>
        <v>Dendrolobium</v>
      </c>
      <c r="H174" s="230" t="str">
        <f>Table3.110[[#This Row],[Species]]</f>
        <v>triangulare</v>
      </c>
      <c r="I174" s="230" t="str">
        <f>Table3.110[[#This Row],[Tax Name]]</f>
        <v>Dendrolobium triangulare</v>
      </c>
      <c r="J174" s="230" t="str">
        <f>Table3.110[[#This Row],[Family]]</f>
        <v>Fabaceae</v>
      </c>
      <c r="K174" s="230" t="str">
        <f>Table3.110[[#This Row],[Order]]</f>
        <v>Fabales</v>
      </c>
      <c r="L174" s="230" t="str">
        <f>Table3.110[[#This Row],[Functional Group]]</f>
        <v>Tree</v>
      </c>
      <c r="M174" s="230" t="str">
        <f>Table3.110[[#This Row],[CIAT ID]]</f>
        <v>F251746</v>
      </c>
      <c r="N174" s="230">
        <f>Table3.110[[#This Row],[Set CIAT]]</f>
        <v>27</v>
      </c>
      <c r="O174" s="230">
        <f>Table3.110[[#This Row],[Batch]]</f>
        <v>59</v>
      </c>
      <c r="P174" s="230">
        <f>Table3.110[[#This Row],[Run]]</f>
        <v>2</v>
      </c>
      <c r="Q174" s="230">
        <f>Table3.110[[#This Row],[Replication]]</f>
        <v>1</v>
      </c>
      <c r="R174" s="230">
        <f>Table3.110[[#This Row],[Syrange No]]</f>
        <v>12</v>
      </c>
      <c r="S174" s="265">
        <v>0.60060000000000002</v>
      </c>
      <c r="T174" s="265">
        <v>0.93779999999999997</v>
      </c>
      <c r="U174" s="108"/>
      <c r="V174" s="254">
        <f t="shared" si="9"/>
        <v>0.33719999999999994</v>
      </c>
      <c r="W174" s="61">
        <f>Table3.110[[#This Row],[DM Incubated, mg]]-('3.2 Digest'!V174*1000)</f>
        <v>139.330834358527</v>
      </c>
      <c r="X174" s="61">
        <f>W174/Table3.110[[#This Row],[DM Incubated, mg]]*100</f>
        <v>29.238576879518106</v>
      </c>
      <c r="Y174" s="37">
        <f>Table3.1[[#This Row],[DM Incubated, mg]]*'2.4 NDF'!R47/100</f>
        <v>283.43273651836739</v>
      </c>
      <c r="Z174" s="37">
        <f t="shared" si="10"/>
        <v>-53.76726348163254</v>
      </c>
      <c r="AA174" s="37">
        <f t="shared" si="11"/>
        <v>-18.970025884130091</v>
      </c>
      <c r="AB174" s="89"/>
    </row>
    <row r="175" spans="2:28" x14ac:dyDescent="0.35">
      <c r="B175" s="230">
        <f t="shared" si="8"/>
        <v>165</v>
      </c>
      <c r="C175" s="61" t="s">
        <v>686</v>
      </c>
      <c r="D175" s="248">
        <f>Table3.110[[#This Row],[Date]]</f>
        <v>46043</v>
      </c>
      <c r="E175" s="230" t="str">
        <f>Table3.110[[#This Row],[Requisitioner]]</f>
        <v>Genbank</v>
      </c>
      <c r="F175" s="230" t="str">
        <f>Table3.110[[#This Row],[Gene Bank ID]]</f>
        <v>CIAT-33119</v>
      </c>
      <c r="G175" s="230" t="str">
        <f>Table3.110[[#This Row],[Genus]]</f>
        <v>Dendrolobium</v>
      </c>
      <c r="H175" s="230" t="str">
        <f>Table3.110[[#This Row],[Species]]</f>
        <v>triangulare</v>
      </c>
      <c r="I175" s="230" t="str">
        <f>Table3.110[[#This Row],[Tax Name]]</f>
        <v>Dendrolobium triangulare</v>
      </c>
      <c r="J175" s="230" t="str">
        <f>Table3.110[[#This Row],[Family]]</f>
        <v>Fabaceae</v>
      </c>
      <c r="K175" s="230" t="str">
        <f>Table3.110[[#This Row],[Order]]</f>
        <v>Fabales</v>
      </c>
      <c r="L175" s="230" t="str">
        <f>Table3.110[[#This Row],[Functional Group]]</f>
        <v>Tree</v>
      </c>
      <c r="M175" s="230" t="str">
        <f>Table3.110[[#This Row],[CIAT ID]]</f>
        <v>F251746</v>
      </c>
      <c r="N175" s="230">
        <f>Table3.110[[#This Row],[Set CIAT]]</f>
        <v>27</v>
      </c>
      <c r="O175" s="230">
        <f>Table3.110[[#This Row],[Batch]]</f>
        <v>59</v>
      </c>
      <c r="P175" s="230">
        <f>Table3.110[[#This Row],[Run]]</f>
        <v>2</v>
      </c>
      <c r="Q175" s="230">
        <f>Table3.110[[#This Row],[Replication]]</f>
        <v>2</v>
      </c>
      <c r="R175" s="230">
        <f>Table3.110[[#This Row],[Syrange No]]</f>
        <v>13</v>
      </c>
      <c r="S175" s="110">
        <v>0.56779999999999997</v>
      </c>
      <c r="T175" s="110">
        <v>0.93510000000000004</v>
      </c>
      <c r="U175" s="108"/>
      <c r="V175" s="254">
        <f t="shared" si="9"/>
        <v>0.36730000000000007</v>
      </c>
      <c r="W175" s="61">
        <f>Table3.110[[#This Row],[DM Incubated, mg]]-('3.2 Digest'!V175*1000)</f>
        <v>109.32612146797669</v>
      </c>
      <c r="X175" s="61">
        <f>W175/Table3.110[[#This Row],[DM Incubated, mg]]*100</f>
        <v>22.937501018882369</v>
      </c>
      <c r="Y175" s="37">
        <f>+Table3.1[[#This Row],[DM Incubated, mg]]*'2.4 NDF'!R47/100</f>
        <v>283.4894117306286</v>
      </c>
      <c r="Z175" s="37">
        <f t="shared" si="10"/>
        <v>-83.810588269371465</v>
      </c>
      <c r="AA175" s="37">
        <f t="shared" si="11"/>
        <v>-29.563921896669708</v>
      </c>
      <c r="AB175" s="89"/>
    </row>
    <row r="176" spans="2:28" x14ac:dyDescent="0.35">
      <c r="B176" s="230">
        <f t="shared" si="8"/>
        <v>166</v>
      </c>
      <c r="C176" s="61" t="s">
        <v>686</v>
      </c>
      <c r="D176" s="248">
        <f>Table3.110[[#This Row],[Date]]</f>
        <v>46043</v>
      </c>
      <c r="E176" s="230" t="str">
        <f>Table3.110[[#This Row],[Requisitioner]]</f>
        <v>Genbank</v>
      </c>
      <c r="F176" s="230" t="str">
        <f>Table3.110[[#This Row],[Gene Bank ID]]</f>
        <v>CIAT-33119</v>
      </c>
      <c r="G176" s="230" t="str">
        <f>Table3.110[[#This Row],[Genus]]</f>
        <v>Dendrolobium</v>
      </c>
      <c r="H176" s="230" t="str">
        <f>Table3.110[[#This Row],[Species]]</f>
        <v>triangulare</v>
      </c>
      <c r="I176" s="230" t="str">
        <f>Table3.110[[#This Row],[Tax Name]]</f>
        <v>Dendrolobium triangulare</v>
      </c>
      <c r="J176" s="230" t="str">
        <f>Table3.110[[#This Row],[Family]]</f>
        <v>Fabaceae</v>
      </c>
      <c r="K176" s="230" t="str">
        <f>Table3.110[[#This Row],[Order]]</f>
        <v>Fabales</v>
      </c>
      <c r="L176" s="230" t="str">
        <f>Table3.110[[#This Row],[Functional Group]]</f>
        <v>Tree</v>
      </c>
      <c r="M176" s="230" t="str">
        <f>Table3.110[[#This Row],[CIAT ID]]</f>
        <v>F251746</v>
      </c>
      <c r="N176" s="230">
        <f>Table3.110[[#This Row],[Set CIAT]]</f>
        <v>27</v>
      </c>
      <c r="O176" s="230">
        <f>Table3.110[[#This Row],[Batch]]</f>
        <v>59</v>
      </c>
      <c r="P176" s="230">
        <f>Table3.110[[#This Row],[Run]]</f>
        <v>2</v>
      </c>
      <c r="Q176" s="230">
        <f>Table3.110[[#This Row],[Replication]]</f>
        <v>3</v>
      </c>
      <c r="R176" s="230">
        <f>Table3.110[[#This Row],[Syrange No]]</f>
        <v>14</v>
      </c>
      <c r="S176" s="265">
        <v>0.5806</v>
      </c>
      <c r="T176" s="265">
        <v>0.91649999999999998</v>
      </c>
      <c r="U176" s="108"/>
      <c r="V176" s="254">
        <f t="shared" si="9"/>
        <v>0.33589999999999998</v>
      </c>
      <c r="W176" s="61">
        <f>Table3.110[[#This Row],[DM Incubated, mg]]-('3.2 Digest'!V176*1000)</f>
        <v>140.72612146797678</v>
      </c>
      <c r="X176" s="61">
        <f>W176/Table3.110[[#This Row],[DM Incubated, mg]]*100</f>
        <v>29.525473978335405</v>
      </c>
      <c r="Y176" s="37">
        <f>+Table3.1[[#This Row],[DM Incubated, mg]]*'2.4 NDF'!R47/100</f>
        <v>283.4894117306286</v>
      </c>
      <c r="Z176" s="37">
        <f t="shared" si="10"/>
        <v>-52.410588269371374</v>
      </c>
      <c r="AA176" s="37">
        <f t="shared" si="11"/>
        <v>-18.487670473975893</v>
      </c>
      <c r="AB176" s="89"/>
    </row>
    <row r="177" spans="2:28" x14ac:dyDescent="0.35">
      <c r="B177" s="230">
        <f t="shared" si="8"/>
        <v>167</v>
      </c>
      <c r="C177" s="61" t="s">
        <v>686</v>
      </c>
      <c r="D177" s="248">
        <f>Table3.110[[#This Row],[Date]]</f>
        <v>46043</v>
      </c>
      <c r="E177" s="230" t="str">
        <f>Table3.110[[#This Row],[Requisitioner]]</f>
        <v>Genbank</v>
      </c>
      <c r="F177" s="230" t="str">
        <f>Table3.110[[#This Row],[Gene Bank ID]]</f>
        <v>CIAT-33383</v>
      </c>
      <c r="G177" s="230" t="str">
        <f>Table3.110[[#This Row],[Genus]]</f>
        <v>Dendrolobium</v>
      </c>
      <c r="H177" s="230" t="str">
        <f>Table3.110[[#This Row],[Species]]</f>
        <v>sp.</v>
      </c>
      <c r="I177" s="230" t="str">
        <f>Table3.110[[#This Row],[Tax Name]]</f>
        <v>Dendrolobium sp.</v>
      </c>
      <c r="J177" s="230" t="str">
        <f>Table3.110[[#This Row],[Family]]</f>
        <v>Fabaceae</v>
      </c>
      <c r="K177" s="230" t="str">
        <f>Table3.110[[#This Row],[Order]]</f>
        <v>Fabales</v>
      </c>
      <c r="L177" s="230" t="str">
        <f>Table3.110[[#This Row],[Functional Group]]</f>
        <v>Tree</v>
      </c>
      <c r="M177" s="230" t="str">
        <f>Table3.110[[#This Row],[CIAT ID]]</f>
        <v>F251747</v>
      </c>
      <c r="N177" s="230">
        <f>Table3.110[[#This Row],[Set CIAT]]</f>
        <v>27</v>
      </c>
      <c r="O177" s="230">
        <f>Table3.110[[#This Row],[Batch]]</f>
        <v>59</v>
      </c>
      <c r="P177" s="230">
        <f>Table3.110[[#This Row],[Run]]</f>
        <v>2</v>
      </c>
      <c r="Q177" s="230">
        <f>Table3.110[[#This Row],[Replication]]</f>
        <v>1</v>
      </c>
      <c r="R177" s="230">
        <f>Table3.110[[#This Row],[Syrange No]]</f>
        <v>15</v>
      </c>
      <c r="S177" s="110">
        <v>0.56879999999999997</v>
      </c>
      <c r="T177" s="110">
        <v>0.91039999999999999</v>
      </c>
      <c r="U177" s="108"/>
      <c r="V177" s="254">
        <f t="shared" si="9"/>
        <v>0.34160000000000001</v>
      </c>
      <c r="W177" s="61">
        <f>Table3.110[[#This Row],[DM Incubated, mg]]-('3.2 Digest'!V177*1000)</f>
        <v>131.757810313812</v>
      </c>
      <c r="X177" s="61">
        <f>W177/Table3.110[[#This Row],[DM Incubated, mg]]*100</f>
        <v>27.834717721561052</v>
      </c>
      <c r="Y177" s="37">
        <f>Table3.1[[#This Row],[DM Incubated, mg]]*'2.4 NDF'!R49/100</f>
        <v>282.86911805589068</v>
      </c>
      <c r="Z177" s="37">
        <f t="shared" si="10"/>
        <v>-58.730881944109342</v>
      </c>
      <c r="AA177" s="37">
        <f t="shared" si="11"/>
        <v>-20.762564095987674</v>
      </c>
      <c r="AB177" s="89"/>
    </row>
    <row r="178" spans="2:28" x14ac:dyDescent="0.35">
      <c r="B178" s="230">
        <f t="shared" si="8"/>
        <v>168</v>
      </c>
      <c r="C178" s="61" t="s">
        <v>686</v>
      </c>
      <c r="D178" s="248">
        <f>Table3.110[[#This Row],[Date]]</f>
        <v>46043</v>
      </c>
      <c r="E178" s="230" t="str">
        <f>Table3.110[[#This Row],[Requisitioner]]</f>
        <v>Genbank</v>
      </c>
      <c r="F178" s="230" t="str">
        <f>Table3.110[[#This Row],[Gene Bank ID]]</f>
        <v>CIAT-33383</v>
      </c>
      <c r="G178" s="230" t="str">
        <f>Table3.110[[#This Row],[Genus]]</f>
        <v>Dendrolobium</v>
      </c>
      <c r="H178" s="230" t="str">
        <f>Table3.110[[#This Row],[Species]]</f>
        <v>sp.</v>
      </c>
      <c r="I178" s="230" t="str">
        <f>Table3.110[[#This Row],[Tax Name]]</f>
        <v>Dendrolobium sp.</v>
      </c>
      <c r="J178" s="230" t="str">
        <f>Table3.110[[#This Row],[Family]]</f>
        <v>Fabaceae</v>
      </c>
      <c r="K178" s="230" t="str">
        <f>Table3.110[[#This Row],[Order]]</f>
        <v>Fabales</v>
      </c>
      <c r="L178" s="230" t="str">
        <f>Table3.110[[#This Row],[Functional Group]]</f>
        <v>Tree</v>
      </c>
      <c r="M178" s="230" t="str">
        <f>Table3.110[[#This Row],[CIAT ID]]</f>
        <v>F251747</v>
      </c>
      <c r="N178" s="230">
        <f>Table3.110[[#This Row],[Set CIAT]]</f>
        <v>27</v>
      </c>
      <c r="O178" s="230">
        <f>Table3.110[[#This Row],[Batch]]</f>
        <v>59</v>
      </c>
      <c r="P178" s="230">
        <f>Table3.110[[#This Row],[Run]]</f>
        <v>2</v>
      </c>
      <c r="Q178" s="230">
        <f>Table3.110[[#This Row],[Replication]]</f>
        <v>2</v>
      </c>
      <c r="R178" s="230">
        <f>Table3.110[[#This Row],[Syrange No]]</f>
        <v>16</v>
      </c>
      <c r="S178" s="265">
        <v>0.56779999999999997</v>
      </c>
      <c r="T178" s="265">
        <v>0.87809999999999999</v>
      </c>
      <c r="U178" s="108"/>
      <c r="V178" s="254">
        <f t="shared" si="9"/>
        <v>0.31030000000000002</v>
      </c>
      <c r="W178" s="61">
        <f>Table3.110[[#This Row],[DM Incubated, mg]]-('3.2 Digest'!V178*1000)</f>
        <v>163.43649656206298</v>
      </c>
      <c r="X178" s="61">
        <f>W178/Table3.110[[#This Row],[DM Incubated, mg]]*100</f>
        <v>34.499452279512433</v>
      </c>
      <c r="Y178" s="37">
        <f>Table3.1[[#This Row],[DM Incubated, mg]]*'2.4 NDF'!R49/100</f>
        <v>283.09541335033538</v>
      </c>
      <c r="Z178" s="37">
        <f t="shared" si="10"/>
        <v>-27.204586649664634</v>
      </c>
      <c r="AA178" s="37">
        <f t="shared" si="11"/>
        <v>-9.6096882417513747</v>
      </c>
      <c r="AB178" s="89"/>
    </row>
    <row r="179" spans="2:28" x14ac:dyDescent="0.35">
      <c r="B179" s="230">
        <f t="shared" si="8"/>
        <v>169</v>
      </c>
      <c r="C179" s="61" t="s">
        <v>686</v>
      </c>
      <c r="D179" s="248">
        <f>Table3.110[[#This Row],[Date]]</f>
        <v>46043</v>
      </c>
      <c r="E179" s="230" t="str">
        <f>Table3.110[[#This Row],[Requisitioner]]</f>
        <v>Genbank</v>
      </c>
      <c r="F179" s="230" t="str">
        <f>Table3.110[[#This Row],[Gene Bank ID]]</f>
        <v>CIAT-33383</v>
      </c>
      <c r="G179" s="230" t="str">
        <f>Table3.110[[#This Row],[Genus]]</f>
        <v>Dendrolobium</v>
      </c>
      <c r="H179" s="230" t="str">
        <f>Table3.110[[#This Row],[Species]]</f>
        <v>sp.</v>
      </c>
      <c r="I179" s="230" t="str">
        <f>Table3.110[[#This Row],[Tax Name]]</f>
        <v>Dendrolobium sp.</v>
      </c>
      <c r="J179" s="230" t="str">
        <f>Table3.110[[#This Row],[Family]]</f>
        <v>Fabaceae</v>
      </c>
      <c r="K179" s="230" t="str">
        <f>Table3.110[[#This Row],[Order]]</f>
        <v>Fabales</v>
      </c>
      <c r="L179" s="230" t="str">
        <f>Table3.110[[#This Row],[Functional Group]]</f>
        <v>Tree</v>
      </c>
      <c r="M179" s="230" t="str">
        <f>Table3.110[[#This Row],[CIAT ID]]</f>
        <v>F251747</v>
      </c>
      <c r="N179" s="230">
        <f>Table3.110[[#This Row],[Set CIAT]]</f>
        <v>27</v>
      </c>
      <c r="O179" s="230">
        <f>Table3.110[[#This Row],[Batch]]</f>
        <v>59</v>
      </c>
      <c r="P179" s="230">
        <f>Table3.110[[#This Row],[Run]]</f>
        <v>2</v>
      </c>
      <c r="Q179" s="230">
        <f>Table3.110[[#This Row],[Replication]]</f>
        <v>3</v>
      </c>
      <c r="R179" s="230">
        <f>Table3.110[[#This Row],[Syrange No]]</f>
        <v>17</v>
      </c>
      <c r="S179" s="110">
        <v>0.55879999999999996</v>
      </c>
      <c r="T179" s="110">
        <v>0.87270000000000003</v>
      </c>
      <c r="U179" s="108"/>
      <c r="V179" s="254">
        <f t="shared" si="9"/>
        <v>0.31390000000000007</v>
      </c>
      <c r="W179" s="61">
        <f>Table3.110[[#This Row],[DM Incubated, mg]]-('3.2 Digest'!V179*1000)</f>
        <v>159.83649656206291</v>
      </c>
      <c r="X179" s="61">
        <f>W179/Table3.110[[#This Row],[DM Incubated, mg]]*100</f>
        <v>33.739536160293099</v>
      </c>
      <c r="Y179" s="37">
        <f>Table3.1[[#This Row],[DM Incubated, mg]]*'2.4 NDF'!R49/100</f>
        <v>283.09541335033538</v>
      </c>
      <c r="Z179" s="37">
        <f t="shared" si="10"/>
        <v>-30.804586649664714</v>
      </c>
      <c r="AA179" s="37">
        <f t="shared" si="11"/>
        <v>-10.881344309009879</v>
      </c>
      <c r="AB179" s="89"/>
    </row>
    <row r="180" spans="2:28" x14ac:dyDescent="0.35">
      <c r="B180" s="230">
        <f t="shared" si="8"/>
        <v>170</v>
      </c>
      <c r="C180" s="61" t="s">
        <v>686</v>
      </c>
      <c r="D180" s="248">
        <f>Table3.110[[#This Row],[Date]]</f>
        <v>46043</v>
      </c>
      <c r="E180" s="230" t="str">
        <f>Table3.110[[#This Row],[Requisitioner]]</f>
        <v>Genbank</v>
      </c>
      <c r="F180" s="230" t="str">
        <f>Table3.110[[#This Row],[Gene Bank ID]]</f>
        <v>CIAT-33402</v>
      </c>
      <c r="G180" s="230" t="str">
        <f>Table3.110[[#This Row],[Genus]]</f>
        <v>Dendrolobium</v>
      </c>
      <c r="H180" s="230" t="str">
        <f>Table3.110[[#This Row],[Species]]</f>
        <v>triangulare</v>
      </c>
      <c r="I180" s="230" t="str">
        <f>Table3.110[[#This Row],[Tax Name]]</f>
        <v>Dendrolobium triangulare</v>
      </c>
      <c r="J180" s="230" t="str">
        <f>Table3.110[[#This Row],[Family]]</f>
        <v>Fabaceae</v>
      </c>
      <c r="K180" s="230" t="str">
        <f>Table3.110[[#This Row],[Order]]</f>
        <v>Fabales</v>
      </c>
      <c r="L180" s="230" t="str">
        <f>Table3.110[[#This Row],[Functional Group]]</f>
        <v>Tree</v>
      </c>
      <c r="M180" s="230" t="str">
        <f>Table3.110[[#This Row],[CIAT ID]]</f>
        <v>F251748</v>
      </c>
      <c r="N180" s="230">
        <f>Table3.110[[#This Row],[Set CIAT]]</f>
        <v>27</v>
      </c>
      <c r="O180" s="230">
        <f>Table3.110[[#This Row],[Batch]]</f>
        <v>59</v>
      </c>
      <c r="P180" s="230">
        <f>Table3.110[[#This Row],[Run]]</f>
        <v>2</v>
      </c>
      <c r="Q180" s="230">
        <f>Table3.110[[#This Row],[Replication]]</f>
        <v>1</v>
      </c>
      <c r="R180" s="230">
        <f>Table3.110[[#This Row],[Syrange No]]</f>
        <v>18</v>
      </c>
      <c r="S180" s="265">
        <v>0.56369999999999998</v>
      </c>
      <c r="T180" s="265">
        <v>0.8861</v>
      </c>
      <c r="U180" s="108"/>
      <c r="V180" s="254">
        <f t="shared" si="9"/>
        <v>0.32240000000000002</v>
      </c>
      <c r="W180" s="61">
        <f>Table3.110[[#This Row],[DM Incubated, mg]]-('3.2 Digest'!V180*1000)</f>
        <v>150.85408688293626</v>
      </c>
      <c r="X180" s="61">
        <f>W180/Table3.110[[#This Row],[DM Incubated, mg]]*100</f>
        <v>31.875918468349411</v>
      </c>
      <c r="Y180" s="37">
        <f>Table3.1[[#This Row],[DM Incubated, mg]]*'2.4 NDF'!R51/100</f>
        <v>284.38500217002877</v>
      </c>
      <c r="Z180" s="37">
        <f t="shared" si="10"/>
        <v>-38.014997829971264</v>
      </c>
      <c r="AA180" s="37">
        <f t="shared" si="11"/>
        <v>-13.367441158954918</v>
      </c>
      <c r="AB180" s="89"/>
    </row>
    <row r="181" spans="2:28" x14ac:dyDescent="0.35">
      <c r="B181" s="230">
        <f t="shared" si="8"/>
        <v>171</v>
      </c>
      <c r="C181" s="61" t="s">
        <v>686</v>
      </c>
      <c r="D181" s="248">
        <f>Table3.110[[#This Row],[Date]]</f>
        <v>46043</v>
      </c>
      <c r="E181" s="230" t="str">
        <f>Table3.110[[#This Row],[Requisitioner]]</f>
        <v>Genbank</v>
      </c>
      <c r="F181" s="230" t="str">
        <f>Table3.110[[#This Row],[Gene Bank ID]]</f>
        <v>CIAT-33402</v>
      </c>
      <c r="G181" s="230" t="str">
        <f>Table3.110[[#This Row],[Genus]]</f>
        <v>Dendrolobium</v>
      </c>
      <c r="H181" s="230" t="str">
        <f>Table3.110[[#This Row],[Species]]</f>
        <v>triangulare</v>
      </c>
      <c r="I181" s="230" t="str">
        <f>Table3.110[[#This Row],[Tax Name]]</f>
        <v>Dendrolobium triangulare</v>
      </c>
      <c r="J181" s="230" t="str">
        <f>Table3.110[[#This Row],[Family]]</f>
        <v>Fabaceae</v>
      </c>
      <c r="K181" s="230" t="str">
        <f>Table3.110[[#This Row],[Order]]</f>
        <v>Fabales</v>
      </c>
      <c r="L181" s="230" t="str">
        <f>Table3.110[[#This Row],[Functional Group]]</f>
        <v>Tree</v>
      </c>
      <c r="M181" s="230" t="str">
        <f>Table3.110[[#This Row],[CIAT ID]]</f>
        <v>F251748</v>
      </c>
      <c r="N181" s="230">
        <f>Table3.110[[#This Row],[Set CIAT]]</f>
        <v>27</v>
      </c>
      <c r="O181" s="230">
        <f>Table3.110[[#This Row],[Batch]]</f>
        <v>59</v>
      </c>
      <c r="P181" s="230">
        <f>Table3.110[[#This Row],[Run]]</f>
        <v>2</v>
      </c>
      <c r="Q181" s="230">
        <f>Table3.110[[#This Row],[Replication]]</f>
        <v>2</v>
      </c>
      <c r="R181" s="230">
        <f>Table3.110[[#This Row],[Syrange No]]</f>
        <v>19</v>
      </c>
      <c r="S181" s="110">
        <v>0.55649999999999999</v>
      </c>
      <c r="T181" s="110">
        <v>0.86180000000000001</v>
      </c>
      <c r="U181" s="108"/>
      <c r="V181" s="254">
        <f t="shared" si="9"/>
        <v>0.30530000000000002</v>
      </c>
      <c r="W181" s="61">
        <f>Table3.110[[#This Row],[DM Incubated, mg]]-('3.2 Digest'!V181*1000)</f>
        <v>168.23798255593135</v>
      </c>
      <c r="X181" s="61">
        <f>W181/Table3.110[[#This Row],[DM Incubated, mg]]*100</f>
        <v>35.527875007589302</v>
      </c>
      <c r="Y181" s="37">
        <f>Table3.1[[#This Row],[DM Incubated, mg]]*'2.4 NDF'!R51/100</f>
        <v>284.55559905195435</v>
      </c>
      <c r="Z181" s="37">
        <f t="shared" si="10"/>
        <v>-20.744400948045666</v>
      </c>
      <c r="AA181" s="37">
        <f t="shared" si="11"/>
        <v>-7.2901046463886798</v>
      </c>
      <c r="AB181" s="89"/>
    </row>
    <row r="182" spans="2:28" x14ac:dyDescent="0.35">
      <c r="B182" s="230">
        <f t="shared" si="8"/>
        <v>172</v>
      </c>
      <c r="C182" s="61" t="s">
        <v>686</v>
      </c>
      <c r="D182" s="248">
        <f>Table3.110[[#This Row],[Date]]</f>
        <v>46043</v>
      </c>
      <c r="E182" s="230" t="str">
        <f>Table3.110[[#This Row],[Requisitioner]]</f>
        <v>Genbank</v>
      </c>
      <c r="F182" s="230" t="str">
        <f>Table3.110[[#This Row],[Gene Bank ID]]</f>
        <v>CIAT-33402</v>
      </c>
      <c r="G182" s="230" t="str">
        <f>Table3.110[[#This Row],[Genus]]</f>
        <v>Dendrolobium</v>
      </c>
      <c r="H182" s="230" t="str">
        <f>Table3.110[[#This Row],[Species]]</f>
        <v>triangulare</v>
      </c>
      <c r="I182" s="230" t="str">
        <f>Table3.110[[#This Row],[Tax Name]]</f>
        <v>Dendrolobium triangulare</v>
      </c>
      <c r="J182" s="230" t="str">
        <f>Table3.110[[#This Row],[Family]]</f>
        <v>Fabaceae</v>
      </c>
      <c r="K182" s="230" t="str">
        <f>Table3.110[[#This Row],[Order]]</f>
        <v>Fabales</v>
      </c>
      <c r="L182" s="230" t="str">
        <f>Table3.110[[#This Row],[Functional Group]]</f>
        <v>Tree</v>
      </c>
      <c r="M182" s="230" t="str">
        <f>Table3.110[[#This Row],[CIAT ID]]</f>
        <v>F251748</v>
      </c>
      <c r="N182" s="230">
        <f>Table3.110[[#This Row],[Set CIAT]]</f>
        <v>27</v>
      </c>
      <c r="O182" s="230">
        <f>Table3.110[[#This Row],[Batch]]</f>
        <v>59</v>
      </c>
      <c r="P182" s="230">
        <f>Table3.110[[#This Row],[Run]]</f>
        <v>2</v>
      </c>
      <c r="Q182" s="230">
        <f>Table3.110[[#This Row],[Replication]]</f>
        <v>3</v>
      </c>
      <c r="R182" s="230">
        <f>Table3.110[[#This Row],[Syrange No]]</f>
        <v>20</v>
      </c>
      <c r="S182" s="265">
        <v>0.55989999999999995</v>
      </c>
      <c r="T182" s="265">
        <v>0.88660000000000005</v>
      </c>
      <c r="U182" s="108"/>
      <c r="V182" s="254">
        <f t="shared" si="9"/>
        <v>0.3267000000000001</v>
      </c>
      <c r="W182" s="61">
        <f>Table3.110[[#This Row],[DM Incubated, mg]]-('3.2 Digest'!V182*1000)</f>
        <v>146.55408688293619</v>
      </c>
      <c r="X182" s="61">
        <f>W182/Table3.110[[#This Row],[DM Incubated, mg]]*100</f>
        <v>30.967315643950833</v>
      </c>
      <c r="Y182" s="37">
        <f>Table3.1[[#This Row],[DM Incubated, mg]]*'2.4 NDF'!R51/100</f>
        <v>284.38500217002877</v>
      </c>
      <c r="Z182" s="37">
        <f t="shared" si="10"/>
        <v>-42.314997829971333</v>
      </c>
      <c r="AA182" s="37">
        <f t="shared" si="11"/>
        <v>-14.879475889052665</v>
      </c>
      <c r="AB182" s="89"/>
    </row>
    <row r="183" spans="2:28" x14ac:dyDescent="0.35">
      <c r="B183" s="230">
        <f t="shared" si="8"/>
        <v>173</v>
      </c>
      <c r="C183" s="61" t="s">
        <v>686</v>
      </c>
      <c r="D183" s="248">
        <f>Table3.110[[#This Row],[Date]]</f>
        <v>46043</v>
      </c>
      <c r="E183" s="230" t="str">
        <f>Table3.110[[#This Row],[Requisitioner]]</f>
        <v>Genbank</v>
      </c>
      <c r="F183" s="230" t="str">
        <f>Table3.110[[#This Row],[Gene Bank ID]]</f>
        <v>CIAT-33508</v>
      </c>
      <c r="G183" s="230" t="str">
        <f>Table3.110[[#This Row],[Genus]]</f>
        <v>Dendrolobium</v>
      </c>
      <c r="H183" s="230" t="str">
        <f>Table3.110[[#This Row],[Species]]</f>
        <v>umbellatum</v>
      </c>
      <c r="I183" s="230" t="str">
        <f>Table3.110[[#This Row],[Tax Name]]</f>
        <v>Dendrolobium umbellatum</v>
      </c>
      <c r="J183" s="230" t="str">
        <f>Table3.110[[#This Row],[Family]]</f>
        <v>Fabaceae</v>
      </c>
      <c r="K183" s="230" t="str">
        <f>Table3.110[[#This Row],[Order]]</f>
        <v>Fabales</v>
      </c>
      <c r="L183" s="230" t="str">
        <f>Table3.110[[#This Row],[Functional Group]]</f>
        <v>Tree</v>
      </c>
      <c r="M183" s="230" t="str">
        <f>Table3.110[[#This Row],[CIAT ID]]</f>
        <v>F251749</v>
      </c>
      <c r="N183" s="230">
        <f>Table3.110[[#This Row],[Set CIAT]]</f>
        <v>27</v>
      </c>
      <c r="O183" s="230">
        <f>Table3.110[[#This Row],[Batch]]</f>
        <v>59</v>
      </c>
      <c r="P183" s="230">
        <f>Table3.110[[#This Row],[Run]]</f>
        <v>2</v>
      </c>
      <c r="Q183" s="230">
        <f>Table3.110[[#This Row],[Replication]]</f>
        <v>1</v>
      </c>
      <c r="R183" s="230">
        <f>Table3.110[[#This Row],[Syrange No]]</f>
        <v>21</v>
      </c>
      <c r="S183" s="110">
        <v>0.58020000000000005</v>
      </c>
      <c r="T183" s="110">
        <v>0.87280000000000002</v>
      </c>
      <c r="U183" s="108"/>
      <c r="V183" s="254">
        <f t="shared" si="9"/>
        <v>0.29259999999999997</v>
      </c>
      <c r="W183" s="61">
        <f>Table3.110[[#This Row],[DM Incubated, mg]]-('3.2 Digest'!V183*1000)</f>
        <v>176.50622093244061</v>
      </c>
      <c r="X183" s="61">
        <f>W183/Table3.110[[#This Row],[DM Incubated, mg]]*100</f>
        <v>37.626066987898795</v>
      </c>
      <c r="Y183" s="37">
        <f>Table3.1[[#This Row],[DM Incubated, mg]]*'2.4 NDF'!R53/100</f>
        <v>273.77714640840446</v>
      </c>
      <c r="Z183" s="37">
        <f t="shared" si="10"/>
        <v>-18.822853591595504</v>
      </c>
      <c r="AA183" s="37">
        <f t="shared" si="11"/>
        <v>-6.8752464690813486</v>
      </c>
      <c r="AB183" s="89"/>
    </row>
    <row r="184" spans="2:28" x14ac:dyDescent="0.35">
      <c r="B184" s="230">
        <f t="shared" si="8"/>
        <v>174</v>
      </c>
      <c r="C184" s="61" t="s">
        <v>686</v>
      </c>
      <c r="D184" s="248">
        <f>Table3.110[[#This Row],[Date]]</f>
        <v>46043</v>
      </c>
      <c r="E184" s="230" t="str">
        <f>Table3.110[[#This Row],[Requisitioner]]</f>
        <v>Genbank</v>
      </c>
      <c r="F184" s="230" t="str">
        <f>Table3.110[[#This Row],[Gene Bank ID]]</f>
        <v>CIAT-33508</v>
      </c>
      <c r="G184" s="230" t="str">
        <f>Table3.110[[#This Row],[Genus]]</f>
        <v>Dendrolobium</v>
      </c>
      <c r="H184" s="230" t="str">
        <f>Table3.110[[#This Row],[Species]]</f>
        <v>umbellatum</v>
      </c>
      <c r="I184" s="230" t="str">
        <f>Table3.110[[#This Row],[Tax Name]]</f>
        <v>Dendrolobium umbellatum</v>
      </c>
      <c r="J184" s="230" t="str">
        <f>Table3.110[[#This Row],[Family]]</f>
        <v>Fabaceae</v>
      </c>
      <c r="K184" s="230" t="str">
        <f>Table3.110[[#This Row],[Order]]</f>
        <v>Fabales</v>
      </c>
      <c r="L184" s="230" t="str">
        <f>Table3.110[[#This Row],[Functional Group]]</f>
        <v>Tree</v>
      </c>
      <c r="M184" s="230" t="str">
        <f>Table3.110[[#This Row],[CIAT ID]]</f>
        <v>F251749</v>
      </c>
      <c r="N184" s="230">
        <f>Table3.110[[#This Row],[Set CIAT]]</f>
        <v>27</v>
      </c>
      <c r="O184" s="230">
        <f>Table3.110[[#This Row],[Batch]]</f>
        <v>59</v>
      </c>
      <c r="P184" s="230">
        <f>Table3.110[[#This Row],[Run]]</f>
        <v>2</v>
      </c>
      <c r="Q184" s="230">
        <f>Table3.110[[#This Row],[Replication]]</f>
        <v>2</v>
      </c>
      <c r="R184" s="230">
        <f>Table3.110[[#This Row],[Syrange No]]</f>
        <v>22</v>
      </c>
      <c r="S184" s="265">
        <v>0.58530000000000004</v>
      </c>
      <c r="T184" s="265">
        <v>0.90329999999999999</v>
      </c>
      <c r="U184" s="108"/>
      <c r="V184" s="254">
        <f t="shared" si="9"/>
        <v>0.31799999999999995</v>
      </c>
      <c r="W184" s="61">
        <f>Table3.110[[#This Row],[DM Incubated, mg]]-('3.2 Digest'!V184*1000)</f>
        <v>151.10622093244064</v>
      </c>
      <c r="X184" s="61">
        <f>W184/Table3.110[[#This Row],[DM Incubated, mg]]*100</f>
        <v>32.211515044948115</v>
      </c>
      <c r="Y184" s="37">
        <f>Table3.1[[#This Row],[DM Incubated, mg]]*'2.4 NDF'!R53/100</f>
        <v>273.77714640840446</v>
      </c>
      <c r="Z184" s="37">
        <f t="shared" si="10"/>
        <v>-44.222853591595481</v>
      </c>
      <c r="AA184" s="37">
        <f t="shared" si="11"/>
        <v>-16.152865267149238</v>
      </c>
      <c r="AB184" s="89"/>
    </row>
    <row r="185" spans="2:28" x14ac:dyDescent="0.35">
      <c r="B185" s="230">
        <f t="shared" si="8"/>
        <v>175</v>
      </c>
      <c r="C185" s="61" t="s">
        <v>686</v>
      </c>
      <c r="D185" s="248">
        <f>Table3.110[[#This Row],[Date]]</f>
        <v>46043</v>
      </c>
      <c r="E185" s="230" t="str">
        <f>Table3.110[[#This Row],[Requisitioner]]</f>
        <v>Genbank</v>
      </c>
      <c r="F185" s="230" t="str">
        <f>Table3.110[[#This Row],[Gene Bank ID]]</f>
        <v>CIAT-33508</v>
      </c>
      <c r="G185" s="230" t="str">
        <f>Table3.110[[#This Row],[Genus]]</f>
        <v>Dendrolobium</v>
      </c>
      <c r="H185" s="230" t="str">
        <f>Table3.110[[#This Row],[Species]]</f>
        <v>umbellatum</v>
      </c>
      <c r="I185" s="230" t="str">
        <f>Table3.110[[#This Row],[Tax Name]]</f>
        <v>Dendrolobium umbellatum</v>
      </c>
      <c r="J185" s="230" t="str">
        <f>Table3.110[[#This Row],[Family]]</f>
        <v>Fabaceae</v>
      </c>
      <c r="K185" s="230" t="str">
        <f>Table3.110[[#This Row],[Order]]</f>
        <v>Fabales</v>
      </c>
      <c r="L185" s="230" t="str">
        <f>Table3.110[[#This Row],[Functional Group]]</f>
        <v>Tree</v>
      </c>
      <c r="M185" s="230" t="str">
        <f>Table3.110[[#This Row],[CIAT ID]]</f>
        <v>F251749</v>
      </c>
      <c r="N185" s="230">
        <f>Table3.110[[#This Row],[Set CIAT]]</f>
        <v>27</v>
      </c>
      <c r="O185" s="230">
        <f>Table3.110[[#This Row],[Batch]]</f>
        <v>59</v>
      </c>
      <c r="P185" s="230">
        <f>Table3.110[[#This Row],[Run]]</f>
        <v>2</v>
      </c>
      <c r="Q185" s="230">
        <f>Table3.110[[#This Row],[Replication]]</f>
        <v>3</v>
      </c>
      <c r="R185" s="230">
        <f>Table3.110[[#This Row],[Syrange No]]</f>
        <v>23</v>
      </c>
      <c r="S185" s="110">
        <v>0.58509999999999995</v>
      </c>
      <c r="T185" s="110">
        <v>0.94769999999999999</v>
      </c>
      <c r="U185" s="108"/>
      <c r="V185" s="254">
        <f t="shared" si="9"/>
        <v>0.36260000000000003</v>
      </c>
      <c r="W185" s="61">
        <f>Table3.110[[#This Row],[DM Incubated, mg]]-('3.2 Digest'!V185*1000)</f>
        <v>106.50622093244056</v>
      </c>
      <c r="X185" s="61">
        <f>W185/Table3.110[[#This Row],[DM Incubated, mg]]*100</f>
        <v>22.704073444333901</v>
      </c>
      <c r="Y185" s="37">
        <f>Table3.1[[#This Row],[DM Incubated, mg]]*'2.4 NDF'!R53/100</f>
        <v>273.77714640840446</v>
      </c>
      <c r="Z185" s="37">
        <f t="shared" si="10"/>
        <v>-88.82285359159556</v>
      </c>
      <c r="AA185" s="37">
        <f t="shared" si="11"/>
        <v>-32.443487251158245</v>
      </c>
      <c r="AB185" s="89"/>
    </row>
    <row r="186" spans="2:28" x14ac:dyDescent="0.35">
      <c r="B186" s="230">
        <f t="shared" si="8"/>
        <v>176</v>
      </c>
      <c r="C186" s="61" t="s">
        <v>686</v>
      </c>
      <c r="D186" s="248">
        <f>Table3.110[[#This Row],[Date]]</f>
        <v>46043</v>
      </c>
      <c r="E186" s="230" t="str">
        <f>Table3.110[[#This Row],[Requisitioner]]</f>
        <v>Genbank</v>
      </c>
      <c r="F186" s="230" t="str">
        <f>Table3.110[[#This Row],[Gene Bank ID]]</f>
        <v>CIAT-33515</v>
      </c>
      <c r="G186" s="230" t="str">
        <f>Table3.110[[#This Row],[Genus]]</f>
        <v>Dendrolobium</v>
      </c>
      <c r="H186" s="230" t="str">
        <f>Table3.110[[#This Row],[Species]]</f>
        <v>triangulare</v>
      </c>
      <c r="I186" s="230" t="str">
        <f>Table3.110[[#This Row],[Tax Name]]</f>
        <v>Dendrolobium triangulare</v>
      </c>
      <c r="J186" s="230" t="str">
        <f>Table3.110[[#This Row],[Family]]</f>
        <v>Fabaceae</v>
      </c>
      <c r="K186" s="230" t="str">
        <f>Table3.110[[#This Row],[Order]]</f>
        <v>Fabales</v>
      </c>
      <c r="L186" s="230" t="str">
        <f>Table3.110[[#This Row],[Functional Group]]</f>
        <v>Tree</v>
      </c>
      <c r="M186" s="230" t="str">
        <f>Table3.110[[#This Row],[CIAT ID]]</f>
        <v>F251750</v>
      </c>
      <c r="N186" s="230">
        <f>Table3.110[[#This Row],[Set CIAT]]</f>
        <v>27</v>
      </c>
      <c r="O186" s="230">
        <f>Table3.110[[#This Row],[Batch]]</f>
        <v>59</v>
      </c>
      <c r="P186" s="230">
        <f>Table3.110[[#This Row],[Run]]</f>
        <v>2</v>
      </c>
      <c r="Q186" s="230">
        <f>Table3.110[[#This Row],[Replication]]</f>
        <v>1</v>
      </c>
      <c r="R186" s="230">
        <f>Table3.110[[#This Row],[Syrange No]]</f>
        <v>24</v>
      </c>
      <c r="S186" s="265">
        <v>0.59760000000000002</v>
      </c>
      <c r="T186" s="265">
        <v>0.97670000000000001</v>
      </c>
      <c r="U186" s="108"/>
      <c r="V186" s="254">
        <f t="shared" si="9"/>
        <v>0.37909999999999999</v>
      </c>
      <c r="W186" s="61">
        <f>Table3.110[[#This Row],[DM Incubated, mg]]-('3.2 Digest'!V186*1000)</f>
        <v>88.235181484554857</v>
      </c>
      <c r="X186" s="61">
        <f>W186/Table3.110[[#This Row],[DM Incubated, mg]]*100</f>
        <v>18.880491985273526</v>
      </c>
      <c r="Y186" s="37">
        <f>Table3.1[[#This Row],[DM Incubated, mg]]*'2.4 NDF'!R55/100</f>
        <v>295.90537253939584</v>
      </c>
      <c r="Z186" s="37">
        <f t="shared" si="10"/>
        <v>-83.194627460604124</v>
      </c>
      <c r="AA186" s="37">
        <f t="shared" si="11"/>
        <v>-28.115281161219158</v>
      </c>
      <c r="AB186" s="89"/>
    </row>
    <row r="187" spans="2:28" x14ac:dyDescent="0.35">
      <c r="B187" s="230">
        <f t="shared" si="8"/>
        <v>177</v>
      </c>
      <c r="C187" s="61" t="s">
        <v>686</v>
      </c>
      <c r="D187" s="248">
        <f>Table3.110[[#This Row],[Date]]</f>
        <v>46043</v>
      </c>
      <c r="E187" s="230" t="str">
        <f>Table3.110[[#This Row],[Requisitioner]]</f>
        <v>Genbank</v>
      </c>
      <c r="F187" s="230" t="str">
        <f>Table3.110[[#This Row],[Gene Bank ID]]</f>
        <v>CIAT-33515</v>
      </c>
      <c r="G187" s="230" t="str">
        <f>Table3.110[[#This Row],[Genus]]</f>
        <v>Dendrolobium</v>
      </c>
      <c r="H187" s="230" t="str">
        <f>Table3.110[[#This Row],[Species]]</f>
        <v>triangulare</v>
      </c>
      <c r="I187" s="230" t="str">
        <f>Table3.110[[#This Row],[Tax Name]]</f>
        <v>Dendrolobium triangulare</v>
      </c>
      <c r="J187" s="230" t="str">
        <f>Table3.110[[#This Row],[Family]]</f>
        <v>Fabaceae</v>
      </c>
      <c r="K187" s="230" t="str">
        <f>Table3.110[[#This Row],[Order]]</f>
        <v>Fabales</v>
      </c>
      <c r="L187" s="230" t="str">
        <f>Table3.110[[#This Row],[Functional Group]]</f>
        <v>Tree</v>
      </c>
      <c r="M187" s="230" t="str">
        <f>Table3.110[[#This Row],[CIAT ID]]</f>
        <v>F251750</v>
      </c>
      <c r="N187" s="230">
        <f>Table3.110[[#This Row],[Set CIAT]]</f>
        <v>27</v>
      </c>
      <c r="O187" s="230">
        <f>Table3.110[[#This Row],[Batch]]</f>
        <v>59</v>
      </c>
      <c r="P187" s="230">
        <f>Table3.110[[#This Row],[Run]]</f>
        <v>2</v>
      </c>
      <c r="Q187" s="230">
        <f>Table3.110[[#This Row],[Replication]]</f>
        <v>2</v>
      </c>
      <c r="R187" s="230">
        <f>Table3.110[[#This Row],[Syrange No]]</f>
        <v>25</v>
      </c>
      <c r="S187" s="110">
        <v>0.56899999999999995</v>
      </c>
      <c r="T187" s="110">
        <v>0.93130000000000002</v>
      </c>
      <c r="U187" s="108"/>
      <c r="V187" s="254">
        <f t="shared" si="9"/>
        <v>0.36230000000000007</v>
      </c>
      <c r="W187" s="61">
        <f>Table3.110[[#This Row],[DM Incubated, mg]]-('3.2 Digest'!V187*1000)</f>
        <v>104.75494851544551</v>
      </c>
      <c r="X187" s="61">
        <f>W187/Table3.110[[#This Row],[DM Incubated, mg]]*100</f>
        <v>22.428827453474938</v>
      </c>
      <c r="Y187" s="37">
        <f>Table3.1[[#This Row],[DM Incubated, mg]]*'2.4 NDF'!R55/100</f>
        <v>295.72793577792913</v>
      </c>
      <c r="Z187" s="37">
        <f t="shared" si="10"/>
        <v>-66.572064222070935</v>
      </c>
      <c r="AA187" s="37">
        <f t="shared" si="11"/>
        <v>-22.511253137769803</v>
      </c>
      <c r="AB187" s="89"/>
    </row>
    <row r="188" spans="2:28" x14ac:dyDescent="0.35">
      <c r="B188" s="230">
        <f t="shared" si="8"/>
        <v>178</v>
      </c>
      <c r="C188" s="61" t="s">
        <v>686</v>
      </c>
      <c r="D188" s="248">
        <f>Table3.110[[#This Row],[Date]]</f>
        <v>46043</v>
      </c>
      <c r="E188" s="230" t="str">
        <f>Table3.110[[#This Row],[Requisitioner]]</f>
        <v>Genbank</v>
      </c>
      <c r="F188" s="230" t="str">
        <f>Table3.110[[#This Row],[Gene Bank ID]]</f>
        <v>CIAT-33515</v>
      </c>
      <c r="G188" s="230" t="str">
        <f>Table3.110[[#This Row],[Genus]]</f>
        <v>Dendrolobium</v>
      </c>
      <c r="H188" s="230" t="str">
        <f>Table3.110[[#This Row],[Species]]</f>
        <v>triangulare</v>
      </c>
      <c r="I188" s="230" t="str">
        <f>Table3.110[[#This Row],[Tax Name]]</f>
        <v>Dendrolobium triangulare</v>
      </c>
      <c r="J188" s="230" t="str">
        <f>Table3.110[[#This Row],[Family]]</f>
        <v>Fabaceae</v>
      </c>
      <c r="K188" s="230" t="str">
        <f>Table3.110[[#This Row],[Order]]</f>
        <v>Fabales</v>
      </c>
      <c r="L188" s="230" t="str">
        <f>Table3.110[[#This Row],[Functional Group]]</f>
        <v>Tree</v>
      </c>
      <c r="M188" s="230" t="str">
        <f>Table3.110[[#This Row],[CIAT ID]]</f>
        <v>F251750</v>
      </c>
      <c r="N188" s="230">
        <f>Table3.110[[#This Row],[Set CIAT]]</f>
        <v>27</v>
      </c>
      <c r="O188" s="230">
        <f>Table3.110[[#This Row],[Batch]]</f>
        <v>59</v>
      </c>
      <c r="P188" s="230">
        <f>Table3.110[[#This Row],[Run]]</f>
        <v>2</v>
      </c>
      <c r="Q188" s="230">
        <f>Table3.110[[#This Row],[Replication]]</f>
        <v>3</v>
      </c>
      <c r="R188" s="230">
        <f>Table3.110[[#This Row],[Syrange No]]</f>
        <v>26</v>
      </c>
      <c r="S188" s="265">
        <v>0.56220000000000003</v>
      </c>
      <c r="T188" s="265">
        <v>0.92220000000000002</v>
      </c>
      <c r="U188" s="108"/>
      <c r="V188" s="254">
        <f t="shared" si="9"/>
        <v>0.36</v>
      </c>
      <c r="W188" s="61">
        <f>Table3.110[[#This Row],[DM Incubated, mg]]-('3.2 Digest'!V188*1000)</f>
        <v>107.33518148455482</v>
      </c>
      <c r="X188" s="61">
        <f>W188/Table3.110[[#This Row],[DM Incubated, mg]]*100</f>
        <v>22.967494367445177</v>
      </c>
      <c r="Y188" s="37">
        <f>Table3.1[[#This Row],[DM Incubated, mg]]*'2.4 NDF'!R55/100</f>
        <v>295.90537253939584</v>
      </c>
      <c r="Z188" s="37">
        <f t="shared" si="10"/>
        <v>-64.094627460604158</v>
      </c>
      <c r="AA188" s="37">
        <f t="shared" si="11"/>
        <v>-21.660514951302826</v>
      </c>
      <c r="AB188" s="89"/>
    </row>
    <row r="189" spans="2:28" x14ac:dyDescent="0.35">
      <c r="B189" s="230">
        <f t="shared" si="8"/>
        <v>179</v>
      </c>
      <c r="C189" s="61" t="s">
        <v>686</v>
      </c>
      <c r="D189" s="248">
        <f>Table3.110[[#This Row],[Date]]</f>
        <v>46043</v>
      </c>
      <c r="E189" s="230" t="str">
        <f>Table3.110[[#This Row],[Requisitioner]]</f>
        <v>Genbank</v>
      </c>
      <c r="F189" s="230" t="str">
        <f>Table3.110[[#This Row],[Gene Bank ID]]</f>
        <v>CIAT-7353</v>
      </c>
      <c r="G189" s="230" t="str">
        <f>Table3.110[[#This Row],[Genus]]</f>
        <v>Prosopis</v>
      </c>
      <c r="H189" s="230" t="str">
        <f>Table3.110[[#This Row],[Species]]</f>
        <v>juliflora</v>
      </c>
      <c r="I189" s="230" t="str">
        <f>Table3.110[[#This Row],[Tax Name]]</f>
        <v>Prosopis juliflora</v>
      </c>
      <c r="J189" s="230" t="str">
        <f>Table3.110[[#This Row],[Family]]</f>
        <v>Fabaceae</v>
      </c>
      <c r="K189" s="230" t="str">
        <f>Table3.110[[#This Row],[Order]]</f>
        <v>Fabales</v>
      </c>
      <c r="L189" s="230" t="str">
        <f>Table3.110[[#This Row],[Functional Group]]</f>
        <v>Tree</v>
      </c>
      <c r="M189" s="230" t="str">
        <f>Table3.110[[#This Row],[CIAT ID]]</f>
        <v>F251751</v>
      </c>
      <c r="N189" s="230">
        <f>Table3.110[[#This Row],[Set CIAT]]</f>
        <v>27</v>
      </c>
      <c r="O189" s="230">
        <f>Table3.110[[#This Row],[Batch]]</f>
        <v>59</v>
      </c>
      <c r="P189" s="230">
        <f>Table3.110[[#This Row],[Run]]</f>
        <v>2</v>
      </c>
      <c r="Q189" s="230">
        <f>Table3.110[[#This Row],[Replication]]</f>
        <v>1</v>
      </c>
      <c r="R189" s="230">
        <f>Table3.110[[#This Row],[Syrange No]]</f>
        <v>27</v>
      </c>
      <c r="S189" s="110">
        <v>0.55510000000000004</v>
      </c>
      <c r="T189" s="110">
        <v>0.81720000000000004</v>
      </c>
      <c r="U189" s="108"/>
      <c r="V189" s="254">
        <f t="shared" si="9"/>
        <v>0.2621</v>
      </c>
      <c r="W189" s="61">
        <f>Table3.110[[#This Row],[DM Incubated, mg]]-('3.2 Digest'!V189*1000)</f>
        <v>211.3169671493535</v>
      </c>
      <c r="X189" s="61">
        <f>W189/Table3.110[[#This Row],[DM Incubated, mg]]*100</f>
        <v>44.636542796888655</v>
      </c>
      <c r="Y189" s="37">
        <f>Table3.1[[#This Row],[DM Incubated, mg]]*'2.4 NDF'!R57/100</f>
        <v>219.30791257113211</v>
      </c>
      <c r="Z189" s="37">
        <f t="shared" si="10"/>
        <v>-42.792087428867916</v>
      </c>
      <c r="AA189" s="37">
        <f t="shared" si="11"/>
        <v>-19.512331738139356</v>
      </c>
      <c r="AB189" s="89"/>
    </row>
    <row r="190" spans="2:28" x14ac:dyDescent="0.35">
      <c r="B190" s="230">
        <f t="shared" si="8"/>
        <v>180</v>
      </c>
      <c r="C190" s="61" t="s">
        <v>686</v>
      </c>
      <c r="D190" s="248">
        <f>Table3.110[[#This Row],[Date]]</f>
        <v>46043</v>
      </c>
      <c r="E190" s="230" t="str">
        <f>Table3.110[[#This Row],[Requisitioner]]</f>
        <v>Genbank</v>
      </c>
      <c r="F190" s="230" t="str">
        <f>Table3.110[[#This Row],[Gene Bank ID]]</f>
        <v>CIAT-7353</v>
      </c>
      <c r="G190" s="230" t="str">
        <f>Table3.110[[#This Row],[Genus]]</f>
        <v>Prosopis</v>
      </c>
      <c r="H190" s="230" t="str">
        <f>Table3.110[[#This Row],[Species]]</f>
        <v>juliflora</v>
      </c>
      <c r="I190" s="230" t="str">
        <f>Table3.110[[#This Row],[Tax Name]]</f>
        <v>Prosopis juliflora</v>
      </c>
      <c r="J190" s="230" t="str">
        <f>Table3.110[[#This Row],[Family]]</f>
        <v>Fabaceae</v>
      </c>
      <c r="K190" s="230" t="str">
        <f>Table3.110[[#This Row],[Order]]</f>
        <v>Fabales</v>
      </c>
      <c r="L190" s="230" t="str">
        <f>Table3.110[[#This Row],[Functional Group]]</f>
        <v>Tree</v>
      </c>
      <c r="M190" s="230" t="str">
        <f>Table3.110[[#This Row],[CIAT ID]]</f>
        <v>F251751</v>
      </c>
      <c r="N190" s="230">
        <f>Table3.110[[#This Row],[Set CIAT]]</f>
        <v>27</v>
      </c>
      <c r="O190" s="230">
        <f>Table3.110[[#This Row],[Batch]]</f>
        <v>59</v>
      </c>
      <c r="P190" s="230">
        <f>Table3.110[[#This Row],[Run]]</f>
        <v>2</v>
      </c>
      <c r="Q190" s="230">
        <f>Table3.110[[#This Row],[Replication]]</f>
        <v>2</v>
      </c>
      <c r="R190" s="230">
        <f>Table3.110[[#This Row],[Syrange No]]</f>
        <v>28</v>
      </c>
      <c r="S190" s="265">
        <v>0.57630000000000003</v>
      </c>
      <c r="T190" s="265">
        <v>0.81499999999999995</v>
      </c>
      <c r="U190" s="108"/>
      <c r="V190" s="254">
        <f t="shared" si="9"/>
        <v>0.23869999999999991</v>
      </c>
      <c r="W190" s="61">
        <f>Table3.110[[#This Row],[DM Incubated, mg]]-('3.2 Digest'!V190*1000)</f>
        <v>234.43308729697551</v>
      </c>
      <c r="X190" s="61">
        <f>W190/Table3.110[[#This Row],[DM Incubated, mg]]*100</f>
        <v>49.549079020513929</v>
      </c>
      <c r="Y190" s="37">
        <f>Table3.1[[#This Row],[DM Incubated, mg]]*'2.4 NDF'!R57/100</f>
        <v>219.17640672709589</v>
      </c>
      <c r="Z190" s="37">
        <f t="shared" si="10"/>
        <v>-19.523593272904009</v>
      </c>
      <c r="AA190" s="37">
        <f t="shared" si="11"/>
        <v>-8.9077075240190009</v>
      </c>
      <c r="AB190" s="89"/>
    </row>
    <row r="191" spans="2:28" x14ac:dyDescent="0.35">
      <c r="B191" s="230">
        <f t="shared" si="8"/>
        <v>181</v>
      </c>
      <c r="C191" s="61" t="s">
        <v>686</v>
      </c>
      <c r="D191" s="248">
        <f>Table3.110[[#This Row],[Date]]</f>
        <v>46043</v>
      </c>
      <c r="E191" s="230" t="str">
        <f>Table3.110[[#This Row],[Requisitioner]]</f>
        <v>Genbank</v>
      </c>
      <c r="F191" s="230" t="str">
        <f>Table3.110[[#This Row],[Gene Bank ID]]</f>
        <v>CIAT-7353</v>
      </c>
      <c r="G191" s="230" t="str">
        <f>Table3.110[[#This Row],[Genus]]</f>
        <v>Prosopis</v>
      </c>
      <c r="H191" s="230" t="str">
        <f>Table3.110[[#This Row],[Species]]</f>
        <v>juliflora</v>
      </c>
      <c r="I191" s="230" t="str">
        <f>Table3.110[[#This Row],[Tax Name]]</f>
        <v>Prosopis juliflora</v>
      </c>
      <c r="J191" s="230" t="str">
        <f>Table3.110[[#This Row],[Family]]</f>
        <v>Fabaceae</v>
      </c>
      <c r="K191" s="230" t="str">
        <f>Table3.110[[#This Row],[Order]]</f>
        <v>Fabales</v>
      </c>
      <c r="L191" s="230" t="str">
        <f>Table3.110[[#This Row],[Functional Group]]</f>
        <v>Tree</v>
      </c>
      <c r="M191" s="230" t="str">
        <f>Table3.110[[#This Row],[CIAT ID]]</f>
        <v>F251751</v>
      </c>
      <c r="N191" s="230">
        <f>Table3.110[[#This Row],[Set CIAT]]</f>
        <v>27</v>
      </c>
      <c r="O191" s="230">
        <f>Table3.110[[#This Row],[Batch]]</f>
        <v>59</v>
      </c>
      <c r="P191" s="230">
        <f>Table3.110[[#This Row],[Run]]</f>
        <v>2</v>
      </c>
      <c r="Q191" s="230">
        <f>Table3.110[[#This Row],[Replication]]</f>
        <v>3</v>
      </c>
      <c r="R191" s="230">
        <f>Table3.110[[#This Row],[Syrange No]]</f>
        <v>29</v>
      </c>
      <c r="S191" s="110">
        <v>0.57199999999999995</v>
      </c>
      <c r="T191" s="110">
        <v>0.82210000000000005</v>
      </c>
      <c r="U191" s="108"/>
      <c r="V191" s="254">
        <f t="shared" si="9"/>
        <v>0.2501000000000001</v>
      </c>
      <c r="W191" s="61">
        <f>Table3.110[[#This Row],[DM Incubated, mg]]-('3.2 Digest'!V191*1000)</f>
        <v>223.03308729697531</v>
      </c>
      <c r="X191" s="61">
        <f>W191/Table3.110[[#This Row],[DM Incubated, mg]]*100</f>
        <v>47.139608977924276</v>
      </c>
      <c r="Y191" s="37">
        <f>Table3.1[[#This Row],[DM Incubated, mg]]*'2.4 NDF'!R57/100</f>
        <v>219.17640672709589</v>
      </c>
      <c r="Z191" s="37">
        <f t="shared" si="10"/>
        <v>-30.923593272904213</v>
      </c>
      <c r="AA191" s="37">
        <f t="shared" si="11"/>
        <v>-14.108997284278068</v>
      </c>
      <c r="AB191" s="89"/>
    </row>
    <row r="192" spans="2:28" x14ac:dyDescent="0.35">
      <c r="B192" s="230">
        <f t="shared" si="8"/>
        <v>182</v>
      </c>
      <c r="C192" s="61" t="s">
        <v>686</v>
      </c>
      <c r="D192" s="248">
        <f>Table3.110[[#This Row],[Date]]</f>
        <v>46043</v>
      </c>
      <c r="E192" s="230" t="str">
        <f>Table3.110[[#This Row],[Requisitioner]]</f>
        <v>Genbank</v>
      </c>
      <c r="F192" s="230" t="str">
        <f>Table3.110[[#This Row],[Gene Bank ID]]</f>
        <v>CIAT-7976</v>
      </c>
      <c r="G192" s="230" t="str">
        <f>Table3.110[[#This Row],[Genus]]</f>
        <v>Cassia</v>
      </c>
      <c r="H192" s="230" t="str">
        <f>Table3.110[[#This Row],[Species]]</f>
        <v>sp.</v>
      </c>
      <c r="I192" s="230" t="str">
        <f>Table3.110[[#This Row],[Tax Name]]</f>
        <v>Cassia sp.</v>
      </c>
      <c r="J192" s="230" t="str">
        <f>Table3.110[[#This Row],[Family]]</f>
        <v>Fabaceae</v>
      </c>
      <c r="K192" s="230" t="str">
        <f>Table3.110[[#This Row],[Order]]</f>
        <v>Fabales</v>
      </c>
      <c r="L192" s="230" t="str">
        <f>Table3.110[[#This Row],[Functional Group]]</f>
        <v>Tree</v>
      </c>
      <c r="M192" s="230" t="str">
        <f>Table3.110[[#This Row],[CIAT ID]]</f>
        <v>F251752</v>
      </c>
      <c r="N192" s="230">
        <f>Table3.110[[#This Row],[Set CIAT]]</f>
        <v>27</v>
      </c>
      <c r="O192" s="230">
        <f>Table3.110[[#This Row],[Batch]]</f>
        <v>59</v>
      </c>
      <c r="P192" s="230">
        <f>Table3.110[[#This Row],[Run]]</f>
        <v>2</v>
      </c>
      <c r="Q192" s="230">
        <f>Table3.110[[#This Row],[Replication]]</f>
        <v>1</v>
      </c>
      <c r="R192" s="230">
        <f>Table3.110[[#This Row],[Syrange No]]</f>
        <v>30</v>
      </c>
      <c r="S192" s="265">
        <v>0.57240000000000002</v>
      </c>
      <c r="T192" s="265">
        <v>0.82750000000000001</v>
      </c>
      <c r="U192" s="108"/>
      <c r="V192" s="254">
        <f t="shared" si="9"/>
        <v>0.25509999999999999</v>
      </c>
      <c r="W192" s="61">
        <f>Table3.110[[#This Row],[DM Incubated, mg]]-('3.2 Digest'!V192*1000)</f>
        <v>212.45524506815914</v>
      </c>
      <c r="X192" s="61">
        <f>W192/Table3.110[[#This Row],[DM Incubated, mg]]*100</f>
        <v>45.439602551606043</v>
      </c>
      <c r="Y192" s="37">
        <f>Table3.1[[#This Row],[DM Incubated, mg]]*'2.4 NDF'!R59/100</f>
        <v>234.3190069546464</v>
      </c>
      <c r="Z192" s="37">
        <f t="shared" si="10"/>
        <v>-20.780993045353597</v>
      </c>
      <c r="AA192" s="37">
        <f t="shared" si="11"/>
        <v>-8.8686757917917696</v>
      </c>
      <c r="AB192" s="89"/>
    </row>
    <row r="193" spans="2:28" x14ac:dyDescent="0.35">
      <c r="B193" s="230">
        <f t="shared" si="8"/>
        <v>183</v>
      </c>
      <c r="C193" s="61" t="s">
        <v>686</v>
      </c>
      <c r="D193" s="248">
        <f>Table3.110[[#This Row],[Date]]</f>
        <v>46043</v>
      </c>
      <c r="E193" s="230" t="str">
        <f>Table3.110[[#This Row],[Requisitioner]]</f>
        <v>Genbank</v>
      </c>
      <c r="F193" s="230" t="str">
        <f>Table3.110[[#This Row],[Gene Bank ID]]</f>
        <v>CIAT-7976</v>
      </c>
      <c r="G193" s="230" t="str">
        <f>Table3.110[[#This Row],[Genus]]</f>
        <v>Cassia</v>
      </c>
      <c r="H193" s="230" t="str">
        <f>Table3.110[[#This Row],[Species]]</f>
        <v>sp.</v>
      </c>
      <c r="I193" s="230" t="str">
        <f>Table3.110[[#This Row],[Tax Name]]</f>
        <v>Cassia sp.</v>
      </c>
      <c r="J193" s="230" t="str">
        <f>Table3.110[[#This Row],[Family]]</f>
        <v>Fabaceae</v>
      </c>
      <c r="K193" s="230" t="str">
        <f>Table3.110[[#This Row],[Order]]</f>
        <v>Fabales</v>
      </c>
      <c r="L193" s="230" t="str">
        <f>Table3.110[[#This Row],[Functional Group]]</f>
        <v>Tree</v>
      </c>
      <c r="M193" s="230" t="str">
        <f>Table3.110[[#This Row],[CIAT ID]]</f>
        <v>F251752</v>
      </c>
      <c r="N193" s="230">
        <f>Table3.110[[#This Row],[Set CIAT]]</f>
        <v>27</v>
      </c>
      <c r="O193" s="230">
        <f>Table3.110[[#This Row],[Batch]]</f>
        <v>59</v>
      </c>
      <c r="P193" s="230">
        <f>Table3.110[[#This Row],[Run]]</f>
        <v>2</v>
      </c>
      <c r="Q193" s="230">
        <f>Table3.110[[#This Row],[Replication]]</f>
        <v>2</v>
      </c>
      <c r="R193" s="230">
        <f>Table3.110[[#This Row],[Syrange No]]</f>
        <v>31</v>
      </c>
      <c r="S193" s="110">
        <v>0.57430000000000003</v>
      </c>
      <c r="T193" s="110">
        <v>0.85089999999999999</v>
      </c>
      <c r="U193" s="108"/>
      <c r="V193" s="254">
        <f t="shared" si="9"/>
        <v>0.27659999999999996</v>
      </c>
      <c r="W193" s="61">
        <f>Table3.110[[#This Row],[DM Incubated, mg]]-('3.2 Digest'!V193*1000)</f>
        <v>190.7684098053947</v>
      </c>
      <c r="X193" s="61">
        <f>W193/Table3.110[[#This Row],[DM Incubated, mg]]*100</f>
        <v>40.817566143340294</v>
      </c>
      <c r="Y193" s="37">
        <f>Table3.1[[#This Row],[DM Incubated, mg]]*'2.4 NDF'!R59/100</f>
        <v>234.22537298583336</v>
      </c>
      <c r="Z193" s="37">
        <f t="shared" si="10"/>
        <v>-42.374627014166606</v>
      </c>
      <c r="AA193" s="37">
        <f t="shared" si="11"/>
        <v>-18.09139055858374</v>
      </c>
      <c r="AB193" s="89"/>
    </row>
    <row r="194" spans="2:28" x14ac:dyDescent="0.35">
      <c r="B194" s="230">
        <f t="shared" si="8"/>
        <v>184</v>
      </c>
      <c r="C194" s="61" t="s">
        <v>686</v>
      </c>
      <c r="D194" s="248">
        <f>Table3.110[[#This Row],[Date]]</f>
        <v>46043</v>
      </c>
      <c r="E194" s="230" t="str">
        <f>Table3.110[[#This Row],[Requisitioner]]</f>
        <v>Genbank</v>
      </c>
      <c r="F194" s="230" t="str">
        <f>Table3.110[[#This Row],[Gene Bank ID]]</f>
        <v>CIAT-7976</v>
      </c>
      <c r="G194" s="230" t="str">
        <f>Table3.110[[#This Row],[Genus]]</f>
        <v>Cassia</v>
      </c>
      <c r="H194" s="230" t="str">
        <f>Table3.110[[#This Row],[Species]]</f>
        <v>sp.</v>
      </c>
      <c r="I194" s="230" t="str">
        <f>Table3.110[[#This Row],[Tax Name]]</f>
        <v>Cassia sp.</v>
      </c>
      <c r="J194" s="230" t="str">
        <f>Table3.110[[#This Row],[Family]]</f>
        <v>Fabaceae</v>
      </c>
      <c r="K194" s="230" t="str">
        <f>Table3.110[[#This Row],[Order]]</f>
        <v>Fabales</v>
      </c>
      <c r="L194" s="230" t="str">
        <f>Table3.110[[#This Row],[Functional Group]]</f>
        <v>Tree</v>
      </c>
      <c r="M194" s="230" t="str">
        <f>Table3.110[[#This Row],[CIAT ID]]</f>
        <v>F251752</v>
      </c>
      <c r="N194" s="230">
        <f>Table3.110[[#This Row],[Set CIAT]]</f>
        <v>27</v>
      </c>
      <c r="O194" s="230">
        <f>Table3.110[[#This Row],[Batch]]</f>
        <v>59</v>
      </c>
      <c r="P194" s="230">
        <f>Table3.110[[#This Row],[Run]]</f>
        <v>2</v>
      </c>
      <c r="Q194" s="230">
        <f>Table3.110[[#This Row],[Replication]]</f>
        <v>3</v>
      </c>
      <c r="R194" s="230">
        <f>Table3.110[[#This Row],[Syrange No]]</f>
        <v>32</v>
      </c>
      <c r="S194" s="265">
        <v>0.58799999999999997</v>
      </c>
      <c r="T194" s="265">
        <v>0.88649999999999995</v>
      </c>
      <c r="U194" s="108"/>
      <c r="V194" s="254">
        <f t="shared" si="9"/>
        <v>0.29849999999999999</v>
      </c>
      <c r="W194" s="61">
        <f>Table3.110[[#This Row],[DM Incubated, mg]]-('3.2 Digest'!V194*1000)</f>
        <v>168.68157454263019</v>
      </c>
      <c r="X194" s="61">
        <f>W194/Table3.110[[#This Row],[DM Incubated, mg]]*100</f>
        <v>36.106213030291087</v>
      </c>
      <c r="Y194" s="37">
        <f>Table3.1[[#This Row],[DM Incubated, mg]]*'2.4 NDF'!R59/100</f>
        <v>234.13173901702032</v>
      </c>
      <c r="Z194" s="37">
        <f t="shared" si="10"/>
        <v>-64.368260982979677</v>
      </c>
      <c r="AA194" s="37">
        <f t="shared" si="11"/>
        <v>-27.49232600980271</v>
      </c>
      <c r="AB194" s="89"/>
    </row>
    <row r="195" spans="2:28" x14ac:dyDescent="0.35">
      <c r="B195" s="230">
        <f t="shared" si="8"/>
        <v>185</v>
      </c>
      <c r="C195" s="61" t="s">
        <v>686</v>
      </c>
      <c r="D195" s="248">
        <f>Table3.110[[#This Row],[Date]]</f>
        <v>46043</v>
      </c>
      <c r="E195" s="230" t="str">
        <f>Table3.110[[#This Row],[Requisitioner]]</f>
        <v>Genbank</v>
      </c>
      <c r="F195" s="230" t="str">
        <f>Table3.110[[#This Row],[Gene Bank ID]]</f>
        <v>CIAT-8018</v>
      </c>
      <c r="G195" s="230" t="str">
        <f>Table3.110[[#This Row],[Genus]]</f>
        <v>Acacia</v>
      </c>
      <c r="H195" s="230" t="str">
        <f>Table3.110[[#This Row],[Species]]</f>
        <v>aroma</v>
      </c>
      <c r="I195" s="230" t="str">
        <f>Table3.110[[#This Row],[Tax Name]]</f>
        <v>Acacia aroma</v>
      </c>
      <c r="J195" s="230" t="str">
        <f>Table3.110[[#This Row],[Family]]</f>
        <v>Fabaceae</v>
      </c>
      <c r="K195" s="230" t="str">
        <f>Table3.110[[#This Row],[Order]]</f>
        <v>Fabales</v>
      </c>
      <c r="L195" s="230" t="str">
        <f>Table3.110[[#This Row],[Functional Group]]</f>
        <v>Tree</v>
      </c>
      <c r="M195" s="230" t="str">
        <f>Table3.110[[#This Row],[CIAT ID]]</f>
        <v>F251753</v>
      </c>
      <c r="N195" s="230">
        <f>Table3.110[[#This Row],[Set CIAT]]</f>
        <v>27</v>
      </c>
      <c r="O195" s="230">
        <f>Table3.110[[#This Row],[Batch]]</f>
        <v>59</v>
      </c>
      <c r="P195" s="230">
        <f>Table3.110[[#This Row],[Run]]</f>
        <v>2</v>
      </c>
      <c r="Q195" s="230">
        <f>Table3.110[[#This Row],[Replication]]</f>
        <v>1</v>
      </c>
      <c r="R195" s="230">
        <f>Table3.110[[#This Row],[Syrange No]]</f>
        <v>33</v>
      </c>
      <c r="S195" s="110">
        <v>0.59299999999999997</v>
      </c>
      <c r="T195" s="110">
        <v>0.97729999999999995</v>
      </c>
      <c r="U195" s="108"/>
      <c r="V195" s="254">
        <f t="shared" si="9"/>
        <v>0.38429999999999997</v>
      </c>
      <c r="W195" s="61">
        <f>Table3.110[[#This Row],[DM Incubated, mg]]-('3.2 Digest'!V195*1000)</f>
        <v>84.865675616876274</v>
      </c>
      <c r="X195" s="61">
        <f>W195/Table3.110[[#This Row],[DM Incubated, mg]]*100</f>
        <v>18.088636920271668</v>
      </c>
      <c r="Y195" s="37">
        <f>Table3.1[[#This Row],[DM Incubated, mg]]*'2.4 NDF'!R61/100</f>
        <v>329.98448785292186</v>
      </c>
      <c r="Z195" s="37">
        <f t="shared" si="10"/>
        <v>-54.315512147078095</v>
      </c>
      <c r="AA195" s="37">
        <f t="shared" si="11"/>
        <v>-16.460019833201127</v>
      </c>
      <c r="AB195" s="89"/>
    </row>
    <row r="196" spans="2:28" x14ac:dyDescent="0.35">
      <c r="B196" s="230">
        <f t="shared" si="8"/>
        <v>186</v>
      </c>
      <c r="C196" s="61" t="s">
        <v>686</v>
      </c>
      <c r="D196" s="248">
        <f>Table3.110[[#This Row],[Date]]</f>
        <v>46043</v>
      </c>
      <c r="E196" s="230" t="str">
        <f>Table3.110[[#This Row],[Requisitioner]]</f>
        <v>Genbank</v>
      </c>
      <c r="F196" s="230" t="str">
        <f>Table3.110[[#This Row],[Gene Bank ID]]</f>
        <v>CIAT-8018</v>
      </c>
      <c r="G196" s="230" t="str">
        <f>Table3.110[[#This Row],[Genus]]</f>
        <v>Acacia</v>
      </c>
      <c r="H196" s="230" t="str">
        <f>Table3.110[[#This Row],[Species]]</f>
        <v>aroma</v>
      </c>
      <c r="I196" s="230" t="str">
        <f>Table3.110[[#This Row],[Tax Name]]</f>
        <v>Acacia aroma</v>
      </c>
      <c r="J196" s="230" t="str">
        <f>Table3.110[[#This Row],[Family]]</f>
        <v>Fabaceae</v>
      </c>
      <c r="K196" s="230" t="str">
        <f>Table3.110[[#This Row],[Order]]</f>
        <v>Fabales</v>
      </c>
      <c r="L196" s="230" t="str">
        <f>Table3.110[[#This Row],[Functional Group]]</f>
        <v>Tree</v>
      </c>
      <c r="M196" s="230" t="str">
        <f>Table3.110[[#This Row],[CIAT ID]]</f>
        <v>F251753</v>
      </c>
      <c r="N196" s="230">
        <f>Table3.110[[#This Row],[Set CIAT]]</f>
        <v>27</v>
      </c>
      <c r="O196" s="230">
        <f>Table3.110[[#This Row],[Batch]]</f>
        <v>59</v>
      </c>
      <c r="P196" s="230">
        <f>Table3.110[[#This Row],[Run]]</f>
        <v>2</v>
      </c>
      <c r="Q196" s="230">
        <f>Table3.110[[#This Row],[Replication]]</f>
        <v>2</v>
      </c>
      <c r="R196" s="230">
        <f>Table3.110[[#This Row],[Syrange No]]</f>
        <v>34</v>
      </c>
      <c r="S196" s="265">
        <v>0.56610000000000005</v>
      </c>
      <c r="T196" s="265">
        <v>0.95030000000000003</v>
      </c>
      <c r="U196" s="108"/>
      <c r="V196" s="254">
        <f t="shared" si="9"/>
        <v>0.38419999999999999</v>
      </c>
      <c r="W196" s="61">
        <f>Table3.110[[#This Row],[DM Incubated, mg]]-('3.2 Digest'!V196*1000)</f>
        <v>84.778084383122973</v>
      </c>
      <c r="X196" s="61">
        <f>W196/Table3.110[[#This Row],[DM Incubated, mg]]*100</f>
        <v>18.077195333047822</v>
      </c>
      <c r="Y196" s="37">
        <f>Table3.1[[#This Row],[DM Incubated, mg]]*'2.4 NDF'!R61/100</f>
        <v>329.85254683418816</v>
      </c>
      <c r="Z196" s="37">
        <f t="shared" si="10"/>
        <v>-54.347453165811828</v>
      </c>
      <c r="AA196" s="37">
        <f t="shared" si="11"/>
        <v>-16.476287264542925</v>
      </c>
      <c r="AB196" s="89"/>
    </row>
    <row r="197" spans="2:28" x14ac:dyDescent="0.35">
      <c r="B197" s="230">
        <f t="shared" si="8"/>
        <v>187</v>
      </c>
      <c r="C197" s="61" t="s">
        <v>686</v>
      </c>
      <c r="D197" s="248">
        <f>Table3.110[[#This Row],[Date]]</f>
        <v>46043</v>
      </c>
      <c r="E197" s="230" t="str">
        <f>Table3.110[[#This Row],[Requisitioner]]</f>
        <v>Genbank</v>
      </c>
      <c r="F197" s="230" t="str">
        <f>Table3.110[[#This Row],[Gene Bank ID]]</f>
        <v>CIAT-8018</v>
      </c>
      <c r="G197" s="230" t="str">
        <f>Table3.110[[#This Row],[Genus]]</f>
        <v>Acacia</v>
      </c>
      <c r="H197" s="230" t="str">
        <f>Table3.110[[#This Row],[Species]]</f>
        <v>aroma</v>
      </c>
      <c r="I197" s="230" t="str">
        <f>Table3.110[[#This Row],[Tax Name]]</f>
        <v>Acacia aroma</v>
      </c>
      <c r="J197" s="230" t="str">
        <f>Table3.110[[#This Row],[Family]]</f>
        <v>Fabaceae</v>
      </c>
      <c r="K197" s="230" t="str">
        <f>Table3.110[[#This Row],[Order]]</f>
        <v>Fabales</v>
      </c>
      <c r="L197" s="230" t="str">
        <f>Table3.110[[#This Row],[Functional Group]]</f>
        <v>Tree</v>
      </c>
      <c r="M197" s="230" t="str">
        <f>Table3.110[[#This Row],[CIAT ID]]</f>
        <v>F251753</v>
      </c>
      <c r="N197" s="230">
        <f>Table3.110[[#This Row],[Set CIAT]]</f>
        <v>27</v>
      </c>
      <c r="O197" s="230">
        <f>Table3.110[[#This Row],[Batch]]</f>
        <v>59</v>
      </c>
      <c r="P197" s="230">
        <f>Table3.110[[#This Row],[Run]]</f>
        <v>2</v>
      </c>
      <c r="Q197" s="230">
        <f>Table3.110[[#This Row],[Replication]]</f>
        <v>3</v>
      </c>
      <c r="R197" s="230">
        <f>Table3.110[[#This Row],[Syrange No]]</f>
        <v>35</v>
      </c>
      <c r="S197" s="110">
        <v>0.56469999999999998</v>
      </c>
      <c r="T197" s="110">
        <v>0.92310000000000003</v>
      </c>
      <c r="U197" s="108"/>
      <c r="V197" s="254">
        <f t="shared" si="9"/>
        <v>0.35840000000000005</v>
      </c>
      <c r="W197" s="61">
        <f>Table3.110[[#This Row],[DM Incubated, mg]]-('3.2 Digest'!V197*1000)</f>
        <v>110.57808438312293</v>
      </c>
      <c r="X197" s="61">
        <f>W197/Table3.110[[#This Row],[DM Incubated, mg]]*100</f>
        <v>23.578518499126329</v>
      </c>
      <c r="Y197" s="37">
        <f>Table3.1[[#This Row],[DM Incubated, mg]]*'2.4 NDF'!R61/100</f>
        <v>329.85254683418816</v>
      </c>
      <c r="Z197" s="37">
        <f t="shared" si="10"/>
        <v>-28.547453165811874</v>
      </c>
      <c r="AA197" s="37">
        <f t="shared" si="11"/>
        <v>-8.6546105039359436</v>
      </c>
      <c r="AB197" s="89"/>
    </row>
    <row r="198" spans="2:28" x14ac:dyDescent="0.35">
      <c r="B198" s="230">
        <f t="shared" si="8"/>
        <v>188</v>
      </c>
      <c r="C198" s="61" t="s">
        <v>686</v>
      </c>
      <c r="D198" s="248">
        <f>Table3.110[[#This Row],[Date]]</f>
        <v>46043</v>
      </c>
      <c r="E198" s="230" t="str">
        <f>Table3.110[[#This Row],[Requisitioner]]</f>
        <v>Genbank</v>
      </c>
      <c r="F198" s="230" t="str">
        <f>Table3.110[[#This Row],[Gene Bank ID]]</f>
        <v>CIAT-9990</v>
      </c>
      <c r="G198" s="230" t="str">
        <f>Table3.110[[#This Row],[Genus]]</f>
        <v>Prosopis</v>
      </c>
      <c r="H198" s="230" t="str">
        <f>Table3.110[[#This Row],[Species]]</f>
        <v>juliflora</v>
      </c>
      <c r="I198" s="230" t="str">
        <f>Table3.110[[#This Row],[Tax Name]]</f>
        <v>Prosopis juliflora</v>
      </c>
      <c r="J198" s="230" t="str">
        <f>Table3.110[[#This Row],[Family]]</f>
        <v>Fabaceae</v>
      </c>
      <c r="K198" s="230" t="str">
        <f>Table3.110[[#This Row],[Order]]</f>
        <v>Fabales</v>
      </c>
      <c r="L198" s="230" t="str">
        <f>Table3.110[[#This Row],[Functional Group]]</f>
        <v>Tree</v>
      </c>
      <c r="M198" s="230" t="str">
        <f>Table3.110[[#This Row],[CIAT ID]]</f>
        <v>F251754</v>
      </c>
      <c r="N198" s="230">
        <f>Table3.110[[#This Row],[Set CIAT]]</f>
        <v>27</v>
      </c>
      <c r="O198" s="230">
        <f>Table3.110[[#This Row],[Batch]]</f>
        <v>59</v>
      </c>
      <c r="P198" s="230">
        <f>Table3.110[[#This Row],[Run]]</f>
        <v>2</v>
      </c>
      <c r="Q198" s="230">
        <f>Table3.110[[#This Row],[Replication]]</f>
        <v>1</v>
      </c>
      <c r="R198" s="230">
        <f>Table3.110[[#This Row],[Syrange No]]</f>
        <v>36</v>
      </c>
      <c r="S198" s="265">
        <v>0.56930000000000003</v>
      </c>
      <c r="T198" s="265">
        <v>0.80130000000000001</v>
      </c>
      <c r="U198" s="108"/>
      <c r="V198" s="254">
        <f t="shared" si="9"/>
        <v>0.23199999999999998</v>
      </c>
      <c r="W198" s="61">
        <f>Table3.110[[#This Row],[DM Incubated, mg]]-('3.2 Digest'!V198*1000)</f>
        <v>233.05702578452909</v>
      </c>
      <c r="X198" s="61">
        <f>W198/Table3.110[[#This Row],[DM Incubated, mg]]*100</f>
        <v>50.113644749560116</v>
      </c>
      <c r="Y198" s="37">
        <f>Table3.1[[#This Row],[DM Incubated, mg]]*'2.4 NDF'!R63/100</f>
        <v>226.78057180640604</v>
      </c>
      <c r="Z198" s="37">
        <f t="shared" si="10"/>
        <v>-5.2194281935939273</v>
      </c>
      <c r="AA198" s="37">
        <f t="shared" si="11"/>
        <v>-2.3015323367512956</v>
      </c>
      <c r="AB198" s="89"/>
    </row>
    <row r="199" spans="2:28" x14ac:dyDescent="0.35">
      <c r="B199" s="230">
        <f t="shared" si="8"/>
        <v>189</v>
      </c>
      <c r="C199" s="61" t="s">
        <v>686</v>
      </c>
      <c r="D199" s="248">
        <f>Table3.110[[#This Row],[Date]]</f>
        <v>46043</v>
      </c>
      <c r="E199" s="230" t="str">
        <f>Table3.110[[#This Row],[Requisitioner]]</f>
        <v>Genbank</v>
      </c>
      <c r="F199" s="230" t="str">
        <f>Table3.110[[#This Row],[Gene Bank ID]]</f>
        <v>CIAT-9990</v>
      </c>
      <c r="G199" s="230" t="str">
        <f>Table3.110[[#This Row],[Genus]]</f>
        <v>Prosopis</v>
      </c>
      <c r="H199" s="230" t="str">
        <f>Table3.110[[#This Row],[Species]]</f>
        <v>juliflora</v>
      </c>
      <c r="I199" s="230" t="str">
        <f>Table3.110[[#This Row],[Tax Name]]</f>
        <v>Prosopis juliflora</v>
      </c>
      <c r="J199" s="230" t="str">
        <f>Table3.110[[#This Row],[Family]]</f>
        <v>Fabaceae</v>
      </c>
      <c r="K199" s="230" t="str">
        <f>Table3.110[[#This Row],[Order]]</f>
        <v>Fabales</v>
      </c>
      <c r="L199" s="230" t="str">
        <f>Table3.110[[#This Row],[Functional Group]]</f>
        <v>Tree</v>
      </c>
      <c r="M199" s="230" t="str">
        <f>Table3.110[[#This Row],[CIAT ID]]</f>
        <v>F251754</v>
      </c>
      <c r="N199" s="230">
        <f>Table3.110[[#This Row],[Set CIAT]]</f>
        <v>27</v>
      </c>
      <c r="O199" s="230">
        <f>Table3.110[[#This Row],[Batch]]</f>
        <v>59</v>
      </c>
      <c r="P199" s="230">
        <f>Table3.110[[#This Row],[Run]]</f>
        <v>2</v>
      </c>
      <c r="Q199" s="230">
        <f>Table3.110[[#This Row],[Replication]]</f>
        <v>2</v>
      </c>
      <c r="R199" s="230">
        <f>Table3.110[[#This Row],[Syrange No]]</f>
        <v>37</v>
      </c>
      <c r="S199" s="110">
        <v>0.57889999999999997</v>
      </c>
      <c r="T199" s="110">
        <v>0.76870000000000005</v>
      </c>
      <c r="U199" s="108"/>
      <c r="V199" s="254">
        <f t="shared" si="9"/>
        <v>0.18980000000000008</v>
      </c>
      <c r="W199" s="61">
        <f>Table3.110[[#This Row],[DM Incubated, mg]]-('3.2 Digest'!V199*1000)</f>
        <v>275.25702578452899</v>
      </c>
      <c r="X199" s="61">
        <f>W199/Table3.110[[#This Row],[DM Incubated, mg]]*100</f>
        <v>59.187800747700457</v>
      </c>
      <c r="Y199" s="37">
        <f>Table3.1[[#This Row],[DM Incubated, mg]]*'2.4 NDF'!R63/100</f>
        <v>226.78057180640604</v>
      </c>
      <c r="Z199" s="37">
        <f t="shared" si="10"/>
        <v>36.980571806405976</v>
      </c>
      <c r="AA199" s="37">
        <f t="shared" si="11"/>
        <v>16.306763631399114</v>
      </c>
      <c r="AB199" s="89"/>
    </row>
    <row r="200" spans="2:28" x14ac:dyDescent="0.35">
      <c r="B200" s="230">
        <f t="shared" si="8"/>
        <v>190</v>
      </c>
      <c r="C200" s="61" t="s">
        <v>686</v>
      </c>
      <c r="D200" s="248">
        <f>Table3.110[[#This Row],[Date]]</f>
        <v>46043</v>
      </c>
      <c r="E200" s="230" t="str">
        <f>Table3.110[[#This Row],[Requisitioner]]</f>
        <v>Genbank</v>
      </c>
      <c r="F200" s="230" t="str">
        <f>Table3.110[[#This Row],[Gene Bank ID]]</f>
        <v>CIAT-9990</v>
      </c>
      <c r="G200" s="230" t="str">
        <f>Table3.110[[#This Row],[Genus]]</f>
        <v>Prosopis</v>
      </c>
      <c r="H200" s="230" t="str">
        <f>Table3.110[[#This Row],[Species]]</f>
        <v>juliflora</v>
      </c>
      <c r="I200" s="230" t="str">
        <f>Table3.110[[#This Row],[Tax Name]]</f>
        <v>Prosopis juliflora</v>
      </c>
      <c r="J200" s="230" t="str">
        <f>Table3.110[[#This Row],[Family]]</f>
        <v>Fabaceae</v>
      </c>
      <c r="K200" s="230" t="str">
        <f>Table3.110[[#This Row],[Order]]</f>
        <v>Fabales</v>
      </c>
      <c r="L200" s="230" t="str">
        <f>Table3.110[[#This Row],[Functional Group]]</f>
        <v>Tree</v>
      </c>
      <c r="M200" s="230" t="str">
        <f>Table3.110[[#This Row],[CIAT ID]]</f>
        <v>F251754</v>
      </c>
      <c r="N200" s="230">
        <f>Table3.110[[#This Row],[Set CIAT]]</f>
        <v>27</v>
      </c>
      <c r="O200" s="230">
        <f>Table3.110[[#This Row],[Batch]]</f>
        <v>59</v>
      </c>
      <c r="P200" s="230">
        <f>Table3.110[[#This Row],[Run]]</f>
        <v>2</v>
      </c>
      <c r="Q200" s="230">
        <f>Table3.110[[#This Row],[Replication]]</f>
        <v>3</v>
      </c>
      <c r="R200" s="230">
        <f>Table3.110[[#This Row],[Syrange No]]</f>
        <v>38</v>
      </c>
      <c r="S200" s="265">
        <v>0.59730000000000005</v>
      </c>
      <c r="T200" s="265">
        <v>0.8448</v>
      </c>
      <c r="U200" s="108"/>
      <c r="V200" s="254">
        <f t="shared" si="9"/>
        <v>0.24749999999999994</v>
      </c>
      <c r="W200" s="61">
        <f>Table3.110[[#This Row],[DM Incubated, mg]]-('3.2 Digest'!V200*1000)</f>
        <v>217.55702578452912</v>
      </c>
      <c r="X200" s="61">
        <f>W200/Table3.110[[#This Row],[DM Incubated, mg]]*100</f>
        <v>46.780720153086769</v>
      </c>
      <c r="Y200" s="37">
        <f>Table3.1[[#This Row],[DM Incubated, mg]]*'2.4 NDF'!R63/100</f>
        <v>226.78057180640604</v>
      </c>
      <c r="Z200" s="37">
        <f t="shared" si="10"/>
        <v>-20.719428193593899</v>
      </c>
      <c r="AA200" s="37">
        <f t="shared" si="11"/>
        <v>-9.136332988560099</v>
      </c>
      <c r="AB200" s="89"/>
    </row>
    <row r="201" spans="2:28" x14ac:dyDescent="0.35">
      <c r="B201" s="230">
        <f t="shared" si="8"/>
        <v>191</v>
      </c>
      <c r="C201" s="61" t="s">
        <v>686</v>
      </c>
      <c r="D201" s="248">
        <f>Table3.110[[#This Row],[Date]]</f>
        <v>46043</v>
      </c>
      <c r="E201" s="230" t="str">
        <f>Table3.110[[#This Row],[Requisitioner]]</f>
        <v>Genbank</v>
      </c>
      <c r="F201" s="230" t="str">
        <f>Table3.110[[#This Row],[Gene Bank ID]]</f>
        <v>CIAT-13258</v>
      </c>
      <c r="G201" s="230" t="str">
        <f>Table3.110[[#This Row],[Genus]]</f>
        <v>Dendrolobium</v>
      </c>
      <c r="H201" s="230" t="str">
        <f>Table3.110[[#This Row],[Species]]</f>
        <v>lanceolatum</v>
      </c>
      <c r="I201" s="230" t="str">
        <f>Table3.110[[#This Row],[Tax Name]]</f>
        <v>Dendrolobium lanceolatum</v>
      </c>
      <c r="J201" s="230" t="str">
        <f>Table3.110[[#This Row],[Family]]</f>
        <v>Fabaceae</v>
      </c>
      <c r="K201" s="230" t="str">
        <f>Table3.110[[#This Row],[Order]]</f>
        <v>Fabales</v>
      </c>
      <c r="L201" s="230" t="str">
        <f>Table3.110[[#This Row],[Functional Group]]</f>
        <v>Tree</v>
      </c>
      <c r="M201" s="230" t="str">
        <f>Table3.110[[#This Row],[CIAT ID]]</f>
        <v>F251755</v>
      </c>
      <c r="N201" s="230">
        <f>Table3.110[[#This Row],[Set CIAT]]</f>
        <v>27</v>
      </c>
      <c r="O201" s="230">
        <f>Table3.110[[#This Row],[Batch]]</f>
        <v>59</v>
      </c>
      <c r="P201" s="230">
        <f>Table3.110[[#This Row],[Run]]</f>
        <v>2</v>
      </c>
      <c r="Q201" s="230">
        <f>Table3.110[[#This Row],[Replication]]</f>
        <v>1</v>
      </c>
      <c r="R201" s="230">
        <f>Table3.110[[#This Row],[Syrange No]]</f>
        <v>39</v>
      </c>
      <c r="S201" s="110">
        <v>0.59499999999999997</v>
      </c>
      <c r="T201" s="110">
        <v>0.99709999999999999</v>
      </c>
      <c r="U201" s="108"/>
      <c r="V201" s="254">
        <f t="shared" si="9"/>
        <v>0.40210000000000001</v>
      </c>
      <c r="W201" s="61">
        <f>Table3.110[[#This Row],[DM Incubated, mg]]-('3.2 Digest'!V201*1000)</f>
        <v>71.265534188123638</v>
      </c>
      <c r="X201" s="61">
        <f>W201/Table3.110[[#This Row],[DM Incubated, mg]]*100</f>
        <v>15.055074575793151</v>
      </c>
      <c r="Y201" s="37">
        <f>Table3.1[[#This Row],[DM Incubated, mg]]*'2.4 NDF'!R65/100</f>
        <v>292.55240658625172</v>
      </c>
      <c r="Z201" s="37">
        <f t="shared" si="10"/>
        <v>-109.5475934137483</v>
      </c>
      <c r="AA201" s="37">
        <f t="shared" si="11"/>
        <v>-37.445459667224085</v>
      </c>
      <c r="AB201" s="89"/>
    </row>
    <row r="202" spans="2:28" x14ac:dyDescent="0.35">
      <c r="B202" s="230">
        <f t="shared" si="8"/>
        <v>192</v>
      </c>
      <c r="C202" s="61" t="s">
        <v>686</v>
      </c>
      <c r="D202" s="248">
        <f>Table3.110[[#This Row],[Date]]</f>
        <v>46043</v>
      </c>
      <c r="E202" s="230" t="str">
        <f>Table3.110[[#This Row],[Requisitioner]]</f>
        <v>Genbank</v>
      </c>
      <c r="F202" s="230" t="str">
        <f>Table3.110[[#This Row],[Gene Bank ID]]</f>
        <v>CIAT-13258</v>
      </c>
      <c r="G202" s="230" t="str">
        <f>Table3.110[[#This Row],[Genus]]</f>
        <v>Dendrolobium</v>
      </c>
      <c r="H202" s="230" t="str">
        <f>Table3.110[[#This Row],[Species]]</f>
        <v>lanceolatum</v>
      </c>
      <c r="I202" s="230" t="str">
        <f>Table3.110[[#This Row],[Tax Name]]</f>
        <v>Dendrolobium lanceolatum</v>
      </c>
      <c r="J202" s="230" t="str">
        <f>Table3.110[[#This Row],[Family]]</f>
        <v>Fabaceae</v>
      </c>
      <c r="K202" s="230" t="str">
        <f>Table3.110[[#This Row],[Order]]</f>
        <v>Fabales</v>
      </c>
      <c r="L202" s="230" t="str">
        <f>Table3.110[[#This Row],[Functional Group]]</f>
        <v>Tree</v>
      </c>
      <c r="M202" s="230" t="str">
        <f>Table3.110[[#This Row],[CIAT ID]]</f>
        <v>F251755</v>
      </c>
      <c r="N202" s="230">
        <f>Table3.110[[#This Row],[Set CIAT]]</f>
        <v>27</v>
      </c>
      <c r="O202" s="230">
        <f>Table3.110[[#This Row],[Batch]]</f>
        <v>59</v>
      </c>
      <c r="P202" s="230">
        <f>Table3.110[[#This Row],[Run]]</f>
        <v>2</v>
      </c>
      <c r="Q202" s="230">
        <f>Table3.110[[#This Row],[Replication]]</f>
        <v>2</v>
      </c>
      <c r="R202" s="230">
        <f>Table3.110[[#This Row],[Syrange No]]</f>
        <v>40</v>
      </c>
      <c r="S202" s="265">
        <v>0.57179999999999997</v>
      </c>
      <c r="T202" s="265">
        <v>0.93559999999999999</v>
      </c>
      <c r="U202" s="108"/>
      <c r="V202" s="254">
        <f t="shared" si="9"/>
        <v>0.36380000000000001</v>
      </c>
      <c r="W202" s="61">
        <f>Table3.110[[#This Row],[DM Incubated, mg]]-('3.2 Digest'!V202*1000)</f>
        <v>109.56553418812365</v>
      </c>
      <c r="X202" s="61">
        <f>W202/Table3.110[[#This Row],[DM Incubated, mg]]*100</f>
        <v>23.146073441118002</v>
      </c>
      <c r="Y202" s="37">
        <f>Table3.1[[#This Row],[DM Incubated, mg]]*'2.4 NDF'!R65/100</f>
        <v>292.55240658625172</v>
      </c>
      <c r="Z202" s="37">
        <f t="shared" si="10"/>
        <v>-71.247593413748291</v>
      </c>
      <c r="AA202" s="37">
        <f t="shared" si="11"/>
        <v>-24.353788179398457</v>
      </c>
      <c r="AB202" s="89"/>
    </row>
    <row r="203" spans="2:28" x14ac:dyDescent="0.35">
      <c r="B203" s="230">
        <f t="shared" si="8"/>
        <v>193</v>
      </c>
      <c r="C203" s="61" t="s">
        <v>686</v>
      </c>
      <c r="D203" s="248">
        <f>Table3.110[[#This Row],[Date]]</f>
        <v>46043</v>
      </c>
      <c r="E203" s="230" t="str">
        <f>Table3.110[[#This Row],[Requisitioner]]</f>
        <v>Genbank</v>
      </c>
      <c r="F203" s="230" t="str">
        <f>Table3.110[[#This Row],[Gene Bank ID]]</f>
        <v>CIAT-13258</v>
      </c>
      <c r="G203" s="230" t="str">
        <f>Table3.110[[#This Row],[Genus]]</f>
        <v>Dendrolobium</v>
      </c>
      <c r="H203" s="230" t="str">
        <f>Table3.110[[#This Row],[Species]]</f>
        <v>lanceolatum</v>
      </c>
      <c r="I203" s="230" t="str">
        <f>Table3.110[[#This Row],[Tax Name]]</f>
        <v>Dendrolobium lanceolatum</v>
      </c>
      <c r="J203" s="230" t="str">
        <f>Table3.110[[#This Row],[Family]]</f>
        <v>Fabaceae</v>
      </c>
      <c r="K203" s="230" t="str">
        <f>Table3.110[[#This Row],[Order]]</f>
        <v>Fabales</v>
      </c>
      <c r="L203" s="230" t="str">
        <f>Table3.110[[#This Row],[Functional Group]]</f>
        <v>Tree</v>
      </c>
      <c r="M203" s="230" t="str">
        <f>Table3.110[[#This Row],[CIAT ID]]</f>
        <v>F251755</v>
      </c>
      <c r="N203" s="230">
        <f>Table3.110[[#This Row],[Set CIAT]]</f>
        <v>27</v>
      </c>
      <c r="O203" s="230">
        <f>Table3.110[[#This Row],[Batch]]</f>
        <v>59</v>
      </c>
      <c r="P203" s="230">
        <f>Table3.110[[#This Row],[Run]]</f>
        <v>2</v>
      </c>
      <c r="Q203" s="230">
        <f>Table3.110[[#This Row],[Replication]]</f>
        <v>3</v>
      </c>
      <c r="R203" s="230">
        <f>Table3.110[[#This Row],[Syrange No]]</f>
        <v>41</v>
      </c>
      <c r="S203" s="110">
        <v>0.57420000000000004</v>
      </c>
      <c r="T203" s="110">
        <v>0.95430000000000004</v>
      </c>
      <c r="U203" s="108"/>
      <c r="V203" s="254">
        <f t="shared" si="9"/>
        <v>0.38009999999999999</v>
      </c>
      <c r="W203" s="61">
        <f>Table3.110[[#This Row],[DM Incubated, mg]]-('3.2 Digest'!V203*1000)</f>
        <v>93.170936759229164</v>
      </c>
      <c r="X203" s="61">
        <f>W203/Table3.110[[#This Row],[DM Incubated, mg]]*100</f>
        <v>19.6865958846378</v>
      </c>
      <c r="Y203" s="37">
        <f>Table3.1[[#This Row],[DM Incubated, mg]]*'2.4 NDF'!R65/100</f>
        <v>292.49394287590275</v>
      </c>
      <c r="Z203" s="37">
        <f t="shared" si="10"/>
        <v>-87.606057124097219</v>
      </c>
      <c r="AA203" s="37">
        <f t="shared" si="11"/>
        <v>-29.95140899764413</v>
      </c>
      <c r="AB203" s="89"/>
    </row>
    <row r="204" spans="2:28" x14ac:dyDescent="0.35">
      <c r="B204" s="230">
        <f t="shared" si="8"/>
        <v>194</v>
      </c>
      <c r="C204" s="61" t="s">
        <v>686</v>
      </c>
      <c r="D204" s="248">
        <f>Table3.110[[#This Row],[Date]]</f>
        <v>46043</v>
      </c>
      <c r="E204" s="230" t="str">
        <f>Table3.110[[#This Row],[Requisitioner]]</f>
        <v>Genbank</v>
      </c>
      <c r="F204" s="230" t="str">
        <f>Table3.110[[#This Row],[Gene Bank ID]]</f>
        <v>CIAT-13260</v>
      </c>
      <c r="G204" s="230" t="str">
        <f>Table3.110[[#This Row],[Genus]]</f>
        <v>Dendrolobium</v>
      </c>
      <c r="H204" s="230" t="str">
        <f>Table3.110[[#This Row],[Species]]</f>
        <v>lanceolatum</v>
      </c>
      <c r="I204" s="230" t="str">
        <f>Table3.110[[#This Row],[Tax Name]]</f>
        <v>Dendrolobium lanceolatum</v>
      </c>
      <c r="J204" s="230" t="str">
        <f>Table3.110[[#This Row],[Family]]</f>
        <v>Fabaceae</v>
      </c>
      <c r="K204" s="230" t="str">
        <f>Table3.110[[#This Row],[Order]]</f>
        <v>Fabales</v>
      </c>
      <c r="L204" s="230" t="str">
        <f>Table3.110[[#This Row],[Functional Group]]</f>
        <v>Tree</v>
      </c>
      <c r="M204" s="230" t="str">
        <f>Table3.110[[#This Row],[CIAT ID]]</f>
        <v>F251756</v>
      </c>
      <c r="N204" s="230">
        <f>Table3.110[[#This Row],[Set CIAT]]</f>
        <v>27</v>
      </c>
      <c r="O204" s="230">
        <f>Table3.110[[#This Row],[Batch]]</f>
        <v>59</v>
      </c>
      <c r="P204" s="230">
        <f>Table3.110[[#This Row],[Run]]</f>
        <v>2</v>
      </c>
      <c r="Q204" s="230">
        <f>Table3.110[[#This Row],[Replication]]</f>
        <v>1</v>
      </c>
      <c r="R204" s="230">
        <f>Table3.110[[#This Row],[Syrange No]]</f>
        <v>42</v>
      </c>
      <c r="S204" s="265">
        <v>0.58389999999999997</v>
      </c>
      <c r="T204" s="265">
        <v>0.91310000000000002</v>
      </c>
      <c r="U204" s="108"/>
      <c r="V204" s="254">
        <f t="shared" si="9"/>
        <v>0.32920000000000005</v>
      </c>
      <c r="W204" s="61">
        <f>Table3.110[[#This Row],[DM Incubated, mg]]-('3.2 Digest'!V204*1000)</f>
        <v>141.27647205838241</v>
      </c>
      <c r="X204" s="61">
        <f>W204/Table3.110[[#This Row],[DM Incubated, mg]]*100</f>
        <v>30.028381959311051</v>
      </c>
      <c r="Y204" s="37">
        <f>Table3.1[[#This Row],[DM Incubated, mg]]*'2.4 NDF'!R67/100</f>
        <v>306.72045606368999</v>
      </c>
      <c r="Z204" s="37">
        <f t="shared" si="10"/>
        <v>-22.479543936310051</v>
      </c>
      <c r="AA204" s="37">
        <f t="shared" si="11"/>
        <v>-7.3290005579680715</v>
      </c>
      <c r="AB204" s="89"/>
    </row>
    <row r="205" spans="2:28" x14ac:dyDescent="0.35">
      <c r="B205" s="230">
        <f t="shared" ref="B205:B340" si="12">B204+1</f>
        <v>195</v>
      </c>
      <c r="C205" s="61" t="s">
        <v>686</v>
      </c>
      <c r="D205" s="248">
        <f>Table3.110[[#This Row],[Date]]</f>
        <v>46043</v>
      </c>
      <c r="E205" s="230" t="str">
        <f>Table3.110[[#This Row],[Requisitioner]]</f>
        <v>Genbank</v>
      </c>
      <c r="F205" s="230" t="str">
        <f>Table3.110[[#This Row],[Gene Bank ID]]</f>
        <v>CIAT-13260</v>
      </c>
      <c r="G205" s="230" t="str">
        <f>Table3.110[[#This Row],[Genus]]</f>
        <v>Dendrolobium</v>
      </c>
      <c r="H205" s="230" t="str">
        <f>Table3.110[[#This Row],[Species]]</f>
        <v>lanceolatum</v>
      </c>
      <c r="I205" s="230" t="str">
        <f>Table3.110[[#This Row],[Tax Name]]</f>
        <v>Dendrolobium lanceolatum</v>
      </c>
      <c r="J205" s="230" t="str">
        <f>Table3.110[[#This Row],[Family]]</f>
        <v>Fabaceae</v>
      </c>
      <c r="K205" s="230" t="str">
        <f>Table3.110[[#This Row],[Order]]</f>
        <v>Fabales</v>
      </c>
      <c r="L205" s="230" t="str">
        <f>Table3.110[[#This Row],[Functional Group]]</f>
        <v>Tree</v>
      </c>
      <c r="M205" s="230" t="str">
        <f>Table3.110[[#This Row],[CIAT ID]]</f>
        <v>F251756</v>
      </c>
      <c r="N205" s="230">
        <f>Table3.110[[#This Row],[Set CIAT]]</f>
        <v>27</v>
      </c>
      <c r="O205" s="230">
        <f>Table3.110[[#This Row],[Batch]]</f>
        <v>59</v>
      </c>
      <c r="P205" s="230">
        <f>Table3.110[[#This Row],[Run]]</f>
        <v>2</v>
      </c>
      <c r="Q205" s="230">
        <f>Table3.110[[#This Row],[Replication]]</f>
        <v>2</v>
      </c>
      <c r="R205" s="230">
        <f>Table3.110[[#This Row],[Syrange No]]</f>
        <v>43</v>
      </c>
      <c r="S205" s="110">
        <v>0.57599999999999996</v>
      </c>
      <c r="T205" s="110">
        <v>0.93510000000000004</v>
      </c>
      <c r="U205" s="108"/>
      <c r="V205" s="254">
        <f t="shared" si="9"/>
        <v>0.35910000000000009</v>
      </c>
      <c r="W205" s="61">
        <f>Table3.110[[#This Row],[DM Incubated, mg]]-('3.2 Digest'!V205*1000)</f>
        <v>111.28239557926651</v>
      </c>
      <c r="X205" s="61">
        <f>W205/Table3.110[[#This Row],[DM Incubated, mg]]*100</f>
        <v>23.657857229589649</v>
      </c>
      <c r="Y205" s="37">
        <f>Table3.1[[#This Row],[DM Incubated, mg]]*'2.4 NDF'!R67/100</f>
        <v>306.6591242388422</v>
      </c>
      <c r="Z205" s="37">
        <f t="shared" si="10"/>
        <v>-52.440875761157884</v>
      </c>
      <c r="AA205" s="37">
        <f t="shared" si="11"/>
        <v>-17.100706163992754</v>
      </c>
      <c r="AB205" s="89"/>
    </row>
    <row r="206" spans="2:28" x14ac:dyDescent="0.35">
      <c r="B206" s="230">
        <f t="shared" si="12"/>
        <v>196</v>
      </c>
      <c r="C206" s="61" t="s">
        <v>686</v>
      </c>
      <c r="D206" s="248">
        <f>Table3.110[[#This Row],[Date]]</f>
        <v>46043</v>
      </c>
      <c r="E206" s="230" t="str">
        <f>Table3.110[[#This Row],[Requisitioner]]</f>
        <v>Genbank</v>
      </c>
      <c r="F206" s="230" t="str">
        <f>Table3.110[[#This Row],[Gene Bank ID]]</f>
        <v>CIAT-13260</v>
      </c>
      <c r="G206" s="230" t="str">
        <f>Table3.110[[#This Row],[Genus]]</f>
        <v>Dendrolobium</v>
      </c>
      <c r="H206" s="230" t="str">
        <f>Table3.110[[#This Row],[Species]]</f>
        <v>lanceolatum</v>
      </c>
      <c r="I206" s="230" t="str">
        <f>Table3.110[[#This Row],[Tax Name]]</f>
        <v>Dendrolobium lanceolatum</v>
      </c>
      <c r="J206" s="230" t="str">
        <f>Table3.110[[#This Row],[Family]]</f>
        <v>Fabaceae</v>
      </c>
      <c r="K206" s="230" t="str">
        <f>Table3.110[[#This Row],[Order]]</f>
        <v>Fabales</v>
      </c>
      <c r="L206" s="230" t="str">
        <f>Table3.110[[#This Row],[Functional Group]]</f>
        <v>Tree</v>
      </c>
      <c r="M206" s="230" t="str">
        <f>Table3.110[[#This Row],[CIAT ID]]</f>
        <v>F251756</v>
      </c>
      <c r="N206" s="230">
        <f>Table3.110[[#This Row],[Set CIAT]]</f>
        <v>27</v>
      </c>
      <c r="O206" s="230">
        <f>Table3.110[[#This Row],[Batch]]</f>
        <v>59</v>
      </c>
      <c r="P206" s="230">
        <f>Table3.110[[#This Row],[Run]]</f>
        <v>2</v>
      </c>
      <c r="Q206" s="230">
        <f>Table3.110[[#This Row],[Replication]]</f>
        <v>3</v>
      </c>
      <c r="R206" s="230">
        <f>Table3.110[[#This Row],[Syrange No]]</f>
        <v>44</v>
      </c>
      <c r="S206" s="265">
        <v>0.57130000000000003</v>
      </c>
      <c r="T206" s="265">
        <v>0.93620000000000003</v>
      </c>
      <c r="U206" s="108"/>
      <c r="V206" s="254">
        <f t="shared" ref="V206:V269" si="13">T206-S206</f>
        <v>0.3649</v>
      </c>
      <c r="W206" s="61">
        <f>Table3.110[[#This Row],[DM Incubated, mg]]-('3.2 Digest'!V206*1000)</f>
        <v>105.7646250166141</v>
      </c>
      <c r="X206" s="61">
        <f>W206/Table3.110[[#This Row],[DM Incubated, mg]]*100</f>
        <v>22.471335085546464</v>
      </c>
      <c r="Y206" s="37">
        <f>Table3.1[[#This Row],[DM Incubated, mg]]*'2.4 NDF'!R67/100</f>
        <v>306.84311971338548</v>
      </c>
      <c r="Z206" s="37">
        <f t="shared" ref="Z206:Z341" si="14">Y206-(V206*1000)</f>
        <v>-58.056880286614501</v>
      </c>
      <c r="AA206" s="37">
        <f t="shared" ref="AA206:AA341" si="15">Z206/Y206*100</f>
        <v>-18.92070460658984</v>
      </c>
      <c r="AB206" s="89"/>
    </row>
    <row r="207" spans="2:28" x14ac:dyDescent="0.35">
      <c r="B207" s="230">
        <f t="shared" si="12"/>
        <v>197</v>
      </c>
      <c r="C207" s="61" t="s">
        <v>686</v>
      </c>
      <c r="D207" s="248">
        <f>Table3.110[[#This Row],[Date]]</f>
        <v>46043</v>
      </c>
      <c r="E207" s="230" t="str">
        <f>Table3.110[[#This Row],[Requisitioner]]</f>
        <v>Genbank</v>
      </c>
      <c r="F207" s="230" t="str">
        <f>Table3.110[[#This Row],[Gene Bank ID]]</f>
        <v>CIAT-17263</v>
      </c>
      <c r="G207" s="230" t="str">
        <f>Table3.110[[#This Row],[Genus]]</f>
        <v>Leucaena</v>
      </c>
      <c r="H207" s="230" t="str">
        <f>Table3.110[[#This Row],[Species]]</f>
        <v>leucocephala</v>
      </c>
      <c r="I207" s="230" t="str">
        <f>Table3.110[[#This Row],[Tax Name]]</f>
        <v>Leucaena leucocephala</v>
      </c>
      <c r="J207" s="230" t="str">
        <f>Table3.110[[#This Row],[Family]]</f>
        <v>Fabaceae</v>
      </c>
      <c r="K207" s="230" t="str">
        <f>Table3.110[[#This Row],[Order]]</f>
        <v>Fabales</v>
      </c>
      <c r="L207" s="230" t="str">
        <f>Table3.110[[#This Row],[Functional Group]]</f>
        <v>Tree</v>
      </c>
      <c r="M207" s="230" t="str">
        <f>Table3.110[[#This Row],[CIAT ID]]</f>
        <v>F251757</v>
      </c>
      <c r="N207" s="230">
        <f>Table3.110[[#This Row],[Set CIAT]]</f>
        <v>27</v>
      </c>
      <c r="O207" s="230">
        <f>Table3.110[[#This Row],[Batch]]</f>
        <v>59</v>
      </c>
      <c r="P207" s="230">
        <f>Table3.110[[#This Row],[Run]]</f>
        <v>2</v>
      </c>
      <c r="Q207" s="230">
        <f>Table3.110[[#This Row],[Replication]]</f>
        <v>1</v>
      </c>
      <c r="R207" s="230">
        <f>Table3.110[[#This Row],[Syrange No]]</f>
        <v>45</v>
      </c>
      <c r="S207" s="110">
        <v>0.57830000000000004</v>
      </c>
      <c r="T207" s="110">
        <v>0.95789999999999997</v>
      </c>
      <c r="U207" s="108"/>
      <c r="V207" s="254">
        <f t="shared" si="13"/>
        <v>0.37959999999999994</v>
      </c>
      <c r="W207" s="61">
        <f>Table3.110[[#This Row],[DM Incubated, mg]]-('3.2 Digest'!V207*1000)</f>
        <v>92.75837997201711</v>
      </c>
      <c r="X207" s="61">
        <f>W207/Table3.110[[#This Row],[DM Incubated, mg]]*100</f>
        <v>19.63728895367797</v>
      </c>
      <c r="Y207" s="37">
        <f>Table3.1[[#This Row],[DM Incubated, mg]]*'2.4 NDF'!R69/100</f>
        <v>272.8447792213542</v>
      </c>
      <c r="Z207" s="37">
        <f t="shared" si="14"/>
        <v>-106.75522077864571</v>
      </c>
      <c r="AA207" s="37">
        <f t="shared" si="15"/>
        <v>-39.126722924039186</v>
      </c>
      <c r="AB207" s="89" t="s">
        <v>546</v>
      </c>
    </row>
    <row r="208" spans="2:28" x14ac:dyDescent="0.35">
      <c r="B208" s="230">
        <f t="shared" si="12"/>
        <v>198</v>
      </c>
      <c r="C208" s="61" t="s">
        <v>686</v>
      </c>
      <c r="D208" s="248">
        <f>Table3.110[[#This Row],[Date]]</f>
        <v>46043</v>
      </c>
      <c r="E208" s="230" t="str">
        <f>Table3.110[[#This Row],[Requisitioner]]</f>
        <v>Genbank</v>
      </c>
      <c r="F208" s="230" t="str">
        <f>Table3.110[[#This Row],[Gene Bank ID]]</f>
        <v>CIAT-17263</v>
      </c>
      <c r="G208" s="230" t="str">
        <f>Table3.110[[#This Row],[Genus]]</f>
        <v>Leucaena</v>
      </c>
      <c r="H208" s="230" t="str">
        <f>Table3.110[[#This Row],[Species]]</f>
        <v>leucocephala</v>
      </c>
      <c r="I208" s="230" t="str">
        <f>Table3.110[[#This Row],[Tax Name]]</f>
        <v>Leucaena leucocephala</v>
      </c>
      <c r="J208" s="230" t="str">
        <f>Table3.110[[#This Row],[Family]]</f>
        <v>Fabaceae</v>
      </c>
      <c r="K208" s="230" t="str">
        <f>Table3.110[[#This Row],[Order]]</f>
        <v>Fabales</v>
      </c>
      <c r="L208" s="230" t="str">
        <f>Table3.110[[#This Row],[Functional Group]]</f>
        <v>Tree</v>
      </c>
      <c r="M208" s="230" t="str">
        <f>Table3.110[[#This Row],[CIAT ID]]</f>
        <v>F251757</v>
      </c>
      <c r="N208" s="230">
        <f>Table3.110[[#This Row],[Set CIAT]]</f>
        <v>27</v>
      </c>
      <c r="O208" s="230">
        <f>Table3.110[[#This Row],[Batch]]</f>
        <v>59</v>
      </c>
      <c r="P208" s="230">
        <f>Table3.110[[#This Row],[Run]]</f>
        <v>2</v>
      </c>
      <c r="Q208" s="230">
        <f>Table3.110[[#This Row],[Replication]]</f>
        <v>2</v>
      </c>
      <c r="R208" s="230">
        <f>Table3.110[[#This Row],[Syrange No]]</f>
        <v>46</v>
      </c>
      <c r="S208" s="265">
        <v>0.57169999999999999</v>
      </c>
      <c r="T208" s="265">
        <v>0.79659999999999997</v>
      </c>
      <c r="U208" s="108"/>
      <c r="V208" s="254">
        <f t="shared" si="13"/>
        <v>0.22489999999999999</v>
      </c>
      <c r="W208" s="61">
        <f>Table3.110[[#This Row],[DM Incubated, mg]]-('3.2 Digest'!V208*1000)</f>
        <v>247.83626667599464</v>
      </c>
      <c r="X208" s="61">
        <f>W208/Table3.110[[#This Row],[DM Incubated, mg]]*100</f>
        <v>52.425905128589889</v>
      </c>
      <c r="Y208" s="37">
        <f>Table3.1[[#This Row],[DM Incubated, mg]]*'2.4 NDF'!R69/100</f>
        <v>273.0630550447313</v>
      </c>
      <c r="Z208" s="37">
        <f t="shared" si="14"/>
        <v>48.163055044731323</v>
      </c>
      <c r="AA208" s="37">
        <f t="shared" si="15"/>
        <v>17.638070824645826</v>
      </c>
      <c r="AB208" s="89"/>
    </row>
    <row r="209" spans="2:28" x14ac:dyDescent="0.35">
      <c r="B209" s="230">
        <f t="shared" si="12"/>
        <v>199</v>
      </c>
      <c r="C209" s="61" t="s">
        <v>686</v>
      </c>
      <c r="D209" s="248">
        <f>Table3.110[[#This Row],[Date]]</f>
        <v>46043</v>
      </c>
      <c r="E209" s="230" t="str">
        <f>Table3.110[[#This Row],[Requisitioner]]</f>
        <v>Genbank</v>
      </c>
      <c r="F209" s="230" t="str">
        <f>Table3.110[[#This Row],[Gene Bank ID]]</f>
        <v>CIAT-17263</v>
      </c>
      <c r="G209" s="230" t="str">
        <f>Table3.110[[#This Row],[Genus]]</f>
        <v>Leucaena</v>
      </c>
      <c r="H209" s="230" t="str">
        <f>Table3.110[[#This Row],[Species]]</f>
        <v>leucocephala</v>
      </c>
      <c r="I209" s="230" t="str">
        <f>Table3.110[[#This Row],[Tax Name]]</f>
        <v>Leucaena leucocephala</v>
      </c>
      <c r="J209" s="230" t="str">
        <f>Table3.110[[#This Row],[Family]]</f>
        <v>Fabaceae</v>
      </c>
      <c r="K209" s="230" t="str">
        <f>Table3.110[[#This Row],[Order]]</f>
        <v>Fabales</v>
      </c>
      <c r="L209" s="230" t="str">
        <f>Table3.110[[#This Row],[Functional Group]]</f>
        <v>Tree</v>
      </c>
      <c r="M209" s="230" t="str">
        <f>Table3.110[[#This Row],[CIAT ID]]</f>
        <v>F251757</v>
      </c>
      <c r="N209" s="230">
        <f>Table3.110[[#This Row],[Set CIAT]]</f>
        <v>27</v>
      </c>
      <c r="O209" s="230">
        <f>Table3.110[[#This Row],[Batch]]</f>
        <v>59</v>
      </c>
      <c r="P209" s="230">
        <f>Table3.110[[#This Row],[Run]]</f>
        <v>2</v>
      </c>
      <c r="Q209" s="230">
        <f>Table3.110[[#This Row],[Replication]]</f>
        <v>3</v>
      </c>
      <c r="R209" s="230">
        <f>Table3.110[[#This Row],[Syrange No]]</f>
        <v>47</v>
      </c>
      <c r="S209" s="110">
        <v>0.59560000000000002</v>
      </c>
      <c r="T209" s="110">
        <v>0.83289999999999997</v>
      </c>
      <c r="U209" s="108"/>
      <c r="V209" s="254">
        <f t="shared" si="13"/>
        <v>0.23729999999999996</v>
      </c>
      <c r="W209" s="61">
        <f>Table3.110[[#This Row],[DM Incubated, mg]]-('3.2 Digest'!V209*1000)</f>
        <v>235.24732332400583</v>
      </c>
      <c r="X209" s="61">
        <f>W209/Table3.110[[#This Row],[DM Incubated, mg]]*100</f>
        <v>49.782807289907481</v>
      </c>
      <c r="Y209" s="37">
        <f>Table3.1[[#This Row],[DM Incubated, mg]]*'2.4 NDF'!R69/100</f>
        <v>272.95391713304275</v>
      </c>
      <c r="Z209" s="37">
        <f t="shared" si="14"/>
        <v>35.653917133042796</v>
      </c>
      <c r="AA209" s="37">
        <f t="shared" si="15"/>
        <v>13.062247835653674</v>
      </c>
      <c r="AB209" s="89"/>
    </row>
    <row r="210" spans="2:28" x14ac:dyDescent="0.35">
      <c r="B210" s="230">
        <f t="shared" si="12"/>
        <v>200</v>
      </c>
      <c r="C210" s="61" t="s">
        <v>686</v>
      </c>
      <c r="D210" s="248">
        <f>Table3.110[[#This Row],[Date]]</f>
        <v>46043</v>
      </c>
      <c r="E210" s="230" t="str">
        <f>Table3.110[[#This Row],[Requisitioner]]</f>
        <v>Isabel Molina</v>
      </c>
      <c r="F210" s="230" t="str">
        <f>Table3.110[[#This Row],[Gene Bank ID]]</f>
        <v xml:space="preserve"> Cayman Br02_1752</v>
      </c>
      <c r="G210" s="230" t="str">
        <f>Table3.110[[#This Row],[Genus]]</f>
        <v>Urochloa</v>
      </c>
      <c r="H210" s="230" t="str">
        <f>Table3.110[[#This Row],[Species]]</f>
        <v>interespecifico</v>
      </c>
      <c r="I210" s="230" t="str">
        <f>Table3.110[[#This Row],[Tax Name]]</f>
        <v>Urochloa interespecifico</v>
      </c>
      <c r="J210" s="230" t="str">
        <f>Table3.110[[#This Row],[Family]]</f>
        <v>Poaceae</v>
      </c>
      <c r="K210" s="230" t="str">
        <f>Table3.110[[#This Row],[Order]]</f>
        <v>Poales</v>
      </c>
      <c r="L210" s="230" t="str">
        <f>Table3.110[[#This Row],[Functional Group]]</f>
        <v>grasses</v>
      </c>
      <c r="M210" s="230" t="str">
        <f>Table3.110[[#This Row],[CIAT ID]]</f>
        <v>F252640</v>
      </c>
      <c r="N210" s="230">
        <f>Table3.110[[#This Row],[Set CIAT]]</f>
        <v>27</v>
      </c>
      <c r="O210" s="230">
        <f>Table3.110[[#This Row],[Batch]]</f>
        <v>59</v>
      </c>
      <c r="P210" s="230">
        <f>Table3.110[[#This Row],[Run]]</f>
        <v>2</v>
      </c>
      <c r="Q210" s="230">
        <f>Table3.110[[#This Row],[Replication]]</f>
        <v>1</v>
      </c>
      <c r="R210" s="230">
        <f>Table3.110[[#This Row],[Syrange No]]</f>
        <v>48</v>
      </c>
      <c r="S210" s="265">
        <v>0.59060000000000001</v>
      </c>
      <c r="T210" s="265">
        <v>0.80859999999999999</v>
      </c>
      <c r="U210" s="108"/>
      <c r="V210" s="254">
        <f t="shared" si="13"/>
        <v>0.21799999999999997</v>
      </c>
      <c r="W210" s="61">
        <f>Table3.110[[#This Row],[DM Incubated, mg]]-('3.2 Digest'!V210*1000)</f>
        <v>267.00525062393399</v>
      </c>
      <c r="X210" s="61">
        <f>W210/Table3.110[[#This Row],[DM Incubated, mg]]*100</f>
        <v>55.052032999734671</v>
      </c>
      <c r="Y210" s="37">
        <f>Table3.1[[#This Row],[DM Incubated, mg]]*'2.4 NDF'!R71/100</f>
        <v>301.35146881638798</v>
      </c>
      <c r="Z210" s="37">
        <f t="shared" si="14"/>
        <v>83.351468816388007</v>
      </c>
      <c r="AA210" s="37">
        <f t="shared" si="15"/>
        <v>27.65922102313484</v>
      </c>
      <c r="AB210" s="89"/>
    </row>
    <row r="211" spans="2:28" x14ac:dyDescent="0.35">
      <c r="B211" s="230">
        <f t="shared" si="12"/>
        <v>201</v>
      </c>
      <c r="C211" s="61" t="s">
        <v>686</v>
      </c>
      <c r="D211" s="248">
        <f>Table3.110[[#This Row],[Date]]</f>
        <v>46043</v>
      </c>
      <c r="E211" s="230" t="str">
        <f>Table3.110[[#This Row],[Requisitioner]]</f>
        <v>Isabel Molina</v>
      </c>
      <c r="F211" s="230" t="str">
        <f>Table3.110[[#This Row],[Gene Bank ID]]</f>
        <v xml:space="preserve"> Cayman Br02_1752</v>
      </c>
      <c r="G211" s="230" t="str">
        <f>Table3.110[[#This Row],[Genus]]</f>
        <v>Urochloa</v>
      </c>
      <c r="H211" s="230" t="str">
        <f>Table3.110[[#This Row],[Species]]</f>
        <v>interespecifico</v>
      </c>
      <c r="I211" s="230" t="str">
        <f>Table3.110[[#This Row],[Tax Name]]</f>
        <v>Urochloa interespecifico</v>
      </c>
      <c r="J211" s="230" t="str">
        <f>Table3.110[[#This Row],[Family]]</f>
        <v>Poaceae</v>
      </c>
      <c r="K211" s="230" t="str">
        <f>Table3.110[[#This Row],[Order]]</f>
        <v>Poales</v>
      </c>
      <c r="L211" s="230" t="str">
        <f>Table3.110[[#This Row],[Functional Group]]</f>
        <v>grasses</v>
      </c>
      <c r="M211" s="230" t="str">
        <f>Table3.110[[#This Row],[CIAT ID]]</f>
        <v>F252640</v>
      </c>
      <c r="N211" s="230">
        <f>Table3.110[[#This Row],[Set CIAT]]</f>
        <v>27</v>
      </c>
      <c r="O211" s="230">
        <f>Table3.110[[#This Row],[Batch]]</f>
        <v>59</v>
      </c>
      <c r="P211" s="230">
        <f>Table3.110[[#This Row],[Run]]</f>
        <v>2</v>
      </c>
      <c r="Q211" s="230">
        <f>Table3.110[[#This Row],[Replication]]</f>
        <v>2</v>
      </c>
      <c r="R211" s="230">
        <f>Table3.110[[#This Row],[Syrange No]]</f>
        <v>49</v>
      </c>
      <c r="S211" s="110">
        <v>0.57630000000000003</v>
      </c>
      <c r="T211" s="110">
        <v>0.89480000000000004</v>
      </c>
      <c r="U211" s="108"/>
      <c r="V211" s="254">
        <f t="shared" si="13"/>
        <v>0.31850000000000001</v>
      </c>
      <c r="W211" s="61">
        <f>Table3.110[[#This Row],[DM Incubated, mg]]-('3.2 Digest'!V211*1000)</f>
        <v>166.50525062393399</v>
      </c>
      <c r="X211" s="61">
        <f>W211/Table3.110[[#This Row],[DM Incubated, mg]]*100</f>
        <v>34.33060784594263</v>
      </c>
      <c r="Y211" s="37">
        <f>Table3.1[[#This Row],[DM Incubated, mg]]*'2.4 NDF'!R71/100</f>
        <v>301.35146881638798</v>
      </c>
      <c r="Z211" s="37">
        <f t="shared" si="14"/>
        <v>-17.148531183612022</v>
      </c>
      <c r="AA211" s="37">
        <f t="shared" si="15"/>
        <v>-5.6905417620713639</v>
      </c>
      <c r="AB211" s="89"/>
    </row>
    <row r="212" spans="2:28" x14ac:dyDescent="0.35">
      <c r="B212" s="230">
        <f t="shared" si="12"/>
        <v>202</v>
      </c>
      <c r="C212" s="61" t="s">
        <v>686</v>
      </c>
      <c r="D212" s="248">
        <f>Table3.110[[#This Row],[Date]]</f>
        <v>46043</v>
      </c>
      <c r="E212" s="230" t="str">
        <f>Table3.110[[#This Row],[Requisitioner]]</f>
        <v>Isabel Molina</v>
      </c>
      <c r="F212" s="230" t="str">
        <f>Table3.110[[#This Row],[Gene Bank ID]]</f>
        <v xml:space="preserve"> Cayman Br02_1752</v>
      </c>
      <c r="G212" s="230" t="str">
        <f>Table3.110[[#This Row],[Genus]]</f>
        <v>Urochloa</v>
      </c>
      <c r="H212" s="230" t="str">
        <f>Table3.110[[#This Row],[Species]]</f>
        <v>interespecifico</v>
      </c>
      <c r="I212" s="230" t="str">
        <f>Table3.110[[#This Row],[Tax Name]]</f>
        <v>Urochloa interespecifico</v>
      </c>
      <c r="J212" s="230" t="str">
        <f>Table3.110[[#This Row],[Family]]</f>
        <v>Poaceae</v>
      </c>
      <c r="K212" s="230" t="str">
        <f>Table3.110[[#This Row],[Order]]</f>
        <v>Poales</v>
      </c>
      <c r="L212" s="230" t="str">
        <f>Table3.110[[#This Row],[Functional Group]]</f>
        <v>grasses</v>
      </c>
      <c r="M212" s="230" t="str">
        <f>Table3.110[[#This Row],[CIAT ID]]</f>
        <v>F252640</v>
      </c>
      <c r="N212" s="230">
        <f>Table3.110[[#This Row],[Set CIAT]]</f>
        <v>27</v>
      </c>
      <c r="O212" s="230">
        <f>Table3.110[[#This Row],[Batch]]</f>
        <v>59</v>
      </c>
      <c r="P212" s="230">
        <f>Table3.110[[#This Row],[Run]]</f>
        <v>2</v>
      </c>
      <c r="Q212" s="230">
        <f>Table3.110[[#This Row],[Replication]]</f>
        <v>3</v>
      </c>
      <c r="R212" s="230">
        <f>Table3.110[[#This Row],[Syrange No]]</f>
        <v>50</v>
      </c>
      <c r="S212" s="265">
        <v>0.60329999999999995</v>
      </c>
      <c r="T212" s="265">
        <v>0.81120000000000003</v>
      </c>
      <c r="U212" s="108"/>
      <c r="V212" s="254">
        <f t="shared" si="13"/>
        <v>0.20790000000000008</v>
      </c>
      <c r="W212" s="61">
        <f>Table3.110[[#This Row],[DM Incubated, mg]]-('3.2 Digest'!V212*1000)</f>
        <v>277.1052506239339</v>
      </c>
      <c r="X212" s="61">
        <f>W212/Table3.110[[#This Row],[DM Incubated, mg]]*100</f>
        <v>57.134484681857032</v>
      </c>
      <c r="Y212" s="37">
        <f>Table3.1[[#This Row],[DM Incubated, mg]]*'2.4 NDF'!R71/100</f>
        <v>301.35146881638798</v>
      </c>
      <c r="Z212" s="37">
        <f t="shared" si="14"/>
        <v>93.451468816387887</v>
      </c>
      <c r="AA212" s="37">
        <f t="shared" si="15"/>
        <v>31.010789223439101</v>
      </c>
      <c r="AB212" s="89"/>
    </row>
    <row r="213" spans="2:28" x14ac:dyDescent="0.35">
      <c r="B213" s="230">
        <f t="shared" si="12"/>
        <v>203</v>
      </c>
      <c r="C213" s="61" t="s">
        <v>686</v>
      </c>
      <c r="D213" s="248">
        <f>Table3.110[[#This Row],[Date]]</f>
        <v>46043</v>
      </c>
      <c r="E213" s="230" t="str">
        <f>Table3.110[[#This Row],[Requisitioner]]</f>
        <v>Isabel Molina</v>
      </c>
      <c r="F213" s="230" t="str">
        <f>Table3.110[[#This Row],[Gene Bank ID]]</f>
        <v>N/A</v>
      </c>
      <c r="G213" s="230" t="str">
        <f>Table3.110[[#This Row],[Genus]]</f>
        <v>Gliricidia</v>
      </c>
      <c r="H213" s="230" t="str">
        <f>Table3.110[[#This Row],[Species]]</f>
        <v>sepium</v>
      </c>
      <c r="I213" s="230" t="str">
        <f>Table3.110[[#This Row],[Tax Name]]</f>
        <v xml:space="preserve">Gliricidia sepium </v>
      </c>
      <c r="J213" s="230" t="str">
        <f>Table3.110[[#This Row],[Family]]</f>
        <v>Fabaceae</v>
      </c>
      <c r="K213" s="230" t="str">
        <f>Table3.110[[#This Row],[Order]]</f>
        <v>Fabales</v>
      </c>
      <c r="L213" s="230" t="str">
        <f>Table3.110[[#This Row],[Functional Group]]</f>
        <v xml:space="preserve">Arbustiva </v>
      </c>
      <c r="M213" s="230" t="str">
        <f>Table3.110[[#This Row],[CIAT ID]]</f>
        <v>F252641</v>
      </c>
      <c r="N213" s="230">
        <f>Table3.110[[#This Row],[Set CIAT]]</f>
        <v>27</v>
      </c>
      <c r="O213" s="230">
        <f>Table3.110[[#This Row],[Batch]]</f>
        <v>59</v>
      </c>
      <c r="P213" s="230">
        <f>Table3.110[[#This Row],[Run]]</f>
        <v>2</v>
      </c>
      <c r="Q213" s="230">
        <f>Table3.110[[#This Row],[Replication]]</f>
        <v>1</v>
      </c>
      <c r="R213" s="230">
        <f>Table3.110[[#This Row],[Syrange No]]</f>
        <v>51</v>
      </c>
      <c r="S213" s="110">
        <v>0.58499999999999996</v>
      </c>
      <c r="T213" s="110">
        <v>0.80330000000000001</v>
      </c>
      <c r="U213" s="108"/>
      <c r="V213" s="254">
        <f t="shared" si="13"/>
        <v>0.21830000000000005</v>
      </c>
      <c r="W213" s="61">
        <f>Table3.110[[#This Row],[DM Incubated, mg]]-('3.2 Digest'!V213*1000)</f>
        <v>249.56036003873041</v>
      </c>
      <c r="X213" s="61">
        <f>W213/Table3.110[[#This Row],[DM Incubated, mg]]*100</f>
        <v>53.340778863606076</v>
      </c>
      <c r="Y213" s="37">
        <f>Table3.1[[#This Row],[DM Incubated, mg]]*'2.4 NDF'!R73/100</f>
        <v>220.8534829562827</v>
      </c>
      <c r="Z213" s="37">
        <f t="shared" si="14"/>
        <v>2.5534829562826644</v>
      </c>
      <c r="AA213" s="37">
        <f t="shared" si="15"/>
        <v>1.1561886740940006</v>
      </c>
      <c r="AB213" s="89"/>
    </row>
    <row r="214" spans="2:28" x14ac:dyDescent="0.35">
      <c r="B214" s="230">
        <f t="shared" si="12"/>
        <v>204</v>
      </c>
      <c r="C214" s="61" t="s">
        <v>686</v>
      </c>
      <c r="D214" s="248">
        <f>Table3.110[[#This Row],[Date]]</f>
        <v>46043</v>
      </c>
      <c r="E214" s="230" t="str">
        <f>Table3.110[[#This Row],[Requisitioner]]</f>
        <v>Isabel Molina</v>
      </c>
      <c r="F214" s="230" t="str">
        <f>Table3.110[[#This Row],[Gene Bank ID]]</f>
        <v>N/A</v>
      </c>
      <c r="G214" s="230" t="str">
        <f>Table3.110[[#This Row],[Genus]]</f>
        <v>Gliricidia</v>
      </c>
      <c r="H214" s="230" t="str">
        <f>Table3.110[[#This Row],[Species]]</f>
        <v>sepium</v>
      </c>
      <c r="I214" s="230" t="str">
        <f>Table3.110[[#This Row],[Tax Name]]</f>
        <v xml:space="preserve">Gliricidia sepium </v>
      </c>
      <c r="J214" s="230" t="str">
        <f>Table3.110[[#This Row],[Family]]</f>
        <v>Fabaceae</v>
      </c>
      <c r="K214" s="230" t="str">
        <f>Table3.110[[#This Row],[Order]]</f>
        <v>Fabales</v>
      </c>
      <c r="L214" s="230" t="str">
        <f>Table3.110[[#This Row],[Functional Group]]</f>
        <v xml:space="preserve">Arbustiva </v>
      </c>
      <c r="M214" s="230" t="str">
        <f>Table3.110[[#This Row],[CIAT ID]]</f>
        <v>F252641</v>
      </c>
      <c r="N214" s="230">
        <f>Table3.110[[#This Row],[Set CIAT]]</f>
        <v>27</v>
      </c>
      <c r="O214" s="230">
        <f>Table3.110[[#This Row],[Batch]]</f>
        <v>59</v>
      </c>
      <c r="P214" s="230">
        <f>Table3.110[[#This Row],[Run]]</f>
        <v>2</v>
      </c>
      <c r="Q214" s="230">
        <f>Table3.110[[#This Row],[Replication]]</f>
        <v>2</v>
      </c>
      <c r="R214" s="230">
        <f>Table3.110[[#This Row],[Syrange No]]</f>
        <v>52</v>
      </c>
      <c r="S214" s="265">
        <v>0.56589999999999996</v>
      </c>
      <c r="T214" s="265">
        <v>0.80989999999999995</v>
      </c>
      <c r="U214" s="108"/>
      <c r="V214" s="254">
        <f t="shared" si="13"/>
        <v>0.24399999999999999</v>
      </c>
      <c r="W214" s="61">
        <f>Table3.110[[#This Row],[DM Incubated, mg]]-('3.2 Digest'!V214*1000)</f>
        <v>223.57986821616527</v>
      </c>
      <c r="X214" s="61">
        <f>W214/Table3.110[[#This Row],[DM Incubated, mg]]*100</f>
        <v>47.816401734559456</v>
      </c>
      <c r="Y214" s="37">
        <f>Table3.1[[#This Row],[DM Incubated, mg]]*'2.4 NDF'!R73/100</f>
        <v>220.72107679144079</v>
      </c>
      <c r="Z214" s="37">
        <f t="shared" si="14"/>
        <v>-23.278923208559206</v>
      </c>
      <c r="AA214" s="37">
        <f t="shared" si="15"/>
        <v>-10.546760439446137</v>
      </c>
      <c r="AB214" s="89"/>
    </row>
    <row r="215" spans="2:28" x14ac:dyDescent="0.35">
      <c r="B215" s="230">
        <f t="shared" si="12"/>
        <v>205</v>
      </c>
      <c r="C215" s="61" t="s">
        <v>687</v>
      </c>
      <c r="D215" s="248">
        <f>Table3.110[[#This Row],[Date]]</f>
        <v>46043</v>
      </c>
      <c r="E215" s="230" t="str">
        <f>Table3.110[[#This Row],[Requisitioner]]</f>
        <v>Isabel Molina</v>
      </c>
      <c r="F215" s="230" t="str">
        <f>Table3.110[[#This Row],[Gene Bank ID]]</f>
        <v>N/A</v>
      </c>
      <c r="G215" s="230" t="str">
        <f>Table3.110[[#This Row],[Genus]]</f>
        <v>Gliricidia</v>
      </c>
      <c r="H215" s="230" t="str">
        <f>Table3.110[[#This Row],[Species]]</f>
        <v>sepium</v>
      </c>
      <c r="I215" s="230" t="str">
        <f>Table3.110[[#This Row],[Tax Name]]</f>
        <v xml:space="preserve">Gliricidia sepium </v>
      </c>
      <c r="J215" s="230" t="str">
        <f>Table3.110[[#This Row],[Family]]</f>
        <v>Fabaceae</v>
      </c>
      <c r="K215" s="230" t="str">
        <f>Table3.110[[#This Row],[Order]]</f>
        <v>Fabales</v>
      </c>
      <c r="L215" s="230" t="str">
        <f>Table3.110[[#This Row],[Functional Group]]</f>
        <v xml:space="preserve">Arbustiva </v>
      </c>
      <c r="M215" s="230" t="str">
        <f>Table3.110[[#This Row],[CIAT ID]]</f>
        <v>F252641</v>
      </c>
      <c r="N215" s="230">
        <f>Table3.110[[#This Row],[Set CIAT]]</f>
        <v>27</v>
      </c>
      <c r="O215" s="230">
        <f>Table3.110[[#This Row],[Batch]]</f>
        <v>59</v>
      </c>
      <c r="P215" s="230">
        <f>Table3.110[[#This Row],[Run]]</f>
        <v>2</v>
      </c>
      <c r="Q215" s="230">
        <f>Table3.110[[#This Row],[Replication]]</f>
        <v>3</v>
      </c>
      <c r="R215" s="230">
        <f>Table3.110[[#This Row],[Syrange No]]</f>
        <v>53</v>
      </c>
      <c r="S215" s="110">
        <v>0.55220000000000002</v>
      </c>
      <c r="T215" s="110">
        <v>0.77639999999999998</v>
      </c>
      <c r="U215" s="108"/>
      <c r="V215" s="254">
        <f t="shared" si="13"/>
        <v>0.22419999999999995</v>
      </c>
      <c r="W215" s="61">
        <f>Table3.110[[#This Row],[DM Incubated, mg]]-('3.2 Digest'!V215*1000)</f>
        <v>243.37986821616531</v>
      </c>
      <c r="X215" s="61">
        <f>W215/Table3.110[[#This Row],[DM Incubated, mg]]*100</f>
        <v>52.050972413476359</v>
      </c>
      <c r="Y215" s="37">
        <f>Table3.1[[#This Row],[DM Incubated, mg]]*'2.4 NDF'!R73/100</f>
        <v>220.72107679144079</v>
      </c>
      <c r="Z215" s="37">
        <f t="shared" si="14"/>
        <v>-3.4789232085591664</v>
      </c>
      <c r="AA215" s="37">
        <f t="shared" si="15"/>
        <v>-1.5761626660812273</v>
      </c>
      <c r="AB215" s="89"/>
    </row>
    <row r="216" spans="2:28" x14ac:dyDescent="0.35">
      <c r="B216" s="230">
        <f t="shared" si="12"/>
        <v>206</v>
      </c>
      <c r="C216" s="61" t="s">
        <v>687</v>
      </c>
      <c r="D216" s="248">
        <f>Table3.110[[#This Row],[Date]]</f>
        <v>46043</v>
      </c>
      <c r="E216" s="230" t="str">
        <f>Table3.110[[#This Row],[Requisitioner]]</f>
        <v>Jacobo Arango/Alejandro Montoya</v>
      </c>
      <c r="F216" s="230" t="str">
        <f>Table3.110[[#This Row],[Gene Bank ID]]</f>
        <v>Sample 8</v>
      </c>
      <c r="G216" s="230" t="str">
        <f>Table3.110[[#This Row],[Genus]]</f>
        <v>Cynodon</v>
      </c>
      <c r="H216" s="230" t="str">
        <f>Table3.110[[#This Row],[Species]]</f>
        <v>nlemfuensis</v>
      </c>
      <c r="I216" s="230" t="str">
        <f>Table3.110[[#This Row],[Tax Name]]</f>
        <v xml:space="preserve">Cynodon nlemfuensis </v>
      </c>
      <c r="J216" s="230" t="str">
        <f>Table3.110[[#This Row],[Family]]</f>
        <v>Poaceae</v>
      </c>
      <c r="K216" s="230" t="str">
        <f>Table3.110[[#This Row],[Order]]</f>
        <v>Poales</v>
      </c>
      <c r="L216" s="230" t="str">
        <f>Table3.110[[#This Row],[Functional Group]]</f>
        <v>grasses</v>
      </c>
      <c r="M216" s="230" t="str">
        <f>Table3.110[[#This Row],[CIAT ID]]</f>
        <v>F250008</v>
      </c>
      <c r="N216" s="230">
        <f>Table3.110[[#This Row],[Set CIAT]]</f>
        <v>27</v>
      </c>
      <c r="O216" s="230">
        <f>Table3.110[[#This Row],[Batch]]</f>
        <v>59</v>
      </c>
      <c r="P216" s="230">
        <f>Table3.110[[#This Row],[Run]]</f>
        <v>2</v>
      </c>
      <c r="Q216" s="230">
        <f>Table3.110[[#This Row],[Replication]]</f>
        <v>1</v>
      </c>
      <c r="R216" s="230">
        <f>Table3.110[[#This Row],[Syrange No]]</f>
        <v>54</v>
      </c>
      <c r="S216" s="265">
        <v>0.58150000000000002</v>
      </c>
      <c r="T216" s="265">
        <v>0.95889999999999997</v>
      </c>
      <c r="U216" s="108"/>
      <c r="V216" s="254">
        <f t="shared" si="13"/>
        <v>0.37739999999999996</v>
      </c>
      <c r="W216" s="61">
        <f>Table3.110[[#This Row],[DM Incubated, mg]]-('3.2 Digest'!V216*1000)</f>
        <v>90.443550000000016</v>
      </c>
      <c r="X216" s="61">
        <f>W216/Table3.110[[#This Row],[DM Incubated, mg]]*100</f>
        <v>19.332007462751175</v>
      </c>
      <c r="Y216" s="37">
        <f>Table3.1[[#This Row],[DM Incubated, mg]]*'2.4 NDF'!R75/100</f>
        <v>356.02894154999996</v>
      </c>
      <c r="Z216" s="37">
        <f t="shared" si="14"/>
        <v>-21.371058450000021</v>
      </c>
      <c r="AA216" s="37">
        <f t="shared" si="15"/>
        <v>-6.0026183143874317</v>
      </c>
      <c r="AB216" s="89"/>
    </row>
    <row r="217" spans="2:28" x14ac:dyDescent="0.35">
      <c r="B217" s="230">
        <f t="shared" si="12"/>
        <v>207</v>
      </c>
      <c r="C217" s="61" t="s">
        <v>687</v>
      </c>
      <c r="D217" s="248">
        <f>Table3.110[[#This Row],[Date]]</f>
        <v>46043</v>
      </c>
      <c r="E217" s="230" t="str">
        <f>Table3.110[[#This Row],[Requisitioner]]</f>
        <v>Jacobo Arango/Alejandro Montoya</v>
      </c>
      <c r="F217" s="230" t="str">
        <f>Table3.110[[#This Row],[Gene Bank ID]]</f>
        <v>Sample 8</v>
      </c>
      <c r="G217" s="230" t="str">
        <f>Table3.110[[#This Row],[Genus]]</f>
        <v>Cynodon</v>
      </c>
      <c r="H217" s="230" t="str">
        <f>Table3.110[[#This Row],[Species]]</f>
        <v>nlemfuensis</v>
      </c>
      <c r="I217" s="230" t="str">
        <f>Table3.110[[#This Row],[Tax Name]]</f>
        <v xml:space="preserve">Cynodon nlemfuensis </v>
      </c>
      <c r="J217" s="230" t="str">
        <f>Table3.110[[#This Row],[Family]]</f>
        <v>Poaceae</v>
      </c>
      <c r="K217" s="230" t="str">
        <f>Table3.110[[#This Row],[Order]]</f>
        <v>Poales</v>
      </c>
      <c r="L217" s="230" t="str">
        <f>Table3.110[[#This Row],[Functional Group]]</f>
        <v>grasses</v>
      </c>
      <c r="M217" s="230" t="str">
        <f>Table3.110[[#This Row],[CIAT ID]]</f>
        <v>F250008</v>
      </c>
      <c r="N217" s="230">
        <f>Table3.110[[#This Row],[Set CIAT]]</f>
        <v>27</v>
      </c>
      <c r="O217" s="230">
        <f>Table3.110[[#This Row],[Batch]]</f>
        <v>59</v>
      </c>
      <c r="P217" s="230">
        <f>Table3.110[[#This Row],[Run]]</f>
        <v>2</v>
      </c>
      <c r="Q217" s="230">
        <f>Table3.110[[#This Row],[Replication]]</f>
        <v>2</v>
      </c>
      <c r="R217" s="230">
        <f>Table3.110[[#This Row],[Syrange No]]</f>
        <v>55</v>
      </c>
      <c r="S217" s="110">
        <v>0.57779999999999998</v>
      </c>
      <c r="T217" s="110">
        <v>0.97199999999999998</v>
      </c>
      <c r="U217" s="108"/>
      <c r="V217" s="254">
        <f t="shared" si="13"/>
        <v>0.39419999999999999</v>
      </c>
      <c r="W217" s="61">
        <f>Table3.110[[#This Row],[DM Incubated, mg]]-('3.2 Digest'!V217*1000)</f>
        <v>73.737099999999998</v>
      </c>
      <c r="X217" s="61">
        <f>W217/Table3.110[[#This Row],[DM Incubated, mg]]*100</f>
        <v>15.757908488127997</v>
      </c>
      <c r="Y217" s="37">
        <f>Table3.1[[#This Row],[DM Incubated, mg]]*'2.4 NDF'!R75/100</f>
        <v>356.10013309999994</v>
      </c>
      <c r="Z217" s="37">
        <f t="shared" si="14"/>
        <v>-38.099866900000052</v>
      </c>
      <c r="AA217" s="37">
        <f t="shared" si="15"/>
        <v>-10.699200409818678</v>
      </c>
      <c r="AB217" s="89"/>
    </row>
    <row r="218" spans="2:28" x14ac:dyDescent="0.35">
      <c r="B218" s="230">
        <f t="shared" si="12"/>
        <v>208</v>
      </c>
      <c r="C218" s="61" t="s">
        <v>687</v>
      </c>
      <c r="D218" s="248">
        <f>Table3.110[[#This Row],[Date]]</f>
        <v>46043</v>
      </c>
      <c r="E218" s="230" t="str">
        <f>Table3.110[[#This Row],[Requisitioner]]</f>
        <v>Jacobo Arango/Alejandro Montoya</v>
      </c>
      <c r="F218" s="230" t="str">
        <f>Table3.110[[#This Row],[Gene Bank ID]]</f>
        <v>Sample 8</v>
      </c>
      <c r="G218" s="230" t="str">
        <f>Table3.110[[#This Row],[Genus]]</f>
        <v>Cynodon</v>
      </c>
      <c r="H218" s="230" t="str">
        <f>Table3.110[[#This Row],[Species]]</f>
        <v>nlemfuensis</v>
      </c>
      <c r="I218" s="230" t="str">
        <f>Table3.110[[#This Row],[Tax Name]]</f>
        <v xml:space="preserve">Cynodon nlemfuensis </v>
      </c>
      <c r="J218" s="230" t="str">
        <f>Table3.110[[#This Row],[Family]]</f>
        <v>Poaceae</v>
      </c>
      <c r="K218" s="230" t="str">
        <f>Table3.110[[#This Row],[Order]]</f>
        <v>Poales</v>
      </c>
      <c r="L218" s="230" t="str">
        <f>Table3.110[[#This Row],[Functional Group]]</f>
        <v>grasses</v>
      </c>
      <c r="M218" s="230" t="str">
        <f>Table3.110[[#This Row],[CIAT ID]]</f>
        <v>F250008</v>
      </c>
      <c r="N218" s="230">
        <f>Table3.110[[#This Row],[Set CIAT]]</f>
        <v>27</v>
      </c>
      <c r="O218" s="230">
        <f>Table3.110[[#This Row],[Batch]]</f>
        <v>59</v>
      </c>
      <c r="P218" s="230">
        <f>Table3.110[[#This Row],[Run]]</f>
        <v>2</v>
      </c>
      <c r="Q218" s="230">
        <f>Table3.110[[#This Row],[Replication]]</f>
        <v>3</v>
      </c>
      <c r="R218" s="230">
        <f>Table3.110[[#This Row],[Syrange No]]</f>
        <v>56</v>
      </c>
      <c r="S218" s="265">
        <v>0.57550000000000001</v>
      </c>
      <c r="T218" s="265">
        <v>0.95660000000000001</v>
      </c>
      <c r="U218" s="108"/>
      <c r="V218" s="254">
        <f t="shared" si="13"/>
        <v>0.38109999999999999</v>
      </c>
      <c r="W218" s="61">
        <f>Table3.110[[#This Row],[DM Incubated, mg]]-('3.2 Digest'!V218*1000)</f>
        <v>86.743549999999971</v>
      </c>
      <c r="X218" s="61">
        <f>W218/Table3.110[[#This Row],[DM Incubated, mg]]*100</f>
        <v>18.541144790817352</v>
      </c>
      <c r="Y218" s="37">
        <f>Table3.1[[#This Row],[DM Incubated, mg]]*'2.4 NDF'!R75/100</f>
        <v>356.02894154999996</v>
      </c>
      <c r="Z218" s="37">
        <f t="shared" si="14"/>
        <v>-25.071058450000066</v>
      </c>
      <c r="AA218" s="37">
        <f t="shared" si="15"/>
        <v>-7.0418596704108509</v>
      </c>
      <c r="AB218" s="89"/>
    </row>
    <row r="219" spans="2:28" x14ac:dyDescent="0.35">
      <c r="B219" s="230">
        <f t="shared" si="12"/>
        <v>209</v>
      </c>
      <c r="C219" s="61" t="s">
        <v>687</v>
      </c>
      <c r="D219" s="248">
        <f>Table3.110[[#This Row],[Date]]</f>
        <v>46043</v>
      </c>
      <c r="E219" s="230">
        <f>Table3.110[[#This Row],[Requisitioner]]</f>
        <v>0</v>
      </c>
      <c r="F219" s="230" t="str">
        <f>Table3.110[[#This Row],[Gene Bank ID]]</f>
        <v>BLANK 24 H</v>
      </c>
      <c r="G219" s="230" t="str">
        <f>Table3.110[[#This Row],[Genus]]</f>
        <v>BLANK</v>
      </c>
      <c r="H219" s="230">
        <f>Table3.110[[#This Row],[Species]]</f>
        <v>24</v>
      </c>
      <c r="I219" s="230" t="str">
        <f>Table3.110[[#This Row],[Tax Name]]</f>
        <v>BLANK 24 H</v>
      </c>
      <c r="J219" s="230">
        <f>Table3.110[[#This Row],[Family]]</f>
        <v>0</v>
      </c>
      <c r="K219" s="230">
        <f>Table3.110[[#This Row],[Order]]</f>
        <v>0</v>
      </c>
      <c r="L219" s="230">
        <f>Table3.110[[#This Row],[Functional Group]]</f>
        <v>0</v>
      </c>
      <c r="M219" s="230" t="str">
        <f>Table3.110[[#This Row],[CIAT ID]]</f>
        <v>BLANK24H</v>
      </c>
      <c r="N219" s="230">
        <f>Table3.110[[#This Row],[Set CIAT]]</f>
        <v>27</v>
      </c>
      <c r="O219" s="230">
        <f>Table3.110[[#This Row],[Batch]]</f>
        <v>59</v>
      </c>
      <c r="P219" s="230">
        <f>Table3.110[[#This Row],[Run]]</f>
        <v>2</v>
      </c>
      <c r="Q219" s="230">
        <f>Table3.110[[#This Row],[Replication]]</f>
        <v>1</v>
      </c>
      <c r="R219" s="230">
        <f>Table3.110[[#This Row],[Syrange No]]</f>
        <v>57</v>
      </c>
      <c r="S219" s="264"/>
      <c r="T219" s="264"/>
      <c r="U219" s="108"/>
      <c r="V219" s="254"/>
      <c r="W219" s="61"/>
      <c r="X219" s="61"/>
      <c r="Y219" s="37"/>
      <c r="Z219" s="37"/>
      <c r="AA219" s="37"/>
      <c r="AB219" s="89"/>
    </row>
    <row r="220" spans="2:28" x14ac:dyDescent="0.35">
      <c r="B220" s="230">
        <f t="shared" si="12"/>
        <v>210</v>
      </c>
      <c r="C220" s="61" t="s">
        <v>687</v>
      </c>
      <c r="D220" s="248">
        <f>Table3.110[[#This Row],[Date]]</f>
        <v>46043</v>
      </c>
      <c r="E220" s="230">
        <f>Table3.110[[#This Row],[Requisitioner]]</f>
        <v>0</v>
      </c>
      <c r="F220" s="230" t="str">
        <f>Table3.110[[#This Row],[Gene Bank ID]]</f>
        <v>BLANK 24 H</v>
      </c>
      <c r="G220" s="230" t="str">
        <f>Table3.110[[#This Row],[Genus]]</f>
        <v>BLANK</v>
      </c>
      <c r="H220" s="230">
        <f>Table3.110[[#This Row],[Species]]</f>
        <v>24</v>
      </c>
      <c r="I220" s="230" t="str">
        <f>Table3.110[[#This Row],[Tax Name]]</f>
        <v>BLANK 24 H</v>
      </c>
      <c r="J220" s="230">
        <f>Table3.110[[#This Row],[Family]]</f>
        <v>0</v>
      </c>
      <c r="K220" s="230">
        <f>Table3.110[[#This Row],[Order]]</f>
        <v>0</v>
      </c>
      <c r="L220" s="230">
        <f>Table3.110[[#This Row],[Functional Group]]</f>
        <v>0</v>
      </c>
      <c r="M220" s="230" t="str">
        <f>Table3.110[[#This Row],[CIAT ID]]</f>
        <v>BLANK24H</v>
      </c>
      <c r="N220" s="230">
        <f>Table3.110[[#This Row],[Set CIAT]]</f>
        <v>27</v>
      </c>
      <c r="O220" s="230">
        <f>Table3.110[[#This Row],[Batch]]</f>
        <v>59</v>
      </c>
      <c r="P220" s="230">
        <f>Table3.110[[#This Row],[Run]]</f>
        <v>2</v>
      </c>
      <c r="Q220" s="230">
        <f>Table3.110[[#This Row],[Replication]]</f>
        <v>2</v>
      </c>
      <c r="R220" s="230">
        <f>Table3.110[[#This Row],[Syrange No]]</f>
        <v>58</v>
      </c>
      <c r="S220" s="263"/>
      <c r="T220" s="263"/>
      <c r="U220" s="108"/>
      <c r="V220" s="254"/>
      <c r="W220" s="61"/>
      <c r="X220" s="61"/>
      <c r="Y220" s="37"/>
      <c r="Z220" s="37"/>
      <c r="AA220" s="37"/>
      <c r="AB220" s="89"/>
    </row>
    <row r="221" spans="2:28" x14ac:dyDescent="0.35">
      <c r="B221" s="230">
        <f t="shared" si="12"/>
        <v>211</v>
      </c>
      <c r="C221" s="61"/>
      <c r="D221" s="248">
        <f>Table3.110[[#This Row],[Date]]</f>
        <v>46076</v>
      </c>
      <c r="E221" s="230">
        <f>Table3.110[[#This Row],[Requisitioner]]</f>
        <v>0</v>
      </c>
      <c r="F221" s="230" t="str">
        <f>Table3.110[[#This Row],[Gene Bank ID]]</f>
        <v>BLANK 24 H</v>
      </c>
      <c r="G221" s="230">
        <f>Table3.110[[#This Row],[Genus]]</f>
        <v>0</v>
      </c>
      <c r="H221" s="230">
        <f>Table3.110[[#This Row],[Species]]</f>
        <v>0</v>
      </c>
      <c r="I221" s="230" t="str">
        <f>Table3.110[[#This Row],[Tax Name]]</f>
        <v>BLANK 24 H</v>
      </c>
      <c r="J221" s="230">
        <f>Table3.110[[#This Row],[Family]]</f>
        <v>0</v>
      </c>
      <c r="K221" s="230">
        <f>Table3.110[[#This Row],[Order]]</f>
        <v>0</v>
      </c>
      <c r="L221" s="230">
        <f>Table3.110[[#This Row],[Functional Group]]</f>
        <v>0</v>
      </c>
      <c r="M221" s="230" t="str">
        <f>Table3.110[[#This Row],[CIAT ID]]</f>
        <v>BLANK 24 H</v>
      </c>
      <c r="N221" s="230">
        <f>Table3.110[[#This Row],[Set CIAT]]</f>
        <v>27</v>
      </c>
      <c r="O221" s="230">
        <f>Table3.110[[#This Row],[Batch]]</f>
        <v>69</v>
      </c>
      <c r="P221" s="230">
        <f>Table3.110[[#This Row],[Run]]</f>
        <v>3</v>
      </c>
      <c r="Q221" s="230">
        <f>Table3.110[[#This Row],[Replication]]</f>
        <v>1</v>
      </c>
      <c r="R221" s="230">
        <f>Table3.110[[#This Row],[Syrange No]]</f>
        <v>73</v>
      </c>
      <c r="S221" s="264"/>
      <c r="T221" s="264"/>
      <c r="U221" s="108"/>
      <c r="V221" s="254"/>
      <c r="W221" s="61"/>
      <c r="X221" s="61"/>
      <c r="Y221" s="37"/>
      <c r="Z221" s="37"/>
      <c r="AA221" s="37"/>
      <c r="AB221" s="89"/>
    </row>
    <row r="222" spans="2:28" x14ac:dyDescent="0.35">
      <c r="B222" s="230">
        <f t="shared" si="12"/>
        <v>212</v>
      </c>
      <c r="C222" s="61"/>
      <c r="D222" s="248">
        <f>Table3.110[[#This Row],[Date]]</f>
        <v>46076</v>
      </c>
      <c r="E222" s="230">
        <f>Table3.110[[#This Row],[Requisitioner]]</f>
        <v>0</v>
      </c>
      <c r="F222" s="230" t="str">
        <f>Table3.110[[#This Row],[Gene Bank ID]]</f>
        <v>BLANK 24 H</v>
      </c>
      <c r="G222" s="230">
        <f>Table3.110[[#This Row],[Genus]]</f>
        <v>0</v>
      </c>
      <c r="H222" s="230">
        <f>Table3.110[[#This Row],[Species]]</f>
        <v>0</v>
      </c>
      <c r="I222" s="230" t="str">
        <f>Table3.110[[#This Row],[Tax Name]]</f>
        <v>BLANK 24 H</v>
      </c>
      <c r="J222" s="230">
        <f>Table3.110[[#This Row],[Family]]</f>
        <v>0</v>
      </c>
      <c r="K222" s="230">
        <f>Table3.110[[#This Row],[Order]]</f>
        <v>0</v>
      </c>
      <c r="L222" s="230">
        <f>Table3.110[[#This Row],[Functional Group]]</f>
        <v>0</v>
      </c>
      <c r="M222" s="230" t="str">
        <f>Table3.110[[#This Row],[CIAT ID]]</f>
        <v>BLANK 24 H</v>
      </c>
      <c r="N222" s="230">
        <f>Table3.110[[#This Row],[Set CIAT]]</f>
        <v>27</v>
      </c>
      <c r="O222" s="230">
        <f>Table3.110[[#This Row],[Batch]]</f>
        <v>69</v>
      </c>
      <c r="P222" s="230">
        <f>Table3.110[[#This Row],[Run]]</f>
        <v>3</v>
      </c>
      <c r="Q222" s="230">
        <f>Table3.110[[#This Row],[Replication]]</f>
        <v>2</v>
      </c>
      <c r="R222" s="230">
        <f>Table3.110[[#This Row],[Syrange No]]</f>
        <v>74</v>
      </c>
      <c r="S222" s="263"/>
      <c r="T222" s="263"/>
      <c r="U222" s="108"/>
      <c r="V222" s="254"/>
      <c r="W222" s="61"/>
      <c r="X222" s="61"/>
      <c r="Y222" s="37"/>
      <c r="Z222" s="37"/>
      <c r="AA222" s="37"/>
      <c r="AB222" s="89"/>
    </row>
    <row r="223" spans="2:28" x14ac:dyDescent="0.35">
      <c r="B223" s="230">
        <f t="shared" si="12"/>
        <v>213</v>
      </c>
      <c r="C223" s="61"/>
      <c r="D223" s="248">
        <f>Table3.110[[#This Row],[Date]]</f>
        <v>46076</v>
      </c>
      <c r="E223" s="230" t="str">
        <f>Table3.110[[#This Row],[Requisitioner]]</f>
        <v>Genbank</v>
      </c>
      <c r="F223" s="230" t="str">
        <f>Table3.110[[#This Row],[Gene Bank ID]]</f>
        <v>CIAT-13262</v>
      </c>
      <c r="G223" s="230" t="str">
        <f>Table3.110[[#This Row],[Genus]]</f>
        <v>Dendrolobium</v>
      </c>
      <c r="H223" s="230" t="str">
        <f>Table3.110[[#This Row],[Species]]</f>
        <v>triangulare</v>
      </c>
      <c r="I223" s="230" t="str">
        <f>Table3.110[[#This Row],[Tax Name]]</f>
        <v>Dendrolobium triangulare</v>
      </c>
      <c r="J223" s="230" t="str">
        <f>Table3.110[[#This Row],[Family]]</f>
        <v>Fabaceae</v>
      </c>
      <c r="K223" s="230" t="str">
        <f>Table3.110[[#This Row],[Order]]</f>
        <v>Fabales</v>
      </c>
      <c r="L223" s="230" t="str">
        <f>Table3.110[[#This Row],[Functional Group]]</f>
        <v>Tree</v>
      </c>
      <c r="M223" s="230" t="str">
        <f>Table3.110[[#This Row],[CIAT ID]]</f>
        <v>F251728</v>
      </c>
      <c r="N223" s="230">
        <f>Table3.110[[#This Row],[Set CIAT]]</f>
        <v>27</v>
      </c>
      <c r="O223" s="230">
        <f>Table3.110[[#This Row],[Batch]]</f>
        <v>69</v>
      </c>
      <c r="P223" s="230">
        <f>Table3.110[[#This Row],[Run]]</f>
        <v>3</v>
      </c>
      <c r="Q223" s="230">
        <f>Table3.110[[#This Row],[Replication]]</f>
        <v>1</v>
      </c>
      <c r="R223" s="230">
        <f>Table3.110[[#This Row],[Syrange No]]</f>
        <v>75</v>
      </c>
      <c r="S223" s="110">
        <v>0.58009999999999995</v>
      </c>
      <c r="T223" s="110">
        <v>0.91600000000000004</v>
      </c>
      <c r="U223" s="108"/>
      <c r="V223" s="254">
        <f t="shared" si="13"/>
        <v>0.33590000000000009</v>
      </c>
      <c r="W223" s="61">
        <f>Table3.110[[#This Row],[DM Incubated, mg]]-('3.2 Digest'!V223*1000)</f>
        <v>139.33100349065717</v>
      </c>
      <c r="X223" s="61">
        <f>W223/Table3.110[[#This Row],[DM Incubated, mg]]*100</f>
        <v>29.31858453409939</v>
      </c>
      <c r="Y223" s="37">
        <f>Table3.1[[#This Row],[DM Incubated, mg]]*'2.4 NDF'!R11/100</f>
        <v>287.06024035053724</v>
      </c>
      <c r="Z223" s="37">
        <f t="shared" ref="Z223:Z282" si="16">Y223-(V223*1000)</f>
        <v>-48.839759649462849</v>
      </c>
      <c r="AA223" s="37">
        <f t="shared" ref="AA223:AA282" si="17">Z223/Y223*100</f>
        <v>-17.013766723605908</v>
      </c>
      <c r="AB223" s="89"/>
    </row>
    <row r="224" spans="2:28" x14ac:dyDescent="0.35">
      <c r="B224" s="230">
        <f t="shared" si="12"/>
        <v>214</v>
      </c>
      <c r="C224" s="61"/>
      <c r="D224" s="248">
        <f>Table3.110[[#This Row],[Date]]</f>
        <v>46076</v>
      </c>
      <c r="E224" s="230" t="str">
        <f>Table3.110[[#This Row],[Requisitioner]]</f>
        <v>Genbank</v>
      </c>
      <c r="F224" s="230" t="str">
        <f>Table3.110[[#This Row],[Gene Bank ID]]</f>
        <v>CIAT-13262</v>
      </c>
      <c r="G224" s="230" t="str">
        <f>Table3.110[[#This Row],[Genus]]</f>
        <v>Dendrolobium</v>
      </c>
      <c r="H224" s="230" t="str">
        <f>Table3.110[[#This Row],[Species]]</f>
        <v>triangulare</v>
      </c>
      <c r="I224" s="230" t="str">
        <f>Table3.110[[#This Row],[Tax Name]]</f>
        <v>Dendrolobium triangulare</v>
      </c>
      <c r="J224" s="230" t="str">
        <f>Table3.110[[#This Row],[Family]]</f>
        <v>Fabaceae</v>
      </c>
      <c r="K224" s="230" t="str">
        <f>Table3.110[[#This Row],[Order]]</f>
        <v>Fabales</v>
      </c>
      <c r="L224" s="230" t="str">
        <f>Table3.110[[#This Row],[Functional Group]]</f>
        <v>Tree</v>
      </c>
      <c r="M224" s="230" t="str">
        <f>Table3.110[[#This Row],[CIAT ID]]</f>
        <v>F251728</v>
      </c>
      <c r="N224" s="230">
        <f>Table3.110[[#This Row],[Set CIAT]]</f>
        <v>27</v>
      </c>
      <c r="O224" s="230">
        <f>Table3.110[[#This Row],[Batch]]</f>
        <v>69</v>
      </c>
      <c r="P224" s="230">
        <f>Table3.110[[#This Row],[Run]]</f>
        <v>3</v>
      </c>
      <c r="Q224" s="230">
        <f>Table3.110[[#This Row],[Replication]]</f>
        <v>2</v>
      </c>
      <c r="R224" s="230">
        <f>Table3.110[[#This Row],[Syrange No]]</f>
        <v>76</v>
      </c>
      <c r="S224" s="265">
        <v>0.55149999999999999</v>
      </c>
      <c r="T224" s="265">
        <v>0.88739999999999997</v>
      </c>
      <c r="U224" s="108"/>
      <c r="V224" s="254">
        <f t="shared" si="13"/>
        <v>0.33589999999999998</v>
      </c>
      <c r="W224" s="61">
        <f>Table3.110[[#This Row],[DM Incubated, mg]]-('3.2 Digest'!V224*1000)</f>
        <v>139.33100349065728</v>
      </c>
      <c r="X224" s="61">
        <f>W224/Table3.110[[#This Row],[DM Incubated, mg]]*100</f>
        <v>29.318584534099411</v>
      </c>
      <c r="Y224" s="37">
        <f>Table3.1[[#This Row],[DM Incubated, mg]]*'2.4 NDF'!R11/100</f>
        <v>287.06024035053724</v>
      </c>
      <c r="Z224" s="37">
        <f t="shared" si="16"/>
        <v>-48.839759649462735</v>
      </c>
      <c r="AA224" s="37">
        <f t="shared" si="17"/>
        <v>-17.013766723605869</v>
      </c>
      <c r="AB224" s="89"/>
    </row>
    <row r="225" spans="2:29" x14ac:dyDescent="0.35">
      <c r="B225" s="230">
        <f t="shared" si="12"/>
        <v>215</v>
      </c>
      <c r="C225" s="61"/>
      <c r="D225" s="248">
        <f>Table3.110[[#This Row],[Date]]</f>
        <v>46076</v>
      </c>
      <c r="E225" s="230" t="str">
        <f>Table3.110[[#This Row],[Requisitioner]]</f>
        <v>Genbank</v>
      </c>
      <c r="F225" s="230" t="str">
        <f>Table3.110[[#This Row],[Gene Bank ID]]</f>
        <v>CIAT-13528</v>
      </c>
      <c r="G225" s="230" t="str">
        <f>Table3.110[[#This Row],[Genus]]</f>
        <v>Dendrolobium</v>
      </c>
      <c r="H225" s="230" t="str">
        <f>Table3.110[[#This Row],[Species]]</f>
        <v>lanceolatum</v>
      </c>
      <c r="I225" s="230" t="str">
        <f>Table3.110[[#This Row],[Tax Name]]</f>
        <v>Dendrolobium lanceolatum</v>
      </c>
      <c r="J225" s="230" t="str">
        <f>Table3.110[[#This Row],[Family]]</f>
        <v>Fabaceae</v>
      </c>
      <c r="K225" s="230" t="str">
        <f>Table3.110[[#This Row],[Order]]</f>
        <v>Fabales</v>
      </c>
      <c r="L225" s="230" t="str">
        <f>Table3.110[[#This Row],[Functional Group]]</f>
        <v>Tree</v>
      </c>
      <c r="M225" s="230" t="str">
        <f>Table3.110[[#This Row],[CIAT ID]]</f>
        <v>F251729</v>
      </c>
      <c r="N225" s="230">
        <f>Table3.110[[#This Row],[Set CIAT]]</f>
        <v>27</v>
      </c>
      <c r="O225" s="230">
        <f>Table3.110[[#This Row],[Batch]]</f>
        <v>69</v>
      </c>
      <c r="P225" s="230">
        <f>Table3.110[[#This Row],[Run]]</f>
        <v>3</v>
      </c>
      <c r="Q225" s="230">
        <f>Table3.110[[#This Row],[Replication]]</f>
        <v>1</v>
      </c>
      <c r="R225" s="230">
        <f>Table3.110[[#This Row],[Syrange No]]</f>
        <v>77</v>
      </c>
      <c r="S225" s="265">
        <v>0.56089999999999995</v>
      </c>
      <c r="T225" s="265">
        <v>0.95269999999999999</v>
      </c>
      <c r="U225" s="108"/>
      <c r="V225" s="254">
        <f t="shared" si="13"/>
        <v>0.39180000000000004</v>
      </c>
      <c r="W225" s="61">
        <f>Table3.110[[#This Row],[DM Incubated, mg]]-('3.2 Digest'!V225*1000)</f>
        <v>83.61879586586457</v>
      </c>
      <c r="X225" s="61">
        <f>W225/Table3.110[[#This Row],[DM Incubated, mg]]*100</f>
        <v>17.588449719067672</v>
      </c>
      <c r="Y225" s="37">
        <f>Table3.1[[#This Row],[DM Incubated, mg]]*'2.4 NDF'!R13/100</f>
        <v>270.41606156583083</v>
      </c>
      <c r="Z225" s="37">
        <f t="shared" si="16"/>
        <v>-121.38393843416918</v>
      </c>
      <c r="AA225" s="37">
        <f t="shared" si="17"/>
        <v>-44.887843470281126</v>
      </c>
      <c r="AB225" s="89"/>
    </row>
    <row r="226" spans="2:29" x14ac:dyDescent="0.35">
      <c r="B226" s="230">
        <f t="shared" si="12"/>
        <v>216</v>
      </c>
      <c r="C226" s="61"/>
      <c r="D226" s="248">
        <f>Table3.110[[#This Row],[Date]]</f>
        <v>46076</v>
      </c>
      <c r="E226" s="230" t="str">
        <f>Table3.110[[#This Row],[Requisitioner]]</f>
        <v>Genbank</v>
      </c>
      <c r="F226" s="230" t="str">
        <f>Table3.110[[#This Row],[Gene Bank ID]]</f>
        <v>CIAT-13528</v>
      </c>
      <c r="G226" s="230" t="str">
        <f>Table3.110[[#This Row],[Genus]]</f>
        <v>Dendrolobium</v>
      </c>
      <c r="H226" s="230" t="str">
        <f>Table3.110[[#This Row],[Species]]</f>
        <v>lanceolatum</v>
      </c>
      <c r="I226" s="230" t="str">
        <f>Table3.110[[#This Row],[Tax Name]]</f>
        <v>Dendrolobium lanceolatum</v>
      </c>
      <c r="J226" s="230" t="str">
        <f>Table3.110[[#This Row],[Family]]</f>
        <v>Fabaceae</v>
      </c>
      <c r="K226" s="230" t="str">
        <f>Table3.110[[#This Row],[Order]]</f>
        <v>Fabales</v>
      </c>
      <c r="L226" s="230" t="str">
        <f>Table3.110[[#This Row],[Functional Group]]</f>
        <v>Tree</v>
      </c>
      <c r="M226" s="230" t="str">
        <f>Table3.110[[#This Row],[CIAT ID]]</f>
        <v>F251729</v>
      </c>
      <c r="N226" s="230">
        <f>Table3.110[[#This Row],[Set CIAT]]</f>
        <v>27</v>
      </c>
      <c r="O226" s="230">
        <f>Table3.110[[#This Row],[Batch]]</f>
        <v>69</v>
      </c>
      <c r="P226" s="230">
        <f>Table3.110[[#This Row],[Run]]</f>
        <v>3</v>
      </c>
      <c r="Q226" s="230">
        <f>Table3.110[[#This Row],[Replication]]</f>
        <v>2</v>
      </c>
      <c r="R226" s="230">
        <f>Table3.110[[#This Row],[Syrange No]]</f>
        <v>78</v>
      </c>
      <c r="S226" s="110">
        <v>0.60160000000000002</v>
      </c>
      <c r="T226" s="110">
        <v>0.96319999999999995</v>
      </c>
      <c r="U226" s="108"/>
      <c r="V226" s="254">
        <f t="shared" si="13"/>
        <v>0.36159999999999992</v>
      </c>
      <c r="W226" s="61">
        <f>Table3.110[[#This Row],[DM Incubated, mg]]-('3.2 Digest'!V226*1000)</f>
        <v>114.00888734761833</v>
      </c>
      <c r="X226" s="61">
        <f>W226/Table3.110[[#This Row],[DM Incubated, mg]]*100</f>
        <v>23.971143176786406</v>
      </c>
      <c r="Y226" s="37">
        <f>Table3.1[[#This Row],[DM Incubated, mg]]*'2.4 NDF'!R13/100</f>
        <v>270.52418474118701</v>
      </c>
      <c r="Z226" s="37">
        <f t="shared" si="16"/>
        <v>-91.075815258812895</v>
      </c>
      <c r="AA226" s="37">
        <f t="shared" si="17"/>
        <v>-33.666422595800803</v>
      </c>
      <c r="AB226" s="89"/>
    </row>
    <row r="227" spans="2:29" x14ac:dyDescent="0.35">
      <c r="B227" s="230">
        <f t="shared" si="12"/>
        <v>217</v>
      </c>
      <c r="C227" s="61"/>
      <c r="D227" s="248">
        <f>Table3.110[[#This Row],[Date]]</f>
        <v>46076</v>
      </c>
      <c r="E227" s="230" t="str">
        <f>Table3.110[[#This Row],[Requisitioner]]</f>
        <v>Genbank</v>
      </c>
      <c r="F227" s="230" t="str">
        <f>Table3.110[[#This Row],[Gene Bank ID]]</f>
        <v>CIAT-13529</v>
      </c>
      <c r="G227" s="230" t="str">
        <f>Table3.110[[#This Row],[Genus]]</f>
        <v>Dendrolobium</v>
      </c>
      <c r="H227" s="230" t="str">
        <f>Table3.110[[#This Row],[Species]]</f>
        <v>triangulare</v>
      </c>
      <c r="I227" s="230" t="str">
        <f>Table3.110[[#This Row],[Tax Name]]</f>
        <v>Dendrolobium triangulare</v>
      </c>
      <c r="J227" s="230" t="str">
        <f>Table3.110[[#This Row],[Family]]</f>
        <v>Fabaceae</v>
      </c>
      <c r="K227" s="230" t="str">
        <f>Table3.110[[#This Row],[Order]]</f>
        <v>Fabales</v>
      </c>
      <c r="L227" s="230" t="str">
        <f>Table3.110[[#This Row],[Functional Group]]</f>
        <v>Tree</v>
      </c>
      <c r="M227" s="230" t="str">
        <f>Table3.110[[#This Row],[CIAT ID]]</f>
        <v>F251730</v>
      </c>
      <c r="N227" s="230">
        <f>Table3.110[[#This Row],[Set CIAT]]</f>
        <v>27</v>
      </c>
      <c r="O227" s="230">
        <f>Table3.110[[#This Row],[Batch]]</f>
        <v>69</v>
      </c>
      <c r="P227" s="230">
        <f>Table3.110[[#This Row],[Run]]</f>
        <v>3</v>
      </c>
      <c r="Q227" s="230">
        <f>Table3.110[[#This Row],[Replication]]</f>
        <v>1</v>
      </c>
      <c r="R227" s="230">
        <f>Table3.110[[#This Row],[Syrange No]]</f>
        <v>79</v>
      </c>
      <c r="S227" s="265">
        <v>0.58919999999999995</v>
      </c>
      <c r="T227" s="265">
        <v>0.94899999999999995</v>
      </c>
      <c r="U227" s="108"/>
      <c r="V227" s="254">
        <f t="shared" si="13"/>
        <v>0.35980000000000001</v>
      </c>
      <c r="W227" s="61">
        <f>Table3.110[[#This Row],[DM Incubated, mg]]-('3.2 Digest'!V227*1000)</f>
        <v>112.36234381309635</v>
      </c>
      <c r="X227" s="61">
        <f>W227/Table3.110[[#This Row],[DM Incubated, mg]]*100</f>
        <v>23.797396231490783</v>
      </c>
      <c r="Y227" s="37">
        <f>Table3.1[[#This Row],[DM Incubated, mg]]*'2.4 NDF'!R15/100</f>
        <v>283.03292377823465</v>
      </c>
      <c r="Z227" s="37">
        <f t="shared" si="16"/>
        <v>-76.767076221765365</v>
      </c>
      <c r="AA227" s="37">
        <f t="shared" si="17"/>
        <v>-27.123019893584825</v>
      </c>
      <c r="AB227" s="89"/>
    </row>
    <row r="228" spans="2:29" x14ac:dyDescent="0.35">
      <c r="B228" s="230">
        <f t="shared" si="12"/>
        <v>218</v>
      </c>
      <c r="C228" s="61"/>
      <c r="D228" s="248">
        <f>Table3.110[[#This Row],[Date]]</f>
        <v>46076</v>
      </c>
      <c r="E228" s="230" t="str">
        <f>Table3.110[[#This Row],[Requisitioner]]</f>
        <v>Genbank</v>
      </c>
      <c r="F228" s="230" t="str">
        <f>Table3.110[[#This Row],[Gene Bank ID]]</f>
        <v>CIAT-13529</v>
      </c>
      <c r="G228" s="230" t="str">
        <f>Table3.110[[#This Row],[Genus]]</f>
        <v>Dendrolobium</v>
      </c>
      <c r="H228" s="230" t="str">
        <f>Table3.110[[#This Row],[Species]]</f>
        <v>triangulare</v>
      </c>
      <c r="I228" s="230" t="str">
        <f>Table3.110[[#This Row],[Tax Name]]</f>
        <v>Dendrolobium triangulare</v>
      </c>
      <c r="J228" s="230" t="str">
        <f>Table3.110[[#This Row],[Family]]</f>
        <v>Fabaceae</v>
      </c>
      <c r="K228" s="230" t="str">
        <f>Table3.110[[#This Row],[Order]]</f>
        <v>Fabales</v>
      </c>
      <c r="L228" s="230" t="str">
        <f>Table3.110[[#This Row],[Functional Group]]</f>
        <v>Tree</v>
      </c>
      <c r="M228" s="230" t="str">
        <f>Table3.110[[#This Row],[CIAT ID]]</f>
        <v>F251730</v>
      </c>
      <c r="N228" s="230">
        <f>Table3.110[[#This Row],[Set CIAT]]</f>
        <v>27</v>
      </c>
      <c r="O228" s="230">
        <f>Table3.110[[#This Row],[Batch]]</f>
        <v>69</v>
      </c>
      <c r="P228" s="230">
        <f>Table3.110[[#This Row],[Run]]</f>
        <v>3</v>
      </c>
      <c r="Q228" s="230">
        <f>Table3.110[[#This Row],[Replication]]</f>
        <v>2</v>
      </c>
      <c r="R228" s="230">
        <f>Table3.110[[#This Row],[Syrange No]]</f>
        <v>80</v>
      </c>
      <c r="S228" s="110">
        <v>0.55730000000000002</v>
      </c>
      <c r="T228" s="110">
        <v>0.88739999999999997</v>
      </c>
      <c r="U228" s="108"/>
      <c r="V228" s="254">
        <f t="shared" si="13"/>
        <v>0.33009999999999995</v>
      </c>
      <c r="W228" s="61">
        <f>Table3.110[[#This Row],[DM Incubated, mg]]-('3.2 Digest'!V228*1000)</f>
        <v>141.68491588039211</v>
      </c>
      <c r="X228" s="61">
        <f>W228/Table3.110[[#This Row],[DM Incubated, mg]]*100</f>
        <v>30.031675687637367</v>
      </c>
      <c r="Y228" s="37">
        <f>Table3.1[[#This Row],[DM Incubated, mg]]*'2.4 NDF'!R15/100</f>
        <v>282.80667843548628</v>
      </c>
      <c r="Z228" s="37">
        <f t="shared" si="16"/>
        <v>-47.29332156451369</v>
      </c>
      <c r="AA228" s="37">
        <f t="shared" si="17"/>
        <v>-16.722844674724406</v>
      </c>
      <c r="AB228" s="89"/>
    </row>
    <row r="229" spans="2:29" x14ac:dyDescent="0.35">
      <c r="B229" s="230">
        <f t="shared" si="12"/>
        <v>219</v>
      </c>
      <c r="C229" s="61"/>
      <c r="D229" s="248">
        <f>Table3.110[[#This Row],[Date]]</f>
        <v>46076</v>
      </c>
      <c r="E229" s="230" t="str">
        <f>Table3.110[[#This Row],[Requisitioner]]</f>
        <v>Genbank</v>
      </c>
      <c r="F229" s="230" t="str">
        <f>Table3.110[[#This Row],[Gene Bank ID]]</f>
        <v>CIAT-13710</v>
      </c>
      <c r="G229" s="230" t="str">
        <f>Table3.110[[#This Row],[Genus]]</f>
        <v>Dendrolobium</v>
      </c>
      <c r="H229" s="230" t="str">
        <f>Table3.110[[#This Row],[Species]]</f>
        <v>lanceolatum</v>
      </c>
      <c r="I229" s="230" t="str">
        <f>Table3.110[[#This Row],[Tax Name]]</f>
        <v>Dendrolobium lanceolatum</v>
      </c>
      <c r="J229" s="230" t="str">
        <f>Table3.110[[#This Row],[Family]]</f>
        <v>Fabaceae</v>
      </c>
      <c r="K229" s="230" t="str">
        <f>Table3.110[[#This Row],[Order]]</f>
        <v>Fabales</v>
      </c>
      <c r="L229" s="230" t="str">
        <f>Table3.110[[#This Row],[Functional Group]]</f>
        <v>Tree</v>
      </c>
      <c r="M229" s="230" t="str">
        <f>Table3.110[[#This Row],[CIAT ID]]</f>
        <v>F251731</v>
      </c>
      <c r="N229" s="230">
        <f>Table3.110[[#This Row],[Set CIAT]]</f>
        <v>27</v>
      </c>
      <c r="O229" s="230">
        <f>Table3.110[[#This Row],[Batch]]</f>
        <v>69</v>
      </c>
      <c r="P229" s="230">
        <f>Table3.110[[#This Row],[Run]]</f>
        <v>3</v>
      </c>
      <c r="Q229" s="230">
        <f>Table3.110[[#This Row],[Replication]]</f>
        <v>1</v>
      </c>
      <c r="R229" s="230">
        <f>Table3.110[[#This Row],[Syrange No]]</f>
        <v>81</v>
      </c>
      <c r="S229" s="265">
        <v>0.57579999999999998</v>
      </c>
      <c r="T229" s="265">
        <v>0.97799999999999998</v>
      </c>
      <c r="U229" s="108"/>
      <c r="V229" s="254">
        <f t="shared" si="13"/>
        <v>0.4022</v>
      </c>
      <c r="W229" s="61">
        <f>Table3.110[[#This Row],[DM Incubated, mg]]-('3.2 Digest'!V229*1000)</f>
        <v>68.745609403914671</v>
      </c>
      <c r="X229" s="61">
        <f>W229/Table3.110[[#This Row],[DM Incubated, mg]]*100</f>
        <v>14.597356474121796</v>
      </c>
      <c r="Y229" s="37">
        <f>Table3.1[[#This Row],[DM Incubated, mg]]*'2.4 NDF'!R17/100</f>
        <v>303.08647766104639</v>
      </c>
      <c r="Z229" s="37">
        <f t="shared" si="16"/>
        <v>-99.113522338953601</v>
      </c>
      <c r="AA229" s="37">
        <f t="shared" si="17"/>
        <v>-32.70140030786731</v>
      </c>
      <c r="AB229" s="89"/>
    </row>
    <row r="230" spans="2:29" x14ac:dyDescent="0.35">
      <c r="B230" s="230">
        <f t="shared" si="12"/>
        <v>220</v>
      </c>
      <c r="C230" s="61"/>
      <c r="D230" s="248">
        <f>Table3.110[[#This Row],[Date]]</f>
        <v>46076</v>
      </c>
      <c r="E230" s="230" t="str">
        <f>Table3.110[[#This Row],[Requisitioner]]</f>
        <v>Genbank</v>
      </c>
      <c r="F230" s="230" t="str">
        <f>Table3.110[[#This Row],[Gene Bank ID]]</f>
        <v>CIAT-13710</v>
      </c>
      <c r="G230" s="230" t="str">
        <f>Table3.110[[#This Row],[Genus]]</f>
        <v>Dendrolobium</v>
      </c>
      <c r="H230" s="230" t="str">
        <f>Table3.110[[#This Row],[Species]]</f>
        <v>lanceolatum</v>
      </c>
      <c r="I230" s="230" t="str">
        <f>Table3.110[[#This Row],[Tax Name]]</f>
        <v>Dendrolobium lanceolatum</v>
      </c>
      <c r="J230" s="230" t="str">
        <f>Table3.110[[#This Row],[Family]]</f>
        <v>Fabaceae</v>
      </c>
      <c r="K230" s="230" t="str">
        <f>Table3.110[[#This Row],[Order]]</f>
        <v>Fabales</v>
      </c>
      <c r="L230" s="230" t="str">
        <f>Table3.110[[#This Row],[Functional Group]]</f>
        <v>Tree</v>
      </c>
      <c r="M230" s="230" t="str">
        <f>Table3.110[[#This Row],[CIAT ID]]</f>
        <v>F251731</v>
      </c>
      <c r="N230" s="230">
        <f>Table3.110[[#This Row],[Set CIAT]]</f>
        <v>27</v>
      </c>
      <c r="O230" s="230">
        <f>Table3.110[[#This Row],[Batch]]</f>
        <v>69</v>
      </c>
      <c r="P230" s="230">
        <f>Table3.110[[#This Row],[Run]]</f>
        <v>3</v>
      </c>
      <c r="Q230" s="230">
        <f>Table3.110[[#This Row],[Replication]]</f>
        <v>2</v>
      </c>
      <c r="R230" s="230">
        <f>Table3.110[[#This Row],[Syrange No]]</f>
        <v>82</v>
      </c>
      <c r="S230" s="110">
        <v>0.56440000000000001</v>
      </c>
      <c r="T230" s="110">
        <v>0.95250000000000001</v>
      </c>
      <c r="U230" s="108"/>
      <c r="V230" s="254">
        <f t="shared" si="13"/>
        <v>0.3881</v>
      </c>
      <c r="W230" s="61">
        <f>Table3.110[[#This Row],[DM Incubated, mg]]-('3.2 Digest'!V230*1000)</f>
        <v>82.657344119323852</v>
      </c>
      <c r="X230" s="61">
        <f>W230/Table3.110[[#This Row],[DM Incubated, mg]]*100</f>
        <v>17.558375913169506</v>
      </c>
      <c r="Y230" s="37">
        <f>Table3.1[[#This Row],[DM Incubated, mg]]*'2.4 NDF'!R17/100</f>
        <v>302.9653157671184</v>
      </c>
      <c r="Z230" s="37">
        <f t="shared" si="16"/>
        <v>-85.134684232881625</v>
      </c>
      <c r="AA230" s="37">
        <f t="shared" si="17"/>
        <v>-28.10047216702603</v>
      </c>
      <c r="AB230" s="89"/>
    </row>
    <row r="231" spans="2:29" x14ac:dyDescent="0.35">
      <c r="B231" s="230">
        <f t="shared" si="12"/>
        <v>221</v>
      </c>
      <c r="C231" s="61"/>
      <c r="D231" s="248">
        <f>Table3.110[[#This Row],[Date]]</f>
        <v>46076</v>
      </c>
      <c r="E231" s="230" t="str">
        <f>Table3.110[[#This Row],[Requisitioner]]</f>
        <v>Genbank</v>
      </c>
      <c r="F231" s="230" t="str">
        <f>Table3.110[[#This Row],[Gene Bank ID]]</f>
        <v>CIAT-22004</v>
      </c>
      <c r="G231" s="230" t="str">
        <f>Table3.110[[#This Row],[Genus]]</f>
        <v>Dendrolobium</v>
      </c>
      <c r="H231" s="230" t="str">
        <f>Table3.110[[#This Row],[Species]]</f>
        <v>triangulare</v>
      </c>
      <c r="I231" s="230" t="str">
        <f>Table3.110[[#This Row],[Tax Name]]</f>
        <v>Dendrolobium triangulare</v>
      </c>
      <c r="J231" s="230" t="str">
        <f>Table3.110[[#This Row],[Family]]</f>
        <v>Fabaceae</v>
      </c>
      <c r="K231" s="230" t="str">
        <f>Table3.110[[#This Row],[Order]]</f>
        <v>Fabales</v>
      </c>
      <c r="L231" s="230" t="str">
        <f>Table3.110[[#This Row],[Functional Group]]</f>
        <v>Tree</v>
      </c>
      <c r="M231" s="230" t="str">
        <f>Table3.110[[#This Row],[CIAT ID]]</f>
        <v>F251732</v>
      </c>
      <c r="N231" s="230">
        <f>Table3.110[[#This Row],[Set CIAT]]</f>
        <v>27</v>
      </c>
      <c r="O231" s="230">
        <f>Table3.110[[#This Row],[Batch]]</f>
        <v>69</v>
      </c>
      <c r="P231" s="230">
        <f>Table3.110[[#This Row],[Run]]</f>
        <v>3</v>
      </c>
      <c r="Q231" s="230">
        <f>Table3.110[[#This Row],[Replication]]</f>
        <v>1</v>
      </c>
      <c r="R231" s="230">
        <f>Table3.110[[#This Row],[Syrange No]]</f>
        <v>83</v>
      </c>
      <c r="S231" s="265">
        <v>0.56989999999999996</v>
      </c>
      <c r="T231" s="265">
        <v>0.92320000000000002</v>
      </c>
      <c r="U231" s="108"/>
      <c r="V231" s="254">
        <f t="shared" si="13"/>
        <v>0.35330000000000006</v>
      </c>
      <c r="W231" s="61">
        <f>Table3.110[[#This Row],[DM Incubated, mg]]-('3.2 Digest'!V231*1000)</f>
        <v>118.46213684520353</v>
      </c>
      <c r="X231" s="61">
        <f>W231/Table3.110[[#This Row],[DM Incubated, mg]]*100</f>
        <v>25.110564751421283</v>
      </c>
      <c r="Y231" s="37">
        <f>Table3.1[[#This Row],[DM Incubated, mg]]*'2.4 NDF'!R19/100</f>
        <v>300.08094060931745</v>
      </c>
      <c r="Z231" s="37">
        <f t="shared" si="16"/>
        <v>-53.219059390682617</v>
      </c>
      <c r="AA231" s="37">
        <f t="shared" si="17"/>
        <v>-17.734901551101768</v>
      </c>
      <c r="AB231" s="89"/>
    </row>
    <row r="232" spans="2:29" x14ac:dyDescent="0.35">
      <c r="B232" s="230">
        <f t="shared" si="12"/>
        <v>222</v>
      </c>
      <c r="C232" s="61"/>
      <c r="D232" s="248">
        <f>Table3.110[[#This Row],[Date]]</f>
        <v>46076</v>
      </c>
      <c r="E232" s="230" t="str">
        <f>Table3.110[[#This Row],[Requisitioner]]</f>
        <v>Genbank</v>
      </c>
      <c r="F232" s="230" t="str">
        <f>Table3.110[[#This Row],[Gene Bank ID]]</f>
        <v>CIAT-22004</v>
      </c>
      <c r="G232" s="230" t="str">
        <f>Table3.110[[#This Row],[Genus]]</f>
        <v>Dendrolobium</v>
      </c>
      <c r="H232" s="230" t="str">
        <f>Table3.110[[#This Row],[Species]]</f>
        <v>triangulare</v>
      </c>
      <c r="I232" s="230" t="str">
        <f>Table3.110[[#This Row],[Tax Name]]</f>
        <v>Dendrolobium triangulare</v>
      </c>
      <c r="J232" s="230" t="str">
        <f>Table3.110[[#This Row],[Family]]</f>
        <v>Fabaceae</v>
      </c>
      <c r="K232" s="230" t="str">
        <f>Table3.110[[#This Row],[Order]]</f>
        <v>Fabales</v>
      </c>
      <c r="L232" s="230" t="str">
        <f>Table3.110[[#This Row],[Functional Group]]</f>
        <v>Tree</v>
      </c>
      <c r="M232" s="230" t="str">
        <f>Table3.110[[#This Row],[CIAT ID]]</f>
        <v>F251732</v>
      </c>
      <c r="N232" s="230">
        <f>Table3.110[[#This Row],[Set CIAT]]</f>
        <v>27</v>
      </c>
      <c r="O232" s="230">
        <f>Table3.110[[#This Row],[Batch]]</f>
        <v>69</v>
      </c>
      <c r="P232" s="230">
        <f>Table3.110[[#This Row],[Run]]</f>
        <v>3</v>
      </c>
      <c r="Q232" s="230">
        <f>Table3.110[[#This Row],[Replication]]</f>
        <v>2</v>
      </c>
      <c r="R232" s="230">
        <f>Table3.110[[#This Row],[Syrange No]]</f>
        <v>84</v>
      </c>
      <c r="S232" s="110">
        <v>0.55740000000000001</v>
      </c>
      <c r="T232" s="110">
        <v>0.93200000000000005</v>
      </c>
      <c r="U232" s="108"/>
      <c r="V232" s="254">
        <f t="shared" si="13"/>
        <v>0.37460000000000004</v>
      </c>
      <c r="W232" s="61">
        <f>Table3.110[[#This Row],[DM Incubated, mg]]-('3.2 Digest'!V232*1000)</f>
        <v>96.879249295626153</v>
      </c>
      <c r="X232" s="61">
        <f>W232/Table3.110[[#This Row],[DM Incubated, mg]]*100</f>
        <v>20.547934917678866</v>
      </c>
      <c r="Y232" s="37">
        <f>Table3.1[[#This Row],[DM Incubated, mg]]*'2.4 NDF'!R19/100</f>
        <v>299.90100000931182</v>
      </c>
      <c r="Z232" s="37">
        <f t="shared" si="16"/>
        <v>-74.698999990688208</v>
      </c>
      <c r="AA232" s="37">
        <f t="shared" si="17"/>
        <v>-24.907886265257144</v>
      </c>
      <c r="AB232" s="89"/>
    </row>
    <row r="233" spans="2:29" x14ac:dyDescent="0.35">
      <c r="B233" s="230">
        <f t="shared" si="12"/>
        <v>223</v>
      </c>
      <c r="C233" s="61"/>
      <c r="D233" s="248">
        <f>Table3.110[[#This Row],[Date]]</f>
        <v>46076</v>
      </c>
      <c r="E233" s="230" t="str">
        <f>Table3.110[[#This Row],[Requisitioner]]</f>
        <v>Genbank</v>
      </c>
      <c r="F233" s="230" t="str">
        <f>Table3.110[[#This Row],[Gene Bank ID]]</f>
        <v>CIAT-23104</v>
      </c>
      <c r="G233" s="230" t="str">
        <f>Table3.110[[#This Row],[Genus]]</f>
        <v>Dendrolobium</v>
      </c>
      <c r="H233" s="230" t="str">
        <f>Table3.110[[#This Row],[Species]]</f>
        <v>triangulare</v>
      </c>
      <c r="I233" s="230" t="str">
        <f>Table3.110[[#This Row],[Tax Name]]</f>
        <v>Dendrolobium triangulare</v>
      </c>
      <c r="J233" s="230" t="str">
        <f>Table3.110[[#This Row],[Family]]</f>
        <v>Fabaceae</v>
      </c>
      <c r="K233" s="230" t="str">
        <f>Table3.110[[#This Row],[Order]]</f>
        <v>Fabales</v>
      </c>
      <c r="L233" s="230" t="str">
        <f>Table3.110[[#This Row],[Functional Group]]</f>
        <v>Tree</v>
      </c>
      <c r="M233" s="230" t="str">
        <f>Table3.110[[#This Row],[CIAT ID]]</f>
        <v>F251733</v>
      </c>
      <c r="N233" s="230">
        <f>Table3.110[[#This Row],[Set CIAT]]</f>
        <v>27</v>
      </c>
      <c r="O233" s="230">
        <f>Table3.110[[#This Row],[Batch]]</f>
        <v>69</v>
      </c>
      <c r="P233" s="230">
        <f>Table3.110[[#This Row],[Run]]</f>
        <v>3</v>
      </c>
      <c r="Q233" s="230">
        <f>Table3.110[[#This Row],[Replication]]</f>
        <v>1</v>
      </c>
      <c r="R233" s="230">
        <f>Table3.110[[#This Row],[Syrange No]]</f>
        <v>85</v>
      </c>
      <c r="S233" s="265">
        <v>0.58460000000000001</v>
      </c>
      <c r="T233" s="265">
        <v>0.96560000000000001</v>
      </c>
      <c r="U233" s="108"/>
      <c r="V233" s="254">
        <f t="shared" si="13"/>
        <v>0.38100000000000001</v>
      </c>
      <c r="W233" s="61">
        <f>Table3.110[[#This Row],[DM Incubated, mg]]-('3.2 Digest'!V233*1000)</f>
        <v>82.440793130912937</v>
      </c>
      <c r="X233" s="61">
        <f>W233/Table3.110[[#This Row],[DM Incubated, mg]]*100</f>
        <v>17.788851208794007</v>
      </c>
      <c r="Y233" s="37">
        <f>Table3.1[[#This Row],[DM Incubated, mg]]*'2.4 NDF'!R21/100</f>
        <v>311.52272310093059</v>
      </c>
      <c r="Z233" s="37">
        <f t="shared" si="16"/>
        <v>-69.477276899069409</v>
      </c>
      <c r="AA233" s="37">
        <f t="shared" si="17"/>
        <v>-22.30247482671092</v>
      </c>
      <c r="AB233" s="89"/>
    </row>
    <row r="234" spans="2:29" x14ac:dyDescent="0.35">
      <c r="B234" s="230">
        <f t="shared" si="12"/>
        <v>224</v>
      </c>
      <c r="C234" s="61"/>
      <c r="D234" s="248">
        <f>Table3.110[[#This Row],[Date]]</f>
        <v>46076</v>
      </c>
      <c r="E234" s="230" t="str">
        <f>Table3.110[[#This Row],[Requisitioner]]</f>
        <v>Genbank</v>
      </c>
      <c r="F234" s="230" t="str">
        <f>Table3.110[[#This Row],[Gene Bank ID]]</f>
        <v>CIAT-23104</v>
      </c>
      <c r="G234" s="230" t="str">
        <f>Table3.110[[#This Row],[Genus]]</f>
        <v>Dendrolobium</v>
      </c>
      <c r="H234" s="230" t="str">
        <f>Table3.110[[#This Row],[Species]]</f>
        <v>triangulare</v>
      </c>
      <c r="I234" s="230" t="str">
        <f>Table3.110[[#This Row],[Tax Name]]</f>
        <v>Dendrolobium triangulare</v>
      </c>
      <c r="J234" s="230" t="str">
        <f>Table3.110[[#This Row],[Family]]</f>
        <v>Fabaceae</v>
      </c>
      <c r="K234" s="230" t="str">
        <f>Table3.110[[#This Row],[Order]]</f>
        <v>Fabales</v>
      </c>
      <c r="L234" s="230" t="str">
        <f>Table3.110[[#This Row],[Functional Group]]</f>
        <v>Tree</v>
      </c>
      <c r="M234" s="230" t="str">
        <f>Table3.110[[#This Row],[CIAT ID]]</f>
        <v>F251733</v>
      </c>
      <c r="N234" s="230">
        <f>Table3.110[[#This Row],[Set CIAT]]</f>
        <v>27</v>
      </c>
      <c r="O234" s="230">
        <f>Table3.110[[#This Row],[Batch]]</f>
        <v>69</v>
      </c>
      <c r="P234" s="230">
        <f>Table3.110[[#This Row],[Run]]</f>
        <v>3</v>
      </c>
      <c r="Q234" s="230">
        <f>Table3.110[[#This Row],[Replication]]</f>
        <v>2</v>
      </c>
      <c r="R234" s="230">
        <f>Table3.110[[#This Row],[Syrange No]]</f>
        <v>86</v>
      </c>
      <c r="S234" s="110">
        <v>0.56510000000000005</v>
      </c>
      <c r="T234" s="110">
        <v>1.0245</v>
      </c>
      <c r="U234" s="108"/>
      <c r="V234" s="254">
        <f t="shared" si="13"/>
        <v>0.45939999999999992</v>
      </c>
      <c r="W234" s="61">
        <f>Table3.110[[#This Row],[DM Incubated, mg]]-('3.2 Digest'!V234*1000)</f>
        <v>4.2260582890704086</v>
      </c>
      <c r="X234" s="61"/>
      <c r="Y234" s="37">
        <f>Table3.1[[#This Row],[DM Incubated, mg]]*'2.4 NDF'!R21/100</f>
        <v>311.64725746954974</v>
      </c>
      <c r="Z234" s="37">
        <f t="shared" si="16"/>
        <v>-147.75274253045018</v>
      </c>
      <c r="AA234" s="37">
        <f t="shared" si="17"/>
        <v>-47.410249565532183</v>
      </c>
      <c r="AB234" s="89"/>
    </row>
    <row r="235" spans="2:29" x14ac:dyDescent="0.35">
      <c r="B235" s="230">
        <f t="shared" si="12"/>
        <v>225</v>
      </c>
      <c r="C235" s="61"/>
      <c r="D235" s="248">
        <f>Table3.110[[#This Row],[Date]]</f>
        <v>46076</v>
      </c>
      <c r="E235" s="230" t="str">
        <f>Table3.110[[#This Row],[Requisitioner]]</f>
        <v>Genbank</v>
      </c>
      <c r="F235" s="230" t="str">
        <f>Table3.110[[#This Row],[Gene Bank ID]]</f>
        <v>CIAT-23106</v>
      </c>
      <c r="G235" s="230" t="str">
        <f>Table3.110[[#This Row],[Genus]]</f>
        <v>Dendrolobium</v>
      </c>
      <c r="H235" s="230" t="str">
        <f>Table3.110[[#This Row],[Species]]</f>
        <v>triangulare</v>
      </c>
      <c r="I235" s="230" t="str">
        <f>Table3.110[[#This Row],[Tax Name]]</f>
        <v>Dendrolobium triangulare</v>
      </c>
      <c r="J235" s="230" t="str">
        <f>Table3.110[[#This Row],[Family]]</f>
        <v>Fabaceae</v>
      </c>
      <c r="K235" s="230" t="str">
        <f>Table3.110[[#This Row],[Order]]</f>
        <v>Fabales</v>
      </c>
      <c r="L235" s="230" t="str">
        <f>Table3.110[[#This Row],[Functional Group]]</f>
        <v>Tree</v>
      </c>
      <c r="M235" s="230" t="str">
        <f>Table3.110[[#This Row],[CIAT ID]]</f>
        <v>F251734</v>
      </c>
      <c r="N235" s="230">
        <f>Table3.110[[#This Row],[Set CIAT]]</f>
        <v>27</v>
      </c>
      <c r="O235" s="230">
        <f>Table3.110[[#This Row],[Batch]]</f>
        <v>69</v>
      </c>
      <c r="P235" s="230">
        <f>Table3.110[[#This Row],[Run]]</f>
        <v>3</v>
      </c>
      <c r="Q235" s="230">
        <f>Table3.110[[#This Row],[Replication]]</f>
        <v>1</v>
      </c>
      <c r="R235" s="230">
        <f>Table3.110[[#This Row],[Syrange No]]</f>
        <v>87</v>
      </c>
      <c r="S235" s="265">
        <v>0.57099999999999995</v>
      </c>
      <c r="T235" s="265">
        <v>0.98750000000000004</v>
      </c>
      <c r="U235" s="108"/>
      <c r="V235" s="254">
        <f t="shared" si="13"/>
        <v>0.41650000000000009</v>
      </c>
      <c r="W235" s="61">
        <f>Table3.110[[#This Row],[DM Incubated, mg]]-('3.2 Digest'!V235*1000)</f>
        <v>57.04732633683119</v>
      </c>
      <c r="X235" s="61">
        <f>W235/Table3.110[[#This Row],[DM Incubated, mg]]*100</f>
        <v>12.046805707494117</v>
      </c>
      <c r="Y235" s="37">
        <f>Table3.1[[#This Row],[DM Incubated, mg]]*'2.4 NDF'!R23/100</f>
        <v>320.88043293377666</v>
      </c>
      <c r="Z235" s="37">
        <f t="shared" si="16"/>
        <v>-95.619567066223453</v>
      </c>
      <c r="AA235" s="37">
        <f t="shared" si="17"/>
        <v>-29.799126793735482</v>
      </c>
      <c r="AB235" s="89"/>
    </row>
    <row r="236" spans="2:29" x14ac:dyDescent="0.35">
      <c r="B236" s="230">
        <f t="shared" si="12"/>
        <v>226</v>
      </c>
      <c r="C236" s="61"/>
      <c r="D236" s="248">
        <f>Table3.110[[#This Row],[Date]]</f>
        <v>46076</v>
      </c>
      <c r="E236" s="230" t="str">
        <f>Table3.110[[#This Row],[Requisitioner]]</f>
        <v>Genbank</v>
      </c>
      <c r="F236" s="230" t="str">
        <f>Table3.110[[#This Row],[Gene Bank ID]]</f>
        <v>CIAT-23106</v>
      </c>
      <c r="G236" s="230" t="str">
        <f>Table3.110[[#This Row],[Genus]]</f>
        <v>Dendrolobium</v>
      </c>
      <c r="H236" s="230" t="str">
        <f>Table3.110[[#This Row],[Species]]</f>
        <v>triangulare</v>
      </c>
      <c r="I236" s="230" t="str">
        <f>Table3.110[[#This Row],[Tax Name]]</f>
        <v>Dendrolobium triangulare</v>
      </c>
      <c r="J236" s="230" t="str">
        <f>Table3.110[[#This Row],[Family]]</f>
        <v>Fabaceae</v>
      </c>
      <c r="K236" s="230" t="str">
        <f>Table3.110[[#This Row],[Order]]</f>
        <v>Fabales</v>
      </c>
      <c r="L236" s="230" t="str">
        <f>Table3.110[[#This Row],[Functional Group]]</f>
        <v>Tree</v>
      </c>
      <c r="M236" s="230" t="str">
        <f>Table3.110[[#This Row],[CIAT ID]]</f>
        <v>F251734</v>
      </c>
      <c r="N236" s="230">
        <f>Table3.110[[#This Row],[Set CIAT]]</f>
        <v>27</v>
      </c>
      <c r="O236" s="230">
        <f>Table3.110[[#This Row],[Batch]]</f>
        <v>69</v>
      </c>
      <c r="P236" s="230">
        <f>Table3.110[[#This Row],[Run]]</f>
        <v>3</v>
      </c>
      <c r="Q236" s="230">
        <f>Table3.110[[#This Row],[Replication]]</f>
        <v>2</v>
      </c>
      <c r="R236" s="230">
        <f>Table3.110[[#This Row],[Syrange No]]</f>
        <v>88</v>
      </c>
      <c r="S236" s="110">
        <v>0.58630000000000004</v>
      </c>
      <c r="T236" s="110">
        <v>1.0377000000000001</v>
      </c>
      <c r="U236" s="108"/>
      <c r="V236" s="254">
        <f t="shared" si="13"/>
        <v>0.45140000000000002</v>
      </c>
      <c r="W236" s="61">
        <f>Table3.110[[#This Row],[DM Incubated, mg]]-('3.2 Digest'!V236*1000)</f>
        <v>22.241979010494447</v>
      </c>
      <c r="X236" s="61">
        <f>W236/Table3.110[[#This Row],[DM Incubated, mg]]*100</f>
        <v>4.6959475714042718</v>
      </c>
      <c r="Y236" s="37">
        <f>Table3.1[[#This Row],[DM Incubated, mg]]*'2.4 NDF'!R23/100</f>
        <v>320.94457053780098</v>
      </c>
      <c r="Z236" s="37">
        <f t="shared" si="16"/>
        <v>-130.45542946219905</v>
      </c>
      <c r="AA236" s="37">
        <f t="shared" si="17"/>
        <v>-40.647339583778361</v>
      </c>
      <c r="AB236" s="89"/>
    </row>
    <row r="237" spans="2:29" x14ac:dyDescent="0.35">
      <c r="B237" s="230">
        <f t="shared" si="12"/>
        <v>227</v>
      </c>
      <c r="C237" s="61"/>
      <c r="D237" s="248">
        <f>Table3.110[[#This Row],[Date]]</f>
        <v>46076</v>
      </c>
      <c r="E237" s="230" t="str">
        <f>Table3.110[[#This Row],[Requisitioner]]</f>
        <v>Genbank</v>
      </c>
      <c r="F237" s="230" t="str">
        <f>Table3.110[[#This Row],[Gene Bank ID]]</f>
        <v>CIAT-23107</v>
      </c>
      <c r="G237" s="230" t="str">
        <f>Table3.110[[#This Row],[Genus]]</f>
        <v>Dendrolobium</v>
      </c>
      <c r="H237" s="230" t="str">
        <f>Table3.110[[#This Row],[Species]]</f>
        <v>triangulare</v>
      </c>
      <c r="I237" s="230" t="str">
        <f>Table3.110[[#This Row],[Tax Name]]</f>
        <v>Dendrolobium triangulare</v>
      </c>
      <c r="J237" s="230" t="str">
        <f>Table3.110[[#This Row],[Family]]</f>
        <v>Fabaceae</v>
      </c>
      <c r="K237" s="230" t="str">
        <f>Table3.110[[#This Row],[Order]]</f>
        <v>Fabales</v>
      </c>
      <c r="L237" s="230" t="str">
        <f>Table3.110[[#This Row],[Functional Group]]</f>
        <v>Tree</v>
      </c>
      <c r="M237" s="230" t="str">
        <f>Table3.110[[#This Row],[CIAT ID]]</f>
        <v>F251735</v>
      </c>
      <c r="N237" s="230">
        <f>Table3.110[[#This Row],[Set CIAT]]</f>
        <v>27</v>
      </c>
      <c r="O237" s="230">
        <f>Table3.110[[#This Row],[Batch]]</f>
        <v>69</v>
      </c>
      <c r="P237" s="230">
        <f>Table3.110[[#This Row],[Run]]</f>
        <v>3</v>
      </c>
      <c r="Q237" s="230">
        <f>Table3.110[[#This Row],[Replication]]</f>
        <v>1</v>
      </c>
      <c r="R237" s="230">
        <f>Table3.110[[#This Row],[Syrange No]]</f>
        <v>89</v>
      </c>
      <c r="S237" s="265">
        <v>0.57130000000000003</v>
      </c>
      <c r="T237" s="265">
        <v>0.96560000000000001</v>
      </c>
      <c r="U237" s="108"/>
      <c r="V237" s="254">
        <f t="shared" si="13"/>
        <v>0.39429999999999998</v>
      </c>
      <c r="W237" s="61">
        <f>Table3.110[[#This Row],[DM Incubated, mg]]-('3.2 Digest'!V237*1000)</f>
        <v>80.825012244452353</v>
      </c>
      <c r="X237" s="61">
        <f>W237/Table3.110[[#This Row],[DM Incubated, mg]]*100</f>
        <v>17.011314951120234</v>
      </c>
      <c r="Y237" s="37">
        <f>Table3.1[[#This Row],[DM Incubated, mg]]*'2.4 NDF'!R25/100</f>
        <v>319.36372422521328</v>
      </c>
      <c r="Z237" s="37">
        <f t="shared" si="16"/>
        <v>-74.936275774786736</v>
      </c>
      <c r="AA237" s="37">
        <f t="shared" si="17"/>
        <v>-23.464241581157836</v>
      </c>
      <c r="AB237" s="89"/>
    </row>
    <row r="238" spans="2:29" x14ac:dyDescent="0.35">
      <c r="B238" s="230">
        <f t="shared" si="12"/>
        <v>228</v>
      </c>
      <c r="C238" s="61"/>
      <c r="D238" s="248">
        <f>Table3.110[[#This Row],[Date]]</f>
        <v>46076</v>
      </c>
      <c r="E238" s="230" t="str">
        <f>Table3.110[[#This Row],[Requisitioner]]</f>
        <v>Genbank</v>
      </c>
      <c r="F238" s="230" t="str">
        <f>Table3.110[[#This Row],[Gene Bank ID]]</f>
        <v>CIAT-23107</v>
      </c>
      <c r="G238" s="230" t="str">
        <f>Table3.110[[#This Row],[Genus]]</f>
        <v>Dendrolobium</v>
      </c>
      <c r="H238" s="230" t="str">
        <f>Table3.110[[#This Row],[Species]]</f>
        <v>triangulare</v>
      </c>
      <c r="I238" s="230" t="str">
        <f>Table3.110[[#This Row],[Tax Name]]</f>
        <v>Dendrolobium triangulare</v>
      </c>
      <c r="J238" s="230" t="str">
        <f>Table3.110[[#This Row],[Family]]</f>
        <v>Fabaceae</v>
      </c>
      <c r="K238" s="230" t="str">
        <f>Table3.110[[#This Row],[Order]]</f>
        <v>Fabales</v>
      </c>
      <c r="L238" s="230" t="str">
        <f>Table3.110[[#This Row],[Functional Group]]</f>
        <v>Tree</v>
      </c>
      <c r="M238" s="230" t="str">
        <f>Table3.110[[#This Row],[CIAT ID]]</f>
        <v>F251735</v>
      </c>
      <c r="N238" s="230">
        <f>Table3.110[[#This Row],[Set CIAT]]</f>
        <v>27</v>
      </c>
      <c r="O238" s="230">
        <f>Table3.110[[#This Row],[Batch]]</f>
        <v>69</v>
      </c>
      <c r="P238" s="230">
        <f>Table3.110[[#This Row],[Run]]</f>
        <v>3</v>
      </c>
      <c r="Q238" s="230">
        <f>Table3.110[[#This Row],[Replication]]</f>
        <v>2</v>
      </c>
      <c r="R238" s="230">
        <f>Table3.110[[#This Row],[Syrange No]]</f>
        <v>90</v>
      </c>
      <c r="S238" s="110">
        <v>0.58320000000000005</v>
      </c>
      <c r="T238" s="110">
        <v>1.1172</v>
      </c>
      <c r="U238" s="108"/>
      <c r="V238" s="254">
        <f t="shared" si="13"/>
        <v>0.53399999999999992</v>
      </c>
      <c r="W238" s="61"/>
      <c r="X238" s="61"/>
      <c r="Y238" s="37"/>
      <c r="Z238" s="37"/>
      <c r="AA238" s="37"/>
      <c r="AB238" s="89" t="s">
        <v>546</v>
      </c>
      <c r="AC238" s="5" t="s">
        <v>677</v>
      </c>
    </row>
    <row r="239" spans="2:29" x14ac:dyDescent="0.35">
      <c r="B239" s="230">
        <f t="shared" si="12"/>
        <v>229</v>
      </c>
      <c r="C239" s="61"/>
      <c r="D239" s="248">
        <f>Table3.110[[#This Row],[Date]]</f>
        <v>46076</v>
      </c>
      <c r="E239" s="230" t="str">
        <f>Table3.110[[#This Row],[Requisitioner]]</f>
        <v>Genbank</v>
      </c>
      <c r="F239" s="230" t="str">
        <f>Table3.110[[#This Row],[Gene Bank ID]]</f>
        <v>CIAT-23108</v>
      </c>
      <c r="G239" s="230" t="str">
        <f>Table3.110[[#This Row],[Genus]]</f>
        <v>Dendrolobium</v>
      </c>
      <c r="H239" s="230" t="str">
        <f>Table3.110[[#This Row],[Species]]</f>
        <v>triangulare</v>
      </c>
      <c r="I239" s="230" t="str">
        <f>Table3.110[[#This Row],[Tax Name]]</f>
        <v>Dendrolobium triangulare</v>
      </c>
      <c r="J239" s="230" t="str">
        <f>Table3.110[[#This Row],[Family]]</f>
        <v>Fabaceae</v>
      </c>
      <c r="K239" s="230" t="str">
        <f>Table3.110[[#This Row],[Order]]</f>
        <v>Fabales</v>
      </c>
      <c r="L239" s="230" t="str">
        <f>Table3.110[[#This Row],[Functional Group]]</f>
        <v>Tree</v>
      </c>
      <c r="M239" s="230" t="str">
        <f>Table3.110[[#This Row],[CIAT ID]]</f>
        <v>F251736</v>
      </c>
      <c r="N239" s="230">
        <f>Table3.110[[#This Row],[Set CIAT]]</f>
        <v>27</v>
      </c>
      <c r="O239" s="230">
        <f>Table3.110[[#This Row],[Batch]]</f>
        <v>69</v>
      </c>
      <c r="P239" s="230">
        <f>Table3.110[[#This Row],[Run]]</f>
        <v>3</v>
      </c>
      <c r="Q239" s="230">
        <f>Table3.110[[#This Row],[Replication]]</f>
        <v>1</v>
      </c>
      <c r="R239" s="230">
        <f>Table3.110[[#This Row],[Syrange No]]</f>
        <v>91</v>
      </c>
      <c r="S239" s="265">
        <v>0.57630000000000003</v>
      </c>
      <c r="T239" s="265">
        <v>0.98860000000000003</v>
      </c>
      <c r="U239" s="108"/>
      <c r="V239" s="254">
        <f t="shared" si="13"/>
        <v>0.4123</v>
      </c>
      <c r="W239" s="61">
        <f>Table3.110[[#This Row],[DM Incubated, mg]]-('3.2 Digest'!V239*1000)</f>
        <v>60.510913451929184</v>
      </c>
      <c r="X239" s="61">
        <f>W239/Table3.110[[#This Row],[DM Incubated, mg]]*100</f>
        <v>12.798121136872053</v>
      </c>
      <c r="Y239" s="37">
        <f>Table3.1[[#This Row],[DM Incubated, mg]]*'2.4 NDF'!R27/100</f>
        <v>327.97049401895754</v>
      </c>
      <c r="Z239" s="37">
        <f t="shared" si="16"/>
        <v>-84.329505981042473</v>
      </c>
      <c r="AA239" s="37">
        <f t="shared" si="17"/>
        <v>-25.71252826669463</v>
      </c>
      <c r="AB239" s="89"/>
    </row>
    <row r="240" spans="2:29" x14ac:dyDescent="0.35">
      <c r="B240" s="230">
        <f t="shared" si="12"/>
        <v>230</v>
      </c>
      <c r="C240" s="61"/>
      <c r="D240" s="248">
        <f>Table3.110[[#This Row],[Date]]</f>
        <v>46076</v>
      </c>
      <c r="E240" s="230" t="str">
        <f>Table3.110[[#This Row],[Requisitioner]]</f>
        <v>Genbank</v>
      </c>
      <c r="F240" s="230" t="str">
        <f>Table3.110[[#This Row],[Gene Bank ID]]</f>
        <v>CIAT-23108</v>
      </c>
      <c r="G240" s="230" t="str">
        <f>Table3.110[[#This Row],[Genus]]</f>
        <v>Dendrolobium</v>
      </c>
      <c r="H240" s="230" t="str">
        <f>Table3.110[[#This Row],[Species]]</f>
        <v>triangulare</v>
      </c>
      <c r="I240" s="230" t="str">
        <f>Table3.110[[#This Row],[Tax Name]]</f>
        <v>Dendrolobium triangulare</v>
      </c>
      <c r="J240" s="230" t="str">
        <f>Table3.110[[#This Row],[Family]]</f>
        <v>Fabaceae</v>
      </c>
      <c r="K240" s="230" t="str">
        <f>Table3.110[[#This Row],[Order]]</f>
        <v>Fabales</v>
      </c>
      <c r="L240" s="230" t="str">
        <f>Table3.110[[#This Row],[Functional Group]]</f>
        <v>Tree</v>
      </c>
      <c r="M240" s="230" t="str">
        <f>Table3.110[[#This Row],[CIAT ID]]</f>
        <v>F251736</v>
      </c>
      <c r="N240" s="230">
        <f>Table3.110[[#This Row],[Set CIAT]]</f>
        <v>27</v>
      </c>
      <c r="O240" s="230">
        <f>Table3.110[[#This Row],[Batch]]</f>
        <v>69</v>
      </c>
      <c r="P240" s="230">
        <f>Table3.110[[#This Row],[Run]]</f>
        <v>3</v>
      </c>
      <c r="Q240" s="230">
        <f>Table3.110[[#This Row],[Replication]]</f>
        <v>2</v>
      </c>
      <c r="R240" s="230">
        <f>Table3.110[[#This Row],[Syrange No]]</f>
        <v>92</v>
      </c>
      <c r="S240" s="110">
        <v>0.5988</v>
      </c>
      <c r="T240" s="110">
        <v>0.99490000000000001</v>
      </c>
      <c r="U240" s="108"/>
      <c r="V240" s="254">
        <f t="shared" si="13"/>
        <v>0.39610000000000001</v>
      </c>
      <c r="W240" s="61">
        <f>Table3.110[[#This Row],[DM Incubated, mg]]-('3.2 Digest'!V240*1000)</f>
        <v>77.089086548071464</v>
      </c>
      <c r="X240" s="61">
        <f>W240/Table3.110[[#This Row],[DM Incubated, mg]]*100</f>
        <v>16.291391483780544</v>
      </c>
      <c r="Y240" s="37">
        <f>Table3.1[[#This Row],[DM Incubated, mg]]*'2.4 NDF'!R27/100</f>
        <v>328.23281794938657</v>
      </c>
      <c r="Z240" s="37">
        <f t="shared" si="16"/>
        <v>-67.867182050613451</v>
      </c>
      <c r="AA240" s="37">
        <f t="shared" si="17"/>
        <v>-20.676537609678796</v>
      </c>
      <c r="AB240" s="89"/>
    </row>
    <row r="241" spans="2:28" x14ac:dyDescent="0.35">
      <c r="B241" s="230">
        <f t="shared" si="12"/>
        <v>231</v>
      </c>
      <c r="C241" s="61"/>
      <c r="D241" s="248">
        <f>Table3.110[[#This Row],[Date]]</f>
        <v>46076</v>
      </c>
      <c r="E241" s="230" t="str">
        <f>Table3.110[[#This Row],[Requisitioner]]</f>
        <v>Genbank</v>
      </c>
      <c r="F241" s="230" t="str">
        <f>Table3.110[[#This Row],[Gene Bank ID]]</f>
        <v>CIAT-23412</v>
      </c>
      <c r="G241" s="230" t="str">
        <f>Table3.110[[#This Row],[Genus]]</f>
        <v>Dendrolobium</v>
      </c>
      <c r="H241" s="230" t="str">
        <f>Table3.110[[#This Row],[Species]]</f>
        <v>triangulare</v>
      </c>
      <c r="I241" s="230" t="str">
        <f>Table3.110[[#This Row],[Tax Name]]</f>
        <v>Dendrolobium triangulare</v>
      </c>
      <c r="J241" s="230" t="str">
        <f>Table3.110[[#This Row],[Family]]</f>
        <v>Fabaceae</v>
      </c>
      <c r="K241" s="230" t="str">
        <f>Table3.110[[#This Row],[Order]]</f>
        <v>Fabales</v>
      </c>
      <c r="L241" s="230" t="str">
        <f>Table3.110[[#This Row],[Functional Group]]</f>
        <v>Tree</v>
      </c>
      <c r="M241" s="230" t="str">
        <f>Table3.110[[#This Row],[CIAT ID]]</f>
        <v>F251737</v>
      </c>
      <c r="N241" s="230">
        <f>Table3.110[[#This Row],[Set CIAT]]</f>
        <v>27</v>
      </c>
      <c r="O241" s="230">
        <f>Table3.110[[#This Row],[Batch]]</f>
        <v>69</v>
      </c>
      <c r="P241" s="230">
        <f>Table3.110[[#This Row],[Run]]</f>
        <v>3</v>
      </c>
      <c r="Q241" s="230">
        <f>Table3.110[[#This Row],[Replication]]</f>
        <v>1</v>
      </c>
      <c r="R241" s="230">
        <f>Table3.110[[#This Row],[Syrange No]]</f>
        <v>93</v>
      </c>
      <c r="S241" s="265">
        <v>0.56669999999999998</v>
      </c>
      <c r="T241" s="265">
        <v>0.95340000000000003</v>
      </c>
      <c r="U241" s="108"/>
      <c r="V241" s="254">
        <f t="shared" si="13"/>
        <v>0.38670000000000004</v>
      </c>
      <c r="W241" s="61">
        <f>Table3.110[[#This Row],[DM Incubated, mg]]-('3.2 Digest'!V241*1000)</f>
        <v>84.332410974788445</v>
      </c>
      <c r="X241" s="61">
        <f>W241/Table3.110[[#This Row],[DM Incubated, mg]]*100</f>
        <v>17.903738471045944</v>
      </c>
      <c r="Y241" s="37">
        <f>Table3.1[[#This Row],[DM Incubated, mg]]*'2.4 NDF'!R29/100</f>
        <v>292.68148315423076</v>
      </c>
      <c r="Z241" s="37">
        <f t="shared" si="16"/>
        <v>-94.018516845769284</v>
      </c>
      <c r="AA241" s="37">
        <f t="shared" si="17"/>
        <v>-32.123151704894667</v>
      </c>
      <c r="AB241" s="89"/>
    </row>
    <row r="242" spans="2:28" x14ac:dyDescent="0.35">
      <c r="B242" s="230">
        <f t="shared" si="12"/>
        <v>232</v>
      </c>
      <c r="C242" s="61"/>
      <c r="D242" s="248">
        <f>Table3.110[[#This Row],[Date]]</f>
        <v>46076</v>
      </c>
      <c r="E242" s="230" t="str">
        <f>Table3.110[[#This Row],[Requisitioner]]</f>
        <v>Genbank</v>
      </c>
      <c r="F242" s="230" t="str">
        <f>Table3.110[[#This Row],[Gene Bank ID]]</f>
        <v>CIAT-23412</v>
      </c>
      <c r="G242" s="230" t="str">
        <f>Table3.110[[#This Row],[Genus]]</f>
        <v>Dendrolobium</v>
      </c>
      <c r="H242" s="230" t="str">
        <f>Table3.110[[#This Row],[Species]]</f>
        <v>triangulare</v>
      </c>
      <c r="I242" s="230" t="str">
        <f>Table3.110[[#This Row],[Tax Name]]</f>
        <v>Dendrolobium triangulare</v>
      </c>
      <c r="J242" s="230" t="str">
        <f>Table3.110[[#This Row],[Family]]</f>
        <v>Fabaceae</v>
      </c>
      <c r="K242" s="230" t="str">
        <f>Table3.110[[#This Row],[Order]]</f>
        <v>Fabales</v>
      </c>
      <c r="L242" s="230" t="str">
        <f>Table3.110[[#This Row],[Functional Group]]</f>
        <v>Tree</v>
      </c>
      <c r="M242" s="230" t="str">
        <f>Table3.110[[#This Row],[CIAT ID]]</f>
        <v>F251737</v>
      </c>
      <c r="N242" s="230">
        <f>Table3.110[[#This Row],[Set CIAT]]</f>
        <v>27</v>
      </c>
      <c r="O242" s="230">
        <f>Table3.110[[#This Row],[Batch]]</f>
        <v>69</v>
      </c>
      <c r="P242" s="230">
        <f>Table3.110[[#This Row],[Run]]</f>
        <v>3</v>
      </c>
      <c r="Q242" s="230">
        <f>Table3.110[[#This Row],[Replication]]</f>
        <v>2</v>
      </c>
      <c r="R242" s="230">
        <f>Table3.110[[#This Row],[Syrange No]]</f>
        <v>94</v>
      </c>
      <c r="S242" s="110">
        <v>0.57069999999999999</v>
      </c>
      <c r="T242" s="110">
        <v>0.94</v>
      </c>
      <c r="U242" s="108"/>
      <c r="V242" s="254">
        <f t="shared" si="13"/>
        <v>0.36929999999999996</v>
      </c>
      <c r="W242" s="61">
        <f>Table3.110[[#This Row],[DM Incubated, mg]]-('3.2 Digest'!V242*1000)</f>
        <v>101.82659861945461</v>
      </c>
      <c r="X242" s="61">
        <f>W242/Table3.110[[#This Row],[DM Incubated, mg]]*100</f>
        <v>21.613425970394747</v>
      </c>
      <c r="Y242" s="37">
        <f>Table3.1[[#This Row],[DM Incubated, mg]]*'2.4 NDF'!R29/100</f>
        <v>292.74000774594327</v>
      </c>
      <c r="Z242" s="37">
        <f t="shared" si="16"/>
        <v>-76.559992254056681</v>
      </c>
      <c r="AA242" s="37">
        <f t="shared" si="17"/>
        <v>-26.152896846439887</v>
      </c>
      <c r="AB242" s="89"/>
    </row>
    <row r="243" spans="2:28" x14ac:dyDescent="0.35">
      <c r="B243" s="230">
        <f t="shared" si="12"/>
        <v>233</v>
      </c>
      <c r="C243" s="61"/>
      <c r="D243" s="248">
        <f>Table3.110[[#This Row],[Date]]</f>
        <v>46076</v>
      </c>
      <c r="E243" s="230" t="str">
        <f>Table3.110[[#This Row],[Requisitioner]]</f>
        <v>Genbank</v>
      </c>
      <c r="F243" s="230" t="str">
        <f>Table3.110[[#This Row],[Gene Bank ID]]</f>
        <v>CIAT-23413</v>
      </c>
      <c r="G243" s="230" t="str">
        <f>Table3.110[[#This Row],[Genus]]</f>
        <v>Dendrolobium</v>
      </c>
      <c r="H243" s="230" t="str">
        <f>Table3.110[[#This Row],[Species]]</f>
        <v>triangulare</v>
      </c>
      <c r="I243" s="230" t="str">
        <f>Table3.110[[#This Row],[Tax Name]]</f>
        <v>Dendrolobium triangulare</v>
      </c>
      <c r="J243" s="230" t="str">
        <f>Table3.110[[#This Row],[Family]]</f>
        <v>Fabaceae</v>
      </c>
      <c r="K243" s="230" t="str">
        <f>Table3.110[[#This Row],[Order]]</f>
        <v>Fabales</v>
      </c>
      <c r="L243" s="230" t="str">
        <f>Table3.110[[#This Row],[Functional Group]]</f>
        <v>Tree</v>
      </c>
      <c r="M243" s="230" t="str">
        <f>Table3.110[[#This Row],[CIAT ID]]</f>
        <v>F251738</v>
      </c>
      <c r="N243" s="230">
        <f>Table3.110[[#This Row],[Set CIAT]]</f>
        <v>27</v>
      </c>
      <c r="O243" s="230">
        <f>Table3.110[[#This Row],[Batch]]</f>
        <v>69</v>
      </c>
      <c r="P243" s="230">
        <f>Table3.110[[#This Row],[Run]]</f>
        <v>3</v>
      </c>
      <c r="Q243" s="230">
        <f>Table3.110[[#This Row],[Replication]]</f>
        <v>1</v>
      </c>
      <c r="R243" s="230">
        <f>Table3.110[[#This Row],[Syrange No]]</f>
        <v>95</v>
      </c>
      <c r="S243" s="265">
        <v>0.61370000000000002</v>
      </c>
      <c r="T243" s="265">
        <v>1.0159</v>
      </c>
      <c r="U243" s="108"/>
      <c r="V243" s="254">
        <f t="shared" si="13"/>
        <v>0.4022</v>
      </c>
      <c r="W243" s="61">
        <f>Table3.110[[#This Row],[DM Incubated, mg]]-('3.2 Digest'!V243*1000)</f>
        <v>65.900990473223658</v>
      </c>
      <c r="X243" s="61">
        <f>W243/Table3.110[[#This Row],[DM Incubated, mg]]*100</f>
        <v>14.078370226604623</v>
      </c>
      <c r="Y243" s="37">
        <f>Table3.1[[#This Row],[DM Incubated, mg]]*'2.4 NDF'!R31/100</f>
        <v>280.7349358397837</v>
      </c>
      <c r="Z243" s="37">
        <f t="shared" si="16"/>
        <v>-121.46506416021629</v>
      </c>
      <c r="AA243" s="37">
        <f t="shared" si="17"/>
        <v>-43.266814583253996</v>
      </c>
      <c r="AB243" s="89"/>
    </row>
    <row r="244" spans="2:28" x14ac:dyDescent="0.35">
      <c r="B244" s="230">
        <f t="shared" si="12"/>
        <v>234</v>
      </c>
      <c r="C244" s="61"/>
      <c r="D244" s="248">
        <f>Table3.110[[#This Row],[Date]]</f>
        <v>46076</v>
      </c>
      <c r="E244" s="230" t="str">
        <f>Table3.110[[#This Row],[Requisitioner]]</f>
        <v>Genbank</v>
      </c>
      <c r="F244" s="230" t="str">
        <f>Table3.110[[#This Row],[Gene Bank ID]]</f>
        <v>CIAT-23413</v>
      </c>
      <c r="G244" s="230" t="str">
        <f>Table3.110[[#This Row],[Genus]]</f>
        <v>Dendrolobium</v>
      </c>
      <c r="H244" s="230" t="str">
        <f>Table3.110[[#This Row],[Species]]</f>
        <v>triangulare</v>
      </c>
      <c r="I244" s="230" t="str">
        <f>Table3.110[[#This Row],[Tax Name]]</f>
        <v>Dendrolobium triangulare</v>
      </c>
      <c r="J244" s="230" t="str">
        <f>Table3.110[[#This Row],[Family]]</f>
        <v>Fabaceae</v>
      </c>
      <c r="K244" s="230" t="str">
        <f>Table3.110[[#This Row],[Order]]</f>
        <v>Fabales</v>
      </c>
      <c r="L244" s="230" t="str">
        <f>Table3.110[[#This Row],[Functional Group]]</f>
        <v>Tree</v>
      </c>
      <c r="M244" s="230" t="str">
        <f>Table3.110[[#This Row],[CIAT ID]]</f>
        <v>F251738</v>
      </c>
      <c r="N244" s="230">
        <f>Table3.110[[#This Row],[Set CIAT]]</f>
        <v>27</v>
      </c>
      <c r="O244" s="230">
        <f>Table3.110[[#This Row],[Batch]]</f>
        <v>69</v>
      </c>
      <c r="P244" s="230">
        <f>Table3.110[[#This Row],[Run]]</f>
        <v>3</v>
      </c>
      <c r="Q244" s="230">
        <f>Table3.110[[#This Row],[Replication]]</f>
        <v>2</v>
      </c>
      <c r="R244" s="230">
        <f>Table3.110[[#This Row],[Syrange No]]</f>
        <v>96</v>
      </c>
      <c r="S244" s="110">
        <v>0.57569999999999999</v>
      </c>
      <c r="T244" s="110">
        <v>0.95320000000000005</v>
      </c>
      <c r="U244" s="108"/>
      <c r="V244" s="254">
        <f t="shared" si="13"/>
        <v>0.37750000000000006</v>
      </c>
      <c r="W244" s="61">
        <f>Table3.110[[#This Row],[DM Incubated, mg]]-('3.2 Digest'!V244*1000)</f>
        <v>90.226883787530767</v>
      </c>
      <c r="X244" s="61">
        <f>W244/Table3.110[[#This Row],[DM Incubated, mg]]*100</f>
        <v>19.290506258031805</v>
      </c>
      <c r="Y244" s="37">
        <f>Table3.1[[#This Row],[DM Incubated, mg]]*'2.4 NDF'!R31/100</f>
        <v>280.51057225469697</v>
      </c>
      <c r="Z244" s="37">
        <f t="shared" si="16"/>
        <v>-96.98942774530309</v>
      </c>
      <c r="AA244" s="37">
        <f t="shared" si="17"/>
        <v>-34.576032898053832</v>
      </c>
      <c r="AB244" s="89"/>
    </row>
    <row r="245" spans="2:28" x14ac:dyDescent="0.35">
      <c r="B245" s="230">
        <f t="shared" si="12"/>
        <v>235</v>
      </c>
      <c r="C245" s="61"/>
      <c r="D245" s="248">
        <f>Table3.110[[#This Row],[Date]]</f>
        <v>46076</v>
      </c>
      <c r="E245" s="230" t="str">
        <f>Table3.110[[#This Row],[Requisitioner]]</f>
        <v>Genbank</v>
      </c>
      <c r="F245" s="230" t="str">
        <f>Table3.110[[#This Row],[Gene Bank ID]]</f>
        <v>CIAT-23419</v>
      </c>
      <c r="G245" s="230" t="str">
        <f>Table3.110[[#This Row],[Genus]]</f>
        <v>Dendrolobium</v>
      </c>
      <c r="H245" s="230" t="str">
        <f>Table3.110[[#This Row],[Species]]</f>
        <v>triangulare</v>
      </c>
      <c r="I245" s="230" t="str">
        <f>Table3.110[[#This Row],[Tax Name]]</f>
        <v>Dendrolobium triangulare</v>
      </c>
      <c r="J245" s="230" t="str">
        <f>Table3.110[[#This Row],[Family]]</f>
        <v>Fabaceae</v>
      </c>
      <c r="K245" s="230" t="str">
        <f>Table3.110[[#This Row],[Order]]</f>
        <v>Fabales</v>
      </c>
      <c r="L245" s="230" t="str">
        <f>Table3.110[[#This Row],[Functional Group]]</f>
        <v>Tree</v>
      </c>
      <c r="M245" s="230" t="str">
        <f>Table3.110[[#This Row],[CIAT ID]]</f>
        <v>F251739</v>
      </c>
      <c r="N245" s="230">
        <f>Table3.110[[#This Row],[Set CIAT]]</f>
        <v>27</v>
      </c>
      <c r="O245" s="230">
        <f>Table3.110[[#This Row],[Batch]]</f>
        <v>69</v>
      </c>
      <c r="P245" s="230">
        <f>Table3.110[[#This Row],[Run]]</f>
        <v>3</v>
      </c>
      <c r="Q245" s="230">
        <f>Table3.110[[#This Row],[Replication]]</f>
        <v>1</v>
      </c>
      <c r="R245" s="230">
        <f>Table3.110[[#This Row],[Syrange No]]</f>
        <v>97</v>
      </c>
      <c r="S245" s="265">
        <v>0.57750000000000001</v>
      </c>
      <c r="T245" s="265">
        <v>0.99429999999999996</v>
      </c>
      <c r="U245" s="108"/>
      <c r="V245" s="254">
        <f t="shared" si="13"/>
        <v>0.41679999999999995</v>
      </c>
      <c r="W245" s="61">
        <f>Table3.110[[#This Row],[DM Incubated, mg]]-('3.2 Digest'!V245*1000)</f>
        <v>53.269029600464819</v>
      </c>
      <c r="X245" s="61">
        <f>W245/Table3.110[[#This Row],[DM Incubated, mg]]*100</f>
        <v>11.332171712256994</v>
      </c>
      <c r="Y245" s="37">
        <f>Table3.1[[#This Row],[DM Incubated, mg]]*'2.4 NDF'!R33/100</f>
        <v>282.15071892934463</v>
      </c>
      <c r="Z245" s="37">
        <f t="shared" si="16"/>
        <v>-134.64928107065532</v>
      </c>
      <c r="AA245" s="37">
        <f t="shared" si="17"/>
        <v>-47.722466057006152</v>
      </c>
      <c r="AB245" s="89"/>
    </row>
    <row r="246" spans="2:28" x14ac:dyDescent="0.35">
      <c r="B246" s="230">
        <f t="shared" si="12"/>
        <v>236</v>
      </c>
      <c r="C246" s="61"/>
      <c r="D246" s="248">
        <f>Table3.110[[#This Row],[Date]]</f>
        <v>46076</v>
      </c>
      <c r="E246" s="230" t="str">
        <f>Table3.110[[#This Row],[Requisitioner]]</f>
        <v>Genbank</v>
      </c>
      <c r="F246" s="230" t="str">
        <f>Table3.110[[#This Row],[Gene Bank ID]]</f>
        <v>CIAT-23419</v>
      </c>
      <c r="G246" s="230" t="str">
        <f>Table3.110[[#This Row],[Genus]]</f>
        <v>Dendrolobium</v>
      </c>
      <c r="H246" s="230" t="str">
        <f>Table3.110[[#This Row],[Species]]</f>
        <v>triangulare</v>
      </c>
      <c r="I246" s="230" t="str">
        <f>Table3.110[[#This Row],[Tax Name]]</f>
        <v>Dendrolobium triangulare</v>
      </c>
      <c r="J246" s="230" t="str">
        <f>Table3.110[[#This Row],[Family]]</f>
        <v>Fabaceae</v>
      </c>
      <c r="K246" s="230" t="str">
        <f>Table3.110[[#This Row],[Order]]</f>
        <v>Fabales</v>
      </c>
      <c r="L246" s="230" t="str">
        <f>Table3.110[[#This Row],[Functional Group]]</f>
        <v>Tree</v>
      </c>
      <c r="M246" s="230" t="str">
        <f>Table3.110[[#This Row],[CIAT ID]]</f>
        <v>F251739</v>
      </c>
      <c r="N246" s="230">
        <f>Table3.110[[#This Row],[Set CIAT]]</f>
        <v>27</v>
      </c>
      <c r="O246" s="230">
        <f>Table3.110[[#This Row],[Batch]]</f>
        <v>69</v>
      </c>
      <c r="P246" s="230">
        <f>Table3.110[[#This Row],[Run]]</f>
        <v>3</v>
      </c>
      <c r="Q246" s="230">
        <f>Table3.110[[#This Row],[Replication]]</f>
        <v>2</v>
      </c>
      <c r="R246" s="230">
        <f>Table3.110[[#This Row],[Syrange No]]</f>
        <v>98</v>
      </c>
      <c r="S246" s="110">
        <v>0.56279999999999997</v>
      </c>
      <c r="T246" s="110">
        <v>0.97230000000000005</v>
      </c>
      <c r="U246" s="108"/>
      <c r="V246" s="254">
        <f t="shared" si="13"/>
        <v>0.40950000000000009</v>
      </c>
      <c r="W246" s="61">
        <f>Table3.110[[#This Row],[DM Incubated, mg]]-('3.2 Digest'!V246*1000)</f>
        <v>60.662987031925809</v>
      </c>
      <c r="X246" s="61">
        <f>W246/Table3.110[[#This Row],[DM Incubated, mg]]*100</f>
        <v>12.902544161309438</v>
      </c>
      <c r="Y246" s="37">
        <f>Table3.1[[#This Row],[DM Incubated, mg]]*'2.4 NDF'!R33/100</f>
        <v>282.20711523534692</v>
      </c>
      <c r="Z246" s="37">
        <f t="shared" si="16"/>
        <v>-127.29288476465319</v>
      </c>
      <c r="AA246" s="37">
        <f t="shared" si="17"/>
        <v>-45.106192541778107</v>
      </c>
      <c r="AB246" s="89"/>
    </row>
    <row r="247" spans="2:28" x14ac:dyDescent="0.35">
      <c r="B247" s="230">
        <f t="shared" si="12"/>
        <v>237</v>
      </c>
      <c r="C247" s="61"/>
      <c r="D247" s="248">
        <f>Table3.110[[#This Row],[Date]]</f>
        <v>46076</v>
      </c>
      <c r="E247" s="230" t="str">
        <f>Table3.110[[#This Row],[Requisitioner]]</f>
        <v>Genbank</v>
      </c>
      <c r="F247" s="230" t="str">
        <f>Table3.110[[#This Row],[Gene Bank ID]]</f>
        <v>CIAT-23422</v>
      </c>
      <c r="G247" s="230" t="str">
        <f>Table3.110[[#This Row],[Genus]]</f>
        <v>Dendrolobium</v>
      </c>
      <c r="H247" s="230" t="str">
        <f>Table3.110[[#This Row],[Species]]</f>
        <v>triangulare</v>
      </c>
      <c r="I247" s="230" t="str">
        <f>Table3.110[[#This Row],[Tax Name]]</f>
        <v>Dendrolobium triangulare</v>
      </c>
      <c r="J247" s="230" t="str">
        <f>Table3.110[[#This Row],[Family]]</f>
        <v>Fabaceae</v>
      </c>
      <c r="K247" s="230" t="str">
        <f>Table3.110[[#This Row],[Order]]</f>
        <v>Fabales</v>
      </c>
      <c r="L247" s="230" t="str">
        <f>Table3.110[[#This Row],[Functional Group]]</f>
        <v>Tree</v>
      </c>
      <c r="M247" s="230" t="str">
        <f>Table3.110[[#This Row],[CIAT ID]]</f>
        <v>F251740</v>
      </c>
      <c r="N247" s="230">
        <f>Table3.110[[#This Row],[Set CIAT]]</f>
        <v>27</v>
      </c>
      <c r="O247" s="230">
        <f>Table3.110[[#This Row],[Batch]]</f>
        <v>69</v>
      </c>
      <c r="P247" s="230">
        <f>Table3.110[[#This Row],[Run]]</f>
        <v>3</v>
      </c>
      <c r="Q247" s="230">
        <f>Table3.110[[#This Row],[Replication]]</f>
        <v>1</v>
      </c>
      <c r="R247" s="230">
        <f>Table3.110[[#This Row],[Syrange No]]</f>
        <v>99</v>
      </c>
      <c r="S247" s="265">
        <v>0.56779999999999997</v>
      </c>
      <c r="T247" s="265">
        <v>1.0026999999999999</v>
      </c>
      <c r="U247" s="108"/>
      <c r="V247" s="254">
        <f t="shared" si="13"/>
        <v>0.43489999999999995</v>
      </c>
      <c r="W247" s="61">
        <f>Table3.110[[#This Row],[DM Incubated, mg]]-('3.2 Digest'!V247*1000)</f>
        <v>24.387245909474871</v>
      </c>
      <c r="X247" s="61">
        <f>W247/Table3.110[[#This Row],[DM Incubated, mg]]*100</f>
        <v>5.309802553124146</v>
      </c>
      <c r="Y247" s="37">
        <f>Table3.1[[#This Row],[DM Incubated, mg]]*'2.4 NDF'!R35/100</f>
        <v>274.17868025502003</v>
      </c>
      <c r="Z247" s="37">
        <f t="shared" si="16"/>
        <v>-160.72131974497995</v>
      </c>
      <c r="AA247" s="37">
        <f t="shared" si="17"/>
        <v>-58.619189353267465</v>
      </c>
      <c r="AB247" s="89"/>
    </row>
    <row r="248" spans="2:28" x14ac:dyDescent="0.35">
      <c r="B248" s="230">
        <f t="shared" si="12"/>
        <v>238</v>
      </c>
      <c r="C248" s="61"/>
      <c r="D248" s="248">
        <f>Table3.110[[#This Row],[Date]]</f>
        <v>46076</v>
      </c>
      <c r="E248" s="230" t="str">
        <f>Table3.110[[#This Row],[Requisitioner]]</f>
        <v>Genbank</v>
      </c>
      <c r="F248" s="230" t="str">
        <f>Table3.110[[#This Row],[Gene Bank ID]]</f>
        <v>CIAT-23422</v>
      </c>
      <c r="G248" s="230" t="str">
        <f>Table3.110[[#This Row],[Genus]]</f>
        <v>Dendrolobium</v>
      </c>
      <c r="H248" s="230" t="str">
        <f>Table3.110[[#This Row],[Species]]</f>
        <v>triangulare</v>
      </c>
      <c r="I248" s="230" t="str">
        <f>Table3.110[[#This Row],[Tax Name]]</f>
        <v>Dendrolobium triangulare</v>
      </c>
      <c r="J248" s="230" t="str">
        <f>Table3.110[[#This Row],[Family]]</f>
        <v>Fabaceae</v>
      </c>
      <c r="K248" s="230" t="str">
        <f>Table3.110[[#This Row],[Order]]</f>
        <v>Fabales</v>
      </c>
      <c r="L248" s="230" t="str">
        <f>Table3.110[[#This Row],[Functional Group]]</f>
        <v>Tree</v>
      </c>
      <c r="M248" s="230" t="str">
        <f>Table3.110[[#This Row],[CIAT ID]]</f>
        <v>F251740</v>
      </c>
      <c r="N248" s="230">
        <f>Table3.110[[#This Row],[Set CIAT]]</f>
        <v>27</v>
      </c>
      <c r="O248" s="230">
        <f>Table3.110[[#This Row],[Batch]]</f>
        <v>69</v>
      </c>
      <c r="P248" s="230">
        <f>Table3.110[[#This Row],[Run]]</f>
        <v>3</v>
      </c>
      <c r="Q248" s="230">
        <f>Table3.110[[#This Row],[Replication]]</f>
        <v>2</v>
      </c>
      <c r="R248" s="230">
        <f>Table3.110[[#This Row],[Syrange No]]</f>
        <v>100</v>
      </c>
      <c r="S248" s="110">
        <v>0.58699999999999997</v>
      </c>
      <c r="T248" s="110">
        <v>0.96409999999999996</v>
      </c>
      <c r="U248" s="108"/>
      <c r="V248" s="254">
        <f t="shared" si="13"/>
        <v>0.37709999999999999</v>
      </c>
      <c r="W248" s="61">
        <f>Table3.110[[#This Row],[DM Incubated, mg]]-('3.2 Digest'!V248*1000)</f>
        <v>82.462818257020558</v>
      </c>
      <c r="X248" s="61">
        <f>W248/Table3.110[[#This Row],[DM Incubated, mg]]*100</f>
        <v>17.943753276162873</v>
      </c>
      <c r="Y248" s="37">
        <f>Table3.1[[#This Row],[DM Incubated, mg]]*'2.4 NDF'!R35/100</f>
        <v>274.34318746317308</v>
      </c>
      <c r="Z248" s="37">
        <f t="shared" si="16"/>
        <v>-102.75681253682689</v>
      </c>
      <c r="AA248" s="37">
        <f t="shared" si="17"/>
        <v>-37.455572885556201</v>
      </c>
      <c r="AB248" s="89"/>
    </row>
    <row r="249" spans="2:28" x14ac:dyDescent="0.35">
      <c r="B249" s="230">
        <f t="shared" si="12"/>
        <v>239</v>
      </c>
      <c r="C249" s="61"/>
      <c r="D249" s="248">
        <f>Table3.110[[#This Row],[Date]]</f>
        <v>46076</v>
      </c>
      <c r="E249" s="230" t="str">
        <f>Table3.110[[#This Row],[Requisitioner]]</f>
        <v>Genbank</v>
      </c>
      <c r="F249" s="230" t="str">
        <f>Table3.110[[#This Row],[Gene Bank ID]]</f>
        <v>CIAT-23734</v>
      </c>
      <c r="G249" s="230" t="str">
        <f>Table3.110[[#This Row],[Genus]]</f>
        <v>Dendrolobium</v>
      </c>
      <c r="H249" s="230" t="str">
        <f>Table3.110[[#This Row],[Species]]</f>
        <v>triangulare</v>
      </c>
      <c r="I249" s="230" t="str">
        <f>Table3.110[[#This Row],[Tax Name]]</f>
        <v>Dendrolobium triangulare</v>
      </c>
      <c r="J249" s="230" t="str">
        <f>Table3.110[[#This Row],[Family]]</f>
        <v>Fabaceae</v>
      </c>
      <c r="K249" s="230" t="str">
        <f>Table3.110[[#This Row],[Order]]</f>
        <v>Fabales</v>
      </c>
      <c r="L249" s="230" t="str">
        <f>Table3.110[[#This Row],[Functional Group]]</f>
        <v>Tree</v>
      </c>
      <c r="M249" s="230" t="str">
        <f>Table3.110[[#This Row],[CIAT ID]]</f>
        <v>F251741</v>
      </c>
      <c r="N249" s="230">
        <f>Table3.110[[#This Row],[Set CIAT]]</f>
        <v>27</v>
      </c>
      <c r="O249" s="230">
        <f>Table3.110[[#This Row],[Batch]]</f>
        <v>69</v>
      </c>
      <c r="P249" s="230">
        <f>Table3.110[[#This Row],[Run]]</f>
        <v>3</v>
      </c>
      <c r="Q249" s="230">
        <f>Table3.110[[#This Row],[Replication]]</f>
        <v>1</v>
      </c>
      <c r="R249" s="230">
        <f>Table3.110[[#This Row],[Syrange No]]</f>
        <v>101</v>
      </c>
      <c r="S249" s="265">
        <v>0.57310000000000005</v>
      </c>
      <c r="T249" s="265">
        <v>0.95789999999999997</v>
      </c>
      <c r="U249" s="108"/>
      <c r="V249" s="254">
        <f t="shared" si="13"/>
        <v>0.38479999999999992</v>
      </c>
      <c r="W249" s="61">
        <f>Table3.110[[#This Row],[DM Incubated, mg]]-('3.2 Digest'!V249*1000)</f>
        <v>89.039381843081742</v>
      </c>
      <c r="X249" s="61">
        <f>W249/Table3.110[[#This Row],[DM Incubated, mg]]*100</f>
        <v>18.791047189186219</v>
      </c>
      <c r="Y249" s="37">
        <f>Table3.1[[#This Row],[DM Incubated, mg]]*'2.4 NDF'!R37/100</f>
        <v>282.8900095975788</v>
      </c>
      <c r="Z249" s="37">
        <f t="shared" si="16"/>
        <v>-101.9099904024211</v>
      </c>
      <c r="AA249" s="37">
        <f t="shared" si="17"/>
        <v>-36.024598587766221</v>
      </c>
      <c r="AB249" s="89"/>
    </row>
    <row r="250" spans="2:28" x14ac:dyDescent="0.35">
      <c r="B250" s="230">
        <f t="shared" si="12"/>
        <v>240</v>
      </c>
      <c r="C250" s="61"/>
      <c r="D250" s="248">
        <f>Table3.110[[#This Row],[Date]]</f>
        <v>46076</v>
      </c>
      <c r="E250" s="230" t="str">
        <f>Table3.110[[#This Row],[Requisitioner]]</f>
        <v>Genbank</v>
      </c>
      <c r="F250" s="230" t="str">
        <f>Table3.110[[#This Row],[Gene Bank ID]]</f>
        <v>CIAT-23734</v>
      </c>
      <c r="G250" s="230" t="str">
        <f>Table3.110[[#This Row],[Genus]]</f>
        <v>Dendrolobium</v>
      </c>
      <c r="H250" s="230" t="str">
        <f>Table3.110[[#This Row],[Species]]</f>
        <v>triangulare</v>
      </c>
      <c r="I250" s="230" t="str">
        <f>Table3.110[[#This Row],[Tax Name]]</f>
        <v>Dendrolobium triangulare</v>
      </c>
      <c r="J250" s="230" t="str">
        <f>Table3.110[[#This Row],[Family]]</f>
        <v>Fabaceae</v>
      </c>
      <c r="K250" s="230" t="str">
        <f>Table3.110[[#This Row],[Order]]</f>
        <v>Fabales</v>
      </c>
      <c r="L250" s="230" t="str">
        <f>Table3.110[[#This Row],[Functional Group]]</f>
        <v>Tree</v>
      </c>
      <c r="M250" s="230" t="str">
        <f>Table3.110[[#This Row],[CIAT ID]]</f>
        <v>F251741</v>
      </c>
      <c r="N250" s="230">
        <f>Table3.110[[#This Row],[Set CIAT]]</f>
        <v>27</v>
      </c>
      <c r="O250" s="230">
        <f>Table3.110[[#This Row],[Batch]]</f>
        <v>69</v>
      </c>
      <c r="P250" s="230">
        <f>Table3.110[[#This Row],[Run]]</f>
        <v>3</v>
      </c>
      <c r="Q250" s="230">
        <f>Table3.110[[#This Row],[Replication]]</f>
        <v>2</v>
      </c>
      <c r="R250" s="230">
        <f>Table3.110[[#This Row],[Syrange No]]</f>
        <v>102</v>
      </c>
      <c r="S250" s="110">
        <v>0.5716</v>
      </c>
      <c r="T250" s="110">
        <v>0.95230000000000004</v>
      </c>
      <c r="U250" s="108"/>
      <c r="V250" s="254">
        <f t="shared" si="13"/>
        <v>0.38070000000000004</v>
      </c>
      <c r="W250" s="61">
        <f>Table3.110[[#This Row],[DM Incubated, mg]]-('3.2 Digest'!V250*1000)</f>
        <v>93.328803942559091</v>
      </c>
      <c r="X250" s="61">
        <f>W250/Table3.110[[#This Row],[DM Incubated, mg]]*100</f>
        <v>19.688424662453276</v>
      </c>
      <c r="Y250" s="37">
        <f>Table3.1[[#This Row],[DM Incubated, mg]]*'2.4 NDF'!R37/100</f>
        <v>283.00309774852724</v>
      </c>
      <c r="Z250" s="37">
        <f t="shared" si="16"/>
        <v>-97.696902251472807</v>
      </c>
      <c r="AA250" s="37">
        <f t="shared" si="17"/>
        <v>-34.521495711076973</v>
      </c>
      <c r="AB250" s="89"/>
    </row>
    <row r="251" spans="2:28" x14ac:dyDescent="0.35">
      <c r="B251" s="230">
        <f t="shared" si="12"/>
        <v>241</v>
      </c>
      <c r="C251" s="61"/>
      <c r="D251" s="248">
        <f>Table3.110[[#This Row],[Date]]</f>
        <v>46076</v>
      </c>
      <c r="E251" s="230" t="str">
        <f>Table3.110[[#This Row],[Requisitioner]]</f>
        <v>Genbank</v>
      </c>
      <c r="F251" s="230" t="str">
        <f>Table3.110[[#This Row],[Gene Bank ID]]</f>
        <v>CIAT-23932</v>
      </c>
      <c r="G251" s="230" t="str">
        <f>Table3.110[[#This Row],[Genus]]</f>
        <v>Dendrolobium</v>
      </c>
      <c r="H251" s="230" t="str">
        <f>Table3.110[[#This Row],[Species]]</f>
        <v>triangulare</v>
      </c>
      <c r="I251" s="230" t="str">
        <f>Table3.110[[#This Row],[Tax Name]]</f>
        <v>Dendrolobium triangulare</v>
      </c>
      <c r="J251" s="230" t="str">
        <f>Table3.110[[#This Row],[Family]]</f>
        <v>Fabaceae</v>
      </c>
      <c r="K251" s="230" t="str">
        <f>Table3.110[[#This Row],[Order]]</f>
        <v>Fabales</v>
      </c>
      <c r="L251" s="230" t="str">
        <f>Table3.110[[#This Row],[Functional Group]]</f>
        <v>Tree</v>
      </c>
      <c r="M251" s="230" t="str">
        <f>Table3.110[[#This Row],[CIAT ID]]</f>
        <v>F251742</v>
      </c>
      <c r="N251" s="230">
        <f>Table3.110[[#This Row],[Set CIAT]]</f>
        <v>27</v>
      </c>
      <c r="O251" s="230">
        <f>Table3.110[[#This Row],[Batch]]</f>
        <v>69</v>
      </c>
      <c r="P251" s="230">
        <f>Table3.110[[#This Row],[Run]]</f>
        <v>3</v>
      </c>
      <c r="Q251" s="230">
        <f>Table3.110[[#This Row],[Replication]]</f>
        <v>1</v>
      </c>
      <c r="R251" s="230">
        <f>Table3.110[[#This Row],[Syrange No]]</f>
        <v>103</v>
      </c>
      <c r="S251" s="265">
        <v>0.61409999999999998</v>
      </c>
      <c r="T251" s="265">
        <v>1.0210999999999999</v>
      </c>
      <c r="U251" s="108"/>
      <c r="V251" s="254">
        <f t="shared" si="13"/>
        <v>0.40699999999999992</v>
      </c>
      <c r="W251" s="61">
        <f>Table3.110[[#This Row],[DM Incubated, mg]]-('3.2 Digest'!V251*1000)</f>
        <v>68.895121951219153</v>
      </c>
      <c r="X251" s="61">
        <f>W251/Table3.110[[#This Row],[DM Incubated, mg]]*100</f>
        <v>14.476954852729326</v>
      </c>
      <c r="Y251" s="37">
        <f>Table3.1[[#This Row],[DM Incubated, mg]]*'2.4 NDF'!R39/100</f>
        <v>282.83568059612026</v>
      </c>
      <c r="Z251" s="37">
        <f t="shared" si="16"/>
        <v>-124.16431940387969</v>
      </c>
      <c r="AA251" s="37">
        <f t="shared" si="17"/>
        <v>-43.899807528591886</v>
      </c>
      <c r="AB251" s="89"/>
    </row>
    <row r="252" spans="2:28" x14ac:dyDescent="0.35">
      <c r="B252" s="230">
        <f t="shared" si="12"/>
        <v>242</v>
      </c>
      <c r="C252" s="61"/>
      <c r="D252" s="248">
        <f>Table3.110[[#This Row],[Date]]</f>
        <v>46076</v>
      </c>
      <c r="E252" s="230" t="str">
        <f>Table3.110[[#This Row],[Requisitioner]]</f>
        <v>Genbank</v>
      </c>
      <c r="F252" s="230" t="str">
        <f>Table3.110[[#This Row],[Gene Bank ID]]</f>
        <v>CIAT-23932</v>
      </c>
      <c r="G252" s="230" t="str">
        <f>Table3.110[[#This Row],[Genus]]</f>
        <v>Dendrolobium</v>
      </c>
      <c r="H252" s="230" t="str">
        <f>Table3.110[[#This Row],[Species]]</f>
        <v>triangulare</v>
      </c>
      <c r="I252" s="230" t="str">
        <f>Table3.110[[#This Row],[Tax Name]]</f>
        <v>Dendrolobium triangulare</v>
      </c>
      <c r="J252" s="230" t="str">
        <f>Table3.110[[#This Row],[Family]]</f>
        <v>Fabaceae</v>
      </c>
      <c r="K252" s="230" t="str">
        <f>Table3.110[[#This Row],[Order]]</f>
        <v>Fabales</v>
      </c>
      <c r="L252" s="230" t="str">
        <f>Table3.110[[#This Row],[Functional Group]]</f>
        <v>Tree</v>
      </c>
      <c r="M252" s="230" t="str">
        <f>Table3.110[[#This Row],[CIAT ID]]</f>
        <v>F251742</v>
      </c>
      <c r="N252" s="230">
        <f>Table3.110[[#This Row],[Set CIAT]]</f>
        <v>27</v>
      </c>
      <c r="O252" s="230">
        <f>Table3.110[[#This Row],[Batch]]</f>
        <v>69</v>
      </c>
      <c r="P252" s="230">
        <f>Table3.110[[#This Row],[Run]]</f>
        <v>3</v>
      </c>
      <c r="Q252" s="230">
        <f>Table3.110[[#This Row],[Replication]]</f>
        <v>2</v>
      </c>
      <c r="R252" s="230">
        <f>Table3.110[[#This Row],[Syrange No]]</f>
        <v>104</v>
      </c>
      <c r="S252" s="110">
        <v>0.5776</v>
      </c>
      <c r="T252" s="110">
        <v>0.96830000000000005</v>
      </c>
      <c r="U252" s="108"/>
      <c r="V252" s="254">
        <f t="shared" si="13"/>
        <v>0.39070000000000005</v>
      </c>
      <c r="W252" s="61">
        <f>Table3.110[[#This Row],[DM Incubated, mg]]-('3.2 Digest'!V252*1000)</f>
        <v>85.099999999999511</v>
      </c>
      <c r="X252" s="61">
        <f>W252/Table3.110[[#This Row],[DM Incubated, mg]]*100</f>
        <v>17.8856662463219</v>
      </c>
      <c r="Y252" s="37">
        <f>Table3.1[[#This Row],[DM Incubated, mg]]*'2.4 NDF'!R39/100</f>
        <v>282.77914737993075</v>
      </c>
      <c r="Z252" s="37">
        <f t="shared" si="16"/>
        <v>-107.9208526200693</v>
      </c>
      <c r="AA252" s="37">
        <f t="shared" si="17"/>
        <v>-38.164360286110899</v>
      </c>
      <c r="AB252" s="89"/>
    </row>
    <row r="253" spans="2:28" x14ac:dyDescent="0.35">
      <c r="B253" s="230">
        <f t="shared" si="12"/>
        <v>243</v>
      </c>
      <c r="C253" s="61"/>
      <c r="D253" s="248">
        <f>Table3.110[[#This Row],[Date]]</f>
        <v>46076</v>
      </c>
      <c r="E253" s="230" t="str">
        <f>Table3.110[[#This Row],[Requisitioner]]</f>
        <v>Genbank</v>
      </c>
      <c r="F253" s="230" t="str">
        <f>Table3.110[[#This Row],[Gene Bank ID]]</f>
        <v>CIAT-23933</v>
      </c>
      <c r="G253" s="230" t="str">
        <f>Table3.110[[#This Row],[Genus]]</f>
        <v>Dendrolobium</v>
      </c>
      <c r="H253" s="230" t="str">
        <f>Table3.110[[#This Row],[Species]]</f>
        <v>triangulare</v>
      </c>
      <c r="I253" s="230" t="str">
        <f>Table3.110[[#This Row],[Tax Name]]</f>
        <v>Dendrolobium triangulare</v>
      </c>
      <c r="J253" s="230" t="str">
        <f>Table3.110[[#This Row],[Family]]</f>
        <v>Fabaceae</v>
      </c>
      <c r="K253" s="230" t="str">
        <f>Table3.110[[#This Row],[Order]]</f>
        <v>Fabales</v>
      </c>
      <c r="L253" s="230" t="str">
        <f>Table3.110[[#This Row],[Functional Group]]</f>
        <v>Tree</v>
      </c>
      <c r="M253" s="230" t="str">
        <f>Table3.110[[#This Row],[CIAT ID]]</f>
        <v>F251743</v>
      </c>
      <c r="N253" s="230">
        <f>Table3.110[[#This Row],[Set CIAT]]</f>
        <v>27</v>
      </c>
      <c r="O253" s="230">
        <f>Table3.110[[#This Row],[Batch]]</f>
        <v>69</v>
      </c>
      <c r="P253" s="230">
        <f>Table3.110[[#This Row],[Run]]</f>
        <v>3</v>
      </c>
      <c r="Q253" s="230">
        <f>Table3.110[[#This Row],[Replication]]</f>
        <v>1</v>
      </c>
      <c r="R253" s="230">
        <f>Table3.110[[#This Row],[Syrange No]]</f>
        <v>105</v>
      </c>
      <c r="S253" s="265">
        <v>0.58140000000000003</v>
      </c>
      <c r="T253" s="265">
        <v>0.95540000000000003</v>
      </c>
      <c r="U253" s="108"/>
      <c r="V253" s="254">
        <f t="shared" si="13"/>
        <v>0.374</v>
      </c>
      <c r="W253" s="61">
        <f>Table3.110[[#This Row],[DM Incubated, mg]]-('3.2 Digest'!V253*1000)</f>
        <v>94.98112343719157</v>
      </c>
      <c r="X253" s="61">
        <f>W253/Table3.110[[#This Row],[DM Incubated, mg]]*100</f>
        <v>20.252653825610093</v>
      </c>
      <c r="Y253" s="37">
        <f>Table3.1[[#This Row],[DM Incubated, mg]]*'2.4 NDF'!R41/100</f>
        <v>301.87962550826842</v>
      </c>
      <c r="Z253" s="37">
        <f t="shared" si="16"/>
        <v>-72.120374491731582</v>
      </c>
      <c r="AA253" s="37">
        <f t="shared" si="17"/>
        <v>-23.890441221498143</v>
      </c>
      <c r="AB253" s="89"/>
    </row>
    <row r="254" spans="2:28" x14ac:dyDescent="0.35">
      <c r="B254" s="230">
        <f t="shared" si="12"/>
        <v>244</v>
      </c>
      <c r="C254" s="61"/>
      <c r="D254" s="248">
        <f>Table3.110[[#This Row],[Date]]</f>
        <v>46076</v>
      </c>
      <c r="E254" s="230" t="str">
        <f>Table3.110[[#This Row],[Requisitioner]]</f>
        <v>Genbank</v>
      </c>
      <c r="F254" s="230" t="str">
        <f>Table3.110[[#This Row],[Gene Bank ID]]</f>
        <v>CIAT-23933</v>
      </c>
      <c r="G254" s="230" t="str">
        <f>Table3.110[[#This Row],[Genus]]</f>
        <v>Dendrolobium</v>
      </c>
      <c r="H254" s="230" t="str">
        <f>Table3.110[[#This Row],[Species]]</f>
        <v>triangulare</v>
      </c>
      <c r="I254" s="230" t="str">
        <f>Table3.110[[#This Row],[Tax Name]]</f>
        <v>Dendrolobium triangulare</v>
      </c>
      <c r="J254" s="230" t="str">
        <f>Table3.110[[#This Row],[Family]]</f>
        <v>Fabaceae</v>
      </c>
      <c r="K254" s="230" t="str">
        <f>Table3.110[[#This Row],[Order]]</f>
        <v>Fabales</v>
      </c>
      <c r="L254" s="230" t="str">
        <f>Table3.110[[#This Row],[Functional Group]]</f>
        <v>Tree</v>
      </c>
      <c r="M254" s="230" t="str">
        <f>Table3.110[[#This Row],[CIAT ID]]</f>
        <v>F251743</v>
      </c>
      <c r="N254" s="230">
        <f>Table3.110[[#This Row],[Set CIAT]]</f>
        <v>27</v>
      </c>
      <c r="O254" s="230">
        <f>Table3.110[[#This Row],[Batch]]</f>
        <v>69</v>
      </c>
      <c r="P254" s="230">
        <f>Table3.110[[#This Row],[Run]]</f>
        <v>3</v>
      </c>
      <c r="Q254" s="230">
        <f>Table3.110[[#This Row],[Replication]]</f>
        <v>2</v>
      </c>
      <c r="R254" s="230">
        <f>Table3.110[[#This Row],[Syrange No]]</f>
        <v>106</v>
      </c>
      <c r="S254" s="110">
        <v>0.54769999999999996</v>
      </c>
      <c r="T254" s="110">
        <v>1.0045999999999999</v>
      </c>
      <c r="U254" s="108"/>
      <c r="V254" s="254">
        <f t="shared" si="13"/>
        <v>0.45689999999999997</v>
      </c>
      <c r="W254" s="61">
        <f>Table3.110[[#This Row],[DM Incubated, mg]]-('3.2 Digest'!V254*1000)</f>
        <v>12.081123437191593</v>
      </c>
      <c r="X254" s="61">
        <f>W254/Table3.110[[#This Row],[DM Incubated, mg]]*100</f>
        <v>2.5760361842814259</v>
      </c>
      <c r="Y254" s="37">
        <f>Table3.1[[#This Row],[DM Incubated, mg]]*'2.4 NDF'!R41/100</f>
        <v>301.87962550826842</v>
      </c>
      <c r="Z254" s="37">
        <f t="shared" si="16"/>
        <v>-155.02037449173156</v>
      </c>
      <c r="AA254" s="37">
        <f t="shared" si="17"/>
        <v>-51.351718166049466</v>
      </c>
      <c r="AB254" s="89" t="s">
        <v>562</v>
      </c>
    </row>
    <row r="255" spans="2:28" x14ac:dyDescent="0.35">
      <c r="B255" s="230">
        <f t="shared" si="12"/>
        <v>245</v>
      </c>
      <c r="C255" s="61"/>
      <c r="D255" s="248">
        <f>Table3.110[[#This Row],[Date]]</f>
        <v>46076</v>
      </c>
      <c r="E255" s="230">
        <f>Table3.110[[#This Row],[Requisitioner]]</f>
        <v>0</v>
      </c>
      <c r="F255" s="230" t="str">
        <f>Table3.110[[#This Row],[Gene Bank ID]]</f>
        <v>BLANK 8H</v>
      </c>
      <c r="G255" s="230" t="str">
        <f>Table3.110[[#This Row],[Genus]]</f>
        <v>BLANK</v>
      </c>
      <c r="H255" s="230" t="str">
        <f>Table3.110[[#This Row],[Species]]</f>
        <v>8H</v>
      </c>
      <c r="I255" s="230" t="str">
        <f>Table3.110[[#This Row],[Tax Name]]</f>
        <v>BLANK 8H</v>
      </c>
      <c r="J255" s="230">
        <f>Table3.110[[#This Row],[Family]]</f>
        <v>0</v>
      </c>
      <c r="K255" s="230">
        <f>Table3.110[[#This Row],[Order]]</f>
        <v>0</v>
      </c>
      <c r="L255" s="230">
        <f>Table3.110[[#This Row],[Functional Group]]</f>
        <v>0</v>
      </c>
      <c r="M255" s="230" t="str">
        <f>Table3.110[[#This Row],[CIAT ID]]</f>
        <v>BLANK 8H</v>
      </c>
      <c r="N255" s="230">
        <f>Table3.110[[#This Row],[Set CIAT]]</f>
        <v>27</v>
      </c>
      <c r="O255" s="230">
        <f>Table3.110[[#This Row],[Batch]]</f>
        <v>69</v>
      </c>
      <c r="P255" s="230">
        <f>Table3.110[[#This Row],[Run]]</f>
        <v>3</v>
      </c>
      <c r="Q255" s="230">
        <f>Table3.110[[#This Row],[Replication]]</f>
        <v>1</v>
      </c>
      <c r="R255" s="230">
        <f>Table3.110[[#This Row],[Syrange No]]</f>
        <v>107</v>
      </c>
      <c r="S255" s="264"/>
      <c r="T255" s="264"/>
      <c r="U255" s="108"/>
      <c r="V255" s="254"/>
      <c r="W255" s="61"/>
      <c r="X255" s="61"/>
      <c r="Y255" s="37"/>
      <c r="Z255" s="37"/>
      <c r="AA255" s="37"/>
      <c r="AB255" s="89"/>
    </row>
    <row r="256" spans="2:28" x14ac:dyDescent="0.35">
      <c r="B256" s="230">
        <f t="shared" si="12"/>
        <v>246</v>
      </c>
      <c r="C256" s="61"/>
      <c r="D256" s="248">
        <f>Table3.110[[#This Row],[Date]]</f>
        <v>46076</v>
      </c>
      <c r="E256" s="230">
        <f>Table3.110[[#This Row],[Requisitioner]]</f>
        <v>0</v>
      </c>
      <c r="F256" s="230" t="str">
        <f>Table3.110[[#This Row],[Gene Bank ID]]</f>
        <v>BLANK 8H</v>
      </c>
      <c r="G256" s="230" t="str">
        <f>Table3.110[[#This Row],[Genus]]</f>
        <v>BLANK</v>
      </c>
      <c r="H256" s="230" t="str">
        <f>Table3.110[[#This Row],[Species]]</f>
        <v>8H</v>
      </c>
      <c r="I256" s="230" t="str">
        <f>Table3.110[[#This Row],[Tax Name]]</f>
        <v>BLANK 8H</v>
      </c>
      <c r="J256" s="230">
        <f>Table3.110[[#This Row],[Family]]</f>
        <v>0</v>
      </c>
      <c r="K256" s="230">
        <f>Table3.110[[#This Row],[Order]]</f>
        <v>0</v>
      </c>
      <c r="L256" s="230">
        <f>Table3.110[[#This Row],[Functional Group]]</f>
        <v>0</v>
      </c>
      <c r="M256" s="230" t="str">
        <f>Table3.110[[#This Row],[CIAT ID]]</f>
        <v>BLANK 8H</v>
      </c>
      <c r="N256" s="230">
        <f>Table3.110[[#This Row],[Set CIAT]]</f>
        <v>27</v>
      </c>
      <c r="O256" s="230">
        <f>Table3.110[[#This Row],[Batch]]</f>
        <v>69</v>
      </c>
      <c r="P256" s="230">
        <f>Table3.110[[#This Row],[Run]]</f>
        <v>3</v>
      </c>
      <c r="Q256" s="230">
        <f>Table3.110[[#This Row],[Replication]]</f>
        <v>2</v>
      </c>
      <c r="R256" s="230">
        <f>Table3.110[[#This Row],[Syrange No]]</f>
        <v>108</v>
      </c>
      <c r="S256" s="263"/>
      <c r="T256" s="263"/>
      <c r="U256" s="108"/>
      <c r="V256" s="254"/>
      <c r="W256" s="61"/>
      <c r="X256" s="61"/>
      <c r="Y256" s="37"/>
      <c r="Z256" s="37"/>
      <c r="AA256" s="37"/>
      <c r="AB256" s="89"/>
    </row>
    <row r="257" spans="2:28" x14ac:dyDescent="0.35">
      <c r="B257" s="230">
        <f t="shared" si="12"/>
        <v>247</v>
      </c>
      <c r="C257" s="61"/>
      <c r="D257" s="248">
        <f>Table3.110[[#This Row],[Date]]</f>
        <v>46076</v>
      </c>
      <c r="E257" s="230" t="str">
        <f>Table3.110[[#This Row],[Requisitioner]]</f>
        <v>Genbank</v>
      </c>
      <c r="F257" s="230" t="str">
        <f>Table3.110[[#This Row],[Gene Bank ID]]</f>
        <v>CIAT-23934</v>
      </c>
      <c r="G257" s="230" t="str">
        <f>Table3.110[[#This Row],[Genus]]</f>
        <v>Dendrolobium</v>
      </c>
      <c r="H257" s="230" t="str">
        <f>Table3.110[[#This Row],[Species]]</f>
        <v>triangulare</v>
      </c>
      <c r="I257" s="230" t="str">
        <f>Table3.110[[#This Row],[Tax Name]]</f>
        <v>Dendrolobium triangulare</v>
      </c>
      <c r="J257" s="230" t="str">
        <f>Table3.110[[#This Row],[Family]]</f>
        <v>Fabaceae</v>
      </c>
      <c r="K257" s="230" t="str">
        <f>Table3.110[[#This Row],[Order]]</f>
        <v>Fabales</v>
      </c>
      <c r="L257" s="230" t="str">
        <f>Table3.110[[#This Row],[Functional Group]]</f>
        <v>Tree</v>
      </c>
      <c r="M257" s="230" t="str">
        <f>Table3.110[[#This Row],[CIAT ID]]</f>
        <v>F251744</v>
      </c>
      <c r="N257" s="230">
        <f>Table3.110[[#This Row],[Set CIAT]]</f>
        <v>27</v>
      </c>
      <c r="O257" s="230">
        <f>Table3.110[[#This Row],[Batch]]</f>
        <v>69</v>
      </c>
      <c r="P257" s="230">
        <f>Table3.110[[#This Row],[Run]]</f>
        <v>3</v>
      </c>
      <c r="Q257" s="230">
        <f>Table3.110[[#This Row],[Replication]]</f>
        <v>1</v>
      </c>
      <c r="R257" s="230">
        <f>Table3.110[[#This Row],[Syrange No]]</f>
        <v>109</v>
      </c>
      <c r="S257" s="265">
        <v>0.57030000000000003</v>
      </c>
      <c r="T257" s="265">
        <v>0.90539999999999998</v>
      </c>
      <c r="U257" s="108"/>
      <c r="V257" s="254">
        <f t="shared" si="13"/>
        <v>0.33509999999999995</v>
      </c>
      <c r="W257" s="61">
        <f>Table3.110[[#This Row],[DM Incubated, mg]]-('3.2 Digest'!V257*1000)</f>
        <v>135.75879972016799</v>
      </c>
      <c r="X257" s="61">
        <f>W257/Table3.110[[#This Row],[DM Incubated, mg]]*100</f>
        <v>28.832167902744864</v>
      </c>
      <c r="Y257" s="37">
        <f>Table3.1[[#This Row],[DM Incubated, mg]]*'2.4 NDF'!R43/100</f>
        <v>275.43692547603411</v>
      </c>
      <c r="Z257" s="37">
        <f t="shared" si="16"/>
        <v>-59.663074523965861</v>
      </c>
      <c r="AA257" s="37">
        <f t="shared" si="17"/>
        <v>-21.661247641670027</v>
      </c>
      <c r="AB257" s="89"/>
    </row>
    <row r="258" spans="2:28" x14ac:dyDescent="0.35">
      <c r="B258" s="230">
        <f t="shared" si="12"/>
        <v>248</v>
      </c>
      <c r="C258" s="61"/>
      <c r="D258" s="248">
        <f>Table3.110[[#This Row],[Date]]</f>
        <v>46076</v>
      </c>
      <c r="E258" s="230" t="str">
        <f>Table3.110[[#This Row],[Requisitioner]]</f>
        <v>Genbank</v>
      </c>
      <c r="F258" s="230" t="str">
        <f>Table3.110[[#This Row],[Gene Bank ID]]</f>
        <v>CIAT-23934</v>
      </c>
      <c r="G258" s="230" t="str">
        <f>Table3.110[[#This Row],[Genus]]</f>
        <v>Dendrolobium</v>
      </c>
      <c r="H258" s="230" t="str">
        <f>Table3.110[[#This Row],[Species]]</f>
        <v>triangulare</v>
      </c>
      <c r="I258" s="230" t="str">
        <f>Table3.110[[#This Row],[Tax Name]]</f>
        <v>Dendrolobium triangulare</v>
      </c>
      <c r="J258" s="230" t="str">
        <f>Table3.110[[#This Row],[Family]]</f>
        <v>Fabaceae</v>
      </c>
      <c r="K258" s="230" t="str">
        <f>Table3.110[[#This Row],[Order]]</f>
        <v>Fabales</v>
      </c>
      <c r="L258" s="230" t="str">
        <f>Table3.110[[#This Row],[Functional Group]]</f>
        <v>Tree</v>
      </c>
      <c r="M258" s="230" t="str">
        <f>Table3.110[[#This Row],[CIAT ID]]</f>
        <v>F251744</v>
      </c>
      <c r="N258" s="230">
        <f>Table3.110[[#This Row],[Set CIAT]]</f>
        <v>27</v>
      </c>
      <c r="O258" s="230">
        <f>Table3.110[[#This Row],[Batch]]</f>
        <v>69</v>
      </c>
      <c r="P258" s="230">
        <f>Table3.110[[#This Row],[Run]]</f>
        <v>3</v>
      </c>
      <c r="Q258" s="230">
        <f>Table3.110[[#This Row],[Replication]]</f>
        <v>2</v>
      </c>
      <c r="R258" s="230">
        <f>Table3.110[[#This Row],[Syrange No]]</f>
        <v>110</v>
      </c>
      <c r="S258" s="110">
        <v>0.57799999999999996</v>
      </c>
      <c r="T258" s="110">
        <v>0.91930000000000001</v>
      </c>
      <c r="U258" s="108"/>
      <c r="V258" s="254">
        <f t="shared" si="13"/>
        <v>0.34130000000000005</v>
      </c>
      <c r="W258" s="61">
        <f>Table3.110[[#This Row],[DM Incubated, mg]]-('3.2 Digest'!V258*1000)</f>
        <v>130.12383027983213</v>
      </c>
      <c r="X258" s="61">
        <f>W258/Table3.110[[#This Row],[DM Incubated, mg]]*100</f>
        <v>27.602302200674071</v>
      </c>
      <c r="Y258" s="37">
        <f>Table3.1[[#This Row],[DM Incubated, mg]]*'2.4 NDF'!R43/100</f>
        <v>275.76744978660537</v>
      </c>
      <c r="Z258" s="37">
        <f t="shared" si="16"/>
        <v>-65.5325502133947</v>
      </c>
      <c r="AA258" s="37">
        <f t="shared" si="17"/>
        <v>-23.763700271408087</v>
      </c>
      <c r="AB258" s="89"/>
    </row>
    <row r="259" spans="2:28" x14ac:dyDescent="0.35">
      <c r="B259" s="230">
        <f t="shared" si="12"/>
        <v>249</v>
      </c>
      <c r="C259" s="61"/>
      <c r="D259" s="248">
        <f>Table3.110[[#This Row],[Date]]</f>
        <v>46076</v>
      </c>
      <c r="E259" s="230" t="str">
        <f>Table3.110[[#This Row],[Requisitioner]]</f>
        <v>Genbank</v>
      </c>
      <c r="F259" s="230" t="str">
        <f>Table3.110[[#This Row],[Gene Bank ID]]</f>
        <v>CIAT-23936</v>
      </c>
      <c r="G259" s="230" t="str">
        <f>Table3.110[[#This Row],[Genus]]</f>
        <v>Dendrolobium</v>
      </c>
      <c r="H259" s="230" t="str">
        <f>Table3.110[[#This Row],[Species]]</f>
        <v>triangulare</v>
      </c>
      <c r="I259" s="230" t="str">
        <f>Table3.110[[#This Row],[Tax Name]]</f>
        <v>Dendrolobium triangulare</v>
      </c>
      <c r="J259" s="230" t="str">
        <f>Table3.110[[#This Row],[Family]]</f>
        <v>Fabaceae</v>
      </c>
      <c r="K259" s="230" t="str">
        <f>Table3.110[[#This Row],[Order]]</f>
        <v>Fabales</v>
      </c>
      <c r="L259" s="230" t="str">
        <f>Table3.110[[#This Row],[Functional Group]]</f>
        <v>Tree</v>
      </c>
      <c r="M259" s="230" t="str">
        <f>Table3.110[[#This Row],[CIAT ID]]</f>
        <v>F251745</v>
      </c>
      <c r="N259" s="230">
        <f>Table3.110[[#This Row],[Set CIAT]]</f>
        <v>27</v>
      </c>
      <c r="O259" s="230">
        <f>Table3.110[[#This Row],[Batch]]</f>
        <v>69</v>
      </c>
      <c r="P259" s="230">
        <f>Table3.110[[#This Row],[Run]]</f>
        <v>3</v>
      </c>
      <c r="Q259" s="230">
        <f>Table3.110[[#This Row],[Replication]]</f>
        <v>1</v>
      </c>
      <c r="R259" s="230">
        <f>Table3.110[[#This Row],[Syrange No]]</f>
        <v>111</v>
      </c>
      <c r="S259" s="265">
        <v>0.58940000000000003</v>
      </c>
      <c r="T259" s="265">
        <v>1.0130999999999999</v>
      </c>
      <c r="U259" s="108"/>
      <c r="V259" s="254">
        <f t="shared" si="13"/>
        <v>0.42369999999999985</v>
      </c>
      <c r="W259" s="61">
        <f>Table3.110[[#This Row],[DM Incubated, mg]]-('3.2 Digest'!V259*1000)</f>
        <v>46.686882870277884</v>
      </c>
      <c r="X259" s="61">
        <f>W259/Table3.110[[#This Row],[DM Incubated, mg]]*100</f>
        <v>9.9252093479726327</v>
      </c>
      <c r="Y259" s="37">
        <f>Table3.1[[#This Row],[DM Incubated, mg]]*'2.4 NDF'!R45/100</f>
        <v>290.01968425635567</v>
      </c>
      <c r="Z259" s="37">
        <f t="shared" si="16"/>
        <v>-133.6803157436442</v>
      </c>
      <c r="AA259" s="37">
        <f t="shared" si="17"/>
        <v>-46.093531922295597</v>
      </c>
      <c r="AB259" s="89"/>
    </row>
    <row r="260" spans="2:28" x14ac:dyDescent="0.35">
      <c r="B260" s="230">
        <f t="shared" si="12"/>
        <v>250</v>
      </c>
      <c r="C260" s="61"/>
      <c r="D260" s="248">
        <f>Table3.110[[#This Row],[Date]]</f>
        <v>46076</v>
      </c>
      <c r="E260" s="230" t="str">
        <f>Table3.110[[#This Row],[Requisitioner]]</f>
        <v>Genbank</v>
      </c>
      <c r="F260" s="230" t="str">
        <f>Table3.110[[#This Row],[Gene Bank ID]]</f>
        <v>CIAT-23936</v>
      </c>
      <c r="G260" s="230" t="str">
        <f>Table3.110[[#This Row],[Genus]]</f>
        <v>Dendrolobium</v>
      </c>
      <c r="H260" s="230" t="str">
        <f>Table3.110[[#This Row],[Species]]</f>
        <v>triangulare</v>
      </c>
      <c r="I260" s="230" t="str">
        <f>Table3.110[[#This Row],[Tax Name]]</f>
        <v>Dendrolobium triangulare</v>
      </c>
      <c r="J260" s="230" t="str">
        <f>Table3.110[[#This Row],[Family]]</f>
        <v>Fabaceae</v>
      </c>
      <c r="K260" s="230" t="str">
        <f>Table3.110[[#This Row],[Order]]</f>
        <v>Fabales</v>
      </c>
      <c r="L260" s="230" t="str">
        <f>Table3.110[[#This Row],[Functional Group]]</f>
        <v>Tree</v>
      </c>
      <c r="M260" s="230" t="str">
        <f>Table3.110[[#This Row],[CIAT ID]]</f>
        <v>F251745</v>
      </c>
      <c r="N260" s="230">
        <f>Table3.110[[#This Row],[Set CIAT]]</f>
        <v>27</v>
      </c>
      <c r="O260" s="230">
        <f>Table3.110[[#This Row],[Batch]]</f>
        <v>69</v>
      </c>
      <c r="P260" s="230">
        <f>Table3.110[[#This Row],[Run]]</f>
        <v>3</v>
      </c>
      <c r="Q260" s="230">
        <f>Table3.110[[#This Row],[Replication]]</f>
        <v>2</v>
      </c>
      <c r="R260" s="230">
        <f>Table3.110[[#This Row],[Syrange No]]</f>
        <v>112</v>
      </c>
      <c r="S260" s="110">
        <v>0.57079999999999997</v>
      </c>
      <c r="T260" s="110">
        <v>0.94030000000000002</v>
      </c>
      <c r="U260" s="108"/>
      <c r="V260" s="254">
        <f t="shared" si="13"/>
        <v>0.36950000000000005</v>
      </c>
      <c r="W260" s="61">
        <f>Table3.110[[#This Row],[DM Incubated, mg]]-('3.2 Digest'!V260*1000)</f>
        <v>101.35717569458319</v>
      </c>
      <c r="X260" s="61">
        <f>W260/Table3.110[[#This Row],[DM Incubated, mg]]*100</f>
        <v>21.526097705756854</v>
      </c>
      <c r="Y260" s="37">
        <f>Table3.1[[#This Row],[DM Incubated, mg]]*'2.4 NDF'!R45/100</f>
        <v>290.30964594827367</v>
      </c>
      <c r="Z260" s="37">
        <f t="shared" si="16"/>
        <v>-79.190354051726388</v>
      </c>
      <c r="AA260" s="37">
        <f t="shared" si="17"/>
        <v>-27.277892814431748</v>
      </c>
      <c r="AB260" s="89"/>
    </row>
    <row r="261" spans="2:28" x14ac:dyDescent="0.35">
      <c r="B261" s="230">
        <f t="shared" si="12"/>
        <v>251</v>
      </c>
      <c r="C261" s="61"/>
      <c r="D261" s="248">
        <f>Table3.110[[#This Row],[Date]]</f>
        <v>46076</v>
      </c>
      <c r="E261" s="230" t="str">
        <f>Table3.110[[#This Row],[Requisitioner]]</f>
        <v>Genbank</v>
      </c>
      <c r="F261" s="230" t="str">
        <f>Table3.110[[#This Row],[Gene Bank ID]]</f>
        <v>CIAT-33119</v>
      </c>
      <c r="G261" s="230" t="str">
        <f>Table3.110[[#This Row],[Genus]]</f>
        <v>Dendrolobium</v>
      </c>
      <c r="H261" s="230" t="str">
        <f>Table3.110[[#This Row],[Species]]</f>
        <v>triangulare</v>
      </c>
      <c r="I261" s="230" t="str">
        <f>Table3.110[[#This Row],[Tax Name]]</f>
        <v>Dendrolobium triangulare</v>
      </c>
      <c r="J261" s="230" t="str">
        <f>Table3.110[[#This Row],[Family]]</f>
        <v>Fabaceae</v>
      </c>
      <c r="K261" s="230" t="str">
        <f>Table3.110[[#This Row],[Order]]</f>
        <v>Fabales</v>
      </c>
      <c r="L261" s="230" t="str">
        <f>Table3.110[[#This Row],[Functional Group]]</f>
        <v>Tree</v>
      </c>
      <c r="M261" s="230" t="str">
        <f>Table3.110[[#This Row],[CIAT ID]]</f>
        <v>F251746</v>
      </c>
      <c r="N261" s="230">
        <f>Table3.110[[#This Row],[Set CIAT]]</f>
        <v>27</v>
      </c>
      <c r="O261" s="230">
        <f>Table3.110[[#This Row],[Batch]]</f>
        <v>69</v>
      </c>
      <c r="P261" s="230">
        <f>Table3.110[[#This Row],[Run]]</f>
        <v>3</v>
      </c>
      <c r="Q261" s="230">
        <f>Table3.110[[#This Row],[Replication]]</f>
        <v>1</v>
      </c>
      <c r="R261" s="230">
        <f>Table3.110[[#This Row],[Syrange No]]</f>
        <v>113</v>
      </c>
      <c r="S261" s="265">
        <v>0.57569999999999999</v>
      </c>
      <c r="T261" s="265">
        <v>0.92190000000000005</v>
      </c>
      <c r="U261" s="108"/>
      <c r="V261" s="254">
        <f t="shared" si="13"/>
        <v>0.34620000000000006</v>
      </c>
      <c r="W261" s="61">
        <f>Table3.110[[#This Row],[DM Incubated, mg]]-('3.2 Digest'!V261*1000)</f>
        <v>130.23554724907711</v>
      </c>
      <c r="X261" s="61">
        <f>W261/Table3.110[[#This Row],[DM Incubated, mg]]*100</f>
        <v>27.335396781590454</v>
      </c>
      <c r="Y261" s="37">
        <f>Table3.1[[#This Row],[DM Incubated, mg]]*'2.4 NDF'!R47/100</f>
        <v>283.37606130610618</v>
      </c>
      <c r="Z261" s="37">
        <f t="shared" si="16"/>
        <v>-62.823938693893865</v>
      </c>
      <c r="AA261" s="37">
        <f t="shared" si="17"/>
        <v>-22.16981152336319</v>
      </c>
      <c r="AB261" s="89"/>
    </row>
    <row r="262" spans="2:28" x14ac:dyDescent="0.35">
      <c r="B262" s="230">
        <f t="shared" si="12"/>
        <v>252</v>
      </c>
      <c r="C262" s="61"/>
      <c r="D262" s="248">
        <f>Table3.110[[#This Row],[Date]]</f>
        <v>46076</v>
      </c>
      <c r="E262" s="230" t="str">
        <f>Table3.110[[#This Row],[Requisitioner]]</f>
        <v>Genbank</v>
      </c>
      <c r="F262" s="230" t="str">
        <f>Table3.110[[#This Row],[Gene Bank ID]]</f>
        <v>CIAT-33119</v>
      </c>
      <c r="G262" s="230" t="str">
        <f>Table3.110[[#This Row],[Genus]]</f>
        <v>Dendrolobium</v>
      </c>
      <c r="H262" s="230" t="str">
        <f>Table3.110[[#This Row],[Species]]</f>
        <v>triangulare</v>
      </c>
      <c r="I262" s="230" t="str">
        <f>Table3.110[[#This Row],[Tax Name]]</f>
        <v>Dendrolobium triangulare</v>
      </c>
      <c r="J262" s="230" t="str">
        <f>Table3.110[[#This Row],[Family]]</f>
        <v>Fabaceae</v>
      </c>
      <c r="K262" s="230" t="str">
        <f>Table3.110[[#This Row],[Order]]</f>
        <v>Fabales</v>
      </c>
      <c r="L262" s="230" t="str">
        <f>Table3.110[[#This Row],[Functional Group]]</f>
        <v>Tree</v>
      </c>
      <c r="M262" s="230" t="str">
        <f>Table3.110[[#This Row],[CIAT ID]]</f>
        <v>F251746</v>
      </c>
      <c r="N262" s="230">
        <f>Table3.110[[#This Row],[Set CIAT]]</f>
        <v>27</v>
      </c>
      <c r="O262" s="230">
        <f>Table3.110[[#This Row],[Batch]]</f>
        <v>69</v>
      </c>
      <c r="P262" s="230">
        <f>Table3.110[[#This Row],[Run]]</f>
        <v>3</v>
      </c>
      <c r="Q262" s="230">
        <f>Table3.110[[#This Row],[Replication]]</f>
        <v>2</v>
      </c>
      <c r="R262" s="230">
        <f>Table3.110[[#This Row],[Syrange No]]</f>
        <v>114</v>
      </c>
      <c r="S262" s="110">
        <v>0.56379999999999997</v>
      </c>
      <c r="T262" s="110">
        <v>0.87470000000000003</v>
      </c>
      <c r="U262" s="108"/>
      <c r="V262" s="254">
        <f t="shared" si="13"/>
        <v>0.31090000000000007</v>
      </c>
      <c r="W262" s="61">
        <f>Table3.110[[#This Row],[DM Incubated, mg]]-('3.2 Digest'!V262*1000)</f>
        <v>165.8214085774265</v>
      </c>
      <c r="X262" s="61">
        <f>W262/Table3.110[[#This Row],[DM Incubated, mg]]*100</f>
        <v>34.78371342127268</v>
      </c>
      <c r="Y262" s="37">
        <f>Table3.1[[#This Row],[DM Incubated, mg]]*'2.4 NDF'!R47/100</f>
        <v>283.54608694288987</v>
      </c>
      <c r="Z262" s="37">
        <f t="shared" si="16"/>
        <v>-27.353913057110219</v>
      </c>
      <c r="AA262" s="37">
        <f t="shared" si="17"/>
        <v>-9.6470783116889489</v>
      </c>
      <c r="AB262" s="89"/>
    </row>
    <row r="263" spans="2:28" x14ac:dyDescent="0.35">
      <c r="B263" s="230">
        <f t="shared" si="12"/>
        <v>253</v>
      </c>
      <c r="C263" s="61"/>
      <c r="D263" s="248">
        <f>Table3.110[[#This Row],[Date]]</f>
        <v>46076</v>
      </c>
      <c r="E263" s="230" t="str">
        <f>Table3.110[[#This Row],[Requisitioner]]</f>
        <v>Genbank</v>
      </c>
      <c r="F263" s="230" t="str">
        <f>Table3.110[[#This Row],[Gene Bank ID]]</f>
        <v>CIAT-33383</v>
      </c>
      <c r="G263" s="230" t="str">
        <f>Table3.110[[#This Row],[Genus]]</f>
        <v>Dendrolobium</v>
      </c>
      <c r="H263" s="230" t="str">
        <f>Table3.110[[#This Row],[Species]]</f>
        <v>sp.</v>
      </c>
      <c r="I263" s="230" t="str">
        <f>Table3.110[[#This Row],[Tax Name]]</f>
        <v>Dendrolobium sp.</v>
      </c>
      <c r="J263" s="230" t="str">
        <f>Table3.110[[#This Row],[Family]]</f>
        <v>Fabaceae</v>
      </c>
      <c r="K263" s="230" t="str">
        <f>Table3.110[[#This Row],[Order]]</f>
        <v>Fabales</v>
      </c>
      <c r="L263" s="230" t="str">
        <f>Table3.110[[#This Row],[Functional Group]]</f>
        <v>Tree</v>
      </c>
      <c r="M263" s="230" t="str">
        <f>Table3.110[[#This Row],[CIAT ID]]</f>
        <v>F251747</v>
      </c>
      <c r="N263" s="230">
        <f>Table3.110[[#This Row],[Set CIAT]]</f>
        <v>27</v>
      </c>
      <c r="O263" s="230">
        <f>Table3.110[[#This Row],[Batch]]</f>
        <v>69</v>
      </c>
      <c r="P263" s="230">
        <f>Table3.110[[#This Row],[Run]]</f>
        <v>3</v>
      </c>
      <c r="Q263" s="230">
        <f>Table3.110[[#This Row],[Replication]]</f>
        <v>1</v>
      </c>
      <c r="R263" s="230">
        <f>Table3.110[[#This Row],[Syrange No]]</f>
        <v>115</v>
      </c>
      <c r="S263" s="265">
        <v>0.5887</v>
      </c>
      <c r="T263" s="265">
        <v>0.9123</v>
      </c>
      <c r="U263" s="108"/>
      <c r="V263" s="254">
        <f t="shared" si="13"/>
        <v>0.3236</v>
      </c>
      <c r="W263" s="61">
        <f>Table3.110[[#This Row],[DM Incubated, mg]]-('3.2 Digest'!V263*1000)</f>
        <v>150.04182500000024</v>
      </c>
      <c r="X263" s="61">
        <f>W263/Table3.110[[#This Row],[DM Incubated, mg]]*100</f>
        <v>31.678330983544399</v>
      </c>
      <c r="Y263" s="37">
        <f>Table3.1[[#This Row],[DM Incubated, mg]]*'2.4 NDF'!R49/100</f>
        <v>283.03883952672425</v>
      </c>
      <c r="Z263" s="37">
        <f t="shared" si="16"/>
        <v>-40.561160473275777</v>
      </c>
      <c r="AA263" s="37">
        <f t="shared" si="17"/>
        <v>-14.330598776160553</v>
      </c>
      <c r="AB263" s="89"/>
    </row>
    <row r="264" spans="2:28" x14ac:dyDescent="0.35">
      <c r="B264" s="230">
        <f t="shared" si="12"/>
        <v>254</v>
      </c>
      <c r="C264" s="61"/>
      <c r="D264" s="248">
        <f>Table3.110[[#This Row],[Date]]</f>
        <v>46076</v>
      </c>
      <c r="E264" s="230" t="str">
        <f>Table3.110[[#This Row],[Requisitioner]]</f>
        <v>Genbank</v>
      </c>
      <c r="F264" s="230" t="str">
        <f>Table3.110[[#This Row],[Gene Bank ID]]</f>
        <v>CIAT-33383</v>
      </c>
      <c r="G264" s="230" t="str">
        <f>Table3.110[[#This Row],[Genus]]</f>
        <v>Dendrolobium</v>
      </c>
      <c r="H264" s="230" t="str">
        <f>Table3.110[[#This Row],[Species]]</f>
        <v>sp.</v>
      </c>
      <c r="I264" s="230" t="str">
        <f>Table3.110[[#This Row],[Tax Name]]</f>
        <v>Dendrolobium sp.</v>
      </c>
      <c r="J264" s="230" t="str">
        <f>Table3.110[[#This Row],[Family]]</f>
        <v>Fabaceae</v>
      </c>
      <c r="K264" s="230" t="str">
        <f>Table3.110[[#This Row],[Order]]</f>
        <v>Fabales</v>
      </c>
      <c r="L264" s="230" t="str">
        <f>Table3.110[[#This Row],[Functional Group]]</f>
        <v>Tree</v>
      </c>
      <c r="M264" s="230" t="str">
        <f>Table3.110[[#This Row],[CIAT ID]]</f>
        <v>F251747</v>
      </c>
      <c r="N264" s="230">
        <f>Table3.110[[#This Row],[Set CIAT]]</f>
        <v>27</v>
      </c>
      <c r="O264" s="230">
        <f>Table3.110[[#This Row],[Batch]]</f>
        <v>69</v>
      </c>
      <c r="P264" s="230">
        <f>Table3.110[[#This Row],[Run]]</f>
        <v>3</v>
      </c>
      <c r="Q264" s="230">
        <f>Table3.110[[#This Row],[Replication]]</f>
        <v>2</v>
      </c>
      <c r="R264" s="230">
        <f>Table3.110[[#This Row],[Syrange No]]</f>
        <v>116</v>
      </c>
      <c r="S264" s="110">
        <v>0.55820000000000003</v>
      </c>
      <c r="T264" s="110">
        <v>0.86160000000000003</v>
      </c>
      <c r="U264" s="108"/>
      <c r="V264" s="254">
        <f t="shared" si="13"/>
        <v>0.3034</v>
      </c>
      <c r="W264" s="61">
        <f>Table3.110[[#This Row],[DM Incubated, mg]]-('3.2 Digest'!V264*1000)</f>
        <v>169.95781031381205</v>
      </c>
      <c r="X264" s="61">
        <f>W264/Table3.110[[#This Row],[DM Incubated, mg]]*100</f>
        <v>35.904722941222559</v>
      </c>
      <c r="Y264" s="37">
        <f>Table3.1[[#This Row],[DM Incubated, mg]]*'2.4 NDF'!R49/100</f>
        <v>282.86911805589068</v>
      </c>
      <c r="Z264" s="37">
        <f t="shared" si="16"/>
        <v>-20.530881944109296</v>
      </c>
      <c r="AA264" s="37">
        <f t="shared" si="17"/>
        <v>-7.2580853241295511</v>
      </c>
      <c r="AB264" s="89"/>
    </row>
    <row r="265" spans="2:28" x14ac:dyDescent="0.35">
      <c r="B265" s="230">
        <f t="shared" si="12"/>
        <v>255</v>
      </c>
      <c r="C265" s="61"/>
      <c r="D265" s="248">
        <f>Table3.110[[#This Row],[Date]]</f>
        <v>46076</v>
      </c>
      <c r="E265" s="230" t="str">
        <f>Table3.110[[#This Row],[Requisitioner]]</f>
        <v>Genbank</v>
      </c>
      <c r="F265" s="230" t="str">
        <f>Table3.110[[#This Row],[Gene Bank ID]]</f>
        <v>CIAT-33402</v>
      </c>
      <c r="G265" s="230" t="str">
        <f>Table3.110[[#This Row],[Genus]]</f>
        <v>Dendrolobium</v>
      </c>
      <c r="H265" s="230" t="str">
        <f>Table3.110[[#This Row],[Species]]</f>
        <v>triangulare</v>
      </c>
      <c r="I265" s="230" t="str">
        <f>Table3.110[[#This Row],[Tax Name]]</f>
        <v>Dendrolobium triangulare</v>
      </c>
      <c r="J265" s="230" t="str">
        <f>Table3.110[[#This Row],[Family]]</f>
        <v>Fabaceae</v>
      </c>
      <c r="K265" s="230" t="str">
        <f>Table3.110[[#This Row],[Order]]</f>
        <v>Fabales</v>
      </c>
      <c r="L265" s="230" t="str">
        <f>Table3.110[[#This Row],[Functional Group]]</f>
        <v>Tree</v>
      </c>
      <c r="M265" s="230" t="str">
        <f>Table3.110[[#This Row],[CIAT ID]]</f>
        <v>F251748</v>
      </c>
      <c r="N265" s="230">
        <f>Table3.110[[#This Row],[Set CIAT]]</f>
        <v>27</v>
      </c>
      <c r="O265" s="230">
        <f>Table3.110[[#This Row],[Batch]]</f>
        <v>69</v>
      </c>
      <c r="P265" s="230">
        <f>Table3.110[[#This Row],[Run]]</f>
        <v>3</v>
      </c>
      <c r="Q265" s="230">
        <f>Table3.110[[#This Row],[Replication]]</f>
        <v>1</v>
      </c>
      <c r="R265" s="230">
        <f>Table3.110[[#This Row],[Syrange No]]</f>
        <v>117</v>
      </c>
      <c r="S265" s="265">
        <v>0.59599999999999997</v>
      </c>
      <c r="T265" s="265">
        <v>0.93020000000000003</v>
      </c>
      <c r="U265" s="108"/>
      <c r="V265" s="254">
        <f t="shared" si="13"/>
        <v>0.33420000000000005</v>
      </c>
      <c r="W265" s="61">
        <f>Table3.110[[#This Row],[DM Incubated, mg]]-('3.2 Digest'!V265*1000)</f>
        <v>139.33798255593132</v>
      </c>
      <c r="X265" s="61">
        <f>W265/Table3.110[[#This Row],[DM Incubated, mg]]*100</f>
        <v>29.424879880564507</v>
      </c>
      <c r="Y265" s="37">
        <f>Table3.1[[#This Row],[DM Incubated, mg]]*'2.4 NDF'!R51/100</f>
        <v>284.55559905195435</v>
      </c>
      <c r="Z265" s="37">
        <f t="shared" si="16"/>
        <v>-49.6444009480457</v>
      </c>
      <c r="AA265" s="37">
        <f t="shared" si="17"/>
        <v>-17.446292082617425</v>
      </c>
      <c r="AB265" s="89"/>
    </row>
    <row r="266" spans="2:28" x14ac:dyDescent="0.35">
      <c r="B266" s="230">
        <f t="shared" si="12"/>
        <v>256</v>
      </c>
      <c r="C266" s="61"/>
      <c r="D266" s="248">
        <f>Table3.110[[#This Row],[Date]]</f>
        <v>46076</v>
      </c>
      <c r="E266" s="230" t="str">
        <f>Table3.110[[#This Row],[Requisitioner]]</f>
        <v>Genbank</v>
      </c>
      <c r="F266" s="230" t="str">
        <f>Table3.110[[#This Row],[Gene Bank ID]]</f>
        <v>CIAT-33402</v>
      </c>
      <c r="G266" s="230" t="str">
        <f>Table3.110[[#This Row],[Genus]]</f>
        <v>Dendrolobium</v>
      </c>
      <c r="H266" s="230" t="str">
        <f>Table3.110[[#This Row],[Species]]</f>
        <v>triangulare</v>
      </c>
      <c r="I266" s="230" t="str">
        <f>Table3.110[[#This Row],[Tax Name]]</f>
        <v>Dendrolobium triangulare</v>
      </c>
      <c r="J266" s="230" t="str">
        <f>Table3.110[[#This Row],[Family]]</f>
        <v>Fabaceae</v>
      </c>
      <c r="K266" s="230" t="str">
        <f>Table3.110[[#This Row],[Order]]</f>
        <v>Fabales</v>
      </c>
      <c r="L266" s="230" t="str">
        <f>Table3.110[[#This Row],[Functional Group]]</f>
        <v>Tree</v>
      </c>
      <c r="M266" s="230" t="str">
        <f>Table3.110[[#This Row],[CIAT ID]]</f>
        <v>F251748</v>
      </c>
      <c r="N266" s="230">
        <f>Table3.110[[#This Row],[Set CIAT]]</f>
        <v>27</v>
      </c>
      <c r="O266" s="230">
        <f>Table3.110[[#This Row],[Batch]]</f>
        <v>69</v>
      </c>
      <c r="P266" s="230">
        <f>Table3.110[[#This Row],[Run]]</f>
        <v>3</v>
      </c>
      <c r="Q266" s="230">
        <f>Table3.110[[#This Row],[Replication]]</f>
        <v>2</v>
      </c>
      <c r="R266" s="230">
        <f>Table3.110[[#This Row],[Syrange No]]</f>
        <v>118</v>
      </c>
      <c r="S266" s="110">
        <v>0.56779999999999997</v>
      </c>
      <c r="T266" s="110">
        <v>0.87170000000000003</v>
      </c>
      <c r="U266" s="108"/>
      <c r="V266" s="254">
        <f t="shared" si="13"/>
        <v>0.30390000000000006</v>
      </c>
      <c r="W266" s="61">
        <f>Table3.110[[#This Row],[DM Incubated, mg]]-('3.2 Digest'!V266*1000)</f>
        <v>169.73261444692969</v>
      </c>
      <c r="X266" s="61">
        <f>W266/Table3.110[[#This Row],[DM Incubated, mg]]*100</f>
        <v>35.836344303512512</v>
      </c>
      <c r="Y266" s="37">
        <f>Table3.1[[#This Row],[DM Incubated, mg]]*'2.4 NDF'!R51/100</f>
        <v>284.61246467926287</v>
      </c>
      <c r="Z266" s="37">
        <f t="shared" si="16"/>
        <v>-19.287535320737163</v>
      </c>
      <c r="AA266" s="37">
        <f t="shared" si="17"/>
        <v>-6.776771123665573</v>
      </c>
      <c r="AB266" s="89"/>
    </row>
    <row r="267" spans="2:28" x14ac:dyDescent="0.35">
      <c r="B267" s="230">
        <f t="shared" si="12"/>
        <v>257</v>
      </c>
      <c r="C267" s="61"/>
      <c r="D267" s="248">
        <f>Table3.110[[#This Row],[Date]]</f>
        <v>46076</v>
      </c>
      <c r="E267" s="230" t="str">
        <f>Table3.110[[#This Row],[Requisitioner]]</f>
        <v>Genbank</v>
      </c>
      <c r="F267" s="230" t="str">
        <f>Table3.110[[#This Row],[Gene Bank ID]]</f>
        <v>CIAT-33508</v>
      </c>
      <c r="G267" s="230" t="str">
        <f>Table3.110[[#This Row],[Genus]]</f>
        <v>Dendrolobium</v>
      </c>
      <c r="H267" s="230" t="str">
        <f>Table3.110[[#This Row],[Species]]</f>
        <v>umbellatum</v>
      </c>
      <c r="I267" s="230" t="str">
        <f>Table3.110[[#This Row],[Tax Name]]</f>
        <v>Dendrolobium umbellatum</v>
      </c>
      <c r="J267" s="230" t="str">
        <f>Table3.110[[#This Row],[Family]]</f>
        <v>Fabaceae</v>
      </c>
      <c r="K267" s="230" t="str">
        <f>Table3.110[[#This Row],[Order]]</f>
        <v>Fabales</v>
      </c>
      <c r="L267" s="230" t="str">
        <f>Table3.110[[#This Row],[Functional Group]]</f>
        <v>Tree</v>
      </c>
      <c r="M267" s="230" t="str">
        <f>Table3.110[[#This Row],[CIAT ID]]</f>
        <v>F251749</v>
      </c>
      <c r="N267" s="230">
        <f>Table3.110[[#This Row],[Set CIAT]]</f>
        <v>27</v>
      </c>
      <c r="O267" s="230">
        <f>Table3.110[[#This Row],[Batch]]</f>
        <v>69</v>
      </c>
      <c r="P267" s="230">
        <f>Table3.110[[#This Row],[Run]]</f>
        <v>3</v>
      </c>
      <c r="Q267" s="230">
        <f>Table3.110[[#This Row],[Replication]]</f>
        <v>1</v>
      </c>
      <c r="R267" s="230">
        <f>Table3.110[[#This Row],[Syrange No]]</f>
        <v>119</v>
      </c>
      <c r="S267" s="265">
        <v>0.56299999999999994</v>
      </c>
      <c r="T267" s="265">
        <v>0.89170000000000005</v>
      </c>
      <c r="U267" s="108"/>
      <c r="V267" s="254">
        <f t="shared" si="13"/>
        <v>0.3287000000000001</v>
      </c>
      <c r="W267" s="61">
        <f>Table3.110[[#This Row],[DM Incubated, mg]]-('3.2 Digest'!V267*1000)</f>
        <v>140.49996717962921</v>
      </c>
      <c r="X267" s="61">
        <f>W267/Table3.110[[#This Row],[DM Incubated, mg]]*100</f>
        <v>29.944581629913024</v>
      </c>
      <c r="Y267" s="37">
        <f>Table3.1[[#This Row],[DM Incubated, mg]]*'2.4 NDF'!R53/100</f>
        <v>273.8318580683582</v>
      </c>
      <c r="Z267" s="37">
        <f t="shared" si="16"/>
        <v>-54.868141931641901</v>
      </c>
      <c r="AA267" s="37">
        <f t="shared" si="17"/>
        <v>-20.037165258523299</v>
      </c>
      <c r="AB267" s="89"/>
    </row>
    <row r="268" spans="2:28" x14ac:dyDescent="0.35">
      <c r="B268" s="230">
        <f t="shared" si="12"/>
        <v>258</v>
      </c>
      <c r="C268" s="61"/>
      <c r="D268" s="248">
        <f>Table3.110[[#This Row],[Date]]</f>
        <v>46076</v>
      </c>
      <c r="E268" s="230" t="str">
        <f>Table3.110[[#This Row],[Requisitioner]]</f>
        <v>Genbank</v>
      </c>
      <c r="F268" s="230" t="str">
        <f>Table3.110[[#This Row],[Gene Bank ID]]</f>
        <v>CIAT-33508</v>
      </c>
      <c r="G268" s="230" t="str">
        <f>Table3.110[[#This Row],[Genus]]</f>
        <v>Dendrolobium</v>
      </c>
      <c r="H268" s="230" t="str">
        <f>Table3.110[[#This Row],[Species]]</f>
        <v>umbellatum</v>
      </c>
      <c r="I268" s="230" t="str">
        <f>Table3.110[[#This Row],[Tax Name]]</f>
        <v>Dendrolobium umbellatum</v>
      </c>
      <c r="J268" s="230" t="str">
        <f>Table3.110[[#This Row],[Family]]</f>
        <v>Fabaceae</v>
      </c>
      <c r="K268" s="230" t="str">
        <f>Table3.110[[#This Row],[Order]]</f>
        <v>Fabales</v>
      </c>
      <c r="L268" s="230" t="str">
        <f>Table3.110[[#This Row],[Functional Group]]</f>
        <v>Tree</v>
      </c>
      <c r="M268" s="230" t="str">
        <f>Table3.110[[#This Row],[CIAT ID]]</f>
        <v>F251749</v>
      </c>
      <c r="N268" s="230">
        <f>Table3.110[[#This Row],[Set CIAT]]</f>
        <v>27</v>
      </c>
      <c r="O268" s="230">
        <f>Table3.110[[#This Row],[Batch]]</f>
        <v>69</v>
      </c>
      <c r="P268" s="230">
        <f>Table3.110[[#This Row],[Run]]</f>
        <v>3</v>
      </c>
      <c r="Q268" s="230">
        <f>Table3.110[[#This Row],[Replication]]</f>
        <v>2</v>
      </c>
      <c r="R268" s="230">
        <f>Table3.110[[#This Row],[Syrange No]]</f>
        <v>120</v>
      </c>
      <c r="S268" s="110">
        <v>0.59489999999999998</v>
      </c>
      <c r="T268" s="110">
        <v>0.91479999999999995</v>
      </c>
      <c r="U268" s="108"/>
      <c r="V268" s="254">
        <f t="shared" si="13"/>
        <v>0.31989999999999996</v>
      </c>
      <c r="W268" s="61">
        <f>Table3.110[[#This Row],[DM Incubated, mg]]-('3.2 Digest'!V268*1000)</f>
        <v>149.29996717962933</v>
      </c>
      <c r="X268" s="61">
        <f>W268/Table3.110[[#This Row],[DM Incubated, mg]]*100</f>
        <v>31.820114582930287</v>
      </c>
      <c r="Y268" s="37">
        <f>Table3.1[[#This Row],[DM Incubated, mg]]*'2.4 NDF'!R53/100</f>
        <v>273.8318580683582</v>
      </c>
      <c r="Z268" s="37">
        <f t="shared" si="16"/>
        <v>-46.068141931641776</v>
      </c>
      <c r="AA268" s="37">
        <f t="shared" si="17"/>
        <v>-16.823514348042558</v>
      </c>
      <c r="AB268" s="89"/>
    </row>
    <row r="269" spans="2:28" x14ac:dyDescent="0.35">
      <c r="B269" s="230">
        <f t="shared" si="12"/>
        <v>259</v>
      </c>
      <c r="C269" s="61"/>
      <c r="D269" s="248">
        <f>Table3.110[[#This Row],[Date]]</f>
        <v>46076</v>
      </c>
      <c r="E269" s="230" t="str">
        <f>Table3.110[[#This Row],[Requisitioner]]</f>
        <v>Genbank</v>
      </c>
      <c r="F269" s="230" t="str">
        <f>Table3.110[[#This Row],[Gene Bank ID]]</f>
        <v>CIAT-33515</v>
      </c>
      <c r="G269" s="230" t="str">
        <f>Table3.110[[#This Row],[Genus]]</f>
        <v>Dendrolobium</v>
      </c>
      <c r="H269" s="230" t="str">
        <f>Table3.110[[#This Row],[Species]]</f>
        <v>triangulare</v>
      </c>
      <c r="I269" s="230" t="str">
        <f>Table3.110[[#This Row],[Tax Name]]</f>
        <v>Dendrolobium triangulare</v>
      </c>
      <c r="J269" s="230" t="str">
        <f>Table3.110[[#This Row],[Family]]</f>
        <v>Fabaceae</v>
      </c>
      <c r="K269" s="230" t="str">
        <f>Table3.110[[#This Row],[Order]]</f>
        <v>Fabales</v>
      </c>
      <c r="L269" s="230" t="str">
        <f>Table3.110[[#This Row],[Functional Group]]</f>
        <v>Tree</v>
      </c>
      <c r="M269" s="230" t="str">
        <f>Table3.110[[#This Row],[CIAT ID]]</f>
        <v>F251750</v>
      </c>
      <c r="N269" s="230">
        <f>Table3.110[[#This Row],[Set CIAT]]</f>
        <v>27</v>
      </c>
      <c r="O269" s="230">
        <f>Table3.110[[#This Row],[Batch]]</f>
        <v>69</v>
      </c>
      <c r="P269" s="230">
        <f>Table3.110[[#This Row],[Run]]</f>
        <v>3</v>
      </c>
      <c r="Q269" s="230">
        <f>Table3.110[[#This Row],[Replication]]</f>
        <v>1</v>
      </c>
      <c r="R269" s="230">
        <f>Table3.110[[#This Row],[Syrange No]]</f>
        <v>121</v>
      </c>
      <c r="S269" s="265">
        <v>0.59460000000000002</v>
      </c>
      <c r="T269" s="265">
        <v>1.0121</v>
      </c>
      <c r="U269" s="108"/>
      <c r="V269" s="254">
        <f t="shared" si="13"/>
        <v>0.41749999999999998</v>
      </c>
      <c r="W269" s="61">
        <f>Table3.110[[#This Row],[DM Incubated, mg]]-('3.2 Digest'!V269*1000)</f>
        <v>49.741770494851721</v>
      </c>
      <c r="X269" s="61">
        <f>W269/Table3.110[[#This Row],[DM Incubated, mg]]*100</f>
        <v>10.645831266791632</v>
      </c>
      <c r="Y269" s="37">
        <f>Table3.1[[#This Row],[DM Incubated, mg]]*'2.4 NDF'!R55/100</f>
        <v>295.84622695224027</v>
      </c>
      <c r="Z269" s="37">
        <f t="shared" si="16"/>
        <v>-121.65377304775973</v>
      </c>
      <c r="AA269" s="37">
        <f t="shared" si="17"/>
        <v>-41.120609953696928</v>
      </c>
      <c r="AB269" s="89"/>
    </row>
    <row r="270" spans="2:28" x14ac:dyDescent="0.35">
      <c r="B270" s="230">
        <f t="shared" si="12"/>
        <v>260</v>
      </c>
      <c r="C270" s="61"/>
      <c r="D270" s="248">
        <f>Table3.110[[#This Row],[Date]]</f>
        <v>46076</v>
      </c>
      <c r="E270" s="230" t="str">
        <f>Table3.110[[#This Row],[Requisitioner]]</f>
        <v>Genbank</v>
      </c>
      <c r="F270" s="230" t="str">
        <f>Table3.110[[#This Row],[Gene Bank ID]]</f>
        <v>CIAT-33515</v>
      </c>
      <c r="G270" s="230" t="str">
        <f>Table3.110[[#This Row],[Genus]]</f>
        <v>Dendrolobium</v>
      </c>
      <c r="H270" s="230" t="str">
        <f>Table3.110[[#This Row],[Species]]</f>
        <v>triangulare</v>
      </c>
      <c r="I270" s="230" t="str">
        <f>Table3.110[[#This Row],[Tax Name]]</f>
        <v>Dendrolobium triangulare</v>
      </c>
      <c r="J270" s="230" t="str">
        <f>Table3.110[[#This Row],[Family]]</f>
        <v>Fabaceae</v>
      </c>
      <c r="K270" s="230" t="str">
        <f>Table3.110[[#This Row],[Order]]</f>
        <v>Fabales</v>
      </c>
      <c r="L270" s="230" t="str">
        <f>Table3.110[[#This Row],[Functional Group]]</f>
        <v>Tree</v>
      </c>
      <c r="M270" s="230" t="str">
        <f>Table3.110[[#This Row],[CIAT ID]]</f>
        <v>F251750</v>
      </c>
      <c r="N270" s="230">
        <f>Table3.110[[#This Row],[Set CIAT]]</f>
        <v>27</v>
      </c>
      <c r="O270" s="230">
        <f>Table3.110[[#This Row],[Batch]]</f>
        <v>69</v>
      </c>
      <c r="P270" s="230">
        <f>Table3.110[[#This Row],[Run]]</f>
        <v>3</v>
      </c>
      <c r="Q270" s="230">
        <f>Table3.110[[#This Row],[Replication]]</f>
        <v>2</v>
      </c>
      <c r="R270" s="230">
        <f>Table3.110[[#This Row],[Syrange No]]</f>
        <v>122</v>
      </c>
      <c r="S270" s="241">
        <v>0.58740000000000003</v>
      </c>
      <c r="T270" s="241">
        <v>0.96220000000000006</v>
      </c>
      <c r="U270" s="108"/>
      <c r="V270" s="254">
        <f t="shared" ref="V270:V290" si="18">T270-S270</f>
        <v>0.37480000000000002</v>
      </c>
      <c r="W270" s="61">
        <f>Table3.110[[#This Row],[DM Incubated, mg]]-('3.2 Digest'!V270*1000)</f>
        <v>92.628592474257857</v>
      </c>
      <c r="X270" s="61">
        <f>W270/Table3.110[[#This Row],[DM Incubated, mg]]*100</f>
        <v>19.816629527077779</v>
      </c>
      <c r="Y270" s="37">
        <f>Table3.1[[#This Row],[DM Incubated, mg]]*'2.4 NDF'!R55/100</f>
        <v>295.96451812655147</v>
      </c>
      <c r="Z270" s="37">
        <f t="shared" si="16"/>
        <v>-78.835481873448543</v>
      </c>
      <c r="AA270" s="37">
        <f t="shared" si="17"/>
        <v>-26.636801726259389</v>
      </c>
      <c r="AB270" s="109"/>
    </row>
    <row r="271" spans="2:28" x14ac:dyDescent="0.35">
      <c r="B271" s="230">
        <f t="shared" si="12"/>
        <v>261</v>
      </c>
      <c r="C271" s="61"/>
      <c r="D271" s="248">
        <f>Table3.110[[#This Row],[Date]]</f>
        <v>46076</v>
      </c>
      <c r="E271" s="230" t="str">
        <f>Table3.110[[#This Row],[Requisitioner]]</f>
        <v>Genbank</v>
      </c>
      <c r="F271" s="230" t="str">
        <f>Table3.110[[#This Row],[Gene Bank ID]]</f>
        <v>CIAT-7353</v>
      </c>
      <c r="G271" s="230" t="str">
        <f>Table3.110[[#This Row],[Genus]]</f>
        <v>Prosopis</v>
      </c>
      <c r="H271" s="230" t="str">
        <f>Table3.110[[#This Row],[Species]]</f>
        <v>juliflora</v>
      </c>
      <c r="I271" s="230" t="str">
        <f>Table3.110[[#This Row],[Tax Name]]</f>
        <v>Prosopis juliflora</v>
      </c>
      <c r="J271" s="230" t="str">
        <f>Table3.110[[#This Row],[Family]]</f>
        <v>Fabaceae</v>
      </c>
      <c r="K271" s="230" t="str">
        <f>Table3.110[[#This Row],[Order]]</f>
        <v>Fabales</v>
      </c>
      <c r="L271" s="230" t="str">
        <f>Table3.110[[#This Row],[Functional Group]]</f>
        <v>Tree</v>
      </c>
      <c r="M271" s="230" t="str">
        <f>Table3.110[[#This Row],[CIAT ID]]</f>
        <v>F251751</v>
      </c>
      <c r="N271" s="230">
        <f>Table3.110[[#This Row],[Set CIAT]]</f>
        <v>27</v>
      </c>
      <c r="O271" s="230">
        <f>Table3.110[[#This Row],[Batch]]</f>
        <v>69</v>
      </c>
      <c r="P271" s="230">
        <f>Table3.110[[#This Row],[Run]]</f>
        <v>3</v>
      </c>
      <c r="Q271" s="230">
        <f>Table3.110[[#This Row],[Replication]]</f>
        <v>1</v>
      </c>
      <c r="R271" s="230">
        <f>Table3.110[[#This Row],[Syrange No]]</f>
        <v>123</v>
      </c>
      <c r="S271" s="241">
        <v>0.57720000000000005</v>
      </c>
      <c r="T271" s="241">
        <v>0.90149999999999997</v>
      </c>
      <c r="U271" s="108"/>
      <c r="V271" s="254">
        <f t="shared" si="18"/>
        <v>0.32429999999999992</v>
      </c>
      <c r="W271" s="61">
        <f>Table3.110[[#This Row],[DM Incubated, mg]]-('3.2 Digest'!V271*1000)</f>
        <v>148.83308729697552</v>
      </c>
      <c r="X271" s="61">
        <f>W271/Table3.110[[#This Row],[DM Incubated, mg]]*100</f>
        <v>31.456917998963835</v>
      </c>
      <c r="Y271" s="37">
        <f>Table3.1[[#This Row],[DM Incubated, mg]]*'2.4 NDF'!R57/100</f>
        <v>219.17640672709589</v>
      </c>
      <c r="Z271" s="37">
        <f t="shared" si="16"/>
        <v>-105.123593272904</v>
      </c>
      <c r="AA271" s="37">
        <f t="shared" si="17"/>
        <v>-47.963006074735503</v>
      </c>
      <c r="AB271" s="109"/>
    </row>
    <row r="272" spans="2:28" x14ac:dyDescent="0.35">
      <c r="B272" s="230">
        <f t="shared" si="12"/>
        <v>262</v>
      </c>
      <c r="C272" s="61"/>
      <c r="D272" s="248">
        <f>Table3.110[[#This Row],[Date]]</f>
        <v>46076</v>
      </c>
      <c r="E272" s="230" t="str">
        <f>Table3.110[[#This Row],[Requisitioner]]</f>
        <v>Genbank</v>
      </c>
      <c r="F272" s="230" t="str">
        <f>Table3.110[[#This Row],[Gene Bank ID]]</f>
        <v>CIAT-7353</v>
      </c>
      <c r="G272" s="230" t="str">
        <f>Table3.110[[#This Row],[Genus]]</f>
        <v>Prosopis</v>
      </c>
      <c r="H272" s="230" t="str">
        <f>Table3.110[[#This Row],[Species]]</f>
        <v>juliflora</v>
      </c>
      <c r="I272" s="230" t="str">
        <f>Table3.110[[#This Row],[Tax Name]]</f>
        <v>Prosopis juliflora</v>
      </c>
      <c r="J272" s="230" t="str">
        <f>Table3.110[[#This Row],[Family]]</f>
        <v>Fabaceae</v>
      </c>
      <c r="K272" s="230" t="str">
        <f>Table3.110[[#This Row],[Order]]</f>
        <v>Fabales</v>
      </c>
      <c r="L272" s="230" t="str">
        <f>Table3.110[[#This Row],[Functional Group]]</f>
        <v>Tree</v>
      </c>
      <c r="M272" s="230" t="str">
        <f>Table3.110[[#This Row],[CIAT ID]]</f>
        <v>F251751</v>
      </c>
      <c r="N272" s="230">
        <f>Table3.110[[#This Row],[Set CIAT]]</f>
        <v>27</v>
      </c>
      <c r="O272" s="230">
        <f>Table3.110[[#This Row],[Batch]]</f>
        <v>69</v>
      </c>
      <c r="P272" s="230">
        <f>Table3.110[[#This Row],[Run]]</f>
        <v>3</v>
      </c>
      <c r="Q272" s="230">
        <f>Table3.110[[#This Row],[Replication]]</f>
        <v>2</v>
      </c>
      <c r="R272" s="230">
        <f>Table3.110[[#This Row],[Syrange No]]</f>
        <v>124</v>
      </c>
      <c r="S272" s="110">
        <v>0.58289999999999997</v>
      </c>
      <c r="T272" s="110">
        <v>0.84499999999999997</v>
      </c>
      <c r="U272" s="108"/>
      <c r="V272" s="254">
        <f t="shared" si="18"/>
        <v>0.2621</v>
      </c>
      <c r="W272" s="61">
        <f>Table3.110[[#This Row],[DM Incubated, mg]]-('3.2 Digest'!V272*1000)</f>
        <v>211.12771391443471</v>
      </c>
      <c r="X272" s="61">
        <f>W272/Table3.110[[#This Row],[DM Incubated, mg]]*100</f>
        <v>44.614401842198347</v>
      </c>
      <c r="Y272" s="37">
        <f>Table3.1[[#This Row],[DM Incubated, mg]]*'2.4 NDF'!R57/100</f>
        <v>219.22024200844126</v>
      </c>
      <c r="Z272" s="37">
        <f t="shared" si="16"/>
        <v>-42.879757991558762</v>
      </c>
      <c r="AA272" s="37">
        <f t="shared" si="17"/>
        <v>-19.56012711175989</v>
      </c>
      <c r="AB272" s="89"/>
    </row>
    <row r="273" spans="2:28" x14ac:dyDescent="0.35">
      <c r="B273" s="230">
        <f t="shared" si="12"/>
        <v>263</v>
      </c>
      <c r="C273" s="61"/>
      <c r="D273" s="248">
        <f>Table3.110[[#This Row],[Date]]</f>
        <v>46076</v>
      </c>
      <c r="E273" s="230" t="str">
        <f>Table3.110[[#This Row],[Requisitioner]]</f>
        <v>Genbank</v>
      </c>
      <c r="F273" s="230" t="str">
        <f>Table3.110[[#This Row],[Gene Bank ID]]</f>
        <v>CIAT-7976</v>
      </c>
      <c r="G273" s="230" t="str">
        <f>Table3.110[[#This Row],[Genus]]</f>
        <v>Cassia</v>
      </c>
      <c r="H273" s="230" t="str">
        <f>Table3.110[[#This Row],[Species]]</f>
        <v>sp.</v>
      </c>
      <c r="I273" s="230" t="str">
        <f>Table3.110[[#This Row],[Tax Name]]</f>
        <v>Cassia sp.</v>
      </c>
      <c r="J273" s="230" t="str">
        <f>Table3.110[[#This Row],[Family]]</f>
        <v>Fabaceae</v>
      </c>
      <c r="K273" s="230" t="str">
        <f>Table3.110[[#This Row],[Order]]</f>
        <v>Fabales</v>
      </c>
      <c r="L273" s="230" t="str">
        <f>Table3.110[[#This Row],[Functional Group]]</f>
        <v>Tree</v>
      </c>
      <c r="M273" s="230" t="str">
        <f>Table3.110[[#This Row],[CIAT ID]]</f>
        <v>F251752</v>
      </c>
      <c r="N273" s="230">
        <f>Table3.110[[#This Row],[Set CIAT]]</f>
        <v>27</v>
      </c>
      <c r="O273" s="230">
        <f>Table3.110[[#This Row],[Batch]]</f>
        <v>69</v>
      </c>
      <c r="P273" s="230">
        <f>Table3.110[[#This Row],[Run]]</f>
        <v>3</v>
      </c>
      <c r="Q273" s="230">
        <f>Table3.110[[#This Row],[Replication]]</f>
        <v>1</v>
      </c>
      <c r="R273" s="230">
        <f>Table3.110[[#This Row],[Syrange No]]</f>
        <v>125</v>
      </c>
      <c r="S273" s="265">
        <v>0.59499999999999997</v>
      </c>
      <c r="T273" s="265">
        <v>0.92689999999999995</v>
      </c>
      <c r="U273" s="108"/>
      <c r="V273" s="254">
        <f t="shared" si="18"/>
        <v>0.33189999999999997</v>
      </c>
      <c r="W273" s="61">
        <f>Table3.110[[#This Row],[DM Incubated, mg]]-('3.2 Digest'!V273*1000)</f>
        <v>135.3749921740125</v>
      </c>
      <c r="X273" s="61">
        <f>W273/Table3.110[[#This Row],[DM Incubated, mg]]*100</f>
        <v>28.971161402020645</v>
      </c>
      <c r="Y273" s="37">
        <f>Table3.1[[#This Row],[DM Incubated, mg]]*'2.4 NDF'!R59/100</f>
        <v>234.17855600142687</v>
      </c>
      <c r="Z273" s="37">
        <f t="shared" si="16"/>
        <v>-97.721443998573108</v>
      </c>
      <c r="AA273" s="37">
        <f t="shared" si="17"/>
        <v>-41.729458780153074</v>
      </c>
      <c r="AB273" s="89"/>
    </row>
    <row r="274" spans="2:28" x14ac:dyDescent="0.35">
      <c r="B274" s="230">
        <f t="shared" si="12"/>
        <v>264</v>
      </c>
      <c r="C274" s="61"/>
      <c r="D274" s="248">
        <f>Table3.110[[#This Row],[Date]]</f>
        <v>46076</v>
      </c>
      <c r="E274" s="230" t="str">
        <f>Table3.110[[#This Row],[Requisitioner]]</f>
        <v>Genbank</v>
      </c>
      <c r="F274" s="230" t="str">
        <f>Table3.110[[#This Row],[Gene Bank ID]]</f>
        <v>CIAT-7976</v>
      </c>
      <c r="G274" s="230" t="str">
        <f>Table3.110[[#This Row],[Genus]]</f>
        <v>Cassia</v>
      </c>
      <c r="H274" s="230" t="str">
        <f>Table3.110[[#This Row],[Species]]</f>
        <v>sp.</v>
      </c>
      <c r="I274" s="230" t="str">
        <f>Table3.110[[#This Row],[Tax Name]]</f>
        <v>Cassia sp.</v>
      </c>
      <c r="J274" s="230" t="str">
        <f>Table3.110[[#This Row],[Family]]</f>
        <v>Fabaceae</v>
      </c>
      <c r="K274" s="230" t="str">
        <f>Table3.110[[#This Row],[Order]]</f>
        <v>Fabales</v>
      </c>
      <c r="L274" s="230" t="str">
        <f>Table3.110[[#This Row],[Functional Group]]</f>
        <v>Tree</v>
      </c>
      <c r="M274" s="230" t="str">
        <f>Table3.110[[#This Row],[CIAT ID]]</f>
        <v>F251752</v>
      </c>
      <c r="N274" s="230">
        <f>Table3.110[[#This Row],[Set CIAT]]</f>
        <v>27</v>
      </c>
      <c r="O274" s="230">
        <f>Table3.110[[#This Row],[Batch]]</f>
        <v>69</v>
      </c>
      <c r="P274" s="230">
        <f>Table3.110[[#This Row],[Run]]</f>
        <v>3</v>
      </c>
      <c r="Q274" s="230">
        <f>Table3.110[[#This Row],[Replication]]</f>
        <v>2</v>
      </c>
      <c r="R274" s="230">
        <f>Table3.110[[#This Row],[Syrange No]]</f>
        <v>126</v>
      </c>
      <c r="S274" s="110">
        <v>0.57340000000000002</v>
      </c>
      <c r="T274" s="110">
        <v>0.83599999999999997</v>
      </c>
      <c r="U274" s="108"/>
      <c r="V274" s="254">
        <f t="shared" si="18"/>
        <v>0.26259999999999994</v>
      </c>
      <c r="W274" s="61">
        <f>Table3.110[[#This Row],[DM Incubated, mg]]-('3.2 Digest'!V274*1000)</f>
        <v>205.04866269954158</v>
      </c>
      <c r="X274" s="61">
        <f>W274/Table3.110[[#This Row],[DM Incubated, mg]]*100</f>
        <v>43.846733467787722</v>
      </c>
      <c r="Y274" s="37">
        <f>Table3.1[[#This Row],[DM Incubated, mg]]*'2.4 NDF'!R59/100</f>
        <v>234.36582393905297</v>
      </c>
      <c r="Z274" s="37">
        <f t="shared" si="16"/>
        <v>-28.234176060946993</v>
      </c>
      <c r="AA274" s="37">
        <f t="shared" si="17"/>
        <v>-12.047053442522964</v>
      </c>
      <c r="AB274" s="89"/>
    </row>
    <row r="275" spans="2:28" x14ac:dyDescent="0.35">
      <c r="B275" s="230">
        <f t="shared" si="12"/>
        <v>265</v>
      </c>
      <c r="C275" s="61"/>
      <c r="D275" s="248">
        <f>Table3.110[[#This Row],[Date]]</f>
        <v>46076</v>
      </c>
      <c r="E275" s="230" t="str">
        <f>Table3.110[[#This Row],[Requisitioner]]</f>
        <v>Genbank</v>
      </c>
      <c r="F275" s="230" t="str">
        <f>Table3.110[[#This Row],[Gene Bank ID]]</f>
        <v>CIAT-8018</v>
      </c>
      <c r="G275" s="230" t="str">
        <f>Table3.110[[#This Row],[Genus]]</f>
        <v>Acacia</v>
      </c>
      <c r="H275" s="230" t="str">
        <f>Table3.110[[#This Row],[Species]]</f>
        <v>aroma</v>
      </c>
      <c r="I275" s="230" t="str">
        <f>Table3.110[[#This Row],[Tax Name]]</f>
        <v>Acacia aroma</v>
      </c>
      <c r="J275" s="230" t="str">
        <f>Table3.110[[#This Row],[Family]]</f>
        <v>Fabaceae</v>
      </c>
      <c r="K275" s="230" t="str">
        <f>Table3.110[[#This Row],[Order]]</f>
        <v>Fabales</v>
      </c>
      <c r="L275" s="230" t="str">
        <f>Table3.110[[#This Row],[Functional Group]]</f>
        <v>Tree</v>
      </c>
      <c r="M275" s="230" t="str">
        <f>Table3.110[[#This Row],[CIAT ID]]</f>
        <v>F251753</v>
      </c>
      <c r="N275" s="230">
        <f>Table3.110[[#This Row],[Set CIAT]]</f>
        <v>27</v>
      </c>
      <c r="O275" s="230">
        <f>Table3.110[[#This Row],[Batch]]</f>
        <v>69</v>
      </c>
      <c r="P275" s="230">
        <f>Table3.110[[#This Row],[Run]]</f>
        <v>3</v>
      </c>
      <c r="Q275" s="230">
        <f>Table3.110[[#This Row],[Replication]]</f>
        <v>1</v>
      </c>
      <c r="R275" s="230">
        <f>Table3.110[[#This Row],[Syrange No]]</f>
        <v>127</v>
      </c>
      <c r="S275" s="265">
        <v>0.59970000000000001</v>
      </c>
      <c r="T275" s="265">
        <v>1.0636000000000001</v>
      </c>
      <c r="U275" s="108"/>
      <c r="V275" s="254">
        <f t="shared" si="18"/>
        <v>0.46390000000000009</v>
      </c>
      <c r="W275" s="61">
        <f>Table3.110[[#This Row],[DM Incubated, mg]]-('3.2 Digest'!V275*1000)</f>
        <v>5.2656756168761376</v>
      </c>
      <c r="X275" s="61">
        <f>W275/Table3.110[[#This Row],[DM Incubated, mg]]*100</f>
        <v>1.1223488610825236</v>
      </c>
      <c r="Y275" s="37">
        <f>Table3.1[[#This Row],[DM Incubated, mg]]*'2.4 NDF'!R61/100</f>
        <v>329.98448785292186</v>
      </c>
      <c r="Z275" s="37">
        <f t="shared" si="16"/>
        <v>-133.91551214707823</v>
      </c>
      <c r="AA275" s="37">
        <f t="shared" si="17"/>
        <v>-40.582365861623785</v>
      </c>
      <c r="AB275" s="89"/>
    </row>
    <row r="276" spans="2:28" x14ac:dyDescent="0.35">
      <c r="B276" s="230">
        <f t="shared" si="12"/>
        <v>266</v>
      </c>
      <c r="C276" s="61"/>
      <c r="D276" s="248">
        <f>Table3.110[[#This Row],[Date]]</f>
        <v>46076</v>
      </c>
      <c r="E276" s="230" t="str">
        <f>Table3.110[[#This Row],[Requisitioner]]</f>
        <v>Genbank</v>
      </c>
      <c r="F276" s="230" t="str">
        <f>Table3.110[[#This Row],[Gene Bank ID]]</f>
        <v>CIAT-8018</v>
      </c>
      <c r="G276" s="230" t="str">
        <f>Table3.110[[#This Row],[Genus]]</f>
        <v>Acacia</v>
      </c>
      <c r="H276" s="230" t="str">
        <f>Table3.110[[#This Row],[Species]]</f>
        <v>aroma</v>
      </c>
      <c r="I276" s="230" t="str">
        <f>Table3.110[[#This Row],[Tax Name]]</f>
        <v>Acacia aroma</v>
      </c>
      <c r="J276" s="230" t="str">
        <f>Table3.110[[#This Row],[Family]]</f>
        <v>Fabaceae</v>
      </c>
      <c r="K276" s="230" t="str">
        <f>Table3.110[[#This Row],[Order]]</f>
        <v>Fabales</v>
      </c>
      <c r="L276" s="230" t="str">
        <f>Table3.110[[#This Row],[Functional Group]]</f>
        <v>Tree</v>
      </c>
      <c r="M276" s="230" t="str">
        <f>Table3.110[[#This Row],[CIAT ID]]</f>
        <v>F251753</v>
      </c>
      <c r="N276" s="230">
        <f>Table3.110[[#This Row],[Set CIAT]]</f>
        <v>27</v>
      </c>
      <c r="O276" s="230">
        <f>Table3.110[[#This Row],[Batch]]</f>
        <v>69</v>
      </c>
      <c r="P276" s="230">
        <f>Table3.110[[#This Row],[Run]]</f>
        <v>3</v>
      </c>
      <c r="Q276" s="230">
        <f>Table3.110[[#This Row],[Replication]]</f>
        <v>2</v>
      </c>
      <c r="R276" s="230">
        <f>Table3.110[[#This Row],[Syrange No]]</f>
        <v>128</v>
      </c>
      <c r="S276" s="110">
        <v>0.55730000000000002</v>
      </c>
      <c r="T276" s="110">
        <v>1.0058</v>
      </c>
      <c r="U276" s="108"/>
      <c r="V276" s="254">
        <f t="shared" si="18"/>
        <v>0.44850000000000001</v>
      </c>
      <c r="W276" s="61">
        <f>Table3.110[[#This Row],[DM Incubated, mg]]-('3.2 Digest'!V276*1000)</f>
        <v>20.759471233752777</v>
      </c>
      <c r="X276" s="61">
        <f>W276/Table3.110[[#This Row],[DM Incubated, mg]]*100</f>
        <v>4.4238790064637472</v>
      </c>
      <c r="Y276" s="37">
        <f>Table3.1[[#This Row],[DM Incubated, mg]]*'2.4 NDF'!R61/100</f>
        <v>330.05045836228862</v>
      </c>
      <c r="Z276" s="37">
        <f t="shared" si="16"/>
        <v>-118.44954163771138</v>
      </c>
      <c r="AA276" s="37">
        <f t="shared" si="17"/>
        <v>-35.888313025062395</v>
      </c>
      <c r="AB276" s="89"/>
    </row>
    <row r="277" spans="2:28" x14ac:dyDescent="0.35">
      <c r="B277" s="230">
        <f t="shared" si="12"/>
        <v>267</v>
      </c>
      <c r="C277" s="61"/>
      <c r="D277" s="248">
        <f>Table3.110[[#This Row],[Date]]</f>
        <v>46076</v>
      </c>
      <c r="E277" s="230" t="str">
        <f>Table3.110[[#This Row],[Requisitioner]]</f>
        <v>Genbank</v>
      </c>
      <c r="F277" s="230" t="str">
        <f>Table3.110[[#This Row],[Gene Bank ID]]</f>
        <v>CIAT-9990</v>
      </c>
      <c r="G277" s="230" t="str">
        <f>Table3.110[[#This Row],[Genus]]</f>
        <v>Prosopis</v>
      </c>
      <c r="H277" s="230" t="str">
        <f>Table3.110[[#This Row],[Species]]</f>
        <v>juliflora</v>
      </c>
      <c r="I277" s="230" t="str">
        <f>Table3.110[[#This Row],[Tax Name]]</f>
        <v>Prosopis juliflora</v>
      </c>
      <c r="J277" s="230" t="str">
        <f>Table3.110[[#This Row],[Family]]</f>
        <v>Fabaceae</v>
      </c>
      <c r="K277" s="230" t="str">
        <f>Table3.110[[#This Row],[Order]]</f>
        <v>Fabales</v>
      </c>
      <c r="L277" s="230" t="str">
        <f>Table3.110[[#This Row],[Functional Group]]</f>
        <v>Tree</v>
      </c>
      <c r="M277" s="230" t="str">
        <f>Table3.110[[#This Row],[CIAT ID]]</f>
        <v>F251754</v>
      </c>
      <c r="N277" s="230">
        <f>Table3.110[[#This Row],[Set CIAT]]</f>
        <v>27</v>
      </c>
      <c r="O277" s="230">
        <f>Table3.110[[#This Row],[Batch]]</f>
        <v>69</v>
      </c>
      <c r="P277" s="230">
        <f>Table3.110[[#This Row],[Run]]</f>
        <v>3</v>
      </c>
      <c r="Q277" s="230">
        <f>Table3.110[[#This Row],[Replication]]</f>
        <v>1</v>
      </c>
      <c r="R277" s="230">
        <f>Table3.110[[#This Row],[Syrange No]]</f>
        <v>129</v>
      </c>
      <c r="S277" s="241">
        <v>0.5554</v>
      </c>
      <c r="T277" s="241">
        <v>0.81710000000000005</v>
      </c>
      <c r="U277" s="108"/>
      <c r="V277" s="254">
        <f t="shared" si="18"/>
        <v>0.26170000000000004</v>
      </c>
      <c r="W277" s="61">
        <f>Table3.110[[#This Row],[DM Incubated, mg]]-('3.2 Digest'!V277*1000)</f>
        <v>203.72892264641189</v>
      </c>
      <c r="X277" s="61">
        <f>W277/Table3.110[[#This Row],[DM Incubated, mg]]*100</f>
        <v>43.772295345982506</v>
      </c>
      <c r="Y277" s="37">
        <f>Table3.1[[#This Row],[DM Incubated, mg]]*'2.4 NDF'!R63/100</f>
        <v>226.96192372308451</v>
      </c>
      <c r="Z277" s="37">
        <f t="shared" si="16"/>
        <v>-34.738076276915535</v>
      </c>
      <c r="AA277" s="37">
        <f t="shared" si="17"/>
        <v>-15.305684630739799</v>
      </c>
      <c r="AB277" s="89"/>
    </row>
    <row r="278" spans="2:28" x14ac:dyDescent="0.35">
      <c r="B278" s="230">
        <f t="shared" si="12"/>
        <v>268</v>
      </c>
      <c r="C278" s="61"/>
      <c r="D278" s="248">
        <f>Table3.110[[#This Row],[Date]]</f>
        <v>46076</v>
      </c>
      <c r="E278" s="230" t="str">
        <f>Table3.110[[#This Row],[Requisitioner]]</f>
        <v>Genbank</v>
      </c>
      <c r="F278" s="230" t="str">
        <f>Table3.110[[#This Row],[Gene Bank ID]]</f>
        <v>CIAT-9990</v>
      </c>
      <c r="G278" s="230" t="str">
        <f>Table3.110[[#This Row],[Genus]]</f>
        <v>Prosopis</v>
      </c>
      <c r="H278" s="230" t="str">
        <f>Table3.110[[#This Row],[Species]]</f>
        <v>juliflora</v>
      </c>
      <c r="I278" s="230" t="str">
        <f>Table3.110[[#This Row],[Tax Name]]</f>
        <v>Prosopis juliflora</v>
      </c>
      <c r="J278" s="230" t="str">
        <f>Table3.110[[#This Row],[Family]]</f>
        <v>Fabaceae</v>
      </c>
      <c r="K278" s="230" t="str">
        <f>Table3.110[[#This Row],[Order]]</f>
        <v>Fabales</v>
      </c>
      <c r="L278" s="230" t="str">
        <f>Table3.110[[#This Row],[Functional Group]]</f>
        <v>Tree</v>
      </c>
      <c r="M278" s="230" t="str">
        <f>Table3.110[[#This Row],[CIAT ID]]</f>
        <v>F251754</v>
      </c>
      <c r="N278" s="230">
        <f>Table3.110[[#This Row],[Set CIAT]]</f>
        <v>27</v>
      </c>
      <c r="O278" s="230">
        <f>Table3.110[[#This Row],[Batch]]</f>
        <v>69</v>
      </c>
      <c r="P278" s="230">
        <f>Table3.110[[#This Row],[Run]]</f>
        <v>3</v>
      </c>
      <c r="Q278" s="230">
        <f>Table3.110[[#This Row],[Replication]]</f>
        <v>2</v>
      </c>
      <c r="R278" s="230">
        <f>Table3.110[[#This Row],[Syrange No]]</f>
        <v>130</v>
      </c>
      <c r="S278" s="241">
        <v>0.59609999999999996</v>
      </c>
      <c r="T278" s="241">
        <v>0.80459999999999998</v>
      </c>
      <c r="U278" s="108"/>
      <c r="V278" s="254">
        <f t="shared" si="18"/>
        <v>0.20850000000000002</v>
      </c>
      <c r="W278" s="61">
        <f>Table3.110[[#This Row],[DM Incubated, mg]]-('3.2 Digest'!V278*1000)</f>
        <v>256.37107735358757</v>
      </c>
      <c r="X278" s="61">
        <f>W278/Table3.110[[#This Row],[DM Incubated, mg]]*100</f>
        <v>55.148855207997386</v>
      </c>
      <c r="Y278" s="37">
        <f>Table3.1[[#This Row],[DM Incubated, mg]]*'2.4 NDF'!R63/100</f>
        <v>226.68989584806684</v>
      </c>
      <c r="Z278" s="37">
        <f t="shared" si="16"/>
        <v>18.189895848066811</v>
      </c>
      <c r="AA278" s="37">
        <f t="shared" si="17"/>
        <v>8.0241317240968382</v>
      </c>
      <c r="AB278" s="89"/>
    </row>
    <row r="279" spans="2:28" x14ac:dyDescent="0.35">
      <c r="B279" s="230">
        <f t="shared" si="12"/>
        <v>269</v>
      </c>
      <c r="C279" s="61"/>
      <c r="D279" s="248">
        <f>Table3.110[[#This Row],[Date]]</f>
        <v>46076</v>
      </c>
      <c r="E279" s="230" t="str">
        <f>Table3.110[[#This Row],[Requisitioner]]</f>
        <v>Genbank</v>
      </c>
      <c r="F279" s="230" t="str">
        <f>Table3.110[[#This Row],[Gene Bank ID]]</f>
        <v>CIAT-13258</v>
      </c>
      <c r="G279" s="230" t="str">
        <f>Table3.110[[#This Row],[Genus]]</f>
        <v>Dendrolobium</v>
      </c>
      <c r="H279" s="230" t="str">
        <f>Table3.110[[#This Row],[Species]]</f>
        <v>lanceolatum</v>
      </c>
      <c r="I279" s="230" t="str">
        <f>Table3.110[[#This Row],[Tax Name]]</f>
        <v>Dendrolobium lanceolatum</v>
      </c>
      <c r="J279" s="230" t="str">
        <f>Table3.110[[#This Row],[Family]]</f>
        <v>Fabaceae</v>
      </c>
      <c r="K279" s="230" t="str">
        <f>Table3.110[[#This Row],[Order]]</f>
        <v>Fabales</v>
      </c>
      <c r="L279" s="230" t="str">
        <f>Table3.110[[#This Row],[Functional Group]]</f>
        <v>Tree</v>
      </c>
      <c r="M279" s="230" t="str">
        <f>Table3.110[[#This Row],[CIAT ID]]</f>
        <v>F251755</v>
      </c>
      <c r="N279" s="230">
        <f>Table3.110[[#This Row],[Set CIAT]]</f>
        <v>27</v>
      </c>
      <c r="O279" s="230">
        <f>Table3.110[[#This Row],[Batch]]</f>
        <v>69</v>
      </c>
      <c r="P279" s="230">
        <f>Table3.110[[#This Row],[Run]]</f>
        <v>3</v>
      </c>
      <c r="Q279" s="230">
        <f>Table3.110[[#This Row],[Replication]]</f>
        <v>1</v>
      </c>
      <c r="R279" s="230">
        <f>Table3.110[[#This Row],[Syrange No]]</f>
        <v>131</v>
      </c>
      <c r="S279" s="265">
        <v>0.57540000000000002</v>
      </c>
      <c r="T279" s="265">
        <v>0.97019999999999995</v>
      </c>
      <c r="U279" s="108"/>
      <c r="V279" s="254">
        <f t="shared" si="18"/>
        <v>0.39479999999999993</v>
      </c>
      <c r="W279" s="61">
        <f>Table3.110[[#This Row],[DM Incubated, mg]]-('3.2 Digest'!V279*1000)</f>
        <v>78.281741901440171</v>
      </c>
      <c r="X279" s="61">
        <f>W279/Table3.110[[#This Row],[DM Incubated, mg]]*100</f>
        <v>16.547191524831469</v>
      </c>
      <c r="Y279" s="37">
        <f>Table3.1[[#This Row],[DM Incubated, mg]]*'2.4 NDF'!R65/100</f>
        <v>292.3770154552048</v>
      </c>
      <c r="Z279" s="37">
        <f t="shared" si="16"/>
        <v>-102.42298454479516</v>
      </c>
      <c r="AA279" s="37">
        <f t="shared" si="17"/>
        <v>-35.031134162626209</v>
      </c>
      <c r="AB279" s="89"/>
    </row>
    <row r="280" spans="2:28" x14ac:dyDescent="0.35">
      <c r="B280" s="230">
        <f t="shared" si="12"/>
        <v>270</v>
      </c>
      <c r="C280" s="61"/>
      <c r="D280" s="248">
        <f>Table3.110[[#This Row],[Date]]</f>
        <v>46076</v>
      </c>
      <c r="E280" s="230" t="str">
        <f>Table3.110[[#This Row],[Requisitioner]]</f>
        <v>Genbank</v>
      </c>
      <c r="F280" s="230" t="str">
        <f>Table3.110[[#This Row],[Gene Bank ID]]</f>
        <v>CIAT-13258</v>
      </c>
      <c r="G280" s="230" t="str">
        <f>Table3.110[[#This Row],[Genus]]</f>
        <v>Dendrolobium</v>
      </c>
      <c r="H280" s="230" t="str">
        <f>Table3.110[[#This Row],[Species]]</f>
        <v>lanceolatum</v>
      </c>
      <c r="I280" s="230" t="str">
        <f>Table3.110[[#This Row],[Tax Name]]</f>
        <v>Dendrolobium lanceolatum</v>
      </c>
      <c r="J280" s="230" t="str">
        <f>Table3.110[[#This Row],[Family]]</f>
        <v>Fabaceae</v>
      </c>
      <c r="K280" s="230" t="str">
        <f>Table3.110[[#This Row],[Order]]</f>
        <v>Fabales</v>
      </c>
      <c r="L280" s="230" t="str">
        <f>Table3.110[[#This Row],[Functional Group]]</f>
        <v>Tree</v>
      </c>
      <c r="M280" s="230" t="str">
        <f>Table3.110[[#This Row],[CIAT ID]]</f>
        <v>F251755</v>
      </c>
      <c r="N280" s="230">
        <f>Table3.110[[#This Row],[Set CIAT]]</f>
        <v>27</v>
      </c>
      <c r="O280" s="230">
        <f>Table3.110[[#This Row],[Batch]]</f>
        <v>69</v>
      </c>
      <c r="P280" s="230">
        <f>Table3.110[[#This Row],[Run]]</f>
        <v>3</v>
      </c>
      <c r="Q280" s="230">
        <f>Table3.110[[#This Row],[Replication]]</f>
        <v>2</v>
      </c>
      <c r="R280" s="230">
        <f>Table3.110[[#This Row],[Syrange No]]</f>
        <v>132</v>
      </c>
      <c r="S280" s="110">
        <v>0.59660000000000002</v>
      </c>
      <c r="T280" s="110">
        <v>0.97030000000000005</v>
      </c>
      <c r="U280" s="108"/>
      <c r="V280" s="254">
        <f t="shared" si="18"/>
        <v>0.37370000000000003</v>
      </c>
      <c r="W280" s="61">
        <f>Table3.110[[#This Row],[DM Incubated, mg]]-('3.2 Digest'!V280*1000)</f>
        <v>99.38174190144008</v>
      </c>
      <c r="X280" s="61">
        <f>W280/Table3.110[[#This Row],[DM Incubated, mg]]*100</f>
        <v>21.007308695110211</v>
      </c>
      <c r="Y280" s="37">
        <f>Table3.1[[#This Row],[DM Incubated, mg]]*'2.4 NDF'!R65/100</f>
        <v>292.3770154552048</v>
      </c>
      <c r="Z280" s="37">
        <f t="shared" si="16"/>
        <v>-81.322984544795247</v>
      </c>
      <c r="AA280" s="37">
        <f t="shared" si="17"/>
        <v>-27.814424611381522</v>
      </c>
      <c r="AB280" s="89"/>
    </row>
    <row r="281" spans="2:28" x14ac:dyDescent="0.35">
      <c r="B281" s="230">
        <f t="shared" si="12"/>
        <v>271</v>
      </c>
      <c r="C281" s="61"/>
      <c r="D281" s="248">
        <f>Table3.110[[#This Row],[Date]]</f>
        <v>46076</v>
      </c>
      <c r="E281" s="230" t="str">
        <f>Table3.110[[#This Row],[Requisitioner]]</f>
        <v>Genbank</v>
      </c>
      <c r="F281" s="230" t="str">
        <f>Table3.110[[#This Row],[Gene Bank ID]]</f>
        <v>CIAT-13260</v>
      </c>
      <c r="G281" s="230" t="str">
        <f>Table3.110[[#This Row],[Genus]]</f>
        <v>Dendrolobium</v>
      </c>
      <c r="H281" s="230" t="str">
        <f>Table3.110[[#This Row],[Species]]</f>
        <v>lanceolatum</v>
      </c>
      <c r="I281" s="230" t="str">
        <f>Table3.110[[#This Row],[Tax Name]]</f>
        <v>Dendrolobium lanceolatum</v>
      </c>
      <c r="J281" s="230" t="str">
        <f>Table3.110[[#This Row],[Family]]</f>
        <v>Fabaceae</v>
      </c>
      <c r="K281" s="230" t="str">
        <f>Table3.110[[#This Row],[Order]]</f>
        <v>Fabales</v>
      </c>
      <c r="L281" s="230" t="str">
        <f>Table3.110[[#This Row],[Functional Group]]</f>
        <v>Tree</v>
      </c>
      <c r="M281" s="230" t="str">
        <f>Table3.110[[#This Row],[CIAT ID]]</f>
        <v>F251756</v>
      </c>
      <c r="N281" s="230">
        <f>Table3.110[[#This Row],[Set CIAT]]</f>
        <v>27</v>
      </c>
      <c r="O281" s="230">
        <f>Table3.110[[#This Row],[Batch]]</f>
        <v>69</v>
      </c>
      <c r="P281" s="230">
        <f>Table3.110[[#This Row],[Run]]</f>
        <v>3</v>
      </c>
      <c r="Q281" s="230">
        <f>Table3.110[[#This Row],[Replication]]</f>
        <v>1</v>
      </c>
      <c r="R281" s="230">
        <f>Table3.110[[#This Row],[Syrange No]]</f>
        <v>133</v>
      </c>
      <c r="S281" s="265">
        <v>0.57950000000000002</v>
      </c>
      <c r="T281" s="265">
        <v>0.99380000000000002</v>
      </c>
      <c r="U281" s="108"/>
      <c r="V281" s="254">
        <f t="shared" si="18"/>
        <v>0.4143</v>
      </c>
      <c r="W281" s="61">
        <f>Table3.110[[#This Row],[DM Incubated, mg]]-('3.2 Digest'!V281*1000)</f>
        <v>56.36462501661407</v>
      </c>
      <c r="X281" s="61">
        <f>W281/Table3.110[[#This Row],[DM Incubated, mg]]*100</f>
        <v>11.975538848840497</v>
      </c>
      <c r="Y281" s="37">
        <f>Table3.1[[#This Row],[DM Incubated, mg]]*'2.4 NDF'!R67/100</f>
        <v>306.84311971338548</v>
      </c>
      <c r="Z281" s="37">
        <f t="shared" si="16"/>
        <v>-107.45688028661453</v>
      </c>
      <c r="AA281" s="37">
        <f t="shared" si="17"/>
        <v>-35.020136800521165</v>
      </c>
      <c r="AB281" s="89"/>
    </row>
    <row r="282" spans="2:28" x14ac:dyDescent="0.35">
      <c r="B282" s="230">
        <f t="shared" si="12"/>
        <v>272</v>
      </c>
      <c r="C282" s="61"/>
      <c r="D282" s="248">
        <f>Table3.110[[#This Row],[Date]]</f>
        <v>46076</v>
      </c>
      <c r="E282" s="230" t="str">
        <f>Table3.110[[#This Row],[Requisitioner]]</f>
        <v>Genbank</v>
      </c>
      <c r="F282" s="230" t="str">
        <f>Table3.110[[#This Row],[Gene Bank ID]]</f>
        <v>CIAT-13260</v>
      </c>
      <c r="G282" s="230" t="str">
        <f>Table3.110[[#This Row],[Genus]]</f>
        <v>Dendrolobium</v>
      </c>
      <c r="H282" s="230" t="str">
        <f>Table3.110[[#This Row],[Species]]</f>
        <v>lanceolatum</v>
      </c>
      <c r="I282" s="230" t="str">
        <f>Table3.110[[#This Row],[Tax Name]]</f>
        <v>Dendrolobium lanceolatum</v>
      </c>
      <c r="J282" s="230" t="str">
        <f>Table3.110[[#This Row],[Family]]</f>
        <v>Fabaceae</v>
      </c>
      <c r="K282" s="230" t="str">
        <f>Table3.110[[#This Row],[Order]]</f>
        <v>Fabales</v>
      </c>
      <c r="L282" s="230" t="str">
        <f>Table3.110[[#This Row],[Functional Group]]</f>
        <v>Tree</v>
      </c>
      <c r="M282" s="230" t="str">
        <f>Table3.110[[#This Row],[CIAT ID]]</f>
        <v>F251756</v>
      </c>
      <c r="N282" s="230">
        <f>Table3.110[[#This Row],[Set CIAT]]</f>
        <v>27</v>
      </c>
      <c r="O282" s="230">
        <f>Table3.110[[#This Row],[Batch]]</f>
        <v>69</v>
      </c>
      <c r="P282" s="230">
        <f>Table3.110[[#This Row],[Run]]</f>
        <v>3</v>
      </c>
      <c r="Q282" s="230">
        <f>Table3.110[[#This Row],[Replication]]</f>
        <v>2</v>
      </c>
      <c r="R282" s="230">
        <f>Table3.110[[#This Row],[Syrange No]]</f>
        <v>134</v>
      </c>
      <c r="S282" s="110">
        <v>0.56940000000000002</v>
      </c>
      <c r="T282" s="110">
        <v>0.96050000000000002</v>
      </c>
      <c r="U282" s="108"/>
      <c r="V282" s="254">
        <f t="shared" si="18"/>
        <v>0.3911</v>
      </c>
      <c r="W282" s="61">
        <f>Table3.110[[#This Row],[DM Incubated, mg]]-('3.2 Digest'!V282*1000)</f>
        <v>79.658701495729872</v>
      </c>
      <c r="X282" s="61">
        <f>W282/Table3.110[[#This Row],[DM Incubated, mg]]*100</f>
        <v>16.921344468542433</v>
      </c>
      <c r="Y282" s="37">
        <f>Table3.1[[#This Row],[DM Incubated, mg]]*'2.4 NDF'!R67/100</f>
        <v>306.90445153823322</v>
      </c>
      <c r="Z282" s="37">
        <f t="shared" si="16"/>
        <v>-84.195548461766805</v>
      </c>
      <c r="AA282" s="37">
        <f t="shared" si="17"/>
        <v>-27.433798382451279</v>
      </c>
      <c r="AB282" s="89"/>
    </row>
    <row r="283" spans="2:28" x14ac:dyDescent="0.35">
      <c r="B283" s="230">
        <f t="shared" si="12"/>
        <v>273</v>
      </c>
      <c r="C283" s="61"/>
      <c r="D283" s="248">
        <f>Table3.110[[#This Row],[Date]]</f>
        <v>46076</v>
      </c>
      <c r="E283" s="230" t="str">
        <f>Table3.110[[#This Row],[Requisitioner]]</f>
        <v>Genbank</v>
      </c>
      <c r="F283" s="230" t="str">
        <f>Table3.110[[#This Row],[Gene Bank ID]]</f>
        <v>CIAT-17263</v>
      </c>
      <c r="G283" s="230" t="str">
        <f>Table3.110[[#This Row],[Genus]]</f>
        <v>Leucaena</v>
      </c>
      <c r="H283" s="230" t="str">
        <f>Table3.110[[#This Row],[Species]]</f>
        <v>leucocephala</v>
      </c>
      <c r="I283" s="230" t="str">
        <f>Table3.110[[#This Row],[Tax Name]]</f>
        <v>Leucaena leucocephala</v>
      </c>
      <c r="J283" s="230" t="str">
        <f>Table3.110[[#This Row],[Family]]</f>
        <v>Fabaceae</v>
      </c>
      <c r="K283" s="230" t="str">
        <f>Table3.110[[#This Row],[Order]]</f>
        <v>Fabales</v>
      </c>
      <c r="L283" s="230" t="str">
        <f>Table3.110[[#This Row],[Functional Group]]</f>
        <v>Tree</v>
      </c>
      <c r="M283" s="230" t="str">
        <f>Table3.110[[#This Row],[CIAT ID]]</f>
        <v>F251757</v>
      </c>
      <c r="N283" s="230">
        <f>Table3.110[[#This Row],[Set CIAT]]</f>
        <v>27</v>
      </c>
      <c r="O283" s="230">
        <f>Table3.110[[#This Row],[Batch]]</f>
        <v>69</v>
      </c>
      <c r="P283" s="230">
        <f>Table3.110[[#This Row],[Run]]</f>
        <v>3</v>
      </c>
      <c r="Q283" s="230">
        <f>Table3.110[[#This Row],[Replication]]</f>
        <v>1</v>
      </c>
      <c r="R283" s="230">
        <f>Table3.110[[#This Row],[Syrange No]]</f>
        <v>135</v>
      </c>
      <c r="S283" s="265">
        <v>0.57809999999999995</v>
      </c>
      <c r="T283" s="265">
        <v>0.85870000000000002</v>
      </c>
      <c r="U283" s="108"/>
      <c r="V283" s="254">
        <f t="shared" si="18"/>
        <v>0.28060000000000007</v>
      </c>
      <c r="W283" s="61">
        <f>Table3.110[[#This Row],[DM Incubated, mg]]-('3.2 Digest'!V283*1000)</f>
        <v>192.32521002798336</v>
      </c>
      <c r="X283" s="61">
        <f>W283/Table3.110[[#This Row],[DM Incubated, mg]]*100</f>
        <v>40.667151158341355</v>
      </c>
      <c r="Y283" s="37">
        <f>Table3.1[[#This Row],[DM Incubated, mg]]*'2.4 NDF'!R69/100</f>
        <v>273.17219295641985</v>
      </c>
      <c r="Z283" s="37">
        <f t="shared" ref="Z283:Z290" si="19">Y283-(V283*1000)</f>
        <v>-7.4278070435802306</v>
      </c>
      <c r="AA283" s="37">
        <f t="shared" ref="AA283:AA290" si="20">Z283/Y283*100</f>
        <v>-2.7190933905799173</v>
      </c>
      <c r="AB283" s="89"/>
    </row>
    <row r="284" spans="2:28" x14ac:dyDescent="0.35">
      <c r="B284" s="230">
        <f t="shared" si="12"/>
        <v>274</v>
      </c>
      <c r="C284" s="61"/>
      <c r="D284" s="248">
        <f>Table3.110[[#This Row],[Date]]</f>
        <v>46076</v>
      </c>
      <c r="E284" s="230" t="str">
        <f>Table3.110[[#This Row],[Requisitioner]]</f>
        <v>Genbank</v>
      </c>
      <c r="F284" s="230" t="str">
        <f>Table3.110[[#This Row],[Gene Bank ID]]</f>
        <v>CIAT-17263</v>
      </c>
      <c r="G284" s="230" t="str">
        <f>Table3.110[[#This Row],[Genus]]</f>
        <v>Leucaena</v>
      </c>
      <c r="H284" s="230" t="str">
        <f>Table3.110[[#This Row],[Species]]</f>
        <v>leucocephala</v>
      </c>
      <c r="I284" s="230" t="str">
        <f>Table3.110[[#This Row],[Tax Name]]</f>
        <v>Leucaena leucocephala</v>
      </c>
      <c r="J284" s="230" t="str">
        <f>Table3.110[[#This Row],[Family]]</f>
        <v>Fabaceae</v>
      </c>
      <c r="K284" s="230" t="str">
        <f>Table3.110[[#This Row],[Order]]</f>
        <v>Fabales</v>
      </c>
      <c r="L284" s="230" t="str">
        <f>Table3.110[[#This Row],[Functional Group]]</f>
        <v>Tree</v>
      </c>
      <c r="M284" s="230" t="str">
        <f>Table3.110[[#This Row],[CIAT ID]]</f>
        <v>F251757</v>
      </c>
      <c r="N284" s="230">
        <f>Table3.110[[#This Row],[Set CIAT]]</f>
        <v>27</v>
      </c>
      <c r="O284" s="230">
        <f>Table3.110[[#This Row],[Batch]]</f>
        <v>69</v>
      </c>
      <c r="P284" s="230">
        <f>Table3.110[[#This Row],[Run]]</f>
        <v>3</v>
      </c>
      <c r="Q284" s="230">
        <f>Table3.110[[#This Row],[Replication]]</f>
        <v>2</v>
      </c>
      <c r="R284" s="230">
        <f>Table3.110[[#This Row],[Syrange No]]</f>
        <v>136</v>
      </c>
      <c r="S284" s="110">
        <v>0.59179999999999999</v>
      </c>
      <c r="T284" s="110">
        <v>0.88290000000000002</v>
      </c>
      <c r="U284" s="108"/>
      <c r="V284" s="254">
        <f t="shared" si="18"/>
        <v>0.29110000000000003</v>
      </c>
      <c r="W284" s="61">
        <f>Table3.110[[#This Row],[DM Incubated, mg]]-('3.2 Digest'!V284*1000)</f>
        <v>181.54179500000015</v>
      </c>
      <c r="X284" s="61">
        <f>W284/Table3.110[[#This Row],[DM Incubated, mg]]*100</f>
        <v>38.410017252071434</v>
      </c>
      <c r="Y284" s="37">
        <f>Table3.1[[#This Row],[DM Incubated, mg]]*'2.4 NDF'!R69/100</f>
        <v>273.00848608888703</v>
      </c>
      <c r="Z284" s="37">
        <f t="shared" si="19"/>
        <v>-18.091513911112997</v>
      </c>
      <c r="AA284" s="37">
        <f t="shared" si="20"/>
        <v>-6.6267221837282744</v>
      </c>
      <c r="AB284" s="89"/>
    </row>
    <row r="285" spans="2:28" x14ac:dyDescent="0.35">
      <c r="B285" s="230">
        <f t="shared" si="12"/>
        <v>275</v>
      </c>
      <c r="C285" s="61"/>
      <c r="D285" s="248">
        <f>Table3.110[[#This Row],[Date]]</f>
        <v>46076</v>
      </c>
      <c r="E285" s="230" t="str">
        <f>Table3.110[[#This Row],[Requisitioner]]</f>
        <v>Breeding</v>
      </c>
      <c r="F285" s="230" t="str">
        <f>Table3.110[[#This Row],[Gene Bank ID]]</f>
        <v xml:space="preserve"> Cayman Br02_1752</v>
      </c>
      <c r="G285" s="230" t="str">
        <f>Table3.110[[#This Row],[Genus]]</f>
        <v>Urochloa</v>
      </c>
      <c r="H285" s="230" t="str">
        <f>Table3.110[[#This Row],[Species]]</f>
        <v>interespecifico</v>
      </c>
      <c r="I285" s="230" t="str">
        <f>Table3.110[[#This Row],[Tax Name]]</f>
        <v>Urochloa interespecifico</v>
      </c>
      <c r="J285" s="230" t="str">
        <f>Table3.110[[#This Row],[Family]]</f>
        <v>Poaceae</v>
      </c>
      <c r="K285" s="230" t="str">
        <f>Table3.110[[#This Row],[Order]]</f>
        <v>Poales</v>
      </c>
      <c r="L285" s="230" t="str">
        <f>Table3.110[[#This Row],[Functional Group]]</f>
        <v>grasses</v>
      </c>
      <c r="M285" s="230" t="str">
        <f>Table3.110[[#This Row],[CIAT ID]]</f>
        <v>F252640</v>
      </c>
      <c r="N285" s="230">
        <f>Table3.110[[#This Row],[Set CIAT]]</f>
        <v>27</v>
      </c>
      <c r="O285" s="230">
        <f>Table3.110[[#This Row],[Batch]]</f>
        <v>69</v>
      </c>
      <c r="P285" s="230">
        <f>Table3.110[[#This Row],[Run]]</f>
        <v>3</v>
      </c>
      <c r="Q285" s="230">
        <f>Table3.110[[#This Row],[Replication]]</f>
        <v>1</v>
      </c>
      <c r="R285" s="230">
        <f>Table3.110[[#This Row],[Syrange No]]</f>
        <v>137</v>
      </c>
      <c r="S285" s="265">
        <v>0.5534</v>
      </c>
      <c r="T285" s="265">
        <v>0.80289999999999995</v>
      </c>
      <c r="U285" s="108"/>
      <c r="V285" s="254">
        <f t="shared" si="18"/>
        <v>0.24949999999999994</v>
      </c>
      <c r="W285" s="61">
        <f>Table3.110[[#This Row],[DM Incubated, mg]]-('3.2 Digest'!V285*1000)</f>
        <v>235.69925272418362</v>
      </c>
      <c r="X285" s="61">
        <f>W285/Table3.110[[#This Row],[DM Incubated, mg]]*100</f>
        <v>48.57782682080289</v>
      </c>
      <c r="Y285" s="37">
        <f>Table3.1[[#This Row],[DM Incubated, mg]]*'2.4 NDF'!R71/100</f>
        <v>301.47200940391451</v>
      </c>
      <c r="Z285" s="37">
        <f t="shared" si="19"/>
        <v>51.972009403914569</v>
      </c>
      <c r="AA285" s="37">
        <f t="shared" si="20"/>
        <v>17.239414533600055</v>
      </c>
      <c r="AB285" s="89"/>
    </row>
    <row r="286" spans="2:28" x14ac:dyDescent="0.35">
      <c r="B286" s="230">
        <f t="shared" si="12"/>
        <v>276</v>
      </c>
      <c r="C286" s="61"/>
      <c r="D286" s="248">
        <f>Table3.110[[#This Row],[Date]]</f>
        <v>46076</v>
      </c>
      <c r="E286" s="230" t="str">
        <f>Table3.110[[#This Row],[Requisitioner]]</f>
        <v>Breeding</v>
      </c>
      <c r="F286" s="230" t="str">
        <f>Table3.110[[#This Row],[Gene Bank ID]]</f>
        <v xml:space="preserve"> Cayman Br02_1752</v>
      </c>
      <c r="G286" s="230" t="str">
        <f>Table3.110[[#This Row],[Genus]]</f>
        <v>Urochloa</v>
      </c>
      <c r="H286" s="230" t="str">
        <f>Table3.110[[#This Row],[Species]]</f>
        <v>interespecifico</v>
      </c>
      <c r="I286" s="230" t="str">
        <f>Table3.110[[#This Row],[Tax Name]]</f>
        <v>Urochloa interespecifico</v>
      </c>
      <c r="J286" s="230" t="str">
        <f>Table3.110[[#This Row],[Family]]</f>
        <v>Poaceae</v>
      </c>
      <c r="K286" s="230" t="str">
        <f>Table3.110[[#This Row],[Order]]</f>
        <v>Poales</v>
      </c>
      <c r="L286" s="230" t="str">
        <f>Table3.110[[#This Row],[Functional Group]]</f>
        <v>grasses</v>
      </c>
      <c r="M286" s="230" t="str">
        <f>Table3.110[[#This Row],[CIAT ID]]</f>
        <v>F252640</v>
      </c>
      <c r="N286" s="230">
        <f>Table3.110[[#This Row],[Set CIAT]]</f>
        <v>27</v>
      </c>
      <c r="O286" s="230">
        <f>Table3.110[[#This Row],[Batch]]</f>
        <v>69</v>
      </c>
      <c r="P286" s="230">
        <f>Table3.110[[#This Row],[Run]]</f>
        <v>3</v>
      </c>
      <c r="Q286" s="230">
        <f>Table3.110[[#This Row],[Replication]]</f>
        <v>2</v>
      </c>
      <c r="R286" s="230">
        <f>Table3.110[[#This Row],[Syrange No]]</f>
        <v>138</v>
      </c>
      <c r="S286" s="110">
        <v>0.5474</v>
      </c>
      <c r="T286" s="265">
        <v>0.85</v>
      </c>
      <c r="U286" s="108"/>
      <c r="V286" s="254">
        <f t="shared" si="18"/>
        <v>0.30259999999999998</v>
      </c>
      <c r="W286" s="61">
        <f>Table3.110[[#This Row],[DM Incubated, mg]]-('3.2 Digest'!V286*1000)</f>
        <v>182.79325482443312</v>
      </c>
      <c r="X286" s="61">
        <f>W286/Table3.110[[#This Row],[DM Incubated, mg]]*100</f>
        <v>37.658795833607023</v>
      </c>
      <c r="Y286" s="37">
        <f>Table3.1[[#This Row],[DM Incubated, mg]]*'2.4 NDF'!R71/100</f>
        <v>301.59254999144105</v>
      </c>
      <c r="Z286" s="37">
        <f t="shared" si="19"/>
        <v>-1.0074500085589193</v>
      </c>
      <c r="AA286" s="37">
        <f t="shared" si="20"/>
        <v>-0.33404340013952927</v>
      </c>
      <c r="AB286" s="89"/>
    </row>
    <row r="287" spans="2:28" x14ac:dyDescent="0.35">
      <c r="B287" s="230">
        <f t="shared" si="12"/>
        <v>277</v>
      </c>
      <c r="C287" s="61"/>
      <c r="D287" s="248">
        <f>Table3.110[[#This Row],[Date]]</f>
        <v>46076</v>
      </c>
      <c r="E287" s="230" t="str">
        <f>Table3.110[[#This Row],[Requisitioner]]</f>
        <v>Mauricio Sotelo</v>
      </c>
      <c r="F287" s="230" t="str">
        <f>Table3.110[[#This Row],[Gene Bank ID]]</f>
        <v>N/A</v>
      </c>
      <c r="G287" s="230" t="str">
        <f>Table3.110[[#This Row],[Genus]]</f>
        <v>Gliricidia</v>
      </c>
      <c r="H287" s="230" t="str">
        <f>Table3.110[[#This Row],[Species]]</f>
        <v>sepium</v>
      </c>
      <c r="I287" s="230" t="str">
        <f>Table3.110[[#This Row],[Tax Name]]</f>
        <v xml:space="preserve">Gliricidia sepium </v>
      </c>
      <c r="J287" s="230" t="str">
        <f>Table3.110[[#This Row],[Family]]</f>
        <v>Fabaceae</v>
      </c>
      <c r="K287" s="230" t="str">
        <f>Table3.110[[#This Row],[Order]]</f>
        <v>Fabales</v>
      </c>
      <c r="L287" s="230" t="str">
        <f>Table3.110[[#This Row],[Functional Group]]</f>
        <v xml:space="preserve">Arbustiva </v>
      </c>
      <c r="M287" s="230" t="str">
        <f>Table3.110[[#This Row],[CIAT ID]]</f>
        <v>F252641</v>
      </c>
      <c r="N287" s="230">
        <f>Table3.110[[#This Row],[Set CIAT]]</f>
        <v>27</v>
      </c>
      <c r="O287" s="230">
        <f>Table3.110[[#This Row],[Batch]]</f>
        <v>69</v>
      </c>
      <c r="P287" s="230">
        <f>Table3.110[[#This Row],[Run]]</f>
        <v>3</v>
      </c>
      <c r="Q287" s="230">
        <f>Table3.110[[#This Row],[Replication]]</f>
        <v>1</v>
      </c>
      <c r="R287" s="230">
        <f>Table3.110[[#This Row],[Syrange No]]</f>
        <v>139</v>
      </c>
      <c r="S287" s="265">
        <v>0.56210000000000004</v>
      </c>
      <c r="T287" s="265">
        <v>0.78390000000000004</v>
      </c>
      <c r="U287" s="108"/>
      <c r="V287" s="254">
        <f t="shared" si="18"/>
        <v>0.2218</v>
      </c>
      <c r="W287" s="61">
        <f>Table3.110[[#This Row],[DM Incubated, mg]]-('3.2 Digest'!V287*1000)</f>
        <v>246.06036003873044</v>
      </c>
      <c r="X287" s="61">
        <f>W287/Table3.110[[#This Row],[DM Incubated, mg]]*100</f>
        <v>52.59269240470833</v>
      </c>
      <c r="Y287" s="37">
        <f>Table3.1[[#This Row],[DM Incubated, mg]]*'2.4 NDF'!R73/100</f>
        <v>220.8534829562827</v>
      </c>
      <c r="Z287" s="37">
        <f t="shared" si="19"/>
        <v>-0.94651704371730716</v>
      </c>
      <c r="AA287" s="37">
        <f t="shared" si="20"/>
        <v>-0.42857238701762623</v>
      </c>
      <c r="AB287" s="89"/>
    </row>
    <row r="288" spans="2:28" x14ac:dyDescent="0.35">
      <c r="B288" s="230">
        <f t="shared" si="12"/>
        <v>278</v>
      </c>
      <c r="C288" s="61"/>
      <c r="D288" s="248">
        <f>Table3.110[[#This Row],[Date]]</f>
        <v>46076</v>
      </c>
      <c r="E288" s="230" t="str">
        <f>Table3.110[[#This Row],[Requisitioner]]</f>
        <v>Mauricio Sotelo</v>
      </c>
      <c r="F288" s="230" t="str">
        <f>Table3.110[[#This Row],[Gene Bank ID]]</f>
        <v>N/A</v>
      </c>
      <c r="G288" s="230" t="str">
        <f>Table3.110[[#This Row],[Genus]]</f>
        <v>Gliricidia</v>
      </c>
      <c r="H288" s="230" t="str">
        <f>Table3.110[[#This Row],[Species]]</f>
        <v>sepium</v>
      </c>
      <c r="I288" s="230" t="str">
        <f>Table3.110[[#This Row],[Tax Name]]</f>
        <v xml:space="preserve">Gliricidia sepium </v>
      </c>
      <c r="J288" s="230" t="str">
        <f>Table3.110[[#This Row],[Family]]</f>
        <v>Fabaceae</v>
      </c>
      <c r="K288" s="230" t="str">
        <f>Table3.110[[#This Row],[Order]]</f>
        <v>Fabales</v>
      </c>
      <c r="L288" s="230" t="str">
        <f>Table3.110[[#This Row],[Functional Group]]</f>
        <v xml:space="preserve">Arbustiva </v>
      </c>
      <c r="M288" s="230" t="str">
        <f>Table3.110[[#This Row],[CIAT ID]]</f>
        <v>F252641</v>
      </c>
      <c r="N288" s="230">
        <f>Table3.110[[#This Row],[Set CIAT]]</f>
        <v>27</v>
      </c>
      <c r="O288" s="230">
        <f>Table3.110[[#This Row],[Batch]]</f>
        <v>69</v>
      </c>
      <c r="P288" s="230">
        <f>Table3.110[[#This Row],[Run]]</f>
        <v>3</v>
      </c>
      <c r="Q288" s="230">
        <f>Table3.110[[#This Row],[Replication]]</f>
        <v>2</v>
      </c>
      <c r="R288" s="230">
        <f>Table3.110[[#This Row],[Syrange No]]</f>
        <v>140</v>
      </c>
      <c r="S288" s="110">
        <v>0.57750000000000001</v>
      </c>
      <c r="T288" s="110">
        <v>0.91720000000000002</v>
      </c>
      <c r="U288" s="108"/>
      <c r="V288" s="254">
        <f t="shared" si="18"/>
        <v>0.3397</v>
      </c>
      <c r="W288" s="61">
        <f>Table3.110[[#This Row],[DM Incubated, mg]]-('3.2 Digest'!V288*1000)</f>
        <v>127.87986821616528</v>
      </c>
      <c r="X288" s="61">
        <f>W288/Table3.110[[#This Row],[DM Incubated, mg]]*100</f>
        <v>27.349310119794456</v>
      </c>
      <c r="Y288" s="37">
        <f>Table3.1[[#This Row],[DM Incubated, mg]]*'2.4 NDF'!R73/100</f>
        <v>220.72107679144079</v>
      </c>
      <c r="Z288" s="37">
        <f t="shared" si="19"/>
        <v>-118.97892320855919</v>
      </c>
      <c r="AA288" s="37">
        <f t="shared" si="20"/>
        <v>-53.90464967737644</v>
      </c>
      <c r="AB288" s="89" t="s">
        <v>562</v>
      </c>
    </row>
    <row r="289" spans="2:28" x14ac:dyDescent="0.35">
      <c r="B289" s="230">
        <f t="shared" si="12"/>
        <v>279</v>
      </c>
      <c r="C289" s="61"/>
      <c r="D289" s="248">
        <f>Table3.110[[#This Row],[Date]]</f>
        <v>46076</v>
      </c>
      <c r="E289" s="230" t="str">
        <f>Table3.110[[#This Row],[Requisitioner]]</f>
        <v>Jacobo Arango/Alejandro Montoya</v>
      </c>
      <c r="F289" s="230" t="str">
        <f>Table3.110[[#This Row],[Gene Bank ID]]</f>
        <v>Sample 8</v>
      </c>
      <c r="G289" s="230" t="str">
        <f>Table3.110[[#This Row],[Genus]]</f>
        <v>Cynodon</v>
      </c>
      <c r="H289" s="230" t="str">
        <f>Table3.110[[#This Row],[Species]]</f>
        <v>nlemfuensis</v>
      </c>
      <c r="I289" s="230" t="str">
        <f>Table3.110[[#This Row],[Tax Name]]</f>
        <v xml:space="preserve">Cynodon nlemfuensis </v>
      </c>
      <c r="J289" s="230" t="str">
        <f>Table3.110[[#This Row],[Family]]</f>
        <v>Poaceae</v>
      </c>
      <c r="K289" s="230" t="str">
        <f>Table3.110[[#This Row],[Order]]</f>
        <v>Poales</v>
      </c>
      <c r="L289" s="230" t="str">
        <f>Table3.110[[#This Row],[Functional Group]]</f>
        <v>grasses</v>
      </c>
      <c r="M289" s="230" t="str">
        <f>Table3.110[[#This Row],[CIAT ID]]</f>
        <v>F250008</v>
      </c>
      <c r="N289" s="230">
        <f>Table3.110[[#This Row],[Set CIAT]]</f>
        <v>27</v>
      </c>
      <c r="O289" s="230">
        <f>Table3.110[[#This Row],[Batch]]</f>
        <v>69</v>
      </c>
      <c r="P289" s="230">
        <f>Table3.110[[#This Row],[Run]]</f>
        <v>3</v>
      </c>
      <c r="Q289" s="230">
        <f>Table3.110[[#This Row],[Replication]]</f>
        <v>1</v>
      </c>
      <c r="R289" s="230">
        <f>Table3.110[[#This Row],[Syrange No]]</f>
        <v>141</v>
      </c>
      <c r="S289" s="265">
        <v>0.57599999999999996</v>
      </c>
      <c r="T289" s="265">
        <v>0.94469999999999998</v>
      </c>
      <c r="U289" s="108"/>
      <c r="V289" s="254">
        <f t="shared" si="18"/>
        <v>0.36870000000000003</v>
      </c>
      <c r="W289" s="61">
        <f>Table3.110[[#This Row],[DM Incubated, mg]]-('3.2 Digest'!V289*1000)</f>
        <v>99.424199999999871</v>
      </c>
      <c r="X289" s="61">
        <f>W289/Table3.110[[#This Row],[DM Incubated, mg]]*100</f>
        <v>21.238850715258874</v>
      </c>
      <c r="Y289" s="37">
        <f>Table3.1[[#This Row],[DM Incubated, mg]]*'2.4 NDF'!R75/100</f>
        <v>356.2425161999999</v>
      </c>
      <c r="Z289" s="37">
        <f t="shared" si="19"/>
        <v>-12.457483800000148</v>
      </c>
      <c r="AA289" s="37">
        <f t="shared" si="20"/>
        <v>-3.4969110180566796</v>
      </c>
      <c r="AB289" s="89"/>
    </row>
    <row r="290" spans="2:28" x14ac:dyDescent="0.35">
      <c r="B290" s="230">
        <f t="shared" si="12"/>
        <v>280</v>
      </c>
      <c r="C290" s="61"/>
      <c r="D290" s="248">
        <f>Table3.110[[#This Row],[Date]]</f>
        <v>46076</v>
      </c>
      <c r="E290" s="230" t="str">
        <f>Table3.110[[#This Row],[Requisitioner]]</f>
        <v>Jacobo Arango/Alejandro Montoya</v>
      </c>
      <c r="F290" s="230" t="str">
        <f>Table3.110[[#This Row],[Gene Bank ID]]</f>
        <v>Sample 8</v>
      </c>
      <c r="G290" s="230" t="str">
        <f>Table3.110[[#This Row],[Genus]]</f>
        <v>Cynodon</v>
      </c>
      <c r="H290" s="230" t="str">
        <f>Table3.110[[#This Row],[Species]]</f>
        <v>nlemfuensis</v>
      </c>
      <c r="I290" s="230" t="str">
        <f>Table3.110[[#This Row],[Tax Name]]</f>
        <v xml:space="preserve">Cynodon nlemfuensis </v>
      </c>
      <c r="J290" s="230" t="str">
        <f>Table3.110[[#This Row],[Family]]</f>
        <v>Poaceae</v>
      </c>
      <c r="K290" s="230" t="str">
        <f>Table3.110[[#This Row],[Order]]</f>
        <v>Poales</v>
      </c>
      <c r="L290" s="230" t="str">
        <f>Table3.110[[#This Row],[Functional Group]]</f>
        <v>grasses</v>
      </c>
      <c r="M290" s="230" t="str">
        <f>Table3.110[[#This Row],[CIAT ID]]</f>
        <v>F250008</v>
      </c>
      <c r="N290" s="230">
        <f>Table3.110[[#This Row],[Set CIAT]]</f>
        <v>27</v>
      </c>
      <c r="O290" s="230">
        <f>Table3.110[[#This Row],[Batch]]</f>
        <v>69</v>
      </c>
      <c r="P290" s="230">
        <f>Table3.110[[#This Row],[Run]]</f>
        <v>3</v>
      </c>
      <c r="Q290" s="230">
        <f>Table3.110[[#This Row],[Replication]]</f>
        <v>2</v>
      </c>
      <c r="R290" s="230">
        <f>Table3.110[[#This Row],[Syrange No]]</f>
        <v>142</v>
      </c>
      <c r="S290" s="110">
        <v>0.56689999999999996</v>
      </c>
      <c r="T290" s="110">
        <v>0.94030000000000002</v>
      </c>
      <c r="U290" s="108"/>
      <c r="V290" s="254">
        <f t="shared" si="18"/>
        <v>0.37340000000000007</v>
      </c>
      <c r="W290" s="61">
        <f>Table3.110[[#This Row],[DM Incubated, mg]]-('3.2 Digest'!V290*1000)</f>
        <v>94.537099999999896</v>
      </c>
      <c r="X290" s="61">
        <f>W290/Table3.110[[#This Row],[DM Incubated, mg]]*100</f>
        <v>20.202950353797529</v>
      </c>
      <c r="Y290" s="37">
        <f>Table3.1[[#This Row],[DM Incubated, mg]]*'2.4 NDF'!R75/100</f>
        <v>356.10013309999994</v>
      </c>
      <c r="Z290" s="37">
        <f t="shared" si="19"/>
        <v>-17.299866900000154</v>
      </c>
      <c r="AA290" s="37">
        <f t="shared" si="20"/>
        <v>-4.8581467098587154</v>
      </c>
      <c r="AB290" s="89"/>
    </row>
    <row r="291" spans="2:28" x14ac:dyDescent="0.35">
      <c r="B291" s="230">
        <f t="shared" si="12"/>
        <v>281</v>
      </c>
      <c r="C291" s="61"/>
      <c r="D291" s="248">
        <f>Table3.110[[#This Row],[Date]]</f>
        <v>46076</v>
      </c>
      <c r="E291" s="230">
        <f>Table3.110[[#This Row],[Requisitioner]]</f>
        <v>0</v>
      </c>
      <c r="F291" s="230" t="str">
        <f>Table3.110[[#This Row],[Gene Bank ID]]</f>
        <v>Blank 24 H</v>
      </c>
      <c r="G291" s="230" t="str">
        <f>Table3.110[[#This Row],[Genus]]</f>
        <v>Blank</v>
      </c>
      <c r="H291" s="230">
        <f>Table3.110[[#This Row],[Species]]</f>
        <v>24</v>
      </c>
      <c r="I291" s="230" t="str">
        <f>Table3.110[[#This Row],[Tax Name]]</f>
        <v>Blank 24 H</v>
      </c>
      <c r="J291" s="230">
        <f>Table3.110[[#This Row],[Family]]</f>
        <v>0</v>
      </c>
      <c r="K291" s="230">
        <f>Table3.110[[#This Row],[Order]]</f>
        <v>0</v>
      </c>
      <c r="L291" s="230">
        <f>Table3.110[[#This Row],[Functional Group]]</f>
        <v>0</v>
      </c>
      <c r="M291" s="230" t="str">
        <f>Table3.110[[#This Row],[CIAT ID]]</f>
        <v>Blank 24 H</v>
      </c>
      <c r="N291" s="230">
        <f>Table3.110[[#This Row],[Set CIAT]]</f>
        <v>27</v>
      </c>
      <c r="O291" s="230">
        <f>Table3.110[[#This Row],[Batch]]</f>
        <v>69</v>
      </c>
      <c r="P291" s="230">
        <f>Table3.110[[#This Row],[Run]]</f>
        <v>3</v>
      </c>
      <c r="Q291" s="230">
        <f>Table3.110[[#This Row],[Replication]]</f>
        <v>1</v>
      </c>
      <c r="R291" s="230">
        <f>Table3.110[[#This Row],[Syrange No]]</f>
        <v>143</v>
      </c>
      <c r="S291" s="264"/>
      <c r="T291" s="264"/>
      <c r="U291" s="108"/>
      <c r="V291" s="254"/>
      <c r="W291" s="61"/>
      <c r="X291" s="61"/>
      <c r="Y291" s="37"/>
      <c r="Z291" s="37"/>
      <c r="AA291" s="37"/>
      <c r="AB291" s="57"/>
    </row>
    <row r="292" spans="2:28" x14ac:dyDescent="0.35">
      <c r="B292" s="230">
        <f t="shared" si="12"/>
        <v>282</v>
      </c>
      <c r="C292" s="61"/>
      <c r="D292" s="248">
        <f>Table3.110[[#This Row],[Date]]</f>
        <v>46076</v>
      </c>
      <c r="E292" s="230">
        <f>Table3.110[[#This Row],[Requisitioner]]</f>
        <v>0</v>
      </c>
      <c r="F292" s="230" t="str">
        <f>Table3.110[[#This Row],[Gene Bank ID]]</f>
        <v>Blank 24 H</v>
      </c>
      <c r="G292" s="230" t="str">
        <f>Table3.110[[#This Row],[Genus]]</f>
        <v>Blank</v>
      </c>
      <c r="H292" s="230">
        <f>Table3.110[[#This Row],[Species]]</f>
        <v>24</v>
      </c>
      <c r="I292" s="230" t="str">
        <f>Table3.110[[#This Row],[Tax Name]]</f>
        <v>Blank 24 H</v>
      </c>
      <c r="J292" s="230">
        <f>Table3.110[[#This Row],[Family]]</f>
        <v>0</v>
      </c>
      <c r="K292" s="230">
        <f>Table3.110[[#This Row],[Order]]</f>
        <v>0</v>
      </c>
      <c r="L292" s="230">
        <f>Table3.110[[#This Row],[Functional Group]]</f>
        <v>0</v>
      </c>
      <c r="M292" s="230" t="str">
        <f>Table3.110[[#This Row],[CIAT ID]]</f>
        <v>Blank 24 H</v>
      </c>
      <c r="N292" s="230">
        <f>Table3.110[[#This Row],[Set CIAT]]</f>
        <v>27</v>
      </c>
      <c r="O292" s="230">
        <f>Table3.110[[#This Row],[Batch]]</f>
        <v>69</v>
      </c>
      <c r="P292" s="230">
        <f>Table3.110[[#This Row],[Run]]</f>
        <v>3</v>
      </c>
      <c r="Q292" s="230">
        <f>Table3.110[[#This Row],[Replication]]</f>
        <v>2</v>
      </c>
      <c r="R292" s="230">
        <f>Table3.110[[#This Row],[Syrange No]]</f>
        <v>144</v>
      </c>
      <c r="S292" s="263"/>
      <c r="T292" s="263"/>
      <c r="U292" s="108"/>
      <c r="V292" s="254"/>
      <c r="W292" s="61"/>
      <c r="X292" s="61"/>
      <c r="Y292" s="37"/>
      <c r="Z292" s="37"/>
      <c r="AA292" s="37"/>
      <c r="AB292" s="57"/>
    </row>
    <row r="293" spans="2:28" x14ac:dyDescent="0.35">
      <c r="B293" s="230">
        <f t="shared" si="12"/>
        <v>283</v>
      </c>
      <c r="C293" s="246" t="s">
        <v>687</v>
      </c>
      <c r="D293" s="248">
        <f>Table3.110[[#This Row],[Date]]</f>
        <v>46048</v>
      </c>
      <c r="E293" s="230">
        <f>Table3.110[[#This Row],[Requisitioner]]</f>
        <v>0</v>
      </c>
      <c r="F293" s="230" t="str">
        <f>Table3.110[[#This Row],[Gene Bank ID]]</f>
        <v>BLANK 24 H</v>
      </c>
      <c r="G293" s="230" t="str">
        <f>Table3.110[[#This Row],[Genus]]</f>
        <v>BLANK</v>
      </c>
      <c r="H293" s="230">
        <f>Table3.110[[#This Row],[Species]]</f>
        <v>24</v>
      </c>
      <c r="I293" s="230" t="str">
        <f>Table3.110[[#This Row],[Tax Name]]</f>
        <v>BLANK 24 H</v>
      </c>
      <c r="J293" s="230">
        <f>Table3.110[[#This Row],[Family]]</f>
        <v>0</v>
      </c>
      <c r="K293" s="230">
        <f>Table3.110[[#This Row],[Order]]</f>
        <v>0</v>
      </c>
      <c r="L293" s="230">
        <f>Table3.110[[#This Row],[Functional Group]]</f>
        <v>0</v>
      </c>
      <c r="M293" s="230" t="str">
        <f>Table3.110[[#This Row],[CIAT ID]]</f>
        <v>BLANK24H</v>
      </c>
      <c r="N293" s="230">
        <f>Table3.110[[#This Row],[Set CIAT]]</f>
        <v>28</v>
      </c>
      <c r="O293" s="230">
        <f>Table3.110[[#This Row],[Batch]]</f>
        <v>60</v>
      </c>
      <c r="P293" s="230">
        <f>Table3.110[[#This Row],[Run]]</f>
        <v>1</v>
      </c>
      <c r="Q293" s="230">
        <f>Table3.110[[#This Row],[Replication]]</f>
        <v>1</v>
      </c>
      <c r="R293" s="230">
        <f>Table3.110[[#This Row],[Syrange No]]</f>
        <v>211</v>
      </c>
      <c r="S293" s="249"/>
      <c r="T293" s="249"/>
      <c r="U293" s="108"/>
      <c r="V293" s="61"/>
      <c r="W293" s="61"/>
      <c r="X293" s="61"/>
      <c r="Y293" s="37"/>
      <c r="Z293" s="37"/>
      <c r="AA293" s="37"/>
      <c r="AB293" s="57"/>
    </row>
    <row r="294" spans="2:28" x14ac:dyDescent="0.35">
      <c r="B294" s="230">
        <f t="shared" si="12"/>
        <v>284</v>
      </c>
      <c r="C294" s="246" t="s">
        <v>687</v>
      </c>
      <c r="D294" s="248">
        <f>Table3.110[[#This Row],[Date]]</f>
        <v>46048</v>
      </c>
      <c r="E294" s="230">
        <f>Table3.110[[#This Row],[Requisitioner]]</f>
        <v>0</v>
      </c>
      <c r="F294" s="230" t="str">
        <f>Table3.110[[#This Row],[Gene Bank ID]]</f>
        <v>BLANK 24 H</v>
      </c>
      <c r="G294" s="230" t="str">
        <f>Table3.110[[#This Row],[Genus]]</f>
        <v>BLANK</v>
      </c>
      <c r="H294" s="230">
        <f>Table3.110[[#This Row],[Species]]</f>
        <v>24</v>
      </c>
      <c r="I294" s="230" t="str">
        <f>Table3.110[[#This Row],[Tax Name]]</f>
        <v>BLANK 24 H</v>
      </c>
      <c r="J294" s="230">
        <f>Table3.110[[#This Row],[Family]]</f>
        <v>0</v>
      </c>
      <c r="K294" s="230">
        <f>Table3.110[[#This Row],[Order]]</f>
        <v>0</v>
      </c>
      <c r="L294" s="230">
        <f>Table3.110[[#This Row],[Functional Group]]</f>
        <v>0</v>
      </c>
      <c r="M294" s="230" t="str">
        <f>Table3.110[[#This Row],[CIAT ID]]</f>
        <v>BLANK24H</v>
      </c>
      <c r="N294" s="230">
        <f>Table3.110[[#This Row],[Set CIAT]]</f>
        <v>28</v>
      </c>
      <c r="O294" s="230">
        <f>Table3.110[[#This Row],[Batch]]</f>
        <v>60</v>
      </c>
      <c r="P294" s="230">
        <f>Table3.110[[#This Row],[Run]]</f>
        <v>1</v>
      </c>
      <c r="Q294" s="230">
        <f>Table3.110[[#This Row],[Replication]]</f>
        <v>2</v>
      </c>
      <c r="R294" s="230">
        <f>Table3.110[[#This Row],[Syrange No]]</f>
        <v>212</v>
      </c>
      <c r="S294" s="148"/>
      <c r="T294" s="148"/>
      <c r="U294" s="108"/>
      <c r="V294" s="61"/>
      <c r="W294" s="61"/>
      <c r="X294" s="61"/>
      <c r="Y294" s="37"/>
      <c r="Z294" s="37"/>
      <c r="AA294" s="37"/>
      <c r="AB294" s="57"/>
    </row>
    <row r="295" spans="2:28" x14ac:dyDescent="0.35">
      <c r="B295" s="230">
        <f t="shared" si="12"/>
        <v>285</v>
      </c>
      <c r="C295" s="246" t="s">
        <v>687</v>
      </c>
      <c r="D295" s="248">
        <f>Table3.110[[#This Row],[Date]]</f>
        <v>46048</v>
      </c>
      <c r="E295" s="230" t="str">
        <f>Table3.110[[#This Row],[Requisitioner]]</f>
        <v>Genbank</v>
      </c>
      <c r="F295" s="230" t="str">
        <f>Table3.110[[#This Row],[Gene Bank ID]]</f>
        <v>CIAT-17459</v>
      </c>
      <c r="G295" s="230" t="str">
        <f>Table3.110[[#This Row],[Genus]]</f>
        <v>Erythrina</v>
      </c>
      <c r="H295" s="230" t="str">
        <f>Table3.110[[#This Row],[Species]]</f>
        <v>berteroana</v>
      </c>
      <c r="I295" s="230" t="str">
        <f>Table3.110[[#This Row],[Tax Name]]</f>
        <v>Erythrina berteroana</v>
      </c>
      <c r="J295" s="230" t="str">
        <f>Table3.110[[#This Row],[Family]]</f>
        <v>Fabaceae</v>
      </c>
      <c r="K295" s="230" t="str">
        <f>Table3.110[[#This Row],[Order]]</f>
        <v>Fabales</v>
      </c>
      <c r="L295" s="230" t="str">
        <f>Table3.110[[#This Row],[Functional Group]]</f>
        <v>Tree</v>
      </c>
      <c r="M295" s="230" t="str">
        <f>Table3.110[[#This Row],[CIAT ID]]</f>
        <v>F251758</v>
      </c>
      <c r="N295" s="230">
        <f>Table3.110[[#This Row],[Set CIAT]]</f>
        <v>28</v>
      </c>
      <c r="O295" s="230">
        <f>Table3.110[[#This Row],[Batch]]</f>
        <v>60</v>
      </c>
      <c r="P295" s="230">
        <f>Table3.110[[#This Row],[Run]]</f>
        <v>1</v>
      </c>
      <c r="Q295" s="230">
        <f>Table3.110[[#This Row],[Replication]]</f>
        <v>1</v>
      </c>
      <c r="R295" s="230">
        <f>Table3.110[[#This Row],[Syrange No]]</f>
        <v>213</v>
      </c>
      <c r="S295" s="250">
        <v>0.59109999999999996</v>
      </c>
      <c r="T295" s="250">
        <v>0.79279999999999995</v>
      </c>
      <c r="U295" s="108"/>
      <c r="V295" s="122">
        <f t="shared" ref="V295:V341" si="21">T295-S295</f>
        <v>0.20169999999999999</v>
      </c>
      <c r="W295" s="61">
        <f>Table3.110[[#This Row],[DM Incubated, mg]]-('3.2 Digest'!V295*1000)</f>
        <v>271.51958716513411</v>
      </c>
      <c r="X295" s="61">
        <f>W295/Table3.110[[#This Row],[DM Incubated, mg]]*100</f>
        <v>57.377081280954037</v>
      </c>
      <c r="Y295" s="37">
        <f>Table3.1[[#This Row],[DM Incubated, mg]]*'2.4 NDF'!R77/100</f>
        <v>245.96419578287765</v>
      </c>
      <c r="Z295" s="37">
        <f t="shared" si="14"/>
        <v>44.264195782877664</v>
      </c>
      <c r="AA295" s="37">
        <f t="shared" si="15"/>
        <v>17.996194788428241</v>
      </c>
      <c r="AB295" s="57"/>
    </row>
    <row r="296" spans="2:28" x14ac:dyDescent="0.35">
      <c r="B296" s="230">
        <f t="shared" si="12"/>
        <v>286</v>
      </c>
      <c r="C296" s="246" t="s">
        <v>687</v>
      </c>
      <c r="D296" s="248">
        <f>Table3.110[[#This Row],[Date]]</f>
        <v>46048</v>
      </c>
      <c r="E296" s="230" t="str">
        <f>Table3.110[[#This Row],[Requisitioner]]</f>
        <v>Genbank</v>
      </c>
      <c r="F296" s="230" t="str">
        <f>Table3.110[[#This Row],[Gene Bank ID]]</f>
        <v>CIAT-17459</v>
      </c>
      <c r="G296" s="230" t="str">
        <f>Table3.110[[#This Row],[Genus]]</f>
        <v>Erythrina</v>
      </c>
      <c r="H296" s="230" t="str">
        <f>Table3.110[[#This Row],[Species]]</f>
        <v>berteroana</v>
      </c>
      <c r="I296" s="230" t="str">
        <f>Table3.110[[#This Row],[Tax Name]]</f>
        <v>Erythrina berteroana</v>
      </c>
      <c r="J296" s="230" t="str">
        <f>Table3.110[[#This Row],[Family]]</f>
        <v>Fabaceae</v>
      </c>
      <c r="K296" s="230" t="str">
        <f>Table3.110[[#This Row],[Order]]</f>
        <v>Fabales</v>
      </c>
      <c r="L296" s="230" t="str">
        <f>Table3.110[[#This Row],[Functional Group]]</f>
        <v>Tree</v>
      </c>
      <c r="M296" s="230" t="str">
        <f>Table3.110[[#This Row],[CIAT ID]]</f>
        <v>F251758</v>
      </c>
      <c r="N296" s="230">
        <f>Table3.110[[#This Row],[Set CIAT]]</f>
        <v>28</v>
      </c>
      <c r="O296" s="230">
        <f>Table3.110[[#This Row],[Batch]]</f>
        <v>60</v>
      </c>
      <c r="P296" s="230">
        <f>Table3.110[[#This Row],[Run]]</f>
        <v>1</v>
      </c>
      <c r="Q296" s="230">
        <f>Table3.110[[#This Row],[Replication]]</f>
        <v>2</v>
      </c>
      <c r="R296" s="230">
        <f>Table3.110[[#This Row],[Syrange No]]</f>
        <v>214</v>
      </c>
      <c r="S296" s="98">
        <v>0.57269999999999999</v>
      </c>
      <c r="T296" s="98">
        <v>0.76719999999999999</v>
      </c>
      <c r="U296" s="108"/>
      <c r="V296" s="122">
        <f t="shared" si="21"/>
        <v>0.19450000000000001</v>
      </c>
      <c r="W296" s="61">
        <f>Table3.110[[#This Row],[DM Incubated, mg]]-('3.2 Digest'!V296*1000)</f>
        <v>279.00334866053606</v>
      </c>
      <c r="X296" s="61">
        <f>W296/Table3.110[[#This Row],[DM Incubated, mg]]*100</f>
        <v>58.923204967777131</v>
      </c>
      <c r="Y296" s="37">
        <f>Table3.1[[#This Row],[DM Incubated, mg]]*'2.4 NDF'!R77/100</f>
        <v>246.11168580633338</v>
      </c>
      <c r="Z296" s="37">
        <f t="shared" si="14"/>
        <v>51.611685806333384</v>
      </c>
      <c r="AA296" s="37">
        <f t="shared" si="15"/>
        <v>20.970839168907606</v>
      </c>
      <c r="AB296" s="57"/>
    </row>
    <row r="297" spans="2:28" x14ac:dyDescent="0.35">
      <c r="B297" s="230">
        <f t="shared" si="12"/>
        <v>287</v>
      </c>
      <c r="C297" s="246" t="s">
        <v>687</v>
      </c>
      <c r="D297" s="248">
        <f>Table3.110[[#This Row],[Date]]</f>
        <v>46048</v>
      </c>
      <c r="E297" s="230" t="str">
        <f>Table3.110[[#This Row],[Requisitioner]]</f>
        <v>Genbank</v>
      </c>
      <c r="F297" s="230" t="str">
        <f>Table3.110[[#This Row],[Gene Bank ID]]</f>
        <v>CIAT-17459</v>
      </c>
      <c r="G297" s="230" t="str">
        <f>Table3.110[[#This Row],[Genus]]</f>
        <v>Erythrina</v>
      </c>
      <c r="H297" s="230" t="str">
        <f>Table3.110[[#This Row],[Species]]</f>
        <v>berteroana</v>
      </c>
      <c r="I297" s="230" t="str">
        <f>Table3.110[[#This Row],[Tax Name]]</f>
        <v>Erythrina berteroana</v>
      </c>
      <c r="J297" s="230" t="str">
        <f>Table3.110[[#This Row],[Family]]</f>
        <v>Fabaceae</v>
      </c>
      <c r="K297" s="230" t="str">
        <f>Table3.110[[#This Row],[Order]]</f>
        <v>Fabales</v>
      </c>
      <c r="L297" s="230" t="str">
        <f>Table3.110[[#This Row],[Functional Group]]</f>
        <v>Tree</v>
      </c>
      <c r="M297" s="230" t="str">
        <f>Table3.110[[#This Row],[CIAT ID]]</f>
        <v>F251758</v>
      </c>
      <c r="N297" s="230">
        <f>Table3.110[[#This Row],[Set CIAT]]</f>
        <v>28</v>
      </c>
      <c r="O297" s="230">
        <f>Table3.110[[#This Row],[Batch]]</f>
        <v>60</v>
      </c>
      <c r="P297" s="230">
        <f>Table3.110[[#This Row],[Run]]</f>
        <v>1</v>
      </c>
      <c r="Q297" s="230">
        <f>Table3.110[[#This Row],[Replication]]</f>
        <v>3</v>
      </c>
      <c r="R297" s="230">
        <f>Table3.110[[#This Row],[Syrange No]]</f>
        <v>215</v>
      </c>
      <c r="S297" s="250">
        <v>0.56710000000000005</v>
      </c>
      <c r="T297" s="250">
        <v>0.75890000000000002</v>
      </c>
      <c r="U297" s="108"/>
      <c r="V297" s="122">
        <f t="shared" si="21"/>
        <v>0.19179999999999997</v>
      </c>
      <c r="W297" s="61">
        <f>Table3.110[[#This Row],[DM Incubated, mg]]-('3.2 Digest'!V297*1000)</f>
        <v>281.70334866053611</v>
      </c>
      <c r="X297" s="61">
        <f>W297/Table3.110[[#This Row],[DM Incubated, mg]]*100</f>
        <v>59.493422688018796</v>
      </c>
      <c r="Y297" s="37">
        <f>Table3.1[[#This Row],[DM Incubated, mg]]*'2.4 NDF'!R77/100</f>
        <v>246.11168580633338</v>
      </c>
      <c r="Z297" s="37">
        <f t="shared" si="14"/>
        <v>54.311685806333401</v>
      </c>
      <c r="AA297" s="37">
        <f t="shared" si="15"/>
        <v>22.067902069904783</v>
      </c>
      <c r="AB297" s="57"/>
    </row>
    <row r="298" spans="2:28" x14ac:dyDescent="0.35">
      <c r="B298" s="230">
        <f t="shared" si="12"/>
        <v>288</v>
      </c>
      <c r="C298" s="246" t="s">
        <v>687</v>
      </c>
      <c r="D298" s="248">
        <f>Table3.110[[#This Row],[Date]]</f>
        <v>46048</v>
      </c>
      <c r="E298" s="230" t="str">
        <f>Table3.110[[#This Row],[Requisitioner]]</f>
        <v>Genbank</v>
      </c>
      <c r="F298" s="230" t="str">
        <f>Table3.110[[#This Row],[Gene Bank ID]]</f>
        <v>CIAT-17482</v>
      </c>
      <c r="G298" s="230" t="str">
        <f>Table3.110[[#This Row],[Genus]]</f>
        <v>Leucaena</v>
      </c>
      <c r="H298" s="230" t="str">
        <f>Table3.110[[#This Row],[Species]]</f>
        <v>leucocephala</v>
      </c>
      <c r="I298" s="230" t="str">
        <f>Table3.110[[#This Row],[Tax Name]]</f>
        <v>Leucaena leucocephala</v>
      </c>
      <c r="J298" s="230" t="str">
        <f>Table3.110[[#This Row],[Family]]</f>
        <v>Fabaceae</v>
      </c>
      <c r="K298" s="230" t="str">
        <f>Table3.110[[#This Row],[Order]]</f>
        <v>Fabales</v>
      </c>
      <c r="L298" s="230" t="str">
        <f>Table3.110[[#This Row],[Functional Group]]</f>
        <v>Tree</v>
      </c>
      <c r="M298" s="230" t="str">
        <f>Table3.110[[#This Row],[CIAT ID]]</f>
        <v>F251759</v>
      </c>
      <c r="N298" s="230">
        <f>Table3.110[[#This Row],[Set CIAT]]</f>
        <v>28</v>
      </c>
      <c r="O298" s="230">
        <f>Table3.110[[#This Row],[Batch]]</f>
        <v>60</v>
      </c>
      <c r="P298" s="230">
        <f>Table3.110[[#This Row],[Run]]</f>
        <v>1</v>
      </c>
      <c r="Q298" s="230">
        <f>Table3.110[[#This Row],[Replication]]</f>
        <v>1</v>
      </c>
      <c r="R298" s="230">
        <f>Table3.110[[#This Row],[Syrange No]]</f>
        <v>216</v>
      </c>
      <c r="S298" s="98">
        <v>0.56999999999999995</v>
      </c>
      <c r="T298" s="98">
        <v>0.90910000000000002</v>
      </c>
      <c r="U298" s="108"/>
      <c r="V298" s="122">
        <f t="shared" si="21"/>
        <v>0.33910000000000007</v>
      </c>
      <c r="W298" s="61">
        <f>Table3.110[[#This Row],[DM Incubated, mg]]-('3.2 Digest'!V298*1000)</f>
        <v>124.67247178276</v>
      </c>
      <c r="X298" s="61">
        <f>W298/Table3.110[[#This Row],[DM Incubated, mg]]*100</f>
        <v>26.882249242503331</v>
      </c>
      <c r="Y298" s="37">
        <f>Table3.1[[#This Row],[DM Incubated, mg]]*'2.4 NDF'!R79/100</f>
        <v>236.74323949788464</v>
      </c>
      <c r="Z298" s="37">
        <f t="shared" si="14"/>
        <v>-102.35676050211543</v>
      </c>
      <c r="AA298" s="37">
        <f t="shared" si="15"/>
        <v>-43.235346749164513</v>
      </c>
      <c r="AB298" s="57"/>
    </row>
    <row r="299" spans="2:28" x14ac:dyDescent="0.35">
      <c r="B299" s="230">
        <f t="shared" si="12"/>
        <v>289</v>
      </c>
      <c r="C299" s="246" t="s">
        <v>687</v>
      </c>
      <c r="D299" s="248">
        <f>Table3.110[[#This Row],[Date]]</f>
        <v>46048</v>
      </c>
      <c r="E299" s="230" t="str">
        <f>Table3.110[[#This Row],[Requisitioner]]</f>
        <v>Genbank</v>
      </c>
      <c r="F299" s="230" t="str">
        <f>Table3.110[[#This Row],[Gene Bank ID]]</f>
        <v>CIAT-17482</v>
      </c>
      <c r="G299" s="230" t="str">
        <f>Table3.110[[#This Row],[Genus]]</f>
        <v>Leucaena</v>
      </c>
      <c r="H299" s="230" t="str">
        <f>Table3.110[[#This Row],[Species]]</f>
        <v>leucocephala</v>
      </c>
      <c r="I299" s="230" t="str">
        <f>Table3.110[[#This Row],[Tax Name]]</f>
        <v>Leucaena leucocephala</v>
      </c>
      <c r="J299" s="230" t="str">
        <f>Table3.110[[#This Row],[Family]]</f>
        <v>Fabaceae</v>
      </c>
      <c r="K299" s="230" t="str">
        <f>Table3.110[[#This Row],[Order]]</f>
        <v>Fabales</v>
      </c>
      <c r="L299" s="230" t="str">
        <f>Table3.110[[#This Row],[Functional Group]]</f>
        <v>Tree</v>
      </c>
      <c r="M299" s="230" t="str">
        <f>Table3.110[[#This Row],[CIAT ID]]</f>
        <v>F251759</v>
      </c>
      <c r="N299" s="230">
        <f>Table3.110[[#This Row],[Set CIAT]]</f>
        <v>28</v>
      </c>
      <c r="O299" s="230">
        <f>Table3.110[[#This Row],[Batch]]</f>
        <v>60</v>
      </c>
      <c r="P299" s="230">
        <f>Table3.110[[#This Row],[Run]]</f>
        <v>1</v>
      </c>
      <c r="Q299" s="230">
        <f>Table3.110[[#This Row],[Replication]]</f>
        <v>2</v>
      </c>
      <c r="R299" s="230">
        <f>Table3.110[[#This Row],[Syrange No]]</f>
        <v>217</v>
      </c>
      <c r="S299" s="250">
        <v>0.55940000000000001</v>
      </c>
      <c r="T299" s="250">
        <v>0.85860000000000003</v>
      </c>
      <c r="U299" s="108"/>
      <c r="V299" s="122">
        <f t="shared" si="21"/>
        <v>0.29920000000000002</v>
      </c>
      <c r="W299" s="61">
        <f>Table3.110[[#This Row],[DM Incubated, mg]]-('3.2 Digest'!V299*1000)</f>
        <v>164.57247178276003</v>
      </c>
      <c r="X299" s="61">
        <f>W299/Table3.110[[#This Row],[DM Incubated, mg]]*100</f>
        <v>35.485605937354755</v>
      </c>
      <c r="Y299" s="37">
        <f>Table3.1[[#This Row],[DM Incubated, mg]]*'2.4 NDF'!R79/100</f>
        <v>236.74323949788464</v>
      </c>
      <c r="Z299" s="37">
        <f t="shared" si="14"/>
        <v>-62.456760502115401</v>
      </c>
      <c r="AA299" s="37">
        <f t="shared" si="15"/>
        <v>-26.381644787230961</v>
      </c>
      <c r="AB299" s="57"/>
    </row>
    <row r="300" spans="2:28" x14ac:dyDescent="0.35">
      <c r="B300" s="230">
        <f t="shared" si="12"/>
        <v>290</v>
      </c>
      <c r="C300" s="246" t="s">
        <v>687</v>
      </c>
      <c r="D300" s="248">
        <f>Table3.110[[#This Row],[Date]]</f>
        <v>46048</v>
      </c>
      <c r="E300" s="230" t="str">
        <f>Table3.110[[#This Row],[Requisitioner]]</f>
        <v>Genbank</v>
      </c>
      <c r="F300" s="230" t="str">
        <f>Table3.110[[#This Row],[Gene Bank ID]]</f>
        <v>CIAT-17482</v>
      </c>
      <c r="G300" s="230" t="str">
        <f>Table3.110[[#This Row],[Genus]]</f>
        <v>Leucaena</v>
      </c>
      <c r="H300" s="230" t="str">
        <f>Table3.110[[#This Row],[Species]]</f>
        <v>leucocephala</v>
      </c>
      <c r="I300" s="230" t="str">
        <f>Table3.110[[#This Row],[Tax Name]]</f>
        <v>Leucaena leucocephala</v>
      </c>
      <c r="J300" s="230" t="str">
        <f>Table3.110[[#This Row],[Family]]</f>
        <v>Fabaceae</v>
      </c>
      <c r="K300" s="230" t="str">
        <f>Table3.110[[#This Row],[Order]]</f>
        <v>Fabales</v>
      </c>
      <c r="L300" s="230" t="str">
        <f>Table3.110[[#This Row],[Functional Group]]</f>
        <v>Tree</v>
      </c>
      <c r="M300" s="230" t="str">
        <f>Table3.110[[#This Row],[CIAT ID]]</f>
        <v>F251759</v>
      </c>
      <c r="N300" s="230">
        <f>Table3.110[[#This Row],[Set CIAT]]</f>
        <v>28</v>
      </c>
      <c r="O300" s="230">
        <f>Table3.110[[#This Row],[Batch]]</f>
        <v>60</v>
      </c>
      <c r="P300" s="230">
        <f>Table3.110[[#This Row],[Run]]</f>
        <v>1</v>
      </c>
      <c r="Q300" s="230">
        <f>Table3.110[[#This Row],[Replication]]</f>
        <v>3</v>
      </c>
      <c r="R300" s="230">
        <f>Table3.110[[#This Row],[Syrange No]]</f>
        <v>218</v>
      </c>
      <c r="S300" s="98">
        <v>0.55589999999999995</v>
      </c>
      <c r="T300" s="98">
        <v>0.80810000000000004</v>
      </c>
      <c r="U300" s="108"/>
      <c r="V300" s="122">
        <f t="shared" si="21"/>
        <v>0.25220000000000009</v>
      </c>
      <c r="W300" s="61">
        <f>Table3.110[[#This Row],[DM Incubated, mg]]-('3.2 Digest'!V300*1000)</f>
        <v>211.1091626201399</v>
      </c>
      <c r="X300" s="61">
        <f>W300/Table3.110[[#This Row],[DM Incubated, mg]]*100</f>
        <v>45.56550563909849</v>
      </c>
      <c r="Y300" s="37">
        <f>Table3.1[[#This Row],[DM Incubated, mg]]*'2.4 NDF'!R79/100</f>
        <v>236.50673276511955</v>
      </c>
      <c r="Z300" s="37">
        <f t="shared" si="14"/>
        <v>-15.693267234880551</v>
      </c>
      <c r="AA300" s="37">
        <f t="shared" si="15"/>
        <v>-6.6354420660260471</v>
      </c>
      <c r="AB300" s="57"/>
    </row>
    <row r="301" spans="2:28" x14ac:dyDescent="0.35">
      <c r="B301" s="230">
        <f t="shared" si="12"/>
        <v>291</v>
      </c>
      <c r="C301" s="246" t="s">
        <v>687</v>
      </c>
      <c r="D301" s="248">
        <f>Table3.110[[#This Row],[Date]]</f>
        <v>46048</v>
      </c>
      <c r="E301" s="230" t="str">
        <f>Table3.110[[#This Row],[Requisitioner]]</f>
        <v>Genbank</v>
      </c>
      <c r="F301" s="230" t="str">
        <f>Table3.110[[#This Row],[Gene Bank ID]]</f>
        <v>CIAT-17502</v>
      </c>
      <c r="G301" s="230" t="str">
        <f>Table3.110[[#This Row],[Genus]]</f>
        <v>Leucaena</v>
      </c>
      <c r="H301" s="230" t="str">
        <f>Table3.110[[#This Row],[Species]]</f>
        <v>leucocephala</v>
      </c>
      <c r="I301" s="230" t="str">
        <f>Table3.110[[#This Row],[Tax Name]]</f>
        <v>Leucaena leucocephala</v>
      </c>
      <c r="J301" s="230" t="str">
        <f>Table3.110[[#This Row],[Family]]</f>
        <v>Fabaceae</v>
      </c>
      <c r="K301" s="230" t="str">
        <f>Table3.110[[#This Row],[Order]]</f>
        <v>Fabales</v>
      </c>
      <c r="L301" s="230" t="str">
        <f>Table3.110[[#This Row],[Functional Group]]</f>
        <v>Tree</v>
      </c>
      <c r="M301" s="230" t="str">
        <f>Table3.110[[#This Row],[CIAT ID]]</f>
        <v>F251760</v>
      </c>
      <c r="N301" s="230">
        <f>Table3.110[[#This Row],[Set CIAT]]</f>
        <v>28</v>
      </c>
      <c r="O301" s="230">
        <f>Table3.110[[#This Row],[Batch]]</f>
        <v>60</v>
      </c>
      <c r="P301" s="230">
        <f>Table3.110[[#This Row],[Run]]</f>
        <v>1</v>
      </c>
      <c r="Q301" s="230">
        <f>Table3.110[[#This Row],[Replication]]</f>
        <v>1</v>
      </c>
      <c r="R301" s="230">
        <f>Table3.110[[#This Row],[Syrange No]]</f>
        <v>219</v>
      </c>
      <c r="S301" s="250">
        <v>0.58860000000000001</v>
      </c>
      <c r="T301" s="250">
        <v>0.84309999999999996</v>
      </c>
      <c r="U301" s="108"/>
      <c r="V301" s="122">
        <f t="shared" si="21"/>
        <v>0.25449999999999995</v>
      </c>
      <c r="W301" s="61">
        <f>Table3.110[[#This Row],[DM Incubated, mg]]-('3.2 Digest'!V301*1000)</f>
        <v>216.80431427962992</v>
      </c>
      <c r="X301" s="61">
        <f>W301/Table3.110[[#This Row],[DM Incubated, mg]]*100</f>
        <v>46.000918665683507</v>
      </c>
      <c r="Y301" s="37">
        <f>Table3.1[[#This Row],[DM Incubated, mg]]*'2.4 NDF'!R81/100</f>
        <v>217.21122599819918</v>
      </c>
      <c r="Z301" s="37">
        <f t="shared" si="14"/>
        <v>-37.288774001800761</v>
      </c>
      <c r="AA301" s="37">
        <f t="shared" si="15"/>
        <v>-17.167056550801803</v>
      </c>
      <c r="AB301" s="57"/>
    </row>
    <row r="302" spans="2:28" x14ac:dyDescent="0.35">
      <c r="B302" s="230">
        <f t="shared" si="12"/>
        <v>292</v>
      </c>
      <c r="C302" s="246" t="s">
        <v>687</v>
      </c>
      <c r="D302" s="248">
        <f>Table3.110[[#This Row],[Date]]</f>
        <v>46048</v>
      </c>
      <c r="E302" s="230" t="str">
        <f>Table3.110[[#This Row],[Requisitioner]]</f>
        <v>Genbank</v>
      </c>
      <c r="F302" s="230" t="str">
        <f>Table3.110[[#This Row],[Gene Bank ID]]</f>
        <v>CIAT-17502</v>
      </c>
      <c r="G302" s="230" t="str">
        <f>Table3.110[[#This Row],[Genus]]</f>
        <v>Leucaena</v>
      </c>
      <c r="H302" s="230" t="str">
        <f>Table3.110[[#This Row],[Species]]</f>
        <v>leucocephala</v>
      </c>
      <c r="I302" s="230" t="str">
        <f>Table3.110[[#This Row],[Tax Name]]</f>
        <v>Leucaena leucocephala</v>
      </c>
      <c r="J302" s="230" t="str">
        <f>Table3.110[[#This Row],[Family]]</f>
        <v>Fabaceae</v>
      </c>
      <c r="K302" s="230" t="str">
        <f>Table3.110[[#This Row],[Order]]</f>
        <v>Fabales</v>
      </c>
      <c r="L302" s="230" t="str">
        <f>Table3.110[[#This Row],[Functional Group]]</f>
        <v>Tree</v>
      </c>
      <c r="M302" s="230" t="str">
        <f>Table3.110[[#This Row],[CIAT ID]]</f>
        <v>F251760</v>
      </c>
      <c r="N302" s="230">
        <f>Table3.110[[#This Row],[Set CIAT]]</f>
        <v>28</v>
      </c>
      <c r="O302" s="230">
        <f>Table3.110[[#This Row],[Batch]]</f>
        <v>60</v>
      </c>
      <c r="P302" s="230">
        <f>Table3.110[[#This Row],[Run]]</f>
        <v>1</v>
      </c>
      <c r="Q302" s="230">
        <f>Table3.110[[#This Row],[Replication]]</f>
        <v>2</v>
      </c>
      <c r="R302" s="230">
        <f>Table3.110[[#This Row],[Syrange No]]</f>
        <v>220</v>
      </c>
      <c r="S302" s="98">
        <v>0.56699999999999995</v>
      </c>
      <c r="T302" s="98">
        <v>0.78939999999999999</v>
      </c>
      <c r="U302" s="108"/>
      <c r="V302" s="122">
        <f t="shared" si="21"/>
        <v>0.22240000000000004</v>
      </c>
      <c r="W302" s="61">
        <f>Table3.110[[#This Row],[DM Incubated, mg]]-('3.2 Digest'!V302*1000)</f>
        <v>249.37561859390945</v>
      </c>
      <c r="X302" s="61">
        <f>W302/Table3.110[[#This Row],[DM Incubated, mg]]*100</f>
        <v>52.85894581351068</v>
      </c>
      <c r="Y302" s="37">
        <f>Table3.1[[#This Row],[DM Incubated, mg]]*'2.4 NDF'!R81/100</f>
        <v>217.42843722419738</v>
      </c>
      <c r="Z302" s="37">
        <f t="shared" si="14"/>
        <v>-4.9715627758026528</v>
      </c>
      <c r="AA302" s="37">
        <f t="shared" si="15"/>
        <v>-2.2865283121528011</v>
      </c>
      <c r="AB302" s="57"/>
    </row>
    <row r="303" spans="2:28" x14ac:dyDescent="0.35">
      <c r="B303" s="230">
        <f t="shared" si="12"/>
        <v>293</v>
      </c>
      <c r="C303" s="246" t="s">
        <v>687</v>
      </c>
      <c r="D303" s="248">
        <f>Table3.110[[#This Row],[Date]]</f>
        <v>46048</v>
      </c>
      <c r="E303" s="230" t="str">
        <f>Table3.110[[#This Row],[Requisitioner]]</f>
        <v>Genbank</v>
      </c>
      <c r="F303" s="230" t="str">
        <f>Table3.110[[#This Row],[Gene Bank ID]]</f>
        <v>CIAT-17502</v>
      </c>
      <c r="G303" s="230" t="str">
        <f>Table3.110[[#This Row],[Genus]]</f>
        <v>Leucaena</v>
      </c>
      <c r="H303" s="230" t="str">
        <f>Table3.110[[#This Row],[Species]]</f>
        <v>leucocephala</v>
      </c>
      <c r="I303" s="230" t="str">
        <f>Table3.110[[#This Row],[Tax Name]]</f>
        <v>Leucaena leucocephala</v>
      </c>
      <c r="J303" s="230" t="str">
        <f>Table3.110[[#This Row],[Family]]</f>
        <v>Fabaceae</v>
      </c>
      <c r="K303" s="230" t="str">
        <f>Table3.110[[#This Row],[Order]]</f>
        <v>Fabales</v>
      </c>
      <c r="L303" s="230" t="str">
        <f>Table3.110[[#This Row],[Functional Group]]</f>
        <v>Tree</v>
      </c>
      <c r="M303" s="230" t="str">
        <f>Table3.110[[#This Row],[CIAT ID]]</f>
        <v>F251760</v>
      </c>
      <c r="N303" s="230">
        <f>Table3.110[[#This Row],[Set CIAT]]</f>
        <v>28</v>
      </c>
      <c r="O303" s="230">
        <f>Table3.110[[#This Row],[Batch]]</f>
        <v>60</v>
      </c>
      <c r="P303" s="230">
        <f>Table3.110[[#This Row],[Run]]</f>
        <v>1</v>
      </c>
      <c r="Q303" s="230">
        <f>Table3.110[[#This Row],[Replication]]</f>
        <v>3</v>
      </c>
      <c r="R303" s="230">
        <f>Table3.110[[#This Row],[Syrange No]]</f>
        <v>221</v>
      </c>
      <c r="S303" s="250">
        <v>0.58720000000000006</v>
      </c>
      <c r="T303" s="250">
        <v>0.81989999999999996</v>
      </c>
      <c r="U303" s="108"/>
      <c r="V303" s="122">
        <f t="shared" si="21"/>
        <v>0.23269999999999991</v>
      </c>
      <c r="W303" s="61">
        <f>Table3.110[[#This Row],[DM Incubated, mg]]-('3.2 Digest'!V303*1000)</f>
        <v>238.98135773105369</v>
      </c>
      <c r="X303" s="61">
        <f>W303/Table3.110[[#This Row],[DM Incubated, mg]]*100</f>
        <v>50.66584757146957</v>
      </c>
      <c r="Y303" s="37">
        <f>Table3.1[[#This Row],[DM Incubated, mg]]*'2.4 NDF'!R81/100</f>
        <v>217.38499497899775</v>
      </c>
      <c r="Z303" s="37">
        <f t="shared" si="14"/>
        <v>-15.31500502100215</v>
      </c>
      <c r="AA303" s="37">
        <f t="shared" si="15"/>
        <v>-7.0451067804757086</v>
      </c>
      <c r="AB303" s="57"/>
    </row>
    <row r="304" spans="2:28" x14ac:dyDescent="0.35">
      <c r="B304" s="230">
        <f t="shared" si="12"/>
        <v>294</v>
      </c>
      <c r="C304" s="246" t="s">
        <v>687</v>
      </c>
      <c r="D304" s="248">
        <f>Table3.110[[#This Row],[Date]]</f>
        <v>46048</v>
      </c>
      <c r="E304" s="230" t="str">
        <f>Table3.110[[#This Row],[Requisitioner]]</f>
        <v>Genbank</v>
      </c>
      <c r="F304" s="230" t="str">
        <f>Table3.110[[#This Row],[Gene Bank ID]]</f>
        <v>CIAT-19384</v>
      </c>
      <c r="G304" s="230" t="str">
        <f>Table3.110[[#This Row],[Genus]]</f>
        <v>Prosopis</v>
      </c>
      <c r="H304" s="230" t="str">
        <f>Table3.110[[#This Row],[Species]]</f>
        <v>juliflora</v>
      </c>
      <c r="I304" s="230" t="str">
        <f>Table3.110[[#This Row],[Tax Name]]</f>
        <v>Prosopis juliflora</v>
      </c>
      <c r="J304" s="230" t="str">
        <f>Table3.110[[#This Row],[Family]]</f>
        <v>Fabaceae</v>
      </c>
      <c r="K304" s="230" t="str">
        <f>Table3.110[[#This Row],[Order]]</f>
        <v>Fabales</v>
      </c>
      <c r="L304" s="230" t="str">
        <f>Table3.110[[#This Row],[Functional Group]]</f>
        <v>Tree</v>
      </c>
      <c r="M304" s="230" t="str">
        <f>Table3.110[[#This Row],[CIAT ID]]</f>
        <v>F251761</v>
      </c>
      <c r="N304" s="230">
        <f>Table3.110[[#This Row],[Set CIAT]]</f>
        <v>28</v>
      </c>
      <c r="O304" s="230">
        <f>Table3.110[[#This Row],[Batch]]</f>
        <v>60</v>
      </c>
      <c r="P304" s="230">
        <f>Table3.110[[#This Row],[Run]]</f>
        <v>1</v>
      </c>
      <c r="Q304" s="230">
        <f>Table3.110[[#This Row],[Replication]]</f>
        <v>1</v>
      </c>
      <c r="R304" s="230">
        <f>Table3.110[[#This Row],[Syrange No]]</f>
        <v>222</v>
      </c>
      <c r="S304" s="98">
        <v>0.55930000000000002</v>
      </c>
      <c r="T304" s="98">
        <v>0.74680000000000002</v>
      </c>
      <c r="U304" s="108"/>
      <c r="V304" s="122">
        <f t="shared" si="21"/>
        <v>0.1875</v>
      </c>
      <c r="W304" s="61">
        <f>Table3.110[[#This Row],[DM Incubated, mg]]-('3.2 Digest'!V304*1000)</f>
        <v>279.71842480689094</v>
      </c>
      <c r="X304" s="61">
        <f>W304/Table3.110[[#This Row],[DM Incubated, mg]]*100</f>
        <v>59.868877157938108</v>
      </c>
      <c r="Y304" s="37">
        <f>Table3.1[[#This Row],[DM Incubated, mg]]*'2.4 NDF'!R83/100</f>
        <v>245.08080164444777</v>
      </c>
      <c r="Z304" s="37">
        <f t="shared" si="14"/>
        <v>57.580801644447774</v>
      </c>
      <c r="AA304" s="37">
        <f t="shared" si="15"/>
        <v>23.49461943085343</v>
      </c>
      <c r="AB304" s="57"/>
    </row>
    <row r="305" spans="2:28" x14ac:dyDescent="0.35">
      <c r="B305" s="230">
        <f t="shared" si="12"/>
        <v>295</v>
      </c>
      <c r="C305" s="246" t="s">
        <v>687</v>
      </c>
      <c r="D305" s="248">
        <f>Table3.110[[#This Row],[Date]]</f>
        <v>46048</v>
      </c>
      <c r="E305" s="230" t="str">
        <f>Table3.110[[#This Row],[Requisitioner]]</f>
        <v>Genbank</v>
      </c>
      <c r="F305" s="230" t="str">
        <f>Table3.110[[#This Row],[Gene Bank ID]]</f>
        <v>CIAT-19384</v>
      </c>
      <c r="G305" s="230" t="str">
        <f>Table3.110[[#This Row],[Genus]]</f>
        <v>Prosopis</v>
      </c>
      <c r="H305" s="230" t="str">
        <f>Table3.110[[#This Row],[Species]]</f>
        <v>juliflora</v>
      </c>
      <c r="I305" s="230" t="str">
        <f>Table3.110[[#This Row],[Tax Name]]</f>
        <v>Prosopis juliflora</v>
      </c>
      <c r="J305" s="230" t="str">
        <f>Table3.110[[#This Row],[Family]]</f>
        <v>Fabaceae</v>
      </c>
      <c r="K305" s="230" t="str">
        <f>Table3.110[[#This Row],[Order]]</f>
        <v>Fabales</v>
      </c>
      <c r="L305" s="230" t="str">
        <f>Table3.110[[#This Row],[Functional Group]]</f>
        <v>Tree</v>
      </c>
      <c r="M305" s="230" t="str">
        <f>Table3.110[[#This Row],[CIAT ID]]</f>
        <v>F251761</v>
      </c>
      <c r="N305" s="230">
        <f>Table3.110[[#This Row],[Set CIAT]]</f>
        <v>28</v>
      </c>
      <c r="O305" s="230">
        <f>Table3.110[[#This Row],[Batch]]</f>
        <v>60</v>
      </c>
      <c r="P305" s="230">
        <f>Table3.110[[#This Row],[Run]]</f>
        <v>1</v>
      </c>
      <c r="Q305" s="230">
        <f>Table3.110[[#This Row],[Replication]]</f>
        <v>2</v>
      </c>
      <c r="R305" s="230">
        <f>Table3.110[[#This Row],[Syrange No]]</f>
        <v>223</v>
      </c>
      <c r="S305" s="250">
        <v>0.56200000000000006</v>
      </c>
      <c r="T305" s="250">
        <v>0.75209999999999999</v>
      </c>
      <c r="U305" s="108"/>
      <c r="V305" s="122">
        <f t="shared" si="21"/>
        <v>0.19009999999999994</v>
      </c>
      <c r="W305" s="61">
        <f>Table3.110[[#This Row],[DM Incubated, mg]]-('3.2 Digest'!V305*1000)</f>
        <v>276.83826184978125</v>
      </c>
      <c r="X305" s="61">
        <f>W305/Table3.110[[#This Row],[DM Incubated, mg]]*100</f>
        <v>59.28797968988092</v>
      </c>
      <c r="Y305" s="37">
        <f>Table3.1[[#This Row],[DM Incubated, mg]]*'2.4 NDF'!R83/100</f>
        <v>244.93384133964406</v>
      </c>
      <c r="Z305" s="37">
        <f t="shared" si="14"/>
        <v>54.833841339644124</v>
      </c>
      <c r="AA305" s="37">
        <f t="shared" si="15"/>
        <v>22.387205067186823</v>
      </c>
      <c r="AB305" s="57"/>
    </row>
    <row r="306" spans="2:28" x14ac:dyDescent="0.35">
      <c r="B306" s="230">
        <f t="shared" si="12"/>
        <v>296</v>
      </c>
      <c r="C306" s="246" t="s">
        <v>687</v>
      </c>
      <c r="D306" s="248">
        <f>Table3.110[[#This Row],[Date]]</f>
        <v>46048</v>
      </c>
      <c r="E306" s="230" t="str">
        <f>Table3.110[[#This Row],[Requisitioner]]</f>
        <v>Genbank</v>
      </c>
      <c r="F306" s="230" t="str">
        <f>Table3.110[[#This Row],[Gene Bank ID]]</f>
        <v>CIAT-19384</v>
      </c>
      <c r="G306" s="230" t="str">
        <f>Table3.110[[#This Row],[Genus]]</f>
        <v>Prosopis</v>
      </c>
      <c r="H306" s="230" t="str">
        <f>Table3.110[[#This Row],[Species]]</f>
        <v>juliflora</v>
      </c>
      <c r="I306" s="230" t="str">
        <f>Table3.110[[#This Row],[Tax Name]]</f>
        <v>Prosopis juliflora</v>
      </c>
      <c r="J306" s="230" t="str">
        <f>Table3.110[[#This Row],[Family]]</f>
        <v>Fabaceae</v>
      </c>
      <c r="K306" s="230" t="str">
        <f>Table3.110[[#This Row],[Order]]</f>
        <v>Fabales</v>
      </c>
      <c r="L306" s="230" t="str">
        <f>Table3.110[[#This Row],[Functional Group]]</f>
        <v>Tree</v>
      </c>
      <c r="M306" s="230" t="str">
        <f>Table3.110[[#This Row],[CIAT ID]]</f>
        <v>F251761</v>
      </c>
      <c r="N306" s="230">
        <f>Table3.110[[#This Row],[Set CIAT]]</f>
        <v>28</v>
      </c>
      <c r="O306" s="230">
        <f>Table3.110[[#This Row],[Batch]]</f>
        <v>60</v>
      </c>
      <c r="P306" s="230">
        <f>Table3.110[[#This Row],[Run]]</f>
        <v>1</v>
      </c>
      <c r="Q306" s="230">
        <f>Table3.110[[#This Row],[Replication]]</f>
        <v>3</v>
      </c>
      <c r="R306" s="230">
        <f>Table3.110[[#This Row],[Syrange No]]</f>
        <v>224</v>
      </c>
      <c r="S306" s="98">
        <v>0.56389999999999996</v>
      </c>
      <c r="T306" s="98">
        <v>0.7359</v>
      </c>
      <c r="U306" s="108"/>
      <c r="V306" s="122">
        <f t="shared" si="21"/>
        <v>0.17200000000000004</v>
      </c>
      <c r="W306" s="61">
        <f>Table3.110[[#This Row],[DM Incubated, mg]]-('3.2 Digest'!V306*1000)</f>
        <v>295.31181245926098</v>
      </c>
      <c r="X306" s="61">
        <f>W306/Table3.110[[#This Row],[DM Incubated, mg]]*100</f>
        <v>63.193740150749022</v>
      </c>
      <c r="Y306" s="37">
        <f>Table3.1[[#This Row],[DM Incubated, mg]]*'2.4 NDF'!R83/100</f>
        <v>245.12978841271575</v>
      </c>
      <c r="Z306" s="37">
        <f t="shared" si="14"/>
        <v>73.129788412715726</v>
      </c>
      <c r="AA306" s="37">
        <f t="shared" si="15"/>
        <v>29.83308919175089</v>
      </c>
      <c r="AB306" s="57"/>
    </row>
    <row r="307" spans="2:28" x14ac:dyDescent="0.35">
      <c r="B307" s="230">
        <f t="shared" si="12"/>
        <v>297</v>
      </c>
      <c r="C307" s="246" t="s">
        <v>687</v>
      </c>
      <c r="D307" s="248">
        <f>Table3.110[[#This Row],[Date]]</f>
        <v>46048</v>
      </c>
      <c r="E307" s="230" t="str">
        <f>Table3.110[[#This Row],[Requisitioner]]</f>
        <v>Genbank</v>
      </c>
      <c r="F307" s="230" t="str">
        <f>Table3.110[[#This Row],[Gene Bank ID]]</f>
        <v>CIAT-19571</v>
      </c>
      <c r="G307" s="230" t="str">
        <f>Table3.110[[#This Row],[Genus]]</f>
        <v>Senna</v>
      </c>
      <c r="H307" s="230" t="str">
        <f>Table3.110[[#This Row],[Species]]</f>
        <v>cobanensis</v>
      </c>
      <c r="I307" s="230" t="str">
        <f>Table3.110[[#This Row],[Tax Name]]</f>
        <v>Senna cobanensis</v>
      </c>
      <c r="J307" s="230" t="str">
        <f>Table3.110[[#This Row],[Family]]</f>
        <v>Fabaceae</v>
      </c>
      <c r="K307" s="230" t="str">
        <f>Table3.110[[#This Row],[Order]]</f>
        <v>Fabales</v>
      </c>
      <c r="L307" s="230" t="str">
        <f>Table3.110[[#This Row],[Functional Group]]</f>
        <v>Tree</v>
      </c>
      <c r="M307" s="230" t="str">
        <f>Table3.110[[#This Row],[CIAT ID]]</f>
        <v>F251762</v>
      </c>
      <c r="N307" s="230">
        <f>Table3.110[[#This Row],[Set CIAT]]</f>
        <v>28</v>
      </c>
      <c r="O307" s="230">
        <f>Table3.110[[#This Row],[Batch]]</f>
        <v>60</v>
      </c>
      <c r="P307" s="230">
        <f>Table3.110[[#This Row],[Run]]</f>
        <v>1</v>
      </c>
      <c r="Q307" s="230">
        <f>Table3.110[[#This Row],[Replication]]</f>
        <v>1</v>
      </c>
      <c r="R307" s="230">
        <f>Table3.110[[#This Row],[Syrange No]]</f>
        <v>225</v>
      </c>
      <c r="S307" s="250">
        <v>0.55369999999999997</v>
      </c>
      <c r="T307" s="250">
        <v>0.90069999999999995</v>
      </c>
      <c r="U307" s="108"/>
      <c r="V307" s="122">
        <f t="shared" si="21"/>
        <v>0.34699999999999998</v>
      </c>
      <c r="W307" s="61">
        <f>Table3.110[[#This Row],[DM Incubated, mg]]-('3.2 Digest'!V307*1000)</f>
        <v>119.50299062388405</v>
      </c>
      <c r="X307" s="61">
        <f>W307/Table3.110[[#This Row],[DM Incubated, mg]]*100</f>
        <v>25.616768386428802</v>
      </c>
      <c r="Y307" s="37">
        <f>Table3.1[[#This Row],[DM Incubated, mg]]*'2.4 NDF'!R85/100</f>
        <v>259.86420464514185</v>
      </c>
      <c r="Z307" s="37">
        <f t="shared" si="14"/>
        <v>-87.135795354858146</v>
      </c>
      <c r="AA307" s="37">
        <f t="shared" si="15"/>
        <v>-33.531280490841986</v>
      </c>
      <c r="AB307" s="57"/>
    </row>
    <row r="308" spans="2:28" x14ac:dyDescent="0.35">
      <c r="B308" s="230">
        <f t="shared" si="12"/>
        <v>298</v>
      </c>
      <c r="C308" s="246" t="s">
        <v>687</v>
      </c>
      <c r="D308" s="248">
        <f>Table3.110[[#This Row],[Date]]</f>
        <v>46048</v>
      </c>
      <c r="E308" s="230" t="str">
        <f>Table3.110[[#This Row],[Requisitioner]]</f>
        <v>Genbank</v>
      </c>
      <c r="F308" s="230" t="str">
        <f>Table3.110[[#This Row],[Gene Bank ID]]</f>
        <v>CIAT-19571</v>
      </c>
      <c r="G308" s="230" t="str">
        <f>Table3.110[[#This Row],[Genus]]</f>
        <v>Senna</v>
      </c>
      <c r="H308" s="230" t="str">
        <f>Table3.110[[#This Row],[Species]]</f>
        <v>cobanensis</v>
      </c>
      <c r="I308" s="230" t="str">
        <f>Table3.110[[#This Row],[Tax Name]]</f>
        <v>Senna cobanensis</v>
      </c>
      <c r="J308" s="230" t="str">
        <f>Table3.110[[#This Row],[Family]]</f>
        <v>Fabaceae</v>
      </c>
      <c r="K308" s="230" t="str">
        <f>Table3.110[[#This Row],[Order]]</f>
        <v>Fabales</v>
      </c>
      <c r="L308" s="230" t="str">
        <f>Table3.110[[#This Row],[Functional Group]]</f>
        <v>Tree</v>
      </c>
      <c r="M308" s="230" t="str">
        <f>Table3.110[[#This Row],[CIAT ID]]</f>
        <v>F251762</v>
      </c>
      <c r="N308" s="230">
        <f>Table3.110[[#This Row],[Set CIAT]]</f>
        <v>28</v>
      </c>
      <c r="O308" s="230">
        <f>Table3.110[[#This Row],[Batch]]</f>
        <v>60</v>
      </c>
      <c r="P308" s="230">
        <f>Table3.110[[#This Row],[Run]]</f>
        <v>1</v>
      </c>
      <c r="Q308" s="230">
        <f>Table3.110[[#This Row],[Replication]]</f>
        <v>2</v>
      </c>
      <c r="R308" s="230">
        <f>Table3.110[[#This Row],[Syrange No]]</f>
        <v>226</v>
      </c>
      <c r="S308" s="98">
        <v>0.5655</v>
      </c>
      <c r="T308" s="98">
        <v>0.79690000000000005</v>
      </c>
      <c r="U308" s="108"/>
      <c r="V308" s="122">
        <f t="shared" si="21"/>
        <v>0.23140000000000005</v>
      </c>
      <c r="W308" s="61">
        <f>Table3.110[[#This Row],[DM Incubated, mg]]-('3.2 Digest'!V308*1000)</f>
        <v>235.19619801461809</v>
      </c>
      <c r="X308" s="61">
        <f>W308/Table3.110[[#This Row],[DM Incubated, mg]]*100</f>
        <v>50.406796929633266</v>
      </c>
      <c r="Y308" s="37">
        <f>Table3.1[[#This Row],[DM Incubated, mg]]*'2.4 NDF'!R85/100</f>
        <v>259.91612556515088</v>
      </c>
      <c r="Z308" s="37">
        <f t="shared" si="14"/>
        <v>28.516125565150816</v>
      </c>
      <c r="AA308" s="37">
        <f t="shared" si="15"/>
        <v>10.971279870822379</v>
      </c>
      <c r="AB308" s="57"/>
    </row>
    <row r="309" spans="2:28" x14ac:dyDescent="0.35">
      <c r="B309" s="230">
        <f t="shared" si="12"/>
        <v>299</v>
      </c>
      <c r="C309" s="246" t="s">
        <v>687</v>
      </c>
      <c r="D309" s="248">
        <f>Table3.110[[#This Row],[Date]]</f>
        <v>46048</v>
      </c>
      <c r="E309" s="230" t="str">
        <f>Table3.110[[#This Row],[Requisitioner]]</f>
        <v>Genbank</v>
      </c>
      <c r="F309" s="230" t="str">
        <f>Table3.110[[#This Row],[Gene Bank ID]]</f>
        <v>CIAT-19571</v>
      </c>
      <c r="G309" s="230" t="str">
        <f>Table3.110[[#This Row],[Genus]]</f>
        <v>Senna</v>
      </c>
      <c r="H309" s="230" t="str">
        <f>Table3.110[[#This Row],[Species]]</f>
        <v>cobanensis</v>
      </c>
      <c r="I309" s="230" t="str">
        <f>Table3.110[[#This Row],[Tax Name]]</f>
        <v>Senna cobanensis</v>
      </c>
      <c r="J309" s="230" t="str">
        <f>Table3.110[[#This Row],[Family]]</f>
        <v>Fabaceae</v>
      </c>
      <c r="K309" s="230" t="str">
        <f>Table3.110[[#This Row],[Order]]</f>
        <v>Fabales</v>
      </c>
      <c r="L309" s="230" t="str">
        <f>Table3.110[[#This Row],[Functional Group]]</f>
        <v>Tree</v>
      </c>
      <c r="M309" s="230" t="str">
        <f>Table3.110[[#This Row],[CIAT ID]]</f>
        <v>F251762</v>
      </c>
      <c r="N309" s="230">
        <f>Table3.110[[#This Row],[Set CIAT]]</f>
        <v>28</v>
      </c>
      <c r="O309" s="230">
        <f>Table3.110[[#This Row],[Batch]]</f>
        <v>60</v>
      </c>
      <c r="P309" s="230">
        <f>Table3.110[[#This Row],[Run]]</f>
        <v>1</v>
      </c>
      <c r="Q309" s="230">
        <f>Table3.110[[#This Row],[Replication]]</f>
        <v>3</v>
      </c>
      <c r="R309" s="230">
        <f>Table3.110[[#This Row],[Syrange No]]</f>
        <v>227</v>
      </c>
      <c r="S309" s="250">
        <v>0.56879999999999997</v>
      </c>
      <c r="T309" s="250">
        <v>0.84660000000000002</v>
      </c>
      <c r="U309" s="108"/>
      <c r="V309" s="122">
        <f t="shared" si="21"/>
        <v>0.27780000000000005</v>
      </c>
      <c r="W309" s="61">
        <f>Table3.110[[#This Row],[DM Incubated, mg]]-('3.2 Digest'!V309*1000)</f>
        <v>188.60978323314993</v>
      </c>
      <c r="X309" s="61">
        <f>W309/Table3.110[[#This Row],[DM Incubated, mg]]*100</f>
        <v>40.438642158341523</v>
      </c>
      <c r="Y309" s="37">
        <f>Table3.1[[#This Row],[DM Incubated, mg]]*'2.4 NDF'!R85/100</f>
        <v>259.81228372513283</v>
      </c>
      <c r="Z309" s="37">
        <f t="shared" si="14"/>
        <v>-17.987716274867239</v>
      </c>
      <c r="AA309" s="37">
        <f t="shared" si="15"/>
        <v>-6.9233509736195753</v>
      </c>
      <c r="AB309" s="57"/>
    </row>
    <row r="310" spans="2:28" x14ac:dyDescent="0.35">
      <c r="B310" s="230">
        <f t="shared" si="12"/>
        <v>300</v>
      </c>
      <c r="C310" s="246" t="s">
        <v>687</v>
      </c>
      <c r="D310" s="248">
        <f>Table3.110[[#This Row],[Date]]</f>
        <v>46048</v>
      </c>
      <c r="E310" s="230" t="str">
        <f>Table3.110[[#This Row],[Requisitioner]]</f>
        <v>Genbank</v>
      </c>
      <c r="F310" s="230" t="str">
        <f>Table3.110[[#This Row],[Gene Bank ID]]</f>
        <v>CIAT-20126</v>
      </c>
      <c r="G310" s="230" t="str">
        <f>Table3.110[[#This Row],[Genus]]</f>
        <v>Acacia</v>
      </c>
      <c r="H310" s="230" t="str">
        <f>Table3.110[[#This Row],[Species]]</f>
        <v>angustissima</v>
      </c>
      <c r="I310" s="230" t="str">
        <f>Table3.110[[#This Row],[Tax Name]]</f>
        <v>Acacia angustissima</v>
      </c>
      <c r="J310" s="230" t="str">
        <f>Table3.110[[#This Row],[Family]]</f>
        <v>Fabaceae</v>
      </c>
      <c r="K310" s="230" t="str">
        <f>Table3.110[[#This Row],[Order]]</f>
        <v>Fabales</v>
      </c>
      <c r="L310" s="230" t="str">
        <f>Table3.110[[#This Row],[Functional Group]]</f>
        <v>Tree</v>
      </c>
      <c r="M310" s="230" t="str">
        <f>Table3.110[[#This Row],[CIAT ID]]</f>
        <v>F251763</v>
      </c>
      <c r="N310" s="230">
        <f>Table3.110[[#This Row],[Set CIAT]]</f>
        <v>28</v>
      </c>
      <c r="O310" s="230">
        <f>Table3.110[[#This Row],[Batch]]</f>
        <v>60</v>
      </c>
      <c r="P310" s="230">
        <f>Table3.110[[#This Row],[Run]]</f>
        <v>1</v>
      </c>
      <c r="Q310" s="230">
        <f>Table3.110[[#This Row],[Replication]]</f>
        <v>1</v>
      </c>
      <c r="R310" s="230">
        <f>Table3.110[[#This Row],[Syrange No]]</f>
        <v>228</v>
      </c>
      <c r="S310" s="98">
        <v>0.60229999999999995</v>
      </c>
      <c r="T310" s="98">
        <v>0.95650000000000002</v>
      </c>
      <c r="U310" s="108"/>
      <c r="V310" s="122">
        <f t="shared" si="21"/>
        <v>0.35420000000000007</v>
      </c>
      <c r="W310" s="61">
        <f>Table3.110[[#This Row],[DM Incubated, mg]]-('3.2 Digest'!V310*1000)</f>
        <v>115.94250195538103</v>
      </c>
      <c r="X310" s="61">
        <f>W310/Table3.110[[#This Row],[DM Incubated, mg]]*100</f>
        <v>24.661140286862338</v>
      </c>
      <c r="Y310" s="37">
        <f>Table3.1[[#This Row],[DM Incubated, mg]]*'2.4 NDF'!R87/100</f>
        <v>274.03138500414281</v>
      </c>
      <c r="Z310" s="37">
        <f t="shared" si="14"/>
        <v>-80.16861499585724</v>
      </c>
      <c r="AA310" s="37">
        <f t="shared" si="15"/>
        <v>-29.255267601791395</v>
      </c>
      <c r="AB310" s="57"/>
    </row>
    <row r="311" spans="2:28" x14ac:dyDescent="0.35">
      <c r="B311" s="230">
        <f t="shared" si="12"/>
        <v>301</v>
      </c>
      <c r="C311" s="246" t="s">
        <v>687</v>
      </c>
      <c r="D311" s="248">
        <f>Table3.110[[#This Row],[Date]]</f>
        <v>46048</v>
      </c>
      <c r="E311" s="230" t="str">
        <f>Table3.110[[#This Row],[Requisitioner]]</f>
        <v>Genbank</v>
      </c>
      <c r="F311" s="230" t="str">
        <f>Table3.110[[#This Row],[Gene Bank ID]]</f>
        <v>CIAT-20126</v>
      </c>
      <c r="G311" s="230" t="str">
        <f>Table3.110[[#This Row],[Genus]]</f>
        <v>Acacia</v>
      </c>
      <c r="H311" s="230" t="str">
        <f>Table3.110[[#This Row],[Species]]</f>
        <v>angustissima</v>
      </c>
      <c r="I311" s="230" t="str">
        <f>Table3.110[[#This Row],[Tax Name]]</f>
        <v>Acacia angustissima</v>
      </c>
      <c r="J311" s="230" t="str">
        <f>Table3.110[[#This Row],[Family]]</f>
        <v>Fabaceae</v>
      </c>
      <c r="K311" s="230" t="str">
        <f>Table3.110[[#This Row],[Order]]</f>
        <v>Fabales</v>
      </c>
      <c r="L311" s="230" t="str">
        <f>Table3.110[[#This Row],[Functional Group]]</f>
        <v>Tree</v>
      </c>
      <c r="M311" s="230" t="str">
        <f>Table3.110[[#This Row],[CIAT ID]]</f>
        <v>F251763</v>
      </c>
      <c r="N311" s="230">
        <f>Table3.110[[#This Row],[Set CIAT]]</f>
        <v>28</v>
      </c>
      <c r="O311" s="230">
        <f>Table3.110[[#This Row],[Batch]]</f>
        <v>60</v>
      </c>
      <c r="P311" s="230">
        <f>Table3.110[[#This Row],[Run]]</f>
        <v>1</v>
      </c>
      <c r="Q311" s="230">
        <f>Table3.110[[#This Row],[Replication]]</f>
        <v>2</v>
      </c>
      <c r="R311" s="230">
        <f>Table3.110[[#This Row],[Syrange No]]</f>
        <v>229</v>
      </c>
      <c r="S311" s="250">
        <v>0.60650000000000004</v>
      </c>
      <c r="T311" s="250">
        <v>0.96009999999999995</v>
      </c>
      <c r="U311" s="108" t="s">
        <v>688</v>
      </c>
      <c r="V311" s="122">
        <f t="shared" si="21"/>
        <v>0.35359999999999991</v>
      </c>
      <c r="W311" s="61">
        <f>Table3.110[[#This Row],[DM Incubated, mg]]-('3.2 Digest'!V311*1000)</f>
        <v>116.54250195538117</v>
      </c>
      <c r="X311" s="61">
        <f>W311/Table3.110[[#This Row],[DM Incubated, mg]]*100</f>
        <v>24.788761167234703</v>
      </c>
      <c r="Y311" s="37">
        <f>Table3.1[[#This Row],[DM Incubated, mg]]*'2.4 NDF'!R87/100</f>
        <v>274.03138500414281</v>
      </c>
      <c r="Z311" s="37">
        <f t="shared" si="14"/>
        <v>-79.568614995857104</v>
      </c>
      <c r="AA311" s="37">
        <f t="shared" si="15"/>
        <v>-29.036314579315135</v>
      </c>
      <c r="AB311" s="57"/>
    </row>
    <row r="312" spans="2:28" x14ac:dyDescent="0.35">
      <c r="B312" s="230">
        <f t="shared" si="12"/>
        <v>302</v>
      </c>
      <c r="C312" s="246" t="s">
        <v>687</v>
      </c>
      <c r="D312" s="248">
        <f>Table3.110[[#This Row],[Date]]</f>
        <v>46048</v>
      </c>
      <c r="E312" s="230" t="str">
        <f>Table3.110[[#This Row],[Requisitioner]]</f>
        <v>Genbank</v>
      </c>
      <c r="F312" s="230" t="str">
        <f>Table3.110[[#This Row],[Gene Bank ID]]</f>
        <v>CIAT-20126</v>
      </c>
      <c r="G312" s="230" t="str">
        <f>Table3.110[[#This Row],[Genus]]</f>
        <v>Acacia</v>
      </c>
      <c r="H312" s="230" t="str">
        <f>Table3.110[[#This Row],[Species]]</f>
        <v>angustissima</v>
      </c>
      <c r="I312" s="230" t="str">
        <f>Table3.110[[#This Row],[Tax Name]]</f>
        <v>Acacia angustissima</v>
      </c>
      <c r="J312" s="230" t="str">
        <f>Table3.110[[#This Row],[Family]]</f>
        <v>Fabaceae</v>
      </c>
      <c r="K312" s="230" t="str">
        <f>Table3.110[[#This Row],[Order]]</f>
        <v>Fabales</v>
      </c>
      <c r="L312" s="230" t="str">
        <f>Table3.110[[#This Row],[Functional Group]]</f>
        <v>Tree</v>
      </c>
      <c r="M312" s="230" t="str">
        <f>Table3.110[[#This Row],[CIAT ID]]</f>
        <v>F251763</v>
      </c>
      <c r="N312" s="230">
        <f>Table3.110[[#This Row],[Set CIAT]]</f>
        <v>28</v>
      </c>
      <c r="O312" s="230">
        <f>Table3.110[[#This Row],[Batch]]</f>
        <v>60</v>
      </c>
      <c r="P312" s="230">
        <f>Table3.110[[#This Row],[Run]]</f>
        <v>1</v>
      </c>
      <c r="Q312" s="230">
        <f>Table3.110[[#This Row],[Replication]]</f>
        <v>3</v>
      </c>
      <c r="R312" s="230">
        <f>Table3.110[[#This Row],[Syrange No]]</f>
        <v>230</v>
      </c>
      <c r="S312" s="98">
        <v>0.57509999999999994</v>
      </c>
      <c r="T312" s="98">
        <v>1.143</v>
      </c>
      <c r="U312" s="108"/>
      <c r="V312" s="122">
        <f>T312-S312</f>
        <v>0.56790000000000007</v>
      </c>
      <c r="W312" s="61"/>
      <c r="X312" s="61"/>
      <c r="Y312" s="275"/>
      <c r="Z312" s="275"/>
      <c r="AA312" s="275"/>
      <c r="AB312" s="57"/>
    </row>
    <row r="313" spans="2:28" x14ac:dyDescent="0.35">
      <c r="B313" s="230">
        <f t="shared" si="12"/>
        <v>303</v>
      </c>
      <c r="C313" s="246" t="s">
        <v>687</v>
      </c>
      <c r="D313" s="248">
        <f>Table3.110[[#This Row],[Date]]</f>
        <v>46048</v>
      </c>
      <c r="E313" s="230" t="str">
        <f>Table3.110[[#This Row],[Requisitioner]]</f>
        <v>Genbank</v>
      </c>
      <c r="F313" s="230" t="str">
        <f>Table3.110[[#This Row],[Gene Bank ID]]</f>
        <v>CIAT-20788</v>
      </c>
      <c r="G313" s="230" t="str">
        <f>Table3.110[[#This Row],[Genus]]</f>
        <v>Senna</v>
      </c>
      <c r="H313" s="230" t="str">
        <f>Table3.110[[#This Row],[Species]]</f>
        <v>pallida</v>
      </c>
      <c r="I313" s="230" t="str">
        <f>Table3.110[[#This Row],[Tax Name]]</f>
        <v>Senna pallida</v>
      </c>
      <c r="J313" s="230" t="str">
        <f>Table3.110[[#This Row],[Family]]</f>
        <v>Fabaceae</v>
      </c>
      <c r="K313" s="230" t="str">
        <f>Table3.110[[#This Row],[Order]]</f>
        <v>Fabales</v>
      </c>
      <c r="L313" s="230" t="str">
        <f>Table3.110[[#This Row],[Functional Group]]</f>
        <v>Tree</v>
      </c>
      <c r="M313" s="230" t="str">
        <f>Table3.110[[#This Row],[CIAT ID]]</f>
        <v>F251764</v>
      </c>
      <c r="N313" s="230">
        <f>Table3.110[[#This Row],[Set CIAT]]</f>
        <v>28</v>
      </c>
      <c r="O313" s="230">
        <f>Table3.110[[#This Row],[Batch]]</f>
        <v>60</v>
      </c>
      <c r="P313" s="230">
        <f>Table3.110[[#This Row],[Run]]</f>
        <v>1</v>
      </c>
      <c r="Q313" s="230">
        <f>Table3.110[[#This Row],[Replication]]</f>
        <v>1</v>
      </c>
      <c r="R313" s="230">
        <f>Table3.110[[#This Row],[Syrange No]]</f>
        <v>231</v>
      </c>
      <c r="S313" s="250">
        <v>0.57850000000000001</v>
      </c>
      <c r="T313" s="250">
        <v>0.71609999999999996</v>
      </c>
      <c r="U313" s="108"/>
      <c r="V313" s="122">
        <f t="shared" si="21"/>
        <v>0.13759999999999994</v>
      </c>
      <c r="W313" s="61">
        <f>Table3.110[[#This Row],[DM Incubated, mg]]-('3.2 Digest'!V313*1000)</f>
        <v>332.26587523742876</v>
      </c>
      <c r="X313" s="61">
        <f>W313/Table3.110[[#This Row],[DM Incubated, mg]]*100</f>
        <v>70.715047154580219</v>
      </c>
      <c r="Y313" s="37">
        <f>Table3.1[[#This Row],[DM Incubated, mg]]*'2.4 NDF'!R89/100</f>
        <v>250.71948592144011</v>
      </c>
      <c r="Z313" s="37">
        <f t="shared" ref="Z313:Z314" si="22">Y313-(V313*1000)</f>
        <v>113.11948592144017</v>
      </c>
      <c r="AA313" s="37">
        <f t="shared" ref="AA313:AA314" si="23">Z313/Y313*100</f>
        <v>45.117947456578939</v>
      </c>
      <c r="AB313" s="57"/>
    </row>
    <row r="314" spans="2:28" x14ac:dyDescent="0.35">
      <c r="B314" s="230">
        <f t="shared" si="12"/>
        <v>304</v>
      </c>
      <c r="C314" s="246" t="s">
        <v>687</v>
      </c>
      <c r="D314" s="248">
        <f>Table3.110[[#This Row],[Date]]</f>
        <v>46048</v>
      </c>
      <c r="E314" s="230" t="str">
        <f>Table3.110[[#This Row],[Requisitioner]]</f>
        <v>Genbank</v>
      </c>
      <c r="F314" s="230" t="str">
        <f>Table3.110[[#This Row],[Gene Bank ID]]</f>
        <v>CIAT-20788</v>
      </c>
      <c r="G314" s="230" t="str">
        <f>Table3.110[[#This Row],[Genus]]</f>
        <v>Senna</v>
      </c>
      <c r="H314" s="230" t="str">
        <f>Table3.110[[#This Row],[Species]]</f>
        <v>pallida</v>
      </c>
      <c r="I314" s="230" t="str">
        <f>Table3.110[[#This Row],[Tax Name]]</f>
        <v>Senna pallida</v>
      </c>
      <c r="J314" s="230" t="str">
        <f>Table3.110[[#This Row],[Family]]</f>
        <v>Fabaceae</v>
      </c>
      <c r="K314" s="230" t="str">
        <f>Table3.110[[#This Row],[Order]]</f>
        <v>Fabales</v>
      </c>
      <c r="L314" s="230" t="str">
        <f>Table3.110[[#This Row],[Functional Group]]</f>
        <v>Tree</v>
      </c>
      <c r="M314" s="230" t="str">
        <f>Table3.110[[#This Row],[CIAT ID]]</f>
        <v>F251764</v>
      </c>
      <c r="N314" s="230">
        <f>Table3.110[[#This Row],[Set CIAT]]</f>
        <v>28</v>
      </c>
      <c r="O314" s="230">
        <f>Table3.110[[#This Row],[Batch]]</f>
        <v>60</v>
      </c>
      <c r="P314" s="230">
        <f>Table3.110[[#This Row],[Run]]</f>
        <v>1</v>
      </c>
      <c r="Q314" s="230">
        <f>Table3.110[[#This Row],[Replication]]</f>
        <v>2</v>
      </c>
      <c r="R314" s="230">
        <f>Table3.110[[#This Row],[Syrange No]]</f>
        <v>232</v>
      </c>
      <c r="S314" s="98">
        <v>0.55389999999999995</v>
      </c>
      <c r="T314" s="98">
        <v>0.71</v>
      </c>
      <c r="U314" s="108"/>
      <c r="V314" s="122">
        <f t="shared" si="21"/>
        <v>0.15610000000000002</v>
      </c>
      <c r="W314" s="61">
        <f>Table3.110[[#This Row],[DM Incubated, mg]]-('3.2 Digest'!V314*1000)</f>
        <v>313.48412476257113</v>
      </c>
      <c r="X314" s="61">
        <f>W314/Table3.110[[#This Row],[DM Incubated, mg]]*100</f>
        <v>66.757820001064445</v>
      </c>
      <c r="Y314" s="37">
        <f>Table3.1[[#This Row],[DM Incubated, mg]]*'2.4 NDF'!R89/100</f>
        <v>250.56914443477922</v>
      </c>
      <c r="Z314" s="37">
        <f t="shared" si="22"/>
        <v>94.469144434779196</v>
      </c>
      <c r="AA314" s="37">
        <f t="shared" si="23"/>
        <v>37.701826634671143</v>
      </c>
      <c r="AB314" s="57"/>
    </row>
    <row r="315" spans="2:28" x14ac:dyDescent="0.35">
      <c r="B315" s="230">
        <f t="shared" si="12"/>
        <v>305</v>
      </c>
      <c r="C315" s="246" t="s">
        <v>687</v>
      </c>
      <c r="D315" s="248">
        <f>Table3.110[[#This Row],[Date]]</f>
        <v>46048</v>
      </c>
      <c r="E315" s="230" t="str">
        <f>Table3.110[[#This Row],[Requisitioner]]</f>
        <v>Genbank</v>
      </c>
      <c r="F315" s="230" t="str">
        <f>Table3.110[[#This Row],[Gene Bank ID]]</f>
        <v>CIAT-20788</v>
      </c>
      <c r="G315" s="230" t="str">
        <f>Table3.110[[#This Row],[Genus]]</f>
        <v>Senna</v>
      </c>
      <c r="H315" s="230" t="str">
        <f>Table3.110[[#This Row],[Species]]</f>
        <v>pallida</v>
      </c>
      <c r="I315" s="230" t="str">
        <f>Table3.110[[#This Row],[Tax Name]]</f>
        <v>Senna pallida</v>
      </c>
      <c r="J315" s="230" t="str">
        <f>Table3.110[[#This Row],[Family]]</f>
        <v>Fabaceae</v>
      </c>
      <c r="K315" s="230" t="str">
        <f>Table3.110[[#This Row],[Order]]</f>
        <v>Fabales</v>
      </c>
      <c r="L315" s="230" t="str">
        <f>Table3.110[[#This Row],[Functional Group]]</f>
        <v>Tree</v>
      </c>
      <c r="M315" s="230" t="str">
        <f>Table3.110[[#This Row],[CIAT ID]]</f>
        <v>F251764</v>
      </c>
      <c r="N315" s="230">
        <f>Table3.110[[#This Row],[Set CIAT]]</f>
        <v>28</v>
      </c>
      <c r="O315" s="230">
        <f>Table3.110[[#This Row],[Batch]]</f>
        <v>60</v>
      </c>
      <c r="P315" s="230">
        <f>Table3.110[[#This Row],[Run]]</f>
        <v>1</v>
      </c>
      <c r="Q315" s="230">
        <f>Table3.110[[#This Row],[Replication]]</f>
        <v>3</v>
      </c>
      <c r="R315" s="230">
        <f>Table3.110[[#This Row],[Syrange No]]</f>
        <v>233</v>
      </c>
      <c r="S315" s="250">
        <v>0.55700000000000005</v>
      </c>
      <c r="T315" s="250">
        <v>0.69979999999999998</v>
      </c>
      <c r="U315" s="108"/>
      <c r="V315" s="122">
        <f t="shared" si="21"/>
        <v>0.14279999999999993</v>
      </c>
      <c r="W315" s="61">
        <f>Table3.110[[#This Row],[DM Incubated, mg]]-('3.2 Digest'!V315*1000)</f>
        <v>327.34762571228634</v>
      </c>
      <c r="X315" s="61">
        <f>W315/Table3.110[[#This Row],[DM Incubated, mg]]*100</f>
        <v>69.626561490413977</v>
      </c>
      <c r="Y315" s="37">
        <f>Table3.1[[#This Row],[DM Incubated, mg]]*'2.4 NDF'!R89/100</f>
        <v>250.869827408101</v>
      </c>
      <c r="Z315" s="37">
        <f t="shared" si="14"/>
        <v>108.06982740810108</v>
      </c>
      <c r="AA315" s="37">
        <f t="shared" si="15"/>
        <v>43.078049092089152</v>
      </c>
      <c r="AB315" s="57"/>
    </row>
    <row r="316" spans="2:28" x14ac:dyDescent="0.35">
      <c r="B316" s="230">
        <f t="shared" si="12"/>
        <v>306</v>
      </c>
      <c r="C316" s="246" t="s">
        <v>687</v>
      </c>
      <c r="D316" s="248">
        <f>Table3.110[[#This Row],[Date]]</f>
        <v>46048</v>
      </c>
      <c r="E316" s="230" t="str">
        <f>Table3.110[[#This Row],[Requisitioner]]</f>
        <v>Genbank</v>
      </c>
      <c r="F316" s="230" t="str">
        <f>Table3.110[[#This Row],[Gene Bank ID]]</f>
        <v>CIAT-21242</v>
      </c>
      <c r="G316" s="230" t="str">
        <f>Table3.110[[#This Row],[Genus]]</f>
        <v>Leucaena</v>
      </c>
      <c r="H316" s="230" t="str">
        <f>Table3.110[[#This Row],[Species]]</f>
        <v>diversifolia</v>
      </c>
      <c r="I316" s="230" t="str">
        <f>Table3.110[[#This Row],[Tax Name]]</f>
        <v>Leucaena diversifolia</v>
      </c>
      <c r="J316" s="230" t="str">
        <f>Table3.110[[#This Row],[Family]]</f>
        <v>Fabaceae</v>
      </c>
      <c r="K316" s="230" t="str">
        <f>Table3.110[[#This Row],[Order]]</f>
        <v>Fabales</v>
      </c>
      <c r="L316" s="230" t="str">
        <f>Table3.110[[#This Row],[Functional Group]]</f>
        <v>Tree</v>
      </c>
      <c r="M316" s="230" t="str">
        <f>Table3.110[[#This Row],[CIAT ID]]</f>
        <v>F251765</v>
      </c>
      <c r="N316" s="230">
        <f>Table3.110[[#This Row],[Set CIAT]]</f>
        <v>28</v>
      </c>
      <c r="O316" s="230">
        <f>Table3.110[[#This Row],[Batch]]</f>
        <v>60</v>
      </c>
      <c r="P316" s="230">
        <f>Table3.110[[#This Row],[Run]]</f>
        <v>1</v>
      </c>
      <c r="Q316" s="230">
        <f>Table3.110[[#This Row],[Replication]]</f>
        <v>1</v>
      </c>
      <c r="R316" s="230">
        <f>Table3.110[[#This Row],[Syrange No]]</f>
        <v>234</v>
      </c>
      <c r="S316" s="98">
        <v>0.58809999999999996</v>
      </c>
      <c r="T316" s="98">
        <v>0.9244</v>
      </c>
      <c r="U316" s="108"/>
      <c r="V316" s="122">
        <f t="shared" si="21"/>
        <v>0.33630000000000004</v>
      </c>
      <c r="W316" s="61">
        <f>Table3.110[[#This Row],[DM Incubated, mg]]-('3.2 Digest'!V316*1000)</f>
        <v>129.75682828698058</v>
      </c>
      <c r="X316" s="61">
        <f>W316/Table3.110[[#This Row],[DM Incubated, mg]]*100</f>
        <v>27.841417700907733</v>
      </c>
      <c r="Y316" s="37">
        <f>Table3.1[[#This Row],[DM Incubated, mg]]*'2.4 NDF'!R91/100</f>
        <v>295.67710880792072</v>
      </c>
      <c r="Z316" s="37">
        <f t="shared" si="14"/>
        <v>-40.622891192079351</v>
      </c>
      <c r="AA316" s="37">
        <f t="shared" si="15"/>
        <v>-13.738936827358184</v>
      </c>
      <c r="AB316" s="57"/>
    </row>
    <row r="317" spans="2:28" x14ac:dyDescent="0.35">
      <c r="B317" s="230">
        <f t="shared" si="12"/>
        <v>307</v>
      </c>
      <c r="C317" s="246" t="s">
        <v>687</v>
      </c>
      <c r="D317" s="248">
        <f>Table3.110[[#This Row],[Date]]</f>
        <v>46048</v>
      </c>
      <c r="E317" s="230" t="str">
        <f>Table3.110[[#This Row],[Requisitioner]]</f>
        <v>Genbank</v>
      </c>
      <c r="F317" s="230" t="str">
        <f>Table3.110[[#This Row],[Gene Bank ID]]</f>
        <v>CIAT-21242</v>
      </c>
      <c r="G317" s="230" t="str">
        <f>Table3.110[[#This Row],[Genus]]</f>
        <v>Leucaena</v>
      </c>
      <c r="H317" s="230" t="str">
        <f>Table3.110[[#This Row],[Species]]</f>
        <v>diversifolia</v>
      </c>
      <c r="I317" s="230" t="str">
        <f>Table3.110[[#This Row],[Tax Name]]</f>
        <v>Leucaena diversifolia</v>
      </c>
      <c r="J317" s="230" t="str">
        <f>Table3.110[[#This Row],[Family]]</f>
        <v>Fabaceae</v>
      </c>
      <c r="K317" s="230" t="str">
        <f>Table3.110[[#This Row],[Order]]</f>
        <v>Fabales</v>
      </c>
      <c r="L317" s="230" t="str">
        <f>Table3.110[[#This Row],[Functional Group]]</f>
        <v>Tree</v>
      </c>
      <c r="M317" s="230" t="str">
        <f>Table3.110[[#This Row],[CIAT ID]]</f>
        <v>F251765</v>
      </c>
      <c r="N317" s="230">
        <f>Table3.110[[#This Row],[Set CIAT]]</f>
        <v>28</v>
      </c>
      <c r="O317" s="230">
        <f>Table3.110[[#This Row],[Batch]]</f>
        <v>60</v>
      </c>
      <c r="P317" s="230">
        <f>Table3.110[[#This Row],[Run]]</f>
        <v>1</v>
      </c>
      <c r="Q317" s="230">
        <f>Table3.110[[#This Row],[Replication]]</f>
        <v>2</v>
      </c>
      <c r="R317" s="230">
        <f>Table3.110[[#This Row],[Syrange No]]</f>
        <v>235</v>
      </c>
      <c r="S317" s="250">
        <v>0.56430000000000002</v>
      </c>
      <c r="T317" s="250">
        <v>0.89419999999999999</v>
      </c>
      <c r="U317" s="108"/>
      <c r="V317" s="122">
        <f t="shared" si="21"/>
        <v>0.32989999999999997</v>
      </c>
      <c r="W317" s="61">
        <f>Table3.110[[#This Row],[DM Incubated, mg]]-('3.2 Digest'!V317*1000)</f>
        <v>136.4364623839528</v>
      </c>
      <c r="X317" s="61">
        <f>W317/Table3.110[[#This Row],[DM Incubated, mg]]*100</f>
        <v>29.257086543582218</v>
      </c>
      <c r="Y317" s="37">
        <f>Table3.1[[#This Row],[DM Incubated, mg]]*'2.4 NDF'!R91/100</f>
        <v>295.85451507320545</v>
      </c>
      <c r="Z317" s="37">
        <f t="shared" si="14"/>
        <v>-34.045484926794529</v>
      </c>
      <c r="AA317" s="37">
        <f t="shared" si="15"/>
        <v>-11.507508992509512</v>
      </c>
      <c r="AB317" s="57"/>
    </row>
    <row r="318" spans="2:28" x14ac:dyDescent="0.35">
      <c r="B318" s="230">
        <f t="shared" si="12"/>
        <v>308</v>
      </c>
      <c r="C318" s="246" t="s">
        <v>687</v>
      </c>
      <c r="D318" s="248">
        <f>Table3.110[[#This Row],[Date]]</f>
        <v>46048</v>
      </c>
      <c r="E318" s="230" t="str">
        <f>Table3.110[[#This Row],[Requisitioner]]</f>
        <v>Genbank</v>
      </c>
      <c r="F318" s="230" t="str">
        <f>Table3.110[[#This Row],[Gene Bank ID]]</f>
        <v>CIAT-21242</v>
      </c>
      <c r="G318" s="230" t="str">
        <f>Table3.110[[#This Row],[Genus]]</f>
        <v>Leucaena</v>
      </c>
      <c r="H318" s="230" t="str">
        <f>Table3.110[[#This Row],[Species]]</f>
        <v>diversifolia</v>
      </c>
      <c r="I318" s="230" t="str">
        <f>Table3.110[[#This Row],[Tax Name]]</f>
        <v>Leucaena diversifolia</v>
      </c>
      <c r="J318" s="230" t="str">
        <f>Table3.110[[#This Row],[Family]]</f>
        <v>Fabaceae</v>
      </c>
      <c r="K318" s="230" t="str">
        <f>Table3.110[[#This Row],[Order]]</f>
        <v>Fabales</v>
      </c>
      <c r="L318" s="230" t="str">
        <f>Table3.110[[#This Row],[Functional Group]]</f>
        <v>Tree</v>
      </c>
      <c r="M318" s="230" t="str">
        <f>Table3.110[[#This Row],[CIAT ID]]</f>
        <v>F251765</v>
      </c>
      <c r="N318" s="230">
        <f>Table3.110[[#This Row],[Set CIAT]]</f>
        <v>28</v>
      </c>
      <c r="O318" s="230">
        <f>Table3.110[[#This Row],[Batch]]</f>
        <v>60</v>
      </c>
      <c r="P318" s="230">
        <f>Table3.110[[#This Row],[Run]]</f>
        <v>1</v>
      </c>
      <c r="Q318" s="230">
        <f>Table3.110[[#This Row],[Replication]]</f>
        <v>3</v>
      </c>
      <c r="R318" s="230">
        <f>Table3.110[[#This Row],[Syrange No]]</f>
        <v>236</v>
      </c>
      <c r="S318" s="98">
        <v>0.56279999999999997</v>
      </c>
      <c r="T318" s="98">
        <v>0.89629999999999999</v>
      </c>
      <c r="U318" s="108"/>
      <c r="V318" s="122">
        <f t="shared" si="21"/>
        <v>0.33350000000000002</v>
      </c>
      <c r="W318" s="61">
        <f>Table3.110[[#This Row],[DM Incubated, mg]]-('3.2 Digest'!V318*1000)</f>
        <v>132.92967374961017</v>
      </c>
      <c r="X318" s="61">
        <f>W318/Table3.110[[#This Row],[DM Incubated, mg]]*100</f>
        <v>28.499403282169776</v>
      </c>
      <c r="Y318" s="37">
        <f>Table3.1[[#This Row],[DM Incubated, mg]]*'2.4 NDF'!R91/100</f>
        <v>295.91365049496704</v>
      </c>
      <c r="Z318" s="37">
        <f t="shared" si="14"/>
        <v>-37.586349505032956</v>
      </c>
      <c r="AA318" s="37">
        <f t="shared" si="15"/>
        <v>-12.701796433575554</v>
      </c>
      <c r="AB318" s="57"/>
    </row>
    <row r="319" spans="2:28" x14ac:dyDescent="0.35">
      <c r="B319" s="230">
        <f t="shared" si="12"/>
        <v>309</v>
      </c>
      <c r="C319" s="246" t="s">
        <v>687</v>
      </c>
      <c r="D319" s="248">
        <f>Table3.110[[#This Row],[Date]]</f>
        <v>46048</v>
      </c>
      <c r="E319" s="230" t="str">
        <f>Table3.110[[#This Row],[Requisitioner]]</f>
        <v>Genbank</v>
      </c>
      <c r="F319" s="230" t="str">
        <f>Table3.110[[#This Row],[Gene Bank ID]]</f>
        <v>CIAT-21512</v>
      </c>
      <c r="G319" s="230" t="str">
        <f>Table3.110[[#This Row],[Genus]]</f>
        <v>Calliandra</v>
      </c>
      <c r="H319" s="230" t="str">
        <f>Table3.110[[#This Row],[Species]]</f>
        <v>calothyrsus</v>
      </c>
      <c r="I319" s="230" t="str">
        <f>Table3.110[[#This Row],[Tax Name]]</f>
        <v>Calliandra calothyrsus</v>
      </c>
      <c r="J319" s="230" t="str">
        <f>Table3.110[[#This Row],[Family]]</f>
        <v>Fabaceae</v>
      </c>
      <c r="K319" s="230" t="str">
        <f>Table3.110[[#This Row],[Order]]</f>
        <v>Fabales</v>
      </c>
      <c r="L319" s="230" t="str">
        <f>Table3.110[[#This Row],[Functional Group]]</f>
        <v>Tree</v>
      </c>
      <c r="M319" s="230" t="str">
        <f>Table3.110[[#This Row],[CIAT ID]]</f>
        <v>F251766</v>
      </c>
      <c r="N319" s="230">
        <f>Table3.110[[#This Row],[Set CIAT]]</f>
        <v>28</v>
      </c>
      <c r="O319" s="230">
        <f>Table3.110[[#This Row],[Batch]]</f>
        <v>60</v>
      </c>
      <c r="P319" s="230">
        <f>Table3.110[[#This Row],[Run]]</f>
        <v>1</v>
      </c>
      <c r="Q319" s="230">
        <f>Table3.110[[#This Row],[Replication]]</f>
        <v>1</v>
      </c>
      <c r="R319" s="230">
        <f>Table3.110[[#This Row],[Syrange No]]</f>
        <v>237</v>
      </c>
      <c r="S319" s="250">
        <v>0.5766</v>
      </c>
      <c r="T319" s="250">
        <v>0.9254</v>
      </c>
      <c r="U319" s="108"/>
      <c r="V319" s="122">
        <f t="shared" si="21"/>
        <v>0.3488</v>
      </c>
      <c r="W319" s="61">
        <f>Table3.110[[#This Row],[DM Incubated, mg]]-('3.2 Digest'!V319*1000)</f>
        <v>115.69615153938418</v>
      </c>
      <c r="X319" s="61">
        <f>W319/Table3.110[[#This Row],[DM Incubated, mg]]*100</f>
        <v>24.907881616662738</v>
      </c>
      <c r="Y319" s="37">
        <f>Table3.1[[#This Row],[DM Incubated, mg]]*'2.4 NDF'!R93/100</f>
        <v>247.88295088814041</v>
      </c>
      <c r="Z319" s="37">
        <f t="shared" si="14"/>
        <v>-100.9170491118596</v>
      </c>
      <c r="AA319" s="37">
        <f t="shared" si="15"/>
        <v>-40.711573244663931</v>
      </c>
      <c r="AB319" s="57"/>
    </row>
    <row r="320" spans="2:28" x14ac:dyDescent="0.35">
      <c r="B320" s="230">
        <f t="shared" si="12"/>
        <v>310</v>
      </c>
      <c r="C320" s="246" t="s">
        <v>687</v>
      </c>
      <c r="D320" s="248">
        <f>Table3.110[[#This Row],[Date]]</f>
        <v>46048</v>
      </c>
      <c r="E320" s="230" t="str">
        <f>Table3.110[[#This Row],[Requisitioner]]</f>
        <v>Genbank</v>
      </c>
      <c r="F320" s="230" t="str">
        <f>Table3.110[[#This Row],[Gene Bank ID]]</f>
        <v>CIAT-21512</v>
      </c>
      <c r="G320" s="230" t="str">
        <f>Table3.110[[#This Row],[Genus]]</f>
        <v>Calliandra</v>
      </c>
      <c r="H320" s="230" t="str">
        <f>Table3.110[[#This Row],[Species]]</f>
        <v>calothyrsus</v>
      </c>
      <c r="I320" s="230" t="str">
        <f>Table3.110[[#This Row],[Tax Name]]</f>
        <v>Calliandra calothyrsus</v>
      </c>
      <c r="J320" s="230" t="str">
        <f>Table3.110[[#This Row],[Family]]</f>
        <v>Fabaceae</v>
      </c>
      <c r="K320" s="230" t="str">
        <f>Table3.110[[#This Row],[Order]]</f>
        <v>Fabales</v>
      </c>
      <c r="L320" s="230" t="str">
        <f>Table3.110[[#This Row],[Functional Group]]</f>
        <v>Tree</v>
      </c>
      <c r="M320" s="230" t="str">
        <f>Table3.110[[#This Row],[CIAT ID]]</f>
        <v>F251766</v>
      </c>
      <c r="N320" s="230">
        <f>Table3.110[[#This Row],[Set CIAT]]</f>
        <v>28</v>
      </c>
      <c r="O320" s="230">
        <f>Table3.110[[#This Row],[Batch]]</f>
        <v>60</v>
      </c>
      <c r="P320" s="230">
        <f>Table3.110[[#This Row],[Run]]</f>
        <v>1</v>
      </c>
      <c r="Q320" s="230">
        <f>Table3.110[[#This Row],[Replication]]</f>
        <v>2</v>
      </c>
      <c r="R320" s="230">
        <f>Table3.110[[#This Row],[Syrange No]]</f>
        <v>238</v>
      </c>
      <c r="S320" s="98">
        <v>0.58689999999999998</v>
      </c>
      <c r="T320" s="98">
        <v>0.95109999999999995</v>
      </c>
      <c r="U320" s="108"/>
      <c r="V320" s="122">
        <f t="shared" si="21"/>
        <v>0.36419999999999997</v>
      </c>
      <c r="W320" s="61">
        <f>Table3.110[[#This Row],[DM Incubated, mg]]-('3.2 Digest'!V320*1000)</f>
        <v>99.924999999999898</v>
      </c>
      <c r="X320" s="61">
        <f>W320/Table3.110[[#This Row],[DM Incubated, mg]]*100</f>
        <v>21.52976030164286</v>
      </c>
      <c r="Y320" s="37">
        <f>Table3.1[[#This Row],[DM Incubated, mg]]*'2.4 NDF'!R93/100</f>
        <v>247.68488220984381</v>
      </c>
      <c r="Z320" s="37">
        <f t="shared" si="14"/>
        <v>-116.51511779015618</v>
      </c>
      <c r="AA320" s="37">
        <f t="shared" si="15"/>
        <v>-47.041675192530377</v>
      </c>
      <c r="AB320" s="57"/>
    </row>
    <row r="321" spans="2:28" x14ac:dyDescent="0.35">
      <c r="B321" s="230">
        <f t="shared" si="12"/>
        <v>311</v>
      </c>
      <c r="C321" s="246" t="s">
        <v>687</v>
      </c>
      <c r="D321" s="248">
        <f>Table3.110[[#This Row],[Date]]</f>
        <v>46048</v>
      </c>
      <c r="E321" s="230" t="str">
        <f>Table3.110[[#This Row],[Requisitioner]]</f>
        <v>Genbank</v>
      </c>
      <c r="F321" s="230" t="str">
        <f>Table3.110[[#This Row],[Gene Bank ID]]</f>
        <v>CIAT-21512</v>
      </c>
      <c r="G321" s="230" t="str">
        <f>Table3.110[[#This Row],[Genus]]</f>
        <v>Calliandra</v>
      </c>
      <c r="H321" s="230" t="str">
        <f>Table3.110[[#This Row],[Species]]</f>
        <v>calothyrsus</v>
      </c>
      <c r="I321" s="230" t="str">
        <f>Table3.110[[#This Row],[Tax Name]]</f>
        <v>Calliandra calothyrsus</v>
      </c>
      <c r="J321" s="230" t="str">
        <f>Table3.110[[#This Row],[Family]]</f>
        <v>Fabaceae</v>
      </c>
      <c r="K321" s="230" t="str">
        <f>Table3.110[[#This Row],[Order]]</f>
        <v>Fabales</v>
      </c>
      <c r="L321" s="230" t="str">
        <f>Table3.110[[#This Row],[Functional Group]]</f>
        <v>Tree</v>
      </c>
      <c r="M321" s="230" t="str">
        <f>Table3.110[[#This Row],[CIAT ID]]</f>
        <v>F251766</v>
      </c>
      <c r="N321" s="230">
        <f>Table3.110[[#This Row],[Set CIAT]]</f>
        <v>28</v>
      </c>
      <c r="O321" s="230">
        <f>Table3.110[[#This Row],[Batch]]</f>
        <v>60</v>
      </c>
      <c r="P321" s="230">
        <f>Table3.110[[#This Row],[Run]]</f>
        <v>1</v>
      </c>
      <c r="Q321" s="230">
        <f>Table3.110[[#This Row],[Replication]]</f>
        <v>3</v>
      </c>
      <c r="R321" s="230">
        <f>Table3.110[[#This Row],[Syrange No]]</f>
        <v>239</v>
      </c>
      <c r="S321" s="250">
        <v>0.57779999999999998</v>
      </c>
      <c r="T321" s="250">
        <v>0.93149999999999999</v>
      </c>
      <c r="U321" s="108"/>
      <c r="V321" s="122">
        <f t="shared" si="21"/>
        <v>0.35370000000000001</v>
      </c>
      <c r="W321" s="61">
        <f>Table3.110[[#This Row],[DM Incubated, mg]]-('3.2 Digest'!V321*1000)</f>
        <v>110.70336365453807</v>
      </c>
      <c r="X321" s="61">
        <f>W321/Table3.110[[#This Row],[DM Incubated, mg]]*100</f>
        <v>23.837760946298499</v>
      </c>
      <c r="Y321" s="37">
        <f>Table3.1[[#This Row],[DM Incubated, mg]]*'2.4 NDF'!R93/100</f>
        <v>247.83343371856623</v>
      </c>
      <c r="Z321" s="37">
        <f t="shared" si="14"/>
        <v>-105.86656628143376</v>
      </c>
      <c r="AA321" s="37">
        <f t="shared" si="15"/>
        <v>-42.71682181575764</v>
      </c>
      <c r="AB321" s="57"/>
    </row>
    <row r="322" spans="2:28" x14ac:dyDescent="0.35">
      <c r="B322" s="230">
        <f t="shared" si="12"/>
        <v>312</v>
      </c>
      <c r="C322" s="246" t="s">
        <v>687</v>
      </c>
      <c r="D322" s="248">
        <f>Table3.110[[#This Row],[Date]]</f>
        <v>46048</v>
      </c>
      <c r="E322" s="230" t="str">
        <f>Table3.110[[#This Row],[Requisitioner]]</f>
        <v>Genbank</v>
      </c>
      <c r="F322" s="230" t="str">
        <f>Table3.110[[#This Row],[Gene Bank ID]]</f>
        <v>CIAT-21601</v>
      </c>
      <c r="G322" s="230" t="str">
        <f>Table3.110[[#This Row],[Genus]]</f>
        <v>Erythrina</v>
      </c>
      <c r="H322" s="230" t="str">
        <f>Table3.110[[#This Row],[Species]]</f>
        <v>fusca</v>
      </c>
      <c r="I322" s="230" t="str">
        <f>Table3.110[[#This Row],[Tax Name]]</f>
        <v>Erythrina fusca</v>
      </c>
      <c r="J322" s="230" t="str">
        <f>Table3.110[[#This Row],[Family]]</f>
        <v>Fabaceae</v>
      </c>
      <c r="K322" s="230" t="str">
        <f>Table3.110[[#This Row],[Order]]</f>
        <v>Fabales</v>
      </c>
      <c r="L322" s="230" t="str">
        <f>Table3.110[[#This Row],[Functional Group]]</f>
        <v>Tree</v>
      </c>
      <c r="M322" s="230" t="str">
        <f>Table3.110[[#This Row],[CIAT ID]]</f>
        <v>F251767</v>
      </c>
      <c r="N322" s="230">
        <f>Table3.110[[#This Row],[Set CIAT]]</f>
        <v>28</v>
      </c>
      <c r="O322" s="230">
        <f>Table3.110[[#This Row],[Batch]]</f>
        <v>60</v>
      </c>
      <c r="P322" s="230">
        <f>Table3.110[[#This Row],[Run]]</f>
        <v>1</v>
      </c>
      <c r="Q322" s="230">
        <f>Table3.110[[#This Row],[Replication]]</f>
        <v>1</v>
      </c>
      <c r="R322" s="230">
        <f>Table3.110[[#This Row],[Syrange No]]</f>
        <v>240</v>
      </c>
      <c r="S322" s="98">
        <v>0.56399999999999995</v>
      </c>
      <c r="T322" s="98">
        <v>0.90739999999999998</v>
      </c>
      <c r="U322" s="108"/>
      <c r="V322" s="122">
        <f t="shared" si="21"/>
        <v>0.34340000000000004</v>
      </c>
      <c r="W322" s="61">
        <f>Table3.110[[#This Row],[DM Incubated, mg]]-('3.2 Digest'!V322*1000)</f>
        <v>122.97040295970442</v>
      </c>
      <c r="X322" s="61">
        <f>W322/Table3.110[[#This Row],[DM Incubated, mg]]*100</f>
        <v>26.367540088158076</v>
      </c>
      <c r="Y322" s="37">
        <f>Table3.1[[#This Row],[DM Incubated, mg]]*'2.4 NDF'!R95/100</f>
        <v>319.42271061210278</v>
      </c>
      <c r="Z322" s="37">
        <f t="shared" si="14"/>
        <v>-23.977289387897258</v>
      </c>
      <c r="AA322" s="37">
        <f t="shared" si="15"/>
        <v>-7.5064447803195034</v>
      </c>
      <c r="AB322" s="57"/>
    </row>
    <row r="323" spans="2:28" x14ac:dyDescent="0.35">
      <c r="B323" s="230">
        <f t="shared" si="12"/>
        <v>313</v>
      </c>
      <c r="C323" s="246" t="s">
        <v>687</v>
      </c>
      <c r="D323" s="248">
        <f>Table3.110[[#This Row],[Date]]</f>
        <v>46048</v>
      </c>
      <c r="E323" s="230" t="str">
        <f>Table3.110[[#This Row],[Requisitioner]]</f>
        <v>Genbank</v>
      </c>
      <c r="F323" s="230" t="str">
        <f>Table3.110[[#This Row],[Gene Bank ID]]</f>
        <v>CIAT-21601</v>
      </c>
      <c r="G323" s="230" t="str">
        <f>Table3.110[[#This Row],[Genus]]</f>
        <v>Erythrina</v>
      </c>
      <c r="H323" s="230" t="str">
        <f>Table3.110[[#This Row],[Species]]</f>
        <v>fusca</v>
      </c>
      <c r="I323" s="230" t="str">
        <f>Table3.110[[#This Row],[Tax Name]]</f>
        <v>Erythrina fusca</v>
      </c>
      <c r="J323" s="230" t="str">
        <f>Table3.110[[#This Row],[Family]]</f>
        <v>Fabaceae</v>
      </c>
      <c r="K323" s="230" t="str">
        <f>Table3.110[[#This Row],[Order]]</f>
        <v>Fabales</v>
      </c>
      <c r="L323" s="230" t="str">
        <f>Table3.110[[#This Row],[Functional Group]]</f>
        <v>Tree</v>
      </c>
      <c r="M323" s="230" t="str">
        <f>Table3.110[[#This Row],[CIAT ID]]</f>
        <v>F251767</v>
      </c>
      <c r="N323" s="230">
        <f>Table3.110[[#This Row],[Set CIAT]]</f>
        <v>28</v>
      </c>
      <c r="O323" s="230">
        <f>Table3.110[[#This Row],[Batch]]</f>
        <v>60</v>
      </c>
      <c r="P323" s="230">
        <f>Table3.110[[#This Row],[Run]]</f>
        <v>1</v>
      </c>
      <c r="Q323" s="230">
        <f>Table3.110[[#This Row],[Replication]]</f>
        <v>2</v>
      </c>
      <c r="R323" s="230">
        <f>Table3.110[[#This Row],[Syrange No]]</f>
        <v>241</v>
      </c>
      <c r="S323" s="250">
        <v>0.59499999999999997</v>
      </c>
      <c r="T323" s="250">
        <v>0.94650000000000001</v>
      </c>
      <c r="U323" s="108"/>
      <c r="V323" s="122">
        <f t="shared" si="21"/>
        <v>0.35150000000000003</v>
      </c>
      <c r="W323" s="61">
        <f>Table3.110[[#This Row],[DM Incubated, mg]]-('3.2 Digest'!V323*1000)</f>
        <v>115.24335010321477</v>
      </c>
      <c r="X323" s="61">
        <f>W323/Table3.110[[#This Row],[DM Incubated, mg]]*100</f>
        <v>24.690946336510216</v>
      </c>
      <c r="Y323" s="37">
        <f>Table3.1[[#This Row],[DM Incubated, mg]]*'2.4 NDF'!R95/100</f>
        <v>319.67814660619484</v>
      </c>
      <c r="Z323" s="37">
        <f t="shared" si="14"/>
        <v>-31.821853393805213</v>
      </c>
      <c r="AA323" s="37">
        <f t="shared" si="15"/>
        <v>-9.9543411808521025</v>
      </c>
      <c r="AB323" s="57"/>
    </row>
    <row r="324" spans="2:28" x14ac:dyDescent="0.35">
      <c r="B324" s="230">
        <f t="shared" si="12"/>
        <v>314</v>
      </c>
      <c r="C324" s="246" t="s">
        <v>687</v>
      </c>
      <c r="D324" s="248">
        <f>Table3.110[[#This Row],[Date]]</f>
        <v>46048</v>
      </c>
      <c r="E324" s="230" t="str">
        <f>Table3.110[[#This Row],[Requisitioner]]</f>
        <v>Genbank</v>
      </c>
      <c r="F324" s="230" t="str">
        <f>Table3.110[[#This Row],[Gene Bank ID]]</f>
        <v>CIAT-21601</v>
      </c>
      <c r="G324" s="230" t="str">
        <f>Table3.110[[#This Row],[Genus]]</f>
        <v>Erythrina</v>
      </c>
      <c r="H324" s="230" t="str">
        <f>Table3.110[[#This Row],[Species]]</f>
        <v>fusca</v>
      </c>
      <c r="I324" s="230" t="str">
        <f>Table3.110[[#This Row],[Tax Name]]</f>
        <v>Erythrina fusca</v>
      </c>
      <c r="J324" s="230" t="str">
        <f>Table3.110[[#This Row],[Family]]</f>
        <v>Fabaceae</v>
      </c>
      <c r="K324" s="230" t="str">
        <f>Table3.110[[#This Row],[Order]]</f>
        <v>Fabales</v>
      </c>
      <c r="L324" s="230" t="str">
        <f>Table3.110[[#This Row],[Functional Group]]</f>
        <v>Tree</v>
      </c>
      <c r="M324" s="230" t="str">
        <f>Table3.110[[#This Row],[CIAT ID]]</f>
        <v>F251767</v>
      </c>
      <c r="N324" s="230">
        <f>Table3.110[[#This Row],[Set CIAT]]</f>
        <v>28</v>
      </c>
      <c r="O324" s="230">
        <f>Table3.110[[#This Row],[Batch]]</f>
        <v>60</v>
      </c>
      <c r="P324" s="230">
        <f>Table3.110[[#This Row],[Run]]</f>
        <v>1</v>
      </c>
      <c r="Q324" s="230">
        <f>Table3.110[[#This Row],[Replication]]</f>
        <v>3</v>
      </c>
      <c r="R324" s="230">
        <f>Table3.110[[#This Row],[Syrange No]]</f>
        <v>242</v>
      </c>
      <c r="S324" s="98">
        <v>0.58489999999999998</v>
      </c>
      <c r="T324" s="98">
        <v>0.92749999999999999</v>
      </c>
      <c r="U324" s="108"/>
      <c r="V324" s="122">
        <f t="shared" si="21"/>
        <v>0.34260000000000002</v>
      </c>
      <c r="W324" s="61">
        <f>Table3.110[[#This Row],[DM Incubated, mg]]-('3.2 Digest'!V324*1000)</f>
        <v>124.1433501032148</v>
      </c>
      <c r="X324" s="61">
        <f>W324/Table3.110[[#This Row],[DM Incubated, mg]]*100</f>
        <v>26.597775860279949</v>
      </c>
      <c r="Y324" s="37">
        <f>Table3.1[[#This Row],[DM Incubated, mg]]*'2.4 NDF'!R95/100</f>
        <v>319.67814660619484</v>
      </c>
      <c r="Z324" s="37">
        <f t="shared" si="14"/>
        <v>-22.921853393805179</v>
      </c>
      <c r="AA324" s="37">
        <f t="shared" si="15"/>
        <v>-7.1702910058603893</v>
      </c>
      <c r="AB324" s="57"/>
    </row>
    <row r="325" spans="2:28" x14ac:dyDescent="0.35">
      <c r="B325" s="230">
        <f t="shared" si="12"/>
        <v>315</v>
      </c>
      <c r="C325" s="246" t="s">
        <v>687</v>
      </c>
      <c r="D325" s="248">
        <f>Table3.110[[#This Row],[Date]]</f>
        <v>46048</v>
      </c>
      <c r="E325" s="230" t="str">
        <f>Table3.110[[#This Row],[Requisitioner]]</f>
        <v>Genbank</v>
      </c>
      <c r="F325" s="230" t="str">
        <f>Table3.110[[#This Row],[Gene Bank ID]]</f>
        <v>CIAT-21809</v>
      </c>
      <c r="G325" s="230" t="str">
        <f>Table3.110[[#This Row],[Genus]]</f>
        <v>Acacia</v>
      </c>
      <c r="H325" s="230" t="str">
        <f>Table3.110[[#This Row],[Species]]</f>
        <v>farnesiana</v>
      </c>
      <c r="I325" s="230" t="str">
        <f>Table3.110[[#This Row],[Tax Name]]</f>
        <v>Acacia farnesiana</v>
      </c>
      <c r="J325" s="230" t="str">
        <f>Table3.110[[#This Row],[Family]]</f>
        <v>Fabaceae</v>
      </c>
      <c r="K325" s="230" t="str">
        <f>Table3.110[[#This Row],[Order]]</f>
        <v>Fabales</v>
      </c>
      <c r="L325" s="230" t="str">
        <f>Table3.110[[#This Row],[Functional Group]]</f>
        <v>Tree</v>
      </c>
      <c r="M325" s="230" t="str">
        <f>Table3.110[[#This Row],[CIAT ID]]</f>
        <v>F251768</v>
      </c>
      <c r="N325" s="230">
        <f>Table3.110[[#This Row],[Set CIAT]]</f>
        <v>28</v>
      </c>
      <c r="O325" s="230">
        <f>Table3.110[[#This Row],[Batch]]</f>
        <v>60</v>
      </c>
      <c r="P325" s="230">
        <f>Table3.110[[#This Row],[Run]]</f>
        <v>1</v>
      </c>
      <c r="Q325" s="230">
        <f>Table3.110[[#This Row],[Replication]]</f>
        <v>1</v>
      </c>
      <c r="R325" s="230">
        <f>Table3.110[[#This Row],[Syrange No]]</f>
        <v>243</v>
      </c>
      <c r="S325" s="250">
        <v>0.60440000000000005</v>
      </c>
      <c r="T325" s="250">
        <v>0.91049999999999998</v>
      </c>
      <c r="U325" s="108"/>
      <c r="V325" s="122">
        <f t="shared" si="21"/>
        <v>0.30609999999999993</v>
      </c>
      <c r="W325" s="61">
        <f>Table3.110[[#This Row],[DM Incubated, mg]]-('3.2 Digest'!V325*1000)</f>
        <v>167.45215034989508</v>
      </c>
      <c r="X325" s="61">
        <f>W325/Table3.110[[#This Row],[DM Incubated, mg]]*100</f>
        <v>35.360867905714116</v>
      </c>
      <c r="Y325" s="37">
        <f>Table3.1[[#This Row],[DM Incubated, mg]]*'2.4 NDF'!R97/100</f>
        <v>297.59750449130928</v>
      </c>
      <c r="Z325" s="37">
        <f t="shared" si="14"/>
        <v>-8.5024955086906289</v>
      </c>
      <c r="AA325" s="37">
        <f t="shared" si="15"/>
        <v>-2.8570452978845213</v>
      </c>
      <c r="AB325" s="57"/>
    </row>
    <row r="326" spans="2:28" x14ac:dyDescent="0.35">
      <c r="B326" s="230">
        <f t="shared" si="12"/>
        <v>316</v>
      </c>
      <c r="C326" s="246" t="s">
        <v>687</v>
      </c>
      <c r="D326" s="248">
        <f>Table3.110[[#This Row],[Date]]</f>
        <v>46048</v>
      </c>
      <c r="E326" s="230" t="str">
        <f>Table3.110[[#This Row],[Requisitioner]]</f>
        <v>Genbank</v>
      </c>
      <c r="F326" s="230" t="str">
        <f>Table3.110[[#This Row],[Gene Bank ID]]</f>
        <v>CIAT-21809</v>
      </c>
      <c r="G326" s="230" t="str">
        <f>Table3.110[[#This Row],[Genus]]</f>
        <v>Acacia</v>
      </c>
      <c r="H326" s="230" t="str">
        <f>Table3.110[[#This Row],[Species]]</f>
        <v>farnesiana</v>
      </c>
      <c r="I326" s="230" t="str">
        <f>Table3.110[[#This Row],[Tax Name]]</f>
        <v>Acacia farnesiana</v>
      </c>
      <c r="J326" s="230" t="str">
        <f>Table3.110[[#This Row],[Family]]</f>
        <v>Fabaceae</v>
      </c>
      <c r="K326" s="230" t="str">
        <f>Table3.110[[#This Row],[Order]]</f>
        <v>Fabales</v>
      </c>
      <c r="L326" s="230" t="str">
        <f>Table3.110[[#This Row],[Functional Group]]</f>
        <v>Tree</v>
      </c>
      <c r="M326" s="230" t="str">
        <f>Table3.110[[#This Row],[CIAT ID]]</f>
        <v>F251768</v>
      </c>
      <c r="N326" s="230">
        <f>Table3.110[[#This Row],[Set CIAT]]</f>
        <v>28</v>
      </c>
      <c r="O326" s="230">
        <f>Table3.110[[#This Row],[Batch]]</f>
        <v>60</v>
      </c>
      <c r="P326" s="230">
        <f>Table3.110[[#This Row],[Run]]</f>
        <v>1</v>
      </c>
      <c r="Q326" s="230">
        <f>Table3.110[[#This Row],[Replication]]</f>
        <v>2</v>
      </c>
      <c r="R326" s="230">
        <f>Table3.110[[#This Row],[Syrange No]]</f>
        <v>244</v>
      </c>
      <c r="S326" s="98">
        <v>0.58709999999999996</v>
      </c>
      <c r="T326" s="98">
        <v>0.87229999999999996</v>
      </c>
      <c r="U326" s="108"/>
      <c r="V326" s="122">
        <f t="shared" si="21"/>
        <v>0.28520000000000001</v>
      </c>
      <c r="W326" s="61">
        <f>Table3.110[[#This Row],[DM Incubated, mg]]-('3.2 Digest'!V326*1000)</f>
        <v>188.06830290712787</v>
      </c>
      <c r="X326" s="61">
        <f>W326/Table3.110[[#This Row],[DM Incubated, mg]]*100</f>
        <v>39.738199611486252</v>
      </c>
      <c r="Y326" s="37">
        <f>Table3.1[[#This Row],[DM Incubated, mg]]*'2.4 NDF'!R97/100</f>
        <v>297.41912436873707</v>
      </c>
      <c r="Z326" s="37">
        <f t="shared" si="14"/>
        <v>12.219124368737084</v>
      </c>
      <c r="AA326" s="37">
        <f t="shared" si="15"/>
        <v>4.1083855635281692</v>
      </c>
      <c r="AB326" s="57"/>
    </row>
    <row r="327" spans="2:28" x14ac:dyDescent="0.35">
      <c r="B327" s="230">
        <f t="shared" si="12"/>
        <v>317</v>
      </c>
      <c r="C327" s="246" t="s">
        <v>687</v>
      </c>
      <c r="D327" s="248">
        <f>Table3.110[[#This Row],[Date]]</f>
        <v>46048</v>
      </c>
      <c r="E327" s="230" t="str">
        <f>Table3.110[[#This Row],[Requisitioner]]</f>
        <v>Genbank</v>
      </c>
      <c r="F327" s="230" t="str">
        <f>Table3.110[[#This Row],[Gene Bank ID]]</f>
        <v>CIAT-21809</v>
      </c>
      <c r="G327" s="230" t="str">
        <f>Table3.110[[#This Row],[Genus]]</f>
        <v>Acacia</v>
      </c>
      <c r="H327" s="230" t="str">
        <f>Table3.110[[#This Row],[Species]]</f>
        <v>farnesiana</v>
      </c>
      <c r="I327" s="230" t="str">
        <f>Table3.110[[#This Row],[Tax Name]]</f>
        <v>Acacia farnesiana</v>
      </c>
      <c r="J327" s="230" t="str">
        <f>Table3.110[[#This Row],[Family]]</f>
        <v>Fabaceae</v>
      </c>
      <c r="K327" s="230" t="str">
        <f>Table3.110[[#This Row],[Order]]</f>
        <v>Fabales</v>
      </c>
      <c r="L327" s="230" t="str">
        <f>Table3.110[[#This Row],[Functional Group]]</f>
        <v>Tree</v>
      </c>
      <c r="M327" s="230" t="str">
        <f>Table3.110[[#This Row],[CIAT ID]]</f>
        <v>F251768</v>
      </c>
      <c r="N327" s="230">
        <f>Table3.110[[#This Row],[Set CIAT]]</f>
        <v>28</v>
      </c>
      <c r="O327" s="230">
        <f>Table3.110[[#This Row],[Batch]]</f>
        <v>60</v>
      </c>
      <c r="P327" s="230">
        <f>Table3.110[[#This Row],[Run]]</f>
        <v>1</v>
      </c>
      <c r="Q327" s="230">
        <f>Table3.110[[#This Row],[Replication]]</f>
        <v>3</v>
      </c>
      <c r="R327" s="230">
        <f>Table3.110[[#This Row],[Syrange No]]</f>
        <v>245</v>
      </c>
      <c r="S327" s="250">
        <v>0.57820000000000005</v>
      </c>
      <c r="T327" s="250">
        <v>0.86709999999999998</v>
      </c>
      <c r="U327" s="108"/>
      <c r="V327" s="122">
        <f t="shared" si="21"/>
        <v>0.28889999999999993</v>
      </c>
      <c r="W327" s="61">
        <f>Table3.110[[#This Row],[DM Incubated, mg]]-('3.2 Digest'!V327*1000)</f>
        <v>184.74676616415081</v>
      </c>
      <c r="X327" s="61">
        <f>W327/Table3.110[[#This Row],[DM Incubated, mg]]*100</f>
        <v>39.005178407599118</v>
      </c>
      <c r="Y327" s="37">
        <f>Table3.1[[#This Row],[DM Incubated, mg]]*'2.4 NDF'!R97/100</f>
        <v>297.65696453216668</v>
      </c>
      <c r="Z327" s="37">
        <f t="shared" si="14"/>
        <v>8.7569645321667622</v>
      </c>
      <c r="AA327" s="37">
        <f t="shared" si="15"/>
        <v>2.9419652739959421</v>
      </c>
      <c r="AB327" s="57"/>
    </row>
    <row r="328" spans="2:28" x14ac:dyDescent="0.35">
      <c r="B328" s="230">
        <f t="shared" si="12"/>
        <v>318</v>
      </c>
      <c r="C328" s="246" t="s">
        <v>687</v>
      </c>
      <c r="D328" s="248">
        <f>Table3.110[[#This Row],[Date]]</f>
        <v>46048</v>
      </c>
      <c r="E328" s="230" t="str">
        <f>Table3.110[[#This Row],[Requisitioner]]</f>
        <v>Genbank</v>
      </c>
      <c r="F328" s="230" t="str">
        <f>Table3.110[[#This Row],[Gene Bank ID]]</f>
        <v>CIAT-21810</v>
      </c>
      <c r="G328" s="230" t="str">
        <f>Table3.110[[#This Row],[Genus]]</f>
        <v>Acacia</v>
      </c>
      <c r="H328" s="230" t="str">
        <f>Table3.110[[#This Row],[Species]]</f>
        <v>angustissima</v>
      </c>
      <c r="I328" s="230" t="str">
        <f>Table3.110[[#This Row],[Tax Name]]</f>
        <v>Acacia angustissima</v>
      </c>
      <c r="J328" s="230" t="str">
        <f>Table3.110[[#This Row],[Family]]</f>
        <v>Fabaceae</v>
      </c>
      <c r="K328" s="230" t="str">
        <f>Table3.110[[#This Row],[Order]]</f>
        <v>Fabales</v>
      </c>
      <c r="L328" s="230" t="str">
        <f>Table3.110[[#This Row],[Functional Group]]</f>
        <v>Tree</v>
      </c>
      <c r="M328" s="230" t="str">
        <f>Table3.110[[#This Row],[CIAT ID]]</f>
        <v>F251769</v>
      </c>
      <c r="N328" s="230">
        <f>Table3.110[[#This Row],[Set CIAT]]</f>
        <v>28</v>
      </c>
      <c r="O328" s="230">
        <f>Table3.110[[#This Row],[Batch]]</f>
        <v>60</v>
      </c>
      <c r="P328" s="230">
        <f>Table3.110[[#This Row],[Run]]</f>
        <v>1</v>
      </c>
      <c r="Q328" s="230">
        <f>Table3.110[[#This Row],[Replication]]</f>
        <v>1</v>
      </c>
      <c r="R328" s="230">
        <f>Table3.110[[#This Row],[Syrange No]]</f>
        <v>246</v>
      </c>
      <c r="S328" s="98">
        <v>0.58250000000000002</v>
      </c>
      <c r="T328" s="98">
        <v>0.87780000000000002</v>
      </c>
      <c r="U328" s="108"/>
      <c r="V328" s="122">
        <f t="shared" si="21"/>
        <v>0.29530000000000001</v>
      </c>
      <c r="W328" s="61">
        <f>Table3.110[[#This Row],[DM Incubated, mg]]-('3.2 Digest'!V328*1000)</f>
        <v>178.63406521830325</v>
      </c>
      <c r="X328" s="61">
        <f>W328/Table3.110[[#This Row],[DM Incubated, mg]]*100</f>
        <v>37.691754682377791</v>
      </c>
      <c r="Y328" s="37">
        <f>Table3.1[[#This Row],[DM Incubated, mg]]*'2.4 NDF'!R99/100</f>
        <v>248.18772677696015</v>
      </c>
      <c r="Z328" s="37">
        <f t="shared" si="14"/>
        <v>-47.112273223039864</v>
      </c>
      <c r="AA328" s="37">
        <f t="shared" si="15"/>
        <v>-18.982515305995946</v>
      </c>
      <c r="AB328" s="57"/>
    </row>
    <row r="329" spans="2:28" x14ac:dyDescent="0.35">
      <c r="B329" s="230">
        <f t="shared" si="12"/>
        <v>319</v>
      </c>
      <c r="C329" s="246" t="s">
        <v>687</v>
      </c>
      <c r="D329" s="248">
        <f>Table3.110[[#This Row],[Date]]</f>
        <v>46048</v>
      </c>
      <c r="E329" s="230" t="str">
        <f>Table3.110[[#This Row],[Requisitioner]]</f>
        <v>Genbank</v>
      </c>
      <c r="F329" s="230" t="str">
        <f>Table3.110[[#This Row],[Gene Bank ID]]</f>
        <v>CIAT-21810</v>
      </c>
      <c r="G329" s="230" t="str">
        <f>Table3.110[[#This Row],[Genus]]</f>
        <v>Acacia</v>
      </c>
      <c r="H329" s="230" t="str">
        <f>Table3.110[[#This Row],[Species]]</f>
        <v>angustissima</v>
      </c>
      <c r="I329" s="230" t="str">
        <f>Table3.110[[#This Row],[Tax Name]]</f>
        <v>Acacia angustissima</v>
      </c>
      <c r="J329" s="230" t="str">
        <f>Table3.110[[#This Row],[Family]]</f>
        <v>Fabaceae</v>
      </c>
      <c r="K329" s="230" t="str">
        <f>Table3.110[[#This Row],[Order]]</f>
        <v>Fabales</v>
      </c>
      <c r="L329" s="230" t="str">
        <f>Table3.110[[#This Row],[Functional Group]]</f>
        <v>Tree</v>
      </c>
      <c r="M329" s="230" t="str">
        <f>Table3.110[[#This Row],[CIAT ID]]</f>
        <v>F251769</v>
      </c>
      <c r="N329" s="230">
        <f>Table3.110[[#This Row],[Set CIAT]]</f>
        <v>28</v>
      </c>
      <c r="O329" s="230">
        <f>Table3.110[[#This Row],[Batch]]</f>
        <v>60</v>
      </c>
      <c r="P329" s="230">
        <f>Table3.110[[#This Row],[Run]]</f>
        <v>1</v>
      </c>
      <c r="Q329" s="230">
        <f>Table3.110[[#This Row],[Replication]]</f>
        <v>2</v>
      </c>
      <c r="R329" s="230">
        <f>Table3.110[[#This Row],[Syrange No]]</f>
        <v>247</v>
      </c>
      <c r="S329" s="250">
        <v>0.58919999999999995</v>
      </c>
      <c r="T329" s="250">
        <v>0.89290000000000003</v>
      </c>
      <c r="U329" s="108"/>
      <c r="V329" s="122">
        <f t="shared" si="21"/>
        <v>0.30370000000000008</v>
      </c>
      <c r="W329" s="61">
        <f>Table3.110[[#This Row],[DM Incubated, mg]]-('3.2 Digest'!V329*1000)</f>
        <v>170.3288520313468</v>
      </c>
      <c r="X329" s="61">
        <f>W329/Table3.110[[#This Row],[DM Incubated, mg]]*100</f>
        <v>35.932169803892691</v>
      </c>
      <c r="Y329" s="37">
        <f>Table3.1[[#This Row],[DM Incubated, mg]]*'2.4 NDF'!R99/100</f>
        <v>248.23736432231553</v>
      </c>
      <c r="Z329" s="37">
        <f t="shared" si="14"/>
        <v>-55.462635677684574</v>
      </c>
      <c r="AA329" s="37">
        <f t="shared" si="15"/>
        <v>-22.342581596890852</v>
      </c>
      <c r="AB329" s="57"/>
    </row>
    <row r="330" spans="2:28" x14ac:dyDescent="0.35">
      <c r="B330" s="230">
        <f t="shared" si="12"/>
        <v>320</v>
      </c>
      <c r="C330" s="246" t="s">
        <v>687</v>
      </c>
      <c r="D330" s="248">
        <f>Table3.110[[#This Row],[Date]]</f>
        <v>46048</v>
      </c>
      <c r="E330" s="230" t="str">
        <f>Table3.110[[#This Row],[Requisitioner]]</f>
        <v>Genbank</v>
      </c>
      <c r="F330" s="230" t="str">
        <f>Table3.110[[#This Row],[Gene Bank ID]]</f>
        <v>CIAT-21810</v>
      </c>
      <c r="G330" s="230" t="str">
        <f>Table3.110[[#This Row],[Genus]]</f>
        <v>Acacia</v>
      </c>
      <c r="H330" s="230" t="str">
        <f>Table3.110[[#This Row],[Species]]</f>
        <v>angustissima</v>
      </c>
      <c r="I330" s="230" t="str">
        <f>Table3.110[[#This Row],[Tax Name]]</f>
        <v>Acacia angustissima</v>
      </c>
      <c r="J330" s="230" t="str">
        <f>Table3.110[[#This Row],[Family]]</f>
        <v>Fabaceae</v>
      </c>
      <c r="K330" s="230" t="str">
        <f>Table3.110[[#This Row],[Order]]</f>
        <v>Fabales</v>
      </c>
      <c r="L330" s="230" t="str">
        <f>Table3.110[[#This Row],[Functional Group]]</f>
        <v>Tree</v>
      </c>
      <c r="M330" s="230" t="str">
        <f>Table3.110[[#This Row],[CIAT ID]]</f>
        <v>F251769</v>
      </c>
      <c r="N330" s="230">
        <f>Table3.110[[#This Row],[Set CIAT]]</f>
        <v>28</v>
      </c>
      <c r="O330" s="230">
        <f>Table3.110[[#This Row],[Batch]]</f>
        <v>60</v>
      </c>
      <c r="P330" s="230">
        <f>Table3.110[[#This Row],[Run]]</f>
        <v>1</v>
      </c>
      <c r="Q330" s="230">
        <f>Table3.110[[#This Row],[Replication]]</f>
        <v>3</v>
      </c>
      <c r="R330" s="230">
        <f>Table3.110[[#This Row],[Syrange No]]</f>
        <v>248</v>
      </c>
      <c r="S330" s="98">
        <v>0.58860000000000001</v>
      </c>
      <c r="T330" s="98">
        <v>0.91779999999999995</v>
      </c>
      <c r="U330" s="108"/>
      <c r="V330" s="122">
        <f t="shared" si="21"/>
        <v>0.32919999999999994</v>
      </c>
      <c r="W330" s="61">
        <f>Table3.110[[#This Row],[DM Incubated, mg]]-('3.2 Digest'!V330*1000)</f>
        <v>145.01842565743436</v>
      </c>
      <c r="X330" s="61">
        <f>W330/Table3.110[[#This Row],[DM Incubated, mg]]*100</f>
        <v>30.580512652241971</v>
      </c>
      <c r="Y330" s="37">
        <f>Table3.1[[#This Row],[DM Incubated, mg]]*'2.4 NDF'!R99/100</f>
        <v>248.33663941302635</v>
      </c>
      <c r="Z330" s="37">
        <f t="shared" si="14"/>
        <v>-80.863360586973585</v>
      </c>
      <c r="AA330" s="37">
        <f t="shared" si="15"/>
        <v>-32.561993581818577</v>
      </c>
      <c r="AB330" s="57"/>
    </row>
    <row r="331" spans="2:28" x14ac:dyDescent="0.35">
      <c r="B331" s="230">
        <f t="shared" si="12"/>
        <v>321</v>
      </c>
      <c r="C331" s="246" t="s">
        <v>687</v>
      </c>
      <c r="D331" s="248">
        <f>Table3.110[[#This Row],[Date]]</f>
        <v>46048</v>
      </c>
      <c r="E331" s="230" t="str">
        <f>Table3.110[[#This Row],[Requisitioner]]</f>
        <v>Genbank</v>
      </c>
      <c r="F331" s="230" t="str">
        <f>Table3.110[[#This Row],[Gene Bank ID]]</f>
        <v>CIAT-21888</v>
      </c>
      <c r="G331" s="230" t="str">
        <f>Table3.110[[#This Row],[Genus]]</f>
        <v>Leucaena</v>
      </c>
      <c r="H331" s="230" t="str">
        <f>Table3.110[[#This Row],[Species]]</f>
        <v>leucocephala</v>
      </c>
      <c r="I331" s="230" t="str">
        <f>Table3.110[[#This Row],[Tax Name]]</f>
        <v>Leucaena leucocephala</v>
      </c>
      <c r="J331" s="230" t="str">
        <f>Table3.110[[#This Row],[Family]]</f>
        <v>Fabaceae</v>
      </c>
      <c r="K331" s="230" t="str">
        <f>Table3.110[[#This Row],[Order]]</f>
        <v>Fabales</v>
      </c>
      <c r="L331" s="230" t="str">
        <f>Table3.110[[#This Row],[Functional Group]]</f>
        <v>Tree</v>
      </c>
      <c r="M331" s="230" t="str">
        <f>Table3.110[[#This Row],[CIAT ID]]</f>
        <v>F251770</v>
      </c>
      <c r="N331" s="230">
        <f>Table3.110[[#This Row],[Set CIAT]]</f>
        <v>28</v>
      </c>
      <c r="O331" s="230">
        <f>Table3.110[[#This Row],[Batch]]</f>
        <v>60</v>
      </c>
      <c r="P331" s="230">
        <f>Table3.110[[#This Row],[Run]]</f>
        <v>1</v>
      </c>
      <c r="Q331" s="230">
        <f>Table3.110[[#This Row],[Replication]]</f>
        <v>1</v>
      </c>
      <c r="R331" s="230">
        <f>Table3.110[[#This Row],[Syrange No]]</f>
        <v>249</v>
      </c>
      <c r="S331" s="250">
        <v>0.57589999999999997</v>
      </c>
      <c r="T331" s="250">
        <v>0.80549999999999999</v>
      </c>
      <c r="U331" s="108"/>
      <c r="V331" s="122">
        <f t="shared" si="21"/>
        <v>0.22960000000000003</v>
      </c>
      <c r="W331" s="61">
        <f>Table3.110[[#This Row],[DM Incubated, mg]]-('3.2 Digest'!V331*1000)</f>
        <v>239.49824677746614</v>
      </c>
      <c r="X331" s="61">
        <f>W331/Table3.110[[#This Row],[DM Incubated, mg]]*100</f>
        <v>51.055029180503595</v>
      </c>
      <c r="Y331" s="37">
        <f>Table3.1[[#This Row],[DM Incubated, mg]]*'2.4 NDF'!R101/100</f>
        <v>265.8192111431614</v>
      </c>
      <c r="Z331" s="37">
        <f t="shared" si="14"/>
        <v>36.219211143161374</v>
      </c>
      <c r="AA331" s="37">
        <f t="shared" si="15"/>
        <v>13.625505465688448</v>
      </c>
      <c r="AB331" s="57"/>
    </row>
    <row r="332" spans="2:28" x14ac:dyDescent="0.35">
      <c r="B332" s="230">
        <f t="shared" si="12"/>
        <v>322</v>
      </c>
      <c r="C332" s="246" t="s">
        <v>687</v>
      </c>
      <c r="D332" s="248">
        <f>Table3.110[[#This Row],[Date]]</f>
        <v>46048</v>
      </c>
      <c r="E332" s="230" t="str">
        <f>Table3.110[[#This Row],[Requisitioner]]</f>
        <v>Genbank</v>
      </c>
      <c r="F332" s="230" t="str">
        <f>Table3.110[[#This Row],[Gene Bank ID]]</f>
        <v>CIAT-21888</v>
      </c>
      <c r="G332" s="230" t="str">
        <f>Table3.110[[#This Row],[Genus]]</f>
        <v>Leucaena</v>
      </c>
      <c r="H332" s="230" t="str">
        <f>Table3.110[[#This Row],[Species]]</f>
        <v>leucocephala</v>
      </c>
      <c r="I332" s="230" t="str">
        <f>Table3.110[[#This Row],[Tax Name]]</f>
        <v>Leucaena leucocephala</v>
      </c>
      <c r="J332" s="230" t="str">
        <f>Table3.110[[#This Row],[Family]]</f>
        <v>Fabaceae</v>
      </c>
      <c r="K332" s="230" t="str">
        <f>Table3.110[[#This Row],[Order]]</f>
        <v>Fabales</v>
      </c>
      <c r="L332" s="230" t="str">
        <f>Table3.110[[#This Row],[Functional Group]]</f>
        <v>Tree</v>
      </c>
      <c r="M332" s="230" t="str">
        <f>Table3.110[[#This Row],[CIAT ID]]</f>
        <v>F251770</v>
      </c>
      <c r="N332" s="230">
        <f>Table3.110[[#This Row],[Set CIAT]]</f>
        <v>28</v>
      </c>
      <c r="O332" s="230">
        <f>Table3.110[[#This Row],[Batch]]</f>
        <v>60</v>
      </c>
      <c r="P332" s="230">
        <f>Table3.110[[#This Row],[Run]]</f>
        <v>1</v>
      </c>
      <c r="Q332" s="230">
        <f>Table3.110[[#This Row],[Replication]]</f>
        <v>2</v>
      </c>
      <c r="R332" s="230">
        <f>Table3.110[[#This Row],[Syrange No]]</f>
        <v>250</v>
      </c>
      <c r="S332" s="98">
        <v>0.56630000000000003</v>
      </c>
      <c r="T332" s="98">
        <v>0.80910000000000004</v>
      </c>
      <c r="U332" s="108"/>
      <c r="V332" s="122">
        <f t="shared" si="21"/>
        <v>0.24280000000000002</v>
      </c>
      <c r="W332" s="61">
        <f>Table3.110[[#This Row],[DM Incubated, mg]]-('3.2 Digest'!V332*1000)</f>
        <v>226.1108323760368</v>
      </c>
      <c r="X332" s="61">
        <f>W332/Table3.110[[#This Row],[DM Incubated, mg]]*100</f>
        <v>48.220432705787914</v>
      </c>
      <c r="Y332" s="37">
        <f>Table3.1[[#This Row],[DM Incubated, mg]]*'2.4 NDF'!R101/100</f>
        <v>265.71301089899708</v>
      </c>
      <c r="Z332" s="37">
        <f t="shared" si="14"/>
        <v>22.913010898997072</v>
      </c>
      <c r="AA332" s="37">
        <f t="shared" si="15"/>
        <v>8.6232175163250755</v>
      </c>
      <c r="AB332" s="57"/>
    </row>
    <row r="333" spans="2:28" x14ac:dyDescent="0.35">
      <c r="B333" s="230">
        <f t="shared" si="12"/>
        <v>323</v>
      </c>
      <c r="C333" s="246" t="s">
        <v>687</v>
      </c>
      <c r="D333" s="248">
        <f>Table3.110[[#This Row],[Date]]</f>
        <v>46048</v>
      </c>
      <c r="E333" s="230" t="str">
        <f>Table3.110[[#This Row],[Requisitioner]]</f>
        <v>Genbank</v>
      </c>
      <c r="F333" s="230" t="str">
        <f>Table3.110[[#This Row],[Gene Bank ID]]</f>
        <v>CIAT-21888</v>
      </c>
      <c r="G333" s="230" t="str">
        <f>Table3.110[[#This Row],[Genus]]</f>
        <v>Leucaena</v>
      </c>
      <c r="H333" s="230" t="str">
        <f>Table3.110[[#This Row],[Species]]</f>
        <v>leucocephala</v>
      </c>
      <c r="I333" s="230" t="str">
        <f>Table3.110[[#This Row],[Tax Name]]</f>
        <v>Leucaena leucocephala</v>
      </c>
      <c r="J333" s="230" t="str">
        <f>Table3.110[[#This Row],[Family]]</f>
        <v>Fabaceae</v>
      </c>
      <c r="K333" s="230" t="str">
        <f>Table3.110[[#This Row],[Order]]</f>
        <v>Fabales</v>
      </c>
      <c r="L333" s="230" t="str">
        <f>Table3.110[[#This Row],[Functional Group]]</f>
        <v>Tree</v>
      </c>
      <c r="M333" s="230" t="str">
        <f>Table3.110[[#This Row],[CIAT ID]]</f>
        <v>F251770</v>
      </c>
      <c r="N333" s="230">
        <f>Table3.110[[#This Row],[Set CIAT]]</f>
        <v>28</v>
      </c>
      <c r="O333" s="230">
        <f>Table3.110[[#This Row],[Batch]]</f>
        <v>60</v>
      </c>
      <c r="P333" s="230">
        <f>Table3.110[[#This Row],[Run]]</f>
        <v>1</v>
      </c>
      <c r="Q333" s="230">
        <f>Table3.110[[#This Row],[Replication]]</f>
        <v>3</v>
      </c>
      <c r="R333" s="230">
        <f>Table3.110[[#This Row],[Syrange No]]</f>
        <v>251</v>
      </c>
      <c r="S333" s="250">
        <v>0.57310000000000005</v>
      </c>
      <c r="T333" s="250">
        <v>0.872</v>
      </c>
      <c r="U333" s="108"/>
      <c r="V333" s="122">
        <f t="shared" si="21"/>
        <v>0.29889999999999994</v>
      </c>
      <c r="W333" s="61">
        <f>Table3.110[[#This Row],[DM Incubated, mg]]-('3.2 Digest'!V333*1000)</f>
        <v>169.72971077389298</v>
      </c>
      <c r="X333" s="61">
        <f>W333/Table3.110[[#This Row],[DM Incubated, mg]]*100</f>
        <v>36.218299196950646</v>
      </c>
      <c r="Y333" s="37">
        <f>Table3.1[[#This Row],[DM Incubated, mg]]*'2.4 NDF'!R101/100</f>
        <v>265.5537105327507</v>
      </c>
      <c r="Z333" s="37">
        <f t="shared" si="14"/>
        <v>-33.346289467249221</v>
      </c>
      <c r="AA333" s="37">
        <f t="shared" si="15"/>
        <v>-12.557267379299763</v>
      </c>
      <c r="AB333" s="57"/>
    </row>
    <row r="334" spans="2:28" x14ac:dyDescent="0.35">
      <c r="B334" s="230">
        <f t="shared" si="12"/>
        <v>324</v>
      </c>
      <c r="C334" s="246" t="s">
        <v>687</v>
      </c>
      <c r="D334" s="248">
        <f>Table3.110[[#This Row],[Date]]</f>
        <v>46048</v>
      </c>
      <c r="E334" s="230" t="str">
        <f>Table3.110[[#This Row],[Requisitioner]]</f>
        <v>Genbank</v>
      </c>
      <c r="F334" s="230" t="str">
        <f>Table3.110[[#This Row],[Gene Bank ID]]</f>
        <v>CIAT-22310</v>
      </c>
      <c r="G334" s="230" t="str">
        <f>Table3.110[[#This Row],[Genus]]</f>
        <v>Calliandra</v>
      </c>
      <c r="H334" s="230" t="str">
        <f>Table3.110[[#This Row],[Species]]</f>
        <v>calothyrsus</v>
      </c>
      <c r="I334" s="230" t="str">
        <f>Table3.110[[#This Row],[Tax Name]]</f>
        <v>Calliandra calothyrsus</v>
      </c>
      <c r="J334" s="230" t="str">
        <f>Table3.110[[#This Row],[Family]]</f>
        <v>Fabaceae</v>
      </c>
      <c r="K334" s="230" t="str">
        <f>Table3.110[[#This Row],[Order]]</f>
        <v>Fabales</v>
      </c>
      <c r="L334" s="230" t="str">
        <f>Table3.110[[#This Row],[Functional Group]]</f>
        <v>Tree</v>
      </c>
      <c r="M334" s="230" t="str">
        <f>Table3.110[[#This Row],[CIAT ID]]</f>
        <v>F251771</v>
      </c>
      <c r="N334" s="230">
        <f>Table3.110[[#This Row],[Set CIAT]]</f>
        <v>28</v>
      </c>
      <c r="O334" s="230">
        <f>Table3.110[[#This Row],[Batch]]</f>
        <v>60</v>
      </c>
      <c r="P334" s="230">
        <f>Table3.110[[#This Row],[Run]]</f>
        <v>1</v>
      </c>
      <c r="Q334" s="230">
        <f>Table3.110[[#This Row],[Replication]]</f>
        <v>1</v>
      </c>
      <c r="R334" s="230">
        <f>Table3.110[[#This Row],[Syrange No]]</f>
        <v>252</v>
      </c>
      <c r="S334" s="98">
        <v>0.56100000000000005</v>
      </c>
      <c r="T334" s="98">
        <v>0.95269999999999999</v>
      </c>
      <c r="U334" s="108"/>
      <c r="V334" s="122">
        <f t="shared" si="21"/>
        <v>0.39169999999999994</v>
      </c>
      <c r="W334" s="61">
        <f>Table3.110[[#This Row],[DM Incubated, mg]]-('3.2 Digest'!V334*1000)</f>
        <v>82.887131019795845</v>
      </c>
      <c r="X334" s="61">
        <f>W334/Table3.110[[#This Row],[DM Incubated, mg]]*100</f>
        <v>17.465102949944612</v>
      </c>
      <c r="Y334" s="37">
        <f>Table3.1[[#This Row],[DM Incubated, mg]]*'2.4 NDF'!R103/100</f>
        <v>261.03270967869952</v>
      </c>
      <c r="Z334" s="37">
        <f t="shared" si="14"/>
        <v>-130.66729032130041</v>
      </c>
      <c r="AA334" s="37">
        <f t="shared" si="15"/>
        <v>-50.057822440006248</v>
      </c>
      <c r="AB334" s="57"/>
    </row>
    <row r="335" spans="2:28" x14ac:dyDescent="0.35">
      <c r="B335" s="230">
        <f t="shared" si="12"/>
        <v>325</v>
      </c>
      <c r="C335" s="246" t="s">
        <v>687</v>
      </c>
      <c r="D335" s="248">
        <f>Table3.110[[#This Row],[Date]]</f>
        <v>46048</v>
      </c>
      <c r="E335" s="230" t="str">
        <f>Table3.110[[#This Row],[Requisitioner]]</f>
        <v>Genbank</v>
      </c>
      <c r="F335" s="230" t="str">
        <f>Table3.110[[#This Row],[Gene Bank ID]]</f>
        <v>CIAT-22310</v>
      </c>
      <c r="G335" s="230" t="str">
        <f>Table3.110[[#This Row],[Genus]]</f>
        <v>Calliandra</v>
      </c>
      <c r="H335" s="230" t="str">
        <f>Table3.110[[#This Row],[Species]]</f>
        <v>calothyrsus</v>
      </c>
      <c r="I335" s="230" t="str">
        <f>Table3.110[[#This Row],[Tax Name]]</f>
        <v>Calliandra calothyrsus</v>
      </c>
      <c r="J335" s="230" t="str">
        <f>Table3.110[[#This Row],[Family]]</f>
        <v>Fabaceae</v>
      </c>
      <c r="K335" s="230" t="str">
        <f>Table3.110[[#This Row],[Order]]</f>
        <v>Fabales</v>
      </c>
      <c r="L335" s="230" t="str">
        <f>Table3.110[[#This Row],[Functional Group]]</f>
        <v>Tree</v>
      </c>
      <c r="M335" s="230" t="str">
        <f>Table3.110[[#This Row],[CIAT ID]]</f>
        <v>F251771</v>
      </c>
      <c r="N335" s="230">
        <f>Table3.110[[#This Row],[Set CIAT]]</f>
        <v>28</v>
      </c>
      <c r="O335" s="230">
        <f>Table3.110[[#This Row],[Batch]]</f>
        <v>60</v>
      </c>
      <c r="P335" s="230">
        <f>Table3.110[[#This Row],[Run]]</f>
        <v>1</v>
      </c>
      <c r="Q335" s="230">
        <f>Table3.110[[#This Row],[Replication]]</f>
        <v>2</v>
      </c>
      <c r="R335" s="230">
        <f>Table3.110[[#This Row],[Syrange No]]</f>
        <v>253</v>
      </c>
      <c r="S335" s="250">
        <v>0.58230000000000004</v>
      </c>
      <c r="T335" s="250">
        <v>0.9506</v>
      </c>
      <c r="U335" s="108"/>
      <c r="V335" s="122">
        <f t="shared" si="21"/>
        <v>0.36829999999999996</v>
      </c>
      <c r="W335" s="61">
        <f>Table3.110[[#This Row],[DM Incubated, mg]]-('3.2 Digest'!V335*1000)</f>
        <v>106.4768520395919</v>
      </c>
      <c r="X335" s="61">
        <f>W335/Table3.110[[#This Row],[DM Incubated, mg]]*100</f>
        <v>22.426715115149033</v>
      </c>
      <c r="Y335" s="37">
        <f>Table3.1[[#This Row],[DM Incubated, mg]]*'2.4 NDF'!R103/100</f>
        <v>261.13706015228689</v>
      </c>
      <c r="Z335" s="37">
        <f t="shared" si="14"/>
        <v>-107.16293984771306</v>
      </c>
      <c r="AA335" s="37">
        <f t="shared" si="15"/>
        <v>-41.03704766578096</v>
      </c>
      <c r="AB335" s="57"/>
    </row>
    <row r="336" spans="2:28" x14ac:dyDescent="0.35">
      <c r="B336" s="230">
        <f t="shared" si="12"/>
        <v>326</v>
      </c>
      <c r="C336" s="246" t="s">
        <v>687</v>
      </c>
      <c r="D336" s="248">
        <f>Table3.110[[#This Row],[Date]]</f>
        <v>46048</v>
      </c>
      <c r="E336" s="230" t="str">
        <f>Table3.110[[#This Row],[Requisitioner]]</f>
        <v>Genbank</v>
      </c>
      <c r="F336" s="230" t="str">
        <f>Table3.110[[#This Row],[Gene Bank ID]]</f>
        <v>CIAT-22310</v>
      </c>
      <c r="G336" s="230" t="str">
        <f>Table3.110[[#This Row],[Genus]]</f>
        <v>Calliandra</v>
      </c>
      <c r="H336" s="230" t="str">
        <f>Table3.110[[#This Row],[Species]]</f>
        <v>calothyrsus</v>
      </c>
      <c r="I336" s="230" t="str">
        <f>Table3.110[[#This Row],[Tax Name]]</f>
        <v>Calliandra calothyrsus</v>
      </c>
      <c r="J336" s="230" t="str">
        <f>Table3.110[[#This Row],[Family]]</f>
        <v>Fabaceae</v>
      </c>
      <c r="K336" s="230" t="str">
        <f>Table3.110[[#This Row],[Order]]</f>
        <v>Fabales</v>
      </c>
      <c r="L336" s="230" t="str">
        <f>Table3.110[[#This Row],[Functional Group]]</f>
        <v>Tree</v>
      </c>
      <c r="M336" s="230" t="str">
        <f>Table3.110[[#This Row],[CIAT ID]]</f>
        <v>F251771</v>
      </c>
      <c r="N336" s="230">
        <f>Table3.110[[#This Row],[Set CIAT]]</f>
        <v>28</v>
      </c>
      <c r="O336" s="230">
        <f>Table3.110[[#This Row],[Batch]]</f>
        <v>60</v>
      </c>
      <c r="P336" s="230">
        <f>Table3.110[[#This Row],[Run]]</f>
        <v>1</v>
      </c>
      <c r="Q336" s="230">
        <f>Table3.110[[#This Row],[Replication]]</f>
        <v>3</v>
      </c>
      <c r="R336" s="230">
        <f>Table3.110[[#This Row],[Syrange No]]</f>
        <v>254</v>
      </c>
      <c r="S336" s="98">
        <v>0.59409999999999996</v>
      </c>
      <c r="T336" s="98">
        <v>0.95820000000000005</v>
      </c>
      <c r="U336" s="108"/>
      <c r="V336" s="122">
        <f t="shared" si="21"/>
        <v>0.36410000000000009</v>
      </c>
      <c r="W336" s="61">
        <f>Table3.110[[#This Row],[DM Incubated, mg]]-('3.2 Digest'!V336*1000)</f>
        <v>110.39227050989768</v>
      </c>
      <c r="X336" s="61">
        <f>W336/Table3.110[[#This Row],[DM Incubated, mg]]*100</f>
        <v>23.265346428355556</v>
      </c>
      <c r="Y336" s="37">
        <f>Table3.1[[#This Row],[DM Incubated, mg]]*'2.4 NDF'!R103/100</f>
        <v>260.98053444190589</v>
      </c>
      <c r="Z336" s="37">
        <f t="shared" si="14"/>
        <v>-103.11946555809419</v>
      </c>
      <c r="AA336" s="37">
        <f t="shared" si="15"/>
        <v>-39.512320632881732</v>
      </c>
      <c r="AB336" s="57"/>
    </row>
    <row r="337" spans="2:28" x14ac:dyDescent="0.35">
      <c r="B337" s="230">
        <f t="shared" si="12"/>
        <v>327</v>
      </c>
      <c r="C337" s="246" t="s">
        <v>687</v>
      </c>
      <c r="D337" s="248">
        <f>Table3.110[[#This Row],[Date]]</f>
        <v>46048</v>
      </c>
      <c r="E337" s="230" t="str">
        <f>Table3.110[[#This Row],[Requisitioner]]</f>
        <v>Genbank</v>
      </c>
      <c r="F337" s="230" t="str">
        <f>Table3.110[[#This Row],[Gene Bank ID]]</f>
        <v>CIAT-22311</v>
      </c>
      <c r="G337" s="230" t="str">
        <f>Table3.110[[#This Row],[Genus]]</f>
        <v>Calliandra</v>
      </c>
      <c r="H337" s="230" t="str">
        <f>Table3.110[[#This Row],[Species]]</f>
        <v>calothyrsus</v>
      </c>
      <c r="I337" s="230" t="str">
        <f>Table3.110[[#This Row],[Tax Name]]</f>
        <v>Calliandra calothyrsus</v>
      </c>
      <c r="J337" s="230" t="str">
        <f>Table3.110[[#This Row],[Family]]</f>
        <v>Fabaceae</v>
      </c>
      <c r="K337" s="230" t="str">
        <f>Table3.110[[#This Row],[Order]]</f>
        <v>Fabales</v>
      </c>
      <c r="L337" s="230" t="str">
        <f>Table3.110[[#This Row],[Functional Group]]</f>
        <v>Tree</v>
      </c>
      <c r="M337" s="230" t="str">
        <f>Table3.110[[#This Row],[CIAT ID]]</f>
        <v>F251772</v>
      </c>
      <c r="N337" s="230">
        <f>Table3.110[[#This Row],[Set CIAT]]</f>
        <v>28</v>
      </c>
      <c r="O337" s="230">
        <f>Table3.110[[#This Row],[Batch]]</f>
        <v>60</v>
      </c>
      <c r="P337" s="230">
        <f>Table3.110[[#This Row],[Run]]</f>
        <v>1</v>
      </c>
      <c r="Q337" s="230">
        <f>Table3.110[[#This Row],[Replication]]</f>
        <v>1</v>
      </c>
      <c r="R337" s="230">
        <f>Table3.110[[#This Row],[Syrange No]]</f>
        <v>255</v>
      </c>
      <c r="S337" s="250">
        <v>0.59670000000000001</v>
      </c>
      <c r="T337" s="250">
        <v>1.0139</v>
      </c>
      <c r="U337" s="108"/>
      <c r="V337" s="122">
        <f t="shared" si="21"/>
        <v>0.41720000000000002</v>
      </c>
      <c r="W337" s="61">
        <f>Table3.110[[#This Row],[DM Incubated, mg]]-('3.2 Digest'!V337*1000)</f>
        <v>52.467438256174319</v>
      </c>
      <c r="X337" s="61">
        <f>W337/Table3.110[[#This Row],[DM Incubated, mg]]*100</f>
        <v>11.17118922507815</v>
      </c>
      <c r="Y337" s="37">
        <f>Table3.1[[#This Row],[DM Incubated, mg]]*'2.4 NDF'!R105/100</f>
        <v>257.98642701848371</v>
      </c>
      <c r="Z337" s="37">
        <f t="shared" si="14"/>
        <v>-159.21357298151628</v>
      </c>
      <c r="AA337" s="37">
        <f t="shared" si="15"/>
        <v>-61.713933876881534</v>
      </c>
      <c r="AB337" s="57"/>
    </row>
    <row r="338" spans="2:28" x14ac:dyDescent="0.35">
      <c r="B338" s="230">
        <f t="shared" si="12"/>
        <v>328</v>
      </c>
      <c r="C338" s="246" t="s">
        <v>689</v>
      </c>
      <c r="D338" s="248">
        <f>Table3.110[[#This Row],[Date]]</f>
        <v>46048</v>
      </c>
      <c r="E338" s="230" t="str">
        <f>Table3.110[[#This Row],[Requisitioner]]</f>
        <v>Genbank</v>
      </c>
      <c r="F338" s="230" t="str">
        <f>Table3.110[[#This Row],[Gene Bank ID]]</f>
        <v>CIAT-22311</v>
      </c>
      <c r="G338" s="230" t="str">
        <f>Table3.110[[#This Row],[Genus]]</f>
        <v>Calliandra</v>
      </c>
      <c r="H338" s="230" t="str">
        <f>Table3.110[[#This Row],[Species]]</f>
        <v>calothyrsus</v>
      </c>
      <c r="I338" s="230" t="str">
        <f>Table3.110[[#This Row],[Tax Name]]</f>
        <v>Calliandra calothyrsus</v>
      </c>
      <c r="J338" s="230" t="str">
        <f>Table3.110[[#This Row],[Family]]</f>
        <v>Fabaceae</v>
      </c>
      <c r="K338" s="230" t="str">
        <f>Table3.110[[#This Row],[Order]]</f>
        <v>Fabales</v>
      </c>
      <c r="L338" s="230" t="str">
        <f>Table3.110[[#This Row],[Functional Group]]</f>
        <v>Tree</v>
      </c>
      <c r="M338" s="230" t="str">
        <f>Table3.110[[#This Row],[CIAT ID]]</f>
        <v>F251772</v>
      </c>
      <c r="N338" s="230">
        <f>Table3.110[[#This Row],[Set CIAT]]</f>
        <v>28</v>
      </c>
      <c r="O338" s="230">
        <f>Table3.110[[#This Row],[Batch]]</f>
        <v>60</v>
      </c>
      <c r="P338" s="230">
        <f>Table3.110[[#This Row],[Run]]</f>
        <v>1</v>
      </c>
      <c r="Q338" s="230">
        <f>Table3.110[[#This Row],[Replication]]</f>
        <v>2</v>
      </c>
      <c r="R338" s="230">
        <f>Table3.110[[#This Row],[Syrange No]]</f>
        <v>256</v>
      </c>
      <c r="S338" s="98">
        <v>0.5887</v>
      </c>
      <c r="T338" s="98">
        <v>0.99150000000000005</v>
      </c>
      <c r="U338" s="108"/>
      <c r="V338" s="122">
        <f t="shared" si="21"/>
        <v>0.40280000000000005</v>
      </c>
      <c r="W338" s="61">
        <f>Table3.110[[#This Row],[DM Incubated, mg]]-('3.2 Digest'!V338*1000)</f>
        <v>67.149069740237564</v>
      </c>
      <c r="X338" s="61">
        <f>W338/Table3.110[[#This Row],[DM Incubated, mg]]*100</f>
        <v>14.288584458174144</v>
      </c>
      <c r="Y338" s="37">
        <f>Table3.1[[#This Row],[DM Incubated, mg]]*'2.4 NDF'!R105/100</f>
        <v>258.14112605527282</v>
      </c>
      <c r="Z338" s="37">
        <f t="shared" si="14"/>
        <v>-144.65887394472725</v>
      </c>
      <c r="AA338" s="37">
        <f t="shared" si="15"/>
        <v>-56.038677817556703</v>
      </c>
      <c r="AB338" s="57"/>
    </row>
    <row r="339" spans="2:28" x14ac:dyDescent="0.35">
      <c r="B339" s="230">
        <f t="shared" si="12"/>
        <v>329</v>
      </c>
      <c r="C339" s="246" t="s">
        <v>689</v>
      </c>
      <c r="D339" s="248">
        <f>Table3.110[[#This Row],[Date]]</f>
        <v>46048</v>
      </c>
      <c r="E339" s="230" t="str">
        <f>Table3.110[[#This Row],[Requisitioner]]</f>
        <v>Genbank</v>
      </c>
      <c r="F339" s="230" t="str">
        <f>Table3.110[[#This Row],[Gene Bank ID]]</f>
        <v>CIAT-22311</v>
      </c>
      <c r="G339" s="230" t="str">
        <f>Table3.110[[#This Row],[Genus]]</f>
        <v>Calliandra</v>
      </c>
      <c r="H339" s="230" t="str">
        <f>Table3.110[[#This Row],[Species]]</f>
        <v>calothyrsus</v>
      </c>
      <c r="I339" s="230" t="str">
        <f>Table3.110[[#This Row],[Tax Name]]</f>
        <v>Calliandra calothyrsus</v>
      </c>
      <c r="J339" s="230" t="str">
        <f>Table3.110[[#This Row],[Family]]</f>
        <v>Fabaceae</v>
      </c>
      <c r="K339" s="230" t="str">
        <f>Table3.110[[#This Row],[Order]]</f>
        <v>Fabales</v>
      </c>
      <c r="L339" s="230" t="str">
        <f>Table3.110[[#This Row],[Functional Group]]</f>
        <v>Tree</v>
      </c>
      <c r="M339" s="230" t="str">
        <f>Table3.110[[#This Row],[CIAT ID]]</f>
        <v>F251772</v>
      </c>
      <c r="N339" s="230">
        <f>Table3.110[[#This Row],[Set CIAT]]</f>
        <v>28</v>
      </c>
      <c r="O339" s="230">
        <f>Table3.110[[#This Row],[Batch]]</f>
        <v>60</v>
      </c>
      <c r="P339" s="230">
        <f>Table3.110[[#This Row],[Run]]</f>
        <v>1</v>
      </c>
      <c r="Q339" s="230">
        <f>Table3.110[[#This Row],[Replication]]</f>
        <v>3</v>
      </c>
      <c r="R339" s="230">
        <f>Table3.110[[#This Row],[Syrange No]]</f>
        <v>257</v>
      </c>
      <c r="S339" s="250">
        <v>0.60360000000000003</v>
      </c>
      <c r="T339" s="250">
        <v>0.9607</v>
      </c>
      <c r="U339" s="108"/>
      <c r="V339" s="122">
        <f t="shared" si="21"/>
        <v>0.35709999999999997</v>
      </c>
      <c r="W339" s="61">
        <f>Table3.110[[#This Row],[DM Incubated, mg]]-('3.2 Digest'!V339*1000)</f>
        <v>112.75519257888317</v>
      </c>
      <c r="X339" s="61">
        <f>W339/Table3.110[[#This Row],[DM Incubated, mg]]*100</f>
        <v>23.997860268395971</v>
      </c>
      <c r="Y339" s="37">
        <f>Table3.1[[#This Row],[DM Incubated, mg]]*'2.4 NDF'!R105/100</f>
        <v>258.08955970967639</v>
      </c>
      <c r="Z339" s="37">
        <f t="shared" si="14"/>
        <v>-99.010440290323572</v>
      </c>
      <c r="AA339" s="37">
        <f t="shared" si="15"/>
        <v>-38.362822735526343</v>
      </c>
      <c r="AB339" s="57"/>
    </row>
    <row r="340" spans="2:28" x14ac:dyDescent="0.35">
      <c r="B340" s="230">
        <f t="shared" si="12"/>
        <v>330</v>
      </c>
      <c r="C340" s="246" t="s">
        <v>689</v>
      </c>
      <c r="D340" s="248">
        <f>Table3.110[[#This Row],[Date]]</f>
        <v>46048</v>
      </c>
      <c r="E340" s="230" t="str">
        <f>Table3.110[[#This Row],[Requisitioner]]</f>
        <v>Genbank</v>
      </c>
      <c r="F340" s="230" t="str">
        <f>Table3.110[[#This Row],[Gene Bank ID]]</f>
        <v>CIAT-22316</v>
      </c>
      <c r="G340" s="230" t="str">
        <f>Table3.110[[#This Row],[Genus]]</f>
        <v>Calliandra</v>
      </c>
      <c r="H340" s="230" t="str">
        <f>Table3.110[[#This Row],[Species]]</f>
        <v>calothyrsus</v>
      </c>
      <c r="I340" s="230" t="str">
        <f>Table3.110[[#This Row],[Tax Name]]</f>
        <v>Calliandra calothyrsus</v>
      </c>
      <c r="J340" s="230" t="str">
        <f>Table3.110[[#This Row],[Family]]</f>
        <v>Fabaceae</v>
      </c>
      <c r="K340" s="230" t="str">
        <f>Table3.110[[#This Row],[Order]]</f>
        <v>Fabales</v>
      </c>
      <c r="L340" s="230" t="str">
        <f>Table3.110[[#This Row],[Functional Group]]</f>
        <v>Tree</v>
      </c>
      <c r="M340" s="230" t="str">
        <f>Table3.110[[#This Row],[CIAT ID]]</f>
        <v>F251773</v>
      </c>
      <c r="N340" s="230">
        <f>Table3.110[[#This Row],[Set CIAT]]</f>
        <v>28</v>
      </c>
      <c r="O340" s="230">
        <f>Table3.110[[#This Row],[Batch]]</f>
        <v>60</v>
      </c>
      <c r="P340" s="230">
        <f>Table3.110[[#This Row],[Run]]</f>
        <v>1</v>
      </c>
      <c r="Q340" s="230">
        <f>Table3.110[[#This Row],[Replication]]</f>
        <v>1</v>
      </c>
      <c r="R340" s="230">
        <f>Table3.110[[#This Row],[Syrange No]]</f>
        <v>258</v>
      </c>
      <c r="S340" s="98">
        <v>0.59060000000000001</v>
      </c>
      <c r="T340" s="98">
        <v>0.9234</v>
      </c>
      <c r="U340" s="108"/>
      <c r="V340" s="122">
        <f t="shared" si="21"/>
        <v>0.33279999999999998</v>
      </c>
      <c r="W340" s="61">
        <f>Table3.110[[#This Row],[DM Incubated, mg]]-('3.2 Digest'!V340*1000)</f>
        <v>145.16155997116499</v>
      </c>
      <c r="X340" s="61">
        <f>W340/Table3.110[[#This Row],[DM Incubated, mg]]*100</f>
        <v>30.370969577537256</v>
      </c>
      <c r="Y340" s="37">
        <f>Table3.1[[#This Row],[DM Incubated, mg]]*'2.4 NDF'!R107/100</f>
        <v>259.803349529282</v>
      </c>
      <c r="Z340" s="37">
        <f t="shared" si="14"/>
        <v>-72.996650470718009</v>
      </c>
      <c r="AA340" s="37">
        <f t="shared" si="15"/>
        <v>-28.096885818822237</v>
      </c>
      <c r="AB340" s="57"/>
    </row>
    <row r="341" spans="2:28" x14ac:dyDescent="0.35">
      <c r="B341" s="230">
        <f t="shared" ref="B341:B404" si="24">B340+1</f>
        <v>331</v>
      </c>
      <c r="C341" s="246" t="s">
        <v>689</v>
      </c>
      <c r="D341" s="248">
        <f>Table3.110[[#This Row],[Date]]</f>
        <v>46048</v>
      </c>
      <c r="E341" s="230" t="str">
        <f>Table3.110[[#This Row],[Requisitioner]]</f>
        <v>Genbank</v>
      </c>
      <c r="F341" s="230" t="str">
        <f>Table3.110[[#This Row],[Gene Bank ID]]</f>
        <v>CIAT-22316</v>
      </c>
      <c r="G341" s="230" t="str">
        <f>Table3.110[[#This Row],[Genus]]</f>
        <v>Calliandra</v>
      </c>
      <c r="H341" s="230" t="str">
        <f>Table3.110[[#This Row],[Species]]</f>
        <v>calothyrsus</v>
      </c>
      <c r="I341" s="230" t="str">
        <f>Table3.110[[#This Row],[Tax Name]]</f>
        <v>Calliandra calothyrsus</v>
      </c>
      <c r="J341" s="230" t="str">
        <f>Table3.110[[#This Row],[Family]]</f>
        <v>Fabaceae</v>
      </c>
      <c r="K341" s="230" t="str">
        <f>Table3.110[[#This Row],[Order]]</f>
        <v>Fabales</v>
      </c>
      <c r="L341" s="230" t="str">
        <f>Table3.110[[#This Row],[Functional Group]]</f>
        <v>Tree</v>
      </c>
      <c r="M341" s="230" t="str">
        <f>Table3.110[[#This Row],[CIAT ID]]</f>
        <v>F251773</v>
      </c>
      <c r="N341" s="230">
        <f>Table3.110[[#This Row],[Set CIAT]]</f>
        <v>28</v>
      </c>
      <c r="O341" s="230">
        <f>Table3.110[[#This Row],[Batch]]</f>
        <v>60</v>
      </c>
      <c r="P341" s="230">
        <f>Table3.110[[#This Row],[Run]]</f>
        <v>1</v>
      </c>
      <c r="Q341" s="230">
        <f>Table3.110[[#This Row],[Replication]]</f>
        <v>2</v>
      </c>
      <c r="R341" s="230">
        <f>Table3.110[[#This Row],[Syrange No]]</f>
        <v>259</v>
      </c>
      <c r="S341" s="250">
        <v>0.60129999999999995</v>
      </c>
      <c r="T341" s="250">
        <v>0.94069999999999998</v>
      </c>
      <c r="U341" s="108"/>
      <c r="V341" s="122">
        <f t="shared" si="21"/>
        <v>0.33940000000000003</v>
      </c>
      <c r="W341" s="61">
        <f>Table3.110[[#This Row],[DM Incubated, mg]]-('3.2 Digest'!V341*1000)</f>
        <v>138.27501227334062</v>
      </c>
      <c r="X341" s="61">
        <f>W341/Table3.110[[#This Row],[DM Incubated, mg]]*100</f>
        <v>28.947507975195343</v>
      </c>
      <c r="Y341" s="37">
        <f>Table3.1[[#This Row],[DM Incubated, mg]]*'2.4 NDF'!R107/100</f>
        <v>259.64759212548756</v>
      </c>
      <c r="Z341" s="37">
        <f t="shared" si="14"/>
        <v>-79.752407874512471</v>
      </c>
      <c r="AA341" s="37">
        <f t="shared" si="15"/>
        <v>-30.715635458682851</v>
      </c>
      <c r="AB341" s="57"/>
    </row>
    <row r="342" spans="2:28" x14ac:dyDescent="0.35">
      <c r="B342" s="230">
        <f t="shared" si="24"/>
        <v>332</v>
      </c>
      <c r="C342" s="246" t="s">
        <v>689</v>
      </c>
      <c r="D342" s="248">
        <f>Table3.110[[#This Row],[Date]]</f>
        <v>46048</v>
      </c>
      <c r="E342" s="230" t="str">
        <f>Table3.110[[#This Row],[Requisitioner]]</f>
        <v>Genbank</v>
      </c>
      <c r="F342" s="230" t="str">
        <f>Table3.110[[#This Row],[Gene Bank ID]]</f>
        <v>CIAT-22316</v>
      </c>
      <c r="G342" s="230" t="str">
        <f>Table3.110[[#This Row],[Genus]]</f>
        <v>Calliandra</v>
      </c>
      <c r="H342" s="230" t="str">
        <f>Table3.110[[#This Row],[Species]]</f>
        <v>calothyrsus</v>
      </c>
      <c r="I342" s="230" t="str">
        <f>Table3.110[[#This Row],[Tax Name]]</f>
        <v>Calliandra calothyrsus</v>
      </c>
      <c r="J342" s="230" t="str">
        <f>Table3.110[[#This Row],[Family]]</f>
        <v>Fabaceae</v>
      </c>
      <c r="K342" s="230" t="str">
        <f>Table3.110[[#This Row],[Order]]</f>
        <v>Fabales</v>
      </c>
      <c r="L342" s="230" t="str">
        <f>Table3.110[[#This Row],[Functional Group]]</f>
        <v>Tree</v>
      </c>
      <c r="M342" s="230" t="str">
        <f>Table3.110[[#This Row],[CIAT ID]]</f>
        <v>F251773</v>
      </c>
      <c r="N342" s="230">
        <f>Table3.110[[#This Row],[Set CIAT]]</f>
        <v>28</v>
      </c>
      <c r="O342" s="230">
        <f>Table3.110[[#This Row],[Batch]]</f>
        <v>60</v>
      </c>
      <c r="P342" s="230">
        <f>Table3.110[[#This Row],[Run]]</f>
        <v>1</v>
      </c>
      <c r="Q342" s="230">
        <f>Table3.110[[#This Row],[Replication]]</f>
        <v>3</v>
      </c>
      <c r="R342" s="230">
        <f>Table3.110[[#This Row],[Syrange No]]</f>
        <v>260</v>
      </c>
      <c r="S342" s="98">
        <v>0.60560000000000003</v>
      </c>
      <c r="T342" s="98">
        <v>0.93799999999999994</v>
      </c>
      <c r="U342" s="108"/>
      <c r="V342" s="122">
        <f t="shared" ref="V342:V405" si="25">T342-S342</f>
        <v>0.33239999999999992</v>
      </c>
      <c r="W342" s="61">
        <f>Table3.110[[#This Row],[DM Incubated, mg]]-('3.2 Digest'!V342*1000)</f>
        <v>145.17949637406588</v>
      </c>
      <c r="X342" s="61">
        <f>W342/Table3.110[[#This Row],[DM Incubated, mg]]*100</f>
        <v>30.399022042678638</v>
      </c>
      <c r="Y342" s="37">
        <f>Table3.1[[#This Row],[DM Incubated, mg]]*'2.4 NDF'!R107/100</f>
        <v>259.59567299088934</v>
      </c>
      <c r="Z342" s="37">
        <f t="shared" ref="Z342:Z404" si="26">Y342-(V342*1000)</f>
        <v>-72.80432700911058</v>
      </c>
      <c r="AA342" s="37">
        <f t="shared" ref="AA342:AA404" si="27">Z342/Y342*100</f>
        <v>-28.045277554247093</v>
      </c>
      <c r="AB342" s="57"/>
    </row>
    <row r="343" spans="2:28" x14ac:dyDescent="0.35">
      <c r="B343" s="230">
        <f t="shared" si="24"/>
        <v>333</v>
      </c>
      <c r="C343" s="246" t="s">
        <v>689</v>
      </c>
      <c r="D343" s="248">
        <f>Table3.110[[#This Row],[Date]]</f>
        <v>46048</v>
      </c>
      <c r="E343" s="230" t="str">
        <f>Table3.110[[#This Row],[Requisitioner]]</f>
        <v>Genbank</v>
      </c>
      <c r="F343" s="230" t="str">
        <f>Table3.110[[#This Row],[Gene Bank ID]]</f>
        <v>CIAT-23239</v>
      </c>
      <c r="G343" s="230" t="str">
        <f>Table3.110[[#This Row],[Genus]]</f>
        <v>Dendrolobium</v>
      </c>
      <c r="H343" s="230" t="str">
        <f>Table3.110[[#This Row],[Species]]</f>
        <v>triangulare</v>
      </c>
      <c r="I343" s="230" t="str">
        <f>Table3.110[[#This Row],[Tax Name]]</f>
        <v>Dendrolobium triangulare</v>
      </c>
      <c r="J343" s="230" t="str">
        <f>Table3.110[[#This Row],[Family]]</f>
        <v>Fabaceae</v>
      </c>
      <c r="K343" s="230" t="str">
        <f>Table3.110[[#This Row],[Order]]</f>
        <v>Fabales</v>
      </c>
      <c r="L343" s="230" t="str">
        <f>Table3.110[[#This Row],[Functional Group]]</f>
        <v>Tree</v>
      </c>
      <c r="M343" s="230" t="str">
        <f>Table3.110[[#This Row],[CIAT ID]]</f>
        <v>F251774</v>
      </c>
      <c r="N343" s="230">
        <f>Table3.110[[#This Row],[Set CIAT]]</f>
        <v>28</v>
      </c>
      <c r="O343" s="230">
        <f>Table3.110[[#This Row],[Batch]]</f>
        <v>60</v>
      </c>
      <c r="P343" s="230">
        <f>Table3.110[[#This Row],[Run]]</f>
        <v>1</v>
      </c>
      <c r="Q343" s="230">
        <f>Table3.110[[#This Row],[Replication]]</f>
        <v>1</v>
      </c>
      <c r="R343" s="230">
        <f>Table3.110[[#This Row],[Syrange No]]</f>
        <v>261</v>
      </c>
      <c r="S343" s="106">
        <v>0.57869999999999999</v>
      </c>
      <c r="T343" s="106">
        <v>0.96040000000000003</v>
      </c>
      <c r="U343" s="108"/>
      <c r="V343" s="122">
        <f t="shared" si="25"/>
        <v>0.38170000000000004</v>
      </c>
      <c r="W343" s="61">
        <f>Table3.110[[#This Row],[DM Incubated, mg]]-('3.2 Digest'!V343*1000)</f>
        <v>97.770853121625578</v>
      </c>
      <c r="X343" s="61">
        <f>W343/Table3.110[[#This Row],[DM Incubated, mg]]*100</f>
        <v>20.391407003174894</v>
      </c>
      <c r="Y343" s="37">
        <f>Table3.1[[#This Row],[DM Incubated, mg]]*'2.4 NDF'!R109/100</f>
        <v>312.58306939103164</v>
      </c>
      <c r="Z343" s="37">
        <f t="shared" si="26"/>
        <v>-69.116930608968403</v>
      </c>
      <c r="AA343" s="37">
        <f t="shared" si="27"/>
        <v>-22.111540059933727</v>
      </c>
      <c r="AB343" s="57"/>
    </row>
    <row r="344" spans="2:28" x14ac:dyDescent="0.35">
      <c r="B344" s="230">
        <f t="shared" si="24"/>
        <v>334</v>
      </c>
      <c r="C344" s="246" t="s">
        <v>689</v>
      </c>
      <c r="D344" s="248">
        <f>Table3.110[[#This Row],[Date]]</f>
        <v>46048</v>
      </c>
      <c r="E344" s="230" t="str">
        <f>Table3.110[[#This Row],[Requisitioner]]</f>
        <v>Genbank</v>
      </c>
      <c r="F344" s="230" t="str">
        <f>Table3.110[[#This Row],[Gene Bank ID]]</f>
        <v>CIAT-23239</v>
      </c>
      <c r="G344" s="230" t="str">
        <f>Table3.110[[#This Row],[Genus]]</f>
        <v>Dendrolobium</v>
      </c>
      <c r="H344" s="230" t="str">
        <f>Table3.110[[#This Row],[Species]]</f>
        <v>triangulare</v>
      </c>
      <c r="I344" s="230" t="str">
        <f>Table3.110[[#This Row],[Tax Name]]</f>
        <v>Dendrolobium triangulare</v>
      </c>
      <c r="J344" s="230" t="str">
        <f>Table3.110[[#This Row],[Family]]</f>
        <v>Fabaceae</v>
      </c>
      <c r="K344" s="230" t="str">
        <f>Table3.110[[#This Row],[Order]]</f>
        <v>Fabales</v>
      </c>
      <c r="L344" s="230" t="str">
        <f>Table3.110[[#This Row],[Functional Group]]</f>
        <v>Tree</v>
      </c>
      <c r="M344" s="230" t="str">
        <f>Table3.110[[#This Row],[CIAT ID]]</f>
        <v>F251774</v>
      </c>
      <c r="N344" s="230">
        <f>Table3.110[[#This Row],[Set CIAT]]</f>
        <v>28</v>
      </c>
      <c r="O344" s="230">
        <f>Table3.110[[#This Row],[Batch]]</f>
        <v>60</v>
      </c>
      <c r="P344" s="230">
        <f>Table3.110[[#This Row],[Run]]</f>
        <v>1</v>
      </c>
      <c r="Q344" s="230">
        <f>Table3.110[[#This Row],[Replication]]</f>
        <v>2</v>
      </c>
      <c r="R344" s="230">
        <f>Table3.110[[#This Row],[Syrange No]]</f>
        <v>262</v>
      </c>
      <c r="S344" s="106">
        <v>0.57879999999999998</v>
      </c>
      <c r="T344" s="106">
        <v>0.95340000000000003</v>
      </c>
      <c r="U344" s="108"/>
      <c r="V344" s="122">
        <f t="shared" si="25"/>
        <v>0.37460000000000004</v>
      </c>
      <c r="W344" s="61">
        <f>Table3.110[[#This Row],[DM Incubated, mg]]-('3.2 Digest'!V344*1000)</f>
        <v>105.15842060650459</v>
      </c>
      <c r="X344" s="61">
        <f>W344/Table3.110[[#This Row],[DM Incubated, mg]]*100</f>
        <v>21.919035933452637</v>
      </c>
      <c r="Y344" s="37">
        <f>Table3.1[[#This Row],[DM Incubated, mg]]*'2.4 NDF'!R109/100</f>
        <v>312.77054424272558</v>
      </c>
      <c r="Z344" s="37">
        <f t="shared" si="26"/>
        <v>-61.829455757274445</v>
      </c>
      <c r="AA344" s="37">
        <f t="shared" si="27"/>
        <v>-19.768311593080099</v>
      </c>
      <c r="AB344" s="57"/>
    </row>
    <row r="345" spans="2:28" x14ac:dyDescent="0.35">
      <c r="B345" s="230">
        <f t="shared" si="24"/>
        <v>335</v>
      </c>
      <c r="C345" s="246" t="s">
        <v>689</v>
      </c>
      <c r="D345" s="248">
        <f>Table3.110[[#This Row],[Date]]</f>
        <v>46048</v>
      </c>
      <c r="E345" s="230" t="str">
        <f>Table3.110[[#This Row],[Requisitioner]]</f>
        <v>Genbank</v>
      </c>
      <c r="F345" s="230" t="str">
        <f>Table3.110[[#This Row],[Gene Bank ID]]</f>
        <v>CIAT-23239</v>
      </c>
      <c r="G345" s="230" t="str">
        <f>Table3.110[[#This Row],[Genus]]</f>
        <v>Dendrolobium</v>
      </c>
      <c r="H345" s="230" t="str">
        <f>Table3.110[[#This Row],[Species]]</f>
        <v>triangulare</v>
      </c>
      <c r="I345" s="230" t="str">
        <f>Table3.110[[#This Row],[Tax Name]]</f>
        <v>Dendrolobium triangulare</v>
      </c>
      <c r="J345" s="230" t="str">
        <f>Table3.110[[#This Row],[Family]]</f>
        <v>Fabaceae</v>
      </c>
      <c r="K345" s="230" t="str">
        <f>Table3.110[[#This Row],[Order]]</f>
        <v>Fabales</v>
      </c>
      <c r="L345" s="230" t="str">
        <f>Table3.110[[#This Row],[Functional Group]]</f>
        <v>Tree</v>
      </c>
      <c r="M345" s="230" t="str">
        <f>Table3.110[[#This Row],[CIAT ID]]</f>
        <v>F251774</v>
      </c>
      <c r="N345" s="230">
        <f>Table3.110[[#This Row],[Set CIAT]]</f>
        <v>28</v>
      </c>
      <c r="O345" s="230">
        <f>Table3.110[[#This Row],[Batch]]</f>
        <v>60</v>
      </c>
      <c r="P345" s="230">
        <f>Table3.110[[#This Row],[Run]]</f>
        <v>1</v>
      </c>
      <c r="Q345" s="230">
        <f>Table3.110[[#This Row],[Replication]]</f>
        <v>3</v>
      </c>
      <c r="R345" s="230">
        <f>Table3.110[[#This Row],[Syrange No]]</f>
        <v>263</v>
      </c>
      <c r="S345" s="250">
        <v>0.59940000000000004</v>
      </c>
      <c r="T345" s="250">
        <v>0.98409999999999997</v>
      </c>
      <c r="U345" s="108"/>
      <c r="V345" s="122">
        <f t="shared" si="25"/>
        <v>0.38469999999999993</v>
      </c>
      <c r="W345" s="61">
        <f>Table3.110[[#This Row],[DM Incubated, mg]]-('3.2 Digest'!V345*1000)</f>
        <v>94.962564778211686</v>
      </c>
      <c r="X345" s="61">
        <f>W345/Table3.110[[#This Row],[DM Incubated, mg]]*100</f>
        <v>19.79778530811986</v>
      </c>
      <c r="Y345" s="37">
        <f>Table3.1[[#This Row],[DM Incubated, mg]]*'2.4 NDF'!R109/100</f>
        <v>312.70805262549425</v>
      </c>
      <c r="Z345" s="37">
        <f t="shared" si="26"/>
        <v>-71.991947374505685</v>
      </c>
      <c r="AA345" s="37">
        <f t="shared" si="27"/>
        <v>-23.022095775936016</v>
      </c>
      <c r="AB345" s="57"/>
    </row>
    <row r="346" spans="2:28" x14ac:dyDescent="0.35">
      <c r="B346" s="230">
        <f t="shared" si="24"/>
        <v>336</v>
      </c>
      <c r="C346" s="246" t="s">
        <v>689</v>
      </c>
      <c r="D346" s="248">
        <f>Table3.110[[#This Row],[Date]]</f>
        <v>46048</v>
      </c>
      <c r="E346" s="230" t="str">
        <f>Table3.110[[#This Row],[Requisitioner]]</f>
        <v>Genbank</v>
      </c>
      <c r="F346" s="230" t="str">
        <f>Table3.110[[#This Row],[Gene Bank ID]]</f>
        <v>CIAT-33116</v>
      </c>
      <c r="G346" s="230" t="str">
        <f>Table3.110[[#This Row],[Genus]]</f>
        <v>Dendrolobium</v>
      </c>
      <c r="H346" s="230" t="str">
        <f>Table3.110[[#This Row],[Species]]</f>
        <v>triangulare</v>
      </c>
      <c r="I346" s="230" t="str">
        <f>Table3.110[[#This Row],[Tax Name]]</f>
        <v>Dendrolobium triangulare</v>
      </c>
      <c r="J346" s="230" t="str">
        <f>Table3.110[[#This Row],[Family]]</f>
        <v>Fabaceae</v>
      </c>
      <c r="K346" s="230" t="str">
        <f>Table3.110[[#This Row],[Order]]</f>
        <v>Fabales</v>
      </c>
      <c r="L346" s="230" t="str">
        <f>Table3.110[[#This Row],[Functional Group]]</f>
        <v>Tree</v>
      </c>
      <c r="M346" s="230" t="str">
        <f>Table3.110[[#This Row],[CIAT ID]]</f>
        <v>F251775</v>
      </c>
      <c r="N346" s="230">
        <f>Table3.110[[#This Row],[Set CIAT]]</f>
        <v>28</v>
      </c>
      <c r="O346" s="230">
        <f>Table3.110[[#This Row],[Batch]]</f>
        <v>60</v>
      </c>
      <c r="P346" s="230">
        <f>Table3.110[[#This Row],[Run]]</f>
        <v>1</v>
      </c>
      <c r="Q346" s="230">
        <f>Table3.110[[#This Row],[Replication]]</f>
        <v>1</v>
      </c>
      <c r="R346" s="230">
        <f>Table3.110[[#This Row],[Syrange No]]</f>
        <v>264</v>
      </c>
      <c r="S346" s="98">
        <v>0.58679999999999999</v>
      </c>
      <c r="T346" s="98">
        <v>0.9385</v>
      </c>
      <c r="U346" s="108"/>
      <c r="V346" s="122">
        <f t="shared" si="25"/>
        <v>0.35170000000000001</v>
      </c>
      <c r="W346" s="61">
        <f>Table3.110[[#This Row],[DM Incubated, mg]]-('3.2 Digest'!V346*1000)</f>
        <v>126.93361904246206</v>
      </c>
      <c r="X346" s="61">
        <f>W346/Table3.110[[#This Row],[DM Incubated, mg]]*100</f>
        <v>26.519996505134991</v>
      </c>
      <c r="Y346" s="37">
        <f>Table3.1[[#This Row],[DM Incubated, mg]]*'2.4 NDF'!R111/100</f>
        <v>311.93947144221755</v>
      </c>
      <c r="Z346" s="37">
        <f t="shared" si="26"/>
        <v>-39.760528557782436</v>
      </c>
      <c r="AA346" s="37">
        <f t="shared" si="27"/>
        <v>-12.74623194491997</v>
      </c>
      <c r="AB346" s="57"/>
    </row>
    <row r="347" spans="2:28" x14ac:dyDescent="0.35">
      <c r="B347" s="230">
        <f t="shared" si="24"/>
        <v>337</v>
      </c>
      <c r="C347" s="246" t="s">
        <v>689</v>
      </c>
      <c r="D347" s="248">
        <f>Table3.110[[#This Row],[Date]]</f>
        <v>46048</v>
      </c>
      <c r="E347" s="230" t="str">
        <f>Table3.110[[#This Row],[Requisitioner]]</f>
        <v>Genbank</v>
      </c>
      <c r="F347" s="230" t="str">
        <f>Table3.110[[#This Row],[Gene Bank ID]]</f>
        <v>CIAT-33116</v>
      </c>
      <c r="G347" s="230" t="str">
        <f>Table3.110[[#This Row],[Genus]]</f>
        <v>Dendrolobium</v>
      </c>
      <c r="H347" s="230" t="str">
        <f>Table3.110[[#This Row],[Species]]</f>
        <v>triangulare</v>
      </c>
      <c r="I347" s="230" t="str">
        <f>Table3.110[[#This Row],[Tax Name]]</f>
        <v>Dendrolobium triangulare</v>
      </c>
      <c r="J347" s="230" t="str">
        <f>Table3.110[[#This Row],[Family]]</f>
        <v>Fabaceae</v>
      </c>
      <c r="K347" s="230" t="str">
        <f>Table3.110[[#This Row],[Order]]</f>
        <v>Fabales</v>
      </c>
      <c r="L347" s="230" t="str">
        <f>Table3.110[[#This Row],[Functional Group]]</f>
        <v>Tree</v>
      </c>
      <c r="M347" s="230" t="str">
        <f>Table3.110[[#This Row],[CIAT ID]]</f>
        <v>F251775</v>
      </c>
      <c r="N347" s="230">
        <f>Table3.110[[#This Row],[Set CIAT]]</f>
        <v>28</v>
      </c>
      <c r="O347" s="230">
        <f>Table3.110[[#This Row],[Batch]]</f>
        <v>60</v>
      </c>
      <c r="P347" s="230">
        <f>Table3.110[[#This Row],[Run]]</f>
        <v>1</v>
      </c>
      <c r="Q347" s="230">
        <f>Table3.110[[#This Row],[Replication]]</f>
        <v>2</v>
      </c>
      <c r="R347" s="230">
        <f>Table3.110[[#This Row],[Syrange No]]</f>
        <v>265</v>
      </c>
      <c r="S347" s="250">
        <v>0.58899999999999997</v>
      </c>
      <c r="T347" s="250">
        <v>0.99709999999999999</v>
      </c>
      <c r="U347" s="108"/>
      <c r="V347" s="122">
        <f t="shared" si="25"/>
        <v>0.40810000000000002</v>
      </c>
      <c r="W347" s="61">
        <f>Table3.110[[#This Row],[DM Incubated, mg]]-('3.2 Digest'!V347*1000)</f>
        <v>70.43798794974623</v>
      </c>
      <c r="X347" s="61">
        <f>W347/Table3.110[[#This Row],[DM Incubated, mg]]*100</f>
        <v>14.719414074425224</v>
      </c>
      <c r="Y347" s="37">
        <f>Table3.1[[#This Row],[DM Incubated, mg]]*'2.4 NDF'!R111/100</f>
        <v>311.8771458734978</v>
      </c>
      <c r="Z347" s="37">
        <f t="shared" si="26"/>
        <v>-96.222854126502227</v>
      </c>
      <c r="AA347" s="37">
        <f t="shared" si="27"/>
        <v>-30.85280707472285</v>
      </c>
      <c r="AB347" s="57"/>
    </row>
    <row r="348" spans="2:28" x14ac:dyDescent="0.35">
      <c r="B348" s="230">
        <f t="shared" si="24"/>
        <v>338</v>
      </c>
      <c r="C348" s="246" t="s">
        <v>689</v>
      </c>
      <c r="D348" s="248">
        <f>Table3.110[[#This Row],[Date]]</f>
        <v>46048</v>
      </c>
      <c r="E348" s="230" t="str">
        <f>Table3.110[[#This Row],[Requisitioner]]</f>
        <v>Genbank</v>
      </c>
      <c r="F348" s="230" t="str">
        <f>Table3.110[[#This Row],[Gene Bank ID]]</f>
        <v>CIAT-33116</v>
      </c>
      <c r="G348" s="230" t="str">
        <f>Table3.110[[#This Row],[Genus]]</f>
        <v>Dendrolobium</v>
      </c>
      <c r="H348" s="230" t="str">
        <f>Table3.110[[#This Row],[Species]]</f>
        <v>triangulare</v>
      </c>
      <c r="I348" s="230" t="str">
        <f>Table3.110[[#This Row],[Tax Name]]</f>
        <v>Dendrolobium triangulare</v>
      </c>
      <c r="J348" s="230" t="str">
        <f>Table3.110[[#This Row],[Family]]</f>
        <v>Fabaceae</v>
      </c>
      <c r="K348" s="230" t="str">
        <f>Table3.110[[#This Row],[Order]]</f>
        <v>Fabales</v>
      </c>
      <c r="L348" s="230" t="str">
        <f>Table3.110[[#This Row],[Functional Group]]</f>
        <v>Tree</v>
      </c>
      <c r="M348" s="230" t="str">
        <f>Table3.110[[#This Row],[CIAT ID]]</f>
        <v>F251775</v>
      </c>
      <c r="N348" s="230">
        <f>Table3.110[[#This Row],[Set CIAT]]</f>
        <v>28</v>
      </c>
      <c r="O348" s="230">
        <f>Table3.110[[#This Row],[Batch]]</f>
        <v>60</v>
      </c>
      <c r="P348" s="230">
        <f>Table3.110[[#This Row],[Run]]</f>
        <v>1</v>
      </c>
      <c r="Q348" s="230">
        <f>Table3.110[[#This Row],[Replication]]</f>
        <v>3</v>
      </c>
      <c r="R348" s="230">
        <f>Table3.110[[#This Row],[Syrange No]]</f>
        <v>266</v>
      </c>
      <c r="S348" s="98">
        <v>0.57469999999999999</v>
      </c>
      <c r="T348" s="98">
        <v>1.0530999999999999</v>
      </c>
      <c r="U348" s="108"/>
      <c r="V348" s="122">
        <f t="shared" si="25"/>
        <v>0.47839999999999994</v>
      </c>
      <c r="W348" s="61"/>
      <c r="X348" s="61"/>
      <c r="Y348" s="37"/>
      <c r="Z348" s="37"/>
      <c r="AA348" s="37"/>
      <c r="AB348" s="57"/>
    </row>
    <row r="349" spans="2:28" x14ac:dyDescent="0.35">
      <c r="B349" s="230">
        <f t="shared" si="24"/>
        <v>339</v>
      </c>
      <c r="C349" s="246" t="s">
        <v>689</v>
      </c>
      <c r="D349" s="248">
        <f>Table3.110[[#This Row],[Date]]</f>
        <v>46048</v>
      </c>
      <c r="E349" s="230" t="str">
        <f>Table3.110[[#This Row],[Requisitioner]]</f>
        <v>Genbank</v>
      </c>
      <c r="F349" s="230" t="str">
        <f>Table3.110[[#This Row],[Gene Bank ID]]</f>
        <v>CIAT-BH22_0303</v>
      </c>
      <c r="G349" s="230" t="str">
        <f>Table3.110[[#This Row],[Genus]]</f>
        <v>Urochloa</v>
      </c>
      <c r="H349" s="230" t="str">
        <f>Table3.110[[#This Row],[Species]]</f>
        <v>humidicola</v>
      </c>
      <c r="I349" s="230" t="str">
        <f>Table3.110[[#This Row],[Tax Name]]</f>
        <v>Urochloa humidicola</v>
      </c>
      <c r="J349" s="230" t="str">
        <f>Table3.110[[#This Row],[Family]]</f>
        <v>Poaceae</v>
      </c>
      <c r="K349" s="230" t="str">
        <f>Table3.110[[#This Row],[Order]]</f>
        <v>Poales</v>
      </c>
      <c r="L349" s="230" t="str">
        <f>Table3.110[[#This Row],[Functional Group]]</f>
        <v>grasses</v>
      </c>
      <c r="M349" s="230" t="str">
        <f>Table3.110[[#This Row],[CIAT ID]]</f>
        <v>F252184</v>
      </c>
      <c r="N349" s="230">
        <f>Table3.110[[#This Row],[Set CIAT]]</f>
        <v>28</v>
      </c>
      <c r="O349" s="230">
        <f>Table3.110[[#This Row],[Batch]]</f>
        <v>60</v>
      </c>
      <c r="P349" s="230">
        <f>Table3.110[[#This Row],[Run]]</f>
        <v>1</v>
      </c>
      <c r="Q349" s="230">
        <f>Table3.110[[#This Row],[Replication]]</f>
        <v>1</v>
      </c>
      <c r="R349" s="230">
        <f>Table3.110[[#This Row],[Syrange No]]</f>
        <v>267</v>
      </c>
      <c r="S349" s="250">
        <v>0.57930000000000004</v>
      </c>
      <c r="T349" s="250">
        <v>0.82740000000000002</v>
      </c>
      <c r="U349" s="108"/>
      <c r="V349" s="122">
        <f t="shared" si="25"/>
        <v>0.24809999999999999</v>
      </c>
      <c r="W349" s="61">
        <f>Table3.110[[#This Row],[DM Incubated, mg]]-('3.2 Digest'!V349*1000)</f>
        <v>226.39097469269549</v>
      </c>
      <c r="X349" s="61">
        <f>W349/Table3.110[[#This Row],[DM Incubated, mg]]*100</f>
        <v>47.712387962556676</v>
      </c>
      <c r="Y349" s="37">
        <f>Table3.1[[#This Row],[DM Incubated, mg]]*'2.4 NDF'!R113/100</f>
        <v>323.01478086672762</v>
      </c>
      <c r="Z349" s="37">
        <f t="shared" si="26"/>
        <v>74.914780866727625</v>
      </c>
      <c r="AA349" s="37">
        <f t="shared" si="27"/>
        <v>23.192369298306708</v>
      </c>
      <c r="AB349" s="57"/>
    </row>
    <row r="350" spans="2:28" x14ac:dyDescent="0.35">
      <c r="B350" s="230">
        <f t="shared" si="24"/>
        <v>340</v>
      </c>
      <c r="C350" s="246" t="s">
        <v>689</v>
      </c>
      <c r="D350" s="248">
        <f>Table3.110[[#This Row],[Date]]</f>
        <v>46048</v>
      </c>
      <c r="E350" s="230" t="str">
        <f>Table3.110[[#This Row],[Requisitioner]]</f>
        <v>Genbank</v>
      </c>
      <c r="F350" s="230" t="str">
        <f>Table3.110[[#This Row],[Gene Bank ID]]</f>
        <v>CIAT-BH22_0303</v>
      </c>
      <c r="G350" s="230" t="str">
        <f>Table3.110[[#This Row],[Genus]]</f>
        <v>Urochloa</v>
      </c>
      <c r="H350" s="230" t="str">
        <f>Table3.110[[#This Row],[Species]]</f>
        <v>humidicola</v>
      </c>
      <c r="I350" s="230" t="str">
        <f>Table3.110[[#This Row],[Tax Name]]</f>
        <v>Urochloa humidicola</v>
      </c>
      <c r="J350" s="230" t="str">
        <f>Table3.110[[#This Row],[Family]]</f>
        <v>Poaceae</v>
      </c>
      <c r="K350" s="230" t="str">
        <f>Table3.110[[#This Row],[Order]]</f>
        <v>Poales</v>
      </c>
      <c r="L350" s="230" t="str">
        <f>Table3.110[[#This Row],[Functional Group]]</f>
        <v>grasses</v>
      </c>
      <c r="M350" s="230" t="str">
        <f>Table3.110[[#This Row],[CIAT ID]]</f>
        <v>F252184</v>
      </c>
      <c r="N350" s="230">
        <f>Table3.110[[#This Row],[Set CIAT]]</f>
        <v>28</v>
      </c>
      <c r="O350" s="230">
        <f>Table3.110[[#This Row],[Batch]]</f>
        <v>60</v>
      </c>
      <c r="P350" s="230">
        <f>Table3.110[[#This Row],[Run]]</f>
        <v>1</v>
      </c>
      <c r="Q350" s="230">
        <f>Table3.110[[#This Row],[Replication]]</f>
        <v>2</v>
      </c>
      <c r="R350" s="230">
        <f>Table3.110[[#This Row],[Syrange No]]</f>
        <v>268</v>
      </c>
      <c r="S350" s="98">
        <v>0.58430000000000004</v>
      </c>
      <c r="T350" s="98">
        <v>0.96009999999999995</v>
      </c>
      <c r="U350" s="108"/>
      <c r="V350" s="122">
        <f t="shared" si="25"/>
        <v>0.37579999999999991</v>
      </c>
      <c r="W350" s="61">
        <f>Table3.110[[#This Row],[DM Incubated, mg]]-('3.2 Digest'!V350*1000)</f>
        <v>98.975498563188978</v>
      </c>
      <c r="X350" s="61">
        <f>W350/Table3.110[[#This Row],[DM Incubated, mg]]*100</f>
        <v>20.846799984986191</v>
      </c>
      <c r="Y350" s="37">
        <f>Table3.1[[#This Row],[DM Incubated, mg]]*'2.4 NDF'!R113/100</f>
        <v>323.20847351965597</v>
      </c>
      <c r="Z350" s="37">
        <f t="shared" si="26"/>
        <v>-52.59152648034393</v>
      </c>
      <c r="AA350" s="37">
        <f t="shared" si="27"/>
        <v>-16.271704113334632</v>
      </c>
      <c r="AB350" s="57"/>
    </row>
    <row r="351" spans="2:28" x14ac:dyDescent="0.35">
      <c r="B351" s="230">
        <f t="shared" si="24"/>
        <v>341</v>
      </c>
      <c r="C351" s="246" t="s">
        <v>689</v>
      </c>
      <c r="D351" s="248">
        <f>Table3.110[[#This Row],[Date]]</f>
        <v>46048</v>
      </c>
      <c r="E351" s="230" t="str">
        <f>Table3.110[[#This Row],[Requisitioner]]</f>
        <v>Genbank</v>
      </c>
      <c r="F351" s="230" t="str">
        <f>Table3.110[[#This Row],[Gene Bank ID]]</f>
        <v>CIAT-BH22_0303</v>
      </c>
      <c r="G351" s="230" t="str">
        <f>Table3.110[[#This Row],[Genus]]</f>
        <v>Urochloa</v>
      </c>
      <c r="H351" s="230" t="str">
        <f>Table3.110[[#This Row],[Species]]</f>
        <v>humidicola</v>
      </c>
      <c r="I351" s="230" t="str">
        <f>Table3.110[[#This Row],[Tax Name]]</f>
        <v>Urochloa humidicola</v>
      </c>
      <c r="J351" s="230" t="str">
        <f>Table3.110[[#This Row],[Family]]</f>
        <v>Poaceae</v>
      </c>
      <c r="K351" s="230" t="str">
        <f>Table3.110[[#This Row],[Order]]</f>
        <v>Poales</v>
      </c>
      <c r="L351" s="230" t="str">
        <f>Table3.110[[#This Row],[Functional Group]]</f>
        <v>grasses</v>
      </c>
      <c r="M351" s="230" t="str">
        <f>Table3.110[[#This Row],[CIAT ID]]</f>
        <v>F252184</v>
      </c>
      <c r="N351" s="230">
        <f>Table3.110[[#This Row],[Set CIAT]]</f>
        <v>28</v>
      </c>
      <c r="O351" s="230">
        <f>Table3.110[[#This Row],[Batch]]</f>
        <v>60</v>
      </c>
      <c r="P351" s="230">
        <f>Table3.110[[#This Row],[Run]]</f>
        <v>1</v>
      </c>
      <c r="Q351" s="230">
        <f>Table3.110[[#This Row],[Replication]]</f>
        <v>3</v>
      </c>
      <c r="R351" s="230">
        <f>Table3.110[[#This Row],[Syrange No]]</f>
        <v>269</v>
      </c>
      <c r="S351" s="250">
        <v>0.57879999999999998</v>
      </c>
      <c r="T351" s="250">
        <v>0.91979999999999995</v>
      </c>
      <c r="U351" s="108"/>
      <c r="V351" s="122">
        <f t="shared" si="25"/>
        <v>0.34099999999999997</v>
      </c>
      <c r="W351" s="61">
        <f>Table3.110[[#This Row],[DM Incubated, mg]]-('3.2 Digest'!V351*1000)</f>
        <v>133.30129211236664</v>
      </c>
      <c r="X351" s="61">
        <f>W351/Table3.110[[#This Row],[DM Incubated, mg]]*100</f>
        <v>28.104771024065915</v>
      </c>
      <c r="Y351" s="37">
        <f>Table3.1[[#This Row],[DM Incubated, mg]]*'2.4 NDF'!R113/100</f>
        <v>322.88565243144205</v>
      </c>
      <c r="Z351" s="37">
        <f t="shared" si="26"/>
        <v>-18.114347568557889</v>
      </c>
      <c r="AA351" s="37">
        <f t="shared" si="27"/>
        <v>-5.6101432293911193</v>
      </c>
      <c r="AB351" s="57"/>
    </row>
    <row r="352" spans="2:28" x14ac:dyDescent="0.35">
      <c r="B352" s="230">
        <f t="shared" si="24"/>
        <v>342</v>
      </c>
      <c r="C352" s="246" t="s">
        <v>689</v>
      </c>
      <c r="D352" s="248">
        <f>Table3.110[[#This Row],[Date]]</f>
        <v>46048</v>
      </c>
      <c r="E352" s="230" t="str">
        <f>Table3.110[[#This Row],[Requisitioner]]</f>
        <v>Genbank</v>
      </c>
      <c r="F352" s="230" t="str">
        <f>Table3.110[[#This Row],[Gene Bank ID]]</f>
        <v>CIAT-BH22_1594</v>
      </c>
      <c r="G352" s="230" t="str">
        <f>Table3.110[[#This Row],[Genus]]</f>
        <v>Urochloa</v>
      </c>
      <c r="H352" s="230" t="str">
        <f>Table3.110[[#This Row],[Species]]</f>
        <v>humidicola</v>
      </c>
      <c r="I352" s="230" t="str">
        <f>Table3.110[[#This Row],[Tax Name]]</f>
        <v>Urochloa humidicola</v>
      </c>
      <c r="J352" s="230" t="str">
        <f>Table3.110[[#This Row],[Family]]</f>
        <v>Poaceae</v>
      </c>
      <c r="K352" s="230" t="str">
        <f>Table3.110[[#This Row],[Order]]</f>
        <v>Poales</v>
      </c>
      <c r="L352" s="230" t="str">
        <f>Table3.110[[#This Row],[Functional Group]]</f>
        <v>grasses</v>
      </c>
      <c r="M352" s="230" t="str">
        <f>Table3.110[[#This Row],[CIAT ID]]</f>
        <v>F252185</v>
      </c>
      <c r="N352" s="230">
        <f>Table3.110[[#This Row],[Set CIAT]]</f>
        <v>28</v>
      </c>
      <c r="O352" s="230">
        <f>Table3.110[[#This Row],[Batch]]</f>
        <v>60</v>
      </c>
      <c r="P352" s="230">
        <f>Table3.110[[#This Row],[Run]]</f>
        <v>1</v>
      </c>
      <c r="Q352" s="230">
        <f>Table3.110[[#This Row],[Replication]]</f>
        <v>1</v>
      </c>
      <c r="R352" s="230">
        <f>Table3.110[[#This Row],[Syrange No]]</f>
        <v>270</v>
      </c>
      <c r="S352" s="98">
        <v>0.57499999999999996</v>
      </c>
      <c r="T352" s="98">
        <v>0.86609999999999998</v>
      </c>
      <c r="U352" s="108"/>
      <c r="V352" s="122">
        <f t="shared" si="25"/>
        <v>0.29110000000000003</v>
      </c>
      <c r="W352" s="61">
        <f>Table3.110[[#This Row],[DM Incubated, mg]]-('3.2 Digest'!V352*1000)</f>
        <v>184.4699500000001</v>
      </c>
      <c r="X352" s="61">
        <f>W352/Table3.110[[#This Row],[DM Incubated, mg]]*100</f>
        <v>38.78923594730913</v>
      </c>
      <c r="Y352" s="37">
        <f>Table3.1[[#This Row],[DM Incubated, mg]]*'2.4 NDF'!R115/100</f>
        <v>324.8879972361234</v>
      </c>
      <c r="Z352" s="37">
        <f t="shared" si="26"/>
        <v>33.787997236123374</v>
      </c>
      <c r="AA352" s="37">
        <f t="shared" si="27"/>
        <v>10.399890892727194</v>
      </c>
      <c r="AB352" s="57"/>
    </row>
    <row r="353" spans="2:28" x14ac:dyDescent="0.35">
      <c r="B353" s="230">
        <f t="shared" si="24"/>
        <v>343</v>
      </c>
      <c r="C353" s="246" t="s">
        <v>689</v>
      </c>
      <c r="D353" s="248">
        <f>Table3.110[[#This Row],[Date]]</f>
        <v>46048</v>
      </c>
      <c r="E353" s="230" t="str">
        <f>Table3.110[[#This Row],[Requisitioner]]</f>
        <v>Genbank</v>
      </c>
      <c r="F353" s="230" t="str">
        <f>Table3.110[[#This Row],[Gene Bank ID]]</f>
        <v>CIAT-BH22_1594</v>
      </c>
      <c r="G353" s="230" t="str">
        <f>Table3.110[[#This Row],[Genus]]</f>
        <v>Urochloa</v>
      </c>
      <c r="H353" s="230" t="str">
        <f>Table3.110[[#This Row],[Species]]</f>
        <v>humidicola</v>
      </c>
      <c r="I353" s="230" t="str">
        <f>Table3.110[[#This Row],[Tax Name]]</f>
        <v>Urochloa humidicola</v>
      </c>
      <c r="J353" s="230" t="str">
        <f>Table3.110[[#This Row],[Family]]</f>
        <v>Poaceae</v>
      </c>
      <c r="K353" s="230" t="str">
        <f>Table3.110[[#This Row],[Order]]</f>
        <v>Poales</v>
      </c>
      <c r="L353" s="230" t="str">
        <f>Table3.110[[#This Row],[Functional Group]]</f>
        <v>grasses</v>
      </c>
      <c r="M353" s="230" t="str">
        <f>Table3.110[[#This Row],[CIAT ID]]</f>
        <v>F252185</v>
      </c>
      <c r="N353" s="230">
        <f>Table3.110[[#This Row],[Set CIAT]]</f>
        <v>28</v>
      </c>
      <c r="O353" s="230">
        <f>Table3.110[[#This Row],[Batch]]</f>
        <v>60</v>
      </c>
      <c r="P353" s="230">
        <f>Table3.110[[#This Row],[Run]]</f>
        <v>1</v>
      </c>
      <c r="Q353" s="230">
        <f>Table3.110[[#This Row],[Replication]]</f>
        <v>2</v>
      </c>
      <c r="R353" s="230">
        <f>Table3.110[[#This Row],[Syrange No]]</f>
        <v>271</v>
      </c>
      <c r="S353" s="250">
        <v>0.57240000000000002</v>
      </c>
      <c r="T353" s="250">
        <v>0.93559999999999999</v>
      </c>
      <c r="U353" s="108"/>
      <c r="V353" s="122">
        <f t="shared" si="25"/>
        <v>0.36319999999999997</v>
      </c>
      <c r="W353" s="61">
        <f>Table3.110[[#This Row],[DM Incubated, mg]]-('3.2 Digest'!V353*1000)</f>
        <v>112.56010191923241</v>
      </c>
      <c r="X353" s="61">
        <f>W353/Table3.110[[#This Row],[DM Incubated, mg]]*100</f>
        <v>23.659004078980381</v>
      </c>
      <c r="Y353" s="37">
        <f>Table3.1[[#This Row],[DM Incubated, mg]]*'2.4 NDF'!R115/100</f>
        <v>325.01790047372282</v>
      </c>
      <c r="Z353" s="37">
        <f t="shared" si="26"/>
        <v>-38.18209952627717</v>
      </c>
      <c r="AA353" s="37">
        <f t="shared" si="27"/>
        <v>-11.747691271965536</v>
      </c>
      <c r="AB353" s="57"/>
    </row>
    <row r="354" spans="2:28" x14ac:dyDescent="0.35">
      <c r="B354" s="230">
        <f t="shared" si="24"/>
        <v>344</v>
      </c>
      <c r="C354" s="246" t="s">
        <v>689</v>
      </c>
      <c r="D354" s="248">
        <f>Table3.110[[#This Row],[Date]]</f>
        <v>46048</v>
      </c>
      <c r="E354" s="230" t="str">
        <f>Table3.110[[#This Row],[Requisitioner]]</f>
        <v>Genbank</v>
      </c>
      <c r="F354" s="230" t="str">
        <f>Table3.110[[#This Row],[Gene Bank ID]]</f>
        <v>CIAT-BH22_1594</v>
      </c>
      <c r="G354" s="230" t="str">
        <f>Table3.110[[#This Row],[Genus]]</f>
        <v>Urochloa</v>
      </c>
      <c r="H354" s="230" t="str">
        <f>Table3.110[[#This Row],[Species]]</f>
        <v>humidicola</v>
      </c>
      <c r="I354" s="230" t="str">
        <f>Table3.110[[#This Row],[Tax Name]]</f>
        <v>Urochloa humidicola</v>
      </c>
      <c r="J354" s="230" t="str">
        <f>Table3.110[[#This Row],[Family]]</f>
        <v>Poaceae</v>
      </c>
      <c r="K354" s="230" t="str">
        <f>Table3.110[[#This Row],[Order]]</f>
        <v>Poales</v>
      </c>
      <c r="L354" s="230" t="str">
        <f>Table3.110[[#This Row],[Functional Group]]</f>
        <v>grasses</v>
      </c>
      <c r="M354" s="230" t="str">
        <f>Table3.110[[#This Row],[CIAT ID]]</f>
        <v>F252185</v>
      </c>
      <c r="N354" s="230">
        <f>Table3.110[[#This Row],[Set CIAT]]</f>
        <v>28</v>
      </c>
      <c r="O354" s="230">
        <f>Table3.110[[#This Row],[Batch]]</f>
        <v>60</v>
      </c>
      <c r="P354" s="230">
        <f>Table3.110[[#This Row],[Run]]</f>
        <v>1</v>
      </c>
      <c r="Q354" s="230">
        <f>Table3.110[[#This Row],[Replication]]</f>
        <v>3</v>
      </c>
      <c r="R354" s="230">
        <f>Table3.110[[#This Row],[Syrange No]]</f>
        <v>272</v>
      </c>
      <c r="S354" s="98">
        <v>0.59299999999999997</v>
      </c>
      <c r="T354" s="98">
        <v>0.91</v>
      </c>
      <c r="U354" s="108"/>
      <c r="V354" s="122">
        <f t="shared" si="25"/>
        <v>0.31700000000000006</v>
      </c>
      <c r="W354" s="61">
        <f>Table3.110[[#This Row],[DM Incubated, mg]]-('3.2 Digest'!V354*1000)</f>
        <v>158.76010191923234</v>
      </c>
      <c r="X354" s="61">
        <f>W354/Table3.110[[#This Row],[DM Incubated, mg]]*100</f>
        <v>33.369780542502134</v>
      </c>
      <c r="Y354" s="37">
        <f>Table3.1[[#This Row],[DM Incubated, mg]]*'2.4 NDF'!R115/100</f>
        <v>325.01790047372282</v>
      </c>
      <c r="Z354" s="37">
        <f t="shared" si="26"/>
        <v>8.0179004737227615</v>
      </c>
      <c r="AA354" s="37">
        <f t="shared" si="27"/>
        <v>2.4669104261754335</v>
      </c>
      <c r="AB354" s="57"/>
    </row>
    <row r="355" spans="2:28" x14ac:dyDescent="0.35">
      <c r="B355" s="230">
        <f t="shared" si="24"/>
        <v>345</v>
      </c>
      <c r="C355" s="246" t="s">
        <v>689</v>
      </c>
      <c r="D355" s="248">
        <f>Table3.110[[#This Row],[Date]]</f>
        <v>46048</v>
      </c>
      <c r="E355" s="230" t="str">
        <f>Table3.110[[#This Row],[Requisitioner]]</f>
        <v>Genbank</v>
      </c>
      <c r="F355" s="230" t="str">
        <f>Table3.110[[#This Row],[Gene Bank ID]]</f>
        <v>CIAT-BH22_0468</v>
      </c>
      <c r="G355" s="230" t="str">
        <f>Table3.110[[#This Row],[Genus]]</f>
        <v>Urochloa</v>
      </c>
      <c r="H355" s="230" t="str">
        <f>Table3.110[[#This Row],[Species]]</f>
        <v>humidicola</v>
      </c>
      <c r="I355" s="230" t="str">
        <f>Table3.110[[#This Row],[Tax Name]]</f>
        <v>Urochloa humidicola</v>
      </c>
      <c r="J355" s="230" t="str">
        <f>Table3.110[[#This Row],[Family]]</f>
        <v>Poaceae</v>
      </c>
      <c r="K355" s="230" t="str">
        <f>Table3.110[[#This Row],[Order]]</f>
        <v>Poales</v>
      </c>
      <c r="L355" s="230" t="str">
        <f>Table3.110[[#This Row],[Functional Group]]</f>
        <v>grasses</v>
      </c>
      <c r="M355" s="230" t="str">
        <f>Table3.110[[#This Row],[CIAT ID]]</f>
        <v>F252186</v>
      </c>
      <c r="N355" s="230">
        <f>Table3.110[[#This Row],[Set CIAT]]</f>
        <v>28</v>
      </c>
      <c r="O355" s="230">
        <f>Table3.110[[#This Row],[Batch]]</f>
        <v>60</v>
      </c>
      <c r="P355" s="230">
        <f>Table3.110[[#This Row],[Run]]</f>
        <v>1</v>
      </c>
      <c r="Q355" s="230">
        <f>Table3.110[[#This Row],[Replication]]</f>
        <v>1</v>
      </c>
      <c r="R355" s="230">
        <f>Table3.110[[#This Row],[Syrange No]]</f>
        <v>3</v>
      </c>
      <c r="S355" s="250">
        <v>0.5877</v>
      </c>
      <c r="T355" s="250">
        <v>0.94179999999999997</v>
      </c>
      <c r="U355" s="108"/>
      <c r="V355" s="122">
        <f t="shared" si="25"/>
        <v>0.35409999999999997</v>
      </c>
      <c r="W355" s="61">
        <f>Table3.110[[#This Row],[DM Incubated, mg]]-('3.2 Digest'!V355*1000)</f>
        <v>126.09901759823975</v>
      </c>
      <c r="X355" s="61">
        <f>W355/Table3.110[[#This Row],[DM Incubated, mg]]*100</f>
        <v>26.259740852643926</v>
      </c>
      <c r="Y355" s="37">
        <f>Table3.1[[#This Row],[DM Incubated, mg]]*'2.4 NDF'!R117/100</f>
        <v>325.78258586582183</v>
      </c>
      <c r="Z355" s="37">
        <f t="shared" si="26"/>
        <v>-28.317414134178136</v>
      </c>
      <c r="AA355" s="37">
        <f t="shared" si="27"/>
        <v>-8.6921202552677457</v>
      </c>
      <c r="AB355" s="57"/>
    </row>
    <row r="356" spans="2:28" x14ac:dyDescent="0.35">
      <c r="B356" s="230">
        <f t="shared" si="24"/>
        <v>346</v>
      </c>
      <c r="C356" s="246" t="s">
        <v>689</v>
      </c>
      <c r="D356" s="248">
        <f>Table3.110[[#This Row],[Date]]</f>
        <v>46048</v>
      </c>
      <c r="E356" s="230" t="str">
        <f>Table3.110[[#This Row],[Requisitioner]]</f>
        <v>Genbank</v>
      </c>
      <c r="F356" s="230" t="str">
        <f>Table3.110[[#This Row],[Gene Bank ID]]</f>
        <v>CIAT-BH22_0468</v>
      </c>
      <c r="G356" s="230" t="str">
        <f>Table3.110[[#This Row],[Genus]]</f>
        <v>Urochloa</v>
      </c>
      <c r="H356" s="230" t="str">
        <f>Table3.110[[#This Row],[Species]]</f>
        <v>humidicola</v>
      </c>
      <c r="I356" s="230" t="str">
        <f>Table3.110[[#This Row],[Tax Name]]</f>
        <v>Urochloa humidicola</v>
      </c>
      <c r="J356" s="230" t="str">
        <f>Table3.110[[#This Row],[Family]]</f>
        <v>Poaceae</v>
      </c>
      <c r="K356" s="230" t="str">
        <f>Table3.110[[#This Row],[Order]]</f>
        <v>Poales</v>
      </c>
      <c r="L356" s="230" t="str">
        <f>Table3.110[[#This Row],[Functional Group]]</f>
        <v>grasses</v>
      </c>
      <c r="M356" s="230" t="str">
        <f>Table3.110[[#This Row],[CIAT ID]]</f>
        <v>F252186</v>
      </c>
      <c r="N356" s="230">
        <f>Table3.110[[#This Row],[Set CIAT]]</f>
        <v>28</v>
      </c>
      <c r="O356" s="230">
        <f>Table3.110[[#This Row],[Batch]]</f>
        <v>60</v>
      </c>
      <c r="P356" s="230">
        <f>Table3.110[[#This Row],[Run]]</f>
        <v>1</v>
      </c>
      <c r="Q356" s="230">
        <f>Table3.110[[#This Row],[Replication]]</f>
        <v>2</v>
      </c>
      <c r="R356" s="230">
        <f>Table3.110[[#This Row],[Syrange No]]</f>
        <v>4</v>
      </c>
      <c r="S356" s="98">
        <v>0.56999999999999995</v>
      </c>
      <c r="T356" s="98">
        <v>0.87219999999999998</v>
      </c>
      <c r="U356" s="108"/>
      <c r="V356" s="122">
        <f t="shared" si="25"/>
        <v>0.30220000000000002</v>
      </c>
      <c r="W356" s="61">
        <f>Table3.110[[#This Row],[DM Incubated, mg]]-('3.2 Digest'!V356*1000)</f>
        <v>178.1910587970392</v>
      </c>
      <c r="X356" s="61">
        <f>W356/Table3.110[[#This Row],[DM Incubated, mg]]*100</f>
        <v>37.09291743340362</v>
      </c>
      <c r="Y356" s="37">
        <f>Table3.1[[#This Row],[DM Incubated, mg]]*'2.4 NDF'!R117/100</f>
        <v>325.9128728427728</v>
      </c>
      <c r="Z356" s="37">
        <f t="shared" si="26"/>
        <v>23.712872842772754</v>
      </c>
      <c r="AA356" s="37">
        <f t="shared" si="27"/>
        <v>7.2758319227888686</v>
      </c>
      <c r="AB356" s="57"/>
    </row>
    <row r="357" spans="2:28" x14ac:dyDescent="0.35">
      <c r="B357" s="230">
        <f t="shared" si="24"/>
        <v>347</v>
      </c>
      <c r="C357" s="246" t="s">
        <v>689</v>
      </c>
      <c r="D357" s="248">
        <f>Table3.110[[#This Row],[Date]]</f>
        <v>46048</v>
      </c>
      <c r="E357" s="230" t="str">
        <f>Table3.110[[#This Row],[Requisitioner]]</f>
        <v>Genbank</v>
      </c>
      <c r="F357" s="230" t="str">
        <f>Table3.110[[#This Row],[Gene Bank ID]]</f>
        <v>CIAT-BH22_0468</v>
      </c>
      <c r="G357" s="230" t="str">
        <f>Table3.110[[#This Row],[Genus]]</f>
        <v>Urochloa</v>
      </c>
      <c r="H357" s="230" t="str">
        <f>Table3.110[[#This Row],[Species]]</f>
        <v>humidicola</v>
      </c>
      <c r="I357" s="230" t="str">
        <f>Table3.110[[#This Row],[Tax Name]]</f>
        <v>Urochloa humidicola</v>
      </c>
      <c r="J357" s="230" t="str">
        <f>Table3.110[[#This Row],[Family]]</f>
        <v>Poaceae</v>
      </c>
      <c r="K357" s="230" t="str">
        <f>Table3.110[[#This Row],[Order]]</f>
        <v>Poales</v>
      </c>
      <c r="L357" s="230" t="str">
        <f>Table3.110[[#This Row],[Functional Group]]</f>
        <v>grasses</v>
      </c>
      <c r="M357" s="230" t="str">
        <f>Table3.110[[#This Row],[CIAT ID]]</f>
        <v>F252186</v>
      </c>
      <c r="N357" s="230">
        <f>Table3.110[[#This Row],[Set CIAT]]</f>
        <v>28</v>
      </c>
      <c r="O357" s="230">
        <f>Table3.110[[#This Row],[Batch]]</f>
        <v>60</v>
      </c>
      <c r="P357" s="230">
        <f>Table3.110[[#This Row],[Run]]</f>
        <v>1</v>
      </c>
      <c r="Q357" s="230">
        <f>Table3.110[[#This Row],[Replication]]</f>
        <v>3</v>
      </c>
      <c r="R357" s="230">
        <f>Table3.110[[#This Row],[Syrange No]]</f>
        <v>5</v>
      </c>
      <c r="S357" s="250">
        <v>0.58689999999999998</v>
      </c>
      <c r="T357" s="250">
        <v>0.88919999999999999</v>
      </c>
      <c r="U357" s="231"/>
      <c r="V357" s="122">
        <f t="shared" si="25"/>
        <v>0.30230000000000001</v>
      </c>
      <c r="W357" s="61">
        <f>Table3.110[[#This Row],[DM Incubated, mg]]-('3.2 Digest'!V357*1000)</f>
        <v>177.89901759823971</v>
      </c>
      <c r="X357" s="61">
        <f>W357/Table3.110[[#This Row],[DM Incubated, mg]]*100</f>
        <v>37.046934932940573</v>
      </c>
      <c r="Y357" s="37">
        <f>Table3.1[[#This Row],[DM Incubated, mg]]*'2.4 NDF'!R117/100</f>
        <v>325.78258586582183</v>
      </c>
      <c r="Z357" s="37">
        <f t="shared" si="26"/>
        <v>23.482585865821818</v>
      </c>
      <c r="AA357" s="37">
        <f t="shared" si="27"/>
        <v>7.2080543542291888</v>
      </c>
      <c r="AB357" s="57"/>
    </row>
    <row r="358" spans="2:28" x14ac:dyDescent="0.35">
      <c r="B358" s="230">
        <f t="shared" si="24"/>
        <v>348</v>
      </c>
      <c r="C358" s="246" t="s">
        <v>689</v>
      </c>
      <c r="D358" s="248">
        <f>Table3.110[[#This Row],[Date]]</f>
        <v>46048</v>
      </c>
      <c r="E358" s="230" t="str">
        <f>Table3.110[[#This Row],[Requisitioner]]</f>
        <v>Genbank</v>
      </c>
      <c r="F358" s="230" t="str">
        <f>Table3.110[[#This Row],[Gene Bank ID]]</f>
        <v>CIAT-BH22_3830</v>
      </c>
      <c r="G358" s="230" t="str">
        <f>Table3.110[[#This Row],[Genus]]</f>
        <v>Urochloa</v>
      </c>
      <c r="H358" s="230" t="str">
        <f>Table3.110[[#This Row],[Species]]</f>
        <v>humidicola</v>
      </c>
      <c r="I358" s="230" t="str">
        <f>Table3.110[[#This Row],[Tax Name]]</f>
        <v>Urochloa humidicola</v>
      </c>
      <c r="J358" s="230" t="str">
        <f>Table3.110[[#This Row],[Family]]</f>
        <v>Poaceae</v>
      </c>
      <c r="K358" s="230" t="str">
        <f>Table3.110[[#This Row],[Order]]</f>
        <v>Poales</v>
      </c>
      <c r="L358" s="230" t="str">
        <f>Table3.110[[#This Row],[Functional Group]]</f>
        <v>grasses</v>
      </c>
      <c r="M358" s="230" t="str">
        <f>Table3.110[[#This Row],[CIAT ID]]</f>
        <v>F252187</v>
      </c>
      <c r="N358" s="230">
        <f>Table3.110[[#This Row],[Set CIAT]]</f>
        <v>28</v>
      </c>
      <c r="O358" s="230">
        <f>Table3.110[[#This Row],[Batch]]</f>
        <v>60</v>
      </c>
      <c r="P358" s="230">
        <f>Table3.110[[#This Row],[Run]]</f>
        <v>1</v>
      </c>
      <c r="Q358" s="230">
        <f>Table3.110[[#This Row],[Replication]]</f>
        <v>1</v>
      </c>
      <c r="R358" s="230">
        <f>Table3.110[[#This Row],[Syrange No]]</f>
        <v>6</v>
      </c>
      <c r="S358" s="98">
        <v>0.56720000000000004</v>
      </c>
      <c r="T358" s="98">
        <v>0.90639999999999998</v>
      </c>
      <c r="U358" s="108"/>
      <c r="V358" s="122">
        <f t="shared" si="25"/>
        <v>0.33919999999999995</v>
      </c>
      <c r="W358" s="61">
        <f>Table3.110[[#This Row],[DM Incubated, mg]]-('3.2 Digest'!V358*1000)</f>
        <v>140.98586141385846</v>
      </c>
      <c r="X358" s="61">
        <f>W358/Table3.110[[#This Row],[DM Incubated, mg]]*100</f>
        <v>29.360685672572689</v>
      </c>
      <c r="Y358" s="37">
        <f>Table3.1[[#This Row],[DM Incubated, mg]]*'2.4 NDF'!R119/100</f>
        <v>323.78156088395701</v>
      </c>
      <c r="Z358" s="37">
        <f t="shared" si="26"/>
        <v>-15.418439116042919</v>
      </c>
      <c r="AA358" s="37">
        <f t="shared" si="27"/>
        <v>-4.7619880125196108</v>
      </c>
      <c r="AB358" s="57"/>
    </row>
    <row r="359" spans="2:28" x14ac:dyDescent="0.35">
      <c r="B359" s="230">
        <f t="shared" si="24"/>
        <v>349</v>
      </c>
      <c r="C359" s="246" t="s">
        <v>689</v>
      </c>
      <c r="D359" s="248">
        <f>Table3.110[[#This Row],[Date]]</f>
        <v>46048</v>
      </c>
      <c r="E359" s="230" t="str">
        <f>Table3.110[[#This Row],[Requisitioner]]</f>
        <v>Genbank</v>
      </c>
      <c r="F359" s="230" t="str">
        <f>Table3.110[[#This Row],[Gene Bank ID]]</f>
        <v>CIAT-BH22_3830</v>
      </c>
      <c r="G359" s="230" t="str">
        <f>Table3.110[[#This Row],[Genus]]</f>
        <v>Urochloa</v>
      </c>
      <c r="H359" s="230" t="str">
        <f>Table3.110[[#This Row],[Species]]</f>
        <v>humidicola</v>
      </c>
      <c r="I359" s="230" t="str">
        <f>Table3.110[[#This Row],[Tax Name]]</f>
        <v>Urochloa humidicola</v>
      </c>
      <c r="J359" s="230" t="str">
        <f>Table3.110[[#This Row],[Family]]</f>
        <v>Poaceae</v>
      </c>
      <c r="K359" s="230" t="str">
        <f>Table3.110[[#This Row],[Order]]</f>
        <v>Poales</v>
      </c>
      <c r="L359" s="230" t="str">
        <f>Table3.110[[#This Row],[Functional Group]]</f>
        <v>grasses</v>
      </c>
      <c r="M359" s="230" t="str">
        <f>Table3.110[[#This Row],[CIAT ID]]</f>
        <v>F252187</v>
      </c>
      <c r="N359" s="230">
        <f>Table3.110[[#This Row],[Set CIAT]]</f>
        <v>28</v>
      </c>
      <c r="O359" s="230">
        <f>Table3.110[[#This Row],[Batch]]</f>
        <v>60</v>
      </c>
      <c r="P359" s="230">
        <f>Table3.110[[#This Row],[Run]]</f>
        <v>1</v>
      </c>
      <c r="Q359" s="230">
        <f>Table3.110[[#This Row],[Replication]]</f>
        <v>2</v>
      </c>
      <c r="R359" s="230">
        <f>Table3.110[[#This Row],[Syrange No]]</f>
        <v>7</v>
      </c>
      <c r="S359" s="250">
        <v>0.56100000000000005</v>
      </c>
      <c r="T359" s="250">
        <v>0.79249999999999998</v>
      </c>
      <c r="U359" s="108"/>
      <c r="V359" s="122">
        <f t="shared" si="25"/>
        <v>0.23149999999999993</v>
      </c>
      <c r="W359" s="61">
        <f>Table3.110[[#This Row],[DM Incubated, mg]]-('3.2 Digest'!V359*1000)</f>
        <v>248.87778222177778</v>
      </c>
      <c r="X359" s="61">
        <f>W359/Table3.110[[#This Row],[DM Incubated, mg]]*100</f>
        <v>51.808762068616552</v>
      </c>
      <c r="Y359" s="37">
        <f>Table3.1[[#This Row],[DM Incubated, mg]]*'2.4 NDF'!R119/100</f>
        <v>323.91096998103296</v>
      </c>
      <c r="Z359" s="37">
        <f t="shared" si="26"/>
        <v>92.410969981033048</v>
      </c>
      <c r="AA359" s="37">
        <f t="shared" si="27"/>
        <v>28.529743832524197</v>
      </c>
      <c r="AB359" s="57"/>
    </row>
    <row r="360" spans="2:28" x14ac:dyDescent="0.35">
      <c r="B360" s="230">
        <f t="shared" si="24"/>
        <v>350</v>
      </c>
      <c r="C360" s="246" t="s">
        <v>689</v>
      </c>
      <c r="D360" s="248">
        <f>Table3.110[[#This Row],[Date]]</f>
        <v>46048</v>
      </c>
      <c r="E360" s="230" t="str">
        <f>Table3.110[[#This Row],[Requisitioner]]</f>
        <v>Genbank</v>
      </c>
      <c r="F360" s="230" t="str">
        <f>Table3.110[[#This Row],[Gene Bank ID]]</f>
        <v>CIAT-BH22_3830</v>
      </c>
      <c r="G360" s="230" t="str">
        <f>Table3.110[[#This Row],[Genus]]</f>
        <v>Urochloa</v>
      </c>
      <c r="H360" s="230" t="str">
        <f>Table3.110[[#This Row],[Species]]</f>
        <v>humidicola</v>
      </c>
      <c r="I360" s="230" t="str">
        <f>Table3.110[[#This Row],[Tax Name]]</f>
        <v>Urochloa humidicola</v>
      </c>
      <c r="J360" s="230" t="str">
        <f>Table3.110[[#This Row],[Family]]</f>
        <v>Poaceae</v>
      </c>
      <c r="K360" s="230" t="str">
        <f>Table3.110[[#This Row],[Order]]</f>
        <v>Poales</v>
      </c>
      <c r="L360" s="230" t="str">
        <f>Table3.110[[#This Row],[Functional Group]]</f>
        <v>grasses</v>
      </c>
      <c r="M360" s="230" t="str">
        <f>Table3.110[[#This Row],[CIAT ID]]</f>
        <v>F252187</v>
      </c>
      <c r="N360" s="230">
        <f>Table3.110[[#This Row],[Set CIAT]]</f>
        <v>28</v>
      </c>
      <c r="O360" s="230">
        <f>Table3.110[[#This Row],[Batch]]</f>
        <v>60</v>
      </c>
      <c r="P360" s="230">
        <f>Table3.110[[#This Row],[Run]]</f>
        <v>1</v>
      </c>
      <c r="Q360" s="230">
        <f>Table3.110[[#This Row],[Replication]]</f>
        <v>3</v>
      </c>
      <c r="R360" s="230">
        <f>Table3.110[[#This Row],[Syrange No]]</f>
        <v>8</v>
      </c>
      <c r="S360" s="98">
        <v>0.56320000000000003</v>
      </c>
      <c r="T360" s="98">
        <v>0.8498</v>
      </c>
      <c r="U360" s="108"/>
      <c r="V360" s="122">
        <f t="shared" si="25"/>
        <v>0.28659999999999997</v>
      </c>
      <c r="W360" s="61">
        <f>Table3.110[[#This Row],[DM Incubated, mg]]-('3.2 Digest'!V360*1000)</f>
        <v>193.68182181781805</v>
      </c>
      <c r="X360" s="61">
        <f>W360/Table3.110[[#This Row],[DM Incubated, mg]]*100</f>
        <v>40.326702577405904</v>
      </c>
      <c r="Y360" s="37">
        <f>Table3.1[[#This Row],[DM Incubated, mg]]*'2.4 NDF'!R119/100</f>
        <v>323.84626543249499</v>
      </c>
      <c r="Z360" s="37">
        <f t="shared" si="26"/>
        <v>37.246265432495022</v>
      </c>
      <c r="AA360" s="37">
        <f t="shared" si="27"/>
        <v>11.5012181421184</v>
      </c>
      <c r="AB360" s="57"/>
    </row>
    <row r="361" spans="2:28" x14ac:dyDescent="0.35">
      <c r="B361" s="230">
        <f t="shared" si="24"/>
        <v>351</v>
      </c>
      <c r="C361" s="246" t="s">
        <v>689</v>
      </c>
      <c r="D361" s="248">
        <f>Table3.110[[#This Row],[Date]]</f>
        <v>46048</v>
      </c>
      <c r="E361" s="230" t="str">
        <f>Table3.110[[#This Row],[Requisitioner]]</f>
        <v>Genbank</v>
      </c>
      <c r="F361" s="230" t="str">
        <f>Table3.110[[#This Row],[Gene Bank ID]]</f>
        <v>CIAT-BH22_1710</v>
      </c>
      <c r="G361" s="230" t="str">
        <f>Table3.110[[#This Row],[Genus]]</f>
        <v>Urochloa</v>
      </c>
      <c r="H361" s="230" t="str">
        <f>Table3.110[[#This Row],[Species]]</f>
        <v>humidicola</v>
      </c>
      <c r="I361" s="230" t="str">
        <f>Table3.110[[#This Row],[Tax Name]]</f>
        <v>Urochloa humidicola</v>
      </c>
      <c r="J361" s="230" t="str">
        <f>Table3.110[[#This Row],[Family]]</f>
        <v>Poaceae</v>
      </c>
      <c r="K361" s="230" t="str">
        <f>Table3.110[[#This Row],[Order]]</f>
        <v>Poales</v>
      </c>
      <c r="L361" s="230" t="str">
        <f>Table3.110[[#This Row],[Functional Group]]</f>
        <v>grasses</v>
      </c>
      <c r="M361" s="230" t="str">
        <f>Table3.110[[#This Row],[CIAT ID]]</f>
        <v>F252188</v>
      </c>
      <c r="N361" s="230">
        <f>Table3.110[[#This Row],[Set CIAT]]</f>
        <v>28</v>
      </c>
      <c r="O361" s="230">
        <f>Table3.110[[#This Row],[Batch]]</f>
        <v>60</v>
      </c>
      <c r="P361" s="230">
        <f>Table3.110[[#This Row],[Run]]</f>
        <v>1</v>
      </c>
      <c r="Q361" s="230">
        <f>Table3.110[[#This Row],[Replication]]</f>
        <v>1</v>
      </c>
      <c r="R361" s="230">
        <f>Table3.110[[#This Row],[Syrange No]]</f>
        <v>9</v>
      </c>
      <c r="S361" s="250">
        <v>0.56200000000000006</v>
      </c>
      <c r="T361" s="250">
        <v>0.88490000000000002</v>
      </c>
      <c r="U361" s="108"/>
      <c r="V361" s="122">
        <f t="shared" si="25"/>
        <v>0.32289999999999996</v>
      </c>
      <c r="W361" s="61">
        <f>Table3.110[[#This Row],[DM Incubated, mg]]-('3.2 Digest'!V361*1000)</f>
        <v>163.64590540945926</v>
      </c>
      <c r="X361" s="61">
        <f>W361/Table3.110[[#This Row],[DM Incubated, mg]]*100</f>
        <v>33.634216954665533</v>
      </c>
      <c r="Y361" s="37">
        <f>Table3.1[[#This Row],[DM Incubated, mg]]*'2.4 NDF'!R121/100</f>
        <v>337.62143958283281</v>
      </c>
      <c r="Z361" s="37">
        <f t="shared" si="26"/>
        <v>14.721439582832829</v>
      </c>
      <c r="AA361" s="37">
        <f t="shared" si="27"/>
        <v>4.3603390830341624</v>
      </c>
      <c r="AB361" s="57"/>
    </row>
    <row r="362" spans="2:28" x14ac:dyDescent="0.35">
      <c r="B362" s="230">
        <f t="shared" si="24"/>
        <v>352</v>
      </c>
      <c r="C362" s="246" t="s">
        <v>689</v>
      </c>
      <c r="D362" s="248">
        <f>Table3.110[[#This Row],[Date]]</f>
        <v>46048</v>
      </c>
      <c r="E362" s="230" t="str">
        <f>Table3.110[[#This Row],[Requisitioner]]</f>
        <v>Genbank</v>
      </c>
      <c r="F362" s="230" t="str">
        <f>Table3.110[[#This Row],[Gene Bank ID]]</f>
        <v>CIAT-BH22_1710</v>
      </c>
      <c r="G362" s="230" t="str">
        <f>Table3.110[[#This Row],[Genus]]</f>
        <v>Urochloa</v>
      </c>
      <c r="H362" s="230" t="str">
        <f>Table3.110[[#This Row],[Species]]</f>
        <v>humidicola</v>
      </c>
      <c r="I362" s="230" t="str">
        <f>Table3.110[[#This Row],[Tax Name]]</f>
        <v>Urochloa humidicola</v>
      </c>
      <c r="J362" s="230" t="str">
        <f>Table3.110[[#This Row],[Family]]</f>
        <v>Poaceae</v>
      </c>
      <c r="K362" s="230" t="str">
        <f>Table3.110[[#This Row],[Order]]</f>
        <v>Poales</v>
      </c>
      <c r="L362" s="230" t="str">
        <f>Table3.110[[#This Row],[Functional Group]]</f>
        <v>grasses</v>
      </c>
      <c r="M362" s="230" t="str">
        <f>Table3.110[[#This Row],[CIAT ID]]</f>
        <v>F252188</v>
      </c>
      <c r="N362" s="230">
        <f>Table3.110[[#This Row],[Set CIAT]]</f>
        <v>28</v>
      </c>
      <c r="O362" s="230">
        <f>Table3.110[[#This Row],[Batch]]</f>
        <v>60</v>
      </c>
      <c r="P362" s="230">
        <f>Table3.110[[#This Row],[Run]]</f>
        <v>1</v>
      </c>
      <c r="Q362" s="230">
        <f>Table3.110[[#This Row],[Replication]]</f>
        <v>2</v>
      </c>
      <c r="R362" s="230">
        <f>Table3.110[[#This Row],[Syrange No]]</f>
        <v>10</v>
      </c>
      <c r="S362" s="98">
        <v>0.59860000000000002</v>
      </c>
      <c r="T362" s="98">
        <v>0.87960000000000005</v>
      </c>
      <c r="U362" s="108"/>
      <c r="V362" s="122">
        <f t="shared" si="25"/>
        <v>0.28100000000000003</v>
      </c>
      <c r="W362" s="61">
        <f>Table3.110[[#This Row],[DM Incubated, mg]]-('3.2 Digest'!V362*1000)</f>
        <v>205.93498650135012</v>
      </c>
      <c r="X362" s="61">
        <f>W362/Table3.110[[#This Row],[DM Incubated, mg]]*100</f>
        <v>42.292090773966009</v>
      </c>
      <c r="Y362" s="37">
        <f>Table3.1[[#This Row],[DM Incubated, mg]]*'2.4 NDF'!R121/100</f>
        <v>337.89142873883679</v>
      </c>
      <c r="Z362" s="37">
        <f t="shared" si="26"/>
        <v>56.891428738836794</v>
      </c>
      <c r="AA362" s="37">
        <f t="shared" si="27"/>
        <v>16.837192038632427</v>
      </c>
      <c r="AB362" s="57"/>
    </row>
    <row r="363" spans="2:28" x14ac:dyDescent="0.35">
      <c r="B363" s="230">
        <f t="shared" si="24"/>
        <v>353</v>
      </c>
      <c r="C363" s="246" t="s">
        <v>689</v>
      </c>
      <c r="D363" s="248">
        <f>Table3.110[[#This Row],[Date]]</f>
        <v>46048</v>
      </c>
      <c r="E363" s="230" t="str">
        <f>Table3.110[[#This Row],[Requisitioner]]</f>
        <v>Genbank</v>
      </c>
      <c r="F363" s="230" t="str">
        <f>Table3.110[[#This Row],[Gene Bank ID]]</f>
        <v>CIAT-BH22_1710</v>
      </c>
      <c r="G363" s="230" t="str">
        <f>Table3.110[[#This Row],[Genus]]</f>
        <v>Urochloa</v>
      </c>
      <c r="H363" s="230" t="str">
        <f>Table3.110[[#This Row],[Species]]</f>
        <v>humidicola</v>
      </c>
      <c r="I363" s="230" t="str">
        <f>Table3.110[[#This Row],[Tax Name]]</f>
        <v>Urochloa humidicola</v>
      </c>
      <c r="J363" s="230" t="str">
        <f>Table3.110[[#This Row],[Family]]</f>
        <v>Poaceae</v>
      </c>
      <c r="K363" s="230" t="str">
        <f>Table3.110[[#This Row],[Order]]</f>
        <v>Poales</v>
      </c>
      <c r="L363" s="230" t="str">
        <f>Table3.110[[#This Row],[Functional Group]]</f>
        <v>grasses</v>
      </c>
      <c r="M363" s="230" t="str">
        <f>Table3.110[[#This Row],[CIAT ID]]</f>
        <v>F252188</v>
      </c>
      <c r="N363" s="230">
        <f>Table3.110[[#This Row],[Set CIAT]]</f>
        <v>28</v>
      </c>
      <c r="O363" s="230">
        <f>Table3.110[[#This Row],[Batch]]</f>
        <v>60</v>
      </c>
      <c r="P363" s="230">
        <f>Table3.110[[#This Row],[Run]]</f>
        <v>1</v>
      </c>
      <c r="Q363" s="230">
        <f>Table3.110[[#This Row],[Replication]]</f>
        <v>3</v>
      </c>
      <c r="R363" s="230">
        <f>Table3.110[[#This Row],[Syrange No]]</f>
        <v>11</v>
      </c>
      <c r="S363" s="250">
        <v>0.57609999999999995</v>
      </c>
      <c r="T363" s="250">
        <v>0.9143</v>
      </c>
      <c r="U363" s="108"/>
      <c r="V363" s="122">
        <f t="shared" si="25"/>
        <v>0.33820000000000006</v>
      </c>
      <c r="W363" s="61">
        <f>Table3.110[[#This Row],[DM Incubated, mg]]-('3.2 Digest'!V363*1000)</f>
        <v>148.34590540945919</v>
      </c>
      <c r="X363" s="61">
        <f>W363/Table3.110[[#This Row],[DM Incubated, mg]]*100</f>
        <v>30.489601034586183</v>
      </c>
      <c r="Y363" s="37">
        <f>Table3.1[[#This Row],[DM Incubated, mg]]*'2.4 NDF'!R121/100</f>
        <v>337.62143958283281</v>
      </c>
      <c r="Z363" s="37">
        <f t="shared" si="26"/>
        <v>-0.57856041716723894</v>
      </c>
      <c r="AA363" s="37">
        <f t="shared" si="27"/>
        <v>-0.17136364855327668</v>
      </c>
      <c r="AB363" s="57"/>
    </row>
    <row r="364" spans="2:28" x14ac:dyDescent="0.35">
      <c r="B364" s="230">
        <f t="shared" si="24"/>
        <v>354</v>
      </c>
      <c r="C364" s="246" t="s">
        <v>689</v>
      </c>
      <c r="D364" s="248">
        <f>Table3.110[[#This Row],[Date]]</f>
        <v>46048</v>
      </c>
      <c r="E364" s="230" t="str">
        <f>Table3.110[[#This Row],[Requisitioner]]</f>
        <v>Genbank</v>
      </c>
      <c r="F364" s="230" t="str">
        <f>Table3.110[[#This Row],[Gene Bank ID]]</f>
        <v>CIAT-BH22_2365</v>
      </c>
      <c r="G364" s="230" t="str">
        <f>Table3.110[[#This Row],[Genus]]</f>
        <v>Urochloa</v>
      </c>
      <c r="H364" s="230" t="str">
        <f>Table3.110[[#This Row],[Species]]</f>
        <v>humidicola</v>
      </c>
      <c r="I364" s="230" t="str">
        <f>Table3.110[[#This Row],[Tax Name]]</f>
        <v>Urochloa humidicola</v>
      </c>
      <c r="J364" s="230" t="str">
        <f>Table3.110[[#This Row],[Family]]</f>
        <v>Poaceae</v>
      </c>
      <c r="K364" s="230" t="str">
        <f>Table3.110[[#This Row],[Order]]</f>
        <v>Poales</v>
      </c>
      <c r="L364" s="230" t="str">
        <f>Table3.110[[#This Row],[Functional Group]]</f>
        <v>grasses</v>
      </c>
      <c r="M364" s="230" t="str">
        <f>Table3.110[[#This Row],[CIAT ID]]</f>
        <v>F252189</v>
      </c>
      <c r="N364" s="230">
        <f>Table3.110[[#This Row],[Set CIAT]]</f>
        <v>28</v>
      </c>
      <c r="O364" s="230">
        <f>Table3.110[[#This Row],[Batch]]</f>
        <v>60</v>
      </c>
      <c r="P364" s="230">
        <f>Table3.110[[#This Row],[Run]]</f>
        <v>1</v>
      </c>
      <c r="Q364" s="230">
        <f>Table3.110[[#This Row],[Replication]]</f>
        <v>1</v>
      </c>
      <c r="R364" s="230">
        <f>Table3.110[[#This Row],[Syrange No]]</f>
        <v>12</v>
      </c>
      <c r="S364" s="98">
        <v>0.56330000000000002</v>
      </c>
      <c r="T364" s="98">
        <v>0.90720000000000001</v>
      </c>
      <c r="U364" s="108"/>
      <c r="V364" s="122">
        <f t="shared" si="25"/>
        <v>0.34389999999999998</v>
      </c>
      <c r="W364" s="61">
        <f>Table3.110[[#This Row],[DM Incubated, mg]]-('3.2 Digest'!V364*1000)</f>
        <v>141.98839999999979</v>
      </c>
      <c r="X364" s="61">
        <f>W364/Table3.110[[#This Row],[DM Incubated, mg]]*100</f>
        <v>29.222430500501734</v>
      </c>
      <c r="Y364" s="37">
        <f>Table3.1[[#This Row],[DM Incubated, mg]]*'2.4 NDF'!R123/100</f>
        <v>311.64086360872693</v>
      </c>
      <c r="Z364" s="37">
        <f t="shared" si="26"/>
        <v>-32.259136391273046</v>
      </c>
      <c r="AA364" s="37">
        <f t="shared" si="27"/>
        <v>-10.351382042046712</v>
      </c>
      <c r="AB364" s="57"/>
    </row>
    <row r="365" spans="2:28" x14ac:dyDescent="0.35">
      <c r="B365" s="230">
        <f t="shared" si="24"/>
        <v>355</v>
      </c>
      <c r="C365" s="246" t="s">
        <v>689</v>
      </c>
      <c r="D365" s="248">
        <f>Table3.110[[#This Row],[Date]]</f>
        <v>46048</v>
      </c>
      <c r="E365" s="230" t="str">
        <f>Table3.110[[#This Row],[Requisitioner]]</f>
        <v>Genbank</v>
      </c>
      <c r="F365" s="230" t="str">
        <f>Table3.110[[#This Row],[Gene Bank ID]]</f>
        <v>CIAT-BH22_2365</v>
      </c>
      <c r="G365" s="230" t="str">
        <f>Table3.110[[#This Row],[Genus]]</f>
        <v>Urochloa</v>
      </c>
      <c r="H365" s="230" t="str">
        <f>Table3.110[[#This Row],[Species]]</f>
        <v>humidicola</v>
      </c>
      <c r="I365" s="230" t="str">
        <f>Table3.110[[#This Row],[Tax Name]]</f>
        <v>Urochloa humidicola</v>
      </c>
      <c r="J365" s="230" t="str">
        <f>Table3.110[[#This Row],[Family]]</f>
        <v>Poaceae</v>
      </c>
      <c r="K365" s="230" t="str">
        <f>Table3.110[[#This Row],[Order]]</f>
        <v>Poales</v>
      </c>
      <c r="L365" s="230" t="str">
        <f>Table3.110[[#This Row],[Functional Group]]</f>
        <v>grasses</v>
      </c>
      <c r="M365" s="230" t="str">
        <f>Table3.110[[#This Row],[CIAT ID]]</f>
        <v>F252189</v>
      </c>
      <c r="N365" s="230">
        <f>Table3.110[[#This Row],[Set CIAT]]</f>
        <v>28</v>
      </c>
      <c r="O365" s="230">
        <f>Table3.110[[#This Row],[Batch]]</f>
        <v>60</v>
      </c>
      <c r="P365" s="230">
        <f>Table3.110[[#This Row],[Run]]</f>
        <v>1</v>
      </c>
      <c r="Q365" s="230">
        <f>Table3.110[[#This Row],[Replication]]</f>
        <v>2</v>
      </c>
      <c r="R365" s="230">
        <f>Table3.110[[#This Row],[Syrange No]]</f>
        <v>13</v>
      </c>
      <c r="S365" s="250">
        <v>0.57369999999999999</v>
      </c>
      <c r="T365" s="250">
        <v>0.84699999999999998</v>
      </c>
      <c r="U365" s="108"/>
      <c r="V365" s="122">
        <f t="shared" si="25"/>
        <v>0.27329999999999999</v>
      </c>
      <c r="W365" s="61">
        <f>Table3.110[[#This Row],[DM Incubated, mg]]-('3.2 Digest'!V365*1000)</f>
        <v>212.58839999999975</v>
      </c>
      <c r="X365" s="61">
        <f>W365/Table3.110[[#This Row],[DM Incubated, mg]]*100</f>
        <v>43.752516009849145</v>
      </c>
      <c r="Y365" s="37">
        <f>Table3.1[[#This Row],[DM Incubated, mg]]*'2.4 NDF'!R123/100</f>
        <v>311.64086360872693</v>
      </c>
      <c r="Z365" s="37">
        <f t="shared" si="26"/>
        <v>38.34086360872692</v>
      </c>
      <c r="AA365" s="37">
        <f t="shared" si="27"/>
        <v>12.302899935762229</v>
      </c>
      <c r="AB365" s="57"/>
    </row>
    <row r="366" spans="2:28" x14ac:dyDescent="0.35">
      <c r="B366" s="230">
        <f t="shared" si="24"/>
        <v>356</v>
      </c>
      <c r="C366" s="246" t="s">
        <v>689</v>
      </c>
      <c r="D366" s="248">
        <f>Table3.110[[#This Row],[Date]]</f>
        <v>46048</v>
      </c>
      <c r="E366" s="230" t="str">
        <f>Table3.110[[#This Row],[Requisitioner]]</f>
        <v>Genbank</v>
      </c>
      <c r="F366" s="230" t="str">
        <f>Table3.110[[#This Row],[Gene Bank ID]]</f>
        <v>CIAT-BH22_2365</v>
      </c>
      <c r="G366" s="230" t="str">
        <f>Table3.110[[#This Row],[Genus]]</f>
        <v>Urochloa</v>
      </c>
      <c r="H366" s="230" t="str">
        <f>Table3.110[[#This Row],[Species]]</f>
        <v>humidicola</v>
      </c>
      <c r="I366" s="230" t="str">
        <f>Table3.110[[#This Row],[Tax Name]]</f>
        <v>Urochloa humidicola</v>
      </c>
      <c r="J366" s="230" t="str">
        <f>Table3.110[[#This Row],[Family]]</f>
        <v>Poaceae</v>
      </c>
      <c r="K366" s="230" t="str">
        <f>Table3.110[[#This Row],[Order]]</f>
        <v>Poales</v>
      </c>
      <c r="L366" s="230" t="str">
        <f>Table3.110[[#This Row],[Functional Group]]</f>
        <v>grasses</v>
      </c>
      <c r="M366" s="230" t="str">
        <f>Table3.110[[#This Row],[CIAT ID]]</f>
        <v>F252189</v>
      </c>
      <c r="N366" s="230">
        <f>Table3.110[[#This Row],[Set CIAT]]</f>
        <v>28</v>
      </c>
      <c r="O366" s="230">
        <f>Table3.110[[#This Row],[Batch]]</f>
        <v>60</v>
      </c>
      <c r="P366" s="230">
        <f>Table3.110[[#This Row],[Run]]</f>
        <v>1</v>
      </c>
      <c r="Q366" s="230">
        <f>Table3.110[[#This Row],[Replication]]</f>
        <v>3</v>
      </c>
      <c r="R366" s="230">
        <f>Table3.110[[#This Row],[Syrange No]]</f>
        <v>19</v>
      </c>
      <c r="S366" s="98">
        <v>0.57989999999999997</v>
      </c>
      <c r="T366" s="98">
        <v>0.87319999999999998</v>
      </c>
      <c r="U366" s="108"/>
      <c r="V366" s="122">
        <f t="shared" si="25"/>
        <v>0.29330000000000001</v>
      </c>
      <c r="W366" s="61">
        <f>Table3.110[[#This Row],[DM Incubated, mg]]-('3.2 Digest'!V366*1000)</f>
        <v>192.49129999999974</v>
      </c>
      <c r="X366" s="61">
        <f>W366/Table3.110[[#This Row],[DM Incubated, mg]]*100</f>
        <v>39.624278985646683</v>
      </c>
      <c r="Y366" s="37">
        <f>Table3.1[[#This Row],[DM Incubated, mg]]*'2.4 NDF'!R123/100</f>
        <v>311.57858525868522</v>
      </c>
      <c r="Z366" s="37">
        <f t="shared" si="26"/>
        <v>18.278585258685212</v>
      </c>
      <c r="AA366" s="37">
        <f t="shared" si="27"/>
        <v>5.866444654246564</v>
      </c>
      <c r="AB366" s="57"/>
    </row>
    <row r="367" spans="2:28" x14ac:dyDescent="0.35">
      <c r="B367" s="230">
        <f t="shared" si="24"/>
        <v>357</v>
      </c>
      <c r="C367" s="246" t="s">
        <v>689</v>
      </c>
      <c r="D367" s="248">
        <f>Table3.110[[#This Row],[Date]]</f>
        <v>46048</v>
      </c>
      <c r="E367" s="230" t="str">
        <f>Table3.110[[#This Row],[Requisitioner]]</f>
        <v>Genbank</v>
      </c>
      <c r="F367" s="230" t="str">
        <f>Table3.110[[#This Row],[Gene Bank ID]]</f>
        <v>CIAT-BH22_3572</v>
      </c>
      <c r="G367" s="230" t="str">
        <f>Table3.110[[#This Row],[Genus]]</f>
        <v>Urochloa</v>
      </c>
      <c r="H367" s="230" t="str">
        <f>Table3.110[[#This Row],[Species]]</f>
        <v>humidicola</v>
      </c>
      <c r="I367" s="230" t="str">
        <f>Table3.110[[#This Row],[Tax Name]]</f>
        <v>Urochloa humidicola</v>
      </c>
      <c r="J367" s="230" t="str">
        <f>Table3.110[[#This Row],[Family]]</f>
        <v>Poaceae</v>
      </c>
      <c r="K367" s="230" t="str">
        <f>Table3.110[[#This Row],[Order]]</f>
        <v>Poales</v>
      </c>
      <c r="L367" s="230" t="str">
        <f>Table3.110[[#This Row],[Functional Group]]</f>
        <v>grasses</v>
      </c>
      <c r="M367" s="230" t="str">
        <f>Table3.110[[#This Row],[CIAT ID]]</f>
        <v>F252190</v>
      </c>
      <c r="N367" s="230">
        <f>Table3.110[[#This Row],[Set CIAT]]</f>
        <v>28</v>
      </c>
      <c r="O367" s="230">
        <f>Table3.110[[#This Row],[Batch]]</f>
        <v>60</v>
      </c>
      <c r="P367" s="230">
        <f>Table3.110[[#This Row],[Run]]</f>
        <v>1</v>
      </c>
      <c r="Q367" s="230">
        <f>Table3.110[[#This Row],[Replication]]</f>
        <v>1</v>
      </c>
      <c r="R367" s="230">
        <f>Table3.110[[#This Row],[Syrange No]]</f>
        <v>20</v>
      </c>
      <c r="S367" s="250">
        <v>0.5756</v>
      </c>
      <c r="T367" s="250">
        <v>0.93200000000000005</v>
      </c>
      <c r="U367" s="108"/>
      <c r="V367" s="122">
        <f t="shared" si="25"/>
        <v>0.35640000000000005</v>
      </c>
      <c r="W367" s="61">
        <f>Table3.110[[#This Row],[DM Incubated, mg]]-('3.2 Digest'!V367*1000)</f>
        <v>126.48775122487723</v>
      </c>
      <c r="X367" s="61">
        <f>W367/Table3.110[[#This Row],[DM Incubated, mg]]*100</f>
        <v>26.194027681181094</v>
      </c>
      <c r="Y367" s="37">
        <f>Table3.1[[#This Row],[DM Incubated, mg]]*'2.4 NDF'!R125/100</f>
        <v>329.29333060158456</v>
      </c>
      <c r="Z367" s="37">
        <f t="shared" si="26"/>
        <v>-27.106669398415477</v>
      </c>
      <c r="AA367" s="37">
        <f t="shared" si="27"/>
        <v>-8.2317699386423708</v>
      </c>
      <c r="AB367" s="57"/>
    </row>
    <row r="368" spans="2:28" x14ac:dyDescent="0.35">
      <c r="B368" s="230">
        <f t="shared" si="24"/>
        <v>358</v>
      </c>
      <c r="C368" s="246" t="s">
        <v>689</v>
      </c>
      <c r="D368" s="248">
        <f>Table3.110[[#This Row],[Date]]</f>
        <v>46048</v>
      </c>
      <c r="E368" s="230" t="str">
        <f>Table3.110[[#This Row],[Requisitioner]]</f>
        <v>Genbank</v>
      </c>
      <c r="F368" s="230" t="str">
        <f>Table3.110[[#This Row],[Gene Bank ID]]</f>
        <v>CIAT-BH22_3572</v>
      </c>
      <c r="G368" s="230" t="str">
        <f>Table3.110[[#This Row],[Genus]]</f>
        <v>Urochloa</v>
      </c>
      <c r="H368" s="230" t="str">
        <f>Table3.110[[#This Row],[Species]]</f>
        <v>humidicola</v>
      </c>
      <c r="I368" s="230" t="str">
        <f>Table3.110[[#This Row],[Tax Name]]</f>
        <v>Urochloa humidicola</v>
      </c>
      <c r="J368" s="230" t="str">
        <f>Table3.110[[#This Row],[Family]]</f>
        <v>Poaceae</v>
      </c>
      <c r="K368" s="230" t="str">
        <f>Table3.110[[#This Row],[Order]]</f>
        <v>Poales</v>
      </c>
      <c r="L368" s="230" t="str">
        <f>Table3.110[[#This Row],[Functional Group]]</f>
        <v>grasses</v>
      </c>
      <c r="M368" s="230" t="str">
        <f>Table3.110[[#This Row],[CIAT ID]]</f>
        <v>F252190</v>
      </c>
      <c r="N368" s="230">
        <f>Table3.110[[#This Row],[Set CIAT]]</f>
        <v>28</v>
      </c>
      <c r="O368" s="230">
        <f>Table3.110[[#This Row],[Batch]]</f>
        <v>60</v>
      </c>
      <c r="P368" s="230">
        <f>Table3.110[[#This Row],[Run]]</f>
        <v>1</v>
      </c>
      <c r="Q368" s="230">
        <f>Table3.110[[#This Row],[Replication]]</f>
        <v>2</v>
      </c>
      <c r="R368" s="230">
        <f>Table3.110[[#This Row],[Syrange No]]</f>
        <v>21</v>
      </c>
      <c r="S368" s="98">
        <v>0.56240000000000001</v>
      </c>
      <c r="T368" s="98">
        <v>0.92149999999999999</v>
      </c>
      <c r="U368" s="108"/>
      <c r="V368" s="122">
        <f t="shared" si="25"/>
        <v>0.35909999999999997</v>
      </c>
      <c r="W368" s="61">
        <f>Table3.110[[#This Row],[DM Incubated, mg]]-('3.2 Digest'!V368*1000)</f>
        <v>123.88425157484232</v>
      </c>
      <c r="X368" s="61">
        <f>W368/Table3.110[[#This Row],[DM Incubated, mg]]*100</f>
        <v>25.649749690781682</v>
      </c>
      <c r="Y368" s="37">
        <f>Table3.1[[#This Row],[DM Incubated, mg]]*'2.4 NDF'!R125/100</f>
        <v>329.35913662288783</v>
      </c>
      <c r="Z368" s="37">
        <f t="shared" si="26"/>
        <v>-29.740863377112134</v>
      </c>
      <c r="AA368" s="37">
        <f t="shared" si="27"/>
        <v>-9.0299190367276978</v>
      </c>
      <c r="AB368" s="57"/>
    </row>
    <row r="369" spans="2:28" x14ac:dyDescent="0.35">
      <c r="B369" s="230">
        <f t="shared" si="24"/>
        <v>359</v>
      </c>
      <c r="C369" s="246" t="s">
        <v>689</v>
      </c>
      <c r="D369" s="248">
        <f>Table3.110[[#This Row],[Date]]</f>
        <v>46048</v>
      </c>
      <c r="E369" s="230" t="str">
        <f>Table3.110[[#This Row],[Requisitioner]]</f>
        <v>Genbank</v>
      </c>
      <c r="F369" s="230" t="str">
        <f>Table3.110[[#This Row],[Gene Bank ID]]</f>
        <v>CIAT-BH22_3572</v>
      </c>
      <c r="G369" s="230" t="str">
        <f>Table3.110[[#This Row],[Genus]]</f>
        <v>Urochloa</v>
      </c>
      <c r="H369" s="230" t="str">
        <f>Table3.110[[#This Row],[Species]]</f>
        <v>humidicola</v>
      </c>
      <c r="I369" s="230" t="str">
        <f>Table3.110[[#This Row],[Tax Name]]</f>
        <v>Urochloa humidicola</v>
      </c>
      <c r="J369" s="230" t="str">
        <f>Table3.110[[#This Row],[Family]]</f>
        <v>Poaceae</v>
      </c>
      <c r="K369" s="230" t="str">
        <f>Table3.110[[#This Row],[Order]]</f>
        <v>Poales</v>
      </c>
      <c r="L369" s="230" t="str">
        <f>Table3.110[[#This Row],[Functional Group]]</f>
        <v>grasses</v>
      </c>
      <c r="M369" s="230" t="str">
        <f>Table3.110[[#This Row],[CIAT ID]]</f>
        <v>F252190</v>
      </c>
      <c r="N369" s="230">
        <f>Table3.110[[#This Row],[Set CIAT]]</f>
        <v>28</v>
      </c>
      <c r="O369" s="230">
        <f>Table3.110[[#This Row],[Batch]]</f>
        <v>60</v>
      </c>
      <c r="P369" s="230">
        <f>Table3.110[[#This Row],[Run]]</f>
        <v>1</v>
      </c>
      <c r="Q369" s="230">
        <f>Table3.110[[#This Row],[Replication]]</f>
        <v>3</v>
      </c>
      <c r="R369" s="230">
        <f>Table3.110[[#This Row],[Syrange No]]</f>
        <v>17</v>
      </c>
      <c r="S369" s="250">
        <v>0.55159999999999998</v>
      </c>
      <c r="T369" s="250">
        <v>0.90439999999999998</v>
      </c>
      <c r="U369" s="108"/>
      <c r="V369" s="122">
        <f t="shared" si="25"/>
        <v>0.3528</v>
      </c>
      <c r="W369" s="61">
        <f>Table3.110[[#This Row],[DM Incubated, mg]]-('3.2 Digest'!V369*1000)</f>
        <v>130.18425157484228</v>
      </c>
      <c r="X369" s="61">
        <f>W369/Table3.110[[#This Row],[DM Incubated, mg]]*100</f>
        <v>26.954140047083747</v>
      </c>
      <c r="Y369" s="37">
        <f>Table3.1[[#This Row],[DM Incubated, mg]]*'2.4 NDF'!R125/100</f>
        <v>329.35913662288783</v>
      </c>
      <c r="Z369" s="37">
        <f t="shared" si="26"/>
        <v>-23.44086337711218</v>
      </c>
      <c r="AA369" s="37">
        <f t="shared" si="27"/>
        <v>-7.1171134395921376</v>
      </c>
      <c r="AB369" s="57"/>
    </row>
    <row r="370" spans="2:28" x14ac:dyDescent="0.35">
      <c r="B370" s="230">
        <f t="shared" si="24"/>
        <v>360</v>
      </c>
      <c r="C370" s="246" t="s">
        <v>689</v>
      </c>
      <c r="D370" s="248">
        <f>Table3.110[[#This Row],[Date]]</f>
        <v>46048</v>
      </c>
      <c r="E370" s="230" t="str">
        <f>Table3.110[[#This Row],[Requisitioner]]</f>
        <v>Genbank</v>
      </c>
      <c r="F370" s="230" t="str">
        <f>Table3.110[[#This Row],[Gene Bank ID]]</f>
        <v>CIAT-BH22_0517</v>
      </c>
      <c r="G370" s="230" t="str">
        <f>Table3.110[[#This Row],[Genus]]</f>
        <v>Urochloa</v>
      </c>
      <c r="H370" s="230" t="str">
        <f>Table3.110[[#This Row],[Species]]</f>
        <v>humidicola</v>
      </c>
      <c r="I370" s="230" t="str">
        <f>Table3.110[[#This Row],[Tax Name]]</f>
        <v>Urochloa humidicola</v>
      </c>
      <c r="J370" s="230" t="str">
        <f>Table3.110[[#This Row],[Family]]</f>
        <v>Poaceae</v>
      </c>
      <c r="K370" s="230" t="str">
        <f>Table3.110[[#This Row],[Order]]</f>
        <v>Poales</v>
      </c>
      <c r="L370" s="230" t="str">
        <f>Table3.110[[#This Row],[Functional Group]]</f>
        <v>grasses</v>
      </c>
      <c r="M370" s="230" t="str">
        <f>Table3.110[[#This Row],[CIAT ID]]</f>
        <v>F252191</v>
      </c>
      <c r="N370" s="230">
        <f>Table3.110[[#This Row],[Set CIAT]]</f>
        <v>28</v>
      </c>
      <c r="O370" s="230">
        <f>Table3.110[[#This Row],[Batch]]</f>
        <v>60</v>
      </c>
      <c r="P370" s="230">
        <f>Table3.110[[#This Row],[Run]]</f>
        <v>1</v>
      </c>
      <c r="Q370" s="230">
        <f>Table3.110[[#This Row],[Replication]]</f>
        <v>1</v>
      </c>
      <c r="R370" s="230">
        <f>Table3.110[[#This Row],[Syrange No]]</f>
        <v>18</v>
      </c>
      <c r="S370" s="98">
        <v>0.5544</v>
      </c>
      <c r="T370" s="98">
        <v>0.92769999999999997</v>
      </c>
      <c r="U370" s="108"/>
      <c r="V370" s="122">
        <f t="shared" si="25"/>
        <v>0.37329999999999997</v>
      </c>
      <c r="W370" s="61">
        <f>Table3.110[[#This Row],[DM Incubated, mg]]-('3.2 Digest'!V370*1000)</f>
        <v>111.51793102684974</v>
      </c>
      <c r="X370" s="61">
        <f>W370/Table3.110[[#This Row],[DM Incubated, mg]]*100</f>
        <v>23.002022798672801</v>
      </c>
      <c r="Y370" s="37">
        <f>Table3.1[[#This Row],[DM Incubated, mg]]*'2.4 NDF'!R127/100</f>
        <v>336.73464765759979</v>
      </c>
      <c r="Z370" s="37">
        <f t="shared" si="26"/>
        <v>-36.565352342400161</v>
      </c>
      <c r="AA370" s="37">
        <f t="shared" si="27"/>
        <v>-10.858803095183935</v>
      </c>
      <c r="AB370" s="57"/>
    </row>
    <row r="371" spans="2:28" x14ac:dyDescent="0.35">
      <c r="B371" s="230">
        <f t="shared" si="24"/>
        <v>361</v>
      </c>
      <c r="C371" s="246" t="s">
        <v>689</v>
      </c>
      <c r="D371" s="248">
        <f>Table3.110[[#This Row],[Date]]</f>
        <v>46048</v>
      </c>
      <c r="E371" s="230" t="str">
        <f>Table3.110[[#This Row],[Requisitioner]]</f>
        <v>Genbank</v>
      </c>
      <c r="F371" s="230" t="str">
        <f>Table3.110[[#This Row],[Gene Bank ID]]</f>
        <v>CIAT-BH22_0517</v>
      </c>
      <c r="G371" s="230" t="str">
        <f>Table3.110[[#This Row],[Genus]]</f>
        <v>Urochloa</v>
      </c>
      <c r="H371" s="230" t="str">
        <f>Table3.110[[#This Row],[Species]]</f>
        <v>humidicola</v>
      </c>
      <c r="I371" s="230" t="str">
        <f>Table3.110[[#This Row],[Tax Name]]</f>
        <v>Urochloa humidicola</v>
      </c>
      <c r="J371" s="230" t="str">
        <f>Table3.110[[#This Row],[Family]]</f>
        <v>Poaceae</v>
      </c>
      <c r="K371" s="230" t="str">
        <f>Table3.110[[#This Row],[Order]]</f>
        <v>Poales</v>
      </c>
      <c r="L371" s="230" t="str">
        <f>Table3.110[[#This Row],[Functional Group]]</f>
        <v>grasses</v>
      </c>
      <c r="M371" s="230" t="str">
        <f>Table3.110[[#This Row],[CIAT ID]]</f>
        <v>F252191</v>
      </c>
      <c r="N371" s="230">
        <f>Table3.110[[#This Row],[Set CIAT]]</f>
        <v>28</v>
      </c>
      <c r="O371" s="230">
        <f>Table3.110[[#This Row],[Batch]]</f>
        <v>60</v>
      </c>
      <c r="P371" s="230">
        <f>Table3.110[[#This Row],[Run]]</f>
        <v>1</v>
      </c>
      <c r="Q371" s="230">
        <f>Table3.110[[#This Row],[Replication]]</f>
        <v>2</v>
      </c>
      <c r="R371" s="230">
        <f>Table3.110[[#This Row],[Syrange No]]</f>
        <v>14</v>
      </c>
      <c r="S371" s="250">
        <v>0.57010000000000005</v>
      </c>
      <c r="T371" s="250">
        <v>0.97729999999999995</v>
      </c>
      <c r="U371" s="108"/>
      <c r="V371" s="122">
        <f t="shared" si="25"/>
        <v>0.4071999999999999</v>
      </c>
      <c r="W371" s="61">
        <f>Table3.110[[#This Row],[DM Incubated, mg]]-('3.2 Digest'!V371*1000)</f>
        <v>77.327330868392153</v>
      </c>
      <c r="X371" s="61">
        <f>W371/Table3.110[[#This Row],[DM Incubated, mg]]*100</f>
        <v>15.959333136028173</v>
      </c>
      <c r="Y371" s="37">
        <f>Table3.1[[#This Row],[DM Incubated, mg]]*'2.4 NDF'!R127/100</f>
        <v>336.53280870795481</v>
      </c>
      <c r="Z371" s="37">
        <f t="shared" si="26"/>
        <v>-70.667191292045061</v>
      </c>
      <c r="AA371" s="37">
        <f t="shared" si="27"/>
        <v>-20.99860383995145</v>
      </c>
      <c r="AB371" s="57"/>
    </row>
    <row r="372" spans="2:28" x14ac:dyDescent="0.35">
      <c r="B372" s="230">
        <f t="shared" si="24"/>
        <v>362</v>
      </c>
      <c r="C372" s="246" t="s">
        <v>689</v>
      </c>
      <c r="D372" s="248">
        <f>Table3.110[[#This Row],[Date]]</f>
        <v>46048</v>
      </c>
      <c r="E372" s="230" t="str">
        <f>Table3.110[[#This Row],[Requisitioner]]</f>
        <v>Genbank</v>
      </c>
      <c r="F372" s="230" t="str">
        <f>Table3.110[[#This Row],[Gene Bank ID]]</f>
        <v>CIAT-BH22_0517</v>
      </c>
      <c r="G372" s="230" t="str">
        <f>Table3.110[[#This Row],[Genus]]</f>
        <v>Urochloa</v>
      </c>
      <c r="H372" s="230" t="str">
        <f>Table3.110[[#This Row],[Species]]</f>
        <v>humidicola</v>
      </c>
      <c r="I372" s="230" t="str">
        <f>Table3.110[[#This Row],[Tax Name]]</f>
        <v>Urochloa humidicola</v>
      </c>
      <c r="J372" s="230" t="str">
        <f>Table3.110[[#This Row],[Family]]</f>
        <v>Poaceae</v>
      </c>
      <c r="K372" s="230" t="str">
        <f>Table3.110[[#This Row],[Order]]</f>
        <v>Poales</v>
      </c>
      <c r="L372" s="230" t="str">
        <f>Table3.110[[#This Row],[Functional Group]]</f>
        <v>grasses</v>
      </c>
      <c r="M372" s="230" t="str">
        <f>Table3.110[[#This Row],[CIAT ID]]</f>
        <v>F252191</v>
      </c>
      <c r="N372" s="230">
        <f>Table3.110[[#This Row],[Set CIAT]]</f>
        <v>28</v>
      </c>
      <c r="O372" s="230">
        <f>Table3.110[[#This Row],[Batch]]</f>
        <v>60</v>
      </c>
      <c r="P372" s="230">
        <f>Table3.110[[#This Row],[Run]]</f>
        <v>1</v>
      </c>
      <c r="Q372" s="230">
        <f>Table3.110[[#This Row],[Replication]]</f>
        <v>3</v>
      </c>
      <c r="R372" s="230">
        <f>Table3.110[[#This Row],[Syrange No]]</f>
        <v>15</v>
      </c>
      <c r="S372" s="98">
        <v>0.57940000000000003</v>
      </c>
      <c r="T372" s="98">
        <v>0.91569999999999996</v>
      </c>
      <c r="U372" s="108"/>
      <c r="V372" s="122">
        <f t="shared" si="25"/>
        <v>0.33629999999999993</v>
      </c>
      <c r="W372" s="61">
        <f>Table3.110[[#This Row],[DM Incubated, mg]]-('3.2 Digest'!V372*1000)</f>
        <v>148.51793102684974</v>
      </c>
      <c r="X372" s="61">
        <f>W372/Table3.110[[#This Row],[DM Incubated, mg]]*100</f>
        <v>30.633753729423152</v>
      </c>
      <c r="Y372" s="37">
        <f>Table3.1[[#This Row],[DM Incubated, mg]]*'2.4 NDF'!R127/100</f>
        <v>336.73464765759979</v>
      </c>
      <c r="Z372" s="37">
        <f t="shared" si="26"/>
        <v>0.43464765759983948</v>
      </c>
      <c r="AA372" s="37">
        <f t="shared" si="27"/>
        <v>0.12907720088305261</v>
      </c>
      <c r="AB372" s="57"/>
    </row>
    <row r="373" spans="2:28" x14ac:dyDescent="0.35">
      <c r="B373" s="230">
        <f t="shared" si="24"/>
        <v>363</v>
      </c>
      <c r="C373" s="246" t="s">
        <v>689</v>
      </c>
      <c r="D373" s="248">
        <f>Table3.110[[#This Row],[Date]]</f>
        <v>46048</v>
      </c>
      <c r="E373" s="230" t="str">
        <f>Table3.110[[#This Row],[Requisitioner]]</f>
        <v>Genbank</v>
      </c>
      <c r="F373" s="230" t="str">
        <f>Table3.110[[#This Row],[Gene Bank ID]]</f>
        <v>CIAT-BH22_0519</v>
      </c>
      <c r="G373" s="230" t="str">
        <f>Table3.110[[#This Row],[Genus]]</f>
        <v>Urochloa</v>
      </c>
      <c r="H373" s="230" t="str">
        <f>Table3.110[[#This Row],[Species]]</f>
        <v>humidicola</v>
      </c>
      <c r="I373" s="230" t="str">
        <f>Table3.110[[#This Row],[Tax Name]]</f>
        <v>Urochloa humidicola</v>
      </c>
      <c r="J373" s="230" t="str">
        <f>Table3.110[[#This Row],[Family]]</f>
        <v>Poaceae</v>
      </c>
      <c r="K373" s="230" t="str">
        <f>Table3.110[[#This Row],[Order]]</f>
        <v>Poales</v>
      </c>
      <c r="L373" s="230" t="str">
        <f>Table3.110[[#This Row],[Functional Group]]</f>
        <v>grasses</v>
      </c>
      <c r="M373" s="230" t="str">
        <f>Table3.110[[#This Row],[CIAT ID]]</f>
        <v>F252192</v>
      </c>
      <c r="N373" s="230">
        <f>Table3.110[[#This Row],[Set CIAT]]</f>
        <v>28</v>
      </c>
      <c r="O373" s="230">
        <f>Table3.110[[#This Row],[Batch]]</f>
        <v>60</v>
      </c>
      <c r="P373" s="230">
        <f>Table3.110[[#This Row],[Run]]</f>
        <v>1</v>
      </c>
      <c r="Q373" s="230">
        <f>Table3.110[[#This Row],[Replication]]</f>
        <v>1</v>
      </c>
      <c r="R373" s="230">
        <f>Table3.110[[#This Row],[Syrange No]]</f>
        <v>16</v>
      </c>
      <c r="S373" s="250">
        <v>0.57169999999999999</v>
      </c>
      <c r="T373" s="250">
        <v>0.85409999999999997</v>
      </c>
      <c r="U373" s="108"/>
      <c r="V373" s="122">
        <f t="shared" si="25"/>
        <v>0.28239999999999998</v>
      </c>
      <c r="W373" s="61">
        <f>Table3.110[[#This Row],[DM Incubated, mg]]-('3.2 Digest'!V373*1000)</f>
        <v>205.87677696690997</v>
      </c>
      <c r="X373" s="61">
        <f>W373/Table3.110[[#This Row],[DM Incubated, mg]]*100</f>
        <v>42.163950177147591</v>
      </c>
      <c r="Y373" s="37">
        <f>Table3.1[[#This Row],[DM Incubated, mg]]*'2.4 NDF'!R129/100</f>
        <v>315.31583441527187</v>
      </c>
      <c r="Z373" s="37">
        <f t="shared" si="26"/>
        <v>32.915834415271888</v>
      </c>
      <c r="AA373" s="37">
        <f t="shared" si="27"/>
        <v>10.439004586088005</v>
      </c>
      <c r="AB373" s="57"/>
    </row>
    <row r="374" spans="2:28" x14ac:dyDescent="0.35">
      <c r="B374" s="230">
        <f t="shared" si="24"/>
        <v>364</v>
      </c>
      <c r="C374" s="246" t="s">
        <v>689</v>
      </c>
      <c r="D374" s="248">
        <f>Table3.110[[#This Row],[Date]]</f>
        <v>46048</v>
      </c>
      <c r="E374" s="230" t="str">
        <f>Table3.110[[#This Row],[Requisitioner]]</f>
        <v>Genbank</v>
      </c>
      <c r="F374" s="230" t="str">
        <f>Table3.110[[#This Row],[Gene Bank ID]]</f>
        <v>CIAT-BH22_0519</v>
      </c>
      <c r="G374" s="230" t="str">
        <f>Table3.110[[#This Row],[Genus]]</f>
        <v>Urochloa</v>
      </c>
      <c r="H374" s="230" t="str">
        <f>Table3.110[[#This Row],[Species]]</f>
        <v>humidicola</v>
      </c>
      <c r="I374" s="230" t="str">
        <f>Table3.110[[#This Row],[Tax Name]]</f>
        <v>Urochloa humidicola</v>
      </c>
      <c r="J374" s="230" t="str">
        <f>Table3.110[[#This Row],[Family]]</f>
        <v>Poaceae</v>
      </c>
      <c r="K374" s="230" t="str">
        <f>Table3.110[[#This Row],[Order]]</f>
        <v>Poales</v>
      </c>
      <c r="L374" s="230" t="str">
        <f>Table3.110[[#This Row],[Functional Group]]</f>
        <v>grasses</v>
      </c>
      <c r="M374" s="230" t="str">
        <f>Table3.110[[#This Row],[CIAT ID]]</f>
        <v>F252192</v>
      </c>
      <c r="N374" s="230">
        <f>Table3.110[[#This Row],[Set CIAT]]</f>
        <v>28</v>
      </c>
      <c r="O374" s="230">
        <f>Table3.110[[#This Row],[Batch]]</f>
        <v>60</v>
      </c>
      <c r="P374" s="230">
        <f>Table3.110[[#This Row],[Run]]</f>
        <v>1</v>
      </c>
      <c r="Q374" s="230">
        <f>Table3.110[[#This Row],[Replication]]</f>
        <v>2</v>
      </c>
      <c r="R374" s="230">
        <f>Table3.110[[#This Row],[Syrange No]]</f>
        <v>22</v>
      </c>
      <c r="S374" s="98">
        <v>0.58889999999999998</v>
      </c>
      <c r="T374" s="98">
        <v>0.94610000000000005</v>
      </c>
      <c r="U374" s="108"/>
      <c r="V374" s="122">
        <f t="shared" si="25"/>
        <v>0.35720000000000007</v>
      </c>
      <c r="W374" s="61">
        <f>Table3.110[[#This Row],[DM Incubated, mg]]-('3.2 Digest'!V374*1000)</f>
        <v>131.27208767769667</v>
      </c>
      <c r="X374" s="61">
        <f>W374/Table3.110[[#This Row],[DM Incubated, mg]]*100</f>
        <v>26.874020233539429</v>
      </c>
      <c r="Y374" s="37">
        <f>Table3.1[[#This Row],[DM Incubated, mg]]*'2.4 NDF'!R129/100</f>
        <v>315.44196074903795</v>
      </c>
      <c r="Z374" s="37">
        <f t="shared" si="26"/>
        <v>-41.758039250962099</v>
      </c>
      <c r="AA374" s="37">
        <f t="shared" si="27"/>
        <v>-13.237946895779132</v>
      </c>
      <c r="AB374" s="57"/>
    </row>
    <row r="375" spans="2:28" x14ac:dyDescent="0.35">
      <c r="B375" s="230">
        <f t="shared" si="24"/>
        <v>365</v>
      </c>
      <c r="C375" s="246" t="s">
        <v>689</v>
      </c>
      <c r="D375" s="248">
        <f>Table3.110[[#This Row],[Date]]</f>
        <v>46048</v>
      </c>
      <c r="E375" s="230" t="str">
        <f>Table3.110[[#This Row],[Requisitioner]]</f>
        <v>Genbank</v>
      </c>
      <c r="F375" s="230" t="str">
        <f>Table3.110[[#This Row],[Gene Bank ID]]</f>
        <v>CIAT-BH22_0519</v>
      </c>
      <c r="G375" s="230" t="str">
        <f>Table3.110[[#This Row],[Genus]]</f>
        <v>Urochloa</v>
      </c>
      <c r="H375" s="230" t="str">
        <f>Table3.110[[#This Row],[Species]]</f>
        <v>humidicola</v>
      </c>
      <c r="I375" s="230" t="str">
        <f>Table3.110[[#This Row],[Tax Name]]</f>
        <v>Urochloa humidicola</v>
      </c>
      <c r="J375" s="230" t="str">
        <f>Table3.110[[#This Row],[Family]]</f>
        <v>Poaceae</v>
      </c>
      <c r="K375" s="230" t="str">
        <f>Table3.110[[#This Row],[Order]]</f>
        <v>Poales</v>
      </c>
      <c r="L375" s="230" t="str">
        <f>Table3.110[[#This Row],[Functional Group]]</f>
        <v>grasses</v>
      </c>
      <c r="M375" s="230" t="str">
        <f>Table3.110[[#This Row],[CIAT ID]]</f>
        <v>F252192</v>
      </c>
      <c r="N375" s="230">
        <f>Table3.110[[#This Row],[Set CIAT]]</f>
        <v>28</v>
      </c>
      <c r="O375" s="230">
        <f>Table3.110[[#This Row],[Batch]]</f>
        <v>60</v>
      </c>
      <c r="P375" s="230">
        <f>Table3.110[[#This Row],[Run]]</f>
        <v>1</v>
      </c>
      <c r="Q375" s="230">
        <f>Table3.110[[#This Row],[Replication]]</f>
        <v>3</v>
      </c>
      <c r="R375" s="230">
        <f>Table3.110[[#This Row],[Syrange No]]</f>
        <v>23</v>
      </c>
      <c r="S375" s="250">
        <v>0.57399999999999995</v>
      </c>
      <c r="T375" s="250">
        <v>0.92749999999999999</v>
      </c>
      <c r="U375" s="108"/>
      <c r="V375" s="122">
        <f t="shared" si="25"/>
        <v>0.35350000000000004</v>
      </c>
      <c r="W375" s="61">
        <f>Table3.110[[#This Row],[DM Incubated, mg]]-('3.2 Digest'!V375*1000)</f>
        <v>135.36270909927026</v>
      </c>
      <c r="X375" s="61">
        <f>W375/Table3.110[[#This Row],[DM Incubated, mg]]*100</f>
        <v>27.689309611828666</v>
      </c>
      <c r="Y375" s="37">
        <f>Table3.1[[#This Row],[DM Incubated, mg]]*'2.4 NDF'!R129/100</f>
        <v>315.69421341657022</v>
      </c>
      <c r="Z375" s="37">
        <f t="shared" si="26"/>
        <v>-37.805786583429835</v>
      </c>
      <c r="AA375" s="37">
        <f t="shared" si="27"/>
        <v>-11.975444901026329</v>
      </c>
      <c r="AB375" s="57"/>
    </row>
    <row r="376" spans="2:28" x14ac:dyDescent="0.35">
      <c r="B376" s="230">
        <f t="shared" si="24"/>
        <v>366</v>
      </c>
      <c r="C376" s="246" t="s">
        <v>689</v>
      </c>
      <c r="D376" s="248">
        <f>Table3.110[[#This Row],[Date]]</f>
        <v>46048</v>
      </c>
      <c r="E376" s="230" t="str">
        <f>Table3.110[[#This Row],[Requisitioner]]</f>
        <v>Genbank</v>
      </c>
      <c r="F376" s="230" t="str">
        <f>Table3.110[[#This Row],[Gene Bank ID]]</f>
        <v>CIAT-BH22_0521</v>
      </c>
      <c r="G376" s="230" t="str">
        <f>Table3.110[[#This Row],[Genus]]</f>
        <v>Urochloa</v>
      </c>
      <c r="H376" s="230" t="str">
        <f>Table3.110[[#This Row],[Species]]</f>
        <v>humidicola</v>
      </c>
      <c r="I376" s="230" t="str">
        <f>Table3.110[[#This Row],[Tax Name]]</f>
        <v>Urochloa humidicola</v>
      </c>
      <c r="J376" s="230" t="str">
        <f>Table3.110[[#This Row],[Family]]</f>
        <v>Poaceae</v>
      </c>
      <c r="K376" s="230" t="str">
        <f>Table3.110[[#This Row],[Order]]</f>
        <v>Poales</v>
      </c>
      <c r="L376" s="230" t="str">
        <f>Table3.110[[#This Row],[Functional Group]]</f>
        <v>grasses</v>
      </c>
      <c r="M376" s="230" t="str">
        <f>Table3.110[[#This Row],[CIAT ID]]</f>
        <v>F252193</v>
      </c>
      <c r="N376" s="230">
        <f>Table3.110[[#This Row],[Set CIAT]]</f>
        <v>28</v>
      </c>
      <c r="O376" s="230">
        <f>Table3.110[[#This Row],[Batch]]</f>
        <v>60</v>
      </c>
      <c r="P376" s="230">
        <f>Table3.110[[#This Row],[Run]]</f>
        <v>1</v>
      </c>
      <c r="Q376" s="230">
        <f>Table3.110[[#This Row],[Replication]]</f>
        <v>1</v>
      </c>
      <c r="R376" s="230">
        <f>Table3.110[[#This Row],[Syrange No]]</f>
        <v>24</v>
      </c>
      <c r="S376" s="98">
        <v>0.57120000000000004</v>
      </c>
      <c r="T376" s="98">
        <v>0.89800000000000002</v>
      </c>
      <c r="U376" s="108"/>
      <c r="V376" s="122">
        <f t="shared" si="25"/>
        <v>0.32679999999999998</v>
      </c>
      <c r="W376" s="61">
        <f>Table3.110[[#This Row],[DM Incubated, mg]]-('3.2 Digest'!V376*1000)</f>
        <v>156.21884985174034</v>
      </c>
      <c r="X376" s="61">
        <f>W376/Table3.110[[#This Row],[DM Incubated, mg]]*100</f>
        <v>32.342184968493626</v>
      </c>
      <c r="Y376" s="37">
        <f>Table3.1[[#This Row],[DM Incubated, mg]]*'2.4 NDF'!R131/100</f>
        <v>323.02518504458232</v>
      </c>
      <c r="Z376" s="37">
        <f t="shared" si="26"/>
        <v>-3.7748149554176393</v>
      </c>
      <c r="AA376" s="37">
        <f t="shared" si="27"/>
        <v>-1.1685822437952194</v>
      </c>
      <c r="AB376" s="57"/>
    </row>
    <row r="377" spans="2:28" x14ac:dyDescent="0.35">
      <c r="B377" s="230">
        <f t="shared" si="24"/>
        <v>367</v>
      </c>
      <c r="C377" s="246" t="s">
        <v>689</v>
      </c>
      <c r="D377" s="248">
        <f>Table3.110[[#This Row],[Date]]</f>
        <v>46048</v>
      </c>
      <c r="E377" s="230" t="str">
        <f>Table3.110[[#This Row],[Requisitioner]]</f>
        <v>Genbank</v>
      </c>
      <c r="F377" s="230" t="str">
        <f>Table3.110[[#This Row],[Gene Bank ID]]</f>
        <v>CIAT-BH22_0521</v>
      </c>
      <c r="G377" s="230" t="str">
        <f>Table3.110[[#This Row],[Genus]]</f>
        <v>Urochloa</v>
      </c>
      <c r="H377" s="230" t="str">
        <f>Table3.110[[#This Row],[Species]]</f>
        <v>humidicola</v>
      </c>
      <c r="I377" s="230" t="str">
        <f>Table3.110[[#This Row],[Tax Name]]</f>
        <v>Urochloa humidicola</v>
      </c>
      <c r="J377" s="230" t="str">
        <f>Table3.110[[#This Row],[Family]]</f>
        <v>Poaceae</v>
      </c>
      <c r="K377" s="230" t="str">
        <f>Table3.110[[#This Row],[Order]]</f>
        <v>Poales</v>
      </c>
      <c r="L377" s="230" t="str">
        <f>Table3.110[[#This Row],[Functional Group]]</f>
        <v>grasses</v>
      </c>
      <c r="M377" s="230" t="str">
        <f>Table3.110[[#This Row],[CIAT ID]]</f>
        <v>F252193</v>
      </c>
      <c r="N377" s="230">
        <f>Table3.110[[#This Row],[Set CIAT]]</f>
        <v>28</v>
      </c>
      <c r="O377" s="230">
        <f>Table3.110[[#This Row],[Batch]]</f>
        <v>60</v>
      </c>
      <c r="P377" s="230">
        <f>Table3.110[[#This Row],[Run]]</f>
        <v>1</v>
      </c>
      <c r="Q377" s="230">
        <f>Table3.110[[#This Row],[Replication]]</f>
        <v>2</v>
      </c>
      <c r="R377" s="230">
        <f>Table3.110[[#This Row],[Syrange No]]</f>
        <v>25</v>
      </c>
      <c r="S377" s="250">
        <v>0.57389999999999997</v>
      </c>
      <c r="T377" s="250">
        <v>0.95730000000000004</v>
      </c>
      <c r="U377" s="108"/>
      <c r="V377" s="122">
        <f t="shared" si="25"/>
        <v>0.38340000000000007</v>
      </c>
      <c r="W377" s="61">
        <f>Table3.110[[#This Row],[DM Incubated, mg]]-('3.2 Digest'!V377*1000)</f>
        <v>99.425796754277599</v>
      </c>
      <c r="X377" s="61">
        <f>W377/Table3.110[[#This Row],[DM Incubated, mg]]*100</f>
        <v>20.592478161409819</v>
      </c>
      <c r="Y377" s="37">
        <f>Table3.1[[#This Row],[DM Incubated, mg]]*'2.4 NDF'!R131/100</f>
        <v>322.89607825599546</v>
      </c>
      <c r="Z377" s="37">
        <f t="shared" si="26"/>
        <v>-60.503921744004629</v>
      </c>
      <c r="AA377" s="37">
        <f t="shared" si="27"/>
        <v>-18.737893030721938</v>
      </c>
      <c r="AB377" s="57"/>
    </row>
    <row r="378" spans="2:28" x14ac:dyDescent="0.35">
      <c r="B378" s="230">
        <f t="shared" si="24"/>
        <v>368</v>
      </c>
      <c r="C378" s="246" t="s">
        <v>689</v>
      </c>
      <c r="D378" s="248">
        <f>Table3.110[[#This Row],[Date]]</f>
        <v>46048</v>
      </c>
      <c r="E378" s="230" t="str">
        <f>Table3.110[[#This Row],[Requisitioner]]</f>
        <v>Genbank</v>
      </c>
      <c r="F378" s="230" t="str">
        <f>Table3.110[[#This Row],[Gene Bank ID]]</f>
        <v>CIAT-BH22_0521</v>
      </c>
      <c r="G378" s="230" t="str">
        <f>Table3.110[[#This Row],[Genus]]</f>
        <v>Urochloa</v>
      </c>
      <c r="H378" s="230" t="str">
        <f>Table3.110[[#This Row],[Species]]</f>
        <v>humidicola</v>
      </c>
      <c r="I378" s="230" t="str">
        <f>Table3.110[[#This Row],[Tax Name]]</f>
        <v>Urochloa humidicola</v>
      </c>
      <c r="J378" s="230" t="str">
        <f>Table3.110[[#This Row],[Family]]</f>
        <v>Poaceae</v>
      </c>
      <c r="K378" s="230" t="str">
        <f>Table3.110[[#This Row],[Order]]</f>
        <v>Poales</v>
      </c>
      <c r="L378" s="230" t="str">
        <f>Table3.110[[#This Row],[Functional Group]]</f>
        <v>grasses</v>
      </c>
      <c r="M378" s="230" t="str">
        <f>Table3.110[[#This Row],[CIAT ID]]</f>
        <v>F252193</v>
      </c>
      <c r="N378" s="230">
        <f>Table3.110[[#This Row],[Set CIAT]]</f>
        <v>28</v>
      </c>
      <c r="O378" s="230">
        <f>Table3.110[[#This Row],[Batch]]</f>
        <v>60</v>
      </c>
      <c r="P378" s="230">
        <f>Table3.110[[#This Row],[Run]]</f>
        <v>1</v>
      </c>
      <c r="Q378" s="230">
        <f>Table3.110[[#This Row],[Replication]]</f>
        <v>3</v>
      </c>
      <c r="R378" s="230">
        <f>Table3.110[[#This Row],[Syrange No]]</f>
        <v>26</v>
      </c>
      <c r="S378" s="98">
        <v>0.56799999999999995</v>
      </c>
      <c r="T378" s="98">
        <v>0.89249999999999996</v>
      </c>
      <c r="U378" s="108"/>
      <c r="V378" s="122">
        <f t="shared" si="25"/>
        <v>0.32450000000000001</v>
      </c>
      <c r="W378" s="61">
        <f>Table3.110[[#This Row],[DM Incubated, mg]]-('3.2 Digest'!V378*1000)</f>
        <v>158.32579675427769</v>
      </c>
      <c r="X378" s="61">
        <f>W378/Table3.110[[#This Row],[DM Incubated, mg]]*100</f>
        <v>32.791494948819746</v>
      </c>
      <c r="Y378" s="37">
        <f>Table3.1[[#This Row],[DM Incubated, mg]]*'2.4 NDF'!R131/100</f>
        <v>322.89607825599546</v>
      </c>
      <c r="Z378" s="37">
        <f t="shared" si="26"/>
        <v>-1.6039217440045377</v>
      </c>
      <c r="AA378" s="37">
        <f t="shared" si="27"/>
        <v>-0.49673001687339524</v>
      </c>
      <c r="AB378" s="57"/>
    </row>
    <row r="379" spans="2:28" x14ac:dyDescent="0.35">
      <c r="B379" s="230">
        <f t="shared" si="24"/>
        <v>369</v>
      </c>
      <c r="C379" s="246" t="s">
        <v>689</v>
      </c>
      <c r="D379" s="248">
        <f>Table3.110[[#This Row],[Date]]</f>
        <v>46048</v>
      </c>
      <c r="E379" s="230" t="str">
        <f>Table3.110[[#This Row],[Requisitioner]]</f>
        <v>Genbank</v>
      </c>
      <c r="F379" s="230" t="str">
        <f>Table3.110[[#This Row],[Gene Bank ID]]</f>
        <v>CIAT326</v>
      </c>
      <c r="G379" s="230" t="str">
        <f>Table3.110[[#This Row],[Genus]]</f>
        <v>Desmodium</v>
      </c>
      <c r="H379" s="230" t="str">
        <f>Table3.110[[#This Row],[Species]]</f>
        <v>scorpiurus</v>
      </c>
      <c r="I379" s="230" t="str">
        <f>Table3.110[[#This Row],[Tax Name]]</f>
        <v>Desmodium scorpiurus</v>
      </c>
      <c r="J379" s="230" t="str">
        <f>Table3.110[[#This Row],[Family]]</f>
        <v>Fabaceae</v>
      </c>
      <c r="K379" s="230" t="str">
        <f>Table3.110[[#This Row],[Order]]</f>
        <v>Fabales</v>
      </c>
      <c r="L379" s="230" t="str">
        <f>Table3.110[[#This Row],[Functional Group]]</f>
        <v>Herbaceous</v>
      </c>
      <c r="M379" s="230" t="str">
        <f>Table3.110[[#This Row],[CIAT ID]]</f>
        <v>F252574</v>
      </c>
      <c r="N379" s="230">
        <f>Table3.110[[#This Row],[Set CIAT]]</f>
        <v>28</v>
      </c>
      <c r="O379" s="230">
        <f>Table3.110[[#This Row],[Batch]]</f>
        <v>60</v>
      </c>
      <c r="P379" s="230">
        <f>Table3.110[[#This Row],[Run]]</f>
        <v>1</v>
      </c>
      <c r="Q379" s="230">
        <f>Table3.110[[#This Row],[Replication]]</f>
        <v>1</v>
      </c>
      <c r="R379" s="230">
        <f>Table3.110[[#This Row],[Syrange No]]</f>
        <v>27</v>
      </c>
      <c r="S379" s="250">
        <v>0.60809999999999997</v>
      </c>
      <c r="T379" s="250">
        <v>0.92610000000000003</v>
      </c>
      <c r="U379" s="108"/>
      <c r="V379" s="122">
        <f t="shared" si="25"/>
        <v>0.31800000000000006</v>
      </c>
      <c r="W379" s="61">
        <f>Table3.110[[#This Row],[DM Incubated, mg]]-('3.2 Digest'!V379*1000)</f>
        <v>140.475002083417</v>
      </c>
      <c r="X379" s="61">
        <f>W379/Table3.110[[#This Row],[DM Incubated, mg]]*100</f>
        <v>30.63962079613194</v>
      </c>
      <c r="Y379" s="37">
        <f>Table3.1[[#This Row],[DM Incubated, mg]]*'2.4 NDF'!R133/100</f>
        <v>255.16538810954171</v>
      </c>
      <c r="Z379" s="37">
        <f t="shared" si="26"/>
        <v>-62.834611890458348</v>
      </c>
      <c r="AA379" s="37">
        <f t="shared" si="27"/>
        <v>-24.625052933701042</v>
      </c>
      <c r="AB379" s="57"/>
    </row>
    <row r="380" spans="2:28" x14ac:dyDescent="0.35">
      <c r="B380" s="230">
        <f t="shared" si="24"/>
        <v>370</v>
      </c>
      <c r="C380" s="246" t="s">
        <v>689</v>
      </c>
      <c r="D380" s="248">
        <f>Table3.110[[#This Row],[Date]]</f>
        <v>46048</v>
      </c>
      <c r="E380" s="230" t="str">
        <f>Table3.110[[#This Row],[Requisitioner]]</f>
        <v>Genbank</v>
      </c>
      <c r="F380" s="230" t="str">
        <f>Table3.110[[#This Row],[Gene Bank ID]]</f>
        <v>CIAT326</v>
      </c>
      <c r="G380" s="230" t="str">
        <f>Table3.110[[#This Row],[Genus]]</f>
        <v>Desmodium</v>
      </c>
      <c r="H380" s="230" t="str">
        <f>Table3.110[[#This Row],[Species]]</f>
        <v>scorpiurus</v>
      </c>
      <c r="I380" s="230" t="str">
        <f>Table3.110[[#This Row],[Tax Name]]</f>
        <v>Desmodium scorpiurus</v>
      </c>
      <c r="J380" s="230" t="str">
        <f>Table3.110[[#This Row],[Family]]</f>
        <v>Fabaceae</v>
      </c>
      <c r="K380" s="230" t="str">
        <f>Table3.110[[#This Row],[Order]]</f>
        <v>Fabales</v>
      </c>
      <c r="L380" s="230" t="str">
        <f>Table3.110[[#This Row],[Functional Group]]</f>
        <v>Herbaceous</v>
      </c>
      <c r="M380" s="230" t="str">
        <f>Table3.110[[#This Row],[CIAT ID]]</f>
        <v>F252574</v>
      </c>
      <c r="N380" s="230">
        <f>Table3.110[[#This Row],[Set CIAT]]</f>
        <v>28</v>
      </c>
      <c r="O380" s="230">
        <f>Table3.110[[#This Row],[Batch]]</f>
        <v>60</v>
      </c>
      <c r="P380" s="230">
        <f>Table3.110[[#This Row],[Run]]</f>
        <v>1</v>
      </c>
      <c r="Q380" s="230">
        <f>Table3.110[[#This Row],[Replication]]</f>
        <v>2</v>
      </c>
      <c r="R380" s="230">
        <f>Table3.110[[#This Row],[Syrange No]]</f>
        <v>28</v>
      </c>
      <c r="S380" s="98">
        <v>0.59819999999999995</v>
      </c>
      <c r="T380" s="98">
        <v>0.98829999999999996</v>
      </c>
      <c r="U380" s="108"/>
      <c r="V380" s="122">
        <f t="shared" si="25"/>
        <v>0.3901</v>
      </c>
      <c r="W380" s="61">
        <f>Table3.110[[#This Row],[DM Incubated, mg]]-('3.2 Digest'!V380*1000)</f>
        <v>68.283325418333334</v>
      </c>
      <c r="X380" s="61">
        <f>W380/Table3.110[[#This Row],[DM Incubated, mg]]*100</f>
        <v>14.896555269765994</v>
      </c>
      <c r="Y380" s="37">
        <f>Table3.1[[#This Row],[DM Incubated, mg]]*'2.4 NDF'!R133/100</f>
        <v>255.11436523649436</v>
      </c>
      <c r="Z380" s="37">
        <f t="shared" si="26"/>
        <v>-134.98563476350566</v>
      </c>
      <c r="AA380" s="37">
        <f t="shared" si="27"/>
        <v>-52.911812566247377</v>
      </c>
      <c r="AB380" s="57"/>
    </row>
    <row r="381" spans="2:28" x14ac:dyDescent="0.35">
      <c r="B381" s="230">
        <f t="shared" si="24"/>
        <v>371</v>
      </c>
      <c r="C381" s="246" t="s">
        <v>689</v>
      </c>
      <c r="D381" s="248">
        <f>Table3.110[[#This Row],[Date]]</f>
        <v>46048</v>
      </c>
      <c r="E381" s="230" t="str">
        <f>Table3.110[[#This Row],[Requisitioner]]</f>
        <v>Genbank</v>
      </c>
      <c r="F381" s="230" t="str">
        <f>Table3.110[[#This Row],[Gene Bank ID]]</f>
        <v>CIAT326</v>
      </c>
      <c r="G381" s="230" t="str">
        <f>Table3.110[[#This Row],[Genus]]</f>
        <v>Desmodium</v>
      </c>
      <c r="H381" s="230" t="str">
        <f>Table3.110[[#This Row],[Species]]</f>
        <v>scorpiurus</v>
      </c>
      <c r="I381" s="230" t="str">
        <f>Table3.110[[#This Row],[Tax Name]]</f>
        <v>Desmodium scorpiurus</v>
      </c>
      <c r="J381" s="230" t="str">
        <f>Table3.110[[#This Row],[Family]]</f>
        <v>Fabaceae</v>
      </c>
      <c r="K381" s="230" t="str">
        <f>Table3.110[[#This Row],[Order]]</f>
        <v>Fabales</v>
      </c>
      <c r="L381" s="230" t="str">
        <f>Table3.110[[#This Row],[Functional Group]]</f>
        <v>Herbaceous</v>
      </c>
      <c r="M381" s="230" t="str">
        <f>Table3.110[[#This Row],[CIAT ID]]</f>
        <v>F252574</v>
      </c>
      <c r="N381" s="230">
        <f>Table3.110[[#This Row],[Set CIAT]]</f>
        <v>28</v>
      </c>
      <c r="O381" s="230">
        <f>Table3.110[[#This Row],[Batch]]</f>
        <v>60</v>
      </c>
      <c r="P381" s="230">
        <f>Table3.110[[#This Row],[Run]]</f>
        <v>1</v>
      </c>
      <c r="Q381" s="230">
        <f>Table3.110[[#This Row],[Replication]]</f>
        <v>3</v>
      </c>
      <c r="R381" s="230">
        <f>Table3.110[[#This Row],[Syrange No]]</f>
        <v>29</v>
      </c>
      <c r="S381" s="250">
        <v>0.59340000000000004</v>
      </c>
      <c r="T381" s="250">
        <v>0.88139999999999996</v>
      </c>
      <c r="U381" s="108"/>
      <c r="V381" s="122">
        <f t="shared" si="25"/>
        <v>0.28799999999999992</v>
      </c>
      <c r="W381" s="61">
        <f>Table3.110[[#This Row],[DM Incubated, mg]]-('3.2 Digest'!V381*1000)</f>
        <v>170.75003207866808</v>
      </c>
      <c r="X381" s="61">
        <f>W381/Table3.110[[#This Row],[DM Incubated, mg]]*100</f>
        <v>37.220712836786738</v>
      </c>
      <c r="Y381" s="37">
        <f>Table3.1[[#This Row],[DM Incubated, mg]]*'2.4 NDF'!R133/100</f>
        <v>255.3184567286836</v>
      </c>
      <c r="Z381" s="37">
        <f t="shared" si="26"/>
        <v>-32.681543271316343</v>
      </c>
      <c r="AA381" s="37">
        <f t="shared" si="27"/>
        <v>-12.80030581809668</v>
      </c>
      <c r="AB381" s="57"/>
    </row>
    <row r="382" spans="2:28" x14ac:dyDescent="0.35">
      <c r="B382" s="230">
        <f t="shared" si="24"/>
        <v>372</v>
      </c>
      <c r="C382" s="246" t="s">
        <v>689</v>
      </c>
      <c r="D382" s="248">
        <f>Table3.110[[#This Row],[Date]]</f>
        <v>46048</v>
      </c>
      <c r="E382" s="230" t="str">
        <f>Table3.110[[#This Row],[Requisitioner]]</f>
        <v>Jacobo Arango/Alejandro Montoya</v>
      </c>
      <c r="F382" s="230" t="str">
        <f>Table3.110[[#This Row],[Gene Bank ID]]</f>
        <v>Sample 8</v>
      </c>
      <c r="G382" s="230" t="str">
        <f>Table3.110[[#This Row],[Genus]]</f>
        <v>Cynodon</v>
      </c>
      <c r="H382" s="230" t="str">
        <f>Table3.110[[#This Row],[Species]]</f>
        <v>nlemfuensis</v>
      </c>
      <c r="I382" s="230" t="str">
        <f>Table3.110[[#This Row],[Tax Name]]</f>
        <v xml:space="preserve">Cynodon nlemfuensis </v>
      </c>
      <c r="J382" s="230" t="str">
        <f>Table3.110[[#This Row],[Family]]</f>
        <v>Poaceae</v>
      </c>
      <c r="K382" s="230" t="str">
        <f>Table3.110[[#This Row],[Order]]</f>
        <v>Poales</v>
      </c>
      <c r="L382" s="230" t="str">
        <f>Table3.110[[#This Row],[Functional Group]]</f>
        <v>grasses</v>
      </c>
      <c r="M382" s="230" t="str">
        <f>Table3.110[[#This Row],[CIAT ID]]</f>
        <v>F250008</v>
      </c>
      <c r="N382" s="230">
        <f>Table3.110[[#This Row],[Set CIAT]]</f>
        <v>28</v>
      </c>
      <c r="O382" s="230">
        <f>Table3.110[[#This Row],[Batch]]</f>
        <v>60</v>
      </c>
      <c r="P382" s="230">
        <f>Table3.110[[#This Row],[Run]]</f>
        <v>1</v>
      </c>
      <c r="Q382" s="230">
        <f>Table3.110[[#This Row],[Replication]]</f>
        <v>1</v>
      </c>
      <c r="R382" s="230">
        <f>Table3.110[[#This Row],[Syrange No]]</f>
        <v>30</v>
      </c>
      <c r="S382" s="98">
        <v>0.58230000000000004</v>
      </c>
      <c r="T382" s="98">
        <v>0.89090000000000003</v>
      </c>
      <c r="U382" s="108"/>
      <c r="V382" s="122">
        <f t="shared" si="25"/>
        <v>0.30859999999999999</v>
      </c>
      <c r="W382" s="61">
        <f>Table3.110[[#This Row],[DM Incubated, mg]]-('3.2 Digest'!V382*1000)</f>
        <v>159.61774999999994</v>
      </c>
      <c r="X382" s="61">
        <f>W382/Table3.110[[#This Row],[DM Incubated, mg]]*100</f>
        <v>34.090495287716024</v>
      </c>
      <c r="Y382" s="37">
        <f>Table3.1[[#This Row],[DM Incubated, mg]]*'2.4 NDF'!R135/100</f>
        <v>356.31370774999988</v>
      </c>
      <c r="Z382" s="37">
        <f t="shared" si="26"/>
        <v>47.713707749999912</v>
      </c>
      <c r="AA382" s="37">
        <f t="shared" si="27"/>
        <v>13.390926790691211</v>
      </c>
      <c r="AB382" s="57"/>
    </row>
    <row r="383" spans="2:28" x14ac:dyDescent="0.35">
      <c r="B383" s="230">
        <f t="shared" si="24"/>
        <v>373</v>
      </c>
      <c r="C383" s="246" t="s">
        <v>689</v>
      </c>
      <c r="D383" s="248">
        <f>Table3.110[[#This Row],[Date]]</f>
        <v>46048</v>
      </c>
      <c r="E383" s="230" t="str">
        <f>Table3.110[[#This Row],[Requisitioner]]</f>
        <v>Jacobo Arango/Alejandro Montoya</v>
      </c>
      <c r="F383" s="230" t="str">
        <f>Table3.110[[#This Row],[Gene Bank ID]]</f>
        <v>Sample 8</v>
      </c>
      <c r="G383" s="230" t="str">
        <f>Table3.110[[#This Row],[Genus]]</f>
        <v>Cynodon</v>
      </c>
      <c r="H383" s="230" t="str">
        <f>Table3.110[[#This Row],[Species]]</f>
        <v>nlemfuensis</v>
      </c>
      <c r="I383" s="230" t="str">
        <f>Table3.110[[#This Row],[Tax Name]]</f>
        <v xml:space="preserve">Cynodon nlemfuensis </v>
      </c>
      <c r="J383" s="230" t="str">
        <f>Table3.110[[#This Row],[Family]]</f>
        <v>Poaceae</v>
      </c>
      <c r="K383" s="230" t="str">
        <f>Table3.110[[#This Row],[Order]]</f>
        <v>Poales</v>
      </c>
      <c r="L383" s="230" t="str">
        <f>Table3.110[[#This Row],[Functional Group]]</f>
        <v>grasses</v>
      </c>
      <c r="M383" s="230" t="str">
        <f>Table3.110[[#This Row],[CIAT ID]]</f>
        <v>F250008</v>
      </c>
      <c r="N383" s="230">
        <f>Table3.110[[#This Row],[Set CIAT]]</f>
        <v>28</v>
      </c>
      <c r="O383" s="230">
        <f>Table3.110[[#This Row],[Batch]]</f>
        <v>60</v>
      </c>
      <c r="P383" s="230">
        <f>Table3.110[[#This Row],[Run]]</f>
        <v>1</v>
      </c>
      <c r="Q383" s="230">
        <f>Table3.110[[#This Row],[Replication]]</f>
        <v>2</v>
      </c>
      <c r="R383" s="230">
        <f>Table3.110[[#This Row],[Syrange No]]</f>
        <v>31</v>
      </c>
      <c r="S383" s="250">
        <v>0.62819999999999998</v>
      </c>
      <c r="T383" s="250">
        <v>1.0097</v>
      </c>
      <c r="U383" s="108"/>
      <c r="V383" s="122">
        <f t="shared" si="25"/>
        <v>0.38150000000000006</v>
      </c>
      <c r="W383" s="61">
        <f>Table3.110[[#This Row],[DM Incubated, mg]]-('3.2 Digest'!V383*1000)</f>
        <v>86.62419999999986</v>
      </c>
      <c r="X383" s="61">
        <f>W383/Table3.110[[#This Row],[DM Incubated, mg]]*100</f>
        <v>18.504533625905236</v>
      </c>
      <c r="Y383" s="37">
        <f>Table3.1[[#This Row],[DM Incubated, mg]]*'2.4 NDF'!R135/100</f>
        <v>356.2425161999999</v>
      </c>
      <c r="Z383" s="37">
        <f t="shared" si="26"/>
        <v>-25.257483800000159</v>
      </c>
      <c r="AA383" s="37">
        <f t="shared" si="27"/>
        <v>-7.0899689541324227</v>
      </c>
      <c r="AB383" s="57"/>
    </row>
    <row r="384" spans="2:28" x14ac:dyDescent="0.35">
      <c r="B384" s="230">
        <f t="shared" si="24"/>
        <v>374</v>
      </c>
      <c r="C384" s="246" t="s">
        <v>689</v>
      </c>
      <c r="D384" s="248">
        <f>Table3.110[[#This Row],[Date]]</f>
        <v>46048</v>
      </c>
      <c r="E384" s="230" t="str">
        <f>Table3.110[[#This Row],[Requisitioner]]</f>
        <v>Jacobo Arango/Alejandro Montoya</v>
      </c>
      <c r="F384" s="230" t="str">
        <f>Table3.110[[#This Row],[Gene Bank ID]]</f>
        <v>Sample 8</v>
      </c>
      <c r="G384" s="230" t="str">
        <f>Table3.110[[#This Row],[Genus]]</f>
        <v>Cynodon</v>
      </c>
      <c r="H384" s="230" t="str">
        <f>Table3.110[[#This Row],[Species]]</f>
        <v>nlemfuensis</v>
      </c>
      <c r="I384" s="230" t="str">
        <f>Table3.110[[#This Row],[Tax Name]]</f>
        <v xml:space="preserve">Cynodon nlemfuensis </v>
      </c>
      <c r="J384" s="230" t="str">
        <f>Table3.110[[#This Row],[Family]]</f>
        <v>Poaceae</v>
      </c>
      <c r="K384" s="230" t="str">
        <f>Table3.110[[#This Row],[Order]]</f>
        <v>Poales</v>
      </c>
      <c r="L384" s="230" t="str">
        <f>Table3.110[[#This Row],[Functional Group]]</f>
        <v>grasses</v>
      </c>
      <c r="M384" s="230" t="str">
        <f>Table3.110[[#This Row],[CIAT ID]]</f>
        <v>F250008</v>
      </c>
      <c r="N384" s="230">
        <f>Table3.110[[#This Row],[Set CIAT]]</f>
        <v>28</v>
      </c>
      <c r="O384" s="230">
        <f>Table3.110[[#This Row],[Batch]]</f>
        <v>60</v>
      </c>
      <c r="P384" s="230">
        <f>Table3.110[[#This Row],[Run]]</f>
        <v>1</v>
      </c>
      <c r="Q384" s="230">
        <f>Table3.110[[#This Row],[Replication]]</f>
        <v>3</v>
      </c>
      <c r="R384" s="230">
        <f>Table3.110[[#This Row],[Syrange No]]</f>
        <v>32</v>
      </c>
      <c r="S384" s="98">
        <v>0.57909999999999995</v>
      </c>
      <c r="T384" s="98">
        <v>0.90700000000000003</v>
      </c>
      <c r="U384" s="108"/>
      <c r="V384" s="122">
        <f t="shared" si="25"/>
        <v>0.32790000000000008</v>
      </c>
      <c r="W384" s="61">
        <f>Table3.110[[#This Row],[DM Incubated, mg]]-('3.2 Digest'!V384*1000)</f>
        <v>139.9435499999999</v>
      </c>
      <c r="X384" s="61">
        <f>W384/Table3.110[[#This Row],[DM Incubated, mg]]*100</f>
        <v>29.912467533217011</v>
      </c>
      <c r="Y384" s="37">
        <f>Table3.1[[#This Row],[DM Incubated, mg]]*'2.4 NDF'!R135/100</f>
        <v>356.02894154999996</v>
      </c>
      <c r="Z384" s="37">
        <f t="shared" si="26"/>
        <v>28.128941549999865</v>
      </c>
      <c r="AA384" s="37">
        <f t="shared" si="27"/>
        <v>7.9007457729527015</v>
      </c>
      <c r="AB384" s="57"/>
    </row>
    <row r="385" spans="2:28" x14ac:dyDescent="0.35">
      <c r="B385" s="230">
        <f t="shared" si="24"/>
        <v>375</v>
      </c>
      <c r="C385" s="246" t="s">
        <v>689</v>
      </c>
      <c r="D385" s="248">
        <f>Table3.110[[#This Row],[Date]]</f>
        <v>46048</v>
      </c>
      <c r="E385" s="230">
        <f>Table3.110[[#This Row],[Requisitioner]]</f>
        <v>0</v>
      </c>
      <c r="F385" s="230" t="str">
        <f>Table3.110[[#This Row],[Gene Bank ID]]</f>
        <v>BLANK 8 H</v>
      </c>
      <c r="G385" s="230" t="str">
        <f>Table3.110[[#This Row],[Genus]]</f>
        <v>BLANK</v>
      </c>
      <c r="H385" s="230">
        <f>Table3.110[[#This Row],[Species]]</f>
        <v>0</v>
      </c>
      <c r="I385" s="230" t="str">
        <f>Table3.110[[#This Row],[Tax Name]]</f>
        <v>BLANK 8 H</v>
      </c>
      <c r="J385" s="230">
        <f>Table3.110[[#This Row],[Family]]</f>
        <v>0</v>
      </c>
      <c r="K385" s="230">
        <f>Table3.110[[#This Row],[Order]]</f>
        <v>0</v>
      </c>
      <c r="L385" s="230">
        <f>Table3.110[[#This Row],[Functional Group]]</f>
        <v>0</v>
      </c>
      <c r="M385" s="230" t="str">
        <f>Table3.110[[#This Row],[CIAT ID]]</f>
        <v>BLANK8H</v>
      </c>
      <c r="N385" s="230">
        <f>Table3.110[[#This Row],[Set CIAT]]</f>
        <v>28</v>
      </c>
      <c r="O385" s="230">
        <f>Table3.110[[#This Row],[Batch]]</f>
        <v>60</v>
      </c>
      <c r="P385" s="230">
        <f>Table3.110[[#This Row],[Run]]</f>
        <v>1</v>
      </c>
      <c r="Q385" s="230">
        <f>Table3.110[[#This Row],[Replication]]</f>
        <v>1</v>
      </c>
      <c r="R385" s="230">
        <f>Table3.110[[#This Row],[Syrange No]]</f>
        <v>33</v>
      </c>
      <c r="S385" s="249"/>
      <c r="T385" s="249"/>
      <c r="U385" s="108"/>
      <c r="V385" s="122"/>
      <c r="W385" s="61"/>
      <c r="X385" s="61"/>
      <c r="Y385" s="37"/>
      <c r="Z385" s="37"/>
      <c r="AA385" s="37"/>
      <c r="AB385" s="57"/>
    </row>
    <row r="386" spans="2:28" x14ac:dyDescent="0.35">
      <c r="B386" s="230">
        <f t="shared" si="24"/>
        <v>376</v>
      </c>
      <c r="C386" s="246" t="s">
        <v>689</v>
      </c>
      <c r="D386" s="248">
        <f>Table3.110[[#This Row],[Date]]</f>
        <v>46048</v>
      </c>
      <c r="E386" s="230">
        <f>Table3.110[[#This Row],[Requisitioner]]</f>
        <v>0</v>
      </c>
      <c r="F386" s="230" t="str">
        <f>Table3.110[[#This Row],[Gene Bank ID]]</f>
        <v>BLANK 8 H</v>
      </c>
      <c r="G386" s="230" t="str">
        <f>Table3.110[[#This Row],[Genus]]</f>
        <v>BLANK</v>
      </c>
      <c r="H386" s="230">
        <f>Table3.110[[#This Row],[Species]]</f>
        <v>0</v>
      </c>
      <c r="I386" s="230" t="str">
        <f>Table3.110[[#This Row],[Tax Name]]</f>
        <v>BLANK 8 H</v>
      </c>
      <c r="J386" s="230">
        <f>Table3.110[[#This Row],[Family]]</f>
        <v>0</v>
      </c>
      <c r="K386" s="230">
        <f>Table3.110[[#This Row],[Order]]</f>
        <v>0</v>
      </c>
      <c r="L386" s="230">
        <f>Table3.110[[#This Row],[Functional Group]]</f>
        <v>0</v>
      </c>
      <c r="M386" s="230" t="str">
        <f>Table3.110[[#This Row],[CIAT ID]]</f>
        <v>BLANK8H</v>
      </c>
      <c r="N386" s="230">
        <f>Table3.110[[#This Row],[Set CIAT]]</f>
        <v>28</v>
      </c>
      <c r="O386" s="230">
        <f>Table3.110[[#This Row],[Batch]]</f>
        <v>60</v>
      </c>
      <c r="P386" s="230">
        <f>Table3.110[[#This Row],[Run]]</f>
        <v>1</v>
      </c>
      <c r="Q386" s="230">
        <f>Table3.110[[#This Row],[Replication]]</f>
        <v>2</v>
      </c>
      <c r="R386" s="230">
        <f>Table3.110[[#This Row],[Syrange No]]</f>
        <v>34</v>
      </c>
      <c r="S386" s="148"/>
      <c r="T386" s="148"/>
      <c r="U386" s="108"/>
      <c r="V386" s="122"/>
      <c r="W386" s="61"/>
      <c r="X386" s="61"/>
      <c r="Y386" s="37"/>
      <c r="Z386" s="37"/>
      <c r="AA386" s="37"/>
      <c r="AB386" s="57"/>
    </row>
    <row r="387" spans="2:28" x14ac:dyDescent="0.35">
      <c r="B387" s="230">
        <f t="shared" si="24"/>
        <v>377</v>
      </c>
      <c r="C387" s="246" t="s">
        <v>689</v>
      </c>
      <c r="D387" s="248">
        <f>Table3.110[[#This Row],[Date]]</f>
        <v>46048</v>
      </c>
      <c r="E387" s="230" t="str">
        <f>Table3.110[[#This Row],[Requisitioner]]</f>
        <v>Genbank</v>
      </c>
      <c r="F387" s="230" t="str">
        <f>Table3.110[[#This Row],[Gene Bank ID]]</f>
        <v>CIAT415</v>
      </c>
      <c r="G387" s="230" t="str">
        <f>Table3.110[[#This Row],[Genus]]</f>
        <v>Vigna</v>
      </c>
      <c r="H387" s="230" t="str">
        <f>Table3.110[[#This Row],[Species]]</f>
        <v>radiata</v>
      </c>
      <c r="I387" s="230" t="str">
        <f>Table3.110[[#This Row],[Tax Name]]</f>
        <v>Vigna radiata</v>
      </c>
      <c r="J387" s="230" t="str">
        <f>Table3.110[[#This Row],[Family]]</f>
        <v>Fabaceae</v>
      </c>
      <c r="K387" s="230" t="str">
        <f>Table3.110[[#This Row],[Order]]</f>
        <v>Fabales</v>
      </c>
      <c r="L387" s="230" t="str">
        <f>Table3.110[[#This Row],[Functional Group]]</f>
        <v>Herbaceous</v>
      </c>
      <c r="M387" s="230" t="str">
        <f>Table3.110[[#This Row],[CIAT ID]]</f>
        <v>F252575</v>
      </c>
      <c r="N387" s="230">
        <f>Table3.110[[#This Row],[Set CIAT]]</f>
        <v>28</v>
      </c>
      <c r="O387" s="230">
        <f>Table3.110[[#This Row],[Batch]]</f>
        <v>60</v>
      </c>
      <c r="P387" s="230">
        <f>Table3.110[[#This Row],[Run]]</f>
        <v>1</v>
      </c>
      <c r="Q387" s="230">
        <f>Table3.110[[#This Row],[Replication]]</f>
        <v>1</v>
      </c>
      <c r="R387" s="230">
        <f>Table3.110[[#This Row],[Syrange No]]</f>
        <v>35</v>
      </c>
      <c r="S387" s="250">
        <v>0.58509999999999995</v>
      </c>
      <c r="T387" s="250">
        <v>0.80600000000000005</v>
      </c>
      <c r="U387" s="108"/>
      <c r="V387" s="122">
        <f t="shared" si="25"/>
        <v>0.2209000000000001</v>
      </c>
      <c r="W387" s="61">
        <f>Table3.110[[#This Row],[DM Incubated, mg]]-('3.2 Digest'!V387*1000)</f>
        <v>238.78312674930027</v>
      </c>
      <c r="X387" s="61">
        <f>W387/Table3.110[[#This Row],[DM Incubated, mg]]*100</f>
        <v>51.945158056568516</v>
      </c>
      <c r="Y387" s="37">
        <f>Table3.1[[#This Row],[DM Incubated, mg]]*'2.4 NDF'!R137/100</f>
        <v>193.97817016164805</v>
      </c>
      <c r="Z387" s="37">
        <f t="shared" si="26"/>
        <v>-26.921829838352039</v>
      </c>
      <c r="AA387" s="37">
        <f t="shared" si="27"/>
        <v>-13.87879358585414</v>
      </c>
      <c r="AB387" s="57"/>
    </row>
    <row r="388" spans="2:28" x14ac:dyDescent="0.35">
      <c r="B388" s="230">
        <f t="shared" si="24"/>
        <v>378</v>
      </c>
      <c r="C388" s="246" t="s">
        <v>689</v>
      </c>
      <c r="D388" s="248">
        <f>Table3.110[[#This Row],[Date]]</f>
        <v>46048</v>
      </c>
      <c r="E388" s="230" t="str">
        <f>Table3.110[[#This Row],[Requisitioner]]</f>
        <v>Genbank</v>
      </c>
      <c r="F388" s="230" t="str">
        <f>Table3.110[[#This Row],[Gene Bank ID]]</f>
        <v>CIAT415</v>
      </c>
      <c r="G388" s="230" t="str">
        <f>Table3.110[[#This Row],[Genus]]</f>
        <v>Vigna</v>
      </c>
      <c r="H388" s="230" t="str">
        <f>Table3.110[[#This Row],[Species]]</f>
        <v>radiata</v>
      </c>
      <c r="I388" s="230" t="str">
        <f>Table3.110[[#This Row],[Tax Name]]</f>
        <v>Vigna radiata</v>
      </c>
      <c r="J388" s="230" t="str">
        <f>Table3.110[[#This Row],[Family]]</f>
        <v>Fabaceae</v>
      </c>
      <c r="K388" s="230" t="str">
        <f>Table3.110[[#This Row],[Order]]</f>
        <v>Fabales</v>
      </c>
      <c r="L388" s="230" t="str">
        <f>Table3.110[[#This Row],[Functional Group]]</f>
        <v>Herbaceous</v>
      </c>
      <c r="M388" s="230" t="str">
        <f>Table3.110[[#This Row],[CIAT ID]]</f>
        <v>F252575</v>
      </c>
      <c r="N388" s="230">
        <f>Table3.110[[#This Row],[Set CIAT]]</f>
        <v>28</v>
      </c>
      <c r="O388" s="230">
        <f>Table3.110[[#This Row],[Batch]]</f>
        <v>60</v>
      </c>
      <c r="P388" s="230">
        <f>Table3.110[[#This Row],[Run]]</f>
        <v>1</v>
      </c>
      <c r="Q388" s="230">
        <f>Table3.110[[#This Row],[Replication]]</f>
        <v>2</v>
      </c>
      <c r="R388" s="230">
        <f>Table3.110[[#This Row],[Syrange No]]</f>
        <v>36</v>
      </c>
      <c r="S388" s="98">
        <v>0.5837</v>
      </c>
      <c r="T388" s="98">
        <v>0.85289999999999999</v>
      </c>
      <c r="U388" s="108"/>
      <c r="V388" s="122">
        <f t="shared" si="25"/>
        <v>0.26919999999999999</v>
      </c>
      <c r="W388" s="61">
        <f>Table3.110[[#This Row],[DM Incubated, mg]]-('3.2 Digest'!V388*1000)</f>
        <v>190.5750633746502</v>
      </c>
      <c r="X388" s="61">
        <f>W388/Table3.110[[#This Row],[DM Incubated, mg]]*100</f>
        <v>41.449630168254487</v>
      </c>
      <c r="Y388" s="37">
        <f>Table3.1[[#This Row],[DM Incubated, mg]]*'2.4 NDF'!R137/100</f>
        <v>194.01696579568033</v>
      </c>
      <c r="Z388" s="37">
        <f t="shared" si="26"/>
        <v>-75.183034204319654</v>
      </c>
      <c r="AA388" s="37">
        <f t="shared" si="27"/>
        <v>-38.750752490117314</v>
      </c>
      <c r="AB388" s="57"/>
    </row>
    <row r="389" spans="2:28" x14ac:dyDescent="0.35">
      <c r="B389" s="230">
        <f t="shared" si="24"/>
        <v>379</v>
      </c>
      <c r="C389" s="246" t="s">
        <v>690</v>
      </c>
      <c r="D389" s="248">
        <f>Table3.110[[#This Row],[Date]]</f>
        <v>46048</v>
      </c>
      <c r="E389" s="230" t="str">
        <f>Table3.110[[#This Row],[Requisitioner]]</f>
        <v>Genbank</v>
      </c>
      <c r="F389" s="230" t="str">
        <f>Table3.110[[#This Row],[Gene Bank ID]]</f>
        <v>CIAT415</v>
      </c>
      <c r="G389" s="230" t="str">
        <f>Table3.110[[#This Row],[Genus]]</f>
        <v>Vigna</v>
      </c>
      <c r="H389" s="230" t="str">
        <f>Table3.110[[#This Row],[Species]]</f>
        <v>radiata</v>
      </c>
      <c r="I389" s="230" t="str">
        <f>Table3.110[[#This Row],[Tax Name]]</f>
        <v>Vigna radiata</v>
      </c>
      <c r="J389" s="230" t="str">
        <f>Table3.110[[#This Row],[Family]]</f>
        <v>Fabaceae</v>
      </c>
      <c r="K389" s="230" t="str">
        <f>Table3.110[[#This Row],[Order]]</f>
        <v>Fabales</v>
      </c>
      <c r="L389" s="230" t="str">
        <f>Table3.110[[#This Row],[Functional Group]]</f>
        <v>Herbaceous</v>
      </c>
      <c r="M389" s="230" t="str">
        <f>Table3.110[[#This Row],[CIAT ID]]</f>
        <v>F252575</v>
      </c>
      <c r="N389" s="230">
        <f>Table3.110[[#This Row],[Set CIAT]]</f>
        <v>28</v>
      </c>
      <c r="O389" s="230">
        <f>Table3.110[[#This Row],[Batch]]</f>
        <v>60</v>
      </c>
      <c r="P389" s="230">
        <f>Table3.110[[#This Row],[Run]]</f>
        <v>1</v>
      </c>
      <c r="Q389" s="230">
        <f>Table3.110[[#This Row],[Replication]]</f>
        <v>3</v>
      </c>
      <c r="R389" s="230">
        <f>Table3.110[[#This Row],[Syrange No]]</f>
        <v>37</v>
      </c>
      <c r="S389" s="250">
        <v>0.57379999999999998</v>
      </c>
      <c r="T389" s="250">
        <v>0.83709999999999996</v>
      </c>
      <c r="U389" s="108"/>
      <c r="V389" s="122">
        <f t="shared" si="25"/>
        <v>0.26329999999999998</v>
      </c>
      <c r="W389" s="61">
        <f>Table3.110[[#This Row],[DM Incubated, mg]]-('3.2 Digest'!V389*1000)</f>
        <v>196.84280987604961</v>
      </c>
      <c r="X389" s="61">
        <f>W389/Table3.110[[#This Row],[DM Incubated, mg]]*100</f>
        <v>42.778634295964309</v>
      </c>
      <c r="Y389" s="37">
        <f>Table3.1[[#This Row],[DM Incubated, mg]]*'2.4 NDF'!R137/100</f>
        <v>194.17214833180967</v>
      </c>
      <c r="Z389" s="37">
        <f t="shared" si="26"/>
        <v>-69.127851668190289</v>
      </c>
      <c r="AA389" s="37">
        <f t="shared" si="27"/>
        <v>-35.601321951725879</v>
      </c>
      <c r="AB389" s="57"/>
    </row>
    <row r="390" spans="2:28" x14ac:dyDescent="0.35">
      <c r="B390" s="230">
        <f t="shared" si="24"/>
        <v>380</v>
      </c>
      <c r="C390" s="246" t="s">
        <v>690</v>
      </c>
      <c r="D390" s="248">
        <f>Table3.110[[#This Row],[Date]]</f>
        <v>46048</v>
      </c>
      <c r="E390" s="230" t="str">
        <f>Table3.110[[#This Row],[Requisitioner]]</f>
        <v>Genbank</v>
      </c>
      <c r="F390" s="230" t="str">
        <f>Table3.110[[#This Row],[Gene Bank ID]]</f>
        <v>CIAT416</v>
      </c>
      <c r="G390" s="230" t="str">
        <f>Table3.110[[#This Row],[Genus]]</f>
        <v>Vigna</v>
      </c>
      <c r="H390" s="230" t="str">
        <f>Table3.110[[#This Row],[Species]]</f>
        <v>radiata</v>
      </c>
      <c r="I390" s="230" t="str">
        <f>Table3.110[[#This Row],[Tax Name]]</f>
        <v>Vigna radiata</v>
      </c>
      <c r="J390" s="230" t="str">
        <f>Table3.110[[#This Row],[Family]]</f>
        <v>Fabaceae</v>
      </c>
      <c r="K390" s="230" t="str">
        <f>Table3.110[[#This Row],[Order]]</f>
        <v>Fabales</v>
      </c>
      <c r="L390" s="230" t="str">
        <f>Table3.110[[#This Row],[Functional Group]]</f>
        <v>Herbaceous</v>
      </c>
      <c r="M390" s="230" t="str">
        <f>Table3.110[[#This Row],[CIAT ID]]</f>
        <v>F252576</v>
      </c>
      <c r="N390" s="230">
        <f>Table3.110[[#This Row],[Set CIAT]]</f>
        <v>28</v>
      </c>
      <c r="O390" s="230">
        <f>Table3.110[[#This Row],[Batch]]</f>
        <v>60</v>
      </c>
      <c r="P390" s="230">
        <f>Table3.110[[#This Row],[Run]]</f>
        <v>1</v>
      </c>
      <c r="Q390" s="230">
        <f>Table3.110[[#This Row],[Replication]]</f>
        <v>1</v>
      </c>
      <c r="R390" s="230">
        <f>Table3.110[[#This Row],[Syrange No]]</f>
        <v>38</v>
      </c>
      <c r="S390" s="98">
        <v>0.57609999999999995</v>
      </c>
      <c r="T390" s="98">
        <v>0.8095</v>
      </c>
      <c r="U390" s="108"/>
      <c r="V390" s="122">
        <f t="shared" si="25"/>
        <v>0.23340000000000005</v>
      </c>
      <c r="W390" s="61">
        <f>Table3.110[[#This Row],[DM Incubated, mg]]-('3.2 Digest'!V390*1000)</f>
        <v>224.01856528752799</v>
      </c>
      <c r="X390" s="61">
        <f>W390/Table3.110[[#This Row],[DM Incubated, mg]]*100</f>
        <v>48.974524054727098</v>
      </c>
      <c r="Y390" s="37">
        <f>Table3.1[[#This Row],[DM Incubated, mg]]*'2.4 NDF'!R139/100</f>
        <v>207.94107177784099</v>
      </c>
      <c r="Z390" s="37">
        <f t="shared" si="26"/>
        <v>-25.458928222159074</v>
      </c>
      <c r="AA390" s="37">
        <f t="shared" si="27"/>
        <v>-12.243337982483208</v>
      </c>
      <c r="AB390" s="57"/>
    </row>
    <row r="391" spans="2:28" x14ac:dyDescent="0.35">
      <c r="B391" s="230">
        <f t="shared" si="24"/>
        <v>381</v>
      </c>
      <c r="C391" s="246" t="s">
        <v>690</v>
      </c>
      <c r="D391" s="248">
        <f>Table3.110[[#This Row],[Date]]</f>
        <v>46048</v>
      </c>
      <c r="E391" s="230" t="str">
        <f>Table3.110[[#This Row],[Requisitioner]]</f>
        <v>Genbank</v>
      </c>
      <c r="F391" s="230" t="str">
        <f>Table3.110[[#This Row],[Gene Bank ID]]</f>
        <v>CIAT416</v>
      </c>
      <c r="G391" s="230" t="str">
        <f>Table3.110[[#This Row],[Genus]]</f>
        <v>Vigna</v>
      </c>
      <c r="H391" s="230" t="str">
        <f>Table3.110[[#This Row],[Species]]</f>
        <v>radiata</v>
      </c>
      <c r="I391" s="230" t="str">
        <f>Table3.110[[#This Row],[Tax Name]]</f>
        <v>Vigna radiata</v>
      </c>
      <c r="J391" s="230" t="str">
        <f>Table3.110[[#This Row],[Family]]</f>
        <v>Fabaceae</v>
      </c>
      <c r="K391" s="230" t="str">
        <f>Table3.110[[#This Row],[Order]]</f>
        <v>Fabales</v>
      </c>
      <c r="L391" s="230" t="str">
        <f>Table3.110[[#This Row],[Functional Group]]</f>
        <v>Herbaceous</v>
      </c>
      <c r="M391" s="230" t="str">
        <f>Table3.110[[#This Row],[CIAT ID]]</f>
        <v>F252576</v>
      </c>
      <c r="N391" s="230">
        <f>Table3.110[[#This Row],[Set CIAT]]</f>
        <v>28</v>
      </c>
      <c r="O391" s="230">
        <f>Table3.110[[#This Row],[Batch]]</f>
        <v>60</v>
      </c>
      <c r="P391" s="230">
        <f>Table3.110[[#This Row],[Run]]</f>
        <v>1</v>
      </c>
      <c r="Q391" s="230">
        <f>Table3.110[[#This Row],[Replication]]</f>
        <v>2</v>
      </c>
      <c r="R391" s="230">
        <f>Table3.110[[#This Row],[Syrange No]]</f>
        <v>39</v>
      </c>
      <c r="S391" s="250">
        <v>0.55900000000000005</v>
      </c>
      <c r="T391" s="250">
        <v>0.76670000000000005</v>
      </c>
      <c r="U391" s="108"/>
      <c r="V391" s="122">
        <f t="shared" si="25"/>
        <v>0.2077</v>
      </c>
      <c r="W391" s="61">
        <f>Table3.110[[#This Row],[DM Incubated, mg]]-('3.2 Digest'!V391*1000)</f>
        <v>249.71856528752807</v>
      </c>
      <c r="X391" s="61">
        <f>W391/Table3.110[[#This Row],[DM Incubated, mg]]*100</f>
        <v>54.593010480577639</v>
      </c>
      <c r="Y391" s="37">
        <f>Table3.1[[#This Row],[DM Incubated, mg]]*'2.4 NDF'!R139/100</f>
        <v>207.94107177784099</v>
      </c>
      <c r="Z391" s="37">
        <f t="shared" si="26"/>
        <v>0.24107177784100031</v>
      </c>
      <c r="AA391" s="37">
        <f t="shared" si="27"/>
        <v>0.11593273795306554</v>
      </c>
      <c r="AB391" s="57"/>
    </row>
    <row r="392" spans="2:28" x14ac:dyDescent="0.35">
      <c r="B392" s="230">
        <f t="shared" si="24"/>
        <v>382</v>
      </c>
      <c r="C392" s="246" t="s">
        <v>690</v>
      </c>
      <c r="D392" s="248">
        <f>Table3.110[[#This Row],[Date]]</f>
        <v>46048</v>
      </c>
      <c r="E392" s="230" t="str">
        <f>Table3.110[[#This Row],[Requisitioner]]</f>
        <v>Genbank</v>
      </c>
      <c r="F392" s="230" t="str">
        <f>Table3.110[[#This Row],[Gene Bank ID]]</f>
        <v>CIAT416</v>
      </c>
      <c r="G392" s="230" t="str">
        <f>Table3.110[[#This Row],[Genus]]</f>
        <v>Vigna</v>
      </c>
      <c r="H392" s="230" t="str">
        <f>Table3.110[[#This Row],[Species]]</f>
        <v>radiata</v>
      </c>
      <c r="I392" s="230" t="str">
        <f>Table3.110[[#This Row],[Tax Name]]</f>
        <v>Vigna radiata</v>
      </c>
      <c r="J392" s="230" t="str">
        <f>Table3.110[[#This Row],[Family]]</f>
        <v>Fabaceae</v>
      </c>
      <c r="K392" s="230" t="str">
        <f>Table3.110[[#This Row],[Order]]</f>
        <v>Fabales</v>
      </c>
      <c r="L392" s="230" t="str">
        <f>Table3.110[[#This Row],[Functional Group]]</f>
        <v>Herbaceous</v>
      </c>
      <c r="M392" s="230" t="str">
        <f>Table3.110[[#This Row],[CIAT ID]]</f>
        <v>F252576</v>
      </c>
      <c r="N392" s="230">
        <f>Table3.110[[#This Row],[Set CIAT]]</f>
        <v>28</v>
      </c>
      <c r="O392" s="230">
        <f>Table3.110[[#This Row],[Batch]]</f>
        <v>60</v>
      </c>
      <c r="P392" s="230">
        <f>Table3.110[[#This Row],[Run]]</f>
        <v>1</v>
      </c>
      <c r="Q392" s="230">
        <f>Table3.110[[#This Row],[Replication]]</f>
        <v>3</v>
      </c>
      <c r="R392" s="230">
        <f>Table3.110[[#This Row],[Syrange No]]</f>
        <v>40</v>
      </c>
      <c r="S392" s="98">
        <v>0.5706</v>
      </c>
      <c r="T392" s="98">
        <v>0.76280000000000003</v>
      </c>
      <c r="U392" s="108"/>
      <c r="V392" s="122">
        <f t="shared" si="25"/>
        <v>0.19220000000000004</v>
      </c>
      <c r="W392" s="61">
        <f>Table3.110[[#This Row],[DM Incubated, mg]]-('3.2 Digest'!V392*1000)</f>
        <v>265.30999414327204</v>
      </c>
      <c r="X392" s="61">
        <f>W392/Table3.110[[#This Row],[DM Incubated, mg]]*100</f>
        <v>57.989988752068342</v>
      </c>
      <c r="Y392" s="37">
        <f>Table3.1[[#This Row],[DM Incubated, mg]]*'2.4 NDF'!R139/100</f>
        <v>207.98263505423071</v>
      </c>
      <c r="Z392" s="37">
        <f t="shared" si="26"/>
        <v>15.782635054230667</v>
      </c>
      <c r="AA392" s="37">
        <f t="shared" si="27"/>
        <v>7.5884388377497975</v>
      </c>
      <c r="AB392" s="57"/>
    </row>
    <row r="393" spans="2:28" x14ac:dyDescent="0.35">
      <c r="B393" s="230">
        <f t="shared" si="24"/>
        <v>383</v>
      </c>
      <c r="C393" s="246" t="s">
        <v>690</v>
      </c>
      <c r="D393" s="248">
        <f>Table3.110[[#This Row],[Date]]</f>
        <v>46048</v>
      </c>
      <c r="E393" s="230" t="str">
        <f>Table3.110[[#This Row],[Requisitioner]]</f>
        <v>Genbank</v>
      </c>
      <c r="F393" s="230" t="str">
        <f>Table3.110[[#This Row],[Gene Bank ID]]</f>
        <v>CIAT517</v>
      </c>
      <c r="G393" s="230" t="str">
        <f>Table3.110[[#This Row],[Genus]]</f>
        <v>Macroptilium</v>
      </c>
      <c r="H393" s="230" t="str">
        <f>Table3.110[[#This Row],[Species]]</f>
        <v>atropurpureum</v>
      </c>
      <c r="I393" s="230" t="str">
        <f>Table3.110[[#This Row],[Tax Name]]</f>
        <v>Macroptilium atropurpureum</v>
      </c>
      <c r="J393" s="230" t="str">
        <f>Table3.110[[#This Row],[Family]]</f>
        <v>Fabaceae</v>
      </c>
      <c r="K393" s="230" t="str">
        <f>Table3.110[[#This Row],[Order]]</f>
        <v>Fabales</v>
      </c>
      <c r="L393" s="230" t="str">
        <f>Table3.110[[#This Row],[Functional Group]]</f>
        <v>Herbaceous</v>
      </c>
      <c r="M393" s="230" t="str">
        <f>Table3.110[[#This Row],[CIAT ID]]</f>
        <v>F252577</v>
      </c>
      <c r="N393" s="230">
        <f>Table3.110[[#This Row],[Set CIAT]]</f>
        <v>28</v>
      </c>
      <c r="O393" s="230">
        <f>Table3.110[[#This Row],[Batch]]</f>
        <v>60</v>
      </c>
      <c r="P393" s="230">
        <f>Table3.110[[#This Row],[Run]]</f>
        <v>1</v>
      </c>
      <c r="Q393" s="230">
        <f>Table3.110[[#This Row],[Replication]]</f>
        <v>1</v>
      </c>
      <c r="R393" s="230">
        <f>Table3.110[[#This Row],[Syrange No]]</f>
        <v>41</v>
      </c>
      <c r="S393" s="250">
        <v>0.56269999999999998</v>
      </c>
      <c r="T393" s="250">
        <v>0.81699999999999995</v>
      </c>
      <c r="U393" s="108"/>
      <c r="V393" s="122">
        <f t="shared" si="25"/>
        <v>0.25429999999999997</v>
      </c>
      <c r="W393" s="61">
        <f>Table3.110[[#This Row],[DM Incubated, mg]]-('3.2 Digest'!V393*1000)</f>
        <v>201.29780726613328</v>
      </c>
      <c r="X393" s="61">
        <f>W393/Table3.110[[#This Row],[DM Incubated, mg]]*100</f>
        <v>44.183225655549968</v>
      </c>
      <c r="Y393" s="37">
        <f>Table3.1[[#This Row],[DM Incubated, mg]]*'2.4 NDF'!R141/100</f>
        <v>207.78911332684905</v>
      </c>
      <c r="Z393" s="37">
        <f t="shared" si="26"/>
        <v>-46.510886673150935</v>
      </c>
      <c r="AA393" s="37">
        <f t="shared" si="27"/>
        <v>-22.383697552041639</v>
      </c>
      <c r="AB393" s="57"/>
    </row>
    <row r="394" spans="2:28" x14ac:dyDescent="0.35">
      <c r="B394" s="230">
        <f t="shared" si="24"/>
        <v>384</v>
      </c>
      <c r="C394" s="246" t="s">
        <v>690</v>
      </c>
      <c r="D394" s="248">
        <f>Table3.110[[#This Row],[Date]]</f>
        <v>46048</v>
      </c>
      <c r="E394" s="230" t="str">
        <f>Table3.110[[#This Row],[Requisitioner]]</f>
        <v>Genbank</v>
      </c>
      <c r="F394" s="230" t="str">
        <f>Table3.110[[#This Row],[Gene Bank ID]]</f>
        <v>CIAT517</v>
      </c>
      <c r="G394" s="230" t="str">
        <f>Table3.110[[#This Row],[Genus]]</f>
        <v>Macroptilium</v>
      </c>
      <c r="H394" s="230" t="str">
        <f>Table3.110[[#This Row],[Species]]</f>
        <v>atropurpureum</v>
      </c>
      <c r="I394" s="230" t="str">
        <f>Table3.110[[#This Row],[Tax Name]]</f>
        <v>Macroptilium atropurpureum</v>
      </c>
      <c r="J394" s="230" t="str">
        <f>Table3.110[[#This Row],[Family]]</f>
        <v>Fabaceae</v>
      </c>
      <c r="K394" s="230" t="str">
        <f>Table3.110[[#This Row],[Order]]</f>
        <v>Fabales</v>
      </c>
      <c r="L394" s="230" t="str">
        <f>Table3.110[[#This Row],[Functional Group]]</f>
        <v>Herbaceous</v>
      </c>
      <c r="M394" s="230" t="str">
        <f>Table3.110[[#This Row],[CIAT ID]]</f>
        <v>F252577</v>
      </c>
      <c r="N394" s="230">
        <f>Table3.110[[#This Row],[Set CIAT]]</f>
        <v>28</v>
      </c>
      <c r="O394" s="230">
        <f>Table3.110[[#This Row],[Batch]]</f>
        <v>60</v>
      </c>
      <c r="P394" s="230">
        <f>Table3.110[[#This Row],[Run]]</f>
        <v>1</v>
      </c>
      <c r="Q394" s="230">
        <f>Table3.110[[#This Row],[Replication]]</f>
        <v>2</v>
      </c>
      <c r="R394" s="230">
        <f>Table3.110[[#This Row],[Syrange No]]</f>
        <v>42</v>
      </c>
      <c r="S394" s="98">
        <v>0.56340000000000001</v>
      </c>
      <c r="T394" s="98">
        <v>0.89439999999999997</v>
      </c>
      <c r="U394" s="108"/>
      <c r="V394" s="122">
        <f t="shared" si="25"/>
        <v>0.33099999999999996</v>
      </c>
      <c r="W394" s="61">
        <f>Table3.110[[#This Row],[DM Incubated, mg]]-('3.2 Digest'!V394*1000)</f>
        <v>124.77997352253726</v>
      </c>
      <c r="X394" s="61">
        <f>W394/Table3.110[[#This Row],[DM Incubated, mg]]*100</f>
        <v>27.377239188059061</v>
      </c>
      <c r="Y394" s="37">
        <f>Table3.1[[#This Row],[DM Incubated, mg]]*'2.4 NDF'!R141/100</f>
        <v>207.87219573921485</v>
      </c>
      <c r="Z394" s="37">
        <f t="shared" si="26"/>
        <v>-123.1278042607851</v>
      </c>
      <c r="AA394" s="37">
        <f t="shared" si="27"/>
        <v>-59.232454741207697</v>
      </c>
      <c r="AB394" s="57"/>
    </row>
    <row r="395" spans="2:28" x14ac:dyDescent="0.35">
      <c r="B395" s="230">
        <f t="shared" si="24"/>
        <v>385</v>
      </c>
      <c r="C395" s="246" t="s">
        <v>690</v>
      </c>
      <c r="D395" s="248">
        <f>Table3.110[[#This Row],[Date]]</f>
        <v>46048</v>
      </c>
      <c r="E395" s="230" t="str">
        <f>Table3.110[[#This Row],[Requisitioner]]</f>
        <v>Genbank</v>
      </c>
      <c r="F395" s="230" t="str">
        <f>Table3.110[[#This Row],[Gene Bank ID]]</f>
        <v>CIAT517</v>
      </c>
      <c r="G395" s="230" t="str">
        <f>Table3.110[[#This Row],[Genus]]</f>
        <v>Macroptilium</v>
      </c>
      <c r="H395" s="230" t="str">
        <f>Table3.110[[#This Row],[Species]]</f>
        <v>atropurpureum</v>
      </c>
      <c r="I395" s="230" t="str">
        <f>Table3.110[[#This Row],[Tax Name]]</f>
        <v>Macroptilium atropurpureum</v>
      </c>
      <c r="J395" s="230" t="str">
        <f>Table3.110[[#This Row],[Family]]</f>
        <v>Fabaceae</v>
      </c>
      <c r="K395" s="230" t="str">
        <f>Table3.110[[#This Row],[Order]]</f>
        <v>Fabales</v>
      </c>
      <c r="L395" s="230" t="str">
        <f>Table3.110[[#This Row],[Functional Group]]</f>
        <v>Herbaceous</v>
      </c>
      <c r="M395" s="230" t="str">
        <f>Table3.110[[#This Row],[CIAT ID]]</f>
        <v>F252577</v>
      </c>
      <c r="N395" s="230">
        <f>Table3.110[[#This Row],[Set CIAT]]</f>
        <v>28</v>
      </c>
      <c r="O395" s="230">
        <f>Table3.110[[#This Row],[Batch]]</f>
        <v>60</v>
      </c>
      <c r="P395" s="230">
        <f>Table3.110[[#This Row],[Run]]</f>
        <v>1</v>
      </c>
      <c r="Q395" s="230">
        <f>Table3.110[[#This Row],[Replication]]</f>
        <v>3</v>
      </c>
      <c r="R395" s="230">
        <f>Table3.110[[#This Row],[Syrange No]]</f>
        <v>43</v>
      </c>
      <c r="S395" s="250">
        <v>0.58189999999999997</v>
      </c>
      <c r="T395" s="250">
        <v>0.82120000000000004</v>
      </c>
      <c r="U395" s="108"/>
      <c r="V395" s="122">
        <f t="shared" si="25"/>
        <v>0.23930000000000007</v>
      </c>
      <c r="W395" s="61">
        <f>Table3.110[[#This Row],[DM Incubated, mg]]-('3.2 Digest'!V395*1000)</f>
        <v>216.47997352253714</v>
      </c>
      <c r="X395" s="61">
        <f>W395/Table3.110[[#This Row],[DM Incubated, mg]]*100</f>
        <v>47.496596186412461</v>
      </c>
      <c r="Y395" s="37">
        <f>Table3.1[[#This Row],[DM Incubated, mg]]*'2.4 NDF'!R141/100</f>
        <v>207.87219573921485</v>
      </c>
      <c r="Z395" s="37">
        <f t="shared" si="26"/>
        <v>-31.427804260785223</v>
      </c>
      <c r="AA395" s="37">
        <f t="shared" si="27"/>
        <v>-15.118810935259875</v>
      </c>
      <c r="AB395" s="57"/>
    </row>
    <row r="396" spans="2:28" x14ac:dyDescent="0.35">
      <c r="B396" s="230">
        <f t="shared" si="24"/>
        <v>386</v>
      </c>
      <c r="C396" s="246" t="s">
        <v>690</v>
      </c>
      <c r="D396" s="248">
        <f>Table3.110[[#This Row],[Date]]</f>
        <v>46048</v>
      </c>
      <c r="E396" s="230" t="str">
        <f>Table3.110[[#This Row],[Requisitioner]]</f>
        <v>Genbank</v>
      </c>
      <c r="F396" s="230" t="str">
        <f>Table3.110[[#This Row],[Gene Bank ID]]</f>
        <v>CIAT563</v>
      </c>
      <c r="G396" s="230" t="str">
        <f>Table3.110[[#This Row],[Genus]]</f>
        <v>Macroptilium</v>
      </c>
      <c r="H396" s="230" t="str">
        <f>Table3.110[[#This Row],[Species]]</f>
        <v>bracteatum</v>
      </c>
      <c r="I396" s="230" t="str">
        <f>Table3.110[[#This Row],[Tax Name]]</f>
        <v>Macroptilium bracteatum</v>
      </c>
      <c r="J396" s="230" t="str">
        <f>Table3.110[[#This Row],[Family]]</f>
        <v>Fabaceae</v>
      </c>
      <c r="K396" s="230" t="str">
        <f>Table3.110[[#This Row],[Order]]</f>
        <v>Fabales</v>
      </c>
      <c r="L396" s="230" t="str">
        <f>Table3.110[[#This Row],[Functional Group]]</f>
        <v>Herbaceous</v>
      </c>
      <c r="M396" s="230" t="str">
        <f>Table3.110[[#This Row],[CIAT ID]]</f>
        <v>F252578</v>
      </c>
      <c r="N396" s="230">
        <f>Table3.110[[#This Row],[Set CIAT]]</f>
        <v>28</v>
      </c>
      <c r="O396" s="230">
        <f>Table3.110[[#This Row],[Batch]]</f>
        <v>60</v>
      </c>
      <c r="P396" s="230">
        <f>Table3.110[[#This Row],[Run]]</f>
        <v>1</v>
      </c>
      <c r="Q396" s="230">
        <f>Table3.110[[#This Row],[Replication]]</f>
        <v>1</v>
      </c>
      <c r="R396" s="230">
        <f>Table3.110[[#This Row],[Syrange No]]</f>
        <v>44</v>
      </c>
      <c r="S396" s="106">
        <v>0.57330000000000003</v>
      </c>
      <c r="T396" s="106">
        <v>0.80800000000000005</v>
      </c>
      <c r="U396" s="108"/>
      <c r="V396" s="122">
        <f t="shared" si="25"/>
        <v>0.23470000000000002</v>
      </c>
      <c r="W396" s="61">
        <f>Table3.110[[#This Row],[DM Incubated, mg]]-('3.2 Digest'!V396*1000)</f>
        <v>230.28905795494941</v>
      </c>
      <c r="X396" s="61">
        <f>W396/Table3.110[[#This Row],[DM Incubated, mg]]*100</f>
        <v>49.525693995418926</v>
      </c>
      <c r="Y396" s="37">
        <f>Table3.1[[#This Row],[DM Incubated, mg]]*'2.4 NDF'!R143/100</f>
        <v>239.1810228248799</v>
      </c>
      <c r="Z396" s="37">
        <f t="shared" si="26"/>
        <v>4.4810228248798865</v>
      </c>
      <c r="AA396" s="37">
        <f t="shared" si="27"/>
        <v>1.8734859362821341</v>
      </c>
      <c r="AB396" s="57"/>
    </row>
    <row r="397" spans="2:28" x14ac:dyDescent="0.35">
      <c r="B397" s="230">
        <f t="shared" si="24"/>
        <v>387</v>
      </c>
      <c r="C397" s="246" t="s">
        <v>690</v>
      </c>
      <c r="D397" s="248">
        <f>Table3.110[[#This Row],[Date]]</f>
        <v>46048</v>
      </c>
      <c r="E397" s="230" t="str">
        <f>Table3.110[[#This Row],[Requisitioner]]</f>
        <v>Genbank</v>
      </c>
      <c r="F397" s="230" t="str">
        <f>Table3.110[[#This Row],[Gene Bank ID]]</f>
        <v>CIAT563</v>
      </c>
      <c r="G397" s="230" t="str">
        <f>Table3.110[[#This Row],[Genus]]</f>
        <v>Macroptilium</v>
      </c>
      <c r="H397" s="230" t="str">
        <f>Table3.110[[#This Row],[Species]]</f>
        <v>bracteatum</v>
      </c>
      <c r="I397" s="230" t="str">
        <f>Table3.110[[#This Row],[Tax Name]]</f>
        <v>Macroptilium bracteatum</v>
      </c>
      <c r="J397" s="230" t="str">
        <f>Table3.110[[#This Row],[Family]]</f>
        <v>Fabaceae</v>
      </c>
      <c r="K397" s="230" t="str">
        <f>Table3.110[[#This Row],[Order]]</f>
        <v>Fabales</v>
      </c>
      <c r="L397" s="230" t="str">
        <f>Table3.110[[#This Row],[Functional Group]]</f>
        <v>Herbaceous</v>
      </c>
      <c r="M397" s="230" t="str">
        <f>Table3.110[[#This Row],[CIAT ID]]</f>
        <v>F252578</v>
      </c>
      <c r="N397" s="230">
        <f>Table3.110[[#This Row],[Set CIAT]]</f>
        <v>28</v>
      </c>
      <c r="O397" s="230">
        <f>Table3.110[[#This Row],[Batch]]</f>
        <v>60</v>
      </c>
      <c r="P397" s="230">
        <f>Table3.110[[#This Row],[Run]]</f>
        <v>1</v>
      </c>
      <c r="Q397" s="230">
        <f>Table3.110[[#This Row],[Replication]]</f>
        <v>2</v>
      </c>
      <c r="R397" s="230">
        <f>Table3.110[[#This Row],[Syrange No]]</f>
        <v>45</v>
      </c>
      <c r="S397" s="106">
        <v>0.56530000000000002</v>
      </c>
      <c r="T397" s="106">
        <v>0.83860000000000001</v>
      </c>
      <c r="U397" s="108"/>
      <c r="V397" s="122">
        <f t="shared" si="25"/>
        <v>0.27329999999999999</v>
      </c>
      <c r="W397" s="61">
        <f>Table3.110[[#This Row],[DM Incubated, mg]]-('3.2 Digest'!V397*1000)</f>
        <v>192.06104920131338</v>
      </c>
      <c r="X397" s="61">
        <f>W397/Table3.110[[#This Row],[DM Incubated, mg]]*100</f>
        <v>41.271406262071693</v>
      </c>
      <c r="Y397" s="37">
        <f>Table3.1[[#This Row],[DM Incubated, mg]]*'2.4 NDF'!R143/100</f>
        <v>239.3723676431398</v>
      </c>
      <c r="Z397" s="37">
        <f t="shared" si="26"/>
        <v>-33.927632356860215</v>
      </c>
      <c r="AA397" s="37">
        <f t="shared" si="27"/>
        <v>-14.173579302787395</v>
      </c>
      <c r="AB397" s="57"/>
    </row>
    <row r="398" spans="2:28" x14ac:dyDescent="0.35">
      <c r="B398" s="230">
        <f t="shared" si="24"/>
        <v>388</v>
      </c>
      <c r="C398" s="246" t="s">
        <v>690</v>
      </c>
      <c r="D398" s="248">
        <f>Table3.110[[#This Row],[Date]]</f>
        <v>46048</v>
      </c>
      <c r="E398" s="230" t="str">
        <f>Table3.110[[#This Row],[Requisitioner]]</f>
        <v>Genbank</v>
      </c>
      <c r="F398" s="230" t="str">
        <f>Table3.110[[#This Row],[Gene Bank ID]]</f>
        <v>CIAT563</v>
      </c>
      <c r="G398" s="230" t="str">
        <f>Table3.110[[#This Row],[Genus]]</f>
        <v>Macroptilium</v>
      </c>
      <c r="H398" s="230" t="str">
        <f>Table3.110[[#This Row],[Species]]</f>
        <v>bracteatum</v>
      </c>
      <c r="I398" s="230" t="str">
        <f>Table3.110[[#This Row],[Tax Name]]</f>
        <v>Macroptilium bracteatum</v>
      </c>
      <c r="J398" s="230" t="str">
        <f>Table3.110[[#This Row],[Family]]</f>
        <v>Fabaceae</v>
      </c>
      <c r="K398" s="230" t="str">
        <f>Table3.110[[#This Row],[Order]]</f>
        <v>Fabales</v>
      </c>
      <c r="L398" s="230" t="str">
        <f>Table3.110[[#This Row],[Functional Group]]</f>
        <v>Herbaceous</v>
      </c>
      <c r="M398" s="230" t="str">
        <f>Table3.110[[#This Row],[CIAT ID]]</f>
        <v>F252578</v>
      </c>
      <c r="N398" s="230">
        <f>Table3.110[[#This Row],[Set CIAT]]</f>
        <v>28</v>
      </c>
      <c r="O398" s="230">
        <f>Table3.110[[#This Row],[Batch]]</f>
        <v>60</v>
      </c>
      <c r="P398" s="230">
        <f>Table3.110[[#This Row],[Run]]</f>
        <v>1</v>
      </c>
      <c r="Q398" s="230">
        <f>Table3.110[[#This Row],[Replication]]</f>
        <v>3</v>
      </c>
      <c r="R398" s="230">
        <f>Table3.110[[#This Row],[Syrange No]]</f>
        <v>46</v>
      </c>
      <c r="S398" s="106">
        <v>0.56869999999999998</v>
      </c>
      <c r="T398" s="106">
        <v>0.89329999999999998</v>
      </c>
      <c r="U398" s="108"/>
      <c r="V398" s="122">
        <f t="shared" si="25"/>
        <v>0.3246</v>
      </c>
      <c r="W398" s="61">
        <f>Table3.110[[#This Row],[DM Incubated, mg]]-('3.2 Digest'!V398*1000)</f>
        <v>140.57505357813136</v>
      </c>
      <c r="X398" s="61">
        <f>W398/Table3.110[[#This Row],[DM Incubated, mg]]*100</f>
        <v>30.219817786191793</v>
      </c>
      <c r="Y398" s="37">
        <f>Table3.1[[#This Row],[DM Incubated, mg]]*'2.4 NDF'!R143/100</f>
        <v>239.27669523400985</v>
      </c>
      <c r="Z398" s="37">
        <f t="shared" si="26"/>
        <v>-85.323304765990173</v>
      </c>
      <c r="AA398" s="37">
        <f t="shared" si="27"/>
        <v>-35.658844536675396</v>
      </c>
      <c r="AB398" s="57"/>
    </row>
    <row r="399" spans="2:28" x14ac:dyDescent="0.35">
      <c r="B399" s="230">
        <f t="shared" si="24"/>
        <v>389</v>
      </c>
      <c r="C399" s="246" t="s">
        <v>690</v>
      </c>
      <c r="D399" s="248">
        <f>Table3.110[[#This Row],[Date]]</f>
        <v>46048</v>
      </c>
      <c r="E399" s="230" t="str">
        <f>Table3.110[[#This Row],[Requisitioner]]</f>
        <v>Genbank</v>
      </c>
      <c r="F399" s="230" t="str">
        <f>Table3.110[[#This Row],[Gene Bank ID]]</f>
        <v>CIAT789</v>
      </c>
      <c r="G399" s="230" t="str">
        <f>Table3.110[[#This Row],[Genus]]</f>
        <v>Zornia</v>
      </c>
      <c r="H399" s="230" t="str">
        <f>Table3.110[[#This Row],[Species]]</f>
        <v>latifolia</v>
      </c>
      <c r="I399" s="230" t="str">
        <f>Table3.110[[#This Row],[Tax Name]]</f>
        <v>Zornia latifolia</v>
      </c>
      <c r="J399" s="230" t="str">
        <f>Table3.110[[#This Row],[Family]]</f>
        <v>Fabaceae</v>
      </c>
      <c r="K399" s="230" t="str">
        <f>Table3.110[[#This Row],[Order]]</f>
        <v>Fabales</v>
      </c>
      <c r="L399" s="230" t="str">
        <f>Table3.110[[#This Row],[Functional Group]]</f>
        <v>Herbaceous</v>
      </c>
      <c r="M399" s="230" t="str">
        <f>Table3.110[[#This Row],[CIAT ID]]</f>
        <v>F252579</v>
      </c>
      <c r="N399" s="230">
        <f>Table3.110[[#This Row],[Set CIAT]]</f>
        <v>28</v>
      </c>
      <c r="O399" s="230">
        <f>Table3.110[[#This Row],[Batch]]</f>
        <v>60</v>
      </c>
      <c r="P399" s="230">
        <f>Table3.110[[#This Row],[Run]]</f>
        <v>1</v>
      </c>
      <c r="Q399" s="230">
        <f>Table3.110[[#This Row],[Replication]]</f>
        <v>1</v>
      </c>
      <c r="R399" s="230">
        <f>Table3.110[[#This Row],[Syrange No]]</f>
        <v>47</v>
      </c>
      <c r="S399" s="106">
        <v>0.57379999999999998</v>
      </c>
      <c r="T399" s="106">
        <v>0.81859999999999999</v>
      </c>
      <c r="U399" s="108"/>
      <c r="V399" s="122">
        <f t="shared" si="25"/>
        <v>0.24480000000000002</v>
      </c>
      <c r="W399" s="61">
        <f>Table3.110[[#This Row],[DM Incubated, mg]]-('3.2 Digest'!V399*1000)</f>
        <v>199.43901772157852</v>
      </c>
      <c r="X399" s="61">
        <f>W399/Table3.110[[#This Row],[DM Incubated, mg]]*100</f>
        <v>44.89452969360169</v>
      </c>
      <c r="Y399" s="37">
        <f>Table3.1[[#This Row],[DM Incubated, mg]]*'2.4 NDF'!R145/100</f>
        <v>226.9255042356686</v>
      </c>
      <c r="Z399" s="37">
        <f t="shared" si="26"/>
        <v>-17.874495764331414</v>
      </c>
      <c r="AA399" s="37">
        <f t="shared" si="27"/>
        <v>-7.8768121831595623</v>
      </c>
      <c r="AB399" s="57"/>
    </row>
    <row r="400" spans="2:28" x14ac:dyDescent="0.35">
      <c r="B400" s="230">
        <f t="shared" si="24"/>
        <v>390</v>
      </c>
      <c r="C400" s="246" t="s">
        <v>690</v>
      </c>
      <c r="D400" s="248">
        <f>Table3.110[[#This Row],[Date]]</f>
        <v>46048</v>
      </c>
      <c r="E400" s="230" t="str">
        <f>Table3.110[[#This Row],[Requisitioner]]</f>
        <v>Genbank</v>
      </c>
      <c r="F400" s="230" t="str">
        <f>Table3.110[[#This Row],[Gene Bank ID]]</f>
        <v>CIAT789</v>
      </c>
      <c r="G400" s="230" t="str">
        <f>Table3.110[[#This Row],[Genus]]</f>
        <v>Zornia</v>
      </c>
      <c r="H400" s="230" t="str">
        <f>Table3.110[[#This Row],[Species]]</f>
        <v>latifolia</v>
      </c>
      <c r="I400" s="230" t="str">
        <f>Table3.110[[#This Row],[Tax Name]]</f>
        <v>Zornia latifolia</v>
      </c>
      <c r="J400" s="230" t="str">
        <f>Table3.110[[#This Row],[Family]]</f>
        <v>Fabaceae</v>
      </c>
      <c r="K400" s="230" t="str">
        <f>Table3.110[[#This Row],[Order]]</f>
        <v>Fabales</v>
      </c>
      <c r="L400" s="230" t="str">
        <f>Table3.110[[#This Row],[Functional Group]]</f>
        <v>Herbaceous</v>
      </c>
      <c r="M400" s="230" t="str">
        <f>Table3.110[[#This Row],[CIAT ID]]</f>
        <v>F252579</v>
      </c>
      <c r="N400" s="230">
        <f>Table3.110[[#This Row],[Set CIAT]]</f>
        <v>28</v>
      </c>
      <c r="O400" s="230">
        <f>Table3.110[[#This Row],[Batch]]</f>
        <v>60</v>
      </c>
      <c r="P400" s="230">
        <f>Table3.110[[#This Row],[Run]]</f>
        <v>1</v>
      </c>
      <c r="Q400" s="230">
        <f>Table3.110[[#This Row],[Replication]]</f>
        <v>2</v>
      </c>
      <c r="R400" s="230">
        <f>Table3.110[[#This Row],[Syrange No]]</f>
        <v>48</v>
      </c>
      <c r="S400" s="250">
        <v>0.57140000000000002</v>
      </c>
      <c r="T400" s="250">
        <v>0.78480000000000005</v>
      </c>
      <c r="U400" s="108"/>
      <c r="V400" s="122">
        <f t="shared" si="25"/>
        <v>0.21340000000000003</v>
      </c>
      <c r="W400" s="61">
        <f>Table3.110[[#This Row],[DM Incubated, mg]]-('3.2 Digest'!V400*1000)</f>
        <v>230.9278655251228</v>
      </c>
      <c r="X400" s="61">
        <f>W400/Table3.110[[#This Row],[DM Incubated, mg]]*100</f>
        <v>51.972402237749336</v>
      </c>
      <c r="Y400" s="37">
        <f>Table3.1[[#This Row],[DM Incubated, mg]]*'2.4 NDF'!R145/100</f>
        <v>226.97088933651571</v>
      </c>
      <c r="Z400" s="37">
        <f t="shared" si="26"/>
        <v>13.570889336515677</v>
      </c>
      <c r="AA400" s="37">
        <f t="shared" si="27"/>
        <v>5.9791321152180696</v>
      </c>
      <c r="AB400" s="57"/>
    </row>
    <row r="401" spans="2:28" x14ac:dyDescent="0.35">
      <c r="B401" s="230">
        <f t="shared" si="24"/>
        <v>391</v>
      </c>
      <c r="C401" s="246" t="s">
        <v>690</v>
      </c>
      <c r="D401" s="248">
        <f>Table3.110[[#This Row],[Date]]</f>
        <v>46048</v>
      </c>
      <c r="E401" s="230" t="str">
        <f>Table3.110[[#This Row],[Requisitioner]]</f>
        <v>Genbank</v>
      </c>
      <c r="F401" s="230" t="str">
        <f>Table3.110[[#This Row],[Gene Bank ID]]</f>
        <v>CIAT789</v>
      </c>
      <c r="G401" s="230" t="str">
        <f>Table3.110[[#This Row],[Genus]]</f>
        <v>Zornia</v>
      </c>
      <c r="H401" s="230" t="str">
        <f>Table3.110[[#This Row],[Species]]</f>
        <v>latifolia</v>
      </c>
      <c r="I401" s="230" t="str">
        <f>Table3.110[[#This Row],[Tax Name]]</f>
        <v>Zornia latifolia</v>
      </c>
      <c r="J401" s="230" t="str">
        <f>Table3.110[[#This Row],[Family]]</f>
        <v>Fabaceae</v>
      </c>
      <c r="K401" s="230" t="str">
        <f>Table3.110[[#This Row],[Order]]</f>
        <v>Fabales</v>
      </c>
      <c r="L401" s="230" t="str">
        <f>Table3.110[[#This Row],[Functional Group]]</f>
        <v>Herbaceous</v>
      </c>
      <c r="M401" s="230" t="str">
        <f>Table3.110[[#This Row],[CIAT ID]]</f>
        <v>F252579</v>
      </c>
      <c r="N401" s="230">
        <f>Table3.110[[#This Row],[Set CIAT]]</f>
        <v>28</v>
      </c>
      <c r="O401" s="230">
        <f>Table3.110[[#This Row],[Batch]]</f>
        <v>60</v>
      </c>
      <c r="P401" s="230">
        <f>Table3.110[[#This Row],[Run]]</f>
        <v>1</v>
      </c>
      <c r="Q401" s="230">
        <f>Table3.110[[#This Row],[Replication]]</f>
        <v>3</v>
      </c>
      <c r="R401" s="230">
        <f>Table3.110[[#This Row],[Syrange No]]</f>
        <v>49</v>
      </c>
      <c r="S401" s="98">
        <v>0.57979999999999998</v>
      </c>
      <c r="T401" s="98">
        <v>0.81630000000000003</v>
      </c>
      <c r="U401" s="108"/>
      <c r="V401" s="122">
        <f t="shared" si="25"/>
        <v>0.23650000000000004</v>
      </c>
      <c r="W401" s="61">
        <f>Table3.110[[#This Row],[DM Incubated, mg]]-('3.2 Digest'!V401*1000)</f>
        <v>207.91671332866713</v>
      </c>
      <c r="X401" s="61">
        <f>W401/Table3.110[[#This Row],[DM Incubated, mg]]*100</f>
        <v>46.78417959832732</v>
      </c>
      <c r="Y401" s="37">
        <f>Table3.1[[#This Row],[DM Incubated, mg]]*'2.4 NDF'!R145/100</f>
        <v>227.01627443736288</v>
      </c>
      <c r="Z401" s="37">
        <f t="shared" si="26"/>
        <v>-9.4837255626371757</v>
      </c>
      <c r="AA401" s="37">
        <f t="shared" si="27"/>
        <v>-4.1775531671205695</v>
      </c>
      <c r="AB401" s="57"/>
    </row>
    <row r="402" spans="2:28" x14ac:dyDescent="0.35">
      <c r="B402" s="230">
        <f t="shared" si="24"/>
        <v>392</v>
      </c>
      <c r="C402" s="246" t="s">
        <v>690</v>
      </c>
      <c r="D402" s="248">
        <f>Table3.110[[#This Row],[Date]]</f>
        <v>46048</v>
      </c>
      <c r="E402" s="230" t="str">
        <f>Table3.110[[#This Row],[Requisitioner]]</f>
        <v>Genbank</v>
      </c>
      <c r="F402" s="230" t="str">
        <f>Table3.110[[#This Row],[Gene Bank ID]]</f>
        <v>CIAT2085</v>
      </c>
      <c r="G402" s="230" t="str">
        <f>Table3.110[[#This Row],[Genus]]</f>
        <v>Stylosanthes</v>
      </c>
      <c r="H402" s="230" t="str">
        <f>Table3.110[[#This Row],[Species]]</f>
        <v>seabrana</v>
      </c>
      <c r="I402" s="230" t="str">
        <f>Table3.110[[#This Row],[Tax Name]]</f>
        <v>Stylosanthes seabrana</v>
      </c>
      <c r="J402" s="230" t="str">
        <f>Table3.110[[#This Row],[Family]]</f>
        <v>Fabaceae</v>
      </c>
      <c r="K402" s="230" t="str">
        <f>Table3.110[[#This Row],[Order]]</f>
        <v>Fabales</v>
      </c>
      <c r="L402" s="230" t="str">
        <f>Table3.110[[#This Row],[Functional Group]]</f>
        <v>Herbaceous</v>
      </c>
      <c r="M402" s="230" t="str">
        <f>Table3.110[[#This Row],[CIAT ID]]</f>
        <v>F252580</v>
      </c>
      <c r="N402" s="230">
        <f>Table3.110[[#This Row],[Set CIAT]]</f>
        <v>28</v>
      </c>
      <c r="O402" s="230">
        <f>Table3.110[[#This Row],[Batch]]</f>
        <v>60</v>
      </c>
      <c r="P402" s="230">
        <f>Table3.110[[#This Row],[Run]]</f>
        <v>1</v>
      </c>
      <c r="Q402" s="230">
        <f>Table3.110[[#This Row],[Replication]]</f>
        <v>1</v>
      </c>
      <c r="R402" s="230">
        <f>Table3.110[[#This Row],[Syrange No]]</f>
        <v>50</v>
      </c>
      <c r="S402" s="250">
        <v>0.58260000000000001</v>
      </c>
      <c r="T402" s="250">
        <v>0.87390000000000001</v>
      </c>
      <c r="U402" s="108"/>
      <c r="V402" s="122">
        <f t="shared" si="25"/>
        <v>0.2913</v>
      </c>
      <c r="W402" s="61">
        <f>Table3.110[[#This Row],[DM Incubated, mg]]-('3.2 Digest'!V402*1000)</f>
        <v>168.7480072950928</v>
      </c>
      <c r="X402" s="61">
        <f>W402/Table3.110[[#This Row],[DM Incubated, mg]]*100</f>
        <v>36.68052129760693</v>
      </c>
      <c r="Y402" s="37">
        <f>Table3.1[[#This Row],[DM Incubated, mg]]*'2.4 NDF'!R147/100</f>
        <v>263.06180589189501</v>
      </c>
      <c r="Z402" s="37">
        <f t="shared" si="26"/>
        <v>-28.238194108105006</v>
      </c>
      <c r="AA402" s="37">
        <f t="shared" si="27"/>
        <v>-10.734433306410686</v>
      </c>
      <c r="AB402" s="57"/>
    </row>
    <row r="403" spans="2:28" x14ac:dyDescent="0.35">
      <c r="B403" s="230">
        <f t="shared" si="24"/>
        <v>393</v>
      </c>
      <c r="C403" s="246" t="s">
        <v>690</v>
      </c>
      <c r="D403" s="248">
        <f>Table3.110[[#This Row],[Date]]</f>
        <v>46048</v>
      </c>
      <c r="E403" s="230" t="str">
        <f>Table3.110[[#This Row],[Requisitioner]]</f>
        <v>Genbank</v>
      </c>
      <c r="F403" s="230" t="str">
        <f>Table3.110[[#This Row],[Gene Bank ID]]</f>
        <v>CIAT2085</v>
      </c>
      <c r="G403" s="230" t="str">
        <f>Table3.110[[#This Row],[Genus]]</f>
        <v>Stylosanthes</v>
      </c>
      <c r="H403" s="230" t="str">
        <f>Table3.110[[#This Row],[Species]]</f>
        <v>seabrana</v>
      </c>
      <c r="I403" s="230" t="str">
        <f>Table3.110[[#This Row],[Tax Name]]</f>
        <v>Stylosanthes seabrana</v>
      </c>
      <c r="J403" s="230" t="str">
        <f>Table3.110[[#This Row],[Family]]</f>
        <v>Fabaceae</v>
      </c>
      <c r="K403" s="230" t="str">
        <f>Table3.110[[#This Row],[Order]]</f>
        <v>Fabales</v>
      </c>
      <c r="L403" s="230" t="str">
        <f>Table3.110[[#This Row],[Functional Group]]</f>
        <v>Herbaceous</v>
      </c>
      <c r="M403" s="230" t="str">
        <f>Table3.110[[#This Row],[CIAT ID]]</f>
        <v>F252580</v>
      </c>
      <c r="N403" s="230">
        <f>Table3.110[[#This Row],[Set CIAT]]</f>
        <v>28</v>
      </c>
      <c r="O403" s="230">
        <f>Table3.110[[#This Row],[Batch]]</f>
        <v>60</v>
      </c>
      <c r="P403" s="230">
        <f>Table3.110[[#This Row],[Run]]</f>
        <v>1</v>
      </c>
      <c r="Q403" s="230">
        <f>Table3.110[[#This Row],[Replication]]</f>
        <v>2</v>
      </c>
      <c r="R403" s="230">
        <f>Table3.110[[#This Row],[Syrange No]]</f>
        <v>51</v>
      </c>
      <c r="S403" s="98">
        <v>0.5655</v>
      </c>
      <c r="T403" s="98">
        <v>0.87590000000000001</v>
      </c>
      <c r="U403" s="108"/>
      <c r="V403" s="122">
        <f t="shared" si="25"/>
        <v>0.31040000000000001</v>
      </c>
      <c r="W403" s="61">
        <f>Table3.110[[#This Row],[DM Incubated, mg]]-('3.2 Digest'!V403*1000)</f>
        <v>149.83195291976091</v>
      </c>
      <c r="X403" s="61">
        <f>W403/Table3.110[[#This Row],[DM Incubated, mg]]*100</f>
        <v>32.555747589712297</v>
      </c>
      <c r="Y403" s="37">
        <f>Table3.1[[#This Row],[DM Incubated, mg]]*'2.4 NDF'!R147/100</f>
        <v>263.16698854119198</v>
      </c>
      <c r="Z403" s="37">
        <f t="shared" si="26"/>
        <v>-47.233011458808051</v>
      </c>
      <c r="AA403" s="37">
        <f t="shared" si="27"/>
        <v>-17.947924137686798</v>
      </c>
      <c r="AB403" s="57"/>
    </row>
    <row r="404" spans="2:28" x14ac:dyDescent="0.35">
      <c r="B404" s="230">
        <f t="shared" si="24"/>
        <v>394</v>
      </c>
      <c r="C404" s="246" t="s">
        <v>690</v>
      </c>
      <c r="D404" s="248">
        <f>Table3.110[[#This Row],[Date]]</f>
        <v>46048</v>
      </c>
      <c r="E404" s="230" t="str">
        <f>Table3.110[[#This Row],[Requisitioner]]</f>
        <v>Genbank</v>
      </c>
      <c r="F404" s="230" t="str">
        <f>Table3.110[[#This Row],[Gene Bank ID]]</f>
        <v>CIAT2085</v>
      </c>
      <c r="G404" s="230" t="str">
        <f>Table3.110[[#This Row],[Genus]]</f>
        <v>Stylosanthes</v>
      </c>
      <c r="H404" s="230" t="str">
        <f>Table3.110[[#This Row],[Species]]</f>
        <v>seabrana</v>
      </c>
      <c r="I404" s="230" t="str">
        <f>Table3.110[[#This Row],[Tax Name]]</f>
        <v>Stylosanthes seabrana</v>
      </c>
      <c r="J404" s="230" t="str">
        <f>Table3.110[[#This Row],[Family]]</f>
        <v>Fabaceae</v>
      </c>
      <c r="K404" s="230" t="str">
        <f>Table3.110[[#This Row],[Order]]</f>
        <v>Fabales</v>
      </c>
      <c r="L404" s="230" t="str">
        <f>Table3.110[[#This Row],[Functional Group]]</f>
        <v>Herbaceous</v>
      </c>
      <c r="M404" s="230" t="str">
        <f>Table3.110[[#This Row],[CIAT ID]]</f>
        <v>F252580</v>
      </c>
      <c r="N404" s="230">
        <f>Table3.110[[#This Row],[Set CIAT]]</f>
        <v>28</v>
      </c>
      <c r="O404" s="230">
        <f>Table3.110[[#This Row],[Batch]]</f>
        <v>60</v>
      </c>
      <c r="P404" s="230">
        <f>Table3.110[[#This Row],[Run]]</f>
        <v>1</v>
      </c>
      <c r="Q404" s="230">
        <f>Table3.110[[#This Row],[Replication]]</f>
        <v>3</v>
      </c>
      <c r="R404" s="230">
        <f>Table3.110[[#This Row],[Syrange No]]</f>
        <v>52</v>
      </c>
      <c r="S404" s="250">
        <v>0.56859999999999999</v>
      </c>
      <c r="T404" s="250">
        <v>0.87580000000000002</v>
      </c>
      <c r="U404" s="108"/>
      <c r="V404" s="122">
        <f t="shared" si="25"/>
        <v>0.30720000000000003</v>
      </c>
      <c r="W404" s="61">
        <f>Table3.110[[#This Row],[DM Incubated, mg]]-('3.2 Digest'!V404*1000)</f>
        <v>152.93998010742683</v>
      </c>
      <c r="X404" s="61">
        <f>W404/Table3.110[[#This Row],[DM Incubated, mg]]*100</f>
        <v>33.237707375855621</v>
      </c>
      <c r="Y404" s="37">
        <f>Table3.1[[#This Row],[DM Incubated, mg]]*'2.4 NDF'!R147/100</f>
        <v>263.11439721654347</v>
      </c>
      <c r="Z404" s="37">
        <f t="shared" si="26"/>
        <v>-44.085602783456579</v>
      </c>
      <c r="AA404" s="37">
        <f t="shared" si="27"/>
        <v>-16.755298550681008</v>
      </c>
      <c r="AB404" s="57"/>
    </row>
    <row r="405" spans="2:28" x14ac:dyDescent="0.35">
      <c r="B405" s="230">
        <f t="shared" ref="B405:B468" si="28">B404+1</f>
        <v>395</v>
      </c>
      <c r="C405" s="246" t="s">
        <v>690</v>
      </c>
      <c r="D405" s="248">
        <f>Table3.110[[#This Row],[Date]]</f>
        <v>46048</v>
      </c>
      <c r="E405" s="230" t="str">
        <f>Table3.110[[#This Row],[Requisitioner]]</f>
        <v>Genbank</v>
      </c>
      <c r="F405" s="230" t="str">
        <f>Table3.110[[#This Row],[Gene Bank ID]]</f>
        <v>CIAT2690</v>
      </c>
      <c r="G405" s="230" t="str">
        <f>Table3.110[[#This Row],[Genus]]</f>
        <v>Stylosanthes</v>
      </c>
      <c r="H405" s="230" t="str">
        <f>Table3.110[[#This Row],[Species]]</f>
        <v>angustifolia</v>
      </c>
      <c r="I405" s="230" t="str">
        <f>Table3.110[[#This Row],[Tax Name]]</f>
        <v>Stylosanthes angustifolia</v>
      </c>
      <c r="J405" s="230" t="str">
        <f>Table3.110[[#This Row],[Family]]</f>
        <v>Fabaceae</v>
      </c>
      <c r="K405" s="230" t="str">
        <f>Table3.110[[#This Row],[Order]]</f>
        <v>Fabales</v>
      </c>
      <c r="L405" s="230" t="str">
        <f>Table3.110[[#This Row],[Functional Group]]</f>
        <v>Herbaceous</v>
      </c>
      <c r="M405" s="230" t="str">
        <f>Table3.110[[#This Row],[CIAT ID]]</f>
        <v>F252581</v>
      </c>
      <c r="N405" s="230">
        <f>Table3.110[[#This Row],[Set CIAT]]</f>
        <v>28</v>
      </c>
      <c r="O405" s="230">
        <f>Table3.110[[#This Row],[Batch]]</f>
        <v>60</v>
      </c>
      <c r="P405" s="230">
        <f>Table3.110[[#This Row],[Run]]</f>
        <v>1</v>
      </c>
      <c r="Q405" s="230">
        <f>Table3.110[[#This Row],[Replication]]</f>
        <v>1</v>
      </c>
      <c r="R405" s="230">
        <f>Table3.110[[#This Row],[Syrange No]]</f>
        <v>53</v>
      </c>
      <c r="S405" s="98">
        <v>0.57679999999999998</v>
      </c>
      <c r="T405" s="98">
        <v>0.86580000000000001</v>
      </c>
      <c r="U405" s="108"/>
      <c r="V405" s="122">
        <f t="shared" si="25"/>
        <v>0.28900000000000003</v>
      </c>
      <c r="W405" s="61">
        <f>Table3.110[[#This Row],[DM Incubated, mg]]-('3.2 Digest'!V405*1000)</f>
        <v>166.24781975538912</v>
      </c>
      <c r="X405" s="61">
        <f>W405/Table3.110[[#This Row],[DM Incubated, mg]]*100</f>
        <v>36.518092463290948</v>
      </c>
      <c r="Y405" s="37">
        <f>Table3.1[[#This Row],[DM Incubated, mg]]*'2.4 NDF'!R149/100</f>
        <v>273.55966161864961</v>
      </c>
      <c r="Z405" s="37">
        <f t="shared" ref="Z405:Z408" si="29">Y405-(V405*1000)</f>
        <v>-15.440338381350443</v>
      </c>
      <c r="AA405" s="37">
        <f t="shared" ref="AA405:AA408" si="30">Z405/Y405*100</f>
        <v>-5.6442306917584721</v>
      </c>
      <c r="AB405" s="57"/>
    </row>
    <row r="406" spans="2:28" x14ac:dyDescent="0.35">
      <c r="B406" s="230">
        <f t="shared" si="28"/>
        <v>396</v>
      </c>
      <c r="C406" s="246" t="s">
        <v>690</v>
      </c>
      <c r="D406" s="248">
        <f>Table3.110[[#This Row],[Date]]</f>
        <v>46048</v>
      </c>
      <c r="E406" s="230" t="str">
        <f>Table3.110[[#This Row],[Requisitioner]]</f>
        <v>Genbank</v>
      </c>
      <c r="F406" s="230" t="str">
        <f>Table3.110[[#This Row],[Gene Bank ID]]</f>
        <v>CIAT2690</v>
      </c>
      <c r="G406" s="230" t="str">
        <f>Table3.110[[#This Row],[Genus]]</f>
        <v>Stylosanthes</v>
      </c>
      <c r="H406" s="230" t="str">
        <f>Table3.110[[#This Row],[Species]]</f>
        <v>angustifolia</v>
      </c>
      <c r="I406" s="230" t="str">
        <f>Table3.110[[#This Row],[Tax Name]]</f>
        <v>Stylosanthes angustifolia</v>
      </c>
      <c r="J406" s="230" t="str">
        <f>Table3.110[[#This Row],[Family]]</f>
        <v>Fabaceae</v>
      </c>
      <c r="K406" s="230" t="str">
        <f>Table3.110[[#This Row],[Order]]</f>
        <v>Fabales</v>
      </c>
      <c r="L406" s="230" t="str">
        <f>Table3.110[[#This Row],[Functional Group]]</f>
        <v>Herbaceous</v>
      </c>
      <c r="M406" s="230" t="str">
        <f>Table3.110[[#This Row],[CIAT ID]]</f>
        <v>F252581</v>
      </c>
      <c r="N406" s="230">
        <f>Table3.110[[#This Row],[Set CIAT]]</f>
        <v>28</v>
      </c>
      <c r="O406" s="230">
        <f>Table3.110[[#This Row],[Batch]]</f>
        <v>60</v>
      </c>
      <c r="P406" s="230">
        <f>Table3.110[[#This Row],[Run]]</f>
        <v>1</v>
      </c>
      <c r="Q406" s="230">
        <f>Table3.110[[#This Row],[Replication]]</f>
        <v>2</v>
      </c>
      <c r="R406" s="230">
        <f>Table3.110[[#This Row],[Syrange No]]</f>
        <v>54</v>
      </c>
      <c r="S406" s="250">
        <v>0.56710000000000005</v>
      </c>
      <c r="T406" s="250">
        <v>0.89249999999999996</v>
      </c>
      <c r="U406" s="108"/>
      <c r="V406" s="122">
        <f t="shared" ref="V406:V469" si="31">T406-S406</f>
        <v>0.32539999999999991</v>
      </c>
      <c r="W406" s="61">
        <f>Table3.110[[#This Row],[DM Incubated, mg]]-('3.2 Digest'!V406*1000)</f>
        <v>129.66579343801413</v>
      </c>
      <c r="X406" s="61">
        <f>W406/Table3.110[[#This Row],[DM Incubated, mg]]*100</f>
        <v>28.493856340726325</v>
      </c>
      <c r="Y406" s="37">
        <f>Table3.1[[#This Row],[DM Incubated, mg]]*'2.4 NDF'!R149/100</f>
        <v>273.45028150604719</v>
      </c>
      <c r="Z406" s="37">
        <f t="shared" si="29"/>
        <v>-51.94971849395273</v>
      </c>
      <c r="AA406" s="37">
        <f t="shared" si="30"/>
        <v>-18.997866159740592</v>
      </c>
      <c r="AB406" s="57"/>
    </row>
    <row r="407" spans="2:28" x14ac:dyDescent="0.35">
      <c r="B407" s="230">
        <f t="shared" si="28"/>
        <v>397</v>
      </c>
      <c r="C407" s="246" t="s">
        <v>690</v>
      </c>
      <c r="D407" s="248">
        <f>Table3.110[[#This Row],[Date]]</f>
        <v>46048</v>
      </c>
      <c r="E407" s="230" t="str">
        <f>Table3.110[[#This Row],[Requisitioner]]</f>
        <v>Genbank</v>
      </c>
      <c r="F407" s="230" t="str">
        <f>Table3.110[[#This Row],[Gene Bank ID]]</f>
        <v>CIAT2690</v>
      </c>
      <c r="G407" s="230" t="str">
        <f>Table3.110[[#This Row],[Genus]]</f>
        <v>Stylosanthes</v>
      </c>
      <c r="H407" s="230" t="str">
        <f>Table3.110[[#This Row],[Species]]</f>
        <v>angustifolia</v>
      </c>
      <c r="I407" s="230" t="str">
        <f>Table3.110[[#This Row],[Tax Name]]</f>
        <v>Stylosanthes angustifolia</v>
      </c>
      <c r="J407" s="230" t="str">
        <f>Table3.110[[#This Row],[Family]]</f>
        <v>Fabaceae</v>
      </c>
      <c r="K407" s="230" t="str">
        <f>Table3.110[[#This Row],[Order]]</f>
        <v>Fabales</v>
      </c>
      <c r="L407" s="230" t="str">
        <f>Table3.110[[#This Row],[Functional Group]]</f>
        <v>Herbaceous</v>
      </c>
      <c r="M407" s="230" t="str">
        <f>Table3.110[[#This Row],[CIAT ID]]</f>
        <v>F252581</v>
      </c>
      <c r="N407" s="230">
        <f>Table3.110[[#This Row],[Set CIAT]]</f>
        <v>28</v>
      </c>
      <c r="O407" s="230">
        <f>Table3.110[[#This Row],[Batch]]</f>
        <v>60</v>
      </c>
      <c r="P407" s="230">
        <f>Table3.110[[#This Row],[Run]]</f>
        <v>1</v>
      </c>
      <c r="Q407" s="230">
        <f>Table3.110[[#This Row],[Replication]]</f>
        <v>3</v>
      </c>
      <c r="R407" s="230">
        <f>Table3.110[[#This Row],[Syrange No]]</f>
        <v>55</v>
      </c>
      <c r="S407" s="98">
        <v>0.56230000000000002</v>
      </c>
      <c r="T407" s="98">
        <v>0.86209999999999998</v>
      </c>
      <c r="U407" s="108"/>
      <c r="V407" s="122">
        <f t="shared" si="31"/>
        <v>0.29979999999999996</v>
      </c>
      <c r="W407" s="61">
        <f>Table3.110[[#This Row],[DM Incubated, mg]]-('3.2 Digest'!V407*1000)</f>
        <v>155.2657934380141</v>
      </c>
      <c r="X407" s="61">
        <f>W407/Table3.110[[#This Row],[DM Incubated, mg]]*100</f>
        <v>34.119416505684548</v>
      </c>
      <c r="Y407" s="37">
        <f>Table3.1[[#This Row],[DM Incubated, mg]]*'2.4 NDF'!R149/100</f>
        <v>273.45028150604719</v>
      </c>
      <c r="Z407" s="37">
        <f t="shared" si="29"/>
        <v>-26.349718493952764</v>
      </c>
      <c r="AA407" s="37">
        <f t="shared" si="30"/>
        <v>-9.6360180537499485</v>
      </c>
      <c r="AB407" s="57"/>
    </row>
    <row r="408" spans="2:28" x14ac:dyDescent="0.35">
      <c r="B408" s="230">
        <f t="shared" si="28"/>
        <v>398</v>
      </c>
      <c r="C408" s="246" t="s">
        <v>690</v>
      </c>
      <c r="D408" s="248">
        <f>Table3.110[[#This Row],[Date]]</f>
        <v>46048</v>
      </c>
      <c r="E408" s="230" t="str">
        <f>Table3.110[[#This Row],[Requisitioner]]</f>
        <v>Genbank</v>
      </c>
      <c r="F408" s="230" t="str">
        <f>Table3.110[[#This Row],[Gene Bank ID]]</f>
        <v>CIAT4069</v>
      </c>
      <c r="G408" s="230" t="str">
        <f>Table3.110[[#This Row],[Genus]]</f>
        <v>Macroptilium</v>
      </c>
      <c r="H408" s="230" t="str">
        <f>Table3.110[[#This Row],[Species]]</f>
        <v>atropurpureum</v>
      </c>
      <c r="I408" s="230" t="str">
        <f>Table3.110[[#This Row],[Tax Name]]</f>
        <v>Macroptilium atropurpureum</v>
      </c>
      <c r="J408" s="230" t="str">
        <f>Table3.110[[#This Row],[Family]]</f>
        <v>Fabaceae</v>
      </c>
      <c r="K408" s="230" t="str">
        <f>Table3.110[[#This Row],[Order]]</f>
        <v>Fabales</v>
      </c>
      <c r="L408" s="230" t="str">
        <f>Table3.110[[#This Row],[Functional Group]]</f>
        <v>Herbaceous</v>
      </c>
      <c r="M408" s="230" t="str">
        <f>Table3.110[[#This Row],[CIAT ID]]</f>
        <v>F252582</v>
      </c>
      <c r="N408" s="230">
        <f>Table3.110[[#This Row],[Set CIAT]]</f>
        <v>28</v>
      </c>
      <c r="O408" s="230">
        <f>Table3.110[[#This Row],[Batch]]</f>
        <v>60</v>
      </c>
      <c r="P408" s="230">
        <f>Table3.110[[#This Row],[Run]]</f>
        <v>1</v>
      </c>
      <c r="Q408" s="230">
        <f>Table3.110[[#This Row],[Replication]]</f>
        <v>1</v>
      </c>
      <c r="R408" s="230">
        <f>Table3.110[[#This Row],[Syrange No]]</f>
        <v>56</v>
      </c>
      <c r="S408" s="250">
        <v>0.57430000000000003</v>
      </c>
      <c r="T408" s="250">
        <v>0.88819999999999999</v>
      </c>
      <c r="U408" s="108"/>
      <c r="V408" s="122">
        <f t="shared" si="31"/>
        <v>0.31389999999999996</v>
      </c>
      <c r="W408" s="61">
        <f>Table3.110[[#This Row],[DM Incubated, mg]]-('3.2 Digest'!V408*1000)</f>
        <v>147.70775534679188</v>
      </c>
      <c r="X408" s="61">
        <f>W408/Table3.110[[#This Row],[DM Incubated, mg]]*100</f>
        <v>31.998542839867049</v>
      </c>
      <c r="Y408" s="37">
        <f>Table3.1[[#This Row],[DM Incubated, mg]]*'2.4 NDF'!R151/100</f>
        <v>238.68572387730765</v>
      </c>
      <c r="Z408" s="37">
        <f t="shared" si="29"/>
        <v>-75.214276122692326</v>
      </c>
      <c r="AA408" s="37">
        <f t="shared" si="30"/>
        <v>-31.511845325678106</v>
      </c>
      <c r="AB408" s="57"/>
    </row>
    <row r="409" spans="2:28" x14ac:dyDescent="0.35">
      <c r="B409" s="230">
        <f t="shared" si="28"/>
        <v>399</v>
      </c>
      <c r="C409" s="246" t="s">
        <v>690</v>
      </c>
      <c r="D409" s="248">
        <f>Table3.110[[#This Row],[Date]]</f>
        <v>46048</v>
      </c>
      <c r="E409" s="230" t="str">
        <f>Table3.110[[#This Row],[Requisitioner]]</f>
        <v>Genbank</v>
      </c>
      <c r="F409" s="230" t="str">
        <f>Table3.110[[#This Row],[Gene Bank ID]]</f>
        <v>CIAT4069</v>
      </c>
      <c r="G409" s="230" t="str">
        <f>Table3.110[[#This Row],[Genus]]</f>
        <v>Macroptilium</v>
      </c>
      <c r="H409" s="230" t="str">
        <f>Table3.110[[#This Row],[Species]]</f>
        <v>atropurpureum</v>
      </c>
      <c r="I409" s="230" t="str">
        <f>Table3.110[[#This Row],[Tax Name]]</f>
        <v>Macroptilium atropurpureum</v>
      </c>
      <c r="J409" s="230" t="str">
        <f>Table3.110[[#This Row],[Family]]</f>
        <v>Fabaceae</v>
      </c>
      <c r="K409" s="230" t="str">
        <f>Table3.110[[#This Row],[Order]]</f>
        <v>Fabales</v>
      </c>
      <c r="L409" s="230" t="str">
        <f>Table3.110[[#This Row],[Functional Group]]</f>
        <v>Herbaceous</v>
      </c>
      <c r="M409" s="230" t="str">
        <f>Table3.110[[#This Row],[CIAT ID]]</f>
        <v>F252582</v>
      </c>
      <c r="N409" s="230">
        <f>Table3.110[[#This Row],[Set CIAT]]</f>
        <v>28</v>
      </c>
      <c r="O409" s="230">
        <f>Table3.110[[#This Row],[Batch]]</f>
        <v>60</v>
      </c>
      <c r="P409" s="230">
        <f>Table3.110[[#This Row],[Run]]</f>
        <v>1</v>
      </c>
      <c r="Q409" s="230">
        <f>Table3.110[[#This Row],[Replication]]</f>
        <v>2</v>
      </c>
      <c r="R409" s="230">
        <f>Table3.110[[#This Row],[Syrange No]]</f>
        <v>57</v>
      </c>
      <c r="S409" s="98">
        <v>0.56410000000000005</v>
      </c>
      <c r="T409" s="98">
        <v>0.83730000000000004</v>
      </c>
      <c r="U409" s="108"/>
      <c r="V409" s="122">
        <f t="shared" si="31"/>
        <v>0.2732</v>
      </c>
      <c r="W409" s="61">
        <f>Table3.110[[#This Row],[DM Incubated, mg]]-('3.2 Digest'!V409*1000)</f>
        <v>188.50005843724324</v>
      </c>
      <c r="X409" s="61">
        <f>W409/Table3.110[[#This Row],[DM Incubated, mg]]*100</f>
        <v>40.827384574148844</v>
      </c>
      <c r="Y409" s="37">
        <f>Table3.1[[#This Row],[DM Incubated, mg]]*'2.4 NDF'!R151/100</f>
        <v>238.73345147656332</v>
      </c>
      <c r="Z409" s="37">
        <f t="shared" ref="Z409:Z469" si="32">Y409-(V409*1000)</f>
        <v>-34.466548523436671</v>
      </c>
      <c r="AA409" s="37">
        <f t="shared" ref="AA409:AA469" si="33">Z409/Y409*100</f>
        <v>-14.437251382351954</v>
      </c>
      <c r="AB409" s="57"/>
    </row>
    <row r="410" spans="2:28" x14ac:dyDescent="0.35">
      <c r="B410" s="230">
        <f t="shared" si="28"/>
        <v>400</v>
      </c>
      <c r="C410" s="246" t="s">
        <v>690</v>
      </c>
      <c r="D410" s="248">
        <f>Table3.110[[#This Row],[Date]]</f>
        <v>46048</v>
      </c>
      <c r="E410" s="230" t="str">
        <f>Table3.110[[#This Row],[Requisitioner]]</f>
        <v>Genbank</v>
      </c>
      <c r="F410" s="230" t="str">
        <f>Table3.110[[#This Row],[Gene Bank ID]]</f>
        <v>CIAT4069</v>
      </c>
      <c r="G410" s="230" t="str">
        <f>Table3.110[[#This Row],[Genus]]</f>
        <v>Macroptilium</v>
      </c>
      <c r="H410" s="230" t="str">
        <f>Table3.110[[#This Row],[Species]]</f>
        <v>atropurpureum</v>
      </c>
      <c r="I410" s="230" t="str">
        <f>Table3.110[[#This Row],[Tax Name]]</f>
        <v>Macroptilium atropurpureum</v>
      </c>
      <c r="J410" s="230" t="str">
        <f>Table3.110[[#This Row],[Family]]</f>
        <v>Fabaceae</v>
      </c>
      <c r="K410" s="230" t="str">
        <f>Table3.110[[#This Row],[Order]]</f>
        <v>Fabales</v>
      </c>
      <c r="L410" s="230" t="str">
        <f>Table3.110[[#This Row],[Functional Group]]</f>
        <v>Herbaceous</v>
      </c>
      <c r="M410" s="230" t="str">
        <f>Table3.110[[#This Row],[CIAT ID]]</f>
        <v>F252582</v>
      </c>
      <c r="N410" s="230">
        <f>Table3.110[[#This Row],[Set CIAT]]</f>
        <v>28</v>
      </c>
      <c r="O410" s="230">
        <f>Table3.110[[#This Row],[Batch]]</f>
        <v>60</v>
      </c>
      <c r="P410" s="230">
        <f>Table3.110[[#This Row],[Run]]</f>
        <v>1</v>
      </c>
      <c r="Q410" s="230">
        <f>Table3.110[[#This Row],[Replication]]</f>
        <v>3</v>
      </c>
      <c r="R410" s="230">
        <f>Table3.110[[#This Row],[Syrange No]]</f>
        <v>58</v>
      </c>
      <c r="S410" s="250">
        <v>0.56030000000000002</v>
      </c>
      <c r="T410" s="250">
        <v>0.88560000000000005</v>
      </c>
      <c r="U410" s="108"/>
      <c r="V410" s="122">
        <f t="shared" si="31"/>
        <v>0.32530000000000003</v>
      </c>
      <c r="W410" s="61">
        <f>Table3.110[[#This Row],[DM Incubated, mg]]-('3.2 Digest'!V410*1000)</f>
        <v>136.21545225634065</v>
      </c>
      <c r="X410" s="61">
        <f>W410/Table3.110[[#This Row],[DM Incubated, mg]]*100</f>
        <v>29.514819404287717</v>
      </c>
      <c r="Y410" s="37">
        <f>Table3.1[[#This Row],[DM Incubated, mg]]*'2.4 NDF'!R151/100</f>
        <v>238.6379962780521</v>
      </c>
      <c r="Z410" s="37">
        <f t="shared" si="32"/>
        <v>-86.662003721947912</v>
      </c>
      <c r="AA410" s="37">
        <f t="shared" si="33"/>
        <v>-36.315257869066492</v>
      </c>
      <c r="AB410" s="57"/>
    </row>
    <row r="411" spans="2:28" x14ac:dyDescent="0.35">
      <c r="B411" s="230">
        <f t="shared" si="28"/>
        <v>401</v>
      </c>
      <c r="C411" s="246" t="s">
        <v>690</v>
      </c>
      <c r="D411" s="248">
        <f>Table3.110[[#This Row],[Date]]</f>
        <v>46048</v>
      </c>
      <c r="E411" s="230" t="str">
        <f>Table3.110[[#This Row],[Requisitioner]]</f>
        <v>Genbank</v>
      </c>
      <c r="F411" s="230" t="str">
        <f>Table3.110[[#This Row],[Gene Bank ID]]</f>
        <v>CIAT4141</v>
      </c>
      <c r="G411" s="230" t="str">
        <f>Table3.110[[#This Row],[Genus]]</f>
        <v>Vigna</v>
      </c>
      <c r="H411" s="230" t="str">
        <f>Table3.110[[#This Row],[Species]]</f>
        <v>radiata</v>
      </c>
      <c r="I411" s="230" t="str">
        <f>Table3.110[[#This Row],[Tax Name]]</f>
        <v>Vigna radiata</v>
      </c>
      <c r="J411" s="230" t="str">
        <f>Table3.110[[#This Row],[Family]]</f>
        <v>Fabaceae</v>
      </c>
      <c r="K411" s="230" t="str">
        <f>Table3.110[[#This Row],[Order]]</f>
        <v>Fabales</v>
      </c>
      <c r="L411" s="230" t="str">
        <f>Table3.110[[#This Row],[Functional Group]]</f>
        <v>Herbaceous</v>
      </c>
      <c r="M411" s="230" t="str">
        <f>Table3.110[[#This Row],[CIAT ID]]</f>
        <v>F252583</v>
      </c>
      <c r="N411" s="230">
        <f>Table3.110[[#This Row],[Set CIAT]]</f>
        <v>28</v>
      </c>
      <c r="O411" s="230">
        <f>Table3.110[[#This Row],[Batch]]</f>
        <v>60</v>
      </c>
      <c r="P411" s="230">
        <f>Table3.110[[#This Row],[Run]]</f>
        <v>1</v>
      </c>
      <c r="Q411" s="230">
        <f>Table3.110[[#This Row],[Replication]]</f>
        <v>1</v>
      </c>
      <c r="R411" s="230">
        <f>Table3.110[[#This Row],[Syrange No]]</f>
        <v>59</v>
      </c>
      <c r="S411" s="98">
        <v>0.59740000000000004</v>
      </c>
      <c r="T411" s="98">
        <v>0.82789999999999997</v>
      </c>
      <c r="U411" s="241"/>
      <c r="V411" s="122">
        <f t="shared" si="31"/>
        <v>0.23049999999999993</v>
      </c>
      <c r="W411" s="61">
        <f>Table3.110[[#This Row],[DM Incubated, mg]]-('3.2 Digest'!V411*1000)</f>
        <v>224.47732179964029</v>
      </c>
      <c r="X411" s="61">
        <f>W411/Table3.110[[#This Row],[DM Incubated, mg]]*100</f>
        <v>49.338134241885157</v>
      </c>
      <c r="Y411" s="37">
        <f>Table3.1[[#This Row],[DM Incubated, mg]]*'2.4 NDF'!R153/100</f>
        <v>223.59743736571215</v>
      </c>
      <c r="Z411" s="37">
        <f t="shared" si="32"/>
        <v>-6.9025626342877615</v>
      </c>
      <c r="AA411" s="37">
        <f t="shared" si="33"/>
        <v>-3.0870490805304032</v>
      </c>
      <c r="AB411" s="57"/>
    </row>
    <row r="412" spans="2:28" x14ac:dyDescent="0.35">
      <c r="B412" s="230">
        <f t="shared" si="28"/>
        <v>402</v>
      </c>
      <c r="C412" s="246" t="s">
        <v>690</v>
      </c>
      <c r="D412" s="248">
        <f>Table3.110[[#This Row],[Date]]</f>
        <v>46048</v>
      </c>
      <c r="E412" s="230" t="str">
        <f>Table3.110[[#This Row],[Requisitioner]]</f>
        <v>Genbank</v>
      </c>
      <c r="F412" s="230" t="str">
        <f>Table3.110[[#This Row],[Gene Bank ID]]</f>
        <v>CIAT4141</v>
      </c>
      <c r="G412" s="230" t="str">
        <f>Table3.110[[#This Row],[Genus]]</f>
        <v>Vigna</v>
      </c>
      <c r="H412" s="230" t="str">
        <f>Table3.110[[#This Row],[Species]]</f>
        <v>radiata</v>
      </c>
      <c r="I412" s="230" t="str">
        <f>Table3.110[[#This Row],[Tax Name]]</f>
        <v>Vigna radiata</v>
      </c>
      <c r="J412" s="230" t="str">
        <f>Table3.110[[#This Row],[Family]]</f>
        <v>Fabaceae</v>
      </c>
      <c r="K412" s="230" t="str">
        <f>Table3.110[[#This Row],[Order]]</f>
        <v>Fabales</v>
      </c>
      <c r="L412" s="230" t="str">
        <f>Table3.110[[#This Row],[Functional Group]]</f>
        <v>Herbaceous</v>
      </c>
      <c r="M412" s="230" t="str">
        <f>Table3.110[[#This Row],[CIAT ID]]</f>
        <v>F252583</v>
      </c>
      <c r="N412" s="230">
        <f>Table3.110[[#This Row],[Set CIAT]]</f>
        <v>28</v>
      </c>
      <c r="O412" s="230">
        <f>Table3.110[[#This Row],[Batch]]</f>
        <v>60</v>
      </c>
      <c r="P412" s="230">
        <f>Table3.110[[#This Row],[Run]]</f>
        <v>1</v>
      </c>
      <c r="Q412" s="230">
        <f>Table3.110[[#This Row],[Replication]]</f>
        <v>2</v>
      </c>
      <c r="R412" s="230">
        <f>Table3.110[[#This Row],[Syrange No]]</f>
        <v>60</v>
      </c>
      <c r="S412" s="250">
        <v>0.61009999999999998</v>
      </c>
      <c r="T412" s="250">
        <v>0.82909999999999995</v>
      </c>
      <c r="U412" s="241"/>
      <c r="V412" s="122">
        <f t="shared" si="31"/>
        <v>0.21899999999999997</v>
      </c>
      <c r="W412" s="61">
        <f>Table3.110[[#This Row],[DM Incubated, mg]]-('3.2 Digest'!V412*1000)</f>
        <v>235.97732179964024</v>
      </c>
      <c r="X412" s="61">
        <f>W412/Table3.110[[#This Row],[DM Incubated, mg]]*100</f>
        <v>51.865732750424499</v>
      </c>
      <c r="Y412" s="37">
        <f>Table3.1[[#This Row],[DM Incubated, mg]]*'2.4 NDF'!R153/100</f>
        <v>223.59743736571215</v>
      </c>
      <c r="Z412" s="37">
        <f t="shared" si="32"/>
        <v>4.5974373657121816</v>
      </c>
      <c r="AA412" s="37">
        <f t="shared" si="33"/>
        <v>2.0561225655697886</v>
      </c>
      <c r="AB412" s="57"/>
    </row>
    <row r="413" spans="2:28" x14ac:dyDescent="0.35">
      <c r="B413" s="230">
        <f t="shared" si="28"/>
        <v>403</v>
      </c>
      <c r="C413" s="246" t="s">
        <v>690</v>
      </c>
      <c r="D413" s="248">
        <f>Table3.110[[#This Row],[Date]]</f>
        <v>46048</v>
      </c>
      <c r="E413" s="230" t="str">
        <f>Table3.110[[#This Row],[Requisitioner]]</f>
        <v>Genbank</v>
      </c>
      <c r="F413" s="230" t="str">
        <f>Table3.110[[#This Row],[Gene Bank ID]]</f>
        <v>CIAT4141</v>
      </c>
      <c r="G413" s="230" t="str">
        <f>Table3.110[[#This Row],[Genus]]</f>
        <v>Vigna</v>
      </c>
      <c r="H413" s="230" t="str">
        <f>Table3.110[[#This Row],[Species]]</f>
        <v>radiata</v>
      </c>
      <c r="I413" s="230" t="str">
        <f>Table3.110[[#This Row],[Tax Name]]</f>
        <v>Vigna radiata</v>
      </c>
      <c r="J413" s="230" t="str">
        <f>Table3.110[[#This Row],[Family]]</f>
        <v>Fabaceae</v>
      </c>
      <c r="K413" s="230" t="str">
        <f>Table3.110[[#This Row],[Order]]</f>
        <v>Fabales</v>
      </c>
      <c r="L413" s="230" t="str">
        <f>Table3.110[[#This Row],[Functional Group]]</f>
        <v>Herbaceous</v>
      </c>
      <c r="M413" s="230" t="str">
        <f>Table3.110[[#This Row],[CIAT ID]]</f>
        <v>F252583</v>
      </c>
      <c r="N413" s="230">
        <f>Table3.110[[#This Row],[Set CIAT]]</f>
        <v>28</v>
      </c>
      <c r="O413" s="230">
        <f>Table3.110[[#This Row],[Batch]]</f>
        <v>60</v>
      </c>
      <c r="P413" s="230">
        <f>Table3.110[[#This Row],[Run]]</f>
        <v>1</v>
      </c>
      <c r="Q413" s="230">
        <f>Table3.110[[#This Row],[Replication]]</f>
        <v>3</v>
      </c>
      <c r="R413" s="230">
        <f>Table3.110[[#This Row],[Syrange No]]</f>
        <v>61</v>
      </c>
      <c r="S413" s="98">
        <v>0.58360000000000001</v>
      </c>
      <c r="T413" s="98">
        <v>0.86599999999999999</v>
      </c>
      <c r="U413" s="241"/>
      <c r="V413" s="122">
        <f t="shared" si="31"/>
        <v>0.28239999999999998</v>
      </c>
      <c r="W413" s="61">
        <f>Table3.110[[#This Row],[DM Incubated, mg]]-('3.2 Digest'!V413*1000)</f>
        <v>172.57732179964023</v>
      </c>
      <c r="X413" s="61">
        <f>W413/Table3.110[[#This Row],[DM Incubated, mg]]*100</f>
        <v>37.930972277259713</v>
      </c>
      <c r="Y413" s="37">
        <f>Table3.1[[#This Row],[DM Incubated, mg]]*'2.4 NDF'!R153/100</f>
        <v>223.59743736571215</v>
      </c>
      <c r="Z413" s="37">
        <f t="shared" si="32"/>
        <v>-58.802562634287824</v>
      </c>
      <c r="AA413" s="37">
        <f t="shared" si="33"/>
        <v>-26.298406335539237</v>
      </c>
      <c r="AB413" s="57"/>
    </row>
    <row r="414" spans="2:28" x14ac:dyDescent="0.35">
      <c r="B414" s="230">
        <f t="shared" si="28"/>
        <v>404</v>
      </c>
      <c r="C414" s="246" t="s">
        <v>690</v>
      </c>
      <c r="D414" s="248">
        <f>Table3.110[[#This Row],[Date]]</f>
        <v>46048</v>
      </c>
      <c r="E414" s="230" t="str">
        <f>Table3.110[[#This Row],[Requisitioner]]</f>
        <v>Genbank</v>
      </c>
      <c r="F414" s="230" t="str">
        <f>Table3.110[[#This Row],[Gene Bank ID]]</f>
        <v>CIAT4532</v>
      </c>
      <c r="G414" s="230" t="str">
        <f>Table3.110[[#This Row],[Genus]]</f>
        <v>Vigna</v>
      </c>
      <c r="H414" s="230" t="str">
        <f>Table3.110[[#This Row],[Species]]</f>
        <v>unguiculata</v>
      </c>
      <c r="I414" s="230" t="str">
        <f>Table3.110[[#This Row],[Tax Name]]</f>
        <v>Vigna unguiculata</v>
      </c>
      <c r="J414" s="230" t="str">
        <f>Table3.110[[#This Row],[Family]]</f>
        <v>Fabaceae</v>
      </c>
      <c r="K414" s="230" t="str">
        <f>Table3.110[[#This Row],[Order]]</f>
        <v>Fabales</v>
      </c>
      <c r="L414" s="230" t="str">
        <f>Table3.110[[#This Row],[Functional Group]]</f>
        <v>Herbaceous</v>
      </c>
      <c r="M414" s="230" t="str">
        <f>Table3.110[[#This Row],[CIAT ID]]</f>
        <v>F252584</v>
      </c>
      <c r="N414" s="230">
        <f>Table3.110[[#This Row],[Set CIAT]]</f>
        <v>28</v>
      </c>
      <c r="O414" s="230">
        <f>Table3.110[[#This Row],[Batch]]</f>
        <v>60</v>
      </c>
      <c r="P414" s="230">
        <f>Table3.110[[#This Row],[Run]]</f>
        <v>1</v>
      </c>
      <c r="Q414" s="230">
        <f>Table3.110[[#This Row],[Replication]]</f>
        <v>1</v>
      </c>
      <c r="R414" s="230">
        <f>Table3.110[[#This Row],[Syrange No]]</f>
        <v>62</v>
      </c>
      <c r="S414" s="250">
        <v>0.59089999999999998</v>
      </c>
      <c r="T414" s="250">
        <v>0.81789999999999996</v>
      </c>
      <c r="U414" s="108"/>
      <c r="V414" s="122">
        <f t="shared" si="31"/>
        <v>0.22699999999999998</v>
      </c>
      <c r="W414" s="61">
        <f>Table3.110[[#This Row],[DM Incubated, mg]]-('3.2 Digest'!V414*1000)</f>
        <v>233.56109337514718</v>
      </c>
      <c r="X414" s="61">
        <f>W414/Table3.110[[#This Row],[DM Incubated, mg]]*100</f>
        <v>50.712293490431989</v>
      </c>
      <c r="Y414" s="37">
        <f>Table3.1[[#This Row],[DM Incubated, mg]]*'2.4 NDF'!R155/100</f>
        <v>222.52674073767255</v>
      </c>
      <c r="Z414" s="37">
        <f t="shared" si="32"/>
        <v>-4.4732592623274172</v>
      </c>
      <c r="AA414" s="37">
        <f t="shared" si="33"/>
        <v>-2.0102120075540739</v>
      </c>
      <c r="AB414" s="57"/>
    </row>
    <row r="415" spans="2:28" x14ac:dyDescent="0.35">
      <c r="B415" s="230">
        <f t="shared" si="28"/>
        <v>405</v>
      </c>
      <c r="C415" s="246" t="s">
        <v>690</v>
      </c>
      <c r="D415" s="248">
        <f>Table3.110[[#This Row],[Date]]</f>
        <v>46048</v>
      </c>
      <c r="E415" s="230" t="str">
        <f>Table3.110[[#This Row],[Requisitioner]]</f>
        <v>Genbank</v>
      </c>
      <c r="F415" s="230" t="str">
        <f>Table3.110[[#This Row],[Gene Bank ID]]</f>
        <v>CIAT4532</v>
      </c>
      <c r="G415" s="230" t="str">
        <f>Table3.110[[#This Row],[Genus]]</f>
        <v>Vigna</v>
      </c>
      <c r="H415" s="230" t="str">
        <f>Table3.110[[#This Row],[Species]]</f>
        <v>unguiculata</v>
      </c>
      <c r="I415" s="230" t="str">
        <f>Table3.110[[#This Row],[Tax Name]]</f>
        <v>Vigna unguiculata</v>
      </c>
      <c r="J415" s="230" t="str">
        <f>Table3.110[[#This Row],[Family]]</f>
        <v>Fabaceae</v>
      </c>
      <c r="K415" s="230" t="str">
        <f>Table3.110[[#This Row],[Order]]</f>
        <v>Fabales</v>
      </c>
      <c r="L415" s="230" t="str">
        <f>Table3.110[[#This Row],[Functional Group]]</f>
        <v>Herbaceous</v>
      </c>
      <c r="M415" s="230" t="str">
        <f>Table3.110[[#This Row],[CIAT ID]]</f>
        <v>F252584</v>
      </c>
      <c r="N415" s="230">
        <f>Table3.110[[#This Row],[Set CIAT]]</f>
        <v>28</v>
      </c>
      <c r="O415" s="230">
        <f>Table3.110[[#This Row],[Batch]]</f>
        <v>60</v>
      </c>
      <c r="P415" s="230">
        <f>Table3.110[[#This Row],[Run]]</f>
        <v>1</v>
      </c>
      <c r="Q415" s="230">
        <f>Table3.110[[#This Row],[Replication]]</f>
        <v>2</v>
      </c>
      <c r="R415" s="230">
        <f>Table3.110[[#This Row],[Syrange No]]</f>
        <v>63</v>
      </c>
      <c r="S415" s="98">
        <v>0.59189999999999998</v>
      </c>
      <c r="T415" s="98">
        <v>0.88980000000000004</v>
      </c>
      <c r="U415" s="108"/>
      <c r="V415" s="122">
        <f t="shared" si="31"/>
        <v>0.29790000000000005</v>
      </c>
      <c r="W415" s="61">
        <f>Table3.110[[#This Row],[DM Incubated, mg]]-('3.2 Digest'!V415*1000)</f>
        <v>162.38492242169417</v>
      </c>
      <c r="X415" s="61">
        <f>W415/Table3.110[[#This Row],[DM Incubated, mg]]*100</f>
        <v>35.279218264925859</v>
      </c>
      <c r="Y415" s="37">
        <f>Table3.1[[#This Row],[DM Incubated, mg]]*'2.4 NDF'!R155/100</f>
        <v>222.3933047548197</v>
      </c>
      <c r="Z415" s="37">
        <f t="shared" si="32"/>
        <v>-75.506695245180339</v>
      </c>
      <c r="AA415" s="37">
        <f t="shared" si="33"/>
        <v>-33.951874283456348</v>
      </c>
      <c r="AB415" s="57"/>
    </row>
    <row r="416" spans="2:28" x14ac:dyDescent="0.35">
      <c r="B416" s="230">
        <f t="shared" si="28"/>
        <v>406</v>
      </c>
      <c r="C416" s="246" t="s">
        <v>690</v>
      </c>
      <c r="D416" s="248">
        <f>Table3.110[[#This Row],[Date]]</f>
        <v>46048</v>
      </c>
      <c r="E416" s="230" t="str">
        <f>Table3.110[[#This Row],[Requisitioner]]</f>
        <v>Genbank</v>
      </c>
      <c r="F416" s="230" t="str">
        <f>Table3.110[[#This Row],[Gene Bank ID]]</f>
        <v>CIAT4532</v>
      </c>
      <c r="G416" s="230" t="str">
        <f>Table3.110[[#This Row],[Genus]]</f>
        <v>Vigna</v>
      </c>
      <c r="H416" s="230" t="str">
        <f>Table3.110[[#This Row],[Species]]</f>
        <v>unguiculata</v>
      </c>
      <c r="I416" s="230" t="str">
        <f>Table3.110[[#This Row],[Tax Name]]</f>
        <v>Vigna unguiculata</v>
      </c>
      <c r="J416" s="230" t="str">
        <f>Table3.110[[#This Row],[Family]]</f>
        <v>Fabaceae</v>
      </c>
      <c r="K416" s="230" t="str">
        <f>Table3.110[[#This Row],[Order]]</f>
        <v>Fabales</v>
      </c>
      <c r="L416" s="230" t="str">
        <f>Table3.110[[#This Row],[Functional Group]]</f>
        <v>Herbaceous</v>
      </c>
      <c r="M416" s="230" t="str">
        <f>Table3.110[[#This Row],[CIAT ID]]</f>
        <v>F252584</v>
      </c>
      <c r="N416" s="230">
        <f>Table3.110[[#This Row],[Set CIAT]]</f>
        <v>28</v>
      </c>
      <c r="O416" s="230">
        <f>Table3.110[[#This Row],[Batch]]</f>
        <v>60</v>
      </c>
      <c r="P416" s="230">
        <f>Table3.110[[#This Row],[Run]]</f>
        <v>1</v>
      </c>
      <c r="Q416" s="230">
        <f>Table3.110[[#This Row],[Replication]]</f>
        <v>3</v>
      </c>
      <c r="R416" s="230">
        <f>Table3.110[[#This Row],[Syrange No]]</f>
        <v>64</v>
      </c>
      <c r="S416" s="250">
        <v>0.58199999999999996</v>
      </c>
      <c r="T416" s="313">
        <v>0.81020000000000003</v>
      </c>
      <c r="U416" s="108"/>
      <c r="V416" s="122">
        <f t="shared" si="31"/>
        <v>0.22820000000000007</v>
      </c>
      <c r="W416" s="61">
        <f>Table3.110[[#This Row],[DM Incubated, mg]]-('3.2 Digest'!V416*1000)</f>
        <v>232.26903639066282</v>
      </c>
      <c r="X416" s="61">
        <f>W416/Table3.110[[#This Row],[DM Incubated, mg]]*100</f>
        <v>50.441836048581834</v>
      </c>
      <c r="Y416" s="37">
        <f>Table3.1[[#This Row],[DM Incubated, mg]]*'2.4 NDF'!R155/100</f>
        <v>222.48226207672164</v>
      </c>
      <c r="Z416" s="37">
        <f t="shared" si="32"/>
        <v>-5.7177379232784347</v>
      </c>
      <c r="AA416" s="37">
        <f t="shared" si="33"/>
        <v>-2.5699747341236168</v>
      </c>
      <c r="AB416" s="57"/>
    </row>
    <row r="417" spans="2:28" x14ac:dyDescent="0.35">
      <c r="B417" s="230">
        <f t="shared" si="28"/>
        <v>407</v>
      </c>
      <c r="C417" s="246" t="s">
        <v>690</v>
      </c>
      <c r="D417" s="248">
        <f>Table3.110[[#This Row],[Date]]</f>
        <v>46048</v>
      </c>
      <c r="E417" s="230" t="str">
        <f>Table3.110[[#This Row],[Requisitioner]]</f>
        <v>Genbank</v>
      </c>
      <c r="F417" s="230" t="str">
        <f>Table3.110[[#This Row],[Gene Bank ID]]</f>
        <v>CIAT4537</v>
      </c>
      <c r="G417" s="230" t="str">
        <f>Table3.110[[#This Row],[Genus]]</f>
        <v>Vigna</v>
      </c>
      <c r="H417" s="230" t="str">
        <f>Table3.110[[#This Row],[Species]]</f>
        <v>unguiculata</v>
      </c>
      <c r="I417" s="230" t="str">
        <f>Table3.110[[#This Row],[Tax Name]]</f>
        <v>Vigna unguiculata</v>
      </c>
      <c r="J417" s="230" t="str">
        <f>Table3.110[[#This Row],[Family]]</f>
        <v>Fabaceae</v>
      </c>
      <c r="K417" s="230" t="str">
        <f>Table3.110[[#This Row],[Order]]</f>
        <v>Fabales</v>
      </c>
      <c r="L417" s="230" t="str">
        <f>Table3.110[[#This Row],[Functional Group]]</f>
        <v>Herbaceous</v>
      </c>
      <c r="M417" s="230" t="str">
        <f>Table3.110[[#This Row],[CIAT ID]]</f>
        <v>F252585</v>
      </c>
      <c r="N417" s="230">
        <f>Table3.110[[#This Row],[Set CIAT]]</f>
        <v>28</v>
      </c>
      <c r="O417" s="230">
        <f>Table3.110[[#This Row],[Batch]]</f>
        <v>60</v>
      </c>
      <c r="P417" s="230">
        <f>Table3.110[[#This Row],[Run]]</f>
        <v>1</v>
      </c>
      <c r="Q417" s="230">
        <f>Table3.110[[#This Row],[Replication]]</f>
        <v>1</v>
      </c>
      <c r="R417" s="230">
        <f>Table3.110[[#This Row],[Syrange No]]</f>
        <v>65</v>
      </c>
      <c r="S417" s="98">
        <v>0.5766</v>
      </c>
      <c r="T417" s="299">
        <v>0.84030000000000005</v>
      </c>
      <c r="U417" s="108"/>
      <c r="V417" s="122">
        <f t="shared" si="31"/>
        <v>0.26370000000000005</v>
      </c>
      <c r="W417" s="61">
        <f>Table3.110[[#This Row],[DM Incubated, mg]]-('3.2 Digest'!V417*1000)</f>
        <v>197.69225154969007</v>
      </c>
      <c r="X417" s="61">
        <f>W417/Table3.110[[#This Row],[DM Incubated, mg]]*100</f>
        <v>42.846894564374665</v>
      </c>
      <c r="Y417" s="37">
        <f>Table3.1[[#This Row],[DM Incubated, mg]]*'2.4 NDF'!R157/100</f>
        <v>228.98877489609629</v>
      </c>
      <c r="Z417" s="37">
        <f t="shared" si="32"/>
        <v>-34.711225103903757</v>
      </c>
      <c r="AA417" s="37">
        <f t="shared" si="33"/>
        <v>-15.158483257379748</v>
      </c>
      <c r="AB417" s="57"/>
    </row>
    <row r="418" spans="2:28" x14ac:dyDescent="0.35">
      <c r="B418" s="230">
        <f t="shared" si="28"/>
        <v>408</v>
      </c>
      <c r="C418" s="246" t="s">
        <v>690</v>
      </c>
      <c r="D418" s="248">
        <f>Table3.110[[#This Row],[Date]]</f>
        <v>46048</v>
      </c>
      <c r="E418" s="230" t="str">
        <f>Table3.110[[#This Row],[Requisitioner]]</f>
        <v>Genbank</v>
      </c>
      <c r="F418" s="230" t="str">
        <f>Table3.110[[#This Row],[Gene Bank ID]]</f>
        <v>CIAT4537</v>
      </c>
      <c r="G418" s="230" t="str">
        <f>Table3.110[[#This Row],[Genus]]</f>
        <v>Vigna</v>
      </c>
      <c r="H418" s="230" t="str">
        <f>Table3.110[[#This Row],[Species]]</f>
        <v>unguiculata</v>
      </c>
      <c r="I418" s="230" t="str">
        <f>Table3.110[[#This Row],[Tax Name]]</f>
        <v>Vigna unguiculata</v>
      </c>
      <c r="J418" s="230" t="str">
        <f>Table3.110[[#This Row],[Family]]</f>
        <v>Fabaceae</v>
      </c>
      <c r="K418" s="230" t="str">
        <f>Table3.110[[#This Row],[Order]]</f>
        <v>Fabales</v>
      </c>
      <c r="L418" s="230" t="str">
        <f>Table3.110[[#This Row],[Functional Group]]</f>
        <v>Herbaceous</v>
      </c>
      <c r="M418" s="230" t="str">
        <f>Table3.110[[#This Row],[CIAT ID]]</f>
        <v>F252585</v>
      </c>
      <c r="N418" s="230">
        <f>Table3.110[[#This Row],[Set CIAT]]</f>
        <v>28</v>
      </c>
      <c r="O418" s="230">
        <f>Table3.110[[#This Row],[Batch]]</f>
        <v>60</v>
      </c>
      <c r="P418" s="230">
        <f>Table3.110[[#This Row],[Run]]</f>
        <v>1</v>
      </c>
      <c r="Q418" s="230">
        <f>Table3.110[[#This Row],[Replication]]</f>
        <v>2</v>
      </c>
      <c r="R418" s="230">
        <f>Table3.110[[#This Row],[Syrange No]]</f>
        <v>66</v>
      </c>
      <c r="S418" s="111">
        <v>0.57930000000000004</v>
      </c>
      <c r="T418" s="298">
        <v>0.82430000000000003</v>
      </c>
      <c r="U418" s="108"/>
      <c r="V418" s="122">
        <f t="shared" si="31"/>
        <v>0.245</v>
      </c>
      <c r="W418" s="61">
        <f>Table3.110[[#This Row],[DM Incubated, mg]]-('3.2 Digest'!V418*1000)</f>
        <v>216.39225154969012</v>
      </c>
      <c r="X418" s="61">
        <f>W418/Table3.110[[#This Row],[DM Incubated, mg]]*100</f>
        <v>46.899845158406507</v>
      </c>
      <c r="Y418" s="37">
        <f>Table3.1[[#This Row],[DM Incubated, mg]]*'2.4 NDF'!R157/100</f>
        <v>228.98877489609629</v>
      </c>
      <c r="Z418" s="37">
        <f t="shared" si="32"/>
        <v>-16.011225103903712</v>
      </c>
      <c r="AA418" s="37">
        <f t="shared" si="33"/>
        <v>-6.9921440957832148</v>
      </c>
      <c r="AB418" s="57"/>
    </row>
    <row r="419" spans="2:28" x14ac:dyDescent="0.35">
      <c r="B419" s="230">
        <f t="shared" si="28"/>
        <v>409</v>
      </c>
      <c r="C419" s="246" t="s">
        <v>690</v>
      </c>
      <c r="D419" s="248">
        <f>Table3.110[[#This Row],[Date]]</f>
        <v>46048</v>
      </c>
      <c r="E419" s="230" t="str">
        <f>Table3.110[[#This Row],[Requisitioner]]</f>
        <v>Genbank</v>
      </c>
      <c r="F419" s="230" t="str">
        <f>Table3.110[[#This Row],[Gene Bank ID]]</f>
        <v>CIAT4537</v>
      </c>
      <c r="G419" s="230" t="str">
        <f>Table3.110[[#This Row],[Genus]]</f>
        <v>Vigna</v>
      </c>
      <c r="H419" s="230" t="str">
        <f>Table3.110[[#This Row],[Species]]</f>
        <v>unguiculata</v>
      </c>
      <c r="I419" s="230" t="str">
        <f>Table3.110[[#This Row],[Tax Name]]</f>
        <v>Vigna unguiculata</v>
      </c>
      <c r="J419" s="230" t="str">
        <f>Table3.110[[#This Row],[Family]]</f>
        <v>Fabaceae</v>
      </c>
      <c r="K419" s="230" t="str">
        <f>Table3.110[[#This Row],[Order]]</f>
        <v>Fabales</v>
      </c>
      <c r="L419" s="230" t="str">
        <f>Table3.110[[#This Row],[Functional Group]]</f>
        <v>Herbaceous</v>
      </c>
      <c r="M419" s="230" t="str">
        <f>Table3.110[[#This Row],[CIAT ID]]</f>
        <v>F252585</v>
      </c>
      <c r="N419" s="230">
        <f>Table3.110[[#This Row],[Set CIAT]]</f>
        <v>28</v>
      </c>
      <c r="O419" s="230">
        <f>Table3.110[[#This Row],[Batch]]</f>
        <v>60</v>
      </c>
      <c r="P419" s="230">
        <f>Table3.110[[#This Row],[Run]]</f>
        <v>1</v>
      </c>
      <c r="Q419" s="230">
        <f>Table3.110[[#This Row],[Replication]]</f>
        <v>3</v>
      </c>
      <c r="R419" s="230">
        <f>Table3.110[[#This Row],[Syrange No]]</f>
        <v>67</v>
      </c>
      <c r="S419" s="112">
        <v>0.57020000000000004</v>
      </c>
      <c r="T419" s="299">
        <v>0.78210000000000002</v>
      </c>
      <c r="U419" s="108"/>
      <c r="V419" s="122">
        <f t="shared" si="31"/>
        <v>0.21189999999999998</v>
      </c>
      <c r="W419" s="61">
        <f>Table3.110[[#This Row],[DM Incubated, mg]]-('3.2 Digest'!V419*1000)</f>
        <v>249.40002843325004</v>
      </c>
      <c r="X419" s="61">
        <f>W419/Table3.110[[#This Row],[DM Incubated, mg]]*100</f>
        <v>54.06460287468596</v>
      </c>
      <c r="Y419" s="37">
        <f>Table3.1[[#This Row],[DM Incubated, mg]]*'2.4 NDF'!R157/100</f>
        <v>228.94300460329271</v>
      </c>
      <c r="Z419" s="37">
        <f t="shared" si="32"/>
        <v>17.043004603292729</v>
      </c>
      <c r="AA419" s="37">
        <f t="shared" si="33"/>
        <v>7.444212865479102</v>
      </c>
      <c r="AB419" s="57"/>
    </row>
    <row r="420" spans="2:28" x14ac:dyDescent="0.35">
      <c r="B420" s="230">
        <f t="shared" si="28"/>
        <v>410</v>
      </c>
      <c r="C420" s="246" t="s">
        <v>690</v>
      </c>
      <c r="D420" s="248">
        <f>Table3.110[[#This Row],[Date]]</f>
        <v>46048</v>
      </c>
      <c r="E420" s="230" t="str">
        <f>Table3.110[[#This Row],[Requisitioner]]</f>
        <v>Genbank</v>
      </c>
      <c r="F420" s="230" t="str">
        <f>Table3.110[[#This Row],[Gene Bank ID]]</f>
        <v>CIAT7289</v>
      </c>
      <c r="G420" s="230" t="str">
        <f>Table3.110[[#This Row],[Genus]]</f>
        <v>Chamaecrista</v>
      </c>
      <c r="H420" s="230" t="str">
        <f>Table3.110[[#This Row],[Species]]</f>
        <v>mimosoides</v>
      </c>
      <c r="I420" s="230" t="str">
        <f>Table3.110[[#This Row],[Tax Name]]</f>
        <v>Chamaecrista mimosoides</v>
      </c>
      <c r="J420" s="230" t="str">
        <f>Table3.110[[#This Row],[Family]]</f>
        <v>Fabaceae</v>
      </c>
      <c r="K420" s="230" t="str">
        <f>Table3.110[[#This Row],[Order]]</f>
        <v>Fabales</v>
      </c>
      <c r="L420" s="230" t="str">
        <f>Table3.110[[#This Row],[Functional Group]]</f>
        <v>Herbaceous</v>
      </c>
      <c r="M420" s="230" t="str">
        <f>Table3.110[[#This Row],[CIAT ID]]</f>
        <v>F252586</v>
      </c>
      <c r="N420" s="230">
        <f>Table3.110[[#This Row],[Set CIAT]]</f>
        <v>28</v>
      </c>
      <c r="O420" s="230">
        <f>Table3.110[[#This Row],[Batch]]</f>
        <v>60</v>
      </c>
      <c r="P420" s="230">
        <f>Table3.110[[#This Row],[Run]]</f>
        <v>1</v>
      </c>
      <c r="Q420" s="230">
        <f>Table3.110[[#This Row],[Replication]]</f>
        <v>1</v>
      </c>
      <c r="R420" s="230">
        <f>Table3.110[[#This Row],[Syrange No]]</f>
        <v>68</v>
      </c>
      <c r="S420" s="111">
        <v>0.56899999999999995</v>
      </c>
      <c r="T420" s="298">
        <v>0.95599999999999996</v>
      </c>
      <c r="U420" s="108"/>
      <c r="V420" s="122">
        <f t="shared" si="31"/>
        <v>0.38700000000000001</v>
      </c>
      <c r="W420" s="61">
        <f>Table3.110[[#This Row],[DM Incubated, mg]]-('3.2 Digest'!V420*1000)</f>
        <v>70.031478056582898</v>
      </c>
      <c r="X420" s="61">
        <f>W420/Table3.110[[#This Row],[DM Incubated, mg]]*100</f>
        <v>15.323119176467891</v>
      </c>
      <c r="Y420" s="37">
        <f>Table3.1[[#This Row],[DM Incubated, mg]]*'2.4 NDF'!R159/100</f>
        <v>262.58180921961787</v>
      </c>
      <c r="Z420" s="37">
        <f t="shared" si="32"/>
        <v>-124.41819078038213</v>
      </c>
      <c r="AA420" s="37">
        <f t="shared" si="33"/>
        <v>-47.382639014540942</v>
      </c>
      <c r="AB420" s="57"/>
    </row>
    <row r="421" spans="2:28" x14ac:dyDescent="0.35">
      <c r="B421" s="230">
        <f t="shared" si="28"/>
        <v>411</v>
      </c>
      <c r="C421" s="246" t="s">
        <v>690</v>
      </c>
      <c r="D421" s="248">
        <f>Table3.110[[#This Row],[Date]]</f>
        <v>46048</v>
      </c>
      <c r="E421" s="230" t="str">
        <f>Table3.110[[#This Row],[Requisitioner]]</f>
        <v>Genbank</v>
      </c>
      <c r="F421" s="230" t="str">
        <f>Table3.110[[#This Row],[Gene Bank ID]]</f>
        <v>CIAT7289</v>
      </c>
      <c r="G421" s="230" t="str">
        <f>Table3.110[[#This Row],[Genus]]</f>
        <v>Chamaecrista</v>
      </c>
      <c r="H421" s="230" t="str">
        <f>Table3.110[[#This Row],[Species]]</f>
        <v>mimosoides</v>
      </c>
      <c r="I421" s="230" t="str">
        <f>Table3.110[[#This Row],[Tax Name]]</f>
        <v>Chamaecrista mimosoides</v>
      </c>
      <c r="J421" s="230" t="str">
        <f>Table3.110[[#This Row],[Family]]</f>
        <v>Fabaceae</v>
      </c>
      <c r="K421" s="230" t="str">
        <f>Table3.110[[#This Row],[Order]]</f>
        <v>Fabales</v>
      </c>
      <c r="L421" s="230" t="str">
        <f>Table3.110[[#This Row],[Functional Group]]</f>
        <v>Herbaceous</v>
      </c>
      <c r="M421" s="230" t="str">
        <f>Table3.110[[#This Row],[CIAT ID]]</f>
        <v>F252586</v>
      </c>
      <c r="N421" s="230">
        <f>Table3.110[[#This Row],[Set CIAT]]</f>
        <v>28</v>
      </c>
      <c r="O421" s="230">
        <f>Table3.110[[#This Row],[Batch]]</f>
        <v>60</v>
      </c>
      <c r="P421" s="230">
        <f>Table3.110[[#This Row],[Run]]</f>
        <v>1</v>
      </c>
      <c r="Q421" s="230">
        <f>Table3.110[[#This Row],[Replication]]</f>
        <v>2</v>
      </c>
      <c r="R421" s="230">
        <f>Table3.110[[#This Row],[Syrange No]]</f>
        <v>69</v>
      </c>
      <c r="S421" s="112">
        <v>0.57779999999999998</v>
      </c>
      <c r="T421" s="299">
        <v>0.85399999999999998</v>
      </c>
      <c r="U421" s="108"/>
      <c r="V421" s="122">
        <f t="shared" si="31"/>
        <v>0.2762</v>
      </c>
      <c r="W421" s="61">
        <f>Table3.110[[#This Row],[DM Incubated, mg]]-('3.2 Digest'!V421*1000)</f>
        <v>180.83147805658291</v>
      </c>
      <c r="X421" s="61">
        <f>W421/Table3.110[[#This Row],[DM Incubated, mg]]*100</f>
        <v>39.566525882533412</v>
      </c>
      <c r="Y421" s="37">
        <f>Table3.1[[#This Row],[DM Incubated, mg]]*'2.4 NDF'!R159/100</f>
        <v>262.58180921961787</v>
      </c>
      <c r="Z421" s="37">
        <f t="shared" si="32"/>
        <v>-13.618190780382122</v>
      </c>
      <c r="AA421" s="37">
        <f t="shared" si="33"/>
        <v>-5.1862658806620363</v>
      </c>
      <c r="AB421" s="57"/>
    </row>
    <row r="422" spans="2:28" x14ac:dyDescent="0.35">
      <c r="B422" s="230">
        <f t="shared" si="28"/>
        <v>412</v>
      </c>
      <c r="C422" s="246" t="s">
        <v>690</v>
      </c>
      <c r="D422" s="248">
        <f>Table3.110[[#This Row],[Date]]</f>
        <v>46048</v>
      </c>
      <c r="E422" s="230" t="str">
        <f>Table3.110[[#This Row],[Requisitioner]]</f>
        <v>Genbank</v>
      </c>
      <c r="F422" s="230" t="str">
        <f>Table3.110[[#This Row],[Gene Bank ID]]</f>
        <v>CIAT7289</v>
      </c>
      <c r="G422" s="230" t="str">
        <f>Table3.110[[#This Row],[Genus]]</f>
        <v>Chamaecrista</v>
      </c>
      <c r="H422" s="230" t="str">
        <f>Table3.110[[#This Row],[Species]]</f>
        <v>mimosoides</v>
      </c>
      <c r="I422" s="230" t="str">
        <f>Table3.110[[#This Row],[Tax Name]]</f>
        <v>Chamaecrista mimosoides</v>
      </c>
      <c r="J422" s="230" t="str">
        <f>Table3.110[[#This Row],[Family]]</f>
        <v>Fabaceae</v>
      </c>
      <c r="K422" s="230" t="str">
        <f>Table3.110[[#This Row],[Order]]</f>
        <v>Fabales</v>
      </c>
      <c r="L422" s="230" t="str">
        <f>Table3.110[[#This Row],[Functional Group]]</f>
        <v>Herbaceous</v>
      </c>
      <c r="M422" s="230" t="str">
        <f>Table3.110[[#This Row],[CIAT ID]]</f>
        <v>F252586</v>
      </c>
      <c r="N422" s="230">
        <f>Table3.110[[#This Row],[Set CIAT]]</f>
        <v>28</v>
      </c>
      <c r="O422" s="230">
        <f>Table3.110[[#This Row],[Batch]]</f>
        <v>60</v>
      </c>
      <c r="P422" s="230">
        <f>Table3.110[[#This Row],[Run]]</f>
        <v>1</v>
      </c>
      <c r="Q422" s="230">
        <f>Table3.110[[#This Row],[Replication]]</f>
        <v>3</v>
      </c>
      <c r="R422" s="230">
        <f>Table3.110[[#This Row],[Syrange No]]</f>
        <v>70</v>
      </c>
      <c r="S422" s="111">
        <v>0.56479999999999997</v>
      </c>
      <c r="T422" s="298">
        <v>0.81850000000000001</v>
      </c>
      <c r="U422" s="108"/>
      <c r="V422" s="122">
        <f t="shared" si="31"/>
        <v>0.25370000000000004</v>
      </c>
      <c r="W422" s="61">
        <f>Table3.110[[#This Row],[DM Incubated, mg]]-('3.2 Digest'!V422*1000)</f>
        <v>203.42288435219416</v>
      </c>
      <c r="X422" s="61">
        <f>W422/Table3.110[[#This Row],[DM Incubated, mg]]*100</f>
        <v>44.500700208976035</v>
      </c>
      <c r="Y422" s="37">
        <f>Table3.1[[#This Row],[DM Incubated, mg]]*'2.4 NDF'!R159/100</f>
        <v>262.63432558146178</v>
      </c>
      <c r="Z422" s="37">
        <f t="shared" si="32"/>
        <v>8.9343255814617351</v>
      </c>
      <c r="AA422" s="37">
        <f t="shared" si="33"/>
        <v>3.4018118392108492</v>
      </c>
      <c r="AB422" s="57"/>
    </row>
    <row r="423" spans="2:28" x14ac:dyDescent="0.35">
      <c r="B423" s="230">
        <f t="shared" si="28"/>
        <v>413</v>
      </c>
      <c r="C423" s="246" t="s">
        <v>690</v>
      </c>
      <c r="D423" s="248">
        <f>Table3.110[[#This Row],[Date]]</f>
        <v>46048</v>
      </c>
      <c r="E423" s="230" t="str">
        <f>Table3.110[[#This Row],[Requisitioner]]</f>
        <v>Genbank</v>
      </c>
      <c r="F423" s="230" t="str">
        <f>Table3.110[[#This Row],[Gene Bank ID]]</f>
        <v>CIAT7826</v>
      </c>
      <c r="G423" s="230" t="str">
        <f>Table3.110[[#This Row],[Genus]]</f>
        <v>Tephrosia</v>
      </c>
      <c r="H423" s="230" t="str">
        <f>Table3.110[[#This Row],[Species]]</f>
        <v>purpurea</v>
      </c>
      <c r="I423" s="230" t="str">
        <f>Table3.110[[#This Row],[Tax Name]]</f>
        <v>Tephrosia purpurea</v>
      </c>
      <c r="J423" s="230" t="str">
        <f>Table3.110[[#This Row],[Family]]</f>
        <v>Fabaceae</v>
      </c>
      <c r="K423" s="230" t="str">
        <f>Table3.110[[#This Row],[Order]]</f>
        <v>Fabales</v>
      </c>
      <c r="L423" s="230" t="str">
        <f>Table3.110[[#This Row],[Functional Group]]</f>
        <v>Herbaceous</v>
      </c>
      <c r="M423" s="230" t="str">
        <f>Table3.110[[#This Row],[CIAT ID]]</f>
        <v>F252587</v>
      </c>
      <c r="N423" s="230">
        <f>Table3.110[[#This Row],[Set CIAT]]</f>
        <v>28</v>
      </c>
      <c r="O423" s="230">
        <f>Table3.110[[#This Row],[Batch]]</f>
        <v>60</v>
      </c>
      <c r="P423" s="230">
        <f>Table3.110[[#This Row],[Run]]</f>
        <v>1</v>
      </c>
      <c r="Q423" s="230">
        <f>Table3.110[[#This Row],[Replication]]</f>
        <v>1</v>
      </c>
      <c r="R423" s="230">
        <f>Table3.110[[#This Row],[Syrange No]]</f>
        <v>71</v>
      </c>
      <c r="S423" s="112">
        <v>0.55459999999999998</v>
      </c>
      <c r="T423" s="299">
        <v>0.82310000000000005</v>
      </c>
      <c r="U423" s="108"/>
      <c r="V423" s="122">
        <f t="shared" si="31"/>
        <v>0.26850000000000007</v>
      </c>
      <c r="W423" s="61">
        <f>Table3.110[[#This Row],[DM Incubated, mg]]-('3.2 Digest'!V423*1000)</f>
        <v>185.28425018639797</v>
      </c>
      <c r="X423" s="61">
        <f>W423/Table3.110[[#This Row],[DM Incubated, mg]]*100</f>
        <v>40.830912511901843</v>
      </c>
      <c r="Y423" s="37">
        <f>Table3.1[[#This Row],[DM Incubated, mg]]*'2.4 NDF'!R161/100</f>
        <v>243.08746805521375</v>
      </c>
      <c r="Z423" s="37">
        <f t="shared" si="32"/>
        <v>-25.412531944786309</v>
      </c>
      <c r="AA423" s="37">
        <f t="shared" si="33"/>
        <v>-10.454069125033721</v>
      </c>
      <c r="AB423" s="57"/>
    </row>
    <row r="424" spans="2:28" x14ac:dyDescent="0.35">
      <c r="B424" s="230">
        <f t="shared" si="28"/>
        <v>414</v>
      </c>
      <c r="C424" s="246" t="s">
        <v>690</v>
      </c>
      <c r="D424" s="248">
        <f>Table3.110[[#This Row],[Date]]</f>
        <v>46048</v>
      </c>
      <c r="E424" s="230" t="str">
        <f>Table3.110[[#This Row],[Requisitioner]]</f>
        <v>Genbank</v>
      </c>
      <c r="F424" s="230" t="str">
        <f>Table3.110[[#This Row],[Gene Bank ID]]</f>
        <v>CIAT7826</v>
      </c>
      <c r="G424" s="230" t="str">
        <f>Table3.110[[#This Row],[Genus]]</f>
        <v>Tephrosia</v>
      </c>
      <c r="H424" s="230" t="str">
        <f>Table3.110[[#This Row],[Species]]</f>
        <v>purpurea</v>
      </c>
      <c r="I424" s="230" t="str">
        <f>Table3.110[[#This Row],[Tax Name]]</f>
        <v>Tephrosia purpurea</v>
      </c>
      <c r="J424" s="230" t="str">
        <f>Table3.110[[#This Row],[Family]]</f>
        <v>Fabaceae</v>
      </c>
      <c r="K424" s="230" t="str">
        <f>Table3.110[[#This Row],[Order]]</f>
        <v>Fabales</v>
      </c>
      <c r="L424" s="230" t="str">
        <f>Table3.110[[#This Row],[Functional Group]]</f>
        <v>Herbaceous</v>
      </c>
      <c r="M424" s="230" t="str">
        <f>Table3.110[[#This Row],[CIAT ID]]</f>
        <v>F252587</v>
      </c>
      <c r="N424" s="230">
        <f>Table3.110[[#This Row],[Set CIAT]]</f>
        <v>28</v>
      </c>
      <c r="O424" s="230">
        <f>Table3.110[[#This Row],[Batch]]</f>
        <v>60</v>
      </c>
      <c r="P424" s="230">
        <f>Table3.110[[#This Row],[Run]]</f>
        <v>1</v>
      </c>
      <c r="Q424" s="230">
        <f>Table3.110[[#This Row],[Replication]]</f>
        <v>2</v>
      </c>
      <c r="R424" s="230">
        <f>Table3.110[[#This Row],[Syrange No]]</f>
        <v>72</v>
      </c>
      <c r="S424" s="111">
        <v>0.53659999999999997</v>
      </c>
      <c r="T424" s="298">
        <v>0.85050000000000003</v>
      </c>
      <c r="U424" s="108"/>
      <c r="V424" s="122">
        <f t="shared" si="31"/>
        <v>0.31390000000000007</v>
      </c>
      <c r="W424" s="61">
        <f>Table3.110[[#This Row],[DM Incubated, mg]]-('3.2 Digest'!V424*1000)</f>
        <v>140.24727758654706</v>
      </c>
      <c r="X424" s="61">
        <f>W424/Table3.110[[#This Row],[DM Incubated, mg]]*100</f>
        <v>30.881452891638229</v>
      </c>
      <c r="Y424" s="37">
        <f>Table3.1[[#This Row],[DM Incubated, mg]]*'2.4 NDF'!R161/100</f>
        <v>243.28193802965794</v>
      </c>
      <c r="Z424" s="37">
        <f t="shared" si="32"/>
        <v>-70.618061970342154</v>
      </c>
      <c r="AA424" s="37">
        <f t="shared" si="33"/>
        <v>-29.027252307457889</v>
      </c>
      <c r="AB424" s="57"/>
    </row>
    <row r="425" spans="2:28" x14ac:dyDescent="0.35">
      <c r="B425" s="230">
        <f t="shared" si="28"/>
        <v>415</v>
      </c>
      <c r="C425" s="246" t="s">
        <v>690</v>
      </c>
      <c r="D425" s="248">
        <f>Table3.110[[#This Row],[Date]]</f>
        <v>46048</v>
      </c>
      <c r="E425" s="230" t="str">
        <f>Table3.110[[#This Row],[Requisitioner]]</f>
        <v>Genbank</v>
      </c>
      <c r="F425" s="230" t="str">
        <f>Table3.110[[#This Row],[Gene Bank ID]]</f>
        <v>CIAT7826</v>
      </c>
      <c r="G425" s="230" t="str">
        <f>Table3.110[[#This Row],[Genus]]</f>
        <v>Tephrosia</v>
      </c>
      <c r="H425" s="230" t="str">
        <f>Table3.110[[#This Row],[Species]]</f>
        <v>purpurea</v>
      </c>
      <c r="I425" s="230" t="str">
        <f>Table3.110[[#This Row],[Tax Name]]</f>
        <v>Tephrosia purpurea</v>
      </c>
      <c r="J425" s="230" t="str">
        <f>Table3.110[[#This Row],[Family]]</f>
        <v>Fabaceae</v>
      </c>
      <c r="K425" s="230" t="str">
        <f>Table3.110[[#This Row],[Order]]</f>
        <v>Fabales</v>
      </c>
      <c r="L425" s="230" t="str">
        <f>Table3.110[[#This Row],[Functional Group]]</f>
        <v>Herbaceous</v>
      </c>
      <c r="M425" s="230" t="str">
        <f>Table3.110[[#This Row],[CIAT ID]]</f>
        <v>F252587</v>
      </c>
      <c r="N425" s="230">
        <f>Table3.110[[#This Row],[Set CIAT]]</f>
        <v>28</v>
      </c>
      <c r="O425" s="230">
        <f>Table3.110[[#This Row],[Batch]]</f>
        <v>60</v>
      </c>
      <c r="P425" s="230">
        <f>Table3.110[[#This Row],[Run]]</f>
        <v>1</v>
      </c>
      <c r="Q425" s="230">
        <f>Table3.110[[#This Row],[Replication]]</f>
        <v>3</v>
      </c>
      <c r="R425" s="230">
        <f>Table3.110[[#This Row],[Syrange No]]</f>
        <v>73</v>
      </c>
      <c r="S425" s="112">
        <v>0.54190000000000005</v>
      </c>
      <c r="T425" s="299">
        <v>0.80069999999999997</v>
      </c>
      <c r="U425" s="108"/>
      <c r="V425" s="122">
        <f t="shared" si="31"/>
        <v>0.25879999999999992</v>
      </c>
      <c r="W425" s="61">
        <f>Table3.110[[#This Row],[DM Incubated, mg]]-('3.2 Digest'!V425*1000)</f>
        <v>195.34727758654725</v>
      </c>
      <c r="X425" s="61">
        <f>W425/Table3.110[[#This Row],[DM Incubated, mg]]*100</f>
        <v>43.014080944109544</v>
      </c>
      <c r="Y425" s="37">
        <f>Table3.1[[#This Row],[DM Incubated, mg]]*'2.4 NDF'!R161/100</f>
        <v>243.28193802965794</v>
      </c>
      <c r="Z425" s="37">
        <f t="shared" si="32"/>
        <v>-15.518061970341961</v>
      </c>
      <c r="AA425" s="37">
        <f t="shared" si="33"/>
        <v>-6.3786329951260861</v>
      </c>
      <c r="AB425" s="57"/>
    </row>
    <row r="426" spans="2:28" x14ac:dyDescent="0.35">
      <c r="B426" s="230">
        <f t="shared" si="28"/>
        <v>416</v>
      </c>
      <c r="C426" s="246" t="s">
        <v>690</v>
      </c>
      <c r="D426" s="248">
        <f>Table3.110[[#This Row],[Date]]</f>
        <v>46048</v>
      </c>
      <c r="E426" s="230" t="str">
        <f>Table3.110[[#This Row],[Requisitioner]]</f>
        <v>Genbank</v>
      </c>
      <c r="F426" s="230" t="str">
        <f>Table3.110[[#This Row],[Gene Bank ID]]</f>
        <v>CIAT8014</v>
      </c>
      <c r="G426" s="230" t="str">
        <f>Table3.110[[#This Row],[Genus]]</f>
        <v>Crotalaria</v>
      </c>
      <c r="H426" s="230" t="str">
        <f>Table3.110[[#This Row],[Species]]</f>
        <v>retusa</v>
      </c>
      <c r="I426" s="230" t="str">
        <f>Table3.110[[#This Row],[Tax Name]]</f>
        <v>Crotalaria retusa</v>
      </c>
      <c r="J426" s="230" t="str">
        <f>Table3.110[[#This Row],[Family]]</f>
        <v>Fabaceae</v>
      </c>
      <c r="K426" s="230" t="str">
        <f>Table3.110[[#This Row],[Order]]</f>
        <v>Fabales</v>
      </c>
      <c r="L426" s="230" t="str">
        <f>Table3.110[[#This Row],[Functional Group]]</f>
        <v>Herbaceous</v>
      </c>
      <c r="M426" s="230" t="str">
        <f>Table3.110[[#This Row],[CIAT ID]]</f>
        <v>F252588</v>
      </c>
      <c r="N426" s="230">
        <f>Table3.110[[#This Row],[Set CIAT]]</f>
        <v>28</v>
      </c>
      <c r="O426" s="230">
        <f>Table3.110[[#This Row],[Batch]]</f>
        <v>60</v>
      </c>
      <c r="P426" s="230">
        <f>Table3.110[[#This Row],[Run]]</f>
        <v>1</v>
      </c>
      <c r="Q426" s="230">
        <f>Table3.110[[#This Row],[Replication]]</f>
        <v>1</v>
      </c>
      <c r="R426" s="230">
        <f>Table3.110[[#This Row],[Syrange No]]</f>
        <v>74</v>
      </c>
      <c r="S426" s="111">
        <v>0.53739999999999999</v>
      </c>
      <c r="T426" s="298">
        <v>0.78559999999999997</v>
      </c>
      <c r="U426" s="108"/>
      <c r="V426" s="122">
        <f t="shared" si="31"/>
        <v>0.24819999999999998</v>
      </c>
      <c r="W426" s="61">
        <f>Table3.110[[#This Row],[DM Incubated, mg]]-('3.2 Digest'!V426*1000)</f>
        <v>208.5521780423698</v>
      </c>
      <c r="X426" s="61">
        <f>W426/Table3.110[[#This Row],[DM Incubated, mg]]*100</f>
        <v>45.659810301555659</v>
      </c>
      <c r="Y426" s="37">
        <f>Table3.1[[#This Row],[DM Incubated, mg]]*'2.4 NDF'!R163/100</f>
        <v>250.65813823582639</v>
      </c>
      <c r="Z426" s="37">
        <f t="shared" si="32"/>
        <v>2.4581382358263966</v>
      </c>
      <c r="AA426" s="37">
        <f t="shared" si="33"/>
        <v>0.98067361910815343</v>
      </c>
      <c r="AB426" s="57"/>
    </row>
    <row r="427" spans="2:28" x14ac:dyDescent="0.35">
      <c r="B427" s="230">
        <f t="shared" si="28"/>
        <v>417</v>
      </c>
      <c r="C427" s="246" t="s">
        <v>690</v>
      </c>
      <c r="D427" s="248">
        <f>Table3.110[[#This Row],[Date]]</f>
        <v>46048</v>
      </c>
      <c r="E427" s="230" t="str">
        <f>Table3.110[[#This Row],[Requisitioner]]</f>
        <v>Genbank</v>
      </c>
      <c r="F427" s="230" t="str">
        <f>Table3.110[[#This Row],[Gene Bank ID]]</f>
        <v>CIAT8014</v>
      </c>
      <c r="G427" s="230" t="str">
        <f>Table3.110[[#This Row],[Genus]]</f>
        <v>Crotalaria</v>
      </c>
      <c r="H427" s="230" t="str">
        <f>Table3.110[[#This Row],[Species]]</f>
        <v>retusa</v>
      </c>
      <c r="I427" s="230" t="str">
        <f>Table3.110[[#This Row],[Tax Name]]</f>
        <v>Crotalaria retusa</v>
      </c>
      <c r="J427" s="230" t="str">
        <f>Table3.110[[#This Row],[Family]]</f>
        <v>Fabaceae</v>
      </c>
      <c r="K427" s="230" t="str">
        <f>Table3.110[[#This Row],[Order]]</f>
        <v>Fabales</v>
      </c>
      <c r="L427" s="230" t="str">
        <f>Table3.110[[#This Row],[Functional Group]]</f>
        <v>Herbaceous</v>
      </c>
      <c r="M427" s="230" t="str">
        <f>Table3.110[[#This Row],[CIAT ID]]</f>
        <v>F252588</v>
      </c>
      <c r="N427" s="230">
        <f>Table3.110[[#This Row],[Set CIAT]]</f>
        <v>28</v>
      </c>
      <c r="O427" s="230">
        <f>Table3.110[[#This Row],[Batch]]</f>
        <v>60</v>
      </c>
      <c r="P427" s="230">
        <f>Table3.110[[#This Row],[Run]]</f>
        <v>1</v>
      </c>
      <c r="Q427" s="230">
        <f>Table3.110[[#This Row],[Replication]]</f>
        <v>2</v>
      </c>
      <c r="R427" s="230">
        <f>Table3.110[[#This Row],[Syrange No]]</f>
        <v>75</v>
      </c>
      <c r="S427" s="112">
        <v>0.56520000000000004</v>
      </c>
      <c r="T427" s="299">
        <v>0.79090000000000005</v>
      </c>
      <c r="U427" s="108"/>
      <c r="V427" s="122">
        <f t="shared" si="31"/>
        <v>0.22570000000000001</v>
      </c>
      <c r="W427" s="61">
        <f>Table3.110[[#This Row],[DM Incubated, mg]]-('3.2 Digest'!V427*1000)</f>
        <v>231.14349195241422</v>
      </c>
      <c r="X427" s="61">
        <f>W427/Table3.110[[#This Row],[DM Incubated, mg]]*100</f>
        <v>50.595772080406611</v>
      </c>
      <c r="Y427" s="37">
        <f>Table3.1[[#This Row],[DM Incubated, mg]]*'2.4 NDF'!R163/100</f>
        <v>250.7082498188403</v>
      </c>
      <c r="Z427" s="37">
        <f t="shared" si="32"/>
        <v>25.008249818840284</v>
      </c>
      <c r="AA427" s="37">
        <f t="shared" si="33"/>
        <v>9.9750406446182112</v>
      </c>
      <c r="AB427" s="57"/>
    </row>
    <row r="428" spans="2:28" x14ac:dyDescent="0.35">
      <c r="B428" s="230">
        <f t="shared" si="28"/>
        <v>418</v>
      </c>
      <c r="C428" s="246" t="s">
        <v>690</v>
      </c>
      <c r="D428" s="248">
        <f>Table3.110[[#This Row],[Date]]</f>
        <v>46048</v>
      </c>
      <c r="E428" s="230" t="str">
        <f>Table3.110[[#This Row],[Requisitioner]]</f>
        <v>Genbank</v>
      </c>
      <c r="F428" s="230" t="str">
        <f>Table3.110[[#This Row],[Gene Bank ID]]</f>
        <v>CIAT8014</v>
      </c>
      <c r="G428" s="230" t="str">
        <f>Table3.110[[#This Row],[Genus]]</f>
        <v>Crotalaria</v>
      </c>
      <c r="H428" s="230" t="str">
        <f>Table3.110[[#This Row],[Species]]</f>
        <v>retusa</v>
      </c>
      <c r="I428" s="230" t="str">
        <f>Table3.110[[#This Row],[Tax Name]]</f>
        <v>Crotalaria retusa</v>
      </c>
      <c r="J428" s="230" t="str">
        <f>Table3.110[[#This Row],[Family]]</f>
        <v>Fabaceae</v>
      </c>
      <c r="K428" s="230" t="str">
        <f>Table3.110[[#This Row],[Order]]</f>
        <v>Fabales</v>
      </c>
      <c r="L428" s="230" t="str">
        <f>Table3.110[[#This Row],[Functional Group]]</f>
        <v>Herbaceous</v>
      </c>
      <c r="M428" s="230" t="str">
        <f>Table3.110[[#This Row],[CIAT ID]]</f>
        <v>F252588</v>
      </c>
      <c r="N428" s="230">
        <f>Table3.110[[#This Row],[Set CIAT]]</f>
        <v>28</v>
      </c>
      <c r="O428" s="230">
        <f>Table3.110[[#This Row],[Batch]]</f>
        <v>60</v>
      </c>
      <c r="P428" s="230">
        <f>Table3.110[[#This Row],[Run]]</f>
        <v>1</v>
      </c>
      <c r="Q428" s="230">
        <f>Table3.110[[#This Row],[Replication]]</f>
        <v>3</v>
      </c>
      <c r="R428" s="230">
        <f>Table3.110[[#This Row],[Syrange No]]</f>
        <v>76</v>
      </c>
      <c r="S428" s="111">
        <v>0.59770000000000001</v>
      </c>
      <c r="T428" s="298">
        <v>0.83120000000000005</v>
      </c>
      <c r="U428" s="108"/>
      <c r="V428" s="122">
        <f t="shared" si="31"/>
        <v>0.23350000000000004</v>
      </c>
      <c r="W428" s="61">
        <f>Table3.110[[#This Row],[DM Incubated, mg]]-('3.2 Digest'!V428*1000)</f>
        <v>223.43480586245866</v>
      </c>
      <c r="X428" s="61">
        <f>W428/Table3.110[[#This Row],[DM Incubated, mg]]*100</f>
        <v>48.898618138911147</v>
      </c>
      <c r="Y428" s="37">
        <f>Table3.1[[#This Row],[DM Incubated, mg]]*'2.4 NDF'!R163/100</f>
        <v>250.75836140185427</v>
      </c>
      <c r="Z428" s="37">
        <f t="shared" si="32"/>
        <v>17.258361401854245</v>
      </c>
      <c r="AA428" s="37">
        <f t="shared" si="33"/>
        <v>6.8824669715386904</v>
      </c>
      <c r="AB428" s="57"/>
    </row>
    <row r="429" spans="2:28" x14ac:dyDescent="0.35">
      <c r="B429" s="230">
        <f t="shared" si="28"/>
        <v>419</v>
      </c>
      <c r="C429" s="246" t="s">
        <v>690</v>
      </c>
      <c r="D429" s="248">
        <f>Table3.110[[#This Row],[Date]]</f>
        <v>46048</v>
      </c>
      <c r="E429" s="230" t="str">
        <f>Table3.110[[#This Row],[Requisitioner]]</f>
        <v>Genbank</v>
      </c>
      <c r="F429" s="230" t="str">
        <f>Table3.110[[#This Row],[Gene Bank ID]]</f>
        <v>CIAT8849</v>
      </c>
      <c r="G429" s="230" t="str">
        <f>Table3.110[[#This Row],[Genus]]</f>
        <v>Zornia</v>
      </c>
      <c r="H429" s="230" t="str">
        <f>Table3.110[[#This Row],[Species]]</f>
        <v>brasiliensis</v>
      </c>
      <c r="I429" s="230" t="str">
        <f>Table3.110[[#This Row],[Tax Name]]</f>
        <v>Zornia brasiliensis</v>
      </c>
      <c r="J429" s="230" t="str">
        <f>Table3.110[[#This Row],[Family]]</f>
        <v>Fabaceae</v>
      </c>
      <c r="K429" s="230" t="str">
        <f>Table3.110[[#This Row],[Order]]</f>
        <v>Fabales</v>
      </c>
      <c r="L429" s="230" t="str">
        <f>Table3.110[[#This Row],[Functional Group]]</f>
        <v>Herbaceous</v>
      </c>
      <c r="M429" s="230" t="str">
        <f>Table3.110[[#This Row],[CIAT ID]]</f>
        <v>F252589</v>
      </c>
      <c r="N429" s="230">
        <f>Table3.110[[#This Row],[Set CIAT]]</f>
        <v>28</v>
      </c>
      <c r="O429" s="230">
        <f>Table3.110[[#This Row],[Batch]]</f>
        <v>60</v>
      </c>
      <c r="P429" s="230">
        <f>Table3.110[[#This Row],[Run]]</f>
        <v>1</v>
      </c>
      <c r="Q429" s="230">
        <f>Table3.110[[#This Row],[Replication]]</f>
        <v>1</v>
      </c>
      <c r="R429" s="230">
        <f>Table3.110[[#This Row],[Syrange No]]</f>
        <v>77</v>
      </c>
      <c r="S429" s="112">
        <v>0.56279999999999997</v>
      </c>
      <c r="T429" s="299">
        <v>0.9</v>
      </c>
      <c r="U429" s="108"/>
      <c r="V429" s="122">
        <f t="shared" si="31"/>
        <v>0.33720000000000006</v>
      </c>
      <c r="W429" s="61">
        <f>Table3.110[[#This Row],[DM Incubated, mg]]-('3.2 Digest'!V429*1000)</f>
        <v>114.5287096890313</v>
      </c>
      <c r="X429" s="61">
        <f>W429/Table3.110[[#This Row],[DM Incubated, mg]]*100</f>
        <v>25.35342723022243</v>
      </c>
      <c r="Y429" s="37">
        <f>Table3.1[[#This Row],[DM Incubated, mg]]*'2.4 NDF'!R165/100</f>
        <v>234.69666746651322</v>
      </c>
      <c r="Z429" s="37">
        <f t="shared" si="32"/>
        <v>-102.50333253348683</v>
      </c>
      <c r="AA429" s="37">
        <f t="shared" si="33"/>
        <v>-43.674813809664393</v>
      </c>
      <c r="AB429" s="57"/>
    </row>
    <row r="430" spans="2:28" x14ac:dyDescent="0.35">
      <c r="B430" s="230">
        <f t="shared" si="28"/>
        <v>420</v>
      </c>
      <c r="C430" s="246" t="s">
        <v>690</v>
      </c>
      <c r="D430" s="248">
        <f>Table3.110[[#This Row],[Date]]</f>
        <v>46048</v>
      </c>
      <c r="E430" s="230" t="str">
        <f>Table3.110[[#This Row],[Requisitioner]]</f>
        <v>Genbank</v>
      </c>
      <c r="F430" s="230" t="str">
        <f>Table3.110[[#This Row],[Gene Bank ID]]</f>
        <v>CIAT8849</v>
      </c>
      <c r="G430" s="230" t="str">
        <f>Table3.110[[#This Row],[Genus]]</f>
        <v>Zornia</v>
      </c>
      <c r="H430" s="230" t="str">
        <f>Table3.110[[#This Row],[Species]]</f>
        <v>brasiliensis</v>
      </c>
      <c r="I430" s="230" t="str">
        <f>Table3.110[[#This Row],[Tax Name]]</f>
        <v>Zornia brasiliensis</v>
      </c>
      <c r="J430" s="230" t="str">
        <f>Table3.110[[#This Row],[Family]]</f>
        <v>Fabaceae</v>
      </c>
      <c r="K430" s="230" t="str">
        <f>Table3.110[[#This Row],[Order]]</f>
        <v>Fabales</v>
      </c>
      <c r="L430" s="230" t="str">
        <f>Table3.110[[#This Row],[Functional Group]]</f>
        <v>Herbaceous</v>
      </c>
      <c r="M430" s="230" t="str">
        <f>Table3.110[[#This Row],[CIAT ID]]</f>
        <v>F252589</v>
      </c>
      <c r="N430" s="230">
        <f>Table3.110[[#This Row],[Set CIAT]]</f>
        <v>28</v>
      </c>
      <c r="O430" s="230">
        <f>Table3.110[[#This Row],[Batch]]</f>
        <v>60</v>
      </c>
      <c r="P430" s="230">
        <f>Table3.110[[#This Row],[Run]]</f>
        <v>1</v>
      </c>
      <c r="Q430" s="230">
        <f>Table3.110[[#This Row],[Replication]]</f>
        <v>2</v>
      </c>
      <c r="R430" s="230">
        <f>Table3.110[[#This Row],[Syrange No]]</f>
        <v>78</v>
      </c>
      <c r="S430" s="111">
        <v>0.57879999999999998</v>
      </c>
      <c r="T430" s="298">
        <v>0.84109999999999996</v>
      </c>
      <c r="U430" s="108"/>
      <c r="V430" s="122">
        <f t="shared" si="31"/>
        <v>0.26229999999999998</v>
      </c>
      <c r="W430" s="61">
        <f>Table3.110[[#This Row],[DM Incubated, mg]]-('3.2 Digest'!V430*1000)</f>
        <v>189.24819871612874</v>
      </c>
      <c r="X430" s="61">
        <f>W430/Table3.110[[#This Row],[DM Incubated, mg]]*100</f>
        <v>41.910963049838657</v>
      </c>
      <c r="Y430" s="37">
        <f>Table3.1[[#This Row],[DM Incubated, mg]]*'2.4 NDF'!R165/100</f>
        <v>234.60288258440872</v>
      </c>
      <c r="Z430" s="37">
        <f t="shared" si="32"/>
        <v>-27.697117415591237</v>
      </c>
      <c r="AA430" s="37">
        <f t="shared" si="33"/>
        <v>-11.805957842664604</v>
      </c>
      <c r="AB430" s="57"/>
    </row>
    <row r="431" spans="2:28" x14ac:dyDescent="0.35">
      <c r="B431" s="230">
        <f t="shared" si="28"/>
        <v>421</v>
      </c>
      <c r="C431" s="246" t="s">
        <v>690</v>
      </c>
      <c r="D431" s="248">
        <f>Table3.110[[#This Row],[Date]]</f>
        <v>46048</v>
      </c>
      <c r="E431" s="230" t="str">
        <f>Table3.110[[#This Row],[Requisitioner]]</f>
        <v>Genbank</v>
      </c>
      <c r="F431" s="230" t="str">
        <f>Table3.110[[#This Row],[Gene Bank ID]]</f>
        <v>CIAT8849</v>
      </c>
      <c r="G431" s="230" t="str">
        <f>Table3.110[[#This Row],[Genus]]</f>
        <v>Zornia</v>
      </c>
      <c r="H431" s="230" t="str">
        <f>Table3.110[[#This Row],[Species]]</f>
        <v>brasiliensis</v>
      </c>
      <c r="I431" s="230" t="str">
        <f>Table3.110[[#This Row],[Tax Name]]</f>
        <v>Zornia brasiliensis</v>
      </c>
      <c r="J431" s="230" t="str">
        <f>Table3.110[[#This Row],[Family]]</f>
        <v>Fabaceae</v>
      </c>
      <c r="K431" s="230" t="str">
        <f>Table3.110[[#This Row],[Order]]</f>
        <v>Fabales</v>
      </c>
      <c r="L431" s="230" t="str">
        <f>Table3.110[[#This Row],[Functional Group]]</f>
        <v>Herbaceous</v>
      </c>
      <c r="M431" s="230" t="str">
        <f>Table3.110[[#This Row],[CIAT ID]]</f>
        <v>F252589</v>
      </c>
      <c r="N431" s="230">
        <f>Table3.110[[#This Row],[Set CIAT]]</f>
        <v>28</v>
      </c>
      <c r="O431" s="230">
        <f>Table3.110[[#This Row],[Batch]]</f>
        <v>60</v>
      </c>
      <c r="P431" s="230">
        <f>Table3.110[[#This Row],[Run]]</f>
        <v>1</v>
      </c>
      <c r="Q431" s="230">
        <f>Table3.110[[#This Row],[Replication]]</f>
        <v>3</v>
      </c>
      <c r="R431" s="230">
        <f>Table3.110[[#This Row],[Syrange No]]</f>
        <v>79</v>
      </c>
      <c r="S431" s="112">
        <v>0.57310000000000005</v>
      </c>
      <c r="T431" s="299">
        <v>0.86129999999999995</v>
      </c>
      <c r="U431" s="108"/>
      <c r="V431" s="122">
        <f t="shared" si="31"/>
        <v>0.2881999999999999</v>
      </c>
      <c r="W431" s="61">
        <f>Table3.110[[#This Row],[DM Incubated, mg]]-('3.2 Digest'!V431*1000)</f>
        <v>163.43845420258009</v>
      </c>
      <c r="X431" s="61">
        <f>W431/Table3.110[[#This Row],[DM Incubated, mg]]*100</f>
        <v>36.187896022084658</v>
      </c>
      <c r="Y431" s="37">
        <f>Table3.1[[#This Row],[DM Incubated, mg]]*'2.4 NDF'!R165/100</f>
        <v>234.64977502546094</v>
      </c>
      <c r="Z431" s="37">
        <f t="shared" si="32"/>
        <v>-53.550224974538935</v>
      </c>
      <c r="AA431" s="37">
        <f t="shared" si="33"/>
        <v>-22.821340855207897</v>
      </c>
      <c r="AB431" s="57"/>
    </row>
    <row r="432" spans="2:28" x14ac:dyDescent="0.35">
      <c r="B432" s="230">
        <f t="shared" si="28"/>
        <v>422</v>
      </c>
      <c r="C432" s="246" t="s">
        <v>690</v>
      </c>
      <c r="D432" s="248">
        <f>Table3.110[[#This Row],[Date]]</f>
        <v>46048</v>
      </c>
      <c r="E432" s="230" t="str">
        <f>Table3.110[[#This Row],[Requisitioner]]</f>
        <v>Genbank</v>
      </c>
      <c r="F432" s="230" t="str">
        <f>Table3.110[[#This Row],[Gene Bank ID]]</f>
        <v>CIAT9326</v>
      </c>
      <c r="G432" s="230" t="str">
        <f>Table3.110[[#This Row],[Genus]]</f>
        <v>Crotalaria</v>
      </c>
      <c r="H432" s="230" t="str">
        <f>Table3.110[[#This Row],[Species]]</f>
        <v>retusa</v>
      </c>
      <c r="I432" s="230" t="str">
        <f>Table3.110[[#This Row],[Tax Name]]</f>
        <v>Crotalaria retusa</v>
      </c>
      <c r="J432" s="230" t="str">
        <f>Table3.110[[#This Row],[Family]]</f>
        <v>Fabaceae</v>
      </c>
      <c r="K432" s="230" t="str">
        <f>Table3.110[[#This Row],[Order]]</f>
        <v>Fabales</v>
      </c>
      <c r="L432" s="230" t="str">
        <f>Table3.110[[#This Row],[Functional Group]]</f>
        <v>Herbaceous</v>
      </c>
      <c r="M432" s="230" t="str">
        <f>Table3.110[[#This Row],[CIAT ID]]</f>
        <v>F252590</v>
      </c>
      <c r="N432" s="230">
        <f>Table3.110[[#This Row],[Set CIAT]]</f>
        <v>28</v>
      </c>
      <c r="O432" s="230">
        <f>Table3.110[[#This Row],[Batch]]</f>
        <v>60</v>
      </c>
      <c r="P432" s="230">
        <f>Table3.110[[#This Row],[Run]]</f>
        <v>1</v>
      </c>
      <c r="Q432" s="230">
        <f>Table3.110[[#This Row],[Replication]]</f>
        <v>1</v>
      </c>
      <c r="R432" s="230">
        <f>Table3.110[[#This Row],[Syrange No]]</f>
        <v>80</v>
      </c>
      <c r="S432" s="111">
        <v>0.58640000000000003</v>
      </c>
      <c r="T432" s="298">
        <v>0.82469999999999999</v>
      </c>
      <c r="U432" s="108"/>
      <c r="V432" s="122">
        <f t="shared" si="31"/>
        <v>0.23829999999999996</v>
      </c>
      <c r="W432" s="61">
        <f>Table3.110[[#This Row],[DM Incubated, mg]]-('3.2 Digest'!V432*1000)</f>
        <v>222.09702029797</v>
      </c>
      <c r="X432" s="61">
        <f>W432/Table3.110[[#This Row],[DM Incubated, mg]]*100</f>
        <v>48.240325307541809</v>
      </c>
      <c r="Y432" s="37">
        <f>Table3.1[[#This Row],[DM Incubated, mg]]*'2.4 NDF'!R167/100</f>
        <v>230.16258437503762</v>
      </c>
      <c r="Z432" s="37">
        <f t="shared" si="32"/>
        <v>-8.1374156249623297</v>
      </c>
      <c r="AA432" s="37">
        <f t="shared" si="33"/>
        <v>-3.5355075835014285</v>
      </c>
      <c r="AB432" s="57"/>
    </row>
    <row r="433" spans="2:28" x14ac:dyDescent="0.35">
      <c r="B433" s="230">
        <f t="shared" si="28"/>
        <v>423</v>
      </c>
      <c r="C433" s="246" t="s">
        <v>690</v>
      </c>
      <c r="D433" s="248">
        <f>Table3.110[[#This Row],[Date]]</f>
        <v>46048</v>
      </c>
      <c r="E433" s="230" t="str">
        <f>Table3.110[[#This Row],[Requisitioner]]</f>
        <v>Genbank</v>
      </c>
      <c r="F433" s="230" t="str">
        <f>Table3.110[[#This Row],[Gene Bank ID]]</f>
        <v>CIAT9326</v>
      </c>
      <c r="G433" s="230" t="str">
        <f>Table3.110[[#This Row],[Genus]]</f>
        <v>Crotalaria</v>
      </c>
      <c r="H433" s="230" t="str">
        <f>Table3.110[[#This Row],[Species]]</f>
        <v>retusa</v>
      </c>
      <c r="I433" s="230" t="str">
        <f>Table3.110[[#This Row],[Tax Name]]</f>
        <v>Crotalaria retusa</v>
      </c>
      <c r="J433" s="230" t="str">
        <f>Table3.110[[#This Row],[Family]]</f>
        <v>Fabaceae</v>
      </c>
      <c r="K433" s="230" t="str">
        <f>Table3.110[[#This Row],[Order]]</f>
        <v>Fabales</v>
      </c>
      <c r="L433" s="230" t="str">
        <f>Table3.110[[#This Row],[Functional Group]]</f>
        <v>Herbaceous</v>
      </c>
      <c r="M433" s="230" t="str">
        <f>Table3.110[[#This Row],[CIAT ID]]</f>
        <v>F252590</v>
      </c>
      <c r="N433" s="230">
        <f>Table3.110[[#This Row],[Set CIAT]]</f>
        <v>28</v>
      </c>
      <c r="O433" s="230">
        <f>Table3.110[[#This Row],[Batch]]</f>
        <v>60</v>
      </c>
      <c r="P433" s="230">
        <f>Table3.110[[#This Row],[Run]]</f>
        <v>1</v>
      </c>
      <c r="Q433" s="230">
        <f>Table3.110[[#This Row],[Replication]]</f>
        <v>2</v>
      </c>
      <c r="R433" s="230">
        <f>Table3.110[[#This Row],[Syrange No]]</f>
        <v>81</v>
      </c>
      <c r="S433" s="98">
        <v>0.56059999999999999</v>
      </c>
      <c r="T433" s="299">
        <v>0.8135</v>
      </c>
      <c r="U433" s="108"/>
      <c r="V433" s="122">
        <f t="shared" si="31"/>
        <v>0.25290000000000001</v>
      </c>
      <c r="W433" s="61">
        <f>Table3.110[[#This Row],[DM Incubated, mg]]-('3.2 Digest'!V433*1000)</f>
        <v>207.40501449854989</v>
      </c>
      <c r="X433" s="61">
        <f>W433/Table3.110[[#This Row],[DM Incubated, mg]]*100</f>
        <v>45.058169684398102</v>
      </c>
      <c r="Y433" s="37">
        <f>Table3.1[[#This Row],[DM Incubated, mg]]*'2.4 NDF'!R167/100</f>
        <v>230.11658865473885</v>
      </c>
      <c r="Z433" s="37">
        <f t="shared" si="32"/>
        <v>-22.783411345261158</v>
      </c>
      <c r="AA433" s="37">
        <f t="shared" si="33"/>
        <v>-9.9008122267294763</v>
      </c>
      <c r="AB433" s="57"/>
    </row>
    <row r="434" spans="2:28" x14ac:dyDescent="0.35">
      <c r="B434" s="230">
        <f t="shared" si="28"/>
        <v>424</v>
      </c>
      <c r="C434" s="246" t="s">
        <v>690</v>
      </c>
      <c r="D434" s="248">
        <f>Table3.110[[#This Row],[Date]]</f>
        <v>46048</v>
      </c>
      <c r="E434" s="230" t="str">
        <f>Table3.110[[#This Row],[Requisitioner]]</f>
        <v>Genbank</v>
      </c>
      <c r="F434" s="230" t="str">
        <f>Table3.110[[#This Row],[Gene Bank ID]]</f>
        <v>CIAT9326</v>
      </c>
      <c r="G434" s="230" t="str">
        <f>Table3.110[[#This Row],[Genus]]</f>
        <v>Crotalaria</v>
      </c>
      <c r="H434" s="230" t="str">
        <f>Table3.110[[#This Row],[Species]]</f>
        <v>retusa</v>
      </c>
      <c r="I434" s="230" t="str">
        <f>Table3.110[[#This Row],[Tax Name]]</f>
        <v>Crotalaria retusa</v>
      </c>
      <c r="J434" s="230" t="str">
        <f>Table3.110[[#This Row],[Family]]</f>
        <v>Fabaceae</v>
      </c>
      <c r="K434" s="230" t="str">
        <f>Table3.110[[#This Row],[Order]]</f>
        <v>Fabales</v>
      </c>
      <c r="L434" s="230" t="str">
        <f>Table3.110[[#This Row],[Functional Group]]</f>
        <v>Herbaceous</v>
      </c>
      <c r="M434" s="230" t="str">
        <f>Table3.110[[#This Row],[CIAT ID]]</f>
        <v>F252590</v>
      </c>
      <c r="N434" s="230">
        <f>Table3.110[[#This Row],[Set CIAT]]</f>
        <v>28</v>
      </c>
      <c r="O434" s="230">
        <f>Table3.110[[#This Row],[Batch]]</f>
        <v>60</v>
      </c>
      <c r="P434" s="230">
        <f>Table3.110[[#This Row],[Run]]</f>
        <v>1</v>
      </c>
      <c r="Q434" s="230">
        <f>Table3.110[[#This Row],[Replication]]</f>
        <v>3</v>
      </c>
      <c r="R434" s="230">
        <f>Table3.110[[#This Row],[Syrange No]]</f>
        <v>82</v>
      </c>
      <c r="S434" s="250">
        <v>0.57779999999999998</v>
      </c>
      <c r="T434" s="313">
        <v>0.86060000000000003</v>
      </c>
      <c r="U434" s="108"/>
      <c r="V434" s="122">
        <f t="shared" si="31"/>
        <v>0.28280000000000005</v>
      </c>
      <c r="W434" s="61">
        <f>Table3.110[[#This Row],[DM Incubated, mg]]-('3.2 Digest'!V434*1000)</f>
        <v>177.32100289970975</v>
      </c>
      <c r="X434" s="61">
        <f>W434/Table3.110[[#This Row],[DM Incubated, mg]]*100</f>
        <v>38.537906720671799</v>
      </c>
      <c r="Y434" s="37">
        <f>Table3.1[[#This Row],[DM Incubated, mg]]*'2.4 NDF'!R167/100</f>
        <v>230.02459721414132</v>
      </c>
      <c r="Z434" s="37">
        <f t="shared" si="32"/>
        <v>-52.775402785858745</v>
      </c>
      <c r="AA434" s="37">
        <f t="shared" si="33"/>
        <v>-22.94337363265873</v>
      </c>
      <c r="AB434" s="57"/>
    </row>
    <row r="435" spans="2:28" x14ac:dyDescent="0.35">
      <c r="B435" s="230">
        <f t="shared" si="28"/>
        <v>425</v>
      </c>
      <c r="C435" s="246" t="s">
        <v>690</v>
      </c>
      <c r="D435" s="248">
        <f>Table3.110[[#This Row],[Date]]</f>
        <v>46048</v>
      </c>
      <c r="E435" s="230" t="str">
        <f>Table3.110[[#This Row],[Requisitioner]]</f>
        <v>Genbank</v>
      </c>
      <c r="F435" s="230" t="str">
        <f>Table3.110[[#This Row],[Gene Bank ID]]</f>
        <v>CIAT9337</v>
      </c>
      <c r="G435" s="230" t="str">
        <f>Table3.110[[#This Row],[Genus]]</f>
        <v>Crotalaria</v>
      </c>
      <c r="H435" s="230" t="str">
        <f>Table3.110[[#This Row],[Species]]</f>
        <v>retusa</v>
      </c>
      <c r="I435" s="230" t="str">
        <f>Table3.110[[#This Row],[Tax Name]]</f>
        <v>Crotalaria retusa</v>
      </c>
      <c r="J435" s="230" t="str">
        <f>Table3.110[[#This Row],[Family]]</f>
        <v>Fabaceae</v>
      </c>
      <c r="K435" s="230" t="str">
        <f>Table3.110[[#This Row],[Order]]</f>
        <v>Fabales</v>
      </c>
      <c r="L435" s="230" t="str">
        <f>Table3.110[[#This Row],[Functional Group]]</f>
        <v>Herbaceous</v>
      </c>
      <c r="M435" s="230" t="str">
        <f>Table3.110[[#This Row],[CIAT ID]]</f>
        <v>F252591</v>
      </c>
      <c r="N435" s="230">
        <f>Table3.110[[#This Row],[Set CIAT]]</f>
        <v>28</v>
      </c>
      <c r="O435" s="230">
        <f>Table3.110[[#This Row],[Batch]]</f>
        <v>60</v>
      </c>
      <c r="P435" s="230">
        <f>Table3.110[[#This Row],[Run]]</f>
        <v>1</v>
      </c>
      <c r="Q435" s="230">
        <f>Table3.110[[#This Row],[Replication]]</f>
        <v>1</v>
      </c>
      <c r="R435" s="230">
        <f>Table3.110[[#This Row],[Syrange No]]</f>
        <v>83</v>
      </c>
      <c r="S435" s="98">
        <v>0.55220000000000002</v>
      </c>
      <c r="T435" s="299">
        <v>0.83179999999999998</v>
      </c>
      <c r="U435" s="108"/>
      <c r="V435" s="122">
        <f t="shared" si="31"/>
        <v>0.27959999999999996</v>
      </c>
      <c r="W435" s="61">
        <f>Table3.110[[#This Row],[DM Incubated, mg]]-('3.2 Digest'!V435*1000)</f>
        <v>181.69756782549922</v>
      </c>
      <c r="X435" s="61">
        <f>W435/Table3.110[[#This Row],[DM Incubated, mg]]*100</f>
        <v>39.388364582540405</v>
      </c>
      <c r="Y435" s="37">
        <f>Table3.1[[#This Row],[DM Incubated, mg]]*'2.4 NDF'!R169/100</f>
        <v>217.37759725514132</v>
      </c>
      <c r="Z435" s="37">
        <f t="shared" si="32"/>
        <v>-62.222402744858641</v>
      </c>
      <c r="AA435" s="37">
        <f t="shared" si="33"/>
        <v>-28.624110087952946</v>
      </c>
      <c r="AB435" s="57"/>
    </row>
    <row r="436" spans="2:28" x14ac:dyDescent="0.35">
      <c r="B436" s="230">
        <f t="shared" si="28"/>
        <v>426</v>
      </c>
      <c r="C436" s="246" t="s">
        <v>690</v>
      </c>
      <c r="D436" s="248">
        <f>Table3.110[[#This Row],[Date]]</f>
        <v>46048</v>
      </c>
      <c r="E436" s="230" t="str">
        <f>Table3.110[[#This Row],[Requisitioner]]</f>
        <v>Genbank</v>
      </c>
      <c r="F436" s="230" t="str">
        <f>Table3.110[[#This Row],[Gene Bank ID]]</f>
        <v>CIAT9337</v>
      </c>
      <c r="G436" s="230" t="str">
        <f>Table3.110[[#This Row],[Genus]]</f>
        <v>Crotalaria</v>
      </c>
      <c r="H436" s="230" t="str">
        <f>Table3.110[[#This Row],[Species]]</f>
        <v>retusa</v>
      </c>
      <c r="I436" s="230" t="str">
        <f>Table3.110[[#This Row],[Tax Name]]</f>
        <v>Crotalaria retusa</v>
      </c>
      <c r="J436" s="230" t="str">
        <f>Table3.110[[#This Row],[Family]]</f>
        <v>Fabaceae</v>
      </c>
      <c r="K436" s="230" t="str">
        <f>Table3.110[[#This Row],[Order]]</f>
        <v>Fabales</v>
      </c>
      <c r="L436" s="230" t="str">
        <f>Table3.110[[#This Row],[Functional Group]]</f>
        <v>Herbaceous</v>
      </c>
      <c r="M436" s="230" t="str">
        <f>Table3.110[[#This Row],[CIAT ID]]</f>
        <v>F252591</v>
      </c>
      <c r="N436" s="230">
        <f>Table3.110[[#This Row],[Set CIAT]]</f>
        <v>28</v>
      </c>
      <c r="O436" s="230">
        <f>Table3.110[[#This Row],[Batch]]</f>
        <v>60</v>
      </c>
      <c r="P436" s="230">
        <f>Table3.110[[#This Row],[Run]]</f>
        <v>1</v>
      </c>
      <c r="Q436" s="230">
        <f>Table3.110[[#This Row],[Replication]]</f>
        <v>2</v>
      </c>
      <c r="R436" s="230">
        <f>Table3.110[[#This Row],[Syrange No]]</f>
        <v>84</v>
      </c>
      <c r="S436" s="250">
        <v>0.56920000000000004</v>
      </c>
      <c r="T436" s="313">
        <v>0.77310000000000001</v>
      </c>
      <c r="U436" s="108"/>
      <c r="V436" s="122">
        <f t="shared" si="31"/>
        <v>0.20389999999999997</v>
      </c>
      <c r="W436" s="61">
        <f>Table3.110[[#This Row],[DM Incubated, mg]]-('3.2 Digest'!V436*1000)</f>
        <v>256.93673109440482</v>
      </c>
      <c r="X436" s="61">
        <f>W436/Table3.110[[#This Row],[DM Incubated, mg]]*100</f>
        <v>55.75439494248343</v>
      </c>
      <c r="Y436" s="37">
        <f>Table3.1[[#This Row],[DM Incubated, mg]]*'2.4 NDF'!R169/100</f>
        <v>217.16043681832303</v>
      </c>
      <c r="Z436" s="37">
        <f t="shared" si="32"/>
        <v>13.260436818323058</v>
      </c>
      <c r="AA436" s="37">
        <f t="shared" si="33"/>
        <v>6.1062857547191127</v>
      </c>
      <c r="AB436" s="57"/>
    </row>
    <row r="437" spans="2:28" x14ac:dyDescent="0.35">
      <c r="B437" s="230">
        <f t="shared" si="28"/>
        <v>427</v>
      </c>
      <c r="C437" s="246" t="s">
        <v>690</v>
      </c>
      <c r="D437" s="248">
        <f>Table3.110[[#This Row],[Date]]</f>
        <v>46048</v>
      </c>
      <c r="E437" s="230" t="str">
        <f>Table3.110[[#This Row],[Requisitioner]]</f>
        <v>Genbank</v>
      </c>
      <c r="F437" s="230" t="str">
        <f>Table3.110[[#This Row],[Gene Bank ID]]</f>
        <v>CIAT9337</v>
      </c>
      <c r="G437" s="230" t="str">
        <f>Table3.110[[#This Row],[Genus]]</f>
        <v>Crotalaria</v>
      </c>
      <c r="H437" s="230" t="str">
        <f>Table3.110[[#This Row],[Species]]</f>
        <v>retusa</v>
      </c>
      <c r="I437" s="230" t="str">
        <f>Table3.110[[#This Row],[Tax Name]]</f>
        <v>Crotalaria retusa</v>
      </c>
      <c r="J437" s="230" t="str">
        <f>Table3.110[[#This Row],[Family]]</f>
        <v>Fabaceae</v>
      </c>
      <c r="K437" s="230" t="str">
        <f>Table3.110[[#This Row],[Order]]</f>
        <v>Fabales</v>
      </c>
      <c r="L437" s="230" t="str">
        <f>Table3.110[[#This Row],[Functional Group]]</f>
        <v>Herbaceous</v>
      </c>
      <c r="M437" s="230" t="str">
        <f>Table3.110[[#This Row],[CIAT ID]]</f>
        <v>F252591</v>
      </c>
      <c r="N437" s="230">
        <f>Table3.110[[#This Row],[Set CIAT]]</f>
        <v>28</v>
      </c>
      <c r="O437" s="230">
        <f>Table3.110[[#This Row],[Batch]]</f>
        <v>60</v>
      </c>
      <c r="P437" s="230">
        <f>Table3.110[[#This Row],[Run]]</f>
        <v>1</v>
      </c>
      <c r="Q437" s="230">
        <f>Table3.110[[#This Row],[Replication]]</f>
        <v>3</v>
      </c>
      <c r="R437" s="230">
        <f>Table3.110[[#This Row],[Syrange No]]</f>
        <v>85</v>
      </c>
      <c r="S437" s="98">
        <v>0.57040000000000002</v>
      </c>
      <c r="T437" s="299">
        <v>0.76970000000000005</v>
      </c>
      <c r="U437" s="108"/>
      <c r="V437" s="122">
        <f t="shared" si="31"/>
        <v>0.19930000000000003</v>
      </c>
      <c r="W437" s="61">
        <f>Table3.110[[#This Row],[DM Incubated, mg]]-('3.2 Digest'!V437*1000)</f>
        <v>261.99756782549912</v>
      </c>
      <c r="X437" s="61">
        <f>W437/Table3.110[[#This Row],[DM Incubated, mg]]*100</f>
        <v>56.795783481045412</v>
      </c>
      <c r="Y437" s="37">
        <f>Table3.1[[#This Row],[DM Incubated, mg]]*'2.4 NDF'!R169/100</f>
        <v>217.37759725514132</v>
      </c>
      <c r="Z437" s="37">
        <f t="shared" si="32"/>
        <v>18.077597255141285</v>
      </c>
      <c r="AA437" s="37">
        <f t="shared" si="33"/>
        <v>8.3162190968203475</v>
      </c>
      <c r="AB437" s="57"/>
    </row>
    <row r="438" spans="2:28" x14ac:dyDescent="0.35">
      <c r="B438" s="230">
        <f t="shared" si="28"/>
        <v>428</v>
      </c>
      <c r="C438" s="246" t="s">
        <v>690</v>
      </c>
      <c r="D438" s="248">
        <f>Table3.110[[#This Row],[Date]]</f>
        <v>46048</v>
      </c>
      <c r="E438" s="230" t="str">
        <f>Table3.110[[#This Row],[Requisitioner]]</f>
        <v>Genbank</v>
      </c>
      <c r="F438" s="230" t="str">
        <f>Table3.110[[#This Row],[Gene Bank ID]]</f>
        <v>CIAT9350</v>
      </c>
      <c r="G438" s="230" t="str">
        <f>Table3.110[[#This Row],[Genus]]</f>
        <v>Crotalaria</v>
      </c>
      <c r="H438" s="230" t="str">
        <f>Table3.110[[#This Row],[Species]]</f>
        <v>pumila</v>
      </c>
      <c r="I438" s="230" t="str">
        <f>Table3.110[[#This Row],[Tax Name]]</f>
        <v>Crotalaria pumila</v>
      </c>
      <c r="J438" s="230" t="str">
        <f>Table3.110[[#This Row],[Family]]</f>
        <v>Fabaceae</v>
      </c>
      <c r="K438" s="230" t="str">
        <f>Table3.110[[#This Row],[Order]]</f>
        <v>Fabales</v>
      </c>
      <c r="L438" s="230" t="str">
        <f>Table3.110[[#This Row],[Functional Group]]</f>
        <v>Herbaceous</v>
      </c>
      <c r="M438" s="230" t="str">
        <f>Table3.110[[#This Row],[CIAT ID]]</f>
        <v>F252592</v>
      </c>
      <c r="N438" s="230">
        <f>Table3.110[[#This Row],[Set CIAT]]</f>
        <v>28</v>
      </c>
      <c r="O438" s="230">
        <f>Table3.110[[#This Row],[Batch]]</f>
        <v>60</v>
      </c>
      <c r="P438" s="230">
        <f>Table3.110[[#This Row],[Run]]</f>
        <v>1</v>
      </c>
      <c r="Q438" s="230">
        <f>Table3.110[[#This Row],[Replication]]</f>
        <v>1</v>
      </c>
      <c r="R438" s="230">
        <f>Table3.110[[#This Row],[Syrange No]]</f>
        <v>86</v>
      </c>
      <c r="S438" s="250">
        <v>0.58679999999999999</v>
      </c>
      <c r="T438" s="313">
        <v>0.72399999999999998</v>
      </c>
      <c r="U438" s="108"/>
      <c r="V438" s="122">
        <f t="shared" si="31"/>
        <v>0.13719999999999999</v>
      </c>
      <c r="W438" s="61">
        <f>Table3.110[[#This Row],[DM Incubated, mg]]-('3.2 Digest'!V438*1000)</f>
        <v>319.03678896331121</v>
      </c>
      <c r="X438" s="61">
        <f>W438/Table3.110[[#This Row],[DM Incubated, mg]]*100</f>
        <v>69.927896364571097</v>
      </c>
      <c r="Y438" s="37">
        <f>Table3.1[[#This Row],[DM Incubated, mg]]*'2.4 NDF'!R171/100</f>
        <v>226.86284584303041</v>
      </c>
      <c r="Z438" s="37">
        <f t="shared" si="32"/>
        <v>89.662845843030425</v>
      </c>
      <c r="AA438" s="37">
        <f t="shared" si="33"/>
        <v>39.522930918828997</v>
      </c>
      <c r="AB438" s="57"/>
    </row>
    <row r="439" spans="2:28" x14ac:dyDescent="0.35">
      <c r="B439" s="230">
        <f t="shared" si="28"/>
        <v>429</v>
      </c>
      <c r="C439" s="246" t="s">
        <v>690</v>
      </c>
      <c r="D439" s="248">
        <f>Table3.110[[#This Row],[Date]]</f>
        <v>46048</v>
      </c>
      <c r="E439" s="230" t="str">
        <f>Table3.110[[#This Row],[Requisitioner]]</f>
        <v>Genbank</v>
      </c>
      <c r="F439" s="230" t="str">
        <f>Table3.110[[#This Row],[Gene Bank ID]]</f>
        <v>CIAT9350</v>
      </c>
      <c r="G439" s="230" t="str">
        <f>Table3.110[[#This Row],[Genus]]</f>
        <v>Crotalaria</v>
      </c>
      <c r="H439" s="230" t="str">
        <f>Table3.110[[#This Row],[Species]]</f>
        <v>pumila</v>
      </c>
      <c r="I439" s="230" t="str">
        <f>Table3.110[[#This Row],[Tax Name]]</f>
        <v>Crotalaria pumila</v>
      </c>
      <c r="J439" s="230" t="str">
        <f>Table3.110[[#This Row],[Family]]</f>
        <v>Fabaceae</v>
      </c>
      <c r="K439" s="230" t="str">
        <f>Table3.110[[#This Row],[Order]]</f>
        <v>Fabales</v>
      </c>
      <c r="L439" s="230" t="str">
        <f>Table3.110[[#This Row],[Functional Group]]</f>
        <v>Herbaceous</v>
      </c>
      <c r="M439" s="230" t="str">
        <f>Table3.110[[#This Row],[CIAT ID]]</f>
        <v>F252592</v>
      </c>
      <c r="N439" s="230">
        <f>Table3.110[[#This Row],[Set CIAT]]</f>
        <v>28</v>
      </c>
      <c r="O439" s="230">
        <f>Table3.110[[#This Row],[Batch]]</f>
        <v>60</v>
      </c>
      <c r="P439" s="230">
        <f>Table3.110[[#This Row],[Run]]</f>
        <v>1</v>
      </c>
      <c r="Q439" s="230">
        <f>Table3.110[[#This Row],[Replication]]</f>
        <v>2</v>
      </c>
      <c r="R439" s="230">
        <f>Table3.110[[#This Row],[Syrange No]]</f>
        <v>87</v>
      </c>
      <c r="S439" s="98">
        <v>0.57299999999999995</v>
      </c>
      <c r="T439" s="299">
        <v>0.749</v>
      </c>
      <c r="U439" s="108"/>
      <c r="V439" s="122">
        <f t="shared" si="31"/>
        <v>0.17600000000000005</v>
      </c>
      <c r="W439" s="61">
        <f>Table3.110[[#This Row],[DM Incubated, mg]]-('3.2 Digest'!V439*1000)</f>
        <v>280.41917424772583</v>
      </c>
      <c r="X439" s="61">
        <f>W439/Table3.110[[#This Row],[DM Incubated, mg]]*100</f>
        <v>61.438955694601397</v>
      </c>
      <c r="Y439" s="37">
        <f>Table3.1[[#This Row],[DM Incubated, mg]]*'2.4 NDF'!R171/100</f>
        <v>226.95353656693328</v>
      </c>
      <c r="Z439" s="37">
        <f t="shared" si="32"/>
        <v>50.953536566933224</v>
      </c>
      <c r="AA439" s="37">
        <f t="shared" si="33"/>
        <v>22.451087274379606</v>
      </c>
      <c r="AB439" s="57"/>
    </row>
    <row r="440" spans="2:28" x14ac:dyDescent="0.35">
      <c r="B440" s="230">
        <f t="shared" si="28"/>
        <v>430</v>
      </c>
      <c r="C440" s="246" t="s">
        <v>691</v>
      </c>
      <c r="D440" s="248">
        <f>Table3.110[[#This Row],[Date]]</f>
        <v>46048</v>
      </c>
      <c r="E440" s="230" t="str">
        <f>Table3.110[[#This Row],[Requisitioner]]</f>
        <v>Genbank</v>
      </c>
      <c r="F440" s="230" t="str">
        <f>Table3.110[[#This Row],[Gene Bank ID]]</f>
        <v>CIAT9350</v>
      </c>
      <c r="G440" s="230" t="str">
        <f>Table3.110[[#This Row],[Genus]]</f>
        <v>Crotalaria</v>
      </c>
      <c r="H440" s="230" t="str">
        <f>Table3.110[[#This Row],[Species]]</f>
        <v>pumila</v>
      </c>
      <c r="I440" s="230" t="str">
        <f>Table3.110[[#This Row],[Tax Name]]</f>
        <v>Crotalaria pumila</v>
      </c>
      <c r="J440" s="230" t="str">
        <f>Table3.110[[#This Row],[Family]]</f>
        <v>Fabaceae</v>
      </c>
      <c r="K440" s="230" t="str">
        <f>Table3.110[[#This Row],[Order]]</f>
        <v>Fabales</v>
      </c>
      <c r="L440" s="230" t="str">
        <f>Table3.110[[#This Row],[Functional Group]]</f>
        <v>Herbaceous</v>
      </c>
      <c r="M440" s="230" t="str">
        <f>Table3.110[[#This Row],[CIAT ID]]</f>
        <v>F252592</v>
      </c>
      <c r="N440" s="230">
        <f>Table3.110[[#This Row],[Set CIAT]]</f>
        <v>28</v>
      </c>
      <c r="O440" s="230">
        <f>Table3.110[[#This Row],[Batch]]</f>
        <v>60</v>
      </c>
      <c r="P440" s="230">
        <f>Table3.110[[#This Row],[Run]]</f>
        <v>1</v>
      </c>
      <c r="Q440" s="230">
        <f>Table3.110[[#This Row],[Replication]]</f>
        <v>3</v>
      </c>
      <c r="R440" s="230">
        <f>Table3.110[[#This Row],[Syrange No]]</f>
        <v>88</v>
      </c>
      <c r="S440" s="250">
        <v>0.57310000000000005</v>
      </c>
      <c r="T440" s="313">
        <v>0.71730000000000005</v>
      </c>
      <c r="U440" s="108"/>
      <c r="V440" s="122">
        <f t="shared" si="31"/>
        <v>0.14419999999999999</v>
      </c>
      <c r="W440" s="61">
        <f>Table3.110[[#This Row],[DM Incubated, mg]]-('3.2 Digest'!V440*1000)</f>
        <v>312.12798160551853</v>
      </c>
      <c r="X440" s="61">
        <f>W440/Table3.110[[#This Row],[DM Incubated, mg]]*100</f>
        <v>68.399921588710185</v>
      </c>
      <c r="Y440" s="37">
        <f>Table3.1[[#This Row],[DM Incubated, mg]]*'2.4 NDF'!R171/100</f>
        <v>226.90819120498185</v>
      </c>
      <c r="Z440" s="37">
        <f t="shared" si="32"/>
        <v>82.708191204981858</v>
      </c>
      <c r="AA440" s="37">
        <f t="shared" si="33"/>
        <v>36.450068534663799</v>
      </c>
      <c r="AB440" s="57"/>
    </row>
    <row r="441" spans="2:28" x14ac:dyDescent="0.35">
      <c r="B441" s="230">
        <f t="shared" si="28"/>
        <v>431</v>
      </c>
      <c r="C441" s="246" t="s">
        <v>691</v>
      </c>
      <c r="D441" s="248">
        <f>Table3.110[[#This Row],[Date]]</f>
        <v>46048</v>
      </c>
      <c r="E441" s="230" t="str">
        <f>Table3.110[[#This Row],[Requisitioner]]</f>
        <v>Genbank</v>
      </c>
      <c r="F441" s="230" t="str">
        <f>Table3.110[[#This Row],[Gene Bank ID]]</f>
        <v>CIAT9352</v>
      </c>
      <c r="G441" s="230" t="str">
        <f>Table3.110[[#This Row],[Genus]]</f>
        <v>Crotalaria</v>
      </c>
      <c r="H441" s="230" t="str">
        <f>Table3.110[[#This Row],[Species]]</f>
        <v>pumila</v>
      </c>
      <c r="I441" s="230" t="str">
        <f>Table3.110[[#This Row],[Tax Name]]</f>
        <v>Crotalaria pumila</v>
      </c>
      <c r="J441" s="230" t="str">
        <f>Table3.110[[#This Row],[Family]]</f>
        <v>Fabaceae</v>
      </c>
      <c r="K441" s="230" t="str">
        <f>Table3.110[[#This Row],[Order]]</f>
        <v>Fabales</v>
      </c>
      <c r="L441" s="230" t="str">
        <f>Table3.110[[#This Row],[Functional Group]]</f>
        <v>Herbaceous</v>
      </c>
      <c r="M441" s="230" t="str">
        <f>Table3.110[[#This Row],[CIAT ID]]</f>
        <v>F252593</v>
      </c>
      <c r="N441" s="230">
        <f>Table3.110[[#This Row],[Set CIAT]]</f>
        <v>28</v>
      </c>
      <c r="O441" s="230">
        <f>Table3.110[[#This Row],[Batch]]</f>
        <v>60</v>
      </c>
      <c r="P441" s="230">
        <f>Table3.110[[#This Row],[Run]]</f>
        <v>1</v>
      </c>
      <c r="Q441" s="230">
        <f>Table3.110[[#This Row],[Replication]]</f>
        <v>1</v>
      </c>
      <c r="R441" s="230">
        <f>Table3.110[[#This Row],[Syrange No]]</f>
        <v>89</v>
      </c>
      <c r="S441" s="98">
        <v>0.56830000000000003</v>
      </c>
      <c r="T441" s="299">
        <v>0.80530000000000002</v>
      </c>
      <c r="U441" s="108"/>
      <c r="V441" s="122">
        <f t="shared" si="31"/>
        <v>0.23699999999999999</v>
      </c>
      <c r="W441" s="61">
        <f>Table3.110[[#This Row],[DM Incubated, mg]]-('3.2 Digest'!V441*1000)</f>
        <v>230.03163583471684</v>
      </c>
      <c r="X441" s="61">
        <f>W441/Table3.110[[#This Row],[DM Incubated, mg]]*100</f>
        <v>49.253973004116872</v>
      </c>
      <c r="Y441" s="37">
        <f>Table3.1[[#This Row],[DM Incubated, mg]]*'2.4 NDF'!R173/100</f>
        <v>263.62794559244145</v>
      </c>
      <c r="Z441" s="37">
        <f t="shared" si="32"/>
        <v>26.627945592441449</v>
      </c>
      <c r="AA441" s="37">
        <f t="shared" si="33"/>
        <v>10.100577741332179</v>
      </c>
      <c r="AB441" s="57"/>
    </row>
    <row r="442" spans="2:28" x14ac:dyDescent="0.35">
      <c r="B442" s="230">
        <f t="shared" si="28"/>
        <v>432</v>
      </c>
      <c r="C442" s="246" t="s">
        <v>691</v>
      </c>
      <c r="D442" s="248">
        <f>Table3.110[[#This Row],[Date]]</f>
        <v>46048</v>
      </c>
      <c r="E442" s="230" t="str">
        <f>Table3.110[[#This Row],[Requisitioner]]</f>
        <v>Genbank</v>
      </c>
      <c r="F442" s="230" t="str">
        <f>Table3.110[[#This Row],[Gene Bank ID]]</f>
        <v>CIAT9352</v>
      </c>
      <c r="G442" s="230" t="str">
        <f>Table3.110[[#This Row],[Genus]]</f>
        <v>Crotalaria</v>
      </c>
      <c r="H442" s="230" t="str">
        <f>Table3.110[[#This Row],[Species]]</f>
        <v>pumila</v>
      </c>
      <c r="I442" s="230" t="str">
        <f>Table3.110[[#This Row],[Tax Name]]</f>
        <v>Crotalaria pumila</v>
      </c>
      <c r="J442" s="230" t="str">
        <f>Table3.110[[#This Row],[Family]]</f>
        <v>Fabaceae</v>
      </c>
      <c r="K442" s="230" t="str">
        <f>Table3.110[[#This Row],[Order]]</f>
        <v>Fabales</v>
      </c>
      <c r="L442" s="230" t="str">
        <f>Table3.110[[#This Row],[Functional Group]]</f>
        <v>Herbaceous</v>
      </c>
      <c r="M442" s="230" t="str">
        <f>Table3.110[[#This Row],[CIAT ID]]</f>
        <v>F252593</v>
      </c>
      <c r="N442" s="230">
        <f>Table3.110[[#This Row],[Set CIAT]]</f>
        <v>28</v>
      </c>
      <c r="O442" s="230">
        <f>Table3.110[[#This Row],[Batch]]</f>
        <v>60</v>
      </c>
      <c r="P442" s="230">
        <f>Table3.110[[#This Row],[Run]]</f>
        <v>1</v>
      </c>
      <c r="Q442" s="230">
        <f>Table3.110[[#This Row],[Replication]]</f>
        <v>2</v>
      </c>
      <c r="R442" s="230">
        <f>Table3.110[[#This Row],[Syrange No]]</f>
        <v>90</v>
      </c>
      <c r="S442" s="250">
        <v>0.57599999999999996</v>
      </c>
      <c r="T442" s="250">
        <v>0.79679999999999995</v>
      </c>
      <c r="U442" s="108"/>
      <c r="V442" s="122">
        <f t="shared" si="31"/>
        <v>0.2208</v>
      </c>
      <c r="W442" s="61">
        <f>Table3.110[[#This Row],[DM Incubated, mg]]-('3.2 Digest'!V442*1000)</f>
        <v>246.41844848905069</v>
      </c>
      <c r="X442" s="61">
        <f>W442/Table3.110[[#This Row],[DM Incubated, mg]]*100</f>
        <v>52.741592136601078</v>
      </c>
      <c r="Y442" s="37">
        <f>Table3.1[[#This Row],[DM Incubated, mg]]*'2.4 NDF'!R173/100</f>
        <v>263.73339677067838</v>
      </c>
      <c r="Z442" s="37">
        <f t="shared" si="32"/>
        <v>42.933396770678399</v>
      </c>
      <c r="AA442" s="37">
        <f t="shared" si="33"/>
        <v>16.279089905329613</v>
      </c>
      <c r="AB442" s="57"/>
    </row>
    <row r="443" spans="2:28" x14ac:dyDescent="0.35">
      <c r="B443" s="230">
        <f t="shared" si="28"/>
        <v>433</v>
      </c>
      <c r="C443" s="246" t="s">
        <v>691</v>
      </c>
      <c r="D443" s="248">
        <f>Table3.110[[#This Row],[Date]]</f>
        <v>46048</v>
      </c>
      <c r="E443" s="230" t="str">
        <f>Table3.110[[#This Row],[Requisitioner]]</f>
        <v>Genbank</v>
      </c>
      <c r="F443" s="230" t="str">
        <f>Table3.110[[#This Row],[Gene Bank ID]]</f>
        <v>CIAT9352</v>
      </c>
      <c r="G443" s="230" t="str">
        <f>Table3.110[[#This Row],[Genus]]</f>
        <v>Crotalaria</v>
      </c>
      <c r="H443" s="230" t="str">
        <f>Table3.110[[#This Row],[Species]]</f>
        <v>pumila</v>
      </c>
      <c r="I443" s="230" t="str">
        <f>Table3.110[[#This Row],[Tax Name]]</f>
        <v>Crotalaria pumila</v>
      </c>
      <c r="J443" s="230" t="str">
        <f>Table3.110[[#This Row],[Family]]</f>
        <v>Fabaceae</v>
      </c>
      <c r="K443" s="230" t="str">
        <f>Table3.110[[#This Row],[Order]]</f>
        <v>Fabales</v>
      </c>
      <c r="L443" s="230" t="str">
        <f>Table3.110[[#This Row],[Functional Group]]</f>
        <v>Herbaceous</v>
      </c>
      <c r="M443" s="230" t="str">
        <f>Table3.110[[#This Row],[CIAT ID]]</f>
        <v>F252593</v>
      </c>
      <c r="N443" s="230">
        <f>Table3.110[[#This Row],[Set CIAT]]</f>
        <v>28</v>
      </c>
      <c r="O443" s="230">
        <f>Table3.110[[#This Row],[Batch]]</f>
        <v>60</v>
      </c>
      <c r="P443" s="230">
        <f>Table3.110[[#This Row],[Run]]</f>
        <v>1</v>
      </c>
      <c r="Q443" s="230">
        <f>Table3.110[[#This Row],[Replication]]</f>
        <v>3</v>
      </c>
      <c r="R443" s="230">
        <f>Table3.110[[#This Row],[Syrange No]]</f>
        <v>91</v>
      </c>
      <c r="S443" s="98">
        <v>0.59970000000000001</v>
      </c>
      <c r="T443" s="98">
        <v>0.8216</v>
      </c>
      <c r="U443" s="108"/>
      <c r="V443" s="122">
        <f t="shared" si="31"/>
        <v>0.22189999999999999</v>
      </c>
      <c r="W443" s="61">
        <f>Table3.110[[#This Row],[DM Incubated, mg]]-('3.2 Digest'!V443*1000)</f>
        <v>245.3184484890507</v>
      </c>
      <c r="X443" s="61">
        <f>W443/Table3.110[[#This Row],[DM Incubated, mg]]*100</f>
        <v>52.506156227861311</v>
      </c>
      <c r="Y443" s="37">
        <f>Table3.1[[#This Row],[DM Incubated, mg]]*'2.4 NDF'!R173/100</f>
        <v>263.73339677067838</v>
      </c>
      <c r="Z443" s="37">
        <f t="shared" si="32"/>
        <v>41.833396770678405</v>
      </c>
      <c r="AA443" s="37">
        <f t="shared" si="33"/>
        <v>15.86200203801015</v>
      </c>
      <c r="AB443" s="57"/>
    </row>
    <row r="444" spans="2:28" x14ac:dyDescent="0.35">
      <c r="B444" s="230">
        <f t="shared" si="28"/>
        <v>434</v>
      </c>
      <c r="C444" s="246" t="s">
        <v>691</v>
      </c>
      <c r="D444" s="248">
        <f>Table3.110[[#This Row],[Date]]</f>
        <v>46048</v>
      </c>
      <c r="E444" s="230" t="str">
        <f>Table3.110[[#This Row],[Requisitioner]]</f>
        <v>Genbank</v>
      </c>
      <c r="F444" s="230" t="str">
        <f>Table3.110[[#This Row],[Gene Bank ID]]</f>
        <v>CIAT9472</v>
      </c>
      <c r="G444" s="230" t="str">
        <f>Table3.110[[#This Row],[Genus]]</f>
        <v>Zornia</v>
      </c>
      <c r="H444" s="230" t="str">
        <f>Table3.110[[#This Row],[Species]]</f>
        <v>brasiliensis</v>
      </c>
      <c r="I444" s="230" t="str">
        <f>Table3.110[[#This Row],[Tax Name]]</f>
        <v>Zornia brasiliensis</v>
      </c>
      <c r="J444" s="230" t="str">
        <f>Table3.110[[#This Row],[Family]]</f>
        <v>Fabaceae</v>
      </c>
      <c r="K444" s="230" t="str">
        <f>Table3.110[[#This Row],[Order]]</f>
        <v>Fabales</v>
      </c>
      <c r="L444" s="230" t="str">
        <f>Table3.110[[#This Row],[Functional Group]]</f>
        <v>Herbaceous</v>
      </c>
      <c r="M444" s="230" t="str">
        <f>Table3.110[[#This Row],[CIAT ID]]</f>
        <v>F252594</v>
      </c>
      <c r="N444" s="230">
        <f>Table3.110[[#This Row],[Set CIAT]]</f>
        <v>28</v>
      </c>
      <c r="O444" s="230">
        <f>Table3.110[[#This Row],[Batch]]</f>
        <v>60</v>
      </c>
      <c r="P444" s="230">
        <f>Table3.110[[#This Row],[Run]]</f>
        <v>1</v>
      </c>
      <c r="Q444" s="230">
        <f>Table3.110[[#This Row],[Replication]]</f>
        <v>1</v>
      </c>
      <c r="R444" s="230">
        <f>Table3.110[[#This Row],[Syrange No]]</f>
        <v>92</v>
      </c>
      <c r="S444" s="250">
        <v>0.58360000000000001</v>
      </c>
      <c r="T444" s="250">
        <v>0.84950000000000003</v>
      </c>
      <c r="U444" s="108"/>
      <c r="V444" s="122">
        <f t="shared" si="31"/>
        <v>0.26590000000000003</v>
      </c>
      <c r="W444" s="61">
        <f>Table3.110[[#This Row],[DM Incubated, mg]]-('3.2 Digest'!V444*1000)</f>
        <v>194.76510888203313</v>
      </c>
      <c r="X444" s="61">
        <f>W444/Table3.110[[#This Row],[DM Incubated, mg]]*100</f>
        <v>42.279110166320081</v>
      </c>
      <c r="Y444" s="37">
        <f>Table3.1[[#This Row],[DM Incubated, mg]]*'2.4 NDF'!R175/100</f>
        <v>227.87693603562559</v>
      </c>
      <c r="Z444" s="37">
        <f t="shared" si="32"/>
        <v>-38.023063964374444</v>
      </c>
      <c r="AA444" s="37">
        <f t="shared" si="33"/>
        <v>-16.685788665523411</v>
      </c>
      <c r="AB444" s="57"/>
    </row>
    <row r="445" spans="2:28" x14ac:dyDescent="0.35">
      <c r="B445" s="230">
        <f t="shared" si="28"/>
        <v>435</v>
      </c>
      <c r="C445" s="246" t="s">
        <v>691</v>
      </c>
      <c r="D445" s="248">
        <f>Table3.110[[#This Row],[Date]]</f>
        <v>46048</v>
      </c>
      <c r="E445" s="230" t="str">
        <f>Table3.110[[#This Row],[Requisitioner]]</f>
        <v>Genbank</v>
      </c>
      <c r="F445" s="230" t="str">
        <f>Table3.110[[#This Row],[Gene Bank ID]]</f>
        <v>CIAT9472</v>
      </c>
      <c r="G445" s="230" t="str">
        <f>Table3.110[[#This Row],[Genus]]</f>
        <v>Zornia</v>
      </c>
      <c r="H445" s="230" t="str">
        <f>Table3.110[[#This Row],[Species]]</f>
        <v>brasiliensis</v>
      </c>
      <c r="I445" s="230" t="str">
        <f>Table3.110[[#This Row],[Tax Name]]</f>
        <v>Zornia brasiliensis</v>
      </c>
      <c r="J445" s="230" t="str">
        <f>Table3.110[[#This Row],[Family]]</f>
        <v>Fabaceae</v>
      </c>
      <c r="K445" s="230" t="str">
        <f>Table3.110[[#This Row],[Order]]</f>
        <v>Fabales</v>
      </c>
      <c r="L445" s="230" t="str">
        <f>Table3.110[[#This Row],[Functional Group]]</f>
        <v>Herbaceous</v>
      </c>
      <c r="M445" s="230" t="str">
        <f>Table3.110[[#This Row],[CIAT ID]]</f>
        <v>F252594</v>
      </c>
      <c r="N445" s="230">
        <f>Table3.110[[#This Row],[Set CIAT]]</f>
        <v>28</v>
      </c>
      <c r="O445" s="230">
        <f>Table3.110[[#This Row],[Batch]]</f>
        <v>60</v>
      </c>
      <c r="P445" s="230">
        <f>Table3.110[[#This Row],[Run]]</f>
        <v>1</v>
      </c>
      <c r="Q445" s="230">
        <f>Table3.110[[#This Row],[Replication]]</f>
        <v>2</v>
      </c>
      <c r="R445" s="230">
        <f>Table3.110[[#This Row],[Syrange No]]</f>
        <v>273</v>
      </c>
      <c r="S445" s="98">
        <v>0.59230000000000005</v>
      </c>
      <c r="T445" s="98">
        <v>0.85170000000000001</v>
      </c>
      <c r="U445" s="108"/>
      <c r="V445" s="122">
        <f t="shared" si="31"/>
        <v>0.25939999999999996</v>
      </c>
      <c r="W445" s="61">
        <f>Table3.110[[#This Row],[DM Incubated, mg]]-('3.2 Digest'!V445*1000)</f>
        <v>201.44930124863942</v>
      </c>
      <c r="X445" s="61">
        <f>W445/Table3.110[[#This Row],[DM Incubated, mg]]*100</f>
        <v>43.712619440417164</v>
      </c>
      <c r="Y445" s="37">
        <f>Table3.1[[#This Row],[DM Incubated, mg]]*'2.4 NDF'!R175/100</f>
        <v>227.9680503643084</v>
      </c>
      <c r="Z445" s="37">
        <f t="shared" si="32"/>
        <v>-31.431949635691581</v>
      </c>
      <c r="AA445" s="37">
        <f t="shared" si="33"/>
        <v>-13.787874917323368</v>
      </c>
      <c r="AB445" s="57"/>
    </row>
    <row r="446" spans="2:28" x14ac:dyDescent="0.35">
      <c r="B446" s="230">
        <f t="shared" si="28"/>
        <v>436</v>
      </c>
      <c r="C446" s="246" t="s">
        <v>691</v>
      </c>
      <c r="D446" s="248">
        <f>Table3.110[[#This Row],[Date]]</f>
        <v>46048</v>
      </c>
      <c r="E446" s="230" t="str">
        <f>Table3.110[[#This Row],[Requisitioner]]</f>
        <v>Genbank</v>
      </c>
      <c r="F446" s="230" t="str">
        <f>Table3.110[[#This Row],[Gene Bank ID]]</f>
        <v>CIAT9472</v>
      </c>
      <c r="G446" s="230" t="str">
        <f>Table3.110[[#This Row],[Genus]]</f>
        <v>Zornia</v>
      </c>
      <c r="H446" s="230" t="str">
        <f>Table3.110[[#This Row],[Species]]</f>
        <v>brasiliensis</v>
      </c>
      <c r="I446" s="230" t="str">
        <f>Table3.110[[#This Row],[Tax Name]]</f>
        <v>Zornia brasiliensis</v>
      </c>
      <c r="J446" s="230" t="str">
        <f>Table3.110[[#This Row],[Family]]</f>
        <v>Fabaceae</v>
      </c>
      <c r="K446" s="230" t="str">
        <f>Table3.110[[#This Row],[Order]]</f>
        <v>Fabales</v>
      </c>
      <c r="L446" s="230" t="str">
        <f>Table3.110[[#This Row],[Functional Group]]</f>
        <v>Herbaceous</v>
      </c>
      <c r="M446" s="230" t="str">
        <f>Table3.110[[#This Row],[CIAT ID]]</f>
        <v>F252594</v>
      </c>
      <c r="N446" s="230">
        <f>Table3.110[[#This Row],[Set CIAT]]</f>
        <v>28</v>
      </c>
      <c r="O446" s="230">
        <f>Table3.110[[#This Row],[Batch]]</f>
        <v>60</v>
      </c>
      <c r="P446" s="230">
        <f>Table3.110[[#This Row],[Run]]</f>
        <v>1</v>
      </c>
      <c r="Q446" s="230">
        <f>Table3.110[[#This Row],[Replication]]</f>
        <v>3</v>
      </c>
      <c r="R446" s="230">
        <f>Table3.110[[#This Row],[Syrange No]]</f>
        <v>274</v>
      </c>
      <c r="S446" s="250">
        <v>0.5837</v>
      </c>
      <c r="T446" s="250">
        <v>0.84360000000000002</v>
      </c>
      <c r="U446" s="108"/>
      <c r="V446" s="122">
        <f t="shared" si="31"/>
        <v>0.25990000000000002</v>
      </c>
      <c r="W446" s="61">
        <f>Table3.110[[#This Row],[DM Incubated, mg]]-('3.2 Digest'!V446*1000)</f>
        <v>200.58091651542702</v>
      </c>
      <c r="X446" s="61">
        <f>W446/Table3.110[[#This Row],[DM Incubated, mg]]*100</f>
        <v>43.559007403232343</v>
      </c>
      <c r="Y446" s="37">
        <f>Table3.1[[#This Row],[DM Incubated, mg]]*'2.4 NDF'!R175/100</f>
        <v>227.78582170694284</v>
      </c>
      <c r="Z446" s="37">
        <f t="shared" si="32"/>
        <v>-32.114178293057194</v>
      </c>
      <c r="AA446" s="37">
        <f t="shared" si="33"/>
        <v>-14.098409660621281</v>
      </c>
      <c r="AB446" s="57"/>
    </row>
    <row r="447" spans="2:28" x14ac:dyDescent="0.35">
      <c r="B447" s="230">
        <f t="shared" si="28"/>
        <v>437</v>
      </c>
      <c r="C447" s="246" t="s">
        <v>691</v>
      </c>
      <c r="D447" s="248">
        <f>Table3.110[[#This Row],[Date]]</f>
        <v>46048</v>
      </c>
      <c r="E447" s="230" t="str">
        <f>Table3.110[[#This Row],[Requisitioner]]</f>
        <v>Genbank</v>
      </c>
      <c r="F447" s="230" t="str">
        <f>Table3.110[[#This Row],[Gene Bank ID]]</f>
        <v>CIAT9531</v>
      </c>
      <c r="G447" s="230" t="str">
        <f>Table3.110[[#This Row],[Genus]]</f>
        <v>Indigofera</v>
      </c>
      <c r="H447" s="230" t="str">
        <f>Table3.110[[#This Row],[Species]]</f>
        <v>spicata</v>
      </c>
      <c r="I447" s="230" t="str">
        <f>Table3.110[[#This Row],[Tax Name]]</f>
        <v>Indigofera spicata</v>
      </c>
      <c r="J447" s="230" t="str">
        <f>Table3.110[[#This Row],[Family]]</f>
        <v>Fabaceae</v>
      </c>
      <c r="K447" s="230" t="str">
        <f>Table3.110[[#This Row],[Order]]</f>
        <v>Fabales</v>
      </c>
      <c r="L447" s="230" t="str">
        <f>Table3.110[[#This Row],[Functional Group]]</f>
        <v>Herbaceous</v>
      </c>
      <c r="M447" s="230" t="str">
        <f>Table3.110[[#This Row],[CIAT ID]]</f>
        <v>F252595</v>
      </c>
      <c r="N447" s="230">
        <f>Table3.110[[#This Row],[Set CIAT]]</f>
        <v>28</v>
      </c>
      <c r="O447" s="230">
        <f>Table3.110[[#This Row],[Batch]]</f>
        <v>60</v>
      </c>
      <c r="P447" s="230">
        <f>Table3.110[[#This Row],[Run]]</f>
        <v>1</v>
      </c>
      <c r="Q447" s="230">
        <f>Table3.110[[#This Row],[Replication]]</f>
        <v>1</v>
      </c>
      <c r="R447" s="230">
        <f>Table3.110[[#This Row],[Syrange No]]</f>
        <v>275</v>
      </c>
      <c r="S447" s="98">
        <v>0.58289999999999997</v>
      </c>
      <c r="T447" s="98">
        <v>0.78859999999999997</v>
      </c>
      <c r="U447" s="108"/>
      <c r="V447" s="122">
        <f t="shared" si="31"/>
        <v>0.20569999999999999</v>
      </c>
      <c r="W447" s="61">
        <f>Table3.110[[#This Row],[DM Incubated, mg]]-('3.2 Digest'!V447*1000)</f>
        <v>252.38352488506899</v>
      </c>
      <c r="X447" s="61">
        <f>W447/Table3.110[[#This Row],[DM Incubated, mg]]*100</f>
        <v>55.095525417202204</v>
      </c>
      <c r="Y447" s="37">
        <f>Table3.1[[#This Row],[DM Incubated, mg]]*'2.4 NDF'!R177/100</f>
        <v>195.46963744457952</v>
      </c>
      <c r="Z447" s="37">
        <f t="shared" si="32"/>
        <v>-10.23036255542047</v>
      </c>
      <c r="AA447" s="37">
        <f t="shared" si="33"/>
        <v>-5.2337348598812596</v>
      </c>
      <c r="AB447" s="57"/>
    </row>
    <row r="448" spans="2:28" x14ac:dyDescent="0.35">
      <c r="B448" s="230">
        <f t="shared" si="28"/>
        <v>438</v>
      </c>
      <c r="C448" s="246" t="s">
        <v>691</v>
      </c>
      <c r="D448" s="248">
        <f>Table3.110[[#This Row],[Date]]</f>
        <v>46048</v>
      </c>
      <c r="E448" s="230" t="str">
        <f>Table3.110[[#This Row],[Requisitioner]]</f>
        <v>Genbank</v>
      </c>
      <c r="F448" s="230" t="str">
        <f>Table3.110[[#This Row],[Gene Bank ID]]</f>
        <v>CIAT9531</v>
      </c>
      <c r="G448" s="230" t="str">
        <f>Table3.110[[#This Row],[Genus]]</f>
        <v>Indigofera</v>
      </c>
      <c r="H448" s="230" t="str">
        <f>Table3.110[[#This Row],[Species]]</f>
        <v>spicata</v>
      </c>
      <c r="I448" s="230" t="str">
        <f>Table3.110[[#This Row],[Tax Name]]</f>
        <v>Indigofera spicata</v>
      </c>
      <c r="J448" s="230" t="str">
        <f>Table3.110[[#This Row],[Family]]</f>
        <v>Fabaceae</v>
      </c>
      <c r="K448" s="230" t="str">
        <f>Table3.110[[#This Row],[Order]]</f>
        <v>Fabales</v>
      </c>
      <c r="L448" s="230" t="str">
        <f>Table3.110[[#This Row],[Functional Group]]</f>
        <v>Herbaceous</v>
      </c>
      <c r="M448" s="230" t="str">
        <f>Table3.110[[#This Row],[CIAT ID]]</f>
        <v>F252595</v>
      </c>
      <c r="N448" s="230">
        <f>Table3.110[[#This Row],[Set CIAT]]</f>
        <v>28</v>
      </c>
      <c r="O448" s="230">
        <f>Table3.110[[#This Row],[Batch]]</f>
        <v>60</v>
      </c>
      <c r="P448" s="230">
        <f>Table3.110[[#This Row],[Run]]</f>
        <v>1</v>
      </c>
      <c r="Q448" s="230">
        <f>Table3.110[[#This Row],[Replication]]</f>
        <v>2</v>
      </c>
      <c r="R448" s="230">
        <f>Table3.110[[#This Row],[Syrange No]]</f>
        <v>1</v>
      </c>
      <c r="S448" s="250">
        <v>0.58130000000000004</v>
      </c>
      <c r="T448" s="250">
        <v>0.78239999999999998</v>
      </c>
      <c r="U448" s="108"/>
      <c r="V448" s="122">
        <f t="shared" si="31"/>
        <v>0.20109999999999995</v>
      </c>
      <c r="W448" s="61">
        <f>Table3.110[[#This Row],[DM Incubated, mg]]-('3.2 Digest'!V448*1000)</f>
        <v>256.98352488506907</v>
      </c>
      <c r="X448" s="61">
        <f>W448/Table3.110[[#This Row],[DM Incubated, mg]]*100</f>
        <v>56.099709097712051</v>
      </c>
      <c r="Y448" s="37">
        <f>Table3.1[[#This Row],[DM Incubated, mg]]*'2.4 NDF'!R177/100</f>
        <v>195.46963744457952</v>
      </c>
      <c r="Z448" s="37">
        <f t="shared" si="32"/>
        <v>-5.6303625554204189</v>
      </c>
      <c r="AA448" s="37">
        <f t="shared" si="33"/>
        <v>-2.8804281979684778</v>
      </c>
      <c r="AB448" s="57"/>
    </row>
    <row r="449" spans="2:28" x14ac:dyDescent="0.35">
      <c r="B449" s="230">
        <f t="shared" si="28"/>
        <v>439</v>
      </c>
      <c r="C449" s="246" t="s">
        <v>691</v>
      </c>
      <c r="D449" s="248">
        <f>Table3.110[[#This Row],[Date]]</f>
        <v>46048</v>
      </c>
      <c r="E449" s="230" t="str">
        <f>Table3.110[[#This Row],[Requisitioner]]</f>
        <v>Genbank</v>
      </c>
      <c r="F449" s="230" t="str">
        <f>Table3.110[[#This Row],[Gene Bank ID]]</f>
        <v>CIAT9531</v>
      </c>
      <c r="G449" s="230" t="str">
        <f>Table3.110[[#This Row],[Genus]]</f>
        <v>Indigofera</v>
      </c>
      <c r="H449" s="230" t="str">
        <f>Table3.110[[#This Row],[Species]]</f>
        <v>spicata</v>
      </c>
      <c r="I449" s="230" t="str">
        <f>Table3.110[[#This Row],[Tax Name]]</f>
        <v>Indigofera spicata</v>
      </c>
      <c r="J449" s="230" t="str">
        <f>Table3.110[[#This Row],[Family]]</f>
        <v>Fabaceae</v>
      </c>
      <c r="K449" s="230" t="str">
        <f>Table3.110[[#This Row],[Order]]</f>
        <v>Fabales</v>
      </c>
      <c r="L449" s="230" t="str">
        <f>Table3.110[[#This Row],[Functional Group]]</f>
        <v>Herbaceous</v>
      </c>
      <c r="M449" s="230" t="str">
        <f>Table3.110[[#This Row],[CIAT ID]]</f>
        <v>F252595</v>
      </c>
      <c r="N449" s="230">
        <f>Table3.110[[#This Row],[Set CIAT]]</f>
        <v>28</v>
      </c>
      <c r="O449" s="230">
        <f>Table3.110[[#This Row],[Batch]]</f>
        <v>60</v>
      </c>
      <c r="P449" s="230">
        <f>Table3.110[[#This Row],[Run]]</f>
        <v>1</v>
      </c>
      <c r="Q449" s="230">
        <f>Table3.110[[#This Row],[Replication]]</f>
        <v>3</v>
      </c>
      <c r="R449" s="230">
        <f>Table3.110[[#This Row],[Syrange No]]</f>
        <v>2</v>
      </c>
      <c r="S449" s="98">
        <v>0.59289999999999998</v>
      </c>
      <c r="T449" s="98">
        <v>0.81620000000000004</v>
      </c>
      <c r="U449" s="108"/>
      <c r="V449" s="122">
        <f t="shared" si="31"/>
        <v>0.22330000000000005</v>
      </c>
      <c r="W449" s="61">
        <f>Table3.110[[#This Row],[DM Incubated, mg]]-('3.2 Digest'!V449*1000)</f>
        <v>234.87512327036887</v>
      </c>
      <c r="X449" s="61">
        <f>W449/Table3.110[[#This Row],[DM Incubated, mg]]*100</f>
        <v>51.263176750818303</v>
      </c>
      <c r="Y449" s="37">
        <f>Table3.1[[#This Row],[DM Incubated, mg]]*'2.4 NDF'!R177/100</f>
        <v>195.5087235548464</v>
      </c>
      <c r="Z449" s="37">
        <f t="shared" si="32"/>
        <v>-27.79127644515367</v>
      </c>
      <c r="AA449" s="37">
        <f t="shared" si="33"/>
        <v>-14.214852380925771</v>
      </c>
      <c r="AB449" s="57"/>
    </row>
    <row r="450" spans="2:28" x14ac:dyDescent="0.35">
      <c r="B450" s="230">
        <f t="shared" si="28"/>
        <v>440</v>
      </c>
      <c r="C450" s="246" t="s">
        <v>691</v>
      </c>
      <c r="D450" s="248">
        <f>Table3.110[[#This Row],[Date]]</f>
        <v>46048</v>
      </c>
      <c r="E450" s="230" t="str">
        <f>Table3.110[[#This Row],[Requisitioner]]</f>
        <v>Genbank</v>
      </c>
      <c r="F450" s="230" t="str">
        <f>Table3.110[[#This Row],[Gene Bank ID]]</f>
        <v>CIAT10026</v>
      </c>
      <c r="G450" s="230" t="str">
        <f>Table3.110[[#This Row],[Genus]]</f>
        <v>Stylosanthes</v>
      </c>
      <c r="H450" s="230" t="str">
        <f>Table3.110[[#This Row],[Species]]</f>
        <v>seabrana</v>
      </c>
      <c r="I450" s="230" t="str">
        <f>Table3.110[[#This Row],[Tax Name]]</f>
        <v>Stylosanthes seabrana</v>
      </c>
      <c r="J450" s="230" t="str">
        <f>Table3.110[[#This Row],[Family]]</f>
        <v>Fabaceae</v>
      </c>
      <c r="K450" s="230" t="str">
        <f>Table3.110[[#This Row],[Order]]</f>
        <v>Fabales</v>
      </c>
      <c r="L450" s="230" t="str">
        <f>Table3.110[[#This Row],[Functional Group]]</f>
        <v>Herbaceous</v>
      </c>
      <c r="M450" s="230" t="str">
        <f>Table3.110[[#This Row],[CIAT ID]]</f>
        <v>F252596</v>
      </c>
      <c r="N450" s="230">
        <f>Table3.110[[#This Row],[Set CIAT]]</f>
        <v>28</v>
      </c>
      <c r="O450" s="230">
        <f>Table3.110[[#This Row],[Batch]]</f>
        <v>60</v>
      </c>
      <c r="P450" s="230">
        <f>Table3.110[[#This Row],[Run]]</f>
        <v>1</v>
      </c>
      <c r="Q450" s="230">
        <f>Table3.110[[#This Row],[Replication]]</f>
        <v>1</v>
      </c>
      <c r="R450" s="230">
        <f>Table3.110[[#This Row],[Syrange No]]</f>
        <v>276</v>
      </c>
      <c r="S450" s="250">
        <v>0.6018</v>
      </c>
      <c r="T450" s="250">
        <v>0.86499999999999999</v>
      </c>
      <c r="U450" s="108"/>
      <c r="V450" s="122">
        <f t="shared" si="31"/>
        <v>0.26319999999999999</v>
      </c>
      <c r="W450" s="61">
        <f>Table3.110[[#This Row],[DM Incubated, mg]]-('3.2 Digest'!V450*1000)</f>
        <v>200.81230808272005</v>
      </c>
      <c r="X450" s="61">
        <f>W450/Table3.110[[#This Row],[DM Incubated, mg]]*100</f>
        <v>43.277366695825016</v>
      </c>
      <c r="Y450" s="37">
        <f>Table3.1[[#This Row],[DM Incubated, mg]]*'2.4 NDF'!R179/100</f>
        <v>265.63570638590232</v>
      </c>
      <c r="Z450" s="37">
        <f t="shared" si="32"/>
        <v>2.4357063859023356</v>
      </c>
      <c r="AA450" s="37">
        <f t="shared" si="33"/>
        <v>0.91693485753148818</v>
      </c>
      <c r="AB450" s="57"/>
    </row>
    <row r="451" spans="2:28" x14ac:dyDescent="0.35">
      <c r="B451" s="230">
        <f t="shared" si="28"/>
        <v>441</v>
      </c>
      <c r="C451" s="246" t="s">
        <v>691</v>
      </c>
      <c r="D451" s="248">
        <f>Table3.110[[#This Row],[Date]]</f>
        <v>46048</v>
      </c>
      <c r="E451" s="230" t="str">
        <f>Table3.110[[#This Row],[Requisitioner]]</f>
        <v>Genbank</v>
      </c>
      <c r="F451" s="230" t="str">
        <f>Table3.110[[#This Row],[Gene Bank ID]]</f>
        <v>CIAT10026</v>
      </c>
      <c r="G451" s="230" t="str">
        <f>Table3.110[[#This Row],[Genus]]</f>
        <v>Stylosanthes</v>
      </c>
      <c r="H451" s="230" t="str">
        <f>Table3.110[[#This Row],[Species]]</f>
        <v>seabrana</v>
      </c>
      <c r="I451" s="230" t="str">
        <f>Table3.110[[#This Row],[Tax Name]]</f>
        <v>Stylosanthes seabrana</v>
      </c>
      <c r="J451" s="230" t="str">
        <f>Table3.110[[#This Row],[Family]]</f>
        <v>Fabaceae</v>
      </c>
      <c r="K451" s="230" t="str">
        <f>Table3.110[[#This Row],[Order]]</f>
        <v>Fabales</v>
      </c>
      <c r="L451" s="230" t="str">
        <f>Table3.110[[#This Row],[Functional Group]]</f>
        <v>Herbaceous</v>
      </c>
      <c r="M451" s="230" t="str">
        <f>Table3.110[[#This Row],[CIAT ID]]</f>
        <v>F252596</v>
      </c>
      <c r="N451" s="230">
        <f>Table3.110[[#This Row],[Set CIAT]]</f>
        <v>28</v>
      </c>
      <c r="O451" s="230">
        <f>Table3.110[[#This Row],[Batch]]</f>
        <v>60</v>
      </c>
      <c r="P451" s="230">
        <f>Table3.110[[#This Row],[Run]]</f>
        <v>1</v>
      </c>
      <c r="Q451" s="230">
        <f>Table3.110[[#This Row],[Replication]]</f>
        <v>2</v>
      </c>
      <c r="R451" s="230">
        <f>Table3.110[[#This Row],[Syrange No]]</f>
        <v>277</v>
      </c>
      <c r="S451" s="98">
        <v>0.57530000000000003</v>
      </c>
      <c r="T451" s="98">
        <v>0.78710000000000002</v>
      </c>
      <c r="U451" s="108"/>
      <c r="V451" s="122">
        <f t="shared" si="31"/>
        <v>0.21179999999999999</v>
      </c>
      <c r="W451" s="61">
        <f>Table3.110[[#This Row],[DM Incubated, mg]]-('3.2 Digest'!V451*1000)</f>
        <v>252.21230808272006</v>
      </c>
      <c r="X451" s="61">
        <f>W451/Table3.110[[#This Row],[DM Incubated, mg]]*100</f>
        <v>54.354659066017241</v>
      </c>
      <c r="Y451" s="37">
        <f>Table3.1[[#This Row],[DM Incubated, mg]]*'2.4 NDF'!R179/100</f>
        <v>265.63570638590232</v>
      </c>
      <c r="Z451" s="37">
        <f t="shared" si="32"/>
        <v>53.835706385902341</v>
      </c>
      <c r="AA451" s="37">
        <f t="shared" si="33"/>
        <v>20.266743171828153</v>
      </c>
      <c r="AB451" s="57"/>
    </row>
    <row r="452" spans="2:28" x14ac:dyDescent="0.35">
      <c r="B452" s="230">
        <f t="shared" si="28"/>
        <v>442</v>
      </c>
      <c r="C452" s="246" t="s">
        <v>691</v>
      </c>
      <c r="D452" s="248">
        <f>Table3.110[[#This Row],[Date]]</f>
        <v>46048</v>
      </c>
      <c r="E452" s="230" t="str">
        <f>Table3.110[[#This Row],[Requisitioner]]</f>
        <v>Genbank</v>
      </c>
      <c r="F452" s="230" t="str">
        <f>Table3.110[[#This Row],[Gene Bank ID]]</f>
        <v>CIAT10026</v>
      </c>
      <c r="G452" s="230" t="str">
        <f>Table3.110[[#This Row],[Genus]]</f>
        <v>Stylosanthes</v>
      </c>
      <c r="H452" s="230" t="str">
        <f>Table3.110[[#This Row],[Species]]</f>
        <v>seabrana</v>
      </c>
      <c r="I452" s="230" t="str">
        <f>Table3.110[[#This Row],[Tax Name]]</f>
        <v>Stylosanthes seabrana</v>
      </c>
      <c r="J452" s="230" t="str">
        <f>Table3.110[[#This Row],[Family]]</f>
        <v>Fabaceae</v>
      </c>
      <c r="K452" s="230" t="str">
        <f>Table3.110[[#This Row],[Order]]</f>
        <v>Fabales</v>
      </c>
      <c r="L452" s="230" t="str">
        <f>Table3.110[[#This Row],[Functional Group]]</f>
        <v>Herbaceous</v>
      </c>
      <c r="M452" s="230" t="str">
        <f>Table3.110[[#This Row],[CIAT ID]]</f>
        <v>F252596</v>
      </c>
      <c r="N452" s="230">
        <f>Table3.110[[#This Row],[Set CIAT]]</f>
        <v>28</v>
      </c>
      <c r="O452" s="230">
        <f>Table3.110[[#This Row],[Batch]]</f>
        <v>60</v>
      </c>
      <c r="P452" s="230">
        <f>Table3.110[[#This Row],[Run]]</f>
        <v>1</v>
      </c>
      <c r="Q452" s="230">
        <f>Table3.110[[#This Row],[Replication]]</f>
        <v>3</v>
      </c>
      <c r="R452" s="230">
        <f>Table3.110[[#This Row],[Syrange No]]</f>
        <v>278</v>
      </c>
      <c r="S452" s="250">
        <v>0.56130000000000002</v>
      </c>
      <c r="T452" s="250">
        <v>0.77600000000000002</v>
      </c>
      <c r="U452" s="108"/>
      <c r="V452" s="122">
        <f t="shared" si="31"/>
        <v>0.2147</v>
      </c>
      <c r="W452" s="61">
        <f>Table3.110[[#This Row],[DM Incubated, mg]]-('3.2 Digest'!V452*1000)</f>
        <v>249.21956126919162</v>
      </c>
      <c r="X452" s="61">
        <f>W452/Table3.110[[#This Row],[DM Incubated, mg]]*100</f>
        <v>53.720425279627463</v>
      </c>
      <c r="Y452" s="37">
        <f>Table3.1[[#This Row],[DM Incubated, mg]]*'2.4 NDF'!R179/100</f>
        <v>265.58261110179564</v>
      </c>
      <c r="Z452" s="37">
        <f t="shared" si="32"/>
        <v>50.882611101795646</v>
      </c>
      <c r="AA452" s="37">
        <f t="shared" si="33"/>
        <v>19.158863937177255</v>
      </c>
      <c r="AB452" s="57"/>
    </row>
    <row r="453" spans="2:28" x14ac:dyDescent="0.35">
      <c r="B453" s="230">
        <f t="shared" si="28"/>
        <v>443</v>
      </c>
      <c r="C453" s="246" t="s">
        <v>691</v>
      </c>
      <c r="D453" s="248">
        <f>Table3.110[[#This Row],[Date]]</f>
        <v>46048</v>
      </c>
      <c r="E453" s="230" t="str">
        <f>Table3.110[[#This Row],[Requisitioner]]</f>
        <v>Genbank</v>
      </c>
      <c r="F453" s="230" t="str">
        <f>Table3.110[[#This Row],[Gene Bank ID]]</f>
        <v>CIAT12411</v>
      </c>
      <c r="G453" s="230" t="str">
        <f>Table3.110[[#This Row],[Genus]]</f>
        <v>Stylosanthes</v>
      </c>
      <c r="H453" s="230" t="str">
        <f>Table3.110[[#This Row],[Species]]</f>
        <v>sympodialis</v>
      </c>
      <c r="I453" s="230" t="str">
        <f>Table3.110[[#This Row],[Tax Name]]</f>
        <v>Stylosanthes sympodialis</v>
      </c>
      <c r="J453" s="230" t="str">
        <f>Table3.110[[#This Row],[Family]]</f>
        <v>Fabaceae</v>
      </c>
      <c r="K453" s="230" t="str">
        <f>Table3.110[[#This Row],[Order]]</f>
        <v>Fabales</v>
      </c>
      <c r="L453" s="230" t="str">
        <f>Table3.110[[#This Row],[Functional Group]]</f>
        <v>Herbaceous</v>
      </c>
      <c r="M453" s="230" t="str">
        <f>Table3.110[[#This Row],[CIAT ID]]</f>
        <v>F252597</v>
      </c>
      <c r="N453" s="230">
        <f>Table3.110[[#This Row],[Set CIAT]]</f>
        <v>28</v>
      </c>
      <c r="O453" s="230">
        <f>Table3.110[[#This Row],[Batch]]</f>
        <v>60</v>
      </c>
      <c r="P453" s="230">
        <f>Table3.110[[#This Row],[Run]]</f>
        <v>1</v>
      </c>
      <c r="Q453" s="230">
        <f>Table3.110[[#This Row],[Replication]]</f>
        <v>1</v>
      </c>
      <c r="R453" s="230">
        <f>Table3.110[[#This Row],[Syrange No]]</f>
        <v>279</v>
      </c>
      <c r="S453" s="98">
        <v>0.5998</v>
      </c>
      <c r="T453" s="98">
        <v>0.77910000000000001</v>
      </c>
      <c r="U453" s="108"/>
      <c r="V453" s="122">
        <f t="shared" si="31"/>
        <v>0.17930000000000001</v>
      </c>
      <c r="W453" s="61">
        <f>Table3.110[[#This Row],[DM Incubated, mg]]-('3.2 Digest'!V453*1000)</f>
        <v>279.30621646293622</v>
      </c>
      <c r="X453" s="61">
        <f>W453/Table3.110[[#This Row],[DM Incubated, mg]]*100</f>
        <v>60.903277460371982</v>
      </c>
      <c r="Y453" s="37">
        <f>Table3.1[[#This Row],[DM Incubated, mg]]*'2.4 NDF'!R181/100</f>
        <v>280.27676077718411</v>
      </c>
      <c r="Z453" s="37">
        <f t="shared" si="32"/>
        <v>100.9767607771841</v>
      </c>
      <c r="AA453" s="37">
        <f t="shared" si="33"/>
        <v>36.027518120726079</v>
      </c>
      <c r="AB453" s="57"/>
    </row>
    <row r="454" spans="2:28" x14ac:dyDescent="0.35">
      <c r="B454" s="230">
        <f t="shared" si="28"/>
        <v>444</v>
      </c>
      <c r="C454" s="246" t="s">
        <v>691</v>
      </c>
      <c r="D454" s="248">
        <f>Table3.110[[#This Row],[Date]]</f>
        <v>46048</v>
      </c>
      <c r="E454" s="230" t="str">
        <f>Table3.110[[#This Row],[Requisitioner]]</f>
        <v>Genbank</v>
      </c>
      <c r="F454" s="230" t="str">
        <f>Table3.110[[#This Row],[Gene Bank ID]]</f>
        <v>CIAT12411</v>
      </c>
      <c r="G454" s="230" t="str">
        <f>Table3.110[[#This Row],[Genus]]</f>
        <v>Stylosanthes</v>
      </c>
      <c r="H454" s="230" t="str">
        <f>Table3.110[[#This Row],[Species]]</f>
        <v>sympodialis</v>
      </c>
      <c r="I454" s="230" t="str">
        <f>Table3.110[[#This Row],[Tax Name]]</f>
        <v>Stylosanthes sympodialis</v>
      </c>
      <c r="J454" s="230" t="str">
        <f>Table3.110[[#This Row],[Family]]</f>
        <v>Fabaceae</v>
      </c>
      <c r="K454" s="230" t="str">
        <f>Table3.110[[#This Row],[Order]]</f>
        <v>Fabales</v>
      </c>
      <c r="L454" s="230" t="str">
        <f>Table3.110[[#This Row],[Functional Group]]</f>
        <v>Herbaceous</v>
      </c>
      <c r="M454" s="230" t="str">
        <f>Table3.110[[#This Row],[CIAT ID]]</f>
        <v>F252597</v>
      </c>
      <c r="N454" s="230">
        <f>Table3.110[[#This Row],[Set CIAT]]</f>
        <v>28</v>
      </c>
      <c r="O454" s="230">
        <f>Table3.110[[#This Row],[Batch]]</f>
        <v>60</v>
      </c>
      <c r="P454" s="230">
        <f>Table3.110[[#This Row],[Run]]</f>
        <v>1</v>
      </c>
      <c r="Q454" s="230">
        <f>Table3.110[[#This Row],[Replication]]</f>
        <v>2</v>
      </c>
      <c r="R454" s="230">
        <f>Table3.110[[#This Row],[Syrange No]]</f>
        <v>0</v>
      </c>
      <c r="S454" s="250">
        <v>0.58050000000000002</v>
      </c>
      <c r="T454" s="250">
        <v>0.76229999999999998</v>
      </c>
      <c r="U454" s="108"/>
      <c r="V454" s="122">
        <f t="shared" si="31"/>
        <v>0.18179999999999996</v>
      </c>
      <c r="W454" s="61">
        <f>Table3.110[[#This Row],[DM Incubated, mg]]-('3.2 Digest'!V454*1000)</f>
        <v>277.08138019281404</v>
      </c>
      <c r="X454" s="61">
        <f>W454/Table3.110[[#This Row],[DM Incubated, mg]]*100</f>
        <v>60.381918324162385</v>
      </c>
      <c r="Y454" s="37">
        <f>Table3.1[[#This Row],[DM Incubated, mg]]*'2.4 NDF'!R181/100</f>
        <v>280.44492683365041</v>
      </c>
      <c r="Z454" s="37">
        <f t="shared" si="32"/>
        <v>98.644926833650459</v>
      </c>
      <c r="AA454" s="37">
        <f t="shared" si="33"/>
        <v>35.174437971617508</v>
      </c>
      <c r="AB454" s="57"/>
    </row>
    <row r="455" spans="2:28" x14ac:dyDescent="0.35">
      <c r="B455" s="230">
        <f t="shared" si="28"/>
        <v>445</v>
      </c>
      <c r="C455" s="246" t="s">
        <v>691</v>
      </c>
      <c r="D455" s="248">
        <f>Table3.110[[#This Row],[Date]]</f>
        <v>46048</v>
      </c>
      <c r="E455" s="230" t="str">
        <f>Table3.110[[#This Row],[Requisitioner]]</f>
        <v>Genbank</v>
      </c>
      <c r="F455" s="230" t="str">
        <f>Table3.110[[#This Row],[Gene Bank ID]]</f>
        <v>CIAT12411</v>
      </c>
      <c r="G455" s="230" t="str">
        <f>Table3.110[[#This Row],[Genus]]</f>
        <v>Stylosanthes</v>
      </c>
      <c r="H455" s="230" t="str">
        <f>Table3.110[[#This Row],[Species]]</f>
        <v>sympodialis</v>
      </c>
      <c r="I455" s="230" t="str">
        <f>Table3.110[[#This Row],[Tax Name]]</f>
        <v>Stylosanthes sympodialis</v>
      </c>
      <c r="J455" s="230" t="str">
        <f>Table3.110[[#This Row],[Family]]</f>
        <v>Fabaceae</v>
      </c>
      <c r="K455" s="230" t="str">
        <f>Table3.110[[#This Row],[Order]]</f>
        <v>Fabales</v>
      </c>
      <c r="L455" s="230" t="str">
        <f>Table3.110[[#This Row],[Functional Group]]</f>
        <v>Herbaceous</v>
      </c>
      <c r="M455" s="230" t="str">
        <f>Table3.110[[#This Row],[CIAT ID]]</f>
        <v>F252597</v>
      </c>
      <c r="N455" s="230">
        <f>Table3.110[[#This Row],[Set CIAT]]</f>
        <v>28</v>
      </c>
      <c r="O455" s="230">
        <f>Table3.110[[#This Row],[Batch]]</f>
        <v>60</v>
      </c>
      <c r="P455" s="230">
        <f>Table3.110[[#This Row],[Run]]</f>
        <v>1</v>
      </c>
      <c r="Q455" s="230">
        <f>Table3.110[[#This Row],[Replication]]</f>
        <v>3</v>
      </c>
      <c r="R455" s="230">
        <f>Table3.110[[#This Row],[Syrange No]]</f>
        <v>0</v>
      </c>
      <c r="S455" s="98">
        <v>0.56920000000000004</v>
      </c>
      <c r="T455" s="98">
        <v>0.76370000000000005</v>
      </c>
      <c r="U455" s="108"/>
      <c r="V455" s="122">
        <f t="shared" si="31"/>
        <v>0.19450000000000001</v>
      </c>
      <c r="W455" s="61">
        <f>Table3.110[[#This Row],[DM Incubated, mg]]-('3.2 Digest'!V455*1000)</f>
        <v>264.19793770622886</v>
      </c>
      <c r="X455" s="61">
        <f>W455/Table3.110[[#This Row],[DM Incubated, mg]]*100</f>
        <v>57.597367676728751</v>
      </c>
      <c r="Y455" s="37">
        <f>Table3.1[[#This Row],[DM Incubated, mg]]*'2.4 NDF'!R181/100</f>
        <v>280.33281612933956</v>
      </c>
      <c r="Z455" s="37">
        <f t="shared" si="32"/>
        <v>85.832816129339562</v>
      </c>
      <c r="AA455" s="37">
        <f t="shared" si="33"/>
        <v>30.618183527160852</v>
      </c>
      <c r="AB455" s="57"/>
    </row>
    <row r="456" spans="2:28" x14ac:dyDescent="0.35">
      <c r="B456" s="230">
        <f t="shared" si="28"/>
        <v>446</v>
      </c>
      <c r="C456" s="246" t="s">
        <v>691</v>
      </c>
      <c r="D456" s="248">
        <f>Table3.110[[#This Row],[Date]]</f>
        <v>46048</v>
      </c>
      <c r="E456" s="230" t="str">
        <f>Table3.110[[#This Row],[Requisitioner]]</f>
        <v>Genbank</v>
      </c>
      <c r="F456" s="230" t="str">
        <f>Table3.110[[#This Row],[Gene Bank ID]]</f>
        <v>CIAT13494</v>
      </c>
      <c r="G456" s="230" t="str">
        <f>Table3.110[[#This Row],[Genus]]</f>
        <v>Desmodium</v>
      </c>
      <c r="H456" s="230" t="str">
        <f>Table3.110[[#This Row],[Species]]</f>
        <v>tortuosum</v>
      </c>
      <c r="I456" s="230" t="str">
        <f>Table3.110[[#This Row],[Tax Name]]</f>
        <v>Desmodium tortuosum</v>
      </c>
      <c r="J456" s="230" t="str">
        <f>Table3.110[[#This Row],[Family]]</f>
        <v>Fabaceae</v>
      </c>
      <c r="K456" s="230" t="str">
        <f>Table3.110[[#This Row],[Order]]</f>
        <v>Fabales</v>
      </c>
      <c r="L456" s="230" t="str">
        <f>Table3.110[[#This Row],[Functional Group]]</f>
        <v>Shurb_Tree</v>
      </c>
      <c r="M456" s="230" t="str">
        <f>Table3.110[[#This Row],[CIAT ID]]</f>
        <v>F252598</v>
      </c>
      <c r="N456" s="230">
        <f>Table3.110[[#This Row],[Set CIAT]]</f>
        <v>28</v>
      </c>
      <c r="O456" s="230">
        <f>Table3.110[[#This Row],[Batch]]</f>
        <v>60</v>
      </c>
      <c r="P456" s="230">
        <f>Table3.110[[#This Row],[Run]]</f>
        <v>1</v>
      </c>
      <c r="Q456" s="230">
        <f>Table3.110[[#This Row],[Replication]]</f>
        <v>1</v>
      </c>
      <c r="R456" s="230">
        <f>Table3.110[[#This Row],[Syrange No]]</f>
        <v>0</v>
      </c>
      <c r="S456" s="250">
        <v>0.58689999999999998</v>
      </c>
      <c r="T456" s="250">
        <v>0.76580000000000004</v>
      </c>
      <c r="U456" s="108"/>
      <c r="V456" s="122">
        <f t="shared" si="31"/>
        <v>0.17890000000000006</v>
      </c>
      <c r="W456" s="61">
        <f>Table3.110[[#This Row],[DM Incubated, mg]]-('3.2 Digest'!V456*1000)</f>
        <v>279.52292770722909</v>
      </c>
      <c r="X456" s="61">
        <f>W456/Table3.110[[#This Row],[DM Incubated, mg]]*100</f>
        <v>60.974901300256477</v>
      </c>
      <c r="Y456" s="37">
        <f>Table3.1[[#This Row],[DM Incubated, mg]]*'2.4 NDF'!R183/100</f>
        <v>232.50976751197769</v>
      </c>
      <c r="Z456" s="37">
        <f t="shared" si="32"/>
        <v>53.609767511977623</v>
      </c>
      <c r="AA456" s="37">
        <f t="shared" si="33"/>
        <v>23.056995878341297</v>
      </c>
      <c r="AB456" s="57"/>
    </row>
    <row r="457" spans="2:28" x14ac:dyDescent="0.35">
      <c r="B457" s="230">
        <f t="shared" si="28"/>
        <v>447</v>
      </c>
      <c r="C457" s="246" t="s">
        <v>691</v>
      </c>
      <c r="D457" s="248">
        <f>Table3.110[[#This Row],[Date]]</f>
        <v>46048</v>
      </c>
      <c r="E457" s="230" t="str">
        <f>Table3.110[[#This Row],[Requisitioner]]</f>
        <v>Genbank</v>
      </c>
      <c r="F457" s="230" t="str">
        <f>Table3.110[[#This Row],[Gene Bank ID]]</f>
        <v>CIAT13494</v>
      </c>
      <c r="G457" s="230" t="str">
        <f>Table3.110[[#This Row],[Genus]]</f>
        <v>Desmodium</v>
      </c>
      <c r="H457" s="230" t="str">
        <f>Table3.110[[#This Row],[Species]]</f>
        <v>tortuosum</v>
      </c>
      <c r="I457" s="230" t="str">
        <f>Table3.110[[#This Row],[Tax Name]]</f>
        <v>Desmodium tortuosum</v>
      </c>
      <c r="J457" s="230" t="str">
        <f>Table3.110[[#This Row],[Family]]</f>
        <v>Fabaceae</v>
      </c>
      <c r="K457" s="230" t="str">
        <f>Table3.110[[#This Row],[Order]]</f>
        <v>Fabales</v>
      </c>
      <c r="L457" s="230" t="str">
        <f>Table3.110[[#This Row],[Functional Group]]</f>
        <v>Shurb_Tree</v>
      </c>
      <c r="M457" s="230" t="str">
        <f>Table3.110[[#This Row],[CIAT ID]]</f>
        <v>F252598</v>
      </c>
      <c r="N457" s="230">
        <f>Table3.110[[#This Row],[Set CIAT]]</f>
        <v>28</v>
      </c>
      <c r="O457" s="230">
        <f>Table3.110[[#This Row],[Batch]]</f>
        <v>60</v>
      </c>
      <c r="P457" s="230">
        <f>Table3.110[[#This Row],[Run]]</f>
        <v>1</v>
      </c>
      <c r="Q457" s="230">
        <f>Table3.110[[#This Row],[Replication]]</f>
        <v>2</v>
      </c>
      <c r="R457" s="230">
        <f>Table3.110[[#This Row],[Syrange No]]</f>
        <v>0</v>
      </c>
      <c r="S457" s="98">
        <v>0.59530000000000005</v>
      </c>
      <c r="T457" s="98">
        <v>0.78520000000000001</v>
      </c>
      <c r="U457" s="108"/>
      <c r="V457" s="122">
        <f t="shared" si="31"/>
        <v>0.18989999999999996</v>
      </c>
      <c r="W457" s="61">
        <f>Table3.110[[#This Row],[DM Incubated, mg]]-('3.2 Digest'!V457*1000)</f>
        <v>268.79792646410215</v>
      </c>
      <c r="X457" s="61">
        <f>W457/Table3.110[[#This Row],[DM Incubated, mg]]*100</f>
        <v>58.6002052671451</v>
      </c>
      <c r="Y457" s="37">
        <f>Table3.1[[#This Row],[DM Incubated, mg]]*'2.4 NDF'!R183/100</f>
        <v>232.64924547689188</v>
      </c>
      <c r="Z457" s="37">
        <f t="shared" si="32"/>
        <v>42.749245476891929</v>
      </c>
      <c r="AA457" s="37">
        <f t="shared" si="33"/>
        <v>18.374977055809126</v>
      </c>
      <c r="AB457" s="57"/>
    </row>
    <row r="458" spans="2:28" x14ac:dyDescent="0.35">
      <c r="B458" s="230">
        <f t="shared" si="28"/>
        <v>448</v>
      </c>
      <c r="C458" s="246" t="s">
        <v>691</v>
      </c>
      <c r="D458" s="248">
        <f>Table3.110[[#This Row],[Date]]</f>
        <v>46048</v>
      </c>
      <c r="E458" s="230" t="str">
        <f>Table3.110[[#This Row],[Requisitioner]]</f>
        <v>Genbank</v>
      </c>
      <c r="F458" s="230" t="str">
        <f>Table3.110[[#This Row],[Gene Bank ID]]</f>
        <v>CIAT13494</v>
      </c>
      <c r="G458" s="230" t="str">
        <f>Table3.110[[#This Row],[Genus]]</f>
        <v>Desmodium</v>
      </c>
      <c r="H458" s="230" t="str">
        <f>Table3.110[[#This Row],[Species]]</f>
        <v>tortuosum</v>
      </c>
      <c r="I458" s="230" t="str">
        <f>Table3.110[[#This Row],[Tax Name]]</f>
        <v>Desmodium tortuosum</v>
      </c>
      <c r="J458" s="230" t="str">
        <f>Table3.110[[#This Row],[Family]]</f>
        <v>Fabaceae</v>
      </c>
      <c r="K458" s="230" t="str">
        <f>Table3.110[[#This Row],[Order]]</f>
        <v>Fabales</v>
      </c>
      <c r="L458" s="230" t="str">
        <f>Table3.110[[#This Row],[Functional Group]]</f>
        <v>Shurb_Tree</v>
      </c>
      <c r="M458" s="230" t="str">
        <f>Table3.110[[#This Row],[CIAT ID]]</f>
        <v>F252598</v>
      </c>
      <c r="N458" s="230">
        <f>Table3.110[[#This Row],[Set CIAT]]</f>
        <v>28</v>
      </c>
      <c r="O458" s="230">
        <f>Table3.110[[#This Row],[Batch]]</f>
        <v>60</v>
      </c>
      <c r="P458" s="230">
        <f>Table3.110[[#This Row],[Run]]</f>
        <v>1</v>
      </c>
      <c r="Q458" s="230">
        <f>Table3.110[[#This Row],[Replication]]</f>
        <v>3</v>
      </c>
      <c r="R458" s="230">
        <f>Table3.110[[#This Row],[Syrange No]]</f>
        <v>0</v>
      </c>
      <c r="S458" s="250">
        <v>0.54890000000000005</v>
      </c>
      <c r="T458" s="250">
        <v>0.74490000000000001</v>
      </c>
      <c r="U458" s="108"/>
      <c r="V458" s="122">
        <f t="shared" si="31"/>
        <v>0.19599999999999995</v>
      </c>
      <c r="W458" s="61">
        <f>Table3.110[[#This Row],[DM Incubated, mg]]-('3.2 Digest'!V458*1000)</f>
        <v>262.33126145493827</v>
      </c>
      <c r="X458" s="61">
        <f>W458/Table3.110[[#This Row],[DM Incubated, mg]]*100</f>
        <v>57.236170324098637</v>
      </c>
      <c r="Y458" s="37">
        <f>Table3.1[[#This Row],[DM Incubated, mg]]*'2.4 NDF'!R183/100</f>
        <v>232.4632748570063</v>
      </c>
      <c r="Z458" s="37">
        <f t="shared" si="32"/>
        <v>36.463274857006354</v>
      </c>
      <c r="AA458" s="37">
        <f t="shared" si="33"/>
        <v>15.685606631600532</v>
      </c>
      <c r="AB458" s="57"/>
    </row>
    <row r="459" spans="2:28" x14ac:dyDescent="0.35">
      <c r="B459" s="230">
        <f t="shared" si="28"/>
        <v>449</v>
      </c>
      <c r="C459" s="246" t="s">
        <v>691</v>
      </c>
      <c r="D459" s="248">
        <f>Table3.110[[#This Row],[Date]]</f>
        <v>46048</v>
      </c>
      <c r="E459" s="230" t="str">
        <f>Table3.110[[#This Row],[Requisitioner]]</f>
        <v>Genbank</v>
      </c>
      <c r="F459" s="230" t="str">
        <f>Table3.110[[#This Row],[Gene Bank ID]]</f>
        <v>CIAT13562</v>
      </c>
      <c r="G459" s="230" t="str">
        <f>Table3.110[[#This Row],[Genus]]</f>
        <v>Desmodium</v>
      </c>
      <c r="H459" s="230" t="str">
        <f>Table3.110[[#This Row],[Species]]</f>
        <v>tortuosum</v>
      </c>
      <c r="I459" s="230" t="str">
        <f>Table3.110[[#This Row],[Tax Name]]</f>
        <v>Desmodium tortuosum</v>
      </c>
      <c r="J459" s="230" t="str">
        <f>Table3.110[[#This Row],[Family]]</f>
        <v>Fabaceae</v>
      </c>
      <c r="K459" s="230" t="str">
        <f>Table3.110[[#This Row],[Order]]</f>
        <v>Fabales</v>
      </c>
      <c r="L459" s="230" t="str">
        <f>Table3.110[[#This Row],[Functional Group]]</f>
        <v>Shurb_Tree</v>
      </c>
      <c r="M459" s="230" t="str">
        <f>Table3.110[[#This Row],[CIAT ID]]</f>
        <v>F252599</v>
      </c>
      <c r="N459" s="230">
        <f>Table3.110[[#This Row],[Set CIAT]]</f>
        <v>28</v>
      </c>
      <c r="O459" s="230">
        <f>Table3.110[[#This Row],[Batch]]</f>
        <v>60</v>
      </c>
      <c r="P459" s="230">
        <f>Table3.110[[#This Row],[Run]]</f>
        <v>1</v>
      </c>
      <c r="Q459" s="230">
        <f>Table3.110[[#This Row],[Replication]]</f>
        <v>1</v>
      </c>
      <c r="R459" s="230">
        <f>Table3.110[[#This Row],[Syrange No]]</f>
        <v>0</v>
      </c>
      <c r="S459" s="98">
        <v>0.57620000000000005</v>
      </c>
      <c r="T459" s="98">
        <v>0.82640000000000002</v>
      </c>
      <c r="U459" s="108"/>
      <c r="V459" s="122">
        <f t="shared" si="31"/>
        <v>0.25019999999999998</v>
      </c>
      <c r="W459" s="61">
        <f>Table3.110[[#This Row],[DM Incubated, mg]]-('3.2 Digest'!V459*1000)</f>
        <v>209.22747052309029</v>
      </c>
      <c r="X459" s="61">
        <f>W459/Table3.110[[#This Row],[DM Incubated, mg]]*100</f>
        <v>45.54091427856288</v>
      </c>
      <c r="Y459" s="37">
        <f>Table3.1[[#This Row],[DM Incubated, mg]]*'2.4 NDF'!R185/100</f>
        <v>231.16305074755957</v>
      </c>
      <c r="Z459" s="37">
        <f t="shared" si="32"/>
        <v>-19.036949252440422</v>
      </c>
      <c r="AA459" s="37">
        <f t="shared" si="33"/>
        <v>-8.2352907140119136</v>
      </c>
      <c r="AB459" s="57"/>
    </row>
    <row r="460" spans="2:28" x14ac:dyDescent="0.35">
      <c r="B460" s="230">
        <f t="shared" si="28"/>
        <v>450</v>
      </c>
      <c r="C460" s="246" t="s">
        <v>691</v>
      </c>
      <c r="D460" s="248">
        <f>Table3.110[[#This Row],[Date]]</f>
        <v>46048</v>
      </c>
      <c r="E460" s="230" t="str">
        <f>Table3.110[[#This Row],[Requisitioner]]</f>
        <v>Genbank</v>
      </c>
      <c r="F460" s="230" t="str">
        <f>Table3.110[[#This Row],[Gene Bank ID]]</f>
        <v>CIAT13562</v>
      </c>
      <c r="G460" s="230" t="str">
        <f>Table3.110[[#This Row],[Genus]]</f>
        <v>Desmodium</v>
      </c>
      <c r="H460" s="230" t="str">
        <f>Table3.110[[#This Row],[Species]]</f>
        <v>tortuosum</v>
      </c>
      <c r="I460" s="230" t="str">
        <f>Table3.110[[#This Row],[Tax Name]]</f>
        <v>Desmodium tortuosum</v>
      </c>
      <c r="J460" s="230" t="str">
        <f>Table3.110[[#This Row],[Family]]</f>
        <v>Fabaceae</v>
      </c>
      <c r="K460" s="230" t="str">
        <f>Table3.110[[#This Row],[Order]]</f>
        <v>Fabales</v>
      </c>
      <c r="L460" s="230" t="str">
        <f>Table3.110[[#This Row],[Functional Group]]</f>
        <v>Shurb_Tree</v>
      </c>
      <c r="M460" s="230" t="str">
        <f>Table3.110[[#This Row],[CIAT ID]]</f>
        <v>F252599</v>
      </c>
      <c r="N460" s="230">
        <f>Table3.110[[#This Row],[Set CIAT]]</f>
        <v>28</v>
      </c>
      <c r="O460" s="230">
        <f>Table3.110[[#This Row],[Batch]]</f>
        <v>60</v>
      </c>
      <c r="P460" s="230">
        <f>Table3.110[[#This Row],[Run]]</f>
        <v>1</v>
      </c>
      <c r="Q460" s="230">
        <f>Table3.110[[#This Row],[Replication]]</f>
        <v>2</v>
      </c>
      <c r="R460" s="230">
        <f>Table3.110[[#This Row],[Syrange No]]</f>
        <v>0</v>
      </c>
      <c r="S460" s="250">
        <v>0.58040000000000003</v>
      </c>
      <c r="T460" s="250">
        <v>0.81079999999999997</v>
      </c>
      <c r="U460" s="108"/>
      <c r="V460" s="122">
        <f t="shared" si="31"/>
        <v>0.23039999999999994</v>
      </c>
      <c r="W460" s="61">
        <f>Table3.110[[#This Row],[DM Incubated, mg]]-('3.2 Digest'!V460*1000)</f>
        <v>229.1192825675594</v>
      </c>
      <c r="X460" s="61">
        <f>W460/Table3.110[[#This Row],[DM Incubated, mg]]*100</f>
        <v>49.86064595317039</v>
      </c>
      <c r="Y460" s="37">
        <f>Table3.1[[#This Row],[DM Incubated, mg]]*'2.4 NDF'!R185/100</f>
        <v>231.20924640118616</v>
      </c>
      <c r="Z460" s="37">
        <f t="shared" si="32"/>
        <v>0.80924640118621483</v>
      </c>
      <c r="AA460" s="37">
        <f t="shared" si="33"/>
        <v>0.35000607189473681</v>
      </c>
      <c r="AB460" s="57"/>
    </row>
    <row r="461" spans="2:28" x14ac:dyDescent="0.35">
      <c r="B461" s="230">
        <f t="shared" si="28"/>
        <v>451</v>
      </c>
      <c r="C461" s="246" t="s">
        <v>691</v>
      </c>
      <c r="D461" s="248">
        <f>Table3.110[[#This Row],[Date]]</f>
        <v>46048</v>
      </c>
      <c r="E461" s="230" t="str">
        <f>Table3.110[[#This Row],[Requisitioner]]</f>
        <v>Genbank</v>
      </c>
      <c r="F461" s="230" t="str">
        <f>Table3.110[[#This Row],[Gene Bank ID]]</f>
        <v>CIAT13562</v>
      </c>
      <c r="G461" s="230" t="str">
        <f>Table3.110[[#This Row],[Genus]]</f>
        <v>Desmodium</v>
      </c>
      <c r="H461" s="230" t="str">
        <f>Table3.110[[#This Row],[Species]]</f>
        <v>tortuosum</v>
      </c>
      <c r="I461" s="230" t="str">
        <f>Table3.110[[#This Row],[Tax Name]]</f>
        <v>Desmodium tortuosum</v>
      </c>
      <c r="J461" s="230" t="str">
        <f>Table3.110[[#This Row],[Family]]</f>
        <v>Fabaceae</v>
      </c>
      <c r="K461" s="230" t="str">
        <f>Table3.110[[#This Row],[Order]]</f>
        <v>Fabales</v>
      </c>
      <c r="L461" s="230" t="str">
        <f>Table3.110[[#This Row],[Functional Group]]</f>
        <v>Shurb_Tree</v>
      </c>
      <c r="M461" s="230" t="str">
        <f>Table3.110[[#This Row],[CIAT ID]]</f>
        <v>F252599</v>
      </c>
      <c r="N461" s="230">
        <f>Table3.110[[#This Row],[Set CIAT]]</f>
        <v>28</v>
      </c>
      <c r="O461" s="230">
        <f>Table3.110[[#This Row],[Batch]]</f>
        <v>60</v>
      </c>
      <c r="P461" s="230">
        <f>Table3.110[[#This Row],[Run]]</f>
        <v>1</v>
      </c>
      <c r="Q461" s="230">
        <f>Table3.110[[#This Row],[Replication]]</f>
        <v>3</v>
      </c>
      <c r="R461" s="230">
        <f>Table3.110[[#This Row],[Syrange No]]</f>
        <v>0</v>
      </c>
      <c r="S461" s="98">
        <v>0.57250000000000001</v>
      </c>
      <c r="T461" s="98">
        <v>0.81440000000000001</v>
      </c>
      <c r="U461" s="108"/>
      <c r="V461" s="122">
        <f t="shared" si="31"/>
        <v>0.2419</v>
      </c>
      <c r="W461" s="61">
        <f>Table3.110[[#This Row],[DM Incubated, mg]]-('3.2 Digest'!V461*1000)</f>
        <v>217.3438464341522</v>
      </c>
      <c r="X461" s="61">
        <f>W461/Table3.110[[#This Row],[DM Incubated, mg]]*100</f>
        <v>47.326458072708355</v>
      </c>
      <c r="Y461" s="37">
        <f>Table3.1[[#This Row],[DM Incubated, mg]]*'2.4 NDF'!R185/100</f>
        <v>231.07065944030634</v>
      </c>
      <c r="Z461" s="37">
        <f t="shared" si="32"/>
        <v>-10.829340559693662</v>
      </c>
      <c r="AA461" s="37">
        <f t="shared" si="33"/>
        <v>-4.6865926578148107</v>
      </c>
      <c r="AB461" s="57"/>
    </row>
    <row r="462" spans="2:28" x14ac:dyDescent="0.35">
      <c r="B462" s="230">
        <f t="shared" si="28"/>
        <v>452</v>
      </c>
      <c r="C462" s="246" t="s">
        <v>691</v>
      </c>
      <c r="D462" s="248">
        <f>Table3.110[[#This Row],[Date]]</f>
        <v>46048</v>
      </c>
      <c r="E462" s="230" t="str">
        <f>Table3.110[[#This Row],[Requisitioner]]</f>
        <v>Genbank</v>
      </c>
      <c r="F462" s="230" t="str">
        <f>Table3.110[[#This Row],[Gene Bank ID]]</f>
        <v>CIAT13593</v>
      </c>
      <c r="G462" s="230" t="str">
        <f>Table3.110[[#This Row],[Genus]]</f>
        <v>Desmodium</v>
      </c>
      <c r="H462" s="230" t="str">
        <f>Table3.110[[#This Row],[Species]]</f>
        <v>scorpiurus</v>
      </c>
      <c r="I462" s="230" t="str">
        <f>Table3.110[[#This Row],[Tax Name]]</f>
        <v>Desmodium scorpiurus</v>
      </c>
      <c r="J462" s="230" t="str">
        <f>Table3.110[[#This Row],[Family]]</f>
        <v>Fabaceae</v>
      </c>
      <c r="K462" s="230" t="str">
        <f>Table3.110[[#This Row],[Order]]</f>
        <v>Fabales</v>
      </c>
      <c r="L462" s="230" t="str">
        <f>Table3.110[[#This Row],[Functional Group]]</f>
        <v>Herbaceous</v>
      </c>
      <c r="M462" s="230" t="str">
        <f>Table3.110[[#This Row],[CIAT ID]]</f>
        <v>F252600</v>
      </c>
      <c r="N462" s="230">
        <f>Table3.110[[#This Row],[Set CIAT]]</f>
        <v>28</v>
      </c>
      <c r="O462" s="230">
        <f>Table3.110[[#This Row],[Batch]]</f>
        <v>60</v>
      </c>
      <c r="P462" s="230">
        <f>Table3.110[[#This Row],[Run]]</f>
        <v>1</v>
      </c>
      <c r="Q462" s="230">
        <f>Table3.110[[#This Row],[Replication]]</f>
        <v>1</v>
      </c>
      <c r="R462" s="230">
        <f>Table3.110[[#This Row],[Syrange No]]</f>
        <v>0</v>
      </c>
      <c r="S462" s="250">
        <v>0.5786</v>
      </c>
      <c r="T462" s="250">
        <v>0.86839999999999995</v>
      </c>
      <c r="U462" s="108"/>
      <c r="V462" s="122">
        <f t="shared" si="31"/>
        <v>0.28979999999999995</v>
      </c>
      <c r="W462" s="61">
        <f>Table3.110[[#This Row],[DM Incubated, mg]]-('3.2 Digest'!V462*1000)</f>
        <v>164.1971192899137</v>
      </c>
      <c r="X462" s="61">
        <f>W462/Table3.110[[#This Row],[DM Incubated, mg]]*100</f>
        <v>36.1669958493857</v>
      </c>
      <c r="Y462" s="37">
        <f>Table3.1[[#This Row],[DM Incubated, mg]]*'2.4 NDF'!R187/100</f>
        <v>264.65631977691544</v>
      </c>
      <c r="Z462" s="37">
        <f t="shared" si="32"/>
        <v>-25.143680223084516</v>
      </c>
      <c r="AA462" s="37">
        <f t="shared" si="33"/>
        <v>-9.5005024796984525</v>
      </c>
      <c r="AB462" s="57"/>
    </row>
    <row r="463" spans="2:28" x14ac:dyDescent="0.35">
      <c r="B463" s="230">
        <f t="shared" si="28"/>
        <v>453</v>
      </c>
      <c r="C463" s="246" t="s">
        <v>691</v>
      </c>
      <c r="D463" s="248">
        <f>Table3.110[[#This Row],[Date]]</f>
        <v>46048</v>
      </c>
      <c r="E463" s="230" t="str">
        <f>Table3.110[[#This Row],[Requisitioner]]</f>
        <v>Genbank</v>
      </c>
      <c r="F463" s="230" t="str">
        <f>Table3.110[[#This Row],[Gene Bank ID]]</f>
        <v>CIAT13593</v>
      </c>
      <c r="G463" s="230" t="str">
        <f>Table3.110[[#This Row],[Genus]]</f>
        <v>Desmodium</v>
      </c>
      <c r="H463" s="230" t="str">
        <f>Table3.110[[#This Row],[Species]]</f>
        <v>scorpiurus</v>
      </c>
      <c r="I463" s="230" t="str">
        <f>Table3.110[[#This Row],[Tax Name]]</f>
        <v>Desmodium scorpiurus</v>
      </c>
      <c r="J463" s="230" t="str">
        <f>Table3.110[[#This Row],[Family]]</f>
        <v>Fabaceae</v>
      </c>
      <c r="K463" s="230" t="str">
        <f>Table3.110[[#This Row],[Order]]</f>
        <v>Fabales</v>
      </c>
      <c r="L463" s="230" t="str">
        <f>Table3.110[[#This Row],[Functional Group]]</f>
        <v>Herbaceous</v>
      </c>
      <c r="M463" s="230" t="str">
        <f>Table3.110[[#This Row],[CIAT ID]]</f>
        <v>F252600</v>
      </c>
      <c r="N463" s="230">
        <f>Table3.110[[#This Row],[Set CIAT]]</f>
        <v>28</v>
      </c>
      <c r="O463" s="230">
        <f>Table3.110[[#This Row],[Batch]]</f>
        <v>60</v>
      </c>
      <c r="P463" s="230">
        <f>Table3.110[[#This Row],[Run]]</f>
        <v>1</v>
      </c>
      <c r="Q463" s="230">
        <f>Table3.110[[#This Row],[Replication]]</f>
        <v>2</v>
      </c>
      <c r="R463" s="230">
        <f>Table3.110[[#This Row],[Syrange No]]</f>
        <v>0</v>
      </c>
      <c r="S463" s="98">
        <v>0.57110000000000005</v>
      </c>
      <c r="T463" s="98">
        <v>0.83930000000000005</v>
      </c>
      <c r="U463" s="108"/>
      <c r="V463" s="122">
        <f t="shared" si="31"/>
        <v>0.26819999999999999</v>
      </c>
      <c r="W463" s="61">
        <f>Table3.110[[#This Row],[DM Incubated, mg]]-('3.2 Digest'!V463*1000)</f>
        <v>185.34357571419952</v>
      </c>
      <c r="X463" s="61">
        <f>W463/Table3.110[[#This Row],[DM Incubated, mg]]*100</f>
        <v>40.86566002447222</v>
      </c>
      <c r="Y463" s="37">
        <f>Table3.1[[#This Row],[DM Incubated, mg]]*'2.4 NDF'!R187/100</f>
        <v>264.39192784906641</v>
      </c>
      <c r="Z463" s="37">
        <f t="shared" si="32"/>
        <v>-3.8080721509335831</v>
      </c>
      <c r="AA463" s="37">
        <f t="shared" si="33"/>
        <v>-1.4403133189102126</v>
      </c>
      <c r="AB463" s="57"/>
    </row>
    <row r="464" spans="2:28" x14ac:dyDescent="0.35">
      <c r="B464" s="230">
        <f t="shared" si="28"/>
        <v>454</v>
      </c>
      <c r="C464" s="246" t="s">
        <v>691</v>
      </c>
      <c r="D464" s="248">
        <f>Table3.110[[#This Row],[Date]]</f>
        <v>46048</v>
      </c>
      <c r="E464" s="230" t="str">
        <f>Table3.110[[#This Row],[Requisitioner]]</f>
        <v>Genbank</v>
      </c>
      <c r="F464" s="230" t="str">
        <f>Table3.110[[#This Row],[Gene Bank ID]]</f>
        <v>CIAT13593</v>
      </c>
      <c r="G464" s="230" t="str">
        <f>Table3.110[[#This Row],[Genus]]</f>
        <v>Desmodium</v>
      </c>
      <c r="H464" s="230" t="str">
        <f>Table3.110[[#This Row],[Species]]</f>
        <v>scorpiurus</v>
      </c>
      <c r="I464" s="230" t="str">
        <f>Table3.110[[#This Row],[Tax Name]]</f>
        <v>Desmodium scorpiurus</v>
      </c>
      <c r="J464" s="230" t="str">
        <f>Table3.110[[#This Row],[Family]]</f>
        <v>Fabaceae</v>
      </c>
      <c r="K464" s="230" t="str">
        <f>Table3.110[[#This Row],[Order]]</f>
        <v>Fabales</v>
      </c>
      <c r="L464" s="230" t="str">
        <f>Table3.110[[#This Row],[Functional Group]]</f>
        <v>Herbaceous</v>
      </c>
      <c r="M464" s="230" t="str">
        <f>Table3.110[[#This Row],[CIAT ID]]</f>
        <v>F252600</v>
      </c>
      <c r="N464" s="230">
        <f>Table3.110[[#This Row],[Set CIAT]]</f>
        <v>28</v>
      </c>
      <c r="O464" s="230">
        <f>Table3.110[[#This Row],[Batch]]</f>
        <v>60</v>
      </c>
      <c r="P464" s="230">
        <f>Table3.110[[#This Row],[Run]]</f>
        <v>1</v>
      </c>
      <c r="Q464" s="230">
        <f>Table3.110[[#This Row],[Replication]]</f>
        <v>3</v>
      </c>
      <c r="R464" s="230">
        <f>Table3.110[[#This Row],[Syrange No]]</f>
        <v>0</v>
      </c>
      <c r="S464" s="250">
        <v>0.56859999999999999</v>
      </c>
      <c r="T464" s="250">
        <v>0.84530000000000005</v>
      </c>
      <c r="U464" s="108"/>
      <c r="V464" s="122">
        <f t="shared" si="31"/>
        <v>0.27670000000000006</v>
      </c>
      <c r="W464" s="61">
        <f>Table3.110[[#This Row],[DM Incubated, mg]]-('3.2 Digest'!V464*1000)</f>
        <v>176.93428442934231</v>
      </c>
      <c r="X464" s="61">
        <f>W464/Table3.110[[#This Row],[DM Incubated, mg]]*100</f>
        <v>39.003728444361315</v>
      </c>
      <c r="Y464" s="37">
        <f>Table3.1[[#This Row],[DM Incubated, mg]]*'2.4 NDF'!R187/100</f>
        <v>264.44480623463625</v>
      </c>
      <c r="Z464" s="37">
        <f t="shared" si="32"/>
        <v>-12.255193765363799</v>
      </c>
      <c r="AA464" s="37">
        <f t="shared" si="33"/>
        <v>-4.6343106298295105</v>
      </c>
      <c r="AB464" s="57"/>
    </row>
    <row r="465" spans="2:28" x14ac:dyDescent="0.35">
      <c r="B465" s="230">
        <f t="shared" si="28"/>
        <v>455</v>
      </c>
      <c r="C465" s="246" t="s">
        <v>691</v>
      </c>
      <c r="D465" s="248">
        <f>Table3.110[[#This Row],[Date]]</f>
        <v>46048</v>
      </c>
      <c r="E465" s="230" t="str">
        <f>Table3.110[[#This Row],[Requisitioner]]</f>
        <v>Genbank</v>
      </c>
      <c r="F465" s="230" t="str">
        <f>Table3.110[[#This Row],[Gene Bank ID]]</f>
        <v>CIAT13608</v>
      </c>
      <c r="G465" s="230" t="str">
        <f>Table3.110[[#This Row],[Genus]]</f>
        <v>Desmodium</v>
      </c>
      <c r="H465" s="230" t="str">
        <f>Table3.110[[#This Row],[Species]]</f>
        <v>incanum</v>
      </c>
      <c r="I465" s="230" t="str">
        <f>Table3.110[[#This Row],[Tax Name]]</f>
        <v>Desmodium incanum</v>
      </c>
      <c r="J465" s="230" t="str">
        <f>Table3.110[[#This Row],[Family]]</f>
        <v>Fabaceae</v>
      </c>
      <c r="K465" s="230" t="str">
        <f>Table3.110[[#This Row],[Order]]</f>
        <v>Fabales</v>
      </c>
      <c r="L465" s="230" t="str">
        <f>Table3.110[[#This Row],[Functional Group]]</f>
        <v>Herbaceous</v>
      </c>
      <c r="M465" s="230" t="str">
        <f>Table3.110[[#This Row],[CIAT ID]]</f>
        <v>F252601</v>
      </c>
      <c r="N465" s="230">
        <f>Table3.110[[#This Row],[Set CIAT]]</f>
        <v>28</v>
      </c>
      <c r="O465" s="230">
        <f>Table3.110[[#This Row],[Batch]]</f>
        <v>60</v>
      </c>
      <c r="P465" s="230">
        <f>Table3.110[[#This Row],[Run]]</f>
        <v>1</v>
      </c>
      <c r="Q465" s="230">
        <f>Table3.110[[#This Row],[Replication]]</f>
        <v>1</v>
      </c>
      <c r="R465" s="230">
        <f>Table3.110[[#This Row],[Syrange No]]</f>
        <v>0</v>
      </c>
      <c r="S465" s="98">
        <v>0.58299999999999996</v>
      </c>
      <c r="T465" s="98">
        <v>0.86580000000000001</v>
      </c>
      <c r="U465" s="108"/>
      <c r="V465" s="122">
        <f t="shared" si="31"/>
        <v>0.28280000000000005</v>
      </c>
      <c r="W465" s="61">
        <f>Table3.110[[#This Row],[DM Incubated, mg]]-('3.2 Digest'!V465*1000)</f>
        <v>180.52322088955475</v>
      </c>
      <c r="X465" s="61">
        <f>W465/Table3.110[[#This Row],[DM Incubated, mg]]*100</f>
        <v>38.962696612304512</v>
      </c>
      <c r="Y465" s="37">
        <f>Table3.1[[#This Row],[DM Incubated, mg]]*'2.4 NDF'!R189/100</f>
        <v>275.75290241975461</v>
      </c>
      <c r="Z465" s="37">
        <f t="shared" si="32"/>
        <v>-7.0470975802454632</v>
      </c>
      <c r="AA465" s="37">
        <f t="shared" si="33"/>
        <v>-2.5555841909211461</v>
      </c>
      <c r="AB465" s="57"/>
    </row>
    <row r="466" spans="2:28" x14ac:dyDescent="0.35">
      <c r="B466" s="230">
        <f t="shared" si="28"/>
        <v>456</v>
      </c>
      <c r="C466" s="246" t="s">
        <v>691</v>
      </c>
      <c r="D466" s="248">
        <f>Table3.110[[#This Row],[Date]]</f>
        <v>46048</v>
      </c>
      <c r="E466" s="230" t="str">
        <f>Table3.110[[#This Row],[Requisitioner]]</f>
        <v>Genbank</v>
      </c>
      <c r="F466" s="230" t="str">
        <f>Table3.110[[#This Row],[Gene Bank ID]]</f>
        <v>CIAT13608</v>
      </c>
      <c r="G466" s="230" t="str">
        <f>Table3.110[[#This Row],[Genus]]</f>
        <v>Desmodium</v>
      </c>
      <c r="H466" s="230" t="str">
        <f>Table3.110[[#This Row],[Species]]</f>
        <v>incanum</v>
      </c>
      <c r="I466" s="230" t="str">
        <f>Table3.110[[#This Row],[Tax Name]]</f>
        <v>Desmodium incanum</v>
      </c>
      <c r="J466" s="230" t="str">
        <f>Table3.110[[#This Row],[Family]]</f>
        <v>Fabaceae</v>
      </c>
      <c r="K466" s="230" t="str">
        <f>Table3.110[[#This Row],[Order]]</f>
        <v>Fabales</v>
      </c>
      <c r="L466" s="230" t="str">
        <f>Table3.110[[#This Row],[Functional Group]]</f>
        <v>Herbaceous</v>
      </c>
      <c r="M466" s="230" t="str">
        <f>Table3.110[[#This Row],[CIAT ID]]</f>
        <v>F252601</v>
      </c>
      <c r="N466" s="230">
        <f>Table3.110[[#This Row],[Set CIAT]]</f>
        <v>28</v>
      </c>
      <c r="O466" s="230">
        <f>Table3.110[[#This Row],[Batch]]</f>
        <v>60</v>
      </c>
      <c r="P466" s="230">
        <f>Table3.110[[#This Row],[Run]]</f>
        <v>1</v>
      </c>
      <c r="Q466" s="230">
        <f>Table3.110[[#This Row],[Replication]]</f>
        <v>2</v>
      </c>
      <c r="R466" s="230">
        <f>Table3.110[[#This Row],[Syrange No]]</f>
        <v>0</v>
      </c>
      <c r="S466" s="250">
        <v>0.58989999999999998</v>
      </c>
      <c r="T466" s="250">
        <v>0.93830000000000002</v>
      </c>
      <c r="U466" s="108"/>
      <c r="V466" s="122">
        <f t="shared" si="31"/>
        <v>0.34840000000000004</v>
      </c>
      <c r="W466" s="61">
        <f>Table3.110[[#This Row],[DM Incubated, mg]]-('3.2 Digest'!V466*1000)</f>
        <v>114.64539365336282</v>
      </c>
      <c r="X466" s="61">
        <f>W466/Table3.110[[#This Row],[DM Incubated, mg]]*100</f>
        <v>24.75899668255564</v>
      </c>
      <c r="Y466" s="37">
        <f>Table3.1[[#This Row],[DM Incubated, mg]]*'2.4 NDF'!R189/100</f>
        <v>275.58754988982071</v>
      </c>
      <c r="Z466" s="37">
        <f t="shared" si="32"/>
        <v>-72.812450110179327</v>
      </c>
      <c r="AA466" s="37">
        <f t="shared" si="33"/>
        <v>-26.420805344540994</v>
      </c>
      <c r="AB466" s="57"/>
    </row>
    <row r="467" spans="2:28" x14ac:dyDescent="0.35">
      <c r="B467" s="230">
        <f t="shared" si="28"/>
        <v>457</v>
      </c>
      <c r="C467" s="246" t="s">
        <v>691</v>
      </c>
      <c r="D467" s="248">
        <f>Table3.110[[#This Row],[Date]]</f>
        <v>46048</v>
      </c>
      <c r="E467" s="230" t="str">
        <f>Table3.110[[#This Row],[Requisitioner]]</f>
        <v>Genbank</v>
      </c>
      <c r="F467" s="230" t="str">
        <f>Table3.110[[#This Row],[Gene Bank ID]]</f>
        <v>CIAT13608</v>
      </c>
      <c r="G467" s="230" t="str">
        <f>Table3.110[[#This Row],[Genus]]</f>
        <v>Desmodium</v>
      </c>
      <c r="H467" s="230" t="str">
        <f>Table3.110[[#This Row],[Species]]</f>
        <v>incanum</v>
      </c>
      <c r="I467" s="230" t="str">
        <f>Table3.110[[#This Row],[Tax Name]]</f>
        <v>Desmodium incanum</v>
      </c>
      <c r="J467" s="230" t="str">
        <f>Table3.110[[#This Row],[Family]]</f>
        <v>Fabaceae</v>
      </c>
      <c r="K467" s="230" t="str">
        <f>Table3.110[[#This Row],[Order]]</f>
        <v>Fabales</v>
      </c>
      <c r="L467" s="230" t="str">
        <f>Table3.110[[#This Row],[Functional Group]]</f>
        <v>Herbaceous</v>
      </c>
      <c r="M467" s="230" t="str">
        <f>Table3.110[[#This Row],[CIAT ID]]</f>
        <v>F252601</v>
      </c>
      <c r="N467" s="230">
        <f>Table3.110[[#This Row],[Set CIAT]]</f>
        <v>28</v>
      </c>
      <c r="O467" s="230">
        <f>Table3.110[[#This Row],[Batch]]</f>
        <v>60</v>
      </c>
      <c r="P467" s="230">
        <f>Table3.110[[#This Row],[Run]]</f>
        <v>1</v>
      </c>
      <c r="Q467" s="230">
        <f>Table3.110[[#This Row],[Replication]]</f>
        <v>3</v>
      </c>
      <c r="R467" s="230">
        <f>Table3.110[[#This Row],[Syrange No]]</f>
        <v>0</v>
      </c>
      <c r="S467" s="98">
        <v>0.57989999999999997</v>
      </c>
      <c r="T467" s="98">
        <v>0.89180000000000004</v>
      </c>
      <c r="U467" s="108"/>
      <c r="V467" s="122">
        <f t="shared" si="31"/>
        <v>0.31190000000000007</v>
      </c>
      <c r="W467" s="61">
        <f>Table3.110[[#This Row],[DM Incubated, mg]]-('3.2 Digest'!V467*1000)</f>
        <v>151.42322088955473</v>
      </c>
      <c r="X467" s="61">
        <f>W467/Table3.110[[#This Row],[DM Incubated, mg]]*100</f>
        <v>32.6819839935565</v>
      </c>
      <c r="Y467" s="37">
        <f>Table3.1[[#This Row],[DM Incubated, mg]]*'2.4 NDF'!R189/100</f>
        <v>275.75290241975461</v>
      </c>
      <c r="Z467" s="37">
        <f t="shared" si="32"/>
        <v>-36.147097580245486</v>
      </c>
      <c r="AA467" s="37">
        <f t="shared" si="33"/>
        <v>-13.108510286945924</v>
      </c>
      <c r="AB467" s="57"/>
    </row>
    <row r="468" spans="2:28" x14ac:dyDescent="0.35">
      <c r="B468" s="230">
        <f t="shared" si="28"/>
        <v>458</v>
      </c>
      <c r="C468" s="246" t="s">
        <v>691</v>
      </c>
      <c r="D468" s="248">
        <f>Table3.110[[#This Row],[Date]]</f>
        <v>46048</v>
      </c>
      <c r="E468" s="230" t="str">
        <f>Table3.110[[#This Row],[Requisitioner]]</f>
        <v>Genbank</v>
      </c>
      <c r="F468" s="230" t="str">
        <f>Table3.110[[#This Row],[Gene Bank ID]]</f>
        <v>CIAT18277</v>
      </c>
      <c r="G468" s="230" t="str">
        <f>Table3.110[[#This Row],[Genus]]</f>
        <v>Indigofera</v>
      </c>
      <c r="H468" s="230" t="str">
        <f>Table3.110[[#This Row],[Species]]</f>
        <v>jamaicensis</v>
      </c>
      <c r="I468" s="230" t="str">
        <f>Table3.110[[#This Row],[Tax Name]]</f>
        <v>Indigofera jamaicensis</v>
      </c>
      <c r="J468" s="230" t="str">
        <f>Table3.110[[#This Row],[Family]]</f>
        <v>Fabaceae</v>
      </c>
      <c r="K468" s="230" t="str">
        <f>Table3.110[[#This Row],[Order]]</f>
        <v>Fabales</v>
      </c>
      <c r="L468" s="230" t="str">
        <f>Table3.110[[#This Row],[Functional Group]]</f>
        <v>Herbaceous</v>
      </c>
      <c r="M468" s="230" t="str">
        <f>Table3.110[[#This Row],[CIAT ID]]</f>
        <v>F252602</v>
      </c>
      <c r="N468" s="230">
        <f>Table3.110[[#This Row],[Set CIAT]]</f>
        <v>28</v>
      </c>
      <c r="O468" s="230">
        <f>Table3.110[[#This Row],[Batch]]</f>
        <v>60</v>
      </c>
      <c r="P468" s="230">
        <f>Table3.110[[#This Row],[Run]]</f>
        <v>1</v>
      </c>
      <c r="Q468" s="230">
        <f>Table3.110[[#This Row],[Replication]]</f>
        <v>1</v>
      </c>
      <c r="R468" s="230">
        <f>Table3.110[[#This Row],[Syrange No]]</f>
        <v>0</v>
      </c>
      <c r="S468" s="250">
        <v>0.57999999999999996</v>
      </c>
      <c r="T468" s="250">
        <v>0.86040000000000005</v>
      </c>
      <c r="U468" s="108"/>
      <c r="V468" s="122">
        <f t="shared" si="31"/>
        <v>0.28040000000000009</v>
      </c>
      <c r="W468" s="61">
        <f>Table3.110[[#This Row],[DM Incubated, mg]]-('3.2 Digest'!V468*1000)</f>
        <v>169.18697595354422</v>
      </c>
      <c r="X468" s="61">
        <f>W468/Table3.110[[#This Row],[DM Incubated, mg]]*100</f>
        <v>37.631645266126718</v>
      </c>
      <c r="Y468" s="37">
        <f>Table3.1[[#This Row],[DM Incubated, mg]]*'2.4 NDF'!R191/100</f>
        <v>224.59973024112205</v>
      </c>
      <c r="Z468" s="37">
        <f t="shared" si="32"/>
        <v>-55.800269758878045</v>
      </c>
      <c r="AA468" s="37">
        <f t="shared" si="33"/>
        <v>-24.844317354688236</v>
      </c>
      <c r="AB468" s="57"/>
    </row>
    <row r="469" spans="2:28" x14ac:dyDescent="0.35">
      <c r="B469" s="230">
        <f t="shared" ref="B469:B532" si="34">B468+1</f>
        <v>459</v>
      </c>
      <c r="C469" s="246" t="s">
        <v>691</v>
      </c>
      <c r="D469" s="248">
        <f>Table3.110[[#This Row],[Date]]</f>
        <v>46048</v>
      </c>
      <c r="E469" s="230" t="str">
        <f>Table3.110[[#This Row],[Requisitioner]]</f>
        <v>Genbank</v>
      </c>
      <c r="F469" s="230" t="str">
        <f>Table3.110[[#This Row],[Gene Bank ID]]</f>
        <v>CIAT18277</v>
      </c>
      <c r="G469" s="230" t="str">
        <f>Table3.110[[#This Row],[Genus]]</f>
        <v>Indigofera</v>
      </c>
      <c r="H469" s="230" t="str">
        <f>Table3.110[[#This Row],[Species]]</f>
        <v>jamaicensis</v>
      </c>
      <c r="I469" s="230" t="str">
        <f>Table3.110[[#This Row],[Tax Name]]</f>
        <v>Indigofera jamaicensis</v>
      </c>
      <c r="J469" s="230" t="str">
        <f>Table3.110[[#This Row],[Family]]</f>
        <v>Fabaceae</v>
      </c>
      <c r="K469" s="230" t="str">
        <f>Table3.110[[#This Row],[Order]]</f>
        <v>Fabales</v>
      </c>
      <c r="L469" s="230" t="str">
        <f>Table3.110[[#This Row],[Functional Group]]</f>
        <v>Herbaceous</v>
      </c>
      <c r="M469" s="230" t="str">
        <f>Table3.110[[#This Row],[CIAT ID]]</f>
        <v>F252602</v>
      </c>
      <c r="N469" s="230">
        <f>Table3.110[[#This Row],[Set CIAT]]</f>
        <v>28</v>
      </c>
      <c r="O469" s="230">
        <f>Table3.110[[#This Row],[Batch]]</f>
        <v>60</v>
      </c>
      <c r="P469" s="230">
        <f>Table3.110[[#This Row],[Run]]</f>
        <v>1</v>
      </c>
      <c r="Q469" s="230">
        <f>Table3.110[[#This Row],[Replication]]</f>
        <v>2</v>
      </c>
      <c r="R469" s="230">
        <f>Table3.110[[#This Row],[Syrange No]]</f>
        <v>0</v>
      </c>
      <c r="S469" s="98">
        <v>0.59079999999999999</v>
      </c>
      <c r="T469" s="98">
        <v>0.8246</v>
      </c>
      <c r="U469" s="108"/>
      <c r="V469" s="122">
        <f t="shared" si="31"/>
        <v>0.23380000000000001</v>
      </c>
      <c r="W469" s="61">
        <f>Table3.110[[#This Row],[DM Incubated, mg]]-('3.2 Digest'!V469*1000)</f>
        <v>215.33783811542889</v>
      </c>
      <c r="X469" s="61">
        <f>W469/Table3.110[[#This Row],[DM Incubated, mg]]*100</f>
        <v>47.944710919699183</v>
      </c>
      <c r="Y469" s="37">
        <f>Table3.1[[#This Row],[DM Incubated, mg]]*'2.4 NDF'!R191/100</f>
        <v>224.37535488623581</v>
      </c>
      <c r="Z469" s="37">
        <f t="shared" si="32"/>
        <v>-9.4246451137641998</v>
      </c>
      <c r="AA469" s="37">
        <f t="shared" si="33"/>
        <v>-4.2003922928802684</v>
      </c>
      <c r="AB469" s="57"/>
    </row>
    <row r="470" spans="2:28" x14ac:dyDescent="0.35">
      <c r="B470" s="230">
        <f t="shared" si="34"/>
        <v>460</v>
      </c>
      <c r="C470" s="246" t="s">
        <v>691</v>
      </c>
      <c r="D470" s="248">
        <f>Table3.110[[#This Row],[Date]]</f>
        <v>46048</v>
      </c>
      <c r="E470" s="230" t="str">
        <f>Table3.110[[#This Row],[Requisitioner]]</f>
        <v>Genbank</v>
      </c>
      <c r="F470" s="230" t="str">
        <f>Table3.110[[#This Row],[Gene Bank ID]]</f>
        <v>CIAT18277</v>
      </c>
      <c r="G470" s="230" t="str">
        <f>Table3.110[[#This Row],[Genus]]</f>
        <v>Indigofera</v>
      </c>
      <c r="H470" s="230" t="str">
        <f>Table3.110[[#This Row],[Species]]</f>
        <v>jamaicensis</v>
      </c>
      <c r="I470" s="230" t="str">
        <f>Table3.110[[#This Row],[Tax Name]]</f>
        <v>Indigofera jamaicensis</v>
      </c>
      <c r="J470" s="230" t="str">
        <f>Table3.110[[#This Row],[Family]]</f>
        <v>Fabaceae</v>
      </c>
      <c r="K470" s="230" t="str">
        <f>Table3.110[[#This Row],[Order]]</f>
        <v>Fabales</v>
      </c>
      <c r="L470" s="230" t="str">
        <f>Table3.110[[#This Row],[Functional Group]]</f>
        <v>Herbaceous</v>
      </c>
      <c r="M470" s="230" t="str">
        <f>Table3.110[[#This Row],[CIAT ID]]</f>
        <v>F252602</v>
      </c>
      <c r="N470" s="230">
        <f>Table3.110[[#This Row],[Set CIAT]]</f>
        <v>28</v>
      </c>
      <c r="O470" s="230">
        <f>Table3.110[[#This Row],[Batch]]</f>
        <v>60</v>
      </c>
      <c r="P470" s="230">
        <f>Table3.110[[#This Row],[Run]]</f>
        <v>1</v>
      </c>
      <c r="Q470" s="230">
        <f>Table3.110[[#This Row],[Replication]]</f>
        <v>3</v>
      </c>
      <c r="R470" s="230">
        <f>Table3.110[[#This Row],[Syrange No]]</f>
        <v>0</v>
      </c>
      <c r="S470" s="250">
        <v>0.57720000000000005</v>
      </c>
      <c r="T470" s="250">
        <v>0.83579999999999999</v>
      </c>
      <c r="U470" s="108"/>
      <c r="V470" s="122">
        <f t="shared" ref="V470:V533" si="35">T470-S470</f>
        <v>0.25859999999999994</v>
      </c>
      <c r="W470" s="61">
        <f>Table3.110[[#This Row],[DM Incubated, mg]]-('3.2 Digest'!V470*1000)</f>
        <v>190.71749325067509</v>
      </c>
      <c r="X470" s="61">
        <f>W470/Table3.110[[#This Row],[DM Incubated, mg]]*100</f>
        <v>42.446042300933392</v>
      </c>
      <c r="Y470" s="37">
        <f>Table3.1[[#This Row],[DM Incubated, mg]]*'2.4 NDF'!R191/100</f>
        <v>224.46510502819029</v>
      </c>
      <c r="Z470" s="37">
        <f t="shared" ref="Z470:Z476" si="36">Y470-(V470*1000)</f>
        <v>-34.134894971809672</v>
      </c>
      <c r="AA470" s="37">
        <f t="shared" ref="AA470:AA476" si="37">Z470/Y470*100</f>
        <v>-15.207216715276395</v>
      </c>
      <c r="AB470" s="57"/>
    </row>
    <row r="471" spans="2:28" x14ac:dyDescent="0.35">
      <c r="B471" s="230">
        <f t="shared" si="34"/>
        <v>461</v>
      </c>
      <c r="C471" s="246" t="s">
        <v>691</v>
      </c>
      <c r="D471" s="248">
        <f>Table3.110[[#This Row],[Date]]</f>
        <v>46048</v>
      </c>
      <c r="E471" s="230" t="str">
        <f>Table3.110[[#This Row],[Requisitioner]]</f>
        <v>Genbank</v>
      </c>
      <c r="F471" s="230" t="str">
        <f>Table3.110[[#This Row],[Gene Bank ID]]</f>
        <v>CIAT18952</v>
      </c>
      <c r="G471" s="230" t="str">
        <f>Table3.110[[#This Row],[Genus]]</f>
        <v>Indigofera</v>
      </c>
      <c r="H471" s="230" t="str">
        <f>Table3.110[[#This Row],[Species]]</f>
        <v>atriceps</v>
      </c>
      <c r="I471" s="230" t="str">
        <f>Table3.110[[#This Row],[Tax Name]]</f>
        <v>Indigofera atriceps</v>
      </c>
      <c r="J471" s="230" t="str">
        <f>Table3.110[[#This Row],[Family]]</f>
        <v>Fabaceae</v>
      </c>
      <c r="K471" s="230" t="str">
        <f>Table3.110[[#This Row],[Order]]</f>
        <v>Fabales</v>
      </c>
      <c r="L471" s="230" t="str">
        <f>Table3.110[[#This Row],[Functional Group]]</f>
        <v>Herbaceous</v>
      </c>
      <c r="M471" s="230" t="str">
        <f>Table3.110[[#This Row],[CIAT ID]]</f>
        <v>F252603</v>
      </c>
      <c r="N471" s="230">
        <f>Table3.110[[#This Row],[Set CIAT]]</f>
        <v>28</v>
      </c>
      <c r="O471" s="230">
        <f>Table3.110[[#This Row],[Batch]]</f>
        <v>60</v>
      </c>
      <c r="P471" s="230">
        <f>Table3.110[[#This Row],[Run]]</f>
        <v>1</v>
      </c>
      <c r="Q471" s="230">
        <f>Table3.110[[#This Row],[Replication]]</f>
        <v>1</v>
      </c>
      <c r="R471" s="230">
        <f>Table3.110[[#This Row],[Syrange No]]</f>
        <v>0</v>
      </c>
      <c r="S471" s="98">
        <v>0.59340000000000004</v>
      </c>
      <c r="T471" s="98">
        <v>0.87409999999999999</v>
      </c>
      <c r="U471" s="108"/>
      <c r="V471" s="122">
        <f t="shared" si="35"/>
        <v>0.28069999999999995</v>
      </c>
      <c r="W471" s="61">
        <f>Table3.110[[#This Row],[DM Incubated, mg]]-('3.2 Digest'!V471*1000)</f>
        <v>171.19522950553505</v>
      </c>
      <c r="X471" s="61">
        <f>W471/Table3.110[[#This Row],[DM Incubated, mg]]*100</f>
        <v>37.883831987528907</v>
      </c>
      <c r="Y471" s="37">
        <f>Table3.1[[#This Row],[DM Incubated, mg]]*'2.4 NDF'!R193/100</f>
        <v>217.56891361531896</v>
      </c>
      <c r="Z471" s="37">
        <f t="shared" si="36"/>
        <v>-63.13108638468097</v>
      </c>
      <c r="AA471" s="37">
        <f t="shared" si="37"/>
        <v>-29.016593104060036</v>
      </c>
      <c r="AB471" s="57"/>
    </row>
    <row r="472" spans="2:28" x14ac:dyDescent="0.35">
      <c r="B472" s="230">
        <f t="shared" si="34"/>
        <v>462</v>
      </c>
      <c r="C472" s="246" t="s">
        <v>691</v>
      </c>
      <c r="D472" s="248">
        <f>Table3.110[[#This Row],[Date]]</f>
        <v>46048</v>
      </c>
      <c r="E472" s="230" t="str">
        <f>Table3.110[[#This Row],[Requisitioner]]</f>
        <v>Genbank</v>
      </c>
      <c r="F472" s="230" t="str">
        <f>Table3.110[[#This Row],[Gene Bank ID]]</f>
        <v>CIAT18952</v>
      </c>
      <c r="G472" s="230" t="str">
        <f>Table3.110[[#This Row],[Genus]]</f>
        <v>Indigofera</v>
      </c>
      <c r="H472" s="230" t="str">
        <f>Table3.110[[#This Row],[Species]]</f>
        <v>atriceps</v>
      </c>
      <c r="I472" s="230" t="str">
        <f>Table3.110[[#This Row],[Tax Name]]</f>
        <v>Indigofera atriceps</v>
      </c>
      <c r="J472" s="230" t="str">
        <f>Table3.110[[#This Row],[Family]]</f>
        <v>Fabaceae</v>
      </c>
      <c r="K472" s="230" t="str">
        <f>Table3.110[[#This Row],[Order]]</f>
        <v>Fabales</v>
      </c>
      <c r="L472" s="230" t="str">
        <f>Table3.110[[#This Row],[Functional Group]]</f>
        <v>Herbaceous</v>
      </c>
      <c r="M472" s="230" t="str">
        <f>Table3.110[[#This Row],[CIAT ID]]</f>
        <v>F252603</v>
      </c>
      <c r="N472" s="230">
        <f>Table3.110[[#This Row],[Set CIAT]]</f>
        <v>28</v>
      </c>
      <c r="O472" s="230">
        <f>Table3.110[[#This Row],[Batch]]</f>
        <v>60</v>
      </c>
      <c r="P472" s="230">
        <f>Table3.110[[#This Row],[Run]]</f>
        <v>1</v>
      </c>
      <c r="Q472" s="230">
        <f>Table3.110[[#This Row],[Replication]]</f>
        <v>2</v>
      </c>
      <c r="R472" s="230">
        <f>Table3.110[[#This Row],[Syrange No]]</f>
        <v>0</v>
      </c>
      <c r="S472" s="250">
        <v>0.57789999999999997</v>
      </c>
      <c r="T472" s="250">
        <v>0.8427</v>
      </c>
      <c r="U472" s="108"/>
      <c r="V472" s="122">
        <f t="shared" si="35"/>
        <v>0.26480000000000004</v>
      </c>
      <c r="W472" s="61">
        <f>Table3.110[[#This Row],[DM Incubated, mg]]-('3.2 Digest'!V472*1000)</f>
        <v>187.1855724142726</v>
      </c>
      <c r="X472" s="61">
        <f>W472/Table3.110[[#This Row],[DM Incubated, mg]]*100</f>
        <v>41.414059173266153</v>
      </c>
      <c r="Y472" s="37">
        <f>Table3.1[[#This Row],[DM Incubated, mg]]*'2.4 NDF'!R193/100</f>
        <v>217.61240999948836</v>
      </c>
      <c r="Z472" s="37">
        <f t="shared" si="36"/>
        <v>-47.187590000511648</v>
      </c>
      <c r="AA472" s="37">
        <f t="shared" si="37"/>
        <v>-21.684236666751953</v>
      </c>
      <c r="AB472" s="57"/>
    </row>
    <row r="473" spans="2:28" x14ac:dyDescent="0.35">
      <c r="B473" s="230">
        <f t="shared" si="34"/>
        <v>463</v>
      </c>
      <c r="C473" s="246" t="s">
        <v>691</v>
      </c>
      <c r="D473" s="248">
        <f>Table3.110[[#This Row],[Date]]</f>
        <v>46048</v>
      </c>
      <c r="E473" s="230" t="str">
        <f>Table3.110[[#This Row],[Requisitioner]]</f>
        <v>Genbank</v>
      </c>
      <c r="F473" s="230" t="str">
        <f>Table3.110[[#This Row],[Gene Bank ID]]</f>
        <v>CIAT18952</v>
      </c>
      <c r="G473" s="230" t="str">
        <f>Table3.110[[#This Row],[Genus]]</f>
        <v>Indigofera</v>
      </c>
      <c r="H473" s="230" t="str">
        <f>Table3.110[[#This Row],[Species]]</f>
        <v>atriceps</v>
      </c>
      <c r="I473" s="230" t="str">
        <f>Table3.110[[#This Row],[Tax Name]]</f>
        <v>Indigofera atriceps</v>
      </c>
      <c r="J473" s="230" t="str">
        <f>Table3.110[[#This Row],[Family]]</f>
        <v>Fabaceae</v>
      </c>
      <c r="K473" s="230" t="str">
        <f>Table3.110[[#This Row],[Order]]</f>
        <v>Fabales</v>
      </c>
      <c r="L473" s="230" t="str">
        <f>Table3.110[[#This Row],[Functional Group]]</f>
        <v>Herbaceous</v>
      </c>
      <c r="M473" s="230" t="str">
        <f>Table3.110[[#This Row],[CIAT ID]]</f>
        <v>F252603</v>
      </c>
      <c r="N473" s="230">
        <f>Table3.110[[#This Row],[Set CIAT]]</f>
        <v>28</v>
      </c>
      <c r="O473" s="230">
        <f>Table3.110[[#This Row],[Batch]]</f>
        <v>60</v>
      </c>
      <c r="P473" s="230">
        <f>Table3.110[[#This Row],[Run]]</f>
        <v>1</v>
      </c>
      <c r="Q473" s="230">
        <f>Table3.110[[#This Row],[Replication]]</f>
        <v>3</v>
      </c>
      <c r="R473" s="230">
        <f>Table3.110[[#This Row],[Syrange No]]</f>
        <v>0</v>
      </c>
      <c r="S473" s="98">
        <v>0.57889999999999997</v>
      </c>
      <c r="T473" s="98">
        <v>0.8498</v>
      </c>
      <c r="U473" s="108"/>
      <c r="V473" s="122">
        <f t="shared" si="35"/>
        <v>0.27090000000000003</v>
      </c>
      <c r="W473" s="61">
        <f>Table3.110[[#This Row],[DM Incubated, mg]]-('3.2 Digest'!V473*1000)</f>
        <v>181.1759153230102</v>
      </c>
      <c r="X473" s="61">
        <f>W473/Table3.110[[#This Row],[DM Incubated, mg]]*100</f>
        <v>40.076436098914755</v>
      </c>
      <c r="Y473" s="37">
        <f>Table3.1[[#This Row],[DM Incubated, mg]]*'2.4 NDF'!R193/100</f>
        <v>217.65590638365774</v>
      </c>
      <c r="Z473" s="37">
        <f t="shared" si="36"/>
        <v>-53.244093616342298</v>
      </c>
      <c r="AA473" s="37">
        <f t="shared" si="37"/>
        <v>-24.462508048134467</v>
      </c>
      <c r="AB473" s="57"/>
    </row>
    <row r="474" spans="2:28" x14ac:dyDescent="0.35">
      <c r="B474" s="230">
        <f t="shared" si="34"/>
        <v>464</v>
      </c>
      <c r="C474" s="246" t="s">
        <v>691</v>
      </c>
      <c r="D474" s="248">
        <f>Table3.110[[#This Row],[Date]]</f>
        <v>46048</v>
      </c>
      <c r="E474" s="230" t="str">
        <f>Table3.110[[#This Row],[Requisitioner]]</f>
        <v>Jacobo Arango/Alejandro Montoya</v>
      </c>
      <c r="F474" s="230" t="str">
        <f>Table3.110[[#This Row],[Gene Bank ID]]</f>
        <v>Sample 8</v>
      </c>
      <c r="G474" s="230" t="str">
        <f>Table3.110[[#This Row],[Genus]]</f>
        <v>Cynodon</v>
      </c>
      <c r="H474" s="230" t="str">
        <f>Table3.110[[#This Row],[Species]]</f>
        <v>nlemfuensis</v>
      </c>
      <c r="I474" s="230" t="str">
        <f>Table3.110[[#This Row],[Tax Name]]</f>
        <v xml:space="preserve">Cynodon nlemfuensis </v>
      </c>
      <c r="J474" s="230" t="str">
        <f>Table3.110[[#This Row],[Family]]</f>
        <v>Poaceae</v>
      </c>
      <c r="K474" s="230" t="str">
        <f>Table3.110[[#This Row],[Order]]</f>
        <v>Poales</v>
      </c>
      <c r="L474" s="230" t="str">
        <f>Table3.110[[#This Row],[Functional Group]]</f>
        <v>grasses</v>
      </c>
      <c r="M474" s="230" t="str">
        <f>Table3.110[[#This Row],[CIAT ID]]</f>
        <v>F250008</v>
      </c>
      <c r="N474" s="230">
        <f>Table3.110[[#This Row],[Set CIAT]]</f>
        <v>28</v>
      </c>
      <c r="O474" s="230">
        <f>Table3.110[[#This Row],[Batch]]</f>
        <v>60</v>
      </c>
      <c r="P474" s="230">
        <f>Table3.110[[#This Row],[Run]]</f>
        <v>1</v>
      </c>
      <c r="Q474" s="230">
        <f>Table3.110[[#This Row],[Replication]]</f>
        <v>1</v>
      </c>
      <c r="R474" s="230">
        <f>Table3.110[[#This Row],[Syrange No]]</f>
        <v>0</v>
      </c>
      <c r="S474" s="250">
        <v>0.56159999999999999</v>
      </c>
      <c r="T474" s="250">
        <v>0.9204</v>
      </c>
      <c r="U474" s="108"/>
      <c r="V474" s="122">
        <f t="shared" si="35"/>
        <v>0.35880000000000001</v>
      </c>
      <c r="W474" s="61">
        <f>Table3.110[[#This Row],[DM Incubated, mg]]-('3.2 Digest'!V474*1000)</f>
        <v>109.32419999999991</v>
      </c>
      <c r="X474" s="61">
        <f>W474/Table3.110[[#This Row],[DM Incubated, mg]]*100</f>
        <v>23.353674089055836</v>
      </c>
      <c r="Y474" s="37">
        <f>Table3.1[[#This Row],[DM Incubated, mg]]*'2.4 NDF'!R195/100</f>
        <v>356.2425161999999</v>
      </c>
      <c r="Z474" s="37">
        <f t="shared" si="36"/>
        <v>-2.5574838000001137</v>
      </c>
      <c r="AA474" s="37">
        <f t="shared" si="37"/>
        <v>-0.71790527062308973</v>
      </c>
      <c r="AB474" s="57"/>
    </row>
    <row r="475" spans="2:28" x14ac:dyDescent="0.35">
      <c r="B475" s="230">
        <f t="shared" si="34"/>
        <v>465</v>
      </c>
      <c r="C475" s="246" t="s">
        <v>691</v>
      </c>
      <c r="D475" s="248">
        <f>Table3.110[[#This Row],[Date]]</f>
        <v>46048</v>
      </c>
      <c r="E475" s="230" t="str">
        <f>Table3.110[[#This Row],[Requisitioner]]</f>
        <v>Jacobo Arango/Alejandro Montoya</v>
      </c>
      <c r="F475" s="230" t="str">
        <f>Table3.110[[#This Row],[Gene Bank ID]]</f>
        <v>Sample 8</v>
      </c>
      <c r="G475" s="230" t="str">
        <f>Table3.110[[#This Row],[Genus]]</f>
        <v>Cynodon</v>
      </c>
      <c r="H475" s="230" t="str">
        <f>Table3.110[[#This Row],[Species]]</f>
        <v>nlemfuensis</v>
      </c>
      <c r="I475" s="230" t="str">
        <f>Table3.110[[#This Row],[Tax Name]]</f>
        <v xml:space="preserve">Cynodon nlemfuensis </v>
      </c>
      <c r="J475" s="230" t="str">
        <f>Table3.110[[#This Row],[Family]]</f>
        <v>Poaceae</v>
      </c>
      <c r="K475" s="230" t="str">
        <f>Table3.110[[#This Row],[Order]]</f>
        <v>Poales</v>
      </c>
      <c r="L475" s="230" t="str">
        <f>Table3.110[[#This Row],[Functional Group]]</f>
        <v>grasses</v>
      </c>
      <c r="M475" s="230" t="str">
        <f>Table3.110[[#This Row],[CIAT ID]]</f>
        <v>F250008</v>
      </c>
      <c r="N475" s="230">
        <f>Table3.110[[#This Row],[Set CIAT]]</f>
        <v>28</v>
      </c>
      <c r="O475" s="230">
        <f>Table3.110[[#This Row],[Batch]]</f>
        <v>60</v>
      </c>
      <c r="P475" s="230">
        <f>Table3.110[[#This Row],[Run]]</f>
        <v>1</v>
      </c>
      <c r="Q475" s="230">
        <f>Table3.110[[#This Row],[Replication]]</f>
        <v>2</v>
      </c>
      <c r="R475" s="230">
        <f>Table3.110[[#This Row],[Syrange No]]</f>
        <v>0</v>
      </c>
      <c r="S475" s="98">
        <v>0.57399999999999995</v>
      </c>
      <c r="T475" s="98">
        <v>0.86680000000000001</v>
      </c>
      <c r="U475" s="108"/>
      <c r="V475" s="122">
        <f t="shared" si="35"/>
        <v>0.29280000000000006</v>
      </c>
      <c r="W475" s="61">
        <f>Table3.110[[#This Row],[DM Incubated, mg]]-('3.2 Digest'!V475*1000)</f>
        <v>175.13709999999992</v>
      </c>
      <c r="X475" s="61">
        <f>W475/Table3.110[[#This Row],[DM Incubated, mg]]*100</f>
        <v>37.427487583267052</v>
      </c>
      <c r="Y475" s="37">
        <f>Table3.1[[#This Row],[DM Incubated, mg]]*'2.4 NDF'!R195/100</f>
        <v>356.10013309999994</v>
      </c>
      <c r="Z475" s="37">
        <f t="shared" si="36"/>
        <v>63.300133099999869</v>
      </c>
      <c r="AA475" s="37">
        <f t="shared" si="37"/>
        <v>17.775936377486257</v>
      </c>
      <c r="AB475" s="57"/>
    </row>
    <row r="476" spans="2:28" x14ac:dyDescent="0.35">
      <c r="B476" s="230">
        <f t="shared" si="34"/>
        <v>466</v>
      </c>
      <c r="C476" s="246" t="s">
        <v>691</v>
      </c>
      <c r="D476" s="248">
        <f>Table3.110[[#This Row],[Date]]</f>
        <v>46048</v>
      </c>
      <c r="E476" s="230" t="str">
        <f>Table3.110[[#This Row],[Requisitioner]]</f>
        <v>Jacobo Arango/Alejandro Montoya</v>
      </c>
      <c r="F476" s="230" t="str">
        <f>Table3.110[[#This Row],[Gene Bank ID]]</f>
        <v>Sample 8</v>
      </c>
      <c r="G476" s="230" t="str">
        <f>Table3.110[[#This Row],[Genus]]</f>
        <v>Cynodon</v>
      </c>
      <c r="H476" s="230" t="str">
        <f>Table3.110[[#This Row],[Species]]</f>
        <v>nlemfuensis</v>
      </c>
      <c r="I476" s="230" t="str">
        <f>Table3.110[[#This Row],[Tax Name]]</f>
        <v xml:space="preserve">Cynodon nlemfuensis </v>
      </c>
      <c r="J476" s="230" t="str">
        <f>Table3.110[[#This Row],[Family]]</f>
        <v>Poaceae</v>
      </c>
      <c r="K476" s="230" t="str">
        <f>Table3.110[[#This Row],[Order]]</f>
        <v>Poales</v>
      </c>
      <c r="L476" s="230" t="str">
        <f>Table3.110[[#This Row],[Functional Group]]</f>
        <v>grasses</v>
      </c>
      <c r="M476" s="230" t="str">
        <f>Table3.110[[#This Row],[CIAT ID]]</f>
        <v>F250008</v>
      </c>
      <c r="N476" s="230">
        <f>Table3.110[[#This Row],[Set CIAT]]</f>
        <v>28</v>
      </c>
      <c r="O476" s="230">
        <f>Table3.110[[#This Row],[Batch]]</f>
        <v>60</v>
      </c>
      <c r="P476" s="230">
        <f>Table3.110[[#This Row],[Run]]</f>
        <v>1</v>
      </c>
      <c r="Q476" s="230">
        <f>Table3.110[[#This Row],[Replication]]</f>
        <v>3</v>
      </c>
      <c r="R476" s="230">
        <f>Table3.110[[#This Row],[Syrange No]]</f>
        <v>0</v>
      </c>
      <c r="S476" s="250">
        <v>0.5696</v>
      </c>
      <c r="T476" s="250">
        <v>0.96040000000000003</v>
      </c>
      <c r="U476" s="108"/>
      <c r="V476" s="122">
        <f t="shared" si="35"/>
        <v>0.39080000000000004</v>
      </c>
      <c r="W476" s="61">
        <f>Table3.110[[#This Row],[DM Incubated, mg]]-('3.2 Digest'!V476*1000)</f>
        <v>77.043549999999982</v>
      </c>
      <c r="X476" s="61">
        <f>W476/Table3.110[[#This Row],[DM Incubated, mg]]*100</f>
        <v>16.467802110342227</v>
      </c>
      <c r="Y476" s="37">
        <f>Table3.1[[#This Row],[DM Incubated, mg]]*'2.4 NDF'!R195/100</f>
        <v>356.02894154999996</v>
      </c>
      <c r="Z476" s="37">
        <f t="shared" si="36"/>
        <v>-34.771058450000055</v>
      </c>
      <c r="AA476" s="37">
        <f t="shared" si="37"/>
        <v>-9.7663572794451827</v>
      </c>
      <c r="AB476" s="57"/>
    </row>
    <row r="477" spans="2:28" x14ac:dyDescent="0.35">
      <c r="B477" s="230">
        <f t="shared" si="34"/>
        <v>467</v>
      </c>
      <c r="C477" s="246" t="s">
        <v>691</v>
      </c>
      <c r="D477" s="248">
        <f>Table3.110[[#This Row],[Date]]</f>
        <v>46048</v>
      </c>
      <c r="E477" s="230">
        <f>Table3.110[[#This Row],[Requisitioner]]</f>
        <v>0</v>
      </c>
      <c r="F477" s="230" t="str">
        <f>Table3.110[[#This Row],[Gene Bank ID]]</f>
        <v>BLANK 24 H</v>
      </c>
      <c r="G477" s="230" t="str">
        <f>Table3.110[[#This Row],[Genus]]</f>
        <v>BLANK</v>
      </c>
      <c r="H477" s="230">
        <f>Table3.110[[#This Row],[Species]]</f>
        <v>24</v>
      </c>
      <c r="I477" s="230" t="str">
        <f>Table3.110[[#This Row],[Tax Name]]</f>
        <v>BLANK 24 H</v>
      </c>
      <c r="J477" s="230">
        <f>Table3.110[[#This Row],[Family]]</f>
        <v>0</v>
      </c>
      <c r="K477" s="230">
        <f>Table3.110[[#This Row],[Order]]</f>
        <v>0</v>
      </c>
      <c r="L477" s="230">
        <f>Table3.110[[#This Row],[Functional Group]]</f>
        <v>0</v>
      </c>
      <c r="M477" s="230" t="str">
        <f>Table3.110[[#This Row],[CIAT ID]]</f>
        <v>BLANK24H</v>
      </c>
      <c r="N477" s="230">
        <f>Table3.110[[#This Row],[Set CIAT]]</f>
        <v>28</v>
      </c>
      <c r="O477" s="230">
        <f>Table3.110[[#This Row],[Batch]]</f>
        <v>60</v>
      </c>
      <c r="P477" s="230">
        <f>Table3.110[[#This Row],[Run]]</f>
        <v>1</v>
      </c>
      <c r="Q477" s="230">
        <f>Table3.110[[#This Row],[Replication]]</f>
        <v>1</v>
      </c>
      <c r="R477" s="230">
        <f>Table3.110[[#This Row],[Syrange No]]</f>
        <v>0</v>
      </c>
      <c r="S477" s="249"/>
      <c r="T477" s="249"/>
      <c r="U477" s="108"/>
      <c r="V477" s="122"/>
      <c r="W477" s="61"/>
      <c r="X477" s="61"/>
      <c r="Y477" s="37"/>
      <c r="Z477" s="37"/>
      <c r="AA477" s="37"/>
      <c r="AB477" s="57"/>
    </row>
    <row r="478" spans="2:28" x14ac:dyDescent="0.35">
      <c r="B478" s="230">
        <f t="shared" si="34"/>
        <v>468</v>
      </c>
      <c r="C478" s="246" t="s">
        <v>691</v>
      </c>
      <c r="D478" s="248">
        <f>Table3.110[[#This Row],[Date]]</f>
        <v>46048</v>
      </c>
      <c r="E478" s="230">
        <f>Table3.110[[#This Row],[Requisitioner]]</f>
        <v>0</v>
      </c>
      <c r="F478" s="230" t="str">
        <f>Table3.110[[#This Row],[Gene Bank ID]]</f>
        <v>BLANK 24 H</v>
      </c>
      <c r="G478" s="230" t="str">
        <f>Table3.110[[#This Row],[Genus]]</f>
        <v>BLANK</v>
      </c>
      <c r="H478" s="230">
        <f>Table3.110[[#This Row],[Species]]</f>
        <v>24</v>
      </c>
      <c r="I478" s="230" t="str">
        <f>Table3.110[[#This Row],[Tax Name]]</f>
        <v>BLANK 24 H</v>
      </c>
      <c r="J478" s="230">
        <f>Table3.110[[#This Row],[Family]]</f>
        <v>0</v>
      </c>
      <c r="K478" s="230">
        <f>Table3.110[[#This Row],[Order]]</f>
        <v>0</v>
      </c>
      <c r="L478" s="230">
        <f>Table3.110[[#This Row],[Functional Group]]</f>
        <v>0</v>
      </c>
      <c r="M478" s="230" t="str">
        <f>Table3.110[[#This Row],[CIAT ID]]</f>
        <v>BLANK24H</v>
      </c>
      <c r="N478" s="230">
        <f>Table3.110[[#This Row],[Set CIAT]]</f>
        <v>28</v>
      </c>
      <c r="O478" s="230">
        <f>Table3.110[[#This Row],[Batch]]</f>
        <v>60</v>
      </c>
      <c r="P478" s="230">
        <f>Table3.110[[#This Row],[Run]]</f>
        <v>1</v>
      </c>
      <c r="Q478" s="230">
        <f>Table3.110[[#This Row],[Replication]]</f>
        <v>2</v>
      </c>
      <c r="R478" s="230">
        <f>Table3.110[[#This Row],[Syrange No]]</f>
        <v>0</v>
      </c>
      <c r="S478" s="148"/>
      <c r="T478" s="148"/>
      <c r="U478" s="108"/>
      <c r="V478" s="122"/>
      <c r="W478" s="61"/>
      <c r="X478" s="61"/>
      <c r="Y478" s="37"/>
      <c r="Z478" s="37"/>
      <c r="AA478" s="37"/>
      <c r="AB478" s="57"/>
    </row>
    <row r="479" spans="2:28" x14ac:dyDescent="0.35">
      <c r="B479" s="230">
        <f t="shared" si="34"/>
        <v>469</v>
      </c>
      <c r="C479" s="246" t="s">
        <v>691</v>
      </c>
      <c r="D479" s="248">
        <f>Table3.110[[#This Row],[Date]]</f>
        <v>46050</v>
      </c>
      <c r="E479" s="230">
        <f>Table3.110[[#This Row],[Requisitioner]]</f>
        <v>0</v>
      </c>
      <c r="F479" s="230" t="str">
        <f>Table3.110[[#This Row],[Gene Bank ID]]</f>
        <v>BLANK 24 H</v>
      </c>
      <c r="G479" s="230" t="str">
        <f>Table3.110[[#This Row],[Genus]]</f>
        <v>BLANK</v>
      </c>
      <c r="H479" s="230">
        <f>Table3.110[[#This Row],[Species]]</f>
        <v>24</v>
      </c>
      <c r="I479" s="230" t="str">
        <f>Table3.110[[#This Row],[Tax Name]]</f>
        <v>BLANK 24 H</v>
      </c>
      <c r="J479" s="230">
        <f>Table3.110[[#This Row],[Family]]</f>
        <v>0</v>
      </c>
      <c r="K479" s="230">
        <f>Table3.110[[#This Row],[Order]]</f>
        <v>0</v>
      </c>
      <c r="L479" s="230">
        <f>Table3.110[[#This Row],[Functional Group]]</f>
        <v>0</v>
      </c>
      <c r="M479" s="230" t="str">
        <f>Table3.110[[#This Row],[CIAT ID]]</f>
        <v>BLANK24H</v>
      </c>
      <c r="N479" s="230">
        <f>Table3.110[[#This Row],[Set CIAT]]</f>
        <v>28</v>
      </c>
      <c r="O479" s="230">
        <f>Table3.110[[#This Row],[Batch]]</f>
        <v>61</v>
      </c>
      <c r="P479" s="230">
        <f>Table3.110[[#This Row],[Run]]</f>
        <v>2</v>
      </c>
      <c r="Q479" s="230">
        <f>Table3.110[[#This Row],[Replication]]</f>
        <v>1</v>
      </c>
      <c r="R479" s="230">
        <f>Table3.110[[#This Row],[Syrange No]]</f>
        <v>0</v>
      </c>
      <c r="S479" s="249"/>
      <c r="T479" s="249"/>
      <c r="U479" s="108"/>
      <c r="V479" s="122"/>
      <c r="W479" s="61"/>
      <c r="X479" s="61"/>
      <c r="Y479" s="37"/>
      <c r="Z479" s="37"/>
      <c r="AA479" s="37"/>
      <c r="AB479" s="57"/>
    </row>
    <row r="480" spans="2:28" x14ac:dyDescent="0.35">
      <c r="B480" s="230">
        <f t="shared" si="34"/>
        <v>470</v>
      </c>
      <c r="C480" s="246" t="s">
        <v>691</v>
      </c>
      <c r="D480" s="248">
        <f>Table3.110[[#This Row],[Date]]</f>
        <v>46050</v>
      </c>
      <c r="E480" s="230">
        <f>Table3.110[[#This Row],[Requisitioner]]</f>
        <v>0</v>
      </c>
      <c r="F480" s="230" t="str">
        <f>Table3.110[[#This Row],[Gene Bank ID]]</f>
        <v>BLANK 24 H</v>
      </c>
      <c r="G480" s="230" t="str">
        <f>Table3.110[[#This Row],[Genus]]</f>
        <v>BLANK</v>
      </c>
      <c r="H480" s="230">
        <f>Table3.110[[#This Row],[Species]]</f>
        <v>24</v>
      </c>
      <c r="I480" s="230" t="str">
        <f>Table3.110[[#This Row],[Tax Name]]</f>
        <v>BLANK 24 H</v>
      </c>
      <c r="J480" s="230">
        <f>Table3.110[[#This Row],[Family]]</f>
        <v>0</v>
      </c>
      <c r="K480" s="230">
        <f>Table3.110[[#This Row],[Order]]</f>
        <v>0</v>
      </c>
      <c r="L480" s="230">
        <f>Table3.110[[#This Row],[Functional Group]]</f>
        <v>0</v>
      </c>
      <c r="M480" s="230" t="str">
        <f>Table3.110[[#This Row],[CIAT ID]]</f>
        <v>BLANK24H</v>
      </c>
      <c r="N480" s="230">
        <f>Table3.110[[#This Row],[Set CIAT]]</f>
        <v>28</v>
      </c>
      <c r="O480" s="230">
        <f>Table3.110[[#This Row],[Batch]]</f>
        <v>61</v>
      </c>
      <c r="P480" s="230">
        <f>Table3.110[[#This Row],[Run]]</f>
        <v>2</v>
      </c>
      <c r="Q480" s="230">
        <f>Table3.110[[#This Row],[Replication]]</f>
        <v>2</v>
      </c>
      <c r="R480" s="230">
        <f>Table3.110[[#This Row],[Syrange No]]</f>
        <v>0</v>
      </c>
      <c r="S480" s="148"/>
      <c r="T480" s="148"/>
      <c r="U480" s="108"/>
      <c r="V480" s="122"/>
      <c r="W480" s="61"/>
      <c r="X480" s="61"/>
      <c r="Y480" s="37"/>
      <c r="Z480" s="37"/>
      <c r="AA480" s="37"/>
      <c r="AB480" s="57"/>
    </row>
    <row r="481" spans="2:28" x14ac:dyDescent="0.35">
      <c r="B481" s="230">
        <f t="shared" si="34"/>
        <v>471</v>
      </c>
      <c r="C481" s="246" t="s">
        <v>691</v>
      </c>
      <c r="D481" s="248">
        <f>Table3.110[[#This Row],[Date]]</f>
        <v>46050</v>
      </c>
      <c r="E481" s="230" t="str">
        <f>Table3.110[[#This Row],[Requisitioner]]</f>
        <v>Genbank</v>
      </c>
      <c r="F481" s="230" t="str">
        <f>Table3.110[[#This Row],[Gene Bank ID]]</f>
        <v>CIAT-17459</v>
      </c>
      <c r="G481" s="230" t="str">
        <f>Table3.110[[#This Row],[Genus]]</f>
        <v>Erythrina</v>
      </c>
      <c r="H481" s="230" t="str">
        <f>Table3.110[[#This Row],[Species]]</f>
        <v>berteroana</v>
      </c>
      <c r="I481" s="230" t="str">
        <f>Table3.110[[#This Row],[Tax Name]]</f>
        <v>Erythrina berteroana</v>
      </c>
      <c r="J481" s="230" t="str">
        <f>Table3.110[[#This Row],[Family]]</f>
        <v>Fabaceae</v>
      </c>
      <c r="K481" s="230" t="str">
        <f>Table3.110[[#This Row],[Order]]</f>
        <v>Fabales</v>
      </c>
      <c r="L481" s="230" t="str">
        <f>Table3.110[[#This Row],[Functional Group]]</f>
        <v>Tree</v>
      </c>
      <c r="M481" s="230" t="str">
        <f>Table3.110[[#This Row],[CIAT ID]]</f>
        <v>F251758</v>
      </c>
      <c r="N481" s="230">
        <f>Table3.110[[#This Row],[Set CIAT]]</f>
        <v>28</v>
      </c>
      <c r="O481" s="230">
        <f>Table3.110[[#This Row],[Batch]]</f>
        <v>61</v>
      </c>
      <c r="P481" s="230">
        <f>Table3.110[[#This Row],[Run]]</f>
        <v>2</v>
      </c>
      <c r="Q481" s="230">
        <f>Table3.110[[#This Row],[Replication]]</f>
        <v>1</v>
      </c>
      <c r="R481" s="230">
        <f>Table3.110[[#This Row],[Syrange No]]</f>
        <v>0</v>
      </c>
      <c r="S481" s="98">
        <v>0.57989999999999997</v>
      </c>
      <c r="T481" s="98">
        <v>0.79369999999999996</v>
      </c>
      <c r="U481" s="108"/>
      <c r="V481" s="122">
        <f t="shared" si="35"/>
        <v>0.21379999999999999</v>
      </c>
      <c r="W481" s="61">
        <f>Table3.110[[#This Row],[DM Incubated, mg]]-('3.2 Digest'!V481*1000)</f>
        <v>259.32500000000027</v>
      </c>
      <c r="X481" s="61">
        <f>W481/Table3.110[[#This Row],[DM Incubated, mg]]*100</f>
        <v>54.811096433289329</v>
      </c>
      <c r="Y481" s="37">
        <f>Table3.1[[#This Row],[DM Incubated, mg]]*'2.4 NDF'!R77/100</f>
        <v>245.91503244172583</v>
      </c>
      <c r="Z481" s="37">
        <f>Y481-(V481*1000)</f>
        <v>32.115032441725845</v>
      </c>
      <c r="AA481" s="37">
        <f>Z481/Y481*100</f>
        <v>13.059401909208662</v>
      </c>
      <c r="AB481" s="57"/>
    </row>
    <row r="482" spans="2:28" x14ac:dyDescent="0.35">
      <c r="B482" s="230">
        <f t="shared" si="34"/>
        <v>472</v>
      </c>
      <c r="C482" s="246" t="s">
        <v>691</v>
      </c>
      <c r="D482" s="248">
        <f>Table3.110[[#This Row],[Date]]</f>
        <v>46050</v>
      </c>
      <c r="E482" s="230" t="str">
        <f>Table3.110[[#This Row],[Requisitioner]]</f>
        <v>Genbank</v>
      </c>
      <c r="F482" s="230" t="str">
        <f>Table3.110[[#This Row],[Gene Bank ID]]</f>
        <v>CIAT-17459</v>
      </c>
      <c r="G482" s="230" t="str">
        <f>Table3.110[[#This Row],[Genus]]</f>
        <v>Erythrina</v>
      </c>
      <c r="H482" s="230" t="str">
        <f>Table3.110[[#This Row],[Species]]</f>
        <v>berteroana</v>
      </c>
      <c r="I482" s="230" t="str">
        <f>Table3.110[[#This Row],[Tax Name]]</f>
        <v>Erythrina berteroana</v>
      </c>
      <c r="J482" s="230" t="str">
        <f>Table3.110[[#This Row],[Family]]</f>
        <v>Fabaceae</v>
      </c>
      <c r="K482" s="230" t="str">
        <f>Table3.110[[#This Row],[Order]]</f>
        <v>Fabales</v>
      </c>
      <c r="L482" s="230" t="str">
        <f>Table3.110[[#This Row],[Functional Group]]</f>
        <v>Tree</v>
      </c>
      <c r="M482" s="230" t="str">
        <f>Table3.110[[#This Row],[CIAT ID]]</f>
        <v>F251758</v>
      </c>
      <c r="N482" s="230">
        <f>Table3.110[[#This Row],[Set CIAT]]</f>
        <v>28</v>
      </c>
      <c r="O482" s="230">
        <f>Table3.110[[#This Row],[Batch]]</f>
        <v>61</v>
      </c>
      <c r="P482" s="230">
        <f>Table3.110[[#This Row],[Run]]</f>
        <v>2</v>
      </c>
      <c r="Q482" s="230">
        <f>Table3.110[[#This Row],[Replication]]</f>
        <v>2</v>
      </c>
      <c r="R482" s="230">
        <f>Table3.110[[#This Row],[Syrange No]]</f>
        <v>0</v>
      </c>
      <c r="S482" s="250">
        <v>0.61219999999999997</v>
      </c>
      <c r="T482" s="250">
        <v>0.82379999999999998</v>
      </c>
      <c r="U482" s="108"/>
      <c r="V482" s="122">
        <f t="shared" si="35"/>
        <v>0.21160000000000001</v>
      </c>
      <c r="W482" s="61">
        <f>Table3.110[[#This Row],[DM Incubated, mg]]-('3.2 Digest'!V482*1000)</f>
        <v>261.71417433026807</v>
      </c>
      <c r="X482" s="61">
        <f>W482/Table3.110[[#This Row],[DM Incubated, mg]]*100</f>
        <v>55.29396509212711</v>
      </c>
      <c r="Y482" s="37">
        <f>Table3.1[[#This Row],[DM Incubated, mg]]*'2.4 NDF'!R77/100</f>
        <v>246.01335912402956</v>
      </c>
      <c r="Z482" s="37">
        <f t="shared" ref="Z482:Z545" si="38">Y482-(V482*1000)</f>
        <v>34.41335912402954</v>
      </c>
      <c r="AA482" s="37">
        <f t="shared" ref="AA482:AA545" si="39">Z482/Y482*100</f>
        <v>13.988410729630246</v>
      </c>
      <c r="AB482" s="57"/>
    </row>
    <row r="483" spans="2:28" x14ac:dyDescent="0.35">
      <c r="B483" s="230">
        <f t="shared" si="34"/>
        <v>473</v>
      </c>
      <c r="C483" s="246" t="s">
        <v>691</v>
      </c>
      <c r="D483" s="248">
        <f>Table3.110[[#This Row],[Date]]</f>
        <v>46050</v>
      </c>
      <c r="E483" s="230" t="str">
        <f>Table3.110[[#This Row],[Requisitioner]]</f>
        <v>Genbank</v>
      </c>
      <c r="F483" s="230" t="str">
        <f>Table3.110[[#This Row],[Gene Bank ID]]</f>
        <v>CIAT-17459</v>
      </c>
      <c r="G483" s="230" t="str">
        <f>Table3.110[[#This Row],[Genus]]</f>
        <v>Erythrina</v>
      </c>
      <c r="H483" s="230" t="str">
        <f>Table3.110[[#This Row],[Species]]</f>
        <v>berteroana</v>
      </c>
      <c r="I483" s="230" t="str">
        <f>Table3.110[[#This Row],[Tax Name]]</f>
        <v>Erythrina berteroana</v>
      </c>
      <c r="J483" s="230" t="str">
        <f>Table3.110[[#This Row],[Family]]</f>
        <v>Fabaceae</v>
      </c>
      <c r="K483" s="230" t="str">
        <f>Table3.110[[#This Row],[Order]]</f>
        <v>Fabales</v>
      </c>
      <c r="L483" s="230" t="str">
        <f>Table3.110[[#This Row],[Functional Group]]</f>
        <v>Tree</v>
      </c>
      <c r="M483" s="230" t="str">
        <f>Table3.110[[#This Row],[CIAT ID]]</f>
        <v>F251758</v>
      </c>
      <c r="N483" s="230">
        <f>Table3.110[[#This Row],[Set CIAT]]</f>
        <v>28</v>
      </c>
      <c r="O483" s="230">
        <f>Table3.110[[#This Row],[Batch]]</f>
        <v>61</v>
      </c>
      <c r="P483" s="230">
        <f>Table3.110[[#This Row],[Run]]</f>
        <v>2</v>
      </c>
      <c r="Q483" s="230">
        <f>Table3.110[[#This Row],[Replication]]</f>
        <v>3</v>
      </c>
      <c r="R483" s="230">
        <f>Table3.110[[#This Row],[Syrange No]]</f>
        <v>0</v>
      </c>
      <c r="S483" s="98">
        <v>0.56979999999999997</v>
      </c>
      <c r="T483" s="98">
        <v>0.78859999999999997</v>
      </c>
      <c r="U483" s="108"/>
      <c r="V483" s="122">
        <f t="shared" si="35"/>
        <v>0.21879999999999999</v>
      </c>
      <c r="W483" s="61">
        <f>Table3.110[[#This Row],[DM Incubated, mg]]-('3.2 Digest'!V483*1000)</f>
        <v>254.13582566973238</v>
      </c>
      <c r="X483" s="61">
        <f>W483/Table3.110[[#This Row],[DM Incubated, mg]]*100</f>
        <v>53.73579498018497</v>
      </c>
      <c r="Y483" s="37">
        <f>Table3.1[[#This Row],[DM Incubated, mg]]*'2.4 NDF'!R77/100</f>
        <v>245.81670575942204</v>
      </c>
      <c r="Z483" s="37">
        <f t="shared" si="38"/>
        <v>27.016705759422052</v>
      </c>
      <c r="AA483" s="37">
        <f t="shared" si="39"/>
        <v>10.990589787604993</v>
      </c>
      <c r="AB483" s="57"/>
    </row>
    <row r="484" spans="2:28" x14ac:dyDescent="0.35">
      <c r="B484" s="230">
        <f t="shared" si="34"/>
        <v>474</v>
      </c>
      <c r="C484" s="246" t="s">
        <v>691</v>
      </c>
      <c r="D484" s="248">
        <f>Table3.110[[#This Row],[Date]]</f>
        <v>46050</v>
      </c>
      <c r="E484" s="230" t="str">
        <f>Table3.110[[#This Row],[Requisitioner]]</f>
        <v>Genbank</v>
      </c>
      <c r="F484" s="230" t="str">
        <f>Table3.110[[#This Row],[Gene Bank ID]]</f>
        <v>CIAT-17482</v>
      </c>
      <c r="G484" s="230" t="str">
        <f>Table3.110[[#This Row],[Genus]]</f>
        <v>Leucaena</v>
      </c>
      <c r="H484" s="230" t="str">
        <f>Table3.110[[#This Row],[Species]]</f>
        <v>leucocephala</v>
      </c>
      <c r="I484" s="230" t="str">
        <f>Table3.110[[#This Row],[Tax Name]]</f>
        <v>Leucaena leucocephala</v>
      </c>
      <c r="J484" s="230" t="str">
        <f>Table3.110[[#This Row],[Family]]</f>
        <v>Fabaceae</v>
      </c>
      <c r="K484" s="230" t="str">
        <f>Table3.110[[#This Row],[Order]]</f>
        <v>Fabales</v>
      </c>
      <c r="L484" s="230" t="str">
        <f>Table3.110[[#This Row],[Functional Group]]</f>
        <v>Tree</v>
      </c>
      <c r="M484" s="230" t="str">
        <f>Table3.110[[#This Row],[CIAT ID]]</f>
        <v>F251759</v>
      </c>
      <c r="N484" s="230">
        <f>Table3.110[[#This Row],[Set CIAT]]</f>
        <v>28</v>
      </c>
      <c r="O484" s="230">
        <f>Table3.110[[#This Row],[Batch]]</f>
        <v>61</v>
      </c>
      <c r="P484" s="230">
        <f>Table3.110[[#This Row],[Run]]</f>
        <v>2</v>
      </c>
      <c r="Q484" s="230">
        <f>Table3.110[[#This Row],[Replication]]</f>
        <v>1</v>
      </c>
      <c r="R484" s="230">
        <f>Table3.110[[#This Row],[Syrange No]]</f>
        <v>0</v>
      </c>
      <c r="S484" s="250">
        <v>0.59140000000000004</v>
      </c>
      <c r="T484" s="250">
        <v>0.82609999999999995</v>
      </c>
      <c r="U484" s="108"/>
      <c r="V484" s="122">
        <f t="shared" si="35"/>
        <v>0.23469999999999991</v>
      </c>
      <c r="W484" s="61">
        <f>Table3.110[[#This Row],[DM Incubated, mg]]-('3.2 Digest'!V484*1000)</f>
        <v>228.6091626201401</v>
      </c>
      <c r="X484" s="61">
        <f>W484/Table3.110[[#This Row],[DM Incubated, mg]]*100</f>
        <v>49.342681100303039</v>
      </c>
      <c r="Y484" s="37">
        <f>Table3.1[[#This Row],[DM Incubated, mg]]*'2.4 NDF'!R79/100</f>
        <v>236.50673276511955</v>
      </c>
      <c r="Z484" s="37">
        <f t="shared" si="38"/>
        <v>1.8067327651196479</v>
      </c>
      <c r="AA484" s="37">
        <f t="shared" si="39"/>
        <v>0.7639244532264361</v>
      </c>
      <c r="AB484" s="57"/>
    </row>
    <row r="485" spans="2:28" x14ac:dyDescent="0.35">
      <c r="B485" s="230">
        <f t="shared" si="34"/>
        <v>475</v>
      </c>
      <c r="C485" s="246" t="s">
        <v>691</v>
      </c>
      <c r="D485" s="248">
        <f>Table3.110[[#This Row],[Date]]</f>
        <v>46050</v>
      </c>
      <c r="E485" s="230" t="str">
        <f>Table3.110[[#This Row],[Requisitioner]]</f>
        <v>Genbank</v>
      </c>
      <c r="F485" s="230" t="str">
        <f>Table3.110[[#This Row],[Gene Bank ID]]</f>
        <v>CIAT-17482</v>
      </c>
      <c r="G485" s="230" t="str">
        <f>Table3.110[[#This Row],[Genus]]</f>
        <v>Leucaena</v>
      </c>
      <c r="H485" s="230" t="str">
        <f>Table3.110[[#This Row],[Species]]</f>
        <v>leucocephala</v>
      </c>
      <c r="I485" s="230" t="str">
        <f>Table3.110[[#This Row],[Tax Name]]</f>
        <v>Leucaena leucocephala</v>
      </c>
      <c r="J485" s="230" t="str">
        <f>Table3.110[[#This Row],[Family]]</f>
        <v>Fabaceae</v>
      </c>
      <c r="K485" s="230" t="str">
        <f>Table3.110[[#This Row],[Order]]</f>
        <v>Fabales</v>
      </c>
      <c r="L485" s="230" t="str">
        <f>Table3.110[[#This Row],[Functional Group]]</f>
        <v>Tree</v>
      </c>
      <c r="M485" s="230" t="str">
        <f>Table3.110[[#This Row],[CIAT ID]]</f>
        <v>F251759</v>
      </c>
      <c r="N485" s="230">
        <f>Table3.110[[#This Row],[Set CIAT]]</f>
        <v>28</v>
      </c>
      <c r="O485" s="230">
        <f>Table3.110[[#This Row],[Batch]]</f>
        <v>61</v>
      </c>
      <c r="P485" s="230">
        <f>Table3.110[[#This Row],[Run]]</f>
        <v>2</v>
      </c>
      <c r="Q485" s="230">
        <f>Table3.110[[#This Row],[Replication]]</f>
        <v>2</v>
      </c>
      <c r="R485" s="230">
        <f>Table3.110[[#This Row],[Syrange No]]</f>
        <v>0</v>
      </c>
      <c r="S485" s="98">
        <v>0.55449999999999999</v>
      </c>
      <c r="T485" s="98">
        <v>0.75660000000000005</v>
      </c>
      <c r="U485" s="108"/>
      <c r="V485" s="122">
        <f t="shared" si="35"/>
        <v>0.20210000000000006</v>
      </c>
      <c r="W485" s="61">
        <f>Table3.110[[#This Row],[DM Incubated, mg]]-('3.2 Digest'!V485*1000)</f>
        <v>261.30182445266394</v>
      </c>
      <c r="X485" s="61">
        <f>W485/Table3.110[[#This Row],[DM Incubated, mg]]*100</f>
        <v>56.387741839664606</v>
      </c>
      <c r="Y485" s="37">
        <f>Table3.1[[#This Row],[DM Incubated, mg]]*'2.4 NDF'!R79/100</f>
        <v>236.55403411167256</v>
      </c>
      <c r="Z485" s="37">
        <f t="shared" si="38"/>
        <v>34.454034111672513</v>
      </c>
      <c r="AA485" s="37">
        <f t="shared" si="39"/>
        <v>14.564974231387417</v>
      </c>
      <c r="AB485" s="57"/>
    </row>
    <row r="486" spans="2:28" x14ac:dyDescent="0.35">
      <c r="B486" s="230">
        <f t="shared" si="34"/>
        <v>476</v>
      </c>
      <c r="C486" s="246" t="s">
        <v>691</v>
      </c>
      <c r="D486" s="248">
        <f>Table3.110[[#This Row],[Date]]</f>
        <v>46050</v>
      </c>
      <c r="E486" s="230" t="str">
        <f>Table3.110[[#This Row],[Requisitioner]]</f>
        <v>Genbank</v>
      </c>
      <c r="F486" s="230" t="str">
        <f>Table3.110[[#This Row],[Gene Bank ID]]</f>
        <v>CIAT-17482</v>
      </c>
      <c r="G486" s="230" t="str">
        <f>Table3.110[[#This Row],[Genus]]</f>
        <v>Leucaena</v>
      </c>
      <c r="H486" s="230" t="str">
        <f>Table3.110[[#This Row],[Species]]</f>
        <v>leucocephala</v>
      </c>
      <c r="I486" s="230" t="str">
        <f>Table3.110[[#This Row],[Tax Name]]</f>
        <v>Leucaena leucocephala</v>
      </c>
      <c r="J486" s="230" t="str">
        <f>Table3.110[[#This Row],[Family]]</f>
        <v>Fabaceae</v>
      </c>
      <c r="K486" s="230" t="str">
        <f>Table3.110[[#This Row],[Order]]</f>
        <v>Fabales</v>
      </c>
      <c r="L486" s="230" t="str">
        <f>Table3.110[[#This Row],[Functional Group]]</f>
        <v>Tree</v>
      </c>
      <c r="M486" s="230" t="str">
        <f>Table3.110[[#This Row],[CIAT ID]]</f>
        <v>F251759</v>
      </c>
      <c r="N486" s="230">
        <f>Table3.110[[#This Row],[Set CIAT]]</f>
        <v>28</v>
      </c>
      <c r="O486" s="230">
        <f>Table3.110[[#This Row],[Batch]]</f>
        <v>61</v>
      </c>
      <c r="P486" s="230">
        <f>Table3.110[[#This Row],[Run]]</f>
        <v>2</v>
      </c>
      <c r="Q486" s="230">
        <f>Table3.110[[#This Row],[Replication]]</f>
        <v>3</v>
      </c>
      <c r="R486" s="230">
        <f>Table3.110[[#This Row],[Syrange No]]</f>
        <v>0</v>
      </c>
      <c r="S486" s="250">
        <v>0.57430000000000003</v>
      </c>
      <c r="T486" s="250">
        <v>0.79490000000000005</v>
      </c>
      <c r="U486" s="108"/>
      <c r="V486" s="122">
        <f t="shared" si="35"/>
        <v>0.22060000000000002</v>
      </c>
      <c r="W486" s="61">
        <f>Table3.110[[#This Row],[DM Incubated, mg]]-('3.2 Digest'!V486*1000)</f>
        <v>242.89448628518801</v>
      </c>
      <c r="X486" s="61">
        <f>W486/Table3.110[[#This Row],[DM Incubated, mg]]*100</f>
        <v>52.405043311720235</v>
      </c>
      <c r="Y486" s="37">
        <f>Table3.1[[#This Row],[DM Incubated, mg]]*'2.4 NDF'!R79/100</f>
        <v>236.60133545822558</v>
      </c>
      <c r="Z486" s="37">
        <f t="shared" si="38"/>
        <v>16.001335458225554</v>
      </c>
      <c r="AA486" s="37">
        <f t="shared" si="39"/>
        <v>6.7629945651979453</v>
      </c>
      <c r="AB486" s="57"/>
    </row>
    <row r="487" spans="2:28" x14ac:dyDescent="0.35">
      <c r="B487" s="230">
        <f t="shared" si="34"/>
        <v>477</v>
      </c>
      <c r="C487" s="246" t="s">
        <v>691</v>
      </c>
      <c r="D487" s="248">
        <f>Table3.110[[#This Row],[Date]]</f>
        <v>46050</v>
      </c>
      <c r="E487" s="230" t="str">
        <f>Table3.110[[#This Row],[Requisitioner]]</f>
        <v>Genbank</v>
      </c>
      <c r="F487" s="230" t="str">
        <f>Table3.110[[#This Row],[Gene Bank ID]]</f>
        <v>CIAT-17502</v>
      </c>
      <c r="G487" s="230" t="str">
        <f>Table3.110[[#This Row],[Genus]]</f>
        <v>Leucaena</v>
      </c>
      <c r="H487" s="230" t="str">
        <f>Table3.110[[#This Row],[Species]]</f>
        <v>leucocephala</v>
      </c>
      <c r="I487" s="230" t="str">
        <f>Table3.110[[#This Row],[Tax Name]]</f>
        <v>Leucaena leucocephala</v>
      </c>
      <c r="J487" s="230" t="str">
        <f>Table3.110[[#This Row],[Family]]</f>
        <v>Fabaceae</v>
      </c>
      <c r="K487" s="230" t="str">
        <f>Table3.110[[#This Row],[Order]]</f>
        <v>Fabales</v>
      </c>
      <c r="L487" s="230" t="str">
        <f>Table3.110[[#This Row],[Functional Group]]</f>
        <v>Tree</v>
      </c>
      <c r="M487" s="230" t="str">
        <f>Table3.110[[#This Row],[CIAT ID]]</f>
        <v>F251760</v>
      </c>
      <c r="N487" s="230">
        <f>Table3.110[[#This Row],[Set CIAT]]</f>
        <v>28</v>
      </c>
      <c r="O487" s="230">
        <f>Table3.110[[#This Row],[Batch]]</f>
        <v>61</v>
      </c>
      <c r="P487" s="230">
        <f>Table3.110[[#This Row],[Run]]</f>
        <v>2</v>
      </c>
      <c r="Q487" s="230">
        <f>Table3.110[[#This Row],[Replication]]</f>
        <v>1</v>
      </c>
      <c r="R487" s="230">
        <f>Table3.110[[#This Row],[Syrange No]]</f>
        <v>0</v>
      </c>
      <c r="S487" s="98">
        <v>0.57179999999999997</v>
      </c>
      <c r="T487" s="98">
        <v>0.79210000000000003</v>
      </c>
      <c r="U487" s="108"/>
      <c r="V487" s="122">
        <f t="shared" si="35"/>
        <v>0.22030000000000005</v>
      </c>
      <c r="W487" s="61">
        <f>Table3.110[[#This Row],[DM Incubated, mg]]-('3.2 Digest'!V487*1000)</f>
        <v>251.00431427962982</v>
      </c>
      <c r="X487" s="61">
        <f>W487/Table3.110[[#This Row],[DM Incubated, mg]]*100</f>
        <v>53.257376746758631</v>
      </c>
      <c r="Y487" s="37">
        <f>Table3.1[[#This Row],[DM Incubated, mg]]*'2.4 NDF'!R81/100</f>
        <v>217.21122599819918</v>
      </c>
      <c r="Z487" s="37">
        <f t="shared" si="38"/>
        <v>-3.0887740018008571</v>
      </c>
      <c r="AA487" s="37">
        <f t="shared" si="39"/>
        <v>-1.4220139809102064</v>
      </c>
      <c r="AB487" s="57"/>
    </row>
    <row r="488" spans="2:28" x14ac:dyDescent="0.35">
      <c r="B488" s="230">
        <f t="shared" si="34"/>
        <v>478</v>
      </c>
      <c r="C488" s="246" t="s">
        <v>691</v>
      </c>
      <c r="D488" s="248">
        <f>Table3.110[[#This Row],[Date]]</f>
        <v>46050</v>
      </c>
      <c r="E488" s="230" t="str">
        <f>Table3.110[[#This Row],[Requisitioner]]</f>
        <v>Genbank</v>
      </c>
      <c r="F488" s="230" t="str">
        <f>Table3.110[[#This Row],[Gene Bank ID]]</f>
        <v>CIAT-17502</v>
      </c>
      <c r="G488" s="230" t="str">
        <f>Table3.110[[#This Row],[Genus]]</f>
        <v>Leucaena</v>
      </c>
      <c r="H488" s="230" t="str">
        <f>Table3.110[[#This Row],[Species]]</f>
        <v>leucocephala</v>
      </c>
      <c r="I488" s="230" t="str">
        <f>Table3.110[[#This Row],[Tax Name]]</f>
        <v>Leucaena leucocephala</v>
      </c>
      <c r="J488" s="230" t="str">
        <f>Table3.110[[#This Row],[Family]]</f>
        <v>Fabaceae</v>
      </c>
      <c r="K488" s="230" t="str">
        <f>Table3.110[[#This Row],[Order]]</f>
        <v>Fabales</v>
      </c>
      <c r="L488" s="230" t="str">
        <f>Table3.110[[#This Row],[Functional Group]]</f>
        <v>Tree</v>
      </c>
      <c r="M488" s="230" t="str">
        <f>Table3.110[[#This Row],[CIAT ID]]</f>
        <v>F251760</v>
      </c>
      <c r="N488" s="230">
        <f>Table3.110[[#This Row],[Set CIAT]]</f>
        <v>28</v>
      </c>
      <c r="O488" s="230">
        <f>Table3.110[[#This Row],[Batch]]</f>
        <v>61</v>
      </c>
      <c r="P488" s="230">
        <f>Table3.110[[#This Row],[Run]]</f>
        <v>2</v>
      </c>
      <c r="Q488" s="230">
        <f>Table3.110[[#This Row],[Replication]]</f>
        <v>2</v>
      </c>
      <c r="R488" s="230">
        <f>Table3.110[[#This Row],[Syrange No]]</f>
        <v>0</v>
      </c>
      <c r="S488" s="250">
        <v>0.56630000000000003</v>
      </c>
      <c r="T488" s="250">
        <v>0.78939999999999999</v>
      </c>
      <c r="U488" s="108"/>
      <c r="V488" s="122">
        <f t="shared" si="35"/>
        <v>0.22309999999999997</v>
      </c>
      <c r="W488" s="61">
        <f>Table3.110[[#This Row],[DM Incubated, mg]]-('3.2 Digest'!V488*1000)</f>
        <v>248.39283600534179</v>
      </c>
      <c r="X488" s="61">
        <f>W488/Table3.110[[#This Row],[DM Incubated, mg]]*100</f>
        <v>52.682207880360586</v>
      </c>
      <c r="Y488" s="37">
        <f>Table3.1[[#This Row],[DM Incubated, mg]]*'2.4 NDF'!R81/100</f>
        <v>217.2981104885985</v>
      </c>
      <c r="Z488" s="37">
        <f t="shared" si="38"/>
        <v>-5.8018895114014697</v>
      </c>
      <c r="AA488" s="37">
        <f t="shared" si="39"/>
        <v>-2.6700137881345691</v>
      </c>
      <c r="AB488" s="57"/>
    </row>
    <row r="489" spans="2:28" x14ac:dyDescent="0.35">
      <c r="B489" s="230">
        <f t="shared" si="34"/>
        <v>479</v>
      </c>
      <c r="C489" s="246" t="s">
        <v>691</v>
      </c>
      <c r="D489" s="248">
        <f>Table3.110[[#This Row],[Date]]</f>
        <v>46050</v>
      </c>
      <c r="E489" s="230" t="str">
        <f>Table3.110[[#This Row],[Requisitioner]]</f>
        <v>Genbank</v>
      </c>
      <c r="F489" s="230" t="str">
        <f>Table3.110[[#This Row],[Gene Bank ID]]</f>
        <v>CIAT-17502</v>
      </c>
      <c r="G489" s="230" t="str">
        <f>Table3.110[[#This Row],[Genus]]</f>
        <v>Leucaena</v>
      </c>
      <c r="H489" s="230" t="str">
        <f>Table3.110[[#This Row],[Species]]</f>
        <v>leucocephala</v>
      </c>
      <c r="I489" s="230" t="str">
        <f>Table3.110[[#This Row],[Tax Name]]</f>
        <v>Leucaena leucocephala</v>
      </c>
      <c r="J489" s="230" t="str">
        <f>Table3.110[[#This Row],[Family]]</f>
        <v>Fabaceae</v>
      </c>
      <c r="K489" s="230" t="str">
        <f>Table3.110[[#This Row],[Order]]</f>
        <v>Fabales</v>
      </c>
      <c r="L489" s="230" t="str">
        <f>Table3.110[[#This Row],[Functional Group]]</f>
        <v>Tree</v>
      </c>
      <c r="M489" s="230" t="str">
        <f>Table3.110[[#This Row],[CIAT ID]]</f>
        <v>F251760</v>
      </c>
      <c r="N489" s="230">
        <f>Table3.110[[#This Row],[Set CIAT]]</f>
        <v>28</v>
      </c>
      <c r="O489" s="230">
        <f>Table3.110[[#This Row],[Batch]]</f>
        <v>61</v>
      </c>
      <c r="P489" s="230">
        <f>Table3.110[[#This Row],[Run]]</f>
        <v>2</v>
      </c>
      <c r="Q489" s="230">
        <f>Table3.110[[#This Row],[Replication]]</f>
        <v>3</v>
      </c>
      <c r="R489" s="230">
        <f>Table3.110[[#This Row],[Syrange No]]</f>
        <v>0</v>
      </c>
      <c r="S489" s="98">
        <v>0.59519999999999995</v>
      </c>
      <c r="T489" s="98">
        <v>0.83260000000000001</v>
      </c>
      <c r="U489" s="108"/>
      <c r="V489" s="122">
        <f t="shared" si="35"/>
        <v>0.23740000000000006</v>
      </c>
      <c r="W489" s="61">
        <f>Table3.110[[#This Row],[DM Incubated, mg]]-('3.2 Digest'!V489*1000)</f>
        <v>234.18709686819753</v>
      </c>
      <c r="X489" s="61">
        <f>W489/Table3.110[[#This Row],[DM Incubated, mg]]*100</f>
        <v>49.659352094964071</v>
      </c>
      <c r="Y489" s="37">
        <f>Table3.1[[#This Row],[DM Incubated, mg]]*'2.4 NDF'!R81/100</f>
        <v>217.3415527337981</v>
      </c>
      <c r="Z489" s="37">
        <f t="shared" si="38"/>
        <v>-20.058447266201966</v>
      </c>
      <c r="AA489" s="37">
        <f t="shared" si="39"/>
        <v>-9.2289978671357584</v>
      </c>
      <c r="AB489" s="57"/>
    </row>
    <row r="490" spans="2:28" x14ac:dyDescent="0.35">
      <c r="B490" s="230">
        <f t="shared" si="34"/>
        <v>480</v>
      </c>
      <c r="C490" s="246" t="s">
        <v>691</v>
      </c>
      <c r="D490" s="248">
        <f>Table3.110[[#This Row],[Date]]</f>
        <v>46050</v>
      </c>
      <c r="E490" s="230" t="str">
        <f>Table3.110[[#This Row],[Requisitioner]]</f>
        <v>Genbank</v>
      </c>
      <c r="F490" s="230" t="str">
        <f>Table3.110[[#This Row],[Gene Bank ID]]</f>
        <v>CIAT-19384</v>
      </c>
      <c r="G490" s="230" t="str">
        <f>Table3.110[[#This Row],[Genus]]</f>
        <v>Prosopis</v>
      </c>
      <c r="H490" s="230" t="str">
        <f>Table3.110[[#This Row],[Species]]</f>
        <v>juliflora</v>
      </c>
      <c r="I490" s="230" t="str">
        <f>Table3.110[[#This Row],[Tax Name]]</f>
        <v>Prosopis juliflora</v>
      </c>
      <c r="J490" s="230" t="str">
        <f>Table3.110[[#This Row],[Family]]</f>
        <v>Fabaceae</v>
      </c>
      <c r="K490" s="230" t="str">
        <f>Table3.110[[#This Row],[Order]]</f>
        <v>Fabales</v>
      </c>
      <c r="L490" s="230" t="str">
        <f>Table3.110[[#This Row],[Functional Group]]</f>
        <v>Tree</v>
      </c>
      <c r="M490" s="230" t="str">
        <f>Table3.110[[#This Row],[CIAT ID]]</f>
        <v>F251761</v>
      </c>
      <c r="N490" s="230">
        <f>Table3.110[[#This Row],[Set CIAT]]</f>
        <v>28</v>
      </c>
      <c r="O490" s="230">
        <f>Table3.110[[#This Row],[Batch]]</f>
        <v>61</v>
      </c>
      <c r="P490" s="230">
        <f>Table3.110[[#This Row],[Run]]</f>
        <v>2</v>
      </c>
      <c r="Q490" s="230">
        <f>Table3.110[[#This Row],[Replication]]</f>
        <v>1</v>
      </c>
      <c r="R490" s="230">
        <f>Table3.110[[#This Row],[Syrange No]]</f>
        <v>0</v>
      </c>
      <c r="S490" s="250">
        <v>0.57679999999999998</v>
      </c>
      <c r="T490" s="250">
        <v>0.75409999999999999</v>
      </c>
      <c r="U490" s="108"/>
      <c r="V490" s="122">
        <f t="shared" si="35"/>
        <v>0.17730000000000001</v>
      </c>
      <c r="W490" s="61">
        <f>Table3.110[[#This Row],[DM Incubated, mg]]-('3.2 Digest'!V490*1000)</f>
        <v>289.63826184978114</v>
      </c>
      <c r="X490" s="61">
        <f>W490/Table3.110[[#This Row],[DM Incubated, mg]]*100</f>
        <v>62.029241446690598</v>
      </c>
      <c r="Y490" s="37">
        <f>Table3.1[[#This Row],[DM Incubated, mg]]*'2.4 NDF'!R83/100</f>
        <v>244.93384133964406</v>
      </c>
      <c r="Z490" s="37">
        <f t="shared" si="38"/>
        <v>67.63384133964405</v>
      </c>
      <c r="AA490" s="37">
        <f t="shared" si="39"/>
        <v>27.61310604109531</v>
      </c>
      <c r="AB490" s="57"/>
    </row>
    <row r="491" spans="2:28" x14ac:dyDescent="0.35">
      <c r="B491" s="230">
        <f t="shared" si="34"/>
        <v>481</v>
      </c>
      <c r="C491" s="246" t="s">
        <v>692</v>
      </c>
      <c r="D491" s="248">
        <f>Table3.110[[#This Row],[Date]]</f>
        <v>46050</v>
      </c>
      <c r="E491" s="230" t="str">
        <f>Table3.110[[#This Row],[Requisitioner]]</f>
        <v>Genbank</v>
      </c>
      <c r="F491" s="230" t="str">
        <f>Table3.110[[#This Row],[Gene Bank ID]]</f>
        <v>CIAT-19384</v>
      </c>
      <c r="G491" s="230" t="str">
        <f>Table3.110[[#This Row],[Genus]]</f>
        <v>Prosopis</v>
      </c>
      <c r="H491" s="230" t="str">
        <f>Table3.110[[#This Row],[Species]]</f>
        <v>juliflora</v>
      </c>
      <c r="I491" s="230" t="str">
        <f>Table3.110[[#This Row],[Tax Name]]</f>
        <v>Prosopis juliflora</v>
      </c>
      <c r="J491" s="230" t="str">
        <f>Table3.110[[#This Row],[Family]]</f>
        <v>Fabaceae</v>
      </c>
      <c r="K491" s="230" t="str">
        <f>Table3.110[[#This Row],[Order]]</f>
        <v>Fabales</v>
      </c>
      <c r="L491" s="230" t="str">
        <f>Table3.110[[#This Row],[Functional Group]]</f>
        <v>Tree</v>
      </c>
      <c r="M491" s="230" t="str">
        <f>Table3.110[[#This Row],[CIAT ID]]</f>
        <v>F251761</v>
      </c>
      <c r="N491" s="230">
        <f>Table3.110[[#This Row],[Set CIAT]]</f>
        <v>28</v>
      </c>
      <c r="O491" s="230">
        <f>Table3.110[[#This Row],[Batch]]</f>
        <v>61</v>
      </c>
      <c r="P491" s="230">
        <f>Table3.110[[#This Row],[Run]]</f>
        <v>2</v>
      </c>
      <c r="Q491" s="230">
        <f>Table3.110[[#This Row],[Replication]]</f>
        <v>2</v>
      </c>
      <c r="R491" s="230">
        <f>Table3.110[[#This Row],[Syrange No]]</f>
        <v>0</v>
      </c>
      <c r="S491" s="98">
        <v>0.57069999999999999</v>
      </c>
      <c r="T491" s="98">
        <v>0.75460000000000005</v>
      </c>
      <c r="U491" s="108"/>
      <c r="V491" s="122">
        <f t="shared" si="35"/>
        <v>0.18390000000000006</v>
      </c>
      <c r="W491" s="61">
        <f>Table3.110[[#This Row],[DM Incubated, mg]]-('3.2 Digest'!V491*1000)</f>
        <v>283.22503715452092</v>
      </c>
      <c r="X491" s="61">
        <f>W491/Table3.110[[#This Row],[DM Incubated, mg]]*100</f>
        <v>60.63152574303836</v>
      </c>
      <c r="Y491" s="37">
        <f>Table3.1[[#This Row],[DM Incubated, mg]]*'2.4 NDF'!R83/100</f>
        <v>245.03181487617988</v>
      </c>
      <c r="Z491" s="37">
        <f t="shared" si="38"/>
        <v>61.131814876179817</v>
      </c>
      <c r="AA491" s="37">
        <f t="shared" si="39"/>
        <v>24.948521442846559</v>
      </c>
      <c r="AB491" s="57"/>
    </row>
    <row r="492" spans="2:28" x14ac:dyDescent="0.35">
      <c r="B492" s="230">
        <f t="shared" si="34"/>
        <v>482</v>
      </c>
      <c r="C492" s="246" t="s">
        <v>692</v>
      </c>
      <c r="D492" s="248">
        <f>Table3.110[[#This Row],[Date]]</f>
        <v>46050</v>
      </c>
      <c r="E492" s="230" t="str">
        <f>Table3.110[[#This Row],[Requisitioner]]</f>
        <v>Genbank</v>
      </c>
      <c r="F492" s="230" t="str">
        <f>Table3.110[[#This Row],[Gene Bank ID]]</f>
        <v>CIAT-19384</v>
      </c>
      <c r="G492" s="230" t="str">
        <f>Table3.110[[#This Row],[Genus]]</f>
        <v>Prosopis</v>
      </c>
      <c r="H492" s="230" t="str">
        <f>Table3.110[[#This Row],[Species]]</f>
        <v>juliflora</v>
      </c>
      <c r="I492" s="230" t="str">
        <f>Table3.110[[#This Row],[Tax Name]]</f>
        <v>Prosopis juliflora</v>
      </c>
      <c r="J492" s="230" t="str">
        <f>Table3.110[[#This Row],[Family]]</f>
        <v>Fabaceae</v>
      </c>
      <c r="K492" s="230" t="str">
        <f>Table3.110[[#This Row],[Order]]</f>
        <v>Fabales</v>
      </c>
      <c r="L492" s="230" t="str">
        <f>Table3.110[[#This Row],[Functional Group]]</f>
        <v>Tree</v>
      </c>
      <c r="M492" s="230" t="str">
        <f>Table3.110[[#This Row],[CIAT ID]]</f>
        <v>F251761</v>
      </c>
      <c r="N492" s="230">
        <f>Table3.110[[#This Row],[Set CIAT]]</f>
        <v>28</v>
      </c>
      <c r="O492" s="230">
        <f>Table3.110[[#This Row],[Batch]]</f>
        <v>61</v>
      </c>
      <c r="P492" s="230">
        <f>Table3.110[[#This Row],[Run]]</f>
        <v>2</v>
      </c>
      <c r="Q492" s="230">
        <f>Table3.110[[#This Row],[Replication]]</f>
        <v>3</v>
      </c>
      <c r="R492" s="230">
        <f>Table3.110[[#This Row],[Syrange No]]</f>
        <v>0</v>
      </c>
      <c r="S492" s="250">
        <v>0.5625</v>
      </c>
      <c r="T492" s="250">
        <v>0.75949999999999995</v>
      </c>
      <c r="U492" s="108"/>
      <c r="V492" s="122">
        <f t="shared" si="35"/>
        <v>0.19699999999999995</v>
      </c>
      <c r="W492" s="61">
        <f>Table3.110[[#This Row],[DM Incubated, mg]]-('3.2 Digest'!V492*1000)</f>
        <v>270.21842480689099</v>
      </c>
      <c r="X492" s="61">
        <f>W492/Table3.110[[#This Row],[DM Incubated, mg]]*100</f>
        <v>57.835566933940306</v>
      </c>
      <c r="Y492" s="37">
        <f>Table3.1[[#This Row],[DM Incubated, mg]]*'2.4 NDF'!R83/100</f>
        <v>245.08080164444777</v>
      </c>
      <c r="Z492" s="37">
        <f t="shared" si="38"/>
        <v>48.080801644447831</v>
      </c>
      <c r="AA492" s="37">
        <f t="shared" si="39"/>
        <v>19.618346815350023</v>
      </c>
      <c r="AB492" s="57"/>
    </row>
    <row r="493" spans="2:28" x14ac:dyDescent="0.35">
      <c r="B493" s="230">
        <f t="shared" si="34"/>
        <v>483</v>
      </c>
      <c r="C493" s="246" t="s">
        <v>692</v>
      </c>
      <c r="D493" s="248">
        <f>Table3.110[[#This Row],[Date]]</f>
        <v>46050</v>
      </c>
      <c r="E493" s="230" t="str">
        <f>Table3.110[[#This Row],[Requisitioner]]</f>
        <v>Genbank</v>
      </c>
      <c r="F493" s="230" t="str">
        <f>Table3.110[[#This Row],[Gene Bank ID]]</f>
        <v>CIAT-19571</v>
      </c>
      <c r="G493" s="230" t="str">
        <f>Table3.110[[#This Row],[Genus]]</f>
        <v>Senna</v>
      </c>
      <c r="H493" s="230" t="str">
        <f>Table3.110[[#This Row],[Species]]</f>
        <v>cobanensis</v>
      </c>
      <c r="I493" s="230" t="str">
        <f>Table3.110[[#This Row],[Tax Name]]</f>
        <v>Senna cobanensis</v>
      </c>
      <c r="J493" s="230" t="str">
        <f>Table3.110[[#This Row],[Family]]</f>
        <v>Fabaceae</v>
      </c>
      <c r="K493" s="230" t="str">
        <f>Table3.110[[#This Row],[Order]]</f>
        <v>Fabales</v>
      </c>
      <c r="L493" s="230" t="str">
        <f>Table3.110[[#This Row],[Functional Group]]</f>
        <v>Tree</v>
      </c>
      <c r="M493" s="230" t="str">
        <f>Table3.110[[#This Row],[CIAT ID]]</f>
        <v>F251762</v>
      </c>
      <c r="N493" s="230">
        <f>Table3.110[[#This Row],[Set CIAT]]</f>
        <v>28</v>
      </c>
      <c r="O493" s="230">
        <f>Table3.110[[#This Row],[Batch]]</f>
        <v>61</v>
      </c>
      <c r="P493" s="230">
        <f>Table3.110[[#This Row],[Run]]</f>
        <v>2</v>
      </c>
      <c r="Q493" s="230">
        <f>Table3.110[[#This Row],[Replication]]</f>
        <v>1</v>
      </c>
      <c r="R493" s="230">
        <f>Table3.110[[#This Row],[Syrange No]]</f>
        <v>0</v>
      </c>
      <c r="S493" s="98">
        <v>0.57079999999999997</v>
      </c>
      <c r="T493" s="98">
        <v>0.82589999999999997</v>
      </c>
      <c r="U493" s="108"/>
      <c r="V493" s="122">
        <f t="shared" si="35"/>
        <v>0.25509999999999999</v>
      </c>
      <c r="W493" s="61">
        <f>Table3.110[[#This Row],[DM Incubated, mg]]-('3.2 Digest'!V493*1000)</f>
        <v>211.12336845168196</v>
      </c>
      <c r="X493" s="61">
        <f>W493/Table3.110[[#This Row],[DM Incubated, mg]]*100</f>
        <v>45.283737954366856</v>
      </c>
      <c r="Y493" s="37">
        <f>Table3.1[[#This Row],[DM Incubated, mg]]*'2.4 NDF'!R85/100</f>
        <v>259.70844188511478</v>
      </c>
      <c r="Z493" s="37">
        <f t="shared" si="38"/>
        <v>4.6084418851147859</v>
      </c>
      <c r="AA493" s="37">
        <f t="shared" si="39"/>
        <v>1.7744674958056956</v>
      </c>
      <c r="AB493" s="57"/>
    </row>
    <row r="494" spans="2:28" x14ac:dyDescent="0.35">
      <c r="B494" s="230">
        <f t="shared" si="34"/>
        <v>484</v>
      </c>
      <c r="C494" s="246" t="s">
        <v>692</v>
      </c>
      <c r="D494" s="248">
        <f>Table3.110[[#This Row],[Date]]</f>
        <v>46050</v>
      </c>
      <c r="E494" s="230" t="str">
        <f>Table3.110[[#This Row],[Requisitioner]]</f>
        <v>Genbank</v>
      </c>
      <c r="F494" s="230" t="str">
        <f>Table3.110[[#This Row],[Gene Bank ID]]</f>
        <v>CIAT-19571</v>
      </c>
      <c r="G494" s="230" t="str">
        <f>Table3.110[[#This Row],[Genus]]</f>
        <v>Senna</v>
      </c>
      <c r="H494" s="230" t="str">
        <f>Table3.110[[#This Row],[Species]]</f>
        <v>cobanensis</v>
      </c>
      <c r="I494" s="230" t="str">
        <f>Table3.110[[#This Row],[Tax Name]]</f>
        <v>Senna cobanensis</v>
      </c>
      <c r="J494" s="230" t="str">
        <f>Table3.110[[#This Row],[Family]]</f>
        <v>Fabaceae</v>
      </c>
      <c r="K494" s="230" t="str">
        <f>Table3.110[[#This Row],[Order]]</f>
        <v>Fabales</v>
      </c>
      <c r="L494" s="230" t="str">
        <f>Table3.110[[#This Row],[Functional Group]]</f>
        <v>Tree</v>
      </c>
      <c r="M494" s="230" t="str">
        <f>Table3.110[[#This Row],[CIAT ID]]</f>
        <v>F251762</v>
      </c>
      <c r="N494" s="230">
        <f>Table3.110[[#This Row],[Set CIAT]]</f>
        <v>28</v>
      </c>
      <c r="O494" s="230">
        <f>Table3.110[[#This Row],[Batch]]</f>
        <v>61</v>
      </c>
      <c r="P494" s="230">
        <f>Table3.110[[#This Row],[Run]]</f>
        <v>2</v>
      </c>
      <c r="Q494" s="230">
        <f>Table3.110[[#This Row],[Replication]]</f>
        <v>2</v>
      </c>
      <c r="R494" s="230">
        <f>Table3.110[[#This Row],[Syrange No]]</f>
        <v>0</v>
      </c>
      <c r="S494" s="250">
        <v>0.56820000000000004</v>
      </c>
      <c r="T494" s="250">
        <v>0.79069999999999996</v>
      </c>
      <c r="U494" s="108"/>
      <c r="V494" s="122">
        <f t="shared" si="35"/>
        <v>0.22249999999999992</v>
      </c>
      <c r="W494" s="61">
        <f>Table3.110[[#This Row],[DM Incubated, mg]]-('3.2 Digest'!V494*1000)</f>
        <v>243.63016106094798</v>
      </c>
      <c r="X494" s="61">
        <f>W494/Table3.110[[#This Row],[DM Incubated, mg]]*100</f>
        <v>52.266551580019424</v>
      </c>
      <c r="Y494" s="37">
        <f>Table3.1[[#This Row],[DM Incubated, mg]]*'2.4 NDF'!R85/100</f>
        <v>259.65652096510576</v>
      </c>
      <c r="Z494" s="37">
        <f t="shared" si="38"/>
        <v>37.156520965105841</v>
      </c>
      <c r="AA494" s="37">
        <f t="shared" si="39"/>
        <v>14.309873993150807</v>
      </c>
      <c r="AB494" s="57"/>
    </row>
    <row r="495" spans="2:28" x14ac:dyDescent="0.35">
      <c r="B495" s="230">
        <f t="shared" si="34"/>
        <v>485</v>
      </c>
      <c r="C495" s="246" t="s">
        <v>692</v>
      </c>
      <c r="D495" s="248">
        <f>Table3.110[[#This Row],[Date]]</f>
        <v>46050</v>
      </c>
      <c r="E495" s="230" t="str">
        <f>Table3.110[[#This Row],[Requisitioner]]</f>
        <v>Genbank</v>
      </c>
      <c r="F495" s="230" t="str">
        <f>Table3.110[[#This Row],[Gene Bank ID]]</f>
        <v>CIAT-19571</v>
      </c>
      <c r="G495" s="230" t="str">
        <f>Table3.110[[#This Row],[Genus]]</f>
        <v>Senna</v>
      </c>
      <c r="H495" s="230" t="str">
        <f>Table3.110[[#This Row],[Species]]</f>
        <v>cobanensis</v>
      </c>
      <c r="I495" s="230" t="str">
        <f>Table3.110[[#This Row],[Tax Name]]</f>
        <v>Senna cobanensis</v>
      </c>
      <c r="J495" s="230" t="str">
        <f>Table3.110[[#This Row],[Family]]</f>
        <v>Fabaceae</v>
      </c>
      <c r="K495" s="230" t="str">
        <f>Table3.110[[#This Row],[Order]]</f>
        <v>Fabales</v>
      </c>
      <c r="L495" s="230" t="str">
        <f>Table3.110[[#This Row],[Functional Group]]</f>
        <v>Tree</v>
      </c>
      <c r="M495" s="230" t="str">
        <f>Table3.110[[#This Row],[CIAT ID]]</f>
        <v>F251762</v>
      </c>
      <c r="N495" s="230">
        <f>Table3.110[[#This Row],[Set CIAT]]</f>
        <v>28</v>
      </c>
      <c r="O495" s="230">
        <f>Table3.110[[#This Row],[Batch]]</f>
        <v>61</v>
      </c>
      <c r="P495" s="230">
        <f>Table3.110[[#This Row],[Run]]</f>
        <v>2</v>
      </c>
      <c r="Q495" s="230">
        <f>Table3.110[[#This Row],[Replication]]</f>
        <v>3</v>
      </c>
      <c r="R495" s="230">
        <f>Table3.110[[#This Row],[Syrange No]]</f>
        <v>0</v>
      </c>
      <c r="S495" s="98">
        <v>0.57779999999999998</v>
      </c>
      <c r="T495" s="98">
        <v>0.85199999999999998</v>
      </c>
      <c r="U495" s="108"/>
      <c r="V495" s="122">
        <f t="shared" si="35"/>
        <v>0.2742</v>
      </c>
      <c r="W495" s="61">
        <f>Table3.110[[#This Row],[DM Incubated, mg]]-('3.2 Digest'!V495*1000)</f>
        <v>192.11657584241595</v>
      </c>
      <c r="X495" s="61">
        <f>W495/Table3.110[[#This Row],[DM Incubated, mg]]*100</f>
        <v>41.198744757325251</v>
      </c>
      <c r="Y495" s="37">
        <f>Table3.1[[#This Row],[DM Incubated, mg]]*'2.4 NDF'!R85/100</f>
        <v>259.7603628051238</v>
      </c>
      <c r="Z495" s="37">
        <f t="shared" si="38"/>
        <v>-14.439637194876184</v>
      </c>
      <c r="AA495" s="37">
        <f t="shared" si="39"/>
        <v>-5.5588300843685765</v>
      </c>
      <c r="AB495" s="57"/>
    </row>
    <row r="496" spans="2:28" x14ac:dyDescent="0.35">
      <c r="B496" s="230">
        <f t="shared" si="34"/>
        <v>486</v>
      </c>
      <c r="C496" s="246" t="s">
        <v>692</v>
      </c>
      <c r="D496" s="248">
        <f>Table3.110[[#This Row],[Date]]</f>
        <v>46050</v>
      </c>
      <c r="E496" s="230" t="str">
        <f>Table3.110[[#This Row],[Requisitioner]]</f>
        <v>Genbank</v>
      </c>
      <c r="F496" s="230" t="str">
        <f>Table3.110[[#This Row],[Gene Bank ID]]</f>
        <v>CIAT-20126</v>
      </c>
      <c r="G496" s="230" t="str">
        <f>Table3.110[[#This Row],[Genus]]</f>
        <v>Acacia</v>
      </c>
      <c r="H496" s="230" t="str">
        <f>Table3.110[[#This Row],[Species]]</f>
        <v>angustissima</v>
      </c>
      <c r="I496" s="230" t="str">
        <f>Table3.110[[#This Row],[Tax Name]]</f>
        <v>Acacia angustissima</v>
      </c>
      <c r="J496" s="230" t="str">
        <f>Table3.110[[#This Row],[Family]]</f>
        <v>Fabaceae</v>
      </c>
      <c r="K496" s="230" t="str">
        <f>Table3.110[[#This Row],[Order]]</f>
        <v>Fabales</v>
      </c>
      <c r="L496" s="230" t="str">
        <f>Table3.110[[#This Row],[Functional Group]]</f>
        <v>Tree</v>
      </c>
      <c r="M496" s="230" t="str">
        <f>Table3.110[[#This Row],[CIAT ID]]</f>
        <v>F251763</v>
      </c>
      <c r="N496" s="230">
        <f>Table3.110[[#This Row],[Set CIAT]]</f>
        <v>28</v>
      </c>
      <c r="O496" s="230">
        <f>Table3.110[[#This Row],[Batch]]</f>
        <v>61</v>
      </c>
      <c r="P496" s="230">
        <f>Table3.110[[#This Row],[Run]]</f>
        <v>2</v>
      </c>
      <c r="Q496" s="230">
        <f>Table3.110[[#This Row],[Replication]]</f>
        <v>1</v>
      </c>
      <c r="R496" s="230">
        <f>Table3.110[[#This Row],[Syrange No]]</f>
        <v>0</v>
      </c>
      <c r="S496" s="250">
        <v>0.59199999999999997</v>
      </c>
      <c r="T496" s="250">
        <v>1.0447</v>
      </c>
      <c r="U496" s="108"/>
      <c r="V496" s="122">
        <f t="shared" si="35"/>
        <v>0.45269999999999999</v>
      </c>
      <c r="W496" s="61">
        <f>Table3.110[[#This Row],[DM Incubated, mg]]-('3.2 Digest'!V496*1000)</f>
        <v>17.160585604018706</v>
      </c>
      <c r="X496" s="61">
        <f>W496/Table3.110[[#This Row],[DM Incubated, mg]]*100</f>
        <v>3.6522717865254224</v>
      </c>
      <c r="Y496" s="37">
        <f>Table3.1[[#This Row],[DM Incubated, mg]]*'2.4 NDF'!R87/100</f>
        <v>273.86706476528366</v>
      </c>
      <c r="Z496" s="37">
        <f t="shared" si="38"/>
        <v>-178.83293523471633</v>
      </c>
      <c r="AA496" s="37">
        <f t="shared" si="39"/>
        <v>-65.299175491578069</v>
      </c>
      <c r="AB496" s="57"/>
    </row>
    <row r="497" spans="2:28" x14ac:dyDescent="0.35">
      <c r="B497" s="230">
        <f t="shared" si="34"/>
        <v>487</v>
      </c>
      <c r="C497" s="246" t="s">
        <v>692</v>
      </c>
      <c r="D497" s="248">
        <f>Table3.110[[#This Row],[Date]]</f>
        <v>46050</v>
      </c>
      <c r="E497" s="230" t="str">
        <f>Table3.110[[#This Row],[Requisitioner]]</f>
        <v>Genbank</v>
      </c>
      <c r="F497" s="230" t="str">
        <f>Table3.110[[#This Row],[Gene Bank ID]]</f>
        <v>CIAT-20126</v>
      </c>
      <c r="G497" s="230" t="str">
        <f>Table3.110[[#This Row],[Genus]]</f>
        <v>Acacia</v>
      </c>
      <c r="H497" s="230" t="str">
        <f>Table3.110[[#This Row],[Species]]</f>
        <v>angustissima</v>
      </c>
      <c r="I497" s="230" t="str">
        <f>Table3.110[[#This Row],[Tax Name]]</f>
        <v>Acacia angustissima</v>
      </c>
      <c r="J497" s="230" t="str">
        <f>Table3.110[[#This Row],[Family]]</f>
        <v>Fabaceae</v>
      </c>
      <c r="K497" s="230" t="str">
        <f>Table3.110[[#This Row],[Order]]</f>
        <v>Fabales</v>
      </c>
      <c r="L497" s="230" t="str">
        <f>Table3.110[[#This Row],[Functional Group]]</f>
        <v>Tree</v>
      </c>
      <c r="M497" s="230" t="str">
        <f>Table3.110[[#This Row],[CIAT ID]]</f>
        <v>F251763</v>
      </c>
      <c r="N497" s="230">
        <f>Table3.110[[#This Row],[Set CIAT]]</f>
        <v>28</v>
      </c>
      <c r="O497" s="230">
        <f>Table3.110[[#This Row],[Batch]]</f>
        <v>61</v>
      </c>
      <c r="P497" s="230">
        <f>Table3.110[[#This Row],[Run]]</f>
        <v>2</v>
      </c>
      <c r="Q497" s="230">
        <f>Table3.110[[#This Row],[Replication]]</f>
        <v>2</v>
      </c>
      <c r="R497" s="230">
        <f>Table3.110[[#This Row],[Syrange No]]</f>
        <v>0</v>
      </c>
      <c r="S497" s="98">
        <v>0.58350000000000002</v>
      </c>
      <c r="T497" s="98">
        <v>0.93049999999999999</v>
      </c>
      <c r="U497" s="108"/>
      <c r="V497" s="122">
        <f t="shared" si="35"/>
        <v>0.34699999999999998</v>
      </c>
      <c r="W497" s="61">
        <f>Table3.110[[#This Row],[DM Incubated, mg]]-('3.2 Digest'!V497*1000)</f>
        <v>122.86058560401869</v>
      </c>
      <c r="X497" s="61">
        <f>W497/Table3.110[[#This Row],[DM Incubated, mg]]*100</f>
        <v>26.148306405841222</v>
      </c>
      <c r="Y497" s="37">
        <f>Table3.1[[#This Row],[DM Incubated, mg]]*'2.4 NDF'!R87/100</f>
        <v>273.86706476528366</v>
      </c>
      <c r="Z497" s="37">
        <f t="shared" si="38"/>
        <v>-73.132935234716342</v>
      </c>
      <c r="AA497" s="37">
        <f t="shared" si="39"/>
        <v>-26.703808030876054</v>
      </c>
      <c r="AB497" s="57"/>
    </row>
    <row r="498" spans="2:28" x14ac:dyDescent="0.35">
      <c r="B498" s="230">
        <f t="shared" si="34"/>
        <v>488</v>
      </c>
      <c r="C498" s="246" t="s">
        <v>692</v>
      </c>
      <c r="D498" s="248">
        <f>Table3.110[[#This Row],[Date]]</f>
        <v>46050</v>
      </c>
      <c r="E498" s="230" t="str">
        <f>Table3.110[[#This Row],[Requisitioner]]</f>
        <v>Genbank</v>
      </c>
      <c r="F498" s="230" t="str">
        <f>Table3.110[[#This Row],[Gene Bank ID]]</f>
        <v>CIAT-20126</v>
      </c>
      <c r="G498" s="230" t="str">
        <f>Table3.110[[#This Row],[Genus]]</f>
        <v>Acacia</v>
      </c>
      <c r="H498" s="230" t="str">
        <f>Table3.110[[#This Row],[Species]]</f>
        <v>angustissima</v>
      </c>
      <c r="I498" s="230" t="str">
        <f>Table3.110[[#This Row],[Tax Name]]</f>
        <v>Acacia angustissima</v>
      </c>
      <c r="J498" s="230" t="str">
        <f>Table3.110[[#This Row],[Family]]</f>
        <v>Fabaceae</v>
      </c>
      <c r="K498" s="230" t="str">
        <f>Table3.110[[#This Row],[Order]]</f>
        <v>Fabales</v>
      </c>
      <c r="L498" s="230" t="str">
        <f>Table3.110[[#This Row],[Functional Group]]</f>
        <v>Tree</v>
      </c>
      <c r="M498" s="230" t="str">
        <f>Table3.110[[#This Row],[CIAT ID]]</f>
        <v>F251763</v>
      </c>
      <c r="N498" s="230">
        <f>Table3.110[[#This Row],[Set CIAT]]</f>
        <v>28</v>
      </c>
      <c r="O498" s="230">
        <f>Table3.110[[#This Row],[Batch]]</f>
        <v>61</v>
      </c>
      <c r="P498" s="230">
        <f>Table3.110[[#This Row],[Run]]</f>
        <v>2</v>
      </c>
      <c r="Q498" s="230">
        <f>Table3.110[[#This Row],[Replication]]</f>
        <v>3</v>
      </c>
      <c r="R498" s="230">
        <f>Table3.110[[#This Row],[Syrange No]]</f>
        <v>0</v>
      </c>
      <c r="S498" s="250">
        <v>0.57889999999999997</v>
      </c>
      <c r="T498" s="250">
        <v>0.93959999999999999</v>
      </c>
      <c r="U498" s="108"/>
      <c r="V498" s="122">
        <f t="shared" si="35"/>
        <v>0.36070000000000002</v>
      </c>
      <c r="W498" s="61">
        <f>Table3.110[[#This Row],[DM Incubated, mg]]-('3.2 Digest'!V498*1000)</f>
        <v>109.44250195538103</v>
      </c>
      <c r="X498" s="61">
        <f>W498/Table3.110[[#This Row],[DM Incubated, mg]]*100</f>
        <v>23.27858074949533</v>
      </c>
      <c r="Y498" s="37">
        <f>Table3.1[[#This Row],[DM Incubated, mg]]*'2.4 NDF'!R87/100</f>
        <v>274.03138500414281</v>
      </c>
      <c r="Z498" s="37">
        <f t="shared" si="38"/>
        <v>-86.66861499585724</v>
      </c>
      <c r="AA498" s="37">
        <f t="shared" si="39"/>
        <v>-31.627258678617043</v>
      </c>
      <c r="AB498" s="57"/>
    </row>
    <row r="499" spans="2:28" x14ac:dyDescent="0.35">
      <c r="B499" s="230">
        <f t="shared" si="34"/>
        <v>489</v>
      </c>
      <c r="C499" s="246" t="s">
        <v>692</v>
      </c>
      <c r="D499" s="248">
        <f>Table3.110[[#This Row],[Date]]</f>
        <v>46050</v>
      </c>
      <c r="E499" s="230" t="str">
        <f>Table3.110[[#This Row],[Requisitioner]]</f>
        <v>Genbank</v>
      </c>
      <c r="F499" s="230" t="str">
        <f>Table3.110[[#This Row],[Gene Bank ID]]</f>
        <v>CIAT-20788</v>
      </c>
      <c r="G499" s="230" t="str">
        <f>Table3.110[[#This Row],[Genus]]</f>
        <v>Senna</v>
      </c>
      <c r="H499" s="230" t="str">
        <f>Table3.110[[#This Row],[Species]]</f>
        <v>pallida</v>
      </c>
      <c r="I499" s="230" t="str">
        <f>Table3.110[[#This Row],[Tax Name]]</f>
        <v>Senna pallida</v>
      </c>
      <c r="J499" s="230" t="str">
        <f>Table3.110[[#This Row],[Family]]</f>
        <v>Fabaceae</v>
      </c>
      <c r="K499" s="230" t="str">
        <f>Table3.110[[#This Row],[Order]]</f>
        <v>Fabales</v>
      </c>
      <c r="L499" s="230" t="str">
        <f>Table3.110[[#This Row],[Functional Group]]</f>
        <v>Tree</v>
      </c>
      <c r="M499" s="230" t="str">
        <f>Table3.110[[#This Row],[CIAT ID]]</f>
        <v>F251764</v>
      </c>
      <c r="N499" s="230">
        <f>Table3.110[[#This Row],[Set CIAT]]</f>
        <v>28</v>
      </c>
      <c r="O499" s="230">
        <f>Table3.110[[#This Row],[Batch]]</f>
        <v>61</v>
      </c>
      <c r="P499" s="230">
        <f>Table3.110[[#This Row],[Run]]</f>
        <v>2</v>
      </c>
      <c r="Q499" s="230">
        <f>Table3.110[[#This Row],[Replication]]</f>
        <v>1</v>
      </c>
      <c r="R499" s="230">
        <f>Table3.110[[#This Row],[Syrange No]]</f>
        <v>0</v>
      </c>
      <c r="S499" s="98">
        <v>0.56910000000000005</v>
      </c>
      <c r="T499" s="98">
        <v>0.72199999999999998</v>
      </c>
      <c r="U499" s="108"/>
      <c r="V499" s="122">
        <f t="shared" si="35"/>
        <v>0.15289999999999992</v>
      </c>
      <c r="W499" s="61">
        <f>Table3.110[[#This Row],[DM Incubated, mg]]-('3.2 Digest'!V499*1000)</f>
        <v>316.68412476257123</v>
      </c>
      <c r="X499" s="61">
        <f>W499/Table3.110[[#This Row],[DM Incubated, mg]]*100</f>
        <v>67.439274043323223</v>
      </c>
      <c r="Y499" s="37">
        <f>Table3.1[[#This Row],[DM Incubated, mg]]*'2.4 NDF'!R89/100</f>
        <v>250.56914443477922</v>
      </c>
      <c r="Z499" s="37">
        <f t="shared" si="38"/>
        <v>97.669144434779298</v>
      </c>
      <c r="AA499" s="37">
        <f t="shared" si="39"/>
        <v>38.978919234088558</v>
      </c>
      <c r="AB499" s="57"/>
    </row>
    <row r="500" spans="2:28" x14ac:dyDescent="0.35">
      <c r="B500" s="230">
        <f t="shared" si="34"/>
        <v>490</v>
      </c>
      <c r="C500" s="246" t="s">
        <v>692</v>
      </c>
      <c r="D500" s="248">
        <f>Table3.110[[#This Row],[Date]]</f>
        <v>46050</v>
      </c>
      <c r="E500" s="230" t="str">
        <f>Table3.110[[#This Row],[Requisitioner]]</f>
        <v>Genbank</v>
      </c>
      <c r="F500" s="230" t="str">
        <f>Table3.110[[#This Row],[Gene Bank ID]]</f>
        <v>CIAT-20788</v>
      </c>
      <c r="G500" s="230" t="str">
        <f>Table3.110[[#This Row],[Genus]]</f>
        <v>Senna</v>
      </c>
      <c r="H500" s="230" t="str">
        <f>Table3.110[[#This Row],[Species]]</f>
        <v>pallida</v>
      </c>
      <c r="I500" s="230" t="str">
        <f>Table3.110[[#This Row],[Tax Name]]</f>
        <v>Senna pallida</v>
      </c>
      <c r="J500" s="230" t="str">
        <f>Table3.110[[#This Row],[Family]]</f>
        <v>Fabaceae</v>
      </c>
      <c r="K500" s="230" t="str">
        <f>Table3.110[[#This Row],[Order]]</f>
        <v>Fabales</v>
      </c>
      <c r="L500" s="230" t="str">
        <f>Table3.110[[#This Row],[Functional Group]]</f>
        <v>Tree</v>
      </c>
      <c r="M500" s="230" t="str">
        <f>Table3.110[[#This Row],[CIAT ID]]</f>
        <v>F251764</v>
      </c>
      <c r="N500" s="230">
        <f>Table3.110[[#This Row],[Set CIAT]]</f>
        <v>28</v>
      </c>
      <c r="O500" s="230">
        <f>Table3.110[[#This Row],[Batch]]</f>
        <v>61</v>
      </c>
      <c r="P500" s="230">
        <f>Table3.110[[#This Row],[Run]]</f>
        <v>2</v>
      </c>
      <c r="Q500" s="230">
        <f>Table3.110[[#This Row],[Replication]]</f>
        <v>2</v>
      </c>
      <c r="R500" s="230">
        <f>Table3.110[[#This Row],[Syrange No]]</f>
        <v>0</v>
      </c>
      <c r="S500" s="250">
        <v>0.56589999999999996</v>
      </c>
      <c r="T500" s="250">
        <v>0.83360000000000001</v>
      </c>
      <c r="U500" s="108"/>
      <c r="V500" s="122">
        <f t="shared" si="35"/>
        <v>0.26770000000000005</v>
      </c>
      <c r="W500" s="61">
        <f>Table3.110[[#This Row],[DM Incubated, mg]]-('3.2 Digest'!V500*1000)</f>
        <v>201.97804158752359</v>
      </c>
      <c r="X500" s="61">
        <f>W500/Table3.110[[#This Row],[DM Incubated, mg]]*100</f>
        <v>43.003509575374807</v>
      </c>
      <c r="Y500" s="37">
        <f>Table3.1[[#This Row],[DM Incubated, mg]]*'2.4 NDF'!R89/100</f>
        <v>250.61925826366615</v>
      </c>
      <c r="Z500" s="37">
        <f t="shared" si="38"/>
        <v>-17.080741736333891</v>
      </c>
      <c r="AA500" s="37">
        <f t="shared" si="39"/>
        <v>-6.8154146870724315</v>
      </c>
      <c r="AB500" s="57"/>
    </row>
    <row r="501" spans="2:28" x14ac:dyDescent="0.35">
      <c r="B501" s="230">
        <f t="shared" si="34"/>
        <v>491</v>
      </c>
      <c r="C501" s="246" t="s">
        <v>692</v>
      </c>
      <c r="D501" s="248">
        <f>Table3.110[[#This Row],[Date]]</f>
        <v>46050</v>
      </c>
      <c r="E501" s="230" t="str">
        <f>Table3.110[[#This Row],[Requisitioner]]</f>
        <v>Genbank</v>
      </c>
      <c r="F501" s="230" t="str">
        <f>Table3.110[[#This Row],[Gene Bank ID]]</f>
        <v>CIAT-20788</v>
      </c>
      <c r="G501" s="230" t="str">
        <f>Table3.110[[#This Row],[Genus]]</f>
        <v>Senna</v>
      </c>
      <c r="H501" s="230" t="str">
        <f>Table3.110[[#This Row],[Species]]</f>
        <v>pallida</v>
      </c>
      <c r="I501" s="230" t="str">
        <f>Table3.110[[#This Row],[Tax Name]]</f>
        <v>Senna pallida</v>
      </c>
      <c r="J501" s="230" t="str">
        <f>Table3.110[[#This Row],[Family]]</f>
        <v>Fabaceae</v>
      </c>
      <c r="K501" s="230" t="str">
        <f>Table3.110[[#This Row],[Order]]</f>
        <v>Fabales</v>
      </c>
      <c r="L501" s="230" t="str">
        <f>Table3.110[[#This Row],[Functional Group]]</f>
        <v>Tree</v>
      </c>
      <c r="M501" s="230" t="str">
        <f>Table3.110[[#This Row],[CIAT ID]]</f>
        <v>F251764</v>
      </c>
      <c r="N501" s="230">
        <f>Table3.110[[#This Row],[Set CIAT]]</f>
        <v>28</v>
      </c>
      <c r="O501" s="230">
        <f>Table3.110[[#This Row],[Batch]]</f>
        <v>61</v>
      </c>
      <c r="P501" s="230">
        <f>Table3.110[[#This Row],[Run]]</f>
        <v>2</v>
      </c>
      <c r="Q501" s="230">
        <f>Table3.110[[#This Row],[Replication]]</f>
        <v>3</v>
      </c>
      <c r="R501" s="230">
        <f>Table3.110[[#This Row],[Syrange No]]</f>
        <v>0</v>
      </c>
      <c r="S501" s="106">
        <v>0.59440000000000004</v>
      </c>
      <c r="T501" s="106">
        <v>0.76029999999999998</v>
      </c>
      <c r="U501" s="108"/>
      <c r="V501" s="122">
        <f t="shared" si="35"/>
        <v>0.16589999999999994</v>
      </c>
      <c r="W501" s="61">
        <f>Table3.110[[#This Row],[DM Incubated, mg]]-('3.2 Digest'!V501*1000)</f>
        <v>303.87195841247626</v>
      </c>
      <c r="X501" s="61">
        <f>W501/Table3.110[[#This Row],[DM Incubated, mg]]*100</f>
        <v>64.684992999447218</v>
      </c>
      <c r="Y501" s="37">
        <f>Table3.1[[#This Row],[DM Incubated, mg]]*'2.4 NDF'!R89/100</f>
        <v>250.66937209255312</v>
      </c>
      <c r="Z501" s="37">
        <f t="shared" si="38"/>
        <v>84.769372092553169</v>
      </c>
      <c r="AA501" s="37">
        <f t="shared" si="39"/>
        <v>33.817203667488457</v>
      </c>
      <c r="AB501" s="57"/>
    </row>
    <row r="502" spans="2:28" x14ac:dyDescent="0.35">
      <c r="B502" s="230">
        <f t="shared" si="34"/>
        <v>492</v>
      </c>
      <c r="C502" s="246" t="s">
        <v>692</v>
      </c>
      <c r="D502" s="248">
        <f>Table3.110[[#This Row],[Date]]</f>
        <v>46050</v>
      </c>
      <c r="E502" s="230" t="str">
        <f>Table3.110[[#This Row],[Requisitioner]]</f>
        <v>Genbank</v>
      </c>
      <c r="F502" s="230" t="str">
        <f>Table3.110[[#This Row],[Gene Bank ID]]</f>
        <v>CIAT-21242</v>
      </c>
      <c r="G502" s="230" t="str">
        <f>Table3.110[[#This Row],[Genus]]</f>
        <v>Leucaena</v>
      </c>
      <c r="H502" s="230" t="str">
        <f>Table3.110[[#This Row],[Species]]</f>
        <v>diversifolia</v>
      </c>
      <c r="I502" s="230" t="str">
        <f>Table3.110[[#This Row],[Tax Name]]</f>
        <v>Leucaena diversifolia</v>
      </c>
      <c r="J502" s="230" t="str">
        <f>Table3.110[[#This Row],[Family]]</f>
        <v>Fabaceae</v>
      </c>
      <c r="K502" s="230" t="str">
        <f>Table3.110[[#This Row],[Order]]</f>
        <v>Fabales</v>
      </c>
      <c r="L502" s="230" t="str">
        <f>Table3.110[[#This Row],[Functional Group]]</f>
        <v>Tree</v>
      </c>
      <c r="M502" s="230" t="str">
        <f>Table3.110[[#This Row],[CIAT ID]]</f>
        <v>F251765</v>
      </c>
      <c r="N502" s="230">
        <f>Table3.110[[#This Row],[Set CIAT]]</f>
        <v>28</v>
      </c>
      <c r="O502" s="230">
        <f>Table3.110[[#This Row],[Batch]]</f>
        <v>61</v>
      </c>
      <c r="P502" s="230">
        <f>Table3.110[[#This Row],[Run]]</f>
        <v>2</v>
      </c>
      <c r="Q502" s="230">
        <f>Table3.110[[#This Row],[Replication]]</f>
        <v>1</v>
      </c>
      <c r="R502" s="230">
        <f>Table3.110[[#This Row],[Syrange No]]</f>
        <v>0</v>
      </c>
      <c r="S502" s="106">
        <v>0.57840000000000003</v>
      </c>
      <c r="T502" s="106">
        <v>0.9012</v>
      </c>
      <c r="U502" s="108"/>
      <c r="V502" s="122">
        <f t="shared" si="35"/>
        <v>0.32279999999999998</v>
      </c>
      <c r="W502" s="61">
        <f>Table3.110[[#This Row],[DM Incubated, mg]]-('3.2 Digest'!V502*1000)</f>
        <v>143.25682828698069</v>
      </c>
      <c r="X502" s="61">
        <f>W502/Table3.110[[#This Row],[DM Incubated, mg]]*100</f>
        <v>30.738060166080949</v>
      </c>
      <c r="Y502" s="37">
        <f>Table3.1[[#This Row],[DM Incubated, mg]]*'2.4 NDF'!R91/100</f>
        <v>295.67710880792072</v>
      </c>
      <c r="Z502" s="37">
        <f t="shared" si="38"/>
        <v>-27.122891192079237</v>
      </c>
      <c r="AA502" s="37">
        <f t="shared" si="39"/>
        <v>-9.1731454292929211</v>
      </c>
      <c r="AB502" s="57"/>
    </row>
    <row r="503" spans="2:28" x14ac:dyDescent="0.35">
      <c r="B503" s="230">
        <f t="shared" si="34"/>
        <v>493</v>
      </c>
      <c r="C503" s="246" t="s">
        <v>692</v>
      </c>
      <c r="D503" s="248">
        <f>Table3.110[[#This Row],[Date]]</f>
        <v>46050</v>
      </c>
      <c r="E503" s="230" t="str">
        <f>Table3.110[[#This Row],[Requisitioner]]</f>
        <v>Genbank</v>
      </c>
      <c r="F503" s="230" t="str">
        <f>Table3.110[[#This Row],[Gene Bank ID]]</f>
        <v>CIAT-21242</v>
      </c>
      <c r="G503" s="230" t="str">
        <f>Table3.110[[#This Row],[Genus]]</f>
        <v>Leucaena</v>
      </c>
      <c r="H503" s="230" t="str">
        <f>Table3.110[[#This Row],[Species]]</f>
        <v>diversifolia</v>
      </c>
      <c r="I503" s="230" t="str">
        <f>Table3.110[[#This Row],[Tax Name]]</f>
        <v>Leucaena diversifolia</v>
      </c>
      <c r="J503" s="230" t="str">
        <f>Table3.110[[#This Row],[Family]]</f>
        <v>Fabaceae</v>
      </c>
      <c r="K503" s="230" t="str">
        <f>Table3.110[[#This Row],[Order]]</f>
        <v>Fabales</v>
      </c>
      <c r="L503" s="230" t="str">
        <f>Table3.110[[#This Row],[Functional Group]]</f>
        <v>Tree</v>
      </c>
      <c r="M503" s="230" t="str">
        <f>Table3.110[[#This Row],[CIAT ID]]</f>
        <v>F251765</v>
      </c>
      <c r="N503" s="230">
        <f>Table3.110[[#This Row],[Set CIAT]]</f>
        <v>28</v>
      </c>
      <c r="O503" s="230">
        <f>Table3.110[[#This Row],[Batch]]</f>
        <v>61</v>
      </c>
      <c r="P503" s="230">
        <f>Table3.110[[#This Row],[Run]]</f>
        <v>2</v>
      </c>
      <c r="Q503" s="230">
        <f>Table3.110[[#This Row],[Replication]]</f>
        <v>2</v>
      </c>
      <c r="R503" s="230">
        <f>Table3.110[[#This Row],[Syrange No]]</f>
        <v>0</v>
      </c>
      <c r="S503" s="106">
        <v>0.56630000000000003</v>
      </c>
      <c r="T503" s="106">
        <v>0.89449999999999996</v>
      </c>
      <c r="U503" s="108"/>
      <c r="V503" s="122">
        <f t="shared" si="35"/>
        <v>0.32819999999999994</v>
      </c>
      <c r="W503" s="61">
        <f>Table3.110[[#This Row],[DM Incubated, mg]]-('3.2 Digest'!V503*1000)</f>
        <v>137.95003965263811</v>
      </c>
      <c r="X503" s="61">
        <f>W503/Table3.110[[#This Row],[DM Incubated, mg]]*100</f>
        <v>29.593484483115056</v>
      </c>
      <c r="Y503" s="37">
        <f>Table3.1[[#This Row],[DM Incubated, mg]]*'2.4 NDF'!R91/100</f>
        <v>295.73624422968231</v>
      </c>
      <c r="Z503" s="37">
        <f t="shared" si="38"/>
        <v>-32.463755770317618</v>
      </c>
      <c r="AA503" s="37">
        <f t="shared" si="39"/>
        <v>-10.977266535211957</v>
      </c>
      <c r="AB503" s="57"/>
    </row>
    <row r="504" spans="2:28" x14ac:dyDescent="0.35">
      <c r="B504" s="230">
        <f t="shared" si="34"/>
        <v>494</v>
      </c>
      <c r="C504" s="246" t="s">
        <v>692</v>
      </c>
      <c r="D504" s="248">
        <f>Table3.110[[#This Row],[Date]]</f>
        <v>46050</v>
      </c>
      <c r="E504" s="230" t="str">
        <f>Table3.110[[#This Row],[Requisitioner]]</f>
        <v>Genbank</v>
      </c>
      <c r="F504" s="230" t="str">
        <f>Table3.110[[#This Row],[Gene Bank ID]]</f>
        <v>CIAT-21242</v>
      </c>
      <c r="G504" s="230" t="str">
        <f>Table3.110[[#This Row],[Genus]]</f>
        <v>Leucaena</v>
      </c>
      <c r="H504" s="230" t="str">
        <f>Table3.110[[#This Row],[Species]]</f>
        <v>diversifolia</v>
      </c>
      <c r="I504" s="230" t="str">
        <f>Table3.110[[#This Row],[Tax Name]]</f>
        <v>Leucaena diversifolia</v>
      </c>
      <c r="J504" s="230" t="str">
        <f>Table3.110[[#This Row],[Family]]</f>
        <v>Fabaceae</v>
      </c>
      <c r="K504" s="230" t="str">
        <f>Table3.110[[#This Row],[Order]]</f>
        <v>Fabales</v>
      </c>
      <c r="L504" s="230" t="str">
        <f>Table3.110[[#This Row],[Functional Group]]</f>
        <v>Tree</v>
      </c>
      <c r="M504" s="230" t="str">
        <f>Table3.110[[#This Row],[CIAT ID]]</f>
        <v>F251765</v>
      </c>
      <c r="N504" s="230">
        <f>Table3.110[[#This Row],[Set CIAT]]</f>
        <v>28</v>
      </c>
      <c r="O504" s="230">
        <f>Table3.110[[#This Row],[Batch]]</f>
        <v>61</v>
      </c>
      <c r="P504" s="230">
        <f>Table3.110[[#This Row],[Run]]</f>
        <v>2</v>
      </c>
      <c r="Q504" s="230">
        <f>Table3.110[[#This Row],[Replication]]</f>
        <v>3</v>
      </c>
      <c r="R504" s="230">
        <f>Table3.110[[#This Row],[Syrange No]]</f>
        <v>0</v>
      </c>
      <c r="S504" s="106">
        <v>0.58860000000000001</v>
      </c>
      <c r="T504" s="106">
        <v>0.91039999999999999</v>
      </c>
      <c r="U504" s="108"/>
      <c r="V504" s="122">
        <f t="shared" si="35"/>
        <v>0.32179999999999997</v>
      </c>
      <c r="W504" s="61">
        <f>Table3.110[[#This Row],[DM Incubated, mg]]-('3.2 Digest'!V504*1000)</f>
        <v>144.53646238395282</v>
      </c>
      <c r="X504" s="61">
        <f>W504/Table3.110[[#This Row],[DM Incubated, mg]]*100</f>
        <v>30.994029856698269</v>
      </c>
      <c r="Y504" s="37">
        <f>Table3.1[[#This Row],[DM Incubated, mg]]*'2.4 NDF'!R91/100</f>
        <v>295.85451507320545</v>
      </c>
      <c r="Z504" s="37">
        <f t="shared" si="38"/>
        <v>-25.945484926794506</v>
      </c>
      <c r="AA504" s="37">
        <f t="shared" si="39"/>
        <v>-8.7696768529541025</v>
      </c>
      <c r="AB504" s="57"/>
    </row>
    <row r="505" spans="2:28" x14ac:dyDescent="0.35">
      <c r="B505" s="230">
        <f t="shared" si="34"/>
        <v>495</v>
      </c>
      <c r="C505" s="246" t="s">
        <v>692</v>
      </c>
      <c r="D505" s="248">
        <f>Table3.110[[#This Row],[Date]]</f>
        <v>46050</v>
      </c>
      <c r="E505" s="230" t="str">
        <f>Table3.110[[#This Row],[Requisitioner]]</f>
        <v>Genbank</v>
      </c>
      <c r="F505" s="230" t="str">
        <f>Table3.110[[#This Row],[Gene Bank ID]]</f>
        <v>CIAT-21512</v>
      </c>
      <c r="G505" s="230" t="str">
        <f>Table3.110[[#This Row],[Genus]]</f>
        <v>Calliandra</v>
      </c>
      <c r="H505" s="230" t="str">
        <f>Table3.110[[#This Row],[Species]]</f>
        <v>calothyrsus</v>
      </c>
      <c r="I505" s="230" t="str">
        <f>Table3.110[[#This Row],[Tax Name]]</f>
        <v>Calliandra calothyrsus</v>
      </c>
      <c r="J505" s="230" t="str">
        <f>Table3.110[[#This Row],[Family]]</f>
        <v>Fabaceae</v>
      </c>
      <c r="K505" s="230" t="str">
        <f>Table3.110[[#This Row],[Order]]</f>
        <v>Fabales</v>
      </c>
      <c r="L505" s="230" t="str">
        <f>Table3.110[[#This Row],[Functional Group]]</f>
        <v>Tree</v>
      </c>
      <c r="M505" s="230" t="str">
        <f>Table3.110[[#This Row],[CIAT ID]]</f>
        <v>F251766</v>
      </c>
      <c r="N505" s="230">
        <f>Table3.110[[#This Row],[Set CIAT]]</f>
        <v>28</v>
      </c>
      <c r="O505" s="230">
        <f>Table3.110[[#This Row],[Batch]]</f>
        <v>61</v>
      </c>
      <c r="P505" s="230">
        <f>Table3.110[[#This Row],[Run]]</f>
        <v>2</v>
      </c>
      <c r="Q505" s="230">
        <f>Table3.110[[#This Row],[Replication]]</f>
        <v>1</v>
      </c>
      <c r="R505" s="230">
        <f>Table3.110[[#This Row],[Syrange No]]</f>
        <v>0</v>
      </c>
      <c r="S505" s="98">
        <v>0.5706</v>
      </c>
      <c r="T505" s="98">
        <v>0.94059999999999999</v>
      </c>
      <c r="U505" s="108"/>
      <c r="V505" s="122">
        <f t="shared" si="35"/>
        <v>0.37</v>
      </c>
      <c r="W505" s="61">
        <f>Table3.110[[#This Row],[DM Incubated, mg]]-('3.2 Digest'!V505*1000)</f>
        <v>94.032212115153868</v>
      </c>
      <c r="X505" s="61">
        <f>W505/Table3.110[[#This Row],[DM Incubated, mg]]*100</f>
        <v>20.264156164188645</v>
      </c>
      <c r="Y505" s="37">
        <f>Table3.1[[#This Row],[DM Incubated, mg]]*'2.4 NDF'!R93/100</f>
        <v>247.63536504026968</v>
      </c>
      <c r="Z505" s="37">
        <f t="shared" si="38"/>
        <v>-122.36463495973032</v>
      </c>
      <c r="AA505" s="37">
        <f t="shared" si="39"/>
        <v>-49.413230997855159</v>
      </c>
      <c r="AB505" s="57"/>
    </row>
    <row r="506" spans="2:28" x14ac:dyDescent="0.35">
      <c r="B506" s="230">
        <f t="shared" si="34"/>
        <v>496</v>
      </c>
      <c r="C506" s="246" t="s">
        <v>692</v>
      </c>
      <c r="D506" s="248">
        <f>Table3.110[[#This Row],[Date]]</f>
        <v>46050</v>
      </c>
      <c r="E506" s="230" t="str">
        <f>Table3.110[[#This Row],[Requisitioner]]</f>
        <v>Genbank</v>
      </c>
      <c r="F506" s="230" t="str">
        <f>Table3.110[[#This Row],[Gene Bank ID]]</f>
        <v>CIAT-21512</v>
      </c>
      <c r="G506" s="230" t="str">
        <f>Table3.110[[#This Row],[Genus]]</f>
        <v>Calliandra</v>
      </c>
      <c r="H506" s="230" t="str">
        <f>Table3.110[[#This Row],[Species]]</f>
        <v>calothyrsus</v>
      </c>
      <c r="I506" s="230" t="str">
        <f>Table3.110[[#This Row],[Tax Name]]</f>
        <v>Calliandra calothyrsus</v>
      </c>
      <c r="J506" s="230" t="str">
        <f>Table3.110[[#This Row],[Family]]</f>
        <v>Fabaceae</v>
      </c>
      <c r="K506" s="230" t="str">
        <f>Table3.110[[#This Row],[Order]]</f>
        <v>Fabales</v>
      </c>
      <c r="L506" s="230" t="str">
        <f>Table3.110[[#This Row],[Functional Group]]</f>
        <v>Tree</v>
      </c>
      <c r="M506" s="230" t="str">
        <f>Table3.110[[#This Row],[CIAT ID]]</f>
        <v>F251766</v>
      </c>
      <c r="N506" s="230">
        <f>Table3.110[[#This Row],[Set CIAT]]</f>
        <v>28</v>
      </c>
      <c r="O506" s="230">
        <f>Table3.110[[#This Row],[Batch]]</f>
        <v>61</v>
      </c>
      <c r="P506" s="230">
        <f>Table3.110[[#This Row],[Run]]</f>
        <v>2</v>
      </c>
      <c r="Q506" s="230">
        <f>Table3.110[[#This Row],[Replication]]</f>
        <v>2</v>
      </c>
      <c r="R506" s="230">
        <f>Table3.110[[#This Row],[Syrange No]]</f>
        <v>0</v>
      </c>
      <c r="S506" s="250">
        <v>0.58330000000000004</v>
      </c>
      <c r="T506" s="250">
        <v>0.95760000000000001</v>
      </c>
      <c r="U506" s="108"/>
      <c r="V506" s="122">
        <f t="shared" si="35"/>
        <v>0.37429999999999997</v>
      </c>
      <c r="W506" s="61">
        <f>Table3.110[[#This Row],[DM Incubated, mg]]-('3.2 Digest'!V506*1000)</f>
        <v>89.824999999999932</v>
      </c>
      <c r="X506" s="61">
        <f>W506/Table3.110[[#This Row],[DM Incubated, mg]]*100</f>
        <v>19.353622407756522</v>
      </c>
      <c r="Y506" s="37">
        <f>Table3.1[[#This Row],[DM Incubated, mg]]*'2.4 NDF'!R93/100</f>
        <v>247.68488220984381</v>
      </c>
      <c r="Z506" s="37">
        <f t="shared" si="38"/>
        <v>-126.61511779015615</v>
      </c>
      <c r="AA506" s="37">
        <f t="shared" si="39"/>
        <v>-51.119437189906961</v>
      </c>
      <c r="AB506" s="57"/>
    </row>
    <row r="507" spans="2:28" x14ac:dyDescent="0.35">
      <c r="B507" s="230">
        <f t="shared" si="34"/>
        <v>497</v>
      </c>
      <c r="C507" s="246" t="s">
        <v>692</v>
      </c>
      <c r="D507" s="248">
        <f>Table3.110[[#This Row],[Date]]</f>
        <v>46050</v>
      </c>
      <c r="E507" s="230" t="str">
        <f>Table3.110[[#This Row],[Requisitioner]]</f>
        <v>Genbank</v>
      </c>
      <c r="F507" s="230" t="str">
        <f>Table3.110[[#This Row],[Gene Bank ID]]</f>
        <v>CIAT-21512</v>
      </c>
      <c r="G507" s="230" t="str">
        <f>Table3.110[[#This Row],[Genus]]</f>
        <v>Calliandra</v>
      </c>
      <c r="H507" s="230" t="str">
        <f>Table3.110[[#This Row],[Species]]</f>
        <v>calothyrsus</v>
      </c>
      <c r="I507" s="230" t="str">
        <f>Table3.110[[#This Row],[Tax Name]]</f>
        <v>Calliandra calothyrsus</v>
      </c>
      <c r="J507" s="230" t="str">
        <f>Table3.110[[#This Row],[Family]]</f>
        <v>Fabaceae</v>
      </c>
      <c r="K507" s="230" t="str">
        <f>Table3.110[[#This Row],[Order]]</f>
        <v>Fabales</v>
      </c>
      <c r="L507" s="230" t="str">
        <f>Table3.110[[#This Row],[Functional Group]]</f>
        <v>Tree</v>
      </c>
      <c r="M507" s="230" t="str">
        <f>Table3.110[[#This Row],[CIAT ID]]</f>
        <v>F251766</v>
      </c>
      <c r="N507" s="230">
        <f>Table3.110[[#This Row],[Set CIAT]]</f>
        <v>28</v>
      </c>
      <c r="O507" s="230">
        <f>Table3.110[[#This Row],[Batch]]</f>
        <v>61</v>
      </c>
      <c r="P507" s="230">
        <f>Table3.110[[#This Row],[Run]]</f>
        <v>2</v>
      </c>
      <c r="Q507" s="230">
        <f>Table3.110[[#This Row],[Replication]]</f>
        <v>3</v>
      </c>
      <c r="R507" s="230">
        <f>Table3.110[[#This Row],[Syrange No]]</f>
        <v>0</v>
      </c>
      <c r="S507" s="98">
        <v>0.58460000000000001</v>
      </c>
      <c r="T507" s="98">
        <v>0.91420000000000001</v>
      </c>
      <c r="U507" s="108"/>
      <c r="V507" s="122">
        <f t="shared" si="35"/>
        <v>0.3296</v>
      </c>
      <c r="W507" s="61">
        <f>Table3.110[[#This Row],[DM Incubated, mg]]-('3.2 Digest'!V507*1000)</f>
        <v>134.43221211515385</v>
      </c>
      <c r="X507" s="61">
        <f>W507/Table3.110[[#This Row],[DM Incubated, mg]]*100</f>
        <v>28.970448301936692</v>
      </c>
      <c r="Y507" s="37">
        <f>Table3.1[[#This Row],[DM Incubated, mg]]*'2.4 NDF'!R93/100</f>
        <v>247.63536504026968</v>
      </c>
      <c r="Z507" s="37">
        <f t="shared" si="38"/>
        <v>-81.964634959730347</v>
      </c>
      <c r="AA507" s="37">
        <f t="shared" si="39"/>
        <v>-33.098921451062338</v>
      </c>
      <c r="AB507" s="57"/>
    </row>
    <row r="508" spans="2:28" x14ac:dyDescent="0.35">
      <c r="B508" s="230">
        <f t="shared" si="34"/>
        <v>498</v>
      </c>
      <c r="C508" s="246" t="s">
        <v>692</v>
      </c>
      <c r="D508" s="248">
        <f>Table3.110[[#This Row],[Date]]</f>
        <v>46050</v>
      </c>
      <c r="E508" s="230" t="str">
        <f>Table3.110[[#This Row],[Requisitioner]]</f>
        <v>Genbank</v>
      </c>
      <c r="F508" s="230" t="str">
        <f>Table3.110[[#This Row],[Gene Bank ID]]</f>
        <v>CIAT-21601</v>
      </c>
      <c r="G508" s="230" t="str">
        <f>Table3.110[[#This Row],[Genus]]</f>
        <v>Erythrina</v>
      </c>
      <c r="H508" s="230" t="str">
        <f>Table3.110[[#This Row],[Species]]</f>
        <v>fusca</v>
      </c>
      <c r="I508" s="230" t="str">
        <f>Table3.110[[#This Row],[Tax Name]]</f>
        <v>Erythrina fusca</v>
      </c>
      <c r="J508" s="230" t="str">
        <f>Table3.110[[#This Row],[Family]]</f>
        <v>Fabaceae</v>
      </c>
      <c r="K508" s="230" t="str">
        <f>Table3.110[[#This Row],[Order]]</f>
        <v>Fabales</v>
      </c>
      <c r="L508" s="230" t="str">
        <f>Table3.110[[#This Row],[Functional Group]]</f>
        <v>Tree</v>
      </c>
      <c r="M508" s="230" t="str">
        <f>Table3.110[[#This Row],[CIAT ID]]</f>
        <v>F251767</v>
      </c>
      <c r="N508" s="230">
        <f>Table3.110[[#This Row],[Set CIAT]]</f>
        <v>28</v>
      </c>
      <c r="O508" s="230">
        <f>Table3.110[[#This Row],[Batch]]</f>
        <v>61</v>
      </c>
      <c r="P508" s="230">
        <f>Table3.110[[#This Row],[Run]]</f>
        <v>2</v>
      </c>
      <c r="Q508" s="230">
        <f>Table3.110[[#This Row],[Replication]]</f>
        <v>1</v>
      </c>
      <c r="R508" s="230">
        <f>Table3.110[[#This Row],[Syrange No]]</f>
        <v>0</v>
      </c>
      <c r="S508" s="250">
        <v>0.56689999999999996</v>
      </c>
      <c r="T508" s="250">
        <v>0.86099999999999999</v>
      </c>
      <c r="U508" s="108"/>
      <c r="V508" s="122">
        <f t="shared" si="35"/>
        <v>0.29410000000000003</v>
      </c>
      <c r="W508" s="61">
        <f>Table3.110[[#This Row],[DM Incubated, mg]]-('3.2 Digest'!V508*1000)</f>
        <v>172.36363974558196</v>
      </c>
      <c r="X508" s="61">
        <f>W508/Table3.110[[#This Row],[DM Incubated, mg]]*100</f>
        <v>36.95114153797546</v>
      </c>
      <c r="Y508" s="37">
        <f>Table3.1[[#This Row],[DM Incubated, mg]]*'2.4 NDF'!R95/100</f>
        <v>319.48656961062574</v>
      </c>
      <c r="Z508" s="37">
        <f t="shared" si="38"/>
        <v>25.386569610625713</v>
      </c>
      <c r="AA508" s="37">
        <f t="shared" si="39"/>
        <v>7.9460522054387432</v>
      </c>
      <c r="AB508" s="57"/>
    </row>
    <row r="509" spans="2:28" x14ac:dyDescent="0.35">
      <c r="B509" s="230">
        <f t="shared" si="34"/>
        <v>499</v>
      </c>
      <c r="C509" s="246" t="s">
        <v>692</v>
      </c>
      <c r="D509" s="248">
        <f>Table3.110[[#This Row],[Date]]</f>
        <v>46050</v>
      </c>
      <c r="E509" s="230" t="str">
        <f>Table3.110[[#This Row],[Requisitioner]]</f>
        <v>Genbank</v>
      </c>
      <c r="F509" s="230" t="str">
        <f>Table3.110[[#This Row],[Gene Bank ID]]</f>
        <v>CIAT-21601</v>
      </c>
      <c r="G509" s="230" t="str">
        <f>Table3.110[[#This Row],[Genus]]</f>
        <v>Erythrina</v>
      </c>
      <c r="H509" s="230" t="str">
        <f>Table3.110[[#This Row],[Species]]</f>
        <v>fusca</v>
      </c>
      <c r="I509" s="230" t="str">
        <f>Table3.110[[#This Row],[Tax Name]]</f>
        <v>Erythrina fusca</v>
      </c>
      <c r="J509" s="230" t="str">
        <f>Table3.110[[#This Row],[Family]]</f>
        <v>Fabaceae</v>
      </c>
      <c r="K509" s="230" t="str">
        <f>Table3.110[[#This Row],[Order]]</f>
        <v>Fabales</v>
      </c>
      <c r="L509" s="230" t="str">
        <f>Table3.110[[#This Row],[Functional Group]]</f>
        <v>Tree</v>
      </c>
      <c r="M509" s="230" t="str">
        <f>Table3.110[[#This Row],[CIAT ID]]</f>
        <v>F251767</v>
      </c>
      <c r="N509" s="230">
        <f>Table3.110[[#This Row],[Set CIAT]]</f>
        <v>28</v>
      </c>
      <c r="O509" s="230">
        <f>Table3.110[[#This Row],[Batch]]</f>
        <v>61</v>
      </c>
      <c r="P509" s="230">
        <f>Table3.110[[#This Row],[Run]]</f>
        <v>2</v>
      </c>
      <c r="Q509" s="230">
        <f>Table3.110[[#This Row],[Replication]]</f>
        <v>2</v>
      </c>
      <c r="R509" s="230">
        <f>Table3.110[[#This Row],[Syrange No]]</f>
        <v>0</v>
      </c>
      <c r="S509" s="98">
        <v>0.58720000000000006</v>
      </c>
      <c r="T509" s="98">
        <v>0.91930000000000001</v>
      </c>
      <c r="U509" s="108"/>
      <c r="V509" s="122">
        <f t="shared" si="35"/>
        <v>0.33209999999999995</v>
      </c>
      <c r="W509" s="61">
        <f>Table3.110[[#This Row],[DM Incubated, mg]]-('3.2 Digest'!V509*1000)</f>
        <v>134.45687653145961</v>
      </c>
      <c r="X509" s="61">
        <f>W509/Table3.110[[#This Row],[DM Incubated, mg]]*100</f>
        <v>28.818967910420092</v>
      </c>
      <c r="Y509" s="37">
        <f>Table3.1[[#This Row],[DM Incubated, mg]]*'2.4 NDF'!R95/100</f>
        <v>319.55042860914875</v>
      </c>
      <c r="Z509" s="37">
        <f t="shared" si="38"/>
        <v>-12.549571390851213</v>
      </c>
      <c r="AA509" s="37">
        <f t="shared" si="39"/>
        <v>-3.9272585067319539</v>
      </c>
      <c r="AB509" s="57"/>
    </row>
    <row r="510" spans="2:28" x14ac:dyDescent="0.35">
      <c r="B510" s="230">
        <f t="shared" si="34"/>
        <v>500</v>
      </c>
      <c r="C510" s="246" t="s">
        <v>692</v>
      </c>
      <c r="D510" s="248">
        <f>Table3.110[[#This Row],[Date]]</f>
        <v>46050</v>
      </c>
      <c r="E510" s="230" t="str">
        <f>Table3.110[[#This Row],[Requisitioner]]</f>
        <v>Genbank</v>
      </c>
      <c r="F510" s="230" t="str">
        <f>Table3.110[[#This Row],[Gene Bank ID]]</f>
        <v>CIAT-21601</v>
      </c>
      <c r="G510" s="230" t="str">
        <f>Table3.110[[#This Row],[Genus]]</f>
        <v>Erythrina</v>
      </c>
      <c r="H510" s="230" t="str">
        <f>Table3.110[[#This Row],[Species]]</f>
        <v>fusca</v>
      </c>
      <c r="I510" s="230" t="str">
        <f>Table3.110[[#This Row],[Tax Name]]</f>
        <v>Erythrina fusca</v>
      </c>
      <c r="J510" s="230" t="str">
        <f>Table3.110[[#This Row],[Family]]</f>
        <v>Fabaceae</v>
      </c>
      <c r="K510" s="230" t="str">
        <f>Table3.110[[#This Row],[Order]]</f>
        <v>Fabales</v>
      </c>
      <c r="L510" s="230" t="str">
        <f>Table3.110[[#This Row],[Functional Group]]</f>
        <v>Tree</v>
      </c>
      <c r="M510" s="230" t="str">
        <f>Table3.110[[#This Row],[CIAT ID]]</f>
        <v>F251767</v>
      </c>
      <c r="N510" s="230">
        <f>Table3.110[[#This Row],[Set CIAT]]</f>
        <v>28</v>
      </c>
      <c r="O510" s="230">
        <f>Table3.110[[#This Row],[Batch]]</f>
        <v>61</v>
      </c>
      <c r="P510" s="230">
        <f>Table3.110[[#This Row],[Run]]</f>
        <v>2</v>
      </c>
      <c r="Q510" s="230">
        <f>Table3.110[[#This Row],[Replication]]</f>
        <v>3</v>
      </c>
      <c r="R510" s="230">
        <f>Table3.110[[#This Row],[Syrange No]]</f>
        <v>0</v>
      </c>
      <c r="S510" s="250">
        <v>0.57299999999999995</v>
      </c>
      <c r="T510" s="250">
        <v>0.8952</v>
      </c>
      <c r="U510" s="108"/>
      <c r="V510" s="122">
        <f t="shared" si="35"/>
        <v>0.32220000000000004</v>
      </c>
      <c r="W510" s="61">
        <f>Table3.110[[#This Row],[DM Incubated, mg]]-('3.2 Digest'!V510*1000)</f>
        <v>143.98392938794922</v>
      </c>
      <c r="X510" s="61">
        <f>W510/Table3.110[[#This Row],[DM Incubated, mg]]*100</f>
        <v>30.885648412845345</v>
      </c>
      <c r="Y510" s="37">
        <f>Table3.1[[#This Row],[DM Incubated, mg]]*'2.4 NDF'!R95/100</f>
        <v>319.29499261505674</v>
      </c>
      <c r="Z510" s="37">
        <f t="shared" si="38"/>
        <v>-2.9050073849433034</v>
      </c>
      <c r="AA510" s="37">
        <f t="shared" si="39"/>
        <v>-0.90981927438041321</v>
      </c>
      <c r="AB510" s="57"/>
    </row>
    <row r="511" spans="2:28" x14ac:dyDescent="0.35">
      <c r="B511" s="230">
        <f t="shared" si="34"/>
        <v>501</v>
      </c>
      <c r="C511" s="246" t="s">
        <v>692</v>
      </c>
      <c r="D511" s="248">
        <f>Table3.110[[#This Row],[Date]]</f>
        <v>46050</v>
      </c>
      <c r="E511" s="230" t="str">
        <f>Table3.110[[#This Row],[Requisitioner]]</f>
        <v>Genbank</v>
      </c>
      <c r="F511" s="230" t="str">
        <f>Table3.110[[#This Row],[Gene Bank ID]]</f>
        <v>CIAT-21809</v>
      </c>
      <c r="G511" s="230" t="str">
        <f>Table3.110[[#This Row],[Genus]]</f>
        <v>Acacia</v>
      </c>
      <c r="H511" s="230" t="str">
        <f>Table3.110[[#This Row],[Species]]</f>
        <v>farnesiana</v>
      </c>
      <c r="I511" s="230" t="str">
        <f>Table3.110[[#This Row],[Tax Name]]</f>
        <v>Acacia farnesiana</v>
      </c>
      <c r="J511" s="230" t="str">
        <f>Table3.110[[#This Row],[Family]]</f>
        <v>Fabaceae</v>
      </c>
      <c r="K511" s="230" t="str">
        <f>Table3.110[[#This Row],[Order]]</f>
        <v>Fabales</v>
      </c>
      <c r="L511" s="230" t="str">
        <f>Table3.110[[#This Row],[Functional Group]]</f>
        <v>Tree</v>
      </c>
      <c r="M511" s="230" t="str">
        <f>Table3.110[[#This Row],[CIAT ID]]</f>
        <v>F251768</v>
      </c>
      <c r="N511" s="230">
        <f>Table3.110[[#This Row],[Set CIAT]]</f>
        <v>28</v>
      </c>
      <c r="O511" s="230">
        <f>Table3.110[[#This Row],[Batch]]</f>
        <v>61</v>
      </c>
      <c r="P511" s="230">
        <f>Table3.110[[#This Row],[Run]]</f>
        <v>2</v>
      </c>
      <c r="Q511" s="230">
        <f>Table3.110[[#This Row],[Replication]]</f>
        <v>1</v>
      </c>
      <c r="R511" s="230">
        <f>Table3.110[[#This Row],[Syrange No]]</f>
        <v>0</v>
      </c>
      <c r="S511" s="98">
        <v>0.59499999999999997</v>
      </c>
      <c r="T511" s="98">
        <v>0.90610000000000002</v>
      </c>
      <c r="U511" s="108"/>
      <c r="V511" s="122">
        <f t="shared" si="35"/>
        <v>0.31110000000000004</v>
      </c>
      <c r="W511" s="61">
        <f>Table3.110[[#This Row],[DM Incubated, mg]]-('3.2 Digest'!V511*1000)</f>
        <v>162.07368709287209</v>
      </c>
      <c r="X511" s="61">
        <f>W511/Table3.110[[#This Row],[DM Incubated, mg]]*100</f>
        <v>34.252472509330616</v>
      </c>
      <c r="Y511" s="37">
        <f>Table3.1[[#This Row],[DM Incubated, mg]]*'2.4 NDF'!R97/100</f>
        <v>297.35966432787967</v>
      </c>
      <c r="Z511" s="37">
        <f t="shared" si="38"/>
        <v>-13.740335672120352</v>
      </c>
      <c r="AA511" s="37">
        <f t="shared" si="39"/>
        <v>-4.6207799242636201</v>
      </c>
      <c r="AB511" s="57"/>
    </row>
    <row r="512" spans="2:28" x14ac:dyDescent="0.35">
      <c r="B512" s="230">
        <f t="shared" si="34"/>
        <v>502</v>
      </c>
      <c r="C512" s="246" t="s">
        <v>692</v>
      </c>
      <c r="D512" s="248">
        <f>Table3.110[[#This Row],[Date]]</f>
        <v>46050</v>
      </c>
      <c r="E512" s="230" t="str">
        <f>Table3.110[[#This Row],[Requisitioner]]</f>
        <v>Genbank</v>
      </c>
      <c r="F512" s="230" t="str">
        <f>Table3.110[[#This Row],[Gene Bank ID]]</f>
        <v>CIAT-21809</v>
      </c>
      <c r="G512" s="230" t="str">
        <f>Table3.110[[#This Row],[Genus]]</f>
        <v>Acacia</v>
      </c>
      <c r="H512" s="230" t="str">
        <f>Table3.110[[#This Row],[Species]]</f>
        <v>farnesiana</v>
      </c>
      <c r="I512" s="230" t="str">
        <f>Table3.110[[#This Row],[Tax Name]]</f>
        <v>Acacia farnesiana</v>
      </c>
      <c r="J512" s="230" t="str">
        <f>Table3.110[[#This Row],[Family]]</f>
        <v>Fabaceae</v>
      </c>
      <c r="K512" s="230" t="str">
        <f>Table3.110[[#This Row],[Order]]</f>
        <v>Fabales</v>
      </c>
      <c r="L512" s="230" t="str">
        <f>Table3.110[[#This Row],[Functional Group]]</f>
        <v>Tree</v>
      </c>
      <c r="M512" s="230" t="str">
        <f>Table3.110[[#This Row],[CIAT ID]]</f>
        <v>F251768</v>
      </c>
      <c r="N512" s="230">
        <f>Table3.110[[#This Row],[Set CIAT]]</f>
        <v>28</v>
      </c>
      <c r="O512" s="230">
        <f>Table3.110[[#This Row],[Batch]]</f>
        <v>61</v>
      </c>
      <c r="P512" s="230">
        <f>Table3.110[[#This Row],[Run]]</f>
        <v>2</v>
      </c>
      <c r="Q512" s="230">
        <f>Table3.110[[#This Row],[Replication]]</f>
        <v>2</v>
      </c>
      <c r="R512" s="230">
        <f>Table3.110[[#This Row],[Syrange No]]</f>
        <v>0</v>
      </c>
      <c r="S512" s="250">
        <v>0.57930000000000004</v>
      </c>
      <c r="T512" s="250">
        <v>0.85360000000000003</v>
      </c>
      <c r="U512" s="108"/>
      <c r="V512" s="122">
        <f t="shared" si="35"/>
        <v>0.27429999999999999</v>
      </c>
      <c r="W512" s="61">
        <f>Table3.110[[#This Row],[DM Incubated, mg]]-('3.2 Digest'!V512*1000)</f>
        <v>198.77907127861636</v>
      </c>
      <c r="X512" s="61">
        <f>W512/Table3.110[[#This Row],[DM Incubated, mg]]*100</f>
        <v>42.018149469467211</v>
      </c>
      <c r="Y512" s="37">
        <f>Table3.1[[#This Row],[DM Incubated, mg]]*'2.4 NDF'!R97/100</f>
        <v>297.30020428702227</v>
      </c>
      <c r="Z512" s="37">
        <f t="shared" si="38"/>
        <v>23.000204287022257</v>
      </c>
      <c r="AA512" s="37">
        <f t="shared" si="39"/>
        <v>7.7363567045575214</v>
      </c>
      <c r="AB512" s="57"/>
    </row>
    <row r="513" spans="2:28" x14ac:dyDescent="0.35">
      <c r="B513" s="230">
        <f t="shared" si="34"/>
        <v>503</v>
      </c>
      <c r="C513" s="246" t="s">
        <v>692</v>
      </c>
      <c r="D513" s="248">
        <f>Table3.110[[#This Row],[Date]]</f>
        <v>46050</v>
      </c>
      <c r="E513" s="230" t="str">
        <f>Table3.110[[#This Row],[Requisitioner]]</f>
        <v>Genbank</v>
      </c>
      <c r="F513" s="230" t="str">
        <f>Table3.110[[#This Row],[Gene Bank ID]]</f>
        <v>CIAT-21809</v>
      </c>
      <c r="G513" s="230" t="str">
        <f>Table3.110[[#This Row],[Genus]]</f>
        <v>Acacia</v>
      </c>
      <c r="H513" s="230" t="str">
        <f>Table3.110[[#This Row],[Species]]</f>
        <v>farnesiana</v>
      </c>
      <c r="I513" s="230" t="str">
        <f>Table3.110[[#This Row],[Tax Name]]</f>
        <v>Acacia farnesiana</v>
      </c>
      <c r="J513" s="230" t="str">
        <f>Table3.110[[#This Row],[Family]]</f>
        <v>Fabaceae</v>
      </c>
      <c r="K513" s="230" t="str">
        <f>Table3.110[[#This Row],[Order]]</f>
        <v>Fabales</v>
      </c>
      <c r="L513" s="230" t="str">
        <f>Table3.110[[#This Row],[Functional Group]]</f>
        <v>Tree</v>
      </c>
      <c r="M513" s="230" t="str">
        <f>Table3.110[[#This Row],[CIAT ID]]</f>
        <v>F251768</v>
      </c>
      <c r="N513" s="230">
        <f>Table3.110[[#This Row],[Set CIAT]]</f>
        <v>28</v>
      </c>
      <c r="O513" s="230">
        <f>Table3.110[[#This Row],[Batch]]</f>
        <v>61</v>
      </c>
      <c r="P513" s="230">
        <f>Table3.110[[#This Row],[Run]]</f>
        <v>2</v>
      </c>
      <c r="Q513" s="230">
        <f>Table3.110[[#This Row],[Replication]]</f>
        <v>3</v>
      </c>
      <c r="R513" s="230">
        <f>Table3.110[[#This Row],[Syrange No]]</f>
        <v>0</v>
      </c>
      <c r="S513" s="98">
        <v>0.59909999999999997</v>
      </c>
      <c r="T513" s="98">
        <v>0.90759999999999996</v>
      </c>
      <c r="U513" s="108"/>
      <c r="V513" s="122">
        <f t="shared" si="35"/>
        <v>0.3085</v>
      </c>
      <c r="W513" s="61">
        <f>Table3.110[[#This Row],[DM Incubated, mg]]-('3.2 Digest'!V513*1000)</f>
        <v>164.95753453563924</v>
      </c>
      <c r="X513" s="61">
        <f>W513/Table3.110[[#This Row],[DM Incubated, mg]]*100</f>
        <v>34.841041171184948</v>
      </c>
      <c r="Y513" s="37">
        <f>Table3.1[[#This Row],[DM Incubated, mg]]*'2.4 NDF'!R97/100</f>
        <v>297.53804445045188</v>
      </c>
      <c r="Z513" s="37">
        <f t="shared" si="38"/>
        <v>-10.961955549548122</v>
      </c>
      <c r="AA513" s="37">
        <f t="shared" si="39"/>
        <v>-3.6842198011332239</v>
      </c>
      <c r="AB513" s="57"/>
    </row>
    <row r="514" spans="2:28" x14ac:dyDescent="0.35">
      <c r="B514" s="230">
        <f t="shared" si="34"/>
        <v>504</v>
      </c>
      <c r="C514" s="246" t="s">
        <v>692</v>
      </c>
      <c r="D514" s="248">
        <f>Table3.110[[#This Row],[Date]]</f>
        <v>46050</v>
      </c>
      <c r="E514" s="230" t="str">
        <f>Table3.110[[#This Row],[Requisitioner]]</f>
        <v>Genbank</v>
      </c>
      <c r="F514" s="230" t="str">
        <f>Table3.110[[#This Row],[Gene Bank ID]]</f>
        <v>CIAT-21810</v>
      </c>
      <c r="G514" s="230" t="str">
        <f>Table3.110[[#This Row],[Genus]]</f>
        <v>Acacia</v>
      </c>
      <c r="H514" s="230" t="str">
        <f>Table3.110[[#This Row],[Species]]</f>
        <v>angustissima</v>
      </c>
      <c r="I514" s="230" t="str">
        <f>Table3.110[[#This Row],[Tax Name]]</f>
        <v>Acacia angustissima</v>
      </c>
      <c r="J514" s="230" t="str">
        <f>Table3.110[[#This Row],[Family]]</f>
        <v>Fabaceae</v>
      </c>
      <c r="K514" s="230" t="str">
        <f>Table3.110[[#This Row],[Order]]</f>
        <v>Fabales</v>
      </c>
      <c r="L514" s="230" t="str">
        <f>Table3.110[[#This Row],[Functional Group]]</f>
        <v>Tree</v>
      </c>
      <c r="M514" s="230" t="str">
        <f>Table3.110[[#This Row],[CIAT ID]]</f>
        <v>F251769</v>
      </c>
      <c r="N514" s="230">
        <f>Table3.110[[#This Row],[Set CIAT]]</f>
        <v>28</v>
      </c>
      <c r="O514" s="230">
        <f>Table3.110[[#This Row],[Batch]]</f>
        <v>61</v>
      </c>
      <c r="P514" s="230">
        <f>Table3.110[[#This Row],[Run]]</f>
        <v>2</v>
      </c>
      <c r="Q514" s="230">
        <f>Table3.110[[#This Row],[Replication]]</f>
        <v>1</v>
      </c>
      <c r="R514" s="230">
        <f>Table3.110[[#This Row],[Syrange No]]</f>
        <v>0</v>
      </c>
      <c r="S514" s="250">
        <v>0.5746</v>
      </c>
      <c r="T514" s="250">
        <v>0.86629999999999996</v>
      </c>
      <c r="U514" s="108"/>
      <c r="V514" s="122">
        <f t="shared" si="35"/>
        <v>0.29169999999999996</v>
      </c>
      <c r="W514" s="61">
        <f>Table3.110[[#This Row],[DM Incubated, mg]]-('3.2 Digest'!V514*1000)</f>
        <v>182.51842565743436</v>
      </c>
      <c r="X514" s="61">
        <f>W514/Table3.110[[#This Row],[DM Incubated, mg]]*100</f>
        <v>38.488261059109909</v>
      </c>
      <c r="Y514" s="37">
        <f>Table3.1[[#This Row],[DM Incubated, mg]]*'2.4 NDF'!R99/100</f>
        <v>248.33663941302635</v>
      </c>
      <c r="Z514" s="37">
        <f t="shared" si="38"/>
        <v>-43.363360586973585</v>
      </c>
      <c r="AA514" s="37">
        <f t="shared" si="39"/>
        <v>-17.461523474533653</v>
      </c>
      <c r="AB514" s="57"/>
    </row>
    <row r="515" spans="2:28" x14ac:dyDescent="0.35">
      <c r="B515" s="230">
        <f t="shared" si="34"/>
        <v>505</v>
      </c>
      <c r="C515" s="246" t="s">
        <v>692</v>
      </c>
      <c r="D515" s="248">
        <f>Table3.110[[#This Row],[Date]]</f>
        <v>46050</v>
      </c>
      <c r="E515" s="230" t="str">
        <f>Table3.110[[#This Row],[Requisitioner]]</f>
        <v>Genbank</v>
      </c>
      <c r="F515" s="230" t="str">
        <f>Table3.110[[#This Row],[Gene Bank ID]]</f>
        <v>CIAT-21810</v>
      </c>
      <c r="G515" s="230" t="str">
        <f>Table3.110[[#This Row],[Genus]]</f>
        <v>Acacia</v>
      </c>
      <c r="H515" s="230" t="str">
        <f>Table3.110[[#This Row],[Species]]</f>
        <v>angustissima</v>
      </c>
      <c r="I515" s="230" t="str">
        <f>Table3.110[[#This Row],[Tax Name]]</f>
        <v>Acacia angustissima</v>
      </c>
      <c r="J515" s="230" t="str">
        <f>Table3.110[[#This Row],[Family]]</f>
        <v>Fabaceae</v>
      </c>
      <c r="K515" s="230" t="str">
        <f>Table3.110[[#This Row],[Order]]</f>
        <v>Fabales</v>
      </c>
      <c r="L515" s="230" t="str">
        <f>Table3.110[[#This Row],[Functional Group]]</f>
        <v>Tree</v>
      </c>
      <c r="M515" s="230" t="str">
        <f>Table3.110[[#This Row],[CIAT ID]]</f>
        <v>F251769</v>
      </c>
      <c r="N515" s="230">
        <f>Table3.110[[#This Row],[Set CIAT]]</f>
        <v>28</v>
      </c>
      <c r="O515" s="230">
        <f>Table3.110[[#This Row],[Batch]]</f>
        <v>61</v>
      </c>
      <c r="P515" s="230">
        <f>Table3.110[[#This Row],[Run]]</f>
        <v>2</v>
      </c>
      <c r="Q515" s="230">
        <f>Table3.110[[#This Row],[Replication]]</f>
        <v>2</v>
      </c>
      <c r="R515" s="230">
        <f>Table3.110[[#This Row],[Syrange No]]</f>
        <v>0</v>
      </c>
      <c r="S515" s="98">
        <v>0.56489999999999996</v>
      </c>
      <c r="T515" s="98">
        <v>0.91149999999999998</v>
      </c>
      <c r="U515" s="108"/>
      <c r="V515" s="122">
        <f t="shared" si="35"/>
        <v>0.34660000000000002</v>
      </c>
      <c r="W515" s="61">
        <f>Table3.110[[#This Row],[DM Incubated, mg]]-('3.2 Digest'!V515*1000)</f>
        <v>127.42885203134688</v>
      </c>
      <c r="X515" s="61">
        <f>W515/Table3.110[[#This Row],[DM Incubated, mg]]*100</f>
        <v>26.882087764337214</v>
      </c>
      <c r="Y515" s="37">
        <f>Table3.1[[#This Row],[DM Incubated, mg]]*'2.4 NDF'!R99/100</f>
        <v>248.23736432231553</v>
      </c>
      <c r="Z515" s="37">
        <f t="shared" si="38"/>
        <v>-98.362635677684494</v>
      </c>
      <c r="AA515" s="37">
        <f t="shared" si="39"/>
        <v>-39.624427993027197</v>
      </c>
      <c r="AB515" s="57"/>
    </row>
    <row r="516" spans="2:28" x14ac:dyDescent="0.35">
      <c r="B516" s="230">
        <f t="shared" si="34"/>
        <v>506</v>
      </c>
      <c r="C516" s="246" t="s">
        <v>692</v>
      </c>
      <c r="D516" s="248">
        <f>Table3.110[[#This Row],[Date]]</f>
        <v>46050</v>
      </c>
      <c r="E516" s="230" t="str">
        <f>Table3.110[[#This Row],[Requisitioner]]</f>
        <v>Genbank</v>
      </c>
      <c r="F516" s="230" t="str">
        <f>Table3.110[[#This Row],[Gene Bank ID]]</f>
        <v>CIAT-21810</v>
      </c>
      <c r="G516" s="230" t="str">
        <f>Table3.110[[#This Row],[Genus]]</f>
        <v>Acacia</v>
      </c>
      <c r="H516" s="230" t="str">
        <f>Table3.110[[#This Row],[Species]]</f>
        <v>angustissima</v>
      </c>
      <c r="I516" s="230" t="str">
        <f>Table3.110[[#This Row],[Tax Name]]</f>
        <v>Acacia angustissima</v>
      </c>
      <c r="J516" s="230" t="str">
        <f>Table3.110[[#This Row],[Family]]</f>
        <v>Fabaceae</v>
      </c>
      <c r="K516" s="230" t="str">
        <f>Table3.110[[#This Row],[Order]]</f>
        <v>Fabales</v>
      </c>
      <c r="L516" s="230" t="str">
        <f>Table3.110[[#This Row],[Functional Group]]</f>
        <v>Tree</v>
      </c>
      <c r="M516" s="230" t="str">
        <f>Table3.110[[#This Row],[CIAT ID]]</f>
        <v>F251769</v>
      </c>
      <c r="N516" s="230">
        <f>Table3.110[[#This Row],[Set CIAT]]</f>
        <v>28</v>
      </c>
      <c r="O516" s="230">
        <f>Table3.110[[#This Row],[Batch]]</f>
        <v>61</v>
      </c>
      <c r="P516" s="230">
        <f>Table3.110[[#This Row],[Run]]</f>
        <v>2</v>
      </c>
      <c r="Q516" s="230">
        <f>Table3.110[[#This Row],[Replication]]</f>
        <v>3</v>
      </c>
      <c r="R516" s="230">
        <f>Table3.110[[#This Row],[Syrange No]]</f>
        <v>0</v>
      </c>
      <c r="S516" s="250">
        <v>0.60140000000000005</v>
      </c>
      <c r="T516" s="250">
        <v>0.98529999999999995</v>
      </c>
      <c r="U516" s="108"/>
      <c r="V516" s="122">
        <f t="shared" si="35"/>
        <v>0.38389999999999991</v>
      </c>
      <c r="W516" s="61">
        <f>Table3.110[[#This Row],[DM Incubated, mg]]-('3.2 Digest'!V516*1000)</f>
        <v>90.12885203134698</v>
      </c>
      <c r="X516" s="61">
        <f>W516/Table3.110[[#This Row],[DM Incubated, mg]]*100</f>
        <v>19.013368415259855</v>
      </c>
      <c r="Y516" s="37">
        <f>Table3.1[[#This Row],[DM Incubated, mg]]*'2.4 NDF'!R99/100</f>
        <v>248.23736432231553</v>
      </c>
      <c r="Z516" s="37">
        <f t="shared" si="38"/>
        <v>-135.66263567768439</v>
      </c>
      <c r="AA516" s="37">
        <f t="shared" si="39"/>
        <v>-54.650369032092108</v>
      </c>
      <c r="AB516" s="57"/>
    </row>
    <row r="517" spans="2:28" x14ac:dyDescent="0.35">
      <c r="B517" s="230">
        <f t="shared" si="34"/>
        <v>507</v>
      </c>
      <c r="C517" s="246" t="s">
        <v>692</v>
      </c>
      <c r="D517" s="248">
        <f>Table3.110[[#This Row],[Date]]</f>
        <v>46050</v>
      </c>
      <c r="E517" s="230" t="str">
        <f>Table3.110[[#This Row],[Requisitioner]]</f>
        <v>Genbank</v>
      </c>
      <c r="F517" s="230" t="str">
        <f>Table3.110[[#This Row],[Gene Bank ID]]</f>
        <v>CIAT-21888</v>
      </c>
      <c r="G517" s="230" t="str">
        <f>Table3.110[[#This Row],[Genus]]</f>
        <v>Leucaena</v>
      </c>
      <c r="H517" s="230" t="str">
        <f>Table3.110[[#This Row],[Species]]</f>
        <v>leucocephala</v>
      </c>
      <c r="I517" s="230" t="str">
        <f>Table3.110[[#This Row],[Tax Name]]</f>
        <v>Leucaena leucocephala</v>
      </c>
      <c r="J517" s="230" t="str">
        <f>Table3.110[[#This Row],[Family]]</f>
        <v>Fabaceae</v>
      </c>
      <c r="K517" s="230" t="str">
        <f>Table3.110[[#This Row],[Order]]</f>
        <v>Fabales</v>
      </c>
      <c r="L517" s="230" t="str">
        <f>Table3.110[[#This Row],[Functional Group]]</f>
        <v>Tree</v>
      </c>
      <c r="M517" s="230" t="str">
        <f>Table3.110[[#This Row],[CIAT ID]]</f>
        <v>F251770</v>
      </c>
      <c r="N517" s="230">
        <f>Table3.110[[#This Row],[Set CIAT]]</f>
        <v>28</v>
      </c>
      <c r="O517" s="230">
        <f>Table3.110[[#This Row],[Batch]]</f>
        <v>61</v>
      </c>
      <c r="P517" s="230">
        <f>Table3.110[[#This Row],[Run]]</f>
        <v>2</v>
      </c>
      <c r="Q517" s="230">
        <f>Table3.110[[#This Row],[Replication]]</f>
        <v>1</v>
      </c>
      <c r="R517" s="230">
        <f>Table3.110[[#This Row],[Syrange No]]</f>
        <v>0</v>
      </c>
      <c r="S517" s="98">
        <v>0.57889999999999997</v>
      </c>
      <c r="T517" s="98">
        <v>0.83489999999999998</v>
      </c>
      <c r="U517" s="108"/>
      <c r="V517" s="122">
        <f t="shared" si="35"/>
        <v>0.25600000000000001</v>
      </c>
      <c r="W517" s="61">
        <f>Table3.110[[#This Row],[DM Incubated, mg]]-('3.2 Digest'!V517*1000)</f>
        <v>212.72341797460751</v>
      </c>
      <c r="X517" s="61">
        <f>W517/Table3.110[[#This Row],[DM Incubated, mg]]*100</f>
        <v>45.383569460600647</v>
      </c>
      <c r="Y517" s="37">
        <f>Table3.1[[#This Row],[DM Incubated, mg]]*'2.4 NDF'!R101/100</f>
        <v>265.60681065483283</v>
      </c>
      <c r="Z517" s="37">
        <f t="shared" si="38"/>
        <v>9.6068106548328274</v>
      </c>
      <c r="AA517" s="37">
        <f t="shared" si="39"/>
        <v>3.6169293366943362</v>
      </c>
      <c r="AB517" s="57"/>
    </row>
    <row r="518" spans="2:28" x14ac:dyDescent="0.35">
      <c r="B518" s="230">
        <f t="shared" si="34"/>
        <v>508</v>
      </c>
      <c r="C518" s="246" t="s">
        <v>692</v>
      </c>
      <c r="D518" s="248">
        <f>Table3.110[[#This Row],[Date]]</f>
        <v>46050</v>
      </c>
      <c r="E518" s="230" t="str">
        <f>Table3.110[[#This Row],[Requisitioner]]</f>
        <v>Genbank</v>
      </c>
      <c r="F518" s="230" t="str">
        <f>Table3.110[[#This Row],[Gene Bank ID]]</f>
        <v>CIAT-21888</v>
      </c>
      <c r="G518" s="230" t="str">
        <f>Table3.110[[#This Row],[Genus]]</f>
        <v>Leucaena</v>
      </c>
      <c r="H518" s="230" t="str">
        <f>Table3.110[[#This Row],[Species]]</f>
        <v>leucocephala</v>
      </c>
      <c r="I518" s="230" t="str">
        <f>Table3.110[[#This Row],[Tax Name]]</f>
        <v>Leucaena leucocephala</v>
      </c>
      <c r="J518" s="230" t="str">
        <f>Table3.110[[#This Row],[Family]]</f>
        <v>Fabaceae</v>
      </c>
      <c r="K518" s="230" t="str">
        <f>Table3.110[[#This Row],[Order]]</f>
        <v>Fabales</v>
      </c>
      <c r="L518" s="230" t="str">
        <f>Table3.110[[#This Row],[Functional Group]]</f>
        <v>Tree</v>
      </c>
      <c r="M518" s="230" t="str">
        <f>Table3.110[[#This Row],[CIAT ID]]</f>
        <v>F251770</v>
      </c>
      <c r="N518" s="230">
        <f>Table3.110[[#This Row],[Set CIAT]]</f>
        <v>28</v>
      </c>
      <c r="O518" s="230">
        <f>Table3.110[[#This Row],[Batch]]</f>
        <v>61</v>
      </c>
      <c r="P518" s="230">
        <f>Table3.110[[#This Row],[Run]]</f>
        <v>2</v>
      </c>
      <c r="Q518" s="230">
        <f>Table3.110[[#This Row],[Replication]]</f>
        <v>2</v>
      </c>
      <c r="R518" s="230">
        <f>Table3.110[[#This Row],[Syrange No]]</f>
        <v>0</v>
      </c>
      <c r="S518" s="250">
        <v>0.58399999999999996</v>
      </c>
      <c r="T518" s="250">
        <v>0.94440000000000002</v>
      </c>
      <c r="U518" s="108"/>
      <c r="V518" s="122">
        <f t="shared" si="35"/>
        <v>0.36040000000000005</v>
      </c>
      <c r="W518" s="61">
        <f>Table3.110[[#This Row],[DM Incubated, mg]]-('3.2 Digest'!V518*1000)</f>
        <v>108.51083237603677</v>
      </c>
      <c r="X518" s="61">
        <f>W518/Table3.110[[#This Row],[DM Incubated, mg]]*100</f>
        <v>23.141037673665419</v>
      </c>
      <c r="Y518" s="37">
        <f>Table3.1[[#This Row],[DM Incubated, mg]]*'2.4 NDF'!R101/100</f>
        <v>265.71301089899708</v>
      </c>
      <c r="Z518" s="37">
        <f t="shared" si="38"/>
        <v>-94.686989101002951</v>
      </c>
      <c r="AA518" s="37">
        <f t="shared" si="39"/>
        <v>-35.635059337382394</v>
      </c>
      <c r="AB518" s="57"/>
    </row>
    <row r="519" spans="2:28" x14ac:dyDescent="0.35">
      <c r="B519" s="230">
        <f t="shared" si="34"/>
        <v>509</v>
      </c>
      <c r="C519" s="246" t="s">
        <v>692</v>
      </c>
      <c r="D519" s="248">
        <f>Table3.110[[#This Row],[Date]]</f>
        <v>46050</v>
      </c>
      <c r="E519" s="230" t="str">
        <f>Table3.110[[#This Row],[Requisitioner]]</f>
        <v>Genbank</v>
      </c>
      <c r="F519" s="230" t="str">
        <f>Table3.110[[#This Row],[Gene Bank ID]]</f>
        <v>CIAT-21888</v>
      </c>
      <c r="G519" s="230" t="str">
        <f>Table3.110[[#This Row],[Genus]]</f>
        <v>Leucaena</v>
      </c>
      <c r="H519" s="230" t="str">
        <f>Table3.110[[#This Row],[Species]]</f>
        <v>leucocephala</v>
      </c>
      <c r="I519" s="230" t="str">
        <f>Table3.110[[#This Row],[Tax Name]]</f>
        <v>Leucaena leucocephala</v>
      </c>
      <c r="J519" s="230" t="str">
        <f>Table3.110[[#This Row],[Family]]</f>
        <v>Fabaceae</v>
      </c>
      <c r="K519" s="230" t="str">
        <f>Table3.110[[#This Row],[Order]]</f>
        <v>Fabales</v>
      </c>
      <c r="L519" s="230" t="str">
        <f>Table3.110[[#This Row],[Functional Group]]</f>
        <v>Tree</v>
      </c>
      <c r="M519" s="230" t="str">
        <f>Table3.110[[#This Row],[CIAT ID]]</f>
        <v>F251770</v>
      </c>
      <c r="N519" s="230">
        <f>Table3.110[[#This Row],[Set CIAT]]</f>
        <v>28</v>
      </c>
      <c r="O519" s="230">
        <f>Table3.110[[#This Row],[Batch]]</f>
        <v>61</v>
      </c>
      <c r="P519" s="230">
        <f>Table3.110[[#This Row],[Run]]</f>
        <v>2</v>
      </c>
      <c r="Q519" s="230">
        <f>Table3.110[[#This Row],[Replication]]</f>
        <v>3</v>
      </c>
      <c r="R519" s="230">
        <f>Table3.110[[#This Row],[Syrange No]]</f>
        <v>0</v>
      </c>
      <c r="S519" s="98">
        <v>0.59599999999999997</v>
      </c>
      <c r="T519" s="98">
        <v>0.90249999999999997</v>
      </c>
      <c r="U519" s="108"/>
      <c r="V519" s="122">
        <f t="shared" si="35"/>
        <v>0.30649999999999999</v>
      </c>
      <c r="W519" s="61">
        <f>Table3.110[[#This Row],[DM Incubated, mg]]-('3.2 Digest'!V519*1000)</f>
        <v>162.31712517532213</v>
      </c>
      <c r="X519" s="61">
        <f>W519/Table3.110[[#This Row],[DM Incubated, mg]]*100</f>
        <v>34.62269538780626</v>
      </c>
      <c r="Y519" s="37">
        <f>Table3.1[[#This Row],[DM Incubated, mg]]*'2.4 NDF'!R101/100</f>
        <v>265.65991077691496</v>
      </c>
      <c r="Z519" s="37">
        <f t="shared" si="38"/>
        <v>-40.840089223085045</v>
      </c>
      <c r="AA519" s="37">
        <f t="shared" si="39"/>
        <v>-15.373071948887338</v>
      </c>
      <c r="AB519" s="57"/>
    </row>
    <row r="520" spans="2:28" x14ac:dyDescent="0.35">
      <c r="B520" s="230">
        <f t="shared" si="34"/>
        <v>510</v>
      </c>
      <c r="C520" s="246" t="s">
        <v>692</v>
      </c>
      <c r="D520" s="248">
        <f>Table3.110[[#This Row],[Date]]</f>
        <v>46050</v>
      </c>
      <c r="E520" s="230" t="str">
        <f>Table3.110[[#This Row],[Requisitioner]]</f>
        <v>Genbank</v>
      </c>
      <c r="F520" s="230" t="str">
        <f>Table3.110[[#This Row],[Gene Bank ID]]</f>
        <v>CIAT-22310</v>
      </c>
      <c r="G520" s="230" t="str">
        <f>Table3.110[[#This Row],[Genus]]</f>
        <v>Calliandra</v>
      </c>
      <c r="H520" s="230" t="str">
        <f>Table3.110[[#This Row],[Species]]</f>
        <v>calothyrsus</v>
      </c>
      <c r="I520" s="230" t="str">
        <f>Table3.110[[#This Row],[Tax Name]]</f>
        <v>Calliandra calothyrsus</v>
      </c>
      <c r="J520" s="230" t="str">
        <f>Table3.110[[#This Row],[Family]]</f>
        <v>Fabaceae</v>
      </c>
      <c r="K520" s="230" t="str">
        <f>Table3.110[[#This Row],[Order]]</f>
        <v>Fabales</v>
      </c>
      <c r="L520" s="230" t="str">
        <f>Table3.110[[#This Row],[Functional Group]]</f>
        <v>Tree</v>
      </c>
      <c r="M520" s="230" t="str">
        <f>Table3.110[[#This Row],[CIAT ID]]</f>
        <v>F251771</v>
      </c>
      <c r="N520" s="230">
        <f>Table3.110[[#This Row],[Set CIAT]]</f>
        <v>28</v>
      </c>
      <c r="O520" s="230">
        <f>Table3.110[[#This Row],[Batch]]</f>
        <v>61</v>
      </c>
      <c r="P520" s="230">
        <f>Table3.110[[#This Row],[Run]]</f>
        <v>2</v>
      </c>
      <c r="Q520" s="230">
        <f>Table3.110[[#This Row],[Replication]]</f>
        <v>1</v>
      </c>
      <c r="R520" s="230">
        <f>Table3.110[[#This Row],[Syrange No]]</f>
        <v>0</v>
      </c>
      <c r="S520" s="250">
        <v>0.58460000000000001</v>
      </c>
      <c r="T520" s="250">
        <v>0.94420000000000004</v>
      </c>
      <c r="U520" s="108"/>
      <c r="V520" s="122">
        <f t="shared" si="35"/>
        <v>0.35960000000000003</v>
      </c>
      <c r="W520" s="61">
        <f>Table3.110[[#This Row],[DM Incubated, mg]]-('3.2 Digest'!V520*1000)</f>
        <v>115.08199152969377</v>
      </c>
      <c r="X520" s="61">
        <f>W520/Table3.110[[#This Row],[DM Incubated, mg]]*100</f>
        <v>24.244018855409809</v>
      </c>
      <c r="Y520" s="37">
        <f>Table3.1[[#This Row],[DM Incubated, mg]]*'2.4 NDF'!R103/100</f>
        <v>261.08488491549315</v>
      </c>
      <c r="Z520" s="37">
        <f t="shared" si="38"/>
        <v>-98.515115084506874</v>
      </c>
      <c r="AA520" s="37">
        <f t="shared" si="39"/>
        <v>-37.732982940162863</v>
      </c>
      <c r="AB520" s="57"/>
    </row>
    <row r="521" spans="2:28" x14ac:dyDescent="0.35">
      <c r="B521" s="230">
        <f t="shared" si="34"/>
        <v>511</v>
      </c>
      <c r="C521" s="246" t="s">
        <v>692</v>
      </c>
      <c r="D521" s="248">
        <f>Table3.110[[#This Row],[Date]]</f>
        <v>46050</v>
      </c>
      <c r="E521" s="230" t="str">
        <f>Table3.110[[#This Row],[Requisitioner]]</f>
        <v>Genbank</v>
      </c>
      <c r="F521" s="230" t="str">
        <f>Table3.110[[#This Row],[Gene Bank ID]]</f>
        <v>CIAT-22310</v>
      </c>
      <c r="G521" s="230" t="str">
        <f>Table3.110[[#This Row],[Genus]]</f>
        <v>Calliandra</v>
      </c>
      <c r="H521" s="230" t="str">
        <f>Table3.110[[#This Row],[Species]]</f>
        <v>calothyrsus</v>
      </c>
      <c r="I521" s="230" t="str">
        <f>Table3.110[[#This Row],[Tax Name]]</f>
        <v>Calliandra calothyrsus</v>
      </c>
      <c r="J521" s="230" t="str">
        <f>Table3.110[[#This Row],[Family]]</f>
        <v>Fabaceae</v>
      </c>
      <c r="K521" s="230" t="str">
        <f>Table3.110[[#This Row],[Order]]</f>
        <v>Fabales</v>
      </c>
      <c r="L521" s="230" t="str">
        <f>Table3.110[[#This Row],[Functional Group]]</f>
        <v>Tree</v>
      </c>
      <c r="M521" s="230" t="str">
        <f>Table3.110[[#This Row],[CIAT ID]]</f>
        <v>F251771</v>
      </c>
      <c r="N521" s="230">
        <f>Table3.110[[#This Row],[Set CIAT]]</f>
        <v>28</v>
      </c>
      <c r="O521" s="230">
        <f>Table3.110[[#This Row],[Batch]]</f>
        <v>61</v>
      </c>
      <c r="P521" s="230">
        <f>Table3.110[[#This Row],[Run]]</f>
        <v>2</v>
      </c>
      <c r="Q521" s="230">
        <f>Table3.110[[#This Row],[Replication]]</f>
        <v>2</v>
      </c>
      <c r="R521" s="230">
        <f>Table3.110[[#This Row],[Syrange No]]</f>
        <v>0</v>
      </c>
      <c r="S521" s="98">
        <v>0.57650000000000001</v>
      </c>
      <c r="T521" s="98">
        <v>1.0405</v>
      </c>
      <c r="U521" s="108"/>
      <c r="V521" s="122">
        <f t="shared" si="35"/>
        <v>0.46399999999999997</v>
      </c>
      <c r="W521" s="61">
        <f>Table3.110[[#This Row],[DM Incubated, mg]]-('3.2 Digest'!V521*1000)</f>
        <v>10.492270509897821</v>
      </c>
      <c r="X521" s="61">
        <f>W521/Table3.110[[#This Row],[DM Incubated, mg]]*100</f>
        <v>2.2112626826613302</v>
      </c>
      <c r="Y521" s="37">
        <f>Table3.1[[#This Row],[DM Incubated, mg]]*'2.4 NDF'!R103/100</f>
        <v>260.98053444190589</v>
      </c>
      <c r="Z521" s="37">
        <f t="shared" si="38"/>
        <v>-203.01946555809405</v>
      </c>
      <c r="AA521" s="37">
        <f t="shared" si="39"/>
        <v>-77.791037554674816</v>
      </c>
      <c r="AB521" s="57"/>
    </row>
    <row r="522" spans="2:28" x14ac:dyDescent="0.35">
      <c r="B522" s="230">
        <f t="shared" si="34"/>
        <v>512</v>
      </c>
      <c r="C522" s="246" t="s">
        <v>692</v>
      </c>
      <c r="D522" s="248">
        <f>Table3.110[[#This Row],[Date]]</f>
        <v>46050</v>
      </c>
      <c r="E522" s="230" t="str">
        <f>Table3.110[[#This Row],[Requisitioner]]</f>
        <v>Genbank</v>
      </c>
      <c r="F522" s="230" t="str">
        <f>Table3.110[[#This Row],[Gene Bank ID]]</f>
        <v>CIAT-22310</v>
      </c>
      <c r="G522" s="230" t="str">
        <f>Table3.110[[#This Row],[Genus]]</f>
        <v>Calliandra</v>
      </c>
      <c r="H522" s="230" t="str">
        <f>Table3.110[[#This Row],[Species]]</f>
        <v>calothyrsus</v>
      </c>
      <c r="I522" s="230" t="str">
        <f>Table3.110[[#This Row],[Tax Name]]</f>
        <v>Calliandra calothyrsus</v>
      </c>
      <c r="J522" s="230" t="str">
        <f>Table3.110[[#This Row],[Family]]</f>
        <v>Fabaceae</v>
      </c>
      <c r="K522" s="230" t="str">
        <f>Table3.110[[#This Row],[Order]]</f>
        <v>Fabales</v>
      </c>
      <c r="L522" s="230" t="str">
        <f>Table3.110[[#This Row],[Functional Group]]</f>
        <v>Tree</v>
      </c>
      <c r="M522" s="230" t="str">
        <f>Table3.110[[#This Row],[CIAT ID]]</f>
        <v>F251771</v>
      </c>
      <c r="N522" s="230">
        <f>Table3.110[[#This Row],[Set CIAT]]</f>
        <v>28</v>
      </c>
      <c r="O522" s="230">
        <f>Table3.110[[#This Row],[Batch]]</f>
        <v>61</v>
      </c>
      <c r="P522" s="230">
        <f>Table3.110[[#This Row],[Run]]</f>
        <v>2</v>
      </c>
      <c r="Q522" s="230">
        <f>Table3.110[[#This Row],[Replication]]</f>
        <v>3</v>
      </c>
      <c r="R522" s="230">
        <f>Table3.110[[#This Row],[Syrange No]]</f>
        <v>0</v>
      </c>
      <c r="S522" s="250">
        <v>0.61050000000000004</v>
      </c>
      <c r="T522" s="250">
        <v>0.98899999999999999</v>
      </c>
      <c r="U522" s="108"/>
      <c r="V522" s="122">
        <f t="shared" si="35"/>
        <v>0.37849999999999995</v>
      </c>
      <c r="W522" s="61">
        <f>Table3.110[[#This Row],[DM Incubated, mg]]-('3.2 Digest'!V522*1000)</f>
        <v>96.087131019795834</v>
      </c>
      <c r="X522" s="61">
        <f>W522/Table3.110[[#This Row],[DM Incubated, mg]]*100</f>
        <v>20.246467874786912</v>
      </c>
      <c r="Y522" s="37">
        <f>Table3.1[[#This Row],[DM Incubated, mg]]*'2.4 NDF'!R103/100</f>
        <v>261.03270967869952</v>
      </c>
      <c r="Z522" s="37">
        <f t="shared" si="38"/>
        <v>-117.46729032130042</v>
      </c>
      <c r="AA522" s="37">
        <f t="shared" si="39"/>
        <v>-45.000984920965962</v>
      </c>
      <c r="AB522" s="57"/>
    </row>
    <row r="523" spans="2:28" x14ac:dyDescent="0.35">
      <c r="B523" s="230">
        <f t="shared" si="34"/>
        <v>513</v>
      </c>
      <c r="C523" s="246" t="s">
        <v>692</v>
      </c>
      <c r="D523" s="248">
        <f>Table3.110[[#This Row],[Date]]</f>
        <v>46050</v>
      </c>
      <c r="E523" s="230" t="str">
        <f>Table3.110[[#This Row],[Requisitioner]]</f>
        <v>Genbank</v>
      </c>
      <c r="F523" s="230" t="str">
        <f>Table3.110[[#This Row],[Gene Bank ID]]</f>
        <v>CIAT-22311</v>
      </c>
      <c r="G523" s="230" t="str">
        <f>Table3.110[[#This Row],[Genus]]</f>
        <v>Calliandra</v>
      </c>
      <c r="H523" s="230" t="str">
        <f>Table3.110[[#This Row],[Species]]</f>
        <v>calothyrsus</v>
      </c>
      <c r="I523" s="230" t="str">
        <f>Table3.110[[#This Row],[Tax Name]]</f>
        <v>Calliandra calothyrsus</v>
      </c>
      <c r="J523" s="230" t="str">
        <f>Table3.110[[#This Row],[Family]]</f>
        <v>Fabaceae</v>
      </c>
      <c r="K523" s="230" t="str">
        <f>Table3.110[[#This Row],[Order]]</f>
        <v>Fabales</v>
      </c>
      <c r="L523" s="230" t="str">
        <f>Table3.110[[#This Row],[Functional Group]]</f>
        <v>Tree</v>
      </c>
      <c r="M523" s="230" t="str">
        <f>Table3.110[[#This Row],[CIAT ID]]</f>
        <v>F251772</v>
      </c>
      <c r="N523" s="230">
        <f>Table3.110[[#This Row],[Set CIAT]]</f>
        <v>28</v>
      </c>
      <c r="O523" s="230">
        <f>Table3.110[[#This Row],[Batch]]</f>
        <v>61</v>
      </c>
      <c r="P523" s="230">
        <f>Table3.110[[#This Row],[Run]]</f>
        <v>2</v>
      </c>
      <c r="Q523" s="230">
        <f>Table3.110[[#This Row],[Replication]]</f>
        <v>1</v>
      </c>
      <c r="R523" s="230">
        <f>Table3.110[[#This Row],[Syrange No]]</f>
        <v>0</v>
      </c>
      <c r="S523" s="98">
        <v>0.56799999999999995</v>
      </c>
      <c r="T523" s="98">
        <v>0.92969999999999997</v>
      </c>
      <c r="U523" s="108"/>
      <c r="V523" s="122">
        <f t="shared" si="35"/>
        <v>0.36170000000000002</v>
      </c>
      <c r="W523" s="61">
        <f>Table3.110[[#This Row],[DM Incubated, mg]]-('3.2 Digest'!V523*1000)</f>
        <v>107.96743825617426</v>
      </c>
      <c r="X523" s="61">
        <f>W523/Table3.110[[#This Row],[DM Incubated, mg]]*100</f>
        <v>22.988061224138931</v>
      </c>
      <c r="Y523" s="37">
        <f>Table3.1[[#This Row],[DM Incubated, mg]]*'2.4 NDF'!R105/100</f>
        <v>257.98642701848371</v>
      </c>
      <c r="Z523" s="37">
        <f t="shared" si="38"/>
        <v>-103.71357298151634</v>
      </c>
      <c r="AA523" s="37">
        <f t="shared" si="39"/>
        <v>-40.201174216845779</v>
      </c>
      <c r="AB523" s="57"/>
    </row>
    <row r="524" spans="2:28" x14ac:dyDescent="0.35">
      <c r="B524" s="230">
        <f t="shared" si="34"/>
        <v>514</v>
      </c>
      <c r="C524" s="246" t="s">
        <v>692</v>
      </c>
      <c r="D524" s="248">
        <f>Table3.110[[#This Row],[Date]]</f>
        <v>46050</v>
      </c>
      <c r="E524" s="230" t="str">
        <f>Table3.110[[#This Row],[Requisitioner]]</f>
        <v>Genbank</v>
      </c>
      <c r="F524" s="230" t="str">
        <f>Table3.110[[#This Row],[Gene Bank ID]]</f>
        <v>CIAT-22311</v>
      </c>
      <c r="G524" s="230" t="str">
        <f>Table3.110[[#This Row],[Genus]]</f>
        <v>Calliandra</v>
      </c>
      <c r="H524" s="230" t="str">
        <f>Table3.110[[#This Row],[Species]]</f>
        <v>calothyrsus</v>
      </c>
      <c r="I524" s="230" t="str">
        <f>Table3.110[[#This Row],[Tax Name]]</f>
        <v>Calliandra calothyrsus</v>
      </c>
      <c r="J524" s="230" t="str">
        <f>Table3.110[[#This Row],[Family]]</f>
        <v>Fabaceae</v>
      </c>
      <c r="K524" s="230" t="str">
        <f>Table3.110[[#This Row],[Order]]</f>
        <v>Fabales</v>
      </c>
      <c r="L524" s="230" t="str">
        <f>Table3.110[[#This Row],[Functional Group]]</f>
        <v>Tree</v>
      </c>
      <c r="M524" s="230" t="str">
        <f>Table3.110[[#This Row],[CIAT ID]]</f>
        <v>F251772</v>
      </c>
      <c r="N524" s="230">
        <f>Table3.110[[#This Row],[Set CIAT]]</f>
        <v>28</v>
      </c>
      <c r="O524" s="230">
        <f>Table3.110[[#This Row],[Batch]]</f>
        <v>61</v>
      </c>
      <c r="P524" s="230">
        <f>Table3.110[[#This Row],[Run]]</f>
        <v>2</v>
      </c>
      <c r="Q524" s="230">
        <f>Table3.110[[#This Row],[Replication]]</f>
        <v>2</v>
      </c>
      <c r="R524" s="230">
        <f>Table3.110[[#This Row],[Syrange No]]</f>
        <v>0</v>
      </c>
      <c r="S524" s="250">
        <v>0.62660000000000005</v>
      </c>
      <c r="T524" s="250">
        <v>1.0596000000000001</v>
      </c>
      <c r="U524" s="108"/>
      <c r="V524" s="122">
        <f t="shared" si="35"/>
        <v>0.43300000000000005</v>
      </c>
      <c r="W524" s="61">
        <f>Table3.110[[#This Row],[DM Incubated, mg]]-('3.2 Digest'!V524*1000)</f>
        <v>36.573561094819866</v>
      </c>
      <c r="X524" s="61">
        <f>W524/Table3.110[[#This Row],[DM Incubated, mg]]*100</f>
        <v>7.7886755398979224</v>
      </c>
      <c r="Y524" s="37">
        <f>Table3.1[[#This Row],[DM Incubated, mg]]*'2.4 NDF'!R105/100</f>
        <v>257.9348606728874</v>
      </c>
      <c r="Z524" s="37">
        <f t="shared" si="38"/>
        <v>-175.06513932711266</v>
      </c>
      <c r="AA524" s="37">
        <f t="shared" si="39"/>
        <v>-67.871841313117429</v>
      </c>
      <c r="AB524" s="57"/>
    </row>
    <row r="525" spans="2:28" x14ac:dyDescent="0.35">
      <c r="B525" s="230">
        <f t="shared" si="34"/>
        <v>515</v>
      </c>
      <c r="C525" s="246" t="s">
        <v>692</v>
      </c>
      <c r="D525" s="248">
        <f>Table3.110[[#This Row],[Date]]</f>
        <v>46050</v>
      </c>
      <c r="E525" s="230" t="str">
        <f>Table3.110[[#This Row],[Requisitioner]]</f>
        <v>Genbank</v>
      </c>
      <c r="F525" s="230" t="str">
        <f>Table3.110[[#This Row],[Gene Bank ID]]</f>
        <v>CIAT-22311</v>
      </c>
      <c r="G525" s="230" t="str">
        <f>Table3.110[[#This Row],[Genus]]</f>
        <v>Calliandra</v>
      </c>
      <c r="H525" s="230" t="str">
        <f>Table3.110[[#This Row],[Species]]</f>
        <v>calothyrsus</v>
      </c>
      <c r="I525" s="230" t="str">
        <f>Table3.110[[#This Row],[Tax Name]]</f>
        <v>Calliandra calothyrsus</v>
      </c>
      <c r="J525" s="230" t="str">
        <f>Table3.110[[#This Row],[Family]]</f>
        <v>Fabaceae</v>
      </c>
      <c r="K525" s="230" t="str">
        <f>Table3.110[[#This Row],[Order]]</f>
        <v>Fabales</v>
      </c>
      <c r="L525" s="230" t="str">
        <f>Table3.110[[#This Row],[Functional Group]]</f>
        <v>Tree</v>
      </c>
      <c r="M525" s="230" t="str">
        <f>Table3.110[[#This Row],[CIAT ID]]</f>
        <v>F251772</v>
      </c>
      <c r="N525" s="230">
        <f>Table3.110[[#This Row],[Set CIAT]]</f>
        <v>28</v>
      </c>
      <c r="O525" s="230">
        <f>Table3.110[[#This Row],[Batch]]</f>
        <v>61</v>
      </c>
      <c r="P525" s="230">
        <f>Table3.110[[#This Row],[Run]]</f>
        <v>2</v>
      </c>
      <c r="Q525" s="230">
        <f>Table3.110[[#This Row],[Replication]]</f>
        <v>3</v>
      </c>
      <c r="R525" s="230">
        <f>Table3.110[[#This Row],[Syrange No]]</f>
        <v>0</v>
      </c>
      <c r="S525" s="98">
        <v>0.57420000000000004</v>
      </c>
      <c r="T525" s="98">
        <v>0.9778</v>
      </c>
      <c r="U525" s="108"/>
      <c r="V525" s="122">
        <f t="shared" si="35"/>
        <v>0.40359999999999996</v>
      </c>
      <c r="W525" s="61">
        <f>Table3.110[[#This Row],[DM Incubated, mg]]-('3.2 Digest'!V525*1000)</f>
        <v>65.879683933465515</v>
      </c>
      <c r="X525" s="61">
        <f>W525/Table3.110[[#This Row],[DM Incubated, mg]]*100</f>
        <v>14.032488771719025</v>
      </c>
      <c r="Y525" s="37">
        <f>Table3.1[[#This Row],[DM Incubated, mg]]*'2.4 NDF'!R105/100</f>
        <v>257.88329432729108</v>
      </c>
      <c r="Z525" s="37">
        <f t="shared" si="38"/>
        <v>-145.71670567270888</v>
      </c>
      <c r="AA525" s="37">
        <f t="shared" si="39"/>
        <v>-56.504903139547061</v>
      </c>
      <c r="AB525" s="57"/>
    </row>
    <row r="526" spans="2:28" x14ac:dyDescent="0.35">
      <c r="B526" s="230">
        <f t="shared" si="34"/>
        <v>516</v>
      </c>
      <c r="C526" s="246" t="s">
        <v>692</v>
      </c>
      <c r="D526" s="248">
        <f>Table3.110[[#This Row],[Date]]</f>
        <v>46050</v>
      </c>
      <c r="E526" s="230" t="str">
        <f>Table3.110[[#This Row],[Requisitioner]]</f>
        <v>Genbank</v>
      </c>
      <c r="F526" s="230" t="str">
        <f>Table3.110[[#This Row],[Gene Bank ID]]</f>
        <v>CIAT-22316</v>
      </c>
      <c r="G526" s="230" t="str">
        <f>Table3.110[[#This Row],[Genus]]</f>
        <v>Calliandra</v>
      </c>
      <c r="H526" s="230" t="str">
        <f>Table3.110[[#This Row],[Species]]</f>
        <v>calothyrsus</v>
      </c>
      <c r="I526" s="230" t="str">
        <f>Table3.110[[#This Row],[Tax Name]]</f>
        <v>Calliandra calothyrsus</v>
      </c>
      <c r="J526" s="230" t="str">
        <f>Table3.110[[#This Row],[Family]]</f>
        <v>Fabaceae</v>
      </c>
      <c r="K526" s="230" t="str">
        <f>Table3.110[[#This Row],[Order]]</f>
        <v>Fabales</v>
      </c>
      <c r="L526" s="230" t="str">
        <f>Table3.110[[#This Row],[Functional Group]]</f>
        <v>Tree</v>
      </c>
      <c r="M526" s="230" t="str">
        <f>Table3.110[[#This Row],[CIAT ID]]</f>
        <v>F251773</v>
      </c>
      <c r="N526" s="230">
        <f>Table3.110[[#This Row],[Set CIAT]]</f>
        <v>28</v>
      </c>
      <c r="O526" s="230">
        <f>Table3.110[[#This Row],[Batch]]</f>
        <v>61</v>
      </c>
      <c r="P526" s="230">
        <f>Table3.110[[#This Row],[Run]]</f>
        <v>2</v>
      </c>
      <c r="Q526" s="230">
        <f>Table3.110[[#This Row],[Replication]]</f>
        <v>1</v>
      </c>
      <c r="R526" s="230">
        <f>Table3.110[[#This Row],[Syrange No]]</f>
        <v>0</v>
      </c>
      <c r="S526" s="250">
        <v>0.59950000000000003</v>
      </c>
      <c r="T526" s="250">
        <v>0.92659999999999998</v>
      </c>
      <c r="U526" s="108"/>
      <c r="V526" s="122">
        <f t="shared" si="35"/>
        <v>0.32709999999999995</v>
      </c>
      <c r="W526" s="61">
        <f>Table3.110[[#This Row],[DM Incubated, mg]]-('3.2 Digest'!V526*1000)</f>
        <v>150.76604407189029</v>
      </c>
      <c r="X526" s="61">
        <f>W526/Table3.110[[#This Row],[DM Incubated, mg]]*100</f>
        <v>31.549855015270563</v>
      </c>
      <c r="Y526" s="37">
        <f>Table3.1[[#This Row],[DM Incubated, mg]]*'2.4 NDF'!R107/100</f>
        <v>259.75143039468389</v>
      </c>
      <c r="Z526" s="37">
        <f t="shared" si="38"/>
        <v>-67.348569605316072</v>
      </c>
      <c r="AA526" s="37">
        <f t="shared" si="39"/>
        <v>-25.928084208422685</v>
      </c>
      <c r="AB526" s="57"/>
    </row>
    <row r="527" spans="2:28" x14ac:dyDescent="0.35">
      <c r="B527" s="230">
        <f t="shared" si="34"/>
        <v>517</v>
      </c>
      <c r="C527" s="246" t="s">
        <v>692</v>
      </c>
      <c r="D527" s="248">
        <f>Table3.110[[#This Row],[Date]]</f>
        <v>46050</v>
      </c>
      <c r="E527" s="230" t="str">
        <f>Table3.110[[#This Row],[Requisitioner]]</f>
        <v>Genbank</v>
      </c>
      <c r="F527" s="230" t="str">
        <f>Table3.110[[#This Row],[Gene Bank ID]]</f>
        <v>CIAT-22316</v>
      </c>
      <c r="G527" s="230" t="str">
        <f>Table3.110[[#This Row],[Genus]]</f>
        <v>Calliandra</v>
      </c>
      <c r="H527" s="230" t="str">
        <f>Table3.110[[#This Row],[Species]]</f>
        <v>calothyrsus</v>
      </c>
      <c r="I527" s="230" t="str">
        <f>Table3.110[[#This Row],[Tax Name]]</f>
        <v>Calliandra calothyrsus</v>
      </c>
      <c r="J527" s="230" t="str">
        <f>Table3.110[[#This Row],[Family]]</f>
        <v>Fabaceae</v>
      </c>
      <c r="K527" s="230" t="str">
        <f>Table3.110[[#This Row],[Order]]</f>
        <v>Fabales</v>
      </c>
      <c r="L527" s="230" t="str">
        <f>Table3.110[[#This Row],[Functional Group]]</f>
        <v>Tree</v>
      </c>
      <c r="M527" s="230" t="str">
        <f>Table3.110[[#This Row],[CIAT ID]]</f>
        <v>F251773</v>
      </c>
      <c r="N527" s="230">
        <f>Table3.110[[#This Row],[Set CIAT]]</f>
        <v>28</v>
      </c>
      <c r="O527" s="230">
        <f>Table3.110[[#This Row],[Batch]]</f>
        <v>61</v>
      </c>
      <c r="P527" s="230">
        <f>Table3.110[[#This Row],[Run]]</f>
        <v>2</v>
      </c>
      <c r="Q527" s="230">
        <f>Table3.110[[#This Row],[Replication]]</f>
        <v>2</v>
      </c>
      <c r="R527" s="230">
        <f>Table3.110[[#This Row],[Syrange No]]</f>
        <v>0</v>
      </c>
      <c r="S527" s="98">
        <v>0.55020000000000002</v>
      </c>
      <c r="T527" s="98">
        <v>0.86380000000000001</v>
      </c>
      <c r="U527" s="108"/>
      <c r="V527" s="122">
        <f t="shared" si="35"/>
        <v>0.31359999999999999</v>
      </c>
      <c r="W527" s="61">
        <f>Table3.110[[#This Row],[DM Incubated, mg]]-('3.2 Digest'!V527*1000)</f>
        <v>164.17052817261543</v>
      </c>
      <c r="X527" s="61">
        <f>W527/Table3.110[[#This Row],[DM Incubated, mg]]*100</f>
        <v>34.361794730314905</v>
      </c>
      <c r="Y527" s="37">
        <f>Table3.1[[#This Row],[DM Incubated, mg]]*'2.4 NDF'!R107/100</f>
        <v>259.69951126008573</v>
      </c>
      <c r="Z527" s="37">
        <f t="shared" si="38"/>
        <v>-53.900488739914238</v>
      </c>
      <c r="AA527" s="37">
        <f t="shared" si="39"/>
        <v>-20.75494423473658</v>
      </c>
      <c r="AB527" s="57"/>
    </row>
    <row r="528" spans="2:28" x14ac:dyDescent="0.35">
      <c r="B528" s="230">
        <f t="shared" si="34"/>
        <v>518</v>
      </c>
      <c r="C528" s="246" t="s">
        <v>692</v>
      </c>
      <c r="D528" s="248">
        <f>Table3.110[[#This Row],[Date]]</f>
        <v>46050</v>
      </c>
      <c r="E528" s="230" t="str">
        <f>Table3.110[[#This Row],[Requisitioner]]</f>
        <v>Genbank</v>
      </c>
      <c r="F528" s="230" t="str">
        <f>Table3.110[[#This Row],[Gene Bank ID]]</f>
        <v>CIAT-22316</v>
      </c>
      <c r="G528" s="230" t="str">
        <f>Table3.110[[#This Row],[Genus]]</f>
        <v>Calliandra</v>
      </c>
      <c r="H528" s="230" t="str">
        <f>Table3.110[[#This Row],[Species]]</f>
        <v>calothyrsus</v>
      </c>
      <c r="I528" s="230" t="str">
        <f>Table3.110[[#This Row],[Tax Name]]</f>
        <v>Calliandra calothyrsus</v>
      </c>
      <c r="J528" s="230" t="str">
        <f>Table3.110[[#This Row],[Family]]</f>
        <v>Fabaceae</v>
      </c>
      <c r="K528" s="230" t="str">
        <f>Table3.110[[#This Row],[Order]]</f>
        <v>Fabales</v>
      </c>
      <c r="L528" s="230" t="str">
        <f>Table3.110[[#This Row],[Functional Group]]</f>
        <v>Tree</v>
      </c>
      <c r="M528" s="230" t="str">
        <f>Table3.110[[#This Row],[CIAT ID]]</f>
        <v>F251773</v>
      </c>
      <c r="N528" s="230">
        <f>Table3.110[[#This Row],[Set CIAT]]</f>
        <v>28</v>
      </c>
      <c r="O528" s="230">
        <f>Table3.110[[#This Row],[Batch]]</f>
        <v>61</v>
      </c>
      <c r="P528" s="230">
        <f>Table3.110[[#This Row],[Run]]</f>
        <v>2</v>
      </c>
      <c r="Q528" s="230">
        <f>Table3.110[[#This Row],[Replication]]</f>
        <v>3</v>
      </c>
      <c r="R528" s="230">
        <f>Table3.110[[#This Row],[Syrange No]]</f>
        <v>0</v>
      </c>
      <c r="S528" s="250">
        <v>0.5917</v>
      </c>
      <c r="T528" s="250">
        <v>0.95620000000000005</v>
      </c>
      <c r="U528" s="108"/>
      <c r="V528" s="122">
        <f t="shared" si="35"/>
        <v>0.36450000000000005</v>
      </c>
      <c r="W528" s="61">
        <f>Table3.110[[#This Row],[DM Incubated, mg]]-('3.2 Digest'!V528*1000)</f>
        <v>113.46155997116495</v>
      </c>
      <c r="X528" s="61">
        <f>W528/Table3.110[[#This Row],[DM Incubated, mg]]*100</f>
        <v>23.738637052320687</v>
      </c>
      <c r="Y528" s="37">
        <f>Table3.1[[#This Row],[DM Incubated, mg]]*'2.4 NDF'!R107/100</f>
        <v>259.803349529282</v>
      </c>
      <c r="Z528" s="37">
        <f t="shared" si="38"/>
        <v>-104.69665047071805</v>
      </c>
      <c r="AA528" s="37">
        <f t="shared" si="39"/>
        <v>-40.298422118271368</v>
      </c>
      <c r="AB528" s="57"/>
    </row>
    <row r="529" spans="2:28" x14ac:dyDescent="0.35">
      <c r="B529" s="230">
        <f t="shared" si="34"/>
        <v>519</v>
      </c>
      <c r="C529" s="246" t="s">
        <v>692</v>
      </c>
      <c r="D529" s="248">
        <f>Table3.110[[#This Row],[Date]]</f>
        <v>46050</v>
      </c>
      <c r="E529" s="230" t="str">
        <f>Table3.110[[#This Row],[Requisitioner]]</f>
        <v>Genbank</v>
      </c>
      <c r="F529" s="230" t="str">
        <f>Table3.110[[#This Row],[Gene Bank ID]]</f>
        <v>CIAT-23239</v>
      </c>
      <c r="G529" s="230" t="str">
        <f>Table3.110[[#This Row],[Genus]]</f>
        <v>Dendrolobium</v>
      </c>
      <c r="H529" s="230" t="str">
        <f>Table3.110[[#This Row],[Species]]</f>
        <v>triangulare</v>
      </c>
      <c r="I529" s="230" t="str">
        <f>Table3.110[[#This Row],[Tax Name]]</f>
        <v>Dendrolobium triangulare</v>
      </c>
      <c r="J529" s="230" t="str">
        <f>Table3.110[[#This Row],[Family]]</f>
        <v>Fabaceae</v>
      </c>
      <c r="K529" s="230" t="str">
        <f>Table3.110[[#This Row],[Order]]</f>
        <v>Fabales</v>
      </c>
      <c r="L529" s="230" t="str">
        <f>Table3.110[[#This Row],[Functional Group]]</f>
        <v>Tree</v>
      </c>
      <c r="M529" s="230" t="str">
        <f>Table3.110[[#This Row],[CIAT ID]]</f>
        <v>F251774</v>
      </c>
      <c r="N529" s="230">
        <f>Table3.110[[#This Row],[Set CIAT]]</f>
        <v>28</v>
      </c>
      <c r="O529" s="230">
        <f>Table3.110[[#This Row],[Batch]]</f>
        <v>61</v>
      </c>
      <c r="P529" s="230">
        <f>Table3.110[[#This Row],[Run]]</f>
        <v>2</v>
      </c>
      <c r="Q529" s="230">
        <f>Table3.110[[#This Row],[Replication]]</f>
        <v>1</v>
      </c>
      <c r="R529" s="230">
        <f>Table3.110[[#This Row],[Syrange No]]</f>
        <v>0</v>
      </c>
      <c r="S529" s="98">
        <v>0.56530000000000002</v>
      </c>
      <c r="T529" s="98">
        <v>0.92589999999999995</v>
      </c>
      <c r="U529" s="108"/>
      <c r="V529" s="122">
        <f t="shared" si="35"/>
        <v>0.36059999999999992</v>
      </c>
      <c r="W529" s="61">
        <f>Table3.110[[#This Row],[DM Incubated, mg]]-('3.2 Digest'!V529*1000)</f>
        <v>118.67914146503972</v>
      </c>
      <c r="X529" s="61">
        <f>W529/Table3.110[[#This Row],[DM Incubated, mg]]*100</f>
        <v>24.762008440898654</v>
      </c>
      <c r="Y529" s="37">
        <f>Table3.1[[#This Row],[DM Incubated, mg]]*'2.4 NDF'!R109/100</f>
        <v>312.45808615656904</v>
      </c>
      <c r="Z529" s="37">
        <f t="shared" si="38"/>
        <v>-48.141913843430871</v>
      </c>
      <c r="AA529" s="37">
        <f t="shared" si="39"/>
        <v>-15.407478947210709</v>
      </c>
      <c r="AB529" s="57"/>
    </row>
    <row r="530" spans="2:28" x14ac:dyDescent="0.35">
      <c r="B530" s="230">
        <f t="shared" si="34"/>
        <v>520</v>
      </c>
      <c r="C530" s="246" t="s">
        <v>692</v>
      </c>
      <c r="D530" s="248">
        <f>Table3.110[[#This Row],[Date]]</f>
        <v>46050</v>
      </c>
      <c r="E530" s="230" t="str">
        <f>Table3.110[[#This Row],[Requisitioner]]</f>
        <v>Genbank</v>
      </c>
      <c r="F530" s="230" t="str">
        <f>Table3.110[[#This Row],[Gene Bank ID]]</f>
        <v>CIAT-23239</v>
      </c>
      <c r="G530" s="230" t="str">
        <f>Table3.110[[#This Row],[Genus]]</f>
        <v>Dendrolobium</v>
      </c>
      <c r="H530" s="230" t="str">
        <f>Table3.110[[#This Row],[Species]]</f>
        <v>triangulare</v>
      </c>
      <c r="I530" s="230" t="str">
        <f>Table3.110[[#This Row],[Tax Name]]</f>
        <v>Dendrolobium triangulare</v>
      </c>
      <c r="J530" s="230" t="str">
        <f>Table3.110[[#This Row],[Family]]</f>
        <v>Fabaceae</v>
      </c>
      <c r="K530" s="230" t="str">
        <f>Table3.110[[#This Row],[Order]]</f>
        <v>Fabales</v>
      </c>
      <c r="L530" s="230" t="str">
        <f>Table3.110[[#This Row],[Functional Group]]</f>
        <v>Tree</v>
      </c>
      <c r="M530" s="230" t="str">
        <f>Table3.110[[#This Row],[CIAT ID]]</f>
        <v>F251774</v>
      </c>
      <c r="N530" s="230">
        <f>Table3.110[[#This Row],[Set CIAT]]</f>
        <v>28</v>
      </c>
      <c r="O530" s="230">
        <f>Table3.110[[#This Row],[Batch]]</f>
        <v>61</v>
      </c>
      <c r="P530" s="230">
        <f>Table3.110[[#This Row],[Run]]</f>
        <v>2</v>
      </c>
      <c r="Q530" s="230">
        <f>Table3.110[[#This Row],[Replication]]</f>
        <v>2</v>
      </c>
      <c r="R530" s="230">
        <f>Table3.110[[#This Row],[Syrange No]]</f>
        <v>0</v>
      </c>
      <c r="S530" s="250">
        <v>0.53739999999999999</v>
      </c>
      <c r="T530" s="250">
        <v>0.88019999999999998</v>
      </c>
      <c r="U530" s="108"/>
      <c r="V530" s="122">
        <f t="shared" si="35"/>
        <v>0.34279999999999999</v>
      </c>
      <c r="W530" s="61">
        <f>Table3.110[[#This Row],[DM Incubated, mg]]-('3.2 Digest'!V530*1000)</f>
        <v>136.86256477821161</v>
      </c>
      <c r="X530" s="61">
        <f>W530/Table3.110[[#This Row],[DM Incubated, mg]]*100</f>
        <v>28.533092809003076</v>
      </c>
      <c r="Y530" s="37">
        <f>Table3.1[[#This Row],[DM Incubated, mg]]*'2.4 NDF'!R109/100</f>
        <v>312.70805262549425</v>
      </c>
      <c r="Z530" s="37">
        <f t="shared" si="38"/>
        <v>-30.091947374505764</v>
      </c>
      <c r="AA530" s="37">
        <f t="shared" si="39"/>
        <v>-9.6230164595551724</v>
      </c>
      <c r="AB530" s="57"/>
    </row>
    <row r="531" spans="2:28" x14ac:dyDescent="0.35">
      <c r="B531" s="230">
        <f t="shared" si="34"/>
        <v>521</v>
      </c>
      <c r="C531" s="246" t="s">
        <v>692</v>
      </c>
      <c r="D531" s="248">
        <f>Table3.110[[#This Row],[Date]]</f>
        <v>46050</v>
      </c>
      <c r="E531" s="230" t="str">
        <f>Table3.110[[#This Row],[Requisitioner]]</f>
        <v>Genbank</v>
      </c>
      <c r="F531" s="230" t="str">
        <f>Table3.110[[#This Row],[Gene Bank ID]]</f>
        <v>CIAT-23239</v>
      </c>
      <c r="G531" s="230" t="str">
        <f>Table3.110[[#This Row],[Genus]]</f>
        <v>Dendrolobium</v>
      </c>
      <c r="H531" s="230" t="str">
        <f>Table3.110[[#This Row],[Species]]</f>
        <v>triangulare</v>
      </c>
      <c r="I531" s="230" t="str">
        <f>Table3.110[[#This Row],[Tax Name]]</f>
        <v>Dendrolobium triangulare</v>
      </c>
      <c r="J531" s="230" t="str">
        <f>Table3.110[[#This Row],[Family]]</f>
        <v>Fabaceae</v>
      </c>
      <c r="K531" s="230" t="str">
        <f>Table3.110[[#This Row],[Order]]</f>
        <v>Fabales</v>
      </c>
      <c r="L531" s="230" t="str">
        <f>Table3.110[[#This Row],[Functional Group]]</f>
        <v>Tree</v>
      </c>
      <c r="M531" s="230" t="str">
        <f>Table3.110[[#This Row],[CIAT ID]]</f>
        <v>F251774</v>
      </c>
      <c r="N531" s="230">
        <f>Table3.110[[#This Row],[Set CIAT]]</f>
        <v>28</v>
      </c>
      <c r="O531" s="230">
        <f>Table3.110[[#This Row],[Batch]]</f>
        <v>61</v>
      </c>
      <c r="P531" s="230">
        <f>Table3.110[[#This Row],[Run]]</f>
        <v>2</v>
      </c>
      <c r="Q531" s="230">
        <f>Table3.110[[#This Row],[Replication]]</f>
        <v>3</v>
      </c>
      <c r="R531" s="230">
        <f>Table3.110[[#This Row],[Syrange No]]</f>
        <v>0</v>
      </c>
      <c r="S531" s="98">
        <v>0.55100000000000005</v>
      </c>
      <c r="T531" s="98">
        <v>0.94430000000000003</v>
      </c>
      <c r="U531" s="108"/>
      <c r="V531" s="122">
        <f t="shared" si="35"/>
        <v>0.39329999999999998</v>
      </c>
      <c r="W531" s="61">
        <f>Table3.110[[#This Row],[DM Incubated, mg]]-('3.2 Digest'!V531*1000)</f>
        <v>86.074997293332729</v>
      </c>
      <c r="X531" s="61">
        <f>W531/Table3.110[[#This Row],[DM Incubated, mg]]*100</f>
        <v>17.955670983954732</v>
      </c>
      <c r="Y531" s="37">
        <f>Table3.1[[#This Row],[DM Incubated, mg]]*'2.4 NDF'!R109/100</f>
        <v>312.52057777380037</v>
      </c>
      <c r="Z531" s="37">
        <f t="shared" si="38"/>
        <v>-80.779422226199586</v>
      </c>
      <c r="AA531" s="37">
        <f t="shared" si="39"/>
        <v>-25.8477130695269</v>
      </c>
      <c r="AB531" s="57"/>
    </row>
    <row r="532" spans="2:28" x14ac:dyDescent="0.35">
      <c r="B532" s="230">
        <f t="shared" si="34"/>
        <v>522</v>
      </c>
      <c r="C532" s="246" t="s">
        <v>692</v>
      </c>
      <c r="D532" s="248">
        <f>Table3.110[[#This Row],[Date]]</f>
        <v>46050</v>
      </c>
      <c r="E532" s="230" t="str">
        <f>Table3.110[[#This Row],[Requisitioner]]</f>
        <v>Genbank</v>
      </c>
      <c r="F532" s="230" t="str">
        <f>Table3.110[[#This Row],[Gene Bank ID]]</f>
        <v>CIAT-33116</v>
      </c>
      <c r="G532" s="230" t="str">
        <f>Table3.110[[#This Row],[Genus]]</f>
        <v>Dendrolobium</v>
      </c>
      <c r="H532" s="230" t="str">
        <f>Table3.110[[#This Row],[Species]]</f>
        <v>triangulare</v>
      </c>
      <c r="I532" s="230" t="str">
        <f>Table3.110[[#This Row],[Tax Name]]</f>
        <v>Dendrolobium triangulare</v>
      </c>
      <c r="J532" s="230" t="str">
        <f>Table3.110[[#This Row],[Family]]</f>
        <v>Fabaceae</v>
      </c>
      <c r="K532" s="230" t="str">
        <f>Table3.110[[#This Row],[Order]]</f>
        <v>Fabales</v>
      </c>
      <c r="L532" s="230" t="str">
        <f>Table3.110[[#This Row],[Functional Group]]</f>
        <v>Tree</v>
      </c>
      <c r="M532" s="230" t="str">
        <f>Table3.110[[#This Row],[CIAT ID]]</f>
        <v>F251775</v>
      </c>
      <c r="N532" s="230">
        <f>Table3.110[[#This Row],[Set CIAT]]</f>
        <v>28</v>
      </c>
      <c r="O532" s="230">
        <f>Table3.110[[#This Row],[Batch]]</f>
        <v>61</v>
      </c>
      <c r="P532" s="230">
        <f>Table3.110[[#This Row],[Run]]</f>
        <v>2</v>
      </c>
      <c r="Q532" s="230">
        <f>Table3.110[[#This Row],[Replication]]</f>
        <v>1</v>
      </c>
      <c r="R532" s="230">
        <f>Table3.110[[#This Row],[Syrange No]]</f>
        <v>0</v>
      </c>
      <c r="S532" s="250">
        <v>0.60580000000000001</v>
      </c>
      <c r="T532" s="250">
        <v>0.96789999999999998</v>
      </c>
      <c r="U532" s="108"/>
      <c r="V532" s="122">
        <f t="shared" si="35"/>
        <v>0.36209999999999998</v>
      </c>
      <c r="W532" s="61">
        <f>Table3.110[[#This Row],[DM Incubated, mg]]-('3.2 Digest'!V532*1000)</f>
        <v>116.34235685703061</v>
      </c>
      <c r="X532" s="61">
        <f>W532/Table3.110[[#This Row],[DM Incubated, mg]]*100</f>
        <v>24.316901543020435</v>
      </c>
      <c r="Y532" s="37">
        <f>Table3.1[[#This Row],[DM Incubated, mg]]*'2.4 NDF'!R111/100</f>
        <v>311.81482030477815</v>
      </c>
      <c r="Z532" s="37">
        <f t="shared" si="38"/>
        <v>-50.285179695221814</v>
      </c>
      <c r="AA532" s="37">
        <f t="shared" si="39"/>
        <v>-16.12661631864432</v>
      </c>
      <c r="AB532" s="57"/>
    </row>
    <row r="533" spans="2:28" x14ac:dyDescent="0.35">
      <c r="B533" s="230">
        <f t="shared" ref="B533:B596" si="40">B532+1</f>
        <v>523</v>
      </c>
      <c r="C533" s="246" t="s">
        <v>692</v>
      </c>
      <c r="D533" s="248">
        <f>Table3.110[[#This Row],[Date]]</f>
        <v>46050</v>
      </c>
      <c r="E533" s="230" t="str">
        <f>Table3.110[[#This Row],[Requisitioner]]</f>
        <v>Genbank</v>
      </c>
      <c r="F533" s="230" t="str">
        <f>Table3.110[[#This Row],[Gene Bank ID]]</f>
        <v>CIAT-33116</v>
      </c>
      <c r="G533" s="230" t="str">
        <f>Table3.110[[#This Row],[Genus]]</f>
        <v>Dendrolobium</v>
      </c>
      <c r="H533" s="230" t="str">
        <f>Table3.110[[#This Row],[Species]]</f>
        <v>triangulare</v>
      </c>
      <c r="I533" s="230" t="str">
        <f>Table3.110[[#This Row],[Tax Name]]</f>
        <v>Dendrolobium triangulare</v>
      </c>
      <c r="J533" s="230" t="str">
        <f>Table3.110[[#This Row],[Family]]</f>
        <v>Fabaceae</v>
      </c>
      <c r="K533" s="230" t="str">
        <f>Table3.110[[#This Row],[Order]]</f>
        <v>Fabales</v>
      </c>
      <c r="L533" s="230" t="str">
        <f>Table3.110[[#This Row],[Functional Group]]</f>
        <v>Tree</v>
      </c>
      <c r="M533" s="230" t="str">
        <f>Table3.110[[#This Row],[CIAT ID]]</f>
        <v>F251775</v>
      </c>
      <c r="N533" s="230">
        <f>Table3.110[[#This Row],[Set CIAT]]</f>
        <v>28</v>
      </c>
      <c r="O533" s="230">
        <f>Table3.110[[#This Row],[Batch]]</f>
        <v>61</v>
      </c>
      <c r="P533" s="230">
        <f>Table3.110[[#This Row],[Run]]</f>
        <v>2</v>
      </c>
      <c r="Q533" s="230">
        <f>Table3.110[[#This Row],[Replication]]</f>
        <v>2</v>
      </c>
      <c r="R533" s="230">
        <f>Table3.110[[#This Row],[Syrange No]]</f>
        <v>0</v>
      </c>
      <c r="S533" s="98">
        <v>0.56950000000000001</v>
      </c>
      <c r="T533" s="98">
        <v>0.90069999999999995</v>
      </c>
      <c r="U533" s="108"/>
      <c r="V533" s="122">
        <f t="shared" si="35"/>
        <v>0.33119999999999994</v>
      </c>
      <c r="W533" s="61">
        <f>Table3.110[[#This Row],[DM Incubated, mg]]-('3.2 Digest'!V533*1000)</f>
        <v>147.14672576431479</v>
      </c>
      <c r="X533" s="61">
        <f>W533/Table3.110[[#This Row],[DM Incubated, mg]]*100</f>
        <v>30.761520428346188</v>
      </c>
      <c r="Y533" s="37">
        <f>Table3.1[[#This Row],[DM Incubated, mg]]*'2.4 NDF'!R111/100</f>
        <v>311.75249473605834</v>
      </c>
      <c r="Z533" s="37">
        <f t="shared" si="38"/>
        <v>-19.447505263941594</v>
      </c>
      <c r="AA533" s="37">
        <f t="shared" si="39"/>
        <v>-6.2381233806666412</v>
      </c>
      <c r="AB533" s="57"/>
    </row>
    <row r="534" spans="2:28" x14ac:dyDescent="0.35">
      <c r="B534" s="230">
        <f t="shared" si="40"/>
        <v>524</v>
      </c>
      <c r="C534" s="246" t="s">
        <v>692</v>
      </c>
      <c r="D534" s="248">
        <f>Table3.110[[#This Row],[Date]]</f>
        <v>46050</v>
      </c>
      <c r="E534" s="230" t="str">
        <f>Table3.110[[#This Row],[Requisitioner]]</f>
        <v>Genbank</v>
      </c>
      <c r="F534" s="230" t="str">
        <f>Table3.110[[#This Row],[Gene Bank ID]]</f>
        <v>CIAT-33116</v>
      </c>
      <c r="G534" s="230" t="str">
        <f>Table3.110[[#This Row],[Genus]]</f>
        <v>Dendrolobium</v>
      </c>
      <c r="H534" s="230" t="str">
        <f>Table3.110[[#This Row],[Species]]</f>
        <v>triangulare</v>
      </c>
      <c r="I534" s="230" t="str">
        <f>Table3.110[[#This Row],[Tax Name]]</f>
        <v>Dendrolobium triangulare</v>
      </c>
      <c r="J534" s="230" t="str">
        <f>Table3.110[[#This Row],[Family]]</f>
        <v>Fabaceae</v>
      </c>
      <c r="K534" s="230" t="str">
        <f>Table3.110[[#This Row],[Order]]</f>
        <v>Fabales</v>
      </c>
      <c r="L534" s="230" t="str">
        <f>Table3.110[[#This Row],[Functional Group]]</f>
        <v>Tree</v>
      </c>
      <c r="M534" s="230" t="str">
        <f>Table3.110[[#This Row],[CIAT ID]]</f>
        <v>F251775</v>
      </c>
      <c r="N534" s="230">
        <f>Table3.110[[#This Row],[Set CIAT]]</f>
        <v>28</v>
      </c>
      <c r="O534" s="230">
        <f>Table3.110[[#This Row],[Batch]]</f>
        <v>61</v>
      </c>
      <c r="P534" s="230">
        <f>Table3.110[[#This Row],[Run]]</f>
        <v>2</v>
      </c>
      <c r="Q534" s="230">
        <f>Table3.110[[#This Row],[Replication]]</f>
        <v>3</v>
      </c>
      <c r="R534" s="230">
        <f>Table3.110[[#This Row],[Syrange No]]</f>
        <v>0</v>
      </c>
      <c r="S534" s="250">
        <v>0.58450000000000002</v>
      </c>
      <c r="T534" s="250">
        <v>0.92700000000000005</v>
      </c>
      <c r="U534" s="108"/>
      <c r="V534" s="122">
        <f t="shared" ref="V534:V597" si="41">T534-S534</f>
        <v>0.34250000000000003</v>
      </c>
      <c r="W534" s="61">
        <f>Table3.110[[#This Row],[DM Incubated, mg]]-('3.2 Digest'!V534*1000)</f>
        <v>136.13361904246204</v>
      </c>
      <c r="X534" s="61">
        <f>W534/Table3.110[[#This Row],[DM Incubated, mg]]*100</f>
        <v>28.442134782509903</v>
      </c>
      <c r="Y534" s="37">
        <f>Table3.1[[#This Row],[DM Incubated, mg]]*'2.4 NDF'!R111/100</f>
        <v>311.93947144221755</v>
      </c>
      <c r="Z534" s="37">
        <f t="shared" si="38"/>
        <v>-30.560528557782447</v>
      </c>
      <c r="AA534" s="37">
        <f t="shared" si="39"/>
        <v>-9.7969418286468315</v>
      </c>
      <c r="AB534" s="57"/>
    </row>
    <row r="535" spans="2:28" x14ac:dyDescent="0.35">
      <c r="B535" s="230">
        <f t="shared" si="40"/>
        <v>525</v>
      </c>
      <c r="C535" s="246" t="s">
        <v>692</v>
      </c>
      <c r="D535" s="248">
        <f>Table3.110[[#This Row],[Date]]</f>
        <v>46050</v>
      </c>
      <c r="E535" s="230" t="str">
        <f>Table3.110[[#This Row],[Requisitioner]]</f>
        <v>Genbank</v>
      </c>
      <c r="F535" s="230" t="str">
        <f>Table3.110[[#This Row],[Gene Bank ID]]</f>
        <v>CIAT-BH22_0303</v>
      </c>
      <c r="G535" s="230" t="str">
        <f>Table3.110[[#This Row],[Genus]]</f>
        <v>Urochloa</v>
      </c>
      <c r="H535" s="230" t="str">
        <f>Table3.110[[#This Row],[Species]]</f>
        <v>humidicola</v>
      </c>
      <c r="I535" s="230" t="str">
        <f>Table3.110[[#This Row],[Tax Name]]</f>
        <v>Urochloa humidicola</v>
      </c>
      <c r="J535" s="230" t="str">
        <f>Table3.110[[#This Row],[Family]]</f>
        <v>Poaceae</v>
      </c>
      <c r="K535" s="230" t="str">
        <f>Table3.110[[#This Row],[Order]]</f>
        <v>Poales</v>
      </c>
      <c r="L535" s="230" t="str">
        <f>Table3.110[[#This Row],[Functional Group]]</f>
        <v>grasses</v>
      </c>
      <c r="M535" s="230" t="str">
        <f>Table3.110[[#This Row],[CIAT ID]]</f>
        <v>F252184</v>
      </c>
      <c r="N535" s="230">
        <f>Table3.110[[#This Row],[Set CIAT]]</f>
        <v>28</v>
      </c>
      <c r="O535" s="230">
        <f>Table3.110[[#This Row],[Batch]]</f>
        <v>61</v>
      </c>
      <c r="P535" s="230">
        <f>Table3.110[[#This Row],[Run]]</f>
        <v>2</v>
      </c>
      <c r="Q535" s="230">
        <f>Table3.110[[#This Row],[Replication]]</f>
        <v>1</v>
      </c>
      <c r="R535" s="230">
        <f>Table3.110[[#This Row],[Syrange No]]</f>
        <v>0</v>
      </c>
      <c r="S535" s="98">
        <v>0.56689999999999996</v>
      </c>
      <c r="T535" s="98">
        <v>0.9526</v>
      </c>
      <c r="U535" s="108"/>
      <c r="V535" s="122">
        <f t="shared" si="41"/>
        <v>0.38570000000000004</v>
      </c>
      <c r="W535" s="61">
        <f>Table3.110[[#This Row],[DM Incubated, mg]]-('3.2 Digest'!V535*1000)</f>
        <v>88.696133402531018</v>
      </c>
      <c r="X535" s="61">
        <f>W535/Table3.110[[#This Row],[DM Incubated, mg]]*100</f>
        <v>18.696639191886337</v>
      </c>
      <c r="Y535" s="37">
        <f>Table3.1[[#This Row],[DM Incubated, mg]]*'2.4 NDF'!R113/100</f>
        <v>322.95021664908489</v>
      </c>
      <c r="Z535" s="37">
        <f t="shared" si="38"/>
        <v>-62.749783350915152</v>
      </c>
      <c r="AA535" s="37">
        <f t="shared" si="39"/>
        <v>-19.430172242026565</v>
      </c>
      <c r="AB535" s="57"/>
    </row>
    <row r="536" spans="2:28" x14ac:dyDescent="0.35">
      <c r="B536" s="230">
        <f t="shared" si="40"/>
        <v>526</v>
      </c>
      <c r="C536" s="246" t="s">
        <v>692</v>
      </c>
      <c r="D536" s="248">
        <f>Table3.110[[#This Row],[Date]]</f>
        <v>46050</v>
      </c>
      <c r="E536" s="230" t="str">
        <f>Table3.110[[#This Row],[Requisitioner]]</f>
        <v>Genbank</v>
      </c>
      <c r="F536" s="230" t="str">
        <f>Table3.110[[#This Row],[Gene Bank ID]]</f>
        <v>CIAT-BH22_0303</v>
      </c>
      <c r="G536" s="230" t="str">
        <f>Table3.110[[#This Row],[Genus]]</f>
        <v>Urochloa</v>
      </c>
      <c r="H536" s="230" t="str">
        <f>Table3.110[[#This Row],[Species]]</f>
        <v>humidicola</v>
      </c>
      <c r="I536" s="230" t="str">
        <f>Table3.110[[#This Row],[Tax Name]]</f>
        <v>Urochloa humidicola</v>
      </c>
      <c r="J536" s="230" t="str">
        <f>Table3.110[[#This Row],[Family]]</f>
        <v>Poaceae</v>
      </c>
      <c r="K536" s="230" t="str">
        <f>Table3.110[[#This Row],[Order]]</f>
        <v>Poales</v>
      </c>
      <c r="L536" s="230" t="str">
        <f>Table3.110[[#This Row],[Functional Group]]</f>
        <v>grasses</v>
      </c>
      <c r="M536" s="230" t="str">
        <f>Table3.110[[#This Row],[CIAT ID]]</f>
        <v>F252184</v>
      </c>
      <c r="N536" s="230">
        <f>Table3.110[[#This Row],[Set CIAT]]</f>
        <v>28</v>
      </c>
      <c r="O536" s="230">
        <f>Table3.110[[#This Row],[Batch]]</f>
        <v>61</v>
      </c>
      <c r="P536" s="230">
        <f>Table3.110[[#This Row],[Run]]</f>
        <v>2</v>
      </c>
      <c r="Q536" s="230">
        <f>Table3.110[[#This Row],[Replication]]</f>
        <v>2</v>
      </c>
      <c r="R536" s="230">
        <f>Table3.110[[#This Row],[Syrange No]]</f>
        <v>0</v>
      </c>
      <c r="S536" s="250">
        <v>0.57389999999999997</v>
      </c>
      <c r="T536" s="250">
        <v>0.80289999999999995</v>
      </c>
      <c r="U536" s="108"/>
      <c r="V536" s="122">
        <f t="shared" si="41"/>
        <v>0.22899999999999998</v>
      </c>
      <c r="W536" s="61">
        <f>Table3.110[[#This Row],[DM Incubated, mg]]-('3.2 Digest'!V536*1000)</f>
        <v>245.30129211236661</v>
      </c>
      <c r="X536" s="61">
        <f>W536/Table3.110[[#This Row],[DM Incubated, mg]]*100</f>
        <v>51.718453268360975</v>
      </c>
      <c r="Y536" s="37">
        <f>Table3.1[[#This Row],[DM Incubated, mg]]*'2.4 NDF'!R113/100</f>
        <v>322.88565243144205</v>
      </c>
      <c r="Z536" s="37">
        <f t="shared" si="38"/>
        <v>93.885652431442082</v>
      </c>
      <c r="AA536" s="37">
        <f t="shared" si="39"/>
        <v>29.077059238913293</v>
      </c>
      <c r="AB536" s="57"/>
    </row>
    <row r="537" spans="2:28" x14ac:dyDescent="0.35">
      <c r="B537" s="230">
        <f t="shared" si="40"/>
        <v>527</v>
      </c>
      <c r="C537" s="246" t="s">
        <v>692</v>
      </c>
      <c r="D537" s="248">
        <f>Table3.110[[#This Row],[Date]]</f>
        <v>46050</v>
      </c>
      <c r="E537" s="230" t="str">
        <f>Table3.110[[#This Row],[Requisitioner]]</f>
        <v>Genbank</v>
      </c>
      <c r="F537" s="230" t="str">
        <f>Table3.110[[#This Row],[Gene Bank ID]]</f>
        <v>CIAT-BH22_0303</v>
      </c>
      <c r="G537" s="230" t="str">
        <f>Table3.110[[#This Row],[Genus]]</f>
        <v>Urochloa</v>
      </c>
      <c r="H537" s="230" t="str">
        <f>Table3.110[[#This Row],[Species]]</f>
        <v>humidicola</v>
      </c>
      <c r="I537" s="230" t="str">
        <f>Table3.110[[#This Row],[Tax Name]]</f>
        <v>Urochloa humidicola</v>
      </c>
      <c r="J537" s="230" t="str">
        <f>Table3.110[[#This Row],[Family]]</f>
        <v>Poaceae</v>
      </c>
      <c r="K537" s="230" t="str">
        <f>Table3.110[[#This Row],[Order]]</f>
        <v>Poales</v>
      </c>
      <c r="L537" s="230" t="str">
        <f>Table3.110[[#This Row],[Functional Group]]</f>
        <v>grasses</v>
      </c>
      <c r="M537" s="230" t="str">
        <f>Table3.110[[#This Row],[CIAT ID]]</f>
        <v>F252184</v>
      </c>
      <c r="N537" s="230">
        <f>Table3.110[[#This Row],[Set CIAT]]</f>
        <v>28</v>
      </c>
      <c r="O537" s="230">
        <f>Table3.110[[#This Row],[Batch]]</f>
        <v>61</v>
      </c>
      <c r="P537" s="230">
        <f>Table3.110[[#This Row],[Run]]</f>
        <v>2</v>
      </c>
      <c r="Q537" s="230">
        <f>Table3.110[[#This Row],[Replication]]</f>
        <v>3</v>
      </c>
      <c r="R537" s="230">
        <f>Table3.110[[#This Row],[Syrange No]]</f>
        <v>0</v>
      </c>
      <c r="S537" s="98">
        <v>0.55840000000000001</v>
      </c>
      <c r="T537" s="98">
        <v>0.93359999999999999</v>
      </c>
      <c r="U537" s="108"/>
      <c r="V537" s="122">
        <f t="shared" si="41"/>
        <v>0.37519999999999998</v>
      </c>
      <c r="W537" s="61">
        <f>Table3.110[[#This Row],[DM Incubated, mg]]-('3.2 Digest'!V537*1000)</f>
        <v>99.006450822202225</v>
      </c>
      <c r="X537" s="61">
        <f>W537/Table3.110[[#This Row],[DM Incubated, mg]]*100</f>
        <v>20.878343314507852</v>
      </c>
      <c r="Y537" s="37">
        <f>Table3.1[[#This Row],[DM Incubated, mg]]*'2.4 NDF'!R113/100</f>
        <v>322.82108821379938</v>
      </c>
      <c r="Z537" s="37">
        <f t="shared" si="38"/>
        <v>-52.378911786200604</v>
      </c>
      <c r="AA537" s="37">
        <f t="shared" si="39"/>
        <v>-16.225368694473534</v>
      </c>
      <c r="AB537" s="57"/>
    </row>
    <row r="538" spans="2:28" x14ac:dyDescent="0.35">
      <c r="B538" s="230">
        <f t="shared" si="40"/>
        <v>528</v>
      </c>
      <c r="C538" s="246" t="s">
        <v>692</v>
      </c>
      <c r="D538" s="248">
        <f>Table3.110[[#This Row],[Date]]</f>
        <v>46050</v>
      </c>
      <c r="E538" s="230" t="str">
        <f>Table3.110[[#This Row],[Requisitioner]]</f>
        <v>Genbank</v>
      </c>
      <c r="F538" s="230" t="str">
        <f>Table3.110[[#This Row],[Gene Bank ID]]</f>
        <v>CIAT-BH22_1594</v>
      </c>
      <c r="G538" s="230" t="str">
        <f>Table3.110[[#This Row],[Genus]]</f>
        <v>Urochloa</v>
      </c>
      <c r="H538" s="230" t="str">
        <f>Table3.110[[#This Row],[Species]]</f>
        <v>humidicola</v>
      </c>
      <c r="I538" s="230" t="str">
        <f>Table3.110[[#This Row],[Tax Name]]</f>
        <v>Urochloa humidicola</v>
      </c>
      <c r="J538" s="230" t="str">
        <f>Table3.110[[#This Row],[Family]]</f>
        <v>Poaceae</v>
      </c>
      <c r="K538" s="230" t="str">
        <f>Table3.110[[#This Row],[Order]]</f>
        <v>Poales</v>
      </c>
      <c r="L538" s="230" t="str">
        <f>Table3.110[[#This Row],[Functional Group]]</f>
        <v>grasses</v>
      </c>
      <c r="M538" s="230" t="str">
        <f>Table3.110[[#This Row],[CIAT ID]]</f>
        <v>F252185</v>
      </c>
      <c r="N538" s="230">
        <f>Table3.110[[#This Row],[Set CIAT]]</f>
        <v>28</v>
      </c>
      <c r="O538" s="230">
        <f>Table3.110[[#This Row],[Batch]]</f>
        <v>61</v>
      </c>
      <c r="P538" s="230">
        <f>Table3.110[[#This Row],[Run]]</f>
        <v>2</v>
      </c>
      <c r="Q538" s="230">
        <f>Table3.110[[#This Row],[Replication]]</f>
        <v>1</v>
      </c>
      <c r="R538" s="230">
        <f>Table3.110[[#This Row],[Syrange No]]</f>
        <v>0</v>
      </c>
      <c r="S538" s="250">
        <v>0.58250000000000002</v>
      </c>
      <c r="T538" s="250">
        <v>0.83189999999999997</v>
      </c>
      <c r="U538" s="108"/>
      <c r="V538" s="122">
        <f t="shared" si="41"/>
        <v>0.24939999999999996</v>
      </c>
      <c r="W538" s="61">
        <f>Table3.110[[#This Row],[DM Incubated, mg]]-('3.2 Digest'!V538*1000)</f>
        <v>226.26502595961634</v>
      </c>
      <c r="X538" s="61">
        <f>W538/Table3.110[[#This Row],[DM Incubated, mg]]*100</f>
        <v>47.568144305574009</v>
      </c>
      <c r="Y538" s="37">
        <f>Table3.1[[#This Row],[DM Incubated, mg]]*'2.4 NDF'!R115/100</f>
        <v>324.95294885492314</v>
      </c>
      <c r="Z538" s="37">
        <f t="shared" si="38"/>
        <v>75.552948854923187</v>
      </c>
      <c r="AA538" s="37">
        <f t="shared" si="39"/>
        <v>23.250427214511653</v>
      </c>
      <c r="AB538" s="57"/>
    </row>
    <row r="539" spans="2:28" x14ac:dyDescent="0.35">
      <c r="B539" s="230">
        <f t="shared" si="40"/>
        <v>529</v>
      </c>
      <c r="C539" s="246" t="s">
        <v>692</v>
      </c>
      <c r="D539" s="248">
        <f>Table3.110[[#This Row],[Date]]</f>
        <v>46050</v>
      </c>
      <c r="E539" s="230" t="str">
        <f>Table3.110[[#This Row],[Requisitioner]]</f>
        <v>Genbank</v>
      </c>
      <c r="F539" s="230" t="str">
        <f>Table3.110[[#This Row],[Gene Bank ID]]</f>
        <v>CIAT-BH22_1594</v>
      </c>
      <c r="G539" s="230" t="str">
        <f>Table3.110[[#This Row],[Genus]]</f>
        <v>Urochloa</v>
      </c>
      <c r="H539" s="230" t="str">
        <f>Table3.110[[#This Row],[Species]]</f>
        <v>humidicola</v>
      </c>
      <c r="I539" s="230" t="str">
        <f>Table3.110[[#This Row],[Tax Name]]</f>
        <v>Urochloa humidicola</v>
      </c>
      <c r="J539" s="230" t="str">
        <f>Table3.110[[#This Row],[Family]]</f>
        <v>Poaceae</v>
      </c>
      <c r="K539" s="230" t="str">
        <f>Table3.110[[#This Row],[Order]]</f>
        <v>Poales</v>
      </c>
      <c r="L539" s="230" t="str">
        <f>Table3.110[[#This Row],[Functional Group]]</f>
        <v>grasses</v>
      </c>
      <c r="M539" s="230" t="str">
        <f>Table3.110[[#This Row],[CIAT ID]]</f>
        <v>F252185</v>
      </c>
      <c r="N539" s="230">
        <f>Table3.110[[#This Row],[Set CIAT]]</f>
        <v>28</v>
      </c>
      <c r="O539" s="230">
        <f>Table3.110[[#This Row],[Batch]]</f>
        <v>61</v>
      </c>
      <c r="P539" s="230">
        <f>Table3.110[[#This Row],[Run]]</f>
        <v>2</v>
      </c>
      <c r="Q539" s="230">
        <f>Table3.110[[#This Row],[Replication]]</f>
        <v>2</v>
      </c>
      <c r="R539" s="230">
        <f>Table3.110[[#This Row],[Syrange No]]</f>
        <v>0</v>
      </c>
      <c r="S539" s="98">
        <v>0.57589999999999997</v>
      </c>
      <c r="T539" s="98">
        <v>0.83640000000000003</v>
      </c>
      <c r="U539" s="108"/>
      <c r="V539" s="122">
        <f t="shared" si="41"/>
        <v>0.26050000000000006</v>
      </c>
      <c r="W539" s="61">
        <f>Table3.110[[#This Row],[DM Incubated, mg]]-('3.2 Digest'!V539*1000)</f>
        <v>215.06995000000006</v>
      </c>
      <c r="X539" s="61">
        <f>W539/Table3.110[[#This Row],[DM Incubated, mg]]*100</f>
        <v>45.223620626156048</v>
      </c>
      <c r="Y539" s="37">
        <f>Table3.1[[#This Row],[DM Incubated, mg]]*'2.4 NDF'!R115/100</f>
        <v>324.8879972361234</v>
      </c>
      <c r="Z539" s="37">
        <f t="shared" si="38"/>
        <v>64.38799723612334</v>
      </c>
      <c r="AA539" s="37">
        <f t="shared" si="39"/>
        <v>19.818521393182518</v>
      </c>
      <c r="AB539" s="57"/>
    </row>
    <row r="540" spans="2:28" x14ac:dyDescent="0.35">
      <c r="B540" s="230">
        <f t="shared" si="40"/>
        <v>530</v>
      </c>
      <c r="C540" s="246" t="s">
        <v>692</v>
      </c>
      <c r="D540" s="248">
        <f>Table3.110[[#This Row],[Date]]</f>
        <v>46050</v>
      </c>
      <c r="E540" s="230" t="str">
        <f>Table3.110[[#This Row],[Requisitioner]]</f>
        <v>Genbank</v>
      </c>
      <c r="F540" s="230" t="str">
        <f>Table3.110[[#This Row],[Gene Bank ID]]</f>
        <v>CIAT-BH22_1594</v>
      </c>
      <c r="G540" s="230" t="str">
        <f>Table3.110[[#This Row],[Genus]]</f>
        <v>Urochloa</v>
      </c>
      <c r="H540" s="230" t="str">
        <f>Table3.110[[#This Row],[Species]]</f>
        <v>humidicola</v>
      </c>
      <c r="I540" s="230" t="str">
        <f>Table3.110[[#This Row],[Tax Name]]</f>
        <v>Urochloa humidicola</v>
      </c>
      <c r="J540" s="230" t="str">
        <f>Table3.110[[#This Row],[Family]]</f>
        <v>Poaceae</v>
      </c>
      <c r="K540" s="230" t="str">
        <f>Table3.110[[#This Row],[Order]]</f>
        <v>Poales</v>
      </c>
      <c r="L540" s="230" t="str">
        <f>Table3.110[[#This Row],[Functional Group]]</f>
        <v>grasses</v>
      </c>
      <c r="M540" s="230" t="str">
        <f>Table3.110[[#This Row],[CIAT ID]]</f>
        <v>F252185</v>
      </c>
      <c r="N540" s="230">
        <f>Table3.110[[#This Row],[Set CIAT]]</f>
        <v>28</v>
      </c>
      <c r="O540" s="230">
        <f>Table3.110[[#This Row],[Batch]]</f>
        <v>61</v>
      </c>
      <c r="P540" s="230">
        <f>Table3.110[[#This Row],[Run]]</f>
        <v>2</v>
      </c>
      <c r="Q540" s="230">
        <f>Table3.110[[#This Row],[Replication]]</f>
        <v>3</v>
      </c>
      <c r="R540" s="230">
        <f>Table3.110[[#This Row],[Syrange No]]</f>
        <v>0</v>
      </c>
      <c r="S540" s="250">
        <v>0.55220000000000002</v>
      </c>
      <c r="T540" s="250">
        <v>0.86370000000000002</v>
      </c>
      <c r="U540" s="108"/>
      <c r="V540" s="122">
        <f t="shared" si="41"/>
        <v>0.3115</v>
      </c>
      <c r="W540" s="61">
        <f>Table3.110[[#This Row],[DM Incubated, mg]]-('3.2 Digest'!V540*1000)</f>
        <v>164.06995000000012</v>
      </c>
      <c r="X540" s="61">
        <f>W540/Table3.110[[#This Row],[DM Incubated, mg]]*100</f>
        <v>34.499646161411185</v>
      </c>
      <c r="Y540" s="37">
        <f>Table3.1[[#This Row],[DM Incubated, mg]]*'2.4 NDF'!R115/100</f>
        <v>324.8879972361234</v>
      </c>
      <c r="Z540" s="37">
        <f t="shared" si="38"/>
        <v>13.387997236123397</v>
      </c>
      <c r="AA540" s="37">
        <f t="shared" si="39"/>
        <v>4.1208038924236448</v>
      </c>
      <c r="AB540" s="57"/>
    </row>
    <row r="541" spans="2:28" x14ac:dyDescent="0.35">
      <c r="B541" s="230">
        <f t="shared" si="40"/>
        <v>531</v>
      </c>
      <c r="C541" s="246" t="s">
        <v>692</v>
      </c>
      <c r="D541" s="248">
        <f>Table3.110[[#This Row],[Date]]</f>
        <v>46050</v>
      </c>
      <c r="E541" s="230" t="str">
        <f>Table3.110[[#This Row],[Requisitioner]]</f>
        <v>Genbank</v>
      </c>
      <c r="F541" s="230" t="str">
        <f>Table3.110[[#This Row],[Gene Bank ID]]</f>
        <v>CIAT-BH22_0468</v>
      </c>
      <c r="G541" s="230" t="str">
        <f>Table3.110[[#This Row],[Genus]]</f>
        <v>Urochloa</v>
      </c>
      <c r="H541" s="230" t="str">
        <f>Table3.110[[#This Row],[Species]]</f>
        <v>humidicola</v>
      </c>
      <c r="I541" s="230" t="str">
        <f>Table3.110[[#This Row],[Tax Name]]</f>
        <v>Urochloa humidicola</v>
      </c>
      <c r="J541" s="230" t="str">
        <f>Table3.110[[#This Row],[Family]]</f>
        <v>Poaceae</v>
      </c>
      <c r="K541" s="230" t="str">
        <f>Table3.110[[#This Row],[Order]]</f>
        <v>Poales</v>
      </c>
      <c r="L541" s="230" t="str">
        <f>Table3.110[[#This Row],[Functional Group]]</f>
        <v>grasses</v>
      </c>
      <c r="M541" s="230" t="str">
        <f>Table3.110[[#This Row],[CIAT ID]]</f>
        <v>F252186</v>
      </c>
      <c r="N541" s="230">
        <f>Table3.110[[#This Row],[Set CIAT]]</f>
        <v>28</v>
      </c>
      <c r="O541" s="230">
        <f>Table3.110[[#This Row],[Batch]]</f>
        <v>61</v>
      </c>
      <c r="P541" s="230">
        <f>Table3.110[[#This Row],[Run]]</f>
        <v>2</v>
      </c>
      <c r="Q541" s="230">
        <f>Table3.110[[#This Row],[Replication]]</f>
        <v>1</v>
      </c>
      <c r="R541" s="230">
        <f>Table3.110[[#This Row],[Syrange No]]</f>
        <v>0</v>
      </c>
      <c r="S541" s="98">
        <v>0.56640000000000001</v>
      </c>
      <c r="T541" s="98">
        <v>0.84109999999999996</v>
      </c>
      <c r="U541" s="108"/>
      <c r="V541" s="122">
        <f t="shared" si="41"/>
        <v>0.27469999999999994</v>
      </c>
      <c r="W541" s="61">
        <f>Table3.110[[#This Row],[DM Incubated, mg]]-('3.2 Digest'!V541*1000)</f>
        <v>205.49901759823979</v>
      </c>
      <c r="X541" s="61">
        <f>W541/Table3.110[[#This Row],[DM Incubated, mg]]*100</f>
        <v>42.794551856033017</v>
      </c>
      <c r="Y541" s="37">
        <f>Table3.1[[#This Row],[DM Incubated, mg]]*'2.4 NDF'!R117/100</f>
        <v>325.78258586582183</v>
      </c>
      <c r="Z541" s="37">
        <f t="shared" si="38"/>
        <v>51.082585865821898</v>
      </c>
      <c r="AA541" s="37">
        <f t="shared" si="39"/>
        <v>15.679962061219864</v>
      </c>
      <c r="AB541" s="57"/>
    </row>
    <row r="542" spans="2:28" x14ac:dyDescent="0.35">
      <c r="B542" s="230">
        <f t="shared" si="40"/>
        <v>532</v>
      </c>
      <c r="C542" s="246" t="s">
        <v>693</v>
      </c>
      <c r="D542" s="248">
        <f>Table3.110[[#This Row],[Date]]</f>
        <v>46050</v>
      </c>
      <c r="E542" s="230" t="str">
        <f>Table3.110[[#This Row],[Requisitioner]]</f>
        <v>Genbank</v>
      </c>
      <c r="F542" s="230" t="str">
        <f>Table3.110[[#This Row],[Gene Bank ID]]</f>
        <v>CIAT-BH22_0468</v>
      </c>
      <c r="G542" s="230" t="str">
        <f>Table3.110[[#This Row],[Genus]]</f>
        <v>Urochloa</v>
      </c>
      <c r="H542" s="230" t="str">
        <f>Table3.110[[#This Row],[Species]]</f>
        <v>humidicola</v>
      </c>
      <c r="I542" s="230" t="str">
        <f>Table3.110[[#This Row],[Tax Name]]</f>
        <v>Urochloa humidicola</v>
      </c>
      <c r="J542" s="230" t="str">
        <f>Table3.110[[#This Row],[Family]]</f>
        <v>Poaceae</v>
      </c>
      <c r="K542" s="230" t="str">
        <f>Table3.110[[#This Row],[Order]]</f>
        <v>Poales</v>
      </c>
      <c r="L542" s="230" t="str">
        <f>Table3.110[[#This Row],[Functional Group]]</f>
        <v>grasses</v>
      </c>
      <c r="M542" s="230" t="str">
        <f>Table3.110[[#This Row],[CIAT ID]]</f>
        <v>F252186</v>
      </c>
      <c r="N542" s="230">
        <f>Table3.110[[#This Row],[Set CIAT]]</f>
        <v>28</v>
      </c>
      <c r="O542" s="230">
        <f>Table3.110[[#This Row],[Batch]]</f>
        <v>61</v>
      </c>
      <c r="P542" s="230">
        <f>Table3.110[[#This Row],[Run]]</f>
        <v>2</v>
      </c>
      <c r="Q542" s="230">
        <f>Table3.110[[#This Row],[Replication]]</f>
        <v>2</v>
      </c>
      <c r="R542" s="230">
        <f>Table3.110[[#This Row],[Syrange No]]</f>
        <v>0</v>
      </c>
      <c r="S542" s="250">
        <v>0.57010000000000005</v>
      </c>
      <c r="T542" s="250">
        <v>0.93289999999999995</v>
      </c>
      <c r="U542" s="108"/>
      <c r="V542" s="122">
        <f t="shared" si="41"/>
        <v>0.3627999999999999</v>
      </c>
      <c r="W542" s="61">
        <f>Table3.110[[#This Row],[DM Incubated, mg]]-('3.2 Digest'!V542*1000)</f>
        <v>117.59105879703935</v>
      </c>
      <c r="X542" s="61">
        <f>W542/Table3.110[[#This Row],[DM Incubated, mg]]*100</f>
        <v>24.478194721505105</v>
      </c>
      <c r="Y542" s="37">
        <f>Table3.1[[#This Row],[DM Incubated, mg]]*'2.4 NDF'!R117/100</f>
        <v>325.9128728427728</v>
      </c>
      <c r="Z542" s="37">
        <f t="shared" si="38"/>
        <v>-36.887127157227098</v>
      </c>
      <c r="AA542" s="37">
        <f t="shared" si="39"/>
        <v>-11.318094567876189</v>
      </c>
      <c r="AB542" s="57"/>
    </row>
    <row r="543" spans="2:28" x14ac:dyDescent="0.35">
      <c r="B543" s="230">
        <f t="shared" si="40"/>
        <v>533</v>
      </c>
      <c r="C543" s="246" t="s">
        <v>693</v>
      </c>
      <c r="D543" s="248">
        <f>Table3.110[[#This Row],[Date]]</f>
        <v>46050</v>
      </c>
      <c r="E543" s="230" t="str">
        <f>Table3.110[[#This Row],[Requisitioner]]</f>
        <v>Genbank</v>
      </c>
      <c r="F543" s="230" t="str">
        <f>Table3.110[[#This Row],[Gene Bank ID]]</f>
        <v>CIAT-BH22_0468</v>
      </c>
      <c r="G543" s="230" t="str">
        <f>Table3.110[[#This Row],[Genus]]</f>
        <v>Urochloa</v>
      </c>
      <c r="H543" s="230" t="str">
        <f>Table3.110[[#This Row],[Species]]</f>
        <v>humidicola</v>
      </c>
      <c r="I543" s="230" t="str">
        <f>Table3.110[[#This Row],[Tax Name]]</f>
        <v>Urochloa humidicola</v>
      </c>
      <c r="J543" s="230" t="str">
        <f>Table3.110[[#This Row],[Family]]</f>
        <v>Poaceae</v>
      </c>
      <c r="K543" s="230" t="str">
        <f>Table3.110[[#This Row],[Order]]</f>
        <v>Poales</v>
      </c>
      <c r="L543" s="230" t="str">
        <f>Table3.110[[#This Row],[Functional Group]]</f>
        <v>grasses</v>
      </c>
      <c r="M543" s="230" t="str">
        <f>Table3.110[[#This Row],[CIAT ID]]</f>
        <v>F252186</v>
      </c>
      <c r="N543" s="230">
        <f>Table3.110[[#This Row],[Set CIAT]]</f>
        <v>28</v>
      </c>
      <c r="O543" s="230">
        <f>Table3.110[[#This Row],[Batch]]</f>
        <v>61</v>
      </c>
      <c r="P543" s="230">
        <f>Table3.110[[#This Row],[Run]]</f>
        <v>2</v>
      </c>
      <c r="Q543" s="230">
        <f>Table3.110[[#This Row],[Replication]]</f>
        <v>3</v>
      </c>
      <c r="R543" s="230">
        <f>Table3.110[[#This Row],[Syrange No]]</f>
        <v>0</v>
      </c>
      <c r="S543" s="98">
        <v>0.55940000000000001</v>
      </c>
      <c r="T543" s="98">
        <v>0.83850000000000002</v>
      </c>
      <c r="U543" s="108"/>
      <c r="V543" s="122">
        <f t="shared" si="41"/>
        <v>0.27910000000000001</v>
      </c>
      <c r="W543" s="61">
        <f>Table3.110[[#This Row],[DM Incubated, mg]]-('3.2 Digest'!V543*1000)</f>
        <v>201.0990175982397</v>
      </c>
      <c r="X543" s="61">
        <f>W543/Table3.110[[#This Row],[DM Incubated, mg]]*100</f>
        <v>41.878265100177678</v>
      </c>
      <c r="Y543" s="37">
        <f>Table3.1[[#This Row],[DM Incubated, mg]]*'2.4 NDF'!R117/100</f>
        <v>325.78258586582183</v>
      </c>
      <c r="Z543" s="37">
        <f t="shared" si="38"/>
        <v>46.682585865821807</v>
      </c>
      <c r="AA543" s="37">
        <f t="shared" si="39"/>
        <v>14.329368078945967</v>
      </c>
      <c r="AB543" s="57"/>
    </row>
    <row r="544" spans="2:28" x14ac:dyDescent="0.35">
      <c r="B544" s="230">
        <f t="shared" si="40"/>
        <v>534</v>
      </c>
      <c r="C544" s="246" t="s">
        <v>693</v>
      </c>
      <c r="D544" s="248">
        <f>Table3.110[[#This Row],[Date]]</f>
        <v>46050</v>
      </c>
      <c r="E544" s="230" t="str">
        <f>Table3.110[[#This Row],[Requisitioner]]</f>
        <v>Genbank</v>
      </c>
      <c r="F544" s="230" t="str">
        <f>Table3.110[[#This Row],[Gene Bank ID]]</f>
        <v>CIAT-BH22_3830</v>
      </c>
      <c r="G544" s="230" t="str">
        <f>Table3.110[[#This Row],[Genus]]</f>
        <v>Urochloa</v>
      </c>
      <c r="H544" s="230" t="str">
        <f>Table3.110[[#This Row],[Species]]</f>
        <v>humidicola</v>
      </c>
      <c r="I544" s="230" t="str">
        <f>Table3.110[[#This Row],[Tax Name]]</f>
        <v>Urochloa humidicola</v>
      </c>
      <c r="J544" s="230" t="str">
        <f>Table3.110[[#This Row],[Family]]</f>
        <v>Poaceae</v>
      </c>
      <c r="K544" s="230" t="str">
        <f>Table3.110[[#This Row],[Order]]</f>
        <v>Poales</v>
      </c>
      <c r="L544" s="230" t="str">
        <f>Table3.110[[#This Row],[Functional Group]]</f>
        <v>grasses</v>
      </c>
      <c r="M544" s="230" t="str">
        <f>Table3.110[[#This Row],[CIAT ID]]</f>
        <v>F252187</v>
      </c>
      <c r="N544" s="230">
        <f>Table3.110[[#This Row],[Set CIAT]]</f>
        <v>28</v>
      </c>
      <c r="O544" s="230">
        <f>Table3.110[[#This Row],[Batch]]</f>
        <v>61</v>
      </c>
      <c r="P544" s="230">
        <f>Table3.110[[#This Row],[Run]]</f>
        <v>2</v>
      </c>
      <c r="Q544" s="230">
        <f>Table3.110[[#This Row],[Replication]]</f>
        <v>1</v>
      </c>
      <c r="R544" s="230">
        <f>Table3.110[[#This Row],[Syrange No]]</f>
        <v>0</v>
      </c>
      <c r="S544" s="250">
        <v>0.57999999999999996</v>
      </c>
      <c r="T544" s="250">
        <v>1.0416000000000001</v>
      </c>
      <c r="U544" s="108"/>
      <c r="V544" s="122">
        <f t="shared" si="41"/>
        <v>0.46160000000000012</v>
      </c>
      <c r="W544" s="61">
        <f>Table3.110[[#This Row],[DM Incubated, mg]]-('3.2 Digest'!V544*1000)</f>
        <v>18.297980201979499</v>
      </c>
      <c r="X544" s="61">
        <f>W544/Table3.110[[#This Row],[DM Incubated, mg]]*100</f>
        <v>3.8128896050527739</v>
      </c>
      <c r="Y544" s="37">
        <f>Table3.1[[#This Row],[DM Incubated, mg]]*'2.4 NDF'!R119/100</f>
        <v>323.58744723834315</v>
      </c>
      <c r="Z544" s="37">
        <f t="shared" si="38"/>
        <v>-138.01255276165699</v>
      </c>
      <c r="AA544" s="37">
        <f t="shared" si="39"/>
        <v>-42.65077460189665</v>
      </c>
      <c r="AB544" s="57"/>
    </row>
    <row r="545" spans="2:28" x14ac:dyDescent="0.35">
      <c r="B545" s="230">
        <f t="shared" si="40"/>
        <v>535</v>
      </c>
      <c r="C545" s="246" t="s">
        <v>693</v>
      </c>
      <c r="D545" s="248">
        <f>Table3.110[[#This Row],[Date]]</f>
        <v>46050</v>
      </c>
      <c r="E545" s="230" t="str">
        <f>Table3.110[[#This Row],[Requisitioner]]</f>
        <v>Genbank</v>
      </c>
      <c r="F545" s="230" t="str">
        <f>Table3.110[[#This Row],[Gene Bank ID]]</f>
        <v>CIAT-BH22_3830</v>
      </c>
      <c r="G545" s="230" t="str">
        <f>Table3.110[[#This Row],[Genus]]</f>
        <v>Urochloa</v>
      </c>
      <c r="H545" s="230" t="str">
        <f>Table3.110[[#This Row],[Species]]</f>
        <v>humidicola</v>
      </c>
      <c r="I545" s="230" t="str">
        <f>Table3.110[[#This Row],[Tax Name]]</f>
        <v>Urochloa humidicola</v>
      </c>
      <c r="J545" s="230" t="str">
        <f>Table3.110[[#This Row],[Family]]</f>
        <v>Poaceae</v>
      </c>
      <c r="K545" s="230" t="str">
        <f>Table3.110[[#This Row],[Order]]</f>
        <v>Poales</v>
      </c>
      <c r="L545" s="230" t="str">
        <f>Table3.110[[#This Row],[Functional Group]]</f>
        <v>grasses</v>
      </c>
      <c r="M545" s="230" t="str">
        <f>Table3.110[[#This Row],[CIAT ID]]</f>
        <v>F252187</v>
      </c>
      <c r="N545" s="230">
        <f>Table3.110[[#This Row],[Set CIAT]]</f>
        <v>28</v>
      </c>
      <c r="O545" s="230">
        <f>Table3.110[[#This Row],[Batch]]</f>
        <v>61</v>
      </c>
      <c r="P545" s="230">
        <f>Table3.110[[#This Row],[Run]]</f>
        <v>2</v>
      </c>
      <c r="Q545" s="230">
        <f>Table3.110[[#This Row],[Replication]]</f>
        <v>2</v>
      </c>
      <c r="R545" s="230">
        <f>Table3.110[[#This Row],[Syrange No]]</f>
        <v>0</v>
      </c>
      <c r="S545" s="98">
        <v>0.53979999999999995</v>
      </c>
      <c r="T545" s="98">
        <v>0.81569999999999998</v>
      </c>
      <c r="U545" s="108"/>
      <c r="V545" s="122">
        <f t="shared" si="41"/>
        <v>0.27590000000000003</v>
      </c>
      <c r="W545" s="61">
        <f>Table3.110[[#This Row],[DM Incubated, mg]]-('3.2 Digest'!V545*1000)</f>
        <v>203.90201979802004</v>
      </c>
      <c r="X545" s="61">
        <f>W545/Table3.110[[#This Row],[DM Incubated, mg]]*100</f>
        <v>42.49711576534331</v>
      </c>
      <c r="Y545" s="37">
        <f>Table3.1[[#This Row],[DM Incubated, mg]]*'2.4 NDF'!R119/100</f>
        <v>323.52274268980523</v>
      </c>
      <c r="Z545" s="37">
        <f t="shared" si="38"/>
        <v>47.622742689805193</v>
      </c>
      <c r="AA545" s="37">
        <f t="shared" si="39"/>
        <v>14.720060263418963</v>
      </c>
      <c r="AB545" s="57"/>
    </row>
    <row r="546" spans="2:28" x14ac:dyDescent="0.35">
      <c r="B546" s="230">
        <f t="shared" si="40"/>
        <v>536</v>
      </c>
      <c r="C546" s="246" t="s">
        <v>693</v>
      </c>
      <c r="D546" s="248">
        <f>Table3.110[[#This Row],[Date]]</f>
        <v>46050</v>
      </c>
      <c r="E546" s="230" t="str">
        <f>Table3.110[[#This Row],[Requisitioner]]</f>
        <v>Genbank</v>
      </c>
      <c r="F546" s="230" t="str">
        <f>Table3.110[[#This Row],[Gene Bank ID]]</f>
        <v>CIAT-BH22_3830</v>
      </c>
      <c r="G546" s="230" t="str">
        <f>Table3.110[[#This Row],[Genus]]</f>
        <v>Urochloa</v>
      </c>
      <c r="H546" s="230" t="str">
        <f>Table3.110[[#This Row],[Species]]</f>
        <v>humidicola</v>
      </c>
      <c r="I546" s="230" t="str">
        <f>Table3.110[[#This Row],[Tax Name]]</f>
        <v>Urochloa humidicola</v>
      </c>
      <c r="J546" s="230" t="str">
        <f>Table3.110[[#This Row],[Family]]</f>
        <v>Poaceae</v>
      </c>
      <c r="K546" s="230" t="str">
        <f>Table3.110[[#This Row],[Order]]</f>
        <v>Poales</v>
      </c>
      <c r="L546" s="230" t="str">
        <f>Table3.110[[#This Row],[Functional Group]]</f>
        <v>grasses</v>
      </c>
      <c r="M546" s="230" t="str">
        <f>Table3.110[[#This Row],[CIAT ID]]</f>
        <v>F252187</v>
      </c>
      <c r="N546" s="230">
        <f>Table3.110[[#This Row],[Set CIAT]]</f>
        <v>28</v>
      </c>
      <c r="O546" s="230">
        <f>Table3.110[[#This Row],[Batch]]</f>
        <v>61</v>
      </c>
      <c r="P546" s="230">
        <f>Table3.110[[#This Row],[Run]]</f>
        <v>2</v>
      </c>
      <c r="Q546" s="230">
        <f>Table3.110[[#This Row],[Replication]]</f>
        <v>3</v>
      </c>
      <c r="R546" s="230">
        <f>Table3.110[[#This Row],[Syrange No]]</f>
        <v>0</v>
      </c>
      <c r="S546" s="250">
        <v>0.56940000000000002</v>
      </c>
      <c r="T546" s="250">
        <v>0.83050000000000002</v>
      </c>
      <c r="U546" s="108"/>
      <c r="V546" s="122">
        <f t="shared" si="41"/>
        <v>0.2611</v>
      </c>
      <c r="W546" s="61">
        <f>Table3.110[[#This Row],[DM Incubated, mg]]-('3.2 Digest'!V546*1000)</f>
        <v>218.9899010098988</v>
      </c>
      <c r="X546" s="61">
        <f>W546/Table3.110[[#This Row],[DM Incubated, mg]]*100</f>
        <v>45.614352759606064</v>
      </c>
      <c r="Y546" s="37">
        <f>Table3.1[[#This Row],[DM Incubated, mg]]*'2.4 NDF'!R119/100</f>
        <v>323.7168563354191</v>
      </c>
      <c r="Z546" s="37">
        <f t="shared" ref="Z546:Z561" si="42">Y546-(V546*1000)</f>
        <v>62.616856335419072</v>
      </c>
      <c r="AA546" s="37">
        <f t="shared" ref="AA546:AA561" si="43">Z546/Y546*100</f>
        <v>19.343094160823878</v>
      </c>
      <c r="AB546" s="57"/>
    </row>
    <row r="547" spans="2:28" x14ac:dyDescent="0.35">
      <c r="B547" s="230">
        <f t="shared" si="40"/>
        <v>537</v>
      </c>
      <c r="C547" s="246" t="s">
        <v>693</v>
      </c>
      <c r="D547" s="248">
        <f>Table3.110[[#This Row],[Date]]</f>
        <v>46050</v>
      </c>
      <c r="E547" s="230" t="str">
        <f>Table3.110[[#This Row],[Requisitioner]]</f>
        <v>Genbank</v>
      </c>
      <c r="F547" s="230" t="str">
        <f>Table3.110[[#This Row],[Gene Bank ID]]</f>
        <v>CIAT-BH22_1710</v>
      </c>
      <c r="G547" s="230" t="str">
        <f>Table3.110[[#This Row],[Genus]]</f>
        <v>Urochloa</v>
      </c>
      <c r="H547" s="230" t="str">
        <f>Table3.110[[#This Row],[Species]]</f>
        <v>humidicola</v>
      </c>
      <c r="I547" s="230" t="str">
        <f>Table3.110[[#This Row],[Tax Name]]</f>
        <v>Urochloa humidicola</v>
      </c>
      <c r="J547" s="230" t="str">
        <f>Table3.110[[#This Row],[Family]]</f>
        <v>Poaceae</v>
      </c>
      <c r="K547" s="230" t="str">
        <f>Table3.110[[#This Row],[Order]]</f>
        <v>Poales</v>
      </c>
      <c r="L547" s="230" t="str">
        <f>Table3.110[[#This Row],[Functional Group]]</f>
        <v>grasses</v>
      </c>
      <c r="M547" s="230" t="str">
        <f>Table3.110[[#This Row],[CIAT ID]]</f>
        <v>F252188</v>
      </c>
      <c r="N547" s="230">
        <f>Table3.110[[#This Row],[Set CIAT]]</f>
        <v>28</v>
      </c>
      <c r="O547" s="230">
        <f>Table3.110[[#This Row],[Batch]]</f>
        <v>61</v>
      </c>
      <c r="P547" s="230">
        <f>Table3.110[[#This Row],[Run]]</f>
        <v>2</v>
      </c>
      <c r="Q547" s="230">
        <f>Table3.110[[#This Row],[Replication]]</f>
        <v>1</v>
      </c>
      <c r="R547" s="230">
        <f>Table3.110[[#This Row],[Syrange No]]</f>
        <v>0</v>
      </c>
      <c r="S547" s="98">
        <v>0.5716</v>
      </c>
      <c r="T547" s="98">
        <v>0.88929999999999998</v>
      </c>
      <c r="U547" s="108"/>
      <c r="V547" s="122">
        <f t="shared" si="41"/>
        <v>0.31769999999999998</v>
      </c>
      <c r="W547" s="61">
        <f>Table3.110[[#This Row],[DM Incubated, mg]]-('3.2 Digest'!V547*1000)</f>
        <v>168.74863513648654</v>
      </c>
      <c r="X547" s="61">
        <f>W547/Table3.110[[#This Row],[DM Incubated, mg]]*100</f>
        <v>34.689918513007953</v>
      </c>
      <c r="Y547" s="37">
        <f>Table3.1[[#This Row],[DM Incubated, mg]]*'2.4 NDF'!R121/100</f>
        <v>337.55394229383188</v>
      </c>
      <c r="Z547" s="37">
        <f t="shared" si="42"/>
        <v>19.853942293831892</v>
      </c>
      <c r="AA547" s="37">
        <f t="shared" si="43"/>
        <v>5.88170950068465</v>
      </c>
      <c r="AB547" s="57"/>
    </row>
    <row r="548" spans="2:28" x14ac:dyDescent="0.35">
      <c r="B548" s="230">
        <f t="shared" si="40"/>
        <v>538</v>
      </c>
      <c r="C548" s="246" t="s">
        <v>693</v>
      </c>
      <c r="D548" s="248">
        <f>Table3.110[[#This Row],[Date]]</f>
        <v>46050</v>
      </c>
      <c r="E548" s="230" t="str">
        <f>Table3.110[[#This Row],[Requisitioner]]</f>
        <v>Genbank</v>
      </c>
      <c r="F548" s="230" t="str">
        <f>Table3.110[[#This Row],[Gene Bank ID]]</f>
        <v>CIAT-BH22_1710</v>
      </c>
      <c r="G548" s="230" t="str">
        <f>Table3.110[[#This Row],[Genus]]</f>
        <v>Urochloa</v>
      </c>
      <c r="H548" s="230" t="str">
        <f>Table3.110[[#This Row],[Species]]</f>
        <v>humidicola</v>
      </c>
      <c r="I548" s="230" t="str">
        <f>Table3.110[[#This Row],[Tax Name]]</f>
        <v>Urochloa humidicola</v>
      </c>
      <c r="J548" s="230" t="str">
        <f>Table3.110[[#This Row],[Family]]</f>
        <v>Poaceae</v>
      </c>
      <c r="K548" s="230" t="str">
        <f>Table3.110[[#This Row],[Order]]</f>
        <v>Poales</v>
      </c>
      <c r="L548" s="230" t="str">
        <f>Table3.110[[#This Row],[Functional Group]]</f>
        <v>grasses</v>
      </c>
      <c r="M548" s="230" t="str">
        <f>Table3.110[[#This Row],[CIAT ID]]</f>
        <v>F252188</v>
      </c>
      <c r="N548" s="230">
        <f>Table3.110[[#This Row],[Set CIAT]]</f>
        <v>28</v>
      </c>
      <c r="O548" s="230">
        <f>Table3.110[[#This Row],[Batch]]</f>
        <v>61</v>
      </c>
      <c r="P548" s="230">
        <f>Table3.110[[#This Row],[Run]]</f>
        <v>2</v>
      </c>
      <c r="Q548" s="230">
        <f>Table3.110[[#This Row],[Replication]]</f>
        <v>2</v>
      </c>
      <c r="R548" s="230">
        <f>Table3.110[[#This Row],[Syrange No]]</f>
        <v>0</v>
      </c>
      <c r="S548" s="250">
        <v>0.55369999999999997</v>
      </c>
      <c r="T548" s="250">
        <v>0.9929</v>
      </c>
      <c r="U548" s="108"/>
      <c r="V548" s="122">
        <f t="shared" si="41"/>
        <v>0.43920000000000003</v>
      </c>
      <c r="W548" s="61">
        <f>Table3.110[[#This Row],[DM Incubated, mg]]-('3.2 Digest'!V548*1000)</f>
        <v>47.248635136486484</v>
      </c>
      <c r="X548" s="61">
        <f>W548/Table3.110[[#This Row],[DM Incubated, mg]]*100</f>
        <v>9.7129751681242933</v>
      </c>
      <c r="Y548" s="37">
        <f>Table3.1[[#This Row],[DM Incubated, mg]]*'2.4 NDF'!R121/100</f>
        <v>337.55394229383188</v>
      </c>
      <c r="Z548" s="37">
        <f t="shared" si="42"/>
        <v>-101.64605770616816</v>
      </c>
      <c r="AA548" s="37">
        <f t="shared" si="43"/>
        <v>-30.112537574124353</v>
      </c>
      <c r="AB548" s="57"/>
    </row>
    <row r="549" spans="2:28" x14ac:dyDescent="0.35">
      <c r="B549" s="230">
        <f t="shared" si="40"/>
        <v>539</v>
      </c>
      <c r="C549" s="246" t="s">
        <v>693</v>
      </c>
      <c r="D549" s="248">
        <f>Table3.110[[#This Row],[Date]]</f>
        <v>46050</v>
      </c>
      <c r="E549" s="230" t="str">
        <f>Table3.110[[#This Row],[Requisitioner]]</f>
        <v>Genbank</v>
      </c>
      <c r="F549" s="230" t="str">
        <f>Table3.110[[#This Row],[Gene Bank ID]]</f>
        <v>CIAT-BH22_1710</v>
      </c>
      <c r="G549" s="230" t="str">
        <f>Table3.110[[#This Row],[Genus]]</f>
        <v>Urochloa</v>
      </c>
      <c r="H549" s="230" t="str">
        <f>Table3.110[[#This Row],[Species]]</f>
        <v>humidicola</v>
      </c>
      <c r="I549" s="230" t="str">
        <f>Table3.110[[#This Row],[Tax Name]]</f>
        <v>Urochloa humidicola</v>
      </c>
      <c r="J549" s="230" t="str">
        <f>Table3.110[[#This Row],[Family]]</f>
        <v>Poaceae</v>
      </c>
      <c r="K549" s="230" t="str">
        <f>Table3.110[[#This Row],[Order]]</f>
        <v>Poales</v>
      </c>
      <c r="L549" s="230" t="str">
        <f>Table3.110[[#This Row],[Functional Group]]</f>
        <v>grasses</v>
      </c>
      <c r="M549" s="230" t="str">
        <f>Table3.110[[#This Row],[CIAT ID]]</f>
        <v>F252188</v>
      </c>
      <c r="N549" s="230">
        <f>Table3.110[[#This Row],[Set CIAT]]</f>
        <v>28</v>
      </c>
      <c r="O549" s="230">
        <f>Table3.110[[#This Row],[Batch]]</f>
        <v>61</v>
      </c>
      <c r="P549" s="230">
        <f>Table3.110[[#This Row],[Run]]</f>
        <v>2</v>
      </c>
      <c r="Q549" s="230">
        <f>Table3.110[[#This Row],[Replication]]</f>
        <v>3</v>
      </c>
      <c r="R549" s="230">
        <f>Table3.110[[#This Row],[Syrange No]]</f>
        <v>0</v>
      </c>
      <c r="S549" s="98">
        <v>0.54879999999999995</v>
      </c>
      <c r="T549" s="98">
        <v>0.81489999999999996</v>
      </c>
      <c r="U549" s="108"/>
      <c r="V549" s="122">
        <f t="shared" si="41"/>
        <v>0.2661</v>
      </c>
      <c r="W549" s="61">
        <f>Table3.110[[#This Row],[DM Incubated, mg]]-('3.2 Digest'!V549*1000)</f>
        <v>220.54317568243192</v>
      </c>
      <c r="X549" s="61">
        <f>W549/Table3.110[[#This Row],[DM Incubated, mg]]*100</f>
        <v>45.319278416502748</v>
      </c>
      <c r="Y549" s="37">
        <f>Table3.1[[#This Row],[DM Incubated, mg]]*'2.4 NDF'!R121/100</f>
        <v>337.68893687183379</v>
      </c>
      <c r="Z549" s="37">
        <f t="shared" si="42"/>
        <v>71.588936871833766</v>
      </c>
      <c r="AA549" s="37">
        <f t="shared" si="43"/>
        <v>21.199669001594973</v>
      </c>
      <c r="AB549" s="57"/>
    </row>
    <row r="550" spans="2:28" x14ac:dyDescent="0.35">
      <c r="B550" s="230">
        <f t="shared" si="40"/>
        <v>540</v>
      </c>
      <c r="C550" s="246" t="s">
        <v>693</v>
      </c>
      <c r="D550" s="248">
        <f>Table3.110[[#This Row],[Date]]</f>
        <v>46050</v>
      </c>
      <c r="E550" s="230" t="str">
        <f>Table3.110[[#This Row],[Requisitioner]]</f>
        <v>Genbank</v>
      </c>
      <c r="F550" s="230" t="str">
        <f>Table3.110[[#This Row],[Gene Bank ID]]</f>
        <v>CIAT-BH22_2365</v>
      </c>
      <c r="G550" s="230" t="str">
        <f>Table3.110[[#This Row],[Genus]]</f>
        <v>Urochloa</v>
      </c>
      <c r="H550" s="230" t="str">
        <f>Table3.110[[#This Row],[Species]]</f>
        <v>humidicola</v>
      </c>
      <c r="I550" s="230" t="str">
        <f>Table3.110[[#This Row],[Tax Name]]</f>
        <v>Urochloa humidicola</v>
      </c>
      <c r="J550" s="230" t="str">
        <f>Table3.110[[#This Row],[Family]]</f>
        <v>Poaceae</v>
      </c>
      <c r="K550" s="230" t="str">
        <f>Table3.110[[#This Row],[Order]]</f>
        <v>Poales</v>
      </c>
      <c r="L550" s="230" t="str">
        <f>Table3.110[[#This Row],[Functional Group]]</f>
        <v>grasses</v>
      </c>
      <c r="M550" s="230" t="str">
        <f>Table3.110[[#This Row],[CIAT ID]]</f>
        <v>F252189</v>
      </c>
      <c r="N550" s="230">
        <f>Table3.110[[#This Row],[Set CIAT]]</f>
        <v>28</v>
      </c>
      <c r="O550" s="230">
        <f>Table3.110[[#This Row],[Batch]]</f>
        <v>61</v>
      </c>
      <c r="P550" s="230">
        <f>Table3.110[[#This Row],[Run]]</f>
        <v>2</v>
      </c>
      <c r="Q550" s="230">
        <f>Table3.110[[#This Row],[Replication]]</f>
        <v>1</v>
      </c>
      <c r="R550" s="230">
        <f>Table3.110[[#This Row],[Syrange No]]</f>
        <v>0</v>
      </c>
      <c r="S550" s="250">
        <v>0.5786</v>
      </c>
      <c r="T550" s="250">
        <v>0.85289999999999999</v>
      </c>
      <c r="U550" s="108"/>
      <c r="V550" s="122">
        <f t="shared" si="41"/>
        <v>0.27429999999999999</v>
      </c>
      <c r="W550" s="61">
        <f>Table3.110[[#This Row],[DM Incubated, mg]]-('3.2 Digest'!V550*1000)</f>
        <v>211.19999999999982</v>
      </c>
      <c r="X550" s="61">
        <f>W550/Table3.110[[#This Row],[DM Incubated, mg]]*100</f>
        <v>43.501544799176081</v>
      </c>
      <c r="Y550" s="37">
        <f>Table3.1[[#This Row],[DM Incubated, mg]]*'2.4 NDF'!R123/100</f>
        <v>311.3917502085601</v>
      </c>
      <c r="Z550" s="37">
        <f t="shared" si="42"/>
        <v>37.091750208560086</v>
      </c>
      <c r="AA550" s="37">
        <f t="shared" si="43"/>
        <v>11.911603368977255</v>
      </c>
      <c r="AB550" s="57"/>
    </row>
    <row r="551" spans="2:28" x14ac:dyDescent="0.35">
      <c r="B551" s="230">
        <f t="shared" si="40"/>
        <v>541</v>
      </c>
      <c r="C551" s="246" t="s">
        <v>693</v>
      </c>
      <c r="D551" s="248">
        <f>Table3.110[[#This Row],[Date]]</f>
        <v>46050</v>
      </c>
      <c r="E551" s="230" t="str">
        <f>Table3.110[[#This Row],[Requisitioner]]</f>
        <v>Genbank</v>
      </c>
      <c r="F551" s="230" t="str">
        <f>Table3.110[[#This Row],[Gene Bank ID]]</f>
        <v>CIAT-BH22_2365</v>
      </c>
      <c r="G551" s="230" t="str">
        <f>Table3.110[[#This Row],[Genus]]</f>
        <v>Urochloa</v>
      </c>
      <c r="H551" s="230" t="str">
        <f>Table3.110[[#This Row],[Species]]</f>
        <v>humidicola</v>
      </c>
      <c r="I551" s="230" t="str">
        <f>Table3.110[[#This Row],[Tax Name]]</f>
        <v>Urochloa humidicola</v>
      </c>
      <c r="J551" s="230" t="str">
        <f>Table3.110[[#This Row],[Family]]</f>
        <v>Poaceae</v>
      </c>
      <c r="K551" s="230" t="str">
        <f>Table3.110[[#This Row],[Order]]</f>
        <v>Poales</v>
      </c>
      <c r="L551" s="230" t="str">
        <f>Table3.110[[#This Row],[Functional Group]]</f>
        <v>grasses</v>
      </c>
      <c r="M551" s="230" t="str">
        <f>Table3.110[[#This Row],[CIAT ID]]</f>
        <v>F252189</v>
      </c>
      <c r="N551" s="230">
        <f>Table3.110[[#This Row],[Set CIAT]]</f>
        <v>28</v>
      </c>
      <c r="O551" s="230">
        <f>Table3.110[[#This Row],[Batch]]</f>
        <v>61</v>
      </c>
      <c r="P551" s="230">
        <f>Table3.110[[#This Row],[Run]]</f>
        <v>2</v>
      </c>
      <c r="Q551" s="230">
        <f>Table3.110[[#This Row],[Replication]]</f>
        <v>2</v>
      </c>
      <c r="R551" s="230">
        <f>Table3.110[[#This Row],[Syrange No]]</f>
        <v>0</v>
      </c>
      <c r="S551" s="98">
        <v>0.55910000000000004</v>
      </c>
      <c r="T551" s="98">
        <v>0.9667</v>
      </c>
      <c r="U551" s="108"/>
      <c r="V551" s="122">
        <f t="shared" si="41"/>
        <v>0.40759999999999996</v>
      </c>
      <c r="W551" s="61">
        <f>Table3.110[[#This Row],[DM Incubated, mg]]-('3.2 Digest'!V551*1000)</f>
        <v>78.385499999999752</v>
      </c>
      <c r="X551" s="61">
        <f>W551/Table3.110[[#This Row],[DM Incubated, mg]]*100</f>
        <v>16.129184924241525</v>
      </c>
      <c r="Y551" s="37">
        <f>Table3.1[[#This Row],[DM Incubated, mg]]*'2.4 NDF'!R123/100</f>
        <v>311.70314195876858</v>
      </c>
      <c r="Z551" s="37">
        <f t="shared" si="42"/>
        <v>-95.896858041231383</v>
      </c>
      <c r="AA551" s="37">
        <f t="shared" si="43"/>
        <v>-30.765444787821998</v>
      </c>
      <c r="AB551" s="57"/>
    </row>
    <row r="552" spans="2:28" x14ac:dyDescent="0.35">
      <c r="B552" s="230">
        <f t="shared" si="40"/>
        <v>542</v>
      </c>
      <c r="C552" s="246" t="s">
        <v>693</v>
      </c>
      <c r="D552" s="248">
        <f>Table3.110[[#This Row],[Date]]</f>
        <v>46050</v>
      </c>
      <c r="E552" s="230" t="str">
        <f>Table3.110[[#This Row],[Requisitioner]]</f>
        <v>Genbank</v>
      </c>
      <c r="F552" s="230" t="str">
        <f>Table3.110[[#This Row],[Gene Bank ID]]</f>
        <v>CIAT-BH22_2365</v>
      </c>
      <c r="G552" s="230" t="str">
        <f>Table3.110[[#This Row],[Genus]]</f>
        <v>Urochloa</v>
      </c>
      <c r="H552" s="230" t="str">
        <f>Table3.110[[#This Row],[Species]]</f>
        <v>humidicola</v>
      </c>
      <c r="I552" s="230" t="str">
        <f>Table3.110[[#This Row],[Tax Name]]</f>
        <v>Urochloa humidicola</v>
      </c>
      <c r="J552" s="230" t="str">
        <f>Table3.110[[#This Row],[Family]]</f>
        <v>Poaceae</v>
      </c>
      <c r="K552" s="230" t="str">
        <f>Table3.110[[#This Row],[Order]]</f>
        <v>Poales</v>
      </c>
      <c r="L552" s="230" t="str">
        <f>Table3.110[[#This Row],[Functional Group]]</f>
        <v>grasses</v>
      </c>
      <c r="M552" s="230" t="str">
        <f>Table3.110[[#This Row],[CIAT ID]]</f>
        <v>F252189</v>
      </c>
      <c r="N552" s="230">
        <f>Table3.110[[#This Row],[Set CIAT]]</f>
        <v>28</v>
      </c>
      <c r="O552" s="230">
        <f>Table3.110[[#This Row],[Batch]]</f>
        <v>61</v>
      </c>
      <c r="P552" s="230">
        <f>Table3.110[[#This Row],[Run]]</f>
        <v>2</v>
      </c>
      <c r="Q552" s="230">
        <f>Table3.110[[#This Row],[Replication]]</f>
        <v>3</v>
      </c>
      <c r="R552" s="230">
        <f>Table3.110[[#This Row],[Syrange No]]</f>
        <v>0</v>
      </c>
      <c r="S552" s="250">
        <v>0.55840000000000001</v>
      </c>
      <c r="T552" s="250">
        <v>0.98209999999999997</v>
      </c>
      <c r="U552" s="108"/>
      <c r="V552" s="122">
        <f t="shared" si="41"/>
        <v>0.42369999999999997</v>
      </c>
      <c r="W552" s="61">
        <f>Table3.110[[#This Row],[DM Incubated, mg]]-('3.2 Digest'!V552*1000)</f>
        <v>62.091299999999762</v>
      </c>
      <c r="X552" s="61">
        <f>W552/Table3.110[[#This Row],[DM Incubated, mg]]*100</f>
        <v>12.781476325327315</v>
      </c>
      <c r="Y552" s="37">
        <f>Table3.1[[#This Row],[DM Incubated, mg]]*'2.4 NDF'!R123/100</f>
        <v>311.57858525868522</v>
      </c>
      <c r="Z552" s="37">
        <f t="shared" si="42"/>
        <v>-112.12141474131477</v>
      </c>
      <c r="AA552" s="37">
        <f t="shared" si="43"/>
        <v>-35.984955335819052</v>
      </c>
      <c r="AB552" s="57"/>
    </row>
    <row r="553" spans="2:28" x14ac:dyDescent="0.35">
      <c r="B553" s="230">
        <f t="shared" si="40"/>
        <v>543</v>
      </c>
      <c r="C553" s="246" t="s">
        <v>693</v>
      </c>
      <c r="D553" s="248">
        <f>Table3.110[[#This Row],[Date]]</f>
        <v>46050</v>
      </c>
      <c r="E553" s="230" t="str">
        <f>Table3.110[[#This Row],[Requisitioner]]</f>
        <v>Genbank</v>
      </c>
      <c r="F553" s="230" t="str">
        <f>Table3.110[[#This Row],[Gene Bank ID]]</f>
        <v>CIAT-BH22_3572</v>
      </c>
      <c r="G553" s="230" t="str">
        <f>Table3.110[[#This Row],[Genus]]</f>
        <v>Urochloa</v>
      </c>
      <c r="H553" s="230" t="str">
        <f>Table3.110[[#This Row],[Species]]</f>
        <v>humidicola</v>
      </c>
      <c r="I553" s="230" t="str">
        <f>Table3.110[[#This Row],[Tax Name]]</f>
        <v>Urochloa humidicola</v>
      </c>
      <c r="J553" s="230" t="str">
        <f>Table3.110[[#This Row],[Family]]</f>
        <v>Poaceae</v>
      </c>
      <c r="K553" s="230" t="str">
        <f>Table3.110[[#This Row],[Order]]</f>
        <v>Poales</v>
      </c>
      <c r="L553" s="230" t="str">
        <f>Table3.110[[#This Row],[Functional Group]]</f>
        <v>grasses</v>
      </c>
      <c r="M553" s="230" t="str">
        <f>Table3.110[[#This Row],[CIAT ID]]</f>
        <v>F252190</v>
      </c>
      <c r="N553" s="230">
        <f>Table3.110[[#This Row],[Set CIAT]]</f>
        <v>28</v>
      </c>
      <c r="O553" s="230">
        <f>Table3.110[[#This Row],[Batch]]</f>
        <v>61</v>
      </c>
      <c r="P553" s="230">
        <f>Table3.110[[#This Row],[Run]]</f>
        <v>2</v>
      </c>
      <c r="Q553" s="230">
        <f>Table3.110[[#This Row],[Replication]]</f>
        <v>1</v>
      </c>
      <c r="R553" s="230">
        <f>Table3.110[[#This Row],[Syrange No]]</f>
        <v>0</v>
      </c>
      <c r="S553" s="106">
        <v>0.55669999999999997</v>
      </c>
      <c r="T553" s="106">
        <v>0.99050000000000005</v>
      </c>
      <c r="U553" s="108"/>
      <c r="V553" s="122">
        <f t="shared" si="41"/>
        <v>0.43380000000000007</v>
      </c>
      <c r="W553" s="61">
        <f>Table3.110[[#This Row],[DM Incubated, mg]]-('3.2 Digest'!V553*1000)</f>
        <v>48.894750524947256</v>
      </c>
      <c r="X553" s="61">
        <f>W553/Table3.110[[#This Row],[DM Incubated, mg]]*100</f>
        <v>10.129538486128659</v>
      </c>
      <c r="Y553" s="58">
        <f>Table3.1[[#This Row],[DM Incubated, mg]]*'2.4 NDF'!R125/100</f>
        <v>329.16171855897801</v>
      </c>
      <c r="Z553" s="37">
        <f t="shared" si="42"/>
        <v>-104.63828144102206</v>
      </c>
      <c r="AA553" s="37">
        <f t="shared" si="43"/>
        <v>-31.789322859022974</v>
      </c>
      <c r="AB553" s="57"/>
    </row>
    <row r="554" spans="2:28" x14ac:dyDescent="0.35">
      <c r="B554" s="230">
        <f t="shared" si="40"/>
        <v>544</v>
      </c>
      <c r="C554" s="246" t="s">
        <v>693</v>
      </c>
      <c r="D554" s="248">
        <f>Table3.110[[#This Row],[Date]]</f>
        <v>46050</v>
      </c>
      <c r="E554" s="230" t="str">
        <f>Table3.110[[#This Row],[Requisitioner]]</f>
        <v>Genbank</v>
      </c>
      <c r="F554" s="230" t="str">
        <f>Table3.110[[#This Row],[Gene Bank ID]]</f>
        <v>CIAT-BH22_3572</v>
      </c>
      <c r="G554" s="230" t="str">
        <f>Table3.110[[#This Row],[Genus]]</f>
        <v>Urochloa</v>
      </c>
      <c r="H554" s="230" t="str">
        <f>Table3.110[[#This Row],[Species]]</f>
        <v>humidicola</v>
      </c>
      <c r="I554" s="230" t="str">
        <f>Table3.110[[#This Row],[Tax Name]]</f>
        <v>Urochloa humidicola</v>
      </c>
      <c r="J554" s="230" t="str">
        <f>Table3.110[[#This Row],[Family]]</f>
        <v>Poaceae</v>
      </c>
      <c r="K554" s="230" t="str">
        <f>Table3.110[[#This Row],[Order]]</f>
        <v>Poales</v>
      </c>
      <c r="L554" s="230" t="str">
        <f>Table3.110[[#This Row],[Functional Group]]</f>
        <v>grasses</v>
      </c>
      <c r="M554" s="230" t="str">
        <f>Table3.110[[#This Row],[CIAT ID]]</f>
        <v>F252190</v>
      </c>
      <c r="N554" s="230">
        <f>Table3.110[[#This Row],[Set CIAT]]</f>
        <v>28</v>
      </c>
      <c r="O554" s="230">
        <f>Table3.110[[#This Row],[Batch]]</f>
        <v>61</v>
      </c>
      <c r="P554" s="230">
        <f>Table3.110[[#This Row],[Run]]</f>
        <v>2</v>
      </c>
      <c r="Q554" s="230">
        <f>Table3.110[[#This Row],[Replication]]</f>
        <v>2</v>
      </c>
      <c r="R554" s="230">
        <f>Table3.110[[#This Row],[Syrange No]]</f>
        <v>0</v>
      </c>
      <c r="S554" s="106">
        <v>0.55159999999999998</v>
      </c>
      <c r="T554" s="106">
        <v>0.82809999999999995</v>
      </c>
      <c r="U554" s="108"/>
      <c r="V554" s="122">
        <f t="shared" si="41"/>
        <v>0.27649999999999997</v>
      </c>
      <c r="W554" s="61">
        <f>Table3.110[[#This Row],[DM Incubated, mg]]-('3.2 Digest'!V554*1000)</f>
        <v>206.38775122487732</v>
      </c>
      <c r="X554" s="61">
        <f>W554/Table3.110[[#This Row],[DM Incubated, mg]]*100</f>
        <v>42.740316088233939</v>
      </c>
      <c r="Y554" s="37">
        <f>Table3.1[[#This Row],[DM Incubated, mg]]*'2.4 NDF'!R125/100</f>
        <v>329.29333060158456</v>
      </c>
      <c r="Z554" s="37">
        <f t="shared" si="42"/>
        <v>52.793330601584614</v>
      </c>
      <c r="AA554" s="37">
        <f t="shared" si="43"/>
        <v>16.032310920217153</v>
      </c>
      <c r="AB554" s="57"/>
    </row>
    <row r="555" spans="2:28" x14ac:dyDescent="0.35">
      <c r="B555" s="230">
        <f t="shared" si="40"/>
        <v>545</v>
      </c>
      <c r="C555" s="246" t="s">
        <v>693</v>
      </c>
      <c r="D555" s="248">
        <f>Table3.110[[#This Row],[Date]]</f>
        <v>46050</v>
      </c>
      <c r="E555" s="230" t="str">
        <f>Table3.110[[#This Row],[Requisitioner]]</f>
        <v>Genbank</v>
      </c>
      <c r="F555" s="230" t="str">
        <f>Table3.110[[#This Row],[Gene Bank ID]]</f>
        <v>CIAT-BH22_3572</v>
      </c>
      <c r="G555" s="230" t="str">
        <f>Table3.110[[#This Row],[Genus]]</f>
        <v>Urochloa</v>
      </c>
      <c r="H555" s="230" t="str">
        <f>Table3.110[[#This Row],[Species]]</f>
        <v>humidicola</v>
      </c>
      <c r="I555" s="230" t="str">
        <f>Table3.110[[#This Row],[Tax Name]]</f>
        <v>Urochloa humidicola</v>
      </c>
      <c r="J555" s="230" t="str">
        <f>Table3.110[[#This Row],[Family]]</f>
        <v>Poaceae</v>
      </c>
      <c r="K555" s="230" t="str">
        <f>Table3.110[[#This Row],[Order]]</f>
        <v>Poales</v>
      </c>
      <c r="L555" s="230" t="str">
        <f>Table3.110[[#This Row],[Functional Group]]</f>
        <v>grasses</v>
      </c>
      <c r="M555" s="230" t="str">
        <f>Table3.110[[#This Row],[CIAT ID]]</f>
        <v>F252190</v>
      </c>
      <c r="N555" s="230">
        <f>Table3.110[[#This Row],[Set CIAT]]</f>
        <v>28</v>
      </c>
      <c r="O555" s="230">
        <f>Table3.110[[#This Row],[Batch]]</f>
        <v>61</v>
      </c>
      <c r="P555" s="230">
        <f>Table3.110[[#This Row],[Run]]</f>
        <v>2</v>
      </c>
      <c r="Q555" s="230">
        <f>Table3.110[[#This Row],[Replication]]</f>
        <v>3</v>
      </c>
      <c r="R555" s="230">
        <f>Table3.110[[#This Row],[Syrange No]]</f>
        <v>0</v>
      </c>
      <c r="S555" s="98">
        <v>0.54720000000000002</v>
      </c>
      <c r="T555" s="98">
        <v>0.95820000000000005</v>
      </c>
      <c r="U555" s="108"/>
      <c r="V555" s="122">
        <f t="shared" si="41"/>
        <v>0.41100000000000003</v>
      </c>
      <c r="W555" s="61">
        <f>Table3.110[[#This Row],[DM Incubated, mg]]-('3.2 Digest'!V555*1000)</f>
        <v>71.694750524947267</v>
      </c>
      <c r="X555" s="61">
        <f>W555/Table3.110[[#This Row],[DM Incubated, mg]]*100</f>
        <v>14.853020557397139</v>
      </c>
      <c r="Y555" s="37">
        <f>Table3.1[[#This Row],[DM Incubated, mg]]*'2.4 NDF'!R125/100</f>
        <v>329.16171855897801</v>
      </c>
      <c r="Z555" s="37">
        <f t="shared" si="42"/>
        <v>-81.838281441022048</v>
      </c>
      <c r="AA555" s="37">
        <f t="shared" si="43"/>
        <v>-24.862636457027296</v>
      </c>
      <c r="AB555" s="57"/>
    </row>
    <row r="556" spans="2:28" x14ac:dyDescent="0.35">
      <c r="B556" s="230">
        <f t="shared" si="40"/>
        <v>546</v>
      </c>
      <c r="C556" s="246" t="s">
        <v>693</v>
      </c>
      <c r="D556" s="248">
        <f>Table3.110[[#This Row],[Date]]</f>
        <v>46050</v>
      </c>
      <c r="E556" s="230" t="str">
        <f>Table3.110[[#This Row],[Requisitioner]]</f>
        <v>Genbank</v>
      </c>
      <c r="F556" s="230" t="str">
        <f>Table3.110[[#This Row],[Gene Bank ID]]</f>
        <v>CIAT-BH22_0517</v>
      </c>
      <c r="G556" s="230" t="str">
        <f>Table3.110[[#This Row],[Genus]]</f>
        <v>Urochloa</v>
      </c>
      <c r="H556" s="230" t="str">
        <f>Table3.110[[#This Row],[Species]]</f>
        <v>humidicola</v>
      </c>
      <c r="I556" s="230" t="str">
        <f>Table3.110[[#This Row],[Tax Name]]</f>
        <v>Urochloa humidicola</v>
      </c>
      <c r="J556" s="230" t="str">
        <f>Table3.110[[#This Row],[Family]]</f>
        <v>Poaceae</v>
      </c>
      <c r="K556" s="230" t="str">
        <f>Table3.110[[#This Row],[Order]]</f>
        <v>Poales</v>
      </c>
      <c r="L556" s="230" t="str">
        <f>Table3.110[[#This Row],[Functional Group]]</f>
        <v>grasses</v>
      </c>
      <c r="M556" s="230" t="str">
        <f>Table3.110[[#This Row],[CIAT ID]]</f>
        <v>F252191</v>
      </c>
      <c r="N556" s="230">
        <f>Table3.110[[#This Row],[Set CIAT]]</f>
        <v>28</v>
      </c>
      <c r="O556" s="230">
        <f>Table3.110[[#This Row],[Batch]]</f>
        <v>61</v>
      </c>
      <c r="P556" s="230">
        <f>Table3.110[[#This Row],[Run]]</f>
        <v>2</v>
      </c>
      <c r="Q556" s="230">
        <f>Table3.110[[#This Row],[Replication]]</f>
        <v>1</v>
      </c>
      <c r="R556" s="230">
        <f>Table3.110[[#This Row],[Syrange No]]</f>
        <v>0</v>
      </c>
      <c r="S556" s="250">
        <v>0.57520000000000004</v>
      </c>
      <c r="T556" s="250"/>
      <c r="U556" s="108"/>
      <c r="V556" s="122"/>
      <c r="W556" s="61"/>
      <c r="X556" s="61"/>
      <c r="Y556" s="37"/>
      <c r="Z556" s="37"/>
      <c r="AA556" s="37"/>
      <c r="AB556" s="57"/>
    </row>
    <row r="557" spans="2:28" x14ac:dyDescent="0.35">
      <c r="B557" s="230">
        <f t="shared" si="40"/>
        <v>547</v>
      </c>
      <c r="C557" s="246" t="s">
        <v>693</v>
      </c>
      <c r="D557" s="248">
        <f>Table3.110[[#This Row],[Date]]</f>
        <v>46050</v>
      </c>
      <c r="E557" s="230" t="str">
        <f>Table3.110[[#This Row],[Requisitioner]]</f>
        <v>Genbank</v>
      </c>
      <c r="F557" s="230" t="str">
        <f>Table3.110[[#This Row],[Gene Bank ID]]</f>
        <v>CIAT-BH22_0517</v>
      </c>
      <c r="G557" s="230" t="str">
        <f>Table3.110[[#This Row],[Genus]]</f>
        <v>Urochloa</v>
      </c>
      <c r="H557" s="230" t="str">
        <f>Table3.110[[#This Row],[Species]]</f>
        <v>humidicola</v>
      </c>
      <c r="I557" s="230" t="str">
        <f>Table3.110[[#This Row],[Tax Name]]</f>
        <v>Urochloa humidicola</v>
      </c>
      <c r="J557" s="230" t="str">
        <f>Table3.110[[#This Row],[Family]]</f>
        <v>Poaceae</v>
      </c>
      <c r="K557" s="230" t="str">
        <f>Table3.110[[#This Row],[Order]]</f>
        <v>Poales</v>
      </c>
      <c r="L557" s="230" t="str">
        <f>Table3.110[[#This Row],[Functional Group]]</f>
        <v>grasses</v>
      </c>
      <c r="M557" s="230" t="str">
        <f>Table3.110[[#This Row],[CIAT ID]]</f>
        <v>F252191</v>
      </c>
      <c r="N557" s="230">
        <f>Table3.110[[#This Row],[Set CIAT]]</f>
        <v>28</v>
      </c>
      <c r="O557" s="230">
        <f>Table3.110[[#This Row],[Batch]]</f>
        <v>61</v>
      </c>
      <c r="P557" s="230">
        <f>Table3.110[[#This Row],[Run]]</f>
        <v>2</v>
      </c>
      <c r="Q557" s="230">
        <f>Table3.110[[#This Row],[Replication]]</f>
        <v>2</v>
      </c>
      <c r="R557" s="230">
        <f>Table3.110[[#This Row],[Syrange No]]</f>
        <v>0</v>
      </c>
      <c r="S557" s="98">
        <v>0.57650000000000001</v>
      </c>
      <c r="T557" s="250">
        <v>0.83830000000000005</v>
      </c>
      <c r="U557" s="108"/>
      <c r="V557" s="122">
        <f t="shared" si="41"/>
        <v>0.26180000000000003</v>
      </c>
      <c r="W557" s="61">
        <f>Table3.110[[#This Row],[DM Incubated, mg]]-('3.2 Digest'!V557*1000)</f>
        <v>222.63046414890619</v>
      </c>
      <c r="X557" s="61">
        <f>W557/Table3.110[[#This Row],[DM Incubated, mg]]*100</f>
        <v>45.957156005876861</v>
      </c>
      <c r="Y557" s="37">
        <f>Table3.1[[#This Row],[DM Incubated, mg]]*'2.4 NDF'!R127/100</f>
        <v>336.46552905807323</v>
      </c>
      <c r="Z557" s="37">
        <f t="shared" si="42"/>
        <v>74.665529058073218</v>
      </c>
      <c r="AA557" s="37">
        <f t="shared" si="43"/>
        <v>22.19113775699326</v>
      </c>
      <c r="AB557" s="57"/>
    </row>
    <row r="558" spans="2:28" x14ac:dyDescent="0.35">
      <c r="B558" s="230">
        <f t="shared" si="40"/>
        <v>548</v>
      </c>
      <c r="C558" s="246" t="s">
        <v>693</v>
      </c>
      <c r="D558" s="248">
        <f>Table3.110[[#This Row],[Date]]</f>
        <v>46050</v>
      </c>
      <c r="E558" s="230" t="str">
        <f>Table3.110[[#This Row],[Requisitioner]]</f>
        <v>Genbank</v>
      </c>
      <c r="F558" s="230" t="str">
        <f>Table3.110[[#This Row],[Gene Bank ID]]</f>
        <v>CIAT-BH22_0517</v>
      </c>
      <c r="G558" s="230" t="str">
        <f>Table3.110[[#This Row],[Genus]]</f>
        <v>Urochloa</v>
      </c>
      <c r="H558" s="230" t="str">
        <f>Table3.110[[#This Row],[Species]]</f>
        <v>humidicola</v>
      </c>
      <c r="I558" s="230" t="str">
        <f>Table3.110[[#This Row],[Tax Name]]</f>
        <v>Urochloa humidicola</v>
      </c>
      <c r="J558" s="230" t="str">
        <f>Table3.110[[#This Row],[Family]]</f>
        <v>Poaceae</v>
      </c>
      <c r="K558" s="230" t="str">
        <f>Table3.110[[#This Row],[Order]]</f>
        <v>Poales</v>
      </c>
      <c r="L558" s="230" t="str">
        <f>Table3.110[[#This Row],[Functional Group]]</f>
        <v>grasses</v>
      </c>
      <c r="M558" s="230" t="str">
        <f>Table3.110[[#This Row],[CIAT ID]]</f>
        <v>F252191</v>
      </c>
      <c r="N558" s="230">
        <f>Table3.110[[#This Row],[Set CIAT]]</f>
        <v>28</v>
      </c>
      <c r="O558" s="230">
        <f>Table3.110[[#This Row],[Batch]]</f>
        <v>61</v>
      </c>
      <c r="P558" s="230">
        <f>Table3.110[[#This Row],[Run]]</f>
        <v>2</v>
      </c>
      <c r="Q558" s="230">
        <f>Table3.110[[#This Row],[Replication]]</f>
        <v>3</v>
      </c>
      <c r="R558" s="230">
        <f>Table3.110[[#This Row],[Syrange No]]</f>
        <v>0</v>
      </c>
      <c r="S558" s="250">
        <v>0.55010000000000003</v>
      </c>
      <c r="T558" s="250">
        <v>0.81140000000000001</v>
      </c>
      <c r="U558" s="108"/>
      <c r="V558" s="122">
        <f t="shared" si="41"/>
        <v>0.26129999999999998</v>
      </c>
      <c r="W558" s="61">
        <f>Table3.110[[#This Row],[DM Incubated, mg]]-('3.2 Digest'!V558*1000)</f>
        <v>223.03359742942035</v>
      </c>
      <c r="X558" s="61">
        <f>W558/Table3.110[[#This Row],[DM Incubated, mg]]*100</f>
        <v>46.049582067641303</v>
      </c>
      <c r="Y558" s="37">
        <f>Table3.1[[#This Row],[DM Incubated, mg]]*'2.4 NDF'!R127/100</f>
        <v>336.39824940819165</v>
      </c>
      <c r="Z558" s="37">
        <f t="shared" si="42"/>
        <v>75.098249408191691</v>
      </c>
      <c r="AA558" s="37">
        <f t="shared" si="43"/>
        <v>22.324209338279324</v>
      </c>
      <c r="AB558" s="57"/>
    </row>
    <row r="559" spans="2:28" x14ac:dyDescent="0.35">
      <c r="B559" s="230">
        <f t="shared" si="40"/>
        <v>549</v>
      </c>
      <c r="C559" s="246" t="s">
        <v>693</v>
      </c>
      <c r="D559" s="248">
        <f>Table3.110[[#This Row],[Date]]</f>
        <v>46050</v>
      </c>
      <c r="E559" s="230" t="str">
        <f>Table3.110[[#This Row],[Requisitioner]]</f>
        <v>Genbank</v>
      </c>
      <c r="F559" s="230" t="str">
        <f>Table3.110[[#This Row],[Gene Bank ID]]</f>
        <v>CIAT-BH22_0519</v>
      </c>
      <c r="G559" s="230" t="str">
        <f>Table3.110[[#This Row],[Genus]]</f>
        <v>Urochloa</v>
      </c>
      <c r="H559" s="230" t="str">
        <f>Table3.110[[#This Row],[Species]]</f>
        <v>humidicola</v>
      </c>
      <c r="I559" s="230" t="str">
        <f>Table3.110[[#This Row],[Tax Name]]</f>
        <v>Urochloa humidicola</v>
      </c>
      <c r="J559" s="230" t="str">
        <f>Table3.110[[#This Row],[Family]]</f>
        <v>Poaceae</v>
      </c>
      <c r="K559" s="230" t="str">
        <f>Table3.110[[#This Row],[Order]]</f>
        <v>Poales</v>
      </c>
      <c r="L559" s="230" t="str">
        <f>Table3.110[[#This Row],[Functional Group]]</f>
        <v>grasses</v>
      </c>
      <c r="M559" s="230" t="str">
        <f>Table3.110[[#This Row],[CIAT ID]]</f>
        <v>F252192</v>
      </c>
      <c r="N559" s="230">
        <f>Table3.110[[#This Row],[Set CIAT]]</f>
        <v>28</v>
      </c>
      <c r="O559" s="230">
        <f>Table3.110[[#This Row],[Batch]]</f>
        <v>61</v>
      </c>
      <c r="P559" s="230">
        <f>Table3.110[[#This Row],[Run]]</f>
        <v>2</v>
      </c>
      <c r="Q559" s="230">
        <f>Table3.110[[#This Row],[Replication]]</f>
        <v>1</v>
      </c>
      <c r="R559" s="230">
        <f>Table3.110[[#This Row],[Syrange No]]</f>
        <v>0</v>
      </c>
      <c r="S559" s="98">
        <v>0.59489999999999998</v>
      </c>
      <c r="T559" s="98">
        <v>1.0455000000000001</v>
      </c>
      <c r="U559" s="108"/>
      <c r="V559" s="122">
        <f t="shared" si="41"/>
        <v>0.45060000000000011</v>
      </c>
      <c r="W559" s="61">
        <f>Table3.110[[#This Row],[DM Incubated, mg]]-('3.2 Digest'!V559*1000)</f>
        <v>37.872087677696584</v>
      </c>
      <c r="X559" s="61">
        <f>W559/Table3.110[[#This Row],[DM Incubated, mg]]*100</f>
        <v>7.7531733405175274</v>
      </c>
      <c r="Y559" s="37">
        <f>Table3.1[[#This Row],[DM Incubated, mg]]*'2.4 NDF'!R129/100</f>
        <v>315.44196074903795</v>
      </c>
      <c r="Z559" s="37">
        <f t="shared" si="42"/>
        <v>-135.15803925096219</v>
      </c>
      <c r="AA559" s="37">
        <f t="shared" si="43"/>
        <v>-42.847197287900578</v>
      </c>
      <c r="AB559" s="57"/>
    </row>
    <row r="560" spans="2:28" x14ac:dyDescent="0.35">
      <c r="B560" s="230">
        <f t="shared" si="40"/>
        <v>550</v>
      </c>
      <c r="C560" s="246" t="s">
        <v>693</v>
      </c>
      <c r="D560" s="248">
        <f>Table3.110[[#This Row],[Date]]</f>
        <v>46050</v>
      </c>
      <c r="E560" s="230" t="str">
        <f>Table3.110[[#This Row],[Requisitioner]]</f>
        <v>Genbank</v>
      </c>
      <c r="F560" s="230" t="str">
        <f>Table3.110[[#This Row],[Gene Bank ID]]</f>
        <v>CIAT-BH22_0519</v>
      </c>
      <c r="G560" s="230" t="str">
        <f>Table3.110[[#This Row],[Genus]]</f>
        <v>Urochloa</v>
      </c>
      <c r="H560" s="230" t="str">
        <f>Table3.110[[#This Row],[Species]]</f>
        <v>humidicola</v>
      </c>
      <c r="I560" s="230" t="str">
        <f>Table3.110[[#This Row],[Tax Name]]</f>
        <v>Urochloa humidicola</v>
      </c>
      <c r="J560" s="230" t="str">
        <f>Table3.110[[#This Row],[Family]]</f>
        <v>Poaceae</v>
      </c>
      <c r="K560" s="230" t="str">
        <f>Table3.110[[#This Row],[Order]]</f>
        <v>Poales</v>
      </c>
      <c r="L560" s="230" t="str">
        <f>Table3.110[[#This Row],[Functional Group]]</f>
        <v>grasses</v>
      </c>
      <c r="M560" s="230" t="str">
        <f>Table3.110[[#This Row],[CIAT ID]]</f>
        <v>F252192</v>
      </c>
      <c r="N560" s="230">
        <f>Table3.110[[#This Row],[Set CIAT]]</f>
        <v>28</v>
      </c>
      <c r="O560" s="230">
        <f>Table3.110[[#This Row],[Batch]]</f>
        <v>61</v>
      </c>
      <c r="P560" s="230">
        <f>Table3.110[[#This Row],[Run]]</f>
        <v>2</v>
      </c>
      <c r="Q560" s="230">
        <f>Table3.110[[#This Row],[Replication]]</f>
        <v>2</v>
      </c>
      <c r="R560" s="230">
        <f>Table3.110[[#This Row],[Syrange No]]</f>
        <v>0</v>
      </c>
      <c r="S560" s="106">
        <v>0.57669999999999999</v>
      </c>
      <c r="T560" s="106">
        <v>0.82869999999999999</v>
      </c>
      <c r="U560" s="108"/>
      <c r="V560" s="122">
        <f t="shared" si="41"/>
        <v>0.252</v>
      </c>
      <c r="W560" s="61">
        <f>Table3.110[[#This Row],[DM Incubated, mg]]-('3.2 Digest'!V560*1000)</f>
        <v>236.56974303309011</v>
      </c>
      <c r="X560" s="61">
        <f>W560/Table3.110[[#This Row],[DM Incubated, mg]]*100</f>
        <v>48.420874687089984</v>
      </c>
      <c r="Y560" s="37">
        <f>Table3.1[[#This Row],[DM Incubated, mg]]*'2.4 NDF'!R129/100</f>
        <v>315.50502391592102</v>
      </c>
      <c r="Z560" s="37">
        <f t="shared" si="42"/>
        <v>63.505023915921015</v>
      </c>
      <c r="AA560" s="37">
        <f t="shared" si="43"/>
        <v>20.12805473831202</v>
      </c>
      <c r="AB560" s="57"/>
    </row>
    <row r="561" spans="2:28" x14ac:dyDescent="0.35">
      <c r="B561" s="230">
        <f t="shared" si="40"/>
        <v>551</v>
      </c>
      <c r="C561" s="246" t="s">
        <v>693</v>
      </c>
      <c r="D561" s="248">
        <f>Table3.110[[#This Row],[Date]]</f>
        <v>46050</v>
      </c>
      <c r="E561" s="230" t="str">
        <f>Table3.110[[#This Row],[Requisitioner]]</f>
        <v>Genbank</v>
      </c>
      <c r="F561" s="230" t="str">
        <f>Table3.110[[#This Row],[Gene Bank ID]]</f>
        <v>CIAT-BH22_0519</v>
      </c>
      <c r="G561" s="230" t="str">
        <f>Table3.110[[#This Row],[Genus]]</f>
        <v>Urochloa</v>
      </c>
      <c r="H561" s="230" t="str">
        <f>Table3.110[[#This Row],[Species]]</f>
        <v>humidicola</v>
      </c>
      <c r="I561" s="230" t="str">
        <f>Table3.110[[#This Row],[Tax Name]]</f>
        <v>Urochloa humidicola</v>
      </c>
      <c r="J561" s="230" t="str">
        <f>Table3.110[[#This Row],[Family]]</f>
        <v>Poaceae</v>
      </c>
      <c r="K561" s="230" t="str">
        <f>Table3.110[[#This Row],[Order]]</f>
        <v>Poales</v>
      </c>
      <c r="L561" s="230" t="str">
        <f>Table3.110[[#This Row],[Functional Group]]</f>
        <v>grasses</v>
      </c>
      <c r="M561" s="230" t="str">
        <f>Table3.110[[#This Row],[CIAT ID]]</f>
        <v>F252192</v>
      </c>
      <c r="N561" s="230">
        <f>Table3.110[[#This Row],[Set CIAT]]</f>
        <v>28</v>
      </c>
      <c r="O561" s="230">
        <f>Table3.110[[#This Row],[Batch]]</f>
        <v>61</v>
      </c>
      <c r="P561" s="230">
        <f>Table3.110[[#This Row],[Run]]</f>
        <v>2</v>
      </c>
      <c r="Q561" s="230">
        <f>Table3.110[[#This Row],[Replication]]</f>
        <v>3</v>
      </c>
      <c r="R561" s="230">
        <f>Table3.110[[#This Row],[Syrange No]]</f>
        <v>0</v>
      </c>
      <c r="S561" s="106">
        <v>0.5605</v>
      </c>
      <c r="T561" s="106">
        <v>0.79210000000000003</v>
      </c>
      <c r="U561" s="108"/>
      <c r="V561" s="122">
        <f t="shared" si="41"/>
        <v>0.23160000000000003</v>
      </c>
      <c r="W561" s="61">
        <f>Table3.110[[#This Row],[DM Incubated, mg]]-('3.2 Digest'!V561*1000)</f>
        <v>257.16505374387685</v>
      </c>
      <c r="X561" s="61">
        <f>W561/Table3.110[[#This Row],[DM Incubated, mg]]*100</f>
        <v>52.615270215009424</v>
      </c>
      <c r="Y561" s="37">
        <f>Table3.1[[#This Row],[DM Incubated, mg]]*'2.4 NDF'!R129/100</f>
        <v>315.63115024968715</v>
      </c>
      <c r="Z561" s="37">
        <f t="shared" si="42"/>
        <v>84.03115024968713</v>
      </c>
      <c r="AA561" s="37">
        <f t="shared" si="43"/>
        <v>26.623211993877156</v>
      </c>
      <c r="AB561" s="57"/>
    </row>
    <row r="562" spans="2:28" x14ac:dyDescent="0.35">
      <c r="B562" s="230">
        <f t="shared" si="40"/>
        <v>552</v>
      </c>
      <c r="C562" s="246" t="s">
        <v>693</v>
      </c>
      <c r="D562" s="248">
        <f>Table3.110[[#This Row],[Date]]</f>
        <v>46050</v>
      </c>
      <c r="E562" s="230" t="str">
        <f>Table3.110[[#This Row],[Requisitioner]]</f>
        <v>Genbank</v>
      </c>
      <c r="F562" s="230" t="str">
        <f>Table3.110[[#This Row],[Gene Bank ID]]</f>
        <v>CIAT-BH22_0521</v>
      </c>
      <c r="G562" s="230" t="str">
        <f>Table3.110[[#This Row],[Genus]]</f>
        <v>Urochloa</v>
      </c>
      <c r="H562" s="230" t="str">
        <f>Table3.110[[#This Row],[Species]]</f>
        <v>humidicola</v>
      </c>
      <c r="I562" s="230" t="str">
        <f>Table3.110[[#This Row],[Tax Name]]</f>
        <v>Urochloa humidicola</v>
      </c>
      <c r="J562" s="230" t="str">
        <f>Table3.110[[#This Row],[Family]]</f>
        <v>Poaceae</v>
      </c>
      <c r="K562" s="230" t="str">
        <f>Table3.110[[#This Row],[Order]]</f>
        <v>Poales</v>
      </c>
      <c r="L562" s="230" t="str">
        <f>Table3.110[[#This Row],[Functional Group]]</f>
        <v>grasses</v>
      </c>
      <c r="M562" s="230" t="str">
        <f>Table3.110[[#This Row],[CIAT ID]]</f>
        <v>F252193</v>
      </c>
      <c r="N562" s="230">
        <f>Table3.110[[#This Row],[Set CIAT]]</f>
        <v>28</v>
      </c>
      <c r="O562" s="230">
        <f>Table3.110[[#This Row],[Batch]]</f>
        <v>61</v>
      </c>
      <c r="P562" s="230">
        <f>Table3.110[[#This Row],[Run]]</f>
        <v>2</v>
      </c>
      <c r="Q562" s="230">
        <f>Table3.110[[#This Row],[Replication]]</f>
        <v>1</v>
      </c>
      <c r="R562" s="230">
        <f>Table3.110[[#This Row],[Syrange No]]</f>
        <v>0</v>
      </c>
      <c r="S562" s="250">
        <v>0.55330000000000001</v>
      </c>
      <c r="T562" s="250">
        <v>0.78480000000000005</v>
      </c>
      <c r="U562" s="108"/>
      <c r="V562" s="122">
        <f t="shared" si="41"/>
        <v>0.23150000000000004</v>
      </c>
      <c r="W562" s="61">
        <f>Table3.110[[#This Row],[DM Incubated, mg]]-('3.2 Digest'!V562*1000)</f>
        <v>251.22927020554633</v>
      </c>
      <c r="X562" s="61">
        <f>W562/Table3.110[[#This Row],[DM Incubated, mg]]*100</f>
        <v>52.043512940197886</v>
      </c>
      <c r="Y562" s="37">
        <f>Table3.1[[#This Row],[DM Incubated, mg]]*'2.4 NDF'!R131/100</f>
        <v>322.83152486170201</v>
      </c>
      <c r="Z562" s="37">
        <f t="shared" ref="Z562:Z567" si="44">Y562-(V562*1000)</f>
        <v>91.331524861701979</v>
      </c>
      <c r="AA562" s="37">
        <f t="shared" ref="AA562:AA567" si="45">Z562/Y562*100</f>
        <v>28.290770209268612</v>
      </c>
      <c r="AB562" s="57"/>
    </row>
    <row r="563" spans="2:28" x14ac:dyDescent="0.35">
      <c r="B563" s="230">
        <f t="shared" si="40"/>
        <v>553</v>
      </c>
      <c r="C563" s="246" t="s">
        <v>693</v>
      </c>
      <c r="D563" s="248">
        <f>Table3.110[[#This Row],[Date]]</f>
        <v>46050</v>
      </c>
      <c r="E563" s="230" t="str">
        <f>Table3.110[[#This Row],[Requisitioner]]</f>
        <v>Genbank</v>
      </c>
      <c r="F563" s="230" t="str">
        <f>Table3.110[[#This Row],[Gene Bank ID]]</f>
        <v>CIAT-BH22_0521</v>
      </c>
      <c r="G563" s="230" t="str">
        <f>Table3.110[[#This Row],[Genus]]</f>
        <v>Urochloa</v>
      </c>
      <c r="H563" s="230" t="str">
        <f>Table3.110[[#This Row],[Species]]</f>
        <v>humidicola</v>
      </c>
      <c r="I563" s="230" t="str">
        <f>Table3.110[[#This Row],[Tax Name]]</f>
        <v>Urochloa humidicola</v>
      </c>
      <c r="J563" s="230" t="str">
        <f>Table3.110[[#This Row],[Family]]</f>
        <v>Poaceae</v>
      </c>
      <c r="K563" s="230" t="str">
        <f>Table3.110[[#This Row],[Order]]</f>
        <v>Poales</v>
      </c>
      <c r="L563" s="230" t="str">
        <f>Table3.110[[#This Row],[Functional Group]]</f>
        <v>grasses</v>
      </c>
      <c r="M563" s="230" t="str">
        <f>Table3.110[[#This Row],[CIAT ID]]</f>
        <v>F252193</v>
      </c>
      <c r="N563" s="230">
        <f>Table3.110[[#This Row],[Set CIAT]]</f>
        <v>28</v>
      </c>
      <c r="O563" s="230">
        <f>Table3.110[[#This Row],[Batch]]</f>
        <v>61</v>
      </c>
      <c r="P563" s="230">
        <f>Table3.110[[#This Row],[Run]]</f>
        <v>2</v>
      </c>
      <c r="Q563" s="230">
        <f>Table3.110[[#This Row],[Replication]]</f>
        <v>2</v>
      </c>
      <c r="R563" s="230">
        <f>Table3.110[[#This Row],[Syrange No]]</f>
        <v>0</v>
      </c>
      <c r="S563" s="98">
        <v>0.58489999999999998</v>
      </c>
      <c r="T563" s="98">
        <v>0.85680000000000001</v>
      </c>
      <c r="U563" s="108"/>
      <c r="V563" s="122">
        <f t="shared" si="41"/>
        <v>0.27190000000000003</v>
      </c>
      <c r="W563" s="61">
        <f>Table3.110[[#This Row],[DM Incubated, mg]]-('3.2 Digest'!V563*1000)</f>
        <v>210.92579675427766</v>
      </c>
      <c r="X563" s="61">
        <f>W563/Table3.110[[#This Row],[DM Incubated, mg]]*100</f>
        <v>43.685693302262216</v>
      </c>
      <c r="Y563" s="37">
        <f>Table3.1[[#This Row],[DM Incubated, mg]]*'2.4 NDF'!R131/100</f>
        <v>322.89607825599546</v>
      </c>
      <c r="Z563" s="37">
        <f t="shared" si="44"/>
        <v>50.996078255995428</v>
      </c>
      <c r="AA563" s="37">
        <f t="shared" si="45"/>
        <v>15.793340857972634</v>
      </c>
      <c r="AB563" s="57"/>
    </row>
    <row r="564" spans="2:28" x14ac:dyDescent="0.35">
      <c r="B564" s="230">
        <f t="shared" si="40"/>
        <v>554</v>
      </c>
      <c r="C564" s="246" t="s">
        <v>693</v>
      </c>
      <c r="D564" s="248">
        <f>Table3.110[[#This Row],[Date]]</f>
        <v>46050</v>
      </c>
      <c r="E564" s="230" t="str">
        <f>Table3.110[[#This Row],[Requisitioner]]</f>
        <v>Genbank</v>
      </c>
      <c r="F564" s="230" t="str">
        <f>Table3.110[[#This Row],[Gene Bank ID]]</f>
        <v>CIAT-BH22_0521</v>
      </c>
      <c r="G564" s="230" t="str">
        <f>Table3.110[[#This Row],[Genus]]</f>
        <v>Urochloa</v>
      </c>
      <c r="H564" s="230" t="str">
        <f>Table3.110[[#This Row],[Species]]</f>
        <v>humidicola</v>
      </c>
      <c r="I564" s="230" t="str">
        <f>Table3.110[[#This Row],[Tax Name]]</f>
        <v>Urochloa humidicola</v>
      </c>
      <c r="J564" s="230" t="str">
        <f>Table3.110[[#This Row],[Family]]</f>
        <v>Poaceae</v>
      </c>
      <c r="K564" s="230" t="str">
        <f>Table3.110[[#This Row],[Order]]</f>
        <v>Poales</v>
      </c>
      <c r="L564" s="230" t="str">
        <f>Table3.110[[#This Row],[Functional Group]]</f>
        <v>grasses</v>
      </c>
      <c r="M564" s="230" t="str">
        <f>Table3.110[[#This Row],[CIAT ID]]</f>
        <v>F252193</v>
      </c>
      <c r="N564" s="230">
        <f>Table3.110[[#This Row],[Set CIAT]]</f>
        <v>28</v>
      </c>
      <c r="O564" s="230">
        <f>Table3.110[[#This Row],[Batch]]</f>
        <v>61</v>
      </c>
      <c r="P564" s="230">
        <f>Table3.110[[#This Row],[Run]]</f>
        <v>2</v>
      </c>
      <c r="Q564" s="230">
        <f>Table3.110[[#This Row],[Replication]]</f>
        <v>3</v>
      </c>
      <c r="R564" s="230">
        <f>Table3.110[[#This Row],[Syrange No]]</f>
        <v>0</v>
      </c>
      <c r="S564" s="250">
        <v>0.54349999999999998</v>
      </c>
      <c r="T564" s="250">
        <v>0.96120000000000005</v>
      </c>
      <c r="U564" s="108"/>
      <c r="V564" s="122">
        <f t="shared" si="41"/>
        <v>0.41770000000000007</v>
      </c>
      <c r="W564" s="61">
        <f>Table3.110[[#This Row],[DM Incubated, mg]]-('3.2 Digest'!V564*1000)</f>
        <v>65.318849851740254</v>
      </c>
      <c r="X564" s="61">
        <f>W564/Table3.110[[#This Row],[DM Incubated, mg]]*100</f>
        <v>13.523043639350613</v>
      </c>
      <c r="Y564" s="37">
        <f>Table3.1[[#This Row],[DM Incubated, mg]]*'2.4 NDF'!R131/100</f>
        <v>323.02518504458232</v>
      </c>
      <c r="Z564" s="37">
        <f t="shared" si="44"/>
        <v>-94.67481495541773</v>
      </c>
      <c r="AA564" s="37">
        <f t="shared" si="45"/>
        <v>-29.308802947470237</v>
      </c>
      <c r="AB564" s="57"/>
    </row>
    <row r="565" spans="2:28" x14ac:dyDescent="0.35">
      <c r="B565" s="230">
        <f t="shared" si="40"/>
        <v>555</v>
      </c>
      <c r="C565" s="246" t="s">
        <v>693</v>
      </c>
      <c r="D565" s="248">
        <f>Table3.110[[#This Row],[Date]]</f>
        <v>46055</v>
      </c>
      <c r="E565" s="230" t="str">
        <f>Table3.110[[#This Row],[Requisitioner]]</f>
        <v>Genbank</v>
      </c>
      <c r="F565" s="230" t="str">
        <f>Table3.110[[#This Row],[Gene Bank ID]]</f>
        <v>CIAT326</v>
      </c>
      <c r="G565" s="230" t="str">
        <f>Table3.110[[#This Row],[Genus]]</f>
        <v>Desmodium</v>
      </c>
      <c r="H565" s="230" t="str">
        <f>Table3.110[[#This Row],[Species]]</f>
        <v>scorpiurus</v>
      </c>
      <c r="I565" s="230" t="str">
        <f>Table3.110[[#This Row],[Tax Name]]</f>
        <v>Desmodium scorpiurus</v>
      </c>
      <c r="J565" s="230" t="str">
        <f>Table3.110[[#This Row],[Family]]</f>
        <v>Fabaceae</v>
      </c>
      <c r="K565" s="230" t="str">
        <f>Table3.110[[#This Row],[Order]]</f>
        <v>Fabales</v>
      </c>
      <c r="L565" s="230" t="str">
        <f>Table3.110[[#This Row],[Functional Group]]</f>
        <v>Herbaceous</v>
      </c>
      <c r="M565" s="230" t="str">
        <f>Table3.110[[#This Row],[CIAT ID]]</f>
        <v>F252574</v>
      </c>
      <c r="N565" s="230">
        <f>Table3.110[[#This Row],[Set CIAT]]</f>
        <v>28</v>
      </c>
      <c r="O565" s="230">
        <f>Table3.110[[#This Row],[Batch]]</f>
        <v>62</v>
      </c>
      <c r="P565" s="230">
        <f>Table3.110[[#This Row],[Run]]</f>
        <v>2</v>
      </c>
      <c r="Q565" s="230">
        <f>Table3.110[[#This Row],[Replication]]</f>
        <v>1</v>
      </c>
      <c r="R565" s="230">
        <f>Table3.110[[#This Row],[Syrange No]]</f>
        <v>0</v>
      </c>
      <c r="S565" s="106">
        <v>0.5726</v>
      </c>
      <c r="T565" s="106">
        <v>0.83140000000000003</v>
      </c>
      <c r="U565" s="108"/>
      <c r="V565" s="122">
        <f t="shared" si="41"/>
        <v>0.25880000000000003</v>
      </c>
      <c r="W565" s="61">
        <f>Table3.110[[#This Row],[DM Incubated, mg]]-('3.2 Digest'!V565*1000)</f>
        <v>199.58332541833335</v>
      </c>
      <c r="X565" s="61">
        <f>W565/Table3.110[[#This Row],[DM Incubated, mg]]*100</f>
        <v>43.540703675507409</v>
      </c>
      <c r="Y565" s="37">
        <f>Table3.1[[#This Row],[DM Incubated, mg]]*'2.4 NDF'!R133/100</f>
        <v>255.11436523649436</v>
      </c>
      <c r="Z565" s="37">
        <f t="shared" si="44"/>
        <v>-3.6856347635056466</v>
      </c>
      <c r="AA565" s="37">
        <f t="shared" si="45"/>
        <v>-1.4446990313889283</v>
      </c>
      <c r="AB565" s="57"/>
    </row>
    <row r="566" spans="2:28" x14ac:dyDescent="0.35">
      <c r="B566" s="230">
        <f t="shared" si="40"/>
        <v>556</v>
      </c>
      <c r="C566" s="246" t="s">
        <v>693</v>
      </c>
      <c r="D566" s="248">
        <f>Table3.110[[#This Row],[Date]]</f>
        <v>46055</v>
      </c>
      <c r="E566" s="230" t="str">
        <f>Table3.110[[#This Row],[Requisitioner]]</f>
        <v>Genbank</v>
      </c>
      <c r="F566" s="230" t="str">
        <f>Table3.110[[#This Row],[Gene Bank ID]]</f>
        <v>CIAT326</v>
      </c>
      <c r="G566" s="230" t="str">
        <f>Table3.110[[#This Row],[Genus]]</f>
        <v>Desmodium</v>
      </c>
      <c r="H566" s="230" t="str">
        <f>Table3.110[[#This Row],[Species]]</f>
        <v>scorpiurus</v>
      </c>
      <c r="I566" s="230" t="str">
        <f>Table3.110[[#This Row],[Tax Name]]</f>
        <v>Desmodium scorpiurus</v>
      </c>
      <c r="J566" s="230" t="str">
        <f>Table3.110[[#This Row],[Family]]</f>
        <v>Fabaceae</v>
      </c>
      <c r="K566" s="230" t="str">
        <f>Table3.110[[#This Row],[Order]]</f>
        <v>Fabales</v>
      </c>
      <c r="L566" s="230" t="str">
        <f>Table3.110[[#This Row],[Functional Group]]</f>
        <v>Herbaceous</v>
      </c>
      <c r="M566" s="230" t="str">
        <f>Table3.110[[#This Row],[CIAT ID]]</f>
        <v>F252574</v>
      </c>
      <c r="N566" s="230">
        <f>Table3.110[[#This Row],[Set CIAT]]</f>
        <v>28</v>
      </c>
      <c r="O566" s="230">
        <f>Table3.110[[#This Row],[Batch]]</f>
        <v>62</v>
      </c>
      <c r="P566" s="230">
        <f>Table3.110[[#This Row],[Run]]</f>
        <v>2</v>
      </c>
      <c r="Q566" s="230">
        <f>Table3.110[[#This Row],[Replication]]</f>
        <v>2</v>
      </c>
      <c r="R566" s="230">
        <f>Table3.110[[#This Row],[Syrange No]]</f>
        <v>0</v>
      </c>
      <c r="S566" s="106">
        <v>0.58409999999999995</v>
      </c>
      <c r="T566" s="106">
        <v>0.81379999999999997</v>
      </c>
      <c r="U566" s="108"/>
      <c r="V566" s="122">
        <f t="shared" si="41"/>
        <v>0.22970000000000002</v>
      </c>
      <c r="W566" s="61">
        <f>Table3.110[[#This Row],[DM Incubated, mg]]-('3.2 Digest'!V566*1000)</f>
        <v>229.14170874375159</v>
      </c>
      <c r="X566" s="61">
        <f>W566/Table3.110[[#This Row],[DM Incubated, mg]]*100</f>
        <v>49.939162978690739</v>
      </c>
      <c r="Y566" s="37">
        <f>Table3.1[[#This Row],[DM Incubated, mg]]*'2.4 NDF'!R133/100</f>
        <v>255.36947960173086</v>
      </c>
      <c r="Z566" s="37">
        <f t="shared" si="44"/>
        <v>25.669479601730842</v>
      </c>
      <c r="AA566" s="37">
        <f t="shared" si="45"/>
        <v>10.051897995705851</v>
      </c>
      <c r="AB566" s="57"/>
    </row>
    <row r="567" spans="2:28" x14ac:dyDescent="0.35">
      <c r="B567" s="230">
        <f t="shared" si="40"/>
        <v>557</v>
      </c>
      <c r="C567" s="246" t="s">
        <v>693</v>
      </c>
      <c r="D567" s="248">
        <f>Table3.110[[#This Row],[Date]]</f>
        <v>46055</v>
      </c>
      <c r="E567" s="230" t="str">
        <f>Table3.110[[#This Row],[Requisitioner]]</f>
        <v>Genbank</v>
      </c>
      <c r="F567" s="230" t="str">
        <f>Table3.110[[#This Row],[Gene Bank ID]]</f>
        <v>CIAT326</v>
      </c>
      <c r="G567" s="230" t="str">
        <f>Table3.110[[#This Row],[Genus]]</f>
        <v>Desmodium</v>
      </c>
      <c r="H567" s="230" t="str">
        <f>Table3.110[[#This Row],[Species]]</f>
        <v>scorpiurus</v>
      </c>
      <c r="I567" s="230" t="str">
        <f>Table3.110[[#This Row],[Tax Name]]</f>
        <v>Desmodium scorpiurus</v>
      </c>
      <c r="J567" s="230" t="str">
        <f>Table3.110[[#This Row],[Family]]</f>
        <v>Fabaceae</v>
      </c>
      <c r="K567" s="230" t="str">
        <f>Table3.110[[#This Row],[Order]]</f>
        <v>Fabales</v>
      </c>
      <c r="L567" s="230" t="str">
        <f>Table3.110[[#This Row],[Functional Group]]</f>
        <v>Herbaceous</v>
      </c>
      <c r="M567" s="230" t="str">
        <f>Table3.110[[#This Row],[CIAT ID]]</f>
        <v>F252574</v>
      </c>
      <c r="N567" s="230">
        <f>Table3.110[[#This Row],[Set CIAT]]</f>
        <v>28</v>
      </c>
      <c r="O567" s="230">
        <f>Table3.110[[#This Row],[Batch]]</f>
        <v>62</v>
      </c>
      <c r="P567" s="230">
        <f>Table3.110[[#This Row],[Run]]</f>
        <v>2</v>
      </c>
      <c r="Q567" s="230">
        <f>Table3.110[[#This Row],[Replication]]</f>
        <v>3</v>
      </c>
      <c r="R567" s="230">
        <f>Table3.110[[#This Row],[Syrange No]]</f>
        <v>0</v>
      </c>
      <c r="S567" s="106">
        <v>0.56179999999999997</v>
      </c>
      <c r="T567" s="106">
        <v>0.83320000000000005</v>
      </c>
      <c r="U567" s="108"/>
      <c r="V567" s="122">
        <f t="shared" si="41"/>
        <v>0.27140000000000009</v>
      </c>
      <c r="W567" s="61">
        <f>Table3.110[[#This Row],[DM Incubated, mg]]-('3.2 Digest'!V567*1000)</f>
        <v>187.16667874850054</v>
      </c>
      <c r="X567" s="61">
        <f>W567/Table3.110[[#This Row],[DM Incubated, mg]]*100</f>
        <v>40.815586352525081</v>
      </c>
      <c r="Y567" s="37">
        <f>Table3.1[[#This Row],[DM Incubated, mg]]*'2.4 NDF'!R133/100</f>
        <v>255.21641098258897</v>
      </c>
      <c r="Z567" s="37">
        <f t="shared" si="44"/>
        <v>-16.183589017411123</v>
      </c>
      <c r="AA567" s="37">
        <f t="shared" si="45"/>
        <v>-6.3411239720455033</v>
      </c>
      <c r="AB567" s="57"/>
    </row>
    <row r="568" spans="2:28" x14ac:dyDescent="0.35">
      <c r="B568" s="230">
        <f t="shared" si="40"/>
        <v>558</v>
      </c>
      <c r="C568" s="246" t="s">
        <v>693</v>
      </c>
      <c r="D568" s="248">
        <f>Table3.110[[#This Row],[Date]]</f>
        <v>46055</v>
      </c>
      <c r="E568" s="230" t="str">
        <f>Table3.110[[#This Row],[Requisitioner]]</f>
        <v>Genbank</v>
      </c>
      <c r="F568" s="230" t="str">
        <f>Table3.110[[#This Row],[Gene Bank ID]]</f>
        <v>CIAT415</v>
      </c>
      <c r="G568" s="230" t="str">
        <f>Table3.110[[#This Row],[Genus]]</f>
        <v>Vigna</v>
      </c>
      <c r="H568" s="230" t="str">
        <f>Table3.110[[#This Row],[Species]]</f>
        <v>radiata</v>
      </c>
      <c r="I568" s="230" t="str">
        <f>Table3.110[[#This Row],[Tax Name]]</f>
        <v>Vigna radiata</v>
      </c>
      <c r="J568" s="230" t="str">
        <f>Table3.110[[#This Row],[Family]]</f>
        <v>Fabaceae</v>
      </c>
      <c r="K568" s="230" t="str">
        <f>Table3.110[[#This Row],[Order]]</f>
        <v>Fabales</v>
      </c>
      <c r="L568" s="230" t="str">
        <f>Table3.110[[#This Row],[Functional Group]]</f>
        <v>Herbaceous</v>
      </c>
      <c r="M568" s="230" t="str">
        <f>Table3.110[[#This Row],[CIAT ID]]</f>
        <v>F252575</v>
      </c>
      <c r="N568" s="230">
        <f>Table3.110[[#This Row],[Set CIAT]]</f>
        <v>28</v>
      </c>
      <c r="O568" s="230">
        <f>Table3.110[[#This Row],[Batch]]</f>
        <v>62</v>
      </c>
      <c r="P568" s="230">
        <f>Table3.110[[#This Row],[Run]]</f>
        <v>2</v>
      </c>
      <c r="Q568" s="230">
        <f>Table3.110[[#This Row],[Replication]]</f>
        <v>1</v>
      </c>
      <c r="R568" s="230">
        <f>Table3.110[[#This Row],[Syrange No]]</f>
        <v>0</v>
      </c>
      <c r="S568" s="106">
        <v>0.56259999999999999</v>
      </c>
      <c r="T568" s="106">
        <v>0.74950000000000006</v>
      </c>
      <c r="U568" s="108"/>
      <c r="V568" s="122">
        <f t="shared" si="41"/>
        <v>0.18690000000000007</v>
      </c>
      <c r="W568" s="61">
        <f>Table3.110[[#This Row],[DM Incubated, mg]]-('3.2 Digest'!V568*1000)</f>
        <v>281.22419999999988</v>
      </c>
      <c r="X568" s="61">
        <f>W568/Table3.110[[#This Row],[DM Incubated, mg]]*100</f>
        <v>60.074698124984764</v>
      </c>
      <c r="Y568" s="37">
        <f>Table3.1[[#This Row],[DM Incubated, mg]]*'2.4 NDF'!R137/100</f>
        <v>197.54015416343219</v>
      </c>
      <c r="Z568" s="37">
        <f t="shared" ref="Z568:Z580" si="46">Y568-(V568*1000)</f>
        <v>10.640154163432129</v>
      </c>
      <c r="AA568" s="37">
        <f t="shared" ref="AA568:AA580" si="47">Z568/Y568*100</f>
        <v>5.386324723949107</v>
      </c>
      <c r="AB568" s="57"/>
    </row>
    <row r="569" spans="2:28" x14ac:dyDescent="0.35">
      <c r="B569" s="230">
        <f t="shared" si="40"/>
        <v>559</v>
      </c>
      <c r="C569" s="246" t="s">
        <v>693</v>
      </c>
      <c r="D569" s="248">
        <f>Table3.110[[#This Row],[Date]]</f>
        <v>46055</v>
      </c>
      <c r="E569" s="230" t="str">
        <f>Table3.110[[#This Row],[Requisitioner]]</f>
        <v>Genbank</v>
      </c>
      <c r="F569" s="230" t="str">
        <f>Table3.110[[#This Row],[Gene Bank ID]]</f>
        <v>CIAT415</v>
      </c>
      <c r="G569" s="230" t="str">
        <f>Table3.110[[#This Row],[Genus]]</f>
        <v>Vigna</v>
      </c>
      <c r="H569" s="230" t="str">
        <f>Table3.110[[#This Row],[Species]]</f>
        <v>radiata</v>
      </c>
      <c r="I569" s="230" t="str">
        <f>Table3.110[[#This Row],[Tax Name]]</f>
        <v>Vigna radiata</v>
      </c>
      <c r="J569" s="230" t="str">
        <f>Table3.110[[#This Row],[Family]]</f>
        <v>Fabaceae</v>
      </c>
      <c r="K569" s="230" t="str">
        <f>Table3.110[[#This Row],[Order]]</f>
        <v>Fabales</v>
      </c>
      <c r="L569" s="230" t="str">
        <f>Table3.110[[#This Row],[Functional Group]]</f>
        <v>Herbaceous</v>
      </c>
      <c r="M569" s="230" t="str">
        <f>Table3.110[[#This Row],[CIAT ID]]</f>
        <v>F252575</v>
      </c>
      <c r="N569" s="230">
        <f>Table3.110[[#This Row],[Set CIAT]]</f>
        <v>28</v>
      </c>
      <c r="O569" s="230">
        <f>Table3.110[[#This Row],[Batch]]</f>
        <v>62</v>
      </c>
      <c r="P569" s="230">
        <f>Table3.110[[#This Row],[Run]]</f>
        <v>2</v>
      </c>
      <c r="Q569" s="230">
        <f>Table3.110[[#This Row],[Replication]]</f>
        <v>2</v>
      </c>
      <c r="R569" s="230">
        <f>Table3.110[[#This Row],[Syrange No]]</f>
        <v>0</v>
      </c>
      <c r="S569" s="106">
        <v>0.58389999999999997</v>
      </c>
      <c r="T569" s="106">
        <v>0.80520000000000003</v>
      </c>
      <c r="U569" s="108"/>
      <c r="V569" s="122">
        <f t="shared" si="41"/>
        <v>0.22130000000000005</v>
      </c>
      <c r="W569" s="61">
        <f>Table3.110[[#This Row],[DM Incubated, mg]]-('3.2 Digest'!V569*1000)</f>
        <v>238.65893662534981</v>
      </c>
      <c r="X569" s="61">
        <f>W569/Table3.110[[#This Row],[DM Incubated, mg]]*100</f>
        <v>51.887009387480298</v>
      </c>
      <c r="Y569" s="37">
        <f>Table3.1[[#This Row],[DM Incubated, mg]]*'2.4 NDF'!R137/100</f>
        <v>194.09455706374499</v>
      </c>
      <c r="Z569" s="37">
        <f t="shared" si="46"/>
        <v>-27.205442936255054</v>
      </c>
      <c r="AA569" s="37">
        <f t="shared" si="47"/>
        <v>-14.016592401053357</v>
      </c>
      <c r="AB569" s="57"/>
    </row>
    <row r="570" spans="2:28" x14ac:dyDescent="0.35">
      <c r="B570" s="230">
        <f t="shared" si="40"/>
        <v>560</v>
      </c>
      <c r="C570" s="246" t="s">
        <v>693</v>
      </c>
      <c r="D570" s="248">
        <f>Table3.110[[#This Row],[Date]]</f>
        <v>46055</v>
      </c>
      <c r="E570" s="230" t="str">
        <f>Table3.110[[#This Row],[Requisitioner]]</f>
        <v>Genbank</v>
      </c>
      <c r="F570" s="230" t="str">
        <f>Table3.110[[#This Row],[Gene Bank ID]]</f>
        <v>CIAT415</v>
      </c>
      <c r="G570" s="230" t="str">
        <f>Table3.110[[#This Row],[Genus]]</f>
        <v>Vigna</v>
      </c>
      <c r="H570" s="230" t="str">
        <f>Table3.110[[#This Row],[Species]]</f>
        <v>radiata</v>
      </c>
      <c r="I570" s="230" t="str">
        <f>Table3.110[[#This Row],[Tax Name]]</f>
        <v>Vigna radiata</v>
      </c>
      <c r="J570" s="230" t="str">
        <f>Table3.110[[#This Row],[Family]]</f>
        <v>Fabaceae</v>
      </c>
      <c r="K570" s="230" t="str">
        <f>Table3.110[[#This Row],[Order]]</f>
        <v>Fabales</v>
      </c>
      <c r="L570" s="230" t="str">
        <f>Table3.110[[#This Row],[Functional Group]]</f>
        <v>Herbaceous</v>
      </c>
      <c r="M570" s="230" t="str">
        <f>Table3.110[[#This Row],[CIAT ID]]</f>
        <v>F252575</v>
      </c>
      <c r="N570" s="230">
        <f>Table3.110[[#This Row],[Set CIAT]]</f>
        <v>28</v>
      </c>
      <c r="O570" s="230">
        <f>Table3.110[[#This Row],[Batch]]</f>
        <v>62</v>
      </c>
      <c r="P570" s="230">
        <f>Table3.110[[#This Row],[Run]]</f>
        <v>2</v>
      </c>
      <c r="Q570" s="230">
        <f>Table3.110[[#This Row],[Replication]]</f>
        <v>3</v>
      </c>
      <c r="R570" s="230">
        <f>Table3.110[[#This Row],[Syrange No]]</f>
        <v>0</v>
      </c>
      <c r="S570" s="106">
        <v>0.56710000000000005</v>
      </c>
      <c r="T570" s="106">
        <v>0.74950000000000006</v>
      </c>
      <c r="U570" s="108"/>
      <c r="V570" s="122">
        <f t="shared" si="41"/>
        <v>0.18240000000000001</v>
      </c>
      <c r="W570" s="61">
        <f>Table3.110[[#This Row],[DM Incubated, mg]]-('3.2 Digest'!V570*1000)</f>
        <v>277.28312674930032</v>
      </c>
      <c r="X570" s="61">
        <f>W570/Table3.110[[#This Row],[DM Incubated, mg]]*100</f>
        <v>60.320492664183334</v>
      </c>
      <c r="Y570" s="37">
        <f>Table3.1[[#This Row],[DM Incubated, mg]]*'2.4 NDF'!R137/100</f>
        <v>193.97817016164805</v>
      </c>
      <c r="Z570" s="37">
        <f t="shared" si="46"/>
        <v>11.578170161648046</v>
      </c>
      <c r="AA570" s="37">
        <f t="shared" si="47"/>
        <v>5.9688005882309314</v>
      </c>
      <c r="AB570" s="57"/>
    </row>
    <row r="571" spans="2:28" x14ac:dyDescent="0.35">
      <c r="B571" s="230">
        <f t="shared" si="40"/>
        <v>561</v>
      </c>
      <c r="C571" s="246" t="s">
        <v>693</v>
      </c>
      <c r="D571" s="248">
        <f>Table3.110[[#This Row],[Date]]</f>
        <v>46055</v>
      </c>
      <c r="E571" s="230" t="str">
        <f>Table3.110[[#This Row],[Requisitioner]]</f>
        <v>Genbank</v>
      </c>
      <c r="F571" s="230" t="str">
        <f>Table3.110[[#This Row],[Gene Bank ID]]</f>
        <v>CIAT416</v>
      </c>
      <c r="G571" s="230" t="str">
        <f>Table3.110[[#This Row],[Genus]]</f>
        <v>Vigna</v>
      </c>
      <c r="H571" s="230" t="str">
        <f>Table3.110[[#This Row],[Species]]</f>
        <v>radiata</v>
      </c>
      <c r="I571" s="230" t="str">
        <f>Table3.110[[#This Row],[Tax Name]]</f>
        <v>Vigna radiata</v>
      </c>
      <c r="J571" s="230" t="str">
        <f>Table3.110[[#This Row],[Family]]</f>
        <v>Fabaceae</v>
      </c>
      <c r="K571" s="230" t="str">
        <f>Table3.110[[#This Row],[Order]]</f>
        <v>Fabales</v>
      </c>
      <c r="L571" s="230" t="str">
        <f>Table3.110[[#This Row],[Functional Group]]</f>
        <v>Herbaceous</v>
      </c>
      <c r="M571" s="230" t="str">
        <f>Table3.110[[#This Row],[CIAT ID]]</f>
        <v>F252576</v>
      </c>
      <c r="N571" s="230">
        <f>Table3.110[[#This Row],[Set CIAT]]</f>
        <v>28</v>
      </c>
      <c r="O571" s="230">
        <f>Table3.110[[#This Row],[Batch]]</f>
        <v>62</v>
      </c>
      <c r="P571" s="230">
        <f>Table3.110[[#This Row],[Run]]</f>
        <v>2</v>
      </c>
      <c r="Q571" s="230">
        <f>Table3.110[[#This Row],[Replication]]</f>
        <v>1</v>
      </c>
      <c r="R571" s="230">
        <f>Table3.110[[#This Row],[Syrange No]]</f>
        <v>0</v>
      </c>
      <c r="S571" s="106">
        <v>0.57430000000000003</v>
      </c>
      <c r="T571" s="106">
        <v>0.74050000000000005</v>
      </c>
      <c r="U571" s="108"/>
      <c r="V571" s="122">
        <f t="shared" si="41"/>
        <v>0.16620000000000001</v>
      </c>
      <c r="W571" s="61">
        <f>Table3.110[[#This Row],[DM Incubated, mg]]-('3.2 Digest'!V571*1000)</f>
        <v>290.94427872029587</v>
      </c>
      <c r="X571" s="61">
        <f>W571/Table3.110[[#This Row],[DM Incubated, mg]]*100</f>
        <v>63.643863056702578</v>
      </c>
      <c r="Y571" s="37">
        <f>Table3.1[[#This Row],[DM Incubated, mg]]*'2.4 NDF'!R139/100</f>
        <v>207.81638194867182</v>
      </c>
      <c r="Z571" s="37">
        <f t="shared" si="46"/>
        <v>41.616381948671801</v>
      </c>
      <c r="AA571" s="37">
        <f t="shared" si="47"/>
        <v>20.025554077325122</v>
      </c>
      <c r="AB571" s="57"/>
    </row>
    <row r="572" spans="2:28" x14ac:dyDescent="0.35">
      <c r="B572" s="230">
        <f t="shared" si="40"/>
        <v>562</v>
      </c>
      <c r="C572" s="246" t="s">
        <v>693</v>
      </c>
      <c r="D572" s="248">
        <f>Table3.110[[#This Row],[Date]]</f>
        <v>46055</v>
      </c>
      <c r="E572" s="230" t="str">
        <f>Table3.110[[#This Row],[Requisitioner]]</f>
        <v>Genbank</v>
      </c>
      <c r="F572" s="230" t="str">
        <f>Table3.110[[#This Row],[Gene Bank ID]]</f>
        <v>CIAT416</v>
      </c>
      <c r="G572" s="230" t="str">
        <f>Table3.110[[#This Row],[Genus]]</f>
        <v>Vigna</v>
      </c>
      <c r="H572" s="230" t="str">
        <f>Table3.110[[#This Row],[Species]]</f>
        <v>radiata</v>
      </c>
      <c r="I572" s="230" t="str">
        <f>Table3.110[[#This Row],[Tax Name]]</f>
        <v>Vigna radiata</v>
      </c>
      <c r="J572" s="230" t="str">
        <f>Table3.110[[#This Row],[Family]]</f>
        <v>Fabaceae</v>
      </c>
      <c r="K572" s="230" t="str">
        <f>Table3.110[[#This Row],[Order]]</f>
        <v>Fabales</v>
      </c>
      <c r="L572" s="230" t="str">
        <f>Table3.110[[#This Row],[Functional Group]]</f>
        <v>Herbaceous</v>
      </c>
      <c r="M572" s="230" t="str">
        <f>Table3.110[[#This Row],[CIAT ID]]</f>
        <v>F252576</v>
      </c>
      <c r="N572" s="230">
        <f>Table3.110[[#This Row],[Set CIAT]]</f>
        <v>28</v>
      </c>
      <c r="O572" s="230">
        <f>Table3.110[[#This Row],[Batch]]</f>
        <v>62</v>
      </c>
      <c r="P572" s="230">
        <f>Table3.110[[#This Row],[Run]]</f>
        <v>2</v>
      </c>
      <c r="Q572" s="230">
        <f>Table3.110[[#This Row],[Replication]]</f>
        <v>2</v>
      </c>
      <c r="R572" s="230">
        <f>Table3.110[[#This Row],[Syrange No]]</f>
        <v>0</v>
      </c>
      <c r="S572" s="106">
        <v>0.58260000000000001</v>
      </c>
      <c r="T572" s="106">
        <v>0.76200000000000001</v>
      </c>
      <c r="U572" s="108"/>
      <c r="V572" s="122">
        <f t="shared" si="41"/>
        <v>0.1794</v>
      </c>
      <c r="W572" s="61">
        <f>Table3.110[[#This Row],[DM Incubated, mg]]-('3.2 Digest'!V572*1000)</f>
        <v>277.92713643178399</v>
      </c>
      <c r="X572" s="61">
        <f>W572/Table3.110[[#This Row],[DM Incubated, mg]]*100</f>
        <v>60.772063210651019</v>
      </c>
      <c r="Y572" s="37">
        <f>Table3.1[[#This Row],[DM Incubated, mg]]*'2.4 NDF'!R139/100</f>
        <v>207.89950850145127</v>
      </c>
      <c r="Z572" s="37">
        <f t="shared" si="46"/>
        <v>28.49950850145126</v>
      </c>
      <c r="AA572" s="37">
        <f t="shared" si="47"/>
        <v>13.70830970543267</v>
      </c>
      <c r="AB572" s="57"/>
    </row>
    <row r="573" spans="2:28" x14ac:dyDescent="0.35">
      <c r="B573" s="230">
        <f t="shared" si="40"/>
        <v>563</v>
      </c>
      <c r="C573" s="246" t="s">
        <v>693</v>
      </c>
      <c r="D573" s="248">
        <f>Table3.110[[#This Row],[Date]]</f>
        <v>46055</v>
      </c>
      <c r="E573" s="230" t="str">
        <f>Table3.110[[#This Row],[Requisitioner]]</f>
        <v>Genbank</v>
      </c>
      <c r="F573" s="230" t="str">
        <f>Table3.110[[#This Row],[Gene Bank ID]]</f>
        <v>CIAT416</v>
      </c>
      <c r="G573" s="230" t="str">
        <f>Table3.110[[#This Row],[Genus]]</f>
        <v>Vigna</v>
      </c>
      <c r="H573" s="230" t="str">
        <f>Table3.110[[#This Row],[Species]]</f>
        <v>radiata</v>
      </c>
      <c r="I573" s="230" t="str">
        <f>Table3.110[[#This Row],[Tax Name]]</f>
        <v>Vigna radiata</v>
      </c>
      <c r="J573" s="230" t="str">
        <f>Table3.110[[#This Row],[Family]]</f>
        <v>Fabaceae</v>
      </c>
      <c r="K573" s="230" t="str">
        <f>Table3.110[[#This Row],[Order]]</f>
        <v>Fabales</v>
      </c>
      <c r="L573" s="230" t="str">
        <f>Table3.110[[#This Row],[Functional Group]]</f>
        <v>Herbaceous</v>
      </c>
      <c r="M573" s="230" t="str">
        <f>Table3.110[[#This Row],[CIAT ID]]</f>
        <v>F252576</v>
      </c>
      <c r="N573" s="230">
        <f>Table3.110[[#This Row],[Set CIAT]]</f>
        <v>28</v>
      </c>
      <c r="O573" s="230">
        <f>Table3.110[[#This Row],[Batch]]</f>
        <v>62</v>
      </c>
      <c r="P573" s="230">
        <f>Table3.110[[#This Row],[Run]]</f>
        <v>2</v>
      </c>
      <c r="Q573" s="230">
        <f>Table3.110[[#This Row],[Replication]]</f>
        <v>3</v>
      </c>
      <c r="R573" s="230">
        <f>Table3.110[[#This Row],[Syrange No]]</f>
        <v>0</v>
      </c>
      <c r="S573" s="106">
        <v>0.59250000000000003</v>
      </c>
      <c r="T573" s="106">
        <v>0.7712</v>
      </c>
      <c r="U573" s="108"/>
      <c r="V573" s="122">
        <f t="shared" si="41"/>
        <v>0.17869999999999997</v>
      </c>
      <c r="W573" s="61">
        <f>Table3.110[[#This Row],[DM Incubated, mg]]-('3.2 Digest'!V573*1000)</f>
        <v>278.53570757603995</v>
      </c>
      <c r="X573" s="61">
        <f>W573/Table3.110[[#This Row],[DM Incubated, mg]]*100</f>
        <v>60.917313097144422</v>
      </c>
      <c r="Y573" s="37">
        <f>Table3.1[[#This Row],[DM Incubated, mg]]*'2.4 NDF'!R139/100</f>
        <v>207.85794522506151</v>
      </c>
      <c r="Z573" s="37">
        <f t="shared" si="46"/>
        <v>29.157945225061553</v>
      </c>
      <c r="AA573" s="37">
        <f t="shared" si="47"/>
        <v>14.027823277811354</v>
      </c>
      <c r="AB573" s="57"/>
    </row>
    <row r="574" spans="2:28" x14ac:dyDescent="0.35">
      <c r="B574" s="230">
        <f t="shared" si="40"/>
        <v>564</v>
      </c>
      <c r="C574" s="246" t="s">
        <v>693</v>
      </c>
      <c r="D574" s="248">
        <f>Table3.110[[#This Row],[Date]]</f>
        <v>46055</v>
      </c>
      <c r="E574" s="230" t="str">
        <f>Table3.110[[#This Row],[Requisitioner]]</f>
        <v>Genbank</v>
      </c>
      <c r="F574" s="230" t="str">
        <f>Table3.110[[#This Row],[Gene Bank ID]]</f>
        <v>CIAT517</v>
      </c>
      <c r="G574" s="230" t="str">
        <f>Table3.110[[#This Row],[Genus]]</f>
        <v>Macroptilium</v>
      </c>
      <c r="H574" s="230" t="str">
        <f>Table3.110[[#This Row],[Species]]</f>
        <v>atropurpureum</v>
      </c>
      <c r="I574" s="230" t="str">
        <f>Table3.110[[#This Row],[Tax Name]]</f>
        <v>Macroptilium atropurpureum</v>
      </c>
      <c r="J574" s="230" t="str">
        <f>Table3.110[[#This Row],[Family]]</f>
        <v>Fabaceae</v>
      </c>
      <c r="K574" s="230" t="str">
        <f>Table3.110[[#This Row],[Order]]</f>
        <v>Fabales</v>
      </c>
      <c r="L574" s="230" t="str">
        <f>Table3.110[[#This Row],[Functional Group]]</f>
        <v>Herbaceous</v>
      </c>
      <c r="M574" s="230" t="str">
        <f>Table3.110[[#This Row],[CIAT ID]]</f>
        <v>F252577</v>
      </c>
      <c r="N574" s="230">
        <f>Table3.110[[#This Row],[Set CIAT]]</f>
        <v>28</v>
      </c>
      <c r="O574" s="230">
        <f>Table3.110[[#This Row],[Batch]]</f>
        <v>62</v>
      </c>
      <c r="P574" s="230">
        <f>Table3.110[[#This Row],[Run]]</f>
        <v>2</v>
      </c>
      <c r="Q574" s="230">
        <f>Table3.110[[#This Row],[Replication]]</f>
        <v>1</v>
      </c>
      <c r="R574" s="230">
        <f>Table3.110[[#This Row],[Syrange No]]</f>
        <v>0</v>
      </c>
      <c r="S574" s="106">
        <v>0.58299999999999996</v>
      </c>
      <c r="T574" s="106">
        <v>0.86460000000000004</v>
      </c>
      <c r="U574" s="108"/>
      <c r="V574" s="122">
        <f t="shared" si="41"/>
        <v>0.28160000000000007</v>
      </c>
      <c r="W574" s="61">
        <f>Table3.110[[#This Row],[DM Incubated, mg]]-('3.2 Digest'!V574*1000)</f>
        <v>173.90672413793129</v>
      </c>
      <c r="X574" s="61">
        <f>W574/Table3.110[[#This Row],[DM Incubated, mg]]*100</f>
        <v>38.178739176037027</v>
      </c>
      <c r="Y574" s="37">
        <f>Table3.1[[#This Row],[DM Incubated, mg]]*'2.4 NDF'!R141/100</f>
        <v>207.74757212066615</v>
      </c>
      <c r="Z574" s="37">
        <f t="shared" si="46"/>
        <v>-73.852427879333931</v>
      </c>
      <c r="AA574" s="37">
        <f t="shared" si="47"/>
        <v>-35.54911719326288</v>
      </c>
      <c r="AB574" s="57"/>
    </row>
    <row r="575" spans="2:28" x14ac:dyDescent="0.35">
      <c r="B575" s="230">
        <f t="shared" si="40"/>
        <v>565</v>
      </c>
      <c r="C575" s="246" t="s">
        <v>693</v>
      </c>
      <c r="D575" s="248">
        <f>Table3.110[[#This Row],[Date]]</f>
        <v>46055</v>
      </c>
      <c r="E575" s="230" t="str">
        <f>Table3.110[[#This Row],[Requisitioner]]</f>
        <v>Genbank</v>
      </c>
      <c r="F575" s="230" t="str">
        <f>Table3.110[[#This Row],[Gene Bank ID]]</f>
        <v>CIAT517</v>
      </c>
      <c r="G575" s="230" t="str">
        <f>Table3.110[[#This Row],[Genus]]</f>
        <v>Macroptilium</v>
      </c>
      <c r="H575" s="230" t="str">
        <f>Table3.110[[#This Row],[Species]]</f>
        <v>atropurpureum</v>
      </c>
      <c r="I575" s="230" t="str">
        <f>Table3.110[[#This Row],[Tax Name]]</f>
        <v>Macroptilium atropurpureum</v>
      </c>
      <c r="J575" s="230" t="str">
        <f>Table3.110[[#This Row],[Family]]</f>
        <v>Fabaceae</v>
      </c>
      <c r="K575" s="230" t="str">
        <f>Table3.110[[#This Row],[Order]]</f>
        <v>Fabales</v>
      </c>
      <c r="L575" s="230" t="str">
        <f>Table3.110[[#This Row],[Functional Group]]</f>
        <v>Herbaceous</v>
      </c>
      <c r="M575" s="230" t="str">
        <f>Table3.110[[#This Row],[CIAT ID]]</f>
        <v>F252577</v>
      </c>
      <c r="N575" s="230">
        <f>Table3.110[[#This Row],[Set CIAT]]</f>
        <v>28</v>
      </c>
      <c r="O575" s="230">
        <f>Table3.110[[#This Row],[Batch]]</f>
        <v>62</v>
      </c>
      <c r="P575" s="230">
        <f>Table3.110[[#This Row],[Run]]</f>
        <v>2</v>
      </c>
      <c r="Q575" s="230">
        <f>Table3.110[[#This Row],[Replication]]</f>
        <v>2</v>
      </c>
      <c r="R575" s="230">
        <f>Table3.110[[#This Row],[Syrange No]]</f>
        <v>0</v>
      </c>
      <c r="S575" s="106">
        <v>0.56110000000000004</v>
      </c>
      <c r="T575" s="106">
        <v>0.83499999999999996</v>
      </c>
      <c r="U575" s="108"/>
      <c r="V575" s="122">
        <f t="shared" si="41"/>
        <v>0.27389999999999992</v>
      </c>
      <c r="W575" s="61">
        <f>Table3.110[[#This Row],[DM Incubated, mg]]-('3.2 Digest'!V575*1000)</f>
        <v>182.06213977894117</v>
      </c>
      <c r="X575" s="61">
        <f>W575/Table3.110[[#This Row],[DM Incubated, mg]]*100</f>
        <v>39.929223041897352</v>
      </c>
      <c r="Y575" s="37">
        <f>Table3.1[[#This Row],[DM Incubated, mg]]*'2.4 NDF'!R141/100</f>
        <v>207.95527815158064</v>
      </c>
      <c r="Z575" s="37">
        <f t="shared" si="46"/>
        <v>-65.944721848419277</v>
      </c>
      <c r="AA575" s="37">
        <f t="shared" si="47"/>
        <v>-31.711011345598799</v>
      </c>
      <c r="AB575" s="57"/>
    </row>
    <row r="576" spans="2:28" x14ac:dyDescent="0.35">
      <c r="B576" s="230">
        <f t="shared" si="40"/>
        <v>566</v>
      </c>
      <c r="C576" s="246" t="s">
        <v>693</v>
      </c>
      <c r="D576" s="248">
        <f>Table3.110[[#This Row],[Date]]</f>
        <v>46055</v>
      </c>
      <c r="E576" s="230" t="str">
        <f>Table3.110[[#This Row],[Requisitioner]]</f>
        <v>Genbank</v>
      </c>
      <c r="F576" s="230" t="str">
        <f>Table3.110[[#This Row],[Gene Bank ID]]</f>
        <v>CIAT517</v>
      </c>
      <c r="G576" s="230" t="str">
        <f>Table3.110[[#This Row],[Genus]]</f>
        <v>Macroptilium</v>
      </c>
      <c r="H576" s="230" t="str">
        <f>Table3.110[[#This Row],[Species]]</f>
        <v>atropurpureum</v>
      </c>
      <c r="I576" s="230" t="str">
        <f>Table3.110[[#This Row],[Tax Name]]</f>
        <v>Macroptilium atropurpureum</v>
      </c>
      <c r="J576" s="230" t="str">
        <f>Table3.110[[#This Row],[Family]]</f>
        <v>Fabaceae</v>
      </c>
      <c r="K576" s="230" t="str">
        <f>Table3.110[[#This Row],[Order]]</f>
        <v>Fabales</v>
      </c>
      <c r="L576" s="230" t="str">
        <f>Table3.110[[#This Row],[Functional Group]]</f>
        <v>Herbaceous</v>
      </c>
      <c r="M576" s="230" t="str">
        <f>Table3.110[[#This Row],[CIAT ID]]</f>
        <v>F252577</v>
      </c>
      <c r="N576" s="230">
        <f>Table3.110[[#This Row],[Set CIAT]]</f>
        <v>28</v>
      </c>
      <c r="O576" s="230">
        <f>Table3.110[[#This Row],[Batch]]</f>
        <v>62</v>
      </c>
      <c r="P576" s="230">
        <f>Table3.110[[#This Row],[Run]]</f>
        <v>2</v>
      </c>
      <c r="Q576" s="230">
        <f>Table3.110[[#This Row],[Replication]]</f>
        <v>3</v>
      </c>
      <c r="R576" s="230">
        <f>Table3.110[[#This Row],[Syrange No]]</f>
        <v>0</v>
      </c>
      <c r="S576" s="106">
        <v>0.56940000000000002</v>
      </c>
      <c r="T576" s="106">
        <v>0.84519999999999995</v>
      </c>
      <c r="U576" s="108"/>
      <c r="V576" s="122">
        <f t="shared" si="41"/>
        <v>0.27579999999999993</v>
      </c>
      <c r="W576" s="61">
        <f>Table3.110[[#This Row],[DM Incubated, mg]]-('3.2 Digest'!V576*1000)</f>
        <v>179.88889039433531</v>
      </c>
      <c r="X576" s="61">
        <f>W576/Table3.110[[#This Row],[DM Incubated, mg]]*100</f>
        <v>39.476251053359348</v>
      </c>
      <c r="Y576" s="37">
        <f>Table3.1[[#This Row],[DM Incubated, mg]]*'2.4 NDF'!R141/100</f>
        <v>207.83065453303195</v>
      </c>
      <c r="Z576" s="37">
        <f t="shared" si="46"/>
        <v>-67.969345466968008</v>
      </c>
      <c r="AA576" s="37">
        <f t="shared" si="47"/>
        <v>-32.704196413992037</v>
      </c>
      <c r="AB576" s="57"/>
    </row>
    <row r="577" spans="2:28" x14ac:dyDescent="0.35">
      <c r="B577" s="230">
        <f t="shared" si="40"/>
        <v>567</v>
      </c>
      <c r="C577" s="246" t="s">
        <v>693</v>
      </c>
      <c r="D577" s="248">
        <f>Table3.110[[#This Row],[Date]]</f>
        <v>46055</v>
      </c>
      <c r="E577" s="230" t="str">
        <f>Table3.110[[#This Row],[Requisitioner]]</f>
        <v>Genbank</v>
      </c>
      <c r="F577" s="230" t="str">
        <f>Table3.110[[#This Row],[Gene Bank ID]]</f>
        <v>CIAT563</v>
      </c>
      <c r="G577" s="230" t="str">
        <f>Table3.110[[#This Row],[Genus]]</f>
        <v>Macroptilium</v>
      </c>
      <c r="H577" s="230" t="str">
        <f>Table3.110[[#This Row],[Species]]</f>
        <v>bracteatum</v>
      </c>
      <c r="I577" s="230" t="str">
        <f>Table3.110[[#This Row],[Tax Name]]</f>
        <v>Macroptilium bracteatum</v>
      </c>
      <c r="J577" s="230" t="str">
        <f>Table3.110[[#This Row],[Family]]</f>
        <v>Fabaceae</v>
      </c>
      <c r="K577" s="230" t="str">
        <f>Table3.110[[#This Row],[Order]]</f>
        <v>Fabales</v>
      </c>
      <c r="L577" s="230" t="str">
        <f>Table3.110[[#This Row],[Functional Group]]</f>
        <v>Herbaceous</v>
      </c>
      <c r="M577" s="230" t="str">
        <f>Table3.110[[#This Row],[CIAT ID]]</f>
        <v>F252578</v>
      </c>
      <c r="N577" s="230">
        <f>Table3.110[[#This Row],[Set CIAT]]</f>
        <v>28</v>
      </c>
      <c r="O577" s="230">
        <f>Table3.110[[#This Row],[Batch]]</f>
        <v>62</v>
      </c>
      <c r="P577" s="230">
        <f>Table3.110[[#This Row],[Run]]</f>
        <v>2</v>
      </c>
      <c r="Q577" s="230">
        <f>Table3.110[[#This Row],[Replication]]</f>
        <v>1</v>
      </c>
      <c r="R577" s="230">
        <f>Table3.110[[#This Row],[Syrange No]]</f>
        <v>0</v>
      </c>
      <c r="S577" s="106">
        <v>0.5786</v>
      </c>
      <c r="T577" s="106">
        <v>0.83720000000000006</v>
      </c>
      <c r="U577" s="108"/>
      <c r="V577" s="122">
        <f t="shared" si="41"/>
        <v>0.25860000000000005</v>
      </c>
      <c r="W577" s="61">
        <f>Table3.110[[#This Row],[DM Incubated, mg]]-('3.2 Digest'!V577*1000)</f>
        <v>206.5750535781313</v>
      </c>
      <c r="X577" s="61">
        <f>W577/Table3.110[[#This Row],[DM Incubated, mg]]*100</f>
        <v>44.408024890662951</v>
      </c>
      <c r="Y577" s="37">
        <f>Table3.1[[#This Row],[DM Incubated, mg]]*'2.4 NDF'!R143/100</f>
        <v>239.27669523400985</v>
      </c>
      <c r="Z577" s="37">
        <f t="shared" si="46"/>
        <v>-19.32330476599023</v>
      </c>
      <c r="AA577" s="37">
        <f t="shared" si="47"/>
        <v>-8.0757153332848652</v>
      </c>
      <c r="AB577" s="57"/>
    </row>
    <row r="578" spans="2:28" x14ac:dyDescent="0.35">
      <c r="B578" s="230">
        <f t="shared" si="40"/>
        <v>568</v>
      </c>
      <c r="C578" s="246" t="s">
        <v>693</v>
      </c>
      <c r="D578" s="248">
        <f>Table3.110[[#This Row],[Date]]</f>
        <v>46055</v>
      </c>
      <c r="E578" s="230" t="str">
        <f>Table3.110[[#This Row],[Requisitioner]]</f>
        <v>Genbank</v>
      </c>
      <c r="F578" s="230" t="str">
        <f>Table3.110[[#This Row],[Gene Bank ID]]</f>
        <v>CIAT563</v>
      </c>
      <c r="G578" s="230" t="str">
        <f>Table3.110[[#This Row],[Genus]]</f>
        <v>Macroptilium</v>
      </c>
      <c r="H578" s="230" t="str">
        <f>Table3.110[[#This Row],[Species]]</f>
        <v>bracteatum</v>
      </c>
      <c r="I578" s="230" t="str">
        <f>Table3.110[[#This Row],[Tax Name]]</f>
        <v>Macroptilium bracteatum</v>
      </c>
      <c r="J578" s="230" t="str">
        <f>Table3.110[[#This Row],[Family]]</f>
        <v>Fabaceae</v>
      </c>
      <c r="K578" s="230" t="str">
        <f>Table3.110[[#This Row],[Order]]</f>
        <v>Fabales</v>
      </c>
      <c r="L578" s="230" t="str">
        <f>Table3.110[[#This Row],[Functional Group]]</f>
        <v>Herbaceous</v>
      </c>
      <c r="M578" s="230" t="str">
        <f>Table3.110[[#This Row],[CIAT ID]]</f>
        <v>F252578</v>
      </c>
      <c r="N578" s="230">
        <f>Table3.110[[#This Row],[Set CIAT]]</f>
        <v>28</v>
      </c>
      <c r="O578" s="230">
        <f>Table3.110[[#This Row],[Batch]]</f>
        <v>62</v>
      </c>
      <c r="P578" s="230">
        <f>Table3.110[[#This Row],[Run]]</f>
        <v>2</v>
      </c>
      <c r="Q578" s="230">
        <f>Table3.110[[#This Row],[Replication]]</f>
        <v>2</v>
      </c>
      <c r="R578" s="230">
        <f>Table3.110[[#This Row],[Syrange No]]</f>
        <v>0</v>
      </c>
      <c r="S578" s="106">
        <v>0.56530000000000002</v>
      </c>
      <c r="T578" s="106">
        <v>0.81950000000000001</v>
      </c>
      <c r="U578" s="108"/>
      <c r="V578" s="122">
        <f t="shared" si="41"/>
        <v>0.25419999999999998</v>
      </c>
      <c r="W578" s="61">
        <f>Table3.110[[#This Row],[DM Incubated, mg]]-('3.2 Digest'!V578*1000)</f>
        <v>210.78905795494944</v>
      </c>
      <c r="X578" s="61">
        <f>W578/Table3.110[[#This Row],[DM Incubated, mg]]*100</f>
        <v>45.3320469264401</v>
      </c>
      <c r="Y578" s="37">
        <f>Table3.1[[#This Row],[DM Incubated, mg]]*'2.4 NDF'!R143/100</f>
        <v>239.1810228248799</v>
      </c>
      <c r="Z578" s="37">
        <f t="shared" si="46"/>
        <v>-15.018977175120085</v>
      </c>
      <c r="AA578" s="37">
        <f t="shared" si="47"/>
        <v>-6.2793347890800115</v>
      </c>
      <c r="AB578" s="57"/>
    </row>
    <row r="579" spans="2:28" x14ac:dyDescent="0.35">
      <c r="B579" s="230">
        <f t="shared" si="40"/>
        <v>569</v>
      </c>
      <c r="C579" s="246" t="s">
        <v>693</v>
      </c>
      <c r="D579" s="248">
        <f>Table3.110[[#This Row],[Date]]</f>
        <v>46055</v>
      </c>
      <c r="E579" s="230" t="str">
        <f>Table3.110[[#This Row],[Requisitioner]]</f>
        <v>Genbank</v>
      </c>
      <c r="F579" s="230" t="str">
        <f>Table3.110[[#This Row],[Gene Bank ID]]</f>
        <v>CIAT563</v>
      </c>
      <c r="G579" s="230" t="str">
        <f>Table3.110[[#This Row],[Genus]]</f>
        <v>Macroptilium</v>
      </c>
      <c r="H579" s="230" t="str">
        <f>Table3.110[[#This Row],[Species]]</f>
        <v>bracteatum</v>
      </c>
      <c r="I579" s="230" t="str">
        <f>Table3.110[[#This Row],[Tax Name]]</f>
        <v>Macroptilium bracteatum</v>
      </c>
      <c r="J579" s="230" t="str">
        <f>Table3.110[[#This Row],[Family]]</f>
        <v>Fabaceae</v>
      </c>
      <c r="K579" s="230" t="str">
        <f>Table3.110[[#This Row],[Order]]</f>
        <v>Fabales</v>
      </c>
      <c r="L579" s="230" t="str">
        <f>Table3.110[[#This Row],[Functional Group]]</f>
        <v>Herbaceous</v>
      </c>
      <c r="M579" s="230" t="str">
        <f>Table3.110[[#This Row],[CIAT ID]]</f>
        <v>F252578</v>
      </c>
      <c r="N579" s="230">
        <f>Table3.110[[#This Row],[Set CIAT]]</f>
        <v>28</v>
      </c>
      <c r="O579" s="230">
        <f>Table3.110[[#This Row],[Batch]]</f>
        <v>62</v>
      </c>
      <c r="P579" s="230">
        <f>Table3.110[[#This Row],[Run]]</f>
        <v>2</v>
      </c>
      <c r="Q579" s="230">
        <f>Table3.110[[#This Row],[Replication]]</f>
        <v>3</v>
      </c>
      <c r="R579" s="230">
        <f>Table3.110[[#This Row],[Syrange No]]</f>
        <v>0</v>
      </c>
      <c r="S579" s="106">
        <v>0.56889999999999996</v>
      </c>
      <c r="T579" s="106">
        <v>0.82730000000000004</v>
      </c>
      <c r="U579" s="108"/>
      <c r="V579" s="122">
        <f t="shared" si="41"/>
        <v>0.25840000000000007</v>
      </c>
      <c r="W579" s="61">
        <f>Table3.110[[#This Row],[DM Incubated, mg]]-('3.2 Digest'!V579*1000)</f>
        <v>206.77505357813129</v>
      </c>
      <c r="X579" s="61">
        <f>W579/Table3.110[[#This Row],[DM Incubated, mg]]*100</f>
        <v>44.451019457646197</v>
      </c>
      <c r="Y579" s="58">
        <f>Table3.1[[#This Row],[DM Incubated, mg]]*'2.4 NDF'!R143/100</f>
        <v>239.27669523400985</v>
      </c>
      <c r="Z579" s="37">
        <f t="shared" si="46"/>
        <v>-19.123304765990241</v>
      </c>
      <c r="AA579" s="37">
        <f t="shared" si="47"/>
        <v>-7.9921300932745947</v>
      </c>
      <c r="AB579" s="57"/>
    </row>
    <row r="580" spans="2:28" x14ac:dyDescent="0.35">
      <c r="B580" s="230">
        <f t="shared" si="40"/>
        <v>570</v>
      </c>
      <c r="C580" s="246" t="s">
        <v>693</v>
      </c>
      <c r="D580" s="248">
        <f>Table3.110[[#This Row],[Date]]</f>
        <v>46055</v>
      </c>
      <c r="E580" s="230" t="str">
        <f>Table3.110[[#This Row],[Requisitioner]]</f>
        <v>Genbank</v>
      </c>
      <c r="F580" s="230" t="str">
        <f>Table3.110[[#This Row],[Gene Bank ID]]</f>
        <v>CIAT789</v>
      </c>
      <c r="G580" s="230" t="str">
        <f>Table3.110[[#This Row],[Genus]]</f>
        <v>Zornia</v>
      </c>
      <c r="H580" s="230" t="str">
        <f>Table3.110[[#This Row],[Species]]</f>
        <v>latifolia</v>
      </c>
      <c r="I580" s="230" t="str">
        <f>Table3.110[[#This Row],[Tax Name]]</f>
        <v>Zornia latifolia</v>
      </c>
      <c r="J580" s="230" t="str">
        <f>Table3.110[[#This Row],[Family]]</f>
        <v>Fabaceae</v>
      </c>
      <c r="K580" s="230" t="str">
        <f>Table3.110[[#This Row],[Order]]</f>
        <v>Fabales</v>
      </c>
      <c r="L580" s="230" t="str">
        <f>Table3.110[[#This Row],[Functional Group]]</f>
        <v>Herbaceous</v>
      </c>
      <c r="M580" s="230" t="str">
        <f>Table3.110[[#This Row],[CIAT ID]]</f>
        <v>F252579</v>
      </c>
      <c r="N580" s="230">
        <f>Table3.110[[#This Row],[Set CIAT]]</f>
        <v>28</v>
      </c>
      <c r="O580" s="230">
        <f>Table3.110[[#This Row],[Batch]]</f>
        <v>62</v>
      </c>
      <c r="P580" s="230">
        <f>Table3.110[[#This Row],[Run]]</f>
        <v>2</v>
      </c>
      <c r="Q580" s="230">
        <f>Table3.110[[#This Row],[Replication]]</f>
        <v>1</v>
      </c>
      <c r="R580" s="230">
        <f>Table3.110[[#This Row],[Syrange No]]</f>
        <v>0</v>
      </c>
      <c r="S580" s="106">
        <v>0.58209999999999995</v>
      </c>
      <c r="T580" s="106">
        <v>0.85209999999999997</v>
      </c>
      <c r="U580" s="108"/>
      <c r="V580" s="122">
        <f t="shared" si="41"/>
        <v>0.27</v>
      </c>
      <c r="W580" s="61">
        <f>Table3.110[[#This Row],[DM Incubated, mg]]-('3.2 Digest'!V580*1000)</f>
        <v>174.32786552512283</v>
      </c>
      <c r="X580" s="61">
        <f>W580/Table3.110[[#This Row],[DM Incubated, mg]]*100</f>
        <v>39.234060938108357</v>
      </c>
      <c r="Y580" s="58">
        <f>Table3.1[[#This Row],[DM Incubated, mg]]*'2.4 NDF'!R145/100</f>
        <v>226.97088933651571</v>
      </c>
      <c r="Z580" s="37">
        <f t="shared" si="46"/>
        <v>-43.029110663484289</v>
      </c>
      <c r="AA580" s="37">
        <f t="shared" si="47"/>
        <v>-18.957986545881521</v>
      </c>
      <c r="AB580" s="57"/>
    </row>
    <row r="581" spans="2:28" x14ac:dyDescent="0.35">
      <c r="B581" s="230">
        <f t="shared" si="40"/>
        <v>571</v>
      </c>
      <c r="C581" s="246" t="s">
        <v>693</v>
      </c>
      <c r="D581" s="248">
        <f>Table3.110[[#This Row],[Date]]</f>
        <v>46055</v>
      </c>
      <c r="E581" s="230" t="str">
        <f>Table3.110[[#This Row],[Requisitioner]]</f>
        <v>Genbank</v>
      </c>
      <c r="F581" s="230" t="str">
        <f>Table3.110[[#This Row],[Gene Bank ID]]</f>
        <v>CIAT789</v>
      </c>
      <c r="G581" s="230" t="str">
        <f>Table3.110[[#This Row],[Genus]]</f>
        <v>Zornia</v>
      </c>
      <c r="H581" s="230" t="str">
        <f>Table3.110[[#This Row],[Species]]</f>
        <v>latifolia</v>
      </c>
      <c r="I581" s="230" t="str">
        <f>Table3.110[[#This Row],[Tax Name]]</f>
        <v>Zornia latifolia</v>
      </c>
      <c r="J581" s="230" t="str">
        <f>Table3.110[[#This Row],[Family]]</f>
        <v>Fabaceae</v>
      </c>
      <c r="K581" s="230" t="str">
        <f>Table3.110[[#This Row],[Order]]</f>
        <v>Fabales</v>
      </c>
      <c r="L581" s="230" t="str">
        <f>Table3.110[[#This Row],[Functional Group]]</f>
        <v>Herbaceous</v>
      </c>
      <c r="M581" s="230" t="str">
        <f>Table3.110[[#This Row],[CIAT ID]]</f>
        <v>F252579</v>
      </c>
      <c r="N581" s="230">
        <f>Table3.110[[#This Row],[Set CIAT]]</f>
        <v>28</v>
      </c>
      <c r="O581" s="230">
        <f>Table3.110[[#This Row],[Batch]]</f>
        <v>62</v>
      </c>
      <c r="P581" s="230">
        <f>Table3.110[[#This Row],[Run]]</f>
        <v>2</v>
      </c>
      <c r="Q581" s="230">
        <f>Table3.110[[#This Row],[Replication]]</f>
        <v>2</v>
      </c>
      <c r="R581" s="230">
        <f>Table3.110[[#This Row],[Syrange No]]</f>
        <v>0</v>
      </c>
      <c r="S581" s="106">
        <v>0.53939999999999999</v>
      </c>
      <c r="T581" s="106">
        <v>0.78979999999999995</v>
      </c>
      <c r="U581" s="108"/>
      <c r="V581" s="122">
        <f t="shared" si="41"/>
        <v>0.25039999999999996</v>
      </c>
      <c r="W581" s="61">
        <f>Table3.110[[#This Row],[DM Incubated, mg]]-('3.2 Digest'!V581*1000)</f>
        <v>194.19440893575577</v>
      </c>
      <c r="X581" s="61">
        <f>W581/Table3.110[[#This Row],[DM Incubated, mg]]*100</f>
        <v>43.679003836464581</v>
      </c>
      <c r="Y581" s="58">
        <f>Table3.1[[#This Row],[DM Incubated, mg]]*'2.4 NDF'!R145/100</f>
        <v>227.10704463905711</v>
      </c>
      <c r="Z581" s="37">
        <f t="shared" ref="Z581:Z594" si="48">Y581-(V581*1000)</f>
        <v>-23.292955360942841</v>
      </c>
      <c r="AA581" s="37">
        <f t="shared" ref="AA581:AA594" si="49">Z581/Y581*100</f>
        <v>-10.256377294664066</v>
      </c>
      <c r="AB581" s="57"/>
    </row>
    <row r="582" spans="2:28" x14ac:dyDescent="0.35">
      <c r="B582" s="230">
        <f t="shared" si="40"/>
        <v>572</v>
      </c>
      <c r="C582" s="246" t="s">
        <v>693</v>
      </c>
      <c r="D582" s="248">
        <f>Table3.110[[#This Row],[Date]]</f>
        <v>46055</v>
      </c>
      <c r="E582" s="230" t="str">
        <f>Table3.110[[#This Row],[Requisitioner]]</f>
        <v>Genbank</v>
      </c>
      <c r="F582" s="230" t="str">
        <f>Table3.110[[#This Row],[Gene Bank ID]]</f>
        <v>CIAT789</v>
      </c>
      <c r="G582" s="230" t="str">
        <f>Table3.110[[#This Row],[Genus]]</f>
        <v>Zornia</v>
      </c>
      <c r="H582" s="230" t="str">
        <f>Table3.110[[#This Row],[Species]]</f>
        <v>latifolia</v>
      </c>
      <c r="I582" s="230" t="str">
        <f>Table3.110[[#This Row],[Tax Name]]</f>
        <v>Zornia latifolia</v>
      </c>
      <c r="J582" s="230" t="str">
        <f>Table3.110[[#This Row],[Family]]</f>
        <v>Fabaceae</v>
      </c>
      <c r="K582" s="230" t="str">
        <f>Table3.110[[#This Row],[Order]]</f>
        <v>Fabales</v>
      </c>
      <c r="L582" s="230" t="str">
        <f>Table3.110[[#This Row],[Functional Group]]</f>
        <v>Herbaceous</v>
      </c>
      <c r="M582" s="230" t="str">
        <f>Table3.110[[#This Row],[CIAT ID]]</f>
        <v>F252579</v>
      </c>
      <c r="N582" s="230">
        <f>Table3.110[[#This Row],[Set CIAT]]</f>
        <v>28</v>
      </c>
      <c r="O582" s="230">
        <f>Table3.110[[#This Row],[Batch]]</f>
        <v>62</v>
      </c>
      <c r="P582" s="230">
        <f>Table3.110[[#This Row],[Run]]</f>
        <v>2</v>
      </c>
      <c r="Q582" s="230">
        <f>Table3.110[[#This Row],[Replication]]</f>
        <v>3</v>
      </c>
      <c r="R582" s="230">
        <f>Table3.110[[#This Row],[Syrange No]]</f>
        <v>0</v>
      </c>
      <c r="S582" s="106">
        <v>0.55579999999999996</v>
      </c>
      <c r="T582" s="106">
        <v>0.86219999999999997</v>
      </c>
      <c r="U582" s="108"/>
      <c r="V582" s="122">
        <f t="shared" si="41"/>
        <v>0.30640000000000001</v>
      </c>
      <c r="W582" s="61">
        <f>Table3.110[[#This Row],[DM Incubated, mg]]-('3.2 Digest'!V582*1000)</f>
        <v>138.10556113221151</v>
      </c>
      <c r="X582" s="61">
        <f>W582/Table3.110[[#This Row],[DM Incubated, mg]]*100</f>
        <v>31.069478811567464</v>
      </c>
      <c r="Y582" s="58">
        <f>Table3.1[[#This Row],[DM Incubated, mg]]*'2.4 NDF'!R145/100</f>
        <v>227.06165953820999</v>
      </c>
      <c r="Z582" s="37">
        <f t="shared" si="48"/>
        <v>-79.338340461789983</v>
      </c>
      <c r="AA582" s="37">
        <f t="shared" si="49"/>
        <v>-34.941319738059477</v>
      </c>
      <c r="AB582" s="57"/>
    </row>
    <row r="583" spans="2:28" x14ac:dyDescent="0.35">
      <c r="B583" s="230">
        <f t="shared" si="40"/>
        <v>573</v>
      </c>
      <c r="C583" s="246" t="s">
        <v>693</v>
      </c>
      <c r="D583" s="248">
        <f>Table3.110[[#This Row],[Date]]</f>
        <v>46055</v>
      </c>
      <c r="E583" s="230" t="str">
        <f>Table3.110[[#This Row],[Requisitioner]]</f>
        <v>Genbank</v>
      </c>
      <c r="F583" s="230" t="str">
        <f>Table3.110[[#This Row],[Gene Bank ID]]</f>
        <v>CIAT2085</v>
      </c>
      <c r="G583" s="230" t="str">
        <f>Table3.110[[#This Row],[Genus]]</f>
        <v>Stylosanthes</v>
      </c>
      <c r="H583" s="230" t="str">
        <f>Table3.110[[#This Row],[Species]]</f>
        <v>seabrana</v>
      </c>
      <c r="I583" s="230" t="str">
        <f>Table3.110[[#This Row],[Tax Name]]</f>
        <v>Stylosanthes seabrana</v>
      </c>
      <c r="J583" s="230" t="str">
        <f>Table3.110[[#This Row],[Family]]</f>
        <v>Fabaceae</v>
      </c>
      <c r="K583" s="230" t="str">
        <f>Table3.110[[#This Row],[Order]]</f>
        <v>Fabales</v>
      </c>
      <c r="L583" s="230" t="str">
        <f>Table3.110[[#This Row],[Functional Group]]</f>
        <v>Herbaceous</v>
      </c>
      <c r="M583" s="230" t="str">
        <f>Table3.110[[#This Row],[CIAT ID]]</f>
        <v>F252580</v>
      </c>
      <c r="N583" s="230">
        <f>Table3.110[[#This Row],[Set CIAT]]</f>
        <v>28</v>
      </c>
      <c r="O583" s="230">
        <f>Table3.110[[#This Row],[Batch]]</f>
        <v>62</v>
      </c>
      <c r="P583" s="230">
        <f>Table3.110[[#This Row],[Run]]</f>
        <v>2</v>
      </c>
      <c r="Q583" s="230">
        <f>Table3.110[[#This Row],[Replication]]</f>
        <v>1</v>
      </c>
      <c r="R583" s="230">
        <f>Table3.110[[#This Row],[Syrange No]]</f>
        <v>0</v>
      </c>
      <c r="S583" s="106">
        <v>0.59930000000000005</v>
      </c>
      <c r="T583" s="106">
        <v>0.88439999999999996</v>
      </c>
      <c r="U583" s="108"/>
      <c r="V583" s="122">
        <f t="shared" si="41"/>
        <v>0.28509999999999991</v>
      </c>
      <c r="W583" s="61">
        <f>Table3.110[[#This Row],[DM Incubated, mg]]-('3.2 Digest'!V583*1000)</f>
        <v>174.94800729509291</v>
      </c>
      <c r="X583" s="61">
        <f>W583/Table3.110[[#This Row],[DM Incubated, mg]]*100</f>
        <v>38.028206735145012</v>
      </c>
      <c r="Y583" s="58">
        <f>Table3.1[[#This Row],[DM Incubated, mg]]*'2.4 NDF'!R147/100</f>
        <v>263.06180589189501</v>
      </c>
      <c r="Z583" s="37">
        <f t="shared" si="48"/>
        <v>-22.038194108104904</v>
      </c>
      <c r="AA583" s="37">
        <f t="shared" si="49"/>
        <v>-8.3775727279700494</v>
      </c>
      <c r="AB583" s="57"/>
    </row>
    <row r="584" spans="2:28" x14ac:dyDescent="0.35">
      <c r="B584" s="230">
        <f t="shared" si="40"/>
        <v>574</v>
      </c>
      <c r="C584" s="246" t="s">
        <v>693</v>
      </c>
      <c r="D584" s="248">
        <f>Table3.110[[#This Row],[Date]]</f>
        <v>46055</v>
      </c>
      <c r="E584" s="230" t="str">
        <f>Table3.110[[#This Row],[Requisitioner]]</f>
        <v>Genbank</v>
      </c>
      <c r="F584" s="230" t="str">
        <f>Table3.110[[#This Row],[Gene Bank ID]]</f>
        <v>CIAT2085</v>
      </c>
      <c r="G584" s="230" t="str">
        <f>Table3.110[[#This Row],[Genus]]</f>
        <v>Stylosanthes</v>
      </c>
      <c r="H584" s="230" t="str">
        <f>Table3.110[[#This Row],[Species]]</f>
        <v>seabrana</v>
      </c>
      <c r="I584" s="230" t="str">
        <f>Table3.110[[#This Row],[Tax Name]]</f>
        <v>Stylosanthes seabrana</v>
      </c>
      <c r="J584" s="230" t="str">
        <f>Table3.110[[#This Row],[Family]]</f>
        <v>Fabaceae</v>
      </c>
      <c r="K584" s="230" t="str">
        <f>Table3.110[[#This Row],[Order]]</f>
        <v>Fabales</v>
      </c>
      <c r="L584" s="230" t="str">
        <f>Table3.110[[#This Row],[Functional Group]]</f>
        <v>Herbaceous</v>
      </c>
      <c r="M584" s="230" t="str">
        <f>Table3.110[[#This Row],[CIAT ID]]</f>
        <v>F252580</v>
      </c>
      <c r="N584" s="230">
        <f>Table3.110[[#This Row],[Set CIAT]]</f>
        <v>28</v>
      </c>
      <c r="O584" s="230">
        <f>Table3.110[[#This Row],[Batch]]</f>
        <v>62</v>
      </c>
      <c r="P584" s="230">
        <f>Table3.110[[#This Row],[Run]]</f>
        <v>2</v>
      </c>
      <c r="Q584" s="230">
        <f>Table3.110[[#This Row],[Replication]]</f>
        <v>2</v>
      </c>
      <c r="R584" s="230">
        <f>Table3.110[[#This Row],[Syrange No]]</f>
        <v>0</v>
      </c>
      <c r="S584" s="106">
        <v>0.56040000000000001</v>
      </c>
      <c r="T584" s="106">
        <v>0.97130000000000005</v>
      </c>
      <c r="U584" s="108"/>
      <c r="V584" s="122">
        <f t="shared" si="41"/>
        <v>0.41090000000000004</v>
      </c>
      <c r="W584" s="61">
        <f>Table3.110[[#This Row],[DM Incubated, mg]]-('3.2 Digest'!V584*1000)</f>
        <v>49.056034482758719</v>
      </c>
      <c r="X584" s="61">
        <f>W584/Table3.110[[#This Row],[DM Incubated, mg]]*100</f>
        <v>10.665374689110109</v>
      </c>
      <c r="Y584" s="58">
        <f>Table3.1[[#This Row],[DM Incubated, mg]]*'2.4 NDF'!R147/100</f>
        <v>263.00921456724643</v>
      </c>
      <c r="Z584" s="37">
        <f t="shared" si="48"/>
        <v>-147.8907854327536</v>
      </c>
      <c r="AA584" s="37">
        <f t="shared" si="49"/>
        <v>-56.230267702252213</v>
      </c>
      <c r="AB584" s="57"/>
    </row>
    <row r="585" spans="2:28" x14ac:dyDescent="0.35">
      <c r="B585" s="230">
        <f t="shared" si="40"/>
        <v>575</v>
      </c>
      <c r="C585" s="246" t="s">
        <v>693</v>
      </c>
      <c r="D585" s="248">
        <f>Table3.110[[#This Row],[Date]]</f>
        <v>46055</v>
      </c>
      <c r="E585" s="230" t="str">
        <f>Table3.110[[#This Row],[Requisitioner]]</f>
        <v>Genbank</v>
      </c>
      <c r="F585" s="230" t="str">
        <f>Table3.110[[#This Row],[Gene Bank ID]]</f>
        <v>CIAT2085</v>
      </c>
      <c r="G585" s="230" t="str">
        <f>Table3.110[[#This Row],[Genus]]</f>
        <v>Stylosanthes</v>
      </c>
      <c r="H585" s="230" t="str">
        <f>Table3.110[[#This Row],[Species]]</f>
        <v>seabrana</v>
      </c>
      <c r="I585" s="230" t="str">
        <f>Table3.110[[#This Row],[Tax Name]]</f>
        <v>Stylosanthes seabrana</v>
      </c>
      <c r="J585" s="230" t="str">
        <f>Table3.110[[#This Row],[Family]]</f>
        <v>Fabaceae</v>
      </c>
      <c r="K585" s="230" t="str">
        <f>Table3.110[[#This Row],[Order]]</f>
        <v>Fabales</v>
      </c>
      <c r="L585" s="230" t="str">
        <f>Table3.110[[#This Row],[Functional Group]]</f>
        <v>Herbaceous</v>
      </c>
      <c r="M585" s="230" t="str">
        <f>Table3.110[[#This Row],[CIAT ID]]</f>
        <v>F252580</v>
      </c>
      <c r="N585" s="230">
        <f>Table3.110[[#This Row],[Set CIAT]]</f>
        <v>28</v>
      </c>
      <c r="O585" s="230">
        <f>Table3.110[[#This Row],[Batch]]</f>
        <v>62</v>
      </c>
      <c r="P585" s="230">
        <f>Table3.110[[#This Row],[Run]]</f>
        <v>2</v>
      </c>
      <c r="Q585" s="230">
        <f>Table3.110[[#This Row],[Replication]]</f>
        <v>3</v>
      </c>
      <c r="R585" s="230">
        <f>Table3.110[[#This Row],[Syrange No]]</f>
        <v>0</v>
      </c>
      <c r="S585" s="106">
        <v>0.58189999999999997</v>
      </c>
      <c r="T585" s="106">
        <v>0.8619</v>
      </c>
      <c r="U585" s="108"/>
      <c r="V585" s="122">
        <f t="shared" si="41"/>
        <v>0.28000000000000003</v>
      </c>
      <c r="W585" s="61">
        <f>Table3.110[[#This Row],[DM Incubated, mg]]-('3.2 Digest'!V585*1000)</f>
        <v>179.95603448275875</v>
      </c>
      <c r="X585" s="61">
        <f>W585/Table3.110[[#This Row],[DM Incubated, mg]]*100</f>
        <v>39.124616483209621</v>
      </c>
      <c r="Y585" s="58">
        <f>Table3.1[[#This Row],[DM Incubated, mg]]*'2.4 NDF'!R147/100</f>
        <v>263.00921456724643</v>
      </c>
      <c r="Z585" s="37">
        <f t="shared" si="48"/>
        <v>-16.990785432753569</v>
      </c>
      <c r="AA585" s="37">
        <f t="shared" si="49"/>
        <v>-6.4601483490645348</v>
      </c>
      <c r="AB585" s="57"/>
    </row>
    <row r="586" spans="2:28" x14ac:dyDescent="0.35">
      <c r="B586" s="230">
        <f t="shared" si="40"/>
        <v>576</v>
      </c>
      <c r="C586" s="246" t="s">
        <v>693</v>
      </c>
      <c r="D586" s="248">
        <f>Table3.110[[#This Row],[Date]]</f>
        <v>46055</v>
      </c>
      <c r="E586" s="230" t="str">
        <f>Table3.110[[#This Row],[Requisitioner]]</f>
        <v>Genbank</v>
      </c>
      <c r="F586" s="230" t="str">
        <f>Table3.110[[#This Row],[Gene Bank ID]]</f>
        <v>CIAT2690</v>
      </c>
      <c r="G586" s="230" t="str">
        <f>Table3.110[[#This Row],[Genus]]</f>
        <v>Stylosanthes</v>
      </c>
      <c r="H586" s="230" t="str">
        <f>Table3.110[[#This Row],[Species]]</f>
        <v>angustifolia</v>
      </c>
      <c r="I586" s="230" t="str">
        <f>Table3.110[[#This Row],[Tax Name]]</f>
        <v>Stylosanthes angustifolia</v>
      </c>
      <c r="J586" s="230" t="str">
        <f>Table3.110[[#This Row],[Family]]</f>
        <v>Fabaceae</v>
      </c>
      <c r="K586" s="230" t="str">
        <f>Table3.110[[#This Row],[Order]]</f>
        <v>Fabales</v>
      </c>
      <c r="L586" s="230" t="str">
        <f>Table3.110[[#This Row],[Functional Group]]</f>
        <v>Herbaceous</v>
      </c>
      <c r="M586" s="230" t="str">
        <f>Table3.110[[#This Row],[CIAT ID]]</f>
        <v>F252581</v>
      </c>
      <c r="N586" s="230">
        <f>Table3.110[[#This Row],[Set CIAT]]</f>
        <v>28</v>
      </c>
      <c r="O586" s="230">
        <f>Table3.110[[#This Row],[Batch]]</f>
        <v>62</v>
      </c>
      <c r="P586" s="230">
        <f>Table3.110[[#This Row],[Run]]</f>
        <v>2</v>
      </c>
      <c r="Q586" s="230">
        <f>Table3.110[[#This Row],[Replication]]</f>
        <v>1</v>
      </c>
      <c r="R586" s="230">
        <f>Table3.110[[#This Row],[Syrange No]]</f>
        <v>0</v>
      </c>
      <c r="S586" s="106">
        <v>0.57210000000000005</v>
      </c>
      <c r="T586" s="106">
        <v>0.86329999999999996</v>
      </c>
      <c r="U586" s="108"/>
      <c r="V586" s="122">
        <v>0.2911999999999999</v>
      </c>
      <c r="W586" s="61">
        <f>Table3.110[[#This Row],[DM Incubated, mg]]-('3.2 Digest'!V586*1000)</f>
        <v>164.04781975538924</v>
      </c>
      <c r="X586" s="61">
        <f>W586/Table3.110[[#This Row],[DM Incubated, mg]]*100</f>
        <v>36.034839187925023</v>
      </c>
      <c r="Y586" s="58">
        <f>Table3.1[[#This Row],[DM Incubated, mg]]*'2.4 NDF'!R149/100</f>
        <v>273.55966161864961</v>
      </c>
      <c r="Z586" s="37">
        <f t="shared" ref="Z586:Z593" si="50">Y586-(V586*1000)</f>
        <v>-17.640338381350318</v>
      </c>
      <c r="AA586" s="37">
        <f t="shared" ref="AA586:AA593" si="51">Z586/Y586*100</f>
        <v>-6.4484428285122979</v>
      </c>
      <c r="AB586" s="57"/>
    </row>
    <row r="587" spans="2:28" x14ac:dyDescent="0.35">
      <c r="B587" s="230">
        <f t="shared" si="40"/>
        <v>577</v>
      </c>
      <c r="C587" s="246" t="s">
        <v>693</v>
      </c>
      <c r="D587" s="248">
        <f>Table3.110[[#This Row],[Date]]</f>
        <v>46055</v>
      </c>
      <c r="E587" s="230" t="str">
        <f>Table3.110[[#This Row],[Requisitioner]]</f>
        <v>Genbank</v>
      </c>
      <c r="F587" s="230" t="str">
        <f>Table3.110[[#This Row],[Gene Bank ID]]</f>
        <v>CIAT2690</v>
      </c>
      <c r="G587" s="230" t="str">
        <f>Table3.110[[#This Row],[Genus]]</f>
        <v>Stylosanthes</v>
      </c>
      <c r="H587" s="230" t="str">
        <f>Table3.110[[#This Row],[Species]]</f>
        <v>angustifolia</v>
      </c>
      <c r="I587" s="230" t="str">
        <f>Table3.110[[#This Row],[Tax Name]]</f>
        <v>Stylosanthes angustifolia</v>
      </c>
      <c r="J587" s="230" t="str">
        <f>Table3.110[[#This Row],[Family]]</f>
        <v>Fabaceae</v>
      </c>
      <c r="K587" s="230" t="str">
        <f>Table3.110[[#This Row],[Order]]</f>
        <v>Fabales</v>
      </c>
      <c r="L587" s="230" t="str">
        <f>Table3.110[[#This Row],[Functional Group]]</f>
        <v>Herbaceous</v>
      </c>
      <c r="M587" s="230" t="str">
        <f>Table3.110[[#This Row],[CIAT ID]]</f>
        <v>F252581</v>
      </c>
      <c r="N587" s="230">
        <f>Table3.110[[#This Row],[Set CIAT]]</f>
        <v>28</v>
      </c>
      <c r="O587" s="230">
        <f>Table3.110[[#This Row],[Batch]]</f>
        <v>62</v>
      </c>
      <c r="P587" s="230">
        <f>Table3.110[[#This Row],[Run]]</f>
        <v>2</v>
      </c>
      <c r="Q587" s="230">
        <f>Table3.110[[#This Row],[Replication]]</f>
        <v>2</v>
      </c>
      <c r="R587" s="230">
        <f>Table3.110[[#This Row],[Syrange No]]</f>
        <v>0</v>
      </c>
      <c r="S587" s="106">
        <v>0.59489999999999998</v>
      </c>
      <c r="T587" s="106">
        <v>0.98580000000000001</v>
      </c>
      <c r="U587" s="108"/>
      <c r="V587" s="122">
        <v>0.39090000000000003</v>
      </c>
      <c r="W587" s="61">
        <f>Table3.110[[#This Row],[DM Incubated, mg]]-('3.2 Digest'!V587*1000)</f>
        <v>64.16579343801402</v>
      </c>
      <c r="X587" s="61">
        <f>W587/Table3.110[[#This Row],[DM Incubated, mg]]*100</f>
        <v>14.100333262415218</v>
      </c>
      <c r="Y587" s="58">
        <f>Table3.1[[#This Row],[DM Incubated, mg]]*'2.4 NDF'!R149/100</f>
        <v>273.45028150604719</v>
      </c>
      <c r="Z587" s="37">
        <f t="shared" si="50"/>
        <v>-117.44971849395284</v>
      </c>
      <c r="AA587" s="37">
        <f t="shared" si="51"/>
        <v>-42.951032212177672</v>
      </c>
      <c r="AB587" s="57"/>
    </row>
    <row r="588" spans="2:28" x14ac:dyDescent="0.35">
      <c r="B588" s="230">
        <f t="shared" si="40"/>
        <v>578</v>
      </c>
      <c r="C588" s="246" t="s">
        <v>693</v>
      </c>
      <c r="D588" s="248">
        <f>Table3.110[[#This Row],[Date]]</f>
        <v>46055</v>
      </c>
      <c r="E588" s="230" t="str">
        <f>Table3.110[[#This Row],[Requisitioner]]</f>
        <v>Genbank</v>
      </c>
      <c r="F588" s="230" t="str">
        <f>Table3.110[[#This Row],[Gene Bank ID]]</f>
        <v>CIAT2690</v>
      </c>
      <c r="G588" s="230" t="str">
        <f>Table3.110[[#This Row],[Genus]]</f>
        <v>Stylosanthes</v>
      </c>
      <c r="H588" s="230" t="str">
        <f>Table3.110[[#This Row],[Species]]</f>
        <v>angustifolia</v>
      </c>
      <c r="I588" s="230" t="str">
        <f>Table3.110[[#This Row],[Tax Name]]</f>
        <v>Stylosanthes angustifolia</v>
      </c>
      <c r="J588" s="230" t="str">
        <f>Table3.110[[#This Row],[Family]]</f>
        <v>Fabaceae</v>
      </c>
      <c r="K588" s="230" t="str">
        <f>Table3.110[[#This Row],[Order]]</f>
        <v>Fabales</v>
      </c>
      <c r="L588" s="230" t="str">
        <f>Table3.110[[#This Row],[Functional Group]]</f>
        <v>Herbaceous</v>
      </c>
      <c r="M588" s="230" t="str">
        <f>Table3.110[[#This Row],[CIAT ID]]</f>
        <v>F252581</v>
      </c>
      <c r="N588" s="230">
        <f>Table3.110[[#This Row],[Set CIAT]]</f>
        <v>28</v>
      </c>
      <c r="O588" s="230">
        <f>Table3.110[[#This Row],[Batch]]</f>
        <v>62</v>
      </c>
      <c r="P588" s="230">
        <f>Table3.110[[#This Row],[Run]]</f>
        <v>2</v>
      </c>
      <c r="Q588" s="230">
        <f>Table3.110[[#This Row],[Replication]]</f>
        <v>3</v>
      </c>
      <c r="R588" s="230">
        <f>Table3.110[[#This Row],[Syrange No]]</f>
        <v>0</v>
      </c>
      <c r="S588" s="270">
        <v>0.58989999999999998</v>
      </c>
      <c r="T588" s="270">
        <v>0.91039999999999999</v>
      </c>
      <c r="U588" s="108"/>
      <c r="V588" s="122">
        <v>0.32050000000000001</v>
      </c>
      <c r="W588" s="61">
        <f>Table3.110[[#This Row],[DM Incubated, mg]]-('3.2 Digest'!V588*1000)</f>
        <v>134.56579343801405</v>
      </c>
      <c r="X588" s="61">
        <f>W588/Table3.110[[#This Row],[DM Incubated, mg]]*100</f>
        <v>29.570623716050342</v>
      </c>
      <c r="Y588" s="58">
        <f>Table3.1[[#This Row],[DM Incubated, mg]]*'2.4 NDF'!R149/100</f>
        <v>273.45028150604719</v>
      </c>
      <c r="Z588" s="37">
        <f t="shared" si="50"/>
        <v>-47.04971849395281</v>
      </c>
      <c r="AA588" s="37">
        <f t="shared" si="51"/>
        <v>-17.205949920703347</v>
      </c>
      <c r="AB588" s="57"/>
    </row>
    <row r="589" spans="2:28" x14ac:dyDescent="0.35">
      <c r="B589" s="230">
        <f t="shared" si="40"/>
        <v>579</v>
      </c>
      <c r="C589" s="246" t="s">
        <v>693</v>
      </c>
      <c r="D589" s="248">
        <f>Table3.110[[#This Row],[Date]]</f>
        <v>46055</v>
      </c>
      <c r="E589" s="230" t="str">
        <f>Table3.110[[#This Row],[Requisitioner]]</f>
        <v>Genbank</v>
      </c>
      <c r="F589" s="230" t="str">
        <f>Table3.110[[#This Row],[Gene Bank ID]]</f>
        <v>CIAT4069</v>
      </c>
      <c r="G589" s="230" t="str">
        <f>Table3.110[[#This Row],[Genus]]</f>
        <v>Macroptilium</v>
      </c>
      <c r="H589" s="230" t="str">
        <f>Table3.110[[#This Row],[Species]]</f>
        <v>atropurpureum</v>
      </c>
      <c r="I589" s="230" t="str">
        <f>Table3.110[[#This Row],[Tax Name]]</f>
        <v>Macroptilium atropurpureum</v>
      </c>
      <c r="J589" s="230" t="str">
        <f>Table3.110[[#This Row],[Family]]</f>
        <v>Fabaceae</v>
      </c>
      <c r="K589" s="230" t="str">
        <f>Table3.110[[#This Row],[Order]]</f>
        <v>Fabales</v>
      </c>
      <c r="L589" s="230" t="str">
        <f>Table3.110[[#This Row],[Functional Group]]</f>
        <v>Herbaceous</v>
      </c>
      <c r="M589" s="230" t="str">
        <f>Table3.110[[#This Row],[CIAT ID]]</f>
        <v>F252582</v>
      </c>
      <c r="N589" s="230">
        <f>Table3.110[[#This Row],[Set CIAT]]</f>
        <v>28</v>
      </c>
      <c r="O589" s="230">
        <f>Table3.110[[#This Row],[Batch]]</f>
        <v>62</v>
      </c>
      <c r="P589" s="230">
        <f>Table3.110[[#This Row],[Run]]</f>
        <v>2</v>
      </c>
      <c r="Q589" s="230">
        <f>Table3.110[[#This Row],[Replication]]</f>
        <v>1</v>
      </c>
      <c r="R589" s="230">
        <f>Table3.110[[#This Row],[Syrange No]]</f>
        <v>0</v>
      </c>
      <c r="S589" s="270">
        <v>0.59119999999999995</v>
      </c>
      <c r="T589" s="270">
        <v>0.97119999999999995</v>
      </c>
      <c r="U589" s="108"/>
      <c r="V589" s="122">
        <v>0.38</v>
      </c>
      <c r="W589" s="61">
        <f>Table3.110[[#This Row],[DM Incubated, mg]]-('3.2 Digest'!V589*1000)</f>
        <v>81.976967708596931</v>
      </c>
      <c r="X589" s="61">
        <f>W589/Table3.110[[#This Row],[DM Incubated, mg]]*100</f>
        <v>17.744817044711603</v>
      </c>
      <c r="Y589" s="37">
        <f>Table3.1[[#This Row],[DM Incubated, mg]]*'2.4 NDF'!R151/100</f>
        <v>238.87663427433009</v>
      </c>
      <c r="Z589" s="37">
        <f t="shared" si="50"/>
        <v>-141.12336572566991</v>
      </c>
      <c r="AA589" s="37">
        <f t="shared" si="51"/>
        <v>-59.077927882892631</v>
      </c>
      <c r="AB589" s="57"/>
    </row>
    <row r="590" spans="2:28" x14ac:dyDescent="0.35">
      <c r="B590" s="230">
        <f t="shared" si="40"/>
        <v>580</v>
      </c>
      <c r="C590" s="246" t="s">
        <v>693</v>
      </c>
      <c r="D590" s="248">
        <f>Table3.110[[#This Row],[Date]]</f>
        <v>46055</v>
      </c>
      <c r="E590" s="230" t="str">
        <f>Table3.110[[#This Row],[Requisitioner]]</f>
        <v>Genbank</v>
      </c>
      <c r="F590" s="230" t="str">
        <f>Table3.110[[#This Row],[Gene Bank ID]]</f>
        <v>CIAT4069</v>
      </c>
      <c r="G590" s="230" t="str">
        <f>Table3.110[[#This Row],[Genus]]</f>
        <v>Macroptilium</v>
      </c>
      <c r="H590" s="230" t="str">
        <f>Table3.110[[#This Row],[Species]]</f>
        <v>atropurpureum</v>
      </c>
      <c r="I590" s="230" t="str">
        <f>Table3.110[[#This Row],[Tax Name]]</f>
        <v>Macroptilium atropurpureum</v>
      </c>
      <c r="J590" s="230" t="str">
        <f>Table3.110[[#This Row],[Family]]</f>
        <v>Fabaceae</v>
      </c>
      <c r="K590" s="230" t="str">
        <f>Table3.110[[#This Row],[Order]]</f>
        <v>Fabales</v>
      </c>
      <c r="L590" s="230" t="str">
        <f>Table3.110[[#This Row],[Functional Group]]</f>
        <v>Herbaceous</v>
      </c>
      <c r="M590" s="230" t="str">
        <f>Table3.110[[#This Row],[CIAT ID]]</f>
        <v>F252582</v>
      </c>
      <c r="N590" s="230">
        <f>Table3.110[[#This Row],[Set CIAT]]</f>
        <v>28</v>
      </c>
      <c r="O590" s="230">
        <f>Table3.110[[#This Row],[Batch]]</f>
        <v>62</v>
      </c>
      <c r="P590" s="230">
        <f>Table3.110[[#This Row],[Run]]</f>
        <v>2</v>
      </c>
      <c r="Q590" s="230">
        <f>Table3.110[[#This Row],[Replication]]</f>
        <v>2</v>
      </c>
      <c r="R590" s="230">
        <f>Table3.110[[#This Row],[Syrange No]]</f>
        <v>0</v>
      </c>
      <c r="S590" s="270">
        <v>0.58169999999999999</v>
      </c>
      <c r="T590" s="270">
        <v>0.83909999999999996</v>
      </c>
      <c r="U590" s="108"/>
      <c r="V590" s="122">
        <v>0.25739999999999996</v>
      </c>
      <c r="W590" s="61">
        <f>Table3.110[[#This Row],[DM Incubated, mg]]-('3.2 Digest'!V590*1000)</f>
        <v>204.11545225634069</v>
      </c>
      <c r="X590" s="61">
        <f>W590/Table3.110[[#This Row],[DM Incubated, mg]]*100</f>
        <v>44.227219534779159</v>
      </c>
      <c r="Y590" s="37">
        <f>Table3.1[[#This Row],[DM Incubated, mg]]*'2.4 NDF'!R151/100</f>
        <v>238.6379962780521</v>
      </c>
      <c r="Z590" s="37">
        <f t="shared" si="50"/>
        <v>-18.762003721947877</v>
      </c>
      <c r="AA590" s="37">
        <f t="shared" si="51"/>
        <v>-7.8621191991936987</v>
      </c>
      <c r="AB590" s="57"/>
    </row>
    <row r="591" spans="2:28" x14ac:dyDescent="0.35">
      <c r="B591" s="230">
        <f t="shared" si="40"/>
        <v>581</v>
      </c>
      <c r="C591" s="246" t="s">
        <v>693</v>
      </c>
      <c r="D591" s="248">
        <f>Table3.110[[#This Row],[Date]]</f>
        <v>46055</v>
      </c>
      <c r="E591" s="230" t="str">
        <f>Table3.110[[#This Row],[Requisitioner]]</f>
        <v>Genbank</v>
      </c>
      <c r="F591" s="230" t="str">
        <f>Table3.110[[#This Row],[Gene Bank ID]]</f>
        <v>CIAT4069</v>
      </c>
      <c r="G591" s="230" t="str">
        <f>Table3.110[[#This Row],[Genus]]</f>
        <v>Macroptilium</v>
      </c>
      <c r="H591" s="230" t="str">
        <f>Table3.110[[#This Row],[Species]]</f>
        <v>atropurpureum</v>
      </c>
      <c r="I591" s="230" t="str">
        <f>Table3.110[[#This Row],[Tax Name]]</f>
        <v>Macroptilium atropurpureum</v>
      </c>
      <c r="J591" s="230" t="str">
        <f>Table3.110[[#This Row],[Family]]</f>
        <v>Fabaceae</v>
      </c>
      <c r="K591" s="230" t="str">
        <f>Table3.110[[#This Row],[Order]]</f>
        <v>Fabales</v>
      </c>
      <c r="L591" s="230" t="str">
        <f>Table3.110[[#This Row],[Functional Group]]</f>
        <v>Herbaceous</v>
      </c>
      <c r="M591" s="230" t="str">
        <f>Table3.110[[#This Row],[CIAT ID]]</f>
        <v>F252582</v>
      </c>
      <c r="N591" s="230">
        <f>Table3.110[[#This Row],[Set CIAT]]</f>
        <v>28</v>
      </c>
      <c r="O591" s="230">
        <f>Table3.110[[#This Row],[Batch]]</f>
        <v>62</v>
      </c>
      <c r="P591" s="230">
        <f>Table3.110[[#This Row],[Run]]</f>
        <v>2</v>
      </c>
      <c r="Q591" s="230">
        <f>Table3.110[[#This Row],[Replication]]</f>
        <v>3</v>
      </c>
      <c r="R591" s="230">
        <f>Table3.110[[#This Row],[Syrange No]]</f>
        <v>0</v>
      </c>
      <c r="S591" s="270">
        <v>0.61170000000000002</v>
      </c>
      <c r="T591" s="270">
        <v>0.9587</v>
      </c>
      <c r="U591" s="108"/>
      <c r="V591" s="122">
        <v>0.34699999999999998</v>
      </c>
      <c r="W591" s="61">
        <f>Table3.110[[#This Row],[DM Incubated, mg]]-('3.2 Digest'!V591*1000)</f>
        <v>114.70005843724323</v>
      </c>
      <c r="X591" s="61">
        <f>W591/Table3.110[[#This Row],[DM Incubated, mg]]*100</f>
        <v>24.842981139200763</v>
      </c>
      <c r="Y591" s="37">
        <f>Table3.1[[#This Row],[DM Incubated, mg]]*'2.4 NDF'!R151/100</f>
        <v>238.73345147656332</v>
      </c>
      <c r="Z591" s="37">
        <f t="shared" si="50"/>
        <v>-108.26654852343668</v>
      </c>
      <c r="AA591" s="37">
        <f t="shared" si="51"/>
        <v>-45.350388834832103</v>
      </c>
      <c r="AB591" s="57"/>
    </row>
    <row r="592" spans="2:28" x14ac:dyDescent="0.35">
      <c r="B592" s="230">
        <f t="shared" si="40"/>
        <v>582</v>
      </c>
      <c r="C592" s="246" t="s">
        <v>693</v>
      </c>
      <c r="D592" s="248">
        <f>Table3.110[[#This Row],[Date]]</f>
        <v>46055</v>
      </c>
      <c r="E592" s="230" t="str">
        <f>Table3.110[[#This Row],[Requisitioner]]</f>
        <v>Genbank</v>
      </c>
      <c r="F592" s="230" t="str">
        <f>Table3.110[[#This Row],[Gene Bank ID]]</f>
        <v>CIAT4141</v>
      </c>
      <c r="G592" s="230" t="str">
        <f>Table3.110[[#This Row],[Genus]]</f>
        <v>Vigna</v>
      </c>
      <c r="H592" s="230" t="str">
        <f>Table3.110[[#This Row],[Species]]</f>
        <v>radiata</v>
      </c>
      <c r="I592" s="230" t="str">
        <f>Table3.110[[#This Row],[Tax Name]]</f>
        <v>Vigna radiata</v>
      </c>
      <c r="J592" s="230" t="str">
        <f>Table3.110[[#This Row],[Family]]</f>
        <v>Fabaceae</v>
      </c>
      <c r="K592" s="230" t="str">
        <f>Table3.110[[#This Row],[Order]]</f>
        <v>Fabales</v>
      </c>
      <c r="L592" s="230" t="str">
        <f>Table3.110[[#This Row],[Functional Group]]</f>
        <v>Herbaceous</v>
      </c>
      <c r="M592" s="230" t="str">
        <f>Table3.110[[#This Row],[CIAT ID]]</f>
        <v>F252583</v>
      </c>
      <c r="N592" s="230">
        <f>Table3.110[[#This Row],[Set CIAT]]</f>
        <v>28</v>
      </c>
      <c r="O592" s="230">
        <f>Table3.110[[#This Row],[Batch]]</f>
        <v>62</v>
      </c>
      <c r="P592" s="230">
        <f>Table3.110[[#This Row],[Run]]</f>
        <v>2</v>
      </c>
      <c r="Q592" s="230">
        <f>Table3.110[[#This Row],[Replication]]</f>
        <v>1</v>
      </c>
      <c r="R592" s="230">
        <f>Table3.110[[#This Row],[Syrange No]]</f>
        <v>0</v>
      </c>
      <c r="S592" s="270">
        <v>0.5837</v>
      </c>
      <c r="T592" s="270">
        <v>0.9536</v>
      </c>
      <c r="U592" s="241"/>
      <c r="V592" s="122">
        <v>0.36990000000000001</v>
      </c>
      <c r="W592" s="61">
        <f>Table3.110[[#This Row],[DM Incubated, mg]]-('3.2 Digest'!V592*1000)</f>
        <v>84.804499100180124</v>
      </c>
      <c r="X592" s="61">
        <f>W592/Table3.110[[#This Row],[DM Incubated, mg]]*100</f>
        <v>18.650464041592002</v>
      </c>
      <c r="Y592" s="37">
        <f>Table3.1[[#This Row],[DM Incubated, mg]]*'2.4 NDF'!R153/100</f>
        <v>223.46335935010211</v>
      </c>
      <c r="Z592" s="37">
        <f t="shared" si="50"/>
        <v>-146.43664064989792</v>
      </c>
      <c r="AA592" s="37">
        <f t="shared" si="51"/>
        <v>-65.530492818052693</v>
      </c>
      <c r="AB592" s="57"/>
    </row>
    <row r="593" spans="2:28" x14ac:dyDescent="0.35">
      <c r="B593" s="230">
        <f t="shared" si="40"/>
        <v>583</v>
      </c>
      <c r="C593" s="246" t="s">
        <v>693</v>
      </c>
      <c r="D593" s="248">
        <f>Table3.110[[#This Row],[Date]]</f>
        <v>46055</v>
      </c>
      <c r="E593" s="230" t="str">
        <f>Table3.110[[#This Row],[Requisitioner]]</f>
        <v>Genbank</v>
      </c>
      <c r="F593" s="230" t="str">
        <f>Table3.110[[#This Row],[Gene Bank ID]]</f>
        <v>CIAT4141</v>
      </c>
      <c r="G593" s="230" t="str">
        <f>Table3.110[[#This Row],[Genus]]</f>
        <v>Vigna</v>
      </c>
      <c r="H593" s="230" t="str">
        <f>Table3.110[[#This Row],[Species]]</f>
        <v>radiata</v>
      </c>
      <c r="I593" s="230" t="str">
        <f>Table3.110[[#This Row],[Tax Name]]</f>
        <v>Vigna radiata</v>
      </c>
      <c r="J593" s="230" t="str">
        <f>Table3.110[[#This Row],[Family]]</f>
        <v>Fabaceae</v>
      </c>
      <c r="K593" s="230" t="str">
        <f>Table3.110[[#This Row],[Order]]</f>
        <v>Fabales</v>
      </c>
      <c r="L593" s="230" t="str">
        <f>Table3.110[[#This Row],[Functional Group]]</f>
        <v>Herbaceous</v>
      </c>
      <c r="M593" s="230" t="str">
        <f>Table3.110[[#This Row],[CIAT ID]]</f>
        <v>F252583</v>
      </c>
      <c r="N593" s="230">
        <f>Table3.110[[#This Row],[Set CIAT]]</f>
        <v>28</v>
      </c>
      <c r="O593" s="230">
        <f>Table3.110[[#This Row],[Batch]]</f>
        <v>62</v>
      </c>
      <c r="P593" s="230">
        <f>Table3.110[[#This Row],[Run]]</f>
        <v>2</v>
      </c>
      <c r="Q593" s="230">
        <f>Table3.110[[#This Row],[Replication]]</f>
        <v>2</v>
      </c>
      <c r="R593" s="230">
        <f>Table3.110[[#This Row],[Syrange No]]</f>
        <v>0</v>
      </c>
      <c r="S593" s="270">
        <v>0.58309999999999995</v>
      </c>
      <c r="T593" s="270">
        <v>0.91620000000000001</v>
      </c>
      <c r="U593" s="241"/>
      <c r="V593" s="122">
        <v>0.33310000000000006</v>
      </c>
      <c r="W593" s="61">
        <f>Table3.110[[#This Row],[DM Incubated, mg]]-('3.2 Digest'!V593*1000)</f>
        <v>122.15014449910035</v>
      </c>
      <c r="X593" s="61">
        <f>W593/Table3.110[[#This Row],[DM Incubated, mg]]*100</f>
        <v>26.831434536610395</v>
      </c>
      <c r="Y593" s="37">
        <f>Table3.1[[#This Row],[DM Incubated, mg]]*'2.4 NDF'!R153/100</f>
        <v>223.73151538132228</v>
      </c>
      <c r="Z593" s="37">
        <f t="shared" si="50"/>
        <v>-109.3684846186778</v>
      </c>
      <c r="AA593" s="37">
        <f t="shared" si="51"/>
        <v>-48.883808091261947</v>
      </c>
      <c r="AB593" s="57"/>
    </row>
    <row r="594" spans="2:28" x14ac:dyDescent="0.35">
      <c r="B594" s="230">
        <f t="shared" si="40"/>
        <v>584</v>
      </c>
      <c r="C594" s="246" t="s">
        <v>693</v>
      </c>
      <c r="D594" s="248">
        <f>Table3.110[[#This Row],[Date]]</f>
        <v>46055</v>
      </c>
      <c r="E594" s="230" t="str">
        <f>Table3.110[[#This Row],[Requisitioner]]</f>
        <v>Genbank</v>
      </c>
      <c r="F594" s="230" t="str">
        <f>Table3.110[[#This Row],[Gene Bank ID]]</f>
        <v>CIAT4141</v>
      </c>
      <c r="G594" s="230" t="str">
        <f>Table3.110[[#This Row],[Genus]]</f>
        <v>Vigna</v>
      </c>
      <c r="H594" s="230" t="str">
        <f>Table3.110[[#This Row],[Species]]</f>
        <v>radiata</v>
      </c>
      <c r="I594" s="230" t="str">
        <f>Table3.110[[#This Row],[Tax Name]]</f>
        <v>Vigna radiata</v>
      </c>
      <c r="J594" s="230" t="str">
        <f>Table3.110[[#This Row],[Family]]</f>
        <v>Fabaceae</v>
      </c>
      <c r="K594" s="230" t="str">
        <f>Table3.110[[#This Row],[Order]]</f>
        <v>Fabales</v>
      </c>
      <c r="L594" s="230" t="str">
        <f>Table3.110[[#This Row],[Functional Group]]</f>
        <v>Herbaceous</v>
      </c>
      <c r="M594" s="230" t="str">
        <f>Table3.110[[#This Row],[CIAT ID]]</f>
        <v>F252583</v>
      </c>
      <c r="N594" s="230">
        <f>Table3.110[[#This Row],[Set CIAT]]</f>
        <v>28</v>
      </c>
      <c r="O594" s="230">
        <f>Table3.110[[#This Row],[Batch]]</f>
        <v>62</v>
      </c>
      <c r="P594" s="230">
        <f>Table3.110[[#This Row],[Run]]</f>
        <v>2</v>
      </c>
      <c r="Q594" s="230">
        <f>Table3.110[[#This Row],[Replication]]</f>
        <v>3</v>
      </c>
      <c r="R594" s="230">
        <f>Table3.110[[#This Row],[Syrange No]]</f>
        <v>0</v>
      </c>
      <c r="S594" s="270">
        <v>0.5917</v>
      </c>
      <c r="T594" s="270">
        <v>0.94120000000000004</v>
      </c>
      <c r="U594" s="241"/>
      <c r="V594" s="122">
        <f t="shared" si="41"/>
        <v>0.34950000000000003</v>
      </c>
      <c r="W594" s="61">
        <f>Table3.110[[#This Row],[DM Incubated, mg]]-('3.2 Digest'!V594*1000)</f>
        <v>105.65920359928026</v>
      </c>
      <c r="X594" s="61">
        <f>W594/Table3.110[[#This Row],[DM Incubated, mg]]*100</f>
        <v>23.21368056797596</v>
      </c>
      <c r="Y594" s="37">
        <f>Table3.1[[#This Row],[DM Incubated, mg]]*'2.4 NDF'!R153/100</f>
        <v>223.6868227094522</v>
      </c>
      <c r="Z594" s="37">
        <f t="shared" si="48"/>
        <v>-125.81317729054786</v>
      </c>
      <c r="AA594" s="37">
        <f t="shared" si="49"/>
        <v>-56.245234192434815</v>
      </c>
      <c r="AB594" s="57"/>
    </row>
    <row r="595" spans="2:28" x14ac:dyDescent="0.35">
      <c r="B595" s="230">
        <f t="shared" si="40"/>
        <v>585</v>
      </c>
      <c r="C595" s="246" t="s">
        <v>693</v>
      </c>
      <c r="D595" s="248">
        <f>Table3.110[[#This Row],[Date]]</f>
        <v>46055</v>
      </c>
      <c r="E595" s="230" t="str">
        <f>Table3.110[[#This Row],[Requisitioner]]</f>
        <v>Genbank</v>
      </c>
      <c r="F595" s="230" t="str">
        <f>Table3.110[[#This Row],[Gene Bank ID]]</f>
        <v>CIAT4532</v>
      </c>
      <c r="G595" s="230" t="str">
        <f>Table3.110[[#This Row],[Genus]]</f>
        <v>Vigna</v>
      </c>
      <c r="H595" s="230" t="str">
        <f>Table3.110[[#This Row],[Species]]</f>
        <v>unguiculata</v>
      </c>
      <c r="I595" s="230" t="str">
        <f>Table3.110[[#This Row],[Tax Name]]</f>
        <v>Vigna unguiculata</v>
      </c>
      <c r="J595" s="230" t="str">
        <f>Table3.110[[#This Row],[Family]]</f>
        <v>Fabaceae</v>
      </c>
      <c r="K595" s="230" t="str">
        <f>Table3.110[[#This Row],[Order]]</f>
        <v>Fabales</v>
      </c>
      <c r="L595" s="230" t="str">
        <f>Table3.110[[#This Row],[Functional Group]]</f>
        <v>Herbaceous</v>
      </c>
      <c r="M595" s="230" t="str">
        <f>Table3.110[[#This Row],[CIAT ID]]</f>
        <v>F252584</v>
      </c>
      <c r="N595" s="230">
        <f>Table3.110[[#This Row],[Set CIAT]]</f>
        <v>28</v>
      </c>
      <c r="O595" s="230">
        <f>Table3.110[[#This Row],[Batch]]</f>
        <v>62</v>
      </c>
      <c r="P595" s="230">
        <f>Table3.110[[#This Row],[Run]]</f>
        <v>2</v>
      </c>
      <c r="Q595" s="230">
        <f>Table3.110[[#This Row],[Replication]]</f>
        <v>1</v>
      </c>
      <c r="R595" s="230">
        <f>Table3.110[[#This Row],[Syrange No]]</f>
        <v>0</v>
      </c>
      <c r="S595" s="270">
        <v>0.59740000000000004</v>
      </c>
      <c r="T595" s="270">
        <v>0.88670000000000004</v>
      </c>
      <c r="U595" s="108"/>
      <c r="V595" s="122">
        <f t="shared" si="41"/>
        <v>0.2893</v>
      </c>
      <c r="W595" s="61">
        <f>Table3.110[[#This Row],[DM Incubated, mg]]-('3.2 Digest'!V595*1000)</f>
        <v>171.44520734411583</v>
      </c>
      <c r="X595" s="61">
        <f>W595/Table3.110[[#This Row],[DM Incubated, mg]]*100</f>
        <v>37.210415781073749</v>
      </c>
      <c r="Y595" s="37">
        <f>Table3.1[[#This Row],[DM Incubated, mg]]*'2.4 NDF'!R155/100</f>
        <v>222.6156980595745</v>
      </c>
      <c r="Z595" s="37">
        <f t="shared" ref="Z595:Z641" si="52">Y595-(V595*1000)</f>
        <v>-66.684301940425513</v>
      </c>
      <c r="AA595" s="37">
        <f t="shared" ref="AA595:AA641" si="53">Z595/Y595*100</f>
        <v>-29.954896497272188</v>
      </c>
      <c r="AB595" s="57"/>
    </row>
    <row r="596" spans="2:28" x14ac:dyDescent="0.35">
      <c r="B596" s="230">
        <f t="shared" si="40"/>
        <v>586</v>
      </c>
      <c r="C596" s="246" t="s">
        <v>694</v>
      </c>
      <c r="D596" s="248">
        <f>Table3.110[[#This Row],[Date]]</f>
        <v>46055</v>
      </c>
      <c r="E596" s="230" t="str">
        <f>Table3.110[[#This Row],[Requisitioner]]</f>
        <v>Genbank</v>
      </c>
      <c r="F596" s="230" t="str">
        <f>Table3.110[[#This Row],[Gene Bank ID]]</f>
        <v>CIAT4532</v>
      </c>
      <c r="G596" s="230" t="str">
        <f>Table3.110[[#This Row],[Genus]]</f>
        <v>Vigna</v>
      </c>
      <c r="H596" s="230" t="str">
        <f>Table3.110[[#This Row],[Species]]</f>
        <v>unguiculata</v>
      </c>
      <c r="I596" s="230" t="str">
        <f>Table3.110[[#This Row],[Tax Name]]</f>
        <v>Vigna unguiculata</v>
      </c>
      <c r="J596" s="230" t="str">
        <f>Table3.110[[#This Row],[Family]]</f>
        <v>Fabaceae</v>
      </c>
      <c r="K596" s="230" t="str">
        <f>Table3.110[[#This Row],[Order]]</f>
        <v>Fabales</v>
      </c>
      <c r="L596" s="230" t="str">
        <f>Table3.110[[#This Row],[Functional Group]]</f>
        <v>Herbaceous</v>
      </c>
      <c r="M596" s="230" t="str">
        <f>Table3.110[[#This Row],[CIAT ID]]</f>
        <v>F252584</v>
      </c>
      <c r="N596" s="230">
        <f>Table3.110[[#This Row],[Set CIAT]]</f>
        <v>28</v>
      </c>
      <c r="O596" s="230">
        <f>Table3.110[[#This Row],[Batch]]</f>
        <v>62</v>
      </c>
      <c r="P596" s="230">
        <f>Table3.110[[#This Row],[Run]]</f>
        <v>2</v>
      </c>
      <c r="Q596" s="230">
        <f>Table3.110[[#This Row],[Replication]]</f>
        <v>2</v>
      </c>
      <c r="R596" s="230">
        <f>Table3.110[[#This Row],[Syrange No]]</f>
        <v>0</v>
      </c>
      <c r="S596" s="270">
        <v>0.56440000000000001</v>
      </c>
      <c r="T596" s="270">
        <v>0.86399999999999999</v>
      </c>
      <c r="U596" s="108"/>
      <c r="V596" s="122">
        <f t="shared" si="41"/>
        <v>0.29959999999999998</v>
      </c>
      <c r="W596" s="61">
        <f>Table3.110[[#This Row],[DM Incubated, mg]]-('3.2 Digest'!V596*1000)</f>
        <v>161.14520734411587</v>
      </c>
      <c r="X596" s="61">
        <f>W596/Table3.110[[#This Row],[DM Incubated, mg]]*100</f>
        <v>34.974906906359131</v>
      </c>
      <c r="Y596" s="37">
        <f>Table3.1[[#This Row],[DM Incubated, mg]]*'2.4 NDF'!R155/100</f>
        <v>222.6156980595745</v>
      </c>
      <c r="Z596" s="37">
        <f t="shared" si="52"/>
        <v>-76.984301940425468</v>
      </c>
      <c r="AA596" s="37">
        <f t="shared" si="53"/>
        <v>-34.58170408082524</v>
      </c>
      <c r="AB596" s="57"/>
    </row>
    <row r="597" spans="2:28" x14ac:dyDescent="0.35">
      <c r="B597" s="230">
        <f t="shared" ref="B597:B660" si="54">B596+1</f>
        <v>587</v>
      </c>
      <c r="C597" s="246" t="s">
        <v>694</v>
      </c>
      <c r="D597" s="248">
        <f>Table3.110[[#This Row],[Date]]</f>
        <v>46055</v>
      </c>
      <c r="E597" s="230" t="str">
        <f>Table3.110[[#This Row],[Requisitioner]]</f>
        <v>Genbank</v>
      </c>
      <c r="F597" s="230" t="str">
        <f>Table3.110[[#This Row],[Gene Bank ID]]</f>
        <v>CIAT4532</v>
      </c>
      <c r="G597" s="230" t="str">
        <f>Table3.110[[#This Row],[Genus]]</f>
        <v>Vigna</v>
      </c>
      <c r="H597" s="230" t="str">
        <f>Table3.110[[#This Row],[Species]]</f>
        <v>unguiculata</v>
      </c>
      <c r="I597" s="230" t="str">
        <f>Table3.110[[#This Row],[Tax Name]]</f>
        <v>Vigna unguiculata</v>
      </c>
      <c r="J597" s="230" t="str">
        <f>Table3.110[[#This Row],[Family]]</f>
        <v>Fabaceae</v>
      </c>
      <c r="K597" s="230" t="str">
        <f>Table3.110[[#This Row],[Order]]</f>
        <v>Fabales</v>
      </c>
      <c r="L597" s="230" t="str">
        <f>Table3.110[[#This Row],[Functional Group]]</f>
        <v>Herbaceous</v>
      </c>
      <c r="M597" s="230" t="str">
        <f>Table3.110[[#This Row],[CIAT ID]]</f>
        <v>F252584</v>
      </c>
      <c r="N597" s="230">
        <f>Table3.110[[#This Row],[Set CIAT]]</f>
        <v>28</v>
      </c>
      <c r="O597" s="230">
        <f>Table3.110[[#This Row],[Batch]]</f>
        <v>62</v>
      </c>
      <c r="P597" s="230">
        <f>Table3.110[[#This Row],[Run]]</f>
        <v>2</v>
      </c>
      <c r="Q597" s="230">
        <f>Table3.110[[#This Row],[Replication]]</f>
        <v>3</v>
      </c>
      <c r="R597" s="230">
        <f>Table3.110[[#This Row],[Syrange No]]</f>
        <v>0</v>
      </c>
      <c r="S597" s="270">
        <v>0.57550000000000001</v>
      </c>
      <c r="T597" s="270">
        <v>0.87949999999999995</v>
      </c>
      <c r="U597" s="108"/>
      <c r="V597" s="122">
        <f t="shared" si="41"/>
        <v>0.30399999999999994</v>
      </c>
      <c r="W597" s="61">
        <f>Table3.110[[#This Row],[DM Incubated, mg]]-('3.2 Digest'!V597*1000)</f>
        <v>156.46903639066295</v>
      </c>
      <c r="X597" s="61">
        <f>W597/Table3.110[[#This Row],[DM Incubated, mg]]*100</f>
        <v>33.98036002966208</v>
      </c>
      <c r="Y597" s="37">
        <f>Table3.1[[#This Row],[DM Incubated, mg]]*'2.4 NDF'!R155/100</f>
        <v>222.48226207672164</v>
      </c>
      <c r="Z597" s="37">
        <f t="shared" si="52"/>
        <v>-81.517737923278304</v>
      </c>
      <c r="AA597" s="37">
        <f t="shared" si="53"/>
        <v>-36.640106569559876</v>
      </c>
      <c r="AB597" s="57"/>
    </row>
    <row r="598" spans="2:28" x14ac:dyDescent="0.35">
      <c r="B598" s="230">
        <f t="shared" si="54"/>
        <v>588</v>
      </c>
      <c r="C598" s="246" t="s">
        <v>694</v>
      </c>
      <c r="D598" s="248">
        <f>Table3.110[[#This Row],[Date]]</f>
        <v>46055</v>
      </c>
      <c r="E598" s="230" t="str">
        <f>Table3.110[[#This Row],[Requisitioner]]</f>
        <v>Genbank</v>
      </c>
      <c r="F598" s="230" t="str">
        <f>Table3.110[[#This Row],[Gene Bank ID]]</f>
        <v>CIAT4537</v>
      </c>
      <c r="G598" s="230" t="str">
        <f>Table3.110[[#This Row],[Genus]]</f>
        <v>Vigna</v>
      </c>
      <c r="H598" s="230" t="str">
        <f>Table3.110[[#This Row],[Species]]</f>
        <v>unguiculata</v>
      </c>
      <c r="I598" s="230" t="str">
        <f>Table3.110[[#This Row],[Tax Name]]</f>
        <v>Vigna unguiculata</v>
      </c>
      <c r="J598" s="230" t="str">
        <f>Table3.110[[#This Row],[Family]]</f>
        <v>Fabaceae</v>
      </c>
      <c r="K598" s="230" t="str">
        <f>Table3.110[[#This Row],[Order]]</f>
        <v>Fabales</v>
      </c>
      <c r="L598" s="230" t="str">
        <f>Table3.110[[#This Row],[Functional Group]]</f>
        <v>Herbaceous</v>
      </c>
      <c r="M598" s="230" t="str">
        <f>Table3.110[[#This Row],[CIAT ID]]</f>
        <v>F252585</v>
      </c>
      <c r="N598" s="230">
        <f>Table3.110[[#This Row],[Set CIAT]]</f>
        <v>28</v>
      </c>
      <c r="O598" s="230">
        <f>Table3.110[[#This Row],[Batch]]</f>
        <v>62</v>
      </c>
      <c r="P598" s="230">
        <f>Table3.110[[#This Row],[Run]]</f>
        <v>2</v>
      </c>
      <c r="Q598" s="230">
        <f>Table3.110[[#This Row],[Replication]]</f>
        <v>1</v>
      </c>
      <c r="R598" s="230">
        <f>Table3.110[[#This Row],[Syrange No]]</f>
        <v>0</v>
      </c>
      <c r="S598" s="270">
        <v>0.56440000000000001</v>
      </c>
      <c r="T598" s="270">
        <v>0.89329999999999998</v>
      </c>
      <c r="U598" s="108"/>
      <c r="V598" s="122">
        <f t="shared" ref="V598:V657" si="55">T598-S598</f>
        <v>0.32889999999999997</v>
      </c>
      <c r="W598" s="61">
        <f>Table3.110[[#This Row],[DM Incubated, mg]]-('3.2 Digest'!V598*1000)</f>
        <v>132.76892089901042</v>
      </c>
      <c r="X598" s="61">
        <f>W598/Table3.110[[#This Row],[DM Incubated, mg]]*100</f>
        <v>28.758470602800983</v>
      </c>
      <c r="Y598" s="37">
        <f>Table3.1[[#This Row],[DM Incubated, mg]]*'2.4 NDF'!R157/100</f>
        <v>229.12608577450695</v>
      </c>
      <c r="Z598" s="37">
        <f t="shared" si="52"/>
        <v>-99.77391422549303</v>
      </c>
      <c r="AA598" s="37">
        <f t="shared" si="53"/>
        <v>-43.545419059654748</v>
      </c>
      <c r="AB598" s="57"/>
    </row>
    <row r="599" spans="2:28" x14ac:dyDescent="0.35">
      <c r="B599" s="230">
        <f t="shared" si="54"/>
        <v>589</v>
      </c>
      <c r="C599" s="246" t="s">
        <v>694</v>
      </c>
      <c r="D599" s="248">
        <f>Table3.110[[#This Row],[Date]]</f>
        <v>46055</v>
      </c>
      <c r="E599" s="230" t="str">
        <f>Table3.110[[#This Row],[Requisitioner]]</f>
        <v>Genbank</v>
      </c>
      <c r="F599" s="230" t="str">
        <f>Table3.110[[#This Row],[Gene Bank ID]]</f>
        <v>CIAT4537</v>
      </c>
      <c r="G599" s="230" t="str">
        <f>Table3.110[[#This Row],[Genus]]</f>
        <v>Vigna</v>
      </c>
      <c r="H599" s="230" t="str">
        <f>Table3.110[[#This Row],[Species]]</f>
        <v>unguiculata</v>
      </c>
      <c r="I599" s="230" t="str">
        <f>Table3.110[[#This Row],[Tax Name]]</f>
        <v>Vigna unguiculata</v>
      </c>
      <c r="J599" s="230" t="str">
        <f>Table3.110[[#This Row],[Family]]</f>
        <v>Fabaceae</v>
      </c>
      <c r="K599" s="230" t="str">
        <f>Table3.110[[#This Row],[Order]]</f>
        <v>Fabales</v>
      </c>
      <c r="L599" s="230" t="str">
        <f>Table3.110[[#This Row],[Functional Group]]</f>
        <v>Herbaceous</v>
      </c>
      <c r="M599" s="230" t="str">
        <f>Table3.110[[#This Row],[CIAT ID]]</f>
        <v>F252585</v>
      </c>
      <c r="N599" s="230">
        <f>Table3.110[[#This Row],[Set CIAT]]</f>
        <v>28</v>
      </c>
      <c r="O599" s="230">
        <f>Table3.110[[#This Row],[Batch]]</f>
        <v>62</v>
      </c>
      <c r="P599" s="230">
        <f>Table3.110[[#This Row],[Run]]</f>
        <v>2</v>
      </c>
      <c r="Q599" s="230">
        <f>Table3.110[[#This Row],[Replication]]</f>
        <v>2</v>
      </c>
      <c r="R599" s="230">
        <f>Table3.110[[#This Row],[Syrange No]]</f>
        <v>0</v>
      </c>
      <c r="S599" s="270">
        <v>0.55700000000000005</v>
      </c>
      <c r="T599" s="270">
        <v>0.79290000000000005</v>
      </c>
      <c r="U599" s="108"/>
      <c r="V599" s="122">
        <f t="shared" si="55"/>
        <v>0.2359</v>
      </c>
      <c r="W599" s="61">
        <f>Table3.110[[#This Row],[DM Incubated, mg]]-('3.2 Digest'!V599*1000)</f>
        <v>225.58447466613015</v>
      </c>
      <c r="X599" s="61">
        <f>W599/Table3.110[[#This Row],[DM Incubated, mg]]*100</f>
        <v>48.882354022707609</v>
      </c>
      <c r="Y599" s="37">
        <f>Table3.1[[#This Row],[DM Incubated, mg]]*'2.4 NDF'!R157/100</f>
        <v>229.03454518889978</v>
      </c>
      <c r="Z599" s="37">
        <f t="shared" si="52"/>
        <v>-6.8654548111002214</v>
      </c>
      <c r="AA599" s="37">
        <f t="shared" si="53"/>
        <v>-2.9975630119193726</v>
      </c>
      <c r="AB599" s="57"/>
    </row>
    <row r="600" spans="2:28" x14ac:dyDescent="0.35">
      <c r="B600" s="230">
        <f t="shared" si="54"/>
        <v>590</v>
      </c>
      <c r="C600" s="246" t="s">
        <v>694</v>
      </c>
      <c r="D600" s="248">
        <f>Table3.110[[#This Row],[Date]]</f>
        <v>46055</v>
      </c>
      <c r="E600" s="230" t="str">
        <f>Table3.110[[#This Row],[Requisitioner]]</f>
        <v>Genbank</v>
      </c>
      <c r="F600" s="230" t="str">
        <f>Table3.110[[#This Row],[Gene Bank ID]]</f>
        <v>CIAT4537</v>
      </c>
      <c r="G600" s="230" t="str">
        <f>Table3.110[[#This Row],[Genus]]</f>
        <v>Vigna</v>
      </c>
      <c r="H600" s="230" t="str">
        <f>Table3.110[[#This Row],[Species]]</f>
        <v>unguiculata</v>
      </c>
      <c r="I600" s="230" t="str">
        <f>Table3.110[[#This Row],[Tax Name]]</f>
        <v>Vigna unguiculata</v>
      </c>
      <c r="J600" s="230" t="str">
        <f>Table3.110[[#This Row],[Family]]</f>
        <v>Fabaceae</v>
      </c>
      <c r="K600" s="230" t="str">
        <f>Table3.110[[#This Row],[Order]]</f>
        <v>Fabales</v>
      </c>
      <c r="L600" s="230" t="str">
        <f>Table3.110[[#This Row],[Functional Group]]</f>
        <v>Herbaceous</v>
      </c>
      <c r="M600" s="230" t="str">
        <f>Table3.110[[#This Row],[CIAT ID]]</f>
        <v>F252585</v>
      </c>
      <c r="N600" s="230">
        <f>Table3.110[[#This Row],[Set CIAT]]</f>
        <v>28</v>
      </c>
      <c r="O600" s="230">
        <f>Table3.110[[#This Row],[Batch]]</f>
        <v>62</v>
      </c>
      <c r="P600" s="230">
        <f>Table3.110[[#This Row],[Run]]</f>
        <v>2</v>
      </c>
      <c r="Q600" s="230">
        <f>Table3.110[[#This Row],[Replication]]</f>
        <v>3</v>
      </c>
      <c r="R600" s="230">
        <f>Table3.110[[#This Row],[Syrange No]]</f>
        <v>0</v>
      </c>
      <c r="S600" s="270">
        <v>0.5514</v>
      </c>
      <c r="T600" s="270">
        <v>0.75519999999999998</v>
      </c>
      <c r="U600" s="108"/>
      <c r="V600" s="122">
        <f t="shared" si="55"/>
        <v>0.20379999999999998</v>
      </c>
      <c r="W600" s="61">
        <f>Table3.110[[#This Row],[DM Incubated, mg]]-('3.2 Digest'!V600*1000)</f>
        <v>257.50002843325001</v>
      </c>
      <c r="X600" s="61">
        <f>W600/Table3.110[[#This Row],[DM Incubated, mg]]*100</f>
        <v>55.820509985186398</v>
      </c>
      <c r="Y600" s="37">
        <f>Table3.1[[#This Row],[DM Incubated, mg]]*'2.4 NDF'!R157/100</f>
        <v>228.94300460329271</v>
      </c>
      <c r="Z600" s="37">
        <f t="shared" si="52"/>
        <v>25.143004603292724</v>
      </c>
      <c r="AA600" s="37">
        <f t="shared" si="53"/>
        <v>10.982211335463147</v>
      </c>
      <c r="AB600" s="57"/>
    </row>
    <row r="601" spans="2:28" x14ac:dyDescent="0.35">
      <c r="B601" s="230">
        <f t="shared" si="54"/>
        <v>591</v>
      </c>
      <c r="C601" s="246" t="s">
        <v>694</v>
      </c>
      <c r="D601" s="248">
        <f>Table3.110[[#This Row],[Date]]</f>
        <v>46055</v>
      </c>
      <c r="E601" s="230" t="str">
        <f>Table3.110[[#This Row],[Requisitioner]]</f>
        <v>Genbank</v>
      </c>
      <c r="F601" s="230" t="str">
        <f>Table3.110[[#This Row],[Gene Bank ID]]</f>
        <v>CIAT7289</v>
      </c>
      <c r="G601" s="230" t="str">
        <f>Table3.110[[#This Row],[Genus]]</f>
        <v>Chamaecrista</v>
      </c>
      <c r="H601" s="230" t="str">
        <f>Table3.110[[#This Row],[Species]]</f>
        <v>mimosoides</v>
      </c>
      <c r="I601" s="230" t="str">
        <f>Table3.110[[#This Row],[Tax Name]]</f>
        <v>Chamaecrista mimosoides</v>
      </c>
      <c r="J601" s="230" t="str">
        <f>Table3.110[[#This Row],[Family]]</f>
        <v>Fabaceae</v>
      </c>
      <c r="K601" s="230" t="str">
        <f>Table3.110[[#This Row],[Order]]</f>
        <v>Fabales</v>
      </c>
      <c r="L601" s="230" t="str">
        <f>Table3.110[[#This Row],[Functional Group]]</f>
        <v>Herbaceous</v>
      </c>
      <c r="M601" s="230" t="str">
        <f>Table3.110[[#This Row],[CIAT ID]]</f>
        <v>F252586</v>
      </c>
      <c r="N601" s="230">
        <f>Table3.110[[#This Row],[Set CIAT]]</f>
        <v>28</v>
      </c>
      <c r="O601" s="230">
        <f>Table3.110[[#This Row],[Batch]]</f>
        <v>62</v>
      </c>
      <c r="P601" s="230">
        <f>Table3.110[[#This Row],[Run]]</f>
        <v>2</v>
      </c>
      <c r="Q601" s="230">
        <f>Table3.110[[#This Row],[Replication]]</f>
        <v>1</v>
      </c>
      <c r="R601" s="230">
        <f>Table3.110[[#This Row],[Syrange No]]</f>
        <v>0</v>
      </c>
      <c r="S601" s="270">
        <v>0.5776</v>
      </c>
      <c r="T601" s="270">
        <v>0.95909999999999995</v>
      </c>
      <c r="U601" s="108"/>
      <c r="V601" s="122">
        <f t="shared" si="55"/>
        <v>0.38149999999999995</v>
      </c>
      <c r="W601" s="61">
        <f>Table3.110[[#This Row],[DM Incubated, mg]]-('3.2 Digest'!V601*1000)</f>
        <v>75.805696943416876</v>
      </c>
      <c r="X601" s="61">
        <f>W601/Table3.110[[#This Row],[DM Incubated, mg]]*100</f>
        <v>16.576591424531596</v>
      </c>
      <c r="Y601" s="37">
        <f>Table3.1[[#This Row],[DM Incubated, mg]]*'2.4 NDF'!R159/100</f>
        <v>262.73935830514961</v>
      </c>
      <c r="Z601" s="37">
        <f t="shared" si="52"/>
        <v>-118.76064169485034</v>
      </c>
      <c r="AA601" s="37">
        <f t="shared" si="53"/>
        <v>-45.200933145661359</v>
      </c>
      <c r="AB601" s="57"/>
    </row>
    <row r="602" spans="2:28" x14ac:dyDescent="0.35">
      <c r="B602" s="230">
        <f t="shared" si="54"/>
        <v>592</v>
      </c>
      <c r="C602" s="246" t="s">
        <v>694</v>
      </c>
      <c r="D602" s="248">
        <f>Table3.110[[#This Row],[Date]]</f>
        <v>46055</v>
      </c>
      <c r="E602" s="230" t="str">
        <f>Table3.110[[#This Row],[Requisitioner]]</f>
        <v>Genbank</v>
      </c>
      <c r="F602" s="230" t="str">
        <f>Table3.110[[#This Row],[Gene Bank ID]]</f>
        <v>CIAT7289</v>
      </c>
      <c r="G602" s="230" t="str">
        <f>Table3.110[[#This Row],[Genus]]</f>
        <v>Chamaecrista</v>
      </c>
      <c r="H602" s="230" t="str">
        <f>Table3.110[[#This Row],[Species]]</f>
        <v>mimosoides</v>
      </c>
      <c r="I602" s="230" t="str">
        <f>Table3.110[[#This Row],[Tax Name]]</f>
        <v>Chamaecrista mimosoides</v>
      </c>
      <c r="J602" s="230" t="str">
        <f>Table3.110[[#This Row],[Family]]</f>
        <v>Fabaceae</v>
      </c>
      <c r="K602" s="230" t="str">
        <f>Table3.110[[#This Row],[Order]]</f>
        <v>Fabales</v>
      </c>
      <c r="L602" s="230" t="str">
        <f>Table3.110[[#This Row],[Functional Group]]</f>
        <v>Herbaceous</v>
      </c>
      <c r="M602" s="230" t="str">
        <f>Table3.110[[#This Row],[CIAT ID]]</f>
        <v>F252586</v>
      </c>
      <c r="N602" s="230">
        <f>Table3.110[[#This Row],[Set CIAT]]</f>
        <v>28</v>
      </c>
      <c r="O602" s="230">
        <f>Table3.110[[#This Row],[Batch]]</f>
        <v>62</v>
      </c>
      <c r="P602" s="230">
        <f>Table3.110[[#This Row],[Run]]</f>
        <v>2</v>
      </c>
      <c r="Q602" s="230">
        <f>Table3.110[[#This Row],[Replication]]</f>
        <v>2</v>
      </c>
      <c r="R602" s="230">
        <f>Table3.110[[#This Row],[Syrange No]]</f>
        <v>0</v>
      </c>
      <c r="S602" s="270">
        <v>0.56779999999999997</v>
      </c>
      <c r="T602" s="270">
        <v>0.90980000000000005</v>
      </c>
      <c r="U602" s="108"/>
      <c r="V602" s="122">
        <f t="shared" si="55"/>
        <v>0.34200000000000008</v>
      </c>
      <c r="W602" s="61">
        <f>Table3.110[[#This Row],[DM Incubated, mg]]-('3.2 Digest'!V602*1000)</f>
        <v>115.57991583025074</v>
      </c>
      <c r="X602" s="61">
        <f>W602/Table3.110[[#This Row],[DM Incubated, mg]]*100</f>
        <v>25.258957360604008</v>
      </c>
      <c r="Y602" s="37">
        <f>Table3.1[[#This Row],[DM Incubated, mg]]*'2.4 NDF'!R159/100</f>
        <v>262.89690739068141</v>
      </c>
      <c r="Z602" s="37">
        <f t="shared" si="52"/>
        <v>-79.103092609318651</v>
      </c>
      <c r="AA602" s="37">
        <f t="shared" si="53"/>
        <v>-30.089016030822478</v>
      </c>
      <c r="AB602" s="57"/>
    </row>
    <row r="603" spans="2:28" x14ac:dyDescent="0.35">
      <c r="B603" s="230">
        <f t="shared" si="54"/>
        <v>593</v>
      </c>
      <c r="C603" s="246" t="s">
        <v>694</v>
      </c>
      <c r="D603" s="248">
        <f>Table3.110[[#This Row],[Date]]</f>
        <v>46055</v>
      </c>
      <c r="E603" s="230" t="str">
        <f>Table3.110[[#This Row],[Requisitioner]]</f>
        <v>Genbank</v>
      </c>
      <c r="F603" s="230" t="str">
        <f>Table3.110[[#This Row],[Gene Bank ID]]</f>
        <v>CIAT7289</v>
      </c>
      <c r="G603" s="230" t="str">
        <f>Table3.110[[#This Row],[Genus]]</f>
        <v>Chamaecrista</v>
      </c>
      <c r="H603" s="230" t="str">
        <f>Table3.110[[#This Row],[Species]]</f>
        <v>mimosoides</v>
      </c>
      <c r="I603" s="230" t="str">
        <f>Table3.110[[#This Row],[Tax Name]]</f>
        <v>Chamaecrista mimosoides</v>
      </c>
      <c r="J603" s="230" t="str">
        <f>Table3.110[[#This Row],[Family]]</f>
        <v>Fabaceae</v>
      </c>
      <c r="K603" s="230" t="str">
        <f>Table3.110[[#This Row],[Order]]</f>
        <v>Fabales</v>
      </c>
      <c r="L603" s="230" t="str">
        <f>Table3.110[[#This Row],[Functional Group]]</f>
        <v>Herbaceous</v>
      </c>
      <c r="M603" s="230" t="str">
        <f>Table3.110[[#This Row],[CIAT ID]]</f>
        <v>F252586</v>
      </c>
      <c r="N603" s="230">
        <f>Table3.110[[#This Row],[Set CIAT]]</f>
        <v>28</v>
      </c>
      <c r="O603" s="230">
        <f>Table3.110[[#This Row],[Batch]]</f>
        <v>62</v>
      </c>
      <c r="P603" s="230">
        <f>Table3.110[[#This Row],[Run]]</f>
        <v>2</v>
      </c>
      <c r="Q603" s="230">
        <f>Table3.110[[#This Row],[Replication]]</f>
        <v>3</v>
      </c>
      <c r="R603" s="230">
        <f>Table3.110[[#This Row],[Syrange No]]</f>
        <v>0</v>
      </c>
      <c r="S603" s="270">
        <v>0.58069999999999999</v>
      </c>
      <c r="T603" s="270">
        <v>0.90310000000000001</v>
      </c>
      <c r="U603" s="108"/>
      <c r="V603" s="122">
        <f t="shared" si="55"/>
        <v>0.32240000000000002</v>
      </c>
      <c r="W603" s="61">
        <f>Table3.110[[#This Row],[DM Incubated, mg]]-('3.2 Digest'!V603*1000)</f>
        <v>135.17991583025076</v>
      </c>
      <c r="X603" s="61">
        <f>W603/Table3.110[[#This Row],[DM Incubated, mg]]*100</f>
        <v>29.542362143446589</v>
      </c>
      <c r="Y603" s="37">
        <f>Table3.1[[#This Row],[DM Incubated, mg]]*'2.4 NDF'!R159/100</f>
        <v>262.89690739068141</v>
      </c>
      <c r="Z603" s="37">
        <f t="shared" si="52"/>
        <v>-59.503092609318628</v>
      </c>
      <c r="AA603" s="37">
        <f t="shared" si="53"/>
        <v>-22.63362212964083</v>
      </c>
      <c r="AB603" s="57"/>
    </row>
    <row r="604" spans="2:28" x14ac:dyDescent="0.35">
      <c r="B604" s="230">
        <f t="shared" si="54"/>
        <v>594</v>
      </c>
      <c r="C604" s="246" t="s">
        <v>694</v>
      </c>
      <c r="D604" s="248">
        <f>Table3.110[[#This Row],[Date]]</f>
        <v>46055</v>
      </c>
      <c r="E604" s="230" t="str">
        <f>Table3.110[[#This Row],[Requisitioner]]</f>
        <v>Genbank</v>
      </c>
      <c r="F604" s="230" t="str">
        <f>Table3.110[[#This Row],[Gene Bank ID]]</f>
        <v>CIAT7826</v>
      </c>
      <c r="G604" s="230" t="str">
        <f>Table3.110[[#This Row],[Genus]]</f>
        <v>Tephrosia</v>
      </c>
      <c r="H604" s="230" t="str">
        <f>Table3.110[[#This Row],[Species]]</f>
        <v>purpurea</v>
      </c>
      <c r="I604" s="230" t="str">
        <f>Table3.110[[#This Row],[Tax Name]]</f>
        <v>Tephrosia purpurea</v>
      </c>
      <c r="J604" s="230" t="str">
        <f>Table3.110[[#This Row],[Family]]</f>
        <v>Fabaceae</v>
      </c>
      <c r="K604" s="230" t="str">
        <f>Table3.110[[#This Row],[Order]]</f>
        <v>Fabales</v>
      </c>
      <c r="L604" s="230" t="str">
        <f>Table3.110[[#This Row],[Functional Group]]</f>
        <v>Herbaceous</v>
      </c>
      <c r="M604" s="230" t="str">
        <f>Table3.110[[#This Row],[CIAT ID]]</f>
        <v>F252587</v>
      </c>
      <c r="N604" s="230">
        <f>Table3.110[[#This Row],[Set CIAT]]</f>
        <v>28</v>
      </c>
      <c r="O604" s="230">
        <f>Table3.110[[#This Row],[Batch]]</f>
        <v>62</v>
      </c>
      <c r="P604" s="230">
        <f>Table3.110[[#This Row],[Run]]</f>
        <v>2</v>
      </c>
      <c r="Q604" s="230">
        <f>Table3.110[[#This Row],[Replication]]</f>
        <v>1</v>
      </c>
      <c r="R604" s="230">
        <f>Table3.110[[#This Row],[Syrange No]]</f>
        <v>0</v>
      </c>
      <c r="S604" s="270">
        <v>0.58120000000000005</v>
      </c>
      <c r="T604" s="270">
        <v>0.89970000000000006</v>
      </c>
      <c r="U604" s="108"/>
      <c r="V604" s="122">
        <f t="shared" si="55"/>
        <v>0.31850000000000001</v>
      </c>
      <c r="W604" s="61">
        <f>Table3.110[[#This Row],[DM Incubated, mg]]-('3.2 Digest'!V604*1000)</f>
        <v>135.28425018639803</v>
      </c>
      <c r="X604" s="61">
        <f>W604/Table3.110[[#This Row],[DM Incubated, mg]]*100</f>
        <v>29.812460465701086</v>
      </c>
      <c r="Y604" s="37">
        <f>Table3.1[[#This Row],[DM Incubated, mg]]*'2.4 NDF'!R161/100</f>
        <v>243.08746805521375</v>
      </c>
      <c r="Z604" s="37">
        <f t="shared" si="52"/>
        <v>-75.412531944786252</v>
      </c>
      <c r="AA604" s="37">
        <f t="shared" si="53"/>
        <v>-31.022797081278338</v>
      </c>
      <c r="AB604" s="57"/>
    </row>
    <row r="605" spans="2:28" x14ac:dyDescent="0.35">
      <c r="B605" s="230">
        <f t="shared" si="54"/>
        <v>595</v>
      </c>
      <c r="C605" s="246" t="s">
        <v>694</v>
      </c>
      <c r="D605" s="248">
        <f>Table3.110[[#This Row],[Date]]</f>
        <v>46055</v>
      </c>
      <c r="E605" s="230" t="str">
        <f>Table3.110[[#This Row],[Requisitioner]]</f>
        <v>Genbank</v>
      </c>
      <c r="F605" s="230" t="str">
        <f>Table3.110[[#This Row],[Gene Bank ID]]</f>
        <v>CIAT7826</v>
      </c>
      <c r="G605" s="230" t="str">
        <f>Table3.110[[#This Row],[Genus]]</f>
        <v>Tephrosia</v>
      </c>
      <c r="H605" s="230" t="str">
        <f>Table3.110[[#This Row],[Species]]</f>
        <v>purpurea</v>
      </c>
      <c r="I605" s="230" t="str">
        <f>Table3.110[[#This Row],[Tax Name]]</f>
        <v>Tephrosia purpurea</v>
      </c>
      <c r="J605" s="230" t="str">
        <f>Table3.110[[#This Row],[Family]]</f>
        <v>Fabaceae</v>
      </c>
      <c r="K605" s="230" t="str">
        <f>Table3.110[[#This Row],[Order]]</f>
        <v>Fabales</v>
      </c>
      <c r="L605" s="230" t="str">
        <f>Table3.110[[#This Row],[Functional Group]]</f>
        <v>Herbaceous</v>
      </c>
      <c r="M605" s="230" t="str">
        <f>Table3.110[[#This Row],[CIAT ID]]</f>
        <v>F252587</v>
      </c>
      <c r="N605" s="230">
        <f>Table3.110[[#This Row],[Set CIAT]]</f>
        <v>28</v>
      </c>
      <c r="O605" s="230">
        <f>Table3.110[[#This Row],[Batch]]</f>
        <v>62</v>
      </c>
      <c r="P605" s="230">
        <f>Table3.110[[#This Row],[Run]]</f>
        <v>2</v>
      </c>
      <c r="Q605" s="230">
        <f>Table3.110[[#This Row],[Replication]]</f>
        <v>2</v>
      </c>
      <c r="R605" s="230">
        <f>Table3.110[[#This Row],[Syrange No]]</f>
        <v>0</v>
      </c>
      <c r="S605" s="270">
        <v>0.58069999999999999</v>
      </c>
      <c r="T605" s="270">
        <v>0.92330000000000001</v>
      </c>
      <c r="U605" s="108"/>
      <c r="V605" s="122">
        <f t="shared" si="55"/>
        <v>0.34260000000000002</v>
      </c>
      <c r="W605" s="61">
        <f>Table3.110[[#This Row],[DM Incubated, mg]]-('3.2 Digest'!V605*1000)</f>
        <v>111.27500703643528</v>
      </c>
      <c r="X605" s="61">
        <f>W605/Table3.110[[#This Row],[DM Incubated, mg]]*100</f>
        <v>24.516663246782954</v>
      </c>
      <c r="Y605" s="37">
        <f>Table3.1[[#This Row],[DM Incubated, mg]]*'2.4 NDF'!R161/100</f>
        <v>243.13608554882481</v>
      </c>
      <c r="Z605" s="37">
        <f t="shared" si="52"/>
        <v>-99.463914451175214</v>
      </c>
      <c r="AA605" s="37">
        <f t="shared" si="53"/>
        <v>-40.908742207746698</v>
      </c>
      <c r="AB605" s="57"/>
    </row>
    <row r="606" spans="2:28" x14ac:dyDescent="0.35">
      <c r="B606" s="230">
        <f t="shared" si="54"/>
        <v>596</v>
      </c>
      <c r="C606" s="246" t="s">
        <v>694</v>
      </c>
      <c r="D606" s="248">
        <f>Table3.110[[#This Row],[Date]]</f>
        <v>46055</v>
      </c>
      <c r="E606" s="230" t="str">
        <f>Table3.110[[#This Row],[Requisitioner]]</f>
        <v>Genbank</v>
      </c>
      <c r="F606" s="230" t="str">
        <f>Table3.110[[#This Row],[Gene Bank ID]]</f>
        <v>CIAT7826</v>
      </c>
      <c r="G606" s="230" t="str">
        <f>Table3.110[[#This Row],[Genus]]</f>
        <v>Tephrosia</v>
      </c>
      <c r="H606" s="230" t="str">
        <f>Table3.110[[#This Row],[Species]]</f>
        <v>purpurea</v>
      </c>
      <c r="I606" s="230" t="str">
        <f>Table3.110[[#This Row],[Tax Name]]</f>
        <v>Tephrosia purpurea</v>
      </c>
      <c r="J606" s="230" t="str">
        <f>Table3.110[[#This Row],[Family]]</f>
        <v>Fabaceae</v>
      </c>
      <c r="K606" s="230" t="str">
        <f>Table3.110[[#This Row],[Order]]</f>
        <v>Fabales</v>
      </c>
      <c r="L606" s="230" t="str">
        <f>Table3.110[[#This Row],[Functional Group]]</f>
        <v>Herbaceous</v>
      </c>
      <c r="M606" s="230" t="str">
        <f>Table3.110[[#This Row],[CIAT ID]]</f>
        <v>F252587</v>
      </c>
      <c r="N606" s="230">
        <f>Table3.110[[#This Row],[Set CIAT]]</f>
        <v>28</v>
      </c>
      <c r="O606" s="230">
        <f>Table3.110[[#This Row],[Batch]]</f>
        <v>62</v>
      </c>
      <c r="P606" s="230">
        <f>Table3.110[[#This Row],[Run]]</f>
        <v>2</v>
      </c>
      <c r="Q606" s="230">
        <f>Table3.110[[#This Row],[Replication]]</f>
        <v>3</v>
      </c>
      <c r="R606" s="230">
        <f>Table3.110[[#This Row],[Syrange No]]</f>
        <v>0</v>
      </c>
      <c r="S606" s="270">
        <v>0.56169999999999998</v>
      </c>
      <c r="T606" s="270">
        <v>0.85309999999999997</v>
      </c>
      <c r="U606" s="108"/>
      <c r="V606" s="122">
        <f t="shared" si="55"/>
        <v>0.29139999999999999</v>
      </c>
      <c r="W606" s="61">
        <f>Table3.110[[#This Row],[DM Incubated, mg]]-('3.2 Digest'!V606*1000)</f>
        <v>162.74727758654717</v>
      </c>
      <c r="X606" s="61">
        <f>W606/Table3.110[[#This Row],[DM Incubated, mg]]*100</f>
        <v>35.835792840469537</v>
      </c>
      <c r="Y606" s="37">
        <f>Table3.1[[#This Row],[DM Incubated, mg]]*'2.4 NDF'!R161/100</f>
        <v>243.28193802965794</v>
      </c>
      <c r="Z606" s="37">
        <f t="shared" si="52"/>
        <v>-48.11806197034204</v>
      </c>
      <c r="AA606" s="37">
        <f t="shared" si="53"/>
        <v>-19.7787235501536</v>
      </c>
      <c r="AB606" s="57"/>
    </row>
    <row r="607" spans="2:28" x14ac:dyDescent="0.35">
      <c r="B607" s="230">
        <f t="shared" si="54"/>
        <v>597</v>
      </c>
      <c r="C607" s="246" t="s">
        <v>694</v>
      </c>
      <c r="D607" s="248">
        <f>Table3.110[[#This Row],[Date]]</f>
        <v>46055</v>
      </c>
      <c r="E607" s="230" t="str">
        <f>Table3.110[[#This Row],[Requisitioner]]</f>
        <v>Genbank</v>
      </c>
      <c r="F607" s="230" t="str">
        <f>Table3.110[[#This Row],[Gene Bank ID]]</f>
        <v>CIAT8014</v>
      </c>
      <c r="G607" s="230" t="str">
        <f>Table3.110[[#This Row],[Genus]]</f>
        <v>Crotalaria</v>
      </c>
      <c r="H607" s="230" t="str">
        <f>Table3.110[[#This Row],[Species]]</f>
        <v>retusa</v>
      </c>
      <c r="I607" s="230" t="str">
        <f>Table3.110[[#This Row],[Tax Name]]</f>
        <v>Crotalaria retusa</v>
      </c>
      <c r="J607" s="230" t="str">
        <f>Table3.110[[#This Row],[Family]]</f>
        <v>Fabaceae</v>
      </c>
      <c r="K607" s="230" t="str">
        <f>Table3.110[[#This Row],[Order]]</f>
        <v>Fabales</v>
      </c>
      <c r="L607" s="230" t="str">
        <f>Table3.110[[#This Row],[Functional Group]]</f>
        <v>Herbaceous</v>
      </c>
      <c r="M607" s="230" t="str">
        <f>Table3.110[[#This Row],[CIAT ID]]</f>
        <v>F252588</v>
      </c>
      <c r="N607" s="230">
        <f>Table3.110[[#This Row],[Set CIAT]]</f>
        <v>28</v>
      </c>
      <c r="O607" s="230">
        <f>Table3.110[[#This Row],[Batch]]</f>
        <v>62</v>
      </c>
      <c r="P607" s="230">
        <f>Table3.110[[#This Row],[Run]]</f>
        <v>2</v>
      </c>
      <c r="Q607" s="230">
        <f>Table3.110[[#This Row],[Replication]]</f>
        <v>1</v>
      </c>
      <c r="R607" s="230">
        <f>Table3.110[[#This Row],[Syrange No]]</f>
        <v>0</v>
      </c>
      <c r="S607" s="270">
        <v>0.56410000000000005</v>
      </c>
      <c r="T607" s="270">
        <v>0.78210000000000002</v>
      </c>
      <c r="U607" s="108"/>
      <c r="V607" s="122">
        <f t="shared" si="55"/>
        <v>0.21799999999999997</v>
      </c>
      <c r="W607" s="61">
        <f>Table3.110[[#This Row],[DM Incubated, mg]]-('3.2 Digest'!V607*1000)</f>
        <v>238.84349195241427</v>
      </c>
      <c r="X607" s="61">
        <f>W607/Table3.110[[#This Row],[DM Incubated, mg]]*100</f>
        <v>52.281250835306345</v>
      </c>
      <c r="Y607" s="37">
        <f>Table3.1[[#This Row],[DM Incubated, mg]]*'2.4 NDF'!R163/100</f>
        <v>250.7082498188403</v>
      </c>
      <c r="Z607" s="37">
        <f t="shared" si="52"/>
        <v>32.708249818840329</v>
      </c>
      <c r="AA607" s="37">
        <f t="shared" si="53"/>
        <v>13.046339656742465</v>
      </c>
      <c r="AB607" s="57"/>
    </row>
    <row r="608" spans="2:28" x14ac:dyDescent="0.35">
      <c r="B608" s="230">
        <f t="shared" si="54"/>
        <v>598</v>
      </c>
      <c r="C608" s="246" t="s">
        <v>694</v>
      </c>
      <c r="D608" s="248">
        <f>Table3.110[[#This Row],[Date]]</f>
        <v>46055</v>
      </c>
      <c r="E608" s="230" t="str">
        <f>Table3.110[[#This Row],[Requisitioner]]</f>
        <v>Genbank</v>
      </c>
      <c r="F608" s="230" t="str">
        <f>Table3.110[[#This Row],[Gene Bank ID]]</f>
        <v>CIAT8014</v>
      </c>
      <c r="G608" s="230" t="str">
        <f>Table3.110[[#This Row],[Genus]]</f>
        <v>Crotalaria</v>
      </c>
      <c r="H608" s="230" t="str">
        <f>Table3.110[[#This Row],[Species]]</f>
        <v>retusa</v>
      </c>
      <c r="I608" s="230" t="str">
        <f>Table3.110[[#This Row],[Tax Name]]</f>
        <v>Crotalaria retusa</v>
      </c>
      <c r="J608" s="230" t="str">
        <f>Table3.110[[#This Row],[Family]]</f>
        <v>Fabaceae</v>
      </c>
      <c r="K608" s="230" t="str">
        <f>Table3.110[[#This Row],[Order]]</f>
        <v>Fabales</v>
      </c>
      <c r="L608" s="230" t="str">
        <f>Table3.110[[#This Row],[Functional Group]]</f>
        <v>Herbaceous</v>
      </c>
      <c r="M608" s="230" t="str">
        <f>Table3.110[[#This Row],[CIAT ID]]</f>
        <v>F252588</v>
      </c>
      <c r="N608" s="230">
        <f>Table3.110[[#This Row],[Set CIAT]]</f>
        <v>28</v>
      </c>
      <c r="O608" s="230">
        <f>Table3.110[[#This Row],[Batch]]</f>
        <v>62</v>
      </c>
      <c r="P608" s="230">
        <f>Table3.110[[#This Row],[Run]]</f>
        <v>2</v>
      </c>
      <c r="Q608" s="230">
        <f>Table3.110[[#This Row],[Replication]]</f>
        <v>2</v>
      </c>
      <c r="R608" s="230">
        <f>Table3.110[[#This Row],[Syrange No]]</f>
        <v>0</v>
      </c>
      <c r="S608" s="270">
        <v>0.56279999999999997</v>
      </c>
      <c r="T608" s="270">
        <v>0.97160000000000002</v>
      </c>
      <c r="U608" s="108"/>
      <c r="V608" s="122">
        <f t="shared" si="55"/>
        <v>0.40880000000000005</v>
      </c>
      <c r="W608" s="61">
        <f>Table3.110[[#This Row],[DM Incubated, mg]]-('3.2 Digest'!V608*1000)</f>
        <v>47.860864132325275</v>
      </c>
      <c r="X608" s="61">
        <f>W608/Table3.110[[#This Row],[DM Incubated, mg]]*100</f>
        <v>10.480614366475855</v>
      </c>
      <c r="Y608" s="37">
        <f>Table3.1[[#This Row],[DM Incubated, mg]]*'2.4 NDF'!R163/100</f>
        <v>250.60802665281241</v>
      </c>
      <c r="Z608" s="37">
        <f t="shared" si="52"/>
        <v>-158.19197334718766</v>
      </c>
      <c r="AA608" s="37">
        <f t="shared" si="53"/>
        <v>-63.12326682430799</v>
      </c>
      <c r="AB608" s="57"/>
    </row>
    <row r="609" spans="2:28" x14ac:dyDescent="0.35">
      <c r="B609" s="230">
        <f t="shared" si="54"/>
        <v>599</v>
      </c>
      <c r="C609" s="246" t="s">
        <v>694</v>
      </c>
      <c r="D609" s="248">
        <f>Table3.110[[#This Row],[Date]]</f>
        <v>46055</v>
      </c>
      <c r="E609" s="230" t="str">
        <f>Table3.110[[#This Row],[Requisitioner]]</f>
        <v>Genbank</v>
      </c>
      <c r="F609" s="230" t="str">
        <f>Table3.110[[#This Row],[Gene Bank ID]]</f>
        <v>CIAT8014</v>
      </c>
      <c r="G609" s="230" t="str">
        <f>Table3.110[[#This Row],[Genus]]</f>
        <v>Crotalaria</v>
      </c>
      <c r="H609" s="230" t="str">
        <f>Table3.110[[#This Row],[Species]]</f>
        <v>retusa</v>
      </c>
      <c r="I609" s="230" t="str">
        <f>Table3.110[[#This Row],[Tax Name]]</f>
        <v>Crotalaria retusa</v>
      </c>
      <c r="J609" s="230" t="str">
        <f>Table3.110[[#This Row],[Family]]</f>
        <v>Fabaceae</v>
      </c>
      <c r="K609" s="230" t="str">
        <f>Table3.110[[#This Row],[Order]]</f>
        <v>Fabales</v>
      </c>
      <c r="L609" s="230" t="str">
        <f>Table3.110[[#This Row],[Functional Group]]</f>
        <v>Herbaceous</v>
      </c>
      <c r="M609" s="230" t="str">
        <f>Table3.110[[#This Row],[CIAT ID]]</f>
        <v>F252588</v>
      </c>
      <c r="N609" s="230">
        <f>Table3.110[[#This Row],[Set CIAT]]</f>
        <v>28</v>
      </c>
      <c r="O609" s="230">
        <f>Table3.110[[#This Row],[Batch]]</f>
        <v>62</v>
      </c>
      <c r="P609" s="230">
        <f>Table3.110[[#This Row],[Run]]</f>
        <v>2</v>
      </c>
      <c r="Q609" s="230">
        <f>Table3.110[[#This Row],[Replication]]</f>
        <v>3</v>
      </c>
      <c r="R609" s="230">
        <f>Table3.110[[#This Row],[Syrange No]]</f>
        <v>0</v>
      </c>
      <c r="S609" s="270">
        <v>0.56789999999999996</v>
      </c>
      <c r="T609" s="270">
        <v>0.82469999999999999</v>
      </c>
      <c r="U609" s="108"/>
      <c r="V609" s="122">
        <f t="shared" si="55"/>
        <v>0.25680000000000003</v>
      </c>
      <c r="W609" s="61">
        <f>Table3.110[[#This Row],[DM Incubated, mg]]-('3.2 Digest'!V609*1000)</f>
        <v>200.31743368254763</v>
      </c>
      <c r="X609" s="61">
        <f>W609/Table3.110[[#This Row],[DM Incubated, mg]]*100</f>
        <v>43.821875719940536</v>
      </c>
      <c r="Y609" s="37">
        <f>Table3.1[[#This Row],[DM Incubated, mg]]*'2.4 NDF'!R163/100</f>
        <v>250.85858456788222</v>
      </c>
      <c r="Z609" s="37">
        <f t="shared" si="52"/>
        <v>-5.9414154321177932</v>
      </c>
      <c r="AA609" s="37">
        <f t="shared" si="53"/>
        <v>-2.368432175582992</v>
      </c>
      <c r="AB609" s="57"/>
    </row>
    <row r="610" spans="2:28" x14ac:dyDescent="0.35">
      <c r="B610" s="230">
        <f t="shared" si="54"/>
        <v>600</v>
      </c>
      <c r="C610" s="246" t="s">
        <v>694</v>
      </c>
      <c r="D610" s="248">
        <f>Table3.110[[#This Row],[Date]]</f>
        <v>46055</v>
      </c>
      <c r="E610" s="230" t="str">
        <f>Table3.110[[#This Row],[Requisitioner]]</f>
        <v>Genbank</v>
      </c>
      <c r="F610" s="230" t="str">
        <f>Table3.110[[#This Row],[Gene Bank ID]]</f>
        <v>CIAT8849</v>
      </c>
      <c r="G610" s="230" t="str">
        <f>Table3.110[[#This Row],[Genus]]</f>
        <v>Zornia</v>
      </c>
      <c r="H610" s="230" t="str">
        <f>Table3.110[[#This Row],[Species]]</f>
        <v>brasiliensis</v>
      </c>
      <c r="I610" s="230" t="str">
        <f>Table3.110[[#This Row],[Tax Name]]</f>
        <v>Zornia brasiliensis</v>
      </c>
      <c r="J610" s="230" t="str">
        <f>Table3.110[[#This Row],[Family]]</f>
        <v>Fabaceae</v>
      </c>
      <c r="K610" s="230" t="str">
        <f>Table3.110[[#This Row],[Order]]</f>
        <v>Fabales</v>
      </c>
      <c r="L610" s="230" t="str">
        <f>Table3.110[[#This Row],[Functional Group]]</f>
        <v>Herbaceous</v>
      </c>
      <c r="M610" s="230" t="str">
        <f>Table3.110[[#This Row],[CIAT ID]]</f>
        <v>F252589</v>
      </c>
      <c r="N610" s="230">
        <f>Table3.110[[#This Row],[Set CIAT]]</f>
        <v>28</v>
      </c>
      <c r="O610" s="230">
        <f>Table3.110[[#This Row],[Batch]]</f>
        <v>62</v>
      </c>
      <c r="P610" s="230">
        <f>Table3.110[[#This Row],[Run]]</f>
        <v>2</v>
      </c>
      <c r="Q610" s="230">
        <f>Table3.110[[#This Row],[Replication]]</f>
        <v>1</v>
      </c>
      <c r="R610" s="230">
        <f>Table3.110[[#This Row],[Syrange No]]</f>
        <v>0</v>
      </c>
      <c r="S610" s="270">
        <v>0.58679999999999999</v>
      </c>
      <c r="T610" s="270">
        <v>0.86799999999999999</v>
      </c>
      <c r="U610" s="108"/>
      <c r="V610" s="122">
        <f t="shared" si="55"/>
        <v>0.28120000000000001</v>
      </c>
      <c r="W610" s="61">
        <f>Table3.110[[#This Row],[DM Incubated, mg]]-('3.2 Digest'!V610*1000)</f>
        <v>170.25794322967732</v>
      </c>
      <c r="X610" s="61">
        <f>W610/Table3.110[[#This Row],[DM Incubated, mg]]*100</f>
        <v>37.712913413743905</v>
      </c>
      <c r="Y610" s="37">
        <f>Table3.1[[#This Row],[DM Incubated, mg]]*'2.4 NDF'!R165/100</f>
        <v>234.55599014335647</v>
      </c>
      <c r="Z610" s="37">
        <f t="shared" si="52"/>
        <v>-46.644009856643521</v>
      </c>
      <c r="AA610" s="37">
        <f t="shared" si="53"/>
        <v>-19.886087679165872</v>
      </c>
      <c r="AB610" s="57"/>
    </row>
    <row r="611" spans="2:28" x14ac:dyDescent="0.35">
      <c r="B611" s="230">
        <f t="shared" si="54"/>
        <v>601</v>
      </c>
      <c r="C611" s="246" t="s">
        <v>694</v>
      </c>
      <c r="D611" s="248">
        <f>Table3.110[[#This Row],[Date]]</f>
        <v>46055</v>
      </c>
      <c r="E611" s="230" t="str">
        <f>Table3.110[[#This Row],[Requisitioner]]</f>
        <v>Genbank</v>
      </c>
      <c r="F611" s="230" t="str">
        <f>Table3.110[[#This Row],[Gene Bank ID]]</f>
        <v>CIAT8849</v>
      </c>
      <c r="G611" s="230" t="str">
        <f>Table3.110[[#This Row],[Genus]]</f>
        <v>Zornia</v>
      </c>
      <c r="H611" s="230" t="str">
        <f>Table3.110[[#This Row],[Species]]</f>
        <v>brasiliensis</v>
      </c>
      <c r="I611" s="230" t="str">
        <f>Table3.110[[#This Row],[Tax Name]]</f>
        <v>Zornia brasiliensis</v>
      </c>
      <c r="J611" s="230" t="str">
        <f>Table3.110[[#This Row],[Family]]</f>
        <v>Fabaceae</v>
      </c>
      <c r="K611" s="230" t="str">
        <f>Table3.110[[#This Row],[Order]]</f>
        <v>Fabales</v>
      </c>
      <c r="L611" s="230" t="str">
        <f>Table3.110[[#This Row],[Functional Group]]</f>
        <v>Herbaceous</v>
      </c>
      <c r="M611" s="230" t="str">
        <f>Table3.110[[#This Row],[CIAT ID]]</f>
        <v>F252589</v>
      </c>
      <c r="N611" s="230">
        <f>Table3.110[[#This Row],[Set CIAT]]</f>
        <v>28</v>
      </c>
      <c r="O611" s="230">
        <f>Table3.110[[#This Row],[Batch]]</f>
        <v>62</v>
      </c>
      <c r="P611" s="230">
        <f>Table3.110[[#This Row],[Run]]</f>
        <v>2</v>
      </c>
      <c r="Q611" s="230">
        <f>Table3.110[[#This Row],[Replication]]</f>
        <v>2</v>
      </c>
      <c r="R611" s="230">
        <f>Table3.110[[#This Row],[Syrange No]]</f>
        <v>0</v>
      </c>
      <c r="S611" s="270">
        <v>0.61040000000000005</v>
      </c>
      <c r="T611" s="270">
        <v>0.9012</v>
      </c>
      <c r="U611" s="108"/>
      <c r="V611" s="122">
        <f t="shared" si="55"/>
        <v>0.29079999999999995</v>
      </c>
      <c r="W611" s="61">
        <f>Table3.110[[#This Row],[DM Incubated, mg]]-('3.2 Digest'!V611*1000)</f>
        <v>160.83845420258001</v>
      </c>
      <c r="X611" s="61">
        <f>W611/Table3.110[[#This Row],[DM Incubated, mg]]*100</f>
        <v>35.612214306808518</v>
      </c>
      <c r="Y611" s="37">
        <f>Table3.1[[#This Row],[DM Incubated, mg]]*'2.4 NDF'!R165/100</f>
        <v>234.64977502546094</v>
      </c>
      <c r="Z611" s="37">
        <f t="shared" si="52"/>
        <v>-56.150224974539015</v>
      </c>
      <c r="AA611" s="37">
        <f t="shared" si="53"/>
        <v>-23.929375158551235</v>
      </c>
      <c r="AB611" s="57"/>
    </row>
    <row r="612" spans="2:28" x14ac:dyDescent="0.35">
      <c r="B612" s="230">
        <f t="shared" si="54"/>
        <v>602</v>
      </c>
      <c r="C612" s="246" t="s">
        <v>694</v>
      </c>
      <c r="D612" s="248">
        <f>Table3.110[[#This Row],[Date]]</f>
        <v>46055</v>
      </c>
      <c r="E612" s="230" t="str">
        <f>Table3.110[[#This Row],[Requisitioner]]</f>
        <v>Genbank</v>
      </c>
      <c r="F612" s="230" t="str">
        <f>Table3.110[[#This Row],[Gene Bank ID]]</f>
        <v>CIAT8849</v>
      </c>
      <c r="G612" s="230" t="str">
        <f>Table3.110[[#This Row],[Genus]]</f>
        <v>Zornia</v>
      </c>
      <c r="H612" s="230" t="str">
        <f>Table3.110[[#This Row],[Species]]</f>
        <v>brasiliensis</v>
      </c>
      <c r="I612" s="230" t="str">
        <f>Table3.110[[#This Row],[Tax Name]]</f>
        <v>Zornia brasiliensis</v>
      </c>
      <c r="J612" s="230" t="str">
        <f>Table3.110[[#This Row],[Family]]</f>
        <v>Fabaceae</v>
      </c>
      <c r="K612" s="230" t="str">
        <f>Table3.110[[#This Row],[Order]]</f>
        <v>Fabales</v>
      </c>
      <c r="L612" s="230" t="str">
        <f>Table3.110[[#This Row],[Functional Group]]</f>
        <v>Herbaceous</v>
      </c>
      <c r="M612" s="230" t="str">
        <f>Table3.110[[#This Row],[CIAT ID]]</f>
        <v>F252589</v>
      </c>
      <c r="N612" s="230">
        <f>Table3.110[[#This Row],[Set CIAT]]</f>
        <v>28</v>
      </c>
      <c r="O612" s="230">
        <f>Table3.110[[#This Row],[Batch]]</f>
        <v>62</v>
      </c>
      <c r="P612" s="230">
        <f>Table3.110[[#This Row],[Run]]</f>
        <v>2</v>
      </c>
      <c r="Q612" s="230">
        <f>Table3.110[[#This Row],[Replication]]</f>
        <v>3</v>
      </c>
      <c r="R612" s="230">
        <f>Table3.110[[#This Row],[Syrange No]]</f>
        <v>0</v>
      </c>
      <c r="S612" s="270">
        <v>0.58209999999999995</v>
      </c>
      <c r="T612" s="270">
        <v>0.8468</v>
      </c>
      <c r="U612" s="108"/>
      <c r="V612" s="122">
        <f t="shared" si="55"/>
        <v>0.26470000000000005</v>
      </c>
      <c r="W612" s="61">
        <f>Table3.110[[#This Row],[DM Incubated, mg]]-('3.2 Digest'!V612*1000)</f>
        <v>186.66768774322594</v>
      </c>
      <c r="X612" s="61">
        <f>W612/Table3.110[[#This Row],[DM Incubated, mg]]*100</f>
        <v>41.356014799494787</v>
      </c>
      <c r="Y612" s="37">
        <f>Table3.1[[#This Row],[DM Incubated, mg]]*'2.4 NDF'!R165/100</f>
        <v>234.50909770230425</v>
      </c>
      <c r="Z612" s="37">
        <f t="shared" si="52"/>
        <v>-30.1909022976958</v>
      </c>
      <c r="AA612" s="37">
        <f t="shared" si="53"/>
        <v>-12.874085736333098</v>
      </c>
      <c r="AB612" s="57"/>
    </row>
    <row r="613" spans="2:28" x14ac:dyDescent="0.35">
      <c r="B613" s="230">
        <f t="shared" si="54"/>
        <v>603</v>
      </c>
      <c r="C613" s="246" t="s">
        <v>694</v>
      </c>
      <c r="D613" s="248">
        <f>Table3.110[[#This Row],[Date]]</f>
        <v>46055</v>
      </c>
      <c r="E613" s="230" t="str">
        <f>Table3.110[[#This Row],[Requisitioner]]</f>
        <v>Genbank</v>
      </c>
      <c r="F613" s="230" t="str">
        <f>Table3.110[[#This Row],[Gene Bank ID]]</f>
        <v>CIAT9326</v>
      </c>
      <c r="G613" s="230" t="str">
        <f>Table3.110[[#This Row],[Genus]]</f>
        <v>Crotalaria</v>
      </c>
      <c r="H613" s="230" t="str">
        <f>Table3.110[[#This Row],[Species]]</f>
        <v>retusa</v>
      </c>
      <c r="I613" s="230" t="str">
        <f>Table3.110[[#This Row],[Tax Name]]</f>
        <v>Crotalaria retusa</v>
      </c>
      <c r="J613" s="230" t="str">
        <f>Table3.110[[#This Row],[Family]]</f>
        <v>Fabaceae</v>
      </c>
      <c r="K613" s="230" t="str">
        <f>Table3.110[[#This Row],[Order]]</f>
        <v>Fabales</v>
      </c>
      <c r="L613" s="230" t="str">
        <f>Table3.110[[#This Row],[Functional Group]]</f>
        <v>Herbaceous</v>
      </c>
      <c r="M613" s="230" t="str">
        <f>Table3.110[[#This Row],[CIAT ID]]</f>
        <v>F252590</v>
      </c>
      <c r="N613" s="230">
        <f>Table3.110[[#This Row],[Set CIAT]]</f>
        <v>28</v>
      </c>
      <c r="O613" s="230">
        <f>Table3.110[[#This Row],[Batch]]</f>
        <v>62</v>
      </c>
      <c r="P613" s="230">
        <f>Table3.110[[#This Row],[Run]]</f>
        <v>2</v>
      </c>
      <c r="Q613" s="230">
        <f>Table3.110[[#This Row],[Replication]]</f>
        <v>1</v>
      </c>
      <c r="R613" s="230">
        <f>Table3.110[[#This Row],[Syrange No]]</f>
        <v>0</v>
      </c>
      <c r="S613" s="270">
        <v>0.57420000000000004</v>
      </c>
      <c r="T613" s="270">
        <v>0.99509999999999998</v>
      </c>
      <c r="U613" s="108"/>
      <c r="V613" s="122">
        <f t="shared" si="55"/>
        <v>0.42089999999999994</v>
      </c>
      <c r="W613" s="61">
        <f>Table3.110[[#This Row],[DM Incubated, mg]]-('3.2 Digest'!V613*1000)</f>
        <v>39.589026097390104</v>
      </c>
      <c r="X613" s="61">
        <f>W613/Table3.110[[#This Row],[DM Incubated, mg]]*100</f>
        <v>8.5971703675338649</v>
      </c>
      <c r="Y613" s="37">
        <f>Table3.1[[#This Row],[DM Incubated, mg]]*'2.4 NDF'!R167/100</f>
        <v>230.2085800953364</v>
      </c>
      <c r="Z613" s="37">
        <f t="shared" si="52"/>
        <v>-190.69141990466352</v>
      </c>
      <c r="AA613" s="37">
        <f t="shared" si="53"/>
        <v>-82.834193158957135</v>
      </c>
      <c r="AB613" s="57"/>
    </row>
    <row r="614" spans="2:28" x14ac:dyDescent="0.35">
      <c r="B614" s="230">
        <f t="shared" si="54"/>
        <v>604</v>
      </c>
      <c r="C614" s="246" t="s">
        <v>694</v>
      </c>
      <c r="D614" s="248">
        <f>Table3.110[[#This Row],[Date]]</f>
        <v>46055</v>
      </c>
      <c r="E614" s="230" t="str">
        <f>Table3.110[[#This Row],[Requisitioner]]</f>
        <v>Genbank</v>
      </c>
      <c r="F614" s="230" t="str">
        <f>Table3.110[[#This Row],[Gene Bank ID]]</f>
        <v>CIAT9326</v>
      </c>
      <c r="G614" s="230" t="str">
        <f>Table3.110[[#This Row],[Genus]]</f>
        <v>Crotalaria</v>
      </c>
      <c r="H614" s="230" t="str">
        <f>Table3.110[[#This Row],[Species]]</f>
        <v>retusa</v>
      </c>
      <c r="I614" s="230" t="str">
        <f>Table3.110[[#This Row],[Tax Name]]</f>
        <v>Crotalaria retusa</v>
      </c>
      <c r="J614" s="230" t="str">
        <f>Table3.110[[#This Row],[Family]]</f>
        <v>Fabaceae</v>
      </c>
      <c r="K614" s="230" t="str">
        <f>Table3.110[[#This Row],[Order]]</f>
        <v>Fabales</v>
      </c>
      <c r="L614" s="230" t="str">
        <f>Table3.110[[#This Row],[Functional Group]]</f>
        <v>Herbaceous</v>
      </c>
      <c r="M614" s="230" t="str">
        <f>Table3.110[[#This Row],[CIAT ID]]</f>
        <v>F252590</v>
      </c>
      <c r="N614" s="230">
        <f>Table3.110[[#This Row],[Set CIAT]]</f>
        <v>28</v>
      </c>
      <c r="O614" s="230">
        <f>Table3.110[[#This Row],[Batch]]</f>
        <v>62</v>
      </c>
      <c r="P614" s="230">
        <f>Table3.110[[#This Row],[Run]]</f>
        <v>2</v>
      </c>
      <c r="Q614" s="230">
        <f>Table3.110[[#This Row],[Replication]]</f>
        <v>2</v>
      </c>
      <c r="R614" s="230">
        <f>Table3.110[[#This Row],[Syrange No]]</f>
        <v>0</v>
      </c>
      <c r="S614" s="270">
        <v>0.6109</v>
      </c>
      <c r="T614" s="270">
        <v>0.89059999999999995</v>
      </c>
      <c r="U614" s="108"/>
      <c r="V614" s="122">
        <f t="shared" si="55"/>
        <v>0.27969999999999995</v>
      </c>
      <c r="W614" s="61">
        <f>Table3.110[[#This Row],[DM Incubated, mg]]-('3.2 Digest'!V614*1000)</f>
        <v>180.42100289970989</v>
      </c>
      <c r="X614" s="61">
        <f>W614/Table3.110[[#This Row],[DM Incubated, mg]]*100</f>
        <v>39.21164253809021</v>
      </c>
      <c r="Y614" s="37">
        <f>Table3.1[[#This Row],[DM Incubated, mg]]*'2.4 NDF'!R167/100</f>
        <v>230.02459721414132</v>
      </c>
      <c r="Z614" s="37">
        <f t="shared" si="52"/>
        <v>-49.675402785858608</v>
      </c>
      <c r="AA614" s="37">
        <f t="shared" si="53"/>
        <v>-21.595691672753286</v>
      </c>
      <c r="AB614" s="57"/>
    </row>
    <row r="615" spans="2:28" x14ac:dyDescent="0.35">
      <c r="B615" s="230">
        <f t="shared" si="54"/>
        <v>605</v>
      </c>
      <c r="C615" s="246" t="s">
        <v>694</v>
      </c>
      <c r="D615" s="248">
        <f>Table3.110[[#This Row],[Date]]</f>
        <v>46055</v>
      </c>
      <c r="E615" s="230" t="str">
        <f>Table3.110[[#This Row],[Requisitioner]]</f>
        <v>Genbank</v>
      </c>
      <c r="F615" s="230" t="str">
        <f>Table3.110[[#This Row],[Gene Bank ID]]</f>
        <v>CIAT9326</v>
      </c>
      <c r="G615" s="230" t="str">
        <f>Table3.110[[#This Row],[Genus]]</f>
        <v>Crotalaria</v>
      </c>
      <c r="H615" s="230" t="str">
        <f>Table3.110[[#This Row],[Species]]</f>
        <v>retusa</v>
      </c>
      <c r="I615" s="230" t="str">
        <f>Table3.110[[#This Row],[Tax Name]]</f>
        <v>Crotalaria retusa</v>
      </c>
      <c r="J615" s="230" t="str">
        <f>Table3.110[[#This Row],[Family]]</f>
        <v>Fabaceae</v>
      </c>
      <c r="K615" s="230" t="str">
        <f>Table3.110[[#This Row],[Order]]</f>
        <v>Fabales</v>
      </c>
      <c r="L615" s="230" t="str">
        <f>Table3.110[[#This Row],[Functional Group]]</f>
        <v>Herbaceous</v>
      </c>
      <c r="M615" s="230" t="str">
        <f>Table3.110[[#This Row],[CIAT ID]]</f>
        <v>F252590</v>
      </c>
      <c r="N615" s="230">
        <f>Table3.110[[#This Row],[Set CIAT]]</f>
        <v>28</v>
      </c>
      <c r="O615" s="230">
        <f>Table3.110[[#This Row],[Batch]]</f>
        <v>62</v>
      </c>
      <c r="P615" s="230">
        <f>Table3.110[[#This Row],[Run]]</f>
        <v>2</v>
      </c>
      <c r="Q615" s="230">
        <f>Table3.110[[#This Row],[Replication]]</f>
        <v>3</v>
      </c>
      <c r="R615" s="230">
        <f>Table3.110[[#This Row],[Syrange No]]</f>
        <v>0</v>
      </c>
      <c r="S615" s="270">
        <v>0.59870000000000001</v>
      </c>
      <c r="T615" s="270">
        <v>0.90669999999999995</v>
      </c>
      <c r="U615" s="108"/>
      <c r="V615" s="122">
        <f t="shared" si="55"/>
        <v>0.30799999999999994</v>
      </c>
      <c r="W615" s="61">
        <f>Table3.110[[#This Row],[DM Incubated, mg]]-('3.2 Digest'!V615*1000)</f>
        <v>152.12100289970988</v>
      </c>
      <c r="X615" s="61">
        <f>W615/Table3.110[[#This Row],[DM Incubated, mg]]*100</f>
        <v>33.061086527464361</v>
      </c>
      <c r="Y615" s="37">
        <f>Table3.1[[#This Row],[DM Incubated, mg]]*'2.4 NDF'!R167/100</f>
        <v>230.02459721414132</v>
      </c>
      <c r="Z615" s="37">
        <f t="shared" si="52"/>
        <v>-77.97540278585862</v>
      </c>
      <c r="AA615" s="37">
        <f t="shared" si="53"/>
        <v>-33.898723758341134</v>
      </c>
      <c r="AB615" s="57"/>
    </row>
    <row r="616" spans="2:28" x14ac:dyDescent="0.35">
      <c r="B616" s="230">
        <f t="shared" si="54"/>
        <v>606</v>
      </c>
      <c r="C616" s="246" t="s">
        <v>694</v>
      </c>
      <c r="D616" s="248">
        <f>Table3.110[[#This Row],[Date]]</f>
        <v>46055</v>
      </c>
      <c r="E616" s="230" t="str">
        <f>Table3.110[[#This Row],[Requisitioner]]</f>
        <v>Genbank</v>
      </c>
      <c r="F616" s="230" t="str">
        <f>Table3.110[[#This Row],[Gene Bank ID]]</f>
        <v>CIAT9337</v>
      </c>
      <c r="G616" s="230" t="str">
        <f>Table3.110[[#This Row],[Genus]]</f>
        <v>Crotalaria</v>
      </c>
      <c r="H616" s="230" t="str">
        <f>Table3.110[[#This Row],[Species]]</f>
        <v>retusa</v>
      </c>
      <c r="I616" s="230" t="str">
        <f>Table3.110[[#This Row],[Tax Name]]</f>
        <v>Crotalaria retusa</v>
      </c>
      <c r="J616" s="230" t="str">
        <f>Table3.110[[#This Row],[Family]]</f>
        <v>Fabaceae</v>
      </c>
      <c r="K616" s="230" t="str">
        <f>Table3.110[[#This Row],[Order]]</f>
        <v>Fabales</v>
      </c>
      <c r="L616" s="230" t="str">
        <f>Table3.110[[#This Row],[Functional Group]]</f>
        <v>Herbaceous</v>
      </c>
      <c r="M616" s="230" t="str">
        <f>Table3.110[[#This Row],[CIAT ID]]</f>
        <v>F252591</v>
      </c>
      <c r="N616" s="230">
        <f>Table3.110[[#This Row],[Set CIAT]]</f>
        <v>28</v>
      </c>
      <c r="O616" s="230">
        <f>Table3.110[[#This Row],[Batch]]</f>
        <v>62</v>
      </c>
      <c r="P616" s="230">
        <f>Table3.110[[#This Row],[Run]]</f>
        <v>2</v>
      </c>
      <c r="Q616" s="230">
        <f>Table3.110[[#This Row],[Replication]]</f>
        <v>1</v>
      </c>
      <c r="R616" s="230">
        <f>Table3.110[[#This Row],[Syrange No]]</f>
        <v>0</v>
      </c>
      <c r="S616" s="270">
        <v>0.57520000000000004</v>
      </c>
      <c r="T616" s="270">
        <v>0.81820000000000004</v>
      </c>
      <c r="U616" s="108"/>
      <c r="V616" s="122">
        <f t="shared" si="55"/>
        <v>0.24299999999999999</v>
      </c>
      <c r="W616" s="61">
        <f>Table3.110[[#This Row],[DM Incubated, mg]]-('3.2 Digest'!V616*1000)</f>
        <v>218.38973517171809</v>
      </c>
      <c r="X616" s="61">
        <f>W616/Table3.110[[#This Row],[DM Incubated, mg]]*100</f>
        <v>47.333028570832575</v>
      </c>
      <c r="Y616" s="37">
        <f>Table3.1[[#This Row],[DM Incubated, mg]]*'2.4 NDF'!R169/100</f>
        <v>217.42102934250499</v>
      </c>
      <c r="Z616" s="37">
        <f t="shared" si="52"/>
        <v>-25.578970657495006</v>
      </c>
      <c r="AA616" s="37">
        <f t="shared" si="53"/>
        <v>-11.764717854039896</v>
      </c>
      <c r="AB616" s="57"/>
    </row>
    <row r="617" spans="2:28" x14ac:dyDescent="0.35">
      <c r="B617" s="230">
        <f t="shared" si="54"/>
        <v>607</v>
      </c>
      <c r="C617" s="246" t="s">
        <v>694</v>
      </c>
      <c r="D617" s="248">
        <f>Table3.110[[#This Row],[Date]]</f>
        <v>46055</v>
      </c>
      <c r="E617" s="230" t="str">
        <f>Table3.110[[#This Row],[Requisitioner]]</f>
        <v>Genbank</v>
      </c>
      <c r="F617" s="230" t="str">
        <f>Table3.110[[#This Row],[Gene Bank ID]]</f>
        <v>CIAT9337</v>
      </c>
      <c r="G617" s="230" t="str">
        <f>Table3.110[[#This Row],[Genus]]</f>
        <v>Crotalaria</v>
      </c>
      <c r="H617" s="230" t="str">
        <f>Table3.110[[#This Row],[Species]]</f>
        <v>retusa</v>
      </c>
      <c r="I617" s="230" t="str">
        <f>Table3.110[[#This Row],[Tax Name]]</f>
        <v>Crotalaria retusa</v>
      </c>
      <c r="J617" s="230" t="str">
        <f>Table3.110[[#This Row],[Family]]</f>
        <v>Fabaceae</v>
      </c>
      <c r="K617" s="230" t="str">
        <f>Table3.110[[#This Row],[Order]]</f>
        <v>Fabales</v>
      </c>
      <c r="L617" s="230" t="str">
        <f>Table3.110[[#This Row],[Functional Group]]</f>
        <v>Herbaceous</v>
      </c>
      <c r="M617" s="230" t="str">
        <f>Table3.110[[#This Row],[CIAT ID]]</f>
        <v>F252591</v>
      </c>
      <c r="N617" s="230">
        <f>Table3.110[[#This Row],[Set CIAT]]</f>
        <v>28</v>
      </c>
      <c r="O617" s="230">
        <f>Table3.110[[#This Row],[Batch]]</f>
        <v>62</v>
      </c>
      <c r="P617" s="230">
        <f>Table3.110[[#This Row],[Run]]</f>
        <v>2</v>
      </c>
      <c r="Q617" s="230">
        <f>Table3.110[[#This Row],[Replication]]</f>
        <v>2</v>
      </c>
      <c r="R617" s="230">
        <f>Table3.110[[#This Row],[Syrange No]]</f>
        <v>0</v>
      </c>
      <c r="S617" s="270">
        <v>0.60350000000000004</v>
      </c>
      <c r="T617" s="270">
        <v>0.84540000000000004</v>
      </c>
      <c r="U617" s="108"/>
      <c r="V617" s="122">
        <f t="shared" si="55"/>
        <v>0.2419</v>
      </c>
      <c r="W617" s="61">
        <f>Table3.110[[#This Row],[DM Incubated, mg]]-('3.2 Digest'!V617*1000)</f>
        <v>219.48973517171808</v>
      </c>
      <c r="X617" s="61">
        <f>W617/Table3.110[[#This Row],[DM Incubated, mg]]*100</f>
        <v>47.571438729565436</v>
      </c>
      <c r="Y617" s="37">
        <f>Table3.1[[#This Row],[DM Incubated, mg]]*'2.4 NDF'!R169/100</f>
        <v>217.42102934250499</v>
      </c>
      <c r="Z617" s="37">
        <f t="shared" si="52"/>
        <v>-24.478970657495012</v>
      </c>
      <c r="AA617" s="37">
        <f t="shared" si="53"/>
        <v>-11.258787032478402</v>
      </c>
      <c r="AB617" s="57"/>
    </row>
    <row r="618" spans="2:28" x14ac:dyDescent="0.35">
      <c r="B618" s="230">
        <f t="shared" si="54"/>
        <v>608</v>
      </c>
      <c r="C618" s="246" t="s">
        <v>694</v>
      </c>
      <c r="D618" s="248">
        <f>Table3.110[[#This Row],[Date]]</f>
        <v>46055</v>
      </c>
      <c r="E618" s="230" t="str">
        <f>Table3.110[[#This Row],[Requisitioner]]</f>
        <v>Genbank</v>
      </c>
      <c r="F618" s="230" t="str">
        <f>Table3.110[[#This Row],[Gene Bank ID]]</f>
        <v>CIAT9337</v>
      </c>
      <c r="G618" s="230" t="str">
        <f>Table3.110[[#This Row],[Genus]]</f>
        <v>Crotalaria</v>
      </c>
      <c r="H618" s="230" t="str">
        <f>Table3.110[[#This Row],[Species]]</f>
        <v>retusa</v>
      </c>
      <c r="I618" s="230" t="str">
        <f>Table3.110[[#This Row],[Tax Name]]</f>
        <v>Crotalaria retusa</v>
      </c>
      <c r="J618" s="230" t="str">
        <f>Table3.110[[#This Row],[Family]]</f>
        <v>Fabaceae</v>
      </c>
      <c r="K618" s="230" t="str">
        <f>Table3.110[[#This Row],[Order]]</f>
        <v>Fabales</v>
      </c>
      <c r="L618" s="230" t="str">
        <f>Table3.110[[#This Row],[Functional Group]]</f>
        <v>Herbaceous</v>
      </c>
      <c r="M618" s="230" t="str">
        <f>Table3.110[[#This Row],[CIAT ID]]</f>
        <v>F252591</v>
      </c>
      <c r="N618" s="230">
        <f>Table3.110[[#This Row],[Set CIAT]]</f>
        <v>28</v>
      </c>
      <c r="O618" s="230">
        <f>Table3.110[[#This Row],[Batch]]</f>
        <v>62</v>
      </c>
      <c r="P618" s="230">
        <f>Table3.110[[#This Row],[Run]]</f>
        <v>2</v>
      </c>
      <c r="Q618" s="230">
        <f>Table3.110[[#This Row],[Replication]]</f>
        <v>3</v>
      </c>
      <c r="R618" s="230">
        <f>Table3.110[[#This Row],[Syrange No]]</f>
        <v>0</v>
      </c>
      <c r="S618" s="270">
        <v>0.59160000000000001</v>
      </c>
      <c r="T618" s="270">
        <v>0.90990000000000004</v>
      </c>
      <c r="U618" s="108"/>
      <c r="V618" s="122">
        <f t="shared" si="55"/>
        <v>0.31830000000000003</v>
      </c>
      <c r="W618" s="61">
        <f>Table3.110[[#This Row],[DM Incubated, mg]]-('3.2 Digest'!V618*1000)</f>
        <v>142.90540047928033</v>
      </c>
      <c r="X618" s="61">
        <f>W618/Table3.110[[#This Row],[DM Incubated, mg]]*100</f>
        <v>30.985196689105194</v>
      </c>
      <c r="Y618" s="37">
        <f>Table3.1[[#This Row],[DM Incubated, mg]]*'2.4 NDF'!R169/100</f>
        <v>217.33416516777768</v>
      </c>
      <c r="Z618" s="37">
        <f t="shared" si="52"/>
        <v>-100.96583483222233</v>
      </c>
      <c r="AA618" s="37">
        <f t="shared" si="53"/>
        <v>-46.456494658480729</v>
      </c>
      <c r="AB618" s="57"/>
    </row>
    <row r="619" spans="2:28" x14ac:dyDescent="0.35">
      <c r="B619" s="230">
        <f t="shared" si="54"/>
        <v>609</v>
      </c>
      <c r="C619" s="246" t="s">
        <v>694</v>
      </c>
      <c r="D619" s="248">
        <f>Table3.110[[#This Row],[Date]]</f>
        <v>46055</v>
      </c>
      <c r="E619" s="230" t="str">
        <f>Table3.110[[#This Row],[Requisitioner]]</f>
        <v>Genbank</v>
      </c>
      <c r="F619" s="230" t="str">
        <f>Table3.110[[#This Row],[Gene Bank ID]]</f>
        <v>CIAT9350</v>
      </c>
      <c r="G619" s="230" t="str">
        <f>Table3.110[[#This Row],[Genus]]</f>
        <v>Crotalaria</v>
      </c>
      <c r="H619" s="230" t="str">
        <f>Table3.110[[#This Row],[Species]]</f>
        <v>pumila</v>
      </c>
      <c r="I619" s="230" t="str">
        <f>Table3.110[[#This Row],[Tax Name]]</f>
        <v>Crotalaria pumila</v>
      </c>
      <c r="J619" s="230" t="str">
        <f>Table3.110[[#This Row],[Family]]</f>
        <v>Fabaceae</v>
      </c>
      <c r="K619" s="230" t="str">
        <f>Table3.110[[#This Row],[Order]]</f>
        <v>Fabales</v>
      </c>
      <c r="L619" s="230" t="str">
        <f>Table3.110[[#This Row],[Functional Group]]</f>
        <v>Herbaceous</v>
      </c>
      <c r="M619" s="230" t="str">
        <f>Table3.110[[#This Row],[CIAT ID]]</f>
        <v>F252592</v>
      </c>
      <c r="N619" s="230">
        <f>Table3.110[[#This Row],[Set CIAT]]</f>
        <v>28</v>
      </c>
      <c r="O619" s="230">
        <f>Table3.110[[#This Row],[Batch]]</f>
        <v>62</v>
      </c>
      <c r="P619" s="230">
        <f>Table3.110[[#This Row],[Run]]</f>
        <v>2</v>
      </c>
      <c r="Q619" s="230">
        <f>Table3.110[[#This Row],[Replication]]</f>
        <v>1</v>
      </c>
      <c r="R619" s="230">
        <f>Table3.110[[#This Row],[Syrange No]]</f>
        <v>0</v>
      </c>
      <c r="S619" s="270">
        <v>0.59219999999999995</v>
      </c>
      <c r="T619" s="270">
        <v>0.80810000000000004</v>
      </c>
      <c r="U619" s="108"/>
      <c r="V619" s="122">
        <f t="shared" si="55"/>
        <v>0.21590000000000009</v>
      </c>
      <c r="W619" s="61">
        <f>Table3.110[[#This Row],[DM Incubated, mg]]-('3.2 Digest'!V619*1000)</f>
        <v>240.0632110366891</v>
      </c>
      <c r="X619" s="61">
        <f>W619/Table3.110[[#This Row],[DM Incubated, mg]]*100</f>
        <v>52.649688664766501</v>
      </c>
      <c r="Y619" s="37">
        <f>Table3.1[[#This Row],[DM Incubated, mg]]*'2.4 NDF'!R171/100</f>
        <v>226.72680975717611</v>
      </c>
      <c r="Z619" s="37">
        <f t="shared" si="52"/>
        <v>10.826809757176022</v>
      </c>
      <c r="AA619" s="37">
        <f t="shared" si="53"/>
        <v>4.775266660688037</v>
      </c>
      <c r="AB619" s="57"/>
    </row>
    <row r="620" spans="2:28" x14ac:dyDescent="0.35">
      <c r="B620" s="230">
        <f t="shared" si="54"/>
        <v>610</v>
      </c>
      <c r="C620" s="246" t="s">
        <v>694</v>
      </c>
      <c r="D620" s="248">
        <f>Table3.110[[#This Row],[Date]]</f>
        <v>46055</v>
      </c>
      <c r="E620" s="230" t="str">
        <f>Table3.110[[#This Row],[Requisitioner]]</f>
        <v>Genbank</v>
      </c>
      <c r="F620" s="230" t="str">
        <f>Table3.110[[#This Row],[Gene Bank ID]]</f>
        <v>CIAT9350</v>
      </c>
      <c r="G620" s="230" t="str">
        <f>Table3.110[[#This Row],[Genus]]</f>
        <v>Crotalaria</v>
      </c>
      <c r="H620" s="230" t="str">
        <f>Table3.110[[#This Row],[Species]]</f>
        <v>pumila</v>
      </c>
      <c r="I620" s="230" t="str">
        <f>Table3.110[[#This Row],[Tax Name]]</f>
        <v>Crotalaria pumila</v>
      </c>
      <c r="J620" s="230" t="str">
        <f>Table3.110[[#This Row],[Family]]</f>
        <v>Fabaceae</v>
      </c>
      <c r="K620" s="230" t="str">
        <f>Table3.110[[#This Row],[Order]]</f>
        <v>Fabales</v>
      </c>
      <c r="L620" s="230" t="str">
        <f>Table3.110[[#This Row],[Functional Group]]</f>
        <v>Herbaceous</v>
      </c>
      <c r="M620" s="230" t="str">
        <f>Table3.110[[#This Row],[CIAT ID]]</f>
        <v>F252592</v>
      </c>
      <c r="N620" s="230">
        <f>Table3.110[[#This Row],[Set CIAT]]</f>
        <v>28</v>
      </c>
      <c r="O620" s="230">
        <f>Table3.110[[#This Row],[Batch]]</f>
        <v>62</v>
      </c>
      <c r="P620" s="230">
        <f>Table3.110[[#This Row],[Run]]</f>
        <v>2</v>
      </c>
      <c r="Q620" s="230">
        <f>Table3.110[[#This Row],[Replication]]</f>
        <v>2</v>
      </c>
      <c r="R620" s="230">
        <f>Table3.110[[#This Row],[Syrange No]]</f>
        <v>0</v>
      </c>
      <c r="S620" s="270">
        <v>0.60209999999999997</v>
      </c>
      <c r="T620" s="270">
        <v>0.78549999999999998</v>
      </c>
      <c r="U620" s="108"/>
      <c r="V620" s="122">
        <f t="shared" si="55"/>
        <v>0.18340000000000001</v>
      </c>
      <c r="W620" s="61">
        <f>Table3.110[[#This Row],[DM Incubated, mg]]-('3.2 Digest'!V620*1000)</f>
        <v>273.01917424772591</v>
      </c>
      <c r="X620" s="61">
        <f>W620/Table3.110[[#This Row],[DM Incubated, mg]]*100</f>
        <v>59.81763905903351</v>
      </c>
      <c r="Y620" s="37">
        <f>Table3.1[[#This Row],[DM Incubated, mg]]*'2.4 NDF'!R171/100</f>
        <v>226.95353656693328</v>
      </c>
      <c r="Z620" s="37">
        <f t="shared" si="52"/>
        <v>43.553536566933275</v>
      </c>
      <c r="AA620" s="37">
        <f t="shared" si="53"/>
        <v>19.190507989325138</v>
      </c>
      <c r="AB620" s="57"/>
    </row>
    <row r="621" spans="2:28" x14ac:dyDescent="0.35">
      <c r="B621" s="230">
        <f t="shared" si="54"/>
        <v>611</v>
      </c>
      <c r="C621" s="246" t="s">
        <v>694</v>
      </c>
      <c r="D621" s="248">
        <f>Table3.110[[#This Row],[Date]]</f>
        <v>46055</v>
      </c>
      <c r="E621" s="230" t="str">
        <f>Table3.110[[#This Row],[Requisitioner]]</f>
        <v>Genbank</v>
      </c>
      <c r="F621" s="230" t="str">
        <f>Table3.110[[#This Row],[Gene Bank ID]]</f>
        <v>CIAT9350</v>
      </c>
      <c r="G621" s="230" t="str">
        <f>Table3.110[[#This Row],[Genus]]</f>
        <v>Crotalaria</v>
      </c>
      <c r="H621" s="230" t="str">
        <f>Table3.110[[#This Row],[Species]]</f>
        <v>pumila</v>
      </c>
      <c r="I621" s="230" t="str">
        <f>Table3.110[[#This Row],[Tax Name]]</f>
        <v>Crotalaria pumila</v>
      </c>
      <c r="J621" s="230" t="str">
        <f>Table3.110[[#This Row],[Family]]</f>
        <v>Fabaceae</v>
      </c>
      <c r="K621" s="230" t="str">
        <f>Table3.110[[#This Row],[Order]]</f>
        <v>Fabales</v>
      </c>
      <c r="L621" s="230" t="str">
        <f>Table3.110[[#This Row],[Functional Group]]</f>
        <v>Herbaceous</v>
      </c>
      <c r="M621" s="230" t="str">
        <f>Table3.110[[#This Row],[CIAT ID]]</f>
        <v>F252592</v>
      </c>
      <c r="N621" s="230">
        <f>Table3.110[[#This Row],[Set CIAT]]</f>
        <v>28</v>
      </c>
      <c r="O621" s="230">
        <f>Table3.110[[#This Row],[Batch]]</f>
        <v>62</v>
      </c>
      <c r="P621" s="230">
        <f>Table3.110[[#This Row],[Run]]</f>
        <v>2</v>
      </c>
      <c r="Q621" s="230">
        <f>Table3.110[[#This Row],[Replication]]</f>
        <v>3</v>
      </c>
      <c r="R621" s="230">
        <f>Table3.110[[#This Row],[Syrange No]]</f>
        <v>0</v>
      </c>
      <c r="S621" s="270">
        <v>0.5837</v>
      </c>
      <c r="T621" s="270">
        <v>0.83299999999999996</v>
      </c>
      <c r="U621" s="108"/>
      <c r="V621" s="122">
        <f t="shared" si="55"/>
        <v>0.24929999999999997</v>
      </c>
      <c r="W621" s="61">
        <f>Table3.110[[#This Row],[DM Incubated, mg]]-('3.2 Digest'!V621*1000)</f>
        <v>206.75440367889661</v>
      </c>
      <c r="X621" s="61">
        <f>W621/Table3.110[[#This Row],[DM Incubated, mg]]*100</f>
        <v>45.33546919206384</v>
      </c>
      <c r="Y621" s="37">
        <f>Table3.1[[#This Row],[DM Incubated, mg]]*'2.4 NDF'!R171/100</f>
        <v>226.77215511912758</v>
      </c>
      <c r="Z621" s="37">
        <f t="shared" si="52"/>
        <v>-22.527844880872379</v>
      </c>
      <c r="AA621" s="37">
        <f t="shared" si="53"/>
        <v>-9.9341318465832309</v>
      </c>
      <c r="AB621" s="57"/>
    </row>
    <row r="622" spans="2:28" x14ac:dyDescent="0.35">
      <c r="B622" s="230">
        <f t="shared" si="54"/>
        <v>612</v>
      </c>
      <c r="C622" s="246" t="s">
        <v>694</v>
      </c>
      <c r="D622" s="248">
        <f>Table3.110[[#This Row],[Date]]</f>
        <v>46055</v>
      </c>
      <c r="E622" s="230" t="str">
        <f>Table3.110[[#This Row],[Requisitioner]]</f>
        <v>Genbank</v>
      </c>
      <c r="F622" s="230" t="str">
        <f>Table3.110[[#This Row],[Gene Bank ID]]</f>
        <v>CIAT9352</v>
      </c>
      <c r="G622" s="230" t="str">
        <f>Table3.110[[#This Row],[Genus]]</f>
        <v>Crotalaria</v>
      </c>
      <c r="H622" s="230" t="str">
        <f>Table3.110[[#This Row],[Species]]</f>
        <v>pumila</v>
      </c>
      <c r="I622" s="230" t="str">
        <f>Table3.110[[#This Row],[Tax Name]]</f>
        <v>Crotalaria pumila</v>
      </c>
      <c r="J622" s="230" t="str">
        <f>Table3.110[[#This Row],[Family]]</f>
        <v>Fabaceae</v>
      </c>
      <c r="K622" s="230" t="str">
        <f>Table3.110[[#This Row],[Order]]</f>
        <v>Fabales</v>
      </c>
      <c r="L622" s="230" t="str">
        <f>Table3.110[[#This Row],[Functional Group]]</f>
        <v>Herbaceous</v>
      </c>
      <c r="M622" s="230" t="str">
        <f>Table3.110[[#This Row],[CIAT ID]]</f>
        <v>F252593</v>
      </c>
      <c r="N622" s="230">
        <f>Table3.110[[#This Row],[Set CIAT]]</f>
        <v>28</v>
      </c>
      <c r="O622" s="230">
        <f>Table3.110[[#This Row],[Batch]]</f>
        <v>62</v>
      </c>
      <c r="P622" s="230">
        <f>Table3.110[[#This Row],[Run]]</f>
        <v>2</v>
      </c>
      <c r="Q622" s="230">
        <f>Table3.110[[#This Row],[Replication]]</f>
        <v>1</v>
      </c>
      <c r="R622" s="230">
        <f>Table3.110[[#This Row],[Syrange No]]</f>
        <v>0</v>
      </c>
      <c r="S622" s="270">
        <v>0.58430000000000004</v>
      </c>
      <c r="T622" s="270">
        <v>0.84550000000000003</v>
      </c>
      <c r="U622" s="108"/>
      <c r="V622" s="122">
        <f t="shared" si="55"/>
        <v>0.26119999999999999</v>
      </c>
      <c r="W622" s="61">
        <f>Table3.110[[#This Row],[DM Incubated, mg]]-('3.2 Digest'!V622*1000)</f>
        <v>206.39207379771864</v>
      </c>
      <c r="X622" s="61">
        <f>W622/Table3.110[[#This Row],[DM Incubated, mg]]*100</f>
        <v>44.139343963089566</v>
      </c>
      <c r="Y622" s="37">
        <f>Table3.1[[#This Row],[DM Incubated, mg]]*'2.4 NDF'!R173/100</f>
        <v>263.94429912715242</v>
      </c>
      <c r="Z622" s="37">
        <f t="shared" si="52"/>
        <v>2.7442991271524306</v>
      </c>
      <c r="AA622" s="37">
        <f t="shared" si="53"/>
        <v>1.0397266151334426</v>
      </c>
      <c r="AB622" s="57"/>
    </row>
    <row r="623" spans="2:28" x14ac:dyDescent="0.35">
      <c r="B623" s="230">
        <f t="shared" si="54"/>
        <v>613</v>
      </c>
      <c r="C623" s="246" t="s">
        <v>694</v>
      </c>
      <c r="D623" s="248">
        <f>Table3.110[[#This Row],[Date]]</f>
        <v>46055</v>
      </c>
      <c r="E623" s="230" t="str">
        <f>Table3.110[[#This Row],[Requisitioner]]</f>
        <v>Genbank</v>
      </c>
      <c r="F623" s="230" t="str">
        <f>Table3.110[[#This Row],[Gene Bank ID]]</f>
        <v>CIAT9352</v>
      </c>
      <c r="G623" s="230" t="str">
        <f>Table3.110[[#This Row],[Genus]]</f>
        <v>Crotalaria</v>
      </c>
      <c r="H623" s="230" t="str">
        <f>Table3.110[[#This Row],[Species]]</f>
        <v>pumila</v>
      </c>
      <c r="I623" s="230" t="str">
        <f>Table3.110[[#This Row],[Tax Name]]</f>
        <v>Crotalaria pumila</v>
      </c>
      <c r="J623" s="230" t="str">
        <f>Table3.110[[#This Row],[Family]]</f>
        <v>Fabaceae</v>
      </c>
      <c r="K623" s="230" t="str">
        <f>Table3.110[[#This Row],[Order]]</f>
        <v>Fabales</v>
      </c>
      <c r="L623" s="230" t="str">
        <f>Table3.110[[#This Row],[Functional Group]]</f>
        <v>Herbaceous</v>
      </c>
      <c r="M623" s="230" t="str">
        <f>Table3.110[[#This Row],[CIAT ID]]</f>
        <v>F252593</v>
      </c>
      <c r="N623" s="230">
        <f>Table3.110[[#This Row],[Set CIAT]]</f>
        <v>28</v>
      </c>
      <c r="O623" s="230">
        <f>Table3.110[[#This Row],[Batch]]</f>
        <v>62</v>
      </c>
      <c r="P623" s="230">
        <f>Table3.110[[#This Row],[Run]]</f>
        <v>2</v>
      </c>
      <c r="Q623" s="230">
        <f>Table3.110[[#This Row],[Replication]]</f>
        <v>2</v>
      </c>
      <c r="R623" s="230">
        <f>Table3.110[[#This Row],[Syrange No]]</f>
        <v>0</v>
      </c>
      <c r="S623" s="270">
        <v>0.5897</v>
      </c>
      <c r="T623" s="270">
        <v>0.8589</v>
      </c>
      <c r="U623" s="108"/>
      <c r="V623" s="122">
        <f t="shared" si="55"/>
        <v>0.26919999999999999</v>
      </c>
      <c r="W623" s="61">
        <f>Table3.110[[#This Row],[DM Incubated, mg]]-('3.2 Digest'!V623*1000)</f>
        <v>198.20526114338463</v>
      </c>
      <c r="X623" s="61">
        <f>W623/Table3.110[[#This Row],[DM Incubated, mg]]*100</f>
        <v>42.405440764301055</v>
      </c>
      <c r="Y623" s="37">
        <f>Table3.1[[#This Row],[DM Incubated, mg]]*'2.4 NDF'!R173/100</f>
        <v>263.83884794891537</v>
      </c>
      <c r="Z623" s="37">
        <f t="shared" si="52"/>
        <v>-5.3611520510846162</v>
      </c>
      <c r="AA623" s="37">
        <f t="shared" si="53"/>
        <v>-2.0319797834027256</v>
      </c>
      <c r="AB623" s="57"/>
    </row>
    <row r="624" spans="2:28" x14ac:dyDescent="0.35">
      <c r="B624" s="230">
        <f t="shared" si="54"/>
        <v>614</v>
      </c>
      <c r="C624" s="246" t="s">
        <v>694</v>
      </c>
      <c r="D624" s="248">
        <f>Table3.110[[#This Row],[Date]]</f>
        <v>46055</v>
      </c>
      <c r="E624" s="230" t="str">
        <f>Table3.110[[#This Row],[Requisitioner]]</f>
        <v>Genbank</v>
      </c>
      <c r="F624" s="230" t="str">
        <f>Table3.110[[#This Row],[Gene Bank ID]]</f>
        <v>CIAT9352</v>
      </c>
      <c r="G624" s="230" t="str">
        <f>Table3.110[[#This Row],[Genus]]</f>
        <v>Crotalaria</v>
      </c>
      <c r="H624" s="230" t="str">
        <f>Table3.110[[#This Row],[Species]]</f>
        <v>pumila</v>
      </c>
      <c r="I624" s="230" t="str">
        <f>Table3.110[[#This Row],[Tax Name]]</f>
        <v>Crotalaria pumila</v>
      </c>
      <c r="J624" s="230" t="str">
        <f>Table3.110[[#This Row],[Family]]</f>
        <v>Fabaceae</v>
      </c>
      <c r="K624" s="230" t="str">
        <f>Table3.110[[#This Row],[Order]]</f>
        <v>Fabales</v>
      </c>
      <c r="L624" s="230" t="str">
        <f>Table3.110[[#This Row],[Functional Group]]</f>
        <v>Herbaceous</v>
      </c>
      <c r="M624" s="230" t="str">
        <f>Table3.110[[#This Row],[CIAT ID]]</f>
        <v>F252593</v>
      </c>
      <c r="N624" s="230">
        <f>Table3.110[[#This Row],[Set CIAT]]</f>
        <v>28</v>
      </c>
      <c r="O624" s="230">
        <f>Table3.110[[#This Row],[Batch]]</f>
        <v>62</v>
      </c>
      <c r="P624" s="230">
        <f>Table3.110[[#This Row],[Run]]</f>
        <v>2</v>
      </c>
      <c r="Q624" s="230">
        <f>Table3.110[[#This Row],[Replication]]</f>
        <v>3</v>
      </c>
      <c r="R624" s="230">
        <f>Table3.110[[#This Row],[Syrange No]]</f>
        <v>0</v>
      </c>
      <c r="S624" s="270">
        <v>0.59330000000000005</v>
      </c>
      <c r="T624" s="270">
        <v>0.89790000000000003</v>
      </c>
      <c r="U624" s="108"/>
      <c r="V624" s="122">
        <f t="shared" si="55"/>
        <v>0.30459999999999998</v>
      </c>
      <c r="W624" s="61">
        <f>Table3.110[[#This Row],[DM Incubated, mg]]-('3.2 Digest'!V624*1000)</f>
        <v>162.52504216188379</v>
      </c>
      <c r="X624" s="61">
        <f>W624/Table3.110[[#This Row],[DM Incubated, mg]]*100</f>
        <v>34.792620282078602</v>
      </c>
      <c r="Y624" s="37">
        <f>Table3.1[[#This Row],[DM Incubated, mg]]*'2.4 NDF'!R173/100</f>
        <v>263.68067118155989</v>
      </c>
      <c r="Z624" s="37">
        <f t="shared" si="52"/>
        <v>-40.919328818440079</v>
      </c>
      <c r="AA624" s="37">
        <f t="shared" si="53"/>
        <v>-15.518516634184639</v>
      </c>
      <c r="AB624" s="57"/>
    </row>
    <row r="625" spans="2:28" x14ac:dyDescent="0.35">
      <c r="B625" s="230">
        <f t="shared" si="54"/>
        <v>615</v>
      </c>
      <c r="C625" s="246" t="s">
        <v>694</v>
      </c>
      <c r="D625" s="248">
        <f>Table3.110[[#This Row],[Date]]</f>
        <v>46055</v>
      </c>
      <c r="E625" s="230" t="str">
        <f>Table3.110[[#This Row],[Requisitioner]]</f>
        <v>Genbank</v>
      </c>
      <c r="F625" s="230" t="str">
        <f>Table3.110[[#This Row],[Gene Bank ID]]</f>
        <v>CIAT9472</v>
      </c>
      <c r="G625" s="230" t="str">
        <f>Table3.110[[#This Row],[Genus]]</f>
        <v>Zornia</v>
      </c>
      <c r="H625" s="230" t="str">
        <f>Table3.110[[#This Row],[Species]]</f>
        <v>brasiliensis</v>
      </c>
      <c r="I625" s="230" t="str">
        <f>Table3.110[[#This Row],[Tax Name]]</f>
        <v>Zornia brasiliensis</v>
      </c>
      <c r="J625" s="230" t="str">
        <f>Table3.110[[#This Row],[Family]]</f>
        <v>Fabaceae</v>
      </c>
      <c r="K625" s="230" t="str">
        <f>Table3.110[[#This Row],[Order]]</f>
        <v>Fabales</v>
      </c>
      <c r="L625" s="230" t="str">
        <f>Table3.110[[#This Row],[Functional Group]]</f>
        <v>Herbaceous</v>
      </c>
      <c r="M625" s="230" t="str">
        <f>Table3.110[[#This Row],[CIAT ID]]</f>
        <v>F252594</v>
      </c>
      <c r="N625" s="230">
        <f>Table3.110[[#This Row],[Set CIAT]]</f>
        <v>28</v>
      </c>
      <c r="O625" s="230">
        <f>Table3.110[[#This Row],[Batch]]</f>
        <v>62</v>
      </c>
      <c r="P625" s="230">
        <f>Table3.110[[#This Row],[Run]]</f>
        <v>2</v>
      </c>
      <c r="Q625" s="230">
        <f>Table3.110[[#This Row],[Replication]]</f>
        <v>1</v>
      </c>
      <c r="R625" s="230">
        <f>Table3.110[[#This Row],[Syrange No]]</f>
        <v>0</v>
      </c>
      <c r="S625" s="270">
        <v>0.58550000000000002</v>
      </c>
      <c r="T625" s="270">
        <v>0.92569999999999997</v>
      </c>
      <c r="U625" s="108"/>
      <c r="V625" s="122">
        <f t="shared" si="55"/>
        <v>0.34019999999999995</v>
      </c>
      <c r="W625" s="61">
        <f>Table3.110[[#This Row],[DM Incubated, mg]]-('3.2 Digest'!V625*1000)</f>
        <v>120.28091651542712</v>
      </c>
      <c r="X625" s="61">
        <f>W625/Table3.110[[#This Row],[DM Incubated, mg]]*100</f>
        <v>26.120716885646978</v>
      </c>
      <c r="Y625" s="37">
        <f>Table3.1[[#This Row],[DM Incubated, mg]]*'2.4 NDF'!R175/100</f>
        <v>227.78582170694284</v>
      </c>
      <c r="Z625" s="37">
        <f t="shared" si="52"/>
        <v>-112.41417829305709</v>
      </c>
      <c r="AA625" s="37">
        <f t="shared" si="53"/>
        <v>-49.350823264883978</v>
      </c>
      <c r="AB625" s="57"/>
    </row>
    <row r="626" spans="2:28" x14ac:dyDescent="0.35">
      <c r="B626" s="230">
        <f t="shared" si="54"/>
        <v>616</v>
      </c>
      <c r="C626" s="246" t="s">
        <v>694</v>
      </c>
      <c r="D626" s="248">
        <f>Table3.110[[#This Row],[Date]]</f>
        <v>46055</v>
      </c>
      <c r="E626" s="230" t="str">
        <f>Table3.110[[#This Row],[Requisitioner]]</f>
        <v>Genbank</v>
      </c>
      <c r="F626" s="230" t="str">
        <f>Table3.110[[#This Row],[Gene Bank ID]]</f>
        <v>CIAT9472</v>
      </c>
      <c r="G626" s="230" t="str">
        <f>Table3.110[[#This Row],[Genus]]</f>
        <v>Zornia</v>
      </c>
      <c r="H626" s="230" t="str">
        <f>Table3.110[[#This Row],[Species]]</f>
        <v>brasiliensis</v>
      </c>
      <c r="I626" s="230" t="str">
        <f>Table3.110[[#This Row],[Tax Name]]</f>
        <v>Zornia brasiliensis</v>
      </c>
      <c r="J626" s="230" t="str">
        <f>Table3.110[[#This Row],[Family]]</f>
        <v>Fabaceae</v>
      </c>
      <c r="K626" s="230" t="str">
        <f>Table3.110[[#This Row],[Order]]</f>
        <v>Fabales</v>
      </c>
      <c r="L626" s="230" t="str">
        <f>Table3.110[[#This Row],[Functional Group]]</f>
        <v>Herbaceous</v>
      </c>
      <c r="M626" s="230" t="str">
        <f>Table3.110[[#This Row],[CIAT ID]]</f>
        <v>F252594</v>
      </c>
      <c r="N626" s="230">
        <f>Table3.110[[#This Row],[Set CIAT]]</f>
        <v>28</v>
      </c>
      <c r="O626" s="230">
        <f>Table3.110[[#This Row],[Batch]]</f>
        <v>62</v>
      </c>
      <c r="P626" s="230">
        <f>Table3.110[[#This Row],[Run]]</f>
        <v>2</v>
      </c>
      <c r="Q626" s="230">
        <f>Table3.110[[#This Row],[Replication]]</f>
        <v>2</v>
      </c>
      <c r="R626" s="230">
        <f>Table3.110[[#This Row],[Syrange No]]</f>
        <v>0</v>
      </c>
      <c r="S626" s="270">
        <v>0.55930000000000002</v>
      </c>
      <c r="T626" s="270">
        <v>0.88990000000000002</v>
      </c>
      <c r="U626" s="108"/>
      <c r="V626" s="122">
        <f t="shared" si="55"/>
        <v>0.3306</v>
      </c>
      <c r="W626" s="61">
        <f>Table3.110[[#This Row],[DM Incubated, mg]]-('3.2 Digest'!V626*1000)</f>
        <v>130.34139743194237</v>
      </c>
      <c r="X626" s="61">
        <f>W626/Table3.110[[#This Row],[DM Incubated, mg]]*100</f>
        <v>28.277216617582535</v>
      </c>
      <c r="Y626" s="37">
        <f>Table3.1[[#This Row],[DM Incubated, mg]]*'2.4 NDF'!R175/100</f>
        <v>228.01360752864974</v>
      </c>
      <c r="Z626" s="37">
        <f t="shared" si="52"/>
        <v>-102.58639247135028</v>
      </c>
      <c r="AA626" s="37">
        <f t="shared" si="53"/>
        <v>-44.991346605689039</v>
      </c>
      <c r="AB626" s="57"/>
    </row>
    <row r="627" spans="2:28" x14ac:dyDescent="0.35">
      <c r="B627" s="230">
        <f t="shared" si="54"/>
        <v>617</v>
      </c>
      <c r="C627" s="246" t="s">
        <v>694</v>
      </c>
      <c r="D627" s="248">
        <f>Table3.110[[#This Row],[Date]]</f>
        <v>46055</v>
      </c>
      <c r="E627" s="230" t="str">
        <f>Table3.110[[#This Row],[Requisitioner]]</f>
        <v>Genbank</v>
      </c>
      <c r="F627" s="230" t="str">
        <f>Table3.110[[#This Row],[Gene Bank ID]]</f>
        <v>CIAT9472</v>
      </c>
      <c r="G627" s="230" t="str">
        <f>Table3.110[[#This Row],[Genus]]</f>
        <v>Zornia</v>
      </c>
      <c r="H627" s="230" t="str">
        <f>Table3.110[[#This Row],[Species]]</f>
        <v>brasiliensis</v>
      </c>
      <c r="I627" s="230" t="str">
        <f>Table3.110[[#This Row],[Tax Name]]</f>
        <v>Zornia brasiliensis</v>
      </c>
      <c r="J627" s="230" t="str">
        <f>Table3.110[[#This Row],[Family]]</f>
        <v>Fabaceae</v>
      </c>
      <c r="K627" s="230" t="str">
        <f>Table3.110[[#This Row],[Order]]</f>
        <v>Fabales</v>
      </c>
      <c r="L627" s="230" t="str">
        <f>Table3.110[[#This Row],[Functional Group]]</f>
        <v>Herbaceous</v>
      </c>
      <c r="M627" s="230" t="str">
        <f>Table3.110[[#This Row],[CIAT ID]]</f>
        <v>F252594</v>
      </c>
      <c r="N627" s="230">
        <f>Table3.110[[#This Row],[Set CIAT]]</f>
        <v>28</v>
      </c>
      <c r="O627" s="230">
        <f>Table3.110[[#This Row],[Batch]]</f>
        <v>62</v>
      </c>
      <c r="P627" s="230">
        <f>Table3.110[[#This Row],[Run]]</f>
        <v>2</v>
      </c>
      <c r="Q627" s="230">
        <f>Table3.110[[#This Row],[Replication]]</f>
        <v>3</v>
      </c>
      <c r="R627" s="230">
        <f>Table3.110[[#This Row],[Syrange No]]</f>
        <v>0</v>
      </c>
      <c r="S627" s="270">
        <v>0.55520000000000003</v>
      </c>
      <c r="T627" s="270">
        <v>1.0004</v>
      </c>
      <c r="U627" s="108"/>
      <c r="V627" s="122">
        <f t="shared" si="55"/>
        <v>0.44519999999999993</v>
      </c>
      <c r="W627" s="61">
        <f>Table3.110[[#This Row],[DM Incubated, mg]]-('3.2 Digest'!V627*1000)</f>
        <v>15.557205065336348</v>
      </c>
      <c r="X627" s="61">
        <f>W627/Table3.110[[#This Row],[DM Incubated, mg]]*100</f>
        <v>3.3764431449596768</v>
      </c>
      <c r="Y627" s="37">
        <f>Table3.1[[#This Row],[DM Incubated, mg]]*'2.4 NDF'!R175/100</f>
        <v>227.92249319996699</v>
      </c>
      <c r="Z627" s="37">
        <f t="shared" si="52"/>
        <v>-217.27750680003294</v>
      </c>
      <c r="AA627" s="37">
        <f t="shared" si="53"/>
        <v>-95.329558636147979</v>
      </c>
      <c r="AB627" s="57"/>
    </row>
    <row r="628" spans="2:28" x14ac:dyDescent="0.35">
      <c r="B628" s="230">
        <f t="shared" si="54"/>
        <v>618</v>
      </c>
      <c r="C628" s="246" t="s">
        <v>694</v>
      </c>
      <c r="D628" s="248">
        <f>Table3.110[[#This Row],[Date]]</f>
        <v>46055</v>
      </c>
      <c r="E628" s="230" t="str">
        <f>Table3.110[[#This Row],[Requisitioner]]</f>
        <v>Genbank</v>
      </c>
      <c r="F628" s="230" t="str">
        <f>Table3.110[[#This Row],[Gene Bank ID]]</f>
        <v>CIAT9531</v>
      </c>
      <c r="G628" s="230" t="str">
        <f>Table3.110[[#This Row],[Genus]]</f>
        <v>Indigofera</v>
      </c>
      <c r="H628" s="230" t="str">
        <f>Table3.110[[#This Row],[Species]]</f>
        <v>spicata</v>
      </c>
      <c r="I628" s="230" t="str">
        <f>Table3.110[[#This Row],[Tax Name]]</f>
        <v>Indigofera spicata</v>
      </c>
      <c r="J628" s="230" t="str">
        <f>Table3.110[[#This Row],[Family]]</f>
        <v>Fabaceae</v>
      </c>
      <c r="K628" s="230" t="str">
        <f>Table3.110[[#This Row],[Order]]</f>
        <v>Fabales</v>
      </c>
      <c r="L628" s="230" t="str">
        <f>Table3.110[[#This Row],[Functional Group]]</f>
        <v>Herbaceous</v>
      </c>
      <c r="M628" s="230" t="str">
        <f>Table3.110[[#This Row],[CIAT ID]]</f>
        <v>F252595</v>
      </c>
      <c r="N628" s="230">
        <f>Table3.110[[#This Row],[Set CIAT]]</f>
        <v>28</v>
      </c>
      <c r="O628" s="230">
        <f>Table3.110[[#This Row],[Batch]]</f>
        <v>62</v>
      </c>
      <c r="P628" s="230">
        <f>Table3.110[[#This Row],[Run]]</f>
        <v>2</v>
      </c>
      <c r="Q628" s="230">
        <f>Table3.110[[#This Row],[Replication]]</f>
        <v>1</v>
      </c>
      <c r="R628" s="230">
        <f>Table3.110[[#This Row],[Syrange No]]</f>
        <v>0</v>
      </c>
      <c r="S628" s="270">
        <v>0.56720000000000004</v>
      </c>
      <c r="T628" s="270">
        <v>0.80410000000000004</v>
      </c>
      <c r="U628" s="108"/>
      <c r="V628" s="122">
        <f t="shared" si="55"/>
        <v>0.2369</v>
      </c>
      <c r="W628" s="61">
        <f>Table3.110[[#This Row],[DM Incubated, mg]]-('3.2 Digest'!V628*1000)</f>
        <v>221.27512327036894</v>
      </c>
      <c r="X628" s="61">
        <f>W628/Table3.110[[#This Row],[DM Incubated, mg]]*100</f>
        <v>48.294879410071026</v>
      </c>
      <c r="Y628" s="37">
        <f>Table3.1[[#This Row],[DM Incubated, mg]]*'2.4 NDF'!R177/100</f>
        <v>195.5087235548464</v>
      </c>
      <c r="Z628" s="37">
        <f t="shared" si="52"/>
        <v>-41.391276445153608</v>
      </c>
      <c r="AA628" s="37">
        <f t="shared" si="53"/>
        <v>-21.171063721635953</v>
      </c>
      <c r="AB628" s="57"/>
    </row>
    <row r="629" spans="2:28" x14ac:dyDescent="0.35">
      <c r="B629" s="230">
        <f t="shared" si="54"/>
        <v>619</v>
      </c>
      <c r="C629" s="246" t="s">
        <v>694</v>
      </c>
      <c r="D629" s="248">
        <f>Table3.110[[#This Row],[Date]]</f>
        <v>46055</v>
      </c>
      <c r="E629" s="230" t="str">
        <f>Table3.110[[#This Row],[Requisitioner]]</f>
        <v>Genbank</v>
      </c>
      <c r="F629" s="230" t="str">
        <f>Table3.110[[#This Row],[Gene Bank ID]]</f>
        <v>CIAT9531</v>
      </c>
      <c r="G629" s="230" t="str">
        <f>Table3.110[[#This Row],[Genus]]</f>
        <v>Indigofera</v>
      </c>
      <c r="H629" s="230" t="str">
        <f>Table3.110[[#This Row],[Species]]</f>
        <v>spicata</v>
      </c>
      <c r="I629" s="230" t="str">
        <f>Table3.110[[#This Row],[Tax Name]]</f>
        <v>Indigofera spicata</v>
      </c>
      <c r="J629" s="230" t="str">
        <f>Table3.110[[#This Row],[Family]]</f>
        <v>Fabaceae</v>
      </c>
      <c r="K629" s="230" t="str">
        <f>Table3.110[[#This Row],[Order]]</f>
        <v>Fabales</v>
      </c>
      <c r="L629" s="230" t="str">
        <f>Table3.110[[#This Row],[Functional Group]]</f>
        <v>Herbaceous</v>
      </c>
      <c r="M629" s="230" t="str">
        <f>Table3.110[[#This Row],[CIAT ID]]</f>
        <v>F252595</v>
      </c>
      <c r="N629" s="230">
        <f>Table3.110[[#This Row],[Set CIAT]]</f>
        <v>28</v>
      </c>
      <c r="O629" s="230">
        <f>Table3.110[[#This Row],[Batch]]</f>
        <v>62</v>
      </c>
      <c r="P629" s="230">
        <f>Table3.110[[#This Row],[Run]]</f>
        <v>2</v>
      </c>
      <c r="Q629" s="230">
        <f>Table3.110[[#This Row],[Replication]]</f>
        <v>2</v>
      </c>
      <c r="R629" s="230">
        <f>Table3.110[[#This Row],[Syrange No]]</f>
        <v>0</v>
      </c>
      <c r="S629" s="270">
        <v>0.56530000000000002</v>
      </c>
      <c r="T629" s="270">
        <v>0.91139999999999999</v>
      </c>
      <c r="U629" s="108"/>
      <c r="V629" s="122">
        <f t="shared" si="55"/>
        <v>0.34609999999999996</v>
      </c>
      <c r="W629" s="61">
        <f>Table3.110[[#This Row],[DM Incubated, mg]]-('3.2 Digest'!V629*1000)</f>
        <v>111.98352488506902</v>
      </c>
      <c r="X629" s="61">
        <f>W629/Table3.110[[#This Row],[DM Incubated, mg]]*100</f>
        <v>24.446093081641642</v>
      </c>
      <c r="Y629" s="37">
        <f>Table3.1[[#This Row],[DM Incubated, mg]]*'2.4 NDF'!R177/100</f>
        <v>195.46963744457952</v>
      </c>
      <c r="Z629" s="37">
        <f t="shared" si="52"/>
        <v>-150.63036255542045</v>
      </c>
      <c r="AA629" s="37">
        <f t="shared" si="53"/>
        <v>-77.060746888696656</v>
      </c>
      <c r="AB629" s="57"/>
    </row>
    <row r="630" spans="2:28" x14ac:dyDescent="0.35">
      <c r="B630" s="230">
        <f t="shared" si="54"/>
        <v>620</v>
      </c>
      <c r="C630" s="246" t="s">
        <v>694</v>
      </c>
      <c r="D630" s="248">
        <f>Table3.110[[#This Row],[Date]]</f>
        <v>46055</v>
      </c>
      <c r="E630" s="230" t="str">
        <f>Table3.110[[#This Row],[Requisitioner]]</f>
        <v>Genbank</v>
      </c>
      <c r="F630" s="230" t="str">
        <f>Table3.110[[#This Row],[Gene Bank ID]]</f>
        <v>CIAT9531</v>
      </c>
      <c r="G630" s="230" t="str">
        <f>Table3.110[[#This Row],[Genus]]</f>
        <v>Indigofera</v>
      </c>
      <c r="H630" s="230" t="str">
        <f>Table3.110[[#This Row],[Species]]</f>
        <v>spicata</v>
      </c>
      <c r="I630" s="230" t="str">
        <f>Table3.110[[#This Row],[Tax Name]]</f>
        <v>Indigofera spicata</v>
      </c>
      <c r="J630" s="230" t="str">
        <f>Table3.110[[#This Row],[Family]]</f>
        <v>Fabaceae</v>
      </c>
      <c r="K630" s="230" t="str">
        <f>Table3.110[[#This Row],[Order]]</f>
        <v>Fabales</v>
      </c>
      <c r="L630" s="230" t="str">
        <f>Table3.110[[#This Row],[Functional Group]]</f>
        <v>Herbaceous</v>
      </c>
      <c r="M630" s="230" t="str">
        <f>Table3.110[[#This Row],[CIAT ID]]</f>
        <v>F252595</v>
      </c>
      <c r="N630" s="230">
        <f>Table3.110[[#This Row],[Set CIAT]]</f>
        <v>28</v>
      </c>
      <c r="O630" s="230">
        <f>Table3.110[[#This Row],[Batch]]</f>
        <v>62</v>
      </c>
      <c r="P630" s="230">
        <f>Table3.110[[#This Row],[Run]]</f>
        <v>2</v>
      </c>
      <c r="Q630" s="230">
        <f>Table3.110[[#This Row],[Replication]]</f>
        <v>3</v>
      </c>
      <c r="R630" s="230">
        <f>Table3.110[[#This Row],[Syrange No]]</f>
        <v>0</v>
      </c>
      <c r="S630" s="270">
        <v>0.57250000000000001</v>
      </c>
      <c r="T630" s="270">
        <v>0.84689999999999999</v>
      </c>
      <c r="U630" s="108"/>
      <c r="V630" s="122">
        <f t="shared" si="55"/>
        <v>0.27439999999999998</v>
      </c>
      <c r="W630" s="61">
        <f>Table3.110[[#This Row],[DM Incubated, mg]]-('3.2 Digest'!V630*1000)</f>
        <v>183.77512327036897</v>
      </c>
      <c r="X630" s="61">
        <f>W630/Table3.110[[#This Row],[DM Incubated, mg]]*100</f>
        <v>40.110236007275176</v>
      </c>
      <c r="Y630" s="37">
        <f>Table3.1[[#This Row],[DM Incubated, mg]]*'2.4 NDF'!R177/100</f>
        <v>195.5087235548464</v>
      </c>
      <c r="Z630" s="37">
        <f t="shared" si="52"/>
        <v>-78.891276445153579</v>
      </c>
      <c r="AA630" s="37">
        <f t="shared" si="53"/>
        <v>-40.351793521388359</v>
      </c>
      <c r="AB630" s="57"/>
    </row>
    <row r="631" spans="2:28" x14ac:dyDescent="0.35">
      <c r="B631" s="230">
        <f t="shared" si="54"/>
        <v>621</v>
      </c>
      <c r="C631" s="246" t="s">
        <v>694</v>
      </c>
      <c r="D631" s="248">
        <f>Table3.110[[#This Row],[Date]]</f>
        <v>46055</v>
      </c>
      <c r="E631" s="230" t="str">
        <f>Table3.110[[#This Row],[Requisitioner]]</f>
        <v>Genbank</v>
      </c>
      <c r="F631" s="230" t="str">
        <f>Table3.110[[#This Row],[Gene Bank ID]]</f>
        <v>CIAT10026</v>
      </c>
      <c r="G631" s="230" t="str">
        <f>Table3.110[[#This Row],[Genus]]</f>
        <v>Stylosanthes</v>
      </c>
      <c r="H631" s="230" t="str">
        <f>Table3.110[[#This Row],[Species]]</f>
        <v>seabrana</v>
      </c>
      <c r="I631" s="230" t="str">
        <f>Table3.110[[#This Row],[Tax Name]]</f>
        <v>Stylosanthes seabrana</v>
      </c>
      <c r="J631" s="230" t="str">
        <f>Table3.110[[#This Row],[Family]]</f>
        <v>Fabaceae</v>
      </c>
      <c r="K631" s="230" t="str">
        <f>Table3.110[[#This Row],[Order]]</f>
        <v>Fabales</v>
      </c>
      <c r="L631" s="230" t="str">
        <f>Table3.110[[#This Row],[Functional Group]]</f>
        <v>Herbaceous</v>
      </c>
      <c r="M631" s="230" t="str">
        <f>Table3.110[[#This Row],[CIAT ID]]</f>
        <v>F252596</v>
      </c>
      <c r="N631" s="230">
        <f>Table3.110[[#This Row],[Set CIAT]]</f>
        <v>28</v>
      </c>
      <c r="O631" s="230">
        <f>Table3.110[[#This Row],[Batch]]</f>
        <v>62</v>
      </c>
      <c r="P631" s="230">
        <f>Table3.110[[#This Row],[Run]]</f>
        <v>2</v>
      </c>
      <c r="Q631" s="230">
        <f>Table3.110[[#This Row],[Replication]]</f>
        <v>1</v>
      </c>
      <c r="R631" s="230">
        <f>Table3.110[[#This Row],[Syrange No]]</f>
        <v>0</v>
      </c>
      <c r="S631" s="270">
        <v>0.54969999999999997</v>
      </c>
      <c r="T631" s="270">
        <v>0.82410000000000005</v>
      </c>
      <c r="U631" s="108"/>
      <c r="V631" s="122">
        <f t="shared" si="55"/>
        <v>0.27440000000000009</v>
      </c>
      <c r="W631" s="61">
        <f>Table3.110[[#This Row],[DM Incubated, mg]]-('3.2 Digest'!V631*1000)</f>
        <v>189.42681445566313</v>
      </c>
      <c r="X631" s="61">
        <f>W631/Table3.110[[#This Row],[DM Incubated, mg]]*100</f>
        <v>40.839987804062211</v>
      </c>
      <c r="Y631" s="37">
        <f>Table3.1[[#This Row],[DM Incubated, mg]]*'2.4 NDF'!R179/100</f>
        <v>265.52951581768889</v>
      </c>
      <c r="Z631" s="37">
        <f t="shared" si="52"/>
        <v>-8.8704841823112019</v>
      </c>
      <c r="AA631" s="37">
        <f t="shared" si="53"/>
        <v>-3.3406772708468417</v>
      </c>
      <c r="AB631" s="57"/>
    </row>
    <row r="632" spans="2:28" x14ac:dyDescent="0.35">
      <c r="B632" s="230">
        <f t="shared" si="54"/>
        <v>622</v>
      </c>
      <c r="C632" s="246" t="s">
        <v>694</v>
      </c>
      <c r="D632" s="248">
        <f>Table3.110[[#This Row],[Date]]</f>
        <v>46055</v>
      </c>
      <c r="E632" s="230" t="str">
        <f>Table3.110[[#This Row],[Requisitioner]]</f>
        <v>Genbank</v>
      </c>
      <c r="F632" s="230" t="str">
        <f>Table3.110[[#This Row],[Gene Bank ID]]</f>
        <v>CIAT10026</v>
      </c>
      <c r="G632" s="230" t="str">
        <f>Table3.110[[#This Row],[Genus]]</f>
        <v>Stylosanthes</v>
      </c>
      <c r="H632" s="230" t="str">
        <f>Table3.110[[#This Row],[Species]]</f>
        <v>seabrana</v>
      </c>
      <c r="I632" s="230" t="str">
        <f>Table3.110[[#This Row],[Tax Name]]</f>
        <v>Stylosanthes seabrana</v>
      </c>
      <c r="J632" s="230" t="str">
        <f>Table3.110[[#This Row],[Family]]</f>
        <v>Fabaceae</v>
      </c>
      <c r="K632" s="230" t="str">
        <f>Table3.110[[#This Row],[Order]]</f>
        <v>Fabales</v>
      </c>
      <c r="L632" s="230" t="str">
        <f>Table3.110[[#This Row],[Functional Group]]</f>
        <v>Herbaceous</v>
      </c>
      <c r="M632" s="230" t="str">
        <f>Table3.110[[#This Row],[CIAT ID]]</f>
        <v>F252596</v>
      </c>
      <c r="N632" s="230">
        <f>Table3.110[[#This Row],[Set CIAT]]</f>
        <v>28</v>
      </c>
      <c r="O632" s="230">
        <f>Table3.110[[#This Row],[Batch]]</f>
        <v>62</v>
      </c>
      <c r="P632" s="230">
        <f>Table3.110[[#This Row],[Run]]</f>
        <v>2</v>
      </c>
      <c r="Q632" s="230">
        <f>Table3.110[[#This Row],[Replication]]</f>
        <v>2</v>
      </c>
      <c r="R632" s="230">
        <f>Table3.110[[#This Row],[Syrange No]]</f>
        <v>0</v>
      </c>
      <c r="S632" s="270">
        <v>0.54579999999999995</v>
      </c>
      <c r="T632" s="270">
        <v>0.8175</v>
      </c>
      <c r="U632" s="108"/>
      <c r="V632" s="122">
        <f t="shared" si="55"/>
        <v>0.27170000000000005</v>
      </c>
      <c r="W632" s="61">
        <f>Table3.110[[#This Row],[DM Incubated, mg]]-('3.2 Digest'!V632*1000)</f>
        <v>192.21956126919156</v>
      </c>
      <c r="X632" s="61">
        <f>W632/Table3.110[[#This Row],[DM Incubated, mg]]*100</f>
        <v>41.43381252200642</v>
      </c>
      <c r="Y632" s="37">
        <f>Table3.1[[#This Row],[DM Incubated, mg]]*'2.4 NDF'!R179/100</f>
        <v>265.58261110179564</v>
      </c>
      <c r="Z632" s="37">
        <f t="shared" si="52"/>
        <v>-6.1173888982044105</v>
      </c>
      <c r="AA632" s="37">
        <f t="shared" si="53"/>
        <v>-2.3033845750765907</v>
      </c>
      <c r="AB632" s="57"/>
    </row>
    <row r="633" spans="2:28" x14ac:dyDescent="0.35">
      <c r="B633" s="230">
        <f t="shared" si="54"/>
        <v>623</v>
      </c>
      <c r="C633" s="246" t="s">
        <v>694</v>
      </c>
      <c r="D633" s="248">
        <f>Table3.110[[#This Row],[Date]]</f>
        <v>46055</v>
      </c>
      <c r="E633" s="230" t="str">
        <f>Table3.110[[#This Row],[Requisitioner]]</f>
        <v>Genbank</v>
      </c>
      <c r="F633" s="230" t="str">
        <f>Table3.110[[#This Row],[Gene Bank ID]]</f>
        <v>CIAT10026</v>
      </c>
      <c r="G633" s="230" t="str">
        <f>Table3.110[[#This Row],[Genus]]</f>
        <v>Stylosanthes</v>
      </c>
      <c r="H633" s="230" t="str">
        <f>Table3.110[[#This Row],[Species]]</f>
        <v>seabrana</v>
      </c>
      <c r="I633" s="230" t="str">
        <f>Table3.110[[#This Row],[Tax Name]]</f>
        <v>Stylosanthes seabrana</v>
      </c>
      <c r="J633" s="230" t="str">
        <f>Table3.110[[#This Row],[Family]]</f>
        <v>Fabaceae</v>
      </c>
      <c r="K633" s="230" t="str">
        <f>Table3.110[[#This Row],[Order]]</f>
        <v>Fabales</v>
      </c>
      <c r="L633" s="230" t="str">
        <f>Table3.110[[#This Row],[Functional Group]]</f>
        <v>Herbaceous</v>
      </c>
      <c r="M633" s="230" t="str">
        <f>Table3.110[[#This Row],[CIAT ID]]</f>
        <v>F252596</v>
      </c>
      <c r="N633" s="230">
        <f>Table3.110[[#This Row],[Set CIAT]]</f>
        <v>28</v>
      </c>
      <c r="O633" s="230">
        <f>Table3.110[[#This Row],[Batch]]</f>
        <v>62</v>
      </c>
      <c r="P633" s="230">
        <f>Table3.110[[#This Row],[Run]]</f>
        <v>2</v>
      </c>
      <c r="Q633" s="230">
        <f>Table3.110[[#This Row],[Replication]]</f>
        <v>3</v>
      </c>
      <c r="R633" s="230">
        <f>Table3.110[[#This Row],[Syrange No]]</f>
        <v>0</v>
      </c>
      <c r="S633" s="270">
        <v>0.58289999999999997</v>
      </c>
      <c r="T633" s="270">
        <v>0.9657</v>
      </c>
      <c r="U633" s="108"/>
      <c r="V633" s="122">
        <f t="shared" si="55"/>
        <v>0.38280000000000003</v>
      </c>
      <c r="W633" s="61">
        <f>Table3.110[[#This Row],[DM Incubated, mg]]-('3.2 Digest'!V633*1000)</f>
        <v>81.490548523305335</v>
      </c>
      <c r="X633" s="61">
        <f>W633/Table3.110[[#This Row],[DM Incubated, mg]]*100</f>
        <v>17.55162770004457</v>
      </c>
      <c r="Y633" s="37">
        <f>Table3.1[[#This Row],[DM Incubated, mg]]*'2.4 NDF'!R179/100</f>
        <v>265.79499223822251</v>
      </c>
      <c r="Z633" s="37">
        <f t="shared" si="52"/>
        <v>-117.00500776177751</v>
      </c>
      <c r="AA633" s="37">
        <f t="shared" si="53"/>
        <v>-44.020772090736045</v>
      </c>
      <c r="AB633" s="57"/>
    </row>
    <row r="634" spans="2:28" x14ac:dyDescent="0.35">
      <c r="B634" s="230">
        <f t="shared" si="54"/>
        <v>624</v>
      </c>
      <c r="C634" s="246" t="s">
        <v>694</v>
      </c>
      <c r="D634" s="248">
        <f>Table3.110[[#This Row],[Date]]</f>
        <v>46055</v>
      </c>
      <c r="E634" s="230" t="str">
        <f>Table3.110[[#This Row],[Requisitioner]]</f>
        <v>Genbank</v>
      </c>
      <c r="F634" s="230" t="str">
        <f>Table3.110[[#This Row],[Gene Bank ID]]</f>
        <v>CIAT12411</v>
      </c>
      <c r="G634" s="230" t="str">
        <f>Table3.110[[#This Row],[Genus]]</f>
        <v>Stylosanthes</v>
      </c>
      <c r="H634" s="230" t="str">
        <f>Table3.110[[#This Row],[Species]]</f>
        <v>sympodialis</v>
      </c>
      <c r="I634" s="230" t="str">
        <f>Table3.110[[#This Row],[Tax Name]]</f>
        <v>Stylosanthes sympodialis</v>
      </c>
      <c r="J634" s="230" t="str">
        <f>Table3.110[[#This Row],[Family]]</f>
        <v>Fabaceae</v>
      </c>
      <c r="K634" s="230" t="str">
        <f>Table3.110[[#This Row],[Order]]</f>
        <v>Fabales</v>
      </c>
      <c r="L634" s="230" t="str">
        <f>Table3.110[[#This Row],[Functional Group]]</f>
        <v>Herbaceous</v>
      </c>
      <c r="M634" s="230" t="str">
        <f>Table3.110[[#This Row],[CIAT ID]]</f>
        <v>F252597</v>
      </c>
      <c r="N634" s="230">
        <f>Table3.110[[#This Row],[Set CIAT]]</f>
        <v>28</v>
      </c>
      <c r="O634" s="230">
        <f>Table3.110[[#This Row],[Batch]]</f>
        <v>62</v>
      </c>
      <c r="P634" s="230">
        <f>Table3.110[[#This Row],[Run]]</f>
        <v>2</v>
      </c>
      <c r="Q634" s="230">
        <f>Table3.110[[#This Row],[Replication]]</f>
        <v>1</v>
      </c>
      <c r="R634" s="230">
        <f>Table3.110[[#This Row],[Syrange No]]</f>
        <v>0</v>
      </c>
      <c r="S634" s="270">
        <v>0.59299999999999997</v>
      </c>
      <c r="T634" s="270">
        <v>0.89349999999999996</v>
      </c>
      <c r="U634" s="108"/>
      <c r="V634" s="122">
        <f t="shared" si="55"/>
        <v>0.30049999999999999</v>
      </c>
      <c r="W634" s="61">
        <f>Table3.110[[#This Row],[DM Incubated, mg]]-('3.2 Digest'!V634*1000)</f>
        <v>158.47310143610656</v>
      </c>
      <c r="X634" s="61">
        <f>W634/Table3.110[[#This Row],[DM Incubated, mg]]*100</f>
        <v>34.527753574283814</v>
      </c>
      <c r="Y634" s="37">
        <f>Table3.1[[#This Row],[DM Incubated, mg]]*'2.4 NDF'!R181/100</f>
        <v>280.50098218580581</v>
      </c>
      <c r="Z634" s="37">
        <f t="shared" si="52"/>
        <v>-19.99901781419419</v>
      </c>
      <c r="AA634" s="37">
        <f t="shared" si="53"/>
        <v>-7.1297496566149992</v>
      </c>
      <c r="AB634" s="57"/>
    </row>
    <row r="635" spans="2:28" x14ac:dyDescent="0.35">
      <c r="B635" s="230">
        <f t="shared" si="54"/>
        <v>625</v>
      </c>
      <c r="C635" s="246" t="s">
        <v>694</v>
      </c>
      <c r="D635" s="248">
        <f>Table3.110[[#This Row],[Date]]</f>
        <v>46055</v>
      </c>
      <c r="E635" s="230" t="str">
        <f>Table3.110[[#This Row],[Requisitioner]]</f>
        <v>Genbank</v>
      </c>
      <c r="F635" s="230" t="str">
        <f>Table3.110[[#This Row],[Gene Bank ID]]</f>
        <v>CIAT12411</v>
      </c>
      <c r="G635" s="230" t="str">
        <f>Table3.110[[#This Row],[Genus]]</f>
        <v>Stylosanthes</v>
      </c>
      <c r="H635" s="230" t="str">
        <f>Table3.110[[#This Row],[Species]]</f>
        <v>sympodialis</v>
      </c>
      <c r="I635" s="230" t="str">
        <f>Table3.110[[#This Row],[Tax Name]]</f>
        <v>Stylosanthes sympodialis</v>
      </c>
      <c r="J635" s="230" t="str">
        <f>Table3.110[[#This Row],[Family]]</f>
        <v>Fabaceae</v>
      </c>
      <c r="K635" s="230" t="str">
        <f>Table3.110[[#This Row],[Order]]</f>
        <v>Fabales</v>
      </c>
      <c r="L635" s="230" t="str">
        <f>Table3.110[[#This Row],[Functional Group]]</f>
        <v>Herbaceous</v>
      </c>
      <c r="M635" s="230" t="str">
        <f>Table3.110[[#This Row],[CIAT ID]]</f>
        <v>F252597</v>
      </c>
      <c r="N635" s="230">
        <f>Table3.110[[#This Row],[Set CIAT]]</f>
        <v>28</v>
      </c>
      <c r="O635" s="230">
        <f>Table3.110[[#This Row],[Batch]]</f>
        <v>62</v>
      </c>
      <c r="P635" s="230">
        <f>Table3.110[[#This Row],[Run]]</f>
        <v>2</v>
      </c>
      <c r="Q635" s="230">
        <f>Table3.110[[#This Row],[Replication]]</f>
        <v>2</v>
      </c>
      <c r="R635" s="230">
        <f>Table3.110[[#This Row],[Syrange No]]</f>
        <v>0</v>
      </c>
      <c r="S635" s="270">
        <v>0.56489999999999996</v>
      </c>
      <c r="T635" s="270">
        <v>0.81210000000000004</v>
      </c>
      <c r="U635" s="108"/>
      <c r="V635" s="122">
        <f t="shared" si="55"/>
        <v>0.24720000000000009</v>
      </c>
      <c r="W635" s="61">
        <f>Table3.110[[#This Row],[DM Incubated, mg]]-('3.2 Digest'!V635*1000)</f>
        <v>211.86482267939905</v>
      </c>
      <c r="X635" s="61">
        <f>W635/Table3.110[[#This Row],[DM Incubated, mg]]*100</f>
        <v>46.151395666263198</v>
      </c>
      <c r="Y635" s="37">
        <f>Table3.1[[#This Row],[DM Incubated, mg]]*'2.4 NDF'!R181/100</f>
        <v>280.55703753796126</v>
      </c>
      <c r="Z635" s="37">
        <f t="shared" si="52"/>
        <v>33.35703753796119</v>
      </c>
      <c r="AA635" s="37">
        <f t="shared" si="53"/>
        <v>11.889574337784257</v>
      </c>
      <c r="AB635" s="57"/>
    </row>
    <row r="636" spans="2:28" x14ac:dyDescent="0.35">
      <c r="B636" s="230">
        <f t="shared" si="54"/>
        <v>626</v>
      </c>
      <c r="C636" s="246" t="s">
        <v>694</v>
      </c>
      <c r="D636" s="248">
        <f>Table3.110[[#This Row],[Date]]</f>
        <v>46055</v>
      </c>
      <c r="E636" s="230" t="str">
        <f>Table3.110[[#This Row],[Requisitioner]]</f>
        <v>Genbank</v>
      </c>
      <c r="F636" s="230" t="str">
        <f>Table3.110[[#This Row],[Gene Bank ID]]</f>
        <v>CIAT12411</v>
      </c>
      <c r="G636" s="230" t="str">
        <f>Table3.110[[#This Row],[Genus]]</f>
        <v>Stylosanthes</v>
      </c>
      <c r="H636" s="230" t="str">
        <f>Table3.110[[#This Row],[Species]]</f>
        <v>sympodialis</v>
      </c>
      <c r="I636" s="230" t="str">
        <f>Table3.110[[#This Row],[Tax Name]]</f>
        <v>Stylosanthes sympodialis</v>
      </c>
      <c r="J636" s="230" t="str">
        <f>Table3.110[[#This Row],[Family]]</f>
        <v>Fabaceae</v>
      </c>
      <c r="K636" s="230" t="str">
        <f>Table3.110[[#This Row],[Order]]</f>
        <v>Fabales</v>
      </c>
      <c r="L636" s="230" t="str">
        <f>Table3.110[[#This Row],[Functional Group]]</f>
        <v>Herbaceous</v>
      </c>
      <c r="M636" s="230" t="str">
        <f>Table3.110[[#This Row],[CIAT ID]]</f>
        <v>F252597</v>
      </c>
      <c r="N636" s="230">
        <f>Table3.110[[#This Row],[Set CIAT]]</f>
        <v>28</v>
      </c>
      <c r="O636" s="230">
        <f>Table3.110[[#This Row],[Batch]]</f>
        <v>62</v>
      </c>
      <c r="P636" s="230">
        <f>Table3.110[[#This Row],[Run]]</f>
        <v>2</v>
      </c>
      <c r="Q636" s="230">
        <f>Table3.110[[#This Row],[Replication]]</f>
        <v>3</v>
      </c>
      <c r="R636" s="230">
        <f>Table3.110[[#This Row],[Syrange No]]</f>
        <v>0</v>
      </c>
      <c r="S636" s="270">
        <v>0.58589999999999998</v>
      </c>
      <c r="T636" s="270">
        <v>0.77739999999999998</v>
      </c>
      <c r="U636" s="108"/>
      <c r="V636" s="122">
        <f t="shared" si="55"/>
        <v>0.1915</v>
      </c>
      <c r="W636" s="61">
        <f>Table3.110[[#This Row],[DM Incubated, mg]]-('3.2 Digest'!V636*1000)</f>
        <v>267.19793770622886</v>
      </c>
      <c r="X636" s="61">
        <f>W636/Table3.110[[#This Row],[DM Incubated, mg]]*100</f>
        <v>58.251392853951444</v>
      </c>
      <c r="Y636" s="37">
        <f>Table3.1[[#This Row],[DM Incubated, mg]]*'2.4 NDF'!R181/100</f>
        <v>280.33281612933956</v>
      </c>
      <c r="Z636" s="37">
        <f t="shared" si="52"/>
        <v>88.832816129339562</v>
      </c>
      <c r="AA636" s="37">
        <f t="shared" si="53"/>
        <v>31.688340079441147</v>
      </c>
      <c r="AB636" s="57"/>
    </row>
    <row r="637" spans="2:28" x14ac:dyDescent="0.35">
      <c r="B637" s="230">
        <f t="shared" si="54"/>
        <v>627</v>
      </c>
      <c r="C637" s="246" t="s">
        <v>694</v>
      </c>
      <c r="D637" s="248">
        <f>Table3.110[[#This Row],[Date]]</f>
        <v>46055</v>
      </c>
      <c r="E637" s="230" t="str">
        <f>Table3.110[[#This Row],[Requisitioner]]</f>
        <v>Genbank</v>
      </c>
      <c r="F637" s="230" t="str">
        <f>Table3.110[[#This Row],[Gene Bank ID]]</f>
        <v>CIAT13494</v>
      </c>
      <c r="G637" s="230" t="str">
        <f>Table3.110[[#This Row],[Genus]]</f>
        <v>Desmodium</v>
      </c>
      <c r="H637" s="230" t="str">
        <f>Table3.110[[#This Row],[Species]]</f>
        <v>tortuosum</v>
      </c>
      <c r="I637" s="230" t="str">
        <f>Table3.110[[#This Row],[Tax Name]]</f>
        <v>Desmodium tortuosum</v>
      </c>
      <c r="J637" s="230" t="str">
        <f>Table3.110[[#This Row],[Family]]</f>
        <v>Fabaceae</v>
      </c>
      <c r="K637" s="230" t="str">
        <f>Table3.110[[#This Row],[Order]]</f>
        <v>Fabales</v>
      </c>
      <c r="L637" s="230" t="str">
        <f>Table3.110[[#This Row],[Functional Group]]</f>
        <v>Shurb_Tree</v>
      </c>
      <c r="M637" s="230" t="str">
        <f>Table3.110[[#This Row],[CIAT ID]]</f>
        <v>F252598</v>
      </c>
      <c r="N637" s="230">
        <f>Table3.110[[#This Row],[Set CIAT]]</f>
        <v>28</v>
      </c>
      <c r="O637" s="230">
        <f>Table3.110[[#This Row],[Batch]]</f>
        <v>62</v>
      </c>
      <c r="P637" s="230">
        <f>Table3.110[[#This Row],[Run]]</f>
        <v>2</v>
      </c>
      <c r="Q637" s="230">
        <f>Table3.110[[#This Row],[Replication]]</f>
        <v>1</v>
      </c>
      <c r="R637" s="230">
        <f>Table3.110[[#This Row],[Syrange No]]</f>
        <v>0</v>
      </c>
      <c r="S637" s="270">
        <v>0.57699999999999996</v>
      </c>
      <c r="T637" s="270">
        <v>0.85650000000000004</v>
      </c>
      <c r="U637" s="108"/>
      <c r="V637" s="122">
        <f t="shared" si="55"/>
        <v>0.27950000000000008</v>
      </c>
      <c r="W637" s="61">
        <f>Table3.110[[#This Row],[DM Incubated, mg]]-('3.2 Digest'!V637*1000)</f>
        <v>179.19792646410207</v>
      </c>
      <c r="X637" s="61">
        <f>W637/Table3.110[[#This Row],[DM Incubated, mg]]*100</f>
        <v>39.066652828683793</v>
      </c>
      <c r="Y637" s="37">
        <f>Table3.1[[#This Row],[DM Incubated, mg]]*'2.4 NDF'!R183/100</f>
        <v>232.64924547689188</v>
      </c>
      <c r="Z637" s="37">
        <f t="shared" si="52"/>
        <v>-46.850754523108179</v>
      </c>
      <c r="AA637" s="37">
        <f t="shared" si="53"/>
        <v>-20.137935297005587</v>
      </c>
      <c r="AB637" s="57"/>
    </row>
    <row r="638" spans="2:28" x14ac:dyDescent="0.35">
      <c r="B638" s="230">
        <f t="shared" si="54"/>
        <v>628</v>
      </c>
      <c r="C638" s="246" t="s">
        <v>694</v>
      </c>
      <c r="D638" s="248">
        <f>Table3.110[[#This Row],[Date]]</f>
        <v>46055</v>
      </c>
      <c r="E638" s="230" t="str">
        <f>Table3.110[[#This Row],[Requisitioner]]</f>
        <v>Genbank</v>
      </c>
      <c r="F638" s="230" t="str">
        <f>Table3.110[[#This Row],[Gene Bank ID]]</f>
        <v>CIAT13494</v>
      </c>
      <c r="G638" s="230" t="str">
        <f>Table3.110[[#This Row],[Genus]]</f>
        <v>Desmodium</v>
      </c>
      <c r="H638" s="230" t="str">
        <f>Table3.110[[#This Row],[Species]]</f>
        <v>tortuosum</v>
      </c>
      <c r="I638" s="230" t="str">
        <f>Table3.110[[#This Row],[Tax Name]]</f>
        <v>Desmodium tortuosum</v>
      </c>
      <c r="J638" s="230" t="str">
        <f>Table3.110[[#This Row],[Family]]</f>
        <v>Fabaceae</v>
      </c>
      <c r="K638" s="230" t="str">
        <f>Table3.110[[#This Row],[Order]]</f>
        <v>Fabales</v>
      </c>
      <c r="L638" s="230" t="str">
        <f>Table3.110[[#This Row],[Functional Group]]</f>
        <v>Shurb_Tree</v>
      </c>
      <c r="M638" s="230" t="str">
        <f>Table3.110[[#This Row],[CIAT ID]]</f>
        <v>F252598</v>
      </c>
      <c r="N638" s="230">
        <f>Table3.110[[#This Row],[Set CIAT]]</f>
        <v>28</v>
      </c>
      <c r="O638" s="230">
        <f>Table3.110[[#This Row],[Batch]]</f>
        <v>62</v>
      </c>
      <c r="P638" s="230">
        <f>Table3.110[[#This Row],[Run]]</f>
        <v>2</v>
      </c>
      <c r="Q638" s="230">
        <f>Table3.110[[#This Row],[Replication]]</f>
        <v>2</v>
      </c>
      <c r="R638" s="230">
        <f>Table3.110[[#This Row],[Syrange No]]</f>
        <v>0</v>
      </c>
      <c r="S638" s="270">
        <v>0.56320000000000003</v>
      </c>
      <c r="T638" s="270">
        <v>0.81289999999999996</v>
      </c>
      <c r="U638" s="108"/>
      <c r="V638" s="122">
        <f t="shared" si="55"/>
        <v>0.24969999999999992</v>
      </c>
      <c r="W638" s="61">
        <f>Table3.110[[#This Row],[DM Incubated, mg]]-('3.2 Digest'!V638*1000)</f>
        <v>209.08959271639316</v>
      </c>
      <c r="X638" s="61">
        <f>W638/Table3.110[[#This Row],[DM Incubated, mg]]*100</f>
        <v>45.574179544574953</v>
      </c>
      <c r="Y638" s="37">
        <f>Table3.1[[#This Row],[DM Incubated, mg]]*'2.4 NDF'!R183/100</f>
        <v>232.69573813186329</v>
      </c>
      <c r="Z638" s="37">
        <f t="shared" si="52"/>
        <v>-17.004261868136638</v>
      </c>
      <c r="AA638" s="37">
        <f t="shared" si="53"/>
        <v>-7.3075089404949543</v>
      </c>
      <c r="AB638" s="57"/>
    </row>
    <row r="639" spans="2:28" x14ac:dyDescent="0.35">
      <c r="B639" s="230">
        <f t="shared" si="54"/>
        <v>629</v>
      </c>
      <c r="C639" s="246" t="s">
        <v>694</v>
      </c>
      <c r="D639" s="248">
        <f>Table3.110[[#This Row],[Date]]</f>
        <v>46055</v>
      </c>
      <c r="E639" s="230" t="str">
        <f>Table3.110[[#This Row],[Requisitioner]]</f>
        <v>Genbank</v>
      </c>
      <c r="F639" s="230" t="str">
        <f>Table3.110[[#This Row],[Gene Bank ID]]</f>
        <v>CIAT13494</v>
      </c>
      <c r="G639" s="230" t="str">
        <f>Table3.110[[#This Row],[Genus]]</f>
        <v>Desmodium</v>
      </c>
      <c r="H639" s="230" t="str">
        <f>Table3.110[[#This Row],[Species]]</f>
        <v>tortuosum</v>
      </c>
      <c r="I639" s="230" t="str">
        <f>Table3.110[[#This Row],[Tax Name]]</f>
        <v>Desmodium tortuosum</v>
      </c>
      <c r="J639" s="230" t="str">
        <f>Table3.110[[#This Row],[Family]]</f>
        <v>Fabaceae</v>
      </c>
      <c r="K639" s="230" t="str">
        <f>Table3.110[[#This Row],[Order]]</f>
        <v>Fabales</v>
      </c>
      <c r="L639" s="230" t="str">
        <f>Table3.110[[#This Row],[Functional Group]]</f>
        <v>Shurb_Tree</v>
      </c>
      <c r="M639" s="230" t="str">
        <f>Table3.110[[#This Row],[CIAT ID]]</f>
        <v>F252598</v>
      </c>
      <c r="N639" s="230">
        <f>Table3.110[[#This Row],[Set CIAT]]</f>
        <v>28</v>
      </c>
      <c r="O639" s="230">
        <f>Table3.110[[#This Row],[Batch]]</f>
        <v>62</v>
      </c>
      <c r="P639" s="230">
        <f>Table3.110[[#This Row],[Run]]</f>
        <v>2</v>
      </c>
      <c r="Q639" s="230">
        <f>Table3.110[[#This Row],[Replication]]</f>
        <v>3</v>
      </c>
      <c r="R639" s="230">
        <f>Table3.110[[#This Row],[Syrange No]]</f>
        <v>0</v>
      </c>
      <c r="S639" s="270">
        <v>0.5857</v>
      </c>
      <c r="T639" s="270">
        <v>0.85609999999999997</v>
      </c>
      <c r="U639" s="108"/>
      <c r="V639" s="122">
        <f t="shared" si="55"/>
        <v>0.27039999999999997</v>
      </c>
      <c r="W639" s="61">
        <f>Table3.110[[#This Row],[DM Incubated, mg]]-('3.2 Digest'!V639*1000)</f>
        <v>188.11459395952022</v>
      </c>
      <c r="X639" s="61">
        <f>W639/Table3.110[[#This Row],[DM Incubated, mg]]*100</f>
        <v>41.026958888058388</v>
      </c>
      <c r="Y639" s="37">
        <f>Table3.1[[#This Row],[DM Incubated, mg]]*'2.4 NDF'!R183/100</f>
        <v>232.5562601669491</v>
      </c>
      <c r="Z639" s="37">
        <f t="shared" si="52"/>
        <v>-37.843739833050876</v>
      </c>
      <c r="AA639" s="37">
        <f t="shared" si="53"/>
        <v>-16.272939634427967</v>
      </c>
      <c r="AB639" s="57"/>
    </row>
    <row r="640" spans="2:28" x14ac:dyDescent="0.35">
      <c r="B640" s="230">
        <f t="shared" si="54"/>
        <v>630</v>
      </c>
      <c r="C640" s="246" t="s">
        <v>694</v>
      </c>
      <c r="D640" s="248">
        <f>Table3.110[[#This Row],[Date]]</f>
        <v>46055</v>
      </c>
      <c r="E640" s="230" t="str">
        <f>Table3.110[[#This Row],[Requisitioner]]</f>
        <v>Genbank</v>
      </c>
      <c r="F640" s="230" t="str">
        <f>Table3.110[[#This Row],[Gene Bank ID]]</f>
        <v>CIAT13562</v>
      </c>
      <c r="G640" s="230" t="str">
        <f>Table3.110[[#This Row],[Genus]]</f>
        <v>Desmodium</v>
      </c>
      <c r="H640" s="230" t="str">
        <f>Table3.110[[#This Row],[Species]]</f>
        <v>tortuosum</v>
      </c>
      <c r="I640" s="230" t="str">
        <f>Table3.110[[#This Row],[Tax Name]]</f>
        <v>Desmodium tortuosum</v>
      </c>
      <c r="J640" s="230" t="str">
        <f>Table3.110[[#This Row],[Family]]</f>
        <v>Fabaceae</v>
      </c>
      <c r="K640" s="230" t="str">
        <f>Table3.110[[#This Row],[Order]]</f>
        <v>Fabales</v>
      </c>
      <c r="L640" s="230" t="str">
        <f>Table3.110[[#This Row],[Functional Group]]</f>
        <v>Shurb_Tree</v>
      </c>
      <c r="M640" s="230" t="str">
        <f>Table3.110[[#This Row],[CIAT ID]]</f>
        <v>F252599</v>
      </c>
      <c r="N640" s="230">
        <f>Table3.110[[#This Row],[Set CIAT]]</f>
        <v>28</v>
      </c>
      <c r="O640" s="230">
        <f>Table3.110[[#This Row],[Batch]]</f>
        <v>62</v>
      </c>
      <c r="P640" s="230">
        <f>Table3.110[[#This Row],[Run]]</f>
        <v>2</v>
      </c>
      <c r="Q640" s="230">
        <f>Table3.110[[#This Row],[Replication]]</f>
        <v>1</v>
      </c>
      <c r="R640" s="230">
        <f>Table3.110[[#This Row],[Syrange No]]</f>
        <v>0</v>
      </c>
      <c r="S640" s="270">
        <v>0.57609999999999995</v>
      </c>
      <c r="T640" s="270">
        <v>0.91959999999999997</v>
      </c>
      <c r="U640" s="108"/>
      <c r="V640" s="122">
        <f t="shared" si="55"/>
        <v>0.34350000000000003</v>
      </c>
      <c r="W640" s="61">
        <f>Table3.110[[#This Row],[DM Incubated, mg]]-('3.2 Digest'!V640*1000)</f>
        <v>116.01928256755934</v>
      </c>
      <c r="X640" s="61">
        <f>W640/Table3.110[[#This Row],[DM Incubated, mg]]*100</f>
        <v>25.2479682504949</v>
      </c>
      <c r="Y640" s="37">
        <f>Table3.1[[#This Row],[DM Incubated, mg]]*'2.4 NDF'!R185/100</f>
        <v>231.20924640118616</v>
      </c>
      <c r="Z640" s="37">
        <f t="shared" si="52"/>
        <v>-112.29075359881384</v>
      </c>
      <c r="AA640" s="37">
        <f t="shared" si="53"/>
        <v>-48.566722718334056</v>
      </c>
      <c r="AB640" s="57"/>
    </row>
    <row r="641" spans="2:28" x14ac:dyDescent="0.35">
      <c r="B641" s="230">
        <f t="shared" si="54"/>
        <v>631</v>
      </c>
      <c r="C641" s="246" t="s">
        <v>694</v>
      </c>
      <c r="D641" s="248">
        <f>Table3.110[[#This Row],[Date]]</f>
        <v>46055</v>
      </c>
      <c r="E641" s="230" t="str">
        <f>Table3.110[[#This Row],[Requisitioner]]</f>
        <v>Genbank</v>
      </c>
      <c r="F641" s="230" t="str">
        <f>Table3.110[[#This Row],[Gene Bank ID]]</f>
        <v>CIAT13562</v>
      </c>
      <c r="G641" s="230" t="str">
        <f>Table3.110[[#This Row],[Genus]]</f>
        <v>Desmodium</v>
      </c>
      <c r="H641" s="230" t="str">
        <f>Table3.110[[#This Row],[Species]]</f>
        <v>tortuosum</v>
      </c>
      <c r="I641" s="230" t="str">
        <f>Table3.110[[#This Row],[Tax Name]]</f>
        <v>Desmodium tortuosum</v>
      </c>
      <c r="J641" s="230" t="str">
        <f>Table3.110[[#This Row],[Family]]</f>
        <v>Fabaceae</v>
      </c>
      <c r="K641" s="230" t="str">
        <f>Table3.110[[#This Row],[Order]]</f>
        <v>Fabales</v>
      </c>
      <c r="L641" s="230" t="str">
        <f>Table3.110[[#This Row],[Functional Group]]</f>
        <v>Shurb_Tree</v>
      </c>
      <c r="M641" s="230" t="str">
        <f>Table3.110[[#This Row],[CIAT ID]]</f>
        <v>F252599</v>
      </c>
      <c r="N641" s="230">
        <f>Table3.110[[#This Row],[Set CIAT]]</f>
        <v>28</v>
      </c>
      <c r="O641" s="230">
        <f>Table3.110[[#This Row],[Batch]]</f>
        <v>62</v>
      </c>
      <c r="P641" s="230">
        <f>Table3.110[[#This Row],[Run]]</f>
        <v>2</v>
      </c>
      <c r="Q641" s="230">
        <f>Table3.110[[#This Row],[Replication]]</f>
        <v>2</v>
      </c>
      <c r="R641" s="230">
        <f>Table3.110[[#This Row],[Syrange No]]</f>
        <v>0</v>
      </c>
      <c r="S641" s="270">
        <v>0.56379999999999997</v>
      </c>
      <c r="T641" s="270">
        <v>0.80330000000000001</v>
      </c>
      <c r="U641" s="108"/>
      <c r="V641" s="122">
        <f t="shared" si="55"/>
        <v>0.23950000000000005</v>
      </c>
      <c r="W641" s="61">
        <f>Table3.110[[#This Row],[DM Incubated, mg]]-('3.2 Digest'!V641*1000)</f>
        <v>219.56022234521407</v>
      </c>
      <c r="X641" s="61">
        <f>W641/Table3.110[[#This Row],[DM Incubated, mg]]*100</f>
        <v>47.828195878863227</v>
      </c>
      <c r="Y641" s="37">
        <f>Table3.1[[#This Row],[DM Incubated, mg]]*'2.4 NDF'!R185/100</f>
        <v>230.97826813305312</v>
      </c>
      <c r="Z641" s="37">
        <f t="shared" si="52"/>
        <v>-8.5217318669469364</v>
      </c>
      <c r="AA641" s="37">
        <f t="shared" si="53"/>
        <v>-3.6894085040234446</v>
      </c>
      <c r="AB641" s="57"/>
    </row>
    <row r="642" spans="2:28" x14ac:dyDescent="0.35">
      <c r="B642" s="230">
        <f t="shared" si="54"/>
        <v>632</v>
      </c>
      <c r="C642" s="246" t="s">
        <v>694</v>
      </c>
      <c r="D642" s="248">
        <f>Table3.110[[#This Row],[Date]]</f>
        <v>46055</v>
      </c>
      <c r="E642" s="230" t="str">
        <f>Table3.110[[#This Row],[Requisitioner]]</f>
        <v>Genbank</v>
      </c>
      <c r="F642" s="230" t="str">
        <f>Table3.110[[#This Row],[Gene Bank ID]]</f>
        <v>CIAT13562</v>
      </c>
      <c r="G642" s="230" t="str">
        <f>Table3.110[[#This Row],[Genus]]</f>
        <v>Desmodium</v>
      </c>
      <c r="H642" s="230" t="str">
        <f>Table3.110[[#This Row],[Species]]</f>
        <v>tortuosum</v>
      </c>
      <c r="I642" s="230" t="str">
        <f>Table3.110[[#This Row],[Tax Name]]</f>
        <v>Desmodium tortuosum</v>
      </c>
      <c r="J642" s="230" t="str">
        <f>Table3.110[[#This Row],[Family]]</f>
        <v>Fabaceae</v>
      </c>
      <c r="K642" s="230" t="str">
        <f>Table3.110[[#This Row],[Order]]</f>
        <v>Fabales</v>
      </c>
      <c r="L642" s="230" t="str">
        <f>Table3.110[[#This Row],[Functional Group]]</f>
        <v>Shurb_Tree</v>
      </c>
      <c r="M642" s="230" t="str">
        <f>Table3.110[[#This Row],[CIAT ID]]</f>
        <v>F252599</v>
      </c>
      <c r="N642" s="230">
        <f>Table3.110[[#This Row],[Set CIAT]]</f>
        <v>28</v>
      </c>
      <c r="O642" s="230">
        <f>Table3.110[[#This Row],[Batch]]</f>
        <v>62</v>
      </c>
      <c r="P642" s="230">
        <f>Table3.110[[#This Row],[Run]]</f>
        <v>2</v>
      </c>
      <c r="Q642" s="230">
        <f>Table3.110[[#This Row],[Replication]]</f>
        <v>3</v>
      </c>
      <c r="R642" s="230">
        <f>Table3.110[[#This Row],[Syrange No]]</f>
        <v>0</v>
      </c>
      <c r="S642" s="270">
        <v>0.58220000000000005</v>
      </c>
      <c r="T642" s="270">
        <v>0.91410000000000002</v>
      </c>
      <c r="U642" s="108"/>
      <c r="V642" s="122"/>
      <c r="W642" s="61"/>
      <c r="X642" s="61"/>
      <c r="Y642" s="37"/>
      <c r="Z642" s="37"/>
      <c r="AA642" s="37"/>
      <c r="AB642" s="57"/>
    </row>
    <row r="643" spans="2:28" x14ac:dyDescent="0.35">
      <c r="B643" s="230">
        <f t="shared" si="54"/>
        <v>633</v>
      </c>
      <c r="C643" s="246" t="s">
        <v>694</v>
      </c>
      <c r="D643" s="248">
        <f>Table3.110[[#This Row],[Date]]</f>
        <v>46055</v>
      </c>
      <c r="E643" s="230" t="str">
        <f>Table3.110[[#This Row],[Requisitioner]]</f>
        <v>Genbank</v>
      </c>
      <c r="F643" s="230" t="str">
        <f>Table3.110[[#This Row],[Gene Bank ID]]</f>
        <v>CIAT13593</v>
      </c>
      <c r="G643" s="230" t="str">
        <f>Table3.110[[#This Row],[Genus]]</f>
        <v>Desmodium</v>
      </c>
      <c r="H643" s="230" t="str">
        <f>Table3.110[[#This Row],[Species]]</f>
        <v>scorpiurus</v>
      </c>
      <c r="I643" s="230" t="str">
        <f>Table3.110[[#This Row],[Tax Name]]</f>
        <v>Desmodium scorpiurus</v>
      </c>
      <c r="J643" s="230" t="str">
        <f>Table3.110[[#This Row],[Family]]</f>
        <v>Fabaceae</v>
      </c>
      <c r="K643" s="230" t="str">
        <f>Table3.110[[#This Row],[Order]]</f>
        <v>Fabales</v>
      </c>
      <c r="L643" s="230" t="str">
        <f>Table3.110[[#This Row],[Functional Group]]</f>
        <v>Herbaceous</v>
      </c>
      <c r="M643" s="230" t="str">
        <f>Table3.110[[#This Row],[CIAT ID]]</f>
        <v>F252600</v>
      </c>
      <c r="N643" s="230">
        <f>Table3.110[[#This Row],[Set CIAT]]</f>
        <v>28</v>
      </c>
      <c r="O643" s="230">
        <f>Table3.110[[#This Row],[Batch]]</f>
        <v>62</v>
      </c>
      <c r="P643" s="230">
        <f>Table3.110[[#This Row],[Run]]</f>
        <v>2</v>
      </c>
      <c r="Q643" s="230">
        <f>Table3.110[[#This Row],[Replication]]</f>
        <v>1</v>
      </c>
      <c r="R643" s="230">
        <f>Table3.110[[#This Row],[Syrange No]]</f>
        <v>0</v>
      </c>
      <c r="S643" s="270">
        <v>0.57689999999999997</v>
      </c>
      <c r="T643" s="273"/>
      <c r="U643" s="108" t="s">
        <v>574</v>
      </c>
      <c r="V643" s="122"/>
      <c r="W643" s="61"/>
      <c r="X643" s="61"/>
      <c r="Y643" s="37"/>
      <c r="Z643" s="37"/>
      <c r="AA643" s="37"/>
      <c r="AB643" s="57"/>
    </row>
    <row r="644" spans="2:28" x14ac:dyDescent="0.35">
      <c r="B644" s="230">
        <f t="shared" si="54"/>
        <v>634</v>
      </c>
      <c r="C644" s="246" t="s">
        <v>694</v>
      </c>
      <c r="D644" s="248">
        <f>Table3.110[[#This Row],[Date]]</f>
        <v>46055</v>
      </c>
      <c r="E644" s="230" t="str">
        <f>Table3.110[[#This Row],[Requisitioner]]</f>
        <v>Genbank</v>
      </c>
      <c r="F644" s="230" t="str">
        <f>Table3.110[[#This Row],[Gene Bank ID]]</f>
        <v>CIAT13593</v>
      </c>
      <c r="G644" s="230" t="str">
        <f>Table3.110[[#This Row],[Genus]]</f>
        <v>Desmodium</v>
      </c>
      <c r="H644" s="230" t="str">
        <f>Table3.110[[#This Row],[Species]]</f>
        <v>scorpiurus</v>
      </c>
      <c r="I644" s="230" t="str">
        <f>Table3.110[[#This Row],[Tax Name]]</f>
        <v>Desmodium scorpiurus</v>
      </c>
      <c r="J644" s="230" t="str">
        <f>Table3.110[[#This Row],[Family]]</f>
        <v>Fabaceae</v>
      </c>
      <c r="K644" s="230" t="str">
        <f>Table3.110[[#This Row],[Order]]</f>
        <v>Fabales</v>
      </c>
      <c r="L644" s="230" t="str">
        <f>Table3.110[[#This Row],[Functional Group]]</f>
        <v>Herbaceous</v>
      </c>
      <c r="M644" s="230" t="str">
        <f>Table3.110[[#This Row],[CIAT ID]]</f>
        <v>F252600</v>
      </c>
      <c r="N644" s="230">
        <f>Table3.110[[#This Row],[Set CIAT]]</f>
        <v>28</v>
      </c>
      <c r="O644" s="230">
        <f>Table3.110[[#This Row],[Batch]]</f>
        <v>62</v>
      </c>
      <c r="P644" s="230">
        <f>Table3.110[[#This Row],[Run]]</f>
        <v>2</v>
      </c>
      <c r="Q644" s="230">
        <f>Table3.110[[#This Row],[Replication]]</f>
        <v>2</v>
      </c>
      <c r="R644" s="230">
        <f>Table3.110[[#This Row],[Syrange No]]</f>
        <v>0</v>
      </c>
      <c r="S644" s="106">
        <v>0.57099999999999995</v>
      </c>
      <c r="T644" s="106">
        <v>0.86650000000000005</v>
      </c>
      <c r="U644" s="108"/>
      <c r="V644" s="122">
        <f t="shared" si="55"/>
        <v>0.2955000000000001</v>
      </c>
      <c r="W644" s="61">
        <f>Table3.110[[#This Row],[DM Incubated, mg]]-('3.2 Digest'!V644*1000)</f>
        <v>158.49711928991354</v>
      </c>
      <c r="X644" s="61">
        <f>W644/Table3.110[[#This Row],[DM Incubated, mg]]*100</f>
        <v>34.911481274994699</v>
      </c>
      <c r="Y644" s="37">
        <f>Table3.1[[#This Row],[DM Incubated, mg]]*'2.4 NDF'!R187/100</f>
        <v>264.65631977691544</v>
      </c>
      <c r="Z644" s="37">
        <f t="shared" ref="Z644:Z657" si="56">Y644-(V644*1000)</f>
        <v>-30.843680223084675</v>
      </c>
      <c r="AA644" s="37">
        <f t="shared" ref="AA644:AA657" si="57">Z644/Y644*100</f>
        <v>-11.654239070914112</v>
      </c>
      <c r="AB644" s="57"/>
    </row>
    <row r="645" spans="2:28" x14ac:dyDescent="0.35">
      <c r="B645" s="230">
        <f t="shared" si="54"/>
        <v>635</v>
      </c>
      <c r="C645" s="246" t="s">
        <v>694</v>
      </c>
      <c r="D645" s="248">
        <f>Table3.110[[#This Row],[Date]]</f>
        <v>46055</v>
      </c>
      <c r="E645" s="230" t="str">
        <f>Table3.110[[#This Row],[Requisitioner]]</f>
        <v>Genbank</v>
      </c>
      <c r="F645" s="230" t="str">
        <f>Table3.110[[#This Row],[Gene Bank ID]]</f>
        <v>CIAT13593</v>
      </c>
      <c r="G645" s="230" t="str">
        <f>Table3.110[[#This Row],[Genus]]</f>
        <v>Desmodium</v>
      </c>
      <c r="H645" s="230" t="str">
        <f>Table3.110[[#This Row],[Species]]</f>
        <v>scorpiurus</v>
      </c>
      <c r="I645" s="230" t="str">
        <f>Table3.110[[#This Row],[Tax Name]]</f>
        <v>Desmodium scorpiurus</v>
      </c>
      <c r="J645" s="230" t="str">
        <f>Table3.110[[#This Row],[Family]]</f>
        <v>Fabaceae</v>
      </c>
      <c r="K645" s="230" t="str">
        <f>Table3.110[[#This Row],[Order]]</f>
        <v>Fabales</v>
      </c>
      <c r="L645" s="230" t="str">
        <f>Table3.110[[#This Row],[Functional Group]]</f>
        <v>Herbaceous</v>
      </c>
      <c r="M645" s="230" t="str">
        <f>Table3.110[[#This Row],[CIAT ID]]</f>
        <v>F252600</v>
      </c>
      <c r="N645" s="230">
        <f>Table3.110[[#This Row],[Set CIAT]]</f>
        <v>28</v>
      </c>
      <c r="O645" s="230">
        <f>Table3.110[[#This Row],[Batch]]</f>
        <v>62</v>
      </c>
      <c r="P645" s="230">
        <f>Table3.110[[#This Row],[Run]]</f>
        <v>2</v>
      </c>
      <c r="Q645" s="230">
        <f>Table3.110[[#This Row],[Replication]]</f>
        <v>3</v>
      </c>
      <c r="R645" s="230">
        <f>Table3.110[[#This Row],[Syrange No]]</f>
        <v>0</v>
      </c>
      <c r="S645" s="106">
        <v>0.60460000000000003</v>
      </c>
      <c r="T645" s="106">
        <v>1.0184</v>
      </c>
      <c r="U645" s="108"/>
      <c r="V645" s="122">
        <f t="shared" si="55"/>
        <v>0.41379999999999995</v>
      </c>
      <c r="W645" s="61">
        <f>Table3.110[[#This Row],[DM Incubated, mg]]-('3.2 Digest'!V645*1000)</f>
        <v>39.9249931444852</v>
      </c>
      <c r="X645" s="61">
        <f>W645/Table3.110[[#This Row],[DM Incubated, mg]]*100</f>
        <v>8.7993815081223428</v>
      </c>
      <c r="Y645" s="37">
        <f>Table3.1[[#This Row],[DM Incubated, mg]]*'2.4 NDF'!R187/100</f>
        <v>264.49768462020603</v>
      </c>
      <c r="Z645" s="37">
        <f t="shared" si="56"/>
        <v>-149.30231537979392</v>
      </c>
      <c r="AA645" s="37">
        <f t="shared" si="57"/>
        <v>-56.447494273599453</v>
      </c>
      <c r="AB645" s="57"/>
    </row>
    <row r="646" spans="2:28" x14ac:dyDescent="0.35">
      <c r="B646" s="230">
        <f t="shared" si="54"/>
        <v>636</v>
      </c>
      <c r="C646" s="246" t="s">
        <v>694</v>
      </c>
      <c r="D646" s="248">
        <f>Table3.110[[#This Row],[Date]]</f>
        <v>46055</v>
      </c>
      <c r="E646" s="230" t="str">
        <f>Table3.110[[#This Row],[Requisitioner]]</f>
        <v>Genbank</v>
      </c>
      <c r="F646" s="230" t="str">
        <f>Table3.110[[#This Row],[Gene Bank ID]]</f>
        <v>CIAT13608</v>
      </c>
      <c r="G646" s="230" t="str">
        <f>Table3.110[[#This Row],[Genus]]</f>
        <v>Desmodium</v>
      </c>
      <c r="H646" s="230" t="str">
        <f>Table3.110[[#This Row],[Species]]</f>
        <v>incanum</v>
      </c>
      <c r="I646" s="230" t="str">
        <f>Table3.110[[#This Row],[Tax Name]]</f>
        <v>Desmodium incanum</v>
      </c>
      <c r="J646" s="230" t="str">
        <f>Table3.110[[#This Row],[Family]]</f>
        <v>Fabaceae</v>
      </c>
      <c r="K646" s="230" t="str">
        <f>Table3.110[[#This Row],[Order]]</f>
        <v>Fabales</v>
      </c>
      <c r="L646" s="230" t="str">
        <f>Table3.110[[#This Row],[Functional Group]]</f>
        <v>Herbaceous</v>
      </c>
      <c r="M646" s="230" t="str">
        <f>Table3.110[[#This Row],[CIAT ID]]</f>
        <v>F252601</v>
      </c>
      <c r="N646" s="230">
        <f>Table3.110[[#This Row],[Set CIAT]]</f>
        <v>28</v>
      </c>
      <c r="O646" s="230">
        <f>Table3.110[[#This Row],[Batch]]</f>
        <v>62</v>
      </c>
      <c r="P646" s="230">
        <f>Table3.110[[#This Row],[Run]]</f>
        <v>2</v>
      </c>
      <c r="Q646" s="230">
        <f>Table3.110[[#This Row],[Replication]]</f>
        <v>1</v>
      </c>
      <c r="R646" s="230">
        <f>Table3.110[[#This Row],[Syrange No]]</f>
        <v>0</v>
      </c>
      <c r="S646" s="106">
        <v>0.6179</v>
      </c>
      <c r="T646" s="106">
        <v>0.91300000000000003</v>
      </c>
      <c r="U646" s="108"/>
      <c r="V646" s="122">
        <f t="shared" si="55"/>
        <v>0.29510000000000003</v>
      </c>
      <c r="W646" s="61">
        <f>Table3.110[[#This Row],[DM Incubated, mg]]-('3.2 Digest'!V646*1000)</f>
        <v>168.40843904701609</v>
      </c>
      <c r="X646" s="61">
        <f>W646/Table3.110[[#This Row],[DM Incubated, mg]]*100</f>
        <v>36.333413776298798</v>
      </c>
      <c r="Y646" s="37">
        <f>Table3.1[[#This Row],[DM Incubated, mg]]*'2.4 NDF'!R189/100</f>
        <v>275.8631374397105</v>
      </c>
      <c r="Z646" s="37">
        <f t="shared" si="56"/>
        <v>-19.236862560289524</v>
      </c>
      <c r="AA646" s="37">
        <f t="shared" si="57"/>
        <v>-6.9733356688490913</v>
      </c>
      <c r="AB646" s="57"/>
    </row>
    <row r="647" spans="2:28" x14ac:dyDescent="0.35">
      <c r="B647" s="230">
        <f t="shared" si="54"/>
        <v>637</v>
      </c>
      <c r="C647" s="246" t="s">
        <v>694</v>
      </c>
      <c r="D647" s="248">
        <f>Table3.110[[#This Row],[Date]]</f>
        <v>46055</v>
      </c>
      <c r="E647" s="230" t="str">
        <f>Table3.110[[#This Row],[Requisitioner]]</f>
        <v>Genbank</v>
      </c>
      <c r="F647" s="230" t="str">
        <f>Table3.110[[#This Row],[Gene Bank ID]]</f>
        <v>CIAT13608</v>
      </c>
      <c r="G647" s="230" t="str">
        <f>Table3.110[[#This Row],[Genus]]</f>
        <v>Desmodium</v>
      </c>
      <c r="H647" s="230" t="str">
        <f>Table3.110[[#This Row],[Species]]</f>
        <v>incanum</v>
      </c>
      <c r="I647" s="230" t="str">
        <f>Table3.110[[#This Row],[Tax Name]]</f>
        <v>Desmodium incanum</v>
      </c>
      <c r="J647" s="230" t="str">
        <f>Table3.110[[#This Row],[Family]]</f>
        <v>Fabaceae</v>
      </c>
      <c r="K647" s="230" t="str">
        <f>Table3.110[[#This Row],[Order]]</f>
        <v>Fabales</v>
      </c>
      <c r="L647" s="230" t="str">
        <f>Table3.110[[#This Row],[Functional Group]]</f>
        <v>Herbaceous</v>
      </c>
      <c r="M647" s="230" t="str">
        <f>Table3.110[[#This Row],[CIAT ID]]</f>
        <v>F252601</v>
      </c>
      <c r="N647" s="230">
        <f>Table3.110[[#This Row],[Set CIAT]]</f>
        <v>28</v>
      </c>
      <c r="O647" s="230">
        <f>Table3.110[[#This Row],[Batch]]</f>
        <v>62</v>
      </c>
      <c r="P647" s="230">
        <f>Table3.110[[#This Row],[Run]]</f>
        <v>2</v>
      </c>
      <c r="Q647" s="230">
        <f>Table3.110[[#This Row],[Replication]]</f>
        <v>2</v>
      </c>
      <c r="R647" s="230">
        <f>Table3.110[[#This Row],[Syrange No]]</f>
        <v>0</v>
      </c>
      <c r="S647" s="106">
        <v>0.58650000000000002</v>
      </c>
      <c r="T647" s="106">
        <v>0.96660000000000001</v>
      </c>
      <c r="U647" s="108"/>
      <c r="V647" s="122">
        <f t="shared" si="55"/>
        <v>0.38009999999999999</v>
      </c>
      <c r="W647" s="61">
        <f>Table3.110[[#This Row],[DM Incubated, mg]]-('3.2 Digest'!V647*1000)</f>
        <v>83.038002732093446</v>
      </c>
      <c r="X647" s="61">
        <f>W647/Table3.110[[#This Row],[DM Incubated, mg]]*100</f>
        <v>17.92942972553422</v>
      </c>
      <c r="Y647" s="37">
        <f>Table3.1[[#This Row],[DM Incubated, mg]]*'2.4 NDF'!R189/100</f>
        <v>275.64266739979865</v>
      </c>
      <c r="Z647" s="37">
        <f t="shared" si="56"/>
        <v>-104.45733260020131</v>
      </c>
      <c r="AA647" s="37">
        <f t="shared" si="57"/>
        <v>-37.89592285750664</v>
      </c>
      <c r="AB647" s="57"/>
    </row>
    <row r="648" spans="2:28" x14ac:dyDescent="0.35">
      <c r="B648" s="230">
        <f t="shared" si="54"/>
        <v>638</v>
      </c>
      <c r="C648" s="246" t="s">
        <v>694</v>
      </c>
      <c r="D648" s="248">
        <f>Table3.110[[#This Row],[Date]]</f>
        <v>46055</v>
      </c>
      <c r="E648" s="230" t="str">
        <f>Table3.110[[#This Row],[Requisitioner]]</f>
        <v>Genbank</v>
      </c>
      <c r="F648" s="230" t="str">
        <f>Table3.110[[#This Row],[Gene Bank ID]]</f>
        <v>CIAT13608</v>
      </c>
      <c r="G648" s="230" t="str">
        <f>Table3.110[[#This Row],[Genus]]</f>
        <v>Desmodium</v>
      </c>
      <c r="H648" s="230" t="str">
        <f>Table3.110[[#This Row],[Species]]</f>
        <v>incanum</v>
      </c>
      <c r="I648" s="230" t="str">
        <f>Table3.110[[#This Row],[Tax Name]]</f>
        <v>Desmodium incanum</v>
      </c>
      <c r="J648" s="230" t="str">
        <f>Table3.110[[#This Row],[Family]]</f>
        <v>Fabaceae</v>
      </c>
      <c r="K648" s="230" t="str">
        <f>Table3.110[[#This Row],[Order]]</f>
        <v>Fabales</v>
      </c>
      <c r="L648" s="230" t="str">
        <f>Table3.110[[#This Row],[Functional Group]]</f>
        <v>Herbaceous</v>
      </c>
      <c r="M648" s="230" t="str">
        <f>Table3.110[[#This Row],[CIAT ID]]</f>
        <v>F252601</v>
      </c>
      <c r="N648" s="230">
        <f>Table3.110[[#This Row],[Set CIAT]]</f>
        <v>28</v>
      </c>
      <c r="O648" s="230">
        <f>Table3.110[[#This Row],[Batch]]</f>
        <v>62</v>
      </c>
      <c r="P648" s="230">
        <f>Table3.110[[#This Row],[Run]]</f>
        <v>2</v>
      </c>
      <c r="Q648" s="230">
        <f>Table3.110[[#This Row],[Replication]]</f>
        <v>3</v>
      </c>
      <c r="R648" s="230">
        <f>Table3.110[[#This Row],[Syrange No]]</f>
        <v>0</v>
      </c>
      <c r="S648" s="106">
        <v>0.5917</v>
      </c>
      <c r="T648" s="106">
        <v>1.0669</v>
      </c>
      <c r="U648" s="108"/>
      <c r="V648" s="122"/>
      <c r="W648" s="61"/>
      <c r="X648" s="61"/>
      <c r="Y648" s="37"/>
      <c r="Z648" s="37"/>
      <c r="AA648" s="37"/>
      <c r="AB648" s="57" t="s">
        <v>695</v>
      </c>
    </row>
    <row r="649" spans="2:28" x14ac:dyDescent="0.35">
      <c r="B649" s="230">
        <f t="shared" si="54"/>
        <v>639</v>
      </c>
      <c r="C649" s="246" t="s">
        <v>694</v>
      </c>
      <c r="D649" s="248">
        <f>Table3.110[[#This Row],[Date]]</f>
        <v>46055</v>
      </c>
      <c r="E649" s="230" t="str">
        <f>Table3.110[[#This Row],[Requisitioner]]</f>
        <v>Genbank</v>
      </c>
      <c r="F649" s="230" t="str">
        <f>Table3.110[[#This Row],[Gene Bank ID]]</f>
        <v>CIAT18277</v>
      </c>
      <c r="G649" s="230" t="str">
        <f>Table3.110[[#This Row],[Genus]]</f>
        <v>Indigofera</v>
      </c>
      <c r="H649" s="230" t="str">
        <f>Table3.110[[#This Row],[Species]]</f>
        <v>jamaicensis</v>
      </c>
      <c r="I649" s="230" t="str">
        <f>Table3.110[[#This Row],[Tax Name]]</f>
        <v>Indigofera jamaicensis</v>
      </c>
      <c r="J649" s="230" t="str">
        <f>Table3.110[[#This Row],[Family]]</f>
        <v>Fabaceae</v>
      </c>
      <c r="K649" s="230" t="str">
        <f>Table3.110[[#This Row],[Order]]</f>
        <v>Fabales</v>
      </c>
      <c r="L649" s="230" t="str">
        <f>Table3.110[[#This Row],[Functional Group]]</f>
        <v>Herbaceous</v>
      </c>
      <c r="M649" s="230" t="str">
        <f>Table3.110[[#This Row],[CIAT ID]]</f>
        <v>F252602</v>
      </c>
      <c r="N649" s="230">
        <f>Table3.110[[#This Row],[Set CIAT]]</f>
        <v>28</v>
      </c>
      <c r="O649" s="230">
        <f>Table3.110[[#This Row],[Batch]]</f>
        <v>62</v>
      </c>
      <c r="P649" s="230">
        <f>Table3.110[[#This Row],[Run]]</f>
        <v>2</v>
      </c>
      <c r="Q649" s="230">
        <f>Table3.110[[#This Row],[Replication]]</f>
        <v>1</v>
      </c>
      <c r="R649" s="230">
        <f>Table3.110[[#This Row],[Syrange No]]</f>
        <v>0</v>
      </c>
      <c r="S649" s="106">
        <v>0.57620000000000005</v>
      </c>
      <c r="T649" s="106">
        <v>1.0273000000000001</v>
      </c>
      <c r="U649" s="108"/>
      <c r="V649" s="122"/>
      <c r="W649" s="61"/>
      <c r="X649" s="61"/>
      <c r="Y649" s="37"/>
      <c r="Z649" s="37"/>
      <c r="AA649" s="37"/>
      <c r="AB649" s="57" t="s">
        <v>696</v>
      </c>
    </row>
    <row r="650" spans="2:28" x14ac:dyDescent="0.35">
      <c r="B650" s="230">
        <f t="shared" si="54"/>
        <v>640</v>
      </c>
      <c r="C650" s="246" t="s">
        <v>697</v>
      </c>
      <c r="D650" s="248">
        <f>Table3.110[[#This Row],[Date]]</f>
        <v>46055</v>
      </c>
      <c r="E650" s="230" t="str">
        <f>Table3.110[[#This Row],[Requisitioner]]</f>
        <v>Genbank</v>
      </c>
      <c r="F650" s="230" t="str">
        <f>Table3.110[[#This Row],[Gene Bank ID]]</f>
        <v>CIAT18277</v>
      </c>
      <c r="G650" s="230" t="str">
        <f>Table3.110[[#This Row],[Genus]]</f>
        <v>Indigofera</v>
      </c>
      <c r="H650" s="230" t="str">
        <f>Table3.110[[#This Row],[Species]]</f>
        <v>jamaicensis</v>
      </c>
      <c r="I650" s="230" t="str">
        <f>Table3.110[[#This Row],[Tax Name]]</f>
        <v>Indigofera jamaicensis</v>
      </c>
      <c r="J650" s="230" t="str">
        <f>Table3.110[[#This Row],[Family]]</f>
        <v>Fabaceae</v>
      </c>
      <c r="K650" s="230" t="str">
        <f>Table3.110[[#This Row],[Order]]</f>
        <v>Fabales</v>
      </c>
      <c r="L650" s="230" t="str">
        <f>Table3.110[[#This Row],[Functional Group]]</f>
        <v>Herbaceous</v>
      </c>
      <c r="M650" s="230" t="str">
        <f>Table3.110[[#This Row],[CIAT ID]]</f>
        <v>F252602</v>
      </c>
      <c r="N650" s="230">
        <f>Table3.110[[#This Row],[Set CIAT]]</f>
        <v>28</v>
      </c>
      <c r="O650" s="230">
        <f>Table3.110[[#This Row],[Batch]]</f>
        <v>62</v>
      </c>
      <c r="P650" s="230">
        <f>Table3.110[[#This Row],[Run]]</f>
        <v>2</v>
      </c>
      <c r="Q650" s="230">
        <f>Table3.110[[#This Row],[Replication]]</f>
        <v>2</v>
      </c>
      <c r="R650" s="230">
        <f>Table3.110[[#This Row],[Syrange No]]</f>
        <v>0</v>
      </c>
      <c r="S650" s="106">
        <v>0.56699999999999995</v>
      </c>
      <c r="T650" s="106">
        <v>0.84899999999999998</v>
      </c>
      <c r="U650" s="108"/>
      <c r="V650" s="122">
        <f t="shared" si="55"/>
        <v>0.28200000000000003</v>
      </c>
      <c r="W650" s="61">
        <f>Table3.110[[#This Row],[DM Incubated, mg]]-('3.2 Digest'!V650*1000)</f>
        <v>167.58697595354431</v>
      </c>
      <c r="X650" s="61">
        <f>W650/Table3.110[[#This Row],[DM Incubated, mg]]*100</f>
        <v>37.275763070783668</v>
      </c>
      <c r="Y650" s="37">
        <f>Table3.1[[#This Row],[DM Incubated, mg]]*'2.4 NDF'!R191/100</f>
        <v>224.59973024112205</v>
      </c>
      <c r="Z650" s="37">
        <f t="shared" si="56"/>
        <v>-57.400269758877954</v>
      </c>
      <c r="AA650" s="37">
        <f t="shared" si="57"/>
        <v>-25.556695770406819</v>
      </c>
      <c r="AB650" s="57"/>
    </row>
    <row r="651" spans="2:28" x14ac:dyDescent="0.35">
      <c r="B651" s="230">
        <f t="shared" si="54"/>
        <v>641</v>
      </c>
      <c r="C651" s="246" t="s">
        <v>697</v>
      </c>
      <c r="D651" s="248">
        <f>Table3.110[[#This Row],[Date]]</f>
        <v>46055</v>
      </c>
      <c r="E651" s="230" t="str">
        <f>Table3.110[[#This Row],[Requisitioner]]</f>
        <v>Genbank</v>
      </c>
      <c r="F651" s="230" t="str">
        <f>Table3.110[[#This Row],[Gene Bank ID]]</f>
        <v>CIAT18277</v>
      </c>
      <c r="G651" s="230" t="str">
        <f>Table3.110[[#This Row],[Genus]]</f>
        <v>Indigofera</v>
      </c>
      <c r="H651" s="230" t="str">
        <f>Table3.110[[#This Row],[Species]]</f>
        <v>jamaicensis</v>
      </c>
      <c r="I651" s="230" t="str">
        <f>Table3.110[[#This Row],[Tax Name]]</f>
        <v>Indigofera jamaicensis</v>
      </c>
      <c r="J651" s="230" t="str">
        <f>Table3.110[[#This Row],[Family]]</f>
        <v>Fabaceae</v>
      </c>
      <c r="K651" s="230" t="str">
        <f>Table3.110[[#This Row],[Order]]</f>
        <v>Fabales</v>
      </c>
      <c r="L651" s="230" t="str">
        <f>Table3.110[[#This Row],[Functional Group]]</f>
        <v>Herbaceous</v>
      </c>
      <c r="M651" s="230" t="str">
        <f>Table3.110[[#This Row],[CIAT ID]]</f>
        <v>F252602</v>
      </c>
      <c r="N651" s="230">
        <f>Table3.110[[#This Row],[Set CIAT]]</f>
        <v>28</v>
      </c>
      <c r="O651" s="230">
        <f>Table3.110[[#This Row],[Batch]]</f>
        <v>62</v>
      </c>
      <c r="P651" s="230">
        <f>Table3.110[[#This Row],[Run]]</f>
        <v>2</v>
      </c>
      <c r="Q651" s="230">
        <f>Table3.110[[#This Row],[Replication]]</f>
        <v>3</v>
      </c>
      <c r="R651" s="230">
        <f>Table3.110[[#This Row],[Syrange No]]</f>
        <v>0</v>
      </c>
      <c r="S651" s="106">
        <v>0.56159999999999999</v>
      </c>
      <c r="T651" s="106">
        <v>0.9335</v>
      </c>
      <c r="U651" s="108"/>
      <c r="V651" s="122">
        <f t="shared" si="55"/>
        <v>0.37190000000000001</v>
      </c>
      <c r="W651" s="61">
        <f>Table3.110[[#This Row],[DM Incubated, mg]]-('3.2 Digest'!V651*1000)</f>
        <v>77.686975953544277</v>
      </c>
      <c r="X651" s="61">
        <f>W651/Table3.110[[#This Row],[DM Incubated, mg]]*100</f>
        <v>17.279632219944833</v>
      </c>
      <c r="Y651" s="37">
        <f>Table3.1[[#This Row],[DM Incubated, mg]]*'2.4 NDF'!R191/100</f>
        <v>224.59973024112205</v>
      </c>
      <c r="Z651" s="37">
        <f t="shared" si="56"/>
        <v>-147.30026975887799</v>
      </c>
      <c r="AA651" s="37">
        <f t="shared" si="57"/>
        <v>-65.583458003596803</v>
      </c>
      <c r="AB651" s="57"/>
    </row>
    <row r="652" spans="2:28" x14ac:dyDescent="0.35">
      <c r="B652" s="230">
        <f t="shared" si="54"/>
        <v>642</v>
      </c>
      <c r="C652" s="246" t="s">
        <v>697</v>
      </c>
      <c r="D652" s="248">
        <f>Table3.110[[#This Row],[Date]]</f>
        <v>46055</v>
      </c>
      <c r="E652" s="230" t="str">
        <f>Table3.110[[#This Row],[Requisitioner]]</f>
        <v>Genbank</v>
      </c>
      <c r="F652" s="230" t="str">
        <f>Table3.110[[#This Row],[Gene Bank ID]]</f>
        <v>CIAT18952</v>
      </c>
      <c r="G652" s="230" t="str">
        <f>Table3.110[[#This Row],[Genus]]</f>
        <v>Indigofera</v>
      </c>
      <c r="H652" s="230" t="str">
        <f>Table3.110[[#This Row],[Species]]</f>
        <v>atriceps</v>
      </c>
      <c r="I652" s="230" t="str">
        <f>Table3.110[[#This Row],[Tax Name]]</f>
        <v>Indigofera atriceps</v>
      </c>
      <c r="J652" s="230" t="str">
        <f>Table3.110[[#This Row],[Family]]</f>
        <v>Fabaceae</v>
      </c>
      <c r="K652" s="230" t="str">
        <f>Table3.110[[#This Row],[Order]]</f>
        <v>Fabales</v>
      </c>
      <c r="L652" s="230" t="str">
        <f>Table3.110[[#This Row],[Functional Group]]</f>
        <v>Herbaceous</v>
      </c>
      <c r="M652" s="230" t="str">
        <f>Table3.110[[#This Row],[CIAT ID]]</f>
        <v>F252603</v>
      </c>
      <c r="N652" s="230">
        <f>Table3.110[[#This Row],[Set CIAT]]</f>
        <v>28</v>
      </c>
      <c r="O652" s="230">
        <f>Table3.110[[#This Row],[Batch]]</f>
        <v>62</v>
      </c>
      <c r="P652" s="230">
        <f>Table3.110[[#This Row],[Run]]</f>
        <v>2</v>
      </c>
      <c r="Q652" s="230">
        <f>Table3.110[[#This Row],[Replication]]</f>
        <v>1</v>
      </c>
      <c r="R652" s="230">
        <f>Table3.110[[#This Row],[Syrange No]]</f>
        <v>0</v>
      </c>
      <c r="S652" s="106">
        <v>0.56159999999999999</v>
      </c>
      <c r="T652" s="106">
        <v>1.0072000000000001</v>
      </c>
      <c r="U652" s="108"/>
      <c r="V652" s="122">
        <f t="shared" si="55"/>
        <v>0.44560000000000011</v>
      </c>
      <c r="W652" s="61">
        <f>Table3.110[[#This Row],[DM Incubated, mg]]-('3.2 Digest'!V652*1000)</f>
        <v>6.204886596797337</v>
      </c>
      <c r="X652" s="61">
        <f>W652/Table3.110[[#This Row],[DM Incubated, mg]]*100</f>
        <v>1.3733553533551621</v>
      </c>
      <c r="Y652" s="37">
        <f>Table3.1[[#This Row],[DM Incubated, mg]]*'2.4 NDF'!R193/100</f>
        <v>217.52541723114959</v>
      </c>
      <c r="Z652" s="37">
        <f t="shared" si="56"/>
        <v>-228.07458276885049</v>
      </c>
      <c r="AA652" s="37">
        <f t="shared" si="57"/>
        <v>-104.84962432067928</v>
      </c>
      <c r="AB652" s="57"/>
    </row>
    <row r="653" spans="2:28" x14ac:dyDescent="0.35">
      <c r="B653" s="230">
        <f t="shared" si="54"/>
        <v>643</v>
      </c>
      <c r="C653" s="246" t="s">
        <v>697</v>
      </c>
      <c r="D653" s="248">
        <f>Table3.110[[#This Row],[Date]]</f>
        <v>46055</v>
      </c>
      <c r="E653" s="230" t="str">
        <f>Table3.110[[#This Row],[Requisitioner]]</f>
        <v>Genbank</v>
      </c>
      <c r="F653" s="230" t="str">
        <f>Table3.110[[#This Row],[Gene Bank ID]]</f>
        <v>CIAT18952</v>
      </c>
      <c r="G653" s="230" t="str">
        <f>Table3.110[[#This Row],[Genus]]</f>
        <v>Indigofera</v>
      </c>
      <c r="H653" s="230" t="str">
        <f>Table3.110[[#This Row],[Species]]</f>
        <v>atriceps</v>
      </c>
      <c r="I653" s="230" t="str">
        <f>Table3.110[[#This Row],[Tax Name]]</f>
        <v>Indigofera atriceps</v>
      </c>
      <c r="J653" s="230" t="str">
        <f>Table3.110[[#This Row],[Family]]</f>
        <v>Fabaceae</v>
      </c>
      <c r="K653" s="230" t="str">
        <f>Table3.110[[#This Row],[Order]]</f>
        <v>Fabales</v>
      </c>
      <c r="L653" s="230" t="str">
        <f>Table3.110[[#This Row],[Functional Group]]</f>
        <v>Herbaceous</v>
      </c>
      <c r="M653" s="230" t="str">
        <f>Table3.110[[#This Row],[CIAT ID]]</f>
        <v>F252603</v>
      </c>
      <c r="N653" s="230">
        <f>Table3.110[[#This Row],[Set CIAT]]</f>
        <v>28</v>
      </c>
      <c r="O653" s="230">
        <f>Table3.110[[#This Row],[Batch]]</f>
        <v>62</v>
      </c>
      <c r="P653" s="230">
        <f>Table3.110[[#This Row],[Run]]</f>
        <v>2</v>
      </c>
      <c r="Q653" s="230">
        <f>Table3.110[[#This Row],[Replication]]</f>
        <v>2</v>
      </c>
      <c r="R653" s="230">
        <f>Table3.110[[#This Row],[Syrange No]]</f>
        <v>0</v>
      </c>
      <c r="S653" s="106">
        <v>0.5837</v>
      </c>
      <c r="T653" s="106">
        <v>0.93420000000000003</v>
      </c>
      <c r="U653" s="108"/>
      <c r="V653" s="122">
        <f t="shared" si="55"/>
        <v>0.35050000000000003</v>
      </c>
      <c r="W653" s="61">
        <f>Table3.110[[#This Row],[DM Incubated, mg]]-('3.2 Digest'!V653*1000)</f>
        <v>101.66625823174775</v>
      </c>
      <c r="X653" s="61">
        <f>W653/Table3.110[[#This Row],[DM Incubated, mg]]*100</f>
        <v>22.484264666126627</v>
      </c>
      <c r="Y653" s="37">
        <f>Table3.1[[#This Row],[DM Incubated, mg]]*'2.4 NDF'!R193/100</f>
        <v>217.69940276782711</v>
      </c>
      <c r="Z653" s="37">
        <f t="shared" si="56"/>
        <v>-132.80059723217295</v>
      </c>
      <c r="AA653" s="37">
        <f t="shared" si="57"/>
        <v>-61.001819731128357</v>
      </c>
      <c r="AB653" s="57"/>
    </row>
    <row r="654" spans="2:28" x14ac:dyDescent="0.35">
      <c r="B654" s="230">
        <f t="shared" si="54"/>
        <v>644</v>
      </c>
      <c r="C654" s="246" t="s">
        <v>697</v>
      </c>
      <c r="D654" s="248">
        <f>Table3.110[[#This Row],[Date]]</f>
        <v>46055</v>
      </c>
      <c r="E654" s="230" t="str">
        <f>Table3.110[[#This Row],[Requisitioner]]</f>
        <v>Genbank</v>
      </c>
      <c r="F654" s="230" t="str">
        <f>Table3.110[[#This Row],[Gene Bank ID]]</f>
        <v>CIAT18952</v>
      </c>
      <c r="G654" s="230" t="str">
        <f>Table3.110[[#This Row],[Genus]]</f>
        <v>Indigofera</v>
      </c>
      <c r="H654" s="230" t="str">
        <f>Table3.110[[#This Row],[Species]]</f>
        <v>atriceps</v>
      </c>
      <c r="I654" s="230" t="str">
        <f>Table3.110[[#This Row],[Tax Name]]</f>
        <v>Indigofera atriceps</v>
      </c>
      <c r="J654" s="230" t="str">
        <f>Table3.110[[#This Row],[Family]]</f>
        <v>Fabaceae</v>
      </c>
      <c r="K654" s="230" t="str">
        <f>Table3.110[[#This Row],[Order]]</f>
        <v>Fabales</v>
      </c>
      <c r="L654" s="230" t="str">
        <f>Table3.110[[#This Row],[Functional Group]]</f>
        <v>Herbaceous</v>
      </c>
      <c r="M654" s="230" t="str">
        <f>Table3.110[[#This Row],[CIAT ID]]</f>
        <v>F252603</v>
      </c>
      <c r="N654" s="230">
        <f>Table3.110[[#This Row],[Set CIAT]]</f>
        <v>28</v>
      </c>
      <c r="O654" s="230">
        <f>Table3.110[[#This Row],[Batch]]</f>
        <v>62</v>
      </c>
      <c r="P654" s="230">
        <f>Table3.110[[#This Row],[Run]]</f>
        <v>2</v>
      </c>
      <c r="Q654" s="230">
        <f>Table3.110[[#This Row],[Replication]]</f>
        <v>3</v>
      </c>
      <c r="R654" s="230">
        <f>Table3.110[[#This Row],[Syrange No]]</f>
        <v>0</v>
      </c>
      <c r="S654" s="106">
        <v>0.56640000000000001</v>
      </c>
      <c r="T654" s="106">
        <v>0.97640000000000005</v>
      </c>
      <c r="U654" s="108"/>
      <c r="V654" s="122">
        <f t="shared" si="55"/>
        <v>0.41000000000000003</v>
      </c>
      <c r="W654" s="61">
        <f>Table3.110[[#This Row],[DM Incubated, mg]]-('3.2 Digest'!V654*1000)</f>
        <v>41.895229505534928</v>
      </c>
      <c r="X654" s="61">
        <f>W654/Table3.110[[#This Row],[DM Incubated, mg]]*100</f>
        <v>9.2710050405658855</v>
      </c>
      <c r="Y654" s="37">
        <f>Table3.1[[#This Row],[DM Incubated, mg]]*'2.4 NDF'!R193/100</f>
        <v>217.56891361531896</v>
      </c>
      <c r="Z654" s="37">
        <f t="shared" si="56"/>
        <v>-192.43108638468109</v>
      </c>
      <c r="AA654" s="37">
        <f t="shared" si="57"/>
        <v>-88.446039090362078</v>
      </c>
      <c r="AB654" s="57"/>
    </row>
    <row r="655" spans="2:28" x14ac:dyDescent="0.35">
      <c r="B655" s="230">
        <f t="shared" si="54"/>
        <v>645</v>
      </c>
      <c r="C655" s="246" t="s">
        <v>697</v>
      </c>
      <c r="D655" s="248">
        <f>Table3.110[[#This Row],[Date]]</f>
        <v>46050</v>
      </c>
      <c r="E655" s="230" t="str">
        <f>Table3.110[[#This Row],[Requisitioner]]</f>
        <v>Jacobo Arango/Alejandro Montoya</v>
      </c>
      <c r="F655" s="230" t="str">
        <f>Table3.110[[#This Row],[Gene Bank ID]]</f>
        <v>Sample 8</v>
      </c>
      <c r="G655" s="230" t="str">
        <f>Table3.110[[#This Row],[Genus]]</f>
        <v>Cynodon</v>
      </c>
      <c r="H655" s="230" t="str">
        <f>Table3.110[[#This Row],[Species]]</f>
        <v>nlemfuensis</v>
      </c>
      <c r="I655" s="230" t="str">
        <f>Table3.110[[#This Row],[Tax Name]]</f>
        <v xml:space="preserve">Cynodon nlemfuensis </v>
      </c>
      <c r="J655" s="230" t="str">
        <f>Table3.110[[#This Row],[Family]]</f>
        <v>Poaceae</v>
      </c>
      <c r="K655" s="230" t="str">
        <f>Table3.110[[#This Row],[Order]]</f>
        <v>Poales</v>
      </c>
      <c r="L655" s="230" t="str">
        <f>Table3.110[[#This Row],[Functional Group]]</f>
        <v>grasses</v>
      </c>
      <c r="M655" s="230" t="str">
        <f>Table3.110[[#This Row],[CIAT ID]]</f>
        <v>F250008</v>
      </c>
      <c r="N655" s="230">
        <f>Table3.110[[#This Row],[Set CIAT]]</f>
        <v>28</v>
      </c>
      <c r="O655" s="230">
        <f>Table3.110[[#This Row],[Batch]]</f>
        <v>61</v>
      </c>
      <c r="P655" s="230">
        <f>Table3.110[[#This Row],[Run]]</f>
        <v>2</v>
      </c>
      <c r="Q655" s="230">
        <f>Table3.110[[#This Row],[Replication]]</f>
        <v>1</v>
      </c>
      <c r="R655" s="230">
        <f>Table3.110[[#This Row],[Syrange No]]</f>
        <v>0</v>
      </c>
      <c r="S655" s="271">
        <v>0.55279999999999996</v>
      </c>
      <c r="T655" s="271">
        <v>0.84089999999999998</v>
      </c>
      <c r="U655" s="108"/>
      <c r="V655" s="122">
        <f t="shared" si="55"/>
        <v>0.28810000000000002</v>
      </c>
      <c r="W655" s="61">
        <f>Table3.110[[#This Row],[DM Incubated, mg]]-('3.2 Digest'!V655*1000)</f>
        <v>179.93064999999996</v>
      </c>
      <c r="X655" s="61">
        <f>W655/Table3.110[[#This Row],[DM Incubated, mg]]*100</f>
        <v>38.444202318801125</v>
      </c>
      <c r="Y655" s="37">
        <f>Table3.1[[#This Row],[DM Incubated, mg]]*'2.4 NDF'!R195/100</f>
        <v>356.17132464999997</v>
      </c>
      <c r="Z655" s="37">
        <f t="shared" si="56"/>
        <v>68.071324649999951</v>
      </c>
      <c r="AA655" s="37">
        <f t="shared" si="57"/>
        <v>19.11196099711054</v>
      </c>
      <c r="AB655" s="57"/>
    </row>
    <row r="656" spans="2:28" x14ac:dyDescent="0.35">
      <c r="B656" s="230">
        <f t="shared" si="54"/>
        <v>646</v>
      </c>
      <c r="C656" s="246" t="s">
        <v>697</v>
      </c>
      <c r="D656" s="248">
        <f>Table3.110[[#This Row],[Date]]</f>
        <v>46050</v>
      </c>
      <c r="E656" s="230" t="str">
        <f>Table3.110[[#This Row],[Requisitioner]]</f>
        <v>Jacobo Arango/Alejandro Montoya</v>
      </c>
      <c r="F656" s="230" t="str">
        <f>Table3.110[[#This Row],[Gene Bank ID]]</f>
        <v>Sample 8</v>
      </c>
      <c r="G656" s="230" t="str">
        <f>Table3.110[[#This Row],[Genus]]</f>
        <v>Cynodon</v>
      </c>
      <c r="H656" s="230" t="str">
        <f>Table3.110[[#This Row],[Species]]</f>
        <v>nlemfuensis</v>
      </c>
      <c r="I656" s="230" t="str">
        <f>Table3.110[[#This Row],[Tax Name]]</f>
        <v xml:space="preserve">Cynodon nlemfuensis </v>
      </c>
      <c r="J656" s="230" t="str">
        <f>Table3.110[[#This Row],[Family]]</f>
        <v>Poaceae</v>
      </c>
      <c r="K656" s="230" t="str">
        <f>Table3.110[[#This Row],[Order]]</f>
        <v>Poales</v>
      </c>
      <c r="L656" s="230" t="str">
        <f>Table3.110[[#This Row],[Functional Group]]</f>
        <v>grasses</v>
      </c>
      <c r="M656" s="230" t="str">
        <f>Table3.110[[#This Row],[CIAT ID]]</f>
        <v>F250008</v>
      </c>
      <c r="N656" s="230">
        <f>Table3.110[[#This Row],[Set CIAT]]</f>
        <v>28</v>
      </c>
      <c r="O656" s="230">
        <f>Table3.110[[#This Row],[Batch]]</f>
        <v>61</v>
      </c>
      <c r="P656" s="230">
        <f>Table3.110[[#This Row],[Run]]</f>
        <v>2</v>
      </c>
      <c r="Q656" s="230">
        <f>Table3.110[[#This Row],[Replication]]</f>
        <v>2</v>
      </c>
      <c r="R656" s="230">
        <f>Table3.110[[#This Row],[Syrange No]]</f>
        <v>0</v>
      </c>
      <c r="S656" s="98">
        <v>0.56699999999999995</v>
      </c>
      <c r="T656" s="98">
        <v>0.87760000000000005</v>
      </c>
      <c r="U656" s="108"/>
      <c r="V656" s="122">
        <f t="shared" si="55"/>
        <v>0.3106000000000001</v>
      </c>
      <c r="W656" s="61">
        <f>Table3.110[[#This Row],[DM Incubated, mg]]-('3.2 Digest'!V656*1000)</f>
        <v>157.14999999999992</v>
      </c>
      <c r="X656" s="61">
        <f>W656/Table3.110[[#This Row],[DM Incubated, mg]]*100</f>
        <v>33.59700694815605</v>
      </c>
      <c r="Y656" s="37">
        <f>Table3.1[[#This Row],[DM Incubated, mg]]*'2.4 NDF'!R195/100</f>
        <v>355.95774999999992</v>
      </c>
      <c r="Z656" s="37">
        <f t="shared" si="56"/>
        <v>45.357749999999839</v>
      </c>
      <c r="AA656" s="37">
        <f t="shared" si="57"/>
        <v>12.742453282728034</v>
      </c>
      <c r="AB656" s="57"/>
    </row>
    <row r="657" spans="2:28" x14ac:dyDescent="0.35">
      <c r="B657" s="230">
        <f t="shared" si="54"/>
        <v>647</v>
      </c>
      <c r="C657" s="246" t="s">
        <v>697</v>
      </c>
      <c r="D657" s="248">
        <f>Table3.110[[#This Row],[Date]]</f>
        <v>46050</v>
      </c>
      <c r="E657" s="230" t="str">
        <f>Table3.110[[#This Row],[Requisitioner]]</f>
        <v>Jacobo Arango/Alejandro Montoya</v>
      </c>
      <c r="F657" s="230" t="str">
        <f>Table3.110[[#This Row],[Gene Bank ID]]</f>
        <v>Sample 8</v>
      </c>
      <c r="G657" s="230" t="str">
        <f>Table3.110[[#This Row],[Genus]]</f>
        <v>Cynodon</v>
      </c>
      <c r="H657" s="230" t="str">
        <f>Table3.110[[#This Row],[Species]]</f>
        <v>nlemfuensis</v>
      </c>
      <c r="I657" s="230" t="str">
        <f>Table3.110[[#This Row],[Tax Name]]</f>
        <v xml:space="preserve">Cynodon nlemfuensis </v>
      </c>
      <c r="J657" s="230" t="str">
        <f>Table3.110[[#This Row],[Family]]</f>
        <v>Poaceae</v>
      </c>
      <c r="K657" s="230" t="str">
        <f>Table3.110[[#This Row],[Order]]</f>
        <v>Poales</v>
      </c>
      <c r="L657" s="230" t="str">
        <f>Table3.110[[#This Row],[Functional Group]]</f>
        <v>grasses</v>
      </c>
      <c r="M657" s="230" t="str">
        <f>Table3.110[[#This Row],[CIAT ID]]</f>
        <v>F250008</v>
      </c>
      <c r="N657" s="230">
        <f>Table3.110[[#This Row],[Set CIAT]]</f>
        <v>28</v>
      </c>
      <c r="O657" s="230">
        <f>Table3.110[[#This Row],[Batch]]</f>
        <v>61</v>
      </c>
      <c r="P657" s="230">
        <f>Table3.110[[#This Row],[Run]]</f>
        <v>2</v>
      </c>
      <c r="Q657" s="230">
        <f>Table3.110[[#This Row],[Replication]]</f>
        <v>3</v>
      </c>
      <c r="R657" s="230">
        <f>Table3.110[[#This Row],[Syrange No]]</f>
        <v>0</v>
      </c>
      <c r="S657" s="271">
        <v>0.58079999999999998</v>
      </c>
      <c r="T657" s="271">
        <v>0.94289999999999996</v>
      </c>
      <c r="U657" s="108"/>
      <c r="V657" s="122">
        <f t="shared" si="55"/>
        <v>0.36209999999999998</v>
      </c>
      <c r="W657" s="61">
        <f>Table3.110[[#This Row],[DM Incubated, mg]]-('3.2 Digest'!V657*1000)</f>
        <v>105.74355000000003</v>
      </c>
      <c r="X657" s="61">
        <f>W657/Table3.110[[#This Row],[DM Incubated, mg]]*100</f>
        <v>22.602331484531536</v>
      </c>
      <c r="Y657" s="37">
        <f>Table3.1[[#This Row],[DM Incubated, mg]]*'2.4 NDF'!R195/100</f>
        <v>356.02894154999996</v>
      </c>
      <c r="Z657" s="37">
        <f t="shared" si="56"/>
        <v>-6.0710584500000095</v>
      </c>
      <c r="AA657" s="37">
        <f t="shared" si="57"/>
        <v>-1.7052148692095592</v>
      </c>
      <c r="AB657" s="57"/>
    </row>
    <row r="658" spans="2:28" x14ac:dyDescent="0.35">
      <c r="B658" s="230">
        <f t="shared" si="54"/>
        <v>648</v>
      </c>
      <c r="C658" s="246" t="s">
        <v>697</v>
      </c>
      <c r="D658" s="248">
        <f>Table3.110[[#This Row],[Date]]</f>
        <v>46055</v>
      </c>
      <c r="E658" s="230">
        <f>Table3.110[[#This Row],[Requisitioner]]</f>
        <v>0</v>
      </c>
      <c r="F658" s="230" t="str">
        <f>Table3.110[[#This Row],[Gene Bank ID]]</f>
        <v>BLANK 24 H</v>
      </c>
      <c r="G658" s="230" t="str">
        <f>Table3.110[[#This Row],[Genus]]</f>
        <v>BLANK</v>
      </c>
      <c r="H658" s="230">
        <f>Table3.110[[#This Row],[Species]]</f>
        <v>24</v>
      </c>
      <c r="I658" s="230" t="str">
        <f>Table3.110[[#This Row],[Tax Name]]</f>
        <v>BLANK 24 H</v>
      </c>
      <c r="J658" s="230">
        <f>Table3.110[[#This Row],[Family]]</f>
        <v>0</v>
      </c>
      <c r="K658" s="230">
        <f>Table3.110[[#This Row],[Order]]</f>
        <v>0</v>
      </c>
      <c r="L658" s="230">
        <f>Table3.110[[#This Row],[Functional Group]]</f>
        <v>0</v>
      </c>
      <c r="M658" s="230" t="str">
        <f>Table3.110[[#This Row],[CIAT ID]]</f>
        <v>BLANK24H</v>
      </c>
      <c r="N658" s="230">
        <f>Table3.110[[#This Row],[Set CIAT]]</f>
        <v>28</v>
      </c>
      <c r="O658" s="230">
        <f>Table3.110[[#This Row],[Batch]]</f>
        <v>62</v>
      </c>
      <c r="P658" s="230">
        <f>Table3.110[[#This Row],[Run]]</f>
        <v>2</v>
      </c>
      <c r="Q658" s="230">
        <f>Table3.110[[#This Row],[Replication]]</f>
        <v>1</v>
      </c>
      <c r="R658" s="230">
        <f>Table3.110[[#This Row],[Syrange No]]</f>
        <v>0</v>
      </c>
      <c r="S658" s="106"/>
      <c r="T658" s="106"/>
      <c r="U658" s="108"/>
      <c r="V658" s="122"/>
      <c r="W658" s="61"/>
      <c r="X658" s="61"/>
      <c r="Y658" s="37"/>
      <c r="Z658" s="37"/>
      <c r="AA658" s="37"/>
      <c r="AB658" s="57"/>
    </row>
    <row r="659" spans="2:28" x14ac:dyDescent="0.35">
      <c r="B659" s="230">
        <f t="shared" si="54"/>
        <v>649</v>
      </c>
      <c r="C659" s="246" t="s">
        <v>697</v>
      </c>
      <c r="D659" s="248">
        <f>Table3.110[[#This Row],[Date]]</f>
        <v>46055</v>
      </c>
      <c r="E659" s="230">
        <f>Table3.110[[#This Row],[Requisitioner]]</f>
        <v>0</v>
      </c>
      <c r="F659" s="230" t="str">
        <f>Table3.110[[#This Row],[Gene Bank ID]]</f>
        <v>BLANK 24 H</v>
      </c>
      <c r="G659" s="230" t="str">
        <f>Table3.110[[#This Row],[Genus]]</f>
        <v>BLANK</v>
      </c>
      <c r="H659" s="230">
        <f>Table3.110[[#This Row],[Species]]</f>
        <v>24</v>
      </c>
      <c r="I659" s="230" t="str">
        <f>Table3.110[[#This Row],[Tax Name]]</f>
        <v>BLANK 24 H</v>
      </c>
      <c r="J659" s="230">
        <f>Table3.110[[#This Row],[Family]]</f>
        <v>0</v>
      </c>
      <c r="K659" s="230">
        <f>Table3.110[[#This Row],[Order]]</f>
        <v>0</v>
      </c>
      <c r="L659" s="230">
        <f>Table3.110[[#This Row],[Functional Group]]</f>
        <v>0</v>
      </c>
      <c r="M659" s="230" t="str">
        <f>Table3.110[[#This Row],[CIAT ID]]</f>
        <v>BLANK24H</v>
      </c>
      <c r="N659" s="230">
        <f>Table3.110[[#This Row],[Set CIAT]]</f>
        <v>28</v>
      </c>
      <c r="O659" s="230">
        <f>Table3.110[[#This Row],[Batch]]</f>
        <v>62</v>
      </c>
      <c r="P659" s="230">
        <f>Table3.110[[#This Row],[Run]]</f>
        <v>2</v>
      </c>
      <c r="Q659" s="230">
        <f>Table3.110[[#This Row],[Replication]]</f>
        <v>2</v>
      </c>
      <c r="R659" s="230">
        <f>Table3.110[[#This Row],[Syrange No]]</f>
        <v>0</v>
      </c>
      <c r="S659" s="106"/>
      <c r="T659" s="106"/>
      <c r="U659" s="108"/>
      <c r="V659" s="122"/>
      <c r="W659" s="61"/>
      <c r="X659" s="61"/>
      <c r="Y659" s="37"/>
      <c r="Z659" s="37"/>
      <c r="AA659" s="37"/>
      <c r="AB659" s="57"/>
    </row>
    <row r="660" spans="2:28" x14ac:dyDescent="0.35">
      <c r="B660" s="230">
        <f t="shared" si="54"/>
        <v>650</v>
      </c>
      <c r="C660" s="246" t="s">
        <v>697</v>
      </c>
      <c r="D660" s="248">
        <f>Table3.110[[#This Row],[Date]]</f>
        <v>46050</v>
      </c>
      <c r="E660" s="230">
        <f>Table3.110[[#This Row],[Requisitioner]]</f>
        <v>0</v>
      </c>
      <c r="F660" s="230">
        <f>Table3.110[[#This Row],[Gene Bank ID]]</f>
        <v>0</v>
      </c>
      <c r="G660" s="230" t="str">
        <f>Table3.110[[#This Row],[Genus]]</f>
        <v>Blank</v>
      </c>
      <c r="H660" s="230" t="str">
        <f>Table3.110[[#This Row],[Species]]</f>
        <v>8H</v>
      </c>
      <c r="I660" s="230" t="str">
        <f>Table3.110[[#This Row],[Tax Name]]</f>
        <v>Blank  8H run 2 OT-010 y OT-021</v>
      </c>
      <c r="J660" s="230">
        <f>Table3.110[[#This Row],[Family]]</f>
        <v>0</v>
      </c>
      <c r="K660" s="230">
        <f>Table3.110[[#This Row],[Order]]</f>
        <v>0</v>
      </c>
      <c r="L660" s="230">
        <f>Table3.110[[#This Row],[Functional Group]]</f>
        <v>0</v>
      </c>
      <c r="M660" s="230">
        <f>Table3.110[[#This Row],[CIAT ID]]</f>
        <v>0</v>
      </c>
      <c r="N660" s="230">
        <f>Table3.110[[#This Row],[Set CIAT]]</f>
        <v>28</v>
      </c>
      <c r="O660" s="230">
        <f>Table3.110[[#This Row],[Batch]]</f>
        <v>61</v>
      </c>
      <c r="P660" s="230">
        <f>Table3.110[[#This Row],[Run]]</f>
        <v>2</v>
      </c>
      <c r="Q660" s="230">
        <f>Table3.110[[#This Row],[Replication]]</f>
        <v>1</v>
      </c>
      <c r="R660" s="230">
        <f>Table3.110[[#This Row],[Syrange No]]</f>
        <v>276</v>
      </c>
      <c r="S660" s="148"/>
      <c r="T660" s="148"/>
      <c r="U660" s="108"/>
      <c r="V660" s="122"/>
      <c r="W660" s="61"/>
      <c r="X660" s="61"/>
      <c r="Y660" s="37"/>
      <c r="Z660" s="37"/>
      <c r="AA660" s="37"/>
      <c r="AB660" s="57"/>
    </row>
    <row r="661" spans="2:28" x14ac:dyDescent="0.35">
      <c r="B661" s="230">
        <f t="shared" ref="B661:B724" si="58">B660+1</f>
        <v>651</v>
      </c>
      <c r="C661" s="246" t="s">
        <v>697</v>
      </c>
      <c r="D661" s="248">
        <f>Table3.110[[#This Row],[Date]]</f>
        <v>46050</v>
      </c>
      <c r="E661" s="230">
        <f>Table3.110[[#This Row],[Requisitioner]]</f>
        <v>0</v>
      </c>
      <c r="F661" s="230">
        <f>Table3.110[[#This Row],[Gene Bank ID]]</f>
        <v>0</v>
      </c>
      <c r="G661" s="230" t="str">
        <f>Table3.110[[#This Row],[Genus]]</f>
        <v>Blank</v>
      </c>
      <c r="H661" s="230" t="str">
        <f>Table3.110[[#This Row],[Species]]</f>
        <v>8H</v>
      </c>
      <c r="I661" s="230" t="str">
        <f>Table3.110[[#This Row],[Tax Name]]</f>
        <v>Blank  8H run 2 OT-010 y OT-021</v>
      </c>
      <c r="J661" s="230">
        <f>Table3.110[[#This Row],[Family]]</f>
        <v>0</v>
      </c>
      <c r="K661" s="230">
        <f>Table3.110[[#This Row],[Order]]</f>
        <v>0</v>
      </c>
      <c r="L661" s="230">
        <f>Table3.110[[#This Row],[Functional Group]]</f>
        <v>0</v>
      </c>
      <c r="M661" s="230">
        <f>Table3.110[[#This Row],[CIAT ID]]</f>
        <v>0</v>
      </c>
      <c r="N661" s="230">
        <f>Table3.110[[#This Row],[Set CIAT]]</f>
        <v>28</v>
      </c>
      <c r="O661" s="230">
        <f>Table3.110[[#This Row],[Batch]]</f>
        <v>61</v>
      </c>
      <c r="P661" s="230">
        <f>Table3.110[[#This Row],[Run]]</f>
        <v>2</v>
      </c>
      <c r="Q661" s="230">
        <f>Table3.110[[#This Row],[Replication]]</f>
        <v>2</v>
      </c>
      <c r="R661" s="230">
        <f>Table3.110[[#This Row],[Syrange No]]</f>
        <v>277</v>
      </c>
      <c r="S661" s="148"/>
      <c r="T661" s="148"/>
      <c r="U661" s="108"/>
      <c r="V661" s="122"/>
      <c r="W661" s="61"/>
      <c r="X661" s="61"/>
      <c r="Y661" s="37"/>
      <c r="Z661" s="37"/>
      <c r="AA661" s="37"/>
      <c r="AB661" s="57"/>
    </row>
    <row r="662" spans="2:28" x14ac:dyDescent="0.35">
      <c r="B662" s="230">
        <f t="shared" si="58"/>
        <v>652</v>
      </c>
      <c r="C662" s="246" t="s">
        <v>697</v>
      </c>
      <c r="D662" s="248">
        <f>Table3.110[[#This Row],[Date]]</f>
        <v>46050</v>
      </c>
      <c r="E662" s="230">
        <f>Table3.110[[#This Row],[Requisitioner]]</f>
        <v>0</v>
      </c>
      <c r="F662" s="230">
        <f>Table3.110[[#This Row],[Gene Bank ID]]</f>
        <v>0</v>
      </c>
      <c r="G662" s="230" t="str">
        <f>Table3.110[[#This Row],[Genus]]</f>
        <v>Blank</v>
      </c>
      <c r="H662" s="230" t="str">
        <f>Table3.110[[#This Row],[Species]]</f>
        <v>24H</v>
      </c>
      <c r="I662" s="230" t="str">
        <f>Table3.110[[#This Row],[Tax Name]]</f>
        <v>Blank  24H run 2 OT-010 y OT-021</v>
      </c>
      <c r="J662" s="230">
        <f>Table3.110[[#This Row],[Family]]</f>
        <v>0</v>
      </c>
      <c r="K662" s="230">
        <f>Table3.110[[#This Row],[Order]]</f>
        <v>0</v>
      </c>
      <c r="L662" s="230">
        <f>Table3.110[[#This Row],[Functional Group]]</f>
        <v>0</v>
      </c>
      <c r="M662" s="230">
        <f>Table3.110[[#This Row],[CIAT ID]]</f>
        <v>0</v>
      </c>
      <c r="N662" s="230">
        <f>Table3.110[[#This Row],[Set CIAT]]</f>
        <v>28</v>
      </c>
      <c r="O662" s="230">
        <f>Table3.110[[#This Row],[Batch]]</f>
        <v>61</v>
      </c>
      <c r="P662" s="230">
        <f>Table3.110[[#This Row],[Run]]</f>
        <v>2</v>
      </c>
      <c r="Q662" s="230">
        <f>Table3.110[[#This Row],[Replication]]</f>
        <v>1</v>
      </c>
      <c r="R662" s="230">
        <f>Table3.110[[#This Row],[Syrange No]]</f>
        <v>278</v>
      </c>
      <c r="S662" s="148"/>
      <c r="T662" s="148"/>
      <c r="U662" s="108"/>
      <c r="V662" s="122"/>
      <c r="W662" s="61"/>
      <c r="X662" s="61"/>
      <c r="Y662" s="37"/>
      <c r="Z662" s="37"/>
      <c r="AA662" s="37"/>
      <c r="AB662" s="57"/>
    </row>
    <row r="663" spans="2:28" x14ac:dyDescent="0.35">
      <c r="B663" s="230">
        <f t="shared" si="58"/>
        <v>653</v>
      </c>
      <c r="C663" s="246" t="s">
        <v>697</v>
      </c>
      <c r="D663" s="248">
        <f>Table3.110[[#This Row],[Date]]</f>
        <v>46050</v>
      </c>
      <c r="E663" s="230">
        <f>Table3.110[[#This Row],[Requisitioner]]</f>
        <v>0</v>
      </c>
      <c r="F663" s="230">
        <f>Table3.110[[#This Row],[Gene Bank ID]]</f>
        <v>0</v>
      </c>
      <c r="G663" s="230" t="str">
        <f>Table3.110[[#This Row],[Genus]]</f>
        <v>Blank</v>
      </c>
      <c r="H663" s="230" t="str">
        <f>Table3.110[[#This Row],[Species]]</f>
        <v>24H</v>
      </c>
      <c r="I663" s="230" t="str">
        <f>Table3.110[[#This Row],[Tax Name]]</f>
        <v>Blank  24H run 2 OT-010 y OT-021</v>
      </c>
      <c r="J663" s="230">
        <f>Table3.110[[#This Row],[Family]]</f>
        <v>0</v>
      </c>
      <c r="K663" s="230">
        <f>Table3.110[[#This Row],[Order]]</f>
        <v>0</v>
      </c>
      <c r="L663" s="230">
        <f>Table3.110[[#This Row],[Functional Group]]</f>
        <v>0</v>
      </c>
      <c r="M663" s="230">
        <f>Table3.110[[#This Row],[CIAT ID]]</f>
        <v>0</v>
      </c>
      <c r="N663" s="230">
        <f>Table3.110[[#This Row],[Set CIAT]]</f>
        <v>28</v>
      </c>
      <c r="O663" s="230">
        <f>Table3.110[[#This Row],[Batch]]</f>
        <v>61</v>
      </c>
      <c r="P663" s="230">
        <f>Table3.110[[#This Row],[Run]]</f>
        <v>2</v>
      </c>
      <c r="Q663" s="230">
        <f>Table3.110[[#This Row],[Replication]]</f>
        <v>2</v>
      </c>
      <c r="R663" s="230">
        <f>Table3.110[[#This Row],[Syrange No]]</f>
        <v>279</v>
      </c>
      <c r="S663" s="249"/>
      <c r="T663" s="249"/>
      <c r="U663" s="108"/>
      <c r="V663" s="122"/>
      <c r="W663" s="61"/>
      <c r="X663" s="61"/>
      <c r="Y663" s="37"/>
      <c r="Z663" s="37"/>
      <c r="AA663" s="37"/>
      <c r="AB663" s="57"/>
    </row>
    <row r="664" spans="2:28" x14ac:dyDescent="0.35">
      <c r="B664" s="230">
        <f t="shared" si="58"/>
        <v>654</v>
      </c>
      <c r="C664" s="246" t="s">
        <v>697</v>
      </c>
      <c r="D664" s="248">
        <f>Table3.110[[#This Row],[Date]]</f>
        <v>46076</v>
      </c>
      <c r="E664" s="230">
        <f>Table3.110[[#This Row],[Requisitioner]]</f>
        <v>0</v>
      </c>
      <c r="F664" s="230" t="str">
        <f>Table3.110[[#This Row],[Gene Bank ID]]</f>
        <v>BLANK 24 H</v>
      </c>
      <c r="G664" s="230">
        <f>Table3.110[[#This Row],[Genus]]</f>
        <v>0</v>
      </c>
      <c r="H664" s="230">
        <f>Table3.110[[#This Row],[Species]]</f>
        <v>0</v>
      </c>
      <c r="I664" s="230" t="str">
        <f>Table3.110[[#This Row],[Tax Name]]</f>
        <v>BLANK 24 H</v>
      </c>
      <c r="J664" s="230">
        <f>Table3.110[[#This Row],[Family]]</f>
        <v>0</v>
      </c>
      <c r="K664" s="230">
        <f>Table3.110[[#This Row],[Order]]</f>
        <v>0</v>
      </c>
      <c r="L664" s="230">
        <f>Table3.110[[#This Row],[Functional Group]]</f>
        <v>0</v>
      </c>
      <c r="M664" s="230" t="str">
        <f>Table3.110[[#This Row],[CIAT ID]]</f>
        <v>BLANK24H</v>
      </c>
      <c r="N664" s="230">
        <f>Table3.110[[#This Row],[Set CIAT]]</f>
        <v>28</v>
      </c>
      <c r="O664" s="230">
        <f>Table3.110[[#This Row],[Batch]]</f>
        <v>69</v>
      </c>
      <c r="P664" s="230">
        <f>Table3.110[[#This Row],[Run]]</f>
        <v>3</v>
      </c>
      <c r="Q664" s="230">
        <f>Table3.110[[#This Row],[Replication]]</f>
        <v>1</v>
      </c>
      <c r="R664" s="230">
        <f>Table3.110[[#This Row],[Syrange No]]</f>
        <v>73</v>
      </c>
      <c r="S664" s="148"/>
      <c r="T664" s="148"/>
      <c r="U664" s="108"/>
      <c r="V664" s="122"/>
      <c r="W664" s="61"/>
      <c r="X664" s="61"/>
      <c r="Y664" s="37"/>
      <c r="Z664" s="37"/>
      <c r="AA664" s="37"/>
      <c r="AB664" s="57"/>
    </row>
    <row r="665" spans="2:28" x14ac:dyDescent="0.35">
      <c r="B665" s="230">
        <f t="shared" si="58"/>
        <v>655</v>
      </c>
      <c r="C665" s="246" t="s">
        <v>697</v>
      </c>
      <c r="D665" s="248">
        <f>Table3.110[[#This Row],[Date]]</f>
        <v>46076</v>
      </c>
      <c r="E665" s="230">
        <f>Table3.110[[#This Row],[Requisitioner]]</f>
        <v>0</v>
      </c>
      <c r="F665" s="230" t="str">
        <f>Table3.110[[#This Row],[Gene Bank ID]]</f>
        <v>BLANK 24 H</v>
      </c>
      <c r="G665" s="230">
        <f>Table3.110[[#This Row],[Genus]]</f>
        <v>0</v>
      </c>
      <c r="H665" s="230">
        <f>Table3.110[[#This Row],[Species]]</f>
        <v>0</v>
      </c>
      <c r="I665" s="230" t="str">
        <f>Table3.110[[#This Row],[Tax Name]]</f>
        <v>BLANK 24 H</v>
      </c>
      <c r="J665" s="230">
        <f>Table3.110[[#This Row],[Family]]</f>
        <v>0</v>
      </c>
      <c r="K665" s="230">
        <f>Table3.110[[#This Row],[Order]]</f>
        <v>0</v>
      </c>
      <c r="L665" s="230">
        <f>Table3.110[[#This Row],[Functional Group]]</f>
        <v>0</v>
      </c>
      <c r="M665" s="230" t="str">
        <f>Table3.110[[#This Row],[CIAT ID]]</f>
        <v>BLANK24H</v>
      </c>
      <c r="N665" s="230">
        <f>Table3.110[[#This Row],[Set CIAT]]</f>
        <v>28</v>
      </c>
      <c r="O665" s="230">
        <f>Table3.110[[#This Row],[Batch]]</f>
        <v>69</v>
      </c>
      <c r="P665" s="230">
        <f>Table3.110[[#This Row],[Run]]</f>
        <v>3</v>
      </c>
      <c r="Q665" s="230">
        <f>Table3.110[[#This Row],[Replication]]</f>
        <v>2</v>
      </c>
      <c r="R665" s="230">
        <f>Table3.110[[#This Row],[Syrange No]]</f>
        <v>74</v>
      </c>
      <c r="S665" s="148"/>
      <c r="T665" s="148"/>
      <c r="U665" s="108"/>
      <c r="V665" s="122"/>
      <c r="W665" s="61"/>
      <c r="X665" s="61"/>
      <c r="Y665" s="37"/>
      <c r="Z665" s="37"/>
      <c r="AA665" s="37"/>
      <c r="AB665" s="57"/>
    </row>
    <row r="666" spans="2:28" x14ac:dyDescent="0.35">
      <c r="B666" s="230">
        <f t="shared" si="58"/>
        <v>656</v>
      </c>
      <c r="C666" s="246" t="s">
        <v>697</v>
      </c>
      <c r="D666" s="248">
        <f>Table3.110[[#This Row],[Date]]</f>
        <v>46076</v>
      </c>
      <c r="E666" s="230" t="str">
        <f>Table3.110[[#This Row],[Requisitioner]]</f>
        <v>Genbank</v>
      </c>
      <c r="F666" s="230" t="str">
        <f>Table3.110[[#This Row],[Gene Bank ID]]</f>
        <v>CIAT-17459</v>
      </c>
      <c r="G666" s="230" t="str">
        <f>Table3.110[[#This Row],[Genus]]</f>
        <v>Erythrina</v>
      </c>
      <c r="H666" s="230" t="str">
        <f>Table3.110[[#This Row],[Species]]</f>
        <v>berteroana</v>
      </c>
      <c r="I666" s="230" t="str">
        <f>Table3.110[[#This Row],[Tax Name]]</f>
        <v>Erythrina berteroana</v>
      </c>
      <c r="J666" s="230" t="str">
        <f>Table3.110[[#This Row],[Family]]</f>
        <v>Fabaceae</v>
      </c>
      <c r="K666" s="230" t="str">
        <f>Table3.110[[#This Row],[Order]]</f>
        <v>Fabales</v>
      </c>
      <c r="L666" s="230" t="str">
        <f>Table3.110[[#This Row],[Functional Group]]</f>
        <v>Tree</v>
      </c>
      <c r="M666" s="230" t="str">
        <f>Table3.110[[#This Row],[CIAT ID]]</f>
        <v>F251758</v>
      </c>
      <c r="N666" s="230">
        <f>Table3.110[[#This Row],[Set CIAT]]</f>
        <v>28</v>
      </c>
      <c r="O666" s="230">
        <f>Table3.110[[#This Row],[Batch]]</f>
        <v>69</v>
      </c>
      <c r="P666" s="230">
        <f>Table3.110[[#This Row],[Run]]</f>
        <v>3</v>
      </c>
      <c r="Q666" s="230">
        <f>Table3.110[[#This Row],[Replication]]</f>
        <v>1</v>
      </c>
      <c r="R666" s="230">
        <f>Table3.110[[#This Row],[Syrange No]]</f>
        <v>75</v>
      </c>
      <c r="S666" s="106">
        <v>0.58230000000000004</v>
      </c>
      <c r="T666" s="106">
        <v>0.79659999999999997</v>
      </c>
      <c r="U666" s="108"/>
      <c r="V666" s="122">
        <f t="shared" ref="V666:V725" si="59">T666-S666</f>
        <v>0.21429999999999993</v>
      </c>
      <c r="W666" s="61">
        <f>Table3.110[[#This Row],[DM Incubated, mg]]-('3.2 Digest'!V666*1000)</f>
        <v>258.73041283486634</v>
      </c>
      <c r="X666" s="61">
        <f>W666/Table3.110[[#This Row],[DM Incubated, mg]]*100</f>
        <v>54.696359010892706</v>
      </c>
      <c r="Y666" s="37">
        <f>Table3.1[[#This Row],[DM Incubated, mg]]*'2.4 NDF'!R77/100</f>
        <v>245.86586910057395</v>
      </c>
      <c r="Z666" s="37">
        <f t="shared" ref="Z666:Z725" si="60">Y666-(V666*1000)</f>
        <v>31.56586910057402</v>
      </c>
      <c r="AA666" s="37">
        <f t="shared" ref="AA666:AA725" si="61">Z666/Y666*100</f>
        <v>12.838654350865465</v>
      </c>
      <c r="AB666" s="57"/>
    </row>
    <row r="667" spans="2:28" x14ac:dyDescent="0.35">
      <c r="B667" s="230">
        <f t="shared" si="58"/>
        <v>657</v>
      </c>
      <c r="C667" s="246" t="s">
        <v>697</v>
      </c>
      <c r="D667" s="248">
        <f>Table3.110[[#This Row],[Date]]</f>
        <v>46076</v>
      </c>
      <c r="E667" s="230" t="str">
        <f>Table3.110[[#This Row],[Requisitioner]]</f>
        <v>Genbank</v>
      </c>
      <c r="F667" s="230" t="str">
        <f>Table3.110[[#This Row],[Gene Bank ID]]</f>
        <v>CIAT-17459</v>
      </c>
      <c r="G667" s="230" t="str">
        <f>Table3.110[[#This Row],[Genus]]</f>
        <v>Erythrina</v>
      </c>
      <c r="H667" s="230" t="str">
        <f>Table3.110[[#This Row],[Species]]</f>
        <v>berteroana</v>
      </c>
      <c r="I667" s="230" t="str">
        <f>Table3.110[[#This Row],[Tax Name]]</f>
        <v>Erythrina berteroana</v>
      </c>
      <c r="J667" s="230" t="str">
        <f>Table3.110[[#This Row],[Family]]</f>
        <v>Fabaceae</v>
      </c>
      <c r="K667" s="230" t="str">
        <f>Table3.110[[#This Row],[Order]]</f>
        <v>Fabales</v>
      </c>
      <c r="L667" s="230" t="str">
        <f>Table3.110[[#This Row],[Functional Group]]</f>
        <v>Tree</v>
      </c>
      <c r="M667" s="230" t="str">
        <f>Table3.110[[#This Row],[CIAT ID]]</f>
        <v>F251758</v>
      </c>
      <c r="N667" s="230">
        <f>Table3.110[[#This Row],[Set CIAT]]</f>
        <v>28</v>
      </c>
      <c r="O667" s="230">
        <f>Table3.110[[#This Row],[Batch]]</f>
        <v>69</v>
      </c>
      <c r="P667" s="230">
        <f>Table3.110[[#This Row],[Run]]</f>
        <v>3</v>
      </c>
      <c r="Q667" s="230">
        <f>Table3.110[[#This Row],[Replication]]</f>
        <v>2</v>
      </c>
      <c r="R667" s="230">
        <f>Table3.110[[#This Row],[Syrange No]]</f>
        <v>76</v>
      </c>
      <c r="S667" s="106">
        <v>0.56810000000000005</v>
      </c>
      <c r="T667" s="106">
        <v>0.79110000000000003</v>
      </c>
      <c r="U667" s="108"/>
      <c r="V667" s="122">
        <f t="shared" si="59"/>
        <v>0.22299999999999998</v>
      </c>
      <c r="W667" s="61">
        <f>Table3.110[[#This Row],[DM Incubated, mg]]-('3.2 Digest'!V667*1000)</f>
        <v>249.9358256697324</v>
      </c>
      <c r="X667" s="61">
        <f>W667/Table3.110[[#This Row],[DM Incubated, mg]]*100</f>
        <v>52.847725231175723</v>
      </c>
      <c r="Y667" s="37">
        <f>Table3.1[[#This Row],[DM Incubated, mg]]*'2.4 NDF'!R77/100</f>
        <v>245.81670575942204</v>
      </c>
      <c r="Z667" s="37">
        <f t="shared" si="60"/>
        <v>22.816705759422064</v>
      </c>
      <c r="AA667" s="37">
        <f t="shared" si="61"/>
        <v>9.2819996464164269</v>
      </c>
      <c r="AB667" s="57"/>
    </row>
    <row r="668" spans="2:28" x14ac:dyDescent="0.35">
      <c r="B668" s="230">
        <f t="shared" si="58"/>
        <v>658</v>
      </c>
      <c r="C668" s="246" t="s">
        <v>697</v>
      </c>
      <c r="D668" s="248">
        <f>Table3.110[[#This Row],[Date]]</f>
        <v>46076</v>
      </c>
      <c r="E668" s="230" t="str">
        <f>Table3.110[[#This Row],[Requisitioner]]</f>
        <v>Genbank</v>
      </c>
      <c r="F668" s="230" t="str">
        <f>Table3.110[[#This Row],[Gene Bank ID]]</f>
        <v>CIAT-17482</v>
      </c>
      <c r="G668" s="230" t="str">
        <f>Table3.110[[#This Row],[Genus]]</f>
        <v>Leucaena</v>
      </c>
      <c r="H668" s="230" t="str">
        <f>Table3.110[[#This Row],[Species]]</f>
        <v>leucocephala</v>
      </c>
      <c r="I668" s="230" t="str">
        <f>Table3.110[[#This Row],[Tax Name]]</f>
        <v>Leucaena leucocephala</v>
      </c>
      <c r="J668" s="230" t="str">
        <f>Table3.110[[#This Row],[Family]]</f>
        <v>Fabaceae</v>
      </c>
      <c r="K668" s="230" t="str">
        <f>Table3.110[[#This Row],[Order]]</f>
        <v>Fabales</v>
      </c>
      <c r="L668" s="230" t="str">
        <f>Table3.110[[#This Row],[Functional Group]]</f>
        <v>Tree</v>
      </c>
      <c r="M668" s="230" t="str">
        <f>Table3.110[[#This Row],[CIAT ID]]</f>
        <v>F251759</v>
      </c>
      <c r="N668" s="230">
        <f>Table3.110[[#This Row],[Set CIAT]]</f>
        <v>28</v>
      </c>
      <c r="O668" s="230">
        <f>Table3.110[[#This Row],[Batch]]</f>
        <v>69</v>
      </c>
      <c r="P668" s="230">
        <f>Table3.110[[#This Row],[Run]]</f>
        <v>3</v>
      </c>
      <c r="Q668" s="230">
        <f>Table3.110[[#This Row],[Replication]]</f>
        <v>1</v>
      </c>
      <c r="R668" s="230">
        <f>Table3.110[[#This Row],[Syrange No]]</f>
        <v>77</v>
      </c>
      <c r="S668" s="106">
        <v>0.57779999999999998</v>
      </c>
      <c r="T668" s="106">
        <v>0.78620000000000001</v>
      </c>
      <c r="U668" s="108"/>
      <c r="V668" s="122">
        <f t="shared" si="59"/>
        <v>0.20840000000000003</v>
      </c>
      <c r="W668" s="61">
        <f>Table3.110[[#This Row],[DM Incubated, mg]]-('3.2 Digest'!V668*1000)</f>
        <v>255.27980995023603</v>
      </c>
      <c r="X668" s="61">
        <f>W668/Table3.110[[#This Row],[DM Incubated, mg]]*100</f>
        <v>55.05519206834424</v>
      </c>
      <c r="Y668" s="37">
        <f>Table3.1[[#This Row],[DM Incubated, mg]]*'2.4 NDF'!R79/100</f>
        <v>236.6959381513316</v>
      </c>
      <c r="Z668" s="37">
        <f t="shared" si="60"/>
        <v>28.295938151331569</v>
      </c>
      <c r="AA668" s="37">
        <f t="shared" si="61"/>
        <v>11.954551637992433</v>
      </c>
      <c r="AB668" s="57"/>
    </row>
    <row r="669" spans="2:28" x14ac:dyDescent="0.35">
      <c r="B669" s="230">
        <f t="shared" si="58"/>
        <v>659</v>
      </c>
      <c r="C669" s="246" t="s">
        <v>697</v>
      </c>
      <c r="D669" s="248">
        <f>Table3.110[[#This Row],[Date]]</f>
        <v>46076</v>
      </c>
      <c r="E669" s="230" t="str">
        <f>Table3.110[[#This Row],[Requisitioner]]</f>
        <v>Genbank</v>
      </c>
      <c r="F669" s="230" t="str">
        <f>Table3.110[[#This Row],[Gene Bank ID]]</f>
        <v>CIAT-17482</v>
      </c>
      <c r="G669" s="230" t="str">
        <f>Table3.110[[#This Row],[Genus]]</f>
        <v>Leucaena</v>
      </c>
      <c r="H669" s="230" t="str">
        <f>Table3.110[[#This Row],[Species]]</f>
        <v>leucocephala</v>
      </c>
      <c r="I669" s="230" t="str">
        <f>Table3.110[[#This Row],[Tax Name]]</f>
        <v>Leucaena leucocephala</v>
      </c>
      <c r="J669" s="230" t="str">
        <f>Table3.110[[#This Row],[Family]]</f>
        <v>Fabaceae</v>
      </c>
      <c r="K669" s="230" t="str">
        <f>Table3.110[[#This Row],[Order]]</f>
        <v>Fabales</v>
      </c>
      <c r="L669" s="230" t="str">
        <f>Table3.110[[#This Row],[Functional Group]]</f>
        <v>Tree</v>
      </c>
      <c r="M669" s="230" t="str">
        <f>Table3.110[[#This Row],[CIAT ID]]</f>
        <v>F251759</v>
      </c>
      <c r="N669" s="230">
        <f>Table3.110[[#This Row],[Set CIAT]]</f>
        <v>28</v>
      </c>
      <c r="O669" s="230">
        <f>Table3.110[[#This Row],[Batch]]</f>
        <v>69</v>
      </c>
      <c r="P669" s="230">
        <f>Table3.110[[#This Row],[Run]]</f>
        <v>3</v>
      </c>
      <c r="Q669" s="230">
        <f>Table3.110[[#This Row],[Replication]]</f>
        <v>2</v>
      </c>
      <c r="R669" s="230">
        <f>Table3.110[[#This Row],[Syrange No]]</f>
        <v>78</v>
      </c>
      <c r="S669" s="98">
        <v>0.56479999999999997</v>
      </c>
      <c r="T669" s="98">
        <v>0.80920000000000003</v>
      </c>
      <c r="U669" s="108"/>
      <c r="V669" s="122">
        <f t="shared" si="59"/>
        <v>0.24440000000000006</v>
      </c>
      <c r="W669" s="61">
        <f>Table3.110[[#This Row],[DM Incubated, mg]]-('3.2 Digest'!V669*1000)</f>
        <v>219.0018244526639</v>
      </c>
      <c r="X669" s="61">
        <f>W669/Table3.110[[#This Row],[DM Incubated, mg]]*100</f>
        <v>47.259594782850215</v>
      </c>
      <c r="Y669" s="37">
        <f>Table3.1[[#This Row],[DM Incubated, mg]]*'2.4 NDF'!R79/100</f>
        <v>236.55403411167256</v>
      </c>
      <c r="Z669" s="37">
        <f t="shared" si="60"/>
        <v>-7.8459658883274983</v>
      </c>
      <c r="AA669" s="37">
        <f t="shared" si="61"/>
        <v>-3.3167753480896338</v>
      </c>
      <c r="AB669" s="57"/>
    </row>
    <row r="670" spans="2:28" x14ac:dyDescent="0.35">
      <c r="B670" s="230">
        <f t="shared" si="58"/>
        <v>660</v>
      </c>
      <c r="C670" s="246" t="s">
        <v>697</v>
      </c>
      <c r="D670" s="248">
        <f>Table3.110[[#This Row],[Date]]</f>
        <v>46076</v>
      </c>
      <c r="E670" s="230" t="str">
        <f>Table3.110[[#This Row],[Requisitioner]]</f>
        <v>Genbank</v>
      </c>
      <c r="F670" s="230" t="str">
        <f>Table3.110[[#This Row],[Gene Bank ID]]</f>
        <v>CIAT-17502</v>
      </c>
      <c r="G670" s="230" t="str">
        <f>Table3.110[[#This Row],[Genus]]</f>
        <v>Leucaena</v>
      </c>
      <c r="H670" s="230" t="str">
        <f>Table3.110[[#This Row],[Species]]</f>
        <v>leucocephala</v>
      </c>
      <c r="I670" s="230" t="str">
        <f>Table3.110[[#This Row],[Tax Name]]</f>
        <v>Leucaena leucocephala</v>
      </c>
      <c r="J670" s="230" t="str">
        <f>Table3.110[[#This Row],[Family]]</f>
        <v>Fabaceae</v>
      </c>
      <c r="K670" s="230" t="str">
        <f>Table3.110[[#This Row],[Order]]</f>
        <v>Fabales</v>
      </c>
      <c r="L670" s="230" t="str">
        <f>Table3.110[[#This Row],[Functional Group]]</f>
        <v>Tree</v>
      </c>
      <c r="M670" s="230" t="str">
        <f>Table3.110[[#This Row],[CIAT ID]]</f>
        <v>F251760</v>
      </c>
      <c r="N670" s="230">
        <f>Table3.110[[#This Row],[Set CIAT]]</f>
        <v>28</v>
      </c>
      <c r="O670" s="230">
        <f>Table3.110[[#This Row],[Batch]]</f>
        <v>69</v>
      </c>
      <c r="P670" s="230">
        <f>Table3.110[[#This Row],[Run]]</f>
        <v>3</v>
      </c>
      <c r="Q670" s="230">
        <f>Table3.110[[#This Row],[Replication]]</f>
        <v>1</v>
      </c>
      <c r="R670" s="230">
        <f>Table3.110[[#This Row],[Syrange No]]</f>
        <v>79</v>
      </c>
      <c r="S670" s="271">
        <v>0.58720000000000006</v>
      </c>
      <c r="T670" s="271">
        <v>0.88429999999999997</v>
      </c>
      <c r="U670" s="108"/>
      <c r="V670" s="122">
        <f t="shared" si="59"/>
        <v>0.29709999999999992</v>
      </c>
      <c r="W670" s="61">
        <f>Table3.110[[#This Row],[DM Incubated, mg]]-('3.2 Digest'!V670*1000)</f>
        <v>174.20431427962995</v>
      </c>
      <c r="X670" s="61">
        <f>W670/Table3.110[[#This Row],[DM Incubated, mg]]*100</f>
        <v>36.962172634870619</v>
      </c>
      <c r="Y670" s="37">
        <f>Table3.1[[#This Row],[DM Incubated, mg]]*'2.4 NDF'!R81/100</f>
        <v>217.21122599819918</v>
      </c>
      <c r="Z670" s="37">
        <f t="shared" si="60"/>
        <v>-79.888774001800726</v>
      </c>
      <c r="AA670" s="37">
        <f t="shared" si="61"/>
        <v>-36.779302558912427</v>
      </c>
      <c r="AB670" s="57"/>
    </row>
    <row r="671" spans="2:28" x14ac:dyDescent="0.35">
      <c r="B671" s="230">
        <f t="shared" si="58"/>
        <v>661</v>
      </c>
      <c r="C671" s="246" t="s">
        <v>697</v>
      </c>
      <c r="D671" s="248">
        <f>Table3.110[[#This Row],[Date]]</f>
        <v>46076</v>
      </c>
      <c r="E671" s="230" t="str">
        <f>Table3.110[[#This Row],[Requisitioner]]</f>
        <v>Genbank</v>
      </c>
      <c r="F671" s="230" t="str">
        <f>Table3.110[[#This Row],[Gene Bank ID]]</f>
        <v>CIAT-17502</v>
      </c>
      <c r="G671" s="230" t="str">
        <f>Table3.110[[#This Row],[Genus]]</f>
        <v>Leucaena</v>
      </c>
      <c r="H671" s="230" t="str">
        <f>Table3.110[[#This Row],[Species]]</f>
        <v>leucocephala</v>
      </c>
      <c r="I671" s="230" t="str">
        <f>Table3.110[[#This Row],[Tax Name]]</f>
        <v>Leucaena leucocephala</v>
      </c>
      <c r="J671" s="230" t="str">
        <f>Table3.110[[#This Row],[Family]]</f>
        <v>Fabaceae</v>
      </c>
      <c r="K671" s="230" t="str">
        <f>Table3.110[[#This Row],[Order]]</f>
        <v>Fabales</v>
      </c>
      <c r="L671" s="230" t="str">
        <f>Table3.110[[#This Row],[Functional Group]]</f>
        <v>Tree</v>
      </c>
      <c r="M671" s="230" t="str">
        <f>Table3.110[[#This Row],[CIAT ID]]</f>
        <v>F251760</v>
      </c>
      <c r="N671" s="230">
        <f>Table3.110[[#This Row],[Set CIAT]]</f>
        <v>28</v>
      </c>
      <c r="O671" s="230">
        <f>Table3.110[[#This Row],[Batch]]</f>
        <v>69</v>
      </c>
      <c r="P671" s="230">
        <f>Table3.110[[#This Row],[Run]]</f>
        <v>3</v>
      </c>
      <c r="Q671" s="230">
        <f>Table3.110[[#This Row],[Replication]]</f>
        <v>2</v>
      </c>
      <c r="R671" s="230">
        <f>Table3.110[[#This Row],[Syrange No]]</f>
        <v>80</v>
      </c>
      <c r="S671" s="98">
        <v>0.55469999999999997</v>
      </c>
      <c r="T671" s="98">
        <v>0.81410000000000005</v>
      </c>
      <c r="U671" s="108"/>
      <c r="V671" s="122">
        <f t="shared" si="59"/>
        <v>0.25940000000000007</v>
      </c>
      <c r="W671" s="61">
        <f>Table3.110[[#This Row],[DM Incubated, mg]]-('3.2 Digest'!V671*1000)</f>
        <v>212.2813577310535</v>
      </c>
      <c r="X671" s="61">
        <f>W671/Table3.110[[#This Row],[DM Incubated, mg]]*100</f>
        <v>45.005246497804876</v>
      </c>
      <c r="Y671" s="37">
        <f>Table3.1[[#This Row],[DM Incubated, mg]]*'2.4 NDF'!R81/100</f>
        <v>217.38499497899775</v>
      </c>
      <c r="Z671" s="37">
        <f t="shared" si="60"/>
        <v>-42.015005021002338</v>
      </c>
      <c r="AA671" s="37">
        <f t="shared" si="61"/>
        <v>-19.327463252494283</v>
      </c>
      <c r="AB671" s="57"/>
    </row>
    <row r="672" spans="2:28" x14ac:dyDescent="0.35">
      <c r="B672" s="230">
        <f t="shared" si="58"/>
        <v>662</v>
      </c>
      <c r="C672" s="246" t="s">
        <v>697</v>
      </c>
      <c r="D672" s="248">
        <f>Table3.110[[#This Row],[Date]]</f>
        <v>46076</v>
      </c>
      <c r="E672" s="230" t="str">
        <f>Table3.110[[#This Row],[Requisitioner]]</f>
        <v>Genbank</v>
      </c>
      <c r="F672" s="230" t="str">
        <f>Table3.110[[#This Row],[Gene Bank ID]]</f>
        <v>CIAT-19384</v>
      </c>
      <c r="G672" s="230" t="str">
        <f>Table3.110[[#This Row],[Genus]]</f>
        <v>Prosopis</v>
      </c>
      <c r="H672" s="230" t="str">
        <f>Table3.110[[#This Row],[Species]]</f>
        <v>juliflora</v>
      </c>
      <c r="I672" s="230" t="str">
        <f>Table3.110[[#This Row],[Tax Name]]</f>
        <v>Prosopis juliflora</v>
      </c>
      <c r="J672" s="230" t="str">
        <f>Table3.110[[#This Row],[Family]]</f>
        <v>Fabaceae</v>
      </c>
      <c r="K672" s="230" t="str">
        <f>Table3.110[[#This Row],[Order]]</f>
        <v>Fabales</v>
      </c>
      <c r="L672" s="230" t="str">
        <f>Table3.110[[#This Row],[Functional Group]]</f>
        <v>Tree</v>
      </c>
      <c r="M672" s="230" t="str">
        <f>Table3.110[[#This Row],[CIAT ID]]</f>
        <v>F251761</v>
      </c>
      <c r="N672" s="230">
        <f>Table3.110[[#This Row],[Set CIAT]]</f>
        <v>28</v>
      </c>
      <c r="O672" s="230">
        <f>Table3.110[[#This Row],[Batch]]</f>
        <v>69</v>
      </c>
      <c r="P672" s="230">
        <f>Table3.110[[#This Row],[Run]]</f>
        <v>3</v>
      </c>
      <c r="Q672" s="230">
        <f>Table3.110[[#This Row],[Replication]]</f>
        <v>1</v>
      </c>
      <c r="R672" s="230">
        <f>Table3.110[[#This Row],[Syrange No]]</f>
        <v>81</v>
      </c>
      <c r="S672" s="271">
        <v>0.56710000000000005</v>
      </c>
      <c r="T672" s="271">
        <v>0.73009999999999997</v>
      </c>
      <c r="U672" s="108"/>
      <c r="V672" s="122">
        <f t="shared" si="59"/>
        <v>0.16299999999999992</v>
      </c>
      <c r="W672" s="61">
        <f>Table3.110[[#This Row],[DM Incubated, mg]]-('3.2 Digest'!V672*1000)</f>
        <v>304.21842480689099</v>
      </c>
      <c r="X672" s="61">
        <f>W672/Table3.110[[#This Row],[DM Incubated, mg]]*100</f>
        <v>65.11267720930087</v>
      </c>
      <c r="Y672" s="37">
        <f>Table3.1[[#This Row],[DM Incubated, mg]]*'2.4 NDF'!R83/100</f>
        <v>245.08080164444777</v>
      </c>
      <c r="Z672" s="37">
        <f t="shared" si="60"/>
        <v>82.08080164444786</v>
      </c>
      <c r="AA672" s="37">
        <f t="shared" si="61"/>
        <v>33.491322491888617</v>
      </c>
      <c r="AB672" s="57"/>
    </row>
    <row r="673" spans="2:28" x14ac:dyDescent="0.35">
      <c r="B673" s="230">
        <f t="shared" si="58"/>
        <v>663</v>
      </c>
      <c r="C673" s="246" t="s">
        <v>697</v>
      </c>
      <c r="D673" s="248">
        <f>Table3.110[[#This Row],[Date]]</f>
        <v>46076</v>
      </c>
      <c r="E673" s="230" t="str">
        <f>Table3.110[[#This Row],[Requisitioner]]</f>
        <v>Genbank</v>
      </c>
      <c r="F673" s="230" t="str">
        <f>Table3.110[[#This Row],[Gene Bank ID]]</f>
        <v>CIAT-19384</v>
      </c>
      <c r="G673" s="230" t="str">
        <f>Table3.110[[#This Row],[Genus]]</f>
        <v>Prosopis</v>
      </c>
      <c r="H673" s="230" t="str">
        <f>Table3.110[[#This Row],[Species]]</f>
        <v>juliflora</v>
      </c>
      <c r="I673" s="230" t="str">
        <f>Table3.110[[#This Row],[Tax Name]]</f>
        <v>Prosopis juliflora</v>
      </c>
      <c r="J673" s="230" t="str">
        <f>Table3.110[[#This Row],[Family]]</f>
        <v>Fabaceae</v>
      </c>
      <c r="K673" s="230" t="str">
        <f>Table3.110[[#This Row],[Order]]</f>
        <v>Fabales</v>
      </c>
      <c r="L673" s="230" t="str">
        <f>Table3.110[[#This Row],[Functional Group]]</f>
        <v>Tree</v>
      </c>
      <c r="M673" s="230" t="str">
        <f>Table3.110[[#This Row],[CIAT ID]]</f>
        <v>F251761</v>
      </c>
      <c r="N673" s="230">
        <f>Table3.110[[#This Row],[Set CIAT]]</f>
        <v>28</v>
      </c>
      <c r="O673" s="230">
        <f>Table3.110[[#This Row],[Batch]]</f>
        <v>69</v>
      </c>
      <c r="P673" s="230">
        <f>Table3.110[[#This Row],[Run]]</f>
        <v>3</v>
      </c>
      <c r="Q673" s="230">
        <f>Table3.110[[#This Row],[Replication]]</f>
        <v>2</v>
      </c>
      <c r="R673" s="230">
        <f>Table3.110[[#This Row],[Syrange No]]</f>
        <v>82</v>
      </c>
      <c r="S673" s="98">
        <v>0.58499999999999996</v>
      </c>
      <c r="T673" s="98">
        <v>0.77339999999999998</v>
      </c>
      <c r="U673" s="108"/>
      <c r="V673" s="122">
        <f t="shared" si="59"/>
        <v>0.18840000000000001</v>
      </c>
      <c r="W673" s="61">
        <f>Table3.110[[#This Row],[DM Incubated, mg]]-('3.2 Digest'!V673*1000)</f>
        <v>278.63164950215105</v>
      </c>
      <c r="X673" s="61">
        <f>W673/Table3.110[[#This Row],[DM Incubated, mg]]*100</f>
        <v>59.660121492658647</v>
      </c>
      <c r="Y673" s="37">
        <f>Table3.1[[#This Row],[DM Incubated, mg]]*'2.4 NDF'!R83/100</f>
        <v>244.98282810791196</v>
      </c>
      <c r="Z673" s="37">
        <f t="shared" si="60"/>
        <v>56.582828107911951</v>
      </c>
      <c r="AA673" s="37">
        <f t="shared" si="61"/>
        <v>23.096650710141979</v>
      </c>
      <c r="AB673" s="57"/>
    </row>
    <row r="674" spans="2:28" x14ac:dyDescent="0.35">
      <c r="B674" s="230">
        <f t="shared" si="58"/>
        <v>664</v>
      </c>
      <c r="C674" s="246" t="s">
        <v>697</v>
      </c>
      <c r="D674" s="248">
        <f>Table3.110[[#This Row],[Date]]</f>
        <v>46076</v>
      </c>
      <c r="E674" s="230" t="str">
        <f>Table3.110[[#This Row],[Requisitioner]]</f>
        <v>Genbank</v>
      </c>
      <c r="F674" s="230" t="str">
        <f>Table3.110[[#This Row],[Gene Bank ID]]</f>
        <v>CIAT-19571</v>
      </c>
      <c r="G674" s="230" t="str">
        <f>Table3.110[[#This Row],[Genus]]</f>
        <v>Senna</v>
      </c>
      <c r="H674" s="230" t="str">
        <f>Table3.110[[#This Row],[Species]]</f>
        <v>cobanensis</v>
      </c>
      <c r="I674" s="230" t="str">
        <f>Table3.110[[#This Row],[Tax Name]]</f>
        <v>Senna cobanensis</v>
      </c>
      <c r="J674" s="230" t="str">
        <f>Table3.110[[#This Row],[Family]]</f>
        <v>Fabaceae</v>
      </c>
      <c r="K674" s="230" t="str">
        <f>Table3.110[[#This Row],[Order]]</f>
        <v>Fabales</v>
      </c>
      <c r="L674" s="230" t="str">
        <f>Table3.110[[#This Row],[Functional Group]]</f>
        <v>Tree</v>
      </c>
      <c r="M674" s="230" t="str">
        <f>Table3.110[[#This Row],[CIAT ID]]</f>
        <v>F251762</v>
      </c>
      <c r="N674" s="230">
        <f>Table3.110[[#This Row],[Set CIAT]]</f>
        <v>28</v>
      </c>
      <c r="O674" s="230">
        <f>Table3.110[[#This Row],[Batch]]</f>
        <v>69</v>
      </c>
      <c r="P674" s="230">
        <f>Table3.110[[#This Row],[Run]]</f>
        <v>3</v>
      </c>
      <c r="Q674" s="230">
        <f>Table3.110[[#This Row],[Replication]]</f>
        <v>1</v>
      </c>
      <c r="R674" s="230">
        <f>Table3.110[[#This Row],[Syrange No]]</f>
        <v>83</v>
      </c>
      <c r="S674" s="271">
        <v>0.57620000000000005</v>
      </c>
      <c r="T674" s="271">
        <v>0.82479999999999998</v>
      </c>
      <c r="U674" s="108"/>
      <c r="V674" s="122">
        <f t="shared" si="59"/>
        <v>0.24859999999999993</v>
      </c>
      <c r="W674" s="61">
        <f>Table3.110[[#This Row],[DM Incubated, mg]]-('3.2 Digest'!V674*1000)</f>
        <v>217.43695367021391</v>
      </c>
      <c r="X674" s="61">
        <f>W674/Table3.110[[#This Row],[DM Incubated, mg]]*100</f>
        <v>46.656590632527582</v>
      </c>
      <c r="Y674" s="37">
        <f>Table3.1[[#This Row],[DM Incubated, mg]]*'2.4 NDF'!R85/100</f>
        <v>259.60460004509679</v>
      </c>
      <c r="Z674" s="37">
        <f t="shared" si="60"/>
        <v>11.004600045096851</v>
      </c>
      <c r="AA674" s="37">
        <f t="shared" si="61"/>
        <v>4.2389849960999166</v>
      </c>
      <c r="AB674" s="57"/>
    </row>
    <row r="675" spans="2:28" x14ac:dyDescent="0.35">
      <c r="B675" s="230">
        <f t="shared" si="58"/>
        <v>665</v>
      </c>
      <c r="C675" s="246" t="s">
        <v>697</v>
      </c>
      <c r="D675" s="248">
        <f>Table3.110[[#This Row],[Date]]</f>
        <v>46076</v>
      </c>
      <c r="E675" s="230" t="str">
        <f>Table3.110[[#This Row],[Requisitioner]]</f>
        <v>Genbank</v>
      </c>
      <c r="F675" s="230" t="str">
        <f>Table3.110[[#This Row],[Gene Bank ID]]</f>
        <v>CIAT-19571</v>
      </c>
      <c r="G675" s="230" t="str">
        <f>Table3.110[[#This Row],[Genus]]</f>
        <v>Senna</v>
      </c>
      <c r="H675" s="230" t="str">
        <f>Table3.110[[#This Row],[Species]]</f>
        <v>cobanensis</v>
      </c>
      <c r="I675" s="230" t="str">
        <f>Table3.110[[#This Row],[Tax Name]]</f>
        <v>Senna cobanensis</v>
      </c>
      <c r="J675" s="230" t="str">
        <f>Table3.110[[#This Row],[Family]]</f>
        <v>Fabaceae</v>
      </c>
      <c r="K675" s="230" t="str">
        <f>Table3.110[[#This Row],[Order]]</f>
        <v>Fabales</v>
      </c>
      <c r="L675" s="230" t="str">
        <f>Table3.110[[#This Row],[Functional Group]]</f>
        <v>Tree</v>
      </c>
      <c r="M675" s="230" t="str">
        <f>Table3.110[[#This Row],[CIAT ID]]</f>
        <v>F251762</v>
      </c>
      <c r="N675" s="230">
        <f>Table3.110[[#This Row],[Set CIAT]]</f>
        <v>28</v>
      </c>
      <c r="O675" s="230">
        <f>Table3.110[[#This Row],[Batch]]</f>
        <v>69</v>
      </c>
      <c r="P675" s="230">
        <f>Table3.110[[#This Row],[Run]]</f>
        <v>3</v>
      </c>
      <c r="Q675" s="230">
        <f>Table3.110[[#This Row],[Replication]]</f>
        <v>2</v>
      </c>
      <c r="R675" s="230">
        <f>Table3.110[[#This Row],[Syrange No]]</f>
        <v>84</v>
      </c>
      <c r="S675" s="98">
        <v>0.59119999999999995</v>
      </c>
      <c r="T675" s="98">
        <v>0.80159999999999998</v>
      </c>
      <c r="U675" s="108"/>
      <c r="V675" s="122">
        <f t="shared" si="59"/>
        <v>0.21040000000000003</v>
      </c>
      <c r="W675" s="61">
        <f>Table3.110[[#This Row],[DM Incubated, mg]]-('3.2 Digest'!V675*1000)</f>
        <v>255.82336845168192</v>
      </c>
      <c r="X675" s="61">
        <f>W675/Table3.110[[#This Row],[DM Incubated, mg]]*100</f>
        <v>54.871416956482889</v>
      </c>
      <c r="Y675" s="37">
        <f>Table3.1[[#This Row],[DM Incubated, mg]]*'2.4 NDF'!R85/100</f>
        <v>259.70844188511478</v>
      </c>
      <c r="Z675" s="37">
        <f t="shared" si="60"/>
        <v>49.308441885114746</v>
      </c>
      <c r="AA675" s="37">
        <f t="shared" si="61"/>
        <v>18.986075896187828</v>
      </c>
      <c r="AB675" s="57"/>
    </row>
    <row r="676" spans="2:28" x14ac:dyDescent="0.35">
      <c r="B676" s="230">
        <f t="shared" si="58"/>
        <v>666</v>
      </c>
      <c r="C676" s="246" t="s">
        <v>697</v>
      </c>
      <c r="D676" s="248">
        <f>Table3.110[[#This Row],[Date]]</f>
        <v>46076</v>
      </c>
      <c r="E676" s="230" t="str">
        <f>Table3.110[[#This Row],[Requisitioner]]</f>
        <v>Genbank</v>
      </c>
      <c r="F676" s="230" t="str">
        <f>Table3.110[[#This Row],[Gene Bank ID]]</f>
        <v>CIAT-20126</v>
      </c>
      <c r="G676" s="230" t="str">
        <f>Table3.110[[#This Row],[Genus]]</f>
        <v>Acacia</v>
      </c>
      <c r="H676" s="230" t="str">
        <f>Table3.110[[#This Row],[Species]]</f>
        <v>angustissima</v>
      </c>
      <c r="I676" s="230" t="str">
        <f>Table3.110[[#This Row],[Tax Name]]</f>
        <v>Acacia angustissima</v>
      </c>
      <c r="J676" s="230" t="str">
        <f>Table3.110[[#This Row],[Family]]</f>
        <v>Fabaceae</v>
      </c>
      <c r="K676" s="230" t="str">
        <f>Table3.110[[#This Row],[Order]]</f>
        <v>Fabales</v>
      </c>
      <c r="L676" s="230" t="str">
        <f>Table3.110[[#This Row],[Functional Group]]</f>
        <v>Tree</v>
      </c>
      <c r="M676" s="230" t="str">
        <f>Table3.110[[#This Row],[CIAT ID]]</f>
        <v>F251763</v>
      </c>
      <c r="N676" s="230">
        <f>Table3.110[[#This Row],[Set CIAT]]</f>
        <v>28</v>
      </c>
      <c r="O676" s="230">
        <f>Table3.110[[#This Row],[Batch]]</f>
        <v>69</v>
      </c>
      <c r="P676" s="230">
        <f>Table3.110[[#This Row],[Run]]</f>
        <v>3</v>
      </c>
      <c r="Q676" s="230">
        <f>Table3.110[[#This Row],[Replication]]</f>
        <v>1</v>
      </c>
      <c r="R676" s="230">
        <f>Table3.110[[#This Row],[Syrange No]]</f>
        <v>85</v>
      </c>
      <c r="S676" s="271">
        <v>0.58199999999999996</v>
      </c>
      <c r="T676" s="271">
        <v>0.91849999999999998</v>
      </c>
      <c r="U676" s="108"/>
      <c r="V676" s="122">
        <f t="shared" si="59"/>
        <v>0.33650000000000002</v>
      </c>
      <c r="W676" s="61">
        <f>Table3.110[[#This Row],[DM Incubated, mg]]-('3.2 Digest'!V676*1000)</f>
        <v>133.73647407250184</v>
      </c>
      <c r="X676" s="61">
        <f>W676/Table3.110[[#This Row],[DM Incubated, mg]]*100</f>
        <v>28.440259623901937</v>
      </c>
      <c r="Y676" s="37">
        <f>Table3.1[[#This Row],[DM Incubated, mg]]*'2.4 NDF'!R87/100</f>
        <v>274.08615841709582</v>
      </c>
      <c r="Z676" s="37">
        <f t="shared" si="60"/>
        <v>-62.413841582904183</v>
      </c>
      <c r="AA676" s="37">
        <f t="shared" si="61"/>
        <v>-22.771613839734563</v>
      </c>
      <c r="AB676" s="57"/>
    </row>
    <row r="677" spans="2:28" x14ac:dyDescent="0.35">
      <c r="B677" s="230">
        <f t="shared" si="58"/>
        <v>667</v>
      </c>
      <c r="C677" s="246" t="s">
        <v>697</v>
      </c>
      <c r="D677" s="248">
        <f>Table3.110[[#This Row],[Date]]</f>
        <v>46076</v>
      </c>
      <c r="E677" s="230" t="str">
        <f>Table3.110[[#This Row],[Requisitioner]]</f>
        <v>Genbank</v>
      </c>
      <c r="F677" s="230" t="str">
        <f>Table3.110[[#This Row],[Gene Bank ID]]</f>
        <v>CIAT-20126</v>
      </c>
      <c r="G677" s="230" t="str">
        <f>Table3.110[[#This Row],[Genus]]</f>
        <v>Acacia</v>
      </c>
      <c r="H677" s="230" t="str">
        <f>Table3.110[[#This Row],[Species]]</f>
        <v>angustissima</v>
      </c>
      <c r="I677" s="230" t="str">
        <f>Table3.110[[#This Row],[Tax Name]]</f>
        <v>Acacia angustissima</v>
      </c>
      <c r="J677" s="230" t="str">
        <f>Table3.110[[#This Row],[Family]]</f>
        <v>Fabaceae</v>
      </c>
      <c r="K677" s="230" t="str">
        <f>Table3.110[[#This Row],[Order]]</f>
        <v>Fabales</v>
      </c>
      <c r="L677" s="230" t="str">
        <f>Table3.110[[#This Row],[Functional Group]]</f>
        <v>Tree</v>
      </c>
      <c r="M677" s="230" t="str">
        <f>Table3.110[[#This Row],[CIAT ID]]</f>
        <v>F251763</v>
      </c>
      <c r="N677" s="230">
        <f>Table3.110[[#This Row],[Set CIAT]]</f>
        <v>28</v>
      </c>
      <c r="O677" s="230">
        <f>Table3.110[[#This Row],[Batch]]</f>
        <v>69</v>
      </c>
      <c r="P677" s="230">
        <f>Table3.110[[#This Row],[Run]]</f>
        <v>3</v>
      </c>
      <c r="Q677" s="230">
        <f>Table3.110[[#This Row],[Replication]]</f>
        <v>2</v>
      </c>
      <c r="R677" s="230">
        <f>Table3.110[[#This Row],[Syrange No]]</f>
        <v>86</v>
      </c>
      <c r="S677" s="98">
        <v>0.57379999999999998</v>
      </c>
      <c r="T677" s="98">
        <v>0.90910000000000002</v>
      </c>
      <c r="U677" s="108"/>
      <c r="V677" s="122">
        <f t="shared" si="59"/>
        <v>0.33530000000000004</v>
      </c>
      <c r="W677" s="61">
        <f>Table3.110[[#This Row],[DM Incubated, mg]]-('3.2 Digest'!V677*1000)</f>
        <v>134.65455772113938</v>
      </c>
      <c r="X677" s="61">
        <f>W677/Table3.110[[#This Row],[DM Incubated, mg]]*100</f>
        <v>28.652676202161743</v>
      </c>
      <c r="Y677" s="37">
        <f>Table3.1[[#This Row],[DM Incubated, mg]]*'2.4 NDF'!R87/100</f>
        <v>273.92183817823667</v>
      </c>
      <c r="Z677" s="37">
        <f t="shared" si="60"/>
        <v>-61.378161821763399</v>
      </c>
      <c r="AA677" s="37">
        <f t="shared" si="61"/>
        <v>-22.407180906045756</v>
      </c>
      <c r="AB677" s="57"/>
    </row>
    <row r="678" spans="2:28" x14ac:dyDescent="0.35">
      <c r="B678" s="230">
        <f t="shared" si="58"/>
        <v>668</v>
      </c>
      <c r="C678" s="246" t="s">
        <v>697</v>
      </c>
      <c r="D678" s="248">
        <f>Table3.110[[#This Row],[Date]]</f>
        <v>46076</v>
      </c>
      <c r="E678" s="230" t="str">
        <f>Table3.110[[#This Row],[Requisitioner]]</f>
        <v>Genbank</v>
      </c>
      <c r="F678" s="230" t="str">
        <f>Table3.110[[#This Row],[Gene Bank ID]]</f>
        <v>CIAT-20788</v>
      </c>
      <c r="G678" s="230" t="str">
        <f>Table3.110[[#This Row],[Genus]]</f>
        <v>Senna</v>
      </c>
      <c r="H678" s="230" t="str">
        <f>Table3.110[[#This Row],[Species]]</f>
        <v>pallida</v>
      </c>
      <c r="I678" s="230" t="str">
        <f>Table3.110[[#This Row],[Tax Name]]</f>
        <v>Senna pallida</v>
      </c>
      <c r="J678" s="230" t="str">
        <f>Table3.110[[#This Row],[Family]]</f>
        <v>Fabaceae</v>
      </c>
      <c r="K678" s="230" t="str">
        <f>Table3.110[[#This Row],[Order]]</f>
        <v>Fabales</v>
      </c>
      <c r="L678" s="230" t="str">
        <f>Table3.110[[#This Row],[Functional Group]]</f>
        <v>Tree</v>
      </c>
      <c r="M678" s="230" t="str">
        <f>Table3.110[[#This Row],[CIAT ID]]</f>
        <v>F251764</v>
      </c>
      <c r="N678" s="230">
        <f>Table3.110[[#This Row],[Set CIAT]]</f>
        <v>28</v>
      </c>
      <c r="O678" s="230">
        <f>Table3.110[[#This Row],[Batch]]</f>
        <v>69</v>
      </c>
      <c r="P678" s="230">
        <f>Table3.110[[#This Row],[Run]]</f>
        <v>3</v>
      </c>
      <c r="Q678" s="230">
        <f>Table3.110[[#This Row],[Replication]]</f>
        <v>1</v>
      </c>
      <c r="R678" s="230">
        <f>Table3.110[[#This Row],[Syrange No]]</f>
        <v>87</v>
      </c>
      <c r="S678" s="271">
        <v>0.58099999999999996</v>
      </c>
      <c r="T678" s="271">
        <v>0.73329999999999995</v>
      </c>
      <c r="U678" s="108"/>
      <c r="V678" s="122">
        <f t="shared" si="59"/>
        <v>0.15229999999999999</v>
      </c>
      <c r="W678" s="61">
        <f>Table3.110[[#This Row],[DM Incubated, mg]]-('3.2 Digest'!V678*1000)</f>
        <v>317.37804158752363</v>
      </c>
      <c r="X678" s="61">
        <f>W678/Table3.110[[#This Row],[DM Incubated, mg]]*100</f>
        <v>67.573531969852766</v>
      </c>
      <c r="Y678" s="37">
        <f>Table3.1[[#This Row],[DM Incubated, mg]]*'2.4 NDF'!R89/100</f>
        <v>250.61925826366615</v>
      </c>
      <c r="Z678" s="37">
        <f t="shared" si="60"/>
        <v>98.319258263666171</v>
      </c>
      <c r="AA678" s="37">
        <f t="shared" si="61"/>
        <v>39.230527990881107</v>
      </c>
      <c r="AB678" s="57"/>
    </row>
    <row r="679" spans="2:28" x14ac:dyDescent="0.35">
      <c r="B679" s="230">
        <f t="shared" si="58"/>
        <v>669</v>
      </c>
      <c r="C679" s="246" t="s">
        <v>697</v>
      </c>
      <c r="D679" s="248">
        <f>Table3.110[[#This Row],[Date]]</f>
        <v>46076</v>
      </c>
      <c r="E679" s="230" t="str">
        <f>Table3.110[[#This Row],[Requisitioner]]</f>
        <v>Genbank</v>
      </c>
      <c r="F679" s="230" t="str">
        <f>Table3.110[[#This Row],[Gene Bank ID]]</f>
        <v>CIAT-20788</v>
      </c>
      <c r="G679" s="230" t="str">
        <f>Table3.110[[#This Row],[Genus]]</f>
        <v>Senna</v>
      </c>
      <c r="H679" s="230" t="str">
        <f>Table3.110[[#This Row],[Species]]</f>
        <v>pallida</v>
      </c>
      <c r="I679" s="230" t="str">
        <f>Table3.110[[#This Row],[Tax Name]]</f>
        <v>Senna pallida</v>
      </c>
      <c r="J679" s="230" t="str">
        <f>Table3.110[[#This Row],[Family]]</f>
        <v>Fabaceae</v>
      </c>
      <c r="K679" s="230" t="str">
        <f>Table3.110[[#This Row],[Order]]</f>
        <v>Fabales</v>
      </c>
      <c r="L679" s="230" t="str">
        <f>Table3.110[[#This Row],[Functional Group]]</f>
        <v>Tree</v>
      </c>
      <c r="M679" s="230" t="str">
        <f>Table3.110[[#This Row],[CIAT ID]]</f>
        <v>F251764</v>
      </c>
      <c r="N679" s="230">
        <f>Table3.110[[#This Row],[Set CIAT]]</f>
        <v>28</v>
      </c>
      <c r="O679" s="230">
        <f>Table3.110[[#This Row],[Batch]]</f>
        <v>69</v>
      </c>
      <c r="P679" s="230">
        <f>Table3.110[[#This Row],[Run]]</f>
        <v>3</v>
      </c>
      <c r="Q679" s="230">
        <f>Table3.110[[#This Row],[Replication]]</f>
        <v>2</v>
      </c>
      <c r="R679" s="230">
        <f>Table3.110[[#This Row],[Syrange No]]</f>
        <v>88</v>
      </c>
      <c r="S679" s="98">
        <v>0.57150000000000001</v>
      </c>
      <c r="T679" s="98">
        <v>0.74580000000000002</v>
      </c>
      <c r="U679" s="108"/>
      <c r="V679" s="122">
        <f t="shared" si="59"/>
        <v>0.17430000000000001</v>
      </c>
      <c r="W679" s="61">
        <f>Table3.110[[#This Row],[DM Incubated, mg]]-('3.2 Digest'!V679*1000)</f>
        <v>295.6597920623812</v>
      </c>
      <c r="X679" s="61">
        <f>W679/Table3.110[[#This Row],[DM Incubated, mg]]*100</f>
        <v>62.911720759110409</v>
      </c>
      <c r="Y679" s="37">
        <f>Table3.1[[#This Row],[DM Incubated, mg]]*'2.4 NDF'!R89/100</f>
        <v>250.76959975032707</v>
      </c>
      <c r="Z679" s="37">
        <f t="shared" si="60"/>
        <v>76.469599750327063</v>
      </c>
      <c r="AA679" s="37">
        <f t="shared" si="61"/>
        <v>30.493967301643515</v>
      </c>
      <c r="AB679" s="57"/>
    </row>
    <row r="680" spans="2:28" x14ac:dyDescent="0.35">
      <c r="B680" s="230">
        <f t="shared" si="58"/>
        <v>670</v>
      </c>
      <c r="C680" s="246" t="s">
        <v>697</v>
      </c>
      <c r="D680" s="248">
        <f>Table3.110[[#This Row],[Date]]</f>
        <v>46076</v>
      </c>
      <c r="E680" s="230" t="str">
        <f>Table3.110[[#This Row],[Requisitioner]]</f>
        <v>Genbank</v>
      </c>
      <c r="F680" s="230" t="str">
        <f>Table3.110[[#This Row],[Gene Bank ID]]</f>
        <v>CIAT-21242</v>
      </c>
      <c r="G680" s="230" t="str">
        <f>Table3.110[[#This Row],[Genus]]</f>
        <v>Leucaena</v>
      </c>
      <c r="H680" s="230" t="str">
        <f>Table3.110[[#This Row],[Species]]</f>
        <v>diversifolia</v>
      </c>
      <c r="I680" s="230" t="str">
        <f>Table3.110[[#This Row],[Tax Name]]</f>
        <v>Leucaena diversifolia</v>
      </c>
      <c r="J680" s="230" t="str">
        <f>Table3.110[[#This Row],[Family]]</f>
        <v>Fabaceae</v>
      </c>
      <c r="K680" s="230" t="str">
        <f>Table3.110[[#This Row],[Order]]</f>
        <v>Fabales</v>
      </c>
      <c r="L680" s="230" t="str">
        <f>Table3.110[[#This Row],[Functional Group]]</f>
        <v>Tree</v>
      </c>
      <c r="M680" s="230" t="str">
        <f>Table3.110[[#This Row],[CIAT ID]]</f>
        <v>F251765</v>
      </c>
      <c r="N680" s="230">
        <f>Table3.110[[#This Row],[Set CIAT]]</f>
        <v>28</v>
      </c>
      <c r="O680" s="230">
        <f>Table3.110[[#This Row],[Batch]]</f>
        <v>69</v>
      </c>
      <c r="P680" s="230">
        <f>Table3.110[[#This Row],[Run]]</f>
        <v>3</v>
      </c>
      <c r="Q680" s="230">
        <f>Table3.110[[#This Row],[Replication]]</f>
        <v>1</v>
      </c>
      <c r="R680" s="230">
        <f>Table3.110[[#This Row],[Syrange No]]</f>
        <v>89</v>
      </c>
      <c r="S680" s="271">
        <v>0.58069999999999999</v>
      </c>
      <c r="T680" s="271">
        <v>0.85070000000000001</v>
      </c>
      <c r="U680" s="108"/>
      <c r="V680" s="122">
        <f t="shared" si="59"/>
        <v>0.27</v>
      </c>
      <c r="W680" s="61">
        <f>Table3.110[[#This Row],[DM Incubated, mg]]-('3.2 Digest'!V680*1000)</f>
        <v>196.33646238395278</v>
      </c>
      <c r="X680" s="61">
        <f>W680/Table3.110[[#This Row],[DM Incubated, mg]]*100</f>
        <v>42.101889562798419</v>
      </c>
      <c r="Y680" s="37">
        <f>Table3.1[[#This Row],[DM Incubated, mg]]*'2.4 NDF'!R91/100</f>
        <v>295.85451507320545</v>
      </c>
      <c r="Z680" s="37">
        <f t="shared" si="60"/>
        <v>25.854515073205448</v>
      </c>
      <c r="AA680" s="37">
        <f t="shared" si="61"/>
        <v>8.7389286814866001</v>
      </c>
      <c r="AB680" s="57"/>
    </row>
    <row r="681" spans="2:28" x14ac:dyDescent="0.35">
      <c r="B681" s="230">
        <f t="shared" si="58"/>
        <v>671</v>
      </c>
      <c r="C681" s="246" t="s">
        <v>697</v>
      </c>
      <c r="D681" s="248">
        <f>Table3.110[[#This Row],[Date]]</f>
        <v>46076</v>
      </c>
      <c r="E681" s="230" t="str">
        <f>Table3.110[[#This Row],[Requisitioner]]</f>
        <v>Genbank</v>
      </c>
      <c r="F681" s="230" t="str">
        <f>Table3.110[[#This Row],[Gene Bank ID]]</f>
        <v>CIAT-21242</v>
      </c>
      <c r="G681" s="230" t="str">
        <f>Table3.110[[#This Row],[Genus]]</f>
        <v>Leucaena</v>
      </c>
      <c r="H681" s="230" t="str">
        <f>Table3.110[[#This Row],[Species]]</f>
        <v>diversifolia</v>
      </c>
      <c r="I681" s="230" t="str">
        <f>Table3.110[[#This Row],[Tax Name]]</f>
        <v>Leucaena diversifolia</v>
      </c>
      <c r="J681" s="230" t="str">
        <f>Table3.110[[#This Row],[Family]]</f>
        <v>Fabaceae</v>
      </c>
      <c r="K681" s="230" t="str">
        <f>Table3.110[[#This Row],[Order]]</f>
        <v>Fabales</v>
      </c>
      <c r="L681" s="230" t="str">
        <f>Table3.110[[#This Row],[Functional Group]]</f>
        <v>Tree</v>
      </c>
      <c r="M681" s="230" t="str">
        <f>Table3.110[[#This Row],[CIAT ID]]</f>
        <v>F251765</v>
      </c>
      <c r="N681" s="230">
        <f>Table3.110[[#This Row],[Set CIAT]]</f>
        <v>28</v>
      </c>
      <c r="O681" s="230">
        <f>Table3.110[[#This Row],[Batch]]</f>
        <v>69</v>
      </c>
      <c r="P681" s="230">
        <f>Table3.110[[#This Row],[Run]]</f>
        <v>3</v>
      </c>
      <c r="Q681" s="230">
        <f>Table3.110[[#This Row],[Replication]]</f>
        <v>2</v>
      </c>
      <c r="R681" s="230">
        <f>Table3.110[[#This Row],[Syrange No]]</f>
        <v>90</v>
      </c>
      <c r="S681" s="98">
        <v>0.5877</v>
      </c>
      <c r="T681" s="98">
        <v>0.87870000000000004</v>
      </c>
      <c r="U681" s="108"/>
      <c r="V681" s="122">
        <f t="shared" si="59"/>
        <v>0.29100000000000004</v>
      </c>
      <c r="W681" s="61">
        <f>Table3.110[[#This Row],[DM Incubated, mg]]-('3.2 Digest'!V681*1000)</f>
        <v>175.42967374961012</v>
      </c>
      <c r="X681" s="61">
        <f>W681/Table3.110[[#This Row],[DM Incubated, mg]]*100</f>
        <v>37.611173478594907</v>
      </c>
      <c r="Y681" s="37">
        <f>Table3.1[[#This Row],[DM Incubated, mg]]*'2.4 NDF'!R91/100</f>
        <v>295.91365049496704</v>
      </c>
      <c r="Z681" s="37">
        <f t="shared" si="60"/>
        <v>4.913650494966987</v>
      </c>
      <c r="AA681" s="37">
        <f t="shared" si="61"/>
        <v>1.6605014627571431</v>
      </c>
      <c r="AB681" s="57"/>
    </row>
    <row r="682" spans="2:28" x14ac:dyDescent="0.35">
      <c r="B682" s="230">
        <f t="shared" si="58"/>
        <v>672</v>
      </c>
      <c r="C682" s="246" t="s">
        <v>697</v>
      </c>
      <c r="D682" s="248">
        <f>Table3.110[[#This Row],[Date]]</f>
        <v>46076</v>
      </c>
      <c r="E682" s="230" t="str">
        <f>Table3.110[[#This Row],[Requisitioner]]</f>
        <v>Genbank</v>
      </c>
      <c r="F682" s="230" t="str">
        <f>Table3.110[[#This Row],[Gene Bank ID]]</f>
        <v>CIAT-21512</v>
      </c>
      <c r="G682" s="230" t="str">
        <f>Table3.110[[#This Row],[Genus]]</f>
        <v>Calliandra</v>
      </c>
      <c r="H682" s="230" t="str">
        <f>Table3.110[[#This Row],[Species]]</f>
        <v>calothyrsus</v>
      </c>
      <c r="I682" s="230" t="str">
        <f>Table3.110[[#This Row],[Tax Name]]</f>
        <v>Calliandra calothyrsus</v>
      </c>
      <c r="J682" s="230" t="str">
        <f>Table3.110[[#This Row],[Family]]</f>
        <v>Fabaceae</v>
      </c>
      <c r="K682" s="230" t="str">
        <f>Table3.110[[#This Row],[Order]]</f>
        <v>Fabales</v>
      </c>
      <c r="L682" s="230" t="str">
        <f>Table3.110[[#This Row],[Functional Group]]</f>
        <v>Tree</v>
      </c>
      <c r="M682" s="230" t="str">
        <f>Table3.110[[#This Row],[CIAT ID]]</f>
        <v>F251766</v>
      </c>
      <c r="N682" s="230">
        <f>Table3.110[[#This Row],[Set CIAT]]</f>
        <v>28</v>
      </c>
      <c r="O682" s="230">
        <f>Table3.110[[#This Row],[Batch]]</f>
        <v>69</v>
      </c>
      <c r="P682" s="230">
        <f>Table3.110[[#This Row],[Run]]</f>
        <v>3</v>
      </c>
      <c r="Q682" s="230">
        <f>Table3.110[[#This Row],[Replication]]</f>
        <v>1</v>
      </c>
      <c r="R682" s="230">
        <f>Table3.110[[#This Row],[Syrange No]]</f>
        <v>91</v>
      </c>
      <c r="S682" s="271">
        <v>0.5927</v>
      </c>
      <c r="T682" s="271">
        <v>0.92759999999999998</v>
      </c>
      <c r="U682" s="108"/>
      <c r="V682" s="122">
        <f t="shared" si="59"/>
        <v>0.33489999999999998</v>
      </c>
      <c r="W682" s="61">
        <f>Table3.110[[#This Row],[DM Incubated, mg]]-('3.2 Digest'!V682*1000)</f>
        <v>129.13221211515389</v>
      </c>
      <c r="X682" s="61">
        <f>W682/Table3.110[[#This Row],[DM Incubated, mg]]*100</f>
        <v>27.828286214558862</v>
      </c>
      <c r="Y682" s="37">
        <f>Table3.1[[#This Row],[DM Incubated, mg]]*'2.4 NDF'!R93/100</f>
        <v>247.63536504026968</v>
      </c>
      <c r="Z682" s="37">
        <f t="shared" si="60"/>
        <v>-87.264634959730301</v>
      </c>
      <c r="AA682" s="37">
        <f t="shared" si="61"/>
        <v>-35.239165030220789</v>
      </c>
      <c r="AB682" s="57"/>
    </row>
    <row r="683" spans="2:28" x14ac:dyDescent="0.35">
      <c r="B683" s="230">
        <f t="shared" si="58"/>
        <v>673</v>
      </c>
      <c r="C683" s="246" t="s">
        <v>697</v>
      </c>
      <c r="D683" s="248">
        <f>Table3.110[[#This Row],[Date]]</f>
        <v>46076</v>
      </c>
      <c r="E683" s="230" t="str">
        <f>Table3.110[[#This Row],[Requisitioner]]</f>
        <v>Genbank</v>
      </c>
      <c r="F683" s="230" t="str">
        <f>Table3.110[[#This Row],[Gene Bank ID]]</f>
        <v>CIAT-21512</v>
      </c>
      <c r="G683" s="230" t="str">
        <f>Table3.110[[#This Row],[Genus]]</f>
        <v>Calliandra</v>
      </c>
      <c r="H683" s="230" t="str">
        <f>Table3.110[[#This Row],[Species]]</f>
        <v>calothyrsus</v>
      </c>
      <c r="I683" s="230" t="str">
        <f>Table3.110[[#This Row],[Tax Name]]</f>
        <v>Calliandra calothyrsus</v>
      </c>
      <c r="J683" s="230" t="str">
        <f>Table3.110[[#This Row],[Family]]</f>
        <v>Fabaceae</v>
      </c>
      <c r="K683" s="230" t="str">
        <f>Table3.110[[#This Row],[Order]]</f>
        <v>Fabales</v>
      </c>
      <c r="L683" s="230" t="str">
        <f>Table3.110[[#This Row],[Functional Group]]</f>
        <v>Tree</v>
      </c>
      <c r="M683" s="230" t="str">
        <f>Table3.110[[#This Row],[CIAT ID]]</f>
        <v>F251766</v>
      </c>
      <c r="N683" s="230">
        <f>Table3.110[[#This Row],[Set CIAT]]</f>
        <v>28</v>
      </c>
      <c r="O683" s="230">
        <f>Table3.110[[#This Row],[Batch]]</f>
        <v>69</v>
      </c>
      <c r="P683" s="230">
        <f>Table3.110[[#This Row],[Run]]</f>
        <v>3</v>
      </c>
      <c r="Q683" s="230">
        <f>Table3.110[[#This Row],[Replication]]</f>
        <v>2</v>
      </c>
      <c r="R683" s="230">
        <f>Table3.110[[#This Row],[Syrange No]]</f>
        <v>92</v>
      </c>
      <c r="S683" s="98">
        <v>0.56210000000000004</v>
      </c>
      <c r="T683" s="98">
        <v>0.86599999999999999</v>
      </c>
      <c r="U683" s="108"/>
      <c r="V683" s="122">
        <f t="shared" si="59"/>
        <v>0.30389999999999995</v>
      </c>
      <c r="W683" s="61">
        <f>Table3.110[[#This Row],[DM Incubated, mg]]-('3.2 Digest'!V683*1000)</f>
        <v>160.03942423030787</v>
      </c>
      <c r="X683" s="61">
        <f>W683/Table3.110[[#This Row],[DM Incubated, mg]]*100</f>
        <v>34.495758685698902</v>
      </c>
      <c r="Y683" s="37">
        <f>Table3.1[[#This Row],[DM Incubated, mg]]*'2.4 NDF'!R93/100</f>
        <v>247.58584787069555</v>
      </c>
      <c r="Z683" s="37">
        <f t="shared" si="60"/>
        <v>-56.314152129304375</v>
      </c>
      <c r="AA683" s="37">
        <f t="shared" si="61"/>
        <v>-22.745303341697891</v>
      </c>
      <c r="AB683" s="57"/>
    </row>
    <row r="684" spans="2:28" x14ac:dyDescent="0.35">
      <c r="B684" s="230">
        <f t="shared" si="58"/>
        <v>674</v>
      </c>
      <c r="C684" s="246" t="s">
        <v>697</v>
      </c>
      <c r="D684" s="248">
        <f>Table3.110[[#This Row],[Date]]</f>
        <v>46076</v>
      </c>
      <c r="E684" s="230" t="str">
        <f>Table3.110[[#This Row],[Requisitioner]]</f>
        <v>Genbank</v>
      </c>
      <c r="F684" s="230" t="str">
        <f>Table3.110[[#This Row],[Gene Bank ID]]</f>
        <v>CIAT-21601</v>
      </c>
      <c r="G684" s="230" t="str">
        <f>Table3.110[[#This Row],[Genus]]</f>
        <v>Erythrina</v>
      </c>
      <c r="H684" s="230" t="str">
        <f>Table3.110[[#This Row],[Species]]</f>
        <v>fusca</v>
      </c>
      <c r="I684" s="230" t="str">
        <f>Table3.110[[#This Row],[Tax Name]]</f>
        <v>Erythrina fusca</v>
      </c>
      <c r="J684" s="230" t="str">
        <f>Table3.110[[#This Row],[Family]]</f>
        <v>Fabaceae</v>
      </c>
      <c r="K684" s="230" t="str">
        <f>Table3.110[[#This Row],[Order]]</f>
        <v>Fabales</v>
      </c>
      <c r="L684" s="230" t="str">
        <f>Table3.110[[#This Row],[Functional Group]]</f>
        <v>Tree</v>
      </c>
      <c r="M684" s="230" t="str">
        <f>Table3.110[[#This Row],[CIAT ID]]</f>
        <v>F251767</v>
      </c>
      <c r="N684" s="230">
        <f>Table3.110[[#This Row],[Set CIAT]]</f>
        <v>28</v>
      </c>
      <c r="O684" s="230">
        <f>Table3.110[[#This Row],[Batch]]</f>
        <v>69</v>
      </c>
      <c r="P684" s="230">
        <f>Table3.110[[#This Row],[Run]]</f>
        <v>3</v>
      </c>
      <c r="Q684" s="230">
        <f>Table3.110[[#This Row],[Replication]]</f>
        <v>1</v>
      </c>
      <c r="R684" s="230">
        <f>Table3.110[[#This Row],[Syrange No]]</f>
        <v>93</v>
      </c>
      <c r="S684" s="271">
        <v>0.60429999999999995</v>
      </c>
      <c r="T684" s="271">
        <v>0.91379999999999995</v>
      </c>
      <c r="U684" s="108"/>
      <c r="V684" s="122">
        <f t="shared" si="59"/>
        <v>0.3095</v>
      </c>
      <c r="W684" s="61">
        <f>Table3.110[[#This Row],[DM Incubated, mg]]-('3.2 Digest'!V684*1000)</f>
        <v>156.7771661738268</v>
      </c>
      <c r="X684" s="61">
        <f>W684/Table3.110[[#This Row],[DM Incubated, mg]]*100</f>
        <v>33.623170411776229</v>
      </c>
      <c r="Y684" s="37">
        <f>Table3.1[[#This Row],[DM Incubated, mg]]*'2.4 NDF'!R95/100</f>
        <v>319.3588516135797</v>
      </c>
      <c r="Z684" s="37">
        <f t="shared" si="60"/>
        <v>9.8588516135797022</v>
      </c>
      <c r="AA684" s="37">
        <f t="shared" si="61"/>
        <v>3.0870763605790992</v>
      </c>
      <c r="AB684" s="57"/>
    </row>
    <row r="685" spans="2:28" x14ac:dyDescent="0.35">
      <c r="B685" s="230">
        <f t="shared" si="58"/>
        <v>675</v>
      </c>
      <c r="C685" s="246" t="s">
        <v>697</v>
      </c>
      <c r="D685" s="248">
        <f>Table3.110[[#This Row],[Date]]</f>
        <v>46076</v>
      </c>
      <c r="E685" s="230" t="str">
        <f>Table3.110[[#This Row],[Requisitioner]]</f>
        <v>Genbank</v>
      </c>
      <c r="F685" s="230" t="str">
        <f>Table3.110[[#This Row],[Gene Bank ID]]</f>
        <v>CIAT-21601</v>
      </c>
      <c r="G685" s="230" t="str">
        <f>Table3.110[[#This Row],[Genus]]</f>
        <v>Erythrina</v>
      </c>
      <c r="H685" s="230" t="str">
        <f>Table3.110[[#This Row],[Species]]</f>
        <v>fusca</v>
      </c>
      <c r="I685" s="230" t="str">
        <f>Table3.110[[#This Row],[Tax Name]]</f>
        <v>Erythrina fusca</v>
      </c>
      <c r="J685" s="230" t="str">
        <f>Table3.110[[#This Row],[Family]]</f>
        <v>Fabaceae</v>
      </c>
      <c r="K685" s="230" t="str">
        <f>Table3.110[[#This Row],[Order]]</f>
        <v>Fabales</v>
      </c>
      <c r="L685" s="230" t="str">
        <f>Table3.110[[#This Row],[Functional Group]]</f>
        <v>Tree</v>
      </c>
      <c r="M685" s="230" t="str">
        <f>Table3.110[[#This Row],[CIAT ID]]</f>
        <v>F251767</v>
      </c>
      <c r="N685" s="230">
        <f>Table3.110[[#This Row],[Set CIAT]]</f>
        <v>28</v>
      </c>
      <c r="O685" s="230">
        <f>Table3.110[[#This Row],[Batch]]</f>
        <v>69</v>
      </c>
      <c r="P685" s="230">
        <f>Table3.110[[#This Row],[Run]]</f>
        <v>3</v>
      </c>
      <c r="Q685" s="230">
        <f>Table3.110[[#This Row],[Replication]]</f>
        <v>2</v>
      </c>
      <c r="R685" s="230">
        <f>Table3.110[[#This Row],[Syrange No]]</f>
        <v>94</v>
      </c>
      <c r="S685" s="98">
        <v>0.57289999999999996</v>
      </c>
      <c r="T685" s="98">
        <v>0.89270000000000005</v>
      </c>
      <c r="U685" s="108"/>
      <c r="V685" s="122">
        <f t="shared" si="59"/>
        <v>0.31980000000000008</v>
      </c>
      <c r="W685" s="61">
        <f>Table3.110[[#This Row],[DM Incubated, mg]]-('3.2 Digest'!V685*1000)</f>
        <v>146.38392938794919</v>
      </c>
      <c r="X685" s="61">
        <f>W685/Table3.110[[#This Row],[DM Incubated, mg]]*100</f>
        <v>31.400466674202171</v>
      </c>
      <c r="Y685" s="37">
        <f>Table3.1[[#This Row],[DM Incubated, mg]]*'2.4 NDF'!R95/100</f>
        <v>319.29499261505674</v>
      </c>
      <c r="Z685" s="37">
        <f t="shared" si="60"/>
        <v>-0.50500738494332609</v>
      </c>
      <c r="AA685" s="37">
        <f t="shared" si="61"/>
        <v>-0.15816326488782895</v>
      </c>
      <c r="AB685" s="57"/>
    </row>
    <row r="686" spans="2:28" x14ac:dyDescent="0.35">
      <c r="B686" s="230">
        <f t="shared" si="58"/>
        <v>676</v>
      </c>
      <c r="C686" s="246" t="s">
        <v>697</v>
      </c>
      <c r="D686" s="248">
        <f>Table3.110[[#This Row],[Date]]</f>
        <v>46076</v>
      </c>
      <c r="E686" s="230" t="str">
        <f>Table3.110[[#This Row],[Requisitioner]]</f>
        <v>Genbank</v>
      </c>
      <c r="F686" s="230" t="str">
        <f>Table3.110[[#This Row],[Gene Bank ID]]</f>
        <v>CIAT-21809</v>
      </c>
      <c r="G686" s="230" t="str">
        <f>Table3.110[[#This Row],[Genus]]</f>
        <v>Acacia</v>
      </c>
      <c r="H686" s="230" t="str">
        <f>Table3.110[[#This Row],[Species]]</f>
        <v>farnesiana</v>
      </c>
      <c r="I686" s="230" t="str">
        <f>Table3.110[[#This Row],[Tax Name]]</f>
        <v>Acacia farnesiana</v>
      </c>
      <c r="J686" s="230" t="str">
        <f>Table3.110[[#This Row],[Family]]</f>
        <v>Fabaceae</v>
      </c>
      <c r="K686" s="230" t="str">
        <f>Table3.110[[#This Row],[Order]]</f>
        <v>Fabales</v>
      </c>
      <c r="L686" s="230" t="str">
        <f>Table3.110[[#This Row],[Functional Group]]</f>
        <v>Tree</v>
      </c>
      <c r="M686" s="230" t="str">
        <f>Table3.110[[#This Row],[CIAT ID]]</f>
        <v>F251768</v>
      </c>
      <c r="N686" s="230">
        <f>Table3.110[[#This Row],[Set CIAT]]</f>
        <v>28</v>
      </c>
      <c r="O686" s="230">
        <f>Table3.110[[#This Row],[Batch]]</f>
        <v>69</v>
      </c>
      <c r="P686" s="230">
        <f>Table3.110[[#This Row],[Run]]</f>
        <v>3</v>
      </c>
      <c r="Q686" s="230">
        <f>Table3.110[[#This Row],[Replication]]</f>
        <v>1</v>
      </c>
      <c r="R686" s="230">
        <f>Table3.110[[#This Row],[Syrange No]]</f>
        <v>95</v>
      </c>
      <c r="S686" s="271">
        <v>0.56720000000000004</v>
      </c>
      <c r="T686" s="271">
        <v>0.81779999999999997</v>
      </c>
      <c r="U686" s="108"/>
      <c r="V686" s="122">
        <f t="shared" si="59"/>
        <v>0.25059999999999993</v>
      </c>
      <c r="W686" s="61">
        <f>Table3.110[[#This Row],[DM Incubated, mg]]-('3.2 Digest'!V686*1000)</f>
        <v>222.57368709287218</v>
      </c>
      <c r="X686" s="61">
        <f>W686/Table3.110[[#This Row],[DM Incubated, mg]]*100</f>
        <v>47.038475123234512</v>
      </c>
      <c r="Y686" s="37">
        <f>Table3.1[[#This Row],[DM Incubated, mg]]*'2.4 NDF'!R97/100</f>
        <v>297.35966432787967</v>
      </c>
      <c r="Z686" s="37">
        <f t="shared" si="60"/>
        <v>46.759664327879733</v>
      </c>
      <c r="AA686" s="37">
        <f t="shared" si="61"/>
        <v>15.724951947860962</v>
      </c>
      <c r="AB686" s="57"/>
    </row>
    <row r="687" spans="2:28" x14ac:dyDescent="0.35">
      <c r="B687" s="230">
        <f t="shared" si="58"/>
        <v>677</v>
      </c>
      <c r="C687" s="246" t="s">
        <v>697</v>
      </c>
      <c r="D687" s="248">
        <f>Table3.110[[#This Row],[Date]]</f>
        <v>46076</v>
      </c>
      <c r="E687" s="230" t="str">
        <f>Table3.110[[#This Row],[Requisitioner]]</f>
        <v>Genbank</v>
      </c>
      <c r="F687" s="230" t="str">
        <f>Table3.110[[#This Row],[Gene Bank ID]]</f>
        <v>CIAT-21809</v>
      </c>
      <c r="G687" s="230" t="str">
        <f>Table3.110[[#This Row],[Genus]]</f>
        <v>Acacia</v>
      </c>
      <c r="H687" s="230" t="str">
        <f>Table3.110[[#This Row],[Species]]</f>
        <v>farnesiana</v>
      </c>
      <c r="I687" s="230" t="str">
        <f>Table3.110[[#This Row],[Tax Name]]</f>
        <v>Acacia farnesiana</v>
      </c>
      <c r="J687" s="230" t="str">
        <f>Table3.110[[#This Row],[Family]]</f>
        <v>Fabaceae</v>
      </c>
      <c r="K687" s="230" t="str">
        <f>Table3.110[[#This Row],[Order]]</f>
        <v>Fabales</v>
      </c>
      <c r="L687" s="230" t="str">
        <f>Table3.110[[#This Row],[Functional Group]]</f>
        <v>Tree</v>
      </c>
      <c r="M687" s="230" t="str">
        <f>Table3.110[[#This Row],[CIAT ID]]</f>
        <v>F251768</v>
      </c>
      <c r="N687" s="230">
        <f>Table3.110[[#This Row],[Set CIAT]]</f>
        <v>28</v>
      </c>
      <c r="O687" s="230">
        <f>Table3.110[[#This Row],[Batch]]</f>
        <v>69</v>
      </c>
      <c r="P687" s="230">
        <f>Table3.110[[#This Row],[Run]]</f>
        <v>3</v>
      </c>
      <c r="Q687" s="230">
        <f>Table3.110[[#This Row],[Replication]]</f>
        <v>2</v>
      </c>
      <c r="R687" s="230">
        <f>Table3.110[[#This Row],[Syrange No]]</f>
        <v>96</v>
      </c>
      <c r="S687" s="98">
        <v>0.59240000000000004</v>
      </c>
      <c r="T687" s="98">
        <v>0.87870000000000004</v>
      </c>
      <c r="U687" s="108"/>
      <c r="V687" s="122">
        <f t="shared" si="59"/>
        <v>0.2863</v>
      </c>
      <c r="W687" s="61">
        <f>Table3.110[[#This Row],[DM Incubated, mg]]-('3.2 Digest'!V687*1000)</f>
        <v>186.77907127861636</v>
      </c>
      <c r="X687" s="61">
        <f>W687/Table3.110[[#This Row],[DM Incubated, mg]]*100</f>
        <v>39.481575621977626</v>
      </c>
      <c r="Y687" s="37">
        <f>Table3.1[[#This Row],[DM Incubated, mg]]*'2.4 NDF'!R97/100</f>
        <v>297.30020428702227</v>
      </c>
      <c r="Z687" s="37">
        <f t="shared" si="60"/>
        <v>11.000204287022257</v>
      </c>
      <c r="AA687" s="37">
        <f t="shared" si="61"/>
        <v>3.7000325355990467</v>
      </c>
      <c r="AB687" s="57"/>
    </row>
    <row r="688" spans="2:28" x14ac:dyDescent="0.35">
      <c r="B688" s="230">
        <f t="shared" si="58"/>
        <v>678</v>
      </c>
      <c r="C688" s="246" t="s">
        <v>697</v>
      </c>
      <c r="D688" s="248">
        <f>Table3.110[[#This Row],[Date]]</f>
        <v>46076</v>
      </c>
      <c r="E688" s="230" t="str">
        <f>Table3.110[[#This Row],[Requisitioner]]</f>
        <v>Genbank</v>
      </c>
      <c r="F688" s="230" t="str">
        <f>Table3.110[[#This Row],[Gene Bank ID]]</f>
        <v>CIAT-21810</v>
      </c>
      <c r="G688" s="230" t="str">
        <f>Table3.110[[#This Row],[Genus]]</f>
        <v>Acacia</v>
      </c>
      <c r="H688" s="230" t="str">
        <f>Table3.110[[#This Row],[Species]]</f>
        <v>angustissima</v>
      </c>
      <c r="I688" s="230" t="str">
        <f>Table3.110[[#This Row],[Tax Name]]</f>
        <v>Acacia angustissima</v>
      </c>
      <c r="J688" s="230" t="str">
        <f>Table3.110[[#This Row],[Family]]</f>
        <v>Fabaceae</v>
      </c>
      <c r="K688" s="230" t="str">
        <f>Table3.110[[#This Row],[Order]]</f>
        <v>Fabales</v>
      </c>
      <c r="L688" s="230" t="str">
        <f>Table3.110[[#This Row],[Functional Group]]</f>
        <v>Tree</v>
      </c>
      <c r="M688" s="230" t="str">
        <f>Table3.110[[#This Row],[CIAT ID]]</f>
        <v>F251769</v>
      </c>
      <c r="N688" s="230">
        <f>Table3.110[[#This Row],[Set CIAT]]</f>
        <v>28</v>
      </c>
      <c r="O688" s="230">
        <f>Table3.110[[#This Row],[Batch]]</f>
        <v>69</v>
      </c>
      <c r="P688" s="230">
        <f>Table3.110[[#This Row],[Run]]</f>
        <v>3</v>
      </c>
      <c r="Q688" s="230">
        <f>Table3.110[[#This Row],[Replication]]</f>
        <v>1</v>
      </c>
      <c r="R688" s="230">
        <f>Table3.110[[#This Row],[Syrange No]]</f>
        <v>97</v>
      </c>
      <c r="S688" s="271">
        <v>0.58899999999999997</v>
      </c>
      <c r="T688" s="271">
        <v>0.86299999999999999</v>
      </c>
      <c r="U688" s="108"/>
      <c r="V688" s="122">
        <f t="shared" si="59"/>
        <v>0.27400000000000002</v>
      </c>
      <c r="W688" s="61">
        <f>Table3.110[[#This Row],[DM Incubated, mg]]-('3.2 Digest'!V688*1000)</f>
        <v>200.0288520313469</v>
      </c>
      <c r="X688" s="61">
        <f>W688/Table3.110[[#This Row],[DM Incubated, mg]]*100</f>
        <v>42.197611215892664</v>
      </c>
      <c r="Y688" s="37">
        <f>Table3.1[[#This Row],[DM Incubated, mg]]*'2.4 NDF'!R99/100</f>
        <v>248.23736432231553</v>
      </c>
      <c r="Z688" s="37">
        <f t="shared" si="60"/>
        <v>-25.762635677684472</v>
      </c>
      <c r="AA688" s="37">
        <f t="shared" si="61"/>
        <v>-10.378226399565634</v>
      </c>
      <c r="AB688" s="57"/>
    </row>
    <row r="689" spans="2:28" x14ac:dyDescent="0.35">
      <c r="B689" s="230">
        <f t="shared" si="58"/>
        <v>679</v>
      </c>
      <c r="C689" s="246" t="s">
        <v>697</v>
      </c>
      <c r="D689" s="248">
        <f>Table3.110[[#This Row],[Date]]</f>
        <v>46076</v>
      </c>
      <c r="E689" s="230" t="str">
        <f>Table3.110[[#This Row],[Requisitioner]]</f>
        <v>Genbank</v>
      </c>
      <c r="F689" s="230" t="str">
        <f>Table3.110[[#This Row],[Gene Bank ID]]</f>
        <v>CIAT-21810</v>
      </c>
      <c r="G689" s="230" t="str">
        <f>Table3.110[[#This Row],[Genus]]</f>
        <v>Acacia</v>
      </c>
      <c r="H689" s="230" t="str">
        <f>Table3.110[[#This Row],[Species]]</f>
        <v>angustissima</v>
      </c>
      <c r="I689" s="230" t="str">
        <f>Table3.110[[#This Row],[Tax Name]]</f>
        <v>Acacia angustissima</v>
      </c>
      <c r="J689" s="230" t="str">
        <f>Table3.110[[#This Row],[Family]]</f>
        <v>Fabaceae</v>
      </c>
      <c r="K689" s="230" t="str">
        <f>Table3.110[[#This Row],[Order]]</f>
        <v>Fabales</v>
      </c>
      <c r="L689" s="230" t="str">
        <f>Table3.110[[#This Row],[Functional Group]]</f>
        <v>Tree</v>
      </c>
      <c r="M689" s="230" t="str">
        <f>Table3.110[[#This Row],[CIAT ID]]</f>
        <v>F251769</v>
      </c>
      <c r="N689" s="230">
        <f>Table3.110[[#This Row],[Set CIAT]]</f>
        <v>28</v>
      </c>
      <c r="O689" s="230">
        <f>Table3.110[[#This Row],[Batch]]</f>
        <v>69</v>
      </c>
      <c r="P689" s="230">
        <f>Table3.110[[#This Row],[Run]]</f>
        <v>3</v>
      </c>
      <c r="Q689" s="230">
        <f>Table3.110[[#This Row],[Replication]]</f>
        <v>2</v>
      </c>
      <c r="R689" s="230">
        <f>Table3.110[[#This Row],[Syrange No]]</f>
        <v>98</v>
      </c>
      <c r="S689" s="98">
        <v>0.57320000000000004</v>
      </c>
      <c r="T689" s="98">
        <v>0.8609</v>
      </c>
      <c r="U689" s="108"/>
      <c r="V689" s="122">
        <f t="shared" si="59"/>
        <v>0.28769999999999996</v>
      </c>
      <c r="W689" s="61">
        <f>Table3.110[[#This Row],[DM Incubated, mg]]-('3.2 Digest'!V689*1000)</f>
        <v>186.32885203134697</v>
      </c>
      <c r="X689" s="61">
        <f>W689/Table3.110[[#This Row],[DM Incubated, mg]]*100</f>
        <v>39.307491776687314</v>
      </c>
      <c r="Y689" s="37">
        <f>Table3.1[[#This Row],[DM Incubated, mg]]*'2.4 NDF'!R99/100</f>
        <v>248.23736432231553</v>
      </c>
      <c r="Z689" s="37">
        <f t="shared" si="60"/>
        <v>-39.462635677684403</v>
      </c>
      <c r="AA689" s="37">
        <f t="shared" si="61"/>
        <v>-15.897137719543888</v>
      </c>
      <c r="AB689" s="57"/>
    </row>
    <row r="690" spans="2:28" x14ac:dyDescent="0.35">
      <c r="B690" s="230">
        <f t="shared" si="58"/>
        <v>680</v>
      </c>
      <c r="C690" s="246" t="s">
        <v>697</v>
      </c>
      <c r="D690" s="248">
        <f>Table3.110[[#This Row],[Date]]</f>
        <v>46076</v>
      </c>
      <c r="E690" s="230" t="str">
        <f>Table3.110[[#This Row],[Requisitioner]]</f>
        <v>Genbank</v>
      </c>
      <c r="F690" s="230" t="str">
        <f>Table3.110[[#This Row],[Gene Bank ID]]</f>
        <v>CIAT-21888</v>
      </c>
      <c r="G690" s="230" t="str">
        <f>Table3.110[[#This Row],[Genus]]</f>
        <v>Leucaena</v>
      </c>
      <c r="H690" s="230" t="str">
        <f>Table3.110[[#This Row],[Species]]</f>
        <v>leucocephala</v>
      </c>
      <c r="I690" s="230" t="str">
        <f>Table3.110[[#This Row],[Tax Name]]</f>
        <v>Leucaena leucocephala</v>
      </c>
      <c r="J690" s="230" t="str">
        <f>Table3.110[[#This Row],[Family]]</f>
        <v>Fabaceae</v>
      </c>
      <c r="K690" s="230" t="str">
        <f>Table3.110[[#This Row],[Order]]</f>
        <v>Fabales</v>
      </c>
      <c r="L690" s="230" t="str">
        <f>Table3.110[[#This Row],[Functional Group]]</f>
        <v>Tree</v>
      </c>
      <c r="M690" s="230" t="str">
        <f>Table3.110[[#This Row],[CIAT ID]]</f>
        <v>F251770</v>
      </c>
      <c r="N690" s="230">
        <f>Table3.110[[#This Row],[Set CIAT]]</f>
        <v>28</v>
      </c>
      <c r="O690" s="230">
        <f>Table3.110[[#This Row],[Batch]]</f>
        <v>69</v>
      </c>
      <c r="P690" s="230">
        <f>Table3.110[[#This Row],[Run]]</f>
        <v>3</v>
      </c>
      <c r="Q690" s="230">
        <f>Table3.110[[#This Row],[Replication]]</f>
        <v>1</v>
      </c>
      <c r="R690" s="230">
        <f>Table3.110[[#This Row],[Syrange No]]</f>
        <v>99</v>
      </c>
      <c r="S690" s="271">
        <v>0.58020000000000005</v>
      </c>
      <c r="T690" s="271">
        <v>0.80579999999999996</v>
      </c>
      <c r="U690" s="108"/>
      <c r="V690" s="122">
        <f t="shared" si="59"/>
        <v>0.22559999999999991</v>
      </c>
      <c r="W690" s="61">
        <f>Table3.110[[#This Row],[DM Incubated, mg]]-('3.2 Digest'!V690*1000)</f>
        <v>243.12341797460761</v>
      </c>
      <c r="X690" s="61">
        <f>W690/Table3.110[[#This Row],[DM Incubated, mg]]*100</f>
        <v>51.86927058715434</v>
      </c>
      <c r="Y690" s="37">
        <f>Table3.1[[#This Row],[DM Incubated, mg]]*'2.4 NDF'!R101/100</f>
        <v>265.60681065483283</v>
      </c>
      <c r="Z690" s="37">
        <f t="shared" si="60"/>
        <v>40.006810654832918</v>
      </c>
      <c r="AA690" s="37">
        <f t="shared" si="61"/>
        <v>15.062418977961919</v>
      </c>
      <c r="AB690" s="57"/>
    </row>
    <row r="691" spans="2:28" x14ac:dyDescent="0.35">
      <c r="B691" s="230">
        <f t="shared" si="58"/>
        <v>681</v>
      </c>
      <c r="C691" s="246" t="s">
        <v>697</v>
      </c>
      <c r="D691" s="248">
        <f>Table3.110[[#This Row],[Date]]</f>
        <v>46076</v>
      </c>
      <c r="E691" s="230" t="str">
        <f>Table3.110[[#This Row],[Requisitioner]]</f>
        <v>Genbank</v>
      </c>
      <c r="F691" s="230" t="str">
        <f>Table3.110[[#This Row],[Gene Bank ID]]</f>
        <v>CIAT-21888</v>
      </c>
      <c r="G691" s="230" t="str">
        <f>Table3.110[[#This Row],[Genus]]</f>
        <v>Leucaena</v>
      </c>
      <c r="H691" s="230" t="str">
        <f>Table3.110[[#This Row],[Species]]</f>
        <v>leucocephala</v>
      </c>
      <c r="I691" s="230" t="str">
        <f>Table3.110[[#This Row],[Tax Name]]</f>
        <v>Leucaena leucocephala</v>
      </c>
      <c r="J691" s="230" t="str">
        <f>Table3.110[[#This Row],[Family]]</f>
        <v>Fabaceae</v>
      </c>
      <c r="K691" s="230" t="str">
        <f>Table3.110[[#This Row],[Order]]</f>
        <v>Fabales</v>
      </c>
      <c r="L691" s="230" t="str">
        <f>Table3.110[[#This Row],[Functional Group]]</f>
        <v>Tree</v>
      </c>
      <c r="M691" s="230" t="str">
        <f>Table3.110[[#This Row],[CIAT ID]]</f>
        <v>F251770</v>
      </c>
      <c r="N691" s="230">
        <f>Table3.110[[#This Row],[Set CIAT]]</f>
        <v>28</v>
      </c>
      <c r="O691" s="230">
        <f>Table3.110[[#This Row],[Batch]]</f>
        <v>69</v>
      </c>
      <c r="P691" s="230">
        <f>Table3.110[[#This Row],[Run]]</f>
        <v>3</v>
      </c>
      <c r="Q691" s="230">
        <f>Table3.110[[#This Row],[Replication]]</f>
        <v>2</v>
      </c>
      <c r="R691" s="230">
        <f>Table3.110[[#This Row],[Syrange No]]</f>
        <v>100</v>
      </c>
      <c r="S691" s="98">
        <v>0.57550000000000001</v>
      </c>
      <c r="T691" s="98">
        <v>0.77280000000000004</v>
      </c>
      <c r="U691" s="108"/>
      <c r="V691" s="122">
        <f t="shared" si="59"/>
        <v>0.19730000000000003</v>
      </c>
      <c r="W691" s="61">
        <f>Table3.110[[#This Row],[DM Incubated, mg]]-('3.2 Digest'!V691*1000)</f>
        <v>271.23600357317832</v>
      </c>
      <c r="X691" s="61">
        <f>W691/Table3.110[[#This Row],[DM Incubated, mg]]*100</f>
        <v>57.890109085462271</v>
      </c>
      <c r="Y691" s="37">
        <f>Table3.1[[#This Row],[DM Incubated, mg]]*'2.4 NDF'!R101/100</f>
        <v>265.50061041066857</v>
      </c>
      <c r="Z691" s="37">
        <f t="shared" si="60"/>
        <v>68.200610410668531</v>
      </c>
      <c r="AA691" s="37">
        <f t="shared" si="61"/>
        <v>25.687553149191565</v>
      </c>
      <c r="AB691" s="57"/>
    </row>
    <row r="692" spans="2:28" x14ac:dyDescent="0.35">
      <c r="B692" s="230">
        <f t="shared" si="58"/>
        <v>682</v>
      </c>
      <c r="C692" s="246" t="s">
        <v>697</v>
      </c>
      <c r="D692" s="248">
        <f>Table3.110[[#This Row],[Date]]</f>
        <v>46076</v>
      </c>
      <c r="E692" s="230" t="str">
        <f>Table3.110[[#This Row],[Requisitioner]]</f>
        <v>Genbank</v>
      </c>
      <c r="F692" s="230" t="str">
        <f>Table3.110[[#This Row],[Gene Bank ID]]</f>
        <v>CIAT-22310</v>
      </c>
      <c r="G692" s="230" t="str">
        <f>Table3.110[[#This Row],[Genus]]</f>
        <v>Calliandra</v>
      </c>
      <c r="H692" s="230" t="str">
        <f>Table3.110[[#This Row],[Species]]</f>
        <v>calothyrsus</v>
      </c>
      <c r="I692" s="230" t="str">
        <f>Table3.110[[#This Row],[Tax Name]]</f>
        <v>Calliandra calothyrsus</v>
      </c>
      <c r="J692" s="230" t="str">
        <f>Table3.110[[#This Row],[Family]]</f>
        <v>Fabaceae</v>
      </c>
      <c r="K692" s="230" t="str">
        <f>Table3.110[[#This Row],[Order]]</f>
        <v>Fabales</v>
      </c>
      <c r="L692" s="230" t="str">
        <f>Table3.110[[#This Row],[Functional Group]]</f>
        <v>Tree</v>
      </c>
      <c r="M692" s="230" t="str">
        <f>Table3.110[[#This Row],[CIAT ID]]</f>
        <v>F251771</v>
      </c>
      <c r="N692" s="230">
        <f>Table3.110[[#This Row],[Set CIAT]]</f>
        <v>28</v>
      </c>
      <c r="O692" s="230">
        <f>Table3.110[[#This Row],[Batch]]</f>
        <v>69</v>
      </c>
      <c r="P692" s="230">
        <f>Table3.110[[#This Row],[Run]]</f>
        <v>3</v>
      </c>
      <c r="Q692" s="230">
        <f>Table3.110[[#This Row],[Replication]]</f>
        <v>1</v>
      </c>
      <c r="R692" s="230">
        <f>Table3.110[[#This Row],[Syrange No]]</f>
        <v>101</v>
      </c>
      <c r="S692" s="271">
        <v>0.57799999999999996</v>
      </c>
      <c r="T692" s="271">
        <v>0.90769999999999995</v>
      </c>
      <c r="U692" s="108"/>
      <c r="V692" s="122">
        <f t="shared" si="59"/>
        <v>0.32969999999999999</v>
      </c>
      <c r="W692" s="61">
        <f>Table3.110[[#This Row],[DM Incubated, mg]]-('3.2 Digest'!V692*1000)</f>
        <v>144.88713101979579</v>
      </c>
      <c r="X692" s="61">
        <f>W692/Table3.110[[#This Row],[DM Incubated, mg]]*100</f>
        <v>30.529089718143311</v>
      </c>
      <c r="Y692" s="37">
        <f>Table3.1[[#This Row],[DM Incubated, mg]]*'2.4 NDF'!R103/100</f>
        <v>261.03270967869952</v>
      </c>
      <c r="Z692" s="37">
        <f t="shared" si="60"/>
        <v>-68.66729032130047</v>
      </c>
      <c r="AA692" s="37">
        <f t="shared" si="61"/>
        <v>-26.30600985057459</v>
      </c>
      <c r="AB692" s="57"/>
    </row>
    <row r="693" spans="2:28" x14ac:dyDescent="0.35">
      <c r="B693" s="230">
        <f t="shared" si="58"/>
        <v>683</v>
      </c>
      <c r="C693" s="246" t="s">
        <v>697</v>
      </c>
      <c r="D693" s="248">
        <f>Table3.110[[#This Row],[Date]]</f>
        <v>46076</v>
      </c>
      <c r="E693" s="230" t="str">
        <f>Table3.110[[#This Row],[Requisitioner]]</f>
        <v>Genbank</v>
      </c>
      <c r="F693" s="230" t="str">
        <f>Table3.110[[#This Row],[Gene Bank ID]]</f>
        <v>CIAT-22310</v>
      </c>
      <c r="G693" s="230" t="str">
        <f>Table3.110[[#This Row],[Genus]]</f>
        <v>Calliandra</v>
      </c>
      <c r="H693" s="230" t="str">
        <f>Table3.110[[#This Row],[Species]]</f>
        <v>calothyrsus</v>
      </c>
      <c r="I693" s="230" t="str">
        <f>Table3.110[[#This Row],[Tax Name]]</f>
        <v>Calliandra calothyrsus</v>
      </c>
      <c r="J693" s="230" t="str">
        <f>Table3.110[[#This Row],[Family]]</f>
        <v>Fabaceae</v>
      </c>
      <c r="K693" s="230" t="str">
        <f>Table3.110[[#This Row],[Order]]</f>
        <v>Fabales</v>
      </c>
      <c r="L693" s="230" t="str">
        <f>Table3.110[[#This Row],[Functional Group]]</f>
        <v>Tree</v>
      </c>
      <c r="M693" s="230" t="str">
        <f>Table3.110[[#This Row],[CIAT ID]]</f>
        <v>F251771</v>
      </c>
      <c r="N693" s="230">
        <f>Table3.110[[#This Row],[Set CIAT]]</f>
        <v>28</v>
      </c>
      <c r="O693" s="230">
        <f>Table3.110[[#This Row],[Batch]]</f>
        <v>69</v>
      </c>
      <c r="P693" s="230">
        <f>Table3.110[[#This Row],[Run]]</f>
        <v>3</v>
      </c>
      <c r="Q693" s="230">
        <f>Table3.110[[#This Row],[Replication]]</f>
        <v>2</v>
      </c>
      <c r="R693" s="230">
        <f>Table3.110[[#This Row],[Syrange No]]</f>
        <v>102</v>
      </c>
      <c r="S693" s="98">
        <v>0.56840000000000002</v>
      </c>
      <c r="T693" s="98">
        <v>0.94610000000000005</v>
      </c>
      <c r="U693" s="108"/>
      <c r="V693" s="122">
        <f t="shared" si="59"/>
        <v>0.37770000000000004</v>
      </c>
      <c r="W693" s="61">
        <f>Table3.110[[#This Row],[DM Incubated, mg]]-('3.2 Digest'!V693*1000)</f>
        <v>96.602549490101694</v>
      </c>
      <c r="X693" s="61">
        <f>W693/Table3.110[[#This Row],[DM Incubated, mg]]*100</f>
        <v>20.367284467257054</v>
      </c>
      <c r="Y693" s="37">
        <f>Table3.1[[#This Row],[DM Incubated, mg]]*'2.4 NDF'!R103/100</f>
        <v>260.87618396831857</v>
      </c>
      <c r="Z693" s="37">
        <f t="shared" si="60"/>
        <v>-116.82381603168147</v>
      </c>
      <c r="AA693" s="37">
        <f t="shared" si="61"/>
        <v>-44.78132662576391</v>
      </c>
      <c r="AB693" s="57"/>
    </row>
    <row r="694" spans="2:28" x14ac:dyDescent="0.35">
      <c r="B694" s="230">
        <f t="shared" si="58"/>
        <v>684</v>
      </c>
      <c r="C694" s="246" t="s">
        <v>697</v>
      </c>
      <c r="D694" s="248">
        <f>Table3.110[[#This Row],[Date]]</f>
        <v>46076</v>
      </c>
      <c r="E694" s="230" t="str">
        <f>Table3.110[[#This Row],[Requisitioner]]</f>
        <v>Genbank</v>
      </c>
      <c r="F694" s="230" t="str">
        <f>Table3.110[[#This Row],[Gene Bank ID]]</f>
        <v>CIAT-22311</v>
      </c>
      <c r="G694" s="230" t="str">
        <f>Table3.110[[#This Row],[Genus]]</f>
        <v>Calliandra</v>
      </c>
      <c r="H694" s="230" t="str">
        <f>Table3.110[[#This Row],[Species]]</f>
        <v>calothyrsus</v>
      </c>
      <c r="I694" s="230" t="str">
        <f>Table3.110[[#This Row],[Tax Name]]</f>
        <v>Calliandra calothyrsus</v>
      </c>
      <c r="J694" s="230" t="str">
        <f>Table3.110[[#This Row],[Family]]</f>
        <v>Fabaceae</v>
      </c>
      <c r="K694" s="230" t="str">
        <f>Table3.110[[#This Row],[Order]]</f>
        <v>Fabales</v>
      </c>
      <c r="L694" s="230" t="str">
        <f>Table3.110[[#This Row],[Functional Group]]</f>
        <v>Tree</v>
      </c>
      <c r="M694" s="230" t="str">
        <f>Table3.110[[#This Row],[CIAT ID]]</f>
        <v>F251772</v>
      </c>
      <c r="N694" s="230">
        <f>Table3.110[[#This Row],[Set CIAT]]</f>
        <v>28</v>
      </c>
      <c r="O694" s="230">
        <f>Table3.110[[#This Row],[Batch]]</f>
        <v>69</v>
      </c>
      <c r="P694" s="230">
        <f>Table3.110[[#This Row],[Run]]</f>
        <v>3</v>
      </c>
      <c r="Q694" s="230">
        <f>Table3.110[[#This Row],[Replication]]</f>
        <v>1</v>
      </c>
      <c r="R694" s="230">
        <f>Table3.110[[#This Row],[Syrange No]]</f>
        <v>103</v>
      </c>
      <c r="S694" s="271">
        <v>0.57530000000000003</v>
      </c>
      <c r="T694" s="271">
        <v>1.0061</v>
      </c>
      <c r="U694" s="108"/>
      <c r="V694" s="122">
        <f t="shared" si="59"/>
        <v>0.43079999999999996</v>
      </c>
      <c r="W694" s="61">
        <f>Table3.110[[#This Row],[DM Incubated, mg]]-('3.2 Digest'!V694*1000)</f>
        <v>38.867438256174353</v>
      </c>
      <c r="X694" s="61">
        <f>W694/Table3.110[[#This Row],[DM Incubated, mg]]*100</f>
        <v>8.2755232937767733</v>
      </c>
      <c r="Y694" s="37">
        <f>Table3.1[[#This Row],[DM Incubated, mg]]*'2.4 NDF'!R105/100</f>
        <v>257.98642701848371</v>
      </c>
      <c r="Z694" s="37">
        <f t="shared" si="60"/>
        <v>-172.81357298151624</v>
      </c>
      <c r="AA694" s="37">
        <f t="shared" si="61"/>
        <v>-66.985529036818221</v>
      </c>
      <c r="AB694" s="57"/>
    </row>
    <row r="695" spans="2:28" x14ac:dyDescent="0.35">
      <c r="B695" s="230">
        <f t="shared" si="58"/>
        <v>685</v>
      </c>
      <c r="C695" s="246" t="s">
        <v>697</v>
      </c>
      <c r="D695" s="248">
        <f>Table3.110[[#This Row],[Date]]</f>
        <v>46076</v>
      </c>
      <c r="E695" s="230" t="str">
        <f>Table3.110[[#This Row],[Requisitioner]]</f>
        <v>Genbank</v>
      </c>
      <c r="F695" s="230" t="str">
        <f>Table3.110[[#This Row],[Gene Bank ID]]</f>
        <v>CIAT-22311</v>
      </c>
      <c r="G695" s="230" t="str">
        <f>Table3.110[[#This Row],[Genus]]</f>
        <v>Calliandra</v>
      </c>
      <c r="H695" s="230" t="str">
        <f>Table3.110[[#This Row],[Species]]</f>
        <v>calothyrsus</v>
      </c>
      <c r="I695" s="230" t="str">
        <f>Table3.110[[#This Row],[Tax Name]]</f>
        <v>Calliandra calothyrsus</v>
      </c>
      <c r="J695" s="230" t="str">
        <f>Table3.110[[#This Row],[Family]]</f>
        <v>Fabaceae</v>
      </c>
      <c r="K695" s="230" t="str">
        <f>Table3.110[[#This Row],[Order]]</f>
        <v>Fabales</v>
      </c>
      <c r="L695" s="230" t="str">
        <f>Table3.110[[#This Row],[Functional Group]]</f>
        <v>Tree</v>
      </c>
      <c r="M695" s="230" t="str">
        <f>Table3.110[[#This Row],[CIAT ID]]</f>
        <v>F251772</v>
      </c>
      <c r="N695" s="230">
        <f>Table3.110[[#This Row],[Set CIAT]]</f>
        <v>28</v>
      </c>
      <c r="O695" s="230">
        <f>Table3.110[[#This Row],[Batch]]</f>
        <v>69</v>
      </c>
      <c r="P695" s="230">
        <f>Table3.110[[#This Row],[Run]]</f>
        <v>3</v>
      </c>
      <c r="Q695" s="230">
        <f>Table3.110[[#This Row],[Replication]]</f>
        <v>2</v>
      </c>
      <c r="R695" s="230">
        <f>Table3.110[[#This Row],[Syrange No]]</f>
        <v>104</v>
      </c>
      <c r="S695" s="98">
        <v>0.5645</v>
      </c>
      <c r="T695" s="98">
        <v>0.8891</v>
      </c>
      <c r="U695" s="108"/>
      <c r="V695" s="122">
        <f t="shared" si="59"/>
        <v>0.3246</v>
      </c>
      <c r="W695" s="61">
        <f>Table3.110[[#This Row],[DM Incubated, mg]]-('3.2 Digest'!V695*1000)</f>
        <v>144.78580677211102</v>
      </c>
      <c r="X695" s="61">
        <f>W695/Table3.110[[#This Row],[DM Incubated, mg]]*100</f>
        <v>30.845799911969895</v>
      </c>
      <c r="Y695" s="37">
        <f>Table3.1[[#This Row],[DM Incubated, mg]]*'2.4 NDF'!R105/100</f>
        <v>257.83172798169471</v>
      </c>
      <c r="Z695" s="37">
        <f t="shared" si="60"/>
        <v>-66.768272018305311</v>
      </c>
      <c r="AA695" s="37">
        <f t="shared" si="61"/>
        <v>-25.896065058000023</v>
      </c>
      <c r="AB695" s="57"/>
    </row>
    <row r="696" spans="2:28" x14ac:dyDescent="0.35">
      <c r="B696" s="230">
        <f t="shared" si="58"/>
        <v>686</v>
      </c>
      <c r="C696" s="246" t="s">
        <v>697</v>
      </c>
      <c r="D696" s="248">
        <f>Table3.110[[#This Row],[Date]]</f>
        <v>46076</v>
      </c>
      <c r="E696" s="230" t="str">
        <f>Table3.110[[#This Row],[Requisitioner]]</f>
        <v>Genbank</v>
      </c>
      <c r="F696" s="230" t="str">
        <f>Table3.110[[#This Row],[Gene Bank ID]]</f>
        <v>CIAT-22316</v>
      </c>
      <c r="G696" s="230" t="str">
        <f>Table3.110[[#This Row],[Genus]]</f>
        <v>Calliandra</v>
      </c>
      <c r="H696" s="230" t="str">
        <f>Table3.110[[#This Row],[Species]]</f>
        <v>calothyrsus</v>
      </c>
      <c r="I696" s="230" t="str">
        <f>Table3.110[[#This Row],[Tax Name]]</f>
        <v>Calliandra calothyrsus</v>
      </c>
      <c r="J696" s="230" t="str">
        <f>Table3.110[[#This Row],[Family]]</f>
        <v>Fabaceae</v>
      </c>
      <c r="K696" s="230" t="str">
        <f>Table3.110[[#This Row],[Order]]</f>
        <v>Fabales</v>
      </c>
      <c r="L696" s="230" t="str">
        <f>Table3.110[[#This Row],[Functional Group]]</f>
        <v>Tree</v>
      </c>
      <c r="M696" s="230" t="str">
        <f>Table3.110[[#This Row],[CIAT ID]]</f>
        <v>F251773</v>
      </c>
      <c r="N696" s="230">
        <f>Table3.110[[#This Row],[Set CIAT]]</f>
        <v>28</v>
      </c>
      <c r="O696" s="230">
        <f>Table3.110[[#This Row],[Batch]]</f>
        <v>69</v>
      </c>
      <c r="P696" s="230">
        <f>Table3.110[[#This Row],[Run]]</f>
        <v>3</v>
      </c>
      <c r="Q696" s="230">
        <f>Table3.110[[#This Row],[Replication]]</f>
        <v>1</v>
      </c>
      <c r="R696" s="230">
        <f>Table3.110[[#This Row],[Syrange No]]</f>
        <v>105</v>
      </c>
      <c r="S696" s="271">
        <v>0.56940000000000002</v>
      </c>
      <c r="T696" s="271">
        <v>1.0162</v>
      </c>
      <c r="U696" s="108"/>
      <c r="V696" s="122">
        <f t="shared" si="59"/>
        <v>0.44679999999999997</v>
      </c>
      <c r="W696" s="61">
        <f>Table3.110[[#This Row],[DM Incubated, mg]]-('3.2 Digest'!V696*1000)</f>
        <v>30.779496374065843</v>
      </c>
      <c r="X696" s="61">
        <f>W696/Table3.110[[#This Row],[DM Incubated, mg]]*100</f>
        <v>6.4448948515908846</v>
      </c>
      <c r="Y696" s="37">
        <f>Table3.1[[#This Row],[DM Incubated, mg]]*'2.4 NDF'!R107/100</f>
        <v>259.59567299088934</v>
      </c>
      <c r="Z696" s="37">
        <f t="shared" si="60"/>
        <v>-187.20432700911061</v>
      </c>
      <c r="AA696" s="37">
        <f t="shared" si="61"/>
        <v>-72.113808698067416</v>
      </c>
      <c r="AB696" s="57"/>
    </row>
    <row r="697" spans="2:28" x14ac:dyDescent="0.35">
      <c r="B697" s="230">
        <f t="shared" si="58"/>
        <v>687</v>
      </c>
      <c r="C697" s="246" t="s">
        <v>697</v>
      </c>
      <c r="D697" s="248">
        <f>Table3.110[[#This Row],[Date]]</f>
        <v>46076</v>
      </c>
      <c r="E697" s="230" t="str">
        <f>Table3.110[[#This Row],[Requisitioner]]</f>
        <v>Genbank</v>
      </c>
      <c r="F697" s="230" t="str">
        <f>Table3.110[[#This Row],[Gene Bank ID]]</f>
        <v>CIAT-22316</v>
      </c>
      <c r="G697" s="230" t="str">
        <f>Table3.110[[#This Row],[Genus]]</f>
        <v>Calliandra</v>
      </c>
      <c r="H697" s="230" t="str">
        <f>Table3.110[[#This Row],[Species]]</f>
        <v>calothyrsus</v>
      </c>
      <c r="I697" s="230" t="str">
        <f>Table3.110[[#This Row],[Tax Name]]</f>
        <v>Calliandra calothyrsus</v>
      </c>
      <c r="J697" s="230" t="str">
        <f>Table3.110[[#This Row],[Family]]</f>
        <v>Fabaceae</v>
      </c>
      <c r="K697" s="230" t="str">
        <f>Table3.110[[#This Row],[Order]]</f>
        <v>Fabales</v>
      </c>
      <c r="L697" s="230" t="str">
        <f>Table3.110[[#This Row],[Functional Group]]</f>
        <v>Tree</v>
      </c>
      <c r="M697" s="230" t="str">
        <f>Table3.110[[#This Row],[CIAT ID]]</f>
        <v>F251773</v>
      </c>
      <c r="N697" s="230">
        <f>Table3.110[[#This Row],[Set CIAT]]</f>
        <v>28</v>
      </c>
      <c r="O697" s="230">
        <f>Table3.110[[#This Row],[Batch]]</f>
        <v>69</v>
      </c>
      <c r="P697" s="230">
        <f>Table3.110[[#This Row],[Run]]</f>
        <v>3</v>
      </c>
      <c r="Q697" s="230">
        <f>Table3.110[[#This Row],[Replication]]</f>
        <v>2</v>
      </c>
      <c r="R697" s="230">
        <f>Table3.110[[#This Row],[Syrange No]]</f>
        <v>106</v>
      </c>
      <c r="S697" s="98">
        <v>0.59460000000000002</v>
      </c>
      <c r="T697" s="98">
        <v>0.92490000000000006</v>
      </c>
      <c r="U697" s="108"/>
      <c r="V697" s="122">
        <f t="shared" si="59"/>
        <v>0.33030000000000004</v>
      </c>
      <c r="W697" s="61">
        <f>Table3.110[[#This Row],[DM Incubated, mg]]-('3.2 Digest'!V697*1000)</f>
        <v>147.56604407189025</v>
      </c>
      <c r="X697" s="61">
        <f>W697/Table3.110[[#This Row],[DM Incubated, mg]]*100</f>
        <v>30.880211285673688</v>
      </c>
      <c r="Y697" s="37">
        <f>Table3.1[[#This Row],[DM Incubated, mg]]*'2.4 NDF'!R107/100</f>
        <v>259.75143039468389</v>
      </c>
      <c r="Z697" s="37">
        <f t="shared" si="60"/>
        <v>-70.548569605316118</v>
      </c>
      <c r="AA697" s="37">
        <f t="shared" si="61"/>
        <v>-27.160031226053249</v>
      </c>
      <c r="AB697" s="57"/>
    </row>
    <row r="698" spans="2:28" x14ac:dyDescent="0.35">
      <c r="B698" s="230">
        <f t="shared" si="58"/>
        <v>688</v>
      </c>
      <c r="C698" s="246" t="s">
        <v>697</v>
      </c>
      <c r="D698" s="248">
        <f>Table3.110[[#This Row],[Date]]</f>
        <v>46076</v>
      </c>
      <c r="E698" s="230" t="str">
        <f>Table3.110[[#This Row],[Requisitioner]]</f>
        <v>Genbank</v>
      </c>
      <c r="F698" s="230" t="str">
        <f>Table3.110[[#This Row],[Gene Bank ID]]</f>
        <v>CIAT-23239</v>
      </c>
      <c r="G698" s="230" t="str">
        <f>Table3.110[[#This Row],[Genus]]</f>
        <v>Dendrolobium</v>
      </c>
      <c r="H698" s="230" t="str">
        <f>Table3.110[[#This Row],[Species]]</f>
        <v>triangulare</v>
      </c>
      <c r="I698" s="230" t="str">
        <f>Table3.110[[#This Row],[Tax Name]]</f>
        <v>Dendrolobium triangulare</v>
      </c>
      <c r="J698" s="230" t="str">
        <f>Table3.110[[#This Row],[Family]]</f>
        <v>Fabaceae</v>
      </c>
      <c r="K698" s="230" t="str">
        <f>Table3.110[[#This Row],[Order]]</f>
        <v>Fabales</v>
      </c>
      <c r="L698" s="230" t="str">
        <f>Table3.110[[#This Row],[Functional Group]]</f>
        <v>Tree</v>
      </c>
      <c r="M698" s="230" t="str">
        <f>Table3.110[[#This Row],[CIAT ID]]</f>
        <v>F251774</v>
      </c>
      <c r="N698" s="230">
        <f>Table3.110[[#This Row],[Set CIAT]]</f>
        <v>28</v>
      </c>
      <c r="O698" s="230">
        <f>Table3.110[[#This Row],[Batch]]</f>
        <v>69</v>
      </c>
      <c r="P698" s="230">
        <f>Table3.110[[#This Row],[Run]]</f>
        <v>3</v>
      </c>
      <c r="Q698" s="230">
        <f>Table3.110[[#This Row],[Replication]]</f>
        <v>1</v>
      </c>
      <c r="R698" s="230">
        <f>Table3.110[[#This Row],[Syrange No]]</f>
        <v>107</v>
      </c>
      <c r="S698" s="271">
        <v>0.54290000000000005</v>
      </c>
      <c r="T698" s="271">
        <v>0.90039999999999998</v>
      </c>
      <c r="U698" s="108" t="s">
        <v>584</v>
      </c>
      <c r="V698" s="122">
        <f t="shared" si="59"/>
        <v>0.35749999999999993</v>
      </c>
      <c r="W698" s="61">
        <f>Table3.110[[#This Row],[DM Incubated, mg]]-('3.2 Digest'!V698*1000)</f>
        <v>122.06670894991873</v>
      </c>
      <c r="X698" s="61">
        <f>W698/Table3.110[[#This Row],[DM Incubated, mg]]*100</f>
        <v>25.453541013554009</v>
      </c>
      <c r="Y698" s="37">
        <f>Table3.1[[#This Row],[DM Incubated, mg]]*'2.4 NDF'!R109/100</f>
        <v>312.64556100826297</v>
      </c>
      <c r="Z698" s="37">
        <f t="shared" si="60"/>
        <v>-44.85443899173697</v>
      </c>
      <c r="AA698" s="37">
        <f t="shared" si="61"/>
        <v>-14.346737835357112</v>
      </c>
      <c r="AB698" s="57"/>
    </row>
    <row r="699" spans="2:28" x14ac:dyDescent="0.35">
      <c r="B699" s="230">
        <f t="shared" si="58"/>
        <v>689</v>
      </c>
      <c r="C699" s="246" t="s">
        <v>697</v>
      </c>
      <c r="D699" s="248">
        <f>Table3.110[[#This Row],[Date]]</f>
        <v>46076</v>
      </c>
      <c r="E699" s="230" t="str">
        <f>Table3.110[[#This Row],[Requisitioner]]</f>
        <v>Genbank</v>
      </c>
      <c r="F699" s="230" t="str">
        <f>Table3.110[[#This Row],[Gene Bank ID]]</f>
        <v>CIAT-23239</v>
      </c>
      <c r="G699" s="230" t="str">
        <f>Table3.110[[#This Row],[Genus]]</f>
        <v>Dendrolobium</v>
      </c>
      <c r="H699" s="230" t="str">
        <f>Table3.110[[#This Row],[Species]]</f>
        <v>triangulare</v>
      </c>
      <c r="I699" s="230" t="str">
        <f>Table3.110[[#This Row],[Tax Name]]</f>
        <v>Dendrolobium triangulare</v>
      </c>
      <c r="J699" s="230" t="str">
        <f>Table3.110[[#This Row],[Family]]</f>
        <v>Fabaceae</v>
      </c>
      <c r="K699" s="230" t="str">
        <f>Table3.110[[#This Row],[Order]]</f>
        <v>Fabales</v>
      </c>
      <c r="L699" s="230" t="str">
        <f>Table3.110[[#This Row],[Functional Group]]</f>
        <v>Tree</v>
      </c>
      <c r="M699" s="230" t="str">
        <f>Table3.110[[#This Row],[CIAT ID]]</f>
        <v>F251774</v>
      </c>
      <c r="N699" s="230">
        <f>Table3.110[[#This Row],[Set CIAT]]</f>
        <v>28</v>
      </c>
      <c r="O699" s="230">
        <f>Table3.110[[#This Row],[Batch]]</f>
        <v>69</v>
      </c>
      <c r="P699" s="230">
        <f>Table3.110[[#This Row],[Run]]</f>
        <v>3</v>
      </c>
      <c r="Q699" s="230">
        <f>Table3.110[[#This Row],[Replication]]</f>
        <v>2</v>
      </c>
      <c r="R699" s="230">
        <f>Table3.110[[#This Row],[Syrange No]]</f>
        <v>108</v>
      </c>
      <c r="S699" s="98">
        <v>0.54879999999999995</v>
      </c>
      <c r="T699" s="98">
        <v>1.0387999999999999</v>
      </c>
      <c r="U699" s="108"/>
      <c r="V699" s="122">
        <f t="shared" si="59"/>
        <v>0.49</v>
      </c>
      <c r="W699" s="61"/>
      <c r="X699" s="61"/>
      <c r="Y699" s="37">
        <f>Table3.1[[#This Row],[DM Incubated, mg]]*'2.4 NDF'!R109/100</f>
        <v>312.52057777380037</v>
      </c>
      <c r="Z699" s="37">
        <f t="shared" si="60"/>
        <v>-177.47942222619963</v>
      </c>
      <c r="AA699" s="37">
        <f t="shared" si="61"/>
        <v>-56.789675576069641</v>
      </c>
      <c r="AB699" s="57"/>
    </row>
    <row r="700" spans="2:28" x14ac:dyDescent="0.35">
      <c r="B700" s="230">
        <f t="shared" si="58"/>
        <v>690</v>
      </c>
      <c r="C700" s="246" t="s">
        <v>697</v>
      </c>
      <c r="D700" s="248">
        <f>Table3.110[[#This Row],[Date]]</f>
        <v>46076</v>
      </c>
      <c r="E700" s="230" t="str">
        <f>Table3.110[[#This Row],[Requisitioner]]</f>
        <v>Genbank</v>
      </c>
      <c r="F700" s="230" t="str">
        <f>Table3.110[[#This Row],[Gene Bank ID]]</f>
        <v>CIAT-33116</v>
      </c>
      <c r="G700" s="230" t="str">
        <f>Table3.110[[#This Row],[Genus]]</f>
        <v>Dendrolobium</v>
      </c>
      <c r="H700" s="230" t="str">
        <f>Table3.110[[#This Row],[Species]]</f>
        <v>triangulare</v>
      </c>
      <c r="I700" s="230" t="str">
        <f>Table3.110[[#This Row],[Tax Name]]</f>
        <v>Dendrolobium triangulare</v>
      </c>
      <c r="J700" s="230" t="str">
        <f>Table3.110[[#This Row],[Family]]</f>
        <v>Fabaceae</v>
      </c>
      <c r="K700" s="230" t="str">
        <f>Table3.110[[#This Row],[Order]]</f>
        <v>Fabales</v>
      </c>
      <c r="L700" s="230" t="str">
        <f>Table3.110[[#This Row],[Functional Group]]</f>
        <v>Tree</v>
      </c>
      <c r="M700" s="230" t="str">
        <f>Table3.110[[#This Row],[CIAT ID]]</f>
        <v>F251775</v>
      </c>
      <c r="N700" s="230">
        <f>Table3.110[[#This Row],[Set CIAT]]</f>
        <v>28</v>
      </c>
      <c r="O700" s="230">
        <f>Table3.110[[#This Row],[Batch]]</f>
        <v>69</v>
      </c>
      <c r="P700" s="230">
        <f>Table3.110[[#This Row],[Run]]</f>
        <v>3</v>
      </c>
      <c r="Q700" s="230">
        <f>Table3.110[[#This Row],[Replication]]</f>
        <v>1</v>
      </c>
      <c r="R700" s="230">
        <f>Table3.110[[#This Row],[Syrange No]]</f>
        <v>109</v>
      </c>
      <c r="S700" s="271">
        <v>0.5625</v>
      </c>
      <c r="T700" s="271">
        <v>0.94040000000000001</v>
      </c>
      <c r="U700" s="108"/>
      <c r="V700" s="122">
        <f t="shared" si="59"/>
        <v>0.37790000000000001</v>
      </c>
      <c r="W700" s="61">
        <f>Table3.110[[#This Row],[DM Incubated, mg]]-('3.2 Digest'!V700*1000)</f>
        <v>100.63798794974622</v>
      </c>
      <c r="X700" s="61">
        <f>W700/Table3.110[[#This Row],[DM Incubated, mg]]*100</f>
        <v>21.030302814813258</v>
      </c>
      <c r="Y700" s="37">
        <f>Table3.1[[#This Row],[DM Incubated, mg]]*'2.4 NDF'!R111/100</f>
        <v>311.8771458734978</v>
      </c>
      <c r="Z700" s="37">
        <f t="shared" si="60"/>
        <v>-66.022854126502239</v>
      </c>
      <c r="AA700" s="37">
        <f t="shared" si="61"/>
        <v>-21.169506967747527</v>
      </c>
      <c r="AB700" s="57"/>
    </row>
    <row r="701" spans="2:28" x14ac:dyDescent="0.35">
      <c r="B701" s="230">
        <f t="shared" si="58"/>
        <v>691</v>
      </c>
      <c r="C701" s="246" t="s">
        <v>697</v>
      </c>
      <c r="D701" s="248">
        <f>Table3.110[[#This Row],[Date]]</f>
        <v>46076</v>
      </c>
      <c r="E701" s="230" t="str">
        <f>Table3.110[[#This Row],[Requisitioner]]</f>
        <v>Genbank</v>
      </c>
      <c r="F701" s="230" t="str">
        <f>Table3.110[[#This Row],[Gene Bank ID]]</f>
        <v>CIAT-33116</v>
      </c>
      <c r="G701" s="230" t="str">
        <f>Table3.110[[#This Row],[Genus]]</f>
        <v>Dendrolobium</v>
      </c>
      <c r="H701" s="230" t="str">
        <f>Table3.110[[#This Row],[Species]]</f>
        <v>triangulare</v>
      </c>
      <c r="I701" s="230" t="str">
        <f>Table3.110[[#This Row],[Tax Name]]</f>
        <v>Dendrolobium triangulare</v>
      </c>
      <c r="J701" s="230" t="str">
        <f>Table3.110[[#This Row],[Family]]</f>
        <v>Fabaceae</v>
      </c>
      <c r="K701" s="230" t="str">
        <f>Table3.110[[#This Row],[Order]]</f>
        <v>Fabales</v>
      </c>
      <c r="L701" s="230" t="str">
        <f>Table3.110[[#This Row],[Functional Group]]</f>
        <v>Tree</v>
      </c>
      <c r="M701" s="230" t="str">
        <f>Table3.110[[#This Row],[CIAT ID]]</f>
        <v>F251775</v>
      </c>
      <c r="N701" s="230">
        <f>Table3.110[[#This Row],[Set CIAT]]</f>
        <v>28</v>
      </c>
      <c r="O701" s="230">
        <f>Table3.110[[#This Row],[Batch]]</f>
        <v>69</v>
      </c>
      <c r="P701" s="230">
        <f>Table3.110[[#This Row],[Run]]</f>
        <v>3</v>
      </c>
      <c r="Q701" s="230">
        <f>Table3.110[[#This Row],[Replication]]</f>
        <v>2</v>
      </c>
      <c r="R701" s="230">
        <f>Table3.110[[#This Row],[Syrange No]]</f>
        <v>110</v>
      </c>
      <c r="S701" s="98">
        <v>0.58240000000000003</v>
      </c>
      <c r="T701" s="98">
        <v>1.0024</v>
      </c>
      <c r="U701" s="108"/>
      <c r="V701" s="122">
        <f t="shared" si="59"/>
        <v>0.41999999999999993</v>
      </c>
      <c r="W701" s="61">
        <f>Table3.110[[#This Row],[DM Incubated, mg]]-('3.2 Digest'!V701*1000)</f>
        <v>58.537987949746309</v>
      </c>
      <c r="X701" s="61">
        <f>W701/Table3.110[[#This Row],[DM Incubated, mg]]*100</f>
        <v>12.232673146921345</v>
      </c>
      <c r="Y701" s="37">
        <f>Table3.1[[#This Row],[DM Incubated, mg]]*'2.4 NDF'!R111/100</f>
        <v>311.8771458734978</v>
      </c>
      <c r="Z701" s="37">
        <f t="shared" si="60"/>
        <v>-108.12285412650215</v>
      </c>
      <c r="AA701" s="37">
        <f t="shared" si="61"/>
        <v>-34.668412083762767</v>
      </c>
      <c r="AB701" s="57"/>
    </row>
    <row r="702" spans="2:28" x14ac:dyDescent="0.35">
      <c r="B702" s="230">
        <f t="shared" si="58"/>
        <v>692</v>
      </c>
      <c r="C702" s="246" t="s">
        <v>697</v>
      </c>
      <c r="D702" s="248">
        <f>Table3.110[[#This Row],[Date]]</f>
        <v>46076</v>
      </c>
      <c r="E702" s="230" t="str">
        <f>Table3.110[[#This Row],[Requisitioner]]</f>
        <v>Genbank</v>
      </c>
      <c r="F702" s="230" t="str">
        <f>Table3.110[[#This Row],[Gene Bank ID]]</f>
        <v>CIAT-BH22_0303</v>
      </c>
      <c r="G702" s="230" t="str">
        <f>Table3.110[[#This Row],[Genus]]</f>
        <v>Urochloa</v>
      </c>
      <c r="H702" s="230" t="str">
        <f>Table3.110[[#This Row],[Species]]</f>
        <v>humidicola</v>
      </c>
      <c r="I702" s="230" t="str">
        <f>Table3.110[[#This Row],[Tax Name]]</f>
        <v>Urochloa humidicola</v>
      </c>
      <c r="J702" s="230" t="str">
        <f>Table3.110[[#This Row],[Family]]</f>
        <v>Fabaceae</v>
      </c>
      <c r="K702" s="230" t="str">
        <f>Table3.110[[#This Row],[Order]]</f>
        <v>Fabales</v>
      </c>
      <c r="L702" s="230" t="str">
        <f>Table3.110[[#This Row],[Functional Group]]</f>
        <v>Tree</v>
      </c>
      <c r="M702" s="230" t="str">
        <f>Table3.110[[#This Row],[CIAT ID]]</f>
        <v>F252184</v>
      </c>
      <c r="N702" s="230">
        <f>Table3.110[[#This Row],[Set CIAT]]</f>
        <v>28</v>
      </c>
      <c r="O702" s="230">
        <f>Table3.110[[#This Row],[Batch]]</f>
        <v>69</v>
      </c>
      <c r="P702" s="230">
        <f>Table3.110[[#This Row],[Run]]</f>
        <v>3</v>
      </c>
      <c r="Q702" s="230">
        <f>Table3.110[[#This Row],[Replication]]</f>
        <v>1</v>
      </c>
      <c r="R702" s="230">
        <f>Table3.110[[#This Row],[Syrange No]]</f>
        <v>111</v>
      </c>
      <c r="S702" s="271">
        <v>0.58430000000000004</v>
      </c>
      <c r="T702" s="271">
        <v>0.82989999999999997</v>
      </c>
      <c r="U702" s="108"/>
      <c r="V702" s="122">
        <f t="shared" si="59"/>
        <v>0.24559999999999993</v>
      </c>
      <c r="W702" s="61">
        <f>Table3.110[[#This Row],[DM Incubated, mg]]-('3.2 Digest'!V702*1000)</f>
        <v>228.79613340253113</v>
      </c>
      <c r="X702" s="61">
        <f>W702/Table3.110[[#This Row],[DM Incubated, mg]]*100</f>
        <v>48.228920366936201</v>
      </c>
      <c r="Y702" s="37">
        <f>Table3.1[[#This Row],[DM Incubated, mg]]*'2.4 NDF'!R113/100</f>
        <v>322.95021664908489</v>
      </c>
      <c r="Z702" s="37">
        <f t="shared" si="60"/>
        <v>77.350216649084956</v>
      </c>
      <c r="AA702" s="37">
        <f t="shared" si="61"/>
        <v>23.951127034893148</v>
      </c>
      <c r="AB702" s="57"/>
    </row>
    <row r="703" spans="2:28" x14ac:dyDescent="0.35">
      <c r="B703" s="230">
        <f t="shared" si="58"/>
        <v>693</v>
      </c>
      <c r="C703" s="246" t="s">
        <v>697</v>
      </c>
      <c r="D703" s="248">
        <f>Table3.110[[#This Row],[Date]]</f>
        <v>46076</v>
      </c>
      <c r="E703" s="230" t="str">
        <f>Table3.110[[#This Row],[Requisitioner]]</f>
        <v>Genbank</v>
      </c>
      <c r="F703" s="230" t="str">
        <f>Table3.110[[#This Row],[Gene Bank ID]]</f>
        <v>CIAT-BH22_0303</v>
      </c>
      <c r="G703" s="230" t="str">
        <f>Table3.110[[#This Row],[Genus]]</f>
        <v>Urochloa</v>
      </c>
      <c r="H703" s="230" t="str">
        <f>Table3.110[[#This Row],[Species]]</f>
        <v>humidicola</v>
      </c>
      <c r="I703" s="230" t="str">
        <f>Table3.110[[#This Row],[Tax Name]]</f>
        <v>Urochloa humidicola</v>
      </c>
      <c r="J703" s="230" t="str">
        <f>Table3.110[[#This Row],[Family]]</f>
        <v>Fabaceae</v>
      </c>
      <c r="K703" s="230" t="str">
        <f>Table3.110[[#This Row],[Order]]</f>
        <v>Fabales</v>
      </c>
      <c r="L703" s="230" t="str">
        <f>Table3.110[[#This Row],[Functional Group]]</f>
        <v>Tree</v>
      </c>
      <c r="M703" s="230" t="str">
        <f>Table3.110[[#This Row],[CIAT ID]]</f>
        <v>F252184</v>
      </c>
      <c r="N703" s="230">
        <f>Table3.110[[#This Row],[Set CIAT]]</f>
        <v>28</v>
      </c>
      <c r="O703" s="230">
        <f>Table3.110[[#This Row],[Batch]]</f>
        <v>69</v>
      </c>
      <c r="P703" s="230">
        <f>Table3.110[[#This Row],[Run]]</f>
        <v>3</v>
      </c>
      <c r="Q703" s="230">
        <f>Table3.110[[#This Row],[Replication]]</f>
        <v>2</v>
      </c>
      <c r="R703" s="230">
        <f>Table3.110[[#This Row],[Syrange No]]</f>
        <v>112</v>
      </c>
      <c r="S703" s="98">
        <v>0.58730000000000004</v>
      </c>
      <c r="T703" s="98">
        <v>0.95679999999999998</v>
      </c>
      <c r="U703" s="108"/>
      <c r="V703" s="122">
        <f t="shared" si="59"/>
        <v>0.36949999999999994</v>
      </c>
      <c r="W703" s="61">
        <f>Table3.110[[#This Row],[DM Incubated, mg]]-('3.2 Digest'!V703*1000)</f>
        <v>104.99097469269554</v>
      </c>
      <c r="X703" s="61">
        <f>W703/Table3.110[[#This Row],[DM Incubated, mg]]*100</f>
        <v>22.127075180026985</v>
      </c>
      <c r="Y703" s="37">
        <f>Table3.1[[#This Row],[DM Incubated, mg]]*'2.4 NDF'!R113/100</f>
        <v>323.01478086672762</v>
      </c>
      <c r="Z703" s="37">
        <f t="shared" si="60"/>
        <v>-46.485219133272324</v>
      </c>
      <c r="AA703" s="37">
        <f t="shared" si="61"/>
        <v>-14.391050158305795</v>
      </c>
      <c r="AB703" s="57"/>
    </row>
    <row r="704" spans="2:28" x14ac:dyDescent="0.35">
      <c r="B704" s="230">
        <f t="shared" si="58"/>
        <v>694</v>
      </c>
      <c r="C704" s="247"/>
      <c r="D704" s="248">
        <f>Table3.110[[#This Row],[Date]]</f>
        <v>46076</v>
      </c>
      <c r="E704" s="230" t="str">
        <f>Table3.110[[#This Row],[Requisitioner]]</f>
        <v>Genbank</v>
      </c>
      <c r="F704" s="230" t="str">
        <f>Table3.110[[#This Row],[Gene Bank ID]]</f>
        <v>CIAT-BH22_1594</v>
      </c>
      <c r="G704" s="230" t="str">
        <f>Table3.110[[#This Row],[Genus]]</f>
        <v>Urochloa</v>
      </c>
      <c r="H704" s="230" t="str">
        <f>Table3.110[[#This Row],[Species]]</f>
        <v>humidicola</v>
      </c>
      <c r="I704" s="230" t="str">
        <f>Table3.110[[#This Row],[Tax Name]]</f>
        <v>Urochloa humidicola</v>
      </c>
      <c r="J704" s="230" t="str">
        <f>Table3.110[[#This Row],[Family]]</f>
        <v>Fabaceae</v>
      </c>
      <c r="K704" s="230" t="str">
        <f>Table3.110[[#This Row],[Order]]</f>
        <v>Fabales</v>
      </c>
      <c r="L704" s="230" t="str">
        <f>Table3.110[[#This Row],[Functional Group]]</f>
        <v>Tree</v>
      </c>
      <c r="M704" s="230" t="str">
        <f>Table3.110[[#This Row],[CIAT ID]]</f>
        <v>F252185</v>
      </c>
      <c r="N704" s="230">
        <f>Table3.110[[#This Row],[Set CIAT]]</f>
        <v>28</v>
      </c>
      <c r="O704" s="230">
        <f>Table3.110[[#This Row],[Batch]]</f>
        <v>69</v>
      </c>
      <c r="P704" s="230">
        <f>Table3.110[[#This Row],[Run]]</f>
        <v>3</v>
      </c>
      <c r="Q704" s="230">
        <f>Table3.110[[#This Row],[Replication]]</f>
        <v>1</v>
      </c>
      <c r="R704" s="230">
        <f>Table3.110[[#This Row],[Syrange No]]</f>
        <v>113</v>
      </c>
      <c r="S704" s="271">
        <v>0.58189999999999997</v>
      </c>
      <c r="T704" s="271">
        <v>1.0327</v>
      </c>
      <c r="U704" s="108"/>
      <c r="V704" s="122">
        <f t="shared" si="59"/>
        <v>0.45079999999999998</v>
      </c>
      <c r="W704" s="61">
        <f>Table3.110[[#This Row],[DM Incubated, mg]]-('3.2 Digest'!V704*1000)</f>
        <v>24.769950000000165</v>
      </c>
      <c r="X704" s="61">
        <f>W704/Table3.110[[#This Row],[DM Incubated, mg]]*100</f>
        <v>5.2084766920197882</v>
      </c>
      <c r="Y704" s="37">
        <f>Table3.1[[#This Row],[DM Incubated, mg]]*'2.4 NDF'!R115/100</f>
        <v>324.8879972361234</v>
      </c>
      <c r="Z704" s="37">
        <f t="shared" si="60"/>
        <v>-125.91200276387656</v>
      </c>
      <c r="AA704" s="37">
        <f t="shared" si="61"/>
        <v>-38.75551077141386</v>
      </c>
      <c r="AB704" s="57"/>
    </row>
    <row r="705" spans="2:28" x14ac:dyDescent="0.35">
      <c r="B705" s="230">
        <f t="shared" si="58"/>
        <v>695</v>
      </c>
      <c r="C705" s="247"/>
      <c r="D705" s="248">
        <f>Table3.110[[#This Row],[Date]]</f>
        <v>46076</v>
      </c>
      <c r="E705" s="230" t="str">
        <f>Table3.110[[#This Row],[Requisitioner]]</f>
        <v>Genbank</v>
      </c>
      <c r="F705" s="230" t="str">
        <f>Table3.110[[#This Row],[Gene Bank ID]]</f>
        <v>CIAT-BH22_1594</v>
      </c>
      <c r="G705" s="230" t="str">
        <f>Table3.110[[#This Row],[Genus]]</f>
        <v>Urochloa</v>
      </c>
      <c r="H705" s="230" t="str">
        <f>Table3.110[[#This Row],[Species]]</f>
        <v>humidicola</v>
      </c>
      <c r="I705" s="230" t="str">
        <f>Table3.110[[#This Row],[Tax Name]]</f>
        <v>Urochloa humidicola</v>
      </c>
      <c r="J705" s="230" t="str">
        <f>Table3.110[[#This Row],[Family]]</f>
        <v>Fabaceae</v>
      </c>
      <c r="K705" s="230" t="str">
        <f>Table3.110[[#This Row],[Order]]</f>
        <v>Fabales</v>
      </c>
      <c r="L705" s="230" t="str">
        <f>Table3.110[[#This Row],[Functional Group]]</f>
        <v>Tree</v>
      </c>
      <c r="M705" s="230" t="str">
        <f>Table3.110[[#This Row],[CIAT ID]]</f>
        <v>F252185</v>
      </c>
      <c r="N705" s="230">
        <f>Table3.110[[#This Row],[Set CIAT]]</f>
        <v>28</v>
      </c>
      <c r="O705" s="230">
        <f>Table3.110[[#This Row],[Batch]]</f>
        <v>69</v>
      </c>
      <c r="P705" s="230">
        <f>Table3.110[[#This Row],[Run]]</f>
        <v>3</v>
      </c>
      <c r="Q705" s="230">
        <f>Table3.110[[#This Row],[Replication]]</f>
        <v>2</v>
      </c>
      <c r="R705" s="230">
        <f>Table3.110[[#This Row],[Syrange No]]</f>
        <v>114</v>
      </c>
      <c r="S705" s="98">
        <v>0.58079999999999998</v>
      </c>
      <c r="T705" s="98">
        <v>1.0103</v>
      </c>
      <c r="U705" s="108"/>
      <c r="V705" s="122">
        <f t="shared" si="59"/>
        <v>0.42949999999999999</v>
      </c>
      <c r="W705" s="61">
        <f>Table3.110[[#This Row],[DM Incubated, mg]]-('3.2 Digest'!V705*1000)</f>
        <v>46.069950000000119</v>
      </c>
      <c r="X705" s="61">
        <f>W705/Table3.110[[#This Row],[DM Incubated, mg]]*100</f>
        <v>9.6873130861191097</v>
      </c>
      <c r="Y705" s="37">
        <f>Table3.1[[#This Row],[DM Incubated, mg]]*'2.4 NDF'!R115/100</f>
        <v>324.8879972361234</v>
      </c>
      <c r="Z705" s="37">
        <f t="shared" si="60"/>
        <v>-104.6120027638766</v>
      </c>
      <c r="AA705" s="37">
        <f t="shared" si="61"/>
        <v>-32.19940522697928</v>
      </c>
      <c r="AB705" s="57"/>
    </row>
    <row r="706" spans="2:28" x14ac:dyDescent="0.35">
      <c r="B706" s="230">
        <f t="shared" si="58"/>
        <v>696</v>
      </c>
      <c r="C706" s="247"/>
      <c r="D706" s="248">
        <f>Table3.110[[#This Row],[Date]]</f>
        <v>46076</v>
      </c>
      <c r="E706" s="230" t="str">
        <f>Table3.110[[#This Row],[Requisitioner]]</f>
        <v>Genbank</v>
      </c>
      <c r="F706" s="230" t="str">
        <f>Table3.110[[#This Row],[Gene Bank ID]]</f>
        <v>CIAT-BH22_0468</v>
      </c>
      <c r="G706" s="230" t="str">
        <f>Table3.110[[#This Row],[Genus]]</f>
        <v>Urochloa</v>
      </c>
      <c r="H706" s="230" t="str">
        <f>Table3.110[[#This Row],[Species]]</f>
        <v>humidicola</v>
      </c>
      <c r="I706" s="230" t="str">
        <f>Table3.110[[#This Row],[Tax Name]]</f>
        <v>Urochloa humidicola</v>
      </c>
      <c r="J706" s="230" t="str">
        <f>Table3.110[[#This Row],[Family]]</f>
        <v>Fabaceae</v>
      </c>
      <c r="K706" s="230" t="str">
        <f>Table3.110[[#This Row],[Order]]</f>
        <v>Fabales</v>
      </c>
      <c r="L706" s="230" t="str">
        <f>Table3.110[[#This Row],[Functional Group]]</f>
        <v>Tree</v>
      </c>
      <c r="M706" s="230" t="str">
        <f>Table3.110[[#This Row],[CIAT ID]]</f>
        <v>F252186</v>
      </c>
      <c r="N706" s="230">
        <f>Table3.110[[#This Row],[Set CIAT]]</f>
        <v>28</v>
      </c>
      <c r="O706" s="230">
        <f>Table3.110[[#This Row],[Batch]]</f>
        <v>69</v>
      </c>
      <c r="P706" s="230">
        <f>Table3.110[[#This Row],[Run]]</f>
        <v>3</v>
      </c>
      <c r="Q706" s="230">
        <f>Table3.110[[#This Row],[Replication]]</f>
        <v>1</v>
      </c>
      <c r="R706" s="230">
        <f>Table3.110[[#This Row],[Syrange No]]</f>
        <v>115</v>
      </c>
      <c r="S706" s="271">
        <v>0.60699999999999998</v>
      </c>
      <c r="T706" s="271">
        <v>0.94869999999999999</v>
      </c>
      <c r="U706" s="108"/>
      <c r="V706" s="122">
        <f t="shared" si="59"/>
        <v>0.3417</v>
      </c>
      <c r="W706" s="61">
        <f>Table3.110[[#This Row],[DM Incubated, mg]]-('3.2 Digest'!V706*1000)</f>
        <v>138.59503819763955</v>
      </c>
      <c r="X706" s="61">
        <f>W706/Table3.110[[#This Row],[DM Incubated, mg]]*100</f>
        <v>28.856229437166959</v>
      </c>
      <c r="Y706" s="37">
        <f>Table3.1[[#This Row],[DM Incubated, mg]]*'2.4 NDF'!R117/100</f>
        <v>325.84772935429737</v>
      </c>
      <c r="Z706" s="37">
        <f t="shared" si="60"/>
        <v>-15.852270645702617</v>
      </c>
      <c r="AA706" s="37">
        <f t="shared" si="61"/>
        <v>-4.8649320580246522</v>
      </c>
      <c r="AB706" s="57"/>
    </row>
    <row r="707" spans="2:28" x14ac:dyDescent="0.35">
      <c r="B707" s="230">
        <f t="shared" si="58"/>
        <v>697</v>
      </c>
      <c r="C707" s="247"/>
      <c r="D707" s="248">
        <f>Table3.110[[#This Row],[Date]]</f>
        <v>46076</v>
      </c>
      <c r="E707" s="230" t="str">
        <f>Table3.110[[#This Row],[Requisitioner]]</f>
        <v>Genbank</v>
      </c>
      <c r="F707" s="230" t="str">
        <f>Table3.110[[#This Row],[Gene Bank ID]]</f>
        <v>CIAT-BH22_0468</v>
      </c>
      <c r="G707" s="230" t="str">
        <f>Table3.110[[#This Row],[Genus]]</f>
        <v>Urochloa</v>
      </c>
      <c r="H707" s="230" t="str">
        <f>Table3.110[[#This Row],[Species]]</f>
        <v>humidicola</v>
      </c>
      <c r="I707" s="230" t="str">
        <f>Table3.110[[#This Row],[Tax Name]]</f>
        <v>Urochloa humidicola</v>
      </c>
      <c r="J707" s="230" t="str">
        <f>Table3.110[[#This Row],[Family]]</f>
        <v>Fabaceae</v>
      </c>
      <c r="K707" s="230" t="str">
        <f>Table3.110[[#This Row],[Order]]</f>
        <v>Fabales</v>
      </c>
      <c r="L707" s="230" t="str">
        <f>Table3.110[[#This Row],[Functional Group]]</f>
        <v>Tree</v>
      </c>
      <c r="M707" s="230" t="str">
        <f>Table3.110[[#This Row],[CIAT ID]]</f>
        <v>F252186</v>
      </c>
      <c r="N707" s="230">
        <f>Table3.110[[#This Row],[Set CIAT]]</f>
        <v>28</v>
      </c>
      <c r="O707" s="230">
        <f>Table3.110[[#This Row],[Batch]]</f>
        <v>69</v>
      </c>
      <c r="P707" s="230">
        <f>Table3.110[[#This Row],[Run]]</f>
        <v>3</v>
      </c>
      <c r="Q707" s="230">
        <f>Table3.110[[#This Row],[Replication]]</f>
        <v>2</v>
      </c>
      <c r="R707" s="230">
        <f>Table3.110[[#This Row],[Syrange No]]</f>
        <v>116</v>
      </c>
      <c r="S707" s="98">
        <v>0.60570000000000002</v>
      </c>
      <c r="T707" s="98">
        <v>0.90049999999999997</v>
      </c>
      <c r="U707" s="108"/>
      <c r="V707" s="122">
        <f t="shared" si="59"/>
        <v>0.29479999999999995</v>
      </c>
      <c r="W707" s="61">
        <f>Table3.110[[#This Row],[DM Incubated, mg]]-('3.2 Digest'!V707*1000)</f>
        <v>185.30299699884006</v>
      </c>
      <c r="X707" s="61">
        <f>W707/Table3.110[[#This Row],[DM Incubated, mg]]*100</f>
        <v>38.596509115165503</v>
      </c>
      <c r="Y707" s="37">
        <f>Table3.1[[#This Row],[DM Incubated, mg]]*'2.4 NDF'!R117/100</f>
        <v>325.71744237734646</v>
      </c>
      <c r="Z707" s="37">
        <f t="shared" si="60"/>
        <v>30.917442377346504</v>
      </c>
      <c r="AA707" s="37">
        <f t="shared" si="61"/>
        <v>9.4921052282881373</v>
      </c>
      <c r="AB707" s="57"/>
    </row>
    <row r="708" spans="2:28" x14ac:dyDescent="0.35">
      <c r="B708" s="230">
        <f t="shared" si="58"/>
        <v>698</v>
      </c>
      <c r="C708" s="247"/>
      <c r="D708" s="248">
        <f>Table3.110[[#This Row],[Date]]</f>
        <v>46076</v>
      </c>
      <c r="E708" s="230" t="str">
        <f>Table3.110[[#This Row],[Requisitioner]]</f>
        <v>Genbank</v>
      </c>
      <c r="F708" s="230" t="str">
        <f>Table3.110[[#This Row],[Gene Bank ID]]</f>
        <v>CIAT-BH22_3830</v>
      </c>
      <c r="G708" s="230" t="str">
        <f>Table3.110[[#This Row],[Genus]]</f>
        <v>Urochloa</v>
      </c>
      <c r="H708" s="230" t="str">
        <f>Table3.110[[#This Row],[Species]]</f>
        <v>humidicola</v>
      </c>
      <c r="I708" s="230" t="str">
        <f>Table3.110[[#This Row],[Tax Name]]</f>
        <v>Urochloa humidicola</v>
      </c>
      <c r="J708" s="230" t="str">
        <f>Table3.110[[#This Row],[Family]]</f>
        <v>Fabaceae</v>
      </c>
      <c r="K708" s="230" t="str">
        <f>Table3.110[[#This Row],[Order]]</f>
        <v>Fabales</v>
      </c>
      <c r="L708" s="230" t="str">
        <f>Table3.110[[#This Row],[Functional Group]]</f>
        <v>Tree</v>
      </c>
      <c r="M708" s="230" t="str">
        <f>Table3.110[[#This Row],[CIAT ID]]</f>
        <v>F252187</v>
      </c>
      <c r="N708" s="230">
        <f>Table3.110[[#This Row],[Set CIAT]]</f>
        <v>28</v>
      </c>
      <c r="O708" s="230">
        <f>Table3.110[[#This Row],[Batch]]</f>
        <v>69</v>
      </c>
      <c r="P708" s="230">
        <f>Table3.110[[#This Row],[Run]]</f>
        <v>3</v>
      </c>
      <c r="Q708" s="230">
        <f>Table3.110[[#This Row],[Replication]]</f>
        <v>1</v>
      </c>
      <c r="R708" s="230">
        <f>Table3.110[[#This Row],[Syrange No]]</f>
        <v>117</v>
      </c>
      <c r="S708" s="271">
        <v>0.5786</v>
      </c>
      <c r="T708" s="271">
        <v>0.88970000000000005</v>
      </c>
      <c r="U708" s="108"/>
      <c r="V708" s="122">
        <f t="shared" si="59"/>
        <v>0.31110000000000004</v>
      </c>
      <c r="W708" s="61">
        <f>Table3.110[[#This Row],[DM Incubated, mg]]-('3.2 Digest'!V708*1000)</f>
        <v>168.79798020197961</v>
      </c>
      <c r="X708" s="61">
        <f>W708/Table3.110[[#This Row],[DM Incubated, mg]]*100</f>
        <v>35.173721742053566</v>
      </c>
      <c r="Y708" s="37">
        <f>Table3.1[[#This Row],[DM Incubated, mg]]*'2.4 NDF'!R119/100</f>
        <v>323.58744723834315</v>
      </c>
      <c r="Z708" s="37">
        <f t="shared" si="60"/>
        <v>12.487447238343123</v>
      </c>
      <c r="AA708" s="37">
        <f t="shared" si="61"/>
        <v>3.8590641710354445</v>
      </c>
      <c r="AB708" s="57"/>
    </row>
    <row r="709" spans="2:28" x14ac:dyDescent="0.35">
      <c r="B709" s="230">
        <f t="shared" si="58"/>
        <v>699</v>
      </c>
      <c r="C709" s="247"/>
      <c r="D709" s="248">
        <f>Table3.110[[#This Row],[Date]]</f>
        <v>46076</v>
      </c>
      <c r="E709" s="230" t="str">
        <f>Table3.110[[#This Row],[Requisitioner]]</f>
        <v>Genbank</v>
      </c>
      <c r="F709" s="230" t="str">
        <f>Table3.110[[#This Row],[Gene Bank ID]]</f>
        <v>CIAT-BH22_3830</v>
      </c>
      <c r="G709" s="230" t="str">
        <f>Table3.110[[#This Row],[Genus]]</f>
        <v>Urochloa</v>
      </c>
      <c r="H709" s="230" t="str">
        <f>Table3.110[[#This Row],[Species]]</f>
        <v>humidicola</v>
      </c>
      <c r="I709" s="230" t="str">
        <f>Table3.110[[#This Row],[Tax Name]]</f>
        <v>Urochloa humidicola</v>
      </c>
      <c r="J709" s="230" t="str">
        <f>Table3.110[[#This Row],[Family]]</f>
        <v>Fabaceae</v>
      </c>
      <c r="K709" s="230" t="str">
        <f>Table3.110[[#This Row],[Order]]</f>
        <v>Fabales</v>
      </c>
      <c r="L709" s="230" t="str">
        <f>Table3.110[[#This Row],[Functional Group]]</f>
        <v>Tree</v>
      </c>
      <c r="M709" s="230" t="str">
        <f>Table3.110[[#This Row],[CIAT ID]]</f>
        <v>F252187</v>
      </c>
      <c r="N709" s="230">
        <f>Table3.110[[#This Row],[Set CIAT]]</f>
        <v>28</v>
      </c>
      <c r="O709" s="230">
        <f>Table3.110[[#This Row],[Batch]]</f>
        <v>69</v>
      </c>
      <c r="P709" s="230">
        <f>Table3.110[[#This Row],[Run]]</f>
        <v>3</v>
      </c>
      <c r="Q709" s="230">
        <f>Table3.110[[#This Row],[Replication]]</f>
        <v>2</v>
      </c>
      <c r="R709" s="230">
        <f>Table3.110[[#This Row],[Syrange No]]</f>
        <v>118</v>
      </c>
      <c r="S709" s="98">
        <v>0.6079</v>
      </c>
      <c r="T709" s="98">
        <v>1.0437000000000001</v>
      </c>
      <c r="U709" s="108"/>
      <c r="V709" s="122">
        <f t="shared" si="59"/>
        <v>0.43580000000000008</v>
      </c>
      <c r="W709" s="61">
        <f>Table3.110[[#This Row],[DM Incubated, mg]]-('3.2 Digest'!V709*1000)</f>
        <v>44.097980201979567</v>
      </c>
      <c r="X709" s="61">
        <f>W709/Table3.110[[#This Row],[DM Incubated, mg]]*100</f>
        <v>9.1890322571100622</v>
      </c>
      <c r="Y709" s="37">
        <f>Table3.1[[#This Row],[DM Incubated, mg]]*'2.4 NDF'!R119/100</f>
        <v>323.58744723834315</v>
      </c>
      <c r="Z709" s="37">
        <f t="shared" si="60"/>
        <v>-112.21255276165692</v>
      </c>
      <c r="AA709" s="37">
        <f t="shared" si="61"/>
        <v>-34.67765938367971</v>
      </c>
      <c r="AB709" s="57"/>
    </row>
    <row r="710" spans="2:28" x14ac:dyDescent="0.35">
      <c r="B710" s="230">
        <f t="shared" si="58"/>
        <v>700</v>
      </c>
      <c r="C710" s="247"/>
      <c r="D710" s="248">
        <f>Table3.110[[#This Row],[Date]]</f>
        <v>46076</v>
      </c>
      <c r="E710" s="230" t="str">
        <f>Table3.110[[#This Row],[Requisitioner]]</f>
        <v>Genbank</v>
      </c>
      <c r="F710" s="230" t="str">
        <f>Table3.110[[#This Row],[Gene Bank ID]]</f>
        <v>CIAT-BH22_1710</v>
      </c>
      <c r="G710" s="230" t="str">
        <f>Table3.110[[#This Row],[Genus]]</f>
        <v>Urochloa</v>
      </c>
      <c r="H710" s="230" t="str">
        <f>Table3.110[[#This Row],[Species]]</f>
        <v>humidicola</v>
      </c>
      <c r="I710" s="230" t="str">
        <f>Table3.110[[#This Row],[Tax Name]]</f>
        <v>Urochloa humidicola</v>
      </c>
      <c r="J710" s="230" t="str">
        <f>Table3.110[[#This Row],[Family]]</f>
        <v>Fabaceae</v>
      </c>
      <c r="K710" s="230" t="str">
        <f>Table3.110[[#This Row],[Order]]</f>
        <v>Fabales</v>
      </c>
      <c r="L710" s="230" t="str">
        <f>Table3.110[[#This Row],[Functional Group]]</f>
        <v>Tree</v>
      </c>
      <c r="M710" s="230" t="str">
        <f>Table3.110[[#This Row],[CIAT ID]]</f>
        <v>F252188</v>
      </c>
      <c r="N710" s="230">
        <f>Table3.110[[#This Row],[Set CIAT]]</f>
        <v>28</v>
      </c>
      <c r="O710" s="230">
        <f>Table3.110[[#This Row],[Batch]]</f>
        <v>69</v>
      </c>
      <c r="P710" s="230">
        <f>Table3.110[[#This Row],[Run]]</f>
        <v>3</v>
      </c>
      <c r="Q710" s="230">
        <f>Table3.110[[#This Row],[Replication]]</f>
        <v>1</v>
      </c>
      <c r="R710" s="230">
        <f>Table3.110[[#This Row],[Syrange No]]</f>
        <v>119</v>
      </c>
      <c r="S710" s="271">
        <v>0.58779999999999999</v>
      </c>
      <c r="T710" s="271">
        <v>0.89370000000000005</v>
      </c>
      <c r="U710" s="108"/>
      <c r="V710" s="122">
        <f t="shared" si="59"/>
        <v>0.30590000000000006</v>
      </c>
      <c r="W710" s="61">
        <f>Table3.110[[#This Row],[DM Incubated, mg]]-('3.2 Digest'!V710*1000)</f>
        <v>180.45136486351379</v>
      </c>
      <c r="X710" s="61">
        <f>W710/Table3.110[[#This Row],[DM Incubated, mg]]*100</f>
        <v>37.103085937500012</v>
      </c>
      <c r="Y710" s="37">
        <f>Table3.1[[#This Row],[DM Incubated, mg]]*'2.4 NDF'!R121/100</f>
        <v>337.4864450048309</v>
      </c>
      <c r="Z710" s="37">
        <f t="shared" si="60"/>
        <v>31.586445004830864</v>
      </c>
      <c r="AA710" s="37">
        <f t="shared" si="61"/>
        <v>9.3593225660896469</v>
      </c>
      <c r="AB710" s="57"/>
    </row>
    <row r="711" spans="2:28" x14ac:dyDescent="0.35">
      <c r="B711" s="230">
        <f t="shared" si="58"/>
        <v>701</v>
      </c>
      <c r="C711" s="247"/>
      <c r="D711" s="248">
        <f>Table3.110[[#This Row],[Date]]</f>
        <v>46076</v>
      </c>
      <c r="E711" s="230" t="str">
        <f>Table3.110[[#This Row],[Requisitioner]]</f>
        <v>Genbank</v>
      </c>
      <c r="F711" s="230" t="str">
        <f>Table3.110[[#This Row],[Gene Bank ID]]</f>
        <v>CIAT-BH22_1710</v>
      </c>
      <c r="G711" s="230" t="str">
        <f>Table3.110[[#This Row],[Genus]]</f>
        <v>Urochloa</v>
      </c>
      <c r="H711" s="230" t="str">
        <f>Table3.110[[#This Row],[Species]]</f>
        <v>humidicola</v>
      </c>
      <c r="I711" s="230" t="str">
        <f>Table3.110[[#This Row],[Tax Name]]</f>
        <v>Urochloa humidicola</v>
      </c>
      <c r="J711" s="230" t="str">
        <f>Table3.110[[#This Row],[Family]]</f>
        <v>Fabaceae</v>
      </c>
      <c r="K711" s="230" t="str">
        <f>Table3.110[[#This Row],[Order]]</f>
        <v>Fabales</v>
      </c>
      <c r="L711" s="230" t="str">
        <f>Table3.110[[#This Row],[Functional Group]]</f>
        <v>Tree</v>
      </c>
      <c r="M711" s="230" t="str">
        <f>Table3.110[[#This Row],[CIAT ID]]</f>
        <v>F252188</v>
      </c>
      <c r="N711" s="230">
        <f>Table3.110[[#This Row],[Set CIAT]]</f>
        <v>28</v>
      </c>
      <c r="O711" s="230">
        <f>Table3.110[[#This Row],[Batch]]</f>
        <v>69</v>
      </c>
      <c r="P711" s="230">
        <f>Table3.110[[#This Row],[Run]]</f>
        <v>3</v>
      </c>
      <c r="Q711" s="230">
        <f>Table3.110[[#This Row],[Replication]]</f>
        <v>2</v>
      </c>
      <c r="R711" s="230">
        <f>Table3.110[[#This Row],[Syrange No]]</f>
        <v>120</v>
      </c>
      <c r="S711" s="98">
        <v>0.56340000000000001</v>
      </c>
      <c r="T711" s="98">
        <v>0.90769999999999995</v>
      </c>
      <c r="U711" s="108"/>
      <c r="V711" s="122">
        <f t="shared" si="59"/>
        <v>0.34429999999999994</v>
      </c>
      <c r="W711" s="61">
        <f>Table3.110[[#This Row],[DM Incubated, mg]]-('3.2 Digest'!V711*1000)</f>
        <v>142.34317568243199</v>
      </c>
      <c r="X711" s="61">
        <f>W711/Table3.110[[#This Row],[DM Incubated, mg]]*100</f>
        <v>29.250009615940996</v>
      </c>
      <c r="Y711" s="37">
        <f>Table3.1[[#This Row],[DM Incubated, mg]]*'2.4 NDF'!R121/100</f>
        <v>337.68893687183379</v>
      </c>
      <c r="Z711" s="37">
        <f t="shared" si="60"/>
        <v>-6.6110631281661654</v>
      </c>
      <c r="AA711" s="37">
        <f t="shared" si="61"/>
        <v>-1.9577375526149747</v>
      </c>
      <c r="AB711" s="57"/>
    </row>
    <row r="712" spans="2:28" x14ac:dyDescent="0.35">
      <c r="B712" s="230">
        <f t="shared" si="58"/>
        <v>702</v>
      </c>
      <c r="C712" s="247"/>
      <c r="D712" s="248">
        <f>Table3.110[[#This Row],[Date]]</f>
        <v>46076</v>
      </c>
      <c r="E712" s="230" t="str">
        <f>Table3.110[[#This Row],[Requisitioner]]</f>
        <v>Genbank</v>
      </c>
      <c r="F712" s="230" t="str">
        <f>Table3.110[[#This Row],[Gene Bank ID]]</f>
        <v>CIAT-BH22_2365</v>
      </c>
      <c r="G712" s="230" t="str">
        <f>Table3.110[[#This Row],[Genus]]</f>
        <v>Urochloa</v>
      </c>
      <c r="H712" s="230" t="str">
        <f>Table3.110[[#This Row],[Species]]</f>
        <v>humidicola</v>
      </c>
      <c r="I712" s="230" t="str">
        <f>Table3.110[[#This Row],[Tax Name]]</f>
        <v>Urochloa humidicola</v>
      </c>
      <c r="J712" s="230" t="str">
        <f>Table3.110[[#This Row],[Family]]</f>
        <v>Fabaceae</v>
      </c>
      <c r="K712" s="230" t="str">
        <f>Table3.110[[#This Row],[Order]]</f>
        <v>Fabales</v>
      </c>
      <c r="L712" s="230" t="str">
        <f>Table3.110[[#This Row],[Functional Group]]</f>
        <v>Tree</v>
      </c>
      <c r="M712" s="230" t="str">
        <f>Table3.110[[#This Row],[CIAT ID]]</f>
        <v>F252189</v>
      </c>
      <c r="N712" s="230">
        <f>Table3.110[[#This Row],[Set CIAT]]</f>
        <v>28</v>
      </c>
      <c r="O712" s="230">
        <f>Table3.110[[#This Row],[Batch]]</f>
        <v>69</v>
      </c>
      <c r="P712" s="230">
        <f>Table3.110[[#This Row],[Run]]</f>
        <v>3</v>
      </c>
      <c r="Q712" s="230">
        <f>Table3.110[[#This Row],[Replication]]</f>
        <v>1</v>
      </c>
      <c r="R712" s="230">
        <f>Table3.110[[#This Row],[Syrange No]]</f>
        <v>121</v>
      </c>
      <c r="S712" s="271">
        <v>0.57920000000000005</v>
      </c>
      <c r="T712" s="271">
        <v>0.85599999999999998</v>
      </c>
      <c r="U712" s="108"/>
      <c r="V712" s="122">
        <f t="shared" si="59"/>
        <v>0.27679999999999993</v>
      </c>
      <c r="W712" s="61">
        <f>Table3.110[[#This Row],[DM Incubated, mg]]-('3.2 Digest'!V712*1000)</f>
        <v>209.08839999999981</v>
      </c>
      <c r="X712" s="61">
        <f>W712/Table3.110[[#This Row],[DM Incubated, mg]]*100</f>
        <v>43.032185991680379</v>
      </c>
      <c r="Y712" s="37">
        <f>Table3.1[[#This Row],[DM Incubated, mg]]*'2.4 NDF'!R123/100</f>
        <v>311.64086360872693</v>
      </c>
      <c r="Z712" s="37">
        <f t="shared" si="60"/>
        <v>34.840863608726977</v>
      </c>
      <c r="AA712" s="37">
        <f t="shared" si="61"/>
        <v>11.179812302301464</v>
      </c>
      <c r="AB712" s="57"/>
    </row>
    <row r="713" spans="2:28" x14ac:dyDescent="0.35">
      <c r="B713" s="230">
        <f t="shared" si="58"/>
        <v>703</v>
      </c>
      <c r="C713" s="247"/>
      <c r="D713" s="248">
        <f>Table3.110[[#This Row],[Date]]</f>
        <v>46076</v>
      </c>
      <c r="E713" s="230" t="str">
        <f>Table3.110[[#This Row],[Requisitioner]]</f>
        <v>Genbank</v>
      </c>
      <c r="F713" s="230" t="str">
        <f>Table3.110[[#This Row],[Gene Bank ID]]</f>
        <v>CIAT-BH22_2365</v>
      </c>
      <c r="G713" s="230" t="str">
        <f>Table3.110[[#This Row],[Genus]]</f>
        <v>Urochloa</v>
      </c>
      <c r="H713" s="230" t="str">
        <f>Table3.110[[#This Row],[Species]]</f>
        <v>humidicola</v>
      </c>
      <c r="I713" s="230" t="str">
        <f>Table3.110[[#This Row],[Tax Name]]</f>
        <v>Urochloa humidicola</v>
      </c>
      <c r="J713" s="230" t="str">
        <f>Table3.110[[#This Row],[Family]]</f>
        <v>Fabaceae</v>
      </c>
      <c r="K713" s="230" t="str">
        <f>Table3.110[[#This Row],[Order]]</f>
        <v>Fabales</v>
      </c>
      <c r="L713" s="230" t="str">
        <f>Table3.110[[#This Row],[Functional Group]]</f>
        <v>Tree</v>
      </c>
      <c r="M713" s="230" t="str">
        <f>Table3.110[[#This Row],[CIAT ID]]</f>
        <v>F252189</v>
      </c>
      <c r="N713" s="230">
        <f>Table3.110[[#This Row],[Set CIAT]]</f>
        <v>28</v>
      </c>
      <c r="O713" s="230">
        <f>Table3.110[[#This Row],[Batch]]</f>
        <v>69</v>
      </c>
      <c r="P713" s="230">
        <f>Table3.110[[#This Row],[Run]]</f>
        <v>3</v>
      </c>
      <c r="Q713" s="230">
        <f>Table3.110[[#This Row],[Replication]]</f>
        <v>2</v>
      </c>
      <c r="R713" s="230">
        <f>Table3.110[[#This Row],[Syrange No]]</f>
        <v>122</v>
      </c>
      <c r="S713" s="98">
        <v>0.59489999999999998</v>
      </c>
      <c r="T713" s="98">
        <v>0.99219999999999997</v>
      </c>
      <c r="U713" s="108"/>
      <c r="V713" s="122">
        <f t="shared" si="59"/>
        <v>0.39729999999999999</v>
      </c>
      <c r="W713" s="61">
        <f>Table3.110[[#This Row],[DM Incubated, mg]]-('3.2 Digest'!V713*1000)</f>
        <v>88.29709999999983</v>
      </c>
      <c r="X713" s="61">
        <f>W713/Table3.110[[#This Row],[DM Incubated, mg]]*100</f>
        <v>18.183201670685399</v>
      </c>
      <c r="Y713" s="37">
        <f>Table3.1[[#This Row],[DM Incubated, mg]]*'2.4 NDF'!R123/100</f>
        <v>311.45402855860186</v>
      </c>
      <c r="Z713" s="37">
        <f t="shared" si="60"/>
        <v>-85.845971441398149</v>
      </c>
      <c r="AA713" s="37">
        <f t="shared" si="61"/>
        <v>-27.56296710583268</v>
      </c>
      <c r="AB713" s="57"/>
    </row>
    <row r="714" spans="2:28" x14ac:dyDescent="0.35">
      <c r="B714" s="230">
        <f t="shared" si="58"/>
        <v>704</v>
      </c>
      <c r="C714" s="247"/>
      <c r="D714" s="248">
        <f>Table3.110[[#This Row],[Date]]</f>
        <v>46076</v>
      </c>
      <c r="E714" s="230" t="str">
        <f>Table3.110[[#This Row],[Requisitioner]]</f>
        <v>Genbank</v>
      </c>
      <c r="F714" s="230" t="str">
        <f>Table3.110[[#This Row],[Gene Bank ID]]</f>
        <v>CIAT-BH22_3572</v>
      </c>
      <c r="G714" s="230" t="str">
        <f>Table3.110[[#This Row],[Genus]]</f>
        <v>Urochloa</v>
      </c>
      <c r="H714" s="230" t="str">
        <f>Table3.110[[#This Row],[Species]]</f>
        <v>humidicola</v>
      </c>
      <c r="I714" s="230" t="str">
        <f>Table3.110[[#This Row],[Tax Name]]</f>
        <v>Urochloa humidicola</v>
      </c>
      <c r="J714" s="230" t="str">
        <f>Table3.110[[#This Row],[Family]]</f>
        <v>Fabaceae</v>
      </c>
      <c r="K714" s="230" t="str">
        <f>Table3.110[[#This Row],[Order]]</f>
        <v>Fabales</v>
      </c>
      <c r="L714" s="230" t="str">
        <f>Table3.110[[#This Row],[Functional Group]]</f>
        <v>Tree</v>
      </c>
      <c r="M714" s="230" t="str">
        <f>Table3.110[[#This Row],[CIAT ID]]</f>
        <v>F252190</v>
      </c>
      <c r="N714" s="230">
        <f>Table3.110[[#This Row],[Set CIAT]]</f>
        <v>28</v>
      </c>
      <c r="O714" s="230">
        <f>Table3.110[[#This Row],[Batch]]</f>
        <v>69</v>
      </c>
      <c r="P714" s="230">
        <f>Table3.110[[#This Row],[Run]]</f>
        <v>3</v>
      </c>
      <c r="Q714" s="230">
        <f>Table3.110[[#This Row],[Replication]]</f>
        <v>1</v>
      </c>
      <c r="R714" s="230">
        <f>Table3.110[[#This Row],[Syrange No]]</f>
        <v>123</v>
      </c>
      <c r="S714" s="271">
        <v>0.58560000000000001</v>
      </c>
      <c r="T714" s="271">
        <v>0.92249999999999999</v>
      </c>
      <c r="U714" s="108"/>
      <c r="V714" s="122">
        <f t="shared" si="59"/>
        <v>0.33689999999999998</v>
      </c>
      <c r="W714" s="61">
        <f>Table3.110[[#This Row],[DM Incubated, mg]]-('3.2 Digest'!V714*1000)</f>
        <v>145.69825017498232</v>
      </c>
      <c r="X714" s="61">
        <f>W714/Table3.110[[#This Row],[DM Incubated, mg]]*100</f>
        <v>30.190380947745769</v>
      </c>
      <c r="Y714" s="37">
        <f>Table3.1[[#This Row],[DM Incubated, mg]]*'2.4 NDF'!R123/100</f>
        <v>309.53061538532717</v>
      </c>
      <c r="Z714" s="37">
        <f t="shared" ref="Z714:Z715" si="62">Y714-(V714*1000)</f>
        <v>-27.369384614672811</v>
      </c>
      <c r="AA714" s="37">
        <f t="shared" ref="AA714:AA715" si="63">Z714/Y714*100</f>
        <v>-8.8422221435515613</v>
      </c>
      <c r="AB714" s="57"/>
    </row>
    <row r="715" spans="2:28" x14ac:dyDescent="0.35">
      <c r="B715" s="230">
        <f t="shared" si="58"/>
        <v>705</v>
      </c>
      <c r="C715" s="247"/>
      <c r="D715" s="248">
        <f>Table3.110[[#This Row],[Date]]</f>
        <v>46076</v>
      </c>
      <c r="E715" s="230" t="str">
        <f>Table3.110[[#This Row],[Requisitioner]]</f>
        <v>Genbank</v>
      </c>
      <c r="F715" s="230" t="str">
        <f>Table3.110[[#This Row],[Gene Bank ID]]</f>
        <v>CIAT-BH22_3572</v>
      </c>
      <c r="G715" s="230" t="str">
        <f>Table3.110[[#This Row],[Genus]]</f>
        <v>Urochloa</v>
      </c>
      <c r="H715" s="230" t="str">
        <f>Table3.110[[#This Row],[Species]]</f>
        <v>humidicola</v>
      </c>
      <c r="I715" s="230" t="str">
        <f>Table3.110[[#This Row],[Tax Name]]</f>
        <v>Urochloa humidicola</v>
      </c>
      <c r="J715" s="230" t="str">
        <f>Table3.110[[#This Row],[Family]]</f>
        <v>Fabaceae</v>
      </c>
      <c r="K715" s="230" t="str">
        <f>Table3.110[[#This Row],[Order]]</f>
        <v>Fabales</v>
      </c>
      <c r="L715" s="230" t="str">
        <f>Table3.110[[#This Row],[Functional Group]]</f>
        <v>Tree</v>
      </c>
      <c r="M715" s="230" t="str">
        <f>Table3.110[[#This Row],[CIAT ID]]</f>
        <v>F252190</v>
      </c>
      <c r="N715" s="230">
        <f>Table3.110[[#This Row],[Set CIAT]]</f>
        <v>28</v>
      </c>
      <c r="O715" s="230">
        <f>Table3.110[[#This Row],[Batch]]</f>
        <v>69</v>
      </c>
      <c r="P715" s="230">
        <f>Table3.110[[#This Row],[Run]]</f>
        <v>3</v>
      </c>
      <c r="Q715" s="230">
        <f>Table3.110[[#This Row],[Replication]]</f>
        <v>2</v>
      </c>
      <c r="R715" s="230">
        <f>Table3.110[[#This Row],[Syrange No]]</f>
        <v>124</v>
      </c>
      <c r="S715" s="98">
        <v>0.59909999999999997</v>
      </c>
      <c r="T715" s="98">
        <v>0.87560000000000004</v>
      </c>
      <c r="U715" s="108"/>
      <c r="V715" s="122">
        <f t="shared" si="59"/>
        <v>0.27650000000000008</v>
      </c>
      <c r="W715" s="61">
        <f>Table3.110[[#This Row],[DM Incubated, mg]]-('3.2 Digest'!V715*1000)</f>
        <v>206.09825017498224</v>
      </c>
      <c r="X715" s="61">
        <f>W715/Table3.110[[#This Row],[DM Incubated, mg]]*100</f>
        <v>42.705967147674976</v>
      </c>
      <c r="Y715" s="37">
        <f>Table3.1[[#This Row],[DM Incubated, mg]]*'2.4 NDF'!R123/100</f>
        <v>309.53061538532717</v>
      </c>
      <c r="Z715" s="37">
        <f t="shared" si="62"/>
        <v>33.03061538532711</v>
      </c>
      <c r="AA715" s="37">
        <f t="shared" si="63"/>
        <v>10.671194946001737</v>
      </c>
      <c r="AB715" s="57"/>
    </row>
    <row r="716" spans="2:28" x14ac:dyDescent="0.35">
      <c r="B716" s="230">
        <f t="shared" si="58"/>
        <v>706</v>
      </c>
      <c r="C716" s="247"/>
      <c r="D716" s="248">
        <f>Table3.110[[#This Row],[Date]]</f>
        <v>46076</v>
      </c>
      <c r="E716" s="230" t="str">
        <f>Table3.110[[#This Row],[Requisitioner]]</f>
        <v>Genbank</v>
      </c>
      <c r="F716" s="230" t="str">
        <f>Table3.110[[#This Row],[Gene Bank ID]]</f>
        <v>CIAT-BH22_0517</v>
      </c>
      <c r="G716" s="230" t="str">
        <f>Table3.110[[#This Row],[Genus]]</f>
        <v>Urochloa</v>
      </c>
      <c r="H716" s="230" t="str">
        <f>Table3.110[[#This Row],[Species]]</f>
        <v>humidicola</v>
      </c>
      <c r="I716" s="230" t="str">
        <f>Table3.110[[#This Row],[Tax Name]]</f>
        <v>Urochloa humidicola</v>
      </c>
      <c r="J716" s="230" t="str">
        <f>Table3.110[[#This Row],[Family]]</f>
        <v>Fabaceae</v>
      </c>
      <c r="K716" s="230" t="str">
        <f>Table3.110[[#This Row],[Order]]</f>
        <v>Fabales</v>
      </c>
      <c r="L716" s="230" t="str">
        <f>Table3.110[[#This Row],[Functional Group]]</f>
        <v>Tree</v>
      </c>
      <c r="M716" s="230" t="str">
        <f>Table3.110[[#This Row],[CIAT ID]]</f>
        <v>F252191</v>
      </c>
      <c r="N716" s="230">
        <f>Table3.110[[#This Row],[Set CIAT]]</f>
        <v>28</v>
      </c>
      <c r="O716" s="230">
        <f>Table3.110[[#This Row],[Batch]]</f>
        <v>69</v>
      </c>
      <c r="P716" s="230">
        <f>Table3.110[[#This Row],[Run]]</f>
        <v>3</v>
      </c>
      <c r="Q716" s="230">
        <f>Table3.110[[#This Row],[Replication]]</f>
        <v>1</v>
      </c>
      <c r="R716" s="230">
        <f>Table3.110[[#This Row],[Syrange No]]</f>
        <v>125</v>
      </c>
      <c r="S716" s="271">
        <v>0.57140000000000002</v>
      </c>
      <c r="T716" s="271">
        <v>1.0048999999999999</v>
      </c>
      <c r="U716" s="108"/>
      <c r="V716" s="122">
        <f t="shared" si="59"/>
        <v>0.43349999999999989</v>
      </c>
      <c r="W716" s="61">
        <f>Table3.110[[#This Row],[DM Incubated, mg]]-('3.2 Digest'!V716*1000)</f>
        <v>51.124197587878086</v>
      </c>
      <c r="X716" s="61">
        <f>W716/Table3.110[[#This Row],[DM Incubated, mg]]*100</f>
        <v>10.549245754202694</v>
      </c>
      <c r="Y716" s="37">
        <f>Table3.1[[#This Row],[DM Incubated, mg]]*'2.4 NDF'!R127/100</f>
        <v>336.60008835783651</v>
      </c>
      <c r="Z716" s="37">
        <f t="shared" si="60"/>
        <v>-96.899911642163374</v>
      </c>
      <c r="AA716" s="37">
        <f t="shared" si="61"/>
        <v>-28.78784498094069</v>
      </c>
      <c r="AB716" s="57"/>
    </row>
    <row r="717" spans="2:28" x14ac:dyDescent="0.35">
      <c r="B717" s="230">
        <f t="shared" si="58"/>
        <v>707</v>
      </c>
      <c r="C717" s="247"/>
      <c r="D717" s="248">
        <f>Table3.110[[#This Row],[Date]]</f>
        <v>46076</v>
      </c>
      <c r="E717" s="230" t="str">
        <f>Table3.110[[#This Row],[Requisitioner]]</f>
        <v>Genbank</v>
      </c>
      <c r="F717" s="230" t="str">
        <f>Table3.110[[#This Row],[Gene Bank ID]]</f>
        <v>CIAT-BH22_0517</v>
      </c>
      <c r="G717" s="230" t="str">
        <f>Table3.110[[#This Row],[Genus]]</f>
        <v>Urochloa</v>
      </c>
      <c r="H717" s="230" t="str">
        <f>Table3.110[[#This Row],[Species]]</f>
        <v>humidicola</v>
      </c>
      <c r="I717" s="230" t="str">
        <f>Table3.110[[#This Row],[Tax Name]]</f>
        <v>Urochloa humidicola</v>
      </c>
      <c r="J717" s="230" t="str">
        <f>Table3.110[[#This Row],[Family]]</f>
        <v>Fabaceae</v>
      </c>
      <c r="K717" s="230" t="str">
        <f>Table3.110[[#This Row],[Order]]</f>
        <v>Fabales</v>
      </c>
      <c r="L717" s="230" t="str">
        <f>Table3.110[[#This Row],[Functional Group]]</f>
        <v>Tree</v>
      </c>
      <c r="M717" s="230" t="str">
        <f>Table3.110[[#This Row],[CIAT ID]]</f>
        <v>F252191</v>
      </c>
      <c r="N717" s="230">
        <f>Table3.110[[#This Row],[Set CIAT]]</f>
        <v>28</v>
      </c>
      <c r="O717" s="230">
        <f>Table3.110[[#This Row],[Batch]]</f>
        <v>69</v>
      </c>
      <c r="P717" s="230">
        <f>Table3.110[[#This Row],[Run]]</f>
        <v>3</v>
      </c>
      <c r="Q717" s="230">
        <f>Table3.110[[#This Row],[Replication]]</f>
        <v>2</v>
      </c>
      <c r="R717" s="230">
        <f>Table3.110[[#This Row],[Syrange No]]</f>
        <v>126</v>
      </c>
      <c r="S717" s="98">
        <v>0.55930000000000002</v>
      </c>
      <c r="T717" s="98">
        <v>0.89590000000000003</v>
      </c>
      <c r="U717" s="108"/>
      <c r="V717" s="122">
        <f t="shared" si="59"/>
        <v>0.33660000000000001</v>
      </c>
      <c r="W717" s="61">
        <f>Table3.110[[#This Row],[DM Incubated, mg]]-('3.2 Digest'!V717*1000)</f>
        <v>147.83046414890617</v>
      </c>
      <c r="X717" s="61">
        <f>W717/Table3.110[[#This Row],[DM Incubated, mg]]*100</f>
        <v>30.516343436127386</v>
      </c>
      <c r="Y717" s="37">
        <f>Table3.1[[#This Row],[DM Incubated, mg]]*'2.4 NDF'!R127/100</f>
        <v>336.46552905807323</v>
      </c>
      <c r="Z717" s="37">
        <f t="shared" si="60"/>
        <v>-0.13447094192679288</v>
      </c>
      <c r="AA717" s="37">
        <f t="shared" si="61"/>
        <v>-3.9965741008667628E-2</v>
      </c>
      <c r="AB717" s="57"/>
    </row>
    <row r="718" spans="2:28" x14ac:dyDescent="0.35">
      <c r="B718" s="230">
        <f t="shared" si="58"/>
        <v>708</v>
      </c>
      <c r="C718" s="247"/>
      <c r="D718" s="248">
        <f>Table3.110[[#This Row],[Date]]</f>
        <v>46076</v>
      </c>
      <c r="E718" s="230" t="str">
        <f>Table3.110[[#This Row],[Requisitioner]]</f>
        <v>Genbank</v>
      </c>
      <c r="F718" s="230" t="str">
        <f>Table3.110[[#This Row],[Gene Bank ID]]</f>
        <v>CIAT-BH22_0519</v>
      </c>
      <c r="G718" s="230" t="str">
        <f>Table3.110[[#This Row],[Genus]]</f>
        <v>Urochloa</v>
      </c>
      <c r="H718" s="230" t="str">
        <f>Table3.110[[#This Row],[Species]]</f>
        <v>humidicola</v>
      </c>
      <c r="I718" s="230" t="str">
        <f>Table3.110[[#This Row],[Tax Name]]</f>
        <v>Urochloa humidicola</v>
      </c>
      <c r="J718" s="230" t="str">
        <f>Table3.110[[#This Row],[Family]]</f>
        <v>Fabaceae</v>
      </c>
      <c r="K718" s="230" t="str">
        <f>Table3.110[[#This Row],[Order]]</f>
        <v>Fabales</v>
      </c>
      <c r="L718" s="230" t="str">
        <f>Table3.110[[#This Row],[Functional Group]]</f>
        <v>Tree</v>
      </c>
      <c r="M718" s="230" t="str">
        <f>Table3.110[[#This Row],[CIAT ID]]</f>
        <v>F252192</v>
      </c>
      <c r="N718" s="230">
        <f>Table3.110[[#This Row],[Set CIAT]]</f>
        <v>28</v>
      </c>
      <c r="O718" s="230">
        <f>Table3.110[[#This Row],[Batch]]</f>
        <v>69</v>
      </c>
      <c r="P718" s="230">
        <f>Table3.110[[#This Row],[Run]]</f>
        <v>3</v>
      </c>
      <c r="Q718" s="230">
        <f>Table3.110[[#This Row],[Replication]]</f>
        <v>1</v>
      </c>
      <c r="R718" s="230">
        <f>Table3.110[[#This Row],[Syrange No]]</f>
        <v>127</v>
      </c>
      <c r="S718" s="271">
        <v>0.55549999999999999</v>
      </c>
      <c r="T718" s="271">
        <v>0.96350000000000002</v>
      </c>
      <c r="U718" s="108"/>
      <c r="V718" s="122">
        <f t="shared" si="59"/>
        <v>0.40800000000000003</v>
      </c>
      <c r="W718" s="61">
        <f>Table3.110[[#This Row],[DM Incubated, mg]]-('3.2 Digest'!V718*1000)</f>
        <v>80.472087677696663</v>
      </c>
      <c r="X718" s="61">
        <f>W718/Table3.110[[#This Row],[DM Incubated, mg]]*100</f>
        <v>16.474244835621743</v>
      </c>
      <c r="Y718" s="37">
        <f>Table3.1[[#This Row],[DM Incubated, mg]]*'2.4 NDF'!R129/100</f>
        <v>315.44196074903795</v>
      </c>
      <c r="Z718" s="37">
        <f t="shared" si="60"/>
        <v>-92.558039250962111</v>
      </c>
      <c r="AA718" s="37">
        <f t="shared" si="61"/>
        <v>-29.342335760016482</v>
      </c>
      <c r="AB718" s="57"/>
    </row>
    <row r="719" spans="2:28" x14ac:dyDescent="0.35">
      <c r="B719" s="230">
        <f t="shared" si="58"/>
        <v>709</v>
      </c>
      <c r="C719" s="247"/>
      <c r="D719" s="248">
        <f>Table3.110[[#This Row],[Date]]</f>
        <v>46076</v>
      </c>
      <c r="E719" s="230" t="str">
        <f>Table3.110[[#This Row],[Requisitioner]]</f>
        <v>Genbank</v>
      </c>
      <c r="F719" s="230" t="str">
        <f>Table3.110[[#This Row],[Gene Bank ID]]</f>
        <v>CIAT-BH22_0519</v>
      </c>
      <c r="G719" s="230" t="str">
        <f>Table3.110[[#This Row],[Genus]]</f>
        <v>Urochloa</v>
      </c>
      <c r="H719" s="230" t="str">
        <f>Table3.110[[#This Row],[Species]]</f>
        <v>humidicola</v>
      </c>
      <c r="I719" s="230" t="str">
        <f>Table3.110[[#This Row],[Tax Name]]</f>
        <v>Urochloa humidicola</v>
      </c>
      <c r="J719" s="230" t="str">
        <f>Table3.110[[#This Row],[Family]]</f>
        <v>Fabaceae</v>
      </c>
      <c r="K719" s="230" t="str">
        <f>Table3.110[[#This Row],[Order]]</f>
        <v>Fabales</v>
      </c>
      <c r="L719" s="230" t="str">
        <f>Table3.110[[#This Row],[Functional Group]]</f>
        <v>Tree</v>
      </c>
      <c r="M719" s="230" t="str">
        <f>Table3.110[[#This Row],[CIAT ID]]</f>
        <v>F252192</v>
      </c>
      <c r="N719" s="230">
        <f>Table3.110[[#This Row],[Set CIAT]]</f>
        <v>28</v>
      </c>
      <c r="O719" s="230">
        <f>Table3.110[[#This Row],[Batch]]</f>
        <v>69</v>
      </c>
      <c r="P719" s="230">
        <f>Table3.110[[#This Row],[Run]]</f>
        <v>3</v>
      </c>
      <c r="Q719" s="230">
        <f>Table3.110[[#This Row],[Replication]]</f>
        <v>2</v>
      </c>
      <c r="R719" s="230">
        <f>Table3.110[[#This Row],[Syrange No]]</f>
        <v>128</v>
      </c>
      <c r="S719" s="98">
        <v>0.59009999999999996</v>
      </c>
      <c r="T719" s="98">
        <v>0.89649999999999996</v>
      </c>
      <c r="U719" s="108"/>
      <c r="V719" s="122">
        <f t="shared" si="59"/>
        <v>0.30640000000000001</v>
      </c>
      <c r="W719" s="61">
        <f>Table3.110[[#This Row],[DM Incubated, mg]]-('3.2 Digest'!V719*1000)</f>
        <v>182.07208767769674</v>
      </c>
      <c r="X719" s="61">
        <f>W719/Table3.110[[#This Row],[DM Incubated, mg]]*100</f>
        <v>37.273795631457126</v>
      </c>
      <c r="Y719" s="37">
        <f>Table3.1[[#This Row],[DM Incubated, mg]]*'2.4 NDF'!R129/100</f>
        <v>315.44196074903795</v>
      </c>
      <c r="Z719" s="37">
        <f t="shared" si="60"/>
        <v>9.041960749037969</v>
      </c>
      <c r="AA719" s="37">
        <f t="shared" si="61"/>
        <v>2.8664419684582327</v>
      </c>
      <c r="AB719" s="57"/>
    </row>
    <row r="720" spans="2:28" x14ac:dyDescent="0.35">
      <c r="B720" s="230">
        <f t="shared" si="58"/>
        <v>710</v>
      </c>
      <c r="C720" s="247"/>
      <c r="D720" s="248">
        <f>Table3.110[[#This Row],[Date]]</f>
        <v>46076</v>
      </c>
      <c r="E720" s="230" t="str">
        <f>Table3.110[[#This Row],[Requisitioner]]</f>
        <v>Genbank</v>
      </c>
      <c r="F720" s="230" t="str">
        <f>Table3.110[[#This Row],[Gene Bank ID]]</f>
        <v>CIAT-BH22_0521</v>
      </c>
      <c r="G720" s="230" t="str">
        <f>Table3.110[[#This Row],[Genus]]</f>
        <v>Urochloa</v>
      </c>
      <c r="H720" s="230" t="str">
        <f>Table3.110[[#This Row],[Species]]</f>
        <v>humidicola</v>
      </c>
      <c r="I720" s="230" t="str">
        <f>Table3.110[[#This Row],[Tax Name]]</f>
        <v>Urochloa humidicola</v>
      </c>
      <c r="J720" s="230" t="str">
        <f>Table3.110[[#This Row],[Family]]</f>
        <v>Poaceae</v>
      </c>
      <c r="K720" s="230" t="str">
        <f>Table3.110[[#This Row],[Order]]</f>
        <v>Poales</v>
      </c>
      <c r="L720" s="230" t="str">
        <f>Table3.110[[#This Row],[Functional Group]]</f>
        <v>grasses</v>
      </c>
      <c r="M720" s="230" t="str">
        <f>Table3.110[[#This Row],[CIAT ID]]</f>
        <v>F252193</v>
      </c>
      <c r="N720" s="230">
        <f>Table3.110[[#This Row],[Set CIAT]]</f>
        <v>28</v>
      </c>
      <c r="O720" s="230">
        <f>Table3.110[[#This Row],[Batch]]</f>
        <v>69</v>
      </c>
      <c r="P720" s="230">
        <f>Table3.110[[#This Row],[Run]]</f>
        <v>3</v>
      </c>
      <c r="Q720" s="230">
        <f>Table3.110[[#This Row],[Replication]]</f>
        <v>1</v>
      </c>
      <c r="R720" s="230">
        <f>Table3.110[[#This Row],[Syrange No]]</f>
        <v>129</v>
      </c>
      <c r="S720" s="271">
        <v>0.57769999999999999</v>
      </c>
      <c r="T720" s="271">
        <v>0.85909999999999997</v>
      </c>
      <c r="U720" s="108"/>
      <c r="V720" s="122">
        <f t="shared" si="59"/>
        <v>0.28139999999999998</v>
      </c>
      <c r="W720" s="61">
        <f>Table3.110[[#This Row],[DM Incubated, mg]]-('3.2 Digest'!V720*1000)</f>
        <v>201.52232330300905</v>
      </c>
      <c r="X720" s="61">
        <f>W720/Table3.110[[#This Row],[DM Incubated, mg]]*100</f>
        <v>41.729759337831254</v>
      </c>
      <c r="Y720" s="37">
        <f>Table3.1[[#This Row],[DM Incubated, mg]]*'2.4 NDF'!R131/100</f>
        <v>322.96063165028886</v>
      </c>
      <c r="Z720" s="37">
        <f t="shared" si="60"/>
        <v>41.560631650288883</v>
      </c>
      <c r="AA720" s="37">
        <f t="shared" si="61"/>
        <v>12.868637096081711</v>
      </c>
      <c r="AB720" s="57"/>
    </row>
    <row r="721" spans="2:28" x14ac:dyDescent="0.35">
      <c r="B721" s="230">
        <f t="shared" si="58"/>
        <v>711</v>
      </c>
      <c r="C721" s="247"/>
      <c r="D721" s="248">
        <f>Table3.110[[#This Row],[Date]]</f>
        <v>46076</v>
      </c>
      <c r="E721" s="230" t="str">
        <f>Table3.110[[#This Row],[Requisitioner]]</f>
        <v>Genbank</v>
      </c>
      <c r="F721" s="230" t="str">
        <f>Table3.110[[#This Row],[Gene Bank ID]]</f>
        <v>CIAT-BH22_0521</v>
      </c>
      <c r="G721" s="230" t="str">
        <f>Table3.110[[#This Row],[Genus]]</f>
        <v>Urochloa</v>
      </c>
      <c r="H721" s="230" t="str">
        <f>Table3.110[[#This Row],[Species]]</f>
        <v>humidicola</v>
      </c>
      <c r="I721" s="230" t="str">
        <f>Table3.110[[#This Row],[Tax Name]]</f>
        <v>Urochloa humidicola</v>
      </c>
      <c r="J721" s="230" t="str">
        <f>Table3.110[[#This Row],[Family]]</f>
        <v>Poaceae</v>
      </c>
      <c r="K721" s="230" t="str">
        <f>Table3.110[[#This Row],[Order]]</f>
        <v>Poales</v>
      </c>
      <c r="L721" s="230" t="str">
        <f>Table3.110[[#This Row],[Functional Group]]</f>
        <v>grasses</v>
      </c>
      <c r="M721" s="230" t="str">
        <f>Table3.110[[#This Row],[CIAT ID]]</f>
        <v>F252193</v>
      </c>
      <c r="N721" s="230">
        <f>Table3.110[[#This Row],[Set CIAT]]</f>
        <v>28</v>
      </c>
      <c r="O721" s="230">
        <f>Table3.110[[#This Row],[Batch]]</f>
        <v>69</v>
      </c>
      <c r="P721" s="230">
        <f>Table3.110[[#This Row],[Run]]</f>
        <v>3</v>
      </c>
      <c r="Q721" s="230">
        <f>Table3.110[[#This Row],[Replication]]</f>
        <v>2</v>
      </c>
      <c r="R721" s="230">
        <f>Table3.110[[#This Row],[Syrange No]]</f>
        <v>130</v>
      </c>
      <c r="S721" s="98">
        <v>0.56740000000000002</v>
      </c>
      <c r="T721" s="98">
        <v>0.99470000000000003</v>
      </c>
      <c r="U721" s="108"/>
      <c r="V721" s="122">
        <f t="shared" si="59"/>
        <v>0.42730000000000001</v>
      </c>
      <c r="W721" s="61">
        <f>Table3.110[[#This Row],[DM Incubated, mg]]-('3.2 Digest'!V721*1000)</f>
        <v>55.429270205546345</v>
      </c>
      <c r="X721" s="61">
        <f>W721/Table3.110[[#This Row],[DM Incubated, mg]]*100</f>
        <v>11.482475504736751</v>
      </c>
      <c r="Y721" s="37">
        <f>Table3.1[[#This Row],[DM Incubated, mg]]*'2.4 NDF'!R131/100</f>
        <v>322.83152486170201</v>
      </c>
      <c r="Z721" s="37">
        <f t="shared" si="60"/>
        <v>-104.468475138298</v>
      </c>
      <c r="AA721" s="37">
        <f t="shared" si="61"/>
        <v>-32.360059998183672</v>
      </c>
      <c r="AB721" s="57"/>
    </row>
    <row r="722" spans="2:28" x14ac:dyDescent="0.35">
      <c r="B722" s="230">
        <f t="shared" si="58"/>
        <v>712</v>
      </c>
      <c r="C722" s="247"/>
      <c r="D722" s="248">
        <f>Table3.110[[#This Row],[Date]]</f>
        <v>46076</v>
      </c>
      <c r="E722" s="230" t="str">
        <f>Table3.110[[#This Row],[Requisitioner]]</f>
        <v>Genbank</v>
      </c>
      <c r="F722" s="230" t="str">
        <f>Table3.110[[#This Row],[Gene Bank ID]]</f>
        <v>CIAT326</v>
      </c>
      <c r="G722" s="230" t="str">
        <f>Table3.110[[#This Row],[Genus]]</f>
        <v>Desmodium</v>
      </c>
      <c r="H722" s="230" t="str">
        <f>Table3.110[[#This Row],[Species]]</f>
        <v>scorpiurus</v>
      </c>
      <c r="I722" s="230" t="str">
        <f>Table3.110[[#This Row],[Tax Name]]</f>
        <v>Desmodium scorpiurus</v>
      </c>
      <c r="J722" s="230" t="str">
        <f>Table3.110[[#This Row],[Family]]</f>
        <v>Fabaceae</v>
      </c>
      <c r="K722" s="230" t="str">
        <f>Table3.110[[#This Row],[Order]]</f>
        <v>Fabales</v>
      </c>
      <c r="L722" s="230" t="str">
        <f>Table3.110[[#This Row],[Functional Group]]</f>
        <v>Tree</v>
      </c>
      <c r="M722" s="230" t="str">
        <f>Table3.110[[#This Row],[CIAT ID]]</f>
        <v>F252574</v>
      </c>
      <c r="N722" s="230">
        <f>Table3.110[[#This Row],[Set CIAT]]</f>
        <v>28</v>
      </c>
      <c r="O722" s="230">
        <f>Table3.110[[#This Row],[Batch]]</f>
        <v>69</v>
      </c>
      <c r="P722" s="230">
        <f>Table3.110[[#This Row],[Run]]</f>
        <v>3</v>
      </c>
      <c r="Q722" s="230">
        <f>Table3.110[[#This Row],[Replication]]</f>
        <v>1</v>
      </c>
      <c r="R722" s="230">
        <f>Table3.110[[#This Row],[Syrange No]]</f>
        <v>131</v>
      </c>
      <c r="S722" s="271">
        <v>0.58899999999999997</v>
      </c>
      <c r="T722" s="271">
        <v>0.89890000000000003</v>
      </c>
      <c r="U722" s="108"/>
      <c r="V722" s="122">
        <f t="shared" si="59"/>
        <v>0.30990000000000006</v>
      </c>
      <c r="W722" s="61">
        <f>Table3.110[[#This Row],[DM Incubated, mg]]-('3.2 Digest'!V722*1000)</f>
        <v>148.57500208341696</v>
      </c>
      <c r="X722" s="61">
        <f>W722/Table3.110[[#This Row],[DM Incubated, mg]]*100</f>
        <v>32.406347436230462</v>
      </c>
      <c r="Y722" s="37">
        <f>Table3.1[[#This Row],[DM Incubated, mg]]*'2.4 NDF'!R133/100</f>
        <v>255.16538810954171</v>
      </c>
      <c r="Z722" s="37">
        <f t="shared" si="60"/>
        <v>-54.734611890458382</v>
      </c>
      <c r="AA722" s="37">
        <f t="shared" si="61"/>
        <v>-21.450641208031314</v>
      </c>
      <c r="AB722" s="57"/>
    </row>
    <row r="723" spans="2:28" x14ac:dyDescent="0.35">
      <c r="B723" s="230">
        <f t="shared" si="58"/>
        <v>713</v>
      </c>
      <c r="C723" s="247"/>
      <c r="D723" s="248">
        <f>Table3.110[[#This Row],[Date]]</f>
        <v>46076</v>
      </c>
      <c r="E723" s="230" t="str">
        <f>Table3.110[[#This Row],[Requisitioner]]</f>
        <v>Genbank</v>
      </c>
      <c r="F723" s="230" t="str">
        <f>Table3.110[[#This Row],[Gene Bank ID]]</f>
        <v>CIAT326</v>
      </c>
      <c r="G723" s="230" t="str">
        <f>Table3.110[[#This Row],[Genus]]</f>
        <v>Desmodium</v>
      </c>
      <c r="H723" s="230" t="str">
        <f>Table3.110[[#This Row],[Species]]</f>
        <v>scorpiurus</v>
      </c>
      <c r="I723" s="230" t="str">
        <f>Table3.110[[#This Row],[Tax Name]]</f>
        <v>Desmodium scorpiurus</v>
      </c>
      <c r="J723" s="230" t="str">
        <f>Table3.110[[#This Row],[Family]]</f>
        <v>Fabaceae</v>
      </c>
      <c r="K723" s="230" t="str">
        <f>Table3.110[[#This Row],[Order]]</f>
        <v>Fabales</v>
      </c>
      <c r="L723" s="230" t="str">
        <f>Table3.110[[#This Row],[Functional Group]]</f>
        <v>Tree</v>
      </c>
      <c r="M723" s="230" t="str">
        <f>Table3.110[[#This Row],[CIAT ID]]</f>
        <v>F252574</v>
      </c>
      <c r="N723" s="230">
        <f>Table3.110[[#This Row],[Set CIAT]]</f>
        <v>28</v>
      </c>
      <c r="O723" s="230">
        <f>Table3.110[[#This Row],[Batch]]</f>
        <v>69</v>
      </c>
      <c r="P723" s="230">
        <f>Table3.110[[#This Row],[Run]]</f>
        <v>3</v>
      </c>
      <c r="Q723" s="230">
        <f>Table3.110[[#This Row],[Replication]]</f>
        <v>2</v>
      </c>
      <c r="R723" s="230">
        <f>Table3.110[[#This Row],[Syrange No]]</f>
        <v>132</v>
      </c>
      <c r="S723" s="98">
        <v>0.58679999999999999</v>
      </c>
      <c r="T723" s="98">
        <v>1.0149999999999999</v>
      </c>
      <c r="U723" s="108"/>
      <c r="V723" s="122">
        <f t="shared" si="59"/>
        <v>0.42819999999999991</v>
      </c>
      <c r="W723" s="61">
        <f>Table3.110[[#This Row],[DM Incubated, mg]]-('3.2 Digest'!V723*1000)</f>
        <v>30.183325418333425</v>
      </c>
      <c r="X723" s="61">
        <f>W723/Table3.110[[#This Row],[DM Incubated, mg]]*100</f>
        <v>6.5847345975744833</v>
      </c>
      <c r="Y723" s="37">
        <f>Table3.1[[#This Row],[DM Incubated, mg]]*'2.4 NDF'!R133/100</f>
        <v>255.11436523649436</v>
      </c>
      <c r="Z723" s="37">
        <f t="shared" si="60"/>
        <v>-173.08563476350557</v>
      </c>
      <c r="AA723" s="37">
        <f t="shared" si="61"/>
        <v>-67.846291055798801</v>
      </c>
      <c r="AB723" s="57"/>
    </row>
    <row r="724" spans="2:28" x14ac:dyDescent="0.35">
      <c r="B724" s="230">
        <f t="shared" si="58"/>
        <v>714</v>
      </c>
      <c r="C724" s="247"/>
      <c r="D724" s="248">
        <f>Table3.110[[#This Row],[Date]]</f>
        <v>46076</v>
      </c>
      <c r="E724" s="230" t="str">
        <f>Table3.110[[#This Row],[Requisitioner]]</f>
        <v>Jacobo Arango/Alejandro Montoya</v>
      </c>
      <c r="F724" s="230" t="str">
        <f>Table3.110[[#This Row],[Gene Bank ID]]</f>
        <v>Sample 8</v>
      </c>
      <c r="G724" s="230" t="str">
        <f>Table3.110[[#This Row],[Genus]]</f>
        <v>Cynodon</v>
      </c>
      <c r="H724" s="230" t="str">
        <f>Table3.110[[#This Row],[Species]]</f>
        <v>nlemfuensis</v>
      </c>
      <c r="I724" s="230" t="str">
        <f>Table3.110[[#This Row],[Tax Name]]</f>
        <v xml:space="preserve">Cynodon nlemfuensis </v>
      </c>
      <c r="J724" s="230" t="str">
        <f>Table3.110[[#This Row],[Family]]</f>
        <v>Poaceae</v>
      </c>
      <c r="K724" s="230" t="str">
        <f>Table3.110[[#This Row],[Order]]</f>
        <v>Poales</v>
      </c>
      <c r="L724" s="230" t="str">
        <f>Table3.110[[#This Row],[Functional Group]]</f>
        <v>grasses</v>
      </c>
      <c r="M724" s="230" t="str">
        <f>Table3.110[[#This Row],[CIAT ID]]</f>
        <v>F250008</v>
      </c>
      <c r="N724" s="230">
        <f>Table3.110[[#This Row],[Set CIAT]]</f>
        <v>28</v>
      </c>
      <c r="O724" s="230">
        <f>Table3.110[[#This Row],[Batch]]</f>
        <v>69</v>
      </c>
      <c r="P724" s="230">
        <f>Table3.110[[#This Row],[Run]]</f>
        <v>3</v>
      </c>
      <c r="Q724" s="230">
        <f>Table3.110[[#This Row],[Replication]]</f>
        <v>1</v>
      </c>
      <c r="R724" s="230">
        <f>Table3.110[[#This Row],[Syrange No]]</f>
        <v>133</v>
      </c>
      <c r="S724" s="271">
        <v>0.57620000000000005</v>
      </c>
      <c r="T724" s="271">
        <v>0.99850000000000005</v>
      </c>
      <c r="U724" s="108"/>
      <c r="V724" s="122">
        <f t="shared" si="59"/>
        <v>0.42230000000000001</v>
      </c>
      <c r="W724" s="61">
        <f>Table3.110[[#This Row],[DM Incubated, mg]]-('3.2 Digest'!V724*1000)</f>
        <v>45.449999999999989</v>
      </c>
      <c r="X724" s="61">
        <f>W724/Table3.110[[#This Row],[DM Incubated, mg]]*100</f>
        <v>9.7167290219134124</v>
      </c>
      <c r="Y724" s="37">
        <f>Table3.1[[#This Row],[DM Incubated, mg]]*'2.4 NDF'!R135/100</f>
        <v>355.95774999999992</v>
      </c>
      <c r="Z724" s="37">
        <f t="shared" si="60"/>
        <v>-66.342250000000092</v>
      </c>
      <c r="AA724" s="37">
        <f t="shared" si="61"/>
        <v>-18.637675398274123</v>
      </c>
      <c r="AB724" s="57"/>
    </row>
    <row r="725" spans="2:28" x14ac:dyDescent="0.35">
      <c r="B725" s="230">
        <f t="shared" ref="B725:B788" si="64">B724+1</f>
        <v>715</v>
      </c>
      <c r="C725" s="247"/>
      <c r="D725" s="248">
        <f>Table3.110[[#This Row],[Date]]</f>
        <v>46076</v>
      </c>
      <c r="E725" s="230" t="str">
        <f>Table3.110[[#This Row],[Requisitioner]]</f>
        <v>Jacobo Arango/Alejandro Montoya</v>
      </c>
      <c r="F725" s="230" t="str">
        <f>Table3.110[[#This Row],[Gene Bank ID]]</f>
        <v>Sample 8</v>
      </c>
      <c r="G725" s="230" t="str">
        <f>Table3.110[[#This Row],[Genus]]</f>
        <v>Cynodon</v>
      </c>
      <c r="H725" s="230" t="str">
        <f>Table3.110[[#This Row],[Species]]</f>
        <v>nlemfuensis</v>
      </c>
      <c r="I725" s="230" t="str">
        <f>Table3.110[[#This Row],[Tax Name]]</f>
        <v xml:space="preserve">Cynodon nlemfuensis </v>
      </c>
      <c r="J725" s="230" t="str">
        <f>Table3.110[[#This Row],[Family]]</f>
        <v>Poaceae</v>
      </c>
      <c r="K725" s="230" t="str">
        <f>Table3.110[[#This Row],[Order]]</f>
        <v>Poales</v>
      </c>
      <c r="L725" s="230" t="str">
        <f>Table3.110[[#This Row],[Functional Group]]</f>
        <v>grasses</v>
      </c>
      <c r="M725" s="230" t="str">
        <f>Table3.110[[#This Row],[CIAT ID]]</f>
        <v>F250008</v>
      </c>
      <c r="N725" s="230">
        <f>Table3.110[[#This Row],[Set CIAT]]</f>
        <v>28</v>
      </c>
      <c r="O725" s="230">
        <f>Table3.110[[#This Row],[Batch]]</f>
        <v>69</v>
      </c>
      <c r="P725" s="230">
        <f>Table3.110[[#This Row],[Run]]</f>
        <v>3</v>
      </c>
      <c r="Q725" s="230">
        <f>Table3.110[[#This Row],[Replication]]</f>
        <v>2</v>
      </c>
      <c r="R725" s="230">
        <f>Table3.110[[#This Row],[Syrange No]]</f>
        <v>134</v>
      </c>
      <c r="S725" s="98">
        <v>0.57720000000000005</v>
      </c>
      <c r="T725" s="98">
        <v>0.93169999999999997</v>
      </c>
      <c r="U725" s="108"/>
      <c r="V725" s="122">
        <f t="shared" si="59"/>
        <v>0.35449999999999993</v>
      </c>
      <c r="W725" s="61">
        <f>Table3.110[[#This Row],[DM Incubated, mg]]-('3.2 Digest'!V725*1000)</f>
        <v>113.25000000000006</v>
      </c>
      <c r="X725" s="61">
        <f>W725/Table3.110[[#This Row],[DM Incubated, mg]]*100</f>
        <v>24.211651523249611</v>
      </c>
      <c r="Y725" s="37">
        <f>Table3.1[[#This Row],[DM Incubated, mg]]*'2.4 NDF'!R135/100</f>
        <v>355.95774999999992</v>
      </c>
      <c r="Z725" s="37">
        <f t="shared" si="60"/>
        <v>1.4577499999999759</v>
      </c>
      <c r="AA725" s="37">
        <f t="shared" si="61"/>
        <v>0.40952893988120115</v>
      </c>
      <c r="AB725" s="57"/>
    </row>
    <row r="726" spans="2:28" x14ac:dyDescent="0.35">
      <c r="B726" s="230">
        <f t="shared" si="64"/>
        <v>716</v>
      </c>
      <c r="C726" s="247"/>
      <c r="D726" s="248">
        <f>Table3.110[[#This Row],[Date]]</f>
        <v>46076</v>
      </c>
      <c r="E726" s="230" t="str">
        <f>Table3.110[[#This Row],[Requisitioner]]</f>
        <v>Genbank</v>
      </c>
      <c r="F726" s="230" t="str">
        <f>Table3.110[[#This Row],[Gene Bank ID]]</f>
        <v>BLANK 8 H</v>
      </c>
      <c r="G726" s="230" t="str">
        <f>Table3.110[[#This Row],[Genus]]</f>
        <v>BLANK</v>
      </c>
      <c r="H726" s="230">
        <f>Table3.110[[#This Row],[Species]]</f>
        <v>8</v>
      </c>
      <c r="I726" s="230" t="str">
        <f>Table3.110[[#This Row],[Tax Name]]</f>
        <v>BLANK 8 H</v>
      </c>
      <c r="J726" s="230">
        <f>Table3.110[[#This Row],[Family]]</f>
        <v>0</v>
      </c>
      <c r="K726" s="230">
        <f>Table3.110[[#This Row],[Order]]</f>
        <v>0</v>
      </c>
      <c r="L726" s="230">
        <f>Table3.110[[#This Row],[Functional Group]]</f>
        <v>0</v>
      </c>
      <c r="M726" s="230" t="str">
        <f>Table3.110[[#This Row],[CIAT ID]]</f>
        <v>BLANK8H</v>
      </c>
      <c r="N726" s="230">
        <f>Table3.110[[#This Row],[Set CIAT]]</f>
        <v>28</v>
      </c>
      <c r="O726" s="230">
        <f>Table3.110[[#This Row],[Batch]]</f>
        <v>69</v>
      </c>
      <c r="P726" s="230">
        <f>Table3.110[[#This Row],[Run]]</f>
        <v>3</v>
      </c>
      <c r="Q726" s="230">
        <f>Table3.110[[#This Row],[Replication]]</f>
        <v>1</v>
      </c>
      <c r="R726" s="230">
        <f>Table3.110[[#This Row],[Syrange No]]</f>
        <v>135</v>
      </c>
      <c r="S726" s="249"/>
      <c r="T726" s="249"/>
      <c r="U726" s="108"/>
      <c r="V726" s="122"/>
      <c r="W726" s="61"/>
      <c r="X726" s="61"/>
      <c r="Y726" s="37"/>
      <c r="Z726" s="37"/>
      <c r="AA726" s="37"/>
      <c r="AB726" s="57"/>
    </row>
    <row r="727" spans="2:28" x14ac:dyDescent="0.35">
      <c r="B727" s="230">
        <f t="shared" si="64"/>
        <v>717</v>
      </c>
      <c r="C727" s="247"/>
      <c r="D727" s="248">
        <f>Table3.110[[#This Row],[Date]]</f>
        <v>46076</v>
      </c>
      <c r="E727" s="230" t="str">
        <f>Table3.110[[#This Row],[Requisitioner]]</f>
        <v>Genbank</v>
      </c>
      <c r="F727" s="230" t="str">
        <f>Table3.110[[#This Row],[Gene Bank ID]]</f>
        <v>BLANK 8 H</v>
      </c>
      <c r="G727" s="230" t="str">
        <f>Table3.110[[#This Row],[Genus]]</f>
        <v>BLANK</v>
      </c>
      <c r="H727" s="230">
        <f>Table3.110[[#This Row],[Species]]</f>
        <v>8</v>
      </c>
      <c r="I727" s="230" t="str">
        <f>Table3.110[[#This Row],[Tax Name]]</f>
        <v>BLANK 8 H</v>
      </c>
      <c r="J727" s="230">
        <f>Table3.110[[#This Row],[Family]]</f>
        <v>0</v>
      </c>
      <c r="K727" s="230">
        <f>Table3.110[[#This Row],[Order]]</f>
        <v>0</v>
      </c>
      <c r="L727" s="230">
        <f>Table3.110[[#This Row],[Functional Group]]</f>
        <v>0</v>
      </c>
      <c r="M727" s="230" t="str">
        <f>Table3.110[[#This Row],[CIAT ID]]</f>
        <v>BLANK8H</v>
      </c>
      <c r="N727" s="230">
        <f>Table3.110[[#This Row],[Set CIAT]]</f>
        <v>28</v>
      </c>
      <c r="O727" s="230">
        <f>Table3.110[[#This Row],[Batch]]</f>
        <v>69</v>
      </c>
      <c r="P727" s="230">
        <f>Table3.110[[#This Row],[Run]]</f>
        <v>3</v>
      </c>
      <c r="Q727" s="230">
        <f>Table3.110[[#This Row],[Replication]]</f>
        <v>2</v>
      </c>
      <c r="R727" s="230">
        <f>Table3.110[[#This Row],[Syrange No]]</f>
        <v>136</v>
      </c>
      <c r="S727" s="148"/>
      <c r="T727" s="148"/>
      <c r="U727" s="108"/>
      <c r="V727" s="122"/>
      <c r="W727" s="61"/>
      <c r="X727" s="61"/>
      <c r="Y727" s="37"/>
      <c r="Z727" s="37"/>
      <c r="AA727" s="37"/>
      <c r="AB727" s="57"/>
    </row>
    <row r="728" spans="2:28" x14ac:dyDescent="0.35">
      <c r="B728" s="230">
        <f t="shared" si="64"/>
        <v>718</v>
      </c>
      <c r="C728" s="247"/>
      <c r="D728" s="248">
        <f>Table3.110[[#This Row],[Date]]</f>
        <v>46076</v>
      </c>
      <c r="E728" s="230" t="str">
        <f>Table3.110[[#This Row],[Requisitioner]]</f>
        <v>Genbank</v>
      </c>
      <c r="F728" s="230" t="str">
        <f>Table3.110[[#This Row],[Gene Bank ID]]</f>
        <v>CIAT415</v>
      </c>
      <c r="G728" s="230" t="str">
        <f>Table3.110[[#This Row],[Genus]]</f>
        <v>Vigna</v>
      </c>
      <c r="H728" s="230" t="str">
        <f>Table3.110[[#This Row],[Species]]</f>
        <v>radiata</v>
      </c>
      <c r="I728" s="230" t="str">
        <f>Table3.110[[#This Row],[Tax Name]]</f>
        <v>Vigna radiata</v>
      </c>
      <c r="J728" s="230" t="str">
        <f>Table3.110[[#This Row],[Family]]</f>
        <v>Fabaceae</v>
      </c>
      <c r="K728" s="230" t="str">
        <f>Table3.110[[#This Row],[Order]]</f>
        <v>Fabales</v>
      </c>
      <c r="L728" s="230" t="str">
        <f>Table3.110[[#This Row],[Functional Group]]</f>
        <v>Tree</v>
      </c>
      <c r="M728" s="230" t="str">
        <f>Table3.110[[#This Row],[CIAT ID]]</f>
        <v>F252575</v>
      </c>
      <c r="N728" s="230">
        <f>Table3.110[[#This Row],[Set CIAT]]</f>
        <v>28</v>
      </c>
      <c r="O728" s="230">
        <f>Table3.110[[#This Row],[Batch]]</f>
        <v>69</v>
      </c>
      <c r="P728" s="230">
        <f>Table3.110[[#This Row],[Run]]</f>
        <v>3</v>
      </c>
      <c r="Q728" s="230">
        <f>Table3.110[[#This Row],[Replication]]</f>
        <v>1</v>
      </c>
      <c r="R728" s="230">
        <f>Table3.110[[#This Row],[Syrange No]]</f>
        <v>137</v>
      </c>
      <c r="S728" s="271">
        <v>0.5645</v>
      </c>
      <c r="T728" s="271">
        <v>0.77</v>
      </c>
      <c r="U728" s="231"/>
      <c r="V728" s="122">
        <f t="shared" ref="V728:V787" si="65">T728-S728</f>
        <v>0.20550000000000002</v>
      </c>
      <c r="W728" s="61">
        <f>Table3.110[[#This Row],[DM Incubated, mg]]-('3.2 Digest'!V728*1000)</f>
        <v>254.36700000000005</v>
      </c>
      <c r="X728" s="61">
        <f>W728/Table3.110[[#This Row],[DM Incubated, mg]]*100</f>
        <v>55.313166632961277</v>
      </c>
      <c r="Y728" s="37">
        <f>Table3.1[[#This Row],[DM Incubated, mg]]*'2.4 NDF'!R137/100</f>
        <v>194.0557614297127</v>
      </c>
      <c r="Z728" s="37">
        <f t="shared" ref="Z728:Z787" si="66">Y728-(V728*1000)</f>
        <v>-11.444238570287325</v>
      </c>
      <c r="AA728" s="37">
        <f t="shared" ref="AA728:AA787" si="67">Z728/Y728*100</f>
        <v>-5.8973969574371257</v>
      </c>
      <c r="AB728" s="57"/>
    </row>
    <row r="729" spans="2:28" x14ac:dyDescent="0.35">
      <c r="B729" s="230">
        <f t="shared" si="64"/>
        <v>719</v>
      </c>
      <c r="C729" s="247"/>
      <c r="D729" s="248">
        <f>Table3.110[[#This Row],[Date]]</f>
        <v>46076</v>
      </c>
      <c r="E729" s="230" t="str">
        <f>Table3.110[[#This Row],[Requisitioner]]</f>
        <v>Genbank</v>
      </c>
      <c r="F729" s="230" t="str">
        <f>Table3.110[[#This Row],[Gene Bank ID]]</f>
        <v>CIAT415</v>
      </c>
      <c r="G729" s="230" t="str">
        <f>Table3.110[[#This Row],[Genus]]</f>
        <v>Vigna</v>
      </c>
      <c r="H729" s="230" t="str">
        <f>Table3.110[[#This Row],[Species]]</f>
        <v>radiata</v>
      </c>
      <c r="I729" s="230" t="str">
        <f>Table3.110[[#This Row],[Tax Name]]</f>
        <v>Vigna radiata</v>
      </c>
      <c r="J729" s="230" t="str">
        <f>Table3.110[[#This Row],[Family]]</f>
        <v>Fabaceae</v>
      </c>
      <c r="K729" s="230" t="str">
        <f>Table3.110[[#This Row],[Order]]</f>
        <v>Fabales</v>
      </c>
      <c r="L729" s="230" t="str">
        <f>Table3.110[[#This Row],[Functional Group]]</f>
        <v>Tree</v>
      </c>
      <c r="M729" s="230" t="str">
        <f>Table3.110[[#This Row],[CIAT ID]]</f>
        <v>F252575</v>
      </c>
      <c r="N729" s="230">
        <f>Table3.110[[#This Row],[Set CIAT]]</f>
        <v>28</v>
      </c>
      <c r="O729" s="230">
        <f>Table3.110[[#This Row],[Batch]]</f>
        <v>69</v>
      </c>
      <c r="P729" s="230">
        <f>Table3.110[[#This Row],[Run]]</f>
        <v>3</v>
      </c>
      <c r="Q729" s="230">
        <f>Table3.110[[#This Row],[Replication]]</f>
        <v>2</v>
      </c>
      <c r="R729" s="230">
        <f>Table3.110[[#This Row],[Syrange No]]</f>
        <v>138</v>
      </c>
      <c r="S729" s="98">
        <v>0.58199999999999996</v>
      </c>
      <c r="T729" s="98">
        <v>0.82420000000000004</v>
      </c>
      <c r="U729" s="108"/>
      <c r="V729" s="122">
        <f t="shared" si="65"/>
        <v>0.24220000000000008</v>
      </c>
      <c r="W729" s="61">
        <f>Table3.110[[#This Row],[DM Incubated, mg]]-('3.2 Digest'!V729*1000)</f>
        <v>217.57506337465011</v>
      </c>
      <c r="X729" s="61">
        <f>W729/Table3.110[[#This Row],[DM Incubated, mg]]*100</f>
        <v>47.322066964157621</v>
      </c>
      <c r="Y729" s="37">
        <f>Table3.1[[#This Row],[DM Incubated, mg]]*'2.4 NDF'!R137/100</f>
        <v>194.01696579568033</v>
      </c>
      <c r="Z729" s="37">
        <f t="shared" si="66"/>
        <v>-48.183034204319739</v>
      </c>
      <c r="AA729" s="37">
        <f t="shared" si="67"/>
        <v>-24.834443733679144</v>
      </c>
      <c r="AB729" s="57"/>
    </row>
    <row r="730" spans="2:28" x14ac:dyDescent="0.35">
      <c r="B730" s="230">
        <f t="shared" si="64"/>
        <v>720</v>
      </c>
      <c r="C730" s="247"/>
      <c r="D730" s="248">
        <f>Table3.110[[#This Row],[Date]]</f>
        <v>46076</v>
      </c>
      <c r="E730" s="230" t="str">
        <f>Table3.110[[#This Row],[Requisitioner]]</f>
        <v>Genbank</v>
      </c>
      <c r="F730" s="230" t="str">
        <f>Table3.110[[#This Row],[Gene Bank ID]]</f>
        <v>CIAT416</v>
      </c>
      <c r="G730" s="230" t="str">
        <f>Table3.110[[#This Row],[Genus]]</f>
        <v>Vigna</v>
      </c>
      <c r="H730" s="230" t="str">
        <f>Table3.110[[#This Row],[Species]]</f>
        <v>radiata</v>
      </c>
      <c r="I730" s="230" t="str">
        <f>Table3.110[[#This Row],[Tax Name]]</f>
        <v>Vigna radiata</v>
      </c>
      <c r="J730" s="230" t="str">
        <f>Table3.110[[#This Row],[Family]]</f>
        <v>Fabaceae</v>
      </c>
      <c r="K730" s="230" t="str">
        <f>Table3.110[[#This Row],[Order]]</f>
        <v>Fabales</v>
      </c>
      <c r="L730" s="230" t="str">
        <f>Table3.110[[#This Row],[Functional Group]]</f>
        <v>Tree</v>
      </c>
      <c r="M730" s="230" t="str">
        <f>Table3.110[[#This Row],[CIAT ID]]</f>
        <v>F252576</v>
      </c>
      <c r="N730" s="230">
        <f>Table3.110[[#This Row],[Set CIAT]]</f>
        <v>28</v>
      </c>
      <c r="O730" s="230">
        <f>Table3.110[[#This Row],[Batch]]</f>
        <v>69</v>
      </c>
      <c r="P730" s="230">
        <f>Table3.110[[#This Row],[Run]]</f>
        <v>3</v>
      </c>
      <c r="Q730" s="230">
        <f>Table3.110[[#This Row],[Replication]]</f>
        <v>1</v>
      </c>
      <c r="R730" s="230">
        <f>Table3.110[[#This Row],[Syrange No]]</f>
        <v>139</v>
      </c>
      <c r="S730" s="271">
        <v>0.60240000000000005</v>
      </c>
      <c r="T730" s="271">
        <v>0.7792</v>
      </c>
      <c r="U730" s="108"/>
      <c r="V730" s="122">
        <f t="shared" si="65"/>
        <v>0.17679999999999996</v>
      </c>
      <c r="W730" s="61">
        <f>Table3.110[[#This Row],[DM Incubated, mg]]-('3.2 Digest'!V730*1000)</f>
        <v>280.52713643178407</v>
      </c>
      <c r="X730" s="61">
        <f>W730/Table3.110[[#This Row],[DM Incubated, mg]]*100</f>
        <v>61.340584033685076</v>
      </c>
      <c r="Y730" s="37">
        <f>Table3.1[[#This Row],[DM Incubated, mg]]*'2.4 NDF'!R139/100</f>
        <v>207.89950850145127</v>
      </c>
      <c r="Z730" s="37">
        <f t="shared" si="66"/>
        <v>31.099508501451311</v>
      </c>
      <c r="AA730" s="37">
        <f t="shared" si="67"/>
        <v>14.958913912600336</v>
      </c>
      <c r="AB730" s="57"/>
    </row>
    <row r="731" spans="2:28" x14ac:dyDescent="0.35">
      <c r="B731" s="230">
        <f t="shared" si="64"/>
        <v>721</v>
      </c>
      <c r="C731" s="247"/>
      <c r="D731" s="248">
        <f>Table3.110[[#This Row],[Date]]</f>
        <v>46076</v>
      </c>
      <c r="E731" s="230" t="str">
        <f>Table3.110[[#This Row],[Requisitioner]]</f>
        <v>Genbank</v>
      </c>
      <c r="F731" s="230" t="str">
        <f>Table3.110[[#This Row],[Gene Bank ID]]</f>
        <v>CIAT416</v>
      </c>
      <c r="G731" s="230" t="str">
        <f>Table3.110[[#This Row],[Genus]]</f>
        <v>Vigna</v>
      </c>
      <c r="H731" s="230" t="str">
        <f>Table3.110[[#This Row],[Species]]</f>
        <v>radiata</v>
      </c>
      <c r="I731" s="230" t="str">
        <f>Table3.110[[#This Row],[Tax Name]]</f>
        <v>Vigna radiata</v>
      </c>
      <c r="J731" s="230" t="str">
        <f>Table3.110[[#This Row],[Family]]</f>
        <v>Fabaceae</v>
      </c>
      <c r="K731" s="230" t="str">
        <f>Table3.110[[#This Row],[Order]]</f>
        <v>Fabales</v>
      </c>
      <c r="L731" s="230" t="str">
        <f>Table3.110[[#This Row],[Functional Group]]</f>
        <v>Tree</v>
      </c>
      <c r="M731" s="230" t="str">
        <f>Table3.110[[#This Row],[CIAT ID]]</f>
        <v>F252576</v>
      </c>
      <c r="N731" s="230">
        <f>Table3.110[[#This Row],[Set CIAT]]</f>
        <v>28</v>
      </c>
      <c r="O731" s="230">
        <f>Table3.110[[#This Row],[Batch]]</f>
        <v>69</v>
      </c>
      <c r="P731" s="230">
        <f>Table3.110[[#This Row],[Run]]</f>
        <v>3</v>
      </c>
      <c r="Q731" s="230">
        <f>Table3.110[[#This Row],[Replication]]</f>
        <v>2</v>
      </c>
      <c r="R731" s="230">
        <f>Table3.110[[#This Row],[Syrange No]]</f>
        <v>140</v>
      </c>
      <c r="S731" s="98">
        <v>0.5655</v>
      </c>
      <c r="T731" s="98">
        <v>0.8246</v>
      </c>
      <c r="U731" s="108"/>
      <c r="V731" s="122">
        <f t="shared" si="65"/>
        <v>0.2591</v>
      </c>
      <c r="W731" s="61">
        <f>Table3.110[[#This Row],[DM Incubated, mg]]-('3.2 Digest'!V731*1000)</f>
        <v>198.13570757603992</v>
      </c>
      <c r="X731" s="61">
        <f>W731/Table3.110[[#This Row],[DM Incubated, mg]]*100</f>
        <v>43.333384574538997</v>
      </c>
      <c r="Y731" s="37">
        <f>Table3.1[[#This Row],[DM Incubated, mg]]*'2.4 NDF'!R139/100</f>
        <v>207.85794522506151</v>
      </c>
      <c r="Z731" s="37">
        <f t="shared" si="66"/>
        <v>-51.242054774938509</v>
      </c>
      <c r="AA731" s="37">
        <f t="shared" si="67"/>
        <v>-24.652439780185141</v>
      </c>
      <c r="AB731" s="57"/>
    </row>
    <row r="732" spans="2:28" x14ac:dyDescent="0.35">
      <c r="B732" s="230">
        <f t="shared" si="64"/>
        <v>722</v>
      </c>
      <c r="C732" s="247"/>
      <c r="D732" s="248">
        <f>Table3.110[[#This Row],[Date]]</f>
        <v>46076</v>
      </c>
      <c r="E732" s="230" t="str">
        <f>Table3.110[[#This Row],[Requisitioner]]</f>
        <v>Genbank</v>
      </c>
      <c r="F732" s="230" t="str">
        <f>Table3.110[[#This Row],[Gene Bank ID]]</f>
        <v>CIAT517</v>
      </c>
      <c r="G732" s="230" t="str">
        <f>Table3.110[[#This Row],[Genus]]</f>
        <v>Macroptilium</v>
      </c>
      <c r="H732" s="230" t="str">
        <f>Table3.110[[#This Row],[Species]]</f>
        <v>atropurpureum</v>
      </c>
      <c r="I732" s="230" t="str">
        <f>Table3.110[[#This Row],[Tax Name]]</f>
        <v>Macroptilium atropurpureum</v>
      </c>
      <c r="J732" s="230" t="str">
        <f>Table3.110[[#This Row],[Family]]</f>
        <v>Fabaceae</v>
      </c>
      <c r="K732" s="230" t="str">
        <f>Table3.110[[#This Row],[Order]]</f>
        <v>Fabales</v>
      </c>
      <c r="L732" s="230" t="str">
        <f>Table3.110[[#This Row],[Functional Group]]</f>
        <v>Tree</v>
      </c>
      <c r="M732" s="230" t="str">
        <f>Table3.110[[#This Row],[CIAT ID]]</f>
        <v>F252577</v>
      </c>
      <c r="N732" s="230">
        <f>Table3.110[[#This Row],[Set CIAT]]</f>
        <v>28</v>
      </c>
      <c r="O732" s="230">
        <f>Table3.110[[#This Row],[Batch]]</f>
        <v>69</v>
      </c>
      <c r="P732" s="230">
        <f>Table3.110[[#This Row],[Run]]</f>
        <v>3</v>
      </c>
      <c r="Q732" s="230">
        <f>Table3.110[[#This Row],[Replication]]</f>
        <v>1</v>
      </c>
      <c r="R732" s="230">
        <f>Table3.110[[#This Row],[Syrange No]]</f>
        <v>141</v>
      </c>
      <c r="S732" s="271">
        <v>0.54990000000000006</v>
      </c>
      <c r="T732" s="271">
        <v>0.85</v>
      </c>
      <c r="U732" s="108"/>
      <c r="V732" s="122">
        <f t="shared" si="65"/>
        <v>0.30009999999999992</v>
      </c>
      <c r="W732" s="61">
        <f>Table3.110[[#This Row],[DM Incubated, mg]]-('3.2 Digest'!V732*1000)</f>
        <v>155.58889039433535</v>
      </c>
      <c r="X732" s="61">
        <f>W732/Table3.110[[#This Row],[DM Incubated, mg]]*100</f>
        <v>34.143665486269555</v>
      </c>
      <c r="Y732" s="37">
        <f>Table3.1[[#This Row],[DM Incubated, mg]]*'2.4 NDF'!R141/100</f>
        <v>207.83065453303195</v>
      </c>
      <c r="Z732" s="37">
        <f t="shared" si="66"/>
        <v>-92.269345466967962</v>
      </c>
      <c r="AA732" s="37">
        <f t="shared" si="67"/>
        <v>-44.396408063230616</v>
      </c>
      <c r="AB732" s="57"/>
    </row>
    <row r="733" spans="2:28" x14ac:dyDescent="0.35">
      <c r="B733" s="230">
        <f t="shared" si="64"/>
        <v>723</v>
      </c>
      <c r="C733" s="247"/>
      <c r="D733" s="248">
        <f>Table3.110[[#This Row],[Date]]</f>
        <v>46076</v>
      </c>
      <c r="E733" s="230" t="str">
        <f>Table3.110[[#This Row],[Requisitioner]]</f>
        <v>Genbank</v>
      </c>
      <c r="F733" s="230" t="str">
        <f>Table3.110[[#This Row],[Gene Bank ID]]</f>
        <v>CIAT517</v>
      </c>
      <c r="G733" s="230" t="str">
        <f>Table3.110[[#This Row],[Genus]]</f>
        <v>Macroptilium</v>
      </c>
      <c r="H733" s="230" t="str">
        <f>Table3.110[[#This Row],[Species]]</f>
        <v>atropurpureum</v>
      </c>
      <c r="I733" s="230" t="str">
        <f>Table3.110[[#This Row],[Tax Name]]</f>
        <v>Macroptilium atropurpureum</v>
      </c>
      <c r="J733" s="230" t="str">
        <f>Table3.110[[#This Row],[Family]]</f>
        <v>Fabaceae</v>
      </c>
      <c r="K733" s="230" t="str">
        <f>Table3.110[[#This Row],[Order]]</f>
        <v>Fabales</v>
      </c>
      <c r="L733" s="230" t="str">
        <f>Table3.110[[#This Row],[Functional Group]]</f>
        <v>Tree</v>
      </c>
      <c r="M733" s="230" t="str">
        <f>Table3.110[[#This Row],[CIAT ID]]</f>
        <v>F252577</v>
      </c>
      <c r="N733" s="230">
        <f>Table3.110[[#This Row],[Set CIAT]]</f>
        <v>28</v>
      </c>
      <c r="O733" s="230">
        <f>Table3.110[[#This Row],[Batch]]</f>
        <v>69</v>
      </c>
      <c r="P733" s="230">
        <f>Table3.110[[#This Row],[Run]]</f>
        <v>3</v>
      </c>
      <c r="Q733" s="230">
        <f>Table3.110[[#This Row],[Replication]]</f>
        <v>2</v>
      </c>
      <c r="R733" s="230">
        <f>Table3.110[[#This Row],[Syrange No]]</f>
        <v>142</v>
      </c>
      <c r="S733" s="98">
        <v>0.56789999999999996</v>
      </c>
      <c r="T733" s="98">
        <v>0.87270000000000003</v>
      </c>
      <c r="U733" s="108"/>
      <c r="V733" s="122">
        <f t="shared" si="65"/>
        <v>0.30480000000000007</v>
      </c>
      <c r="W733" s="61">
        <f>Table3.110[[#This Row],[DM Incubated, mg]]-('3.2 Digest'!V733*1000)</f>
        <v>150.88889039433519</v>
      </c>
      <c r="X733" s="61">
        <f>W733/Table3.110[[#This Row],[DM Incubated, mg]]*100</f>
        <v>33.112260047367378</v>
      </c>
      <c r="Y733" s="37">
        <f>Table3.1[[#This Row],[DM Incubated, mg]]*'2.4 NDF'!R141/100</f>
        <v>207.83065453303195</v>
      </c>
      <c r="Z733" s="37">
        <f t="shared" si="66"/>
        <v>-96.969345466968122</v>
      </c>
      <c r="AA733" s="37">
        <f t="shared" si="67"/>
        <v>-46.657864637363261</v>
      </c>
      <c r="AB733" s="57"/>
    </row>
    <row r="734" spans="2:28" x14ac:dyDescent="0.35">
      <c r="B734" s="230">
        <f t="shared" si="64"/>
        <v>724</v>
      </c>
      <c r="C734" s="247"/>
      <c r="D734" s="248">
        <f>Table3.110[[#This Row],[Date]]</f>
        <v>46076</v>
      </c>
      <c r="E734" s="230" t="str">
        <f>Table3.110[[#This Row],[Requisitioner]]</f>
        <v>Genbank</v>
      </c>
      <c r="F734" s="230" t="str">
        <f>Table3.110[[#This Row],[Gene Bank ID]]</f>
        <v>CIAT563</v>
      </c>
      <c r="G734" s="230" t="str">
        <f>Table3.110[[#This Row],[Genus]]</f>
        <v>Macroptilium</v>
      </c>
      <c r="H734" s="230" t="str">
        <f>Table3.110[[#This Row],[Species]]</f>
        <v>bracteatum</v>
      </c>
      <c r="I734" s="230" t="str">
        <f>Table3.110[[#This Row],[Tax Name]]</f>
        <v>Macroptilium bracteatum</v>
      </c>
      <c r="J734" s="230" t="str">
        <f>Table3.110[[#This Row],[Family]]</f>
        <v>Fabaceae</v>
      </c>
      <c r="K734" s="230" t="str">
        <f>Table3.110[[#This Row],[Order]]</f>
        <v>Fabales</v>
      </c>
      <c r="L734" s="230" t="str">
        <f>Table3.110[[#This Row],[Functional Group]]</f>
        <v>Tree</v>
      </c>
      <c r="M734" s="230" t="str">
        <f>Table3.110[[#This Row],[CIAT ID]]</f>
        <v>F252578</v>
      </c>
      <c r="N734" s="230">
        <f>Table3.110[[#This Row],[Set CIAT]]</f>
        <v>28</v>
      </c>
      <c r="O734" s="230">
        <f>Table3.110[[#This Row],[Batch]]</f>
        <v>69</v>
      </c>
      <c r="P734" s="230">
        <f>Table3.110[[#This Row],[Run]]</f>
        <v>3</v>
      </c>
      <c r="Q734" s="230">
        <f>Table3.110[[#This Row],[Replication]]</f>
        <v>1</v>
      </c>
      <c r="R734" s="230">
        <f>Table3.110[[#This Row],[Syrange No]]</f>
        <v>143</v>
      </c>
      <c r="S734" s="271">
        <v>0.61650000000000005</v>
      </c>
      <c r="T734" s="271">
        <v>0.92659999999999998</v>
      </c>
      <c r="U734" s="108"/>
      <c r="V734" s="122">
        <f t="shared" si="65"/>
        <v>0.31009999999999993</v>
      </c>
      <c r="W734" s="61">
        <f>Table3.110[[#This Row],[DM Incubated, mg]]-('3.2 Digest'!V734*1000)</f>
        <v>154.88905795494952</v>
      </c>
      <c r="X734" s="61">
        <f>W734/Table3.110[[#This Row],[DM Incubated, mg]]*100</f>
        <v>33.310258662034151</v>
      </c>
      <c r="Y734" s="37">
        <f>Table3.1[[#This Row],[DM Incubated, mg]]*'2.4 NDF'!R143/100</f>
        <v>239.1810228248799</v>
      </c>
      <c r="Z734" s="37">
        <f t="shared" ref="Z734:Z737" si="68">Y734-(V734*1000)</f>
        <v>-70.918977175120006</v>
      </c>
      <c r="AA734" s="37">
        <f t="shared" ref="AA734:AA737" si="69">Z734/Y734*100</f>
        <v>-29.650754201784828</v>
      </c>
      <c r="AB734" s="57"/>
    </row>
    <row r="735" spans="2:28" x14ac:dyDescent="0.35">
      <c r="B735" s="230">
        <f t="shared" si="64"/>
        <v>725</v>
      </c>
      <c r="C735" s="247"/>
      <c r="D735" s="248">
        <f>Table3.110[[#This Row],[Date]]</f>
        <v>46076</v>
      </c>
      <c r="E735" s="230" t="str">
        <f>Table3.110[[#This Row],[Requisitioner]]</f>
        <v>Genbank</v>
      </c>
      <c r="F735" s="230" t="str">
        <f>Table3.110[[#This Row],[Gene Bank ID]]</f>
        <v>CIAT563</v>
      </c>
      <c r="G735" s="230" t="str">
        <f>Table3.110[[#This Row],[Genus]]</f>
        <v>Macroptilium</v>
      </c>
      <c r="H735" s="230" t="str">
        <f>Table3.110[[#This Row],[Species]]</f>
        <v>bracteatum</v>
      </c>
      <c r="I735" s="230" t="str">
        <f>Table3.110[[#This Row],[Tax Name]]</f>
        <v>Macroptilium bracteatum</v>
      </c>
      <c r="J735" s="230" t="str">
        <f>Table3.110[[#This Row],[Family]]</f>
        <v>Fabaceae</v>
      </c>
      <c r="K735" s="230" t="str">
        <f>Table3.110[[#This Row],[Order]]</f>
        <v>Fabales</v>
      </c>
      <c r="L735" s="230" t="str">
        <f>Table3.110[[#This Row],[Functional Group]]</f>
        <v>Tree</v>
      </c>
      <c r="M735" s="230" t="str">
        <f>Table3.110[[#This Row],[CIAT ID]]</f>
        <v>F252578</v>
      </c>
      <c r="N735" s="230">
        <f>Table3.110[[#This Row],[Set CIAT]]</f>
        <v>28</v>
      </c>
      <c r="O735" s="230">
        <f>Table3.110[[#This Row],[Batch]]</f>
        <v>69</v>
      </c>
      <c r="P735" s="230">
        <f>Table3.110[[#This Row],[Run]]</f>
        <v>3</v>
      </c>
      <c r="Q735" s="230">
        <f>Table3.110[[#This Row],[Replication]]</f>
        <v>2</v>
      </c>
      <c r="R735" s="230">
        <f>Table3.110[[#This Row],[Syrange No]]</f>
        <v>144</v>
      </c>
      <c r="S735" s="98">
        <v>0.59509999999999996</v>
      </c>
      <c r="T735" s="98">
        <v>0.87839999999999996</v>
      </c>
      <c r="U735" s="108"/>
      <c r="V735" s="122">
        <f t="shared" si="65"/>
        <v>0.2833</v>
      </c>
      <c r="W735" s="61">
        <f>Table3.110[[#This Row],[DM Incubated, mg]]-('3.2 Digest'!V735*1000)</f>
        <v>181.78205576654045</v>
      </c>
      <c r="X735" s="61">
        <f>W735/Table3.110[[#This Row],[DM Incubated, mg]]*100</f>
        <v>39.086017942990793</v>
      </c>
      <c r="Y735" s="37">
        <f>Table3.1[[#This Row],[DM Incubated, mg]]*'2.4 NDF'!R143/100</f>
        <v>239.22885902944489</v>
      </c>
      <c r="Z735" s="37">
        <f t="shared" si="68"/>
        <v>-44.07114097055512</v>
      </c>
      <c r="AA735" s="37">
        <f t="shared" si="69"/>
        <v>-18.422167438055929</v>
      </c>
      <c r="AB735" s="57"/>
    </row>
    <row r="736" spans="2:28" x14ac:dyDescent="0.35">
      <c r="B736" s="230">
        <f t="shared" si="64"/>
        <v>726</v>
      </c>
      <c r="C736" s="247"/>
      <c r="D736" s="248">
        <f>Table3.110[[#This Row],[Date]]</f>
        <v>46076</v>
      </c>
      <c r="E736" s="230" t="str">
        <f>Table3.110[[#This Row],[Requisitioner]]</f>
        <v>Genbank</v>
      </c>
      <c r="F736" s="230" t="str">
        <f>Table3.110[[#This Row],[Gene Bank ID]]</f>
        <v>CIAT789</v>
      </c>
      <c r="G736" s="230" t="str">
        <f>Table3.110[[#This Row],[Genus]]</f>
        <v>Zornia</v>
      </c>
      <c r="H736" s="230" t="str">
        <f>Table3.110[[#This Row],[Species]]</f>
        <v>latifolia</v>
      </c>
      <c r="I736" s="230" t="str">
        <f>Table3.110[[#This Row],[Tax Name]]</f>
        <v>Zornia latifolia</v>
      </c>
      <c r="J736" s="230" t="str">
        <f>Table3.110[[#This Row],[Family]]</f>
        <v>Fabaceae</v>
      </c>
      <c r="K736" s="230" t="str">
        <f>Table3.110[[#This Row],[Order]]</f>
        <v>Fabales</v>
      </c>
      <c r="L736" s="230" t="str">
        <f>Table3.110[[#This Row],[Functional Group]]</f>
        <v>Tree</v>
      </c>
      <c r="M736" s="230" t="str">
        <f>Table3.110[[#This Row],[CIAT ID]]</f>
        <v>F252579</v>
      </c>
      <c r="N736" s="230">
        <f>Table3.110[[#This Row],[Set CIAT]]</f>
        <v>28</v>
      </c>
      <c r="O736" s="230">
        <f>Table3.110[[#This Row],[Batch]]</f>
        <v>69</v>
      </c>
      <c r="P736" s="230">
        <f>Table3.110[[#This Row],[Run]]</f>
        <v>3</v>
      </c>
      <c r="Q736" s="230">
        <f>Table3.110[[#This Row],[Replication]]</f>
        <v>1</v>
      </c>
      <c r="R736" s="230">
        <f>Table3.110[[#This Row],[Syrange No]]</f>
        <v>145</v>
      </c>
      <c r="S736" s="271">
        <v>0.57699999999999996</v>
      </c>
      <c r="T736" s="271">
        <v>0.92479999999999996</v>
      </c>
      <c r="U736" s="108"/>
      <c r="V736" s="122">
        <f t="shared" si="65"/>
        <v>0.3478</v>
      </c>
      <c r="W736" s="61">
        <f>Table3.110[[#This Row],[DM Incubated, mg]]-('3.2 Digest'!V736*1000)</f>
        <v>96.616713328667174</v>
      </c>
      <c r="X736" s="61">
        <f>W736/Table3.110[[#This Row],[DM Incubated, mg]]*100</f>
        <v>21.740116973776939</v>
      </c>
      <c r="Y736" s="37">
        <f>Table3.1[[#This Row],[DM Incubated, mg]]*'2.4 NDF'!R145/100</f>
        <v>227.01627443736288</v>
      </c>
      <c r="Z736" s="37">
        <f t="shared" si="68"/>
        <v>-120.78372556263713</v>
      </c>
      <c r="AA736" s="37">
        <f t="shared" si="69"/>
        <v>-53.204875228433515</v>
      </c>
      <c r="AB736" s="57"/>
    </row>
    <row r="737" spans="2:28" x14ac:dyDescent="0.35">
      <c r="B737" s="230">
        <f t="shared" si="64"/>
        <v>727</v>
      </c>
      <c r="C737" s="247"/>
      <c r="D737" s="248">
        <f>Table3.110[[#This Row],[Date]]</f>
        <v>46076</v>
      </c>
      <c r="E737" s="230" t="str">
        <f>Table3.110[[#This Row],[Requisitioner]]</f>
        <v>Genbank</v>
      </c>
      <c r="F737" s="230" t="str">
        <f>Table3.110[[#This Row],[Gene Bank ID]]</f>
        <v>CIAT789</v>
      </c>
      <c r="G737" s="230" t="str">
        <f>Table3.110[[#This Row],[Genus]]</f>
        <v>Zornia</v>
      </c>
      <c r="H737" s="230" t="str">
        <f>Table3.110[[#This Row],[Species]]</f>
        <v>latifolia</v>
      </c>
      <c r="I737" s="230" t="str">
        <f>Table3.110[[#This Row],[Tax Name]]</f>
        <v>Zornia latifolia</v>
      </c>
      <c r="J737" s="230" t="str">
        <f>Table3.110[[#This Row],[Family]]</f>
        <v>Fabaceae</v>
      </c>
      <c r="K737" s="230" t="str">
        <f>Table3.110[[#This Row],[Order]]</f>
        <v>Fabales</v>
      </c>
      <c r="L737" s="230" t="str">
        <f>Table3.110[[#This Row],[Functional Group]]</f>
        <v>Tree</v>
      </c>
      <c r="M737" s="230" t="str">
        <f>Table3.110[[#This Row],[CIAT ID]]</f>
        <v>F252579</v>
      </c>
      <c r="N737" s="230">
        <f>Table3.110[[#This Row],[Set CIAT]]</f>
        <v>28</v>
      </c>
      <c r="O737" s="230">
        <f>Table3.110[[#This Row],[Batch]]</f>
        <v>69</v>
      </c>
      <c r="P737" s="230">
        <f>Table3.110[[#This Row],[Run]]</f>
        <v>3</v>
      </c>
      <c r="Q737" s="230">
        <f>Table3.110[[#This Row],[Replication]]</f>
        <v>2</v>
      </c>
      <c r="R737" s="230">
        <f>Table3.110[[#This Row],[Syrange No]]</f>
        <v>146</v>
      </c>
      <c r="S737" s="98">
        <v>0.58340000000000003</v>
      </c>
      <c r="T737" s="98">
        <v>0.82750000000000001</v>
      </c>
      <c r="U737" s="108"/>
      <c r="V737" s="122">
        <f t="shared" si="65"/>
        <v>0.24409999999999998</v>
      </c>
      <c r="W737" s="61">
        <f>Table3.110[[#This Row],[DM Incubated, mg]]-('3.2 Digest'!V737*1000)</f>
        <v>200.13901772157854</v>
      </c>
      <c r="X737" s="61">
        <f>W737/Table3.110[[#This Row],[DM Incubated, mg]]*100</f>
        <v>45.052102525360183</v>
      </c>
      <c r="Y737" s="37">
        <f>Table3.1[[#This Row],[DM Incubated, mg]]*'2.4 NDF'!R145/100</f>
        <v>226.9255042356686</v>
      </c>
      <c r="Z737" s="37">
        <f t="shared" si="68"/>
        <v>-17.174495764331397</v>
      </c>
      <c r="AA737" s="37">
        <f t="shared" si="69"/>
        <v>-7.5683409064920246</v>
      </c>
      <c r="AB737" s="57"/>
    </row>
    <row r="738" spans="2:28" x14ac:dyDescent="0.35">
      <c r="B738" s="230">
        <f t="shared" si="64"/>
        <v>728</v>
      </c>
      <c r="C738" s="247"/>
      <c r="D738" s="248">
        <f>Table3.110[[#This Row],[Date]]</f>
        <v>46076</v>
      </c>
      <c r="E738" s="230" t="str">
        <f>Table3.110[[#This Row],[Requisitioner]]</f>
        <v>Genbank</v>
      </c>
      <c r="F738" s="230" t="str">
        <f>Table3.110[[#This Row],[Gene Bank ID]]</f>
        <v>CIAT2085</v>
      </c>
      <c r="G738" s="230" t="str">
        <f>Table3.110[[#This Row],[Genus]]</f>
        <v>Stylosanthes</v>
      </c>
      <c r="H738" s="230" t="str">
        <f>Table3.110[[#This Row],[Species]]</f>
        <v>seabrana</v>
      </c>
      <c r="I738" s="230" t="str">
        <f>Table3.110[[#This Row],[Tax Name]]</f>
        <v>Stylosanthes seabrana</v>
      </c>
      <c r="J738" s="230" t="str">
        <f>Table3.110[[#This Row],[Family]]</f>
        <v>Fabaceae</v>
      </c>
      <c r="K738" s="230" t="str">
        <f>Table3.110[[#This Row],[Order]]</f>
        <v>Fabales</v>
      </c>
      <c r="L738" s="230" t="str">
        <f>Table3.110[[#This Row],[Functional Group]]</f>
        <v>Tree</v>
      </c>
      <c r="M738" s="230" t="str">
        <f>Table3.110[[#This Row],[CIAT ID]]</f>
        <v>F252580</v>
      </c>
      <c r="N738" s="230">
        <f>Table3.110[[#This Row],[Set CIAT]]</f>
        <v>28</v>
      </c>
      <c r="O738" s="230">
        <f>Table3.110[[#This Row],[Batch]]</f>
        <v>69</v>
      </c>
      <c r="P738" s="230">
        <f>Table3.110[[#This Row],[Run]]</f>
        <v>3</v>
      </c>
      <c r="Q738" s="230">
        <f>Table3.110[[#This Row],[Replication]]</f>
        <v>1</v>
      </c>
      <c r="R738" s="230">
        <f>Table3.110[[#This Row],[Syrange No]]</f>
        <v>147</v>
      </c>
      <c r="S738" s="271">
        <v>0.57279999999999998</v>
      </c>
      <c r="T738" s="271">
        <v>0.9859</v>
      </c>
      <c r="U738" s="108"/>
      <c r="V738" s="122">
        <f t="shared" si="65"/>
        <v>0.41310000000000002</v>
      </c>
      <c r="W738" s="61">
        <f>Table3.110[[#This Row],[DM Incubated, mg]]-('3.2 Digest'!V738*1000)</f>
        <v>47.13195291976092</v>
      </c>
      <c r="X738" s="61">
        <f>W738/Table3.110[[#This Row],[DM Incubated, mg]]*100</f>
        <v>10.240912787726005</v>
      </c>
      <c r="Y738" s="37">
        <f>Table3.1[[#This Row],[DM Incubated, mg]]*'2.4 NDF'!R147/100</f>
        <v>263.16698854119198</v>
      </c>
      <c r="Z738" s="37">
        <f t="shared" si="66"/>
        <v>-149.93301145880804</v>
      </c>
      <c r="AA738" s="37">
        <f t="shared" si="67"/>
        <v>-56.972575584015509</v>
      </c>
      <c r="AB738" s="57"/>
    </row>
    <row r="739" spans="2:28" x14ac:dyDescent="0.35">
      <c r="B739" s="230">
        <f t="shared" si="64"/>
        <v>729</v>
      </c>
      <c r="C739" s="247"/>
      <c r="D739" s="248">
        <f>Table3.110[[#This Row],[Date]]</f>
        <v>46076</v>
      </c>
      <c r="E739" s="230" t="str">
        <f>Table3.110[[#This Row],[Requisitioner]]</f>
        <v>Genbank</v>
      </c>
      <c r="F739" s="230" t="str">
        <f>Table3.110[[#This Row],[Gene Bank ID]]</f>
        <v>CIAT2085</v>
      </c>
      <c r="G739" s="230" t="str">
        <f>Table3.110[[#This Row],[Genus]]</f>
        <v>Stylosanthes</v>
      </c>
      <c r="H739" s="230" t="str">
        <f>Table3.110[[#This Row],[Species]]</f>
        <v>seabrana</v>
      </c>
      <c r="I739" s="230" t="str">
        <f>Table3.110[[#This Row],[Tax Name]]</f>
        <v>Stylosanthes seabrana</v>
      </c>
      <c r="J739" s="230" t="str">
        <f>Table3.110[[#This Row],[Family]]</f>
        <v>Fabaceae</v>
      </c>
      <c r="K739" s="230" t="str">
        <f>Table3.110[[#This Row],[Order]]</f>
        <v>Fabales</v>
      </c>
      <c r="L739" s="230" t="str">
        <f>Table3.110[[#This Row],[Functional Group]]</f>
        <v>Tree</v>
      </c>
      <c r="M739" s="230" t="str">
        <f>Table3.110[[#This Row],[CIAT ID]]</f>
        <v>F252580</v>
      </c>
      <c r="N739" s="230">
        <f>Table3.110[[#This Row],[Set CIAT]]</f>
        <v>28</v>
      </c>
      <c r="O739" s="230">
        <f>Table3.110[[#This Row],[Batch]]</f>
        <v>69</v>
      </c>
      <c r="P739" s="230">
        <f>Table3.110[[#This Row],[Run]]</f>
        <v>3</v>
      </c>
      <c r="Q739" s="230">
        <f>Table3.110[[#This Row],[Replication]]</f>
        <v>2</v>
      </c>
      <c r="R739" s="230">
        <f>Table3.110[[#This Row],[Syrange No]]</f>
        <v>148</v>
      </c>
      <c r="S739" s="98">
        <v>0.58030000000000004</v>
      </c>
      <c r="T739" s="98">
        <v>0.87319999999999998</v>
      </c>
      <c r="U739" s="108"/>
      <c r="V739" s="122">
        <f t="shared" si="65"/>
        <v>0.29289999999999994</v>
      </c>
      <c r="W739" s="61">
        <f>Table3.110[[#This Row],[DM Incubated, mg]]-('3.2 Digest'!V739*1000)</f>
        <v>167.05603448275883</v>
      </c>
      <c r="X739" s="61">
        <f>W739/Table3.110[[#This Row],[DM Incubated, mg]]*100</f>
        <v>36.320000599757506</v>
      </c>
      <c r="Y739" s="37">
        <f>Table3.1[[#This Row],[DM Incubated, mg]]*'2.4 NDF'!R147/100</f>
        <v>263.00921456724643</v>
      </c>
      <c r="Z739" s="37">
        <f t="shared" si="66"/>
        <v>-29.890785432753489</v>
      </c>
      <c r="AA739" s="37">
        <f t="shared" si="67"/>
        <v>-11.36491946943212</v>
      </c>
      <c r="AB739" s="57"/>
    </row>
    <row r="740" spans="2:28" x14ac:dyDescent="0.35">
      <c r="B740" s="230">
        <f t="shared" si="64"/>
        <v>730</v>
      </c>
      <c r="C740" s="247"/>
      <c r="D740" s="248">
        <f>Table3.110[[#This Row],[Date]]</f>
        <v>46076</v>
      </c>
      <c r="E740" s="230" t="str">
        <f>Table3.110[[#This Row],[Requisitioner]]</f>
        <v>Genbank</v>
      </c>
      <c r="F740" s="230" t="str">
        <f>Table3.110[[#This Row],[Gene Bank ID]]</f>
        <v>CIAT2690</v>
      </c>
      <c r="G740" s="230" t="str">
        <f>Table3.110[[#This Row],[Genus]]</f>
        <v>Stylosanthes</v>
      </c>
      <c r="H740" s="230" t="str">
        <f>Table3.110[[#This Row],[Species]]</f>
        <v>angustifolia</v>
      </c>
      <c r="I740" s="230" t="str">
        <f>Table3.110[[#This Row],[Tax Name]]</f>
        <v>Stylosanthes angustifolia</v>
      </c>
      <c r="J740" s="230" t="str">
        <f>Table3.110[[#This Row],[Family]]</f>
        <v>Fabaceae</v>
      </c>
      <c r="K740" s="230" t="str">
        <f>Table3.110[[#This Row],[Order]]</f>
        <v>Fabales</v>
      </c>
      <c r="L740" s="230" t="str">
        <f>Table3.110[[#This Row],[Functional Group]]</f>
        <v>Tree</v>
      </c>
      <c r="M740" s="230" t="str">
        <f>Table3.110[[#This Row],[CIAT ID]]</f>
        <v>F252581</v>
      </c>
      <c r="N740" s="230">
        <f>Table3.110[[#This Row],[Set CIAT]]</f>
        <v>28</v>
      </c>
      <c r="O740" s="230">
        <f>Table3.110[[#This Row],[Batch]]</f>
        <v>69</v>
      </c>
      <c r="P740" s="230">
        <f>Table3.110[[#This Row],[Run]]</f>
        <v>3</v>
      </c>
      <c r="Q740" s="230">
        <f>Table3.110[[#This Row],[Replication]]</f>
        <v>1</v>
      </c>
      <c r="R740" s="230">
        <f>Table3.110[[#This Row],[Syrange No]]</f>
        <v>149</v>
      </c>
      <c r="S740" s="271">
        <v>0.60589999999999999</v>
      </c>
      <c r="T740" s="271">
        <v>0.89</v>
      </c>
      <c r="U740" s="108"/>
      <c r="V740" s="122">
        <f t="shared" si="65"/>
        <v>0.28410000000000002</v>
      </c>
      <c r="W740" s="61">
        <f>Table3.110[[#This Row],[DM Incubated, mg]]-('3.2 Digest'!V740*1000)</f>
        <v>171.05680659670162</v>
      </c>
      <c r="X740" s="61">
        <f>W740/Table3.110[[#This Row],[DM Incubated, mg]]*100</f>
        <v>37.581950685463219</v>
      </c>
      <c r="Y740" s="37">
        <f>Table3.1[[#This Row],[DM Incubated, mg]]*'2.4 NDF'!R149/100</f>
        <v>273.50497156234837</v>
      </c>
      <c r="Z740" s="37">
        <f t="shared" si="66"/>
        <v>-10.595028437651649</v>
      </c>
      <c r="AA740" s="37">
        <f t="shared" si="67"/>
        <v>-3.8737973855207963</v>
      </c>
      <c r="AB740" s="57"/>
    </row>
    <row r="741" spans="2:28" x14ac:dyDescent="0.35">
      <c r="B741" s="230">
        <f t="shared" si="64"/>
        <v>731</v>
      </c>
      <c r="C741" s="247"/>
      <c r="D741" s="248">
        <f>Table3.110[[#This Row],[Date]]</f>
        <v>46076</v>
      </c>
      <c r="E741" s="230" t="str">
        <f>Table3.110[[#This Row],[Requisitioner]]</f>
        <v>Genbank</v>
      </c>
      <c r="F741" s="230" t="str">
        <f>Table3.110[[#This Row],[Gene Bank ID]]</f>
        <v>CIAT2690</v>
      </c>
      <c r="G741" s="230" t="str">
        <f>Table3.110[[#This Row],[Genus]]</f>
        <v>Stylosanthes</v>
      </c>
      <c r="H741" s="230" t="str">
        <f>Table3.110[[#This Row],[Species]]</f>
        <v>angustifolia</v>
      </c>
      <c r="I741" s="230" t="str">
        <f>Table3.110[[#This Row],[Tax Name]]</f>
        <v>Stylosanthes angustifolia</v>
      </c>
      <c r="J741" s="230" t="str">
        <f>Table3.110[[#This Row],[Family]]</f>
        <v>Fabaceae</v>
      </c>
      <c r="K741" s="230" t="str">
        <f>Table3.110[[#This Row],[Order]]</f>
        <v>Fabales</v>
      </c>
      <c r="L741" s="230" t="str">
        <f>Table3.110[[#This Row],[Functional Group]]</f>
        <v>Tree</v>
      </c>
      <c r="M741" s="230" t="str">
        <f>Table3.110[[#This Row],[CIAT ID]]</f>
        <v>F252581</v>
      </c>
      <c r="N741" s="230">
        <f>Table3.110[[#This Row],[Set CIAT]]</f>
        <v>28</v>
      </c>
      <c r="O741" s="230">
        <f>Table3.110[[#This Row],[Batch]]</f>
        <v>69</v>
      </c>
      <c r="P741" s="230">
        <f>Table3.110[[#This Row],[Run]]</f>
        <v>3</v>
      </c>
      <c r="Q741" s="230">
        <f>Table3.110[[#This Row],[Replication]]</f>
        <v>2</v>
      </c>
      <c r="R741" s="230">
        <f>Table3.110[[#This Row],[Syrange No]]</f>
        <v>150</v>
      </c>
      <c r="S741" s="113">
        <v>0.5746</v>
      </c>
      <c r="T741" s="113">
        <v>0.92600000000000005</v>
      </c>
      <c r="U741" s="108"/>
      <c r="V741" s="122">
        <f t="shared" si="65"/>
        <v>0.35140000000000005</v>
      </c>
      <c r="W741" s="61">
        <f>Table3.110[[#This Row],[DM Incubated, mg]]-('3.2 Digest'!V741*1000)</f>
        <v>103.84781975538914</v>
      </c>
      <c r="X741" s="61">
        <f>W741/Table3.110[[#This Row],[DM Incubated, mg]]*100</f>
        <v>22.811272289274878</v>
      </c>
      <c r="Y741" s="37">
        <f>Table3.1[[#This Row],[DM Incubated, mg]]*'2.4 NDF'!R149/100</f>
        <v>273.55966161864961</v>
      </c>
      <c r="Z741" s="37">
        <f t="shared" si="66"/>
        <v>-77.840338381350421</v>
      </c>
      <c r="AA741" s="37">
        <f t="shared" si="67"/>
        <v>-28.454611297868247</v>
      </c>
      <c r="AB741" s="57"/>
    </row>
    <row r="742" spans="2:28" x14ac:dyDescent="0.35">
      <c r="B742" s="230">
        <f t="shared" si="64"/>
        <v>732</v>
      </c>
      <c r="C742" s="247"/>
      <c r="D742" s="248">
        <f>Table3.110[[#This Row],[Date]]</f>
        <v>46076</v>
      </c>
      <c r="E742" s="230" t="str">
        <f>Table3.110[[#This Row],[Requisitioner]]</f>
        <v>Genbank</v>
      </c>
      <c r="F742" s="230" t="str">
        <f>Table3.110[[#This Row],[Gene Bank ID]]</f>
        <v>CIAT4069</v>
      </c>
      <c r="G742" s="230" t="str">
        <f>Table3.110[[#This Row],[Genus]]</f>
        <v>Macroptilium</v>
      </c>
      <c r="H742" s="230" t="str">
        <f>Table3.110[[#This Row],[Species]]</f>
        <v>atropurpureum</v>
      </c>
      <c r="I742" s="230" t="str">
        <f>Table3.110[[#This Row],[Tax Name]]</f>
        <v>Macroptilium atropurpureum</v>
      </c>
      <c r="J742" s="230" t="str">
        <f>Table3.110[[#This Row],[Family]]</f>
        <v>Fabaceae</v>
      </c>
      <c r="K742" s="230" t="str">
        <f>Table3.110[[#This Row],[Order]]</f>
        <v>Fabales</v>
      </c>
      <c r="L742" s="230" t="str">
        <f>Table3.110[[#This Row],[Functional Group]]</f>
        <v>Tree</v>
      </c>
      <c r="M742" s="230" t="str">
        <f>Table3.110[[#This Row],[CIAT ID]]</f>
        <v>F252582</v>
      </c>
      <c r="N742" s="230">
        <f>Table3.110[[#This Row],[Set CIAT]]</f>
        <v>28</v>
      </c>
      <c r="O742" s="230">
        <f>Table3.110[[#This Row],[Batch]]</f>
        <v>69</v>
      </c>
      <c r="P742" s="230">
        <f>Table3.110[[#This Row],[Run]]</f>
        <v>3</v>
      </c>
      <c r="Q742" s="230">
        <f>Table3.110[[#This Row],[Replication]]</f>
        <v>1</v>
      </c>
      <c r="R742" s="230">
        <f>Table3.110[[#This Row],[Syrange No]]</f>
        <v>151</v>
      </c>
      <c r="S742" s="272">
        <v>0.5968</v>
      </c>
      <c r="T742" s="272">
        <v>0.89490000000000003</v>
      </c>
      <c r="U742" s="108"/>
      <c r="V742" s="122">
        <f t="shared" si="65"/>
        <v>0.29810000000000003</v>
      </c>
      <c r="W742" s="61">
        <f>Table3.110[[#This Row],[DM Incubated, mg]]-('3.2 Digest'!V742*1000)</f>
        <v>163.50775534679184</v>
      </c>
      <c r="X742" s="61">
        <f>W742/Table3.110[[#This Row],[DM Incubated, mg]]*100</f>
        <v>35.421362282779114</v>
      </c>
      <c r="Y742" s="37">
        <f>Table3.1[[#This Row],[DM Incubated, mg]]*'2.4 NDF'!R151/100</f>
        <v>238.68572387730765</v>
      </c>
      <c r="Z742" s="37">
        <f t="shared" si="66"/>
        <v>-59.414276122692371</v>
      </c>
      <c r="AA742" s="37">
        <f t="shared" si="67"/>
        <v>-24.892262158600349</v>
      </c>
      <c r="AB742" s="57"/>
    </row>
    <row r="743" spans="2:28" x14ac:dyDescent="0.35">
      <c r="B743" s="230">
        <f t="shared" si="64"/>
        <v>733</v>
      </c>
      <c r="C743" s="247"/>
      <c r="D743" s="248">
        <f>Table3.110[[#This Row],[Date]]</f>
        <v>46076</v>
      </c>
      <c r="E743" s="230" t="str">
        <f>Table3.110[[#This Row],[Requisitioner]]</f>
        <v>Genbank</v>
      </c>
      <c r="F743" s="230" t="str">
        <f>Table3.110[[#This Row],[Gene Bank ID]]</f>
        <v>CIAT4069</v>
      </c>
      <c r="G743" s="230" t="str">
        <f>Table3.110[[#This Row],[Genus]]</f>
        <v>Macroptilium</v>
      </c>
      <c r="H743" s="230" t="str">
        <f>Table3.110[[#This Row],[Species]]</f>
        <v>atropurpureum</v>
      </c>
      <c r="I743" s="230" t="str">
        <f>Table3.110[[#This Row],[Tax Name]]</f>
        <v>Macroptilium atropurpureum</v>
      </c>
      <c r="J743" s="230" t="str">
        <f>Table3.110[[#This Row],[Family]]</f>
        <v>Fabaceae</v>
      </c>
      <c r="K743" s="230" t="str">
        <f>Table3.110[[#This Row],[Order]]</f>
        <v>Fabales</v>
      </c>
      <c r="L743" s="230" t="str">
        <f>Table3.110[[#This Row],[Functional Group]]</f>
        <v>Tree</v>
      </c>
      <c r="M743" s="230" t="str">
        <f>Table3.110[[#This Row],[CIAT ID]]</f>
        <v>F252582</v>
      </c>
      <c r="N743" s="230">
        <f>Table3.110[[#This Row],[Set CIAT]]</f>
        <v>28</v>
      </c>
      <c r="O743" s="230">
        <f>Table3.110[[#This Row],[Batch]]</f>
        <v>69</v>
      </c>
      <c r="P743" s="230">
        <f>Table3.110[[#This Row],[Run]]</f>
        <v>3</v>
      </c>
      <c r="Q743" s="230">
        <f>Table3.110[[#This Row],[Replication]]</f>
        <v>2</v>
      </c>
      <c r="R743" s="230">
        <f>Table3.110[[#This Row],[Syrange No]]</f>
        <v>152</v>
      </c>
      <c r="S743" s="113">
        <v>0.57299999999999995</v>
      </c>
      <c r="T743" s="113">
        <v>0.8276</v>
      </c>
      <c r="U743" s="108"/>
      <c r="V743" s="122">
        <f t="shared" si="65"/>
        <v>0.25460000000000005</v>
      </c>
      <c r="W743" s="61">
        <f>Table3.110[[#This Row],[DM Incubated, mg]]-('3.2 Digest'!V743*1000)</f>
        <v>207.00775534679181</v>
      </c>
      <c r="X743" s="61">
        <f>W743/Table3.110[[#This Row],[DM Incubated, mg]]*100</f>
        <v>44.844947457885141</v>
      </c>
      <c r="Y743" s="37">
        <f>Table3.1[[#This Row],[DM Incubated, mg]]*'2.4 NDF'!R151/100</f>
        <v>238.68572387730765</v>
      </c>
      <c r="Z743" s="37">
        <f t="shared" si="66"/>
        <v>-15.914276122692399</v>
      </c>
      <c r="AA743" s="37">
        <f t="shared" si="67"/>
        <v>-6.667460401139393</v>
      </c>
      <c r="AB743" s="57"/>
    </row>
    <row r="744" spans="2:28" x14ac:dyDescent="0.35">
      <c r="B744" s="230">
        <f t="shared" si="64"/>
        <v>734</v>
      </c>
      <c r="C744" s="247"/>
      <c r="D744" s="248">
        <f>Table3.110[[#This Row],[Date]]</f>
        <v>46076</v>
      </c>
      <c r="E744" s="230" t="str">
        <f>Table3.110[[#This Row],[Requisitioner]]</f>
        <v>Genbank</v>
      </c>
      <c r="F744" s="230" t="str">
        <f>Table3.110[[#This Row],[Gene Bank ID]]</f>
        <v>CIAT4141</v>
      </c>
      <c r="G744" s="230" t="str">
        <f>Table3.110[[#This Row],[Genus]]</f>
        <v>Vigna</v>
      </c>
      <c r="H744" s="230" t="str">
        <f>Table3.110[[#This Row],[Species]]</f>
        <v>radiata</v>
      </c>
      <c r="I744" s="230" t="str">
        <f>Table3.110[[#This Row],[Tax Name]]</f>
        <v>Vigna radiata</v>
      </c>
      <c r="J744" s="230" t="str">
        <f>Table3.110[[#This Row],[Family]]</f>
        <v>Fabaceae</v>
      </c>
      <c r="K744" s="230" t="str">
        <f>Table3.110[[#This Row],[Order]]</f>
        <v>Fabales</v>
      </c>
      <c r="L744" s="230" t="str">
        <f>Table3.110[[#This Row],[Functional Group]]</f>
        <v>Tree</v>
      </c>
      <c r="M744" s="230" t="str">
        <f>Table3.110[[#This Row],[CIAT ID]]</f>
        <v>F252583</v>
      </c>
      <c r="N744" s="230">
        <f>Table3.110[[#This Row],[Set CIAT]]</f>
        <v>28</v>
      </c>
      <c r="O744" s="230">
        <f>Table3.110[[#This Row],[Batch]]</f>
        <v>69</v>
      </c>
      <c r="P744" s="230">
        <f>Table3.110[[#This Row],[Run]]</f>
        <v>3</v>
      </c>
      <c r="Q744" s="230">
        <f>Table3.110[[#This Row],[Replication]]</f>
        <v>1</v>
      </c>
      <c r="R744" s="230">
        <f>Table3.110[[#This Row],[Syrange No]]</f>
        <v>153</v>
      </c>
      <c r="S744" s="272">
        <v>0.6048</v>
      </c>
      <c r="T744" s="272">
        <v>0.85360000000000003</v>
      </c>
      <c r="U744" s="108"/>
      <c r="V744" s="122">
        <f t="shared" si="65"/>
        <v>0.24880000000000002</v>
      </c>
      <c r="W744" s="61">
        <f>Table3.110[[#This Row],[DM Incubated, mg]]-('3.2 Digest'!V744*1000)</f>
        <v>206.08638089982026</v>
      </c>
      <c r="X744" s="61">
        <f>W744/Table3.110[[#This Row],[DM Incubated, mg]]*100</f>
        <v>45.305023309811226</v>
      </c>
      <c r="Y744" s="37">
        <f>Table3.1[[#This Row],[DM Incubated, mg]]*'2.4 NDF'!R153/100</f>
        <v>223.55274469384219</v>
      </c>
      <c r="Z744" s="37">
        <f t="shared" si="66"/>
        <v>-25.247255306157825</v>
      </c>
      <c r="AA744" s="37">
        <f t="shared" si="67"/>
        <v>-11.293645864529287</v>
      </c>
      <c r="AB744" s="57"/>
    </row>
    <row r="745" spans="2:28" x14ac:dyDescent="0.35">
      <c r="B745" s="230">
        <f t="shared" si="64"/>
        <v>735</v>
      </c>
      <c r="C745" s="247"/>
      <c r="D745" s="248">
        <f>Table3.110[[#This Row],[Date]]</f>
        <v>46076</v>
      </c>
      <c r="E745" s="230" t="str">
        <f>Table3.110[[#This Row],[Requisitioner]]</f>
        <v>Genbank</v>
      </c>
      <c r="F745" s="230" t="str">
        <f>Table3.110[[#This Row],[Gene Bank ID]]</f>
        <v>CIAT4141</v>
      </c>
      <c r="G745" s="230" t="str">
        <f>Table3.110[[#This Row],[Genus]]</f>
        <v>Vigna</v>
      </c>
      <c r="H745" s="230" t="str">
        <f>Table3.110[[#This Row],[Species]]</f>
        <v>radiata</v>
      </c>
      <c r="I745" s="230" t="str">
        <f>Table3.110[[#This Row],[Tax Name]]</f>
        <v>Vigna radiata</v>
      </c>
      <c r="J745" s="230" t="str">
        <f>Table3.110[[#This Row],[Family]]</f>
        <v>Fabaceae</v>
      </c>
      <c r="K745" s="230" t="str">
        <f>Table3.110[[#This Row],[Order]]</f>
        <v>Fabales</v>
      </c>
      <c r="L745" s="230" t="str">
        <f>Table3.110[[#This Row],[Functional Group]]</f>
        <v>Tree</v>
      </c>
      <c r="M745" s="230" t="str">
        <f>Table3.110[[#This Row],[CIAT ID]]</f>
        <v>F252583</v>
      </c>
      <c r="N745" s="230">
        <f>Table3.110[[#This Row],[Set CIAT]]</f>
        <v>28</v>
      </c>
      <c r="O745" s="230">
        <f>Table3.110[[#This Row],[Batch]]</f>
        <v>69</v>
      </c>
      <c r="P745" s="230">
        <f>Table3.110[[#This Row],[Run]]</f>
        <v>3</v>
      </c>
      <c r="Q745" s="230">
        <f>Table3.110[[#This Row],[Replication]]</f>
        <v>2</v>
      </c>
      <c r="R745" s="230">
        <f>Table3.110[[#This Row],[Syrange No]]</f>
        <v>154</v>
      </c>
      <c r="S745" s="113">
        <v>0.59150000000000003</v>
      </c>
      <c r="T745" s="113">
        <v>0.89300000000000002</v>
      </c>
      <c r="U745" s="108"/>
      <c r="V745" s="122">
        <f t="shared" si="65"/>
        <v>0.30149999999999999</v>
      </c>
      <c r="W745" s="61">
        <f>Table3.110[[#This Row],[DM Incubated, mg]]-('3.2 Digest'!V745*1000)</f>
        <v>153.38638089982027</v>
      </c>
      <c r="X745" s="61">
        <f>W745/Table3.110[[#This Row],[DM Incubated, mg]]*100</f>
        <v>33.719712732749542</v>
      </c>
      <c r="Y745" s="37">
        <f>Table3.1[[#This Row],[DM Incubated, mg]]*'2.4 NDF'!R153/100</f>
        <v>223.55274469384219</v>
      </c>
      <c r="Z745" s="37">
        <f t="shared" si="66"/>
        <v>-77.947255306157814</v>
      </c>
      <c r="AA745" s="37">
        <f t="shared" si="67"/>
        <v>-34.867500917024032</v>
      </c>
      <c r="AB745" s="57"/>
    </row>
    <row r="746" spans="2:28" x14ac:dyDescent="0.35">
      <c r="B746" s="230">
        <f t="shared" si="64"/>
        <v>736</v>
      </c>
      <c r="C746" s="247"/>
      <c r="D746" s="248">
        <f>Table3.110[[#This Row],[Date]]</f>
        <v>46076</v>
      </c>
      <c r="E746" s="230" t="str">
        <f>Table3.110[[#This Row],[Requisitioner]]</f>
        <v>Genbank</v>
      </c>
      <c r="F746" s="230" t="str">
        <f>Table3.110[[#This Row],[Gene Bank ID]]</f>
        <v>CIAT4532</v>
      </c>
      <c r="G746" s="230" t="str">
        <f>Table3.110[[#This Row],[Genus]]</f>
        <v>Vigna</v>
      </c>
      <c r="H746" s="230" t="str">
        <f>Table3.110[[#This Row],[Species]]</f>
        <v>unguiculata</v>
      </c>
      <c r="I746" s="230" t="str">
        <f>Table3.110[[#This Row],[Tax Name]]</f>
        <v>Vigna unguiculata</v>
      </c>
      <c r="J746" s="230" t="str">
        <f>Table3.110[[#This Row],[Family]]</f>
        <v>Fabaceae</v>
      </c>
      <c r="K746" s="230" t="str">
        <f>Table3.110[[#This Row],[Order]]</f>
        <v>Fabales</v>
      </c>
      <c r="L746" s="230" t="str">
        <f>Table3.110[[#This Row],[Functional Group]]</f>
        <v>Tree</v>
      </c>
      <c r="M746" s="230" t="str">
        <f>Table3.110[[#This Row],[CIAT ID]]</f>
        <v>F252584</v>
      </c>
      <c r="N746" s="230">
        <f>Table3.110[[#This Row],[Set CIAT]]</f>
        <v>28</v>
      </c>
      <c r="O746" s="230">
        <f>Table3.110[[#This Row],[Batch]]</f>
        <v>69</v>
      </c>
      <c r="P746" s="230">
        <f>Table3.110[[#This Row],[Run]]</f>
        <v>3</v>
      </c>
      <c r="Q746" s="230">
        <f>Table3.110[[#This Row],[Replication]]</f>
        <v>1</v>
      </c>
      <c r="R746" s="230">
        <f>Table3.110[[#This Row],[Syrange No]]</f>
        <v>155</v>
      </c>
      <c r="S746" s="272">
        <v>0.57620000000000005</v>
      </c>
      <c r="T746" s="272">
        <v>0.87890000000000001</v>
      </c>
      <c r="U746" s="108"/>
      <c r="V746" s="122">
        <f t="shared" si="65"/>
        <v>0.30269999999999997</v>
      </c>
      <c r="W746" s="61">
        <f>Table3.110[[#This Row],[DM Incubated, mg]]-('3.2 Digest'!V746*1000)</f>
        <v>157.86109337514716</v>
      </c>
      <c r="X746" s="61">
        <f>W746/Table3.110[[#This Row],[DM Incubated, mg]]*100</f>
        <v>34.275820438562839</v>
      </c>
      <c r="Y746" s="37">
        <f>Table3.1[[#This Row],[DM Incubated, mg]]*'2.4 NDF'!R155/100</f>
        <v>222.52674073767255</v>
      </c>
      <c r="Z746" s="37">
        <f t="shared" si="66"/>
        <v>-80.173259262327434</v>
      </c>
      <c r="AA746" s="37">
        <f t="shared" si="67"/>
        <v>-36.028595483200974</v>
      </c>
      <c r="AB746" s="57"/>
    </row>
    <row r="747" spans="2:28" x14ac:dyDescent="0.35">
      <c r="B747" s="230">
        <f t="shared" si="64"/>
        <v>737</v>
      </c>
      <c r="C747" s="247"/>
      <c r="D747" s="248">
        <f>Table3.110[[#This Row],[Date]]</f>
        <v>46076</v>
      </c>
      <c r="E747" s="230" t="str">
        <f>Table3.110[[#This Row],[Requisitioner]]</f>
        <v>Genbank</v>
      </c>
      <c r="F747" s="230" t="str">
        <f>Table3.110[[#This Row],[Gene Bank ID]]</f>
        <v>CIAT4532</v>
      </c>
      <c r="G747" s="230" t="str">
        <f>Table3.110[[#This Row],[Genus]]</f>
        <v>Vigna</v>
      </c>
      <c r="H747" s="230" t="str">
        <f>Table3.110[[#This Row],[Species]]</f>
        <v>unguiculata</v>
      </c>
      <c r="I747" s="230" t="str">
        <f>Table3.110[[#This Row],[Tax Name]]</f>
        <v>Vigna unguiculata</v>
      </c>
      <c r="J747" s="230" t="str">
        <f>Table3.110[[#This Row],[Family]]</f>
        <v>Fabaceae</v>
      </c>
      <c r="K747" s="230" t="str">
        <f>Table3.110[[#This Row],[Order]]</f>
        <v>Fabales</v>
      </c>
      <c r="L747" s="230" t="str">
        <f>Table3.110[[#This Row],[Functional Group]]</f>
        <v>Tree</v>
      </c>
      <c r="M747" s="230" t="str">
        <f>Table3.110[[#This Row],[CIAT ID]]</f>
        <v>F252584</v>
      </c>
      <c r="N747" s="230">
        <f>Table3.110[[#This Row],[Set CIAT]]</f>
        <v>28</v>
      </c>
      <c r="O747" s="230">
        <f>Table3.110[[#This Row],[Batch]]</f>
        <v>69</v>
      </c>
      <c r="P747" s="230">
        <f>Table3.110[[#This Row],[Run]]</f>
        <v>3</v>
      </c>
      <c r="Q747" s="230">
        <f>Table3.110[[#This Row],[Replication]]</f>
        <v>2</v>
      </c>
      <c r="R747" s="230">
        <f>Table3.110[[#This Row],[Syrange No]]</f>
        <v>156</v>
      </c>
      <c r="S747" s="113">
        <v>0.5887</v>
      </c>
      <c r="T747" s="113">
        <v>0.94969999999999999</v>
      </c>
      <c r="U747" s="108"/>
      <c r="V747" s="122">
        <f t="shared" si="65"/>
        <v>0.36099999999999999</v>
      </c>
      <c r="W747" s="61">
        <f>Table3.110[[#This Row],[DM Incubated, mg]]-('3.2 Digest'!V747*1000)</f>
        <v>99.284922421694205</v>
      </c>
      <c r="X747" s="61">
        <f>W747/Table3.110[[#This Row],[DM Incubated, mg]]*100</f>
        <v>21.570318206237793</v>
      </c>
      <c r="Y747" s="37">
        <f>Table3.1[[#This Row],[DM Incubated, mg]]*'2.4 NDF'!R155/100</f>
        <v>222.3933047548197</v>
      </c>
      <c r="Z747" s="37">
        <f t="shared" si="66"/>
        <v>-138.6066952451803</v>
      </c>
      <c r="AA747" s="37">
        <f t="shared" si="67"/>
        <v>-62.325030601972934</v>
      </c>
      <c r="AB747" s="57"/>
    </row>
    <row r="748" spans="2:28" x14ac:dyDescent="0.35">
      <c r="B748" s="230">
        <f t="shared" si="64"/>
        <v>738</v>
      </c>
      <c r="C748" s="247"/>
      <c r="D748" s="248">
        <f>Table3.110[[#This Row],[Date]]</f>
        <v>46076</v>
      </c>
      <c r="E748" s="230" t="str">
        <f>Table3.110[[#This Row],[Requisitioner]]</f>
        <v>Genbank</v>
      </c>
      <c r="F748" s="230" t="str">
        <f>Table3.110[[#This Row],[Gene Bank ID]]</f>
        <v>CIAT4537</v>
      </c>
      <c r="G748" s="230" t="str">
        <f>Table3.110[[#This Row],[Genus]]</f>
        <v>Vigna</v>
      </c>
      <c r="H748" s="230" t="str">
        <f>Table3.110[[#This Row],[Species]]</f>
        <v>unguiculata</v>
      </c>
      <c r="I748" s="230" t="str">
        <f>Table3.110[[#This Row],[Tax Name]]</f>
        <v>Vigna unguiculata</v>
      </c>
      <c r="J748" s="230" t="str">
        <f>Table3.110[[#This Row],[Family]]</f>
        <v>Fabaceae</v>
      </c>
      <c r="K748" s="230" t="str">
        <f>Table3.110[[#This Row],[Order]]</f>
        <v>Fabales</v>
      </c>
      <c r="L748" s="230" t="str">
        <f>Table3.110[[#This Row],[Functional Group]]</f>
        <v>Tree</v>
      </c>
      <c r="M748" s="230" t="str">
        <f>Table3.110[[#This Row],[CIAT ID]]</f>
        <v>F252585</v>
      </c>
      <c r="N748" s="230">
        <f>Table3.110[[#This Row],[Set CIAT]]</f>
        <v>28</v>
      </c>
      <c r="O748" s="230">
        <f>Table3.110[[#This Row],[Batch]]</f>
        <v>69</v>
      </c>
      <c r="P748" s="230">
        <f>Table3.110[[#This Row],[Run]]</f>
        <v>3</v>
      </c>
      <c r="Q748" s="230">
        <f>Table3.110[[#This Row],[Replication]]</f>
        <v>1</v>
      </c>
      <c r="R748" s="230">
        <f>Table3.110[[#This Row],[Syrange No]]</f>
        <v>157</v>
      </c>
      <c r="S748" s="272">
        <v>0.57789999999999997</v>
      </c>
      <c r="T748" s="272">
        <v>0.8034</v>
      </c>
      <c r="U748" s="108"/>
      <c r="V748" s="122">
        <f t="shared" si="65"/>
        <v>0.22550000000000003</v>
      </c>
      <c r="W748" s="61">
        <f>Table3.110[[#This Row],[DM Incubated, mg]]-('3.2 Digest'!V748*1000)</f>
        <v>236.07669778257016</v>
      </c>
      <c r="X748" s="61">
        <f>W748/Table3.110[[#This Row],[DM Incubated, mg]]*100</f>
        <v>51.145714009543909</v>
      </c>
      <c r="Y748" s="37">
        <f>Table3.1[[#This Row],[DM Incubated, mg]]*'2.4 NDF'!R157/100</f>
        <v>229.08031548170334</v>
      </c>
      <c r="Z748" s="37">
        <f t="shared" si="66"/>
        <v>3.5803154817033089</v>
      </c>
      <c r="AA748" s="37">
        <f t="shared" si="67"/>
        <v>1.5629083948896818</v>
      </c>
      <c r="AB748" s="57"/>
    </row>
    <row r="749" spans="2:28" x14ac:dyDescent="0.35">
      <c r="B749" s="230">
        <f t="shared" si="64"/>
        <v>739</v>
      </c>
      <c r="C749" s="247"/>
      <c r="D749" s="248">
        <f>Table3.110[[#This Row],[Date]]</f>
        <v>46076</v>
      </c>
      <c r="E749" s="230" t="str">
        <f>Table3.110[[#This Row],[Requisitioner]]</f>
        <v>Genbank</v>
      </c>
      <c r="F749" s="230" t="str">
        <f>Table3.110[[#This Row],[Gene Bank ID]]</f>
        <v>CIAT4537</v>
      </c>
      <c r="G749" s="230" t="str">
        <f>Table3.110[[#This Row],[Genus]]</f>
        <v>Vigna</v>
      </c>
      <c r="H749" s="230" t="str">
        <f>Table3.110[[#This Row],[Species]]</f>
        <v>unguiculata</v>
      </c>
      <c r="I749" s="230" t="str">
        <f>Table3.110[[#This Row],[Tax Name]]</f>
        <v>Vigna unguiculata</v>
      </c>
      <c r="J749" s="230" t="str">
        <f>Table3.110[[#This Row],[Family]]</f>
        <v>Fabaceae</v>
      </c>
      <c r="K749" s="230" t="str">
        <f>Table3.110[[#This Row],[Order]]</f>
        <v>Fabales</v>
      </c>
      <c r="L749" s="230" t="str">
        <f>Table3.110[[#This Row],[Functional Group]]</f>
        <v>Tree</v>
      </c>
      <c r="M749" s="230" t="str">
        <f>Table3.110[[#This Row],[CIAT ID]]</f>
        <v>F252585</v>
      </c>
      <c r="N749" s="230">
        <f>Table3.110[[#This Row],[Set CIAT]]</f>
        <v>28</v>
      </c>
      <c r="O749" s="230">
        <f>Table3.110[[#This Row],[Batch]]</f>
        <v>69</v>
      </c>
      <c r="P749" s="230">
        <f>Table3.110[[#This Row],[Run]]</f>
        <v>3</v>
      </c>
      <c r="Q749" s="230">
        <f>Table3.110[[#This Row],[Replication]]</f>
        <v>2</v>
      </c>
      <c r="R749" s="230">
        <f>Table3.110[[#This Row],[Syrange No]]</f>
        <v>158</v>
      </c>
      <c r="S749" s="113">
        <v>0.58399999999999996</v>
      </c>
      <c r="T749" s="113">
        <v>0.7157</v>
      </c>
      <c r="U749" s="108"/>
      <c r="V749" s="122">
        <f t="shared" si="65"/>
        <v>0.13170000000000004</v>
      </c>
      <c r="W749" s="61">
        <f>Table3.110[[#This Row],[DM Incubated, mg]]-('3.2 Digest'!V749*1000)</f>
        <v>329.41558220036984</v>
      </c>
      <c r="X749" s="61">
        <f>W749/Table3.110[[#This Row],[DM Incubated, mg]]*100</f>
        <v>71.438831155618573</v>
      </c>
      <c r="Y749" s="37">
        <f>Table3.1[[#This Row],[DM Incubated, mg]]*'2.4 NDF'!R157/100</f>
        <v>228.85146401768569</v>
      </c>
      <c r="Z749" s="37">
        <f t="shared" si="66"/>
        <v>97.15146401768564</v>
      </c>
      <c r="AA749" s="37">
        <f t="shared" si="67"/>
        <v>42.451755523913867</v>
      </c>
      <c r="AB749" s="57"/>
    </row>
    <row r="750" spans="2:28" x14ac:dyDescent="0.35">
      <c r="B750" s="230">
        <f t="shared" si="64"/>
        <v>740</v>
      </c>
      <c r="C750" s="247"/>
      <c r="D750" s="248">
        <f>Table3.110[[#This Row],[Date]]</f>
        <v>46076</v>
      </c>
      <c r="E750" s="230" t="str">
        <f>Table3.110[[#This Row],[Requisitioner]]</f>
        <v>Genbank</v>
      </c>
      <c r="F750" s="230" t="str">
        <f>Table3.110[[#This Row],[Gene Bank ID]]</f>
        <v>CIAT7289</v>
      </c>
      <c r="G750" s="230" t="str">
        <f>Table3.110[[#This Row],[Genus]]</f>
        <v>Chamaecrista</v>
      </c>
      <c r="H750" s="230" t="str">
        <f>Table3.110[[#This Row],[Species]]</f>
        <v>mimosoides</v>
      </c>
      <c r="I750" s="230" t="str">
        <f>Table3.110[[#This Row],[Tax Name]]</f>
        <v>Chamaecrista mimosoides</v>
      </c>
      <c r="J750" s="230" t="str">
        <f>Table3.110[[#This Row],[Family]]</f>
        <v>Fabaceae</v>
      </c>
      <c r="K750" s="230" t="str">
        <f>Table3.110[[#This Row],[Order]]</f>
        <v>Fabales</v>
      </c>
      <c r="L750" s="230" t="str">
        <f>Table3.110[[#This Row],[Functional Group]]</f>
        <v>Tree</v>
      </c>
      <c r="M750" s="230" t="str">
        <f>Table3.110[[#This Row],[CIAT ID]]</f>
        <v>F252586</v>
      </c>
      <c r="N750" s="230">
        <f>Table3.110[[#This Row],[Set CIAT]]</f>
        <v>28</v>
      </c>
      <c r="O750" s="230">
        <f>Table3.110[[#This Row],[Batch]]</f>
        <v>69</v>
      </c>
      <c r="P750" s="230">
        <f>Table3.110[[#This Row],[Run]]</f>
        <v>3</v>
      </c>
      <c r="Q750" s="230">
        <f>Table3.110[[#This Row],[Replication]]</f>
        <v>1</v>
      </c>
      <c r="R750" s="230">
        <f>Table3.110[[#This Row],[Syrange No]]</f>
        <v>159</v>
      </c>
      <c r="S750" s="272">
        <v>0.58299999999999996</v>
      </c>
      <c r="T750" s="272">
        <v>0.90380000000000005</v>
      </c>
      <c r="U750" s="108"/>
      <c r="V750" s="122">
        <f t="shared" si="65"/>
        <v>0.32080000000000009</v>
      </c>
      <c r="W750" s="61">
        <f>Table3.110[[#This Row],[DM Incubated, mg]]-('3.2 Digest'!V750*1000)</f>
        <v>136.59710323902806</v>
      </c>
      <c r="X750" s="61">
        <f>W750/Table3.110[[#This Row],[DM Incubated, mg]]*100</f>
        <v>29.864007067758951</v>
      </c>
      <c r="Y750" s="37">
        <f>Table3.1[[#This Row],[DM Incubated, mg]]*'2.4 NDF'!R159/100</f>
        <v>262.79187466699352</v>
      </c>
      <c r="Z750" s="37">
        <f t="shared" si="66"/>
        <v>-58.008125333006546</v>
      </c>
      <c r="AA750" s="37">
        <f t="shared" si="67"/>
        <v>-22.073789536496779</v>
      </c>
      <c r="AB750" s="57"/>
    </row>
    <row r="751" spans="2:28" x14ac:dyDescent="0.35">
      <c r="B751" s="230">
        <f t="shared" si="64"/>
        <v>741</v>
      </c>
      <c r="C751" s="247"/>
      <c r="D751" s="248">
        <f>Table3.110[[#This Row],[Date]]</f>
        <v>46076</v>
      </c>
      <c r="E751" s="230" t="str">
        <f>Table3.110[[#This Row],[Requisitioner]]</f>
        <v>Genbank</v>
      </c>
      <c r="F751" s="230" t="str">
        <f>Table3.110[[#This Row],[Gene Bank ID]]</f>
        <v>CIAT7289</v>
      </c>
      <c r="G751" s="230" t="str">
        <f>Table3.110[[#This Row],[Genus]]</f>
        <v>Chamaecrista</v>
      </c>
      <c r="H751" s="230" t="str">
        <f>Table3.110[[#This Row],[Species]]</f>
        <v>mimosoides</v>
      </c>
      <c r="I751" s="230" t="str">
        <f>Table3.110[[#This Row],[Tax Name]]</f>
        <v>Chamaecrista mimosoides</v>
      </c>
      <c r="J751" s="230" t="str">
        <f>Table3.110[[#This Row],[Family]]</f>
        <v>Fabaceae</v>
      </c>
      <c r="K751" s="230" t="str">
        <f>Table3.110[[#This Row],[Order]]</f>
        <v>Fabales</v>
      </c>
      <c r="L751" s="230" t="str">
        <f>Table3.110[[#This Row],[Functional Group]]</f>
        <v>Tree</v>
      </c>
      <c r="M751" s="230" t="str">
        <f>Table3.110[[#This Row],[CIAT ID]]</f>
        <v>F252586</v>
      </c>
      <c r="N751" s="230">
        <f>Table3.110[[#This Row],[Set CIAT]]</f>
        <v>28</v>
      </c>
      <c r="O751" s="230">
        <f>Table3.110[[#This Row],[Batch]]</f>
        <v>69</v>
      </c>
      <c r="P751" s="230">
        <f>Table3.110[[#This Row],[Run]]</f>
        <v>3</v>
      </c>
      <c r="Q751" s="230">
        <f>Table3.110[[#This Row],[Replication]]</f>
        <v>2</v>
      </c>
      <c r="R751" s="230">
        <f>Table3.110[[#This Row],[Syrange No]]</f>
        <v>160</v>
      </c>
      <c r="S751" s="113">
        <v>0.58809999999999996</v>
      </c>
      <c r="T751" s="113">
        <v>0.86</v>
      </c>
      <c r="U751" s="108"/>
      <c r="V751" s="122">
        <f t="shared" si="65"/>
        <v>0.27190000000000003</v>
      </c>
      <c r="W751" s="61">
        <f>Table3.110[[#This Row],[DM Incubated, mg]]-('3.2 Digest'!V751*1000)</f>
        <v>185.40569694341679</v>
      </c>
      <c r="X751" s="61">
        <f>W751/Table3.110[[#This Row],[DM Incubated, mg]]*100</f>
        <v>40.543054281337184</v>
      </c>
      <c r="Y751" s="37">
        <f>Table3.1[[#This Row],[DM Incubated, mg]]*'2.4 NDF'!R159/100</f>
        <v>262.73935830514961</v>
      </c>
      <c r="Z751" s="37">
        <f t="shared" si="66"/>
        <v>-9.1606416948504261</v>
      </c>
      <c r="AA751" s="37">
        <f t="shared" si="67"/>
        <v>-3.4865890492931451</v>
      </c>
      <c r="AB751" s="57"/>
    </row>
    <row r="752" spans="2:28" x14ac:dyDescent="0.35">
      <c r="B752" s="230">
        <f t="shared" si="64"/>
        <v>742</v>
      </c>
      <c r="C752" s="247"/>
      <c r="D752" s="248">
        <f>Table3.110[[#This Row],[Date]]</f>
        <v>46076</v>
      </c>
      <c r="E752" s="230" t="str">
        <f>Table3.110[[#This Row],[Requisitioner]]</f>
        <v>Genbank</v>
      </c>
      <c r="F752" s="230" t="str">
        <f>Table3.110[[#This Row],[Gene Bank ID]]</f>
        <v>CIAT7826</v>
      </c>
      <c r="G752" s="230" t="str">
        <f>Table3.110[[#This Row],[Genus]]</f>
        <v>Tephrosia</v>
      </c>
      <c r="H752" s="230" t="str">
        <f>Table3.110[[#This Row],[Species]]</f>
        <v>purpurea</v>
      </c>
      <c r="I752" s="230" t="str">
        <f>Table3.110[[#This Row],[Tax Name]]</f>
        <v>Tephrosia purpurea</v>
      </c>
      <c r="J752" s="230" t="str">
        <f>Table3.110[[#This Row],[Family]]</f>
        <v>Fabaceae</v>
      </c>
      <c r="K752" s="230" t="str">
        <f>Table3.110[[#This Row],[Order]]</f>
        <v>Fabales</v>
      </c>
      <c r="L752" s="230" t="str">
        <f>Table3.110[[#This Row],[Functional Group]]</f>
        <v>Tree</v>
      </c>
      <c r="M752" s="230" t="str">
        <f>Table3.110[[#This Row],[CIAT ID]]</f>
        <v>F252587</v>
      </c>
      <c r="N752" s="230">
        <f>Table3.110[[#This Row],[Set CIAT]]</f>
        <v>28</v>
      </c>
      <c r="O752" s="230">
        <f>Table3.110[[#This Row],[Batch]]</f>
        <v>69</v>
      </c>
      <c r="P752" s="230">
        <f>Table3.110[[#This Row],[Run]]</f>
        <v>3</v>
      </c>
      <c r="Q752" s="230">
        <f>Table3.110[[#This Row],[Replication]]</f>
        <v>1</v>
      </c>
      <c r="R752" s="230">
        <f>Table3.110[[#This Row],[Syrange No]]</f>
        <v>161</v>
      </c>
      <c r="S752" s="272">
        <v>0.55510000000000004</v>
      </c>
      <c r="T752" s="272">
        <v>0.81740000000000002</v>
      </c>
      <c r="U752" s="108"/>
      <c r="V752" s="122">
        <f t="shared" si="65"/>
        <v>0.26229999999999998</v>
      </c>
      <c r="W752" s="61">
        <f>Table3.110[[#This Row],[DM Incubated, mg]]-('3.2 Digest'!V752*1000)</f>
        <v>191.48425018639807</v>
      </c>
      <c r="X752" s="61">
        <f>W752/Table3.110[[#This Row],[DM Incubated, mg]]*100</f>
        <v>42.197200565630766</v>
      </c>
      <c r="Y752" s="37">
        <f>Table3.1[[#This Row],[DM Incubated, mg]]*'2.4 NDF'!R161/100</f>
        <v>243.08746805521375</v>
      </c>
      <c r="Z752" s="37">
        <f t="shared" si="66"/>
        <v>-19.212531944786207</v>
      </c>
      <c r="AA752" s="37">
        <f t="shared" si="67"/>
        <v>-7.903546858459344</v>
      </c>
      <c r="AB752" s="57"/>
    </row>
    <row r="753" spans="2:28" x14ac:dyDescent="0.35">
      <c r="B753" s="230">
        <f t="shared" si="64"/>
        <v>743</v>
      </c>
      <c r="C753" s="247"/>
      <c r="D753" s="248">
        <f>Table3.110[[#This Row],[Date]]</f>
        <v>46076</v>
      </c>
      <c r="E753" s="230" t="str">
        <f>Table3.110[[#This Row],[Requisitioner]]</f>
        <v>Genbank</v>
      </c>
      <c r="F753" s="230" t="str">
        <f>Table3.110[[#This Row],[Gene Bank ID]]</f>
        <v>CIAT7826</v>
      </c>
      <c r="G753" s="230" t="str">
        <f>Table3.110[[#This Row],[Genus]]</f>
        <v>Tephrosia</v>
      </c>
      <c r="H753" s="230" t="str">
        <f>Table3.110[[#This Row],[Species]]</f>
        <v>purpurea</v>
      </c>
      <c r="I753" s="230" t="str">
        <f>Table3.110[[#This Row],[Tax Name]]</f>
        <v>Tephrosia purpurea</v>
      </c>
      <c r="J753" s="230" t="str">
        <f>Table3.110[[#This Row],[Family]]</f>
        <v>Fabaceae</v>
      </c>
      <c r="K753" s="230" t="str">
        <f>Table3.110[[#This Row],[Order]]</f>
        <v>Fabales</v>
      </c>
      <c r="L753" s="230" t="str">
        <f>Table3.110[[#This Row],[Functional Group]]</f>
        <v>Tree</v>
      </c>
      <c r="M753" s="230" t="str">
        <f>Table3.110[[#This Row],[CIAT ID]]</f>
        <v>F252587</v>
      </c>
      <c r="N753" s="230">
        <f>Table3.110[[#This Row],[Set CIAT]]</f>
        <v>28</v>
      </c>
      <c r="O753" s="230">
        <f>Table3.110[[#This Row],[Batch]]</f>
        <v>69</v>
      </c>
      <c r="P753" s="230">
        <f>Table3.110[[#This Row],[Run]]</f>
        <v>3</v>
      </c>
      <c r="Q753" s="230">
        <f>Table3.110[[#This Row],[Replication]]</f>
        <v>2</v>
      </c>
      <c r="R753" s="230">
        <f>Table3.110[[#This Row],[Syrange No]]</f>
        <v>162</v>
      </c>
      <c r="S753" s="113">
        <v>0.59830000000000005</v>
      </c>
      <c r="T753" s="113">
        <v>0.91790000000000005</v>
      </c>
      <c r="U753" s="108"/>
      <c r="V753" s="122">
        <f t="shared" si="65"/>
        <v>0.3196</v>
      </c>
      <c r="W753" s="61">
        <f>Table3.110[[#This Row],[DM Incubated, mg]]-('3.2 Digest'!V753*1000)</f>
        <v>134.36576388647251</v>
      </c>
      <c r="X753" s="61">
        <f>W753/Table3.110[[#This Row],[DM Incubated, mg]]*100</f>
        <v>29.598215234590818</v>
      </c>
      <c r="Y753" s="37">
        <f>Table3.1[[#This Row],[DM Incubated, mg]]*'2.4 NDF'!R161/100</f>
        <v>243.18470304243584</v>
      </c>
      <c r="Z753" s="37">
        <f t="shared" si="66"/>
        <v>-76.415296957564181</v>
      </c>
      <c r="AA753" s="37">
        <f t="shared" si="67"/>
        <v>-31.422740000315596</v>
      </c>
      <c r="AB753" s="57"/>
    </row>
    <row r="754" spans="2:28" x14ac:dyDescent="0.35">
      <c r="B754" s="230">
        <f t="shared" si="64"/>
        <v>744</v>
      </c>
      <c r="C754" s="247"/>
      <c r="D754" s="248">
        <f>Table3.110[[#This Row],[Date]]</f>
        <v>46076</v>
      </c>
      <c r="E754" s="230" t="str">
        <f>Table3.110[[#This Row],[Requisitioner]]</f>
        <v>Genbank</v>
      </c>
      <c r="F754" s="230" t="str">
        <f>Table3.110[[#This Row],[Gene Bank ID]]</f>
        <v>CIAT8014</v>
      </c>
      <c r="G754" s="230" t="str">
        <f>Table3.110[[#This Row],[Genus]]</f>
        <v>Crotalaria</v>
      </c>
      <c r="H754" s="230" t="str">
        <f>Table3.110[[#This Row],[Species]]</f>
        <v>retusa</v>
      </c>
      <c r="I754" s="230" t="str">
        <f>Table3.110[[#This Row],[Tax Name]]</f>
        <v>Crotalaria retusa</v>
      </c>
      <c r="J754" s="230" t="str">
        <f>Table3.110[[#This Row],[Family]]</f>
        <v>Fabaceae</v>
      </c>
      <c r="K754" s="230" t="str">
        <f>Table3.110[[#This Row],[Order]]</f>
        <v>Fabales</v>
      </c>
      <c r="L754" s="230" t="str">
        <f>Table3.110[[#This Row],[Functional Group]]</f>
        <v>Tree</v>
      </c>
      <c r="M754" s="230" t="str">
        <f>Table3.110[[#This Row],[CIAT ID]]</f>
        <v>F252588</v>
      </c>
      <c r="N754" s="230">
        <f>Table3.110[[#This Row],[Set CIAT]]</f>
        <v>28</v>
      </c>
      <c r="O754" s="230">
        <f>Table3.110[[#This Row],[Batch]]</f>
        <v>69</v>
      </c>
      <c r="P754" s="230">
        <f>Table3.110[[#This Row],[Run]]</f>
        <v>3</v>
      </c>
      <c r="Q754" s="230">
        <f>Table3.110[[#This Row],[Replication]]</f>
        <v>1</v>
      </c>
      <c r="R754" s="230">
        <f>Table3.110[[#This Row],[Syrange No]]</f>
        <v>163</v>
      </c>
      <c r="S754" s="272">
        <v>0.57579999999999998</v>
      </c>
      <c r="T754" s="272">
        <v>0.78569999999999995</v>
      </c>
      <c r="U754" s="108"/>
      <c r="V754" s="122">
        <f t="shared" si="65"/>
        <v>0.20989999999999998</v>
      </c>
      <c r="W754" s="61">
        <f>Table3.110[[#This Row],[DM Incubated, mg]]-('3.2 Digest'!V754*1000)</f>
        <v>246.85217804236981</v>
      </c>
      <c r="X754" s="61">
        <f>W754/Table3.110[[#This Row],[DM Incubated, mg]]*100</f>
        <v>54.045101459695942</v>
      </c>
      <c r="Y754" s="37">
        <f>Table3.1[[#This Row],[DM Incubated, mg]]*'2.4 NDF'!R163/100</f>
        <v>250.65813823582639</v>
      </c>
      <c r="Z754" s="37">
        <f t="shared" si="66"/>
        <v>40.758138235826408</v>
      </c>
      <c r="AA754" s="37">
        <f t="shared" si="67"/>
        <v>16.260448801977446</v>
      </c>
      <c r="AB754" s="57"/>
    </row>
    <row r="755" spans="2:28" x14ac:dyDescent="0.35">
      <c r="B755" s="230">
        <f t="shared" si="64"/>
        <v>745</v>
      </c>
      <c r="C755" s="247"/>
      <c r="D755" s="248">
        <f>Table3.110[[#This Row],[Date]]</f>
        <v>46076</v>
      </c>
      <c r="E755" s="230" t="str">
        <f>Table3.110[[#This Row],[Requisitioner]]</f>
        <v>Genbank</v>
      </c>
      <c r="F755" s="230" t="str">
        <f>Table3.110[[#This Row],[Gene Bank ID]]</f>
        <v>CIAT8014</v>
      </c>
      <c r="G755" s="230" t="str">
        <f>Table3.110[[#This Row],[Genus]]</f>
        <v>Crotalaria</v>
      </c>
      <c r="H755" s="230" t="str">
        <f>Table3.110[[#This Row],[Species]]</f>
        <v>retusa</v>
      </c>
      <c r="I755" s="230" t="str">
        <f>Table3.110[[#This Row],[Tax Name]]</f>
        <v>Crotalaria retusa</v>
      </c>
      <c r="J755" s="230" t="str">
        <f>Table3.110[[#This Row],[Family]]</f>
        <v>Fabaceae</v>
      </c>
      <c r="K755" s="230" t="str">
        <f>Table3.110[[#This Row],[Order]]</f>
        <v>Fabales</v>
      </c>
      <c r="L755" s="230" t="str">
        <f>Table3.110[[#This Row],[Functional Group]]</f>
        <v>Tree</v>
      </c>
      <c r="M755" s="230" t="str">
        <f>Table3.110[[#This Row],[CIAT ID]]</f>
        <v>F252588</v>
      </c>
      <c r="N755" s="230">
        <f>Table3.110[[#This Row],[Set CIAT]]</f>
        <v>28</v>
      </c>
      <c r="O755" s="230">
        <f>Table3.110[[#This Row],[Batch]]</f>
        <v>69</v>
      </c>
      <c r="P755" s="230">
        <f>Table3.110[[#This Row],[Run]]</f>
        <v>3</v>
      </c>
      <c r="Q755" s="230">
        <f>Table3.110[[#This Row],[Replication]]</f>
        <v>2</v>
      </c>
      <c r="R755" s="230">
        <f>Table3.110[[#This Row],[Syrange No]]</f>
        <v>164</v>
      </c>
      <c r="S755" s="113">
        <v>0.5615</v>
      </c>
      <c r="T755" s="113">
        <v>0.71209999999999996</v>
      </c>
      <c r="U755" s="108"/>
      <c r="V755" s="122">
        <f t="shared" si="65"/>
        <v>0.15059999999999996</v>
      </c>
      <c r="W755" s="61">
        <f>Table3.110[[#This Row],[DM Incubated, mg]]-('3.2 Digest'!V755*1000)</f>
        <v>306.42611977250317</v>
      </c>
      <c r="X755" s="61">
        <f>W755/Table3.110[[#This Row],[DM Incubated, mg]]*100</f>
        <v>67.047835236426948</v>
      </c>
      <c r="Y755" s="37">
        <f>Table3.1[[#This Row],[DM Incubated, mg]]*'2.4 NDF'!R163/100</f>
        <v>250.80847298486825</v>
      </c>
      <c r="Z755" s="37">
        <f t="shared" si="66"/>
        <v>100.20847298486828</v>
      </c>
      <c r="AA755" s="37">
        <f t="shared" si="67"/>
        <v>39.954181687838769</v>
      </c>
      <c r="AB755" s="57"/>
    </row>
    <row r="756" spans="2:28" x14ac:dyDescent="0.35">
      <c r="B756" s="230">
        <f t="shared" si="64"/>
        <v>746</v>
      </c>
      <c r="C756" s="247"/>
      <c r="D756" s="248">
        <f>Table3.110[[#This Row],[Date]]</f>
        <v>46076</v>
      </c>
      <c r="E756" s="230" t="str">
        <f>Table3.110[[#This Row],[Requisitioner]]</f>
        <v>Genbank</v>
      </c>
      <c r="F756" s="230" t="str">
        <f>Table3.110[[#This Row],[Gene Bank ID]]</f>
        <v>CIAT8849</v>
      </c>
      <c r="G756" s="230" t="str">
        <f>Table3.110[[#This Row],[Genus]]</f>
        <v>Zornia</v>
      </c>
      <c r="H756" s="230" t="str">
        <f>Table3.110[[#This Row],[Species]]</f>
        <v>brasiliensis</v>
      </c>
      <c r="I756" s="230" t="str">
        <f>Table3.110[[#This Row],[Tax Name]]</f>
        <v>Zornia brasiliensis</v>
      </c>
      <c r="J756" s="230" t="str">
        <f>Table3.110[[#This Row],[Family]]</f>
        <v>Fabaceae</v>
      </c>
      <c r="K756" s="230" t="str">
        <f>Table3.110[[#This Row],[Order]]</f>
        <v>Fabales</v>
      </c>
      <c r="L756" s="230" t="str">
        <f>Table3.110[[#This Row],[Functional Group]]</f>
        <v>Tree</v>
      </c>
      <c r="M756" s="230" t="str">
        <f>Table3.110[[#This Row],[CIAT ID]]</f>
        <v>F252589</v>
      </c>
      <c r="N756" s="230">
        <f>Table3.110[[#This Row],[Set CIAT]]</f>
        <v>28</v>
      </c>
      <c r="O756" s="230">
        <f>Table3.110[[#This Row],[Batch]]</f>
        <v>69</v>
      </c>
      <c r="P756" s="230">
        <f>Table3.110[[#This Row],[Run]]</f>
        <v>3</v>
      </c>
      <c r="Q756" s="230">
        <f>Table3.110[[#This Row],[Replication]]</f>
        <v>1</v>
      </c>
      <c r="R756" s="230">
        <f>Table3.110[[#This Row],[Syrange No]]</f>
        <v>165</v>
      </c>
      <c r="S756" s="272">
        <v>0.61280000000000001</v>
      </c>
      <c r="T756" s="272">
        <v>0.85980000000000001</v>
      </c>
      <c r="U756" s="108"/>
      <c r="V756" s="122">
        <f t="shared" si="65"/>
        <v>0.247</v>
      </c>
      <c r="W756" s="61">
        <f>Table3.110[[#This Row],[DM Incubated, mg]]-('3.2 Digest'!V756*1000)</f>
        <v>204.27743225677466</v>
      </c>
      <c r="X756" s="61">
        <f>W756/Table3.110[[#This Row],[DM Incubated, mg]]*100</f>
        <v>45.266485238406915</v>
      </c>
      <c r="Y756" s="37">
        <f>Table3.1[[#This Row],[DM Incubated, mg]]*'2.4 NDF'!R165/100</f>
        <v>234.462205261252</v>
      </c>
      <c r="Z756" s="37">
        <f t="shared" si="66"/>
        <v>-12.537794738748005</v>
      </c>
      <c r="AA756" s="37">
        <f t="shared" si="67"/>
        <v>-5.3474694246680974</v>
      </c>
      <c r="AB756" s="57"/>
    </row>
    <row r="757" spans="2:28" x14ac:dyDescent="0.35">
      <c r="B757" s="230">
        <f t="shared" si="64"/>
        <v>747</v>
      </c>
      <c r="C757" s="247"/>
      <c r="D757" s="248">
        <f>Table3.110[[#This Row],[Date]]</f>
        <v>46076</v>
      </c>
      <c r="E757" s="230" t="str">
        <f>Table3.110[[#This Row],[Requisitioner]]</f>
        <v>Genbank</v>
      </c>
      <c r="F757" s="230" t="str">
        <f>Table3.110[[#This Row],[Gene Bank ID]]</f>
        <v>CIAT8849</v>
      </c>
      <c r="G757" s="230" t="str">
        <f>Table3.110[[#This Row],[Genus]]</f>
        <v>Zornia</v>
      </c>
      <c r="H757" s="230" t="str">
        <f>Table3.110[[#This Row],[Species]]</f>
        <v>brasiliensis</v>
      </c>
      <c r="I757" s="230" t="str">
        <f>Table3.110[[#This Row],[Tax Name]]</f>
        <v>Zornia brasiliensis</v>
      </c>
      <c r="J757" s="230" t="str">
        <f>Table3.110[[#This Row],[Family]]</f>
        <v>Fabaceae</v>
      </c>
      <c r="K757" s="230" t="str">
        <f>Table3.110[[#This Row],[Order]]</f>
        <v>Fabales</v>
      </c>
      <c r="L757" s="230" t="str">
        <f>Table3.110[[#This Row],[Functional Group]]</f>
        <v>Tree</v>
      </c>
      <c r="M757" s="230" t="str">
        <f>Table3.110[[#This Row],[CIAT ID]]</f>
        <v>F252589</v>
      </c>
      <c r="N757" s="230">
        <f>Table3.110[[#This Row],[Set CIAT]]</f>
        <v>28</v>
      </c>
      <c r="O757" s="230">
        <f>Table3.110[[#This Row],[Batch]]</f>
        <v>69</v>
      </c>
      <c r="P757" s="230">
        <f>Table3.110[[#This Row],[Run]]</f>
        <v>3</v>
      </c>
      <c r="Q757" s="230">
        <f>Table3.110[[#This Row],[Replication]]</f>
        <v>2</v>
      </c>
      <c r="R757" s="230">
        <f>Table3.110[[#This Row],[Syrange No]]</f>
        <v>166</v>
      </c>
      <c r="S757" s="113">
        <v>0.5706</v>
      </c>
      <c r="T757" s="113">
        <v>0.86</v>
      </c>
      <c r="U757" s="108"/>
      <c r="V757" s="122">
        <f t="shared" si="65"/>
        <v>0.28939999999999999</v>
      </c>
      <c r="W757" s="61">
        <f>Table3.110[[#This Row],[DM Incubated, mg]]-('3.2 Digest'!V757*1000)</f>
        <v>162.05794322967733</v>
      </c>
      <c r="X757" s="61">
        <f>W757/Table3.110[[#This Row],[DM Incubated, mg]]*100</f>
        <v>35.896575895937012</v>
      </c>
      <c r="Y757" s="37">
        <f>Table3.1[[#This Row],[DM Incubated, mg]]*'2.4 NDF'!R165/100</f>
        <v>234.55599014335647</v>
      </c>
      <c r="Z757" s="37">
        <f t="shared" si="66"/>
        <v>-54.84400985664351</v>
      </c>
      <c r="AA757" s="37">
        <f t="shared" si="67"/>
        <v>-23.38205467407753</v>
      </c>
      <c r="AB757" s="57"/>
    </row>
    <row r="758" spans="2:28" x14ac:dyDescent="0.35">
      <c r="B758" s="230">
        <f t="shared" si="64"/>
        <v>748</v>
      </c>
      <c r="C758" s="247"/>
      <c r="D758" s="248">
        <f>Table3.110[[#This Row],[Date]]</f>
        <v>46076</v>
      </c>
      <c r="E758" s="230" t="str">
        <f>Table3.110[[#This Row],[Requisitioner]]</f>
        <v>Genbank</v>
      </c>
      <c r="F758" s="230" t="str">
        <f>Table3.110[[#This Row],[Gene Bank ID]]</f>
        <v>CIAT9326</v>
      </c>
      <c r="G758" s="230" t="str">
        <f>Table3.110[[#This Row],[Genus]]</f>
        <v>Crotalaria</v>
      </c>
      <c r="H758" s="230" t="str">
        <f>Table3.110[[#This Row],[Species]]</f>
        <v>retusa</v>
      </c>
      <c r="I758" s="230" t="str">
        <f>Table3.110[[#This Row],[Tax Name]]</f>
        <v>Crotalaria retusa</v>
      </c>
      <c r="J758" s="230" t="str">
        <f>Table3.110[[#This Row],[Family]]</f>
        <v>Fabaceae</v>
      </c>
      <c r="K758" s="230" t="str">
        <f>Table3.110[[#This Row],[Order]]</f>
        <v>Fabales</v>
      </c>
      <c r="L758" s="230" t="str">
        <f>Table3.110[[#This Row],[Functional Group]]</f>
        <v>Tree</v>
      </c>
      <c r="M758" s="230" t="str">
        <f>Table3.110[[#This Row],[CIAT ID]]</f>
        <v>F252590</v>
      </c>
      <c r="N758" s="230">
        <f>Table3.110[[#This Row],[Set CIAT]]</f>
        <v>28</v>
      </c>
      <c r="O758" s="230">
        <f>Table3.110[[#This Row],[Batch]]</f>
        <v>69</v>
      </c>
      <c r="P758" s="230">
        <f>Table3.110[[#This Row],[Run]]</f>
        <v>3</v>
      </c>
      <c r="Q758" s="230">
        <f>Table3.110[[#This Row],[Replication]]</f>
        <v>1</v>
      </c>
      <c r="R758" s="230">
        <f>Table3.110[[#This Row],[Syrange No]]</f>
        <v>167</v>
      </c>
      <c r="S758" s="272">
        <v>0.55879999999999996</v>
      </c>
      <c r="T758" s="272">
        <v>0.79310000000000003</v>
      </c>
      <c r="U758" s="108"/>
      <c r="V758" s="122">
        <f t="shared" si="65"/>
        <v>0.23430000000000006</v>
      </c>
      <c r="W758" s="61">
        <f>Table3.110[[#This Row],[DM Incubated, mg]]-('3.2 Digest'!V758*1000)</f>
        <v>225.72899710028969</v>
      </c>
      <c r="X758" s="61">
        <f>W758/Table3.110[[#This Row],[DM Incubated, mg]]*100</f>
        <v>49.068427973699904</v>
      </c>
      <c r="Y758" s="37">
        <f>Table3.1[[#This Row],[DM Incubated, mg]]*'2.4 NDF'!R167/100</f>
        <v>229.97860149384258</v>
      </c>
      <c r="Z758" s="37">
        <f t="shared" si="66"/>
        <v>-4.3213985061574931</v>
      </c>
      <c r="AA758" s="37">
        <f t="shared" si="67"/>
        <v>-1.8790437362813488</v>
      </c>
      <c r="AB758" s="57"/>
    </row>
    <row r="759" spans="2:28" x14ac:dyDescent="0.35">
      <c r="B759" s="230">
        <f t="shared" si="64"/>
        <v>749</v>
      </c>
      <c r="C759" s="247"/>
      <c r="D759" s="248">
        <f>Table3.110[[#This Row],[Date]]</f>
        <v>46076</v>
      </c>
      <c r="E759" s="230" t="str">
        <f>Table3.110[[#This Row],[Requisitioner]]</f>
        <v>Genbank</v>
      </c>
      <c r="F759" s="230" t="str">
        <f>Table3.110[[#This Row],[Gene Bank ID]]</f>
        <v>CIAT9326</v>
      </c>
      <c r="G759" s="230" t="str">
        <f>Table3.110[[#This Row],[Genus]]</f>
        <v>Crotalaria</v>
      </c>
      <c r="H759" s="230" t="str">
        <f>Table3.110[[#This Row],[Species]]</f>
        <v>retusa</v>
      </c>
      <c r="I759" s="230" t="str">
        <f>Table3.110[[#This Row],[Tax Name]]</f>
        <v>Crotalaria retusa</v>
      </c>
      <c r="J759" s="230" t="str">
        <f>Table3.110[[#This Row],[Family]]</f>
        <v>Fabaceae</v>
      </c>
      <c r="K759" s="230" t="str">
        <f>Table3.110[[#This Row],[Order]]</f>
        <v>Fabales</v>
      </c>
      <c r="L759" s="230" t="str">
        <f>Table3.110[[#This Row],[Functional Group]]</f>
        <v>Tree</v>
      </c>
      <c r="M759" s="230" t="str">
        <f>Table3.110[[#This Row],[CIAT ID]]</f>
        <v>F252590</v>
      </c>
      <c r="N759" s="230">
        <f>Table3.110[[#This Row],[Set CIAT]]</f>
        <v>28</v>
      </c>
      <c r="O759" s="230">
        <f>Table3.110[[#This Row],[Batch]]</f>
        <v>69</v>
      </c>
      <c r="P759" s="230">
        <f>Table3.110[[#This Row],[Run]]</f>
        <v>3</v>
      </c>
      <c r="Q759" s="230">
        <f>Table3.110[[#This Row],[Replication]]</f>
        <v>2</v>
      </c>
      <c r="R759" s="230">
        <f>Table3.110[[#This Row],[Syrange No]]</f>
        <v>168</v>
      </c>
      <c r="S759" s="113">
        <v>0.5786</v>
      </c>
      <c r="T759" s="113">
        <v>0.77900000000000003</v>
      </c>
      <c r="U759" s="108"/>
      <c r="V759" s="122">
        <f t="shared" si="65"/>
        <v>0.20040000000000002</v>
      </c>
      <c r="W759" s="61">
        <f>Table3.110[[#This Row],[DM Incubated, mg]]-('3.2 Digest'!V759*1000)</f>
        <v>260.08902609738999</v>
      </c>
      <c r="X759" s="61">
        <f>W759/Table3.110[[#This Row],[DM Incubated, mg]]*100</f>
        <v>56.481047616188597</v>
      </c>
      <c r="Y759" s="37">
        <f>Table3.1[[#This Row],[DM Incubated, mg]]*'2.4 NDF'!R167/100</f>
        <v>230.2085800953364</v>
      </c>
      <c r="Z759" s="37">
        <f t="shared" si="66"/>
        <v>29.808580095336367</v>
      </c>
      <c r="AA759" s="37">
        <f t="shared" si="67"/>
        <v>12.948509600724581</v>
      </c>
      <c r="AB759" s="57"/>
    </row>
    <row r="760" spans="2:28" x14ac:dyDescent="0.35">
      <c r="B760" s="230">
        <f t="shared" si="64"/>
        <v>750</v>
      </c>
      <c r="C760" s="247"/>
      <c r="D760" s="248">
        <f>Table3.110[[#This Row],[Date]]</f>
        <v>46076</v>
      </c>
      <c r="E760" s="230" t="str">
        <f>Table3.110[[#This Row],[Requisitioner]]</f>
        <v>Genbank</v>
      </c>
      <c r="F760" s="230" t="str">
        <f>Table3.110[[#This Row],[Gene Bank ID]]</f>
        <v>CIAT9337</v>
      </c>
      <c r="G760" s="230" t="str">
        <f>Table3.110[[#This Row],[Genus]]</f>
        <v>Crotalaria</v>
      </c>
      <c r="H760" s="230" t="str">
        <f>Table3.110[[#This Row],[Species]]</f>
        <v>retusa</v>
      </c>
      <c r="I760" s="230" t="str">
        <f>Table3.110[[#This Row],[Tax Name]]</f>
        <v>Crotalaria retusa</v>
      </c>
      <c r="J760" s="230" t="str">
        <f>Table3.110[[#This Row],[Family]]</f>
        <v>Fabaceae</v>
      </c>
      <c r="K760" s="230" t="str">
        <f>Table3.110[[#This Row],[Order]]</f>
        <v>Fabales</v>
      </c>
      <c r="L760" s="230" t="str">
        <f>Table3.110[[#This Row],[Functional Group]]</f>
        <v>Tree</v>
      </c>
      <c r="M760" s="230" t="str">
        <f>Table3.110[[#This Row],[CIAT ID]]</f>
        <v>F252591</v>
      </c>
      <c r="N760" s="230">
        <f>Table3.110[[#This Row],[Set CIAT]]</f>
        <v>28</v>
      </c>
      <c r="O760" s="230">
        <f>Table3.110[[#This Row],[Batch]]</f>
        <v>69</v>
      </c>
      <c r="P760" s="230">
        <f>Table3.110[[#This Row],[Run]]</f>
        <v>3</v>
      </c>
      <c r="Q760" s="230">
        <f>Table3.110[[#This Row],[Replication]]</f>
        <v>1</v>
      </c>
      <c r="R760" s="230">
        <f>Table3.110[[#This Row],[Syrange No]]</f>
        <v>169</v>
      </c>
      <c r="S760" s="272">
        <v>0.55679999999999996</v>
      </c>
      <c r="T760" s="272">
        <v>0.83750000000000002</v>
      </c>
      <c r="U760" s="108"/>
      <c r="V760" s="122">
        <f t="shared" si="65"/>
        <v>0.28070000000000006</v>
      </c>
      <c r="W760" s="61">
        <f>Table3.110[[#This Row],[DM Incubated, mg]]-('3.2 Digest'!V760*1000)</f>
        <v>180.3210657868425</v>
      </c>
      <c r="X760" s="61">
        <f>W760/Table3.110[[#This Row],[DM Incubated, mg]]*100</f>
        <v>39.113411331666924</v>
      </c>
      <c r="Y760" s="37">
        <f>Table3.1[[#This Row],[DM Incubated, mg]]*'2.4 NDF'!R169/100</f>
        <v>217.24730099305035</v>
      </c>
      <c r="Z760" s="37">
        <f t="shared" ref="Z760:Z761" si="70">Y760-(V760*1000)</f>
        <v>-63.4526990069497</v>
      </c>
      <c r="AA760" s="37">
        <f t="shared" ref="AA760:AA761" si="71">Z760/Y760*100</f>
        <v>-29.207589100947924</v>
      </c>
      <c r="AB760" s="57"/>
    </row>
    <row r="761" spans="2:28" x14ac:dyDescent="0.35">
      <c r="B761" s="230">
        <f t="shared" si="64"/>
        <v>751</v>
      </c>
      <c r="C761" s="247"/>
      <c r="D761" s="248">
        <f>Table3.110[[#This Row],[Date]]</f>
        <v>46076</v>
      </c>
      <c r="E761" s="230" t="str">
        <f>Table3.110[[#This Row],[Requisitioner]]</f>
        <v>Genbank</v>
      </c>
      <c r="F761" s="230" t="str">
        <f>Table3.110[[#This Row],[Gene Bank ID]]</f>
        <v>CIAT9337</v>
      </c>
      <c r="G761" s="230" t="str">
        <f>Table3.110[[#This Row],[Genus]]</f>
        <v>Crotalaria</v>
      </c>
      <c r="H761" s="230" t="str">
        <f>Table3.110[[#This Row],[Species]]</f>
        <v>retusa</v>
      </c>
      <c r="I761" s="230" t="str">
        <f>Table3.110[[#This Row],[Tax Name]]</f>
        <v>Crotalaria retusa</v>
      </c>
      <c r="J761" s="230" t="str">
        <f>Table3.110[[#This Row],[Family]]</f>
        <v>Fabaceae</v>
      </c>
      <c r="K761" s="230" t="str">
        <f>Table3.110[[#This Row],[Order]]</f>
        <v>Fabales</v>
      </c>
      <c r="L761" s="230" t="str">
        <f>Table3.110[[#This Row],[Functional Group]]</f>
        <v>Tree</v>
      </c>
      <c r="M761" s="230" t="str">
        <f>Table3.110[[#This Row],[CIAT ID]]</f>
        <v>F252591</v>
      </c>
      <c r="N761" s="230">
        <f>Table3.110[[#This Row],[Set CIAT]]</f>
        <v>28</v>
      </c>
      <c r="O761" s="230">
        <f>Table3.110[[#This Row],[Batch]]</f>
        <v>69</v>
      </c>
      <c r="P761" s="230">
        <f>Table3.110[[#This Row],[Run]]</f>
        <v>3</v>
      </c>
      <c r="Q761" s="230">
        <f>Table3.110[[#This Row],[Replication]]</f>
        <v>2</v>
      </c>
      <c r="R761" s="230">
        <f>Table3.110[[#This Row],[Syrange No]]</f>
        <v>170</v>
      </c>
      <c r="S761" s="113">
        <v>0.5877</v>
      </c>
      <c r="T761" s="113">
        <v>0.86760000000000004</v>
      </c>
      <c r="U761" s="108"/>
      <c r="V761" s="122">
        <f t="shared" si="65"/>
        <v>0.27990000000000004</v>
      </c>
      <c r="W761" s="61">
        <f>Table3.110[[#This Row],[DM Incubated, mg]]-('3.2 Digest'!V761*1000)</f>
        <v>181.02889844062366</v>
      </c>
      <c r="X761" s="61">
        <f>W761/Table3.110[[#This Row],[DM Incubated, mg]]*100</f>
        <v>39.274799009796432</v>
      </c>
      <c r="Y761" s="37">
        <f>Table3.1[[#This Row],[DM Incubated, mg]]*'2.4 NDF'!R169/100</f>
        <v>217.20386890568668</v>
      </c>
      <c r="Z761" s="37">
        <f t="shared" si="70"/>
        <v>-62.696131094313358</v>
      </c>
      <c r="AA761" s="37">
        <f t="shared" si="71"/>
        <v>-28.865107886976453</v>
      </c>
      <c r="AB761" s="57"/>
    </row>
    <row r="762" spans="2:28" x14ac:dyDescent="0.35">
      <c r="B762" s="230">
        <f t="shared" si="64"/>
        <v>752</v>
      </c>
      <c r="C762" s="247"/>
      <c r="D762" s="248">
        <f>Table3.110[[#This Row],[Date]]</f>
        <v>46076</v>
      </c>
      <c r="E762" s="230" t="str">
        <f>Table3.110[[#This Row],[Requisitioner]]</f>
        <v>Genbank</v>
      </c>
      <c r="F762" s="230" t="str">
        <f>Table3.110[[#This Row],[Gene Bank ID]]</f>
        <v>CIAT9350</v>
      </c>
      <c r="G762" s="230" t="str">
        <f>Table3.110[[#This Row],[Genus]]</f>
        <v>Crotalaria</v>
      </c>
      <c r="H762" s="230" t="str">
        <f>Table3.110[[#This Row],[Species]]</f>
        <v>pumila</v>
      </c>
      <c r="I762" s="230" t="str">
        <f>Table3.110[[#This Row],[Tax Name]]</f>
        <v>Crotalaria pumila</v>
      </c>
      <c r="J762" s="230" t="str">
        <f>Table3.110[[#This Row],[Family]]</f>
        <v>Fabaceae</v>
      </c>
      <c r="K762" s="230" t="str">
        <f>Table3.110[[#This Row],[Order]]</f>
        <v>Fabales</v>
      </c>
      <c r="L762" s="230" t="str">
        <f>Table3.110[[#This Row],[Functional Group]]</f>
        <v>Tree</v>
      </c>
      <c r="M762" s="230" t="str">
        <f>Table3.110[[#This Row],[CIAT ID]]</f>
        <v>F252592</v>
      </c>
      <c r="N762" s="230">
        <f>Table3.110[[#This Row],[Set CIAT]]</f>
        <v>28</v>
      </c>
      <c r="O762" s="230">
        <f>Table3.110[[#This Row],[Batch]]</f>
        <v>69</v>
      </c>
      <c r="P762" s="230">
        <f>Table3.110[[#This Row],[Run]]</f>
        <v>3</v>
      </c>
      <c r="Q762" s="230">
        <f>Table3.110[[#This Row],[Replication]]</f>
        <v>1</v>
      </c>
      <c r="R762" s="230">
        <f>Table3.110[[#This Row],[Syrange No]]</f>
        <v>171</v>
      </c>
      <c r="S762" s="272">
        <v>0.56269999999999998</v>
      </c>
      <c r="T762" s="272">
        <v>0.74850000000000005</v>
      </c>
      <c r="U762" s="108"/>
      <c r="V762" s="122">
        <f t="shared" si="65"/>
        <v>0.18580000000000008</v>
      </c>
      <c r="W762" s="61">
        <f>Table3.110[[#This Row],[DM Incubated, mg]]-('3.2 Digest'!V762*1000)</f>
        <v>270.25440367889649</v>
      </c>
      <c r="X762" s="61">
        <f>W762/Table3.110[[#This Row],[DM Incubated, mg]]*100</f>
        <v>59.259246594005035</v>
      </c>
      <c r="Y762" s="37">
        <f>Table3.1[[#This Row],[DM Incubated, mg]]*'2.4 NDF'!R171/100</f>
        <v>226.77215511912758</v>
      </c>
      <c r="Z762" s="37">
        <f t="shared" si="66"/>
        <v>40.972155119127507</v>
      </c>
      <c r="AA762" s="37">
        <f t="shared" si="67"/>
        <v>18.067542330143699</v>
      </c>
      <c r="AB762" s="57"/>
    </row>
    <row r="763" spans="2:28" x14ac:dyDescent="0.35">
      <c r="B763" s="230">
        <f t="shared" si="64"/>
        <v>753</v>
      </c>
      <c r="C763" s="247"/>
      <c r="D763" s="248">
        <f>Table3.110[[#This Row],[Date]]</f>
        <v>46076</v>
      </c>
      <c r="E763" s="230" t="str">
        <f>Table3.110[[#This Row],[Requisitioner]]</f>
        <v>Genbank</v>
      </c>
      <c r="F763" s="230" t="str">
        <f>Table3.110[[#This Row],[Gene Bank ID]]</f>
        <v>CIAT9350</v>
      </c>
      <c r="G763" s="230" t="str">
        <f>Table3.110[[#This Row],[Genus]]</f>
        <v>Crotalaria</v>
      </c>
      <c r="H763" s="230" t="str">
        <f>Table3.110[[#This Row],[Species]]</f>
        <v>pumila</v>
      </c>
      <c r="I763" s="230" t="str">
        <f>Table3.110[[#This Row],[Tax Name]]</f>
        <v>Crotalaria pumila</v>
      </c>
      <c r="J763" s="230" t="str">
        <f>Table3.110[[#This Row],[Family]]</f>
        <v>Fabaceae</v>
      </c>
      <c r="K763" s="230" t="str">
        <f>Table3.110[[#This Row],[Order]]</f>
        <v>Fabales</v>
      </c>
      <c r="L763" s="230" t="str">
        <f>Table3.110[[#This Row],[Functional Group]]</f>
        <v>Tree</v>
      </c>
      <c r="M763" s="230" t="str">
        <f>Table3.110[[#This Row],[CIAT ID]]</f>
        <v>F252592</v>
      </c>
      <c r="N763" s="230">
        <f>Table3.110[[#This Row],[Set CIAT]]</f>
        <v>28</v>
      </c>
      <c r="O763" s="230">
        <f>Table3.110[[#This Row],[Batch]]</f>
        <v>69</v>
      </c>
      <c r="P763" s="230">
        <f>Table3.110[[#This Row],[Run]]</f>
        <v>3</v>
      </c>
      <c r="Q763" s="230">
        <f>Table3.110[[#This Row],[Replication]]</f>
        <v>2</v>
      </c>
      <c r="R763" s="230">
        <f>Table3.110[[#This Row],[Syrange No]]</f>
        <v>172</v>
      </c>
      <c r="S763" s="113">
        <v>0.54920000000000002</v>
      </c>
      <c r="T763" s="113">
        <v>0.72170000000000001</v>
      </c>
      <c r="U763" s="108"/>
      <c r="V763" s="122">
        <f t="shared" si="65"/>
        <v>0.17249999999999999</v>
      </c>
      <c r="W763" s="61">
        <f>Table3.110[[#This Row],[DM Incubated, mg]]-('3.2 Digest'!V763*1000)</f>
        <v>283.64559632110388</v>
      </c>
      <c r="X763" s="61">
        <f>W763/Table3.110[[#This Row],[DM Incubated, mg]]*100</f>
        <v>62.183127187625296</v>
      </c>
      <c r="Y763" s="37">
        <f>Table3.1[[#This Row],[DM Incubated, mg]]*'2.4 NDF'!R171/100</f>
        <v>226.81750048107898</v>
      </c>
      <c r="Z763" s="37">
        <f t="shared" si="66"/>
        <v>54.31750048107898</v>
      </c>
      <c r="AA763" s="37">
        <f t="shared" si="67"/>
        <v>23.947667338662928</v>
      </c>
      <c r="AB763" s="57"/>
    </row>
    <row r="764" spans="2:28" x14ac:dyDescent="0.35">
      <c r="B764" s="230">
        <f t="shared" si="64"/>
        <v>754</v>
      </c>
      <c r="C764" s="247"/>
      <c r="D764" s="248">
        <f>Table3.110[[#This Row],[Date]]</f>
        <v>46076</v>
      </c>
      <c r="E764" s="230" t="str">
        <f>Table3.110[[#This Row],[Requisitioner]]</f>
        <v>Genbank</v>
      </c>
      <c r="F764" s="230" t="str">
        <f>Table3.110[[#This Row],[Gene Bank ID]]</f>
        <v>CIAT9352</v>
      </c>
      <c r="G764" s="230" t="str">
        <f>Table3.110[[#This Row],[Genus]]</f>
        <v>Crotalaria</v>
      </c>
      <c r="H764" s="230" t="str">
        <f>Table3.110[[#This Row],[Species]]</f>
        <v>pumila</v>
      </c>
      <c r="I764" s="230" t="str">
        <f>Table3.110[[#This Row],[Tax Name]]</f>
        <v>Crotalaria pumila</v>
      </c>
      <c r="J764" s="230" t="str">
        <f>Table3.110[[#This Row],[Family]]</f>
        <v>Fabaceae</v>
      </c>
      <c r="K764" s="230" t="str">
        <f>Table3.110[[#This Row],[Order]]</f>
        <v>Fabales</v>
      </c>
      <c r="L764" s="230" t="str">
        <f>Table3.110[[#This Row],[Functional Group]]</f>
        <v>Tree</v>
      </c>
      <c r="M764" s="230" t="str">
        <f>Table3.110[[#This Row],[CIAT ID]]</f>
        <v>F252593</v>
      </c>
      <c r="N764" s="230">
        <f>Table3.110[[#This Row],[Set CIAT]]</f>
        <v>28</v>
      </c>
      <c r="O764" s="230">
        <f>Table3.110[[#This Row],[Batch]]</f>
        <v>69</v>
      </c>
      <c r="P764" s="230">
        <f>Table3.110[[#This Row],[Run]]</f>
        <v>3</v>
      </c>
      <c r="Q764" s="230">
        <f>Table3.110[[#This Row],[Replication]]</f>
        <v>1</v>
      </c>
      <c r="R764" s="230">
        <f>Table3.110[[#This Row],[Syrange No]]</f>
        <v>173</v>
      </c>
      <c r="S764" s="272">
        <v>0.57889999999999997</v>
      </c>
      <c r="T764" s="272">
        <v>0.77929999999999999</v>
      </c>
      <c r="U764" s="108"/>
      <c r="V764" s="122">
        <f t="shared" si="65"/>
        <v>0.20040000000000002</v>
      </c>
      <c r="W764" s="61">
        <f>Table3.110[[#This Row],[DM Incubated, mg]]-('3.2 Digest'!V764*1000)</f>
        <v>266.72504216188372</v>
      </c>
      <c r="X764" s="61">
        <f>W764/Table3.110[[#This Row],[DM Incubated, mg]]*100</f>
        <v>57.099281367460762</v>
      </c>
      <c r="Y764" s="37">
        <f>Table3.1[[#This Row],[DM Incubated, mg]]*'2.4 NDF'!R173/100</f>
        <v>263.68067118155989</v>
      </c>
      <c r="Z764" s="37">
        <f t="shared" si="66"/>
        <v>63.280671181559853</v>
      </c>
      <c r="AA764" s="37">
        <f t="shared" si="67"/>
        <v>23.998979863786577</v>
      </c>
      <c r="AB764" s="57"/>
    </row>
    <row r="765" spans="2:28" x14ac:dyDescent="0.35">
      <c r="B765" s="230">
        <f t="shared" si="64"/>
        <v>755</v>
      </c>
      <c r="C765" s="247"/>
      <c r="D765" s="248">
        <f>Table3.110[[#This Row],[Date]]</f>
        <v>46076</v>
      </c>
      <c r="E765" s="230" t="str">
        <f>Table3.110[[#This Row],[Requisitioner]]</f>
        <v>Genbank</v>
      </c>
      <c r="F765" s="230" t="str">
        <f>Table3.110[[#This Row],[Gene Bank ID]]</f>
        <v>CIAT9352</v>
      </c>
      <c r="G765" s="230" t="str">
        <f>Table3.110[[#This Row],[Genus]]</f>
        <v>Crotalaria</v>
      </c>
      <c r="H765" s="230" t="str">
        <f>Table3.110[[#This Row],[Species]]</f>
        <v>pumila</v>
      </c>
      <c r="I765" s="230" t="str">
        <f>Table3.110[[#This Row],[Tax Name]]</f>
        <v>Crotalaria pumila</v>
      </c>
      <c r="J765" s="230" t="str">
        <f>Table3.110[[#This Row],[Family]]</f>
        <v>Fabaceae</v>
      </c>
      <c r="K765" s="230" t="str">
        <f>Table3.110[[#This Row],[Order]]</f>
        <v>Fabales</v>
      </c>
      <c r="L765" s="230" t="str">
        <f>Table3.110[[#This Row],[Functional Group]]</f>
        <v>Tree</v>
      </c>
      <c r="M765" s="230" t="str">
        <f>Table3.110[[#This Row],[CIAT ID]]</f>
        <v>F252593</v>
      </c>
      <c r="N765" s="230">
        <f>Table3.110[[#This Row],[Set CIAT]]</f>
        <v>28</v>
      </c>
      <c r="O765" s="230">
        <f>Table3.110[[#This Row],[Batch]]</f>
        <v>69</v>
      </c>
      <c r="P765" s="230">
        <f>Table3.110[[#This Row],[Run]]</f>
        <v>3</v>
      </c>
      <c r="Q765" s="230">
        <f>Table3.110[[#This Row],[Replication]]</f>
        <v>2</v>
      </c>
      <c r="R765" s="230">
        <f>Table3.110[[#This Row],[Syrange No]]</f>
        <v>174</v>
      </c>
      <c r="S765" s="113">
        <v>0.56559999999999999</v>
      </c>
      <c r="T765" s="113">
        <v>0.82840000000000003</v>
      </c>
      <c r="U765" s="108"/>
      <c r="V765" s="122">
        <f t="shared" si="65"/>
        <v>0.26280000000000003</v>
      </c>
      <c r="W765" s="61">
        <f>Table3.110[[#This Row],[DM Incubated, mg]]-('3.2 Digest'!V765*1000)</f>
        <v>204.69866747055153</v>
      </c>
      <c r="X765" s="61">
        <f>W765/Table3.110[[#This Row],[DM Incubated, mg]]*100</f>
        <v>43.785936028030669</v>
      </c>
      <c r="Y765" s="37">
        <f>Table3.1[[#This Row],[DM Incubated, mg]]*'2.4 NDF'!R173/100</f>
        <v>263.89157353803387</v>
      </c>
      <c r="Z765" s="37">
        <f t="shared" si="66"/>
        <v>1.091573538033856</v>
      </c>
      <c r="AA765" s="37">
        <f t="shared" si="67"/>
        <v>0.4136447114998657</v>
      </c>
      <c r="AB765" s="57"/>
    </row>
    <row r="766" spans="2:28" x14ac:dyDescent="0.35">
      <c r="B766" s="230">
        <f t="shared" si="64"/>
        <v>756</v>
      </c>
      <c r="C766" s="247"/>
      <c r="D766" s="248">
        <f>Table3.110[[#This Row],[Date]]</f>
        <v>46076</v>
      </c>
      <c r="E766" s="230" t="str">
        <f>Table3.110[[#This Row],[Requisitioner]]</f>
        <v>Genbank</v>
      </c>
      <c r="F766" s="230" t="str">
        <f>Table3.110[[#This Row],[Gene Bank ID]]</f>
        <v>CIAT9472</v>
      </c>
      <c r="G766" s="230" t="str">
        <f>Table3.110[[#This Row],[Genus]]</f>
        <v>Zornia</v>
      </c>
      <c r="H766" s="230" t="str">
        <f>Table3.110[[#This Row],[Species]]</f>
        <v>brasiliensis</v>
      </c>
      <c r="I766" s="230" t="str">
        <f>Table3.110[[#This Row],[Tax Name]]</f>
        <v>Zornia brasiliensis</v>
      </c>
      <c r="J766" s="230" t="str">
        <f>Table3.110[[#This Row],[Family]]</f>
        <v>Fabaceae</v>
      </c>
      <c r="K766" s="230" t="str">
        <f>Table3.110[[#This Row],[Order]]</f>
        <v>Fabales</v>
      </c>
      <c r="L766" s="230" t="str">
        <f>Table3.110[[#This Row],[Functional Group]]</f>
        <v>Tree</v>
      </c>
      <c r="M766" s="230" t="str">
        <f>Table3.110[[#This Row],[CIAT ID]]</f>
        <v>F252594</v>
      </c>
      <c r="N766" s="230">
        <f>Table3.110[[#This Row],[Set CIAT]]</f>
        <v>28</v>
      </c>
      <c r="O766" s="230">
        <f>Table3.110[[#This Row],[Batch]]</f>
        <v>69</v>
      </c>
      <c r="P766" s="230">
        <f>Table3.110[[#This Row],[Run]]</f>
        <v>3</v>
      </c>
      <c r="Q766" s="230">
        <f>Table3.110[[#This Row],[Replication]]</f>
        <v>1</v>
      </c>
      <c r="R766" s="230">
        <f>Table3.110[[#This Row],[Syrange No]]</f>
        <v>175</v>
      </c>
      <c r="S766" s="272">
        <v>0.56210000000000004</v>
      </c>
      <c r="T766" s="272">
        <v>0.84240000000000004</v>
      </c>
      <c r="U766" s="108"/>
      <c r="V766" s="122">
        <f t="shared" si="65"/>
        <v>0.28029999999999999</v>
      </c>
      <c r="W766" s="61">
        <f>Table3.110[[#This Row],[DM Incubated, mg]]-('3.2 Digest'!V766*1000)</f>
        <v>180.54930124863938</v>
      </c>
      <c r="X766" s="61">
        <f>W766/Table3.110[[#This Row],[DM Incubated, mg]]*100</f>
        <v>39.17751437605601</v>
      </c>
      <c r="Y766" s="37">
        <f>Table3.1[[#This Row],[DM Incubated, mg]]*'2.4 NDF'!R175/100</f>
        <v>227.9680503643084</v>
      </c>
      <c r="Z766" s="37">
        <f t="shared" si="66"/>
        <v>-52.331949635691615</v>
      </c>
      <c r="AA766" s="37">
        <f t="shared" si="67"/>
        <v>-22.955826288842498</v>
      </c>
      <c r="AB766" s="57"/>
    </row>
    <row r="767" spans="2:28" x14ac:dyDescent="0.35">
      <c r="B767" s="230">
        <f t="shared" si="64"/>
        <v>757</v>
      </c>
      <c r="C767" s="247"/>
      <c r="D767" s="248">
        <f>Table3.110[[#This Row],[Date]]</f>
        <v>46076</v>
      </c>
      <c r="E767" s="230" t="str">
        <f>Table3.110[[#This Row],[Requisitioner]]</f>
        <v>Genbank</v>
      </c>
      <c r="F767" s="230" t="str">
        <f>Table3.110[[#This Row],[Gene Bank ID]]</f>
        <v>CIAT9472</v>
      </c>
      <c r="G767" s="230" t="str">
        <f>Table3.110[[#This Row],[Genus]]</f>
        <v>Zornia</v>
      </c>
      <c r="H767" s="230" t="str">
        <f>Table3.110[[#This Row],[Species]]</f>
        <v>brasiliensis</v>
      </c>
      <c r="I767" s="230" t="str">
        <f>Table3.110[[#This Row],[Tax Name]]</f>
        <v>Zornia brasiliensis</v>
      </c>
      <c r="J767" s="230" t="str">
        <f>Table3.110[[#This Row],[Family]]</f>
        <v>Fabaceae</v>
      </c>
      <c r="K767" s="230" t="str">
        <f>Table3.110[[#This Row],[Order]]</f>
        <v>Fabales</v>
      </c>
      <c r="L767" s="230" t="str">
        <f>Table3.110[[#This Row],[Functional Group]]</f>
        <v>Tree</v>
      </c>
      <c r="M767" s="230" t="str">
        <f>Table3.110[[#This Row],[CIAT ID]]</f>
        <v>F252594</v>
      </c>
      <c r="N767" s="230">
        <f>Table3.110[[#This Row],[Set CIAT]]</f>
        <v>28</v>
      </c>
      <c r="O767" s="230">
        <f>Table3.110[[#This Row],[Batch]]</f>
        <v>69</v>
      </c>
      <c r="P767" s="230">
        <f>Table3.110[[#This Row],[Run]]</f>
        <v>3</v>
      </c>
      <c r="Q767" s="230">
        <f>Table3.110[[#This Row],[Replication]]</f>
        <v>2</v>
      </c>
      <c r="R767" s="230">
        <f>Table3.110[[#This Row],[Syrange No]]</f>
        <v>176</v>
      </c>
      <c r="S767" s="113">
        <v>0.57140000000000002</v>
      </c>
      <c r="T767" s="113">
        <v>0.92249999999999999</v>
      </c>
      <c r="U767" s="108"/>
      <c r="V767" s="122">
        <f t="shared" si="65"/>
        <v>0.35109999999999997</v>
      </c>
      <c r="W767" s="61">
        <f>Table3.110[[#This Row],[DM Incubated, mg]]-('3.2 Digest'!V767*1000)</f>
        <v>109.38091651542709</v>
      </c>
      <c r="X767" s="61">
        <f>W767/Table3.110[[#This Row],[DM Incubated, mg]]*100</f>
        <v>23.753626391977221</v>
      </c>
      <c r="Y767" s="37">
        <f>Table3.1[[#This Row],[DM Incubated, mg]]*'2.4 NDF'!R175/100</f>
        <v>227.78582170694284</v>
      </c>
      <c r="Z767" s="37">
        <f t="shared" si="66"/>
        <v>-123.31417829305713</v>
      </c>
      <c r="AA767" s="37">
        <f t="shared" si="67"/>
        <v>-54.136020130219784</v>
      </c>
      <c r="AB767" s="57"/>
    </row>
    <row r="768" spans="2:28" x14ac:dyDescent="0.35">
      <c r="B768" s="230">
        <f t="shared" si="64"/>
        <v>758</v>
      </c>
      <c r="C768" s="247"/>
      <c r="D768" s="248">
        <f>Table3.110[[#This Row],[Date]]</f>
        <v>46076</v>
      </c>
      <c r="E768" s="230" t="str">
        <f>Table3.110[[#This Row],[Requisitioner]]</f>
        <v>Genbank</v>
      </c>
      <c r="F768" s="230" t="str">
        <f>Table3.110[[#This Row],[Gene Bank ID]]</f>
        <v>CIAT9531</v>
      </c>
      <c r="G768" s="230" t="str">
        <f>Table3.110[[#This Row],[Genus]]</f>
        <v>Indigofera</v>
      </c>
      <c r="H768" s="230" t="str">
        <f>Table3.110[[#This Row],[Species]]</f>
        <v>spicata</v>
      </c>
      <c r="I768" s="230" t="str">
        <f>Table3.110[[#This Row],[Tax Name]]</f>
        <v>Indigofera spicata</v>
      </c>
      <c r="J768" s="230" t="str">
        <f>Table3.110[[#This Row],[Family]]</f>
        <v>Fabaceae</v>
      </c>
      <c r="K768" s="230" t="str">
        <f>Table3.110[[#This Row],[Order]]</f>
        <v>Fabales</v>
      </c>
      <c r="L768" s="230" t="str">
        <f>Table3.110[[#This Row],[Functional Group]]</f>
        <v>Tree</v>
      </c>
      <c r="M768" s="230" t="str">
        <f>Table3.110[[#This Row],[CIAT ID]]</f>
        <v>F252595</v>
      </c>
      <c r="N768" s="230">
        <f>Table3.110[[#This Row],[Set CIAT]]</f>
        <v>28</v>
      </c>
      <c r="O768" s="230">
        <f>Table3.110[[#This Row],[Batch]]</f>
        <v>69</v>
      </c>
      <c r="P768" s="230">
        <f>Table3.110[[#This Row],[Run]]</f>
        <v>3</v>
      </c>
      <c r="Q768" s="230">
        <f>Table3.110[[#This Row],[Replication]]</f>
        <v>1</v>
      </c>
      <c r="R768" s="230">
        <f>Table3.110[[#This Row],[Syrange No]]</f>
        <v>177</v>
      </c>
      <c r="S768" s="272">
        <v>0.55569999999999997</v>
      </c>
      <c r="T768" s="272">
        <v>0.77990000000000004</v>
      </c>
      <c r="U768" s="108"/>
      <c r="V768" s="122">
        <f t="shared" si="65"/>
        <v>0.22420000000000007</v>
      </c>
      <c r="W768" s="61">
        <f>Table3.110[[#This Row],[DM Incubated, mg]]-('3.2 Digest'!V768*1000)</f>
        <v>233.79192649976895</v>
      </c>
      <c r="X768" s="61">
        <f>W768/Table3.110[[#This Row],[DM Incubated, mg]]*100</f>
        <v>51.047172007274867</v>
      </c>
      <c r="Y768" s="37">
        <f>Table3.1[[#This Row],[DM Incubated, mg]]*'2.4 NDF'!R177/100</f>
        <v>195.43055133431267</v>
      </c>
      <c r="Z768" s="37">
        <f t="shared" si="66"/>
        <v>-28.769448665687406</v>
      </c>
      <c r="AA768" s="37">
        <f t="shared" si="67"/>
        <v>-14.721059972078285</v>
      </c>
      <c r="AB768" s="57"/>
    </row>
    <row r="769" spans="2:28" x14ac:dyDescent="0.35">
      <c r="B769" s="230">
        <f t="shared" si="64"/>
        <v>759</v>
      </c>
      <c r="C769" s="247"/>
      <c r="D769" s="248">
        <f>Table3.110[[#This Row],[Date]]</f>
        <v>46076</v>
      </c>
      <c r="E769" s="230" t="str">
        <f>Table3.110[[#This Row],[Requisitioner]]</f>
        <v>Genbank</v>
      </c>
      <c r="F769" s="230" t="str">
        <f>Table3.110[[#This Row],[Gene Bank ID]]</f>
        <v>CIAT9531</v>
      </c>
      <c r="G769" s="230" t="str">
        <f>Table3.110[[#This Row],[Genus]]</f>
        <v>Indigofera</v>
      </c>
      <c r="H769" s="230" t="str">
        <f>Table3.110[[#This Row],[Species]]</f>
        <v>spicata</v>
      </c>
      <c r="I769" s="230" t="str">
        <f>Table3.110[[#This Row],[Tax Name]]</f>
        <v>Indigofera spicata</v>
      </c>
      <c r="J769" s="230" t="str">
        <f>Table3.110[[#This Row],[Family]]</f>
        <v>Fabaceae</v>
      </c>
      <c r="K769" s="230" t="str">
        <f>Table3.110[[#This Row],[Order]]</f>
        <v>Fabales</v>
      </c>
      <c r="L769" s="230" t="str">
        <f>Table3.110[[#This Row],[Functional Group]]</f>
        <v>Tree</v>
      </c>
      <c r="M769" s="230" t="str">
        <f>Table3.110[[#This Row],[CIAT ID]]</f>
        <v>F252595</v>
      </c>
      <c r="N769" s="230">
        <f>Table3.110[[#This Row],[Set CIAT]]</f>
        <v>28</v>
      </c>
      <c r="O769" s="230">
        <f>Table3.110[[#This Row],[Batch]]</f>
        <v>69</v>
      </c>
      <c r="P769" s="230">
        <f>Table3.110[[#This Row],[Run]]</f>
        <v>3</v>
      </c>
      <c r="Q769" s="230">
        <f>Table3.110[[#This Row],[Replication]]</f>
        <v>2</v>
      </c>
      <c r="R769" s="230">
        <f>Table3.110[[#This Row],[Syrange No]]</f>
        <v>178</v>
      </c>
      <c r="S769" s="113">
        <v>0.56999999999999995</v>
      </c>
      <c r="T769" s="113">
        <v>0.78049999999999997</v>
      </c>
      <c r="U769" s="108"/>
      <c r="V769" s="122">
        <f t="shared" si="65"/>
        <v>0.21050000000000002</v>
      </c>
      <c r="W769" s="61">
        <f>Table3.110[[#This Row],[DM Incubated, mg]]-('3.2 Digest'!V769*1000)</f>
        <v>247.49192649976899</v>
      </c>
      <c r="X769" s="61">
        <f>W769/Table3.110[[#This Row],[DM Incubated, mg]]*100</f>
        <v>54.038491112985554</v>
      </c>
      <c r="Y769" s="37">
        <f>Table3.1[[#This Row],[DM Incubated, mg]]*'2.4 NDF'!R177/100</f>
        <v>195.43055133431267</v>
      </c>
      <c r="Z769" s="37">
        <f t="shared" si="66"/>
        <v>-15.069448665687361</v>
      </c>
      <c r="AA769" s="37">
        <f t="shared" si="67"/>
        <v>-7.7108970745873071</v>
      </c>
      <c r="AB769" s="57"/>
    </row>
    <row r="770" spans="2:28" x14ac:dyDescent="0.35">
      <c r="B770" s="230">
        <f t="shared" si="64"/>
        <v>760</v>
      </c>
      <c r="C770" s="247"/>
      <c r="D770" s="248">
        <f>Table3.110[[#This Row],[Date]]</f>
        <v>46076</v>
      </c>
      <c r="E770" s="230" t="str">
        <f>Table3.110[[#This Row],[Requisitioner]]</f>
        <v>Genbank</v>
      </c>
      <c r="F770" s="230" t="str">
        <f>Table3.110[[#This Row],[Gene Bank ID]]</f>
        <v>CIAT10026</v>
      </c>
      <c r="G770" s="230" t="str">
        <f>Table3.110[[#This Row],[Genus]]</f>
        <v>Stylosanthes</v>
      </c>
      <c r="H770" s="230" t="str">
        <f>Table3.110[[#This Row],[Species]]</f>
        <v>seabrana</v>
      </c>
      <c r="I770" s="230" t="str">
        <f>Table3.110[[#This Row],[Tax Name]]</f>
        <v>Stylosanthes seabrana</v>
      </c>
      <c r="J770" s="230" t="str">
        <f>Table3.110[[#This Row],[Family]]</f>
        <v>Fabaceae</v>
      </c>
      <c r="K770" s="230" t="str">
        <f>Table3.110[[#This Row],[Order]]</f>
        <v>Fabales</v>
      </c>
      <c r="L770" s="230" t="str">
        <f>Table3.110[[#This Row],[Functional Group]]</f>
        <v>Tree</v>
      </c>
      <c r="M770" s="230" t="str">
        <f>Table3.110[[#This Row],[CIAT ID]]</f>
        <v>F252596</v>
      </c>
      <c r="N770" s="230">
        <f>Table3.110[[#This Row],[Set CIAT]]</f>
        <v>28</v>
      </c>
      <c r="O770" s="230">
        <f>Table3.110[[#This Row],[Batch]]</f>
        <v>69</v>
      </c>
      <c r="P770" s="230">
        <f>Table3.110[[#This Row],[Run]]</f>
        <v>3</v>
      </c>
      <c r="Q770" s="230">
        <f>Table3.110[[#This Row],[Replication]]</f>
        <v>1</v>
      </c>
      <c r="R770" s="230">
        <f>Table3.110[[#This Row],[Syrange No]]</f>
        <v>179</v>
      </c>
      <c r="S770" s="272">
        <v>0.58260000000000001</v>
      </c>
      <c r="T770" s="272">
        <v>0.89670000000000005</v>
      </c>
      <c r="U770" s="108"/>
      <c r="V770" s="122">
        <f t="shared" si="65"/>
        <v>0.31410000000000005</v>
      </c>
      <c r="W770" s="61">
        <f>Table3.110[[#This Row],[DM Incubated, mg]]-('3.2 Digest'!V770*1000)</f>
        <v>149.91230808272002</v>
      </c>
      <c r="X770" s="61">
        <f>W770/Table3.110[[#This Row],[DM Incubated, mg]]*100</f>
        <v>32.307830087988734</v>
      </c>
      <c r="Y770" s="37">
        <f>Table3.1[[#This Row],[DM Incubated, mg]]*'2.4 NDF'!R179/100</f>
        <v>265.63570638590232</v>
      </c>
      <c r="Z770" s="37">
        <f t="shared" si="66"/>
        <v>-48.464293614097699</v>
      </c>
      <c r="AA770" s="37">
        <f t="shared" si="67"/>
        <v>-18.244645749427672</v>
      </c>
      <c r="AB770" s="57"/>
    </row>
    <row r="771" spans="2:28" x14ac:dyDescent="0.35">
      <c r="B771" s="230">
        <f t="shared" si="64"/>
        <v>761</v>
      </c>
      <c r="C771" s="247"/>
      <c r="D771" s="248">
        <f>Table3.110[[#This Row],[Date]]</f>
        <v>46076</v>
      </c>
      <c r="E771" s="230" t="str">
        <f>Table3.110[[#This Row],[Requisitioner]]</f>
        <v>Genbank</v>
      </c>
      <c r="F771" s="230" t="str">
        <f>Table3.110[[#This Row],[Gene Bank ID]]</f>
        <v>CIAT10026</v>
      </c>
      <c r="G771" s="230" t="str">
        <f>Table3.110[[#This Row],[Genus]]</f>
        <v>Stylosanthes</v>
      </c>
      <c r="H771" s="230" t="str">
        <f>Table3.110[[#This Row],[Species]]</f>
        <v>seabrana</v>
      </c>
      <c r="I771" s="230" t="str">
        <f>Table3.110[[#This Row],[Tax Name]]</f>
        <v>Stylosanthes seabrana</v>
      </c>
      <c r="J771" s="230" t="str">
        <f>Table3.110[[#This Row],[Family]]</f>
        <v>Fabaceae</v>
      </c>
      <c r="K771" s="230" t="str">
        <f>Table3.110[[#This Row],[Order]]</f>
        <v>Fabales</v>
      </c>
      <c r="L771" s="230" t="str">
        <f>Table3.110[[#This Row],[Functional Group]]</f>
        <v>Tree</v>
      </c>
      <c r="M771" s="230" t="str">
        <f>Table3.110[[#This Row],[CIAT ID]]</f>
        <v>F252596</v>
      </c>
      <c r="N771" s="230">
        <f>Table3.110[[#This Row],[Set CIAT]]</f>
        <v>28</v>
      </c>
      <c r="O771" s="230">
        <f>Table3.110[[#This Row],[Batch]]</f>
        <v>69</v>
      </c>
      <c r="P771" s="230">
        <f>Table3.110[[#This Row],[Run]]</f>
        <v>3</v>
      </c>
      <c r="Q771" s="230">
        <f>Table3.110[[#This Row],[Replication]]</f>
        <v>2</v>
      </c>
      <c r="R771" s="230">
        <f>Table3.110[[#This Row],[Syrange No]]</f>
        <v>180</v>
      </c>
      <c r="S771" s="113">
        <v>0.56200000000000006</v>
      </c>
      <c r="T771" s="113">
        <v>0.88739999999999997</v>
      </c>
      <c r="U771" s="108"/>
      <c r="V771" s="122">
        <f t="shared" si="65"/>
        <v>0.32539999999999991</v>
      </c>
      <c r="W771" s="61">
        <f>Table3.110[[#This Row],[DM Incubated, mg]]-('3.2 Digest'!V771*1000)</f>
        <v>138.4268144556633</v>
      </c>
      <c r="X771" s="61">
        <f>W771/Table3.110[[#This Row],[DM Incubated, mg]]*100</f>
        <v>29.844504487761863</v>
      </c>
      <c r="Y771" s="37">
        <f>Table3.1[[#This Row],[DM Incubated, mg]]*'2.4 NDF'!R179/100</f>
        <v>265.52951581768889</v>
      </c>
      <c r="Z771" s="37">
        <f t="shared" si="66"/>
        <v>-59.870484182311031</v>
      </c>
      <c r="AA771" s="37">
        <f t="shared" si="67"/>
        <v>-22.547581574101834</v>
      </c>
      <c r="AB771" s="57"/>
    </row>
    <row r="772" spans="2:28" x14ac:dyDescent="0.35">
      <c r="B772" s="230">
        <f t="shared" si="64"/>
        <v>762</v>
      </c>
      <c r="C772" s="247"/>
      <c r="D772" s="248">
        <f>Table3.110[[#This Row],[Date]]</f>
        <v>46076</v>
      </c>
      <c r="E772" s="230" t="str">
        <f>Table3.110[[#This Row],[Requisitioner]]</f>
        <v>Genbank</v>
      </c>
      <c r="F772" s="230" t="str">
        <f>Table3.110[[#This Row],[Gene Bank ID]]</f>
        <v>CIAT12411</v>
      </c>
      <c r="G772" s="230" t="str">
        <f>Table3.110[[#This Row],[Genus]]</f>
        <v>Stylosanthes</v>
      </c>
      <c r="H772" s="230" t="str">
        <f>Table3.110[[#This Row],[Species]]</f>
        <v>sympodialis</v>
      </c>
      <c r="I772" s="230" t="str">
        <f>Table3.110[[#This Row],[Tax Name]]</f>
        <v>Stylosanthes sympodialis</v>
      </c>
      <c r="J772" s="230" t="str">
        <f>Table3.110[[#This Row],[Family]]</f>
        <v>Fabaceae</v>
      </c>
      <c r="K772" s="230" t="str">
        <f>Table3.110[[#This Row],[Order]]</f>
        <v>Fabales</v>
      </c>
      <c r="L772" s="230" t="str">
        <f>Table3.110[[#This Row],[Functional Group]]</f>
        <v>Tree</v>
      </c>
      <c r="M772" s="230" t="str">
        <f>Table3.110[[#This Row],[CIAT ID]]</f>
        <v>F252597</v>
      </c>
      <c r="N772" s="230">
        <f>Table3.110[[#This Row],[Set CIAT]]</f>
        <v>28</v>
      </c>
      <c r="O772" s="230">
        <f>Table3.110[[#This Row],[Batch]]</f>
        <v>69</v>
      </c>
      <c r="P772" s="230">
        <f>Table3.110[[#This Row],[Run]]</f>
        <v>3</v>
      </c>
      <c r="Q772" s="230">
        <f>Table3.110[[#This Row],[Replication]]</f>
        <v>1</v>
      </c>
      <c r="R772" s="230">
        <f>Table3.110[[#This Row],[Syrange No]]</f>
        <v>181</v>
      </c>
      <c r="S772" s="272">
        <v>0.59319999999999995</v>
      </c>
      <c r="T772" s="272">
        <v>0.80769999999999997</v>
      </c>
      <c r="U772" s="108"/>
      <c r="V772" s="122">
        <f t="shared" si="65"/>
        <v>0.21450000000000002</v>
      </c>
      <c r="W772" s="61">
        <f>Table3.110[[#This Row],[DM Incubated, mg]]-('3.2 Digest'!V772*1000)</f>
        <v>244.1062164629362</v>
      </c>
      <c r="X772" s="61">
        <f>W772/Table3.110[[#This Row],[DM Incubated, mg]]*100</f>
        <v>53.227847268543172</v>
      </c>
      <c r="Y772" s="37">
        <f>Table3.1[[#This Row],[DM Incubated, mg]]*'2.4 NDF'!R181/100</f>
        <v>280.27676077718411</v>
      </c>
      <c r="Z772" s="37">
        <f t="shared" si="66"/>
        <v>65.77676077718408</v>
      </c>
      <c r="AA772" s="37">
        <f t="shared" si="67"/>
        <v>23.468503273261259</v>
      </c>
      <c r="AB772" s="57"/>
    </row>
    <row r="773" spans="2:28" x14ac:dyDescent="0.35">
      <c r="B773" s="230">
        <f t="shared" si="64"/>
        <v>763</v>
      </c>
      <c r="C773" s="247"/>
      <c r="D773" s="248">
        <f>Table3.110[[#This Row],[Date]]</f>
        <v>46076</v>
      </c>
      <c r="E773" s="230" t="str">
        <f>Table3.110[[#This Row],[Requisitioner]]</f>
        <v>Genbank</v>
      </c>
      <c r="F773" s="230" t="str">
        <f>Table3.110[[#This Row],[Gene Bank ID]]</f>
        <v>CIAT12411</v>
      </c>
      <c r="G773" s="230" t="str">
        <f>Table3.110[[#This Row],[Genus]]</f>
        <v>Stylosanthes</v>
      </c>
      <c r="H773" s="230" t="str">
        <f>Table3.110[[#This Row],[Species]]</f>
        <v>sympodialis</v>
      </c>
      <c r="I773" s="230" t="str">
        <f>Table3.110[[#This Row],[Tax Name]]</f>
        <v>Stylosanthes sympodialis</v>
      </c>
      <c r="J773" s="230" t="str">
        <f>Table3.110[[#This Row],[Family]]</f>
        <v>Fabaceae</v>
      </c>
      <c r="K773" s="230" t="str">
        <f>Table3.110[[#This Row],[Order]]</f>
        <v>Fabales</v>
      </c>
      <c r="L773" s="230" t="str">
        <f>Table3.110[[#This Row],[Functional Group]]</f>
        <v>Tree</v>
      </c>
      <c r="M773" s="230" t="str">
        <f>Table3.110[[#This Row],[CIAT ID]]</f>
        <v>F252597</v>
      </c>
      <c r="N773" s="230">
        <f>Table3.110[[#This Row],[Set CIAT]]</f>
        <v>28</v>
      </c>
      <c r="O773" s="230">
        <f>Table3.110[[#This Row],[Batch]]</f>
        <v>69</v>
      </c>
      <c r="P773" s="230">
        <f>Table3.110[[#This Row],[Run]]</f>
        <v>3</v>
      </c>
      <c r="Q773" s="230">
        <f>Table3.110[[#This Row],[Replication]]</f>
        <v>2</v>
      </c>
      <c r="R773" s="230">
        <f>Table3.110[[#This Row],[Syrange No]]</f>
        <v>182</v>
      </c>
      <c r="S773" s="113">
        <v>0.57909999999999995</v>
      </c>
      <c r="T773" s="113">
        <v>0.81359999999999999</v>
      </c>
      <c r="U773" s="108"/>
      <c r="V773" s="122">
        <f t="shared" si="65"/>
        <v>0.23450000000000004</v>
      </c>
      <c r="W773" s="61">
        <f>Table3.110[[#This Row],[DM Incubated, mg]]-('3.2 Digest'!V773*1000)</f>
        <v>224.28965894952134</v>
      </c>
      <c r="X773" s="61">
        <f>W773/Table3.110[[#This Row],[DM Incubated, mg]]*100</f>
        <v>48.887252485827929</v>
      </c>
      <c r="Y773" s="37">
        <f>Table3.1[[#This Row],[DM Incubated, mg]]*'2.4 NDF'!R181/100</f>
        <v>280.38887148149496</v>
      </c>
      <c r="Z773" s="37">
        <f t="shared" si="66"/>
        <v>45.888871481494931</v>
      </c>
      <c r="AA773" s="37">
        <f t="shared" si="67"/>
        <v>16.366152921487647</v>
      </c>
      <c r="AB773" s="57"/>
    </row>
    <row r="774" spans="2:28" x14ac:dyDescent="0.35">
      <c r="B774" s="230">
        <f t="shared" si="64"/>
        <v>764</v>
      </c>
      <c r="C774" s="247"/>
      <c r="D774" s="248">
        <f>Table3.110[[#This Row],[Date]]</f>
        <v>46076</v>
      </c>
      <c r="E774" s="230" t="str">
        <f>Table3.110[[#This Row],[Requisitioner]]</f>
        <v>Genbank</v>
      </c>
      <c r="F774" s="230" t="str">
        <f>Table3.110[[#This Row],[Gene Bank ID]]</f>
        <v>CIAT13494</v>
      </c>
      <c r="G774" s="230" t="str">
        <f>Table3.110[[#This Row],[Genus]]</f>
        <v>Desmodium</v>
      </c>
      <c r="H774" s="230" t="str">
        <f>Table3.110[[#This Row],[Species]]</f>
        <v>tortuosum</v>
      </c>
      <c r="I774" s="230" t="str">
        <f>Table3.110[[#This Row],[Tax Name]]</f>
        <v>Desmodium tortuosum</v>
      </c>
      <c r="J774" s="230" t="str">
        <f>Table3.110[[#This Row],[Family]]</f>
        <v>Fabaceae</v>
      </c>
      <c r="K774" s="230" t="str">
        <f>Table3.110[[#This Row],[Order]]</f>
        <v>Fabales</v>
      </c>
      <c r="L774" s="230" t="str">
        <f>Table3.110[[#This Row],[Functional Group]]</f>
        <v>Tree</v>
      </c>
      <c r="M774" s="230" t="str">
        <f>Table3.110[[#This Row],[CIAT ID]]</f>
        <v>F252598</v>
      </c>
      <c r="N774" s="230">
        <f>Table3.110[[#This Row],[Set CIAT]]</f>
        <v>28</v>
      </c>
      <c r="O774" s="230">
        <f>Table3.110[[#This Row],[Batch]]</f>
        <v>69</v>
      </c>
      <c r="P774" s="230">
        <f>Table3.110[[#This Row],[Run]]</f>
        <v>3</v>
      </c>
      <c r="Q774" s="230">
        <f>Table3.110[[#This Row],[Replication]]</f>
        <v>1</v>
      </c>
      <c r="R774" s="230">
        <f>Table3.110[[#This Row],[Syrange No]]</f>
        <v>183</v>
      </c>
      <c r="S774" s="272">
        <v>0.56610000000000005</v>
      </c>
      <c r="T774" s="272">
        <v>0.83460000000000001</v>
      </c>
      <c r="U774" s="108"/>
      <c r="V774" s="122">
        <f t="shared" si="65"/>
        <v>0.26849999999999996</v>
      </c>
      <c r="W774" s="61">
        <f>Table3.110[[#This Row],[DM Incubated, mg]]-('3.2 Digest'!V774*1000)</f>
        <v>190.10626021181116</v>
      </c>
      <c r="X774" s="61">
        <f>W774/Table3.110[[#This Row],[DM Incubated, mg]]*100</f>
        <v>41.453045173000689</v>
      </c>
      <c r="Y774" s="37">
        <f>Table3.1[[#This Row],[DM Incubated, mg]]*'2.4 NDF'!R183/100</f>
        <v>232.60275282192049</v>
      </c>
      <c r="Z774" s="37">
        <f t="shared" si="66"/>
        <v>-35.897247178079454</v>
      </c>
      <c r="AA774" s="37">
        <f t="shared" si="67"/>
        <v>-15.432855691764837</v>
      </c>
      <c r="AB774" s="57"/>
    </row>
    <row r="775" spans="2:28" x14ac:dyDescent="0.35">
      <c r="B775" s="230">
        <f t="shared" si="64"/>
        <v>765</v>
      </c>
      <c r="C775" s="247"/>
      <c r="D775" s="248">
        <f>Table3.110[[#This Row],[Date]]</f>
        <v>46076</v>
      </c>
      <c r="E775" s="230" t="str">
        <f>Table3.110[[#This Row],[Requisitioner]]</f>
        <v>Genbank</v>
      </c>
      <c r="F775" s="230" t="str">
        <f>Table3.110[[#This Row],[Gene Bank ID]]</f>
        <v>CIAT13494</v>
      </c>
      <c r="G775" s="230" t="str">
        <f>Table3.110[[#This Row],[Genus]]</f>
        <v>Desmodium</v>
      </c>
      <c r="H775" s="230" t="str">
        <f>Table3.110[[#This Row],[Species]]</f>
        <v>tortuosum</v>
      </c>
      <c r="I775" s="230" t="str">
        <f>Table3.110[[#This Row],[Tax Name]]</f>
        <v>Desmodium tortuosum</v>
      </c>
      <c r="J775" s="230" t="str">
        <f>Table3.110[[#This Row],[Family]]</f>
        <v>Fabaceae</v>
      </c>
      <c r="K775" s="230" t="str">
        <f>Table3.110[[#This Row],[Order]]</f>
        <v>Fabales</v>
      </c>
      <c r="L775" s="230" t="str">
        <f>Table3.110[[#This Row],[Functional Group]]</f>
        <v>Tree</v>
      </c>
      <c r="M775" s="230" t="str">
        <f>Table3.110[[#This Row],[CIAT ID]]</f>
        <v>F252598</v>
      </c>
      <c r="N775" s="230">
        <f>Table3.110[[#This Row],[Set CIAT]]</f>
        <v>28</v>
      </c>
      <c r="O775" s="230">
        <f>Table3.110[[#This Row],[Batch]]</f>
        <v>69</v>
      </c>
      <c r="P775" s="230">
        <f>Table3.110[[#This Row],[Run]]</f>
        <v>3</v>
      </c>
      <c r="Q775" s="230">
        <f>Table3.110[[#This Row],[Replication]]</f>
        <v>2</v>
      </c>
      <c r="R775" s="230">
        <f>Table3.110[[#This Row],[Syrange No]]</f>
        <v>184</v>
      </c>
      <c r="S775" s="113">
        <v>0.5877</v>
      </c>
      <c r="T775" s="113">
        <v>0.87039999999999995</v>
      </c>
      <c r="U775" s="108"/>
      <c r="V775" s="122">
        <f t="shared" si="65"/>
        <v>0.28269999999999995</v>
      </c>
      <c r="W775" s="61">
        <f>Table3.110[[#This Row],[DM Incubated, mg]]-('3.2 Digest'!V775*1000)</f>
        <v>175.99792646410219</v>
      </c>
      <c r="X775" s="61">
        <f>W775/Table3.110[[#This Row],[DM Incubated, mg]]*100</f>
        <v>38.369025955881639</v>
      </c>
      <c r="Y775" s="37">
        <f>Table3.1[[#This Row],[DM Incubated, mg]]*'2.4 NDF'!R183/100</f>
        <v>232.64924547689188</v>
      </c>
      <c r="Z775" s="37">
        <f t="shared" si="66"/>
        <v>-50.050754523108054</v>
      </c>
      <c r="AA775" s="37">
        <f t="shared" si="67"/>
        <v>-21.513396452463198</v>
      </c>
      <c r="AB775" s="57"/>
    </row>
    <row r="776" spans="2:28" x14ac:dyDescent="0.35">
      <c r="B776" s="230">
        <f t="shared" si="64"/>
        <v>766</v>
      </c>
      <c r="C776" s="247"/>
      <c r="D776" s="248">
        <f>Table3.110[[#This Row],[Date]]</f>
        <v>46076</v>
      </c>
      <c r="E776" s="230" t="str">
        <f>Table3.110[[#This Row],[Requisitioner]]</f>
        <v>Genbank</v>
      </c>
      <c r="F776" s="230" t="str">
        <f>Table3.110[[#This Row],[Gene Bank ID]]</f>
        <v>CIAT13562</v>
      </c>
      <c r="G776" s="230" t="str">
        <f>Table3.110[[#This Row],[Genus]]</f>
        <v>Desmodium</v>
      </c>
      <c r="H776" s="230" t="str">
        <f>Table3.110[[#This Row],[Species]]</f>
        <v>tortuosum</v>
      </c>
      <c r="I776" s="230" t="str">
        <f>Table3.110[[#This Row],[Tax Name]]</f>
        <v>Desmodium tortuosum</v>
      </c>
      <c r="J776" s="230" t="str">
        <f>Table3.110[[#This Row],[Family]]</f>
        <v>Fabaceae</v>
      </c>
      <c r="K776" s="230" t="str">
        <f>Table3.110[[#This Row],[Order]]</f>
        <v>Fabales</v>
      </c>
      <c r="L776" s="230" t="str">
        <f>Table3.110[[#This Row],[Functional Group]]</f>
        <v>Tree</v>
      </c>
      <c r="M776" s="230" t="str">
        <f>Table3.110[[#This Row],[CIAT ID]]</f>
        <v>F252599</v>
      </c>
      <c r="N776" s="230">
        <f>Table3.110[[#This Row],[Set CIAT]]</f>
        <v>28</v>
      </c>
      <c r="O776" s="230">
        <f>Table3.110[[#This Row],[Batch]]</f>
        <v>69</v>
      </c>
      <c r="P776" s="230">
        <f>Table3.110[[#This Row],[Run]]</f>
        <v>3</v>
      </c>
      <c r="Q776" s="230">
        <f>Table3.110[[#This Row],[Replication]]</f>
        <v>1</v>
      </c>
      <c r="R776" s="230">
        <f>Table3.110[[#This Row],[Syrange No]]</f>
        <v>185</v>
      </c>
      <c r="S776" s="272">
        <v>0.55359999999999998</v>
      </c>
      <c r="T776" s="272">
        <v>0.82440000000000002</v>
      </c>
      <c r="U776" s="108"/>
      <c r="V776" s="122">
        <f t="shared" si="65"/>
        <v>0.27080000000000004</v>
      </c>
      <c r="W776" s="61">
        <f>Table3.110[[#This Row],[DM Incubated, mg]]-('3.2 Digest'!V776*1000)</f>
        <v>188.35203438968313</v>
      </c>
      <c r="X776" s="61">
        <f>W776/Table3.110[[#This Row],[DM Incubated, mg]]*100</f>
        <v>41.021714003738552</v>
      </c>
      <c r="Y776" s="37">
        <f>Table3.1[[#This Row],[DM Incubated, mg]]*'2.4 NDF'!R185/100</f>
        <v>231.02446378667975</v>
      </c>
      <c r="Z776" s="37">
        <f t="shared" si="66"/>
        <v>-39.775536213320322</v>
      </c>
      <c r="AA776" s="37">
        <f t="shared" si="67"/>
        <v>-17.217023496718394</v>
      </c>
      <c r="AB776" s="57"/>
    </row>
    <row r="777" spans="2:28" x14ac:dyDescent="0.35">
      <c r="B777" s="230">
        <f t="shared" si="64"/>
        <v>767</v>
      </c>
      <c r="C777" s="247"/>
      <c r="D777" s="248">
        <f>Table3.110[[#This Row],[Date]]</f>
        <v>46076</v>
      </c>
      <c r="E777" s="230" t="str">
        <f>Table3.110[[#This Row],[Requisitioner]]</f>
        <v>Genbank</v>
      </c>
      <c r="F777" s="230" t="str">
        <f>Table3.110[[#This Row],[Gene Bank ID]]</f>
        <v>CIAT13562</v>
      </c>
      <c r="G777" s="230" t="str">
        <f>Table3.110[[#This Row],[Genus]]</f>
        <v>Desmodium</v>
      </c>
      <c r="H777" s="230" t="str">
        <f>Table3.110[[#This Row],[Species]]</f>
        <v>tortuosum</v>
      </c>
      <c r="I777" s="230" t="str">
        <f>Table3.110[[#This Row],[Tax Name]]</f>
        <v>Desmodium tortuosum</v>
      </c>
      <c r="J777" s="230" t="str">
        <f>Table3.110[[#This Row],[Family]]</f>
        <v>Fabaceae</v>
      </c>
      <c r="K777" s="230" t="str">
        <f>Table3.110[[#This Row],[Order]]</f>
        <v>Fabales</v>
      </c>
      <c r="L777" s="230" t="str">
        <f>Table3.110[[#This Row],[Functional Group]]</f>
        <v>Tree</v>
      </c>
      <c r="M777" s="230" t="str">
        <f>Table3.110[[#This Row],[CIAT ID]]</f>
        <v>F252599</v>
      </c>
      <c r="N777" s="230">
        <f>Table3.110[[#This Row],[Set CIAT]]</f>
        <v>28</v>
      </c>
      <c r="O777" s="230">
        <f>Table3.110[[#This Row],[Batch]]</f>
        <v>69</v>
      </c>
      <c r="P777" s="230">
        <f>Table3.110[[#This Row],[Run]]</f>
        <v>3</v>
      </c>
      <c r="Q777" s="230">
        <f>Table3.110[[#This Row],[Replication]]</f>
        <v>2</v>
      </c>
      <c r="R777" s="230">
        <f>Table3.110[[#This Row],[Syrange No]]</f>
        <v>186</v>
      </c>
      <c r="S777" s="113">
        <v>0.57340000000000002</v>
      </c>
      <c r="T777" s="113">
        <v>0.80830000000000002</v>
      </c>
      <c r="U777" s="108"/>
      <c r="V777" s="122">
        <f t="shared" si="65"/>
        <v>0.2349</v>
      </c>
      <c r="W777" s="61">
        <f>Table3.110[[#This Row],[DM Incubated, mg]]-('3.2 Digest'!V777*1000)</f>
        <v>224.16022234521412</v>
      </c>
      <c r="X777" s="61">
        <f>W777/Table3.110[[#This Row],[DM Incubated, mg]]*100</f>
        <v>48.830243056137675</v>
      </c>
      <c r="Y777" s="37">
        <f>Table3.1[[#This Row],[DM Incubated, mg]]*'2.4 NDF'!R185/100</f>
        <v>230.97826813305312</v>
      </c>
      <c r="Z777" s="37">
        <f t="shared" si="66"/>
        <v>-3.9217318669468852</v>
      </c>
      <c r="AA777" s="37">
        <f t="shared" si="67"/>
        <v>-1.6978791548856034</v>
      </c>
      <c r="AB777" s="57"/>
    </row>
    <row r="778" spans="2:28" x14ac:dyDescent="0.35">
      <c r="B778" s="230">
        <f t="shared" si="64"/>
        <v>768</v>
      </c>
      <c r="C778" s="247"/>
      <c r="D778" s="248">
        <f>Table3.110[[#This Row],[Date]]</f>
        <v>46076</v>
      </c>
      <c r="E778" s="230" t="str">
        <f>Table3.110[[#This Row],[Requisitioner]]</f>
        <v>Genbank</v>
      </c>
      <c r="F778" s="230" t="str">
        <f>Table3.110[[#This Row],[Gene Bank ID]]</f>
        <v>CIAT13593</v>
      </c>
      <c r="G778" s="230" t="str">
        <f>Table3.110[[#This Row],[Genus]]</f>
        <v>Desmodium</v>
      </c>
      <c r="H778" s="230" t="str">
        <f>Table3.110[[#This Row],[Species]]</f>
        <v>scorpiurus</v>
      </c>
      <c r="I778" s="230" t="str">
        <f>Table3.110[[#This Row],[Tax Name]]</f>
        <v>Desmodium scorpiurus</v>
      </c>
      <c r="J778" s="230" t="str">
        <f>Table3.110[[#This Row],[Family]]</f>
        <v>Fabaceae</v>
      </c>
      <c r="K778" s="230" t="str">
        <f>Table3.110[[#This Row],[Order]]</f>
        <v>Fabales</v>
      </c>
      <c r="L778" s="230" t="str">
        <f>Table3.110[[#This Row],[Functional Group]]</f>
        <v>Tree</v>
      </c>
      <c r="M778" s="230" t="str">
        <f>Table3.110[[#This Row],[CIAT ID]]</f>
        <v>F252600</v>
      </c>
      <c r="N778" s="230">
        <f>Table3.110[[#This Row],[Set CIAT]]</f>
        <v>28</v>
      </c>
      <c r="O778" s="230">
        <f>Table3.110[[#This Row],[Batch]]</f>
        <v>69</v>
      </c>
      <c r="P778" s="230">
        <f>Table3.110[[#This Row],[Run]]</f>
        <v>3</v>
      </c>
      <c r="Q778" s="230">
        <f>Table3.110[[#This Row],[Replication]]</f>
        <v>1</v>
      </c>
      <c r="R778" s="230">
        <f>Table3.110[[#This Row],[Syrange No]]</f>
        <v>187</v>
      </c>
      <c r="S778" s="272">
        <v>0.58979999999999999</v>
      </c>
      <c r="T778" s="272">
        <v>0.97350000000000003</v>
      </c>
      <c r="U778" s="108"/>
      <c r="V778" s="122">
        <f t="shared" si="65"/>
        <v>0.38370000000000004</v>
      </c>
      <c r="W778" s="61">
        <f>Table3.110[[#This Row],[DM Incubated, mg]]-('3.2 Digest'!V778*1000)</f>
        <v>69.84357571419946</v>
      </c>
      <c r="X778" s="61">
        <f>W778/Table3.110[[#This Row],[DM Incubated, mg]]*100</f>
        <v>15.399529274384738</v>
      </c>
      <c r="Y778" s="37">
        <f>Table3.1[[#This Row],[DM Incubated, mg]]*'2.4 NDF'!R187/100</f>
        <v>264.39192784906641</v>
      </c>
      <c r="Z778" s="37">
        <f t="shared" si="66"/>
        <v>-119.30807215093364</v>
      </c>
      <c r="AA778" s="37">
        <f t="shared" si="67"/>
        <v>-45.125459434995733</v>
      </c>
      <c r="AB778" s="57"/>
    </row>
    <row r="779" spans="2:28" x14ac:dyDescent="0.35">
      <c r="B779" s="230">
        <f t="shared" si="64"/>
        <v>769</v>
      </c>
      <c r="C779" s="247"/>
      <c r="D779" s="248">
        <f>Table3.110[[#This Row],[Date]]</f>
        <v>46076</v>
      </c>
      <c r="E779" s="230" t="str">
        <f>Table3.110[[#This Row],[Requisitioner]]</f>
        <v>Genbank</v>
      </c>
      <c r="F779" s="230" t="str">
        <f>Table3.110[[#This Row],[Gene Bank ID]]</f>
        <v>CIAT13593</v>
      </c>
      <c r="G779" s="230" t="str">
        <f>Table3.110[[#This Row],[Genus]]</f>
        <v>Desmodium</v>
      </c>
      <c r="H779" s="230" t="str">
        <f>Table3.110[[#This Row],[Species]]</f>
        <v>scorpiurus</v>
      </c>
      <c r="I779" s="230" t="str">
        <f>Table3.110[[#This Row],[Tax Name]]</f>
        <v>Desmodium scorpiurus</v>
      </c>
      <c r="J779" s="230" t="str">
        <f>Table3.110[[#This Row],[Family]]</f>
        <v>Fabaceae</v>
      </c>
      <c r="K779" s="230" t="str">
        <f>Table3.110[[#This Row],[Order]]</f>
        <v>Fabales</v>
      </c>
      <c r="L779" s="230" t="str">
        <f>Table3.110[[#This Row],[Functional Group]]</f>
        <v>Tree</v>
      </c>
      <c r="M779" s="230" t="str">
        <f>Table3.110[[#This Row],[CIAT ID]]</f>
        <v>F252600</v>
      </c>
      <c r="N779" s="230">
        <f>Table3.110[[#This Row],[Set CIAT]]</f>
        <v>28</v>
      </c>
      <c r="O779" s="230">
        <f>Table3.110[[#This Row],[Batch]]</f>
        <v>69</v>
      </c>
      <c r="P779" s="230">
        <f>Table3.110[[#This Row],[Run]]</f>
        <v>3</v>
      </c>
      <c r="Q779" s="230">
        <f>Table3.110[[#This Row],[Replication]]</f>
        <v>2</v>
      </c>
      <c r="R779" s="230">
        <f>Table3.110[[#This Row],[Syrange No]]</f>
        <v>188</v>
      </c>
      <c r="S779" s="113">
        <v>0.56989999999999996</v>
      </c>
      <c r="T779" s="113">
        <v>0.84199999999999997</v>
      </c>
      <c r="U779" s="108"/>
      <c r="V779" s="122">
        <f t="shared" si="65"/>
        <v>0.27210000000000001</v>
      </c>
      <c r="W779" s="61">
        <f>Table3.110[[#This Row],[DM Incubated, mg]]-('3.2 Digest'!V779*1000)</f>
        <v>181.44357571419948</v>
      </c>
      <c r="X779" s="61">
        <f>W779/Table3.110[[#This Row],[DM Incubated, mg]]*100</f>
        <v>40.005764700443287</v>
      </c>
      <c r="Y779" s="37">
        <f>Table3.1[[#This Row],[DM Incubated, mg]]*'2.4 NDF'!R187/100</f>
        <v>264.39192784906641</v>
      </c>
      <c r="Z779" s="37">
        <f t="shared" si="66"/>
        <v>-7.7080721509336172</v>
      </c>
      <c r="AA779" s="37">
        <f t="shared" si="67"/>
        <v>-2.9153961747780475</v>
      </c>
      <c r="AB779" s="57"/>
    </row>
    <row r="780" spans="2:28" x14ac:dyDescent="0.35">
      <c r="B780" s="230">
        <f t="shared" si="64"/>
        <v>770</v>
      </c>
      <c r="C780" s="247"/>
      <c r="D780" s="248">
        <f>Table3.110[[#This Row],[Date]]</f>
        <v>46076</v>
      </c>
      <c r="E780" s="230" t="str">
        <f>Table3.110[[#This Row],[Requisitioner]]</f>
        <v>Genbank</v>
      </c>
      <c r="F780" s="230" t="str">
        <f>Table3.110[[#This Row],[Gene Bank ID]]</f>
        <v>CIAT13608</v>
      </c>
      <c r="G780" s="230" t="str">
        <f>Table3.110[[#This Row],[Genus]]</f>
        <v>Desmodium</v>
      </c>
      <c r="H780" s="230" t="str">
        <f>Table3.110[[#This Row],[Species]]</f>
        <v>incanum</v>
      </c>
      <c r="I780" s="230" t="str">
        <f>Table3.110[[#This Row],[Tax Name]]</f>
        <v>Desmodium incanum</v>
      </c>
      <c r="J780" s="230" t="str">
        <f>Table3.110[[#This Row],[Family]]</f>
        <v>Fabaceae</v>
      </c>
      <c r="K780" s="230" t="str">
        <f>Table3.110[[#This Row],[Order]]</f>
        <v>Fabales</v>
      </c>
      <c r="L780" s="230" t="str">
        <f>Table3.110[[#This Row],[Functional Group]]</f>
        <v>Tree</v>
      </c>
      <c r="M780" s="230" t="str">
        <f>Table3.110[[#This Row],[CIAT ID]]</f>
        <v>F252601</v>
      </c>
      <c r="N780" s="230">
        <f>Table3.110[[#This Row],[Set CIAT]]</f>
        <v>28</v>
      </c>
      <c r="O780" s="230">
        <f>Table3.110[[#This Row],[Batch]]</f>
        <v>69</v>
      </c>
      <c r="P780" s="230">
        <f>Table3.110[[#This Row],[Run]]</f>
        <v>3</v>
      </c>
      <c r="Q780" s="230">
        <f>Table3.110[[#This Row],[Replication]]</f>
        <v>1</v>
      </c>
      <c r="R780" s="230">
        <f>Table3.110[[#This Row],[Syrange No]]</f>
        <v>189</v>
      </c>
      <c r="S780" s="272">
        <v>0.57520000000000004</v>
      </c>
      <c r="T780" s="272">
        <v>0.90669999999999995</v>
      </c>
      <c r="U780" s="108"/>
      <c r="V780" s="122">
        <f t="shared" si="65"/>
        <v>0.33149999999999991</v>
      </c>
      <c r="W780" s="61">
        <f>Table3.110[[#This Row],[DM Incubated, mg]]-('3.2 Digest'!V780*1000)</f>
        <v>131.63800273209353</v>
      </c>
      <c r="X780" s="61">
        <f>W780/Table3.110[[#This Row],[DM Incubated, mg]]*100</f>
        <v>28.423062231030254</v>
      </c>
      <c r="Y780" s="37">
        <f>Table3.1[[#This Row],[DM Incubated, mg]]*'2.4 NDF'!R189/100</f>
        <v>275.64266739979865</v>
      </c>
      <c r="Z780" s="37">
        <f t="shared" si="66"/>
        <v>-55.857332600201232</v>
      </c>
      <c r="AA780" s="37">
        <f t="shared" si="67"/>
        <v>-20.264399966491556</v>
      </c>
      <c r="AB780" s="57"/>
    </row>
    <row r="781" spans="2:28" x14ac:dyDescent="0.35">
      <c r="B781" s="230">
        <f t="shared" si="64"/>
        <v>771</v>
      </c>
      <c r="C781" s="247"/>
      <c r="D781" s="248">
        <f>Table3.110[[#This Row],[Date]]</f>
        <v>46076</v>
      </c>
      <c r="E781" s="230" t="str">
        <f>Table3.110[[#This Row],[Requisitioner]]</f>
        <v>Genbank</v>
      </c>
      <c r="F781" s="230" t="str">
        <f>Table3.110[[#This Row],[Gene Bank ID]]</f>
        <v>CIAT13608</v>
      </c>
      <c r="G781" s="230" t="str">
        <f>Table3.110[[#This Row],[Genus]]</f>
        <v>Desmodium</v>
      </c>
      <c r="H781" s="230" t="str">
        <f>Table3.110[[#This Row],[Species]]</f>
        <v>incanum</v>
      </c>
      <c r="I781" s="230" t="str">
        <f>Table3.110[[#This Row],[Tax Name]]</f>
        <v>Desmodium incanum</v>
      </c>
      <c r="J781" s="230" t="str">
        <f>Table3.110[[#This Row],[Family]]</f>
        <v>Fabaceae</v>
      </c>
      <c r="K781" s="230" t="str">
        <f>Table3.110[[#This Row],[Order]]</f>
        <v>Fabales</v>
      </c>
      <c r="L781" s="230" t="str">
        <f>Table3.110[[#This Row],[Functional Group]]</f>
        <v>Tree</v>
      </c>
      <c r="M781" s="230" t="str">
        <f>Table3.110[[#This Row],[CIAT ID]]</f>
        <v>F252601</v>
      </c>
      <c r="N781" s="230">
        <f>Table3.110[[#This Row],[Set CIAT]]</f>
        <v>28</v>
      </c>
      <c r="O781" s="230">
        <f>Table3.110[[#This Row],[Batch]]</f>
        <v>69</v>
      </c>
      <c r="P781" s="230">
        <f>Table3.110[[#This Row],[Run]]</f>
        <v>3</v>
      </c>
      <c r="Q781" s="230">
        <f>Table3.110[[#This Row],[Replication]]</f>
        <v>2</v>
      </c>
      <c r="R781" s="230">
        <f>Table3.110[[#This Row],[Syrange No]]</f>
        <v>190</v>
      </c>
      <c r="S781" s="113">
        <v>0.58179999999999998</v>
      </c>
      <c r="T781" s="113">
        <v>0.92320000000000002</v>
      </c>
      <c r="U781" s="108"/>
      <c r="V781" s="122">
        <f t="shared" si="65"/>
        <v>0.34140000000000004</v>
      </c>
      <c r="W781" s="61">
        <f>Table3.110[[#This Row],[DM Incubated, mg]]-('3.2 Digest'!V781*1000)</f>
        <v>121.83061181082411</v>
      </c>
      <c r="X781" s="61">
        <f>W781/Table3.110[[#This Row],[DM Incubated, mg]]*100</f>
        <v>26.300207435465804</v>
      </c>
      <c r="Y781" s="37">
        <f>Table3.1[[#This Row],[DM Incubated, mg]]*'2.4 NDF'!R189/100</f>
        <v>275.69778490977666</v>
      </c>
      <c r="Z781" s="37">
        <f t="shared" si="66"/>
        <v>-65.702215090223376</v>
      </c>
      <c r="AA781" s="37">
        <f t="shared" si="67"/>
        <v>-23.83124518455044</v>
      </c>
      <c r="AB781" s="57"/>
    </row>
    <row r="782" spans="2:28" x14ac:dyDescent="0.35">
      <c r="B782" s="230">
        <f t="shared" si="64"/>
        <v>772</v>
      </c>
      <c r="C782" s="247"/>
      <c r="D782" s="248">
        <f>Table3.110[[#This Row],[Date]]</f>
        <v>46076</v>
      </c>
      <c r="E782" s="230" t="str">
        <f>Table3.110[[#This Row],[Requisitioner]]</f>
        <v>Genbank</v>
      </c>
      <c r="F782" s="230" t="str">
        <f>Table3.110[[#This Row],[Gene Bank ID]]</f>
        <v>CIAT18277</v>
      </c>
      <c r="G782" s="230" t="str">
        <f>Table3.110[[#This Row],[Genus]]</f>
        <v>Indigofera</v>
      </c>
      <c r="H782" s="230" t="str">
        <f>Table3.110[[#This Row],[Species]]</f>
        <v>jamaicensis</v>
      </c>
      <c r="I782" s="230" t="str">
        <f>Table3.110[[#This Row],[Tax Name]]</f>
        <v>Indigofera jamaicensis</v>
      </c>
      <c r="J782" s="230" t="str">
        <f>Table3.110[[#This Row],[Family]]</f>
        <v>Fabaceae</v>
      </c>
      <c r="K782" s="230" t="str">
        <f>Table3.110[[#This Row],[Order]]</f>
        <v>Fabales</v>
      </c>
      <c r="L782" s="230" t="str">
        <f>Table3.110[[#This Row],[Functional Group]]</f>
        <v>Tree</v>
      </c>
      <c r="M782" s="230" t="str">
        <f>Table3.110[[#This Row],[CIAT ID]]</f>
        <v>F252602</v>
      </c>
      <c r="N782" s="230">
        <f>Table3.110[[#This Row],[Set CIAT]]</f>
        <v>28</v>
      </c>
      <c r="O782" s="230">
        <f>Table3.110[[#This Row],[Batch]]</f>
        <v>69</v>
      </c>
      <c r="P782" s="230">
        <f>Table3.110[[#This Row],[Run]]</f>
        <v>3</v>
      </c>
      <c r="Q782" s="230">
        <f>Table3.110[[#This Row],[Replication]]</f>
        <v>1</v>
      </c>
      <c r="R782" s="230">
        <f>Table3.110[[#This Row],[Syrange No]]</f>
        <v>191</v>
      </c>
      <c r="S782" s="272">
        <v>0.59140000000000004</v>
      </c>
      <c r="T782" s="272">
        <v>0.91390000000000005</v>
      </c>
      <c r="U782" s="108"/>
      <c r="V782" s="122">
        <f t="shared" si="65"/>
        <v>0.32250000000000001</v>
      </c>
      <c r="W782" s="61">
        <f>Table3.110[[#This Row],[DM Incubated, mg]]-('3.2 Digest'!V782*1000)</f>
        <v>126.72766568305201</v>
      </c>
      <c r="X782" s="61">
        <f>W782/Table3.110[[#This Row],[DM Incubated, mg]]*100</f>
        <v>28.21012047206893</v>
      </c>
      <c r="Y782" s="37">
        <f>Table3.1[[#This Row],[DM Incubated, mg]]*'2.4 NDF'!R191/100</f>
        <v>224.42022995721308</v>
      </c>
      <c r="Z782" s="37">
        <f t="shared" si="66"/>
        <v>-98.079770042786919</v>
      </c>
      <c r="AA782" s="37">
        <f t="shared" si="67"/>
        <v>-43.703622468209019</v>
      </c>
      <c r="AB782" s="57"/>
    </row>
    <row r="783" spans="2:28" x14ac:dyDescent="0.35">
      <c r="B783" s="230">
        <f t="shared" si="64"/>
        <v>773</v>
      </c>
      <c r="C783" s="247"/>
      <c r="D783" s="248">
        <f>Table3.110[[#This Row],[Date]]</f>
        <v>46076</v>
      </c>
      <c r="E783" s="230" t="str">
        <f>Table3.110[[#This Row],[Requisitioner]]</f>
        <v>Genbank</v>
      </c>
      <c r="F783" s="230" t="str">
        <f>Table3.110[[#This Row],[Gene Bank ID]]</f>
        <v>CIAT18277</v>
      </c>
      <c r="G783" s="230" t="str">
        <f>Table3.110[[#This Row],[Genus]]</f>
        <v>Indigofera</v>
      </c>
      <c r="H783" s="230" t="str">
        <f>Table3.110[[#This Row],[Species]]</f>
        <v>jamaicensis</v>
      </c>
      <c r="I783" s="230" t="str">
        <f>Table3.110[[#This Row],[Tax Name]]</f>
        <v>Indigofera jamaicensis</v>
      </c>
      <c r="J783" s="230" t="str">
        <f>Table3.110[[#This Row],[Family]]</f>
        <v>Fabaceae</v>
      </c>
      <c r="K783" s="230" t="str">
        <f>Table3.110[[#This Row],[Order]]</f>
        <v>Fabales</v>
      </c>
      <c r="L783" s="230" t="str">
        <f>Table3.110[[#This Row],[Functional Group]]</f>
        <v>Tree</v>
      </c>
      <c r="M783" s="230" t="str">
        <f>Table3.110[[#This Row],[CIAT ID]]</f>
        <v>F252602</v>
      </c>
      <c r="N783" s="230">
        <f>Table3.110[[#This Row],[Set CIAT]]</f>
        <v>28</v>
      </c>
      <c r="O783" s="230">
        <f>Table3.110[[#This Row],[Batch]]</f>
        <v>69</v>
      </c>
      <c r="P783" s="230">
        <f>Table3.110[[#This Row],[Run]]</f>
        <v>3</v>
      </c>
      <c r="Q783" s="230">
        <f>Table3.110[[#This Row],[Replication]]</f>
        <v>2</v>
      </c>
      <c r="R783" s="230">
        <f>Table3.110[[#This Row],[Syrange No]]</f>
        <v>192</v>
      </c>
      <c r="S783" s="113">
        <v>0.56769999999999998</v>
      </c>
      <c r="T783" s="113">
        <v>0.82269999999999999</v>
      </c>
      <c r="U783" s="108"/>
      <c r="V783" s="122">
        <f t="shared" si="65"/>
        <v>0.255</v>
      </c>
      <c r="W783" s="61">
        <f>Table3.110[[#This Row],[DM Incubated, mg]]-('3.2 Digest'!V783*1000)</f>
        <v>194.31749325067506</v>
      </c>
      <c r="X783" s="61">
        <f>W783/Table3.110[[#This Row],[DM Incubated, mg]]*100</f>
        <v>43.247257489319466</v>
      </c>
      <c r="Y783" s="37">
        <f>Table3.1[[#This Row],[DM Incubated, mg]]*'2.4 NDF'!R191/100</f>
        <v>224.46510502819029</v>
      </c>
      <c r="Z783" s="37">
        <f t="shared" si="66"/>
        <v>-30.534894971809706</v>
      </c>
      <c r="AA783" s="37">
        <f t="shared" si="67"/>
        <v>-13.603403953578827</v>
      </c>
      <c r="AB783" s="57"/>
    </row>
    <row r="784" spans="2:28" x14ac:dyDescent="0.35">
      <c r="B784" s="230">
        <f t="shared" si="64"/>
        <v>774</v>
      </c>
      <c r="C784" s="247"/>
      <c r="D784" s="248">
        <f>Table3.110[[#This Row],[Date]]</f>
        <v>46076</v>
      </c>
      <c r="E784" s="230" t="str">
        <f>Table3.110[[#This Row],[Requisitioner]]</f>
        <v>Genbank</v>
      </c>
      <c r="F784" s="230" t="str">
        <f>Table3.110[[#This Row],[Gene Bank ID]]</f>
        <v>CIAT18952</v>
      </c>
      <c r="G784" s="230" t="str">
        <f>Table3.110[[#This Row],[Genus]]</f>
        <v>Indigofera</v>
      </c>
      <c r="H784" s="230" t="str">
        <f>Table3.110[[#This Row],[Species]]</f>
        <v>atriceps</v>
      </c>
      <c r="I784" s="230" t="str">
        <f>Table3.110[[#This Row],[Tax Name]]</f>
        <v>Indigofera atriceps</v>
      </c>
      <c r="J784" s="230" t="str">
        <f>Table3.110[[#This Row],[Family]]</f>
        <v>Fabaceae</v>
      </c>
      <c r="K784" s="230" t="str">
        <f>Table3.110[[#This Row],[Order]]</f>
        <v>Fabales</v>
      </c>
      <c r="L784" s="230" t="str">
        <f>Table3.110[[#This Row],[Functional Group]]</f>
        <v>Tree</v>
      </c>
      <c r="M784" s="230" t="str">
        <f>Table3.110[[#This Row],[CIAT ID]]</f>
        <v>F252603</v>
      </c>
      <c r="N784" s="230">
        <f>Table3.110[[#This Row],[Set CIAT]]</f>
        <v>28</v>
      </c>
      <c r="O784" s="230">
        <f>Table3.110[[#This Row],[Batch]]</f>
        <v>69</v>
      </c>
      <c r="P784" s="230">
        <f>Table3.110[[#This Row],[Run]]</f>
        <v>3</v>
      </c>
      <c r="Q784" s="230">
        <f>Table3.110[[#This Row],[Replication]]</f>
        <v>1</v>
      </c>
      <c r="R784" s="230">
        <f>Table3.110[[#This Row],[Syrange No]]</f>
        <v>193</v>
      </c>
      <c r="S784" s="272">
        <v>0.57150000000000001</v>
      </c>
      <c r="T784" s="272">
        <v>0.93820000000000003</v>
      </c>
      <c r="U784" s="108"/>
      <c r="V784" s="122">
        <f t="shared" si="65"/>
        <v>0.36670000000000003</v>
      </c>
      <c r="W784" s="61">
        <f>Table3.110[[#This Row],[DM Incubated, mg]]-('3.2 Digest'!V784*1000)</f>
        <v>85.104886596797371</v>
      </c>
      <c r="X784" s="61">
        <f>W784/Table3.110[[#This Row],[DM Incubated, mg]]*100</f>
        <v>18.836645888858484</v>
      </c>
      <c r="Y784" s="37">
        <f>Table3.1[[#This Row],[DM Incubated, mg]]*'2.4 NDF'!R193/100</f>
        <v>217.52541723114959</v>
      </c>
      <c r="Z784" s="37">
        <f t="shared" si="66"/>
        <v>-149.17458276885046</v>
      </c>
      <c r="AA784" s="37">
        <f t="shared" si="67"/>
        <v>-68.578000983826499</v>
      </c>
      <c r="AB784" s="57"/>
    </row>
    <row r="785" spans="2:28" x14ac:dyDescent="0.35">
      <c r="B785" s="230">
        <f t="shared" si="64"/>
        <v>775</v>
      </c>
      <c r="C785" s="247"/>
      <c r="D785" s="248">
        <f>Table3.110[[#This Row],[Date]]</f>
        <v>46076</v>
      </c>
      <c r="E785" s="230" t="str">
        <f>Table3.110[[#This Row],[Requisitioner]]</f>
        <v>Genbank</v>
      </c>
      <c r="F785" s="230" t="str">
        <f>Table3.110[[#This Row],[Gene Bank ID]]</f>
        <v>CIAT18952</v>
      </c>
      <c r="G785" s="230" t="str">
        <f>Table3.110[[#This Row],[Genus]]</f>
        <v>Indigofera</v>
      </c>
      <c r="H785" s="230" t="str">
        <f>Table3.110[[#This Row],[Species]]</f>
        <v>atriceps</v>
      </c>
      <c r="I785" s="230" t="str">
        <f>Table3.110[[#This Row],[Tax Name]]</f>
        <v>Indigofera atriceps</v>
      </c>
      <c r="J785" s="230" t="str">
        <f>Table3.110[[#This Row],[Family]]</f>
        <v>Fabaceae</v>
      </c>
      <c r="K785" s="230" t="str">
        <f>Table3.110[[#This Row],[Order]]</f>
        <v>Fabales</v>
      </c>
      <c r="L785" s="230" t="str">
        <f>Table3.110[[#This Row],[Functional Group]]</f>
        <v>Tree</v>
      </c>
      <c r="M785" s="230" t="str">
        <f>Table3.110[[#This Row],[CIAT ID]]</f>
        <v>F252603</v>
      </c>
      <c r="N785" s="230">
        <f>Table3.110[[#This Row],[Set CIAT]]</f>
        <v>28</v>
      </c>
      <c r="O785" s="230">
        <f>Table3.110[[#This Row],[Batch]]</f>
        <v>69</v>
      </c>
      <c r="P785" s="230">
        <f>Table3.110[[#This Row],[Run]]</f>
        <v>3</v>
      </c>
      <c r="Q785" s="230">
        <f>Table3.110[[#This Row],[Replication]]</f>
        <v>2</v>
      </c>
      <c r="R785" s="230">
        <f>Table3.110[[#This Row],[Syrange No]]</f>
        <v>194</v>
      </c>
      <c r="S785" s="113">
        <v>0.57410000000000005</v>
      </c>
      <c r="T785" s="113">
        <v>0.87170000000000003</v>
      </c>
      <c r="U785" s="108"/>
      <c r="V785" s="122">
        <f t="shared" si="65"/>
        <v>0.29759999999999998</v>
      </c>
      <c r="W785" s="61">
        <f>Table3.110[[#This Row],[DM Incubated, mg]]-('3.2 Digest'!V785*1000)</f>
        <v>154.20488659679745</v>
      </c>
      <c r="X785" s="61">
        <f>W785/Table3.110[[#This Row],[DM Incubated, mg]]*100</f>
        <v>34.130858512474205</v>
      </c>
      <c r="Y785" s="37">
        <f>Table3.1[[#This Row],[DM Incubated, mg]]*'2.4 NDF'!R193/100</f>
        <v>217.52541723114959</v>
      </c>
      <c r="Z785" s="37">
        <f t="shared" si="66"/>
        <v>-80.074582768850377</v>
      </c>
      <c r="AA785" s="37">
        <f t="shared" si="67"/>
        <v>-36.811598289573908</v>
      </c>
      <c r="AB785" s="57"/>
    </row>
    <row r="786" spans="2:28" x14ac:dyDescent="0.35">
      <c r="B786" s="230">
        <f t="shared" si="64"/>
        <v>776</v>
      </c>
      <c r="C786" s="247"/>
      <c r="D786" s="248">
        <f>Table3.110[[#This Row],[Date]]</f>
        <v>46076</v>
      </c>
      <c r="E786" s="230" t="str">
        <f>Table3.110[[#This Row],[Requisitioner]]</f>
        <v>Jacobo Arango/Alejandro Montoya</v>
      </c>
      <c r="F786" s="230" t="str">
        <f>Table3.110[[#This Row],[Gene Bank ID]]</f>
        <v>Sample 8</v>
      </c>
      <c r="G786" s="230" t="str">
        <f>Table3.110[[#This Row],[Genus]]</f>
        <v>Cynodon</v>
      </c>
      <c r="H786" s="230" t="str">
        <f>Table3.110[[#This Row],[Species]]</f>
        <v>nlemfuensis</v>
      </c>
      <c r="I786" s="230" t="str">
        <f>Table3.110[[#This Row],[Tax Name]]</f>
        <v xml:space="preserve">Cynodon nlemfuensis </v>
      </c>
      <c r="J786" s="230" t="str">
        <f>Table3.110[[#This Row],[Family]]</f>
        <v>Poaceae</v>
      </c>
      <c r="K786" s="230" t="str">
        <f>Table3.110[[#This Row],[Order]]</f>
        <v>Poales</v>
      </c>
      <c r="L786" s="230" t="str">
        <f>Table3.110[[#This Row],[Functional Group]]</f>
        <v>grasses</v>
      </c>
      <c r="M786" s="230" t="str">
        <f>Table3.110[[#This Row],[CIAT ID]]</f>
        <v>F250008</v>
      </c>
      <c r="N786" s="230">
        <f>Table3.110[[#This Row],[Set CIAT]]</f>
        <v>28</v>
      </c>
      <c r="O786" s="230">
        <f>Table3.110[[#This Row],[Batch]]</f>
        <v>69</v>
      </c>
      <c r="P786" s="230">
        <f>Table3.110[[#This Row],[Run]]</f>
        <v>3</v>
      </c>
      <c r="Q786" s="230">
        <f>Table3.110[[#This Row],[Replication]]</f>
        <v>1</v>
      </c>
      <c r="R786" s="230">
        <f>Table3.110[[#This Row],[Syrange No]]</f>
        <v>195</v>
      </c>
      <c r="S786" s="272">
        <v>0.58240000000000003</v>
      </c>
      <c r="T786" s="272">
        <v>0.85219999999999996</v>
      </c>
      <c r="U786" s="108"/>
      <c r="V786" s="122">
        <f t="shared" si="65"/>
        <v>0.26979999999999993</v>
      </c>
      <c r="W786" s="61">
        <f>Table3.110[[#This Row],[DM Incubated, mg]]-('3.2 Digest'!V786*1000)</f>
        <v>198.13710000000003</v>
      </c>
      <c r="X786" s="61">
        <f>W786/Table3.110[[#This Row],[DM Incubated, mg]]*100</f>
        <v>42.342678107805519</v>
      </c>
      <c r="Y786" s="37">
        <f>Table3.1[[#This Row],[DM Incubated, mg]]*'2.4 NDF'!R195/100</f>
        <v>356.10013309999994</v>
      </c>
      <c r="Z786" s="37">
        <f t="shared" si="66"/>
        <v>86.300133099999982</v>
      </c>
      <c r="AA786" s="37">
        <f t="shared" si="67"/>
        <v>24.23479383417282</v>
      </c>
      <c r="AB786" s="57"/>
    </row>
    <row r="787" spans="2:28" x14ac:dyDescent="0.35">
      <c r="B787" s="230">
        <f t="shared" si="64"/>
        <v>777</v>
      </c>
      <c r="C787" s="247"/>
      <c r="D787" s="248">
        <f>Table3.110[[#This Row],[Date]]</f>
        <v>46076</v>
      </c>
      <c r="E787" s="230" t="str">
        <f>Table3.110[[#This Row],[Requisitioner]]</f>
        <v>Jacobo Arango/Alejandro Montoya</v>
      </c>
      <c r="F787" s="230" t="str">
        <f>Table3.110[[#This Row],[Gene Bank ID]]</f>
        <v>Sample 8</v>
      </c>
      <c r="G787" s="230" t="str">
        <f>Table3.110[[#This Row],[Genus]]</f>
        <v>Cynodon</v>
      </c>
      <c r="H787" s="230" t="str">
        <f>Table3.110[[#This Row],[Species]]</f>
        <v>nlemfuensis</v>
      </c>
      <c r="I787" s="230" t="str">
        <f>Table3.110[[#This Row],[Tax Name]]</f>
        <v xml:space="preserve">Cynodon nlemfuensis </v>
      </c>
      <c r="J787" s="230" t="str">
        <f>Table3.110[[#This Row],[Family]]</f>
        <v>Poaceae</v>
      </c>
      <c r="K787" s="230" t="str">
        <f>Table3.110[[#This Row],[Order]]</f>
        <v>Poales</v>
      </c>
      <c r="L787" s="230" t="str">
        <f>Table3.110[[#This Row],[Functional Group]]</f>
        <v>grasses</v>
      </c>
      <c r="M787" s="230" t="str">
        <f>Table3.110[[#This Row],[CIAT ID]]</f>
        <v>F250008</v>
      </c>
      <c r="N787" s="230">
        <f>Table3.110[[#This Row],[Set CIAT]]</f>
        <v>28</v>
      </c>
      <c r="O787" s="230">
        <f>Table3.110[[#This Row],[Batch]]</f>
        <v>69</v>
      </c>
      <c r="P787" s="230">
        <f>Table3.110[[#This Row],[Run]]</f>
        <v>3</v>
      </c>
      <c r="Q787" s="230">
        <f>Table3.110[[#This Row],[Replication]]</f>
        <v>2</v>
      </c>
      <c r="R787" s="230">
        <f>Table3.110[[#This Row],[Syrange No]]</f>
        <v>196</v>
      </c>
      <c r="S787" s="113">
        <v>0.55679999999999996</v>
      </c>
      <c r="T787" s="113">
        <v>0.99299999999999999</v>
      </c>
      <c r="U787" s="108"/>
      <c r="V787" s="122">
        <f t="shared" si="65"/>
        <v>0.43620000000000003</v>
      </c>
      <c r="W787" s="61">
        <f>Table3.110[[#This Row],[DM Incubated, mg]]-('3.2 Digest'!V787*1000)</f>
        <v>31.549999999999955</v>
      </c>
      <c r="X787" s="61">
        <f>W787/Table3.110[[#This Row],[DM Incubated, mg]]*100</f>
        <v>6.7450561197220633</v>
      </c>
      <c r="Y787" s="37">
        <f>Table3.1[[#This Row],[DM Incubated, mg]]*'2.4 NDF'!R195/100</f>
        <v>355.95774999999992</v>
      </c>
      <c r="Z787" s="37">
        <f t="shared" si="66"/>
        <v>-80.242250000000126</v>
      </c>
      <c r="AA787" s="37">
        <f t="shared" si="67"/>
        <v>-22.542633219813347</v>
      </c>
      <c r="AB787" s="57"/>
    </row>
    <row r="788" spans="2:28" x14ac:dyDescent="0.35">
      <c r="B788" s="230">
        <f t="shared" si="64"/>
        <v>778</v>
      </c>
      <c r="C788" s="247"/>
      <c r="D788" s="248">
        <f>Table3.110[[#This Row],[Date]]</f>
        <v>46076</v>
      </c>
      <c r="E788" s="230">
        <f>Table3.110[[#This Row],[Requisitioner]]</f>
        <v>0</v>
      </c>
      <c r="F788" s="230" t="str">
        <f>Table3.110[[#This Row],[Gene Bank ID]]</f>
        <v>BLANK 24 H</v>
      </c>
      <c r="G788" s="230" t="str">
        <f>Table3.110[[#This Row],[Genus]]</f>
        <v>BLANK</v>
      </c>
      <c r="H788" s="230">
        <f>Table3.110[[#This Row],[Species]]</f>
        <v>24</v>
      </c>
      <c r="I788" s="230" t="str">
        <f>Table3.110[[#This Row],[Tax Name]]</f>
        <v>BLANK 24 H</v>
      </c>
      <c r="J788" s="230">
        <f>Table3.110[[#This Row],[Family]]</f>
        <v>0</v>
      </c>
      <c r="K788" s="230">
        <f>Table3.110[[#This Row],[Order]]</f>
        <v>0</v>
      </c>
      <c r="L788" s="230">
        <f>Table3.110[[#This Row],[Functional Group]]</f>
        <v>0</v>
      </c>
      <c r="M788" s="230" t="str">
        <f>Table3.110[[#This Row],[CIAT ID]]</f>
        <v>BLANK24H</v>
      </c>
      <c r="N788" s="230">
        <f>Table3.110[[#This Row],[Set CIAT]]</f>
        <v>28</v>
      </c>
      <c r="O788" s="230">
        <f>Table3.110[[#This Row],[Batch]]</f>
        <v>69</v>
      </c>
      <c r="P788" s="230">
        <f>Table3.110[[#This Row],[Run]]</f>
        <v>3</v>
      </c>
      <c r="Q788" s="230">
        <f>Table3.110[[#This Row],[Replication]]</f>
        <v>1</v>
      </c>
      <c r="R788" s="230">
        <f>Table3.110[[#This Row],[Syrange No]]</f>
        <v>197</v>
      </c>
      <c r="S788" s="249"/>
      <c r="T788" s="249"/>
      <c r="U788" s="108"/>
      <c r="V788" s="122"/>
      <c r="W788" s="61"/>
      <c r="X788" s="61"/>
      <c r="Y788" s="37"/>
      <c r="Z788" s="37"/>
      <c r="AA788" s="37"/>
      <c r="AB788" s="57"/>
    </row>
    <row r="789" spans="2:28" x14ac:dyDescent="0.35">
      <c r="B789" s="230">
        <f t="shared" ref="B789:B852" si="72">B788+1</f>
        <v>779</v>
      </c>
      <c r="C789" s="247"/>
      <c r="D789" s="248">
        <f>Table3.110[[#This Row],[Date]]</f>
        <v>46076</v>
      </c>
      <c r="E789" s="230">
        <f>Table3.110[[#This Row],[Requisitioner]]</f>
        <v>0</v>
      </c>
      <c r="F789" s="230" t="str">
        <f>Table3.110[[#This Row],[Gene Bank ID]]</f>
        <v>BLANK 24 H</v>
      </c>
      <c r="G789" s="230" t="str">
        <f>Table3.110[[#This Row],[Genus]]</f>
        <v>BLANK</v>
      </c>
      <c r="H789" s="230">
        <f>Table3.110[[#This Row],[Species]]</f>
        <v>24</v>
      </c>
      <c r="I789" s="230" t="str">
        <f>Table3.110[[#This Row],[Tax Name]]</f>
        <v>BLANK 24 H</v>
      </c>
      <c r="J789" s="230">
        <f>Table3.110[[#This Row],[Family]]</f>
        <v>0</v>
      </c>
      <c r="K789" s="230">
        <f>Table3.110[[#This Row],[Order]]</f>
        <v>0</v>
      </c>
      <c r="L789" s="230">
        <f>Table3.110[[#This Row],[Functional Group]]</f>
        <v>0</v>
      </c>
      <c r="M789" s="230" t="str">
        <f>Table3.110[[#This Row],[CIAT ID]]</f>
        <v>BLANK24H</v>
      </c>
      <c r="N789" s="230">
        <f>Table3.110[[#This Row],[Set CIAT]]</f>
        <v>28</v>
      </c>
      <c r="O789" s="230">
        <f>Table3.110[[#This Row],[Batch]]</f>
        <v>69</v>
      </c>
      <c r="P789" s="230">
        <f>Table3.110[[#This Row],[Run]]</f>
        <v>3</v>
      </c>
      <c r="Q789" s="230">
        <f>Table3.110[[#This Row],[Replication]]</f>
        <v>2</v>
      </c>
      <c r="R789" s="230">
        <f>Table3.110[[#This Row],[Syrange No]]</f>
        <v>198</v>
      </c>
      <c r="S789" s="148"/>
      <c r="T789" s="148"/>
      <c r="U789" s="108"/>
      <c r="V789" s="122"/>
      <c r="W789" s="61"/>
      <c r="X789" s="61"/>
      <c r="Y789" s="37"/>
      <c r="Z789" s="37"/>
      <c r="AA789" s="37"/>
      <c r="AB789" s="57"/>
    </row>
    <row r="790" spans="2:28" s="63" customFormat="1" x14ac:dyDescent="0.35">
      <c r="B790" s="230">
        <f t="shared" si="72"/>
        <v>780</v>
      </c>
      <c r="C790" s="247"/>
      <c r="D790" s="248">
        <f>Table3.110[[#This Row],[Date]]</f>
        <v>46055</v>
      </c>
      <c r="E790" s="230">
        <f>Table3.110[[#This Row],[Requisitioner]]</f>
        <v>0</v>
      </c>
      <c r="F790" s="230" t="str">
        <f>Table3.110[[#This Row],[Gene Bank ID]]</f>
        <v>BLANK 24 H</v>
      </c>
      <c r="G790" s="230" t="str">
        <f>Table3.110[[#This Row],[Genus]]</f>
        <v>BLANK</v>
      </c>
      <c r="H790" s="230">
        <f>Table3.110[[#This Row],[Species]]</f>
        <v>24</v>
      </c>
      <c r="I790" s="230" t="str">
        <f>Table3.110[[#This Row],[Tax Name]]</f>
        <v>BLANK 24 H</v>
      </c>
      <c r="J790" s="230">
        <f>Table3.110[[#This Row],[Family]]</f>
        <v>0</v>
      </c>
      <c r="K790" s="230">
        <f>Table3.110[[#This Row],[Order]]</f>
        <v>0</v>
      </c>
      <c r="L790" s="230">
        <f>Table3.110[[#This Row],[Functional Group]]</f>
        <v>0</v>
      </c>
      <c r="M790" s="230" t="str">
        <f>Table3.110[[#This Row],[CIAT ID]]</f>
        <v>BLANK24H</v>
      </c>
      <c r="N790" s="230">
        <f>Table3.110[[#This Row],[Set CIAT]]</f>
        <v>29</v>
      </c>
      <c r="O790" s="230">
        <f>Table3.110[[#This Row],[Batch]]</f>
        <v>62</v>
      </c>
      <c r="P790" s="230">
        <f>Table3.110[[#This Row],[Run]]</f>
        <v>1</v>
      </c>
      <c r="Q790" s="230">
        <f>Table3.110[[#This Row],[Replication]]</f>
        <v>1</v>
      </c>
      <c r="R790" s="230">
        <f>Table3.110[[#This Row],[Syrange No]]</f>
        <v>161</v>
      </c>
      <c r="S790" s="249"/>
      <c r="T790" s="249"/>
      <c r="U790" s="279"/>
      <c r="V790" s="246"/>
      <c r="W790" s="61"/>
      <c r="X790" s="61"/>
      <c r="Y790" s="37"/>
      <c r="Z790" s="37"/>
      <c r="AA790" s="37"/>
      <c r="AB790" s="234"/>
    </row>
    <row r="791" spans="2:28" s="63" customFormat="1" x14ac:dyDescent="0.35">
      <c r="B791" s="230">
        <f t="shared" si="72"/>
        <v>781</v>
      </c>
      <c r="C791" s="247"/>
      <c r="D791" s="248">
        <f>Table3.110[[#This Row],[Date]]</f>
        <v>46055</v>
      </c>
      <c r="E791" s="230">
        <f>Table3.110[[#This Row],[Requisitioner]]</f>
        <v>0</v>
      </c>
      <c r="F791" s="230" t="str">
        <f>Table3.110[[#This Row],[Gene Bank ID]]</f>
        <v>BLANK 24 H</v>
      </c>
      <c r="G791" s="230" t="str">
        <f>Table3.110[[#This Row],[Genus]]</f>
        <v>BLANK</v>
      </c>
      <c r="H791" s="230">
        <f>Table3.110[[#This Row],[Species]]</f>
        <v>24</v>
      </c>
      <c r="I791" s="230" t="str">
        <f>Table3.110[[#This Row],[Tax Name]]</f>
        <v>BLANK 24 H</v>
      </c>
      <c r="J791" s="230">
        <f>Table3.110[[#This Row],[Family]]</f>
        <v>0</v>
      </c>
      <c r="K791" s="230">
        <f>Table3.110[[#This Row],[Order]]</f>
        <v>0</v>
      </c>
      <c r="L791" s="230">
        <f>Table3.110[[#This Row],[Functional Group]]</f>
        <v>0</v>
      </c>
      <c r="M791" s="230" t="str">
        <f>Table3.110[[#This Row],[CIAT ID]]</f>
        <v>BLANK24H</v>
      </c>
      <c r="N791" s="230">
        <f>Table3.110[[#This Row],[Set CIAT]]</f>
        <v>29</v>
      </c>
      <c r="O791" s="230">
        <f>Table3.110[[#This Row],[Batch]]</f>
        <v>62</v>
      </c>
      <c r="P791" s="230">
        <f>Table3.110[[#This Row],[Run]]</f>
        <v>1</v>
      </c>
      <c r="Q791" s="230">
        <f>Table3.110[[#This Row],[Replication]]</f>
        <v>2</v>
      </c>
      <c r="R791" s="230">
        <f>Table3.110[[#This Row],[Syrange No]]</f>
        <v>162</v>
      </c>
      <c r="S791" s="148"/>
      <c r="T791" s="148"/>
      <c r="U791" s="160"/>
      <c r="V791" s="246"/>
      <c r="W791" s="61"/>
      <c r="X791" s="61"/>
      <c r="Y791" s="37"/>
      <c r="Z791" s="37"/>
      <c r="AA791" s="37"/>
      <c r="AB791" s="234"/>
    </row>
    <row r="792" spans="2:28" s="63" customFormat="1" x14ac:dyDescent="0.35">
      <c r="B792" s="230">
        <f t="shared" si="72"/>
        <v>782</v>
      </c>
      <c r="C792" s="247"/>
      <c r="D792" s="248">
        <f>Table3.110[[#This Row],[Date]]</f>
        <v>46055</v>
      </c>
      <c r="E792" s="230" t="str">
        <f>Table3.110[[#This Row],[Requisitioner]]</f>
        <v>Genbank</v>
      </c>
      <c r="F792" s="230" t="str">
        <f>Table3.110[[#This Row],[Gene Bank ID]]</f>
        <v>CIAT18953</v>
      </c>
      <c r="G792" s="230" t="str">
        <f>Table3.110[[#This Row],[Genus]]</f>
        <v>Indigofera</v>
      </c>
      <c r="H792" s="230" t="str">
        <f>Table3.110[[#This Row],[Species]]</f>
        <v>atriceps</v>
      </c>
      <c r="I792" s="230" t="str">
        <f>Table3.110[[#This Row],[Tax Name]]</f>
        <v>Indigofera atriceps</v>
      </c>
      <c r="J792" s="230" t="str">
        <f>Table3.110[[#This Row],[Family]]</f>
        <v>Fabaceae</v>
      </c>
      <c r="K792" s="230" t="str">
        <f>Table3.110[[#This Row],[Order]]</f>
        <v>Fabales</v>
      </c>
      <c r="L792" s="230" t="str">
        <f>Table3.110[[#This Row],[Functional Group]]</f>
        <v>Herbaceous</v>
      </c>
      <c r="M792" s="230" t="str">
        <f>Table3.110[[#This Row],[CIAT ID]]</f>
        <v>F252604</v>
      </c>
      <c r="N792" s="230">
        <f>Table3.110[[#This Row],[Set CIAT]]</f>
        <v>29</v>
      </c>
      <c r="O792" s="230">
        <f>Table3.110[[#This Row],[Batch]]</f>
        <v>62</v>
      </c>
      <c r="P792" s="230">
        <f>Table3.110[[#This Row],[Run]]</f>
        <v>1</v>
      </c>
      <c r="Q792" s="230">
        <f>Table3.110[[#This Row],[Replication]]</f>
        <v>1</v>
      </c>
      <c r="R792" s="230">
        <f>Table3.110[[#This Row],[Syrange No]]</f>
        <v>93</v>
      </c>
      <c r="S792" s="250">
        <v>0.59040000000000004</v>
      </c>
      <c r="T792" s="250">
        <v>1.071</v>
      </c>
      <c r="U792" s="265"/>
      <c r="V792" s="283">
        <f>T792-S792</f>
        <v>0.48059999999999992</v>
      </c>
      <c r="W792" s="61"/>
      <c r="X792" s="61"/>
      <c r="Y792" s="58">
        <f>Table3.110[[#This Row],[DM Incubated, mg]]*'2.4 NDF'!R197/100</f>
        <v>236.18960866415171</v>
      </c>
      <c r="Z792" s="37">
        <f t="shared" ref="Z792" si="73">Y792-(V792*1000)</f>
        <v>-244.4103913358482</v>
      </c>
      <c r="AA792" s="37">
        <f t="shared" ref="AA792" si="74">Z792/Y792*100</f>
        <v>-103.48058609275481</v>
      </c>
      <c r="AB792" s="234"/>
    </row>
    <row r="793" spans="2:28" s="63" customFormat="1" x14ac:dyDescent="0.35">
      <c r="B793" s="230">
        <f t="shared" si="72"/>
        <v>783</v>
      </c>
      <c r="C793" s="247"/>
      <c r="D793" s="248">
        <f>Table3.110[[#This Row],[Date]]</f>
        <v>46055</v>
      </c>
      <c r="E793" s="230" t="str">
        <f>Table3.110[[#This Row],[Requisitioner]]</f>
        <v>Genbank</v>
      </c>
      <c r="F793" s="230" t="str">
        <f>Table3.110[[#This Row],[Gene Bank ID]]</f>
        <v>CIAT18953</v>
      </c>
      <c r="G793" s="230" t="str">
        <f>Table3.110[[#This Row],[Genus]]</f>
        <v>Indigofera</v>
      </c>
      <c r="H793" s="230" t="str">
        <f>Table3.110[[#This Row],[Species]]</f>
        <v>atriceps</v>
      </c>
      <c r="I793" s="230" t="str">
        <f>Table3.110[[#This Row],[Tax Name]]</f>
        <v>Indigofera atriceps</v>
      </c>
      <c r="J793" s="230" t="str">
        <f>Table3.110[[#This Row],[Family]]</f>
        <v>Fabaceae</v>
      </c>
      <c r="K793" s="230" t="str">
        <f>Table3.110[[#This Row],[Order]]</f>
        <v>Fabales</v>
      </c>
      <c r="L793" s="230" t="str">
        <f>Table3.110[[#This Row],[Functional Group]]</f>
        <v>Herbaceous</v>
      </c>
      <c r="M793" s="230" t="str">
        <f>Table3.110[[#This Row],[CIAT ID]]</f>
        <v>F252604</v>
      </c>
      <c r="N793" s="230">
        <f>Table3.110[[#This Row],[Set CIAT]]</f>
        <v>29</v>
      </c>
      <c r="O793" s="230">
        <f>Table3.110[[#This Row],[Batch]]</f>
        <v>62</v>
      </c>
      <c r="P793" s="230">
        <f>Table3.110[[#This Row],[Run]]</f>
        <v>1</v>
      </c>
      <c r="Q793" s="230">
        <f>Table3.110[[#This Row],[Replication]]</f>
        <v>2</v>
      </c>
      <c r="R793" s="230">
        <f>Table3.110[[#This Row],[Syrange No]]</f>
        <v>94</v>
      </c>
      <c r="S793" s="98">
        <v>0.60429999999999995</v>
      </c>
      <c r="T793" s="98">
        <v>0.92959999999999998</v>
      </c>
      <c r="U793" s="110"/>
      <c r="V793" s="283">
        <f t="shared" ref="V793:V856" si="75">T793-S793</f>
        <v>0.32530000000000003</v>
      </c>
      <c r="W793" s="61">
        <f>Table3.110[[#This Row],[DM Incubated, mg]]-('3.2 Digest'!V793*1000)</f>
        <v>122.83051798460423</v>
      </c>
      <c r="X793" s="61">
        <f>W793/Table3.110[[#This Row],[DM Incubated, mg]]*100</f>
        <v>27.409540983063362</v>
      </c>
      <c r="Y793" s="58">
        <f>Table3.110[[#This Row],[DM Incubated, mg]]*'2.4 NDF'!R197/100</f>
        <v>236.23680882575525</v>
      </c>
      <c r="Z793" s="37">
        <f t="shared" ref="Z793:Z856" si="76">Y793-(V793*1000)</f>
        <v>-89.063191174244764</v>
      </c>
      <c r="AA793" s="37">
        <f t="shared" ref="AA793:AA856" si="77">Z793/Y793*100</f>
        <v>-37.700810308497033</v>
      </c>
      <c r="AB793" s="234"/>
    </row>
    <row r="794" spans="2:28" s="63" customFormat="1" x14ac:dyDescent="0.35">
      <c r="B794" s="230">
        <f t="shared" si="72"/>
        <v>784</v>
      </c>
      <c r="C794" s="247"/>
      <c r="D794" s="248">
        <f>Table3.110[[#This Row],[Date]]</f>
        <v>46055</v>
      </c>
      <c r="E794" s="230" t="str">
        <f>Table3.110[[#This Row],[Requisitioner]]</f>
        <v>Genbank</v>
      </c>
      <c r="F794" s="230" t="str">
        <f>Table3.110[[#This Row],[Gene Bank ID]]</f>
        <v>CIAT18953</v>
      </c>
      <c r="G794" s="230" t="str">
        <f>Table3.110[[#This Row],[Genus]]</f>
        <v>Indigofera</v>
      </c>
      <c r="H794" s="230" t="str">
        <f>Table3.110[[#This Row],[Species]]</f>
        <v>atriceps</v>
      </c>
      <c r="I794" s="230" t="str">
        <f>Table3.110[[#This Row],[Tax Name]]</f>
        <v>Indigofera atriceps</v>
      </c>
      <c r="J794" s="230" t="str">
        <f>Table3.110[[#This Row],[Family]]</f>
        <v>Fabaceae</v>
      </c>
      <c r="K794" s="230" t="str">
        <f>Table3.110[[#This Row],[Order]]</f>
        <v>Fabales</v>
      </c>
      <c r="L794" s="230" t="str">
        <f>Table3.110[[#This Row],[Functional Group]]</f>
        <v>Herbaceous</v>
      </c>
      <c r="M794" s="230" t="str">
        <f>Table3.110[[#This Row],[CIAT ID]]</f>
        <v>F252604</v>
      </c>
      <c r="N794" s="230">
        <f>Table3.110[[#This Row],[Set CIAT]]</f>
        <v>29</v>
      </c>
      <c r="O794" s="230">
        <f>Table3.110[[#This Row],[Batch]]</f>
        <v>62</v>
      </c>
      <c r="P794" s="230">
        <f>Table3.110[[#This Row],[Run]]</f>
        <v>1</v>
      </c>
      <c r="Q794" s="230">
        <f>Table3.110[[#This Row],[Replication]]</f>
        <v>3</v>
      </c>
      <c r="R794" s="230">
        <f>Table3.110[[#This Row],[Syrange No]]</f>
        <v>95</v>
      </c>
      <c r="S794" s="250">
        <v>0.55589999999999995</v>
      </c>
      <c r="T794" s="250">
        <v>0.93100000000000005</v>
      </c>
      <c r="U794" s="265"/>
      <c r="V794" s="283">
        <f t="shared" si="75"/>
        <v>0.3751000000000001</v>
      </c>
      <c r="W794" s="61">
        <f>Table3.110[[#This Row],[DM Incubated, mg]]-('3.2 Digest'!V794*1000)</f>
        <v>73.120054551634155</v>
      </c>
      <c r="X794" s="61">
        <f>W794/Table3.110[[#This Row],[DM Incubated, mg]]*100</f>
        <v>16.31342770344758</v>
      </c>
      <c r="Y794" s="58">
        <f>Table3.110[[#This Row],[DM Incubated, mg]]*'2.4 NDF'!R197/100</f>
        <v>236.28400898735887</v>
      </c>
      <c r="Z794" s="37">
        <f t="shared" si="76"/>
        <v>-138.81599101264121</v>
      </c>
      <c r="AA794" s="37">
        <f t="shared" si="77"/>
        <v>-58.74963422517002</v>
      </c>
      <c r="AB794" s="234"/>
    </row>
    <row r="795" spans="2:28" s="63" customFormat="1" x14ac:dyDescent="0.35">
      <c r="B795" s="230">
        <f t="shared" si="72"/>
        <v>785</v>
      </c>
      <c r="C795" s="247"/>
      <c r="D795" s="248">
        <f>Table3.110[[#This Row],[Date]]</f>
        <v>46055</v>
      </c>
      <c r="E795" s="230" t="str">
        <f>Table3.110[[#This Row],[Requisitioner]]</f>
        <v>Genbank</v>
      </c>
      <c r="F795" s="230" t="str">
        <f>Table3.110[[#This Row],[Gene Bank ID]]</f>
        <v>CIAT18954</v>
      </c>
      <c r="G795" s="230" t="str">
        <f>Table3.110[[#This Row],[Genus]]</f>
        <v>Indigofera</v>
      </c>
      <c r="H795" s="230" t="str">
        <f>Table3.110[[#This Row],[Species]]</f>
        <v>atriceps</v>
      </c>
      <c r="I795" s="230" t="str">
        <f>Table3.110[[#This Row],[Tax Name]]</f>
        <v>Indigofera atriceps</v>
      </c>
      <c r="J795" s="230" t="str">
        <f>Table3.110[[#This Row],[Family]]</f>
        <v>Fabaceae</v>
      </c>
      <c r="K795" s="230" t="str">
        <f>Table3.110[[#This Row],[Order]]</f>
        <v>Fabales</v>
      </c>
      <c r="L795" s="230" t="str">
        <f>Table3.110[[#This Row],[Functional Group]]</f>
        <v>Herbaceous</v>
      </c>
      <c r="M795" s="230" t="str">
        <f>Table3.110[[#This Row],[CIAT ID]]</f>
        <v>F252605</v>
      </c>
      <c r="N795" s="230">
        <f>Table3.110[[#This Row],[Set CIAT]]</f>
        <v>29</v>
      </c>
      <c r="O795" s="230">
        <f>Table3.110[[#This Row],[Batch]]</f>
        <v>62</v>
      </c>
      <c r="P795" s="230">
        <f>Table3.110[[#This Row],[Run]]</f>
        <v>1</v>
      </c>
      <c r="Q795" s="230">
        <f>Table3.110[[#This Row],[Replication]]</f>
        <v>1</v>
      </c>
      <c r="R795" s="230">
        <f>Table3.110[[#This Row],[Syrange No]]</f>
        <v>96</v>
      </c>
      <c r="S795" s="98">
        <v>0.5857</v>
      </c>
      <c r="T795" s="98">
        <v>0.92610000000000003</v>
      </c>
      <c r="U795" s="110"/>
      <c r="V795" s="283">
        <f t="shared" si="75"/>
        <v>0.34040000000000004</v>
      </c>
      <c r="W795" s="61">
        <f>Table3.110[[#This Row],[DM Incubated, mg]]-('3.2 Digest'!V795*1000)</f>
        <v>124.30529911615878</v>
      </c>
      <c r="X795" s="61">
        <f>W795/Table3.110[[#This Row],[DM Incubated, mg]]*100</f>
        <v>26.749275154077196</v>
      </c>
      <c r="Y795" s="58">
        <f>Table3.110[[#This Row],[DM Incubated, mg]]*'2.4 NDF'!R199/100</f>
        <v>239.51575290934838</v>
      </c>
      <c r="Z795" s="37">
        <f t="shared" si="76"/>
        <v>-100.88424709065166</v>
      </c>
      <c r="AA795" s="37">
        <f t="shared" si="77"/>
        <v>-42.120088497408439</v>
      </c>
      <c r="AB795" s="234"/>
    </row>
    <row r="796" spans="2:28" s="63" customFormat="1" x14ac:dyDescent="0.35">
      <c r="B796" s="230">
        <f t="shared" si="72"/>
        <v>786</v>
      </c>
      <c r="C796" s="247"/>
      <c r="D796" s="248">
        <f>Table3.110[[#This Row],[Date]]</f>
        <v>46055</v>
      </c>
      <c r="E796" s="230" t="str">
        <f>Table3.110[[#This Row],[Requisitioner]]</f>
        <v>Genbank</v>
      </c>
      <c r="F796" s="230" t="str">
        <f>Table3.110[[#This Row],[Gene Bank ID]]</f>
        <v>CIAT18954</v>
      </c>
      <c r="G796" s="230" t="str">
        <f>Table3.110[[#This Row],[Genus]]</f>
        <v>Indigofera</v>
      </c>
      <c r="H796" s="230" t="str">
        <f>Table3.110[[#This Row],[Species]]</f>
        <v>atriceps</v>
      </c>
      <c r="I796" s="230" t="str">
        <f>Table3.110[[#This Row],[Tax Name]]</f>
        <v>Indigofera atriceps</v>
      </c>
      <c r="J796" s="230" t="str">
        <f>Table3.110[[#This Row],[Family]]</f>
        <v>Fabaceae</v>
      </c>
      <c r="K796" s="230" t="str">
        <f>Table3.110[[#This Row],[Order]]</f>
        <v>Fabales</v>
      </c>
      <c r="L796" s="230" t="str">
        <f>Table3.110[[#This Row],[Functional Group]]</f>
        <v>Herbaceous</v>
      </c>
      <c r="M796" s="230" t="str">
        <f>Table3.110[[#This Row],[CIAT ID]]</f>
        <v>F252605</v>
      </c>
      <c r="N796" s="230">
        <f>Table3.110[[#This Row],[Set CIAT]]</f>
        <v>29</v>
      </c>
      <c r="O796" s="230">
        <f>Table3.110[[#This Row],[Batch]]</f>
        <v>62</v>
      </c>
      <c r="P796" s="230">
        <f>Table3.110[[#This Row],[Run]]</f>
        <v>1</v>
      </c>
      <c r="Q796" s="230">
        <f>Table3.110[[#This Row],[Replication]]</f>
        <v>2</v>
      </c>
      <c r="R796" s="230">
        <f>Table3.110[[#This Row],[Syrange No]]</f>
        <v>97</v>
      </c>
      <c r="S796" s="250">
        <v>0.57509999999999994</v>
      </c>
      <c r="T796" s="250">
        <v>0.92759999999999998</v>
      </c>
      <c r="U796" s="265"/>
      <c r="V796" s="283">
        <f t="shared" si="75"/>
        <v>0.35250000000000004</v>
      </c>
      <c r="W796" s="61">
        <f>Table3.110[[#This Row],[DM Incubated, mg]]-('3.2 Digest'!V796*1000)</f>
        <v>112.29824017598196</v>
      </c>
      <c r="X796" s="61">
        <f>W796/Table3.110[[#This Row],[DM Incubated, mg]]*100</f>
        <v>24.160642289321828</v>
      </c>
      <c r="Y796" s="58">
        <f>Table3.110[[#This Row],[DM Incubated, mg]]*'2.4 NDF'!R199/100</f>
        <v>239.56365605993022</v>
      </c>
      <c r="Z796" s="37">
        <f t="shared" si="76"/>
        <v>-112.93634394006983</v>
      </c>
      <c r="AA796" s="37">
        <f t="shared" si="77"/>
        <v>-47.142519778466401</v>
      </c>
      <c r="AB796" s="234"/>
    </row>
    <row r="797" spans="2:28" s="63" customFormat="1" x14ac:dyDescent="0.35">
      <c r="B797" s="230">
        <f t="shared" si="72"/>
        <v>787</v>
      </c>
      <c r="C797" s="247"/>
      <c r="D797" s="248">
        <f>Table3.110[[#This Row],[Date]]</f>
        <v>46055</v>
      </c>
      <c r="E797" s="230" t="str">
        <f>Table3.110[[#This Row],[Requisitioner]]</f>
        <v>Genbank</v>
      </c>
      <c r="F797" s="230" t="str">
        <f>Table3.110[[#This Row],[Gene Bank ID]]</f>
        <v>CIAT18954</v>
      </c>
      <c r="G797" s="230" t="str">
        <f>Table3.110[[#This Row],[Genus]]</f>
        <v>Indigofera</v>
      </c>
      <c r="H797" s="230" t="str">
        <f>Table3.110[[#This Row],[Species]]</f>
        <v>atriceps</v>
      </c>
      <c r="I797" s="230" t="str">
        <f>Table3.110[[#This Row],[Tax Name]]</f>
        <v>Indigofera atriceps</v>
      </c>
      <c r="J797" s="230" t="str">
        <f>Table3.110[[#This Row],[Family]]</f>
        <v>Fabaceae</v>
      </c>
      <c r="K797" s="230" t="str">
        <f>Table3.110[[#This Row],[Order]]</f>
        <v>Fabales</v>
      </c>
      <c r="L797" s="230" t="str">
        <f>Table3.110[[#This Row],[Functional Group]]</f>
        <v>Herbaceous</v>
      </c>
      <c r="M797" s="230" t="str">
        <f>Table3.110[[#This Row],[CIAT ID]]</f>
        <v>F252605</v>
      </c>
      <c r="N797" s="230">
        <f>Table3.110[[#This Row],[Set CIAT]]</f>
        <v>29</v>
      </c>
      <c r="O797" s="230">
        <f>Table3.110[[#This Row],[Batch]]</f>
        <v>62</v>
      </c>
      <c r="P797" s="230">
        <f>Table3.110[[#This Row],[Run]]</f>
        <v>1</v>
      </c>
      <c r="Q797" s="230">
        <f>Table3.110[[#This Row],[Replication]]</f>
        <v>3</v>
      </c>
      <c r="R797" s="230">
        <f>Table3.110[[#This Row],[Syrange No]]</f>
        <v>98</v>
      </c>
      <c r="S797" s="98">
        <v>0.58220000000000005</v>
      </c>
      <c r="T797" s="98">
        <v>0.93100000000000005</v>
      </c>
      <c r="U797" s="110"/>
      <c r="V797" s="283">
        <f t="shared" si="75"/>
        <v>0.3488</v>
      </c>
      <c r="W797" s="61">
        <f>Table3.110[[#This Row],[DM Incubated, mg]]-('3.2 Digest'!V797*1000)</f>
        <v>115.9052991161588</v>
      </c>
      <c r="X797" s="61">
        <f>W797/Table3.110[[#This Row],[DM Incubated, mg]]*100</f>
        <v>24.941677948713654</v>
      </c>
      <c r="Y797" s="58">
        <f>Table3.110[[#This Row],[DM Incubated, mg]]*'2.4 NDF'!R199/100</f>
        <v>239.51575290934838</v>
      </c>
      <c r="Z797" s="37">
        <f t="shared" si="76"/>
        <v>-109.28424709065163</v>
      </c>
      <c r="AA797" s="37">
        <f t="shared" si="77"/>
        <v>-45.627164711798059</v>
      </c>
      <c r="AB797" s="234"/>
    </row>
    <row r="798" spans="2:28" s="63" customFormat="1" x14ac:dyDescent="0.35">
      <c r="B798" s="230">
        <f t="shared" si="72"/>
        <v>788</v>
      </c>
      <c r="C798" s="247"/>
      <c r="D798" s="248">
        <f>Table3.110[[#This Row],[Date]]</f>
        <v>46055</v>
      </c>
      <c r="E798" s="230" t="str">
        <f>Table3.110[[#This Row],[Requisitioner]]</f>
        <v>Genbank</v>
      </c>
      <c r="F798" s="230" t="str">
        <f>Table3.110[[#This Row],[Gene Bank ID]]</f>
        <v>CIAT19198</v>
      </c>
      <c r="G798" s="230" t="str">
        <f>Table3.110[[#This Row],[Genus]]</f>
        <v>Tephrosia</v>
      </c>
      <c r="H798" s="230" t="str">
        <f>Table3.110[[#This Row],[Species]]</f>
        <v>villosa</v>
      </c>
      <c r="I798" s="230" t="str">
        <f>Table3.110[[#This Row],[Tax Name]]</f>
        <v>Tephrosia villosa</v>
      </c>
      <c r="J798" s="230" t="str">
        <f>Table3.110[[#This Row],[Family]]</f>
        <v>Fabaceae</v>
      </c>
      <c r="K798" s="230" t="str">
        <f>Table3.110[[#This Row],[Order]]</f>
        <v>Fabales</v>
      </c>
      <c r="L798" s="230" t="str">
        <f>Table3.110[[#This Row],[Functional Group]]</f>
        <v>Herbaceous</v>
      </c>
      <c r="M798" s="230" t="str">
        <f>Table3.110[[#This Row],[CIAT ID]]</f>
        <v>F252606</v>
      </c>
      <c r="N798" s="230">
        <f>Table3.110[[#This Row],[Set CIAT]]</f>
        <v>29</v>
      </c>
      <c r="O798" s="230">
        <f>Table3.110[[#This Row],[Batch]]</f>
        <v>62</v>
      </c>
      <c r="P798" s="230">
        <f>Table3.110[[#This Row],[Run]]</f>
        <v>1</v>
      </c>
      <c r="Q798" s="230">
        <f>Table3.110[[#This Row],[Replication]]</f>
        <v>1</v>
      </c>
      <c r="R798" s="230">
        <f>Table3.110[[#This Row],[Syrange No]]</f>
        <v>99</v>
      </c>
      <c r="S798" s="250">
        <v>0.57599999999999996</v>
      </c>
      <c r="T798" s="250">
        <v>0.8518</v>
      </c>
      <c r="U798" s="265"/>
      <c r="V798" s="283">
        <f t="shared" si="75"/>
        <v>0.27580000000000005</v>
      </c>
      <c r="W798" s="61">
        <f>Table3.110[[#This Row],[DM Incubated, mg]]-('3.2 Digest'!V798*1000)</f>
        <v>177.18581236429094</v>
      </c>
      <c r="X798" s="61">
        <f>W798/Table3.110[[#This Row],[DM Incubated, mg]]*100</f>
        <v>39.115090920728043</v>
      </c>
      <c r="Y798" s="58">
        <f>Table3.110[[#This Row],[DM Incubated, mg]]*'2.4 NDF'!R201/100</f>
        <v>234.3112392957984</v>
      </c>
      <c r="Z798" s="37">
        <f t="shared" si="76"/>
        <v>-41.488760704201667</v>
      </c>
      <c r="AA798" s="37">
        <f t="shared" si="77"/>
        <v>-17.706688261686658</v>
      </c>
      <c r="AB798" s="234"/>
    </row>
    <row r="799" spans="2:28" s="63" customFormat="1" x14ac:dyDescent="0.35">
      <c r="B799" s="230">
        <f t="shared" si="72"/>
        <v>789</v>
      </c>
      <c r="C799" s="247"/>
      <c r="D799" s="248">
        <f>Table3.110[[#This Row],[Date]]</f>
        <v>46055</v>
      </c>
      <c r="E799" s="230" t="str">
        <f>Table3.110[[#This Row],[Requisitioner]]</f>
        <v>Genbank</v>
      </c>
      <c r="F799" s="230" t="str">
        <f>Table3.110[[#This Row],[Gene Bank ID]]</f>
        <v>CIAT19198</v>
      </c>
      <c r="G799" s="230" t="str">
        <f>Table3.110[[#This Row],[Genus]]</f>
        <v>Tephrosia</v>
      </c>
      <c r="H799" s="230" t="str">
        <f>Table3.110[[#This Row],[Species]]</f>
        <v>villosa</v>
      </c>
      <c r="I799" s="230" t="str">
        <f>Table3.110[[#This Row],[Tax Name]]</f>
        <v>Tephrosia villosa</v>
      </c>
      <c r="J799" s="230" t="str">
        <f>Table3.110[[#This Row],[Family]]</f>
        <v>Fabaceae</v>
      </c>
      <c r="K799" s="230" t="str">
        <f>Table3.110[[#This Row],[Order]]</f>
        <v>Fabales</v>
      </c>
      <c r="L799" s="230" t="str">
        <f>Table3.110[[#This Row],[Functional Group]]</f>
        <v>Herbaceous</v>
      </c>
      <c r="M799" s="230" t="str">
        <f>Table3.110[[#This Row],[CIAT ID]]</f>
        <v>F252606</v>
      </c>
      <c r="N799" s="230">
        <f>Table3.110[[#This Row],[Set CIAT]]</f>
        <v>29</v>
      </c>
      <c r="O799" s="230">
        <f>Table3.110[[#This Row],[Batch]]</f>
        <v>62</v>
      </c>
      <c r="P799" s="230">
        <f>Table3.110[[#This Row],[Run]]</f>
        <v>1</v>
      </c>
      <c r="Q799" s="230">
        <f>Table3.110[[#This Row],[Replication]]</f>
        <v>2</v>
      </c>
      <c r="R799" s="230">
        <f>Table3.110[[#This Row],[Syrange No]]</f>
        <v>100</v>
      </c>
      <c r="S799" s="98">
        <v>0.5665</v>
      </c>
      <c r="T799" s="98">
        <v>0.84089999999999998</v>
      </c>
      <c r="U799" s="110"/>
      <c r="V799" s="283">
        <f t="shared" si="75"/>
        <v>0.27439999999999998</v>
      </c>
      <c r="W799" s="61">
        <f>Table3.110[[#This Row],[DM Incubated, mg]]-('3.2 Digest'!V799*1000)</f>
        <v>178.76689803783256</v>
      </c>
      <c r="X799" s="61">
        <f>W799/Table3.110[[#This Row],[DM Incubated, mg]]*100</f>
        <v>39.44835750622461</v>
      </c>
      <c r="Y799" s="58">
        <f>Table3.110[[#This Row],[DM Incubated, mg]]*'2.4 NDF'!R201/100</f>
        <v>234.40490759053984</v>
      </c>
      <c r="Z799" s="37">
        <f t="shared" si="76"/>
        <v>-39.995092409460142</v>
      </c>
      <c r="AA799" s="37">
        <f t="shared" si="77"/>
        <v>-17.062395502112889</v>
      </c>
      <c r="AB799" s="234"/>
    </row>
    <row r="800" spans="2:28" s="63" customFormat="1" x14ac:dyDescent="0.35">
      <c r="B800" s="230">
        <f t="shared" si="72"/>
        <v>790</v>
      </c>
      <c r="C800" s="247"/>
      <c r="D800" s="248">
        <f>Table3.110[[#This Row],[Date]]</f>
        <v>46055</v>
      </c>
      <c r="E800" s="230" t="str">
        <f>Table3.110[[#This Row],[Requisitioner]]</f>
        <v>Genbank</v>
      </c>
      <c r="F800" s="230" t="str">
        <f>Table3.110[[#This Row],[Gene Bank ID]]</f>
        <v>CIAT19198</v>
      </c>
      <c r="G800" s="230" t="str">
        <f>Table3.110[[#This Row],[Genus]]</f>
        <v>Tephrosia</v>
      </c>
      <c r="H800" s="230" t="str">
        <f>Table3.110[[#This Row],[Species]]</f>
        <v>villosa</v>
      </c>
      <c r="I800" s="230" t="str">
        <f>Table3.110[[#This Row],[Tax Name]]</f>
        <v>Tephrosia villosa</v>
      </c>
      <c r="J800" s="230" t="str">
        <f>Table3.110[[#This Row],[Family]]</f>
        <v>Fabaceae</v>
      </c>
      <c r="K800" s="230" t="str">
        <f>Table3.110[[#This Row],[Order]]</f>
        <v>Fabales</v>
      </c>
      <c r="L800" s="230" t="str">
        <f>Table3.110[[#This Row],[Functional Group]]</f>
        <v>Herbaceous</v>
      </c>
      <c r="M800" s="230" t="str">
        <f>Table3.110[[#This Row],[CIAT ID]]</f>
        <v>F252606</v>
      </c>
      <c r="N800" s="230">
        <f>Table3.110[[#This Row],[Set CIAT]]</f>
        <v>29</v>
      </c>
      <c r="O800" s="230">
        <f>Table3.110[[#This Row],[Batch]]</f>
        <v>62</v>
      </c>
      <c r="P800" s="230">
        <f>Table3.110[[#This Row],[Run]]</f>
        <v>1</v>
      </c>
      <c r="Q800" s="230">
        <f>Table3.110[[#This Row],[Replication]]</f>
        <v>3</v>
      </c>
      <c r="R800" s="230">
        <f>Table3.110[[#This Row],[Syrange No]]</f>
        <v>101</v>
      </c>
      <c r="S800" s="250">
        <v>0.55610000000000004</v>
      </c>
      <c r="T800" s="250">
        <v>0.81359999999999999</v>
      </c>
      <c r="U800" s="265"/>
      <c r="V800" s="283">
        <f t="shared" si="75"/>
        <v>0.25749999999999995</v>
      </c>
      <c r="W800" s="61">
        <f>Table3.110[[#This Row],[DM Incubated, mg]]-('3.2 Digest'!V800*1000)</f>
        <v>195.39526952752021</v>
      </c>
      <c r="X800" s="61">
        <f>W800/Table3.110[[#This Row],[DM Incubated, mg]]*100</f>
        <v>43.143588081934475</v>
      </c>
      <c r="Y800" s="58">
        <f>Table3.110[[#This Row],[DM Incubated, mg]]*'2.4 NDF'!R201/100</f>
        <v>234.26440514842761</v>
      </c>
      <c r="Z800" s="37">
        <f t="shared" si="76"/>
        <v>-23.23559485157233</v>
      </c>
      <c r="AA800" s="37">
        <f t="shared" si="77"/>
        <v>-9.9185340755675142</v>
      </c>
      <c r="AB800" s="234"/>
    </row>
    <row r="801" spans="2:28" s="63" customFormat="1" x14ac:dyDescent="0.35">
      <c r="B801" s="230">
        <f t="shared" si="72"/>
        <v>791</v>
      </c>
      <c r="C801" s="247"/>
      <c r="D801" s="248">
        <f>Table3.110[[#This Row],[Date]]</f>
        <v>46055</v>
      </c>
      <c r="E801" s="230" t="str">
        <f>Table3.110[[#This Row],[Requisitioner]]</f>
        <v>Genbank</v>
      </c>
      <c r="F801" s="230" t="str">
        <f>Table3.110[[#This Row],[Gene Bank ID]]</f>
        <v>CIAT19460</v>
      </c>
      <c r="G801" s="230" t="str">
        <f>Table3.110[[#This Row],[Genus]]</f>
        <v>Sesbania</v>
      </c>
      <c r="H801" s="230" t="str">
        <f>Table3.110[[#This Row],[Species]]</f>
        <v>cannabina</v>
      </c>
      <c r="I801" s="230" t="str">
        <f>Table3.110[[#This Row],[Tax Name]]</f>
        <v>Sesbania cannabina</v>
      </c>
      <c r="J801" s="230" t="str">
        <f>Table3.110[[#This Row],[Family]]</f>
        <v>Fabaceae</v>
      </c>
      <c r="K801" s="230" t="str">
        <f>Table3.110[[#This Row],[Order]]</f>
        <v>Fabales</v>
      </c>
      <c r="L801" s="230" t="str">
        <f>Table3.110[[#This Row],[Functional Group]]</f>
        <v>Shurb_Tree</v>
      </c>
      <c r="M801" s="230" t="str">
        <f>Table3.110[[#This Row],[CIAT ID]]</f>
        <v>F252607</v>
      </c>
      <c r="N801" s="230">
        <f>Table3.110[[#This Row],[Set CIAT]]</f>
        <v>29</v>
      </c>
      <c r="O801" s="230">
        <f>Table3.110[[#This Row],[Batch]]</f>
        <v>62</v>
      </c>
      <c r="P801" s="230">
        <f>Table3.110[[#This Row],[Run]]</f>
        <v>1</v>
      </c>
      <c r="Q801" s="230">
        <f>Table3.110[[#This Row],[Replication]]</f>
        <v>1</v>
      </c>
      <c r="R801" s="230">
        <f>Table3.110[[#This Row],[Syrange No]]</f>
        <v>102</v>
      </c>
      <c r="S801" s="98">
        <v>0.56840000000000002</v>
      </c>
      <c r="T801" s="98">
        <v>0.92010000000000003</v>
      </c>
      <c r="U801" s="110"/>
      <c r="V801" s="283">
        <f t="shared" si="75"/>
        <v>0.35170000000000001</v>
      </c>
      <c r="W801" s="61">
        <f>Table3.110[[#This Row],[DM Incubated, mg]]-('3.2 Digest'!V801*1000)</f>
        <v>103.65000954786029</v>
      </c>
      <c r="X801" s="61">
        <f>W801/Table3.110[[#This Row],[DM Incubated, mg]]*100</f>
        <v>22.762711622819456</v>
      </c>
      <c r="Y801" s="58">
        <f>Table3.110[[#This Row],[DM Incubated, mg]]*'2.4 NDF'!R203/100</f>
        <v>243.71317141569153</v>
      </c>
      <c r="Z801" s="37">
        <f t="shared" si="76"/>
        <v>-107.98682858430845</v>
      </c>
      <c r="AA801" s="37">
        <f t="shared" si="77"/>
        <v>-44.308983366401549</v>
      </c>
      <c r="AB801" s="234"/>
    </row>
    <row r="802" spans="2:28" s="63" customFormat="1" x14ac:dyDescent="0.35">
      <c r="B802" s="230">
        <f t="shared" si="72"/>
        <v>792</v>
      </c>
      <c r="C802" s="247"/>
      <c r="D802" s="248">
        <f>Table3.110[[#This Row],[Date]]</f>
        <v>46055</v>
      </c>
      <c r="E802" s="230" t="str">
        <f>Table3.110[[#This Row],[Requisitioner]]</f>
        <v>Genbank</v>
      </c>
      <c r="F802" s="230" t="str">
        <f>Table3.110[[#This Row],[Gene Bank ID]]</f>
        <v>CIAT19460</v>
      </c>
      <c r="G802" s="230" t="str">
        <f>Table3.110[[#This Row],[Genus]]</f>
        <v>Sesbania</v>
      </c>
      <c r="H802" s="230" t="str">
        <f>Table3.110[[#This Row],[Species]]</f>
        <v>cannabina</v>
      </c>
      <c r="I802" s="230" t="str">
        <f>Table3.110[[#This Row],[Tax Name]]</f>
        <v>Sesbania cannabina</v>
      </c>
      <c r="J802" s="230" t="str">
        <f>Table3.110[[#This Row],[Family]]</f>
        <v>Fabaceae</v>
      </c>
      <c r="K802" s="230" t="str">
        <f>Table3.110[[#This Row],[Order]]</f>
        <v>Fabales</v>
      </c>
      <c r="L802" s="230" t="str">
        <f>Table3.110[[#This Row],[Functional Group]]</f>
        <v>Shurb_Tree</v>
      </c>
      <c r="M802" s="230" t="str">
        <f>Table3.110[[#This Row],[CIAT ID]]</f>
        <v>F252607</v>
      </c>
      <c r="N802" s="230">
        <f>Table3.110[[#This Row],[Set CIAT]]</f>
        <v>29</v>
      </c>
      <c r="O802" s="230">
        <f>Table3.110[[#This Row],[Batch]]</f>
        <v>62</v>
      </c>
      <c r="P802" s="230">
        <f>Table3.110[[#This Row],[Run]]</f>
        <v>1</v>
      </c>
      <c r="Q802" s="230">
        <f>Table3.110[[#This Row],[Replication]]</f>
        <v>2</v>
      </c>
      <c r="R802" s="230">
        <f>Table3.110[[#This Row],[Syrange No]]</f>
        <v>103</v>
      </c>
      <c r="S802" s="250">
        <v>0.55779999999999996</v>
      </c>
      <c r="T802" s="250">
        <v>0.93479999999999996</v>
      </c>
      <c r="U802" s="265"/>
      <c r="V802" s="283">
        <f t="shared" si="75"/>
        <v>0.377</v>
      </c>
      <c r="W802" s="61">
        <f>Table3.110[[#This Row],[DM Incubated, mg]]-('3.2 Digest'!V802*1000)</f>
        <v>78.714143901757041</v>
      </c>
      <c r="X802" s="61">
        <f>W802/Table3.110[[#This Row],[DM Incubated, mg]]*100</f>
        <v>17.272701529037082</v>
      </c>
      <c r="Y802" s="58">
        <f>Table3.110[[#This Row],[DM Incubated, mg]]*'2.4 NDF'!R203/100</f>
        <v>243.90806399579208</v>
      </c>
      <c r="Z802" s="37">
        <f t="shared" si="76"/>
        <v>-133.09193600420792</v>
      </c>
      <c r="AA802" s="37">
        <f t="shared" si="77"/>
        <v>-54.566435329708504</v>
      </c>
      <c r="AB802" s="234"/>
    </row>
    <row r="803" spans="2:28" s="63" customFormat="1" x14ac:dyDescent="0.35">
      <c r="B803" s="230">
        <f t="shared" si="72"/>
        <v>793</v>
      </c>
      <c r="C803" s="247"/>
      <c r="D803" s="248">
        <f>Table3.110[[#This Row],[Date]]</f>
        <v>46055</v>
      </c>
      <c r="E803" s="230" t="str">
        <f>Table3.110[[#This Row],[Requisitioner]]</f>
        <v>Genbank</v>
      </c>
      <c r="F803" s="230" t="str">
        <f>Table3.110[[#This Row],[Gene Bank ID]]</f>
        <v>CIAT19460</v>
      </c>
      <c r="G803" s="230" t="str">
        <f>Table3.110[[#This Row],[Genus]]</f>
        <v>Sesbania</v>
      </c>
      <c r="H803" s="230" t="str">
        <f>Table3.110[[#This Row],[Species]]</f>
        <v>cannabina</v>
      </c>
      <c r="I803" s="230" t="str">
        <f>Table3.110[[#This Row],[Tax Name]]</f>
        <v>Sesbania cannabina</v>
      </c>
      <c r="J803" s="230" t="str">
        <f>Table3.110[[#This Row],[Family]]</f>
        <v>Fabaceae</v>
      </c>
      <c r="K803" s="230" t="str">
        <f>Table3.110[[#This Row],[Order]]</f>
        <v>Fabales</v>
      </c>
      <c r="L803" s="230" t="str">
        <f>Table3.110[[#This Row],[Functional Group]]</f>
        <v>Shurb_Tree</v>
      </c>
      <c r="M803" s="230" t="str">
        <f>Table3.110[[#This Row],[CIAT ID]]</f>
        <v>F252607</v>
      </c>
      <c r="N803" s="230">
        <f>Table3.110[[#This Row],[Set CIAT]]</f>
        <v>29</v>
      </c>
      <c r="O803" s="230">
        <f>Table3.110[[#This Row],[Batch]]</f>
        <v>62</v>
      </c>
      <c r="P803" s="230">
        <f>Table3.110[[#This Row],[Run]]</f>
        <v>1</v>
      </c>
      <c r="Q803" s="230">
        <f>Table3.110[[#This Row],[Replication]]</f>
        <v>3</v>
      </c>
      <c r="R803" s="230">
        <f>Table3.110[[#This Row],[Syrange No]]</f>
        <v>104</v>
      </c>
      <c r="S803" s="98">
        <v>0.56020000000000003</v>
      </c>
      <c r="T803" s="98">
        <v>0.91700000000000004</v>
      </c>
      <c r="U803" s="110"/>
      <c r="V803" s="283">
        <f t="shared" si="75"/>
        <v>0.35680000000000001</v>
      </c>
      <c r="W803" s="61">
        <f>Table3.110[[#This Row],[DM Incubated, mg]]-('3.2 Digest'!V803*1000)</f>
        <v>98.367942370911919</v>
      </c>
      <c r="X803" s="61">
        <f>W803/Table3.110[[#This Row],[DM Incubated, mg]]*100</f>
        <v>21.6113511550321</v>
      </c>
      <c r="Y803" s="58">
        <f>Table3.110[[#This Row],[DM Incubated, mg]]*'2.4 NDF'!R203/100</f>
        <v>243.61572512564129</v>
      </c>
      <c r="Z803" s="37">
        <f t="shared" si="76"/>
        <v>-113.18427487435872</v>
      </c>
      <c r="AA803" s="37">
        <f t="shared" si="77"/>
        <v>-46.460167879551115</v>
      </c>
      <c r="AB803" s="234"/>
    </row>
    <row r="804" spans="2:28" s="63" customFormat="1" x14ac:dyDescent="0.35">
      <c r="B804" s="230">
        <f t="shared" si="72"/>
        <v>794</v>
      </c>
      <c r="C804" s="247"/>
      <c r="D804" s="248">
        <f>Table3.110[[#This Row],[Date]]</f>
        <v>46055</v>
      </c>
      <c r="E804" s="230" t="str">
        <f>Table3.110[[#This Row],[Requisitioner]]</f>
        <v>Genbank</v>
      </c>
      <c r="F804" s="230" t="str">
        <f>Table3.110[[#This Row],[Gene Bank ID]]</f>
        <v>CIAT20044</v>
      </c>
      <c r="G804" s="230" t="str">
        <f>Table3.110[[#This Row],[Genus]]</f>
        <v>Tephrosia</v>
      </c>
      <c r="H804" s="230" t="str">
        <f>Table3.110[[#This Row],[Species]]</f>
        <v>purpurea</v>
      </c>
      <c r="I804" s="230" t="str">
        <f>Table3.110[[#This Row],[Tax Name]]</f>
        <v>Tephrosia purpurea</v>
      </c>
      <c r="J804" s="230" t="str">
        <f>Table3.110[[#This Row],[Family]]</f>
        <v>Fabaceae</v>
      </c>
      <c r="K804" s="230" t="str">
        <f>Table3.110[[#This Row],[Order]]</f>
        <v>Fabales</v>
      </c>
      <c r="L804" s="230" t="str">
        <f>Table3.110[[#This Row],[Functional Group]]</f>
        <v>Herbaceous</v>
      </c>
      <c r="M804" s="230" t="str">
        <f>Table3.110[[#This Row],[CIAT ID]]</f>
        <v>F252608</v>
      </c>
      <c r="N804" s="230">
        <f>Table3.110[[#This Row],[Set CIAT]]</f>
        <v>29</v>
      </c>
      <c r="O804" s="230">
        <f>Table3.110[[#This Row],[Batch]]</f>
        <v>62</v>
      </c>
      <c r="P804" s="230">
        <f>Table3.110[[#This Row],[Run]]</f>
        <v>1</v>
      </c>
      <c r="Q804" s="230">
        <f>Table3.110[[#This Row],[Replication]]</f>
        <v>1</v>
      </c>
      <c r="R804" s="230">
        <f>Table3.110[[#This Row],[Syrange No]]</f>
        <v>105</v>
      </c>
      <c r="S804" s="250">
        <v>0.58679999999999999</v>
      </c>
      <c r="T804" s="250">
        <v>0.81240000000000001</v>
      </c>
      <c r="U804" s="265"/>
      <c r="V804" s="283">
        <f t="shared" si="75"/>
        <v>0.22560000000000002</v>
      </c>
      <c r="W804" s="61">
        <f>Table3.110[[#This Row],[DM Incubated, mg]]-('3.2 Digest'!V804*1000)</f>
        <v>235.37305769423057</v>
      </c>
      <c r="X804" s="61">
        <f>W804/Table3.110[[#This Row],[DM Incubated, mg]]*100</f>
        <v>51.060046518023739</v>
      </c>
      <c r="Y804" s="58">
        <f>Table3.110[[#This Row],[DM Incubated, mg]]*'2.4 NDF'!R205/100</f>
        <v>217.11125744402764</v>
      </c>
      <c r="Z804" s="37">
        <f t="shared" si="76"/>
        <v>-8.4887425559723795</v>
      </c>
      <c r="AA804" s="37">
        <f t="shared" si="77"/>
        <v>-3.9098583168405345</v>
      </c>
      <c r="AB804" s="234"/>
    </row>
    <row r="805" spans="2:28" s="63" customFormat="1" x14ac:dyDescent="0.35">
      <c r="B805" s="230">
        <f t="shared" si="72"/>
        <v>795</v>
      </c>
      <c r="C805" s="247"/>
      <c r="D805" s="248">
        <f>Table3.110[[#This Row],[Date]]</f>
        <v>46055</v>
      </c>
      <c r="E805" s="230" t="str">
        <f>Table3.110[[#This Row],[Requisitioner]]</f>
        <v>Genbank</v>
      </c>
      <c r="F805" s="230" t="str">
        <f>Table3.110[[#This Row],[Gene Bank ID]]</f>
        <v>CIAT20044</v>
      </c>
      <c r="G805" s="230" t="str">
        <f>Table3.110[[#This Row],[Genus]]</f>
        <v>Tephrosia</v>
      </c>
      <c r="H805" s="230" t="str">
        <f>Table3.110[[#This Row],[Species]]</f>
        <v>purpurea</v>
      </c>
      <c r="I805" s="230" t="str">
        <f>Table3.110[[#This Row],[Tax Name]]</f>
        <v>Tephrosia purpurea</v>
      </c>
      <c r="J805" s="230" t="str">
        <f>Table3.110[[#This Row],[Family]]</f>
        <v>Fabaceae</v>
      </c>
      <c r="K805" s="230" t="str">
        <f>Table3.110[[#This Row],[Order]]</f>
        <v>Fabales</v>
      </c>
      <c r="L805" s="230" t="str">
        <f>Table3.110[[#This Row],[Functional Group]]</f>
        <v>Herbaceous</v>
      </c>
      <c r="M805" s="230" t="str">
        <f>Table3.110[[#This Row],[CIAT ID]]</f>
        <v>F252608</v>
      </c>
      <c r="N805" s="230">
        <f>Table3.110[[#This Row],[Set CIAT]]</f>
        <v>29</v>
      </c>
      <c r="O805" s="230">
        <f>Table3.110[[#This Row],[Batch]]</f>
        <v>62</v>
      </c>
      <c r="P805" s="230">
        <f>Table3.110[[#This Row],[Run]]</f>
        <v>1</v>
      </c>
      <c r="Q805" s="230">
        <f>Table3.110[[#This Row],[Replication]]</f>
        <v>2</v>
      </c>
      <c r="R805" s="230">
        <f>Table3.110[[#This Row],[Syrange No]]</f>
        <v>106</v>
      </c>
      <c r="S805" s="98">
        <v>0.58340000000000003</v>
      </c>
      <c r="T805" s="98">
        <v>0.84599999999999997</v>
      </c>
      <c r="U805" s="110"/>
      <c r="V805" s="283">
        <f t="shared" si="75"/>
        <v>0.26259999999999994</v>
      </c>
      <c r="W805" s="61">
        <f>Table3.110[[#This Row],[DM Incubated, mg]]-('3.2 Digest'!V805*1000)</f>
        <v>198.74176239944501</v>
      </c>
      <c r="X805" s="61">
        <f>W805/Table3.110[[#This Row],[DM Incubated, mg]]*100</f>
        <v>43.079074689832183</v>
      </c>
      <c r="Y805" s="58">
        <f>Table3.110[[#This Row],[DM Incubated, mg]]*'2.4 NDF'!R205/100</f>
        <v>217.28491171912788</v>
      </c>
      <c r="Z805" s="37">
        <f t="shared" si="76"/>
        <v>-45.315088280872089</v>
      </c>
      <c r="AA805" s="37">
        <f t="shared" si="77"/>
        <v>-20.855147245312818</v>
      </c>
      <c r="AB805" s="234"/>
    </row>
    <row r="806" spans="2:28" s="63" customFormat="1" x14ac:dyDescent="0.35">
      <c r="B806" s="230">
        <f t="shared" si="72"/>
        <v>796</v>
      </c>
      <c r="C806" s="247"/>
      <c r="D806" s="248">
        <f>Table3.110[[#This Row],[Date]]</f>
        <v>46055</v>
      </c>
      <c r="E806" s="230" t="str">
        <f>Table3.110[[#This Row],[Requisitioner]]</f>
        <v>Genbank</v>
      </c>
      <c r="F806" s="230" t="str">
        <f>Table3.110[[#This Row],[Gene Bank ID]]</f>
        <v>CIAT20044</v>
      </c>
      <c r="G806" s="230" t="str">
        <f>Table3.110[[#This Row],[Genus]]</f>
        <v>Tephrosia</v>
      </c>
      <c r="H806" s="230" t="str">
        <f>Table3.110[[#This Row],[Species]]</f>
        <v>purpurea</v>
      </c>
      <c r="I806" s="230" t="str">
        <f>Table3.110[[#This Row],[Tax Name]]</f>
        <v>Tephrosia purpurea</v>
      </c>
      <c r="J806" s="230" t="str">
        <f>Table3.110[[#This Row],[Family]]</f>
        <v>Fabaceae</v>
      </c>
      <c r="K806" s="230" t="str">
        <f>Table3.110[[#This Row],[Order]]</f>
        <v>Fabales</v>
      </c>
      <c r="L806" s="230" t="str">
        <f>Table3.110[[#This Row],[Functional Group]]</f>
        <v>Herbaceous</v>
      </c>
      <c r="M806" s="230" t="str">
        <f>Table3.110[[#This Row],[CIAT ID]]</f>
        <v>F252608</v>
      </c>
      <c r="N806" s="230">
        <f>Table3.110[[#This Row],[Set CIAT]]</f>
        <v>29</v>
      </c>
      <c r="O806" s="230">
        <f>Table3.110[[#This Row],[Batch]]</f>
        <v>62</v>
      </c>
      <c r="P806" s="230">
        <f>Table3.110[[#This Row],[Run]]</f>
        <v>1</v>
      </c>
      <c r="Q806" s="230">
        <f>Table3.110[[#This Row],[Replication]]</f>
        <v>3</v>
      </c>
      <c r="R806" s="230">
        <f>Table3.110[[#This Row],[Syrange No]]</f>
        <v>107</v>
      </c>
      <c r="S806" s="250">
        <v>0.60329999999999995</v>
      </c>
      <c r="T806" s="250">
        <v>0.81740000000000002</v>
      </c>
      <c r="U806" s="265"/>
      <c r="V806" s="283">
        <f t="shared" si="75"/>
        <v>0.21410000000000007</v>
      </c>
      <c r="W806" s="61">
        <f>Table3.110[[#This Row],[DM Incubated, mg]]-('3.2 Digest'!V806*1000)</f>
        <v>247.33393857574845</v>
      </c>
      <c r="X806" s="61">
        <f>W806/Table3.110[[#This Row],[DM Incubated, mg]]*100</f>
        <v>53.60115888726429</v>
      </c>
      <c r="Y806" s="58">
        <f>Table3.110[[#This Row],[DM Incubated, mg]]*'2.4 NDF'!R205/100</f>
        <v>217.32832528790291</v>
      </c>
      <c r="Z806" s="37">
        <f t="shared" si="76"/>
        <v>3.2283252879028339</v>
      </c>
      <c r="AA806" s="37">
        <f t="shared" si="77"/>
        <v>1.4854599756502753</v>
      </c>
      <c r="AB806" s="234"/>
    </row>
    <row r="807" spans="2:28" s="63" customFormat="1" x14ac:dyDescent="0.35">
      <c r="B807" s="230">
        <f t="shared" si="72"/>
        <v>797</v>
      </c>
      <c r="C807" s="247"/>
      <c r="D807" s="248">
        <f>Table3.110[[#This Row],[Date]]</f>
        <v>46055</v>
      </c>
      <c r="E807" s="230" t="str">
        <f>Table3.110[[#This Row],[Requisitioner]]</f>
        <v>Genbank</v>
      </c>
      <c r="F807" s="230" t="str">
        <f>Table3.110[[#This Row],[Gene Bank ID]]</f>
        <v>CIAT22423</v>
      </c>
      <c r="G807" s="230" t="str">
        <f>Table3.110[[#This Row],[Genus]]</f>
        <v>Vigna</v>
      </c>
      <c r="H807" s="230" t="str">
        <f>Table3.110[[#This Row],[Species]]</f>
        <v>unguiculata</v>
      </c>
      <c r="I807" s="230" t="str">
        <f>Table3.110[[#This Row],[Tax Name]]</f>
        <v>Vigna unguiculata</v>
      </c>
      <c r="J807" s="230" t="str">
        <f>Table3.110[[#This Row],[Family]]</f>
        <v>Fabaceae</v>
      </c>
      <c r="K807" s="230" t="str">
        <f>Table3.110[[#This Row],[Order]]</f>
        <v>Fabales</v>
      </c>
      <c r="L807" s="230" t="str">
        <f>Table3.110[[#This Row],[Functional Group]]</f>
        <v>Herbaceous</v>
      </c>
      <c r="M807" s="230" t="str">
        <f>Table3.110[[#This Row],[CIAT ID]]</f>
        <v>F252609</v>
      </c>
      <c r="N807" s="230">
        <f>Table3.110[[#This Row],[Set CIAT]]</f>
        <v>29</v>
      </c>
      <c r="O807" s="230">
        <f>Table3.110[[#This Row],[Batch]]</f>
        <v>62</v>
      </c>
      <c r="P807" s="230">
        <f>Table3.110[[#This Row],[Run]]</f>
        <v>1</v>
      </c>
      <c r="Q807" s="230">
        <f>Table3.110[[#This Row],[Replication]]</f>
        <v>1</v>
      </c>
      <c r="R807" s="230">
        <f>Table3.110[[#This Row],[Syrange No]]</f>
        <v>108</v>
      </c>
      <c r="S807" s="98">
        <v>0.55589999999999995</v>
      </c>
      <c r="T807" s="98">
        <v>0.75849999999999995</v>
      </c>
      <c r="U807" s="110"/>
      <c r="V807" s="283">
        <f t="shared" si="75"/>
        <v>0.2026</v>
      </c>
      <c r="W807" s="61">
        <f>Table3.110[[#This Row],[DM Incubated, mg]]-('3.2 Digest'!V807*1000)</f>
        <v>250.97327964407091</v>
      </c>
      <c r="X807" s="61">
        <f>W807/Table3.110[[#This Row],[DM Incubated, mg]]*100</f>
        <v>55.332465757465975</v>
      </c>
      <c r="Y807" s="58">
        <f>Table3.110[[#This Row],[DM Incubated, mg]]*'2.4 NDF'!R207/100</f>
        <v>218.13114792377567</v>
      </c>
      <c r="Z807" s="37">
        <f t="shared" si="76"/>
        <v>15.531147923775677</v>
      </c>
      <c r="AA807" s="37">
        <f t="shared" si="77"/>
        <v>7.1200963601965377</v>
      </c>
      <c r="AB807" s="234"/>
    </row>
    <row r="808" spans="2:28" s="63" customFormat="1" x14ac:dyDescent="0.35">
      <c r="B808" s="230">
        <f t="shared" si="72"/>
        <v>798</v>
      </c>
      <c r="C808" s="247"/>
      <c r="D808" s="248">
        <f>Table3.110[[#This Row],[Date]]</f>
        <v>46055</v>
      </c>
      <c r="E808" s="230" t="str">
        <f>Table3.110[[#This Row],[Requisitioner]]</f>
        <v>Genbank</v>
      </c>
      <c r="F808" s="230" t="str">
        <f>Table3.110[[#This Row],[Gene Bank ID]]</f>
        <v>CIAT22423</v>
      </c>
      <c r="G808" s="230" t="str">
        <f>Table3.110[[#This Row],[Genus]]</f>
        <v>Vigna</v>
      </c>
      <c r="H808" s="230" t="str">
        <f>Table3.110[[#This Row],[Species]]</f>
        <v>unguiculata</v>
      </c>
      <c r="I808" s="230" t="str">
        <f>Table3.110[[#This Row],[Tax Name]]</f>
        <v>Vigna unguiculata</v>
      </c>
      <c r="J808" s="230" t="str">
        <f>Table3.110[[#This Row],[Family]]</f>
        <v>Fabaceae</v>
      </c>
      <c r="K808" s="230" t="str">
        <f>Table3.110[[#This Row],[Order]]</f>
        <v>Fabales</v>
      </c>
      <c r="L808" s="230" t="str">
        <f>Table3.110[[#This Row],[Functional Group]]</f>
        <v>Herbaceous</v>
      </c>
      <c r="M808" s="230" t="str">
        <f>Table3.110[[#This Row],[CIAT ID]]</f>
        <v>F252609</v>
      </c>
      <c r="N808" s="230">
        <f>Table3.110[[#This Row],[Set CIAT]]</f>
        <v>29</v>
      </c>
      <c r="O808" s="230">
        <f>Table3.110[[#This Row],[Batch]]</f>
        <v>62</v>
      </c>
      <c r="P808" s="230">
        <f>Table3.110[[#This Row],[Run]]</f>
        <v>1</v>
      </c>
      <c r="Q808" s="230">
        <f>Table3.110[[#This Row],[Replication]]</f>
        <v>2</v>
      </c>
      <c r="R808" s="230">
        <f>Table3.110[[#This Row],[Syrange No]]</f>
        <v>109</v>
      </c>
      <c r="S808" s="250">
        <v>0.5927</v>
      </c>
      <c r="T808" s="250">
        <v>0.75460000000000005</v>
      </c>
      <c r="U808" s="265"/>
      <c r="V808" s="283">
        <f t="shared" si="75"/>
        <v>0.16190000000000004</v>
      </c>
      <c r="W808" s="61">
        <f>Table3.110[[#This Row],[DM Incubated, mg]]-('3.2 Digest'!V808*1000)</f>
        <v>291.1296440711854</v>
      </c>
      <c r="X808" s="61">
        <f>W808/Table3.110[[#This Row],[DM Incubated, mg]]*100</f>
        <v>64.262824272364753</v>
      </c>
      <c r="Y808" s="58">
        <f>Table3.110[[#This Row],[DM Incubated, mg]]*'2.4 NDF'!R207/100</f>
        <v>217.86970427864128</v>
      </c>
      <c r="Z808" s="37">
        <f t="shared" si="76"/>
        <v>55.969704278641245</v>
      </c>
      <c r="AA808" s="37">
        <f t="shared" si="77"/>
        <v>25.689530567801945</v>
      </c>
      <c r="AB808" s="234"/>
    </row>
    <row r="809" spans="2:28" s="63" customFormat="1" x14ac:dyDescent="0.35">
      <c r="B809" s="230">
        <f t="shared" si="72"/>
        <v>799</v>
      </c>
      <c r="C809" s="247"/>
      <c r="D809" s="248">
        <f>Table3.110[[#This Row],[Date]]</f>
        <v>46055</v>
      </c>
      <c r="E809" s="230" t="str">
        <f>Table3.110[[#This Row],[Requisitioner]]</f>
        <v>Genbank</v>
      </c>
      <c r="F809" s="230" t="str">
        <f>Table3.110[[#This Row],[Gene Bank ID]]</f>
        <v>CIAT22423</v>
      </c>
      <c r="G809" s="230" t="str">
        <f>Table3.110[[#This Row],[Genus]]</f>
        <v>Vigna</v>
      </c>
      <c r="H809" s="230" t="str">
        <f>Table3.110[[#This Row],[Species]]</f>
        <v>unguiculata</v>
      </c>
      <c r="I809" s="230" t="str">
        <f>Table3.110[[#This Row],[Tax Name]]</f>
        <v>Vigna unguiculata</v>
      </c>
      <c r="J809" s="230" t="str">
        <f>Table3.110[[#This Row],[Family]]</f>
        <v>Fabaceae</v>
      </c>
      <c r="K809" s="230" t="str">
        <f>Table3.110[[#This Row],[Order]]</f>
        <v>Fabales</v>
      </c>
      <c r="L809" s="230" t="str">
        <f>Table3.110[[#This Row],[Functional Group]]</f>
        <v>Herbaceous</v>
      </c>
      <c r="M809" s="230" t="str">
        <f>Table3.110[[#This Row],[CIAT ID]]</f>
        <v>F252609</v>
      </c>
      <c r="N809" s="230">
        <f>Table3.110[[#This Row],[Set CIAT]]</f>
        <v>29</v>
      </c>
      <c r="O809" s="230">
        <f>Table3.110[[#This Row],[Batch]]</f>
        <v>62</v>
      </c>
      <c r="P809" s="230">
        <f>Table3.110[[#This Row],[Run]]</f>
        <v>1</v>
      </c>
      <c r="Q809" s="230">
        <f>Table3.110[[#This Row],[Replication]]</f>
        <v>3</v>
      </c>
      <c r="R809" s="230">
        <f>Table3.110[[#This Row],[Syrange No]]</f>
        <v>110</v>
      </c>
      <c r="S809" s="98">
        <v>0.59189999999999998</v>
      </c>
      <c r="T809" s="98">
        <v>0.78810000000000002</v>
      </c>
      <c r="U809" s="110"/>
      <c r="V809" s="283">
        <f t="shared" si="75"/>
        <v>0.19620000000000004</v>
      </c>
      <c r="W809" s="61">
        <f>Table3.110[[#This Row],[DM Incubated, mg]]-('3.2 Digest'!V809*1000)</f>
        <v>257.10146185762812</v>
      </c>
      <c r="X809" s="61">
        <f>W809/Table3.110[[#This Row],[DM Incubated, mg]]*100</f>
        <v>56.717545274181781</v>
      </c>
      <c r="Y809" s="58">
        <f>Table3.110[[#This Row],[DM Incubated, mg]]*'2.4 NDF'!R207/100</f>
        <v>218.00042610120846</v>
      </c>
      <c r="Z809" s="37">
        <f t="shared" si="76"/>
        <v>21.800426101208416</v>
      </c>
      <c r="AA809" s="37">
        <f t="shared" si="77"/>
        <v>10.000175912999083</v>
      </c>
      <c r="AB809" s="234"/>
    </row>
    <row r="810" spans="2:28" s="63" customFormat="1" x14ac:dyDescent="0.35">
      <c r="B810" s="230">
        <f t="shared" si="72"/>
        <v>800</v>
      </c>
      <c r="C810" s="247"/>
      <c r="D810" s="248">
        <f>Table3.110[[#This Row],[Date]]</f>
        <v>46055</v>
      </c>
      <c r="E810" s="230" t="str">
        <f>Table3.110[[#This Row],[Requisitioner]]</f>
        <v>Genbank</v>
      </c>
      <c r="F810" s="230" t="str">
        <f>Table3.110[[#This Row],[Gene Bank ID]]</f>
        <v>CIAT22480</v>
      </c>
      <c r="G810" s="230" t="str">
        <f>Table3.110[[#This Row],[Genus]]</f>
        <v>Sesbania</v>
      </c>
      <c r="H810" s="230" t="str">
        <f>Table3.110[[#This Row],[Species]]</f>
        <v>cannabina</v>
      </c>
      <c r="I810" s="230" t="str">
        <f>Table3.110[[#This Row],[Tax Name]]</f>
        <v>Sesbania cannabina</v>
      </c>
      <c r="J810" s="230" t="str">
        <f>Table3.110[[#This Row],[Family]]</f>
        <v>Fabaceae</v>
      </c>
      <c r="K810" s="230" t="str">
        <f>Table3.110[[#This Row],[Order]]</f>
        <v>Fabales</v>
      </c>
      <c r="L810" s="230" t="str">
        <f>Table3.110[[#This Row],[Functional Group]]</f>
        <v>Shurb_Tree</v>
      </c>
      <c r="M810" s="230" t="str">
        <f>Table3.110[[#This Row],[CIAT ID]]</f>
        <v>F252610</v>
      </c>
      <c r="N810" s="230">
        <f>Table3.110[[#This Row],[Set CIAT]]</f>
        <v>29</v>
      </c>
      <c r="O810" s="230">
        <f>Table3.110[[#This Row],[Batch]]</f>
        <v>62</v>
      </c>
      <c r="P810" s="230">
        <f>Table3.110[[#This Row],[Run]]</f>
        <v>1</v>
      </c>
      <c r="Q810" s="230">
        <f>Table3.110[[#This Row],[Replication]]</f>
        <v>1</v>
      </c>
      <c r="R810" s="230">
        <f>Table3.110[[#This Row],[Syrange No]]</f>
        <v>111</v>
      </c>
      <c r="S810" s="250">
        <v>0.54339999999999999</v>
      </c>
      <c r="T810" s="250">
        <v>0.74419999999999997</v>
      </c>
      <c r="U810" s="265"/>
      <c r="V810" s="283">
        <f t="shared" si="75"/>
        <v>0.20079999999999998</v>
      </c>
      <c r="W810" s="61">
        <f>Table3.110[[#This Row],[DM Incubated, mg]]-('3.2 Digest'!V810*1000)</f>
        <v>261.59566355139464</v>
      </c>
      <c r="X810" s="61">
        <f>W810/Table3.110[[#This Row],[DM Incubated, mg]]*100</f>
        <v>56.573987208753017</v>
      </c>
      <c r="Y810" s="58">
        <f>Table3.110[[#This Row],[DM Incubated, mg]]*'2.4 NDF'!R209/100</f>
        <v>210.42325487848265</v>
      </c>
      <c r="Z810" s="37">
        <f t="shared" si="76"/>
        <v>9.623254878482669</v>
      </c>
      <c r="AA810" s="37">
        <f t="shared" si="77"/>
        <v>4.5732848700776936</v>
      </c>
      <c r="AB810" s="234"/>
    </row>
    <row r="811" spans="2:28" s="63" customFormat="1" x14ac:dyDescent="0.35">
      <c r="B811" s="230">
        <f t="shared" si="72"/>
        <v>801</v>
      </c>
      <c r="C811" s="247"/>
      <c r="D811" s="248">
        <f>Table3.110[[#This Row],[Date]]</f>
        <v>46055</v>
      </c>
      <c r="E811" s="230" t="str">
        <f>Table3.110[[#This Row],[Requisitioner]]</f>
        <v>Genbank</v>
      </c>
      <c r="F811" s="230" t="str">
        <f>Table3.110[[#This Row],[Gene Bank ID]]</f>
        <v>CIAT22480</v>
      </c>
      <c r="G811" s="230" t="str">
        <f>Table3.110[[#This Row],[Genus]]</f>
        <v>Sesbania</v>
      </c>
      <c r="H811" s="230" t="str">
        <f>Table3.110[[#This Row],[Species]]</f>
        <v>cannabina</v>
      </c>
      <c r="I811" s="230" t="str">
        <f>Table3.110[[#This Row],[Tax Name]]</f>
        <v>Sesbania cannabina</v>
      </c>
      <c r="J811" s="230" t="str">
        <f>Table3.110[[#This Row],[Family]]</f>
        <v>Fabaceae</v>
      </c>
      <c r="K811" s="230" t="str">
        <f>Table3.110[[#This Row],[Order]]</f>
        <v>Fabales</v>
      </c>
      <c r="L811" s="230" t="str">
        <f>Table3.110[[#This Row],[Functional Group]]</f>
        <v>Shurb_Tree</v>
      </c>
      <c r="M811" s="230" t="str">
        <f>Table3.110[[#This Row],[CIAT ID]]</f>
        <v>F252610</v>
      </c>
      <c r="N811" s="230">
        <f>Table3.110[[#This Row],[Set CIAT]]</f>
        <v>29</v>
      </c>
      <c r="O811" s="230">
        <f>Table3.110[[#This Row],[Batch]]</f>
        <v>62</v>
      </c>
      <c r="P811" s="230">
        <f>Table3.110[[#This Row],[Run]]</f>
        <v>1</v>
      </c>
      <c r="Q811" s="230">
        <f>Table3.110[[#This Row],[Replication]]</f>
        <v>2</v>
      </c>
      <c r="R811" s="230">
        <f>Table3.110[[#This Row],[Syrange No]]</f>
        <v>112</v>
      </c>
      <c r="S811" s="98">
        <v>0.56389999999999996</v>
      </c>
      <c r="T811" s="98">
        <v>0.79249999999999998</v>
      </c>
      <c r="U811" s="110"/>
      <c r="V811" s="283">
        <f t="shared" si="75"/>
        <v>0.22860000000000003</v>
      </c>
      <c r="W811" s="61">
        <f>Table3.110[[#This Row],[DM Incubated, mg]]-('3.2 Digest'!V811*1000)</f>
        <v>234.25805921494594</v>
      </c>
      <c r="X811" s="61">
        <f>W811/Table3.110[[#This Row],[DM Incubated, mg]]*100</f>
        <v>50.611208890317542</v>
      </c>
      <c r="Y811" s="58">
        <f>Table3.110[[#This Row],[DM Incubated, mg]]*'2.4 NDF'!R209/100</f>
        <v>210.63367813336109</v>
      </c>
      <c r="Z811" s="37">
        <f t="shared" si="76"/>
        <v>-17.966321866638935</v>
      </c>
      <c r="AA811" s="37">
        <f t="shared" si="77"/>
        <v>-8.5296530098400023</v>
      </c>
      <c r="AB811" s="234"/>
    </row>
    <row r="812" spans="2:28" s="63" customFormat="1" x14ac:dyDescent="0.35">
      <c r="B812" s="230">
        <f t="shared" si="72"/>
        <v>802</v>
      </c>
      <c r="C812" s="247"/>
      <c r="D812" s="248">
        <f>Table3.110[[#This Row],[Date]]</f>
        <v>46055</v>
      </c>
      <c r="E812" s="230" t="str">
        <f>Table3.110[[#This Row],[Requisitioner]]</f>
        <v>Genbank</v>
      </c>
      <c r="F812" s="230" t="str">
        <f>Table3.110[[#This Row],[Gene Bank ID]]</f>
        <v>CIAT22480</v>
      </c>
      <c r="G812" s="230" t="str">
        <f>Table3.110[[#This Row],[Genus]]</f>
        <v>Sesbania</v>
      </c>
      <c r="H812" s="230" t="str">
        <f>Table3.110[[#This Row],[Species]]</f>
        <v>cannabina</v>
      </c>
      <c r="I812" s="230" t="str">
        <f>Table3.110[[#This Row],[Tax Name]]</f>
        <v>Sesbania cannabina</v>
      </c>
      <c r="J812" s="230" t="str">
        <f>Table3.110[[#This Row],[Family]]</f>
        <v>Fabaceae</v>
      </c>
      <c r="K812" s="230" t="str">
        <f>Table3.110[[#This Row],[Order]]</f>
        <v>Fabales</v>
      </c>
      <c r="L812" s="230" t="str">
        <f>Table3.110[[#This Row],[Functional Group]]</f>
        <v>Shurb_Tree</v>
      </c>
      <c r="M812" s="230" t="str">
        <f>Table3.110[[#This Row],[CIAT ID]]</f>
        <v>F252610</v>
      </c>
      <c r="N812" s="230">
        <f>Table3.110[[#This Row],[Set CIAT]]</f>
        <v>29</v>
      </c>
      <c r="O812" s="230">
        <f>Table3.110[[#This Row],[Batch]]</f>
        <v>62</v>
      </c>
      <c r="P812" s="230">
        <f>Table3.110[[#This Row],[Run]]</f>
        <v>1</v>
      </c>
      <c r="Q812" s="230">
        <f>Table3.110[[#This Row],[Replication]]</f>
        <v>3</v>
      </c>
      <c r="R812" s="230">
        <f>Table3.110[[#This Row],[Syrange No]]</f>
        <v>113</v>
      </c>
      <c r="S812" s="250">
        <v>0.59499999999999997</v>
      </c>
      <c r="T812" s="250">
        <v>0.8417</v>
      </c>
      <c r="U812" s="265"/>
      <c r="V812" s="283">
        <f t="shared" si="75"/>
        <v>0.24670000000000003</v>
      </c>
      <c r="W812" s="61">
        <f>Table3.110[[#This Row],[DM Incubated, mg]]-('3.2 Digest'!V812*1000)</f>
        <v>216.25053834765637</v>
      </c>
      <c r="X812" s="61">
        <f>W812/Table3.110[[#This Row],[DM Incubated, mg]]*100</f>
        <v>46.711369884024478</v>
      </c>
      <c r="Y812" s="58">
        <f>Table3.110[[#This Row],[DM Incubated, mg]]*'2.4 NDF'!R209/100</f>
        <v>210.67576278433688</v>
      </c>
      <c r="Z812" s="37">
        <f t="shared" si="76"/>
        <v>-36.024237215663135</v>
      </c>
      <c r="AA812" s="37">
        <f t="shared" si="77"/>
        <v>-17.099374289457387</v>
      </c>
      <c r="AB812" s="234"/>
    </row>
    <row r="813" spans="2:28" s="63" customFormat="1" x14ac:dyDescent="0.35">
      <c r="B813" s="230">
        <f t="shared" si="72"/>
        <v>803</v>
      </c>
      <c r="C813" s="247"/>
      <c r="D813" s="248">
        <f>Table3.110[[#This Row],[Date]]</f>
        <v>46055</v>
      </c>
      <c r="E813" s="230" t="str">
        <f>Table3.110[[#This Row],[Requisitioner]]</f>
        <v>Genbank</v>
      </c>
      <c r="F813" s="230" t="str">
        <f>Table3.110[[#This Row],[Gene Bank ID]]</f>
        <v>CIAT23116</v>
      </c>
      <c r="G813" s="230" t="str">
        <f>Table3.110[[#This Row],[Genus]]</f>
        <v>Desmodium</v>
      </c>
      <c r="H813" s="230" t="str">
        <f>Table3.110[[#This Row],[Species]]</f>
        <v>tortuosum</v>
      </c>
      <c r="I813" s="230" t="str">
        <f>Table3.110[[#This Row],[Tax Name]]</f>
        <v>Desmodium tortuosum</v>
      </c>
      <c r="J813" s="230" t="str">
        <f>Table3.110[[#This Row],[Family]]</f>
        <v>Fabaceae</v>
      </c>
      <c r="K813" s="230" t="str">
        <f>Table3.110[[#This Row],[Order]]</f>
        <v>Fabales</v>
      </c>
      <c r="L813" s="230" t="str">
        <f>Table3.110[[#This Row],[Functional Group]]</f>
        <v>Shurb_Tree</v>
      </c>
      <c r="M813" s="230" t="str">
        <f>Table3.110[[#This Row],[CIAT ID]]</f>
        <v>F252611</v>
      </c>
      <c r="N813" s="230">
        <f>Table3.110[[#This Row],[Set CIAT]]</f>
        <v>29</v>
      </c>
      <c r="O813" s="230">
        <f>Table3.110[[#This Row],[Batch]]</f>
        <v>62</v>
      </c>
      <c r="P813" s="230">
        <f>Table3.110[[#This Row],[Run]]</f>
        <v>1</v>
      </c>
      <c r="Q813" s="230">
        <f>Table3.110[[#This Row],[Replication]]</f>
        <v>1</v>
      </c>
      <c r="R813" s="230">
        <f>Table3.110[[#This Row],[Syrange No]]</f>
        <v>114</v>
      </c>
      <c r="S813" s="98">
        <v>0.55959999999999999</v>
      </c>
      <c r="T813" s="98">
        <v>0.89529999999999998</v>
      </c>
      <c r="U813" s="110"/>
      <c r="V813" s="283">
        <f t="shared" si="75"/>
        <v>0.3357</v>
      </c>
      <c r="W813" s="61">
        <f>Table3.110[[#This Row],[DM Incubated, mg]]-('3.2 Digest'!V813*1000)</f>
        <v>127.59153796740685</v>
      </c>
      <c r="X813" s="61">
        <f>W813/Table3.110[[#This Row],[DM Incubated, mg]]*100</f>
        <v>27.540226296208132</v>
      </c>
      <c r="Y813" s="58">
        <f>Table3.110[[#This Row],[DM Incubated, mg]]*'2.4 NDF'!R211/100</f>
        <v>276.90825270222302</v>
      </c>
      <c r="Z813" s="37">
        <f t="shared" si="76"/>
        <v>-58.791747297776965</v>
      </c>
      <c r="AA813" s="37">
        <f t="shared" si="77"/>
        <v>-21.231489753033635</v>
      </c>
      <c r="AB813" s="234"/>
    </row>
    <row r="814" spans="2:28" s="63" customFormat="1" x14ac:dyDescent="0.35">
      <c r="B814" s="230">
        <f t="shared" si="72"/>
        <v>804</v>
      </c>
      <c r="C814" s="247"/>
      <c r="D814" s="248">
        <f>Table3.110[[#This Row],[Date]]</f>
        <v>46055</v>
      </c>
      <c r="E814" s="230" t="str">
        <f>Table3.110[[#This Row],[Requisitioner]]</f>
        <v>Genbank</v>
      </c>
      <c r="F814" s="230" t="str">
        <f>Table3.110[[#This Row],[Gene Bank ID]]</f>
        <v>CIAT23116</v>
      </c>
      <c r="G814" s="230" t="str">
        <f>Table3.110[[#This Row],[Genus]]</f>
        <v>Desmodium</v>
      </c>
      <c r="H814" s="230" t="str">
        <f>Table3.110[[#This Row],[Species]]</f>
        <v>tortuosum</v>
      </c>
      <c r="I814" s="230" t="str">
        <f>Table3.110[[#This Row],[Tax Name]]</f>
        <v>Desmodium tortuosum</v>
      </c>
      <c r="J814" s="230" t="str">
        <f>Table3.110[[#This Row],[Family]]</f>
        <v>Fabaceae</v>
      </c>
      <c r="K814" s="230" t="str">
        <f>Table3.110[[#This Row],[Order]]</f>
        <v>Fabales</v>
      </c>
      <c r="L814" s="230" t="str">
        <f>Table3.110[[#This Row],[Functional Group]]</f>
        <v>Shurb_Tree</v>
      </c>
      <c r="M814" s="230" t="str">
        <f>Table3.110[[#This Row],[CIAT ID]]</f>
        <v>F252611</v>
      </c>
      <c r="N814" s="230">
        <f>Table3.110[[#This Row],[Set CIAT]]</f>
        <v>29</v>
      </c>
      <c r="O814" s="230">
        <f>Table3.110[[#This Row],[Batch]]</f>
        <v>62</v>
      </c>
      <c r="P814" s="230">
        <f>Table3.110[[#This Row],[Run]]</f>
        <v>1</v>
      </c>
      <c r="Q814" s="230">
        <f>Table3.110[[#This Row],[Replication]]</f>
        <v>2</v>
      </c>
      <c r="R814" s="230">
        <f>Table3.110[[#This Row],[Syrange No]]</f>
        <v>115</v>
      </c>
      <c r="S814" s="250">
        <v>0.55410000000000004</v>
      </c>
      <c r="T814" s="250">
        <v>0.82299999999999995</v>
      </c>
      <c r="U814" s="265"/>
      <c r="V814" s="283">
        <f t="shared" si="75"/>
        <v>0.26889999999999992</v>
      </c>
      <c r="W814" s="61">
        <f>Table3.110[[#This Row],[DM Incubated, mg]]-('3.2 Digest'!V814*1000)</f>
        <v>194.48410370925865</v>
      </c>
      <c r="X814" s="61">
        <f>W814/Table3.110[[#This Row],[DM Incubated, mg]]*100</f>
        <v>41.970387450166818</v>
      </c>
      <c r="Y814" s="58">
        <f>Table3.110[[#This Row],[DM Incubated, mg]]*'2.4 NDF'!R211/100</f>
        <v>276.96357902643933</v>
      </c>
      <c r="Z814" s="37">
        <f t="shared" si="76"/>
        <v>8.0635790264394132</v>
      </c>
      <c r="AA814" s="37">
        <f t="shared" si="77"/>
        <v>2.9114221641646436</v>
      </c>
      <c r="AB814" s="234"/>
    </row>
    <row r="815" spans="2:28" s="63" customFormat="1" x14ac:dyDescent="0.35">
      <c r="B815" s="230">
        <f t="shared" si="72"/>
        <v>805</v>
      </c>
      <c r="C815" s="247"/>
      <c r="D815" s="248">
        <f>Table3.110[[#This Row],[Date]]</f>
        <v>46055</v>
      </c>
      <c r="E815" s="230" t="str">
        <f>Table3.110[[#This Row],[Requisitioner]]</f>
        <v>Genbank</v>
      </c>
      <c r="F815" s="230" t="str">
        <f>Table3.110[[#This Row],[Gene Bank ID]]</f>
        <v>CIAT23116</v>
      </c>
      <c r="G815" s="230" t="str">
        <f>Table3.110[[#This Row],[Genus]]</f>
        <v>Desmodium</v>
      </c>
      <c r="H815" s="230" t="str">
        <f>Table3.110[[#This Row],[Species]]</f>
        <v>tortuosum</v>
      </c>
      <c r="I815" s="230" t="str">
        <f>Table3.110[[#This Row],[Tax Name]]</f>
        <v>Desmodium tortuosum</v>
      </c>
      <c r="J815" s="230" t="str">
        <f>Table3.110[[#This Row],[Family]]</f>
        <v>Fabaceae</v>
      </c>
      <c r="K815" s="230" t="str">
        <f>Table3.110[[#This Row],[Order]]</f>
        <v>Fabales</v>
      </c>
      <c r="L815" s="230" t="str">
        <f>Table3.110[[#This Row],[Functional Group]]</f>
        <v>Shurb_Tree</v>
      </c>
      <c r="M815" s="230" t="str">
        <f>Table3.110[[#This Row],[CIAT ID]]</f>
        <v>F252611</v>
      </c>
      <c r="N815" s="230">
        <f>Table3.110[[#This Row],[Set CIAT]]</f>
        <v>29</v>
      </c>
      <c r="O815" s="230">
        <f>Table3.110[[#This Row],[Batch]]</f>
        <v>62</v>
      </c>
      <c r="P815" s="230">
        <f>Table3.110[[#This Row],[Run]]</f>
        <v>1</v>
      </c>
      <c r="Q815" s="230">
        <f>Table3.110[[#This Row],[Replication]]</f>
        <v>3</v>
      </c>
      <c r="R815" s="230">
        <f>Table3.110[[#This Row],[Syrange No]]</f>
        <v>116</v>
      </c>
      <c r="S815" s="98">
        <v>0.58360000000000001</v>
      </c>
      <c r="T815" s="98">
        <v>0.86680000000000001</v>
      </c>
      <c r="U815" s="110"/>
      <c r="V815" s="283">
        <f t="shared" si="75"/>
        <v>0.28320000000000001</v>
      </c>
      <c r="W815" s="61">
        <f>Table3.110[[#This Row],[DM Incubated, mg]]-('3.2 Digest'!V815*1000)</f>
        <v>179.81384074185206</v>
      </c>
      <c r="X815" s="61">
        <f>W815/Table3.110[[#This Row],[DM Incubated, mg]]*100</f>
        <v>38.835521731650601</v>
      </c>
      <c r="Y815" s="58">
        <f>Table3.110[[#This Row],[DM Incubated, mg]]*'2.4 NDF'!R211/100</f>
        <v>276.74227372957444</v>
      </c>
      <c r="Z815" s="37">
        <f t="shared" si="76"/>
        <v>-6.4577262704255531</v>
      </c>
      <c r="AA815" s="37">
        <f t="shared" si="77"/>
        <v>-2.3334802389951741</v>
      </c>
      <c r="AB815" s="234"/>
    </row>
    <row r="816" spans="2:28" s="63" customFormat="1" x14ac:dyDescent="0.35">
      <c r="B816" s="230">
        <f t="shared" si="72"/>
        <v>806</v>
      </c>
      <c r="C816" s="247"/>
      <c r="D816" s="248">
        <f>Table3.110[[#This Row],[Date]]</f>
        <v>46055</v>
      </c>
      <c r="E816" s="230" t="str">
        <f>Table3.110[[#This Row],[Requisitioner]]</f>
        <v>Genbank</v>
      </c>
      <c r="F816" s="230" t="str">
        <f>Table3.110[[#This Row],[Gene Bank ID]]</f>
        <v>CIAT23416</v>
      </c>
      <c r="G816" s="230" t="str">
        <f>Table3.110[[#This Row],[Genus]]</f>
        <v>Codariocalyx</v>
      </c>
      <c r="H816" s="230" t="str">
        <f>Table3.110[[#This Row],[Species]]</f>
        <v>motorius</v>
      </c>
      <c r="I816" s="230" t="str">
        <f>Table3.110[[#This Row],[Tax Name]]</f>
        <v>Codariocalyx motorius</v>
      </c>
      <c r="J816" s="230" t="str">
        <f>Table3.110[[#This Row],[Family]]</f>
        <v>Fabaceae</v>
      </c>
      <c r="K816" s="230" t="str">
        <f>Table3.110[[#This Row],[Order]]</f>
        <v>Fabales</v>
      </c>
      <c r="L816" s="230" t="str">
        <f>Table3.110[[#This Row],[Functional Group]]</f>
        <v>Shurb_Tree</v>
      </c>
      <c r="M816" s="230" t="str">
        <f>Table3.110[[#This Row],[CIAT ID]]</f>
        <v>F252612</v>
      </c>
      <c r="N816" s="230">
        <f>Table3.110[[#This Row],[Set CIAT]]</f>
        <v>29</v>
      </c>
      <c r="O816" s="230">
        <f>Table3.110[[#This Row],[Batch]]</f>
        <v>62</v>
      </c>
      <c r="P816" s="230">
        <f>Table3.110[[#This Row],[Run]]</f>
        <v>1</v>
      </c>
      <c r="Q816" s="230">
        <f>Table3.110[[#This Row],[Replication]]</f>
        <v>1</v>
      </c>
      <c r="R816" s="230">
        <f>Table3.110[[#This Row],[Syrange No]]</f>
        <v>117</v>
      </c>
      <c r="S816" s="250">
        <v>0.58760000000000001</v>
      </c>
      <c r="T816" s="250">
        <v>0.96499999999999997</v>
      </c>
      <c r="U816" s="265"/>
      <c r="V816" s="283">
        <f t="shared" si="75"/>
        <v>0.37739999999999996</v>
      </c>
      <c r="W816" s="61">
        <f>Table3.110[[#This Row],[DM Incubated, mg]]-('3.2 Digest'!V816*1000)</f>
        <v>86.9159898395136</v>
      </c>
      <c r="X816" s="61">
        <f>W816/Table3.110[[#This Row],[DM Incubated, mg]]*100</f>
        <v>18.719146387690692</v>
      </c>
      <c r="Y816" s="58">
        <f>Table3.110[[#This Row],[DM Incubated, mg]]*'2.4 NDF'!R213/100</f>
        <v>263.7412374527708</v>
      </c>
      <c r="Z816" s="37">
        <f t="shared" si="76"/>
        <v>-113.65876254722917</v>
      </c>
      <c r="AA816" s="37">
        <f t="shared" si="77"/>
        <v>-43.094801421633008</v>
      </c>
      <c r="AB816" s="234"/>
    </row>
    <row r="817" spans="2:28" s="63" customFormat="1" x14ac:dyDescent="0.35">
      <c r="B817" s="230">
        <f t="shared" si="72"/>
        <v>807</v>
      </c>
      <c r="C817" s="247"/>
      <c r="D817" s="248">
        <f>Table3.110[[#This Row],[Date]]</f>
        <v>46055</v>
      </c>
      <c r="E817" s="230" t="str">
        <f>Table3.110[[#This Row],[Requisitioner]]</f>
        <v>Genbank</v>
      </c>
      <c r="F817" s="230" t="str">
        <f>Table3.110[[#This Row],[Gene Bank ID]]</f>
        <v>CIAT23416</v>
      </c>
      <c r="G817" s="230" t="str">
        <f>Table3.110[[#This Row],[Genus]]</f>
        <v>Codariocalyx</v>
      </c>
      <c r="H817" s="230" t="str">
        <f>Table3.110[[#This Row],[Species]]</f>
        <v>motorius</v>
      </c>
      <c r="I817" s="230" t="str">
        <f>Table3.110[[#This Row],[Tax Name]]</f>
        <v>Codariocalyx motorius</v>
      </c>
      <c r="J817" s="230" t="str">
        <f>Table3.110[[#This Row],[Family]]</f>
        <v>Fabaceae</v>
      </c>
      <c r="K817" s="230" t="str">
        <f>Table3.110[[#This Row],[Order]]</f>
        <v>Fabales</v>
      </c>
      <c r="L817" s="230" t="str">
        <f>Table3.110[[#This Row],[Functional Group]]</f>
        <v>Shurb_Tree</v>
      </c>
      <c r="M817" s="230" t="str">
        <f>Table3.110[[#This Row],[CIAT ID]]</f>
        <v>F252612</v>
      </c>
      <c r="N817" s="230">
        <f>Table3.110[[#This Row],[Set CIAT]]</f>
        <v>29</v>
      </c>
      <c r="O817" s="230">
        <f>Table3.110[[#This Row],[Batch]]</f>
        <v>62</v>
      </c>
      <c r="P817" s="230">
        <f>Table3.110[[#This Row],[Run]]</f>
        <v>1</v>
      </c>
      <c r="Q817" s="230">
        <f>Table3.110[[#This Row],[Replication]]</f>
        <v>2</v>
      </c>
      <c r="R817" s="230">
        <f>Table3.110[[#This Row],[Syrange No]]</f>
        <v>118</v>
      </c>
      <c r="S817" s="98">
        <v>0.58320000000000005</v>
      </c>
      <c r="T817" s="98">
        <v>0.84919999999999995</v>
      </c>
      <c r="U817" s="110"/>
      <c r="V817" s="283">
        <f t="shared" si="75"/>
        <v>0.2659999999999999</v>
      </c>
      <c r="W817" s="61">
        <f>Table3.110[[#This Row],[DM Incubated, mg]]-('3.2 Digest'!V817*1000)</f>
        <v>198.40879735297347</v>
      </c>
      <c r="X817" s="61">
        <f>W817/Table3.110[[#This Row],[DM Incubated, mg]]*100</f>
        <v>42.722876587148953</v>
      </c>
      <c r="Y817" s="58">
        <f>Table3.110[[#This Row],[DM Incubated, mg]]*'2.4 NDF'!R213/100</f>
        <v>263.79395407029079</v>
      </c>
      <c r="Z817" s="37">
        <f t="shared" si="76"/>
        <v>-2.2060459297090915</v>
      </c>
      <c r="AA817" s="37">
        <f t="shared" si="77"/>
        <v>-0.8362761525312542</v>
      </c>
      <c r="AB817" s="234"/>
    </row>
    <row r="818" spans="2:28" s="63" customFormat="1" x14ac:dyDescent="0.35">
      <c r="B818" s="230">
        <f t="shared" si="72"/>
        <v>808</v>
      </c>
      <c r="C818" s="247"/>
      <c r="D818" s="248">
        <f>Table3.110[[#This Row],[Date]]</f>
        <v>46055</v>
      </c>
      <c r="E818" s="230" t="str">
        <f>Table3.110[[#This Row],[Requisitioner]]</f>
        <v>Genbank</v>
      </c>
      <c r="F818" s="230" t="str">
        <f>Table3.110[[#This Row],[Gene Bank ID]]</f>
        <v>CIAT23416</v>
      </c>
      <c r="G818" s="230" t="str">
        <f>Table3.110[[#This Row],[Genus]]</f>
        <v>Codariocalyx</v>
      </c>
      <c r="H818" s="230" t="str">
        <f>Table3.110[[#This Row],[Species]]</f>
        <v>motorius</v>
      </c>
      <c r="I818" s="230" t="str">
        <f>Table3.110[[#This Row],[Tax Name]]</f>
        <v>Codariocalyx motorius</v>
      </c>
      <c r="J818" s="230" t="str">
        <f>Table3.110[[#This Row],[Family]]</f>
        <v>Fabaceae</v>
      </c>
      <c r="K818" s="230" t="str">
        <f>Table3.110[[#This Row],[Order]]</f>
        <v>Fabales</v>
      </c>
      <c r="L818" s="230" t="str">
        <f>Table3.110[[#This Row],[Functional Group]]</f>
        <v>Shurb_Tree</v>
      </c>
      <c r="M818" s="230" t="str">
        <f>Table3.110[[#This Row],[CIAT ID]]</f>
        <v>F252612</v>
      </c>
      <c r="N818" s="230">
        <f>Table3.110[[#This Row],[Set CIAT]]</f>
        <v>29</v>
      </c>
      <c r="O818" s="230">
        <f>Table3.110[[#This Row],[Batch]]</f>
        <v>62</v>
      </c>
      <c r="P818" s="230">
        <f>Table3.110[[#This Row],[Run]]</f>
        <v>1</v>
      </c>
      <c r="Q818" s="230">
        <f>Table3.110[[#This Row],[Replication]]</f>
        <v>3</v>
      </c>
      <c r="R818" s="230">
        <f>Table3.110[[#This Row],[Syrange No]]</f>
        <v>119</v>
      </c>
      <c r="S818" s="250">
        <v>0.59319999999999995</v>
      </c>
      <c r="T818" s="250">
        <v>0.90659999999999996</v>
      </c>
      <c r="U818" s="265"/>
      <c r="V818" s="283">
        <f t="shared" si="75"/>
        <v>0.31340000000000001</v>
      </c>
      <c r="W818" s="61">
        <f>Table3.110[[#This Row],[DM Incubated, mg]]-('3.2 Digest'!V818*1000)</f>
        <v>150.91598983951354</v>
      </c>
      <c r="X818" s="61">
        <f>W818/Table3.110[[#This Row],[DM Incubated, mg]]*100</f>
        <v>32.50286295151632</v>
      </c>
      <c r="Y818" s="58">
        <f>Table3.110[[#This Row],[DM Incubated, mg]]*'2.4 NDF'!R213/100</f>
        <v>263.7412374527708</v>
      </c>
      <c r="Z818" s="37">
        <f t="shared" si="76"/>
        <v>-49.65876254722923</v>
      </c>
      <c r="AA818" s="37">
        <f t="shared" si="77"/>
        <v>-18.828592383518266</v>
      </c>
      <c r="AB818" s="234"/>
    </row>
    <row r="819" spans="2:28" s="63" customFormat="1" x14ac:dyDescent="0.35">
      <c r="B819" s="230">
        <f t="shared" si="72"/>
        <v>809</v>
      </c>
      <c r="C819" s="247"/>
      <c r="D819" s="248">
        <f>Table3.110[[#This Row],[Date]]</f>
        <v>46055</v>
      </c>
      <c r="E819" s="230" t="str">
        <f>Table3.110[[#This Row],[Requisitioner]]</f>
        <v>Genbank</v>
      </c>
      <c r="F819" s="230" t="str">
        <f>Table3.110[[#This Row],[Gene Bank ID]]</f>
        <v>CIAT23806</v>
      </c>
      <c r="G819" s="230" t="str">
        <f>Table3.110[[#This Row],[Genus]]</f>
        <v>Desmodium</v>
      </c>
      <c r="H819" s="230" t="str">
        <f>Table3.110[[#This Row],[Species]]</f>
        <v>angustifolium</v>
      </c>
      <c r="I819" s="230" t="str">
        <f>Table3.110[[#This Row],[Tax Name]]</f>
        <v>Desmodium angustifolium</v>
      </c>
      <c r="J819" s="230" t="str">
        <f>Table3.110[[#This Row],[Family]]</f>
        <v>Fabaceae</v>
      </c>
      <c r="K819" s="230" t="str">
        <f>Table3.110[[#This Row],[Order]]</f>
        <v>Fabales</v>
      </c>
      <c r="L819" s="230" t="str">
        <f>Table3.110[[#This Row],[Functional Group]]</f>
        <v>Herbaceous</v>
      </c>
      <c r="M819" s="230" t="str">
        <f>Table3.110[[#This Row],[CIAT ID]]</f>
        <v>F252613</v>
      </c>
      <c r="N819" s="230">
        <f>Table3.110[[#This Row],[Set CIAT]]</f>
        <v>29</v>
      </c>
      <c r="O819" s="230">
        <f>Table3.110[[#This Row],[Batch]]</f>
        <v>62</v>
      </c>
      <c r="P819" s="230">
        <f>Table3.110[[#This Row],[Run]]</f>
        <v>1</v>
      </c>
      <c r="Q819" s="230">
        <f>Table3.110[[#This Row],[Replication]]</f>
        <v>1</v>
      </c>
      <c r="R819" s="230">
        <f>Table3.110[[#This Row],[Syrange No]]</f>
        <v>120</v>
      </c>
      <c r="S819" s="98">
        <v>0.58709999999999996</v>
      </c>
      <c r="T819" s="98">
        <v>0.84940000000000004</v>
      </c>
      <c r="U819" s="110"/>
      <c r="V819" s="283">
        <f t="shared" si="75"/>
        <v>0.26230000000000009</v>
      </c>
      <c r="W819" s="61">
        <f>Table3.110[[#This Row],[DM Incubated, mg]]-('3.2 Digest'!V819*1000)</f>
        <v>202.08701810282861</v>
      </c>
      <c r="X819" s="61">
        <f>W819/Table3.110[[#This Row],[DM Incubated, mg]]*100</f>
        <v>43.51693958380222</v>
      </c>
      <c r="Y819" s="58">
        <f>Table3.110[[#This Row],[DM Incubated, mg]]*'2.4 NDF'!R215/100</f>
        <v>273.17564251824638</v>
      </c>
      <c r="Z819" s="37">
        <f t="shared" si="76"/>
        <v>10.875642518246309</v>
      </c>
      <c r="AA819" s="37">
        <f t="shared" si="77"/>
        <v>3.9811904231248896</v>
      </c>
      <c r="AB819" s="234"/>
    </row>
    <row r="820" spans="2:28" s="63" customFormat="1" x14ac:dyDescent="0.35">
      <c r="B820" s="230">
        <f t="shared" si="72"/>
        <v>810</v>
      </c>
      <c r="C820" s="247"/>
      <c r="D820" s="248">
        <f>Table3.110[[#This Row],[Date]]</f>
        <v>46055</v>
      </c>
      <c r="E820" s="230" t="str">
        <f>Table3.110[[#This Row],[Requisitioner]]</f>
        <v>Genbank</v>
      </c>
      <c r="F820" s="230" t="str">
        <f>Table3.110[[#This Row],[Gene Bank ID]]</f>
        <v>CIAT23806</v>
      </c>
      <c r="G820" s="230" t="str">
        <f>Table3.110[[#This Row],[Genus]]</f>
        <v>Desmodium</v>
      </c>
      <c r="H820" s="230" t="str">
        <f>Table3.110[[#This Row],[Species]]</f>
        <v>angustifolium</v>
      </c>
      <c r="I820" s="230" t="str">
        <f>Table3.110[[#This Row],[Tax Name]]</f>
        <v>Desmodium angustifolium</v>
      </c>
      <c r="J820" s="230" t="str">
        <f>Table3.110[[#This Row],[Family]]</f>
        <v>Fabaceae</v>
      </c>
      <c r="K820" s="230" t="str">
        <f>Table3.110[[#This Row],[Order]]</f>
        <v>Fabales</v>
      </c>
      <c r="L820" s="230" t="str">
        <f>Table3.110[[#This Row],[Functional Group]]</f>
        <v>Herbaceous</v>
      </c>
      <c r="M820" s="230" t="str">
        <f>Table3.110[[#This Row],[CIAT ID]]</f>
        <v>F252613</v>
      </c>
      <c r="N820" s="230">
        <f>Table3.110[[#This Row],[Set CIAT]]</f>
        <v>29</v>
      </c>
      <c r="O820" s="230">
        <f>Table3.110[[#This Row],[Batch]]</f>
        <v>62</v>
      </c>
      <c r="P820" s="230">
        <f>Table3.110[[#This Row],[Run]]</f>
        <v>1</v>
      </c>
      <c r="Q820" s="230">
        <f>Table3.110[[#This Row],[Replication]]</f>
        <v>2</v>
      </c>
      <c r="R820" s="230">
        <f>Table3.110[[#This Row],[Syrange No]]</f>
        <v>121</v>
      </c>
      <c r="S820" s="250">
        <v>0.58360000000000001</v>
      </c>
      <c r="T820" s="250">
        <v>0.84609999999999996</v>
      </c>
      <c r="U820" s="265"/>
      <c r="V820" s="283">
        <f t="shared" si="75"/>
        <v>0.26249999999999996</v>
      </c>
      <c r="W820" s="61">
        <f>Table3.110[[#This Row],[DM Incubated, mg]]-('3.2 Digest'!V820*1000)</f>
        <v>201.88701810282873</v>
      </c>
      <c r="X820" s="61">
        <f>W820/Table3.110[[#This Row],[DM Incubated, mg]]*100</f>
        <v>43.473872057751009</v>
      </c>
      <c r="Y820" s="58">
        <f>Table3.110[[#This Row],[DM Incubated, mg]]*'2.4 NDF'!R215/100</f>
        <v>273.17564251824638</v>
      </c>
      <c r="Z820" s="37">
        <f t="shared" si="76"/>
        <v>10.675642518246434</v>
      </c>
      <c r="AA820" s="37">
        <f t="shared" si="77"/>
        <v>3.9079774535657474</v>
      </c>
      <c r="AB820" s="234"/>
    </row>
    <row r="821" spans="2:28" s="63" customFormat="1" x14ac:dyDescent="0.35">
      <c r="B821" s="230">
        <f t="shared" si="72"/>
        <v>811</v>
      </c>
      <c r="C821" s="247"/>
      <c r="D821" s="248">
        <f>Table3.110[[#This Row],[Date]]</f>
        <v>46055</v>
      </c>
      <c r="E821" s="230" t="str">
        <f>Table3.110[[#This Row],[Requisitioner]]</f>
        <v>Genbank</v>
      </c>
      <c r="F821" s="230" t="str">
        <f>Table3.110[[#This Row],[Gene Bank ID]]</f>
        <v>CIAT23806</v>
      </c>
      <c r="G821" s="230" t="str">
        <f>Table3.110[[#This Row],[Genus]]</f>
        <v>Desmodium</v>
      </c>
      <c r="H821" s="230" t="str">
        <f>Table3.110[[#This Row],[Species]]</f>
        <v>angustifolium</v>
      </c>
      <c r="I821" s="230" t="str">
        <f>Table3.110[[#This Row],[Tax Name]]</f>
        <v>Desmodium angustifolium</v>
      </c>
      <c r="J821" s="230" t="str">
        <f>Table3.110[[#This Row],[Family]]</f>
        <v>Fabaceae</v>
      </c>
      <c r="K821" s="230" t="str">
        <f>Table3.110[[#This Row],[Order]]</f>
        <v>Fabales</v>
      </c>
      <c r="L821" s="230" t="str">
        <f>Table3.110[[#This Row],[Functional Group]]</f>
        <v>Herbaceous</v>
      </c>
      <c r="M821" s="230" t="str">
        <f>Table3.110[[#This Row],[CIAT ID]]</f>
        <v>F252613</v>
      </c>
      <c r="N821" s="230">
        <f>Table3.110[[#This Row],[Set CIAT]]</f>
        <v>29</v>
      </c>
      <c r="O821" s="230">
        <f>Table3.110[[#This Row],[Batch]]</f>
        <v>62</v>
      </c>
      <c r="P821" s="230">
        <f>Table3.110[[#This Row],[Run]]</f>
        <v>1</v>
      </c>
      <c r="Q821" s="230">
        <f>Table3.110[[#This Row],[Replication]]</f>
        <v>3</v>
      </c>
      <c r="R821" s="230">
        <f>Table3.110[[#This Row],[Syrange No]]</f>
        <v>122</v>
      </c>
      <c r="S821" s="98">
        <v>0.57199999999999995</v>
      </c>
      <c r="T821" s="98">
        <v>0.84150000000000003</v>
      </c>
      <c r="U821" s="110"/>
      <c r="V821" s="283">
        <f t="shared" si="75"/>
        <v>0.26950000000000007</v>
      </c>
      <c r="W821" s="61">
        <f>Table3.110[[#This Row],[DM Incubated, mg]]-('3.2 Digest'!V821*1000)</f>
        <v>194.70148593418975</v>
      </c>
      <c r="X821" s="61">
        <f>W821/Table3.110[[#This Row],[DM Incubated, mg]]*100</f>
        <v>41.943313805288582</v>
      </c>
      <c r="Y821" s="58">
        <f>Table3.110[[#This Row],[DM Incubated, mg]]*'2.4 NDF'!R215/100</f>
        <v>273.06650322838686</v>
      </c>
      <c r="Z821" s="37">
        <f t="shared" si="76"/>
        <v>3.5665032283868072</v>
      </c>
      <c r="AA821" s="37">
        <f t="shared" si="77"/>
        <v>1.3060932725988226</v>
      </c>
      <c r="AB821" s="234"/>
    </row>
    <row r="822" spans="2:28" s="63" customFormat="1" x14ac:dyDescent="0.35">
      <c r="B822" s="230">
        <f t="shared" si="72"/>
        <v>812</v>
      </c>
      <c r="C822" s="247"/>
      <c r="D822" s="248">
        <f>Table3.110[[#This Row],[Date]]</f>
        <v>46055</v>
      </c>
      <c r="E822" s="230" t="str">
        <f>Table3.110[[#This Row],[Requisitioner]]</f>
        <v>Genbank</v>
      </c>
      <c r="F822" s="230" t="str">
        <f>Table3.110[[#This Row],[Gene Bank ID]]</f>
        <v>CIAT24104</v>
      </c>
      <c r="G822" s="230" t="str">
        <f>Table3.110[[#This Row],[Genus]]</f>
        <v>Macroptilium</v>
      </c>
      <c r="H822" s="230" t="str">
        <f>Table3.110[[#This Row],[Species]]</f>
        <v>atropurpureum</v>
      </c>
      <c r="I822" s="230" t="str">
        <f>Table3.110[[#This Row],[Tax Name]]</f>
        <v>Macroptilium atropurpureum</v>
      </c>
      <c r="J822" s="230" t="str">
        <f>Table3.110[[#This Row],[Family]]</f>
        <v>Fabaceae</v>
      </c>
      <c r="K822" s="230" t="str">
        <f>Table3.110[[#This Row],[Order]]</f>
        <v>Fabales</v>
      </c>
      <c r="L822" s="230" t="str">
        <f>Table3.110[[#This Row],[Functional Group]]</f>
        <v>Herbaceous</v>
      </c>
      <c r="M822" s="230" t="str">
        <f>Table3.110[[#This Row],[CIAT ID]]</f>
        <v>F252614</v>
      </c>
      <c r="N822" s="230">
        <f>Table3.110[[#This Row],[Set CIAT]]</f>
        <v>29</v>
      </c>
      <c r="O822" s="230">
        <f>Table3.110[[#This Row],[Batch]]</f>
        <v>62</v>
      </c>
      <c r="P822" s="230">
        <f>Table3.110[[#This Row],[Run]]</f>
        <v>1</v>
      </c>
      <c r="Q822" s="230">
        <f>Table3.110[[#This Row],[Replication]]</f>
        <v>1</v>
      </c>
      <c r="R822" s="230">
        <f>Table3.110[[#This Row],[Syrange No]]</f>
        <v>123</v>
      </c>
      <c r="S822" s="250">
        <v>0.59050000000000002</v>
      </c>
      <c r="T822" s="250">
        <v>0.78220000000000001</v>
      </c>
      <c r="U822" s="265"/>
      <c r="V822" s="283">
        <f t="shared" si="75"/>
        <v>0.19169999999999998</v>
      </c>
      <c r="W822" s="61">
        <f>Table3.110[[#This Row],[DM Incubated, mg]]-('3.2 Digest'!V822*1000)</f>
        <v>269.88081709145439</v>
      </c>
      <c r="X822" s="61">
        <f>W822/Table3.110[[#This Row],[DM Incubated, mg]]*100</f>
        <v>58.468811332335349</v>
      </c>
      <c r="Y822" s="58">
        <f>Table3.110[[#This Row],[DM Incubated, mg]]*'2.4 NDF'!R217/100</f>
        <v>208.82870922592826</v>
      </c>
      <c r="Z822" s="37">
        <f t="shared" si="76"/>
        <v>17.128709225928276</v>
      </c>
      <c r="AA822" s="37">
        <f t="shared" si="77"/>
        <v>8.2022770190074841</v>
      </c>
      <c r="AB822" s="234"/>
    </row>
    <row r="823" spans="2:28" s="63" customFormat="1" x14ac:dyDescent="0.35">
      <c r="B823" s="230">
        <f t="shared" si="72"/>
        <v>813</v>
      </c>
      <c r="C823" s="247"/>
      <c r="D823" s="248">
        <f>Table3.110[[#This Row],[Date]]</f>
        <v>46055</v>
      </c>
      <c r="E823" s="230" t="str">
        <f>Table3.110[[#This Row],[Requisitioner]]</f>
        <v>Genbank</v>
      </c>
      <c r="F823" s="230" t="str">
        <f>Table3.110[[#This Row],[Gene Bank ID]]</f>
        <v>CIAT24104</v>
      </c>
      <c r="G823" s="230" t="str">
        <f>Table3.110[[#This Row],[Genus]]</f>
        <v>Macroptilium</v>
      </c>
      <c r="H823" s="230" t="str">
        <f>Table3.110[[#This Row],[Species]]</f>
        <v>atropurpureum</v>
      </c>
      <c r="I823" s="230" t="str">
        <f>Table3.110[[#This Row],[Tax Name]]</f>
        <v>Macroptilium atropurpureum</v>
      </c>
      <c r="J823" s="230" t="str">
        <f>Table3.110[[#This Row],[Family]]</f>
        <v>Fabaceae</v>
      </c>
      <c r="K823" s="230" t="str">
        <f>Table3.110[[#This Row],[Order]]</f>
        <v>Fabales</v>
      </c>
      <c r="L823" s="230" t="str">
        <f>Table3.110[[#This Row],[Functional Group]]</f>
        <v>Herbaceous</v>
      </c>
      <c r="M823" s="230" t="str">
        <f>Table3.110[[#This Row],[CIAT ID]]</f>
        <v>F252614</v>
      </c>
      <c r="N823" s="230">
        <f>Table3.110[[#This Row],[Set CIAT]]</f>
        <v>29</v>
      </c>
      <c r="O823" s="230">
        <f>Table3.110[[#This Row],[Batch]]</f>
        <v>62</v>
      </c>
      <c r="P823" s="230">
        <f>Table3.110[[#This Row],[Run]]</f>
        <v>1</v>
      </c>
      <c r="Q823" s="230">
        <f>Table3.110[[#This Row],[Replication]]</f>
        <v>2</v>
      </c>
      <c r="R823" s="230">
        <f>Table3.110[[#This Row],[Syrange No]]</f>
        <v>124</v>
      </c>
      <c r="S823" s="98">
        <v>0.57389999999999997</v>
      </c>
      <c r="T823" s="98">
        <v>0.81699999999999995</v>
      </c>
      <c r="U823" s="110"/>
      <c r="V823" s="283">
        <f t="shared" si="75"/>
        <v>0.24309999999999998</v>
      </c>
      <c r="W823" s="61">
        <f>Table3.110[[#This Row],[DM Incubated, mg]]-('3.2 Digest'!V823*1000)</f>
        <v>218.38851938757685</v>
      </c>
      <c r="X823" s="61">
        <f>W823/Table3.110[[#This Row],[DM Incubated, mg]]*100</f>
        <v>47.322633221166932</v>
      </c>
      <c r="Y823" s="58">
        <f>Table3.110[[#This Row],[DM Incubated, mg]]*'2.4 NDF'!R217/100</f>
        <v>208.78695183556113</v>
      </c>
      <c r="Z823" s="37">
        <f t="shared" si="76"/>
        <v>-34.313048164438868</v>
      </c>
      <c r="AA823" s="37">
        <f t="shared" si="77"/>
        <v>-16.434479196508189</v>
      </c>
      <c r="AB823" s="234"/>
    </row>
    <row r="824" spans="2:28" s="63" customFormat="1" x14ac:dyDescent="0.35">
      <c r="B824" s="230">
        <f t="shared" si="72"/>
        <v>814</v>
      </c>
      <c r="C824" s="247"/>
      <c r="D824" s="248">
        <f>Table3.110[[#This Row],[Date]]</f>
        <v>46055</v>
      </c>
      <c r="E824" s="230" t="str">
        <f>Table3.110[[#This Row],[Requisitioner]]</f>
        <v>Genbank</v>
      </c>
      <c r="F824" s="230" t="str">
        <f>Table3.110[[#This Row],[Gene Bank ID]]</f>
        <v>CIAT24104</v>
      </c>
      <c r="G824" s="230" t="str">
        <f>Table3.110[[#This Row],[Genus]]</f>
        <v>Macroptilium</v>
      </c>
      <c r="H824" s="230" t="str">
        <f>Table3.110[[#This Row],[Species]]</f>
        <v>atropurpureum</v>
      </c>
      <c r="I824" s="230" t="str">
        <f>Table3.110[[#This Row],[Tax Name]]</f>
        <v>Macroptilium atropurpureum</v>
      </c>
      <c r="J824" s="230" t="str">
        <f>Table3.110[[#This Row],[Family]]</f>
        <v>Fabaceae</v>
      </c>
      <c r="K824" s="230" t="str">
        <f>Table3.110[[#This Row],[Order]]</f>
        <v>Fabales</v>
      </c>
      <c r="L824" s="230" t="str">
        <f>Table3.110[[#This Row],[Functional Group]]</f>
        <v>Herbaceous</v>
      </c>
      <c r="M824" s="230" t="str">
        <f>Table3.110[[#This Row],[CIAT ID]]</f>
        <v>F252614</v>
      </c>
      <c r="N824" s="230">
        <f>Table3.110[[#This Row],[Set CIAT]]</f>
        <v>29</v>
      </c>
      <c r="O824" s="230">
        <f>Table3.110[[#This Row],[Batch]]</f>
        <v>62</v>
      </c>
      <c r="P824" s="230">
        <f>Table3.110[[#This Row],[Run]]</f>
        <v>1</v>
      </c>
      <c r="Q824" s="230">
        <f>Table3.110[[#This Row],[Replication]]</f>
        <v>3</v>
      </c>
      <c r="R824" s="230">
        <f>Table3.110[[#This Row],[Syrange No]]</f>
        <v>125</v>
      </c>
      <c r="S824" s="250">
        <v>0.57289999999999996</v>
      </c>
      <c r="T824" s="250">
        <v>0.74409999999999998</v>
      </c>
      <c r="U824" s="265" t="s">
        <v>584</v>
      </c>
      <c r="V824" s="283">
        <f t="shared" si="75"/>
        <v>0.17120000000000002</v>
      </c>
      <c r="W824" s="61">
        <f>Table3.110[[#This Row],[DM Incubated, mg]]-('3.2 Digest'!V824*1000)</f>
        <v>290.65771020308694</v>
      </c>
      <c r="X824" s="61">
        <f>W824/Table3.110[[#This Row],[DM Incubated, mg]]*100</f>
        <v>62.932306591846142</v>
      </c>
      <c r="Y824" s="58">
        <f>Table3.110[[#This Row],[DM Incubated, mg]]*'2.4 NDF'!R217/100</f>
        <v>208.95398139702959</v>
      </c>
      <c r="Z824" s="37">
        <f t="shared" si="76"/>
        <v>37.753981397029577</v>
      </c>
      <c r="AA824" s="37">
        <f t="shared" si="77"/>
        <v>18.068084247360634</v>
      </c>
      <c r="AB824" s="234"/>
    </row>
    <row r="825" spans="2:28" s="63" customFormat="1" x14ac:dyDescent="0.35">
      <c r="B825" s="230">
        <f t="shared" si="72"/>
        <v>815</v>
      </c>
      <c r="C825" s="247"/>
      <c r="D825" s="248">
        <f>Table3.110[[#This Row],[Date]]</f>
        <v>46055</v>
      </c>
      <c r="E825" s="230" t="str">
        <f>Table3.110[[#This Row],[Requisitioner]]</f>
        <v>Genbank</v>
      </c>
      <c r="F825" s="230" t="str">
        <f>Table3.110[[#This Row],[Gene Bank ID]]</f>
        <v>CIAT24565</v>
      </c>
      <c r="G825" s="230" t="str">
        <f>Table3.110[[#This Row],[Genus]]</f>
        <v>Vigna</v>
      </c>
      <c r="H825" s="230" t="str">
        <f>Table3.110[[#This Row],[Species]]</f>
        <v>unguiculata</v>
      </c>
      <c r="I825" s="230" t="str">
        <f>Table3.110[[#This Row],[Tax Name]]</f>
        <v>Vigna unguiculata</v>
      </c>
      <c r="J825" s="230" t="str">
        <f>Table3.110[[#This Row],[Family]]</f>
        <v>Fabaceae</v>
      </c>
      <c r="K825" s="230" t="str">
        <f>Table3.110[[#This Row],[Order]]</f>
        <v>Fabales</v>
      </c>
      <c r="L825" s="230" t="str">
        <f>Table3.110[[#This Row],[Functional Group]]</f>
        <v>Herbaceous</v>
      </c>
      <c r="M825" s="230" t="str">
        <f>Table3.110[[#This Row],[CIAT ID]]</f>
        <v>F252615</v>
      </c>
      <c r="N825" s="230">
        <f>Table3.110[[#This Row],[Set CIAT]]</f>
        <v>29</v>
      </c>
      <c r="O825" s="230">
        <f>Table3.110[[#This Row],[Batch]]</f>
        <v>62</v>
      </c>
      <c r="P825" s="230">
        <f>Table3.110[[#This Row],[Run]]</f>
        <v>1</v>
      </c>
      <c r="Q825" s="230">
        <f>Table3.110[[#This Row],[Replication]]</f>
        <v>1</v>
      </c>
      <c r="R825" s="230">
        <f>Table3.110[[#This Row],[Syrange No]]</f>
        <v>126</v>
      </c>
      <c r="S825" s="98">
        <v>0.58809999999999996</v>
      </c>
      <c r="T825" s="98">
        <v>0.83</v>
      </c>
      <c r="U825" s="110"/>
      <c r="V825" s="283">
        <f t="shared" si="75"/>
        <v>0.2419</v>
      </c>
      <c r="W825" s="61">
        <f>Table3.110[[#This Row],[DM Incubated, mg]]-('3.2 Digest'!V825*1000)</f>
        <v>208.55244128935502</v>
      </c>
      <c r="X825" s="61">
        <f>W825/Table3.110[[#This Row],[DM Incubated, mg]]*100</f>
        <v>46.298437342775586</v>
      </c>
      <c r="Y825" s="58">
        <f>Table3.110[[#This Row],[DM Incubated, mg]]*'2.4 NDF'!R219/100</f>
        <v>223.46868713600998</v>
      </c>
      <c r="Z825" s="37">
        <f t="shared" si="76"/>
        <v>-18.43131286399003</v>
      </c>
      <c r="AA825" s="37">
        <f t="shared" si="77"/>
        <v>-8.2478279620321757</v>
      </c>
      <c r="AB825" s="234"/>
    </row>
    <row r="826" spans="2:28" s="63" customFormat="1" x14ac:dyDescent="0.35">
      <c r="B826" s="230">
        <f t="shared" si="72"/>
        <v>816</v>
      </c>
      <c r="C826" s="247"/>
      <c r="D826" s="248">
        <f>Table3.110[[#This Row],[Date]]</f>
        <v>46055</v>
      </c>
      <c r="E826" s="230" t="str">
        <f>Table3.110[[#This Row],[Requisitioner]]</f>
        <v>Genbank</v>
      </c>
      <c r="F826" s="230" t="str">
        <f>Table3.110[[#This Row],[Gene Bank ID]]</f>
        <v>CIAT24565</v>
      </c>
      <c r="G826" s="230" t="str">
        <f>Table3.110[[#This Row],[Genus]]</f>
        <v>Vigna</v>
      </c>
      <c r="H826" s="230" t="str">
        <f>Table3.110[[#This Row],[Species]]</f>
        <v>unguiculata</v>
      </c>
      <c r="I826" s="230" t="str">
        <f>Table3.110[[#This Row],[Tax Name]]</f>
        <v>Vigna unguiculata</v>
      </c>
      <c r="J826" s="230" t="str">
        <f>Table3.110[[#This Row],[Family]]</f>
        <v>Fabaceae</v>
      </c>
      <c r="K826" s="230" t="str">
        <f>Table3.110[[#This Row],[Order]]</f>
        <v>Fabales</v>
      </c>
      <c r="L826" s="230" t="str">
        <f>Table3.110[[#This Row],[Functional Group]]</f>
        <v>Herbaceous</v>
      </c>
      <c r="M826" s="230" t="str">
        <f>Table3.110[[#This Row],[CIAT ID]]</f>
        <v>F252615</v>
      </c>
      <c r="N826" s="230">
        <f>Table3.110[[#This Row],[Set CIAT]]</f>
        <v>29</v>
      </c>
      <c r="O826" s="230">
        <f>Table3.110[[#This Row],[Batch]]</f>
        <v>62</v>
      </c>
      <c r="P826" s="230">
        <f>Table3.110[[#This Row],[Run]]</f>
        <v>1</v>
      </c>
      <c r="Q826" s="230">
        <f>Table3.110[[#This Row],[Replication]]</f>
        <v>2</v>
      </c>
      <c r="R826" s="230">
        <f>Table3.110[[#This Row],[Syrange No]]</f>
        <v>127</v>
      </c>
      <c r="S826" s="250">
        <v>0.57769999999999999</v>
      </c>
      <c r="T826" s="250">
        <v>0.84540000000000004</v>
      </c>
      <c r="U826" s="265"/>
      <c r="V826" s="283">
        <f t="shared" si="75"/>
        <v>0.26770000000000005</v>
      </c>
      <c r="W826" s="61">
        <f>Table3.110[[#This Row],[DM Incubated, mg]]-('3.2 Digest'!V826*1000)</f>
        <v>183.02265871064429</v>
      </c>
      <c r="X826" s="61">
        <f>W826/Table3.110[[#This Row],[DM Incubated, mg]]*100</f>
        <v>40.606491635944465</v>
      </c>
      <c r="Y826" s="58">
        <f>Table3.110[[#This Row],[DM Incubated, mg]]*'2.4 NDF'!R219/100</f>
        <v>223.6027415374113</v>
      </c>
      <c r="Z826" s="37">
        <f t="shared" si="76"/>
        <v>-44.097258462588741</v>
      </c>
      <c r="AA826" s="37">
        <f t="shared" si="77"/>
        <v>-19.721251250942629</v>
      </c>
      <c r="AB826" s="234"/>
    </row>
    <row r="827" spans="2:28" s="63" customFormat="1" x14ac:dyDescent="0.35">
      <c r="B827" s="230">
        <f t="shared" si="72"/>
        <v>817</v>
      </c>
      <c r="C827" s="247"/>
      <c r="D827" s="248">
        <f>Table3.110[[#This Row],[Date]]</f>
        <v>46055</v>
      </c>
      <c r="E827" s="230" t="str">
        <f>Table3.110[[#This Row],[Requisitioner]]</f>
        <v>Genbank</v>
      </c>
      <c r="F827" s="230" t="str">
        <f>Table3.110[[#This Row],[Gene Bank ID]]</f>
        <v>CIAT24565</v>
      </c>
      <c r="G827" s="230" t="str">
        <f>Table3.110[[#This Row],[Genus]]</f>
        <v>Vigna</v>
      </c>
      <c r="H827" s="230" t="str">
        <f>Table3.110[[#This Row],[Species]]</f>
        <v>unguiculata</v>
      </c>
      <c r="I827" s="230" t="str">
        <f>Table3.110[[#This Row],[Tax Name]]</f>
        <v>Vigna unguiculata</v>
      </c>
      <c r="J827" s="230" t="str">
        <f>Table3.110[[#This Row],[Family]]</f>
        <v>Fabaceae</v>
      </c>
      <c r="K827" s="230" t="str">
        <f>Table3.110[[#This Row],[Order]]</f>
        <v>Fabales</v>
      </c>
      <c r="L827" s="230" t="str">
        <f>Table3.110[[#This Row],[Functional Group]]</f>
        <v>Herbaceous</v>
      </c>
      <c r="M827" s="230" t="str">
        <f>Table3.110[[#This Row],[CIAT ID]]</f>
        <v>F252615</v>
      </c>
      <c r="N827" s="230">
        <f>Table3.110[[#This Row],[Set CIAT]]</f>
        <v>29</v>
      </c>
      <c r="O827" s="230">
        <f>Table3.110[[#This Row],[Batch]]</f>
        <v>62</v>
      </c>
      <c r="P827" s="230">
        <f>Table3.110[[#This Row],[Run]]</f>
        <v>1</v>
      </c>
      <c r="Q827" s="230">
        <f>Table3.110[[#This Row],[Replication]]</f>
        <v>3</v>
      </c>
      <c r="R827" s="230">
        <f>Table3.110[[#This Row],[Syrange No]]</f>
        <v>128</v>
      </c>
      <c r="S827" s="98">
        <v>0.61129999999999995</v>
      </c>
      <c r="T827" s="98">
        <v>0.91549999999999998</v>
      </c>
      <c r="U827" s="110"/>
      <c r="V827" s="283">
        <f t="shared" si="75"/>
        <v>0.30420000000000003</v>
      </c>
      <c r="W827" s="61">
        <f>Table3.110[[#This Row],[DM Incubated, mg]]-('3.2 Digest'!V827*1000)</f>
        <v>146.25244128935498</v>
      </c>
      <c r="X827" s="61">
        <f>W827/Table3.110[[#This Row],[DM Incubated, mg]]*100</f>
        <v>32.467898469087771</v>
      </c>
      <c r="Y827" s="58">
        <f>Table3.110[[#This Row],[DM Incubated, mg]]*'2.4 NDF'!R219/100</f>
        <v>223.46868713600998</v>
      </c>
      <c r="Z827" s="37">
        <f t="shared" si="76"/>
        <v>-80.73131286399007</v>
      </c>
      <c r="AA827" s="37">
        <f t="shared" si="77"/>
        <v>-36.126454179620474</v>
      </c>
      <c r="AB827" s="234"/>
    </row>
    <row r="828" spans="2:28" s="63" customFormat="1" x14ac:dyDescent="0.35">
      <c r="B828" s="230">
        <f t="shared" si="72"/>
        <v>818</v>
      </c>
      <c r="C828" s="247"/>
      <c r="D828" s="248">
        <f>Table3.110[[#This Row],[Date]]</f>
        <v>46055</v>
      </c>
      <c r="E828" s="230" t="str">
        <f>Table3.110[[#This Row],[Requisitioner]]</f>
        <v>Genbank</v>
      </c>
      <c r="F828" s="230" t="str">
        <f>Table3.110[[#This Row],[Gene Bank ID]]</f>
        <v>CIAT33561</v>
      </c>
      <c r="G828" s="230" t="str">
        <f>Table3.110[[#This Row],[Genus]]</f>
        <v>Desmodium</v>
      </c>
      <c r="H828" s="230" t="str">
        <f>Table3.110[[#This Row],[Species]]</f>
        <v>wigginsii</v>
      </c>
      <c r="I828" s="230" t="str">
        <f>Table3.110[[#This Row],[Tax Name]]</f>
        <v>Desmodium wigginsii</v>
      </c>
      <c r="J828" s="230" t="str">
        <f>Table3.110[[#This Row],[Family]]</f>
        <v>Fabaceae</v>
      </c>
      <c r="K828" s="230" t="str">
        <f>Table3.110[[#This Row],[Order]]</f>
        <v>Fabales</v>
      </c>
      <c r="L828" s="230" t="str">
        <f>Table3.110[[#This Row],[Functional Group]]</f>
        <v>Herbaceous</v>
      </c>
      <c r="M828" s="230" t="str">
        <f>Table3.110[[#This Row],[CIAT ID]]</f>
        <v>F252616</v>
      </c>
      <c r="N828" s="230">
        <f>Table3.110[[#This Row],[Set CIAT]]</f>
        <v>29</v>
      </c>
      <c r="O828" s="230">
        <f>Table3.110[[#This Row],[Batch]]</f>
        <v>62</v>
      </c>
      <c r="P828" s="230">
        <f>Table3.110[[#This Row],[Run]]</f>
        <v>1</v>
      </c>
      <c r="Q828" s="230">
        <f>Table3.110[[#This Row],[Replication]]</f>
        <v>1</v>
      </c>
      <c r="R828" s="230">
        <f>Table3.110[[#This Row],[Syrange No]]</f>
        <v>129</v>
      </c>
      <c r="S828" s="250">
        <v>0.59499999999999997</v>
      </c>
      <c r="T828" s="250">
        <v>0.85140000000000005</v>
      </c>
      <c r="U828" s="265"/>
      <c r="V828" s="283">
        <f t="shared" si="75"/>
        <v>0.25640000000000007</v>
      </c>
      <c r="W828" s="61">
        <f>Table3.110[[#This Row],[DM Incubated, mg]]-('3.2 Digest'!V828*1000)</f>
        <v>203.16281371862817</v>
      </c>
      <c r="X828" s="61">
        <f>W828/Table3.110[[#This Row],[DM Incubated, mg]]*100</f>
        <v>44.207844423856393</v>
      </c>
      <c r="Y828" s="58">
        <f>Table3.110[[#This Row],[DM Incubated, mg]]*'2.4 NDF'!R221/100</f>
        <v>251.31152224226997</v>
      </c>
      <c r="Z828" s="37">
        <f t="shared" si="76"/>
        <v>-5.0884777577301179</v>
      </c>
      <c r="AA828" s="37">
        <f t="shared" si="77"/>
        <v>-2.0247689848556605</v>
      </c>
      <c r="AB828" s="234"/>
    </row>
    <row r="829" spans="2:28" s="63" customFormat="1" x14ac:dyDescent="0.35">
      <c r="B829" s="230">
        <f t="shared" si="72"/>
        <v>819</v>
      </c>
      <c r="C829" s="247"/>
      <c r="D829" s="248">
        <f>Table3.110[[#This Row],[Date]]</f>
        <v>46055</v>
      </c>
      <c r="E829" s="230" t="str">
        <f>Table3.110[[#This Row],[Requisitioner]]</f>
        <v>Genbank</v>
      </c>
      <c r="F829" s="230" t="str">
        <f>Table3.110[[#This Row],[Gene Bank ID]]</f>
        <v>CIAT33561</v>
      </c>
      <c r="G829" s="230" t="str">
        <f>Table3.110[[#This Row],[Genus]]</f>
        <v>Desmodium</v>
      </c>
      <c r="H829" s="230" t="str">
        <f>Table3.110[[#This Row],[Species]]</f>
        <v>wigginsii</v>
      </c>
      <c r="I829" s="230" t="str">
        <f>Table3.110[[#This Row],[Tax Name]]</f>
        <v>Desmodium wigginsii</v>
      </c>
      <c r="J829" s="230" t="str">
        <f>Table3.110[[#This Row],[Family]]</f>
        <v>Fabaceae</v>
      </c>
      <c r="K829" s="230" t="str">
        <f>Table3.110[[#This Row],[Order]]</f>
        <v>Fabales</v>
      </c>
      <c r="L829" s="230" t="str">
        <f>Table3.110[[#This Row],[Functional Group]]</f>
        <v>Herbaceous</v>
      </c>
      <c r="M829" s="230" t="str">
        <f>Table3.110[[#This Row],[CIAT ID]]</f>
        <v>F252616</v>
      </c>
      <c r="N829" s="230">
        <f>Table3.110[[#This Row],[Set CIAT]]</f>
        <v>29</v>
      </c>
      <c r="O829" s="230">
        <f>Table3.110[[#This Row],[Batch]]</f>
        <v>62</v>
      </c>
      <c r="P829" s="230">
        <f>Table3.110[[#This Row],[Run]]</f>
        <v>1</v>
      </c>
      <c r="Q829" s="230">
        <f>Table3.110[[#This Row],[Replication]]</f>
        <v>2</v>
      </c>
      <c r="R829" s="230">
        <f>Table3.110[[#This Row],[Syrange No]]</f>
        <v>130</v>
      </c>
      <c r="S829" s="98">
        <v>0.59650000000000003</v>
      </c>
      <c r="T829" s="98">
        <v>0.87209999999999999</v>
      </c>
      <c r="U829" s="110"/>
      <c r="V829" s="283">
        <f t="shared" si="75"/>
        <v>0.27559999999999996</v>
      </c>
      <c r="W829" s="61">
        <f>Table3.110[[#This Row],[DM Incubated, mg]]-('3.2 Digest'!V829*1000)</f>
        <v>183.77906209379086</v>
      </c>
      <c r="X829" s="61">
        <f>W829/Table3.110[[#This Row],[DM Incubated, mg]]*100</f>
        <v>40.005972683245396</v>
      </c>
      <c r="Y829" s="58">
        <f>Table3.110[[#This Row],[DM Incubated, mg]]*'2.4 NDF'!R221/100</f>
        <v>251.21103782713917</v>
      </c>
      <c r="Z829" s="37">
        <f t="shared" si="76"/>
        <v>-24.388962172860801</v>
      </c>
      <c r="AA829" s="37">
        <f t="shared" si="77"/>
        <v>-9.7085551589668171</v>
      </c>
      <c r="AB829" s="234"/>
    </row>
    <row r="830" spans="2:28" s="63" customFormat="1" x14ac:dyDescent="0.35">
      <c r="B830" s="230">
        <f t="shared" si="72"/>
        <v>820</v>
      </c>
      <c r="C830" s="247"/>
      <c r="D830" s="248">
        <f>Table3.110[[#This Row],[Date]]</f>
        <v>46055</v>
      </c>
      <c r="E830" s="230" t="str">
        <f>Table3.110[[#This Row],[Requisitioner]]</f>
        <v>Genbank</v>
      </c>
      <c r="F830" s="230" t="str">
        <f>Table3.110[[#This Row],[Gene Bank ID]]</f>
        <v>CIAT33561</v>
      </c>
      <c r="G830" s="230" t="str">
        <f>Table3.110[[#This Row],[Genus]]</f>
        <v>Desmodium</v>
      </c>
      <c r="H830" s="230" t="str">
        <f>Table3.110[[#This Row],[Species]]</f>
        <v>wigginsii</v>
      </c>
      <c r="I830" s="230" t="str">
        <f>Table3.110[[#This Row],[Tax Name]]</f>
        <v>Desmodium wigginsii</v>
      </c>
      <c r="J830" s="230" t="str">
        <f>Table3.110[[#This Row],[Family]]</f>
        <v>Fabaceae</v>
      </c>
      <c r="K830" s="230" t="str">
        <f>Table3.110[[#This Row],[Order]]</f>
        <v>Fabales</v>
      </c>
      <c r="L830" s="230" t="str">
        <f>Table3.110[[#This Row],[Functional Group]]</f>
        <v>Herbaceous</v>
      </c>
      <c r="M830" s="230" t="str">
        <f>Table3.110[[#This Row],[CIAT ID]]</f>
        <v>F252616</v>
      </c>
      <c r="N830" s="230">
        <f>Table3.110[[#This Row],[Set CIAT]]</f>
        <v>29</v>
      </c>
      <c r="O830" s="230">
        <f>Table3.110[[#This Row],[Batch]]</f>
        <v>62</v>
      </c>
      <c r="P830" s="230">
        <f>Table3.110[[#This Row],[Run]]</f>
        <v>1</v>
      </c>
      <c r="Q830" s="230">
        <f>Table3.110[[#This Row],[Replication]]</f>
        <v>3</v>
      </c>
      <c r="R830" s="230">
        <f>Table3.110[[#This Row],[Syrange No]]</f>
        <v>131</v>
      </c>
      <c r="S830" s="250">
        <v>0.60040000000000004</v>
      </c>
      <c r="T830" s="250">
        <v>0.92120000000000002</v>
      </c>
      <c r="U830" s="265"/>
      <c r="V830" s="283">
        <f t="shared" si="75"/>
        <v>0.32079999999999997</v>
      </c>
      <c r="W830" s="61">
        <f>Table3.110[[#This Row],[DM Incubated, mg]]-('3.2 Digest'!V830*1000)</f>
        <v>138.57906209379087</v>
      </c>
      <c r="X830" s="61">
        <f>W830/Table3.110[[#This Row],[DM Incubated, mg]]*100</f>
        <v>30.166603907057777</v>
      </c>
      <c r="Y830" s="58">
        <f>Table3.110[[#This Row],[DM Incubated, mg]]*'2.4 NDF'!R221/100</f>
        <v>251.21103782713917</v>
      </c>
      <c r="Z830" s="37">
        <f t="shared" si="76"/>
        <v>-69.588962172860789</v>
      </c>
      <c r="AA830" s="37">
        <f t="shared" si="77"/>
        <v>-27.701395119726246</v>
      </c>
      <c r="AB830" s="234"/>
    </row>
    <row r="831" spans="2:28" s="63" customFormat="1" x14ac:dyDescent="0.35">
      <c r="B831" s="230">
        <f t="shared" si="72"/>
        <v>821</v>
      </c>
      <c r="C831" s="247"/>
      <c r="D831" s="248">
        <f>Table3.110[[#This Row],[Date]]</f>
        <v>46055</v>
      </c>
      <c r="E831" s="230" t="str">
        <f>Table3.110[[#This Row],[Requisitioner]]</f>
        <v>Genbank</v>
      </c>
      <c r="F831" s="230" t="str">
        <f>Table3.110[[#This Row],[Gene Bank ID]]</f>
        <v>CIAT34038</v>
      </c>
      <c r="G831" s="230" t="str">
        <f>Table3.110[[#This Row],[Genus]]</f>
        <v>Vigna</v>
      </c>
      <c r="H831" s="230" t="str">
        <f>Table3.110[[#This Row],[Species]]</f>
        <v>unguiculata</v>
      </c>
      <c r="I831" s="230" t="str">
        <f>Table3.110[[#This Row],[Tax Name]]</f>
        <v>Vigna unguiculata</v>
      </c>
      <c r="J831" s="230" t="str">
        <f>Table3.110[[#This Row],[Family]]</f>
        <v>Fabaceae</v>
      </c>
      <c r="K831" s="230" t="str">
        <f>Table3.110[[#This Row],[Order]]</f>
        <v>Fabales</v>
      </c>
      <c r="L831" s="230" t="str">
        <f>Table3.110[[#This Row],[Functional Group]]</f>
        <v>Herbaceous</v>
      </c>
      <c r="M831" s="230" t="str">
        <f>Table3.110[[#This Row],[CIAT ID]]</f>
        <v>F252617</v>
      </c>
      <c r="N831" s="230">
        <f>Table3.110[[#This Row],[Set CIAT]]</f>
        <v>29</v>
      </c>
      <c r="O831" s="230">
        <f>Table3.110[[#This Row],[Batch]]</f>
        <v>62</v>
      </c>
      <c r="P831" s="230">
        <f>Table3.110[[#This Row],[Run]]</f>
        <v>1</v>
      </c>
      <c r="Q831" s="230">
        <f>Table3.110[[#This Row],[Replication]]</f>
        <v>1</v>
      </c>
      <c r="R831" s="230">
        <f>Table3.110[[#This Row],[Syrange No]]</f>
        <v>132</v>
      </c>
      <c r="S831" s="98">
        <v>0.5877</v>
      </c>
      <c r="T831" s="98">
        <v>0.84019999999999995</v>
      </c>
      <c r="U831" s="110"/>
      <c r="V831" s="283">
        <f t="shared" si="75"/>
        <v>0.25249999999999995</v>
      </c>
      <c r="W831" s="61">
        <f>Table3.110[[#This Row],[DM Incubated, mg]]-('3.2 Digest'!V831*1000)</f>
        <v>206.53733341762296</v>
      </c>
      <c r="X831" s="61">
        <f>W831/Table3.110[[#This Row],[DM Incubated, mg]]*100</f>
        <v>44.993580779130106</v>
      </c>
      <c r="Y831" s="58">
        <f>Table3.110[[#This Row],[DM Incubated, mg]]*'2.4 NDF'!R223/100</f>
        <v>215.55707287448348</v>
      </c>
      <c r="Z831" s="37">
        <f t="shared" si="76"/>
        <v>-36.942927125516462</v>
      </c>
      <c r="AA831" s="37">
        <f t="shared" si="77"/>
        <v>-17.138350708180159</v>
      </c>
      <c r="AB831" s="234"/>
    </row>
    <row r="832" spans="2:28" s="63" customFormat="1" x14ac:dyDescent="0.35">
      <c r="B832" s="230">
        <f t="shared" si="72"/>
        <v>822</v>
      </c>
      <c r="C832" s="247"/>
      <c r="D832" s="248">
        <f>Table3.110[[#This Row],[Date]]</f>
        <v>46055</v>
      </c>
      <c r="E832" s="230" t="str">
        <f>Table3.110[[#This Row],[Requisitioner]]</f>
        <v>Genbank</v>
      </c>
      <c r="F832" s="230" t="str">
        <f>Table3.110[[#This Row],[Gene Bank ID]]</f>
        <v>CIAT34038</v>
      </c>
      <c r="G832" s="230" t="str">
        <f>Table3.110[[#This Row],[Genus]]</f>
        <v>Vigna</v>
      </c>
      <c r="H832" s="230" t="str">
        <f>Table3.110[[#This Row],[Species]]</f>
        <v>unguiculata</v>
      </c>
      <c r="I832" s="230" t="str">
        <f>Table3.110[[#This Row],[Tax Name]]</f>
        <v>Vigna unguiculata</v>
      </c>
      <c r="J832" s="230" t="str">
        <f>Table3.110[[#This Row],[Family]]</f>
        <v>Fabaceae</v>
      </c>
      <c r="K832" s="230" t="str">
        <f>Table3.110[[#This Row],[Order]]</f>
        <v>Fabales</v>
      </c>
      <c r="L832" s="230" t="str">
        <f>Table3.110[[#This Row],[Functional Group]]</f>
        <v>Herbaceous</v>
      </c>
      <c r="M832" s="230" t="str">
        <f>Table3.110[[#This Row],[CIAT ID]]</f>
        <v>F252617</v>
      </c>
      <c r="N832" s="230">
        <f>Table3.110[[#This Row],[Set CIAT]]</f>
        <v>29</v>
      </c>
      <c r="O832" s="230">
        <f>Table3.110[[#This Row],[Batch]]</f>
        <v>62</v>
      </c>
      <c r="P832" s="230">
        <f>Table3.110[[#This Row],[Run]]</f>
        <v>1</v>
      </c>
      <c r="Q832" s="230">
        <f>Table3.110[[#This Row],[Replication]]</f>
        <v>2</v>
      </c>
      <c r="R832" s="230">
        <f>Table3.110[[#This Row],[Syrange No]]</f>
        <v>133</v>
      </c>
      <c r="S832" s="250">
        <v>0.56200000000000006</v>
      </c>
      <c r="T832" s="250">
        <v>0.80020000000000002</v>
      </c>
      <c r="U832" s="265"/>
      <c r="V832" s="283">
        <f t="shared" si="75"/>
        <v>0.23819999999999997</v>
      </c>
      <c r="W832" s="61">
        <f>Table3.110[[#This Row],[DM Incubated, mg]]-('3.2 Digest'!V832*1000)</f>
        <v>221.11270074420813</v>
      </c>
      <c r="X832" s="61">
        <f>W832/Table3.110[[#This Row],[DM Incubated, mg]]*100</f>
        <v>48.13990564291975</v>
      </c>
      <c r="Y832" s="58">
        <f>Table3.110[[#This Row],[DM Incubated, mg]]*'2.4 NDF'!R223/100</f>
        <v>215.68638125653172</v>
      </c>
      <c r="Z832" s="37">
        <f t="shared" si="76"/>
        <v>-22.513618743468243</v>
      </c>
      <c r="AA832" s="37">
        <f t="shared" si="77"/>
        <v>-10.438127160514199</v>
      </c>
      <c r="AB832" s="234"/>
    </row>
    <row r="833" spans="2:28" s="63" customFormat="1" x14ac:dyDescent="0.35">
      <c r="B833" s="230">
        <f t="shared" si="72"/>
        <v>823</v>
      </c>
      <c r="C833" s="247"/>
      <c r="D833" s="248">
        <f>Table3.110[[#This Row],[Date]]</f>
        <v>46055</v>
      </c>
      <c r="E833" s="230" t="str">
        <f>Table3.110[[#This Row],[Requisitioner]]</f>
        <v>Genbank</v>
      </c>
      <c r="F833" s="230" t="str">
        <f>Table3.110[[#This Row],[Gene Bank ID]]</f>
        <v>CIAT34038</v>
      </c>
      <c r="G833" s="230" t="str">
        <f>Table3.110[[#This Row],[Genus]]</f>
        <v>Vigna</v>
      </c>
      <c r="H833" s="230" t="str">
        <f>Table3.110[[#This Row],[Species]]</f>
        <v>unguiculata</v>
      </c>
      <c r="I833" s="230" t="str">
        <f>Table3.110[[#This Row],[Tax Name]]</f>
        <v>Vigna unguiculata</v>
      </c>
      <c r="J833" s="230" t="str">
        <f>Table3.110[[#This Row],[Family]]</f>
        <v>Fabaceae</v>
      </c>
      <c r="K833" s="230" t="str">
        <f>Table3.110[[#This Row],[Order]]</f>
        <v>Fabales</v>
      </c>
      <c r="L833" s="230" t="str">
        <f>Table3.110[[#This Row],[Functional Group]]</f>
        <v>Herbaceous</v>
      </c>
      <c r="M833" s="230" t="str">
        <f>Table3.110[[#This Row],[CIAT ID]]</f>
        <v>F252617</v>
      </c>
      <c r="N833" s="230">
        <f>Table3.110[[#This Row],[Set CIAT]]</f>
        <v>29</v>
      </c>
      <c r="O833" s="230">
        <f>Table3.110[[#This Row],[Batch]]</f>
        <v>62</v>
      </c>
      <c r="P833" s="230">
        <f>Table3.110[[#This Row],[Run]]</f>
        <v>1</v>
      </c>
      <c r="Q833" s="230">
        <f>Table3.110[[#This Row],[Replication]]</f>
        <v>3</v>
      </c>
      <c r="R833" s="230">
        <f>Table3.110[[#This Row],[Syrange No]]</f>
        <v>134</v>
      </c>
      <c r="S833" s="98">
        <v>0.57830000000000004</v>
      </c>
      <c r="T833" s="98">
        <v>0.78420000000000001</v>
      </c>
      <c r="U833" s="110"/>
      <c r="V833" s="283">
        <f t="shared" si="75"/>
        <v>0.20589999999999997</v>
      </c>
      <c r="W833" s="61">
        <f>Table3.110[[#This Row],[DM Incubated, mg]]-('3.2 Digest'!V833*1000)</f>
        <v>253.04554430876112</v>
      </c>
      <c r="X833" s="61">
        <f>W833/Table3.110[[#This Row],[DM Incubated, mg]]*100</f>
        <v>55.136289576551967</v>
      </c>
      <c r="Y833" s="58">
        <f>Table3.110[[#This Row],[DM Incubated, mg]]*'2.4 NDF'!R223/100</f>
        <v>215.51397008046737</v>
      </c>
      <c r="Z833" s="37">
        <f t="shared" si="76"/>
        <v>9.6139700804673964</v>
      </c>
      <c r="AA833" s="37">
        <f t="shared" si="77"/>
        <v>4.4609498293209429</v>
      </c>
      <c r="AB833" s="234"/>
    </row>
    <row r="834" spans="2:28" s="63" customFormat="1" x14ac:dyDescent="0.35">
      <c r="B834" s="230">
        <f t="shared" si="72"/>
        <v>824</v>
      </c>
      <c r="C834" s="247"/>
      <c r="D834" s="248">
        <f>Table3.110[[#This Row],[Date]]</f>
        <v>46055</v>
      </c>
      <c r="E834" s="230" t="str">
        <f>Table3.110[[#This Row],[Requisitioner]]</f>
        <v>Genbank</v>
      </c>
      <c r="F834" s="230" t="str">
        <f>Table3.110[[#This Row],[Gene Bank ID]]</f>
        <v>CIAT34040</v>
      </c>
      <c r="G834" s="230" t="str">
        <f>Table3.110[[#This Row],[Genus]]</f>
        <v>Vigna</v>
      </c>
      <c r="H834" s="230" t="str">
        <f>Table3.110[[#This Row],[Species]]</f>
        <v>aconitifolia</v>
      </c>
      <c r="I834" s="230" t="str">
        <f>Table3.110[[#This Row],[Tax Name]]</f>
        <v>Vigna aconitifolia</v>
      </c>
      <c r="J834" s="230" t="str">
        <f>Table3.110[[#This Row],[Family]]</f>
        <v>Fabaceae</v>
      </c>
      <c r="K834" s="230" t="str">
        <f>Table3.110[[#This Row],[Order]]</f>
        <v>Fabales</v>
      </c>
      <c r="L834" s="230" t="str">
        <f>Table3.110[[#This Row],[Functional Group]]</f>
        <v>Herbaceous</v>
      </c>
      <c r="M834" s="230" t="str">
        <f>Table3.110[[#This Row],[CIAT ID]]</f>
        <v>F252618</v>
      </c>
      <c r="N834" s="230">
        <f>Table3.110[[#This Row],[Set CIAT]]</f>
        <v>29</v>
      </c>
      <c r="O834" s="230">
        <f>Table3.110[[#This Row],[Batch]]</f>
        <v>62</v>
      </c>
      <c r="P834" s="230">
        <f>Table3.110[[#This Row],[Run]]</f>
        <v>1</v>
      </c>
      <c r="Q834" s="230">
        <f>Table3.110[[#This Row],[Replication]]</f>
        <v>1</v>
      </c>
      <c r="R834" s="230">
        <f>Table3.110[[#This Row],[Syrange No]]</f>
        <v>135</v>
      </c>
      <c r="S834" s="250">
        <v>0.59250000000000003</v>
      </c>
      <c r="T834" s="250">
        <v>0.79279999999999995</v>
      </c>
      <c r="U834" s="265"/>
      <c r="V834" s="283">
        <f t="shared" si="75"/>
        <v>0.20029999999999992</v>
      </c>
      <c r="W834" s="61">
        <f>Table3.110[[#This Row],[DM Incubated, mg]]-('3.2 Digest'!V834*1000)</f>
        <v>253.52357463907205</v>
      </c>
      <c r="X834" s="61">
        <f>W834/Table3.110[[#This Row],[DM Incubated, mg]]*100</f>
        <v>55.863905889133356</v>
      </c>
      <c r="Y834" s="58">
        <f>Table3.110[[#This Row],[DM Incubated, mg]]*'2.4 NDF'!R225/100</f>
        <v>190.49242589962589</v>
      </c>
      <c r="Z834" s="37">
        <f t="shared" si="76"/>
        <v>-9.8075741003740404</v>
      </c>
      <c r="AA834" s="37">
        <f t="shared" si="77"/>
        <v>-5.1485375620875544</v>
      </c>
      <c r="AB834" s="234"/>
    </row>
    <row r="835" spans="2:28" s="63" customFormat="1" x14ac:dyDescent="0.35">
      <c r="B835" s="230">
        <f t="shared" si="72"/>
        <v>825</v>
      </c>
      <c r="C835" s="247"/>
      <c r="D835" s="248">
        <f>Table3.110[[#This Row],[Date]]</f>
        <v>46055</v>
      </c>
      <c r="E835" s="230" t="str">
        <f>Table3.110[[#This Row],[Requisitioner]]</f>
        <v>Genbank</v>
      </c>
      <c r="F835" s="230" t="str">
        <f>Table3.110[[#This Row],[Gene Bank ID]]</f>
        <v>CIAT34040</v>
      </c>
      <c r="G835" s="230" t="str">
        <f>Table3.110[[#This Row],[Genus]]</f>
        <v>Vigna</v>
      </c>
      <c r="H835" s="230" t="str">
        <f>Table3.110[[#This Row],[Species]]</f>
        <v>aconitifolia</v>
      </c>
      <c r="I835" s="230" t="str">
        <f>Table3.110[[#This Row],[Tax Name]]</f>
        <v>Vigna aconitifolia</v>
      </c>
      <c r="J835" s="230" t="str">
        <f>Table3.110[[#This Row],[Family]]</f>
        <v>Fabaceae</v>
      </c>
      <c r="K835" s="230" t="str">
        <f>Table3.110[[#This Row],[Order]]</f>
        <v>Fabales</v>
      </c>
      <c r="L835" s="230" t="str">
        <f>Table3.110[[#This Row],[Functional Group]]</f>
        <v>Herbaceous</v>
      </c>
      <c r="M835" s="230" t="str">
        <f>Table3.110[[#This Row],[CIAT ID]]</f>
        <v>F252618</v>
      </c>
      <c r="N835" s="230">
        <f>Table3.110[[#This Row],[Set CIAT]]</f>
        <v>29</v>
      </c>
      <c r="O835" s="230">
        <f>Table3.110[[#This Row],[Batch]]</f>
        <v>62</v>
      </c>
      <c r="P835" s="230">
        <f>Table3.110[[#This Row],[Run]]</f>
        <v>1</v>
      </c>
      <c r="Q835" s="230">
        <f>Table3.110[[#This Row],[Replication]]</f>
        <v>2</v>
      </c>
      <c r="R835" s="230">
        <f>Table3.110[[#This Row],[Syrange No]]</f>
        <v>136</v>
      </c>
      <c r="S835" s="98">
        <v>0.60450000000000004</v>
      </c>
      <c r="T835" s="98">
        <v>0.86980000000000002</v>
      </c>
      <c r="U835" s="110"/>
      <c r="V835" s="283">
        <f t="shared" si="75"/>
        <v>0.26529999999999998</v>
      </c>
      <c r="W835" s="61">
        <f>Table3.110[[#This Row],[DM Incubated, mg]]-('3.2 Digest'!V835*1000)</f>
        <v>188.16095092781421</v>
      </c>
      <c r="X835" s="61">
        <f>W835/Table3.110[[#This Row],[DM Incubated, mg]]*100</f>
        <v>41.494411049688665</v>
      </c>
      <c r="Y835" s="58">
        <f>Table3.110[[#This Row],[DM Incubated, mg]]*'2.4 NDF'!R225/100</f>
        <v>190.34021461245075</v>
      </c>
      <c r="Z835" s="37">
        <f t="shared" si="76"/>
        <v>-74.959785387549204</v>
      </c>
      <c r="AA835" s="37">
        <f t="shared" si="77"/>
        <v>-39.382001086934707</v>
      </c>
      <c r="AB835" s="234"/>
    </row>
    <row r="836" spans="2:28" s="63" customFormat="1" x14ac:dyDescent="0.35">
      <c r="B836" s="230">
        <f t="shared" si="72"/>
        <v>826</v>
      </c>
      <c r="C836" s="247"/>
      <c r="D836" s="248">
        <f>Table3.110[[#This Row],[Date]]</f>
        <v>46055</v>
      </c>
      <c r="E836" s="230" t="str">
        <f>Table3.110[[#This Row],[Requisitioner]]</f>
        <v>Genbank</v>
      </c>
      <c r="F836" s="230" t="str">
        <f>Table3.110[[#This Row],[Gene Bank ID]]</f>
        <v>CIAT34040</v>
      </c>
      <c r="G836" s="230" t="str">
        <f>Table3.110[[#This Row],[Genus]]</f>
        <v>Vigna</v>
      </c>
      <c r="H836" s="230" t="str">
        <f>Table3.110[[#This Row],[Species]]</f>
        <v>aconitifolia</v>
      </c>
      <c r="I836" s="230" t="str">
        <f>Table3.110[[#This Row],[Tax Name]]</f>
        <v>Vigna aconitifolia</v>
      </c>
      <c r="J836" s="230" t="str">
        <f>Table3.110[[#This Row],[Family]]</f>
        <v>Fabaceae</v>
      </c>
      <c r="K836" s="230" t="str">
        <f>Table3.110[[#This Row],[Order]]</f>
        <v>Fabales</v>
      </c>
      <c r="L836" s="230" t="str">
        <f>Table3.110[[#This Row],[Functional Group]]</f>
        <v>Herbaceous</v>
      </c>
      <c r="M836" s="230" t="str">
        <f>Table3.110[[#This Row],[CIAT ID]]</f>
        <v>F252618</v>
      </c>
      <c r="N836" s="230">
        <f>Table3.110[[#This Row],[Set CIAT]]</f>
        <v>29</v>
      </c>
      <c r="O836" s="230">
        <f>Table3.110[[#This Row],[Batch]]</f>
        <v>62</v>
      </c>
      <c r="P836" s="230">
        <f>Table3.110[[#This Row],[Run]]</f>
        <v>1</v>
      </c>
      <c r="Q836" s="230">
        <f>Table3.110[[#This Row],[Replication]]</f>
        <v>3</v>
      </c>
      <c r="R836" s="230">
        <f>Table3.110[[#This Row],[Syrange No]]</f>
        <v>137</v>
      </c>
      <c r="S836" s="250">
        <v>0.58960000000000001</v>
      </c>
      <c r="T836" s="250">
        <v>0.81599999999999995</v>
      </c>
      <c r="U836" s="265"/>
      <c r="V836" s="283">
        <f t="shared" si="75"/>
        <v>0.22639999999999993</v>
      </c>
      <c r="W836" s="61">
        <f>Table3.110[[#This Row],[DM Incubated, mg]]-('3.2 Digest'!V836*1000)</f>
        <v>227.15160685562864</v>
      </c>
      <c r="X836" s="61">
        <f>W836/Table3.110[[#This Row],[DM Incubated, mg]]*100</f>
        <v>50.082857920054501</v>
      </c>
      <c r="Y836" s="58">
        <f>Table3.110[[#This Row],[DM Incubated, mg]]*'2.4 NDF'!R225/100</f>
        <v>190.37826743424452</v>
      </c>
      <c r="Z836" s="37">
        <f t="shared" si="76"/>
        <v>-36.0217325657554</v>
      </c>
      <c r="AA836" s="37">
        <f t="shared" si="77"/>
        <v>-18.921136877242088</v>
      </c>
      <c r="AB836" s="234"/>
    </row>
    <row r="837" spans="2:28" s="63" customFormat="1" x14ac:dyDescent="0.35">
      <c r="B837" s="230">
        <f t="shared" si="72"/>
        <v>827</v>
      </c>
      <c r="C837" s="247"/>
      <c r="D837" s="248">
        <f>Table3.110[[#This Row],[Date]]</f>
        <v>46055</v>
      </c>
      <c r="E837" s="230" t="str">
        <f>Table3.110[[#This Row],[Requisitioner]]</f>
        <v>Genbank</v>
      </c>
      <c r="F837" s="230" t="str">
        <f>Table3.110[[#This Row],[Gene Bank ID]]</f>
        <v>CIAT34042</v>
      </c>
      <c r="G837" s="230" t="str">
        <f>Table3.110[[#This Row],[Genus]]</f>
        <v>Vigna</v>
      </c>
      <c r="H837" s="230" t="str">
        <f>Table3.110[[#This Row],[Species]]</f>
        <v>aconitifolia</v>
      </c>
      <c r="I837" s="230" t="str">
        <f>Table3.110[[#This Row],[Tax Name]]</f>
        <v>Vigna aconitifolia</v>
      </c>
      <c r="J837" s="230" t="str">
        <f>Table3.110[[#This Row],[Family]]</f>
        <v>Fabaceae</v>
      </c>
      <c r="K837" s="230" t="str">
        <f>Table3.110[[#This Row],[Order]]</f>
        <v>Fabales</v>
      </c>
      <c r="L837" s="230" t="str">
        <f>Table3.110[[#This Row],[Functional Group]]</f>
        <v>Herbaceous</v>
      </c>
      <c r="M837" s="230" t="str">
        <f>Table3.110[[#This Row],[CIAT ID]]</f>
        <v>F252619</v>
      </c>
      <c r="N837" s="230">
        <f>Table3.110[[#This Row],[Set CIAT]]</f>
        <v>29</v>
      </c>
      <c r="O837" s="230">
        <f>Table3.110[[#This Row],[Batch]]</f>
        <v>62</v>
      </c>
      <c r="P837" s="230">
        <f>Table3.110[[#This Row],[Run]]</f>
        <v>1</v>
      </c>
      <c r="Q837" s="230">
        <f>Table3.110[[#This Row],[Replication]]</f>
        <v>1</v>
      </c>
      <c r="R837" s="230">
        <f>Table3.110[[#This Row],[Syrange No]]</f>
        <v>138</v>
      </c>
      <c r="S837" s="98">
        <v>0.54400000000000004</v>
      </c>
      <c r="T837" s="98">
        <v>0.78049999999999997</v>
      </c>
      <c r="U837" s="110"/>
      <c r="V837" s="283">
        <f t="shared" si="75"/>
        <v>0.23649999999999993</v>
      </c>
      <c r="W837" s="61">
        <f>Table3.110[[#This Row],[DM Incubated, mg]]-('3.2 Digest'!V837*1000)</f>
        <v>218.94553544645544</v>
      </c>
      <c r="X837" s="61">
        <f>W837/Table3.110[[#This Row],[DM Incubated, mg]]*100</f>
        <v>48.072825048516883</v>
      </c>
      <c r="Y837" s="58">
        <f>Table3.110[[#This Row],[DM Incubated, mg]]*'2.4 NDF'!R227/100</f>
        <v>222.9866751419286</v>
      </c>
      <c r="Z837" s="37">
        <f t="shared" si="76"/>
        <v>-13.513324858071343</v>
      </c>
      <c r="AA837" s="37">
        <f t="shared" si="77"/>
        <v>-6.0601490423005133</v>
      </c>
      <c r="AB837" s="234"/>
    </row>
    <row r="838" spans="2:28" s="63" customFormat="1" x14ac:dyDescent="0.35">
      <c r="B838" s="230">
        <f t="shared" si="72"/>
        <v>828</v>
      </c>
      <c r="C838" s="247"/>
      <c r="D838" s="248">
        <f>Table3.110[[#This Row],[Date]]</f>
        <v>46055</v>
      </c>
      <c r="E838" s="230" t="str">
        <f>Table3.110[[#This Row],[Requisitioner]]</f>
        <v>Genbank</v>
      </c>
      <c r="F838" s="230" t="str">
        <f>Table3.110[[#This Row],[Gene Bank ID]]</f>
        <v>CIAT34042</v>
      </c>
      <c r="G838" s="230" t="str">
        <f>Table3.110[[#This Row],[Genus]]</f>
        <v>Vigna</v>
      </c>
      <c r="H838" s="230" t="str">
        <f>Table3.110[[#This Row],[Species]]</f>
        <v>aconitifolia</v>
      </c>
      <c r="I838" s="230" t="str">
        <f>Table3.110[[#This Row],[Tax Name]]</f>
        <v>Vigna aconitifolia</v>
      </c>
      <c r="J838" s="230" t="str">
        <f>Table3.110[[#This Row],[Family]]</f>
        <v>Fabaceae</v>
      </c>
      <c r="K838" s="230" t="str">
        <f>Table3.110[[#This Row],[Order]]</f>
        <v>Fabales</v>
      </c>
      <c r="L838" s="230" t="str">
        <f>Table3.110[[#This Row],[Functional Group]]</f>
        <v>Herbaceous</v>
      </c>
      <c r="M838" s="230" t="str">
        <f>Table3.110[[#This Row],[CIAT ID]]</f>
        <v>F252619</v>
      </c>
      <c r="N838" s="230">
        <f>Table3.110[[#This Row],[Set CIAT]]</f>
        <v>29</v>
      </c>
      <c r="O838" s="230">
        <f>Table3.110[[#This Row],[Batch]]</f>
        <v>62</v>
      </c>
      <c r="P838" s="230">
        <f>Table3.110[[#This Row],[Run]]</f>
        <v>1</v>
      </c>
      <c r="Q838" s="230">
        <f>Table3.110[[#This Row],[Replication]]</f>
        <v>2</v>
      </c>
      <c r="R838" s="230">
        <f>Table3.110[[#This Row],[Syrange No]]</f>
        <v>139</v>
      </c>
      <c r="S838" s="250">
        <v>0.55400000000000005</v>
      </c>
      <c r="T838" s="250">
        <v>0.80369999999999997</v>
      </c>
      <c r="U838" s="265"/>
      <c r="V838" s="283">
        <f t="shared" si="75"/>
        <v>0.24969999999999992</v>
      </c>
      <c r="W838" s="61">
        <f>Table3.110[[#This Row],[DM Incubated, mg]]-('3.2 Digest'!V838*1000)</f>
        <v>206.20088991100903</v>
      </c>
      <c r="X838" s="61">
        <f>W838/Table3.110[[#This Row],[DM Incubated, mg]]*100</f>
        <v>45.229323845202209</v>
      </c>
      <c r="Y838" s="58">
        <f>Table3.110[[#This Row],[DM Incubated, mg]]*'2.4 NDF'!R227/100</f>
        <v>223.2096172286532</v>
      </c>
      <c r="Z838" s="37">
        <f t="shared" si="76"/>
        <v>-26.490382771346731</v>
      </c>
      <c r="AA838" s="37">
        <f t="shared" si="77"/>
        <v>-11.867939697334057</v>
      </c>
      <c r="AB838" s="234"/>
    </row>
    <row r="839" spans="2:28" s="63" customFormat="1" x14ac:dyDescent="0.35">
      <c r="B839" s="230">
        <f t="shared" si="72"/>
        <v>829</v>
      </c>
      <c r="C839" s="247"/>
      <c r="D839" s="248">
        <f>Table3.110[[#This Row],[Date]]</f>
        <v>46055</v>
      </c>
      <c r="E839" s="230" t="str">
        <f>Table3.110[[#This Row],[Requisitioner]]</f>
        <v>Genbank</v>
      </c>
      <c r="F839" s="230" t="str">
        <f>Table3.110[[#This Row],[Gene Bank ID]]</f>
        <v>CIAT34042</v>
      </c>
      <c r="G839" s="230" t="str">
        <f>Table3.110[[#This Row],[Genus]]</f>
        <v>Vigna</v>
      </c>
      <c r="H839" s="230" t="str">
        <f>Table3.110[[#This Row],[Species]]</f>
        <v>aconitifolia</v>
      </c>
      <c r="I839" s="230" t="str">
        <f>Table3.110[[#This Row],[Tax Name]]</f>
        <v>Vigna aconitifolia</v>
      </c>
      <c r="J839" s="230" t="str">
        <f>Table3.110[[#This Row],[Family]]</f>
        <v>Fabaceae</v>
      </c>
      <c r="K839" s="230" t="str">
        <f>Table3.110[[#This Row],[Order]]</f>
        <v>Fabales</v>
      </c>
      <c r="L839" s="230" t="str">
        <f>Table3.110[[#This Row],[Functional Group]]</f>
        <v>Herbaceous</v>
      </c>
      <c r="M839" s="230" t="str">
        <f>Table3.110[[#This Row],[CIAT ID]]</f>
        <v>F252619</v>
      </c>
      <c r="N839" s="230">
        <f>Table3.110[[#This Row],[Set CIAT]]</f>
        <v>29</v>
      </c>
      <c r="O839" s="230">
        <f>Table3.110[[#This Row],[Batch]]</f>
        <v>62</v>
      </c>
      <c r="P839" s="230">
        <f>Table3.110[[#This Row],[Run]]</f>
        <v>1</v>
      </c>
      <c r="Q839" s="230">
        <f>Table3.110[[#This Row],[Replication]]</f>
        <v>3</v>
      </c>
      <c r="R839" s="230">
        <f>Table3.110[[#This Row],[Syrange No]]</f>
        <v>140</v>
      </c>
      <c r="S839" s="98">
        <v>0.56950000000000001</v>
      </c>
      <c r="T839" s="98">
        <v>0.85899999999999999</v>
      </c>
      <c r="U839" s="110"/>
      <c r="V839" s="283">
        <f t="shared" si="75"/>
        <v>0.28949999999999998</v>
      </c>
      <c r="W839" s="61">
        <f>Table3.110[[#This Row],[DM Incubated, mg]]-('3.2 Digest'!V839*1000)</f>
        <v>165.94553544645538</v>
      </c>
      <c r="X839" s="61">
        <f>W839/Table3.110[[#This Row],[DM Incubated, mg]]*100</f>
        <v>36.435868294061876</v>
      </c>
      <c r="Y839" s="58">
        <f>Table3.110[[#This Row],[DM Incubated, mg]]*'2.4 NDF'!R227/100</f>
        <v>222.9866751419286</v>
      </c>
      <c r="Z839" s="37">
        <f t="shared" si="76"/>
        <v>-66.5133248580714</v>
      </c>
      <c r="AA839" s="37">
        <f t="shared" si="77"/>
        <v>-29.828385402731527</v>
      </c>
      <c r="AB839" s="234"/>
    </row>
    <row r="840" spans="2:28" s="63" customFormat="1" x14ac:dyDescent="0.35">
      <c r="B840" s="230">
        <f t="shared" si="72"/>
        <v>830</v>
      </c>
      <c r="C840" s="247"/>
      <c r="D840" s="248">
        <f>Table3.110[[#This Row],[Date]]</f>
        <v>46055</v>
      </c>
      <c r="E840" s="230">
        <f>Table3.110[[#This Row],[Requisitioner]]</f>
        <v>0</v>
      </c>
      <c r="F840" s="230" t="str">
        <f>Table3.110[[#This Row],[Gene Bank ID]]</f>
        <v>BLANK 8H</v>
      </c>
      <c r="G840" s="230" t="str">
        <f>Table3.110[[#This Row],[Genus]]</f>
        <v>BLANK</v>
      </c>
      <c r="H840" s="230" t="str">
        <f>Table3.110[[#This Row],[Species]]</f>
        <v>8H</v>
      </c>
      <c r="I840" s="230" t="str">
        <f>Table3.110[[#This Row],[Tax Name]]</f>
        <v>BLANK 8H</v>
      </c>
      <c r="J840" s="230">
        <f>Table3.110[[#This Row],[Family]]</f>
        <v>0</v>
      </c>
      <c r="K840" s="230">
        <f>Table3.110[[#This Row],[Order]]</f>
        <v>0</v>
      </c>
      <c r="L840" s="230">
        <f>Table3.110[[#This Row],[Functional Group]]</f>
        <v>0</v>
      </c>
      <c r="M840" s="230" t="str">
        <f>Table3.110[[#This Row],[CIAT ID]]</f>
        <v>BLANK8H</v>
      </c>
      <c r="N840" s="230">
        <f>Table3.110[[#This Row],[Set CIAT]]</f>
        <v>29</v>
      </c>
      <c r="O840" s="230">
        <f>Table3.110[[#This Row],[Batch]]</f>
        <v>62</v>
      </c>
      <c r="P840" s="230">
        <f>Table3.110[[#This Row],[Run]]</f>
        <v>1</v>
      </c>
      <c r="Q840" s="230">
        <f>Table3.110[[#This Row],[Replication]]</f>
        <v>1</v>
      </c>
      <c r="R840" s="230">
        <f>Table3.110[[#This Row],[Syrange No]]</f>
        <v>141</v>
      </c>
      <c r="S840" s="249"/>
      <c r="T840" s="249"/>
      <c r="U840" s="263"/>
      <c r="V840" s="283"/>
      <c r="W840" s="61"/>
      <c r="X840" s="61"/>
      <c r="Y840" s="58"/>
      <c r="Z840" s="37"/>
      <c r="AA840" s="37"/>
      <c r="AB840" s="234"/>
    </row>
    <row r="841" spans="2:28" s="63" customFormat="1" x14ac:dyDescent="0.35">
      <c r="B841" s="230">
        <f t="shared" si="72"/>
        <v>831</v>
      </c>
      <c r="C841" s="247"/>
      <c r="D841" s="248">
        <f>Table3.110[[#This Row],[Date]]</f>
        <v>46055</v>
      </c>
      <c r="E841" s="230">
        <f>Table3.110[[#This Row],[Requisitioner]]</f>
        <v>0</v>
      </c>
      <c r="F841" s="230" t="str">
        <f>Table3.110[[#This Row],[Gene Bank ID]]</f>
        <v>BLANK 8H</v>
      </c>
      <c r="G841" s="230" t="str">
        <f>Table3.110[[#This Row],[Genus]]</f>
        <v>BLANK</v>
      </c>
      <c r="H841" s="230" t="str">
        <f>Table3.110[[#This Row],[Species]]</f>
        <v>8H</v>
      </c>
      <c r="I841" s="230" t="str">
        <f>Table3.110[[#This Row],[Tax Name]]</f>
        <v>BLANK 8H</v>
      </c>
      <c r="J841" s="230">
        <f>Table3.110[[#This Row],[Family]]</f>
        <v>0</v>
      </c>
      <c r="K841" s="230">
        <f>Table3.110[[#This Row],[Order]]</f>
        <v>0</v>
      </c>
      <c r="L841" s="230">
        <f>Table3.110[[#This Row],[Functional Group]]</f>
        <v>0</v>
      </c>
      <c r="M841" s="230" t="str">
        <f>Table3.110[[#This Row],[CIAT ID]]</f>
        <v>BLANK8H</v>
      </c>
      <c r="N841" s="230">
        <f>Table3.110[[#This Row],[Set CIAT]]</f>
        <v>29</v>
      </c>
      <c r="O841" s="230">
        <f>Table3.110[[#This Row],[Batch]]</f>
        <v>62</v>
      </c>
      <c r="P841" s="230">
        <f>Table3.110[[#This Row],[Run]]</f>
        <v>1</v>
      </c>
      <c r="Q841" s="230">
        <f>Table3.110[[#This Row],[Replication]]</f>
        <v>2</v>
      </c>
      <c r="R841" s="230">
        <f>Table3.110[[#This Row],[Syrange No]]</f>
        <v>142</v>
      </c>
      <c r="S841" s="148"/>
      <c r="T841" s="148"/>
      <c r="U841" s="264"/>
      <c r="V841" s="283"/>
      <c r="W841" s="61"/>
      <c r="X841" s="61"/>
      <c r="Y841" s="58"/>
      <c r="Z841" s="37"/>
      <c r="AA841" s="37"/>
      <c r="AB841" s="234"/>
    </row>
    <row r="842" spans="2:28" s="63" customFormat="1" x14ac:dyDescent="0.35">
      <c r="B842" s="230">
        <f t="shared" si="72"/>
        <v>832</v>
      </c>
      <c r="C842" s="247"/>
      <c r="D842" s="248">
        <f>Table3.110[[#This Row],[Date]]</f>
        <v>46055</v>
      </c>
      <c r="E842" s="230" t="str">
        <f>Table3.110[[#This Row],[Requisitioner]]</f>
        <v>Genbank</v>
      </c>
      <c r="F842" s="230" t="str">
        <f>Table3.110[[#This Row],[Gene Bank ID]]</f>
        <v>CIAT34044</v>
      </c>
      <c r="G842" s="230" t="str">
        <f>Table3.110[[#This Row],[Genus]]</f>
        <v>Vigna</v>
      </c>
      <c r="H842" s="230" t="str">
        <f>Table3.110[[#This Row],[Species]]</f>
        <v>aconitifolia</v>
      </c>
      <c r="I842" s="230" t="str">
        <f>Table3.110[[#This Row],[Tax Name]]</f>
        <v>Vigna aconitifolia</v>
      </c>
      <c r="J842" s="230" t="str">
        <f>Table3.110[[#This Row],[Family]]</f>
        <v>Fabaceae</v>
      </c>
      <c r="K842" s="230" t="str">
        <f>Table3.110[[#This Row],[Order]]</f>
        <v>Fabales</v>
      </c>
      <c r="L842" s="230" t="str">
        <f>Table3.110[[#This Row],[Functional Group]]</f>
        <v>Herbaceous</v>
      </c>
      <c r="M842" s="230" t="str">
        <f>Table3.110[[#This Row],[CIAT ID]]</f>
        <v>F252620</v>
      </c>
      <c r="N842" s="230">
        <f>Table3.110[[#This Row],[Set CIAT]]</f>
        <v>29</v>
      </c>
      <c r="O842" s="230">
        <f>Table3.110[[#This Row],[Batch]]</f>
        <v>62</v>
      </c>
      <c r="P842" s="230">
        <f>Table3.110[[#This Row],[Run]]</f>
        <v>1</v>
      </c>
      <c r="Q842" s="230">
        <f>Table3.110[[#This Row],[Replication]]</f>
        <v>1</v>
      </c>
      <c r="R842" s="230">
        <f>Table3.110[[#This Row],[Syrange No]]</f>
        <v>143</v>
      </c>
      <c r="S842" s="250">
        <v>0.55649999999999999</v>
      </c>
      <c r="T842" s="250">
        <v>0.82840000000000003</v>
      </c>
      <c r="U842" s="265"/>
      <c r="V842" s="283">
        <f t="shared" si="75"/>
        <v>0.27190000000000003</v>
      </c>
      <c r="W842" s="61">
        <f>Table3.110[[#This Row],[DM Incubated, mg]]-('3.2 Digest'!V842*1000)</f>
        <v>186.24788605697108</v>
      </c>
      <c r="X842" s="61">
        <f>W842/Table3.110[[#This Row],[DM Incubated, mg]]*100</f>
        <v>40.652350851142202</v>
      </c>
      <c r="Y842" s="58">
        <f>Table3.110[[#This Row],[DM Incubated, mg]]*'2.4 NDF'!R229/100</f>
        <v>248.6229551301771</v>
      </c>
      <c r="Z842" s="37">
        <f t="shared" si="76"/>
        <v>-23.27704486982293</v>
      </c>
      <c r="AA842" s="37">
        <f t="shared" si="77"/>
        <v>-9.3623876595124713</v>
      </c>
      <c r="AB842" s="234"/>
    </row>
    <row r="843" spans="2:28" s="63" customFormat="1" x14ac:dyDescent="0.35">
      <c r="B843" s="230">
        <f t="shared" si="72"/>
        <v>833</v>
      </c>
      <c r="C843" s="247"/>
      <c r="D843" s="248">
        <f>Table3.110[[#This Row],[Date]]</f>
        <v>46055</v>
      </c>
      <c r="E843" s="230" t="str">
        <f>Table3.110[[#This Row],[Requisitioner]]</f>
        <v>Genbank</v>
      </c>
      <c r="F843" s="230" t="str">
        <f>Table3.110[[#This Row],[Gene Bank ID]]</f>
        <v>CIAT34044</v>
      </c>
      <c r="G843" s="230" t="str">
        <f>Table3.110[[#This Row],[Genus]]</f>
        <v>Vigna</v>
      </c>
      <c r="H843" s="230" t="str">
        <f>Table3.110[[#This Row],[Species]]</f>
        <v>aconitifolia</v>
      </c>
      <c r="I843" s="230" t="str">
        <f>Table3.110[[#This Row],[Tax Name]]</f>
        <v>Vigna aconitifolia</v>
      </c>
      <c r="J843" s="230" t="str">
        <f>Table3.110[[#This Row],[Family]]</f>
        <v>Fabaceae</v>
      </c>
      <c r="K843" s="230" t="str">
        <f>Table3.110[[#This Row],[Order]]</f>
        <v>Fabales</v>
      </c>
      <c r="L843" s="230" t="str">
        <f>Table3.110[[#This Row],[Functional Group]]</f>
        <v>Herbaceous</v>
      </c>
      <c r="M843" s="230" t="str">
        <f>Table3.110[[#This Row],[CIAT ID]]</f>
        <v>F252620</v>
      </c>
      <c r="N843" s="230">
        <f>Table3.110[[#This Row],[Set CIAT]]</f>
        <v>29</v>
      </c>
      <c r="O843" s="230">
        <f>Table3.110[[#This Row],[Batch]]</f>
        <v>62</v>
      </c>
      <c r="P843" s="230">
        <f>Table3.110[[#This Row],[Run]]</f>
        <v>1</v>
      </c>
      <c r="Q843" s="230">
        <f>Table3.110[[#This Row],[Replication]]</f>
        <v>2</v>
      </c>
      <c r="R843" s="230">
        <f>Table3.110[[#This Row],[Syrange No]]</f>
        <v>144</v>
      </c>
      <c r="S843" s="98">
        <v>0.56620000000000004</v>
      </c>
      <c r="T843" s="98">
        <v>0.88090000000000002</v>
      </c>
      <c r="U843" s="110"/>
      <c r="V843" s="283">
        <f t="shared" si="75"/>
        <v>0.31469999999999998</v>
      </c>
      <c r="W843" s="61">
        <f>Table3.110[[#This Row],[DM Incubated, mg]]-('3.2 Digest'!V843*1000)</f>
        <v>143.53946068940309</v>
      </c>
      <c r="X843" s="61">
        <f>W843/Table3.110[[#This Row],[DM Incubated, mg]]*100</f>
        <v>31.324116101536447</v>
      </c>
      <c r="Y843" s="58">
        <f>Table3.110[[#This Row],[DM Incubated, mg]]*'2.4 NDF'!R229/100</f>
        <v>248.6726499043387</v>
      </c>
      <c r="Z843" s="37">
        <f t="shared" si="76"/>
        <v>-66.027350095661291</v>
      </c>
      <c r="AA843" s="37">
        <f t="shared" si="77"/>
        <v>-26.551914784782802</v>
      </c>
      <c r="AB843" s="234"/>
    </row>
    <row r="844" spans="2:28" s="63" customFormat="1" x14ac:dyDescent="0.35">
      <c r="B844" s="230">
        <f t="shared" si="72"/>
        <v>834</v>
      </c>
      <c r="C844" s="247"/>
      <c r="D844" s="248">
        <f>Table3.110[[#This Row],[Date]]</f>
        <v>46055</v>
      </c>
      <c r="E844" s="230" t="str">
        <f>Table3.110[[#This Row],[Requisitioner]]</f>
        <v>Genbank</v>
      </c>
      <c r="F844" s="230" t="str">
        <f>Table3.110[[#This Row],[Gene Bank ID]]</f>
        <v>CIAT34044</v>
      </c>
      <c r="G844" s="230" t="str">
        <f>Table3.110[[#This Row],[Genus]]</f>
        <v>Vigna</v>
      </c>
      <c r="H844" s="230" t="str">
        <f>Table3.110[[#This Row],[Species]]</f>
        <v>aconitifolia</v>
      </c>
      <c r="I844" s="230" t="str">
        <f>Table3.110[[#This Row],[Tax Name]]</f>
        <v>Vigna aconitifolia</v>
      </c>
      <c r="J844" s="230" t="str">
        <f>Table3.110[[#This Row],[Family]]</f>
        <v>Fabaceae</v>
      </c>
      <c r="K844" s="230" t="str">
        <f>Table3.110[[#This Row],[Order]]</f>
        <v>Fabales</v>
      </c>
      <c r="L844" s="230" t="str">
        <f>Table3.110[[#This Row],[Functional Group]]</f>
        <v>Herbaceous</v>
      </c>
      <c r="M844" s="230" t="str">
        <f>Table3.110[[#This Row],[CIAT ID]]</f>
        <v>F252620</v>
      </c>
      <c r="N844" s="230">
        <f>Table3.110[[#This Row],[Set CIAT]]</f>
        <v>29</v>
      </c>
      <c r="O844" s="230">
        <f>Table3.110[[#This Row],[Batch]]</f>
        <v>62</v>
      </c>
      <c r="P844" s="230">
        <f>Table3.110[[#This Row],[Run]]</f>
        <v>1</v>
      </c>
      <c r="Q844" s="230">
        <f>Table3.110[[#This Row],[Replication]]</f>
        <v>3</v>
      </c>
      <c r="R844" s="230">
        <f>Table3.110[[#This Row],[Syrange No]]</f>
        <v>145</v>
      </c>
      <c r="S844" s="250">
        <v>0.57289999999999996</v>
      </c>
      <c r="T844" s="250">
        <v>0.86299999999999999</v>
      </c>
      <c r="U844" s="265"/>
      <c r="V844" s="283">
        <f t="shared" si="75"/>
        <v>0.29010000000000002</v>
      </c>
      <c r="W844" s="61">
        <f>Table3.110[[#This Row],[DM Incubated, mg]]-('3.2 Digest'!V844*1000)</f>
        <v>167.95631142453914</v>
      </c>
      <c r="X844" s="61">
        <f>W844/Table3.110[[#This Row],[DM Incubated, mg]]*100</f>
        <v>36.667175461942847</v>
      </c>
      <c r="Y844" s="58">
        <f>Table3.110[[#This Row],[DM Incubated, mg]]*'2.4 NDF'!R229/100</f>
        <v>248.57326035601557</v>
      </c>
      <c r="Z844" s="37">
        <f t="shared" si="76"/>
        <v>-41.526739643984456</v>
      </c>
      <c r="AA844" s="37">
        <f t="shared" si="77"/>
        <v>-16.706036515958463</v>
      </c>
      <c r="AB844" s="234"/>
    </row>
    <row r="845" spans="2:28" s="63" customFormat="1" x14ac:dyDescent="0.35">
      <c r="B845" s="230">
        <f t="shared" si="72"/>
        <v>835</v>
      </c>
      <c r="C845" s="247"/>
      <c r="D845" s="248">
        <f>Table3.110[[#This Row],[Date]]</f>
        <v>46055</v>
      </c>
      <c r="E845" s="230" t="str">
        <f>Table3.110[[#This Row],[Requisitioner]]</f>
        <v>Genbank</v>
      </c>
      <c r="F845" s="230" t="str">
        <f>Table3.110[[#This Row],[Gene Bank ID]]</f>
        <v>CIAT34148</v>
      </c>
      <c r="G845" s="230" t="str">
        <f>Table3.110[[#This Row],[Genus]]</f>
        <v>Vigna</v>
      </c>
      <c r="H845" s="230" t="str">
        <f>Table3.110[[#This Row],[Species]]</f>
        <v>radiata</v>
      </c>
      <c r="I845" s="230" t="str">
        <f>Table3.110[[#This Row],[Tax Name]]</f>
        <v>Vigna radiata</v>
      </c>
      <c r="J845" s="230" t="str">
        <f>Table3.110[[#This Row],[Family]]</f>
        <v>Fabaceae</v>
      </c>
      <c r="K845" s="230" t="str">
        <f>Table3.110[[#This Row],[Order]]</f>
        <v>Fabales</v>
      </c>
      <c r="L845" s="230" t="str">
        <f>Table3.110[[#This Row],[Functional Group]]</f>
        <v>Herbaceous</v>
      </c>
      <c r="M845" s="230" t="str">
        <f>Table3.110[[#This Row],[CIAT ID]]</f>
        <v>F252621</v>
      </c>
      <c r="N845" s="230">
        <f>Table3.110[[#This Row],[Set CIAT]]</f>
        <v>29</v>
      </c>
      <c r="O845" s="230">
        <f>Table3.110[[#This Row],[Batch]]</f>
        <v>62</v>
      </c>
      <c r="P845" s="230">
        <f>Table3.110[[#This Row],[Run]]</f>
        <v>1</v>
      </c>
      <c r="Q845" s="230">
        <f>Table3.110[[#This Row],[Replication]]</f>
        <v>1</v>
      </c>
      <c r="R845" s="230">
        <f>Table3.110[[#This Row],[Syrange No]]</f>
        <v>146</v>
      </c>
      <c r="S845" s="98">
        <v>0.56789999999999996</v>
      </c>
      <c r="T845" s="98">
        <v>0.84860000000000002</v>
      </c>
      <c r="U845" s="110"/>
      <c r="V845" s="283">
        <f t="shared" si="75"/>
        <v>0.28070000000000006</v>
      </c>
      <c r="W845" s="61">
        <f>Table3.110[[#This Row],[DM Incubated, mg]]-('3.2 Digest'!V845*1000)</f>
        <v>167.19214433130554</v>
      </c>
      <c r="X845" s="61">
        <f>W845/Table3.110[[#This Row],[DM Incubated, mg]]*100</f>
        <v>37.328661921704438</v>
      </c>
      <c r="Y845" s="58">
        <f>Table3.110[[#This Row],[DM Incubated, mg]]*'2.4 NDF'!R231/100</f>
        <v>200.41461681616471</v>
      </c>
      <c r="Z845" s="37">
        <f t="shared" si="76"/>
        <v>-80.285383183835336</v>
      </c>
      <c r="AA845" s="37">
        <f t="shared" si="77"/>
        <v>-40.059644580454481</v>
      </c>
      <c r="AB845" s="234"/>
    </row>
    <row r="846" spans="2:28" s="63" customFormat="1" x14ac:dyDescent="0.35">
      <c r="B846" s="230">
        <f t="shared" si="72"/>
        <v>836</v>
      </c>
      <c r="C846" s="247"/>
      <c r="D846" s="248">
        <f>Table3.110[[#This Row],[Date]]</f>
        <v>46055</v>
      </c>
      <c r="E846" s="230" t="str">
        <f>Table3.110[[#This Row],[Requisitioner]]</f>
        <v>Genbank</v>
      </c>
      <c r="F846" s="230" t="str">
        <f>Table3.110[[#This Row],[Gene Bank ID]]</f>
        <v>CIAT34148</v>
      </c>
      <c r="G846" s="230" t="str">
        <f>Table3.110[[#This Row],[Genus]]</f>
        <v>Vigna</v>
      </c>
      <c r="H846" s="230" t="str">
        <f>Table3.110[[#This Row],[Species]]</f>
        <v>radiata</v>
      </c>
      <c r="I846" s="230" t="str">
        <f>Table3.110[[#This Row],[Tax Name]]</f>
        <v>Vigna radiata</v>
      </c>
      <c r="J846" s="230" t="str">
        <f>Table3.110[[#This Row],[Family]]</f>
        <v>Fabaceae</v>
      </c>
      <c r="K846" s="230" t="str">
        <f>Table3.110[[#This Row],[Order]]</f>
        <v>Fabales</v>
      </c>
      <c r="L846" s="230" t="str">
        <f>Table3.110[[#This Row],[Functional Group]]</f>
        <v>Herbaceous</v>
      </c>
      <c r="M846" s="230" t="str">
        <f>Table3.110[[#This Row],[CIAT ID]]</f>
        <v>F252621</v>
      </c>
      <c r="N846" s="230">
        <f>Table3.110[[#This Row],[Set CIAT]]</f>
        <v>29</v>
      </c>
      <c r="O846" s="230">
        <f>Table3.110[[#This Row],[Batch]]</f>
        <v>62</v>
      </c>
      <c r="P846" s="230">
        <f>Table3.110[[#This Row],[Run]]</f>
        <v>1</v>
      </c>
      <c r="Q846" s="230">
        <f>Table3.110[[#This Row],[Replication]]</f>
        <v>2</v>
      </c>
      <c r="R846" s="230">
        <f>Table3.110[[#This Row],[Syrange No]]</f>
        <v>147</v>
      </c>
      <c r="S846" s="250">
        <v>0.56530000000000002</v>
      </c>
      <c r="T846" s="250">
        <v>0.84150000000000003</v>
      </c>
      <c r="U846" s="265"/>
      <c r="V846" s="283">
        <f t="shared" si="75"/>
        <v>0.2762</v>
      </c>
      <c r="W846" s="61">
        <f>Table3.110[[#This Row],[DM Incubated, mg]]-('3.2 Digest'!V846*1000)</f>
        <v>171.60260171948414</v>
      </c>
      <c r="X846" s="61">
        <f>W846/Table3.110[[#This Row],[DM Incubated, mg]]*100</f>
        <v>38.321037229475664</v>
      </c>
      <c r="Y846" s="58">
        <f>Table3.110[[#This Row],[DM Incubated, mg]]*'2.4 NDF'!R231/100</f>
        <v>200.37454991956017</v>
      </c>
      <c r="Z846" s="37">
        <f t="shared" si="76"/>
        <v>-75.825450080439822</v>
      </c>
      <c r="AA846" s="37">
        <f t="shared" si="77"/>
        <v>-37.841856718270733</v>
      </c>
      <c r="AB846" s="234"/>
    </row>
    <row r="847" spans="2:28" s="63" customFormat="1" x14ac:dyDescent="0.35">
      <c r="B847" s="230">
        <f t="shared" si="72"/>
        <v>837</v>
      </c>
      <c r="C847" s="247"/>
      <c r="D847" s="248">
        <f>Table3.110[[#This Row],[Date]]</f>
        <v>46055</v>
      </c>
      <c r="E847" s="230" t="str">
        <f>Table3.110[[#This Row],[Requisitioner]]</f>
        <v>Genbank</v>
      </c>
      <c r="F847" s="230" t="str">
        <f>Table3.110[[#This Row],[Gene Bank ID]]</f>
        <v>CIAT34148</v>
      </c>
      <c r="G847" s="230" t="str">
        <f>Table3.110[[#This Row],[Genus]]</f>
        <v>Vigna</v>
      </c>
      <c r="H847" s="230" t="str">
        <f>Table3.110[[#This Row],[Species]]</f>
        <v>radiata</v>
      </c>
      <c r="I847" s="230" t="str">
        <f>Table3.110[[#This Row],[Tax Name]]</f>
        <v>Vigna radiata</v>
      </c>
      <c r="J847" s="230" t="str">
        <f>Table3.110[[#This Row],[Family]]</f>
        <v>Fabaceae</v>
      </c>
      <c r="K847" s="230" t="str">
        <f>Table3.110[[#This Row],[Order]]</f>
        <v>Fabales</v>
      </c>
      <c r="L847" s="230" t="str">
        <f>Table3.110[[#This Row],[Functional Group]]</f>
        <v>Herbaceous</v>
      </c>
      <c r="M847" s="230" t="str">
        <f>Table3.110[[#This Row],[CIAT ID]]</f>
        <v>F252621</v>
      </c>
      <c r="N847" s="230">
        <f>Table3.110[[#This Row],[Set CIAT]]</f>
        <v>29</v>
      </c>
      <c r="O847" s="230">
        <f>Table3.110[[#This Row],[Batch]]</f>
        <v>62</v>
      </c>
      <c r="P847" s="230">
        <f>Table3.110[[#This Row],[Run]]</f>
        <v>1</v>
      </c>
      <c r="Q847" s="230">
        <f>Table3.110[[#This Row],[Replication]]</f>
        <v>3</v>
      </c>
      <c r="R847" s="230">
        <f>Table3.110[[#This Row],[Syrange No]]</f>
        <v>148</v>
      </c>
      <c r="S847" s="98">
        <v>0.5706</v>
      </c>
      <c r="T847" s="98">
        <v>0.79420000000000002</v>
      </c>
      <c r="U847" s="110"/>
      <c r="V847" s="283">
        <f t="shared" si="75"/>
        <v>0.22360000000000002</v>
      </c>
      <c r="W847" s="61">
        <f>Table3.110[[#This Row],[DM Incubated, mg]]-('3.2 Digest'!V847*1000)</f>
        <v>224.20260171948411</v>
      </c>
      <c r="X847" s="61">
        <f>W847/Table3.110[[#This Row],[DM Incubated, mg]]*100</f>
        <v>50.067284303080214</v>
      </c>
      <c r="Y847" s="58">
        <f>Table3.110[[#This Row],[DM Incubated, mg]]*'2.4 NDF'!R231/100</f>
        <v>200.37454991956017</v>
      </c>
      <c r="Z847" s="37">
        <f t="shared" si="76"/>
        <v>-23.225450080439856</v>
      </c>
      <c r="AA847" s="37">
        <f t="shared" si="77"/>
        <v>-11.591017965986024</v>
      </c>
      <c r="AB847" s="234"/>
    </row>
    <row r="848" spans="2:28" s="63" customFormat="1" x14ac:dyDescent="0.35">
      <c r="B848" s="230">
        <f t="shared" si="72"/>
        <v>838</v>
      </c>
      <c r="C848" s="247"/>
      <c r="D848" s="248">
        <f>Table3.110[[#This Row],[Date]]</f>
        <v>46055</v>
      </c>
      <c r="E848" s="230" t="str">
        <f>Table3.110[[#This Row],[Requisitioner]]</f>
        <v>Genbank</v>
      </c>
      <c r="F848" s="230" t="str">
        <f>Table3.110[[#This Row],[Gene Bank ID]]</f>
        <v>CIAT34159</v>
      </c>
      <c r="G848" s="230" t="str">
        <f>Table3.110[[#This Row],[Genus]]</f>
        <v>Vigna</v>
      </c>
      <c r="H848" s="230" t="str">
        <f>Table3.110[[#This Row],[Species]]</f>
        <v>unguiculata</v>
      </c>
      <c r="I848" s="230" t="str">
        <f>Table3.110[[#This Row],[Tax Name]]</f>
        <v>Vigna unguiculata</v>
      </c>
      <c r="J848" s="230" t="str">
        <f>Table3.110[[#This Row],[Family]]</f>
        <v>Fabaceae</v>
      </c>
      <c r="K848" s="230" t="str">
        <f>Table3.110[[#This Row],[Order]]</f>
        <v>Fabales</v>
      </c>
      <c r="L848" s="230" t="str">
        <f>Table3.110[[#This Row],[Functional Group]]</f>
        <v>Herbaceous</v>
      </c>
      <c r="M848" s="230" t="str">
        <f>Table3.110[[#This Row],[CIAT ID]]</f>
        <v>F252622</v>
      </c>
      <c r="N848" s="230">
        <f>Table3.110[[#This Row],[Set CIAT]]</f>
        <v>29</v>
      </c>
      <c r="O848" s="230">
        <f>Table3.110[[#This Row],[Batch]]</f>
        <v>62</v>
      </c>
      <c r="P848" s="230">
        <f>Table3.110[[#This Row],[Run]]</f>
        <v>1</v>
      </c>
      <c r="Q848" s="230">
        <f>Table3.110[[#This Row],[Replication]]</f>
        <v>1</v>
      </c>
      <c r="R848" s="230">
        <f>Table3.110[[#This Row],[Syrange No]]</f>
        <v>149</v>
      </c>
      <c r="S848" s="250">
        <v>0.56359999999999999</v>
      </c>
      <c r="T848" s="250">
        <v>0.7671</v>
      </c>
      <c r="U848" s="265"/>
      <c r="V848" s="283">
        <f t="shared" si="75"/>
        <v>0.20350000000000001</v>
      </c>
      <c r="W848" s="61">
        <f>Table3.110[[#This Row],[DM Incubated, mg]]-('3.2 Digest'!V848*1000)</f>
        <v>248.91191689683649</v>
      </c>
      <c r="X848" s="61">
        <f>W848/Table3.110[[#This Row],[DM Incubated, mg]]*100</f>
        <v>55.018868336661406</v>
      </c>
      <c r="Y848" s="58">
        <f>Table3.110[[#This Row],[DM Incubated, mg]]*'2.4 NDF'!R233/100</f>
        <v>220.03461589803391</v>
      </c>
      <c r="Z848" s="37">
        <f t="shared" si="76"/>
        <v>16.534615898033906</v>
      </c>
      <c r="AA848" s="37">
        <f t="shared" si="77"/>
        <v>7.514552121969845</v>
      </c>
      <c r="AB848" s="234"/>
    </row>
    <row r="849" spans="2:28" s="63" customFormat="1" x14ac:dyDescent="0.35">
      <c r="B849" s="230">
        <f t="shared" si="72"/>
        <v>839</v>
      </c>
      <c r="C849" s="247"/>
      <c r="D849" s="248">
        <f>Table3.110[[#This Row],[Date]]</f>
        <v>46055</v>
      </c>
      <c r="E849" s="230" t="str">
        <f>Table3.110[[#This Row],[Requisitioner]]</f>
        <v>Genbank</v>
      </c>
      <c r="F849" s="230" t="str">
        <f>Table3.110[[#This Row],[Gene Bank ID]]</f>
        <v>CIAT34159</v>
      </c>
      <c r="G849" s="230" t="str">
        <f>Table3.110[[#This Row],[Genus]]</f>
        <v>Vigna</v>
      </c>
      <c r="H849" s="230" t="str">
        <f>Table3.110[[#This Row],[Species]]</f>
        <v>unguiculata</v>
      </c>
      <c r="I849" s="230" t="str">
        <f>Table3.110[[#This Row],[Tax Name]]</f>
        <v>Vigna unguiculata</v>
      </c>
      <c r="J849" s="230" t="str">
        <f>Table3.110[[#This Row],[Family]]</f>
        <v>Fabaceae</v>
      </c>
      <c r="K849" s="230" t="str">
        <f>Table3.110[[#This Row],[Order]]</f>
        <v>Fabales</v>
      </c>
      <c r="L849" s="230" t="str">
        <f>Table3.110[[#This Row],[Functional Group]]</f>
        <v>Herbaceous</v>
      </c>
      <c r="M849" s="230" t="str">
        <f>Table3.110[[#This Row],[CIAT ID]]</f>
        <v>F252622</v>
      </c>
      <c r="N849" s="230">
        <f>Table3.110[[#This Row],[Set CIAT]]</f>
        <v>29</v>
      </c>
      <c r="O849" s="230">
        <f>Table3.110[[#This Row],[Batch]]</f>
        <v>62</v>
      </c>
      <c r="P849" s="230">
        <f>Table3.110[[#This Row],[Run]]</f>
        <v>1</v>
      </c>
      <c r="Q849" s="230">
        <f>Table3.110[[#This Row],[Replication]]</f>
        <v>2</v>
      </c>
      <c r="R849" s="230">
        <f>Table3.110[[#This Row],[Syrange No]]</f>
        <v>150</v>
      </c>
      <c r="S849" s="98">
        <v>0.57020000000000004</v>
      </c>
      <c r="T849" s="98">
        <v>0.77980000000000005</v>
      </c>
      <c r="U849" s="110"/>
      <c r="V849" s="283">
        <f t="shared" si="75"/>
        <v>0.20960000000000001</v>
      </c>
      <c r="W849" s="61">
        <f>Table3.110[[#This Row],[DM Incubated, mg]]-('3.2 Digest'!V849*1000)</f>
        <v>242.81191689683646</v>
      </c>
      <c r="X849" s="61">
        <f>W849/Table3.110[[#This Row],[DM Incubated, mg]]*100</f>
        <v>53.670539574271402</v>
      </c>
      <c r="Y849" s="58">
        <f>Table3.110[[#This Row],[DM Incubated, mg]]*'2.4 NDF'!R233/100</f>
        <v>220.03461589803391</v>
      </c>
      <c r="Z849" s="37">
        <f t="shared" si="76"/>
        <v>10.434615898033883</v>
      </c>
      <c r="AA849" s="37">
        <f t="shared" si="77"/>
        <v>4.7422610553556632</v>
      </c>
      <c r="AB849" s="234"/>
    </row>
    <row r="850" spans="2:28" s="63" customFormat="1" x14ac:dyDescent="0.35">
      <c r="B850" s="230">
        <f t="shared" si="72"/>
        <v>840</v>
      </c>
      <c r="C850" s="247"/>
      <c r="D850" s="248">
        <f>Table3.110[[#This Row],[Date]]</f>
        <v>46055</v>
      </c>
      <c r="E850" s="230" t="str">
        <f>Table3.110[[#This Row],[Requisitioner]]</f>
        <v>Genbank</v>
      </c>
      <c r="F850" s="230" t="str">
        <f>Table3.110[[#This Row],[Gene Bank ID]]</f>
        <v>CIAT34159</v>
      </c>
      <c r="G850" s="230" t="str">
        <f>Table3.110[[#This Row],[Genus]]</f>
        <v>Vigna</v>
      </c>
      <c r="H850" s="230" t="str">
        <f>Table3.110[[#This Row],[Species]]</f>
        <v>unguiculata</v>
      </c>
      <c r="I850" s="230" t="str">
        <f>Table3.110[[#This Row],[Tax Name]]</f>
        <v>Vigna unguiculata</v>
      </c>
      <c r="J850" s="230" t="str">
        <f>Table3.110[[#This Row],[Family]]</f>
        <v>Fabaceae</v>
      </c>
      <c r="K850" s="230" t="str">
        <f>Table3.110[[#This Row],[Order]]</f>
        <v>Fabales</v>
      </c>
      <c r="L850" s="230" t="str">
        <f>Table3.110[[#This Row],[Functional Group]]</f>
        <v>Herbaceous</v>
      </c>
      <c r="M850" s="230" t="str">
        <f>Table3.110[[#This Row],[CIAT ID]]</f>
        <v>F252622</v>
      </c>
      <c r="N850" s="230">
        <f>Table3.110[[#This Row],[Set CIAT]]</f>
        <v>29</v>
      </c>
      <c r="O850" s="230">
        <f>Table3.110[[#This Row],[Batch]]</f>
        <v>62</v>
      </c>
      <c r="P850" s="230">
        <f>Table3.110[[#This Row],[Run]]</f>
        <v>1</v>
      </c>
      <c r="Q850" s="230">
        <f>Table3.110[[#This Row],[Replication]]</f>
        <v>3</v>
      </c>
      <c r="R850" s="230">
        <f>Table3.110[[#This Row],[Syrange No]]</f>
        <v>151</v>
      </c>
      <c r="S850" s="250">
        <v>0.57369999999999999</v>
      </c>
      <c r="T850" s="250">
        <v>0.81989999999999996</v>
      </c>
      <c r="U850" s="265"/>
      <c r="V850" s="283">
        <f t="shared" si="75"/>
        <v>0.24619999999999997</v>
      </c>
      <c r="W850" s="61">
        <f>Table3.110[[#This Row],[DM Incubated, mg]]-('3.2 Digest'!V850*1000)</f>
        <v>206.66432881373322</v>
      </c>
      <c r="X850" s="61">
        <f>W850/Table3.110[[#This Row],[DM Incubated, mg]]*100</f>
        <v>45.634932067863517</v>
      </c>
      <c r="Y850" s="58">
        <f>Table3.110[[#This Row],[DM Incubated, mg]]*'2.4 NDF'!R233/100</f>
        <v>220.25465051393189</v>
      </c>
      <c r="Z850" s="37">
        <f t="shared" si="76"/>
        <v>-25.945349486068096</v>
      </c>
      <c r="AA850" s="37">
        <f t="shared" si="77"/>
        <v>-11.779705638690686</v>
      </c>
      <c r="AB850" s="234"/>
    </row>
    <row r="851" spans="2:28" s="63" customFormat="1" x14ac:dyDescent="0.35">
      <c r="B851" s="230">
        <f t="shared" si="72"/>
        <v>841</v>
      </c>
      <c r="C851" s="247"/>
      <c r="D851" s="248">
        <f>Table3.110[[#This Row],[Date]]</f>
        <v>46055</v>
      </c>
      <c r="E851" s="230" t="str">
        <f>Table3.110[[#This Row],[Requisitioner]]</f>
        <v>Genbank</v>
      </c>
      <c r="F851" s="230" t="str">
        <f>Table3.110[[#This Row],[Gene Bank ID]]</f>
        <v>CIAT34347</v>
      </c>
      <c r="G851" s="230" t="str">
        <f>Table3.110[[#This Row],[Genus]]</f>
        <v>Vigna</v>
      </c>
      <c r="H851" s="230" t="str">
        <f>Table3.110[[#This Row],[Species]]</f>
        <v>unguiculata</v>
      </c>
      <c r="I851" s="230" t="str">
        <f>Table3.110[[#This Row],[Tax Name]]</f>
        <v>Vigna unguiculata</v>
      </c>
      <c r="J851" s="230" t="str">
        <f>Table3.110[[#This Row],[Family]]</f>
        <v>Fabaceae</v>
      </c>
      <c r="K851" s="230" t="str">
        <f>Table3.110[[#This Row],[Order]]</f>
        <v>Fabales</v>
      </c>
      <c r="L851" s="230" t="str">
        <f>Table3.110[[#This Row],[Functional Group]]</f>
        <v>Herbaceous</v>
      </c>
      <c r="M851" s="230" t="str">
        <f>Table3.110[[#This Row],[CIAT ID]]</f>
        <v>F252623</v>
      </c>
      <c r="N851" s="230">
        <f>Table3.110[[#This Row],[Set CIAT]]</f>
        <v>29</v>
      </c>
      <c r="O851" s="230">
        <f>Table3.110[[#This Row],[Batch]]</f>
        <v>62</v>
      </c>
      <c r="P851" s="230">
        <f>Table3.110[[#This Row],[Run]]</f>
        <v>1</v>
      </c>
      <c r="Q851" s="230">
        <f>Table3.110[[#This Row],[Replication]]</f>
        <v>1</v>
      </c>
      <c r="R851" s="230">
        <f>Table3.110[[#This Row],[Syrange No]]</f>
        <v>152</v>
      </c>
      <c r="S851" s="98">
        <v>0.5635</v>
      </c>
      <c r="T851" s="98">
        <v>0.81269999999999998</v>
      </c>
      <c r="U851" s="110"/>
      <c r="V851" s="283">
        <f t="shared" si="75"/>
        <v>0.24919999999999998</v>
      </c>
      <c r="W851" s="61">
        <f>Table3.110[[#This Row],[DM Incubated, mg]]-('3.2 Digest'!V851*1000)</f>
        <v>198.88957496614279</v>
      </c>
      <c r="X851" s="61">
        <f>W851/Table3.110[[#This Row],[DM Incubated, mg]]*100</f>
        <v>44.38611966841021</v>
      </c>
      <c r="Y851" s="58">
        <f>Table3.110[[#This Row],[DM Incubated, mg]]*'2.4 NDF'!R235/100</f>
        <v>191.22898021073485</v>
      </c>
      <c r="Z851" s="37">
        <f t="shared" si="76"/>
        <v>-57.971019789265142</v>
      </c>
      <c r="AA851" s="37">
        <f t="shared" si="77"/>
        <v>-30.314976174312559</v>
      </c>
      <c r="AB851" s="234"/>
    </row>
    <row r="852" spans="2:28" s="63" customFormat="1" x14ac:dyDescent="0.35">
      <c r="B852" s="230">
        <f t="shared" si="72"/>
        <v>842</v>
      </c>
      <c r="C852" s="247"/>
      <c r="D852" s="248">
        <f>Table3.110[[#This Row],[Date]]</f>
        <v>46055</v>
      </c>
      <c r="E852" s="230" t="str">
        <f>Table3.110[[#This Row],[Requisitioner]]</f>
        <v>Genbank</v>
      </c>
      <c r="F852" s="230" t="str">
        <f>Table3.110[[#This Row],[Gene Bank ID]]</f>
        <v>CIAT34347</v>
      </c>
      <c r="G852" s="230" t="str">
        <f>Table3.110[[#This Row],[Genus]]</f>
        <v>Vigna</v>
      </c>
      <c r="H852" s="230" t="str">
        <f>Table3.110[[#This Row],[Species]]</f>
        <v>unguiculata</v>
      </c>
      <c r="I852" s="230" t="str">
        <f>Table3.110[[#This Row],[Tax Name]]</f>
        <v>Vigna unguiculata</v>
      </c>
      <c r="J852" s="230" t="str">
        <f>Table3.110[[#This Row],[Family]]</f>
        <v>Fabaceae</v>
      </c>
      <c r="K852" s="230" t="str">
        <f>Table3.110[[#This Row],[Order]]</f>
        <v>Fabales</v>
      </c>
      <c r="L852" s="230" t="str">
        <f>Table3.110[[#This Row],[Functional Group]]</f>
        <v>Herbaceous</v>
      </c>
      <c r="M852" s="230" t="str">
        <f>Table3.110[[#This Row],[CIAT ID]]</f>
        <v>F252623</v>
      </c>
      <c r="N852" s="230">
        <f>Table3.110[[#This Row],[Set CIAT]]</f>
        <v>29</v>
      </c>
      <c r="O852" s="230">
        <f>Table3.110[[#This Row],[Batch]]</f>
        <v>62</v>
      </c>
      <c r="P852" s="230">
        <f>Table3.110[[#This Row],[Run]]</f>
        <v>1</v>
      </c>
      <c r="Q852" s="230">
        <f>Table3.110[[#This Row],[Replication]]</f>
        <v>2</v>
      </c>
      <c r="R852" s="230">
        <f>Table3.110[[#This Row],[Syrange No]]</f>
        <v>153</v>
      </c>
      <c r="S852" s="250">
        <v>0.57550000000000001</v>
      </c>
      <c r="T852" s="250">
        <v>0.81169999999999998</v>
      </c>
      <c r="U852" s="265"/>
      <c r="V852" s="283">
        <f t="shared" si="75"/>
        <v>0.23619999999999997</v>
      </c>
      <c r="W852" s="61">
        <f>Table3.110[[#This Row],[DM Incubated, mg]]-('3.2 Digest'!V852*1000)</f>
        <v>211.62109709018935</v>
      </c>
      <c r="X852" s="61">
        <f>W852/Table3.110[[#This Row],[DM Incubated, mg]]*100</f>
        <v>47.255722980726325</v>
      </c>
      <c r="Y852" s="58">
        <f>Table3.110[[#This Row],[DM Incubated, mg]]*'2.4 NDF'!R235/100</f>
        <v>191.11440323038084</v>
      </c>
      <c r="Z852" s="37">
        <f t="shared" si="76"/>
        <v>-45.085596769619116</v>
      </c>
      <c r="AA852" s="37">
        <f t="shared" si="77"/>
        <v>-23.59089425367392</v>
      </c>
      <c r="AB852" s="234"/>
    </row>
    <row r="853" spans="2:28" s="63" customFormat="1" x14ac:dyDescent="0.35">
      <c r="B853" s="230">
        <f t="shared" ref="B853:B916" si="78">B852+1</f>
        <v>843</v>
      </c>
      <c r="C853" s="247"/>
      <c r="D853" s="248">
        <f>Table3.110[[#This Row],[Date]]</f>
        <v>46055</v>
      </c>
      <c r="E853" s="230" t="str">
        <f>Table3.110[[#This Row],[Requisitioner]]</f>
        <v>Genbank</v>
      </c>
      <c r="F853" s="230" t="str">
        <f>Table3.110[[#This Row],[Gene Bank ID]]</f>
        <v>CIAT34347</v>
      </c>
      <c r="G853" s="230" t="str">
        <f>Table3.110[[#This Row],[Genus]]</f>
        <v>Vigna</v>
      </c>
      <c r="H853" s="230" t="str">
        <f>Table3.110[[#This Row],[Species]]</f>
        <v>unguiculata</v>
      </c>
      <c r="I853" s="230" t="str">
        <f>Table3.110[[#This Row],[Tax Name]]</f>
        <v>Vigna unguiculata</v>
      </c>
      <c r="J853" s="230" t="str">
        <f>Table3.110[[#This Row],[Family]]</f>
        <v>Fabaceae</v>
      </c>
      <c r="K853" s="230" t="str">
        <f>Table3.110[[#This Row],[Order]]</f>
        <v>Fabales</v>
      </c>
      <c r="L853" s="230" t="str">
        <f>Table3.110[[#This Row],[Functional Group]]</f>
        <v>Herbaceous</v>
      </c>
      <c r="M853" s="230" t="str">
        <f>Table3.110[[#This Row],[CIAT ID]]</f>
        <v>F252623</v>
      </c>
      <c r="N853" s="230">
        <f>Table3.110[[#This Row],[Set CIAT]]</f>
        <v>29</v>
      </c>
      <c r="O853" s="230">
        <f>Table3.110[[#This Row],[Batch]]</f>
        <v>62</v>
      </c>
      <c r="P853" s="230">
        <f>Table3.110[[#This Row],[Run]]</f>
        <v>1</v>
      </c>
      <c r="Q853" s="230">
        <f>Table3.110[[#This Row],[Replication]]</f>
        <v>3</v>
      </c>
      <c r="R853" s="230">
        <f>Table3.110[[#This Row],[Syrange No]]</f>
        <v>154</v>
      </c>
      <c r="S853" s="98">
        <v>0.59119999999999995</v>
      </c>
      <c r="T853" s="98">
        <v>0.84130000000000005</v>
      </c>
      <c r="U853" s="110"/>
      <c r="V853" s="283">
        <f t="shared" si="75"/>
        <v>0.2501000000000001</v>
      </c>
      <c r="W853" s="61">
        <f>Table3.110[[#This Row],[DM Incubated, mg]]-('3.2 Digest'!V853*1000)</f>
        <v>197.90008234082487</v>
      </c>
      <c r="X853" s="61">
        <f>W853/Table3.110[[#This Row],[DM Incubated, mg]]*100</f>
        <v>44.174117403458077</v>
      </c>
      <c r="Y853" s="58">
        <f>Table3.110[[#This Row],[DM Incubated, mg]]*'2.4 NDF'!R235/100</f>
        <v>191.19078788395018</v>
      </c>
      <c r="Z853" s="37">
        <f t="shared" si="76"/>
        <v>-58.909212116049929</v>
      </c>
      <c r="AA853" s="37">
        <f t="shared" si="77"/>
        <v>-30.811741908719419</v>
      </c>
      <c r="AB853" s="234"/>
    </row>
    <row r="854" spans="2:28" s="63" customFormat="1" x14ac:dyDescent="0.35">
      <c r="B854" s="230">
        <f t="shared" si="78"/>
        <v>844</v>
      </c>
      <c r="C854" s="247"/>
      <c r="D854" s="248">
        <f>Table3.110[[#This Row],[Date]]</f>
        <v>46055</v>
      </c>
      <c r="E854" s="230" t="str">
        <f>Table3.110[[#This Row],[Requisitioner]]</f>
        <v>Genbank</v>
      </c>
      <c r="F854" s="230" t="str">
        <f>Table3.110[[#This Row],[Gene Bank ID]]</f>
        <v>CIAT-23715</v>
      </c>
      <c r="G854" s="230" t="str">
        <f>Table3.110[[#This Row],[Genus]]</f>
        <v>Desmodium</v>
      </c>
      <c r="H854" s="230" t="str">
        <f>Table3.110[[#This Row],[Species]]</f>
        <v>sequax</v>
      </c>
      <c r="I854" s="230" t="str">
        <f>Table3.110[[#This Row],[Tax Name]]</f>
        <v>Desmodium sequax</v>
      </c>
      <c r="J854" s="230" t="str">
        <f>Table3.110[[#This Row],[Family]]</f>
        <v>Fabaceae</v>
      </c>
      <c r="K854" s="230" t="str">
        <f>Table3.110[[#This Row],[Order]]</f>
        <v>Fabales</v>
      </c>
      <c r="L854" s="230" t="str">
        <f>Table3.110[[#This Row],[Functional Group]]</f>
        <v>Herbaceous</v>
      </c>
      <c r="M854" s="230" t="str">
        <f>Table3.110[[#This Row],[CIAT ID]]</f>
        <v>F251692</v>
      </c>
      <c r="N854" s="230">
        <f>Table3.110[[#This Row],[Set CIAT]]</f>
        <v>29</v>
      </c>
      <c r="O854" s="230">
        <f>Table3.110[[#This Row],[Batch]]</f>
        <v>62</v>
      </c>
      <c r="P854" s="230">
        <f>Table3.110[[#This Row],[Run]]</f>
        <v>1</v>
      </c>
      <c r="Q854" s="230">
        <f>Table3.110[[#This Row],[Replication]]</f>
        <v>1</v>
      </c>
      <c r="R854" s="230">
        <f>Table3.110[[#This Row],[Syrange No]]</f>
        <v>155</v>
      </c>
      <c r="S854" s="250">
        <v>0.55989999999999995</v>
      </c>
      <c r="T854" s="250">
        <v>0.99050000000000005</v>
      </c>
      <c r="U854" s="280"/>
      <c r="V854" s="283">
        <f t="shared" si="75"/>
        <v>0.43060000000000009</v>
      </c>
      <c r="W854" s="61">
        <f>Table3.110[[#This Row],[DM Incubated, mg]]-('3.2 Digest'!V854*1000)</f>
        <v>38.737613724506559</v>
      </c>
      <c r="X854" s="61">
        <f>W854/Table3.110[[#This Row],[DM Incubated, mg]]*100</f>
        <v>8.2536776494638442</v>
      </c>
      <c r="Y854" s="58">
        <f>Table3.110[[#This Row],[DM Incubated, mg]]*'2.4 NDF'!R237/100</f>
        <v>307.0319104288921</v>
      </c>
      <c r="Z854" s="37">
        <f t="shared" si="76"/>
        <v>-123.56808957110798</v>
      </c>
      <c r="AA854" s="37">
        <f t="shared" si="77"/>
        <v>-40.24600876127046</v>
      </c>
      <c r="AB854" s="234"/>
    </row>
    <row r="855" spans="2:28" s="63" customFormat="1" x14ac:dyDescent="0.35">
      <c r="B855" s="230">
        <f t="shared" si="78"/>
        <v>845</v>
      </c>
      <c r="C855" s="247"/>
      <c r="D855" s="248">
        <f>Table3.110[[#This Row],[Date]]</f>
        <v>46055</v>
      </c>
      <c r="E855" s="230" t="str">
        <f>Table3.110[[#This Row],[Requisitioner]]</f>
        <v>Genbank</v>
      </c>
      <c r="F855" s="230" t="str">
        <f>Table3.110[[#This Row],[Gene Bank ID]]</f>
        <v>CIAT-23715</v>
      </c>
      <c r="G855" s="230" t="str">
        <f>Table3.110[[#This Row],[Genus]]</f>
        <v>Desmodium</v>
      </c>
      <c r="H855" s="230" t="str">
        <f>Table3.110[[#This Row],[Species]]</f>
        <v>sequax</v>
      </c>
      <c r="I855" s="230" t="str">
        <f>Table3.110[[#This Row],[Tax Name]]</f>
        <v>Desmodium sequax</v>
      </c>
      <c r="J855" s="230" t="str">
        <f>Table3.110[[#This Row],[Family]]</f>
        <v>Fabaceae</v>
      </c>
      <c r="K855" s="230" t="str">
        <f>Table3.110[[#This Row],[Order]]</f>
        <v>Fabales</v>
      </c>
      <c r="L855" s="230" t="str">
        <f>Table3.110[[#This Row],[Functional Group]]</f>
        <v>Herbaceous</v>
      </c>
      <c r="M855" s="230" t="str">
        <f>Table3.110[[#This Row],[CIAT ID]]</f>
        <v>F251692</v>
      </c>
      <c r="N855" s="230">
        <f>Table3.110[[#This Row],[Set CIAT]]</f>
        <v>29</v>
      </c>
      <c r="O855" s="230">
        <f>Table3.110[[#This Row],[Batch]]</f>
        <v>62</v>
      </c>
      <c r="P855" s="230">
        <f>Table3.110[[#This Row],[Run]]</f>
        <v>1</v>
      </c>
      <c r="Q855" s="230">
        <f>Table3.110[[#This Row],[Replication]]</f>
        <v>2</v>
      </c>
      <c r="R855" s="230">
        <f>Table3.110[[#This Row],[Syrange No]]</f>
        <v>156</v>
      </c>
      <c r="S855" s="98">
        <v>0.56440000000000001</v>
      </c>
      <c r="T855" s="98">
        <v>1.0294000000000001</v>
      </c>
      <c r="U855" s="110"/>
      <c r="V855" s="283">
        <f t="shared" si="75"/>
        <v>0.46500000000000008</v>
      </c>
      <c r="W855" s="61">
        <f>Table3.110[[#This Row],[DM Incubated, mg]]-('3.2 Digest'!V855*1000)</f>
        <v>4.1500287469988848</v>
      </c>
      <c r="X855" s="61">
        <f>W855/Table3.110[[#This Row],[DM Incubated, mg]]*100</f>
        <v>0.88458456628101223</v>
      </c>
      <c r="Y855" s="58">
        <f>Table3.110[[#This Row],[DM Incubated, mg]]*'2.4 NDF'!R237/100</f>
        <v>306.90919583639459</v>
      </c>
      <c r="Z855" s="37">
        <f t="shared" si="76"/>
        <v>-158.09080416360547</v>
      </c>
      <c r="AA855" s="37">
        <f t="shared" si="77"/>
        <v>-51.510611708057006</v>
      </c>
      <c r="AB855" s="234"/>
    </row>
    <row r="856" spans="2:28" s="63" customFormat="1" x14ac:dyDescent="0.35">
      <c r="B856" s="230">
        <f t="shared" si="78"/>
        <v>846</v>
      </c>
      <c r="C856" s="247"/>
      <c r="D856" s="248">
        <f>Table3.110[[#This Row],[Date]]</f>
        <v>46055</v>
      </c>
      <c r="E856" s="230" t="str">
        <f>Table3.110[[#This Row],[Requisitioner]]</f>
        <v>Genbank</v>
      </c>
      <c r="F856" s="230" t="str">
        <f>Table3.110[[#This Row],[Gene Bank ID]]</f>
        <v>CIAT-23715</v>
      </c>
      <c r="G856" s="230" t="str">
        <f>Table3.110[[#This Row],[Genus]]</f>
        <v>Desmodium</v>
      </c>
      <c r="H856" s="230" t="str">
        <f>Table3.110[[#This Row],[Species]]</f>
        <v>sequax</v>
      </c>
      <c r="I856" s="230" t="str">
        <f>Table3.110[[#This Row],[Tax Name]]</f>
        <v>Desmodium sequax</v>
      </c>
      <c r="J856" s="230" t="str">
        <f>Table3.110[[#This Row],[Family]]</f>
        <v>Fabaceae</v>
      </c>
      <c r="K856" s="230" t="str">
        <f>Table3.110[[#This Row],[Order]]</f>
        <v>Fabales</v>
      </c>
      <c r="L856" s="230" t="str">
        <f>Table3.110[[#This Row],[Functional Group]]</f>
        <v>Herbaceous</v>
      </c>
      <c r="M856" s="230" t="str">
        <f>Table3.110[[#This Row],[CIAT ID]]</f>
        <v>F251692</v>
      </c>
      <c r="N856" s="230">
        <f>Table3.110[[#This Row],[Set CIAT]]</f>
        <v>29</v>
      </c>
      <c r="O856" s="230">
        <f>Table3.110[[#This Row],[Batch]]</f>
        <v>62</v>
      </c>
      <c r="P856" s="230">
        <f>Table3.110[[#This Row],[Run]]</f>
        <v>1</v>
      </c>
      <c r="Q856" s="230">
        <f>Table3.110[[#This Row],[Replication]]</f>
        <v>3</v>
      </c>
      <c r="R856" s="230">
        <f>Table3.110[[#This Row],[Syrange No]]</f>
        <v>157</v>
      </c>
      <c r="S856" s="250">
        <v>0.55100000000000005</v>
      </c>
      <c r="T856" s="250">
        <v>1.0012000000000001</v>
      </c>
      <c r="U856" s="265"/>
      <c r="V856" s="283">
        <f t="shared" si="75"/>
        <v>0.45020000000000004</v>
      </c>
      <c r="W856" s="61">
        <f>Table3.110[[#This Row],[DM Incubated, mg]]-('3.2 Digest'!V856*1000)</f>
        <v>19.043821235752716</v>
      </c>
      <c r="X856" s="61">
        <f>W856/Table3.110[[#This Row],[DM Incubated, mg]]*100</f>
        <v>4.0584063921397728</v>
      </c>
      <c r="Y856" s="58">
        <f>Table3.110[[#This Row],[DM Incubated, mg]]*'2.4 NDF'!R237/100</f>
        <v>306.97055313264332</v>
      </c>
      <c r="Z856" s="37">
        <f t="shared" si="76"/>
        <v>-143.22944686735673</v>
      </c>
      <c r="AA856" s="37">
        <f t="shared" si="77"/>
        <v>-46.659018399548785</v>
      </c>
      <c r="AB856" s="234"/>
    </row>
    <row r="857" spans="2:28" s="63" customFormat="1" x14ac:dyDescent="0.35">
      <c r="B857" s="230">
        <f t="shared" si="78"/>
        <v>847</v>
      </c>
      <c r="C857" s="247"/>
      <c r="D857" s="248">
        <f>Table3.110[[#This Row],[Date]]</f>
        <v>46055</v>
      </c>
      <c r="E857" s="230" t="str">
        <f>Table3.110[[#This Row],[Requisitioner]]</f>
        <v>Jacobo Arango/Alejandro Montoya</v>
      </c>
      <c r="F857" s="230" t="str">
        <f>Table3.110[[#This Row],[Gene Bank ID]]</f>
        <v>Sample 8</v>
      </c>
      <c r="G857" s="230" t="str">
        <f>Table3.110[[#This Row],[Genus]]</f>
        <v>Cynodon</v>
      </c>
      <c r="H857" s="230" t="str">
        <f>Table3.110[[#This Row],[Species]]</f>
        <v>nlemfuensis</v>
      </c>
      <c r="I857" s="230" t="str">
        <f>Table3.110[[#This Row],[Tax Name]]</f>
        <v xml:space="preserve">Cynodon nlemfuensis </v>
      </c>
      <c r="J857" s="230" t="str">
        <f>Table3.110[[#This Row],[Family]]</f>
        <v>Poaceae</v>
      </c>
      <c r="K857" s="230" t="str">
        <f>Table3.110[[#This Row],[Order]]</f>
        <v>Poales</v>
      </c>
      <c r="L857" s="230" t="str">
        <f>Table3.110[[#This Row],[Functional Group]]</f>
        <v>grasses</v>
      </c>
      <c r="M857" s="230" t="str">
        <f>Table3.110[[#This Row],[CIAT ID]]</f>
        <v>F250008</v>
      </c>
      <c r="N857" s="230">
        <f>Table3.110[[#This Row],[Set CIAT]]</f>
        <v>29</v>
      </c>
      <c r="O857" s="230">
        <f>Table3.110[[#This Row],[Batch]]</f>
        <v>62</v>
      </c>
      <c r="P857" s="230">
        <f>Table3.110[[#This Row],[Run]]</f>
        <v>1</v>
      </c>
      <c r="Q857" s="230">
        <f>Table3.110[[#This Row],[Replication]]</f>
        <v>1</v>
      </c>
      <c r="R857" s="230">
        <f>Table3.110[[#This Row],[Syrange No]]</f>
        <v>158</v>
      </c>
      <c r="S857" s="98">
        <v>0.56059999999999999</v>
      </c>
      <c r="T857" s="98">
        <v>0.88290000000000002</v>
      </c>
      <c r="U857" s="110"/>
      <c r="V857" s="283">
        <f t="shared" ref="V857:V920" si="79">T857-S857</f>
        <v>0.32230000000000003</v>
      </c>
      <c r="W857" s="61">
        <f>Table3.110[[#This Row],[DM Incubated, mg]]-('3.2 Digest'!V857*1000)</f>
        <v>145.9177499999999</v>
      </c>
      <c r="X857" s="61">
        <f>W857/Table3.110[[#This Row],[DM Incubated, mg]]*100</f>
        <v>31.164506258039115</v>
      </c>
      <c r="Y857" s="58">
        <f>Table3.110[[#This Row],[DM Incubated, mg]]*'2.4 NDF'!R239/100</f>
        <v>356.31370774999988</v>
      </c>
      <c r="Z857" s="37">
        <f t="shared" ref="Z857:Z859" si="80">Y857-(V857*1000)</f>
        <v>34.013707749999867</v>
      </c>
      <c r="AA857" s="37">
        <f t="shared" ref="AA857:AA859" si="81">Z857/Y857*100</f>
        <v>9.5460003390789776</v>
      </c>
      <c r="AB857" s="234"/>
    </row>
    <row r="858" spans="2:28" s="63" customFormat="1" x14ac:dyDescent="0.35">
      <c r="B858" s="230">
        <f t="shared" si="78"/>
        <v>848</v>
      </c>
      <c r="C858" s="261"/>
      <c r="D858" s="248">
        <f>Table3.110[[#This Row],[Date]]</f>
        <v>46055</v>
      </c>
      <c r="E858" s="230" t="str">
        <f>Table3.110[[#This Row],[Requisitioner]]</f>
        <v>Jacobo Arango/Alejandro Montoya</v>
      </c>
      <c r="F858" s="230" t="str">
        <f>Table3.110[[#This Row],[Gene Bank ID]]</f>
        <v>Sample 8</v>
      </c>
      <c r="G858" s="230" t="str">
        <f>Table3.110[[#This Row],[Genus]]</f>
        <v>Cynodon</v>
      </c>
      <c r="H858" s="230" t="str">
        <f>Table3.110[[#This Row],[Species]]</f>
        <v>nlemfuensis</v>
      </c>
      <c r="I858" s="230" t="str">
        <f>Table3.110[[#This Row],[Tax Name]]</f>
        <v xml:space="preserve">Cynodon nlemfuensis </v>
      </c>
      <c r="J858" s="230" t="str">
        <f>Table3.110[[#This Row],[Family]]</f>
        <v>Poaceae</v>
      </c>
      <c r="K858" s="230" t="str">
        <f>Table3.110[[#This Row],[Order]]</f>
        <v>Poales</v>
      </c>
      <c r="L858" s="230" t="str">
        <f>Table3.110[[#This Row],[Functional Group]]</f>
        <v>grasses</v>
      </c>
      <c r="M858" s="230" t="str">
        <f>Table3.110[[#This Row],[CIAT ID]]</f>
        <v>F250008</v>
      </c>
      <c r="N858" s="230">
        <f>Table3.110[[#This Row],[Set CIAT]]</f>
        <v>29</v>
      </c>
      <c r="O858" s="230">
        <f>Table3.110[[#This Row],[Batch]]</f>
        <v>62</v>
      </c>
      <c r="P858" s="230">
        <f>Table3.110[[#This Row],[Run]]</f>
        <v>1</v>
      </c>
      <c r="Q858" s="230">
        <f>Table3.110[[#This Row],[Replication]]</f>
        <v>2</v>
      </c>
      <c r="R858" s="230">
        <f>Table3.110[[#This Row],[Syrange No]]</f>
        <v>159</v>
      </c>
      <c r="S858" s="250">
        <v>0.5524</v>
      </c>
      <c r="T858" s="250">
        <v>0.90239999999999998</v>
      </c>
      <c r="U858" s="265"/>
      <c r="V858" s="283">
        <f t="shared" si="79"/>
        <v>0.35</v>
      </c>
      <c r="W858" s="61">
        <f>Table3.110[[#This Row],[DM Incubated, mg]]-('3.2 Digest'!V858*1000)</f>
        <v>118.40485000000001</v>
      </c>
      <c r="X858" s="61">
        <f>W858/Table3.110[[#This Row],[DM Incubated, mg]]*100</f>
        <v>25.278314261690504</v>
      </c>
      <c r="Y858" s="20">
        <f>Table3.110[[#This Row],[DM Incubated, mg]]*'2.4 NDF'!R239/100</f>
        <v>356.45609084999995</v>
      </c>
      <c r="Z858" s="37">
        <f t="shared" si="80"/>
        <v>6.4560908499999528</v>
      </c>
      <c r="AA858" s="37">
        <f t="shared" si="81"/>
        <v>1.8111882545210136</v>
      </c>
      <c r="AB858" s="233"/>
    </row>
    <row r="859" spans="2:28" ht="14.4" customHeight="1" x14ac:dyDescent="0.35">
      <c r="B859" s="230">
        <f t="shared" si="78"/>
        <v>849</v>
      </c>
      <c r="C859" s="9"/>
      <c r="D859" s="248">
        <f>Table3.110[[#This Row],[Date]]</f>
        <v>46055</v>
      </c>
      <c r="E859" s="230" t="str">
        <f>Table3.110[[#This Row],[Requisitioner]]</f>
        <v>Jacobo Arango/Alejandro Montoya</v>
      </c>
      <c r="F859" s="230" t="str">
        <f>Table3.110[[#This Row],[Gene Bank ID]]</f>
        <v>Sample 8</v>
      </c>
      <c r="G859" s="230" t="str">
        <f>Table3.110[[#This Row],[Genus]]</f>
        <v>Cynodon</v>
      </c>
      <c r="H859" s="230" t="str">
        <f>Table3.110[[#This Row],[Species]]</f>
        <v>nlemfuensis</v>
      </c>
      <c r="I859" s="230" t="str">
        <f>Table3.110[[#This Row],[Tax Name]]</f>
        <v xml:space="preserve">Cynodon nlemfuensis </v>
      </c>
      <c r="J859" s="230" t="str">
        <f>Table3.110[[#This Row],[Family]]</f>
        <v>Poaceae</v>
      </c>
      <c r="K859" s="230" t="str">
        <f>Table3.110[[#This Row],[Order]]</f>
        <v>Poales</v>
      </c>
      <c r="L859" s="230" t="str">
        <f>Table3.110[[#This Row],[Functional Group]]</f>
        <v>grasses</v>
      </c>
      <c r="M859" s="230" t="str">
        <f>Table3.110[[#This Row],[CIAT ID]]</f>
        <v>F250008</v>
      </c>
      <c r="N859" s="230">
        <f>Table3.110[[#This Row],[Set CIAT]]</f>
        <v>29</v>
      </c>
      <c r="O859" s="230">
        <f>Table3.110[[#This Row],[Batch]]</f>
        <v>62</v>
      </c>
      <c r="P859" s="230">
        <f>Table3.110[[#This Row],[Run]]</f>
        <v>1</v>
      </c>
      <c r="Q859" s="230">
        <f>Table3.110[[#This Row],[Replication]]</f>
        <v>3</v>
      </c>
      <c r="R859" s="230">
        <f>Table3.110[[#This Row],[Syrange No]]</f>
        <v>160</v>
      </c>
      <c r="S859" s="98">
        <v>0.5363</v>
      </c>
      <c r="T859" s="98">
        <v>0.97850000000000004</v>
      </c>
      <c r="U859" s="110"/>
      <c r="V859" s="283">
        <f t="shared" si="79"/>
        <v>0.44220000000000004</v>
      </c>
      <c r="W859" s="61">
        <f>Table3.110[[#This Row],[DM Incubated, mg]]-('3.2 Digest'!V859*1000)</f>
        <v>25.549999999999955</v>
      </c>
      <c r="X859" s="61">
        <f>W859/Table3.110[[#This Row],[DM Incubated, mg]]*100</f>
        <v>5.4623196151790392</v>
      </c>
      <c r="Y859" s="20">
        <f>Table3.110[[#This Row],[DM Incubated, mg]]*'2.4 NDF'!R239/100</f>
        <v>355.95774999999992</v>
      </c>
      <c r="Z859" s="37">
        <f t="shared" si="80"/>
        <v>-86.242250000000126</v>
      </c>
      <c r="AA859" s="37">
        <f t="shared" si="81"/>
        <v>-24.228226524074877</v>
      </c>
      <c r="AB859" s="6"/>
    </row>
    <row r="860" spans="2:28" ht="14.4" customHeight="1" x14ac:dyDescent="0.35">
      <c r="B860" s="230">
        <f t="shared" si="78"/>
        <v>850</v>
      </c>
      <c r="C860" s="9"/>
      <c r="D860" s="248">
        <f>Table3.110[[#This Row],[Date]]</f>
        <v>46055</v>
      </c>
      <c r="E860" s="230">
        <f>Table3.110[[#This Row],[Requisitioner]]</f>
        <v>0</v>
      </c>
      <c r="F860" s="230" t="str">
        <f>Table3.110[[#This Row],[Gene Bank ID]]</f>
        <v>BLANK 24 H</v>
      </c>
      <c r="G860" s="230" t="str">
        <f>Table3.110[[#This Row],[Genus]]</f>
        <v>BLANK</v>
      </c>
      <c r="H860" s="230">
        <f>Table3.110[[#This Row],[Species]]</f>
        <v>24</v>
      </c>
      <c r="I860" s="230" t="str">
        <f>Table3.110[[#This Row],[Tax Name]]</f>
        <v>BLANK 24 H</v>
      </c>
      <c r="J860" s="230">
        <f>Table3.110[[#This Row],[Family]]</f>
        <v>0</v>
      </c>
      <c r="K860" s="230">
        <f>Table3.110[[#This Row],[Order]]</f>
        <v>0</v>
      </c>
      <c r="L860" s="230">
        <f>Table3.110[[#This Row],[Functional Group]]</f>
        <v>0</v>
      </c>
      <c r="M860" s="230" t="str">
        <f>Table3.110[[#This Row],[CIAT ID]]</f>
        <v>BLANK24H</v>
      </c>
      <c r="N860" s="230">
        <f>Table3.110[[#This Row],[Set CIAT]]</f>
        <v>29</v>
      </c>
      <c r="O860" s="230">
        <f>Table3.110[[#This Row],[Batch]]</f>
        <v>62</v>
      </c>
      <c r="P860" s="230">
        <f>Table3.110[[#This Row],[Run]]</f>
        <v>1</v>
      </c>
      <c r="Q860" s="230">
        <f>Table3.110[[#This Row],[Replication]]</f>
        <v>1</v>
      </c>
      <c r="R860" s="230">
        <f>Table3.110[[#This Row],[Syrange No]]</f>
        <v>161</v>
      </c>
      <c r="S860" s="249"/>
      <c r="T860" s="249"/>
      <c r="U860" s="263"/>
      <c r="V860" s="283"/>
      <c r="W860" s="61"/>
      <c r="X860" s="61"/>
      <c r="Y860" s="30"/>
      <c r="Z860" s="30"/>
      <c r="AA860" s="30"/>
      <c r="AB860" s="6"/>
    </row>
    <row r="861" spans="2:28" ht="14.4" customHeight="1" x14ac:dyDescent="0.35">
      <c r="B861" s="230">
        <f t="shared" si="78"/>
        <v>851</v>
      </c>
      <c r="C861" s="9"/>
      <c r="D861" s="248">
        <f>Table3.110[[#This Row],[Date]]</f>
        <v>46055</v>
      </c>
      <c r="E861" s="230">
        <f>Table3.110[[#This Row],[Requisitioner]]</f>
        <v>0</v>
      </c>
      <c r="F861" s="230" t="str">
        <f>Table3.110[[#This Row],[Gene Bank ID]]</f>
        <v>BLANK 24 H</v>
      </c>
      <c r="G861" s="230" t="str">
        <f>Table3.110[[#This Row],[Genus]]</f>
        <v>BLANK</v>
      </c>
      <c r="H861" s="230">
        <f>Table3.110[[#This Row],[Species]]</f>
        <v>24</v>
      </c>
      <c r="I861" s="230" t="str">
        <f>Table3.110[[#This Row],[Tax Name]]</f>
        <v>BLANK 24 H</v>
      </c>
      <c r="J861" s="230">
        <f>Table3.110[[#This Row],[Family]]</f>
        <v>0</v>
      </c>
      <c r="K861" s="230">
        <f>Table3.110[[#This Row],[Order]]</f>
        <v>0</v>
      </c>
      <c r="L861" s="230">
        <f>Table3.110[[#This Row],[Functional Group]]</f>
        <v>0</v>
      </c>
      <c r="M861" s="230" t="str">
        <f>Table3.110[[#This Row],[CIAT ID]]</f>
        <v>BLANK24H</v>
      </c>
      <c r="N861" s="230">
        <f>Table3.110[[#This Row],[Set CIAT]]</f>
        <v>29</v>
      </c>
      <c r="O861" s="230">
        <f>Table3.110[[#This Row],[Batch]]</f>
        <v>62</v>
      </c>
      <c r="P861" s="230">
        <f>Table3.110[[#This Row],[Run]]</f>
        <v>1</v>
      </c>
      <c r="Q861" s="230">
        <f>Table3.110[[#This Row],[Replication]]</f>
        <v>2</v>
      </c>
      <c r="R861" s="230">
        <f>Table3.110[[#This Row],[Syrange No]]</f>
        <v>162</v>
      </c>
      <c r="S861" s="148"/>
      <c r="T861" s="148"/>
      <c r="U861" s="264"/>
      <c r="V861" s="283"/>
      <c r="W861" s="61"/>
      <c r="X861" s="61"/>
      <c r="Y861" s="30"/>
      <c r="Z861" s="30"/>
      <c r="AA861" s="30"/>
      <c r="AB861" s="6"/>
    </row>
    <row r="862" spans="2:28" ht="14.4" customHeight="1" x14ac:dyDescent="0.35">
      <c r="B862" s="230">
        <f t="shared" si="78"/>
        <v>852</v>
      </c>
      <c r="C862" s="9"/>
      <c r="D862" s="248">
        <f>Table3.110[[#This Row],[Date]]</f>
        <v>46057</v>
      </c>
      <c r="E862" s="230">
        <f>Table3.110[[#This Row],[Requisitioner]]</f>
        <v>0</v>
      </c>
      <c r="F862" s="230" t="str">
        <f>Table3.110[[#This Row],[Gene Bank ID]]</f>
        <v>BLANK 24 H</v>
      </c>
      <c r="G862" s="230" t="str">
        <f>Table3.110[[#This Row],[Genus]]</f>
        <v>BLANK</v>
      </c>
      <c r="H862" s="230">
        <f>Table3.110[[#This Row],[Species]]</f>
        <v>24</v>
      </c>
      <c r="I862" s="230" t="str">
        <f>Table3.110[[#This Row],[Tax Name]]</f>
        <v>BLANK 24 H</v>
      </c>
      <c r="J862" s="230">
        <f>Table3.110[[#This Row],[Family]]</f>
        <v>0</v>
      </c>
      <c r="K862" s="230">
        <f>Table3.110[[#This Row],[Order]]</f>
        <v>0</v>
      </c>
      <c r="L862" s="230">
        <f>Table3.110[[#This Row],[Functional Group]]</f>
        <v>0</v>
      </c>
      <c r="M862" s="230" t="str">
        <f>Table3.110[[#This Row],[CIAT ID]]</f>
        <v>BLANK24H</v>
      </c>
      <c r="N862" s="230">
        <f>Table3.110[[#This Row],[Set CIAT]]</f>
        <v>29</v>
      </c>
      <c r="O862" s="230">
        <f>Table3.110[[#This Row],[Batch]]</f>
        <v>63</v>
      </c>
      <c r="P862" s="230">
        <f>Table3.110[[#This Row],[Run]]</f>
        <v>2</v>
      </c>
      <c r="Q862" s="230">
        <f>Table3.110[[#This Row],[Replication]]</f>
        <v>1</v>
      </c>
      <c r="R862" s="230">
        <f>Table3.110[[#This Row],[Syrange No]]</f>
        <v>163</v>
      </c>
      <c r="S862" s="249"/>
      <c r="T862" s="249"/>
      <c r="U862" s="263"/>
      <c r="V862" s="283"/>
      <c r="W862" s="61"/>
      <c r="X862" s="61"/>
      <c r="Y862" s="30"/>
      <c r="Z862" s="30"/>
      <c r="AA862" s="30"/>
      <c r="AB862" s="6"/>
    </row>
    <row r="863" spans="2:28" ht="14.4" customHeight="1" x14ac:dyDescent="0.35">
      <c r="B863" s="230">
        <f t="shared" si="78"/>
        <v>853</v>
      </c>
      <c r="C863" s="9"/>
      <c r="D863" s="248">
        <f>Table3.110[[#This Row],[Date]]</f>
        <v>46057</v>
      </c>
      <c r="E863" s="230">
        <f>Table3.110[[#This Row],[Requisitioner]]</f>
        <v>0</v>
      </c>
      <c r="F863" s="230" t="str">
        <f>Table3.110[[#This Row],[Gene Bank ID]]</f>
        <v>BLANK 24 H</v>
      </c>
      <c r="G863" s="230" t="str">
        <f>Table3.110[[#This Row],[Genus]]</f>
        <v>BLANK</v>
      </c>
      <c r="H863" s="230">
        <f>Table3.110[[#This Row],[Species]]</f>
        <v>24</v>
      </c>
      <c r="I863" s="230" t="str">
        <f>Table3.110[[#This Row],[Tax Name]]</f>
        <v>BLANK 24 H</v>
      </c>
      <c r="J863" s="230">
        <f>Table3.110[[#This Row],[Family]]</f>
        <v>0</v>
      </c>
      <c r="K863" s="230">
        <f>Table3.110[[#This Row],[Order]]</f>
        <v>0</v>
      </c>
      <c r="L863" s="230">
        <f>Table3.110[[#This Row],[Functional Group]]</f>
        <v>0</v>
      </c>
      <c r="M863" s="230" t="str">
        <f>Table3.110[[#This Row],[CIAT ID]]</f>
        <v>BLANK24H</v>
      </c>
      <c r="N863" s="230">
        <f>Table3.110[[#This Row],[Set CIAT]]</f>
        <v>29</v>
      </c>
      <c r="O863" s="230">
        <f>Table3.110[[#This Row],[Batch]]</f>
        <v>63</v>
      </c>
      <c r="P863" s="230">
        <f>Table3.110[[#This Row],[Run]]</f>
        <v>2</v>
      </c>
      <c r="Q863" s="230">
        <f>Table3.110[[#This Row],[Replication]]</f>
        <v>2</v>
      </c>
      <c r="R863" s="230">
        <f>Table3.110[[#This Row],[Syrange No]]</f>
        <v>164</v>
      </c>
      <c r="S863" s="148"/>
      <c r="T863" s="148"/>
      <c r="U863" s="264"/>
      <c r="V863" s="283"/>
      <c r="W863" s="61"/>
      <c r="X863" s="61"/>
      <c r="Y863" s="30"/>
      <c r="Z863" s="30"/>
      <c r="AA863" s="30"/>
      <c r="AB863" s="6"/>
    </row>
    <row r="864" spans="2:28" ht="14.4" customHeight="1" x14ac:dyDescent="0.35">
      <c r="B864" s="230">
        <f t="shared" si="78"/>
        <v>854</v>
      </c>
      <c r="C864" s="9"/>
      <c r="D864" s="248">
        <f>Table3.110[[#This Row],[Date]]</f>
        <v>46057</v>
      </c>
      <c r="E864" s="230" t="str">
        <f>Table3.110[[#This Row],[Requisitioner]]</f>
        <v>Genbank</v>
      </c>
      <c r="F864" s="230" t="str">
        <f>Table3.110[[#This Row],[Gene Bank ID]]</f>
        <v>CIAT18953</v>
      </c>
      <c r="G864" s="230" t="str">
        <f>Table3.110[[#This Row],[Genus]]</f>
        <v>Indigofera</v>
      </c>
      <c r="H864" s="230" t="str">
        <f>Table3.110[[#This Row],[Species]]</f>
        <v>atriceps</v>
      </c>
      <c r="I864" s="230" t="str">
        <f>Table3.110[[#This Row],[Tax Name]]</f>
        <v>Indigofera atriceps</v>
      </c>
      <c r="J864" s="230" t="str">
        <f>Table3.110[[#This Row],[Family]]</f>
        <v>Fabaceae</v>
      </c>
      <c r="K864" s="230" t="str">
        <f>Table3.110[[#This Row],[Order]]</f>
        <v>Fabales</v>
      </c>
      <c r="L864" s="230" t="str">
        <f>Table3.110[[#This Row],[Functional Group]]</f>
        <v>Herbaceous</v>
      </c>
      <c r="M864" s="230" t="str">
        <f>Table3.110[[#This Row],[CIAT ID]]</f>
        <v>F252604</v>
      </c>
      <c r="N864" s="230">
        <f>Table3.110[[#This Row],[Set CIAT]]</f>
        <v>29</v>
      </c>
      <c r="O864" s="230">
        <f>Table3.110[[#This Row],[Batch]]</f>
        <v>63</v>
      </c>
      <c r="P864" s="230">
        <f>Table3.110[[#This Row],[Run]]</f>
        <v>2</v>
      </c>
      <c r="Q864" s="230">
        <f>Table3.110[[#This Row],[Replication]]</f>
        <v>1</v>
      </c>
      <c r="R864" s="230">
        <f>Table3.110[[#This Row],[Syrange No]]</f>
        <v>165</v>
      </c>
      <c r="S864" s="250">
        <v>0.58399999999999996</v>
      </c>
      <c r="T864" s="250">
        <v>0.85729999999999995</v>
      </c>
      <c r="U864" s="265"/>
      <c r="V864" s="283">
        <f t="shared" si="79"/>
        <v>0.27329999999999999</v>
      </c>
      <c r="W864" s="61">
        <f>Table3.110[[#This Row],[DM Incubated, mg]]-('3.2 Digest'!V864*1000)</f>
        <v>174.56190828351458</v>
      </c>
      <c r="X864" s="61">
        <f>W864/Table3.110[[#This Row],[DM Incubated, mg]]*100</f>
        <v>38.97672587350516</v>
      </c>
      <c r="Y864" s="30">
        <f>Table3.110[[#This Row],[DM Incubated, mg]]*'2.4 NDF'!R197/100</f>
        <v>236.09520834094462</v>
      </c>
      <c r="Z864" s="37">
        <f>Y864-(V864*1000)</f>
        <v>-37.204791659055388</v>
      </c>
      <c r="AA864" s="37">
        <f t="shared" ref="AA864" si="82">Z864/Y864*100</f>
        <v>-15.758384899251332</v>
      </c>
      <c r="AB864" s="6"/>
    </row>
    <row r="865" spans="2:28" ht="14.4" customHeight="1" x14ac:dyDescent="0.35">
      <c r="B865" s="230">
        <f t="shared" si="78"/>
        <v>855</v>
      </c>
      <c r="C865" s="9"/>
      <c r="D865" s="248">
        <f>Table3.110[[#This Row],[Date]]</f>
        <v>46057</v>
      </c>
      <c r="E865" s="230" t="str">
        <f>Table3.110[[#This Row],[Requisitioner]]</f>
        <v>Genbank</v>
      </c>
      <c r="F865" s="230" t="str">
        <f>Table3.110[[#This Row],[Gene Bank ID]]</f>
        <v>CIAT18953</v>
      </c>
      <c r="G865" s="230" t="str">
        <f>Table3.110[[#This Row],[Genus]]</f>
        <v>Indigofera</v>
      </c>
      <c r="H865" s="230" t="str">
        <f>Table3.110[[#This Row],[Species]]</f>
        <v>atriceps</v>
      </c>
      <c r="I865" s="230" t="str">
        <f>Table3.110[[#This Row],[Tax Name]]</f>
        <v>Indigofera atriceps</v>
      </c>
      <c r="J865" s="230" t="str">
        <f>Table3.110[[#This Row],[Family]]</f>
        <v>Fabaceae</v>
      </c>
      <c r="K865" s="230" t="str">
        <f>Table3.110[[#This Row],[Order]]</f>
        <v>Fabales</v>
      </c>
      <c r="L865" s="230" t="str">
        <f>Table3.110[[#This Row],[Functional Group]]</f>
        <v>Herbaceous</v>
      </c>
      <c r="M865" s="230" t="str">
        <f>Table3.110[[#This Row],[CIAT ID]]</f>
        <v>F252604</v>
      </c>
      <c r="N865" s="230">
        <f>Table3.110[[#This Row],[Set CIAT]]</f>
        <v>29</v>
      </c>
      <c r="O865" s="230">
        <f>Table3.110[[#This Row],[Batch]]</f>
        <v>63</v>
      </c>
      <c r="P865" s="230">
        <f>Table3.110[[#This Row],[Run]]</f>
        <v>2</v>
      </c>
      <c r="Q865" s="230">
        <f>Table3.110[[#This Row],[Replication]]</f>
        <v>2</v>
      </c>
      <c r="R865" s="230">
        <f>Table3.110[[#This Row],[Syrange No]]</f>
        <v>166</v>
      </c>
      <c r="S865" s="98">
        <v>0.57469999999999999</v>
      </c>
      <c r="T865" s="98">
        <v>0.8427</v>
      </c>
      <c r="U865" s="110"/>
      <c r="V865" s="283">
        <f t="shared" si="79"/>
        <v>0.26800000000000002</v>
      </c>
      <c r="W865" s="61">
        <f>Table3.110[[#This Row],[DM Incubated, mg]]-('3.2 Digest'!V865*1000)</f>
        <v>179.68283514945477</v>
      </c>
      <c r="X865" s="61">
        <f>W865/Table3.110[[#This Row],[DM Incubated, mg]]*100</f>
        <v>40.136190410219619</v>
      </c>
      <c r="Y865" s="30">
        <f>Table3.110[[#This Row],[DM Incubated, mg]]*'2.4 NDF'!R197/100</f>
        <v>236.00080801773751</v>
      </c>
      <c r="Z865" s="37">
        <f t="shared" ref="Z865:Z928" si="83">Y865-(V865*1000)</f>
        <v>-31.999191982262488</v>
      </c>
      <c r="AA865" s="37">
        <f t="shared" ref="AA865:AA928" si="84">Z865/Y865*100</f>
        <v>-13.558933230371597</v>
      </c>
      <c r="AB865" s="6"/>
    </row>
    <row r="866" spans="2:28" ht="14.4" customHeight="1" x14ac:dyDescent="0.35">
      <c r="B866" s="230">
        <f t="shared" si="78"/>
        <v>856</v>
      </c>
      <c r="C866" s="9"/>
      <c r="D866" s="248">
        <f>Table3.110[[#This Row],[Date]]</f>
        <v>46057</v>
      </c>
      <c r="E866" s="230" t="str">
        <f>Table3.110[[#This Row],[Requisitioner]]</f>
        <v>Genbank</v>
      </c>
      <c r="F866" s="230" t="str">
        <f>Table3.110[[#This Row],[Gene Bank ID]]</f>
        <v>CIAT18953</v>
      </c>
      <c r="G866" s="230" t="str">
        <f>Table3.110[[#This Row],[Genus]]</f>
        <v>Indigofera</v>
      </c>
      <c r="H866" s="230" t="str">
        <f>Table3.110[[#This Row],[Species]]</f>
        <v>atriceps</v>
      </c>
      <c r="I866" s="230" t="str">
        <f>Table3.110[[#This Row],[Tax Name]]</f>
        <v>Indigofera atriceps</v>
      </c>
      <c r="J866" s="230" t="str">
        <f>Table3.110[[#This Row],[Family]]</f>
        <v>Fabaceae</v>
      </c>
      <c r="K866" s="230" t="str">
        <f>Table3.110[[#This Row],[Order]]</f>
        <v>Fabales</v>
      </c>
      <c r="L866" s="230" t="str">
        <f>Table3.110[[#This Row],[Functional Group]]</f>
        <v>Herbaceous</v>
      </c>
      <c r="M866" s="230" t="str">
        <f>Table3.110[[#This Row],[CIAT ID]]</f>
        <v>F252604</v>
      </c>
      <c r="N866" s="230">
        <f>Table3.110[[#This Row],[Set CIAT]]</f>
        <v>29</v>
      </c>
      <c r="O866" s="230">
        <f>Table3.110[[#This Row],[Batch]]</f>
        <v>63</v>
      </c>
      <c r="P866" s="230">
        <f>Table3.110[[#This Row],[Run]]</f>
        <v>2</v>
      </c>
      <c r="Q866" s="230">
        <f>Table3.110[[#This Row],[Replication]]</f>
        <v>3</v>
      </c>
      <c r="R866" s="230">
        <f>Table3.110[[#This Row],[Syrange No]]</f>
        <v>167</v>
      </c>
      <c r="S866" s="250">
        <v>0.59</v>
      </c>
      <c r="T866" s="250">
        <v>0.84430000000000005</v>
      </c>
      <c r="U866" s="265"/>
      <c r="V866" s="283">
        <f t="shared" si="79"/>
        <v>0.25430000000000008</v>
      </c>
      <c r="W866" s="61">
        <f>Table3.110[[#This Row],[DM Incubated, mg]]-('3.2 Digest'!V866*1000)</f>
        <v>193.65144485054435</v>
      </c>
      <c r="X866" s="61">
        <f>W866/Table3.110[[#This Row],[DM Incubated, mg]]*100</f>
        <v>43.230454344254802</v>
      </c>
      <c r="Y866" s="74">
        <f>Table3.110[[#This Row],[DM Incubated, mg]]*'2.4 NDF'!R197/100</f>
        <v>236.14240850254814</v>
      </c>
      <c r="Z866" s="37">
        <f t="shared" si="83"/>
        <v>-18.157591497451932</v>
      </c>
      <c r="AA866" s="37">
        <f t="shared" si="84"/>
        <v>-7.6892548071288092</v>
      </c>
      <c r="AB866" s="6"/>
    </row>
    <row r="867" spans="2:28" ht="14.4" customHeight="1" x14ac:dyDescent="0.35">
      <c r="B867" s="230">
        <f t="shared" si="78"/>
        <v>857</v>
      </c>
      <c r="C867" s="9"/>
      <c r="D867" s="248">
        <f>Table3.110[[#This Row],[Date]]</f>
        <v>46057</v>
      </c>
      <c r="E867" s="230" t="str">
        <f>Table3.110[[#This Row],[Requisitioner]]</f>
        <v>Genbank</v>
      </c>
      <c r="F867" s="230" t="str">
        <f>Table3.110[[#This Row],[Gene Bank ID]]</f>
        <v>CIAT18954</v>
      </c>
      <c r="G867" s="230" t="str">
        <f>Table3.110[[#This Row],[Genus]]</f>
        <v>Indigofera</v>
      </c>
      <c r="H867" s="230" t="str">
        <f>Table3.110[[#This Row],[Species]]</f>
        <v>atriceps</v>
      </c>
      <c r="I867" s="230" t="str">
        <f>Table3.110[[#This Row],[Tax Name]]</f>
        <v>Indigofera atriceps</v>
      </c>
      <c r="J867" s="230" t="str">
        <f>Table3.110[[#This Row],[Family]]</f>
        <v>Fabaceae</v>
      </c>
      <c r="K867" s="230" t="str">
        <f>Table3.110[[#This Row],[Order]]</f>
        <v>Fabales</v>
      </c>
      <c r="L867" s="230" t="str">
        <f>Table3.110[[#This Row],[Functional Group]]</f>
        <v>Herbaceous</v>
      </c>
      <c r="M867" s="230" t="str">
        <f>Table3.110[[#This Row],[CIAT ID]]</f>
        <v>F252605</v>
      </c>
      <c r="N867" s="230">
        <f>Table3.110[[#This Row],[Set CIAT]]</f>
        <v>29</v>
      </c>
      <c r="O867" s="230">
        <f>Table3.110[[#This Row],[Batch]]</f>
        <v>63</v>
      </c>
      <c r="P867" s="230">
        <f>Table3.110[[#This Row],[Run]]</f>
        <v>2</v>
      </c>
      <c r="Q867" s="230">
        <f>Table3.110[[#This Row],[Replication]]</f>
        <v>1</v>
      </c>
      <c r="R867" s="230">
        <f>Table3.110[[#This Row],[Syrange No]]</f>
        <v>168</v>
      </c>
      <c r="S867" s="98">
        <v>0.59860000000000002</v>
      </c>
      <c r="T867" s="98">
        <v>0.85509999999999997</v>
      </c>
      <c r="U867" s="110"/>
      <c r="V867" s="283">
        <f t="shared" si="79"/>
        <v>0.25649999999999995</v>
      </c>
      <c r="W867" s="61">
        <f>Table3.110[[#This Row],[DM Incubated, mg]]-('3.2 Digest'!V867*1000)</f>
        <v>208.20529911615887</v>
      </c>
      <c r="X867" s="61">
        <f>W867/Table3.110[[#This Row],[DM Incubated, mg]]*100</f>
        <v>44.803728193363121</v>
      </c>
      <c r="Y867" s="30">
        <f>Table3.110[[#This Row],[DM Incubated, mg]]*'2.4 NDF'!R199/100</f>
        <v>239.51575290934838</v>
      </c>
      <c r="Z867" s="37">
        <f t="shared" si="83"/>
        <v>-16.984247090651564</v>
      </c>
      <c r="AA867" s="37">
        <f t="shared" si="84"/>
        <v>-7.0910772608262391</v>
      </c>
      <c r="AB867" s="6"/>
    </row>
    <row r="868" spans="2:28" ht="14.4" customHeight="1" x14ac:dyDescent="0.35">
      <c r="B868" s="230">
        <f t="shared" si="78"/>
        <v>858</v>
      </c>
      <c r="C868" s="9"/>
      <c r="D868" s="248">
        <f>Table3.110[[#This Row],[Date]]</f>
        <v>46057</v>
      </c>
      <c r="E868" s="230" t="str">
        <f>Table3.110[[#This Row],[Requisitioner]]</f>
        <v>Genbank</v>
      </c>
      <c r="F868" s="230" t="str">
        <f>Table3.110[[#This Row],[Gene Bank ID]]</f>
        <v>CIAT18954</v>
      </c>
      <c r="G868" s="230" t="str">
        <f>Table3.110[[#This Row],[Genus]]</f>
        <v>Indigofera</v>
      </c>
      <c r="H868" s="230" t="str">
        <f>Table3.110[[#This Row],[Species]]</f>
        <v>atriceps</v>
      </c>
      <c r="I868" s="230" t="str">
        <f>Table3.110[[#This Row],[Tax Name]]</f>
        <v>Indigofera atriceps</v>
      </c>
      <c r="J868" s="230" t="str">
        <f>Table3.110[[#This Row],[Family]]</f>
        <v>Fabaceae</v>
      </c>
      <c r="K868" s="230" t="str">
        <f>Table3.110[[#This Row],[Order]]</f>
        <v>Fabales</v>
      </c>
      <c r="L868" s="230" t="str">
        <f>Table3.110[[#This Row],[Functional Group]]</f>
        <v>Herbaceous</v>
      </c>
      <c r="M868" s="230" t="str">
        <f>Table3.110[[#This Row],[CIAT ID]]</f>
        <v>F252605</v>
      </c>
      <c r="N868" s="230">
        <f>Table3.110[[#This Row],[Set CIAT]]</f>
        <v>29</v>
      </c>
      <c r="O868" s="230">
        <f>Table3.110[[#This Row],[Batch]]</f>
        <v>63</v>
      </c>
      <c r="P868" s="230">
        <f>Table3.110[[#This Row],[Run]]</f>
        <v>2</v>
      </c>
      <c r="Q868" s="230">
        <f>Table3.110[[#This Row],[Replication]]</f>
        <v>2</v>
      </c>
      <c r="R868" s="230">
        <f>Table3.110[[#This Row],[Syrange No]]</f>
        <v>169</v>
      </c>
      <c r="S868" s="250">
        <v>0.59340000000000004</v>
      </c>
      <c r="T868" s="250">
        <v>0.84889999999999999</v>
      </c>
      <c r="U868" s="265"/>
      <c r="V868" s="283">
        <f t="shared" si="79"/>
        <v>0.25549999999999995</v>
      </c>
      <c r="W868" s="61">
        <f>Table3.110[[#This Row],[DM Incubated, mg]]-('3.2 Digest'!V868*1000)</f>
        <v>209.39118123580533</v>
      </c>
      <c r="X868" s="61">
        <f>W868/Table3.110[[#This Row],[DM Incubated, mg]]*100</f>
        <v>45.040901976068355</v>
      </c>
      <c r="Y868" s="74">
        <f>Table3.110[[#This Row],[DM Incubated, mg]]*'2.4 NDF'!R199/100</f>
        <v>239.6115592105121</v>
      </c>
      <c r="Z868" s="37">
        <f t="shared" si="83"/>
        <v>-15.888440789487845</v>
      </c>
      <c r="AA868" s="37">
        <f t="shared" si="84"/>
        <v>-6.6309158213560826</v>
      </c>
      <c r="AB868" s="6"/>
    </row>
    <row r="869" spans="2:28" ht="14.4" customHeight="1" x14ac:dyDescent="0.35">
      <c r="B869" s="230">
        <f t="shared" si="78"/>
        <v>859</v>
      </c>
      <c r="C869" s="9"/>
      <c r="D869" s="248">
        <f>Table3.110[[#This Row],[Date]]</f>
        <v>46057</v>
      </c>
      <c r="E869" s="230" t="str">
        <f>Table3.110[[#This Row],[Requisitioner]]</f>
        <v>Genbank</v>
      </c>
      <c r="F869" s="230" t="str">
        <f>Table3.110[[#This Row],[Gene Bank ID]]</f>
        <v>CIAT18954</v>
      </c>
      <c r="G869" s="230" t="str">
        <f>Table3.110[[#This Row],[Genus]]</f>
        <v>Indigofera</v>
      </c>
      <c r="H869" s="230" t="str">
        <f>Table3.110[[#This Row],[Species]]</f>
        <v>atriceps</v>
      </c>
      <c r="I869" s="230" t="str">
        <f>Table3.110[[#This Row],[Tax Name]]</f>
        <v>Indigofera atriceps</v>
      </c>
      <c r="J869" s="230" t="str">
        <f>Table3.110[[#This Row],[Family]]</f>
        <v>Fabaceae</v>
      </c>
      <c r="K869" s="230" t="str">
        <f>Table3.110[[#This Row],[Order]]</f>
        <v>Fabales</v>
      </c>
      <c r="L869" s="230" t="str">
        <f>Table3.110[[#This Row],[Functional Group]]</f>
        <v>Herbaceous</v>
      </c>
      <c r="M869" s="230" t="str">
        <f>Table3.110[[#This Row],[CIAT ID]]</f>
        <v>F252605</v>
      </c>
      <c r="N869" s="230">
        <f>Table3.110[[#This Row],[Set CIAT]]</f>
        <v>29</v>
      </c>
      <c r="O869" s="230">
        <f>Table3.110[[#This Row],[Batch]]</f>
        <v>63</v>
      </c>
      <c r="P869" s="230">
        <f>Table3.110[[#This Row],[Run]]</f>
        <v>2</v>
      </c>
      <c r="Q869" s="230">
        <f>Table3.110[[#This Row],[Replication]]</f>
        <v>3</v>
      </c>
      <c r="R869" s="230">
        <f>Table3.110[[#This Row],[Syrange No]]</f>
        <v>170</v>
      </c>
      <c r="S869" s="98">
        <v>0.57050000000000001</v>
      </c>
      <c r="T869" s="98">
        <v>0.89670000000000005</v>
      </c>
      <c r="U869" s="110"/>
      <c r="V869" s="283">
        <f t="shared" si="79"/>
        <v>0.32620000000000005</v>
      </c>
      <c r="W869" s="61">
        <f>Table3.110[[#This Row],[DM Incubated, mg]]-('3.2 Digest'!V869*1000)</f>
        <v>138.8770633554517</v>
      </c>
      <c r="X869" s="61">
        <f>W869/Table3.110[[#This Row],[DM Incubated, mg]]*100</f>
        <v>29.861086322657442</v>
      </c>
      <c r="Y869" s="74">
        <f>Table3.110[[#This Row],[DM Incubated, mg]]*'2.4 NDF'!R199/100</f>
        <v>239.70736551167585</v>
      </c>
      <c r="Z869" s="37">
        <f t="shared" si="83"/>
        <v>-86.4926344883242</v>
      </c>
      <c r="AA869" s="37">
        <f t="shared" si="84"/>
        <v>-36.082593583930255</v>
      </c>
      <c r="AB869" s="6"/>
    </row>
    <row r="870" spans="2:28" ht="14.4" customHeight="1" x14ac:dyDescent="0.35">
      <c r="B870" s="230">
        <f t="shared" si="78"/>
        <v>860</v>
      </c>
      <c r="C870" s="9"/>
      <c r="D870" s="248">
        <f>Table3.110[[#This Row],[Date]]</f>
        <v>46057</v>
      </c>
      <c r="E870" s="230" t="str">
        <f>Table3.110[[#This Row],[Requisitioner]]</f>
        <v>Genbank</v>
      </c>
      <c r="F870" s="230" t="str">
        <f>Table3.110[[#This Row],[Gene Bank ID]]</f>
        <v>CIAT19198</v>
      </c>
      <c r="G870" s="230" t="str">
        <f>Table3.110[[#This Row],[Genus]]</f>
        <v>Tephrosia</v>
      </c>
      <c r="H870" s="230" t="str">
        <f>Table3.110[[#This Row],[Species]]</f>
        <v>villosa</v>
      </c>
      <c r="I870" s="230" t="str">
        <f>Table3.110[[#This Row],[Tax Name]]</f>
        <v>Tephrosia villosa</v>
      </c>
      <c r="J870" s="230" t="str">
        <f>Table3.110[[#This Row],[Family]]</f>
        <v>Fabaceae</v>
      </c>
      <c r="K870" s="230" t="str">
        <f>Table3.110[[#This Row],[Order]]</f>
        <v>Fabales</v>
      </c>
      <c r="L870" s="230" t="str">
        <f>Table3.110[[#This Row],[Functional Group]]</f>
        <v>Herbaceous</v>
      </c>
      <c r="M870" s="230" t="str">
        <f>Table3.110[[#This Row],[CIAT ID]]</f>
        <v>F252606</v>
      </c>
      <c r="N870" s="230">
        <f>Table3.110[[#This Row],[Set CIAT]]</f>
        <v>29</v>
      </c>
      <c r="O870" s="230">
        <f>Table3.110[[#This Row],[Batch]]</f>
        <v>63</v>
      </c>
      <c r="P870" s="230">
        <f>Table3.110[[#This Row],[Run]]</f>
        <v>2</v>
      </c>
      <c r="Q870" s="230">
        <f>Table3.110[[#This Row],[Replication]]</f>
        <v>1</v>
      </c>
      <c r="R870" s="230">
        <f>Table3.110[[#This Row],[Syrange No]]</f>
        <v>171</v>
      </c>
      <c r="S870" s="250">
        <v>0.59330000000000005</v>
      </c>
      <c r="T870" s="250">
        <v>0.84099999999999997</v>
      </c>
      <c r="U870" s="265"/>
      <c r="V870" s="283">
        <f t="shared" si="79"/>
        <v>0.24769999999999992</v>
      </c>
      <c r="W870" s="61">
        <f>Table3.110[[#This Row],[DM Incubated, mg]]-('3.2 Digest'!V870*1000)</f>
        <v>205.37635520106187</v>
      </c>
      <c r="X870" s="61">
        <f>W870/Table3.110[[#This Row],[DM Incubated, mg]]*100</f>
        <v>45.329303293684781</v>
      </c>
      <c r="Y870" s="30">
        <f>Table3.110[[#This Row],[DM Incubated, mg]]*'2.4 NDF'!R201/100</f>
        <v>234.35807344316913</v>
      </c>
      <c r="Z870" s="37">
        <f t="shared" si="83"/>
        <v>-13.341926556830799</v>
      </c>
      <c r="AA870" s="37">
        <f t="shared" si="84"/>
        <v>-5.6929664768157267</v>
      </c>
      <c r="AB870" s="6"/>
    </row>
    <row r="871" spans="2:28" ht="14.4" customHeight="1" x14ac:dyDescent="0.35">
      <c r="B871" s="230">
        <f t="shared" si="78"/>
        <v>861</v>
      </c>
      <c r="C871" s="9"/>
      <c r="D871" s="248">
        <f>Table3.110[[#This Row],[Date]]</f>
        <v>46057</v>
      </c>
      <c r="E871" s="230" t="str">
        <f>Table3.110[[#This Row],[Requisitioner]]</f>
        <v>Genbank</v>
      </c>
      <c r="F871" s="230" t="str">
        <f>Table3.110[[#This Row],[Gene Bank ID]]</f>
        <v>CIAT19198</v>
      </c>
      <c r="G871" s="230" t="str">
        <f>Table3.110[[#This Row],[Genus]]</f>
        <v>Tephrosia</v>
      </c>
      <c r="H871" s="230" t="str">
        <f>Table3.110[[#This Row],[Species]]</f>
        <v>villosa</v>
      </c>
      <c r="I871" s="230" t="str">
        <f>Table3.110[[#This Row],[Tax Name]]</f>
        <v>Tephrosia villosa</v>
      </c>
      <c r="J871" s="230" t="str">
        <f>Table3.110[[#This Row],[Family]]</f>
        <v>Fabaceae</v>
      </c>
      <c r="K871" s="230" t="str">
        <f>Table3.110[[#This Row],[Order]]</f>
        <v>Fabales</v>
      </c>
      <c r="L871" s="230" t="str">
        <f>Table3.110[[#This Row],[Functional Group]]</f>
        <v>Herbaceous</v>
      </c>
      <c r="M871" s="230" t="str">
        <f>Table3.110[[#This Row],[CIAT ID]]</f>
        <v>F252606</v>
      </c>
      <c r="N871" s="230">
        <f>Table3.110[[#This Row],[Set CIAT]]</f>
        <v>29</v>
      </c>
      <c r="O871" s="230">
        <f>Table3.110[[#This Row],[Batch]]</f>
        <v>63</v>
      </c>
      <c r="P871" s="230">
        <f>Table3.110[[#This Row],[Run]]</f>
        <v>2</v>
      </c>
      <c r="Q871" s="230">
        <f>Table3.110[[#This Row],[Replication]]</f>
        <v>2</v>
      </c>
      <c r="R871" s="230">
        <f>Table3.110[[#This Row],[Syrange No]]</f>
        <v>172</v>
      </c>
      <c r="S871" s="98">
        <v>0.58540000000000003</v>
      </c>
      <c r="T871" s="98">
        <v>0.86040000000000005</v>
      </c>
      <c r="U871" s="110"/>
      <c r="V871" s="283">
        <f t="shared" si="79"/>
        <v>0.27500000000000002</v>
      </c>
      <c r="W871" s="61">
        <f>Table3.110[[#This Row],[DM Incubated, mg]]-('3.2 Digest'!V871*1000)</f>
        <v>177.80472669074948</v>
      </c>
      <c r="X871" s="61">
        <f>W871/Table3.110[[#This Row],[DM Incubated, mg]]*100</f>
        <v>39.267418427852277</v>
      </c>
      <c r="Y871" s="30">
        <f>Table3.110[[#This Row],[DM Incubated, mg]]*'2.4 NDF'!R201/100</f>
        <v>234.21757100105697</v>
      </c>
      <c r="Z871" s="37">
        <f t="shared" si="83"/>
        <v>-40.782428998943033</v>
      </c>
      <c r="AA871" s="37">
        <f t="shared" si="84"/>
        <v>-17.412198762303362</v>
      </c>
      <c r="AB871" s="6"/>
    </row>
    <row r="872" spans="2:28" ht="14.4" customHeight="1" x14ac:dyDescent="0.35">
      <c r="B872" s="230">
        <f t="shared" si="78"/>
        <v>862</v>
      </c>
      <c r="C872" s="9"/>
      <c r="D872" s="248">
        <f>Table3.110[[#This Row],[Date]]</f>
        <v>46057</v>
      </c>
      <c r="E872" s="230" t="str">
        <f>Table3.110[[#This Row],[Requisitioner]]</f>
        <v>Genbank</v>
      </c>
      <c r="F872" s="230" t="str">
        <f>Table3.110[[#This Row],[Gene Bank ID]]</f>
        <v>CIAT19198</v>
      </c>
      <c r="G872" s="230" t="str">
        <f>Table3.110[[#This Row],[Genus]]</f>
        <v>Tephrosia</v>
      </c>
      <c r="H872" s="230" t="str">
        <f>Table3.110[[#This Row],[Species]]</f>
        <v>villosa</v>
      </c>
      <c r="I872" s="230" t="str">
        <f>Table3.110[[#This Row],[Tax Name]]</f>
        <v>Tephrosia villosa</v>
      </c>
      <c r="J872" s="230" t="str">
        <f>Table3.110[[#This Row],[Family]]</f>
        <v>Fabaceae</v>
      </c>
      <c r="K872" s="230" t="str">
        <f>Table3.110[[#This Row],[Order]]</f>
        <v>Fabales</v>
      </c>
      <c r="L872" s="230" t="str">
        <f>Table3.110[[#This Row],[Functional Group]]</f>
        <v>Herbaceous</v>
      </c>
      <c r="M872" s="230" t="str">
        <f>Table3.110[[#This Row],[CIAT ID]]</f>
        <v>F252606</v>
      </c>
      <c r="N872" s="230">
        <f>Table3.110[[#This Row],[Set CIAT]]</f>
        <v>29</v>
      </c>
      <c r="O872" s="230">
        <f>Table3.110[[#This Row],[Batch]]</f>
        <v>63</v>
      </c>
      <c r="P872" s="230">
        <f>Table3.110[[#This Row],[Run]]</f>
        <v>2</v>
      </c>
      <c r="Q872" s="230">
        <f>Table3.110[[#This Row],[Replication]]</f>
        <v>3</v>
      </c>
      <c r="R872" s="230">
        <f>Table3.110[[#This Row],[Syrange No]]</f>
        <v>173</v>
      </c>
      <c r="S872" s="250">
        <v>0.56979999999999997</v>
      </c>
      <c r="T872" s="250">
        <v>0.8085</v>
      </c>
      <c r="U872" s="265"/>
      <c r="V872" s="283">
        <f t="shared" si="79"/>
        <v>0.23870000000000002</v>
      </c>
      <c r="W872" s="61">
        <f>Table3.110[[#This Row],[DM Incubated, mg]]-('3.2 Digest'!V872*1000)</f>
        <v>214.46689803783252</v>
      </c>
      <c r="X872" s="61">
        <f>W872/Table3.110[[#This Row],[DM Incubated, mg]]*100</f>
        <v>47.326249769445383</v>
      </c>
      <c r="Y872" s="74">
        <f>Table3.110[[#This Row],[DM Incubated, mg]]*'2.4 NDF'!R201/100</f>
        <v>234.40490759053984</v>
      </c>
      <c r="Z872" s="37">
        <f t="shared" si="83"/>
        <v>-4.2950924094601817</v>
      </c>
      <c r="AA872" s="37">
        <f t="shared" si="84"/>
        <v>-1.832338944440054</v>
      </c>
      <c r="AB872" s="6"/>
    </row>
    <row r="873" spans="2:28" ht="14.4" customHeight="1" x14ac:dyDescent="0.35">
      <c r="B873" s="230">
        <f t="shared" si="78"/>
        <v>863</v>
      </c>
      <c r="C873" s="9"/>
      <c r="D873" s="248">
        <f>Table3.110[[#This Row],[Date]]</f>
        <v>46057</v>
      </c>
      <c r="E873" s="230" t="str">
        <f>Table3.110[[#This Row],[Requisitioner]]</f>
        <v>Genbank</v>
      </c>
      <c r="F873" s="230" t="str">
        <f>Table3.110[[#This Row],[Gene Bank ID]]</f>
        <v>CIAT19460</v>
      </c>
      <c r="G873" s="230" t="str">
        <f>Table3.110[[#This Row],[Genus]]</f>
        <v>Sesbania</v>
      </c>
      <c r="H873" s="230" t="str">
        <f>Table3.110[[#This Row],[Species]]</f>
        <v>cannabina</v>
      </c>
      <c r="I873" s="230" t="str">
        <f>Table3.110[[#This Row],[Tax Name]]</f>
        <v>Sesbania cannabina</v>
      </c>
      <c r="J873" s="230" t="str">
        <f>Table3.110[[#This Row],[Family]]</f>
        <v>Fabaceae</v>
      </c>
      <c r="K873" s="230" t="str">
        <f>Table3.110[[#This Row],[Order]]</f>
        <v>Fabales</v>
      </c>
      <c r="L873" s="230" t="str">
        <f>Table3.110[[#This Row],[Functional Group]]</f>
        <v>Shurb_Tree</v>
      </c>
      <c r="M873" s="230" t="str">
        <f>Table3.110[[#This Row],[CIAT ID]]</f>
        <v>F252607</v>
      </c>
      <c r="N873" s="230">
        <f>Table3.110[[#This Row],[Set CIAT]]</f>
        <v>29</v>
      </c>
      <c r="O873" s="230">
        <f>Table3.110[[#This Row],[Batch]]</f>
        <v>63</v>
      </c>
      <c r="P873" s="230">
        <f>Table3.110[[#This Row],[Run]]</f>
        <v>2</v>
      </c>
      <c r="Q873" s="230">
        <f>Table3.110[[#This Row],[Replication]]</f>
        <v>1</v>
      </c>
      <c r="R873" s="230">
        <f>Table3.110[[#This Row],[Syrange No]]</f>
        <v>174</v>
      </c>
      <c r="S873" s="98">
        <v>0.57630000000000003</v>
      </c>
      <c r="T873" s="98">
        <v>0.8508</v>
      </c>
      <c r="U873" s="110"/>
      <c r="V873" s="283">
        <f t="shared" si="79"/>
        <v>0.27449999999999997</v>
      </c>
      <c r="W873" s="61">
        <f>Table3.110[[#This Row],[DM Incubated, mg]]-('3.2 Digest'!V873*1000)</f>
        <v>181.03207672480869</v>
      </c>
      <c r="X873" s="61">
        <f>W873/Table3.110[[#This Row],[DM Incubated, mg]]*100</f>
        <v>39.740796746168968</v>
      </c>
      <c r="Y873" s="30">
        <f>Table3.110[[#This Row],[DM Incubated, mg]]*'2.4 NDF'!R203/100</f>
        <v>243.81061770574178</v>
      </c>
      <c r="Z873" s="37">
        <f t="shared" si="83"/>
        <v>-30.689382294258166</v>
      </c>
      <c r="AA873" s="37">
        <f t="shared" si="84"/>
        <v>-12.587385481011982</v>
      </c>
      <c r="AB873" s="6"/>
    </row>
    <row r="874" spans="2:28" ht="14.4" customHeight="1" x14ac:dyDescent="0.35">
      <c r="B874" s="230">
        <f t="shared" si="78"/>
        <v>864</v>
      </c>
      <c r="C874" s="9"/>
      <c r="D874" s="248">
        <f>Table3.110[[#This Row],[Date]]</f>
        <v>46057</v>
      </c>
      <c r="E874" s="230" t="str">
        <f>Table3.110[[#This Row],[Requisitioner]]</f>
        <v>Genbank</v>
      </c>
      <c r="F874" s="230" t="str">
        <f>Table3.110[[#This Row],[Gene Bank ID]]</f>
        <v>CIAT19460</v>
      </c>
      <c r="G874" s="230" t="str">
        <f>Table3.110[[#This Row],[Genus]]</f>
        <v>Sesbania</v>
      </c>
      <c r="H874" s="230" t="str">
        <f>Table3.110[[#This Row],[Species]]</f>
        <v>cannabina</v>
      </c>
      <c r="I874" s="230" t="str">
        <f>Table3.110[[#This Row],[Tax Name]]</f>
        <v>Sesbania cannabina</v>
      </c>
      <c r="J874" s="230" t="str">
        <f>Table3.110[[#This Row],[Family]]</f>
        <v>Fabaceae</v>
      </c>
      <c r="K874" s="230" t="str">
        <f>Table3.110[[#This Row],[Order]]</f>
        <v>Fabales</v>
      </c>
      <c r="L874" s="230" t="str">
        <f>Table3.110[[#This Row],[Functional Group]]</f>
        <v>Shurb_Tree</v>
      </c>
      <c r="M874" s="230" t="str">
        <f>Table3.110[[#This Row],[CIAT ID]]</f>
        <v>F252607</v>
      </c>
      <c r="N874" s="230">
        <f>Table3.110[[#This Row],[Set CIAT]]</f>
        <v>29</v>
      </c>
      <c r="O874" s="230">
        <f>Table3.110[[#This Row],[Batch]]</f>
        <v>63</v>
      </c>
      <c r="P874" s="230">
        <f>Table3.110[[#This Row],[Run]]</f>
        <v>2</v>
      </c>
      <c r="Q874" s="230">
        <f>Table3.110[[#This Row],[Replication]]</f>
        <v>2</v>
      </c>
      <c r="R874" s="230">
        <f>Table3.110[[#This Row],[Syrange No]]</f>
        <v>175</v>
      </c>
      <c r="S874" s="250">
        <v>0.59319999999999995</v>
      </c>
      <c r="T874" s="250">
        <v>0.94689999999999996</v>
      </c>
      <c r="U874" s="265"/>
      <c r="V874" s="283">
        <f t="shared" si="79"/>
        <v>0.35370000000000001</v>
      </c>
      <c r="W874" s="61">
        <f>Table3.110[[#This Row],[DM Incubated, mg]]-('3.2 Digest'!V874*1000)</f>
        <v>101.92311031328279</v>
      </c>
      <c r="X874" s="61">
        <f>W874/Table3.110[[#This Row],[DM Incubated, mg]]*100</f>
        <v>22.370048403207925</v>
      </c>
      <c r="Y874" s="74">
        <f>Table3.110[[#This Row],[DM Incubated, mg]]*'2.4 NDF'!R203/100</f>
        <v>243.8593408507669</v>
      </c>
      <c r="Z874" s="37">
        <f t="shared" si="83"/>
        <v>-109.84065914923309</v>
      </c>
      <c r="AA874" s="37">
        <f t="shared" si="84"/>
        <v>-45.04262939694059</v>
      </c>
      <c r="AB874" s="6"/>
    </row>
    <row r="875" spans="2:28" ht="14.4" customHeight="1" x14ac:dyDescent="0.35">
      <c r="B875" s="230">
        <f t="shared" si="78"/>
        <v>865</v>
      </c>
      <c r="C875" s="9"/>
      <c r="D875" s="248">
        <f>Table3.110[[#This Row],[Date]]</f>
        <v>46057</v>
      </c>
      <c r="E875" s="230" t="str">
        <f>Table3.110[[#This Row],[Requisitioner]]</f>
        <v>Genbank</v>
      </c>
      <c r="F875" s="230" t="str">
        <f>Table3.110[[#This Row],[Gene Bank ID]]</f>
        <v>CIAT19460</v>
      </c>
      <c r="G875" s="230" t="str">
        <f>Table3.110[[#This Row],[Genus]]</f>
        <v>Sesbania</v>
      </c>
      <c r="H875" s="230" t="str">
        <f>Table3.110[[#This Row],[Species]]</f>
        <v>cannabina</v>
      </c>
      <c r="I875" s="230" t="str">
        <f>Table3.110[[#This Row],[Tax Name]]</f>
        <v>Sesbania cannabina</v>
      </c>
      <c r="J875" s="230" t="str">
        <f>Table3.110[[#This Row],[Family]]</f>
        <v>Fabaceae</v>
      </c>
      <c r="K875" s="230" t="str">
        <f>Table3.110[[#This Row],[Order]]</f>
        <v>Fabales</v>
      </c>
      <c r="L875" s="230" t="str">
        <f>Table3.110[[#This Row],[Functional Group]]</f>
        <v>Shurb_Tree</v>
      </c>
      <c r="M875" s="230" t="str">
        <f>Table3.110[[#This Row],[CIAT ID]]</f>
        <v>F252607</v>
      </c>
      <c r="N875" s="230">
        <f>Table3.110[[#This Row],[Set CIAT]]</f>
        <v>29</v>
      </c>
      <c r="O875" s="230">
        <f>Table3.110[[#This Row],[Batch]]</f>
        <v>63</v>
      </c>
      <c r="P875" s="230">
        <f>Table3.110[[#This Row],[Run]]</f>
        <v>2</v>
      </c>
      <c r="Q875" s="230">
        <f>Table3.110[[#This Row],[Replication]]</f>
        <v>3</v>
      </c>
      <c r="R875" s="230">
        <f>Table3.110[[#This Row],[Syrange No]]</f>
        <v>176</v>
      </c>
      <c r="S875" s="98">
        <v>0.56910000000000005</v>
      </c>
      <c r="T875" s="98">
        <v>0.87860000000000005</v>
      </c>
      <c r="U875" s="110"/>
      <c r="V875" s="283">
        <f t="shared" si="79"/>
        <v>0.3095</v>
      </c>
      <c r="W875" s="61">
        <f>Table3.110[[#This Row],[DM Incubated, mg]]-('3.2 Digest'!V875*1000)</f>
        <v>145.85000954786028</v>
      </c>
      <c r="X875" s="61">
        <f>W875/Table3.110[[#This Row],[DM Incubated, mg]]*100</f>
        <v>32.03030778294746</v>
      </c>
      <c r="Y875" s="74">
        <f>Table3.110[[#This Row],[DM Incubated, mg]]*'2.4 NDF'!R203/100</f>
        <v>243.71317141569153</v>
      </c>
      <c r="Z875" s="37">
        <f t="shared" si="83"/>
        <v>-65.786828584308466</v>
      </c>
      <c r="AA875" s="37">
        <f t="shared" si="84"/>
        <v>-26.993546636057097</v>
      </c>
      <c r="AB875" s="6"/>
    </row>
    <row r="876" spans="2:28" ht="14.4" customHeight="1" x14ac:dyDescent="0.35">
      <c r="B876" s="230">
        <f t="shared" si="78"/>
        <v>866</v>
      </c>
      <c r="C876" s="9"/>
      <c r="D876" s="248">
        <f>Table3.110[[#This Row],[Date]]</f>
        <v>46057</v>
      </c>
      <c r="E876" s="230" t="str">
        <f>Table3.110[[#This Row],[Requisitioner]]</f>
        <v>Genbank</v>
      </c>
      <c r="F876" s="230" t="str">
        <f>Table3.110[[#This Row],[Gene Bank ID]]</f>
        <v>CIAT20044</v>
      </c>
      <c r="G876" s="230" t="str">
        <f>Table3.110[[#This Row],[Genus]]</f>
        <v>Tephrosia</v>
      </c>
      <c r="H876" s="230" t="str">
        <f>Table3.110[[#This Row],[Species]]</f>
        <v>purpurea</v>
      </c>
      <c r="I876" s="230" t="str">
        <f>Table3.110[[#This Row],[Tax Name]]</f>
        <v>Tephrosia purpurea</v>
      </c>
      <c r="J876" s="230" t="str">
        <f>Table3.110[[#This Row],[Family]]</f>
        <v>Fabaceae</v>
      </c>
      <c r="K876" s="230" t="str">
        <f>Table3.110[[#This Row],[Order]]</f>
        <v>Fabales</v>
      </c>
      <c r="L876" s="230" t="str">
        <f>Table3.110[[#This Row],[Functional Group]]</f>
        <v>Herbaceous</v>
      </c>
      <c r="M876" s="230" t="str">
        <f>Table3.110[[#This Row],[CIAT ID]]</f>
        <v>F252608</v>
      </c>
      <c r="N876" s="230">
        <f>Table3.110[[#This Row],[Set CIAT]]</f>
        <v>29</v>
      </c>
      <c r="O876" s="230">
        <f>Table3.110[[#This Row],[Batch]]</f>
        <v>63</v>
      </c>
      <c r="P876" s="230">
        <f>Table3.110[[#This Row],[Run]]</f>
        <v>2</v>
      </c>
      <c r="Q876" s="230">
        <f>Table3.110[[#This Row],[Replication]]</f>
        <v>1</v>
      </c>
      <c r="R876" s="230">
        <f>Table3.110[[#This Row],[Syrange No]]</f>
        <v>177</v>
      </c>
      <c r="S876" s="250">
        <v>0.58389999999999997</v>
      </c>
      <c r="T876" s="250">
        <v>0.76749999999999996</v>
      </c>
      <c r="U876" s="265"/>
      <c r="V876" s="283">
        <f t="shared" si="79"/>
        <v>0.18359999999999999</v>
      </c>
      <c r="W876" s="61">
        <f>Table3.110[[#This Row],[DM Incubated, mg]]-('3.2 Digest'!V876*1000)</f>
        <v>277.55741004683773</v>
      </c>
      <c r="X876" s="61">
        <f>W876/Table3.110[[#This Row],[DM Incubated, mg]]*100</f>
        <v>60.187130034112954</v>
      </c>
      <c r="Y876" s="30">
        <f>Table3.110[[#This Row],[DM Incubated, mg]]*'2.4 NDF'!R205/100</f>
        <v>217.19808458157775</v>
      </c>
      <c r="Z876" s="37">
        <f t="shared" si="83"/>
        <v>33.598084581577751</v>
      </c>
      <c r="AA876" s="37">
        <f t="shared" si="84"/>
        <v>15.468867806225333</v>
      </c>
      <c r="AB876" s="6"/>
    </row>
    <row r="877" spans="2:28" ht="14.4" customHeight="1" x14ac:dyDescent="0.35">
      <c r="B877" s="230">
        <f t="shared" si="78"/>
        <v>867</v>
      </c>
      <c r="C877" s="9"/>
      <c r="D877" s="248">
        <f>Table3.110[[#This Row],[Date]]</f>
        <v>46057</v>
      </c>
      <c r="E877" s="230" t="str">
        <f>Table3.110[[#This Row],[Requisitioner]]</f>
        <v>Genbank</v>
      </c>
      <c r="F877" s="230" t="str">
        <f>Table3.110[[#This Row],[Gene Bank ID]]</f>
        <v>CIAT20044</v>
      </c>
      <c r="G877" s="230" t="str">
        <f>Table3.110[[#This Row],[Genus]]</f>
        <v>Tephrosia</v>
      </c>
      <c r="H877" s="230" t="str">
        <f>Table3.110[[#This Row],[Species]]</f>
        <v>purpurea</v>
      </c>
      <c r="I877" s="230" t="str">
        <f>Table3.110[[#This Row],[Tax Name]]</f>
        <v>Tephrosia purpurea</v>
      </c>
      <c r="J877" s="230" t="str">
        <f>Table3.110[[#This Row],[Family]]</f>
        <v>Fabaceae</v>
      </c>
      <c r="K877" s="230" t="str">
        <f>Table3.110[[#This Row],[Order]]</f>
        <v>Fabales</v>
      </c>
      <c r="L877" s="230" t="str">
        <f>Table3.110[[#This Row],[Functional Group]]</f>
        <v>Herbaceous</v>
      </c>
      <c r="M877" s="230" t="str">
        <f>Table3.110[[#This Row],[CIAT ID]]</f>
        <v>F252608</v>
      </c>
      <c r="N877" s="230">
        <f>Table3.110[[#This Row],[Set CIAT]]</f>
        <v>29</v>
      </c>
      <c r="O877" s="230">
        <f>Table3.110[[#This Row],[Batch]]</f>
        <v>63</v>
      </c>
      <c r="P877" s="230">
        <f>Table3.110[[#This Row],[Run]]</f>
        <v>2</v>
      </c>
      <c r="Q877" s="230">
        <f>Table3.110[[#This Row],[Replication]]</f>
        <v>2</v>
      </c>
      <c r="R877" s="230">
        <f>Table3.110[[#This Row],[Syrange No]]</f>
        <v>178</v>
      </c>
      <c r="S877" s="98">
        <v>0.60599999999999998</v>
      </c>
      <c r="T877" s="98">
        <v>0.7944</v>
      </c>
      <c r="U877" s="110"/>
      <c r="V877" s="283">
        <f t="shared" si="79"/>
        <v>0.18840000000000001</v>
      </c>
      <c r="W877" s="61">
        <f>Table3.110[[#This Row],[DM Incubated, mg]]-('3.2 Digest'!V877*1000)</f>
        <v>272.66523387053417</v>
      </c>
      <c r="X877" s="61">
        <f>W877/Table3.110[[#This Row],[DM Incubated, mg]]*100</f>
        <v>59.13810320972884</v>
      </c>
      <c r="Y877" s="30">
        <f>Table3.110[[#This Row],[DM Incubated, mg]]*'2.4 NDF'!R205/100</f>
        <v>217.15467101280271</v>
      </c>
      <c r="Z877" s="37">
        <f t="shared" si="83"/>
        <v>28.754671012802703</v>
      </c>
      <c r="AA877" s="37">
        <f t="shared" si="84"/>
        <v>13.241562283091495</v>
      </c>
      <c r="AB877" s="6"/>
    </row>
    <row r="878" spans="2:28" ht="14.4" customHeight="1" x14ac:dyDescent="0.35">
      <c r="B878" s="230">
        <f t="shared" si="78"/>
        <v>868</v>
      </c>
      <c r="C878" s="9"/>
      <c r="D878" s="248">
        <f>Table3.110[[#This Row],[Date]]</f>
        <v>46057</v>
      </c>
      <c r="E878" s="230" t="str">
        <f>Table3.110[[#This Row],[Requisitioner]]</f>
        <v>Genbank</v>
      </c>
      <c r="F878" s="230" t="str">
        <f>Table3.110[[#This Row],[Gene Bank ID]]</f>
        <v>CIAT20044</v>
      </c>
      <c r="G878" s="230" t="str">
        <f>Table3.110[[#This Row],[Genus]]</f>
        <v>Tephrosia</v>
      </c>
      <c r="H878" s="230" t="str">
        <f>Table3.110[[#This Row],[Species]]</f>
        <v>purpurea</v>
      </c>
      <c r="I878" s="230" t="str">
        <f>Table3.110[[#This Row],[Tax Name]]</f>
        <v>Tephrosia purpurea</v>
      </c>
      <c r="J878" s="230" t="str">
        <f>Table3.110[[#This Row],[Family]]</f>
        <v>Fabaceae</v>
      </c>
      <c r="K878" s="230" t="str">
        <f>Table3.110[[#This Row],[Order]]</f>
        <v>Fabales</v>
      </c>
      <c r="L878" s="230" t="str">
        <f>Table3.110[[#This Row],[Functional Group]]</f>
        <v>Herbaceous</v>
      </c>
      <c r="M878" s="230" t="str">
        <f>Table3.110[[#This Row],[CIAT ID]]</f>
        <v>F252608</v>
      </c>
      <c r="N878" s="230">
        <f>Table3.110[[#This Row],[Set CIAT]]</f>
        <v>29</v>
      </c>
      <c r="O878" s="230">
        <f>Table3.110[[#This Row],[Batch]]</f>
        <v>63</v>
      </c>
      <c r="P878" s="230">
        <f>Table3.110[[#This Row],[Run]]</f>
        <v>2</v>
      </c>
      <c r="Q878" s="230">
        <f>Table3.110[[#This Row],[Replication]]</f>
        <v>3</v>
      </c>
      <c r="R878" s="230">
        <f>Table3.110[[#This Row],[Syrange No]]</f>
        <v>179</v>
      </c>
      <c r="S878" s="250">
        <v>0.5867</v>
      </c>
      <c r="T878" s="250">
        <v>0.78049999999999997</v>
      </c>
      <c r="U878" s="265"/>
      <c r="V878" s="283">
        <f t="shared" si="79"/>
        <v>0.19379999999999997</v>
      </c>
      <c r="W878" s="61">
        <f>Table3.110[[#This Row],[DM Incubated, mg]]-('3.2 Digest'!V878*1000)</f>
        <v>267.08088151792708</v>
      </c>
      <c r="X878" s="61">
        <f>W878/Table3.110[[#This Row],[DM Incubated, mg]]*100</f>
        <v>57.950089107251969</v>
      </c>
      <c r="Y878" s="74">
        <f>Table3.110[[#This Row],[DM Incubated, mg]]*'2.4 NDF'!R205/100</f>
        <v>217.06784387525261</v>
      </c>
      <c r="Z878" s="37">
        <f t="shared" si="83"/>
        <v>23.267843875252623</v>
      </c>
      <c r="AA878" s="37">
        <f t="shared" si="84"/>
        <v>10.719157411737362</v>
      </c>
      <c r="AB878" s="6"/>
    </row>
    <row r="879" spans="2:28" ht="14.4" customHeight="1" x14ac:dyDescent="0.35">
      <c r="B879" s="230">
        <f t="shared" si="78"/>
        <v>869</v>
      </c>
      <c r="C879" s="9"/>
      <c r="D879" s="248">
        <f>Table3.110[[#This Row],[Date]]</f>
        <v>46057</v>
      </c>
      <c r="E879" s="230" t="str">
        <f>Table3.110[[#This Row],[Requisitioner]]</f>
        <v>Genbank</v>
      </c>
      <c r="F879" s="230" t="str">
        <f>Table3.110[[#This Row],[Gene Bank ID]]</f>
        <v>CIAT22423</v>
      </c>
      <c r="G879" s="230" t="str">
        <f>Table3.110[[#This Row],[Genus]]</f>
        <v>Vigna</v>
      </c>
      <c r="H879" s="230" t="str">
        <f>Table3.110[[#This Row],[Species]]</f>
        <v>unguiculata</v>
      </c>
      <c r="I879" s="230" t="str">
        <f>Table3.110[[#This Row],[Tax Name]]</f>
        <v>Vigna unguiculata</v>
      </c>
      <c r="J879" s="230" t="str">
        <f>Table3.110[[#This Row],[Family]]</f>
        <v>Fabaceae</v>
      </c>
      <c r="K879" s="230" t="str">
        <f>Table3.110[[#This Row],[Order]]</f>
        <v>Fabales</v>
      </c>
      <c r="L879" s="230" t="str">
        <f>Table3.110[[#This Row],[Functional Group]]</f>
        <v>Herbaceous</v>
      </c>
      <c r="M879" s="230" t="str">
        <f>Table3.110[[#This Row],[CIAT ID]]</f>
        <v>F252609</v>
      </c>
      <c r="N879" s="230">
        <f>Table3.110[[#This Row],[Set CIAT]]</f>
        <v>29</v>
      </c>
      <c r="O879" s="230">
        <f>Table3.110[[#This Row],[Batch]]</f>
        <v>63</v>
      </c>
      <c r="P879" s="230">
        <f>Table3.110[[#This Row],[Run]]</f>
        <v>2</v>
      </c>
      <c r="Q879" s="230">
        <f>Table3.110[[#This Row],[Replication]]</f>
        <v>1</v>
      </c>
      <c r="R879" s="230">
        <f>Table3.110[[#This Row],[Syrange No]]</f>
        <v>180</v>
      </c>
      <c r="S879" s="98">
        <v>0.57430000000000003</v>
      </c>
      <c r="T879" s="98">
        <v>0.70299999999999996</v>
      </c>
      <c r="U879" s="110"/>
      <c r="V879" s="283">
        <f t="shared" si="79"/>
        <v>0.12869999999999993</v>
      </c>
      <c r="W879" s="61">
        <f>Table3.110[[#This Row],[DM Incubated, mg]]-('3.2 Digest'!V879*1000)</f>
        <v>324.60146185762824</v>
      </c>
      <c r="X879" s="61">
        <f>W879/Table3.110[[#This Row],[DM Incubated, mg]]*100</f>
        <v>71.608298046825695</v>
      </c>
      <c r="Y879" s="30">
        <f>Table3.110[[#This Row],[DM Incubated, mg]]*'2.4 NDF'!R207/100</f>
        <v>218.00042610120846</v>
      </c>
      <c r="Z879" s="37">
        <f t="shared" si="83"/>
        <v>89.300426101208529</v>
      </c>
      <c r="AA879" s="37">
        <f t="shared" si="84"/>
        <v>40.963418144765498</v>
      </c>
      <c r="AB879" s="6"/>
    </row>
    <row r="880" spans="2:28" ht="14.4" customHeight="1" x14ac:dyDescent="0.35">
      <c r="B880" s="230">
        <f t="shared" si="78"/>
        <v>870</v>
      </c>
      <c r="C880" s="9"/>
      <c r="D880" s="248">
        <f>Table3.110[[#This Row],[Date]]</f>
        <v>46057</v>
      </c>
      <c r="E880" s="230" t="str">
        <f>Table3.110[[#This Row],[Requisitioner]]</f>
        <v>Genbank</v>
      </c>
      <c r="F880" s="230" t="str">
        <f>Table3.110[[#This Row],[Gene Bank ID]]</f>
        <v>CIAT22423</v>
      </c>
      <c r="G880" s="230" t="str">
        <f>Table3.110[[#This Row],[Genus]]</f>
        <v>Vigna</v>
      </c>
      <c r="H880" s="230" t="str">
        <f>Table3.110[[#This Row],[Species]]</f>
        <v>unguiculata</v>
      </c>
      <c r="I880" s="230" t="str">
        <f>Table3.110[[#This Row],[Tax Name]]</f>
        <v>Vigna unguiculata</v>
      </c>
      <c r="J880" s="230" t="str">
        <f>Table3.110[[#This Row],[Family]]</f>
        <v>Fabaceae</v>
      </c>
      <c r="K880" s="230" t="str">
        <f>Table3.110[[#This Row],[Order]]</f>
        <v>Fabales</v>
      </c>
      <c r="L880" s="230" t="str">
        <f>Table3.110[[#This Row],[Functional Group]]</f>
        <v>Herbaceous</v>
      </c>
      <c r="M880" s="230" t="str">
        <f>Table3.110[[#This Row],[CIAT ID]]</f>
        <v>F252609</v>
      </c>
      <c r="N880" s="230">
        <f>Table3.110[[#This Row],[Set CIAT]]</f>
        <v>29</v>
      </c>
      <c r="O880" s="230">
        <f>Table3.110[[#This Row],[Batch]]</f>
        <v>63</v>
      </c>
      <c r="P880" s="230">
        <f>Table3.110[[#This Row],[Run]]</f>
        <v>2</v>
      </c>
      <c r="Q880" s="230">
        <f>Table3.110[[#This Row],[Replication]]</f>
        <v>2</v>
      </c>
      <c r="R880" s="230">
        <f>Table3.110[[#This Row],[Syrange No]]</f>
        <v>181</v>
      </c>
      <c r="S880" s="250">
        <v>0.56759999999999999</v>
      </c>
      <c r="T880" s="250">
        <v>0.74829999999999997</v>
      </c>
      <c r="U880" s="265"/>
      <c r="V880" s="283">
        <f t="shared" si="79"/>
        <v>0.18069999999999997</v>
      </c>
      <c r="W880" s="61">
        <f>Table3.110[[#This Row],[DM Incubated, mg]]-('3.2 Digest'!V880*1000)</f>
        <v>272.69206778644229</v>
      </c>
      <c r="X880" s="61">
        <f>W880/Table3.110[[#This Row],[DM Incubated, mg]]*100</f>
        <v>60.14486956460965</v>
      </c>
      <c r="Y880" s="74">
        <f>Table3.110[[#This Row],[DM Incubated, mg]]*'2.4 NDF'!R207/100</f>
        <v>218.04400004206414</v>
      </c>
      <c r="Z880" s="37">
        <f t="shared" si="83"/>
        <v>37.344000042064181</v>
      </c>
      <c r="AA880" s="37">
        <f t="shared" si="84"/>
        <v>17.126818456302367</v>
      </c>
      <c r="AB880" s="6"/>
    </row>
    <row r="881" spans="2:28" ht="14.4" customHeight="1" x14ac:dyDescent="0.35">
      <c r="B881" s="230">
        <f t="shared" si="78"/>
        <v>871</v>
      </c>
      <c r="C881" s="9"/>
      <c r="D881" s="248">
        <f>Table3.110[[#This Row],[Date]]</f>
        <v>46057</v>
      </c>
      <c r="E881" s="230" t="str">
        <f>Table3.110[[#This Row],[Requisitioner]]</f>
        <v>Genbank</v>
      </c>
      <c r="F881" s="230" t="str">
        <f>Table3.110[[#This Row],[Gene Bank ID]]</f>
        <v>CIAT22423</v>
      </c>
      <c r="G881" s="230" t="str">
        <f>Table3.110[[#This Row],[Genus]]</f>
        <v>Vigna</v>
      </c>
      <c r="H881" s="230" t="str">
        <f>Table3.110[[#This Row],[Species]]</f>
        <v>unguiculata</v>
      </c>
      <c r="I881" s="230" t="str">
        <f>Table3.110[[#This Row],[Tax Name]]</f>
        <v>Vigna unguiculata</v>
      </c>
      <c r="J881" s="230" t="str">
        <f>Table3.110[[#This Row],[Family]]</f>
        <v>Fabaceae</v>
      </c>
      <c r="K881" s="230" t="str">
        <f>Table3.110[[#This Row],[Order]]</f>
        <v>Fabales</v>
      </c>
      <c r="L881" s="230" t="str">
        <f>Table3.110[[#This Row],[Functional Group]]</f>
        <v>Herbaceous</v>
      </c>
      <c r="M881" s="230" t="str">
        <f>Table3.110[[#This Row],[CIAT ID]]</f>
        <v>F252609</v>
      </c>
      <c r="N881" s="230">
        <f>Table3.110[[#This Row],[Set CIAT]]</f>
        <v>29</v>
      </c>
      <c r="O881" s="230">
        <f>Table3.110[[#This Row],[Batch]]</f>
        <v>63</v>
      </c>
      <c r="P881" s="230">
        <f>Table3.110[[#This Row],[Run]]</f>
        <v>2</v>
      </c>
      <c r="Q881" s="230">
        <f>Table3.110[[#This Row],[Replication]]</f>
        <v>3</v>
      </c>
      <c r="R881" s="230">
        <f>Table3.110[[#This Row],[Syrange No]]</f>
        <v>182</v>
      </c>
      <c r="S881" s="98">
        <v>0.58309999999999995</v>
      </c>
      <c r="T881" s="98">
        <v>0.85160000000000002</v>
      </c>
      <c r="U881" s="110"/>
      <c r="V881" s="283">
        <f t="shared" si="79"/>
        <v>0.26850000000000007</v>
      </c>
      <c r="W881" s="61">
        <f>Table3.110[[#This Row],[DM Incubated, mg]]-('3.2 Digest'!V881*1000)</f>
        <v>184.89206778644223</v>
      </c>
      <c r="X881" s="61">
        <f>W881/Table3.110[[#This Row],[DM Incubated, mg]]*100</f>
        <v>40.779731478127772</v>
      </c>
      <c r="Y881" s="30">
        <f>Table3.110[[#This Row],[DM Incubated, mg]]*'2.4 NDF'!R207/100</f>
        <v>218.04400004206414</v>
      </c>
      <c r="Z881" s="37">
        <f t="shared" si="83"/>
        <v>-50.455999957935916</v>
      </c>
      <c r="AA881" s="37">
        <f t="shared" si="84"/>
        <v>-23.140283588726199</v>
      </c>
      <c r="AB881" s="6"/>
    </row>
    <row r="882" spans="2:28" ht="14.4" customHeight="1" x14ac:dyDescent="0.35">
      <c r="B882" s="230">
        <f t="shared" si="78"/>
        <v>872</v>
      </c>
      <c r="C882" s="9"/>
      <c r="D882" s="248">
        <f>Table3.110[[#This Row],[Date]]</f>
        <v>46057</v>
      </c>
      <c r="E882" s="230" t="str">
        <f>Table3.110[[#This Row],[Requisitioner]]</f>
        <v>Genbank</v>
      </c>
      <c r="F882" s="230" t="str">
        <f>Table3.110[[#This Row],[Gene Bank ID]]</f>
        <v>CIAT22480</v>
      </c>
      <c r="G882" s="230" t="str">
        <f>Table3.110[[#This Row],[Genus]]</f>
        <v>Sesbania</v>
      </c>
      <c r="H882" s="230" t="str">
        <f>Table3.110[[#This Row],[Species]]</f>
        <v>cannabina</v>
      </c>
      <c r="I882" s="230" t="str">
        <f>Table3.110[[#This Row],[Tax Name]]</f>
        <v>Sesbania cannabina</v>
      </c>
      <c r="J882" s="230" t="str">
        <f>Table3.110[[#This Row],[Family]]</f>
        <v>Fabaceae</v>
      </c>
      <c r="K882" s="230" t="str">
        <f>Table3.110[[#This Row],[Order]]</f>
        <v>Fabales</v>
      </c>
      <c r="L882" s="230" t="str">
        <f>Table3.110[[#This Row],[Functional Group]]</f>
        <v>Shurb_Tree</v>
      </c>
      <c r="M882" s="230" t="str">
        <f>Table3.110[[#This Row],[CIAT ID]]</f>
        <v>F252610</v>
      </c>
      <c r="N882" s="230">
        <f>Table3.110[[#This Row],[Set CIAT]]</f>
        <v>29</v>
      </c>
      <c r="O882" s="230">
        <f>Table3.110[[#This Row],[Batch]]</f>
        <v>63</v>
      </c>
      <c r="P882" s="230">
        <f>Table3.110[[#This Row],[Run]]</f>
        <v>2</v>
      </c>
      <c r="Q882" s="230">
        <f>Table3.110[[#This Row],[Replication]]</f>
        <v>1</v>
      </c>
      <c r="R882" s="230">
        <f>Table3.110[[#This Row],[Syrange No]]</f>
        <v>183</v>
      </c>
      <c r="S882" s="250">
        <v>0.5696</v>
      </c>
      <c r="T882" s="250">
        <v>0.77070000000000005</v>
      </c>
      <c r="U882" s="265"/>
      <c r="V882" s="283">
        <f t="shared" si="79"/>
        <v>0.20110000000000006</v>
      </c>
      <c r="W882" s="61">
        <f>Table3.110[[#This Row],[DM Incubated, mg]]-('3.2 Digest'!V882*1000)</f>
        <v>261.48062181681507</v>
      </c>
      <c r="X882" s="61">
        <f>W882/Table3.110[[#This Row],[DM Incubated, mg]]*100</f>
        <v>56.526497108727355</v>
      </c>
      <c r="Y882" s="30">
        <f>Table3.110[[#This Row],[DM Incubated, mg]]*'2.4 NDF'!R209/100</f>
        <v>210.50742418043401</v>
      </c>
      <c r="Z882" s="37">
        <f t="shared" si="83"/>
        <v>9.4074241804339636</v>
      </c>
      <c r="AA882" s="37">
        <f t="shared" si="84"/>
        <v>4.4689275055546247</v>
      </c>
      <c r="AB882" s="6"/>
    </row>
    <row r="883" spans="2:28" ht="14.4" customHeight="1" x14ac:dyDescent="0.35">
      <c r="B883" s="230">
        <f t="shared" si="78"/>
        <v>873</v>
      </c>
      <c r="C883" s="9"/>
      <c r="D883" s="248">
        <f>Table3.110[[#This Row],[Date]]</f>
        <v>46057</v>
      </c>
      <c r="E883" s="230" t="str">
        <f>Table3.110[[#This Row],[Requisitioner]]</f>
        <v>Genbank</v>
      </c>
      <c r="F883" s="230" t="str">
        <f>Table3.110[[#This Row],[Gene Bank ID]]</f>
        <v>CIAT22480</v>
      </c>
      <c r="G883" s="230" t="str">
        <f>Table3.110[[#This Row],[Genus]]</f>
        <v>Sesbania</v>
      </c>
      <c r="H883" s="230" t="str">
        <f>Table3.110[[#This Row],[Species]]</f>
        <v>cannabina</v>
      </c>
      <c r="I883" s="230" t="str">
        <f>Table3.110[[#This Row],[Tax Name]]</f>
        <v>Sesbania cannabina</v>
      </c>
      <c r="J883" s="230" t="str">
        <f>Table3.110[[#This Row],[Family]]</f>
        <v>Fabaceae</v>
      </c>
      <c r="K883" s="230" t="str">
        <f>Table3.110[[#This Row],[Order]]</f>
        <v>Fabales</v>
      </c>
      <c r="L883" s="230" t="str">
        <f>Table3.110[[#This Row],[Functional Group]]</f>
        <v>Shurb_Tree</v>
      </c>
      <c r="M883" s="230" t="str">
        <f>Table3.110[[#This Row],[CIAT ID]]</f>
        <v>F252610</v>
      </c>
      <c r="N883" s="230">
        <f>Table3.110[[#This Row],[Set CIAT]]</f>
        <v>29</v>
      </c>
      <c r="O883" s="230">
        <f>Table3.110[[#This Row],[Batch]]</f>
        <v>63</v>
      </c>
      <c r="P883" s="230">
        <f>Table3.110[[#This Row],[Run]]</f>
        <v>2</v>
      </c>
      <c r="Q883" s="230">
        <f>Table3.110[[#This Row],[Replication]]</f>
        <v>2</v>
      </c>
      <c r="R883" s="230">
        <f>Table3.110[[#This Row],[Syrange No]]</f>
        <v>184</v>
      </c>
      <c r="S883" s="98">
        <v>0.57179999999999997</v>
      </c>
      <c r="T883" s="98">
        <v>0.78310000000000002</v>
      </c>
      <c r="U883" s="110"/>
      <c r="V883" s="283">
        <f t="shared" si="79"/>
        <v>0.21130000000000004</v>
      </c>
      <c r="W883" s="61">
        <f>Table3.110[[#This Row],[DM Incubated, mg]]-('3.2 Digest'!V883*1000)</f>
        <v>251.09566355139461</v>
      </c>
      <c r="X883" s="61">
        <f>W883/Table3.110[[#This Row],[DM Incubated, mg]]*100</f>
        <v>54.303204667378047</v>
      </c>
      <c r="Y883" s="30">
        <f>Table3.110[[#This Row],[DM Incubated, mg]]*'2.4 NDF'!R209/100</f>
        <v>210.42325487848265</v>
      </c>
      <c r="Z883" s="37">
        <f t="shared" si="83"/>
        <v>-0.87674512151738782</v>
      </c>
      <c r="AA883" s="37">
        <f t="shared" si="84"/>
        <v>-0.41665790315034312</v>
      </c>
      <c r="AB883" s="6"/>
    </row>
    <row r="884" spans="2:28" ht="14.4" customHeight="1" x14ac:dyDescent="0.35">
      <c r="B884" s="230">
        <f t="shared" si="78"/>
        <v>874</v>
      </c>
      <c r="C884" s="9"/>
      <c r="D884" s="248">
        <f>Table3.110[[#This Row],[Date]]</f>
        <v>46057</v>
      </c>
      <c r="E884" s="230" t="str">
        <f>Table3.110[[#This Row],[Requisitioner]]</f>
        <v>Genbank</v>
      </c>
      <c r="F884" s="230" t="str">
        <f>Table3.110[[#This Row],[Gene Bank ID]]</f>
        <v>CIAT22480</v>
      </c>
      <c r="G884" s="230" t="str">
        <f>Table3.110[[#This Row],[Genus]]</f>
        <v>Sesbania</v>
      </c>
      <c r="H884" s="230" t="str">
        <f>Table3.110[[#This Row],[Species]]</f>
        <v>cannabina</v>
      </c>
      <c r="I884" s="230" t="str">
        <f>Table3.110[[#This Row],[Tax Name]]</f>
        <v>Sesbania cannabina</v>
      </c>
      <c r="J884" s="230" t="str">
        <f>Table3.110[[#This Row],[Family]]</f>
        <v>Fabaceae</v>
      </c>
      <c r="K884" s="230" t="str">
        <f>Table3.110[[#This Row],[Order]]</f>
        <v>Fabales</v>
      </c>
      <c r="L884" s="230" t="str">
        <f>Table3.110[[#This Row],[Functional Group]]</f>
        <v>Shurb_Tree</v>
      </c>
      <c r="M884" s="230" t="str">
        <f>Table3.110[[#This Row],[CIAT ID]]</f>
        <v>F252610</v>
      </c>
      <c r="N884" s="230">
        <f>Table3.110[[#This Row],[Set CIAT]]</f>
        <v>29</v>
      </c>
      <c r="O884" s="230">
        <f>Table3.110[[#This Row],[Batch]]</f>
        <v>63</v>
      </c>
      <c r="P884" s="230">
        <f>Table3.110[[#This Row],[Run]]</f>
        <v>2</v>
      </c>
      <c r="Q884" s="230">
        <f>Table3.110[[#This Row],[Replication]]</f>
        <v>3</v>
      </c>
      <c r="R884" s="230">
        <f>Table3.110[[#This Row],[Syrange No]]</f>
        <v>185</v>
      </c>
      <c r="S884" s="250">
        <v>0.5988</v>
      </c>
      <c r="T884" s="250">
        <v>0.78449999999999998</v>
      </c>
      <c r="U884" s="265"/>
      <c r="V884" s="283">
        <f t="shared" si="79"/>
        <v>0.18569999999999998</v>
      </c>
      <c r="W884" s="61">
        <f>Table3.110[[#This Row],[DM Incubated, mg]]-('3.2 Digest'!V884*1000)</f>
        <v>276.78814268410497</v>
      </c>
      <c r="X884" s="61">
        <f>W884/Table3.110[[#This Row],[DM Incubated, mg]]*100</f>
        <v>59.84761924440528</v>
      </c>
      <c r="Y884" s="74">
        <f>Table3.110[[#This Row],[DM Incubated, mg]]*'2.4 NDF'!R209/100</f>
        <v>210.46533952945836</v>
      </c>
      <c r="Z884" s="37">
        <f t="shared" si="83"/>
        <v>24.765339529458373</v>
      </c>
      <c r="AA884" s="37">
        <f t="shared" si="84"/>
        <v>11.766944421740295</v>
      </c>
      <c r="AB884" s="6"/>
    </row>
    <row r="885" spans="2:28" ht="14.4" customHeight="1" x14ac:dyDescent="0.35">
      <c r="B885" s="230">
        <f t="shared" si="78"/>
        <v>875</v>
      </c>
      <c r="C885" s="9"/>
      <c r="D885" s="248">
        <f>Table3.110[[#This Row],[Date]]</f>
        <v>46057</v>
      </c>
      <c r="E885" s="230" t="str">
        <f>Table3.110[[#This Row],[Requisitioner]]</f>
        <v>Genbank</v>
      </c>
      <c r="F885" s="230" t="str">
        <f>Table3.110[[#This Row],[Gene Bank ID]]</f>
        <v>CIAT23116</v>
      </c>
      <c r="G885" s="230" t="str">
        <f>Table3.110[[#This Row],[Genus]]</f>
        <v>Desmodium</v>
      </c>
      <c r="H885" s="230" t="str">
        <f>Table3.110[[#This Row],[Species]]</f>
        <v>tortuosum</v>
      </c>
      <c r="I885" s="230" t="str">
        <f>Table3.110[[#This Row],[Tax Name]]</f>
        <v>Desmodium tortuosum</v>
      </c>
      <c r="J885" s="230" t="str">
        <f>Table3.110[[#This Row],[Family]]</f>
        <v>Fabaceae</v>
      </c>
      <c r="K885" s="230" t="str">
        <f>Table3.110[[#This Row],[Order]]</f>
        <v>Fabales</v>
      </c>
      <c r="L885" s="230" t="str">
        <f>Table3.110[[#This Row],[Functional Group]]</f>
        <v>Shurb_Tree</v>
      </c>
      <c r="M885" s="230" t="str">
        <f>Table3.110[[#This Row],[CIAT ID]]</f>
        <v>F252611</v>
      </c>
      <c r="N885" s="230">
        <f>Table3.110[[#This Row],[Set CIAT]]</f>
        <v>29</v>
      </c>
      <c r="O885" s="230">
        <f>Table3.110[[#This Row],[Batch]]</f>
        <v>63</v>
      </c>
      <c r="P885" s="230">
        <f>Table3.110[[#This Row],[Run]]</f>
        <v>2</v>
      </c>
      <c r="Q885" s="230">
        <f>Table3.110[[#This Row],[Replication]]</f>
        <v>1</v>
      </c>
      <c r="R885" s="230">
        <f>Table3.110[[#This Row],[Syrange No]]</f>
        <v>186</v>
      </c>
      <c r="S885" s="98">
        <v>0.58750000000000002</v>
      </c>
      <c r="T885" s="98">
        <v>0.86560000000000004</v>
      </c>
      <c r="U885" s="110"/>
      <c r="V885" s="283">
        <f t="shared" si="79"/>
        <v>0.27810000000000001</v>
      </c>
      <c r="W885" s="61">
        <f>Table3.110[[#This Row],[DM Incubated, mg]]-('3.2 Digest'!V885*1000)</f>
        <v>184.91384074185203</v>
      </c>
      <c r="X885" s="61">
        <f>W885/Table3.110[[#This Row],[DM Incubated, mg]]*100</f>
        <v>39.937000683517056</v>
      </c>
      <c r="Y885" s="30">
        <f>Table3.110[[#This Row],[DM Incubated, mg]]*'2.4 NDF'!R211/100</f>
        <v>276.74227372957444</v>
      </c>
      <c r="Z885" s="37">
        <f t="shared" si="83"/>
        <v>-1.3577262704255872</v>
      </c>
      <c r="AA885" s="37">
        <f t="shared" si="84"/>
        <v>-0.49061036180989215</v>
      </c>
      <c r="AB885" s="6"/>
    </row>
    <row r="886" spans="2:28" ht="14.4" customHeight="1" x14ac:dyDescent="0.35">
      <c r="B886" s="230">
        <f t="shared" si="78"/>
        <v>876</v>
      </c>
      <c r="C886" s="9"/>
      <c r="D886" s="248">
        <f>Table3.110[[#This Row],[Date]]</f>
        <v>46057</v>
      </c>
      <c r="E886" s="230" t="str">
        <f>Table3.110[[#This Row],[Requisitioner]]</f>
        <v>Genbank</v>
      </c>
      <c r="F886" s="230" t="str">
        <f>Table3.110[[#This Row],[Gene Bank ID]]</f>
        <v>CIAT23116</v>
      </c>
      <c r="G886" s="230" t="str">
        <f>Table3.110[[#This Row],[Genus]]</f>
        <v>Desmodium</v>
      </c>
      <c r="H886" s="230" t="str">
        <f>Table3.110[[#This Row],[Species]]</f>
        <v>tortuosum</v>
      </c>
      <c r="I886" s="230" t="str">
        <f>Table3.110[[#This Row],[Tax Name]]</f>
        <v>Desmodium tortuosum</v>
      </c>
      <c r="J886" s="230" t="str">
        <f>Table3.110[[#This Row],[Family]]</f>
        <v>Fabaceae</v>
      </c>
      <c r="K886" s="230" t="str">
        <f>Table3.110[[#This Row],[Order]]</f>
        <v>Fabales</v>
      </c>
      <c r="L886" s="230" t="str">
        <f>Table3.110[[#This Row],[Functional Group]]</f>
        <v>Shurb_Tree</v>
      </c>
      <c r="M886" s="230" t="str">
        <f>Table3.110[[#This Row],[CIAT ID]]</f>
        <v>F252611</v>
      </c>
      <c r="N886" s="230">
        <f>Table3.110[[#This Row],[Set CIAT]]</f>
        <v>29</v>
      </c>
      <c r="O886" s="230">
        <f>Table3.110[[#This Row],[Batch]]</f>
        <v>63</v>
      </c>
      <c r="P886" s="230">
        <f>Table3.110[[#This Row],[Run]]</f>
        <v>2</v>
      </c>
      <c r="Q886" s="230">
        <f>Table3.110[[#This Row],[Replication]]</f>
        <v>2</v>
      </c>
      <c r="R886" s="230">
        <f>Table3.110[[#This Row],[Syrange No]]</f>
        <v>187</v>
      </c>
      <c r="S886" s="250">
        <v>0.57120000000000004</v>
      </c>
      <c r="T886" s="250">
        <v>0.82979999999999998</v>
      </c>
      <c r="U886" s="265"/>
      <c r="V886" s="283">
        <f t="shared" si="79"/>
        <v>0.25859999999999994</v>
      </c>
      <c r="W886" s="61">
        <f>Table3.110[[#This Row],[DM Incubated, mg]]-('3.2 Digest'!V886*1000)</f>
        <v>204.50640648370364</v>
      </c>
      <c r="X886" s="61">
        <f>W886/Table3.110[[#This Row],[DM Incubated, mg]]*100</f>
        <v>44.159701446691187</v>
      </c>
      <c r="Y886" s="74">
        <f>Table3.110[[#This Row],[DM Incubated, mg]]*'2.4 NDF'!R211/100</f>
        <v>276.79760005379057</v>
      </c>
      <c r="Z886" s="37">
        <f t="shared" si="83"/>
        <v>18.197600053790609</v>
      </c>
      <c r="AA886" s="37">
        <f t="shared" si="84"/>
        <v>6.5743344777029273</v>
      </c>
      <c r="AB886" s="6"/>
    </row>
    <row r="887" spans="2:28" ht="14.4" customHeight="1" x14ac:dyDescent="0.35">
      <c r="B887" s="230">
        <f t="shared" si="78"/>
        <v>877</v>
      </c>
      <c r="C887" s="9"/>
      <c r="D887" s="248">
        <f>Table3.110[[#This Row],[Date]]</f>
        <v>46057</v>
      </c>
      <c r="E887" s="230" t="str">
        <f>Table3.110[[#This Row],[Requisitioner]]</f>
        <v>Genbank</v>
      </c>
      <c r="F887" s="230" t="str">
        <f>Table3.110[[#This Row],[Gene Bank ID]]</f>
        <v>CIAT23116</v>
      </c>
      <c r="G887" s="230" t="str">
        <f>Table3.110[[#This Row],[Genus]]</f>
        <v>Desmodium</v>
      </c>
      <c r="H887" s="230" t="str">
        <f>Table3.110[[#This Row],[Species]]</f>
        <v>tortuosum</v>
      </c>
      <c r="I887" s="230" t="str">
        <f>Table3.110[[#This Row],[Tax Name]]</f>
        <v>Desmodium tortuosum</v>
      </c>
      <c r="J887" s="230" t="str">
        <f>Table3.110[[#This Row],[Family]]</f>
        <v>Fabaceae</v>
      </c>
      <c r="K887" s="230" t="str">
        <f>Table3.110[[#This Row],[Order]]</f>
        <v>Fabales</v>
      </c>
      <c r="L887" s="230" t="str">
        <f>Table3.110[[#This Row],[Functional Group]]</f>
        <v>Shurb_Tree</v>
      </c>
      <c r="M887" s="230" t="str">
        <f>Table3.110[[#This Row],[CIAT ID]]</f>
        <v>F252611</v>
      </c>
      <c r="N887" s="230">
        <f>Table3.110[[#This Row],[Set CIAT]]</f>
        <v>29</v>
      </c>
      <c r="O887" s="230">
        <f>Table3.110[[#This Row],[Batch]]</f>
        <v>63</v>
      </c>
      <c r="P887" s="230">
        <f>Table3.110[[#This Row],[Run]]</f>
        <v>2</v>
      </c>
      <c r="Q887" s="230">
        <f>Table3.110[[#This Row],[Replication]]</f>
        <v>3</v>
      </c>
      <c r="R887" s="230">
        <f>Table3.110[[#This Row],[Syrange No]]</f>
        <v>188</v>
      </c>
      <c r="S887" s="98">
        <v>0.5978</v>
      </c>
      <c r="T887" s="98">
        <v>0.90390000000000004</v>
      </c>
      <c r="U887" s="110"/>
      <c r="V887" s="283">
        <f t="shared" si="79"/>
        <v>0.30610000000000004</v>
      </c>
      <c r="W887" s="61">
        <f>Table3.110[[#This Row],[DM Incubated, mg]]-('3.2 Digest'!V887*1000)</f>
        <v>157.19153796740682</v>
      </c>
      <c r="X887" s="61">
        <f>W887/Table3.110[[#This Row],[DM Incubated, mg]]*100</f>
        <v>33.929291835773924</v>
      </c>
      <c r="Y887" s="74">
        <f>Table3.110[[#This Row],[DM Incubated, mg]]*'2.4 NDF'!R211/100</f>
        <v>276.90825270222302</v>
      </c>
      <c r="Z887" s="37">
        <f t="shared" si="83"/>
        <v>-29.191747297776999</v>
      </c>
      <c r="AA887" s="37">
        <f t="shared" si="84"/>
        <v>-10.542028636888888</v>
      </c>
      <c r="AB887" s="6"/>
    </row>
    <row r="888" spans="2:28" ht="14.4" customHeight="1" x14ac:dyDescent="0.35">
      <c r="B888" s="230">
        <f t="shared" si="78"/>
        <v>878</v>
      </c>
      <c r="C888" s="9"/>
      <c r="D888" s="248">
        <f>Table3.110[[#This Row],[Date]]</f>
        <v>46057</v>
      </c>
      <c r="E888" s="230" t="str">
        <f>Table3.110[[#This Row],[Requisitioner]]</f>
        <v>Genbank</v>
      </c>
      <c r="F888" s="230" t="str">
        <f>Table3.110[[#This Row],[Gene Bank ID]]</f>
        <v>CIAT23416</v>
      </c>
      <c r="G888" s="230" t="str">
        <f>Table3.110[[#This Row],[Genus]]</f>
        <v>Codariocalyx</v>
      </c>
      <c r="H888" s="230" t="str">
        <f>Table3.110[[#This Row],[Species]]</f>
        <v>motorius</v>
      </c>
      <c r="I888" s="230" t="str">
        <f>Table3.110[[#This Row],[Tax Name]]</f>
        <v>Codariocalyx motorius</v>
      </c>
      <c r="J888" s="230" t="str">
        <f>Table3.110[[#This Row],[Family]]</f>
        <v>Fabaceae</v>
      </c>
      <c r="K888" s="230" t="str">
        <f>Table3.110[[#This Row],[Order]]</f>
        <v>Fabales</v>
      </c>
      <c r="L888" s="230" t="str">
        <f>Table3.110[[#This Row],[Functional Group]]</f>
        <v>Shurb_Tree</v>
      </c>
      <c r="M888" s="230" t="str">
        <f>Table3.110[[#This Row],[CIAT ID]]</f>
        <v>F252612</v>
      </c>
      <c r="N888" s="230">
        <f>Table3.110[[#This Row],[Set CIAT]]</f>
        <v>29</v>
      </c>
      <c r="O888" s="230">
        <f>Table3.110[[#This Row],[Batch]]</f>
        <v>63</v>
      </c>
      <c r="P888" s="230">
        <f>Table3.110[[#This Row],[Run]]</f>
        <v>2</v>
      </c>
      <c r="Q888" s="230">
        <f>Table3.110[[#This Row],[Replication]]</f>
        <v>1</v>
      </c>
      <c r="R888" s="230">
        <f>Table3.110[[#This Row],[Syrange No]]</f>
        <v>189</v>
      </c>
      <c r="S888" s="250">
        <v>0.60970000000000002</v>
      </c>
      <c r="T888" s="250">
        <v>0.93379999999999996</v>
      </c>
      <c r="U888" s="265"/>
      <c r="V888" s="283">
        <f t="shared" si="79"/>
        <v>0.32409999999999994</v>
      </c>
      <c r="W888" s="61">
        <f>Table3.110[[#This Row],[DM Incubated, mg]]-('3.2 Digest'!V888*1000)</f>
        <v>140.030374812594</v>
      </c>
      <c r="X888" s="61">
        <f>W888/Table3.110[[#This Row],[DM Incubated, mg]]*100</f>
        <v>30.170482780648715</v>
      </c>
      <c r="Y888" s="30">
        <f>Table3.110[[#This Row],[DM Incubated, mg]]*'2.4 NDF'!R213/100</f>
        <v>263.63580421773071</v>
      </c>
      <c r="Z888" s="37">
        <f t="shared" si="83"/>
        <v>-60.464195782269258</v>
      </c>
      <c r="AA888" s="37">
        <f t="shared" si="84"/>
        <v>-22.934743617878731</v>
      </c>
      <c r="AB888" s="6"/>
    </row>
    <row r="889" spans="2:28" ht="14.4" customHeight="1" x14ac:dyDescent="0.35">
      <c r="B889" s="230">
        <f t="shared" si="78"/>
        <v>879</v>
      </c>
      <c r="C889" s="9"/>
      <c r="D889" s="248">
        <f>Table3.110[[#This Row],[Date]]</f>
        <v>46057</v>
      </c>
      <c r="E889" s="230" t="str">
        <f>Table3.110[[#This Row],[Requisitioner]]</f>
        <v>Genbank</v>
      </c>
      <c r="F889" s="230" t="str">
        <f>Table3.110[[#This Row],[Gene Bank ID]]</f>
        <v>CIAT23416</v>
      </c>
      <c r="G889" s="230" t="str">
        <f>Table3.110[[#This Row],[Genus]]</f>
        <v>Codariocalyx</v>
      </c>
      <c r="H889" s="230" t="str">
        <f>Table3.110[[#This Row],[Species]]</f>
        <v>motorius</v>
      </c>
      <c r="I889" s="230" t="str">
        <f>Table3.110[[#This Row],[Tax Name]]</f>
        <v>Codariocalyx motorius</v>
      </c>
      <c r="J889" s="230" t="str">
        <f>Table3.110[[#This Row],[Family]]</f>
        <v>Fabaceae</v>
      </c>
      <c r="K889" s="230" t="str">
        <f>Table3.110[[#This Row],[Order]]</f>
        <v>Fabales</v>
      </c>
      <c r="L889" s="230" t="str">
        <f>Table3.110[[#This Row],[Functional Group]]</f>
        <v>Shurb_Tree</v>
      </c>
      <c r="M889" s="230" t="str">
        <f>Table3.110[[#This Row],[CIAT ID]]</f>
        <v>F252612</v>
      </c>
      <c r="N889" s="230">
        <f>Table3.110[[#This Row],[Set CIAT]]</f>
        <v>29</v>
      </c>
      <c r="O889" s="230">
        <f>Table3.110[[#This Row],[Batch]]</f>
        <v>63</v>
      </c>
      <c r="P889" s="230">
        <f>Table3.110[[#This Row],[Run]]</f>
        <v>2</v>
      </c>
      <c r="Q889" s="230">
        <f>Table3.110[[#This Row],[Replication]]</f>
        <v>2</v>
      </c>
      <c r="R889" s="230">
        <f>Table3.110[[#This Row],[Syrange No]]</f>
        <v>190</v>
      </c>
      <c r="S889" s="98">
        <v>0.58089999999999997</v>
      </c>
      <c r="T889" s="98">
        <v>0.87549999999999994</v>
      </c>
      <c r="U889" s="110"/>
      <c r="V889" s="283">
        <f t="shared" si="79"/>
        <v>0.29459999999999997</v>
      </c>
      <c r="W889" s="61">
        <f>Table3.110[[#This Row],[DM Incubated, mg]]-('3.2 Digest'!V889*1000)</f>
        <v>169.80879735297339</v>
      </c>
      <c r="X889" s="61">
        <f>W889/Table3.110[[#This Row],[DM Incubated, mg]]*100</f>
        <v>36.564509182609306</v>
      </c>
      <c r="Y889" s="74">
        <f>Table3.110[[#This Row],[DM Incubated, mg]]*'2.4 NDF'!R213/100</f>
        <v>263.79395407029079</v>
      </c>
      <c r="Z889" s="37">
        <f t="shared" si="83"/>
        <v>-30.806045929709171</v>
      </c>
      <c r="AA889" s="37">
        <f t="shared" si="84"/>
        <v>-11.678071257653071</v>
      </c>
      <c r="AB889" s="6"/>
    </row>
    <row r="890" spans="2:28" ht="14.4" customHeight="1" x14ac:dyDescent="0.35">
      <c r="B890" s="230">
        <f t="shared" si="78"/>
        <v>880</v>
      </c>
      <c r="C890" s="9"/>
      <c r="D890" s="248">
        <f>Table3.110[[#This Row],[Date]]</f>
        <v>46057</v>
      </c>
      <c r="E890" s="230" t="str">
        <f>Table3.110[[#This Row],[Requisitioner]]</f>
        <v>Genbank</v>
      </c>
      <c r="F890" s="230" t="str">
        <f>Table3.110[[#This Row],[Gene Bank ID]]</f>
        <v>CIAT23416</v>
      </c>
      <c r="G890" s="230" t="str">
        <f>Table3.110[[#This Row],[Genus]]</f>
        <v>Codariocalyx</v>
      </c>
      <c r="H890" s="230" t="str">
        <f>Table3.110[[#This Row],[Species]]</f>
        <v>motorius</v>
      </c>
      <c r="I890" s="230" t="str">
        <f>Table3.110[[#This Row],[Tax Name]]</f>
        <v>Codariocalyx motorius</v>
      </c>
      <c r="J890" s="230" t="str">
        <f>Table3.110[[#This Row],[Family]]</f>
        <v>Fabaceae</v>
      </c>
      <c r="K890" s="230" t="str">
        <f>Table3.110[[#This Row],[Order]]</f>
        <v>Fabales</v>
      </c>
      <c r="L890" s="230" t="str">
        <f>Table3.110[[#This Row],[Functional Group]]</f>
        <v>Shurb_Tree</v>
      </c>
      <c r="M890" s="230" t="str">
        <f>Table3.110[[#This Row],[CIAT ID]]</f>
        <v>F252612</v>
      </c>
      <c r="N890" s="230">
        <f>Table3.110[[#This Row],[Set CIAT]]</f>
        <v>29</v>
      </c>
      <c r="O890" s="230">
        <f>Table3.110[[#This Row],[Batch]]</f>
        <v>63</v>
      </c>
      <c r="P890" s="230">
        <f>Table3.110[[#This Row],[Run]]</f>
        <v>2</v>
      </c>
      <c r="Q890" s="230">
        <f>Table3.110[[#This Row],[Replication]]</f>
        <v>3</v>
      </c>
      <c r="R890" s="230">
        <f>Table3.110[[#This Row],[Syrange No]]</f>
        <v>191</v>
      </c>
      <c r="S890" s="250">
        <v>0.57030000000000003</v>
      </c>
      <c r="T890" s="250">
        <v>0.85429999999999995</v>
      </c>
      <c r="U890" s="265"/>
      <c r="V890" s="283">
        <f t="shared" si="79"/>
        <v>0.28399999999999992</v>
      </c>
      <c r="W890" s="61">
        <f>Table3.110[[#This Row],[DM Incubated, mg]]-('3.2 Digest'!V890*1000)</f>
        <v>180.13037481259403</v>
      </c>
      <c r="X890" s="61">
        <f>W890/Table3.110[[#This Row],[DM Incubated, mg]]*100</f>
        <v>38.81029654336389</v>
      </c>
      <c r="Y890" s="74">
        <f>Table3.110[[#This Row],[DM Incubated, mg]]*'2.4 NDF'!R213/100</f>
        <v>263.63580421773071</v>
      </c>
      <c r="Z890" s="37">
        <f t="shared" si="83"/>
        <v>-20.364195782269235</v>
      </c>
      <c r="AA890" s="37">
        <f t="shared" si="84"/>
        <v>-7.7243665148952676</v>
      </c>
      <c r="AB890" s="6"/>
    </row>
    <row r="891" spans="2:28" ht="14.4" customHeight="1" x14ac:dyDescent="0.35">
      <c r="B891" s="230">
        <f t="shared" si="78"/>
        <v>881</v>
      </c>
      <c r="C891" s="9"/>
      <c r="D891" s="248">
        <f>Table3.110[[#This Row],[Date]]</f>
        <v>46057</v>
      </c>
      <c r="E891" s="230" t="str">
        <f>Table3.110[[#This Row],[Requisitioner]]</f>
        <v>Genbank</v>
      </c>
      <c r="F891" s="230" t="str">
        <f>Table3.110[[#This Row],[Gene Bank ID]]</f>
        <v>CIAT23806</v>
      </c>
      <c r="G891" s="230" t="str">
        <f>Table3.110[[#This Row],[Genus]]</f>
        <v>Desmodium</v>
      </c>
      <c r="H891" s="230" t="str">
        <f>Table3.110[[#This Row],[Species]]</f>
        <v>angustifolium</v>
      </c>
      <c r="I891" s="230" t="str">
        <f>Table3.110[[#This Row],[Tax Name]]</f>
        <v>Desmodium angustifolium</v>
      </c>
      <c r="J891" s="230" t="str">
        <f>Table3.110[[#This Row],[Family]]</f>
        <v>Fabaceae</v>
      </c>
      <c r="K891" s="230" t="str">
        <f>Table3.110[[#This Row],[Order]]</f>
        <v>Fabales</v>
      </c>
      <c r="L891" s="230" t="str">
        <f>Table3.110[[#This Row],[Functional Group]]</f>
        <v>Herbaceous</v>
      </c>
      <c r="M891" s="230" t="str">
        <f>Table3.110[[#This Row],[CIAT ID]]</f>
        <v>F252613</v>
      </c>
      <c r="N891" s="230">
        <f>Table3.110[[#This Row],[Set CIAT]]</f>
        <v>29</v>
      </c>
      <c r="O891" s="230">
        <f>Table3.110[[#This Row],[Batch]]</f>
        <v>63</v>
      </c>
      <c r="P891" s="230">
        <f>Table3.110[[#This Row],[Run]]</f>
        <v>2</v>
      </c>
      <c r="Q891" s="230">
        <f>Table3.110[[#This Row],[Replication]]</f>
        <v>1</v>
      </c>
      <c r="R891" s="230">
        <f>Table3.110[[#This Row],[Syrange No]]</f>
        <v>192</v>
      </c>
      <c r="S891" s="98">
        <v>0.56840000000000002</v>
      </c>
      <c r="T891" s="98">
        <v>0.82840000000000003</v>
      </c>
      <c r="U891" s="110"/>
      <c r="V891" s="283">
        <f t="shared" si="79"/>
        <v>0.26</v>
      </c>
      <c r="W891" s="61">
        <f>Table3.110[[#This Row],[DM Incubated, mg]]-('3.2 Digest'!V891*1000)</f>
        <v>204.29425201850916</v>
      </c>
      <c r="X891" s="61">
        <f>W891/Table3.110[[#This Row],[DM Incubated, mg]]*100</f>
        <v>44.001029762988523</v>
      </c>
      <c r="Y891" s="30">
        <f>Table3.110[[#This Row],[DM Incubated, mg]]*'2.4 NDF'!R215/100</f>
        <v>273.12107287331656</v>
      </c>
      <c r="Z891" s="37">
        <f t="shared" si="83"/>
        <v>13.121072873316564</v>
      </c>
      <c r="AA891" s="37">
        <f t="shared" si="84"/>
        <v>4.8041232173258894</v>
      </c>
      <c r="AB891" s="6"/>
    </row>
    <row r="892" spans="2:28" ht="14.4" customHeight="1" x14ac:dyDescent="0.35">
      <c r="B892" s="230">
        <f t="shared" si="78"/>
        <v>882</v>
      </c>
      <c r="C892" s="9"/>
      <c r="D892" s="248">
        <f>Table3.110[[#This Row],[Date]]</f>
        <v>46057</v>
      </c>
      <c r="E892" s="230" t="str">
        <f>Table3.110[[#This Row],[Requisitioner]]</f>
        <v>Genbank</v>
      </c>
      <c r="F892" s="230" t="str">
        <f>Table3.110[[#This Row],[Gene Bank ID]]</f>
        <v>CIAT23806</v>
      </c>
      <c r="G892" s="230" t="str">
        <f>Table3.110[[#This Row],[Genus]]</f>
        <v>Desmodium</v>
      </c>
      <c r="H892" s="230" t="str">
        <f>Table3.110[[#This Row],[Species]]</f>
        <v>angustifolium</v>
      </c>
      <c r="I892" s="230" t="str">
        <f>Table3.110[[#This Row],[Tax Name]]</f>
        <v>Desmodium angustifolium</v>
      </c>
      <c r="J892" s="230" t="str">
        <f>Table3.110[[#This Row],[Family]]</f>
        <v>Fabaceae</v>
      </c>
      <c r="K892" s="230" t="str">
        <f>Table3.110[[#This Row],[Order]]</f>
        <v>Fabales</v>
      </c>
      <c r="L892" s="230" t="str">
        <f>Table3.110[[#This Row],[Functional Group]]</f>
        <v>Herbaceous</v>
      </c>
      <c r="M892" s="230" t="str">
        <f>Table3.110[[#This Row],[CIAT ID]]</f>
        <v>F252613</v>
      </c>
      <c r="N892" s="230">
        <f>Table3.110[[#This Row],[Set CIAT]]</f>
        <v>29</v>
      </c>
      <c r="O892" s="230">
        <f>Table3.110[[#This Row],[Batch]]</f>
        <v>63</v>
      </c>
      <c r="P892" s="230">
        <f>Table3.110[[#This Row],[Run]]</f>
        <v>2</v>
      </c>
      <c r="Q892" s="230">
        <f>Table3.110[[#This Row],[Replication]]</f>
        <v>2</v>
      </c>
      <c r="R892" s="230">
        <f>Table3.110[[#This Row],[Syrange No]]</f>
        <v>193</v>
      </c>
      <c r="S892" s="250">
        <v>0.55610000000000004</v>
      </c>
      <c r="T892" s="250">
        <v>0.81110000000000004</v>
      </c>
      <c r="U892" s="265"/>
      <c r="V892" s="283">
        <f t="shared" si="79"/>
        <v>0.255</v>
      </c>
      <c r="W892" s="61">
        <f>Table3.110[[#This Row],[DM Incubated, mg]]-('3.2 Digest'!V892*1000)</f>
        <v>209.2014859341898</v>
      </c>
      <c r="X892" s="61">
        <f>W892/Table3.110[[#This Row],[DM Incubated, mg]]*100</f>
        <v>45.066957403890875</v>
      </c>
      <c r="Y892" s="30">
        <f>Table3.110[[#This Row],[DM Incubated, mg]]*'2.4 NDF'!R215/100</f>
        <v>273.06650322838686</v>
      </c>
      <c r="Z892" s="37">
        <f t="shared" si="83"/>
        <v>18.066503228386864</v>
      </c>
      <c r="AA892" s="37">
        <f t="shared" si="84"/>
        <v>6.616155044574044</v>
      </c>
      <c r="AB892" s="6"/>
    </row>
    <row r="893" spans="2:28" ht="14.4" customHeight="1" x14ac:dyDescent="0.35">
      <c r="B893" s="230">
        <f t="shared" si="78"/>
        <v>883</v>
      </c>
      <c r="C893" s="9"/>
      <c r="D893" s="248">
        <f>Table3.110[[#This Row],[Date]]</f>
        <v>46057</v>
      </c>
      <c r="E893" s="230" t="str">
        <f>Table3.110[[#This Row],[Requisitioner]]</f>
        <v>Genbank</v>
      </c>
      <c r="F893" s="230" t="str">
        <f>Table3.110[[#This Row],[Gene Bank ID]]</f>
        <v>CIAT23806</v>
      </c>
      <c r="G893" s="230" t="str">
        <f>Table3.110[[#This Row],[Genus]]</f>
        <v>Desmodium</v>
      </c>
      <c r="H893" s="230" t="str">
        <f>Table3.110[[#This Row],[Species]]</f>
        <v>angustifolium</v>
      </c>
      <c r="I893" s="230" t="str">
        <f>Table3.110[[#This Row],[Tax Name]]</f>
        <v>Desmodium angustifolium</v>
      </c>
      <c r="J893" s="230" t="str">
        <f>Table3.110[[#This Row],[Family]]</f>
        <v>Fabaceae</v>
      </c>
      <c r="K893" s="230" t="str">
        <f>Table3.110[[#This Row],[Order]]</f>
        <v>Fabales</v>
      </c>
      <c r="L893" s="230" t="str">
        <f>Table3.110[[#This Row],[Functional Group]]</f>
        <v>Herbaceous</v>
      </c>
      <c r="M893" s="230" t="str">
        <f>Table3.110[[#This Row],[CIAT ID]]</f>
        <v>F252613</v>
      </c>
      <c r="N893" s="230">
        <f>Table3.110[[#This Row],[Set CIAT]]</f>
        <v>29</v>
      </c>
      <c r="O893" s="230">
        <f>Table3.110[[#This Row],[Batch]]</f>
        <v>63</v>
      </c>
      <c r="P893" s="230">
        <f>Table3.110[[#This Row],[Run]]</f>
        <v>2</v>
      </c>
      <c r="Q893" s="230">
        <f>Table3.110[[#This Row],[Replication]]</f>
        <v>3</v>
      </c>
      <c r="R893" s="230">
        <f>Table3.110[[#This Row],[Syrange No]]</f>
        <v>194</v>
      </c>
      <c r="S893" s="106">
        <v>0.56089999999999995</v>
      </c>
      <c r="T893" s="106">
        <v>0.84599999999999997</v>
      </c>
      <c r="U893" s="241"/>
      <c r="V893" s="283">
        <f t="shared" si="79"/>
        <v>0.28510000000000002</v>
      </c>
      <c r="W893" s="61">
        <f>Table3.110[[#This Row],[DM Incubated, mg]]-('3.2 Digest'!V893*1000)</f>
        <v>179.00871984987037</v>
      </c>
      <c r="X893" s="61">
        <f>W893/Table3.110[[#This Row],[DM Incubated, mg]]*100</f>
        <v>38.570428047069662</v>
      </c>
      <c r="Y893" s="74">
        <f>Table3.110[[#This Row],[DM Incubated, mg]]*'2.4 NDF'!R215/100</f>
        <v>273.01193358345711</v>
      </c>
      <c r="Z893" s="37">
        <f t="shared" si="83"/>
        <v>-12.088066416542915</v>
      </c>
      <c r="AA893" s="37">
        <f t="shared" si="84"/>
        <v>-4.4276696105841502</v>
      </c>
      <c r="AB893" s="6"/>
    </row>
    <row r="894" spans="2:28" ht="14.4" customHeight="1" x14ac:dyDescent="0.35">
      <c r="B894" s="230">
        <f t="shared" si="78"/>
        <v>884</v>
      </c>
      <c r="C894" s="9"/>
      <c r="D894" s="248">
        <f>Table3.110[[#This Row],[Date]]</f>
        <v>46057</v>
      </c>
      <c r="E894" s="230" t="str">
        <f>Table3.110[[#This Row],[Requisitioner]]</f>
        <v>Genbank</v>
      </c>
      <c r="F894" s="230" t="str">
        <f>Table3.110[[#This Row],[Gene Bank ID]]</f>
        <v>CIAT24104</v>
      </c>
      <c r="G894" s="230" t="str">
        <f>Table3.110[[#This Row],[Genus]]</f>
        <v>Macroptilium</v>
      </c>
      <c r="H894" s="230" t="str">
        <f>Table3.110[[#This Row],[Species]]</f>
        <v>atropurpureum</v>
      </c>
      <c r="I894" s="230" t="str">
        <f>Table3.110[[#This Row],[Tax Name]]</f>
        <v>Macroptilium atropurpureum</v>
      </c>
      <c r="J894" s="230" t="str">
        <f>Table3.110[[#This Row],[Family]]</f>
        <v>Fabaceae</v>
      </c>
      <c r="K894" s="230" t="str">
        <f>Table3.110[[#This Row],[Order]]</f>
        <v>Fabales</v>
      </c>
      <c r="L894" s="230" t="str">
        <f>Table3.110[[#This Row],[Functional Group]]</f>
        <v>Herbaceous</v>
      </c>
      <c r="M894" s="230" t="str">
        <f>Table3.110[[#This Row],[CIAT ID]]</f>
        <v>F252614</v>
      </c>
      <c r="N894" s="230">
        <f>Table3.110[[#This Row],[Set CIAT]]</f>
        <v>29</v>
      </c>
      <c r="O894" s="230">
        <f>Table3.110[[#This Row],[Batch]]</f>
        <v>63</v>
      </c>
      <c r="P894" s="230">
        <f>Table3.110[[#This Row],[Run]]</f>
        <v>2</v>
      </c>
      <c r="Q894" s="230">
        <f>Table3.110[[#This Row],[Replication]]</f>
        <v>1</v>
      </c>
      <c r="R894" s="230">
        <f>Table3.110[[#This Row],[Syrange No]]</f>
        <v>195</v>
      </c>
      <c r="S894" s="106">
        <v>0.56599999999999995</v>
      </c>
      <c r="T894" s="106">
        <v>0.75160000000000005</v>
      </c>
      <c r="U894" s="241"/>
      <c r="V894" s="283">
        <f t="shared" si="79"/>
        <v>0.1856000000000001</v>
      </c>
      <c r="W894" s="61">
        <f>Table3.110[[#This Row],[DM Incubated, mg]]-('3.2 Digest'!V894*1000)</f>
        <v>276.25771020308684</v>
      </c>
      <c r="X894" s="61">
        <f>W894/Table3.110[[#This Row],[DM Incubated, mg]]*100</f>
        <v>59.814463221066831</v>
      </c>
      <c r="Y894" s="30">
        <f>Table3.110[[#This Row],[DM Incubated, mg]]*'2.4 NDF'!R217/100</f>
        <v>208.95398139702959</v>
      </c>
      <c r="Z894" s="37">
        <f t="shared" si="83"/>
        <v>23.353981397029486</v>
      </c>
      <c r="AA894" s="37">
        <f t="shared" si="84"/>
        <v>11.17661469807317</v>
      </c>
      <c r="AB894" s="6"/>
    </row>
    <row r="895" spans="2:28" ht="14.4" customHeight="1" x14ac:dyDescent="0.35">
      <c r="B895" s="230">
        <f t="shared" si="78"/>
        <v>885</v>
      </c>
      <c r="C895" s="9"/>
      <c r="D895" s="248">
        <f>Table3.110[[#This Row],[Date]]</f>
        <v>46057</v>
      </c>
      <c r="E895" s="230" t="str">
        <f>Table3.110[[#This Row],[Requisitioner]]</f>
        <v>Genbank</v>
      </c>
      <c r="F895" s="230" t="str">
        <f>Table3.110[[#This Row],[Gene Bank ID]]</f>
        <v>CIAT24104</v>
      </c>
      <c r="G895" s="230" t="str">
        <f>Table3.110[[#This Row],[Genus]]</f>
        <v>Macroptilium</v>
      </c>
      <c r="H895" s="230" t="str">
        <f>Table3.110[[#This Row],[Species]]</f>
        <v>atropurpureum</v>
      </c>
      <c r="I895" s="230" t="str">
        <f>Table3.110[[#This Row],[Tax Name]]</f>
        <v>Macroptilium atropurpureum</v>
      </c>
      <c r="J895" s="230" t="str">
        <f>Table3.110[[#This Row],[Family]]</f>
        <v>Fabaceae</v>
      </c>
      <c r="K895" s="230" t="str">
        <f>Table3.110[[#This Row],[Order]]</f>
        <v>Fabales</v>
      </c>
      <c r="L895" s="230" t="str">
        <f>Table3.110[[#This Row],[Functional Group]]</f>
        <v>Herbaceous</v>
      </c>
      <c r="M895" s="230" t="str">
        <f>Table3.110[[#This Row],[CIAT ID]]</f>
        <v>F252614</v>
      </c>
      <c r="N895" s="230">
        <f>Table3.110[[#This Row],[Set CIAT]]</f>
        <v>29</v>
      </c>
      <c r="O895" s="230">
        <f>Table3.110[[#This Row],[Batch]]</f>
        <v>63</v>
      </c>
      <c r="P895" s="230">
        <f>Table3.110[[#This Row],[Run]]</f>
        <v>2</v>
      </c>
      <c r="Q895" s="230">
        <f>Table3.110[[#This Row],[Replication]]</f>
        <v>2</v>
      </c>
      <c r="R895" s="230">
        <f>Table3.110[[#This Row],[Syrange No]]</f>
        <v>196</v>
      </c>
      <c r="S895" s="106">
        <v>0.55549999999999999</v>
      </c>
      <c r="T895" s="106">
        <v>0.80079999999999996</v>
      </c>
      <c r="U895" s="241"/>
      <c r="V895" s="283">
        <f t="shared" si="79"/>
        <v>0.24529999999999996</v>
      </c>
      <c r="W895" s="61">
        <f>Table3.110[[#This Row],[DM Incubated, mg]]-('3.2 Digest'!V895*1000)</f>
        <v>216.18851938757689</v>
      </c>
      <c r="X895" s="61">
        <f>W895/Table3.110[[#This Row],[DM Incubated, mg]]*100</f>
        <v>46.845914969774789</v>
      </c>
      <c r="Y895" s="30">
        <f>Table3.110[[#This Row],[DM Incubated, mg]]*'2.4 NDF'!R217/100</f>
        <v>208.78695183556113</v>
      </c>
      <c r="Z895" s="37">
        <f t="shared" si="83"/>
        <v>-36.513048164438828</v>
      </c>
      <c r="AA895" s="37">
        <f t="shared" si="84"/>
        <v>-17.488184890594219</v>
      </c>
      <c r="AB895" s="6"/>
    </row>
    <row r="896" spans="2:28" ht="14.4" customHeight="1" x14ac:dyDescent="0.35">
      <c r="B896" s="230">
        <f t="shared" si="78"/>
        <v>886</v>
      </c>
      <c r="C896" s="9"/>
      <c r="D896" s="248">
        <f>Table3.110[[#This Row],[Date]]</f>
        <v>46057</v>
      </c>
      <c r="E896" s="230" t="str">
        <f>Table3.110[[#This Row],[Requisitioner]]</f>
        <v>Genbank</v>
      </c>
      <c r="F896" s="230" t="str">
        <f>Table3.110[[#This Row],[Gene Bank ID]]</f>
        <v>CIAT24104</v>
      </c>
      <c r="G896" s="230" t="str">
        <f>Table3.110[[#This Row],[Genus]]</f>
        <v>Macroptilium</v>
      </c>
      <c r="H896" s="230" t="str">
        <f>Table3.110[[#This Row],[Species]]</f>
        <v>atropurpureum</v>
      </c>
      <c r="I896" s="230" t="str">
        <f>Table3.110[[#This Row],[Tax Name]]</f>
        <v>Macroptilium atropurpureum</v>
      </c>
      <c r="J896" s="230" t="str">
        <f>Table3.110[[#This Row],[Family]]</f>
        <v>Fabaceae</v>
      </c>
      <c r="K896" s="230" t="str">
        <f>Table3.110[[#This Row],[Order]]</f>
        <v>Fabales</v>
      </c>
      <c r="L896" s="230" t="str">
        <f>Table3.110[[#This Row],[Functional Group]]</f>
        <v>Herbaceous</v>
      </c>
      <c r="M896" s="230" t="str">
        <f>Table3.110[[#This Row],[CIAT ID]]</f>
        <v>F252614</v>
      </c>
      <c r="N896" s="230">
        <f>Table3.110[[#This Row],[Set CIAT]]</f>
        <v>29</v>
      </c>
      <c r="O896" s="230">
        <f>Table3.110[[#This Row],[Batch]]</f>
        <v>63</v>
      </c>
      <c r="P896" s="230">
        <f>Table3.110[[#This Row],[Run]]</f>
        <v>2</v>
      </c>
      <c r="Q896" s="230">
        <f>Table3.110[[#This Row],[Replication]]</f>
        <v>3</v>
      </c>
      <c r="R896" s="230">
        <f>Table3.110[[#This Row],[Syrange No]]</f>
        <v>197</v>
      </c>
      <c r="S896" s="106">
        <v>0.56679999999999997</v>
      </c>
      <c r="T896" s="106">
        <v>0.75970000000000004</v>
      </c>
      <c r="U896" s="241"/>
      <c r="V896" s="283">
        <f t="shared" si="79"/>
        <v>0.19290000000000007</v>
      </c>
      <c r="W896" s="61">
        <f>Table3.110[[#This Row],[DM Incubated, mg]]-('3.2 Digest'!V896*1000)</f>
        <v>269.05000790696431</v>
      </c>
      <c r="X896" s="61">
        <f>W896/Table3.110[[#This Row],[DM Incubated, mg]]*100</f>
        <v>58.242234722756045</v>
      </c>
      <c r="Y896" s="74">
        <f>Table3.110[[#This Row],[DM Incubated, mg]]*'2.4 NDF'!R217/100</f>
        <v>208.9957387873967</v>
      </c>
      <c r="Z896" s="37">
        <f t="shared" si="83"/>
        <v>16.095738787396641</v>
      </c>
      <c r="AA896" s="37">
        <f t="shared" si="84"/>
        <v>7.7014674465541209</v>
      </c>
      <c r="AB896" s="6"/>
    </row>
    <row r="897" spans="2:28" ht="14.4" customHeight="1" x14ac:dyDescent="0.35">
      <c r="B897" s="230">
        <f t="shared" si="78"/>
        <v>887</v>
      </c>
      <c r="C897" s="9"/>
      <c r="D897" s="248">
        <f>Table3.110[[#This Row],[Date]]</f>
        <v>46057</v>
      </c>
      <c r="E897" s="230" t="str">
        <f>Table3.110[[#This Row],[Requisitioner]]</f>
        <v>Genbank</v>
      </c>
      <c r="F897" s="230" t="str">
        <f>Table3.110[[#This Row],[Gene Bank ID]]</f>
        <v>CIAT24565</v>
      </c>
      <c r="G897" s="230" t="str">
        <f>Table3.110[[#This Row],[Genus]]</f>
        <v>Vigna</v>
      </c>
      <c r="H897" s="230" t="str">
        <f>Table3.110[[#This Row],[Species]]</f>
        <v>unguiculata</v>
      </c>
      <c r="I897" s="230" t="str">
        <f>Table3.110[[#This Row],[Tax Name]]</f>
        <v>Vigna unguiculata</v>
      </c>
      <c r="J897" s="230" t="str">
        <f>Table3.110[[#This Row],[Family]]</f>
        <v>Fabaceae</v>
      </c>
      <c r="K897" s="230" t="str">
        <f>Table3.110[[#This Row],[Order]]</f>
        <v>Fabales</v>
      </c>
      <c r="L897" s="230" t="str">
        <f>Table3.110[[#This Row],[Functional Group]]</f>
        <v>Herbaceous</v>
      </c>
      <c r="M897" s="230" t="str">
        <f>Table3.110[[#This Row],[CIAT ID]]</f>
        <v>F252615</v>
      </c>
      <c r="N897" s="230">
        <f>Table3.110[[#This Row],[Set CIAT]]</f>
        <v>29</v>
      </c>
      <c r="O897" s="230">
        <f>Table3.110[[#This Row],[Batch]]</f>
        <v>63</v>
      </c>
      <c r="P897" s="230">
        <f>Table3.110[[#This Row],[Run]]</f>
        <v>2</v>
      </c>
      <c r="Q897" s="230">
        <f>Table3.110[[#This Row],[Replication]]</f>
        <v>1</v>
      </c>
      <c r="R897" s="230">
        <f>Table3.110[[#This Row],[Syrange No]]</f>
        <v>198</v>
      </c>
      <c r="S897" s="250">
        <v>0.58430000000000004</v>
      </c>
      <c r="T897" s="250">
        <v>0.89690000000000003</v>
      </c>
      <c r="U897" s="265"/>
      <c r="V897" s="283">
        <f t="shared" si="79"/>
        <v>0.31259999999999999</v>
      </c>
      <c r="W897" s="61">
        <f>Table3.110[[#This Row],[DM Incubated, mg]]-('3.2 Digest'!V897*1000)</f>
        <v>138.03258623688123</v>
      </c>
      <c r="X897" s="61">
        <f>W897/Table3.110[[#This Row],[DM Incubated, mg]]*100</f>
        <v>30.630848822886168</v>
      </c>
      <c r="Y897" s="30">
        <f>Table3.110[[#This Row],[DM Incubated, mg]]*'2.4 NDF'!R219/100</f>
        <v>223.55805673694417</v>
      </c>
      <c r="Z897" s="37">
        <f t="shared" si="83"/>
        <v>-89.041943263055799</v>
      </c>
      <c r="AA897" s="37">
        <f t="shared" si="84"/>
        <v>-39.829449478454485</v>
      </c>
      <c r="AB897" s="6"/>
    </row>
    <row r="898" spans="2:28" ht="14.4" customHeight="1" x14ac:dyDescent="0.35">
      <c r="B898" s="230">
        <f t="shared" si="78"/>
        <v>888</v>
      </c>
      <c r="C898" s="9"/>
      <c r="D898" s="248">
        <f>Table3.110[[#This Row],[Date]]</f>
        <v>46057</v>
      </c>
      <c r="E898" s="230" t="str">
        <f>Table3.110[[#This Row],[Requisitioner]]</f>
        <v>Genbank</v>
      </c>
      <c r="F898" s="230" t="str">
        <f>Table3.110[[#This Row],[Gene Bank ID]]</f>
        <v>CIAT24565</v>
      </c>
      <c r="G898" s="230" t="str">
        <f>Table3.110[[#This Row],[Genus]]</f>
        <v>Vigna</v>
      </c>
      <c r="H898" s="230" t="str">
        <f>Table3.110[[#This Row],[Species]]</f>
        <v>unguiculata</v>
      </c>
      <c r="I898" s="230" t="str">
        <f>Table3.110[[#This Row],[Tax Name]]</f>
        <v>Vigna unguiculata</v>
      </c>
      <c r="J898" s="230" t="str">
        <f>Table3.110[[#This Row],[Family]]</f>
        <v>Fabaceae</v>
      </c>
      <c r="K898" s="230" t="str">
        <f>Table3.110[[#This Row],[Order]]</f>
        <v>Fabales</v>
      </c>
      <c r="L898" s="230" t="str">
        <f>Table3.110[[#This Row],[Functional Group]]</f>
        <v>Herbaceous</v>
      </c>
      <c r="M898" s="230" t="str">
        <f>Table3.110[[#This Row],[CIAT ID]]</f>
        <v>F252615</v>
      </c>
      <c r="N898" s="230">
        <f>Table3.110[[#This Row],[Set CIAT]]</f>
        <v>29</v>
      </c>
      <c r="O898" s="230">
        <f>Table3.110[[#This Row],[Batch]]</f>
        <v>63</v>
      </c>
      <c r="P898" s="230">
        <f>Table3.110[[#This Row],[Run]]</f>
        <v>2</v>
      </c>
      <c r="Q898" s="230">
        <f>Table3.110[[#This Row],[Replication]]</f>
        <v>2</v>
      </c>
      <c r="R898" s="230">
        <f>Table3.110[[#This Row],[Syrange No]]</f>
        <v>199</v>
      </c>
      <c r="S898" s="98">
        <v>0.59809999999999997</v>
      </c>
      <c r="T898" s="98">
        <v>0.8296</v>
      </c>
      <c r="U898" s="110"/>
      <c r="V898" s="283">
        <f t="shared" si="79"/>
        <v>0.23150000000000004</v>
      </c>
      <c r="W898" s="61">
        <f>Table3.110[[#This Row],[DM Incubated, mg]]-('3.2 Digest'!V898*1000)</f>
        <v>219.04251376311808</v>
      </c>
      <c r="X898" s="61">
        <f>W898/Table3.110[[#This Row],[DM Incubated, mg]]*100</f>
        <v>48.617501583498537</v>
      </c>
      <c r="Y898" s="74">
        <f>Table3.110[[#This Row],[DM Incubated, mg]]*'2.4 NDF'!R219/100</f>
        <v>223.51337193647709</v>
      </c>
      <c r="Z898" s="37">
        <f t="shared" si="83"/>
        <v>-7.986628063522943</v>
      </c>
      <c r="AA898" s="37">
        <f t="shared" si="84"/>
        <v>-3.5732215904258102</v>
      </c>
      <c r="AB898" s="6"/>
    </row>
    <row r="899" spans="2:28" ht="14.4" customHeight="1" x14ac:dyDescent="0.35">
      <c r="B899" s="230">
        <f t="shared" si="78"/>
        <v>889</v>
      </c>
      <c r="C899" s="9"/>
      <c r="D899" s="248">
        <f>Table3.110[[#This Row],[Date]]</f>
        <v>46057</v>
      </c>
      <c r="E899" s="230" t="str">
        <f>Table3.110[[#This Row],[Requisitioner]]</f>
        <v>Genbank</v>
      </c>
      <c r="F899" s="230" t="str">
        <f>Table3.110[[#This Row],[Gene Bank ID]]</f>
        <v>CIAT24565</v>
      </c>
      <c r="G899" s="230" t="str">
        <f>Table3.110[[#This Row],[Genus]]</f>
        <v>Vigna</v>
      </c>
      <c r="H899" s="230" t="str">
        <f>Table3.110[[#This Row],[Species]]</f>
        <v>unguiculata</v>
      </c>
      <c r="I899" s="230" t="str">
        <f>Table3.110[[#This Row],[Tax Name]]</f>
        <v>Vigna unguiculata</v>
      </c>
      <c r="J899" s="230" t="str">
        <f>Table3.110[[#This Row],[Family]]</f>
        <v>Fabaceae</v>
      </c>
      <c r="K899" s="230" t="str">
        <f>Table3.110[[#This Row],[Order]]</f>
        <v>Fabales</v>
      </c>
      <c r="L899" s="230" t="str">
        <f>Table3.110[[#This Row],[Functional Group]]</f>
        <v>Herbaceous</v>
      </c>
      <c r="M899" s="230" t="str">
        <f>Table3.110[[#This Row],[CIAT ID]]</f>
        <v>F252615</v>
      </c>
      <c r="N899" s="230">
        <f>Table3.110[[#This Row],[Set CIAT]]</f>
        <v>29</v>
      </c>
      <c r="O899" s="230">
        <f>Table3.110[[#This Row],[Batch]]</f>
        <v>63</v>
      </c>
      <c r="P899" s="230">
        <f>Table3.110[[#This Row],[Run]]</f>
        <v>2</v>
      </c>
      <c r="Q899" s="230">
        <f>Table3.110[[#This Row],[Replication]]</f>
        <v>3</v>
      </c>
      <c r="R899" s="230">
        <f>Table3.110[[#This Row],[Syrange No]]</f>
        <v>200</v>
      </c>
      <c r="S899" s="250">
        <v>0.58840000000000003</v>
      </c>
      <c r="T899" s="250">
        <v>0.80420000000000003</v>
      </c>
      <c r="U899" s="265"/>
      <c r="V899" s="283">
        <f t="shared" si="79"/>
        <v>0.21579999999999999</v>
      </c>
      <c r="W899" s="61">
        <f>Table3.110[[#This Row],[DM Incubated, mg]]-('3.2 Digest'!V899*1000)</f>
        <v>234.92265871064436</v>
      </c>
      <c r="X899" s="61">
        <f>W899/Table3.110[[#This Row],[DM Incubated, mg]]*100</f>
        <v>52.121333190275756</v>
      </c>
      <c r="Y899" s="74">
        <f>Table3.110[[#This Row],[DM Incubated, mg]]*'2.4 NDF'!R219/100</f>
        <v>223.6027415374113</v>
      </c>
      <c r="Z899" s="37">
        <f t="shared" si="83"/>
        <v>7.8027415374113218</v>
      </c>
      <c r="AA899" s="37">
        <f t="shared" si="84"/>
        <v>3.4895553980074228</v>
      </c>
      <c r="AB899" s="6"/>
    </row>
    <row r="900" spans="2:28" ht="14.4" customHeight="1" x14ac:dyDescent="0.35">
      <c r="B900" s="230">
        <f t="shared" si="78"/>
        <v>890</v>
      </c>
      <c r="C900" s="9"/>
      <c r="D900" s="248">
        <f>Table3.110[[#This Row],[Date]]</f>
        <v>46057</v>
      </c>
      <c r="E900" s="230" t="str">
        <f>Table3.110[[#This Row],[Requisitioner]]</f>
        <v>Genbank</v>
      </c>
      <c r="F900" s="230" t="str">
        <f>Table3.110[[#This Row],[Gene Bank ID]]</f>
        <v>CIAT33561</v>
      </c>
      <c r="G900" s="230" t="str">
        <f>Table3.110[[#This Row],[Genus]]</f>
        <v>Desmodium</v>
      </c>
      <c r="H900" s="230" t="str">
        <f>Table3.110[[#This Row],[Species]]</f>
        <v>wigginsii</v>
      </c>
      <c r="I900" s="230" t="str">
        <f>Table3.110[[#This Row],[Tax Name]]</f>
        <v>Desmodium wigginsii</v>
      </c>
      <c r="J900" s="230" t="str">
        <f>Table3.110[[#This Row],[Family]]</f>
        <v>Fabaceae</v>
      </c>
      <c r="K900" s="230" t="str">
        <f>Table3.110[[#This Row],[Order]]</f>
        <v>Fabales</v>
      </c>
      <c r="L900" s="230" t="str">
        <f>Table3.110[[#This Row],[Functional Group]]</f>
        <v>Herbaceous</v>
      </c>
      <c r="M900" s="230" t="str">
        <f>Table3.110[[#This Row],[CIAT ID]]</f>
        <v>F252616</v>
      </c>
      <c r="N900" s="230">
        <f>Table3.110[[#This Row],[Set CIAT]]</f>
        <v>29</v>
      </c>
      <c r="O900" s="230">
        <f>Table3.110[[#This Row],[Batch]]</f>
        <v>63</v>
      </c>
      <c r="P900" s="230">
        <f>Table3.110[[#This Row],[Run]]</f>
        <v>2</v>
      </c>
      <c r="Q900" s="230">
        <f>Table3.110[[#This Row],[Replication]]</f>
        <v>1</v>
      </c>
      <c r="R900" s="230">
        <f>Table3.110[[#This Row],[Syrange No]]</f>
        <v>201</v>
      </c>
      <c r="S900" s="98">
        <v>0.58430000000000004</v>
      </c>
      <c r="T900" s="98">
        <v>0.82940000000000003</v>
      </c>
      <c r="U900" s="110"/>
      <c r="V900" s="283">
        <f t="shared" si="79"/>
        <v>0.24509999999999998</v>
      </c>
      <c r="W900" s="61">
        <f>Table3.110[[#This Row],[DM Incubated, mg]]-('3.2 Digest'!V900*1000)</f>
        <v>214.37093790620955</v>
      </c>
      <c r="X900" s="61">
        <f>W900/Table3.110[[#This Row],[DM Incubated, mg]]*100</f>
        <v>46.656038547963277</v>
      </c>
      <c r="Y900" s="30">
        <f>Table3.110[[#This Row],[DM Incubated, mg]]*'2.4 NDF'!R221/100</f>
        <v>251.26128003470455</v>
      </c>
      <c r="Z900" s="37">
        <f t="shared" si="83"/>
        <v>6.1612800347045606</v>
      </c>
      <c r="AA900" s="37">
        <f t="shared" si="84"/>
        <v>2.4521406696063779</v>
      </c>
      <c r="AB900" s="6"/>
    </row>
    <row r="901" spans="2:28" ht="14.4" customHeight="1" x14ac:dyDescent="0.35">
      <c r="B901" s="230">
        <f t="shared" si="78"/>
        <v>891</v>
      </c>
      <c r="C901" s="9"/>
      <c r="D901" s="248">
        <f>Table3.110[[#This Row],[Date]]</f>
        <v>46057</v>
      </c>
      <c r="E901" s="230" t="str">
        <f>Table3.110[[#This Row],[Requisitioner]]</f>
        <v>Genbank</v>
      </c>
      <c r="F901" s="230" t="str">
        <f>Table3.110[[#This Row],[Gene Bank ID]]</f>
        <v>CIAT33561</v>
      </c>
      <c r="G901" s="230" t="str">
        <f>Table3.110[[#This Row],[Genus]]</f>
        <v>Desmodium</v>
      </c>
      <c r="H901" s="230" t="str">
        <f>Table3.110[[#This Row],[Species]]</f>
        <v>wigginsii</v>
      </c>
      <c r="I901" s="230" t="str">
        <f>Table3.110[[#This Row],[Tax Name]]</f>
        <v>Desmodium wigginsii</v>
      </c>
      <c r="J901" s="230" t="str">
        <f>Table3.110[[#This Row],[Family]]</f>
        <v>Fabaceae</v>
      </c>
      <c r="K901" s="230" t="str">
        <f>Table3.110[[#This Row],[Order]]</f>
        <v>Fabales</v>
      </c>
      <c r="L901" s="230" t="str">
        <f>Table3.110[[#This Row],[Functional Group]]</f>
        <v>Herbaceous</v>
      </c>
      <c r="M901" s="230" t="str">
        <f>Table3.110[[#This Row],[CIAT ID]]</f>
        <v>F252616</v>
      </c>
      <c r="N901" s="230">
        <f>Table3.110[[#This Row],[Set CIAT]]</f>
        <v>29</v>
      </c>
      <c r="O901" s="230">
        <f>Table3.110[[#This Row],[Batch]]</f>
        <v>63</v>
      </c>
      <c r="P901" s="230">
        <f>Table3.110[[#This Row],[Run]]</f>
        <v>2</v>
      </c>
      <c r="Q901" s="230">
        <f>Table3.110[[#This Row],[Replication]]</f>
        <v>2</v>
      </c>
      <c r="R901" s="230">
        <f>Table3.110[[#This Row],[Syrange No]]</f>
        <v>202</v>
      </c>
      <c r="S901" s="250">
        <v>0.57730000000000004</v>
      </c>
      <c r="T901" s="250">
        <v>0.84570000000000001</v>
      </c>
      <c r="U901" s="265"/>
      <c r="V901" s="283">
        <f t="shared" si="79"/>
        <v>0.26839999999999997</v>
      </c>
      <c r="W901" s="61">
        <f>Table3.110[[#This Row],[DM Incubated, mg]]-('3.2 Digest'!V901*1000)</f>
        <v>191.34656534346584</v>
      </c>
      <c r="X901" s="61">
        <f>W901/Table3.110[[#This Row],[DM Incubated, mg]]*100</f>
        <v>41.620009754834236</v>
      </c>
      <c r="Y901" s="30">
        <f>Table3.110[[#This Row],[DM Incubated, mg]]*'2.4 NDF'!R221/100</f>
        <v>251.41200665740081</v>
      </c>
      <c r="Z901" s="37">
        <f t="shared" si="83"/>
        <v>-16.987993342599168</v>
      </c>
      <c r="AA901" s="37">
        <f t="shared" si="84"/>
        <v>-6.7570334322770469</v>
      </c>
      <c r="AB901" s="6"/>
    </row>
    <row r="902" spans="2:28" ht="14.4" customHeight="1" x14ac:dyDescent="0.35">
      <c r="B902" s="230">
        <f t="shared" si="78"/>
        <v>892</v>
      </c>
      <c r="C902" s="9"/>
      <c r="D902" s="248">
        <f>Table3.110[[#This Row],[Date]]</f>
        <v>46057</v>
      </c>
      <c r="E902" s="230" t="str">
        <f>Table3.110[[#This Row],[Requisitioner]]</f>
        <v>Genbank</v>
      </c>
      <c r="F902" s="230" t="str">
        <f>Table3.110[[#This Row],[Gene Bank ID]]</f>
        <v>CIAT33561</v>
      </c>
      <c r="G902" s="230" t="str">
        <f>Table3.110[[#This Row],[Genus]]</f>
        <v>Desmodium</v>
      </c>
      <c r="H902" s="230" t="str">
        <f>Table3.110[[#This Row],[Species]]</f>
        <v>wigginsii</v>
      </c>
      <c r="I902" s="230" t="str">
        <f>Table3.110[[#This Row],[Tax Name]]</f>
        <v>Desmodium wigginsii</v>
      </c>
      <c r="J902" s="230" t="str">
        <f>Table3.110[[#This Row],[Family]]</f>
        <v>Fabaceae</v>
      </c>
      <c r="K902" s="230" t="str">
        <f>Table3.110[[#This Row],[Order]]</f>
        <v>Fabales</v>
      </c>
      <c r="L902" s="230" t="str">
        <f>Table3.110[[#This Row],[Functional Group]]</f>
        <v>Herbaceous</v>
      </c>
      <c r="M902" s="230" t="str">
        <f>Table3.110[[#This Row],[CIAT ID]]</f>
        <v>F252616</v>
      </c>
      <c r="N902" s="230">
        <f>Table3.110[[#This Row],[Set CIAT]]</f>
        <v>29</v>
      </c>
      <c r="O902" s="230">
        <f>Table3.110[[#This Row],[Batch]]</f>
        <v>63</v>
      </c>
      <c r="P902" s="230">
        <f>Table3.110[[#This Row],[Run]]</f>
        <v>2</v>
      </c>
      <c r="Q902" s="230">
        <f>Table3.110[[#This Row],[Replication]]</f>
        <v>3</v>
      </c>
      <c r="R902" s="230">
        <f>Table3.110[[#This Row],[Syrange No]]</f>
        <v>203</v>
      </c>
      <c r="S902" s="98">
        <v>0.55200000000000005</v>
      </c>
      <c r="T902" s="98">
        <v>0.80889999999999995</v>
      </c>
      <c r="U902" s="110"/>
      <c r="V902" s="283">
        <f t="shared" si="79"/>
        <v>0.25689999999999991</v>
      </c>
      <c r="W902" s="61">
        <f>Table3.110[[#This Row],[DM Incubated, mg]]-('3.2 Digest'!V902*1000)</f>
        <v>202.57093790620962</v>
      </c>
      <c r="X902" s="61">
        <f>W902/Table3.110[[#This Row],[DM Incubated, mg]]*100</f>
        <v>44.087867413185513</v>
      </c>
      <c r="Y902" s="74">
        <f>Table3.110[[#This Row],[DM Incubated, mg]]*'2.4 NDF'!R221/100</f>
        <v>251.26128003470455</v>
      </c>
      <c r="Z902" s="37">
        <f t="shared" si="83"/>
        <v>-5.6387199652953655</v>
      </c>
      <c r="AA902" s="37">
        <f t="shared" si="84"/>
        <v>-2.2441658995435101</v>
      </c>
      <c r="AB902" s="6"/>
    </row>
    <row r="903" spans="2:28" ht="14.4" customHeight="1" x14ac:dyDescent="0.35">
      <c r="B903" s="230">
        <f t="shared" si="78"/>
        <v>893</v>
      </c>
      <c r="C903" s="9"/>
      <c r="D903" s="248">
        <f>Table3.110[[#This Row],[Date]]</f>
        <v>46057</v>
      </c>
      <c r="E903" s="230" t="str">
        <f>Table3.110[[#This Row],[Requisitioner]]</f>
        <v>Genbank</v>
      </c>
      <c r="F903" s="230" t="str">
        <f>Table3.110[[#This Row],[Gene Bank ID]]</f>
        <v>CIAT34038</v>
      </c>
      <c r="G903" s="230" t="str">
        <f>Table3.110[[#This Row],[Genus]]</f>
        <v>Vigna</v>
      </c>
      <c r="H903" s="230" t="str">
        <f>Table3.110[[#This Row],[Species]]</f>
        <v>unguiculata</v>
      </c>
      <c r="I903" s="230" t="str">
        <f>Table3.110[[#This Row],[Tax Name]]</f>
        <v>Vigna unguiculata</v>
      </c>
      <c r="J903" s="230" t="str">
        <f>Table3.110[[#This Row],[Family]]</f>
        <v>Fabaceae</v>
      </c>
      <c r="K903" s="230" t="str">
        <f>Table3.110[[#This Row],[Order]]</f>
        <v>Fabales</v>
      </c>
      <c r="L903" s="230" t="str">
        <f>Table3.110[[#This Row],[Functional Group]]</f>
        <v>Herbaceous</v>
      </c>
      <c r="M903" s="230" t="str">
        <f>Table3.110[[#This Row],[CIAT ID]]</f>
        <v>F252617</v>
      </c>
      <c r="N903" s="230">
        <f>Table3.110[[#This Row],[Set CIAT]]</f>
        <v>29</v>
      </c>
      <c r="O903" s="230">
        <f>Table3.110[[#This Row],[Batch]]</f>
        <v>63</v>
      </c>
      <c r="P903" s="230">
        <f>Table3.110[[#This Row],[Run]]</f>
        <v>2</v>
      </c>
      <c r="Q903" s="230">
        <f>Table3.110[[#This Row],[Replication]]</f>
        <v>1</v>
      </c>
      <c r="R903" s="230">
        <f>Table3.110[[#This Row],[Syrange No]]</f>
        <v>204</v>
      </c>
      <c r="S903" s="250">
        <v>0.57410000000000005</v>
      </c>
      <c r="T903" s="250">
        <v>0.82950000000000002</v>
      </c>
      <c r="U903" s="265"/>
      <c r="V903" s="283">
        <f t="shared" si="79"/>
        <v>0.25539999999999996</v>
      </c>
      <c r="W903" s="61">
        <f>Table3.110[[#This Row],[DM Incubated, mg]]-('3.2 Digest'!V903*1000)</f>
        <v>203.7291225264847</v>
      </c>
      <c r="X903" s="61">
        <f>W903/Table3.110[[#This Row],[DM Incubated, mg]]*100</f>
        <v>44.372947071056835</v>
      </c>
      <c r="Y903" s="30">
        <f>Table3.110[[#This Row],[DM Incubated, mg]]*'2.4 NDF'!R223/100</f>
        <v>215.60017566849959</v>
      </c>
      <c r="Z903" s="37">
        <f t="shared" si="83"/>
        <v>-39.799824331500361</v>
      </c>
      <c r="AA903" s="37">
        <f t="shared" si="84"/>
        <v>-18.460014797341994</v>
      </c>
      <c r="AB903" s="6"/>
    </row>
    <row r="904" spans="2:28" ht="14.4" customHeight="1" x14ac:dyDescent="0.35">
      <c r="B904" s="230">
        <f t="shared" si="78"/>
        <v>894</v>
      </c>
      <c r="C904" s="9"/>
      <c r="D904" s="248">
        <f>Table3.110[[#This Row],[Date]]</f>
        <v>46057</v>
      </c>
      <c r="E904" s="230" t="str">
        <f>Table3.110[[#This Row],[Requisitioner]]</f>
        <v>Genbank</v>
      </c>
      <c r="F904" s="230" t="str">
        <f>Table3.110[[#This Row],[Gene Bank ID]]</f>
        <v>CIAT34038</v>
      </c>
      <c r="G904" s="230" t="str">
        <f>Table3.110[[#This Row],[Genus]]</f>
        <v>Vigna</v>
      </c>
      <c r="H904" s="230" t="str">
        <f>Table3.110[[#This Row],[Species]]</f>
        <v>unguiculata</v>
      </c>
      <c r="I904" s="230" t="str">
        <f>Table3.110[[#This Row],[Tax Name]]</f>
        <v>Vigna unguiculata</v>
      </c>
      <c r="J904" s="230" t="str">
        <f>Table3.110[[#This Row],[Family]]</f>
        <v>Fabaceae</v>
      </c>
      <c r="K904" s="230" t="str">
        <f>Table3.110[[#This Row],[Order]]</f>
        <v>Fabales</v>
      </c>
      <c r="L904" s="230" t="str">
        <f>Table3.110[[#This Row],[Functional Group]]</f>
        <v>Herbaceous</v>
      </c>
      <c r="M904" s="230" t="str">
        <f>Table3.110[[#This Row],[CIAT ID]]</f>
        <v>F252617</v>
      </c>
      <c r="N904" s="230">
        <f>Table3.110[[#This Row],[Set CIAT]]</f>
        <v>29</v>
      </c>
      <c r="O904" s="230">
        <f>Table3.110[[#This Row],[Batch]]</f>
        <v>63</v>
      </c>
      <c r="P904" s="230">
        <f>Table3.110[[#This Row],[Run]]</f>
        <v>2</v>
      </c>
      <c r="Q904" s="230">
        <f>Table3.110[[#This Row],[Replication]]</f>
        <v>2</v>
      </c>
      <c r="R904" s="230">
        <f>Table3.110[[#This Row],[Syrange No]]</f>
        <v>205</v>
      </c>
      <c r="S904" s="98">
        <v>0.57669999999999999</v>
      </c>
      <c r="T904" s="98">
        <v>0.76749999999999996</v>
      </c>
      <c r="U904" s="110"/>
      <c r="V904" s="283">
        <f t="shared" si="79"/>
        <v>0.19079999999999997</v>
      </c>
      <c r="W904" s="61">
        <f>Table3.110[[#This Row],[DM Incubated, mg]]-('3.2 Digest'!V904*1000)</f>
        <v>268.23733341762295</v>
      </c>
      <c r="X904" s="61">
        <f>W904/Table3.110[[#This Row],[DM Incubated, mg]]*100</f>
        <v>58.43475331745752</v>
      </c>
      <c r="Y904" s="74">
        <f>Table3.110[[#This Row],[DM Incubated, mg]]*'2.4 NDF'!R223/100</f>
        <v>215.55707287448348</v>
      </c>
      <c r="Z904" s="37">
        <f t="shared" si="83"/>
        <v>24.757072874483498</v>
      </c>
      <c r="AA904" s="37">
        <f t="shared" si="84"/>
        <v>11.485159148036525</v>
      </c>
      <c r="AB904" s="6"/>
    </row>
    <row r="905" spans="2:28" ht="14.4" customHeight="1" x14ac:dyDescent="0.35">
      <c r="B905" s="230">
        <f t="shared" si="78"/>
        <v>895</v>
      </c>
      <c r="C905" s="9"/>
      <c r="D905" s="248">
        <f>Table3.110[[#This Row],[Date]]</f>
        <v>46057</v>
      </c>
      <c r="E905" s="230" t="str">
        <f>Table3.110[[#This Row],[Requisitioner]]</f>
        <v>Genbank</v>
      </c>
      <c r="F905" s="230" t="str">
        <f>Table3.110[[#This Row],[Gene Bank ID]]</f>
        <v>CIAT34038</v>
      </c>
      <c r="G905" s="230" t="str">
        <f>Table3.110[[#This Row],[Genus]]</f>
        <v>Vigna</v>
      </c>
      <c r="H905" s="230" t="str">
        <f>Table3.110[[#This Row],[Species]]</f>
        <v>unguiculata</v>
      </c>
      <c r="I905" s="230" t="str">
        <f>Table3.110[[#This Row],[Tax Name]]</f>
        <v>Vigna unguiculata</v>
      </c>
      <c r="J905" s="230" t="str">
        <f>Table3.110[[#This Row],[Family]]</f>
        <v>Fabaceae</v>
      </c>
      <c r="K905" s="230" t="str">
        <f>Table3.110[[#This Row],[Order]]</f>
        <v>Fabales</v>
      </c>
      <c r="L905" s="230" t="str">
        <f>Table3.110[[#This Row],[Functional Group]]</f>
        <v>Herbaceous</v>
      </c>
      <c r="M905" s="230" t="str">
        <f>Table3.110[[#This Row],[CIAT ID]]</f>
        <v>F252617</v>
      </c>
      <c r="N905" s="230">
        <f>Table3.110[[#This Row],[Set CIAT]]</f>
        <v>29</v>
      </c>
      <c r="O905" s="230">
        <f>Table3.110[[#This Row],[Batch]]</f>
        <v>63</v>
      </c>
      <c r="P905" s="230">
        <f>Table3.110[[#This Row],[Run]]</f>
        <v>2</v>
      </c>
      <c r="Q905" s="230">
        <f>Table3.110[[#This Row],[Replication]]</f>
        <v>3</v>
      </c>
      <c r="R905" s="230">
        <f>Table3.110[[#This Row],[Syrange No]]</f>
        <v>206</v>
      </c>
      <c r="S905" s="250">
        <v>0.55810000000000004</v>
      </c>
      <c r="T905" s="250">
        <v>0.74480000000000002</v>
      </c>
      <c r="U905" s="265"/>
      <c r="V905" s="283">
        <f t="shared" si="79"/>
        <v>0.18669999999999998</v>
      </c>
      <c r="W905" s="61">
        <f>Table3.110[[#This Row],[DM Incubated, mg]]-('3.2 Digest'!V905*1000)</f>
        <v>272.52091163534641</v>
      </c>
      <c r="X905" s="61">
        <f>W905/Table3.110[[#This Row],[DM Incubated, mg]]*100</f>
        <v>59.344185931094337</v>
      </c>
      <c r="Y905" s="30">
        <f>Table3.110[[#This Row],[DM Incubated, mg]]*'2.4 NDF'!R223/100</f>
        <v>215.64327846251567</v>
      </c>
      <c r="Z905" s="37">
        <f t="shared" si="83"/>
        <v>28.943278462515678</v>
      </c>
      <c r="AA905" s="37">
        <f t="shared" si="84"/>
        <v>13.421831957329827</v>
      </c>
      <c r="AB905" s="6"/>
    </row>
    <row r="906" spans="2:28" ht="14.4" customHeight="1" x14ac:dyDescent="0.35">
      <c r="B906" s="230">
        <f t="shared" si="78"/>
        <v>896</v>
      </c>
      <c r="C906" s="9"/>
      <c r="D906" s="248">
        <f>Table3.110[[#This Row],[Date]]</f>
        <v>46057</v>
      </c>
      <c r="E906" s="230" t="str">
        <f>Table3.110[[#This Row],[Requisitioner]]</f>
        <v>Genbank</v>
      </c>
      <c r="F906" s="230" t="str">
        <f>Table3.110[[#This Row],[Gene Bank ID]]</f>
        <v>CIAT34040</v>
      </c>
      <c r="G906" s="230" t="str">
        <f>Table3.110[[#This Row],[Genus]]</f>
        <v>Vigna</v>
      </c>
      <c r="H906" s="230" t="str">
        <f>Table3.110[[#This Row],[Species]]</f>
        <v>aconitifolia</v>
      </c>
      <c r="I906" s="230" t="str">
        <f>Table3.110[[#This Row],[Tax Name]]</f>
        <v>Vigna aconitifolia</v>
      </c>
      <c r="J906" s="230" t="str">
        <f>Table3.110[[#This Row],[Family]]</f>
        <v>Fabaceae</v>
      </c>
      <c r="K906" s="230" t="str">
        <f>Table3.110[[#This Row],[Order]]</f>
        <v>Fabales</v>
      </c>
      <c r="L906" s="230" t="str">
        <f>Table3.110[[#This Row],[Functional Group]]</f>
        <v>Herbaceous</v>
      </c>
      <c r="M906" s="230" t="str">
        <f>Table3.110[[#This Row],[CIAT ID]]</f>
        <v>F252618</v>
      </c>
      <c r="N906" s="230">
        <f>Table3.110[[#This Row],[Set CIAT]]</f>
        <v>29</v>
      </c>
      <c r="O906" s="230">
        <f>Table3.110[[#This Row],[Batch]]</f>
        <v>63</v>
      </c>
      <c r="P906" s="230">
        <f>Table3.110[[#This Row],[Run]]</f>
        <v>2</v>
      </c>
      <c r="Q906" s="230">
        <f>Table3.110[[#This Row],[Replication]]</f>
        <v>1</v>
      </c>
      <c r="R906" s="230">
        <f>Table3.110[[#This Row],[Syrange No]]</f>
        <v>207</v>
      </c>
      <c r="S906" s="98">
        <v>0.55510000000000004</v>
      </c>
      <c r="T906" s="98">
        <v>0.76229999999999998</v>
      </c>
      <c r="U906" s="110"/>
      <c r="V906" s="283">
        <f t="shared" si="79"/>
        <v>0.20719999999999994</v>
      </c>
      <c r="W906" s="61">
        <f>Table3.110[[#This Row],[DM Incubated, mg]]-('3.2 Digest'!V906*1000)</f>
        <v>246.35160685562863</v>
      </c>
      <c r="X906" s="61">
        <f>W906/Table3.110[[#This Row],[DM Incubated, mg]]*100</f>
        <v>54.316113785491581</v>
      </c>
      <c r="Y906" s="30">
        <f>Table3.110[[#This Row],[DM Incubated, mg]]*'2.4 NDF'!R225/100</f>
        <v>190.37826743424452</v>
      </c>
      <c r="Z906" s="37">
        <f t="shared" si="83"/>
        <v>-16.821732565755411</v>
      </c>
      <c r="AA906" s="37">
        <f t="shared" si="84"/>
        <v>-8.8359521244017696</v>
      </c>
      <c r="AB906" s="6"/>
    </row>
    <row r="907" spans="2:28" ht="14.4" customHeight="1" x14ac:dyDescent="0.35">
      <c r="B907" s="230">
        <f t="shared" si="78"/>
        <v>897</v>
      </c>
      <c r="C907" s="9"/>
      <c r="D907" s="248">
        <f>Table3.110[[#This Row],[Date]]</f>
        <v>46057</v>
      </c>
      <c r="E907" s="230" t="str">
        <f>Table3.110[[#This Row],[Requisitioner]]</f>
        <v>Genbank</v>
      </c>
      <c r="F907" s="230" t="str">
        <f>Table3.110[[#This Row],[Gene Bank ID]]</f>
        <v>CIAT34040</v>
      </c>
      <c r="G907" s="230" t="str">
        <f>Table3.110[[#This Row],[Genus]]</f>
        <v>Vigna</v>
      </c>
      <c r="H907" s="230" t="str">
        <f>Table3.110[[#This Row],[Species]]</f>
        <v>aconitifolia</v>
      </c>
      <c r="I907" s="230" t="str">
        <f>Table3.110[[#This Row],[Tax Name]]</f>
        <v>Vigna aconitifolia</v>
      </c>
      <c r="J907" s="230" t="str">
        <f>Table3.110[[#This Row],[Family]]</f>
        <v>Fabaceae</v>
      </c>
      <c r="K907" s="230" t="str">
        <f>Table3.110[[#This Row],[Order]]</f>
        <v>Fabales</v>
      </c>
      <c r="L907" s="230" t="str">
        <f>Table3.110[[#This Row],[Functional Group]]</f>
        <v>Herbaceous</v>
      </c>
      <c r="M907" s="230" t="str">
        <f>Table3.110[[#This Row],[CIAT ID]]</f>
        <v>F252618</v>
      </c>
      <c r="N907" s="230">
        <f>Table3.110[[#This Row],[Set CIAT]]</f>
        <v>29</v>
      </c>
      <c r="O907" s="230">
        <f>Table3.110[[#This Row],[Batch]]</f>
        <v>63</v>
      </c>
      <c r="P907" s="230">
        <f>Table3.110[[#This Row],[Run]]</f>
        <v>2</v>
      </c>
      <c r="Q907" s="230">
        <f>Table3.110[[#This Row],[Replication]]</f>
        <v>2</v>
      </c>
      <c r="R907" s="230">
        <f>Table3.110[[#This Row],[Syrange No]]</f>
        <v>208</v>
      </c>
      <c r="S907" s="250">
        <v>0.56999999999999995</v>
      </c>
      <c r="T907" s="250">
        <v>0.74519999999999997</v>
      </c>
      <c r="U907" s="265"/>
      <c r="V907" s="283">
        <f t="shared" si="79"/>
        <v>0.17520000000000002</v>
      </c>
      <c r="W907" s="61">
        <f>Table3.110[[#This Row],[DM Incubated, mg]]-('3.2 Digest'!V907*1000)</f>
        <v>278.26095092781418</v>
      </c>
      <c r="X907" s="61">
        <f>W907/Table3.110[[#This Row],[DM Incubated, mg]]*100</f>
        <v>61.363817624973436</v>
      </c>
      <c r="Y907" s="30">
        <f>Table3.110[[#This Row],[DM Incubated, mg]]*'2.4 NDF'!R225/100</f>
        <v>190.34021461245075</v>
      </c>
      <c r="Z907" s="37">
        <f t="shared" si="83"/>
        <v>15.140214612450734</v>
      </c>
      <c r="AA907" s="37">
        <f t="shared" si="84"/>
        <v>7.9542910273992966</v>
      </c>
      <c r="AB907" s="6"/>
    </row>
    <row r="908" spans="2:28" ht="14.4" customHeight="1" x14ac:dyDescent="0.35">
      <c r="B908" s="230">
        <f t="shared" si="78"/>
        <v>898</v>
      </c>
      <c r="C908" s="9"/>
      <c r="D908" s="248">
        <f>Table3.110[[#This Row],[Date]]</f>
        <v>46057</v>
      </c>
      <c r="E908" s="230" t="str">
        <f>Table3.110[[#This Row],[Requisitioner]]</f>
        <v>Genbank</v>
      </c>
      <c r="F908" s="230" t="str">
        <f>Table3.110[[#This Row],[Gene Bank ID]]</f>
        <v>CIAT34040</v>
      </c>
      <c r="G908" s="230" t="str">
        <f>Table3.110[[#This Row],[Genus]]</f>
        <v>Vigna</v>
      </c>
      <c r="H908" s="230" t="str">
        <f>Table3.110[[#This Row],[Species]]</f>
        <v>aconitifolia</v>
      </c>
      <c r="I908" s="230" t="str">
        <f>Table3.110[[#This Row],[Tax Name]]</f>
        <v>Vigna aconitifolia</v>
      </c>
      <c r="J908" s="230" t="str">
        <f>Table3.110[[#This Row],[Family]]</f>
        <v>Fabaceae</v>
      </c>
      <c r="K908" s="230" t="str">
        <f>Table3.110[[#This Row],[Order]]</f>
        <v>Fabales</v>
      </c>
      <c r="L908" s="230" t="str">
        <f>Table3.110[[#This Row],[Functional Group]]</f>
        <v>Herbaceous</v>
      </c>
      <c r="M908" s="230" t="str">
        <f>Table3.110[[#This Row],[CIAT ID]]</f>
        <v>F252618</v>
      </c>
      <c r="N908" s="230">
        <f>Table3.110[[#This Row],[Set CIAT]]</f>
        <v>29</v>
      </c>
      <c r="O908" s="230">
        <f>Table3.110[[#This Row],[Batch]]</f>
        <v>63</v>
      </c>
      <c r="P908" s="230">
        <f>Table3.110[[#This Row],[Run]]</f>
        <v>2</v>
      </c>
      <c r="Q908" s="230">
        <f>Table3.110[[#This Row],[Replication]]</f>
        <v>3</v>
      </c>
      <c r="R908" s="230">
        <f>Table3.110[[#This Row],[Syrange No]]</f>
        <v>209</v>
      </c>
      <c r="S908" s="98">
        <v>0.54500000000000004</v>
      </c>
      <c r="T908" s="98">
        <v>0.76900000000000002</v>
      </c>
      <c r="U908" s="110"/>
      <c r="V908" s="283">
        <f t="shared" si="79"/>
        <v>0.22399999999999998</v>
      </c>
      <c r="W908" s="61">
        <f>Table3.110[[#This Row],[DM Incubated, mg]]-('3.2 Digest'!V908*1000)</f>
        <v>229.4609509278142</v>
      </c>
      <c r="X908" s="61">
        <f>W908/Table3.110[[#This Row],[DM Incubated, mg]]*100</f>
        <v>50.602141255673807</v>
      </c>
      <c r="Y908" s="74">
        <f>Table3.110[[#This Row],[DM Incubated, mg]]*'2.4 NDF'!R225/100</f>
        <v>190.34021461245075</v>
      </c>
      <c r="Z908" s="37">
        <f t="shared" si="83"/>
        <v>-33.659785387549221</v>
      </c>
      <c r="AA908" s="37">
        <f t="shared" si="84"/>
        <v>-17.684011471818227</v>
      </c>
      <c r="AB908" s="6"/>
    </row>
    <row r="909" spans="2:28" ht="14.4" customHeight="1" x14ac:dyDescent="0.35">
      <c r="B909" s="230">
        <f t="shared" si="78"/>
        <v>899</v>
      </c>
      <c r="C909" s="9"/>
      <c r="D909" s="248">
        <f>Table3.110[[#This Row],[Date]]</f>
        <v>46057</v>
      </c>
      <c r="E909" s="230" t="str">
        <f>Table3.110[[#This Row],[Requisitioner]]</f>
        <v>Genbank</v>
      </c>
      <c r="F909" s="230" t="str">
        <f>Table3.110[[#This Row],[Gene Bank ID]]</f>
        <v>CIAT34042</v>
      </c>
      <c r="G909" s="230" t="str">
        <f>Table3.110[[#This Row],[Genus]]</f>
        <v>Vigna</v>
      </c>
      <c r="H909" s="230" t="str">
        <f>Table3.110[[#This Row],[Species]]</f>
        <v>aconitifolia</v>
      </c>
      <c r="I909" s="230" t="str">
        <f>Table3.110[[#This Row],[Tax Name]]</f>
        <v>Vigna aconitifolia</v>
      </c>
      <c r="J909" s="230" t="str">
        <f>Table3.110[[#This Row],[Family]]</f>
        <v>Fabaceae</v>
      </c>
      <c r="K909" s="230" t="str">
        <f>Table3.110[[#This Row],[Order]]</f>
        <v>Fabales</v>
      </c>
      <c r="L909" s="230" t="str">
        <f>Table3.110[[#This Row],[Functional Group]]</f>
        <v>Herbaceous</v>
      </c>
      <c r="M909" s="230" t="str">
        <f>Table3.110[[#This Row],[CIAT ID]]</f>
        <v>F252619</v>
      </c>
      <c r="N909" s="230">
        <f>Table3.110[[#This Row],[Set CIAT]]</f>
        <v>29</v>
      </c>
      <c r="O909" s="230">
        <f>Table3.110[[#This Row],[Batch]]</f>
        <v>63</v>
      </c>
      <c r="P909" s="230">
        <f>Table3.110[[#This Row],[Run]]</f>
        <v>2</v>
      </c>
      <c r="Q909" s="230">
        <f>Table3.110[[#This Row],[Replication]]</f>
        <v>1</v>
      </c>
      <c r="R909" s="230">
        <f>Table3.110[[#This Row],[Syrange No]]</f>
        <v>210</v>
      </c>
      <c r="S909" s="250">
        <v>0.55479999999999996</v>
      </c>
      <c r="T909" s="250">
        <v>0.75649999999999995</v>
      </c>
      <c r="U909" s="265"/>
      <c r="V909" s="283">
        <f t="shared" si="79"/>
        <v>0.20169999999999999</v>
      </c>
      <c r="W909" s="61">
        <f>Table3.110[[#This Row],[DM Incubated, mg]]-('3.2 Digest'!V909*1000)</f>
        <v>253.92767723227684</v>
      </c>
      <c r="X909" s="61">
        <f>W909/Table3.110[[#This Row],[DM Incubated, mg]]*100</f>
        <v>55.731398666289913</v>
      </c>
      <c r="Y909" s="30">
        <f>Table3.110[[#This Row],[DM Incubated, mg]]*'2.4 NDF'!R227/100</f>
        <v>223.07585197661842</v>
      </c>
      <c r="Z909" s="37">
        <f t="shared" si="83"/>
        <v>21.375851976618435</v>
      </c>
      <c r="AA909" s="37">
        <f t="shared" si="84"/>
        <v>9.5823244816561015</v>
      </c>
      <c r="AB909" s="6"/>
    </row>
    <row r="910" spans="2:28" ht="14.4" customHeight="1" x14ac:dyDescent="0.35">
      <c r="B910" s="230">
        <f t="shared" si="78"/>
        <v>900</v>
      </c>
      <c r="C910" s="9"/>
      <c r="D910" s="248">
        <f>Table3.110[[#This Row],[Date]]</f>
        <v>46057</v>
      </c>
      <c r="E910" s="230" t="str">
        <f>Table3.110[[#This Row],[Requisitioner]]</f>
        <v>Genbank</v>
      </c>
      <c r="F910" s="230" t="str">
        <f>Table3.110[[#This Row],[Gene Bank ID]]</f>
        <v>CIAT34042</v>
      </c>
      <c r="G910" s="230" t="str">
        <f>Table3.110[[#This Row],[Genus]]</f>
        <v>Vigna</v>
      </c>
      <c r="H910" s="230" t="str">
        <f>Table3.110[[#This Row],[Species]]</f>
        <v>aconitifolia</v>
      </c>
      <c r="I910" s="230" t="str">
        <f>Table3.110[[#This Row],[Tax Name]]</f>
        <v>Vigna aconitifolia</v>
      </c>
      <c r="J910" s="230" t="str">
        <f>Table3.110[[#This Row],[Family]]</f>
        <v>Fabaceae</v>
      </c>
      <c r="K910" s="230" t="str">
        <f>Table3.110[[#This Row],[Order]]</f>
        <v>Fabales</v>
      </c>
      <c r="L910" s="230" t="str">
        <f>Table3.110[[#This Row],[Functional Group]]</f>
        <v>Herbaceous</v>
      </c>
      <c r="M910" s="230" t="str">
        <f>Table3.110[[#This Row],[CIAT ID]]</f>
        <v>F252619</v>
      </c>
      <c r="N910" s="230">
        <f>Table3.110[[#This Row],[Set CIAT]]</f>
        <v>29</v>
      </c>
      <c r="O910" s="230">
        <f>Table3.110[[#This Row],[Batch]]</f>
        <v>63</v>
      </c>
      <c r="P910" s="230">
        <f>Table3.110[[#This Row],[Run]]</f>
        <v>2</v>
      </c>
      <c r="Q910" s="230">
        <f>Table3.110[[#This Row],[Replication]]</f>
        <v>2</v>
      </c>
      <c r="R910" s="230">
        <f>Table3.110[[#This Row],[Syrange No]]</f>
        <v>211</v>
      </c>
      <c r="S910" s="98">
        <v>0.5605</v>
      </c>
      <c r="T910" s="98">
        <v>0.79190000000000005</v>
      </c>
      <c r="U910" s="110"/>
      <c r="V910" s="283">
        <f t="shared" si="79"/>
        <v>0.23140000000000005</v>
      </c>
      <c r="W910" s="61">
        <f>Table3.110[[#This Row],[DM Incubated, mg]]-('3.2 Digest'!V910*1000)</f>
        <v>224.22767723227676</v>
      </c>
      <c r="X910" s="61">
        <f>W910/Table3.110[[#This Row],[DM Incubated, mg]]*100</f>
        <v>49.212918450071804</v>
      </c>
      <c r="Y910" s="74">
        <f>Table3.110[[#This Row],[DM Incubated, mg]]*'2.4 NDF'!R227/100</f>
        <v>223.07585197661842</v>
      </c>
      <c r="Z910" s="37">
        <f t="shared" si="83"/>
        <v>-8.324148023381639</v>
      </c>
      <c r="AA910" s="37">
        <f t="shared" si="84"/>
        <v>-3.7315325480653687</v>
      </c>
      <c r="AB910" s="6"/>
    </row>
    <row r="911" spans="2:28" ht="14.4" customHeight="1" x14ac:dyDescent="0.35">
      <c r="B911" s="230">
        <f t="shared" si="78"/>
        <v>901</v>
      </c>
      <c r="C911" s="9"/>
      <c r="D911" s="248">
        <f>Table3.110[[#This Row],[Date]]</f>
        <v>46057</v>
      </c>
      <c r="E911" s="230" t="str">
        <f>Table3.110[[#This Row],[Requisitioner]]</f>
        <v>Genbank</v>
      </c>
      <c r="F911" s="230" t="str">
        <f>Table3.110[[#This Row],[Gene Bank ID]]</f>
        <v>CIAT34042</v>
      </c>
      <c r="G911" s="230" t="str">
        <f>Table3.110[[#This Row],[Genus]]</f>
        <v>Vigna</v>
      </c>
      <c r="H911" s="230" t="str">
        <f>Table3.110[[#This Row],[Species]]</f>
        <v>aconitifolia</v>
      </c>
      <c r="I911" s="230" t="str">
        <f>Table3.110[[#This Row],[Tax Name]]</f>
        <v>Vigna aconitifolia</v>
      </c>
      <c r="J911" s="230" t="str">
        <f>Table3.110[[#This Row],[Family]]</f>
        <v>Fabaceae</v>
      </c>
      <c r="K911" s="230" t="str">
        <f>Table3.110[[#This Row],[Order]]</f>
        <v>Fabales</v>
      </c>
      <c r="L911" s="230" t="str">
        <f>Table3.110[[#This Row],[Functional Group]]</f>
        <v>Herbaceous</v>
      </c>
      <c r="M911" s="230" t="str">
        <f>Table3.110[[#This Row],[CIAT ID]]</f>
        <v>F252619</v>
      </c>
      <c r="N911" s="230">
        <f>Table3.110[[#This Row],[Set CIAT]]</f>
        <v>29</v>
      </c>
      <c r="O911" s="230">
        <f>Table3.110[[#This Row],[Batch]]</f>
        <v>63</v>
      </c>
      <c r="P911" s="230">
        <f>Table3.110[[#This Row],[Run]]</f>
        <v>2</v>
      </c>
      <c r="Q911" s="230">
        <f>Table3.110[[#This Row],[Replication]]</f>
        <v>3</v>
      </c>
      <c r="R911" s="230">
        <f>Table3.110[[#This Row],[Syrange No]]</f>
        <v>212</v>
      </c>
      <c r="S911" s="250">
        <v>0.56579999999999997</v>
      </c>
      <c r="T911" s="250">
        <v>0.76319999999999999</v>
      </c>
      <c r="U911" s="265"/>
      <c r="V911" s="283">
        <f t="shared" si="79"/>
        <v>0.19740000000000002</v>
      </c>
      <c r="W911" s="61">
        <f>Table3.110[[#This Row],[DM Incubated, mg]]-('3.2 Digest'!V911*1000)</f>
        <v>257.95446455354465</v>
      </c>
      <c r="X911" s="61">
        <f>W911/Table3.110[[#This Row],[DM Incubated, mg]]*100</f>
        <v>56.64915678524374</v>
      </c>
      <c r="Y911" s="30">
        <f>Table3.110[[#This Row],[DM Incubated, mg]]*'2.4 NDF'!R227/100</f>
        <v>222.94208672458367</v>
      </c>
      <c r="Z911" s="37">
        <f t="shared" si="83"/>
        <v>25.54208672458364</v>
      </c>
      <c r="AA911" s="37">
        <f t="shared" si="84"/>
        <v>11.456825895837968</v>
      </c>
      <c r="AB911" s="6"/>
    </row>
    <row r="912" spans="2:28" ht="14.4" customHeight="1" x14ac:dyDescent="0.35">
      <c r="B912" s="230">
        <f t="shared" si="78"/>
        <v>902</v>
      </c>
      <c r="C912" s="9"/>
      <c r="D912" s="248">
        <f>Table3.110[[#This Row],[Date]]</f>
        <v>46057</v>
      </c>
      <c r="E912" s="230">
        <f>Table3.110[[#This Row],[Requisitioner]]</f>
        <v>0</v>
      </c>
      <c r="F912" s="230" t="str">
        <f>Table3.110[[#This Row],[Gene Bank ID]]</f>
        <v>BLANK 8H</v>
      </c>
      <c r="G912" s="230" t="str">
        <f>Table3.110[[#This Row],[Genus]]</f>
        <v>BLANK</v>
      </c>
      <c r="H912" s="230" t="str">
        <f>Table3.110[[#This Row],[Species]]</f>
        <v>8H</v>
      </c>
      <c r="I912" s="230" t="str">
        <f>Table3.110[[#This Row],[Tax Name]]</f>
        <v>BLANK 8H</v>
      </c>
      <c r="J912" s="230">
        <f>Table3.110[[#This Row],[Family]]</f>
        <v>0</v>
      </c>
      <c r="K912" s="230">
        <f>Table3.110[[#This Row],[Order]]</f>
        <v>0</v>
      </c>
      <c r="L912" s="230">
        <f>Table3.110[[#This Row],[Functional Group]]</f>
        <v>0</v>
      </c>
      <c r="M912" s="230" t="str">
        <f>Table3.110[[#This Row],[CIAT ID]]</f>
        <v>BLANK8H</v>
      </c>
      <c r="N912" s="230">
        <f>Table3.110[[#This Row],[Set CIAT]]</f>
        <v>29</v>
      </c>
      <c r="O912" s="230">
        <f>Table3.110[[#This Row],[Batch]]</f>
        <v>63</v>
      </c>
      <c r="P912" s="230">
        <f>Table3.110[[#This Row],[Run]]</f>
        <v>2</v>
      </c>
      <c r="Q912" s="230">
        <f>Table3.110[[#This Row],[Replication]]</f>
        <v>1</v>
      </c>
      <c r="R912" s="230">
        <f>Table3.110[[#This Row],[Syrange No]]</f>
        <v>213</v>
      </c>
      <c r="S912" s="249"/>
      <c r="T912" s="249"/>
      <c r="U912" s="263"/>
      <c r="V912" s="283"/>
      <c r="W912" s="61"/>
      <c r="X912" s="61"/>
      <c r="Y912" s="30"/>
      <c r="Z912" s="37"/>
      <c r="AA912" s="37"/>
      <c r="AB912" s="6"/>
    </row>
    <row r="913" spans="2:28" ht="14.4" customHeight="1" x14ac:dyDescent="0.35">
      <c r="B913" s="230">
        <f t="shared" si="78"/>
        <v>903</v>
      </c>
      <c r="C913" s="9"/>
      <c r="D913" s="248">
        <f>Table3.110[[#This Row],[Date]]</f>
        <v>46057</v>
      </c>
      <c r="E913" s="230">
        <f>Table3.110[[#This Row],[Requisitioner]]</f>
        <v>0</v>
      </c>
      <c r="F913" s="230" t="str">
        <f>Table3.110[[#This Row],[Gene Bank ID]]</f>
        <v>BLANK 8H</v>
      </c>
      <c r="G913" s="230" t="str">
        <f>Table3.110[[#This Row],[Genus]]</f>
        <v>BLANK</v>
      </c>
      <c r="H913" s="230" t="str">
        <f>Table3.110[[#This Row],[Species]]</f>
        <v>8H</v>
      </c>
      <c r="I913" s="230" t="str">
        <f>Table3.110[[#This Row],[Tax Name]]</f>
        <v>BLANK 8H</v>
      </c>
      <c r="J913" s="230">
        <f>Table3.110[[#This Row],[Family]]</f>
        <v>0</v>
      </c>
      <c r="K913" s="230">
        <f>Table3.110[[#This Row],[Order]]</f>
        <v>0</v>
      </c>
      <c r="L913" s="230">
        <f>Table3.110[[#This Row],[Functional Group]]</f>
        <v>0</v>
      </c>
      <c r="M913" s="230" t="str">
        <f>Table3.110[[#This Row],[CIAT ID]]</f>
        <v>BLANK8H</v>
      </c>
      <c r="N913" s="230">
        <f>Table3.110[[#This Row],[Set CIAT]]</f>
        <v>29</v>
      </c>
      <c r="O913" s="230">
        <f>Table3.110[[#This Row],[Batch]]</f>
        <v>63</v>
      </c>
      <c r="P913" s="230">
        <f>Table3.110[[#This Row],[Run]]</f>
        <v>2</v>
      </c>
      <c r="Q913" s="230">
        <f>Table3.110[[#This Row],[Replication]]</f>
        <v>2</v>
      </c>
      <c r="R913" s="230">
        <f>Table3.110[[#This Row],[Syrange No]]</f>
        <v>214</v>
      </c>
      <c r="S913" s="148"/>
      <c r="T913" s="148"/>
      <c r="U913" s="264"/>
      <c r="V913" s="283"/>
      <c r="W913" s="61"/>
      <c r="X913" s="61"/>
      <c r="Y913" s="30"/>
      <c r="Z913" s="37"/>
      <c r="AA913" s="37"/>
      <c r="AB913" s="6"/>
    </row>
    <row r="914" spans="2:28" ht="14.4" customHeight="1" x14ac:dyDescent="0.35">
      <c r="B914" s="230">
        <f t="shared" si="78"/>
        <v>904</v>
      </c>
      <c r="C914" s="9"/>
      <c r="D914" s="248">
        <f>Table3.110[[#This Row],[Date]]</f>
        <v>46057</v>
      </c>
      <c r="E914" s="230" t="str">
        <f>Table3.110[[#This Row],[Requisitioner]]</f>
        <v>Genbank</v>
      </c>
      <c r="F914" s="230" t="str">
        <f>Table3.110[[#This Row],[Gene Bank ID]]</f>
        <v>CIAT34044</v>
      </c>
      <c r="G914" s="230" t="str">
        <f>Table3.110[[#This Row],[Genus]]</f>
        <v>Vigna</v>
      </c>
      <c r="H914" s="230" t="str">
        <f>Table3.110[[#This Row],[Species]]</f>
        <v>aconitifolia</v>
      </c>
      <c r="I914" s="230" t="str">
        <f>Table3.110[[#This Row],[Tax Name]]</f>
        <v>Vigna aconitifolia</v>
      </c>
      <c r="J914" s="230" t="str">
        <f>Table3.110[[#This Row],[Family]]</f>
        <v>Fabaceae</v>
      </c>
      <c r="K914" s="230" t="str">
        <f>Table3.110[[#This Row],[Order]]</f>
        <v>Fabales</v>
      </c>
      <c r="L914" s="230" t="str">
        <f>Table3.110[[#This Row],[Functional Group]]</f>
        <v>Herbaceous</v>
      </c>
      <c r="M914" s="230" t="str">
        <f>Table3.110[[#This Row],[CIAT ID]]</f>
        <v>F252620</v>
      </c>
      <c r="N914" s="230">
        <f>Table3.110[[#This Row],[Set CIAT]]</f>
        <v>29</v>
      </c>
      <c r="O914" s="230">
        <f>Table3.110[[#This Row],[Batch]]</f>
        <v>63</v>
      </c>
      <c r="P914" s="230">
        <f>Table3.110[[#This Row],[Run]]</f>
        <v>2</v>
      </c>
      <c r="Q914" s="230">
        <f>Table3.110[[#This Row],[Replication]]</f>
        <v>1</v>
      </c>
      <c r="R914" s="230">
        <f>Table3.110[[#This Row],[Syrange No]]</f>
        <v>215</v>
      </c>
      <c r="S914" s="98">
        <v>0.60240000000000005</v>
      </c>
      <c r="T914" s="98">
        <v>0.85450000000000004</v>
      </c>
      <c r="U914" s="110"/>
      <c r="V914" s="283">
        <f t="shared" si="79"/>
        <v>0.25209999999999999</v>
      </c>
      <c r="W914" s="61">
        <f>Table3.110[[#This Row],[DM Incubated, mg]]-('3.2 Digest'!V914*1000)</f>
        <v>206.04788605697112</v>
      </c>
      <c r="X914" s="61">
        <f>W914/Table3.110[[#This Row],[DM Incubated, mg]]*100</f>
        <v>44.974099483534204</v>
      </c>
      <c r="Y914" s="30">
        <f>Table3.110[[#This Row],[DM Incubated, mg]]*'2.4 NDF'!R229/100</f>
        <v>248.6229551301771</v>
      </c>
      <c r="Z914" s="37">
        <f t="shared" si="83"/>
        <v>-3.4770448698228904</v>
      </c>
      <c r="AA914" s="37">
        <f t="shared" si="84"/>
        <v>-1.3985212540018019</v>
      </c>
      <c r="AB914" s="6"/>
    </row>
    <row r="915" spans="2:28" ht="14.4" customHeight="1" x14ac:dyDescent="0.35">
      <c r="B915" s="230">
        <f t="shared" si="78"/>
        <v>905</v>
      </c>
      <c r="C915" s="9"/>
      <c r="D915" s="248">
        <f>Table3.110[[#This Row],[Date]]</f>
        <v>46057</v>
      </c>
      <c r="E915" s="230" t="str">
        <f>Table3.110[[#This Row],[Requisitioner]]</f>
        <v>Genbank</v>
      </c>
      <c r="F915" s="230" t="str">
        <f>Table3.110[[#This Row],[Gene Bank ID]]</f>
        <v>CIAT34044</v>
      </c>
      <c r="G915" s="230" t="str">
        <f>Table3.110[[#This Row],[Genus]]</f>
        <v>Vigna</v>
      </c>
      <c r="H915" s="230" t="str">
        <f>Table3.110[[#This Row],[Species]]</f>
        <v>aconitifolia</v>
      </c>
      <c r="I915" s="230" t="str">
        <f>Table3.110[[#This Row],[Tax Name]]</f>
        <v>Vigna aconitifolia</v>
      </c>
      <c r="J915" s="230" t="str">
        <f>Table3.110[[#This Row],[Family]]</f>
        <v>Fabaceae</v>
      </c>
      <c r="K915" s="230" t="str">
        <f>Table3.110[[#This Row],[Order]]</f>
        <v>Fabales</v>
      </c>
      <c r="L915" s="230" t="str">
        <f>Table3.110[[#This Row],[Functional Group]]</f>
        <v>Herbaceous</v>
      </c>
      <c r="M915" s="230" t="str">
        <f>Table3.110[[#This Row],[CIAT ID]]</f>
        <v>F252620</v>
      </c>
      <c r="N915" s="230">
        <f>Table3.110[[#This Row],[Set CIAT]]</f>
        <v>29</v>
      </c>
      <c r="O915" s="230">
        <f>Table3.110[[#This Row],[Batch]]</f>
        <v>63</v>
      </c>
      <c r="P915" s="230">
        <f>Table3.110[[#This Row],[Run]]</f>
        <v>2</v>
      </c>
      <c r="Q915" s="230">
        <f>Table3.110[[#This Row],[Replication]]</f>
        <v>2</v>
      </c>
      <c r="R915" s="230">
        <f>Table3.110[[#This Row],[Syrange No]]</f>
        <v>216</v>
      </c>
      <c r="S915" s="111">
        <v>0.58020000000000005</v>
      </c>
      <c r="T915" s="271">
        <v>0.76629999999999998</v>
      </c>
      <c r="U915" s="281"/>
      <c r="V915" s="283">
        <f t="shared" si="79"/>
        <v>0.18609999999999993</v>
      </c>
      <c r="W915" s="61">
        <f>Table3.110[[#This Row],[DM Incubated, mg]]-('3.2 Digest'!V915*1000)</f>
        <v>272.04788605697115</v>
      </c>
      <c r="X915" s="61">
        <f>W915/Table3.110[[#This Row],[DM Incubated, mg]]*100</f>
        <v>59.37992825817421</v>
      </c>
      <c r="Y915" s="30">
        <f>Table3.110[[#This Row],[DM Incubated, mg]]*'2.4 NDF'!R229/100</f>
        <v>248.6229551301771</v>
      </c>
      <c r="Z915" s="37">
        <f t="shared" si="83"/>
        <v>62.522955130177166</v>
      </c>
      <c r="AA915" s="37">
        <f t="shared" si="84"/>
        <v>25.147700097700397</v>
      </c>
      <c r="AB915" s="6"/>
    </row>
    <row r="916" spans="2:28" ht="14.4" customHeight="1" x14ac:dyDescent="0.35">
      <c r="B916" s="230">
        <f t="shared" si="78"/>
        <v>906</v>
      </c>
      <c r="C916" s="9"/>
      <c r="D916" s="248">
        <f>Table3.110[[#This Row],[Date]]</f>
        <v>46057</v>
      </c>
      <c r="E916" s="230" t="str">
        <f>Table3.110[[#This Row],[Requisitioner]]</f>
        <v>Genbank</v>
      </c>
      <c r="F916" s="230" t="str">
        <f>Table3.110[[#This Row],[Gene Bank ID]]</f>
        <v>CIAT34044</v>
      </c>
      <c r="G916" s="230" t="str">
        <f>Table3.110[[#This Row],[Genus]]</f>
        <v>Vigna</v>
      </c>
      <c r="H916" s="230" t="str">
        <f>Table3.110[[#This Row],[Species]]</f>
        <v>aconitifolia</v>
      </c>
      <c r="I916" s="230" t="str">
        <f>Table3.110[[#This Row],[Tax Name]]</f>
        <v>Vigna aconitifolia</v>
      </c>
      <c r="J916" s="230" t="str">
        <f>Table3.110[[#This Row],[Family]]</f>
        <v>Fabaceae</v>
      </c>
      <c r="K916" s="230" t="str">
        <f>Table3.110[[#This Row],[Order]]</f>
        <v>Fabales</v>
      </c>
      <c r="L916" s="230" t="str">
        <f>Table3.110[[#This Row],[Functional Group]]</f>
        <v>Herbaceous</v>
      </c>
      <c r="M916" s="230" t="str">
        <f>Table3.110[[#This Row],[CIAT ID]]</f>
        <v>F252620</v>
      </c>
      <c r="N916" s="230">
        <f>Table3.110[[#This Row],[Set CIAT]]</f>
        <v>29</v>
      </c>
      <c r="O916" s="230">
        <f>Table3.110[[#This Row],[Batch]]</f>
        <v>63</v>
      </c>
      <c r="P916" s="230">
        <f>Table3.110[[#This Row],[Run]]</f>
        <v>2</v>
      </c>
      <c r="Q916" s="230">
        <f>Table3.110[[#This Row],[Replication]]</f>
        <v>3</v>
      </c>
      <c r="R916" s="230">
        <f>Table3.110[[#This Row],[Syrange No]]</f>
        <v>217</v>
      </c>
      <c r="S916" s="112">
        <v>0.57979999999999998</v>
      </c>
      <c r="T916" s="98">
        <v>0.80630000000000002</v>
      </c>
      <c r="U916" s="282"/>
      <c r="V916" s="283">
        <f t="shared" si="79"/>
        <v>0.22650000000000003</v>
      </c>
      <c r="W916" s="61">
        <f>Table3.110[[#This Row],[DM Incubated, mg]]-('3.2 Digest'!V916*1000)</f>
        <v>231.73946068940305</v>
      </c>
      <c r="X916" s="61">
        <f>W916/Table3.110[[#This Row],[DM Incubated, mg]]*100</f>
        <v>50.571694620266925</v>
      </c>
      <c r="Y916" s="74">
        <f>Table3.110[[#This Row],[DM Incubated, mg]]*'2.4 NDF'!R229/100</f>
        <v>248.6726499043387</v>
      </c>
      <c r="Z916" s="37">
        <f t="shared" si="83"/>
        <v>22.17264990433867</v>
      </c>
      <c r="AA916" s="37">
        <f t="shared" si="84"/>
        <v>8.9164007030400061</v>
      </c>
      <c r="AB916" s="6"/>
    </row>
    <row r="917" spans="2:28" ht="14.4" customHeight="1" x14ac:dyDescent="0.35">
      <c r="B917" s="230">
        <f t="shared" ref="B917:B980" si="85">B916+1</f>
        <v>907</v>
      </c>
      <c r="C917" s="9"/>
      <c r="D917" s="248">
        <f>Table3.110[[#This Row],[Date]]</f>
        <v>46057</v>
      </c>
      <c r="E917" s="230" t="str">
        <f>Table3.110[[#This Row],[Requisitioner]]</f>
        <v>Genbank</v>
      </c>
      <c r="F917" s="230" t="str">
        <f>Table3.110[[#This Row],[Gene Bank ID]]</f>
        <v>CIAT34148</v>
      </c>
      <c r="G917" s="230" t="str">
        <f>Table3.110[[#This Row],[Genus]]</f>
        <v>Vigna</v>
      </c>
      <c r="H917" s="230" t="str">
        <f>Table3.110[[#This Row],[Species]]</f>
        <v>radiata</v>
      </c>
      <c r="I917" s="230" t="str">
        <f>Table3.110[[#This Row],[Tax Name]]</f>
        <v>Vigna radiata</v>
      </c>
      <c r="J917" s="230" t="str">
        <f>Table3.110[[#This Row],[Family]]</f>
        <v>Fabaceae</v>
      </c>
      <c r="K917" s="230" t="str">
        <f>Table3.110[[#This Row],[Order]]</f>
        <v>Fabales</v>
      </c>
      <c r="L917" s="230" t="str">
        <f>Table3.110[[#This Row],[Functional Group]]</f>
        <v>Herbaceous</v>
      </c>
      <c r="M917" s="230" t="str">
        <f>Table3.110[[#This Row],[CIAT ID]]</f>
        <v>F252621</v>
      </c>
      <c r="N917" s="230">
        <f>Table3.110[[#This Row],[Set CIAT]]</f>
        <v>29</v>
      </c>
      <c r="O917" s="230">
        <f>Table3.110[[#This Row],[Batch]]</f>
        <v>63</v>
      </c>
      <c r="P917" s="230">
        <f>Table3.110[[#This Row],[Run]]</f>
        <v>2</v>
      </c>
      <c r="Q917" s="230">
        <f>Table3.110[[#This Row],[Replication]]</f>
        <v>1</v>
      </c>
      <c r="R917" s="230">
        <f>Table3.110[[#This Row],[Syrange No]]</f>
        <v>218</v>
      </c>
      <c r="S917" s="111">
        <v>0.58120000000000005</v>
      </c>
      <c r="T917" s="271">
        <v>0.86519999999999997</v>
      </c>
      <c r="U917" s="281"/>
      <c r="V917" s="283">
        <f t="shared" si="79"/>
        <v>0.28399999999999992</v>
      </c>
      <c r="W917" s="61">
        <f>Table3.110[[#This Row],[DM Incubated, mg]]-('3.2 Digest'!V917*1000)</f>
        <v>163.89214433130564</v>
      </c>
      <c r="X917" s="61">
        <f>W917/Table3.110[[#This Row],[DM Incubated, mg]]*100</f>
        <v>36.591877398518221</v>
      </c>
      <c r="Y917" s="30">
        <f>Table3.110[[#This Row],[DM Incubated, mg]]*'2.4 NDF'!R231/100</f>
        <v>200.41461681616471</v>
      </c>
      <c r="Z917" s="37">
        <f t="shared" si="83"/>
        <v>-83.585383183835233</v>
      </c>
      <c r="AA917" s="37">
        <f t="shared" si="84"/>
        <v>-41.706231068218941</v>
      </c>
      <c r="AB917" s="6"/>
    </row>
    <row r="918" spans="2:28" ht="14.4" customHeight="1" x14ac:dyDescent="0.35">
      <c r="B918" s="230">
        <f t="shared" si="85"/>
        <v>908</v>
      </c>
      <c r="C918" s="9"/>
      <c r="D918" s="248">
        <f>Table3.110[[#This Row],[Date]]</f>
        <v>46057</v>
      </c>
      <c r="E918" s="230" t="str">
        <f>Table3.110[[#This Row],[Requisitioner]]</f>
        <v>Genbank</v>
      </c>
      <c r="F918" s="230" t="str">
        <f>Table3.110[[#This Row],[Gene Bank ID]]</f>
        <v>CIAT34148</v>
      </c>
      <c r="G918" s="230" t="str">
        <f>Table3.110[[#This Row],[Genus]]</f>
        <v>Vigna</v>
      </c>
      <c r="H918" s="230" t="str">
        <f>Table3.110[[#This Row],[Species]]</f>
        <v>radiata</v>
      </c>
      <c r="I918" s="230" t="str">
        <f>Table3.110[[#This Row],[Tax Name]]</f>
        <v>Vigna radiata</v>
      </c>
      <c r="J918" s="230" t="str">
        <f>Table3.110[[#This Row],[Family]]</f>
        <v>Fabaceae</v>
      </c>
      <c r="K918" s="230" t="str">
        <f>Table3.110[[#This Row],[Order]]</f>
        <v>Fabales</v>
      </c>
      <c r="L918" s="230" t="str">
        <f>Table3.110[[#This Row],[Functional Group]]</f>
        <v>Herbaceous</v>
      </c>
      <c r="M918" s="230" t="str">
        <f>Table3.110[[#This Row],[CIAT ID]]</f>
        <v>F252621</v>
      </c>
      <c r="N918" s="230">
        <f>Table3.110[[#This Row],[Set CIAT]]</f>
        <v>29</v>
      </c>
      <c r="O918" s="230">
        <f>Table3.110[[#This Row],[Batch]]</f>
        <v>63</v>
      </c>
      <c r="P918" s="230">
        <f>Table3.110[[#This Row],[Run]]</f>
        <v>2</v>
      </c>
      <c r="Q918" s="230">
        <f>Table3.110[[#This Row],[Replication]]</f>
        <v>2</v>
      </c>
      <c r="R918" s="230">
        <f>Table3.110[[#This Row],[Syrange No]]</f>
        <v>219</v>
      </c>
      <c r="S918" s="112">
        <v>0.54549999999999998</v>
      </c>
      <c r="T918" s="98">
        <v>0.74570000000000003</v>
      </c>
      <c r="U918" s="282"/>
      <c r="V918" s="283">
        <f t="shared" si="79"/>
        <v>0.20020000000000004</v>
      </c>
      <c r="W918" s="61">
        <f>Table3.110[[#This Row],[DM Incubated, mg]]-('3.2 Digest'!V918*1000)</f>
        <v>247.78168694312706</v>
      </c>
      <c r="X918" s="61">
        <f>W918/Table3.110[[#This Row],[DM Incubated, mg]]*100</f>
        <v>55.310673218341591</v>
      </c>
      <c r="Y918" s="74">
        <f>Table3.110[[#This Row],[DM Incubated, mg]]*'2.4 NDF'!R231/100</f>
        <v>200.45468371276928</v>
      </c>
      <c r="Z918" s="37">
        <f t="shared" si="83"/>
        <v>0.25468371276923563</v>
      </c>
      <c r="AA918" s="37">
        <f t="shared" si="84"/>
        <v>0.12705301170920552</v>
      </c>
      <c r="AB918" s="6"/>
    </row>
    <row r="919" spans="2:28" ht="14.4" customHeight="1" x14ac:dyDescent="0.35">
      <c r="B919" s="230">
        <f t="shared" si="85"/>
        <v>909</v>
      </c>
      <c r="C919" s="9"/>
      <c r="D919" s="248">
        <f>Table3.110[[#This Row],[Date]]</f>
        <v>46057</v>
      </c>
      <c r="E919" s="230" t="str">
        <f>Table3.110[[#This Row],[Requisitioner]]</f>
        <v>Genbank</v>
      </c>
      <c r="F919" s="230" t="str">
        <f>Table3.110[[#This Row],[Gene Bank ID]]</f>
        <v>CIAT34148</v>
      </c>
      <c r="G919" s="230" t="str">
        <f>Table3.110[[#This Row],[Genus]]</f>
        <v>Vigna</v>
      </c>
      <c r="H919" s="230" t="str">
        <f>Table3.110[[#This Row],[Species]]</f>
        <v>radiata</v>
      </c>
      <c r="I919" s="230" t="str">
        <f>Table3.110[[#This Row],[Tax Name]]</f>
        <v>Vigna radiata</v>
      </c>
      <c r="J919" s="230" t="str">
        <f>Table3.110[[#This Row],[Family]]</f>
        <v>Fabaceae</v>
      </c>
      <c r="K919" s="230" t="str">
        <f>Table3.110[[#This Row],[Order]]</f>
        <v>Fabales</v>
      </c>
      <c r="L919" s="230" t="str">
        <f>Table3.110[[#This Row],[Functional Group]]</f>
        <v>Herbaceous</v>
      </c>
      <c r="M919" s="230" t="str">
        <f>Table3.110[[#This Row],[CIAT ID]]</f>
        <v>F252621</v>
      </c>
      <c r="N919" s="230">
        <f>Table3.110[[#This Row],[Set CIAT]]</f>
        <v>29</v>
      </c>
      <c r="O919" s="230">
        <f>Table3.110[[#This Row],[Batch]]</f>
        <v>63</v>
      </c>
      <c r="P919" s="230">
        <f>Table3.110[[#This Row],[Run]]</f>
        <v>2</v>
      </c>
      <c r="Q919" s="230">
        <f>Table3.110[[#This Row],[Replication]]</f>
        <v>3</v>
      </c>
      <c r="R919" s="230">
        <f>Table3.110[[#This Row],[Syrange No]]</f>
        <v>220</v>
      </c>
      <c r="S919" s="111">
        <v>0.5746</v>
      </c>
      <c r="T919" s="271">
        <v>0.84030000000000005</v>
      </c>
      <c r="U919" s="281"/>
      <c r="V919" s="283">
        <f t="shared" si="79"/>
        <v>0.26570000000000005</v>
      </c>
      <c r="W919" s="61">
        <f>Table3.110[[#This Row],[DM Incubated, mg]]-('3.2 Digest'!V919*1000)</f>
        <v>182.37122955494868</v>
      </c>
      <c r="X919" s="61">
        <f>W919/Table3.110[[#This Row],[DM Incubated, mg]]*100</f>
        <v>40.701392440681978</v>
      </c>
      <c r="Y919" s="74">
        <f>Table3.110[[#This Row],[DM Incubated, mg]]*'2.4 NDF'!R231/100</f>
        <v>200.49475060937394</v>
      </c>
      <c r="Z919" s="37">
        <f t="shared" si="83"/>
        <v>-65.205249390626108</v>
      </c>
      <c r="AA919" s="37">
        <f t="shared" si="84"/>
        <v>-32.52217287108239</v>
      </c>
      <c r="AB919" s="6"/>
    </row>
    <row r="920" spans="2:28" ht="14.4" customHeight="1" x14ac:dyDescent="0.35">
      <c r="B920" s="230">
        <f t="shared" si="85"/>
        <v>910</v>
      </c>
      <c r="C920" s="9"/>
      <c r="D920" s="248">
        <f>Table3.110[[#This Row],[Date]]</f>
        <v>46057</v>
      </c>
      <c r="E920" s="230" t="str">
        <f>Table3.110[[#This Row],[Requisitioner]]</f>
        <v>Genbank</v>
      </c>
      <c r="F920" s="230" t="str">
        <f>Table3.110[[#This Row],[Gene Bank ID]]</f>
        <v>CIAT34159</v>
      </c>
      <c r="G920" s="230" t="str">
        <f>Table3.110[[#This Row],[Genus]]</f>
        <v>Vigna</v>
      </c>
      <c r="H920" s="230" t="str">
        <f>Table3.110[[#This Row],[Species]]</f>
        <v>unguiculata</v>
      </c>
      <c r="I920" s="230" t="str">
        <f>Table3.110[[#This Row],[Tax Name]]</f>
        <v>Vigna unguiculata</v>
      </c>
      <c r="J920" s="230" t="str">
        <f>Table3.110[[#This Row],[Family]]</f>
        <v>Fabaceae</v>
      </c>
      <c r="K920" s="230" t="str">
        <f>Table3.110[[#This Row],[Order]]</f>
        <v>Fabales</v>
      </c>
      <c r="L920" s="230" t="str">
        <f>Table3.110[[#This Row],[Functional Group]]</f>
        <v>Herbaceous</v>
      </c>
      <c r="M920" s="230" t="str">
        <f>Table3.110[[#This Row],[CIAT ID]]</f>
        <v>F252622</v>
      </c>
      <c r="N920" s="230">
        <f>Table3.110[[#This Row],[Set CIAT]]</f>
        <v>29</v>
      </c>
      <c r="O920" s="230">
        <f>Table3.110[[#This Row],[Batch]]</f>
        <v>63</v>
      </c>
      <c r="P920" s="230">
        <f>Table3.110[[#This Row],[Run]]</f>
        <v>2</v>
      </c>
      <c r="Q920" s="230">
        <f>Table3.110[[#This Row],[Replication]]</f>
        <v>1</v>
      </c>
      <c r="R920" s="230">
        <f>Table3.110[[#This Row],[Syrange No]]</f>
        <v>221</v>
      </c>
      <c r="S920" s="112">
        <v>0.57069999999999999</v>
      </c>
      <c r="T920" s="98">
        <v>0.83689999999999998</v>
      </c>
      <c r="U920" s="282"/>
      <c r="V920" s="283">
        <f t="shared" si="79"/>
        <v>0.26619999999999999</v>
      </c>
      <c r="W920" s="61">
        <f>Table3.110[[#This Row],[DM Incubated, mg]]-('3.2 Digest'!V920*1000)</f>
        <v>186.57384643035391</v>
      </c>
      <c r="X920" s="61">
        <f>W920/Table3.110[[#This Row],[DM Incubated, mg]]*100</f>
        <v>41.206851478125927</v>
      </c>
      <c r="Y920" s="30">
        <f>Table3.110[[#This Row],[DM Incubated, mg]]*'2.4 NDF'!R233/100</f>
        <v>220.21064359075234</v>
      </c>
      <c r="Z920" s="37">
        <f t="shared" si="83"/>
        <v>-45.989356409247648</v>
      </c>
      <c r="AA920" s="37">
        <f t="shared" si="84"/>
        <v>-20.884256845784428</v>
      </c>
      <c r="AB920" s="6"/>
    </row>
    <row r="921" spans="2:28" ht="14.4" customHeight="1" x14ac:dyDescent="0.35">
      <c r="B921" s="230">
        <f t="shared" si="85"/>
        <v>911</v>
      </c>
      <c r="C921" s="9"/>
      <c r="D921" s="248">
        <f>Table3.110[[#This Row],[Date]]</f>
        <v>46057</v>
      </c>
      <c r="E921" s="230" t="str">
        <f>Table3.110[[#This Row],[Requisitioner]]</f>
        <v>Genbank</v>
      </c>
      <c r="F921" s="230" t="str">
        <f>Table3.110[[#This Row],[Gene Bank ID]]</f>
        <v>CIAT34159</v>
      </c>
      <c r="G921" s="230" t="str">
        <f>Table3.110[[#This Row],[Genus]]</f>
        <v>Vigna</v>
      </c>
      <c r="H921" s="230" t="str">
        <f>Table3.110[[#This Row],[Species]]</f>
        <v>unguiculata</v>
      </c>
      <c r="I921" s="230" t="str">
        <f>Table3.110[[#This Row],[Tax Name]]</f>
        <v>Vigna unguiculata</v>
      </c>
      <c r="J921" s="230" t="str">
        <f>Table3.110[[#This Row],[Family]]</f>
        <v>Fabaceae</v>
      </c>
      <c r="K921" s="230" t="str">
        <f>Table3.110[[#This Row],[Order]]</f>
        <v>Fabales</v>
      </c>
      <c r="L921" s="230" t="str">
        <f>Table3.110[[#This Row],[Functional Group]]</f>
        <v>Herbaceous</v>
      </c>
      <c r="M921" s="230" t="str">
        <f>Table3.110[[#This Row],[CIAT ID]]</f>
        <v>F252622</v>
      </c>
      <c r="N921" s="230">
        <f>Table3.110[[#This Row],[Set CIAT]]</f>
        <v>29</v>
      </c>
      <c r="O921" s="230">
        <f>Table3.110[[#This Row],[Batch]]</f>
        <v>63</v>
      </c>
      <c r="P921" s="230">
        <f>Table3.110[[#This Row],[Run]]</f>
        <v>2</v>
      </c>
      <c r="Q921" s="230">
        <f>Table3.110[[#This Row],[Replication]]</f>
        <v>2</v>
      </c>
      <c r="R921" s="230">
        <f>Table3.110[[#This Row],[Syrange No]]</f>
        <v>222</v>
      </c>
      <c r="S921" s="111">
        <v>0.59150000000000003</v>
      </c>
      <c r="T921" s="271">
        <v>0.8</v>
      </c>
      <c r="U921" s="281"/>
      <c r="V921" s="283">
        <f t="shared" ref="V921:V981" si="86">T921-S921</f>
        <v>0.20850000000000002</v>
      </c>
      <c r="W921" s="61">
        <f>Table3.110[[#This Row],[DM Incubated, mg]]-('3.2 Digest'!V921*1000)</f>
        <v>244.1833640469745</v>
      </c>
      <c r="X921" s="61">
        <f>W921/Table3.110[[#This Row],[DM Incubated, mg]]*100</f>
        <v>53.941316036883521</v>
      </c>
      <c r="Y921" s="30">
        <f>Table3.110[[#This Row],[DM Incubated, mg]]*'2.4 NDF'!R233/100</f>
        <v>220.1666366675727</v>
      </c>
      <c r="Z921" s="37">
        <f t="shared" si="83"/>
        <v>11.666636667572675</v>
      </c>
      <c r="AA921" s="37">
        <f t="shared" si="84"/>
        <v>5.2990029934408307</v>
      </c>
      <c r="AB921" s="6"/>
    </row>
    <row r="922" spans="2:28" ht="14.4" customHeight="1" x14ac:dyDescent="0.35">
      <c r="B922" s="230">
        <f t="shared" si="85"/>
        <v>912</v>
      </c>
      <c r="C922" s="9"/>
      <c r="D922" s="248">
        <f>Table3.110[[#This Row],[Date]]</f>
        <v>46057</v>
      </c>
      <c r="E922" s="230" t="str">
        <f>Table3.110[[#This Row],[Requisitioner]]</f>
        <v>Genbank</v>
      </c>
      <c r="F922" s="230" t="str">
        <f>Table3.110[[#This Row],[Gene Bank ID]]</f>
        <v>CIAT34159</v>
      </c>
      <c r="G922" s="230" t="str">
        <f>Table3.110[[#This Row],[Genus]]</f>
        <v>Vigna</v>
      </c>
      <c r="H922" s="230" t="str">
        <f>Table3.110[[#This Row],[Species]]</f>
        <v>unguiculata</v>
      </c>
      <c r="I922" s="230" t="str">
        <f>Table3.110[[#This Row],[Tax Name]]</f>
        <v>Vigna unguiculata</v>
      </c>
      <c r="J922" s="230" t="str">
        <f>Table3.110[[#This Row],[Family]]</f>
        <v>Fabaceae</v>
      </c>
      <c r="K922" s="230" t="str">
        <f>Table3.110[[#This Row],[Order]]</f>
        <v>Fabales</v>
      </c>
      <c r="L922" s="230" t="str">
        <f>Table3.110[[#This Row],[Functional Group]]</f>
        <v>Herbaceous</v>
      </c>
      <c r="M922" s="230" t="str">
        <f>Table3.110[[#This Row],[CIAT ID]]</f>
        <v>F252622</v>
      </c>
      <c r="N922" s="230">
        <f>Table3.110[[#This Row],[Set CIAT]]</f>
        <v>29</v>
      </c>
      <c r="O922" s="230">
        <f>Table3.110[[#This Row],[Batch]]</f>
        <v>63</v>
      </c>
      <c r="P922" s="230">
        <f>Table3.110[[#This Row],[Run]]</f>
        <v>2</v>
      </c>
      <c r="Q922" s="230">
        <f>Table3.110[[#This Row],[Replication]]</f>
        <v>3</v>
      </c>
      <c r="R922" s="230">
        <f>Table3.110[[#This Row],[Syrange No]]</f>
        <v>223</v>
      </c>
      <c r="S922" s="112">
        <v>0.5544</v>
      </c>
      <c r="T922" s="98">
        <v>0.7681</v>
      </c>
      <c r="U922" s="282"/>
      <c r="V922" s="283">
        <f t="shared" si="86"/>
        <v>0.2137</v>
      </c>
      <c r="W922" s="61">
        <f>Table3.110[[#This Row],[DM Incubated, mg]]-('3.2 Digest'!V922*1000)</f>
        <v>238.7119168968365</v>
      </c>
      <c r="X922" s="61">
        <f>W922/Table3.110[[#This Row],[DM Incubated, mg]]*100</f>
        <v>52.764285815943701</v>
      </c>
      <c r="Y922" s="74">
        <f>Table3.110[[#This Row],[DM Incubated, mg]]*'2.4 NDF'!R233/100</f>
        <v>220.03461589803391</v>
      </c>
      <c r="Z922" s="37">
        <f t="shared" si="83"/>
        <v>6.3346158980339169</v>
      </c>
      <c r="AA922" s="37">
        <f t="shared" si="84"/>
        <v>2.8789178794346784</v>
      </c>
      <c r="AB922" s="6"/>
    </row>
    <row r="923" spans="2:28" ht="14.4" customHeight="1" x14ac:dyDescent="0.35">
      <c r="B923" s="230">
        <f t="shared" si="85"/>
        <v>913</v>
      </c>
      <c r="C923" s="9"/>
      <c r="D923" s="248">
        <f>Table3.110[[#This Row],[Date]]</f>
        <v>46057</v>
      </c>
      <c r="E923" s="230" t="str">
        <f>Table3.110[[#This Row],[Requisitioner]]</f>
        <v>Genbank</v>
      </c>
      <c r="F923" s="230" t="str">
        <f>Table3.110[[#This Row],[Gene Bank ID]]</f>
        <v>CIAT34347</v>
      </c>
      <c r="G923" s="230" t="str">
        <f>Table3.110[[#This Row],[Genus]]</f>
        <v>Vigna</v>
      </c>
      <c r="H923" s="230" t="str">
        <f>Table3.110[[#This Row],[Species]]</f>
        <v>unguiculata</v>
      </c>
      <c r="I923" s="230" t="str">
        <f>Table3.110[[#This Row],[Tax Name]]</f>
        <v>Vigna unguiculata</v>
      </c>
      <c r="J923" s="230" t="str">
        <f>Table3.110[[#This Row],[Family]]</f>
        <v>Fabaceae</v>
      </c>
      <c r="K923" s="230" t="str">
        <f>Table3.110[[#This Row],[Order]]</f>
        <v>Fabales</v>
      </c>
      <c r="L923" s="230" t="str">
        <f>Table3.110[[#This Row],[Functional Group]]</f>
        <v>Herbaceous</v>
      </c>
      <c r="M923" s="230" t="str">
        <f>Table3.110[[#This Row],[CIAT ID]]</f>
        <v>F252623</v>
      </c>
      <c r="N923" s="230">
        <f>Table3.110[[#This Row],[Set CIAT]]</f>
        <v>29</v>
      </c>
      <c r="O923" s="230">
        <f>Table3.110[[#This Row],[Batch]]</f>
        <v>63</v>
      </c>
      <c r="P923" s="230">
        <f>Table3.110[[#This Row],[Run]]</f>
        <v>2</v>
      </c>
      <c r="Q923" s="230">
        <f>Table3.110[[#This Row],[Replication]]</f>
        <v>1</v>
      </c>
      <c r="R923" s="230">
        <f>Table3.110[[#This Row],[Syrange No]]</f>
        <v>224</v>
      </c>
      <c r="S923" s="111">
        <v>0.56769999999999998</v>
      </c>
      <c r="T923" s="271">
        <v>0.86619999999999997</v>
      </c>
      <c r="U923" s="281"/>
      <c r="V923" s="283">
        <f t="shared" si="86"/>
        <v>0.29849999999999999</v>
      </c>
      <c r="W923" s="61">
        <f>Table3.110[[#This Row],[DM Incubated, mg]]-('3.2 Digest'!V923*1000)</f>
        <v>149.32109709018931</v>
      </c>
      <c r="X923" s="61">
        <f>W923/Table3.110[[#This Row],[DM Incubated, mg]]*100</f>
        <v>33.343917484110101</v>
      </c>
      <c r="Y923" s="30">
        <f>Table3.110[[#This Row],[DM Incubated, mg]]*'2.4 NDF'!R235/100</f>
        <v>191.11440323038084</v>
      </c>
      <c r="Z923" s="37">
        <f t="shared" si="83"/>
        <v>-107.38559676961916</v>
      </c>
      <c r="AA923" s="37">
        <f t="shared" si="84"/>
        <v>-56.189169918381332</v>
      </c>
      <c r="AB923" s="6"/>
    </row>
    <row r="924" spans="2:28" ht="14.4" customHeight="1" x14ac:dyDescent="0.35">
      <c r="B924" s="230">
        <f t="shared" si="85"/>
        <v>914</v>
      </c>
      <c r="C924" s="9"/>
      <c r="D924" s="248">
        <f>Table3.110[[#This Row],[Date]]</f>
        <v>46057</v>
      </c>
      <c r="E924" s="230" t="str">
        <f>Table3.110[[#This Row],[Requisitioner]]</f>
        <v>Genbank</v>
      </c>
      <c r="F924" s="230" t="str">
        <f>Table3.110[[#This Row],[Gene Bank ID]]</f>
        <v>CIAT34347</v>
      </c>
      <c r="G924" s="230" t="str">
        <f>Table3.110[[#This Row],[Genus]]</f>
        <v>Vigna</v>
      </c>
      <c r="H924" s="230" t="str">
        <f>Table3.110[[#This Row],[Species]]</f>
        <v>unguiculata</v>
      </c>
      <c r="I924" s="230" t="str">
        <f>Table3.110[[#This Row],[Tax Name]]</f>
        <v>Vigna unguiculata</v>
      </c>
      <c r="J924" s="230" t="str">
        <f>Table3.110[[#This Row],[Family]]</f>
        <v>Fabaceae</v>
      </c>
      <c r="K924" s="230" t="str">
        <f>Table3.110[[#This Row],[Order]]</f>
        <v>Fabales</v>
      </c>
      <c r="L924" s="230" t="str">
        <f>Table3.110[[#This Row],[Functional Group]]</f>
        <v>Herbaceous</v>
      </c>
      <c r="M924" s="230" t="str">
        <f>Table3.110[[#This Row],[CIAT ID]]</f>
        <v>F252623</v>
      </c>
      <c r="N924" s="230">
        <f>Table3.110[[#This Row],[Set CIAT]]</f>
        <v>29</v>
      </c>
      <c r="O924" s="230">
        <f>Table3.110[[#This Row],[Batch]]</f>
        <v>63</v>
      </c>
      <c r="P924" s="230">
        <f>Table3.110[[#This Row],[Run]]</f>
        <v>2</v>
      </c>
      <c r="Q924" s="230">
        <f>Table3.110[[#This Row],[Replication]]</f>
        <v>2</v>
      </c>
      <c r="R924" s="230">
        <f>Table3.110[[#This Row],[Syrange No]]</f>
        <v>225</v>
      </c>
      <c r="S924" s="112">
        <v>0.57320000000000004</v>
      </c>
      <c r="T924" s="98">
        <v>0.74919999999999998</v>
      </c>
      <c r="U924" s="282"/>
      <c r="V924" s="283">
        <f t="shared" si="86"/>
        <v>0.17599999999999993</v>
      </c>
      <c r="W924" s="61">
        <f>Table3.110[[#This Row],[DM Incubated, mg]]-('3.2 Digest'!V924*1000)</f>
        <v>271.73160446487157</v>
      </c>
      <c r="X924" s="61">
        <f>W924/Table3.110[[#This Row],[DM Incubated, mg]]*100</f>
        <v>60.690735644995399</v>
      </c>
      <c r="Y924" s="74">
        <f>Table3.110[[#This Row],[DM Incubated, mg]]*'2.4 NDF'!R235/100</f>
        <v>191.07621090359618</v>
      </c>
      <c r="Z924" s="37">
        <f t="shared" si="83"/>
        <v>15.076210903596234</v>
      </c>
      <c r="AA924" s="37">
        <f t="shared" si="84"/>
        <v>7.890155887172499</v>
      </c>
      <c r="AB924" s="6"/>
    </row>
    <row r="925" spans="2:28" ht="14.4" customHeight="1" x14ac:dyDescent="0.35">
      <c r="B925" s="230">
        <f t="shared" si="85"/>
        <v>915</v>
      </c>
      <c r="C925" s="9"/>
      <c r="D925" s="248">
        <f>Table3.110[[#This Row],[Date]]</f>
        <v>46057</v>
      </c>
      <c r="E925" s="230" t="str">
        <f>Table3.110[[#This Row],[Requisitioner]]</f>
        <v>Genbank</v>
      </c>
      <c r="F925" s="230" t="str">
        <f>Table3.110[[#This Row],[Gene Bank ID]]</f>
        <v>CIAT34347</v>
      </c>
      <c r="G925" s="230" t="str">
        <f>Table3.110[[#This Row],[Genus]]</f>
        <v>Vigna</v>
      </c>
      <c r="H925" s="230" t="str">
        <f>Table3.110[[#This Row],[Species]]</f>
        <v>unguiculata</v>
      </c>
      <c r="I925" s="230" t="str">
        <f>Table3.110[[#This Row],[Tax Name]]</f>
        <v>Vigna unguiculata</v>
      </c>
      <c r="J925" s="230" t="str">
        <f>Table3.110[[#This Row],[Family]]</f>
        <v>Fabaceae</v>
      </c>
      <c r="K925" s="230" t="str">
        <f>Table3.110[[#This Row],[Order]]</f>
        <v>Fabales</v>
      </c>
      <c r="L925" s="230" t="str">
        <f>Table3.110[[#This Row],[Functional Group]]</f>
        <v>Herbaceous</v>
      </c>
      <c r="M925" s="230" t="str">
        <f>Table3.110[[#This Row],[CIAT ID]]</f>
        <v>F252623</v>
      </c>
      <c r="N925" s="230">
        <f>Table3.110[[#This Row],[Set CIAT]]</f>
        <v>29</v>
      </c>
      <c r="O925" s="230">
        <f>Table3.110[[#This Row],[Batch]]</f>
        <v>63</v>
      </c>
      <c r="P925" s="230">
        <f>Table3.110[[#This Row],[Run]]</f>
        <v>2</v>
      </c>
      <c r="Q925" s="230">
        <f>Table3.110[[#This Row],[Replication]]</f>
        <v>3</v>
      </c>
      <c r="R925" s="230">
        <f>Table3.110[[#This Row],[Syrange No]]</f>
        <v>226</v>
      </c>
      <c r="S925" s="111">
        <v>0.55649999999999999</v>
      </c>
      <c r="T925" s="271">
        <v>0.74180000000000001</v>
      </c>
      <c r="U925" s="281"/>
      <c r="V925" s="283">
        <f t="shared" si="86"/>
        <v>0.18530000000000002</v>
      </c>
      <c r="W925" s="61">
        <f>Table3.110[[#This Row],[DM Incubated, mg]]-('3.2 Digest'!V925*1000)</f>
        <v>262.34211183955381</v>
      </c>
      <c r="X925" s="61">
        <f>W925/Table3.110[[#This Row],[DM Incubated, mg]]*100</f>
        <v>58.605324410046521</v>
      </c>
      <c r="Y925" s="30">
        <f>Table3.110[[#This Row],[DM Incubated, mg]]*'2.4 NDF'!R235/100</f>
        <v>191.03801857681157</v>
      </c>
      <c r="Z925" s="37">
        <f t="shared" si="83"/>
        <v>5.7380185768115552</v>
      </c>
      <c r="AA925" s="37">
        <f t="shared" si="84"/>
        <v>3.0036003406852982</v>
      </c>
      <c r="AB925" s="6"/>
    </row>
    <row r="926" spans="2:28" ht="14.4" customHeight="1" x14ac:dyDescent="0.35">
      <c r="B926" s="230">
        <f t="shared" si="85"/>
        <v>916</v>
      </c>
      <c r="C926" s="9"/>
      <c r="D926" s="248">
        <f>Table3.110[[#This Row],[Date]]</f>
        <v>46057</v>
      </c>
      <c r="E926" s="230" t="str">
        <f>Table3.110[[#This Row],[Requisitioner]]</f>
        <v>Genbank</v>
      </c>
      <c r="F926" s="230" t="str">
        <f>Table3.110[[#This Row],[Gene Bank ID]]</f>
        <v>CIAT-23715</v>
      </c>
      <c r="G926" s="230" t="str">
        <f>Table3.110[[#This Row],[Genus]]</f>
        <v>Desmodium</v>
      </c>
      <c r="H926" s="230" t="str">
        <f>Table3.110[[#This Row],[Species]]</f>
        <v>sequax</v>
      </c>
      <c r="I926" s="230" t="str">
        <f>Table3.110[[#This Row],[Tax Name]]</f>
        <v>Desmodium sequax</v>
      </c>
      <c r="J926" s="230" t="str">
        <f>Table3.110[[#This Row],[Family]]</f>
        <v>Fabaceae</v>
      </c>
      <c r="K926" s="230" t="str">
        <f>Table3.110[[#This Row],[Order]]</f>
        <v>Fabales</v>
      </c>
      <c r="L926" s="230" t="str">
        <f>Table3.110[[#This Row],[Functional Group]]</f>
        <v>Herbaceous</v>
      </c>
      <c r="M926" s="230" t="str">
        <f>Table3.110[[#This Row],[CIAT ID]]</f>
        <v>F251692</v>
      </c>
      <c r="N926" s="230">
        <f>Table3.110[[#This Row],[Set CIAT]]</f>
        <v>29</v>
      </c>
      <c r="O926" s="230">
        <f>Table3.110[[#This Row],[Batch]]</f>
        <v>63</v>
      </c>
      <c r="P926" s="230">
        <f>Table3.110[[#This Row],[Run]]</f>
        <v>2</v>
      </c>
      <c r="Q926" s="230">
        <f>Table3.110[[#This Row],[Replication]]</f>
        <v>1</v>
      </c>
      <c r="R926" s="230">
        <f>Table3.110[[#This Row],[Syrange No]]</f>
        <v>227</v>
      </c>
      <c r="S926" s="112">
        <v>0.58819999999999995</v>
      </c>
      <c r="T926" s="98">
        <v>0.94440000000000002</v>
      </c>
      <c r="U926" s="282"/>
      <c r="V926" s="283">
        <f t="shared" si="86"/>
        <v>0.35620000000000007</v>
      </c>
      <c r="W926" s="61">
        <f>Table3.110[[#This Row],[DM Incubated, mg]]-('3.2 Digest'!V926*1000)</f>
        <v>112.9500287469989</v>
      </c>
      <c r="X926" s="61">
        <f>W926/Table3.110[[#This Row],[DM Incubated, mg]]*100</f>
        <v>24.075460263460851</v>
      </c>
      <c r="Y926" s="30">
        <f>Table3.110[[#This Row],[DM Incubated, mg]]*'2.4 NDF'!R237/100</f>
        <v>306.90919583639459</v>
      </c>
      <c r="Z926" s="37">
        <f t="shared" si="83"/>
        <v>-49.290804163605458</v>
      </c>
      <c r="AA926" s="37">
        <f t="shared" si="84"/>
        <v>-16.060386861096571</v>
      </c>
      <c r="AB926" s="6"/>
    </row>
    <row r="927" spans="2:28" ht="14.4" customHeight="1" x14ac:dyDescent="0.35">
      <c r="B927" s="230">
        <f t="shared" si="85"/>
        <v>917</v>
      </c>
      <c r="C927" s="9"/>
      <c r="D927" s="248">
        <f>Table3.110[[#This Row],[Date]]</f>
        <v>46057</v>
      </c>
      <c r="E927" s="230" t="str">
        <f>Table3.110[[#This Row],[Requisitioner]]</f>
        <v>Genbank</v>
      </c>
      <c r="F927" s="230" t="str">
        <f>Table3.110[[#This Row],[Gene Bank ID]]</f>
        <v>CIAT-23715</v>
      </c>
      <c r="G927" s="230" t="str">
        <f>Table3.110[[#This Row],[Genus]]</f>
        <v>Desmodium</v>
      </c>
      <c r="H927" s="230" t="str">
        <f>Table3.110[[#This Row],[Species]]</f>
        <v>sequax</v>
      </c>
      <c r="I927" s="230" t="str">
        <f>Table3.110[[#This Row],[Tax Name]]</f>
        <v>Desmodium sequax</v>
      </c>
      <c r="J927" s="230" t="str">
        <f>Table3.110[[#This Row],[Family]]</f>
        <v>Fabaceae</v>
      </c>
      <c r="K927" s="230" t="str">
        <f>Table3.110[[#This Row],[Order]]</f>
        <v>Fabales</v>
      </c>
      <c r="L927" s="230" t="str">
        <f>Table3.110[[#This Row],[Functional Group]]</f>
        <v>Herbaceous</v>
      </c>
      <c r="M927" s="230" t="str">
        <f>Table3.110[[#This Row],[CIAT ID]]</f>
        <v>F251692</v>
      </c>
      <c r="N927" s="230">
        <f>Table3.110[[#This Row],[Set CIAT]]</f>
        <v>29</v>
      </c>
      <c r="O927" s="230">
        <f>Table3.110[[#This Row],[Batch]]</f>
        <v>63</v>
      </c>
      <c r="P927" s="230">
        <f>Table3.110[[#This Row],[Run]]</f>
        <v>2</v>
      </c>
      <c r="Q927" s="230">
        <f>Table3.110[[#This Row],[Replication]]</f>
        <v>2</v>
      </c>
      <c r="R927" s="230">
        <f>Table3.110[[#This Row],[Syrange No]]</f>
        <v>228</v>
      </c>
      <c r="S927" s="111">
        <v>0.60029999999999994</v>
      </c>
      <c r="T927" s="271">
        <v>1.0296000000000001</v>
      </c>
      <c r="U927" s="281"/>
      <c r="V927" s="283">
        <f t="shared" si="86"/>
        <v>0.42930000000000013</v>
      </c>
      <c r="W927" s="61">
        <f>Table3.110[[#This Row],[DM Incubated, mg]]-('3.2 Digest'!V927*1000)</f>
        <v>40.037613724506514</v>
      </c>
      <c r="X927" s="61">
        <f>W927/Table3.110[[#This Row],[DM Incubated, mg]]*100</f>
        <v>8.5306637596721426</v>
      </c>
      <c r="Y927" s="30">
        <f>Table3.110[[#This Row],[DM Incubated, mg]]*'2.4 NDF'!R237/100</f>
        <v>307.0319104288921</v>
      </c>
      <c r="Z927" s="37">
        <f t="shared" si="83"/>
        <v>-122.26808957110802</v>
      </c>
      <c r="AA927" s="37">
        <f t="shared" si="84"/>
        <v>-39.822600002817957</v>
      </c>
      <c r="AB927" s="6"/>
    </row>
    <row r="928" spans="2:28" ht="14.4" customHeight="1" x14ac:dyDescent="0.35">
      <c r="B928" s="230">
        <f t="shared" si="85"/>
        <v>918</v>
      </c>
      <c r="C928" s="9"/>
      <c r="D928" s="248">
        <f>Table3.110[[#This Row],[Date]]</f>
        <v>46057</v>
      </c>
      <c r="E928" s="230" t="str">
        <f>Table3.110[[#This Row],[Requisitioner]]</f>
        <v>Genbank</v>
      </c>
      <c r="F928" s="230" t="str">
        <f>Table3.110[[#This Row],[Gene Bank ID]]</f>
        <v>CIAT-23715</v>
      </c>
      <c r="G928" s="230" t="str">
        <f>Table3.110[[#This Row],[Genus]]</f>
        <v>Desmodium</v>
      </c>
      <c r="H928" s="230" t="str">
        <f>Table3.110[[#This Row],[Species]]</f>
        <v>sequax</v>
      </c>
      <c r="I928" s="230" t="str">
        <f>Table3.110[[#This Row],[Tax Name]]</f>
        <v>Desmodium sequax</v>
      </c>
      <c r="J928" s="230" t="str">
        <f>Table3.110[[#This Row],[Family]]</f>
        <v>Fabaceae</v>
      </c>
      <c r="K928" s="230" t="str">
        <f>Table3.110[[#This Row],[Order]]</f>
        <v>Fabales</v>
      </c>
      <c r="L928" s="230" t="str">
        <f>Table3.110[[#This Row],[Functional Group]]</f>
        <v>Herbaceous</v>
      </c>
      <c r="M928" s="230" t="str">
        <f>Table3.110[[#This Row],[CIAT ID]]</f>
        <v>F251692</v>
      </c>
      <c r="N928" s="230">
        <f>Table3.110[[#This Row],[Set CIAT]]</f>
        <v>29</v>
      </c>
      <c r="O928" s="230">
        <f>Table3.110[[#This Row],[Batch]]</f>
        <v>63</v>
      </c>
      <c r="P928" s="230">
        <f>Table3.110[[#This Row],[Run]]</f>
        <v>2</v>
      </c>
      <c r="Q928" s="230">
        <f>Table3.110[[#This Row],[Replication]]</f>
        <v>3</v>
      </c>
      <c r="R928" s="230">
        <f>Table3.110[[#This Row],[Syrange No]]</f>
        <v>229</v>
      </c>
      <c r="S928" s="112">
        <v>0.58450000000000002</v>
      </c>
      <c r="T928" s="98">
        <v>1.0222</v>
      </c>
      <c r="U928" s="282"/>
      <c r="V928" s="283">
        <f t="shared" si="86"/>
        <v>0.43769999999999998</v>
      </c>
      <c r="W928" s="61">
        <f>Table3.110[[#This Row],[DM Incubated, mg]]-('3.2 Digest'!V928*1000)</f>
        <v>31.356236258245076</v>
      </c>
      <c r="X928" s="61">
        <f>W928/Table3.110[[#This Row],[DM Incubated, mg]]*100</f>
        <v>6.6849630885157847</v>
      </c>
      <c r="Y928" s="74">
        <f>Table3.110[[#This Row],[DM Incubated, mg]]*'2.4 NDF'!R237/100</f>
        <v>306.8478385401458</v>
      </c>
      <c r="Z928" s="37">
        <f t="shared" si="83"/>
        <v>-130.85216145985419</v>
      </c>
      <c r="AA928" s="37">
        <f t="shared" si="84"/>
        <v>-42.64398996010344</v>
      </c>
      <c r="AB928" s="6"/>
    </row>
    <row r="929" spans="2:28" ht="14.4" customHeight="1" x14ac:dyDescent="0.35">
      <c r="B929" s="230">
        <f t="shared" si="85"/>
        <v>919</v>
      </c>
      <c r="C929" s="9"/>
      <c r="D929" s="248">
        <f>Table3.110[[#This Row],[Date]]</f>
        <v>46057</v>
      </c>
      <c r="E929" s="230" t="str">
        <f>Table3.110[[#This Row],[Requisitioner]]</f>
        <v>Jacobo Arango/Alejandro Montoya</v>
      </c>
      <c r="F929" s="230" t="str">
        <f>Table3.110[[#This Row],[Gene Bank ID]]</f>
        <v>Sample 8</v>
      </c>
      <c r="G929" s="230" t="str">
        <f>Table3.110[[#This Row],[Genus]]</f>
        <v>Cynodon</v>
      </c>
      <c r="H929" s="230" t="str">
        <f>Table3.110[[#This Row],[Species]]</f>
        <v>nlemfuensis</v>
      </c>
      <c r="I929" s="230" t="str">
        <f>Table3.110[[#This Row],[Tax Name]]</f>
        <v xml:space="preserve">Cynodon nlemfuensis </v>
      </c>
      <c r="J929" s="230" t="str">
        <f>Table3.110[[#This Row],[Family]]</f>
        <v>Poaceae</v>
      </c>
      <c r="K929" s="230" t="str">
        <f>Table3.110[[#This Row],[Order]]</f>
        <v>Poales</v>
      </c>
      <c r="L929" s="230" t="str">
        <f>Table3.110[[#This Row],[Functional Group]]</f>
        <v>grasses</v>
      </c>
      <c r="M929" s="230" t="str">
        <f>Table3.110[[#This Row],[CIAT ID]]</f>
        <v>F250008</v>
      </c>
      <c r="N929" s="230">
        <f>Table3.110[[#This Row],[Set CIAT]]</f>
        <v>29</v>
      </c>
      <c r="O929" s="230">
        <f>Table3.110[[#This Row],[Batch]]</f>
        <v>63</v>
      </c>
      <c r="P929" s="230">
        <f>Table3.110[[#This Row],[Run]]</f>
        <v>2</v>
      </c>
      <c r="Q929" s="230">
        <f>Table3.110[[#This Row],[Replication]]</f>
        <v>1</v>
      </c>
      <c r="R929" s="230">
        <f>Table3.110[[#This Row],[Syrange No]]</f>
        <v>230</v>
      </c>
      <c r="S929" s="111">
        <v>0.5847</v>
      </c>
      <c r="T929" s="271">
        <v>1.0083</v>
      </c>
      <c r="U929" s="281"/>
      <c r="V929" s="283">
        <f t="shared" si="86"/>
        <v>0.42359999999999998</v>
      </c>
      <c r="W929" s="61">
        <f>Table3.110[[#This Row],[DM Incubated, mg]]-('3.2 Digest'!V929*1000)</f>
        <v>44.243550000000027</v>
      </c>
      <c r="X929" s="61">
        <f>W929/Table3.110[[#This Row],[DM Incubated, mg]]*100</f>
        <v>9.4569113969830365</v>
      </c>
      <c r="Y929" s="30">
        <f>Table3.110[[#This Row],[DM Incubated, mg]]*'2.4 NDF'!R239/100</f>
        <v>356.02894154999996</v>
      </c>
      <c r="Z929" s="37">
        <f t="shared" ref="Z929:Z981" si="87">Y929-(V929*1000)</f>
        <v>-67.57105845000001</v>
      </c>
      <c r="AA929" s="37">
        <f t="shared" ref="AA929:AA981" si="88">Z929/Y929*100</f>
        <v>-18.979091462571581</v>
      </c>
      <c r="AB929" s="6"/>
    </row>
    <row r="930" spans="2:28" ht="14.4" customHeight="1" x14ac:dyDescent="0.35">
      <c r="B930" s="230">
        <f t="shared" si="85"/>
        <v>920</v>
      </c>
      <c r="C930" s="9"/>
      <c r="D930" s="248">
        <f>Table3.110[[#This Row],[Date]]</f>
        <v>46057</v>
      </c>
      <c r="E930" s="230" t="str">
        <f>Table3.110[[#This Row],[Requisitioner]]</f>
        <v>Jacobo Arango/Alejandro Montoya</v>
      </c>
      <c r="F930" s="230" t="str">
        <f>Table3.110[[#This Row],[Gene Bank ID]]</f>
        <v>Sample 8</v>
      </c>
      <c r="G930" s="230" t="str">
        <f>Table3.110[[#This Row],[Genus]]</f>
        <v>Cynodon</v>
      </c>
      <c r="H930" s="230" t="str">
        <f>Table3.110[[#This Row],[Species]]</f>
        <v>nlemfuensis</v>
      </c>
      <c r="I930" s="230" t="str">
        <f>Table3.110[[#This Row],[Tax Name]]</f>
        <v xml:space="preserve">Cynodon nlemfuensis </v>
      </c>
      <c r="J930" s="230" t="str">
        <f>Table3.110[[#This Row],[Family]]</f>
        <v>Poaceae</v>
      </c>
      <c r="K930" s="230" t="str">
        <f>Table3.110[[#This Row],[Order]]</f>
        <v>Poales</v>
      </c>
      <c r="L930" s="230" t="str">
        <f>Table3.110[[#This Row],[Functional Group]]</f>
        <v>grasses</v>
      </c>
      <c r="M930" s="230" t="str">
        <f>Table3.110[[#This Row],[CIAT ID]]</f>
        <v>F250008</v>
      </c>
      <c r="N930" s="230">
        <f>Table3.110[[#This Row],[Set CIAT]]</f>
        <v>29</v>
      </c>
      <c r="O930" s="230">
        <f>Table3.110[[#This Row],[Batch]]</f>
        <v>63</v>
      </c>
      <c r="P930" s="230">
        <f>Table3.110[[#This Row],[Run]]</f>
        <v>2</v>
      </c>
      <c r="Q930" s="230">
        <f>Table3.110[[#This Row],[Replication]]</f>
        <v>2</v>
      </c>
      <c r="R930" s="230">
        <f>Table3.110[[#This Row],[Syrange No]]</f>
        <v>231</v>
      </c>
      <c r="S930" s="98">
        <v>0.58030000000000004</v>
      </c>
      <c r="T930" s="98">
        <v>0.91920000000000002</v>
      </c>
      <c r="U930" s="110"/>
      <c r="V930" s="283">
        <f t="shared" si="86"/>
        <v>0.33889999999999998</v>
      </c>
      <c r="W930" s="61">
        <f>Table3.110[[#This Row],[DM Incubated, mg]]-('3.2 Digest'!V930*1000)</f>
        <v>129.22419999999994</v>
      </c>
      <c r="X930" s="61">
        <f>W930/Table3.110[[#This Row],[DM Incubated, mg]]*100</f>
        <v>27.604682688910327</v>
      </c>
      <c r="Y930" s="30">
        <f>Table3.110[[#This Row],[DM Incubated, mg]]*'2.4 NDF'!R239/100</f>
        <v>356.2425161999999</v>
      </c>
      <c r="Z930" s="37">
        <f t="shared" si="87"/>
        <v>17.34251619999992</v>
      </c>
      <c r="AA930" s="37">
        <f t="shared" si="88"/>
        <v>4.8681769893696725</v>
      </c>
      <c r="AB930" s="6"/>
    </row>
    <row r="931" spans="2:28" ht="14.4" customHeight="1" x14ac:dyDescent="0.35">
      <c r="B931" s="230">
        <f t="shared" si="85"/>
        <v>921</v>
      </c>
      <c r="C931" s="9"/>
      <c r="D931" s="248">
        <f>Table3.110[[#This Row],[Date]]</f>
        <v>46057</v>
      </c>
      <c r="E931" s="230" t="str">
        <f>Table3.110[[#This Row],[Requisitioner]]</f>
        <v>Jacobo Arango/Alejandro Montoya</v>
      </c>
      <c r="F931" s="230" t="str">
        <f>Table3.110[[#This Row],[Gene Bank ID]]</f>
        <v>Sample 8</v>
      </c>
      <c r="G931" s="230" t="str">
        <f>Table3.110[[#This Row],[Genus]]</f>
        <v>Cynodon</v>
      </c>
      <c r="H931" s="230" t="str">
        <f>Table3.110[[#This Row],[Species]]</f>
        <v>nlemfuensis</v>
      </c>
      <c r="I931" s="230" t="str">
        <f>Table3.110[[#This Row],[Tax Name]]</f>
        <v xml:space="preserve">Cynodon nlemfuensis </v>
      </c>
      <c r="J931" s="230" t="str">
        <f>Table3.110[[#This Row],[Family]]</f>
        <v>Poaceae</v>
      </c>
      <c r="K931" s="230" t="str">
        <f>Table3.110[[#This Row],[Order]]</f>
        <v>Poales</v>
      </c>
      <c r="L931" s="230" t="str">
        <f>Table3.110[[#This Row],[Functional Group]]</f>
        <v>grasses</v>
      </c>
      <c r="M931" s="230" t="str">
        <f>Table3.110[[#This Row],[CIAT ID]]</f>
        <v>F250008</v>
      </c>
      <c r="N931" s="230">
        <f>Table3.110[[#This Row],[Set CIAT]]</f>
        <v>29</v>
      </c>
      <c r="O931" s="230">
        <f>Table3.110[[#This Row],[Batch]]</f>
        <v>63</v>
      </c>
      <c r="P931" s="230">
        <f>Table3.110[[#This Row],[Run]]</f>
        <v>2</v>
      </c>
      <c r="Q931" s="230">
        <f>Table3.110[[#This Row],[Replication]]</f>
        <v>3</v>
      </c>
      <c r="R931" s="230">
        <f>Table3.110[[#This Row],[Syrange No]]</f>
        <v>232</v>
      </c>
      <c r="S931" s="250">
        <v>0.5605</v>
      </c>
      <c r="T931" s="250">
        <v>0.8881</v>
      </c>
      <c r="U931" s="265"/>
      <c r="V931" s="283">
        <f t="shared" si="86"/>
        <v>0.3276</v>
      </c>
      <c r="W931" s="61">
        <f>Table3.110[[#This Row],[DM Incubated, mg]]-('3.2 Digest'!V931*1000)</f>
        <v>140.43064999999996</v>
      </c>
      <c r="X931" s="61">
        <f>W931/Table3.110[[#This Row],[DM Incubated, mg]]*100</f>
        <v>30.004584101489929</v>
      </c>
      <c r="Y931" s="30">
        <f>Table3.110[[#This Row],[DM Incubated, mg]]*'2.4 NDF'!R239/100</f>
        <v>356.17132464999997</v>
      </c>
      <c r="Z931" s="37">
        <f t="shared" si="87"/>
        <v>28.571324649999951</v>
      </c>
      <c r="AA931" s="37">
        <f t="shared" si="88"/>
        <v>8.0217925118133042</v>
      </c>
      <c r="AB931" s="6"/>
    </row>
    <row r="932" spans="2:28" ht="14.4" customHeight="1" x14ac:dyDescent="0.35">
      <c r="B932" s="230">
        <f t="shared" si="85"/>
        <v>922</v>
      </c>
      <c r="C932" s="9"/>
      <c r="D932" s="248">
        <f>Table3.110[[#This Row],[Date]]</f>
        <v>46057</v>
      </c>
      <c r="E932" s="230">
        <f>Table3.110[[#This Row],[Requisitioner]]</f>
        <v>0</v>
      </c>
      <c r="F932" s="230" t="str">
        <f>Table3.110[[#This Row],[Gene Bank ID]]</f>
        <v>BLANK 24 H</v>
      </c>
      <c r="G932" s="230" t="str">
        <f>Table3.110[[#This Row],[Genus]]</f>
        <v>BLANK</v>
      </c>
      <c r="H932" s="230">
        <f>Table3.110[[#This Row],[Species]]</f>
        <v>24</v>
      </c>
      <c r="I932" s="230" t="str">
        <f>Table3.110[[#This Row],[Tax Name]]</f>
        <v>BLANK 24 H</v>
      </c>
      <c r="J932" s="230">
        <f>Table3.110[[#This Row],[Family]]</f>
        <v>0</v>
      </c>
      <c r="K932" s="230">
        <f>Table3.110[[#This Row],[Order]]</f>
        <v>0</v>
      </c>
      <c r="L932" s="230">
        <f>Table3.110[[#This Row],[Functional Group]]</f>
        <v>0</v>
      </c>
      <c r="M932" s="230" t="str">
        <f>Table3.110[[#This Row],[CIAT ID]]</f>
        <v>BLANK24H</v>
      </c>
      <c r="N932" s="230">
        <f>Table3.110[[#This Row],[Set CIAT]]</f>
        <v>29</v>
      </c>
      <c r="O932" s="230">
        <f>Table3.110[[#This Row],[Batch]]</f>
        <v>63</v>
      </c>
      <c r="P932" s="230">
        <f>Table3.110[[#This Row],[Run]]</f>
        <v>2</v>
      </c>
      <c r="Q932" s="230">
        <f>Table3.110[[#This Row],[Replication]]</f>
        <v>1</v>
      </c>
      <c r="R932" s="230">
        <f>Table3.110[[#This Row],[Syrange No]]</f>
        <v>233</v>
      </c>
      <c r="S932" s="249"/>
      <c r="T932" s="249"/>
      <c r="U932" s="263"/>
      <c r="V932" s="283"/>
      <c r="W932" s="61"/>
      <c r="X932" s="61"/>
      <c r="Y932" s="30"/>
      <c r="Z932" s="37"/>
      <c r="AA932" s="37"/>
      <c r="AB932" s="6"/>
    </row>
    <row r="933" spans="2:28" ht="14.4" customHeight="1" x14ac:dyDescent="0.35">
      <c r="B933" s="230">
        <f t="shared" si="85"/>
        <v>923</v>
      </c>
      <c r="C933" s="9"/>
      <c r="D933" s="248">
        <f>Table3.110[[#This Row],[Date]]</f>
        <v>46057</v>
      </c>
      <c r="E933" s="230">
        <f>Table3.110[[#This Row],[Requisitioner]]</f>
        <v>0</v>
      </c>
      <c r="F933" s="230" t="str">
        <f>Table3.110[[#This Row],[Gene Bank ID]]</f>
        <v>BLANK 24 H</v>
      </c>
      <c r="G933" s="230" t="str">
        <f>Table3.110[[#This Row],[Genus]]</f>
        <v>BLANK</v>
      </c>
      <c r="H933" s="230">
        <f>Table3.110[[#This Row],[Species]]</f>
        <v>24</v>
      </c>
      <c r="I933" s="230" t="str">
        <f>Table3.110[[#This Row],[Tax Name]]</f>
        <v>BLANK 24 H</v>
      </c>
      <c r="J933" s="230">
        <f>Table3.110[[#This Row],[Family]]</f>
        <v>0</v>
      </c>
      <c r="K933" s="230">
        <f>Table3.110[[#This Row],[Order]]</f>
        <v>0</v>
      </c>
      <c r="L933" s="230">
        <f>Table3.110[[#This Row],[Functional Group]]</f>
        <v>0</v>
      </c>
      <c r="M933" s="230" t="str">
        <f>Table3.110[[#This Row],[CIAT ID]]</f>
        <v>BLANK24H</v>
      </c>
      <c r="N933" s="230">
        <f>Table3.110[[#This Row],[Set CIAT]]</f>
        <v>29</v>
      </c>
      <c r="O933" s="230">
        <f>Table3.110[[#This Row],[Batch]]</f>
        <v>63</v>
      </c>
      <c r="P933" s="230">
        <f>Table3.110[[#This Row],[Run]]</f>
        <v>2</v>
      </c>
      <c r="Q933" s="230">
        <f>Table3.110[[#This Row],[Replication]]</f>
        <v>2</v>
      </c>
      <c r="R933" s="230">
        <f>Table3.110[[#This Row],[Syrange No]]</f>
        <v>234</v>
      </c>
      <c r="S933" s="148"/>
      <c r="T933" s="148"/>
      <c r="U933" s="264"/>
      <c r="V933" s="283"/>
      <c r="W933" s="61"/>
      <c r="X933" s="61"/>
      <c r="Y933" s="30"/>
      <c r="Z933" s="37"/>
      <c r="AA933" s="37"/>
      <c r="AB933" s="6"/>
    </row>
    <row r="934" spans="2:28" ht="14.4" customHeight="1" x14ac:dyDescent="0.35">
      <c r="B934" s="230">
        <f t="shared" si="85"/>
        <v>924</v>
      </c>
      <c r="C934" s="9"/>
      <c r="D934" s="248">
        <f>Table3.110[[#This Row],[Date]]</f>
        <v>46078</v>
      </c>
      <c r="E934" s="230">
        <f>Table3.110[[#This Row],[Requisitioner]]</f>
        <v>0</v>
      </c>
      <c r="F934" s="230" t="str">
        <f>Table3.110[[#This Row],[Gene Bank ID]]</f>
        <v>BLANK 24 H</v>
      </c>
      <c r="G934" s="230" t="str">
        <f>Table3.110[[#This Row],[Genus]]</f>
        <v>BLANK</v>
      </c>
      <c r="H934" s="230">
        <f>Table3.110[[#This Row],[Species]]</f>
        <v>24</v>
      </c>
      <c r="I934" s="230" t="str">
        <f>Table3.110[[#This Row],[Tax Name]]</f>
        <v>BLANK 24 H</v>
      </c>
      <c r="J934" s="230">
        <f>Table3.110[[#This Row],[Family]]</f>
        <v>0</v>
      </c>
      <c r="K934" s="230">
        <f>Table3.110[[#This Row],[Order]]</f>
        <v>0</v>
      </c>
      <c r="L934" s="230">
        <f>Table3.110[[#This Row],[Functional Group]]</f>
        <v>0</v>
      </c>
      <c r="M934" s="230" t="str">
        <f>Table3.110[[#This Row],[CIAT ID]]</f>
        <v>BLANK24H</v>
      </c>
      <c r="N934" s="230">
        <f>Table3.110[[#This Row],[Set CIAT]]</f>
        <v>29</v>
      </c>
      <c r="O934" s="230">
        <f>Table3.110[[#This Row],[Batch]]</f>
        <v>70</v>
      </c>
      <c r="P934" s="230">
        <f>Table3.110[[#This Row],[Run]]</f>
        <v>3</v>
      </c>
      <c r="Q934" s="230">
        <f>Table3.110[[#This Row],[Replication]]</f>
        <v>1</v>
      </c>
      <c r="R934" s="230">
        <f>Table3.110[[#This Row],[Syrange No]]</f>
        <v>199</v>
      </c>
      <c r="S934" s="249"/>
      <c r="T934" s="249"/>
      <c r="U934" s="263"/>
      <c r="V934" s="283"/>
      <c r="W934" s="61"/>
      <c r="X934" s="61"/>
      <c r="Y934" s="30"/>
      <c r="Z934" s="37"/>
      <c r="AA934" s="37"/>
      <c r="AB934" s="6"/>
    </row>
    <row r="935" spans="2:28" ht="14.4" customHeight="1" x14ac:dyDescent="0.35">
      <c r="B935" s="230">
        <f t="shared" si="85"/>
        <v>925</v>
      </c>
      <c r="C935" s="9"/>
      <c r="D935" s="248">
        <f>Table3.110[[#This Row],[Date]]</f>
        <v>46078</v>
      </c>
      <c r="E935" s="230">
        <f>Table3.110[[#This Row],[Requisitioner]]</f>
        <v>0</v>
      </c>
      <c r="F935" s="230" t="str">
        <f>Table3.110[[#This Row],[Gene Bank ID]]</f>
        <v>BLANK 24 H</v>
      </c>
      <c r="G935" s="230" t="str">
        <f>Table3.110[[#This Row],[Genus]]</f>
        <v>BLANK</v>
      </c>
      <c r="H935" s="230">
        <f>Table3.110[[#This Row],[Species]]</f>
        <v>24</v>
      </c>
      <c r="I935" s="230" t="str">
        <f>Table3.110[[#This Row],[Tax Name]]</f>
        <v>BLANK 24 H</v>
      </c>
      <c r="J935" s="230">
        <f>Table3.110[[#This Row],[Family]]</f>
        <v>0</v>
      </c>
      <c r="K935" s="230">
        <f>Table3.110[[#This Row],[Order]]</f>
        <v>0</v>
      </c>
      <c r="L935" s="230">
        <f>Table3.110[[#This Row],[Functional Group]]</f>
        <v>0</v>
      </c>
      <c r="M935" s="230" t="str">
        <f>Table3.110[[#This Row],[CIAT ID]]</f>
        <v>BLANK24H</v>
      </c>
      <c r="N935" s="230">
        <f>Table3.110[[#This Row],[Set CIAT]]</f>
        <v>29</v>
      </c>
      <c r="O935" s="230">
        <f>Table3.110[[#This Row],[Batch]]</f>
        <v>70</v>
      </c>
      <c r="P935" s="230">
        <f>Table3.110[[#This Row],[Run]]</f>
        <v>3</v>
      </c>
      <c r="Q935" s="230">
        <f>Table3.110[[#This Row],[Replication]]</f>
        <v>2</v>
      </c>
      <c r="R935" s="230">
        <f>Table3.110[[#This Row],[Syrange No]]</f>
        <v>200</v>
      </c>
      <c r="S935" s="148"/>
      <c r="T935" s="148"/>
      <c r="U935" s="264"/>
      <c r="V935" s="283"/>
      <c r="W935" s="61"/>
      <c r="X935" s="61"/>
      <c r="Y935" s="30"/>
      <c r="Z935" s="37"/>
      <c r="AA935" s="37"/>
      <c r="AB935" s="6"/>
    </row>
    <row r="936" spans="2:28" ht="14.4" customHeight="1" x14ac:dyDescent="0.35">
      <c r="B936" s="230">
        <f t="shared" si="85"/>
        <v>926</v>
      </c>
      <c r="C936" s="9"/>
      <c r="D936" s="248">
        <f>Table3.110[[#This Row],[Date]]</f>
        <v>46078</v>
      </c>
      <c r="E936" s="230" t="str">
        <f>Table3.110[[#This Row],[Requisitioner]]</f>
        <v>Genbank</v>
      </c>
      <c r="F936" s="230" t="str">
        <f>Table3.110[[#This Row],[Gene Bank ID]]</f>
        <v>CIAT18953</v>
      </c>
      <c r="G936" s="230" t="str">
        <f>Table3.110[[#This Row],[Genus]]</f>
        <v>Indigofera</v>
      </c>
      <c r="H936" s="230" t="str">
        <f>Table3.110[[#This Row],[Species]]</f>
        <v>atriceps</v>
      </c>
      <c r="I936" s="230" t="str">
        <f>Table3.110[[#This Row],[Tax Name]]</f>
        <v>Indigofera atriceps</v>
      </c>
      <c r="J936" s="230" t="str">
        <f>Table3.110[[#This Row],[Family]]</f>
        <v>Fabaceae</v>
      </c>
      <c r="K936" s="230" t="str">
        <f>Table3.110[[#This Row],[Order]]</f>
        <v>Fabales</v>
      </c>
      <c r="L936" s="230" t="str">
        <f>Table3.110[[#This Row],[Functional Group]]</f>
        <v>Herbaceous</v>
      </c>
      <c r="M936" s="230" t="str">
        <f>Table3.110[[#This Row],[CIAT ID]]</f>
        <v>F252604</v>
      </c>
      <c r="N936" s="230">
        <f>Table3.110[[#This Row],[Set CIAT]]</f>
        <v>29</v>
      </c>
      <c r="O936" s="230">
        <f>Table3.110[[#This Row],[Batch]]</f>
        <v>70</v>
      </c>
      <c r="P936" s="230">
        <f>Table3.110[[#This Row],[Run]]</f>
        <v>3</v>
      </c>
      <c r="Q936" s="230">
        <f>Table3.110[[#This Row],[Replication]]</f>
        <v>1</v>
      </c>
      <c r="R936" s="230">
        <f>Table3.110[[#This Row],[Syrange No]]</f>
        <v>201</v>
      </c>
      <c r="S936" s="98">
        <v>0.57169999999999999</v>
      </c>
      <c r="T936" s="98">
        <v>0.82540000000000002</v>
      </c>
      <c r="U936" s="110"/>
      <c r="V936" s="283">
        <f t="shared" si="86"/>
        <v>0.25370000000000004</v>
      </c>
      <c r="W936" s="61">
        <f>Table3.110[[#This Row],[DM Incubated, mg]]-('3.2 Digest'!V936*1000)</f>
        <v>194.43051798460419</v>
      </c>
      <c r="X936" s="61">
        <f>W936/Table3.110[[#This Row],[DM Incubated, mg]]*100</f>
        <v>43.387029042124723</v>
      </c>
      <c r="Y936" s="30">
        <f>Table3.110[[#This Row],[DM Incubated, mg]]*'2.4 NDF'!R197/100</f>
        <v>236.23680882575525</v>
      </c>
      <c r="Z936" s="37">
        <f t="shared" si="87"/>
        <v>-17.463191174244798</v>
      </c>
      <c r="AA936" s="37">
        <f t="shared" si="88"/>
        <v>-7.3922397026305031</v>
      </c>
      <c r="AB936" s="6"/>
    </row>
    <row r="937" spans="2:28" ht="14.4" customHeight="1" x14ac:dyDescent="0.35">
      <c r="B937" s="230">
        <f t="shared" si="85"/>
        <v>927</v>
      </c>
      <c r="C937" s="9"/>
      <c r="D937" s="248">
        <f>Table3.110[[#This Row],[Date]]</f>
        <v>46078</v>
      </c>
      <c r="E937" s="230" t="str">
        <f>Table3.110[[#This Row],[Requisitioner]]</f>
        <v>Genbank</v>
      </c>
      <c r="F937" s="230" t="str">
        <f>Table3.110[[#This Row],[Gene Bank ID]]</f>
        <v>CIAT18953</v>
      </c>
      <c r="G937" s="230" t="str">
        <f>Table3.110[[#This Row],[Genus]]</f>
        <v>Indigofera</v>
      </c>
      <c r="H937" s="230" t="str">
        <f>Table3.110[[#This Row],[Species]]</f>
        <v>atriceps</v>
      </c>
      <c r="I937" s="230" t="str">
        <f>Table3.110[[#This Row],[Tax Name]]</f>
        <v>Indigofera atriceps</v>
      </c>
      <c r="J937" s="230" t="str">
        <f>Table3.110[[#This Row],[Family]]</f>
        <v>Fabaceae</v>
      </c>
      <c r="K937" s="230" t="str">
        <f>Table3.110[[#This Row],[Order]]</f>
        <v>Fabales</v>
      </c>
      <c r="L937" s="230" t="str">
        <f>Table3.110[[#This Row],[Functional Group]]</f>
        <v>Herbaceous</v>
      </c>
      <c r="M937" s="230" t="str">
        <f>Table3.110[[#This Row],[CIAT ID]]</f>
        <v>F252604</v>
      </c>
      <c r="N937" s="230">
        <f>Table3.110[[#This Row],[Set CIAT]]</f>
        <v>29</v>
      </c>
      <c r="O937" s="230">
        <f>Table3.110[[#This Row],[Batch]]</f>
        <v>70</v>
      </c>
      <c r="P937" s="230">
        <f>Table3.110[[#This Row],[Run]]</f>
        <v>3</v>
      </c>
      <c r="Q937" s="230">
        <f>Table3.110[[#This Row],[Replication]]</f>
        <v>2</v>
      </c>
      <c r="R937" s="230">
        <f>Table3.110[[#This Row],[Syrange No]]</f>
        <v>202</v>
      </c>
      <c r="S937" s="250">
        <v>0.57679999999999998</v>
      </c>
      <c r="T937" s="250">
        <v>0.83340000000000003</v>
      </c>
      <c r="U937" s="265"/>
      <c r="V937" s="283">
        <f t="shared" si="86"/>
        <v>0.25660000000000005</v>
      </c>
      <c r="W937" s="61">
        <f>Table3.110[[#This Row],[DM Incubated, mg]]-('3.2 Digest'!V937*1000)</f>
        <v>191.17237171648463</v>
      </c>
      <c r="X937" s="61">
        <f>W937/Table3.110[[#This Row],[DM Incubated, mg]]*100</f>
        <v>42.694097222579188</v>
      </c>
      <c r="Y937" s="30">
        <f>Table3.110[[#This Row],[DM Incubated, mg]]*'2.4 NDF'!R197/100</f>
        <v>236.04800817934105</v>
      </c>
      <c r="Z937" s="37">
        <f t="shared" si="87"/>
        <v>-20.551991820658969</v>
      </c>
      <c r="AA937" s="37">
        <f t="shared" si="88"/>
        <v>-8.706699954461925</v>
      </c>
      <c r="AB937" s="6"/>
    </row>
    <row r="938" spans="2:28" ht="14.4" customHeight="1" x14ac:dyDescent="0.35">
      <c r="B938" s="230">
        <f t="shared" si="85"/>
        <v>928</v>
      </c>
      <c r="C938" s="9"/>
      <c r="D938" s="248">
        <f>Table3.110[[#This Row],[Date]]</f>
        <v>46078</v>
      </c>
      <c r="E938" s="230" t="str">
        <f>Table3.110[[#This Row],[Requisitioner]]</f>
        <v>Genbank</v>
      </c>
      <c r="F938" s="230" t="str">
        <f>Table3.110[[#This Row],[Gene Bank ID]]</f>
        <v>CIAT18954</v>
      </c>
      <c r="G938" s="230" t="str">
        <f>Table3.110[[#This Row],[Genus]]</f>
        <v>Indigofera</v>
      </c>
      <c r="H938" s="230" t="str">
        <f>Table3.110[[#This Row],[Species]]</f>
        <v>atriceps</v>
      </c>
      <c r="I938" s="230" t="str">
        <f>Table3.110[[#This Row],[Tax Name]]</f>
        <v>Indigofera atriceps</v>
      </c>
      <c r="J938" s="230" t="str">
        <f>Table3.110[[#This Row],[Family]]</f>
        <v>Fabaceae</v>
      </c>
      <c r="K938" s="230" t="str">
        <f>Table3.110[[#This Row],[Order]]</f>
        <v>Fabales</v>
      </c>
      <c r="L938" s="230" t="str">
        <f>Table3.110[[#This Row],[Functional Group]]</f>
        <v>Herbaceous</v>
      </c>
      <c r="M938" s="230" t="str">
        <f>Table3.110[[#This Row],[CIAT ID]]</f>
        <v>F252605</v>
      </c>
      <c r="N938" s="230">
        <f>Table3.110[[#This Row],[Set CIAT]]</f>
        <v>29</v>
      </c>
      <c r="O938" s="230">
        <f>Table3.110[[#This Row],[Batch]]</f>
        <v>70</v>
      </c>
      <c r="P938" s="230">
        <f>Table3.110[[#This Row],[Run]]</f>
        <v>3</v>
      </c>
      <c r="Q938" s="230">
        <f>Table3.110[[#This Row],[Replication]]</f>
        <v>1</v>
      </c>
      <c r="R938" s="230">
        <f>Table3.110[[#This Row],[Syrange No]]</f>
        <v>203</v>
      </c>
      <c r="S938" s="98">
        <v>0.57350000000000001</v>
      </c>
      <c r="T938" s="98">
        <v>0.85809999999999997</v>
      </c>
      <c r="U938" s="110"/>
      <c r="V938" s="283">
        <f t="shared" si="86"/>
        <v>0.28459999999999996</v>
      </c>
      <c r="W938" s="61">
        <f>Table3.110[[#This Row],[DM Incubated, mg]]-('3.2 Digest'!V938*1000)</f>
        <v>180.47706335545178</v>
      </c>
      <c r="X938" s="61">
        <f>W938/Table3.110[[#This Row],[DM Incubated, mg]]*100</f>
        <v>38.805840488744067</v>
      </c>
      <c r="Y938" s="30">
        <f>Table3.110[[#This Row],[DM Incubated, mg]]*'2.4 NDF'!R199/100</f>
        <v>239.70736551167585</v>
      </c>
      <c r="Z938" s="37">
        <f t="shared" si="87"/>
        <v>-44.89263448832412</v>
      </c>
      <c r="AA938" s="37">
        <f t="shared" si="88"/>
        <v>-18.728099736316803</v>
      </c>
      <c r="AB938" s="6"/>
    </row>
    <row r="939" spans="2:28" ht="14.4" customHeight="1" x14ac:dyDescent="0.35">
      <c r="B939" s="230">
        <f t="shared" si="85"/>
        <v>929</v>
      </c>
      <c r="C939" s="9"/>
      <c r="D939" s="248">
        <f>Table3.110[[#This Row],[Date]]</f>
        <v>46078</v>
      </c>
      <c r="E939" s="230" t="str">
        <f>Table3.110[[#This Row],[Requisitioner]]</f>
        <v>Genbank</v>
      </c>
      <c r="F939" s="230" t="str">
        <f>Table3.110[[#This Row],[Gene Bank ID]]</f>
        <v>CIAT18954</v>
      </c>
      <c r="G939" s="230" t="str">
        <f>Table3.110[[#This Row],[Genus]]</f>
        <v>Indigofera</v>
      </c>
      <c r="H939" s="230" t="str">
        <f>Table3.110[[#This Row],[Species]]</f>
        <v>atriceps</v>
      </c>
      <c r="I939" s="230" t="str">
        <f>Table3.110[[#This Row],[Tax Name]]</f>
        <v>Indigofera atriceps</v>
      </c>
      <c r="J939" s="230" t="str">
        <f>Table3.110[[#This Row],[Family]]</f>
        <v>Fabaceae</v>
      </c>
      <c r="K939" s="230" t="str">
        <f>Table3.110[[#This Row],[Order]]</f>
        <v>Fabales</v>
      </c>
      <c r="L939" s="230" t="str">
        <f>Table3.110[[#This Row],[Functional Group]]</f>
        <v>Herbaceous</v>
      </c>
      <c r="M939" s="230" t="str">
        <f>Table3.110[[#This Row],[CIAT ID]]</f>
        <v>F252605</v>
      </c>
      <c r="N939" s="230">
        <f>Table3.110[[#This Row],[Set CIAT]]</f>
        <v>29</v>
      </c>
      <c r="O939" s="230">
        <f>Table3.110[[#This Row],[Batch]]</f>
        <v>70</v>
      </c>
      <c r="P939" s="230">
        <f>Table3.110[[#This Row],[Run]]</f>
        <v>3</v>
      </c>
      <c r="Q939" s="230">
        <f>Table3.110[[#This Row],[Replication]]</f>
        <v>2</v>
      </c>
      <c r="R939" s="230">
        <f>Table3.110[[#This Row],[Syrange No]]</f>
        <v>204</v>
      </c>
      <c r="S939" s="250">
        <v>0.57179999999999997</v>
      </c>
      <c r="T939" s="250">
        <v>0.79890000000000005</v>
      </c>
      <c r="U939" s="265"/>
      <c r="V939" s="283">
        <f t="shared" si="86"/>
        <v>0.22710000000000008</v>
      </c>
      <c r="W939" s="61">
        <f>Table3.110[[#This Row],[DM Incubated, mg]]-('3.2 Digest'!V939*1000)</f>
        <v>237.97706335545166</v>
      </c>
      <c r="X939" s="61">
        <f>W939/Table3.110[[#This Row],[DM Incubated, mg]]*100</f>
        <v>51.169382905810856</v>
      </c>
      <c r="Y939" s="30">
        <f>Table3.110[[#This Row],[DM Incubated, mg]]*'2.4 NDF'!R199/100</f>
        <v>239.70736551167585</v>
      </c>
      <c r="Z939" s="37">
        <f t="shared" si="87"/>
        <v>12.607365511675766</v>
      </c>
      <c r="AA939" s="37">
        <f t="shared" si="88"/>
        <v>5.2594819040142005</v>
      </c>
      <c r="AB939" s="6"/>
    </row>
    <row r="940" spans="2:28" ht="14.4" customHeight="1" x14ac:dyDescent="0.35">
      <c r="B940" s="230">
        <f t="shared" si="85"/>
        <v>930</v>
      </c>
      <c r="C940" s="9"/>
      <c r="D940" s="248">
        <f>Table3.110[[#This Row],[Date]]</f>
        <v>46078</v>
      </c>
      <c r="E940" s="230" t="str">
        <f>Table3.110[[#This Row],[Requisitioner]]</f>
        <v>Genbank</v>
      </c>
      <c r="F940" s="230" t="str">
        <f>Table3.110[[#This Row],[Gene Bank ID]]</f>
        <v>CIAT19198</v>
      </c>
      <c r="G940" s="230" t="str">
        <f>Table3.110[[#This Row],[Genus]]</f>
        <v>Tephrosia</v>
      </c>
      <c r="H940" s="230" t="str">
        <f>Table3.110[[#This Row],[Species]]</f>
        <v>villosa</v>
      </c>
      <c r="I940" s="230" t="str">
        <f>Table3.110[[#This Row],[Tax Name]]</f>
        <v>Tephrosia villosa</v>
      </c>
      <c r="J940" s="230" t="str">
        <f>Table3.110[[#This Row],[Family]]</f>
        <v>Fabaceae</v>
      </c>
      <c r="K940" s="230" t="str">
        <f>Table3.110[[#This Row],[Order]]</f>
        <v>Fabales</v>
      </c>
      <c r="L940" s="230" t="str">
        <f>Table3.110[[#This Row],[Functional Group]]</f>
        <v>Herbaceous</v>
      </c>
      <c r="M940" s="230" t="str">
        <f>Table3.110[[#This Row],[CIAT ID]]</f>
        <v>F252606</v>
      </c>
      <c r="N940" s="230">
        <f>Table3.110[[#This Row],[Set CIAT]]</f>
        <v>29</v>
      </c>
      <c r="O940" s="230">
        <f>Table3.110[[#This Row],[Batch]]</f>
        <v>70</v>
      </c>
      <c r="P940" s="230">
        <f>Table3.110[[#This Row],[Run]]</f>
        <v>3</v>
      </c>
      <c r="Q940" s="230">
        <f>Table3.110[[#This Row],[Replication]]</f>
        <v>1</v>
      </c>
      <c r="R940" s="230">
        <f>Table3.110[[#This Row],[Syrange No]]</f>
        <v>205</v>
      </c>
      <c r="S940" s="98">
        <v>0.59489999999999998</v>
      </c>
      <c r="T940" s="98">
        <v>0.78939999999999999</v>
      </c>
      <c r="U940" s="110"/>
      <c r="V940" s="283">
        <f t="shared" si="86"/>
        <v>0.19450000000000001</v>
      </c>
      <c r="W940" s="61">
        <f>Table3.110[[#This Row],[DM Incubated, mg]]-('3.2 Digest'!V940*1000)</f>
        <v>258.21418385397868</v>
      </c>
      <c r="X940" s="61">
        <f>W940/Table3.110[[#This Row],[DM Incubated, mg]]*100</f>
        <v>57.036910497433126</v>
      </c>
      <c r="Y940" s="30">
        <f>Table3.110[[#This Row],[DM Incubated, mg]]*'2.4 NDF'!R201/100</f>
        <v>234.17073685368621</v>
      </c>
      <c r="Z940" s="37">
        <f t="shared" si="87"/>
        <v>39.670736853686208</v>
      </c>
      <c r="AA940" s="37">
        <f t="shared" si="88"/>
        <v>16.940945477091422</v>
      </c>
      <c r="AB940" s="6"/>
    </row>
    <row r="941" spans="2:28" ht="14.4" customHeight="1" x14ac:dyDescent="0.35">
      <c r="B941" s="230">
        <f t="shared" si="85"/>
        <v>931</v>
      </c>
      <c r="C941" s="9"/>
      <c r="D941" s="248">
        <f>Table3.110[[#This Row],[Date]]</f>
        <v>46078</v>
      </c>
      <c r="E941" s="230" t="str">
        <f>Table3.110[[#This Row],[Requisitioner]]</f>
        <v>Genbank</v>
      </c>
      <c r="F941" s="230" t="str">
        <f>Table3.110[[#This Row],[Gene Bank ID]]</f>
        <v>CIAT19198</v>
      </c>
      <c r="G941" s="230" t="str">
        <f>Table3.110[[#This Row],[Genus]]</f>
        <v>Tephrosia</v>
      </c>
      <c r="H941" s="230" t="str">
        <f>Table3.110[[#This Row],[Species]]</f>
        <v>villosa</v>
      </c>
      <c r="I941" s="230" t="str">
        <f>Table3.110[[#This Row],[Tax Name]]</f>
        <v>Tephrosia villosa</v>
      </c>
      <c r="J941" s="230" t="str">
        <f>Table3.110[[#This Row],[Family]]</f>
        <v>Fabaceae</v>
      </c>
      <c r="K941" s="230" t="str">
        <f>Table3.110[[#This Row],[Order]]</f>
        <v>Fabales</v>
      </c>
      <c r="L941" s="230" t="str">
        <f>Table3.110[[#This Row],[Functional Group]]</f>
        <v>Herbaceous</v>
      </c>
      <c r="M941" s="230" t="str">
        <f>Table3.110[[#This Row],[CIAT ID]]</f>
        <v>F252606</v>
      </c>
      <c r="N941" s="230">
        <f>Table3.110[[#This Row],[Set CIAT]]</f>
        <v>29</v>
      </c>
      <c r="O941" s="230">
        <f>Table3.110[[#This Row],[Batch]]</f>
        <v>70</v>
      </c>
      <c r="P941" s="230">
        <f>Table3.110[[#This Row],[Run]]</f>
        <v>3</v>
      </c>
      <c r="Q941" s="230">
        <f>Table3.110[[#This Row],[Replication]]</f>
        <v>2</v>
      </c>
      <c r="R941" s="230">
        <f>Table3.110[[#This Row],[Syrange No]]</f>
        <v>206</v>
      </c>
      <c r="S941" s="250">
        <v>0.56220000000000003</v>
      </c>
      <c r="T941" s="250">
        <v>0.7601</v>
      </c>
      <c r="U941" s="265"/>
      <c r="V941" s="283">
        <f t="shared" si="86"/>
        <v>0.19789999999999996</v>
      </c>
      <c r="W941" s="61">
        <f>Table3.110[[#This Row],[DM Incubated, mg]]-('3.2 Digest'!V941*1000)</f>
        <v>255.26689803783256</v>
      </c>
      <c r="X941" s="61">
        <f>W941/Table3.110[[#This Row],[DM Incubated, mg]]*100</f>
        <v>56.329555213126284</v>
      </c>
      <c r="Y941" s="30">
        <f>Table3.110[[#This Row],[DM Incubated, mg]]*'2.4 NDF'!R201/100</f>
        <v>234.40490759053984</v>
      </c>
      <c r="Z941" s="37">
        <f t="shared" si="87"/>
        <v>36.504907590539858</v>
      </c>
      <c r="AA941" s="37">
        <f t="shared" si="88"/>
        <v>15.573439978614651</v>
      </c>
      <c r="AB941" s="6"/>
    </row>
    <row r="942" spans="2:28" ht="14.4" customHeight="1" x14ac:dyDescent="0.35">
      <c r="B942" s="230">
        <f t="shared" si="85"/>
        <v>932</v>
      </c>
      <c r="C942" s="9"/>
      <c r="D942" s="248">
        <f>Table3.110[[#This Row],[Date]]</f>
        <v>46078</v>
      </c>
      <c r="E942" s="230" t="str">
        <f>Table3.110[[#This Row],[Requisitioner]]</f>
        <v>Genbank</v>
      </c>
      <c r="F942" s="230" t="str">
        <f>Table3.110[[#This Row],[Gene Bank ID]]</f>
        <v>CIAT19460</v>
      </c>
      <c r="G942" s="230" t="str">
        <f>Table3.110[[#This Row],[Genus]]</f>
        <v>Sesbania</v>
      </c>
      <c r="H942" s="230" t="str">
        <f>Table3.110[[#This Row],[Species]]</f>
        <v>cannabina</v>
      </c>
      <c r="I942" s="230" t="str">
        <f>Table3.110[[#This Row],[Tax Name]]</f>
        <v>Sesbania cannabina</v>
      </c>
      <c r="J942" s="230" t="str">
        <f>Table3.110[[#This Row],[Family]]</f>
        <v>Fabaceae</v>
      </c>
      <c r="K942" s="230" t="str">
        <f>Table3.110[[#This Row],[Order]]</f>
        <v>Fabales</v>
      </c>
      <c r="L942" s="230" t="str">
        <f>Table3.110[[#This Row],[Functional Group]]</f>
        <v>Shurb_Tree</v>
      </c>
      <c r="M942" s="230" t="str">
        <f>Table3.110[[#This Row],[CIAT ID]]</f>
        <v>F252607</v>
      </c>
      <c r="N942" s="230">
        <f>Table3.110[[#This Row],[Set CIAT]]</f>
        <v>29</v>
      </c>
      <c r="O942" s="230">
        <f>Table3.110[[#This Row],[Batch]]</f>
        <v>70</v>
      </c>
      <c r="P942" s="230">
        <f>Table3.110[[#This Row],[Run]]</f>
        <v>3</v>
      </c>
      <c r="Q942" s="230">
        <f>Table3.110[[#This Row],[Replication]]</f>
        <v>1</v>
      </c>
      <c r="R942" s="230">
        <f>Table3.110[[#This Row],[Syrange No]]</f>
        <v>207</v>
      </c>
      <c r="S942" s="98">
        <v>0.56200000000000006</v>
      </c>
      <c r="T942" s="98">
        <v>0.7954</v>
      </c>
      <c r="U942" s="110"/>
      <c r="V942" s="283">
        <f t="shared" si="86"/>
        <v>0.23339999999999994</v>
      </c>
      <c r="W942" s="61">
        <f>Table3.110[[#This Row],[DM Incubated, mg]]-('3.2 Digest'!V942*1000)</f>
        <v>222.22311031328283</v>
      </c>
      <c r="X942" s="61">
        <f>W942/Table3.110[[#This Row],[DM Incubated, mg]]*100</f>
        <v>48.773450091345019</v>
      </c>
      <c r="Y942" s="30">
        <f>Table3.110[[#This Row],[DM Incubated, mg]]*'2.4 NDF'!R203/100</f>
        <v>243.8593408507669</v>
      </c>
      <c r="Z942" s="37">
        <f t="shared" si="87"/>
        <v>10.459340850766949</v>
      </c>
      <c r="AA942" s="37">
        <f t="shared" si="88"/>
        <v>4.2890876413742491</v>
      </c>
      <c r="AB942" s="6"/>
    </row>
    <row r="943" spans="2:28" ht="14.4" customHeight="1" x14ac:dyDescent="0.35">
      <c r="B943" s="230">
        <f t="shared" si="85"/>
        <v>933</v>
      </c>
      <c r="C943" s="9"/>
      <c r="D943" s="248">
        <f>Table3.110[[#This Row],[Date]]</f>
        <v>46078</v>
      </c>
      <c r="E943" s="230" t="str">
        <f>Table3.110[[#This Row],[Requisitioner]]</f>
        <v>Genbank</v>
      </c>
      <c r="F943" s="230" t="str">
        <f>Table3.110[[#This Row],[Gene Bank ID]]</f>
        <v>CIAT19460</v>
      </c>
      <c r="G943" s="230" t="str">
        <f>Table3.110[[#This Row],[Genus]]</f>
        <v>Sesbania</v>
      </c>
      <c r="H943" s="230" t="str">
        <f>Table3.110[[#This Row],[Species]]</f>
        <v>cannabina</v>
      </c>
      <c r="I943" s="230" t="str">
        <f>Table3.110[[#This Row],[Tax Name]]</f>
        <v>Sesbania cannabina</v>
      </c>
      <c r="J943" s="230" t="str">
        <f>Table3.110[[#This Row],[Family]]</f>
        <v>Fabaceae</v>
      </c>
      <c r="K943" s="230" t="str">
        <f>Table3.110[[#This Row],[Order]]</f>
        <v>Fabales</v>
      </c>
      <c r="L943" s="230" t="str">
        <f>Table3.110[[#This Row],[Functional Group]]</f>
        <v>Shurb_Tree</v>
      </c>
      <c r="M943" s="230" t="str">
        <f>Table3.110[[#This Row],[CIAT ID]]</f>
        <v>F252607</v>
      </c>
      <c r="N943" s="230">
        <f>Table3.110[[#This Row],[Set CIAT]]</f>
        <v>29</v>
      </c>
      <c r="O943" s="230">
        <f>Table3.110[[#This Row],[Batch]]</f>
        <v>70</v>
      </c>
      <c r="P943" s="230">
        <f>Table3.110[[#This Row],[Run]]</f>
        <v>3</v>
      </c>
      <c r="Q943" s="230">
        <f>Table3.110[[#This Row],[Replication]]</f>
        <v>2</v>
      </c>
      <c r="R943" s="230">
        <f>Table3.110[[#This Row],[Syrange No]]</f>
        <v>208</v>
      </c>
      <c r="S943" s="250">
        <v>0.56910000000000005</v>
      </c>
      <c r="T943" s="250">
        <v>0.75060000000000004</v>
      </c>
      <c r="U943" s="265"/>
      <c r="V943" s="283">
        <f t="shared" si="86"/>
        <v>0.18149999999999999</v>
      </c>
      <c r="W943" s="61">
        <f>Table3.110[[#This Row],[DM Incubated, mg]]-('3.2 Digest'!V943*1000)</f>
        <v>274.03207672480863</v>
      </c>
      <c r="X943" s="61">
        <f>W943/Table3.110[[#This Row],[DM Incubated, mg]]*100</f>
        <v>60.156483094461443</v>
      </c>
      <c r="Y943" s="30">
        <f>Table3.110[[#This Row],[DM Incubated, mg]]*'2.4 NDF'!R203/100</f>
        <v>243.81061770574178</v>
      </c>
      <c r="Z943" s="37">
        <f t="shared" si="87"/>
        <v>62.310617705741777</v>
      </c>
      <c r="AA943" s="37">
        <f t="shared" si="88"/>
        <v>25.556974627309003</v>
      </c>
      <c r="AB943" s="6"/>
    </row>
    <row r="944" spans="2:28" ht="14.4" customHeight="1" x14ac:dyDescent="0.35">
      <c r="B944" s="230">
        <f t="shared" si="85"/>
        <v>934</v>
      </c>
      <c r="C944" s="9"/>
      <c r="D944" s="248">
        <f>Table3.110[[#This Row],[Date]]</f>
        <v>46078</v>
      </c>
      <c r="E944" s="230" t="str">
        <f>Table3.110[[#This Row],[Requisitioner]]</f>
        <v>Genbank</v>
      </c>
      <c r="F944" s="230" t="str">
        <f>Table3.110[[#This Row],[Gene Bank ID]]</f>
        <v>CIAT20044</v>
      </c>
      <c r="G944" s="230" t="str">
        <f>Table3.110[[#This Row],[Genus]]</f>
        <v>Tephrosia</v>
      </c>
      <c r="H944" s="230" t="str">
        <f>Table3.110[[#This Row],[Species]]</f>
        <v>purpurea</v>
      </c>
      <c r="I944" s="230" t="str">
        <f>Table3.110[[#This Row],[Tax Name]]</f>
        <v>Tephrosia purpurea</v>
      </c>
      <c r="J944" s="230" t="str">
        <f>Table3.110[[#This Row],[Family]]</f>
        <v>Fabaceae</v>
      </c>
      <c r="K944" s="230" t="str">
        <f>Table3.110[[#This Row],[Order]]</f>
        <v>Fabales</v>
      </c>
      <c r="L944" s="230" t="str">
        <f>Table3.110[[#This Row],[Functional Group]]</f>
        <v>Herbaceous</v>
      </c>
      <c r="M944" s="230" t="str">
        <f>Table3.110[[#This Row],[CIAT ID]]</f>
        <v>F252608</v>
      </c>
      <c r="N944" s="230">
        <f>Table3.110[[#This Row],[Set CIAT]]</f>
        <v>29</v>
      </c>
      <c r="O944" s="230">
        <f>Table3.110[[#This Row],[Batch]]</f>
        <v>70</v>
      </c>
      <c r="P944" s="230">
        <f>Table3.110[[#This Row],[Run]]</f>
        <v>3</v>
      </c>
      <c r="Q944" s="230">
        <f>Table3.110[[#This Row],[Replication]]</f>
        <v>1</v>
      </c>
      <c r="R944" s="230">
        <f>Table3.110[[#This Row],[Syrange No]]</f>
        <v>209</v>
      </c>
      <c r="S944" s="98">
        <v>0.54310000000000003</v>
      </c>
      <c r="T944" s="98">
        <v>0.67510000000000003</v>
      </c>
      <c r="U944" s="110"/>
      <c r="V944" s="283">
        <f t="shared" si="86"/>
        <v>0.13200000000000001</v>
      </c>
      <c r="W944" s="61">
        <f>Table3.110[[#This Row],[DM Incubated, mg]]-('3.2 Digest'!V944*1000)</f>
        <v>329.24958622314131</v>
      </c>
      <c r="X944" s="61">
        <f>W944/Table3.110[[#This Row],[DM Incubated, mg]]*100</f>
        <v>71.382088148661964</v>
      </c>
      <c r="Y944" s="30">
        <f>Table3.110[[#This Row],[DM Incubated, mg]]*'2.4 NDF'!R205/100</f>
        <v>217.24149815035281</v>
      </c>
      <c r="Z944" s="37">
        <f t="shared" si="87"/>
        <v>85.241498150352811</v>
      </c>
      <c r="AA944" s="37">
        <f t="shared" si="88"/>
        <v>39.23812847734883</v>
      </c>
      <c r="AB944" s="6"/>
    </row>
    <row r="945" spans="2:28" ht="14.4" customHeight="1" x14ac:dyDescent="0.35">
      <c r="B945" s="230">
        <f t="shared" si="85"/>
        <v>935</v>
      </c>
      <c r="C945" s="9"/>
      <c r="D945" s="248">
        <f>Table3.110[[#This Row],[Date]]</f>
        <v>46078</v>
      </c>
      <c r="E945" s="230" t="str">
        <f>Table3.110[[#This Row],[Requisitioner]]</f>
        <v>Genbank</v>
      </c>
      <c r="F945" s="230" t="str">
        <f>Table3.110[[#This Row],[Gene Bank ID]]</f>
        <v>CIAT20044</v>
      </c>
      <c r="G945" s="230" t="str">
        <f>Table3.110[[#This Row],[Genus]]</f>
        <v>Tephrosia</v>
      </c>
      <c r="H945" s="230" t="str">
        <f>Table3.110[[#This Row],[Species]]</f>
        <v>purpurea</v>
      </c>
      <c r="I945" s="230" t="str">
        <f>Table3.110[[#This Row],[Tax Name]]</f>
        <v>Tephrosia purpurea</v>
      </c>
      <c r="J945" s="230" t="str">
        <f>Table3.110[[#This Row],[Family]]</f>
        <v>Fabaceae</v>
      </c>
      <c r="K945" s="230" t="str">
        <f>Table3.110[[#This Row],[Order]]</f>
        <v>Fabales</v>
      </c>
      <c r="L945" s="230" t="str">
        <f>Table3.110[[#This Row],[Functional Group]]</f>
        <v>Herbaceous</v>
      </c>
      <c r="M945" s="230" t="str">
        <f>Table3.110[[#This Row],[CIAT ID]]</f>
        <v>F252608</v>
      </c>
      <c r="N945" s="230">
        <f>Table3.110[[#This Row],[Set CIAT]]</f>
        <v>29</v>
      </c>
      <c r="O945" s="230">
        <f>Table3.110[[#This Row],[Batch]]</f>
        <v>70</v>
      </c>
      <c r="P945" s="230">
        <f>Table3.110[[#This Row],[Run]]</f>
        <v>3</v>
      </c>
      <c r="Q945" s="230">
        <f>Table3.110[[#This Row],[Replication]]</f>
        <v>2</v>
      </c>
      <c r="R945" s="230">
        <f>Table3.110[[#This Row],[Syrange No]]</f>
        <v>210</v>
      </c>
      <c r="S945" s="106">
        <v>0.57630000000000003</v>
      </c>
      <c r="T945" s="106">
        <v>0.76019999999999999</v>
      </c>
      <c r="U945" s="241"/>
      <c r="V945" s="283">
        <f t="shared" si="86"/>
        <v>0.18389999999999995</v>
      </c>
      <c r="W945" s="61">
        <f>Table3.110[[#This Row],[DM Incubated, mg]]-('3.2 Digest'!V945*1000)</f>
        <v>277.16523387053428</v>
      </c>
      <c r="X945" s="61">
        <f>W945/Table3.110[[#This Row],[DM Incubated, mg]]*100</f>
        <v>60.114103929241715</v>
      </c>
      <c r="Y945" s="30">
        <f>Table3.110[[#This Row],[DM Incubated, mg]]*'2.4 NDF'!R205/100</f>
        <v>217.15467101280271</v>
      </c>
      <c r="Z945" s="37">
        <f t="shared" si="87"/>
        <v>33.25467101280276</v>
      </c>
      <c r="AA945" s="37">
        <f t="shared" si="88"/>
        <v>15.313817961043158</v>
      </c>
      <c r="AB945" s="6"/>
    </row>
    <row r="946" spans="2:28" ht="14.4" customHeight="1" x14ac:dyDescent="0.35">
      <c r="B946" s="230">
        <f t="shared" si="85"/>
        <v>936</v>
      </c>
      <c r="C946" s="9"/>
      <c r="D946" s="248">
        <f>Table3.110[[#This Row],[Date]]</f>
        <v>46078</v>
      </c>
      <c r="E946" s="230" t="str">
        <f>Table3.110[[#This Row],[Requisitioner]]</f>
        <v>Genbank</v>
      </c>
      <c r="F946" s="230" t="str">
        <f>Table3.110[[#This Row],[Gene Bank ID]]</f>
        <v>CIAT22423</v>
      </c>
      <c r="G946" s="230" t="str">
        <f>Table3.110[[#This Row],[Genus]]</f>
        <v>Vigna</v>
      </c>
      <c r="H946" s="230" t="str">
        <f>Table3.110[[#This Row],[Species]]</f>
        <v>unguiculata</v>
      </c>
      <c r="I946" s="230" t="str">
        <f>Table3.110[[#This Row],[Tax Name]]</f>
        <v>Vigna unguiculata</v>
      </c>
      <c r="J946" s="230" t="str">
        <f>Table3.110[[#This Row],[Family]]</f>
        <v>Fabaceae</v>
      </c>
      <c r="K946" s="230" t="str">
        <f>Table3.110[[#This Row],[Order]]</f>
        <v>Fabales</v>
      </c>
      <c r="L946" s="230" t="str">
        <f>Table3.110[[#This Row],[Functional Group]]</f>
        <v>Herbaceous</v>
      </c>
      <c r="M946" s="230" t="str">
        <f>Table3.110[[#This Row],[CIAT ID]]</f>
        <v>F252609</v>
      </c>
      <c r="N946" s="230">
        <f>Table3.110[[#This Row],[Set CIAT]]</f>
        <v>29</v>
      </c>
      <c r="O946" s="230">
        <f>Table3.110[[#This Row],[Batch]]</f>
        <v>70</v>
      </c>
      <c r="P946" s="230">
        <f>Table3.110[[#This Row],[Run]]</f>
        <v>3</v>
      </c>
      <c r="Q946" s="230">
        <f>Table3.110[[#This Row],[Replication]]</f>
        <v>1</v>
      </c>
      <c r="R946" s="230">
        <f>Table3.110[[#This Row],[Syrange No]]</f>
        <v>211</v>
      </c>
      <c r="S946" s="106">
        <v>0.57709999999999995</v>
      </c>
      <c r="T946" s="106">
        <v>0.70240000000000002</v>
      </c>
      <c r="U946" s="241"/>
      <c r="V946" s="283">
        <f t="shared" si="86"/>
        <v>0.12530000000000008</v>
      </c>
      <c r="W946" s="61">
        <f>Table3.110[[#This Row],[DM Incubated, mg]]-('3.2 Digest'!V946*1000)</f>
        <v>328.0014618576281</v>
      </c>
      <c r="X946" s="61">
        <f>W946/Table3.110[[#This Row],[DM Incubated, mg]]*100</f>
        <v>72.358350779077355</v>
      </c>
      <c r="Y946" s="30">
        <f>Table3.110[[#This Row],[DM Incubated, mg]]*'2.4 NDF'!R207/100</f>
        <v>218.00042610120846</v>
      </c>
      <c r="Z946" s="37">
        <f t="shared" si="87"/>
        <v>92.700426101208379</v>
      </c>
      <c r="AA946" s="37">
        <f t="shared" si="88"/>
        <v>42.523048123846998</v>
      </c>
      <c r="AB946" s="6"/>
    </row>
    <row r="947" spans="2:28" ht="14.4" customHeight="1" x14ac:dyDescent="0.35">
      <c r="B947" s="230">
        <f t="shared" si="85"/>
        <v>937</v>
      </c>
      <c r="C947" s="9"/>
      <c r="D947" s="248">
        <f>Table3.110[[#This Row],[Date]]</f>
        <v>46078</v>
      </c>
      <c r="E947" s="230" t="str">
        <f>Table3.110[[#This Row],[Requisitioner]]</f>
        <v>Genbank</v>
      </c>
      <c r="F947" s="230" t="str">
        <f>Table3.110[[#This Row],[Gene Bank ID]]</f>
        <v>CIAT22423</v>
      </c>
      <c r="G947" s="230" t="str">
        <f>Table3.110[[#This Row],[Genus]]</f>
        <v>Vigna</v>
      </c>
      <c r="H947" s="230" t="str">
        <f>Table3.110[[#This Row],[Species]]</f>
        <v>unguiculata</v>
      </c>
      <c r="I947" s="230" t="str">
        <f>Table3.110[[#This Row],[Tax Name]]</f>
        <v>Vigna unguiculata</v>
      </c>
      <c r="J947" s="230" t="str">
        <f>Table3.110[[#This Row],[Family]]</f>
        <v>Fabaceae</v>
      </c>
      <c r="K947" s="230" t="str">
        <f>Table3.110[[#This Row],[Order]]</f>
        <v>Fabales</v>
      </c>
      <c r="L947" s="230" t="str">
        <f>Table3.110[[#This Row],[Functional Group]]</f>
        <v>Herbaceous</v>
      </c>
      <c r="M947" s="230" t="str">
        <f>Table3.110[[#This Row],[CIAT ID]]</f>
        <v>F252609</v>
      </c>
      <c r="N947" s="230">
        <f>Table3.110[[#This Row],[Set CIAT]]</f>
        <v>29</v>
      </c>
      <c r="O947" s="230">
        <f>Table3.110[[#This Row],[Batch]]</f>
        <v>70</v>
      </c>
      <c r="P947" s="230">
        <f>Table3.110[[#This Row],[Run]]</f>
        <v>3</v>
      </c>
      <c r="Q947" s="230">
        <f>Table3.110[[#This Row],[Replication]]</f>
        <v>2</v>
      </c>
      <c r="R947" s="230">
        <f>Table3.110[[#This Row],[Syrange No]]</f>
        <v>212</v>
      </c>
      <c r="S947" s="250">
        <v>0.5716</v>
      </c>
      <c r="T947" s="250">
        <v>0.68830000000000002</v>
      </c>
      <c r="U947" s="265"/>
      <c r="V947" s="283">
        <f t="shared" si="86"/>
        <v>0.11670000000000003</v>
      </c>
      <c r="W947" s="61">
        <f>Table3.110[[#This Row],[DM Incubated, mg]]-('3.2 Digest'!V947*1000)</f>
        <v>336.51085592881384</v>
      </c>
      <c r="X947" s="61">
        <f>W947/Table3.110[[#This Row],[DM Incubated, mg]]*100</f>
        <v>74.250396151514479</v>
      </c>
      <c r="Y947" s="30">
        <f>Table3.110[[#This Row],[DM Incubated, mg]]*'2.4 NDF'!R207/100</f>
        <v>217.95685216035272</v>
      </c>
      <c r="Z947" s="37">
        <f t="shared" si="87"/>
        <v>101.25685216035269</v>
      </c>
      <c r="AA947" s="37">
        <f t="shared" si="88"/>
        <v>46.457292421280314</v>
      </c>
      <c r="AB947" s="6"/>
    </row>
    <row r="948" spans="2:28" ht="14.4" customHeight="1" x14ac:dyDescent="0.35">
      <c r="B948" s="230">
        <f t="shared" si="85"/>
        <v>938</v>
      </c>
      <c r="C948" s="9"/>
      <c r="D948" s="248">
        <f>Table3.110[[#This Row],[Date]]</f>
        <v>46078</v>
      </c>
      <c r="E948" s="230" t="str">
        <f>Table3.110[[#This Row],[Requisitioner]]</f>
        <v>Genbank</v>
      </c>
      <c r="F948" s="230" t="str">
        <f>Table3.110[[#This Row],[Gene Bank ID]]</f>
        <v>CIAT22480</v>
      </c>
      <c r="G948" s="230" t="str">
        <f>Table3.110[[#This Row],[Genus]]</f>
        <v>Sesbania</v>
      </c>
      <c r="H948" s="230" t="str">
        <f>Table3.110[[#This Row],[Species]]</f>
        <v>cannabina</v>
      </c>
      <c r="I948" s="230" t="str">
        <f>Table3.110[[#This Row],[Tax Name]]</f>
        <v>Sesbania cannabina</v>
      </c>
      <c r="J948" s="230" t="str">
        <f>Table3.110[[#This Row],[Family]]</f>
        <v>Fabaceae</v>
      </c>
      <c r="K948" s="230" t="str">
        <f>Table3.110[[#This Row],[Order]]</f>
        <v>Fabales</v>
      </c>
      <c r="L948" s="230" t="str">
        <f>Table3.110[[#This Row],[Functional Group]]</f>
        <v>Shurb_Tree</v>
      </c>
      <c r="M948" s="230" t="str">
        <f>Table3.110[[#This Row],[CIAT ID]]</f>
        <v>F252610</v>
      </c>
      <c r="N948" s="230">
        <f>Table3.110[[#This Row],[Set CIAT]]</f>
        <v>29</v>
      </c>
      <c r="O948" s="230">
        <f>Table3.110[[#This Row],[Batch]]</f>
        <v>70</v>
      </c>
      <c r="P948" s="230">
        <f>Table3.110[[#This Row],[Run]]</f>
        <v>3</v>
      </c>
      <c r="Q948" s="230">
        <f>Table3.110[[#This Row],[Replication]]</f>
        <v>1</v>
      </c>
      <c r="R948" s="230">
        <f>Table3.110[[#This Row],[Syrange No]]</f>
        <v>213</v>
      </c>
      <c r="S948" s="98">
        <v>0.57989999999999997</v>
      </c>
      <c r="T948" s="98">
        <v>0.75260000000000005</v>
      </c>
      <c r="U948" s="110"/>
      <c r="V948" s="283">
        <f t="shared" si="86"/>
        <v>0.17270000000000008</v>
      </c>
      <c r="W948" s="61">
        <f>Table3.110[[#This Row],[DM Incubated, mg]]-('3.2 Digest'!V948*1000)</f>
        <v>289.69566355139455</v>
      </c>
      <c r="X948" s="61">
        <f>W948/Table3.110[[#This Row],[DM Incubated, mg]]*100</f>
        <v>62.651033819480283</v>
      </c>
      <c r="Y948" s="30">
        <f>Table3.110[[#This Row],[DM Incubated, mg]]*'2.4 NDF'!R209/100</f>
        <v>210.42325487848265</v>
      </c>
      <c r="Z948" s="37">
        <f t="shared" si="87"/>
        <v>37.723254878482578</v>
      </c>
      <c r="AA948" s="37">
        <f t="shared" si="88"/>
        <v>17.927322196525942</v>
      </c>
      <c r="AB948" s="6"/>
    </row>
    <row r="949" spans="2:28" ht="14.4" customHeight="1" x14ac:dyDescent="0.35">
      <c r="B949" s="230">
        <f t="shared" si="85"/>
        <v>939</v>
      </c>
      <c r="C949" s="9"/>
      <c r="D949" s="248">
        <f>Table3.110[[#This Row],[Date]]</f>
        <v>46078</v>
      </c>
      <c r="E949" s="230" t="str">
        <f>Table3.110[[#This Row],[Requisitioner]]</f>
        <v>Genbank</v>
      </c>
      <c r="F949" s="230" t="str">
        <f>Table3.110[[#This Row],[Gene Bank ID]]</f>
        <v>CIAT22480</v>
      </c>
      <c r="G949" s="230" t="str">
        <f>Table3.110[[#This Row],[Genus]]</f>
        <v>Sesbania</v>
      </c>
      <c r="H949" s="230" t="str">
        <f>Table3.110[[#This Row],[Species]]</f>
        <v>cannabina</v>
      </c>
      <c r="I949" s="230" t="str">
        <f>Table3.110[[#This Row],[Tax Name]]</f>
        <v>Sesbania cannabina</v>
      </c>
      <c r="J949" s="230" t="str">
        <f>Table3.110[[#This Row],[Family]]</f>
        <v>Fabaceae</v>
      </c>
      <c r="K949" s="230" t="str">
        <f>Table3.110[[#This Row],[Order]]</f>
        <v>Fabales</v>
      </c>
      <c r="L949" s="230" t="str">
        <f>Table3.110[[#This Row],[Functional Group]]</f>
        <v>Shurb_Tree</v>
      </c>
      <c r="M949" s="230" t="str">
        <f>Table3.110[[#This Row],[CIAT ID]]</f>
        <v>F252610</v>
      </c>
      <c r="N949" s="230">
        <f>Table3.110[[#This Row],[Set CIAT]]</f>
        <v>29</v>
      </c>
      <c r="O949" s="230">
        <f>Table3.110[[#This Row],[Batch]]</f>
        <v>70</v>
      </c>
      <c r="P949" s="230">
        <f>Table3.110[[#This Row],[Run]]</f>
        <v>3</v>
      </c>
      <c r="Q949" s="230">
        <f>Table3.110[[#This Row],[Replication]]</f>
        <v>2</v>
      </c>
      <c r="R949" s="230">
        <f>Table3.110[[#This Row],[Syrange No]]</f>
        <v>214</v>
      </c>
      <c r="S949" s="250">
        <v>0.5696</v>
      </c>
      <c r="T949" s="250">
        <v>0.74160000000000004</v>
      </c>
      <c r="U949" s="265"/>
      <c r="V949" s="283">
        <f t="shared" si="86"/>
        <v>0.17200000000000004</v>
      </c>
      <c r="W949" s="61">
        <f>Table3.110[[#This Row],[DM Incubated, mg]]-('3.2 Digest'!V949*1000)</f>
        <v>290.5806218168151</v>
      </c>
      <c r="X949" s="61">
        <f>W949/Table3.110[[#This Row],[DM Incubated, mg]]*100</f>
        <v>62.817292405276518</v>
      </c>
      <c r="Y949" s="30">
        <f>Table3.110[[#This Row],[DM Incubated, mg]]*'2.4 NDF'!R209/100</f>
        <v>210.50742418043401</v>
      </c>
      <c r="Z949" s="37">
        <f t="shared" si="87"/>
        <v>38.507424180433986</v>
      </c>
      <c r="AA949" s="37">
        <f t="shared" si="88"/>
        <v>18.292667980882133</v>
      </c>
      <c r="AB949" s="6"/>
    </row>
    <row r="950" spans="2:28" ht="14.4" customHeight="1" x14ac:dyDescent="0.35">
      <c r="B950" s="230">
        <f t="shared" si="85"/>
        <v>940</v>
      </c>
      <c r="C950" s="9"/>
      <c r="D950" s="248">
        <f>Table3.110[[#This Row],[Date]]</f>
        <v>46078</v>
      </c>
      <c r="E950" s="230" t="str">
        <f>Table3.110[[#This Row],[Requisitioner]]</f>
        <v>Genbank</v>
      </c>
      <c r="F950" s="230" t="str">
        <f>Table3.110[[#This Row],[Gene Bank ID]]</f>
        <v>CIAT23116</v>
      </c>
      <c r="G950" s="230" t="str">
        <f>Table3.110[[#This Row],[Genus]]</f>
        <v>Desmodium</v>
      </c>
      <c r="H950" s="230" t="str">
        <f>Table3.110[[#This Row],[Species]]</f>
        <v>tortuosum</v>
      </c>
      <c r="I950" s="230" t="str">
        <f>Table3.110[[#This Row],[Tax Name]]</f>
        <v>Desmodium tortuosum</v>
      </c>
      <c r="J950" s="230" t="str">
        <f>Table3.110[[#This Row],[Family]]</f>
        <v>Fabaceae</v>
      </c>
      <c r="K950" s="230" t="str">
        <f>Table3.110[[#This Row],[Order]]</f>
        <v>Fabales</v>
      </c>
      <c r="L950" s="230" t="str">
        <f>Table3.110[[#This Row],[Functional Group]]</f>
        <v>Shurb_Tree</v>
      </c>
      <c r="M950" s="230" t="str">
        <f>Table3.110[[#This Row],[CIAT ID]]</f>
        <v>F252611</v>
      </c>
      <c r="N950" s="230">
        <f>Table3.110[[#This Row],[Set CIAT]]</f>
        <v>29</v>
      </c>
      <c r="O950" s="230">
        <f>Table3.110[[#This Row],[Batch]]</f>
        <v>70</v>
      </c>
      <c r="P950" s="230">
        <f>Table3.110[[#This Row],[Run]]</f>
        <v>3</v>
      </c>
      <c r="Q950" s="230">
        <f>Table3.110[[#This Row],[Replication]]</f>
        <v>1</v>
      </c>
      <c r="R950" s="230">
        <f>Table3.110[[#This Row],[Syrange No]]</f>
        <v>215</v>
      </c>
      <c r="S950" s="98">
        <v>0.58509999999999995</v>
      </c>
      <c r="T950" s="98">
        <v>0.87419999999999998</v>
      </c>
      <c r="U950" s="110"/>
      <c r="V950" s="283">
        <f t="shared" si="86"/>
        <v>0.28910000000000002</v>
      </c>
      <c r="W950" s="61">
        <f>Table3.110[[#This Row],[DM Incubated, mg]]-('3.2 Digest'!V950*1000)</f>
        <v>174.28410370925855</v>
      </c>
      <c r="X950" s="61">
        <f>W950/Table3.110[[#This Row],[DM Incubated, mg]]*100</f>
        <v>37.611152888966984</v>
      </c>
      <c r="Y950" s="30">
        <f>Table3.110[[#This Row],[DM Incubated, mg]]*'2.4 NDF'!R211/100</f>
        <v>276.96357902643933</v>
      </c>
      <c r="Z950" s="37">
        <f t="shared" si="87"/>
        <v>-12.136420973560689</v>
      </c>
      <c r="AA950" s="37">
        <f t="shared" si="88"/>
        <v>-4.3819555683897811</v>
      </c>
      <c r="AB950" s="6"/>
    </row>
    <row r="951" spans="2:28" ht="14.4" customHeight="1" x14ac:dyDescent="0.35">
      <c r="B951" s="230">
        <f t="shared" si="85"/>
        <v>941</v>
      </c>
      <c r="C951" s="9"/>
      <c r="D951" s="248">
        <f>Table3.110[[#This Row],[Date]]</f>
        <v>46078</v>
      </c>
      <c r="E951" s="230" t="str">
        <f>Table3.110[[#This Row],[Requisitioner]]</f>
        <v>Genbank</v>
      </c>
      <c r="F951" s="230" t="str">
        <f>Table3.110[[#This Row],[Gene Bank ID]]</f>
        <v>CIAT23116</v>
      </c>
      <c r="G951" s="230" t="str">
        <f>Table3.110[[#This Row],[Genus]]</f>
        <v>Desmodium</v>
      </c>
      <c r="H951" s="230" t="str">
        <f>Table3.110[[#This Row],[Species]]</f>
        <v>tortuosum</v>
      </c>
      <c r="I951" s="230" t="str">
        <f>Table3.110[[#This Row],[Tax Name]]</f>
        <v>Desmodium tortuosum</v>
      </c>
      <c r="J951" s="230" t="str">
        <f>Table3.110[[#This Row],[Family]]</f>
        <v>Fabaceae</v>
      </c>
      <c r="K951" s="230" t="str">
        <f>Table3.110[[#This Row],[Order]]</f>
        <v>Fabales</v>
      </c>
      <c r="L951" s="230" t="str">
        <f>Table3.110[[#This Row],[Functional Group]]</f>
        <v>Shurb_Tree</v>
      </c>
      <c r="M951" s="230" t="str">
        <f>Table3.110[[#This Row],[CIAT ID]]</f>
        <v>F252611</v>
      </c>
      <c r="N951" s="230">
        <f>Table3.110[[#This Row],[Set CIAT]]</f>
        <v>29</v>
      </c>
      <c r="O951" s="230">
        <f>Table3.110[[#This Row],[Batch]]</f>
        <v>70</v>
      </c>
      <c r="P951" s="230">
        <f>Table3.110[[#This Row],[Run]]</f>
        <v>3</v>
      </c>
      <c r="Q951" s="230">
        <f>Table3.110[[#This Row],[Replication]]</f>
        <v>2</v>
      </c>
      <c r="R951" s="230">
        <f>Table3.110[[#This Row],[Syrange No]]</f>
        <v>216</v>
      </c>
      <c r="S951" s="250">
        <v>0.57830000000000004</v>
      </c>
      <c r="T951" s="250">
        <v>0.84530000000000005</v>
      </c>
      <c r="U951" s="265"/>
      <c r="V951" s="283">
        <f t="shared" si="86"/>
        <v>0.26700000000000002</v>
      </c>
      <c r="W951" s="61">
        <f>Table3.110[[#This Row],[DM Incubated, mg]]-('3.2 Digest'!V951*1000)</f>
        <v>196.01384074185205</v>
      </c>
      <c r="X951" s="61">
        <f>W951/Table3.110[[#This Row],[DM Incubated, mg]]*100</f>
        <v>42.334337225814657</v>
      </c>
      <c r="Y951" s="30">
        <f>Table3.110[[#This Row],[DM Incubated, mg]]*'2.4 NDF'!R211/100</f>
        <v>276.74227372957444</v>
      </c>
      <c r="Z951" s="37">
        <f t="shared" si="87"/>
        <v>9.7422737295744355</v>
      </c>
      <c r="AA951" s="37">
        <f t="shared" si="88"/>
        <v>3.520341723828698</v>
      </c>
      <c r="AB951" s="6"/>
    </row>
    <row r="952" spans="2:28" ht="14.4" customHeight="1" x14ac:dyDescent="0.35">
      <c r="B952" s="230">
        <f t="shared" si="85"/>
        <v>942</v>
      </c>
      <c r="C952" s="9"/>
      <c r="D952" s="248">
        <f>Table3.110[[#This Row],[Date]]</f>
        <v>46078</v>
      </c>
      <c r="E952" s="230" t="str">
        <f>Table3.110[[#This Row],[Requisitioner]]</f>
        <v>Genbank</v>
      </c>
      <c r="F952" s="230" t="str">
        <f>Table3.110[[#This Row],[Gene Bank ID]]</f>
        <v>CIAT23416</v>
      </c>
      <c r="G952" s="230" t="str">
        <f>Table3.110[[#This Row],[Genus]]</f>
        <v>Codariocalyx</v>
      </c>
      <c r="H952" s="230" t="str">
        <f>Table3.110[[#This Row],[Species]]</f>
        <v>motorius</v>
      </c>
      <c r="I952" s="230" t="str">
        <f>Table3.110[[#This Row],[Tax Name]]</f>
        <v>Codariocalyx motorius</v>
      </c>
      <c r="J952" s="230" t="str">
        <f>Table3.110[[#This Row],[Family]]</f>
        <v>Fabaceae</v>
      </c>
      <c r="K952" s="230" t="str">
        <f>Table3.110[[#This Row],[Order]]</f>
        <v>Fabales</v>
      </c>
      <c r="L952" s="230" t="str">
        <f>Table3.110[[#This Row],[Functional Group]]</f>
        <v>Shurb_Tree</v>
      </c>
      <c r="M952" s="230" t="str">
        <f>Table3.110[[#This Row],[CIAT ID]]</f>
        <v>F252612</v>
      </c>
      <c r="N952" s="230">
        <f>Table3.110[[#This Row],[Set CIAT]]</f>
        <v>29</v>
      </c>
      <c r="O952" s="230">
        <f>Table3.110[[#This Row],[Batch]]</f>
        <v>70</v>
      </c>
      <c r="P952" s="230">
        <f>Table3.110[[#This Row],[Run]]</f>
        <v>3</v>
      </c>
      <c r="Q952" s="230">
        <f>Table3.110[[#This Row],[Replication]]</f>
        <v>1</v>
      </c>
      <c r="R952" s="230">
        <f>Table3.110[[#This Row],[Syrange No]]</f>
        <v>217</v>
      </c>
      <c r="S952" s="98">
        <v>0.57410000000000005</v>
      </c>
      <c r="T952" s="98">
        <v>0.82230000000000003</v>
      </c>
      <c r="U952" s="110"/>
      <c r="V952" s="283">
        <f t="shared" si="86"/>
        <v>0.24819999999999998</v>
      </c>
      <c r="W952" s="61">
        <f>Table3.110[[#This Row],[DM Incubated, mg]]-('3.2 Digest'!V952*1000)</f>
        <v>215.93037481259398</v>
      </c>
      <c r="X952" s="61">
        <f>W952/Table3.110[[#This Row],[DM Incubated, mg]]*100</f>
        <v>46.523646486137025</v>
      </c>
      <c r="Y952" s="30">
        <f>Table3.110[[#This Row],[DM Incubated, mg]]*'2.4 NDF'!R213/100</f>
        <v>263.63580421773071</v>
      </c>
      <c r="Z952" s="37">
        <f t="shared" si="87"/>
        <v>15.43580421773072</v>
      </c>
      <c r="AA952" s="37">
        <f t="shared" si="88"/>
        <v>5.854972644376728</v>
      </c>
      <c r="AB952" s="6"/>
    </row>
    <row r="953" spans="2:28" ht="14.4" customHeight="1" x14ac:dyDescent="0.35">
      <c r="B953" s="230">
        <f t="shared" si="85"/>
        <v>943</v>
      </c>
      <c r="C953" s="9"/>
      <c r="D953" s="248">
        <f>Table3.110[[#This Row],[Date]]</f>
        <v>46078</v>
      </c>
      <c r="E953" s="230" t="str">
        <f>Table3.110[[#This Row],[Requisitioner]]</f>
        <v>Genbank</v>
      </c>
      <c r="F953" s="230" t="str">
        <f>Table3.110[[#This Row],[Gene Bank ID]]</f>
        <v>CIAT23416</v>
      </c>
      <c r="G953" s="230" t="str">
        <f>Table3.110[[#This Row],[Genus]]</f>
        <v>Codariocalyx</v>
      </c>
      <c r="H953" s="230" t="str">
        <f>Table3.110[[#This Row],[Species]]</f>
        <v>motorius</v>
      </c>
      <c r="I953" s="230" t="str">
        <f>Table3.110[[#This Row],[Tax Name]]</f>
        <v>Codariocalyx motorius</v>
      </c>
      <c r="J953" s="230" t="str">
        <f>Table3.110[[#This Row],[Family]]</f>
        <v>Fabaceae</v>
      </c>
      <c r="K953" s="230" t="str">
        <f>Table3.110[[#This Row],[Order]]</f>
        <v>Fabales</v>
      </c>
      <c r="L953" s="230" t="str">
        <f>Table3.110[[#This Row],[Functional Group]]</f>
        <v>Shurb_Tree</v>
      </c>
      <c r="M953" s="230" t="str">
        <f>Table3.110[[#This Row],[CIAT ID]]</f>
        <v>F252612</v>
      </c>
      <c r="N953" s="230">
        <f>Table3.110[[#This Row],[Set CIAT]]</f>
        <v>29</v>
      </c>
      <c r="O953" s="230">
        <f>Table3.110[[#This Row],[Batch]]</f>
        <v>70</v>
      </c>
      <c r="P953" s="230">
        <f>Table3.110[[#This Row],[Run]]</f>
        <v>3</v>
      </c>
      <c r="Q953" s="230">
        <f>Table3.110[[#This Row],[Replication]]</f>
        <v>2</v>
      </c>
      <c r="R953" s="230">
        <f>Table3.110[[#This Row],[Syrange No]]</f>
        <v>218</v>
      </c>
      <c r="S953" s="250">
        <v>0.60119999999999996</v>
      </c>
      <c r="T953" s="250">
        <v>0.84799999999999998</v>
      </c>
      <c r="U953" s="265"/>
      <c r="V953" s="283">
        <f t="shared" si="86"/>
        <v>0.24680000000000002</v>
      </c>
      <c r="W953" s="61">
        <f>Table3.110[[#This Row],[DM Incubated, mg]]-('3.2 Digest'!V953*1000)</f>
        <v>217.60879735297334</v>
      </c>
      <c r="X953" s="61">
        <f>W953/Table3.110[[#This Row],[DM Incubated, mg]]*100</f>
        <v>46.857165194392309</v>
      </c>
      <c r="Y953" s="30">
        <f>Table3.110[[#This Row],[DM Incubated, mg]]*'2.4 NDF'!R213/100</f>
        <v>263.79395407029079</v>
      </c>
      <c r="Z953" s="37">
        <f t="shared" si="87"/>
        <v>16.993954070290783</v>
      </c>
      <c r="AA953" s="37">
        <f t="shared" si="88"/>
        <v>6.4421317502077997</v>
      </c>
      <c r="AB953" s="6"/>
    </row>
    <row r="954" spans="2:28" ht="14.4" customHeight="1" x14ac:dyDescent="0.35">
      <c r="B954" s="230">
        <f t="shared" si="85"/>
        <v>944</v>
      </c>
      <c r="C954" s="9"/>
      <c r="D954" s="248">
        <f>Table3.110[[#This Row],[Date]]</f>
        <v>46078</v>
      </c>
      <c r="E954" s="230" t="str">
        <f>Table3.110[[#This Row],[Requisitioner]]</f>
        <v>Genbank</v>
      </c>
      <c r="F954" s="230" t="str">
        <f>Table3.110[[#This Row],[Gene Bank ID]]</f>
        <v>CIAT23806</v>
      </c>
      <c r="G954" s="230" t="str">
        <f>Table3.110[[#This Row],[Genus]]</f>
        <v>Desmodium</v>
      </c>
      <c r="H954" s="230" t="str">
        <f>Table3.110[[#This Row],[Species]]</f>
        <v>angustifolium</v>
      </c>
      <c r="I954" s="230" t="str">
        <f>Table3.110[[#This Row],[Tax Name]]</f>
        <v>Desmodium angustifolium</v>
      </c>
      <c r="J954" s="230" t="str">
        <f>Table3.110[[#This Row],[Family]]</f>
        <v>Fabaceae</v>
      </c>
      <c r="K954" s="230" t="str">
        <f>Table3.110[[#This Row],[Order]]</f>
        <v>Fabales</v>
      </c>
      <c r="L954" s="230" t="str">
        <f>Table3.110[[#This Row],[Functional Group]]</f>
        <v>Herbaceous</v>
      </c>
      <c r="M954" s="230" t="str">
        <f>Table3.110[[#This Row],[CIAT ID]]</f>
        <v>F252613</v>
      </c>
      <c r="N954" s="230">
        <f>Table3.110[[#This Row],[Set CIAT]]</f>
        <v>29</v>
      </c>
      <c r="O954" s="230">
        <f>Table3.110[[#This Row],[Batch]]</f>
        <v>70</v>
      </c>
      <c r="P954" s="230">
        <f>Table3.110[[#This Row],[Run]]</f>
        <v>3</v>
      </c>
      <c r="Q954" s="230">
        <f>Table3.110[[#This Row],[Replication]]</f>
        <v>1</v>
      </c>
      <c r="R954" s="230">
        <f>Table3.110[[#This Row],[Syrange No]]</f>
        <v>219</v>
      </c>
      <c r="S954" s="98">
        <v>0.58199999999999996</v>
      </c>
      <c r="T954" s="98">
        <v>0.81850000000000001</v>
      </c>
      <c r="U954" s="110"/>
      <c r="V954" s="283">
        <f t="shared" si="86"/>
        <v>0.23650000000000004</v>
      </c>
      <c r="W954" s="61">
        <f>Table3.110[[#This Row],[DM Incubated, mg]]-('3.2 Digest'!V954*1000)</f>
        <v>227.60871984987034</v>
      </c>
      <c r="X954" s="61">
        <f>W954/Table3.110[[#This Row],[DM Incubated, mg]]*100</f>
        <v>49.042112357530591</v>
      </c>
      <c r="Y954" s="30">
        <f>Table3.110[[#This Row],[DM Incubated, mg]]*'2.4 NDF'!R215/100</f>
        <v>273.01193358345711</v>
      </c>
      <c r="Z954" s="37">
        <f t="shared" si="87"/>
        <v>36.511933583457051</v>
      </c>
      <c r="AA954" s="37">
        <f t="shared" si="88"/>
        <v>13.37375004243018</v>
      </c>
      <c r="AB954" s="6"/>
    </row>
    <row r="955" spans="2:28" ht="14.4" customHeight="1" x14ac:dyDescent="0.35">
      <c r="B955" s="230">
        <f t="shared" si="85"/>
        <v>945</v>
      </c>
      <c r="C955" s="9"/>
      <c r="D955" s="248">
        <f>Table3.110[[#This Row],[Date]]</f>
        <v>46078</v>
      </c>
      <c r="E955" s="230" t="str">
        <f>Table3.110[[#This Row],[Requisitioner]]</f>
        <v>Genbank</v>
      </c>
      <c r="F955" s="230" t="str">
        <f>Table3.110[[#This Row],[Gene Bank ID]]</f>
        <v>CIAT23806</v>
      </c>
      <c r="G955" s="230" t="str">
        <f>Table3.110[[#This Row],[Genus]]</f>
        <v>Desmodium</v>
      </c>
      <c r="H955" s="230" t="str">
        <f>Table3.110[[#This Row],[Species]]</f>
        <v>angustifolium</v>
      </c>
      <c r="I955" s="230" t="str">
        <f>Table3.110[[#This Row],[Tax Name]]</f>
        <v>Desmodium angustifolium</v>
      </c>
      <c r="J955" s="230" t="str">
        <f>Table3.110[[#This Row],[Family]]</f>
        <v>Fabaceae</v>
      </c>
      <c r="K955" s="230" t="str">
        <f>Table3.110[[#This Row],[Order]]</f>
        <v>Fabales</v>
      </c>
      <c r="L955" s="230" t="str">
        <f>Table3.110[[#This Row],[Functional Group]]</f>
        <v>Herbaceous</v>
      </c>
      <c r="M955" s="230" t="str">
        <f>Table3.110[[#This Row],[CIAT ID]]</f>
        <v>F252613</v>
      </c>
      <c r="N955" s="230">
        <f>Table3.110[[#This Row],[Set CIAT]]</f>
        <v>29</v>
      </c>
      <c r="O955" s="230">
        <f>Table3.110[[#This Row],[Batch]]</f>
        <v>70</v>
      </c>
      <c r="P955" s="230">
        <f>Table3.110[[#This Row],[Run]]</f>
        <v>3</v>
      </c>
      <c r="Q955" s="230">
        <f>Table3.110[[#This Row],[Replication]]</f>
        <v>2</v>
      </c>
      <c r="R955" s="230">
        <f>Table3.110[[#This Row],[Syrange No]]</f>
        <v>220</v>
      </c>
      <c r="S955" s="250">
        <v>0.56689999999999996</v>
      </c>
      <c r="T955" s="250">
        <v>0.81420000000000003</v>
      </c>
      <c r="U955" s="265"/>
      <c r="V955" s="283">
        <f t="shared" si="86"/>
        <v>0.24730000000000008</v>
      </c>
      <c r="W955" s="61">
        <f>Table3.110[[#This Row],[DM Incubated, mg]]-('3.2 Digest'!V955*1000)</f>
        <v>216.62318768123163</v>
      </c>
      <c r="X955" s="61">
        <f>W955/Table3.110[[#This Row],[DM Incubated, mg]]*100</f>
        <v>46.693761690152151</v>
      </c>
      <c r="Y955" s="30">
        <f>Table3.110[[#This Row],[DM Incubated, mg]]*'2.4 NDF'!R215/100</f>
        <v>272.90279429359765</v>
      </c>
      <c r="Z955" s="37">
        <f t="shared" si="87"/>
        <v>25.602794293597583</v>
      </c>
      <c r="AA955" s="37">
        <f t="shared" si="88"/>
        <v>9.3816534051510185</v>
      </c>
      <c r="AB955" s="6"/>
    </row>
    <row r="956" spans="2:28" ht="14.4" customHeight="1" x14ac:dyDescent="0.35">
      <c r="B956" s="230">
        <f t="shared" si="85"/>
        <v>946</v>
      </c>
      <c r="C956" s="9"/>
      <c r="D956" s="248">
        <f>Table3.110[[#This Row],[Date]]</f>
        <v>46078</v>
      </c>
      <c r="E956" s="230" t="str">
        <f>Table3.110[[#This Row],[Requisitioner]]</f>
        <v>Genbank</v>
      </c>
      <c r="F956" s="230" t="str">
        <f>Table3.110[[#This Row],[Gene Bank ID]]</f>
        <v>CIAT24104</v>
      </c>
      <c r="G956" s="230" t="str">
        <f>Table3.110[[#This Row],[Genus]]</f>
        <v>Macroptilium</v>
      </c>
      <c r="H956" s="230" t="str">
        <f>Table3.110[[#This Row],[Species]]</f>
        <v>atropurpureum</v>
      </c>
      <c r="I956" s="230" t="str">
        <f>Table3.110[[#This Row],[Tax Name]]</f>
        <v>Macroptilium atropurpureum</v>
      </c>
      <c r="J956" s="230" t="str">
        <f>Table3.110[[#This Row],[Family]]</f>
        <v>Fabaceae</v>
      </c>
      <c r="K956" s="230" t="str">
        <f>Table3.110[[#This Row],[Order]]</f>
        <v>Fabales</v>
      </c>
      <c r="L956" s="230" t="str">
        <f>Table3.110[[#This Row],[Functional Group]]</f>
        <v>Herbaceous</v>
      </c>
      <c r="M956" s="230" t="str">
        <f>Table3.110[[#This Row],[CIAT ID]]</f>
        <v>F252614</v>
      </c>
      <c r="N956" s="230">
        <f>Table3.110[[#This Row],[Set CIAT]]</f>
        <v>29</v>
      </c>
      <c r="O956" s="230">
        <f>Table3.110[[#This Row],[Batch]]</f>
        <v>70</v>
      </c>
      <c r="P956" s="230">
        <f>Table3.110[[#This Row],[Run]]</f>
        <v>3</v>
      </c>
      <c r="Q956" s="230">
        <f>Table3.110[[#This Row],[Replication]]</f>
        <v>1</v>
      </c>
      <c r="R956" s="230">
        <f>Table3.110[[#This Row],[Syrange No]]</f>
        <v>221</v>
      </c>
      <c r="S956" s="98">
        <v>0.57679999999999998</v>
      </c>
      <c r="T956" s="98">
        <v>0.76570000000000005</v>
      </c>
      <c r="U956" s="110"/>
      <c r="V956" s="283">
        <f t="shared" si="86"/>
        <v>0.18890000000000007</v>
      </c>
      <c r="W956" s="61">
        <f>Table3.110[[#This Row],[DM Incubated, mg]]-('3.2 Digest'!V956*1000)</f>
        <v>272.95771020308689</v>
      </c>
      <c r="X956" s="61">
        <f>W956/Table3.110[[#This Row],[DM Incubated, mg]]*100</f>
        <v>59.099957448596584</v>
      </c>
      <c r="Y956" s="30">
        <f>Table3.110[[#This Row],[DM Incubated, mg]]*'2.4 NDF'!R217/100</f>
        <v>208.95398139702959</v>
      </c>
      <c r="Z956" s="37">
        <f t="shared" si="87"/>
        <v>20.053981397029531</v>
      </c>
      <c r="AA956" s="37">
        <f t="shared" si="88"/>
        <v>9.597319593028157</v>
      </c>
      <c r="AB956" s="6"/>
    </row>
    <row r="957" spans="2:28" ht="14.4" customHeight="1" x14ac:dyDescent="0.35">
      <c r="B957" s="230">
        <f t="shared" si="85"/>
        <v>947</v>
      </c>
      <c r="C957" s="9"/>
      <c r="D957" s="248">
        <f>Table3.110[[#This Row],[Date]]</f>
        <v>46078</v>
      </c>
      <c r="E957" s="230" t="str">
        <f>Table3.110[[#This Row],[Requisitioner]]</f>
        <v>Genbank</v>
      </c>
      <c r="F957" s="230" t="str">
        <f>Table3.110[[#This Row],[Gene Bank ID]]</f>
        <v>CIAT24104</v>
      </c>
      <c r="G957" s="230" t="str">
        <f>Table3.110[[#This Row],[Genus]]</f>
        <v>Macroptilium</v>
      </c>
      <c r="H957" s="230" t="str">
        <f>Table3.110[[#This Row],[Species]]</f>
        <v>atropurpureum</v>
      </c>
      <c r="I957" s="230" t="str">
        <f>Table3.110[[#This Row],[Tax Name]]</f>
        <v>Macroptilium atropurpureum</v>
      </c>
      <c r="J957" s="230" t="str">
        <f>Table3.110[[#This Row],[Family]]</f>
        <v>Fabaceae</v>
      </c>
      <c r="K957" s="230" t="str">
        <f>Table3.110[[#This Row],[Order]]</f>
        <v>Fabales</v>
      </c>
      <c r="L957" s="230" t="str">
        <f>Table3.110[[#This Row],[Functional Group]]</f>
        <v>Herbaceous</v>
      </c>
      <c r="M957" s="230" t="str">
        <f>Table3.110[[#This Row],[CIAT ID]]</f>
        <v>F252614</v>
      </c>
      <c r="N957" s="230">
        <f>Table3.110[[#This Row],[Set CIAT]]</f>
        <v>29</v>
      </c>
      <c r="O957" s="230">
        <f>Table3.110[[#This Row],[Batch]]</f>
        <v>70</v>
      </c>
      <c r="P957" s="230">
        <f>Table3.110[[#This Row],[Run]]</f>
        <v>3</v>
      </c>
      <c r="Q957" s="230">
        <f>Table3.110[[#This Row],[Replication]]</f>
        <v>2</v>
      </c>
      <c r="R957" s="230">
        <f>Table3.110[[#This Row],[Syrange No]]</f>
        <v>222</v>
      </c>
      <c r="S957" s="250">
        <v>0.60109999999999997</v>
      </c>
      <c r="T957" s="250">
        <v>0.77869999999999995</v>
      </c>
      <c r="U957" s="265"/>
      <c r="V957" s="283">
        <f t="shared" si="86"/>
        <v>0.17759999999999998</v>
      </c>
      <c r="W957" s="61">
        <f>Table3.110[[#This Row],[DM Incubated, mg]]-('3.2 Digest'!V957*1000)</f>
        <v>284.25771020308696</v>
      </c>
      <c r="X957" s="61">
        <f>W957/Table3.110[[#This Row],[DM Incubated, mg]]*100</f>
        <v>61.546598427055358</v>
      </c>
      <c r="Y957" s="30">
        <f>Table3.110[[#This Row],[DM Incubated, mg]]*'2.4 NDF'!R217/100</f>
        <v>208.95398139702959</v>
      </c>
      <c r="Z957" s="37">
        <f t="shared" si="87"/>
        <v>31.353981397029628</v>
      </c>
      <c r="AA957" s="37">
        <f t="shared" si="88"/>
        <v>15.005208892121805</v>
      </c>
      <c r="AB957" s="6"/>
    </row>
    <row r="958" spans="2:28" ht="14.4" customHeight="1" x14ac:dyDescent="0.35">
      <c r="B958" s="230">
        <f t="shared" si="85"/>
        <v>948</v>
      </c>
      <c r="C958" s="9"/>
      <c r="D958" s="248">
        <f>Table3.110[[#This Row],[Date]]</f>
        <v>46078</v>
      </c>
      <c r="E958" s="230">
        <f>Table3.110[[#This Row],[Requisitioner]]</f>
        <v>0</v>
      </c>
      <c r="F958" s="230" t="str">
        <f>Table3.110[[#This Row],[Gene Bank ID]]</f>
        <v>BLANK 8H</v>
      </c>
      <c r="G958" s="230" t="str">
        <f>Table3.110[[#This Row],[Genus]]</f>
        <v>BLANK</v>
      </c>
      <c r="H958" s="230" t="str">
        <f>Table3.110[[#This Row],[Species]]</f>
        <v>8H</v>
      </c>
      <c r="I958" s="230" t="str">
        <f>Table3.110[[#This Row],[Tax Name]]</f>
        <v>BLANK 8H</v>
      </c>
      <c r="J958" s="230">
        <f>Table3.110[[#This Row],[Family]]</f>
        <v>0</v>
      </c>
      <c r="K958" s="230">
        <f>Table3.110[[#This Row],[Order]]</f>
        <v>0</v>
      </c>
      <c r="L958" s="230">
        <f>Table3.110[[#This Row],[Functional Group]]</f>
        <v>0</v>
      </c>
      <c r="M958" s="230" t="str">
        <f>Table3.110[[#This Row],[CIAT ID]]</f>
        <v>BLANK8H</v>
      </c>
      <c r="N958" s="230">
        <f>Table3.110[[#This Row],[Set CIAT]]</f>
        <v>29</v>
      </c>
      <c r="O958" s="230">
        <f>Table3.110[[#This Row],[Batch]]</f>
        <v>70</v>
      </c>
      <c r="P958" s="230">
        <f>Table3.110[[#This Row],[Run]]</f>
        <v>3</v>
      </c>
      <c r="Q958" s="230">
        <f>Table3.110[[#This Row],[Replication]]</f>
        <v>1</v>
      </c>
      <c r="R958" s="230">
        <f>Table3.110[[#This Row],[Syrange No]]</f>
        <v>223</v>
      </c>
      <c r="S958" s="249"/>
      <c r="T958" s="249"/>
      <c r="U958" s="263"/>
      <c r="V958" s="283"/>
      <c r="W958" s="61"/>
      <c r="X958" s="61"/>
      <c r="Y958" s="30"/>
      <c r="Z958" s="37"/>
      <c r="AA958" s="37"/>
      <c r="AB958" s="6"/>
    </row>
    <row r="959" spans="2:28" ht="14.4" customHeight="1" x14ac:dyDescent="0.35">
      <c r="B959" s="230">
        <f t="shared" si="85"/>
        <v>949</v>
      </c>
      <c r="C959" s="9"/>
      <c r="D959" s="248">
        <f>Table3.110[[#This Row],[Date]]</f>
        <v>46078</v>
      </c>
      <c r="E959" s="230">
        <f>Table3.110[[#This Row],[Requisitioner]]</f>
        <v>0</v>
      </c>
      <c r="F959" s="230" t="str">
        <f>Table3.110[[#This Row],[Gene Bank ID]]</f>
        <v>BLANK 8H</v>
      </c>
      <c r="G959" s="230" t="str">
        <f>Table3.110[[#This Row],[Genus]]</f>
        <v>BLANK</v>
      </c>
      <c r="H959" s="230" t="str">
        <f>Table3.110[[#This Row],[Species]]</f>
        <v>8H</v>
      </c>
      <c r="I959" s="230" t="str">
        <f>Table3.110[[#This Row],[Tax Name]]</f>
        <v>BLANK 8H</v>
      </c>
      <c r="J959" s="230">
        <f>Table3.110[[#This Row],[Family]]</f>
        <v>0</v>
      </c>
      <c r="K959" s="230">
        <f>Table3.110[[#This Row],[Order]]</f>
        <v>0</v>
      </c>
      <c r="L959" s="230">
        <f>Table3.110[[#This Row],[Functional Group]]</f>
        <v>0</v>
      </c>
      <c r="M959" s="230" t="str">
        <f>Table3.110[[#This Row],[CIAT ID]]</f>
        <v>BLANK8H</v>
      </c>
      <c r="N959" s="230">
        <f>Table3.110[[#This Row],[Set CIAT]]</f>
        <v>29</v>
      </c>
      <c r="O959" s="230">
        <f>Table3.110[[#This Row],[Batch]]</f>
        <v>70</v>
      </c>
      <c r="P959" s="230">
        <f>Table3.110[[#This Row],[Run]]</f>
        <v>3</v>
      </c>
      <c r="Q959" s="230">
        <f>Table3.110[[#This Row],[Replication]]</f>
        <v>2</v>
      </c>
      <c r="R959" s="230">
        <f>Table3.110[[#This Row],[Syrange No]]</f>
        <v>224</v>
      </c>
      <c r="S959" s="148"/>
      <c r="T959" s="148"/>
      <c r="U959" s="264"/>
      <c r="V959" s="283"/>
      <c r="W959" s="61"/>
      <c r="X959" s="61"/>
      <c r="Y959" s="30"/>
      <c r="Z959" s="37"/>
      <c r="AA959" s="37"/>
      <c r="AB959" s="6"/>
    </row>
    <row r="960" spans="2:28" ht="14.4" customHeight="1" x14ac:dyDescent="0.35">
      <c r="B960" s="230">
        <f t="shared" si="85"/>
        <v>950</v>
      </c>
      <c r="C960" s="9"/>
      <c r="D960" s="248">
        <f>Table3.110[[#This Row],[Date]]</f>
        <v>46078</v>
      </c>
      <c r="E960" s="230" t="str">
        <f>Table3.110[[#This Row],[Requisitioner]]</f>
        <v>Genbank</v>
      </c>
      <c r="F960" s="230" t="str">
        <f>Table3.110[[#This Row],[Gene Bank ID]]</f>
        <v>CIAT24565</v>
      </c>
      <c r="G960" s="230" t="str">
        <f>Table3.110[[#This Row],[Genus]]</f>
        <v>Vigna</v>
      </c>
      <c r="H960" s="230" t="str">
        <f>Table3.110[[#This Row],[Species]]</f>
        <v>unguiculata</v>
      </c>
      <c r="I960" s="230" t="str">
        <f>Table3.110[[#This Row],[Tax Name]]</f>
        <v>Vigna unguiculata</v>
      </c>
      <c r="J960" s="230" t="str">
        <f>Table3.110[[#This Row],[Family]]</f>
        <v>Fabaceae</v>
      </c>
      <c r="K960" s="230" t="str">
        <f>Table3.110[[#This Row],[Order]]</f>
        <v>Fabales</v>
      </c>
      <c r="L960" s="230" t="str">
        <f>Table3.110[[#This Row],[Functional Group]]</f>
        <v>Herbaceous</v>
      </c>
      <c r="M960" s="230" t="str">
        <f>Table3.110[[#This Row],[CIAT ID]]</f>
        <v>F252615</v>
      </c>
      <c r="N960" s="230">
        <f>Table3.110[[#This Row],[Set CIAT]]</f>
        <v>29</v>
      </c>
      <c r="O960" s="230">
        <f>Table3.110[[#This Row],[Batch]]</f>
        <v>70</v>
      </c>
      <c r="P960" s="230">
        <f>Table3.110[[#This Row],[Run]]</f>
        <v>3</v>
      </c>
      <c r="Q960" s="230">
        <f>Table3.110[[#This Row],[Replication]]</f>
        <v>1</v>
      </c>
      <c r="R960" s="230">
        <f>Table3.110[[#This Row],[Syrange No]]</f>
        <v>225</v>
      </c>
      <c r="S960" s="98">
        <v>0.57809999999999995</v>
      </c>
      <c r="T960" s="98">
        <v>0.78059999999999996</v>
      </c>
      <c r="U960" s="110"/>
      <c r="V960" s="283">
        <f t="shared" si="86"/>
        <v>0.20250000000000001</v>
      </c>
      <c r="W960" s="61">
        <f>Table3.110[[#This Row],[DM Incubated, mg]]-('3.2 Digest'!V960*1000)</f>
        <v>248.22265871064434</v>
      </c>
      <c r="X960" s="61">
        <f>W960/Table3.110[[#This Row],[DM Incubated, mg]]*100</f>
        <v>55.072150004776823</v>
      </c>
      <c r="Y960" s="30">
        <f>Table3.110[[#This Row],[DM Incubated, mg]]*'2.4 NDF'!R219/100</f>
        <v>223.6027415374113</v>
      </c>
      <c r="Z960" s="37">
        <f t="shared" si="87"/>
        <v>21.102741537411305</v>
      </c>
      <c r="AA960" s="37">
        <f t="shared" si="88"/>
        <v>9.4376041153684049</v>
      </c>
      <c r="AB960" s="6"/>
    </row>
    <row r="961" spans="2:28" ht="14.4" customHeight="1" x14ac:dyDescent="0.35">
      <c r="B961" s="230">
        <f t="shared" si="85"/>
        <v>951</v>
      </c>
      <c r="C961" s="9"/>
      <c r="D961" s="248">
        <f>Table3.110[[#This Row],[Date]]</f>
        <v>46078</v>
      </c>
      <c r="E961" s="230" t="str">
        <f>Table3.110[[#This Row],[Requisitioner]]</f>
        <v>Genbank</v>
      </c>
      <c r="F961" s="230" t="str">
        <f>Table3.110[[#This Row],[Gene Bank ID]]</f>
        <v>CIAT24565</v>
      </c>
      <c r="G961" s="230" t="str">
        <f>Table3.110[[#This Row],[Genus]]</f>
        <v>Vigna</v>
      </c>
      <c r="H961" s="230" t="str">
        <f>Table3.110[[#This Row],[Species]]</f>
        <v>unguiculata</v>
      </c>
      <c r="I961" s="230" t="str">
        <f>Table3.110[[#This Row],[Tax Name]]</f>
        <v>Vigna unguiculata</v>
      </c>
      <c r="J961" s="230" t="str">
        <f>Table3.110[[#This Row],[Family]]</f>
        <v>Fabaceae</v>
      </c>
      <c r="K961" s="230" t="str">
        <f>Table3.110[[#This Row],[Order]]</f>
        <v>Fabales</v>
      </c>
      <c r="L961" s="230" t="str">
        <f>Table3.110[[#This Row],[Functional Group]]</f>
        <v>Herbaceous</v>
      </c>
      <c r="M961" s="230" t="str">
        <f>Table3.110[[#This Row],[CIAT ID]]</f>
        <v>F252615</v>
      </c>
      <c r="N961" s="230">
        <f>Table3.110[[#This Row],[Set CIAT]]</f>
        <v>29</v>
      </c>
      <c r="O961" s="230">
        <f>Table3.110[[#This Row],[Batch]]</f>
        <v>70</v>
      </c>
      <c r="P961" s="230">
        <f>Table3.110[[#This Row],[Run]]</f>
        <v>3</v>
      </c>
      <c r="Q961" s="230">
        <f>Table3.110[[#This Row],[Replication]]</f>
        <v>2</v>
      </c>
      <c r="R961" s="230">
        <f>Table3.110[[#This Row],[Syrange No]]</f>
        <v>226</v>
      </c>
      <c r="S961" s="250">
        <v>0.57010000000000005</v>
      </c>
      <c r="T961" s="250">
        <v>0.75139999999999996</v>
      </c>
      <c r="U961" s="265"/>
      <c r="V961" s="283">
        <f t="shared" si="86"/>
        <v>0.18129999999999991</v>
      </c>
      <c r="W961" s="61">
        <f>Table3.110[[#This Row],[DM Incubated, mg]]-('3.2 Digest'!V961*1000)</f>
        <v>269.3325862368813</v>
      </c>
      <c r="X961" s="61">
        <f>W961/Table3.110[[#This Row],[DM Incubated, mg]]*100</f>
        <v>59.76766759945383</v>
      </c>
      <c r="Y961" s="30">
        <f>Table3.110[[#This Row],[DM Incubated, mg]]*'2.4 NDF'!R219/100</f>
        <v>223.55805673694417</v>
      </c>
      <c r="Z961" s="37">
        <f t="shared" si="87"/>
        <v>42.258056736944269</v>
      </c>
      <c r="AA961" s="37">
        <f t="shared" si="88"/>
        <v>18.902497791286667</v>
      </c>
      <c r="AB961" s="6"/>
    </row>
    <row r="962" spans="2:28" ht="14.4" customHeight="1" x14ac:dyDescent="0.35">
      <c r="B962" s="230">
        <f t="shared" si="85"/>
        <v>952</v>
      </c>
      <c r="C962" s="9"/>
      <c r="D962" s="248">
        <f>Table3.110[[#This Row],[Date]]</f>
        <v>46078</v>
      </c>
      <c r="E962" s="230" t="str">
        <f>Table3.110[[#This Row],[Requisitioner]]</f>
        <v>Genbank</v>
      </c>
      <c r="F962" s="230" t="str">
        <f>Table3.110[[#This Row],[Gene Bank ID]]</f>
        <v>CIAT33561</v>
      </c>
      <c r="G962" s="230" t="str">
        <f>Table3.110[[#This Row],[Genus]]</f>
        <v>Desmodium</v>
      </c>
      <c r="H962" s="230" t="str">
        <f>Table3.110[[#This Row],[Species]]</f>
        <v>wigginsii</v>
      </c>
      <c r="I962" s="230" t="str">
        <f>Table3.110[[#This Row],[Tax Name]]</f>
        <v>Desmodium wigginsii</v>
      </c>
      <c r="J962" s="230" t="str">
        <f>Table3.110[[#This Row],[Family]]</f>
        <v>Fabaceae</v>
      </c>
      <c r="K962" s="230" t="str">
        <f>Table3.110[[#This Row],[Order]]</f>
        <v>Fabales</v>
      </c>
      <c r="L962" s="230" t="str">
        <f>Table3.110[[#This Row],[Functional Group]]</f>
        <v>Herbaceous</v>
      </c>
      <c r="M962" s="230" t="str">
        <f>Table3.110[[#This Row],[CIAT ID]]</f>
        <v>F252616</v>
      </c>
      <c r="N962" s="230">
        <f>Table3.110[[#This Row],[Set CIAT]]</f>
        <v>29</v>
      </c>
      <c r="O962" s="230">
        <f>Table3.110[[#This Row],[Batch]]</f>
        <v>70</v>
      </c>
      <c r="P962" s="230">
        <f>Table3.110[[#This Row],[Run]]</f>
        <v>3</v>
      </c>
      <c r="Q962" s="230">
        <f>Table3.110[[#This Row],[Replication]]</f>
        <v>1</v>
      </c>
      <c r="R962" s="230">
        <f>Table3.110[[#This Row],[Syrange No]]</f>
        <v>227</v>
      </c>
      <c r="S962" s="98">
        <v>0.57310000000000005</v>
      </c>
      <c r="T962" s="98">
        <v>0.83089999999999997</v>
      </c>
      <c r="U962" s="110"/>
      <c r="V962" s="283">
        <f t="shared" si="86"/>
        <v>0.25779999999999992</v>
      </c>
      <c r="W962" s="61">
        <f>Table3.110[[#This Row],[DM Incubated, mg]]-('3.2 Digest'!V962*1000)</f>
        <v>201.85468953104714</v>
      </c>
      <c r="X962" s="61">
        <f>W962/Table3.110[[#This Row],[DM Incubated, mg]]*100</f>
        <v>43.91441969992411</v>
      </c>
      <c r="Y962" s="30">
        <f>Table3.110[[#This Row],[DM Incubated, mg]]*'2.4 NDF'!R221/100</f>
        <v>251.36176444983539</v>
      </c>
      <c r="Z962" s="37">
        <f t="shared" si="87"/>
        <v>-6.4382355501645065</v>
      </c>
      <c r="AA962" s="37">
        <f t="shared" si="88"/>
        <v>-2.5613424397525639</v>
      </c>
      <c r="AB962" s="6"/>
    </row>
    <row r="963" spans="2:28" ht="14.4" customHeight="1" x14ac:dyDescent="0.35">
      <c r="B963" s="230">
        <f t="shared" si="85"/>
        <v>953</v>
      </c>
      <c r="C963" s="9"/>
      <c r="D963" s="248">
        <f>Table3.110[[#This Row],[Date]]</f>
        <v>46078</v>
      </c>
      <c r="E963" s="230" t="str">
        <f>Table3.110[[#This Row],[Requisitioner]]</f>
        <v>Genbank</v>
      </c>
      <c r="F963" s="230" t="str">
        <f>Table3.110[[#This Row],[Gene Bank ID]]</f>
        <v>CIAT33561</v>
      </c>
      <c r="G963" s="230" t="str">
        <f>Table3.110[[#This Row],[Genus]]</f>
        <v>Desmodium</v>
      </c>
      <c r="H963" s="230" t="str">
        <f>Table3.110[[#This Row],[Species]]</f>
        <v>wigginsii</v>
      </c>
      <c r="I963" s="230" t="str">
        <f>Table3.110[[#This Row],[Tax Name]]</f>
        <v>Desmodium wigginsii</v>
      </c>
      <c r="J963" s="230" t="str">
        <f>Table3.110[[#This Row],[Family]]</f>
        <v>Fabaceae</v>
      </c>
      <c r="K963" s="230" t="str">
        <f>Table3.110[[#This Row],[Order]]</f>
        <v>Fabales</v>
      </c>
      <c r="L963" s="230" t="str">
        <f>Table3.110[[#This Row],[Functional Group]]</f>
        <v>Herbaceous</v>
      </c>
      <c r="M963" s="230" t="str">
        <f>Table3.110[[#This Row],[CIAT ID]]</f>
        <v>F252616</v>
      </c>
      <c r="N963" s="230">
        <f>Table3.110[[#This Row],[Set CIAT]]</f>
        <v>29</v>
      </c>
      <c r="O963" s="230">
        <f>Table3.110[[#This Row],[Batch]]</f>
        <v>70</v>
      </c>
      <c r="P963" s="230">
        <f>Table3.110[[#This Row],[Run]]</f>
        <v>3</v>
      </c>
      <c r="Q963" s="230">
        <f>Table3.110[[#This Row],[Replication]]</f>
        <v>2</v>
      </c>
      <c r="R963" s="230">
        <f>Table3.110[[#This Row],[Syrange No]]</f>
        <v>228</v>
      </c>
      <c r="S963" s="250">
        <v>0.57709999999999995</v>
      </c>
      <c r="T963" s="250">
        <v>0.78690000000000004</v>
      </c>
      <c r="U963" s="265"/>
      <c r="V963" s="283">
        <f t="shared" si="86"/>
        <v>0.2098000000000001</v>
      </c>
      <c r="W963" s="61">
        <f>Table3.110[[#This Row],[DM Incubated, mg]]-('3.2 Digest'!V963*1000)</f>
        <v>249.67093790620945</v>
      </c>
      <c r="X963" s="61">
        <f>W963/Table3.110[[#This Row],[DM Incubated, mg]]*100</f>
        <v>54.338787790137452</v>
      </c>
      <c r="Y963" s="30">
        <f>Table3.110[[#This Row],[DM Incubated, mg]]*'2.4 NDF'!R221/100</f>
        <v>251.26128003470455</v>
      </c>
      <c r="Z963" s="37">
        <f t="shared" si="87"/>
        <v>41.461280034704458</v>
      </c>
      <c r="AA963" s="37">
        <f t="shared" si="88"/>
        <v>16.501261168842955</v>
      </c>
      <c r="AB963" s="6"/>
    </row>
    <row r="964" spans="2:28" ht="14.4" customHeight="1" x14ac:dyDescent="0.35">
      <c r="B964" s="230">
        <f t="shared" si="85"/>
        <v>954</v>
      </c>
      <c r="C964" s="9"/>
      <c r="D964" s="248">
        <f>Table3.110[[#This Row],[Date]]</f>
        <v>46078</v>
      </c>
      <c r="E964" s="230" t="str">
        <f>Table3.110[[#This Row],[Requisitioner]]</f>
        <v>Genbank</v>
      </c>
      <c r="F964" s="230" t="str">
        <f>Table3.110[[#This Row],[Gene Bank ID]]</f>
        <v>CIAT34038</v>
      </c>
      <c r="G964" s="230" t="str">
        <f>Table3.110[[#This Row],[Genus]]</f>
        <v>Vigna</v>
      </c>
      <c r="H964" s="230" t="str">
        <f>Table3.110[[#This Row],[Species]]</f>
        <v>unguiculata</v>
      </c>
      <c r="I964" s="230" t="str">
        <f>Table3.110[[#This Row],[Tax Name]]</f>
        <v>Vigna unguiculata</v>
      </c>
      <c r="J964" s="230" t="str">
        <f>Table3.110[[#This Row],[Family]]</f>
        <v>Fabaceae</v>
      </c>
      <c r="K964" s="230" t="str">
        <f>Table3.110[[#This Row],[Order]]</f>
        <v>Fabales</v>
      </c>
      <c r="L964" s="230" t="str">
        <f>Table3.110[[#This Row],[Functional Group]]</f>
        <v>Herbaceous</v>
      </c>
      <c r="M964" s="230" t="str">
        <f>Table3.110[[#This Row],[CIAT ID]]</f>
        <v>F252617</v>
      </c>
      <c r="N964" s="230">
        <f>Table3.110[[#This Row],[Set CIAT]]</f>
        <v>29</v>
      </c>
      <c r="O964" s="230">
        <f>Table3.110[[#This Row],[Batch]]</f>
        <v>70</v>
      </c>
      <c r="P964" s="230">
        <f>Table3.110[[#This Row],[Run]]</f>
        <v>3</v>
      </c>
      <c r="Q964" s="230">
        <f>Table3.110[[#This Row],[Replication]]</f>
        <v>1</v>
      </c>
      <c r="R964" s="230">
        <f>Table3.110[[#This Row],[Syrange No]]</f>
        <v>229</v>
      </c>
      <c r="S964" s="98">
        <v>0.5998</v>
      </c>
      <c r="T964" s="98">
        <v>0.75219999999999998</v>
      </c>
      <c r="U964" s="110"/>
      <c r="V964" s="283">
        <f t="shared" si="86"/>
        <v>0.15239999999999998</v>
      </c>
      <c r="W964" s="61">
        <f>Table3.110[[#This Row],[DM Incubated, mg]]-('3.2 Digest'!V964*1000)</f>
        <v>306.72912252648467</v>
      </c>
      <c r="X964" s="61">
        <f>W964/Table3.110[[#This Row],[DM Incubated, mg]]*100</f>
        <v>66.806723310998677</v>
      </c>
      <c r="Y964" s="30">
        <f>Table3.110[[#This Row],[DM Incubated, mg]]*'2.4 NDF'!R223/100</f>
        <v>215.60017566849959</v>
      </c>
      <c r="Z964" s="37">
        <f t="shared" si="87"/>
        <v>63.200175668499611</v>
      </c>
      <c r="AA964" s="37">
        <f t="shared" si="88"/>
        <v>29.313601193755201</v>
      </c>
      <c r="AB964" s="6"/>
    </row>
    <row r="965" spans="2:28" ht="14.4" customHeight="1" x14ac:dyDescent="0.35">
      <c r="B965" s="230">
        <f t="shared" si="85"/>
        <v>955</v>
      </c>
      <c r="C965" s="9"/>
      <c r="D965" s="248">
        <f>Table3.110[[#This Row],[Date]]</f>
        <v>46078</v>
      </c>
      <c r="E965" s="230" t="str">
        <f>Table3.110[[#This Row],[Requisitioner]]</f>
        <v>Genbank</v>
      </c>
      <c r="F965" s="230" t="str">
        <f>Table3.110[[#This Row],[Gene Bank ID]]</f>
        <v>CIAT34038</v>
      </c>
      <c r="G965" s="230" t="str">
        <f>Table3.110[[#This Row],[Genus]]</f>
        <v>Vigna</v>
      </c>
      <c r="H965" s="230" t="str">
        <f>Table3.110[[#This Row],[Species]]</f>
        <v>unguiculata</v>
      </c>
      <c r="I965" s="230" t="str">
        <f>Table3.110[[#This Row],[Tax Name]]</f>
        <v>Vigna unguiculata</v>
      </c>
      <c r="J965" s="230" t="str">
        <f>Table3.110[[#This Row],[Family]]</f>
        <v>Fabaceae</v>
      </c>
      <c r="K965" s="230" t="str">
        <f>Table3.110[[#This Row],[Order]]</f>
        <v>Fabales</v>
      </c>
      <c r="L965" s="230" t="str">
        <f>Table3.110[[#This Row],[Functional Group]]</f>
        <v>Herbaceous</v>
      </c>
      <c r="M965" s="230" t="str">
        <f>Table3.110[[#This Row],[CIAT ID]]</f>
        <v>F252617</v>
      </c>
      <c r="N965" s="230">
        <f>Table3.110[[#This Row],[Set CIAT]]</f>
        <v>29</v>
      </c>
      <c r="O965" s="230">
        <f>Table3.110[[#This Row],[Batch]]</f>
        <v>70</v>
      </c>
      <c r="P965" s="230">
        <f>Table3.110[[#This Row],[Run]]</f>
        <v>3</v>
      </c>
      <c r="Q965" s="230">
        <f>Table3.110[[#This Row],[Replication]]</f>
        <v>2</v>
      </c>
      <c r="R965" s="230">
        <f>Table3.110[[#This Row],[Syrange No]]</f>
        <v>230</v>
      </c>
      <c r="S965" s="250">
        <v>0.57450000000000001</v>
      </c>
      <c r="T965" s="250">
        <v>0.7329</v>
      </c>
      <c r="U965" s="265"/>
      <c r="V965" s="283">
        <f t="shared" si="86"/>
        <v>0.15839999999999999</v>
      </c>
      <c r="W965" s="61">
        <f>Table3.110[[#This Row],[DM Incubated, mg]]-('3.2 Digest'!V965*1000)</f>
        <v>300.72912252648467</v>
      </c>
      <c r="X965" s="61">
        <f>W965/Table3.110[[#This Row],[DM Incubated, mg]]*100</f>
        <v>65.499901394108846</v>
      </c>
      <c r="Y965" s="30">
        <f>Table3.110[[#This Row],[DM Incubated, mg]]*'2.4 NDF'!R223/100</f>
        <v>215.60017566849959</v>
      </c>
      <c r="Z965" s="37">
        <f t="shared" si="87"/>
        <v>57.200175668499611</v>
      </c>
      <c r="AA965" s="37">
        <f t="shared" si="88"/>
        <v>26.530672106895171</v>
      </c>
      <c r="AB965" s="6"/>
    </row>
    <row r="966" spans="2:28" ht="14.4" customHeight="1" x14ac:dyDescent="0.35">
      <c r="B966" s="230">
        <f t="shared" si="85"/>
        <v>956</v>
      </c>
      <c r="C966" s="9"/>
      <c r="D966" s="248">
        <f>Table3.110[[#This Row],[Date]]</f>
        <v>46078</v>
      </c>
      <c r="E966" s="230" t="str">
        <f>Table3.110[[#This Row],[Requisitioner]]</f>
        <v>Genbank</v>
      </c>
      <c r="F966" s="230" t="str">
        <f>Table3.110[[#This Row],[Gene Bank ID]]</f>
        <v>CIAT34040</v>
      </c>
      <c r="G966" s="230" t="str">
        <f>Table3.110[[#This Row],[Genus]]</f>
        <v>Vigna</v>
      </c>
      <c r="H966" s="230" t="str">
        <f>Table3.110[[#This Row],[Species]]</f>
        <v>aconitifolia</v>
      </c>
      <c r="I966" s="230" t="str">
        <f>Table3.110[[#This Row],[Tax Name]]</f>
        <v>Vigna aconitifolia</v>
      </c>
      <c r="J966" s="230" t="str">
        <f>Table3.110[[#This Row],[Family]]</f>
        <v>Fabaceae</v>
      </c>
      <c r="K966" s="230" t="str">
        <f>Table3.110[[#This Row],[Order]]</f>
        <v>Fabales</v>
      </c>
      <c r="L966" s="230" t="str">
        <f>Table3.110[[#This Row],[Functional Group]]</f>
        <v>Herbaceous</v>
      </c>
      <c r="M966" s="230" t="str">
        <f>Table3.110[[#This Row],[CIAT ID]]</f>
        <v>F252618</v>
      </c>
      <c r="N966" s="230">
        <f>Table3.110[[#This Row],[Set CIAT]]</f>
        <v>29</v>
      </c>
      <c r="O966" s="230">
        <f>Table3.110[[#This Row],[Batch]]</f>
        <v>70</v>
      </c>
      <c r="P966" s="230">
        <f>Table3.110[[#This Row],[Run]]</f>
        <v>3</v>
      </c>
      <c r="Q966" s="230">
        <f>Table3.110[[#This Row],[Replication]]</f>
        <v>1</v>
      </c>
      <c r="R966" s="230">
        <f>Table3.110[[#This Row],[Syrange No]]</f>
        <v>231</v>
      </c>
      <c r="S966" s="98">
        <v>0.59399999999999997</v>
      </c>
      <c r="T966" s="98">
        <v>0.76449999999999996</v>
      </c>
      <c r="U966" s="110"/>
      <c r="V966" s="283">
        <f t="shared" si="86"/>
        <v>0.17049999999999998</v>
      </c>
      <c r="W966" s="61">
        <f>Table3.110[[#This Row],[DM Incubated, mg]]-('3.2 Digest'!V966*1000)</f>
        <v>282.87029499999971</v>
      </c>
      <c r="X966" s="61">
        <f>W966/Table3.110[[#This Row],[DM Incubated, mg]]*100</f>
        <v>62.392772115782293</v>
      </c>
      <c r="Y966" s="30">
        <f>Table3.110[[#This Row],[DM Incubated, mg]]*'2.4 NDF'!R225/100</f>
        <v>190.30216179065701</v>
      </c>
      <c r="Z966" s="37">
        <f t="shared" si="87"/>
        <v>19.802161790657038</v>
      </c>
      <c r="AA966" s="37">
        <f t="shared" si="88"/>
        <v>10.405642061197666</v>
      </c>
      <c r="AB966" s="6"/>
    </row>
    <row r="967" spans="2:28" ht="14.4" customHeight="1" x14ac:dyDescent="0.35">
      <c r="B967" s="230">
        <f t="shared" si="85"/>
        <v>957</v>
      </c>
      <c r="C967" s="9"/>
      <c r="D967" s="248">
        <f>Table3.110[[#This Row],[Date]]</f>
        <v>46078</v>
      </c>
      <c r="E967" s="230" t="str">
        <f>Table3.110[[#This Row],[Requisitioner]]</f>
        <v>Genbank</v>
      </c>
      <c r="F967" s="230" t="str">
        <f>Table3.110[[#This Row],[Gene Bank ID]]</f>
        <v>CIAT34040</v>
      </c>
      <c r="G967" s="230" t="str">
        <f>Table3.110[[#This Row],[Genus]]</f>
        <v>Vigna</v>
      </c>
      <c r="H967" s="230" t="str">
        <f>Table3.110[[#This Row],[Species]]</f>
        <v>aconitifolia</v>
      </c>
      <c r="I967" s="230" t="str">
        <f>Table3.110[[#This Row],[Tax Name]]</f>
        <v>Vigna aconitifolia</v>
      </c>
      <c r="J967" s="230" t="str">
        <f>Table3.110[[#This Row],[Family]]</f>
        <v>Fabaceae</v>
      </c>
      <c r="K967" s="230" t="str">
        <f>Table3.110[[#This Row],[Order]]</f>
        <v>Fabales</v>
      </c>
      <c r="L967" s="230" t="str">
        <f>Table3.110[[#This Row],[Functional Group]]</f>
        <v>Herbaceous</v>
      </c>
      <c r="M967" s="230" t="str">
        <f>Table3.110[[#This Row],[CIAT ID]]</f>
        <v>F252618</v>
      </c>
      <c r="N967" s="230">
        <f>Table3.110[[#This Row],[Set CIAT]]</f>
        <v>29</v>
      </c>
      <c r="O967" s="230">
        <f>Table3.110[[#This Row],[Batch]]</f>
        <v>70</v>
      </c>
      <c r="P967" s="230">
        <f>Table3.110[[#This Row],[Run]]</f>
        <v>3</v>
      </c>
      <c r="Q967" s="230">
        <f>Table3.110[[#This Row],[Replication]]</f>
        <v>2</v>
      </c>
      <c r="R967" s="230">
        <f>Table3.110[[#This Row],[Syrange No]]</f>
        <v>232</v>
      </c>
      <c r="S967" s="250">
        <v>0.55989999999999995</v>
      </c>
      <c r="T967" s="250">
        <v>0.74970000000000003</v>
      </c>
      <c r="U967" s="265"/>
      <c r="V967" s="283">
        <f t="shared" si="86"/>
        <v>0.18980000000000008</v>
      </c>
      <c r="W967" s="61">
        <f>Table3.110[[#This Row],[DM Incubated, mg]]-('3.2 Digest'!V967*1000)</f>
        <v>263.6609509278141</v>
      </c>
      <c r="X967" s="61">
        <f>W967/Table3.110[[#This Row],[DM Incubated, mg]]*100</f>
        <v>58.144135760387869</v>
      </c>
      <c r="Y967" s="30">
        <f>Table3.110[[#This Row],[DM Incubated, mg]]*'2.4 NDF'!R225/100</f>
        <v>190.34021461245075</v>
      </c>
      <c r="Z967" s="37">
        <f t="shared" si="87"/>
        <v>0.54021461245068281</v>
      </c>
      <c r="AA967" s="37">
        <f t="shared" si="88"/>
        <v>0.28381527968254466</v>
      </c>
      <c r="AB967" s="6"/>
    </row>
    <row r="968" spans="2:28" ht="14.4" customHeight="1" x14ac:dyDescent="0.35">
      <c r="B968" s="230">
        <f t="shared" si="85"/>
        <v>958</v>
      </c>
      <c r="C968" s="9"/>
      <c r="D968" s="248">
        <f>Table3.110[[#This Row],[Date]]</f>
        <v>46078</v>
      </c>
      <c r="E968" s="230" t="str">
        <f>Table3.110[[#This Row],[Requisitioner]]</f>
        <v>Genbank</v>
      </c>
      <c r="F968" s="230" t="str">
        <f>Table3.110[[#This Row],[Gene Bank ID]]</f>
        <v>CIAT34042</v>
      </c>
      <c r="G968" s="230" t="str">
        <f>Table3.110[[#This Row],[Genus]]</f>
        <v>Vigna</v>
      </c>
      <c r="H968" s="230" t="str">
        <f>Table3.110[[#This Row],[Species]]</f>
        <v>aconitifolia</v>
      </c>
      <c r="I968" s="230" t="str">
        <f>Table3.110[[#This Row],[Tax Name]]</f>
        <v>Vigna aconitifolia</v>
      </c>
      <c r="J968" s="230" t="str">
        <f>Table3.110[[#This Row],[Family]]</f>
        <v>Fabaceae</v>
      </c>
      <c r="K968" s="230" t="str">
        <f>Table3.110[[#This Row],[Order]]</f>
        <v>Fabales</v>
      </c>
      <c r="L968" s="230" t="str">
        <f>Table3.110[[#This Row],[Functional Group]]</f>
        <v>Herbaceous</v>
      </c>
      <c r="M968" s="230" t="str">
        <f>Table3.110[[#This Row],[CIAT ID]]</f>
        <v>F252619</v>
      </c>
      <c r="N968" s="230">
        <f>Table3.110[[#This Row],[Set CIAT]]</f>
        <v>29</v>
      </c>
      <c r="O968" s="230">
        <f>Table3.110[[#This Row],[Batch]]</f>
        <v>70</v>
      </c>
      <c r="P968" s="230">
        <f>Table3.110[[#This Row],[Run]]</f>
        <v>3</v>
      </c>
      <c r="Q968" s="230">
        <f>Table3.110[[#This Row],[Replication]]</f>
        <v>1</v>
      </c>
      <c r="R968" s="230">
        <f>Table3.110[[#This Row],[Syrange No]]</f>
        <v>233</v>
      </c>
      <c r="S968" s="98">
        <v>0.58199999999999996</v>
      </c>
      <c r="T968" s="98">
        <v>0.77910000000000001</v>
      </c>
      <c r="U968" s="110"/>
      <c r="V968" s="283">
        <f t="shared" si="86"/>
        <v>0.19710000000000005</v>
      </c>
      <c r="W968" s="61">
        <f>Table3.110[[#This Row],[DM Incubated, mg]]-('3.2 Digest'!V968*1000)</f>
        <v>258.43660633936599</v>
      </c>
      <c r="X968" s="61">
        <f>W968/Table3.110[[#This Row],[DM Incubated, mg]]*100</f>
        <v>56.73234658705686</v>
      </c>
      <c r="Y968" s="30">
        <f>Table3.110[[#This Row],[DM Incubated, mg]]*'2.4 NDF'!R227/100</f>
        <v>223.0312635592735</v>
      </c>
      <c r="Z968" s="37">
        <f t="shared" si="87"/>
        <v>25.931263559273447</v>
      </c>
      <c r="AA968" s="37">
        <f t="shared" si="88"/>
        <v>11.626739294503379</v>
      </c>
      <c r="AB968" s="6"/>
    </row>
    <row r="969" spans="2:28" ht="14.4" customHeight="1" x14ac:dyDescent="0.35">
      <c r="B969" s="230">
        <f t="shared" si="85"/>
        <v>959</v>
      </c>
      <c r="C969" s="9"/>
      <c r="D969" s="248">
        <f>Table3.110[[#This Row],[Date]]</f>
        <v>46078</v>
      </c>
      <c r="E969" s="230" t="str">
        <f>Table3.110[[#This Row],[Requisitioner]]</f>
        <v>Genbank</v>
      </c>
      <c r="F969" s="230" t="str">
        <f>Table3.110[[#This Row],[Gene Bank ID]]</f>
        <v>CIAT34042</v>
      </c>
      <c r="G969" s="230" t="str">
        <f>Table3.110[[#This Row],[Genus]]</f>
        <v>Vigna</v>
      </c>
      <c r="H969" s="230" t="str">
        <f>Table3.110[[#This Row],[Species]]</f>
        <v>aconitifolia</v>
      </c>
      <c r="I969" s="230" t="str">
        <f>Table3.110[[#This Row],[Tax Name]]</f>
        <v>Vigna aconitifolia</v>
      </c>
      <c r="J969" s="230" t="str">
        <f>Table3.110[[#This Row],[Family]]</f>
        <v>Fabaceae</v>
      </c>
      <c r="K969" s="230" t="str">
        <f>Table3.110[[#This Row],[Order]]</f>
        <v>Fabales</v>
      </c>
      <c r="L969" s="230" t="str">
        <f>Table3.110[[#This Row],[Functional Group]]</f>
        <v>Herbaceous</v>
      </c>
      <c r="M969" s="230" t="str">
        <f>Table3.110[[#This Row],[CIAT ID]]</f>
        <v>F252619</v>
      </c>
      <c r="N969" s="230">
        <f>Table3.110[[#This Row],[Set CIAT]]</f>
        <v>29</v>
      </c>
      <c r="O969" s="230">
        <f>Table3.110[[#This Row],[Batch]]</f>
        <v>70</v>
      </c>
      <c r="P969" s="230">
        <f>Table3.110[[#This Row],[Run]]</f>
        <v>3</v>
      </c>
      <c r="Q969" s="230">
        <f>Table3.110[[#This Row],[Replication]]</f>
        <v>2</v>
      </c>
      <c r="R969" s="230">
        <f>Table3.110[[#This Row],[Syrange No]]</f>
        <v>234</v>
      </c>
      <c r="S969" s="250">
        <v>0.55840000000000001</v>
      </c>
      <c r="T969" s="250">
        <v>0.77969999999999995</v>
      </c>
      <c r="U969" s="265"/>
      <c r="V969" s="283">
        <f t="shared" si="86"/>
        <v>0.22129999999999994</v>
      </c>
      <c r="W969" s="61">
        <f>Table3.110[[#This Row],[DM Incubated, mg]]-('3.2 Digest'!V969*1000)</f>
        <v>234.05446455354473</v>
      </c>
      <c r="X969" s="61">
        <f>W969/Table3.110[[#This Row],[DM Incubated, mg]]*100</f>
        <v>51.400498462889779</v>
      </c>
      <c r="Y969" s="30">
        <f>Table3.110[[#This Row],[DM Incubated, mg]]*'2.4 NDF'!R227/100</f>
        <v>222.94208672458367</v>
      </c>
      <c r="Z969" s="37">
        <f t="shared" si="87"/>
        <v>1.6420867245837201</v>
      </c>
      <c r="AA969" s="37">
        <f t="shared" si="88"/>
        <v>0.73655304330774807</v>
      </c>
      <c r="AB969" s="6"/>
    </row>
    <row r="970" spans="2:28" ht="14.4" customHeight="1" x14ac:dyDescent="0.35">
      <c r="B970" s="230">
        <f t="shared" si="85"/>
        <v>960</v>
      </c>
      <c r="C970" s="9"/>
      <c r="D970" s="248">
        <f>Table3.110[[#This Row],[Date]]</f>
        <v>46078</v>
      </c>
      <c r="E970" s="230" t="str">
        <f>Table3.110[[#This Row],[Requisitioner]]</f>
        <v>Genbank</v>
      </c>
      <c r="F970" s="230" t="str">
        <f>Table3.110[[#This Row],[Gene Bank ID]]</f>
        <v>CIAT34044</v>
      </c>
      <c r="G970" s="230" t="str">
        <f>Table3.110[[#This Row],[Genus]]</f>
        <v>Vigna</v>
      </c>
      <c r="H970" s="230" t="str">
        <f>Table3.110[[#This Row],[Species]]</f>
        <v>aconitifolia</v>
      </c>
      <c r="I970" s="230" t="str">
        <f>Table3.110[[#This Row],[Tax Name]]</f>
        <v>Vigna aconitifolia</v>
      </c>
      <c r="J970" s="230" t="str">
        <f>Table3.110[[#This Row],[Family]]</f>
        <v>Fabaceae</v>
      </c>
      <c r="K970" s="230" t="str">
        <f>Table3.110[[#This Row],[Order]]</f>
        <v>Fabales</v>
      </c>
      <c r="L970" s="230" t="str">
        <f>Table3.110[[#This Row],[Functional Group]]</f>
        <v>Herbaceous</v>
      </c>
      <c r="M970" s="230" t="str">
        <f>Table3.110[[#This Row],[CIAT ID]]</f>
        <v>F252620</v>
      </c>
      <c r="N970" s="230">
        <f>Table3.110[[#This Row],[Set CIAT]]</f>
        <v>29</v>
      </c>
      <c r="O970" s="230">
        <f>Table3.110[[#This Row],[Batch]]</f>
        <v>70</v>
      </c>
      <c r="P970" s="230">
        <f>Table3.110[[#This Row],[Run]]</f>
        <v>3</v>
      </c>
      <c r="Q970" s="230">
        <f>Table3.110[[#This Row],[Replication]]</f>
        <v>1</v>
      </c>
      <c r="R970" s="230">
        <f>Table3.110[[#This Row],[Syrange No]]</f>
        <v>235</v>
      </c>
      <c r="S970" s="98">
        <v>0.57530000000000003</v>
      </c>
      <c r="T970" s="98">
        <v>0.72340000000000004</v>
      </c>
      <c r="U970" s="110"/>
      <c r="V970" s="283">
        <f t="shared" si="86"/>
        <v>0.14810000000000001</v>
      </c>
      <c r="W970" s="61">
        <f>Table3.110[[#This Row],[DM Incubated, mg]]-('3.2 Digest'!V970*1000)</f>
        <v>310.13946068940305</v>
      </c>
      <c r="X970" s="61">
        <f>W970/Table3.110[[#This Row],[DM Incubated, mg]]*100</f>
        <v>67.680653303582929</v>
      </c>
      <c r="Y970" s="30">
        <f>Table3.110[[#This Row],[DM Incubated, mg]]*'2.4 NDF'!R229/100</f>
        <v>248.6726499043387</v>
      </c>
      <c r="Z970" s="37">
        <f t="shared" si="87"/>
        <v>100.57264990433868</v>
      </c>
      <c r="AA970" s="37">
        <f t="shared" si="88"/>
        <v>40.443792247771412</v>
      </c>
      <c r="AB970" s="6"/>
    </row>
    <row r="971" spans="2:28" ht="14.4" customHeight="1" x14ac:dyDescent="0.35">
      <c r="B971" s="230">
        <f t="shared" si="85"/>
        <v>961</v>
      </c>
      <c r="C971" s="9"/>
      <c r="D971" s="248">
        <f>Table3.110[[#This Row],[Date]]</f>
        <v>46078</v>
      </c>
      <c r="E971" s="230" t="str">
        <f>Table3.110[[#This Row],[Requisitioner]]</f>
        <v>Genbank</v>
      </c>
      <c r="F971" s="230" t="str">
        <f>Table3.110[[#This Row],[Gene Bank ID]]</f>
        <v>CIAT34044</v>
      </c>
      <c r="G971" s="230" t="str">
        <f>Table3.110[[#This Row],[Genus]]</f>
        <v>Vigna</v>
      </c>
      <c r="H971" s="230" t="str">
        <f>Table3.110[[#This Row],[Species]]</f>
        <v>aconitifolia</v>
      </c>
      <c r="I971" s="230" t="str">
        <f>Table3.110[[#This Row],[Tax Name]]</f>
        <v>Vigna aconitifolia</v>
      </c>
      <c r="J971" s="230" t="str">
        <f>Table3.110[[#This Row],[Family]]</f>
        <v>Fabaceae</v>
      </c>
      <c r="K971" s="230" t="str">
        <f>Table3.110[[#This Row],[Order]]</f>
        <v>Fabales</v>
      </c>
      <c r="L971" s="230" t="str">
        <f>Table3.110[[#This Row],[Functional Group]]</f>
        <v>Herbaceous</v>
      </c>
      <c r="M971" s="230" t="str">
        <f>Table3.110[[#This Row],[CIAT ID]]</f>
        <v>F252620</v>
      </c>
      <c r="N971" s="230">
        <f>Table3.110[[#This Row],[Set CIAT]]</f>
        <v>29</v>
      </c>
      <c r="O971" s="230">
        <f>Table3.110[[#This Row],[Batch]]</f>
        <v>70</v>
      </c>
      <c r="P971" s="230">
        <f>Table3.110[[#This Row],[Run]]</f>
        <v>3</v>
      </c>
      <c r="Q971" s="230">
        <f>Table3.110[[#This Row],[Replication]]</f>
        <v>2</v>
      </c>
      <c r="R971" s="230">
        <f>Table3.110[[#This Row],[Syrange No]]</f>
        <v>236</v>
      </c>
      <c r="S971" s="250">
        <v>0.55710000000000004</v>
      </c>
      <c r="T971" s="250">
        <v>0.72019999999999995</v>
      </c>
      <c r="U971" s="265"/>
      <c r="V971" s="283">
        <f t="shared" si="86"/>
        <v>0.16309999999999991</v>
      </c>
      <c r="W971" s="61">
        <f>Table3.110[[#This Row],[DM Incubated, mg]]-('3.2 Digest'!V971*1000)</f>
        <v>294.95631142453925</v>
      </c>
      <c r="X971" s="61">
        <f>W971/Table3.110[[#This Row],[DM Incubated, mg]]*100</f>
        <v>64.393024191116453</v>
      </c>
      <c r="Y971" s="30">
        <f>Table3.110[[#This Row],[DM Incubated, mg]]*'2.4 NDF'!R229/100</f>
        <v>248.57326035601557</v>
      </c>
      <c r="Z971" s="37">
        <f t="shared" si="87"/>
        <v>85.473260356015658</v>
      </c>
      <c r="AA971" s="37">
        <f t="shared" si="88"/>
        <v>34.385541000507367</v>
      </c>
      <c r="AB971" s="6"/>
    </row>
    <row r="972" spans="2:28" ht="14.4" customHeight="1" x14ac:dyDescent="0.35">
      <c r="B972" s="230">
        <f t="shared" si="85"/>
        <v>962</v>
      </c>
      <c r="C972" s="9"/>
      <c r="D972" s="248">
        <f>Table3.110[[#This Row],[Date]]</f>
        <v>46078</v>
      </c>
      <c r="E972" s="230" t="str">
        <f>Table3.110[[#This Row],[Requisitioner]]</f>
        <v>Genbank</v>
      </c>
      <c r="F972" s="230" t="str">
        <f>Table3.110[[#This Row],[Gene Bank ID]]</f>
        <v>CIAT34148</v>
      </c>
      <c r="G972" s="230" t="str">
        <f>Table3.110[[#This Row],[Genus]]</f>
        <v>Vigna</v>
      </c>
      <c r="H972" s="230" t="str">
        <f>Table3.110[[#This Row],[Species]]</f>
        <v>radiata</v>
      </c>
      <c r="I972" s="230" t="str">
        <f>Table3.110[[#This Row],[Tax Name]]</f>
        <v>Vigna radiata</v>
      </c>
      <c r="J972" s="230" t="str">
        <f>Table3.110[[#This Row],[Family]]</f>
        <v>Fabaceae</v>
      </c>
      <c r="K972" s="230" t="str">
        <f>Table3.110[[#This Row],[Order]]</f>
        <v>Fabales</v>
      </c>
      <c r="L972" s="230" t="str">
        <f>Table3.110[[#This Row],[Functional Group]]</f>
        <v>Herbaceous</v>
      </c>
      <c r="M972" s="230" t="str">
        <f>Table3.110[[#This Row],[CIAT ID]]</f>
        <v>F252621</v>
      </c>
      <c r="N972" s="230">
        <f>Table3.110[[#This Row],[Set CIAT]]</f>
        <v>29</v>
      </c>
      <c r="O972" s="230">
        <f>Table3.110[[#This Row],[Batch]]</f>
        <v>70</v>
      </c>
      <c r="P972" s="230">
        <f>Table3.110[[#This Row],[Run]]</f>
        <v>3</v>
      </c>
      <c r="Q972" s="230">
        <f>Table3.110[[#This Row],[Replication]]</f>
        <v>1</v>
      </c>
      <c r="R972" s="230">
        <f>Table3.110[[#This Row],[Syrange No]]</f>
        <v>237</v>
      </c>
      <c r="S972" s="98">
        <v>0.59160000000000001</v>
      </c>
      <c r="T972" s="98">
        <v>0.79700000000000004</v>
      </c>
      <c r="U972" s="110"/>
      <c r="V972" s="283">
        <f t="shared" si="86"/>
        <v>0.20540000000000003</v>
      </c>
      <c r="W972" s="61">
        <f>Table3.110[[#This Row],[DM Incubated, mg]]-('3.2 Digest'!V972*1000)</f>
        <v>242.6712295549487</v>
      </c>
      <c r="X972" s="61">
        <f>W972/Table3.110[[#This Row],[DM Incubated, mg]]*100</f>
        <v>54.159074171306273</v>
      </c>
      <c r="Y972" s="30">
        <f>Table3.110[[#This Row],[DM Incubated, mg]]*'2.4 NDF'!R231/100</f>
        <v>200.49475060937394</v>
      </c>
      <c r="Z972" s="37">
        <f t="shared" si="87"/>
        <v>-4.9052493906260963</v>
      </c>
      <c r="AA972" s="37">
        <f t="shared" si="88"/>
        <v>-2.4465724791882684</v>
      </c>
      <c r="AB972" s="6"/>
    </row>
    <row r="973" spans="2:28" ht="14.4" customHeight="1" x14ac:dyDescent="0.35">
      <c r="B973" s="230">
        <f t="shared" si="85"/>
        <v>963</v>
      </c>
      <c r="C973" s="9"/>
      <c r="D973" s="248">
        <f>Table3.110[[#This Row],[Date]]</f>
        <v>46078</v>
      </c>
      <c r="E973" s="230" t="str">
        <f>Table3.110[[#This Row],[Requisitioner]]</f>
        <v>Genbank</v>
      </c>
      <c r="F973" s="230" t="str">
        <f>Table3.110[[#This Row],[Gene Bank ID]]</f>
        <v>CIAT34148</v>
      </c>
      <c r="G973" s="230" t="str">
        <f>Table3.110[[#This Row],[Genus]]</f>
        <v>Vigna</v>
      </c>
      <c r="H973" s="230" t="str">
        <f>Table3.110[[#This Row],[Species]]</f>
        <v>radiata</v>
      </c>
      <c r="I973" s="230" t="str">
        <f>Table3.110[[#This Row],[Tax Name]]</f>
        <v>Vigna radiata</v>
      </c>
      <c r="J973" s="230" t="str">
        <f>Table3.110[[#This Row],[Family]]</f>
        <v>Fabaceae</v>
      </c>
      <c r="K973" s="230" t="str">
        <f>Table3.110[[#This Row],[Order]]</f>
        <v>Fabales</v>
      </c>
      <c r="L973" s="230" t="str">
        <f>Table3.110[[#This Row],[Functional Group]]</f>
        <v>Herbaceous</v>
      </c>
      <c r="M973" s="230" t="str">
        <f>Table3.110[[#This Row],[CIAT ID]]</f>
        <v>F252621</v>
      </c>
      <c r="N973" s="230">
        <f>Table3.110[[#This Row],[Set CIAT]]</f>
        <v>29</v>
      </c>
      <c r="O973" s="230">
        <f>Table3.110[[#This Row],[Batch]]</f>
        <v>70</v>
      </c>
      <c r="P973" s="230">
        <f>Table3.110[[#This Row],[Run]]</f>
        <v>3</v>
      </c>
      <c r="Q973" s="230">
        <f>Table3.110[[#This Row],[Replication]]</f>
        <v>2</v>
      </c>
      <c r="R973" s="230">
        <f>Table3.110[[#This Row],[Syrange No]]</f>
        <v>238</v>
      </c>
      <c r="S973" s="250">
        <v>0.5706</v>
      </c>
      <c r="T973" s="250">
        <v>0.75009999999999999</v>
      </c>
      <c r="U973" s="265"/>
      <c r="V973" s="283">
        <f t="shared" si="86"/>
        <v>0.17949999999999999</v>
      </c>
      <c r="W973" s="61">
        <f>Table3.110[[#This Row],[DM Incubated, mg]]-('3.2 Digest'!V973*1000)</f>
        <v>268.57122955494873</v>
      </c>
      <c r="X973" s="61">
        <f>W973/Table3.110[[#This Row],[DM Incubated, mg]]*100</f>
        <v>59.939405130231151</v>
      </c>
      <c r="Y973" s="30">
        <f>Table3.110[[#This Row],[DM Incubated, mg]]*'2.4 NDF'!R231/100</f>
        <v>200.49475060937394</v>
      </c>
      <c r="Z973" s="37">
        <f t="shared" si="87"/>
        <v>20.994750609373938</v>
      </c>
      <c r="AA973" s="37">
        <f t="shared" si="88"/>
        <v>10.471471470232272</v>
      </c>
      <c r="AB973" s="6"/>
    </row>
    <row r="974" spans="2:28" ht="14.4" customHeight="1" x14ac:dyDescent="0.35">
      <c r="B974" s="230">
        <f t="shared" si="85"/>
        <v>964</v>
      </c>
      <c r="C974" s="9"/>
      <c r="D974" s="248">
        <f>Table3.110[[#This Row],[Date]]</f>
        <v>46078</v>
      </c>
      <c r="E974" s="230" t="str">
        <f>Table3.110[[#This Row],[Requisitioner]]</f>
        <v>Genbank</v>
      </c>
      <c r="F974" s="230" t="str">
        <f>Table3.110[[#This Row],[Gene Bank ID]]</f>
        <v>CIAT34159</v>
      </c>
      <c r="G974" s="230" t="str">
        <f>Table3.110[[#This Row],[Genus]]</f>
        <v>Vigna</v>
      </c>
      <c r="H974" s="230" t="str">
        <f>Table3.110[[#This Row],[Species]]</f>
        <v>unguiculata</v>
      </c>
      <c r="I974" s="230" t="str">
        <f>Table3.110[[#This Row],[Tax Name]]</f>
        <v>Vigna unguiculata</v>
      </c>
      <c r="J974" s="230" t="str">
        <f>Table3.110[[#This Row],[Family]]</f>
        <v>Fabaceae</v>
      </c>
      <c r="K974" s="230" t="str">
        <f>Table3.110[[#This Row],[Order]]</f>
        <v>Fabales</v>
      </c>
      <c r="L974" s="230" t="str">
        <f>Table3.110[[#This Row],[Functional Group]]</f>
        <v>Herbaceous</v>
      </c>
      <c r="M974" s="230" t="str">
        <f>Table3.110[[#This Row],[CIAT ID]]</f>
        <v>F252622</v>
      </c>
      <c r="N974" s="230">
        <f>Table3.110[[#This Row],[Set CIAT]]</f>
        <v>29</v>
      </c>
      <c r="O974" s="230">
        <f>Table3.110[[#This Row],[Batch]]</f>
        <v>70</v>
      </c>
      <c r="P974" s="230">
        <f>Table3.110[[#This Row],[Run]]</f>
        <v>3</v>
      </c>
      <c r="Q974" s="230">
        <f>Table3.110[[#This Row],[Replication]]</f>
        <v>1</v>
      </c>
      <c r="R974" s="230">
        <f>Table3.110[[#This Row],[Syrange No]]</f>
        <v>239</v>
      </c>
      <c r="S974" s="98">
        <v>0.55620000000000003</v>
      </c>
      <c r="T974" s="98">
        <v>0.72419999999999995</v>
      </c>
      <c r="U974" s="110"/>
      <c r="V974" s="283">
        <f t="shared" si="86"/>
        <v>0.16799999999999993</v>
      </c>
      <c r="W974" s="61">
        <f>Table3.110[[#This Row],[DM Incubated, mg]]-('3.2 Digest'!V974*1000)</f>
        <v>284.4119168968366</v>
      </c>
      <c r="X974" s="61">
        <f>W974/Table3.110[[#This Row],[DM Incubated, mg]]*100</f>
        <v>62.865699658767184</v>
      </c>
      <c r="Y974" s="30">
        <f>Table3.110[[#This Row],[DM Incubated, mg]]*'2.4 NDF'!R233/100</f>
        <v>220.03461589803391</v>
      </c>
      <c r="Z974" s="37">
        <f t="shared" si="87"/>
        <v>52.034615898033991</v>
      </c>
      <c r="AA974" s="37">
        <f t="shared" si="88"/>
        <v>23.648377181773668</v>
      </c>
      <c r="AB974" s="6"/>
    </row>
    <row r="975" spans="2:28" ht="14.4" customHeight="1" x14ac:dyDescent="0.35">
      <c r="B975" s="230">
        <f t="shared" si="85"/>
        <v>965</v>
      </c>
      <c r="C975" s="9"/>
      <c r="D975" s="248">
        <f>Table3.110[[#This Row],[Date]]</f>
        <v>46078</v>
      </c>
      <c r="E975" s="230" t="str">
        <f>Table3.110[[#This Row],[Requisitioner]]</f>
        <v>Genbank</v>
      </c>
      <c r="F975" s="230" t="str">
        <f>Table3.110[[#This Row],[Gene Bank ID]]</f>
        <v>CIAT34159</v>
      </c>
      <c r="G975" s="230" t="str">
        <f>Table3.110[[#This Row],[Genus]]</f>
        <v>Vigna</v>
      </c>
      <c r="H975" s="230" t="str">
        <f>Table3.110[[#This Row],[Species]]</f>
        <v>unguiculata</v>
      </c>
      <c r="I975" s="230" t="str">
        <f>Table3.110[[#This Row],[Tax Name]]</f>
        <v>Vigna unguiculata</v>
      </c>
      <c r="J975" s="230" t="str">
        <f>Table3.110[[#This Row],[Family]]</f>
        <v>Fabaceae</v>
      </c>
      <c r="K975" s="230" t="str">
        <f>Table3.110[[#This Row],[Order]]</f>
        <v>Fabales</v>
      </c>
      <c r="L975" s="230" t="str">
        <f>Table3.110[[#This Row],[Functional Group]]</f>
        <v>Herbaceous</v>
      </c>
      <c r="M975" s="230" t="str">
        <f>Table3.110[[#This Row],[CIAT ID]]</f>
        <v>F252622</v>
      </c>
      <c r="N975" s="230">
        <f>Table3.110[[#This Row],[Set CIAT]]</f>
        <v>29</v>
      </c>
      <c r="O975" s="230">
        <f>Table3.110[[#This Row],[Batch]]</f>
        <v>70</v>
      </c>
      <c r="P975" s="230">
        <f>Table3.110[[#This Row],[Run]]</f>
        <v>3</v>
      </c>
      <c r="Q975" s="230">
        <f>Table3.110[[#This Row],[Replication]]</f>
        <v>2</v>
      </c>
      <c r="R975" s="230">
        <f>Table3.110[[#This Row],[Syrange No]]</f>
        <v>240</v>
      </c>
      <c r="S975" s="250">
        <v>0.57289999999999996</v>
      </c>
      <c r="T975" s="250">
        <v>0.72189999999999999</v>
      </c>
      <c r="U975" s="265"/>
      <c r="V975" s="283">
        <f t="shared" si="86"/>
        <v>0.14900000000000002</v>
      </c>
      <c r="W975" s="61">
        <f>Table3.110[[#This Row],[DM Incubated, mg]]-('3.2 Digest'!V975*1000)</f>
        <v>303.41191689683649</v>
      </c>
      <c r="X975" s="61">
        <f>W975/Table3.110[[#This Row],[DM Incubated, mg]]*100</f>
        <v>67.065412197358967</v>
      </c>
      <c r="Y975" s="30">
        <f>Table3.110[[#This Row],[DM Incubated, mg]]*'2.4 NDF'!R233/100</f>
        <v>220.03461589803391</v>
      </c>
      <c r="Z975" s="37">
        <f t="shared" si="87"/>
        <v>71.034615898033877</v>
      </c>
      <c r="AA975" s="37">
        <f t="shared" si="88"/>
        <v>32.283382143358743</v>
      </c>
      <c r="AB975" s="6"/>
    </row>
    <row r="976" spans="2:28" ht="14.4" customHeight="1" x14ac:dyDescent="0.35">
      <c r="B976" s="230">
        <f t="shared" si="85"/>
        <v>966</v>
      </c>
      <c r="C976" s="9"/>
      <c r="D976" s="248">
        <f>Table3.110[[#This Row],[Date]]</f>
        <v>46078</v>
      </c>
      <c r="E976" s="230" t="str">
        <f>Table3.110[[#This Row],[Requisitioner]]</f>
        <v>Genbank</v>
      </c>
      <c r="F976" s="230" t="str">
        <f>Table3.110[[#This Row],[Gene Bank ID]]</f>
        <v>CIAT34347</v>
      </c>
      <c r="G976" s="230" t="str">
        <f>Table3.110[[#This Row],[Genus]]</f>
        <v>Vigna</v>
      </c>
      <c r="H976" s="230" t="str">
        <f>Table3.110[[#This Row],[Species]]</f>
        <v>unguiculata</v>
      </c>
      <c r="I976" s="230" t="str">
        <f>Table3.110[[#This Row],[Tax Name]]</f>
        <v>Vigna unguiculata</v>
      </c>
      <c r="J976" s="230" t="str">
        <f>Table3.110[[#This Row],[Family]]</f>
        <v>Fabaceae</v>
      </c>
      <c r="K976" s="230" t="str">
        <f>Table3.110[[#This Row],[Order]]</f>
        <v>Fabales</v>
      </c>
      <c r="L976" s="230" t="str">
        <f>Table3.110[[#This Row],[Functional Group]]</f>
        <v>Herbaceous</v>
      </c>
      <c r="M976" s="230" t="str">
        <f>Table3.110[[#This Row],[CIAT ID]]</f>
        <v>F252623</v>
      </c>
      <c r="N976" s="230">
        <f>Table3.110[[#This Row],[Set CIAT]]</f>
        <v>29</v>
      </c>
      <c r="O976" s="230">
        <f>Table3.110[[#This Row],[Batch]]</f>
        <v>70</v>
      </c>
      <c r="P976" s="230">
        <f>Table3.110[[#This Row],[Run]]</f>
        <v>3</v>
      </c>
      <c r="Q976" s="230">
        <f>Table3.110[[#This Row],[Replication]]</f>
        <v>1</v>
      </c>
      <c r="R976" s="230">
        <f>Table3.110[[#This Row],[Syrange No]]</f>
        <v>241</v>
      </c>
      <c r="S976" s="98">
        <v>0.56830000000000003</v>
      </c>
      <c r="T976" s="98">
        <v>0.70609999999999995</v>
      </c>
      <c r="U976" s="110"/>
      <c r="V976" s="283">
        <f t="shared" si="86"/>
        <v>0.13779999999999992</v>
      </c>
      <c r="W976" s="61">
        <f>Table3.110[[#This Row],[DM Incubated, mg]]-('3.2 Digest'!V976*1000)</f>
        <v>309.75261921423612</v>
      </c>
      <c r="X976" s="61">
        <f>W976/Table3.110[[#This Row],[DM Incubated, mg]]*100</f>
        <v>69.210324309589751</v>
      </c>
      <c r="Y976" s="30">
        <f>Table3.110[[#This Row],[DM Incubated, mg]]*'2.4 NDF'!R235/100</f>
        <v>190.99982625002693</v>
      </c>
      <c r="Z976" s="37">
        <f t="shared" si="87"/>
        <v>53.199826250027002</v>
      </c>
      <c r="AA976" s="37">
        <f t="shared" si="88"/>
        <v>27.853337510572473</v>
      </c>
      <c r="AB976" s="6"/>
    </row>
    <row r="977" spans="2:28" ht="14.4" customHeight="1" x14ac:dyDescent="0.35">
      <c r="B977" s="230">
        <f t="shared" si="85"/>
        <v>967</v>
      </c>
      <c r="C977" s="9"/>
      <c r="D977" s="248">
        <f>Table3.110[[#This Row],[Date]]</f>
        <v>46078</v>
      </c>
      <c r="E977" s="230" t="str">
        <f>Table3.110[[#This Row],[Requisitioner]]</f>
        <v>Genbank</v>
      </c>
      <c r="F977" s="230" t="str">
        <f>Table3.110[[#This Row],[Gene Bank ID]]</f>
        <v>CIAT34347</v>
      </c>
      <c r="G977" s="230" t="str">
        <f>Table3.110[[#This Row],[Genus]]</f>
        <v>Vigna</v>
      </c>
      <c r="H977" s="230" t="str">
        <f>Table3.110[[#This Row],[Species]]</f>
        <v>unguiculata</v>
      </c>
      <c r="I977" s="230" t="str">
        <f>Table3.110[[#This Row],[Tax Name]]</f>
        <v>Vigna unguiculata</v>
      </c>
      <c r="J977" s="230" t="str">
        <f>Table3.110[[#This Row],[Family]]</f>
        <v>Fabaceae</v>
      </c>
      <c r="K977" s="230" t="str">
        <f>Table3.110[[#This Row],[Order]]</f>
        <v>Fabales</v>
      </c>
      <c r="L977" s="230" t="str">
        <f>Table3.110[[#This Row],[Functional Group]]</f>
        <v>Herbaceous</v>
      </c>
      <c r="M977" s="230" t="str">
        <f>Table3.110[[#This Row],[CIAT ID]]</f>
        <v>F252623</v>
      </c>
      <c r="N977" s="230">
        <f>Table3.110[[#This Row],[Set CIAT]]</f>
        <v>29</v>
      </c>
      <c r="O977" s="230">
        <f>Table3.110[[#This Row],[Batch]]</f>
        <v>70</v>
      </c>
      <c r="P977" s="230">
        <f>Table3.110[[#This Row],[Run]]</f>
        <v>3</v>
      </c>
      <c r="Q977" s="230">
        <f>Table3.110[[#This Row],[Replication]]</f>
        <v>2</v>
      </c>
      <c r="R977" s="230">
        <f>Table3.110[[#This Row],[Syrange No]]</f>
        <v>242</v>
      </c>
      <c r="S977" s="250">
        <v>0.5746</v>
      </c>
      <c r="T977" s="250">
        <v>0.73699999999999999</v>
      </c>
      <c r="U977" s="265"/>
      <c r="V977" s="283">
        <f t="shared" si="86"/>
        <v>0.16239999999999999</v>
      </c>
      <c r="W977" s="61">
        <f>Table3.110[[#This Row],[DM Incubated, mg]]-('3.2 Digest'!V977*1000)</f>
        <v>285.33160446487153</v>
      </c>
      <c r="X977" s="61">
        <f>W977/Table3.110[[#This Row],[DM Incubated, mg]]*100</f>
        <v>63.728269708791196</v>
      </c>
      <c r="Y977" s="30">
        <f>Table3.110[[#This Row],[DM Incubated, mg]]*'2.4 NDF'!R235/100</f>
        <v>191.07621090359618</v>
      </c>
      <c r="Z977" s="37">
        <f t="shared" si="87"/>
        <v>28.6762109035962</v>
      </c>
      <c r="AA977" s="37">
        <f t="shared" si="88"/>
        <v>15.007734750436427</v>
      </c>
      <c r="AB977" s="6"/>
    </row>
    <row r="978" spans="2:28" ht="14.4" customHeight="1" x14ac:dyDescent="0.35">
      <c r="B978" s="230">
        <f t="shared" si="85"/>
        <v>968</v>
      </c>
      <c r="C978" s="9"/>
      <c r="D978" s="248">
        <f>Table3.110[[#This Row],[Date]]</f>
        <v>46078</v>
      </c>
      <c r="E978" s="230" t="str">
        <f>Table3.110[[#This Row],[Requisitioner]]</f>
        <v>Genbank</v>
      </c>
      <c r="F978" s="230" t="str">
        <f>Table3.110[[#This Row],[Gene Bank ID]]</f>
        <v>CIAT-23715</v>
      </c>
      <c r="G978" s="230" t="str">
        <f>Table3.110[[#This Row],[Genus]]</f>
        <v>Desmodium</v>
      </c>
      <c r="H978" s="230" t="str">
        <f>Table3.110[[#This Row],[Species]]</f>
        <v>sequax</v>
      </c>
      <c r="I978" s="230" t="str">
        <f>Table3.110[[#This Row],[Tax Name]]</f>
        <v>Desmodium sequax</v>
      </c>
      <c r="J978" s="230" t="str">
        <f>Table3.110[[#This Row],[Family]]</f>
        <v>Fabaceae</v>
      </c>
      <c r="K978" s="230" t="str">
        <f>Table3.110[[#This Row],[Order]]</f>
        <v>Fabales</v>
      </c>
      <c r="L978" s="230" t="str">
        <f>Table3.110[[#This Row],[Functional Group]]</f>
        <v>Herbaceous</v>
      </c>
      <c r="M978" s="230" t="str">
        <f>Table3.110[[#This Row],[CIAT ID]]</f>
        <v>F251692</v>
      </c>
      <c r="N978" s="230">
        <f>Table3.110[[#This Row],[Set CIAT]]</f>
        <v>29</v>
      </c>
      <c r="O978" s="230">
        <f>Table3.110[[#This Row],[Batch]]</f>
        <v>70</v>
      </c>
      <c r="P978" s="230">
        <f>Table3.110[[#This Row],[Run]]</f>
        <v>3</v>
      </c>
      <c r="Q978" s="230">
        <f>Table3.110[[#This Row],[Replication]]</f>
        <v>1</v>
      </c>
      <c r="R978" s="230">
        <f>Table3.110[[#This Row],[Syrange No]]</f>
        <v>243</v>
      </c>
      <c r="S978" s="98">
        <v>0.60489999999999999</v>
      </c>
      <c r="T978" s="98">
        <v>0.99170000000000003</v>
      </c>
      <c r="U978" s="110"/>
      <c r="V978" s="283">
        <f t="shared" si="86"/>
        <v>0.38680000000000003</v>
      </c>
      <c r="W978" s="61">
        <f>Table3.110[[#This Row],[DM Incubated, mg]]-('3.2 Digest'!V978*1000)</f>
        <v>82.631406213260561</v>
      </c>
      <c r="X978" s="61">
        <f>W978/Table3.110[[#This Row],[DM Incubated, mg]]*100</f>
        <v>17.602445238979492</v>
      </c>
      <c r="Y978" s="30">
        <f>Table3.110[[#This Row],[DM Incubated, mg]]*'2.4 NDF'!R237/100</f>
        <v>307.09326772514089</v>
      </c>
      <c r="Z978" s="37">
        <f t="shared" si="87"/>
        <v>-79.706732274859121</v>
      </c>
      <c r="AA978" s="37">
        <f t="shared" si="88"/>
        <v>-25.955219684659259</v>
      </c>
      <c r="AB978" s="6"/>
    </row>
    <row r="979" spans="2:28" ht="14.4" customHeight="1" x14ac:dyDescent="0.35">
      <c r="B979" s="230">
        <f t="shared" si="85"/>
        <v>969</v>
      </c>
      <c r="C979" s="9"/>
      <c r="D979" s="248">
        <f>Table3.110[[#This Row],[Date]]</f>
        <v>46078</v>
      </c>
      <c r="E979" s="230" t="str">
        <f>Table3.110[[#This Row],[Requisitioner]]</f>
        <v>Genbank</v>
      </c>
      <c r="F979" s="230" t="str">
        <f>Table3.110[[#This Row],[Gene Bank ID]]</f>
        <v>CIAT-23715</v>
      </c>
      <c r="G979" s="230" t="str">
        <f>Table3.110[[#This Row],[Genus]]</f>
        <v>Desmodium</v>
      </c>
      <c r="H979" s="230" t="str">
        <f>Table3.110[[#This Row],[Species]]</f>
        <v>sequax</v>
      </c>
      <c r="I979" s="230" t="str">
        <f>Table3.110[[#This Row],[Tax Name]]</f>
        <v>Desmodium sequax</v>
      </c>
      <c r="J979" s="230" t="str">
        <f>Table3.110[[#This Row],[Family]]</f>
        <v>Fabaceae</v>
      </c>
      <c r="K979" s="230" t="str">
        <f>Table3.110[[#This Row],[Order]]</f>
        <v>Fabales</v>
      </c>
      <c r="L979" s="230" t="str">
        <f>Table3.110[[#This Row],[Functional Group]]</f>
        <v>Herbaceous</v>
      </c>
      <c r="M979" s="230" t="str">
        <f>Table3.110[[#This Row],[CIAT ID]]</f>
        <v>F251692</v>
      </c>
      <c r="N979" s="230">
        <f>Table3.110[[#This Row],[Set CIAT]]</f>
        <v>29</v>
      </c>
      <c r="O979" s="230">
        <f>Table3.110[[#This Row],[Batch]]</f>
        <v>70</v>
      </c>
      <c r="P979" s="230">
        <f>Table3.110[[#This Row],[Run]]</f>
        <v>3</v>
      </c>
      <c r="Q979" s="230">
        <f>Table3.110[[#This Row],[Replication]]</f>
        <v>2</v>
      </c>
      <c r="R979" s="230">
        <f>Table3.110[[#This Row],[Syrange No]]</f>
        <v>244</v>
      </c>
      <c r="S979" s="250">
        <v>0.57789999999999997</v>
      </c>
      <c r="T979" s="250">
        <v>0.98970000000000002</v>
      </c>
      <c r="U979" s="265"/>
      <c r="V979" s="283">
        <f t="shared" si="86"/>
        <v>0.41180000000000005</v>
      </c>
      <c r="W979" s="61">
        <f>Table3.110[[#This Row],[DM Incubated, mg]]-('3.2 Digest'!V979*1000)</f>
        <v>57.631406213260505</v>
      </c>
      <c r="X979" s="61">
        <f>W979/Table3.110[[#This Row],[DM Incubated, mg]]*100</f>
        <v>12.276853540361298</v>
      </c>
      <c r="Y979" s="30">
        <f>Table3.110[[#This Row],[DM Incubated, mg]]*'2.4 NDF'!R237/100</f>
        <v>307.09326772514089</v>
      </c>
      <c r="Z979" s="37">
        <f t="shared" si="87"/>
        <v>-104.70673227485918</v>
      </c>
      <c r="AA979" s="37">
        <f t="shared" si="88"/>
        <v>-34.096068940389578</v>
      </c>
      <c r="AB979" s="6"/>
    </row>
    <row r="980" spans="2:28" ht="14.4" customHeight="1" x14ac:dyDescent="0.35">
      <c r="B980" s="230">
        <f t="shared" si="85"/>
        <v>970</v>
      </c>
      <c r="C980" s="9"/>
      <c r="D980" s="248">
        <f>Table3.110[[#This Row],[Date]]</f>
        <v>46078</v>
      </c>
      <c r="E980" s="230" t="str">
        <f>Table3.110[[#This Row],[Requisitioner]]</f>
        <v>Jacobo Arango/Alejandro Montoya</v>
      </c>
      <c r="F980" s="230" t="str">
        <f>Table3.110[[#This Row],[Gene Bank ID]]</f>
        <v>Sample 8</v>
      </c>
      <c r="G980" s="230" t="str">
        <f>Table3.110[[#This Row],[Genus]]</f>
        <v>Cynodon</v>
      </c>
      <c r="H980" s="230" t="str">
        <f>Table3.110[[#This Row],[Species]]</f>
        <v>nlemfuensis</v>
      </c>
      <c r="I980" s="230" t="str">
        <f>Table3.110[[#This Row],[Tax Name]]</f>
        <v xml:space="preserve">Cynodon nlemfuensis </v>
      </c>
      <c r="J980" s="230" t="str">
        <f>Table3.110[[#This Row],[Family]]</f>
        <v>Poaceae</v>
      </c>
      <c r="K980" s="230" t="str">
        <f>Table3.110[[#This Row],[Order]]</f>
        <v>Poales</v>
      </c>
      <c r="L980" s="230" t="str">
        <f>Table3.110[[#This Row],[Functional Group]]</f>
        <v>grasses</v>
      </c>
      <c r="M980" s="230" t="str">
        <f>Table3.110[[#This Row],[CIAT ID]]</f>
        <v>F250008</v>
      </c>
      <c r="N980" s="230">
        <f>Table3.110[[#This Row],[Set CIAT]]</f>
        <v>29</v>
      </c>
      <c r="O980" s="230">
        <f>Table3.110[[#This Row],[Batch]]</f>
        <v>70</v>
      </c>
      <c r="P980" s="230">
        <f>Table3.110[[#This Row],[Run]]</f>
        <v>3</v>
      </c>
      <c r="Q980" s="230">
        <f>Table3.110[[#This Row],[Replication]]</f>
        <v>1</v>
      </c>
      <c r="R980" s="230">
        <f>Table3.110[[#This Row],[Syrange No]]</f>
        <v>245</v>
      </c>
      <c r="S980" s="98">
        <v>0.55730000000000002</v>
      </c>
      <c r="T980" s="98">
        <v>0.87</v>
      </c>
      <c r="U980" s="110"/>
      <c r="V980" s="283">
        <f t="shared" si="86"/>
        <v>0.31269999999999998</v>
      </c>
      <c r="W980" s="61">
        <f>Table3.110[[#This Row],[DM Incubated, mg]]-('3.2 Digest'!V980*1000)</f>
        <v>155.51774999999992</v>
      </c>
      <c r="X980" s="61">
        <f>W980/Table3.110[[#This Row],[DM Incubated, mg]]*100</f>
        <v>33.214834337228766</v>
      </c>
      <c r="Y980" s="30">
        <f>Table3.110[[#This Row],[DM Incubated, mg]]*'2.4 NDF'!R239/100</f>
        <v>356.31370774999988</v>
      </c>
      <c r="Z980" s="37">
        <f t="shared" si="87"/>
        <v>43.61370774999989</v>
      </c>
      <c r="AA980" s="37">
        <f t="shared" si="88"/>
        <v>12.240255370865647</v>
      </c>
      <c r="AB980" s="6"/>
    </row>
    <row r="981" spans="2:28" ht="14.4" customHeight="1" x14ac:dyDescent="0.35">
      <c r="B981" s="230">
        <f t="shared" ref="B981:B1044" si="89">B980+1</f>
        <v>971</v>
      </c>
      <c r="C981" s="9"/>
      <c r="D981" s="248">
        <f>Table3.110[[#This Row],[Date]]</f>
        <v>46078</v>
      </c>
      <c r="E981" s="230" t="str">
        <f>Table3.110[[#This Row],[Requisitioner]]</f>
        <v>Jacobo Arango/Alejandro Montoya</v>
      </c>
      <c r="F981" s="230" t="str">
        <f>Table3.110[[#This Row],[Gene Bank ID]]</f>
        <v>Sample 8</v>
      </c>
      <c r="G981" s="230" t="str">
        <f>Table3.110[[#This Row],[Genus]]</f>
        <v>Cynodon</v>
      </c>
      <c r="H981" s="230" t="str">
        <f>Table3.110[[#This Row],[Species]]</f>
        <v>nlemfuensis</v>
      </c>
      <c r="I981" s="230" t="str">
        <f>Table3.110[[#This Row],[Tax Name]]</f>
        <v xml:space="preserve">Cynodon nlemfuensis </v>
      </c>
      <c r="J981" s="230" t="str">
        <f>Table3.110[[#This Row],[Family]]</f>
        <v>Poaceae</v>
      </c>
      <c r="K981" s="230" t="str">
        <f>Table3.110[[#This Row],[Order]]</f>
        <v>Poales</v>
      </c>
      <c r="L981" s="230" t="str">
        <f>Table3.110[[#This Row],[Functional Group]]</f>
        <v>grasses</v>
      </c>
      <c r="M981" s="230" t="str">
        <f>Table3.110[[#This Row],[CIAT ID]]</f>
        <v>F250008</v>
      </c>
      <c r="N981" s="230">
        <f>Table3.110[[#This Row],[Set CIAT]]</f>
        <v>29</v>
      </c>
      <c r="O981" s="230">
        <f>Table3.110[[#This Row],[Batch]]</f>
        <v>70</v>
      </c>
      <c r="P981" s="230">
        <f>Table3.110[[#This Row],[Run]]</f>
        <v>3</v>
      </c>
      <c r="Q981" s="230">
        <f>Table3.110[[#This Row],[Replication]]</f>
        <v>2</v>
      </c>
      <c r="R981" s="230">
        <f>Table3.110[[#This Row],[Syrange No]]</f>
        <v>246</v>
      </c>
      <c r="S981" s="250">
        <v>0.60209999999999997</v>
      </c>
      <c r="T981" s="250">
        <v>0.95209999999999995</v>
      </c>
      <c r="U981" s="265"/>
      <c r="V981" s="283">
        <f t="shared" si="86"/>
        <v>0.35</v>
      </c>
      <c r="W981" s="61">
        <f>Table3.110[[#This Row],[DM Incubated, mg]]-('3.2 Digest'!V981*1000)</f>
        <v>118.12419999999992</v>
      </c>
      <c r="X981" s="61">
        <f>W981/Table3.110[[#This Row],[DM Incubated, mg]]*100</f>
        <v>25.233517087986467</v>
      </c>
      <c r="Y981" s="30">
        <f>Table3.110[[#This Row],[DM Incubated, mg]]*'2.4 NDF'!R239/100</f>
        <v>356.2425161999999</v>
      </c>
      <c r="Z981" s="37">
        <f t="shared" si="87"/>
        <v>6.2425161999998977</v>
      </c>
      <c r="AA981" s="37">
        <f t="shared" si="88"/>
        <v>1.7523220604289846</v>
      </c>
      <c r="AB981" s="6"/>
    </row>
    <row r="982" spans="2:28" ht="14.4" customHeight="1" x14ac:dyDescent="0.35">
      <c r="B982" s="230">
        <f t="shared" si="89"/>
        <v>972</v>
      </c>
      <c r="C982" s="9"/>
      <c r="D982" s="248">
        <f>Table3.110[[#This Row],[Date]]</f>
        <v>46064</v>
      </c>
      <c r="E982" s="230">
        <f>Table3.110[[#This Row],[Requisitioner]]</f>
        <v>0</v>
      </c>
      <c r="F982" s="230" t="str">
        <f>Table3.110[[#This Row],[Gene Bank ID]]</f>
        <v>BLANK 24 H</v>
      </c>
      <c r="G982" s="230" t="str">
        <f>Table3.110[[#This Row],[Genus]]</f>
        <v>BLANK</v>
      </c>
      <c r="H982" s="230">
        <f>Table3.110[[#This Row],[Species]]</f>
        <v>0</v>
      </c>
      <c r="I982" s="230" t="str">
        <f>Table3.110[[#This Row],[Tax Name]]</f>
        <v>BLANK 24 H</v>
      </c>
      <c r="J982" s="230">
        <f>Table3.110[[#This Row],[Family]]</f>
        <v>0</v>
      </c>
      <c r="K982" s="230">
        <f>Table3.110[[#This Row],[Order]]</f>
        <v>0</v>
      </c>
      <c r="L982" s="230">
        <f>Table3.110[[#This Row],[Functional Group]]</f>
        <v>0</v>
      </c>
      <c r="M982" s="230" t="str">
        <f>Table3.110[[#This Row],[CIAT ID]]</f>
        <v>BLANK24H</v>
      </c>
      <c r="N982" s="230">
        <f>Table3.110[[#This Row],[Set CIAT]]</f>
        <v>30</v>
      </c>
      <c r="O982" s="230">
        <f>Table3.110[[#This Row],[Batch]]</f>
        <v>64</v>
      </c>
      <c r="P982" s="230">
        <f>Table3.110[[#This Row],[Run]]</f>
        <v>1</v>
      </c>
      <c r="Q982" s="230">
        <f>Table3.110[[#This Row],[Replication]]</f>
        <v>1</v>
      </c>
      <c r="R982" s="230">
        <f>Table3.110[[#This Row],[Syrange No]]</f>
        <v>106</v>
      </c>
      <c r="S982" s="249"/>
      <c r="T982" s="249"/>
      <c r="U982" s="279"/>
      <c r="V982" s="283"/>
      <c r="W982" s="61"/>
      <c r="X982" s="61"/>
      <c r="Y982" s="31"/>
      <c r="Z982" s="61"/>
      <c r="AA982" s="61"/>
      <c r="AB982" s="6"/>
    </row>
    <row r="983" spans="2:28" ht="14.4" customHeight="1" x14ac:dyDescent="0.35">
      <c r="B983" s="230">
        <f t="shared" si="89"/>
        <v>973</v>
      </c>
      <c r="C983" s="9"/>
      <c r="D983" s="248">
        <f>Table3.110[[#This Row],[Date]]</f>
        <v>46064</v>
      </c>
      <c r="E983" s="230">
        <f>Table3.110[[#This Row],[Requisitioner]]</f>
        <v>0</v>
      </c>
      <c r="F983" s="230" t="str">
        <f>Table3.110[[#This Row],[Gene Bank ID]]</f>
        <v>BLANK 24 H</v>
      </c>
      <c r="G983" s="230" t="str">
        <f>Table3.110[[#This Row],[Genus]]</f>
        <v>BLANK</v>
      </c>
      <c r="H983" s="230">
        <f>Table3.110[[#This Row],[Species]]</f>
        <v>0</v>
      </c>
      <c r="I983" s="230" t="str">
        <f>Table3.110[[#This Row],[Tax Name]]</f>
        <v>BLANK 24 H</v>
      </c>
      <c r="J983" s="230">
        <f>Table3.110[[#This Row],[Family]]</f>
        <v>0</v>
      </c>
      <c r="K983" s="230">
        <f>Table3.110[[#This Row],[Order]]</f>
        <v>0</v>
      </c>
      <c r="L983" s="230">
        <f>Table3.110[[#This Row],[Functional Group]]</f>
        <v>0</v>
      </c>
      <c r="M983" s="230" t="str">
        <f>Table3.110[[#This Row],[CIAT ID]]</f>
        <v>BLANK24H</v>
      </c>
      <c r="N983" s="230">
        <f>Table3.110[[#This Row],[Set CIAT]]</f>
        <v>30</v>
      </c>
      <c r="O983" s="230">
        <f>Table3.110[[#This Row],[Batch]]</f>
        <v>64</v>
      </c>
      <c r="P983" s="230">
        <f>Table3.110[[#This Row],[Run]]</f>
        <v>1</v>
      </c>
      <c r="Q983" s="230">
        <f>Table3.110[[#This Row],[Replication]]</f>
        <v>2</v>
      </c>
      <c r="R983" s="230">
        <f>Table3.110[[#This Row],[Syrange No]]</f>
        <v>107</v>
      </c>
      <c r="S983" s="148"/>
      <c r="T983" s="148"/>
      <c r="U983" s="160"/>
      <c r="V983" s="283"/>
      <c r="W983" s="61"/>
      <c r="X983" s="61"/>
      <c r="Y983" s="31"/>
      <c r="Z983" s="61"/>
      <c r="AA983" s="61"/>
      <c r="AB983" s="6"/>
    </row>
    <row r="984" spans="2:28" ht="14.4" customHeight="1" x14ac:dyDescent="0.35">
      <c r="B984" s="230">
        <f t="shared" si="89"/>
        <v>974</v>
      </c>
      <c r="C984" s="9"/>
      <c r="D984" s="248">
        <f>Table3.110[[#This Row],[Date]]</f>
        <v>46064</v>
      </c>
      <c r="E984" s="230" t="str">
        <f>Table3.110[[#This Row],[Requisitioner]]</f>
        <v>Genbank</v>
      </c>
      <c r="F984" s="230" t="str">
        <f>Table3.110[[#This Row],[Gene Bank ID]]</f>
        <v>CIAT590</v>
      </c>
      <c r="G984" s="230" t="str">
        <f>Table3.110[[#This Row],[Genus]]</f>
        <v>Macroptilium</v>
      </c>
      <c r="H984" s="230" t="str">
        <f>Table3.110[[#This Row],[Species]]</f>
        <v>bracteatum</v>
      </c>
      <c r="I984" s="230" t="str">
        <f>Table3.110[[#This Row],[Tax Name]]</f>
        <v>Macroptilium bracteatum</v>
      </c>
      <c r="J984" s="230" t="str">
        <f>Table3.110[[#This Row],[Family]]</f>
        <v>Fabaceae</v>
      </c>
      <c r="K984" s="230" t="str">
        <f>Table3.110[[#This Row],[Order]]</f>
        <v>Fabales</v>
      </c>
      <c r="L984" s="230" t="str">
        <f>Table3.110[[#This Row],[Functional Group]]</f>
        <v>Herbaceous</v>
      </c>
      <c r="M984" s="230" t="str">
        <f>Table3.110[[#This Row],[CIAT ID]]</f>
        <v>F260013</v>
      </c>
      <c r="N984" s="230">
        <f>Table3.110[[#This Row],[Set CIAT]]</f>
        <v>30</v>
      </c>
      <c r="O984" s="230">
        <f>Table3.110[[#This Row],[Batch]]</f>
        <v>64</v>
      </c>
      <c r="P984" s="230">
        <f>Table3.110[[#This Row],[Run]]</f>
        <v>1</v>
      </c>
      <c r="Q984" s="230">
        <f>Table3.110[[#This Row],[Replication]]</f>
        <v>1</v>
      </c>
      <c r="R984" s="230">
        <f>Table3.110[[#This Row],[Syrange No]]</f>
        <v>108</v>
      </c>
      <c r="S984" s="250">
        <v>0.58340000000000003</v>
      </c>
      <c r="T984" s="250">
        <v>0.83350000000000002</v>
      </c>
      <c r="U984" s="265"/>
      <c r="V984" s="283">
        <f t="shared" ref="V984" si="90">T984-S984</f>
        <v>0.25009999999999999</v>
      </c>
      <c r="W984" s="61">
        <f>Table3.110[[#This Row],[DM Incubated, mg]]-('3.2 Digest'!V984*1000)</f>
        <v>213.00726564061611</v>
      </c>
      <c r="X984" s="61">
        <f>W984/Table3.110[[#This Row],[DM Incubated, mg]]*100</f>
        <v>45.995232950181261</v>
      </c>
      <c r="Y984" s="31">
        <f>Table3.110[[#This Row],[DM Incubated, mg]]*'2.4 NDF'!R241/100</f>
        <v>256.84177878534882</v>
      </c>
      <c r="Z984" s="61">
        <f t="shared" ref="Z984" si="91">Y984-(V984*1000)</f>
        <v>6.7417787853488278</v>
      </c>
      <c r="AA984" s="61">
        <f t="shared" ref="AA984" si="92">Z984/Y984*100</f>
        <v>2.6248762242778096</v>
      </c>
      <c r="AB984" s="6"/>
    </row>
    <row r="985" spans="2:28" ht="14.4" customHeight="1" x14ac:dyDescent="0.35">
      <c r="B985" s="230">
        <f t="shared" si="89"/>
        <v>975</v>
      </c>
      <c r="C985" s="9"/>
      <c r="D985" s="248">
        <f>Table3.110[[#This Row],[Date]]</f>
        <v>46064</v>
      </c>
      <c r="E985" s="230" t="str">
        <f>Table3.110[[#This Row],[Requisitioner]]</f>
        <v>Genbank</v>
      </c>
      <c r="F985" s="230" t="str">
        <f>Table3.110[[#This Row],[Gene Bank ID]]</f>
        <v>CIAT590</v>
      </c>
      <c r="G985" s="230" t="str">
        <f>Table3.110[[#This Row],[Genus]]</f>
        <v>Macroptilium</v>
      </c>
      <c r="H985" s="230" t="str">
        <f>Table3.110[[#This Row],[Species]]</f>
        <v>bracteatum</v>
      </c>
      <c r="I985" s="230" t="str">
        <f>Table3.110[[#This Row],[Tax Name]]</f>
        <v>Macroptilium bracteatum</v>
      </c>
      <c r="J985" s="230" t="str">
        <f>Table3.110[[#This Row],[Family]]</f>
        <v>Fabaceae</v>
      </c>
      <c r="K985" s="230" t="str">
        <f>Table3.110[[#This Row],[Order]]</f>
        <v>Fabales</v>
      </c>
      <c r="L985" s="230" t="str">
        <f>Table3.110[[#This Row],[Functional Group]]</f>
        <v>Herbaceous</v>
      </c>
      <c r="M985" s="230" t="str">
        <f>Table3.110[[#This Row],[CIAT ID]]</f>
        <v>F260013</v>
      </c>
      <c r="N985" s="230">
        <f>Table3.110[[#This Row],[Set CIAT]]</f>
        <v>30</v>
      </c>
      <c r="O985" s="230">
        <f>Table3.110[[#This Row],[Batch]]</f>
        <v>64</v>
      </c>
      <c r="P985" s="230">
        <f>Table3.110[[#This Row],[Run]]</f>
        <v>1</v>
      </c>
      <c r="Q985" s="230">
        <f>Table3.110[[#This Row],[Replication]]</f>
        <v>2</v>
      </c>
      <c r="R985" s="230">
        <f>Table3.110[[#This Row],[Syrange No]]</f>
        <v>109</v>
      </c>
      <c r="S985" s="98">
        <v>0.60570000000000002</v>
      </c>
      <c r="T985" s="98">
        <v>0.85619999999999996</v>
      </c>
      <c r="U985" s="110"/>
      <c r="V985" s="283">
        <f t="shared" ref="V985:V1034" si="93">T985-S985</f>
        <v>0.25049999999999994</v>
      </c>
      <c r="W985" s="61">
        <f>Table3.110[[#This Row],[DM Incubated, mg]]-('3.2 Digest'!V985*1000)</f>
        <v>212.6998685731578</v>
      </c>
      <c r="X985" s="61">
        <f>W985/Table3.110[[#This Row],[DM Incubated, mg]]*100</f>
        <v>45.919673774597371</v>
      </c>
      <c r="Y985" s="31">
        <f>Table3.110[[#This Row],[DM Incubated, mg]]*'2.4 NDF'!R241/100</f>
        <v>256.89313686948913</v>
      </c>
      <c r="Z985" s="61">
        <f t="shared" ref="Z985:Z1048" si="94">Y985-(V985*1000)</f>
        <v>6.393136869489183</v>
      </c>
      <c r="AA985" s="61">
        <f t="shared" ref="AA985:AA1048" si="95">Z985/Y985*100</f>
        <v>2.4886366943843754</v>
      </c>
      <c r="AB985" s="6"/>
    </row>
    <row r="986" spans="2:28" ht="14.4" customHeight="1" x14ac:dyDescent="0.35">
      <c r="B986" s="230">
        <f t="shared" si="89"/>
        <v>976</v>
      </c>
      <c r="C986" s="9"/>
      <c r="D986" s="248">
        <f>Table3.110[[#This Row],[Date]]</f>
        <v>46064</v>
      </c>
      <c r="E986" s="230" t="str">
        <f>Table3.110[[#This Row],[Requisitioner]]</f>
        <v>Genbank</v>
      </c>
      <c r="F986" s="230" t="str">
        <f>Table3.110[[#This Row],[Gene Bank ID]]</f>
        <v>CIAT590</v>
      </c>
      <c r="G986" s="230" t="str">
        <f>Table3.110[[#This Row],[Genus]]</f>
        <v>Macroptilium</v>
      </c>
      <c r="H986" s="230" t="str">
        <f>Table3.110[[#This Row],[Species]]</f>
        <v>bracteatum</v>
      </c>
      <c r="I986" s="230" t="str">
        <f>Table3.110[[#This Row],[Tax Name]]</f>
        <v>Macroptilium bracteatum</v>
      </c>
      <c r="J986" s="230" t="str">
        <f>Table3.110[[#This Row],[Family]]</f>
        <v>Fabaceae</v>
      </c>
      <c r="K986" s="230" t="str">
        <f>Table3.110[[#This Row],[Order]]</f>
        <v>Fabales</v>
      </c>
      <c r="L986" s="230" t="str">
        <f>Table3.110[[#This Row],[Functional Group]]</f>
        <v>Herbaceous</v>
      </c>
      <c r="M986" s="230" t="str">
        <f>Table3.110[[#This Row],[CIAT ID]]</f>
        <v>F260013</v>
      </c>
      <c r="N986" s="230">
        <f>Table3.110[[#This Row],[Set CIAT]]</f>
        <v>30</v>
      </c>
      <c r="O986" s="230">
        <f>Table3.110[[#This Row],[Batch]]</f>
        <v>64</v>
      </c>
      <c r="P986" s="230">
        <f>Table3.110[[#This Row],[Run]]</f>
        <v>1</v>
      </c>
      <c r="Q986" s="230">
        <f>Table3.110[[#This Row],[Replication]]</f>
        <v>3</v>
      </c>
      <c r="R986" s="230">
        <f>Table3.110[[#This Row],[Syrange No]]</f>
        <v>110</v>
      </c>
      <c r="S986" s="250">
        <v>0.58930000000000005</v>
      </c>
      <c r="T986" s="250">
        <v>0.81110000000000004</v>
      </c>
      <c r="U986" s="265"/>
      <c r="V986" s="283">
        <f t="shared" si="93"/>
        <v>0.2218</v>
      </c>
      <c r="W986" s="61">
        <f>Table3.110[[#This Row],[DM Incubated, mg]]-('3.2 Digest'!V986*1000)</f>
        <v>241.58507443824089</v>
      </c>
      <c r="X986" s="61">
        <f>W986/Table3.110[[#This Row],[DM Incubated, mg]]*100</f>
        <v>52.134841574496782</v>
      </c>
      <c r="Y986" s="302">
        <f>Table3.110[[#This Row],[DM Incubated, mg]]*'2.4 NDF'!R241/100</f>
        <v>256.99585303776951</v>
      </c>
      <c r="Z986" s="61">
        <f t="shared" si="94"/>
        <v>35.195853037769496</v>
      </c>
      <c r="AA986" s="61">
        <f t="shared" si="95"/>
        <v>13.695105435260437</v>
      </c>
      <c r="AB986" s="6"/>
    </row>
    <row r="987" spans="2:28" ht="14.4" customHeight="1" x14ac:dyDescent="0.35">
      <c r="B987" s="230">
        <f t="shared" si="89"/>
        <v>977</v>
      </c>
      <c r="C987" s="9"/>
      <c r="D987" s="248">
        <f>Table3.110[[#This Row],[Date]]</f>
        <v>46064</v>
      </c>
      <c r="E987" s="230" t="str">
        <f>Table3.110[[#This Row],[Requisitioner]]</f>
        <v>Genbank</v>
      </c>
      <c r="F987" s="230" t="str">
        <f>Table3.110[[#This Row],[Gene Bank ID]]</f>
        <v>CIAT778</v>
      </c>
      <c r="G987" s="230" t="str">
        <f>Table3.110[[#This Row],[Genus]]</f>
        <v>Macroptilium</v>
      </c>
      <c r="H987" s="230" t="str">
        <f>Table3.110[[#This Row],[Species]]</f>
        <v>atropurpureum</v>
      </c>
      <c r="I987" s="230" t="str">
        <f>Table3.110[[#This Row],[Tax Name]]</f>
        <v>Macroptilium atropurpureum</v>
      </c>
      <c r="J987" s="230" t="str">
        <f>Table3.110[[#This Row],[Family]]</f>
        <v>Fabaceae</v>
      </c>
      <c r="K987" s="230" t="str">
        <f>Table3.110[[#This Row],[Order]]</f>
        <v>Fabales</v>
      </c>
      <c r="L987" s="230" t="str">
        <f>Table3.110[[#This Row],[Functional Group]]</f>
        <v>Herbaceous</v>
      </c>
      <c r="M987" s="230" t="str">
        <f>Table3.110[[#This Row],[CIAT ID]]</f>
        <v>F260014</v>
      </c>
      <c r="N987" s="230">
        <f>Table3.110[[#This Row],[Set CIAT]]</f>
        <v>30</v>
      </c>
      <c r="O987" s="230">
        <f>Table3.110[[#This Row],[Batch]]</f>
        <v>64</v>
      </c>
      <c r="P987" s="230">
        <f>Table3.110[[#This Row],[Run]]</f>
        <v>1</v>
      </c>
      <c r="Q987" s="230">
        <f>Table3.110[[#This Row],[Replication]]</f>
        <v>1</v>
      </c>
      <c r="R987" s="230">
        <f>Table3.110[[#This Row],[Syrange No]]</f>
        <v>111</v>
      </c>
      <c r="S987" s="98">
        <v>0.58340000000000003</v>
      </c>
      <c r="T987" s="98">
        <v>0.83409999999999995</v>
      </c>
      <c r="U987" s="110"/>
      <c r="V987" s="283">
        <f t="shared" si="93"/>
        <v>0.25069999999999992</v>
      </c>
      <c r="W987" s="61">
        <f>Table3.110[[#This Row],[DM Incubated, mg]]-('3.2 Digest'!V987*1000)</f>
        <v>212.49258759503567</v>
      </c>
      <c r="X987" s="61">
        <f>W987/Table3.110[[#This Row],[DM Incubated, mg]]*100</f>
        <v>45.875645095775084</v>
      </c>
      <c r="Y987" s="31">
        <f>Table3.110[[#This Row],[DM Incubated, mg]]*'2.4 NDF'!R243/100</f>
        <v>244.6738541341397</v>
      </c>
      <c r="Z987" s="61">
        <f t="shared" si="94"/>
        <v>-6.0261458658602294</v>
      </c>
      <c r="AA987" s="61">
        <f t="shared" si="95"/>
        <v>-2.4629300450535521</v>
      </c>
      <c r="AB987" s="6"/>
    </row>
    <row r="988" spans="2:28" ht="14.4" customHeight="1" x14ac:dyDescent="0.35">
      <c r="B988" s="230">
        <f t="shared" si="89"/>
        <v>978</v>
      </c>
      <c r="C988" s="9"/>
      <c r="D988" s="248">
        <f>Table3.110[[#This Row],[Date]]</f>
        <v>46064</v>
      </c>
      <c r="E988" s="230" t="str">
        <f>Table3.110[[#This Row],[Requisitioner]]</f>
        <v>Genbank</v>
      </c>
      <c r="F988" s="230" t="str">
        <f>Table3.110[[#This Row],[Gene Bank ID]]</f>
        <v>CIAT778</v>
      </c>
      <c r="G988" s="230" t="str">
        <f>Table3.110[[#This Row],[Genus]]</f>
        <v>Macroptilium</v>
      </c>
      <c r="H988" s="230" t="str">
        <f>Table3.110[[#This Row],[Species]]</f>
        <v>atropurpureum</v>
      </c>
      <c r="I988" s="230" t="str">
        <f>Table3.110[[#This Row],[Tax Name]]</f>
        <v>Macroptilium atropurpureum</v>
      </c>
      <c r="J988" s="230" t="str">
        <f>Table3.110[[#This Row],[Family]]</f>
        <v>Fabaceae</v>
      </c>
      <c r="K988" s="230" t="str">
        <f>Table3.110[[#This Row],[Order]]</f>
        <v>Fabales</v>
      </c>
      <c r="L988" s="230" t="str">
        <f>Table3.110[[#This Row],[Functional Group]]</f>
        <v>Herbaceous</v>
      </c>
      <c r="M988" s="230" t="str">
        <f>Table3.110[[#This Row],[CIAT ID]]</f>
        <v>F260014</v>
      </c>
      <c r="N988" s="230">
        <f>Table3.110[[#This Row],[Set CIAT]]</f>
        <v>30</v>
      </c>
      <c r="O988" s="230">
        <f>Table3.110[[#This Row],[Batch]]</f>
        <v>64</v>
      </c>
      <c r="P988" s="230">
        <f>Table3.110[[#This Row],[Run]]</f>
        <v>1</v>
      </c>
      <c r="Q988" s="230">
        <f>Table3.110[[#This Row],[Replication]]</f>
        <v>2</v>
      </c>
      <c r="R988" s="230">
        <f>Table3.110[[#This Row],[Syrange No]]</f>
        <v>112</v>
      </c>
      <c r="S988" s="250">
        <v>0.61409999999999998</v>
      </c>
      <c r="T988" s="250">
        <v>0.88419999999999999</v>
      </c>
      <c r="U988" s="265"/>
      <c r="V988" s="283">
        <f t="shared" si="93"/>
        <v>0.27010000000000001</v>
      </c>
      <c r="W988" s="61">
        <f>Table3.110[[#This Row],[DM Incubated, mg]]-('3.2 Digest'!V988*1000)</f>
        <v>192.90742165955891</v>
      </c>
      <c r="X988" s="61">
        <f>W988/Table3.110[[#This Row],[DM Incubated, mg]]*100</f>
        <v>41.664002051656155</v>
      </c>
      <c r="Y988" s="302">
        <f>Table3.110[[#This Row],[DM Incubated, mg]]*'2.4 NDF'!R243/100</f>
        <v>244.57604327899918</v>
      </c>
      <c r="Z988" s="61">
        <f t="shared" si="94"/>
        <v>-25.523956721000843</v>
      </c>
      <c r="AA988" s="61">
        <f t="shared" si="95"/>
        <v>-10.43600034525233</v>
      </c>
      <c r="AB988" s="6"/>
    </row>
    <row r="989" spans="2:28" ht="14.4" customHeight="1" x14ac:dyDescent="0.35">
      <c r="B989" s="230">
        <f t="shared" si="89"/>
        <v>979</v>
      </c>
      <c r="C989" s="9"/>
      <c r="D989" s="248">
        <f>Table3.110[[#This Row],[Date]]</f>
        <v>46064</v>
      </c>
      <c r="E989" s="230" t="str">
        <f>Table3.110[[#This Row],[Requisitioner]]</f>
        <v>Genbank</v>
      </c>
      <c r="F989" s="230" t="str">
        <f>Table3.110[[#This Row],[Gene Bank ID]]</f>
        <v>CIAT778</v>
      </c>
      <c r="G989" s="230" t="str">
        <f>Table3.110[[#This Row],[Genus]]</f>
        <v>Macroptilium</v>
      </c>
      <c r="H989" s="230" t="str">
        <f>Table3.110[[#This Row],[Species]]</f>
        <v>atropurpureum</v>
      </c>
      <c r="I989" s="230" t="str">
        <f>Table3.110[[#This Row],[Tax Name]]</f>
        <v>Macroptilium atropurpureum</v>
      </c>
      <c r="J989" s="230" t="str">
        <f>Table3.110[[#This Row],[Family]]</f>
        <v>Fabaceae</v>
      </c>
      <c r="K989" s="230" t="str">
        <f>Table3.110[[#This Row],[Order]]</f>
        <v>Fabales</v>
      </c>
      <c r="L989" s="230" t="str">
        <f>Table3.110[[#This Row],[Functional Group]]</f>
        <v>Herbaceous</v>
      </c>
      <c r="M989" s="230" t="str">
        <f>Table3.110[[#This Row],[CIAT ID]]</f>
        <v>F260014</v>
      </c>
      <c r="N989" s="230">
        <f>Table3.110[[#This Row],[Set CIAT]]</f>
        <v>30</v>
      </c>
      <c r="O989" s="230">
        <f>Table3.110[[#This Row],[Batch]]</f>
        <v>64</v>
      </c>
      <c r="P989" s="230">
        <f>Table3.110[[#This Row],[Run]]</f>
        <v>1</v>
      </c>
      <c r="Q989" s="230">
        <f>Table3.110[[#This Row],[Replication]]</f>
        <v>3</v>
      </c>
      <c r="R989" s="230">
        <f>Table3.110[[#This Row],[Syrange No]]</f>
        <v>113</v>
      </c>
      <c r="S989" s="98">
        <v>0.59189999999999998</v>
      </c>
      <c r="T989" s="98">
        <v>0.88109999999999999</v>
      </c>
      <c r="U989" s="110"/>
      <c r="V989" s="283">
        <f t="shared" si="93"/>
        <v>0.28920000000000001</v>
      </c>
      <c r="W989" s="61">
        <f>Table3.110[[#This Row],[DM Incubated, mg]]-('3.2 Digest'!V989*1000)</f>
        <v>173.7148386918206</v>
      </c>
      <c r="X989" s="61">
        <f>W989/Table3.110[[#This Row],[DM Incubated, mg]]*100</f>
        <v>37.526305957858682</v>
      </c>
      <c r="Y989" s="302">
        <f>Table3.110[[#This Row],[DM Incubated, mg]]*'2.4 NDF'!R243/100</f>
        <v>244.52713785142888</v>
      </c>
      <c r="Z989" s="61">
        <f t="shared" si="94"/>
        <v>-44.672862148571113</v>
      </c>
      <c r="AA989" s="61">
        <f t="shared" si="95"/>
        <v>-18.269081518352245</v>
      </c>
      <c r="AB989" s="6"/>
    </row>
    <row r="990" spans="2:28" ht="14.4" customHeight="1" x14ac:dyDescent="0.35">
      <c r="B990" s="230">
        <f t="shared" si="89"/>
        <v>980</v>
      </c>
      <c r="C990" s="9"/>
      <c r="D990" s="248">
        <f>Table3.110[[#This Row],[Date]]</f>
        <v>46064</v>
      </c>
      <c r="E990" s="230" t="str">
        <f>Table3.110[[#This Row],[Requisitioner]]</f>
        <v>Genbank</v>
      </c>
      <c r="F990" s="230" t="str">
        <f>Table3.110[[#This Row],[Gene Bank ID]]</f>
        <v>CIAT827</v>
      </c>
      <c r="G990" s="230" t="str">
        <f>Table3.110[[#This Row],[Genus]]</f>
        <v>Indigofera</v>
      </c>
      <c r="H990" s="230" t="str">
        <f>Table3.110[[#This Row],[Species]]</f>
        <v>jamaicensis</v>
      </c>
      <c r="I990" s="230" t="str">
        <f>Table3.110[[#This Row],[Tax Name]]</f>
        <v>Indigofera jamaicensis</v>
      </c>
      <c r="J990" s="230" t="str">
        <f>Table3.110[[#This Row],[Family]]</f>
        <v>Fabaceae</v>
      </c>
      <c r="K990" s="230" t="str">
        <f>Table3.110[[#This Row],[Order]]</f>
        <v>Fabales</v>
      </c>
      <c r="L990" s="230" t="str">
        <f>Table3.110[[#This Row],[Functional Group]]</f>
        <v>Herbaceous</v>
      </c>
      <c r="M990" s="230" t="str">
        <f>Table3.110[[#This Row],[CIAT ID]]</f>
        <v>F260015</v>
      </c>
      <c r="N990" s="230">
        <f>Table3.110[[#This Row],[Set CIAT]]</f>
        <v>30</v>
      </c>
      <c r="O990" s="230">
        <f>Table3.110[[#This Row],[Batch]]</f>
        <v>64</v>
      </c>
      <c r="P990" s="230">
        <f>Table3.110[[#This Row],[Run]]</f>
        <v>1</v>
      </c>
      <c r="Q990" s="230">
        <f>Table3.110[[#This Row],[Replication]]</f>
        <v>1</v>
      </c>
      <c r="R990" s="230">
        <f>Table3.110[[#This Row],[Syrange No]]</f>
        <v>114</v>
      </c>
      <c r="S990" s="250">
        <v>0.5988</v>
      </c>
      <c r="T990" s="250">
        <v>0.8528</v>
      </c>
      <c r="U990" s="265"/>
      <c r="V990" s="283">
        <f t="shared" si="93"/>
        <v>0.254</v>
      </c>
      <c r="W990" s="61">
        <f>Table3.110[[#This Row],[DM Incubated, mg]]-('3.2 Digest'!V990*1000)</f>
        <v>220.10929499999986</v>
      </c>
      <c r="X990" s="61">
        <f>W990/Table3.110[[#This Row],[DM Incubated, mg]]*100</f>
        <v>46.425855245044275</v>
      </c>
      <c r="Y990" s="31">
        <f>Table3.110[[#This Row],[DM Incubated, mg]]*'2.4 NDF'!R245/100</f>
        <v>225.67278554989335</v>
      </c>
      <c r="Z990" s="61">
        <f t="shared" si="94"/>
        <v>-28.327214450106652</v>
      </c>
      <c r="AA990" s="61">
        <f t="shared" si="95"/>
        <v>-12.55233961023797</v>
      </c>
      <c r="AB990" s="6"/>
    </row>
    <row r="991" spans="2:28" ht="14.4" customHeight="1" x14ac:dyDescent="0.35">
      <c r="B991" s="230">
        <f t="shared" si="89"/>
        <v>981</v>
      </c>
      <c r="C991" s="9"/>
      <c r="D991" s="248">
        <f>Table3.110[[#This Row],[Date]]</f>
        <v>46064</v>
      </c>
      <c r="E991" s="230" t="str">
        <f>Table3.110[[#This Row],[Requisitioner]]</f>
        <v>Genbank</v>
      </c>
      <c r="F991" s="230" t="str">
        <f>Table3.110[[#This Row],[Gene Bank ID]]</f>
        <v>CIAT827</v>
      </c>
      <c r="G991" s="230" t="str">
        <f>Table3.110[[#This Row],[Genus]]</f>
        <v>Indigofera</v>
      </c>
      <c r="H991" s="230" t="str">
        <f>Table3.110[[#This Row],[Species]]</f>
        <v>jamaicensis</v>
      </c>
      <c r="I991" s="230" t="str">
        <f>Table3.110[[#This Row],[Tax Name]]</f>
        <v>Indigofera jamaicensis</v>
      </c>
      <c r="J991" s="230" t="str">
        <f>Table3.110[[#This Row],[Family]]</f>
        <v>Fabaceae</v>
      </c>
      <c r="K991" s="230" t="str">
        <f>Table3.110[[#This Row],[Order]]</f>
        <v>Fabales</v>
      </c>
      <c r="L991" s="230" t="str">
        <f>Table3.110[[#This Row],[Functional Group]]</f>
        <v>Herbaceous</v>
      </c>
      <c r="M991" s="230" t="str">
        <f>Table3.110[[#This Row],[CIAT ID]]</f>
        <v>F260015</v>
      </c>
      <c r="N991" s="230">
        <f>Table3.110[[#This Row],[Set CIAT]]</f>
        <v>30</v>
      </c>
      <c r="O991" s="230">
        <f>Table3.110[[#This Row],[Batch]]</f>
        <v>64</v>
      </c>
      <c r="P991" s="230">
        <f>Table3.110[[#This Row],[Run]]</f>
        <v>1</v>
      </c>
      <c r="Q991" s="230">
        <f>Table3.110[[#This Row],[Replication]]</f>
        <v>2</v>
      </c>
      <c r="R991" s="230">
        <f>Table3.110[[#This Row],[Syrange No]]</f>
        <v>115</v>
      </c>
      <c r="S991" s="98">
        <v>0.5655</v>
      </c>
      <c r="T991" s="98">
        <v>0.82869999999999999</v>
      </c>
      <c r="U991" s="110"/>
      <c r="V991" s="283">
        <f t="shared" si="93"/>
        <v>0.26319999999999999</v>
      </c>
      <c r="W991" s="61">
        <f>Table3.110[[#This Row],[DM Incubated, mg]]-('3.2 Digest'!V991*1000)</f>
        <v>210.81452999999988</v>
      </c>
      <c r="X991" s="61">
        <f>W991/Table3.110[[#This Row],[DM Incubated, mg]]*100</f>
        <v>44.474275925676778</v>
      </c>
      <c r="Y991" s="302">
        <f>Table3.110[[#This Row],[DM Incubated, mg]]*'2.4 NDF'!R245/100</f>
        <v>225.62767805727893</v>
      </c>
      <c r="Z991" s="61">
        <f t="shared" si="94"/>
        <v>-37.572321942721061</v>
      </c>
      <c r="AA991" s="61">
        <f t="shared" si="95"/>
        <v>-16.65235500636707</v>
      </c>
      <c r="AB991" s="6"/>
    </row>
    <row r="992" spans="2:28" ht="14.4" customHeight="1" x14ac:dyDescent="0.35">
      <c r="B992" s="230">
        <f t="shared" si="89"/>
        <v>982</v>
      </c>
      <c r="C992" s="9"/>
      <c r="D992" s="248">
        <f>Table3.110[[#This Row],[Date]]</f>
        <v>46064</v>
      </c>
      <c r="E992" s="230" t="str">
        <f>Table3.110[[#This Row],[Requisitioner]]</f>
        <v>Genbank</v>
      </c>
      <c r="F992" s="230" t="str">
        <f>Table3.110[[#This Row],[Gene Bank ID]]</f>
        <v>CIAT827</v>
      </c>
      <c r="G992" s="230" t="str">
        <f>Table3.110[[#This Row],[Genus]]</f>
        <v>Indigofera</v>
      </c>
      <c r="H992" s="230" t="str">
        <f>Table3.110[[#This Row],[Species]]</f>
        <v>jamaicensis</v>
      </c>
      <c r="I992" s="230" t="str">
        <f>Table3.110[[#This Row],[Tax Name]]</f>
        <v>Indigofera jamaicensis</v>
      </c>
      <c r="J992" s="230" t="str">
        <f>Table3.110[[#This Row],[Family]]</f>
        <v>Fabaceae</v>
      </c>
      <c r="K992" s="230" t="str">
        <f>Table3.110[[#This Row],[Order]]</f>
        <v>Fabales</v>
      </c>
      <c r="L992" s="230" t="str">
        <f>Table3.110[[#This Row],[Functional Group]]</f>
        <v>Herbaceous</v>
      </c>
      <c r="M992" s="230" t="str">
        <f>Table3.110[[#This Row],[CIAT ID]]</f>
        <v>F260015</v>
      </c>
      <c r="N992" s="230">
        <f>Table3.110[[#This Row],[Set CIAT]]</f>
        <v>30</v>
      </c>
      <c r="O992" s="230">
        <f>Table3.110[[#This Row],[Batch]]</f>
        <v>64</v>
      </c>
      <c r="P992" s="230">
        <f>Table3.110[[#This Row],[Run]]</f>
        <v>1</v>
      </c>
      <c r="Q992" s="230">
        <f>Table3.110[[#This Row],[Replication]]</f>
        <v>3</v>
      </c>
      <c r="R992" s="230">
        <f>Table3.110[[#This Row],[Syrange No]]</f>
        <v>116</v>
      </c>
      <c r="S992" s="250">
        <v>0.5726</v>
      </c>
      <c r="T992" s="250">
        <v>0.89119999999999999</v>
      </c>
      <c r="U992" s="265"/>
      <c r="V992" s="283">
        <f t="shared" si="93"/>
        <v>0.31859999999999999</v>
      </c>
      <c r="W992" s="61">
        <f>Table3.110[[#This Row],[DM Incubated, mg]]-('3.2 Digest'!V992*1000)</f>
        <v>155.50929499999984</v>
      </c>
      <c r="X992" s="61">
        <f>W992/Table3.110[[#This Row],[DM Incubated, mg]]*100</f>
        <v>32.800305043587024</v>
      </c>
      <c r="Y992" s="302">
        <f>Table3.110[[#This Row],[DM Incubated, mg]]*'2.4 NDF'!R245/100</f>
        <v>225.67278554989335</v>
      </c>
      <c r="Z992" s="61">
        <f t="shared" si="94"/>
        <v>-92.927214450106675</v>
      </c>
      <c r="AA992" s="61">
        <f t="shared" si="95"/>
        <v>-41.177855904810315</v>
      </c>
      <c r="AB992" s="6"/>
    </row>
    <row r="993" spans="2:28" ht="14.4" customHeight="1" x14ac:dyDescent="0.35">
      <c r="B993" s="230">
        <f t="shared" si="89"/>
        <v>983</v>
      </c>
      <c r="C993" s="9"/>
      <c r="D993" s="248">
        <f>Table3.110[[#This Row],[Date]]</f>
        <v>46064</v>
      </c>
      <c r="E993" s="230" t="str">
        <f>Table3.110[[#This Row],[Requisitioner]]</f>
        <v>Genbank</v>
      </c>
      <c r="F993" s="230" t="str">
        <f>Table3.110[[#This Row],[Gene Bank ID]]</f>
        <v>CIAT997</v>
      </c>
      <c r="G993" s="230" t="str">
        <f>Table3.110[[#This Row],[Genus]]</f>
        <v>Macroptilium</v>
      </c>
      <c r="H993" s="230" t="str">
        <f>Table3.110[[#This Row],[Species]]</f>
        <v>atropurpureum</v>
      </c>
      <c r="I993" s="230" t="str">
        <f>Table3.110[[#This Row],[Tax Name]]</f>
        <v>Macroptilium atropurpureum</v>
      </c>
      <c r="J993" s="230" t="str">
        <f>Table3.110[[#This Row],[Family]]</f>
        <v>Fabaceae</v>
      </c>
      <c r="K993" s="230" t="str">
        <f>Table3.110[[#This Row],[Order]]</f>
        <v>Fabales</v>
      </c>
      <c r="L993" s="230" t="str">
        <f>Table3.110[[#This Row],[Functional Group]]</f>
        <v>Herbaceous</v>
      </c>
      <c r="M993" s="230" t="str">
        <f>Table3.110[[#This Row],[CIAT ID]]</f>
        <v>F260016</v>
      </c>
      <c r="N993" s="230">
        <f>Table3.110[[#This Row],[Set CIAT]]</f>
        <v>30</v>
      </c>
      <c r="O993" s="230">
        <f>Table3.110[[#This Row],[Batch]]</f>
        <v>64</v>
      </c>
      <c r="P993" s="230">
        <f>Table3.110[[#This Row],[Run]]</f>
        <v>1</v>
      </c>
      <c r="Q993" s="230">
        <f>Table3.110[[#This Row],[Replication]]</f>
        <v>1</v>
      </c>
      <c r="R993" s="230">
        <f>Table3.110[[#This Row],[Syrange No]]</f>
        <v>117</v>
      </c>
      <c r="S993" s="98">
        <v>0.59499999999999997</v>
      </c>
      <c r="T993" s="98">
        <v>0.8377</v>
      </c>
      <c r="U993" s="110"/>
      <c r="V993" s="283">
        <f t="shared" si="93"/>
        <v>0.24270000000000003</v>
      </c>
      <c r="W993" s="61">
        <f>Table3.110[[#This Row],[DM Incubated, mg]]-('3.2 Digest'!V993*1000)</f>
        <v>225.19998968012803</v>
      </c>
      <c r="X993" s="61">
        <f>W993/Table3.110[[#This Row],[DM Incubated, mg]]*100</f>
        <v>48.129941151330698</v>
      </c>
      <c r="Y993" s="31">
        <f>Table3.110[[#This Row],[DM Incubated, mg]]*'2.4 NDF'!R247/100</f>
        <v>237.80738395651579</v>
      </c>
      <c r="Z993" s="61">
        <f t="shared" si="94"/>
        <v>-4.8926160434842245</v>
      </c>
      <c r="AA993" s="61">
        <f t="shared" si="95"/>
        <v>-2.0573860920899167</v>
      </c>
      <c r="AB993" s="6"/>
    </row>
    <row r="994" spans="2:28" ht="14.4" customHeight="1" x14ac:dyDescent="0.35">
      <c r="B994" s="230">
        <f t="shared" si="89"/>
        <v>984</v>
      </c>
      <c r="C994" s="9"/>
      <c r="D994" s="248">
        <f>Table3.110[[#This Row],[Date]]</f>
        <v>46064</v>
      </c>
      <c r="E994" s="230" t="str">
        <f>Table3.110[[#This Row],[Requisitioner]]</f>
        <v>Genbank</v>
      </c>
      <c r="F994" s="230" t="str">
        <f>Table3.110[[#This Row],[Gene Bank ID]]</f>
        <v>CIAT997</v>
      </c>
      <c r="G994" s="230" t="str">
        <f>Table3.110[[#This Row],[Genus]]</f>
        <v>Macroptilium</v>
      </c>
      <c r="H994" s="230" t="str">
        <f>Table3.110[[#This Row],[Species]]</f>
        <v>atropurpureum</v>
      </c>
      <c r="I994" s="230" t="str">
        <f>Table3.110[[#This Row],[Tax Name]]</f>
        <v>Macroptilium atropurpureum</v>
      </c>
      <c r="J994" s="230" t="str">
        <f>Table3.110[[#This Row],[Family]]</f>
        <v>Fabaceae</v>
      </c>
      <c r="K994" s="230" t="str">
        <f>Table3.110[[#This Row],[Order]]</f>
        <v>Fabales</v>
      </c>
      <c r="L994" s="230" t="str">
        <f>Table3.110[[#This Row],[Functional Group]]</f>
        <v>Herbaceous</v>
      </c>
      <c r="M994" s="230" t="str">
        <f>Table3.110[[#This Row],[CIAT ID]]</f>
        <v>F260016</v>
      </c>
      <c r="N994" s="230">
        <f>Table3.110[[#This Row],[Set CIAT]]</f>
        <v>30</v>
      </c>
      <c r="O994" s="230">
        <f>Table3.110[[#This Row],[Batch]]</f>
        <v>64</v>
      </c>
      <c r="P994" s="230">
        <f>Table3.110[[#This Row],[Run]]</f>
        <v>1</v>
      </c>
      <c r="Q994" s="230">
        <f>Table3.110[[#This Row],[Replication]]</f>
        <v>2</v>
      </c>
      <c r="R994" s="230">
        <f>Table3.110[[#This Row],[Syrange No]]</f>
        <v>118</v>
      </c>
      <c r="S994" s="250">
        <v>0.58450000000000002</v>
      </c>
      <c r="T994" s="250">
        <v>0.82630000000000003</v>
      </c>
      <c r="U994" s="265"/>
      <c r="V994" s="283">
        <f t="shared" si="93"/>
        <v>0.24180000000000001</v>
      </c>
      <c r="W994" s="61">
        <f>Table3.110[[#This Row],[DM Incubated, mg]]-('3.2 Digest'!V994*1000)</f>
        <v>226.38067353716463</v>
      </c>
      <c r="X994" s="61">
        <f>W994/Table3.110[[#This Row],[DM Incubated, mg]]*100</f>
        <v>48.353271788608829</v>
      </c>
      <c r="Y994" s="302">
        <f>Table3.110[[#This Row],[DM Incubated, mg]]*'2.4 NDF'!R247/100</f>
        <v>237.95003985570983</v>
      </c>
      <c r="Z994" s="61">
        <f t="shared" si="94"/>
        <v>-3.8499601442901792</v>
      </c>
      <c r="AA994" s="61">
        <f t="shared" si="95"/>
        <v>-1.6179699514338182</v>
      </c>
      <c r="AB994" s="6"/>
    </row>
    <row r="995" spans="2:28" ht="14.4" customHeight="1" x14ac:dyDescent="0.35">
      <c r="B995" s="230">
        <f t="shared" si="89"/>
        <v>985</v>
      </c>
      <c r="C995" s="9"/>
      <c r="D995" s="248">
        <f>Table3.110[[#This Row],[Date]]</f>
        <v>46064</v>
      </c>
      <c r="E995" s="230" t="str">
        <f>Table3.110[[#This Row],[Requisitioner]]</f>
        <v>Genbank</v>
      </c>
      <c r="F995" s="230" t="str">
        <f>Table3.110[[#This Row],[Gene Bank ID]]</f>
        <v>CIAT997</v>
      </c>
      <c r="G995" s="230" t="str">
        <f>Table3.110[[#This Row],[Genus]]</f>
        <v>Macroptilium</v>
      </c>
      <c r="H995" s="230" t="str">
        <f>Table3.110[[#This Row],[Species]]</f>
        <v>atropurpureum</v>
      </c>
      <c r="I995" s="230" t="str">
        <f>Table3.110[[#This Row],[Tax Name]]</f>
        <v>Macroptilium atropurpureum</v>
      </c>
      <c r="J995" s="230" t="str">
        <f>Table3.110[[#This Row],[Family]]</f>
        <v>Fabaceae</v>
      </c>
      <c r="K995" s="230" t="str">
        <f>Table3.110[[#This Row],[Order]]</f>
        <v>Fabales</v>
      </c>
      <c r="L995" s="230" t="str">
        <f>Table3.110[[#This Row],[Functional Group]]</f>
        <v>Herbaceous</v>
      </c>
      <c r="M995" s="230" t="str">
        <f>Table3.110[[#This Row],[CIAT ID]]</f>
        <v>F260016</v>
      </c>
      <c r="N995" s="230">
        <f>Table3.110[[#This Row],[Set CIAT]]</f>
        <v>30</v>
      </c>
      <c r="O995" s="230">
        <f>Table3.110[[#This Row],[Batch]]</f>
        <v>64</v>
      </c>
      <c r="P995" s="230">
        <f>Table3.110[[#This Row],[Run]]</f>
        <v>1</v>
      </c>
      <c r="Q995" s="230">
        <f>Table3.110[[#This Row],[Replication]]</f>
        <v>3</v>
      </c>
      <c r="R995" s="230">
        <f>Table3.110[[#This Row],[Syrange No]]</f>
        <v>119</v>
      </c>
      <c r="S995" s="98">
        <v>0.57479999999999998</v>
      </c>
      <c r="T995" s="98">
        <v>0.84230000000000005</v>
      </c>
      <c r="U995" s="110"/>
      <c r="V995" s="283">
        <f t="shared" si="93"/>
        <v>0.26750000000000007</v>
      </c>
      <c r="W995" s="61">
        <f>Table3.110[[#This Row],[DM Incubated, mg]]-('3.2 Digest'!V995*1000)</f>
        <v>200.39998968012799</v>
      </c>
      <c r="X995" s="61">
        <f>W995/Table3.110[[#This Row],[DM Incubated, mg]]*100</f>
        <v>42.829663197284546</v>
      </c>
      <c r="Y995" s="31">
        <f>Table3.110[[#This Row],[DM Incubated, mg]]*'2.4 NDF'!R247/100</f>
        <v>237.80738395651579</v>
      </c>
      <c r="Z995" s="61">
        <f t="shared" si="94"/>
        <v>-29.692616043484264</v>
      </c>
      <c r="AA995" s="61">
        <f t="shared" si="95"/>
        <v>-12.485994147647535</v>
      </c>
      <c r="AB995" s="6"/>
    </row>
    <row r="996" spans="2:28" ht="14.4" customHeight="1" x14ac:dyDescent="0.35">
      <c r="B996" s="230">
        <f t="shared" si="89"/>
        <v>986</v>
      </c>
      <c r="C996" s="9"/>
      <c r="D996" s="248">
        <f>Table3.110[[#This Row],[Date]]</f>
        <v>46064</v>
      </c>
      <c r="E996" s="230" t="str">
        <f>Table3.110[[#This Row],[Requisitioner]]</f>
        <v>Genbank</v>
      </c>
      <c r="F996" s="230" t="str">
        <f>Table3.110[[#This Row],[Gene Bank ID]]</f>
        <v>CIAT1405</v>
      </c>
      <c r="G996" s="230" t="str">
        <f>Table3.110[[#This Row],[Genus]]</f>
        <v>Stylosanthes</v>
      </c>
      <c r="H996" s="230" t="str">
        <f>Table3.110[[#This Row],[Species]]</f>
        <v>capitata</v>
      </c>
      <c r="I996" s="230" t="str">
        <f>Table3.110[[#This Row],[Tax Name]]</f>
        <v>Stylosanthes capitata</v>
      </c>
      <c r="J996" s="230" t="str">
        <f>Table3.110[[#This Row],[Family]]</f>
        <v>Fabaceae</v>
      </c>
      <c r="K996" s="230" t="str">
        <f>Table3.110[[#This Row],[Order]]</f>
        <v>Fabales</v>
      </c>
      <c r="L996" s="230" t="str">
        <f>Table3.110[[#This Row],[Functional Group]]</f>
        <v>Herbaceous</v>
      </c>
      <c r="M996" s="230" t="str">
        <f>Table3.110[[#This Row],[CIAT ID]]</f>
        <v>F260017</v>
      </c>
      <c r="N996" s="230">
        <f>Table3.110[[#This Row],[Set CIAT]]</f>
        <v>30</v>
      </c>
      <c r="O996" s="230">
        <f>Table3.110[[#This Row],[Batch]]</f>
        <v>64</v>
      </c>
      <c r="P996" s="230">
        <f>Table3.110[[#This Row],[Run]]</f>
        <v>1</v>
      </c>
      <c r="Q996" s="230">
        <f>Table3.110[[#This Row],[Replication]]</f>
        <v>1</v>
      </c>
      <c r="R996" s="230">
        <f>Table3.110[[#This Row],[Syrange No]]</f>
        <v>120</v>
      </c>
      <c r="S996" s="250">
        <v>0.59089999999999998</v>
      </c>
      <c r="T996" s="250">
        <v>0.87339999999999995</v>
      </c>
      <c r="U996" s="265"/>
      <c r="V996" s="283">
        <f t="shared" si="93"/>
        <v>0.28249999999999997</v>
      </c>
      <c r="W996" s="61">
        <f>Table3.110[[#This Row],[DM Incubated, mg]]-('3.2 Digest'!V996*1000)</f>
        <v>191.10748049040865</v>
      </c>
      <c r="X996" s="61">
        <f>W996/Table3.110[[#This Row],[DM Incubated, mg]]*100</f>
        <v>40.351448902901964</v>
      </c>
      <c r="Y996" s="31">
        <f>Table3.110[[#This Row],[DM Incubated, mg]]*'2.4 NDF'!R249/100</f>
        <v>288.21267405171614</v>
      </c>
      <c r="Z996" s="61">
        <f t="shared" si="94"/>
        <v>5.7126740517161352</v>
      </c>
      <c r="AA996" s="61">
        <f t="shared" si="95"/>
        <v>1.982103691488275</v>
      </c>
      <c r="AB996" s="6"/>
    </row>
    <row r="997" spans="2:28" ht="14.4" customHeight="1" x14ac:dyDescent="0.35">
      <c r="B997" s="230">
        <f t="shared" si="89"/>
        <v>987</v>
      </c>
      <c r="C997" s="9"/>
      <c r="D997" s="248">
        <f>Table3.110[[#This Row],[Date]]</f>
        <v>46064</v>
      </c>
      <c r="E997" s="230" t="str">
        <f>Table3.110[[#This Row],[Requisitioner]]</f>
        <v>Genbank</v>
      </c>
      <c r="F997" s="230" t="str">
        <f>Table3.110[[#This Row],[Gene Bank ID]]</f>
        <v>CIAT1405</v>
      </c>
      <c r="G997" s="230" t="str">
        <f>Table3.110[[#This Row],[Genus]]</f>
        <v>Stylosanthes</v>
      </c>
      <c r="H997" s="230" t="str">
        <f>Table3.110[[#This Row],[Species]]</f>
        <v>capitata</v>
      </c>
      <c r="I997" s="230" t="str">
        <f>Table3.110[[#This Row],[Tax Name]]</f>
        <v>Stylosanthes capitata</v>
      </c>
      <c r="J997" s="230" t="str">
        <f>Table3.110[[#This Row],[Family]]</f>
        <v>Fabaceae</v>
      </c>
      <c r="K997" s="230" t="str">
        <f>Table3.110[[#This Row],[Order]]</f>
        <v>Fabales</v>
      </c>
      <c r="L997" s="230" t="str">
        <f>Table3.110[[#This Row],[Functional Group]]</f>
        <v>Herbaceous</v>
      </c>
      <c r="M997" s="230" t="str">
        <f>Table3.110[[#This Row],[CIAT ID]]</f>
        <v>F260017</v>
      </c>
      <c r="N997" s="230">
        <f>Table3.110[[#This Row],[Set CIAT]]</f>
        <v>30</v>
      </c>
      <c r="O997" s="230">
        <f>Table3.110[[#This Row],[Batch]]</f>
        <v>64</v>
      </c>
      <c r="P997" s="230">
        <f>Table3.110[[#This Row],[Run]]</f>
        <v>1</v>
      </c>
      <c r="Q997" s="230">
        <f>Table3.110[[#This Row],[Replication]]</f>
        <v>2</v>
      </c>
      <c r="R997" s="230">
        <f>Table3.110[[#This Row],[Syrange No]]</f>
        <v>121</v>
      </c>
      <c r="S997" s="98">
        <v>0.58089999999999997</v>
      </c>
      <c r="T997" s="98"/>
      <c r="U997" s="110" t="s">
        <v>589</v>
      </c>
      <c r="V997" s="283"/>
      <c r="W997" s="61"/>
      <c r="X997" s="61"/>
      <c r="Y997" s="31"/>
      <c r="Z997" s="61"/>
      <c r="AA997" s="61"/>
      <c r="AB997" s="6"/>
    </row>
    <row r="998" spans="2:28" ht="14.4" customHeight="1" x14ac:dyDescent="0.35">
      <c r="B998" s="230">
        <f t="shared" si="89"/>
        <v>988</v>
      </c>
      <c r="C998" s="9"/>
      <c r="D998" s="248">
        <f>Table3.110[[#This Row],[Date]]</f>
        <v>46064</v>
      </c>
      <c r="E998" s="230" t="str">
        <f>Table3.110[[#This Row],[Requisitioner]]</f>
        <v>Genbank</v>
      </c>
      <c r="F998" s="230" t="str">
        <f>Table3.110[[#This Row],[Gene Bank ID]]</f>
        <v>CIAT1405</v>
      </c>
      <c r="G998" s="230" t="str">
        <f>Table3.110[[#This Row],[Genus]]</f>
        <v>Stylosanthes</v>
      </c>
      <c r="H998" s="230" t="str">
        <f>Table3.110[[#This Row],[Species]]</f>
        <v>capitata</v>
      </c>
      <c r="I998" s="230" t="str">
        <f>Table3.110[[#This Row],[Tax Name]]</f>
        <v>Stylosanthes capitata</v>
      </c>
      <c r="J998" s="230" t="str">
        <f>Table3.110[[#This Row],[Family]]</f>
        <v>Fabaceae</v>
      </c>
      <c r="K998" s="230" t="str">
        <f>Table3.110[[#This Row],[Order]]</f>
        <v>Fabales</v>
      </c>
      <c r="L998" s="230" t="str">
        <f>Table3.110[[#This Row],[Functional Group]]</f>
        <v>Herbaceous</v>
      </c>
      <c r="M998" s="230" t="str">
        <f>Table3.110[[#This Row],[CIAT ID]]</f>
        <v>F260017</v>
      </c>
      <c r="N998" s="230">
        <f>Table3.110[[#This Row],[Set CIAT]]</f>
        <v>30</v>
      </c>
      <c r="O998" s="230">
        <f>Table3.110[[#This Row],[Batch]]</f>
        <v>64</v>
      </c>
      <c r="P998" s="230">
        <f>Table3.110[[#This Row],[Run]]</f>
        <v>1</v>
      </c>
      <c r="Q998" s="230">
        <f>Table3.110[[#This Row],[Replication]]</f>
        <v>3</v>
      </c>
      <c r="R998" s="230">
        <f>Table3.110[[#This Row],[Syrange No]]</f>
        <v>122</v>
      </c>
      <c r="S998" s="250">
        <v>0.58209999999999995</v>
      </c>
      <c r="T998" s="98">
        <v>0.85860000000000003</v>
      </c>
      <c r="U998" s="265"/>
      <c r="V998" s="283">
        <f t="shared" si="93"/>
        <v>0.27650000000000008</v>
      </c>
      <c r="W998" s="61">
        <f>Table3.110[[#This Row],[DM Incubated, mg]]-('3.2 Digest'!V998*1000)</f>
        <v>196.72897301349326</v>
      </c>
      <c r="X998" s="61">
        <f>W998/Table3.110[[#This Row],[DM Incubated, mg]]*100</f>
        <v>41.571624780438768</v>
      </c>
      <c r="Y998" s="302">
        <f>Table3.110[[#This Row],[DM Incubated, mg]]*'2.4 NDF'!R249/100</f>
        <v>287.98233425227426</v>
      </c>
      <c r="Z998" s="61">
        <f t="shared" si="94"/>
        <v>11.4823342522742</v>
      </c>
      <c r="AA998" s="61">
        <f t="shared" si="95"/>
        <v>3.9871661857617995</v>
      </c>
      <c r="AB998" s="6"/>
    </row>
    <row r="999" spans="2:28" ht="14.4" customHeight="1" x14ac:dyDescent="0.35">
      <c r="B999" s="230">
        <f t="shared" si="89"/>
        <v>989</v>
      </c>
      <c r="C999" s="9"/>
      <c r="D999" s="248">
        <f>Table3.110[[#This Row],[Date]]</f>
        <v>46064</v>
      </c>
      <c r="E999" s="230" t="str">
        <f>Table3.110[[#This Row],[Requisitioner]]</f>
        <v>Genbank</v>
      </c>
      <c r="F999" s="230" t="str">
        <f>Table3.110[[#This Row],[Gene Bank ID]]</f>
        <v>CIAT1812</v>
      </c>
      <c r="G999" s="230" t="str">
        <f>Table3.110[[#This Row],[Genus]]</f>
        <v>Stylosanthes</v>
      </c>
      <c r="H999" s="230" t="str">
        <f>Table3.110[[#This Row],[Species]]</f>
        <v>viscosa</v>
      </c>
      <c r="I999" s="230" t="str">
        <f>Table3.110[[#This Row],[Tax Name]]</f>
        <v>Stylosanthes viscosa</v>
      </c>
      <c r="J999" s="230" t="str">
        <f>Table3.110[[#This Row],[Family]]</f>
        <v>Fabaceae</v>
      </c>
      <c r="K999" s="230" t="str">
        <f>Table3.110[[#This Row],[Order]]</f>
        <v>Fabales</v>
      </c>
      <c r="L999" s="230" t="str">
        <f>Table3.110[[#This Row],[Functional Group]]</f>
        <v>Herbaceous</v>
      </c>
      <c r="M999" s="230" t="str">
        <f>Table3.110[[#This Row],[CIAT ID]]</f>
        <v>F260018</v>
      </c>
      <c r="N999" s="230">
        <f>Table3.110[[#This Row],[Set CIAT]]</f>
        <v>30</v>
      </c>
      <c r="O999" s="230">
        <f>Table3.110[[#This Row],[Batch]]</f>
        <v>64</v>
      </c>
      <c r="P999" s="230">
        <f>Table3.110[[#This Row],[Run]]</f>
        <v>1</v>
      </c>
      <c r="Q999" s="230">
        <f>Table3.110[[#This Row],[Replication]]</f>
        <v>1</v>
      </c>
      <c r="R999" s="230">
        <f>Table3.110[[#This Row],[Syrange No]]</f>
        <v>123</v>
      </c>
      <c r="S999" s="98">
        <v>0.54690000000000005</v>
      </c>
      <c r="T999" s="98">
        <v>0.93410000000000004</v>
      </c>
      <c r="U999" s="110"/>
      <c r="V999" s="283">
        <f t="shared" si="93"/>
        <v>0.38719999999999999</v>
      </c>
      <c r="W999" s="61">
        <f>Table3.110[[#This Row],[DM Incubated, mg]]-('3.2 Digest'!V999*1000)</f>
        <v>90.085212851391248</v>
      </c>
      <c r="X999" s="61">
        <f>W999/Table3.110[[#This Row],[DM Incubated, mg]]*100</f>
        <v>18.874503216474132</v>
      </c>
      <c r="Y999" s="31">
        <f>Table3.110[[#This Row],[DM Incubated, mg]]*'2.4 NDF'!R251/100</f>
        <v>268.60417954089291</v>
      </c>
      <c r="Z999" s="61">
        <f t="shared" si="94"/>
        <v>-118.59582045910707</v>
      </c>
      <c r="AA999" s="61">
        <f t="shared" si="95"/>
        <v>-44.152634058716046</v>
      </c>
      <c r="AB999" s="6"/>
    </row>
    <row r="1000" spans="2:28" ht="14.4" customHeight="1" x14ac:dyDescent="0.35">
      <c r="B1000" s="230">
        <f t="shared" si="89"/>
        <v>990</v>
      </c>
      <c r="C1000" s="9"/>
      <c r="D1000" s="248">
        <f>Table3.110[[#This Row],[Date]]</f>
        <v>46064</v>
      </c>
      <c r="E1000" s="230" t="str">
        <f>Table3.110[[#This Row],[Requisitioner]]</f>
        <v>Genbank</v>
      </c>
      <c r="F1000" s="230" t="str">
        <f>Table3.110[[#This Row],[Gene Bank ID]]</f>
        <v>CIAT1812</v>
      </c>
      <c r="G1000" s="230" t="str">
        <f>Table3.110[[#This Row],[Genus]]</f>
        <v>Stylosanthes</v>
      </c>
      <c r="H1000" s="230" t="str">
        <f>Table3.110[[#This Row],[Species]]</f>
        <v>viscosa</v>
      </c>
      <c r="I1000" s="230" t="str">
        <f>Table3.110[[#This Row],[Tax Name]]</f>
        <v>Stylosanthes viscosa</v>
      </c>
      <c r="J1000" s="230" t="str">
        <f>Table3.110[[#This Row],[Family]]</f>
        <v>Fabaceae</v>
      </c>
      <c r="K1000" s="230" t="str">
        <f>Table3.110[[#This Row],[Order]]</f>
        <v>Fabales</v>
      </c>
      <c r="L1000" s="230" t="str">
        <f>Table3.110[[#This Row],[Functional Group]]</f>
        <v>Herbaceous</v>
      </c>
      <c r="M1000" s="230" t="str">
        <f>Table3.110[[#This Row],[CIAT ID]]</f>
        <v>F260018</v>
      </c>
      <c r="N1000" s="230">
        <f>Table3.110[[#This Row],[Set CIAT]]</f>
        <v>30</v>
      </c>
      <c r="O1000" s="230">
        <f>Table3.110[[#This Row],[Batch]]</f>
        <v>64</v>
      </c>
      <c r="P1000" s="230">
        <f>Table3.110[[#This Row],[Run]]</f>
        <v>1</v>
      </c>
      <c r="Q1000" s="230">
        <f>Table3.110[[#This Row],[Replication]]</f>
        <v>2</v>
      </c>
      <c r="R1000" s="230">
        <f>Table3.110[[#This Row],[Syrange No]]</f>
        <v>124</v>
      </c>
      <c r="S1000" s="250">
        <v>0.58520000000000005</v>
      </c>
      <c r="T1000" s="250">
        <v>0.96530000000000005</v>
      </c>
      <c r="U1000" s="265"/>
      <c r="V1000" s="283">
        <f t="shared" si="93"/>
        <v>0.38009999999999999</v>
      </c>
      <c r="W1000" s="61">
        <f>Table3.110[[#This Row],[DM Incubated, mg]]-('3.2 Digest'!V1000*1000)</f>
        <v>97.280669893961601</v>
      </c>
      <c r="X1000" s="61">
        <f>W1000/Table3.110[[#This Row],[DM Incubated, mg]]*100</f>
        <v>20.378007747060668</v>
      </c>
      <c r="Y1000" s="302">
        <f>Table3.110[[#This Row],[DM Incubated, mg]]*'2.4 NDF'!R251/100</f>
        <v>268.65790037680114</v>
      </c>
      <c r="Z1000" s="61">
        <f t="shared" si="94"/>
        <v>-111.44209962319883</v>
      </c>
      <c r="AA1000" s="61">
        <f t="shared" si="95"/>
        <v>-41.481043165638454</v>
      </c>
      <c r="AB1000" s="6"/>
    </row>
    <row r="1001" spans="2:28" ht="14.4" customHeight="1" x14ac:dyDescent="0.35">
      <c r="B1001" s="230">
        <f t="shared" si="89"/>
        <v>991</v>
      </c>
      <c r="C1001" s="9"/>
      <c r="D1001" s="248">
        <f>Table3.110[[#This Row],[Date]]</f>
        <v>46064</v>
      </c>
      <c r="E1001" s="230" t="str">
        <f>Table3.110[[#This Row],[Requisitioner]]</f>
        <v>Genbank</v>
      </c>
      <c r="F1001" s="230" t="str">
        <f>Table3.110[[#This Row],[Gene Bank ID]]</f>
        <v>CIAT1812</v>
      </c>
      <c r="G1001" s="230" t="str">
        <f>Table3.110[[#This Row],[Genus]]</f>
        <v>Stylosanthes</v>
      </c>
      <c r="H1001" s="230" t="str">
        <f>Table3.110[[#This Row],[Species]]</f>
        <v>viscosa</v>
      </c>
      <c r="I1001" s="230" t="str">
        <f>Table3.110[[#This Row],[Tax Name]]</f>
        <v>Stylosanthes viscosa</v>
      </c>
      <c r="J1001" s="230" t="str">
        <f>Table3.110[[#This Row],[Family]]</f>
        <v>Fabaceae</v>
      </c>
      <c r="K1001" s="230" t="str">
        <f>Table3.110[[#This Row],[Order]]</f>
        <v>Fabales</v>
      </c>
      <c r="L1001" s="230" t="str">
        <f>Table3.110[[#This Row],[Functional Group]]</f>
        <v>Herbaceous</v>
      </c>
      <c r="M1001" s="230" t="str">
        <f>Table3.110[[#This Row],[CIAT ID]]</f>
        <v>F260018</v>
      </c>
      <c r="N1001" s="230">
        <f>Table3.110[[#This Row],[Set CIAT]]</f>
        <v>30</v>
      </c>
      <c r="O1001" s="230">
        <f>Table3.110[[#This Row],[Batch]]</f>
        <v>64</v>
      </c>
      <c r="P1001" s="230">
        <f>Table3.110[[#This Row],[Run]]</f>
        <v>1</v>
      </c>
      <c r="Q1001" s="230">
        <f>Table3.110[[#This Row],[Replication]]</f>
        <v>3</v>
      </c>
      <c r="R1001" s="230">
        <f>Table3.110[[#This Row],[Syrange No]]</f>
        <v>125</v>
      </c>
      <c r="S1001" s="98">
        <v>0.59930000000000005</v>
      </c>
      <c r="T1001" s="98">
        <v>1.0329999999999999</v>
      </c>
      <c r="U1001" s="110"/>
      <c r="V1001" s="283">
        <f t="shared" si="93"/>
        <v>0.43369999999999986</v>
      </c>
      <c r="W1001" s="61">
        <f>Table3.110[[#This Row],[DM Incubated, mg]]-('3.2 Digest'!V1001*1000)</f>
        <v>44.062498064242732</v>
      </c>
      <c r="X1001" s="61"/>
      <c r="Y1001" s="31"/>
      <c r="Z1001" s="61"/>
      <c r="AA1001" s="61"/>
      <c r="AB1001" s="6"/>
    </row>
    <row r="1002" spans="2:28" ht="14.4" customHeight="1" x14ac:dyDescent="0.35">
      <c r="B1002" s="230">
        <f t="shared" si="89"/>
        <v>992</v>
      </c>
      <c r="C1002" s="9"/>
      <c r="D1002" s="248">
        <f>Table3.110[[#This Row],[Date]]</f>
        <v>46064</v>
      </c>
      <c r="E1002" s="230" t="str">
        <f>Table3.110[[#This Row],[Requisitioner]]</f>
        <v>Genbank</v>
      </c>
      <c r="F1002" s="230" t="str">
        <f>Table3.110[[#This Row],[Gene Bank ID]]</f>
        <v>CIAT3694</v>
      </c>
      <c r="G1002" s="230" t="str">
        <f>Table3.110[[#This Row],[Genus]]</f>
        <v>Desmodium</v>
      </c>
      <c r="H1002" s="230" t="str">
        <f>Table3.110[[#This Row],[Species]]</f>
        <v>sandwicense</v>
      </c>
      <c r="I1002" s="230" t="str">
        <f>Table3.110[[#This Row],[Tax Name]]</f>
        <v>Desmodium sandwicense</v>
      </c>
      <c r="J1002" s="230" t="str">
        <f>Table3.110[[#This Row],[Family]]</f>
        <v>Fabaceae</v>
      </c>
      <c r="K1002" s="230" t="str">
        <f>Table3.110[[#This Row],[Order]]</f>
        <v>Fabales</v>
      </c>
      <c r="L1002" s="230" t="str">
        <f>Table3.110[[#This Row],[Functional Group]]</f>
        <v>Herbaceous</v>
      </c>
      <c r="M1002" s="230" t="str">
        <f>Table3.110[[#This Row],[CIAT ID]]</f>
        <v>F260019</v>
      </c>
      <c r="N1002" s="230">
        <f>Table3.110[[#This Row],[Set CIAT]]</f>
        <v>30</v>
      </c>
      <c r="O1002" s="230">
        <f>Table3.110[[#This Row],[Batch]]</f>
        <v>64</v>
      </c>
      <c r="P1002" s="230">
        <f>Table3.110[[#This Row],[Run]]</f>
        <v>1</v>
      </c>
      <c r="Q1002" s="230">
        <f>Table3.110[[#This Row],[Replication]]</f>
        <v>1</v>
      </c>
      <c r="R1002" s="230">
        <f>Table3.110[[#This Row],[Syrange No]]</f>
        <v>126</v>
      </c>
      <c r="S1002" s="250">
        <v>0.56710000000000005</v>
      </c>
      <c r="T1002" s="250">
        <v>0.98309999999999997</v>
      </c>
      <c r="U1002" s="265"/>
      <c r="V1002" s="283">
        <f t="shared" si="93"/>
        <v>0.41599999999999993</v>
      </c>
      <c r="W1002" s="61">
        <f>Table3.110[[#This Row],[DM Incubated, mg]]-('3.2 Digest'!V1002*1000)</f>
        <v>56.633353329334454</v>
      </c>
      <c r="X1002" s="61">
        <f>W1002/Table3.110[[#This Row],[DM Incubated, mg]]*100</f>
        <v>11.982513068617887</v>
      </c>
      <c r="Y1002" s="31">
        <f>Table3.110[[#This Row],[DM Incubated, mg]]*'2.4 NDF'!R253/100</f>
        <v>288.35371108673064</v>
      </c>
      <c r="Z1002" s="61">
        <f t="shared" si="94"/>
        <v>-127.6462889132693</v>
      </c>
      <c r="AA1002" s="61">
        <f t="shared" si="95"/>
        <v>-44.267260661291097</v>
      </c>
      <c r="AB1002" s="6"/>
    </row>
    <row r="1003" spans="2:28" ht="14.4" customHeight="1" x14ac:dyDescent="0.35">
      <c r="B1003" s="230">
        <f t="shared" si="89"/>
        <v>993</v>
      </c>
      <c r="C1003" s="9"/>
      <c r="D1003" s="248">
        <f>Table3.110[[#This Row],[Date]]</f>
        <v>46064</v>
      </c>
      <c r="E1003" s="230" t="str">
        <f>Table3.110[[#This Row],[Requisitioner]]</f>
        <v>Genbank</v>
      </c>
      <c r="F1003" s="230" t="str">
        <f>Table3.110[[#This Row],[Gene Bank ID]]</f>
        <v>CIAT3694</v>
      </c>
      <c r="G1003" s="230" t="str">
        <f>Table3.110[[#This Row],[Genus]]</f>
        <v>Desmodium</v>
      </c>
      <c r="H1003" s="230" t="str">
        <f>Table3.110[[#This Row],[Species]]</f>
        <v>sandwicense</v>
      </c>
      <c r="I1003" s="230" t="str">
        <f>Table3.110[[#This Row],[Tax Name]]</f>
        <v>Desmodium sandwicense</v>
      </c>
      <c r="J1003" s="230" t="str">
        <f>Table3.110[[#This Row],[Family]]</f>
        <v>Fabaceae</v>
      </c>
      <c r="K1003" s="230" t="str">
        <f>Table3.110[[#This Row],[Order]]</f>
        <v>Fabales</v>
      </c>
      <c r="L1003" s="230" t="str">
        <f>Table3.110[[#This Row],[Functional Group]]</f>
        <v>Herbaceous</v>
      </c>
      <c r="M1003" s="230" t="str">
        <f>Table3.110[[#This Row],[CIAT ID]]</f>
        <v>F260019</v>
      </c>
      <c r="N1003" s="230">
        <f>Table3.110[[#This Row],[Set CIAT]]</f>
        <v>30</v>
      </c>
      <c r="O1003" s="230">
        <f>Table3.110[[#This Row],[Batch]]</f>
        <v>64</v>
      </c>
      <c r="P1003" s="230">
        <f>Table3.110[[#This Row],[Run]]</f>
        <v>1</v>
      </c>
      <c r="Q1003" s="230">
        <f>Table3.110[[#This Row],[Replication]]</f>
        <v>2</v>
      </c>
      <c r="R1003" s="230">
        <f>Table3.110[[#This Row],[Syrange No]]</f>
        <v>127</v>
      </c>
      <c r="S1003" s="98">
        <v>0.58540000000000003</v>
      </c>
      <c r="T1003" s="98">
        <v>0.91510000000000002</v>
      </c>
      <c r="U1003" s="110"/>
      <c r="V1003" s="283">
        <f t="shared" si="93"/>
        <v>0.32969999999999999</v>
      </c>
      <c r="W1003" s="61">
        <f>Table3.110[[#This Row],[DM Incubated, mg]]-('3.2 Digest'!V1003*1000)</f>
        <v>143.12225554889051</v>
      </c>
      <c r="X1003" s="61">
        <f>W1003/Table3.110[[#This Row],[DM Incubated, mg]]*100</f>
        <v>30.269779789181573</v>
      </c>
      <c r="Y1003" s="31">
        <f>Table3.110[[#This Row],[DM Incubated, mg]]*'2.4 NDF'!R253/100</f>
        <v>288.46896037173735</v>
      </c>
      <c r="Z1003" s="61">
        <f t="shared" si="94"/>
        <v>-41.231039628262636</v>
      </c>
      <c r="AA1003" s="61">
        <f t="shared" si="95"/>
        <v>-14.293059320881524</v>
      </c>
      <c r="AB1003" s="6"/>
    </row>
    <row r="1004" spans="2:28" ht="14.4" customHeight="1" x14ac:dyDescent="0.35">
      <c r="B1004" s="230">
        <f t="shared" si="89"/>
        <v>994</v>
      </c>
      <c r="C1004" s="9"/>
      <c r="D1004" s="248">
        <f>Table3.110[[#This Row],[Date]]</f>
        <v>46064</v>
      </c>
      <c r="E1004" s="230" t="str">
        <f>Table3.110[[#This Row],[Requisitioner]]</f>
        <v>Genbank</v>
      </c>
      <c r="F1004" s="230" t="str">
        <f>Table3.110[[#This Row],[Gene Bank ID]]</f>
        <v>CIAT3694</v>
      </c>
      <c r="G1004" s="230" t="str">
        <f>Table3.110[[#This Row],[Genus]]</f>
        <v>Desmodium</v>
      </c>
      <c r="H1004" s="230" t="str">
        <f>Table3.110[[#This Row],[Species]]</f>
        <v>sandwicense</v>
      </c>
      <c r="I1004" s="230" t="str">
        <f>Table3.110[[#This Row],[Tax Name]]</f>
        <v>Desmodium sandwicense</v>
      </c>
      <c r="J1004" s="230" t="str">
        <f>Table3.110[[#This Row],[Family]]</f>
        <v>Fabaceae</v>
      </c>
      <c r="K1004" s="230" t="str">
        <f>Table3.110[[#This Row],[Order]]</f>
        <v>Fabales</v>
      </c>
      <c r="L1004" s="230" t="str">
        <f>Table3.110[[#This Row],[Functional Group]]</f>
        <v>Herbaceous</v>
      </c>
      <c r="M1004" s="230" t="str">
        <f>Table3.110[[#This Row],[CIAT ID]]</f>
        <v>F260019</v>
      </c>
      <c r="N1004" s="230">
        <f>Table3.110[[#This Row],[Set CIAT]]</f>
        <v>30</v>
      </c>
      <c r="O1004" s="230">
        <f>Table3.110[[#This Row],[Batch]]</f>
        <v>64</v>
      </c>
      <c r="P1004" s="230">
        <f>Table3.110[[#This Row],[Run]]</f>
        <v>1</v>
      </c>
      <c r="Q1004" s="230">
        <f>Table3.110[[#This Row],[Replication]]</f>
        <v>3</v>
      </c>
      <c r="R1004" s="230">
        <f>Table3.110[[#This Row],[Syrange No]]</f>
        <v>128</v>
      </c>
      <c r="S1004" s="250">
        <v>0.6018</v>
      </c>
      <c r="T1004" s="250">
        <v>1.0059</v>
      </c>
      <c r="U1004" s="265"/>
      <c r="V1004" s="283">
        <f t="shared" si="93"/>
        <v>0.40410000000000001</v>
      </c>
      <c r="W1004" s="61">
        <f>Table3.110[[#This Row],[DM Incubated, mg]]-('3.2 Digest'!V1004*1000)</f>
        <v>68.438902219556269</v>
      </c>
      <c r="X1004" s="61">
        <f>W1004/Table3.110[[#This Row],[DM Incubated, mg]]*100</f>
        <v>14.48323130605603</v>
      </c>
      <c r="Y1004" s="302">
        <f>Table3.110[[#This Row],[DM Incubated, mg]]*'2.4 NDF'!R253/100</f>
        <v>288.29608644422729</v>
      </c>
      <c r="Z1004" s="61">
        <f t="shared" si="94"/>
        <v>-115.80391355577274</v>
      </c>
      <c r="AA1004" s="61">
        <f t="shared" si="95"/>
        <v>-40.168395965435955</v>
      </c>
      <c r="AB1004" s="6"/>
    </row>
    <row r="1005" spans="2:28" ht="14.4" customHeight="1" x14ac:dyDescent="0.35">
      <c r="B1005" s="230">
        <f t="shared" si="89"/>
        <v>995</v>
      </c>
      <c r="C1005" s="9"/>
      <c r="D1005" s="248">
        <f>Table3.110[[#This Row],[Date]]</f>
        <v>46064</v>
      </c>
      <c r="E1005" s="230" t="str">
        <f>Table3.110[[#This Row],[Requisitioner]]</f>
        <v>Genbank</v>
      </c>
      <c r="F1005" s="230" t="str">
        <f>Table3.110[[#This Row],[Gene Bank ID]]</f>
        <v>CIAT4080</v>
      </c>
      <c r="G1005" s="230" t="str">
        <f>Table3.110[[#This Row],[Genus]]</f>
        <v>Macroptilium</v>
      </c>
      <c r="H1005" s="230" t="str">
        <f>Table3.110[[#This Row],[Species]]</f>
        <v>bracteatum</v>
      </c>
      <c r="I1005" s="230" t="str">
        <f>Table3.110[[#This Row],[Tax Name]]</f>
        <v>Macroptilium bracteatum</v>
      </c>
      <c r="J1005" s="230" t="str">
        <f>Table3.110[[#This Row],[Family]]</f>
        <v>Fabaceae</v>
      </c>
      <c r="K1005" s="230" t="str">
        <f>Table3.110[[#This Row],[Order]]</f>
        <v>Fabales</v>
      </c>
      <c r="L1005" s="230" t="str">
        <f>Table3.110[[#This Row],[Functional Group]]</f>
        <v>Herbaceous</v>
      </c>
      <c r="M1005" s="230" t="str">
        <f>Table3.110[[#This Row],[CIAT ID]]</f>
        <v>F260020</v>
      </c>
      <c r="N1005" s="230">
        <f>Table3.110[[#This Row],[Set CIAT]]</f>
        <v>30</v>
      </c>
      <c r="O1005" s="230">
        <f>Table3.110[[#This Row],[Batch]]</f>
        <v>64</v>
      </c>
      <c r="P1005" s="230">
        <f>Table3.110[[#This Row],[Run]]</f>
        <v>1</v>
      </c>
      <c r="Q1005" s="230">
        <f>Table3.110[[#This Row],[Replication]]</f>
        <v>1</v>
      </c>
      <c r="R1005" s="230">
        <f>Table3.110[[#This Row],[Syrange No]]</f>
        <v>129</v>
      </c>
      <c r="S1005" s="98">
        <v>0.5534</v>
      </c>
      <c r="T1005" s="98">
        <v>0.86880000000000002</v>
      </c>
      <c r="U1005" s="110"/>
      <c r="V1005" s="283">
        <f t="shared" si="93"/>
        <v>0.31540000000000001</v>
      </c>
      <c r="W1005" s="61">
        <f>Table3.110[[#This Row],[DM Incubated, mg]]-('3.2 Digest'!V1005*1000)</f>
        <v>158.32101172774304</v>
      </c>
      <c r="X1005" s="61">
        <f>W1005/Table3.110[[#This Row],[DM Incubated, mg]]*100</f>
        <v>33.420728194073284</v>
      </c>
      <c r="Y1005" s="31">
        <f>Table3.110[[#This Row],[DM Incubated, mg]]*'2.4 NDF'!R255/100</f>
        <v>242.82112513053784</v>
      </c>
      <c r="Z1005" s="61">
        <f t="shared" si="94"/>
        <v>-72.578874869462197</v>
      </c>
      <c r="AA1005" s="61">
        <f t="shared" si="95"/>
        <v>-29.889851976612263</v>
      </c>
      <c r="AB1005" s="6"/>
    </row>
    <row r="1006" spans="2:28" ht="14.4" customHeight="1" x14ac:dyDescent="0.35">
      <c r="B1006" s="230">
        <f t="shared" si="89"/>
        <v>996</v>
      </c>
      <c r="C1006" s="9"/>
      <c r="D1006" s="248">
        <f>Table3.110[[#This Row],[Date]]</f>
        <v>46064</v>
      </c>
      <c r="E1006" s="230" t="str">
        <f>Table3.110[[#This Row],[Requisitioner]]</f>
        <v>Genbank</v>
      </c>
      <c r="F1006" s="230" t="str">
        <f>Table3.110[[#This Row],[Gene Bank ID]]</f>
        <v>CIAT4080</v>
      </c>
      <c r="G1006" s="230" t="str">
        <f>Table3.110[[#This Row],[Genus]]</f>
        <v>Macroptilium</v>
      </c>
      <c r="H1006" s="230" t="str">
        <f>Table3.110[[#This Row],[Species]]</f>
        <v>bracteatum</v>
      </c>
      <c r="I1006" s="230" t="str">
        <f>Table3.110[[#This Row],[Tax Name]]</f>
        <v>Macroptilium bracteatum</v>
      </c>
      <c r="J1006" s="230" t="str">
        <f>Table3.110[[#This Row],[Family]]</f>
        <v>Fabaceae</v>
      </c>
      <c r="K1006" s="230" t="str">
        <f>Table3.110[[#This Row],[Order]]</f>
        <v>Fabales</v>
      </c>
      <c r="L1006" s="230" t="str">
        <f>Table3.110[[#This Row],[Functional Group]]</f>
        <v>Herbaceous</v>
      </c>
      <c r="M1006" s="230" t="str">
        <f>Table3.110[[#This Row],[CIAT ID]]</f>
        <v>F260020</v>
      </c>
      <c r="N1006" s="230">
        <f>Table3.110[[#This Row],[Set CIAT]]</f>
        <v>30</v>
      </c>
      <c r="O1006" s="230">
        <f>Table3.110[[#This Row],[Batch]]</f>
        <v>64</v>
      </c>
      <c r="P1006" s="230">
        <f>Table3.110[[#This Row],[Run]]</f>
        <v>1</v>
      </c>
      <c r="Q1006" s="230">
        <f>Table3.110[[#This Row],[Replication]]</f>
        <v>2</v>
      </c>
      <c r="R1006" s="230">
        <f>Table3.110[[#This Row],[Syrange No]]</f>
        <v>130</v>
      </c>
      <c r="S1006" s="250">
        <v>0.58299999999999996</v>
      </c>
      <c r="T1006" s="250">
        <v>0.90300000000000002</v>
      </c>
      <c r="U1006" s="265"/>
      <c r="V1006" s="283">
        <f t="shared" si="93"/>
        <v>0.32000000000000006</v>
      </c>
      <c r="W1006" s="61">
        <f>Table3.110[[#This Row],[DM Incubated, mg]]-('3.2 Digest'!V1006*1000)</f>
        <v>153.53163694791982</v>
      </c>
      <c r="X1006" s="61">
        <f>W1006/Table3.110[[#This Row],[DM Incubated, mg]]*100</f>
        <v>32.422677804060974</v>
      </c>
      <c r="Y1006" s="302">
        <f>Table3.110[[#This Row],[DM Incubated, mg]]*'2.4 NDF'!R255/100</f>
        <v>242.72405492261038</v>
      </c>
      <c r="Z1006" s="61">
        <f t="shared" si="94"/>
        <v>-77.275945077389679</v>
      </c>
      <c r="AA1006" s="61">
        <f t="shared" si="95"/>
        <v>-31.836953738280361</v>
      </c>
      <c r="AB1006" s="6"/>
    </row>
    <row r="1007" spans="2:28" ht="14.4" customHeight="1" x14ac:dyDescent="0.35">
      <c r="B1007" s="230">
        <f t="shared" si="89"/>
        <v>997</v>
      </c>
      <c r="C1007" s="9"/>
      <c r="D1007" s="248">
        <f>Table3.110[[#This Row],[Date]]</f>
        <v>46064</v>
      </c>
      <c r="E1007" s="230" t="str">
        <f>Table3.110[[#This Row],[Requisitioner]]</f>
        <v>Genbank</v>
      </c>
      <c r="F1007" s="230" t="str">
        <f>Table3.110[[#This Row],[Gene Bank ID]]</f>
        <v>CIAT4080</v>
      </c>
      <c r="G1007" s="230" t="str">
        <f>Table3.110[[#This Row],[Genus]]</f>
        <v>Macroptilium</v>
      </c>
      <c r="H1007" s="230" t="str">
        <f>Table3.110[[#This Row],[Species]]</f>
        <v>bracteatum</v>
      </c>
      <c r="I1007" s="230" t="str">
        <f>Table3.110[[#This Row],[Tax Name]]</f>
        <v>Macroptilium bracteatum</v>
      </c>
      <c r="J1007" s="230" t="str">
        <f>Table3.110[[#This Row],[Family]]</f>
        <v>Fabaceae</v>
      </c>
      <c r="K1007" s="230" t="str">
        <f>Table3.110[[#This Row],[Order]]</f>
        <v>Fabales</v>
      </c>
      <c r="L1007" s="230" t="str">
        <f>Table3.110[[#This Row],[Functional Group]]</f>
        <v>Herbaceous</v>
      </c>
      <c r="M1007" s="230" t="str">
        <f>Table3.110[[#This Row],[CIAT ID]]</f>
        <v>F260020</v>
      </c>
      <c r="N1007" s="230">
        <f>Table3.110[[#This Row],[Set CIAT]]</f>
        <v>30</v>
      </c>
      <c r="O1007" s="230">
        <f>Table3.110[[#This Row],[Batch]]</f>
        <v>64</v>
      </c>
      <c r="P1007" s="230">
        <f>Table3.110[[#This Row],[Run]]</f>
        <v>1</v>
      </c>
      <c r="Q1007" s="230">
        <f>Table3.110[[#This Row],[Replication]]</f>
        <v>3</v>
      </c>
      <c r="R1007" s="230">
        <f>Table3.110[[#This Row],[Syrange No]]</f>
        <v>131</v>
      </c>
      <c r="S1007" s="98">
        <v>0.56740000000000002</v>
      </c>
      <c r="T1007" s="98">
        <v>0.84530000000000005</v>
      </c>
      <c r="U1007" s="110"/>
      <c r="V1007" s="283">
        <f t="shared" si="93"/>
        <v>0.27790000000000004</v>
      </c>
      <c r="W1007" s="61">
        <f>Table3.110[[#This Row],[DM Incubated, mg]]-('3.2 Digest'!V1007*1000)</f>
        <v>195.63163694791984</v>
      </c>
      <c r="X1007" s="61">
        <f>W1007/Table3.110[[#This Row],[DM Incubated, mg]]*100</f>
        <v>41.313319255464208</v>
      </c>
      <c r="Y1007" s="302">
        <f>Table3.110[[#This Row],[DM Incubated, mg]]*'2.4 NDF'!R255/100</f>
        <v>242.72405492261038</v>
      </c>
      <c r="Z1007" s="61">
        <f t="shared" si="94"/>
        <v>-35.175945077389656</v>
      </c>
      <c r="AA1007" s="61">
        <f t="shared" si="95"/>
        <v>-14.492154512087843</v>
      </c>
      <c r="AB1007" s="6"/>
    </row>
    <row r="1008" spans="2:28" ht="14.4" customHeight="1" x14ac:dyDescent="0.35">
      <c r="B1008" s="230">
        <f t="shared" si="89"/>
        <v>998</v>
      </c>
      <c r="C1008" s="9"/>
      <c r="D1008" s="248">
        <f>Table3.110[[#This Row],[Date]]</f>
        <v>46064</v>
      </c>
      <c r="E1008" s="230" t="str">
        <f>Table3.110[[#This Row],[Requisitioner]]</f>
        <v>Genbank</v>
      </c>
      <c r="F1008" s="230" t="str">
        <f>Table3.110[[#This Row],[Gene Bank ID]]</f>
        <v>CIAT7162</v>
      </c>
      <c r="G1008" s="230" t="str">
        <f>Table3.110[[#This Row],[Genus]]</f>
        <v>Indigofera</v>
      </c>
      <c r="H1008" s="230" t="str">
        <f>Table3.110[[#This Row],[Species]]</f>
        <v>jamaicensis</v>
      </c>
      <c r="I1008" s="230" t="str">
        <f>Table3.110[[#This Row],[Tax Name]]</f>
        <v>Indigofera jamaicensis</v>
      </c>
      <c r="J1008" s="230" t="str">
        <f>Table3.110[[#This Row],[Family]]</f>
        <v>Fabaceae</v>
      </c>
      <c r="K1008" s="230" t="str">
        <f>Table3.110[[#This Row],[Order]]</f>
        <v>Fabales</v>
      </c>
      <c r="L1008" s="230" t="str">
        <f>Table3.110[[#This Row],[Functional Group]]</f>
        <v>Herbaceous</v>
      </c>
      <c r="M1008" s="230" t="str">
        <f>Table3.110[[#This Row],[CIAT ID]]</f>
        <v>F260021</v>
      </c>
      <c r="N1008" s="230">
        <f>Table3.110[[#This Row],[Set CIAT]]</f>
        <v>30</v>
      </c>
      <c r="O1008" s="230">
        <f>Table3.110[[#This Row],[Batch]]</f>
        <v>64</v>
      </c>
      <c r="P1008" s="230">
        <f>Table3.110[[#This Row],[Run]]</f>
        <v>1</v>
      </c>
      <c r="Q1008" s="230">
        <f>Table3.110[[#This Row],[Replication]]</f>
        <v>1</v>
      </c>
      <c r="R1008" s="230">
        <f>Table3.110[[#This Row],[Syrange No]]</f>
        <v>132</v>
      </c>
      <c r="S1008" s="250">
        <v>0.57250000000000001</v>
      </c>
      <c r="T1008" s="250">
        <v>0.85880000000000001</v>
      </c>
      <c r="U1008" s="265"/>
      <c r="V1008" s="283">
        <f t="shared" si="93"/>
        <v>0.2863</v>
      </c>
      <c r="W1008" s="61">
        <f>Table3.110[[#This Row],[DM Incubated, mg]]-('3.2 Digest'!V1008*1000)</f>
        <v>184.06754254061605</v>
      </c>
      <c r="X1008" s="61">
        <f>W1008/Table3.110[[#This Row],[DM Incubated, mg]]*100</f>
        <v>39.132704936740375</v>
      </c>
      <c r="Y1008" s="31">
        <f>Table3.110[[#This Row],[DM Incubated, mg]]*'2.4 NDF'!R257/100</f>
        <v>212.71420002791348</v>
      </c>
      <c r="Z1008" s="61">
        <f t="shared" si="94"/>
        <v>-73.585799972086534</v>
      </c>
      <c r="AA1008" s="61">
        <f t="shared" si="95"/>
        <v>-34.593741255840101</v>
      </c>
      <c r="AB1008" s="6"/>
    </row>
    <row r="1009" spans="2:28" ht="14.4" customHeight="1" x14ac:dyDescent="0.35">
      <c r="B1009" s="230">
        <f t="shared" si="89"/>
        <v>999</v>
      </c>
      <c r="C1009" s="9"/>
      <c r="D1009" s="248">
        <f>Table3.110[[#This Row],[Date]]</f>
        <v>46064</v>
      </c>
      <c r="E1009" s="230" t="str">
        <f>Table3.110[[#This Row],[Requisitioner]]</f>
        <v>Genbank</v>
      </c>
      <c r="F1009" s="230" t="str">
        <f>Table3.110[[#This Row],[Gene Bank ID]]</f>
        <v>CIAT7162</v>
      </c>
      <c r="G1009" s="230" t="str">
        <f>Table3.110[[#This Row],[Genus]]</f>
        <v>Indigofera</v>
      </c>
      <c r="H1009" s="230" t="str">
        <f>Table3.110[[#This Row],[Species]]</f>
        <v>jamaicensis</v>
      </c>
      <c r="I1009" s="230" t="str">
        <f>Table3.110[[#This Row],[Tax Name]]</f>
        <v>Indigofera jamaicensis</v>
      </c>
      <c r="J1009" s="230" t="str">
        <f>Table3.110[[#This Row],[Family]]</f>
        <v>Fabaceae</v>
      </c>
      <c r="K1009" s="230" t="str">
        <f>Table3.110[[#This Row],[Order]]</f>
        <v>Fabales</v>
      </c>
      <c r="L1009" s="230" t="str">
        <f>Table3.110[[#This Row],[Functional Group]]</f>
        <v>Herbaceous</v>
      </c>
      <c r="M1009" s="230" t="str">
        <f>Table3.110[[#This Row],[CIAT ID]]</f>
        <v>F260021</v>
      </c>
      <c r="N1009" s="230">
        <f>Table3.110[[#This Row],[Set CIAT]]</f>
        <v>30</v>
      </c>
      <c r="O1009" s="230">
        <f>Table3.110[[#This Row],[Batch]]</f>
        <v>64</v>
      </c>
      <c r="P1009" s="230">
        <f>Table3.110[[#This Row],[Run]]</f>
        <v>1</v>
      </c>
      <c r="Q1009" s="230">
        <f>Table3.110[[#This Row],[Replication]]</f>
        <v>2</v>
      </c>
      <c r="R1009" s="230">
        <f>Table3.110[[#This Row],[Syrange No]]</f>
        <v>133</v>
      </c>
      <c r="S1009" s="98">
        <v>0.56540000000000001</v>
      </c>
      <c r="T1009" s="98">
        <v>0.82699999999999996</v>
      </c>
      <c r="U1009" s="110"/>
      <c r="V1009" s="283">
        <f t="shared" si="93"/>
        <v>0.26159999999999994</v>
      </c>
      <c r="W1009" s="61">
        <f>Table3.110[[#This Row],[DM Incubated, mg]]-('3.2 Digest'!V1009*1000)</f>
        <v>208.67352544236695</v>
      </c>
      <c r="X1009" s="61">
        <f>W1009/Table3.110[[#This Row],[DM Incubated, mg]]*100</f>
        <v>44.372798840010475</v>
      </c>
      <c r="Y1009" s="302">
        <f>Table3.110[[#This Row],[DM Incubated, mg]]*'2.4 NDF'!R257/100</f>
        <v>212.67168269830566</v>
      </c>
      <c r="Z1009" s="61">
        <f t="shared" si="94"/>
        <v>-48.928317301694307</v>
      </c>
      <c r="AA1009" s="61">
        <f t="shared" si="95"/>
        <v>-23.006503113582649</v>
      </c>
      <c r="AB1009" s="6"/>
    </row>
    <row r="1010" spans="2:28" ht="14.4" customHeight="1" x14ac:dyDescent="0.35">
      <c r="B1010" s="230">
        <f t="shared" si="89"/>
        <v>1000</v>
      </c>
      <c r="C1010" s="9"/>
      <c r="D1010" s="248">
        <f>Table3.110[[#This Row],[Date]]</f>
        <v>46064</v>
      </c>
      <c r="E1010" s="230" t="str">
        <f>Table3.110[[#This Row],[Requisitioner]]</f>
        <v>Genbank</v>
      </c>
      <c r="F1010" s="230" t="str">
        <f>Table3.110[[#This Row],[Gene Bank ID]]</f>
        <v>CIAT7162</v>
      </c>
      <c r="G1010" s="230" t="str">
        <f>Table3.110[[#This Row],[Genus]]</f>
        <v>Indigofera</v>
      </c>
      <c r="H1010" s="230" t="str">
        <f>Table3.110[[#This Row],[Species]]</f>
        <v>jamaicensis</v>
      </c>
      <c r="I1010" s="230" t="str">
        <f>Table3.110[[#This Row],[Tax Name]]</f>
        <v>Indigofera jamaicensis</v>
      </c>
      <c r="J1010" s="230" t="str">
        <f>Table3.110[[#This Row],[Family]]</f>
        <v>Fabaceae</v>
      </c>
      <c r="K1010" s="230" t="str">
        <f>Table3.110[[#This Row],[Order]]</f>
        <v>Fabales</v>
      </c>
      <c r="L1010" s="230" t="str">
        <f>Table3.110[[#This Row],[Functional Group]]</f>
        <v>Herbaceous</v>
      </c>
      <c r="M1010" s="230" t="str">
        <f>Table3.110[[#This Row],[CIAT ID]]</f>
        <v>F260021</v>
      </c>
      <c r="N1010" s="230">
        <f>Table3.110[[#This Row],[Set CIAT]]</f>
        <v>30</v>
      </c>
      <c r="O1010" s="230">
        <f>Table3.110[[#This Row],[Batch]]</f>
        <v>64</v>
      </c>
      <c r="P1010" s="230">
        <f>Table3.110[[#This Row],[Run]]</f>
        <v>1</v>
      </c>
      <c r="Q1010" s="230">
        <f>Table3.110[[#This Row],[Replication]]</f>
        <v>3</v>
      </c>
      <c r="R1010" s="230">
        <f>Table3.110[[#This Row],[Syrange No]]</f>
        <v>134</v>
      </c>
      <c r="S1010" s="250">
        <v>0.57730000000000004</v>
      </c>
      <c r="T1010" s="250">
        <v>0.89359999999999995</v>
      </c>
      <c r="U1010" s="265"/>
      <c r="V1010" s="283">
        <f t="shared" si="93"/>
        <v>0.31629999999999991</v>
      </c>
      <c r="W1010" s="61">
        <f>Table3.110[[#This Row],[DM Incubated, mg]]-('3.2 Digest'!V1010*1000)</f>
        <v>154.34959383536375</v>
      </c>
      <c r="X1010" s="61">
        <f>W1010/Table3.110[[#This Row],[DM Incubated, mg]]*100</f>
        <v>32.795012649975057</v>
      </c>
      <c r="Y1010" s="302">
        <f>Table3.110[[#This Row],[DM Incubated, mg]]*'2.4 NDF'!R257/100</f>
        <v>212.84175201673696</v>
      </c>
      <c r="Z1010" s="61">
        <f t="shared" si="94"/>
        <v>-103.45824798326294</v>
      </c>
      <c r="AA1010" s="61">
        <f t="shared" si="95"/>
        <v>-48.608060684976614</v>
      </c>
      <c r="AB1010" s="6"/>
    </row>
    <row r="1011" spans="2:28" ht="14.4" customHeight="1" x14ac:dyDescent="0.35">
      <c r="B1011" s="230">
        <f t="shared" si="89"/>
        <v>1001</v>
      </c>
      <c r="C1011" s="9"/>
      <c r="D1011" s="248">
        <f>Table3.110[[#This Row],[Date]]</f>
        <v>46064</v>
      </c>
      <c r="E1011" s="230" t="str">
        <f>Table3.110[[#This Row],[Requisitioner]]</f>
        <v>Genbank</v>
      </c>
      <c r="F1011" s="230" t="str">
        <f>Table3.110[[#This Row],[Gene Bank ID]]</f>
        <v>CIAT8820</v>
      </c>
      <c r="G1011" s="230" t="str">
        <f>Table3.110[[#This Row],[Genus]]</f>
        <v>Tephrosia</v>
      </c>
      <c r="H1011" s="230" t="str">
        <f>Table3.110[[#This Row],[Species]]</f>
        <v>cinerea</v>
      </c>
      <c r="I1011" s="230" t="str">
        <f>Table3.110[[#This Row],[Tax Name]]</f>
        <v>Tephrosia cinerea</v>
      </c>
      <c r="J1011" s="230" t="str">
        <f>Table3.110[[#This Row],[Family]]</f>
        <v>Fabaceae</v>
      </c>
      <c r="K1011" s="230" t="str">
        <f>Table3.110[[#This Row],[Order]]</f>
        <v>Fabales</v>
      </c>
      <c r="L1011" s="230" t="str">
        <f>Table3.110[[#This Row],[Functional Group]]</f>
        <v>Herbaceous</v>
      </c>
      <c r="M1011" s="230" t="str">
        <f>Table3.110[[#This Row],[CIAT ID]]</f>
        <v>F260022</v>
      </c>
      <c r="N1011" s="230">
        <f>Table3.110[[#This Row],[Set CIAT]]</f>
        <v>30</v>
      </c>
      <c r="O1011" s="230">
        <f>Table3.110[[#This Row],[Batch]]</f>
        <v>64</v>
      </c>
      <c r="P1011" s="230">
        <f>Table3.110[[#This Row],[Run]]</f>
        <v>1</v>
      </c>
      <c r="Q1011" s="230">
        <f>Table3.110[[#This Row],[Replication]]</f>
        <v>1</v>
      </c>
      <c r="R1011" s="230">
        <f>Table3.110[[#This Row],[Syrange No]]</f>
        <v>135</v>
      </c>
      <c r="S1011" s="98">
        <v>0.59160000000000001</v>
      </c>
      <c r="T1011" s="98">
        <v>0.88439999999999996</v>
      </c>
      <c r="U1011" s="110"/>
      <c r="V1011" s="283">
        <f t="shared" si="93"/>
        <v>0.29279999999999995</v>
      </c>
      <c r="W1011" s="61">
        <f>Table3.110[[#This Row],[DM Incubated, mg]]-('3.2 Digest'!V1011*1000)</f>
        <v>182.76885336261404</v>
      </c>
      <c r="X1011" s="61">
        <f>W1011/Table3.110[[#This Row],[DM Incubated, mg]]*100</f>
        <v>38.431628158637125</v>
      </c>
      <c r="Y1011" s="31">
        <f>Table3.110[[#This Row],[DM Incubated, mg]]*'2.4 NDF'!R259/100</f>
        <v>246.75556764692689</v>
      </c>
      <c r="Z1011" s="61">
        <f t="shared" si="94"/>
        <v>-46.044432353073063</v>
      </c>
      <c r="AA1011" s="61">
        <f t="shared" si="95"/>
        <v>-18.6599365486076</v>
      </c>
      <c r="AB1011" s="6"/>
    </row>
    <row r="1012" spans="2:28" ht="14.4" customHeight="1" x14ac:dyDescent="0.35">
      <c r="B1012" s="230">
        <f t="shared" si="89"/>
        <v>1002</v>
      </c>
      <c r="C1012" s="9"/>
      <c r="D1012" s="248">
        <f>Table3.110[[#This Row],[Date]]</f>
        <v>46064</v>
      </c>
      <c r="E1012" s="230" t="str">
        <f>Table3.110[[#This Row],[Requisitioner]]</f>
        <v>Genbank</v>
      </c>
      <c r="F1012" s="230" t="str">
        <f>Table3.110[[#This Row],[Gene Bank ID]]</f>
        <v>CIAT8820</v>
      </c>
      <c r="G1012" s="230" t="str">
        <f>Table3.110[[#This Row],[Genus]]</f>
        <v>Tephrosia</v>
      </c>
      <c r="H1012" s="230" t="str">
        <f>Table3.110[[#This Row],[Species]]</f>
        <v>cinerea</v>
      </c>
      <c r="I1012" s="230" t="str">
        <f>Table3.110[[#This Row],[Tax Name]]</f>
        <v>Tephrosia cinerea</v>
      </c>
      <c r="J1012" s="230" t="str">
        <f>Table3.110[[#This Row],[Family]]</f>
        <v>Fabaceae</v>
      </c>
      <c r="K1012" s="230" t="str">
        <f>Table3.110[[#This Row],[Order]]</f>
        <v>Fabales</v>
      </c>
      <c r="L1012" s="230" t="str">
        <f>Table3.110[[#This Row],[Functional Group]]</f>
        <v>Herbaceous</v>
      </c>
      <c r="M1012" s="230" t="str">
        <f>Table3.110[[#This Row],[CIAT ID]]</f>
        <v>F260022</v>
      </c>
      <c r="N1012" s="230">
        <f>Table3.110[[#This Row],[Set CIAT]]</f>
        <v>30</v>
      </c>
      <c r="O1012" s="230">
        <f>Table3.110[[#This Row],[Batch]]</f>
        <v>64</v>
      </c>
      <c r="P1012" s="230">
        <f>Table3.110[[#This Row],[Run]]</f>
        <v>1</v>
      </c>
      <c r="Q1012" s="230">
        <f>Table3.110[[#This Row],[Replication]]</f>
        <v>2</v>
      </c>
      <c r="R1012" s="230">
        <f>Table3.110[[#This Row],[Syrange No]]</f>
        <v>136</v>
      </c>
      <c r="S1012" s="250">
        <v>0.59940000000000004</v>
      </c>
      <c r="T1012" s="250">
        <v>0.85450000000000004</v>
      </c>
      <c r="U1012" s="265"/>
      <c r="V1012" s="283">
        <f t="shared" si="93"/>
        <v>0.25509999999999999</v>
      </c>
      <c r="W1012" s="61">
        <f>Table3.110[[#This Row],[DM Incubated, mg]]-('3.2 Digest'!V1012*1000)</f>
        <v>220.56392910299044</v>
      </c>
      <c r="X1012" s="61">
        <f>W1012/Table3.110[[#This Row],[DM Incubated, mg]]*100</f>
        <v>46.369698353821164</v>
      </c>
      <c r="Y1012" s="31">
        <f>Table3.110[[#This Row],[DM Incubated, mg]]*'2.4 NDF'!R259/100</f>
        <v>246.80489902790396</v>
      </c>
      <c r="Z1012" s="61">
        <f t="shared" si="94"/>
        <v>-8.2951009720960371</v>
      </c>
      <c r="AA1012" s="61">
        <f t="shared" si="95"/>
        <v>-3.3609952658023157</v>
      </c>
      <c r="AB1012" s="6"/>
    </row>
    <row r="1013" spans="2:28" ht="14.4" customHeight="1" x14ac:dyDescent="0.35">
      <c r="B1013" s="230">
        <f t="shared" si="89"/>
        <v>1003</v>
      </c>
      <c r="C1013" s="9"/>
      <c r="D1013" s="248">
        <f>Table3.110[[#This Row],[Date]]</f>
        <v>46064</v>
      </c>
      <c r="E1013" s="230" t="str">
        <f>Table3.110[[#This Row],[Requisitioner]]</f>
        <v>Genbank</v>
      </c>
      <c r="F1013" s="230" t="str">
        <f>Table3.110[[#This Row],[Gene Bank ID]]</f>
        <v>CIAT8820</v>
      </c>
      <c r="G1013" s="230" t="str">
        <f>Table3.110[[#This Row],[Genus]]</f>
        <v>Tephrosia</v>
      </c>
      <c r="H1013" s="230" t="str">
        <f>Table3.110[[#This Row],[Species]]</f>
        <v>cinerea</v>
      </c>
      <c r="I1013" s="230" t="str">
        <f>Table3.110[[#This Row],[Tax Name]]</f>
        <v>Tephrosia cinerea</v>
      </c>
      <c r="J1013" s="230" t="str">
        <f>Table3.110[[#This Row],[Family]]</f>
        <v>Fabaceae</v>
      </c>
      <c r="K1013" s="230" t="str">
        <f>Table3.110[[#This Row],[Order]]</f>
        <v>Fabales</v>
      </c>
      <c r="L1013" s="230" t="str">
        <f>Table3.110[[#This Row],[Functional Group]]</f>
        <v>Herbaceous</v>
      </c>
      <c r="M1013" s="230" t="str">
        <f>Table3.110[[#This Row],[CIAT ID]]</f>
        <v>F260022</v>
      </c>
      <c r="N1013" s="230">
        <f>Table3.110[[#This Row],[Set CIAT]]</f>
        <v>30</v>
      </c>
      <c r="O1013" s="230">
        <f>Table3.110[[#This Row],[Batch]]</f>
        <v>64</v>
      </c>
      <c r="P1013" s="230">
        <f>Table3.110[[#This Row],[Run]]</f>
        <v>1</v>
      </c>
      <c r="Q1013" s="230">
        <f>Table3.110[[#This Row],[Replication]]</f>
        <v>3</v>
      </c>
      <c r="R1013" s="230">
        <f>Table3.110[[#This Row],[Syrange No]]</f>
        <v>137</v>
      </c>
      <c r="S1013" s="98">
        <v>0.57520000000000004</v>
      </c>
      <c r="T1013" s="98">
        <v>0.81920000000000004</v>
      </c>
      <c r="U1013" s="110"/>
      <c r="V1013" s="283">
        <f t="shared" si="93"/>
        <v>0.24399999999999999</v>
      </c>
      <c r="W1013" s="61">
        <f>Table3.110[[#This Row],[DM Incubated, mg]]-('3.2 Digest'!V1013*1000)</f>
        <v>231.8540805837431</v>
      </c>
      <c r="X1013" s="61">
        <f>W1013/Table3.110[[#This Row],[DM Incubated, mg]]*100</f>
        <v>48.723776898019118</v>
      </c>
      <c r="Y1013" s="302">
        <f>Table3.110[[#This Row],[DM Incubated, mg]]*'2.4 NDF'!R259/100</f>
        <v>246.90356178985789</v>
      </c>
      <c r="Z1013" s="61">
        <f t="shared" si="94"/>
        <v>2.9035617898578892</v>
      </c>
      <c r="AA1013" s="61">
        <f t="shared" si="95"/>
        <v>1.1759902404037168</v>
      </c>
      <c r="AB1013" s="6"/>
    </row>
    <row r="1014" spans="2:28" ht="14.4" customHeight="1" x14ac:dyDescent="0.35">
      <c r="B1014" s="230">
        <f t="shared" si="89"/>
        <v>1004</v>
      </c>
      <c r="C1014" s="9"/>
      <c r="D1014" s="248">
        <f>Table3.110[[#This Row],[Date]]</f>
        <v>46064</v>
      </c>
      <c r="E1014" s="230" t="str">
        <f>Table3.110[[#This Row],[Requisitioner]]</f>
        <v>Genbank</v>
      </c>
      <c r="F1014" s="230" t="str">
        <f>Table3.110[[#This Row],[Gene Bank ID]]</f>
        <v>CIAT14080</v>
      </c>
      <c r="G1014" s="230" t="str">
        <f>Table3.110[[#This Row],[Genus]]</f>
        <v>Zornia</v>
      </c>
      <c r="H1014" s="230" t="str">
        <f>Table3.110[[#This Row],[Species]]</f>
        <v>brasiliensis</v>
      </c>
      <c r="I1014" s="230" t="str">
        <f>Table3.110[[#This Row],[Tax Name]]</f>
        <v>Zornia brasiliensis</v>
      </c>
      <c r="J1014" s="230" t="str">
        <f>Table3.110[[#This Row],[Family]]</f>
        <v>Fabaceae</v>
      </c>
      <c r="K1014" s="230" t="str">
        <f>Table3.110[[#This Row],[Order]]</f>
        <v>Fabales</v>
      </c>
      <c r="L1014" s="230" t="str">
        <f>Table3.110[[#This Row],[Functional Group]]</f>
        <v>Herbaceous</v>
      </c>
      <c r="M1014" s="230" t="str">
        <f>Table3.110[[#This Row],[CIAT ID]]</f>
        <v>F260023</v>
      </c>
      <c r="N1014" s="230">
        <f>Table3.110[[#This Row],[Set CIAT]]</f>
        <v>30</v>
      </c>
      <c r="O1014" s="230">
        <f>Table3.110[[#This Row],[Batch]]</f>
        <v>64</v>
      </c>
      <c r="P1014" s="230">
        <f>Table3.110[[#This Row],[Run]]</f>
        <v>1</v>
      </c>
      <c r="Q1014" s="230">
        <f>Table3.110[[#This Row],[Replication]]</f>
        <v>1</v>
      </c>
      <c r="R1014" s="230">
        <f>Table3.110[[#This Row],[Syrange No]]</f>
        <v>138</v>
      </c>
      <c r="S1014" s="250">
        <v>0.56589999999999996</v>
      </c>
      <c r="T1014" s="250">
        <v>0.84750000000000003</v>
      </c>
      <c r="U1014" s="265"/>
      <c r="V1014" s="283">
        <f t="shared" si="93"/>
        <v>0.28160000000000007</v>
      </c>
      <c r="W1014" s="61">
        <f>Table3.110[[#This Row],[DM Incubated, mg]]-('3.2 Digest'!V1014*1000)</f>
        <v>192.02894434411735</v>
      </c>
      <c r="X1014" s="61">
        <f>W1014/Table3.110[[#This Row],[DM Incubated, mg]]*100</f>
        <v>40.544174218499151</v>
      </c>
      <c r="Y1014" s="31">
        <f>Table3.110[[#This Row],[DM Incubated, mg]]*'2.4 NDF'!R261/100</f>
        <v>220.93573340740693</v>
      </c>
      <c r="Z1014" s="61">
        <f t="shared" si="94"/>
        <v>-60.664266592593151</v>
      </c>
      <c r="AA1014" s="61">
        <f t="shared" si="95"/>
        <v>-27.457879111265289</v>
      </c>
      <c r="AB1014" s="6"/>
    </row>
    <row r="1015" spans="2:28" ht="14.4" customHeight="1" x14ac:dyDescent="0.35">
      <c r="B1015" s="230">
        <f t="shared" si="89"/>
        <v>1005</v>
      </c>
      <c r="C1015" s="9"/>
      <c r="D1015" s="248">
        <f>Table3.110[[#This Row],[Date]]</f>
        <v>46064</v>
      </c>
      <c r="E1015" s="230" t="str">
        <f>Table3.110[[#This Row],[Requisitioner]]</f>
        <v>Genbank</v>
      </c>
      <c r="F1015" s="230" t="str">
        <f>Table3.110[[#This Row],[Gene Bank ID]]</f>
        <v>CIAT14080</v>
      </c>
      <c r="G1015" s="230" t="str">
        <f>Table3.110[[#This Row],[Genus]]</f>
        <v>Zornia</v>
      </c>
      <c r="H1015" s="230" t="str">
        <f>Table3.110[[#This Row],[Species]]</f>
        <v>brasiliensis</v>
      </c>
      <c r="I1015" s="230" t="str">
        <f>Table3.110[[#This Row],[Tax Name]]</f>
        <v>Zornia brasiliensis</v>
      </c>
      <c r="J1015" s="230" t="str">
        <f>Table3.110[[#This Row],[Family]]</f>
        <v>Fabaceae</v>
      </c>
      <c r="K1015" s="230" t="str">
        <f>Table3.110[[#This Row],[Order]]</f>
        <v>Fabales</v>
      </c>
      <c r="L1015" s="230" t="str">
        <f>Table3.110[[#This Row],[Functional Group]]</f>
        <v>Herbaceous</v>
      </c>
      <c r="M1015" s="230" t="str">
        <f>Table3.110[[#This Row],[CIAT ID]]</f>
        <v>F260023</v>
      </c>
      <c r="N1015" s="230">
        <f>Table3.110[[#This Row],[Set CIAT]]</f>
        <v>30</v>
      </c>
      <c r="O1015" s="230">
        <f>Table3.110[[#This Row],[Batch]]</f>
        <v>64</v>
      </c>
      <c r="P1015" s="230">
        <f>Table3.110[[#This Row],[Run]]</f>
        <v>1</v>
      </c>
      <c r="Q1015" s="230">
        <f>Table3.110[[#This Row],[Replication]]</f>
        <v>2</v>
      </c>
      <c r="R1015" s="230">
        <f>Table3.110[[#This Row],[Syrange No]]</f>
        <v>139</v>
      </c>
      <c r="S1015" s="98">
        <v>0.58289999999999997</v>
      </c>
      <c r="T1015" s="98">
        <v>0.80030000000000001</v>
      </c>
      <c r="U1015" s="110"/>
      <c r="V1015" s="283">
        <f t="shared" si="93"/>
        <v>0.21740000000000004</v>
      </c>
      <c r="W1015" s="61">
        <f>Table3.110[[#This Row],[DM Incubated, mg]]-('3.2 Digest'!V1015*1000)</f>
        <v>256.51312171072385</v>
      </c>
      <c r="X1015" s="61">
        <f>W1015/Table3.110[[#This Row],[DM Incubated, mg]]*100</f>
        <v>54.126613077259165</v>
      </c>
      <c r="Y1015" s="302">
        <f>Table3.110[[#This Row],[DM Incubated, mg]]*'2.4 NDF'!R261/100</f>
        <v>221.06829484745137</v>
      </c>
      <c r="Z1015" s="61">
        <f t="shared" si="94"/>
        <v>3.6682948474513353</v>
      </c>
      <c r="AA1015" s="61">
        <f t="shared" si="95"/>
        <v>1.6593491391348767</v>
      </c>
      <c r="AB1015" s="6"/>
    </row>
    <row r="1016" spans="2:28" ht="14.4" customHeight="1" x14ac:dyDescent="0.35">
      <c r="B1016" s="230">
        <f t="shared" si="89"/>
        <v>1006</v>
      </c>
      <c r="C1016" s="9"/>
      <c r="D1016" s="248">
        <f>Table3.110[[#This Row],[Date]]</f>
        <v>46064</v>
      </c>
      <c r="E1016" s="230" t="str">
        <f>Table3.110[[#This Row],[Requisitioner]]</f>
        <v>Genbank</v>
      </c>
      <c r="F1016" s="230" t="str">
        <f>Table3.110[[#This Row],[Gene Bank ID]]</f>
        <v>CIAT14080</v>
      </c>
      <c r="G1016" s="230" t="str">
        <f>Table3.110[[#This Row],[Genus]]</f>
        <v>Zornia</v>
      </c>
      <c r="H1016" s="230" t="str">
        <f>Table3.110[[#This Row],[Species]]</f>
        <v>brasiliensis</v>
      </c>
      <c r="I1016" s="230" t="str">
        <f>Table3.110[[#This Row],[Tax Name]]</f>
        <v>Zornia brasiliensis</v>
      </c>
      <c r="J1016" s="230" t="str">
        <f>Table3.110[[#This Row],[Family]]</f>
        <v>Fabaceae</v>
      </c>
      <c r="K1016" s="230" t="str">
        <f>Table3.110[[#This Row],[Order]]</f>
        <v>Fabales</v>
      </c>
      <c r="L1016" s="230" t="str">
        <f>Table3.110[[#This Row],[Functional Group]]</f>
        <v>Herbaceous</v>
      </c>
      <c r="M1016" s="230" t="str">
        <f>Table3.110[[#This Row],[CIAT ID]]</f>
        <v>F260023</v>
      </c>
      <c r="N1016" s="230">
        <f>Table3.110[[#This Row],[Set CIAT]]</f>
        <v>30</v>
      </c>
      <c r="O1016" s="230">
        <f>Table3.110[[#This Row],[Batch]]</f>
        <v>64</v>
      </c>
      <c r="P1016" s="230">
        <f>Table3.110[[#This Row],[Run]]</f>
        <v>1</v>
      </c>
      <c r="Q1016" s="230">
        <f>Table3.110[[#This Row],[Replication]]</f>
        <v>3</v>
      </c>
      <c r="R1016" s="230">
        <f>Table3.110[[#This Row],[Syrange No]]</f>
        <v>140</v>
      </c>
      <c r="S1016" s="250">
        <v>0.58240000000000003</v>
      </c>
      <c r="T1016" s="250">
        <v>0.81310000000000004</v>
      </c>
      <c r="U1016" s="265"/>
      <c r="V1016" s="283">
        <f t="shared" si="93"/>
        <v>0.23070000000000002</v>
      </c>
      <c r="W1016" s="61">
        <f>Table3.110[[#This Row],[DM Incubated, mg]]-('3.2 Digest'!V1016*1000)</f>
        <v>243.40257328846147</v>
      </c>
      <c r="X1016" s="61">
        <f>W1016/Table3.110[[#This Row],[DM Incubated, mg]]*100</f>
        <v>51.339643993108297</v>
      </c>
      <c r="Y1016" s="31">
        <f>Table3.110[[#This Row],[DM Incubated, mg]]*'2.4 NDF'!R261/100</f>
        <v>221.1566691408143</v>
      </c>
      <c r="Z1016" s="61">
        <f t="shared" si="94"/>
        <v>-9.5433308591857156</v>
      </c>
      <c r="AA1016" s="61">
        <f t="shared" si="95"/>
        <v>-4.315190175481125</v>
      </c>
      <c r="AB1016" s="6"/>
    </row>
    <row r="1017" spans="2:28" ht="14.4" customHeight="1" x14ac:dyDescent="0.35">
      <c r="B1017" s="230">
        <f t="shared" si="89"/>
        <v>1007</v>
      </c>
      <c r="C1017" s="9"/>
      <c r="D1017" s="248">
        <f>Table3.110[[#This Row],[Date]]</f>
        <v>46064</v>
      </c>
      <c r="E1017" s="230" t="str">
        <f>Table3.110[[#This Row],[Requisitioner]]</f>
        <v>Genbank</v>
      </c>
      <c r="F1017" s="230" t="str">
        <f>Table3.110[[#This Row],[Gene Bank ID]]</f>
        <v>CIAT18950</v>
      </c>
      <c r="G1017" s="230" t="str">
        <f>Table3.110[[#This Row],[Genus]]</f>
        <v>Indigofera</v>
      </c>
      <c r="H1017" s="230" t="str">
        <f>Table3.110[[#This Row],[Species]]</f>
        <v>spicata</v>
      </c>
      <c r="I1017" s="230" t="str">
        <f>Table3.110[[#This Row],[Tax Name]]</f>
        <v>Indigofera spicata</v>
      </c>
      <c r="J1017" s="230" t="str">
        <f>Table3.110[[#This Row],[Family]]</f>
        <v>Fabaceae</v>
      </c>
      <c r="K1017" s="230" t="str">
        <f>Table3.110[[#This Row],[Order]]</f>
        <v>Fabales</v>
      </c>
      <c r="L1017" s="230" t="str">
        <f>Table3.110[[#This Row],[Functional Group]]</f>
        <v>Herbaceous</v>
      </c>
      <c r="M1017" s="230" t="str">
        <f>Table3.110[[#This Row],[CIAT ID]]</f>
        <v>F260024</v>
      </c>
      <c r="N1017" s="230">
        <f>Table3.110[[#This Row],[Set CIAT]]</f>
        <v>30</v>
      </c>
      <c r="O1017" s="230">
        <f>Table3.110[[#This Row],[Batch]]</f>
        <v>64</v>
      </c>
      <c r="P1017" s="230">
        <f>Table3.110[[#This Row],[Run]]</f>
        <v>1</v>
      </c>
      <c r="Q1017" s="230">
        <f>Table3.110[[#This Row],[Replication]]</f>
        <v>1</v>
      </c>
      <c r="R1017" s="230">
        <f>Table3.110[[#This Row],[Syrange No]]</f>
        <v>141</v>
      </c>
      <c r="S1017" s="98">
        <v>0.58189999999999997</v>
      </c>
      <c r="T1017" s="98">
        <v>0.79790000000000005</v>
      </c>
      <c r="U1017" s="110"/>
      <c r="V1017" s="283">
        <f t="shared" si="93"/>
        <v>0.21600000000000008</v>
      </c>
      <c r="W1017" s="61">
        <f>Table3.110[[#This Row],[DM Incubated, mg]]-('3.2 Digest'!V1017*1000)</f>
        <v>251.59120439780074</v>
      </c>
      <c r="X1017" s="61">
        <f>W1017/Table3.110[[#This Row],[DM Incubated, mg]]*100</f>
        <v>53.805803452145518</v>
      </c>
      <c r="Y1017" s="31">
        <f>Table3.110[[#This Row],[DM Incubated, mg]]*'2.4 NDF'!R263/100</f>
        <v>195.7918093971237</v>
      </c>
      <c r="Z1017" s="61">
        <f t="shared" si="94"/>
        <v>-20.208190602876385</v>
      </c>
      <c r="AA1017" s="61">
        <f t="shared" si="95"/>
        <v>-10.321264543752285</v>
      </c>
      <c r="AB1017" s="6"/>
    </row>
    <row r="1018" spans="2:28" ht="14.4" customHeight="1" x14ac:dyDescent="0.35">
      <c r="B1018" s="230">
        <f t="shared" si="89"/>
        <v>1008</v>
      </c>
      <c r="C1018" s="9"/>
      <c r="D1018" s="248">
        <f>Table3.110[[#This Row],[Date]]</f>
        <v>46064</v>
      </c>
      <c r="E1018" s="230" t="str">
        <f>Table3.110[[#This Row],[Requisitioner]]</f>
        <v>Genbank</v>
      </c>
      <c r="F1018" s="230" t="str">
        <f>Table3.110[[#This Row],[Gene Bank ID]]</f>
        <v>CIAT18950</v>
      </c>
      <c r="G1018" s="230" t="str">
        <f>Table3.110[[#This Row],[Genus]]</f>
        <v>Indigofera</v>
      </c>
      <c r="H1018" s="230" t="str">
        <f>Table3.110[[#This Row],[Species]]</f>
        <v>spicata</v>
      </c>
      <c r="I1018" s="230" t="str">
        <f>Table3.110[[#This Row],[Tax Name]]</f>
        <v>Indigofera spicata</v>
      </c>
      <c r="J1018" s="230" t="str">
        <f>Table3.110[[#This Row],[Family]]</f>
        <v>Fabaceae</v>
      </c>
      <c r="K1018" s="230" t="str">
        <f>Table3.110[[#This Row],[Order]]</f>
        <v>Fabales</v>
      </c>
      <c r="L1018" s="230" t="str">
        <f>Table3.110[[#This Row],[Functional Group]]</f>
        <v>Herbaceous</v>
      </c>
      <c r="M1018" s="230" t="str">
        <f>Table3.110[[#This Row],[CIAT ID]]</f>
        <v>F260024</v>
      </c>
      <c r="N1018" s="230">
        <f>Table3.110[[#This Row],[Set CIAT]]</f>
        <v>30</v>
      </c>
      <c r="O1018" s="230">
        <f>Table3.110[[#This Row],[Batch]]</f>
        <v>64</v>
      </c>
      <c r="P1018" s="230">
        <f>Table3.110[[#This Row],[Run]]</f>
        <v>1</v>
      </c>
      <c r="Q1018" s="230">
        <f>Table3.110[[#This Row],[Replication]]</f>
        <v>2</v>
      </c>
      <c r="R1018" s="230">
        <f>Table3.110[[#This Row],[Syrange No]]</f>
        <v>142</v>
      </c>
      <c r="S1018" s="250">
        <v>0.58260000000000001</v>
      </c>
      <c r="T1018" s="250">
        <v>0.85950000000000004</v>
      </c>
      <c r="U1018" s="265"/>
      <c r="V1018" s="283">
        <f t="shared" si="93"/>
        <v>0.27690000000000003</v>
      </c>
      <c r="W1018" s="61">
        <f>Table3.110[[#This Row],[DM Incubated, mg]]-('3.2 Digest'!V1018*1000)</f>
        <v>190.78472263868042</v>
      </c>
      <c r="X1018" s="61">
        <f>W1018/Table3.110[[#This Row],[DM Incubated, mg]]*100</f>
        <v>40.793447680367166</v>
      </c>
      <c r="Y1018" s="31">
        <f>Table3.110[[#This Row],[DM Incubated, mg]]*'2.4 NDF'!R263/100</f>
        <v>195.83096775900313</v>
      </c>
      <c r="Z1018" s="61">
        <f t="shared" si="94"/>
        <v>-81.069032240996904</v>
      </c>
      <c r="AA1018" s="61">
        <f t="shared" si="95"/>
        <v>-41.397452695409989</v>
      </c>
      <c r="AB1018" s="6"/>
    </row>
    <row r="1019" spans="2:28" ht="14.4" customHeight="1" x14ac:dyDescent="0.35">
      <c r="B1019" s="230">
        <f t="shared" si="89"/>
        <v>1009</v>
      </c>
      <c r="C1019" s="9"/>
      <c r="D1019" s="248">
        <f>Table3.110[[#This Row],[Date]]</f>
        <v>46064</v>
      </c>
      <c r="E1019" s="230" t="str">
        <f>Table3.110[[#This Row],[Requisitioner]]</f>
        <v>Genbank</v>
      </c>
      <c r="F1019" s="230" t="str">
        <f>Table3.110[[#This Row],[Gene Bank ID]]</f>
        <v>CIAT18950</v>
      </c>
      <c r="G1019" s="230" t="str">
        <f>Table3.110[[#This Row],[Genus]]</f>
        <v>Indigofera</v>
      </c>
      <c r="H1019" s="230" t="str">
        <f>Table3.110[[#This Row],[Species]]</f>
        <v>spicata</v>
      </c>
      <c r="I1019" s="230" t="str">
        <f>Table3.110[[#This Row],[Tax Name]]</f>
        <v>Indigofera spicata</v>
      </c>
      <c r="J1019" s="230" t="str">
        <f>Table3.110[[#This Row],[Family]]</f>
        <v>Fabaceae</v>
      </c>
      <c r="K1019" s="230" t="str">
        <f>Table3.110[[#This Row],[Order]]</f>
        <v>Fabales</v>
      </c>
      <c r="L1019" s="230" t="str">
        <f>Table3.110[[#This Row],[Functional Group]]</f>
        <v>Herbaceous</v>
      </c>
      <c r="M1019" s="230" t="str">
        <f>Table3.110[[#This Row],[CIAT ID]]</f>
        <v>F260024</v>
      </c>
      <c r="N1019" s="230">
        <f>Table3.110[[#This Row],[Set CIAT]]</f>
        <v>30</v>
      </c>
      <c r="O1019" s="230">
        <f>Table3.110[[#This Row],[Batch]]</f>
        <v>64</v>
      </c>
      <c r="P1019" s="230">
        <f>Table3.110[[#This Row],[Run]]</f>
        <v>1</v>
      </c>
      <c r="Q1019" s="230">
        <f>Table3.110[[#This Row],[Replication]]</f>
        <v>3</v>
      </c>
      <c r="R1019" s="230">
        <f>Table3.110[[#This Row],[Syrange No]]</f>
        <v>143</v>
      </c>
      <c r="S1019" s="98">
        <v>0.56859999999999999</v>
      </c>
      <c r="T1019" s="98">
        <v>0.81140000000000001</v>
      </c>
      <c r="U1019" s="110"/>
      <c r="V1019" s="283">
        <f t="shared" si="93"/>
        <v>0.24280000000000002</v>
      </c>
      <c r="W1019" s="61">
        <f>Table3.110[[#This Row],[DM Incubated, mg]]-('3.2 Digest'!V1019*1000)</f>
        <v>225.07175912043948</v>
      </c>
      <c r="X1019" s="61">
        <f>W1019/Table3.110[[#This Row],[DM Incubated, mg]]*100</f>
        <v>48.105438025059669</v>
      </c>
      <c r="Y1019" s="302">
        <f>Table3.110[[#This Row],[DM Incubated, mg]]*'2.4 NDF'!R263/100</f>
        <v>195.90928448276199</v>
      </c>
      <c r="Z1019" s="61">
        <f t="shared" si="94"/>
        <v>-46.890715517238021</v>
      </c>
      <c r="AA1019" s="61">
        <f t="shared" si="95"/>
        <v>-23.934912345292101</v>
      </c>
      <c r="AB1019" s="6"/>
    </row>
    <row r="1020" spans="2:28" ht="14.4" customHeight="1" x14ac:dyDescent="0.35">
      <c r="B1020" s="230">
        <f t="shared" si="89"/>
        <v>1010</v>
      </c>
      <c r="C1020" s="9"/>
      <c r="D1020" s="248">
        <f>Table3.110[[#This Row],[Date]]</f>
        <v>46064</v>
      </c>
      <c r="E1020" s="230" t="str">
        <f>Table3.110[[#This Row],[Requisitioner]]</f>
        <v>Genbank</v>
      </c>
      <c r="F1020" s="230" t="str">
        <f>Table3.110[[#This Row],[Gene Bank ID]]</f>
        <v>CIAT19193</v>
      </c>
      <c r="G1020" s="230" t="str">
        <f>Table3.110[[#This Row],[Genus]]</f>
        <v>Tephrosia</v>
      </c>
      <c r="H1020" s="230" t="str">
        <f>Table3.110[[#This Row],[Species]]</f>
        <v>villosa</v>
      </c>
      <c r="I1020" s="230" t="str">
        <f>Table3.110[[#This Row],[Tax Name]]</f>
        <v>Tephrosia villosa</v>
      </c>
      <c r="J1020" s="230" t="str">
        <f>Table3.110[[#This Row],[Family]]</f>
        <v>Fabaceae</v>
      </c>
      <c r="K1020" s="230" t="str">
        <f>Table3.110[[#This Row],[Order]]</f>
        <v>Fabales</v>
      </c>
      <c r="L1020" s="230" t="str">
        <f>Table3.110[[#This Row],[Functional Group]]</f>
        <v>Herbaceous</v>
      </c>
      <c r="M1020" s="230" t="str">
        <f>Table3.110[[#This Row],[CIAT ID]]</f>
        <v>F260025</v>
      </c>
      <c r="N1020" s="230">
        <f>Table3.110[[#This Row],[Set CIAT]]</f>
        <v>30</v>
      </c>
      <c r="O1020" s="230">
        <f>Table3.110[[#This Row],[Batch]]</f>
        <v>64</v>
      </c>
      <c r="P1020" s="230">
        <f>Table3.110[[#This Row],[Run]]</f>
        <v>1</v>
      </c>
      <c r="Q1020" s="230">
        <f>Table3.110[[#This Row],[Replication]]</f>
        <v>1</v>
      </c>
      <c r="R1020" s="230">
        <f>Table3.110[[#This Row],[Syrange No]]</f>
        <v>144</v>
      </c>
      <c r="S1020" s="250">
        <v>0.58320000000000005</v>
      </c>
      <c r="T1020" s="250">
        <v>0.84940000000000004</v>
      </c>
      <c r="U1020" s="265"/>
      <c r="V1020" s="283">
        <f t="shared" si="93"/>
        <v>0.26619999999999999</v>
      </c>
      <c r="W1020" s="61">
        <f>Table3.110[[#This Row],[DM Incubated, mg]]-('3.2 Digest'!V1020*1000)</f>
        <v>205.83582396675405</v>
      </c>
      <c r="X1020" s="61">
        <f>W1020/Table3.110[[#This Row],[DM Incubated, mg]]*100</f>
        <v>43.605975122187182</v>
      </c>
      <c r="Y1020" s="31">
        <f>Table3.110[[#This Row],[DM Incubated, mg]]*'2.4 NDF'!R265/100</f>
        <v>274.07203400582176</v>
      </c>
      <c r="Z1020" s="61">
        <f t="shared" si="94"/>
        <v>7.8720340058217744</v>
      </c>
      <c r="AA1020" s="61">
        <f t="shared" si="95"/>
        <v>2.8722500033164855</v>
      </c>
      <c r="AB1020" s="6"/>
    </row>
    <row r="1021" spans="2:28" ht="14.4" customHeight="1" x14ac:dyDescent="0.35">
      <c r="B1021" s="230">
        <f t="shared" si="89"/>
        <v>1011</v>
      </c>
      <c r="C1021" s="9"/>
      <c r="D1021" s="248">
        <f>Table3.110[[#This Row],[Date]]</f>
        <v>46064</v>
      </c>
      <c r="E1021" s="230" t="str">
        <f>Table3.110[[#This Row],[Requisitioner]]</f>
        <v>Genbank</v>
      </c>
      <c r="F1021" s="230" t="str">
        <f>Table3.110[[#This Row],[Gene Bank ID]]</f>
        <v>CIAT19193</v>
      </c>
      <c r="G1021" s="230" t="str">
        <f>Table3.110[[#This Row],[Genus]]</f>
        <v>Tephrosia</v>
      </c>
      <c r="H1021" s="230" t="str">
        <f>Table3.110[[#This Row],[Species]]</f>
        <v>villosa</v>
      </c>
      <c r="I1021" s="230" t="str">
        <f>Table3.110[[#This Row],[Tax Name]]</f>
        <v>Tephrosia villosa</v>
      </c>
      <c r="J1021" s="230" t="str">
        <f>Table3.110[[#This Row],[Family]]</f>
        <v>Fabaceae</v>
      </c>
      <c r="K1021" s="230" t="str">
        <f>Table3.110[[#This Row],[Order]]</f>
        <v>Fabales</v>
      </c>
      <c r="L1021" s="230" t="str">
        <f>Table3.110[[#This Row],[Functional Group]]</f>
        <v>Herbaceous</v>
      </c>
      <c r="M1021" s="230" t="str">
        <f>Table3.110[[#This Row],[CIAT ID]]</f>
        <v>F260025</v>
      </c>
      <c r="N1021" s="230">
        <f>Table3.110[[#This Row],[Set CIAT]]</f>
        <v>30</v>
      </c>
      <c r="O1021" s="230">
        <f>Table3.110[[#This Row],[Batch]]</f>
        <v>64</v>
      </c>
      <c r="P1021" s="230">
        <f>Table3.110[[#This Row],[Run]]</f>
        <v>1</v>
      </c>
      <c r="Q1021" s="230">
        <f>Table3.110[[#This Row],[Replication]]</f>
        <v>2</v>
      </c>
      <c r="R1021" s="230">
        <f>Table3.110[[#This Row],[Syrange No]]</f>
        <v>145</v>
      </c>
      <c r="S1021" s="98">
        <v>0.57469999999999999</v>
      </c>
      <c r="T1021" s="98">
        <v>0.86160000000000003</v>
      </c>
      <c r="U1021" s="110"/>
      <c r="V1021" s="283">
        <f t="shared" si="93"/>
        <v>0.28690000000000004</v>
      </c>
      <c r="W1021" s="61">
        <f>Table3.110[[#This Row],[DM Incubated, mg]]-('3.2 Digest'!V1021*1000)</f>
        <v>184.94716056788639</v>
      </c>
      <c r="X1021" s="61">
        <f>W1021/Table3.110[[#This Row],[DM Incubated, mg]]*100</f>
        <v>39.19641274206149</v>
      </c>
      <c r="Y1021" s="31">
        <f>Table3.110[[#This Row],[DM Incubated, mg]]*'2.4 NDF'!R265/100</f>
        <v>273.96249282516396</v>
      </c>
      <c r="Z1021" s="61">
        <f t="shared" si="94"/>
        <v>-12.937507174836071</v>
      </c>
      <c r="AA1021" s="61">
        <f t="shared" si="95"/>
        <v>-4.7223643796716601</v>
      </c>
      <c r="AB1021" s="6"/>
    </row>
    <row r="1022" spans="2:28" ht="14.4" customHeight="1" x14ac:dyDescent="0.35">
      <c r="B1022" s="230">
        <f t="shared" si="89"/>
        <v>1012</v>
      </c>
      <c r="C1022" s="9"/>
      <c r="D1022" s="248">
        <f>Table3.110[[#This Row],[Date]]</f>
        <v>46064</v>
      </c>
      <c r="E1022" s="230" t="str">
        <f>Table3.110[[#This Row],[Requisitioner]]</f>
        <v>Genbank</v>
      </c>
      <c r="F1022" s="230" t="str">
        <f>Table3.110[[#This Row],[Gene Bank ID]]</f>
        <v>CIAT19193</v>
      </c>
      <c r="G1022" s="230" t="str">
        <f>Table3.110[[#This Row],[Genus]]</f>
        <v>Tephrosia</v>
      </c>
      <c r="H1022" s="230" t="str">
        <f>Table3.110[[#This Row],[Species]]</f>
        <v>villosa</v>
      </c>
      <c r="I1022" s="230" t="str">
        <f>Table3.110[[#This Row],[Tax Name]]</f>
        <v>Tephrosia villosa</v>
      </c>
      <c r="J1022" s="230" t="str">
        <f>Table3.110[[#This Row],[Family]]</f>
        <v>Fabaceae</v>
      </c>
      <c r="K1022" s="230" t="str">
        <f>Table3.110[[#This Row],[Order]]</f>
        <v>Fabales</v>
      </c>
      <c r="L1022" s="230" t="str">
        <f>Table3.110[[#This Row],[Functional Group]]</f>
        <v>Herbaceous</v>
      </c>
      <c r="M1022" s="230" t="str">
        <f>Table3.110[[#This Row],[CIAT ID]]</f>
        <v>F260025</v>
      </c>
      <c r="N1022" s="230">
        <f>Table3.110[[#This Row],[Set CIAT]]</f>
        <v>30</v>
      </c>
      <c r="O1022" s="230">
        <f>Table3.110[[#This Row],[Batch]]</f>
        <v>64</v>
      </c>
      <c r="P1022" s="230">
        <f>Table3.110[[#This Row],[Run]]</f>
        <v>1</v>
      </c>
      <c r="Q1022" s="230">
        <f>Table3.110[[#This Row],[Replication]]</f>
        <v>3</v>
      </c>
      <c r="R1022" s="230">
        <f>Table3.110[[#This Row],[Syrange No]]</f>
        <v>146</v>
      </c>
      <c r="S1022" s="250">
        <v>0.57879999999999998</v>
      </c>
      <c r="T1022" s="250">
        <v>0.84870000000000001</v>
      </c>
      <c r="U1022" s="265"/>
      <c r="V1022" s="283">
        <f t="shared" si="93"/>
        <v>0.26990000000000003</v>
      </c>
      <c r="W1022" s="61">
        <f>Table3.110[[#This Row],[DM Incubated, mg]]-('3.2 Digest'!V1022*1000)</f>
        <v>202.135823966754</v>
      </c>
      <c r="X1022" s="61">
        <f>W1022/Table3.110[[#This Row],[DM Incubated, mg]]*100</f>
        <v>42.822136309084591</v>
      </c>
      <c r="Y1022" s="302">
        <f>Table3.110[[#This Row],[DM Incubated, mg]]*'2.4 NDF'!R265/100</f>
        <v>274.07203400582176</v>
      </c>
      <c r="Z1022" s="61">
        <f t="shared" si="94"/>
        <v>4.1720340058217289</v>
      </c>
      <c r="AA1022" s="61">
        <f t="shared" si="95"/>
        <v>1.5222399545271037</v>
      </c>
      <c r="AB1022" s="6"/>
    </row>
    <row r="1023" spans="2:28" ht="14.4" customHeight="1" x14ac:dyDescent="0.35">
      <c r="B1023" s="230">
        <f t="shared" si="89"/>
        <v>1013</v>
      </c>
      <c r="C1023" s="9"/>
      <c r="D1023" s="248">
        <f>Table3.110[[#This Row],[Date]]</f>
        <v>46064</v>
      </c>
      <c r="E1023" s="230" t="str">
        <f>Table3.110[[#This Row],[Requisitioner]]</f>
        <v>Genbank</v>
      </c>
      <c r="F1023" s="230" t="str">
        <f>Table3.110[[#This Row],[Gene Bank ID]]</f>
        <v>CIAT19641</v>
      </c>
      <c r="G1023" s="230" t="str">
        <f>Table3.110[[#This Row],[Genus]]</f>
        <v>Tephrosia</v>
      </c>
      <c r="H1023" s="230" t="str">
        <f>Table3.110[[#This Row],[Species]]</f>
        <v>purpurea</v>
      </c>
      <c r="I1023" s="230" t="str">
        <f>Table3.110[[#This Row],[Tax Name]]</f>
        <v>Tephrosia purpurea</v>
      </c>
      <c r="J1023" s="230" t="str">
        <f>Table3.110[[#This Row],[Family]]</f>
        <v>Fabaceae</v>
      </c>
      <c r="K1023" s="230" t="str">
        <f>Table3.110[[#This Row],[Order]]</f>
        <v>Fabales</v>
      </c>
      <c r="L1023" s="230" t="str">
        <f>Table3.110[[#This Row],[Functional Group]]</f>
        <v>Herbaceous</v>
      </c>
      <c r="M1023" s="230" t="str">
        <f>Table3.110[[#This Row],[CIAT ID]]</f>
        <v>F260026</v>
      </c>
      <c r="N1023" s="230">
        <f>Table3.110[[#This Row],[Set CIAT]]</f>
        <v>30</v>
      </c>
      <c r="O1023" s="230">
        <f>Table3.110[[#This Row],[Batch]]</f>
        <v>64</v>
      </c>
      <c r="P1023" s="230">
        <f>Table3.110[[#This Row],[Run]]</f>
        <v>1</v>
      </c>
      <c r="Q1023" s="230">
        <f>Table3.110[[#This Row],[Replication]]</f>
        <v>1</v>
      </c>
      <c r="R1023" s="230">
        <f>Table3.110[[#This Row],[Syrange No]]</f>
        <v>147</v>
      </c>
      <c r="S1023" s="98">
        <v>0.56499999999999995</v>
      </c>
      <c r="T1023" s="98">
        <v>0.83599999999999997</v>
      </c>
      <c r="U1023" s="110"/>
      <c r="V1023" s="283">
        <f t="shared" si="93"/>
        <v>0.27100000000000002</v>
      </c>
      <c r="W1023" s="61">
        <f>Table3.110[[#This Row],[DM Incubated, mg]]-('3.2 Digest'!V1023*1000)</f>
        <v>209.61709316273499</v>
      </c>
      <c r="X1023" s="61">
        <f>W1023/Table3.110[[#This Row],[DM Incubated, mg]]*100</f>
        <v>43.614156913008394</v>
      </c>
      <c r="Y1023" s="31">
        <f>Table3.110[[#This Row],[DM Incubated, mg]]*'2.4 NDF'!R267/100</f>
        <v>295.51653539531077</v>
      </c>
      <c r="Z1023" s="61">
        <f t="shared" si="94"/>
        <v>24.516535395310768</v>
      </c>
      <c r="AA1023" s="61">
        <f t="shared" si="95"/>
        <v>8.2961636520660811</v>
      </c>
      <c r="AB1023" s="6"/>
    </row>
    <row r="1024" spans="2:28" ht="14.4" customHeight="1" x14ac:dyDescent="0.35">
      <c r="B1024" s="230">
        <f t="shared" si="89"/>
        <v>1014</v>
      </c>
      <c r="C1024" s="9"/>
      <c r="D1024" s="248">
        <f>Table3.110[[#This Row],[Date]]</f>
        <v>46064</v>
      </c>
      <c r="E1024" s="230" t="str">
        <f>Table3.110[[#This Row],[Requisitioner]]</f>
        <v>Genbank</v>
      </c>
      <c r="F1024" s="230" t="str">
        <f>Table3.110[[#This Row],[Gene Bank ID]]</f>
        <v>CIAT19641</v>
      </c>
      <c r="G1024" s="230" t="str">
        <f>Table3.110[[#This Row],[Genus]]</f>
        <v>Tephrosia</v>
      </c>
      <c r="H1024" s="230" t="str">
        <f>Table3.110[[#This Row],[Species]]</f>
        <v>purpurea</v>
      </c>
      <c r="I1024" s="230" t="str">
        <f>Table3.110[[#This Row],[Tax Name]]</f>
        <v>Tephrosia purpurea</v>
      </c>
      <c r="J1024" s="230" t="str">
        <f>Table3.110[[#This Row],[Family]]</f>
        <v>Fabaceae</v>
      </c>
      <c r="K1024" s="230" t="str">
        <f>Table3.110[[#This Row],[Order]]</f>
        <v>Fabales</v>
      </c>
      <c r="L1024" s="230" t="str">
        <f>Table3.110[[#This Row],[Functional Group]]</f>
        <v>Herbaceous</v>
      </c>
      <c r="M1024" s="230" t="str">
        <f>Table3.110[[#This Row],[CIAT ID]]</f>
        <v>F260026</v>
      </c>
      <c r="N1024" s="230">
        <f>Table3.110[[#This Row],[Set CIAT]]</f>
        <v>30</v>
      </c>
      <c r="O1024" s="230">
        <f>Table3.110[[#This Row],[Batch]]</f>
        <v>64</v>
      </c>
      <c r="P1024" s="230">
        <f>Table3.110[[#This Row],[Run]]</f>
        <v>1</v>
      </c>
      <c r="Q1024" s="230">
        <f>Table3.110[[#This Row],[Replication]]</f>
        <v>2</v>
      </c>
      <c r="R1024" s="230">
        <f>Table3.110[[#This Row],[Syrange No]]</f>
        <v>148</v>
      </c>
      <c r="S1024" s="250">
        <v>0.58009999999999995</v>
      </c>
      <c r="T1024" s="250">
        <v>0.85680000000000001</v>
      </c>
      <c r="U1024" s="265"/>
      <c r="V1024" s="283">
        <f t="shared" si="93"/>
        <v>0.27670000000000006</v>
      </c>
      <c r="W1024" s="61">
        <f>Table3.110[[#This Row],[DM Incubated, mg]]-('3.2 Digest'!V1024*1000)</f>
        <v>203.62895341863265</v>
      </c>
      <c r="X1024" s="61">
        <f>W1024/Table3.110[[#This Row],[DM Incubated, mg]]*100</f>
        <v>42.39364543181285</v>
      </c>
      <c r="Y1024" s="302">
        <f>Table3.110[[#This Row],[DM Incubated, mg]]*'2.4 NDF'!R267/100</f>
        <v>295.33936720862295</v>
      </c>
      <c r="Z1024" s="61">
        <f t="shared" si="94"/>
        <v>18.6393672086229</v>
      </c>
      <c r="AA1024" s="61">
        <f t="shared" si="95"/>
        <v>6.3111692101162911</v>
      </c>
      <c r="AB1024" s="6"/>
    </row>
    <row r="1025" spans="2:28" ht="14.4" customHeight="1" x14ac:dyDescent="0.35">
      <c r="B1025" s="230">
        <f t="shared" si="89"/>
        <v>1015</v>
      </c>
      <c r="C1025" s="9"/>
      <c r="D1025" s="248">
        <f>Table3.110[[#This Row],[Date]]</f>
        <v>46064</v>
      </c>
      <c r="E1025" s="230" t="str">
        <f>Table3.110[[#This Row],[Requisitioner]]</f>
        <v>Genbank</v>
      </c>
      <c r="F1025" s="230" t="str">
        <f>Table3.110[[#This Row],[Gene Bank ID]]</f>
        <v>CIAT19641</v>
      </c>
      <c r="G1025" s="230" t="str">
        <f>Table3.110[[#This Row],[Genus]]</f>
        <v>Tephrosia</v>
      </c>
      <c r="H1025" s="230" t="str">
        <f>Table3.110[[#This Row],[Species]]</f>
        <v>purpurea</v>
      </c>
      <c r="I1025" s="230" t="str">
        <f>Table3.110[[#This Row],[Tax Name]]</f>
        <v>Tephrosia purpurea</v>
      </c>
      <c r="J1025" s="230" t="str">
        <f>Table3.110[[#This Row],[Family]]</f>
        <v>Fabaceae</v>
      </c>
      <c r="K1025" s="230" t="str">
        <f>Table3.110[[#This Row],[Order]]</f>
        <v>Fabales</v>
      </c>
      <c r="L1025" s="230" t="str">
        <f>Table3.110[[#This Row],[Functional Group]]</f>
        <v>Herbaceous</v>
      </c>
      <c r="M1025" s="230" t="str">
        <f>Table3.110[[#This Row],[CIAT ID]]</f>
        <v>F260026</v>
      </c>
      <c r="N1025" s="230">
        <f>Table3.110[[#This Row],[Set CIAT]]</f>
        <v>30</v>
      </c>
      <c r="O1025" s="230">
        <f>Table3.110[[#This Row],[Batch]]</f>
        <v>64</v>
      </c>
      <c r="P1025" s="230">
        <f>Table3.110[[#This Row],[Run]]</f>
        <v>1</v>
      </c>
      <c r="Q1025" s="230">
        <f>Table3.110[[#This Row],[Replication]]</f>
        <v>3</v>
      </c>
      <c r="R1025" s="230">
        <f>Table3.110[[#This Row],[Syrange No]]</f>
        <v>149</v>
      </c>
      <c r="S1025" s="98">
        <v>0.55120000000000002</v>
      </c>
      <c r="T1025" s="98">
        <v>0.84240000000000004</v>
      </c>
      <c r="U1025" s="110"/>
      <c r="V1025" s="283">
        <f t="shared" si="93"/>
        <v>0.29120000000000001</v>
      </c>
      <c r="W1025" s="61">
        <f>Table3.110[[#This Row],[DM Incubated, mg]]-('3.2 Digest'!V1025*1000)</f>
        <v>189.32104658136757</v>
      </c>
      <c r="X1025" s="61">
        <f>W1025/Table3.110[[#This Row],[DM Incubated, mg]]*100</f>
        <v>39.399116423365541</v>
      </c>
      <c r="Y1025" s="302">
        <f>Table3.110[[#This Row],[DM Incubated, mg]]*'2.4 NDF'!R267/100</f>
        <v>295.45747933308149</v>
      </c>
      <c r="Z1025" s="61">
        <f t="shared" si="94"/>
        <v>4.2574793330815055</v>
      </c>
      <c r="AA1025" s="61">
        <f t="shared" si="95"/>
        <v>1.4409786960518514</v>
      </c>
      <c r="AB1025" s="6"/>
    </row>
    <row r="1026" spans="2:28" ht="14.4" customHeight="1" x14ac:dyDescent="0.35">
      <c r="B1026" s="230">
        <f t="shared" si="89"/>
        <v>1016</v>
      </c>
      <c r="C1026" s="9"/>
      <c r="D1026" s="248">
        <f>Table3.110[[#This Row],[Date]]</f>
        <v>46064</v>
      </c>
      <c r="E1026" s="230" t="str">
        <f>Table3.110[[#This Row],[Requisitioner]]</f>
        <v>Genbank</v>
      </c>
      <c r="F1026" s="230" t="str">
        <f>Table3.110[[#This Row],[Gene Bank ID]]</f>
        <v>CIAT23503</v>
      </c>
      <c r="G1026" s="230" t="str">
        <f>Table3.110[[#This Row],[Genus]]</f>
        <v>Desmodium</v>
      </c>
      <c r="H1026" s="230" t="str">
        <f>Table3.110[[#This Row],[Species]]</f>
        <v>macrodesmum</v>
      </c>
      <c r="I1026" s="230" t="str">
        <f>Table3.110[[#This Row],[Tax Name]]</f>
        <v>Desmodium macrodesmum</v>
      </c>
      <c r="J1026" s="230" t="str">
        <f>Table3.110[[#This Row],[Family]]</f>
        <v>Fabaceae</v>
      </c>
      <c r="K1026" s="230" t="str">
        <f>Table3.110[[#This Row],[Order]]</f>
        <v>Fabales</v>
      </c>
      <c r="L1026" s="230" t="str">
        <f>Table3.110[[#This Row],[Functional Group]]</f>
        <v>Herbaceous</v>
      </c>
      <c r="M1026" s="230" t="str">
        <f>Table3.110[[#This Row],[CIAT ID]]</f>
        <v>F260027</v>
      </c>
      <c r="N1026" s="230">
        <f>Table3.110[[#This Row],[Set CIAT]]</f>
        <v>30</v>
      </c>
      <c r="O1026" s="230">
        <f>Table3.110[[#This Row],[Batch]]</f>
        <v>64</v>
      </c>
      <c r="P1026" s="230">
        <f>Table3.110[[#This Row],[Run]]</f>
        <v>1</v>
      </c>
      <c r="Q1026" s="230">
        <f>Table3.110[[#This Row],[Replication]]</f>
        <v>1</v>
      </c>
      <c r="R1026" s="230">
        <f>Table3.110[[#This Row],[Syrange No]]</f>
        <v>150</v>
      </c>
      <c r="S1026" s="250">
        <v>0.54649999999999999</v>
      </c>
      <c r="T1026" s="250">
        <v>0.83809999999999996</v>
      </c>
      <c r="U1026" s="265"/>
      <c r="V1026" s="283">
        <f t="shared" si="93"/>
        <v>0.29159999999999997</v>
      </c>
      <c r="W1026" s="61">
        <f>Table3.110[[#This Row],[DM Incubated, mg]]-('3.2 Digest'!V1026*1000)</f>
        <v>175.03665767596118</v>
      </c>
      <c r="X1026" s="61">
        <f>W1026/Table3.110[[#This Row],[DM Incubated, mg]]*100</f>
        <v>37.510267313269892</v>
      </c>
      <c r="Y1026" s="31">
        <f>Table3.110[[#This Row],[DM Incubated, mg]]*'2.4 NDF'!R269/100</f>
        <v>259.64309162860724</v>
      </c>
      <c r="Z1026" s="61">
        <f t="shared" si="94"/>
        <v>-31.956908371392728</v>
      </c>
      <c r="AA1026" s="61">
        <f t="shared" si="95"/>
        <v>-12.308014116972464</v>
      </c>
      <c r="AB1026" s="6"/>
    </row>
    <row r="1027" spans="2:28" ht="14.4" customHeight="1" x14ac:dyDescent="0.35">
      <c r="B1027" s="230">
        <f t="shared" si="89"/>
        <v>1017</v>
      </c>
      <c r="C1027" s="9"/>
      <c r="D1027" s="248">
        <f>Table3.110[[#This Row],[Date]]</f>
        <v>46064</v>
      </c>
      <c r="E1027" s="230" t="str">
        <f>Table3.110[[#This Row],[Requisitioner]]</f>
        <v>Genbank</v>
      </c>
      <c r="F1027" s="230" t="str">
        <f>Table3.110[[#This Row],[Gene Bank ID]]</f>
        <v>CIAT23503</v>
      </c>
      <c r="G1027" s="230" t="str">
        <f>Table3.110[[#This Row],[Genus]]</f>
        <v>Desmodium</v>
      </c>
      <c r="H1027" s="230" t="str">
        <f>Table3.110[[#This Row],[Species]]</f>
        <v>macrodesmum</v>
      </c>
      <c r="I1027" s="230" t="str">
        <f>Table3.110[[#This Row],[Tax Name]]</f>
        <v>Desmodium macrodesmum</v>
      </c>
      <c r="J1027" s="230" t="str">
        <f>Table3.110[[#This Row],[Family]]</f>
        <v>Fabaceae</v>
      </c>
      <c r="K1027" s="230" t="str">
        <f>Table3.110[[#This Row],[Order]]</f>
        <v>Fabales</v>
      </c>
      <c r="L1027" s="230" t="str">
        <f>Table3.110[[#This Row],[Functional Group]]</f>
        <v>Herbaceous</v>
      </c>
      <c r="M1027" s="230" t="str">
        <f>Table3.110[[#This Row],[CIAT ID]]</f>
        <v>F260027</v>
      </c>
      <c r="N1027" s="230">
        <f>Table3.110[[#This Row],[Set CIAT]]</f>
        <v>30</v>
      </c>
      <c r="O1027" s="230">
        <f>Table3.110[[#This Row],[Batch]]</f>
        <v>64</v>
      </c>
      <c r="P1027" s="230">
        <f>Table3.110[[#This Row],[Run]]</f>
        <v>1</v>
      </c>
      <c r="Q1027" s="230">
        <f>Table3.110[[#This Row],[Replication]]</f>
        <v>2</v>
      </c>
      <c r="R1027" s="230">
        <f>Table3.110[[#This Row],[Syrange No]]</f>
        <v>151</v>
      </c>
      <c r="S1027" s="98">
        <v>0.57909999999999995</v>
      </c>
      <c r="T1027" s="98">
        <v>0.85799999999999998</v>
      </c>
      <c r="U1027" s="110"/>
      <c r="V1027" s="283">
        <f t="shared" si="93"/>
        <v>0.27890000000000004</v>
      </c>
      <c r="W1027" s="61">
        <f>Table3.110[[#This Row],[DM Incubated, mg]]-('3.2 Digest'!V1027*1000)</f>
        <v>187.8299850074963</v>
      </c>
      <c r="X1027" s="61">
        <f>W1027/Table3.110[[#This Row],[DM Incubated, mg]]*100</f>
        <v>40.243822132936131</v>
      </c>
      <c r="Y1027" s="31">
        <f>Table3.110[[#This Row],[DM Incubated, mg]]*'2.4 NDF'!R269/100</f>
        <v>259.69502024693293</v>
      </c>
      <c r="Z1027" s="61">
        <f t="shared" si="94"/>
        <v>-19.204979753067107</v>
      </c>
      <c r="AA1027" s="61">
        <f t="shared" si="95"/>
        <v>-7.3952052429830619</v>
      </c>
      <c r="AB1027" s="6"/>
    </row>
    <row r="1028" spans="2:28" ht="14.4" customHeight="1" x14ac:dyDescent="0.35">
      <c r="B1028" s="230">
        <f t="shared" si="89"/>
        <v>1018</v>
      </c>
      <c r="C1028" s="9"/>
      <c r="D1028" s="248">
        <f>Table3.110[[#This Row],[Date]]</f>
        <v>46064</v>
      </c>
      <c r="E1028" s="230" t="str">
        <f>Table3.110[[#This Row],[Requisitioner]]</f>
        <v>Genbank</v>
      </c>
      <c r="F1028" s="230" t="str">
        <f>Table3.110[[#This Row],[Gene Bank ID]]</f>
        <v>CIAT23503</v>
      </c>
      <c r="G1028" s="230" t="str">
        <f>Table3.110[[#This Row],[Genus]]</f>
        <v>Desmodium</v>
      </c>
      <c r="H1028" s="230" t="str">
        <f>Table3.110[[#This Row],[Species]]</f>
        <v>macrodesmum</v>
      </c>
      <c r="I1028" s="230" t="str">
        <f>Table3.110[[#This Row],[Tax Name]]</f>
        <v>Desmodium macrodesmum</v>
      </c>
      <c r="J1028" s="230" t="str">
        <f>Table3.110[[#This Row],[Family]]</f>
        <v>Fabaceae</v>
      </c>
      <c r="K1028" s="230" t="str">
        <f>Table3.110[[#This Row],[Order]]</f>
        <v>Fabales</v>
      </c>
      <c r="L1028" s="230" t="str">
        <f>Table3.110[[#This Row],[Functional Group]]</f>
        <v>Herbaceous</v>
      </c>
      <c r="M1028" s="230" t="str">
        <f>Table3.110[[#This Row],[CIAT ID]]</f>
        <v>F260027</v>
      </c>
      <c r="N1028" s="230">
        <f>Table3.110[[#This Row],[Set CIAT]]</f>
        <v>30</v>
      </c>
      <c r="O1028" s="230">
        <f>Table3.110[[#This Row],[Batch]]</f>
        <v>64</v>
      </c>
      <c r="P1028" s="230">
        <f>Table3.110[[#This Row],[Run]]</f>
        <v>1</v>
      </c>
      <c r="Q1028" s="230">
        <f>Table3.110[[#This Row],[Replication]]</f>
        <v>3</v>
      </c>
      <c r="R1028" s="230">
        <f>Table3.110[[#This Row],[Syrange No]]</f>
        <v>152</v>
      </c>
      <c r="S1028" s="250">
        <v>0.5917</v>
      </c>
      <c r="T1028" s="250">
        <v>0.94350000000000001</v>
      </c>
      <c r="U1028" s="265" t="s">
        <v>591</v>
      </c>
      <c r="V1028" s="283">
        <f t="shared" si="93"/>
        <v>0.3518</v>
      </c>
      <c r="W1028" s="61">
        <f>Table3.110[[#This Row],[DM Incubated, mg]]-('3.2 Digest'!V1028*1000)</f>
        <v>114.92998500749633</v>
      </c>
      <c r="X1028" s="61">
        <f>W1028/Table3.110[[#This Row],[DM Incubated, mg]]*100</f>
        <v>24.624512823115573</v>
      </c>
      <c r="Y1028" s="302">
        <f>Table3.110[[#This Row],[DM Incubated, mg]]*'2.4 NDF'!R269/100</f>
        <v>259.69502024693293</v>
      </c>
      <c r="Z1028" s="61">
        <f t="shared" si="94"/>
        <v>-92.104979753067084</v>
      </c>
      <c r="AA1028" s="61">
        <f t="shared" si="95"/>
        <v>-35.466594494375897</v>
      </c>
      <c r="AB1028" s="6"/>
    </row>
    <row r="1029" spans="2:28" ht="14.4" customHeight="1" x14ac:dyDescent="0.35">
      <c r="B1029" s="230">
        <f t="shared" si="89"/>
        <v>1019</v>
      </c>
      <c r="C1029" s="9"/>
      <c r="D1029" s="248">
        <f>Table3.110[[#This Row],[Date]]</f>
        <v>46064</v>
      </c>
      <c r="E1029" s="230" t="str">
        <f>Table3.110[[#This Row],[Requisitioner]]</f>
        <v>Genbank</v>
      </c>
      <c r="F1029" s="230" t="str">
        <f>Table3.110[[#This Row],[Gene Bank ID]]</f>
        <v>CIAT24333</v>
      </c>
      <c r="G1029" s="230" t="str">
        <f>Table3.110[[#This Row],[Genus]]</f>
        <v>Macroptilium</v>
      </c>
      <c r="H1029" s="230" t="str">
        <f>Table3.110[[#This Row],[Species]]</f>
        <v>bracteatum</v>
      </c>
      <c r="I1029" s="230" t="str">
        <f>Table3.110[[#This Row],[Tax Name]]</f>
        <v>Macroptilium bracteatum</v>
      </c>
      <c r="J1029" s="230" t="str">
        <f>Table3.110[[#This Row],[Family]]</f>
        <v>Fabaceae</v>
      </c>
      <c r="K1029" s="230" t="str">
        <f>Table3.110[[#This Row],[Order]]</f>
        <v>Fabales</v>
      </c>
      <c r="L1029" s="230" t="str">
        <f>Table3.110[[#This Row],[Functional Group]]</f>
        <v>Herbaceous</v>
      </c>
      <c r="M1029" s="230" t="str">
        <f>Table3.110[[#This Row],[CIAT ID]]</f>
        <v>F260028</v>
      </c>
      <c r="N1029" s="230">
        <f>Table3.110[[#This Row],[Set CIAT]]</f>
        <v>30</v>
      </c>
      <c r="O1029" s="230">
        <f>Table3.110[[#This Row],[Batch]]</f>
        <v>64</v>
      </c>
      <c r="P1029" s="230">
        <f>Table3.110[[#This Row],[Run]]</f>
        <v>1</v>
      </c>
      <c r="Q1029" s="230">
        <f>Table3.110[[#This Row],[Replication]]</f>
        <v>1</v>
      </c>
      <c r="R1029" s="230">
        <f>Table3.110[[#This Row],[Syrange No]]</f>
        <v>153</v>
      </c>
      <c r="S1029" s="98">
        <v>0.56179999999999997</v>
      </c>
      <c r="T1029" s="98">
        <v>0.8538</v>
      </c>
      <c r="U1029" s="110"/>
      <c r="V1029" s="283">
        <f t="shared" si="93"/>
        <v>0.29200000000000004</v>
      </c>
      <c r="W1029" s="61">
        <f>Table3.110[[#This Row],[DM Incubated, mg]]-('3.2 Digest'!V1029*1000)</f>
        <v>180.34438696077285</v>
      </c>
      <c r="X1029" s="61">
        <f>W1029/Table3.110[[#This Row],[DM Incubated, mg]]*100</f>
        <v>38.18069864684346</v>
      </c>
      <c r="Y1029" s="31">
        <f>Table3.110[[#This Row],[DM Incubated, mg]]*'2.4 NDF'!R271/100</f>
        <v>260.02642638803405</v>
      </c>
      <c r="Z1029" s="61">
        <f t="shared" si="94"/>
        <v>-31.973573611966003</v>
      </c>
      <c r="AA1029" s="61">
        <f t="shared" si="95"/>
        <v>-12.296278519111844</v>
      </c>
      <c r="AB1029" s="6"/>
    </row>
    <row r="1030" spans="2:28" ht="14.4" customHeight="1" x14ac:dyDescent="0.35">
      <c r="B1030" s="230">
        <f t="shared" si="89"/>
        <v>1020</v>
      </c>
      <c r="C1030" s="9"/>
      <c r="D1030" s="248">
        <f>Table3.110[[#This Row],[Date]]</f>
        <v>46064</v>
      </c>
      <c r="E1030" s="230" t="str">
        <f>Table3.110[[#This Row],[Requisitioner]]</f>
        <v>Genbank</v>
      </c>
      <c r="F1030" s="230" t="str">
        <f>Table3.110[[#This Row],[Gene Bank ID]]</f>
        <v>CIAT24333</v>
      </c>
      <c r="G1030" s="230" t="str">
        <f>Table3.110[[#This Row],[Genus]]</f>
        <v>Macroptilium</v>
      </c>
      <c r="H1030" s="230" t="str">
        <f>Table3.110[[#This Row],[Species]]</f>
        <v>bracteatum</v>
      </c>
      <c r="I1030" s="230" t="str">
        <f>Table3.110[[#This Row],[Tax Name]]</f>
        <v>Macroptilium bracteatum</v>
      </c>
      <c r="J1030" s="230" t="str">
        <f>Table3.110[[#This Row],[Family]]</f>
        <v>Fabaceae</v>
      </c>
      <c r="K1030" s="230" t="str">
        <f>Table3.110[[#This Row],[Order]]</f>
        <v>Fabales</v>
      </c>
      <c r="L1030" s="230" t="str">
        <f>Table3.110[[#This Row],[Functional Group]]</f>
        <v>Herbaceous</v>
      </c>
      <c r="M1030" s="230" t="str">
        <f>Table3.110[[#This Row],[CIAT ID]]</f>
        <v>F260028</v>
      </c>
      <c r="N1030" s="230">
        <f>Table3.110[[#This Row],[Set CIAT]]</f>
        <v>30</v>
      </c>
      <c r="O1030" s="230">
        <f>Table3.110[[#This Row],[Batch]]</f>
        <v>64</v>
      </c>
      <c r="P1030" s="230">
        <f>Table3.110[[#This Row],[Run]]</f>
        <v>1</v>
      </c>
      <c r="Q1030" s="230">
        <f>Table3.110[[#This Row],[Replication]]</f>
        <v>2</v>
      </c>
      <c r="R1030" s="230">
        <f>Table3.110[[#This Row],[Syrange No]]</f>
        <v>154</v>
      </c>
      <c r="S1030" s="250">
        <v>0.57420000000000004</v>
      </c>
      <c r="T1030" s="250">
        <v>0.95779999999999998</v>
      </c>
      <c r="U1030" s="265"/>
      <c r="V1030" s="283">
        <f t="shared" si="93"/>
        <v>0.38359999999999994</v>
      </c>
      <c r="W1030" s="61">
        <f>Table3.110[[#This Row],[DM Incubated, mg]]-('3.2 Digest'!V1030*1000)</f>
        <v>88.744386960772943</v>
      </c>
      <c r="X1030" s="61">
        <f>W1030/Table3.110[[#This Row],[DM Incubated, mg]]*100</f>
        <v>18.78806849633273</v>
      </c>
      <c r="Y1030" s="31">
        <f>Table3.110[[#This Row],[DM Incubated, mg]]*'2.4 NDF'!R271/100</f>
        <v>260.02642638803405</v>
      </c>
      <c r="Z1030" s="61">
        <f t="shared" si="94"/>
        <v>-123.57357361196591</v>
      </c>
      <c r="AA1030" s="61">
        <f t="shared" si="95"/>
        <v>-47.523467260038672</v>
      </c>
      <c r="AB1030" s="6"/>
    </row>
    <row r="1031" spans="2:28" ht="14.4" customHeight="1" x14ac:dyDescent="0.35">
      <c r="B1031" s="230">
        <f t="shared" si="89"/>
        <v>1021</v>
      </c>
      <c r="C1031" s="9"/>
      <c r="D1031" s="248">
        <f>Table3.110[[#This Row],[Date]]</f>
        <v>46064</v>
      </c>
      <c r="E1031" s="230" t="str">
        <f>Table3.110[[#This Row],[Requisitioner]]</f>
        <v>Genbank</v>
      </c>
      <c r="F1031" s="230" t="str">
        <f>Table3.110[[#This Row],[Gene Bank ID]]</f>
        <v>CIAT24333</v>
      </c>
      <c r="G1031" s="230" t="str">
        <f>Table3.110[[#This Row],[Genus]]</f>
        <v>Macroptilium</v>
      </c>
      <c r="H1031" s="230" t="str">
        <f>Table3.110[[#This Row],[Species]]</f>
        <v>bracteatum</v>
      </c>
      <c r="I1031" s="230" t="str">
        <f>Table3.110[[#This Row],[Tax Name]]</f>
        <v>Macroptilium bracteatum</v>
      </c>
      <c r="J1031" s="230" t="str">
        <f>Table3.110[[#This Row],[Family]]</f>
        <v>Fabaceae</v>
      </c>
      <c r="K1031" s="230" t="str">
        <f>Table3.110[[#This Row],[Order]]</f>
        <v>Fabales</v>
      </c>
      <c r="L1031" s="230" t="str">
        <f>Table3.110[[#This Row],[Functional Group]]</f>
        <v>Herbaceous</v>
      </c>
      <c r="M1031" s="230" t="str">
        <f>Table3.110[[#This Row],[CIAT ID]]</f>
        <v>F260028</v>
      </c>
      <c r="N1031" s="230">
        <f>Table3.110[[#This Row],[Set CIAT]]</f>
        <v>30</v>
      </c>
      <c r="O1031" s="230">
        <f>Table3.110[[#This Row],[Batch]]</f>
        <v>64</v>
      </c>
      <c r="P1031" s="230">
        <f>Table3.110[[#This Row],[Run]]</f>
        <v>1</v>
      </c>
      <c r="Q1031" s="230">
        <f>Table3.110[[#This Row],[Replication]]</f>
        <v>3</v>
      </c>
      <c r="R1031" s="230">
        <f>Table3.110[[#This Row],[Syrange No]]</f>
        <v>155</v>
      </c>
      <c r="S1031" s="98">
        <v>0.6008</v>
      </c>
      <c r="T1031" s="98">
        <v>0.90059999999999996</v>
      </c>
      <c r="U1031" s="110"/>
      <c r="V1031" s="283">
        <f t="shared" si="93"/>
        <v>0.29979999999999996</v>
      </c>
      <c r="W1031" s="61">
        <f>Table3.110[[#This Row],[DM Incubated, mg]]-('3.2 Digest'!V1031*1000)</f>
        <v>172.26115027061064</v>
      </c>
      <c r="X1031" s="61">
        <f>W1031/Table3.110[[#This Row],[DM Incubated, mg]]*100</f>
        <v>36.491278761631065</v>
      </c>
      <c r="Y1031" s="302">
        <f>Table3.110[[#This Row],[DM Incubated, mg]]*'2.4 NDF'!R271/100</f>
        <v>259.87050408558275</v>
      </c>
      <c r="Z1031" s="61">
        <f t="shared" si="94"/>
        <v>-39.929495914417203</v>
      </c>
      <c r="AA1031" s="61">
        <f t="shared" si="95"/>
        <v>-15.365151214416887</v>
      </c>
      <c r="AB1031" s="6"/>
    </row>
    <row r="1032" spans="2:28" ht="14.4" customHeight="1" x14ac:dyDescent="0.35">
      <c r="B1032" s="230">
        <f t="shared" si="89"/>
        <v>1022</v>
      </c>
      <c r="C1032" s="9"/>
      <c r="D1032" s="248">
        <f>Table3.110[[#This Row],[Date]]</f>
        <v>46064</v>
      </c>
      <c r="E1032" s="230">
        <f>Table3.110[[#This Row],[Requisitioner]]</f>
        <v>0</v>
      </c>
      <c r="F1032" s="230" t="str">
        <f>Table3.110[[#This Row],[Gene Bank ID]]</f>
        <v>BLANK 8H</v>
      </c>
      <c r="G1032" s="230" t="str">
        <f>Table3.110[[#This Row],[Genus]]</f>
        <v>BLANK</v>
      </c>
      <c r="H1032" s="230" t="str">
        <f>Table3.110[[#This Row],[Species]]</f>
        <v>8H</v>
      </c>
      <c r="I1032" s="230" t="str">
        <f>Table3.110[[#This Row],[Tax Name]]</f>
        <v>BLANK 8H</v>
      </c>
      <c r="J1032" s="230">
        <f>Table3.110[[#This Row],[Family]]</f>
        <v>0</v>
      </c>
      <c r="K1032" s="230">
        <f>Table3.110[[#This Row],[Order]]</f>
        <v>0</v>
      </c>
      <c r="L1032" s="230">
        <f>Table3.110[[#This Row],[Functional Group]]</f>
        <v>0</v>
      </c>
      <c r="M1032" s="230" t="str">
        <f>Table3.110[[#This Row],[CIAT ID]]</f>
        <v>BLANK8H</v>
      </c>
      <c r="N1032" s="230">
        <f>Table3.110[[#This Row],[Set CIAT]]</f>
        <v>30</v>
      </c>
      <c r="O1032" s="230">
        <f>Table3.110[[#This Row],[Batch]]</f>
        <v>64</v>
      </c>
      <c r="P1032" s="230">
        <f>Table3.110[[#This Row],[Run]]</f>
        <v>1</v>
      </c>
      <c r="Q1032" s="230">
        <f>Table3.110[[#This Row],[Replication]]</f>
        <v>1</v>
      </c>
      <c r="R1032" s="230">
        <f>Table3.110[[#This Row],[Syrange No]]</f>
        <v>156</v>
      </c>
      <c r="S1032" s="249"/>
      <c r="T1032" s="249"/>
      <c r="U1032" s="263"/>
      <c r="V1032" s="283"/>
      <c r="W1032" s="61"/>
      <c r="X1032" s="61"/>
      <c r="Y1032" s="31"/>
      <c r="Z1032" s="61"/>
      <c r="AA1032" s="61"/>
      <c r="AB1032" s="6"/>
    </row>
    <row r="1033" spans="2:28" ht="14.4" customHeight="1" x14ac:dyDescent="0.35">
      <c r="B1033" s="230">
        <f t="shared" si="89"/>
        <v>1023</v>
      </c>
      <c r="C1033" s="9"/>
      <c r="D1033" s="248">
        <f>Table3.110[[#This Row],[Date]]</f>
        <v>46064</v>
      </c>
      <c r="E1033" s="230">
        <f>Table3.110[[#This Row],[Requisitioner]]</f>
        <v>0</v>
      </c>
      <c r="F1033" s="230" t="str">
        <f>Table3.110[[#This Row],[Gene Bank ID]]</f>
        <v>BLANK 8H</v>
      </c>
      <c r="G1033" s="230" t="str">
        <f>Table3.110[[#This Row],[Genus]]</f>
        <v>BLANK</v>
      </c>
      <c r="H1033" s="230" t="str">
        <f>Table3.110[[#This Row],[Species]]</f>
        <v>8H</v>
      </c>
      <c r="I1033" s="230" t="str">
        <f>Table3.110[[#This Row],[Tax Name]]</f>
        <v>BLANK 8H</v>
      </c>
      <c r="J1033" s="230">
        <f>Table3.110[[#This Row],[Family]]</f>
        <v>0</v>
      </c>
      <c r="K1033" s="230">
        <f>Table3.110[[#This Row],[Order]]</f>
        <v>0</v>
      </c>
      <c r="L1033" s="230">
        <f>Table3.110[[#This Row],[Functional Group]]</f>
        <v>0</v>
      </c>
      <c r="M1033" s="230" t="str">
        <f>Table3.110[[#This Row],[CIAT ID]]</f>
        <v>BLANK8H</v>
      </c>
      <c r="N1033" s="230">
        <f>Table3.110[[#This Row],[Set CIAT]]</f>
        <v>30</v>
      </c>
      <c r="O1033" s="230">
        <f>Table3.110[[#This Row],[Batch]]</f>
        <v>64</v>
      </c>
      <c r="P1033" s="230">
        <f>Table3.110[[#This Row],[Run]]</f>
        <v>1</v>
      </c>
      <c r="Q1033" s="230">
        <f>Table3.110[[#This Row],[Replication]]</f>
        <v>2</v>
      </c>
      <c r="R1033" s="230">
        <f>Table3.110[[#This Row],[Syrange No]]</f>
        <v>157</v>
      </c>
      <c r="S1033" s="148"/>
      <c r="T1033" s="148"/>
      <c r="U1033" s="264"/>
      <c r="V1033" s="283"/>
      <c r="W1033" s="61"/>
      <c r="X1033" s="61"/>
      <c r="Y1033" s="31"/>
      <c r="Z1033" s="61"/>
      <c r="AA1033" s="61"/>
      <c r="AB1033" s="6"/>
    </row>
    <row r="1034" spans="2:28" ht="14.4" customHeight="1" x14ac:dyDescent="0.35">
      <c r="B1034" s="230">
        <f t="shared" si="89"/>
        <v>1024</v>
      </c>
      <c r="C1034" s="9"/>
      <c r="D1034" s="248">
        <f>Table3.110[[#This Row],[Date]]</f>
        <v>46064</v>
      </c>
      <c r="E1034" s="230" t="str">
        <f>Table3.110[[#This Row],[Requisitioner]]</f>
        <v>Genbank</v>
      </c>
      <c r="F1034" s="230" t="str">
        <f>Table3.110[[#This Row],[Gene Bank ID]]</f>
        <v>CIAT33235</v>
      </c>
      <c r="G1034" s="230" t="str">
        <f>Table3.110[[#This Row],[Genus]]</f>
        <v>Desmodium</v>
      </c>
      <c r="H1034" s="230" t="str">
        <f>Table3.110[[#This Row],[Species]]</f>
        <v>scorpiurus</v>
      </c>
      <c r="I1034" s="230" t="str">
        <f>Table3.110[[#This Row],[Tax Name]]</f>
        <v>Desmodium scorpiurus</v>
      </c>
      <c r="J1034" s="230" t="str">
        <f>Table3.110[[#This Row],[Family]]</f>
        <v>Fabaceae</v>
      </c>
      <c r="K1034" s="230" t="str">
        <f>Table3.110[[#This Row],[Order]]</f>
        <v>Fabales</v>
      </c>
      <c r="L1034" s="230" t="str">
        <f>Table3.110[[#This Row],[Functional Group]]</f>
        <v>Herbaceous</v>
      </c>
      <c r="M1034" s="230" t="str">
        <f>Table3.110[[#This Row],[CIAT ID]]</f>
        <v>F260029</v>
      </c>
      <c r="N1034" s="230">
        <f>Table3.110[[#This Row],[Set CIAT]]</f>
        <v>30</v>
      </c>
      <c r="O1034" s="230">
        <f>Table3.110[[#This Row],[Batch]]</f>
        <v>64</v>
      </c>
      <c r="P1034" s="230">
        <f>Table3.110[[#This Row],[Run]]</f>
        <v>1</v>
      </c>
      <c r="Q1034" s="230">
        <f>Table3.110[[#This Row],[Replication]]</f>
        <v>1</v>
      </c>
      <c r="R1034" s="230">
        <f>Table3.110[[#This Row],[Syrange No]]</f>
        <v>158</v>
      </c>
      <c r="S1034" s="250">
        <v>0.56930000000000003</v>
      </c>
      <c r="T1034" s="250">
        <v>0.89890000000000003</v>
      </c>
      <c r="U1034" s="265"/>
      <c r="V1034" s="283">
        <f t="shared" si="93"/>
        <v>0.3296</v>
      </c>
      <c r="W1034" s="61">
        <f>Table3.110[[#This Row],[DM Incubated, mg]]-('3.2 Digest'!V1034*1000)</f>
        <v>137.33842834332853</v>
      </c>
      <c r="X1034" s="61">
        <f>W1034/Table3.110[[#This Row],[DM Incubated, mg]]*100</f>
        <v>29.412534931125201</v>
      </c>
      <c r="Y1034" s="31">
        <f>Table3.110[[#This Row],[DM Incubated, mg]]*'2.4 NDF'!R273/100</f>
        <v>264.35217321551869</v>
      </c>
      <c r="Z1034" s="61">
        <f t="shared" si="94"/>
        <v>-65.247826784481333</v>
      </c>
      <c r="AA1034" s="61">
        <f t="shared" si="95"/>
        <v>-24.682160161886269</v>
      </c>
      <c r="AB1034" s="6"/>
    </row>
    <row r="1035" spans="2:28" ht="14.4" customHeight="1" x14ac:dyDescent="0.35">
      <c r="B1035" s="230">
        <f t="shared" si="89"/>
        <v>1025</v>
      </c>
      <c r="C1035" s="9"/>
      <c r="D1035" s="248">
        <f>Table3.110[[#This Row],[Date]]</f>
        <v>46064</v>
      </c>
      <c r="E1035" s="230" t="str">
        <f>Table3.110[[#This Row],[Requisitioner]]</f>
        <v>Genbank</v>
      </c>
      <c r="F1035" s="230" t="str">
        <f>Table3.110[[#This Row],[Gene Bank ID]]</f>
        <v>CIAT33235</v>
      </c>
      <c r="G1035" s="230" t="str">
        <f>Table3.110[[#This Row],[Genus]]</f>
        <v>Desmodium</v>
      </c>
      <c r="H1035" s="230" t="str">
        <f>Table3.110[[#This Row],[Species]]</f>
        <v>scorpiurus</v>
      </c>
      <c r="I1035" s="230" t="str">
        <f>Table3.110[[#This Row],[Tax Name]]</f>
        <v>Desmodium scorpiurus</v>
      </c>
      <c r="J1035" s="230" t="str">
        <f>Table3.110[[#This Row],[Family]]</f>
        <v>Fabaceae</v>
      </c>
      <c r="K1035" s="230" t="str">
        <f>Table3.110[[#This Row],[Order]]</f>
        <v>Fabales</v>
      </c>
      <c r="L1035" s="230" t="str">
        <f>Table3.110[[#This Row],[Functional Group]]</f>
        <v>Herbaceous</v>
      </c>
      <c r="M1035" s="230" t="str">
        <f>Table3.110[[#This Row],[CIAT ID]]</f>
        <v>F260029</v>
      </c>
      <c r="N1035" s="230">
        <f>Table3.110[[#This Row],[Set CIAT]]</f>
        <v>30</v>
      </c>
      <c r="O1035" s="230">
        <f>Table3.110[[#This Row],[Batch]]</f>
        <v>64</v>
      </c>
      <c r="P1035" s="230">
        <f>Table3.110[[#This Row],[Run]]</f>
        <v>1</v>
      </c>
      <c r="Q1035" s="230">
        <f>Table3.110[[#This Row],[Replication]]</f>
        <v>2</v>
      </c>
      <c r="R1035" s="230">
        <f>Table3.110[[#This Row],[Syrange No]]</f>
        <v>159</v>
      </c>
      <c r="S1035" s="98">
        <v>0.56369999999999998</v>
      </c>
      <c r="T1035" s="98">
        <v>0.92010000000000003</v>
      </c>
      <c r="U1035" s="110"/>
      <c r="V1035" s="283">
        <f t="shared" ref="V1035:V1089" si="96">T1035-S1035</f>
        <v>0.35640000000000005</v>
      </c>
      <c r="W1035" s="61">
        <f>Table3.110[[#This Row],[DM Incubated, mg]]-('3.2 Digest'!V1035*1000)</f>
        <v>110.44509665667181</v>
      </c>
      <c r="X1035" s="61">
        <f>W1035/Table3.110[[#This Row],[DM Incubated, mg]]*100</f>
        <v>23.657760882063105</v>
      </c>
      <c r="Y1035" s="31">
        <f>Table3.110[[#This Row],[DM Incubated, mg]]*'2.4 NDF'!R273/100</f>
        <v>264.29933448411447</v>
      </c>
      <c r="Z1035" s="61">
        <f t="shared" si="94"/>
        <v>-92.100665515885566</v>
      </c>
      <c r="AA1035" s="61">
        <f t="shared" si="95"/>
        <v>-34.847104589066305</v>
      </c>
      <c r="AB1035" s="6"/>
    </row>
    <row r="1036" spans="2:28" ht="14.4" customHeight="1" x14ac:dyDescent="0.35">
      <c r="B1036" s="230">
        <f t="shared" si="89"/>
        <v>1026</v>
      </c>
      <c r="C1036" s="9"/>
      <c r="D1036" s="248">
        <f>Table3.110[[#This Row],[Date]]</f>
        <v>46064</v>
      </c>
      <c r="E1036" s="230" t="str">
        <f>Table3.110[[#This Row],[Requisitioner]]</f>
        <v>Genbank</v>
      </c>
      <c r="F1036" s="230" t="str">
        <f>Table3.110[[#This Row],[Gene Bank ID]]</f>
        <v>CIAT33235</v>
      </c>
      <c r="G1036" s="230" t="str">
        <f>Table3.110[[#This Row],[Genus]]</f>
        <v>Desmodium</v>
      </c>
      <c r="H1036" s="230" t="str">
        <f>Table3.110[[#This Row],[Species]]</f>
        <v>scorpiurus</v>
      </c>
      <c r="I1036" s="230" t="str">
        <f>Table3.110[[#This Row],[Tax Name]]</f>
        <v>Desmodium scorpiurus</v>
      </c>
      <c r="J1036" s="230" t="str">
        <f>Table3.110[[#This Row],[Family]]</f>
        <v>Fabaceae</v>
      </c>
      <c r="K1036" s="230" t="str">
        <f>Table3.110[[#This Row],[Order]]</f>
        <v>Fabales</v>
      </c>
      <c r="L1036" s="230" t="str">
        <f>Table3.110[[#This Row],[Functional Group]]</f>
        <v>Herbaceous</v>
      </c>
      <c r="M1036" s="230" t="str">
        <f>Table3.110[[#This Row],[CIAT ID]]</f>
        <v>F260029</v>
      </c>
      <c r="N1036" s="230">
        <f>Table3.110[[#This Row],[Set CIAT]]</f>
        <v>30</v>
      </c>
      <c r="O1036" s="230">
        <f>Table3.110[[#This Row],[Batch]]</f>
        <v>64</v>
      </c>
      <c r="P1036" s="230">
        <f>Table3.110[[#This Row],[Run]]</f>
        <v>1</v>
      </c>
      <c r="Q1036" s="230">
        <f>Table3.110[[#This Row],[Replication]]</f>
        <v>3</v>
      </c>
      <c r="R1036" s="230">
        <f>Table3.110[[#This Row],[Syrange No]]</f>
        <v>160</v>
      </c>
      <c r="S1036" s="250">
        <v>0.5827</v>
      </c>
      <c r="T1036" s="250">
        <v>0.84919999999999995</v>
      </c>
      <c r="U1036" s="265"/>
      <c r="V1036" s="283">
        <f t="shared" si="96"/>
        <v>0.26649999999999996</v>
      </c>
      <c r="W1036" s="61">
        <f>Table3.110[[#This Row],[DM Incubated, mg]]-('3.2 Digest'!V1036*1000)</f>
        <v>200.3450966566719</v>
      </c>
      <c r="X1036" s="61">
        <f>W1036/Table3.110[[#This Row],[DM Incubated, mg]]*100</f>
        <v>42.914683712317128</v>
      </c>
      <c r="Y1036" s="302">
        <f>Table3.110[[#This Row],[DM Incubated, mg]]*'2.4 NDF'!R273/100</f>
        <v>264.29933448411447</v>
      </c>
      <c r="Z1036" s="61">
        <f t="shared" si="94"/>
        <v>-2.2006655158854755</v>
      </c>
      <c r="AA1036" s="61">
        <f t="shared" si="95"/>
        <v>-0.83264133834500631</v>
      </c>
      <c r="AB1036" s="6"/>
    </row>
    <row r="1037" spans="2:28" ht="14.4" customHeight="1" x14ac:dyDescent="0.35">
      <c r="B1037" s="230">
        <f t="shared" si="89"/>
        <v>1027</v>
      </c>
      <c r="C1037" s="9"/>
      <c r="D1037" s="248">
        <f>Table3.110[[#This Row],[Date]]</f>
        <v>46064</v>
      </c>
      <c r="E1037" s="230" t="str">
        <f>Table3.110[[#This Row],[Requisitioner]]</f>
        <v>Genbank</v>
      </c>
      <c r="F1037" s="230" t="str">
        <f>Table3.110[[#This Row],[Gene Bank ID]]</f>
        <v>CIAT33605</v>
      </c>
      <c r="G1037" s="230" t="str">
        <f>Table3.110[[#This Row],[Genus]]</f>
        <v>Desmodium</v>
      </c>
      <c r="H1037" s="230" t="str">
        <f>Table3.110[[#This Row],[Species]]</f>
        <v>sandwicense</v>
      </c>
      <c r="I1037" s="230" t="str">
        <f>Table3.110[[#This Row],[Tax Name]]</f>
        <v>Desmodium sandwicense x intortum</v>
      </c>
      <c r="J1037" s="230" t="str">
        <f>Table3.110[[#This Row],[Family]]</f>
        <v>Fabaceae</v>
      </c>
      <c r="K1037" s="230" t="str">
        <f>Table3.110[[#This Row],[Order]]</f>
        <v>Fabales</v>
      </c>
      <c r="L1037" s="230" t="str">
        <f>Table3.110[[#This Row],[Functional Group]]</f>
        <v>Herbaceous</v>
      </c>
      <c r="M1037" s="230" t="str">
        <f>Table3.110[[#This Row],[CIAT ID]]</f>
        <v>F260030</v>
      </c>
      <c r="N1037" s="230">
        <f>Table3.110[[#This Row],[Set CIAT]]</f>
        <v>30</v>
      </c>
      <c r="O1037" s="230">
        <f>Table3.110[[#This Row],[Batch]]</f>
        <v>64</v>
      </c>
      <c r="P1037" s="230">
        <f>Table3.110[[#This Row],[Run]]</f>
        <v>1</v>
      </c>
      <c r="Q1037" s="230">
        <f>Table3.110[[#This Row],[Replication]]</f>
        <v>1</v>
      </c>
      <c r="R1037" s="230">
        <f>Table3.110[[#This Row],[Syrange No]]</f>
        <v>161</v>
      </c>
      <c r="S1037" s="98">
        <v>0.59389999999999998</v>
      </c>
      <c r="T1037" s="98">
        <v>0.91579999999999995</v>
      </c>
      <c r="U1037" s="110"/>
      <c r="V1037" s="283">
        <f t="shared" si="96"/>
        <v>0.32189999999999996</v>
      </c>
      <c r="W1037" s="61">
        <f>Table3.110[[#This Row],[DM Incubated, mg]]-('3.2 Digest'!V1037*1000)</f>
        <v>155.95779315469207</v>
      </c>
      <c r="X1037" s="61">
        <f>W1037/Table3.110[[#This Row],[DM Incubated, mg]]*100</f>
        <v>32.636862972370828</v>
      </c>
      <c r="Y1037" s="31">
        <f>Table3.110[[#This Row],[DM Incubated, mg]]*'2.4 NDF'!R275/100</f>
        <v>284.86095409563654</v>
      </c>
      <c r="Z1037" s="61">
        <f t="shared" si="94"/>
        <v>-37.039045904363434</v>
      </c>
      <c r="AA1037" s="61">
        <f t="shared" si="95"/>
        <v>-13.002500122192348</v>
      </c>
      <c r="AB1037" s="6"/>
    </row>
    <row r="1038" spans="2:28" ht="14.4" customHeight="1" x14ac:dyDescent="0.35">
      <c r="B1038" s="230">
        <f t="shared" si="89"/>
        <v>1028</v>
      </c>
      <c r="C1038" s="9"/>
      <c r="D1038" s="248">
        <f>Table3.110[[#This Row],[Date]]</f>
        <v>46064</v>
      </c>
      <c r="E1038" s="230" t="str">
        <f>Table3.110[[#This Row],[Requisitioner]]</f>
        <v>Genbank</v>
      </c>
      <c r="F1038" s="230" t="str">
        <f>Table3.110[[#This Row],[Gene Bank ID]]</f>
        <v>CIAT33605</v>
      </c>
      <c r="G1038" s="230" t="str">
        <f>Table3.110[[#This Row],[Genus]]</f>
        <v>Desmodium</v>
      </c>
      <c r="H1038" s="230" t="str">
        <f>Table3.110[[#This Row],[Species]]</f>
        <v>sandwicense</v>
      </c>
      <c r="I1038" s="230" t="str">
        <f>Table3.110[[#This Row],[Tax Name]]</f>
        <v>Desmodium sandwicense x intortum</v>
      </c>
      <c r="J1038" s="230" t="str">
        <f>Table3.110[[#This Row],[Family]]</f>
        <v>Fabaceae</v>
      </c>
      <c r="K1038" s="230" t="str">
        <f>Table3.110[[#This Row],[Order]]</f>
        <v>Fabales</v>
      </c>
      <c r="L1038" s="230" t="str">
        <f>Table3.110[[#This Row],[Functional Group]]</f>
        <v>Herbaceous</v>
      </c>
      <c r="M1038" s="230" t="str">
        <f>Table3.110[[#This Row],[CIAT ID]]</f>
        <v>F260030</v>
      </c>
      <c r="N1038" s="230">
        <f>Table3.110[[#This Row],[Set CIAT]]</f>
        <v>30</v>
      </c>
      <c r="O1038" s="230">
        <f>Table3.110[[#This Row],[Batch]]</f>
        <v>64</v>
      </c>
      <c r="P1038" s="230">
        <f>Table3.110[[#This Row],[Run]]</f>
        <v>1</v>
      </c>
      <c r="Q1038" s="230">
        <f>Table3.110[[#This Row],[Replication]]</f>
        <v>2</v>
      </c>
      <c r="R1038" s="230">
        <f>Table3.110[[#This Row],[Syrange No]]</f>
        <v>162</v>
      </c>
      <c r="S1038" s="250">
        <v>0.58299999999999996</v>
      </c>
      <c r="T1038" s="250">
        <v>0.91859999999999997</v>
      </c>
      <c r="U1038" s="265"/>
      <c r="V1038" s="283">
        <f t="shared" si="96"/>
        <v>0.33560000000000001</v>
      </c>
      <c r="W1038" s="61">
        <f>Table3.110[[#This Row],[DM Incubated, mg]]-('3.2 Digest'!V1038*1000)</f>
        <v>142.54445049911595</v>
      </c>
      <c r="X1038" s="61">
        <f>W1038/Table3.110[[#This Row],[DM Incubated, mg]]*100</f>
        <v>29.812005629328013</v>
      </c>
      <c r="Y1038" s="302">
        <f>Table3.110[[#This Row],[DM Incubated, mg]]*'2.4 NDF'!R275/100</f>
        <v>285.03183649161468</v>
      </c>
      <c r="Z1038" s="61">
        <f t="shared" si="94"/>
        <v>-50.568163508385339</v>
      </c>
      <c r="AA1038" s="61">
        <f t="shared" si="95"/>
        <v>-17.741233446346264</v>
      </c>
      <c r="AB1038" s="6"/>
    </row>
    <row r="1039" spans="2:28" ht="14.4" customHeight="1" x14ac:dyDescent="0.35">
      <c r="B1039" s="230">
        <f t="shared" si="89"/>
        <v>1029</v>
      </c>
      <c r="C1039" s="9"/>
      <c r="D1039" s="248">
        <f>Table3.110[[#This Row],[Date]]</f>
        <v>46064</v>
      </c>
      <c r="E1039" s="230" t="str">
        <f>Table3.110[[#This Row],[Requisitioner]]</f>
        <v>Genbank</v>
      </c>
      <c r="F1039" s="230" t="str">
        <f>Table3.110[[#This Row],[Gene Bank ID]]</f>
        <v>CIAT33605</v>
      </c>
      <c r="G1039" s="230" t="str">
        <f>Table3.110[[#This Row],[Genus]]</f>
        <v>Desmodium</v>
      </c>
      <c r="H1039" s="230" t="str">
        <f>Table3.110[[#This Row],[Species]]</f>
        <v>sandwicense</v>
      </c>
      <c r="I1039" s="230" t="str">
        <f>Table3.110[[#This Row],[Tax Name]]</f>
        <v>Desmodium sandwicense x intortum</v>
      </c>
      <c r="J1039" s="230" t="str">
        <f>Table3.110[[#This Row],[Family]]</f>
        <v>Fabaceae</v>
      </c>
      <c r="K1039" s="230" t="str">
        <f>Table3.110[[#This Row],[Order]]</f>
        <v>Fabales</v>
      </c>
      <c r="L1039" s="230" t="str">
        <f>Table3.110[[#This Row],[Functional Group]]</f>
        <v>Herbaceous</v>
      </c>
      <c r="M1039" s="230" t="str">
        <f>Table3.110[[#This Row],[CIAT ID]]</f>
        <v>F260030</v>
      </c>
      <c r="N1039" s="230">
        <f>Table3.110[[#This Row],[Set CIAT]]</f>
        <v>30</v>
      </c>
      <c r="O1039" s="230">
        <f>Table3.110[[#This Row],[Batch]]</f>
        <v>64</v>
      </c>
      <c r="P1039" s="230">
        <f>Table3.110[[#This Row],[Run]]</f>
        <v>1</v>
      </c>
      <c r="Q1039" s="230">
        <f>Table3.110[[#This Row],[Replication]]</f>
        <v>3</v>
      </c>
      <c r="R1039" s="230">
        <f>Table3.110[[#This Row],[Syrange No]]</f>
        <v>163</v>
      </c>
      <c r="S1039" s="98">
        <v>0.57530000000000003</v>
      </c>
      <c r="T1039" s="98">
        <v>0.88790000000000002</v>
      </c>
      <c r="U1039" s="110"/>
      <c r="V1039" s="283">
        <f t="shared" si="96"/>
        <v>0.31259999999999999</v>
      </c>
      <c r="W1039" s="61">
        <f>Table3.110[[#This Row],[DM Incubated, mg]]-('3.2 Digest'!V1039*1000)</f>
        <v>165.25779315469208</v>
      </c>
      <c r="X1039" s="61">
        <f>W1039/Table3.110[[#This Row],[DM Incubated, mg]]*100</f>
        <v>34.583048664688171</v>
      </c>
      <c r="Y1039" s="302">
        <f>Table3.110[[#This Row],[DM Incubated, mg]]*'2.4 NDF'!R275/100</f>
        <v>284.86095409563654</v>
      </c>
      <c r="Z1039" s="61">
        <f t="shared" si="94"/>
        <v>-27.739045904363422</v>
      </c>
      <c r="AA1039" s="61">
        <f t="shared" si="95"/>
        <v>-9.7377494196872547</v>
      </c>
      <c r="AB1039" s="6"/>
    </row>
    <row r="1040" spans="2:28" ht="14.4" customHeight="1" x14ac:dyDescent="0.35">
      <c r="B1040" s="230">
        <f t="shared" si="89"/>
        <v>1030</v>
      </c>
      <c r="C1040" s="9"/>
      <c r="D1040" s="248">
        <f>Table3.110[[#This Row],[Date]]</f>
        <v>46064</v>
      </c>
      <c r="E1040" s="230" t="str">
        <f>Table3.110[[#This Row],[Requisitioner]]</f>
        <v>Genbank</v>
      </c>
      <c r="F1040" s="230" t="str">
        <f>Table3.110[[#This Row],[Gene Bank ID]]</f>
        <v>CIAT34144</v>
      </c>
      <c r="G1040" s="230" t="str">
        <f>Table3.110[[#This Row],[Genus]]</f>
        <v>Vigna</v>
      </c>
      <c r="H1040" s="230" t="str">
        <f>Table3.110[[#This Row],[Species]]</f>
        <v>radiata</v>
      </c>
      <c r="I1040" s="230" t="str">
        <f>Table3.110[[#This Row],[Tax Name]]</f>
        <v>Vigna radiata</v>
      </c>
      <c r="J1040" s="230" t="str">
        <f>Table3.110[[#This Row],[Family]]</f>
        <v>Fabaceae</v>
      </c>
      <c r="K1040" s="230" t="str">
        <f>Table3.110[[#This Row],[Order]]</f>
        <v>Fabales</v>
      </c>
      <c r="L1040" s="230" t="str">
        <f>Table3.110[[#This Row],[Functional Group]]</f>
        <v>Herbaceous</v>
      </c>
      <c r="M1040" s="230" t="str">
        <f>Table3.110[[#This Row],[CIAT ID]]</f>
        <v>F260031</v>
      </c>
      <c r="N1040" s="230">
        <f>Table3.110[[#This Row],[Set CIAT]]</f>
        <v>30</v>
      </c>
      <c r="O1040" s="230">
        <f>Table3.110[[#This Row],[Batch]]</f>
        <v>64</v>
      </c>
      <c r="P1040" s="230">
        <f>Table3.110[[#This Row],[Run]]</f>
        <v>1</v>
      </c>
      <c r="Q1040" s="230">
        <f>Table3.110[[#This Row],[Replication]]</f>
        <v>1</v>
      </c>
      <c r="R1040" s="230">
        <f>Table3.110[[#This Row],[Syrange No]]</f>
        <v>164</v>
      </c>
      <c r="S1040" s="250">
        <v>0.59240000000000004</v>
      </c>
      <c r="T1040" s="250">
        <v>1.0331999999999999</v>
      </c>
      <c r="U1040" s="265"/>
      <c r="V1040" s="283">
        <f t="shared" si="96"/>
        <v>0.44079999999999986</v>
      </c>
      <c r="W1040" s="61">
        <f>Table3.110[[#This Row],[DM Incubated, mg]]-('3.2 Digest'!V1040*1000)</f>
        <v>13.874972056109414</v>
      </c>
      <c r="X1040" s="61"/>
      <c r="Y1040" s="31"/>
      <c r="Z1040" s="61"/>
      <c r="AA1040" s="61"/>
      <c r="AB1040" s="6"/>
    </row>
    <row r="1041" spans="2:28" ht="14.4" customHeight="1" x14ac:dyDescent="0.35">
      <c r="B1041" s="230">
        <f t="shared" si="89"/>
        <v>1031</v>
      </c>
      <c r="C1041" s="9"/>
      <c r="D1041" s="248">
        <f>Table3.110[[#This Row],[Date]]</f>
        <v>46064</v>
      </c>
      <c r="E1041" s="230" t="str">
        <f>Table3.110[[#This Row],[Requisitioner]]</f>
        <v>Genbank</v>
      </c>
      <c r="F1041" s="230" t="str">
        <f>Table3.110[[#This Row],[Gene Bank ID]]</f>
        <v>CIAT34144</v>
      </c>
      <c r="G1041" s="230" t="str">
        <f>Table3.110[[#This Row],[Genus]]</f>
        <v>Vigna</v>
      </c>
      <c r="H1041" s="230" t="str">
        <f>Table3.110[[#This Row],[Species]]</f>
        <v>radiata</v>
      </c>
      <c r="I1041" s="230" t="str">
        <f>Table3.110[[#This Row],[Tax Name]]</f>
        <v>Vigna radiata</v>
      </c>
      <c r="J1041" s="230" t="str">
        <f>Table3.110[[#This Row],[Family]]</f>
        <v>Fabaceae</v>
      </c>
      <c r="K1041" s="230" t="str">
        <f>Table3.110[[#This Row],[Order]]</f>
        <v>Fabales</v>
      </c>
      <c r="L1041" s="230" t="str">
        <f>Table3.110[[#This Row],[Functional Group]]</f>
        <v>Herbaceous</v>
      </c>
      <c r="M1041" s="230" t="str">
        <f>Table3.110[[#This Row],[CIAT ID]]</f>
        <v>F260031</v>
      </c>
      <c r="N1041" s="230">
        <f>Table3.110[[#This Row],[Set CIAT]]</f>
        <v>30</v>
      </c>
      <c r="O1041" s="230">
        <f>Table3.110[[#This Row],[Batch]]</f>
        <v>64</v>
      </c>
      <c r="P1041" s="230">
        <f>Table3.110[[#This Row],[Run]]</f>
        <v>1</v>
      </c>
      <c r="Q1041" s="230">
        <f>Table3.110[[#This Row],[Replication]]</f>
        <v>2</v>
      </c>
      <c r="R1041" s="230">
        <f>Table3.110[[#This Row],[Syrange No]]</f>
        <v>165</v>
      </c>
      <c r="S1041" s="98">
        <v>0.5796</v>
      </c>
      <c r="T1041" s="98">
        <v>0.77149999999999996</v>
      </c>
      <c r="U1041" s="110"/>
      <c r="V1041" s="283">
        <f t="shared" si="96"/>
        <v>0.19189999999999996</v>
      </c>
      <c r="W1041" s="61">
        <f>Table3.110[[#This Row],[DM Incubated, mg]]-('3.2 Digest'!V1041*1000)</f>
        <v>262.95676932602373</v>
      </c>
      <c r="X1041" s="61">
        <f>W1041/Table3.110[[#This Row],[DM Incubated, mg]]*100</f>
        <v>57.810895002322482</v>
      </c>
      <c r="Y1041" s="302">
        <f>Table3.110[[#This Row],[DM Incubated, mg]]*'2.4 NDF'!R277/100</f>
        <v>222.55270538256352</v>
      </c>
      <c r="Z1041" s="61">
        <f t="shared" si="94"/>
        <v>30.652705382563568</v>
      </c>
      <c r="AA1041" s="61">
        <f t="shared" si="95"/>
        <v>13.773234223269585</v>
      </c>
      <c r="AB1041" s="6"/>
    </row>
    <row r="1042" spans="2:28" ht="14.4" customHeight="1" x14ac:dyDescent="0.35">
      <c r="B1042" s="230">
        <f t="shared" si="89"/>
        <v>1032</v>
      </c>
      <c r="C1042" s="9"/>
      <c r="D1042" s="248">
        <f>Table3.110[[#This Row],[Date]]</f>
        <v>46064</v>
      </c>
      <c r="E1042" s="230" t="str">
        <f>Table3.110[[#This Row],[Requisitioner]]</f>
        <v>Genbank</v>
      </c>
      <c r="F1042" s="230" t="str">
        <f>Table3.110[[#This Row],[Gene Bank ID]]</f>
        <v>CIAT34144</v>
      </c>
      <c r="G1042" s="230" t="str">
        <f>Table3.110[[#This Row],[Genus]]</f>
        <v>Vigna</v>
      </c>
      <c r="H1042" s="230" t="str">
        <f>Table3.110[[#This Row],[Species]]</f>
        <v>radiata</v>
      </c>
      <c r="I1042" s="230" t="str">
        <f>Table3.110[[#This Row],[Tax Name]]</f>
        <v>Vigna radiata</v>
      </c>
      <c r="J1042" s="230" t="str">
        <f>Table3.110[[#This Row],[Family]]</f>
        <v>Fabaceae</v>
      </c>
      <c r="K1042" s="230" t="str">
        <f>Table3.110[[#This Row],[Order]]</f>
        <v>Fabales</v>
      </c>
      <c r="L1042" s="230" t="str">
        <f>Table3.110[[#This Row],[Functional Group]]</f>
        <v>Herbaceous</v>
      </c>
      <c r="M1042" s="230" t="str">
        <f>Table3.110[[#This Row],[CIAT ID]]</f>
        <v>F260031</v>
      </c>
      <c r="N1042" s="230">
        <f>Table3.110[[#This Row],[Set CIAT]]</f>
        <v>30</v>
      </c>
      <c r="O1042" s="230">
        <f>Table3.110[[#This Row],[Batch]]</f>
        <v>64</v>
      </c>
      <c r="P1042" s="230">
        <f>Table3.110[[#This Row],[Run]]</f>
        <v>1</v>
      </c>
      <c r="Q1042" s="230">
        <f>Table3.110[[#This Row],[Replication]]</f>
        <v>3</v>
      </c>
      <c r="R1042" s="230">
        <f>Table3.110[[#This Row],[Syrange No]]</f>
        <v>166</v>
      </c>
      <c r="S1042" s="250">
        <v>0.57550000000000001</v>
      </c>
      <c r="T1042" s="250">
        <v>0.8357</v>
      </c>
      <c r="U1042" s="265" t="s">
        <v>551</v>
      </c>
      <c r="V1042" s="283">
        <f t="shared" si="96"/>
        <v>0.26019999999999999</v>
      </c>
      <c r="W1042" s="61">
        <f>Table3.110[[#This Row],[DM Incubated, mg]]-('3.2 Digest'!V1042*1000)</f>
        <v>194.47497205610927</v>
      </c>
      <c r="X1042" s="61">
        <f>W1042/Table3.110[[#This Row],[DM Incubated, mg]]*100</f>
        <v>42.772306374521548</v>
      </c>
      <c r="Y1042" s="302">
        <f>Table3.110[[#This Row],[DM Incubated, mg]]*'2.4 NDF'!R277/100</f>
        <v>222.4637554603483</v>
      </c>
      <c r="Z1042" s="61">
        <f t="shared" si="94"/>
        <v>-37.736244539651693</v>
      </c>
      <c r="AA1042" s="61">
        <f t="shared" si="95"/>
        <v>-16.962873103334697</v>
      </c>
      <c r="AB1042" s="6"/>
    </row>
    <row r="1043" spans="2:28" ht="14.4" customHeight="1" x14ac:dyDescent="0.35">
      <c r="B1043" s="230">
        <f t="shared" si="89"/>
        <v>1033</v>
      </c>
      <c r="C1043" s="9"/>
      <c r="D1043" s="248">
        <f>Table3.110[[#This Row],[Date]]</f>
        <v>46064</v>
      </c>
      <c r="E1043" s="230" t="str">
        <f>Table3.110[[#This Row],[Requisitioner]]</f>
        <v>Genbank</v>
      </c>
      <c r="F1043" s="230" t="str">
        <f>Table3.110[[#This Row],[Gene Bank ID]]</f>
        <v>CIAT7934</v>
      </c>
      <c r="G1043" s="230" t="str">
        <f>Table3.110[[#This Row],[Genus]]</f>
        <v>Sesbania</v>
      </c>
      <c r="H1043" s="230" t="str">
        <f>Table3.110[[#This Row],[Species]]</f>
        <v>sesban</v>
      </c>
      <c r="I1043" s="230" t="str">
        <f>Table3.110[[#This Row],[Tax Name]]</f>
        <v>Sesbania sesban</v>
      </c>
      <c r="J1043" s="230" t="str">
        <f>Table3.110[[#This Row],[Family]]</f>
        <v>Fabaceae</v>
      </c>
      <c r="K1043" s="230" t="str">
        <f>Table3.110[[#This Row],[Order]]</f>
        <v>Fabales</v>
      </c>
      <c r="L1043" s="230" t="str">
        <f>Table3.110[[#This Row],[Functional Group]]</f>
        <v>Shurb_Tree</v>
      </c>
      <c r="M1043" s="230" t="str">
        <f>Table3.110[[#This Row],[CIAT ID]]</f>
        <v>F260032</v>
      </c>
      <c r="N1043" s="230">
        <f>Table3.110[[#This Row],[Set CIAT]]</f>
        <v>30</v>
      </c>
      <c r="O1043" s="230">
        <f>Table3.110[[#This Row],[Batch]]</f>
        <v>64</v>
      </c>
      <c r="P1043" s="230">
        <f>Table3.110[[#This Row],[Run]]</f>
        <v>1</v>
      </c>
      <c r="Q1043" s="230">
        <f>Table3.110[[#This Row],[Replication]]</f>
        <v>1</v>
      </c>
      <c r="R1043" s="230">
        <f>Table3.110[[#This Row],[Syrange No]]</f>
        <v>167</v>
      </c>
      <c r="S1043" s="98">
        <v>0.58660000000000001</v>
      </c>
      <c r="T1043" s="98">
        <v>0.83299999999999996</v>
      </c>
      <c r="U1043" s="110"/>
      <c r="V1043" s="283">
        <f t="shared" si="96"/>
        <v>0.24639999999999995</v>
      </c>
      <c r="W1043" s="61">
        <f>Table3.110[[#This Row],[DM Incubated, mg]]-('3.2 Digest'!V1043*1000)</f>
        <v>236.12513423959254</v>
      </c>
      <c r="X1043" s="61">
        <f>W1043/Table3.110[[#This Row],[DM Incubated, mg]]*100</f>
        <v>48.93530253334891</v>
      </c>
      <c r="Y1043" s="31">
        <f>Table3.110[[#This Row],[DM Incubated, mg]]*'2.4 NDF'!R279/100</f>
        <v>234.85616516035435</v>
      </c>
      <c r="Z1043" s="61">
        <f t="shared" si="94"/>
        <v>-11.543834839645598</v>
      </c>
      <c r="AA1043" s="61">
        <f t="shared" si="95"/>
        <v>-4.9152786054237643</v>
      </c>
      <c r="AB1043" s="6"/>
    </row>
    <row r="1044" spans="2:28" ht="14.4" customHeight="1" x14ac:dyDescent="0.35">
      <c r="B1044" s="230">
        <f t="shared" si="89"/>
        <v>1034</v>
      </c>
      <c r="C1044" s="9"/>
      <c r="D1044" s="248">
        <f>Table3.110[[#This Row],[Date]]</f>
        <v>46064</v>
      </c>
      <c r="E1044" s="230" t="str">
        <f>Table3.110[[#This Row],[Requisitioner]]</f>
        <v>Genbank</v>
      </c>
      <c r="F1044" s="230" t="str">
        <f>Table3.110[[#This Row],[Gene Bank ID]]</f>
        <v>CIAT7934</v>
      </c>
      <c r="G1044" s="230" t="str">
        <f>Table3.110[[#This Row],[Genus]]</f>
        <v>Sesbania</v>
      </c>
      <c r="H1044" s="230" t="str">
        <f>Table3.110[[#This Row],[Species]]</f>
        <v>sesban</v>
      </c>
      <c r="I1044" s="230" t="str">
        <f>Table3.110[[#This Row],[Tax Name]]</f>
        <v>Sesbania sesban</v>
      </c>
      <c r="J1044" s="230" t="str">
        <f>Table3.110[[#This Row],[Family]]</f>
        <v>Fabaceae</v>
      </c>
      <c r="K1044" s="230" t="str">
        <f>Table3.110[[#This Row],[Order]]</f>
        <v>Fabales</v>
      </c>
      <c r="L1044" s="230" t="str">
        <f>Table3.110[[#This Row],[Functional Group]]</f>
        <v>Shurb_Tree</v>
      </c>
      <c r="M1044" s="230" t="str">
        <f>Table3.110[[#This Row],[CIAT ID]]</f>
        <v>F260032</v>
      </c>
      <c r="N1044" s="230">
        <f>Table3.110[[#This Row],[Set CIAT]]</f>
        <v>30</v>
      </c>
      <c r="O1044" s="230">
        <f>Table3.110[[#This Row],[Batch]]</f>
        <v>64</v>
      </c>
      <c r="P1044" s="230">
        <f>Table3.110[[#This Row],[Run]]</f>
        <v>1</v>
      </c>
      <c r="Q1044" s="230">
        <f>Table3.110[[#This Row],[Replication]]</f>
        <v>2</v>
      </c>
      <c r="R1044" s="230">
        <f>Table3.110[[#This Row],[Syrange No]]</f>
        <v>168</v>
      </c>
      <c r="S1044" s="250">
        <v>0.57889999999999997</v>
      </c>
      <c r="T1044" s="250">
        <v>0.90559999999999996</v>
      </c>
      <c r="U1044" s="265"/>
      <c r="V1044" s="283">
        <f t="shared" si="96"/>
        <v>0.32669999999999999</v>
      </c>
      <c r="W1044" s="61">
        <f>Table3.110[[#This Row],[DM Incubated, mg]]-('3.2 Digest'!V1044*1000)</f>
        <v>155.8251342395925</v>
      </c>
      <c r="X1044" s="61">
        <f>W1044/Table3.110[[#This Row],[DM Incubated, mg]]*100</f>
        <v>32.293682376806359</v>
      </c>
      <c r="Y1044" s="302">
        <f>Table3.110[[#This Row],[DM Incubated, mg]]*'2.4 NDF'!R279/100</f>
        <v>234.85616516035435</v>
      </c>
      <c r="Z1044" s="61">
        <f t="shared" si="94"/>
        <v>-91.843834839645638</v>
      </c>
      <c r="AA1044" s="61">
        <f t="shared" si="95"/>
        <v>-39.106418508084211</v>
      </c>
      <c r="AB1044" s="6"/>
    </row>
    <row r="1045" spans="2:28" ht="14.4" customHeight="1" x14ac:dyDescent="0.35">
      <c r="B1045" s="230">
        <f t="shared" ref="B1045:B1108" si="97">B1044+1</f>
        <v>1035</v>
      </c>
      <c r="C1045" s="9"/>
      <c r="D1045" s="248">
        <f>Table3.110[[#This Row],[Date]]</f>
        <v>46064</v>
      </c>
      <c r="E1045" s="230" t="str">
        <f>Table3.110[[#This Row],[Requisitioner]]</f>
        <v>Genbank</v>
      </c>
      <c r="F1045" s="230" t="str">
        <f>Table3.110[[#This Row],[Gene Bank ID]]</f>
        <v>CIAT7934</v>
      </c>
      <c r="G1045" s="230" t="str">
        <f>Table3.110[[#This Row],[Genus]]</f>
        <v>Sesbania</v>
      </c>
      <c r="H1045" s="230" t="str">
        <f>Table3.110[[#This Row],[Species]]</f>
        <v>sesban</v>
      </c>
      <c r="I1045" s="230" t="str">
        <f>Table3.110[[#This Row],[Tax Name]]</f>
        <v>Sesbania sesban</v>
      </c>
      <c r="J1045" s="230" t="str">
        <f>Table3.110[[#This Row],[Family]]</f>
        <v>Fabaceae</v>
      </c>
      <c r="K1045" s="230" t="str">
        <f>Table3.110[[#This Row],[Order]]</f>
        <v>Fabales</v>
      </c>
      <c r="L1045" s="230" t="str">
        <f>Table3.110[[#This Row],[Functional Group]]</f>
        <v>Shurb_Tree</v>
      </c>
      <c r="M1045" s="230" t="str">
        <f>Table3.110[[#This Row],[CIAT ID]]</f>
        <v>F260032</v>
      </c>
      <c r="N1045" s="230">
        <f>Table3.110[[#This Row],[Set CIAT]]</f>
        <v>30</v>
      </c>
      <c r="O1045" s="230">
        <f>Table3.110[[#This Row],[Batch]]</f>
        <v>64</v>
      </c>
      <c r="P1045" s="230">
        <f>Table3.110[[#This Row],[Run]]</f>
        <v>1</v>
      </c>
      <c r="Q1045" s="230">
        <f>Table3.110[[#This Row],[Replication]]</f>
        <v>3</v>
      </c>
      <c r="R1045" s="230">
        <f>Table3.110[[#This Row],[Syrange No]]</f>
        <v>169</v>
      </c>
      <c r="S1045" s="98">
        <v>0.56410000000000005</v>
      </c>
      <c r="T1045" s="98">
        <v>0.86029999999999995</v>
      </c>
      <c r="U1045" s="110"/>
      <c r="V1045" s="283">
        <f t="shared" si="96"/>
        <v>0.29619999999999991</v>
      </c>
      <c r="W1045" s="61">
        <f>Table3.110[[#This Row],[DM Incubated, mg]]-('3.2 Digest'!V1045*1000)</f>
        <v>186.61453356040801</v>
      </c>
      <c r="X1045" s="61">
        <f>W1045/Table3.110[[#This Row],[DM Incubated, mg]]*100</f>
        <v>38.6513910806</v>
      </c>
      <c r="Y1045" s="31">
        <f>Table3.110[[#This Row],[DM Incubated, mg]]*'2.4 NDF'!R279/100</f>
        <v>234.99702251650811</v>
      </c>
      <c r="Z1045" s="61">
        <f t="shared" si="94"/>
        <v>-61.202977483491821</v>
      </c>
      <c r="AA1045" s="61">
        <f t="shared" si="95"/>
        <v>-26.044150188835868</v>
      </c>
      <c r="AB1045" s="6"/>
    </row>
    <row r="1046" spans="2:28" ht="14.4" customHeight="1" x14ac:dyDescent="0.35">
      <c r="B1046" s="230">
        <f t="shared" si="97"/>
        <v>1036</v>
      </c>
      <c r="C1046" s="9"/>
      <c r="D1046" s="248">
        <f>Table3.110[[#This Row],[Date]]</f>
        <v>46064</v>
      </c>
      <c r="E1046" s="230" t="str">
        <f>Table3.110[[#This Row],[Requisitioner]]</f>
        <v>Genbank</v>
      </c>
      <c r="F1046" s="230" t="str">
        <f>Table3.110[[#This Row],[Gene Bank ID]]</f>
        <v>CIAT7937</v>
      </c>
      <c r="G1046" s="230" t="str">
        <f>Table3.110[[#This Row],[Genus]]</f>
        <v>Mimosa</v>
      </c>
      <c r="H1046" s="230" t="str">
        <f>Table3.110[[#This Row],[Species]]</f>
        <v>nuda</v>
      </c>
      <c r="I1046" s="230" t="str">
        <f>Table3.110[[#This Row],[Tax Name]]</f>
        <v>Mimosa nuda</v>
      </c>
      <c r="J1046" s="230" t="str">
        <f>Table3.110[[#This Row],[Family]]</f>
        <v>Fabaceae</v>
      </c>
      <c r="K1046" s="230" t="str">
        <f>Table3.110[[#This Row],[Order]]</f>
        <v>Fabales</v>
      </c>
      <c r="L1046" s="230" t="str">
        <f>Table3.110[[#This Row],[Functional Group]]</f>
        <v>Shurb_Tree</v>
      </c>
      <c r="M1046" s="230" t="str">
        <f>Table3.110[[#This Row],[CIAT ID]]</f>
        <v>F260033</v>
      </c>
      <c r="N1046" s="230">
        <f>Table3.110[[#This Row],[Set CIAT]]</f>
        <v>30</v>
      </c>
      <c r="O1046" s="230">
        <f>Table3.110[[#This Row],[Batch]]</f>
        <v>64</v>
      </c>
      <c r="P1046" s="230">
        <f>Table3.110[[#This Row],[Run]]</f>
        <v>1</v>
      </c>
      <c r="Q1046" s="230">
        <f>Table3.110[[#This Row],[Replication]]</f>
        <v>1</v>
      </c>
      <c r="R1046" s="230">
        <f>Table3.110[[#This Row],[Syrange No]]</f>
        <v>170</v>
      </c>
      <c r="S1046" s="250">
        <v>0.59619999999999995</v>
      </c>
      <c r="T1046" s="250">
        <v>0.94410000000000005</v>
      </c>
      <c r="U1046" s="280"/>
      <c r="V1046" s="283">
        <f t="shared" si="96"/>
        <v>0.3479000000000001</v>
      </c>
      <c r="W1046" s="61">
        <f>Table3.110[[#This Row],[DM Incubated, mg]]-('3.2 Digest'!V1046*1000)</f>
        <v>133.20187867869868</v>
      </c>
      <c r="X1046" s="61">
        <f>W1046/Table3.110[[#This Row],[DM Incubated, mg]]*100</f>
        <v>27.686834032850825</v>
      </c>
      <c r="Y1046" s="31">
        <f>Table3.110[[#This Row],[DM Incubated, mg]]*'2.4 NDF'!R281/100</f>
        <v>299.53031423951836</v>
      </c>
      <c r="Z1046" s="61">
        <f t="shared" si="94"/>
        <v>-48.36968576048173</v>
      </c>
      <c r="AA1046" s="61">
        <f t="shared" si="95"/>
        <v>-16.148511005735159</v>
      </c>
      <c r="AB1046" s="6"/>
    </row>
    <row r="1047" spans="2:28" ht="14.4" customHeight="1" x14ac:dyDescent="0.35">
      <c r="B1047" s="230">
        <f t="shared" si="97"/>
        <v>1037</v>
      </c>
      <c r="C1047" s="9"/>
      <c r="D1047" s="248">
        <f>Table3.110[[#This Row],[Date]]</f>
        <v>46064</v>
      </c>
      <c r="E1047" s="230" t="str">
        <f>Table3.110[[#This Row],[Requisitioner]]</f>
        <v>Genbank</v>
      </c>
      <c r="F1047" s="230" t="str">
        <f>Table3.110[[#This Row],[Gene Bank ID]]</f>
        <v>CIAT7937</v>
      </c>
      <c r="G1047" s="230" t="str">
        <f>Table3.110[[#This Row],[Genus]]</f>
        <v>Mimosa</v>
      </c>
      <c r="H1047" s="230" t="str">
        <f>Table3.110[[#This Row],[Species]]</f>
        <v>nuda</v>
      </c>
      <c r="I1047" s="230" t="str">
        <f>Table3.110[[#This Row],[Tax Name]]</f>
        <v>Mimosa nuda</v>
      </c>
      <c r="J1047" s="230" t="str">
        <f>Table3.110[[#This Row],[Family]]</f>
        <v>Fabaceae</v>
      </c>
      <c r="K1047" s="230" t="str">
        <f>Table3.110[[#This Row],[Order]]</f>
        <v>Fabales</v>
      </c>
      <c r="L1047" s="230" t="str">
        <f>Table3.110[[#This Row],[Functional Group]]</f>
        <v>Shurb_Tree</v>
      </c>
      <c r="M1047" s="230" t="str">
        <f>Table3.110[[#This Row],[CIAT ID]]</f>
        <v>F260033</v>
      </c>
      <c r="N1047" s="230">
        <f>Table3.110[[#This Row],[Set CIAT]]</f>
        <v>30</v>
      </c>
      <c r="O1047" s="230">
        <f>Table3.110[[#This Row],[Batch]]</f>
        <v>64</v>
      </c>
      <c r="P1047" s="230">
        <f>Table3.110[[#This Row],[Run]]</f>
        <v>1</v>
      </c>
      <c r="Q1047" s="230">
        <f>Table3.110[[#This Row],[Replication]]</f>
        <v>2</v>
      </c>
      <c r="R1047" s="230">
        <f>Table3.110[[#This Row],[Syrange No]]</f>
        <v>171</v>
      </c>
      <c r="S1047" s="98">
        <v>0.56840000000000002</v>
      </c>
      <c r="T1047" s="98">
        <v>0.89800000000000002</v>
      </c>
      <c r="U1047" s="110"/>
      <c r="V1047" s="283">
        <f t="shared" si="96"/>
        <v>0.3296</v>
      </c>
      <c r="W1047" s="61">
        <f>Table3.110[[#This Row],[DM Incubated, mg]]-('3.2 Digest'!V1047*1000)</f>
        <v>151.79048208522465</v>
      </c>
      <c r="X1047" s="61">
        <f>W1047/Table3.110[[#This Row],[DM Incubated, mg]]*100</f>
        <v>31.531674957036621</v>
      </c>
      <c r="Y1047" s="31">
        <f>Table3.110[[#This Row],[DM Incubated, mg]]*'2.4 NDF'!R281/100</f>
        <v>299.70999649161161</v>
      </c>
      <c r="Z1047" s="61">
        <f t="shared" si="94"/>
        <v>-29.890003508388418</v>
      </c>
      <c r="AA1047" s="61">
        <f t="shared" si="95"/>
        <v>-9.9729751620830545</v>
      </c>
      <c r="AB1047" s="6"/>
    </row>
    <row r="1048" spans="2:28" ht="14.4" customHeight="1" x14ac:dyDescent="0.35">
      <c r="B1048" s="230">
        <f t="shared" si="97"/>
        <v>1038</v>
      </c>
      <c r="C1048" s="9"/>
      <c r="D1048" s="248">
        <f>Table3.110[[#This Row],[Date]]</f>
        <v>46064</v>
      </c>
      <c r="E1048" s="230" t="str">
        <f>Table3.110[[#This Row],[Requisitioner]]</f>
        <v>Genbank</v>
      </c>
      <c r="F1048" s="230" t="str">
        <f>Table3.110[[#This Row],[Gene Bank ID]]</f>
        <v>CIAT7937</v>
      </c>
      <c r="G1048" s="230" t="str">
        <f>Table3.110[[#This Row],[Genus]]</f>
        <v>Mimosa</v>
      </c>
      <c r="H1048" s="230" t="str">
        <f>Table3.110[[#This Row],[Species]]</f>
        <v>nuda</v>
      </c>
      <c r="I1048" s="230" t="str">
        <f>Table3.110[[#This Row],[Tax Name]]</f>
        <v>Mimosa nuda</v>
      </c>
      <c r="J1048" s="230" t="str">
        <f>Table3.110[[#This Row],[Family]]</f>
        <v>Fabaceae</v>
      </c>
      <c r="K1048" s="230" t="str">
        <f>Table3.110[[#This Row],[Order]]</f>
        <v>Fabales</v>
      </c>
      <c r="L1048" s="230" t="str">
        <f>Table3.110[[#This Row],[Functional Group]]</f>
        <v>Shurb_Tree</v>
      </c>
      <c r="M1048" s="230" t="str">
        <f>Table3.110[[#This Row],[CIAT ID]]</f>
        <v>F260033</v>
      </c>
      <c r="N1048" s="230">
        <f>Table3.110[[#This Row],[Set CIAT]]</f>
        <v>30</v>
      </c>
      <c r="O1048" s="230">
        <f>Table3.110[[#This Row],[Batch]]</f>
        <v>64</v>
      </c>
      <c r="P1048" s="230">
        <f>Table3.110[[#This Row],[Run]]</f>
        <v>1</v>
      </c>
      <c r="Q1048" s="230">
        <f>Table3.110[[#This Row],[Replication]]</f>
        <v>3</v>
      </c>
      <c r="R1048" s="230">
        <f>Table3.110[[#This Row],[Syrange No]]</f>
        <v>172</v>
      </c>
      <c r="S1048" s="250">
        <v>0.56579999999999997</v>
      </c>
      <c r="T1048" s="250">
        <v>0.87160000000000004</v>
      </c>
      <c r="U1048" s="265"/>
      <c r="V1048" s="283">
        <f t="shared" si="96"/>
        <v>0.30580000000000007</v>
      </c>
      <c r="W1048" s="61">
        <f>Table3.110[[#This Row],[DM Incubated, mg]]-('3.2 Digest'!V1048*1000)</f>
        <v>175.20567754319012</v>
      </c>
      <c r="X1048" s="61">
        <f>W1048/Table3.110[[#This Row],[DM Incubated, mg]]*100</f>
        <v>36.424866841090072</v>
      </c>
      <c r="Y1048" s="302">
        <f>Table3.110[[#This Row],[DM Incubated, mg]]*'2.4 NDF'!R281/100</f>
        <v>299.47042015548726</v>
      </c>
      <c r="Z1048" s="61">
        <f t="shared" si="94"/>
        <v>-6.3295798445128071</v>
      </c>
      <c r="AA1048" s="61">
        <f t="shared" si="95"/>
        <v>-2.1135909988126516</v>
      </c>
      <c r="AB1048" s="6"/>
    </row>
    <row r="1049" spans="2:28" ht="14.4" customHeight="1" x14ac:dyDescent="0.35">
      <c r="B1049" s="230">
        <f t="shared" si="97"/>
        <v>1039</v>
      </c>
      <c r="C1049" s="9"/>
      <c r="D1049" s="248">
        <f>Table3.110[[#This Row],[Date]]</f>
        <v>46064</v>
      </c>
      <c r="E1049" s="230" t="str">
        <f>Table3.110[[#This Row],[Requisitioner]]</f>
        <v>Genbank</v>
      </c>
      <c r="F1049" s="230" t="str">
        <f>Table3.110[[#This Row],[Gene Bank ID]]</f>
        <v>CIAT8056</v>
      </c>
      <c r="G1049" s="230" t="str">
        <f>Table3.110[[#This Row],[Genus]]</f>
        <v>Mimosa</v>
      </c>
      <c r="H1049" s="230" t="str">
        <f>Table3.110[[#This Row],[Species]]</f>
        <v>diplotricha</v>
      </c>
      <c r="I1049" s="230" t="str">
        <f>Table3.110[[#This Row],[Tax Name]]</f>
        <v>Mimosa diplotricha</v>
      </c>
      <c r="J1049" s="230" t="str">
        <f>Table3.110[[#This Row],[Family]]</f>
        <v>Fabaceae</v>
      </c>
      <c r="K1049" s="230" t="str">
        <f>Table3.110[[#This Row],[Order]]</f>
        <v>Fabales</v>
      </c>
      <c r="L1049" s="230" t="str">
        <f>Table3.110[[#This Row],[Functional Group]]</f>
        <v>Shurb_Tree</v>
      </c>
      <c r="M1049" s="230" t="str">
        <f>Table3.110[[#This Row],[CIAT ID]]</f>
        <v>F260034</v>
      </c>
      <c r="N1049" s="230">
        <f>Table3.110[[#This Row],[Set CIAT]]</f>
        <v>30</v>
      </c>
      <c r="O1049" s="230">
        <f>Table3.110[[#This Row],[Batch]]</f>
        <v>64</v>
      </c>
      <c r="P1049" s="230">
        <f>Table3.110[[#This Row],[Run]]</f>
        <v>1</v>
      </c>
      <c r="Q1049" s="230">
        <f>Table3.110[[#This Row],[Replication]]</f>
        <v>1</v>
      </c>
      <c r="R1049" s="230">
        <f>Table3.110[[#This Row],[Syrange No]]</f>
        <v>173</v>
      </c>
      <c r="S1049" s="98">
        <v>0.57830000000000004</v>
      </c>
      <c r="T1049" s="98">
        <v>0.89929999999999999</v>
      </c>
      <c r="U1049" s="110"/>
      <c r="V1049" s="283">
        <f t="shared" si="96"/>
        <v>0.32099999999999995</v>
      </c>
      <c r="W1049" s="61">
        <f>Table3.110[[#This Row],[DM Incubated, mg]]-('3.2 Digest'!V1049*1000)</f>
        <v>155.65000976069018</v>
      </c>
      <c r="X1049" s="61">
        <f>W1049/Table3.110[[#This Row],[DM Incubated, mg]]*100</f>
        <v>32.65498931571129</v>
      </c>
      <c r="Y1049" s="31">
        <f>Table3.110[[#This Row],[DM Incubated, mg]]*'2.4 NDF'!R283/100</f>
        <v>259.45395715854613</v>
      </c>
      <c r="Z1049" s="61">
        <f t="shared" ref="Z1049:Z1112" si="98">Y1049-(V1049*1000)</f>
        <v>-61.546042841453811</v>
      </c>
      <c r="AA1049" s="61">
        <f t="shared" ref="AA1049:AA1112" si="99">Z1049/Y1049*100</f>
        <v>-23.721373732544187</v>
      </c>
      <c r="AB1049" s="6"/>
    </row>
    <row r="1050" spans="2:28" x14ac:dyDescent="0.35">
      <c r="B1050" s="230">
        <f t="shared" si="97"/>
        <v>1040</v>
      </c>
      <c r="C1050" s="9"/>
      <c r="D1050" s="248">
        <f>Table3.110[[#This Row],[Date]]</f>
        <v>46064</v>
      </c>
      <c r="E1050" s="230" t="str">
        <f>Table3.110[[#This Row],[Requisitioner]]</f>
        <v>Genbank</v>
      </c>
      <c r="F1050" s="230" t="str">
        <f>Table3.110[[#This Row],[Gene Bank ID]]</f>
        <v>CIAT8056</v>
      </c>
      <c r="G1050" s="230" t="str">
        <f>Table3.110[[#This Row],[Genus]]</f>
        <v>Mimosa</v>
      </c>
      <c r="H1050" s="230" t="str">
        <f>Table3.110[[#This Row],[Species]]</f>
        <v>diplotricha</v>
      </c>
      <c r="I1050" s="230" t="str">
        <f>Table3.110[[#This Row],[Tax Name]]</f>
        <v>Mimosa diplotricha</v>
      </c>
      <c r="J1050" s="230" t="str">
        <f>Table3.110[[#This Row],[Family]]</f>
        <v>Fabaceae</v>
      </c>
      <c r="K1050" s="230" t="str">
        <f>Table3.110[[#This Row],[Order]]</f>
        <v>Fabales</v>
      </c>
      <c r="L1050" s="230" t="str">
        <f>Table3.110[[#This Row],[Functional Group]]</f>
        <v>Shurb_Tree</v>
      </c>
      <c r="M1050" s="230" t="str">
        <f>Table3.110[[#This Row],[CIAT ID]]</f>
        <v>F260034</v>
      </c>
      <c r="N1050" s="230">
        <f>Table3.110[[#This Row],[Set CIAT]]</f>
        <v>30</v>
      </c>
      <c r="O1050" s="230">
        <f>Table3.110[[#This Row],[Batch]]</f>
        <v>64</v>
      </c>
      <c r="P1050" s="230">
        <f>Table3.110[[#This Row],[Run]]</f>
        <v>1</v>
      </c>
      <c r="Q1050" s="230">
        <f>Table3.110[[#This Row],[Replication]]</f>
        <v>2</v>
      </c>
      <c r="R1050" s="230">
        <f>Table3.110[[#This Row],[Syrange No]]</f>
        <v>174</v>
      </c>
      <c r="S1050" s="250">
        <v>0.56399999999999995</v>
      </c>
      <c r="T1050" s="250">
        <v>0.90680000000000005</v>
      </c>
      <c r="U1050" s="265"/>
      <c r="V1050" s="283">
        <f t="shared" si="96"/>
        <v>0.3428000000000001</v>
      </c>
      <c r="W1050" s="61">
        <f>Table3.110[[#This Row],[DM Incubated, mg]]-('3.2 Digest'!V1050*1000)</f>
        <v>133.65942599029381</v>
      </c>
      <c r="X1050" s="61">
        <f>W1050/Table3.110[[#This Row],[DM Incubated, mg]]*100</f>
        <v>28.052635481497774</v>
      </c>
      <c r="Y1050" s="302">
        <f>Table3.110[[#This Row],[DM Incubated, mg]]*'2.4 NDF'!R283/100</f>
        <v>259.3502170717174</v>
      </c>
      <c r="Z1050" s="61">
        <f t="shared" si="98"/>
        <v>-83.44978292828273</v>
      </c>
      <c r="AA1050" s="61">
        <f t="shared" si="99"/>
        <v>-32.17648470492955</v>
      </c>
      <c r="AB1050" s="6"/>
    </row>
    <row r="1051" spans="2:28" x14ac:dyDescent="0.35">
      <c r="B1051" s="230">
        <f t="shared" si="97"/>
        <v>1041</v>
      </c>
      <c r="C1051" s="9"/>
      <c r="D1051" s="248">
        <f>Table3.110[[#This Row],[Date]]</f>
        <v>46064</v>
      </c>
      <c r="E1051" s="230" t="str">
        <f>Table3.110[[#This Row],[Requisitioner]]</f>
        <v>Genbank</v>
      </c>
      <c r="F1051" s="230" t="str">
        <f>Table3.110[[#This Row],[Gene Bank ID]]</f>
        <v>CIAT8056</v>
      </c>
      <c r="G1051" s="230" t="str">
        <f>Table3.110[[#This Row],[Genus]]</f>
        <v>Mimosa</v>
      </c>
      <c r="H1051" s="230" t="str">
        <f>Table3.110[[#This Row],[Species]]</f>
        <v>diplotricha</v>
      </c>
      <c r="I1051" s="230" t="str">
        <f>Table3.110[[#This Row],[Tax Name]]</f>
        <v>Mimosa diplotricha</v>
      </c>
      <c r="J1051" s="230" t="str">
        <f>Table3.110[[#This Row],[Family]]</f>
        <v>Fabaceae</v>
      </c>
      <c r="K1051" s="230" t="str">
        <f>Table3.110[[#This Row],[Order]]</f>
        <v>Fabales</v>
      </c>
      <c r="L1051" s="230" t="str">
        <f>Table3.110[[#This Row],[Functional Group]]</f>
        <v>Shurb_Tree</v>
      </c>
      <c r="M1051" s="230" t="str">
        <f>Table3.110[[#This Row],[CIAT ID]]</f>
        <v>F260034</v>
      </c>
      <c r="N1051" s="230">
        <f>Table3.110[[#This Row],[Set CIAT]]</f>
        <v>30</v>
      </c>
      <c r="O1051" s="230">
        <f>Table3.110[[#This Row],[Batch]]</f>
        <v>64</v>
      </c>
      <c r="P1051" s="230">
        <f>Table3.110[[#This Row],[Run]]</f>
        <v>1</v>
      </c>
      <c r="Q1051" s="230">
        <f>Table3.110[[#This Row],[Replication]]</f>
        <v>3</v>
      </c>
      <c r="R1051" s="230">
        <f>Table3.110[[#This Row],[Syrange No]]</f>
        <v>175</v>
      </c>
      <c r="S1051" s="98">
        <v>0.57250000000000001</v>
      </c>
      <c r="T1051" s="98">
        <v>0.97589999999999999</v>
      </c>
      <c r="U1051" s="110"/>
      <c r="V1051" s="283">
        <f t="shared" si="96"/>
        <v>0.40339999999999998</v>
      </c>
      <c r="W1051" s="61">
        <f>Table3.110[[#This Row],[DM Incubated, mg]]-('3.2 Digest'!V1051*1000)</f>
        <v>73.440593531086165</v>
      </c>
      <c r="X1051" s="61">
        <f>W1051/Table3.110[[#This Row],[DM Incubated, mg]]*100</f>
        <v>15.401497801864142</v>
      </c>
      <c r="Y1051" s="31">
        <f>Table3.110[[#This Row],[DM Incubated, mg]]*'2.4 NDF'!R283/100</f>
        <v>259.55769724537475</v>
      </c>
      <c r="Z1051" s="61">
        <f t="shared" si="98"/>
        <v>-143.84230275462522</v>
      </c>
      <c r="AA1051" s="61">
        <f t="shared" si="99"/>
        <v>-55.418238134021834</v>
      </c>
      <c r="AB1051" s="6"/>
    </row>
    <row r="1052" spans="2:28" x14ac:dyDescent="0.35">
      <c r="B1052" s="230">
        <f t="shared" si="97"/>
        <v>1042</v>
      </c>
      <c r="C1052" s="9"/>
      <c r="D1052" s="248">
        <f>Table3.110[[#This Row],[Date]]</f>
        <v>46064</v>
      </c>
      <c r="E1052" s="230" t="str">
        <f>Table3.110[[#This Row],[Requisitioner]]</f>
        <v>Genbank</v>
      </c>
      <c r="F1052" s="230" t="str">
        <f>Table3.110[[#This Row],[Gene Bank ID]]</f>
        <v>CIAT17514</v>
      </c>
      <c r="G1052" s="230" t="str">
        <f>Table3.110[[#This Row],[Genus]]</f>
        <v>Mimosa</v>
      </c>
      <c r="H1052" s="230" t="str">
        <f>Table3.110[[#This Row],[Species]]</f>
        <v>pudica</v>
      </c>
      <c r="I1052" s="230" t="str">
        <f>Table3.110[[#This Row],[Tax Name]]</f>
        <v>Mimosa pudica</v>
      </c>
      <c r="J1052" s="230" t="str">
        <f>Table3.110[[#This Row],[Family]]</f>
        <v>Fabaceae</v>
      </c>
      <c r="K1052" s="230" t="str">
        <f>Table3.110[[#This Row],[Order]]</f>
        <v>Fabales</v>
      </c>
      <c r="L1052" s="230" t="str">
        <f>Table3.110[[#This Row],[Functional Group]]</f>
        <v>Shurb_Tree</v>
      </c>
      <c r="M1052" s="230" t="str">
        <f>Table3.110[[#This Row],[CIAT ID]]</f>
        <v>F260035</v>
      </c>
      <c r="N1052" s="230">
        <f>Table3.110[[#This Row],[Set CIAT]]</f>
        <v>30</v>
      </c>
      <c r="O1052" s="230">
        <f>Table3.110[[#This Row],[Batch]]</f>
        <v>64</v>
      </c>
      <c r="P1052" s="230">
        <f>Table3.110[[#This Row],[Run]]</f>
        <v>1</v>
      </c>
      <c r="Q1052" s="230">
        <f>Table3.110[[#This Row],[Replication]]</f>
        <v>1</v>
      </c>
      <c r="R1052" s="230">
        <f>Table3.110[[#This Row],[Syrange No]]</f>
        <v>176</v>
      </c>
      <c r="S1052" s="250">
        <v>0.59299999999999997</v>
      </c>
      <c r="T1052" s="250">
        <v>0.9627</v>
      </c>
      <c r="U1052" s="265"/>
      <c r="V1052" s="283">
        <f t="shared" si="96"/>
        <v>0.36970000000000003</v>
      </c>
      <c r="W1052" s="61">
        <f>Table3.110[[#This Row],[DM Incubated, mg]]-('3.2 Digest'!V1052*1000)</f>
        <v>112.57582118440791</v>
      </c>
      <c r="X1052" s="61">
        <f>W1052/Table3.110[[#This Row],[DM Incubated, mg]]*100</f>
        <v>23.342621844059288</v>
      </c>
      <c r="Y1052" s="31">
        <f>Table3.110[[#This Row],[DM Incubated, mg]]*'2.4 NDF'!R285/100</f>
        <v>286.42678911843007</v>
      </c>
      <c r="Z1052" s="61">
        <f t="shared" si="98"/>
        <v>-83.27321088156998</v>
      </c>
      <c r="AA1052" s="61">
        <f t="shared" si="99"/>
        <v>-29.073122363264236</v>
      </c>
      <c r="AB1052" s="6"/>
    </row>
    <row r="1053" spans="2:28" x14ac:dyDescent="0.35">
      <c r="B1053" s="230">
        <f t="shared" si="97"/>
        <v>1043</v>
      </c>
      <c r="C1053" s="9"/>
      <c r="D1053" s="248">
        <f>Table3.110[[#This Row],[Date]]</f>
        <v>46064</v>
      </c>
      <c r="E1053" s="230" t="str">
        <f>Table3.110[[#This Row],[Requisitioner]]</f>
        <v>Genbank</v>
      </c>
      <c r="F1053" s="230" t="str">
        <f>Table3.110[[#This Row],[Gene Bank ID]]</f>
        <v>CIAT17514</v>
      </c>
      <c r="G1053" s="230" t="str">
        <f>Table3.110[[#This Row],[Genus]]</f>
        <v>Mimosa</v>
      </c>
      <c r="H1053" s="230" t="str">
        <f>Table3.110[[#This Row],[Species]]</f>
        <v>pudica</v>
      </c>
      <c r="I1053" s="230" t="str">
        <f>Table3.110[[#This Row],[Tax Name]]</f>
        <v>Mimosa pudica</v>
      </c>
      <c r="J1053" s="230" t="str">
        <f>Table3.110[[#This Row],[Family]]</f>
        <v>Fabaceae</v>
      </c>
      <c r="K1053" s="230" t="str">
        <f>Table3.110[[#This Row],[Order]]</f>
        <v>Fabales</v>
      </c>
      <c r="L1053" s="230" t="str">
        <f>Table3.110[[#This Row],[Functional Group]]</f>
        <v>Shurb_Tree</v>
      </c>
      <c r="M1053" s="230" t="str">
        <f>Table3.110[[#This Row],[CIAT ID]]</f>
        <v>F260035</v>
      </c>
      <c r="N1053" s="230">
        <f>Table3.110[[#This Row],[Set CIAT]]</f>
        <v>30</v>
      </c>
      <c r="O1053" s="230">
        <f>Table3.110[[#This Row],[Batch]]</f>
        <v>64</v>
      </c>
      <c r="P1053" s="230">
        <f>Table3.110[[#This Row],[Run]]</f>
        <v>1</v>
      </c>
      <c r="Q1053" s="230">
        <f>Table3.110[[#This Row],[Replication]]</f>
        <v>2</v>
      </c>
      <c r="R1053" s="230">
        <f>Table3.110[[#This Row],[Syrange No]]</f>
        <v>177</v>
      </c>
      <c r="S1053" s="98">
        <v>0.5696</v>
      </c>
      <c r="T1053" s="98">
        <v>0.9345</v>
      </c>
      <c r="U1053" s="110"/>
      <c r="V1053" s="283">
        <f t="shared" si="96"/>
        <v>0.3649</v>
      </c>
      <c r="W1053" s="61">
        <f>Table3.110[[#This Row],[DM Incubated, mg]]-('3.2 Digest'!V1053*1000)</f>
        <v>117.47225706146952</v>
      </c>
      <c r="X1053" s="61">
        <f>W1053/Table3.110[[#This Row],[DM Incubated, mg]]*100</f>
        <v>24.353029292582189</v>
      </c>
      <c r="Y1053" s="31">
        <f>Table3.110[[#This Row],[DM Incubated, mg]]*'2.4 NDF'!R285/100</f>
        <v>286.48406302147322</v>
      </c>
      <c r="Z1053" s="61">
        <f t="shared" si="98"/>
        <v>-78.415936978526759</v>
      </c>
      <c r="AA1053" s="61">
        <f t="shared" si="99"/>
        <v>-27.371832189020978</v>
      </c>
      <c r="AB1053" s="6"/>
    </row>
    <row r="1054" spans="2:28" x14ac:dyDescent="0.35">
      <c r="B1054" s="230">
        <f t="shared" si="97"/>
        <v>1044</v>
      </c>
      <c r="C1054" s="9"/>
      <c r="D1054" s="248">
        <f>Table3.110[[#This Row],[Date]]</f>
        <v>46064</v>
      </c>
      <c r="E1054" s="230" t="str">
        <f>Table3.110[[#This Row],[Requisitioner]]</f>
        <v>Genbank</v>
      </c>
      <c r="F1054" s="230" t="str">
        <f>Table3.110[[#This Row],[Gene Bank ID]]</f>
        <v>CIAT17514</v>
      </c>
      <c r="G1054" s="230" t="str">
        <f>Table3.110[[#This Row],[Genus]]</f>
        <v>Mimosa</v>
      </c>
      <c r="H1054" s="230" t="str">
        <f>Table3.110[[#This Row],[Species]]</f>
        <v>pudica</v>
      </c>
      <c r="I1054" s="230" t="str">
        <f>Table3.110[[#This Row],[Tax Name]]</f>
        <v>Mimosa pudica</v>
      </c>
      <c r="J1054" s="230" t="str">
        <f>Table3.110[[#This Row],[Family]]</f>
        <v>Fabaceae</v>
      </c>
      <c r="K1054" s="230" t="str">
        <f>Table3.110[[#This Row],[Order]]</f>
        <v>Fabales</v>
      </c>
      <c r="L1054" s="230" t="str">
        <f>Table3.110[[#This Row],[Functional Group]]</f>
        <v>Shurb_Tree</v>
      </c>
      <c r="M1054" s="230" t="str">
        <f>Table3.110[[#This Row],[CIAT ID]]</f>
        <v>F260035</v>
      </c>
      <c r="N1054" s="230">
        <f>Table3.110[[#This Row],[Set CIAT]]</f>
        <v>30</v>
      </c>
      <c r="O1054" s="230">
        <f>Table3.110[[#This Row],[Batch]]</f>
        <v>64</v>
      </c>
      <c r="P1054" s="230">
        <f>Table3.110[[#This Row],[Run]]</f>
        <v>1</v>
      </c>
      <c r="Q1054" s="230">
        <f>Table3.110[[#This Row],[Replication]]</f>
        <v>3</v>
      </c>
      <c r="R1054" s="230">
        <f>Table3.110[[#This Row],[Syrange No]]</f>
        <v>178</v>
      </c>
      <c r="S1054" s="250">
        <v>0.59089999999999998</v>
      </c>
      <c r="T1054" s="250">
        <v>0.89200000000000002</v>
      </c>
      <c r="U1054" s="265"/>
      <c r="V1054" s="283">
        <f t="shared" si="96"/>
        <v>0.30110000000000003</v>
      </c>
      <c r="W1054" s="61">
        <f>Table3.110[[#This Row],[DM Incubated, mg]]-('3.2 Digest'!V1054*1000)</f>
        <v>181.46512881559238</v>
      </c>
      <c r="X1054" s="61">
        <f>W1054/Table3.110[[#This Row],[DM Incubated, mg]]*100</f>
        <v>37.604277221808438</v>
      </c>
      <c r="Y1054" s="302">
        <f>Table3.110[[#This Row],[DM Incubated, mg]]*'2.4 NDF'!R285/100</f>
        <v>286.5986108275593</v>
      </c>
      <c r="Z1054" s="61">
        <f t="shared" si="98"/>
        <v>-14.501389172440724</v>
      </c>
      <c r="AA1054" s="61">
        <f t="shared" si="99"/>
        <v>-5.059825353154249</v>
      </c>
      <c r="AB1054" s="6"/>
    </row>
    <row r="1055" spans="2:28" x14ac:dyDescent="0.35">
      <c r="B1055" s="230">
        <f t="shared" si="97"/>
        <v>1045</v>
      </c>
      <c r="C1055" s="9"/>
      <c r="D1055" s="248">
        <f>Table3.110[[#This Row],[Date]]</f>
        <v>46064</v>
      </c>
      <c r="E1055" s="230" t="str">
        <f>Table3.110[[#This Row],[Requisitioner]]</f>
        <v>Genbank</v>
      </c>
      <c r="F1055" s="230" t="str">
        <f>Table3.110[[#This Row],[Gene Bank ID]]</f>
        <v>CIAT17725</v>
      </c>
      <c r="G1055" s="230" t="str">
        <f>Table3.110[[#This Row],[Genus]]</f>
        <v>Mimosa</v>
      </c>
      <c r="H1055" s="230" t="str">
        <f>Table3.110[[#This Row],[Species]]</f>
        <v>polycarpa</v>
      </c>
      <c r="I1055" s="230" t="str">
        <f>Table3.110[[#This Row],[Tax Name]]</f>
        <v>Mimosa polycarpa</v>
      </c>
      <c r="J1055" s="230" t="str">
        <f>Table3.110[[#This Row],[Family]]</f>
        <v>Fabaceae</v>
      </c>
      <c r="K1055" s="230" t="str">
        <f>Table3.110[[#This Row],[Order]]</f>
        <v>Fabales</v>
      </c>
      <c r="L1055" s="230" t="str">
        <f>Table3.110[[#This Row],[Functional Group]]</f>
        <v>Shurb_Tree</v>
      </c>
      <c r="M1055" s="230" t="str">
        <f>Table3.110[[#This Row],[CIAT ID]]</f>
        <v>F260036</v>
      </c>
      <c r="N1055" s="230">
        <f>Table3.110[[#This Row],[Set CIAT]]</f>
        <v>30</v>
      </c>
      <c r="O1055" s="230">
        <f>Table3.110[[#This Row],[Batch]]</f>
        <v>64</v>
      </c>
      <c r="P1055" s="230">
        <f>Table3.110[[#This Row],[Run]]</f>
        <v>1</v>
      </c>
      <c r="Q1055" s="230">
        <f>Table3.110[[#This Row],[Replication]]</f>
        <v>1</v>
      </c>
      <c r="R1055" s="230">
        <f>Table3.110[[#This Row],[Syrange No]]</f>
        <v>179</v>
      </c>
      <c r="S1055" s="98">
        <v>0.57120000000000004</v>
      </c>
      <c r="T1055" s="98">
        <v>0.89780000000000004</v>
      </c>
      <c r="U1055" s="110"/>
      <c r="V1055" s="283">
        <f t="shared" si="96"/>
        <v>0.3266</v>
      </c>
      <c r="W1055" s="61">
        <f>Table3.110[[#This Row],[DM Incubated, mg]]-('3.2 Digest'!V1055*1000)</f>
        <v>151.73586433505767</v>
      </c>
      <c r="X1055" s="61">
        <f>W1055/Table3.110[[#This Row],[DM Incubated, mg]]*100</f>
        <v>31.721615636324511</v>
      </c>
      <c r="Y1055" s="31">
        <f>Table3.110[[#This Row],[DM Incubated, mg]]*'2.4 NDF'!R287/100</f>
        <v>292.18679277481618</v>
      </c>
      <c r="Z1055" s="61">
        <f t="shared" si="98"/>
        <v>-34.413207225183839</v>
      </c>
      <c r="AA1055" s="61">
        <f t="shared" si="99"/>
        <v>-11.777810659534349</v>
      </c>
      <c r="AB1055" s="6"/>
    </row>
    <row r="1056" spans="2:28" x14ac:dyDescent="0.35">
      <c r="B1056" s="230">
        <f t="shared" si="97"/>
        <v>1046</v>
      </c>
      <c r="C1056" s="9"/>
      <c r="D1056" s="248">
        <f>Table3.110[[#This Row],[Date]]</f>
        <v>46064</v>
      </c>
      <c r="E1056" s="230" t="str">
        <f>Table3.110[[#This Row],[Requisitioner]]</f>
        <v>Genbank</v>
      </c>
      <c r="F1056" s="230" t="str">
        <f>Table3.110[[#This Row],[Gene Bank ID]]</f>
        <v>CIAT17725</v>
      </c>
      <c r="G1056" s="230" t="str">
        <f>Table3.110[[#This Row],[Genus]]</f>
        <v>Mimosa</v>
      </c>
      <c r="H1056" s="230" t="str">
        <f>Table3.110[[#This Row],[Species]]</f>
        <v>polycarpa</v>
      </c>
      <c r="I1056" s="230" t="str">
        <f>Table3.110[[#This Row],[Tax Name]]</f>
        <v>Mimosa polycarpa</v>
      </c>
      <c r="J1056" s="230" t="str">
        <f>Table3.110[[#This Row],[Family]]</f>
        <v>Fabaceae</v>
      </c>
      <c r="K1056" s="230" t="str">
        <f>Table3.110[[#This Row],[Order]]</f>
        <v>Fabales</v>
      </c>
      <c r="L1056" s="230" t="str">
        <f>Table3.110[[#This Row],[Functional Group]]</f>
        <v>Shurb_Tree</v>
      </c>
      <c r="M1056" s="230" t="str">
        <f>Table3.110[[#This Row],[CIAT ID]]</f>
        <v>F260036</v>
      </c>
      <c r="N1056" s="230">
        <f>Table3.110[[#This Row],[Set CIAT]]</f>
        <v>30</v>
      </c>
      <c r="O1056" s="230">
        <f>Table3.110[[#This Row],[Batch]]</f>
        <v>64</v>
      </c>
      <c r="P1056" s="230">
        <f>Table3.110[[#This Row],[Run]]</f>
        <v>1</v>
      </c>
      <c r="Q1056" s="230">
        <f>Table3.110[[#This Row],[Replication]]</f>
        <v>2</v>
      </c>
      <c r="R1056" s="230">
        <f>Table3.110[[#This Row],[Syrange No]]</f>
        <v>180</v>
      </c>
      <c r="S1056" s="250">
        <v>0.59499999999999997</v>
      </c>
      <c r="T1056" s="250">
        <v>0.90410000000000001</v>
      </c>
      <c r="U1056" s="265"/>
      <c r="V1056" s="283">
        <f t="shared" si="96"/>
        <v>0.30910000000000004</v>
      </c>
      <c r="W1056" s="61">
        <f>Table3.110[[#This Row],[DM Incubated, mg]]-('3.2 Digest'!V1056*1000)</f>
        <v>169.33153150792469</v>
      </c>
      <c r="X1056" s="61">
        <f>W1056/Table3.110[[#This Row],[DM Incubated, mg]]*100</f>
        <v>35.393054252553988</v>
      </c>
      <c r="Y1056" s="31">
        <f>Table3.110[[#This Row],[DM Incubated, mg]]*'2.4 NDF'!R287/100</f>
        <v>292.24523013337114</v>
      </c>
      <c r="Z1056" s="61">
        <f t="shared" si="98"/>
        <v>-16.854769866628885</v>
      </c>
      <c r="AA1056" s="61">
        <f t="shared" si="99"/>
        <v>-5.7673378822767862</v>
      </c>
      <c r="AB1056" s="6"/>
    </row>
    <row r="1057" spans="2:28" x14ac:dyDescent="0.35">
      <c r="B1057" s="230">
        <f t="shared" si="97"/>
        <v>1047</v>
      </c>
      <c r="C1057" s="9"/>
      <c r="D1057" s="248">
        <f>Table3.110[[#This Row],[Date]]</f>
        <v>46064</v>
      </c>
      <c r="E1057" s="230" t="str">
        <f>Table3.110[[#This Row],[Requisitioner]]</f>
        <v>Genbank</v>
      </c>
      <c r="F1057" s="230" t="str">
        <f>Table3.110[[#This Row],[Gene Bank ID]]</f>
        <v>CIAT17725</v>
      </c>
      <c r="G1057" s="230" t="str">
        <f>Table3.110[[#This Row],[Genus]]</f>
        <v>Mimosa</v>
      </c>
      <c r="H1057" s="230" t="str">
        <f>Table3.110[[#This Row],[Species]]</f>
        <v>polycarpa</v>
      </c>
      <c r="I1057" s="230" t="str">
        <f>Table3.110[[#This Row],[Tax Name]]</f>
        <v>Mimosa polycarpa</v>
      </c>
      <c r="J1057" s="230" t="str">
        <f>Table3.110[[#This Row],[Family]]</f>
        <v>Fabaceae</v>
      </c>
      <c r="K1057" s="230" t="str">
        <f>Table3.110[[#This Row],[Order]]</f>
        <v>Fabales</v>
      </c>
      <c r="L1057" s="230" t="str">
        <f>Table3.110[[#This Row],[Functional Group]]</f>
        <v>Shurb_Tree</v>
      </c>
      <c r="M1057" s="230" t="str">
        <f>Table3.110[[#This Row],[CIAT ID]]</f>
        <v>F260036</v>
      </c>
      <c r="N1057" s="230">
        <f>Table3.110[[#This Row],[Set CIAT]]</f>
        <v>30</v>
      </c>
      <c r="O1057" s="230">
        <f>Table3.110[[#This Row],[Batch]]</f>
        <v>64</v>
      </c>
      <c r="P1057" s="230">
        <f>Table3.110[[#This Row],[Run]]</f>
        <v>1</v>
      </c>
      <c r="Q1057" s="230">
        <f>Table3.110[[#This Row],[Replication]]</f>
        <v>3</v>
      </c>
      <c r="R1057" s="230">
        <f>Table3.110[[#This Row],[Syrange No]]</f>
        <v>181</v>
      </c>
      <c r="S1057" s="98">
        <v>0.57130000000000003</v>
      </c>
      <c r="T1057" s="98">
        <v>0.9607</v>
      </c>
      <c r="U1057" s="110"/>
      <c r="V1057" s="283">
        <f t="shared" si="96"/>
        <v>0.38939999999999997</v>
      </c>
      <c r="W1057" s="61">
        <f>Table3.110[[#This Row],[DM Incubated, mg]]-('3.2 Digest'!V1057*1000)</f>
        <v>89.318533026525756</v>
      </c>
      <c r="X1057" s="61">
        <f>W1057/Table3.110[[#This Row],[DM Incubated, mg]]*100</f>
        <v>18.657838973110451</v>
      </c>
      <c r="Y1057" s="302">
        <f>Table3.110[[#This Row],[DM Incubated, mg]]*'2.4 NDF'!R287/100</f>
        <v>292.42054220903606</v>
      </c>
      <c r="Z1057" s="61">
        <f t="shared" si="98"/>
        <v>-96.97945779096392</v>
      </c>
      <c r="AA1057" s="61">
        <f t="shared" si="99"/>
        <v>-33.164379307401191</v>
      </c>
      <c r="AB1057" s="6"/>
    </row>
    <row r="1058" spans="2:28" x14ac:dyDescent="0.35">
      <c r="B1058" s="230">
        <f t="shared" si="97"/>
        <v>1048</v>
      </c>
      <c r="C1058" s="9"/>
      <c r="D1058" s="248">
        <f>Table3.110[[#This Row],[Date]]</f>
        <v>46064</v>
      </c>
      <c r="E1058" s="230" t="str">
        <f>Table3.110[[#This Row],[Requisitioner]]</f>
        <v>Genbank</v>
      </c>
      <c r="F1058" s="230" t="str">
        <f>Table3.110[[#This Row],[Gene Bank ID]]</f>
        <v>CIAT18947</v>
      </c>
      <c r="G1058" s="230" t="str">
        <f>Table3.110[[#This Row],[Genus]]</f>
        <v>Sesbania</v>
      </c>
      <c r="H1058" s="230" t="str">
        <f>Table3.110[[#This Row],[Species]]</f>
        <v>sesban</v>
      </c>
      <c r="I1058" s="230" t="str">
        <f>Table3.110[[#This Row],[Tax Name]]</f>
        <v>Sesbania sesban</v>
      </c>
      <c r="J1058" s="230" t="str">
        <f>Table3.110[[#This Row],[Family]]</f>
        <v>Fabaceae</v>
      </c>
      <c r="K1058" s="230" t="str">
        <f>Table3.110[[#This Row],[Order]]</f>
        <v>Fabales</v>
      </c>
      <c r="L1058" s="230" t="str">
        <f>Table3.110[[#This Row],[Functional Group]]</f>
        <v>Shurb_Tree</v>
      </c>
      <c r="M1058" s="230" t="str">
        <f>Table3.110[[#This Row],[CIAT ID]]</f>
        <v>F260037</v>
      </c>
      <c r="N1058" s="230">
        <f>Table3.110[[#This Row],[Set CIAT]]</f>
        <v>30</v>
      </c>
      <c r="O1058" s="230">
        <f>Table3.110[[#This Row],[Batch]]</f>
        <v>64</v>
      </c>
      <c r="P1058" s="230">
        <f>Table3.110[[#This Row],[Run]]</f>
        <v>1</v>
      </c>
      <c r="Q1058" s="230">
        <f>Table3.110[[#This Row],[Replication]]</f>
        <v>1</v>
      </c>
      <c r="R1058" s="230">
        <f>Table3.110[[#This Row],[Syrange No]]</f>
        <v>182</v>
      </c>
      <c r="S1058" s="250">
        <v>0.55940000000000001</v>
      </c>
      <c r="T1058" s="250">
        <v>0.86370000000000002</v>
      </c>
      <c r="U1058" s="265"/>
      <c r="V1058" s="283">
        <f t="shared" si="96"/>
        <v>0.30430000000000001</v>
      </c>
      <c r="W1058" s="61">
        <f>Table3.110[[#This Row],[DM Incubated, mg]]-('3.2 Digest'!V1058*1000)</f>
        <v>173.58196273490609</v>
      </c>
      <c r="X1058" s="61">
        <f>W1058/Table3.110[[#This Row],[DM Incubated, mg]]*100</f>
        <v>36.323187789198194</v>
      </c>
      <c r="Y1058" s="31">
        <f>Table3.110[[#This Row],[DM Incubated, mg]]*'2.4 NDF'!R289/100</f>
        <v>219.84683534461576</v>
      </c>
      <c r="Z1058" s="61">
        <f t="shared" si="98"/>
        <v>-84.453164655384256</v>
      </c>
      <c r="AA1058" s="61">
        <f t="shared" si="99"/>
        <v>-38.41454643775139</v>
      </c>
      <c r="AB1058" s="6"/>
    </row>
    <row r="1059" spans="2:28" x14ac:dyDescent="0.35">
      <c r="B1059" s="230">
        <f t="shared" si="97"/>
        <v>1049</v>
      </c>
      <c r="C1059" s="9"/>
      <c r="D1059" s="248">
        <f>Table3.110[[#This Row],[Date]]</f>
        <v>46064</v>
      </c>
      <c r="E1059" s="230" t="str">
        <f>Table3.110[[#This Row],[Requisitioner]]</f>
        <v>Genbank</v>
      </c>
      <c r="F1059" s="230" t="str">
        <f>Table3.110[[#This Row],[Gene Bank ID]]</f>
        <v>CIAT18947</v>
      </c>
      <c r="G1059" s="230" t="str">
        <f>Table3.110[[#This Row],[Genus]]</f>
        <v>Sesbania</v>
      </c>
      <c r="H1059" s="230" t="str">
        <f>Table3.110[[#This Row],[Species]]</f>
        <v>sesban</v>
      </c>
      <c r="I1059" s="230" t="str">
        <f>Table3.110[[#This Row],[Tax Name]]</f>
        <v>Sesbania sesban</v>
      </c>
      <c r="J1059" s="230" t="str">
        <f>Table3.110[[#This Row],[Family]]</f>
        <v>Fabaceae</v>
      </c>
      <c r="K1059" s="230" t="str">
        <f>Table3.110[[#This Row],[Order]]</f>
        <v>Fabales</v>
      </c>
      <c r="L1059" s="230" t="str">
        <f>Table3.110[[#This Row],[Functional Group]]</f>
        <v>Shurb_Tree</v>
      </c>
      <c r="M1059" s="230" t="str">
        <f>Table3.110[[#This Row],[CIAT ID]]</f>
        <v>F260037</v>
      </c>
      <c r="N1059" s="230">
        <f>Table3.110[[#This Row],[Set CIAT]]</f>
        <v>30</v>
      </c>
      <c r="O1059" s="230">
        <f>Table3.110[[#This Row],[Batch]]</f>
        <v>64</v>
      </c>
      <c r="P1059" s="230">
        <f>Table3.110[[#This Row],[Run]]</f>
        <v>1</v>
      </c>
      <c r="Q1059" s="230">
        <f>Table3.110[[#This Row],[Replication]]</f>
        <v>2</v>
      </c>
      <c r="R1059" s="230">
        <f>Table3.110[[#This Row],[Syrange No]]</f>
        <v>183</v>
      </c>
      <c r="S1059" s="98">
        <v>0.58730000000000004</v>
      </c>
      <c r="T1059" s="98">
        <v>0.80979999999999996</v>
      </c>
      <c r="U1059" s="110"/>
      <c r="V1059" s="283">
        <f t="shared" si="96"/>
        <v>0.22249999999999992</v>
      </c>
      <c r="W1059" s="61">
        <f>Table3.110[[#This Row],[DM Incubated, mg]]-('3.2 Digest'!V1059*1000)</f>
        <v>254.90455817672947</v>
      </c>
      <c r="X1059" s="61">
        <f>W1059/Table3.110[[#This Row],[DM Incubated, mg]]*100</f>
        <v>53.393825804731186</v>
      </c>
      <c r="Y1059" s="302">
        <f>Table3.110[[#This Row],[DM Incubated, mg]]*'2.4 NDF'!R289/100</f>
        <v>219.62720813647928</v>
      </c>
      <c r="Z1059" s="61">
        <f t="shared" si="98"/>
        <v>-2.8727918635206322</v>
      </c>
      <c r="AA1059" s="61">
        <f t="shared" si="99"/>
        <v>-1.3080309529479794</v>
      </c>
      <c r="AB1059" s="6"/>
    </row>
    <row r="1060" spans="2:28" x14ac:dyDescent="0.35">
      <c r="B1060" s="230">
        <f t="shared" si="97"/>
        <v>1050</v>
      </c>
      <c r="C1060" s="9"/>
      <c r="D1060" s="248">
        <f>Table3.110[[#This Row],[Date]]</f>
        <v>46064</v>
      </c>
      <c r="E1060" s="230" t="str">
        <f>Table3.110[[#This Row],[Requisitioner]]</f>
        <v>Genbank</v>
      </c>
      <c r="F1060" s="230" t="str">
        <f>Table3.110[[#This Row],[Gene Bank ID]]</f>
        <v>CIAT18947</v>
      </c>
      <c r="G1060" s="230" t="str">
        <f>Table3.110[[#This Row],[Genus]]</f>
        <v>Sesbania</v>
      </c>
      <c r="H1060" s="230" t="str">
        <f>Table3.110[[#This Row],[Species]]</f>
        <v>sesban</v>
      </c>
      <c r="I1060" s="230" t="str">
        <f>Table3.110[[#This Row],[Tax Name]]</f>
        <v>Sesbania sesban</v>
      </c>
      <c r="J1060" s="230" t="str">
        <f>Table3.110[[#This Row],[Family]]</f>
        <v>Fabaceae</v>
      </c>
      <c r="K1060" s="230" t="str">
        <f>Table3.110[[#This Row],[Order]]</f>
        <v>Fabales</v>
      </c>
      <c r="L1060" s="230" t="str">
        <f>Table3.110[[#This Row],[Functional Group]]</f>
        <v>Shurb_Tree</v>
      </c>
      <c r="M1060" s="230" t="str">
        <f>Table3.110[[#This Row],[CIAT ID]]</f>
        <v>F260037</v>
      </c>
      <c r="N1060" s="230">
        <f>Table3.110[[#This Row],[Set CIAT]]</f>
        <v>30</v>
      </c>
      <c r="O1060" s="230">
        <f>Table3.110[[#This Row],[Batch]]</f>
        <v>64</v>
      </c>
      <c r="P1060" s="230">
        <f>Table3.110[[#This Row],[Run]]</f>
        <v>1</v>
      </c>
      <c r="Q1060" s="230">
        <f>Table3.110[[#This Row],[Replication]]</f>
        <v>3</v>
      </c>
      <c r="R1060" s="230">
        <f>Table3.110[[#This Row],[Syrange No]]</f>
        <v>184</v>
      </c>
      <c r="S1060" s="250">
        <v>0.60089999999999999</v>
      </c>
      <c r="T1060" s="250">
        <v>0.81730000000000003</v>
      </c>
      <c r="U1060" s="265"/>
      <c r="V1060" s="283">
        <f t="shared" si="96"/>
        <v>0.21640000000000004</v>
      </c>
      <c r="W1060" s="61">
        <f>Table3.110[[#This Row],[DM Incubated, mg]]-('3.2 Digest'!V1060*1000)</f>
        <v>261.10003908836467</v>
      </c>
      <c r="X1060" s="61">
        <f>W1060/Table3.110[[#This Row],[DM Incubated, mg]]*100</f>
        <v>54.680631982115145</v>
      </c>
      <c r="Y1060" s="302">
        <f>Table3.110[[#This Row],[DM Incubated, mg]]*'2.4 NDF'!R289/100</f>
        <v>219.67113357810658</v>
      </c>
      <c r="Z1060" s="61">
        <f t="shared" si="98"/>
        <v>3.2711335781065429</v>
      </c>
      <c r="AA1060" s="61">
        <f t="shared" si="99"/>
        <v>1.4891048836616734</v>
      </c>
      <c r="AB1060" s="6"/>
    </row>
    <row r="1061" spans="2:28" x14ac:dyDescent="0.35">
      <c r="B1061" s="230">
        <f t="shared" si="97"/>
        <v>1051</v>
      </c>
      <c r="C1061" s="9"/>
      <c r="D1061" s="248">
        <f>Table3.110[[#This Row],[Date]]</f>
        <v>46064</v>
      </c>
      <c r="E1061" s="230" t="str">
        <f>Table3.110[[#This Row],[Requisitioner]]</f>
        <v>Genbank</v>
      </c>
      <c r="F1061" s="230" t="str">
        <f>Table3.110[[#This Row],[Gene Bank ID]]</f>
        <v>CIAT19165</v>
      </c>
      <c r="G1061" s="230" t="str">
        <f>Table3.110[[#This Row],[Genus]]</f>
        <v>Sesbania</v>
      </c>
      <c r="H1061" s="230" t="str">
        <f>Table3.110[[#This Row],[Species]]</f>
        <v>keniensis</v>
      </c>
      <c r="I1061" s="230" t="str">
        <f>Table3.110[[#This Row],[Tax Name]]</f>
        <v>Sesbania keniensis</v>
      </c>
      <c r="J1061" s="230" t="str">
        <f>Table3.110[[#This Row],[Family]]</f>
        <v>Fabaceae</v>
      </c>
      <c r="K1061" s="230" t="str">
        <f>Table3.110[[#This Row],[Order]]</f>
        <v>Fabales</v>
      </c>
      <c r="L1061" s="230" t="str">
        <f>Table3.110[[#This Row],[Functional Group]]</f>
        <v>Shurb_Tree</v>
      </c>
      <c r="M1061" s="230" t="str">
        <f>Table3.110[[#This Row],[CIAT ID]]</f>
        <v>F260038</v>
      </c>
      <c r="N1061" s="230">
        <f>Table3.110[[#This Row],[Set CIAT]]</f>
        <v>30</v>
      </c>
      <c r="O1061" s="230">
        <f>Table3.110[[#This Row],[Batch]]</f>
        <v>64</v>
      </c>
      <c r="P1061" s="230">
        <f>Table3.110[[#This Row],[Run]]</f>
        <v>1</v>
      </c>
      <c r="Q1061" s="230">
        <f>Table3.110[[#This Row],[Replication]]</f>
        <v>1</v>
      </c>
      <c r="R1061" s="230">
        <f>Table3.110[[#This Row],[Syrange No]]</f>
        <v>185</v>
      </c>
      <c r="S1061" s="98">
        <v>0.57420000000000004</v>
      </c>
      <c r="T1061" s="98">
        <v>0.80859999999999999</v>
      </c>
      <c r="U1061" s="110"/>
      <c r="V1061" s="283">
        <f t="shared" si="96"/>
        <v>0.23439999999999994</v>
      </c>
      <c r="W1061" s="61">
        <f>Table3.110[[#This Row],[DM Incubated, mg]]-('3.2 Digest'!V1061*1000)</f>
        <v>247.80799636167498</v>
      </c>
      <c r="X1061" s="61">
        <f>W1061/Table3.110[[#This Row],[DM Incubated, mg]]*100</f>
        <v>51.390271051376189</v>
      </c>
      <c r="Y1061" s="31">
        <f>Table3.110[[#This Row],[DM Incubated, mg]]*'2.4 NDF'!R291/100</f>
        <v>243.05016222944593</v>
      </c>
      <c r="Z1061" s="61">
        <f t="shared" si="98"/>
        <v>8.6501622294459821</v>
      </c>
      <c r="AA1061" s="61">
        <f t="shared" si="99"/>
        <v>3.559002861837218</v>
      </c>
      <c r="AB1061" s="6"/>
    </row>
    <row r="1062" spans="2:28" x14ac:dyDescent="0.35">
      <c r="B1062" s="230">
        <f t="shared" si="97"/>
        <v>1052</v>
      </c>
      <c r="C1062" s="9"/>
      <c r="D1062" s="248">
        <f>Table3.110[[#This Row],[Date]]</f>
        <v>46064</v>
      </c>
      <c r="E1062" s="230" t="str">
        <f>Table3.110[[#This Row],[Requisitioner]]</f>
        <v>Genbank</v>
      </c>
      <c r="F1062" s="230" t="str">
        <f>Table3.110[[#This Row],[Gene Bank ID]]</f>
        <v>CIAT19165</v>
      </c>
      <c r="G1062" s="230" t="str">
        <f>Table3.110[[#This Row],[Genus]]</f>
        <v>Sesbania</v>
      </c>
      <c r="H1062" s="230" t="str">
        <f>Table3.110[[#This Row],[Species]]</f>
        <v>keniensis</v>
      </c>
      <c r="I1062" s="230" t="str">
        <f>Table3.110[[#This Row],[Tax Name]]</f>
        <v>Sesbania keniensis</v>
      </c>
      <c r="J1062" s="230" t="str">
        <f>Table3.110[[#This Row],[Family]]</f>
        <v>Fabaceae</v>
      </c>
      <c r="K1062" s="230" t="str">
        <f>Table3.110[[#This Row],[Order]]</f>
        <v>Fabales</v>
      </c>
      <c r="L1062" s="230" t="str">
        <f>Table3.110[[#This Row],[Functional Group]]</f>
        <v>Shurb_Tree</v>
      </c>
      <c r="M1062" s="230" t="str">
        <f>Table3.110[[#This Row],[CIAT ID]]</f>
        <v>F260038</v>
      </c>
      <c r="N1062" s="230">
        <f>Table3.110[[#This Row],[Set CIAT]]</f>
        <v>30</v>
      </c>
      <c r="O1062" s="230">
        <f>Table3.110[[#This Row],[Batch]]</f>
        <v>64</v>
      </c>
      <c r="P1062" s="230">
        <f>Table3.110[[#This Row],[Run]]</f>
        <v>1</v>
      </c>
      <c r="Q1062" s="230">
        <f>Table3.110[[#This Row],[Replication]]</f>
        <v>2</v>
      </c>
      <c r="R1062" s="230">
        <f>Table3.110[[#This Row],[Syrange No]]</f>
        <v>186</v>
      </c>
      <c r="S1062" s="250">
        <v>0.56379999999999997</v>
      </c>
      <c r="T1062" s="250">
        <v>0.80810000000000004</v>
      </c>
      <c r="U1062" s="265"/>
      <c r="V1062" s="283">
        <f t="shared" si="96"/>
        <v>0.24430000000000007</v>
      </c>
      <c r="W1062" s="61">
        <f>Table3.110[[#This Row],[DM Incubated, mg]]-('3.2 Digest'!V1062*1000)</f>
        <v>238.29376275876416</v>
      </c>
      <c r="X1062" s="61">
        <f>W1062/Table3.110[[#This Row],[DM Incubated, mg]]*100</f>
        <v>49.377712922883518</v>
      </c>
      <c r="Y1062" s="302">
        <f>Table3.110[[#This Row],[DM Incubated, mg]]*'2.4 NDF'!R291/100</f>
        <v>243.24460235922948</v>
      </c>
      <c r="Z1062" s="61">
        <f t="shared" si="98"/>
        <v>-1.0553976407705932</v>
      </c>
      <c r="AA1062" s="61">
        <f t="shared" si="99"/>
        <v>-0.43388327244851116</v>
      </c>
      <c r="AB1062" s="6"/>
    </row>
    <row r="1063" spans="2:28" x14ac:dyDescent="0.35">
      <c r="B1063" s="230">
        <f t="shared" si="97"/>
        <v>1053</v>
      </c>
      <c r="C1063" s="9"/>
      <c r="D1063" s="248">
        <f>Table3.110[[#This Row],[Date]]</f>
        <v>46064</v>
      </c>
      <c r="E1063" s="230" t="str">
        <f>Table3.110[[#This Row],[Requisitioner]]</f>
        <v>Genbank</v>
      </c>
      <c r="F1063" s="230" t="str">
        <f>Table3.110[[#This Row],[Gene Bank ID]]</f>
        <v>CIAT19165</v>
      </c>
      <c r="G1063" s="230" t="str">
        <f>Table3.110[[#This Row],[Genus]]</f>
        <v>Sesbania</v>
      </c>
      <c r="H1063" s="230" t="str">
        <f>Table3.110[[#This Row],[Species]]</f>
        <v>keniensis</v>
      </c>
      <c r="I1063" s="230" t="str">
        <f>Table3.110[[#This Row],[Tax Name]]</f>
        <v>Sesbania keniensis</v>
      </c>
      <c r="J1063" s="230" t="str">
        <f>Table3.110[[#This Row],[Family]]</f>
        <v>Fabaceae</v>
      </c>
      <c r="K1063" s="230" t="str">
        <f>Table3.110[[#This Row],[Order]]</f>
        <v>Fabales</v>
      </c>
      <c r="L1063" s="230" t="str">
        <f>Table3.110[[#This Row],[Functional Group]]</f>
        <v>Shurb_Tree</v>
      </c>
      <c r="M1063" s="230" t="str">
        <f>Table3.110[[#This Row],[CIAT ID]]</f>
        <v>F260038</v>
      </c>
      <c r="N1063" s="230">
        <f>Table3.110[[#This Row],[Set CIAT]]</f>
        <v>30</v>
      </c>
      <c r="O1063" s="230">
        <f>Table3.110[[#This Row],[Batch]]</f>
        <v>64</v>
      </c>
      <c r="P1063" s="230">
        <f>Table3.110[[#This Row],[Run]]</f>
        <v>1</v>
      </c>
      <c r="Q1063" s="230">
        <f>Table3.110[[#This Row],[Replication]]</f>
        <v>3</v>
      </c>
      <c r="R1063" s="230">
        <f>Table3.110[[#This Row],[Syrange No]]</f>
        <v>187</v>
      </c>
      <c r="S1063" s="98">
        <v>0.56399999999999995</v>
      </c>
      <c r="T1063" s="98">
        <v>0.80820000000000003</v>
      </c>
      <c r="U1063" s="110"/>
      <c r="V1063" s="283">
        <f t="shared" si="96"/>
        <v>0.24420000000000008</v>
      </c>
      <c r="W1063" s="61">
        <f>Table3.110[[#This Row],[DM Incubated, mg]]-('3.2 Digest'!V1063*1000)</f>
        <v>238.39376275876415</v>
      </c>
      <c r="X1063" s="61">
        <f>W1063/Table3.110[[#This Row],[DM Incubated, mg]]*100</f>
        <v>49.398434284765273</v>
      </c>
      <c r="Y1063" s="302">
        <f>Table3.110[[#This Row],[DM Incubated, mg]]*'2.4 NDF'!R291/100</f>
        <v>243.24460235922948</v>
      </c>
      <c r="Z1063" s="61">
        <f t="shared" si="98"/>
        <v>-0.95539764077059885</v>
      </c>
      <c r="AA1063" s="61">
        <f t="shared" si="99"/>
        <v>-0.39277239104349976</v>
      </c>
      <c r="AB1063" s="6"/>
    </row>
    <row r="1064" spans="2:28" x14ac:dyDescent="0.35">
      <c r="B1064" s="230">
        <f t="shared" si="97"/>
        <v>1054</v>
      </c>
      <c r="C1064" s="9"/>
      <c r="D1064" s="248">
        <f>Table3.110[[#This Row],[Date]]</f>
        <v>46064</v>
      </c>
      <c r="E1064" s="230" t="str">
        <f>Table3.110[[#This Row],[Requisitioner]]</f>
        <v>Genbank</v>
      </c>
      <c r="F1064" s="230" t="str">
        <f>Table3.110[[#This Row],[Gene Bank ID]]</f>
        <v>CIAT21899</v>
      </c>
      <c r="G1064" s="230" t="str">
        <f>Table3.110[[#This Row],[Genus]]</f>
        <v>Sesbania</v>
      </c>
      <c r="H1064" s="230" t="str">
        <f>Table3.110[[#This Row],[Species]]</f>
        <v>sesban</v>
      </c>
      <c r="I1064" s="230" t="str">
        <f>Table3.110[[#This Row],[Tax Name]]</f>
        <v>Sesbania sesban</v>
      </c>
      <c r="J1064" s="230" t="str">
        <f>Table3.110[[#This Row],[Family]]</f>
        <v>Fabaceae</v>
      </c>
      <c r="K1064" s="230" t="str">
        <f>Table3.110[[#This Row],[Order]]</f>
        <v>Fabales</v>
      </c>
      <c r="L1064" s="230" t="str">
        <f>Table3.110[[#This Row],[Functional Group]]</f>
        <v>Shurb_Tree</v>
      </c>
      <c r="M1064" s="230" t="str">
        <f>Table3.110[[#This Row],[CIAT ID]]</f>
        <v>F260039</v>
      </c>
      <c r="N1064" s="230">
        <f>Table3.110[[#This Row],[Set CIAT]]</f>
        <v>30</v>
      </c>
      <c r="O1064" s="230">
        <f>Table3.110[[#This Row],[Batch]]</f>
        <v>64</v>
      </c>
      <c r="P1064" s="230">
        <f>Table3.110[[#This Row],[Run]]</f>
        <v>1</v>
      </c>
      <c r="Q1064" s="230">
        <f>Table3.110[[#This Row],[Replication]]</f>
        <v>1</v>
      </c>
      <c r="R1064" s="230">
        <f>Table3.110[[#This Row],[Syrange No]]</f>
        <v>188</v>
      </c>
      <c r="S1064" s="250">
        <v>0.56540000000000001</v>
      </c>
      <c r="T1064" s="250">
        <v>0.92610000000000003</v>
      </c>
      <c r="U1064" s="265"/>
      <c r="V1064" s="283">
        <f t="shared" si="96"/>
        <v>0.36070000000000002</v>
      </c>
      <c r="W1064" s="61">
        <f>Table3.110[[#This Row],[DM Incubated, mg]]-('3.2 Digest'!V1064*1000)</f>
        <v>118.5802150983684</v>
      </c>
      <c r="X1064" s="61">
        <f>W1064/Table3.110[[#This Row],[DM Incubated, mg]]*100</f>
        <v>24.741312360250621</v>
      </c>
      <c r="Y1064" s="31">
        <f>Table3.110[[#This Row],[DM Incubated, mg]]*'2.4 NDF'!R293/100</f>
        <v>302.0739719319165</v>
      </c>
      <c r="Z1064" s="61">
        <f t="shared" si="98"/>
        <v>-58.626028068083542</v>
      </c>
      <c r="AA1064" s="61">
        <f t="shared" si="99"/>
        <v>-19.407838316270784</v>
      </c>
      <c r="AB1064" s="6"/>
    </row>
    <row r="1065" spans="2:28" x14ac:dyDescent="0.35">
      <c r="B1065" s="230">
        <f t="shared" si="97"/>
        <v>1055</v>
      </c>
      <c r="C1065" s="9"/>
      <c r="D1065" s="248">
        <f>Table3.110[[#This Row],[Date]]</f>
        <v>46064</v>
      </c>
      <c r="E1065" s="230" t="str">
        <f>Table3.110[[#This Row],[Requisitioner]]</f>
        <v>Genbank</v>
      </c>
      <c r="F1065" s="230" t="str">
        <f>Table3.110[[#This Row],[Gene Bank ID]]</f>
        <v>CIAT21899</v>
      </c>
      <c r="G1065" s="230" t="str">
        <f>Table3.110[[#This Row],[Genus]]</f>
        <v>Sesbania</v>
      </c>
      <c r="H1065" s="230" t="str">
        <f>Table3.110[[#This Row],[Species]]</f>
        <v>sesban</v>
      </c>
      <c r="I1065" s="230" t="str">
        <f>Table3.110[[#This Row],[Tax Name]]</f>
        <v>Sesbania sesban</v>
      </c>
      <c r="J1065" s="230" t="str">
        <f>Table3.110[[#This Row],[Family]]</f>
        <v>Fabaceae</v>
      </c>
      <c r="K1065" s="230" t="str">
        <f>Table3.110[[#This Row],[Order]]</f>
        <v>Fabales</v>
      </c>
      <c r="L1065" s="230" t="str">
        <f>Table3.110[[#This Row],[Functional Group]]</f>
        <v>Shurb_Tree</v>
      </c>
      <c r="M1065" s="230" t="str">
        <f>Table3.110[[#This Row],[CIAT ID]]</f>
        <v>F260039</v>
      </c>
      <c r="N1065" s="230">
        <f>Table3.110[[#This Row],[Set CIAT]]</f>
        <v>30</v>
      </c>
      <c r="O1065" s="230">
        <f>Table3.110[[#This Row],[Batch]]</f>
        <v>64</v>
      </c>
      <c r="P1065" s="230">
        <f>Table3.110[[#This Row],[Run]]</f>
        <v>1</v>
      </c>
      <c r="Q1065" s="230">
        <f>Table3.110[[#This Row],[Replication]]</f>
        <v>2</v>
      </c>
      <c r="R1065" s="230">
        <f>Table3.110[[#This Row],[Syrange No]]</f>
        <v>189</v>
      </c>
      <c r="S1065" s="98">
        <v>0.58430000000000004</v>
      </c>
      <c r="T1065" s="98">
        <v>0.87350000000000005</v>
      </c>
      <c r="U1065" s="110"/>
      <c r="V1065" s="283">
        <f t="shared" si="96"/>
        <v>0.28920000000000001</v>
      </c>
      <c r="W1065" s="61">
        <f>Table3.110[[#This Row],[DM Incubated, mg]]-('3.2 Digest'!V1065*1000)</f>
        <v>190.36772572530208</v>
      </c>
      <c r="X1065" s="61">
        <f>W1065/Table3.110[[#This Row],[DM Incubated, mg]]*100</f>
        <v>39.695691664277113</v>
      </c>
      <c r="Y1065" s="302">
        <f>Table3.110[[#This Row],[DM Incubated, mg]]*'2.4 NDF'!R293/100</f>
        <v>302.25518007344732</v>
      </c>
      <c r="Z1065" s="61">
        <f t="shared" si="98"/>
        <v>13.055180073447332</v>
      </c>
      <c r="AA1065" s="61">
        <f t="shared" si="99"/>
        <v>4.3192576783216596</v>
      </c>
      <c r="AB1065" s="6"/>
    </row>
    <row r="1066" spans="2:28" x14ac:dyDescent="0.35">
      <c r="B1066" s="230">
        <f t="shared" si="97"/>
        <v>1056</v>
      </c>
      <c r="C1066" s="9"/>
      <c r="D1066" s="248">
        <f>Table3.110[[#This Row],[Date]]</f>
        <v>46064</v>
      </c>
      <c r="E1066" s="230" t="str">
        <f>Table3.110[[#This Row],[Requisitioner]]</f>
        <v>Genbank</v>
      </c>
      <c r="F1066" s="230" t="str">
        <f>Table3.110[[#This Row],[Gene Bank ID]]</f>
        <v>CIAT21899</v>
      </c>
      <c r="G1066" s="230" t="str">
        <f>Table3.110[[#This Row],[Genus]]</f>
        <v>Sesbania</v>
      </c>
      <c r="H1066" s="230" t="str">
        <f>Table3.110[[#This Row],[Species]]</f>
        <v>sesban</v>
      </c>
      <c r="I1066" s="230" t="str">
        <f>Table3.110[[#This Row],[Tax Name]]</f>
        <v>Sesbania sesban</v>
      </c>
      <c r="J1066" s="230" t="str">
        <f>Table3.110[[#This Row],[Family]]</f>
        <v>Fabaceae</v>
      </c>
      <c r="K1066" s="230" t="str">
        <f>Table3.110[[#This Row],[Order]]</f>
        <v>Fabales</v>
      </c>
      <c r="L1066" s="230" t="str">
        <f>Table3.110[[#This Row],[Functional Group]]</f>
        <v>Shurb_Tree</v>
      </c>
      <c r="M1066" s="230" t="str">
        <f>Table3.110[[#This Row],[CIAT ID]]</f>
        <v>F260039</v>
      </c>
      <c r="N1066" s="230">
        <f>Table3.110[[#This Row],[Set CIAT]]</f>
        <v>30</v>
      </c>
      <c r="O1066" s="230">
        <f>Table3.110[[#This Row],[Batch]]</f>
        <v>64</v>
      </c>
      <c r="P1066" s="230">
        <f>Table3.110[[#This Row],[Run]]</f>
        <v>1</v>
      </c>
      <c r="Q1066" s="230">
        <f>Table3.110[[#This Row],[Replication]]</f>
        <v>3</v>
      </c>
      <c r="R1066" s="230">
        <f>Table3.110[[#This Row],[Syrange No]]</f>
        <v>190</v>
      </c>
      <c r="S1066" s="250">
        <v>0.5897</v>
      </c>
      <c r="T1066" s="250">
        <v>0.88519999999999999</v>
      </c>
      <c r="U1066" s="265"/>
      <c r="V1066" s="283">
        <f t="shared" si="96"/>
        <v>0.29549999999999998</v>
      </c>
      <c r="W1066" s="61">
        <f>Table3.110[[#This Row],[DM Incubated, mg]]-('3.2 Digest'!V1066*1000)</f>
        <v>183.87605197401308</v>
      </c>
      <c r="X1066" s="61">
        <f>W1066/Table3.110[[#This Row],[DM Incubated, mg]]*100</f>
        <v>38.357371257248573</v>
      </c>
      <c r="Y1066" s="31">
        <f>Table3.110[[#This Row],[DM Incubated, mg]]*'2.4 NDF'!R293/100</f>
        <v>302.13437464576015</v>
      </c>
      <c r="Z1066" s="61">
        <f t="shared" si="98"/>
        <v>6.6343746457601469</v>
      </c>
      <c r="AA1066" s="61">
        <f t="shared" si="99"/>
        <v>2.1958357613358865</v>
      </c>
      <c r="AB1066" s="6"/>
    </row>
    <row r="1067" spans="2:28" x14ac:dyDescent="0.35">
      <c r="B1067" s="230">
        <f t="shared" si="97"/>
        <v>1057</v>
      </c>
      <c r="C1067" s="9"/>
      <c r="D1067" s="248">
        <f>Table3.110[[#This Row],[Date]]</f>
        <v>46064</v>
      </c>
      <c r="E1067" s="230" t="str">
        <f>Table3.110[[#This Row],[Requisitioner]]</f>
        <v>Genbank</v>
      </c>
      <c r="F1067" s="230" t="str">
        <f>Table3.110[[#This Row],[Gene Bank ID]]</f>
        <v>CIAT23414</v>
      </c>
      <c r="G1067" s="230" t="str">
        <f>Table3.110[[#This Row],[Genus]]</f>
        <v>Codariocalyx</v>
      </c>
      <c r="H1067" s="230" t="str">
        <f>Table3.110[[#This Row],[Species]]</f>
        <v>motorius</v>
      </c>
      <c r="I1067" s="230" t="str">
        <f>Table3.110[[#This Row],[Tax Name]]</f>
        <v>Codariocalyx motorius</v>
      </c>
      <c r="J1067" s="230" t="str">
        <f>Table3.110[[#This Row],[Family]]</f>
        <v>Fabaceae</v>
      </c>
      <c r="K1067" s="230" t="str">
        <f>Table3.110[[#This Row],[Order]]</f>
        <v>Fabales</v>
      </c>
      <c r="L1067" s="230" t="str">
        <f>Table3.110[[#This Row],[Functional Group]]</f>
        <v>Shurb_Tree</v>
      </c>
      <c r="M1067" s="230" t="str">
        <f>Table3.110[[#This Row],[CIAT ID]]</f>
        <v>F260040</v>
      </c>
      <c r="N1067" s="230">
        <f>Table3.110[[#This Row],[Set CIAT]]</f>
        <v>30</v>
      </c>
      <c r="O1067" s="230">
        <f>Table3.110[[#This Row],[Batch]]</f>
        <v>64</v>
      </c>
      <c r="P1067" s="230">
        <f>Table3.110[[#This Row],[Run]]</f>
        <v>1</v>
      </c>
      <c r="Q1067" s="230">
        <f>Table3.110[[#This Row],[Replication]]</f>
        <v>1</v>
      </c>
      <c r="R1067" s="230">
        <f>Table3.110[[#This Row],[Syrange No]]</f>
        <v>191</v>
      </c>
      <c r="S1067" s="98">
        <v>0.57650000000000001</v>
      </c>
      <c r="T1067" s="98">
        <v>0.96330000000000005</v>
      </c>
      <c r="U1067" s="110"/>
      <c r="V1067" s="283">
        <f t="shared" si="96"/>
        <v>0.38680000000000003</v>
      </c>
      <c r="W1067" s="61">
        <f>Table3.110[[#This Row],[DM Incubated, mg]]-('3.2 Digest'!V1067*1000)</f>
        <v>95.11841250543074</v>
      </c>
      <c r="X1067" s="61">
        <f>W1067/Table3.110[[#This Row],[DM Incubated, mg]]*100</f>
        <v>19.737451410275561</v>
      </c>
      <c r="Y1067" s="31">
        <f>Table3.110[[#This Row],[DM Incubated, mg]]*'2.4 NDF'!R295/100</f>
        <v>302.90206084986511</v>
      </c>
      <c r="Z1067" s="61">
        <f t="shared" si="98"/>
        <v>-83.897939150134903</v>
      </c>
      <c r="AA1067" s="61">
        <f t="shared" si="99"/>
        <v>-27.698041708510967</v>
      </c>
      <c r="AB1067" s="6"/>
    </row>
    <row r="1068" spans="2:28" x14ac:dyDescent="0.35">
      <c r="B1068" s="230">
        <f t="shared" si="97"/>
        <v>1058</v>
      </c>
      <c r="C1068" s="9"/>
      <c r="D1068" s="248">
        <f>Table3.110[[#This Row],[Date]]</f>
        <v>46064</v>
      </c>
      <c r="E1068" s="230" t="str">
        <f>Table3.110[[#This Row],[Requisitioner]]</f>
        <v>Genbank</v>
      </c>
      <c r="F1068" s="230" t="str">
        <f>Table3.110[[#This Row],[Gene Bank ID]]</f>
        <v>CIAT23414</v>
      </c>
      <c r="G1068" s="230" t="str">
        <f>Table3.110[[#This Row],[Genus]]</f>
        <v>Codariocalyx</v>
      </c>
      <c r="H1068" s="230" t="str">
        <f>Table3.110[[#This Row],[Species]]</f>
        <v>motorius</v>
      </c>
      <c r="I1068" s="230" t="str">
        <f>Table3.110[[#This Row],[Tax Name]]</f>
        <v>Codariocalyx motorius</v>
      </c>
      <c r="J1068" s="230" t="str">
        <f>Table3.110[[#This Row],[Family]]</f>
        <v>Fabaceae</v>
      </c>
      <c r="K1068" s="230" t="str">
        <f>Table3.110[[#This Row],[Order]]</f>
        <v>Fabales</v>
      </c>
      <c r="L1068" s="230" t="str">
        <f>Table3.110[[#This Row],[Functional Group]]</f>
        <v>Shurb_Tree</v>
      </c>
      <c r="M1068" s="230" t="str">
        <f>Table3.110[[#This Row],[CIAT ID]]</f>
        <v>F260040</v>
      </c>
      <c r="N1068" s="230">
        <f>Table3.110[[#This Row],[Set CIAT]]</f>
        <v>30</v>
      </c>
      <c r="O1068" s="230">
        <f>Table3.110[[#This Row],[Batch]]</f>
        <v>64</v>
      </c>
      <c r="P1068" s="230">
        <f>Table3.110[[#This Row],[Run]]</f>
        <v>1</v>
      </c>
      <c r="Q1068" s="230">
        <f>Table3.110[[#This Row],[Replication]]</f>
        <v>2</v>
      </c>
      <c r="R1068" s="230">
        <f>Table3.110[[#This Row],[Syrange No]]</f>
        <v>192</v>
      </c>
      <c r="S1068" s="250">
        <v>0.57920000000000005</v>
      </c>
      <c r="T1068" s="250">
        <v>0.91810000000000003</v>
      </c>
      <c r="U1068" s="265"/>
      <c r="V1068" s="283">
        <f t="shared" si="96"/>
        <v>0.33889999999999998</v>
      </c>
      <c r="W1068" s="61">
        <f>Table3.110[[#This Row],[DM Incubated, mg]]-('3.2 Digest'!V1068*1000)</f>
        <v>142.6331859566655</v>
      </c>
      <c r="X1068" s="61">
        <f>W1068/Table3.110[[#This Row],[DM Incubated, mg]]*100</f>
        <v>29.620634696920238</v>
      </c>
      <c r="Y1068" s="31">
        <f>Table3.110[[#This Row],[DM Incubated, mg]]*'2.4 NDF'!R295/100</f>
        <v>302.65993290354231</v>
      </c>
      <c r="Z1068" s="61">
        <f t="shared" si="98"/>
        <v>-36.240067096457665</v>
      </c>
      <c r="AA1068" s="61">
        <f t="shared" si="99"/>
        <v>-11.973856846128148</v>
      </c>
      <c r="AB1068" s="6"/>
    </row>
    <row r="1069" spans="2:28" x14ac:dyDescent="0.35">
      <c r="B1069" s="230">
        <f t="shared" si="97"/>
        <v>1059</v>
      </c>
      <c r="C1069" s="9"/>
      <c r="D1069" s="248">
        <f>Table3.110[[#This Row],[Date]]</f>
        <v>46064</v>
      </c>
      <c r="E1069" s="230" t="str">
        <f>Table3.110[[#This Row],[Requisitioner]]</f>
        <v>Genbank</v>
      </c>
      <c r="F1069" s="230" t="str">
        <f>Table3.110[[#This Row],[Gene Bank ID]]</f>
        <v>CIAT23414</v>
      </c>
      <c r="G1069" s="230" t="str">
        <f>Table3.110[[#This Row],[Genus]]</f>
        <v>Codariocalyx</v>
      </c>
      <c r="H1069" s="230" t="str">
        <f>Table3.110[[#This Row],[Species]]</f>
        <v>motorius</v>
      </c>
      <c r="I1069" s="230" t="str">
        <f>Table3.110[[#This Row],[Tax Name]]</f>
        <v>Codariocalyx motorius</v>
      </c>
      <c r="J1069" s="230" t="str">
        <f>Table3.110[[#This Row],[Family]]</f>
        <v>Fabaceae</v>
      </c>
      <c r="K1069" s="230" t="str">
        <f>Table3.110[[#This Row],[Order]]</f>
        <v>Fabales</v>
      </c>
      <c r="L1069" s="230" t="str">
        <f>Table3.110[[#This Row],[Functional Group]]</f>
        <v>Shurb_Tree</v>
      </c>
      <c r="M1069" s="230" t="str">
        <f>Table3.110[[#This Row],[CIAT ID]]</f>
        <v>F260040</v>
      </c>
      <c r="N1069" s="230">
        <f>Table3.110[[#This Row],[Set CIAT]]</f>
        <v>30</v>
      </c>
      <c r="O1069" s="230">
        <f>Table3.110[[#This Row],[Batch]]</f>
        <v>64</v>
      </c>
      <c r="P1069" s="230">
        <f>Table3.110[[#This Row],[Run]]</f>
        <v>1</v>
      </c>
      <c r="Q1069" s="230">
        <f>Table3.110[[#This Row],[Replication]]</f>
        <v>3</v>
      </c>
      <c r="R1069" s="230">
        <f>Table3.110[[#This Row],[Syrange No]]</f>
        <v>193</v>
      </c>
      <c r="S1069" s="98">
        <v>0.58409999999999995</v>
      </c>
      <c r="T1069" s="98">
        <v>0.94340000000000002</v>
      </c>
      <c r="U1069" s="110"/>
      <c r="V1069" s="283">
        <f t="shared" si="96"/>
        <v>0.35930000000000006</v>
      </c>
      <c r="W1069" s="61">
        <f>Table3.110[[#This Row],[DM Incubated, mg]]-('3.2 Digest'!V1069*1000)</f>
        <v>122.71471914262202</v>
      </c>
      <c r="X1069" s="61">
        <f>W1069/Table3.110[[#This Row],[DM Incubated, mg]]*100</f>
        <v>25.458707850436468</v>
      </c>
      <c r="Y1069" s="302">
        <f>Table3.110[[#This Row],[DM Incubated, mg]]*'2.4 NDF'!R295/100</f>
        <v>302.96259283644582</v>
      </c>
      <c r="Z1069" s="61">
        <f t="shared" si="98"/>
        <v>-56.337407163554246</v>
      </c>
      <c r="AA1069" s="61">
        <f t="shared" si="99"/>
        <v>-18.595499410043654</v>
      </c>
      <c r="AB1069" s="6"/>
    </row>
    <row r="1070" spans="2:28" x14ac:dyDescent="0.35">
      <c r="B1070" s="230">
        <f t="shared" si="97"/>
        <v>1060</v>
      </c>
      <c r="C1070" s="9"/>
      <c r="D1070" s="248">
        <f>Table3.110[[#This Row],[Date]]</f>
        <v>46064</v>
      </c>
      <c r="E1070" s="230" t="str">
        <f>Table3.110[[#This Row],[Requisitioner]]</f>
        <v>Genbank</v>
      </c>
      <c r="F1070" s="230" t="str">
        <f>Table3.110[[#This Row],[Gene Bank ID]]</f>
        <v>CIAT23767</v>
      </c>
      <c r="G1070" s="230" t="str">
        <f>Table3.110[[#This Row],[Genus]]</f>
        <v>Desmodium</v>
      </c>
      <c r="H1070" s="230" t="str">
        <f>Table3.110[[#This Row],[Species]]</f>
        <v>nicaraguense</v>
      </c>
      <c r="I1070" s="230" t="str">
        <f>Table3.110[[#This Row],[Tax Name]]</f>
        <v>Desmodium nicaraguense</v>
      </c>
      <c r="J1070" s="230" t="str">
        <f>Table3.110[[#This Row],[Family]]</f>
        <v>Fabaceae</v>
      </c>
      <c r="K1070" s="230" t="str">
        <f>Table3.110[[#This Row],[Order]]</f>
        <v>Fabales</v>
      </c>
      <c r="L1070" s="230" t="str">
        <f>Table3.110[[#This Row],[Functional Group]]</f>
        <v>Shurb_Tree</v>
      </c>
      <c r="M1070" s="230" t="str">
        <f>Table3.110[[#This Row],[CIAT ID]]</f>
        <v>F260041</v>
      </c>
      <c r="N1070" s="230">
        <f>Table3.110[[#This Row],[Set CIAT]]</f>
        <v>30</v>
      </c>
      <c r="O1070" s="230">
        <f>Table3.110[[#This Row],[Batch]]</f>
        <v>64</v>
      </c>
      <c r="P1070" s="230">
        <f>Table3.110[[#This Row],[Run]]</f>
        <v>1</v>
      </c>
      <c r="Q1070" s="230">
        <f>Table3.110[[#This Row],[Replication]]</f>
        <v>1</v>
      </c>
      <c r="R1070" s="230">
        <f>Table3.110[[#This Row],[Syrange No]]</f>
        <v>194</v>
      </c>
      <c r="S1070" s="250">
        <v>0.58720000000000006</v>
      </c>
      <c r="T1070" s="250">
        <v>0.88270000000000004</v>
      </c>
      <c r="U1070" s="265"/>
      <c r="V1070" s="283">
        <f t="shared" si="96"/>
        <v>0.29549999999999998</v>
      </c>
      <c r="W1070" s="61">
        <f>Table3.110[[#This Row],[DM Incubated, mg]]-('3.2 Digest'!V1070*1000)</f>
        <v>179.76503600959654</v>
      </c>
      <c r="X1070" s="61">
        <f>W1070/Table3.110[[#This Row],[DM Incubated, mg]]*100</f>
        <v>37.824165968305465</v>
      </c>
      <c r="Y1070" s="31">
        <f>Table3.110[[#This Row],[DM Incubated, mg]]*'2.4 NDF'!R297/100</f>
        <v>260.05224117908494</v>
      </c>
      <c r="Z1070" s="61">
        <f t="shared" si="98"/>
        <v>-35.447758820915055</v>
      </c>
      <c r="AA1070" s="61">
        <f t="shared" si="99"/>
        <v>-13.631014545459719</v>
      </c>
      <c r="AB1070" s="6"/>
    </row>
    <row r="1071" spans="2:28" x14ac:dyDescent="0.35">
      <c r="B1071" s="230">
        <f t="shared" si="97"/>
        <v>1061</v>
      </c>
      <c r="C1071" s="9"/>
      <c r="D1071" s="248">
        <f>Table3.110[[#This Row],[Date]]</f>
        <v>46064</v>
      </c>
      <c r="E1071" s="230" t="str">
        <f>Table3.110[[#This Row],[Requisitioner]]</f>
        <v>Genbank</v>
      </c>
      <c r="F1071" s="230" t="str">
        <f>Table3.110[[#This Row],[Gene Bank ID]]</f>
        <v>CIAT23767</v>
      </c>
      <c r="G1071" s="230" t="str">
        <f>Table3.110[[#This Row],[Genus]]</f>
        <v>Desmodium</v>
      </c>
      <c r="H1071" s="230" t="str">
        <f>Table3.110[[#This Row],[Species]]</f>
        <v>nicaraguense</v>
      </c>
      <c r="I1071" s="230" t="str">
        <f>Table3.110[[#This Row],[Tax Name]]</f>
        <v>Desmodium nicaraguense</v>
      </c>
      <c r="J1071" s="230" t="str">
        <f>Table3.110[[#This Row],[Family]]</f>
        <v>Fabaceae</v>
      </c>
      <c r="K1071" s="230" t="str">
        <f>Table3.110[[#This Row],[Order]]</f>
        <v>Fabales</v>
      </c>
      <c r="L1071" s="230" t="str">
        <f>Table3.110[[#This Row],[Functional Group]]</f>
        <v>Shurb_Tree</v>
      </c>
      <c r="M1071" s="230" t="str">
        <f>Table3.110[[#This Row],[CIAT ID]]</f>
        <v>F260041</v>
      </c>
      <c r="N1071" s="230">
        <f>Table3.110[[#This Row],[Set CIAT]]</f>
        <v>30</v>
      </c>
      <c r="O1071" s="230">
        <f>Table3.110[[#This Row],[Batch]]</f>
        <v>64</v>
      </c>
      <c r="P1071" s="230">
        <f>Table3.110[[#This Row],[Run]]</f>
        <v>1</v>
      </c>
      <c r="Q1071" s="230">
        <f>Table3.110[[#This Row],[Replication]]</f>
        <v>2</v>
      </c>
      <c r="R1071" s="230">
        <f>Table3.110[[#This Row],[Syrange No]]</f>
        <v>195</v>
      </c>
      <c r="S1071" s="98">
        <v>0.57269999999999999</v>
      </c>
      <c r="T1071" s="98">
        <v>0.82979999999999998</v>
      </c>
      <c r="U1071" s="110"/>
      <c r="V1071" s="283">
        <f t="shared" si="96"/>
        <v>0.2571</v>
      </c>
      <c r="W1071" s="61">
        <f>Table3.110[[#This Row],[DM Incubated, mg]]-('3.2 Digest'!V1071*1000)</f>
        <v>218.26003201919264</v>
      </c>
      <c r="X1071" s="61">
        <f>W1071/Table3.110[[#This Row],[DM Incubated, mg]]*100</f>
        <v>45.914678836604502</v>
      </c>
      <c r="Y1071" s="31">
        <f>Table3.110[[#This Row],[DM Incubated, mg]]*'2.4 NDF'!R297/100</f>
        <v>260.10422043976433</v>
      </c>
      <c r="Z1071" s="61">
        <f t="shared" si="98"/>
        <v>3.0042204397643104</v>
      </c>
      <c r="AA1071" s="61">
        <f t="shared" si="99"/>
        <v>1.1550064180754176</v>
      </c>
      <c r="AB1071" s="6"/>
    </row>
    <row r="1072" spans="2:28" x14ac:dyDescent="0.35">
      <c r="B1072" s="230">
        <f t="shared" si="97"/>
        <v>1062</v>
      </c>
      <c r="C1072" s="9"/>
      <c r="D1072" s="248">
        <f>Table3.110[[#This Row],[Date]]</f>
        <v>46064</v>
      </c>
      <c r="E1072" s="230" t="str">
        <f>Table3.110[[#This Row],[Requisitioner]]</f>
        <v>Genbank</v>
      </c>
      <c r="F1072" s="230" t="str">
        <f>Table3.110[[#This Row],[Gene Bank ID]]</f>
        <v>CIAT23767</v>
      </c>
      <c r="G1072" s="230" t="str">
        <f>Table3.110[[#This Row],[Genus]]</f>
        <v>Desmodium</v>
      </c>
      <c r="H1072" s="230" t="str">
        <f>Table3.110[[#This Row],[Species]]</f>
        <v>nicaraguense</v>
      </c>
      <c r="I1072" s="230" t="str">
        <f>Table3.110[[#This Row],[Tax Name]]</f>
        <v>Desmodium nicaraguense</v>
      </c>
      <c r="J1072" s="230" t="str">
        <f>Table3.110[[#This Row],[Family]]</f>
        <v>Fabaceae</v>
      </c>
      <c r="K1072" s="230" t="str">
        <f>Table3.110[[#This Row],[Order]]</f>
        <v>Fabales</v>
      </c>
      <c r="L1072" s="230" t="str">
        <f>Table3.110[[#This Row],[Functional Group]]</f>
        <v>Shurb_Tree</v>
      </c>
      <c r="M1072" s="230" t="str">
        <f>Table3.110[[#This Row],[CIAT ID]]</f>
        <v>F260041</v>
      </c>
      <c r="N1072" s="230">
        <f>Table3.110[[#This Row],[Set CIAT]]</f>
        <v>30</v>
      </c>
      <c r="O1072" s="230">
        <f>Table3.110[[#This Row],[Batch]]</f>
        <v>64</v>
      </c>
      <c r="P1072" s="230">
        <f>Table3.110[[#This Row],[Run]]</f>
        <v>1</v>
      </c>
      <c r="Q1072" s="230">
        <f>Table3.110[[#This Row],[Replication]]</f>
        <v>3</v>
      </c>
      <c r="R1072" s="230">
        <f>Table3.110[[#This Row],[Syrange No]]</f>
        <v>196</v>
      </c>
      <c r="S1072" s="250">
        <v>0.58779999999999999</v>
      </c>
      <c r="T1072" s="250">
        <v>0.83950000000000002</v>
      </c>
      <c r="U1072" s="265"/>
      <c r="V1072" s="283">
        <f t="shared" si="96"/>
        <v>0.25170000000000003</v>
      </c>
      <c r="W1072" s="61">
        <f>Table3.110[[#This Row],[DM Incubated, mg]]-('3.2 Digest'!V1072*1000)</f>
        <v>223.28004798080804</v>
      </c>
      <c r="X1072" s="61">
        <f>W1072/Table3.110[[#This Row],[DM Incubated, mg]]*100</f>
        <v>47.008300439143888</v>
      </c>
      <c r="Y1072" s="302">
        <f>Table3.110[[#This Row],[DM Incubated, mg]]*'2.4 NDF'!R297/100</f>
        <v>259.89630339704672</v>
      </c>
      <c r="Z1072" s="61">
        <f t="shared" si="98"/>
        <v>8.1963033970466768</v>
      </c>
      <c r="AA1072" s="61">
        <f t="shared" si="99"/>
        <v>3.1536821762813165</v>
      </c>
      <c r="AB1072" s="6"/>
    </row>
    <row r="1073" spans="2:28" x14ac:dyDescent="0.35">
      <c r="B1073" s="230">
        <f t="shared" si="97"/>
        <v>1063</v>
      </c>
      <c r="C1073" s="9"/>
      <c r="D1073" s="248">
        <f>Table3.110[[#This Row],[Date]]</f>
        <v>46064</v>
      </c>
      <c r="E1073" s="230" t="str">
        <f>Table3.110[[#This Row],[Requisitioner]]</f>
        <v>Genbank</v>
      </c>
      <c r="F1073" s="230" t="str">
        <f>Table3.110[[#This Row],[Gene Bank ID]]</f>
        <v>CIAT33127</v>
      </c>
      <c r="G1073" s="230" t="str">
        <f>Table3.110[[#This Row],[Genus]]</f>
        <v>Codariocalyx</v>
      </c>
      <c r="H1073" s="230" t="str">
        <f>Table3.110[[#This Row],[Species]]</f>
        <v>motorius</v>
      </c>
      <c r="I1073" s="230" t="str">
        <f>Table3.110[[#This Row],[Tax Name]]</f>
        <v>Codariocalyx motorius</v>
      </c>
      <c r="J1073" s="230" t="str">
        <f>Table3.110[[#This Row],[Family]]</f>
        <v>Fabaceae</v>
      </c>
      <c r="K1073" s="230" t="str">
        <f>Table3.110[[#This Row],[Order]]</f>
        <v>Fabales</v>
      </c>
      <c r="L1073" s="230" t="str">
        <f>Table3.110[[#This Row],[Functional Group]]</f>
        <v>Shurb_Tree</v>
      </c>
      <c r="M1073" s="230" t="str">
        <f>Table3.110[[#This Row],[CIAT ID]]</f>
        <v>F260042</v>
      </c>
      <c r="N1073" s="230">
        <f>Table3.110[[#This Row],[Set CIAT]]</f>
        <v>30</v>
      </c>
      <c r="O1073" s="230">
        <f>Table3.110[[#This Row],[Batch]]</f>
        <v>64</v>
      </c>
      <c r="P1073" s="230">
        <f>Table3.110[[#This Row],[Run]]</f>
        <v>1</v>
      </c>
      <c r="Q1073" s="230">
        <f>Table3.110[[#This Row],[Replication]]</f>
        <v>1</v>
      </c>
      <c r="R1073" s="230">
        <f>Table3.110[[#This Row],[Syrange No]]</f>
        <v>197</v>
      </c>
      <c r="S1073" s="98">
        <v>0.59160000000000001</v>
      </c>
      <c r="T1073" s="98">
        <v>1.0385</v>
      </c>
      <c r="U1073" s="110"/>
      <c r="V1073" s="283">
        <f t="shared" si="96"/>
        <v>0.44689999999999996</v>
      </c>
      <c r="W1073" s="61">
        <f>Table3.110[[#This Row],[DM Incubated, mg]]-('3.2 Digest'!V1073*1000)</f>
        <v>31.107749274732555</v>
      </c>
      <c r="X1073" s="61"/>
      <c r="Y1073" s="31"/>
      <c r="Z1073" s="61"/>
      <c r="AA1073" s="61"/>
      <c r="AB1073" s="6"/>
    </row>
    <row r="1074" spans="2:28" x14ac:dyDescent="0.35">
      <c r="B1074" s="230">
        <f t="shared" si="97"/>
        <v>1064</v>
      </c>
      <c r="C1074" s="9"/>
      <c r="D1074" s="248">
        <f>Table3.110[[#This Row],[Date]]</f>
        <v>46064</v>
      </c>
      <c r="E1074" s="230" t="str">
        <f>Table3.110[[#This Row],[Requisitioner]]</f>
        <v>Genbank</v>
      </c>
      <c r="F1074" s="230" t="str">
        <f>Table3.110[[#This Row],[Gene Bank ID]]</f>
        <v>CIAT33127</v>
      </c>
      <c r="G1074" s="230" t="str">
        <f>Table3.110[[#This Row],[Genus]]</f>
        <v>Codariocalyx</v>
      </c>
      <c r="H1074" s="230" t="str">
        <f>Table3.110[[#This Row],[Species]]</f>
        <v>motorius</v>
      </c>
      <c r="I1074" s="230" t="str">
        <f>Table3.110[[#This Row],[Tax Name]]</f>
        <v>Codariocalyx motorius</v>
      </c>
      <c r="J1074" s="230" t="str">
        <f>Table3.110[[#This Row],[Family]]</f>
        <v>Fabaceae</v>
      </c>
      <c r="K1074" s="230" t="str">
        <f>Table3.110[[#This Row],[Order]]</f>
        <v>Fabales</v>
      </c>
      <c r="L1074" s="230" t="str">
        <f>Table3.110[[#This Row],[Functional Group]]</f>
        <v>Shurb_Tree</v>
      </c>
      <c r="M1074" s="230" t="str">
        <f>Table3.110[[#This Row],[CIAT ID]]</f>
        <v>F260042</v>
      </c>
      <c r="N1074" s="230">
        <f>Table3.110[[#This Row],[Set CIAT]]</f>
        <v>30</v>
      </c>
      <c r="O1074" s="230">
        <f>Table3.110[[#This Row],[Batch]]</f>
        <v>64</v>
      </c>
      <c r="P1074" s="230">
        <f>Table3.110[[#This Row],[Run]]</f>
        <v>1</v>
      </c>
      <c r="Q1074" s="230">
        <f>Table3.110[[#This Row],[Replication]]</f>
        <v>2</v>
      </c>
      <c r="R1074" s="230">
        <f>Table3.110[[#This Row],[Syrange No]]</f>
        <v>198</v>
      </c>
      <c r="S1074" s="250">
        <v>0.56869999999999998</v>
      </c>
      <c r="T1074" s="250"/>
      <c r="U1074" s="265"/>
      <c r="V1074" s="283"/>
      <c r="W1074" s="61"/>
      <c r="X1074" s="61"/>
      <c r="Y1074" s="302"/>
      <c r="Z1074" s="61"/>
      <c r="AA1074" s="61"/>
      <c r="AB1074" s="6"/>
    </row>
    <row r="1075" spans="2:28" x14ac:dyDescent="0.35">
      <c r="B1075" s="230">
        <f t="shared" si="97"/>
        <v>1065</v>
      </c>
      <c r="C1075" s="9"/>
      <c r="D1075" s="248">
        <f>Table3.110[[#This Row],[Date]]</f>
        <v>46064</v>
      </c>
      <c r="E1075" s="230" t="str">
        <f>Table3.110[[#This Row],[Requisitioner]]</f>
        <v>Genbank</v>
      </c>
      <c r="F1075" s="230" t="str">
        <f>Table3.110[[#This Row],[Gene Bank ID]]</f>
        <v>CIAT33127</v>
      </c>
      <c r="G1075" s="230" t="str">
        <f>Table3.110[[#This Row],[Genus]]</f>
        <v>Codariocalyx</v>
      </c>
      <c r="H1075" s="230" t="str">
        <f>Table3.110[[#This Row],[Species]]</f>
        <v>motorius</v>
      </c>
      <c r="I1075" s="230" t="str">
        <f>Table3.110[[#This Row],[Tax Name]]</f>
        <v>Codariocalyx motorius</v>
      </c>
      <c r="J1075" s="230" t="str">
        <f>Table3.110[[#This Row],[Family]]</f>
        <v>Fabaceae</v>
      </c>
      <c r="K1075" s="230" t="str">
        <f>Table3.110[[#This Row],[Order]]</f>
        <v>Fabales</v>
      </c>
      <c r="L1075" s="230" t="str">
        <f>Table3.110[[#This Row],[Functional Group]]</f>
        <v>Shurb_Tree</v>
      </c>
      <c r="M1075" s="230" t="str">
        <f>Table3.110[[#This Row],[CIAT ID]]</f>
        <v>F260042</v>
      </c>
      <c r="N1075" s="230">
        <f>Table3.110[[#This Row],[Set CIAT]]</f>
        <v>30</v>
      </c>
      <c r="O1075" s="230">
        <f>Table3.110[[#This Row],[Batch]]</f>
        <v>64</v>
      </c>
      <c r="P1075" s="230">
        <f>Table3.110[[#This Row],[Run]]</f>
        <v>1</v>
      </c>
      <c r="Q1075" s="230">
        <f>Table3.110[[#This Row],[Replication]]</f>
        <v>3</v>
      </c>
      <c r="R1075" s="230">
        <f>Table3.110[[#This Row],[Syrange No]]</f>
        <v>199</v>
      </c>
      <c r="S1075" s="98">
        <v>0.57989999999999997</v>
      </c>
      <c r="T1075" s="98">
        <v>0.89090000000000003</v>
      </c>
      <c r="U1075" s="110"/>
      <c r="V1075" s="283">
        <f t="shared" si="96"/>
        <v>0.31100000000000005</v>
      </c>
      <c r="W1075" s="61">
        <f>Table3.110[[#This Row],[DM Incubated, mg]]-('3.2 Digest'!V1075*1000)</f>
        <v>167.10335082458744</v>
      </c>
      <c r="X1075" s="61">
        <f>W1075/Table3.110[[#This Row],[DM Incubated, mg]]*100</f>
        <v>34.951303005173123</v>
      </c>
      <c r="Y1075" s="302">
        <f>Table3.110[[#This Row],[DM Incubated, mg]]*'2.4 NDF'!R299/100</f>
        <v>308.81947209005727</v>
      </c>
      <c r="Z1075" s="61">
        <f t="shared" ref="Z1075" si="100">Y1075-(V1075*1000)</f>
        <v>-2.1805279099427821</v>
      </c>
      <c r="AA1075" s="61">
        <f t="shared" ref="AA1075" si="101">Z1075/Y1075*100</f>
        <v>-0.70608498071225934</v>
      </c>
      <c r="AB1075" s="6"/>
    </row>
    <row r="1076" spans="2:28" x14ac:dyDescent="0.35">
      <c r="B1076" s="230">
        <f t="shared" si="97"/>
        <v>1066</v>
      </c>
      <c r="C1076" s="9"/>
      <c r="D1076" s="248">
        <f>Table3.110[[#This Row],[Date]]</f>
        <v>46064</v>
      </c>
      <c r="E1076" s="230" t="str">
        <f>Table3.110[[#This Row],[Requisitioner]]</f>
        <v>Breeding</v>
      </c>
      <c r="F1076" s="230" t="str">
        <f>Table3.110[[#This Row],[Gene Bank ID]]</f>
        <v>CIAT-BR06_1348</v>
      </c>
      <c r="G1076" s="230" t="str">
        <f>Table3.110[[#This Row],[Genus]]</f>
        <v>Brachiaria</v>
      </c>
      <c r="H1076" s="230" t="str">
        <f>Table3.110[[#This Row],[Species]]</f>
        <v>interespecifico</v>
      </c>
      <c r="I1076" s="230" t="str">
        <f>Table3.110[[#This Row],[Tax Name]]</f>
        <v>Brachiaria interespecifico</v>
      </c>
      <c r="J1076" s="230" t="str">
        <f>Table3.110[[#This Row],[Family]]</f>
        <v>Poaceae</v>
      </c>
      <c r="K1076" s="230" t="str">
        <f>Table3.110[[#This Row],[Order]]</f>
        <v>Poales</v>
      </c>
      <c r="L1076" s="230" t="str">
        <f>Table3.110[[#This Row],[Functional Group]]</f>
        <v>grasses</v>
      </c>
      <c r="M1076" s="230" t="str">
        <f>Table3.110[[#This Row],[CIAT ID]]</f>
        <v>F252104</v>
      </c>
      <c r="N1076" s="230">
        <f>Table3.110[[#This Row],[Set CIAT]]</f>
        <v>30</v>
      </c>
      <c r="O1076" s="230">
        <f>Table3.110[[#This Row],[Batch]]</f>
        <v>64</v>
      </c>
      <c r="P1076" s="230">
        <f>Table3.110[[#This Row],[Run]]</f>
        <v>1</v>
      </c>
      <c r="Q1076" s="230">
        <f>Table3.110[[#This Row],[Replication]]</f>
        <v>1</v>
      </c>
      <c r="R1076" s="230">
        <f>Table3.110[[#This Row],[Syrange No]]</f>
        <v>200</v>
      </c>
      <c r="S1076" s="250">
        <v>0.57150000000000001</v>
      </c>
      <c r="T1076" s="250">
        <v>0.82</v>
      </c>
      <c r="U1076" s="265" t="s">
        <v>593</v>
      </c>
      <c r="V1076" s="283">
        <f t="shared" si="96"/>
        <v>0.24849999999999994</v>
      </c>
      <c r="W1076" s="61">
        <f>Table3.110[[#This Row],[DM Incubated, mg]]-('3.2 Digest'!V1076*1000)</f>
        <v>217.41545000000002</v>
      </c>
      <c r="X1076" s="61">
        <f>W1076/Table3.110[[#This Row],[DM Incubated, mg]]*100</f>
        <v>46.66414260355608</v>
      </c>
      <c r="Y1076" s="31">
        <f>Table3.110[[#This Row],[DM Incubated, mg]]*'2.4 NDF'!R301/100</f>
        <v>278.43107292000002</v>
      </c>
      <c r="Z1076" s="61">
        <f t="shared" si="98"/>
        <v>29.931072920000076</v>
      </c>
      <c r="AA1076" s="61">
        <f t="shared" si="99"/>
        <v>10.749903955080473</v>
      </c>
      <c r="AB1076" s="6"/>
    </row>
    <row r="1077" spans="2:28" x14ac:dyDescent="0.35">
      <c r="B1077" s="230">
        <f t="shared" si="97"/>
        <v>1067</v>
      </c>
      <c r="C1077" s="9"/>
      <c r="D1077" s="248">
        <f>Table3.110[[#This Row],[Date]]</f>
        <v>46064</v>
      </c>
      <c r="E1077" s="230" t="str">
        <f>Table3.110[[#This Row],[Requisitioner]]</f>
        <v>Breeding</v>
      </c>
      <c r="F1077" s="230" t="str">
        <f>Table3.110[[#This Row],[Gene Bank ID]]</f>
        <v>CIAT-BR06_1348</v>
      </c>
      <c r="G1077" s="230" t="str">
        <f>Table3.110[[#This Row],[Genus]]</f>
        <v>Brachiaria</v>
      </c>
      <c r="H1077" s="230" t="str">
        <f>Table3.110[[#This Row],[Species]]</f>
        <v>interespecifico</v>
      </c>
      <c r="I1077" s="230" t="str">
        <f>Table3.110[[#This Row],[Tax Name]]</f>
        <v>Brachiaria interespecifico</v>
      </c>
      <c r="J1077" s="230" t="str">
        <f>Table3.110[[#This Row],[Family]]</f>
        <v>Poaceae</v>
      </c>
      <c r="K1077" s="230" t="str">
        <f>Table3.110[[#This Row],[Order]]</f>
        <v>Poales</v>
      </c>
      <c r="L1077" s="230" t="str">
        <f>Table3.110[[#This Row],[Functional Group]]</f>
        <v>grasses</v>
      </c>
      <c r="M1077" s="230" t="str">
        <f>Table3.110[[#This Row],[CIAT ID]]</f>
        <v>F252104</v>
      </c>
      <c r="N1077" s="230">
        <f>Table3.110[[#This Row],[Set CIAT]]</f>
        <v>30</v>
      </c>
      <c r="O1077" s="230">
        <f>Table3.110[[#This Row],[Batch]]</f>
        <v>64</v>
      </c>
      <c r="P1077" s="230">
        <f>Table3.110[[#This Row],[Run]]</f>
        <v>1</v>
      </c>
      <c r="Q1077" s="230">
        <f>Table3.110[[#This Row],[Replication]]</f>
        <v>2</v>
      </c>
      <c r="R1077" s="230">
        <f>Table3.110[[#This Row],[Syrange No]]</f>
        <v>201</v>
      </c>
      <c r="S1077" s="98">
        <v>0.55330000000000001</v>
      </c>
      <c r="T1077" s="98">
        <v>0.77300000000000002</v>
      </c>
      <c r="U1077" s="110"/>
      <c r="V1077" s="283">
        <f t="shared" si="96"/>
        <v>0.21970000000000001</v>
      </c>
      <c r="W1077" s="61">
        <f>Table3.110[[#This Row],[DM Incubated, mg]]-('3.2 Digest'!V1077*1000)</f>
        <v>246.12235999999993</v>
      </c>
      <c r="X1077" s="61">
        <f>W1077/Table3.110[[#This Row],[DM Incubated, mg]]*100</f>
        <v>52.836098292920063</v>
      </c>
      <c r="Y1077" s="31">
        <f>Table3.110[[#This Row],[DM Incubated, mg]]*'2.4 NDF'!R301/100</f>
        <v>278.37544233599999</v>
      </c>
      <c r="Z1077" s="61">
        <f t="shared" si="98"/>
        <v>58.675442335999975</v>
      </c>
      <c r="AA1077" s="61">
        <f t="shared" si="99"/>
        <v>21.077808388420465</v>
      </c>
      <c r="AB1077" s="6"/>
    </row>
    <row r="1078" spans="2:28" x14ac:dyDescent="0.35">
      <c r="B1078" s="230">
        <f t="shared" si="97"/>
        <v>1068</v>
      </c>
      <c r="C1078" s="9"/>
      <c r="D1078" s="248">
        <f>Table3.110[[#This Row],[Date]]</f>
        <v>46064</v>
      </c>
      <c r="E1078" s="230" t="str">
        <f>Table3.110[[#This Row],[Requisitioner]]</f>
        <v>Breeding</v>
      </c>
      <c r="F1078" s="230" t="str">
        <f>Table3.110[[#This Row],[Gene Bank ID]]</f>
        <v>CIAT-BR06_1348</v>
      </c>
      <c r="G1078" s="230" t="str">
        <f>Table3.110[[#This Row],[Genus]]</f>
        <v>Brachiaria</v>
      </c>
      <c r="H1078" s="230" t="str">
        <f>Table3.110[[#This Row],[Species]]</f>
        <v>interespecifico</v>
      </c>
      <c r="I1078" s="230" t="str">
        <f>Table3.110[[#This Row],[Tax Name]]</f>
        <v>Brachiaria interespecifico</v>
      </c>
      <c r="J1078" s="230" t="str">
        <f>Table3.110[[#This Row],[Family]]</f>
        <v>Poaceae</v>
      </c>
      <c r="K1078" s="230" t="str">
        <f>Table3.110[[#This Row],[Order]]</f>
        <v>Poales</v>
      </c>
      <c r="L1078" s="230" t="str">
        <f>Table3.110[[#This Row],[Functional Group]]</f>
        <v>grasses</v>
      </c>
      <c r="M1078" s="230" t="str">
        <f>Table3.110[[#This Row],[CIAT ID]]</f>
        <v>F252104</v>
      </c>
      <c r="N1078" s="230">
        <f>Table3.110[[#This Row],[Set CIAT]]</f>
        <v>30</v>
      </c>
      <c r="O1078" s="230">
        <f>Table3.110[[#This Row],[Batch]]</f>
        <v>64</v>
      </c>
      <c r="P1078" s="230">
        <f>Table3.110[[#This Row],[Run]]</f>
        <v>1</v>
      </c>
      <c r="Q1078" s="230">
        <f>Table3.110[[#This Row],[Replication]]</f>
        <v>3</v>
      </c>
      <c r="R1078" s="230">
        <f>Table3.110[[#This Row],[Syrange No]]</f>
        <v>202</v>
      </c>
      <c r="S1078" s="250">
        <v>0.58940000000000003</v>
      </c>
      <c r="T1078" s="250">
        <v>0.80379999999999996</v>
      </c>
      <c r="U1078" s="265"/>
      <c r="V1078" s="283">
        <f t="shared" si="96"/>
        <v>0.21439999999999992</v>
      </c>
      <c r="W1078" s="61">
        <f>Table3.110[[#This Row],[DM Incubated, mg]]-('3.2 Digest'!V1078*1000)</f>
        <v>251.51545000000004</v>
      </c>
      <c r="X1078" s="61">
        <f>W1078/Table3.110[[#This Row],[DM Incubated, mg]]*100</f>
        <v>53.983067099406135</v>
      </c>
      <c r="Y1078" s="302">
        <f>Table3.110[[#This Row],[DM Incubated, mg]]*'2.4 NDF'!R301/100</f>
        <v>278.43107292000002</v>
      </c>
      <c r="Z1078" s="61">
        <f t="shared" si="98"/>
        <v>64.031072920000099</v>
      </c>
      <c r="AA1078" s="61">
        <f t="shared" si="99"/>
        <v>22.997100233276687</v>
      </c>
      <c r="AB1078" s="6"/>
    </row>
    <row r="1079" spans="2:28" x14ac:dyDescent="0.35">
      <c r="B1079" s="230">
        <f t="shared" si="97"/>
        <v>1069</v>
      </c>
      <c r="C1079" s="9"/>
      <c r="D1079" s="248">
        <f>Table3.110[[#This Row],[Date]]</f>
        <v>46064</v>
      </c>
      <c r="E1079" s="230" t="str">
        <f>Table3.110[[#This Row],[Requisitioner]]</f>
        <v>Breeding</v>
      </c>
      <c r="F1079" s="230" t="str">
        <f>Table3.110[[#This Row],[Gene Bank ID]]</f>
        <v>CIAT-BH22_0528</v>
      </c>
      <c r="G1079" s="230" t="str">
        <f>Table3.110[[#This Row],[Genus]]</f>
        <v>Urochloa</v>
      </c>
      <c r="H1079" s="230" t="str">
        <f>Table3.110[[#This Row],[Species]]</f>
        <v>humidicola</v>
      </c>
      <c r="I1079" s="230" t="str">
        <f>Table3.110[[#This Row],[Tax Name]]</f>
        <v>Urochloa humidicola</v>
      </c>
      <c r="J1079" s="230" t="str">
        <f>Table3.110[[#This Row],[Family]]</f>
        <v>Poaceae</v>
      </c>
      <c r="K1079" s="230" t="str">
        <f>Table3.110[[#This Row],[Order]]</f>
        <v>Poales</v>
      </c>
      <c r="L1079" s="230" t="str">
        <f>Table3.110[[#This Row],[Functional Group]]</f>
        <v>grasses</v>
      </c>
      <c r="M1079" s="230" t="str">
        <f>Table3.110[[#This Row],[CIAT ID]]</f>
        <v>F252166</v>
      </c>
      <c r="N1079" s="230">
        <f>Table3.110[[#This Row],[Set CIAT]]</f>
        <v>30</v>
      </c>
      <c r="O1079" s="230">
        <f>Table3.110[[#This Row],[Batch]]</f>
        <v>64</v>
      </c>
      <c r="P1079" s="230">
        <f>Table3.110[[#This Row],[Run]]</f>
        <v>1</v>
      </c>
      <c r="Q1079" s="230">
        <f>Table3.110[[#This Row],[Replication]]</f>
        <v>1</v>
      </c>
      <c r="R1079" s="230">
        <f>Table3.110[[#This Row],[Syrange No]]</f>
        <v>203</v>
      </c>
      <c r="S1079" s="98">
        <v>0.5746</v>
      </c>
      <c r="T1079" s="98">
        <v>0.85409999999999997</v>
      </c>
      <c r="U1079" s="110"/>
      <c r="V1079" s="283">
        <f t="shared" si="96"/>
        <v>0.27949999999999997</v>
      </c>
      <c r="W1079" s="61">
        <f>Table3.110[[#This Row],[DM Incubated, mg]]-('3.2 Digest'!V1079*1000)</f>
        <v>211.84463000000011</v>
      </c>
      <c r="X1079" s="61">
        <f>W1079/Table3.110[[#This Row],[DM Incubated, mg]]*100</f>
        <v>43.115283462037652</v>
      </c>
      <c r="Y1079" s="31">
        <f>Table3.110[[#This Row],[DM Incubated, mg]]*'2.4 NDF'!R303/100</f>
        <v>361.40854259650007</v>
      </c>
      <c r="Z1079" s="61">
        <f t="shared" si="98"/>
        <v>81.908542596500126</v>
      </c>
      <c r="AA1079" s="61">
        <f t="shared" si="99"/>
        <v>22.663698541278848</v>
      </c>
      <c r="AB1079" s="6"/>
    </row>
    <row r="1080" spans="2:28" x14ac:dyDescent="0.35">
      <c r="B1080" s="230">
        <f t="shared" si="97"/>
        <v>1070</v>
      </c>
      <c r="C1080" s="9"/>
      <c r="D1080" s="248">
        <f>Table3.110[[#This Row],[Date]]</f>
        <v>46064</v>
      </c>
      <c r="E1080" s="230" t="str">
        <f>Table3.110[[#This Row],[Requisitioner]]</f>
        <v>Breeding</v>
      </c>
      <c r="F1080" s="230" t="str">
        <f>Table3.110[[#This Row],[Gene Bank ID]]</f>
        <v>CIAT-BH22_0528</v>
      </c>
      <c r="G1080" s="230" t="str">
        <f>Table3.110[[#This Row],[Genus]]</f>
        <v>Urochloa</v>
      </c>
      <c r="H1080" s="230" t="str">
        <f>Table3.110[[#This Row],[Species]]</f>
        <v>humidicola</v>
      </c>
      <c r="I1080" s="230" t="str">
        <f>Table3.110[[#This Row],[Tax Name]]</f>
        <v>Urochloa humidicola</v>
      </c>
      <c r="J1080" s="230" t="str">
        <f>Table3.110[[#This Row],[Family]]</f>
        <v>Poaceae</v>
      </c>
      <c r="K1080" s="230" t="str">
        <f>Table3.110[[#This Row],[Order]]</f>
        <v>Poales</v>
      </c>
      <c r="L1080" s="230" t="str">
        <f>Table3.110[[#This Row],[Functional Group]]</f>
        <v>grasses</v>
      </c>
      <c r="M1080" s="230" t="str">
        <f>Table3.110[[#This Row],[CIAT ID]]</f>
        <v>F252166</v>
      </c>
      <c r="N1080" s="230">
        <f>Table3.110[[#This Row],[Set CIAT]]</f>
        <v>30</v>
      </c>
      <c r="O1080" s="230">
        <f>Table3.110[[#This Row],[Batch]]</f>
        <v>64</v>
      </c>
      <c r="P1080" s="230">
        <f>Table3.110[[#This Row],[Run]]</f>
        <v>1</v>
      </c>
      <c r="Q1080" s="230">
        <f>Table3.110[[#This Row],[Replication]]</f>
        <v>2</v>
      </c>
      <c r="R1080" s="230">
        <f>Table3.110[[#This Row],[Syrange No]]</f>
        <v>204</v>
      </c>
      <c r="S1080" s="250">
        <v>0.56330000000000002</v>
      </c>
      <c r="T1080" s="250">
        <v>0.87939999999999996</v>
      </c>
      <c r="U1080" s="265"/>
      <c r="V1080" s="283">
        <f t="shared" si="96"/>
        <v>0.31609999999999994</v>
      </c>
      <c r="W1080" s="61">
        <f>Table3.110[[#This Row],[DM Incubated, mg]]-('3.2 Digest'!V1080*1000)</f>
        <v>174.95000000000016</v>
      </c>
      <c r="X1080" s="61">
        <f>W1080/Table3.110[[#This Row],[DM Incubated, mg]]*100</f>
        <v>35.627736483046561</v>
      </c>
      <c r="Y1080" s="31">
        <f>Table3.110[[#This Row],[DM Incubated, mg]]*'2.4 NDF'!R303/100</f>
        <v>361.19182750000004</v>
      </c>
      <c r="Z1080" s="61">
        <f t="shared" si="98"/>
        <v>45.091827500000136</v>
      </c>
      <c r="AA1080" s="61">
        <f t="shared" si="99"/>
        <v>12.484177123304411</v>
      </c>
      <c r="AB1080" s="6"/>
    </row>
    <row r="1081" spans="2:28" x14ac:dyDescent="0.35">
      <c r="B1081" s="230">
        <f t="shared" si="97"/>
        <v>1071</v>
      </c>
      <c r="C1081" s="9"/>
      <c r="D1081" s="248">
        <f>Table3.110[[#This Row],[Date]]</f>
        <v>46064</v>
      </c>
      <c r="E1081" s="230" t="str">
        <f>Table3.110[[#This Row],[Requisitioner]]</f>
        <v>Breeding</v>
      </c>
      <c r="F1081" s="230" t="str">
        <f>Table3.110[[#This Row],[Gene Bank ID]]</f>
        <v>CIAT-BH22_0528</v>
      </c>
      <c r="G1081" s="230" t="str">
        <f>Table3.110[[#This Row],[Genus]]</f>
        <v>Urochloa</v>
      </c>
      <c r="H1081" s="230" t="str">
        <f>Table3.110[[#This Row],[Species]]</f>
        <v>humidicola</v>
      </c>
      <c r="I1081" s="230" t="str">
        <f>Table3.110[[#This Row],[Tax Name]]</f>
        <v>Urochloa humidicola</v>
      </c>
      <c r="J1081" s="230" t="str">
        <f>Table3.110[[#This Row],[Family]]</f>
        <v>Poaceae</v>
      </c>
      <c r="K1081" s="230" t="str">
        <f>Table3.110[[#This Row],[Order]]</f>
        <v>Poales</v>
      </c>
      <c r="L1081" s="230" t="str">
        <f>Table3.110[[#This Row],[Functional Group]]</f>
        <v>grasses</v>
      </c>
      <c r="M1081" s="230" t="str">
        <f>Table3.110[[#This Row],[CIAT ID]]</f>
        <v>F252166</v>
      </c>
      <c r="N1081" s="230">
        <f>Table3.110[[#This Row],[Set CIAT]]</f>
        <v>30</v>
      </c>
      <c r="O1081" s="230">
        <f>Table3.110[[#This Row],[Batch]]</f>
        <v>64</v>
      </c>
      <c r="P1081" s="230">
        <f>Table3.110[[#This Row],[Run]]</f>
        <v>1</v>
      </c>
      <c r="Q1081" s="230">
        <f>Table3.110[[#This Row],[Replication]]</f>
        <v>3</v>
      </c>
      <c r="R1081" s="230">
        <f>Table3.110[[#This Row],[Syrange No]]</f>
        <v>205</v>
      </c>
      <c r="S1081" s="98">
        <v>0.60199999999999998</v>
      </c>
      <c r="T1081" s="98">
        <v>0.875</v>
      </c>
      <c r="U1081" s="110"/>
      <c r="V1081" s="283">
        <f t="shared" si="96"/>
        <v>0.27300000000000002</v>
      </c>
      <c r="W1081" s="61">
        <f>Table3.110[[#This Row],[DM Incubated, mg]]-('3.2 Digest'!V1081*1000)</f>
        <v>218.24642</v>
      </c>
      <c r="X1081" s="61">
        <f>W1081/Table3.110[[#This Row],[DM Incubated, mg]]*100</f>
        <v>44.427075926578766</v>
      </c>
      <c r="Y1081" s="302">
        <f>Table3.110[[#This Row],[DM Incubated, mg]]*'2.4 NDF'!R303/100</f>
        <v>361.33630423100004</v>
      </c>
      <c r="Z1081" s="61">
        <f t="shared" si="98"/>
        <v>88.336304231000042</v>
      </c>
      <c r="AA1081" s="61">
        <f t="shared" si="99"/>
        <v>24.447115663896092</v>
      </c>
      <c r="AB1081" s="6"/>
    </row>
    <row r="1082" spans="2:28" x14ac:dyDescent="0.35">
      <c r="B1082" s="230">
        <f t="shared" si="97"/>
        <v>1072</v>
      </c>
      <c r="C1082" s="9"/>
      <c r="D1082" s="248">
        <f>Table3.110[[#This Row],[Date]]</f>
        <v>46064</v>
      </c>
      <c r="E1082" s="230" t="str">
        <f>Table3.110[[#This Row],[Requisitioner]]</f>
        <v>Jacobo Arango/Alejandro Montoya</v>
      </c>
      <c r="F1082" s="230" t="str">
        <f>Table3.110[[#This Row],[Gene Bank ID]]</f>
        <v>Sample 8</v>
      </c>
      <c r="G1082" s="230" t="str">
        <f>Table3.110[[#This Row],[Genus]]</f>
        <v>Cynodon</v>
      </c>
      <c r="H1082" s="230" t="str">
        <f>Table3.110[[#This Row],[Species]]</f>
        <v>nlemfuensis</v>
      </c>
      <c r="I1082" s="230" t="str">
        <f>Table3.110[[#This Row],[Tax Name]]</f>
        <v xml:space="preserve">Cynodon nlemfuensis </v>
      </c>
      <c r="J1082" s="230" t="str">
        <f>Table3.110[[#This Row],[Family]]</f>
        <v>Poaceae</v>
      </c>
      <c r="K1082" s="230" t="str">
        <f>Table3.110[[#This Row],[Order]]</f>
        <v>Poales</v>
      </c>
      <c r="L1082" s="230" t="str">
        <f>Table3.110[[#This Row],[Functional Group]]</f>
        <v>grasses</v>
      </c>
      <c r="M1082" s="230" t="str">
        <f>Table3.110[[#This Row],[CIAT ID]]</f>
        <v>F250008</v>
      </c>
      <c r="N1082" s="230">
        <f>Table3.110[[#This Row],[Set CIAT]]</f>
        <v>30</v>
      </c>
      <c r="O1082" s="230">
        <f>Table3.110[[#This Row],[Batch]]</f>
        <v>64</v>
      </c>
      <c r="P1082" s="230">
        <f>Table3.110[[#This Row],[Run]]</f>
        <v>1</v>
      </c>
      <c r="Q1082" s="230">
        <f>Table3.110[[#This Row],[Replication]]</f>
        <v>1</v>
      </c>
      <c r="R1082" s="230">
        <f>Table3.110[[#This Row],[Syrange No]]</f>
        <v>206</v>
      </c>
      <c r="S1082" s="250">
        <v>0.59440000000000004</v>
      </c>
      <c r="T1082" s="250">
        <v>0.91869999999999996</v>
      </c>
      <c r="U1082" s="265" t="s">
        <v>594</v>
      </c>
      <c r="V1082" s="283">
        <f t="shared" si="96"/>
        <v>0.32429999999999992</v>
      </c>
      <c r="W1082" s="61">
        <f>Table3.110[[#This Row],[DM Incubated, mg]]-('3.2 Digest'!V1082*1000)</f>
        <v>144.20000000000005</v>
      </c>
      <c r="X1082" s="61">
        <f>W1082/Table3.110[[#This Row],[DM Incubated, mg]]*100</f>
        <v>30.779082177161165</v>
      </c>
      <c r="Y1082" s="31">
        <f>Table3.110[[#This Row],[DM Incubated, mg]]*'2.4 NDF'!R305/100</f>
        <v>356.52849999999989</v>
      </c>
      <c r="Z1082" s="61">
        <f t="shared" si="98"/>
        <v>32.228499999999997</v>
      </c>
      <c r="AA1082" s="61">
        <f t="shared" si="99"/>
        <v>9.0395297991605172</v>
      </c>
      <c r="AB1082" s="6"/>
    </row>
    <row r="1083" spans="2:28" x14ac:dyDescent="0.35">
      <c r="B1083" s="230">
        <f t="shared" si="97"/>
        <v>1073</v>
      </c>
      <c r="C1083" s="9"/>
      <c r="D1083" s="248">
        <f>Table3.110[[#This Row],[Date]]</f>
        <v>46064</v>
      </c>
      <c r="E1083" s="230" t="str">
        <f>Table3.110[[#This Row],[Requisitioner]]</f>
        <v>Jacobo Arango/Alejandro Montoya</v>
      </c>
      <c r="F1083" s="230" t="str">
        <f>Table3.110[[#This Row],[Gene Bank ID]]</f>
        <v>Sample 8</v>
      </c>
      <c r="G1083" s="230" t="str">
        <f>Table3.110[[#This Row],[Genus]]</f>
        <v>Cynodon</v>
      </c>
      <c r="H1083" s="230" t="str">
        <f>Table3.110[[#This Row],[Species]]</f>
        <v>nlemfuensis</v>
      </c>
      <c r="I1083" s="230" t="str">
        <f>Table3.110[[#This Row],[Tax Name]]</f>
        <v xml:space="preserve">Cynodon nlemfuensis </v>
      </c>
      <c r="J1083" s="230" t="str">
        <f>Table3.110[[#This Row],[Family]]</f>
        <v>Poaceae</v>
      </c>
      <c r="K1083" s="230" t="str">
        <f>Table3.110[[#This Row],[Order]]</f>
        <v>Poales</v>
      </c>
      <c r="L1083" s="230" t="str">
        <f>Table3.110[[#This Row],[Functional Group]]</f>
        <v>grasses</v>
      </c>
      <c r="M1083" s="230" t="str">
        <f>Table3.110[[#This Row],[CIAT ID]]</f>
        <v>F250008</v>
      </c>
      <c r="N1083" s="230">
        <f>Table3.110[[#This Row],[Set CIAT]]</f>
        <v>30</v>
      </c>
      <c r="O1083" s="230">
        <f>Table3.110[[#This Row],[Batch]]</f>
        <v>64</v>
      </c>
      <c r="P1083" s="230">
        <f>Table3.110[[#This Row],[Run]]</f>
        <v>1</v>
      </c>
      <c r="Q1083" s="230">
        <f>Table3.110[[#This Row],[Replication]]</f>
        <v>2</v>
      </c>
      <c r="R1083" s="230">
        <f>Table3.110[[#This Row],[Syrange No]]</f>
        <v>207</v>
      </c>
      <c r="S1083" s="98">
        <v>0.56850000000000001</v>
      </c>
      <c r="T1083" s="98">
        <v>0.86240000000000006</v>
      </c>
      <c r="U1083" s="110"/>
      <c r="V1083" s="283">
        <f t="shared" si="96"/>
        <v>0.29390000000000005</v>
      </c>
      <c r="W1083" s="61">
        <f>Table3.110[[#This Row],[DM Incubated, mg]]-('3.2 Digest'!V1083*1000)</f>
        <v>174.59999999999991</v>
      </c>
      <c r="X1083" s="61">
        <f>W1083/Table3.110[[#This Row],[DM Incubated, mg]]*100</f>
        <v>37.267876200640323</v>
      </c>
      <c r="Y1083" s="31">
        <f>Table3.110[[#This Row],[DM Incubated, mg]]*'2.4 NDF'!R305/100</f>
        <v>356.52849999999989</v>
      </c>
      <c r="Z1083" s="61">
        <f t="shared" si="98"/>
        <v>62.62849999999986</v>
      </c>
      <c r="AA1083" s="61">
        <f t="shared" si="99"/>
        <v>17.56619737272052</v>
      </c>
      <c r="AB1083" s="6"/>
    </row>
    <row r="1084" spans="2:28" x14ac:dyDescent="0.35">
      <c r="B1084" s="230">
        <f t="shared" si="97"/>
        <v>1074</v>
      </c>
      <c r="C1084" s="9"/>
      <c r="D1084" s="248">
        <f>Table3.110[[#This Row],[Date]]</f>
        <v>46064</v>
      </c>
      <c r="E1084" s="230" t="str">
        <f>Table3.110[[#This Row],[Requisitioner]]</f>
        <v>Jacobo Arango/Alejandro Montoya</v>
      </c>
      <c r="F1084" s="230" t="str">
        <f>Table3.110[[#This Row],[Gene Bank ID]]</f>
        <v>Sample 8</v>
      </c>
      <c r="G1084" s="230" t="str">
        <f>Table3.110[[#This Row],[Genus]]</f>
        <v>Cynodon</v>
      </c>
      <c r="H1084" s="230" t="str">
        <f>Table3.110[[#This Row],[Species]]</f>
        <v>nlemfuensis</v>
      </c>
      <c r="I1084" s="230" t="str">
        <f>Table3.110[[#This Row],[Tax Name]]</f>
        <v xml:space="preserve">Cynodon nlemfuensis </v>
      </c>
      <c r="J1084" s="230" t="str">
        <f>Table3.110[[#This Row],[Family]]</f>
        <v>Poaceae</v>
      </c>
      <c r="K1084" s="230" t="str">
        <f>Table3.110[[#This Row],[Order]]</f>
        <v>Poales</v>
      </c>
      <c r="L1084" s="230" t="str">
        <f>Table3.110[[#This Row],[Functional Group]]</f>
        <v>grasses</v>
      </c>
      <c r="M1084" s="230" t="str">
        <f>Table3.110[[#This Row],[CIAT ID]]</f>
        <v>F250008</v>
      </c>
      <c r="N1084" s="230">
        <f>Table3.110[[#This Row],[Set CIAT]]</f>
        <v>30</v>
      </c>
      <c r="O1084" s="230">
        <f>Table3.110[[#This Row],[Batch]]</f>
        <v>64</v>
      </c>
      <c r="P1084" s="230">
        <f>Table3.110[[#This Row],[Run]]</f>
        <v>1</v>
      </c>
      <c r="Q1084" s="230">
        <f>Table3.110[[#This Row],[Replication]]</f>
        <v>3</v>
      </c>
      <c r="R1084" s="230">
        <f>Table3.110[[#This Row],[Syrange No]]</f>
        <v>208</v>
      </c>
      <c r="S1084" s="250">
        <v>0.57509999999999994</v>
      </c>
      <c r="T1084" s="250">
        <v>0.9425</v>
      </c>
      <c r="U1084" s="265"/>
      <c r="V1084" s="283">
        <f t="shared" si="96"/>
        <v>0.36740000000000006</v>
      </c>
      <c r="W1084" s="61">
        <f>Table3.110[[#This Row],[DM Incubated, mg]]-('3.2 Digest'!V1084*1000)</f>
        <v>101.38109999999989</v>
      </c>
      <c r="X1084" s="61">
        <f>W1084/Table3.110[[#This Row],[DM Incubated, mg]]*100</f>
        <v>21.626533151613813</v>
      </c>
      <c r="Y1084" s="31">
        <f>Table3.110[[#This Row],[DM Incubated, mg]]*'2.4 NDF'!R305/100</f>
        <v>356.74241709999995</v>
      </c>
      <c r="Z1084" s="61">
        <f t="shared" si="98"/>
        <v>-10.657582900000079</v>
      </c>
      <c r="AA1084" s="61">
        <f t="shared" si="99"/>
        <v>-2.9874728625311207</v>
      </c>
      <c r="AB1084" s="6"/>
    </row>
    <row r="1085" spans="2:28" x14ac:dyDescent="0.35">
      <c r="B1085" s="230">
        <f t="shared" si="97"/>
        <v>1075</v>
      </c>
      <c r="C1085" s="9"/>
      <c r="D1085" s="248">
        <f>Table3.110[[#This Row],[Date]]</f>
        <v>46064</v>
      </c>
      <c r="E1085" s="230">
        <f>Table3.110[[#This Row],[Requisitioner]]</f>
        <v>0</v>
      </c>
      <c r="F1085" s="230" t="str">
        <f>Table3.110[[#This Row],[Gene Bank ID]]</f>
        <v>BLANK 24 H</v>
      </c>
      <c r="G1085" s="230" t="str">
        <f>Table3.110[[#This Row],[Genus]]</f>
        <v>BLANK</v>
      </c>
      <c r="H1085" s="230">
        <f>Table3.110[[#This Row],[Species]]</f>
        <v>24</v>
      </c>
      <c r="I1085" s="230" t="str">
        <f>Table3.110[[#This Row],[Tax Name]]</f>
        <v>BLANK 24 H</v>
      </c>
      <c r="J1085" s="230">
        <f>Table3.110[[#This Row],[Family]]</f>
        <v>0</v>
      </c>
      <c r="K1085" s="230">
        <f>Table3.110[[#This Row],[Order]]</f>
        <v>0</v>
      </c>
      <c r="L1085" s="230">
        <f>Table3.110[[#This Row],[Functional Group]]</f>
        <v>0</v>
      </c>
      <c r="M1085" s="230" t="str">
        <f>Table3.110[[#This Row],[CIAT ID]]</f>
        <v>BLANK24H</v>
      </c>
      <c r="N1085" s="230">
        <f>Table3.110[[#This Row],[Set CIAT]]</f>
        <v>30</v>
      </c>
      <c r="O1085" s="230">
        <f>Table3.110[[#This Row],[Batch]]</f>
        <v>64</v>
      </c>
      <c r="P1085" s="230">
        <f>Table3.110[[#This Row],[Run]]</f>
        <v>1</v>
      </c>
      <c r="Q1085" s="230">
        <f>Table3.110[[#This Row],[Replication]]</f>
        <v>1</v>
      </c>
      <c r="R1085" s="230">
        <f>Table3.110[[#This Row],[Syrange No]]</f>
        <v>209</v>
      </c>
      <c r="S1085" s="249"/>
      <c r="T1085" s="249"/>
      <c r="U1085" s="263"/>
      <c r="V1085" s="283"/>
      <c r="W1085" s="61"/>
      <c r="X1085" s="61"/>
      <c r="Y1085" s="31"/>
      <c r="Z1085" s="61"/>
      <c r="AA1085" s="61"/>
      <c r="AB1085" s="6"/>
    </row>
    <row r="1086" spans="2:28" x14ac:dyDescent="0.35">
      <c r="B1086" s="230">
        <f t="shared" si="97"/>
        <v>1076</v>
      </c>
      <c r="C1086" s="9"/>
      <c r="D1086" s="248">
        <f>Table3.110[[#This Row],[Date]]</f>
        <v>46064</v>
      </c>
      <c r="E1086" s="230">
        <f>Table3.110[[#This Row],[Requisitioner]]</f>
        <v>0</v>
      </c>
      <c r="F1086" s="230" t="str">
        <f>Table3.110[[#This Row],[Gene Bank ID]]</f>
        <v>BLANK 24 H</v>
      </c>
      <c r="G1086" s="230" t="str">
        <f>Table3.110[[#This Row],[Genus]]</f>
        <v>BLANK</v>
      </c>
      <c r="H1086" s="230">
        <f>Table3.110[[#This Row],[Species]]</f>
        <v>24</v>
      </c>
      <c r="I1086" s="230" t="str">
        <f>Table3.110[[#This Row],[Tax Name]]</f>
        <v>BLANK 24 H</v>
      </c>
      <c r="J1086" s="230">
        <f>Table3.110[[#This Row],[Family]]</f>
        <v>0</v>
      </c>
      <c r="K1086" s="230">
        <f>Table3.110[[#This Row],[Order]]</f>
        <v>0</v>
      </c>
      <c r="L1086" s="230">
        <f>Table3.110[[#This Row],[Functional Group]]</f>
        <v>0</v>
      </c>
      <c r="M1086" s="230" t="str">
        <f>Table3.110[[#This Row],[CIAT ID]]</f>
        <v>BLANK24H</v>
      </c>
      <c r="N1086" s="230">
        <f>Table3.110[[#This Row],[Set CIAT]]</f>
        <v>30</v>
      </c>
      <c r="O1086" s="230">
        <f>Table3.110[[#This Row],[Batch]]</f>
        <v>64</v>
      </c>
      <c r="P1086" s="230">
        <f>Table3.110[[#This Row],[Run]]</f>
        <v>1</v>
      </c>
      <c r="Q1086" s="230">
        <f>Table3.110[[#This Row],[Replication]]</f>
        <v>2</v>
      </c>
      <c r="R1086" s="230">
        <f>Table3.110[[#This Row],[Syrange No]]</f>
        <v>210</v>
      </c>
      <c r="S1086" s="249"/>
      <c r="T1086" s="249"/>
      <c r="U1086" s="263"/>
      <c r="V1086" s="283"/>
      <c r="W1086" s="61"/>
      <c r="X1086" s="61"/>
      <c r="Y1086" s="31"/>
      <c r="Z1086" s="61"/>
      <c r="AA1086" s="61"/>
      <c r="AB1086" s="6"/>
    </row>
    <row r="1087" spans="2:28" x14ac:dyDescent="0.35">
      <c r="B1087" s="230">
        <f t="shared" si="97"/>
        <v>1077</v>
      </c>
      <c r="C1087" s="9"/>
      <c r="D1087" s="248">
        <f>Table3.110[[#This Row],[Date]]</f>
        <v>46083</v>
      </c>
      <c r="E1087" s="230">
        <f>Table3.110[[#This Row],[Requisitioner]]</f>
        <v>0</v>
      </c>
      <c r="F1087" s="230" t="str">
        <f>Table3.110[[#This Row],[Gene Bank ID]]</f>
        <v>BLANK 24 H</v>
      </c>
      <c r="G1087" s="230" t="str">
        <f>Table3.110[[#This Row],[Genus]]</f>
        <v>BLANK</v>
      </c>
      <c r="H1087" s="230">
        <f>Table3.110[[#This Row],[Species]]</f>
        <v>24</v>
      </c>
      <c r="I1087" s="230" t="str">
        <f>Table3.110[[#This Row],[Tax Name]]</f>
        <v>BLANK 24 H</v>
      </c>
      <c r="J1087" s="230">
        <f>Table3.110[[#This Row],[Family]]</f>
        <v>0</v>
      </c>
      <c r="K1087" s="230">
        <f>Table3.110[[#This Row],[Order]]</f>
        <v>0</v>
      </c>
      <c r="L1087" s="230">
        <f>Table3.110[[#This Row],[Functional Group]]</f>
        <v>0</v>
      </c>
      <c r="M1087" s="230" t="str">
        <f>Table3.110[[#This Row],[CIAT ID]]</f>
        <v>BLANK24H</v>
      </c>
      <c r="N1087" s="230">
        <f>Table3.110[[#This Row],[Set CIAT]]</f>
        <v>30</v>
      </c>
      <c r="O1087" s="230">
        <f>Table3.110[[#This Row],[Batch]]</f>
        <v>65</v>
      </c>
      <c r="P1087" s="230">
        <f>Table3.110[[#This Row],[Run]]</f>
        <v>2</v>
      </c>
      <c r="Q1087" s="230">
        <f>Table3.110[[#This Row],[Replication]]</f>
        <v>1</v>
      </c>
      <c r="R1087" s="230">
        <f>Table3.110[[#This Row],[Syrange No]]</f>
        <v>1</v>
      </c>
      <c r="S1087" s="249"/>
      <c r="T1087" s="249"/>
      <c r="U1087" s="300"/>
      <c r="V1087" s="283"/>
      <c r="W1087" s="61"/>
      <c r="X1087" s="61"/>
      <c r="Y1087" s="31"/>
      <c r="Z1087" s="61"/>
      <c r="AA1087" s="61"/>
      <c r="AB1087" s="6"/>
    </row>
    <row r="1088" spans="2:28" x14ac:dyDescent="0.35">
      <c r="B1088" s="230">
        <f t="shared" si="97"/>
        <v>1078</v>
      </c>
      <c r="C1088" s="9"/>
      <c r="D1088" s="248">
        <f>Table3.110[[#This Row],[Date]]</f>
        <v>46083</v>
      </c>
      <c r="E1088" s="230">
        <f>Table3.110[[#This Row],[Requisitioner]]</f>
        <v>0</v>
      </c>
      <c r="F1088" s="230" t="str">
        <f>Table3.110[[#This Row],[Gene Bank ID]]</f>
        <v>BLANK 24 H</v>
      </c>
      <c r="G1088" s="230" t="str">
        <f>Table3.110[[#This Row],[Genus]]</f>
        <v>BLANK</v>
      </c>
      <c r="H1088" s="230">
        <f>Table3.110[[#This Row],[Species]]</f>
        <v>24</v>
      </c>
      <c r="I1088" s="230" t="str">
        <f>Table3.110[[#This Row],[Tax Name]]</f>
        <v>BLANK 24 H</v>
      </c>
      <c r="J1088" s="230">
        <f>Table3.110[[#This Row],[Family]]</f>
        <v>0</v>
      </c>
      <c r="K1088" s="230">
        <f>Table3.110[[#This Row],[Order]]</f>
        <v>0</v>
      </c>
      <c r="L1088" s="230">
        <f>Table3.110[[#This Row],[Functional Group]]</f>
        <v>0</v>
      </c>
      <c r="M1088" s="230" t="str">
        <f>Table3.110[[#This Row],[CIAT ID]]</f>
        <v>BLANK24H</v>
      </c>
      <c r="N1088" s="230">
        <f>Table3.110[[#This Row],[Set CIAT]]</f>
        <v>30</v>
      </c>
      <c r="O1088" s="230">
        <f>Table3.110[[#This Row],[Batch]]</f>
        <v>65</v>
      </c>
      <c r="P1088" s="230">
        <f>Table3.110[[#This Row],[Run]]</f>
        <v>2</v>
      </c>
      <c r="Q1088" s="230">
        <f>Table3.110[[#This Row],[Replication]]</f>
        <v>2</v>
      </c>
      <c r="R1088" s="230">
        <f>Table3.110[[#This Row],[Syrange No]]</f>
        <v>2</v>
      </c>
      <c r="S1088" s="148"/>
      <c r="T1088" s="148"/>
      <c r="U1088" s="301"/>
      <c r="V1088" s="283"/>
      <c r="W1088" s="61"/>
      <c r="X1088" s="61"/>
      <c r="Y1088" s="31"/>
      <c r="Z1088" s="61"/>
      <c r="AA1088" s="61"/>
      <c r="AB1088" s="6"/>
    </row>
    <row r="1089" spans="2:28" x14ac:dyDescent="0.35">
      <c r="B1089" s="230">
        <f t="shared" si="97"/>
        <v>1079</v>
      </c>
      <c r="C1089" s="9"/>
      <c r="D1089" s="248">
        <f>Table3.110[[#This Row],[Date]]</f>
        <v>46083</v>
      </c>
      <c r="E1089" s="230" t="str">
        <f>Table3.110[[#This Row],[Requisitioner]]</f>
        <v>Genbank</v>
      </c>
      <c r="F1089" s="230" t="str">
        <f>Table3.110[[#This Row],[Gene Bank ID]]</f>
        <v>CIAT590</v>
      </c>
      <c r="G1089" s="230" t="str">
        <f>Table3.110[[#This Row],[Genus]]</f>
        <v>Macroptilium</v>
      </c>
      <c r="H1089" s="230" t="str">
        <f>Table3.110[[#This Row],[Species]]</f>
        <v>bracteatum</v>
      </c>
      <c r="I1089" s="230" t="str">
        <f>Table3.110[[#This Row],[Tax Name]]</f>
        <v>Macroptilium bracteatum</v>
      </c>
      <c r="J1089" s="230" t="str">
        <f>Table3.110[[#This Row],[Family]]</f>
        <v>Fabaceae</v>
      </c>
      <c r="K1089" s="230" t="str">
        <f>Table3.110[[#This Row],[Order]]</f>
        <v>Fabales</v>
      </c>
      <c r="L1089" s="230" t="str">
        <f>Table3.110[[#This Row],[Functional Group]]</f>
        <v>Herbaceous</v>
      </c>
      <c r="M1089" s="230" t="str">
        <f>Table3.110[[#This Row],[CIAT ID]]</f>
        <v>F260013</v>
      </c>
      <c r="N1089" s="230">
        <f>Table3.110[[#This Row],[Set CIAT]]</f>
        <v>30</v>
      </c>
      <c r="O1089" s="230">
        <f>Table3.110[[#This Row],[Batch]]</f>
        <v>65</v>
      </c>
      <c r="P1089" s="230">
        <f>Table3.110[[#This Row],[Run]]</f>
        <v>2</v>
      </c>
      <c r="Q1089" s="230">
        <f>Table3.110[[#This Row],[Replication]]</f>
        <v>1</v>
      </c>
      <c r="R1089" s="230">
        <f>Table3.110[[#This Row],[Syrange No]]</f>
        <v>3</v>
      </c>
      <c r="S1089" s="250">
        <v>0.5675</v>
      </c>
      <c r="T1089" s="250">
        <v>0.82469999999999999</v>
      </c>
      <c r="U1089" s="25"/>
      <c r="V1089" s="283">
        <f t="shared" si="96"/>
        <v>0.25719999999999998</v>
      </c>
      <c r="W1089" s="61">
        <f>Table3.110[[#This Row],[DM Incubated, mg]]-('3.2 Digest'!V1089*1000)</f>
        <v>205.99986857315776</v>
      </c>
      <c r="X1089" s="61">
        <f>W1089/Table3.110[[#This Row],[DM Incubated, mg]]*100</f>
        <v>44.473213951402954</v>
      </c>
      <c r="Y1089" s="31">
        <f>Table3.110[[#This Row],[DM Incubated, mg]]*'2.4 NDF'!R241/100</f>
        <v>256.89313686948913</v>
      </c>
      <c r="Z1089" s="61">
        <f t="shared" si="98"/>
        <v>-0.30686313051086245</v>
      </c>
      <c r="AA1089" s="61">
        <f t="shared" si="99"/>
        <v>-0.11945166548640022</v>
      </c>
      <c r="AB1089" s="6"/>
    </row>
    <row r="1090" spans="2:28" x14ac:dyDescent="0.35">
      <c r="B1090" s="230">
        <f t="shared" si="97"/>
        <v>1080</v>
      </c>
      <c r="C1090" s="9"/>
      <c r="D1090" s="248">
        <f>Table3.110[[#This Row],[Date]]</f>
        <v>46083</v>
      </c>
      <c r="E1090" s="230" t="str">
        <f>Table3.110[[#This Row],[Requisitioner]]</f>
        <v>Genbank</v>
      </c>
      <c r="F1090" s="230" t="str">
        <f>Table3.110[[#This Row],[Gene Bank ID]]</f>
        <v>CIAT590</v>
      </c>
      <c r="G1090" s="230" t="str">
        <f>Table3.110[[#This Row],[Genus]]</f>
        <v>Macroptilium</v>
      </c>
      <c r="H1090" s="230" t="str">
        <f>Table3.110[[#This Row],[Species]]</f>
        <v>bracteatum</v>
      </c>
      <c r="I1090" s="230" t="str">
        <f>Table3.110[[#This Row],[Tax Name]]</f>
        <v>Macroptilium bracteatum</v>
      </c>
      <c r="J1090" s="230" t="str">
        <f>Table3.110[[#This Row],[Family]]</f>
        <v>Fabaceae</v>
      </c>
      <c r="K1090" s="230" t="str">
        <f>Table3.110[[#This Row],[Order]]</f>
        <v>Fabales</v>
      </c>
      <c r="L1090" s="230" t="str">
        <f>Table3.110[[#This Row],[Functional Group]]</f>
        <v>Herbaceous</v>
      </c>
      <c r="M1090" s="230" t="str">
        <f>Table3.110[[#This Row],[CIAT ID]]</f>
        <v>F260013</v>
      </c>
      <c r="N1090" s="230">
        <f>Table3.110[[#This Row],[Set CIAT]]</f>
        <v>30</v>
      </c>
      <c r="O1090" s="230">
        <f>Table3.110[[#This Row],[Batch]]</f>
        <v>65</v>
      </c>
      <c r="P1090" s="230">
        <f>Table3.110[[#This Row],[Run]]</f>
        <v>2</v>
      </c>
      <c r="Q1090" s="230">
        <f>Table3.110[[#This Row],[Replication]]</f>
        <v>2</v>
      </c>
      <c r="R1090" s="230">
        <f>Table3.110[[#This Row],[Syrange No]]</f>
        <v>4</v>
      </c>
      <c r="S1090" s="98">
        <v>0.59160000000000001</v>
      </c>
      <c r="T1090" s="98">
        <v>0.8085</v>
      </c>
      <c r="U1090" s="8"/>
      <c r="V1090" s="283">
        <f t="shared" ref="V1090:V1129" si="102">T1090-S1090</f>
        <v>0.21689999999999998</v>
      </c>
      <c r="W1090" s="61">
        <f>Table3.110[[#This Row],[DM Incubated, mg]]-('3.2 Digest'!V1090*1000)</f>
        <v>246.20726564061613</v>
      </c>
      <c r="X1090" s="61">
        <f>W1090/Table3.110[[#This Row],[DM Incubated, mg]]*100</f>
        <v>53.164198428205978</v>
      </c>
      <c r="Y1090" s="31">
        <f>Table3.110[[#This Row],[DM Incubated, mg]]*'2.4 NDF'!R241/100</f>
        <v>256.84177878534882</v>
      </c>
      <c r="Z1090" s="61">
        <f t="shared" si="98"/>
        <v>39.941778785348845</v>
      </c>
      <c r="AA1090" s="61">
        <f t="shared" si="99"/>
        <v>15.551122163318107</v>
      </c>
      <c r="AB1090" s="6"/>
    </row>
    <row r="1091" spans="2:28" x14ac:dyDescent="0.35">
      <c r="B1091" s="230">
        <f t="shared" si="97"/>
        <v>1081</v>
      </c>
      <c r="C1091" s="9"/>
      <c r="D1091" s="248">
        <f>Table3.110[[#This Row],[Date]]</f>
        <v>46083</v>
      </c>
      <c r="E1091" s="230" t="str">
        <f>Table3.110[[#This Row],[Requisitioner]]</f>
        <v>Genbank</v>
      </c>
      <c r="F1091" s="230" t="str">
        <f>Table3.110[[#This Row],[Gene Bank ID]]</f>
        <v>CIAT778</v>
      </c>
      <c r="G1091" s="230" t="str">
        <f>Table3.110[[#This Row],[Genus]]</f>
        <v>Macroptilium</v>
      </c>
      <c r="H1091" s="230" t="str">
        <f>Table3.110[[#This Row],[Species]]</f>
        <v>atropurpureum</v>
      </c>
      <c r="I1091" s="230" t="str">
        <f>Table3.110[[#This Row],[Tax Name]]</f>
        <v>Macroptilium atropurpureum</v>
      </c>
      <c r="J1091" s="230" t="str">
        <f>Table3.110[[#This Row],[Family]]</f>
        <v>Fabaceae</v>
      </c>
      <c r="K1091" s="230" t="str">
        <f>Table3.110[[#This Row],[Order]]</f>
        <v>Fabales</v>
      </c>
      <c r="L1091" s="230" t="str">
        <f>Table3.110[[#This Row],[Functional Group]]</f>
        <v>Herbaceous</v>
      </c>
      <c r="M1091" s="230" t="str">
        <f>Table3.110[[#This Row],[CIAT ID]]</f>
        <v>F260014</v>
      </c>
      <c r="N1091" s="230">
        <f>Table3.110[[#This Row],[Set CIAT]]</f>
        <v>30</v>
      </c>
      <c r="O1091" s="230">
        <f>Table3.110[[#This Row],[Batch]]</f>
        <v>65</v>
      </c>
      <c r="P1091" s="230">
        <f>Table3.110[[#This Row],[Run]]</f>
        <v>2</v>
      </c>
      <c r="Q1091" s="230">
        <f>Table3.110[[#This Row],[Replication]]</f>
        <v>1</v>
      </c>
      <c r="R1091" s="230">
        <f>Table3.110[[#This Row],[Syrange No]]</f>
        <v>5</v>
      </c>
      <c r="S1091" s="250">
        <v>0.56289999999999996</v>
      </c>
      <c r="T1091" s="250">
        <v>0.81910000000000005</v>
      </c>
      <c r="U1091" s="8"/>
      <c r="V1091" s="283">
        <f t="shared" si="102"/>
        <v>0.25620000000000009</v>
      </c>
      <c r="W1091" s="61">
        <f>Table3.110[[#This Row],[DM Incubated, mg]]-('3.2 Digest'!V1091*1000)</f>
        <v>206.9925875950355</v>
      </c>
      <c r="X1091" s="61">
        <f>W1091/Table3.110[[#This Row],[DM Incubated, mg]]*100</f>
        <v>44.688234038841514</v>
      </c>
      <c r="Y1091" s="31">
        <f>Table3.110[[#This Row],[DM Incubated, mg]]*'2.4 NDF'!R243/100</f>
        <v>244.6738541341397</v>
      </c>
      <c r="Z1091" s="61">
        <f t="shared" si="98"/>
        <v>-11.5261458658604</v>
      </c>
      <c r="AA1091" s="61">
        <f t="shared" si="99"/>
        <v>-4.7108204130145106</v>
      </c>
      <c r="AB1091" s="6"/>
    </row>
    <row r="1092" spans="2:28" x14ac:dyDescent="0.35">
      <c r="B1092" s="230">
        <f t="shared" si="97"/>
        <v>1082</v>
      </c>
      <c r="C1092" s="9"/>
      <c r="D1092" s="248">
        <f>Table3.110[[#This Row],[Date]]</f>
        <v>46083</v>
      </c>
      <c r="E1092" s="230" t="str">
        <f>Table3.110[[#This Row],[Requisitioner]]</f>
        <v>Genbank</v>
      </c>
      <c r="F1092" s="230" t="str">
        <f>Table3.110[[#This Row],[Gene Bank ID]]</f>
        <v>CIAT778</v>
      </c>
      <c r="G1092" s="230" t="str">
        <f>Table3.110[[#This Row],[Genus]]</f>
        <v>Macroptilium</v>
      </c>
      <c r="H1092" s="230" t="str">
        <f>Table3.110[[#This Row],[Species]]</f>
        <v>atropurpureum</v>
      </c>
      <c r="I1092" s="230" t="str">
        <f>Table3.110[[#This Row],[Tax Name]]</f>
        <v>Macroptilium atropurpureum</v>
      </c>
      <c r="J1092" s="230" t="str">
        <f>Table3.110[[#This Row],[Family]]</f>
        <v>Fabaceae</v>
      </c>
      <c r="K1092" s="230" t="str">
        <f>Table3.110[[#This Row],[Order]]</f>
        <v>Fabales</v>
      </c>
      <c r="L1092" s="230" t="str">
        <f>Table3.110[[#This Row],[Functional Group]]</f>
        <v>Herbaceous</v>
      </c>
      <c r="M1092" s="230" t="str">
        <f>Table3.110[[#This Row],[CIAT ID]]</f>
        <v>F260014</v>
      </c>
      <c r="N1092" s="230">
        <f>Table3.110[[#This Row],[Set CIAT]]</f>
        <v>30</v>
      </c>
      <c r="O1092" s="230">
        <f>Table3.110[[#This Row],[Batch]]</f>
        <v>65</v>
      </c>
      <c r="P1092" s="230">
        <f>Table3.110[[#This Row],[Run]]</f>
        <v>2</v>
      </c>
      <c r="Q1092" s="230">
        <f>Table3.110[[#This Row],[Replication]]</f>
        <v>2</v>
      </c>
      <c r="R1092" s="230">
        <f>Table3.110[[#This Row],[Syrange No]]</f>
        <v>6</v>
      </c>
      <c r="S1092" s="98">
        <v>0.55720000000000003</v>
      </c>
      <c r="T1092" s="98">
        <v>0.81899999999999995</v>
      </c>
      <c r="U1092" s="25"/>
      <c r="V1092" s="283">
        <f t="shared" si="102"/>
        <v>0.26179999999999992</v>
      </c>
      <c r="W1092" s="61">
        <f>Table3.110[[#This Row],[DM Incubated, mg]]-('3.2 Digest'!V1092*1000)</f>
        <v>201.20742165955903</v>
      </c>
      <c r="X1092" s="61">
        <f>W1092/Table3.110[[#This Row],[DM Incubated, mg]]*100</f>
        <v>43.456629904196923</v>
      </c>
      <c r="Y1092" s="302">
        <f>Table3.110[[#This Row],[DM Incubated, mg]]*'2.4 NDF'!R243/100</f>
        <v>244.57604327899918</v>
      </c>
      <c r="Z1092" s="61">
        <f t="shared" si="98"/>
        <v>-17.223956721000718</v>
      </c>
      <c r="AA1092" s="61">
        <f t="shared" si="99"/>
        <v>-7.042372789289324</v>
      </c>
      <c r="AB1092" s="6"/>
    </row>
    <row r="1093" spans="2:28" x14ac:dyDescent="0.35">
      <c r="B1093" s="230">
        <f t="shared" si="97"/>
        <v>1083</v>
      </c>
      <c r="C1093" s="9"/>
      <c r="D1093" s="248">
        <f>Table3.110[[#This Row],[Date]]</f>
        <v>46083</v>
      </c>
      <c r="E1093" s="230" t="str">
        <f>Table3.110[[#This Row],[Requisitioner]]</f>
        <v>Genbank</v>
      </c>
      <c r="F1093" s="230" t="str">
        <f>Table3.110[[#This Row],[Gene Bank ID]]</f>
        <v>CIAT827</v>
      </c>
      <c r="G1093" s="230" t="str">
        <f>Table3.110[[#This Row],[Genus]]</f>
        <v>Indigofera</v>
      </c>
      <c r="H1093" s="230" t="str">
        <f>Table3.110[[#This Row],[Species]]</f>
        <v>jamaicensis</v>
      </c>
      <c r="I1093" s="230" t="str">
        <f>Table3.110[[#This Row],[Tax Name]]</f>
        <v>Indigofera jamaicensis</v>
      </c>
      <c r="J1093" s="230" t="str">
        <f>Table3.110[[#This Row],[Family]]</f>
        <v>Fabaceae</v>
      </c>
      <c r="K1093" s="230" t="str">
        <f>Table3.110[[#This Row],[Order]]</f>
        <v>Fabales</v>
      </c>
      <c r="L1093" s="230" t="str">
        <f>Table3.110[[#This Row],[Functional Group]]</f>
        <v>Herbaceous</v>
      </c>
      <c r="M1093" s="230" t="str">
        <f>Table3.110[[#This Row],[CIAT ID]]</f>
        <v>F260015</v>
      </c>
      <c r="N1093" s="230">
        <f>Table3.110[[#This Row],[Set CIAT]]</f>
        <v>30</v>
      </c>
      <c r="O1093" s="230">
        <f>Table3.110[[#This Row],[Batch]]</f>
        <v>65</v>
      </c>
      <c r="P1093" s="230">
        <f>Table3.110[[#This Row],[Run]]</f>
        <v>2</v>
      </c>
      <c r="Q1093" s="230">
        <f>Table3.110[[#This Row],[Replication]]</f>
        <v>1</v>
      </c>
      <c r="R1093" s="230">
        <f>Table3.110[[#This Row],[Syrange No]]</f>
        <v>7</v>
      </c>
      <c r="S1093" s="250">
        <v>0.56740000000000002</v>
      </c>
      <c r="T1093" s="250">
        <v>0.80420000000000003</v>
      </c>
      <c r="U1093" s="25"/>
      <c r="V1093" s="283">
        <f t="shared" si="102"/>
        <v>0.23680000000000001</v>
      </c>
      <c r="W1093" s="61">
        <f>Table3.110[[#This Row],[DM Incubated, mg]]-('3.2 Digest'!V1093*1000)</f>
        <v>237.30929499999985</v>
      </c>
      <c r="X1093" s="61">
        <f>W1093/Table3.110[[#This Row],[DM Incubated, mg]]*100</f>
        <v>50.053710716639699</v>
      </c>
      <c r="Y1093" s="31">
        <f>Table3.110[[#This Row],[DM Incubated, mg]]*'2.4 NDF'!R245/100</f>
        <v>225.67278554989335</v>
      </c>
      <c r="Z1093" s="61">
        <f t="shared" si="98"/>
        <v>-11.127214450106663</v>
      </c>
      <c r="AA1093" s="61">
        <f t="shared" si="99"/>
        <v>-4.93068511694627</v>
      </c>
      <c r="AB1093" s="6"/>
    </row>
    <row r="1094" spans="2:28" x14ac:dyDescent="0.35">
      <c r="B1094" s="230">
        <f t="shared" si="97"/>
        <v>1084</v>
      </c>
      <c r="C1094" s="9"/>
      <c r="D1094" s="248">
        <f>Table3.110[[#This Row],[Date]]</f>
        <v>46083</v>
      </c>
      <c r="E1094" s="230" t="str">
        <f>Table3.110[[#This Row],[Requisitioner]]</f>
        <v>Genbank</v>
      </c>
      <c r="F1094" s="230" t="str">
        <f>Table3.110[[#This Row],[Gene Bank ID]]</f>
        <v>CIAT827</v>
      </c>
      <c r="G1094" s="230" t="str">
        <f>Table3.110[[#This Row],[Genus]]</f>
        <v>Indigofera</v>
      </c>
      <c r="H1094" s="230" t="str">
        <f>Table3.110[[#This Row],[Species]]</f>
        <v>jamaicensis</v>
      </c>
      <c r="I1094" s="230" t="str">
        <f>Table3.110[[#This Row],[Tax Name]]</f>
        <v>Indigofera jamaicensis</v>
      </c>
      <c r="J1094" s="230" t="str">
        <f>Table3.110[[#This Row],[Family]]</f>
        <v>Fabaceae</v>
      </c>
      <c r="K1094" s="230" t="str">
        <f>Table3.110[[#This Row],[Order]]</f>
        <v>Fabales</v>
      </c>
      <c r="L1094" s="230" t="str">
        <f>Table3.110[[#This Row],[Functional Group]]</f>
        <v>Herbaceous</v>
      </c>
      <c r="M1094" s="230" t="str">
        <f>Table3.110[[#This Row],[CIAT ID]]</f>
        <v>F260015</v>
      </c>
      <c r="N1094" s="230">
        <f>Table3.110[[#This Row],[Set CIAT]]</f>
        <v>30</v>
      </c>
      <c r="O1094" s="230">
        <f>Table3.110[[#This Row],[Batch]]</f>
        <v>65</v>
      </c>
      <c r="P1094" s="230">
        <f>Table3.110[[#This Row],[Run]]</f>
        <v>2</v>
      </c>
      <c r="Q1094" s="230">
        <f>Table3.110[[#This Row],[Replication]]</f>
        <v>2</v>
      </c>
      <c r="R1094" s="230">
        <f>Table3.110[[#This Row],[Syrange No]]</f>
        <v>8</v>
      </c>
      <c r="S1094" s="98">
        <v>0.58150000000000002</v>
      </c>
      <c r="T1094" s="98">
        <v>0.81610000000000005</v>
      </c>
      <c r="U1094" s="8"/>
      <c r="V1094" s="283">
        <f t="shared" si="102"/>
        <v>0.23460000000000003</v>
      </c>
      <c r="W1094" s="61">
        <f>Table3.110[[#This Row],[DM Incubated, mg]]-('3.2 Digest'!V1094*1000)</f>
        <v>239.3197649999999</v>
      </c>
      <c r="X1094" s="61">
        <f>W1094/Table3.110[[#This Row],[DM Incubated, mg]]*100</f>
        <v>50.497949795362494</v>
      </c>
      <c r="Y1094" s="302">
        <f>Table3.110[[#This Row],[DM Incubated, mg]]*'2.4 NDF'!R245/100</f>
        <v>225.58257056466456</v>
      </c>
      <c r="Z1094" s="61">
        <f t="shared" si="98"/>
        <v>-9.0174294353354583</v>
      </c>
      <c r="AA1094" s="61">
        <f t="shared" si="99"/>
        <v>-3.9973963470509166</v>
      </c>
      <c r="AB1094" s="6"/>
    </row>
    <row r="1095" spans="2:28" x14ac:dyDescent="0.35">
      <c r="B1095" s="230">
        <f t="shared" si="97"/>
        <v>1085</v>
      </c>
      <c r="C1095" s="9"/>
      <c r="D1095" s="248">
        <f>Table3.110[[#This Row],[Date]]</f>
        <v>46083</v>
      </c>
      <c r="E1095" s="230" t="str">
        <f>Table3.110[[#This Row],[Requisitioner]]</f>
        <v>Genbank</v>
      </c>
      <c r="F1095" s="230" t="str">
        <f>Table3.110[[#This Row],[Gene Bank ID]]</f>
        <v>CIAT997</v>
      </c>
      <c r="G1095" s="230" t="str">
        <f>Table3.110[[#This Row],[Genus]]</f>
        <v>Macroptilium</v>
      </c>
      <c r="H1095" s="230" t="str">
        <f>Table3.110[[#This Row],[Species]]</f>
        <v>atropurpureum</v>
      </c>
      <c r="I1095" s="230" t="str">
        <f>Table3.110[[#This Row],[Tax Name]]</f>
        <v>Macroptilium atropurpureum</v>
      </c>
      <c r="J1095" s="230" t="str">
        <f>Table3.110[[#This Row],[Family]]</f>
        <v>Fabaceae</v>
      </c>
      <c r="K1095" s="230" t="str">
        <f>Table3.110[[#This Row],[Order]]</f>
        <v>Fabales</v>
      </c>
      <c r="L1095" s="230" t="str">
        <f>Table3.110[[#This Row],[Functional Group]]</f>
        <v>Herbaceous</v>
      </c>
      <c r="M1095" s="230" t="str">
        <f>Table3.110[[#This Row],[CIAT ID]]</f>
        <v>F260016</v>
      </c>
      <c r="N1095" s="230">
        <f>Table3.110[[#This Row],[Set CIAT]]</f>
        <v>30</v>
      </c>
      <c r="O1095" s="230">
        <f>Table3.110[[#This Row],[Batch]]</f>
        <v>65</v>
      </c>
      <c r="P1095" s="230">
        <f>Table3.110[[#This Row],[Run]]</f>
        <v>2</v>
      </c>
      <c r="Q1095" s="230">
        <f>Table3.110[[#This Row],[Replication]]</f>
        <v>1</v>
      </c>
      <c r="R1095" s="230">
        <f>Table3.110[[#This Row],[Syrange No]]</f>
        <v>9</v>
      </c>
      <c r="S1095" s="250">
        <v>0.56710000000000005</v>
      </c>
      <c r="T1095" s="250">
        <v>0.86439999999999995</v>
      </c>
      <c r="U1095" s="8"/>
      <c r="V1095" s="283">
        <f t="shared" si="102"/>
        <v>0.2972999999999999</v>
      </c>
      <c r="W1095" s="61">
        <f>Table3.110[[#This Row],[DM Incubated, mg]]-('3.2 Digest'!V1095*1000)</f>
        <v>170.78711225148589</v>
      </c>
      <c r="X1095" s="61">
        <f>W1095/Table3.110[[#This Row],[DM Incubated, mg]]*100</f>
        <v>36.486181264424204</v>
      </c>
      <c r="Y1095" s="31">
        <f>Table3.110[[#This Row],[DM Incubated, mg]]*'2.4 NDF'!R247/100</f>
        <v>237.90248788931186</v>
      </c>
      <c r="Z1095" s="61">
        <f t="shared" si="98"/>
        <v>-59.397512110688041</v>
      </c>
      <c r="AA1095" s="61">
        <f t="shared" si="99"/>
        <v>-24.967167278353024</v>
      </c>
      <c r="AB1095" s="6"/>
    </row>
    <row r="1096" spans="2:28" x14ac:dyDescent="0.35">
      <c r="B1096" s="230">
        <f t="shared" si="97"/>
        <v>1086</v>
      </c>
      <c r="C1096" s="9"/>
      <c r="D1096" s="248">
        <f>Table3.110[[#This Row],[Date]]</f>
        <v>46083</v>
      </c>
      <c r="E1096" s="230" t="str">
        <f>Table3.110[[#This Row],[Requisitioner]]</f>
        <v>Genbank</v>
      </c>
      <c r="F1096" s="230" t="str">
        <f>Table3.110[[#This Row],[Gene Bank ID]]</f>
        <v>CIAT997</v>
      </c>
      <c r="G1096" s="230" t="str">
        <f>Table3.110[[#This Row],[Genus]]</f>
        <v>Macroptilium</v>
      </c>
      <c r="H1096" s="230" t="str">
        <f>Table3.110[[#This Row],[Species]]</f>
        <v>atropurpureum</v>
      </c>
      <c r="I1096" s="230" t="str">
        <f>Table3.110[[#This Row],[Tax Name]]</f>
        <v>Macroptilium atropurpureum</v>
      </c>
      <c r="J1096" s="230" t="str">
        <f>Table3.110[[#This Row],[Family]]</f>
        <v>Fabaceae</v>
      </c>
      <c r="K1096" s="230" t="str">
        <f>Table3.110[[#This Row],[Order]]</f>
        <v>Fabales</v>
      </c>
      <c r="L1096" s="230" t="str">
        <f>Table3.110[[#This Row],[Functional Group]]</f>
        <v>Herbaceous</v>
      </c>
      <c r="M1096" s="230" t="str">
        <f>Table3.110[[#This Row],[CIAT ID]]</f>
        <v>F260016</v>
      </c>
      <c r="N1096" s="230">
        <f>Table3.110[[#This Row],[Set CIAT]]</f>
        <v>30</v>
      </c>
      <c r="O1096" s="230">
        <f>Table3.110[[#This Row],[Batch]]</f>
        <v>65</v>
      </c>
      <c r="P1096" s="230">
        <f>Table3.110[[#This Row],[Run]]</f>
        <v>2</v>
      </c>
      <c r="Q1096" s="230">
        <f>Table3.110[[#This Row],[Replication]]</f>
        <v>2</v>
      </c>
      <c r="R1096" s="230">
        <f>Table3.110[[#This Row],[Syrange No]]</f>
        <v>10</v>
      </c>
      <c r="S1096" s="98">
        <v>0.59299999999999997</v>
      </c>
      <c r="T1096" s="98">
        <v>0.84119999999999995</v>
      </c>
      <c r="U1096" s="25" t="s">
        <v>551</v>
      </c>
      <c r="V1096" s="283">
        <f t="shared" si="102"/>
        <v>0.24819999999999998</v>
      </c>
      <c r="W1096" s="61">
        <f>Table3.110[[#This Row],[DM Incubated, mg]]-('3.2 Digest'!V1096*1000)</f>
        <v>219.60642839444915</v>
      </c>
      <c r="X1096" s="61">
        <f>W1096/Table3.110[[#This Row],[DM Incubated, mg]]*100</f>
        <v>46.94386717774632</v>
      </c>
      <c r="Y1096" s="31">
        <f>Table3.110[[#This Row],[DM Incubated, mg]]*'2.4 NDF'!R247/100</f>
        <v>237.75983199011779</v>
      </c>
      <c r="Z1096" s="61">
        <f t="shared" si="98"/>
        <v>-10.4401680098822</v>
      </c>
      <c r="AA1096" s="61">
        <f t="shared" si="99"/>
        <v>-4.3910562698900852</v>
      </c>
      <c r="AB1096" s="6"/>
    </row>
    <row r="1097" spans="2:28" x14ac:dyDescent="0.35">
      <c r="B1097" s="230">
        <f t="shared" si="97"/>
        <v>1087</v>
      </c>
      <c r="C1097" s="9"/>
      <c r="D1097" s="248">
        <f>Table3.110[[#This Row],[Date]]</f>
        <v>46083</v>
      </c>
      <c r="E1097" s="230" t="str">
        <f>Table3.110[[#This Row],[Requisitioner]]</f>
        <v>Genbank</v>
      </c>
      <c r="F1097" s="230" t="str">
        <f>Table3.110[[#This Row],[Gene Bank ID]]</f>
        <v>CIAT1405</v>
      </c>
      <c r="G1097" s="230" t="str">
        <f>Table3.110[[#This Row],[Genus]]</f>
        <v>Stylosanthes</v>
      </c>
      <c r="H1097" s="230" t="str">
        <f>Table3.110[[#This Row],[Species]]</f>
        <v>capitata</v>
      </c>
      <c r="I1097" s="230" t="str">
        <f>Table3.110[[#This Row],[Tax Name]]</f>
        <v>Stylosanthes capitata</v>
      </c>
      <c r="J1097" s="230" t="str">
        <f>Table3.110[[#This Row],[Family]]</f>
        <v>Fabaceae</v>
      </c>
      <c r="K1097" s="230" t="str">
        <f>Table3.110[[#This Row],[Order]]</f>
        <v>Fabales</v>
      </c>
      <c r="L1097" s="230" t="str">
        <f>Table3.110[[#This Row],[Functional Group]]</f>
        <v>Herbaceous</v>
      </c>
      <c r="M1097" s="230" t="str">
        <f>Table3.110[[#This Row],[CIAT ID]]</f>
        <v>F260017</v>
      </c>
      <c r="N1097" s="230">
        <f>Table3.110[[#This Row],[Set CIAT]]</f>
        <v>30</v>
      </c>
      <c r="O1097" s="230">
        <f>Table3.110[[#This Row],[Batch]]</f>
        <v>65</v>
      </c>
      <c r="P1097" s="230">
        <f>Table3.110[[#This Row],[Run]]</f>
        <v>2</v>
      </c>
      <c r="Q1097" s="230">
        <f>Table3.110[[#This Row],[Replication]]</f>
        <v>1</v>
      </c>
      <c r="R1097" s="230">
        <f>Table3.110[[#This Row],[Syrange No]]</f>
        <v>11</v>
      </c>
      <c r="S1097" s="250">
        <v>0.57499999999999996</v>
      </c>
      <c r="T1097" s="250">
        <v>0.84699999999999998</v>
      </c>
      <c r="U1097" s="25" t="s">
        <v>595</v>
      </c>
      <c r="V1097" s="283">
        <f t="shared" si="102"/>
        <v>0.27200000000000002</v>
      </c>
      <c r="W1097" s="61">
        <f>Table3.110[[#This Row],[DM Incubated, mg]]-('3.2 Digest'!V1097*1000)</f>
        <v>201.41822675195095</v>
      </c>
      <c r="X1097" s="61">
        <f>W1097/Table3.110[[#This Row],[DM Incubated, mg]]*100</f>
        <v>42.545515861070704</v>
      </c>
      <c r="Y1097" s="31">
        <f>Table3.110[[#This Row],[DM Incubated, mg]]*'2.4 NDF'!R249/100</f>
        <v>288.09750415199522</v>
      </c>
      <c r="Z1097" s="61">
        <f t="shared" si="98"/>
        <v>16.097504151995224</v>
      </c>
      <c r="AA1097" s="61">
        <f t="shared" si="99"/>
        <v>5.587519475178258</v>
      </c>
      <c r="AB1097" s="6"/>
    </row>
    <row r="1098" spans="2:28" x14ac:dyDescent="0.35">
      <c r="B1098" s="230">
        <f t="shared" si="97"/>
        <v>1088</v>
      </c>
      <c r="C1098" s="9"/>
      <c r="D1098" s="248">
        <f>Table3.110[[#This Row],[Date]]</f>
        <v>46083</v>
      </c>
      <c r="E1098" s="230" t="str">
        <f>Table3.110[[#This Row],[Requisitioner]]</f>
        <v>Genbank</v>
      </c>
      <c r="F1098" s="230" t="str">
        <f>Table3.110[[#This Row],[Gene Bank ID]]</f>
        <v>CIAT1405</v>
      </c>
      <c r="G1098" s="230" t="str">
        <f>Table3.110[[#This Row],[Genus]]</f>
        <v>Stylosanthes</v>
      </c>
      <c r="H1098" s="230" t="str">
        <f>Table3.110[[#This Row],[Species]]</f>
        <v>capitata</v>
      </c>
      <c r="I1098" s="230" t="str">
        <f>Table3.110[[#This Row],[Tax Name]]</f>
        <v>Stylosanthes capitata</v>
      </c>
      <c r="J1098" s="230" t="str">
        <f>Table3.110[[#This Row],[Family]]</f>
        <v>Fabaceae</v>
      </c>
      <c r="K1098" s="230" t="str">
        <f>Table3.110[[#This Row],[Order]]</f>
        <v>Fabales</v>
      </c>
      <c r="L1098" s="230" t="str">
        <f>Table3.110[[#This Row],[Functional Group]]</f>
        <v>Herbaceous</v>
      </c>
      <c r="M1098" s="230" t="str">
        <f>Table3.110[[#This Row],[CIAT ID]]</f>
        <v>F260017</v>
      </c>
      <c r="N1098" s="230">
        <f>Table3.110[[#This Row],[Set CIAT]]</f>
        <v>30</v>
      </c>
      <c r="O1098" s="230">
        <f>Table3.110[[#This Row],[Batch]]</f>
        <v>65</v>
      </c>
      <c r="P1098" s="230">
        <f>Table3.110[[#This Row],[Run]]</f>
        <v>2</v>
      </c>
      <c r="Q1098" s="230">
        <f>Table3.110[[#This Row],[Replication]]</f>
        <v>2</v>
      </c>
      <c r="R1098" s="230">
        <f>Table3.110[[#This Row],[Syrange No]]</f>
        <v>12</v>
      </c>
      <c r="S1098" s="98">
        <v>0.58620000000000005</v>
      </c>
      <c r="T1098" s="98">
        <v>0.85340000000000005</v>
      </c>
      <c r="U1098" s="8"/>
      <c r="V1098" s="283">
        <f t="shared" si="102"/>
        <v>0.26719999999999999</v>
      </c>
      <c r="W1098" s="61">
        <f>Table3.110[[#This Row],[DM Incubated, mg]]-('3.2 Digest'!V1098*1000)</f>
        <v>206.12359988272209</v>
      </c>
      <c r="X1098" s="61">
        <f>W1098/Table3.110[[#This Row],[DM Incubated, mg]]*100</f>
        <v>43.548134919491538</v>
      </c>
      <c r="Y1098" s="302">
        <f>Table3.110[[#This Row],[DM Incubated, mg]]*'2.4 NDF'!R249/100</f>
        <v>288.03991920213468</v>
      </c>
      <c r="Z1098" s="61">
        <f t="shared" si="98"/>
        <v>20.839919202134695</v>
      </c>
      <c r="AA1098" s="61">
        <f t="shared" si="99"/>
        <v>7.2350802138331698</v>
      </c>
      <c r="AB1098" s="6"/>
    </row>
    <row r="1099" spans="2:28" x14ac:dyDescent="0.35">
      <c r="B1099" s="230">
        <f t="shared" si="97"/>
        <v>1089</v>
      </c>
      <c r="C1099" s="9"/>
      <c r="D1099" s="248">
        <f>Table3.110[[#This Row],[Date]]</f>
        <v>46083</v>
      </c>
      <c r="E1099" s="230" t="str">
        <f>Table3.110[[#This Row],[Requisitioner]]</f>
        <v>Genbank</v>
      </c>
      <c r="F1099" s="230" t="str">
        <f>Table3.110[[#This Row],[Gene Bank ID]]</f>
        <v>CIAT1812</v>
      </c>
      <c r="G1099" s="230" t="str">
        <f>Table3.110[[#This Row],[Genus]]</f>
        <v>Stylosanthes</v>
      </c>
      <c r="H1099" s="230" t="str">
        <f>Table3.110[[#This Row],[Species]]</f>
        <v>viscosa</v>
      </c>
      <c r="I1099" s="230" t="str">
        <f>Table3.110[[#This Row],[Tax Name]]</f>
        <v>Stylosanthes viscosa</v>
      </c>
      <c r="J1099" s="230" t="str">
        <f>Table3.110[[#This Row],[Family]]</f>
        <v>Fabaceae</v>
      </c>
      <c r="K1099" s="230" t="str">
        <f>Table3.110[[#This Row],[Order]]</f>
        <v>Fabales</v>
      </c>
      <c r="L1099" s="230" t="str">
        <f>Table3.110[[#This Row],[Functional Group]]</f>
        <v>Herbaceous</v>
      </c>
      <c r="M1099" s="230" t="str">
        <f>Table3.110[[#This Row],[CIAT ID]]</f>
        <v>F260018</v>
      </c>
      <c r="N1099" s="230">
        <f>Table3.110[[#This Row],[Set CIAT]]</f>
        <v>30</v>
      </c>
      <c r="O1099" s="230">
        <f>Table3.110[[#This Row],[Batch]]</f>
        <v>65</v>
      </c>
      <c r="P1099" s="230">
        <f>Table3.110[[#This Row],[Run]]</f>
        <v>2</v>
      </c>
      <c r="Q1099" s="230">
        <f>Table3.110[[#This Row],[Replication]]</f>
        <v>1</v>
      </c>
      <c r="R1099" s="230">
        <f>Table3.110[[#This Row],[Syrange No]]</f>
        <v>13</v>
      </c>
      <c r="S1099" s="250">
        <v>0.56089999999999995</v>
      </c>
      <c r="T1099" s="250">
        <v>0.91279999999999994</v>
      </c>
      <c r="U1099" s="8"/>
      <c r="V1099" s="283">
        <f t="shared" si="102"/>
        <v>0.35189999999999999</v>
      </c>
      <c r="W1099" s="61">
        <f>Table3.110[[#This Row],[DM Incubated, mg]]-('3.2 Digest'!V1099*1000)</f>
        <v>125.48066989396159</v>
      </c>
      <c r="X1099" s="61">
        <f>W1099/Table3.110[[#This Row],[DM Incubated, mg]]*100</f>
        <v>26.285243162827278</v>
      </c>
      <c r="Y1099" s="31">
        <f>Table3.110[[#This Row],[DM Incubated, mg]]*'2.4 NDF'!R251/100</f>
        <v>268.65790037680114</v>
      </c>
      <c r="Z1099" s="61">
        <f t="shared" si="98"/>
        <v>-83.24209962319884</v>
      </c>
      <c r="AA1099" s="61">
        <f t="shared" si="99"/>
        <v>-30.984422757138049</v>
      </c>
      <c r="AB1099" s="6"/>
    </row>
    <row r="1100" spans="2:28" x14ac:dyDescent="0.35">
      <c r="B1100" s="230">
        <f t="shared" si="97"/>
        <v>1090</v>
      </c>
      <c r="C1100" s="9"/>
      <c r="D1100" s="248">
        <f>Table3.110[[#This Row],[Date]]</f>
        <v>46083</v>
      </c>
      <c r="E1100" s="230" t="str">
        <f>Table3.110[[#This Row],[Requisitioner]]</f>
        <v>Genbank</v>
      </c>
      <c r="F1100" s="230" t="str">
        <f>Table3.110[[#This Row],[Gene Bank ID]]</f>
        <v>CIAT1812</v>
      </c>
      <c r="G1100" s="230" t="str">
        <f>Table3.110[[#This Row],[Genus]]</f>
        <v>Stylosanthes</v>
      </c>
      <c r="H1100" s="230" t="str">
        <f>Table3.110[[#This Row],[Species]]</f>
        <v>viscosa</v>
      </c>
      <c r="I1100" s="230" t="str">
        <f>Table3.110[[#This Row],[Tax Name]]</f>
        <v>Stylosanthes viscosa</v>
      </c>
      <c r="J1100" s="230" t="str">
        <f>Table3.110[[#This Row],[Family]]</f>
        <v>Fabaceae</v>
      </c>
      <c r="K1100" s="230" t="str">
        <f>Table3.110[[#This Row],[Order]]</f>
        <v>Fabales</v>
      </c>
      <c r="L1100" s="230" t="str">
        <f>Table3.110[[#This Row],[Functional Group]]</f>
        <v>Herbaceous</v>
      </c>
      <c r="M1100" s="230" t="str">
        <f>Table3.110[[#This Row],[CIAT ID]]</f>
        <v>F260018</v>
      </c>
      <c r="N1100" s="230">
        <f>Table3.110[[#This Row],[Set CIAT]]</f>
        <v>30</v>
      </c>
      <c r="O1100" s="230">
        <f>Table3.110[[#This Row],[Batch]]</f>
        <v>65</v>
      </c>
      <c r="P1100" s="230">
        <f>Table3.110[[#This Row],[Run]]</f>
        <v>2</v>
      </c>
      <c r="Q1100" s="230">
        <f>Table3.110[[#This Row],[Replication]]</f>
        <v>2</v>
      </c>
      <c r="R1100" s="230">
        <f>Table3.110[[#This Row],[Syrange No]]</f>
        <v>14</v>
      </c>
      <c r="S1100" s="98">
        <v>0.5877</v>
      </c>
      <c r="T1100" s="98">
        <v>0.95440000000000003</v>
      </c>
      <c r="U1100" s="25"/>
      <c r="V1100" s="283">
        <f t="shared" si="102"/>
        <v>0.36670000000000003</v>
      </c>
      <c r="W1100" s="61">
        <f>Table3.110[[#This Row],[DM Incubated, mg]]-('3.2 Digest'!V1100*1000)</f>
        <v>110.77612693653168</v>
      </c>
      <c r="X1100" s="61">
        <f>W1100/Table3.110[[#This Row],[DM Incubated, mg]]*100</f>
        <v>23.200348810581801</v>
      </c>
      <c r="Y1100" s="31">
        <f>Table3.110[[#This Row],[DM Incubated, mg]]*'2.4 NDF'!R251/100</f>
        <v>268.71162121270919</v>
      </c>
      <c r="Z1100" s="61">
        <f t="shared" si="98"/>
        <v>-97.988378787290856</v>
      </c>
      <c r="AA1100" s="61">
        <f t="shared" si="99"/>
        <v>-36.465999626314755</v>
      </c>
      <c r="AB1100" s="6"/>
    </row>
    <row r="1101" spans="2:28" x14ac:dyDescent="0.35">
      <c r="B1101" s="230">
        <f t="shared" si="97"/>
        <v>1091</v>
      </c>
      <c r="C1101" s="9"/>
      <c r="D1101" s="248">
        <f>Table3.110[[#This Row],[Date]]</f>
        <v>46083</v>
      </c>
      <c r="E1101" s="230" t="str">
        <f>Table3.110[[#This Row],[Requisitioner]]</f>
        <v>Genbank</v>
      </c>
      <c r="F1101" s="230" t="str">
        <f>Table3.110[[#This Row],[Gene Bank ID]]</f>
        <v>CIAT3694</v>
      </c>
      <c r="G1101" s="230" t="str">
        <f>Table3.110[[#This Row],[Genus]]</f>
        <v>Desmodium</v>
      </c>
      <c r="H1101" s="230" t="str">
        <f>Table3.110[[#This Row],[Species]]</f>
        <v>sandwicense</v>
      </c>
      <c r="I1101" s="230" t="str">
        <f>Table3.110[[#This Row],[Tax Name]]</f>
        <v>Desmodium sandwicense</v>
      </c>
      <c r="J1101" s="230" t="str">
        <f>Table3.110[[#This Row],[Family]]</f>
        <v>Fabaceae</v>
      </c>
      <c r="K1101" s="230" t="str">
        <f>Table3.110[[#This Row],[Order]]</f>
        <v>Fabales</v>
      </c>
      <c r="L1101" s="230" t="str">
        <f>Table3.110[[#This Row],[Functional Group]]</f>
        <v>Herbaceous</v>
      </c>
      <c r="M1101" s="230" t="str">
        <f>Table3.110[[#This Row],[CIAT ID]]</f>
        <v>F260019</v>
      </c>
      <c r="N1101" s="230">
        <f>Table3.110[[#This Row],[Set CIAT]]</f>
        <v>30</v>
      </c>
      <c r="O1101" s="230">
        <f>Table3.110[[#This Row],[Batch]]</f>
        <v>65</v>
      </c>
      <c r="P1101" s="230">
        <f>Table3.110[[#This Row],[Run]]</f>
        <v>2</v>
      </c>
      <c r="Q1101" s="230">
        <f>Table3.110[[#This Row],[Replication]]</f>
        <v>1</v>
      </c>
      <c r="R1101" s="230">
        <f>Table3.110[[#This Row],[Syrange No]]</f>
        <v>15</v>
      </c>
      <c r="S1101" s="250">
        <v>0.55989999999999995</v>
      </c>
      <c r="T1101" s="250">
        <v>0.92830000000000001</v>
      </c>
      <c r="U1101" s="25"/>
      <c r="V1101" s="283">
        <f t="shared" si="102"/>
        <v>0.36840000000000006</v>
      </c>
      <c r="W1101" s="61">
        <f>Table3.110[[#This Row],[DM Incubated, mg]]-('3.2 Digest'!V1101*1000)</f>
        <v>103.85554889022217</v>
      </c>
      <c r="X1101" s="61">
        <f>W1101/Table3.110[[#This Row],[DM Incubated, mg]]*100</f>
        <v>21.991387742140393</v>
      </c>
      <c r="Y1101" s="31">
        <f>Table3.110[[#This Row],[DM Incubated, mg]]*'2.4 NDF'!R253/100</f>
        <v>288.12321251671727</v>
      </c>
      <c r="Z1101" s="61">
        <f t="shared" si="98"/>
        <v>-80.27678748328276</v>
      </c>
      <c r="AA1101" s="61">
        <f t="shared" si="99"/>
        <v>-27.861964602600352</v>
      </c>
      <c r="AB1101" s="6"/>
    </row>
    <row r="1102" spans="2:28" x14ac:dyDescent="0.35">
      <c r="B1102" s="230">
        <f t="shared" si="97"/>
        <v>1092</v>
      </c>
      <c r="C1102" s="9"/>
      <c r="D1102" s="248">
        <f>Table3.110[[#This Row],[Date]]</f>
        <v>46083</v>
      </c>
      <c r="E1102" s="230" t="str">
        <f>Table3.110[[#This Row],[Requisitioner]]</f>
        <v>Genbank</v>
      </c>
      <c r="F1102" s="230" t="str">
        <f>Table3.110[[#This Row],[Gene Bank ID]]</f>
        <v>CIAT3694</v>
      </c>
      <c r="G1102" s="230" t="str">
        <f>Table3.110[[#This Row],[Genus]]</f>
        <v>Desmodium</v>
      </c>
      <c r="H1102" s="230" t="str">
        <f>Table3.110[[#This Row],[Species]]</f>
        <v>sandwicense</v>
      </c>
      <c r="I1102" s="230" t="str">
        <f>Table3.110[[#This Row],[Tax Name]]</f>
        <v>Desmodium sandwicense</v>
      </c>
      <c r="J1102" s="230" t="str">
        <f>Table3.110[[#This Row],[Family]]</f>
        <v>Fabaceae</v>
      </c>
      <c r="K1102" s="230" t="str">
        <f>Table3.110[[#This Row],[Order]]</f>
        <v>Fabales</v>
      </c>
      <c r="L1102" s="230" t="str">
        <f>Table3.110[[#This Row],[Functional Group]]</f>
        <v>Herbaceous</v>
      </c>
      <c r="M1102" s="230" t="str">
        <f>Table3.110[[#This Row],[CIAT ID]]</f>
        <v>F260019</v>
      </c>
      <c r="N1102" s="230">
        <f>Table3.110[[#This Row],[Set CIAT]]</f>
        <v>30</v>
      </c>
      <c r="O1102" s="230">
        <f>Table3.110[[#This Row],[Batch]]</f>
        <v>65</v>
      </c>
      <c r="P1102" s="230">
        <f>Table3.110[[#This Row],[Run]]</f>
        <v>2</v>
      </c>
      <c r="Q1102" s="230">
        <f>Table3.110[[#This Row],[Replication]]</f>
        <v>2</v>
      </c>
      <c r="R1102" s="230">
        <f>Table3.110[[#This Row],[Syrange No]]</f>
        <v>16</v>
      </c>
      <c r="S1102" s="98">
        <v>0.57210000000000005</v>
      </c>
      <c r="T1102" s="98">
        <v>0.90369999999999995</v>
      </c>
      <c r="U1102" s="8"/>
      <c r="V1102" s="283">
        <f t="shared" si="102"/>
        <v>0.33159999999999989</v>
      </c>
      <c r="W1102" s="61">
        <f>Table3.110[[#This Row],[DM Incubated, mg]]-('3.2 Digest'!V1102*1000)</f>
        <v>140.93890221955638</v>
      </c>
      <c r="X1102" s="61">
        <f>W1102/Table3.110[[#This Row],[DM Incubated, mg]]*100</f>
        <v>29.825883447384776</v>
      </c>
      <c r="Y1102" s="31">
        <f>Table3.110[[#This Row],[DM Incubated, mg]]*'2.4 NDF'!R253/100</f>
        <v>288.29608644422729</v>
      </c>
      <c r="Z1102" s="61">
        <f t="shared" si="98"/>
        <v>-43.303913555772624</v>
      </c>
      <c r="AA1102" s="61">
        <f t="shared" si="99"/>
        <v>-15.020638708583386</v>
      </c>
      <c r="AB1102" s="6"/>
    </row>
    <row r="1103" spans="2:28" x14ac:dyDescent="0.35">
      <c r="B1103" s="230">
        <f t="shared" si="97"/>
        <v>1093</v>
      </c>
      <c r="C1103" s="9"/>
      <c r="D1103" s="248">
        <f>Table3.110[[#This Row],[Date]]</f>
        <v>46083</v>
      </c>
      <c r="E1103" s="230" t="str">
        <f>Table3.110[[#This Row],[Requisitioner]]</f>
        <v>Genbank</v>
      </c>
      <c r="F1103" s="230" t="str">
        <f>Table3.110[[#This Row],[Gene Bank ID]]</f>
        <v>CIAT4080</v>
      </c>
      <c r="G1103" s="230" t="str">
        <f>Table3.110[[#This Row],[Genus]]</f>
        <v>Macroptilium</v>
      </c>
      <c r="H1103" s="230" t="str">
        <f>Table3.110[[#This Row],[Species]]</f>
        <v>bracteatum</v>
      </c>
      <c r="I1103" s="230" t="str">
        <f>Table3.110[[#This Row],[Tax Name]]</f>
        <v>Macroptilium bracteatum</v>
      </c>
      <c r="J1103" s="230" t="str">
        <f>Table3.110[[#This Row],[Family]]</f>
        <v>Fabaceae</v>
      </c>
      <c r="K1103" s="230" t="str">
        <f>Table3.110[[#This Row],[Order]]</f>
        <v>Fabales</v>
      </c>
      <c r="L1103" s="230" t="str">
        <f>Table3.110[[#This Row],[Functional Group]]</f>
        <v>Herbaceous</v>
      </c>
      <c r="M1103" s="230" t="str">
        <f>Table3.110[[#This Row],[CIAT ID]]</f>
        <v>F260020</v>
      </c>
      <c r="N1103" s="230">
        <f>Table3.110[[#This Row],[Set CIAT]]</f>
        <v>30</v>
      </c>
      <c r="O1103" s="230">
        <f>Table3.110[[#This Row],[Batch]]</f>
        <v>65</v>
      </c>
      <c r="P1103" s="230">
        <f>Table3.110[[#This Row],[Run]]</f>
        <v>2</v>
      </c>
      <c r="Q1103" s="230">
        <f>Table3.110[[#This Row],[Replication]]</f>
        <v>1</v>
      </c>
      <c r="R1103" s="230">
        <f>Table3.110[[#This Row],[Syrange No]]</f>
        <v>17</v>
      </c>
      <c r="S1103" s="250">
        <v>0.58699999999999997</v>
      </c>
      <c r="T1103" s="250">
        <v>0.81559999999999999</v>
      </c>
      <c r="U1103" s="8"/>
      <c r="V1103" s="283">
        <f t="shared" si="102"/>
        <v>0.22860000000000003</v>
      </c>
      <c r="W1103" s="61">
        <f>Table3.110[[#This Row],[DM Incubated, mg]]-('3.2 Digest'!V1103*1000)</f>
        <v>244.93163694791986</v>
      </c>
      <c r="X1103" s="61">
        <f>W1103/Table3.110[[#This Row],[DM Incubated, mg]]*100</f>
        <v>51.72445045627606</v>
      </c>
      <c r="Y1103" s="31">
        <f>Table3.110[[#This Row],[DM Incubated, mg]]*'2.4 NDF'!R255/100</f>
        <v>242.72405492261038</v>
      </c>
      <c r="Z1103" s="61">
        <f t="shared" si="98"/>
        <v>14.124054922610355</v>
      </c>
      <c r="AA1103" s="61">
        <f t="shared" si="99"/>
        <v>5.818976173215975</v>
      </c>
      <c r="AB1103" s="6"/>
    </row>
    <row r="1104" spans="2:28" x14ac:dyDescent="0.35">
      <c r="B1104" s="230">
        <f t="shared" si="97"/>
        <v>1094</v>
      </c>
      <c r="C1104" s="9"/>
      <c r="D1104" s="248">
        <f>Table3.110[[#This Row],[Date]]</f>
        <v>46083</v>
      </c>
      <c r="E1104" s="230" t="str">
        <f>Table3.110[[#This Row],[Requisitioner]]</f>
        <v>Genbank</v>
      </c>
      <c r="F1104" s="230" t="str">
        <f>Table3.110[[#This Row],[Gene Bank ID]]</f>
        <v>CIAT4080</v>
      </c>
      <c r="G1104" s="230" t="str">
        <f>Table3.110[[#This Row],[Genus]]</f>
        <v>Macroptilium</v>
      </c>
      <c r="H1104" s="230" t="str">
        <f>Table3.110[[#This Row],[Species]]</f>
        <v>bracteatum</v>
      </c>
      <c r="I1104" s="230" t="str">
        <f>Table3.110[[#This Row],[Tax Name]]</f>
        <v>Macroptilium bracteatum</v>
      </c>
      <c r="J1104" s="230" t="str">
        <f>Table3.110[[#This Row],[Family]]</f>
        <v>Fabaceae</v>
      </c>
      <c r="K1104" s="230" t="str">
        <f>Table3.110[[#This Row],[Order]]</f>
        <v>Fabales</v>
      </c>
      <c r="L1104" s="230" t="str">
        <f>Table3.110[[#This Row],[Functional Group]]</f>
        <v>Herbaceous</v>
      </c>
      <c r="M1104" s="230" t="str">
        <f>Table3.110[[#This Row],[CIAT ID]]</f>
        <v>F260020</v>
      </c>
      <c r="N1104" s="230">
        <f>Table3.110[[#This Row],[Set CIAT]]</f>
        <v>30</v>
      </c>
      <c r="O1104" s="230">
        <f>Table3.110[[#This Row],[Batch]]</f>
        <v>65</v>
      </c>
      <c r="P1104" s="230">
        <f>Table3.110[[#This Row],[Run]]</f>
        <v>2</v>
      </c>
      <c r="Q1104" s="230">
        <f>Table3.110[[#This Row],[Replication]]</f>
        <v>2</v>
      </c>
      <c r="R1104" s="230">
        <f>Table3.110[[#This Row],[Syrange No]]</f>
        <v>18</v>
      </c>
      <c r="S1104" s="98">
        <v>0.60389999999999999</v>
      </c>
      <c r="T1104" s="98">
        <v>0.871</v>
      </c>
      <c r="U1104" s="25" t="s">
        <v>596</v>
      </c>
      <c r="V1104" s="283">
        <f t="shared" si="102"/>
        <v>0.2671</v>
      </c>
      <c r="W1104" s="61">
        <f>Table3.110[[#This Row],[DM Incubated, mg]]-('3.2 Digest'!V1104*1000)</f>
        <v>206.33694955800826</v>
      </c>
      <c r="X1104" s="61">
        <f>W1104/Table3.110[[#This Row],[DM Incubated, mg]]*100</f>
        <v>43.582772690353067</v>
      </c>
      <c r="Y1104" s="31">
        <f>Table3.110[[#This Row],[DM Incubated, mg]]*'2.4 NDF'!R255/100</f>
        <v>242.67551981864665</v>
      </c>
      <c r="Z1104" s="61">
        <f t="shared" si="98"/>
        <v>-24.424480181353374</v>
      </c>
      <c r="AA1104" s="61">
        <f t="shared" si="99"/>
        <v>-10.064665854885561</v>
      </c>
      <c r="AB1104" s="6"/>
    </row>
    <row r="1105" spans="2:28" x14ac:dyDescent="0.35">
      <c r="B1105" s="230">
        <f t="shared" si="97"/>
        <v>1095</v>
      </c>
      <c r="C1105" s="9"/>
      <c r="D1105" s="248">
        <f>Table3.110[[#This Row],[Date]]</f>
        <v>46083</v>
      </c>
      <c r="E1105" s="230" t="str">
        <f>Table3.110[[#This Row],[Requisitioner]]</f>
        <v>Genbank</v>
      </c>
      <c r="F1105" s="230" t="str">
        <f>Table3.110[[#This Row],[Gene Bank ID]]</f>
        <v>CIAT7162</v>
      </c>
      <c r="G1105" s="230" t="str">
        <f>Table3.110[[#This Row],[Genus]]</f>
        <v>Indigofera</v>
      </c>
      <c r="H1105" s="230" t="str">
        <f>Table3.110[[#This Row],[Species]]</f>
        <v>jamaicensis</v>
      </c>
      <c r="I1105" s="230" t="str">
        <f>Table3.110[[#This Row],[Tax Name]]</f>
        <v>Indigofera jamaicensis</v>
      </c>
      <c r="J1105" s="230" t="str">
        <f>Table3.110[[#This Row],[Family]]</f>
        <v>Fabaceae</v>
      </c>
      <c r="K1105" s="230" t="str">
        <f>Table3.110[[#This Row],[Order]]</f>
        <v>Fabales</v>
      </c>
      <c r="L1105" s="230" t="str">
        <f>Table3.110[[#This Row],[Functional Group]]</f>
        <v>Herbaceous</v>
      </c>
      <c r="M1105" s="230" t="str">
        <f>Table3.110[[#This Row],[CIAT ID]]</f>
        <v>F260021</v>
      </c>
      <c r="N1105" s="230">
        <f>Table3.110[[#This Row],[Set CIAT]]</f>
        <v>30</v>
      </c>
      <c r="O1105" s="230">
        <f>Table3.110[[#This Row],[Batch]]</f>
        <v>65</v>
      </c>
      <c r="P1105" s="230">
        <f>Table3.110[[#This Row],[Run]]</f>
        <v>2</v>
      </c>
      <c r="Q1105" s="230">
        <f>Table3.110[[#This Row],[Replication]]</f>
        <v>1</v>
      </c>
      <c r="R1105" s="230">
        <f>Table3.110[[#This Row],[Syrange No]]</f>
        <v>19</v>
      </c>
      <c r="S1105" s="250">
        <v>0.57240000000000002</v>
      </c>
      <c r="T1105" s="250">
        <v>0.82479999999999998</v>
      </c>
      <c r="U1105" s="25"/>
      <c r="V1105" s="283">
        <f t="shared" si="102"/>
        <v>0.25239999999999996</v>
      </c>
      <c r="W1105" s="61">
        <f>Table3.110[[#This Row],[DM Incubated, mg]]-('3.2 Digest'!V1105*1000)</f>
        <v>217.77950834411777</v>
      </c>
      <c r="X1105" s="61">
        <f>W1105/Table3.110[[#This Row],[DM Incubated, mg]]*100</f>
        <v>46.31837510551992</v>
      </c>
      <c r="Y1105" s="31">
        <f>Table3.110[[#This Row],[DM Incubated, mg]]*'2.4 NDF'!R257/100</f>
        <v>212.62916536869784</v>
      </c>
      <c r="Z1105" s="61">
        <f t="shared" si="98"/>
        <v>-39.770834631302108</v>
      </c>
      <c r="AA1105" s="61">
        <f t="shared" si="99"/>
        <v>-18.704317708410176</v>
      </c>
      <c r="AB1105" s="6"/>
    </row>
    <row r="1106" spans="2:28" x14ac:dyDescent="0.35">
      <c r="B1106" s="230">
        <f t="shared" si="97"/>
        <v>1096</v>
      </c>
      <c r="C1106" s="9"/>
      <c r="D1106" s="248">
        <f>Table3.110[[#This Row],[Date]]</f>
        <v>46083</v>
      </c>
      <c r="E1106" s="230" t="str">
        <f>Table3.110[[#This Row],[Requisitioner]]</f>
        <v>Genbank</v>
      </c>
      <c r="F1106" s="230" t="str">
        <f>Table3.110[[#This Row],[Gene Bank ID]]</f>
        <v>CIAT7162</v>
      </c>
      <c r="G1106" s="230" t="str">
        <f>Table3.110[[#This Row],[Genus]]</f>
        <v>Indigofera</v>
      </c>
      <c r="H1106" s="230" t="str">
        <f>Table3.110[[#This Row],[Species]]</f>
        <v>jamaicensis</v>
      </c>
      <c r="I1106" s="230" t="str">
        <f>Table3.110[[#This Row],[Tax Name]]</f>
        <v>Indigofera jamaicensis</v>
      </c>
      <c r="J1106" s="230" t="str">
        <f>Table3.110[[#This Row],[Family]]</f>
        <v>Fabaceae</v>
      </c>
      <c r="K1106" s="230" t="str">
        <f>Table3.110[[#This Row],[Order]]</f>
        <v>Fabales</v>
      </c>
      <c r="L1106" s="230" t="str">
        <f>Table3.110[[#This Row],[Functional Group]]</f>
        <v>Herbaceous</v>
      </c>
      <c r="M1106" s="230" t="str">
        <f>Table3.110[[#This Row],[CIAT ID]]</f>
        <v>F260021</v>
      </c>
      <c r="N1106" s="230">
        <f>Table3.110[[#This Row],[Set CIAT]]</f>
        <v>30</v>
      </c>
      <c r="O1106" s="230">
        <f>Table3.110[[#This Row],[Batch]]</f>
        <v>65</v>
      </c>
      <c r="P1106" s="230">
        <f>Table3.110[[#This Row],[Run]]</f>
        <v>2</v>
      </c>
      <c r="Q1106" s="230">
        <f>Table3.110[[#This Row],[Replication]]</f>
        <v>2</v>
      </c>
      <c r="R1106" s="230">
        <f>Table3.110[[#This Row],[Syrange No]]</f>
        <v>20</v>
      </c>
      <c r="S1106" s="98">
        <v>0.56720000000000004</v>
      </c>
      <c r="T1106" s="98">
        <v>0.79590000000000005</v>
      </c>
      <c r="U1106" s="8"/>
      <c r="V1106" s="283">
        <f t="shared" si="102"/>
        <v>0.22870000000000001</v>
      </c>
      <c r="W1106" s="61">
        <f>Table3.110[[#This Row],[DM Incubated, mg]]-('3.2 Digest'!V1106*1000)</f>
        <v>241.38549124586856</v>
      </c>
      <c r="X1106" s="61">
        <f>W1106/Table3.110[[#This Row],[DM Incubated, mg]]*100</f>
        <v>51.34927491723348</v>
      </c>
      <c r="Y1106" s="31">
        <f>Table3.110[[#This Row],[DM Incubated, mg]]*'2.4 NDF'!R257/100</f>
        <v>212.58664803909002</v>
      </c>
      <c r="Z1106" s="61">
        <f t="shared" si="98"/>
        <v>-16.113351960909995</v>
      </c>
      <c r="AA1106" s="61">
        <f t="shared" si="99"/>
        <v>-7.5796632147598952</v>
      </c>
      <c r="AB1106" s="6"/>
    </row>
    <row r="1107" spans="2:28" x14ac:dyDescent="0.35">
      <c r="B1107" s="230">
        <f t="shared" si="97"/>
        <v>1097</v>
      </c>
      <c r="C1107" s="9"/>
      <c r="D1107" s="248">
        <f>Table3.110[[#This Row],[Date]]</f>
        <v>46083</v>
      </c>
      <c r="E1107" s="230" t="str">
        <f>Table3.110[[#This Row],[Requisitioner]]</f>
        <v>Genbank</v>
      </c>
      <c r="F1107" s="230" t="str">
        <f>Table3.110[[#This Row],[Gene Bank ID]]</f>
        <v>CIAT8820</v>
      </c>
      <c r="G1107" s="230" t="str">
        <f>Table3.110[[#This Row],[Genus]]</f>
        <v>Tephrosia</v>
      </c>
      <c r="H1107" s="230" t="str">
        <f>Table3.110[[#This Row],[Species]]</f>
        <v>cinerea</v>
      </c>
      <c r="I1107" s="230" t="str">
        <f>Table3.110[[#This Row],[Tax Name]]</f>
        <v>Tephrosia cinerea</v>
      </c>
      <c r="J1107" s="230" t="str">
        <f>Table3.110[[#This Row],[Family]]</f>
        <v>Fabaceae</v>
      </c>
      <c r="K1107" s="230" t="str">
        <f>Table3.110[[#This Row],[Order]]</f>
        <v>Fabales</v>
      </c>
      <c r="L1107" s="230" t="str">
        <f>Table3.110[[#This Row],[Functional Group]]</f>
        <v>Herbaceous</v>
      </c>
      <c r="M1107" s="230" t="str">
        <f>Table3.110[[#This Row],[CIAT ID]]</f>
        <v>F260022</v>
      </c>
      <c r="N1107" s="230">
        <f>Table3.110[[#This Row],[Set CIAT]]</f>
        <v>30</v>
      </c>
      <c r="O1107" s="230">
        <f>Table3.110[[#This Row],[Batch]]</f>
        <v>65</v>
      </c>
      <c r="P1107" s="230">
        <f>Table3.110[[#This Row],[Run]]</f>
        <v>2</v>
      </c>
      <c r="Q1107" s="230">
        <f>Table3.110[[#This Row],[Replication]]</f>
        <v>1</v>
      </c>
      <c r="R1107" s="230">
        <f>Table3.110[[#This Row],[Syrange No]]</f>
        <v>21</v>
      </c>
      <c r="S1107" s="111">
        <v>0.56130000000000002</v>
      </c>
      <c r="T1107" s="298">
        <v>0.79179999999999995</v>
      </c>
      <c r="U1107" s="8"/>
      <c r="V1107" s="283">
        <f t="shared" si="102"/>
        <v>0.23049999999999993</v>
      </c>
      <c r="W1107" s="61">
        <f>Table3.110[[#This Row],[DM Incubated, mg]]-('3.2 Digest'!V1107*1000)</f>
        <v>244.87870188186142</v>
      </c>
      <c r="X1107" s="61">
        <f>W1107/Table3.110[[#This Row],[DM Incubated, mg]]*100</f>
        <v>51.512341826100027</v>
      </c>
      <c r="Y1107" s="31">
        <f>Table3.110[[#This Row],[DM Incubated, mg]]*'2.4 NDF'!R259/100</f>
        <v>246.65690488497296</v>
      </c>
      <c r="Z1107" s="61">
        <f t="shared" si="98"/>
        <v>16.156904884973045</v>
      </c>
      <c r="AA1107" s="61">
        <f t="shared" si="99"/>
        <v>6.5503558039486975</v>
      </c>
      <c r="AB1107" s="6"/>
    </row>
    <row r="1108" spans="2:28" x14ac:dyDescent="0.35">
      <c r="B1108" s="230">
        <f t="shared" si="97"/>
        <v>1098</v>
      </c>
      <c r="C1108" s="9"/>
      <c r="D1108" s="248">
        <f>Table3.110[[#This Row],[Date]]</f>
        <v>46083</v>
      </c>
      <c r="E1108" s="230" t="str">
        <f>Table3.110[[#This Row],[Requisitioner]]</f>
        <v>Genbank</v>
      </c>
      <c r="F1108" s="230" t="str">
        <f>Table3.110[[#This Row],[Gene Bank ID]]</f>
        <v>CIAT8820</v>
      </c>
      <c r="G1108" s="230" t="str">
        <f>Table3.110[[#This Row],[Genus]]</f>
        <v>Tephrosia</v>
      </c>
      <c r="H1108" s="230" t="str">
        <f>Table3.110[[#This Row],[Species]]</f>
        <v>cinerea</v>
      </c>
      <c r="I1108" s="230" t="str">
        <f>Table3.110[[#This Row],[Tax Name]]</f>
        <v>Tephrosia cinerea</v>
      </c>
      <c r="J1108" s="230" t="str">
        <f>Table3.110[[#This Row],[Family]]</f>
        <v>Fabaceae</v>
      </c>
      <c r="K1108" s="230" t="str">
        <f>Table3.110[[#This Row],[Order]]</f>
        <v>Fabales</v>
      </c>
      <c r="L1108" s="230" t="str">
        <f>Table3.110[[#This Row],[Functional Group]]</f>
        <v>Herbaceous</v>
      </c>
      <c r="M1108" s="230" t="str">
        <f>Table3.110[[#This Row],[CIAT ID]]</f>
        <v>F260022</v>
      </c>
      <c r="N1108" s="230">
        <f>Table3.110[[#This Row],[Set CIAT]]</f>
        <v>30</v>
      </c>
      <c r="O1108" s="230">
        <f>Table3.110[[#This Row],[Batch]]</f>
        <v>65</v>
      </c>
      <c r="P1108" s="230">
        <f>Table3.110[[#This Row],[Run]]</f>
        <v>2</v>
      </c>
      <c r="Q1108" s="230">
        <f>Table3.110[[#This Row],[Replication]]</f>
        <v>2</v>
      </c>
      <c r="R1108" s="230">
        <f>Table3.110[[#This Row],[Syrange No]]</f>
        <v>22</v>
      </c>
      <c r="S1108" s="112">
        <v>0.57099999999999995</v>
      </c>
      <c r="T1108" s="299">
        <v>0.80649999999999999</v>
      </c>
      <c r="U1108" s="25"/>
      <c r="V1108" s="283">
        <f t="shared" si="102"/>
        <v>0.23550000000000004</v>
      </c>
      <c r="W1108" s="61">
        <f>Table3.110[[#This Row],[DM Incubated, mg]]-('3.2 Digest'!V1108*1000)</f>
        <v>240.06885336261394</v>
      </c>
      <c r="X1108" s="61">
        <f>W1108/Table3.110[[#This Row],[DM Incubated, mg]]*100</f>
        <v>50.48035666447759</v>
      </c>
      <c r="Y1108" s="31">
        <f>Table3.110[[#This Row],[DM Incubated, mg]]*'2.4 NDF'!R259/100</f>
        <v>246.75556764692689</v>
      </c>
      <c r="Z1108" s="61">
        <f t="shared" si="98"/>
        <v>11.255567646926835</v>
      </c>
      <c r="AA1108" s="61">
        <f t="shared" si="99"/>
        <v>4.5614239849825786</v>
      </c>
      <c r="AB1108" s="6"/>
    </row>
    <row r="1109" spans="2:28" x14ac:dyDescent="0.35">
      <c r="B1109" s="230">
        <f t="shared" ref="B1109:B1172" si="103">B1108+1</f>
        <v>1099</v>
      </c>
      <c r="C1109" s="9"/>
      <c r="D1109" s="248">
        <f>Table3.110[[#This Row],[Date]]</f>
        <v>46083</v>
      </c>
      <c r="E1109" s="230" t="str">
        <f>Table3.110[[#This Row],[Requisitioner]]</f>
        <v>Genbank</v>
      </c>
      <c r="F1109" s="230" t="str">
        <f>Table3.110[[#This Row],[Gene Bank ID]]</f>
        <v>CIAT14080</v>
      </c>
      <c r="G1109" s="230" t="str">
        <f>Table3.110[[#This Row],[Genus]]</f>
        <v>Zornia</v>
      </c>
      <c r="H1109" s="230" t="str">
        <f>Table3.110[[#This Row],[Species]]</f>
        <v>brasiliensis</v>
      </c>
      <c r="I1109" s="230" t="str">
        <f>Table3.110[[#This Row],[Tax Name]]</f>
        <v>Zornia brasiliensis</v>
      </c>
      <c r="J1109" s="230" t="str">
        <f>Table3.110[[#This Row],[Family]]</f>
        <v>Fabaceae</v>
      </c>
      <c r="K1109" s="230" t="str">
        <f>Table3.110[[#This Row],[Order]]</f>
        <v>Fabales</v>
      </c>
      <c r="L1109" s="230" t="str">
        <f>Table3.110[[#This Row],[Functional Group]]</f>
        <v>Herbaceous</v>
      </c>
      <c r="M1109" s="230" t="str">
        <f>Table3.110[[#This Row],[CIAT ID]]</f>
        <v>F260023</v>
      </c>
      <c r="N1109" s="230">
        <f>Table3.110[[#This Row],[Set CIAT]]</f>
        <v>30</v>
      </c>
      <c r="O1109" s="230">
        <f>Table3.110[[#This Row],[Batch]]</f>
        <v>65</v>
      </c>
      <c r="P1109" s="230">
        <f>Table3.110[[#This Row],[Run]]</f>
        <v>2</v>
      </c>
      <c r="Q1109" s="230">
        <f>Table3.110[[#This Row],[Replication]]</f>
        <v>1</v>
      </c>
      <c r="R1109" s="230">
        <f>Table3.110[[#This Row],[Syrange No]]</f>
        <v>23</v>
      </c>
      <c r="S1109" s="111">
        <v>0.60089999999999999</v>
      </c>
      <c r="T1109" s="298">
        <v>0.86970000000000003</v>
      </c>
      <c r="U1109" s="25" t="s">
        <v>597</v>
      </c>
      <c r="V1109" s="283">
        <f t="shared" si="102"/>
        <v>0.26880000000000004</v>
      </c>
      <c r="W1109" s="61">
        <f>Table3.110[[#This Row],[DM Incubated, mg]]-('3.2 Digest'!V1109*1000)</f>
        <v>204.82894434411742</v>
      </c>
      <c r="X1109" s="61">
        <f>W1109/Table3.110[[#This Row],[DM Incubated, mg]]*100</f>
        <v>43.246711754021931</v>
      </c>
      <c r="Y1109" s="31">
        <f>Table3.110[[#This Row],[DM Incubated, mg]]*'2.4 NDF'!R261/100</f>
        <v>220.93573340740693</v>
      </c>
      <c r="Z1109" s="61">
        <f t="shared" si="98"/>
        <v>-47.864266592593083</v>
      </c>
      <c r="AA1109" s="61">
        <f t="shared" si="99"/>
        <v>-21.66433915166229</v>
      </c>
      <c r="AB1109" s="6"/>
    </row>
    <row r="1110" spans="2:28" x14ac:dyDescent="0.35">
      <c r="B1110" s="230">
        <f t="shared" si="103"/>
        <v>1100</v>
      </c>
      <c r="C1110" s="9"/>
      <c r="D1110" s="248">
        <f>Table3.110[[#This Row],[Date]]</f>
        <v>46083</v>
      </c>
      <c r="E1110" s="230" t="str">
        <f>Table3.110[[#This Row],[Requisitioner]]</f>
        <v>Genbank</v>
      </c>
      <c r="F1110" s="230" t="str">
        <f>Table3.110[[#This Row],[Gene Bank ID]]</f>
        <v>CIAT14080</v>
      </c>
      <c r="G1110" s="230" t="str">
        <f>Table3.110[[#This Row],[Genus]]</f>
        <v>Zornia</v>
      </c>
      <c r="H1110" s="230" t="str">
        <f>Table3.110[[#This Row],[Species]]</f>
        <v>brasiliensis</v>
      </c>
      <c r="I1110" s="230" t="str">
        <f>Table3.110[[#This Row],[Tax Name]]</f>
        <v>Zornia brasiliensis</v>
      </c>
      <c r="J1110" s="230" t="str">
        <f>Table3.110[[#This Row],[Family]]</f>
        <v>Fabaceae</v>
      </c>
      <c r="K1110" s="230" t="str">
        <f>Table3.110[[#This Row],[Order]]</f>
        <v>Fabales</v>
      </c>
      <c r="L1110" s="230" t="str">
        <f>Table3.110[[#This Row],[Functional Group]]</f>
        <v>Herbaceous</v>
      </c>
      <c r="M1110" s="230" t="str">
        <f>Table3.110[[#This Row],[CIAT ID]]</f>
        <v>F260023</v>
      </c>
      <c r="N1110" s="230">
        <f>Table3.110[[#This Row],[Set CIAT]]</f>
        <v>30</v>
      </c>
      <c r="O1110" s="230">
        <f>Table3.110[[#This Row],[Batch]]</f>
        <v>65</v>
      </c>
      <c r="P1110" s="230">
        <f>Table3.110[[#This Row],[Run]]</f>
        <v>2</v>
      </c>
      <c r="Q1110" s="230">
        <f>Table3.110[[#This Row],[Replication]]</f>
        <v>2</v>
      </c>
      <c r="R1110" s="230">
        <f>Table3.110[[#This Row],[Syrange No]]</f>
        <v>24</v>
      </c>
      <c r="S1110" s="112">
        <v>0.59589999999999999</v>
      </c>
      <c r="T1110" s="299">
        <v>0.85360000000000003</v>
      </c>
      <c r="U1110" s="8"/>
      <c r="V1110" s="283">
        <f t="shared" si="102"/>
        <v>0.25770000000000004</v>
      </c>
      <c r="W1110" s="61">
        <f>Table3.110[[#This Row],[DM Incubated, mg]]-('3.2 Digest'!V1110*1000)</f>
        <v>215.92894434411738</v>
      </c>
      <c r="X1110" s="61">
        <f>W1110/Table3.110[[#This Row],[DM Incubated, mg]]*100</f>
        <v>45.590318523108067</v>
      </c>
      <c r="Y1110" s="31">
        <f>Table3.110[[#This Row],[DM Incubated, mg]]*'2.4 NDF'!R261/100</f>
        <v>220.93573340740693</v>
      </c>
      <c r="Z1110" s="61">
        <f t="shared" si="98"/>
        <v>-36.764266592593117</v>
      </c>
      <c r="AA1110" s="61">
        <f t="shared" si="99"/>
        <v>-16.640253717944109</v>
      </c>
      <c r="AB1110" s="6"/>
    </row>
    <row r="1111" spans="2:28" x14ac:dyDescent="0.35">
      <c r="B1111" s="230">
        <f t="shared" si="103"/>
        <v>1101</v>
      </c>
      <c r="C1111" s="9"/>
      <c r="D1111" s="248">
        <f>Table3.110[[#This Row],[Date]]</f>
        <v>46083</v>
      </c>
      <c r="E1111" s="230" t="str">
        <f>Table3.110[[#This Row],[Requisitioner]]</f>
        <v>Genbank</v>
      </c>
      <c r="F1111" s="230" t="str">
        <f>Table3.110[[#This Row],[Gene Bank ID]]</f>
        <v>CIAT18950</v>
      </c>
      <c r="G1111" s="230" t="str">
        <f>Table3.110[[#This Row],[Genus]]</f>
        <v>Indigofera</v>
      </c>
      <c r="H1111" s="230" t="str">
        <f>Table3.110[[#This Row],[Species]]</f>
        <v>spicata</v>
      </c>
      <c r="I1111" s="230" t="str">
        <f>Table3.110[[#This Row],[Tax Name]]</f>
        <v>Indigofera spicata</v>
      </c>
      <c r="J1111" s="230" t="str">
        <f>Table3.110[[#This Row],[Family]]</f>
        <v>Fabaceae</v>
      </c>
      <c r="K1111" s="230" t="str">
        <f>Table3.110[[#This Row],[Order]]</f>
        <v>Fabales</v>
      </c>
      <c r="L1111" s="230" t="str">
        <f>Table3.110[[#This Row],[Functional Group]]</f>
        <v>Herbaceous</v>
      </c>
      <c r="M1111" s="230" t="str">
        <f>Table3.110[[#This Row],[CIAT ID]]</f>
        <v>F260024</v>
      </c>
      <c r="N1111" s="230">
        <f>Table3.110[[#This Row],[Set CIAT]]</f>
        <v>30</v>
      </c>
      <c r="O1111" s="230">
        <f>Table3.110[[#This Row],[Batch]]</f>
        <v>65</v>
      </c>
      <c r="P1111" s="230">
        <f>Table3.110[[#This Row],[Run]]</f>
        <v>2</v>
      </c>
      <c r="Q1111" s="230">
        <f>Table3.110[[#This Row],[Replication]]</f>
        <v>1</v>
      </c>
      <c r="R1111" s="230">
        <f>Table3.110[[#This Row],[Syrange No]]</f>
        <v>25</v>
      </c>
      <c r="S1111" s="111">
        <v>0.5655</v>
      </c>
      <c r="T1111" s="298">
        <v>0.78690000000000004</v>
      </c>
      <c r="U1111" s="8"/>
      <c r="V1111" s="283">
        <f t="shared" si="102"/>
        <v>0.22140000000000004</v>
      </c>
      <c r="W1111" s="61">
        <f>Table3.110[[#This Row],[DM Incubated, mg]]-('3.2 Digest'!V1111*1000)</f>
        <v>246.28472263868042</v>
      </c>
      <c r="X1111" s="61">
        <f>W1111/Table3.110[[#This Row],[DM Incubated, mg]]*100</f>
        <v>52.660416455158142</v>
      </c>
      <c r="Y1111" s="31">
        <f>Table3.110[[#This Row],[DM Incubated, mg]]*'2.4 NDF'!R263/100</f>
        <v>195.83096775900313</v>
      </c>
      <c r="Z1111" s="61">
        <f t="shared" si="98"/>
        <v>-25.569032240996904</v>
      </c>
      <c r="AA1111" s="61">
        <f t="shared" si="99"/>
        <v>-13.056684820381987</v>
      </c>
      <c r="AB1111" s="6"/>
    </row>
    <row r="1112" spans="2:28" x14ac:dyDescent="0.35">
      <c r="B1112" s="230">
        <f t="shared" si="103"/>
        <v>1102</v>
      </c>
      <c r="C1112" s="9"/>
      <c r="D1112" s="248">
        <f>Table3.110[[#This Row],[Date]]</f>
        <v>46083</v>
      </c>
      <c r="E1112" s="230" t="str">
        <f>Table3.110[[#This Row],[Requisitioner]]</f>
        <v>Genbank</v>
      </c>
      <c r="F1112" s="230" t="str">
        <f>Table3.110[[#This Row],[Gene Bank ID]]</f>
        <v>CIAT18950</v>
      </c>
      <c r="G1112" s="230" t="str">
        <f>Table3.110[[#This Row],[Genus]]</f>
        <v>Indigofera</v>
      </c>
      <c r="H1112" s="230" t="str">
        <f>Table3.110[[#This Row],[Species]]</f>
        <v>spicata</v>
      </c>
      <c r="I1112" s="230" t="str">
        <f>Table3.110[[#This Row],[Tax Name]]</f>
        <v>Indigofera spicata</v>
      </c>
      <c r="J1112" s="230" t="str">
        <f>Table3.110[[#This Row],[Family]]</f>
        <v>Fabaceae</v>
      </c>
      <c r="K1112" s="230" t="str">
        <f>Table3.110[[#This Row],[Order]]</f>
        <v>Fabales</v>
      </c>
      <c r="L1112" s="230" t="str">
        <f>Table3.110[[#This Row],[Functional Group]]</f>
        <v>Herbaceous</v>
      </c>
      <c r="M1112" s="230" t="str">
        <f>Table3.110[[#This Row],[CIAT ID]]</f>
        <v>F260024</v>
      </c>
      <c r="N1112" s="230">
        <f>Table3.110[[#This Row],[Set CIAT]]</f>
        <v>30</v>
      </c>
      <c r="O1112" s="230">
        <f>Table3.110[[#This Row],[Batch]]</f>
        <v>65</v>
      </c>
      <c r="P1112" s="230">
        <f>Table3.110[[#This Row],[Run]]</f>
        <v>2</v>
      </c>
      <c r="Q1112" s="230">
        <f>Table3.110[[#This Row],[Replication]]</f>
        <v>2</v>
      </c>
      <c r="R1112" s="230">
        <f>Table3.110[[#This Row],[Syrange No]]</f>
        <v>26</v>
      </c>
      <c r="S1112" s="111">
        <v>0.55500000000000005</v>
      </c>
      <c r="T1112" s="299">
        <v>0.77910000000000001</v>
      </c>
      <c r="U1112" s="25"/>
      <c r="V1112" s="283">
        <f t="shared" si="102"/>
        <v>0.22409999999999997</v>
      </c>
      <c r="W1112" s="61">
        <f>Table3.110[[#This Row],[DM Incubated, mg]]-('3.2 Digest'!V1112*1000)</f>
        <v>243.67824087955995</v>
      </c>
      <c r="X1112" s="61">
        <f>W1112/Table3.110[[#This Row],[DM Incubated, mg]]*100</f>
        <v>52.092684007997804</v>
      </c>
      <c r="Y1112" s="31">
        <f>Table3.110[[#This Row],[DM Incubated, mg]]*'2.4 NDF'!R263/100</f>
        <v>195.87012612088253</v>
      </c>
      <c r="Z1112" s="61">
        <f t="shared" si="98"/>
        <v>-28.229873879117434</v>
      </c>
      <c r="AA1112" s="61">
        <f t="shared" si="99"/>
        <v>-14.412546945364799</v>
      </c>
      <c r="AB1112" s="6"/>
    </row>
    <row r="1113" spans="2:28" x14ac:dyDescent="0.35">
      <c r="B1113" s="230">
        <f t="shared" si="103"/>
        <v>1103</v>
      </c>
      <c r="C1113" s="9"/>
      <c r="D1113" s="248">
        <f>Table3.110[[#This Row],[Date]]</f>
        <v>46083</v>
      </c>
      <c r="E1113" s="230" t="str">
        <f>Table3.110[[#This Row],[Requisitioner]]</f>
        <v>Genbank</v>
      </c>
      <c r="F1113" s="230" t="str">
        <f>Table3.110[[#This Row],[Gene Bank ID]]</f>
        <v>CIAT19193</v>
      </c>
      <c r="G1113" s="230" t="str">
        <f>Table3.110[[#This Row],[Genus]]</f>
        <v>Tephrosia</v>
      </c>
      <c r="H1113" s="230" t="str">
        <f>Table3.110[[#This Row],[Species]]</f>
        <v>villosa</v>
      </c>
      <c r="I1113" s="230" t="str">
        <f>Table3.110[[#This Row],[Tax Name]]</f>
        <v>Tephrosia villosa</v>
      </c>
      <c r="J1113" s="230" t="str">
        <f>Table3.110[[#This Row],[Family]]</f>
        <v>Fabaceae</v>
      </c>
      <c r="K1113" s="230" t="str">
        <f>Table3.110[[#This Row],[Order]]</f>
        <v>Fabales</v>
      </c>
      <c r="L1113" s="230" t="str">
        <f>Table3.110[[#This Row],[Functional Group]]</f>
        <v>Herbaceous</v>
      </c>
      <c r="M1113" s="230" t="str">
        <f>Table3.110[[#This Row],[CIAT ID]]</f>
        <v>F260025</v>
      </c>
      <c r="N1113" s="230">
        <f>Table3.110[[#This Row],[Set CIAT]]</f>
        <v>30</v>
      </c>
      <c r="O1113" s="230">
        <f>Table3.110[[#This Row],[Batch]]</f>
        <v>65</v>
      </c>
      <c r="P1113" s="230">
        <f>Table3.110[[#This Row],[Run]]</f>
        <v>2</v>
      </c>
      <c r="Q1113" s="230">
        <f>Table3.110[[#This Row],[Replication]]</f>
        <v>1</v>
      </c>
      <c r="R1113" s="230">
        <f>Table3.110[[#This Row],[Syrange No]]</f>
        <v>27</v>
      </c>
      <c r="S1113" s="112">
        <v>0.58909999999999996</v>
      </c>
      <c r="T1113" s="298">
        <v>0.86050000000000004</v>
      </c>
      <c r="U1113" s="25" t="s">
        <v>598</v>
      </c>
      <c r="V1113" s="283">
        <f t="shared" si="102"/>
        <v>0.27140000000000009</v>
      </c>
      <c r="W1113" s="61">
        <f>Table3.110[[#This Row],[DM Incubated, mg]]-('3.2 Digest'!V1113*1000)</f>
        <v>200.44716056788633</v>
      </c>
      <c r="X1113" s="61">
        <f>W1113/Table3.110[[#This Row],[DM Incubated, mg]]*100</f>
        <v>42.481374758436687</v>
      </c>
      <c r="Y1113" s="31">
        <f>Table3.110[[#This Row],[DM Incubated, mg]]*'2.4 NDF'!R265/100</f>
        <v>273.96249282516396</v>
      </c>
      <c r="Z1113" s="61">
        <f t="shared" ref="Z1113:Z1176" si="104">Y1113-(V1113*1000)</f>
        <v>2.5624928251638721</v>
      </c>
      <c r="AA1113" s="61">
        <f t="shared" ref="AA1113:AA1176" si="105">Z1113/Y1113*100</f>
        <v>0.93534439650437529</v>
      </c>
      <c r="AB1113" s="6"/>
    </row>
    <row r="1114" spans="2:28" x14ac:dyDescent="0.35">
      <c r="B1114" s="230">
        <f t="shared" si="103"/>
        <v>1104</v>
      </c>
      <c r="C1114" s="9"/>
      <c r="D1114" s="248">
        <f>Table3.110[[#This Row],[Date]]</f>
        <v>46083</v>
      </c>
      <c r="E1114" s="230" t="str">
        <f>Table3.110[[#This Row],[Requisitioner]]</f>
        <v>Genbank</v>
      </c>
      <c r="F1114" s="230" t="str">
        <f>Table3.110[[#This Row],[Gene Bank ID]]</f>
        <v>CIAT19193</v>
      </c>
      <c r="G1114" s="230" t="str">
        <f>Table3.110[[#This Row],[Genus]]</f>
        <v>Tephrosia</v>
      </c>
      <c r="H1114" s="230" t="str">
        <f>Table3.110[[#This Row],[Species]]</f>
        <v>villosa</v>
      </c>
      <c r="I1114" s="230" t="str">
        <f>Table3.110[[#This Row],[Tax Name]]</f>
        <v>Tephrosia villosa</v>
      </c>
      <c r="J1114" s="230" t="str">
        <f>Table3.110[[#This Row],[Family]]</f>
        <v>Fabaceae</v>
      </c>
      <c r="K1114" s="230" t="str">
        <f>Table3.110[[#This Row],[Order]]</f>
        <v>Fabales</v>
      </c>
      <c r="L1114" s="230" t="str">
        <f>Table3.110[[#This Row],[Functional Group]]</f>
        <v>Herbaceous</v>
      </c>
      <c r="M1114" s="230" t="str">
        <f>Table3.110[[#This Row],[CIAT ID]]</f>
        <v>F260025</v>
      </c>
      <c r="N1114" s="230">
        <f>Table3.110[[#This Row],[Set CIAT]]</f>
        <v>30</v>
      </c>
      <c r="O1114" s="230">
        <f>Table3.110[[#This Row],[Batch]]</f>
        <v>65</v>
      </c>
      <c r="P1114" s="230">
        <f>Table3.110[[#This Row],[Run]]</f>
        <v>2</v>
      </c>
      <c r="Q1114" s="230">
        <f>Table3.110[[#This Row],[Replication]]</f>
        <v>2</v>
      </c>
      <c r="R1114" s="230">
        <f>Table3.110[[#This Row],[Syrange No]]</f>
        <v>28</v>
      </c>
      <c r="S1114" s="112">
        <v>0.57830000000000004</v>
      </c>
      <c r="T1114" s="299">
        <v>0.83430000000000004</v>
      </c>
      <c r="U1114" s="8"/>
      <c r="V1114" s="283">
        <f t="shared" si="102"/>
        <v>0.25600000000000001</v>
      </c>
      <c r="W1114" s="61">
        <f>Table3.110[[#This Row],[DM Incubated, mg]]-('3.2 Digest'!V1114*1000)</f>
        <v>215.84716056788642</v>
      </c>
      <c r="X1114" s="61">
        <f>W1114/Table3.110[[#This Row],[DM Incubated, mg]]*100</f>
        <v>45.745143471480461</v>
      </c>
      <c r="Y1114" s="31">
        <f>Table3.110[[#This Row],[DM Incubated, mg]]*'2.4 NDF'!R265/100</f>
        <v>273.96249282516396</v>
      </c>
      <c r="Z1114" s="61">
        <f t="shared" si="104"/>
        <v>17.962492825163963</v>
      </c>
      <c r="AA1114" s="61">
        <f t="shared" si="105"/>
        <v>6.5565518257373929</v>
      </c>
      <c r="AB1114" s="6"/>
    </row>
    <row r="1115" spans="2:28" x14ac:dyDescent="0.35">
      <c r="B1115" s="230">
        <f t="shared" si="103"/>
        <v>1105</v>
      </c>
      <c r="C1115" s="9"/>
      <c r="D1115" s="248">
        <f>Table3.110[[#This Row],[Date]]</f>
        <v>46083</v>
      </c>
      <c r="E1115" s="230" t="str">
        <f>Table3.110[[#This Row],[Requisitioner]]</f>
        <v>Genbank</v>
      </c>
      <c r="F1115" s="230" t="str">
        <f>Table3.110[[#This Row],[Gene Bank ID]]</f>
        <v>CIAT19641</v>
      </c>
      <c r="G1115" s="230" t="str">
        <f>Table3.110[[#This Row],[Genus]]</f>
        <v>Tephrosia</v>
      </c>
      <c r="H1115" s="230" t="str">
        <f>Table3.110[[#This Row],[Species]]</f>
        <v>purpurea</v>
      </c>
      <c r="I1115" s="230" t="str">
        <f>Table3.110[[#This Row],[Tax Name]]</f>
        <v>Tephrosia purpurea</v>
      </c>
      <c r="J1115" s="230" t="str">
        <f>Table3.110[[#This Row],[Family]]</f>
        <v>Fabaceae</v>
      </c>
      <c r="K1115" s="230" t="str">
        <f>Table3.110[[#This Row],[Order]]</f>
        <v>Fabales</v>
      </c>
      <c r="L1115" s="230" t="str">
        <f>Table3.110[[#This Row],[Functional Group]]</f>
        <v>Herbaceous</v>
      </c>
      <c r="M1115" s="230" t="str">
        <f>Table3.110[[#This Row],[CIAT ID]]</f>
        <v>F260026</v>
      </c>
      <c r="N1115" s="230">
        <f>Table3.110[[#This Row],[Set CIAT]]</f>
        <v>30</v>
      </c>
      <c r="O1115" s="230">
        <f>Table3.110[[#This Row],[Batch]]</f>
        <v>65</v>
      </c>
      <c r="P1115" s="230">
        <f>Table3.110[[#This Row],[Run]]</f>
        <v>2</v>
      </c>
      <c r="Q1115" s="230">
        <f>Table3.110[[#This Row],[Replication]]</f>
        <v>1</v>
      </c>
      <c r="R1115" s="230">
        <f>Table3.110[[#This Row],[Syrange No]]</f>
        <v>29</v>
      </c>
      <c r="S1115" s="111">
        <v>0.57869999999999999</v>
      </c>
      <c r="T1115" s="298">
        <v>0.86570000000000003</v>
      </c>
      <c r="U1115" s="8"/>
      <c r="V1115" s="283">
        <f t="shared" si="102"/>
        <v>0.28700000000000003</v>
      </c>
      <c r="W1115" s="61">
        <f>Table3.110[[#This Row],[DM Incubated, mg]]-('3.2 Digest'!V1115*1000)</f>
        <v>193.42500000000007</v>
      </c>
      <c r="X1115" s="61">
        <f>W1115/Table3.110[[#This Row],[DM Incubated, mg]]*100</f>
        <v>40.26122703855961</v>
      </c>
      <c r="Y1115" s="31">
        <f>Table3.110[[#This Row],[DM Incubated, mg]]*'2.4 NDF'!R267/100</f>
        <v>295.39842327085228</v>
      </c>
      <c r="Z1115" s="61">
        <f t="shared" si="104"/>
        <v>8.39842327085222</v>
      </c>
      <c r="AA1115" s="61">
        <f t="shared" si="105"/>
        <v>2.8430833102828257</v>
      </c>
      <c r="AB1115" s="6"/>
    </row>
    <row r="1116" spans="2:28" x14ac:dyDescent="0.35">
      <c r="B1116" s="230">
        <f t="shared" si="103"/>
        <v>1106</v>
      </c>
      <c r="C1116" s="9"/>
      <c r="D1116" s="248">
        <f>Table3.110[[#This Row],[Date]]</f>
        <v>46083</v>
      </c>
      <c r="E1116" s="230" t="str">
        <f>Table3.110[[#This Row],[Requisitioner]]</f>
        <v>Genbank</v>
      </c>
      <c r="F1116" s="230" t="str">
        <f>Table3.110[[#This Row],[Gene Bank ID]]</f>
        <v>CIAT19641</v>
      </c>
      <c r="G1116" s="230" t="str">
        <f>Table3.110[[#This Row],[Genus]]</f>
        <v>Tephrosia</v>
      </c>
      <c r="H1116" s="230" t="str">
        <f>Table3.110[[#This Row],[Species]]</f>
        <v>purpurea</v>
      </c>
      <c r="I1116" s="230" t="str">
        <f>Table3.110[[#This Row],[Tax Name]]</f>
        <v>Tephrosia purpurea</v>
      </c>
      <c r="J1116" s="230" t="str">
        <f>Table3.110[[#This Row],[Family]]</f>
        <v>Fabaceae</v>
      </c>
      <c r="K1116" s="230" t="str">
        <f>Table3.110[[#This Row],[Order]]</f>
        <v>Fabales</v>
      </c>
      <c r="L1116" s="230" t="str">
        <f>Table3.110[[#This Row],[Functional Group]]</f>
        <v>Herbaceous</v>
      </c>
      <c r="M1116" s="230" t="str">
        <f>Table3.110[[#This Row],[CIAT ID]]</f>
        <v>F260026</v>
      </c>
      <c r="N1116" s="230">
        <f>Table3.110[[#This Row],[Set CIAT]]</f>
        <v>30</v>
      </c>
      <c r="O1116" s="230">
        <f>Table3.110[[#This Row],[Batch]]</f>
        <v>65</v>
      </c>
      <c r="P1116" s="230">
        <f>Table3.110[[#This Row],[Run]]</f>
        <v>2</v>
      </c>
      <c r="Q1116" s="230">
        <f>Table3.110[[#This Row],[Replication]]</f>
        <v>2</v>
      </c>
      <c r="R1116" s="230">
        <f>Table3.110[[#This Row],[Syrange No]]</f>
        <v>30</v>
      </c>
      <c r="S1116" s="112">
        <v>0.55640000000000001</v>
      </c>
      <c r="T1116" s="299">
        <v>0.84150000000000003</v>
      </c>
      <c r="U1116" s="25" t="s">
        <v>551</v>
      </c>
      <c r="V1116" s="283">
        <f t="shared" si="102"/>
        <v>0.28510000000000002</v>
      </c>
      <c r="W1116" s="61">
        <f>Table3.110[[#This Row],[DM Incubated, mg]]-('3.2 Digest'!V1116*1000)</f>
        <v>195.22895341863267</v>
      </c>
      <c r="X1116" s="61">
        <f>W1116/Table3.110[[#This Row],[DM Incubated, mg]]*100</f>
        <v>40.644843919804281</v>
      </c>
      <c r="Y1116" s="31">
        <f>Table3.110[[#This Row],[DM Incubated, mg]]*'2.4 NDF'!R267/100</f>
        <v>295.33936720862295</v>
      </c>
      <c r="Z1116" s="61">
        <f t="shared" si="104"/>
        <v>10.239367208622923</v>
      </c>
      <c r="AA1116" s="61">
        <f t="shared" si="105"/>
        <v>3.4669835265780873</v>
      </c>
      <c r="AB1116" s="6"/>
    </row>
    <row r="1117" spans="2:28" x14ac:dyDescent="0.35">
      <c r="B1117" s="230">
        <f t="shared" si="103"/>
        <v>1107</v>
      </c>
      <c r="C1117" s="9"/>
      <c r="D1117" s="248">
        <f>Table3.110[[#This Row],[Date]]</f>
        <v>46083</v>
      </c>
      <c r="E1117" s="230" t="str">
        <f>Table3.110[[#This Row],[Requisitioner]]</f>
        <v>Genbank</v>
      </c>
      <c r="F1117" s="230" t="str">
        <f>Table3.110[[#This Row],[Gene Bank ID]]</f>
        <v>CIAT23503</v>
      </c>
      <c r="G1117" s="230" t="str">
        <f>Table3.110[[#This Row],[Genus]]</f>
        <v>Desmodium</v>
      </c>
      <c r="H1117" s="230" t="str">
        <f>Table3.110[[#This Row],[Species]]</f>
        <v>macrodesmum</v>
      </c>
      <c r="I1117" s="230" t="str">
        <f>Table3.110[[#This Row],[Tax Name]]</f>
        <v>Desmodium macrodesmum</v>
      </c>
      <c r="J1117" s="230" t="str">
        <f>Table3.110[[#This Row],[Family]]</f>
        <v>Fabaceae</v>
      </c>
      <c r="K1117" s="230" t="str">
        <f>Table3.110[[#This Row],[Order]]</f>
        <v>Fabales</v>
      </c>
      <c r="L1117" s="230" t="str">
        <f>Table3.110[[#This Row],[Functional Group]]</f>
        <v>Herbaceous</v>
      </c>
      <c r="M1117" s="230" t="str">
        <f>Table3.110[[#This Row],[CIAT ID]]</f>
        <v>F260027</v>
      </c>
      <c r="N1117" s="230">
        <f>Table3.110[[#This Row],[Set CIAT]]</f>
        <v>30</v>
      </c>
      <c r="O1117" s="230">
        <f>Table3.110[[#This Row],[Batch]]</f>
        <v>65</v>
      </c>
      <c r="P1117" s="230">
        <f>Table3.110[[#This Row],[Run]]</f>
        <v>2</v>
      </c>
      <c r="Q1117" s="230">
        <f>Table3.110[[#This Row],[Replication]]</f>
        <v>1</v>
      </c>
      <c r="R1117" s="230">
        <f>Table3.110[[#This Row],[Syrange No]]</f>
        <v>31</v>
      </c>
      <c r="S1117" s="111">
        <v>0.55869999999999997</v>
      </c>
      <c r="T1117" s="298">
        <v>0.83650000000000002</v>
      </c>
      <c r="U1117" s="25"/>
      <c r="V1117" s="283">
        <f t="shared" si="102"/>
        <v>0.27780000000000005</v>
      </c>
      <c r="W1117" s="61">
        <f>Table3.110[[#This Row],[DM Incubated, mg]]-('3.2 Digest'!V1117*1000)</f>
        <v>189.02331233903146</v>
      </c>
      <c r="X1117" s="61">
        <f>W1117/Table3.110[[#This Row],[DM Incubated, mg]]*100</f>
        <v>40.491403780142157</v>
      </c>
      <c r="Y1117" s="31">
        <f>Table3.110[[#This Row],[DM Incubated, mg]]*'2.4 NDF'!R269/100</f>
        <v>259.74694886525867</v>
      </c>
      <c r="Z1117" s="61">
        <f t="shared" si="104"/>
        <v>-18.053051134741395</v>
      </c>
      <c r="AA1117" s="61">
        <f t="shared" si="105"/>
        <v>-6.9502456962858297</v>
      </c>
      <c r="AB1117" s="6"/>
    </row>
    <row r="1118" spans="2:28" x14ac:dyDescent="0.35">
      <c r="B1118" s="230">
        <f t="shared" si="103"/>
        <v>1108</v>
      </c>
      <c r="C1118" s="9"/>
      <c r="D1118" s="248">
        <f>Table3.110[[#This Row],[Date]]</f>
        <v>46083</v>
      </c>
      <c r="E1118" s="230" t="str">
        <f>Table3.110[[#This Row],[Requisitioner]]</f>
        <v>Genbank</v>
      </c>
      <c r="F1118" s="230" t="str">
        <f>Table3.110[[#This Row],[Gene Bank ID]]</f>
        <v>CIAT23503</v>
      </c>
      <c r="G1118" s="230" t="str">
        <f>Table3.110[[#This Row],[Genus]]</f>
        <v>Desmodium</v>
      </c>
      <c r="H1118" s="230" t="str">
        <f>Table3.110[[#This Row],[Species]]</f>
        <v>macrodesmum</v>
      </c>
      <c r="I1118" s="230" t="str">
        <f>Table3.110[[#This Row],[Tax Name]]</f>
        <v>Desmodium macrodesmum</v>
      </c>
      <c r="J1118" s="230" t="str">
        <f>Table3.110[[#This Row],[Family]]</f>
        <v>Fabaceae</v>
      </c>
      <c r="K1118" s="230" t="str">
        <f>Table3.110[[#This Row],[Order]]</f>
        <v>Fabales</v>
      </c>
      <c r="L1118" s="230" t="str">
        <f>Table3.110[[#This Row],[Functional Group]]</f>
        <v>Herbaceous</v>
      </c>
      <c r="M1118" s="230" t="str">
        <f>Table3.110[[#This Row],[CIAT ID]]</f>
        <v>F260027</v>
      </c>
      <c r="N1118" s="230">
        <f>Table3.110[[#This Row],[Set CIAT]]</f>
        <v>30</v>
      </c>
      <c r="O1118" s="230">
        <f>Table3.110[[#This Row],[Batch]]</f>
        <v>65</v>
      </c>
      <c r="P1118" s="230">
        <f>Table3.110[[#This Row],[Run]]</f>
        <v>2</v>
      </c>
      <c r="Q1118" s="230">
        <f>Table3.110[[#This Row],[Replication]]</f>
        <v>2</v>
      </c>
      <c r="R1118" s="230">
        <f>Table3.110[[#This Row],[Syrange No]]</f>
        <v>32</v>
      </c>
      <c r="S1118" s="112">
        <v>0.60119999999999996</v>
      </c>
      <c r="T1118" s="299">
        <v>0.89</v>
      </c>
      <c r="U1118" s="8"/>
      <c r="V1118" s="283">
        <f t="shared" si="102"/>
        <v>0.28880000000000006</v>
      </c>
      <c r="W1118" s="61">
        <f>Table3.110[[#This Row],[DM Incubated, mg]]-('3.2 Digest'!V1118*1000)</f>
        <v>178.02331233903146</v>
      </c>
      <c r="X1118" s="61">
        <f>W1118/Table3.110[[#This Row],[DM Incubated, mg]]*100</f>
        <v>38.135051877987962</v>
      </c>
      <c r="Y1118" s="31">
        <f>Table3.110[[#This Row],[DM Incubated, mg]]*'2.4 NDF'!R269/100</f>
        <v>259.74694886525867</v>
      </c>
      <c r="Z1118" s="61">
        <f t="shared" si="104"/>
        <v>-29.053051134741395</v>
      </c>
      <c r="AA1118" s="61">
        <f t="shared" si="105"/>
        <v>-11.185136634583683</v>
      </c>
      <c r="AB1118" s="6"/>
    </row>
    <row r="1119" spans="2:28" x14ac:dyDescent="0.35">
      <c r="B1119" s="230">
        <f t="shared" si="103"/>
        <v>1109</v>
      </c>
      <c r="C1119" s="9"/>
      <c r="D1119" s="248">
        <f>Table3.110[[#This Row],[Date]]</f>
        <v>46083</v>
      </c>
      <c r="E1119" s="230" t="str">
        <f>Table3.110[[#This Row],[Requisitioner]]</f>
        <v>Genbank</v>
      </c>
      <c r="F1119" s="230" t="str">
        <f>Table3.110[[#This Row],[Gene Bank ID]]</f>
        <v>CIAT24333</v>
      </c>
      <c r="G1119" s="230" t="str">
        <f>Table3.110[[#This Row],[Genus]]</f>
        <v>Macroptilium</v>
      </c>
      <c r="H1119" s="230" t="str">
        <f>Table3.110[[#This Row],[Species]]</f>
        <v>bracteatum</v>
      </c>
      <c r="I1119" s="230" t="str">
        <f>Table3.110[[#This Row],[Tax Name]]</f>
        <v>Macroptilium bracteatum</v>
      </c>
      <c r="J1119" s="230" t="str">
        <f>Table3.110[[#This Row],[Family]]</f>
        <v>Fabaceae</v>
      </c>
      <c r="K1119" s="230" t="str">
        <f>Table3.110[[#This Row],[Order]]</f>
        <v>Fabales</v>
      </c>
      <c r="L1119" s="230" t="str">
        <f>Table3.110[[#This Row],[Functional Group]]</f>
        <v>Herbaceous</v>
      </c>
      <c r="M1119" s="230" t="str">
        <f>Table3.110[[#This Row],[CIAT ID]]</f>
        <v>F260028</v>
      </c>
      <c r="N1119" s="230">
        <f>Table3.110[[#This Row],[Set CIAT]]</f>
        <v>30</v>
      </c>
      <c r="O1119" s="230">
        <f>Table3.110[[#This Row],[Batch]]</f>
        <v>65</v>
      </c>
      <c r="P1119" s="230">
        <f>Table3.110[[#This Row],[Run]]</f>
        <v>2</v>
      </c>
      <c r="Q1119" s="230">
        <f>Table3.110[[#This Row],[Replication]]</f>
        <v>1</v>
      </c>
      <c r="R1119" s="230">
        <f>Table3.110[[#This Row],[Syrange No]]</f>
        <v>33</v>
      </c>
      <c r="S1119" s="111">
        <v>0.5585</v>
      </c>
      <c r="T1119" s="298">
        <v>0.83209999999999995</v>
      </c>
      <c r="U1119" s="8"/>
      <c r="V1119" s="283">
        <f t="shared" si="102"/>
        <v>0.27359999999999995</v>
      </c>
      <c r="W1119" s="61">
        <f>Table3.110[[#This Row],[DM Incubated, mg]]-('3.2 Digest'!V1119*1000)</f>
        <v>198.64997473071884</v>
      </c>
      <c r="X1119" s="61">
        <f>W1119/Table3.110[[#This Row],[DM Incubated, mg]]*100</f>
        <v>42.064581336185533</v>
      </c>
      <c r="Y1119" s="31">
        <f>Table3.110[[#This Row],[DM Incubated, mg]]*'2.4 NDF'!R271/100</f>
        <v>259.97445228721693</v>
      </c>
      <c r="Z1119" s="61">
        <f t="shared" si="104"/>
        <v>-13.625547712783032</v>
      </c>
      <c r="AA1119" s="61">
        <f t="shared" si="105"/>
        <v>-5.2411102679157402</v>
      </c>
      <c r="AB1119" s="6"/>
    </row>
    <row r="1120" spans="2:28" x14ac:dyDescent="0.35">
      <c r="B1120" s="230">
        <f t="shared" si="103"/>
        <v>1110</v>
      </c>
      <c r="C1120" s="9"/>
      <c r="D1120" s="248">
        <f>Table3.110[[#This Row],[Date]]</f>
        <v>46083</v>
      </c>
      <c r="E1120" s="230" t="str">
        <f>Table3.110[[#This Row],[Requisitioner]]</f>
        <v>Genbank</v>
      </c>
      <c r="F1120" s="230" t="str">
        <f>Table3.110[[#This Row],[Gene Bank ID]]</f>
        <v>CIAT24333</v>
      </c>
      <c r="G1120" s="230" t="str">
        <f>Table3.110[[#This Row],[Genus]]</f>
        <v>Macroptilium</v>
      </c>
      <c r="H1120" s="230" t="str">
        <f>Table3.110[[#This Row],[Species]]</f>
        <v>bracteatum</v>
      </c>
      <c r="I1120" s="230" t="str">
        <f>Table3.110[[#This Row],[Tax Name]]</f>
        <v>Macroptilium bracteatum</v>
      </c>
      <c r="J1120" s="230" t="str">
        <f>Table3.110[[#This Row],[Family]]</f>
        <v>Fabaceae</v>
      </c>
      <c r="K1120" s="230" t="str">
        <f>Table3.110[[#This Row],[Order]]</f>
        <v>Fabales</v>
      </c>
      <c r="L1120" s="230" t="str">
        <f>Table3.110[[#This Row],[Functional Group]]</f>
        <v>Herbaceous</v>
      </c>
      <c r="M1120" s="230" t="str">
        <f>Table3.110[[#This Row],[CIAT ID]]</f>
        <v>F260028</v>
      </c>
      <c r="N1120" s="230">
        <f>Table3.110[[#This Row],[Set CIAT]]</f>
        <v>30</v>
      </c>
      <c r="O1120" s="230">
        <f>Table3.110[[#This Row],[Batch]]</f>
        <v>65</v>
      </c>
      <c r="P1120" s="230">
        <f>Table3.110[[#This Row],[Run]]</f>
        <v>2</v>
      </c>
      <c r="Q1120" s="230">
        <f>Table3.110[[#This Row],[Replication]]</f>
        <v>2</v>
      </c>
      <c r="R1120" s="230">
        <f>Table3.110[[#This Row],[Syrange No]]</f>
        <v>34</v>
      </c>
      <c r="S1120" s="112">
        <v>0.59160000000000001</v>
      </c>
      <c r="T1120" s="299">
        <v>0.83699999999999997</v>
      </c>
      <c r="U1120" s="25"/>
      <c r="V1120" s="283">
        <f t="shared" si="102"/>
        <v>0.24539999999999995</v>
      </c>
      <c r="W1120" s="61">
        <f>Table3.110[[#This Row],[DM Incubated, mg]]-('3.2 Digest'!V1120*1000)</f>
        <v>226.84997473071886</v>
      </c>
      <c r="X1120" s="61">
        <f>W1120/Table3.110[[#This Row],[DM Incubated, mg]]*100</f>
        <v>48.035995101973434</v>
      </c>
      <c r="Y1120" s="31">
        <f>Table3.110[[#This Row],[DM Incubated, mg]]*'2.4 NDF'!R271/100</f>
        <v>259.97445228721693</v>
      </c>
      <c r="Z1120" s="61">
        <f t="shared" si="104"/>
        <v>14.574452287216985</v>
      </c>
      <c r="AA1120" s="61">
        <f t="shared" si="105"/>
        <v>5.6061094307510224</v>
      </c>
      <c r="AB1120" s="6"/>
    </row>
    <row r="1121" spans="2:28" x14ac:dyDescent="0.35">
      <c r="B1121" s="230">
        <f t="shared" si="103"/>
        <v>1111</v>
      </c>
      <c r="C1121" s="9"/>
      <c r="D1121" s="248">
        <f>Table3.110[[#This Row],[Date]]</f>
        <v>46083</v>
      </c>
      <c r="E1121" s="230">
        <f>Table3.110[[#This Row],[Requisitioner]]</f>
        <v>0</v>
      </c>
      <c r="F1121" s="230" t="str">
        <f>Table3.110[[#This Row],[Gene Bank ID]]</f>
        <v>BLANK 8H</v>
      </c>
      <c r="G1121" s="230" t="str">
        <f>Table3.110[[#This Row],[Genus]]</f>
        <v>BLANK</v>
      </c>
      <c r="H1121" s="230" t="str">
        <f>Table3.110[[#This Row],[Species]]</f>
        <v>8H</v>
      </c>
      <c r="I1121" s="230" t="str">
        <f>Table3.110[[#This Row],[Tax Name]]</f>
        <v>BLANK 8H</v>
      </c>
      <c r="J1121" s="230">
        <f>Table3.110[[#This Row],[Family]]</f>
        <v>0</v>
      </c>
      <c r="K1121" s="230">
        <f>Table3.110[[#This Row],[Order]]</f>
        <v>0</v>
      </c>
      <c r="L1121" s="230">
        <f>Table3.110[[#This Row],[Functional Group]]</f>
        <v>0</v>
      </c>
      <c r="M1121" s="230" t="str">
        <f>Table3.110[[#This Row],[CIAT ID]]</f>
        <v>BLANK8H</v>
      </c>
      <c r="N1121" s="230">
        <f>Table3.110[[#This Row],[Set CIAT]]</f>
        <v>30</v>
      </c>
      <c r="O1121" s="230">
        <f>Table3.110[[#This Row],[Batch]]</f>
        <v>65</v>
      </c>
      <c r="P1121" s="230">
        <f>Table3.110[[#This Row],[Run]]</f>
        <v>2</v>
      </c>
      <c r="Q1121" s="230">
        <f>Table3.110[[#This Row],[Replication]]</f>
        <v>1</v>
      </c>
      <c r="R1121" s="230">
        <f>Table3.110[[#This Row],[Syrange No]]</f>
        <v>35</v>
      </c>
      <c r="S1121" s="249"/>
      <c r="T1121" s="249"/>
      <c r="U1121" s="300"/>
      <c r="V1121" s="283"/>
      <c r="W1121" s="61"/>
      <c r="X1121" s="61"/>
      <c r="Y1121" s="302"/>
      <c r="Z1121" s="61"/>
      <c r="AA1121" s="61"/>
      <c r="AB1121" s="6"/>
    </row>
    <row r="1122" spans="2:28" x14ac:dyDescent="0.35">
      <c r="B1122" s="230">
        <f t="shared" si="103"/>
        <v>1112</v>
      </c>
      <c r="C1122" s="9"/>
      <c r="D1122" s="248">
        <f>Table3.110[[#This Row],[Date]]</f>
        <v>46083</v>
      </c>
      <c r="E1122" s="230">
        <f>Table3.110[[#This Row],[Requisitioner]]</f>
        <v>0</v>
      </c>
      <c r="F1122" s="230" t="str">
        <f>Table3.110[[#This Row],[Gene Bank ID]]</f>
        <v>BLANK 8H</v>
      </c>
      <c r="G1122" s="230" t="str">
        <f>Table3.110[[#This Row],[Genus]]</f>
        <v>BLANK</v>
      </c>
      <c r="H1122" s="230" t="str">
        <f>Table3.110[[#This Row],[Species]]</f>
        <v>8H</v>
      </c>
      <c r="I1122" s="230" t="str">
        <f>Table3.110[[#This Row],[Tax Name]]</f>
        <v>BLANK 8H</v>
      </c>
      <c r="J1122" s="230">
        <f>Table3.110[[#This Row],[Family]]</f>
        <v>0</v>
      </c>
      <c r="K1122" s="230">
        <f>Table3.110[[#This Row],[Order]]</f>
        <v>0</v>
      </c>
      <c r="L1122" s="230">
        <f>Table3.110[[#This Row],[Functional Group]]</f>
        <v>0</v>
      </c>
      <c r="M1122" s="230" t="str">
        <f>Table3.110[[#This Row],[CIAT ID]]</f>
        <v>BLANK8H</v>
      </c>
      <c r="N1122" s="230">
        <f>Table3.110[[#This Row],[Set CIAT]]</f>
        <v>30</v>
      </c>
      <c r="O1122" s="230">
        <f>Table3.110[[#This Row],[Batch]]</f>
        <v>65</v>
      </c>
      <c r="P1122" s="230">
        <f>Table3.110[[#This Row],[Run]]</f>
        <v>2</v>
      </c>
      <c r="Q1122" s="230">
        <f>Table3.110[[#This Row],[Replication]]</f>
        <v>2</v>
      </c>
      <c r="R1122" s="230">
        <f>Table3.110[[#This Row],[Syrange No]]</f>
        <v>36</v>
      </c>
      <c r="S1122" s="249"/>
      <c r="T1122" s="249"/>
      <c r="U1122" s="301"/>
      <c r="V1122" s="283"/>
      <c r="W1122" s="61"/>
      <c r="X1122" s="61"/>
      <c r="Y1122" s="31"/>
      <c r="Z1122" s="61"/>
      <c r="AA1122" s="61"/>
      <c r="AB1122" s="6"/>
    </row>
    <row r="1123" spans="2:28" x14ac:dyDescent="0.35">
      <c r="B1123" s="230">
        <f t="shared" si="103"/>
        <v>1113</v>
      </c>
      <c r="C1123" s="9"/>
      <c r="D1123" s="248">
        <f>Table3.110[[#This Row],[Date]]</f>
        <v>46083</v>
      </c>
      <c r="E1123" s="230" t="str">
        <f>Table3.110[[#This Row],[Requisitioner]]</f>
        <v>Genbank</v>
      </c>
      <c r="F1123" s="230" t="str">
        <f>Table3.110[[#This Row],[Gene Bank ID]]</f>
        <v>CIAT33235</v>
      </c>
      <c r="G1123" s="230" t="str">
        <f>Table3.110[[#This Row],[Genus]]</f>
        <v>Desmodium</v>
      </c>
      <c r="H1123" s="230" t="str">
        <f>Table3.110[[#This Row],[Species]]</f>
        <v>scorpiurus</v>
      </c>
      <c r="I1123" s="230" t="str">
        <f>Table3.110[[#This Row],[Tax Name]]</f>
        <v>Desmodium scorpiurus</v>
      </c>
      <c r="J1123" s="230" t="str">
        <f>Table3.110[[#This Row],[Family]]</f>
        <v>Fabaceae</v>
      </c>
      <c r="K1123" s="230" t="str">
        <f>Table3.110[[#This Row],[Order]]</f>
        <v>Fabales</v>
      </c>
      <c r="L1123" s="230" t="str">
        <f>Table3.110[[#This Row],[Functional Group]]</f>
        <v>Herbaceous</v>
      </c>
      <c r="M1123" s="230" t="str">
        <f>Table3.110[[#This Row],[CIAT ID]]</f>
        <v>F260029</v>
      </c>
      <c r="N1123" s="230">
        <f>Table3.110[[#This Row],[Set CIAT]]</f>
        <v>30</v>
      </c>
      <c r="O1123" s="230">
        <f>Table3.110[[#This Row],[Batch]]</f>
        <v>65</v>
      </c>
      <c r="P1123" s="230">
        <f>Table3.110[[#This Row],[Run]]</f>
        <v>2</v>
      </c>
      <c r="Q1123" s="230">
        <f>Table3.110[[#This Row],[Replication]]</f>
        <v>1</v>
      </c>
      <c r="R1123" s="230">
        <f>Table3.110[[#This Row],[Syrange No]]</f>
        <v>37</v>
      </c>
      <c r="S1123" s="250">
        <v>0.59919999999999995</v>
      </c>
      <c r="T1123" s="250">
        <v>0.88460000000000005</v>
      </c>
      <c r="U1123" s="25"/>
      <c r="V1123" s="283">
        <f t="shared" si="102"/>
        <v>0.2854000000000001</v>
      </c>
      <c r="W1123" s="61">
        <f>Table3.110[[#This Row],[DM Incubated, mg]]-('3.2 Digest'!V1123*1000)</f>
        <v>181.35176497001515</v>
      </c>
      <c r="X1123" s="61">
        <f>W1123/Table3.110[[#This Row],[DM Incubated, mg]]*100</f>
        <v>38.854007329070392</v>
      </c>
      <c r="Y1123" s="31">
        <f>Table3.110[[#This Row],[DM Incubated, mg]]*'2.4 NDF'!R273/100</f>
        <v>264.24649575271019</v>
      </c>
      <c r="Z1123" s="61">
        <f t="shared" si="104"/>
        <v>-21.153504247289902</v>
      </c>
      <c r="AA1123" s="61">
        <f t="shared" si="105"/>
        <v>-8.0052165638124428</v>
      </c>
      <c r="AB1123" s="6"/>
    </row>
    <row r="1124" spans="2:28" x14ac:dyDescent="0.35">
      <c r="B1124" s="230">
        <f t="shared" si="103"/>
        <v>1114</v>
      </c>
      <c r="C1124" s="9"/>
      <c r="D1124" s="248">
        <f>Table3.110[[#This Row],[Date]]</f>
        <v>46083</v>
      </c>
      <c r="E1124" s="230" t="str">
        <f>Table3.110[[#This Row],[Requisitioner]]</f>
        <v>Genbank</v>
      </c>
      <c r="F1124" s="230" t="str">
        <f>Table3.110[[#This Row],[Gene Bank ID]]</f>
        <v>CIAT33235</v>
      </c>
      <c r="G1124" s="230" t="str">
        <f>Table3.110[[#This Row],[Genus]]</f>
        <v>Desmodium</v>
      </c>
      <c r="H1124" s="230" t="str">
        <f>Table3.110[[#This Row],[Species]]</f>
        <v>scorpiurus</v>
      </c>
      <c r="I1124" s="230" t="str">
        <f>Table3.110[[#This Row],[Tax Name]]</f>
        <v>Desmodium scorpiurus</v>
      </c>
      <c r="J1124" s="230" t="str">
        <f>Table3.110[[#This Row],[Family]]</f>
        <v>Fabaceae</v>
      </c>
      <c r="K1124" s="230" t="str">
        <f>Table3.110[[#This Row],[Order]]</f>
        <v>Fabales</v>
      </c>
      <c r="L1124" s="230" t="str">
        <f>Table3.110[[#This Row],[Functional Group]]</f>
        <v>Herbaceous</v>
      </c>
      <c r="M1124" s="230" t="str">
        <f>Table3.110[[#This Row],[CIAT ID]]</f>
        <v>F260029</v>
      </c>
      <c r="N1124" s="230">
        <f>Table3.110[[#This Row],[Set CIAT]]</f>
        <v>30</v>
      </c>
      <c r="O1124" s="230">
        <f>Table3.110[[#This Row],[Batch]]</f>
        <v>65</v>
      </c>
      <c r="P1124" s="230">
        <f>Table3.110[[#This Row],[Run]]</f>
        <v>2</v>
      </c>
      <c r="Q1124" s="230">
        <f>Table3.110[[#This Row],[Replication]]</f>
        <v>2</v>
      </c>
      <c r="R1124" s="230">
        <f>Table3.110[[#This Row],[Syrange No]]</f>
        <v>38</v>
      </c>
      <c r="S1124" s="250">
        <v>0.56299999999999994</v>
      </c>
      <c r="T1124" s="98">
        <v>0.89339999999999997</v>
      </c>
      <c r="U1124" s="8" t="s">
        <v>599</v>
      </c>
      <c r="V1124" s="283">
        <f t="shared" si="102"/>
        <v>0.33040000000000003</v>
      </c>
      <c r="W1124" s="61">
        <f>Table3.110[[#This Row],[DM Incubated, mg]]-('3.2 Digest'!V1124*1000)</f>
        <v>136.35176497001521</v>
      </c>
      <c r="X1124" s="61">
        <f>W1124/Table3.110[[#This Row],[DM Incubated, mg]]*100</f>
        <v>29.212908274438902</v>
      </c>
      <c r="Y1124" s="31">
        <f>Table3.110[[#This Row],[DM Incubated, mg]]*'2.4 NDF'!R273/100</f>
        <v>264.24649575271019</v>
      </c>
      <c r="Z1124" s="61">
        <f t="shared" si="104"/>
        <v>-66.153504247289845</v>
      </c>
      <c r="AA1124" s="61">
        <f t="shared" si="105"/>
        <v>-25.034770682143044</v>
      </c>
      <c r="AB1124" s="6"/>
    </row>
    <row r="1125" spans="2:28" x14ac:dyDescent="0.35">
      <c r="B1125" s="230">
        <f t="shared" si="103"/>
        <v>1115</v>
      </c>
      <c r="C1125" s="9"/>
      <c r="D1125" s="248">
        <f>Table3.110[[#This Row],[Date]]</f>
        <v>46083</v>
      </c>
      <c r="E1125" s="230" t="str">
        <f>Table3.110[[#This Row],[Requisitioner]]</f>
        <v>Genbank</v>
      </c>
      <c r="F1125" s="230" t="str">
        <f>Table3.110[[#This Row],[Gene Bank ID]]</f>
        <v>CIAT33605</v>
      </c>
      <c r="G1125" s="230" t="str">
        <f>Table3.110[[#This Row],[Genus]]</f>
        <v>Desmodium</v>
      </c>
      <c r="H1125" s="230" t="str">
        <f>Table3.110[[#This Row],[Species]]</f>
        <v>sandwicense</v>
      </c>
      <c r="I1125" s="230" t="str">
        <f>Table3.110[[#This Row],[Tax Name]]</f>
        <v>Desmodium sandwicense x intortum</v>
      </c>
      <c r="J1125" s="230" t="str">
        <f>Table3.110[[#This Row],[Family]]</f>
        <v>Fabaceae</v>
      </c>
      <c r="K1125" s="230" t="str">
        <f>Table3.110[[#This Row],[Order]]</f>
        <v>Fabales</v>
      </c>
      <c r="L1125" s="230" t="str">
        <f>Table3.110[[#This Row],[Functional Group]]</f>
        <v>Herbaceous</v>
      </c>
      <c r="M1125" s="230" t="str">
        <f>Table3.110[[#This Row],[CIAT ID]]</f>
        <v>F260030</v>
      </c>
      <c r="N1125" s="230">
        <f>Table3.110[[#This Row],[Set CIAT]]</f>
        <v>30</v>
      </c>
      <c r="O1125" s="230">
        <f>Table3.110[[#This Row],[Batch]]</f>
        <v>65</v>
      </c>
      <c r="P1125" s="230">
        <f>Table3.110[[#This Row],[Run]]</f>
        <v>2</v>
      </c>
      <c r="Q1125" s="230">
        <f>Table3.110[[#This Row],[Replication]]</f>
        <v>1</v>
      </c>
      <c r="R1125" s="230">
        <f>Table3.110[[#This Row],[Syrange No]]</f>
        <v>39</v>
      </c>
      <c r="S1125" s="98">
        <v>0.55479999999999996</v>
      </c>
      <c r="T1125" s="250">
        <v>0.88490000000000002</v>
      </c>
      <c r="U1125" s="8"/>
      <c r="V1125" s="283">
        <f t="shared" si="102"/>
        <v>0.33010000000000006</v>
      </c>
      <c r="W1125" s="61">
        <f>Table3.110[[#This Row],[DM Incubated, mg]]-('3.2 Digest'!V1125*1000)</f>
        <v>147.75779315469197</v>
      </c>
      <c r="X1125" s="61">
        <f>W1125/Table3.110[[#This Row],[DM Incubated, mg]]*100</f>
        <v>30.920871286671648</v>
      </c>
      <c r="Y1125" s="31">
        <f>Table3.110[[#This Row],[DM Incubated, mg]]*'2.4 NDF'!R275/100</f>
        <v>284.86095409563654</v>
      </c>
      <c r="Z1125" s="61">
        <f t="shared" si="104"/>
        <v>-45.239045904363536</v>
      </c>
      <c r="AA1125" s="61">
        <f t="shared" si="105"/>
        <v>-15.881097515799025</v>
      </c>
      <c r="AB1125" s="6"/>
    </row>
    <row r="1126" spans="2:28" x14ac:dyDescent="0.35">
      <c r="B1126" s="230">
        <f t="shared" si="103"/>
        <v>1116</v>
      </c>
      <c r="C1126" s="9"/>
      <c r="D1126" s="248">
        <f>Table3.110[[#This Row],[Date]]</f>
        <v>46083</v>
      </c>
      <c r="E1126" s="230" t="str">
        <f>Table3.110[[#This Row],[Requisitioner]]</f>
        <v>Genbank</v>
      </c>
      <c r="F1126" s="230" t="str">
        <f>Table3.110[[#This Row],[Gene Bank ID]]</f>
        <v>CIAT33605</v>
      </c>
      <c r="G1126" s="230" t="str">
        <f>Table3.110[[#This Row],[Genus]]</f>
        <v>Desmodium</v>
      </c>
      <c r="H1126" s="230" t="str">
        <f>Table3.110[[#This Row],[Species]]</f>
        <v>sandwicense</v>
      </c>
      <c r="I1126" s="230" t="str">
        <f>Table3.110[[#This Row],[Tax Name]]</f>
        <v>Desmodium sandwicense x intortum</v>
      </c>
      <c r="J1126" s="230" t="str">
        <f>Table3.110[[#This Row],[Family]]</f>
        <v>Fabaceae</v>
      </c>
      <c r="K1126" s="230" t="str">
        <f>Table3.110[[#This Row],[Order]]</f>
        <v>Fabales</v>
      </c>
      <c r="L1126" s="230" t="str">
        <f>Table3.110[[#This Row],[Functional Group]]</f>
        <v>Herbaceous</v>
      </c>
      <c r="M1126" s="230" t="str">
        <f>Table3.110[[#This Row],[CIAT ID]]</f>
        <v>F260030</v>
      </c>
      <c r="N1126" s="230">
        <f>Table3.110[[#This Row],[Set CIAT]]</f>
        <v>30</v>
      </c>
      <c r="O1126" s="230">
        <f>Table3.110[[#This Row],[Batch]]</f>
        <v>65</v>
      </c>
      <c r="P1126" s="230">
        <f>Table3.110[[#This Row],[Run]]</f>
        <v>2</v>
      </c>
      <c r="Q1126" s="230">
        <f>Table3.110[[#This Row],[Replication]]</f>
        <v>2</v>
      </c>
      <c r="R1126" s="230">
        <f>Table3.110[[#This Row],[Syrange No]]</f>
        <v>40</v>
      </c>
      <c r="S1126" s="98">
        <v>0.5917</v>
      </c>
      <c r="T1126" s="98">
        <v>0.88570000000000004</v>
      </c>
      <c r="U1126" s="25"/>
      <c r="V1126" s="283">
        <f t="shared" si="102"/>
        <v>0.29400000000000004</v>
      </c>
      <c r="W1126" s="61">
        <f>Table3.110[[#This Row],[DM Incubated, mg]]-('3.2 Digest'!V1126*1000)</f>
        <v>183.95334560283334</v>
      </c>
      <c r="X1126" s="61">
        <f>W1126/Table3.110[[#This Row],[DM Incubated, mg]]*100</f>
        <v>38.487720045314575</v>
      </c>
      <c r="Y1126" s="31">
        <f>Table3.110[[#This Row],[DM Incubated, mg]]*'2.4 NDF'!R275/100</f>
        <v>284.91791489429596</v>
      </c>
      <c r="Z1126" s="61">
        <f t="shared" si="104"/>
        <v>-9.0820851057040954</v>
      </c>
      <c r="AA1126" s="61">
        <f t="shared" si="105"/>
        <v>-3.1876146184326575</v>
      </c>
      <c r="AB1126" s="6"/>
    </row>
    <row r="1127" spans="2:28" x14ac:dyDescent="0.35">
      <c r="B1127" s="230">
        <f t="shared" si="103"/>
        <v>1117</v>
      </c>
      <c r="C1127" s="9"/>
      <c r="D1127" s="248">
        <f>Table3.110[[#This Row],[Date]]</f>
        <v>46083</v>
      </c>
      <c r="E1127" s="230" t="str">
        <f>Table3.110[[#This Row],[Requisitioner]]</f>
        <v>Genbank</v>
      </c>
      <c r="F1127" s="230" t="str">
        <f>Table3.110[[#This Row],[Gene Bank ID]]</f>
        <v>CIAT34144</v>
      </c>
      <c r="G1127" s="230" t="str">
        <f>Table3.110[[#This Row],[Genus]]</f>
        <v>Vigna</v>
      </c>
      <c r="H1127" s="230" t="str">
        <f>Table3.110[[#This Row],[Species]]</f>
        <v>radiata</v>
      </c>
      <c r="I1127" s="230" t="str">
        <f>Table3.110[[#This Row],[Tax Name]]</f>
        <v>Vigna radiata</v>
      </c>
      <c r="J1127" s="230" t="str">
        <f>Table3.110[[#This Row],[Family]]</f>
        <v>Fabaceae</v>
      </c>
      <c r="K1127" s="230" t="str">
        <f>Table3.110[[#This Row],[Order]]</f>
        <v>Fabales</v>
      </c>
      <c r="L1127" s="230" t="str">
        <f>Table3.110[[#This Row],[Functional Group]]</f>
        <v>Herbaceous</v>
      </c>
      <c r="M1127" s="230" t="str">
        <f>Table3.110[[#This Row],[CIAT ID]]</f>
        <v>F260031</v>
      </c>
      <c r="N1127" s="230">
        <f>Table3.110[[#This Row],[Set CIAT]]</f>
        <v>30</v>
      </c>
      <c r="O1127" s="230">
        <f>Table3.110[[#This Row],[Batch]]</f>
        <v>65</v>
      </c>
      <c r="P1127" s="230">
        <f>Table3.110[[#This Row],[Run]]</f>
        <v>2</v>
      </c>
      <c r="Q1127" s="230">
        <f>Table3.110[[#This Row],[Replication]]</f>
        <v>1</v>
      </c>
      <c r="R1127" s="230">
        <f>Table3.110[[#This Row],[Syrange No]]</f>
        <v>41</v>
      </c>
      <c r="S1127" s="250">
        <v>0.57050000000000001</v>
      </c>
      <c r="T1127" s="250">
        <v>0.73729999999999996</v>
      </c>
      <c r="U1127" s="25"/>
      <c r="V1127" s="283">
        <f t="shared" si="102"/>
        <v>0.16679999999999995</v>
      </c>
      <c r="W1127" s="61">
        <f>Table3.110[[#This Row],[DM Incubated, mg]]-('3.2 Digest'!V1127*1000)</f>
        <v>287.69317478619485</v>
      </c>
      <c r="X1127" s="61">
        <f>W1127/Table3.110[[#This Row],[DM Incubated, mg]]*100</f>
        <v>63.299778906808243</v>
      </c>
      <c r="Y1127" s="31">
        <f>Table3.110[[#This Row],[DM Incubated, mg]]*'2.4 NDF'!R277/100</f>
        <v>222.37480553813305</v>
      </c>
      <c r="Z1127" s="61">
        <f t="shared" si="104"/>
        <v>55.574805538133091</v>
      </c>
      <c r="AA1127" s="61">
        <f t="shared" si="105"/>
        <v>24.991502703575417</v>
      </c>
      <c r="AB1127" s="6"/>
    </row>
    <row r="1128" spans="2:28" x14ac:dyDescent="0.35">
      <c r="B1128" s="230">
        <f t="shared" si="103"/>
        <v>1118</v>
      </c>
      <c r="C1128" s="9"/>
      <c r="D1128" s="248">
        <f>Table3.110[[#This Row],[Date]]</f>
        <v>46083</v>
      </c>
      <c r="E1128" s="230" t="str">
        <f>Table3.110[[#This Row],[Requisitioner]]</f>
        <v>Genbank</v>
      </c>
      <c r="F1128" s="230" t="str">
        <f>Table3.110[[#This Row],[Gene Bank ID]]</f>
        <v>CIAT34144</v>
      </c>
      <c r="G1128" s="230" t="str">
        <f>Table3.110[[#This Row],[Genus]]</f>
        <v>Vigna</v>
      </c>
      <c r="H1128" s="230" t="str">
        <f>Table3.110[[#This Row],[Species]]</f>
        <v>radiata</v>
      </c>
      <c r="I1128" s="230" t="str">
        <f>Table3.110[[#This Row],[Tax Name]]</f>
        <v>Vigna radiata</v>
      </c>
      <c r="J1128" s="230" t="str">
        <f>Table3.110[[#This Row],[Family]]</f>
        <v>Fabaceae</v>
      </c>
      <c r="K1128" s="230" t="str">
        <f>Table3.110[[#This Row],[Order]]</f>
        <v>Fabales</v>
      </c>
      <c r="L1128" s="230" t="str">
        <f>Table3.110[[#This Row],[Functional Group]]</f>
        <v>Herbaceous</v>
      </c>
      <c r="M1128" s="230" t="str">
        <f>Table3.110[[#This Row],[CIAT ID]]</f>
        <v>F260031</v>
      </c>
      <c r="N1128" s="230">
        <f>Table3.110[[#This Row],[Set CIAT]]</f>
        <v>30</v>
      </c>
      <c r="O1128" s="230">
        <f>Table3.110[[#This Row],[Batch]]</f>
        <v>65</v>
      </c>
      <c r="P1128" s="230">
        <f>Table3.110[[#This Row],[Run]]</f>
        <v>2</v>
      </c>
      <c r="Q1128" s="230">
        <f>Table3.110[[#This Row],[Replication]]</f>
        <v>2</v>
      </c>
      <c r="R1128" s="230">
        <f>Table3.110[[#This Row],[Syrange No]]</f>
        <v>42</v>
      </c>
      <c r="S1128" s="98">
        <v>0.60819999999999996</v>
      </c>
      <c r="T1128" s="98">
        <v>0.78759999999999997</v>
      </c>
      <c r="U1128" s="8"/>
      <c r="V1128" s="283">
        <f t="shared" si="102"/>
        <v>0.1794</v>
      </c>
      <c r="W1128" s="61">
        <f>Table3.110[[#This Row],[DM Incubated, mg]]-('3.2 Digest'!V1128*1000)</f>
        <v>275.27497205610928</v>
      </c>
      <c r="X1128" s="61">
        <f>W1128/Table3.110[[#This Row],[DM Incubated, mg]]*100</f>
        <v>60.543242750150519</v>
      </c>
      <c r="Y1128" s="31">
        <f>Table3.110[[#This Row],[DM Incubated, mg]]*'2.4 NDF'!R277/100</f>
        <v>222.4637554603483</v>
      </c>
      <c r="Z1128" s="61">
        <f t="shared" si="104"/>
        <v>43.06375546034829</v>
      </c>
      <c r="AA1128" s="61">
        <f t="shared" si="105"/>
        <v>19.357650135517886</v>
      </c>
      <c r="AB1128" s="6"/>
    </row>
    <row r="1129" spans="2:28" x14ac:dyDescent="0.35">
      <c r="B1129" s="230">
        <f t="shared" si="103"/>
        <v>1119</v>
      </c>
      <c r="C1129" s="9"/>
      <c r="D1129" s="248">
        <f>Table3.110[[#This Row],[Date]]</f>
        <v>46083</v>
      </c>
      <c r="E1129" s="230" t="str">
        <f>Table3.110[[#This Row],[Requisitioner]]</f>
        <v>Genbank</v>
      </c>
      <c r="F1129" s="230" t="str">
        <f>Table3.110[[#This Row],[Gene Bank ID]]</f>
        <v>CIAT7934</v>
      </c>
      <c r="G1129" s="230" t="str">
        <f>Table3.110[[#This Row],[Genus]]</f>
        <v>Sesbania</v>
      </c>
      <c r="H1129" s="230" t="str">
        <f>Table3.110[[#This Row],[Species]]</f>
        <v>sesban</v>
      </c>
      <c r="I1129" s="230" t="str">
        <f>Table3.110[[#This Row],[Tax Name]]</f>
        <v>Sesbania sesban</v>
      </c>
      <c r="J1129" s="230" t="str">
        <f>Table3.110[[#This Row],[Family]]</f>
        <v>Fabaceae</v>
      </c>
      <c r="K1129" s="230" t="str">
        <f>Table3.110[[#This Row],[Order]]</f>
        <v>Fabales</v>
      </c>
      <c r="L1129" s="230" t="str">
        <f>Table3.110[[#This Row],[Functional Group]]</f>
        <v>Herbaceous</v>
      </c>
      <c r="M1129" s="230" t="str">
        <f>Table3.110[[#This Row],[CIAT ID]]</f>
        <v>F260032</v>
      </c>
      <c r="N1129" s="230">
        <f>Table3.110[[#This Row],[Set CIAT]]</f>
        <v>30</v>
      </c>
      <c r="O1129" s="230">
        <f>Table3.110[[#This Row],[Batch]]</f>
        <v>65</v>
      </c>
      <c r="P1129" s="230">
        <f>Table3.110[[#This Row],[Run]]</f>
        <v>2</v>
      </c>
      <c r="Q1129" s="230">
        <f>Table3.110[[#This Row],[Replication]]</f>
        <v>1</v>
      </c>
      <c r="R1129" s="230">
        <f>Table3.110[[#This Row],[Syrange No]]</f>
        <v>43</v>
      </c>
      <c r="S1129" s="250">
        <v>0.59379999999999999</v>
      </c>
      <c r="T1129" s="250">
        <v>0.79949999999999999</v>
      </c>
      <c r="U1129" s="8" t="s">
        <v>600</v>
      </c>
      <c r="V1129" s="283">
        <f t="shared" si="102"/>
        <v>0.20569999999999999</v>
      </c>
      <c r="W1129" s="61">
        <f>Table3.110[[#This Row],[DM Incubated, mg]]-('3.2 Digest'!V1129*1000)</f>
        <v>276.63220135904891</v>
      </c>
      <c r="X1129" s="61">
        <f>W1129/Table3.110[[#This Row],[DM Incubated, mg]]*100</f>
        <v>57.353044349847046</v>
      </c>
      <c r="Y1129" s="31">
        <f>Table3.110[[#This Row],[DM Incubated, mg]]*'2.4 NDF'!R279/100</f>
        <v>234.76226025625186</v>
      </c>
      <c r="Z1129" s="61">
        <f t="shared" si="104"/>
        <v>29.062260256251875</v>
      </c>
      <c r="AA1129" s="61">
        <f t="shared" si="105"/>
        <v>12.37944302654495</v>
      </c>
      <c r="AB1129" s="6"/>
    </row>
    <row r="1130" spans="2:28" x14ac:dyDescent="0.35">
      <c r="B1130" s="230">
        <f t="shared" si="103"/>
        <v>1120</v>
      </c>
      <c r="C1130" s="9"/>
      <c r="D1130" s="248">
        <f>Table3.110[[#This Row],[Date]]</f>
        <v>46083</v>
      </c>
      <c r="E1130" s="230" t="str">
        <f>Table3.110[[#This Row],[Requisitioner]]</f>
        <v>Genbank</v>
      </c>
      <c r="F1130" s="230" t="str">
        <f>Table3.110[[#This Row],[Gene Bank ID]]</f>
        <v>CIAT7934</v>
      </c>
      <c r="G1130" s="230" t="str">
        <f>Table3.110[[#This Row],[Genus]]</f>
        <v>Sesbania</v>
      </c>
      <c r="H1130" s="230" t="str">
        <f>Table3.110[[#This Row],[Species]]</f>
        <v>sesban</v>
      </c>
      <c r="I1130" s="230" t="str">
        <f>Table3.110[[#This Row],[Tax Name]]</f>
        <v>Sesbania sesban</v>
      </c>
      <c r="J1130" s="230" t="str">
        <f>Table3.110[[#This Row],[Family]]</f>
        <v>Fabaceae</v>
      </c>
      <c r="K1130" s="230" t="str">
        <f>Table3.110[[#This Row],[Order]]</f>
        <v>Fabales</v>
      </c>
      <c r="L1130" s="230" t="str">
        <f>Table3.110[[#This Row],[Functional Group]]</f>
        <v>Herbaceous</v>
      </c>
      <c r="M1130" s="230" t="str">
        <f>Table3.110[[#This Row],[CIAT ID]]</f>
        <v>F260032</v>
      </c>
      <c r="N1130" s="230">
        <f>Table3.110[[#This Row],[Set CIAT]]</f>
        <v>30</v>
      </c>
      <c r="O1130" s="230">
        <f>Table3.110[[#This Row],[Batch]]</f>
        <v>65</v>
      </c>
      <c r="P1130" s="230">
        <f>Table3.110[[#This Row],[Run]]</f>
        <v>2</v>
      </c>
      <c r="Q1130" s="230">
        <f>Table3.110[[#This Row],[Replication]]</f>
        <v>2</v>
      </c>
      <c r="R1130" s="230">
        <f>Table3.110[[#This Row],[Syrange No]]</f>
        <v>44</v>
      </c>
      <c r="S1130" s="98">
        <v>0.59430000000000005</v>
      </c>
      <c r="T1130" s="98">
        <v>0.77980000000000005</v>
      </c>
      <c r="U1130" s="25" t="s">
        <v>599</v>
      </c>
      <c r="V1130" s="283">
        <f t="shared" ref="V1130:V1170" si="106">T1130-S1130</f>
        <v>0.1855</v>
      </c>
      <c r="W1130" s="61">
        <f>Table3.110[[#This Row],[DM Incubated, mg]]-('3.2 Digest'!V1130*1000)</f>
        <v>296.8322013590489</v>
      </c>
      <c r="X1130" s="61">
        <f>W1130/Table3.110[[#This Row],[DM Incubated, mg]]*100</f>
        <v>61.541029299448844</v>
      </c>
      <c r="Y1130" s="31">
        <f>Table3.110[[#This Row],[DM Incubated, mg]]*'2.4 NDF'!R279/100</f>
        <v>234.76226025625186</v>
      </c>
      <c r="Z1130" s="61">
        <f t="shared" si="104"/>
        <v>49.262260256251864</v>
      </c>
      <c r="AA1130" s="61">
        <f t="shared" si="105"/>
        <v>20.983892471677624</v>
      </c>
      <c r="AB1130" s="6"/>
    </row>
    <row r="1131" spans="2:28" x14ac:dyDescent="0.35">
      <c r="B1131" s="230">
        <f t="shared" si="103"/>
        <v>1121</v>
      </c>
      <c r="C1131" s="9"/>
      <c r="D1131" s="248">
        <f>Table3.110[[#This Row],[Date]]</f>
        <v>46083</v>
      </c>
      <c r="E1131" s="230" t="str">
        <f>Table3.110[[#This Row],[Requisitioner]]</f>
        <v>Genbank</v>
      </c>
      <c r="F1131" s="230" t="str">
        <f>Table3.110[[#This Row],[Gene Bank ID]]</f>
        <v>CIAT7937</v>
      </c>
      <c r="G1131" s="230" t="str">
        <f>Table3.110[[#This Row],[Genus]]</f>
        <v>Mimosa</v>
      </c>
      <c r="H1131" s="230" t="str">
        <f>Table3.110[[#This Row],[Species]]</f>
        <v>nuda</v>
      </c>
      <c r="I1131" s="230" t="str">
        <f>Table3.110[[#This Row],[Tax Name]]</f>
        <v>Mimosa nuda</v>
      </c>
      <c r="J1131" s="230" t="str">
        <f>Table3.110[[#This Row],[Family]]</f>
        <v>Fabaceae</v>
      </c>
      <c r="K1131" s="230" t="str">
        <f>Table3.110[[#This Row],[Order]]</f>
        <v>Fabales</v>
      </c>
      <c r="L1131" s="230" t="str">
        <f>Table3.110[[#This Row],[Functional Group]]</f>
        <v>Herbaceous</v>
      </c>
      <c r="M1131" s="230" t="str">
        <f>Table3.110[[#This Row],[CIAT ID]]</f>
        <v>F260033</v>
      </c>
      <c r="N1131" s="230">
        <f>Table3.110[[#This Row],[Set CIAT]]</f>
        <v>30</v>
      </c>
      <c r="O1131" s="230">
        <f>Table3.110[[#This Row],[Batch]]</f>
        <v>65</v>
      </c>
      <c r="P1131" s="230">
        <f>Table3.110[[#This Row],[Run]]</f>
        <v>2</v>
      </c>
      <c r="Q1131" s="230">
        <f>Table3.110[[#This Row],[Replication]]</f>
        <v>1</v>
      </c>
      <c r="R1131" s="230">
        <f>Table3.110[[#This Row],[Syrange No]]</f>
        <v>45</v>
      </c>
      <c r="S1131" s="250">
        <v>0.59119999999999995</v>
      </c>
      <c r="T1131" s="250">
        <v>0.87749999999999995</v>
      </c>
      <c r="U1131" s="25"/>
      <c r="V1131" s="283">
        <f t="shared" si="106"/>
        <v>0.2863</v>
      </c>
      <c r="W1131" s="61">
        <f>Table3.110[[#This Row],[DM Incubated, mg]]-('3.2 Digest'!V1131*1000)</f>
        <v>194.70567754319018</v>
      </c>
      <c r="X1131" s="61">
        <f>W1131/Table3.110[[#This Row],[DM Incubated, mg]]*100</f>
        <v>40.478873043178851</v>
      </c>
      <c r="Y1131" s="31">
        <f>Table3.110[[#This Row],[DM Incubated, mg]]*'2.4 NDF'!R281/100</f>
        <v>299.47042015548726</v>
      </c>
      <c r="Z1131" s="61">
        <f t="shared" si="104"/>
        <v>13.17042015548725</v>
      </c>
      <c r="AA1131" s="61">
        <f t="shared" si="105"/>
        <v>4.3979035220403642</v>
      </c>
      <c r="AB1131" s="6"/>
    </row>
    <row r="1132" spans="2:28" x14ac:dyDescent="0.35">
      <c r="B1132" s="230">
        <f t="shared" si="103"/>
        <v>1122</v>
      </c>
      <c r="C1132" s="9"/>
      <c r="D1132" s="248">
        <f>Table3.110[[#This Row],[Date]]</f>
        <v>46083</v>
      </c>
      <c r="E1132" s="230" t="str">
        <f>Table3.110[[#This Row],[Requisitioner]]</f>
        <v>Genbank</v>
      </c>
      <c r="F1132" s="230" t="str">
        <f>Table3.110[[#This Row],[Gene Bank ID]]</f>
        <v>CIAT7937</v>
      </c>
      <c r="G1132" s="230" t="str">
        <f>Table3.110[[#This Row],[Genus]]</f>
        <v>Mimosa</v>
      </c>
      <c r="H1132" s="230" t="str">
        <f>Table3.110[[#This Row],[Species]]</f>
        <v>nuda</v>
      </c>
      <c r="I1132" s="230" t="str">
        <f>Table3.110[[#This Row],[Tax Name]]</f>
        <v>Mimosa nuda</v>
      </c>
      <c r="J1132" s="230" t="str">
        <f>Table3.110[[#This Row],[Family]]</f>
        <v>Fabaceae</v>
      </c>
      <c r="K1132" s="230" t="str">
        <f>Table3.110[[#This Row],[Order]]</f>
        <v>Fabales</v>
      </c>
      <c r="L1132" s="230" t="str">
        <f>Table3.110[[#This Row],[Functional Group]]</f>
        <v>Herbaceous</v>
      </c>
      <c r="M1132" s="230" t="str">
        <f>Table3.110[[#This Row],[CIAT ID]]</f>
        <v>F260033</v>
      </c>
      <c r="N1132" s="230">
        <f>Table3.110[[#This Row],[Set CIAT]]</f>
        <v>30</v>
      </c>
      <c r="O1132" s="230">
        <f>Table3.110[[#This Row],[Batch]]</f>
        <v>65</v>
      </c>
      <c r="P1132" s="230">
        <f>Table3.110[[#This Row],[Run]]</f>
        <v>2</v>
      </c>
      <c r="Q1132" s="230">
        <f>Table3.110[[#This Row],[Replication]]</f>
        <v>2</v>
      </c>
      <c r="R1132" s="230">
        <f>Table3.110[[#This Row],[Syrange No]]</f>
        <v>46</v>
      </c>
      <c r="S1132" s="98">
        <v>0.5837</v>
      </c>
      <c r="T1132" s="98">
        <v>0.91710000000000003</v>
      </c>
      <c r="U1132" s="8"/>
      <c r="V1132" s="283">
        <f t="shared" si="106"/>
        <v>0.33340000000000003</v>
      </c>
      <c r="W1132" s="61">
        <f>Table3.110[[#This Row],[DM Incubated, mg]]-('3.2 Digest'!V1132*1000)</f>
        <v>147.60567754319015</v>
      </c>
      <c r="X1132" s="61">
        <f>W1132/Table3.110[[#This Row],[DM Incubated, mg]]*100</f>
        <v>30.686888831979829</v>
      </c>
      <c r="Y1132" s="31">
        <f>Table3.110[[#This Row],[DM Incubated, mg]]*'2.4 NDF'!R281/100</f>
        <v>299.47042015548726</v>
      </c>
      <c r="Z1132" s="61">
        <f t="shared" si="104"/>
        <v>-33.929579844512773</v>
      </c>
      <c r="AA1132" s="61">
        <f t="shared" si="105"/>
        <v>-11.329860166789189</v>
      </c>
      <c r="AB1132" s="6"/>
    </row>
    <row r="1133" spans="2:28" x14ac:dyDescent="0.35">
      <c r="B1133" s="230">
        <f t="shared" si="103"/>
        <v>1123</v>
      </c>
      <c r="C1133" s="9"/>
      <c r="D1133" s="248">
        <f>Table3.110[[#This Row],[Date]]</f>
        <v>46083</v>
      </c>
      <c r="E1133" s="230" t="str">
        <f>Table3.110[[#This Row],[Requisitioner]]</f>
        <v>Genbank</v>
      </c>
      <c r="F1133" s="230" t="str">
        <f>Table3.110[[#This Row],[Gene Bank ID]]</f>
        <v>CIAT8056</v>
      </c>
      <c r="G1133" s="230" t="str">
        <f>Table3.110[[#This Row],[Genus]]</f>
        <v>Mimosa</v>
      </c>
      <c r="H1133" s="230" t="str">
        <f>Table3.110[[#This Row],[Species]]</f>
        <v>diplotricha</v>
      </c>
      <c r="I1133" s="230" t="str">
        <f>Table3.110[[#This Row],[Tax Name]]</f>
        <v>Mimosa diplotricha</v>
      </c>
      <c r="J1133" s="230" t="str">
        <f>Table3.110[[#This Row],[Family]]</f>
        <v>Fabaceae</v>
      </c>
      <c r="K1133" s="230" t="str">
        <f>Table3.110[[#This Row],[Order]]</f>
        <v>Fabales</v>
      </c>
      <c r="L1133" s="230" t="str">
        <f>Table3.110[[#This Row],[Functional Group]]</f>
        <v>Herbaceous</v>
      </c>
      <c r="M1133" s="230" t="str">
        <f>Table3.110[[#This Row],[CIAT ID]]</f>
        <v>F260034</v>
      </c>
      <c r="N1133" s="230">
        <f>Table3.110[[#This Row],[Set CIAT]]</f>
        <v>30</v>
      </c>
      <c r="O1133" s="230">
        <f>Table3.110[[#This Row],[Batch]]</f>
        <v>65</v>
      </c>
      <c r="P1133" s="230">
        <f>Table3.110[[#This Row],[Run]]</f>
        <v>2</v>
      </c>
      <c r="Q1133" s="230">
        <f>Table3.110[[#This Row],[Replication]]</f>
        <v>1</v>
      </c>
      <c r="R1133" s="230">
        <f>Table3.110[[#This Row],[Syrange No]]</f>
        <v>47</v>
      </c>
      <c r="S1133" s="250">
        <v>0.58699999999999997</v>
      </c>
      <c r="T1133" s="250">
        <v>0.84260000000000002</v>
      </c>
      <c r="U1133" s="8"/>
      <c r="V1133" s="283">
        <f t="shared" si="106"/>
        <v>0.25560000000000005</v>
      </c>
      <c r="W1133" s="61">
        <f>Table3.110[[#This Row],[DM Incubated, mg]]-('3.2 Digest'!V1133*1000)</f>
        <v>220.85942599029389</v>
      </c>
      <c r="X1133" s="61">
        <f>W1133/Table3.110[[#This Row],[DM Incubated, mg]]*100</f>
        <v>46.354298801256803</v>
      </c>
      <c r="Y1133" s="31">
        <f>Table3.110[[#This Row],[DM Incubated, mg]]*'2.4 NDF'!R283/100</f>
        <v>259.3502170717174</v>
      </c>
      <c r="Z1133" s="61">
        <f t="shared" si="104"/>
        <v>3.7502170717173442</v>
      </c>
      <c r="AA1133" s="61">
        <f t="shared" si="105"/>
        <v>1.446004986639478</v>
      </c>
      <c r="AB1133" s="6"/>
    </row>
    <row r="1134" spans="2:28" x14ac:dyDescent="0.35">
      <c r="B1134" s="230">
        <f t="shared" si="103"/>
        <v>1124</v>
      </c>
      <c r="C1134" s="9"/>
      <c r="D1134" s="248">
        <f>Table3.110[[#This Row],[Date]]</f>
        <v>46083</v>
      </c>
      <c r="E1134" s="230" t="str">
        <f>Table3.110[[#This Row],[Requisitioner]]</f>
        <v>Genbank</v>
      </c>
      <c r="F1134" s="230" t="str">
        <f>Table3.110[[#This Row],[Gene Bank ID]]</f>
        <v>CIAT8056</v>
      </c>
      <c r="G1134" s="230" t="str">
        <f>Table3.110[[#This Row],[Genus]]</f>
        <v>Mimosa</v>
      </c>
      <c r="H1134" s="230" t="str">
        <f>Table3.110[[#This Row],[Species]]</f>
        <v>diplotricha</v>
      </c>
      <c r="I1134" s="230" t="str">
        <f>Table3.110[[#This Row],[Tax Name]]</f>
        <v>Mimosa diplotricha</v>
      </c>
      <c r="J1134" s="230" t="str">
        <f>Table3.110[[#This Row],[Family]]</f>
        <v>Fabaceae</v>
      </c>
      <c r="K1134" s="230" t="str">
        <f>Table3.110[[#This Row],[Order]]</f>
        <v>Fabales</v>
      </c>
      <c r="L1134" s="230" t="str">
        <f>Table3.110[[#This Row],[Functional Group]]</f>
        <v>Herbaceous</v>
      </c>
      <c r="M1134" s="230" t="str">
        <f>Table3.110[[#This Row],[CIAT ID]]</f>
        <v>F260034</v>
      </c>
      <c r="N1134" s="230">
        <f>Table3.110[[#This Row],[Set CIAT]]</f>
        <v>30</v>
      </c>
      <c r="O1134" s="230">
        <f>Table3.110[[#This Row],[Batch]]</f>
        <v>65</v>
      </c>
      <c r="P1134" s="230">
        <f>Table3.110[[#This Row],[Run]]</f>
        <v>2</v>
      </c>
      <c r="Q1134" s="230">
        <f>Table3.110[[#This Row],[Replication]]</f>
        <v>2</v>
      </c>
      <c r="R1134" s="230">
        <f>Table3.110[[#This Row],[Syrange No]]</f>
        <v>48</v>
      </c>
      <c r="S1134" s="98">
        <v>0.5706</v>
      </c>
      <c r="T1134" s="98">
        <v>0.87719999999999998</v>
      </c>
      <c r="U1134" s="25"/>
      <c r="V1134" s="283">
        <f t="shared" si="106"/>
        <v>0.30659999999999998</v>
      </c>
      <c r="W1134" s="61">
        <f>Table3.110[[#This Row],[DM Incubated, mg]]-('3.2 Digest'!V1134*1000)</f>
        <v>169.85942599029397</v>
      </c>
      <c r="X1134" s="61">
        <f>W1134/Table3.110[[#This Row],[DM Incubated, mg]]*100</f>
        <v>35.650344336718867</v>
      </c>
      <c r="Y1134" s="31">
        <f>Table3.110[[#This Row],[DM Incubated, mg]]*'2.4 NDF'!R283/100</f>
        <v>259.3502170717174</v>
      </c>
      <c r="Z1134" s="61">
        <f t="shared" si="104"/>
        <v>-47.249782928282571</v>
      </c>
      <c r="AA1134" s="61">
        <f t="shared" si="105"/>
        <v>-18.21852453480566</v>
      </c>
      <c r="AB1134" s="6"/>
    </row>
    <row r="1135" spans="2:28" x14ac:dyDescent="0.35">
      <c r="B1135" s="230">
        <f t="shared" si="103"/>
        <v>1125</v>
      </c>
      <c r="C1135" s="9"/>
      <c r="D1135" s="248">
        <f>Table3.110[[#This Row],[Date]]</f>
        <v>46083</v>
      </c>
      <c r="E1135" s="230" t="str">
        <f>Table3.110[[#This Row],[Requisitioner]]</f>
        <v>Genbank</v>
      </c>
      <c r="F1135" s="230" t="str">
        <f>Table3.110[[#This Row],[Gene Bank ID]]</f>
        <v>CIAT17514</v>
      </c>
      <c r="G1135" s="230" t="str">
        <f>Table3.110[[#This Row],[Genus]]</f>
        <v>Mimosa</v>
      </c>
      <c r="H1135" s="230" t="str">
        <f>Table3.110[[#This Row],[Species]]</f>
        <v>pudica</v>
      </c>
      <c r="I1135" s="230" t="str">
        <f>Table3.110[[#This Row],[Tax Name]]</f>
        <v>Mimosa pudica</v>
      </c>
      <c r="J1135" s="230" t="str">
        <f>Table3.110[[#This Row],[Family]]</f>
        <v>Fabaceae</v>
      </c>
      <c r="K1135" s="230" t="str">
        <f>Table3.110[[#This Row],[Order]]</f>
        <v>Fabales</v>
      </c>
      <c r="L1135" s="230" t="str">
        <f>Table3.110[[#This Row],[Functional Group]]</f>
        <v>Herbaceous</v>
      </c>
      <c r="M1135" s="230" t="str">
        <f>Table3.110[[#This Row],[CIAT ID]]</f>
        <v>F260035</v>
      </c>
      <c r="N1135" s="230">
        <f>Table3.110[[#This Row],[Set CIAT]]</f>
        <v>30</v>
      </c>
      <c r="O1135" s="230">
        <f>Table3.110[[#This Row],[Batch]]</f>
        <v>65</v>
      </c>
      <c r="P1135" s="230">
        <f>Table3.110[[#This Row],[Run]]</f>
        <v>2</v>
      </c>
      <c r="Q1135" s="230">
        <f>Table3.110[[#This Row],[Replication]]</f>
        <v>1</v>
      </c>
      <c r="R1135" s="230">
        <f>Table3.110[[#This Row],[Syrange No]]</f>
        <v>49</v>
      </c>
      <c r="S1135" s="250">
        <v>0.59119999999999995</v>
      </c>
      <c r="T1135" s="250">
        <v>0.86980000000000002</v>
      </c>
      <c r="U1135" s="25"/>
      <c r="V1135" s="283">
        <f t="shared" si="106"/>
        <v>0.27860000000000007</v>
      </c>
      <c r="W1135" s="61">
        <f>Table3.110[[#This Row],[DM Incubated, mg]]-('3.2 Digest'!V1135*1000)</f>
        <v>203.77225706146942</v>
      </c>
      <c r="X1135" s="61">
        <f>W1135/Table3.110[[#This Row],[DM Incubated, mg]]*100</f>
        <v>42.243776269973665</v>
      </c>
      <c r="Y1135" s="31">
        <f>Table3.110[[#This Row],[DM Incubated, mg]]*'2.4 NDF'!R285/100</f>
        <v>286.48406302147322</v>
      </c>
      <c r="Z1135" s="61">
        <f t="shared" si="104"/>
        <v>7.8840630214731391</v>
      </c>
      <c r="AA1135" s="61">
        <f t="shared" si="105"/>
        <v>2.7520075421724925</v>
      </c>
      <c r="AB1135" s="6"/>
    </row>
    <row r="1136" spans="2:28" x14ac:dyDescent="0.35">
      <c r="B1136" s="230">
        <f t="shared" si="103"/>
        <v>1126</v>
      </c>
      <c r="C1136" s="9"/>
      <c r="D1136" s="248">
        <f>Table3.110[[#This Row],[Date]]</f>
        <v>46083</v>
      </c>
      <c r="E1136" s="230" t="str">
        <f>Table3.110[[#This Row],[Requisitioner]]</f>
        <v>Genbank</v>
      </c>
      <c r="F1136" s="230" t="str">
        <f>Table3.110[[#This Row],[Gene Bank ID]]</f>
        <v>CIAT17514</v>
      </c>
      <c r="G1136" s="230" t="str">
        <f>Table3.110[[#This Row],[Genus]]</f>
        <v>Mimosa</v>
      </c>
      <c r="H1136" s="230" t="str">
        <f>Table3.110[[#This Row],[Species]]</f>
        <v>pudica</v>
      </c>
      <c r="I1136" s="230" t="str">
        <f>Table3.110[[#This Row],[Tax Name]]</f>
        <v>Mimosa pudica</v>
      </c>
      <c r="J1136" s="230" t="str">
        <f>Table3.110[[#This Row],[Family]]</f>
        <v>Fabaceae</v>
      </c>
      <c r="K1136" s="230" t="str">
        <f>Table3.110[[#This Row],[Order]]</f>
        <v>Fabales</v>
      </c>
      <c r="L1136" s="230" t="str">
        <f>Table3.110[[#This Row],[Functional Group]]</f>
        <v>Herbaceous</v>
      </c>
      <c r="M1136" s="230" t="str">
        <f>Table3.110[[#This Row],[CIAT ID]]</f>
        <v>F260035</v>
      </c>
      <c r="N1136" s="230">
        <f>Table3.110[[#This Row],[Set CIAT]]</f>
        <v>30</v>
      </c>
      <c r="O1136" s="230">
        <f>Table3.110[[#This Row],[Batch]]</f>
        <v>65</v>
      </c>
      <c r="P1136" s="230">
        <f>Table3.110[[#This Row],[Run]]</f>
        <v>2</v>
      </c>
      <c r="Q1136" s="230">
        <f>Table3.110[[#This Row],[Replication]]</f>
        <v>2</v>
      </c>
      <c r="R1136" s="230">
        <f>Table3.110[[#This Row],[Syrange No]]</f>
        <v>50</v>
      </c>
      <c r="S1136" s="98">
        <v>0.57330000000000003</v>
      </c>
      <c r="T1136" s="98">
        <v>0.85760000000000003</v>
      </c>
      <c r="U1136" s="8"/>
      <c r="V1136" s="283">
        <f t="shared" si="106"/>
        <v>0.2843</v>
      </c>
      <c r="W1136" s="61">
        <f>Table3.110[[#This Row],[DM Incubated, mg]]-('3.2 Digest'!V1136*1000)</f>
        <v>198.07225706146949</v>
      </c>
      <c r="X1136" s="61">
        <f>W1136/Table3.110[[#This Row],[DM Incubated, mg]]*100</f>
        <v>41.062116272625687</v>
      </c>
      <c r="Y1136" s="31">
        <f>Table3.110[[#This Row],[DM Incubated, mg]]*'2.4 NDF'!R285/100</f>
        <v>286.48406302147322</v>
      </c>
      <c r="Z1136" s="61">
        <f t="shared" si="104"/>
        <v>2.1840630214732073</v>
      </c>
      <c r="AA1136" s="61">
        <f t="shared" si="105"/>
        <v>0.76236806977618943</v>
      </c>
      <c r="AB1136" s="6"/>
    </row>
    <row r="1137" spans="2:28" x14ac:dyDescent="0.35">
      <c r="B1137" s="230">
        <f t="shared" si="103"/>
        <v>1127</v>
      </c>
      <c r="C1137" s="9"/>
      <c r="D1137" s="248">
        <f>Table3.110[[#This Row],[Date]]</f>
        <v>46083</v>
      </c>
      <c r="E1137" s="230" t="str">
        <f>Table3.110[[#This Row],[Requisitioner]]</f>
        <v>Genbank</v>
      </c>
      <c r="F1137" s="230" t="str">
        <f>Table3.110[[#This Row],[Gene Bank ID]]</f>
        <v>CIAT17725</v>
      </c>
      <c r="G1137" s="230" t="str">
        <f>Table3.110[[#This Row],[Genus]]</f>
        <v>Mimosa</v>
      </c>
      <c r="H1137" s="230" t="str">
        <f>Table3.110[[#This Row],[Species]]</f>
        <v>polycarpa</v>
      </c>
      <c r="I1137" s="230" t="str">
        <f>Table3.110[[#This Row],[Tax Name]]</f>
        <v>Mimosa polycarpa</v>
      </c>
      <c r="J1137" s="230" t="str">
        <f>Table3.110[[#This Row],[Family]]</f>
        <v>Fabaceae</v>
      </c>
      <c r="K1137" s="230" t="str">
        <f>Table3.110[[#This Row],[Order]]</f>
        <v>Fabales</v>
      </c>
      <c r="L1137" s="230" t="str">
        <f>Table3.110[[#This Row],[Functional Group]]</f>
        <v>Herbaceous</v>
      </c>
      <c r="M1137" s="230" t="str">
        <f>Table3.110[[#This Row],[CIAT ID]]</f>
        <v>F260036</v>
      </c>
      <c r="N1137" s="230">
        <f>Table3.110[[#This Row],[Set CIAT]]</f>
        <v>30</v>
      </c>
      <c r="O1137" s="230">
        <f>Table3.110[[#This Row],[Batch]]</f>
        <v>65</v>
      </c>
      <c r="P1137" s="230">
        <f>Table3.110[[#This Row],[Run]]</f>
        <v>2</v>
      </c>
      <c r="Q1137" s="230">
        <f>Table3.110[[#This Row],[Replication]]</f>
        <v>1</v>
      </c>
      <c r="R1137" s="230">
        <f>Table3.110[[#This Row],[Syrange No]]</f>
        <v>51</v>
      </c>
      <c r="S1137" s="250">
        <v>0.54679999999999995</v>
      </c>
      <c r="T1137" s="250">
        <v>0.85209999999999997</v>
      </c>
      <c r="U1137" s="8" t="s">
        <v>599</v>
      </c>
      <c r="V1137" s="283">
        <f t="shared" si="106"/>
        <v>0.30530000000000002</v>
      </c>
      <c r="W1137" s="61">
        <f>Table3.110[[#This Row],[DM Incubated, mg]]-('3.2 Digest'!V1137*1000)</f>
        <v>173.03586433505768</v>
      </c>
      <c r="X1137" s="61">
        <f>W1137/Table3.110[[#This Row],[DM Incubated, mg]]*100</f>
        <v>36.174553746999003</v>
      </c>
      <c r="Y1137" s="31">
        <f>Table3.110[[#This Row],[DM Incubated, mg]]*'2.4 NDF'!R287/100</f>
        <v>292.18679277481618</v>
      </c>
      <c r="Z1137" s="61">
        <f t="shared" si="104"/>
        <v>-13.113207225183828</v>
      </c>
      <c r="AA1137" s="61">
        <f t="shared" si="105"/>
        <v>-4.4879534426081928</v>
      </c>
      <c r="AB1137" s="6"/>
    </row>
    <row r="1138" spans="2:28" x14ac:dyDescent="0.35">
      <c r="B1138" s="230">
        <f t="shared" si="103"/>
        <v>1128</v>
      </c>
      <c r="C1138" s="9"/>
      <c r="D1138" s="248">
        <f>Table3.110[[#This Row],[Date]]</f>
        <v>46083</v>
      </c>
      <c r="E1138" s="230" t="str">
        <f>Table3.110[[#This Row],[Requisitioner]]</f>
        <v>Genbank</v>
      </c>
      <c r="F1138" s="230" t="str">
        <f>Table3.110[[#This Row],[Gene Bank ID]]</f>
        <v>CIAT17725</v>
      </c>
      <c r="G1138" s="230" t="str">
        <f>Table3.110[[#This Row],[Genus]]</f>
        <v>Mimosa</v>
      </c>
      <c r="H1138" s="230" t="str">
        <f>Table3.110[[#This Row],[Species]]</f>
        <v>polycarpa</v>
      </c>
      <c r="I1138" s="230" t="str">
        <f>Table3.110[[#This Row],[Tax Name]]</f>
        <v>Mimosa polycarpa</v>
      </c>
      <c r="J1138" s="230" t="str">
        <f>Table3.110[[#This Row],[Family]]</f>
        <v>Fabaceae</v>
      </c>
      <c r="K1138" s="230" t="str">
        <f>Table3.110[[#This Row],[Order]]</f>
        <v>Fabales</v>
      </c>
      <c r="L1138" s="230" t="str">
        <f>Table3.110[[#This Row],[Functional Group]]</f>
        <v>Herbaceous</v>
      </c>
      <c r="M1138" s="230" t="str">
        <f>Table3.110[[#This Row],[CIAT ID]]</f>
        <v>F260036</v>
      </c>
      <c r="N1138" s="230">
        <f>Table3.110[[#This Row],[Set CIAT]]</f>
        <v>30</v>
      </c>
      <c r="O1138" s="230">
        <f>Table3.110[[#This Row],[Batch]]</f>
        <v>65</v>
      </c>
      <c r="P1138" s="230">
        <f>Table3.110[[#This Row],[Run]]</f>
        <v>2</v>
      </c>
      <c r="Q1138" s="230">
        <f>Table3.110[[#This Row],[Replication]]</f>
        <v>2</v>
      </c>
      <c r="R1138" s="230">
        <f>Table3.110[[#This Row],[Syrange No]]</f>
        <v>52</v>
      </c>
      <c r="S1138" s="98">
        <v>0.56100000000000005</v>
      </c>
      <c r="T1138" s="98">
        <v>0.87360000000000004</v>
      </c>
      <c r="U1138" s="25"/>
      <c r="V1138" s="283">
        <f t="shared" si="106"/>
        <v>0.31259999999999999</v>
      </c>
      <c r="W1138" s="61">
        <f>Table3.110[[#This Row],[DM Incubated, mg]]-('3.2 Digest'!V1138*1000)</f>
        <v>165.73586433505773</v>
      </c>
      <c r="X1138" s="61">
        <f>W1138/Table3.110[[#This Row],[DM Incubated, mg]]*100</f>
        <v>34.64842941798851</v>
      </c>
      <c r="Y1138" s="31">
        <f>Table3.110[[#This Row],[DM Incubated, mg]]*'2.4 NDF'!R287/100</f>
        <v>292.18679277481618</v>
      </c>
      <c r="Z1138" s="61">
        <f t="shared" si="104"/>
        <v>-20.413207225183783</v>
      </c>
      <c r="AA1138" s="61">
        <f t="shared" si="105"/>
        <v>-6.9863552117894399</v>
      </c>
      <c r="AB1138" s="6"/>
    </row>
    <row r="1139" spans="2:28" x14ac:dyDescent="0.35">
      <c r="B1139" s="230">
        <f t="shared" si="103"/>
        <v>1129</v>
      </c>
      <c r="C1139" s="9"/>
      <c r="D1139" s="248">
        <f>Table3.110[[#This Row],[Date]]</f>
        <v>46083</v>
      </c>
      <c r="E1139" s="230" t="str">
        <f>Table3.110[[#This Row],[Requisitioner]]</f>
        <v>Genbank</v>
      </c>
      <c r="F1139" s="230" t="str">
        <f>Table3.110[[#This Row],[Gene Bank ID]]</f>
        <v>CIAT18947</v>
      </c>
      <c r="G1139" s="230" t="str">
        <f>Table3.110[[#This Row],[Genus]]</f>
        <v>Sesbania</v>
      </c>
      <c r="H1139" s="230" t="str">
        <f>Table3.110[[#This Row],[Species]]</f>
        <v>sesban</v>
      </c>
      <c r="I1139" s="230" t="str">
        <f>Table3.110[[#This Row],[Tax Name]]</f>
        <v>Sesbania sesban</v>
      </c>
      <c r="J1139" s="230" t="str">
        <f>Table3.110[[#This Row],[Family]]</f>
        <v>Fabaceae</v>
      </c>
      <c r="K1139" s="230" t="str">
        <f>Table3.110[[#This Row],[Order]]</f>
        <v>Fabales</v>
      </c>
      <c r="L1139" s="230" t="str">
        <f>Table3.110[[#This Row],[Functional Group]]</f>
        <v>Shurb_Tree</v>
      </c>
      <c r="M1139" s="230" t="str">
        <f>Table3.110[[#This Row],[CIAT ID]]</f>
        <v>F260037</v>
      </c>
      <c r="N1139" s="230">
        <f>Table3.110[[#This Row],[Set CIAT]]</f>
        <v>30</v>
      </c>
      <c r="O1139" s="230">
        <f>Table3.110[[#This Row],[Batch]]</f>
        <v>65</v>
      </c>
      <c r="P1139" s="230">
        <f>Table3.110[[#This Row],[Run]]</f>
        <v>2</v>
      </c>
      <c r="Q1139" s="230">
        <f>Table3.110[[#This Row],[Replication]]</f>
        <v>1</v>
      </c>
      <c r="R1139" s="230">
        <f>Table3.110[[#This Row],[Syrange No]]</f>
        <v>53</v>
      </c>
      <c r="S1139" s="250">
        <v>0.58560000000000001</v>
      </c>
      <c r="T1139" s="250">
        <v>0.78939999999999999</v>
      </c>
      <c r="U1139" s="25"/>
      <c r="V1139" s="283">
        <f t="shared" si="106"/>
        <v>0.20379999999999998</v>
      </c>
      <c r="W1139" s="61">
        <f>Table3.110[[#This Row],[DM Incubated, mg]]-('3.2 Digest'!V1139*1000)</f>
        <v>273.60455817672937</v>
      </c>
      <c r="X1139" s="61">
        <f>W1139/Table3.110[[#This Row],[DM Incubated, mg]]*100</f>
        <v>57.310839096648145</v>
      </c>
      <c r="Y1139" s="31">
        <f>Table3.110[[#This Row],[DM Incubated, mg]]*'2.4 NDF'!R289/100</f>
        <v>219.62720813647928</v>
      </c>
      <c r="Z1139" s="61">
        <f t="shared" si="104"/>
        <v>15.8272081364793</v>
      </c>
      <c r="AA1139" s="61">
        <f t="shared" si="105"/>
        <v>7.2063968170300932</v>
      </c>
      <c r="AB1139" s="6"/>
    </row>
    <row r="1140" spans="2:28" x14ac:dyDescent="0.35">
      <c r="B1140" s="230">
        <f t="shared" si="103"/>
        <v>1130</v>
      </c>
      <c r="C1140" s="9"/>
      <c r="D1140" s="248">
        <f>Table3.110[[#This Row],[Date]]</f>
        <v>46083</v>
      </c>
      <c r="E1140" s="230" t="str">
        <f>Table3.110[[#This Row],[Requisitioner]]</f>
        <v>Genbank</v>
      </c>
      <c r="F1140" s="230" t="str">
        <f>Table3.110[[#This Row],[Gene Bank ID]]</f>
        <v>CIAT18947</v>
      </c>
      <c r="G1140" s="230" t="str">
        <f>Table3.110[[#This Row],[Genus]]</f>
        <v>Sesbania</v>
      </c>
      <c r="H1140" s="230" t="str">
        <f>Table3.110[[#This Row],[Species]]</f>
        <v>sesban</v>
      </c>
      <c r="I1140" s="230" t="str">
        <f>Table3.110[[#This Row],[Tax Name]]</f>
        <v>Sesbania sesban</v>
      </c>
      <c r="J1140" s="230" t="str">
        <f>Table3.110[[#This Row],[Family]]</f>
        <v>Fabaceae</v>
      </c>
      <c r="K1140" s="230" t="str">
        <f>Table3.110[[#This Row],[Order]]</f>
        <v>Fabales</v>
      </c>
      <c r="L1140" s="230" t="str">
        <f>Table3.110[[#This Row],[Functional Group]]</f>
        <v>Shurb_Tree</v>
      </c>
      <c r="M1140" s="230" t="str">
        <f>Table3.110[[#This Row],[CIAT ID]]</f>
        <v>F260037</v>
      </c>
      <c r="N1140" s="230">
        <f>Table3.110[[#This Row],[Set CIAT]]</f>
        <v>30</v>
      </c>
      <c r="O1140" s="230">
        <f>Table3.110[[#This Row],[Batch]]</f>
        <v>65</v>
      </c>
      <c r="P1140" s="230">
        <f>Table3.110[[#This Row],[Run]]</f>
        <v>2</v>
      </c>
      <c r="Q1140" s="230">
        <f>Table3.110[[#This Row],[Replication]]</f>
        <v>2</v>
      </c>
      <c r="R1140" s="230">
        <f>Table3.110[[#This Row],[Syrange No]]</f>
        <v>54</v>
      </c>
      <c r="S1140" s="98">
        <v>0.54459999999999997</v>
      </c>
      <c r="T1140" s="98">
        <v>0.73129999999999995</v>
      </c>
      <c r="U1140" s="8"/>
      <c r="V1140" s="283">
        <f t="shared" si="106"/>
        <v>0.18669999999999998</v>
      </c>
      <c r="W1140" s="61">
        <f>Table3.110[[#This Row],[DM Incubated, mg]]-('3.2 Digest'!V1140*1000)</f>
        <v>290.70455817672939</v>
      </c>
      <c r="X1140" s="61">
        <f>W1140/Table3.110[[#This Row],[DM Incubated, mg]]*100</f>
        <v>60.892706866262067</v>
      </c>
      <c r="Y1140" s="31">
        <f>Table3.110[[#This Row],[DM Incubated, mg]]*'2.4 NDF'!R289/100</f>
        <v>219.62720813647928</v>
      </c>
      <c r="Z1140" s="61">
        <f t="shared" si="104"/>
        <v>32.927208136479294</v>
      </c>
      <c r="AA1140" s="61">
        <f t="shared" si="105"/>
        <v>14.992317398133062</v>
      </c>
      <c r="AB1140" s="6"/>
    </row>
    <row r="1141" spans="2:28" x14ac:dyDescent="0.35">
      <c r="B1141" s="230">
        <f t="shared" si="103"/>
        <v>1131</v>
      </c>
      <c r="C1141" s="9"/>
      <c r="D1141" s="248">
        <f>Table3.110[[#This Row],[Date]]</f>
        <v>46083</v>
      </c>
      <c r="E1141" s="230" t="str">
        <f>Table3.110[[#This Row],[Requisitioner]]</f>
        <v>Genbank</v>
      </c>
      <c r="F1141" s="230" t="str">
        <f>Table3.110[[#This Row],[Gene Bank ID]]</f>
        <v>CIAT19165</v>
      </c>
      <c r="G1141" s="230" t="str">
        <f>Table3.110[[#This Row],[Genus]]</f>
        <v>Sesbania</v>
      </c>
      <c r="H1141" s="230" t="str">
        <f>Table3.110[[#This Row],[Species]]</f>
        <v>keniensis</v>
      </c>
      <c r="I1141" s="230" t="str">
        <f>Table3.110[[#This Row],[Tax Name]]</f>
        <v>Sesbania keniensis</v>
      </c>
      <c r="J1141" s="230" t="str">
        <f>Table3.110[[#This Row],[Family]]</f>
        <v>Fabaceae</v>
      </c>
      <c r="K1141" s="230" t="str">
        <f>Table3.110[[#This Row],[Order]]</f>
        <v>Fabales</v>
      </c>
      <c r="L1141" s="230" t="str">
        <f>Table3.110[[#This Row],[Functional Group]]</f>
        <v>Shurb_Tree</v>
      </c>
      <c r="M1141" s="230" t="str">
        <f>Table3.110[[#This Row],[CIAT ID]]</f>
        <v>F260038</v>
      </c>
      <c r="N1141" s="230">
        <f>Table3.110[[#This Row],[Set CIAT]]</f>
        <v>30</v>
      </c>
      <c r="O1141" s="230">
        <f>Table3.110[[#This Row],[Batch]]</f>
        <v>65</v>
      </c>
      <c r="P1141" s="230">
        <f>Table3.110[[#This Row],[Run]]</f>
        <v>2</v>
      </c>
      <c r="Q1141" s="230">
        <f>Table3.110[[#This Row],[Replication]]</f>
        <v>1</v>
      </c>
      <c r="R1141" s="230">
        <f>Table3.110[[#This Row],[Syrange No]]</f>
        <v>55</v>
      </c>
      <c r="S1141" s="250">
        <v>0.60109999999999997</v>
      </c>
      <c r="T1141" s="250">
        <v>0.87070000000000003</v>
      </c>
      <c r="U1141" s="8"/>
      <c r="V1141" s="283">
        <f t="shared" si="106"/>
        <v>0.26960000000000006</v>
      </c>
      <c r="W1141" s="61">
        <f>Table3.110[[#This Row],[DM Incubated, mg]]-('3.2 Digest'!V1141*1000)</f>
        <v>212.80087956021953</v>
      </c>
      <c r="X1141" s="61">
        <f>W1141/Table3.110[[#This Row],[DM Incubated, mg]]*100</f>
        <v>44.112871384940114</v>
      </c>
      <c r="Y1141" s="31">
        <f>Table3.110[[#This Row],[DM Incubated, mg]]*'2.4 NDF'!R291/100</f>
        <v>243.14738229433769</v>
      </c>
      <c r="Z1141" s="61">
        <f t="shared" si="104"/>
        <v>-26.452617705662391</v>
      </c>
      <c r="AA1141" s="61">
        <f t="shared" si="105"/>
        <v>-10.87925251592495</v>
      </c>
      <c r="AB1141" s="6"/>
    </row>
    <row r="1142" spans="2:28" x14ac:dyDescent="0.35">
      <c r="B1142" s="230">
        <f t="shared" si="103"/>
        <v>1132</v>
      </c>
      <c r="C1142" s="9"/>
      <c r="D1142" s="248">
        <f>Table3.110[[#This Row],[Date]]</f>
        <v>46083</v>
      </c>
      <c r="E1142" s="230" t="str">
        <f>Table3.110[[#This Row],[Requisitioner]]</f>
        <v>Genbank</v>
      </c>
      <c r="F1142" s="230" t="str">
        <f>Table3.110[[#This Row],[Gene Bank ID]]</f>
        <v>CIAT19165</v>
      </c>
      <c r="G1142" s="230" t="str">
        <f>Table3.110[[#This Row],[Genus]]</f>
        <v>Sesbania</v>
      </c>
      <c r="H1142" s="230" t="str">
        <f>Table3.110[[#This Row],[Species]]</f>
        <v>keniensis</v>
      </c>
      <c r="I1142" s="230" t="str">
        <f>Table3.110[[#This Row],[Tax Name]]</f>
        <v>Sesbania keniensis</v>
      </c>
      <c r="J1142" s="230" t="str">
        <f>Table3.110[[#This Row],[Family]]</f>
        <v>Fabaceae</v>
      </c>
      <c r="K1142" s="230" t="str">
        <f>Table3.110[[#This Row],[Order]]</f>
        <v>Fabales</v>
      </c>
      <c r="L1142" s="230" t="str">
        <f>Table3.110[[#This Row],[Functional Group]]</f>
        <v>Shurb_Tree</v>
      </c>
      <c r="M1142" s="230" t="str">
        <f>Table3.110[[#This Row],[CIAT ID]]</f>
        <v>F260038</v>
      </c>
      <c r="N1142" s="230">
        <f>Table3.110[[#This Row],[Set CIAT]]</f>
        <v>30</v>
      </c>
      <c r="O1142" s="230">
        <f>Table3.110[[#This Row],[Batch]]</f>
        <v>65</v>
      </c>
      <c r="P1142" s="230">
        <f>Table3.110[[#This Row],[Run]]</f>
        <v>2</v>
      </c>
      <c r="Q1142" s="230">
        <f>Table3.110[[#This Row],[Replication]]</f>
        <v>2</v>
      </c>
      <c r="R1142" s="230">
        <f>Table3.110[[#This Row],[Syrange No]]</f>
        <v>56</v>
      </c>
      <c r="S1142" s="98">
        <v>0.56200000000000006</v>
      </c>
      <c r="T1142" s="98">
        <v>0.8216</v>
      </c>
      <c r="U1142" s="25"/>
      <c r="V1142" s="283">
        <f t="shared" si="106"/>
        <v>0.25959999999999994</v>
      </c>
      <c r="W1142" s="61">
        <f>Table3.110[[#This Row],[DM Incubated, mg]]-('3.2 Digest'!V1142*1000)</f>
        <v>222.80087956021964</v>
      </c>
      <c r="X1142" s="61">
        <f>W1142/Table3.110[[#This Row],[DM Incubated, mg]]*100</f>
        <v>46.185836096181227</v>
      </c>
      <c r="Y1142" s="31">
        <f>Table3.110[[#This Row],[DM Incubated, mg]]*'2.4 NDF'!R291/100</f>
        <v>243.14738229433769</v>
      </c>
      <c r="Z1142" s="61">
        <f t="shared" si="104"/>
        <v>-16.452617705662277</v>
      </c>
      <c r="AA1142" s="61">
        <f t="shared" si="105"/>
        <v>-6.7665205976784311</v>
      </c>
      <c r="AB1142" s="6"/>
    </row>
    <row r="1143" spans="2:28" x14ac:dyDescent="0.35">
      <c r="B1143" s="230">
        <f t="shared" si="103"/>
        <v>1133</v>
      </c>
      <c r="C1143" s="9"/>
      <c r="D1143" s="248">
        <f>Table3.110[[#This Row],[Date]]</f>
        <v>46083</v>
      </c>
      <c r="E1143" s="230" t="str">
        <f>Table3.110[[#This Row],[Requisitioner]]</f>
        <v>Genbank</v>
      </c>
      <c r="F1143" s="230" t="str">
        <f>Table3.110[[#This Row],[Gene Bank ID]]</f>
        <v>CIAT21899</v>
      </c>
      <c r="G1143" s="230" t="str">
        <f>Table3.110[[#This Row],[Genus]]</f>
        <v>Sesbania</v>
      </c>
      <c r="H1143" s="230" t="str">
        <f>Table3.110[[#This Row],[Species]]</f>
        <v>sesban</v>
      </c>
      <c r="I1143" s="230" t="str">
        <f>Table3.110[[#This Row],[Tax Name]]</f>
        <v>Sesbania sesban</v>
      </c>
      <c r="J1143" s="230" t="str">
        <f>Table3.110[[#This Row],[Family]]</f>
        <v>Fabaceae</v>
      </c>
      <c r="K1143" s="230" t="str">
        <f>Table3.110[[#This Row],[Order]]</f>
        <v>Fabales</v>
      </c>
      <c r="L1143" s="230" t="str">
        <f>Table3.110[[#This Row],[Functional Group]]</f>
        <v>Shurb_Tree</v>
      </c>
      <c r="M1143" s="230" t="str">
        <f>Table3.110[[#This Row],[CIAT ID]]</f>
        <v>F260039</v>
      </c>
      <c r="N1143" s="230">
        <f>Table3.110[[#This Row],[Set CIAT]]</f>
        <v>30</v>
      </c>
      <c r="O1143" s="230">
        <f>Table3.110[[#This Row],[Batch]]</f>
        <v>65</v>
      </c>
      <c r="P1143" s="230">
        <f>Table3.110[[#This Row],[Run]]</f>
        <v>2</v>
      </c>
      <c r="Q1143" s="230">
        <f>Table3.110[[#This Row],[Replication]]</f>
        <v>1</v>
      </c>
      <c r="R1143" s="230">
        <f>Table3.110[[#This Row],[Syrange No]]</f>
        <v>57</v>
      </c>
      <c r="S1143" s="250">
        <v>0.56810000000000005</v>
      </c>
      <c r="T1143" s="250">
        <v>0.84930000000000005</v>
      </c>
      <c r="U1143" s="25"/>
      <c r="V1143" s="283">
        <f t="shared" si="106"/>
        <v>0.28120000000000001</v>
      </c>
      <c r="W1143" s="61">
        <f>Table3.110[[#This Row],[DM Incubated, mg]]-('3.2 Digest'!V1143*1000)</f>
        <v>198.17605197401309</v>
      </c>
      <c r="X1143" s="61">
        <f>W1143/Table3.110[[#This Row],[DM Incubated, mg]]*100</f>
        <v>41.340415558505242</v>
      </c>
      <c r="Y1143" s="31">
        <f>Table3.110[[#This Row],[DM Incubated, mg]]*'2.4 NDF'!R293/100</f>
        <v>302.13437464576015</v>
      </c>
      <c r="Z1143" s="61">
        <f t="shared" si="104"/>
        <v>20.934374645760158</v>
      </c>
      <c r="AA1143" s="61">
        <f t="shared" si="105"/>
        <v>6.9288291576570309</v>
      </c>
      <c r="AB1143" s="6"/>
    </row>
    <row r="1144" spans="2:28" x14ac:dyDescent="0.35">
      <c r="B1144" s="230">
        <f t="shared" si="103"/>
        <v>1134</v>
      </c>
      <c r="C1144" s="9"/>
      <c r="D1144" s="248">
        <f>Table3.110[[#This Row],[Date]]</f>
        <v>46083</v>
      </c>
      <c r="E1144" s="230" t="str">
        <f>Table3.110[[#This Row],[Requisitioner]]</f>
        <v>Genbank</v>
      </c>
      <c r="F1144" s="230" t="str">
        <f>Table3.110[[#This Row],[Gene Bank ID]]</f>
        <v>CIAT21899</v>
      </c>
      <c r="G1144" s="230" t="str">
        <f>Table3.110[[#This Row],[Genus]]</f>
        <v>Sesbania</v>
      </c>
      <c r="H1144" s="230" t="str">
        <f>Table3.110[[#This Row],[Species]]</f>
        <v>sesban</v>
      </c>
      <c r="I1144" s="230" t="str">
        <f>Table3.110[[#This Row],[Tax Name]]</f>
        <v>Sesbania sesban</v>
      </c>
      <c r="J1144" s="230" t="str">
        <f>Table3.110[[#This Row],[Family]]</f>
        <v>Fabaceae</v>
      </c>
      <c r="K1144" s="230" t="str">
        <f>Table3.110[[#This Row],[Order]]</f>
        <v>Fabales</v>
      </c>
      <c r="L1144" s="230" t="str">
        <f>Table3.110[[#This Row],[Functional Group]]</f>
        <v>Shurb_Tree</v>
      </c>
      <c r="M1144" s="230" t="str">
        <f>Table3.110[[#This Row],[CIAT ID]]</f>
        <v>F260039</v>
      </c>
      <c r="N1144" s="230">
        <f>Table3.110[[#This Row],[Set CIAT]]</f>
        <v>30</v>
      </c>
      <c r="O1144" s="230">
        <f>Table3.110[[#This Row],[Batch]]</f>
        <v>65</v>
      </c>
      <c r="P1144" s="230">
        <f>Table3.110[[#This Row],[Run]]</f>
        <v>2</v>
      </c>
      <c r="Q1144" s="230">
        <f>Table3.110[[#This Row],[Replication]]</f>
        <v>2</v>
      </c>
      <c r="R1144" s="230">
        <f>Table3.110[[#This Row],[Syrange No]]</f>
        <v>58</v>
      </c>
      <c r="S1144" s="98">
        <v>0.56340000000000001</v>
      </c>
      <c r="T1144" s="98">
        <v>0.83720000000000006</v>
      </c>
      <c r="U1144" s="8"/>
      <c r="V1144" s="283">
        <f t="shared" si="106"/>
        <v>0.27380000000000004</v>
      </c>
      <c r="W1144" s="61">
        <f>Table3.110[[#This Row],[DM Incubated, mg]]-('3.2 Digest'!V1144*1000)</f>
        <v>205.48021509836838</v>
      </c>
      <c r="X1144" s="61">
        <f>W1144/Table3.110[[#This Row],[DM Incubated, mg]]*100</f>
        <v>42.872667935227661</v>
      </c>
      <c r="Y1144" s="31">
        <f>Table3.110[[#This Row],[DM Incubated, mg]]*'2.4 NDF'!R293/100</f>
        <v>302.0739719319165</v>
      </c>
      <c r="Z1144" s="61">
        <f t="shared" si="104"/>
        <v>28.273971931916435</v>
      </c>
      <c r="AA1144" s="61">
        <f t="shared" si="105"/>
        <v>9.3599497338648607</v>
      </c>
      <c r="AB1144" s="6"/>
    </row>
    <row r="1145" spans="2:28" x14ac:dyDescent="0.35">
      <c r="B1145" s="230">
        <f t="shared" si="103"/>
        <v>1135</v>
      </c>
      <c r="C1145" s="9"/>
      <c r="D1145" s="248">
        <f>Table3.110[[#This Row],[Date]]</f>
        <v>46083</v>
      </c>
      <c r="E1145" s="230" t="str">
        <f>Table3.110[[#This Row],[Requisitioner]]</f>
        <v>Genbank</v>
      </c>
      <c r="F1145" s="230" t="str">
        <f>Table3.110[[#This Row],[Gene Bank ID]]</f>
        <v>CIAT23414</v>
      </c>
      <c r="G1145" s="230" t="str">
        <f>Table3.110[[#This Row],[Genus]]</f>
        <v>Codariocalyx</v>
      </c>
      <c r="H1145" s="230" t="str">
        <f>Table3.110[[#This Row],[Species]]</f>
        <v>motorius</v>
      </c>
      <c r="I1145" s="230" t="str">
        <f>Table3.110[[#This Row],[Tax Name]]</f>
        <v>Codariocalyx motorius</v>
      </c>
      <c r="J1145" s="230" t="str">
        <f>Table3.110[[#This Row],[Family]]</f>
        <v>Fabaceae</v>
      </c>
      <c r="K1145" s="230" t="str">
        <f>Table3.110[[#This Row],[Order]]</f>
        <v>Fabales</v>
      </c>
      <c r="L1145" s="230" t="str">
        <f>Table3.110[[#This Row],[Functional Group]]</f>
        <v>Shurb_Tree</v>
      </c>
      <c r="M1145" s="230" t="str">
        <f>Table3.110[[#This Row],[CIAT ID]]</f>
        <v>F260040</v>
      </c>
      <c r="N1145" s="230">
        <f>Table3.110[[#This Row],[Set CIAT]]</f>
        <v>30</v>
      </c>
      <c r="O1145" s="230">
        <f>Table3.110[[#This Row],[Batch]]</f>
        <v>65</v>
      </c>
      <c r="P1145" s="230">
        <f>Table3.110[[#This Row],[Run]]</f>
        <v>2</v>
      </c>
      <c r="Q1145" s="230">
        <f>Table3.110[[#This Row],[Replication]]</f>
        <v>1</v>
      </c>
      <c r="R1145" s="230">
        <f>Table3.110[[#This Row],[Syrange No]]</f>
        <v>59</v>
      </c>
      <c r="S1145" s="250">
        <v>0.54949999999999999</v>
      </c>
      <c r="T1145" s="250">
        <v>1.1000000000000001</v>
      </c>
      <c r="U1145" s="8"/>
      <c r="V1145" s="283"/>
      <c r="W1145" s="61"/>
      <c r="X1145" s="61"/>
      <c r="Y1145" s="31"/>
      <c r="Z1145" s="61"/>
      <c r="AA1145" s="61"/>
      <c r="AB1145" s="6"/>
    </row>
    <row r="1146" spans="2:28" x14ac:dyDescent="0.35">
      <c r="B1146" s="230">
        <f t="shared" si="103"/>
        <v>1136</v>
      </c>
      <c r="C1146" s="9"/>
      <c r="D1146" s="248">
        <f>Table3.110[[#This Row],[Date]]</f>
        <v>46083</v>
      </c>
      <c r="E1146" s="230" t="str">
        <f>Table3.110[[#This Row],[Requisitioner]]</f>
        <v>Genbank</v>
      </c>
      <c r="F1146" s="230" t="str">
        <f>Table3.110[[#This Row],[Gene Bank ID]]</f>
        <v>CIAT23414</v>
      </c>
      <c r="G1146" s="230" t="str">
        <f>Table3.110[[#This Row],[Genus]]</f>
        <v>Codariocalyx</v>
      </c>
      <c r="H1146" s="230" t="str">
        <f>Table3.110[[#This Row],[Species]]</f>
        <v>motorius</v>
      </c>
      <c r="I1146" s="230" t="str">
        <f>Table3.110[[#This Row],[Tax Name]]</f>
        <v>Codariocalyx motorius</v>
      </c>
      <c r="J1146" s="230" t="str">
        <f>Table3.110[[#This Row],[Family]]</f>
        <v>Fabaceae</v>
      </c>
      <c r="K1146" s="230" t="str">
        <f>Table3.110[[#This Row],[Order]]</f>
        <v>Fabales</v>
      </c>
      <c r="L1146" s="230" t="str">
        <f>Table3.110[[#This Row],[Functional Group]]</f>
        <v>Shurb_Tree</v>
      </c>
      <c r="M1146" s="230" t="str">
        <f>Table3.110[[#This Row],[CIAT ID]]</f>
        <v>F260040</v>
      </c>
      <c r="N1146" s="230">
        <f>Table3.110[[#This Row],[Set CIAT]]</f>
        <v>30</v>
      </c>
      <c r="O1146" s="230">
        <f>Table3.110[[#This Row],[Batch]]</f>
        <v>65</v>
      </c>
      <c r="P1146" s="230">
        <f>Table3.110[[#This Row],[Run]]</f>
        <v>2</v>
      </c>
      <c r="Q1146" s="230">
        <f>Table3.110[[#This Row],[Replication]]</f>
        <v>2</v>
      </c>
      <c r="R1146" s="230">
        <f>Table3.110[[#This Row],[Syrange No]]</f>
        <v>60</v>
      </c>
      <c r="S1146" s="98">
        <v>0.5706</v>
      </c>
      <c r="T1146" s="98">
        <v>0.84299999999999997</v>
      </c>
      <c r="U1146" s="25"/>
      <c r="V1146" s="283">
        <f t="shared" si="106"/>
        <v>0.27239999999999998</v>
      </c>
      <c r="W1146" s="61">
        <f>Table3.110[[#This Row],[DM Incubated, mg]]-('3.2 Digest'!V1146*1000)</f>
        <v>209.1331859566655</v>
      </c>
      <c r="X1146" s="61">
        <f>W1146/Table3.110[[#This Row],[DM Incubated, mg]]*100</f>
        <v>43.430690148837634</v>
      </c>
      <c r="Y1146" s="31">
        <f>Table3.110[[#This Row],[DM Incubated, mg]]*'2.4 NDF'!R295/100</f>
        <v>302.65993290354231</v>
      </c>
      <c r="Z1146" s="61">
        <f t="shared" si="104"/>
        <v>30.259932903542335</v>
      </c>
      <c r="AA1146" s="61">
        <f t="shared" si="105"/>
        <v>9.9979976250064695</v>
      </c>
      <c r="AB1146" s="6"/>
    </row>
    <row r="1147" spans="2:28" x14ac:dyDescent="0.35">
      <c r="B1147" s="230">
        <f t="shared" si="103"/>
        <v>1137</v>
      </c>
      <c r="C1147" s="9"/>
      <c r="D1147" s="248">
        <f>Table3.110[[#This Row],[Date]]</f>
        <v>46083</v>
      </c>
      <c r="E1147" s="230" t="str">
        <f>Table3.110[[#This Row],[Requisitioner]]</f>
        <v>Genbank</v>
      </c>
      <c r="F1147" s="230" t="str">
        <f>Table3.110[[#This Row],[Gene Bank ID]]</f>
        <v>CIAT23767</v>
      </c>
      <c r="G1147" s="230" t="str">
        <f>Table3.110[[#This Row],[Genus]]</f>
        <v>Desmodium</v>
      </c>
      <c r="H1147" s="230" t="str">
        <f>Table3.110[[#This Row],[Species]]</f>
        <v>nicaraguense</v>
      </c>
      <c r="I1147" s="230" t="str">
        <f>Table3.110[[#This Row],[Tax Name]]</f>
        <v>Desmodium nicaraguense</v>
      </c>
      <c r="J1147" s="230" t="str">
        <f>Table3.110[[#This Row],[Family]]</f>
        <v>Fabaceae</v>
      </c>
      <c r="K1147" s="230" t="str">
        <f>Table3.110[[#This Row],[Order]]</f>
        <v>Fabales</v>
      </c>
      <c r="L1147" s="230" t="str">
        <f>Table3.110[[#This Row],[Functional Group]]</f>
        <v>Shurb_Tree</v>
      </c>
      <c r="M1147" s="230" t="str">
        <f>Table3.110[[#This Row],[CIAT ID]]</f>
        <v>F260041</v>
      </c>
      <c r="N1147" s="230">
        <f>Table3.110[[#This Row],[Set CIAT]]</f>
        <v>30</v>
      </c>
      <c r="O1147" s="230">
        <f>Table3.110[[#This Row],[Batch]]</f>
        <v>65</v>
      </c>
      <c r="P1147" s="230">
        <f>Table3.110[[#This Row],[Run]]</f>
        <v>2</v>
      </c>
      <c r="Q1147" s="230">
        <f>Table3.110[[#This Row],[Replication]]</f>
        <v>1</v>
      </c>
      <c r="R1147" s="230">
        <f>Table3.110[[#This Row],[Syrange No]]</f>
        <v>61</v>
      </c>
      <c r="S1147" s="250">
        <v>0.57320000000000004</v>
      </c>
      <c r="T1147" s="250">
        <v>0.80710000000000004</v>
      </c>
      <c r="U1147" s="25"/>
      <c r="V1147" s="283">
        <f t="shared" si="106"/>
        <v>0.2339</v>
      </c>
      <c r="W1147" s="61">
        <f>Table3.110[[#This Row],[DM Incubated, mg]]-('3.2 Digest'!V1147*1000)</f>
        <v>241.17504399040425</v>
      </c>
      <c r="X1147" s="61">
        <f>W1147/Table3.110[[#This Row],[DM Incubated, mg]]*100</f>
        <v>50.765673137584464</v>
      </c>
      <c r="Y1147" s="31">
        <f>Table3.110[[#This Row],[DM Incubated, mg]]*'2.4 NDF'!R297/100</f>
        <v>259.94828265772617</v>
      </c>
      <c r="Z1147" s="61">
        <f t="shared" si="104"/>
        <v>26.048282657726162</v>
      </c>
      <c r="AA1147" s="61">
        <f t="shared" si="105"/>
        <v>10.020563471859488</v>
      </c>
      <c r="AB1147" s="6"/>
    </row>
    <row r="1148" spans="2:28" x14ac:dyDescent="0.35">
      <c r="B1148" s="230">
        <f t="shared" si="103"/>
        <v>1138</v>
      </c>
      <c r="C1148" s="9"/>
      <c r="D1148" s="248">
        <f>Table3.110[[#This Row],[Date]]</f>
        <v>46083</v>
      </c>
      <c r="E1148" s="230" t="str">
        <f>Table3.110[[#This Row],[Requisitioner]]</f>
        <v>Genbank</v>
      </c>
      <c r="F1148" s="230" t="str">
        <f>Table3.110[[#This Row],[Gene Bank ID]]</f>
        <v>CIAT23767</v>
      </c>
      <c r="G1148" s="230" t="str">
        <f>Table3.110[[#This Row],[Genus]]</f>
        <v>Desmodium</v>
      </c>
      <c r="H1148" s="230" t="str">
        <f>Table3.110[[#This Row],[Species]]</f>
        <v>nicaraguense</v>
      </c>
      <c r="I1148" s="230" t="str">
        <f>Table3.110[[#This Row],[Tax Name]]</f>
        <v>Desmodium nicaraguense</v>
      </c>
      <c r="J1148" s="230" t="str">
        <f>Table3.110[[#This Row],[Family]]</f>
        <v>Fabaceae</v>
      </c>
      <c r="K1148" s="230" t="str">
        <f>Table3.110[[#This Row],[Order]]</f>
        <v>Fabales</v>
      </c>
      <c r="L1148" s="230" t="str">
        <f>Table3.110[[#This Row],[Functional Group]]</f>
        <v>Shurb_Tree</v>
      </c>
      <c r="M1148" s="230" t="str">
        <f>Table3.110[[#This Row],[CIAT ID]]</f>
        <v>F260041</v>
      </c>
      <c r="N1148" s="230">
        <f>Table3.110[[#This Row],[Set CIAT]]</f>
        <v>30</v>
      </c>
      <c r="O1148" s="230">
        <f>Table3.110[[#This Row],[Batch]]</f>
        <v>65</v>
      </c>
      <c r="P1148" s="230">
        <f>Table3.110[[#This Row],[Run]]</f>
        <v>2</v>
      </c>
      <c r="Q1148" s="230">
        <f>Table3.110[[#This Row],[Replication]]</f>
        <v>2</v>
      </c>
      <c r="R1148" s="230">
        <f>Table3.110[[#This Row],[Syrange No]]</f>
        <v>62</v>
      </c>
      <c r="S1148" s="98">
        <v>0.54449999999999998</v>
      </c>
      <c r="T1148" s="98">
        <v>0.7742</v>
      </c>
      <c r="U1148" s="8"/>
      <c r="V1148" s="283">
        <f t="shared" si="106"/>
        <v>0.22970000000000002</v>
      </c>
      <c r="W1148" s="61">
        <f>Table3.110[[#This Row],[DM Incubated, mg]]-('3.2 Digest'!V1148*1000)</f>
        <v>245.56503600959653</v>
      </c>
      <c r="X1148" s="61">
        <f>W1148/Table3.110[[#This Row],[DM Incubated, mg]]*100</f>
        <v>51.669072497190406</v>
      </c>
      <c r="Y1148" s="31">
        <f>Table3.110[[#This Row],[DM Incubated, mg]]*'2.4 NDF'!R297/100</f>
        <v>260.05224117908494</v>
      </c>
      <c r="Z1148" s="61">
        <f t="shared" si="104"/>
        <v>30.352241179084928</v>
      </c>
      <c r="AA1148" s="61">
        <f t="shared" si="105"/>
        <v>11.671593769569883</v>
      </c>
      <c r="AB1148" s="6"/>
    </row>
    <row r="1149" spans="2:28" x14ac:dyDescent="0.35">
      <c r="B1149" s="230">
        <f t="shared" si="103"/>
        <v>1139</v>
      </c>
      <c r="C1149" s="9"/>
      <c r="D1149" s="248">
        <f>Table3.110[[#This Row],[Date]]</f>
        <v>46083</v>
      </c>
      <c r="E1149" s="230" t="str">
        <f>Table3.110[[#This Row],[Requisitioner]]</f>
        <v>Genbank</v>
      </c>
      <c r="F1149" s="230" t="str">
        <f>Table3.110[[#This Row],[Gene Bank ID]]</f>
        <v>CIAT33127</v>
      </c>
      <c r="G1149" s="230" t="str">
        <f>Table3.110[[#This Row],[Genus]]</f>
        <v>Codariocalyx</v>
      </c>
      <c r="H1149" s="230" t="str">
        <f>Table3.110[[#This Row],[Species]]</f>
        <v>motorius</v>
      </c>
      <c r="I1149" s="230" t="str">
        <f>Table3.110[[#This Row],[Tax Name]]</f>
        <v>Codariocalyx motorius</v>
      </c>
      <c r="J1149" s="230" t="str">
        <f>Table3.110[[#This Row],[Family]]</f>
        <v>Fabaceae</v>
      </c>
      <c r="K1149" s="230" t="str">
        <f>Table3.110[[#This Row],[Order]]</f>
        <v>Fabales</v>
      </c>
      <c r="L1149" s="230" t="str">
        <f>Table3.110[[#This Row],[Functional Group]]</f>
        <v>Shurb_Tree</v>
      </c>
      <c r="M1149" s="230" t="str">
        <f>Table3.110[[#This Row],[CIAT ID]]</f>
        <v>F260042</v>
      </c>
      <c r="N1149" s="230">
        <f>Table3.110[[#This Row],[Set CIAT]]</f>
        <v>30</v>
      </c>
      <c r="O1149" s="230">
        <f>Table3.110[[#This Row],[Batch]]</f>
        <v>65</v>
      </c>
      <c r="P1149" s="230">
        <f>Table3.110[[#This Row],[Run]]</f>
        <v>2</v>
      </c>
      <c r="Q1149" s="230">
        <f>Table3.110[[#This Row],[Replication]]</f>
        <v>1</v>
      </c>
      <c r="R1149" s="230">
        <f>Table3.110[[#This Row],[Syrange No]]</f>
        <v>63</v>
      </c>
      <c r="S1149" s="250">
        <v>0.58709999999999996</v>
      </c>
      <c r="T1149" s="250">
        <v>0.74009999999999998</v>
      </c>
      <c r="U1149" s="8"/>
      <c r="V1149" s="283">
        <f t="shared" si="106"/>
        <v>0.15300000000000002</v>
      </c>
      <c r="W1149" s="61">
        <f>Table3.110[[#This Row],[DM Incubated, mg]]-('3.2 Digest'!V1149*1000)</f>
        <v>325.29455392429736</v>
      </c>
      <c r="X1149" s="61">
        <f>W1149/Table3.110[[#This Row],[DM Incubated, mg]]*100</f>
        <v>68.011343899973355</v>
      </c>
      <c r="Y1149" s="31">
        <f>Table3.110[[#This Row],[DM Incubated, mg]]*'2.4 NDF'!R299/100</f>
        <v>308.94297517827567</v>
      </c>
      <c r="Z1149" s="61">
        <f t="shared" si="104"/>
        <v>155.94297517827565</v>
      </c>
      <c r="AA1149" s="61">
        <f t="shared" si="105"/>
        <v>50.476297474732576</v>
      </c>
      <c r="AB1149" s="6"/>
    </row>
    <row r="1150" spans="2:28" x14ac:dyDescent="0.35">
      <c r="B1150" s="230">
        <f t="shared" si="103"/>
        <v>1140</v>
      </c>
      <c r="C1150" s="9"/>
      <c r="D1150" s="248">
        <f>Table3.110[[#This Row],[Date]]</f>
        <v>46083</v>
      </c>
      <c r="E1150" s="230" t="str">
        <f>Table3.110[[#This Row],[Requisitioner]]</f>
        <v>Genbank</v>
      </c>
      <c r="F1150" s="230" t="str">
        <f>Table3.110[[#This Row],[Gene Bank ID]]</f>
        <v>CIAT33127</v>
      </c>
      <c r="G1150" s="230" t="str">
        <f>Table3.110[[#This Row],[Genus]]</f>
        <v>Codariocalyx</v>
      </c>
      <c r="H1150" s="230" t="str">
        <f>Table3.110[[#This Row],[Species]]</f>
        <v>motorius</v>
      </c>
      <c r="I1150" s="230" t="str">
        <f>Table3.110[[#This Row],[Tax Name]]</f>
        <v>Codariocalyx motorius</v>
      </c>
      <c r="J1150" s="230" t="str">
        <f>Table3.110[[#This Row],[Family]]</f>
        <v>Fabaceae</v>
      </c>
      <c r="K1150" s="230" t="str">
        <f>Table3.110[[#This Row],[Order]]</f>
        <v>Fabales</v>
      </c>
      <c r="L1150" s="230" t="str">
        <f>Table3.110[[#This Row],[Functional Group]]</f>
        <v>Shurb_Tree</v>
      </c>
      <c r="M1150" s="230" t="str">
        <f>Table3.110[[#This Row],[CIAT ID]]</f>
        <v>F260042</v>
      </c>
      <c r="N1150" s="230">
        <f>Table3.110[[#This Row],[Set CIAT]]</f>
        <v>30</v>
      </c>
      <c r="O1150" s="230">
        <f>Table3.110[[#This Row],[Batch]]</f>
        <v>65</v>
      </c>
      <c r="P1150" s="230">
        <f>Table3.110[[#This Row],[Run]]</f>
        <v>2</v>
      </c>
      <c r="Q1150" s="230">
        <f>Table3.110[[#This Row],[Replication]]</f>
        <v>2</v>
      </c>
      <c r="R1150" s="230">
        <f>Table3.110[[#This Row],[Syrange No]]</f>
        <v>64</v>
      </c>
      <c r="S1150" s="98">
        <v>0.58860000000000001</v>
      </c>
      <c r="T1150" s="98">
        <v>0.89810000000000001</v>
      </c>
      <c r="U1150" s="25"/>
      <c r="V1150" s="283">
        <f t="shared" si="106"/>
        <v>0.3095</v>
      </c>
      <c r="W1150" s="61">
        <f>Table3.110[[#This Row],[DM Incubated, mg]]-('3.2 Digest'!V1150*1000)</f>
        <v>168.89015547415232</v>
      </c>
      <c r="X1150" s="61">
        <f>W1150/Table3.110[[#This Row],[DM Incubated, mg]]*100</f>
        <v>35.303852627727736</v>
      </c>
      <c r="Y1150" s="31">
        <f>Table3.110[[#This Row],[DM Incubated, mg]]*'2.4 NDF'!R299/100</f>
        <v>309.00472672238482</v>
      </c>
      <c r="Z1150" s="61">
        <f t="shared" si="104"/>
        <v>-0.49527327761518336</v>
      </c>
      <c r="AA1150" s="61">
        <f t="shared" si="105"/>
        <v>-0.16028016233555722</v>
      </c>
      <c r="AB1150" s="6"/>
    </row>
    <row r="1151" spans="2:28" x14ac:dyDescent="0.35">
      <c r="B1151" s="230">
        <f t="shared" si="103"/>
        <v>1141</v>
      </c>
      <c r="C1151" s="9"/>
      <c r="D1151" s="248">
        <f>Table3.110[[#This Row],[Date]]</f>
        <v>46083</v>
      </c>
      <c r="E1151" s="230" t="str">
        <f>Table3.110[[#This Row],[Requisitioner]]</f>
        <v>Breeding</v>
      </c>
      <c r="F1151" s="230" t="str">
        <f>Table3.110[[#This Row],[Gene Bank ID]]</f>
        <v>CIAT-BR06_1348</v>
      </c>
      <c r="G1151" s="230" t="str">
        <f>Table3.110[[#This Row],[Genus]]</f>
        <v>Brachiaria</v>
      </c>
      <c r="H1151" s="230" t="str">
        <f>Table3.110[[#This Row],[Species]]</f>
        <v>interespecifico</v>
      </c>
      <c r="I1151" s="230" t="str">
        <f>Table3.110[[#This Row],[Tax Name]]</f>
        <v>Brachiaria interespecifico</v>
      </c>
      <c r="J1151" s="230" t="str">
        <f>Table3.110[[#This Row],[Family]]</f>
        <v>Poaceae</v>
      </c>
      <c r="K1151" s="230" t="str">
        <f>Table3.110[[#This Row],[Order]]</f>
        <v>Poales</v>
      </c>
      <c r="L1151" s="230" t="str">
        <f>Table3.110[[#This Row],[Functional Group]]</f>
        <v>grasses</v>
      </c>
      <c r="M1151" s="230" t="str">
        <f>Table3.110[[#This Row],[CIAT ID]]</f>
        <v>F252104</v>
      </c>
      <c r="N1151" s="230">
        <f>Table3.110[[#This Row],[Set CIAT]]</f>
        <v>30</v>
      </c>
      <c r="O1151" s="230">
        <f>Table3.110[[#This Row],[Batch]]</f>
        <v>65</v>
      </c>
      <c r="P1151" s="230">
        <f>Table3.110[[#This Row],[Run]]</f>
        <v>2</v>
      </c>
      <c r="Q1151" s="230">
        <f>Table3.110[[#This Row],[Replication]]</f>
        <v>1</v>
      </c>
      <c r="R1151" s="230">
        <f>Table3.110[[#This Row],[Syrange No]]</f>
        <v>65</v>
      </c>
      <c r="S1151" s="250">
        <v>0.56599999999999995</v>
      </c>
      <c r="T1151" s="250">
        <v>0.77890000000000004</v>
      </c>
      <c r="U1151" s="25"/>
      <c r="V1151" s="283">
        <f t="shared" si="106"/>
        <v>0.21290000000000009</v>
      </c>
      <c r="W1151" s="61">
        <f>Table3.110[[#This Row],[DM Incubated, mg]]-('3.2 Digest'!V1151*1000)</f>
        <v>252.54999999999995</v>
      </c>
      <c r="X1151" s="61">
        <f>W1151/Table3.110[[#This Row],[DM Incubated, mg]]*100</f>
        <v>54.259318938661494</v>
      </c>
      <c r="Y1151" s="31">
        <f>Table3.110[[#This Row],[DM Incubated, mg]]*'2.4 NDF'!R301/100</f>
        <v>278.15292000000005</v>
      </c>
      <c r="Z1151" s="61">
        <f t="shared" si="104"/>
        <v>65.252919999999961</v>
      </c>
      <c r="AA1151" s="61">
        <f t="shared" si="105"/>
        <v>23.459369040598226</v>
      </c>
      <c r="AB1151" s="6"/>
    </row>
    <row r="1152" spans="2:28" x14ac:dyDescent="0.35">
      <c r="B1152" s="230">
        <f t="shared" si="103"/>
        <v>1142</v>
      </c>
      <c r="C1152" s="9"/>
      <c r="D1152" s="248">
        <f>Table3.110[[#This Row],[Date]]</f>
        <v>46083</v>
      </c>
      <c r="E1152" s="230" t="str">
        <f>Table3.110[[#This Row],[Requisitioner]]</f>
        <v>Breeding</v>
      </c>
      <c r="F1152" s="230" t="str">
        <f>Table3.110[[#This Row],[Gene Bank ID]]</f>
        <v>CIAT-BR06_1348</v>
      </c>
      <c r="G1152" s="230" t="str">
        <f>Table3.110[[#This Row],[Genus]]</f>
        <v>Brachiaria</v>
      </c>
      <c r="H1152" s="230" t="str">
        <f>Table3.110[[#This Row],[Species]]</f>
        <v>interespecifico</v>
      </c>
      <c r="I1152" s="230" t="str">
        <f>Table3.110[[#This Row],[Tax Name]]</f>
        <v>Brachiaria interespecifico</v>
      </c>
      <c r="J1152" s="230" t="str">
        <f>Table3.110[[#This Row],[Family]]</f>
        <v>Poaceae</v>
      </c>
      <c r="K1152" s="230" t="str">
        <f>Table3.110[[#This Row],[Order]]</f>
        <v>Poales</v>
      </c>
      <c r="L1152" s="230" t="str">
        <f>Table3.110[[#This Row],[Functional Group]]</f>
        <v>grasses</v>
      </c>
      <c r="M1152" s="230" t="str">
        <f>Table3.110[[#This Row],[CIAT ID]]</f>
        <v>F252104</v>
      </c>
      <c r="N1152" s="230">
        <f>Table3.110[[#This Row],[Set CIAT]]</f>
        <v>30</v>
      </c>
      <c r="O1152" s="230">
        <f>Table3.110[[#This Row],[Batch]]</f>
        <v>65</v>
      </c>
      <c r="P1152" s="230">
        <f>Table3.110[[#This Row],[Run]]</f>
        <v>2</v>
      </c>
      <c r="Q1152" s="230">
        <f>Table3.110[[#This Row],[Replication]]</f>
        <v>2</v>
      </c>
      <c r="R1152" s="230">
        <f>Table3.110[[#This Row],[Syrange No]]</f>
        <v>66</v>
      </c>
      <c r="S1152" s="98">
        <v>0.57620000000000005</v>
      </c>
      <c r="T1152" s="98">
        <v>0.80559999999999998</v>
      </c>
      <c r="U1152" s="8"/>
      <c r="V1152" s="283">
        <f t="shared" si="106"/>
        <v>0.22939999999999994</v>
      </c>
      <c r="W1152" s="61">
        <f>Table3.110[[#This Row],[DM Incubated, mg]]-('3.2 Digest'!V1152*1000)</f>
        <v>236.14309000000011</v>
      </c>
      <c r="X1152" s="61">
        <f>W1152/Table3.110[[#This Row],[DM Incubated, mg]]*100</f>
        <v>50.72421760142548</v>
      </c>
      <c r="Y1152" s="31">
        <f>Table3.110[[#This Row],[DM Incubated, mg]]*'2.4 NDF'!R301/100</f>
        <v>278.20855058400008</v>
      </c>
      <c r="Z1152" s="61">
        <f t="shared" si="104"/>
        <v>48.80855058400013</v>
      </c>
      <c r="AA1152" s="61">
        <f t="shared" si="105"/>
        <v>17.543871488329135</v>
      </c>
      <c r="AB1152" s="6"/>
    </row>
    <row r="1153" spans="2:28" x14ac:dyDescent="0.35">
      <c r="B1153" s="230">
        <f t="shared" si="103"/>
        <v>1143</v>
      </c>
      <c r="C1153" s="9"/>
      <c r="D1153" s="248">
        <f>Table3.110[[#This Row],[Date]]</f>
        <v>46083</v>
      </c>
      <c r="E1153" s="230" t="str">
        <f>Table3.110[[#This Row],[Requisitioner]]</f>
        <v>Breeding</v>
      </c>
      <c r="F1153" s="230" t="str">
        <f>Table3.110[[#This Row],[Gene Bank ID]]</f>
        <v>CIAT-BH22_0528</v>
      </c>
      <c r="G1153" s="230" t="str">
        <f>Table3.110[[#This Row],[Genus]]</f>
        <v>Urochloa</v>
      </c>
      <c r="H1153" s="230" t="str">
        <f>Table3.110[[#This Row],[Species]]</f>
        <v>humidicola</v>
      </c>
      <c r="I1153" s="230" t="str">
        <f>Table3.110[[#This Row],[Tax Name]]</f>
        <v>Urochloa humidicola</v>
      </c>
      <c r="J1153" s="230" t="str">
        <f>Table3.110[[#This Row],[Family]]</f>
        <v>Poaceae</v>
      </c>
      <c r="K1153" s="230" t="str">
        <f>Table3.110[[#This Row],[Order]]</f>
        <v>Poales</v>
      </c>
      <c r="L1153" s="230" t="str">
        <f>Table3.110[[#This Row],[Functional Group]]</f>
        <v>grasses</v>
      </c>
      <c r="M1153" s="230" t="str">
        <f>Table3.110[[#This Row],[CIAT ID]]</f>
        <v>F252166</v>
      </c>
      <c r="N1153" s="230">
        <f>Table3.110[[#This Row],[Set CIAT]]</f>
        <v>30</v>
      </c>
      <c r="O1153" s="230">
        <f>Table3.110[[#This Row],[Batch]]</f>
        <v>65</v>
      </c>
      <c r="P1153" s="230">
        <f>Table3.110[[#This Row],[Run]]</f>
        <v>2</v>
      </c>
      <c r="Q1153" s="230">
        <f>Table3.110[[#This Row],[Replication]]</f>
        <v>1</v>
      </c>
      <c r="R1153" s="230">
        <f>Table3.110[[#This Row],[Syrange No]]</f>
        <v>67</v>
      </c>
      <c r="S1153" s="250">
        <v>0.56440000000000001</v>
      </c>
      <c r="T1153" s="250">
        <v>0.84350000000000003</v>
      </c>
      <c r="U1153" s="8" t="s">
        <v>551</v>
      </c>
      <c r="V1153" s="283">
        <f t="shared" si="106"/>
        <v>0.27910000000000001</v>
      </c>
      <c r="W1153" s="61">
        <f>Table3.110[[#This Row],[DM Incubated, mg]]-('3.2 Digest'!V1153*1000)</f>
        <v>212.24463000000003</v>
      </c>
      <c r="X1153" s="61">
        <f>W1153/Table3.110[[#This Row],[DM Incubated, mg]]*100</f>
        <v>43.196692716474786</v>
      </c>
      <c r="Y1153" s="31">
        <f>Table3.110[[#This Row],[DM Incubated, mg]]*'2.4 NDF'!R303/100</f>
        <v>361.40854259650007</v>
      </c>
      <c r="Z1153" s="61">
        <f t="shared" si="104"/>
        <v>82.308542596500047</v>
      </c>
      <c r="AA1153" s="61">
        <f t="shared" si="105"/>
        <v>22.774376611344973</v>
      </c>
      <c r="AB1153" s="6"/>
    </row>
    <row r="1154" spans="2:28" x14ac:dyDescent="0.35">
      <c r="B1154" s="230">
        <f t="shared" si="103"/>
        <v>1144</v>
      </c>
      <c r="C1154" s="9"/>
      <c r="D1154" s="248">
        <f>Table3.110[[#This Row],[Date]]</f>
        <v>46083</v>
      </c>
      <c r="E1154" s="230" t="str">
        <f>Table3.110[[#This Row],[Requisitioner]]</f>
        <v>Breeding</v>
      </c>
      <c r="F1154" s="230" t="str">
        <f>Table3.110[[#This Row],[Gene Bank ID]]</f>
        <v>CIAT-BH22_0528</v>
      </c>
      <c r="G1154" s="230" t="str">
        <f>Table3.110[[#This Row],[Genus]]</f>
        <v>Urochloa</v>
      </c>
      <c r="H1154" s="230" t="str">
        <f>Table3.110[[#This Row],[Species]]</f>
        <v>humidicola</v>
      </c>
      <c r="I1154" s="230" t="str">
        <f>Table3.110[[#This Row],[Tax Name]]</f>
        <v>Urochloa humidicola</v>
      </c>
      <c r="J1154" s="230" t="str">
        <f>Table3.110[[#This Row],[Family]]</f>
        <v>Poaceae</v>
      </c>
      <c r="K1154" s="230" t="str">
        <f>Table3.110[[#This Row],[Order]]</f>
        <v>Poales</v>
      </c>
      <c r="L1154" s="230" t="str">
        <f>Table3.110[[#This Row],[Functional Group]]</f>
        <v>grasses</v>
      </c>
      <c r="M1154" s="230" t="str">
        <f>Table3.110[[#This Row],[CIAT ID]]</f>
        <v>F252166</v>
      </c>
      <c r="N1154" s="230">
        <f>Table3.110[[#This Row],[Set CIAT]]</f>
        <v>30</v>
      </c>
      <c r="O1154" s="230">
        <f>Table3.110[[#This Row],[Batch]]</f>
        <v>65</v>
      </c>
      <c r="P1154" s="230">
        <f>Table3.110[[#This Row],[Run]]</f>
        <v>2</v>
      </c>
      <c r="Q1154" s="230">
        <f>Table3.110[[#This Row],[Replication]]</f>
        <v>2</v>
      </c>
      <c r="R1154" s="230">
        <f>Table3.110[[#This Row],[Syrange No]]</f>
        <v>68</v>
      </c>
      <c r="S1154" s="98">
        <v>0.56679999999999997</v>
      </c>
      <c r="T1154" s="98">
        <v>0.83289999999999997</v>
      </c>
      <c r="U1154" s="25"/>
      <c r="V1154" s="283">
        <f t="shared" si="106"/>
        <v>0.2661</v>
      </c>
      <c r="W1154" s="61">
        <f>Table3.110[[#This Row],[DM Incubated, mg]]-('3.2 Digest'!V1154*1000)</f>
        <v>225.04821000000004</v>
      </c>
      <c r="X1154" s="61">
        <f>W1154/Table3.110[[#This Row],[DM Incubated, mg]]*100</f>
        <v>45.820834814810787</v>
      </c>
      <c r="Y1154" s="31">
        <f>Table3.110[[#This Row],[DM Incubated, mg]]*'2.4 NDF'!R303/100</f>
        <v>361.26406586550007</v>
      </c>
      <c r="Z1154" s="61">
        <f t="shared" si="104"/>
        <v>95.164065865500049</v>
      </c>
      <c r="AA1154" s="61">
        <f t="shared" si="105"/>
        <v>26.341968343159262</v>
      </c>
      <c r="AB1154" s="6"/>
    </row>
    <row r="1155" spans="2:28" x14ac:dyDescent="0.35">
      <c r="B1155" s="230">
        <f t="shared" si="103"/>
        <v>1145</v>
      </c>
      <c r="C1155" s="9"/>
      <c r="D1155" s="248">
        <f>Table3.110[[#This Row],[Date]]</f>
        <v>46083</v>
      </c>
      <c r="E1155" s="230" t="str">
        <f>Table3.110[[#This Row],[Requisitioner]]</f>
        <v>Jacobo Arango/Alejandro Montoya</v>
      </c>
      <c r="F1155" s="230" t="str">
        <f>Table3.110[[#This Row],[Gene Bank ID]]</f>
        <v>Sample 8</v>
      </c>
      <c r="G1155" s="230" t="str">
        <f>Table3.110[[#This Row],[Genus]]</f>
        <v>Cynodon</v>
      </c>
      <c r="H1155" s="230" t="str">
        <f>Table3.110[[#This Row],[Species]]</f>
        <v>nlemfuensis</v>
      </c>
      <c r="I1155" s="230" t="str">
        <f>Table3.110[[#This Row],[Tax Name]]</f>
        <v xml:space="preserve">Cynodon nlemfuensis </v>
      </c>
      <c r="J1155" s="230" t="str">
        <f>Table3.110[[#This Row],[Family]]</f>
        <v>Poaceae</v>
      </c>
      <c r="K1155" s="230" t="str">
        <f>Table3.110[[#This Row],[Order]]</f>
        <v>Poales</v>
      </c>
      <c r="L1155" s="230" t="str">
        <f>Table3.110[[#This Row],[Functional Group]]</f>
        <v>grasses</v>
      </c>
      <c r="M1155" s="230" t="str">
        <f>Table3.110[[#This Row],[CIAT ID]]</f>
        <v>F250008</v>
      </c>
      <c r="N1155" s="230">
        <f>Table3.110[[#This Row],[Set CIAT]]</f>
        <v>30</v>
      </c>
      <c r="O1155" s="230">
        <f>Table3.110[[#This Row],[Batch]]</f>
        <v>65</v>
      </c>
      <c r="P1155" s="230">
        <f>Table3.110[[#This Row],[Run]]</f>
        <v>2</v>
      </c>
      <c r="Q1155" s="230">
        <f>Table3.110[[#This Row],[Replication]]</f>
        <v>1</v>
      </c>
      <c r="R1155" s="230">
        <f>Table3.110[[#This Row],[Syrange No]]</f>
        <v>69</v>
      </c>
      <c r="S1155" s="250">
        <v>0.58260000000000001</v>
      </c>
      <c r="T1155" s="250">
        <v>0.85470000000000002</v>
      </c>
      <c r="U1155" s="25"/>
      <c r="V1155" s="283">
        <f t="shared" si="106"/>
        <v>0.27210000000000001</v>
      </c>
      <c r="W1155" s="61">
        <f>Table3.110[[#This Row],[DM Incubated, mg]]-('3.2 Digest'!V1155*1000)</f>
        <v>196.6810999999999</v>
      </c>
      <c r="X1155" s="61">
        <f>W1155/Table3.110[[#This Row],[DM Incubated, mg]]*100</f>
        <v>41.955851035803263</v>
      </c>
      <c r="Y1155" s="31">
        <f>Table3.110[[#This Row],[DM Incubated, mg]]*'2.4 NDF'!R305/100</f>
        <v>356.74241709999995</v>
      </c>
      <c r="Z1155" s="61">
        <f t="shared" si="104"/>
        <v>84.642417099999932</v>
      </c>
      <c r="AA1155" s="61">
        <f t="shared" si="105"/>
        <v>23.726479679110728</v>
      </c>
      <c r="AB1155" s="6"/>
    </row>
    <row r="1156" spans="2:28" x14ac:dyDescent="0.35">
      <c r="B1156" s="230">
        <f t="shared" si="103"/>
        <v>1146</v>
      </c>
      <c r="C1156" s="9"/>
      <c r="D1156" s="248">
        <f>Table3.110[[#This Row],[Date]]</f>
        <v>46083</v>
      </c>
      <c r="E1156" s="230" t="str">
        <f>Table3.110[[#This Row],[Requisitioner]]</f>
        <v>Jacobo Arango/Alejandro Montoya</v>
      </c>
      <c r="F1156" s="230" t="str">
        <f>Table3.110[[#This Row],[Gene Bank ID]]</f>
        <v>Sample 8</v>
      </c>
      <c r="G1156" s="230" t="str">
        <f>Table3.110[[#This Row],[Genus]]</f>
        <v>Cynodon</v>
      </c>
      <c r="H1156" s="230" t="str">
        <f>Table3.110[[#This Row],[Species]]</f>
        <v>nlemfuensis</v>
      </c>
      <c r="I1156" s="230" t="str">
        <f>Table3.110[[#This Row],[Tax Name]]</f>
        <v xml:space="preserve">Cynodon nlemfuensis </v>
      </c>
      <c r="J1156" s="230" t="str">
        <f>Table3.110[[#This Row],[Family]]</f>
        <v>Poaceae</v>
      </c>
      <c r="K1156" s="230" t="str">
        <f>Table3.110[[#This Row],[Order]]</f>
        <v>Poales</v>
      </c>
      <c r="L1156" s="230" t="str">
        <f>Table3.110[[#This Row],[Functional Group]]</f>
        <v>grasses</v>
      </c>
      <c r="M1156" s="230" t="str">
        <f>Table3.110[[#This Row],[CIAT ID]]</f>
        <v>F250008</v>
      </c>
      <c r="N1156" s="230">
        <f>Table3.110[[#This Row],[Set CIAT]]</f>
        <v>30</v>
      </c>
      <c r="O1156" s="230">
        <f>Table3.110[[#This Row],[Batch]]</f>
        <v>65</v>
      </c>
      <c r="P1156" s="230">
        <f>Table3.110[[#This Row],[Run]]</f>
        <v>2</v>
      </c>
      <c r="Q1156" s="230">
        <f>Table3.110[[#This Row],[Replication]]</f>
        <v>2</v>
      </c>
      <c r="R1156" s="230">
        <f>Table3.110[[#This Row],[Syrange No]]</f>
        <v>70</v>
      </c>
      <c r="S1156" s="98">
        <v>0.58689999999999998</v>
      </c>
      <c r="T1156" s="98">
        <v>0.90349999999999997</v>
      </c>
      <c r="U1156" s="6"/>
      <c r="V1156" s="283">
        <f t="shared" si="106"/>
        <v>0.31659999999999999</v>
      </c>
      <c r="W1156" s="61">
        <f>Table3.110[[#This Row],[DM Incubated, mg]]-('3.2 Digest'!V1156*1000)</f>
        <v>152.18109999999996</v>
      </c>
      <c r="X1156" s="61">
        <f>W1156/Table3.110[[#This Row],[DM Incubated, mg]]*100</f>
        <v>32.463147511706417</v>
      </c>
      <c r="Y1156" s="31">
        <f>Table3.110[[#This Row],[DM Incubated, mg]]*'2.4 NDF'!R305/100</f>
        <v>356.74241709999995</v>
      </c>
      <c r="Z1156" s="61">
        <f t="shared" si="104"/>
        <v>40.142417099999989</v>
      </c>
      <c r="AA1156" s="61">
        <f t="shared" si="105"/>
        <v>11.252493445080711</v>
      </c>
      <c r="AB1156" s="6"/>
    </row>
    <row r="1157" spans="2:28" x14ac:dyDescent="0.35">
      <c r="B1157" s="230">
        <f t="shared" si="103"/>
        <v>1147</v>
      </c>
      <c r="C1157" s="9"/>
      <c r="D1157" s="248">
        <f>Table3.110[[#This Row],[Date]]</f>
        <v>46083</v>
      </c>
      <c r="E1157" s="230">
        <f>Table3.110[[#This Row],[Requisitioner]]</f>
        <v>0</v>
      </c>
      <c r="F1157" s="230" t="str">
        <f>Table3.110[[#This Row],[Gene Bank ID]]</f>
        <v>BLANK 24 H</v>
      </c>
      <c r="G1157" s="230" t="str">
        <f>Table3.110[[#This Row],[Genus]]</f>
        <v>BLANK</v>
      </c>
      <c r="H1157" s="230">
        <f>Table3.110[[#This Row],[Species]]</f>
        <v>24</v>
      </c>
      <c r="I1157" s="230" t="str">
        <f>Table3.110[[#This Row],[Tax Name]]</f>
        <v>BLANK 24 H</v>
      </c>
      <c r="J1157" s="230">
        <f>Table3.110[[#This Row],[Family]]</f>
        <v>0</v>
      </c>
      <c r="K1157" s="230">
        <f>Table3.110[[#This Row],[Order]]</f>
        <v>0</v>
      </c>
      <c r="L1157" s="230">
        <f>Table3.110[[#This Row],[Functional Group]]</f>
        <v>0</v>
      </c>
      <c r="M1157" s="230" t="str">
        <f>Table3.110[[#This Row],[CIAT ID]]</f>
        <v>BLANK24H</v>
      </c>
      <c r="N1157" s="230">
        <f>Table3.110[[#This Row],[Set CIAT]]</f>
        <v>30</v>
      </c>
      <c r="O1157" s="230">
        <f>Table3.110[[#This Row],[Batch]]</f>
        <v>65</v>
      </c>
      <c r="P1157" s="230">
        <f>Table3.110[[#This Row],[Run]]</f>
        <v>2</v>
      </c>
      <c r="Q1157" s="230">
        <f>Table3.110[[#This Row],[Replication]]</f>
        <v>1</v>
      </c>
      <c r="R1157" s="230">
        <f>Table3.110[[#This Row],[Syrange No]]</f>
        <v>71</v>
      </c>
      <c r="S1157" s="249"/>
      <c r="T1157" s="249"/>
      <c r="U1157" s="300"/>
      <c r="V1157" s="283"/>
      <c r="W1157" s="61"/>
      <c r="X1157" s="61"/>
      <c r="Y1157" s="31"/>
      <c r="Z1157" s="61"/>
      <c r="AA1157" s="61"/>
      <c r="AB1157" s="6"/>
    </row>
    <row r="1158" spans="2:28" x14ac:dyDescent="0.35">
      <c r="B1158" s="230">
        <f t="shared" si="103"/>
        <v>1148</v>
      </c>
      <c r="C1158" s="9"/>
      <c r="D1158" s="248">
        <f>Table3.110[[#This Row],[Date]]</f>
        <v>46083</v>
      </c>
      <c r="E1158" s="230">
        <f>Table3.110[[#This Row],[Requisitioner]]</f>
        <v>0</v>
      </c>
      <c r="F1158" s="230" t="str">
        <f>Table3.110[[#This Row],[Gene Bank ID]]</f>
        <v>BLANK 24 H</v>
      </c>
      <c r="G1158" s="230" t="str">
        <f>Table3.110[[#This Row],[Genus]]</f>
        <v>BLANK</v>
      </c>
      <c r="H1158" s="230">
        <f>Table3.110[[#This Row],[Species]]</f>
        <v>24</v>
      </c>
      <c r="I1158" s="230" t="str">
        <f>Table3.110[[#This Row],[Tax Name]]</f>
        <v>BLANK 24 H</v>
      </c>
      <c r="J1158" s="230">
        <f>Table3.110[[#This Row],[Family]]</f>
        <v>0</v>
      </c>
      <c r="K1158" s="230">
        <f>Table3.110[[#This Row],[Order]]</f>
        <v>0</v>
      </c>
      <c r="L1158" s="230">
        <f>Table3.110[[#This Row],[Functional Group]]</f>
        <v>0</v>
      </c>
      <c r="M1158" s="230" t="str">
        <f>Table3.110[[#This Row],[CIAT ID]]</f>
        <v>BLANK24H</v>
      </c>
      <c r="N1158" s="230">
        <f>Table3.110[[#This Row],[Set CIAT]]</f>
        <v>30</v>
      </c>
      <c r="O1158" s="230">
        <f>Table3.110[[#This Row],[Batch]]</f>
        <v>65</v>
      </c>
      <c r="P1158" s="230">
        <f>Table3.110[[#This Row],[Run]]</f>
        <v>2</v>
      </c>
      <c r="Q1158" s="230">
        <f>Table3.110[[#This Row],[Replication]]</f>
        <v>2</v>
      </c>
      <c r="R1158" s="230">
        <f>Table3.110[[#This Row],[Syrange No]]</f>
        <v>72</v>
      </c>
      <c r="S1158" s="249"/>
      <c r="T1158" s="249"/>
      <c r="U1158" s="301"/>
      <c r="V1158" s="283"/>
      <c r="W1158" s="61"/>
      <c r="X1158" s="61"/>
      <c r="Y1158" s="31"/>
      <c r="Z1158" s="61"/>
      <c r="AA1158" s="61"/>
      <c r="AB1158" s="6"/>
    </row>
    <row r="1159" spans="2:28" x14ac:dyDescent="0.35">
      <c r="B1159" s="230">
        <f t="shared" si="103"/>
        <v>1149</v>
      </c>
      <c r="C1159" s="9"/>
      <c r="D1159" s="248">
        <f>Table3.110[[#This Row],[Date]]</f>
        <v>46085</v>
      </c>
      <c r="E1159" s="230">
        <f>Table3.110[[#This Row],[Requisitioner]]</f>
        <v>0</v>
      </c>
      <c r="F1159" s="230" t="str">
        <f>Table3.110[[#This Row],[Gene Bank ID]]</f>
        <v>BLANK 24 H</v>
      </c>
      <c r="G1159" s="230" t="str">
        <f>Table3.110[[#This Row],[Genus]]</f>
        <v>BLANK</v>
      </c>
      <c r="H1159" s="230">
        <f>Table3.110[[#This Row],[Species]]</f>
        <v>24</v>
      </c>
      <c r="I1159" s="230" t="str">
        <f>Table3.110[[#This Row],[Tax Name]]</f>
        <v>BLANK 24 H</v>
      </c>
      <c r="J1159" s="230">
        <f>Table3.110[[#This Row],[Family]]</f>
        <v>0</v>
      </c>
      <c r="K1159" s="230">
        <f>Table3.110[[#This Row],[Order]]</f>
        <v>0</v>
      </c>
      <c r="L1159" s="230">
        <f>Table3.110[[#This Row],[Functional Group]]</f>
        <v>0</v>
      </c>
      <c r="M1159" s="230" t="str">
        <f>Table3.110[[#This Row],[CIAT ID]]</f>
        <v>BLANK24H</v>
      </c>
      <c r="N1159" s="230">
        <f>Table3.110[[#This Row],[Set CIAT]]</f>
        <v>30</v>
      </c>
      <c r="O1159" s="230">
        <f>Table3.110[[#This Row],[Batch]]</f>
        <v>71</v>
      </c>
      <c r="P1159" s="230">
        <f>Table3.110[[#This Row],[Run]]</f>
        <v>3</v>
      </c>
      <c r="Q1159" s="230">
        <f>Table3.110[[#This Row],[Replication]]</f>
        <v>1</v>
      </c>
      <c r="R1159" s="230">
        <f>Table3.110[[#This Row],[Syrange No]]</f>
        <v>73</v>
      </c>
      <c r="S1159" s="249"/>
      <c r="T1159" s="249"/>
      <c r="U1159" s="300"/>
      <c r="V1159" s="283"/>
      <c r="W1159" s="61"/>
      <c r="X1159" s="61"/>
      <c r="Y1159" s="31"/>
      <c r="Z1159" s="61"/>
      <c r="AA1159" s="61"/>
      <c r="AB1159" s="6"/>
    </row>
    <row r="1160" spans="2:28" x14ac:dyDescent="0.35">
      <c r="B1160" s="230">
        <f t="shared" si="103"/>
        <v>1150</v>
      </c>
      <c r="C1160" s="9"/>
      <c r="D1160" s="248">
        <f>Table3.110[[#This Row],[Date]]</f>
        <v>46085</v>
      </c>
      <c r="E1160" s="230">
        <f>Table3.110[[#This Row],[Requisitioner]]</f>
        <v>0</v>
      </c>
      <c r="F1160" s="230" t="str">
        <f>Table3.110[[#This Row],[Gene Bank ID]]</f>
        <v>BLANK 24 H</v>
      </c>
      <c r="G1160" s="230" t="str">
        <f>Table3.110[[#This Row],[Genus]]</f>
        <v>BLANK</v>
      </c>
      <c r="H1160" s="230">
        <f>Table3.110[[#This Row],[Species]]</f>
        <v>24</v>
      </c>
      <c r="I1160" s="230" t="str">
        <f>Table3.110[[#This Row],[Tax Name]]</f>
        <v>BLANK 24 H</v>
      </c>
      <c r="J1160" s="230">
        <f>Table3.110[[#This Row],[Family]]</f>
        <v>0</v>
      </c>
      <c r="K1160" s="230">
        <f>Table3.110[[#This Row],[Order]]</f>
        <v>0</v>
      </c>
      <c r="L1160" s="230">
        <f>Table3.110[[#This Row],[Functional Group]]</f>
        <v>0</v>
      </c>
      <c r="M1160" s="230" t="str">
        <f>Table3.110[[#This Row],[CIAT ID]]</f>
        <v>BLANK24H</v>
      </c>
      <c r="N1160" s="230">
        <f>Table3.110[[#This Row],[Set CIAT]]</f>
        <v>30</v>
      </c>
      <c r="O1160" s="230">
        <f>Table3.110[[#This Row],[Batch]]</f>
        <v>71</v>
      </c>
      <c r="P1160" s="230">
        <f>Table3.110[[#This Row],[Run]]</f>
        <v>3</v>
      </c>
      <c r="Q1160" s="230">
        <f>Table3.110[[#This Row],[Replication]]</f>
        <v>2</v>
      </c>
      <c r="R1160" s="230">
        <f>Table3.110[[#This Row],[Syrange No]]</f>
        <v>74</v>
      </c>
      <c r="S1160" s="249"/>
      <c r="T1160" s="249"/>
      <c r="U1160" s="301"/>
      <c r="V1160" s="283"/>
      <c r="W1160" s="61"/>
      <c r="X1160" s="61"/>
      <c r="Y1160" s="31"/>
      <c r="Z1160" s="61"/>
      <c r="AA1160" s="61"/>
      <c r="AB1160" s="6"/>
    </row>
    <row r="1161" spans="2:28" x14ac:dyDescent="0.35">
      <c r="B1161" s="230">
        <f t="shared" si="103"/>
        <v>1151</v>
      </c>
      <c r="C1161" s="9"/>
      <c r="D1161" s="248">
        <f>Table3.110[[#This Row],[Date]]</f>
        <v>46085</v>
      </c>
      <c r="E1161" s="230" t="str">
        <f>Table3.110[[#This Row],[Requisitioner]]</f>
        <v>Genbank</v>
      </c>
      <c r="F1161" s="230" t="str">
        <f>Table3.110[[#This Row],[Gene Bank ID]]</f>
        <v>CIAT590</v>
      </c>
      <c r="G1161" s="230" t="str">
        <f>Table3.110[[#This Row],[Genus]]</f>
        <v>Macroptilium</v>
      </c>
      <c r="H1161" s="230" t="str">
        <f>Table3.110[[#This Row],[Species]]</f>
        <v>bracteatum</v>
      </c>
      <c r="I1161" s="230" t="str">
        <f>Table3.110[[#This Row],[Tax Name]]</f>
        <v>Macroptilium bracteatum</v>
      </c>
      <c r="J1161" s="230" t="str">
        <f>Table3.110[[#This Row],[Family]]</f>
        <v>Fabaceae</v>
      </c>
      <c r="K1161" s="230" t="str">
        <f>Table3.110[[#This Row],[Order]]</f>
        <v>Fabales</v>
      </c>
      <c r="L1161" s="230" t="str">
        <f>Table3.110[[#This Row],[Functional Group]]</f>
        <v>Herbaceous</v>
      </c>
      <c r="M1161" s="230" t="str">
        <f>Table3.110[[#This Row],[CIAT ID]]</f>
        <v>F260013</v>
      </c>
      <c r="N1161" s="230">
        <f>Table3.110[[#This Row],[Set CIAT]]</f>
        <v>30</v>
      </c>
      <c r="O1161" s="230">
        <f>Table3.110[[#This Row],[Batch]]</f>
        <v>71</v>
      </c>
      <c r="P1161" s="230">
        <f>Table3.110[[#This Row],[Run]]</f>
        <v>3</v>
      </c>
      <c r="Q1161" s="230">
        <f>Table3.110[[#This Row],[Replication]]</f>
        <v>1</v>
      </c>
      <c r="R1161" s="230">
        <f>Table3.110[[#This Row],[Syrange No]]</f>
        <v>75</v>
      </c>
      <c r="S1161" s="250">
        <v>0.58389999999999997</v>
      </c>
      <c r="T1161" s="250">
        <v>0.8488</v>
      </c>
      <c r="U1161" s="25"/>
      <c r="V1161" s="283">
        <f t="shared" si="106"/>
        <v>0.26490000000000002</v>
      </c>
      <c r="W1161" s="61">
        <f>Table3.110[[#This Row],[DM Incubated, mg]]-('3.2 Digest'!V1161*1000)</f>
        <v>198.11466270807449</v>
      </c>
      <c r="X1161" s="61">
        <f>W1161/Table3.110[[#This Row],[DM Incubated, mg]]*100</f>
        <v>42.787988948199576</v>
      </c>
      <c r="Y1161" s="31">
        <f>Table3.110[[#This Row],[DM Incubated, mg]]*'2.4 NDF'!R241/100</f>
        <v>256.79042070120863</v>
      </c>
      <c r="Z1161" s="61">
        <f t="shared" si="104"/>
        <v>-8.1095792987914024</v>
      </c>
      <c r="AA1161" s="61">
        <f t="shared" si="105"/>
        <v>-3.1580536675187716</v>
      </c>
      <c r="AB1161" s="6"/>
    </row>
    <row r="1162" spans="2:28" x14ac:dyDescent="0.35">
      <c r="B1162" s="230">
        <f t="shared" si="103"/>
        <v>1152</v>
      </c>
      <c r="C1162" s="9"/>
      <c r="D1162" s="248">
        <f>Table3.110[[#This Row],[Date]]</f>
        <v>46085</v>
      </c>
      <c r="E1162" s="230" t="str">
        <f>Table3.110[[#This Row],[Requisitioner]]</f>
        <v>Genbank</v>
      </c>
      <c r="F1162" s="230" t="str">
        <f>Table3.110[[#This Row],[Gene Bank ID]]</f>
        <v>CIAT590</v>
      </c>
      <c r="G1162" s="230" t="str">
        <f>Table3.110[[#This Row],[Genus]]</f>
        <v>Macroptilium</v>
      </c>
      <c r="H1162" s="230" t="str">
        <f>Table3.110[[#This Row],[Species]]</f>
        <v>bracteatum</v>
      </c>
      <c r="I1162" s="230" t="str">
        <f>Table3.110[[#This Row],[Tax Name]]</f>
        <v>Macroptilium bracteatum</v>
      </c>
      <c r="J1162" s="230" t="str">
        <f>Table3.110[[#This Row],[Family]]</f>
        <v>Fabaceae</v>
      </c>
      <c r="K1162" s="230" t="str">
        <f>Table3.110[[#This Row],[Order]]</f>
        <v>Fabales</v>
      </c>
      <c r="L1162" s="230" t="str">
        <f>Table3.110[[#This Row],[Functional Group]]</f>
        <v>Herbaceous</v>
      </c>
      <c r="M1162" s="230" t="str">
        <f>Table3.110[[#This Row],[CIAT ID]]</f>
        <v>F260013</v>
      </c>
      <c r="N1162" s="230">
        <f>Table3.110[[#This Row],[Set CIAT]]</f>
        <v>30</v>
      </c>
      <c r="O1162" s="230">
        <f>Table3.110[[#This Row],[Batch]]</f>
        <v>71</v>
      </c>
      <c r="P1162" s="230">
        <f>Table3.110[[#This Row],[Run]]</f>
        <v>3</v>
      </c>
      <c r="Q1162" s="230">
        <f>Table3.110[[#This Row],[Replication]]</f>
        <v>2</v>
      </c>
      <c r="R1162" s="230">
        <f>Table3.110[[#This Row],[Syrange No]]</f>
        <v>76</v>
      </c>
      <c r="S1162" s="98">
        <v>0.56479999999999997</v>
      </c>
      <c r="T1162" s="98">
        <v>0.89739999999999998</v>
      </c>
      <c r="U1162" s="8"/>
      <c r="V1162" s="283">
        <f t="shared" si="106"/>
        <v>0.33260000000000001</v>
      </c>
      <c r="W1162" s="61">
        <f>Table3.110[[#This Row],[DM Incubated, mg]]-('3.2 Digest'!V1162*1000)</f>
        <v>130.4146627080745</v>
      </c>
      <c r="X1162" s="61">
        <f>W1162/Table3.110[[#This Row],[DM Incubated, mg]]*100</f>
        <v>28.16642175980061</v>
      </c>
      <c r="Y1162" s="31">
        <f>Table3.110[[#This Row],[DM Incubated, mg]]*'2.4 NDF'!R241/100</f>
        <v>256.79042070120863</v>
      </c>
      <c r="Z1162" s="61">
        <f t="shared" si="104"/>
        <v>-75.809579298791391</v>
      </c>
      <c r="AA1162" s="61">
        <f t="shared" si="105"/>
        <v>-29.521965457971845</v>
      </c>
      <c r="AB1162" s="6"/>
    </row>
    <row r="1163" spans="2:28" x14ac:dyDescent="0.35">
      <c r="B1163" s="230">
        <f t="shared" si="103"/>
        <v>1153</v>
      </c>
      <c r="C1163" s="9"/>
      <c r="D1163" s="248">
        <f>Table3.110[[#This Row],[Date]]</f>
        <v>46085</v>
      </c>
      <c r="E1163" s="230" t="str">
        <f>Table3.110[[#This Row],[Requisitioner]]</f>
        <v>Genbank</v>
      </c>
      <c r="F1163" s="230" t="str">
        <f>Table3.110[[#This Row],[Gene Bank ID]]</f>
        <v>CIAT778</v>
      </c>
      <c r="G1163" s="230" t="str">
        <f>Table3.110[[#This Row],[Genus]]</f>
        <v>Macroptilium</v>
      </c>
      <c r="H1163" s="230" t="str">
        <f>Table3.110[[#This Row],[Species]]</f>
        <v>atropurpureum</v>
      </c>
      <c r="I1163" s="230" t="str">
        <f>Table3.110[[#This Row],[Tax Name]]</f>
        <v>Macroptilium atropurpureum</v>
      </c>
      <c r="J1163" s="230" t="str">
        <f>Table3.110[[#This Row],[Family]]</f>
        <v>Fabaceae</v>
      </c>
      <c r="K1163" s="230" t="str">
        <f>Table3.110[[#This Row],[Order]]</f>
        <v>Fabales</v>
      </c>
      <c r="L1163" s="230" t="str">
        <f>Table3.110[[#This Row],[Functional Group]]</f>
        <v>Herbaceous</v>
      </c>
      <c r="M1163" s="230" t="str">
        <f>Table3.110[[#This Row],[CIAT ID]]</f>
        <v>F260014</v>
      </c>
      <c r="N1163" s="230">
        <f>Table3.110[[#This Row],[Set CIAT]]</f>
        <v>30</v>
      </c>
      <c r="O1163" s="230">
        <f>Table3.110[[#This Row],[Batch]]</f>
        <v>71</v>
      </c>
      <c r="P1163" s="230">
        <f>Table3.110[[#This Row],[Run]]</f>
        <v>3</v>
      </c>
      <c r="Q1163" s="230">
        <f>Table3.110[[#This Row],[Replication]]</f>
        <v>1</v>
      </c>
      <c r="R1163" s="230">
        <f>Table3.110[[#This Row],[Syrange No]]</f>
        <v>77</v>
      </c>
      <c r="S1163" s="250">
        <v>0.56120000000000003</v>
      </c>
      <c r="T1163" s="250">
        <v>0.87709999999999999</v>
      </c>
      <c r="U1163" s="8" t="s">
        <v>602</v>
      </c>
      <c r="V1163" s="283">
        <f t="shared" si="106"/>
        <v>0.31589999999999996</v>
      </c>
      <c r="W1163" s="61">
        <f>Table3.110[[#This Row],[DM Incubated, mg]]-('3.2 Digest'!V1163*1000)</f>
        <v>147.47775353051236</v>
      </c>
      <c r="X1163" s="61">
        <f>W1163/Table3.110[[#This Row],[DM Incubated, mg]]*100</f>
        <v>31.826679724451058</v>
      </c>
      <c r="Y1163" s="31">
        <f>Table3.110[[#This Row],[DM Incubated, mg]]*'2.4 NDF'!R243/100</f>
        <v>244.77166498928028</v>
      </c>
      <c r="Z1163" s="61">
        <f t="shared" si="104"/>
        <v>-71.128335010719695</v>
      </c>
      <c r="AA1163" s="61">
        <f t="shared" si="105"/>
        <v>-29.059055922112044</v>
      </c>
      <c r="AB1163" s="6"/>
    </row>
    <row r="1164" spans="2:28" x14ac:dyDescent="0.35">
      <c r="B1164" s="230">
        <f t="shared" si="103"/>
        <v>1154</v>
      </c>
      <c r="C1164" s="9"/>
      <c r="D1164" s="248">
        <f>Table3.110[[#This Row],[Date]]</f>
        <v>46085</v>
      </c>
      <c r="E1164" s="230" t="str">
        <f>Table3.110[[#This Row],[Requisitioner]]</f>
        <v>Genbank</v>
      </c>
      <c r="F1164" s="230" t="str">
        <f>Table3.110[[#This Row],[Gene Bank ID]]</f>
        <v>CIAT778</v>
      </c>
      <c r="G1164" s="230" t="str">
        <f>Table3.110[[#This Row],[Genus]]</f>
        <v>Macroptilium</v>
      </c>
      <c r="H1164" s="230" t="str">
        <f>Table3.110[[#This Row],[Species]]</f>
        <v>atropurpureum</v>
      </c>
      <c r="I1164" s="230" t="str">
        <f>Table3.110[[#This Row],[Tax Name]]</f>
        <v>Macroptilium atropurpureum</v>
      </c>
      <c r="J1164" s="230" t="str">
        <f>Table3.110[[#This Row],[Family]]</f>
        <v>Fabaceae</v>
      </c>
      <c r="K1164" s="230" t="str">
        <f>Table3.110[[#This Row],[Order]]</f>
        <v>Fabales</v>
      </c>
      <c r="L1164" s="230" t="str">
        <f>Table3.110[[#This Row],[Functional Group]]</f>
        <v>Herbaceous</v>
      </c>
      <c r="M1164" s="230" t="str">
        <f>Table3.110[[#This Row],[CIAT ID]]</f>
        <v>F260014</v>
      </c>
      <c r="N1164" s="230">
        <f>Table3.110[[#This Row],[Set CIAT]]</f>
        <v>30</v>
      </c>
      <c r="O1164" s="230">
        <f>Table3.110[[#This Row],[Batch]]</f>
        <v>71</v>
      </c>
      <c r="P1164" s="230">
        <f>Table3.110[[#This Row],[Run]]</f>
        <v>3</v>
      </c>
      <c r="Q1164" s="230">
        <f>Table3.110[[#This Row],[Replication]]</f>
        <v>2</v>
      </c>
      <c r="R1164" s="230">
        <f>Table3.110[[#This Row],[Syrange No]]</f>
        <v>78</v>
      </c>
      <c r="S1164" s="98">
        <v>0.54769999999999996</v>
      </c>
      <c r="T1164" s="98">
        <v>0.89390000000000003</v>
      </c>
      <c r="U1164" s="25"/>
      <c r="V1164" s="283">
        <f t="shared" si="106"/>
        <v>0.34620000000000006</v>
      </c>
      <c r="W1164" s="61">
        <f>Table3.110[[#This Row],[DM Incubated, mg]]-('3.2 Digest'!V1164*1000)</f>
        <v>117.0851705627739</v>
      </c>
      <c r="X1164" s="61">
        <f>W1164/Table3.110[[#This Row],[DM Incubated, mg]]*100</f>
        <v>25.272807765580996</v>
      </c>
      <c r="Y1164" s="31">
        <f>Table3.110[[#This Row],[DM Incubated, mg]]*'2.4 NDF'!R243/100</f>
        <v>244.72275956170998</v>
      </c>
      <c r="Z1164" s="61">
        <f t="shared" si="104"/>
        <v>-101.47724043829007</v>
      </c>
      <c r="AA1164" s="61">
        <f t="shared" si="105"/>
        <v>-41.466204704471423</v>
      </c>
      <c r="AB1164" s="6"/>
    </row>
    <row r="1165" spans="2:28" x14ac:dyDescent="0.35">
      <c r="B1165" s="230">
        <f t="shared" si="103"/>
        <v>1155</v>
      </c>
      <c r="C1165" s="9"/>
      <c r="D1165" s="248">
        <f>Table3.110[[#This Row],[Date]]</f>
        <v>46085</v>
      </c>
      <c r="E1165" s="230" t="str">
        <f>Table3.110[[#This Row],[Requisitioner]]</f>
        <v>Genbank</v>
      </c>
      <c r="F1165" s="230" t="str">
        <f>Table3.110[[#This Row],[Gene Bank ID]]</f>
        <v>CIAT827</v>
      </c>
      <c r="G1165" s="230" t="str">
        <f>Table3.110[[#This Row],[Genus]]</f>
        <v>Indigofera</v>
      </c>
      <c r="H1165" s="230" t="str">
        <f>Table3.110[[#This Row],[Species]]</f>
        <v>jamaicensis</v>
      </c>
      <c r="I1165" s="230" t="str">
        <f>Table3.110[[#This Row],[Tax Name]]</f>
        <v>Indigofera jamaicensis</v>
      </c>
      <c r="J1165" s="230" t="str">
        <f>Table3.110[[#This Row],[Family]]</f>
        <v>Fabaceae</v>
      </c>
      <c r="K1165" s="230" t="str">
        <f>Table3.110[[#This Row],[Order]]</f>
        <v>Fabales</v>
      </c>
      <c r="L1165" s="230" t="str">
        <f>Table3.110[[#This Row],[Functional Group]]</f>
        <v>Herbaceous</v>
      </c>
      <c r="M1165" s="230" t="str">
        <f>Table3.110[[#This Row],[CIAT ID]]</f>
        <v>F260015</v>
      </c>
      <c r="N1165" s="230">
        <f>Table3.110[[#This Row],[Set CIAT]]</f>
        <v>30</v>
      </c>
      <c r="O1165" s="230">
        <f>Table3.110[[#This Row],[Batch]]</f>
        <v>71</v>
      </c>
      <c r="P1165" s="230">
        <f>Table3.110[[#This Row],[Run]]</f>
        <v>3</v>
      </c>
      <c r="Q1165" s="230">
        <f>Table3.110[[#This Row],[Replication]]</f>
        <v>1</v>
      </c>
      <c r="R1165" s="230">
        <f>Table3.110[[#This Row],[Syrange No]]</f>
        <v>79</v>
      </c>
      <c r="S1165" s="250">
        <v>0.57289999999999996</v>
      </c>
      <c r="T1165" s="250">
        <v>0.86399999999999999</v>
      </c>
      <c r="U1165" s="25"/>
      <c r="V1165" s="283">
        <f t="shared" si="106"/>
        <v>0.29110000000000003</v>
      </c>
      <c r="W1165" s="61">
        <f>Table3.110[[#This Row],[DM Incubated, mg]]-('3.2 Digest'!V1165*1000)</f>
        <v>182.91452999999984</v>
      </c>
      <c r="X1165" s="61">
        <f>W1165/Table3.110[[#This Row],[DM Incubated, mg]]*100</f>
        <v>38.58838040260072</v>
      </c>
      <c r="Y1165" s="31">
        <f>Table3.110[[#This Row],[DM Incubated, mg]]*'2.4 NDF'!R245/100</f>
        <v>225.62767805727893</v>
      </c>
      <c r="Z1165" s="61">
        <f t="shared" si="104"/>
        <v>-65.472321942721095</v>
      </c>
      <c r="AA1165" s="61">
        <f t="shared" si="105"/>
        <v>-29.017859203470586</v>
      </c>
      <c r="AB1165" s="6"/>
    </row>
    <row r="1166" spans="2:28" x14ac:dyDescent="0.35">
      <c r="B1166" s="230">
        <f t="shared" si="103"/>
        <v>1156</v>
      </c>
      <c r="C1166" s="9"/>
      <c r="D1166" s="248">
        <f>Table3.110[[#This Row],[Date]]</f>
        <v>46085</v>
      </c>
      <c r="E1166" s="230" t="str">
        <f>Table3.110[[#This Row],[Requisitioner]]</f>
        <v>Genbank</v>
      </c>
      <c r="F1166" s="230" t="str">
        <f>Table3.110[[#This Row],[Gene Bank ID]]</f>
        <v>CIAT827</v>
      </c>
      <c r="G1166" s="230" t="str">
        <f>Table3.110[[#This Row],[Genus]]</f>
        <v>Indigofera</v>
      </c>
      <c r="H1166" s="230" t="str">
        <f>Table3.110[[#This Row],[Species]]</f>
        <v>jamaicensis</v>
      </c>
      <c r="I1166" s="230" t="str">
        <f>Table3.110[[#This Row],[Tax Name]]</f>
        <v>Indigofera jamaicensis</v>
      </c>
      <c r="J1166" s="230" t="str">
        <f>Table3.110[[#This Row],[Family]]</f>
        <v>Fabaceae</v>
      </c>
      <c r="K1166" s="230" t="str">
        <f>Table3.110[[#This Row],[Order]]</f>
        <v>Fabales</v>
      </c>
      <c r="L1166" s="230" t="str">
        <f>Table3.110[[#This Row],[Functional Group]]</f>
        <v>Herbaceous</v>
      </c>
      <c r="M1166" s="230" t="str">
        <f>Table3.110[[#This Row],[CIAT ID]]</f>
        <v>F260015</v>
      </c>
      <c r="N1166" s="230">
        <f>Table3.110[[#This Row],[Set CIAT]]</f>
        <v>30</v>
      </c>
      <c r="O1166" s="230">
        <f>Table3.110[[#This Row],[Batch]]</f>
        <v>71</v>
      </c>
      <c r="P1166" s="230">
        <f>Table3.110[[#This Row],[Run]]</f>
        <v>3</v>
      </c>
      <c r="Q1166" s="230">
        <f>Table3.110[[#This Row],[Replication]]</f>
        <v>2</v>
      </c>
      <c r="R1166" s="230">
        <f>Table3.110[[#This Row],[Syrange No]]</f>
        <v>80</v>
      </c>
      <c r="S1166" s="98">
        <v>0.57950000000000002</v>
      </c>
      <c r="T1166" s="98">
        <v>0.8</v>
      </c>
      <c r="U1166" s="8"/>
      <c r="V1166" s="283">
        <f t="shared" si="106"/>
        <v>0.22050000000000003</v>
      </c>
      <c r="W1166" s="61">
        <f>Table3.110[[#This Row],[DM Incubated, mg]]-('3.2 Digest'!V1166*1000)</f>
        <v>253.60929499999983</v>
      </c>
      <c r="X1166" s="61">
        <f>W1166/Table3.110[[#This Row],[DM Incubated, mg]]*100</f>
        <v>53.491736541465599</v>
      </c>
      <c r="Y1166" s="31">
        <f>Table3.110[[#This Row],[DM Incubated, mg]]*'2.4 NDF'!R245/100</f>
        <v>225.67278554989335</v>
      </c>
      <c r="Z1166" s="61">
        <f t="shared" si="104"/>
        <v>5.1727855498933195</v>
      </c>
      <c r="AA1166" s="61">
        <f t="shared" si="105"/>
        <v>2.2921618737894662</v>
      </c>
      <c r="AB1166" s="6"/>
    </row>
    <row r="1167" spans="2:28" x14ac:dyDescent="0.35">
      <c r="B1167" s="230">
        <f t="shared" si="103"/>
        <v>1157</v>
      </c>
      <c r="C1167" s="9"/>
      <c r="D1167" s="248">
        <f>Table3.110[[#This Row],[Date]]</f>
        <v>46085</v>
      </c>
      <c r="E1167" s="230" t="str">
        <f>Table3.110[[#This Row],[Requisitioner]]</f>
        <v>Genbank</v>
      </c>
      <c r="F1167" s="230" t="str">
        <f>Table3.110[[#This Row],[Gene Bank ID]]</f>
        <v>CIAT997</v>
      </c>
      <c r="G1167" s="230" t="str">
        <f>Table3.110[[#This Row],[Genus]]</f>
        <v>Macroptilium</v>
      </c>
      <c r="H1167" s="230" t="str">
        <f>Table3.110[[#This Row],[Species]]</f>
        <v>atropurpureum</v>
      </c>
      <c r="I1167" s="230" t="str">
        <f>Table3.110[[#This Row],[Tax Name]]</f>
        <v>Macroptilium atropurpureum</v>
      </c>
      <c r="J1167" s="230" t="str">
        <f>Table3.110[[#This Row],[Family]]</f>
        <v>Fabaceae</v>
      </c>
      <c r="K1167" s="230" t="str">
        <f>Table3.110[[#This Row],[Order]]</f>
        <v>Fabales</v>
      </c>
      <c r="L1167" s="230" t="str">
        <f>Table3.110[[#This Row],[Functional Group]]</f>
        <v>Herbaceous</v>
      </c>
      <c r="M1167" s="230" t="str">
        <f>Table3.110[[#This Row],[CIAT ID]]</f>
        <v>F260016</v>
      </c>
      <c r="N1167" s="230">
        <f>Table3.110[[#This Row],[Set CIAT]]</f>
        <v>30</v>
      </c>
      <c r="O1167" s="230">
        <f>Table3.110[[#This Row],[Batch]]</f>
        <v>71</v>
      </c>
      <c r="P1167" s="230">
        <f>Table3.110[[#This Row],[Run]]</f>
        <v>3</v>
      </c>
      <c r="Q1167" s="230">
        <f>Table3.110[[#This Row],[Replication]]</f>
        <v>1</v>
      </c>
      <c r="R1167" s="230">
        <f>Table3.110[[#This Row],[Syrange No]]</f>
        <v>81</v>
      </c>
      <c r="S1167" s="250">
        <v>0.58069999999999999</v>
      </c>
      <c r="T1167" s="250">
        <v>0.83909999999999996</v>
      </c>
      <c r="U1167" s="8" t="s">
        <v>603</v>
      </c>
      <c r="V1167" s="283">
        <f t="shared" si="106"/>
        <v>0.25839999999999996</v>
      </c>
      <c r="W1167" s="61">
        <f>Table3.110[[#This Row],[DM Incubated, mg]]-('3.2 Digest'!V1167*1000)</f>
        <v>209.40642839444916</v>
      </c>
      <c r="X1167" s="61">
        <f>W1167/Table3.110[[#This Row],[DM Incubated, mg]]*100</f>
        <v>44.763478157653708</v>
      </c>
      <c r="Y1167" s="31">
        <f>Table3.110[[#This Row],[DM Incubated, mg]]*'2.4 NDF'!R247/100</f>
        <v>237.75983199011779</v>
      </c>
      <c r="Z1167" s="61">
        <f t="shared" si="104"/>
        <v>-20.640168009882188</v>
      </c>
      <c r="AA1167" s="61">
        <f t="shared" si="105"/>
        <v>-8.6810996782417291</v>
      </c>
      <c r="AB1167" s="6"/>
    </row>
    <row r="1168" spans="2:28" x14ac:dyDescent="0.35">
      <c r="B1168" s="230">
        <f t="shared" si="103"/>
        <v>1158</v>
      </c>
      <c r="C1168" s="9"/>
      <c r="D1168" s="248">
        <f>Table3.110[[#This Row],[Date]]</f>
        <v>46085</v>
      </c>
      <c r="E1168" s="230" t="str">
        <f>Table3.110[[#This Row],[Requisitioner]]</f>
        <v>Genbank</v>
      </c>
      <c r="F1168" s="230" t="str">
        <f>Table3.110[[#This Row],[Gene Bank ID]]</f>
        <v>CIAT997</v>
      </c>
      <c r="G1168" s="230" t="str">
        <f>Table3.110[[#This Row],[Genus]]</f>
        <v>Macroptilium</v>
      </c>
      <c r="H1168" s="230" t="str">
        <f>Table3.110[[#This Row],[Species]]</f>
        <v>atropurpureum</v>
      </c>
      <c r="I1168" s="230" t="str">
        <f>Table3.110[[#This Row],[Tax Name]]</f>
        <v>Macroptilium atropurpureum</v>
      </c>
      <c r="J1168" s="230" t="str">
        <f>Table3.110[[#This Row],[Family]]</f>
        <v>Fabaceae</v>
      </c>
      <c r="K1168" s="230" t="str">
        <f>Table3.110[[#This Row],[Order]]</f>
        <v>Fabales</v>
      </c>
      <c r="L1168" s="230" t="str">
        <f>Table3.110[[#This Row],[Functional Group]]</f>
        <v>Herbaceous</v>
      </c>
      <c r="M1168" s="230" t="str">
        <f>Table3.110[[#This Row],[CIAT ID]]</f>
        <v>F260016</v>
      </c>
      <c r="N1168" s="230">
        <f>Table3.110[[#This Row],[Set CIAT]]</f>
        <v>30</v>
      </c>
      <c r="O1168" s="230">
        <f>Table3.110[[#This Row],[Batch]]</f>
        <v>71</v>
      </c>
      <c r="P1168" s="230">
        <f>Table3.110[[#This Row],[Run]]</f>
        <v>3</v>
      </c>
      <c r="Q1168" s="230">
        <f>Table3.110[[#This Row],[Replication]]</f>
        <v>2</v>
      </c>
      <c r="R1168" s="230">
        <f>Table3.110[[#This Row],[Syrange No]]</f>
        <v>82</v>
      </c>
      <c r="S1168" s="98">
        <v>0.5625</v>
      </c>
      <c r="T1168" s="98">
        <v>0.89290000000000003</v>
      </c>
      <c r="U1168" s="25"/>
      <c r="V1168" s="283">
        <f t="shared" si="106"/>
        <v>0.33040000000000003</v>
      </c>
      <c r="W1168" s="61">
        <f>Table3.110[[#This Row],[DM Incubated, mg]]-('3.2 Digest'!V1168*1000)</f>
        <v>137.96779610852252</v>
      </c>
      <c r="X1168" s="61">
        <f>W1168/Table3.110[[#This Row],[DM Incubated, mg]]*100</f>
        <v>29.457148261439155</v>
      </c>
      <c r="Y1168" s="31">
        <f>Table3.110[[#This Row],[DM Incubated, mg]]*'2.4 NDF'!R247/100</f>
        <v>238.04514378850595</v>
      </c>
      <c r="Z1168" s="61">
        <f t="shared" si="104"/>
        <v>-92.354856211494081</v>
      </c>
      <c r="AA1168" s="61">
        <f t="shared" si="105"/>
        <v>-38.797202388446053</v>
      </c>
      <c r="AB1168" s="6"/>
    </row>
    <row r="1169" spans="2:28" x14ac:dyDescent="0.35">
      <c r="B1169" s="230">
        <f t="shared" si="103"/>
        <v>1159</v>
      </c>
      <c r="C1169" s="9"/>
      <c r="D1169" s="248">
        <f>Table3.110[[#This Row],[Date]]</f>
        <v>46085</v>
      </c>
      <c r="E1169" s="230" t="str">
        <f>Table3.110[[#This Row],[Requisitioner]]</f>
        <v>Genbank</v>
      </c>
      <c r="F1169" s="230" t="str">
        <f>Table3.110[[#This Row],[Gene Bank ID]]</f>
        <v>CIAT1405</v>
      </c>
      <c r="G1169" s="230" t="str">
        <f>Table3.110[[#This Row],[Genus]]</f>
        <v>Stylosanthes</v>
      </c>
      <c r="H1169" s="230" t="str">
        <f>Table3.110[[#This Row],[Species]]</f>
        <v>capitata</v>
      </c>
      <c r="I1169" s="230" t="str">
        <f>Table3.110[[#This Row],[Tax Name]]</f>
        <v>Stylosanthes capitata</v>
      </c>
      <c r="J1169" s="230" t="str">
        <f>Table3.110[[#This Row],[Family]]</f>
        <v>Fabaceae</v>
      </c>
      <c r="K1169" s="230" t="str">
        <f>Table3.110[[#This Row],[Order]]</f>
        <v>Fabales</v>
      </c>
      <c r="L1169" s="230" t="str">
        <f>Table3.110[[#This Row],[Functional Group]]</f>
        <v>Herbaceous</v>
      </c>
      <c r="M1169" s="230" t="str">
        <f>Table3.110[[#This Row],[CIAT ID]]</f>
        <v>F260017</v>
      </c>
      <c r="N1169" s="230">
        <f>Table3.110[[#This Row],[Set CIAT]]</f>
        <v>30</v>
      </c>
      <c r="O1169" s="230">
        <f>Table3.110[[#This Row],[Batch]]</f>
        <v>71</v>
      </c>
      <c r="P1169" s="230">
        <f>Table3.110[[#This Row],[Run]]</f>
        <v>3</v>
      </c>
      <c r="Q1169" s="230">
        <f>Table3.110[[#This Row],[Replication]]</f>
        <v>1</v>
      </c>
      <c r="R1169" s="230">
        <f>Table3.110[[#This Row],[Syrange No]]</f>
        <v>83</v>
      </c>
      <c r="S1169" s="250">
        <v>0.57050000000000001</v>
      </c>
      <c r="T1169" s="250">
        <v>0.92179999999999995</v>
      </c>
      <c r="U1169" s="25"/>
      <c r="V1169" s="283">
        <f t="shared" si="106"/>
        <v>0.35129999999999995</v>
      </c>
      <c r="W1169" s="61">
        <f>Table3.110[[#This Row],[DM Incubated, mg]]-('3.2 Digest'!V1169*1000)</f>
        <v>122.21285362117982</v>
      </c>
      <c r="X1169" s="61">
        <f>W1169/Table3.110[[#This Row],[DM Incubated, mg]]*100</f>
        <v>25.809828114814525</v>
      </c>
      <c r="Y1169" s="31">
        <f>Table3.110[[#This Row],[DM Incubated, mg]]*'2.4 NDF'!R249/100</f>
        <v>288.15508910185565</v>
      </c>
      <c r="Z1169" s="61">
        <f t="shared" si="104"/>
        <v>-63.144910898144303</v>
      </c>
      <c r="AA1169" s="61">
        <f t="shared" si="105"/>
        <v>-21.913515771996014</v>
      </c>
      <c r="AB1169" s="6"/>
    </row>
    <row r="1170" spans="2:28" x14ac:dyDescent="0.35">
      <c r="B1170" s="230">
        <f t="shared" si="103"/>
        <v>1160</v>
      </c>
      <c r="C1170" s="9"/>
      <c r="D1170" s="248">
        <f>Table3.110[[#This Row],[Date]]</f>
        <v>46085</v>
      </c>
      <c r="E1170" s="230" t="str">
        <f>Table3.110[[#This Row],[Requisitioner]]</f>
        <v>Genbank</v>
      </c>
      <c r="F1170" s="230" t="str">
        <f>Table3.110[[#This Row],[Gene Bank ID]]</f>
        <v>CIAT1405</v>
      </c>
      <c r="G1170" s="230" t="str">
        <f>Table3.110[[#This Row],[Genus]]</f>
        <v>Stylosanthes</v>
      </c>
      <c r="H1170" s="230" t="str">
        <f>Table3.110[[#This Row],[Species]]</f>
        <v>capitata</v>
      </c>
      <c r="I1170" s="230" t="str">
        <f>Table3.110[[#This Row],[Tax Name]]</f>
        <v>Stylosanthes capitata</v>
      </c>
      <c r="J1170" s="230" t="str">
        <f>Table3.110[[#This Row],[Family]]</f>
        <v>Fabaceae</v>
      </c>
      <c r="K1170" s="230" t="str">
        <f>Table3.110[[#This Row],[Order]]</f>
        <v>Fabales</v>
      </c>
      <c r="L1170" s="230" t="str">
        <f>Table3.110[[#This Row],[Functional Group]]</f>
        <v>Herbaceous</v>
      </c>
      <c r="M1170" s="230" t="str">
        <f>Table3.110[[#This Row],[CIAT ID]]</f>
        <v>F260017</v>
      </c>
      <c r="N1170" s="230">
        <f>Table3.110[[#This Row],[Set CIAT]]</f>
        <v>30</v>
      </c>
      <c r="O1170" s="230">
        <f>Table3.110[[#This Row],[Batch]]</f>
        <v>71</v>
      </c>
      <c r="P1170" s="230">
        <f>Table3.110[[#This Row],[Run]]</f>
        <v>3</v>
      </c>
      <c r="Q1170" s="230">
        <f>Table3.110[[#This Row],[Replication]]</f>
        <v>2</v>
      </c>
      <c r="R1170" s="230">
        <f>Table3.110[[#This Row],[Syrange No]]</f>
        <v>84</v>
      </c>
      <c r="S1170" s="98">
        <v>0.57689999999999997</v>
      </c>
      <c r="T1170" s="98">
        <v>0.95030000000000003</v>
      </c>
      <c r="U1170" s="8"/>
      <c r="V1170" s="283">
        <f t="shared" si="106"/>
        <v>0.37340000000000007</v>
      </c>
      <c r="W1170" s="61">
        <f>Table3.110[[#This Row],[DM Incubated, mg]]-('3.2 Digest'!V1170*1000)</f>
        <v>99.828973013493226</v>
      </c>
      <c r="X1170" s="61">
        <f>W1170/Table3.110[[#This Row],[DM Incubated, mg]]*100</f>
        <v>21.095279179080773</v>
      </c>
      <c r="Y1170" s="31">
        <f>Table3.110[[#This Row],[DM Incubated, mg]]*'2.4 NDF'!R249/100</f>
        <v>287.98233425227426</v>
      </c>
      <c r="Z1170" s="61">
        <f t="shared" si="104"/>
        <v>-85.417665747725835</v>
      </c>
      <c r="AA1170" s="61">
        <f t="shared" si="105"/>
        <v>-29.660731089463095</v>
      </c>
      <c r="AB1170" s="6"/>
    </row>
    <row r="1171" spans="2:28" x14ac:dyDescent="0.35">
      <c r="B1171" s="230">
        <f t="shared" si="103"/>
        <v>1161</v>
      </c>
      <c r="C1171" s="9"/>
      <c r="D1171" s="248">
        <f>Table3.110[[#This Row],[Date]]</f>
        <v>46085</v>
      </c>
      <c r="E1171" s="230" t="str">
        <f>Table3.110[[#This Row],[Requisitioner]]</f>
        <v>Genbank</v>
      </c>
      <c r="F1171" s="230" t="str">
        <f>Table3.110[[#This Row],[Gene Bank ID]]</f>
        <v>CIAT1812</v>
      </c>
      <c r="G1171" s="230" t="str">
        <f>Table3.110[[#This Row],[Genus]]</f>
        <v>Stylosanthes</v>
      </c>
      <c r="H1171" s="230" t="str">
        <f>Table3.110[[#This Row],[Species]]</f>
        <v>viscosa</v>
      </c>
      <c r="I1171" s="230" t="str">
        <f>Table3.110[[#This Row],[Tax Name]]</f>
        <v>Stylosanthes viscosa</v>
      </c>
      <c r="J1171" s="230" t="str">
        <f>Table3.110[[#This Row],[Family]]</f>
        <v>Fabaceae</v>
      </c>
      <c r="K1171" s="230" t="str">
        <f>Table3.110[[#This Row],[Order]]</f>
        <v>Fabales</v>
      </c>
      <c r="L1171" s="230" t="str">
        <f>Table3.110[[#This Row],[Functional Group]]</f>
        <v>Herbaceous</v>
      </c>
      <c r="M1171" s="230" t="str">
        <f>Table3.110[[#This Row],[CIAT ID]]</f>
        <v>F260018</v>
      </c>
      <c r="N1171" s="230">
        <f>Table3.110[[#This Row],[Set CIAT]]</f>
        <v>30</v>
      </c>
      <c r="O1171" s="230">
        <f>Table3.110[[#This Row],[Batch]]</f>
        <v>71</v>
      </c>
      <c r="P1171" s="230">
        <f>Table3.110[[#This Row],[Run]]</f>
        <v>3</v>
      </c>
      <c r="Q1171" s="230">
        <f>Table3.110[[#This Row],[Replication]]</f>
        <v>1</v>
      </c>
      <c r="R1171" s="230">
        <f>Table3.110[[#This Row],[Syrange No]]</f>
        <v>85</v>
      </c>
      <c r="S1171" s="250">
        <v>0.55610000000000004</v>
      </c>
      <c r="T1171" s="250">
        <v>0.95930000000000004</v>
      </c>
      <c r="U1171" s="8"/>
      <c r="V1171" s="283">
        <f t="shared" ref="V1171:V1198" si="107">T1171-S1171</f>
        <v>0.4032</v>
      </c>
      <c r="W1171" s="61">
        <f>Table3.110[[#This Row],[DM Incubated, mg]]-('3.2 Digest'!V1171*1000)</f>
        <v>74.37158397910207</v>
      </c>
      <c r="X1171" s="61">
        <f>W1171/Table3.110[[#This Row],[DM Incubated, mg]]*100</f>
        <v>15.572866241211806</v>
      </c>
      <c r="Y1171" s="31">
        <f>Table3.110[[#This Row],[DM Incubated, mg]]*'2.4 NDF'!R251/100</f>
        <v>268.76534204861741</v>
      </c>
      <c r="Z1171" s="61">
        <f t="shared" si="104"/>
        <v>-134.43465795138258</v>
      </c>
      <c r="AA1171" s="61">
        <f t="shared" si="105"/>
        <v>-50.019342868644301</v>
      </c>
      <c r="AB1171" s="6"/>
    </row>
    <row r="1172" spans="2:28" x14ac:dyDescent="0.35">
      <c r="B1172" s="230">
        <f t="shared" si="103"/>
        <v>1162</v>
      </c>
      <c r="C1172" s="9"/>
      <c r="D1172" s="248">
        <f>Table3.110[[#This Row],[Date]]</f>
        <v>46085</v>
      </c>
      <c r="E1172" s="230" t="str">
        <f>Table3.110[[#This Row],[Requisitioner]]</f>
        <v>Genbank</v>
      </c>
      <c r="F1172" s="230" t="str">
        <f>Table3.110[[#This Row],[Gene Bank ID]]</f>
        <v>CIAT1812</v>
      </c>
      <c r="G1172" s="230" t="str">
        <f>Table3.110[[#This Row],[Genus]]</f>
        <v>Stylosanthes</v>
      </c>
      <c r="H1172" s="230" t="str">
        <f>Table3.110[[#This Row],[Species]]</f>
        <v>viscosa</v>
      </c>
      <c r="I1172" s="230" t="str">
        <f>Table3.110[[#This Row],[Tax Name]]</f>
        <v>Stylosanthes viscosa</v>
      </c>
      <c r="J1172" s="230" t="str">
        <f>Table3.110[[#This Row],[Family]]</f>
        <v>Fabaceae</v>
      </c>
      <c r="K1172" s="230" t="str">
        <f>Table3.110[[#This Row],[Order]]</f>
        <v>Fabales</v>
      </c>
      <c r="L1172" s="230" t="str">
        <f>Table3.110[[#This Row],[Functional Group]]</f>
        <v>Herbaceous</v>
      </c>
      <c r="M1172" s="230" t="str">
        <f>Table3.110[[#This Row],[CIAT ID]]</f>
        <v>F260018</v>
      </c>
      <c r="N1172" s="230">
        <f>Table3.110[[#This Row],[Set CIAT]]</f>
        <v>30</v>
      </c>
      <c r="O1172" s="230">
        <f>Table3.110[[#This Row],[Batch]]</f>
        <v>71</v>
      </c>
      <c r="P1172" s="230">
        <f>Table3.110[[#This Row],[Run]]</f>
        <v>3</v>
      </c>
      <c r="Q1172" s="230">
        <f>Table3.110[[#This Row],[Replication]]</f>
        <v>2</v>
      </c>
      <c r="R1172" s="230">
        <f>Table3.110[[#This Row],[Syrange No]]</f>
        <v>86</v>
      </c>
      <c r="S1172" s="98">
        <v>0.56950000000000001</v>
      </c>
      <c r="T1172" s="98">
        <v>0.98860000000000003</v>
      </c>
      <c r="U1172" s="25"/>
      <c r="V1172" s="283">
        <f t="shared" si="107"/>
        <v>0.41910000000000003</v>
      </c>
      <c r="W1172" s="61">
        <f>Table3.110[[#This Row],[DM Incubated, mg]]-('3.2 Digest'!V1172*1000)</f>
        <v>58.280669893961544</v>
      </c>
      <c r="X1172" s="61">
        <f>W1172/Table3.110[[#This Row],[DM Incubated, mg]]*100</f>
        <v>12.208426852915341</v>
      </c>
      <c r="Y1172" s="31">
        <f>Table3.110[[#This Row],[DM Incubated, mg]]*'2.4 NDF'!R251/100</f>
        <v>268.65790037680114</v>
      </c>
      <c r="Z1172" s="61">
        <f t="shared" si="104"/>
        <v>-150.44209962319889</v>
      </c>
      <c r="AA1172" s="61">
        <f t="shared" si="105"/>
        <v>-55.997645858245413</v>
      </c>
      <c r="AB1172" s="6"/>
    </row>
    <row r="1173" spans="2:28" x14ac:dyDescent="0.35">
      <c r="B1173" s="230">
        <f t="shared" ref="B1173:B1230" si="108">B1172+1</f>
        <v>1163</v>
      </c>
      <c r="C1173" s="9"/>
      <c r="D1173" s="248">
        <f>Table3.110[[#This Row],[Date]]</f>
        <v>46085</v>
      </c>
      <c r="E1173" s="230" t="str">
        <f>Table3.110[[#This Row],[Requisitioner]]</f>
        <v>Genbank</v>
      </c>
      <c r="F1173" s="230" t="str">
        <f>Table3.110[[#This Row],[Gene Bank ID]]</f>
        <v>CIAT3694</v>
      </c>
      <c r="G1173" s="230" t="str">
        <f>Table3.110[[#This Row],[Genus]]</f>
        <v>Desmodium</v>
      </c>
      <c r="H1173" s="230" t="str">
        <f>Table3.110[[#This Row],[Species]]</f>
        <v>sandwicense</v>
      </c>
      <c r="I1173" s="230" t="str">
        <f>Table3.110[[#This Row],[Tax Name]]</f>
        <v>Desmodium sandwicense</v>
      </c>
      <c r="J1173" s="230" t="str">
        <f>Table3.110[[#This Row],[Family]]</f>
        <v>Fabaceae</v>
      </c>
      <c r="K1173" s="230" t="str">
        <f>Table3.110[[#This Row],[Order]]</f>
        <v>Fabales</v>
      </c>
      <c r="L1173" s="230" t="str">
        <f>Table3.110[[#This Row],[Functional Group]]</f>
        <v>Herbaceous</v>
      </c>
      <c r="M1173" s="230" t="str">
        <f>Table3.110[[#This Row],[CIAT ID]]</f>
        <v>F260019</v>
      </c>
      <c r="N1173" s="230">
        <f>Table3.110[[#This Row],[Set CIAT]]</f>
        <v>30</v>
      </c>
      <c r="O1173" s="230">
        <f>Table3.110[[#This Row],[Batch]]</f>
        <v>71</v>
      </c>
      <c r="P1173" s="230">
        <f>Table3.110[[#This Row],[Run]]</f>
        <v>3</v>
      </c>
      <c r="Q1173" s="230">
        <f>Table3.110[[#This Row],[Replication]]</f>
        <v>1</v>
      </c>
      <c r="R1173" s="230">
        <f>Table3.110[[#This Row],[Syrange No]]</f>
        <v>87</v>
      </c>
      <c r="S1173" s="250">
        <v>0.59160000000000001</v>
      </c>
      <c r="T1173" s="250">
        <v>0.9708</v>
      </c>
      <c r="U1173" s="25"/>
      <c r="V1173" s="283">
        <f t="shared" si="107"/>
        <v>0.37919999999999998</v>
      </c>
      <c r="W1173" s="61">
        <f>Table3.110[[#This Row],[DM Incubated, mg]]-('3.2 Digest'!V1173*1000)</f>
        <v>93.150000000000205</v>
      </c>
      <c r="X1173" s="61">
        <f>W1173/Table3.110[[#This Row],[DM Incubated, mg]]*100</f>
        <v>19.720546205144526</v>
      </c>
      <c r="Y1173" s="31">
        <f>Table3.110[[#This Row],[DM Incubated, mg]]*'2.4 NDF'!R253/100</f>
        <v>288.18083715922057</v>
      </c>
      <c r="Z1173" s="61">
        <f t="shared" si="104"/>
        <v>-91.019162840779416</v>
      </c>
      <c r="AA1173" s="61">
        <f t="shared" si="105"/>
        <v>-31.584044150198341</v>
      </c>
      <c r="AB1173" s="6"/>
    </row>
    <row r="1174" spans="2:28" x14ac:dyDescent="0.35">
      <c r="B1174" s="230">
        <f t="shared" si="108"/>
        <v>1164</v>
      </c>
      <c r="C1174" s="9"/>
      <c r="D1174" s="248">
        <f>Table3.110[[#This Row],[Date]]</f>
        <v>46085</v>
      </c>
      <c r="E1174" s="230" t="str">
        <f>Table3.110[[#This Row],[Requisitioner]]</f>
        <v>Genbank</v>
      </c>
      <c r="F1174" s="230" t="str">
        <f>Table3.110[[#This Row],[Gene Bank ID]]</f>
        <v>CIAT3694</v>
      </c>
      <c r="G1174" s="230" t="str">
        <f>Table3.110[[#This Row],[Genus]]</f>
        <v>Desmodium</v>
      </c>
      <c r="H1174" s="230" t="str">
        <f>Table3.110[[#This Row],[Species]]</f>
        <v>sandwicense</v>
      </c>
      <c r="I1174" s="230" t="str">
        <f>Table3.110[[#This Row],[Tax Name]]</f>
        <v>Desmodium sandwicense</v>
      </c>
      <c r="J1174" s="230" t="str">
        <f>Table3.110[[#This Row],[Family]]</f>
        <v>Fabaceae</v>
      </c>
      <c r="K1174" s="230" t="str">
        <f>Table3.110[[#This Row],[Order]]</f>
        <v>Fabales</v>
      </c>
      <c r="L1174" s="230" t="str">
        <f>Table3.110[[#This Row],[Functional Group]]</f>
        <v>Herbaceous</v>
      </c>
      <c r="M1174" s="230" t="str">
        <f>Table3.110[[#This Row],[CIAT ID]]</f>
        <v>F260019</v>
      </c>
      <c r="N1174" s="230">
        <f>Table3.110[[#This Row],[Set CIAT]]</f>
        <v>30</v>
      </c>
      <c r="O1174" s="230">
        <f>Table3.110[[#This Row],[Batch]]</f>
        <v>71</v>
      </c>
      <c r="P1174" s="230">
        <f>Table3.110[[#This Row],[Run]]</f>
        <v>3</v>
      </c>
      <c r="Q1174" s="230">
        <f>Table3.110[[#This Row],[Replication]]</f>
        <v>2</v>
      </c>
      <c r="R1174" s="230">
        <f>Table3.110[[#This Row],[Syrange No]]</f>
        <v>88</v>
      </c>
      <c r="S1174" s="98">
        <v>0.53559999999999997</v>
      </c>
      <c r="T1174" s="98">
        <v>0.90629999999999999</v>
      </c>
      <c r="U1174" s="8"/>
      <c r="V1174" s="283">
        <f t="shared" si="107"/>
        <v>0.37070000000000003</v>
      </c>
      <c r="W1174" s="61">
        <f>Table3.110[[#This Row],[DM Incubated, mg]]-('3.2 Digest'!V1174*1000)</f>
        <v>101.83890221955625</v>
      </c>
      <c r="X1174" s="61">
        <f>W1174/Table3.110[[#This Row],[DM Incubated, mg]]*100</f>
        <v>21.55143243047505</v>
      </c>
      <c r="Y1174" s="31">
        <f>Table3.110[[#This Row],[DM Incubated, mg]]*'2.4 NDF'!R253/100</f>
        <v>288.29608644422729</v>
      </c>
      <c r="Z1174" s="61">
        <f t="shared" si="104"/>
        <v>-82.40391355577276</v>
      </c>
      <c r="AA1174" s="61">
        <f t="shared" si="105"/>
        <v>-28.583084346417003</v>
      </c>
      <c r="AB1174" s="6"/>
    </row>
    <row r="1175" spans="2:28" x14ac:dyDescent="0.35">
      <c r="B1175" s="230">
        <f t="shared" si="108"/>
        <v>1165</v>
      </c>
      <c r="C1175" s="9"/>
      <c r="D1175" s="248">
        <f>Table3.110[[#This Row],[Date]]</f>
        <v>46085</v>
      </c>
      <c r="E1175" s="230" t="str">
        <f>Table3.110[[#This Row],[Requisitioner]]</f>
        <v>Genbank</v>
      </c>
      <c r="F1175" s="230" t="str">
        <f>Table3.110[[#This Row],[Gene Bank ID]]</f>
        <v>CIAT4080</v>
      </c>
      <c r="G1175" s="230" t="str">
        <f>Table3.110[[#This Row],[Genus]]</f>
        <v>Macroptilium</v>
      </c>
      <c r="H1175" s="230" t="str">
        <f>Table3.110[[#This Row],[Species]]</f>
        <v>bracteatum</v>
      </c>
      <c r="I1175" s="230" t="str">
        <f>Table3.110[[#This Row],[Tax Name]]</f>
        <v>Macroptilium bracteatum</v>
      </c>
      <c r="J1175" s="230" t="str">
        <f>Table3.110[[#This Row],[Family]]</f>
        <v>Fabaceae</v>
      </c>
      <c r="K1175" s="230" t="str">
        <f>Table3.110[[#This Row],[Order]]</f>
        <v>Fabales</v>
      </c>
      <c r="L1175" s="230" t="str">
        <f>Table3.110[[#This Row],[Functional Group]]</f>
        <v>Herbaceous</v>
      </c>
      <c r="M1175" s="230" t="str">
        <f>Table3.110[[#This Row],[CIAT ID]]</f>
        <v>F260020</v>
      </c>
      <c r="N1175" s="230">
        <f>Table3.110[[#This Row],[Set CIAT]]</f>
        <v>30</v>
      </c>
      <c r="O1175" s="230">
        <f>Table3.110[[#This Row],[Batch]]</f>
        <v>71</v>
      </c>
      <c r="P1175" s="230">
        <f>Table3.110[[#This Row],[Run]]</f>
        <v>3</v>
      </c>
      <c r="Q1175" s="230">
        <f>Table3.110[[#This Row],[Replication]]</f>
        <v>1</v>
      </c>
      <c r="R1175" s="230">
        <f>Table3.110[[#This Row],[Syrange No]]</f>
        <v>89</v>
      </c>
      <c r="S1175" s="250">
        <v>0.58389999999999997</v>
      </c>
      <c r="T1175" s="250">
        <v>0.90820000000000001</v>
      </c>
      <c r="U1175" s="8"/>
      <c r="V1175" s="283">
        <f t="shared" si="107"/>
        <v>0.32430000000000003</v>
      </c>
      <c r="W1175" s="61">
        <f>Table3.110[[#This Row],[DM Incubated, mg]]-('3.2 Digest'!V1175*1000)</f>
        <v>149.32632433783147</v>
      </c>
      <c r="X1175" s="61">
        <f>W1175/Table3.110[[#This Row],[DM Incubated, mg]]*100</f>
        <v>31.528299138904902</v>
      </c>
      <c r="Y1175" s="31">
        <f>Table3.110[[#This Row],[DM Incubated, mg]]*'2.4 NDF'!R255/100</f>
        <v>242.77259002657411</v>
      </c>
      <c r="Z1175" s="61">
        <f t="shared" si="104"/>
        <v>-81.527409973425904</v>
      </c>
      <c r="AA1175" s="61">
        <f t="shared" si="105"/>
        <v>-33.581801785984915</v>
      </c>
      <c r="AB1175" s="6"/>
    </row>
    <row r="1176" spans="2:28" x14ac:dyDescent="0.35">
      <c r="B1176" s="230">
        <f t="shared" si="108"/>
        <v>1166</v>
      </c>
      <c r="C1176" s="9"/>
      <c r="D1176" s="248">
        <f>Table3.110[[#This Row],[Date]]</f>
        <v>46085</v>
      </c>
      <c r="E1176" s="230" t="str">
        <f>Table3.110[[#This Row],[Requisitioner]]</f>
        <v>Genbank</v>
      </c>
      <c r="F1176" s="230" t="str">
        <f>Table3.110[[#This Row],[Gene Bank ID]]</f>
        <v>CIAT4080</v>
      </c>
      <c r="G1176" s="230" t="str">
        <f>Table3.110[[#This Row],[Genus]]</f>
        <v>Macroptilium</v>
      </c>
      <c r="H1176" s="230" t="str">
        <f>Table3.110[[#This Row],[Species]]</f>
        <v>bracteatum</v>
      </c>
      <c r="I1176" s="230" t="str">
        <f>Table3.110[[#This Row],[Tax Name]]</f>
        <v>Macroptilium bracteatum</v>
      </c>
      <c r="J1176" s="230" t="str">
        <f>Table3.110[[#This Row],[Family]]</f>
        <v>Fabaceae</v>
      </c>
      <c r="K1176" s="230" t="str">
        <f>Table3.110[[#This Row],[Order]]</f>
        <v>Fabales</v>
      </c>
      <c r="L1176" s="230" t="str">
        <f>Table3.110[[#This Row],[Functional Group]]</f>
        <v>Herbaceous</v>
      </c>
      <c r="M1176" s="230" t="str">
        <f>Table3.110[[#This Row],[CIAT ID]]</f>
        <v>F260020</v>
      </c>
      <c r="N1176" s="230">
        <f>Table3.110[[#This Row],[Set CIAT]]</f>
        <v>30</v>
      </c>
      <c r="O1176" s="230">
        <f>Table3.110[[#This Row],[Batch]]</f>
        <v>71</v>
      </c>
      <c r="P1176" s="230">
        <f>Table3.110[[#This Row],[Run]]</f>
        <v>3</v>
      </c>
      <c r="Q1176" s="230">
        <f>Table3.110[[#This Row],[Replication]]</f>
        <v>2</v>
      </c>
      <c r="R1176" s="230">
        <f>Table3.110[[#This Row],[Syrange No]]</f>
        <v>90</v>
      </c>
      <c r="S1176" s="98">
        <v>0.55820000000000003</v>
      </c>
      <c r="T1176" s="98">
        <v>0.8599</v>
      </c>
      <c r="U1176" s="25"/>
      <c r="V1176" s="283">
        <f t="shared" si="107"/>
        <v>0.30169999999999997</v>
      </c>
      <c r="W1176" s="61">
        <f>Table3.110[[#This Row],[DM Incubated, mg]]-('3.2 Digest'!V1176*1000)</f>
        <v>171.92632433783149</v>
      </c>
      <c r="X1176" s="61">
        <f>W1176/Table3.110[[#This Row],[DM Incubated, mg]]*100</f>
        <v>36.299993370976289</v>
      </c>
      <c r="Y1176" s="31">
        <f>Table3.110[[#This Row],[DM Incubated, mg]]*'2.4 NDF'!R255/100</f>
        <v>242.77259002657411</v>
      </c>
      <c r="Z1176" s="61">
        <f t="shared" si="104"/>
        <v>-58.927409973425881</v>
      </c>
      <c r="AA1176" s="61">
        <f t="shared" si="105"/>
        <v>-24.272678380609456</v>
      </c>
      <c r="AB1176" s="6"/>
    </row>
    <row r="1177" spans="2:28" x14ac:dyDescent="0.35">
      <c r="B1177" s="230">
        <f t="shared" si="108"/>
        <v>1167</v>
      </c>
      <c r="C1177" s="9"/>
      <c r="D1177" s="248">
        <f>Table3.110[[#This Row],[Date]]</f>
        <v>46085</v>
      </c>
      <c r="E1177" s="230" t="str">
        <f>Table3.110[[#This Row],[Requisitioner]]</f>
        <v>Genbank</v>
      </c>
      <c r="F1177" s="230" t="str">
        <f>Table3.110[[#This Row],[Gene Bank ID]]</f>
        <v>CIAT7162</v>
      </c>
      <c r="G1177" s="230" t="str">
        <f>Table3.110[[#This Row],[Genus]]</f>
        <v>Indigofera</v>
      </c>
      <c r="H1177" s="230" t="str">
        <f>Table3.110[[#This Row],[Species]]</f>
        <v>jamaicensis</v>
      </c>
      <c r="I1177" s="230" t="str">
        <f>Table3.110[[#This Row],[Tax Name]]</f>
        <v>Indigofera jamaicensis</v>
      </c>
      <c r="J1177" s="230" t="str">
        <f>Table3.110[[#This Row],[Family]]</f>
        <v>Fabaceae</v>
      </c>
      <c r="K1177" s="230" t="str">
        <f>Table3.110[[#This Row],[Order]]</f>
        <v>Fabales</v>
      </c>
      <c r="L1177" s="230" t="str">
        <f>Table3.110[[#This Row],[Functional Group]]</f>
        <v>Herbaceous</v>
      </c>
      <c r="M1177" s="230" t="str">
        <f>Table3.110[[#This Row],[CIAT ID]]</f>
        <v>F260021</v>
      </c>
      <c r="N1177" s="230">
        <f>Table3.110[[#This Row],[Set CIAT]]</f>
        <v>30</v>
      </c>
      <c r="O1177" s="230">
        <f>Table3.110[[#This Row],[Batch]]</f>
        <v>71</v>
      </c>
      <c r="P1177" s="230">
        <f>Table3.110[[#This Row],[Run]]</f>
        <v>3</v>
      </c>
      <c r="Q1177" s="230">
        <f>Table3.110[[#This Row],[Replication]]</f>
        <v>1</v>
      </c>
      <c r="R1177" s="230">
        <f>Table3.110[[#This Row],[Syrange No]]</f>
        <v>91</v>
      </c>
      <c r="S1177" s="250">
        <v>0.54669999999999996</v>
      </c>
      <c r="T1177" s="250">
        <v>0.83160000000000001</v>
      </c>
      <c r="U1177" s="25"/>
      <c r="V1177" s="283">
        <f t="shared" si="107"/>
        <v>0.28490000000000004</v>
      </c>
      <c r="W1177" s="61">
        <f>Table3.110[[#This Row],[DM Incubated, mg]]-('3.2 Digest'!V1177*1000)</f>
        <v>185.37352544236688</v>
      </c>
      <c r="X1177" s="61">
        <f>W1177/Table3.110[[#This Row],[DM Incubated, mg]]*100</f>
        <v>39.418235433941057</v>
      </c>
      <c r="Y1177" s="31">
        <f>Table3.110[[#This Row],[DM Incubated, mg]]*'2.4 NDF'!R257/100</f>
        <v>212.67168269830566</v>
      </c>
      <c r="Z1177" s="61">
        <f t="shared" ref="Z1177:Z1228" si="109">Y1177-(V1177*1000)</f>
        <v>-72.228317301694375</v>
      </c>
      <c r="AA1177" s="61">
        <f t="shared" ref="AA1177:AA1228" si="110">Z1177/Y1177*100</f>
        <v>-33.962357557567685</v>
      </c>
      <c r="AB1177" s="6"/>
    </row>
    <row r="1178" spans="2:28" x14ac:dyDescent="0.35">
      <c r="B1178" s="230">
        <f t="shared" si="108"/>
        <v>1168</v>
      </c>
      <c r="C1178" s="9"/>
      <c r="D1178" s="248">
        <f>Table3.110[[#This Row],[Date]]</f>
        <v>46085</v>
      </c>
      <c r="E1178" s="230" t="str">
        <f>Table3.110[[#This Row],[Requisitioner]]</f>
        <v>Genbank</v>
      </c>
      <c r="F1178" s="230" t="str">
        <f>Table3.110[[#This Row],[Gene Bank ID]]</f>
        <v>CIAT7162</v>
      </c>
      <c r="G1178" s="230" t="str">
        <f>Table3.110[[#This Row],[Genus]]</f>
        <v>Indigofera</v>
      </c>
      <c r="H1178" s="230" t="str">
        <f>Table3.110[[#This Row],[Species]]</f>
        <v>jamaicensis</v>
      </c>
      <c r="I1178" s="230" t="str">
        <f>Table3.110[[#This Row],[Tax Name]]</f>
        <v>Indigofera jamaicensis</v>
      </c>
      <c r="J1178" s="230" t="str">
        <f>Table3.110[[#This Row],[Family]]</f>
        <v>Fabaceae</v>
      </c>
      <c r="K1178" s="230" t="str">
        <f>Table3.110[[#This Row],[Order]]</f>
        <v>Fabales</v>
      </c>
      <c r="L1178" s="230" t="str">
        <f>Table3.110[[#This Row],[Functional Group]]</f>
        <v>Herbaceous</v>
      </c>
      <c r="M1178" s="230" t="str">
        <f>Table3.110[[#This Row],[CIAT ID]]</f>
        <v>F260021</v>
      </c>
      <c r="N1178" s="230">
        <f>Table3.110[[#This Row],[Set CIAT]]</f>
        <v>30</v>
      </c>
      <c r="O1178" s="230">
        <f>Table3.110[[#This Row],[Batch]]</f>
        <v>71</v>
      </c>
      <c r="P1178" s="230">
        <f>Table3.110[[#This Row],[Run]]</f>
        <v>3</v>
      </c>
      <c r="Q1178" s="230">
        <f>Table3.110[[#This Row],[Replication]]</f>
        <v>2</v>
      </c>
      <c r="R1178" s="230">
        <f>Table3.110[[#This Row],[Syrange No]]</f>
        <v>92</v>
      </c>
      <c r="S1178" s="98">
        <v>0.56659999999999999</v>
      </c>
      <c r="T1178" s="98">
        <v>0.86009999999999998</v>
      </c>
      <c r="U1178" s="8"/>
      <c r="V1178" s="283">
        <f t="shared" si="107"/>
        <v>0.29349999999999998</v>
      </c>
      <c r="W1178" s="61">
        <f>Table3.110[[#This Row],[DM Incubated, mg]]-('3.2 Digest'!V1178*1000)</f>
        <v>176.58549124586858</v>
      </c>
      <c r="X1178" s="61">
        <f>W1178/Table3.110[[#This Row],[DM Incubated, mg]]*100</f>
        <v>37.564548265011041</v>
      </c>
      <c r="Y1178" s="31">
        <f>Table3.110[[#This Row],[DM Incubated, mg]]*'2.4 NDF'!R257/100</f>
        <v>212.58664803909002</v>
      </c>
      <c r="Z1178" s="61">
        <f t="shared" si="109"/>
        <v>-80.913351960909978</v>
      </c>
      <c r="AA1178" s="61">
        <f t="shared" si="110"/>
        <v>-38.06135178632281</v>
      </c>
      <c r="AB1178" s="6"/>
    </row>
    <row r="1179" spans="2:28" x14ac:dyDescent="0.35">
      <c r="B1179" s="230">
        <f t="shared" si="108"/>
        <v>1169</v>
      </c>
      <c r="C1179" s="9"/>
      <c r="D1179" s="248">
        <f>Table3.110[[#This Row],[Date]]</f>
        <v>46085</v>
      </c>
      <c r="E1179" s="230" t="str">
        <f>Table3.110[[#This Row],[Requisitioner]]</f>
        <v>Genbank</v>
      </c>
      <c r="F1179" s="230" t="str">
        <f>Table3.110[[#This Row],[Gene Bank ID]]</f>
        <v>CIAT8820</v>
      </c>
      <c r="G1179" s="230" t="str">
        <f>Table3.110[[#This Row],[Genus]]</f>
        <v>Tephrosia</v>
      </c>
      <c r="H1179" s="230" t="str">
        <f>Table3.110[[#This Row],[Species]]</f>
        <v>cinerea</v>
      </c>
      <c r="I1179" s="230" t="str">
        <f>Table3.110[[#This Row],[Tax Name]]</f>
        <v>Tephrosia cinerea</v>
      </c>
      <c r="J1179" s="230" t="str">
        <f>Table3.110[[#This Row],[Family]]</f>
        <v>Fabaceae</v>
      </c>
      <c r="K1179" s="230" t="str">
        <f>Table3.110[[#This Row],[Order]]</f>
        <v>Fabales</v>
      </c>
      <c r="L1179" s="230" t="str">
        <f>Table3.110[[#This Row],[Functional Group]]</f>
        <v>Herbaceous</v>
      </c>
      <c r="M1179" s="230" t="str">
        <f>Table3.110[[#This Row],[CIAT ID]]</f>
        <v>F260022</v>
      </c>
      <c r="N1179" s="230">
        <f>Table3.110[[#This Row],[Set CIAT]]</f>
        <v>30</v>
      </c>
      <c r="O1179" s="230">
        <f>Table3.110[[#This Row],[Batch]]</f>
        <v>71</v>
      </c>
      <c r="P1179" s="230">
        <f>Table3.110[[#This Row],[Run]]</f>
        <v>3</v>
      </c>
      <c r="Q1179" s="230">
        <f>Table3.110[[#This Row],[Replication]]</f>
        <v>1</v>
      </c>
      <c r="R1179" s="230">
        <f>Table3.110[[#This Row],[Syrange No]]</f>
        <v>93</v>
      </c>
      <c r="S1179" s="250">
        <v>0.57299999999999995</v>
      </c>
      <c r="T1179" s="250">
        <v>0.82940000000000003</v>
      </c>
      <c r="U1179" s="8"/>
      <c r="V1179" s="283">
        <f t="shared" si="107"/>
        <v>0.25640000000000007</v>
      </c>
      <c r="W1179" s="61">
        <f>Table3.110[[#This Row],[DM Incubated, mg]]-('3.2 Digest'!V1179*1000)</f>
        <v>219.26392910299035</v>
      </c>
      <c r="X1179" s="61">
        <f>W1179/Table3.110[[#This Row],[DM Incubated, mg]]*100</f>
        <v>46.096396150214588</v>
      </c>
      <c r="Y1179" s="31">
        <f>Table3.110[[#This Row],[DM Incubated, mg]]*'2.4 NDF'!R259/100</f>
        <v>246.80489902790396</v>
      </c>
      <c r="Z1179" s="61">
        <f t="shared" si="109"/>
        <v>-9.5951009720961338</v>
      </c>
      <c r="AA1179" s="61">
        <f t="shared" si="110"/>
        <v>-3.8877271115316492</v>
      </c>
      <c r="AB1179" s="6"/>
    </row>
    <row r="1180" spans="2:28" x14ac:dyDescent="0.35">
      <c r="B1180" s="230">
        <f t="shared" si="108"/>
        <v>1170</v>
      </c>
      <c r="C1180" s="9"/>
      <c r="D1180" s="248">
        <f>Table3.110[[#This Row],[Date]]</f>
        <v>46085</v>
      </c>
      <c r="E1180" s="230" t="str">
        <f>Table3.110[[#This Row],[Requisitioner]]</f>
        <v>Genbank</v>
      </c>
      <c r="F1180" s="230" t="str">
        <f>Table3.110[[#This Row],[Gene Bank ID]]</f>
        <v>CIAT8820</v>
      </c>
      <c r="G1180" s="230" t="str">
        <f>Table3.110[[#This Row],[Genus]]</f>
        <v>Tephrosia</v>
      </c>
      <c r="H1180" s="230" t="str">
        <f>Table3.110[[#This Row],[Species]]</f>
        <v>cinerea</v>
      </c>
      <c r="I1180" s="230" t="str">
        <f>Table3.110[[#This Row],[Tax Name]]</f>
        <v>Tephrosia cinerea</v>
      </c>
      <c r="J1180" s="230" t="str">
        <f>Table3.110[[#This Row],[Family]]</f>
        <v>Fabaceae</v>
      </c>
      <c r="K1180" s="230" t="str">
        <f>Table3.110[[#This Row],[Order]]</f>
        <v>Fabales</v>
      </c>
      <c r="L1180" s="230" t="str">
        <f>Table3.110[[#This Row],[Functional Group]]</f>
        <v>Herbaceous</v>
      </c>
      <c r="M1180" s="230" t="str">
        <f>Table3.110[[#This Row],[CIAT ID]]</f>
        <v>F260022</v>
      </c>
      <c r="N1180" s="230">
        <f>Table3.110[[#This Row],[Set CIAT]]</f>
        <v>30</v>
      </c>
      <c r="O1180" s="230">
        <f>Table3.110[[#This Row],[Batch]]</f>
        <v>71</v>
      </c>
      <c r="P1180" s="230">
        <f>Table3.110[[#This Row],[Run]]</f>
        <v>3</v>
      </c>
      <c r="Q1180" s="230">
        <f>Table3.110[[#This Row],[Replication]]</f>
        <v>2</v>
      </c>
      <c r="R1180" s="230">
        <f>Table3.110[[#This Row],[Syrange No]]</f>
        <v>94</v>
      </c>
      <c r="S1180" s="98">
        <v>0.5544</v>
      </c>
      <c r="T1180" s="98">
        <v>0.85719999999999996</v>
      </c>
      <c r="U1180" s="25"/>
      <c r="V1180" s="283">
        <f t="shared" si="107"/>
        <v>0.30279999999999996</v>
      </c>
      <c r="W1180" s="61">
        <f>Table3.110[[#This Row],[DM Incubated, mg]]-('3.2 Digest'!V1180*1000)</f>
        <v>172.76885336261404</v>
      </c>
      <c r="X1180" s="61">
        <f>W1180/Table3.110[[#This Row],[DM Incubated, mg]]*100</f>
        <v>36.328883218699865</v>
      </c>
      <c r="Y1180" s="31">
        <f>Table3.110[[#This Row],[DM Incubated, mg]]*'2.4 NDF'!R259/100</f>
        <v>246.75556764692689</v>
      </c>
      <c r="Z1180" s="61">
        <f t="shared" si="109"/>
        <v>-56.044432353073063</v>
      </c>
      <c r="AA1180" s="61">
        <f t="shared" si="110"/>
        <v>-22.71253000996715</v>
      </c>
      <c r="AB1180" s="6"/>
    </row>
    <row r="1181" spans="2:28" x14ac:dyDescent="0.35">
      <c r="B1181" s="230">
        <f t="shared" si="108"/>
        <v>1171</v>
      </c>
      <c r="C1181" s="9"/>
      <c r="D1181" s="248">
        <f>Table3.110[[#This Row],[Date]]</f>
        <v>46085</v>
      </c>
      <c r="E1181" s="230" t="str">
        <f>Table3.110[[#This Row],[Requisitioner]]</f>
        <v>Genbank</v>
      </c>
      <c r="F1181" s="230" t="str">
        <f>Table3.110[[#This Row],[Gene Bank ID]]</f>
        <v>CIAT14080</v>
      </c>
      <c r="G1181" s="230" t="str">
        <f>Table3.110[[#This Row],[Genus]]</f>
        <v>Zornia</v>
      </c>
      <c r="H1181" s="230" t="str">
        <f>Table3.110[[#This Row],[Species]]</f>
        <v>brasiliensis</v>
      </c>
      <c r="I1181" s="230" t="str">
        <f>Table3.110[[#This Row],[Tax Name]]</f>
        <v>Zornia brasiliensis</v>
      </c>
      <c r="J1181" s="230" t="str">
        <f>Table3.110[[#This Row],[Family]]</f>
        <v>Fabaceae</v>
      </c>
      <c r="K1181" s="230" t="str">
        <f>Table3.110[[#This Row],[Order]]</f>
        <v>Fabales</v>
      </c>
      <c r="L1181" s="230" t="str">
        <f>Table3.110[[#This Row],[Functional Group]]</f>
        <v>Herbaceous</v>
      </c>
      <c r="M1181" s="230" t="str">
        <f>Table3.110[[#This Row],[CIAT ID]]</f>
        <v>F260023</v>
      </c>
      <c r="N1181" s="230">
        <f>Table3.110[[#This Row],[Set CIAT]]</f>
        <v>30</v>
      </c>
      <c r="O1181" s="230">
        <f>Table3.110[[#This Row],[Batch]]</f>
        <v>71</v>
      </c>
      <c r="P1181" s="230">
        <f>Table3.110[[#This Row],[Run]]</f>
        <v>3</v>
      </c>
      <c r="Q1181" s="230">
        <f>Table3.110[[#This Row],[Replication]]</f>
        <v>1</v>
      </c>
      <c r="R1181" s="230">
        <f>Table3.110[[#This Row],[Syrange No]]</f>
        <v>95</v>
      </c>
      <c r="S1181" s="250">
        <v>0.57720000000000005</v>
      </c>
      <c r="T1181" s="250">
        <v>0.87819999999999998</v>
      </c>
      <c r="U1181" s="25"/>
      <c r="V1181" s="283">
        <f t="shared" si="107"/>
        <v>0.30099999999999993</v>
      </c>
      <c r="W1181" s="61">
        <f>Table3.110[[#This Row],[DM Incubated, mg]]-('3.2 Digest'!V1181*1000)</f>
        <v>172.72367013298629</v>
      </c>
      <c r="X1181" s="61">
        <f>W1181/Table3.110[[#This Row],[DM Incubated, mg]]*100</f>
        <v>36.46084859650319</v>
      </c>
      <c r="Y1181" s="31">
        <f>Table3.110[[#This Row],[DM Incubated, mg]]*'2.4 NDF'!R261/100</f>
        <v>220.97992055408838</v>
      </c>
      <c r="Z1181" s="61">
        <f t="shared" si="109"/>
        <v>-80.020079445911563</v>
      </c>
      <c r="AA1181" s="61">
        <f t="shared" si="110"/>
        <v>-36.211470818374814</v>
      </c>
      <c r="AB1181" s="6"/>
    </row>
    <row r="1182" spans="2:28" x14ac:dyDescent="0.35">
      <c r="B1182" s="230">
        <f t="shared" si="108"/>
        <v>1172</v>
      </c>
      <c r="C1182" s="9"/>
      <c r="D1182" s="248">
        <f>Table3.110[[#This Row],[Date]]</f>
        <v>46085</v>
      </c>
      <c r="E1182" s="230" t="str">
        <f>Table3.110[[#This Row],[Requisitioner]]</f>
        <v>Genbank</v>
      </c>
      <c r="F1182" s="230" t="str">
        <f>Table3.110[[#This Row],[Gene Bank ID]]</f>
        <v>CIAT14080</v>
      </c>
      <c r="G1182" s="230" t="str">
        <f>Table3.110[[#This Row],[Genus]]</f>
        <v>Zornia</v>
      </c>
      <c r="H1182" s="230" t="str">
        <f>Table3.110[[#This Row],[Species]]</f>
        <v>brasiliensis</v>
      </c>
      <c r="I1182" s="230" t="str">
        <f>Table3.110[[#This Row],[Tax Name]]</f>
        <v>Zornia brasiliensis</v>
      </c>
      <c r="J1182" s="230" t="str">
        <f>Table3.110[[#This Row],[Family]]</f>
        <v>Fabaceae</v>
      </c>
      <c r="K1182" s="230" t="str">
        <f>Table3.110[[#This Row],[Order]]</f>
        <v>Fabales</v>
      </c>
      <c r="L1182" s="230" t="str">
        <f>Table3.110[[#This Row],[Functional Group]]</f>
        <v>Herbaceous</v>
      </c>
      <c r="M1182" s="230" t="str">
        <f>Table3.110[[#This Row],[CIAT ID]]</f>
        <v>F260023</v>
      </c>
      <c r="N1182" s="230">
        <f>Table3.110[[#This Row],[Set CIAT]]</f>
        <v>30</v>
      </c>
      <c r="O1182" s="230">
        <f>Table3.110[[#This Row],[Batch]]</f>
        <v>71</v>
      </c>
      <c r="P1182" s="230">
        <f>Table3.110[[#This Row],[Run]]</f>
        <v>3</v>
      </c>
      <c r="Q1182" s="230">
        <f>Table3.110[[#This Row],[Replication]]</f>
        <v>2</v>
      </c>
      <c r="R1182" s="230">
        <f>Table3.110[[#This Row],[Syrange No]]</f>
        <v>96</v>
      </c>
      <c r="S1182" s="98">
        <v>0.54379999999999995</v>
      </c>
      <c r="T1182" s="98">
        <v>0.83160000000000001</v>
      </c>
      <c r="U1182" s="8"/>
      <c r="V1182" s="283">
        <f t="shared" si="107"/>
        <v>0.28780000000000006</v>
      </c>
      <c r="W1182" s="61">
        <f>Table3.110[[#This Row],[DM Incubated, mg]]-('3.2 Digest'!V1182*1000)</f>
        <v>186.20784749959267</v>
      </c>
      <c r="X1182" s="61">
        <f>W1182/Table3.110[[#This Row],[DM Incubated, mg]]*100</f>
        <v>39.283705635222141</v>
      </c>
      <c r="Y1182" s="31">
        <f>Table3.110[[#This Row],[DM Incubated, mg]]*'2.4 NDF'!R261/100</f>
        <v>221.11248199413288</v>
      </c>
      <c r="Z1182" s="61">
        <f t="shared" si="109"/>
        <v>-66.68751800586719</v>
      </c>
      <c r="AA1182" s="61">
        <f t="shared" si="110"/>
        <v>-30.159997031572701</v>
      </c>
      <c r="AB1182" s="6"/>
    </row>
    <row r="1183" spans="2:28" x14ac:dyDescent="0.35">
      <c r="B1183" s="230">
        <f t="shared" si="108"/>
        <v>1173</v>
      </c>
      <c r="C1183" s="9"/>
      <c r="D1183" s="248">
        <f>Table3.110[[#This Row],[Date]]</f>
        <v>46085</v>
      </c>
      <c r="E1183" s="230" t="str">
        <f>Table3.110[[#This Row],[Requisitioner]]</f>
        <v>Genbank</v>
      </c>
      <c r="F1183" s="230" t="str">
        <f>Table3.110[[#This Row],[Gene Bank ID]]</f>
        <v>CIAT18950</v>
      </c>
      <c r="G1183" s="230" t="str">
        <f>Table3.110[[#This Row],[Genus]]</f>
        <v>Indigofera</v>
      </c>
      <c r="H1183" s="230" t="str">
        <f>Table3.110[[#This Row],[Species]]</f>
        <v>spicata</v>
      </c>
      <c r="I1183" s="230" t="str">
        <f>Table3.110[[#This Row],[Tax Name]]</f>
        <v>Indigofera spicata</v>
      </c>
      <c r="J1183" s="230" t="str">
        <f>Table3.110[[#This Row],[Family]]</f>
        <v>Fabaceae</v>
      </c>
      <c r="K1183" s="230" t="str">
        <f>Table3.110[[#This Row],[Order]]</f>
        <v>Fabales</v>
      </c>
      <c r="L1183" s="230" t="str">
        <f>Table3.110[[#This Row],[Functional Group]]</f>
        <v>Herbaceous</v>
      </c>
      <c r="M1183" s="230" t="str">
        <f>Table3.110[[#This Row],[CIAT ID]]</f>
        <v>F260024</v>
      </c>
      <c r="N1183" s="230">
        <f>Table3.110[[#This Row],[Set CIAT]]</f>
        <v>30</v>
      </c>
      <c r="O1183" s="230">
        <f>Table3.110[[#This Row],[Batch]]</f>
        <v>71</v>
      </c>
      <c r="P1183" s="230">
        <f>Table3.110[[#This Row],[Run]]</f>
        <v>3</v>
      </c>
      <c r="Q1183" s="230">
        <f>Table3.110[[#This Row],[Replication]]</f>
        <v>1</v>
      </c>
      <c r="R1183" s="230">
        <f>Table3.110[[#This Row],[Syrange No]]</f>
        <v>97</v>
      </c>
      <c r="S1183" s="250">
        <v>0.56310000000000004</v>
      </c>
      <c r="T1183" s="250">
        <v>0.83699999999999997</v>
      </c>
      <c r="U1183" s="8"/>
      <c r="V1183" s="283">
        <f t="shared" si="107"/>
        <v>0.27389999999999992</v>
      </c>
      <c r="W1183" s="61">
        <f>Table3.110[[#This Row],[DM Incubated, mg]]-('3.2 Digest'!V1183*1000)</f>
        <v>193.6912043978009</v>
      </c>
      <c r="X1183" s="61">
        <f>W1183/Table3.110[[#This Row],[DM Incubated, mg]]*100</f>
        <v>41.423192433067904</v>
      </c>
      <c r="Y1183" s="31">
        <f>Table3.110[[#This Row],[DM Incubated, mg]]*'2.4 NDF'!R263/100</f>
        <v>195.7918093971237</v>
      </c>
      <c r="Z1183" s="61">
        <f t="shared" si="109"/>
        <v>-78.108190602876221</v>
      </c>
      <c r="AA1183" s="61">
        <f t="shared" si="110"/>
        <v>-39.893492400619124</v>
      </c>
      <c r="AB1183" s="6"/>
    </row>
    <row r="1184" spans="2:28" x14ac:dyDescent="0.35">
      <c r="B1184" s="230">
        <f t="shared" si="108"/>
        <v>1174</v>
      </c>
      <c r="C1184" s="9"/>
      <c r="D1184" s="248">
        <f>Table3.110[[#This Row],[Date]]</f>
        <v>46085</v>
      </c>
      <c r="E1184" s="230" t="str">
        <f>Table3.110[[#This Row],[Requisitioner]]</f>
        <v>Genbank</v>
      </c>
      <c r="F1184" s="230" t="str">
        <f>Table3.110[[#This Row],[Gene Bank ID]]</f>
        <v>CIAT18950</v>
      </c>
      <c r="G1184" s="230" t="str">
        <f>Table3.110[[#This Row],[Genus]]</f>
        <v>Indigofera</v>
      </c>
      <c r="H1184" s="230" t="str">
        <f>Table3.110[[#This Row],[Species]]</f>
        <v>spicata</v>
      </c>
      <c r="I1184" s="230" t="str">
        <f>Table3.110[[#This Row],[Tax Name]]</f>
        <v>Indigofera spicata</v>
      </c>
      <c r="J1184" s="230" t="str">
        <f>Table3.110[[#This Row],[Family]]</f>
        <v>Fabaceae</v>
      </c>
      <c r="K1184" s="230" t="str">
        <f>Table3.110[[#This Row],[Order]]</f>
        <v>Fabales</v>
      </c>
      <c r="L1184" s="230" t="str">
        <f>Table3.110[[#This Row],[Functional Group]]</f>
        <v>Herbaceous</v>
      </c>
      <c r="M1184" s="230" t="str">
        <f>Table3.110[[#This Row],[CIAT ID]]</f>
        <v>F260024</v>
      </c>
      <c r="N1184" s="230">
        <f>Table3.110[[#This Row],[Set CIAT]]</f>
        <v>30</v>
      </c>
      <c r="O1184" s="230">
        <f>Table3.110[[#This Row],[Batch]]</f>
        <v>71</v>
      </c>
      <c r="P1184" s="230">
        <f>Table3.110[[#This Row],[Run]]</f>
        <v>3</v>
      </c>
      <c r="Q1184" s="230">
        <f>Table3.110[[#This Row],[Replication]]</f>
        <v>2</v>
      </c>
      <c r="R1184" s="230">
        <f>Table3.110[[#This Row],[Syrange No]]</f>
        <v>98</v>
      </c>
      <c r="S1184" s="98">
        <v>0.57479999999999998</v>
      </c>
      <c r="T1184" s="98">
        <v>0.84509999999999996</v>
      </c>
      <c r="U1184" s="25" t="s">
        <v>604</v>
      </c>
      <c r="V1184" s="283">
        <f t="shared" si="107"/>
        <v>0.27029999999999998</v>
      </c>
      <c r="W1184" s="61">
        <f>Table3.110[[#This Row],[DM Incubated, mg]]-('3.2 Digest'!V1184*1000)</f>
        <v>197.66527736131906</v>
      </c>
      <c r="X1184" s="61">
        <f>W1184/Table3.110[[#This Row],[DM Incubated, mg]]*100</f>
        <v>42.2393042654531</v>
      </c>
      <c r="Y1184" s="31">
        <f>Table3.110[[#This Row],[DM Incubated, mg]]*'2.4 NDF'!R263/100</f>
        <v>195.94844284464139</v>
      </c>
      <c r="Z1184" s="61">
        <f t="shared" si="109"/>
        <v>-74.35155715535862</v>
      </c>
      <c r="AA1184" s="61">
        <f t="shared" si="110"/>
        <v>-37.944449098944148</v>
      </c>
      <c r="AB1184" s="6"/>
    </row>
    <row r="1185" spans="2:28" x14ac:dyDescent="0.35">
      <c r="B1185" s="230">
        <f t="shared" si="108"/>
        <v>1175</v>
      </c>
      <c r="C1185" s="9"/>
      <c r="D1185" s="248">
        <f>Table3.110[[#This Row],[Date]]</f>
        <v>46085</v>
      </c>
      <c r="E1185" s="230" t="str">
        <f>Table3.110[[#This Row],[Requisitioner]]</f>
        <v>Genbank</v>
      </c>
      <c r="F1185" s="230" t="str">
        <f>Table3.110[[#This Row],[Gene Bank ID]]</f>
        <v>CIAT19193</v>
      </c>
      <c r="G1185" s="230" t="str">
        <f>Table3.110[[#This Row],[Genus]]</f>
        <v>Tephrosia</v>
      </c>
      <c r="H1185" s="230" t="str">
        <f>Table3.110[[#This Row],[Species]]</f>
        <v>villosa</v>
      </c>
      <c r="I1185" s="230" t="str">
        <f>Table3.110[[#This Row],[Tax Name]]</f>
        <v>Tephrosia villosa</v>
      </c>
      <c r="J1185" s="230" t="str">
        <f>Table3.110[[#This Row],[Family]]</f>
        <v>Fabaceae</v>
      </c>
      <c r="K1185" s="230" t="str">
        <f>Table3.110[[#This Row],[Order]]</f>
        <v>Fabales</v>
      </c>
      <c r="L1185" s="230" t="str">
        <f>Table3.110[[#This Row],[Functional Group]]</f>
        <v>Herbaceous</v>
      </c>
      <c r="M1185" s="230" t="str">
        <f>Table3.110[[#This Row],[CIAT ID]]</f>
        <v>F260025</v>
      </c>
      <c r="N1185" s="230">
        <f>Table3.110[[#This Row],[Set CIAT]]</f>
        <v>30</v>
      </c>
      <c r="O1185" s="230">
        <f>Table3.110[[#This Row],[Batch]]</f>
        <v>71</v>
      </c>
      <c r="P1185" s="230">
        <f>Table3.110[[#This Row],[Run]]</f>
        <v>3</v>
      </c>
      <c r="Q1185" s="230">
        <f>Table3.110[[#This Row],[Replication]]</f>
        <v>1</v>
      </c>
      <c r="R1185" s="230">
        <f>Table3.110[[#This Row],[Syrange No]]</f>
        <v>99</v>
      </c>
      <c r="S1185" s="250">
        <v>0.57020000000000004</v>
      </c>
      <c r="T1185" s="250">
        <v>0.89249999999999996</v>
      </c>
      <c r="U1185" s="25"/>
      <c r="V1185" s="283">
        <f t="shared" si="107"/>
        <v>0.32229999999999992</v>
      </c>
      <c r="W1185" s="61">
        <f>Table3.110[[#This Row],[DM Incubated, mg]]-('3.2 Digest'!V1185*1000)</f>
        <v>149.3584971690189</v>
      </c>
      <c r="X1185" s="61">
        <f>W1185/Table3.110[[#This Row],[DM Incubated, mg]]*100</f>
        <v>31.666660956072267</v>
      </c>
      <c r="Y1185" s="31">
        <f>Table3.110[[#This Row],[DM Incubated, mg]]*'2.4 NDF'!R265/100</f>
        <v>273.85295164450616</v>
      </c>
      <c r="Z1185" s="61">
        <f t="shared" si="109"/>
        <v>-48.447048355493735</v>
      </c>
      <c r="AA1185" s="61">
        <f t="shared" si="110"/>
        <v>-17.690898733997866</v>
      </c>
      <c r="AB1185" s="6"/>
    </row>
    <row r="1186" spans="2:28" x14ac:dyDescent="0.35">
      <c r="B1186" s="230">
        <f t="shared" si="108"/>
        <v>1176</v>
      </c>
      <c r="C1186" s="9"/>
      <c r="D1186" s="248">
        <f>Table3.110[[#This Row],[Date]]</f>
        <v>46085</v>
      </c>
      <c r="E1186" s="230" t="str">
        <f>Table3.110[[#This Row],[Requisitioner]]</f>
        <v>Genbank</v>
      </c>
      <c r="F1186" s="230" t="str">
        <f>Table3.110[[#This Row],[Gene Bank ID]]</f>
        <v>CIAT19193</v>
      </c>
      <c r="G1186" s="230" t="str">
        <f>Table3.110[[#This Row],[Genus]]</f>
        <v>Tephrosia</v>
      </c>
      <c r="H1186" s="230" t="str">
        <f>Table3.110[[#This Row],[Species]]</f>
        <v>villosa</v>
      </c>
      <c r="I1186" s="230" t="str">
        <f>Table3.110[[#This Row],[Tax Name]]</f>
        <v>Tephrosia villosa</v>
      </c>
      <c r="J1186" s="230" t="str">
        <f>Table3.110[[#This Row],[Family]]</f>
        <v>Fabaceae</v>
      </c>
      <c r="K1186" s="230" t="str">
        <f>Table3.110[[#This Row],[Order]]</f>
        <v>Fabales</v>
      </c>
      <c r="L1186" s="230" t="str">
        <f>Table3.110[[#This Row],[Functional Group]]</f>
        <v>Herbaceous</v>
      </c>
      <c r="M1186" s="230" t="str">
        <f>Table3.110[[#This Row],[CIAT ID]]</f>
        <v>F260025</v>
      </c>
      <c r="N1186" s="230">
        <f>Table3.110[[#This Row],[Set CIAT]]</f>
        <v>30</v>
      </c>
      <c r="O1186" s="230">
        <f>Table3.110[[#This Row],[Batch]]</f>
        <v>71</v>
      </c>
      <c r="P1186" s="230">
        <f>Table3.110[[#This Row],[Run]]</f>
        <v>3</v>
      </c>
      <c r="Q1186" s="230">
        <f>Table3.110[[#This Row],[Replication]]</f>
        <v>2</v>
      </c>
      <c r="R1186" s="230">
        <f>Table3.110[[#This Row],[Syrange No]]</f>
        <v>100</v>
      </c>
      <c r="S1186" s="98">
        <v>0.5736</v>
      </c>
      <c r="T1186" s="98">
        <v>0.90710000000000002</v>
      </c>
      <c r="U1186" s="8"/>
      <c r="V1186" s="283">
        <f t="shared" si="107"/>
        <v>0.33350000000000002</v>
      </c>
      <c r="W1186" s="61">
        <f>Table3.110[[#This Row],[DM Incubated, mg]]-('3.2 Digest'!V1186*1000)</f>
        <v>138.34716056788642</v>
      </c>
      <c r="X1186" s="61">
        <f>W1186/Table3.110[[#This Row],[DM Incubated, mg]]*100</f>
        <v>29.320333389604432</v>
      </c>
      <c r="Y1186" s="31">
        <f>Table3.110[[#This Row],[DM Incubated, mg]]*'2.4 NDF'!R265/100</f>
        <v>273.96249282516396</v>
      </c>
      <c r="Z1186" s="61">
        <f t="shared" si="109"/>
        <v>-59.537507174836037</v>
      </c>
      <c r="AA1186" s="61">
        <f t="shared" si="110"/>
        <v>-21.731992055142886</v>
      </c>
      <c r="AB1186" s="6"/>
    </row>
    <row r="1187" spans="2:28" x14ac:dyDescent="0.35">
      <c r="B1187" s="230">
        <f t="shared" si="108"/>
        <v>1177</v>
      </c>
      <c r="C1187" s="9"/>
      <c r="D1187" s="248">
        <f>Table3.110[[#This Row],[Date]]</f>
        <v>46085</v>
      </c>
      <c r="E1187" s="230" t="str">
        <f>Table3.110[[#This Row],[Requisitioner]]</f>
        <v>Genbank</v>
      </c>
      <c r="F1187" s="230" t="str">
        <f>Table3.110[[#This Row],[Gene Bank ID]]</f>
        <v>CIAT19641</v>
      </c>
      <c r="G1187" s="230" t="str">
        <f>Table3.110[[#This Row],[Genus]]</f>
        <v>Tephrosia</v>
      </c>
      <c r="H1187" s="230" t="str">
        <f>Table3.110[[#This Row],[Species]]</f>
        <v>purpurea</v>
      </c>
      <c r="I1187" s="230" t="str">
        <f>Table3.110[[#This Row],[Tax Name]]</f>
        <v>Tephrosia purpurea</v>
      </c>
      <c r="J1187" s="230" t="str">
        <f>Table3.110[[#This Row],[Family]]</f>
        <v>Fabaceae</v>
      </c>
      <c r="K1187" s="230" t="str">
        <f>Table3.110[[#This Row],[Order]]</f>
        <v>Fabales</v>
      </c>
      <c r="L1187" s="230" t="str">
        <f>Table3.110[[#This Row],[Functional Group]]</f>
        <v>Herbaceous</v>
      </c>
      <c r="M1187" s="230" t="str">
        <f>Table3.110[[#This Row],[CIAT ID]]</f>
        <v>F260026</v>
      </c>
      <c r="N1187" s="230">
        <f>Table3.110[[#This Row],[Set CIAT]]</f>
        <v>30</v>
      </c>
      <c r="O1187" s="230">
        <f>Table3.110[[#This Row],[Batch]]</f>
        <v>71</v>
      </c>
      <c r="P1187" s="230">
        <f>Table3.110[[#This Row],[Run]]</f>
        <v>3</v>
      </c>
      <c r="Q1187" s="230">
        <f>Table3.110[[#This Row],[Replication]]</f>
        <v>1</v>
      </c>
      <c r="R1187" s="230">
        <f>Table3.110[[#This Row],[Syrange No]]</f>
        <v>101</v>
      </c>
      <c r="S1187" s="250">
        <v>0.57669999999999999</v>
      </c>
      <c r="T1187" s="250">
        <v>0.92869999999999997</v>
      </c>
      <c r="U1187" s="8"/>
      <c r="V1187" s="283">
        <f t="shared" si="107"/>
        <v>0.35199999999999998</v>
      </c>
      <c r="W1187" s="61">
        <f>Table3.110[[#This Row],[DM Incubated, mg]]-('3.2 Digest'!V1187*1000)</f>
        <v>128.61709316273499</v>
      </c>
      <c r="X1187" s="61">
        <f>W1187/Table3.110[[#This Row],[DM Incubated, mg]]*100</f>
        <v>26.760823739405744</v>
      </c>
      <c r="Y1187" s="31">
        <f>Table3.110[[#This Row],[DM Incubated, mg]]*'2.4 NDF'!R267/100</f>
        <v>295.51653539531077</v>
      </c>
      <c r="Z1187" s="61">
        <f t="shared" si="109"/>
        <v>-56.483464604689232</v>
      </c>
      <c r="AA1187" s="61">
        <f t="shared" si="110"/>
        <v>-19.113470090305313</v>
      </c>
      <c r="AB1187" s="6"/>
    </row>
    <row r="1188" spans="2:28" x14ac:dyDescent="0.35">
      <c r="B1188" s="230">
        <f t="shared" si="108"/>
        <v>1178</v>
      </c>
      <c r="C1188" s="9"/>
      <c r="D1188" s="248">
        <f>Table3.110[[#This Row],[Date]]</f>
        <v>46085</v>
      </c>
      <c r="E1188" s="230" t="str">
        <f>Table3.110[[#This Row],[Requisitioner]]</f>
        <v>Genbank</v>
      </c>
      <c r="F1188" s="230" t="str">
        <f>Table3.110[[#This Row],[Gene Bank ID]]</f>
        <v>CIAT19641</v>
      </c>
      <c r="G1188" s="230" t="str">
        <f>Table3.110[[#This Row],[Genus]]</f>
        <v>Tephrosia</v>
      </c>
      <c r="H1188" s="230" t="str">
        <f>Table3.110[[#This Row],[Species]]</f>
        <v>purpurea</v>
      </c>
      <c r="I1188" s="230" t="str">
        <f>Table3.110[[#This Row],[Tax Name]]</f>
        <v>Tephrosia purpurea</v>
      </c>
      <c r="J1188" s="230" t="str">
        <f>Table3.110[[#This Row],[Family]]</f>
        <v>Fabaceae</v>
      </c>
      <c r="K1188" s="230" t="str">
        <f>Table3.110[[#This Row],[Order]]</f>
        <v>Fabales</v>
      </c>
      <c r="L1188" s="230" t="str">
        <f>Table3.110[[#This Row],[Functional Group]]</f>
        <v>Herbaceous</v>
      </c>
      <c r="M1188" s="230" t="str">
        <f>Table3.110[[#This Row],[CIAT ID]]</f>
        <v>F260026</v>
      </c>
      <c r="N1188" s="230">
        <f>Table3.110[[#This Row],[Set CIAT]]</f>
        <v>30</v>
      </c>
      <c r="O1188" s="230">
        <f>Table3.110[[#This Row],[Batch]]</f>
        <v>71</v>
      </c>
      <c r="P1188" s="230">
        <f>Table3.110[[#This Row],[Run]]</f>
        <v>3</v>
      </c>
      <c r="Q1188" s="230">
        <f>Table3.110[[#This Row],[Replication]]</f>
        <v>2</v>
      </c>
      <c r="R1188" s="230">
        <f>Table3.110[[#This Row],[Syrange No]]</f>
        <v>102</v>
      </c>
      <c r="S1188" s="98">
        <v>0.55179999999999996</v>
      </c>
      <c r="T1188" s="98">
        <v>0.91990000000000005</v>
      </c>
      <c r="U1188" s="25"/>
      <c r="V1188" s="283">
        <f t="shared" si="107"/>
        <v>0.36810000000000009</v>
      </c>
      <c r="W1188" s="61">
        <f>Table3.110[[#This Row],[DM Incubated, mg]]-('3.2 Digest'!V1188*1000)</f>
        <v>112.51709316273491</v>
      </c>
      <c r="X1188" s="61">
        <f>W1188/Table3.110[[#This Row],[DM Incubated, mg]]*100</f>
        <v>23.410963688850135</v>
      </c>
      <c r="Y1188" s="31">
        <f>Table3.110[[#This Row],[DM Incubated, mg]]*'2.4 NDF'!R267/100</f>
        <v>295.51653539531077</v>
      </c>
      <c r="Z1188" s="61">
        <f t="shared" si="109"/>
        <v>-72.583464604689311</v>
      </c>
      <c r="AA1188" s="61">
        <f t="shared" si="110"/>
        <v>-24.561557784776689</v>
      </c>
      <c r="AB1188" s="6"/>
    </row>
    <row r="1189" spans="2:28" x14ac:dyDescent="0.35">
      <c r="B1189" s="230">
        <f t="shared" si="108"/>
        <v>1179</v>
      </c>
      <c r="C1189" s="9"/>
      <c r="D1189" s="248">
        <f>Table3.110[[#This Row],[Date]]</f>
        <v>46085</v>
      </c>
      <c r="E1189" s="230" t="str">
        <f>Table3.110[[#This Row],[Requisitioner]]</f>
        <v>Genbank</v>
      </c>
      <c r="F1189" s="230" t="str">
        <f>Table3.110[[#This Row],[Gene Bank ID]]</f>
        <v>CIAT23503</v>
      </c>
      <c r="G1189" s="230" t="str">
        <f>Table3.110[[#This Row],[Genus]]</f>
        <v>Desmodium</v>
      </c>
      <c r="H1189" s="230" t="str">
        <f>Table3.110[[#This Row],[Species]]</f>
        <v>macrodesmum</v>
      </c>
      <c r="I1189" s="230" t="str">
        <f>Table3.110[[#This Row],[Tax Name]]</f>
        <v>Desmodium macrodesmum</v>
      </c>
      <c r="J1189" s="230" t="str">
        <f>Table3.110[[#This Row],[Family]]</f>
        <v>Fabaceae</v>
      </c>
      <c r="K1189" s="230" t="str">
        <f>Table3.110[[#This Row],[Order]]</f>
        <v>Fabales</v>
      </c>
      <c r="L1189" s="230" t="str">
        <f>Table3.110[[#This Row],[Functional Group]]</f>
        <v>Herbaceous</v>
      </c>
      <c r="M1189" s="230" t="str">
        <f>Table3.110[[#This Row],[CIAT ID]]</f>
        <v>F260027</v>
      </c>
      <c r="N1189" s="230">
        <f>Table3.110[[#This Row],[Set CIAT]]</f>
        <v>30</v>
      </c>
      <c r="O1189" s="230">
        <f>Table3.110[[#This Row],[Batch]]</f>
        <v>71</v>
      </c>
      <c r="P1189" s="230">
        <f>Table3.110[[#This Row],[Run]]</f>
        <v>3</v>
      </c>
      <c r="Q1189" s="230">
        <f>Table3.110[[#This Row],[Replication]]</f>
        <v>1</v>
      </c>
      <c r="R1189" s="230">
        <f>Table3.110[[#This Row],[Syrange No]]</f>
        <v>103</v>
      </c>
      <c r="S1189" s="250">
        <v>0.57630000000000003</v>
      </c>
      <c r="T1189" s="250">
        <v>0.92069999999999996</v>
      </c>
      <c r="U1189" s="25"/>
      <c r="V1189" s="283">
        <f t="shared" si="107"/>
        <v>0.34439999999999993</v>
      </c>
      <c r="W1189" s="61">
        <f>Table3.110[[#This Row],[DM Incubated, mg]]-('3.2 Digest'!V1189*1000)</f>
        <v>122.51663967056675</v>
      </c>
      <c r="X1189" s="61">
        <f>W1189/Table3.110[[#This Row],[DM Incubated, mg]]*100</f>
        <v>26.239510281108945</v>
      </c>
      <c r="Y1189" s="31">
        <f>Table3.110[[#This Row],[DM Incubated, mg]]*'2.4 NDF'!R269/100</f>
        <v>259.79887748358436</v>
      </c>
      <c r="Z1189" s="61">
        <f t="shared" si="109"/>
        <v>-84.601122516415558</v>
      </c>
      <c r="AA1189" s="61">
        <f t="shared" si="110"/>
        <v>-32.564083161506794</v>
      </c>
      <c r="AB1189" s="6"/>
    </row>
    <row r="1190" spans="2:28" x14ac:dyDescent="0.35">
      <c r="B1190" s="230">
        <f t="shared" si="108"/>
        <v>1180</v>
      </c>
      <c r="C1190" s="9"/>
      <c r="D1190" s="248">
        <f>Table3.110[[#This Row],[Date]]</f>
        <v>46085</v>
      </c>
      <c r="E1190" s="230" t="str">
        <f>Table3.110[[#This Row],[Requisitioner]]</f>
        <v>Genbank</v>
      </c>
      <c r="F1190" s="230" t="str">
        <f>Table3.110[[#This Row],[Gene Bank ID]]</f>
        <v>CIAT23503</v>
      </c>
      <c r="G1190" s="230" t="str">
        <f>Table3.110[[#This Row],[Genus]]</f>
        <v>Desmodium</v>
      </c>
      <c r="H1190" s="230" t="str">
        <f>Table3.110[[#This Row],[Species]]</f>
        <v>macrodesmum</v>
      </c>
      <c r="I1190" s="230" t="str">
        <f>Table3.110[[#This Row],[Tax Name]]</f>
        <v>Desmodium macrodesmum</v>
      </c>
      <c r="J1190" s="230" t="str">
        <f>Table3.110[[#This Row],[Family]]</f>
        <v>Fabaceae</v>
      </c>
      <c r="K1190" s="230" t="str">
        <f>Table3.110[[#This Row],[Order]]</f>
        <v>Fabales</v>
      </c>
      <c r="L1190" s="230" t="str">
        <f>Table3.110[[#This Row],[Functional Group]]</f>
        <v>Herbaceous</v>
      </c>
      <c r="M1190" s="230" t="str">
        <f>Table3.110[[#This Row],[CIAT ID]]</f>
        <v>F260027</v>
      </c>
      <c r="N1190" s="230">
        <f>Table3.110[[#This Row],[Set CIAT]]</f>
        <v>30</v>
      </c>
      <c r="O1190" s="230">
        <f>Table3.110[[#This Row],[Batch]]</f>
        <v>71</v>
      </c>
      <c r="P1190" s="230">
        <f>Table3.110[[#This Row],[Run]]</f>
        <v>3</v>
      </c>
      <c r="Q1190" s="230">
        <f>Table3.110[[#This Row],[Replication]]</f>
        <v>2</v>
      </c>
      <c r="R1190" s="230">
        <f>Table3.110[[#This Row],[Syrange No]]</f>
        <v>104</v>
      </c>
      <c r="S1190" s="106">
        <v>0.5978</v>
      </c>
      <c r="T1190" s="106">
        <v>0.95809999999999995</v>
      </c>
      <c r="U1190" s="8"/>
      <c r="V1190" s="283">
        <f t="shared" si="107"/>
        <v>0.36029999999999995</v>
      </c>
      <c r="W1190" s="61">
        <f>Table3.110[[#This Row],[DM Incubated, mg]]-('3.2 Digest'!V1190*1000)</f>
        <v>106.61663967056671</v>
      </c>
      <c r="X1190" s="61">
        <f>W1190/Table3.110[[#This Row],[DM Incubated, mg]]*100</f>
        <v>22.834191504888356</v>
      </c>
      <c r="Y1190" s="31">
        <f>Table3.110[[#This Row],[DM Incubated, mg]]*'2.4 NDF'!R269/100</f>
        <v>259.79887748358436</v>
      </c>
      <c r="Z1190" s="61">
        <f t="shared" si="109"/>
        <v>-100.50112251641559</v>
      </c>
      <c r="AA1190" s="61">
        <f t="shared" si="110"/>
        <v>-38.684201983423058</v>
      </c>
      <c r="AB1190" s="6"/>
    </row>
    <row r="1191" spans="2:28" x14ac:dyDescent="0.35">
      <c r="B1191" s="230">
        <f t="shared" si="108"/>
        <v>1181</v>
      </c>
      <c r="C1191" s="9"/>
      <c r="D1191" s="248">
        <f>Table3.110[[#This Row],[Date]]</f>
        <v>46085</v>
      </c>
      <c r="E1191" s="230" t="str">
        <f>Table3.110[[#This Row],[Requisitioner]]</f>
        <v>Genbank</v>
      </c>
      <c r="F1191" s="230" t="str">
        <f>Table3.110[[#This Row],[Gene Bank ID]]</f>
        <v>CIAT24333</v>
      </c>
      <c r="G1191" s="230" t="str">
        <f>Table3.110[[#This Row],[Genus]]</f>
        <v>Macroptilium</v>
      </c>
      <c r="H1191" s="230" t="str">
        <f>Table3.110[[#This Row],[Species]]</f>
        <v>bracteatum</v>
      </c>
      <c r="I1191" s="230" t="str">
        <f>Table3.110[[#This Row],[Tax Name]]</f>
        <v>Macroptilium bracteatum</v>
      </c>
      <c r="J1191" s="230" t="str">
        <f>Table3.110[[#This Row],[Family]]</f>
        <v>Fabaceae</v>
      </c>
      <c r="K1191" s="230" t="str">
        <f>Table3.110[[#This Row],[Order]]</f>
        <v>Fabales</v>
      </c>
      <c r="L1191" s="230" t="str">
        <f>Table3.110[[#This Row],[Functional Group]]</f>
        <v>Herbaceous</v>
      </c>
      <c r="M1191" s="230" t="str">
        <f>Table3.110[[#This Row],[CIAT ID]]</f>
        <v>F260028</v>
      </c>
      <c r="N1191" s="230">
        <f>Table3.110[[#This Row],[Set CIAT]]</f>
        <v>30</v>
      </c>
      <c r="O1191" s="230">
        <f>Table3.110[[#This Row],[Batch]]</f>
        <v>71</v>
      </c>
      <c r="P1191" s="230">
        <f>Table3.110[[#This Row],[Run]]</f>
        <v>3</v>
      </c>
      <c r="Q1191" s="230">
        <f>Table3.110[[#This Row],[Replication]]</f>
        <v>1</v>
      </c>
      <c r="R1191" s="230">
        <f>Table3.110[[#This Row],[Syrange No]]</f>
        <v>105</v>
      </c>
      <c r="S1191" s="106">
        <v>0.56459999999999999</v>
      </c>
      <c r="T1191" s="106">
        <v>0.87050000000000005</v>
      </c>
      <c r="U1191" s="25"/>
      <c r="V1191" s="283">
        <f t="shared" si="107"/>
        <v>0.30590000000000006</v>
      </c>
      <c r="W1191" s="61">
        <f>Table3.110[[#This Row],[DM Incubated, mg]]-('3.2 Digest'!V1191*1000)</f>
        <v>166.53879919082698</v>
      </c>
      <c r="X1191" s="61">
        <f>W1191/Table3.110[[#This Row],[DM Incubated, mg]]*100</f>
        <v>35.250872594729202</v>
      </c>
      <c r="Y1191" s="31">
        <f>Table3.110[[#This Row],[DM Incubated, mg]]*'2.4 NDF'!R271/100</f>
        <v>260.07840048885117</v>
      </c>
      <c r="Z1191" s="61">
        <f t="shared" si="109"/>
        <v>-45.821599511148861</v>
      </c>
      <c r="AA1191" s="61">
        <f t="shared" si="110"/>
        <v>-17.618379467507182</v>
      </c>
      <c r="AB1191" s="6"/>
    </row>
    <row r="1192" spans="2:28" x14ac:dyDescent="0.35">
      <c r="B1192" s="230">
        <f t="shared" si="108"/>
        <v>1182</v>
      </c>
      <c r="C1192" s="9"/>
      <c r="D1192" s="248">
        <f>Table3.110[[#This Row],[Date]]</f>
        <v>46085</v>
      </c>
      <c r="E1192" s="230" t="str">
        <f>Table3.110[[#This Row],[Requisitioner]]</f>
        <v>Genbank</v>
      </c>
      <c r="F1192" s="230" t="str">
        <f>Table3.110[[#This Row],[Gene Bank ID]]</f>
        <v>CIAT24333</v>
      </c>
      <c r="G1192" s="230" t="str">
        <f>Table3.110[[#This Row],[Genus]]</f>
        <v>Macroptilium</v>
      </c>
      <c r="H1192" s="230" t="str">
        <f>Table3.110[[#This Row],[Species]]</f>
        <v>bracteatum</v>
      </c>
      <c r="I1192" s="230" t="str">
        <f>Table3.110[[#This Row],[Tax Name]]</f>
        <v>Macroptilium bracteatum</v>
      </c>
      <c r="J1192" s="230" t="str">
        <f>Table3.110[[#This Row],[Family]]</f>
        <v>Fabaceae</v>
      </c>
      <c r="K1192" s="230" t="str">
        <f>Table3.110[[#This Row],[Order]]</f>
        <v>Fabales</v>
      </c>
      <c r="L1192" s="230" t="str">
        <f>Table3.110[[#This Row],[Functional Group]]</f>
        <v>Herbaceous</v>
      </c>
      <c r="M1192" s="230" t="str">
        <f>Table3.110[[#This Row],[CIAT ID]]</f>
        <v>F260028</v>
      </c>
      <c r="N1192" s="230">
        <f>Table3.110[[#This Row],[Set CIAT]]</f>
        <v>30</v>
      </c>
      <c r="O1192" s="230">
        <f>Table3.110[[#This Row],[Batch]]</f>
        <v>71</v>
      </c>
      <c r="P1192" s="230">
        <f>Table3.110[[#This Row],[Run]]</f>
        <v>3</v>
      </c>
      <c r="Q1192" s="230">
        <f>Table3.110[[#This Row],[Replication]]</f>
        <v>2</v>
      </c>
      <c r="R1192" s="230">
        <f>Table3.110[[#This Row],[Syrange No]]</f>
        <v>106</v>
      </c>
      <c r="S1192" s="106">
        <v>0.58189999999999997</v>
      </c>
      <c r="T1192" s="106">
        <v>0.90949999999999998</v>
      </c>
      <c r="U1192" s="8"/>
      <c r="V1192" s="283">
        <f t="shared" si="107"/>
        <v>0.3276</v>
      </c>
      <c r="W1192" s="61">
        <f>Table3.110[[#This Row],[DM Incubated, mg]]-('3.2 Digest'!V1192*1000)</f>
        <v>144.46115027061057</v>
      </c>
      <c r="X1192" s="61">
        <f>W1192/Table3.110[[#This Row],[DM Incubated, mg]]*100</f>
        <v>30.602211215177892</v>
      </c>
      <c r="Y1192" s="31">
        <f>Table3.110[[#This Row],[DM Incubated, mg]]*'2.4 NDF'!R271/100</f>
        <v>259.87050408558275</v>
      </c>
      <c r="Z1192" s="61">
        <f t="shared" si="109"/>
        <v>-67.729495914417271</v>
      </c>
      <c r="AA1192" s="61">
        <f t="shared" si="110"/>
        <v>-26.062786984132693</v>
      </c>
      <c r="AB1192" s="6"/>
    </row>
    <row r="1193" spans="2:28" x14ac:dyDescent="0.35">
      <c r="B1193" s="230">
        <f t="shared" si="108"/>
        <v>1183</v>
      </c>
      <c r="C1193" s="9"/>
      <c r="D1193" s="248">
        <f>Table3.110[[#This Row],[Date]]</f>
        <v>46085</v>
      </c>
      <c r="E1193" s="230">
        <f>Table3.110[[#This Row],[Requisitioner]]</f>
        <v>0</v>
      </c>
      <c r="F1193" s="230" t="str">
        <f>Table3.110[[#This Row],[Gene Bank ID]]</f>
        <v>BLANK 8H</v>
      </c>
      <c r="G1193" s="230" t="str">
        <f>Table3.110[[#This Row],[Genus]]</f>
        <v>BLANK</v>
      </c>
      <c r="H1193" s="230" t="str">
        <f>Table3.110[[#This Row],[Species]]</f>
        <v>8H</v>
      </c>
      <c r="I1193" s="230" t="str">
        <f>Table3.110[[#This Row],[Tax Name]]</f>
        <v>BLANK 8H</v>
      </c>
      <c r="J1193" s="230">
        <f>Table3.110[[#This Row],[Family]]</f>
        <v>0</v>
      </c>
      <c r="K1193" s="230">
        <f>Table3.110[[#This Row],[Order]]</f>
        <v>0</v>
      </c>
      <c r="L1193" s="230">
        <f>Table3.110[[#This Row],[Functional Group]]</f>
        <v>0</v>
      </c>
      <c r="M1193" s="230" t="str">
        <f>Table3.110[[#This Row],[CIAT ID]]</f>
        <v>BLANK8H</v>
      </c>
      <c r="N1193" s="230">
        <f>Table3.110[[#This Row],[Set CIAT]]</f>
        <v>30</v>
      </c>
      <c r="O1193" s="230">
        <f>Table3.110[[#This Row],[Batch]]</f>
        <v>71</v>
      </c>
      <c r="P1193" s="230">
        <f>Table3.110[[#This Row],[Run]]</f>
        <v>3</v>
      </c>
      <c r="Q1193" s="230">
        <f>Table3.110[[#This Row],[Replication]]</f>
        <v>1</v>
      </c>
      <c r="R1193" s="230">
        <f>Table3.110[[#This Row],[Syrange No]]</f>
        <v>107</v>
      </c>
      <c r="S1193" s="249"/>
      <c r="T1193" s="249"/>
      <c r="U1193" s="300"/>
      <c r="V1193" s="283"/>
      <c r="W1193" s="61"/>
      <c r="X1193" s="61"/>
      <c r="Y1193" s="302"/>
      <c r="Z1193" s="61"/>
      <c r="AA1193" s="61"/>
      <c r="AB1193" s="6"/>
    </row>
    <row r="1194" spans="2:28" x14ac:dyDescent="0.35">
      <c r="B1194" s="230">
        <f t="shared" si="108"/>
        <v>1184</v>
      </c>
      <c r="C1194" s="9"/>
      <c r="D1194" s="248">
        <f>Table3.110[[#This Row],[Date]]</f>
        <v>46085</v>
      </c>
      <c r="E1194" s="230">
        <f>Table3.110[[#This Row],[Requisitioner]]</f>
        <v>0</v>
      </c>
      <c r="F1194" s="230" t="str">
        <f>Table3.110[[#This Row],[Gene Bank ID]]</f>
        <v>BLANK 8H</v>
      </c>
      <c r="G1194" s="230" t="str">
        <f>Table3.110[[#This Row],[Genus]]</f>
        <v>BLANK</v>
      </c>
      <c r="H1194" s="230" t="str">
        <f>Table3.110[[#This Row],[Species]]</f>
        <v>8H</v>
      </c>
      <c r="I1194" s="230" t="str">
        <f>Table3.110[[#This Row],[Tax Name]]</f>
        <v>BLANK 8H</v>
      </c>
      <c r="J1194" s="230">
        <f>Table3.110[[#This Row],[Family]]</f>
        <v>0</v>
      </c>
      <c r="K1194" s="230">
        <f>Table3.110[[#This Row],[Order]]</f>
        <v>0</v>
      </c>
      <c r="L1194" s="230">
        <f>Table3.110[[#This Row],[Functional Group]]</f>
        <v>0</v>
      </c>
      <c r="M1194" s="230" t="str">
        <f>Table3.110[[#This Row],[CIAT ID]]</f>
        <v>BLANK8H</v>
      </c>
      <c r="N1194" s="230">
        <f>Table3.110[[#This Row],[Set CIAT]]</f>
        <v>30</v>
      </c>
      <c r="O1194" s="230">
        <f>Table3.110[[#This Row],[Batch]]</f>
        <v>71</v>
      </c>
      <c r="P1194" s="230">
        <f>Table3.110[[#This Row],[Run]]</f>
        <v>3</v>
      </c>
      <c r="Q1194" s="230">
        <f>Table3.110[[#This Row],[Replication]]</f>
        <v>2</v>
      </c>
      <c r="R1194" s="230">
        <f>Table3.110[[#This Row],[Syrange No]]</f>
        <v>108</v>
      </c>
      <c r="S1194" s="249"/>
      <c r="T1194" s="249"/>
      <c r="U1194" s="301"/>
      <c r="V1194" s="283"/>
      <c r="W1194" s="61"/>
      <c r="X1194" s="61"/>
      <c r="Y1194" s="31"/>
      <c r="Z1194" s="61"/>
      <c r="AA1194" s="61"/>
      <c r="AB1194" s="6"/>
    </row>
    <row r="1195" spans="2:28" x14ac:dyDescent="0.35">
      <c r="B1195" s="230">
        <f t="shared" si="108"/>
        <v>1185</v>
      </c>
      <c r="C1195" s="9"/>
      <c r="D1195" s="248">
        <f>Table3.110[[#This Row],[Date]]</f>
        <v>46085</v>
      </c>
      <c r="E1195" s="230" t="str">
        <f>Table3.110[[#This Row],[Requisitioner]]</f>
        <v>Genbank</v>
      </c>
      <c r="F1195" s="230" t="str">
        <f>Table3.110[[#This Row],[Gene Bank ID]]</f>
        <v>CIAT33235</v>
      </c>
      <c r="G1195" s="230" t="str">
        <f>Table3.110[[#This Row],[Genus]]</f>
        <v>Desmodium</v>
      </c>
      <c r="H1195" s="230" t="str">
        <f>Table3.110[[#This Row],[Species]]</f>
        <v>scorpiurus</v>
      </c>
      <c r="I1195" s="230" t="str">
        <f>Table3.110[[#This Row],[Tax Name]]</f>
        <v>Desmodium scorpiurus</v>
      </c>
      <c r="J1195" s="230" t="str">
        <f>Table3.110[[#This Row],[Family]]</f>
        <v>Fabaceae</v>
      </c>
      <c r="K1195" s="230" t="str">
        <f>Table3.110[[#This Row],[Order]]</f>
        <v>Fabales</v>
      </c>
      <c r="L1195" s="230" t="str">
        <f>Table3.110[[#This Row],[Functional Group]]</f>
        <v>Herbaceous</v>
      </c>
      <c r="M1195" s="230" t="str">
        <f>Table3.110[[#This Row],[CIAT ID]]</f>
        <v>F260029</v>
      </c>
      <c r="N1195" s="230">
        <f>Table3.110[[#This Row],[Set CIAT]]</f>
        <v>30</v>
      </c>
      <c r="O1195" s="230">
        <f>Table3.110[[#This Row],[Batch]]</f>
        <v>71</v>
      </c>
      <c r="P1195" s="230">
        <f>Table3.110[[#This Row],[Run]]</f>
        <v>3</v>
      </c>
      <c r="Q1195" s="230">
        <f>Table3.110[[#This Row],[Replication]]</f>
        <v>1</v>
      </c>
      <c r="R1195" s="230">
        <f>Table3.110[[#This Row],[Syrange No]]</f>
        <v>109</v>
      </c>
      <c r="S1195" s="250">
        <v>0.56499999999999995</v>
      </c>
      <c r="T1195" s="250">
        <v>0.85880000000000001</v>
      </c>
      <c r="U1195" s="25"/>
      <c r="V1195" s="283">
        <f t="shared" si="107"/>
        <v>0.29380000000000006</v>
      </c>
      <c r="W1195" s="61">
        <f>Table3.110[[#This Row],[DM Incubated, mg]]-('3.2 Digest'!V1195*1000)</f>
        <v>173.04509665667177</v>
      </c>
      <c r="X1195" s="61">
        <f>W1195/Table3.110[[#This Row],[DM Incubated, mg]]*100</f>
        <v>37.066919604798365</v>
      </c>
      <c r="Y1195" s="31">
        <f>Table3.110[[#This Row],[DM Incubated, mg]]*'2.4 NDF'!R273/100</f>
        <v>264.29933448411447</v>
      </c>
      <c r="Z1195" s="61">
        <f t="shared" si="109"/>
        <v>-29.500665515885601</v>
      </c>
      <c r="AA1195" s="61">
        <f t="shared" si="110"/>
        <v>-11.161838743736494</v>
      </c>
      <c r="AB1195" s="6"/>
    </row>
    <row r="1196" spans="2:28" x14ac:dyDescent="0.35">
      <c r="B1196" s="230">
        <f t="shared" si="108"/>
        <v>1186</v>
      </c>
      <c r="C1196" s="9"/>
      <c r="D1196" s="248">
        <f>Table3.110[[#This Row],[Date]]</f>
        <v>46085</v>
      </c>
      <c r="E1196" s="230" t="str">
        <f>Table3.110[[#This Row],[Requisitioner]]</f>
        <v>Genbank</v>
      </c>
      <c r="F1196" s="230" t="str">
        <f>Table3.110[[#This Row],[Gene Bank ID]]</f>
        <v>CIAT33235</v>
      </c>
      <c r="G1196" s="230" t="str">
        <f>Table3.110[[#This Row],[Genus]]</f>
        <v>Desmodium</v>
      </c>
      <c r="H1196" s="230" t="str">
        <f>Table3.110[[#This Row],[Species]]</f>
        <v>scorpiurus</v>
      </c>
      <c r="I1196" s="230" t="str">
        <f>Table3.110[[#This Row],[Tax Name]]</f>
        <v>Desmodium scorpiurus</v>
      </c>
      <c r="J1196" s="230" t="str">
        <f>Table3.110[[#This Row],[Family]]</f>
        <v>Fabaceae</v>
      </c>
      <c r="K1196" s="230" t="str">
        <f>Table3.110[[#This Row],[Order]]</f>
        <v>Fabales</v>
      </c>
      <c r="L1196" s="230" t="str">
        <f>Table3.110[[#This Row],[Functional Group]]</f>
        <v>Herbaceous</v>
      </c>
      <c r="M1196" s="230" t="str">
        <f>Table3.110[[#This Row],[CIAT ID]]</f>
        <v>F260029</v>
      </c>
      <c r="N1196" s="230">
        <f>Table3.110[[#This Row],[Set CIAT]]</f>
        <v>30</v>
      </c>
      <c r="O1196" s="230">
        <f>Table3.110[[#This Row],[Batch]]</f>
        <v>71</v>
      </c>
      <c r="P1196" s="230">
        <f>Table3.110[[#This Row],[Run]]</f>
        <v>3</v>
      </c>
      <c r="Q1196" s="230">
        <f>Table3.110[[#This Row],[Replication]]</f>
        <v>2</v>
      </c>
      <c r="R1196" s="230">
        <f>Table3.110[[#This Row],[Syrange No]]</f>
        <v>110</v>
      </c>
      <c r="S1196" s="98">
        <v>0.60299999999999998</v>
      </c>
      <c r="T1196" s="98">
        <v>0.90469999999999995</v>
      </c>
      <c r="U1196" s="8"/>
      <c r="V1196" s="283">
        <f t="shared" si="107"/>
        <v>0.30169999999999997</v>
      </c>
      <c r="W1196" s="61">
        <f>Table3.110[[#This Row],[DM Incubated, mg]]-('3.2 Digest'!V1196*1000)</f>
        <v>164.95843328335854</v>
      </c>
      <c r="X1196" s="61">
        <f>W1196/Table3.110[[#This Row],[DM Incubated, mg]]*100</f>
        <v>35.348859362238187</v>
      </c>
      <c r="Y1196" s="31">
        <f>Table3.110[[#This Row],[DM Incubated, mg]]*'2.4 NDF'!R273/100</f>
        <v>264.19365702130591</v>
      </c>
      <c r="Z1196" s="61">
        <f t="shared" si="109"/>
        <v>-37.506342978694079</v>
      </c>
      <c r="AA1196" s="61">
        <f t="shared" si="110"/>
        <v>-14.196534239907727</v>
      </c>
      <c r="AB1196" s="6"/>
    </row>
    <row r="1197" spans="2:28" x14ac:dyDescent="0.35">
      <c r="B1197" s="230">
        <f t="shared" si="108"/>
        <v>1187</v>
      </c>
      <c r="C1197" s="9"/>
      <c r="D1197" s="248">
        <f>Table3.110[[#This Row],[Date]]</f>
        <v>46085</v>
      </c>
      <c r="E1197" s="230" t="str">
        <f>Table3.110[[#This Row],[Requisitioner]]</f>
        <v>Genbank</v>
      </c>
      <c r="F1197" s="230" t="str">
        <f>Table3.110[[#This Row],[Gene Bank ID]]</f>
        <v>CIAT33605</v>
      </c>
      <c r="G1197" s="230" t="str">
        <f>Table3.110[[#This Row],[Genus]]</f>
        <v>Desmodium</v>
      </c>
      <c r="H1197" s="230" t="str">
        <f>Table3.110[[#This Row],[Species]]</f>
        <v>sandwicense</v>
      </c>
      <c r="I1197" s="230" t="str">
        <f>Table3.110[[#This Row],[Tax Name]]</f>
        <v>Desmodium sandwicense x intortum</v>
      </c>
      <c r="J1197" s="230" t="str">
        <f>Table3.110[[#This Row],[Family]]</f>
        <v>Fabaceae</v>
      </c>
      <c r="K1197" s="230" t="str">
        <f>Table3.110[[#This Row],[Order]]</f>
        <v>Fabales</v>
      </c>
      <c r="L1197" s="230" t="str">
        <f>Table3.110[[#This Row],[Functional Group]]</f>
        <v>Herbaceous</v>
      </c>
      <c r="M1197" s="230" t="str">
        <f>Table3.110[[#This Row],[CIAT ID]]</f>
        <v>F260030</v>
      </c>
      <c r="N1197" s="230">
        <f>Table3.110[[#This Row],[Set CIAT]]</f>
        <v>30</v>
      </c>
      <c r="O1197" s="230">
        <f>Table3.110[[#This Row],[Batch]]</f>
        <v>71</v>
      </c>
      <c r="P1197" s="230">
        <f>Table3.110[[#This Row],[Run]]</f>
        <v>3</v>
      </c>
      <c r="Q1197" s="230">
        <f>Table3.110[[#This Row],[Replication]]</f>
        <v>1</v>
      </c>
      <c r="R1197" s="230">
        <f>Table3.110[[#This Row],[Syrange No]]</f>
        <v>111</v>
      </c>
      <c r="S1197" s="250">
        <v>0.60309999999999997</v>
      </c>
      <c r="T1197" s="250">
        <v>0.96330000000000005</v>
      </c>
      <c r="U1197" s="8"/>
      <c r="V1197" s="283">
        <f t="shared" si="107"/>
        <v>0.36020000000000008</v>
      </c>
      <c r="W1197" s="61">
        <f>Table3.110[[#This Row],[DM Incubated, mg]]-('3.2 Digest'!V1197*1000)</f>
        <v>117.84889805097458</v>
      </c>
      <c r="X1197" s="61">
        <f>W1197/Table3.110[[#This Row],[DM Incubated, mg]]*100</f>
        <v>24.652059346114896</v>
      </c>
      <c r="Y1197" s="31">
        <f>Table3.110[[#This Row],[DM Incubated, mg]]*'2.4 NDF'!R275/100</f>
        <v>284.97487569295532</v>
      </c>
      <c r="Z1197" s="61">
        <f t="shared" si="109"/>
        <v>-75.22512430704478</v>
      </c>
      <c r="AA1197" s="61">
        <f t="shared" si="110"/>
        <v>-26.397107507854727</v>
      </c>
      <c r="AB1197" s="6"/>
    </row>
    <row r="1198" spans="2:28" x14ac:dyDescent="0.35">
      <c r="B1198" s="230">
        <f t="shared" si="108"/>
        <v>1188</v>
      </c>
      <c r="C1198" s="9"/>
      <c r="D1198" s="248">
        <f>Table3.110[[#This Row],[Date]]</f>
        <v>46085</v>
      </c>
      <c r="E1198" s="230" t="str">
        <f>Table3.110[[#This Row],[Requisitioner]]</f>
        <v>Genbank</v>
      </c>
      <c r="F1198" s="230" t="str">
        <f>Table3.110[[#This Row],[Gene Bank ID]]</f>
        <v>CIAT33605</v>
      </c>
      <c r="G1198" s="230" t="str">
        <f>Table3.110[[#This Row],[Genus]]</f>
        <v>Desmodium</v>
      </c>
      <c r="H1198" s="230" t="str">
        <f>Table3.110[[#This Row],[Species]]</f>
        <v>sandwicense</v>
      </c>
      <c r="I1198" s="230" t="str">
        <f>Table3.110[[#This Row],[Tax Name]]</f>
        <v>Desmodium sandwicense x intortum</v>
      </c>
      <c r="J1198" s="230" t="str">
        <f>Table3.110[[#This Row],[Family]]</f>
        <v>Fabaceae</v>
      </c>
      <c r="K1198" s="230" t="str">
        <f>Table3.110[[#This Row],[Order]]</f>
        <v>Fabales</v>
      </c>
      <c r="L1198" s="230" t="str">
        <f>Table3.110[[#This Row],[Functional Group]]</f>
        <v>Herbaceous</v>
      </c>
      <c r="M1198" s="230" t="str">
        <f>Table3.110[[#This Row],[CIAT ID]]</f>
        <v>F260030</v>
      </c>
      <c r="N1198" s="230">
        <f>Table3.110[[#This Row],[Set CIAT]]</f>
        <v>30</v>
      </c>
      <c r="O1198" s="230">
        <f>Table3.110[[#This Row],[Batch]]</f>
        <v>71</v>
      </c>
      <c r="P1198" s="230">
        <f>Table3.110[[#This Row],[Run]]</f>
        <v>3</v>
      </c>
      <c r="Q1198" s="230">
        <f>Table3.110[[#This Row],[Replication]]</f>
        <v>2</v>
      </c>
      <c r="R1198" s="230">
        <f>Table3.110[[#This Row],[Syrange No]]</f>
        <v>112</v>
      </c>
      <c r="S1198" s="98">
        <v>0.59899999999999998</v>
      </c>
      <c r="T1198" s="98">
        <v>0.94430000000000003</v>
      </c>
      <c r="U1198" s="25" t="s">
        <v>595</v>
      </c>
      <c r="V1198" s="283">
        <f t="shared" si="107"/>
        <v>0.34530000000000005</v>
      </c>
      <c r="W1198" s="61">
        <f>Table3.110[[#This Row],[DM Incubated, mg]]-('3.2 Digest'!V1198*1000)</f>
        <v>132.84445049911591</v>
      </c>
      <c r="X1198" s="61">
        <f>W1198/Table3.110[[#This Row],[DM Incubated, mg]]*100</f>
        <v>27.783329987505841</v>
      </c>
      <c r="Y1198" s="31">
        <f>Table3.110[[#This Row],[DM Incubated, mg]]*'2.4 NDF'!R275/100</f>
        <v>285.03183649161468</v>
      </c>
      <c r="Z1198" s="61">
        <f t="shared" si="109"/>
        <v>-60.268163508385385</v>
      </c>
      <c r="AA1198" s="61">
        <f t="shared" si="110"/>
        <v>-21.14436206502792</v>
      </c>
      <c r="AB1198" s="6"/>
    </row>
    <row r="1199" spans="2:28" x14ac:dyDescent="0.35">
      <c r="B1199" s="230">
        <f t="shared" si="108"/>
        <v>1189</v>
      </c>
      <c r="C1199" s="9"/>
      <c r="D1199" s="248">
        <f>Table3.110[[#This Row],[Date]]</f>
        <v>46085</v>
      </c>
      <c r="E1199" s="230" t="str">
        <f>Table3.110[[#This Row],[Requisitioner]]</f>
        <v>Genbank</v>
      </c>
      <c r="F1199" s="230" t="str">
        <f>Table3.110[[#This Row],[Gene Bank ID]]</f>
        <v>CIAT34144</v>
      </c>
      <c r="G1199" s="230" t="str">
        <f>Table3.110[[#This Row],[Genus]]</f>
        <v>Vigna</v>
      </c>
      <c r="H1199" s="230" t="str">
        <f>Table3.110[[#This Row],[Species]]</f>
        <v>radiata</v>
      </c>
      <c r="I1199" s="230" t="str">
        <f>Table3.110[[#This Row],[Tax Name]]</f>
        <v>Vigna radiata</v>
      </c>
      <c r="J1199" s="230" t="str">
        <f>Table3.110[[#This Row],[Family]]</f>
        <v>Fabaceae</v>
      </c>
      <c r="K1199" s="230" t="str">
        <f>Table3.110[[#This Row],[Order]]</f>
        <v>Fabales</v>
      </c>
      <c r="L1199" s="230" t="str">
        <f>Table3.110[[#This Row],[Functional Group]]</f>
        <v>Herbaceous</v>
      </c>
      <c r="M1199" s="230" t="str">
        <f>Table3.110[[#This Row],[CIAT ID]]</f>
        <v>F260031</v>
      </c>
      <c r="N1199" s="230">
        <f>Table3.110[[#This Row],[Set CIAT]]</f>
        <v>30</v>
      </c>
      <c r="O1199" s="230">
        <f>Table3.110[[#This Row],[Batch]]</f>
        <v>71</v>
      </c>
      <c r="P1199" s="230">
        <f>Table3.110[[#This Row],[Run]]</f>
        <v>3</v>
      </c>
      <c r="Q1199" s="230">
        <f>Table3.110[[#This Row],[Replication]]</f>
        <v>1</v>
      </c>
      <c r="R1199" s="230">
        <f>Table3.110[[#This Row],[Syrange No]]</f>
        <v>113</v>
      </c>
      <c r="S1199" s="250">
        <v>0.56269999999999998</v>
      </c>
      <c r="T1199" s="250">
        <v>0.83889999999999998</v>
      </c>
      <c r="U1199" s="25"/>
      <c r="V1199" s="283">
        <f t="shared" ref="V1199:V1228" si="111">T1199-S1199</f>
        <v>0.2762</v>
      </c>
      <c r="W1199" s="61">
        <f>Table3.110[[#This Row],[DM Incubated, mg]]-('3.2 Digest'!V1199*1000)</f>
        <v>178.38407342115204</v>
      </c>
      <c r="X1199" s="61">
        <f>W1199/Table3.110[[#This Row],[DM Incubated, mg]]*100</f>
        <v>39.241162163613041</v>
      </c>
      <c r="Y1199" s="31">
        <f>Table3.110[[#This Row],[DM Incubated, mg]]*'2.4 NDF'!R277/100</f>
        <v>222.41928049924067</v>
      </c>
      <c r="Z1199" s="61">
        <f t="shared" si="109"/>
        <v>-53.780719500759318</v>
      </c>
      <c r="AA1199" s="61">
        <f t="shared" si="110"/>
        <v>-24.179881968884853</v>
      </c>
      <c r="AB1199" s="6"/>
    </row>
    <row r="1200" spans="2:28" x14ac:dyDescent="0.35">
      <c r="B1200" s="230">
        <f t="shared" si="108"/>
        <v>1190</v>
      </c>
      <c r="C1200" s="9"/>
      <c r="D1200" s="248">
        <f>Table3.110[[#This Row],[Date]]</f>
        <v>46085</v>
      </c>
      <c r="E1200" s="230" t="str">
        <f>Table3.110[[#This Row],[Requisitioner]]</f>
        <v>Genbank</v>
      </c>
      <c r="F1200" s="230" t="str">
        <f>Table3.110[[#This Row],[Gene Bank ID]]</f>
        <v>CIAT34144</v>
      </c>
      <c r="G1200" s="230" t="str">
        <f>Table3.110[[#This Row],[Genus]]</f>
        <v>Vigna</v>
      </c>
      <c r="H1200" s="230" t="str">
        <f>Table3.110[[#This Row],[Species]]</f>
        <v>radiata</v>
      </c>
      <c r="I1200" s="230" t="str">
        <f>Table3.110[[#This Row],[Tax Name]]</f>
        <v>Vigna radiata</v>
      </c>
      <c r="J1200" s="230" t="str">
        <f>Table3.110[[#This Row],[Family]]</f>
        <v>Fabaceae</v>
      </c>
      <c r="K1200" s="230" t="str">
        <f>Table3.110[[#This Row],[Order]]</f>
        <v>Fabales</v>
      </c>
      <c r="L1200" s="230" t="str">
        <f>Table3.110[[#This Row],[Functional Group]]</f>
        <v>Herbaceous</v>
      </c>
      <c r="M1200" s="230" t="str">
        <f>Table3.110[[#This Row],[CIAT ID]]</f>
        <v>F260031</v>
      </c>
      <c r="N1200" s="230">
        <f>Table3.110[[#This Row],[Set CIAT]]</f>
        <v>30</v>
      </c>
      <c r="O1200" s="230">
        <f>Table3.110[[#This Row],[Batch]]</f>
        <v>71</v>
      </c>
      <c r="P1200" s="230">
        <f>Table3.110[[#This Row],[Run]]</f>
        <v>3</v>
      </c>
      <c r="Q1200" s="230">
        <f>Table3.110[[#This Row],[Replication]]</f>
        <v>2</v>
      </c>
      <c r="R1200" s="230">
        <f>Table3.110[[#This Row],[Syrange No]]</f>
        <v>114</v>
      </c>
      <c r="S1200" s="98">
        <v>0.60109999999999997</v>
      </c>
      <c r="T1200" s="98">
        <v>0.8347</v>
      </c>
      <c r="U1200" s="8"/>
      <c r="V1200" s="283">
        <f t="shared" si="111"/>
        <v>0.23360000000000003</v>
      </c>
      <c r="W1200" s="61">
        <f>Table3.110[[#This Row],[DM Incubated, mg]]-('3.2 Digest'!V1200*1000)</f>
        <v>221.07497205610923</v>
      </c>
      <c r="X1200" s="61">
        <f>W1200/Table3.110[[#This Row],[DM Incubated, mg]]*100</f>
        <v>48.622639389270681</v>
      </c>
      <c r="Y1200" s="31">
        <f>Table3.110[[#This Row],[DM Incubated, mg]]*'2.4 NDF'!R277/100</f>
        <v>222.4637554603483</v>
      </c>
      <c r="Z1200" s="61">
        <f t="shared" si="109"/>
        <v>-11.136244539651727</v>
      </c>
      <c r="AA1200" s="61">
        <f t="shared" si="110"/>
        <v>-5.0058691657916565</v>
      </c>
      <c r="AB1200" s="6"/>
    </row>
    <row r="1201" spans="2:28" x14ac:dyDescent="0.35">
      <c r="B1201" s="230">
        <f t="shared" si="108"/>
        <v>1191</v>
      </c>
      <c r="C1201" s="9"/>
      <c r="D1201" s="248">
        <f>Table3.110[[#This Row],[Date]]</f>
        <v>46085</v>
      </c>
      <c r="E1201" s="230" t="str">
        <f>Table3.110[[#This Row],[Requisitioner]]</f>
        <v>Genbank</v>
      </c>
      <c r="F1201" s="230" t="str">
        <f>Table3.110[[#This Row],[Gene Bank ID]]</f>
        <v>CIAT7934</v>
      </c>
      <c r="G1201" s="230" t="str">
        <f>Table3.110[[#This Row],[Genus]]</f>
        <v>Sesbania</v>
      </c>
      <c r="H1201" s="230" t="str">
        <f>Table3.110[[#This Row],[Species]]</f>
        <v>sesban</v>
      </c>
      <c r="I1201" s="230" t="str">
        <f>Table3.110[[#This Row],[Tax Name]]</f>
        <v>Sesbania sesban</v>
      </c>
      <c r="J1201" s="230" t="str">
        <f>Table3.110[[#This Row],[Family]]</f>
        <v>Fabaceae</v>
      </c>
      <c r="K1201" s="230" t="str">
        <f>Table3.110[[#This Row],[Order]]</f>
        <v>Fabales</v>
      </c>
      <c r="L1201" s="230" t="str">
        <f>Table3.110[[#This Row],[Functional Group]]</f>
        <v>Herbaceous</v>
      </c>
      <c r="M1201" s="230" t="str">
        <f>Table3.110[[#This Row],[CIAT ID]]</f>
        <v>F260032</v>
      </c>
      <c r="N1201" s="230">
        <f>Table3.110[[#This Row],[Set CIAT]]</f>
        <v>30</v>
      </c>
      <c r="O1201" s="230">
        <f>Table3.110[[#This Row],[Batch]]</f>
        <v>71</v>
      </c>
      <c r="P1201" s="230">
        <f>Table3.110[[#This Row],[Run]]</f>
        <v>3</v>
      </c>
      <c r="Q1201" s="230">
        <f>Table3.110[[#This Row],[Replication]]</f>
        <v>1</v>
      </c>
      <c r="R1201" s="230">
        <f>Table3.110[[#This Row],[Syrange No]]</f>
        <v>115</v>
      </c>
      <c r="S1201" s="250">
        <v>0.59079999999999999</v>
      </c>
      <c r="T1201" s="250">
        <v>0.89939999999999998</v>
      </c>
      <c r="U1201" s="8"/>
      <c r="V1201" s="283">
        <f t="shared" si="111"/>
        <v>0.30859999999999999</v>
      </c>
      <c r="W1201" s="61">
        <f>Table3.110[[#This Row],[DM Incubated, mg]]-('3.2 Digest'!V1201*1000)</f>
        <v>174.21453356040797</v>
      </c>
      <c r="X1201" s="61">
        <f>W1201/Table3.110[[#This Row],[DM Incubated, mg]]*100</f>
        <v>36.083117108282096</v>
      </c>
      <c r="Y1201" s="31">
        <f>Table3.110[[#This Row],[DM Incubated, mg]]*'2.4 NDF'!R279/100</f>
        <v>234.99702251650811</v>
      </c>
      <c r="Z1201" s="61">
        <f t="shared" si="109"/>
        <v>-73.602977483491856</v>
      </c>
      <c r="AA1201" s="61">
        <f t="shared" si="110"/>
        <v>-31.320812789583911</v>
      </c>
      <c r="AB1201" s="6"/>
    </row>
    <row r="1202" spans="2:28" x14ac:dyDescent="0.35">
      <c r="B1202" s="230">
        <f t="shared" si="108"/>
        <v>1192</v>
      </c>
      <c r="C1202" s="9"/>
      <c r="D1202" s="248">
        <f>Table3.110[[#This Row],[Date]]</f>
        <v>46085</v>
      </c>
      <c r="E1202" s="230" t="str">
        <f>Table3.110[[#This Row],[Requisitioner]]</f>
        <v>Genbank</v>
      </c>
      <c r="F1202" s="230" t="str">
        <f>Table3.110[[#This Row],[Gene Bank ID]]</f>
        <v>CIAT7934</v>
      </c>
      <c r="G1202" s="230" t="str">
        <f>Table3.110[[#This Row],[Genus]]</f>
        <v>Sesbania</v>
      </c>
      <c r="H1202" s="230" t="str">
        <f>Table3.110[[#This Row],[Species]]</f>
        <v>sesban</v>
      </c>
      <c r="I1202" s="230" t="str">
        <f>Table3.110[[#This Row],[Tax Name]]</f>
        <v>Sesbania sesban</v>
      </c>
      <c r="J1202" s="230" t="str">
        <f>Table3.110[[#This Row],[Family]]</f>
        <v>Fabaceae</v>
      </c>
      <c r="K1202" s="230" t="str">
        <f>Table3.110[[#This Row],[Order]]</f>
        <v>Fabales</v>
      </c>
      <c r="L1202" s="230" t="str">
        <f>Table3.110[[#This Row],[Functional Group]]</f>
        <v>Herbaceous</v>
      </c>
      <c r="M1202" s="230" t="str">
        <f>Table3.110[[#This Row],[CIAT ID]]</f>
        <v>F260032</v>
      </c>
      <c r="N1202" s="230">
        <f>Table3.110[[#This Row],[Set CIAT]]</f>
        <v>30</v>
      </c>
      <c r="O1202" s="230">
        <f>Table3.110[[#This Row],[Batch]]</f>
        <v>71</v>
      </c>
      <c r="P1202" s="230">
        <f>Table3.110[[#This Row],[Run]]</f>
        <v>3</v>
      </c>
      <c r="Q1202" s="230">
        <f>Table3.110[[#This Row],[Replication]]</f>
        <v>2</v>
      </c>
      <c r="R1202" s="230">
        <f>Table3.110[[#This Row],[Syrange No]]</f>
        <v>116</v>
      </c>
      <c r="S1202" s="98">
        <v>0.58430000000000004</v>
      </c>
      <c r="T1202" s="98">
        <v>0.83630000000000004</v>
      </c>
      <c r="U1202" s="25"/>
      <c r="V1202" s="283">
        <f t="shared" si="111"/>
        <v>0.252</v>
      </c>
      <c r="W1202" s="61">
        <f>Table3.110[[#This Row],[DM Incubated, mg]]-('3.2 Digest'!V1202*1000)</f>
        <v>230.42866779932069</v>
      </c>
      <c r="X1202" s="61">
        <f>W1202/Table3.110[[#This Row],[DM Incubated, mg]]*100</f>
        <v>47.764298264126744</v>
      </c>
      <c r="Y1202" s="31">
        <f>Table3.110[[#This Row],[DM Incubated, mg]]*'2.4 NDF'!R279/100</f>
        <v>234.80921270830311</v>
      </c>
      <c r="Z1202" s="61">
        <f t="shared" si="109"/>
        <v>-17.190787291696893</v>
      </c>
      <c r="AA1202" s="61">
        <f t="shared" si="110"/>
        <v>-7.3211724077677163</v>
      </c>
      <c r="AB1202" s="6"/>
    </row>
    <row r="1203" spans="2:28" x14ac:dyDescent="0.35">
      <c r="B1203" s="230">
        <f t="shared" si="108"/>
        <v>1193</v>
      </c>
      <c r="C1203" s="9"/>
      <c r="D1203" s="248">
        <f>Table3.110[[#This Row],[Date]]</f>
        <v>46085</v>
      </c>
      <c r="E1203" s="230" t="str">
        <f>Table3.110[[#This Row],[Requisitioner]]</f>
        <v>Genbank</v>
      </c>
      <c r="F1203" s="230" t="str">
        <f>Table3.110[[#This Row],[Gene Bank ID]]</f>
        <v>CIAT7937</v>
      </c>
      <c r="G1203" s="230" t="str">
        <f>Table3.110[[#This Row],[Genus]]</f>
        <v>Mimosa</v>
      </c>
      <c r="H1203" s="230" t="str">
        <f>Table3.110[[#This Row],[Species]]</f>
        <v>nuda</v>
      </c>
      <c r="I1203" s="230" t="str">
        <f>Table3.110[[#This Row],[Tax Name]]</f>
        <v>Mimosa nuda</v>
      </c>
      <c r="J1203" s="230" t="str">
        <f>Table3.110[[#This Row],[Family]]</f>
        <v>Fabaceae</v>
      </c>
      <c r="K1203" s="230" t="str">
        <f>Table3.110[[#This Row],[Order]]</f>
        <v>Fabales</v>
      </c>
      <c r="L1203" s="230" t="str">
        <f>Table3.110[[#This Row],[Functional Group]]</f>
        <v>Herbaceous</v>
      </c>
      <c r="M1203" s="230" t="str">
        <f>Table3.110[[#This Row],[CIAT ID]]</f>
        <v>F260033</v>
      </c>
      <c r="N1203" s="230">
        <f>Table3.110[[#This Row],[Set CIAT]]</f>
        <v>30</v>
      </c>
      <c r="O1203" s="230">
        <f>Table3.110[[#This Row],[Batch]]</f>
        <v>71</v>
      </c>
      <c r="P1203" s="230">
        <f>Table3.110[[#This Row],[Run]]</f>
        <v>3</v>
      </c>
      <c r="Q1203" s="230">
        <f>Table3.110[[#This Row],[Replication]]</f>
        <v>1</v>
      </c>
      <c r="R1203" s="230">
        <f>Table3.110[[#This Row],[Syrange No]]</f>
        <v>117</v>
      </c>
      <c r="S1203" s="250">
        <v>0.59230000000000005</v>
      </c>
      <c r="T1203" s="250">
        <v>1.0054000000000001</v>
      </c>
      <c r="U1203" s="25"/>
      <c r="V1203" s="283">
        <f t="shared" si="111"/>
        <v>0.41310000000000002</v>
      </c>
      <c r="W1203" s="61">
        <f>Table3.110[[#This Row],[DM Incubated, mg]]-('3.2 Digest'!V1203*1000)</f>
        <v>68.098079814207381</v>
      </c>
      <c r="X1203" s="61">
        <f>W1203/Table3.110[[#This Row],[DM Incubated, mg]]*100</f>
        <v>14.151777131051798</v>
      </c>
      <c r="Y1203" s="31">
        <f>Table3.110[[#This Row],[DM Incubated, mg]]*'2.4 NDF'!R281/100</f>
        <v>299.5902083235494</v>
      </c>
      <c r="Z1203" s="61">
        <f t="shared" si="109"/>
        <v>-113.50979167645062</v>
      </c>
      <c r="AA1203" s="61">
        <f t="shared" si="110"/>
        <v>-37.888351662636147</v>
      </c>
      <c r="AB1203" s="6"/>
    </row>
    <row r="1204" spans="2:28" x14ac:dyDescent="0.35">
      <c r="B1204" s="230">
        <f t="shared" si="108"/>
        <v>1194</v>
      </c>
      <c r="C1204" s="9"/>
      <c r="D1204" s="248">
        <f>Table3.110[[#This Row],[Date]]</f>
        <v>46085</v>
      </c>
      <c r="E1204" s="230" t="str">
        <f>Table3.110[[#This Row],[Requisitioner]]</f>
        <v>Genbank</v>
      </c>
      <c r="F1204" s="230" t="str">
        <f>Table3.110[[#This Row],[Gene Bank ID]]</f>
        <v>CIAT7937</v>
      </c>
      <c r="G1204" s="230" t="str">
        <f>Table3.110[[#This Row],[Genus]]</f>
        <v>Mimosa</v>
      </c>
      <c r="H1204" s="230" t="str">
        <f>Table3.110[[#This Row],[Species]]</f>
        <v>nuda</v>
      </c>
      <c r="I1204" s="230" t="str">
        <f>Table3.110[[#This Row],[Tax Name]]</f>
        <v>Mimosa nuda</v>
      </c>
      <c r="J1204" s="230" t="str">
        <f>Table3.110[[#This Row],[Family]]</f>
        <v>Fabaceae</v>
      </c>
      <c r="K1204" s="230" t="str">
        <f>Table3.110[[#This Row],[Order]]</f>
        <v>Fabales</v>
      </c>
      <c r="L1204" s="230" t="str">
        <f>Table3.110[[#This Row],[Functional Group]]</f>
        <v>Herbaceous</v>
      </c>
      <c r="M1204" s="230" t="str">
        <f>Table3.110[[#This Row],[CIAT ID]]</f>
        <v>F260033</v>
      </c>
      <c r="N1204" s="230">
        <f>Table3.110[[#This Row],[Set CIAT]]</f>
        <v>30</v>
      </c>
      <c r="O1204" s="230">
        <f>Table3.110[[#This Row],[Batch]]</f>
        <v>71</v>
      </c>
      <c r="P1204" s="230">
        <f>Table3.110[[#This Row],[Run]]</f>
        <v>3</v>
      </c>
      <c r="Q1204" s="230">
        <f>Table3.110[[#This Row],[Replication]]</f>
        <v>2</v>
      </c>
      <c r="R1204" s="230">
        <f>Table3.110[[#This Row],[Syrange No]]</f>
        <v>118</v>
      </c>
      <c r="S1204" s="98">
        <v>0.61280000000000001</v>
      </c>
      <c r="T1204" s="98">
        <v>0.98970000000000002</v>
      </c>
      <c r="U1204" s="8"/>
      <c r="V1204" s="283">
        <f t="shared" si="111"/>
        <v>0.37690000000000001</v>
      </c>
      <c r="W1204" s="61">
        <f>Table3.110[[#This Row],[DM Incubated, mg]]-('3.2 Digest'!V1204*1000)</f>
        <v>104.29807981420737</v>
      </c>
      <c r="X1204" s="61">
        <f>W1204/Table3.110[[#This Row],[DM Incubated, mg]]*100</f>
        <v>21.674666668345246</v>
      </c>
      <c r="Y1204" s="31">
        <f>Table3.110[[#This Row],[DM Incubated, mg]]*'2.4 NDF'!R281/100</f>
        <v>299.5902083235494</v>
      </c>
      <c r="Z1204" s="61">
        <f t="shared" si="109"/>
        <v>-77.309791676450629</v>
      </c>
      <c r="AA1204" s="61">
        <f t="shared" si="110"/>
        <v>-25.805179718343176</v>
      </c>
      <c r="AB1204" s="6"/>
    </row>
    <row r="1205" spans="2:28" x14ac:dyDescent="0.35">
      <c r="B1205" s="230">
        <f t="shared" si="108"/>
        <v>1195</v>
      </c>
      <c r="C1205" s="9"/>
      <c r="D1205" s="248">
        <f>Table3.110[[#This Row],[Date]]</f>
        <v>46085</v>
      </c>
      <c r="E1205" s="230" t="str">
        <f>Table3.110[[#This Row],[Requisitioner]]</f>
        <v>Genbank</v>
      </c>
      <c r="F1205" s="230" t="str">
        <f>Table3.110[[#This Row],[Gene Bank ID]]</f>
        <v>CIAT8056</v>
      </c>
      <c r="G1205" s="230" t="str">
        <f>Table3.110[[#This Row],[Genus]]</f>
        <v>Mimosa</v>
      </c>
      <c r="H1205" s="230" t="str">
        <f>Table3.110[[#This Row],[Species]]</f>
        <v>diplotricha</v>
      </c>
      <c r="I1205" s="230" t="str">
        <f>Table3.110[[#This Row],[Tax Name]]</f>
        <v>Mimosa diplotricha</v>
      </c>
      <c r="J1205" s="230" t="str">
        <f>Table3.110[[#This Row],[Family]]</f>
        <v>Fabaceae</v>
      </c>
      <c r="K1205" s="230" t="str">
        <f>Table3.110[[#This Row],[Order]]</f>
        <v>Fabales</v>
      </c>
      <c r="L1205" s="230" t="str">
        <f>Table3.110[[#This Row],[Functional Group]]</f>
        <v>Herbaceous</v>
      </c>
      <c r="M1205" s="230" t="str">
        <f>Table3.110[[#This Row],[CIAT ID]]</f>
        <v>F260034</v>
      </c>
      <c r="N1205" s="230">
        <f>Table3.110[[#This Row],[Set CIAT]]</f>
        <v>30</v>
      </c>
      <c r="O1205" s="230">
        <f>Table3.110[[#This Row],[Batch]]</f>
        <v>71</v>
      </c>
      <c r="P1205" s="230">
        <f>Table3.110[[#This Row],[Run]]</f>
        <v>3</v>
      </c>
      <c r="Q1205" s="230">
        <f>Table3.110[[#This Row],[Replication]]</f>
        <v>1</v>
      </c>
      <c r="R1205" s="230">
        <f>Table3.110[[#This Row],[Syrange No]]</f>
        <v>119</v>
      </c>
      <c r="S1205" s="250">
        <v>0.57969999999999999</v>
      </c>
      <c r="T1205" s="250">
        <v>0.98009999999999997</v>
      </c>
      <c r="U1205" s="8"/>
      <c r="V1205" s="283">
        <f t="shared" si="111"/>
        <v>0.40039999999999998</v>
      </c>
      <c r="W1205" s="61">
        <f>Table3.110[[#This Row],[DM Incubated, mg]]-('3.2 Digest'!V1205*1000)</f>
        <v>76.535885416284259</v>
      </c>
      <c r="X1205" s="61">
        <f>W1205/Table3.110[[#This Row],[DM Incubated, mg]]*100</f>
        <v>16.04741596440817</v>
      </c>
      <c r="Y1205" s="31">
        <f>Table3.110[[#This Row],[DM Incubated, mg]]*'2.4 NDF'!R283/100</f>
        <v>259.60956728878915</v>
      </c>
      <c r="Z1205" s="61">
        <f t="shared" si="109"/>
        <v>-140.79043271121083</v>
      </c>
      <c r="AA1205" s="61">
        <f t="shared" si="110"/>
        <v>-54.231604089766016</v>
      </c>
      <c r="AB1205" s="6"/>
    </row>
    <row r="1206" spans="2:28" x14ac:dyDescent="0.35">
      <c r="B1206" s="230">
        <f t="shared" si="108"/>
        <v>1196</v>
      </c>
      <c r="C1206" s="9"/>
      <c r="D1206" s="248">
        <f>Table3.110[[#This Row],[Date]]</f>
        <v>46085</v>
      </c>
      <c r="E1206" s="230" t="str">
        <f>Table3.110[[#This Row],[Requisitioner]]</f>
        <v>Genbank</v>
      </c>
      <c r="F1206" s="230" t="str">
        <f>Table3.110[[#This Row],[Gene Bank ID]]</f>
        <v>CIAT8056</v>
      </c>
      <c r="G1206" s="230" t="str">
        <f>Table3.110[[#This Row],[Genus]]</f>
        <v>Mimosa</v>
      </c>
      <c r="H1206" s="230" t="str">
        <f>Table3.110[[#This Row],[Species]]</f>
        <v>diplotricha</v>
      </c>
      <c r="I1206" s="230" t="str">
        <f>Table3.110[[#This Row],[Tax Name]]</f>
        <v>Mimosa diplotricha</v>
      </c>
      <c r="J1206" s="230" t="str">
        <f>Table3.110[[#This Row],[Family]]</f>
        <v>Fabaceae</v>
      </c>
      <c r="K1206" s="230" t="str">
        <f>Table3.110[[#This Row],[Order]]</f>
        <v>Fabales</v>
      </c>
      <c r="L1206" s="230" t="str">
        <f>Table3.110[[#This Row],[Functional Group]]</f>
        <v>Herbaceous</v>
      </c>
      <c r="M1206" s="230" t="str">
        <f>Table3.110[[#This Row],[CIAT ID]]</f>
        <v>F260034</v>
      </c>
      <c r="N1206" s="230">
        <f>Table3.110[[#This Row],[Set CIAT]]</f>
        <v>30</v>
      </c>
      <c r="O1206" s="230">
        <f>Table3.110[[#This Row],[Batch]]</f>
        <v>71</v>
      </c>
      <c r="P1206" s="230">
        <f>Table3.110[[#This Row],[Run]]</f>
        <v>3</v>
      </c>
      <c r="Q1206" s="230">
        <f>Table3.110[[#This Row],[Replication]]</f>
        <v>2</v>
      </c>
      <c r="R1206" s="230">
        <f>Table3.110[[#This Row],[Syrange No]]</f>
        <v>120</v>
      </c>
      <c r="S1206" s="98">
        <v>0.5595</v>
      </c>
      <c r="T1206" s="98">
        <v>0.876</v>
      </c>
      <c r="U1206" s="25"/>
      <c r="V1206" s="283">
        <f t="shared" si="111"/>
        <v>0.3165</v>
      </c>
      <c r="W1206" s="61">
        <f>Table3.110[[#This Row],[DM Incubated, mg]]-('3.2 Digest'!V1206*1000)</f>
        <v>160.05471787549203</v>
      </c>
      <c r="X1206" s="61">
        <f>W1206/Table3.110[[#This Row],[DM Incubated, mg]]*100</f>
        <v>33.585800721693623</v>
      </c>
      <c r="Y1206" s="31">
        <f>Table3.110[[#This Row],[DM Incubated, mg]]*'2.4 NDF'!R283/100</f>
        <v>259.40208711513179</v>
      </c>
      <c r="Z1206" s="61">
        <f t="shared" si="109"/>
        <v>-57.097912884868208</v>
      </c>
      <c r="AA1206" s="61">
        <f t="shared" si="110"/>
        <v>-22.011354465134332</v>
      </c>
      <c r="AB1206" s="6"/>
    </row>
    <row r="1207" spans="2:28" x14ac:dyDescent="0.35">
      <c r="B1207" s="230">
        <f t="shared" si="108"/>
        <v>1197</v>
      </c>
      <c r="C1207" s="9"/>
      <c r="D1207" s="248">
        <f>Table3.110[[#This Row],[Date]]</f>
        <v>46085</v>
      </c>
      <c r="E1207" s="230" t="str">
        <f>Table3.110[[#This Row],[Requisitioner]]</f>
        <v>Genbank</v>
      </c>
      <c r="F1207" s="230" t="str">
        <f>Table3.110[[#This Row],[Gene Bank ID]]</f>
        <v>CIAT17514</v>
      </c>
      <c r="G1207" s="230" t="str">
        <f>Table3.110[[#This Row],[Genus]]</f>
        <v>Mimosa</v>
      </c>
      <c r="H1207" s="230" t="str">
        <f>Table3.110[[#This Row],[Species]]</f>
        <v>pudica</v>
      </c>
      <c r="I1207" s="230" t="str">
        <f>Table3.110[[#This Row],[Tax Name]]</f>
        <v>Mimosa pudica</v>
      </c>
      <c r="J1207" s="230" t="str">
        <f>Table3.110[[#This Row],[Family]]</f>
        <v>Fabaceae</v>
      </c>
      <c r="K1207" s="230" t="str">
        <f>Table3.110[[#This Row],[Order]]</f>
        <v>Fabales</v>
      </c>
      <c r="L1207" s="230" t="str">
        <f>Table3.110[[#This Row],[Functional Group]]</f>
        <v>Herbaceous</v>
      </c>
      <c r="M1207" s="230" t="str">
        <f>Table3.110[[#This Row],[CIAT ID]]</f>
        <v>F260035</v>
      </c>
      <c r="N1207" s="230">
        <f>Table3.110[[#This Row],[Set CIAT]]</f>
        <v>30</v>
      </c>
      <c r="O1207" s="230">
        <f>Table3.110[[#This Row],[Batch]]</f>
        <v>71</v>
      </c>
      <c r="P1207" s="230">
        <f>Table3.110[[#This Row],[Run]]</f>
        <v>3</v>
      </c>
      <c r="Q1207" s="230">
        <f>Table3.110[[#This Row],[Replication]]</f>
        <v>1</v>
      </c>
      <c r="R1207" s="230">
        <f>Table3.110[[#This Row],[Syrange No]]</f>
        <v>121</v>
      </c>
      <c r="S1207" s="250">
        <v>0.5786</v>
      </c>
      <c r="T1207" s="250">
        <v>0.97209999999999996</v>
      </c>
      <c r="U1207" s="25"/>
      <c r="V1207" s="283">
        <f t="shared" si="111"/>
        <v>0.39349999999999996</v>
      </c>
      <c r="W1207" s="61">
        <f>Table3.110[[#This Row],[DM Incubated, mg]]-('3.2 Digest'!V1207*1000)</f>
        <v>88.679385307346593</v>
      </c>
      <c r="X1207" s="61">
        <f>W1207/Table3.110[[#This Row],[DM Incubated, mg]]*100</f>
        <v>18.391368028067266</v>
      </c>
      <c r="Y1207" s="31">
        <f>Table3.110[[#This Row],[DM Incubated, mg]]*'2.4 NDF'!R285/100</f>
        <v>286.36951521538703</v>
      </c>
      <c r="Z1207" s="61">
        <f t="shared" si="109"/>
        <v>-107.13048478461292</v>
      </c>
      <c r="AA1207" s="61">
        <f t="shared" si="110"/>
        <v>-37.409877480861361</v>
      </c>
      <c r="AB1207" s="6"/>
    </row>
    <row r="1208" spans="2:28" x14ac:dyDescent="0.35">
      <c r="B1208" s="230">
        <f t="shared" si="108"/>
        <v>1198</v>
      </c>
      <c r="C1208" s="9"/>
      <c r="D1208" s="248">
        <f>Table3.110[[#This Row],[Date]]</f>
        <v>46085</v>
      </c>
      <c r="E1208" s="230" t="str">
        <f>Table3.110[[#This Row],[Requisitioner]]</f>
        <v>Genbank</v>
      </c>
      <c r="F1208" s="230" t="str">
        <f>Table3.110[[#This Row],[Gene Bank ID]]</f>
        <v>CIAT17514</v>
      </c>
      <c r="G1208" s="230" t="str">
        <f>Table3.110[[#This Row],[Genus]]</f>
        <v>Mimosa</v>
      </c>
      <c r="H1208" s="230" t="str">
        <f>Table3.110[[#This Row],[Species]]</f>
        <v>pudica</v>
      </c>
      <c r="I1208" s="230" t="str">
        <f>Table3.110[[#This Row],[Tax Name]]</f>
        <v>Mimosa pudica</v>
      </c>
      <c r="J1208" s="230" t="str">
        <f>Table3.110[[#This Row],[Family]]</f>
        <v>Fabaceae</v>
      </c>
      <c r="K1208" s="230" t="str">
        <f>Table3.110[[#This Row],[Order]]</f>
        <v>Fabales</v>
      </c>
      <c r="L1208" s="230" t="str">
        <f>Table3.110[[#This Row],[Functional Group]]</f>
        <v>Herbaceous</v>
      </c>
      <c r="M1208" s="230" t="str">
        <f>Table3.110[[#This Row],[CIAT ID]]</f>
        <v>F260035</v>
      </c>
      <c r="N1208" s="230">
        <f>Table3.110[[#This Row],[Set CIAT]]</f>
        <v>30</v>
      </c>
      <c r="O1208" s="230">
        <f>Table3.110[[#This Row],[Batch]]</f>
        <v>71</v>
      </c>
      <c r="P1208" s="230">
        <f>Table3.110[[#This Row],[Run]]</f>
        <v>3</v>
      </c>
      <c r="Q1208" s="230">
        <f>Table3.110[[#This Row],[Replication]]</f>
        <v>2</v>
      </c>
      <c r="R1208" s="230">
        <f>Table3.110[[#This Row],[Syrange No]]</f>
        <v>122</v>
      </c>
      <c r="S1208" s="98">
        <v>0.57579999999999998</v>
      </c>
      <c r="T1208" s="98">
        <v>0.93520000000000003</v>
      </c>
      <c r="U1208" s="8"/>
      <c r="V1208" s="283">
        <f t="shared" si="111"/>
        <v>0.35940000000000005</v>
      </c>
      <c r="W1208" s="61">
        <f>Table3.110[[#This Row],[DM Incubated, mg]]-('3.2 Digest'!V1208*1000)</f>
        <v>122.97225706146946</v>
      </c>
      <c r="X1208" s="61">
        <f>W1208/Table3.110[[#This Row],[DM Incubated, mg]]*100</f>
        <v>25.493227535637253</v>
      </c>
      <c r="Y1208" s="31">
        <f>Table3.110[[#This Row],[DM Incubated, mg]]*'2.4 NDF'!R285/100</f>
        <v>286.48406302147322</v>
      </c>
      <c r="Z1208" s="61">
        <f t="shared" si="109"/>
        <v>-72.915936978526815</v>
      </c>
      <c r="AA1208" s="61">
        <f t="shared" si="110"/>
        <v>-25.452004627936827</v>
      </c>
      <c r="AB1208" s="6"/>
    </row>
    <row r="1209" spans="2:28" x14ac:dyDescent="0.35">
      <c r="B1209" s="230">
        <f t="shared" si="108"/>
        <v>1199</v>
      </c>
      <c r="C1209" s="9"/>
      <c r="D1209" s="248">
        <f>Table3.110[[#This Row],[Date]]</f>
        <v>46085</v>
      </c>
      <c r="E1209" s="230" t="str">
        <f>Table3.110[[#This Row],[Requisitioner]]</f>
        <v>Genbank</v>
      </c>
      <c r="F1209" s="230" t="str">
        <f>Table3.110[[#This Row],[Gene Bank ID]]</f>
        <v>CIAT17725</v>
      </c>
      <c r="G1209" s="230" t="str">
        <f>Table3.110[[#This Row],[Genus]]</f>
        <v>Mimosa</v>
      </c>
      <c r="H1209" s="230" t="str">
        <f>Table3.110[[#This Row],[Species]]</f>
        <v>polycarpa</v>
      </c>
      <c r="I1209" s="230" t="str">
        <f>Table3.110[[#This Row],[Tax Name]]</f>
        <v>Mimosa polycarpa</v>
      </c>
      <c r="J1209" s="230" t="str">
        <f>Table3.110[[#This Row],[Family]]</f>
        <v>Fabaceae</v>
      </c>
      <c r="K1209" s="230" t="str">
        <f>Table3.110[[#This Row],[Order]]</f>
        <v>Fabales</v>
      </c>
      <c r="L1209" s="230" t="str">
        <f>Table3.110[[#This Row],[Functional Group]]</f>
        <v>Herbaceous</v>
      </c>
      <c r="M1209" s="230" t="str">
        <f>Table3.110[[#This Row],[CIAT ID]]</f>
        <v>F260036</v>
      </c>
      <c r="N1209" s="230">
        <f>Table3.110[[#This Row],[Set CIAT]]</f>
        <v>30</v>
      </c>
      <c r="O1209" s="230">
        <f>Table3.110[[#This Row],[Batch]]</f>
        <v>71</v>
      </c>
      <c r="P1209" s="230">
        <f>Table3.110[[#This Row],[Run]]</f>
        <v>3</v>
      </c>
      <c r="Q1209" s="230">
        <f>Table3.110[[#This Row],[Replication]]</f>
        <v>1</v>
      </c>
      <c r="R1209" s="230">
        <f>Table3.110[[#This Row],[Syrange No]]</f>
        <v>123</v>
      </c>
      <c r="S1209" s="250">
        <v>0.57620000000000005</v>
      </c>
      <c r="T1209" s="250">
        <v>0.94220000000000004</v>
      </c>
      <c r="U1209" s="8"/>
      <c r="V1209" s="283">
        <f t="shared" si="111"/>
        <v>0.36599999999999999</v>
      </c>
      <c r="W1209" s="61">
        <f>Table3.110[[#This Row],[DM Incubated, mg]]-('3.2 Digest'!V1209*1000)</f>
        <v>112.8142001993927</v>
      </c>
      <c r="X1209" s="61">
        <f>W1209/Table3.110[[#This Row],[DM Incubated, mg]]*100</f>
        <v>23.56116425795506</v>
      </c>
      <c r="Y1209" s="31">
        <f>Table3.110[[#This Row],[DM Incubated, mg]]*'2.4 NDF'!R287/100</f>
        <v>292.47897956759095</v>
      </c>
      <c r="Z1209" s="61">
        <f t="shared" si="109"/>
        <v>-73.521020432409045</v>
      </c>
      <c r="AA1209" s="61">
        <f t="shared" si="110"/>
        <v>-25.137198078680584</v>
      </c>
      <c r="AB1209" s="6"/>
    </row>
    <row r="1210" spans="2:28" x14ac:dyDescent="0.35">
      <c r="B1210" s="230">
        <f t="shared" si="108"/>
        <v>1200</v>
      </c>
      <c r="C1210" s="9"/>
      <c r="D1210" s="248">
        <f>Table3.110[[#This Row],[Date]]</f>
        <v>46085</v>
      </c>
      <c r="E1210" s="230" t="str">
        <f>Table3.110[[#This Row],[Requisitioner]]</f>
        <v>Genbank</v>
      </c>
      <c r="F1210" s="230" t="str">
        <f>Table3.110[[#This Row],[Gene Bank ID]]</f>
        <v>CIAT17725</v>
      </c>
      <c r="G1210" s="230" t="str">
        <f>Table3.110[[#This Row],[Genus]]</f>
        <v>Mimosa</v>
      </c>
      <c r="H1210" s="230" t="str">
        <f>Table3.110[[#This Row],[Species]]</f>
        <v>polycarpa</v>
      </c>
      <c r="I1210" s="230" t="str">
        <f>Table3.110[[#This Row],[Tax Name]]</f>
        <v>Mimosa polycarpa</v>
      </c>
      <c r="J1210" s="230" t="str">
        <f>Table3.110[[#This Row],[Family]]</f>
        <v>Fabaceae</v>
      </c>
      <c r="K1210" s="230" t="str">
        <f>Table3.110[[#This Row],[Order]]</f>
        <v>Fabales</v>
      </c>
      <c r="L1210" s="230" t="str">
        <f>Table3.110[[#This Row],[Functional Group]]</f>
        <v>Herbaceous</v>
      </c>
      <c r="M1210" s="230" t="str">
        <f>Table3.110[[#This Row],[CIAT ID]]</f>
        <v>F260036</v>
      </c>
      <c r="N1210" s="230">
        <f>Table3.110[[#This Row],[Set CIAT]]</f>
        <v>30</v>
      </c>
      <c r="O1210" s="230">
        <f>Table3.110[[#This Row],[Batch]]</f>
        <v>71</v>
      </c>
      <c r="P1210" s="230">
        <f>Table3.110[[#This Row],[Run]]</f>
        <v>3</v>
      </c>
      <c r="Q1210" s="230">
        <f>Table3.110[[#This Row],[Replication]]</f>
        <v>2</v>
      </c>
      <c r="R1210" s="230">
        <f>Table3.110[[#This Row],[Syrange No]]</f>
        <v>124</v>
      </c>
      <c r="S1210" s="98">
        <v>0.56810000000000005</v>
      </c>
      <c r="T1210" s="98">
        <v>0.90310000000000001</v>
      </c>
      <c r="U1210" s="25"/>
      <c r="V1210" s="283">
        <f t="shared" si="111"/>
        <v>0.33499999999999996</v>
      </c>
      <c r="W1210" s="61">
        <f>Table3.110[[#This Row],[DM Incubated, mg]]-('3.2 Digest'!V1210*1000)</f>
        <v>143.52719868079174</v>
      </c>
      <c r="X1210" s="61">
        <f>W1210/Table3.110[[#This Row],[DM Incubated, mg]]*100</f>
        <v>29.993529955344002</v>
      </c>
      <c r="Y1210" s="31">
        <f>Table3.110[[#This Row],[DM Incubated, mg]]*'2.4 NDF'!R287/100</f>
        <v>292.30366749192609</v>
      </c>
      <c r="Z1210" s="61">
        <f t="shared" si="109"/>
        <v>-42.696332508073851</v>
      </c>
      <c r="AA1210" s="61">
        <f t="shared" si="110"/>
        <v>-14.60684119170458</v>
      </c>
      <c r="AB1210" s="6"/>
    </row>
    <row r="1211" spans="2:28" x14ac:dyDescent="0.35">
      <c r="B1211" s="230">
        <f t="shared" si="108"/>
        <v>1201</v>
      </c>
      <c r="C1211" s="9"/>
      <c r="D1211" s="248">
        <f>Table3.110[[#This Row],[Date]]</f>
        <v>46085</v>
      </c>
      <c r="E1211" s="230" t="str">
        <f>Table3.110[[#This Row],[Requisitioner]]</f>
        <v>Genbank</v>
      </c>
      <c r="F1211" s="230" t="str">
        <f>Table3.110[[#This Row],[Gene Bank ID]]</f>
        <v>CIAT18947</v>
      </c>
      <c r="G1211" s="230" t="str">
        <f>Table3.110[[#This Row],[Genus]]</f>
        <v>Sesbania</v>
      </c>
      <c r="H1211" s="230" t="str">
        <f>Table3.110[[#This Row],[Species]]</f>
        <v>sesban</v>
      </c>
      <c r="I1211" s="230" t="str">
        <f>Table3.110[[#This Row],[Tax Name]]</f>
        <v>Sesbania sesban</v>
      </c>
      <c r="J1211" s="230" t="str">
        <f>Table3.110[[#This Row],[Family]]</f>
        <v>Fabaceae</v>
      </c>
      <c r="K1211" s="230" t="str">
        <f>Table3.110[[#This Row],[Order]]</f>
        <v>Fabales</v>
      </c>
      <c r="L1211" s="230" t="str">
        <f>Table3.110[[#This Row],[Functional Group]]</f>
        <v>Shurb_Tree</v>
      </c>
      <c r="M1211" s="230" t="str">
        <f>Table3.110[[#This Row],[CIAT ID]]</f>
        <v>F260037</v>
      </c>
      <c r="N1211" s="230">
        <f>Table3.110[[#This Row],[Set CIAT]]</f>
        <v>30</v>
      </c>
      <c r="O1211" s="230">
        <f>Table3.110[[#This Row],[Batch]]</f>
        <v>71</v>
      </c>
      <c r="P1211" s="230">
        <f>Table3.110[[#This Row],[Run]]</f>
        <v>3</v>
      </c>
      <c r="Q1211" s="230">
        <f>Table3.110[[#This Row],[Replication]]</f>
        <v>1</v>
      </c>
      <c r="R1211" s="230">
        <f>Table3.110[[#This Row],[Syrange No]]</f>
        <v>125</v>
      </c>
      <c r="S1211" s="250">
        <v>0.57720000000000005</v>
      </c>
      <c r="T1211" s="250">
        <v>0.82189999999999996</v>
      </c>
      <c r="U1211" s="25"/>
      <c r="V1211" s="283">
        <f t="shared" si="111"/>
        <v>0.24469999999999992</v>
      </c>
      <c r="W1211" s="61">
        <f>Table3.110[[#This Row],[DM Incubated, mg]]-('3.2 Digest'!V1211*1000)</f>
        <v>232.99100091163541</v>
      </c>
      <c r="X1211" s="61">
        <f>W1211/Table3.110[[#This Row],[DM Incubated, mg]]*100</f>
        <v>48.774417032556734</v>
      </c>
      <c r="Y1211" s="31">
        <f>Table3.110[[#This Row],[DM Incubated, mg]]*'2.4 NDF'!R289/100</f>
        <v>219.75898446136114</v>
      </c>
      <c r="Z1211" s="61">
        <f t="shared" si="109"/>
        <v>-24.941015538638794</v>
      </c>
      <c r="AA1211" s="61">
        <f t="shared" si="110"/>
        <v>-11.349258643404415</v>
      </c>
      <c r="AB1211" s="6"/>
    </row>
    <row r="1212" spans="2:28" x14ac:dyDescent="0.35">
      <c r="B1212" s="230">
        <f t="shared" si="108"/>
        <v>1202</v>
      </c>
      <c r="C1212" s="9"/>
      <c r="D1212" s="248">
        <f>Table3.110[[#This Row],[Date]]</f>
        <v>46085</v>
      </c>
      <c r="E1212" s="230" t="str">
        <f>Table3.110[[#This Row],[Requisitioner]]</f>
        <v>Genbank</v>
      </c>
      <c r="F1212" s="230" t="str">
        <f>Table3.110[[#This Row],[Gene Bank ID]]</f>
        <v>CIAT18947</v>
      </c>
      <c r="G1212" s="230" t="str">
        <f>Table3.110[[#This Row],[Genus]]</f>
        <v>Sesbania</v>
      </c>
      <c r="H1212" s="230" t="str">
        <f>Table3.110[[#This Row],[Species]]</f>
        <v>sesban</v>
      </c>
      <c r="I1212" s="230" t="str">
        <f>Table3.110[[#This Row],[Tax Name]]</f>
        <v>Sesbania sesban</v>
      </c>
      <c r="J1212" s="230" t="str">
        <f>Table3.110[[#This Row],[Family]]</f>
        <v>Fabaceae</v>
      </c>
      <c r="K1212" s="230" t="str">
        <f>Table3.110[[#This Row],[Order]]</f>
        <v>Fabales</v>
      </c>
      <c r="L1212" s="230" t="str">
        <f>Table3.110[[#This Row],[Functional Group]]</f>
        <v>Shurb_Tree</v>
      </c>
      <c r="M1212" s="230" t="str">
        <f>Table3.110[[#This Row],[CIAT ID]]</f>
        <v>F260037</v>
      </c>
      <c r="N1212" s="230">
        <f>Table3.110[[#This Row],[Set CIAT]]</f>
        <v>30</v>
      </c>
      <c r="O1212" s="230">
        <f>Table3.110[[#This Row],[Batch]]</f>
        <v>71</v>
      </c>
      <c r="P1212" s="230">
        <f>Table3.110[[#This Row],[Run]]</f>
        <v>3</v>
      </c>
      <c r="Q1212" s="230">
        <f>Table3.110[[#This Row],[Replication]]</f>
        <v>2</v>
      </c>
      <c r="R1212" s="230">
        <f>Table3.110[[#This Row],[Syrange No]]</f>
        <v>126</v>
      </c>
      <c r="S1212" s="98">
        <v>0.5645</v>
      </c>
      <c r="T1212" s="98">
        <v>0.79090000000000005</v>
      </c>
      <c r="U1212" s="8"/>
      <c r="V1212" s="283">
        <f t="shared" si="111"/>
        <v>0.22640000000000005</v>
      </c>
      <c r="W1212" s="61">
        <f>Table3.110[[#This Row],[DM Incubated, mg]]-('3.2 Digest'!V1212*1000)</f>
        <v>251.00455817672935</v>
      </c>
      <c r="X1212" s="61">
        <f>W1212/Table3.110[[#This Row],[DM Incubated, mg]]*100</f>
        <v>52.576908594117469</v>
      </c>
      <c r="Y1212" s="31">
        <f>Table3.110[[#This Row],[DM Incubated, mg]]*'2.4 NDF'!R289/100</f>
        <v>219.62720813647928</v>
      </c>
      <c r="Z1212" s="61">
        <f t="shared" si="109"/>
        <v>-6.7727918635207516</v>
      </c>
      <c r="AA1212" s="61">
        <f t="shared" si="110"/>
        <v>-3.0837672258311679</v>
      </c>
      <c r="AB1212" s="6"/>
    </row>
    <row r="1213" spans="2:28" x14ac:dyDescent="0.35">
      <c r="B1213" s="230">
        <f t="shared" si="108"/>
        <v>1203</v>
      </c>
      <c r="C1213" s="9"/>
      <c r="D1213" s="248">
        <f>Table3.110[[#This Row],[Date]]</f>
        <v>46085</v>
      </c>
      <c r="E1213" s="230" t="str">
        <f>Table3.110[[#This Row],[Requisitioner]]</f>
        <v>Genbank</v>
      </c>
      <c r="F1213" s="230" t="str">
        <f>Table3.110[[#This Row],[Gene Bank ID]]</f>
        <v>CIAT19165</v>
      </c>
      <c r="G1213" s="230" t="str">
        <f>Table3.110[[#This Row],[Genus]]</f>
        <v>Sesbania</v>
      </c>
      <c r="H1213" s="230" t="str">
        <f>Table3.110[[#This Row],[Species]]</f>
        <v>keniensis</v>
      </c>
      <c r="I1213" s="230" t="str">
        <f>Table3.110[[#This Row],[Tax Name]]</f>
        <v>Sesbania keniensis</v>
      </c>
      <c r="J1213" s="230" t="str">
        <f>Table3.110[[#This Row],[Family]]</f>
        <v>Fabaceae</v>
      </c>
      <c r="K1213" s="230" t="str">
        <f>Table3.110[[#This Row],[Order]]</f>
        <v>Fabales</v>
      </c>
      <c r="L1213" s="230" t="str">
        <f>Table3.110[[#This Row],[Functional Group]]</f>
        <v>Shurb_Tree</v>
      </c>
      <c r="M1213" s="230" t="str">
        <f>Table3.110[[#This Row],[CIAT ID]]</f>
        <v>F260038</v>
      </c>
      <c r="N1213" s="230">
        <f>Table3.110[[#This Row],[Set CIAT]]</f>
        <v>30</v>
      </c>
      <c r="O1213" s="230">
        <f>Table3.110[[#This Row],[Batch]]</f>
        <v>71</v>
      </c>
      <c r="P1213" s="230">
        <f>Table3.110[[#This Row],[Run]]</f>
        <v>3</v>
      </c>
      <c r="Q1213" s="230">
        <f>Table3.110[[#This Row],[Replication]]</f>
        <v>1</v>
      </c>
      <c r="R1213" s="230">
        <f>Table3.110[[#This Row],[Syrange No]]</f>
        <v>127</v>
      </c>
      <c r="S1213" s="250">
        <v>0.59209999999999996</v>
      </c>
      <c r="T1213" s="250">
        <v>0.92800000000000005</v>
      </c>
      <c r="U1213" s="8"/>
      <c r="V1213" s="283">
        <f t="shared" si="111"/>
        <v>0.33590000000000009</v>
      </c>
      <c r="W1213" s="61">
        <f>Table3.110[[#This Row],[DM Incubated, mg]]-('3.2 Digest'!V1213*1000)</f>
        <v>146.59732115949174</v>
      </c>
      <c r="X1213" s="61">
        <f>W1213/Table3.110[[#This Row],[DM Incubated, mg]]*100</f>
        <v>30.383033175646023</v>
      </c>
      <c r="Y1213" s="31">
        <f>Table3.110[[#This Row],[DM Incubated, mg]]*'2.4 NDF'!R291/100</f>
        <v>243.19599232678354</v>
      </c>
      <c r="Z1213" s="61">
        <f t="shared" si="109"/>
        <v>-92.704007673216552</v>
      </c>
      <c r="AA1213" s="61">
        <f t="shared" si="110"/>
        <v>-38.119052368531534</v>
      </c>
      <c r="AB1213" s="6"/>
    </row>
    <row r="1214" spans="2:28" x14ac:dyDescent="0.35">
      <c r="B1214" s="230">
        <f t="shared" si="108"/>
        <v>1204</v>
      </c>
      <c r="C1214" s="9"/>
      <c r="D1214" s="248">
        <f>Table3.110[[#This Row],[Date]]</f>
        <v>46085</v>
      </c>
      <c r="E1214" s="230" t="str">
        <f>Table3.110[[#This Row],[Requisitioner]]</f>
        <v>Genbank</v>
      </c>
      <c r="F1214" s="230" t="str">
        <f>Table3.110[[#This Row],[Gene Bank ID]]</f>
        <v>CIAT19165</v>
      </c>
      <c r="G1214" s="230" t="str">
        <f>Table3.110[[#This Row],[Genus]]</f>
        <v>Sesbania</v>
      </c>
      <c r="H1214" s="230" t="str">
        <f>Table3.110[[#This Row],[Species]]</f>
        <v>keniensis</v>
      </c>
      <c r="I1214" s="230" t="str">
        <f>Table3.110[[#This Row],[Tax Name]]</f>
        <v>Sesbania keniensis</v>
      </c>
      <c r="J1214" s="230" t="str">
        <f>Table3.110[[#This Row],[Family]]</f>
        <v>Fabaceae</v>
      </c>
      <c r="K1214" s="230" t="str">
        <f>Table3.110[[#This Row],[Order]]</f>
        <v>Fabales</v>
      </c>
      <c r="L1214" s="230" t="str">
        <f>Table3.110[[#This Row],[Functional Group]]</f>
        <v>Shurb_Tree</v>
      </c>
      <c r="M1214" s="230" t="str">
        <f>Table3.110[[#This Row],[CIAT ID]]</f>
        <v>F260038</v>
      </c>
      <c r="N1214" s="230">
        <f>Table3.110[[#This Row],[Set CIAT]]</f>
        <v>30</v>
      </c>
      <c r="O1214" s="230">
        <f>Table3.110[[#This Row],[Batch]]</f>
        <v>71</v>
      </c>
      <c r="P1214" s="230">
        <f>Table3.110[[#This Row],[Run]]</f>
        <v>3</v>
      </c>
      <c r="Q1214" s="230">
        <f>Table3.110[[#This Row],[Replication]]</f>
        <v>2</v>
      </c>
      <c r="R1214" s="230">
        <f>Table3.110[[#This Row],[Syrange No]]</f>
        <v>128</v>
      </c>
      <c r="S1214" s="98">
        <v>0.56730000000000003</v>
      </c>
      <c r="T1214" s="98">
        <v>0.86950000000000005</v>
      </c>
      <c r="U1214" s="25"/>
      <c r="V1214" s="283">
        <f t="shared" si="111"/>
        <v>0.30220000000000002</v>
      </c>
      <c r="W1214" s="61">
        <f>Table3.110[[#This Row],[DM Incubated, mg]]-('3.2 Digest'!V1214*1000)</f>
        <v>180.20087956021956</v>
      </c>
      <c r="X1214" s="61">
        <f>W1214/Table3.110[[#This Row],[DM Incubated, mg]]*100</f>
        <v>37.35500642629416</v>
      </c>
      <c r="Y1214" s="31">
        <f>Table3.110[[#This Row],[DM Incubated, mg]]*'2.4 NDF'!R291/100</f>
        <v>243.14738229433769</v>
      </c>
      <c r="Z1214" s="61">
        <f t="shared" si="109"/>
        <v>-59.052617705662357</v>
      </c>
      <c r="AA1214" s="61">
        <f t="shared" si="110"/>
        <v>-24.286758569408441</v>
      </c>
      <c r="AB1214" s="6"/>
    </row>
    <row r="1215" spans="2:28" x14ac:dyDescent="0.35">
      <c r="B1215" s="230">
        <f t="shared" si="108"/>
        <v>1205</v>
      </c>
      <c r="C1215" s="9"/>
      <c r="D1215" s="248">
        <f>Table3.110[[#This Row],[Date]]</f>
        <v>46085</v>
      </c>
      <c r="E1215" s="230" t="str">
        <f>Table3.110[[#This Row],[Requisitioner]]</f>
        <v>Genbank</v>
      </c>
      <c r="F1215" s="230" t="str">
        <f>Table3.110[[#This Row],[Gene Bank ID]]</f>
        <v>CIAT21899</v>
      </c>
      <c r="G1215" s="230" t="str">
        <f>Table3.110[[#This Row],[Genus]]</f>
        <v>Sesbania</v>
      </c>
      <c r="H1215" s="230" t="str">
        <f>Table3.110[[#This Row],[Species]]</f>
        <v>sesban</v>
      </c>
      <c r="I1215" s="230" t="str">
        <f>Table3.110[[#This Row],[Tax Name]]</f>
        <v>Sesbania sesban</v>
      </c>
      <c r="J1215" s="230" t="str">
        <f>Table3.110[[#This Row],[Family]]</f>
        <v>Fabaceae</v>
      </c>
      <c r="K1215" s="230" t="str">
        <f>Table3.110[[#This Row],[Order]]</f>
        <v>Fabales</v>
      </c>
      <c r="L1215" s="230" t="str">
        <f>Table3.110[[#This Row],[Functional Group]]</f>
        <v>Shurb_Tree</v>
      </c>
      <c r="M1215" s="230" t="str">
        <f>Table3.110[[#This Row],[CIAT ID]]</f>
        <v>F260039</v>
      </c>
      <c r="N1215" s="230">
        <f>Table3.110[[#This Row],[Set CIAT]]</f>
        <v>30</v>
      </c>
      <c r="O1215" s="230">
        <f>Table3.110[[#This Row],[Batch]]</f>
        <v>71</v>
      </c>
      <c r="P1215" s="230">
        <f>Table3.110[[#This Row],[Run]]</f>
        <v>3</v>
      </c>
      <c r="Q1215" s="230">
        <f>Table3.110[[#This Row],[Replication]]</f>
        <v>1</v>
      </c>
      <c r="R1215" s="230">
        <f>Table3.110[[#This Row],[Syrange No]]</f>
        <v>129</v>
      </c>
      <c r="S1215" s="250">
        <v>0.57969999999999999</v>
      </c>
      <c r="T1215" s="250">
        <v>0.88819999999999999</v>
      </c>
      <c r="U1215" s="25"/>
      <c r="V1215" s="283">
        <f t="shared" si="111"/>
        <v>0.3085</v>
      </c>
      <c r="W1215" s="61">
        <f>Table3.110[[#This Row],[DM Incubated, mg]]-('3.2 Digest'!V1215*1000)</f>
        <v>171.16356260094659</v>
      </c>
      <c r="X1215" s="61">
        <f>W1215/Table3.110[[#This Row],[DM Incubated, mg]]*100</f>
        <v>35.68408691976154</v>
      </c>
      <c r="Y1215" s="31">
        <f>Table3.110[[#This Row],[DM Incubated, mg]]*'2.4 NDF'!R293/100</f>
        <v>302.31558278729091</v>
      </c>
      <c r="Z1215" s="61">
        <f t="shared" si="109"/>
        <v>-6.1844172127090928</v>
      </c>
      <c r="AA1215" s="61">
        <f t="shared" si="110"/>
        <v>-2.0456825796705442</v>
      </c>
      <c r="AB1215" s="6"/>
    </row>
    <row r="1216" spans="2:28" x14ac:dyDescent="0.35">
      <c r="B1216" s="230">
        <f t="shared" si="108"/>
        <v>1206</v>
      </c>
      <c r="C1216" s="9"/>
      <c r="D1216" s="248">
        <f>Table3.110[[#This Row],[Date]]</f>
        <v>46085</v>
      </c>
      <c r="E1216" s="230" t="str">
        <f>Table3.110[[#This Row],[Requisitioner]]</f>
        <v>Genbank</v>
      </c>
      <c r="F1216" s="230" t="str">
        <f>Table3.110[[#This Row],[Gene Bank ID]]</f>
        <v>CIAT21899</v>
      </c>
      <c r="G1216" s="230" t="str">
        <f>Table3.110[[#This Row],[Genus]]</f>
        <v>Sesbania</v>
      </c>
      <c r="H1216" s="230" t="str">
        <f>Table3.110[[#This Row],[Species]]</f>
        <v>sesban</v>
      </c>
      <c r="I1216" s="230" t="str">
        <f>Table3.110[[#This Row],[Tax Name]]</f>
        <v>Sesbania sesban</v>
      </c>
      <c r="J1216" s="230" t="str">
        <f>Table3.110[[#This Row],[Family]]</f>
        <v>Fabaceae</v>
      </c>
      <c r="K1216" s="230" t="str">
        <f>Table3.110[[#This Row],[Order]]</f>
        <v>Fabales</v>
      </c>
      <c r="L1216" s="230" t="str">
        <f>Table3.110[[#This Row],[Functional Group]]</f>
        <v>Shurb_Tree</v>
      </c>
      <c r="M1216" s="230" t="str">
        <f>Table3.110[[#This Row],[CIAT ID]]</f>
        <v>F260039</v>
      </c>
      <c r="N1216" s="230">
        <f>Table3.110[[#This Row],[Set CIAT]]</f>
        <v>30</v>
      </c>
      <c r="O1216" s="230">
        <f>Table3.110[[#This Row],[Batch]]</f>
        <v>71</v>
      </c>
      <c r="P1216" s="230">
        <f>Table3.110[[#This Row],[Run]]</f>
        <v>3</v>
      </c>
      <c r="Q1216" s="230">
        <f>Table3.110[[#This Row],[Replication]]</f>
        <v>2</v>
      </c>
      <c r="R1216" s="230">
        <f>Table3.110[[#This Row],[Syrange No]]</f>
        <v>130</v>
      </c>
      <c r="S1216" s="98">
        <v>0.59370000000000001</v>
      </c>
      <c r="T1216" s="98">
        <v>0.93010000000000004</v>
      </c>
      <c r="U1216" s="8"/>
      <c r="V1216" s="283">
        <f t="shared" si="111"/>
        <v>0.33640000000000003</v>
      </c>
      <c r="W1216" s="61">
        <f>Table3.110[[#This Row],[DM Incubated, mg]]-('3.2 Digest'!V1216*1000)</f>
        <v>142.88021509836841</v>
      </c>
      <c r="X1216" s="61">
        <f>W1216/Table3.110[[#This Row],[DM Incubated, mg]]*100</f>
        <v>29.811415242551455</v>
      </c>
      <c r="Y1216" s="31">
        <f>Table3.110[[#This Row],[DM Incubated, mg]]*'2.4 NDF'!R293/100</f>
        <v>302.0739719319165</v>
      </c>
      <c r="Z1216" s="61">
        <f t="shared" si="109"/>
        <v>-34.326028068083531</v>
      </c>
      <c r="AA1216" s="61">
        <f t="shared" si="110"/>
        <v>-11.363451093965873</v>
      </c>
      <c r="AB1216" s="6"/>
    </row>
    <row r="1217" spans="2:28" x14ac:dyDescent="0.35">
      <c r="B1217" s="230">
        <f t="shared" si="108"/>
        <v>1207</v>
      </c>
      <c r="C1217" s="9"/>
      <c r="D1217" s="248">
        <f>Table3.110[[#This Row],[Date]]</f>
        <v>46085</v>
      </c>
      <c r="E1217" s="230" t="str">
        <f>Table3.110[[#This Row],[Requisitioner]]</f>
        <v>Genbank</v>
      </c>
      <c r="F1217" s="230" t="str">
        <f>Table3.110[[#This Row],[Gene Bank ID]]</f>
        <v>CIAT23414</v>
      </c>
      <c r="G1217" s="230" t="str">
        <f>Table3.110[[#This Row],[Genus]]</f>
        <v>Codariocalyx</v>
      </c>
      <c r="H1217" s="230" t="str">
        <f>Table3.110[[#This Row],[Species]]</f>
        <v>motorius</v>
      </c>
      <c r="I1217" s="230" t="str">
        <f>Table3.110[[#This Row],[Tax Name]]</f>
        <v>Codariocalyx motorius</v>
      </c>
      <c r="J1217" s="230" t="str">
        <f>Table3.110[[#This Row],[Family]]</f>
        <v>Fabaceae</v>
      </c>
      <c r="K1217" s="230" t="str">
        <f>Table3.110[[#This Row],[Order]]</f>
        <v>Fabales</v>
      </c>
      <c r="L1217" s="230" t="str">
        <f>Table3.110[[#This Row],[Functional Group]]</f>
        <v>Shurb_Tree</v>
      </c>
      <c r="M1217" s="230" t="str">
        <f>Table3.110[[#This Row],[CIAT ID]]</f>
        <v>F260040</v>
      </c>
      <c r="N1217" s="230">
        <f>Table3.110[[#This Row],[Set CIAT]]</f>
        <v>30</v>
      </c>
      <c r="O1217" s="230">
        <f>Table3.110[[#This Row],[Batch]]</f>
        <v>71</v>
      </c>
      <c r="P1217" s="230">
        <f>Table3.110[[#This Row],[Run]]</f>
        <v>3</v>
      </c>
      <c r="Q1217" s="230">
        <f>Table3.110[[#This Row],[Replication]]</f>
        <v>1</v>
      </c>
      <c r="R1217" s="230">
        <f>Table3.110[[#This Row],[Syrange No]]</f>
        <v>131</v>
      </c>
      <c r="S1217" s="250">
        <v>0.60019999999999996</v>
      </c>
      <c r="T1217" s="250">
        <v>0.93859999999999999</v>
      </c>
      <c r="U1217" s="8" t="s">
        <v>603</v>
      </c>
      <c r="V1217" s="283">
        <f t="shared" si="111"/>
        <v>0.33840000000000003</v>
      </c>
      <c r="W1217" s="61">
        <f>Table3.110[[#This Row],[DM Incubated, mg]]-('3.2 Digest'!V1217*1000)</f>
        <v>143.61471914262205</v>
      </c>
      <c r="X1217" s="61">
        <f>W1217/Table3.110[[#This Row],[DM Incubated, mg]]*100</f>
        <v>29.794675025292801</v>
      </c>
      <c r="Y1217" s="31">
        <f>Table3.110[[#This Row],[DM Incubated, mg]]*'2.4 NDF'!R295/100</f>
        <v>302.96259283644582</v>
      </c>
      <c r="Z1217" s="61">
        <f t="shared" si="109"/>
        <v>-35.437407163554212</v>
      </c>
      <c r="AA1217" s="61">
        <f t="shared" si="110"/>
        <v>-11.696957974836542</v>
      </c>
      <c r="AB1217" s="6"/>
    </row>
    <row r="1218" spans="2:28" x14ac:dyDescent="0.35">
      <c r="B1218" s="230">
        <f t="shared" si="108"/>
        <v>1208</v>
      </c>
      <c r="C1218" s="9"/>
      <c r="D1218" s="248">
        <f>Table3.110[[#This Row],[Date]]</f>
        <v>46085</v>
      </c>
      <c r="E1218" s="230" t="str">
        <f>Table3.110[[#This Row],[Requisitioner]]</f>
        <v>Genbank</v>
      </c>
      <c r="F1218" s="230" t="str">
        <f>Table3.110[[#This Row],[Gene Bank ID]]</f>
        <v>CIAT23414</v>
      </c>
      <c r="G1218" s="230" t="str">
        <f>Table3.110[[#This Row],[Genus]]</f>
        <v>Codariocalyx</v>
      </c>
      <c r="H1218" s="230" t="str">
        <f>Table3.110[[#This Row],[Species]]</f>
        <v>motorius</v>
      </c>
      <c r="I1218" s="230" t="str">
        <f>Table3.110[[#This Row],[Tax Name]]</f>
        <v>Codariocalyx motorius</v>
      </c>
      <c r="J1218" s="230" t="str">
        <f>Table3.110[[#This Row],[Family]]</f>
        <v>Fabaceae</v>
      </c>
      <c r="K1218" s="230" t="str">
        <f>Table3.110[[#This Row],[Order]]</f>
        <v>Fabales</v>
      </c>
      <c r="L1218" s="230" t="str">
        <f>Table3.110[[#This Row],[Functional Group]]</f>
        <v>Shurb_Tree</v>
      </c>
      <c r="M1218" s="230" t="str">
        <f>Table3.110[[#This Row],[CIAT ID]]</f>
        <v>F260040</v>
      </c>
      <c r="N1218" s="230">
        <f>Table3.110[[#This Row],[Set CIAT]]</f>
        <v>30</v>
      </c>
      <c r="O1218" s="230">
        <f>Table3.110[[#This Row],[Batch]]</f>
        <v>71</v>
      </c>
      <c r="P1218" s="230">
        <f>Table3.110[[#This Row],[Run]]</f>
        <v>3</v>
      </c>
      <c r="Q1218" s="230">
        <f>Table3.110[[#This Row],[Replication]]</f>
        <v>2</v>
      </c>
      <c r="R1218" s="230">
        <f>Table3.110[[#This Row],[Syrange No]]</f>
        <v>132</v>
      </c>
      <c r="S1218" s="250">
        <v>0.58309999999999995</v>
      </c>
      <c r="T1218" s="98">
        <v>0.93710000000000004</v>
      </c>
      <c r="U1218" s="25"/>
      <c r="V1218" s="283">
        <f t="shared" si="111"/>
        <v>0.35400000000000009</v>
      </c>
      <c r="W1218" s="61">
        <f>Table3.110[[#This Row],[DM Incubated, mg]]-('3.2 Digest'!V1218*1000)</f>
        <v>127.72579923104803</v>
      </c>
      <c r="X1218" s="61">
        <f>W1218/Table3.110[[#This Row],[DM Incubated, mg]]*100</f>
        <v>26.514211909540563</v>
      </c>
      <c r="Y1218" s="31">
        <f>Table3.110[[#This Row],[DM Incubated, mg]]*'2.4 NDF'!R295/100</f>
        <v>302.78099687670374</v>
      </c>
      <c r="Z1218" s="61">
        <f t="shared" si="109"/>
        <v>-51.219003123296375</v>
      </c>
      <c r="AA1218" s="61">
        <f t="shared" si="110"/>
        <v>-16.916188153034387</v>
      </c>
      <c r="AB1218" s="6"/>
    </row>
    <row r="1219" spans="2:28" x14ac:dyDescent="0.35">
      <c r="B1219" s="230">
        <f t="shared" si="108"/>
        <v>1209</v>
      </c>
      <c r="C1219" s="9"/>
      <c r="D1219" s="248">
        <f>Table3.110[[#This Row],[Date]]</f>
        <v>46085</v>
      </c>
      <c r="E1219" s="230" t="str">
        <f>Table3.110[[#This Row],[Requisitioner]]</f>
        <v>Genbank</v>
      </c>
      <c r="F1219" s="230" t="str">
        <f>Table3.110[[#This Row],[Gene Bank ID]]</f>
        <v>CIAT23767</v>
      </c>
      <c r="G1219" s="230" t="str">
        <f>Table3.110[[#This Row],[Genus]]</f>
        <v>Desmodium</v>
      </c>
      <c r="H1219" s="230" t="str">
        <f>Table3.110[[#This Row],[Species]]</f>
        <v>nicaraguense</v>
      </c>
      <c r="I1219" s="230" t="str">
        <f>Table3.110[[#This Row],[Tax Name]]</f>
        <v>Desmodium nicaraguense</v>
      </c>
      <c r="J1219" s="230" t="str">
        <f>Table3.110[[#This Row],[Family]]</f>
        <v>Fabaceae</v>
      </c>
      <c r="K1219" s="230" t="str">
        <f>Table3.110[[#This Row],[Order]]</f>
        <v>Fabales</v>
      </c>
      <c r="L1219" s="230" t="str">
        <f>Table3.110[[#This Row],[Functional Group]]</f>
        <v>Shurb_Tree</v>
      </c>
      <c r="M1219" s="230" t="str">
        <f>Table3.110[[#This Row],[CIAT ID]]</f>
        <v>F260041</v>
      </c>
      <c r="N1219" s="230">
        <f>Table3.110[[#This Row],[Set CIAT]]</f>
        <v>30</v>
      </c>
      <c r="O1219" s="230">
        <f>Table3.110[[#This Row],[Batch]]</f>
        <v>71</v>
      </c>
      <c r="P1219" s="230">
        <f>Table3.110[[#This Row],[Run]]</f>
        <v>3</v>
      </c>
      <c r="Q1219" s="230">
        <f>Table3.110[[#This Row],[Replication]]</f>
        <v>1</v>
      </c>
      <c r="R1219" s="230">
        <f>Table3.110[[#This Row],[Syrange No]]</f>
        <v>133</v>
      </c>
      <c r="S1219" s="98">
        <v>0.58479999999999999</v>
      </c>
      <c r="T1219" s="250">
        <v>0.85150000000000003</v>
      </c>
      <c r="U1219" s="25"/>
      <c r="V1219" s="283">
        <f t="shared" si="111"/>
        <v>0.26670000000000005</v>
      </c>
      <c r="W1219" s="61">
        <f>Table3.110[[#This Row],[DM Incubated, mg]]-('3.2 Digest'!V1219*1000)</f>
        <v>208.85002403838502</v>
      </c>
      <c r="X1219" s="61">
        <f>W1219/Table3.110[[#This Row],[DM Incubated, mg]]*100</f>
        <v>43.917571965368509</v>
      </c>
      <c r="Y1219" s="31">
        <f>Table3.110[[#This Row],[DM Incubated, mg]]*'2.4 NDF'!R297/100</f>
        <v>260.20817896112317</v>
      </c>
      <c r="Z1219" s="61">
        <f t="shared" si="109"/>
        <v>-6.4918210388768784</v>
      </c>
      <c r="AA1219" s="61">
        <f t="shared" si="110"/>
        <v>-2.4948566431675463</v>
      </c>
      <c r="AB1219" s="6"/>
    </row>
    <row r="1220" spans="2:28" x14ac:dyDescent="0.35">
      <c r="B1220" s="230">
        <f t="shared" si="108"/>
        <v>1210</v>
      </c>
      <c r="C1220" s="9"/>
      <c r="D1220" s="248">
        <f>Table3.110[[#This Row],[Date]]</f>
        <v>46085</v>
      </c>
      <c r="E1220" s="230" t="str">
        <f>Table3.110[[#This Row],[Requisitioner]]</f>
        <v>Genbank</v>
      </c>
      <c r="F1220" s="230" t="str">
        <f>Table3.110[[#This Row],[Gene Bank ID]]</f>
        <v>CIAT23767</v>
      </c>
      <c r="G1220" s="230" t="str">
        <f>Table3.110[[#This Row],[Genus]]</f>
        <v>Desmodium</v>
      </c>
      <c r="H1220" s="230" t="str">
        <f>Table3.110[[#This Row],[Species]]</f>
        <v>nicaraguense</v>
      </c>
      <c r="I1220" s="230" t="str">
        <f>Table3.110[[#This Row],[Tax Name]]</f>
        <v>Desmodium nicaraguense</v>
      </c>
      <c r="J1220" s="230" t="str">
        <f>Table3.110[[#This Row],[Family]]</f>
        <v>Fabaceae</v>
      </c>
      <c r="K1220" s="230" t="str">
        <f>Table3.110[[#This Row],[Order]]</f>
        <v>Fabales</v>
      </c>
      <c r="L1220" s="230" t="str">
        <f>Table3.110[[#This Row],[Functional Group]]</f>
        <v>Shurb_Tree</v>
      </c>
      <c r="M1220" s="230" t="str">
        <f>Table3.110[[#This Row],[CIAT ID]]</f>
        <v>F260041</v>
      </c>
      <c r="N1220" s="230">
        <f>Table3.110[[#This Row],[Set CIAT]]</f>
        <v>30</v>
      </c>
      <c r="O1220" s="230">
        <f>Table3.110[[#This Row],[Batch]]</f>
        <v>71</v>
      </c>
      <c r="P1220" s="230">
        <f>Table3.110[[#This Row],[Run]]</f>
        <v>3</v>
      </c>
      <c r="Q1220" s="230">
        <f>Table3.110[[#This Row],[Replication]]</f>
        <v>2</v>
      </c>
      <c r="R1220" s="230">
        <f>Table3.110[[#This Row],[Syrange No]]</f>
        <v>134</v>
      </c>
      <c r="S1220" s="98">
        <v>0.56620000000000004</v>
      </c>
      <c r="T1220" s="98">
        <v>0.80369999999999997</v>
      </c>
      <c r="U1220" s="8"/>
      <c r="V1220" s="283">
        <f t="shared" si="111"/>
        <v>0.23749999999999993</v>
      </c>
      <c r="W1220" s="61">
        <f>Table3.110[[#This Row],[DM Incubated, mg]]-('3.2 Digest'!V1220*1000)</f>
        <v>237.7650360095966</v>
      </c>
      <c r="X1220" s="61">
        <f>W1220/Table3.110[[#This Row],[DM Incubated, mg]]*100</f>
        <v>50.027882969450268</v>
      </c>
      <c r="Y1220" s="31">
        <f>Table3.110[[#This Row],[DM Incubated, mg]]*'2.4 NDF'!R297/100</f>
        <v>260.05224117908494</v>
      </c>
      <c r="Z1220" s="61">
        <f t="shared" si="109"/>
        <v>22.552241179085001</v>
      </c>
      <c r="AA1220" s="61">
        <f t="shared" si="110"/>
        <v>8.6721964313141235</v>
      </c>
      <c r="AB1220" s="6"/>
    </row>
    <row r="1221" spans="2:28" x14ac:dyDescent="0.35">
      <c r="B1221" s="230">
        <f t="shared" si="108"/>
        <v>1211</v>
      </c>
      <c r="C1221" s="9"/>
      <c r="D1221" s="248">
        <f>Table3.110[[#This Row],[Date]]</f>
        <v>46085</v>
      </c>
      <c r="E1221" s="230" t="str">
        <f>Table3.110[[#This Row],[Requisitioner]]</f>
        <v>Genbank</v>
      </c>
      <c r="F1221" s="230" t="str">
        <f>Table3.110[[#This Row],[Gene Bank ID]]</f>
        <v>CIAT33127</v>
      </c>
      <c r="G1221" s="230" t="str">
        <f>Table3.110[[#This Row],[Genus]]</f>
        <v>Codariocalyx</v>
      </c>
      <c r="H1221" s="230" t="str">
        <f>Table3.110[[#This Row],[Species]]</f>
        <v>motorius</v>
      </c>
      <c r="I1221" s="230" t="str">
        <f>Table3.110[[#This Row],[Tax Name]]</f>
        <v>Codariocalyx motorius</v>
      </c>
      <c r="J1221" s="230" t="str">
        <f>Table3.110[[#This Row],[Family]]</f>
        <v>Fabaceae</v>
      </c>
      <c r="K1221" s="230" t="str">
        <f>Table3.110[[#This Row],[Order]]</f>
        <v>Fabales</v>
      </c>
      <c r="L1221" s="230" t="str">
        <f>Table3.110[[#This Row],[Functional Group]]</f>
        <v>Shurb_Tree</v>
      </c>
      <c r="M1221" s="230" t="str">
        <f>Table3.110[[#This Row],[CIAT ID]]</f>
        <v>F260042</v>
      </c>
      <c r="N1221" s="230">
        <f>Table3.110[[#This Row],[Set CIAT]]</f>
        <v>30</v>
      </c>
      <c r="O1221" s="230">
        <f>Table3.110[[#This Row],[Batch]]</f>
        <v>71</v>
      </c>
      <c r="P1221" s="230">
        <f>Table3.110[[#This Row],[Run]]</f>
        <v>3</v>
      </c>
      <c r="Q1221" s="230">
        <f>Table3.110[[#This Row],[Replication]]</f>
        <v>1</v>
      </c>
      <c r="R1221" s="230">
        <f>Table3.110[[#This Row],[Syrange No]]</f>
        <v>135</v>
      </c>
      <c r="S1221" s="250">
        <v>0.58560000000000001</v>
      </c>
      <c r="T1221" s="250">
        <v>0.89170000000000005</v>
      </c>
      <c r="U1221" s="8" t="s">
        <v>698</v>
      </c>
      <c r="V1221" s="283">
        <f t="shared" si="111"/>
        <v>0.30610000000000004</v>
      </c>
      <c r="W1221" s="61">
        <f>Table3.110[[#This Row],[DM Incubated, mg]]-('3.2 Digest'!V1221*1000)</f>
        <v>172.19455392429734</v>
      </c>
      <c r="X1221" s="61">
        <f>W1221/Table3.110[[#This Row],[DM Incubated, mg]]*100</f>
        <v>36.001780181580671</v>
      </c>
      <c r="Y1221" s="31">
        <f>Table3.110[[#This Row],[DM Incubated, mg]]*'2.4 NDF'!R299/100</f>
        <v>308.94297517827567</v>
      </c>
      <c r="Z1221" s="61">
        <f t="shared" si="109"/>
        <v>2.8429751782756512</v>
      </c>
      <c r="AA1221" s="61">
        <f t="shared" si="110"/>
        <v>0.92022651644210751</v>
      </c>
      <c r="AB1221" s="6"/>
    </row>
    <row r="1222" spans="2:28" x14ac:dyDescent="0.35">
      <c r="B1222" s="230">
        <f t="shared" si="108"/>
        <v>1212</v>
      </c>
      <c r="C1222" s="9"/>
      <c r="D1222" s="248">
        <f>Table3.110[[#This Row],[Date]]</f>
        <v>46085</v>
      </c>
      <c r="E1222" s="230" t="str">
        <f>Table3.110[[#This Row],[Requisitioner]]</f>
        <v>Genbank</v>
      </c>
      <c r="F1222" s="230" t="str">
        <f>Table3.110[[#This Row],[Gene Bank ID]]</f>
        <v>CIAT33127</v>
      </c>
      <c r="G1222" s="230" t="str">
        <f>Table3.110[[#This Row],[Genus]]</f>
        <v>Codariocalyx</v>
      </c>
      <c r="H1222" s="230" t="str">
        <f>Table3.110[[#This Row],[Species]]</f>
        <v>motorius</v>
      </c>
      <c r="I1222" s="230" t="str">
        <f>Table3.110[[#This Row],[Tax Name]]</f>
        <v>Codariocalyx motorius</v>
      </c>
      <c r="J1222" s="230" t="str">
        <f>Table3.110[[#This Row],[Family]]</f>
        <v>Fabaceae</v>
      </c>
      <c r="K1222" s="230" t="str">
        <f>Table3.110[[#This Row],[Order]]</f>
        <v>Fabales</v>
      </c>
      <c r="L1222" s="230" t="str">
        <f>Table3.110[[#This Row],[Functional Group]]</f>
        <v>Shurb_Tree</v>
      </c>
      <c r="M1222" s="230" t="str">
        <f>Table3.110[[#This Row],[CIAT ID]]</f>
        <v>F260042</v>
      </c>
      <c r="N1222" s="230">
        <f>Table3.110[[#This Row],[Set CIAT]]</f>
        <v>30</v>
      </c>
      <c r="O1222" s="230">
        <f>Table3.110[[#This Row],[Batch]]</f>
        <v>71</v>
      </c>
      <c r="P1222" s="230">
        <f>Table3.110[[#This Row],[Run]]</f>
        <v>3</v>
      </c>
      <c r="Q1222" s="230">
        <f>Table3.110[[#This Row],[Replication]]</f>
        <v>2</v>
      </c>
      <c r="R1222" s="230">
        <f>Table3.110[[#This Row],[Syrange No]]</f>
        <v>136</v>
      </c>
      <c r="S1222" s="98">
        <v>0.5645</v>
      </c>
      <c r="T1222" s="98">
        <v>0.95589999999999997</v>
      </c>
      <c r="U1222" s="25"/>
      <c r="V1222" s="283">
        <f t="shared" si="111"/>
        <v>0.39139999999999997</v>
      </c>
      <c r="W1222" s="61">
        <f>Table3.110[[#This Row],[DM Incubated, mg]]-('3.2 Digest'!V1222*1000)</f>
        <v>86.798952374442479</v>
      </c>
      <c r="X1222" s="61">
        <f>W1222/Table3.110[[#This Row],[DM Incubated, mg]]*100</f>
        <v>18.151221775675619</v>
      </c>
      <c r="Y1222" s="31">
        <f>Table3.110[[#This Row],[DM Incubated, mg]]*'2.4 NDF'!R299/100</f>
        <v>308.88122363416647</v>
      </c>
      <c r="Z1222" s="61">
        <f t="shared" si="109"/>
        <v>-82.518776365833503</v>
      </c>
      <c r="AA1222" s="61">
        <f t="shared" si="110"/>
        <v>-26.715374730439201</v>
      </c>
      <c r="AB1222" s="6"/>
    </row>
    <row r="1223" spans="2:28" x14ac:dyDescent="0.35">
      <c r="B1223" s="230">
        <f t="shared" si="108"/>
        <v>1213</v>
      </c>
      <c r="C1223" s="9"/>
      <c r="D1223" s="248">
        <f>Table3.110[[#This Row],[Date]]</f>
        <v>46085</v>
      </c>
      <c r="E1223" s="230" t="str">
        <f>Table3.110[[#This Row],[Requisitioner]]</f>
        <v>Breeding</v>
      </c>
      <c r="F1223" s="230" t="str">
        <f>Table3.110[[#This Row],[Gene Bank ID]]</f>
        <v>CIAT-BR06_1348</v>
      </c>
      <c r="G1223" s="230" t="str">
        <f>Table3.110[[#This Row],[Genus]]</f>
        <v>Brachiaria</v>
      </c>
      <c r="H1223" s="230" t="str">
        <f>Table3.110[[#This Row],[Species]]</f>
        <v>interespecifico</v>
      </c>
      <c r="I1223" s="230" t="str">
        <f>Table3.110[[#This Row],[Tax Name]]</f>
        <v>Brachiaria interespecifico</v>
      </c>
      <c r="J1223" s="230" t="str">
        <f>Table3.110[[#This Row],[Family]]</f>
        <v>Poaceae</v>
      </c>
      <c r="K1223" s="230" t="str">
        <f>Table3.110[[#This Row],[Order]]</f>
        <v>Poales</v>
      </c>
      <c r="L1223" s="230" t="str">
        <f>Table3.110[[#This Row],[Functional Group]]</f>
        <v>grasses</v>
      </c>
      <c r="M1223" s="230" t="str">
        <f>Table3.110[[#This Row],[CIAT ID]]</f>
        <v>F252104</v>
      </c>
      <c r="N1223" s="230">
        <f>Table3.110[[#This Row],[Set CIAT]]</f>
        <v>30</v>
      </c>
      <c r="O1223" s="230">
        <f>Table3.110[[#This Row],[Batch]]</f>
        <v>71</v>
      </c>
      <c r="P1223" s="230">
        <f>Table3.110[[#This Row],[Run]]</f>
        <v>3</v>
      </c>
      <c r="Q1223" s="230">
        <f>Table3.110[[#This Row],[Replication]]</f>
        <v>1</v>
      </c>
      <c r="R1223" s="230">
        <f>Table3.110[[#This Row],[Syrange No]]</f>
        <v>137</v>
      </c>
      <c r="S1223" s="250">
        <v>0.56159999999999999</v>
      </c>
      <c r="T1223" s="250">
        <v>0.77559999999999996</v>
      </c>
      <c r="U1223" s="25"/>
      <c r="V1223" s="283">
        <f t="shared" si="111"/>
        <v>0.21399999999999997</v>
      </c>
      <c r="W1223" s="61">
        <f>Table3.110[[#This Row],[DM Incubated, mg]]-('3.2 Digest'!V1223*1000)</f>
        <v>251.63618</v>
      </c>
      <c r="X1223" s="61">
        <f>W1223/Table3.110[[#This Row],[DM Incubated, mg]]*100</f>
        <v>54.041371956964348</v>
      </c>
      <c r="Y1223" s="31">
        <f>Table3.110[[#This Row],[DM Incubated, mg]]*'2.4 NDF'!R301/100</f>
        <v>278.26418116799999</v>
      </c>
      <c r="Z1223" s="61">
        <f t="shared" si="109"/>
        <v>64.264181168000022</v>
      </c>
      <c r="AA1223" s="61">
        <f t="shared" si="110"/>
        <v>23.094665255964433</v>
      </c>
      <c r="AB1223" s="6"/>
    </row>
    <row r="1224" spans="2:28" x14ac:dyDescent="0.35">
      <c r="B1224" s="230">
        <f t="shared" si="108"/>
        <v>1214</v>
      </c>
      <c r="C1224" s="9"/>
      <c r="D1224" s="248">
        <f>Table3.110[[#This Row],[Date]]</f>
        <v>46085</v>
      </c>
      <c r="E1224" s="230" t="str">
        <f>Table3.110[[#This Row],[Requisitioner]]</f>
        <v>Breeding</v>
      </c>
      <c r="F1224" s="230" t="str">
        <f>Table3.110[[#This Row],[Gene Bank ID]]</f>
        <v>CIAT-BR06_1348</v>
      </c>
      <c r="G1224" s="230" t="str">
        <f>Table3.110[[#This Row],[Genus]]</f>
        <v>Brachiaria</v>
      </c>
      <c r="H1224" s="230" t="str">
        <f>Table3.110[[#This Row],[Species]]</f>
        <v>interespecifico</v>
      </c>
      <c r="I1224" s="230" t="str">
        <f>Table3.110[[#This Row],[Tax Name]]</f>
        <v>Brachiaria interespecifico</v>
      </c>
      <c r="J1224" s="230" t="str">
        <f>Table3.110[[#This Row],[Family]]</f>
        <v>Poaceae</v>
      </c>
      <c r="K1224" s="230" t="str">
        <f>Table3.110[[#This Row],[Order]]</f>
        <v>Poales</v>
      </c>
      <c r="L1224" s="230" t="str">
        <f>Table3.110[[#This Row],[Functional Group]]</f>
        <v>grasses</v>
      </c>
      <c r="M1224" s="230" t="str">
        <f>Table3.110[[#This Row],[CIAT ID]]</f>
        <v>F252104</v>
      </c>
      <c r="N1224" s="230">
        <f>Table3.110[[#This Row],[Set CIAT]]</f>
        <v>30</v>
      </c>
      <c r="O1224" s="230">
        <f>Table3.110[[#This Row],[Batch]]</f>
        <v>71</v>
      </c>
      <c r="P1224" s="230">
        <f>Table3.110[[#This Row],[Run]]</f>
        <v>3</v>
      </c>
      <c r="Q1224" s="230">
        <f>Table3.110[[#This Row],[Replication]]</f>
        <v>2</v>
      </c>
      <c r="R1224" s="230">
        <f>Table3.110[[#This Row],[Syrange No]]</f>
        <v>138</v>
      </c>
      <c r="S1224" s="98">
        <v>0.58630000000000004</v>
      </c>
      <c r="T1224" s="98">
        <v>0.72809999999999997</v>
      </c>
      <c r="U1224" s="8"/>
      <c r="V1224" s="283">
        <f t="shared" si="111"/>
        <v>0.14179999999999993</v>
      </c>
      <c r="W1224" s="61">
        <f>Table3.110[[#This Row],[DM Incubated, mg]]-('3.2 Digest'!V1224*1000)</f>
        <v>324.02236000000005</v>
      </c>
      <c r="X1224" s="61">
        <f>W1224/Table3.110[[#This Row],[DM Incubated, mg]]*100</f>
        <v>69.559211369759083</v>
      </c>
      <c r="Y1224" s="31">
        <f>Table3.110[[#This Row],[DM Incubated, mg]]*'2.4 NDF'!R301/100</f>
        <v>278.37544233599999</v>
      </c>
      <c r="Z1224" s="61">
        <f t="shared" si="109"/>
        <v>136.57544233600007</v>
      </c>
      <c r="AA1224" s="61">
        <f t="shared" si="110"/>
        <v>49.061598677642372</v>
      </c>
      <c r="AB1224" s="6"/>
    </row>
    <row r="1225" spans="2:28" x14ac:dyDescent="0.35">
      <c r="B1225" s="230">
        <f t="shared" si="108"/>
        <v>1215</v>
      </c>
      <c r="C1225" s="9"/>
      <c r="D1225" s="248">
        <f>Table3.110[[#This Row],[Date]]</f>
        <v>46085</v>
      </c>
      <c r="E1225" s="230" t="str">
        <f>Table3.110[[#This Row],[Requisitioner]]</f>
        <v>Breeding</v>
      </c>
      <c r="F1225" s="230" t="str">
        <f>Table3.110[[#This Row],[Gene Bank ID]]</f>
        <v>CIAT-BH22_0528</v>
      </c>
      <c r="G1225" s="230" t="str">
        <f>Table3.110[[#This Row],[Genus]]</f>
        <v>Urochloa</v>
      </c>
      <c r="H1225" s="230" t="str">
        <f>Table3.110[[#This Row],[Species]]</f>
        <v>humidicola</v>
      </c>
      <c r="I1225" s="230" t="str">
        <f>Table3.110[[#This Row],[Tax Name]]</f>
        <v>Urochloa humidicola</v>
      </c>
      <c r="J1225" s="230" t="str">
        <f>Table3.110[[#This Row],[Family]]</f>
        <v>Poaceae</v>
      </c>
      <c r="K1225" s="230" t="str">
        <f>Table3.110[[#This Row],[Order]]</f>
        <v>Poales</v>
      </c>
      <c r="L1225" s="230" t="str">
        <f>Table3.110[[#This Row],[Functional Group]]</f>
        <v>grasses</v>
      </c>
      <c r="M1225" s="230" t="str">
        <f>Table3.110[[#This Row],[CIAT ID]]</f>
        <v>F252166</v>
      </c>
      <c r="N1225" s="230">
        <f>Table3.110[[#This Row],[Set CIAT]]</f>
        <v>30</v>
      </c>
      <c r="O1225" s="230">
        <f>Table3.110[[#This Row],[Batch]]</f>
        <v>71</v>
      </c>
      <c r="P1225" s="230">
        <f>Table3.110[[#This Row],[Run]]</f>
        <v>3</v>
      </c>
      <c r="Q1225" s="230">
        <f>Table3.110[[#This Row],[Replication]]</f>
        <v>1</v>
      </c>
      <c r="R1225" s="230">
        <f>Table3.110[[#This Row],[Syrange No]]</f>
        <v>139</v>
      </c>
      <c r="S1225" s="250">
        <v>0.58430000000000004</v>
      </c>
      <c r="T1225" s="250">
        <v>0.8236</v>
      </c>
      <c r="U1225" s="8"/>
      <c r="V1225" s="283">
        <f t="shared" si="111"/>
        <v>0.23929999999999996</v>
      </c>
      <c r="W1225" s="61">
        <f>Table3.110[[#This Row],[DM Incubated, mg]]-('3.2 Digest'!V1225*1000)</f>
        <v>252.24105000000009</v>
      </c>
      <c r="X1225" s="61">
        <f>W1225/Table3.110[[#This Row],[DM Incubated, mg]]*100</f>
        <v>51.316375305785769</v>
      </c>
      <c r="Y1225" s="31">
        <f>Table3.110[[#This Row],[DM Incubated, mg]]*'2.4 NDF'!R303/100</f>
        <v>361.55301932750007</v>
      </c>
      <c r="Z1225" s="61">
        <f t="shared" si="109"/>
        <v>122.25301932750011</v>
      </c>
      <c r="AA1225" s="61">
        <f t="shared" si="110"/>
        <v>33.813303386290222</v>
      </c>
      <c r="AB1225" s="6"/>
    </row>
    <row r="1226" spans="2:28" x14ac:dyDescent="0.35">
      <c r="B1226" s="230">
        <f t="shared" si="108"/>
        <v>1216</v>
      </c>
      <c r="C1226" s="9"/>
      <c r="D1226" s="248">
        <f>Table3.110[[#This Row],[Date]]</f>
        <v>46085</v>
      </c>
      <c r="E1226" s="230" t="str">
        <f>Table3.110[[#This Row],[Requisitioner]]</f>
        <v>Breeding</v>
      </c>
      <c r="F1226" s="230" t="str">
        <f>Table3.110[[#This Row],[Gene Bank ID]]</f>
        <v>CIAT-BH22_0528</v>
      </c>
      <c r="G1226" s="230" t="str">
        <f>Table3.110[[#This Row],[Genus]]</f>
        <v>Urochloa</v>
      </c>
      <c r="H1226" s="230" t="str">
        <f>Table3.110[[#This Row],[Species]]</f>
        <v>humidicola</v>
      </c>
      <c r="I1226" s="230" t="str">
        <f>Table3.110[[#This Row],[Tax Name]]</f>
        <v>Urochloa humidicola</v>
      </c>
      <c r="J1226" s="230" t="str">
        <f>Table3.110[[#This Row],[Family]]</f>
        <v>Poaceae</v>
      </c>
      <c r="K1226" s="230" t="str">
        <f>Table3.110[[#This Row],[Order]]</f>
        <v>Poales</v>
      </c>
      <c r="L1226" s="230" t="str">
        <f>Table3.110[[#This Row],[Functional Group]]</f>
        <v>grasses</v>
      </c>
      <c r="M1226" s="230" t="str">
        <f>Table3.110[[#This Row],[CIAT ID]]</f>
        <v>F252166</v>
      </c>
      <c r="N1226" s="230">
        <f>Table3.110[[#This Row],[Set CIAT]]</f>
        <v>30</v>
      </c>
      <c r="O1226" s="230">
        <f>Table3.110[[#This Row],[Batch]]</f>
        <v>71</v>
      </c>
      <c r="P1226" s="230">
        <f>Table3.110[[#This Row],[Run]]</f>
        <v>3</v>
      </c>
      <c r="Q1226" s="230">
        <f>Table3.110[[#This Row],[Replication]]</f>
        <v>2</v>
      </c>
      <c r="R1226" s="230">
        <f>Table3.110[[#This Row],[Syrange No]]</f>
        <v>140</v>
      </c>
      <c r="S1226" s="98">
        <v>0.57989999999999997</v>
      </c>
      <c r="T1226" s="98">
        <v>0.88060000000000005</v>
      </c>
      <c r="U1226" s="25"/>
      <c r="V1226" s="283">
        <f t="shared" si="111"/>
        <v>0.30070000000000008</v>
      </c>
      <c r="W1226" s="61">
        <f>Table3.110[[#This Row],[DM Incubated, mg]]-('3.2 Digest'!V1226*1000)</f>
        <v>190.93926000000005</v>
      </c>
      <c r="X1226" s="61">
        <f>W1226/Table3.110[[#This Row],[DM Incubated, mg]]*100</f>
        <v>38.837268610322127</v>
      </c>
      <c r="Y1226" s="31">
        <f>Table3.110[[#This Row],[DM Incubated, mg]]*'2.4 NDF'!R303/100</f>
        <v>361.62525769300015</v>
      </c>
      <c r="Z1226" s="61">
        <f t="shared" si="109"/>
        <v>60.925257693000049</v>
      </c>
      <c r="AA1226" s="61">
        <f t="shared" si="110"/>
        <v>16.847622337464667</v>
      </c>
      <c r="AB1226" s="6"/>
    </row>
    <row r="1227" spans="2:28" x14ac:dyDescent="0.35">
      <c r="B1227" s="230">
        <f t="shared" si="108"/>
        <v>1217</v>
      </c>
      <c r="C1227" s="9"/>
      <c r="D1227" s="248">
        <f>Table3.110[[#This Row],[Date]]</f>
        <v>46085</v>
      </c>
      <c r="E1227" s="230" t="str">
        <f>Table3.110[[#This Row],[Requisitioner]]</f>
        <v>Jacobo Arango/Alejandro Montoya</v>
      </c>
      <c r="F1227" s="230" t="str">
        <f>Table3.110[[#This Row],[Gene Bank ID]]</f>
        <v>Sample 8</v>
      </c>
      <c r="G1227" s="230" t="str">
        <f>Table3.110[[#This Row],[Genus]]</f>
        <v>Cynodon</v>
      </c>
      <c r="H1227" s="230" t="str">
        <f>Table3.110[[#This Row],[Species]]</f>
        <v>nlemfuensis</v>
      </c>
      <c r="I1227" s="230" t="str">
        <f>Table3.110[[#This Row],[Tax Name]]</f>
        <v xml:space="preserve">Cynodon nlemfuensis </v>
      </c>
      <c r="J1227" s="230" t="str">
        <f>Table3.110[[#This Row],[Family]]</f>
        <v>Poaceae</v>
      </c>
      <c r="K1227" s="230" t="str">
        <f>Table3.110[[#This Row],[Order]]</f>
        <v>Poales</v>
      </c>
      <c r="L1227" s="230" t="str">
        <f>Table3.110[[#This Row],[Functional Group]]</f>
        <v>grasses</v>
      </c>
      <c r="M1227" s="230" t="str">
        <f>Table3.110[[#This Row],[CIAT ID]]</f>
        <v>F250008</v>
      </c>
      <c r="N1227" s="230">
        <f>Table3.110[[#This Row],[Set CIAT]]</f>
        <v>30</v>
      </c>
      <c r="O1227" s="230">
        <f>Table3.110[[#This Row],[Batch]]</f>
        <v>71</v>
      </c>
      <c r="P1227" s="230">
        <f>Table3.110[[#This Row],[Run]]</f>
        <v>3</v>
      </c>
      <c r="Q1227" s="230">
        <f>Table3.110[[#This Row],[Replication]]</f>
        <v>1</v>
      </c>
      <c r="R1227" s="230">
        <f>Table3.110[[#This Row],[Syrange No]]</f>
        <v>141</v>
      </c>
      <c r="S1227" s="250">
        <v>0.59140000000000004</v>
      </c>
      <c r="T1227" s="250">
        <v>0.89229999999999998</v>
      </c>
      <c r="U1227" s="25"/>
      <c r="V1227" s="283">
        <f t="shared" si="111"/>
        <v>0.30089999999999995</v>
      </c>
      <c r="W1227" s="61">
        <f>Table3.110[[#This Row],[DM Incubated, mg]]-('3.2 Digest'!V1227*1000)</f>
        <v>167.8811</v>
      </c>
      <c r="X1227" s="61">
        <f>W1227/Table3.110[[#This Row],[DM Incubated, mg]]*100</f>
        <v>35.812258642679929</v>
      </c>
      <c r="Y1227" s="31">
        <f>Table3.110[[#This Row],[DM Incubated, mg]]*'2.4 NDF'!R305/100</f>
        <v>356.74241709999995</v>
      </c>
      <c r="Z1227" s="61">
        <f t="shared" si="109"/>
        <v>55.842417100000034</v>
      </c>
      <c r="AA1227" s="61">
        <f t="shared" si="110"/>
        <v>15.65342791416548</v>
      </c>
      <c r="AB1227" s="6"/>
    </row>
    <row r="1228" spans="2:28" x14ac:dyDescent="0.35">
      <c r="B1228" s="230">
        <f t="shared" si="108"/>
        <v>1218</v>
      </c>
      <c r="C1228" s="9"/>
      <c r="D1228" s="248">
        <f>Table3.110[[#This Row],[Date]]</f>
        <v>46085</v>
      </c>
      <c r="E1228" s="230" t="str">
        <f>Table3.110[[#This Row],[Requisitioner]]</f>
        <v>Jacobo Arango/Alejandro Montoya</v>
      </c>
      <c r="F1228" s="230" t="str">
        <f>Table3.110[[#This Row],[Gene Bank ID]]</f>
        <v>Sample 8</v>
      </c>
      <c r="G1228" s="230" t="str">
        <f>Table3.110[[#This Row],[Genus]]</f>
        <v>Cynodon</v>
      </c>
      <c r="H1228" s="230" t="str">
        <f>Table3.110[[#This Row],[Species]]</f>
        <v>nlemfuensis</v>
      </c>
      <c r="I1228" s="230" t="str">
        <f>Table3.110[[#This Row],[Tax Name]]</f>
        <v xml:space="preserve">Cynodon nlemfuensis </v>
      </c>
      <c r="J1228" s="230" t="str">
        <f>Table3.110[[#This Row],[Family]]</f>
        <v>Poaceae</v>
      </c>
      <c r="K1228" s="230" t="str">
        <f>Table3.110[[#This Row],[Order]]</f>
        <v>Poales</v>
      </c>
      <c r="L1228" s="230" t="str">
        <f>Table3.110[[#This Row],[Functional Group]]</f>
        <v>grasses</v>
      </c>
      <c r="M1228" s="230" t="str">
        <f>Table3.110[[#This Row],[CIAT ID]]</f>
        <v>F250008</v>
      </c>
      <c r="N1228" s="230">
        <f>Table3.110[[#This Row],[Set CIAT]]</f>
        <v>30</v>
      </c>
      <c r="O1228" s="230">
        <f>Table3.110[[#This Row],[Batch]]</f>
        <v>71</v>
      </c>
      <c r="P1228" s="230">
        <f>Table3.110[[#This Row],[Run]]</f>
        <v>3</v>
      </c>
      <c r="Q1228" s="230">
        <f>Table3.110[[#This Row],[Replication]]</f>
        <v>2</v>
      </c>
      <c r="R1228" s="230">
        <f>Table3.110[[#This Row],[Syrange No]]</f>
        <v>142</v>
      </c>
      <c r="S1228" s="98">
        <v>0.58430000000000004</v>
      </c>
      <c r="T1228" s="98">
        <v>0.89780000000000004</v>
      </c>
      <c r="U1228" s="8"/>
      <c r="V1228" s="283">
        <f t="shared" si="111"/>
        <v>0.3135</v>
      </c>
      <c r="W1228" s="61">
        <f>Table3.110[[#This Row],[DM Incubated, mg]]-('3.2 Digest'!V1228*1000)</f>
        <v>155.0936999999999</v>
      </c>
      <c r="X1228" s="61">
        <f>W1228/Table3.110[[#This Row],[DM Incubated, mg]]*100</f>
        <v>33.097692094451958</v>
      </c>
      <c r="Y1228" s="31">
        <f>Table3.110[[#This Row],[DM Incubated, mg]]*'2.4 NDF'!R305/100</f>
        <v>356.59980569999993</v>
      </c>
      <c r="Z1228" s="61">
        <f t="shared" si="109"/>
        <v>43.099805699999933</v>
      </c>
      <c r="AA1228" s="61">
        <f t="shared" si="110"/>
        <v>12.086323382985494</v>
      </c>
      <c r="AB1228" s="6"/>
    </row>
    <row r="1229" spans="2:28" x14ac:dyDescent="0.35">
      <c r="B1229" s="230">
        <f t="shared" si="108"/>
        <v>1219</v>
      </c>
      <c r="C1229" s="9"/>
      <c r="D1229" s="248">
        <f>Table3.110[[#This Row],[Date]]</f>
        <v>46085</v>
      </c>
      <c r="E1229" s="230">
        <f>Table3.110[[#This Row],[Requisitioner]]</f>
        <v>0</v>
      </c>
      <c r="F1229" s="230" t="str">
        <f>Table3.110[[#This Row],[Gene Bank ID]]</f>
        <v>Blank 24 H</v>
      </c>
      <c r="G1229" s="230" t="str">
        <f>Table3.110[[#This Row],[Genus]]</f>
        <v>Blank</v>
      </c>
      <c r="H1229" s="230">
        <f>Table3.110[[#This Row],[Species]]</f>
        <v>24</v>
      </c>
      <c r="I1229" s="230" t="str">
        <f>Table3.110[[#This Row],[Tax Name]]</f>
        <v>Blank 24 H</v>
      </c>
      <c r="J1229" s="230">
        <f>Table3.110[[#This Row],[Family]]</f>
        <v>0</v>
      </c>
      <c r="K1229" s="230">
        <f>Table3.110[[#This Row],[Order]]</f>
        <v>0</v>
      </c>
      <c r="L1229" s="230">
        <f>Table3.110[[#This Row],[Functional Group]]</f>
        <v>0</v>
      </c>
      <c r="M1229" s="230" t="str">
        <f>Table3.110[[#This Row],[CIAT ID]]</f>
        <v>Blank24H</v>
      </c>
      <c r="N1229" s="230">
        <f>Table3.110[[#This Row],[Set CIAT]]</f>
        <v>30</v>
      </c>
      <c r="O1229" s="230">
        <f>Table3.110[[#This Row],[Batch]]</f>
        <v>71</v>
      </c>
      <c r="P1229" s="230">
        <f>Table3.110[[#This Row],[Run]]</f>
        <v>3</v>
      </c>
      <c r="Q1229" s="230">
        <f>Table3.110[[#This Row],[Replication]]</f>
        <v>1</v>
      </c>
      <c r="R1229" s="230">
        <f>Table3.110[[#This Row],[Syrange No]]</f>
        <v>143</v>
      </c>
      <c r="S1229" s="249"/>
      <c r="T1229" s="249"/>
      <c r="U1229" s="301"/>
      <c r="V1229" s="283"/>
      <c r="W1229" s="61"/>
      <c r="X1229" s="61"/>
      <c r="Y1229" s="30"/>
      <c r="Z1229" s="37"/>
      <c r="AA1229" s="37"/>
      <c r="AB1229" s="6"/>
    </row>
    <row r="1230" spans="2:28" x14ac:dyDescent="0.35">
      <c r="B1230" s="230">
        <f t="shared" si="108"/>
        <v>1220</v>
      </c>
      <c r="C1230" s="9"/>
      <c r="D1230" s="248">
        <f>Table3.110[[#This Row],[Date]]</f>
        <v>46085</v>
      </c>
      <c r="E1230" s="230">
        <f>Table3.110[[#This Row],[Requisitioner]]</f>
        <v>0</v>
      </c>
      <c r="F1230" s="230" t="str">
        <f>Table3.110[[#This Row],[Gene Bank ID]]</f>
        <v>Blank 24 H</v>
      </c>
      <c r="G1230" s="230" t="str">
        <f>Table3.110[[#This Row],[Genus]]</f>
        <v>Blank</v>
      </c>
      <c r="H1230" s="230">
        <f>Table3.110[[#This Row],[Species]]</f>
        <v>24</v>
      </c>
      <c r="I1230" s="230" t="str">
        <f>Table3.110[[#This Row],[Tax Name]]</f>
        <v>Blank 24 H</v>
      </c>
      <c r="J1230" s="230">
        <f>Table3.110[[#This Row],[Family]]</f>
        <v>0</v>
      </c>
      <c r="K1230" s="230">
        <f>Table3.110[[#This Row],[Order]]</f>
        <v>0</v>
      </c>
      <c r="L1230" s="230">
        <f>Table3.110[[#This Row],[Functional Group]]</f>
        <v>0</v>
      </c>
      <c r="M1230" s="230" t="str">
        <f>Table3.110[[#This Row],[CIAT ID]]</f>
        <v>Blank24H</v>
      </c>
      <c r="N1230" s="230">
        <f>Table3.110[[#This Row],[Set CIAT]]</f>
        <v>30</v>
      </c>
      <c r="O1230" s="230">
        <f>Table3.110[[#This Row],[Batch]]</f>
        <v>71</v>
      </c>
      <c r="P1230" s="230">
        <f>Table3.110[[#This Row],[Run]]</f>
        <v>3</v>
      </c>
      <c r="Q1230" s="230">
        <f>Table3.110[[#This Row],[Replication]]</f>
        <v>2</v>
      </c>
      <c r="R1230" s="230">
        <f>Table3.110[[#This Row],[Syrange No]]</f>
        <v>144</v>
      </c>
      <c r="S1230" s="249"/>
      <c r="T1230" s="249"/>
      <c r="U1230" s="301"/>
      <c r="V1230" s="283"/>
      <c r="W1230" s="61"/>
      <c r="X1230" s="61"/>
      <c r="Y1230" s="30"/>
      <c r="Z1230" s="37"/>
      <c r="AA1230" s="37"/>
      <c r="AB1230" s="6"/>
    </row>
  </sheetData>
  <autoFilter ref="B10:AG1230" xr:uid="{9BFC308B-160C-4461-A7DA-E83DE6AECA3A}"/>
  <mergeCells count="1">
    <mergeCell ref="F3:AB5"/>
  </mergeCells>
  <phoneticPr fontId="7" type="noConversion"/>
  <conditionalFormatting sqref="X12:X1230">
    <cfRule type="cellIs" dxfId="3" priority="10" operator="greaterThan">
      <formula>90</formula>
    </cfRule>
  </conditionalFormatting>
  <conditionalFormatting sqref="X13:X1230">
    <cfRule type="cellIs" dxfId="2" priority="9" operator="greaterThan">
      <formula>80</formula>
    </cfRule>
  </conditionalFormatting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F52AC4-61D5-4666-ABC4-067EAD961550}">
  <sheetPr>
    <tabColor rgb="FF0070C0"/>
  </sheetPr>
  <dimension ref="A1:AB1222"/>
  <sheetViews>
    <sheetView topLeftCell="P1" zoomScale="140" zoomScaleNormal="140" workbookViewId="0">
      <selection sqref="A1:XFD2"/>
    </sheetView>
  </sheetViews>
  <sheetFormatPr defaultRowHeight="14.5" x14ac:dyDescent="0.35"/>
  <cols>
    <col min="3" max="3" width="9.6328125" bestFit="1" customWidth="1"/>
    <col min="4" max="4" width="29.54296875" bestFit="1" customWidth="1"/>
    <col min="5" max="5" width="17.90625" bestFit="1" customWidth="1"/>
    <col min="6" max="6" width="12.90625" bestFit="1" customWidth="1"/>
    <col min="7" max="7" width="13.453125" bestFit="1" customWidth="1"/>
    <col min="8" max="8" width="31.54296875" bestFit="1" customWidth="1"/>
    <col min="9" max="9" width="12.36328125" customWidth="1"/>
    <col min="10" max="10" width="16.6328125" customWidth="1"/>
    <col min="11" max="11" width="18.36328125" bestFit="1" customWidth="1"/>
    <col min="12" max="12" width="11.08984375" bestFit="1" customWidth="1"/>
    <col min="13" max="13" width="10.453125" bestFit="1" customWidth="1"/>
    <col min="14" max="14" width="11.81640625" customWidth="1"/>
    <col min="16" max="16" width="12.90625" bestFit="1" customWidth="1"/>
    <col min="17" max="17" width="13.453125" bestFit="1" customWidth="1"/>
    <col min="18" max="18" width="15.1796875" bestFit="1" customWidth="1"/>
    <col min="19" max="19" width="19.453125" bestFit="1" customWidth="1"/>
    <col min="20" max="20" width="13.1796875" customWidth="1"/>
    <col min="21" max="21" width="18.81640625" bestFit="1" customWidth="1"/>
    <col min="22" max="22" width="19.08984375" bestFit="1" customWidth="1"/>
    <col min="23" max="23" width="28.54296875" bestFit="1" customWidth="1"/>
    <col min="24" max="24" width="19.6328125" bestFit="1" customWidth="1"/>
    <col min="25" max="25" width="20.81640625" bestFit="1" customWidth="1"/>
    <col min="26" max="26" width="30.6328125" bestFit="1" customWidth="1"/>
    <col min="27" max="27" width="10.453125" bestFit="1" customWidth="1"/>
    <col min="28" max="28" width="20.08984375" bestFit="1" customWidth="1"/>
  </cols>
  <sheetData>
    <row r="1" spans="1:28" x14ac:dyDescent="0.35">
      <c r="A1" t="s">
        <v>731</v>
      </c>
      <c r="B1" t="s">
        <v>732</v>
      </c>
      <c r="C1" t="s">
        <v>733</v>
      </c>
      <c r="D1" t="s">
        <v>734</v>
      </c>
      <c r="E1" t="s">
        <v>735</v>
      </c>
      <c r="F1" t="s">
        <v>736</v>
      </c>
      <c r="G1" t="s">
        <v>737</v>
      </c>
      <c r="H1" t="s">
        <v>738</v>
      </c>
      <c r="I1" t="s">
        <v>739</v>
      </c>
      <c r="J1" t="s">
        <v>740</v>
      </c>
      <c r="K1" t="s">
        <v>741</v>
      </c>
      <c r="L1" t="s">
        <v>742</v>
      </c>
      <c r="M1" t="s">
        <v>743</v>
      </c>
      <c r="N1" t="s">
        <v>744</v>
      </c>
      <c r="O1" t="s">
        <v>745</v>
      </c>
      <c r="P1" t="s">
        <v>746</v>
      </c>
      <c r="Q1" t="s">
        <v>747</v>
      </c>
      <c r="R1" t="s">
        <v>748</v>
      </c>
      <c r="S1" t="s">
        <v>749</v>
      </c>
      <c r="T1" t="s">
        <v>750</v>
      </c>
      <c r="U1" t="s">
        <v>751</v>
      </c>
      <c r="V1" t="s">
        <v>752</v>
      </c>
      <c r="W1" t="s">
        <v>753</v>
      </c>
      <c r="X1" t="s">
        <v>754</v>
      </c>
      <c r="Y1" t="s">
        <v>755</v>
      </c>
      <c r="Z1" t="s">
        <v>756</v>
      </c>
      <c r="AA1" t="s">
        <v>758</v>
      </c>
      <c r="AB1" t="s">
        <v>757</v>
      </c>
    </row>
    <row r="2" spans="1:28" x14ac:dyDescent="0.35">
      <c r="A2" t="s">
        <v>482</v>
      </c>
      <c r="B2" t="s">
        <v>483</v>
      </c>
      <c r="C2" t="s">
        <v>483</v>
      </c>
      <c r="D2" t="s">
        <v>3</v>
      </c>
      <c r="E2" t="s">
        <v>501</v>
      </c>
      <c r="F2" t="s">
        <v>7</v>
      </c>
      <c r="G2" t="s">
        <v>8</v>
      </c>
      <c r="H2" t="s">
        <v>9</v>
      </c>
      <c r="I2" t="s">
        <v>10</v>
      </c>
      <c r="J2" t="s">
        <v>11</v>
      </c>
      <c r="K2" t="s">
        <v>12</v>
      </c>
      <c r="L2" t="s">
        <v>502</v>
      </c>
      <c r="M2" t="s">
        <v>4</v>
      </c>
      <c r="N2" t="s">
        <v>503</v>
      </c>
      <c r="O2" t="s">
        <v>504</v>
      </c>
      <c r="P2" t="s">
        <v>490</v>
      </c>
      <c r="Q2" t="s">
        <v>505</v>
      </c>
      <c r="R2" t="s">
        <v>671</v>
      </c>
      <c r="S2" t="s">
        <v>672</v>
      </c>
      <c r="T2" t="s">
        <v>518</v>
      </c>
      <c r="U2" t="s">
        <v>673</v>
      </c>
      <c r="V2" t="s">
        <v>508</v>
      </c>
      <c r="W2" t="s">
        <v>528</v>
      </c>
      <c r="X2" t="s">
        <v>674</v>
      </c>
      <c r="Y2" t="s">
        <v>675</v>
      </c>
      <c r="Z2" t="s">
        <v>676</v>
      </c>
      <c r="AA2" t="s">
        <v>518</v>
      </c>
    </row>
    <row r="3" spans="1:28" x14ac:dyDescent="0.35">
      <c r="A3">
        <v>1</v>
      </c>
      <c r="B3">
        <v>45630</v>
      </c>
      <c r="C3">
        <v>46041</v>
      </c>
      <c r="D3">
        <v>0</v>
      </c>
      <c r="E3" t="s">
        <v>537</v>
      </c>
      <c r="F3" t="s">
        <v>538</v>
      </c>
      <c r="G3">
        <v>0</v>
      </c>
      <c r="H3" t="s">
        <v>537</v>
      </c>
      <c r="I3">
        <v>0</v>
      </c>
      <c r="J3">
        <v>0</v>
      </c>
      <c r="K3">
        <v>0</v>
      </c>
      <c r="L3" t="s">
        <v>539</v>
      </c>
      <c r="M3">
        <v>27</v>
      </c>
      <c r="N3">
        <v>58</v>
      </c>
      <c r="O3">
        <v>1</v>
      </c>
      <c r="P3">
        <v>1</v>
      </c>
      <c r="Q3">
        <v>181</v>
      </c>
    </row>
    <row r="4" spans="1:28" x14ac:dyDescent="0.35">
      <c r="A4">
        <v>2</v>
      </c>
      <c r="B4">
        <v>45630</v>
      </c>
      <c r="C4">
        <v>46041</v>
      </c>
      <c r="D4">
        <v>0</v>
      </c>
      <c r="E4" t="s">
        <v>537</v>
      </c>
      <c r="F4" t="s">
        <v>538</v>
      </c>
      <c r="G4">
        <v>0</v>
      </c>
      <c r="H4" t="s">
        <v>537</v>
      </c>
      <c r="I4">
        <v>0</v>
      </c>
      <c r="J4">
        <v>0</v>
      </c>
      <c r="K4">
        <v>0</v>
      </c>
      <c r="L4" t="s">
        <v>539</v>
      </c>
      <c r="M4">
        <v>27</v>
      </c>
      <c r="N4">
        <v>58</v>
      </c>
      <c r="O4">
        <v>1</v>
      </c>
      <c r="P4">
        <v>2</v>
      </c>
      <c r="Q4">
        <v>182</v>
      </c>
    </row>
    <row r="5" spans="1:28" x14ac:dyDescent="0.35">
      <c r="A5">
        <v>3</v>
      </c>
      <c r="B5">
        <v>45630</v>
      </c>
      <c r="C5">
        <v>46041</v>
      </c>
      <c r="D5" t="s">
        <v>16</v>
      </c>
      <c r="E5" t="s">
        <v>18</v>
      </c>
      <c r="F5" t="s">
        <v>19</v>
      </c>
      <c r="G5" t="s">
        <v>20</v>
      </c>
      <c r="H5" t="s">
        <v>21</v>
      </c>
      <c r="I5" t="s">
        <v>22</v>
      </c>
      <c r="J5" t="s">
        <v>23</v>
      </c>
      <c r="K5" t="s">
        <v>24</v>
      </c>
      <c r="L5" t="s">
        <v>17</v>
      </c>
      <c r="M5">
        <v>27</v>
      </c>
      <c r="N5">
        <v>58</v>
      </c>
      <c r="O5">
        <v>1</v>
      </c>
      <c r="P5">
        <v>1</v>
      </c>
      <c r="Q5">
        <v>183</v>
      </c>
      <c r="R5">
        <v>0.57069999999999999</v>
      </c>
      <c r="S5">
        <v>0.89949999999999997</v>
      </c>
      <c r="U5">
        <v>0.32879999999999998</v>
      </c>
      <c r="V5">
        <v>146.52593577261712</v>
      </c>
      <c r="W5">
        <v>30.826412940090677</v>
      </c>
      <c r="X5">
        <v>287.11758358672398</v>
      </c>
      <c r="Y5">
        <v>-41.682416413275973</v>
      </c>
      <c r="Z5">
        <v>-14.517542218268838</v>
      </c>
    </row>
    <row r="6" spans="1:28" x14ac:dyDescent="0.35">
      <c r="A6">
        <v>4</v>
      </c>
      <c r="B6">
        <v>45630</v>
      </c>
      <c r="C6">
        <v>46041</v>
      </c>
      <c r="D6" t="s">
        <v>16</v>
      </c>
      <c r="E6" t="s">
        <v>18</v>
      </c>
      <c r="F6" t="s">
        <v>19</v>
      </c>
      <c r="G6" t="s">
        <v>20</v>
      </c>
      <c r="H6" t="s">
        <v>21</v>
      </c>
      <c r="I6" t="s">
        <v>22</v>
      </c>
      <c r="J6" t="s">
        <v>23</v>
      </c>
      <c r="K6" t="s">
        <v>24</v>
      </c>
      <c r="L6" t="s">
        <v>17</v>
      </c>
      <c r="M6">
        <v>27</v>
      </c>
      <c r="N6">
        <v>58</v>
      </c>
      <c r="O6">
        <v>1</v>
      </c>
      <c r="P6">
        <v>2</v>
      </c>
      <c r="Q6">
        <v>184</v>
      </c>
      <c r="R6">
        <v>0.57889999999999997</v>
      </c>
      <c r="S6">
        <v>1.0674999999999999</v>
      </c>
      <c r="AA6" t="s">
        <v>546</v>
      </c>
      <c r="AB6" t="s">
        <v>677</v>
      </c>
    </row>
    <row r="7" spans="1:28" x14ac:dyDescent="0.35">
      <c r="A7">
        <v>5</v>
      </c>
      <c r="B7">
        <v>45630</v>
      </c>
      <c r="C7">
        <v>46041</v>
      </c>
      <c r="D7" t="s">
        <v>16</v>
      </c>
      <c r="E7" t="s">
        <v>18</v>
      </c>
      <c r="F7" t="s">
        <v>19</v>
      </c>
      <c r="G7" t="s">
        <v>20</v>
      </c>
      <c r="H7" t="s">
        <v>21</v>
      </c>
      <c r="I7" t="s">
        <v>22</v>
      </c>
      <c r="J7" t="s">
        <v>23</v>
      </c>
      <c r="K7" t="s">
        <v>24</v>
      </c>
      <c r="L7" t="s">
        <v>17</v>
      </c>
      <c r="M7">
        <v>27</v>
      </c>
      <c r="N7">
        <v>58</v>
      </c>
      <c r="O7">
        <v>1</v>
      </c>
      <c r="P7">
        <v>3</v>
      </c>
      <c r="Q7">
        <v>185</v>
      </c>
      <c r="R7">
        <v>0.58879999999999999</v>
      </c>
      <c r="S7">
        <v>0.94789999999999996</v>
      </c>
      <c r="U7">
        <v>0.35909999999999997</v>
      </c>
      <c r="V7">
        <v>116.03607120869748</v>
      </c>
      <c r="W7">
        <v>24.421650604954831</v>
      </c>
      <c r="X7">
        <v>287.00289711435056</v>
      </c>
      <c r="Y7">
        <v>-72.097102885649406</v>
      </c>
      <c r="Z7">
        <v>-25.120688191842106</v>
      </c>
      <c r="AA7" t="s">
        <v>546</v>
      </c>
      <c r="AB7" t="s">
        <v>677</v>
      </c>
    </row>
    <row r="8" spans="1:28" x14ac:dyDescent="0.35">
      <c r="A8">
        <v>6</v>
      </c>
      <c r="B8">
        <v>45630</v>
      </c>
      <c r="C8">
        <v>46041</v>
      </c>
      <c r="D8" t="s">
        <v>16</v>
      </c>
      <c r="E8" t="s">
        <v>28</v>
      </c>
      <c r="F8" t="s">
        <v>19</v>
      </c>
      <c r="G8" t="s">
        <v>29</v>
      </c>
      <c r="H8" t="s">
        <v>30</v>
      </c>
      <c r="I8" t="s">
        <v>22</v>
      </c>
      <c r="J8" t="s">
        <v>23</v>
      </c>
      <c r="K8" t="s">
        <v>24</v>
      </c>
      <c r="L8" t="s">
        <v>27</v>
      </c>
      <c r="M8">
        <v>27</v>
      </c>
      <c r="N8">
        <v>58</v>
      </c>
      <c r="O8">
        <v>1</v>
      </c>
      <c r="P8">
        <v>1</v>
      </c>
      <c r="Q8">
        <v>186</v>
      </c>
      <c r="R8">
        <v>0.56089999999999995</v>
      </c>
      <c r="S8">
        <v>0.94389999999999996</v>
      </c>
      <c r="U8">
        <v>0.38300000000000001</v>
      </c>
      <c r="V8">
        <v>92.228704384110983</v>
      </c>
      <c r="W8">
        <v>19.407225096732731</v>
      </c>
      <c r="X8">
        <v>270.30793839047465</v>
      </c>
      <c r="Y8">
        <v>-112.69206160952535</v>
      </c>
      <c r="Z8">
        <v>-41.690252339809383</v>
      </c>
    </row>
    <row r="9" spans="1:28" x14ac:dyDescent="0.35">
      <c r="A9">
        <v>7</v>
      </c>
      <c r="B9">
        <v>45630</v>
      </c>
      <c r="C9">
        <v>46041</v>
      </c>
      <c r="D9" t="s">
        <v>16</v>
      </c>
      <c r="E9" t="s">
        <v>28</v>
      </c>
      <c r="F9" t="s">
        <v>19</v>
      </c>
      <c r="G9" t="s">
        <v>29</v>
      </c>
      <c r="H9" t="s">
        <v>30</v>
      </c>
      <c r="I9" t="s">
        <v>22</v>
      </c>
      <c r="J9" t="s">
        <v>23</v>
      </c>
      <c r="K9" t="s">
        <v>24</v>
      </c>
      <c r="L9" t="s">
        <v>27</v>
      </c>
      <c r="M9">
        <v>27</v>
      </c>
      <c r="N9">
        <v>58</v>
      </c>
      <c r="O9">
        <v>1</v>
      </c>
      <c r="P9">
        <v>2</v>
      </c>
      <c r="Q9">
        <v>187</v>
      </c>
      <c r="R9">
        <v>0.57399999999999995</v>
      </c>
      <c r="S9">
        <v>0.9345</v>
      </c>
      <c r="U9">
        <v>0.36050000000000004</v>
      </c>
      <c r="V9">
        <v>115.20393308849498</v>
      </c>
      <c r="W9">
        <v>24.217570021028948</v>
      </c>
      <c r="X9">
        <v>270.57824632886508</v>
      </c>
      <c r="Y9">
        <v>-89.921753671134979</v>
      </c>
      <c r="Z9">
        <v>-33.233179271123909</v>
      </c>
    </row>
    <row r="10" spans="1:28" x14ac:dyDescent="0.35">
      <c r="A10">
        <v>8</v>
      </c>
      <c r="B10">
        <v>45630</v>
      </c>
      <c r="C10">
        <v>46041</v>
      </c>
      <c r="D10" t="s">
        <v>16</v>
      </c>
      <c r="E10" t="s">
        <v>28</v>
      </c>
      <c r="F10" t="s">
        <v>19</v>
      </c>
      <c r="G10" t="s">
        <v>29</v>
      </c>
      <c r="H10" t="s">
        <v>30</v>
      </c>
      <c r="I10" t="s">
        <v>22</v>
      </c>
      <c r="J10" t="s">
        <v>23</v>
      </c>
      <c r="K10" t="s">
        <v>24</v>
      </c>
      <c r="L10" t="s">
        <v>27</v>
      </c>
      <c r="M10">
        <v>27</v>
      </c>
      <c r="N10">
        <v>58</v>
      </c>
      <c r="O10">
        <v>1</v>
      </c>
      <c r="P10">
        <v>3</v>
      </c>
      <c r="Q10">
        <v>188</v>
      </c>
      <c r="R10">
        <v>0.54900000000000004</v>
      </c>
      <c r="S10">
        <v>0.89770000000000005</v>
      </c>
      <c r="U10">
        <v>0.34870000000000001</v>
      </c>
      <c r="V10">
        <v>126.90888734761825</v>
      </c>
      <c r="W10">
        <v>26.683455823410991</v>
      </c>
      <c r="X10">
        <v>270.52418474118701</v>
      </c>
      <c r="Y10">
        <v>-78.175815258812975</v>
      </c>
      <c r="Z10">
        <v>-28.89790254191303</v>
      </c>
    </row>
    <row r="11" spans="1:28" x14ac:dyDescent="0.35">
      <c r="A11">
        <v>9</v>
      </c>
      <c r="B11">
        <v>45630</v>
      </c>
      <c r="C11">
        <v>46041</v>
      </c>
      <c r="D11" t="s">
        <v>16</v>
      </c>
      <c r="E11" t="s">
        <v>32</v>
      </c>
      <c r="F11" t="s">
        <v>19</v>
      </c>
      <c r="G11" t="s">
        <v>20</v>
      </c>
      <c r="H11" t="s">
        <v>21</v>
      </c>
      <c r="I11" t="s">
        <v>22</v>
      </c>
      <c r="J11" t="s">
        <v>23</v>
      </c>
      <c r="K11" t="s">
        <v>24</v>
      </c>
      <c r="L11" t="s">
        <v>31</v>
      </c>
      <c r="M11">
        <v>27</v>
      </c>
      <c r="N11">
        <v>58</v>
      </c>
      <c r="O11">
        <v>1</v>
      </c>
      <c r="P11">
        <v>1</v>
      </c>
      <c r="Q11">
        <v>189</v>
      </c>
      <c r="R11">
        <v>0.56669999999999998</v>
      </c>
      <c r="S11">
        <v>0.9093</v>
      </c>
      <c r="U11">
        <v>0.34260000000000002</v>
      </c>
      <c r="V11">
        <v>129.84541476262467</v>
      </c>
      <c r="W11">
        <v>27.483686094797672</v>
      </c>
      <c r="X11">
        <v>283.20260778529598</v>
      </c>
      <c r="Y11">
        <v>-59.397392214704041</v>
      </c>
      <c r="Z11">
        <v>-20.97346231350204</v>
      </c>
    </row>
    <row r="12" spans="1:28" x14ac:dyDescent="0.35">
      <c r="A12">
        <v>10</v>
      </c>
      <c r="B12">
        <v>45630</v>
      </c>
      <c r="C12">
        <v>46041</v>
      </c>
      <c r="D12" t="s">
        <v>16</v>
      </c>
      <c r="E12" t="s">
        <v>32</v>
      </c>
      <c r="F12" t="s">
        <v>19</v>
      </c>
      <c r="G12" t="s">
        <v>20</v>
      </c>
      <c r="H12" t="s">
        <v>21</v>
      </c>
      <c r="I12" t="s">
        <v>22</v>
      </c>
      <c r="J12" t="s">
        <v>23</v>
      </c>
      <c r="K12" t="s">
        <v>24</v>
      </c>
      <c r="L12" t="s">
        <v>31</v>
      </c>
      <c r="M12">
        <v>27</v>
      </c>
      <c r="N12">
        <v>58</v>
      </c>
      <c r="O12">
        <v>1</v>
      </c>
      <c r="P12">
        <v>2</v>
      </c>
      <c r="Q12">
        <v>190</v>
      </c>
      <c r="R12">
        <v>0.58879999999999999</v>
      </c>
      <c r="S12">
        <v>1.2097</v>
      </c>
      <c r="AA12" t="s">
        <v>546</v>
      </c>
      <c r="AB12" t="s">
        <v>677</v>
      </c>
    </row>
    <row r="13" spans="1:28" x14ac:dyDescent="0.35">
      <c r="A13">
        <v>11</v>
      </c>
      <c r="B13">
        <v>45630</v>
      </c>
      <c r="C13">
        <v>46041</v>
      </c>
      <c r="D13" t="s">
        <v>16</v>
      </c>
      <c r="E13" t="s">
        <v>32</v>
      </c>
      <c r="F13" t="s">
        <v>19</v>
      </c>
      <c r="G13" t="s">
        <v>20</v>
      </c>
      <c r="H13" t="s">
        <v>21</v>
      </c>
      <c r="I13" t="s">
        <v>22</v>
      </c>
      <c r="J13" t="s">
        <v>23</v>
      </c>
      <c r="K13" t="s">
        <v>24</v>
      </c>
      <c r="L13" t="s">
        <v>31</v>
      </c>
      <c r="M13">
        <v>27</v>
      </c>
      <c r="N13">
        <v>58</v>
      </c>
      <c r="O13">
        <v>1</v>
      </c>
      <c r="P13">
        <v>3</v>
      </c>
      <c r="Q13">
        <v>191</v>
      </c>
      <c r="R13">
        <v>0.58620000000000005</v>
      </c>
      <c r="S13">
        <v>0.91539999999999999</v>
      </c>
      <c r="U13">
        <v>0.32919999999999994</v>
      </c>
      <c r="V13">
        <v>142.96234381309642</v>
      </c>
      <c r="W13">
        <v>30.278218008356788</v>
      </c>
      <c r="X13">
        <v>283.03292377823465</v>
      </c>
      <c r="Y13">
        <v>-46.167076221765285</v>
      </c>
      <c r="Z13">
        <v>-16.311556834263801</v>
      </c>
    </row>
    <row r="14" spans="1:28" x14ac:dyDescent="0.35">
      <c r="A14">
        <v>12</v>
      </c>
      <c r="B14">
        <v>45630</v>
      </c>
      <c r="C14">
        <v>46041</v>
      </c>
      <c r="D14" t="s">
        <v>16</v>
      </c>
      <c r="E14" t="s">
        <v>34</v>
      </c>
      <c r="F14" t="s">
        <v>19</v>
      </c>
      <c r="G14" t="s">
        <v>29</v>
      </c>
      <c r="H14" t="s">
        <v>30</v>
      </c>
      <c r="I14" t="s">
        <v>22</v>
      </c>
      <c r="J14" t="s">
        <v>23</v>
      </c>
      <c r="K14" t="s">
        <v>24</v>
      </c>
      <c r="L14" t="s">
        <v>33</v>
      </c>
      <c r="M14">
        <v>27</v>
      </c>
      <c r="N14">
        <v>58</v>
      </c>
      <c r="O14">
        <v>1</v>
      </c>
      <c r="P14">
        <v>1</v>
      </c>
      <c r="Q14">
        <v>192</v>
      </c>
      <c r="R14">
        <v>0.56010000000000004</v>
      </c>
      <c r="S14">
        <v>1.0683</v>
      </c>
      <c r="AA14" t="s">
        <v>546</v>
      </c>
      <c r="AB14" t="s">
        <v>677</v>
      </c>
    </row>
    <row r="15" spans="1:28" x14ac:dyDescent="0.35">
      <c r="A15">
        <v>13</v>
      </c>
      <c r="B15">
        <v>45630</v>
      </c>
      <c r="C15">
        <v>46041</v>
      </c>
      <c r="D15" t="s">
        <v>16</v>
      </c>
      <c r="E15" t="s">
        <v>34</v>
      </c>
      <c r="F15" t="s">
        <v>19</v>
      </c>
      <c r="G15" t="s">
        <v>29</v>
      </c>
      <c r="H15" t="s">
        <v>30</v>
      </c>
      <c r="I15" t="s">
        <v>22</v>
      </c>
      <c r="J15" t="s">
        <v>23</v>
      </c>
      <c r="K15" t="s">
        <v>24</v>
      </c>
      <c r="L15" t="s">
        <v>33</v>
      </c>
      <c r="M15">
        <v>27</v>
      </c>
      <c r="N15">
        <v>58</v>
      </c>
      <c r="O15">
        <v>1</v>
      </c>
      <c r="P15">
        <v>2</v>
      </c>
      <c r="Q15">
        <v>193</v>
      </c>
      <c r="R15">
        <v>0.58430000000000004</v>
      </c>
      <c r="S15">
        <v>0.99480000000000002</v>
      </c>
      <c r="U15">
        <v>0.41049999999999998</v>
      </c>
      <c r="V15">
        <v>60.6338746885055</v>
      </c>
      <c r="W15">
        <v>12.869776075556899</v>
      </c>
      <c r="X15">
        <v>303.20763955497449</v>
      </c>
      <c r="Y15">
        <v>-107.29236044502551</v>
      </c>
      <c r="Z15">
        <v>-35.385770821111635</v>
      </c>
    </row>
    <row r="16" spans="1:28" x14ac:dyDescent="0.35">
      <c r="A16">
        <v>14</v>
      </c>
      <c r="B16">
        <v>45630</v>
      </c>
      <c r="C16">
        <v>46041</v>
      </c>
      <c r="D16" t="s">
        <v>16</v>
      </c>
      <c r="E16" t="s">
        <v>34</v>
      </c>
      <c r="F16" t="s">
        <v>19</v>
      </c>
      <c r="G16" t="s">
        <v>29</v>
      </c>
      <c r="H16" t="s">
        <v>30</v>
      </c>
      <c r="I16" t="s">
        <v>22</v>
      </c>
      <c r="J16" t="s">
        <v>23</v>
      </c>
      <c r="K16" t="s">
        <v>24</v>
      </c>
      <c r="L16" t="s">
        <v>33</v>
      </c>
      <c r="M16">
        <v>27</v>
      </c>
      <c r="N16">
        <v>58</v>
      </c>
      <c r="O16">
        <v>1</v>
      </c>
      <c r="P16">
        <v>3</v>
      </c>
      <c r="Q16">
        <v>194</v>
      </c>
      <c r="R16">
        <v>0.58069999999999999</v>
      </c>
      <c r="S16">
        <v>0.97599999999999998</v>
      </c>
      <c r="U16">
        <v>0.39529999999999998</v>
      </c>
      <c r="V16">
        <v>75.833874688505489</v>
      </c>
      <c r="W16">
        <v>16.096035280554545</v>
      </c>
      <c r="X16">
        <v>303.20763955497449</v>
      </c>
      <c r="Y16">
        <v>-92.09236044502552</v>
      </c>
      <c r="Z16">
        <v>-30.372704520305561</v>
      </c>
    </row>
    <row r="17" spans="1:28" x14ac:dyDescent="0.35">
      <c r="A17">
        <v>15</v>
      </c>
      <c r="B17">
        <v>45630</v>
      </c>
      <c r="C17">
        <v>46041</v>
      </c>
      <c r="D17" t="s">
        <v>16</v>
      </c>
      <c r="E17" t="s">
        <v>36</v>
      </c>
      <c r="F17" t="s">
        <v>19</v>
      </c>
      <c r="G17" t="s">
        <v>20</v>
      </c>
      <c r="H17" t="s">
        <v>21</v>
      </c>
      <c r="I17" t="s">
        <v>22</v>
      </c>
      <c r="J17" t="s">
        <v>23</v>
      </c>
      <c r="K17" t="s">
        <v>24</v>
      </c>
      <c r="L17" t="s">
        <v>35</v>
      </c>
      <c r="M17">
        <v>27</v>
      </c>
      <c r="N17">
        <v>58</v>
      </c>
      <c r="O17">
        <v>1</v>
      </c>
      <c r="P17">
        <v>1</v>
      </c>
      <c r="Q17">
        <v>195</v>
      </c>
      <c r="R17">
        <v>0.59219999999999995</v>
      </c>
      <c r="S17">
        <v>0.98019999999999996</v>
      </c>
      <c r="U17">
        <v>0.38800000000000001</v>
      </c>
      <c r="V17">
        <v>83.762136845203599</v>
      </c>
      <c r="W17">
        <v>17.755163100909886</v>
      </c>
      <c r="X17">
        <v>300.08094060931745</v>
      </c>
      <c r="Y17">
        <v>-87.919059390682548</v>
      </c>
      <c r="Z17">
        <v>-29.298448349356004</v>
      </c>
    </row>
    <row r="18" spans="1:28" x14ac:dyDescent="0.35">
      <c r="A18">
        <v>16</v>
      </c>
      <c r="B18">
        <v>45630</v>
      </c>
      <c r="C18">
        <v>46041</v>
      </c>
      <c r="D18" t="s">
        <v>16</v>
      </c>
      <c r="E18" t="s">
        <v>36</v>
      </c>
      <c r="F18" t="s">
        <v>19</v>
      </c>
      <c r="G18" t="s">
        <v>20</v>
      </c>
      <c r="H18" t="s">
        <v>21</v>
      </c>
      <c r="I18" t="s">
        <v>22</v>
      </c>
      <c r="J18" t="s">
        <v>23</v>
      </c>
      <c r="K18" t="s">
        <v>24</v>
      </c>
      <c r="L18" t="s">
        <v>35</v>
      </c>
      <c r="M18">
        <v>27</v>
      </c>
      <c r="N18">
        <v>58</v>
      </c>
      <c r="O18">
        <v>1</v>
      </c>
      <c r="P18">
        <v>2</v>
      </c>
      <c r="Q18">
        <v>196</v>
      </c>
      <c r="R18">
        <v>0.56699999999999995</v>
      </c>
      <c r="S18">
        <v>0.91990000000000005</v>
      </c>
      <c r="U18">
        <v>0.3529000000000001</v>
      </c>
      <c r="V18">
        <v>118.67354514548521</v>
      </c>
      <c r="W18">
        <v>25.165437367542147</v>
      </c>
      <c r="X18">
        <v>299.96098020931373</v>
      </c>
      <c r="Y18">
        <v>-52.939019790686359</v>
      </c>
      <c r="Z18">
        <v>-17.648635417095029</v>
      </c>
    </row>
    <row r="19" spans="1:28" x14ac:dyDescent="0.35">
      <c r="A19">
        <v>17</v>
      </c>
      <c r="B19">
        <v>45630</v>
      </c>
      <c r="C19">
        <v>46041</v>
      </c>
      <c r="D19" t="s">
        <v>16</v>
      </c>
      <c r="E19" t="s">
        <v>36</v>
      </c>
      <c r="F19" t="s">
        <v>19</v>
      </c>
      <c r="G19" t="s">
        <v>20</v>
      </c>
      <c r="H19" t="s">
        <v>21</v>
      </c>
      <c r="I19" t="s">
        <v>22</v>
      </c>
      <c r="J19" t="s">
        <v>23</v>
      </c>
      <c r="K19" t="s">
        <v>24</v>
      </c>
      <c r="L19" t="s">
        <v>35</v>
      </c>
      <c r="M19">
        <v>27</v>
      </c>
      <c r="N19">
        <v>58</v>
      </c>
      <c r="O19">
        <v>1</v>
      </c>
      <c r="P19">
        <v>3</v>
      </c>
      <c r="Q19">
        <v>197</v>
      </c>
      <c r="R19">
        <v>0.54059999999999997</v>
      </c>
      <c r="S19">
        <v>0.91020000000000001</v>
      </c>
      <c r="U19">
        <v>0.36960000000000004</v>
      </c>
      <c r="V19">
        <v>102.44502439478094</v>
      </c>
      <c r="W19">
        <v>21.702384116033826</v>
      </c>
      <c r="X19">
        <v>300.26088120932303</v>
      </c>
      <c r="Y19">
        <v>-69.339118790676991</v>
      </c>
      <c r="Z19">
        <v>-23.092957867641143</v>
      </c>
    </row>
    <row r="20" spans="1:28" x14ac:dyDescent="0.35">
      <c r="A20">
        <v>18</v>
      </c>
      <c r="B20">
        <v>45630</v>
      </c>
      <c r="C20">
        <v>46041</v>
      </c>
      <c r="D20" t="s">
        <v>16</v>
      </c>
      <c r="E20" t="s">
        <v>38</v>
      </c>
      <c r="F20" t="s">
        <v>19</v>
      </c>
      <c r="G20" t="s">
        <v>20</v>
      </c>
      <c r="H20" t="s">
        <v>21</v>
      </c>
      <c r="I20" t="s">
        <v>22</v>
      </c>
      <c r="J20" t="s">
        <v>23</v>
      </c>
      <c r="K20" t="s">
        <v>24</v>
      </c>
      <c r="L20" t="s">
        <v>37</v>
      </c>
      <c r="M20">
        <v>27</v>
      </c>
      <c r="N20">
        <v>58</v>
      </c>
      <c r="O20">
        <v>1</v>
      </c>
      <c r="P20">
        <v>1</v>
      </c>
      <c r="Q20">
        <v>198</v>
      </c>
      <c r="R20">
        <v>0.5766</v>
      </c>
      <c r="S20">
        <v>0.95440000000000003</v>
      </c>
      <c r="U20">
        <v>0.37780000000000002</v>
      </c>
      <c r="V20">
        <v>85.548160551834144</v>
      </c>
      <c r="W20">
        <v>18.463040934477604</v>
      </c>
      <c r="X20">
        <v>311.46045591662096</v>
      </c>
      <c r="Y20">
        <v>-66.339544083379053</v>
      </c>
      <c r="Z20">
        <v>-21.299507794061142</v>
      </c>
    </row>
    <row r="21" spans="1:28" x14ac:dyDescent="0.35">
      <c r="A21">
        <v>19</v>
      </c>
      <c r="B21">
        <v>45630</v>
      </c>
      <c r="C21">
        <v>46041</v>
      </c>
      <c r="D21" t="s">
        <v>16</v>
      </c>
      <c r="E21" t="s">
        <v>38</v>
      </c>
      <c r="F21" t="s">
        <v>19</v>
      </c>
      <c r="G21" t="s">
        <v>20</v>
      </c>
      <c r="H21" t="s">
        <v>21</v>
      </c>
      <c r="I21" t="s">
        <v>22</v>
      </c>
      <c r="J21" t="s">
        <v>23</v>
      </c>
      <c r="K21" t="s">
        <v>24</v>
      </c>
      <c r="L21" t="s">
        <v>37</v>
      </c>
      <c r="M21">
        <v>27</v>
      </c>
      <c r="N21">
        <v>58</v>
      </c>
      <c r="O21">
        <v>1</v>
      </c>
      <c r="P21">
        <v>2</v>
      </c>
      <c r="Q21">
        <v>199</v>
      </c>
      <c r="R21">
        <v>0.56130000000000002</v>
      </c>
      <c r="S21">
        <v>0.94779999999999998</v>
      </c>
      <c r="U21">
        <v>0.38649999999999995</v>
      </c>
      <c r="V21">
        <v>77.218690868149281</v>
      </c>
      <c r="W21">
        <v>16.652054874817445</v>
      </c>
      <c r="X21">
        <v>311.70952465385943</v>
      </c>
      <c r="Y21">
        <v>-74.790475346140511</v>
      </c>
      <c r="Z21">
        <v>-23.993644541081075</v>
      </c>
    </row>
    <row r="22" spans="1:28" x14ac:dyDescent="0.35">
      <c r="A22">
        <v>20</v>
      </c>
      <c r="B22">
        <v>45630</v>
      </c>
      <c r="C22">
        <v>46041</v>
      </c>
      <c r="D22" t="s">
        <v>16</v>
      </c>
      <c r="E22" t="s">
        <v>38</v>
      </c>
      <c r="F22" t="s">
        <v>19</v>
      </c>
      <c r="G22" t="s">
        <v>20</v>
      </c>
      <c r="H22" t="s">
        <v>21</v>
      </c>
      <c r="I22" t="s">
        <v>22</v>
      </c>
      <c r="J22" t="s">
        <v>23</v>
      </c>
      <c r="K22" t="s">
        <v>24</v>
      </c>
      <c r="L22" t="s">
        <v>37</v>
      </c>
      <c r="M22">
        <v>27</v>
      </c>
      <c r="N22">
        <v>58</v>
      </c>
      <c r="O22">
        <v>1</v>
      </c>
      <c r="P22">
        <v>3</v>
      </c>
      <c r="Q22">
        <v>200</v>
      </c>
      <c r="R22">
        <v>0.5595</v>
      </c>
      <c r="S22">
        <v>0.92600000000000005</v>
      </c>
      <c r="U22">
        <v>0.36650000000000005</v>
      </c>
      <c r="V22">
        <v>96.662895393676649</v>
      </c>
      <c r="W22">
        <v>20.870172536492941</v>
      </c>
      <c r="X22">
        <v>311.33592154800181</v>
      </c>
      <c r="Y22">
        <v>-55.16407845199825</v>
      </c>
      <c r="Z22">
        <v>-17.718507449354203</v>
      </c>
    </row>
    <row r="23" spans="1:28" x14ac:dyDescent="0.35">
      <c r="A23">
        <v>21</v>
      </c>
      <c r="B23">
        <v>45630</v>
      </c>
      <c r="C23">
        <v>46041</v>
      </c>
      <c r="D23" t="s">
        <v>16</v>
      </c>
      <c r="E23" t="s">
        <v>40</v>
      </c>
      <c r="F23" t="s">
        <v>19</v>
      </c>
      <c r="G23" t="s">
        <v>20</v>
      </c>
      <c r="H23" t="s">
        <v>21</v>
      </c>
      <c r="I23" t="s">
        <v>22</v>
      </c>
      <c r="J23" t="s">
        <v>23</v>
      </c>
      <c r="K23" t="s">
        <v>24</v>
      </c>
      <c r="L23" t="s">
        <v>39</v>
      </c>
      <c r="M23">
        <v>27</v>
      </c>
      <c r="N23">
        <v>58</v>
      </c>
      <c r="O23">
        <v>1</v>
      </c>
      <c r="P23">
        <v>1</v>
      </c>
      <c r="Q23">
        <v>201</v>
      </c>
      <c r="R23">
        <v>0.57430000000000003</v>
      </c>
      <c r="S23">
        <v>0.96050000000000002</v>
      </c>
      <c r="U23">
        <v>0.38619999999999999</v>
      </c>
      <c r="V23">
        <v>87.252673663168196</v>
      </c>
      <c r="W23">
        <v>18.429016988769398</v>
      </c>
      <c r="X23">
        <v>320.81629532975234</v>
      </c>
      <c r="Y23">
        <v>-65.383704670247653</v>
      </c>
      <c r="Z23">
        <v>-20.38041883223006</v>
      </c>
    </row>
    <row r="24" spans="1:28" x14ac:dyDescent="0.35">
      <c r="A24">
        <v>22</v>
      </c>
      <c r="B24">
        <v>45630</v>
      </c>
      <c r="C24">
        <v>46041</v>
      </c>
      <c r="D24" t="s">
        <v>16</v>
      </c>
      <c r="E24" t="s">
        <v>40</v>
      </c>
      <c r="F24" t="s">
        <v>19</v>
      </c>
      <c r="G24" t="s">
        <v>20</v>
      </c>
      <c r="H24" t="s">
        <v>21</v>
      </c>
      <c r="I24" t="s">
        <v>22</v>
      </c>
      <c r="J24" t="s">
        <v>23</v>
      </c>
      <c r="K24" t="s">
        <v>24</v>
      </c>
      <c r="L24" t="s">
        <v>39</v>
      </c>
      <c r="M24">
        <v>27</v>
      </c>
      <c r="N24">
        <v>58</v>
      </c>
      <c r="O24">
        <v>1</v>
      </c>
      <c r="P24">
        <v>2</v>
      </c>
      <c r="Q24">
        <v>202</v>
      </c>
      <c r="R24">
        <v>0.57179999999999997</v>
      </c>
      <c r="S24">
        <v>0.95330000000000004</v>
      </c>
      <c r="T24" t="s">
        <v>678</v>
      </c>
      <c r="U24">
        <v>0.38150000000000006</v>
      </c>
      <c r="V24">
        <v>92.236631684157658</v>
      </c>
      <c r="W24">
        <v>19.470023113106489</v>
      </c>
      <c r="X24">
        <v>321.00870814182537</v>
      </c>
      <c r="Y24">
        <v>-60.491291858174691</v>
      </c>
      <c r="Z24">
        <v>-18.844128001489896</v>
      </c>
    </row>
    <row r="25" spans="1:28" x14ac:dyDescent="0.35">
      <c r="A25">
        <v>23</v>
      </c>
      <c r="B25">
        <v>45630</v>
      </c>
      <c r="C25">
        <v>46041</v>
      </c>
      <c r="D25" t="s">
        <v>16</v>
      </c>
      <c r="E25" t="s">
        <v>40</v>
      </c>
      <c r="F25" t="s">
        <v>19</v>
      </c>
      <c r="G25" t="s">
        <v>20</v>
      </c>
      <c r="H25" t="s">
        <v>21</v>
      </c>
      <c r="I25" t="s">
        <v>22</v>
      </c>
      <c r="J25" t="s">
        <v>23</v>
      </c>
      <c r="K25" t="s">
        <v>24</v>
      </c>
      <c r="L25" t="s">
        <v>39</v>
      </c>
      <c r="M25">
        <v>27</v>
      </c>
      <c r="N25">
        <v>58</v>
      </c>
      <c r="O25">
        <v>1</v>
      </c>
      <c r="P25">
        <v>3</v>
      </c>
      <c r="Q25">
        <v>203</v>
      </c>
      <c r="R25">
        <v>0.55500000000000005</v>
      </c>
      <c r="S25">
        <v>0.96099999999999997</v>
      </c>
      <c r="U25">
        <v>0.40599999999999992</v>
      </c>
      <c r="V25">
        <v>67.452673663168241</v>
      </c>
      <c r="W25">
        <v>14.24697280538679</v>
      </c>
      <c r="X25">
        <v>320.81629532975234</v>
      </c>
      <c r="Y25">
        <v>-85.183704670247607</v>
      </c>
      <c r="Z25">
        <v>-26.552175157652506</v>
      </c>
    </row>
    <row r="26" spans="1:28" x14ac:dyDescent="0.35">
      <c r="A26">
        <v>24</v>
      </c>
      <c r="B26">
        <v>45630</v>
      </c>
      <c r="C26">
        <v>46041</v>
      </c>
      <c r="D26" t="s">
        <v>16</v>
      </c>
      <c r="E26" t="s">
        <v>42</v>
      </c>
      <c r="F26" t="s">
        <v>19</v>
      </c>
      <c r="G26" t="s">
        <v>20</v>
      </c>
      <c r="H26" t="s">
        <v>21</v>
      </c>
      <c r="I26" t="s">
        <v>22</v>
      </c>
      <c r="J26" t="s">
        <v>23</v>
      </c>
      <c r="K26" t="s">
        <v>24</v>
      </c>
      <c r="L26" t="s">
        <v>41</v>
      </c>
      <c r="M26">
        <v>27</v>
      </c>
      <c r="N26">
        <v>58</v>
      </c>
      <c r="O26">
        <v>1</v>
      </c>
      <c r="P26">
        <v>1</v>
      </c>
      <c r="Q26">
        <v>204</v>
      </c>
      <c r="R26">
        <v>0.57769999999999999</v>
      </c>
      <c r="S26">
        <v>0.96850000000000003</v>
      </c>
      <c r="U26">
        <v>0.39080000000000004</v>
      </c>
      <c r="V26">
        <v>84.230025236806512</v>
      </c>
      <c r="W26">
        <v>17.731516064656571</v>
      </c>
      <c r="X26">
        <v>319.29987701925063</v>
      </c>
      <c r="Y26">
        <v>-71.500122980749381</v>
      </c>
      <c r="Z26">
        <v>-22.392781246338732</v>
      </c>
    </row>
    <row r="27" spans="1:28" x14ac:dyDescent="0.35">
      <c r="A27">
        <v>25</v>
      </c>
      <c r="B27">
        <v>45630</v>
      </c>
      <c r="C27">
        <v>46041</v>
      </c>
      <c r="D27" t="s">
        <v>16</v>
      </c>
      <c r="E27" t="s">
        <v>42</v>
      </c>
      <c r="F27" t="s">
        <v>19</v>
      </c>
      <c r="G27" t="s">
        <v>20</v>
      </c>
      <c r="H27" t="s">
        <v>21</v>
      </c>
      <c r="I27" t="s">
        <v>22</v>
      </c>
      <c r="J27" t="s">
        <v>23</v>
      </c>
      <c r="K27" t="s">
        <v>24</v>
      </c>
      <c r="L27" t="s">
        <v>41</v>
      </c>
      <c r="M27">
        <v>27</v>
      </c>
      <c r="N27">
        <v>58</v>
      </c>
      <c r="O27">
        <v>1</v>
      </c>
      <c r="P27">
        <v>2</v>
      </c>
      <c r="Q27">
        <v>205</v>
      </c>
      <c r="R27">
        <v>0.57350000000000001</v>
      </c>
      <c r="S27">
        <v>0.95269999999999999</v>
      </c>
      <c r="U27">
        <v>0.37919999999999998</v>
      </c>
      <c r="V27">
        <v>95.925012244452375</v>
      </c>
      <c r="W27">
        <v>20.189425892631991</v>
      </c>
      <c r="X27">
        <v>319.36372422521328</v>
      </c>
      <c r="Y27">
        <v>-59.836275774786714</v>
      </c>
      <c r="Z27">
        <v>-18.736090305795202</v>
      </c>
    </row>
    <row r="28" spans="1:28" x14ac:dyDescent="0.35">
      <c r="A28">
        <v>26</v>
      </c>
      <c r="B28">
        <v>45630</v>
      </c>
      <c r="C28">
        <v>46041</v>
      </c>
      <c r="D28" t="s">
        <v>16</v>
      </c>
      <c r="E28" t="s">
        <v>42</v>
      </c>
      <c r="F28" t="s">
        <v>19</v>
      </c>
      <c r="G28" t="s">
        <v>20</v>
      </c>
      <c r="H28" t="s">
        <v>21</v>
      </c>
      <c r="I28" t="s">
        <v>22</v>
      </c>
      <c r="J28" t="s">
        <v>23</v>
      </c>
      <c r="K28" t="s">
        <v>24</v>
      </c>
      <c r="L28" t="s">
        <v>41</v>
      </c>
      <c r="M28">
        <v>27</v>
      </c>
      <c r="N28">
        <v>58</v>
      </c>
      <c r="O28">
        <v>1</v>
      </c>
      <c r="P28">
        <v>3</v>
      </c>
      <c r="Q28">
        <v>206</v>
      </c>
      <c r="R28">
        <v>0.55779999999999996</v>
      </c>
      <c r="S28">
        <v>1.3983000000000001</v>
      </c>
      <c r="AA28" t="s">
        <v>546</v>
      </c>
      <c r="AB28" t="s">
        <v>677</v>
      </c>
    </row>
    <row r="29" spans="1:28" x14ac:dyDescent="0.35">
      <c r="A29">
        <v>27</v>
      </c>
      <c r="B29">
        <v>45630</v>
      </c>
      <c r="C29">
        <v>46041</v>
      </c>
      <c r="D29" t="s">
        <v>16</v>
      </c>
      <c r="E29" t="s">
        <v>44</v>
      </c>
      <c r="F29" t="s">
        <v>19</v>
      </c>
      <c r="G29" t="s">
        <v>20</v>
      </c>
      <c r="H29" t="s">
        <v>21</v>
      </c>
      <c r="I29" t="s">
        <v>22</v>
      </c>
      <c r="J29" t="s">
        <v>23</v>
      </c>
      <c r="K29" t="s">
        <v>24</v>
      </c>
      <c r="L29" t="s">
        <v>43</v>
      </c>
      <c r="M29">
        <v>27</v>
      </c>
      <c r="N29">
        <v>58</v>
      </c>
      <c r="O29">
        <v>1</v>
      </c>
      <c r="P29">
        <v>1</v>
      </c>
      <c r="Q29">
        <v>207</v>
      </c>
      <c r="R29">
        <v>0.57110000000000005</v>
      </c>
      <c r="S29">
        <v>0.96179999999999999</v>
      </c>
      <c r="U29">
        <v>0.39069999999999994</v>
      </c>
      <c r="V29">
        <v>82.394543274035925</v>
      </c>
      <c r="W29">
        <v>17.416084046082435</v>
      </c>
      <c r="X29">
        <v>328.16723696677929</v>
      </c>
      <c r="Y29">
        <v>-62.532763033220647</v>
      </c>
      <c r="Z29">
        <v>-19.055151151347538</v>
      </c>
    </row>
    <row r="30" spans="1:28" x14ac:dyDescent="0.35">
      <c r="A30">
        <v>28</v>
      </c>
      <c r="B30">
        <v>45630</v>
      </c>
      <c r="C30">
        <v>46041</v>
      </c>
      <c r="D30" t="s">
        <v>16</v>
      </c>
      <c r="E30" t="s">
        <v>44</v>
      </c>
      <c r="F30" t="s">
        <v>19</v>
      </c>
      <c r="G30" t="s">
        <v>20</v>
      </c>
      <c r="H30" t="s">
        <v>21</v>
      </c>
      <c r="I30" t="s">
        <v>22</v>
      </c>
      <c r="J30" t="s">
        <v>23</v>
      </c>
      <c r="K30" t="s">
        <v>24</v>
      </c>
      <c r="L30" t="s">
        <v>43</v>
      </c>
      <c r="M30">
        <v>27</v>
      </c>
      <c r="N30">
        <v>58</v>
      </c>
      <c r="O30">
        <v>1</v>
      </c>
      <c r="P30">
        <v>2</v>
      </c>
      <c r="Q30">
        <v>208</v>
      </c>
      <c r="R30">
        <v>0.57399999999999995</v>
      </c>
      <c r="S30">
        <v>0.97929999999999995</v>
      </c>
      <c r="U30">
        <v>0.40529999999999999</v>
      </c>
      <c r="V30">
        <v>68.078173096142677</v>
      </c>
      <c r="W30">
        <v>14.381350253408506</v>
      </c>
      <c r="X30">
        <v>328.36397991460115</v>
      </c>
      <c r="Y30">
        <v>-76.936020085398866</v>
      </c>
      <c r="Z30">
        <v>-23.430103419202041</v>
      </c>
    </row>
    <row r="31" spans="1:28" x14ac:dyDescent="0.35">
      <c r="A31">
        <v>29</v>
      </c>
      <c r="B31">
        <v>45630</v>
      </c>
      <c r="C31">
        <v>46041</v>
      </c>
      <c r="D31" t="s">
        <v>16</v>
      </c>
      <c r="E31" t="s">
        <v>44</v>
      </c>
      <c r="F31" t="s">
        <v>19</v>
      </c>
      <c r="G31" t="s">
        <v>20</v>
      </c>
      <c r="H31" t="s">
        <v>21</v>
      </c>
      <c r="I31" t="s">
        <v>22</v>
      </c>
      <c r="J31" t="s">
        <v>23</v>
      </c>
      <c r="K31" t="s">
        <v>24</v>
      </c>
      <c r="L31" t="s">
        <v>43</v>
      </c>
      <c r="M31">
        <v>27</v>
      </c>
      <c r="N31">
        <v>58</v>
      </c>
      <c r="O31">
        <v>1</v>
      </c>
      <c r="P31">
        <v>3</v>
      </c>
      <c r="Q31">
        <v>209</v>
      </c>
      <c r="R31">
        <v>0.57469999999999999</v>
      </c>
      <c r="S31">
        <v>1.0430999999999999</v>
      </c>
    </row>
    <row r="32" spans="1:28" x14ac:dyDescent="0.35">
      <c r="A32">
        <v>30</v>
      </c>
      <c r="B32">
        <v>45630</v>
      </c>
      <c r="C32">
        <v>46041</v>
      </c>
      <c r="D32" t="s">
        <v>16</v>
      </c>
      <c r="E32" t="s">
        <v>46</v>
      </c>
      <c r="F32" t="s">
        <v>19</v>
      </c>
      <c r="G32" t="s">
        <v>20</v>
      </c>
      <c r="H32" t="s">
        <v>21</v>
      </c>
      <c r="I32" t="s">
        <v>22</v>
      </c>
      <c r="J32" t="s">
        <v>23</v>
      </c>
      <c r="K32" t="s">
        <v>24</v>
      </c>
      <c r="L32" t="s">
        <v>45</v>
      </c>
      <c r="M32">
        <v>27</v>
      </c>
      <c r="N32">
        <v>58</v>
      </c>
      <c r="O32">
        <v>1</v>
      </c>
      <c r="P32">
        <v>1</v>
      </c>
      <c r="Q32">
        <v>210</v>
      </c>
      <c r="R32">
        <v>0.59740000000000004</v>
      </c>
      <c r="S32">
        <v>0.97009999999999996</v>
      </c>
      <c r="U32">
        <v>0.37269999999999992</v>
      </c>
      <c r="V32">
        <v>98.238223330122537</v>
      </c>
      <c r="W32">
        <v>20.860108282452714</v>
      </c>
      <c r="X32">
        <v>292.62295856251825</v>
      </c>
      <c r="Y32">
        <v>-80.077041437481682</v>
      </c>
      <c r="Z32">
        <v>-27.365262736339059</v>
      </c>
    </row>
    <row r="33" spans="1:26" x14ac:dyDescent="0.35">
      <c r="A33">
        <v>31</v>
      </c>
      <c r="B33">
        <v>45630</v>
      </c>
      <c r="C33">
        <v>46041</v>
      </c>
      <c r="D33" t="s">
        <v>16</v>
      </c>
      <c r="E33" t="s">
        <v>46</v>
      </c>
      <c r="F33" t="s">
        <v>19</v>
      </c>
      <c r="G33" t="s">
        <v>20</v>
      </c>
      <c r="H33" t="s">
        <v>21</v>
      </c>
      <c r="I33" t="s">
        <v>22</v>
      </c>
      <c r="J33" t="s">
        <v>23</v>
      </c>
      <c r="K33" t="s">
        <v>24</v>
      </c>
      <c r="L33" t="s">
        <v>45</v>
      </c>
      <c r="M33">
        <v>27</v>
      </c>
      <c r="N33">
        <v>58</v>
      </c>
      <c r="O33">
        <v>1</v>
      </c>
      <c r="P33">
        <v>2</v>
      </c>
      <c r="Q33">
        <v>211</v>
      </c>
      <c r="R33">
        <v>0.5827</v>
      </c>
      <c r="S33">
        <v>0.94699999999999995</v>
      </c>
      <c r="U33">
        <v>0.36429999999999996</v>
      </c>
      <c r="V33">
        <v>107.29753684278478</v>
      </c>
      <c r="W33">
        <v>22.751929020052174</v>
      </c>
      <c r="X33">
        <v>293.03263070450583</v>
      </c>
      <c r="Y33">
        <v>-71.26736929549412</v>
      </c>
      <c r="Z33">
        <v>-24.320625701019676</v>
      </c>
    </row>
    <row r="34" spans="1:26" x14ac:dyDescent="0.35">
      <c r="A34">
        <v>32</v>
      </c>
      <c r="B34">
        <v>45630</v>
      </c>
      <c r="C34">
        <v>46041</v>
      </c>
      <c r="D34" t="s">
        <v>16</v>
      </c>
      <c r="E34" t="s">
        <v>46</v>
      </c>
      <c r="F34" t="s">
        <v>19</v>
      </c>
      <c r="G34" t="s">
        <v>20</v>
      </c>
      <c r="H34" t="s">
        <v>21</v>
      </c>
      <c r="I34" t="s">
        <v>22</v>
      </c>
      <c r="J34" t="s">
        <v>23</v>
      </c>
      <c r="K34" t="s">
        <v>24</v>
      </c>
      <c r="L34" t="s">
        <v>45</v>
      </c>
      <c r="M34">
        <v>27</v>
      </c>
      <c r="N34">
        <v>58</v>
      </c>
      <c r="O34">
        <v>1</v>
      </c>
      <c r="P34">
        <v>3</v>
      </c>
      <c r="Q34">
        <v>212</v>
      </c>
      <c r="R34">
        <v>0.56630000000000003</v>
      </c>
      <c r="S34">
        <v>0.93340000000000001</v>
      </c>
      <c r="U34">
        <v>0.36709999999999998</v>
      </c>
      <c r="V34">
        <v>104.12078626412057</v>
      </c>
      <c r="W34">
        <v>22.095966328140833</v>
      </c>
      <c r="X34">
        <v>292.79853233765573</v>
      </c>
      <c r="Y34">
        <v>-74.301467662344237</v>
      </c>
      <c r="Z34">
        <v>-25.376311509874533</v>
      </c>
    </row>
    <row r="35" spans="1:26" x14ac:dyDescent="0.35">
      <c r="A35">
        <v>33</v>
      </c>
      <c r="B35">
        <v>45630</v>
      </c>
      <c r="C35">
        <v>46041</v>
      </c>
      <c r="D35" t="s">
        <v>16</v>
      </c>
      <c r="E35" t="s">
        <v>48</v>
      </c>
      <c r="F35" t="s">
        <v>19</v>
      </c>
      <c r="G35" t="s">
        <v>20</v>
      </c>
      <c r="H35" t="s">
        <v>21</v>
      </c>
      <c r="I35" t="s">
        <v>22</v>
      </c>
      <c r="J35" t="s">
        <v>23</v>
      </c>
      <c r="K35" t="s">
        <v>24</v>
      </c>
      <c r="L35" t="s">
        <v>47</v>
      </c>
      <c r="M35">
        <v>27</v>
      </c>
      <c r="N35">
        <v>58</v>
      </c>
      <c r="O35">
        <v>1</v>
      </c>
      <c r="P35">
        <v>1</v>
      </c>
      <c r="Q35">
        <v>213</v>
      </c>
      <c r="R35">
        <v>0.58640000000000003</v>
      </c>
      <c r="S35">
        <v>0.94530000000000003</v>
      </c>
      <c r="T35" t="s">
        <v>580</v>
      </c>
      <c r="U35">
        <v>0.3589</v>
      </c>
      <c r="V35">
        <v>108.73335711610764</v>
      </c>
      <c r="W35">
        <v>23.251839386878999</v>
      </c>
      <c r="X35">
        <v>280.45448135842531</v>
      </c>
      <c r="Y35">
        <v>-78.445518641574665</v>
      </c>
      <c r="Z35">
        <v>-27.970855827160072</v>
      </c>
    </row>
    <row r="36" spans="1:26" x14ac:dyDescent="0.35">
      <c r="A36">
        <v>34</v>
      </c>
      <c r="B36">
        <v>45630</v>
      </c>
      <c r="C36">
        <v>46041</v>
      </c>
      <c r="D36" t="s">
        <v>16</v>
      </c>
      <c r="E36" t="s">
        <v>48</v>
      </c>
      <c r="F36" t="s">
        <v>19</v>
      </c>
      <c r="G36" t="s">
        <v>20</v>
      </c>
      <c r="H36" t="s">
        <v>21</v>
      </c>
      <c r="I36" t="s">
        <v>22</v>
      </c>
      <c r="J36" t="s">
        <v>23</v>
      </c>
      <c r="K36" t="s">
        <v>24</v>
      </c>
      <c r="L36" t="s">
        <v>47</v>
      </c>
      <c r="M36">
        <v>27</v>
      </c>
      <c r="N36">
        <v>58</v>
      </c>
      <c r="O36">
        <v>1</v>
      </c>
      <c r="P36">
        <v>2</v>
      </c>
      <c r="Q36">
        <v>214</v>
      </c>
      <c r="R36">
        <v>0.55010000000000003</v>
      </c>
      <c r="S36">
        <v>0.90010000000000001</v>
      </c>
      <c r="U36">
        <v>0.35</v>
      </c>
      <c r="V36">
        <v>118.10099047322365</v>
      </c>
      <c r="W36">
        <v>25.229809993315804</v>
      </c>
      <c r="X36">
        <v>280.7349358397837</v>
      </c>
      <c r="Y36">
        <v>-69.265064160216298</v>
      </c>
      <c r="Z36">
        <v>-24.672762566232969</v>
      </c>
    </row>
    <row r="37" spans="1:26" x14ac:dyDescent="0.35">
      <c r="A37">
        <v>35</v>
      </c>
      <c r="B37">
        <v>45630</v>
      </c>
      <c r="C37">
        <v>46041</v>
      </c>
      <c r="D37" t="s">
        <v>16</v>
      </c>
      <c r="E37" t="s">
        <v>48</v>
      </c>
      <c r="F37" t="s">
        <v>19</v>
      </c>
      <c r="G37" t="s">
        <v>20</v>
      </c>
      <c r="H37" t="s">
        <v>21</v>
      </c>
      <c r="I37" t="s">
        <v>22</v>
      </c>
      <c r="J37" t="s">
        <v>23</v>
      </c>
      <c r="K37" t="s">
        <v>24</v>
      </c>
      <c r="L37" t="s">
        <v>47</v>
      </c>
      <c r="M37">
        <v>27</v>
      </c>
      <c r="N37">
        <v>58</v>
      </c>
      <c r="O37">
        <v>1</v>
      </c>
      <c r="P37">
        <v>3</v>
      </c>
      <c r="Q37">
        <v>215</v>
      </c>
      <c r="R37">
        <v>0.56489999999999996</v>
      </c>
      <c r="S37">
        <v>0.91300000000000003</v>
      </c>
      <c r="T37" t="s">
        <v>679</v>
      </c>
      <c r="U37">
        <v>0.34810000000000008</v>
      </c>
      <c r="V37">
        <v>119.62688378753074</v>
      </c>
      <c r="W37">
        <v>25.576225770651305</v>
      </c>
      <c r="X37">
        <v>280.51057225469697</v>
      </c>
      <c r="Y37">
        <v>-67.589427745303112</v>
      </c>
      <c r="Z37">
        <v>-24.095144508112696</v>
      </c>
    </row>
    <row r="38" spans="1:26" x14ac:dyDescent="0.35">
      <c r="A38">
        <v>36</v>
      </c>
      <c r="B38">
        <v>45630</v>
      </c>
      <c r="C38">
        <v>46041</v>
      </c>
      <c r="D38" t="s">
        <v>16</v>
      </c>
      <c r="E38" t="s">
        <v>50</v>
      </c>
      <c r="F38" t="s">
        <v>19</v>
      </c>
      <c r="G38" t="s">
        <v>20</v>
      </c>
      <c r="H38" t="s">
        <v>21</v>
      </c>
      <c r="I38" t="s">
        <v>22</v>
      </c>
      <c r="J38" t="s">
        <v>23</v>
      </c>
      <c r="K38" t="s">
        <v>24</v>
      </c>
      <c r="L38" t="s">
        <v>49</v>
      </c>
      <c r="M38">
        <v>27</v>
      </c>
      <c r="N38">
        <v>58</v>
      </c>
      <c r="O38">
        <v>1</v>
      </c>
      <c r="P38">
        <v>1</v>
      </c>
      <c r="Q38">
        <v>216</v>
      </c>
      <c r="R38">
        <v>0.58040000000000003</v>
      </c>
      <c r="S38">
        <v>0.95709999999999995</v>
      </c>
      <c r="U38">
        <v>0.37669999999999992</v>
      </c>
      <c r="V38">
        <v>93.369029600464842</v>
      </c>
      <c r="W38">
        <v>19.862833694834961</v>
      </c>
      <c r="X38">
        <v>282.15071892934463</v>
      </c>
      <c r="Y38">
        <v>-94.549281070655297</v>
      </c>
      <c r="Z38">
        <v>-33.510203847586887</v>
      </c>
    </row>
    <row r="39" spans="1:26" x14ac:dyDescent="0.35">
      <c r="A39">
        <v>37</v>
      </c>
      <c r="B39">
        <v>45630</v>
      </c>
      <c r="C39">
        <v>46041</v>
      </c>
      <c r="D39" t="s">
        <v>16</v>
      </c>
      <c r="E39" t="s">
        <v>50</v>
      </c>
      <c r="F39" t="s">
        <v>19</v>
      </c>
      <c r="G39" t="s">
        <v>20</v>
      </c>
      <c r="H39" t="s">
        <v>21</v>
      </c>
      <c r="I39" t="s">
        <v>22</v>
      </c>
      <c r="J39" t="s">
        <v>23</v>
      </c>
      <c r="K39" t="s">
        <v>24</v>
      </c>
      <c r="L39" t="s">
        <v>49</v>
      </c>
      <c r="M39">
        <v>27</v>
      </c>
      <c r="N39">
        <v>58</v>
      </c>
      <c r="O39">
        <v>1</v>
      </c>
      <c r="P39">
        <v>2</v>
      </c>
      <c r="Q39">
        <v>217</v>
      </c>
      <c r="R39">
        <v>0.58140000000000003</v>
      </c>
      <c r="S39">
        <v>0.96140000000000003</v>
      </c>
      <c r="U39">
        <v>0.38</v>
      </c>
      <c r="V39">
        <v>90.350901894848448</v>
      </c>
      <c r="W39">
        <v>19.20925452271106</v>
      </c>
      <c r="X39">
        <v>282.31990784735149</v>
      </c>
      <c r="Y39">
        <v>-97.680092152648513</v>
      </c>
      <c r="Z39">
        <v>-34.599080489025766</v>
      </c>
    </row>
    <row r="40" spans="1:26" x14ac:dyDescent="0.35">
      <c r="A40">
        <v>38</v>
      </c>
      <c r="B40">
        <v>45630</v>
      </c>
      <c r="C40">
        <v>46041</v>
      </c>
      <c r="D40" t="s">
        <v>16</v>
      </c>
      <c r="E40" t="s">
        <v>50</v>
      </c>
      <c r="F40" t="s">
        <v>19</v>
      </c>
      <c r="G40" t="s">
        <v>20</v>
      </c>
      <c r="H40" t="s">
        <v>21</v>
      </c>
      <c r="I40" t="s">
        <v>22</v>
      </c>
      <c r="J40" t="s">
        <v>23</v>
      </c>
      <c r="K40" t="s">
        <v>24</v>
      </c>
      <c r="L40" t="s">
        <v>49</v>
      </c>
      <c r="M40">
        <v>27</v>
      </c>
      <c r="N40">
        <v>58</v>
      </c>
      <c r="O40">
        <v>1</v>
      </c>
      <c r="P40">
        <v>3</v>
      </c>
      <c r="Q40">
        <v>218</v>
      </c>
      <c r="R40">
        <v>0.57589999999999997</v>
      </c>
      <c r="S40">
        <v>0.98180000000000001</v>
      </c>
      <c r="T40" t="s">
        <v>680</v>
      </c>
      <c r="U40">
        <v>0.40590000000000004</v>
      </c>
      <c r="V40">
        <v>64.075072169003533</v>
      </c>
      <c r="W40">
        <v>13.633717182761998</v>
      </c>
      <c r="X40">
        <v>282.09432262334241</v>
      </c>
      <c r="Y40">
        <v>-123.80567737665763</v>
      </c>
      <c r="Z40">
        <v>-43.888042916044526</v>
      </c>
    </row>
    <row r="41" spans="1:26" x14ac:dyDescent="0.35">
      <c r="A41">
        <v>39</v>
      </c>
      <c r="B41">
        <v>45630</v>
      </c>
      <c r="C41">
        <v>46041</v>
      </c>
      <c r="D41" t="s">
        <v>16</v>
      </c>
      <c r="E41" t="s">
        <v>52</v>
      </c>
      <c r="F41" t="s">
        <v>19</v>
      </c>
      <c r="G41" t="s">
        <v>20</v>
      </c>
      <c r="H41" t="s">
        <v>21</v>
      </c>
      <c r="I41" t="s">
        <v>22</v>
      </c>
      <c r="J41" t="s">
        <v>23</v>
      </c>
      <c r="K41" t="s">
        <v>24</v>
      </c>
      <c r="L41" t="s">
        <v>51</v>
      </c>
      <c r="M41">
        <v>27</v>
      </c>
      <c r="N41">
        <v>58</v>
      </c>
      <c r="O41">
        <v>1</v>
      </c>
      <c r="P41">
        <v>1</v>
      </c>
      <c r="Q41">
        <v>219</v>
      </c>
      <c r="R41">
        <v>0.57230000000000003</v>
      </c>
      <c r="S41">
        <v>0.93969999999999998</v>
      </c>
      <c r="U41">
        <v>0.36739999999999995</v>
      </c>
      <c r="V41">
        <v>92.162818257020547</v>
      </c>
      <c r="W41">
        <v>20.054454928831184</v>
      </c>
      <c r="X41">
        <v>274.34318746317308</v>
      </c>
      <c r="Y41">
        <v>-93.056812536826897</v>
      </c>
      <c r="Z41">
        <v>-33.919855418067755</v>
      </c>
    </row>
    <row r="42" spans="1:26" x14ac:dyDescent="0.35">
      <c r="A42">
        <v>40</v>
      </c>
      <c r="B42">
        <v>45630</v>
      </c>
      <c r="C42">
        <v>46041</v>
      </c>
      <c r="D42" t="s">
        <v>16</v>
      </c>
      <c r="E42" t="s">
        <v>52</v>
      </c>
      <c r="F42" t="s">
        <v>19</v>
      </c>
      <c r="G42" t="s">
        <v>20</v>
      </c>
      <c r="H42" t="s">
        <v>21</v>
      </c>
      <c r="I42" t="s">
        <v>22</v>
      </c>
      <c r="J42" t="s">
        <v>23</v>
      </c>
      <c r="K42" t="s">
        <v>24</v>
      </c>
      <c r="L42" t="s">
        <v>51</v>
      </c>
      <c r="M42">
        <v>27</v>
      </c>
      <c r="N42">
        <v>58</v>
      </c>
      <c r="O42">
        <v>1</v>
      </c>
      <c r="P42">
        <v>2</v>
      </c>
      <c r="Q42">
        <v>220</v>
      </c>
      <c r="R42">
        <v>0.56289999999999996</v>
      </c>
      <c r="S42">
        <v>0.91859999999999997</v>
      </c>
      <c r="T42" t="s">
        <v>681</v>
      </c>
      <c r="U42">
        <v>0.35570000000000002</v>
      </c>
      <c r="V42">
        <v>103.86281825702054</v>
      </c>
      <c r="W42">
        <v>22.600352798544503</v>
      </c>
      <c r="X42">
        <v>274.34318746317308</v>
      </c>
      <c r="Y42">
        <v>-81.356812536826908</v>
      </c>
      <c r="Z42">
        <v>-29.655124039756949</v>
      </c>
    </row>
    <row r="43" spans="1:26" x14ac:dyDescent="0.35">
      <c r="A43">
        <v>41</v>
      </c>
      <c r="B43">
        <v>45630</v>
      </c>
      <c r="C43">
        <v>46041</v>
      </c>
      <c r="D43" t="s">
        <v>16</v>
      </c>
      <c r="E43" t="s">
        <v>52</v>
      </c>
      <c r="F43" t="s">
        <v>19</v>
      </c>
      <c r="G43" t="s">
        <v>20</v>
      </c>
      <c r="H43" t="s">
        <v>21</v>
      </c>
      <c r="I43" t="s">
        <v>22</v>
      </c>
      <c r="J43" t="s">
        <v>23</v>
      </c>
      <c r="K43" t="s">
        <v>24</v>
      </c>
      <c r="L43" t="s">
        <v>51</v>
      </c>
      <c r="M43">
        <v>27</v>
      </c>
      <c r="N43">
        <v>58</v>
      </c>
      <c r="O43">
        <v>1</v>
      </c>
      <c r="P43">
        <v>3</v>
      </c>
      <c r="Q43">
        <v>221</v>
      </c>
      <c r="R43">
        <v>0.56850000000000001</v>
      </c>
      <c r="S43">
        <v>0.96099999999999997</v>
      </c>
      <c r="U43">
        <v>0.39249999999999996</v>
      </c>
      <c r="V43">
        <v>67.246533155384327</v>
      </c>
      <c r="W43">
        <v>14.626871179180043</v>
      </c>
      <c r="X43">
        <v>274.45285893527506</v>
      </c>
      <c r="Y43">
        <v>-118.04714106472488</v>
      </c>
      <c r="Z43">
        <v>-43.011809577310416</v>
      </c>
    </row>
    <row r="44" spans="1:26" x14ac:dyDescent="0.35">
      <c r="A44">
        <v>42</v>
      </c>
      <c r="B44">
        <v>45630</v>
      </c>
      <c r="C44">
        <v>46041</v>
      </c>
      <c r="D44" t="s">
        <v>16</v>
      </c>
      <c r="E44" t="s">
        <v>54</v>
      </c>
      <c r="F44" t="s">
        <v>19</v>
      </c>
      <c r="G44" t="s">
        <v>20</v>
      </c>
      <c r="H44" t="s">
        <v>21</v>
      </c>
      <c r="I44" t="s">
        <v>22</v>
      </c>
      <c r="J44" t="s">
        <v>23</v>
      </c>
      <c r="K44" t="s">
        <v>24</v>
      </c>
      <c r="L44" t="s">
        <v>53</v>
      </c>
      <c r="M44">
        <v>27</v>
      </c>
      <c r="N44">
        <v>58</v>
      </c>
      <c r="O44">
        <v>1</v>
      </c>
      <c r="P44">
        <v>1</v>
      </c>
      <c r="Q44">
        <v>222</v>
      </c>
      <c r="R44">
        <v>0.59909999999999997</v>
      </c>
      <c r="S44">
        <v>0.89100000000000001</v>
      </c>
      <c r="U44">
        <v>0.29190000000000005</v>
      </c>
      <c r="V44">
        <v>181.74995974360411</v>
      </c>
      <c r="W44">
        <v>38.372210533278391</v>
      </c>
      <c r="X44">
        <v>282.77692144663035</v>
      </c>
      <c r="Y44">
        <v>-9.1230785533696803</v>
      </c>
      <c r="Z44">
        <v>-3.2262458006466121</v>
      </c>
    </row>
    <row r="45" spans="1:26" x14ac:dyDescent="0.35">
      <c r="A45">
        <v>43</v>
      </c>
      <c r="B45">
        <v>45630</v>
      </c>
      <c r="C45">
        <v>46041</v>
      </c>
      <c r="D45" t="s">
        <v>16</v>
      </c>
      <c r="E45" t="s">
        <v>54</v>
      </c>
      <c r="F45" t="s">
        <v>19</v>
      </c>
      <c r="G45" t="s">
        <v>20</v>
      </c>
      <c r="H45" t="s">
        <v>21</v>
      </c>
      <c r="I45" t="s">
        <v>22</v>
      </c>
      <c r="J45" t="s">
        <v>23</v>
      </c>
      <c r="K45" t="s">
        <v>24</v>
      </c>
      <c r="L45" t="s">
        <v>53</v>
      </c>
      <c r="M45">
        <v>27</v>
      </c>
      <c r="N45">
        <v>58</v>
      </c>
      <c r="O45">
        <v>1</v>
      </c>
      <c r="P45">
        <v>2</v>
      </c>
      <c r="Q45">
        <v>223</v>
      </c>
      <c r="R45">
        <v>0.56389999999999996</v>
      </c>
      <c r="S45">
        <v>0.88119999999999998</v>
      </c>
      <c r="U45">
        <v>0.31730000000000003</v>
      </c>
      <c r="V45">
        <v>156.44467079334288</v>
      </c>
      <c r="W45">
        <v>33.022993278501119</v>
      </c>
      <c r="X45">
        <v>282.83346552210458</v>
      </c>
      <c r="Y45">
        <v>-34.466534477895436</v>
      </c>
      <c r="Z45">
        <v>-12.18615852769436</v>
      </c>
    </row>
    <row r="46" spans="1:26" x14ac:dyDescent="0.35">
      <c r="A46">
        <v>44</v>
      </c>
      <c r="B46">
        <v>45630</v>
      </c>
      <c r="C46">
        <v>46041</v>
      </c>
      <c r="D46" t="s">
        <v>16</v>
      </c>
      <c r="E46" t="s">
        <v>54</v>
      </c>
      <c r="F46" t="s">
        <v>19</v>
      </c>
      <c r="G46" t="s">
        <v>20</v>
      </c>
      <c r="H46" t="s">
        <v>21</v>
      </c>
      <c r="I46" t="s">
        <v>22</v>
      </c>
      <c r="J46" t="s">
        <v>23</v>
      </c>
      <c r="K46" t="s">
        <v>24</v>
      </c>
      <c r="L46" t="s">
        <v>53</v>
      </c>
      <c r="M46">
        <v>27</v>
      </c>
      <c r="N46">
        <v>58</v>
      </c>
      <c r="O46">
        <v>1</v>
      </c>
      <c r="P46">
        <v>3</v>
      </c>
      <c r="Q46">
        <v>224</v>
      </c>
      <c r="R46">
        <v>0.55410000000000004</v>
      </c>
      <c r="S46">
        <v>0.90669999999999995</v>
      </c>
      <c r="U46">
        <v>0.35259999999999991</v>
      </c>
      <c r="V46">
        <v>121.04995974360423</v>
      </c>
      <c r="W46">
        <v>25.556839445131786</v>
      </c>
      <c r="X46">
        <v>282.77692144663035</v>
      </c>
      <c r="Y46">
        <v>-69.823078553369555</v>
      </c>
      <c r="Z46">
        <v>-24.691929665323677</v>
      </c>
    </row>
    <row r="47" spans="1:26" x14ac:dyDescent="0.35">
      <c r="A47">
        <v>45</v>
      </c>
      <c r="B47">
        <v>45630</v>
      </c>
      <c r="C47">
        <v>46041</v>
      </c>
      <c r="D47" t="s">
        <v>16</v>
      </c>
      <c r="E47" t="s">
        <v>56</v>
      </c>
      <c r="F47" t="s">
        <v>19</v>
      </c>
      <c r="G47" t="s">
        <v>20</v>
      </c>
      <c r="H47" t="s">
        <v>21</v>
      </c>
      <c r="I47" t="s">
        <v>22</v>
      </c>
      <c r="J47" t="s">
        <v>23</v>
      </c>
      <c r="K47" t="s">
        <v>24</v>
      </c>
      <c r="L47" t="s">
        <v>55</v>
      </c>
      <c r="M47">
        <v>27</v>
      </c>
      <c r="N47">
        <v>58</v>
      </c>
      <c r="O47">
        <v>1</v>
      </c>
      <c r="P47">
        <v>1</v>
      </c>
      <c r="Q47">
        <v>225</v>
      </c>
      <c r="R47">
        <v>0.57320000000000004</v>
      </c>
      <c r="S47">
        <v>0.95889999999999997</v>
      </c>
      <c r="U47">
        <v>0.38569999999999993</v>
      </c>
      <c r="V47">
        <v>90.385365853658129</v>
      </c>
      <c r="W47">
        <v>18.985117446655842</v>
      </c>
      <c r="X47">
        <v>282.94874702849927</v>
      </c>
      <c r="Y47">
        <v>-102.75125297150066</v>
      </c>
      <c r="Z47">
        <v>-36.314440000383293</v>
      </c>
    </row>
    <row r="48" spans="1:26" x14ac:dyDescent="0.35">
      <c r="A48">
        <v>46</v>
      </c>
      <c r="B48">
        <v>45630</v>
      </c>
      <c r="C48">
        <v>46041</v>
      </c>
      <c r="D48" t="s">
        <v>16</v>
      </c>
      <c r="E48" t="s">
        <v>56</v>
      </c>
      <c r="F48" t="s">
        <v>19</v>
      </c>
      <c r="G48" t="s">
        <v>20</v>
      </c>
      <c r="H48" t="s">
        <v>21</v>
      </c>
      <c r="I48" t="s">
        <v>22</v>
      </c>
      <c r="J48" t="s">
        <v>23</v>
      </c>
      <c r="K48" t="s">
        <v>24</v>
      </c>
      <c r="L48" t="s">
        <v>55</v>
      </c>
      <c r="M48">
        <v>27</v>
      </c>
      <c r="N48">
        <v>58</v>
      </c>
      <c r="O48">
        <v>1</v>
      </c>
      <c r="P48">
        <v>2</v>
      </c>
      <c r="Q48">
        <v>226</v>
      </c>
      <c r="R48">
        <v>0.5827</v>
      </c>
      <c r="S48">
        <v>0.94410000000000005</v>
      </c>
      <c r="U48">
        <v>0.36140000000000005</v>
      </c>
      <c r="V48">
        <v>114.59024390243849</v>
      </c>
      <c r="W48">
        <v>24.074074074073987</v>
      </c>
      <c r="X48">
        <v>282.89221381230976</v>
      </c>
      <c r="Y48">
        <v>-78.507786187690272</v>
      </c>
      <c r="Z48">
        <v>-27.751837044118066</v>
      </c>
    </row>
    <row r="49" spans="1:26" x14ac:dyDescent="0.35">
      <c r="A49">
        <v>47</v>
      </c>
      <c r="B49">
        <v>45630</v>
      </c>
      <c r="C49">
        <v>46041</v>
      </c>
      <c r="D49" t="s">
        <v>16</v>
      </c>
      <c r="E49" t="s">
        <v>56</v>
      </c>
      <c r="F49" t="s">
        <v>19</v>
      </c>
      <c r="G49" t="s">
        <v>20</v>
      </c>
      <c r="H49" t="s">
        <v>21</v>
      </c>
      <c r="I49" t="s">
        <v>22</v>
      </c>
      <c r="J49" t="s">
        <v>23</v>
      </c>
      <c r="K49" t="s">
        <v>24</v>
      </c>
      <c r="L49" t="s">
        <v>55</v>
      </c>
      <c r="M49">
        <v>27</v>
      </c>
      <c r="N49">
        <v>58</v>
      </c>
      <c r="O49">
        <v>1</v>
      </c>
      <c r="P49">
        <v>3</v>
      </c>
      <c r="Q49">
        <v>227</v>
      </c>
      <c r="R49">
        <v>0.57840000000000003</v>
      </c>
      <c r="S49">
        <v>0.94689999999999996</v>
      </c>
      <c r="T49" t="s">
        <v>580</v>
      </c>
      <c r="U49">
        <v>0.36849999999999994</v>
      </c>
      <c r="V49">
        <v>107.58536585365812</v>
      </c>
      <c r="W49">
        <v>22.597914905607148</v>
      </c>
      <c r="X49">
        <v>282.94874702849927</v>
      </c>
      <c r="Y49">
        <v>-85.551252971500674</v>
      </c>
      <c r="Z49">
        <v>-30.235600570757697</v>
      </c>
    </row>
    <row r="50" spans="1:26" x14ac:dyDescent="0.35">
      <c r="A50">
        <v>48</v>
      </c>
      <c r="B50">
        <v>45630</v>
      </c>
      <c r="C50">
        <v>46041</v>
      </c>
      <c r="D50" t="s">
        <v>16</v>
      </c>
      <c r="E50" t="s">
        <v>58</v>
      </c>
      <c r="F50" t="s">
        <v>19</v>
      </c>
      <c r="G50" t="s">
        <v>20</v>
      </c>
      <c r="H50" t="s">
        <v>21</v>
      </c>
      <c r="I50" t="s">
        <v>22</v>
      </c>
      <c r="J50" t="s">
        <v>23</v>
      </c>
      <c r="K50" t="s">
        <v>24</v>
      </c>
      <c r="L50" t="s">
        <v>57</v>
      </c>
      <c r="M50">
        <v>27</v>
      </c>
      <c r="N50">
        <v>58</v>
      </c>
      <c r="O50">
        <v>1</v>
      </c>
      <c r="P50">
        <v>1</v>
      </c>
      <c r="Q50">
        <v>228</v>
      </c>
      <c r="R50">
        <v>0.58720000000000006</v>
      </c>
      <c r="S50">
        <v>0.95389999999999997</v>
      </c>
      <c r="U50">
        <v>0.36669999999999991</v>
      </c>
      <c r="V50">
        <v>102.18740218950234</v>
      </c>
      <c r="W50">
        <v>21.793590894600957</v>
      </c>
      <c r="X50">
        <v>301.81929784529717</v>
      </c>
      <c r="Y50">
        <v>-64.88070215470276</v>
      </c>
      <c r="Z50">
        <v>-21.496538696461521</v>
      </c>
    </row>
    <row r="51" spans="1:26" x14ac:dyDescent="0.35">
      <c r="A51">
        <v>49</v>
      </c>
      <c r="B51">
        <v>45630</v>
      </c>
      <c r="C51">
        <v>46041</v>
      </c>
      <c r="D51" t="s">
        <v>16</v>
      </c>
      <c r="E51" t="s">
        <v>58</v>
      </c>
      <c r="F51" t="s">
        <v>19</v>
      </c>
      <c r="G51" t="s">
        <v>20</v>
      </c>
      <c r="H51" t="s">
        <v>21</v>
      </c>
      <c r="I51" t="s">
        <v>22</v>
      </c>
      <c r="J51" t="s">
        <v>23</v>
      </c>
      <c r="K51" t="s">
        <v>24</v>
      </c>
      <c r="L51" t="s">
        <v>57</v>
      </c>
      <c r="M51">
        <v>27</v>
      </c>
      <c r="N51">
        <v>58</v>
      </c>
      <c r="O51">
        <v>1</v>
      </c>
      <c r="P51">
        <v>2</v>
      </c>
      <c r="Q51">
        <v>229</v>
      </c>
      <c r="R51">
        <v>0.57530000000000003</v>
      </c>
      <c r="S51">
        <v>0.92830000000000001</v>
      </c>
      <c r="U51">
        <v>0.35299999999999998</v>
      </c>
      <c r="V51">
        <v>116.07484468488082</v>
      </c>
      <c r="W51">
        <v>24.745484862412219</v>
      </c>
      <c r="X51">
        <v>301.93995317123967</v>
      </c>
      <c r="Y51">
        <v>-51.060046828760335</v>
      </c>
      <c r="Z51">
        <v>-16.910662630924691</v>
      </c>
    </row>
    <row r="52" spans="1:26" x14ac:dyDescent="0.35">
      <c r="A52">
        <v>50</v>
      </c>
      <c r="B52">
        <v>45630</v>
      </c>
      <c r="C52">
        <v>46041</v>
      </c>
      <c r="D52" t="s">
        <v>16</v>
      </c>
      <c r="E52" t="s">
        <v>58</v>
      </c>
      <c r="F52" t="s">
        <v>19</v>
      </c>
      <c r="G52" t="s">
        <v>20</v>
      </c>
      <c r="H52" t="s">
        <v>21</v>
      </c>
      <c r="I52" t="s">
        <v>22</v>
      </c>
      <c r="J52" t="s">
        <v>23</v>
      </c>
      <c r="K52" t="s">
        <v>24</v>
      </c>
      <c r="L52" t="s">
        <v>57</v>
      </c>
      <c r="M52">
        <v>27</v>
      </c>
      <c r="N52">
        <v>58</v>
      </c>
      <c r="O52">
        <v>1</v>
      </c>
      <c r="P52">
        <v>3</v>
      </c>
      <c r="Q52">
        <v>230</v>
      </c>
      <c r="R52">
        <v>0.55840000000000001</v>
      </c>
      <c r="S52">
        <v>0.93069999999999997</v>
      </c>
      <c r="U52">
        <v>0.37229999999999996</v>
      </c>
      <c r="V52">
        <v>96.774844684880861</v>
      </c>
      <c r="W52">
        <v>20.631002873303323</v>
      </c>
      <c r="X52">
        <v>301.93995317123967</v>
      </c>
      <c r="Y52">
        <v>-70.360046828760289</v>
      </c>
      <c r="Z52">
        <v>-23.302662032558803</v>
      </c>
    </row>
    <row r="53" spans="1:26" x14ac:dyDescent="0.35">
      <c r="A53">
        <v>51</v>
      </c>
      <c r="B53">
        <v>45630</v>
      </c>
      <c r="C53">
        <v>46041</v>
      </c>
      <c r="D53" t="s">
        <v>16</v>
      </c>
      <c r="E53" t="s">
        <v>541</v>
      </c>
      <c r="F53" t="s">
        <v>538</v>
      </c>
      <c r="G53" t="s">
        <v>542</v>
      </c>
      <c r="H53" t="s">
        <v>541</v>
      </c>
      <c r="I53" t="s">
        <v>22</v>
      </c>
      <c r="J53" t="s">
        <v>23</v>
      </c>
      <c r="K53" t="s">
        <v>24</v>
      </c>
      <c r="L53" t="s">
        <v>543</v>
      </c>
      <c r="M53">
        <v>27</v>
      </c>
      <c r="N53">
        <v>58</v>
      </c>
      <c r="O53">
        <v>1</v>
      </c>
      <c r="P53">
        <v>1</v>
      </c>
      <c r="Q53">
        <v>231</v>
      </c>
    </row>
    <row r="54" spans="1:26" x14ac:dyDescent="0.35">
      <c r="A54">
        <v>52</v>
      </c>
      <c r="B54">
        <v>45630</v>
      </c>
      <c r="C54">
        <v>46041</v>
      </c>
      <c r="D54" t="s">
        <v>16</v>
      </c>
      <c r="E54" t="s">
        <v>541</v>
      </c>
      <c r="F54" t="s">
        <v>538</v>
      </c>
      <c r="G54" t="s">
        <v>542</v>
      </c>
      <c r="H54" t="s">
        <v>541</v>
      </c>
      <c r="I54" t="s">
        <v>22</v>
      </c>
      <c r="J54" t="s">
        <v>23</v>
      </c>
      <c r="K54" t="s">
        <v>24</v>
      </c>
      <c r="L54" t="s">
        <v>543</v>
      </c>
      <c r="M54">
        <v>27</v>
      </c>
      <c r="N54">
        <v>58</v>
      </c>
      <c r="O54">
        <v>1</v>
      </c>
      <c r="P54">
        <v>2</v>
      </c>
      <c r="Q54">
        <v>232</v>
      </c>
    </row>
    <row r="55" spans="1:26" x14ac:dyDescent="0.35">
      <c r="A55">
        <v>53</v>
      </c>
      <c r="B55">
        <v>45630</v>
      </c>
      <c r="C55">
        <v>46041</v>
      </c>
      <c r="D55" t="s">
        <v>16</v>
      </c>
      <c r="E55" t="s">
        <v>60</v>
      </c>
      <c r="F55" t="s">
        <v>19</v>
      </c>
      <c r="G55" t="s">
        <v>20</v>
      </c>
      <c r="H55" t="s">
        <v>21</v>
      </c>
      <c r="I55" t="s">
        <v>22</v>
      </c>
      <c r="J55" t="s">
        <v>23</v>
      </c>
      <c r="K55" t="s">
        <v>24</v>
      </c>
      <c r="L55" t="s">
        <v>59</v>
      </c>
      <c r="M55">
        <v>27</v>
      </c>
      <c r="N55">
        <v>58</v>
      </c>
      <c r="O55">
        <v>1</v>
      </c>
      <c r="P55">
        <v>1</v>
      </c>
      <c r="Q55">
        <v>233</v>
      </c>
      <c r="R55">
        <v>0.58779999999999999</v>
      </c>
      <c r="S55">
        <v>0.93569999999999998</v>
      </c>
      <c r="U55">
        <v>0.34789999999999999</v>
      </c>
      <c r="V55">
        <v>123.3354867599441</v>
      </c>
      <c r="W55">
        <v>26.17279263239643</v>
      </c>
      <c r="X55">
        <v>275.65727501641493</v>
      </c>
      <c r="Y55">
        <v>-72.242724983585049</v>
      </c>
      <c r="Z55">
        <v>-26.207443637859047</v>
      </c>
    </row>
    <row r="56" spans="1:26" x14ac:dyDescent="0.35">
      <c r="A56">
        <v>54</v>
      </c>
      <c r="B56">
        <v>45630</v>
      </c>
      <c r="C56">
        <v>46041</v>
      </c>
      <c r="D56" t="s">
        <v>16</v>
      </c>
      <c r="E56" t="s">
        <v>60</v>
      </c>
      <c r="F56" t="s">
        <v>19</v>
      </c>
      <c r="G56" t="s">
        <v>20</v>
      </c>
      <c r="H56" t="s">
        <v>21</v>
      </c>
      <c r="I56" t="s">
        <v>22</v>
      </c>
      <c r="J56" t="s">
        <v>23</v>
      </c>
      <c r="K56" t="s">
        <v>24</v>
      </c>
      <c r="L56" t="s">
        <v>59</v>
      </c>
      <c r="M56">
        <v>27</v>
      </c>
      <c r="N56">
        <v>58</v>
      </c>
      <c r="O56">
        <v>1</v>
      </c>
      <c r="P56">
        <v>2</v>
      </c>
      <c r="Q56">
        <v>234</v>
      </c>
      <c r="R56">
        <v>0.56589999999999996</v>
      </c>
      <c r="S56">
        <v>0.88180000000000003</v>
      </c>
      <c r="U56">
        <v>0.31590000000000007</v>
      </c>
      <c r="V56">
        <v>155.24131499999999</v>
      </c>
      <c r="W56">
        <v>32.950053425053575</v>
      </c>
      <c r="X56">
        <v>275.60218763131974</v>
      </c>
      <c r="Y56">
        <v>-40.297812368680354</v>
      </c>
      <c r="Z56">
        <v>-14.6217316760155</v>
      </c>
    </row>
    <row r="57" spans="1:26" x14ac:dyDescent="0.35">
      <c r="A57">
        <v>55</v>
      </c>
      <c r="B57">
        <v>45635</v>
      </c>
      <c r="C57">
        <v>46041</v>
      </c>
      <c r="D57" t="s">
        <v>16</v>
      </c>
      <c r="E57" t="s">
        <v>60</v>
      </c>
      <c r="F57" t="s">
        <v>19</v>
      </c>
      <c r="G57" t="s">
        <v>20</v>
      </c>
      <c r="H57" t="s">
        <v>21</v>
      </c>
      <c r="I57" t="s">
        <v>22</v>
      </c>
      <c r="J57" t="s">
        <v>23</v>
      </c>
      <c r="K57" t="s">
        <v>24</v>
      </c>
      <c r="L57" t="s">
        <v>59</v>
      </c>
      <c r="M57">
        <v>27</v>
      </c>
      <c r="N57">
        <v>58</v>
      </c>
      <c r="O57">
        <v>1</v>
      </c>
      <c r="P57">
        <v>3</v>
      </c>
      <c r="Q57">
        <v>235</v>
      </c>
      <c r="R57">
        <v>0.55810000000000004</v>
      </c>
      <c r="S57">
        <v>0.8962</v>
      </c>
      <c r="U57">
        <v>0.33809999999999996</v>
      </c>
      <c r="V57">
        <v>133.22965851988812</v>
      </c>
      <c r="W57">
        <v>28.2667674549206</v>
      </c>
      <c r="X57">
        <v>275.71236240151012</v>
      </c>
      <c r="Y57">
        <v>-62.387637598489846</v>
      </c>
      <c r="Z57">
        <v>-22.627798425533399</v>
      </c>
    </row>
    <row r="58" spans="1:26" x14ac:dyDescent="0.35">
      <c r="A58">
        <v>56</v>
      </c>
      <c r="B58">
        <v>45635</v>
      </c>
      <c r="C58">
        <v>46041</v>
      </c>
      <c r="D58" t="s">
        <v>16</v>
      </c>
      <c r="E58" t="s">
        <v>62</v>
      </c>
      <c r="F58" t="s">
        <v>19</v>
      </c>
      <c r="G58" t="s">
        <v>20</v>
      </c>
      <c r="H58" t="s">
        <v>21</v>
      </c>
      <c r="I58" t="s">
        <v>22</v>
      </c>
      <c r="J58" t="s">
        <v>23</v>
      </c>
      <c r="K58" t="s">
        <v>24</v>
      </c>
      <c r="L58" t="s">
        <v>61</v>
      </c>
      <c r="M58">
        <v>27</v>
      </c>
      <c r="N58">
        <v>58</v>
      </c>
      <c r="O58">
        <v>1</v>
      </c>
      <c r="P58">
        <v>1</v>
      </c>
      <c r="Q58">
        <v>236</v>
      </c>
      <c r="R58">
        <v>0.57979999999999998</v>
      </c>
      <c r="S58">
        <v>0.9657</v>
      </c>
      <c r="U58">
        <v>0.38590000000000002</v>
      </c>
      <c r="V58">
        <v>84.863117129722013</v>
      </c>
      <c r="W58">
        <v>18.02671323257837</v>
      </c>
      <c r="X58">
        <v>290.25165360989001</v>
      </c>
      <c r="Y58">
        <v>-95.648346390110021</v>
      </c>
      <c r="Z58">
        <v>-32.953592236433998</v>
      </c>
    </row>
    <row r="59" spans="1:26" x14ac:dyDescent="0.35">
      <c r="A59">
        <v>57</v>
      </c>
      <c r="B59">
        <v>45635</v>
      </c>
      <c r="C59">
        <v>46041</v>
      </c>
      <c r="D59" t="s">
        <v>16</v>
      </c>
      <c r="E59" t="s">
        <v>62</v>
      </c>
      <c r="F59" t="s">
        <v>19</v>
      </c>
      <c r="G59" t="s">
        <v>20</v>
      </c>
      <c r="H59" t="s">
        <v>21</v>
      </c>
      <c r="I59" t="s">
        <v>22</v>
      </c>
      <c r="J59" t="s">
        <v>23</v>
      </c>
      <c r="K59" t="s">
        <v>24</v>
      </c>
      <c r="L59" t="s">
        <v>61</v>
      </c>
      <c r="M59">
        <v>27</v>
      </c>
      <c r="N59">
        <v>58</v>
      </c>
      <c r="O59">
        <v>1</v>
      </c>
      <c r="P59">
        <v>2</v>
      </c>
      <c r="Q59">
        <v>237</v>
      </c>
      <c r="R59">
        <v>0.57279999999999998</v>
      </c>
      <c r="S59">
        <v>0.97060000000000002</v>
      </c>
      <c r="U59">
        <v>0.39780000000000004</v>
      </c>
      <c r="V59">
        <v>72.586882870277691</v>
      </c>
      <c r="W59">
        <v>15.431315266989607</v>
      </c>
      <c r="X59">
        <v>290.01968425635567</v>
      </c>
      <c r="Y59">
        <v>-107.78031574364439</v>
      </c>
      <c r="Z59">
        <v>-37.163103607951889</v>
      </c>
    </row>
    <row r="60" spans="1:26" x14ac:dyDescent="0.35">
      <c r="A60">
        <v>58</v>
      </c>
      <c r="B60">
        <v>45635</v>
      </c>
      <c r="C60">
        <v>46041</v>
      </c>
      <c r="D60" t="s">
        <v>16</v>
      </c>
      <c r="E60" t="s">
        <v>62</v>
      </c>
      <c r="F60" t="s">
        <v>19</v>
      </c>
      <c r="G60" t="s">
        <v>20</v>
      </c>
      <c r="H60" t="s">
        <v>21</v>
      </c>
      <c r="I60" t="s">
        <v>22</v>
      </c>
      <c r="J60" t="s">
        <v>23</v>
      </c>
      <c r="K60" t="s">
        <v>24</v>
      </c>
      <c r="L60" t="s">
        <v>61</v>
      </c>
      <c r="M60">
        <v>27</v>
      </c>
      <c r="N60">
        <v>58</v>
      </c>
      <c r="O60">
        <v>1</v>
      </c>
      <c r="P60">
        <v>3</v>
      </c>
      <c r="Q60">
        <v>238</v>
      </c>
      <c r="R60">
        <v>0.57450000000000001</v>
      </c>
      <c r="S60">
        <v>0.90529999999999999</v>
      </c>
      <c r="U60">
        <v>0.33079999999999998</v>
      </c>
      <c r="V60">
        <v>139.86905856486106</v>
      </c>
      <c r="W60">
        <v>29.717071054413974</v>
      </c>
      <c r="X60">
        <v>290.19366127150647</v>
      </c>
      <c r="Y60">
        <v>-40.606338728493483</v>
      </c>
      <c r="Z60">
        <v>-13.992841384120384</v>
      </c>
    </row>
    <row r="61" spans="1:26" x14ac:dyDescent="0.35">
      <c r="A61">
        <v>59</v>
      </c>
      <c r="B61">
        <v>45635</v>
      </c>
      <c r="C61">
        <v>46041</v>
      </c>
      <c r="D61" t="s">
        <v>16</v>
      </c>
      <c r="E61" t="s">
        <v>64</v>
      </c>
      <c r="F61" t="s">
        <v>19</v>
      </c>
      <c r="G61" t="s">
        <v>20</v>
      </c>
      <c r="H61" t="s">
        <v>21</v>
      </c>
      <c r="I61" t="s">
        <v>22</v>
      </c>
      <c r="J61" t="s">
        <v>23</v>
      </c>
      <c r="K61" t="s">
        <v>24</v>
      </c>
      <c r="L61" t="s">
        <v>63</v>
      </c>
      <c r="M61">
        <v>27</v>
      </c>
      <c r="N61">
        <v>58</v>
      </c>
      <c r="O61">
        <v>1</v>
      </c>
      <c r="P61">
        <v>1</v>
      </c>
      <c r="Q61">
        <v>239</v>
      </c>
      <c r="R61">
        <v>0.58079999999999998</v>
      </c>
      <c r="S61">
        <v>0.92500000000000004</v>
      </c>
      <c r="U61">
        <v>0.34420000000000006</v>
      </c>
      <c r="V61">
        <v>132.80726990577602</v>
      </c>
      <c r="W61">
        <v>27.84177061536392</v>
      </c>
      <c r="X61">
        <v>283.71611257967356</v>
      </c>
      <c r="Y61">
        <v>-60.483887420326482</v>
      </c>
      <c r="Z61">
        <v>-21.318453460531366</v>
      </c>
    </row>
    <row r="62" spans="1:26" x14ac:dyDescent="0.35">
      <c r="A62">
        <v>60</v>
      </c>
      <c r="B62">
        <v>45635</v>
      </c>
      <c r="C62">
        <v>46041</v>
      </c>
      <c r="D62" t="s">
        <v>16</v>
      </c>
      <c r="E62" t="s">
        <v>64</v>
      </c>
      <c r="F62" t="s">
        <v>19</v>
      </c>
      <c r="G62" t="s">
        <v>20</v>
      </c>
      <c r="H62" t="s">
        <v>21</v>
      </c>
      <c r="I62" t="s">
        <v>22</v>
      </c>
      <c r="J62" t="s">
        <v>23</v>
      </c>
      <c r="K62" t="s">
        <v>24</v>
      </c>
      <c r="L62" t="s">
        <v>63</v>
      </c>
      <c r="M62">
        <v>27</v>
      </c>
      <c r="N62">
        <v>58</v>
      </c>
      <c r="O62">
        <v>1</v>
      </c>
      <c r="P62">
        <v>2</v>
      </c>
      <c r="Q62">
        <v>240</v>
      </c>
      <c r="R62">
        <v>0.58409999999999995</v>
      </c>
      <c r="S62">
        <v>0.86760000000000004</v>
      </c>
      <c r="U62">
        <v>0.28350000000000009</v>
      </c>
      <c r="V62">
        <v>193.22140857742647</v>
      </c>
      <c r="W62">
        <v>40.531305097879709</v>
      </c>
      <c r="X62">
        <v>283.54608694288987</v>
      </c>
      <c r="Y62">
        <v>4.608694288975812E-2</v>
      </c>
      <c r="Z62">
        <v>1.6253774963588433E-2</v>
      </c>
    </row>
    <row r="63" spans="1:26" x14ac:dyDescent="0.35">
      <c r="A63">
        <v>61</v>
      </c>
      <c r="B63">
        <v>45635</v>
      </c>
      <c r="C63">
        <v>46041</v>
      </c>
      <c r="D63" t="s">
        <v>16</v>
      </c>
      <c r="E63" t="s">
        <v>64</v>
      </c>
      <c r="F63" t="s">
        <v>19</v>
      </c>
      <c r="G63" t="s">
        <v>20</v>
      </c>
      <c r="H63" t="s">
        <v>21</v>
      </c>
      <c r="I63" t="s">
        <v>22</v>
      </c>
      <c r="J63" t="s">
        <v>23</v>
      </c>
      <c r="K63" t="s">
        <v>24</v>
      </c>
      <c r="L63" t="s">
        <v>63</v>
      </c>
      <c r="M63">
        <v>27</v>
      </c>
      <c r="N63">
        <v>58</v>
      </c>
      <c r="O63">
        <v>1</v>
      </c>
      <c r="P63">
        <v>3</v>
      </c>
      <c r="Q63">
        <v>241</v>
      </c>
      <c r="R63">
        <v>0.56810000000000005</v>
      </c>
      <c r="S63">
        <v>0.90910000000000002</v>
      </c>
      <c r="U63">
        <v>0.34099999999999997</v>
      </c>
      <c r="V63">
        <v>135.62612146797682</v>
      </c>
      <c r="W63">
        <v>28.455452892564381</v>
      </c>
      <c r="X63">
        <v>283.4894117306286</v>
      </c>
      <c r="Y63">
        <v>-57.51058826937134</v>
      </c>
      <c r="Z63">
        <v>-20.286679463012135</v>
      </c>
    </row>
    <row r="64" spans="1:26" x14ac:dyDescent="0.35">
      <c r="A64">
        <v>62</v>
      </c>
      <c r="B64">
        <v>45635</v>
      </c>
      <c r="C64">
        <v>46041</v>
      </c>
      <c r="D64" t="s">
        <v>16</v>
      </c>
      <c r="E64" t="s">
        <v>66</v>
      </c>
      <c r="F64" t="s">
        <v>19</v>
      </c>
      <c r="G64" t="s">
        <v>67</v>
      </c>
      <c r="H64" t="s">
        <v>68</v>
      </c>
      <c r="I64" t="s">
        <v>22</v>
      </c>
      <c r="J64" t="s">
        <v>23</v>
      </c>
      <c r="K64" t="s">
        <v>24</v>
      </c>
      <c r="L64" t="s">
        <v>65</v>
      </c>
      <c r="M64">
        <v>27</v>
      </c>
      <c r="N64">
        <v>58</v>
      </c>
      <c r="O64">
        <v>1</v>
      </c>
      <c r="P64">
        <v>1</v>
      </c>
      <c r="Q64">
        <v>242</v>
      </c>
      <c r="R64">
        <v>0.59150000000000003</v>
      </c>
      <c r="S64">
        <v>0.94189999999999996</v>
      </c>
      <c r="U64">
        <v>0.35039999999999993</v>
      </c>
      <c r="V64">
        <v>123.05248187587489</v>
      </c>
      <c r="W64">
        <v>25.990460835335867</v>
      </c>
      <c r="X64">
        <v>282.92569187950193</v>
      </c>
      <c r="Y64">
        <v>-67.474308120497994</v>
      </c>
      <c r="Z64">
        <v>-23.848773744179905</v>
      </c>
    </row>
    <row r="65" spans="1:28" x14ac:dyDescent="0.35">
      <c r="A65">
        <v>63</v>
      </c>
      <c r="B65">
        <v>45635</v>
      </c>
      <c r="C65">
        <v>46041</v>
      </c>
      <c r="D65" t="s">
        <v>16</v>
      </c>
      <c r="E65" t="s">
        <v>66</v>
      </c>
      <c r="F65" t="s">
        <v>19</v>
      </c>
      <c r="G65" t="s">
        <v>67</v>
      </c>
      <c r="H65" t="s">
        <v>68</v>
      </c>
      <c r="I65" t="s">
        <v>22</v>
      </c>
      <c r="J65" t="s">
        <v>23</v>
      </c>
      <c r="K65" t="s">
        <v>24</v>
      </c>
      <c r="L65" t="s">
        <v>65</v>
      </c>
      <c r="M65">
        <v>27</v>
      </c>
      <c r="N65">
        <v>58</v>
      </c>
      <c r="O65">
        <v>1</v>
      </c>
      <c r="P65">
        <v>2</v>
      </c>
      <c r="Q65">
        <v>243</v>
      </c>
      <c r="R65">
        <v>0.57940000000000003</v>
      </c>
      <c r="S65">
        <v>0.88319999999999999</v>
      </c>
      <c r="U65">
        <v>0.30379999999999996</v>
      </c>
      <c r="V65">
        <v>169.93649656206304</v>
      </c>
      <c r="W65">
        <v>35.871523050325109</v>
      </c>
      <c r="X65">
        <v>283.09541335033538</v>
      </c>
      <c r="Y65">
        <v>-20.704586649664577</v>
      </c>
      <c r="Z65">
        <v>-7.3136425647568863</v>
      </c>
    </row>
    <row r="66" spans="1:28" x14ac:dyDescent="0.35">
      <c r="A66">
        <v>64</v>
      </c>
      <c r="B66">
        <v>45635</v>
      </c>
      <c r="C66">
        <v>46041</v>
      </c>
      <c r="D66" t="s">
        <v>16</v>
      </c>
      <c r="E66" t="s">
        <v>66</v>
      </c>
      <c r="F66" t="s">
        <v>19</v>
      </c>
      <c r="G66" t="s">
        <v>67</v>
      </c>
      <c r="H66" t="s">
        <v>68</v>
      </c>
      <c r="I66" t="s">
        <v>22</v>
      </c>
      <c r="J66" t="s">
        <v>23</v>
      </c>
      <c r="K66" t="s">
        <v>24</v>
      </c>
      <c r="L66" t="s">
        <v>65</v>
      </c>
      <c r="M66">
        <v>27</v>
      </c>
      <c r="N66">
        <v>58</v>
      </c>
      <c r="O66">
        <v>1</v>
      </c>
      <c r="P66">
        <v>3</v>
      </c>
      <c r="Q66">
        <v>244</v>
      </c>
      <c r="R66">
        <v>0.58620000000000005</v>
      </c>
      <c r="S66">
        <v>0.9677</v>
      </c>
      <c r="U66">
        <v>0.38149999999999995</v>
      </c>
      <c r="V66">
        <v>91.952481875874867</v>
      </c>
      <c r="W66">
        <v>19.421691805595408</v>
      </c>
      <c r="X66">
        <v>282.92569187950193</v>
      </c>
      <c r="Y66">
        <v>-98.574308120498017</v>
      </c>
      <c r="Z66">
        <v>-34.841059313369399</v>
      </c>
    </row>
    <row r="67" spans="1:28" x14ac:dyDescent="0.35">
      <c r="A67">
        <v>65</v>
      </c>
      <c r="B67">
        <v>45635</v>
      </c>
      <c r="C67">
        <v>46041</v>
      </c>
      <c r="D67" t="s">
        <v>16</v>
      </c>
      <c r="E67" t="s">
        <v>70</v>
      </c>
      <c r="F67" t="s">
        <v>19</v>
      </c>
      <c r="G67" t="s">
        <v>20</v>
      </c>
      <c r="H67" t="s">
        <v>21</v>
      </c>
      <c r="I67" t="s">
        <v>22</v>
      </c>
      <c r="J67" t="s">
        <v>23</v>
      </c>
      <c r="K67" t="s">
        <v>24</v>
      </c>
      <c r="L67" t="s">
        <v>69</v>
      </c>
      <c r="M67">
        <v>27</v>
      </c>
      <c r="N67">
        <v>58</v>
      </c>
      <c r="O67">
        <v>1</v>
      </c>
      <c r="P67">
        <v>1</v>
      </c>
      <c r="Q67">
        <v>245</v>
      </c>
      <c r="R67">
        <v>0.57799999999999996</v>
      </c>
      <c r="S67">
        <v>0.92159999999999997</v>
      </c>
      <c r="U67">
        <v>0.34360000000000002</v>
      </c>
      <c r="V67">
        <v>130.0326144469297</v>
      </c>
      <c r="W67">
        <v>27.454320179950315</v>
      </c>
      <c r="X67">
        <v>284.61246467926287</v>
      </c>
      <c r="Y67">
        <v>-58.987535320737152</v>
      </c>
      <c r="Z67">
        <v>-20.725562876247082</v>
      </c>
    </row>
    <row r="68" spans="1:28" x14ac:dyDescent="0.35">
      <c r="A68">
        <v>66</v>
      </c>
      <c r="B68">
        <v>45635</v>
      </c>
      <c r="C68">
        <v>46041</v>
      </c>
      <c r="D68" t="s">
        <v>16</v>
      </c>
      <c r="E68" t="s">
        <v>70</v>
      </c>
      <c r="F68" t="s">
        <v>19</v>
      </c>
      <c r="G68" t="s">
        <v>20</v>
      </c>
      <c r="H68" t="s">
        <v>21</v>
      </c>
      <c r="I68" t="s">
        <v>22</v>
      </c>
      <c r="J68" t="s">
        <v>23</v>
      </c>
      <c r="K68" t="s">
        <v>24</v>
      </c>
      <c r="L68" t="s">
        <v>69</v>
      </c>
      <c r="M68">
        <v>27</v>
      </c>
      <c r="N68">
        <v>58</v>
      </c>
      <c r="O68">
        <v>1</v>
      </c>
      <c r="P68">
        <v>2</v>
      </c>
      <c r="Q68">
        <v>246</v>
      </c>
      <c r="R68">
        <v>0.57509999999999994</v>
      </c>
      <c r="S68">
        <v>0.92600000000000005</v>
      </c>
      <c r="U68">
        <v>0.3509000000000001</v>
      </c>
      <c r="V68">
        <v>122.73261444692963</v>
      </c>
      <c r="W68">
        <v>25.913041184937601</v>
      </c>
      <c r="X68">
        <v>284.61246467926287</v>
      </c>
      <c r="Y68">
        <v>-66.28753532073722</v>
      </c>
      <c r="Z68">
        <v>-23.290454054933381</v>
      </c>
    </row>
    <row r="69" spans="1:28" x14ac:dyDescent="0.35">
      <c r="A69">
        <v>67</v>
      </c>
      <c r="B69">
        <v>45635</v>
      </c>
      <c r="C69">
        <v>46041</v>
      </c>
      <c r="D69" t="s">
        <v>16</v>
      </c>
      <c r="E69" t="s">
        <v>70</v>
      </c>
      <c r="F69" t="s">
        <v>19</v>
      </c>
      <c r="G69" t="s">
        <v>20</v>
      </c>
      <c r="H69" t="s">
        <v>21</v>
      </c>
      <c r="I69" t="s">
        <v>22</v>
      </c>
      <c r="J69" t="s">
        <v>23</v>
      </c>
      <c r="K69" t="s">
        <v>24</v>
      </c>
      <c r="L69" t="s">
        <v>69</v>
      </c>
      <c r="M69">
        <v>27</v>
      </c>
      <c r="N69">
        <v>58</v>
      </c>
      <c r="O69">
        <v>1</v>
      </c>
      <c r="P69">
        <v>3</v>
      </c>
      <c r="Q69">
        <v>247</v>
      </c>
      <c r="R69">
        <v>0.57809999999999995</v>
      </c>
      <c r="S69">
        <v>0.95279999999999998</v>
      </c>
      <c r="U69">
        <v>0.37470000000000003</v>
      </c>
      <c r="V69">
        <v>98.459454991937832</v>
      </c>
      <c r="W69">
        <v>20.808937442371402</v>
      </c>
      <c r="X69">
        <v>284.32813654272019</v>
      </c>
      <c r="Y69">
        <v>-90.371863457279858</v>
      </c>
      <c r="Z69">
        <v>-31.784354709369932</v>
      </c>
    </row>
    <row r="70" spans="1:28" x14ac:dyDescent="0.35">
      <c r="A70">
        <v>68</v>
      </c>
      <c r="B70">
        <v>45635</v>
      </c>
      <c r="C70">
        <v>46041</v>
      </c>
      <c r="D70" t="s">
        <v>16</v>
      </c>
      <c r="E70" t="s">
        <v>72</v>
      </c>
      <c r="F70" t="s">
        <v>19</v>
      </c>
      <c r="G70" t="s">
        <v>73</v>
      </c>
      <c r="H70" t="s">
        <v>74</v>
      </c>
      <c r="I70" t="s">
        <v>22</v>
      </c>
      <c r="J70" t="s">
        <v>23</v>
      </c>
      <c r="K70" t="s">
        <v>24</v>
      </c>
      <c r="L70" t="s">
        <v>71</v>
      </c>
      <c r="M70">
        <v>27</v>
      </c>
      <c r="N70">
        <v>58</v>
      </c>
      <c r="O70">
        <v>1</v>
      </c>
      <c r="P70">
        <v>1</v>
      </c>
      <c r="Q70">
        <v>248</v>
      </c>
      <c r="R70">
        <v>0.60440000000000005</v>
      </c>
      <c r="S70">
        <v>1.0062</v>
      </c>
      <c r="U70">
        <v>0.40179999999999993</v>
      </c>
      <c r="V70">
        <v>67.493713426818204</v>
      </c>
      <c r="W70">
        <v>14.381976893313572</v>
      </c>
      <c r="X70">
        <v>273.886569728312</v>
      </c>
      <c r="Y70">
        <v>-127.91343027168796</v>
      </c>
      <c r="Z70">
        <v>-46.703067769469158</v>
      </c>
      <c r="AA70" t="s">
        <v>546</v>
      </c>
    </row>
    <row r="71" spans="1:28" x14ac:dyDescent="0.35">
      <c r="A71">
        <v>69</v>
      </c>
      <c r="B71">
        <v>45635</v>
      </c>
      <c r="C71">
        <v>46041</v>
      </c>
      <c r="D71" t="s">
        <v>16</v>
      </c>
      <c r="E71" t="s">
        <v>72</v>
      </c>
      <c r="F71" t="s">
        <v>19</v>
      </c>
      <c r="G71" t="s">
        <v>73</v>
      </c>
      <c r="H71" t="s">
        <v>74</v>
      </c>
      <c r="I71" t="s">
        <v>22</v>
      </c>
      <c r="J71" t="s">
        <v>23</v>
      </c>
      <c r="K71" t="s">
        <v>24</v>
      </c>
      <c r="L71" t="s">
        <v>71</v>
      </c>
      <c r="M71">
        <v>27</v>
      </c>
      <c r="N71">
        <v>58</v>
      </c>
      <c r="O71">
        <v>1</v>
      </c>
      <c r="P71">
        <v>2</v>
      </c>
      <c r="Q71">
        <v>249</v>
      </c>
      <c r="R71">
        <v>0.57430000000000003</v>
      </c>
      <c r="S71">
        <v>0.83960000000000001</v>
      </c>
      <c r="U71">
        <v>0.26529999999999998</v>
      </c>
      <c r="V71">
        <v>203.80622093244062</v>
      </c>
      <c r="W71">
        <v>43.445644469889103</v>
      </c>
      <c r="X71">
        <v>273.77714640840446</v>
      </c>
      <c r="Y71">
        <v>8.4771464084045078</v>
      </c>
      <c r="Z71">
        <v>3.0963674359286384</v>
      </c>
    </row>
    <row r="72" spans="1:28" x14ac:dyDescent="0.35">
      <c r="A72">
        <v>70</v>
      </c>
      <c r="B72">
        <v>45635</v>
      </c>
      <c r="C72">
        <v>46041</v>
      </c>
      <c r="D72" t="s">
        <v>16</v>
      </c>
      <c r="E72" t="s">
        <v>72</v>
      </c>
      <c r="F72" t="s">
        <v>19</v>
      </c>
      <c r="G72" t="s">
        <v>73</v>
      </c>
      <c r="H72" t="s">
        <v>74</v>
      </c>
      <c r="I72" t="s">
        <v>22</v>
      </c>
      <c r="J72" t="s">
        <v>23</v>
      </c>
      <c r="K72" t="s">
        <v>24</v>
      </c>
      <c r="L72" t="s">
        <v>71</v>
      </c>
      <c r="M72">
        <v>27</v>
      </c>
      <c r="N72">
        <v>58</v>
      </c>
      <c r="O72">
        <v>1</v>
      </c>
      <c r="P72">
        <v>3</v>
      </c>
      <c r="Q72">
        <v>250</v>
      </c>
      <c r="R72">
        <v>0.60609999999999997</v>
      </c>
      <c r="S72">
        <v>0.95940000000000003</v>
      </c>
      <c r="U72">
        <v>0.35330000000000006</v>
      </c>
      <c r="V72">
        <v>115.99371342681809</v>
      </c>
      <c r="W72">
        <v>24.716656138396406</v>
      </c>
      <c r="X72">
        <v>273.886569728312</v>
      </c>
      <c r="Y72">
        <v>-79.413430271688071</v>
      </c>
      <c r="Z72">
        <v>-28.995007075543729</v>
      </c>
    </row>
    <row r="73" spans="1:28" x14ac:dyDescent="0.35">
      <c r="A73">
        <v>71</v>
      </c>
      <c r="B73">
        <v>45635</v>
      </c>
      <c r="C73">
        <v>46041</v>
      </c>
      <c r="D73" t="s">
        <v>16</v>
      </c>
      <c r="E73" t="s">
        <v>76</v>
      </c>
      <c r="F73" t="s">
        <v>19</v>
      </c>
      <c r="G73" t="s">
        <v>20</v>
      </c>
      <c r="H73" t="s">
        <v>21</v>
      </c>
      <c r="I73" t="s">
        <v>22</v>
      </c>
      <c r="J73" t="s">
        <v>23</v>
      </c>
      <c r="K73" t="s">
        <v>24</v>
      </c>
      <c r="L73" t="s">
        <v>75</v>
      </c>
      <c r="M73">
        <v>27</v>
      </c>
      <c r="N73">
        <v>58</v>
      </c>
      <c r="O73">
        <v>1</v>
      </c>
      <c r="P73">
        <v>1</v>
      </c>
      <c r="Q73">
        <v>251</v>
      </c>
      <c r="R73">
        <v>0.5806</v>
      </c>
      <c r="S73">
        <v>1.012</v>
      </c>
      <c r="U73">
        <v>0.43140000000000001</v>
      </c>
      <c r="V73">
        <v>36.122003463960993</v>
      </c>
      <c r="W73">
        <v>7.7262681106613345</v>
      </c>
      <c r="X73">
        <v>296.02366371370704</v>
      </c>
      <c r="Y73">
        <v>-135.37633628629294</v>
      </c>
      <c r="Z73">
        <v>-45.731592734160358</v>
      </c>
    </row>
    <row r="74" spans="1:28" x14ac:dyDescent="0.35">
      <c r="A74">
        <v>72</v>
      </c>
      <c r="B74">
        <v>45635</v>
      </c>
      <c r="C74">
        <v>46041</v>
      </c>
      <c r="D74" t="s">
        <v>16</v>
      </c>
      <c r="E74" t="s">
        <v>76</v>
      </c>
      <c r="F74" t="s">
        <v>19</v>
      </c>
      <c r="G74" t="s">
        <v>20</v>
      </c>
      <c r="H74" t="s">
        <v>21</v>
      </c>
      <c r="I74" t="s">
        <v>22</v>
      </c>
      <c r="J74" t="s">
        <v>23</v>
      </c>
      <c r="K74" t="s">
        <v>24</v>
      </c>
      <c r="L74" t="s">
        <v>75</v>
      </c>
      <c r="M74">
        <v>27</v>
      </c>
      <c r="N74">
        <v>58</v>
      </c>
      <c r="O74">
        <v>1</v>
      </c>
      <c r="P74">
        <v>2</v>
      </c>
      <c r="Q74">
        <v>252</v>
      </c>
      <c r="R74">
        <v>0.59250000000000003</v>
      </c>
      <c r="S74">
        <v>0.97140000000000004</v>
      </c>
      <c r="U74">
        <v>0.37890000000000001</v>
      </c>
      <c r="V74">
        <v>88.341770494851687</v>
      </c>
      <c r="W74">
        <v>18.907078962843944</v>
      </c>
      <c r="X74">
        <v>295.84622695224027</v>
      </c>
      <c r="Y74">
        <v>-83.053773047759762</v>
      </c>
      <c r="Z74">
        <v>-28.073291284924007</v>
      </c>
    </row>
    <row r="75" spans="1:28" x14ac:dyDescent="0.35">
      <c r="A75">
        <v>73</v>
      </c>
      <c r="B75">
        <v>45635</v>
      </c>
      <c r="C75">
        <v>46041</v>
      </c>
      <c r="D75" t="s">
        <v>16</v>
      </c>
      <c r="E75" t="s">
        <v>76</v>
      </c>
      <c r="F75" t="s">
        <v>19</v>
      </c>
      <c r="G75" t="s">
        <v>20</v>
      </c>
      <c r="H75" t="s">
        <v>21</v>
      </c>
      <c r="I75" t="s">
        <v>22</v>
      </c>
      <c r="J75" t="s">
        <v>23</v>
      </c>
      <c r="K75" t="s">
        <v>24</v>
      </c>
      <c r="L75" t="s">
        <v>75</v>
      </c>
      <c r="M75">
        <v>27</v>
      </c>
      <c r="N75">
        <v>58</v>
      </c>
      <c r="O75">
        <v>1</v>
      </c>
      <c r="P75">
        <v>3</v>
      </c>
      <c r="Q75">
        <v>253</v>
      </c>
      <c r="R75">
        <v>0.59809999999999997</v>
      </c>
      <c r="S75">
        <v>1.1408</v>
      </c>
      <c r="T75" t="s">
        <v>569</v>
      </c>
      <c r="AA75" t="s">
        <v>548</v>
      </c>
      <c r="AB75" t="s">
        <v>677</v>
      </c>
    </row>
    <row r="76" spans="1:28" x14ac:dyDescent="0.35">
      <c r="A76">
        <v>74</v>
      </c>
      <c r="B76">
        <v>45635</v>
      </c>
      <c r="C76">
        <v>46041</v>
      </c>
      <c r="D76" t="s">
        <v>16</v>
      </c>
      <c r="E76" t="s">
        <v>78</v>
      </c>
      <c r="F76" t="s">
        <v>79</v>
      </c>
      <c r="G76" t="s">
        <v>80</v>
      </c>
      <c r="H76" t="s">
        <v>81</v>
      </c>
      <c r="I76" t="s">
        <v>22</v>
      </c>
      <c r="J76" t="s">
        <v>23</v>
      </c>
      <c r="K76" t="s">
        <v>24</v>
      </c>
      <c r="L76" t="s">
        <v>77</v>
      </c>
      <c r="M76">
        <v>27</v>
      </c>
      <c r="N76">
        <v>58</v>
      </c>
      <c r="O76">
        <v>1</v>
      </c>
      <c r="P76">
        <v>1</v>
      </c>
      <c r="Q76">
        <v>254</v>
      </c>
      <c r="R76">
        <v>0.58530000000000004</v>
      </c>
      <c r="S76">
        <v>0.87350000000000005</v>
      </c>
      <c r="U76">
        <v>0.28820000000000001</v>
      </c>
      <c r="V76">
        <v>185.21696714935354</v>
      </c>
      <c r="W76">
        <v>39.123432407719619</v>
      </c>
      <c r="X76">
        <v>219.30791257113211</v>
      </c>
      <c r="Y76">
        <v>-68.892087428867882</v>
      </c>
      <c r="Z76">
        <v>-31.413407122975041</v>
      </c>
    </row>
    <row r="77" spans="1:28" x14ac:dyDescent="0.35">
      <c r="A77">
        <v>75</v>
      </c>
      <c r="B77">
        <v>45635</v>
      </c>
      <c r="C77">
        <v>46041</v>
      </c>
      <c r="D77" t="s">
        <v>16</v>
      </c>
      <c r="E77" t="s">
        <v>78</v>
      </c>
      <c r="F77" t="s">
        <v>79</v>
      </c>
      <c r="G77" t="s">
        <v>80</v>
      </c>
      <c r="H77" t="s">
        <v>81</v>
      </c>
      <c r="I77" t="s">
        <v>22</v>
      </c>
      <c r="J77" t="s">
        <v>23</v>
      </c>
      <c r="K77" t="s">
        <v>24</v>
      </c>
      <c r="L77" t="s">
        <v>77</v>
      </c>
      <c r="M77">
        <v>27</v>
      </c>
      <c r="N77">
        <v>58</v>
      </c>
      <c r="O77">
        <v>1</v>
      </c>
      <c r="P77">
        <v>2</v>
      </c>
      <c r="Q77">
        <v>255</v>
      </c>
      <c r="R77">
        <v>0.58440000000000003</v>
      </c>
      <c r="S77">
        <v>0.84019999999999995</v>
      </c>
      <c r="T77" t="s">
        <v>682</v>
      </c>
      <c r="U77">
        <v>0.25579999999999992</v>
      </c>
      <c r="V77">
        <v>217.90084700173188</v>
      </c>
      <c r="W77">
        <v>45.999674347412608</v>
      </c>
      <c r="X77">
        <v>219.4394184151684</v>
      </c>
      <c r="Y77">
        <v>-36.360581584831522</v>
      </c>
      <c r="Z77">
        <v>-16.569758454262359</v>
      </c>
    </row>
    <row r="78" spans="1:28" x14ac:dyDescent="0.35">
      <c r="A78">
        <v>76</v>
      </c>
      <c r="B78">
        <v>45635</v>
      </c>
      <c r="C78">
        <v>46041</v>
      </c>
      <c r="D78" t="s">
        <v>16</v>
      </c>
      <c r="E78" t="s">
        <v>78</v>
      </c>
      <c r="F78" t="s">
        <v>79</v>
      </c>
      <c r="G78" t="s">
        <v>80</v>
      </c>
      <c r="H78" t="s">
        <v>81</v>
      </c>
      <c r="I78" t="s">
        <v>22</v>
      </c>
      <c r="J78" t="s">
        <v>23</v>
      </c>
      <c r="K78" t="s">
        <v>24</v>
      </c>
      <c r="L78" t="s">
        <v>77</v>
      </c>
      <c r="M78">
        <v>27</v>
      </c>
      <c r="N78">
        <v>58</v>
      </c>
      <c r="O78">
        <v>1</v>
      </c>
      <c r="P78">
        <v>3</v>
      </c>
      <c r="Q78">
        <v>256</v>
      </c>
      <c r="R78">
        <v>0.57969999999999999</v>
      </c>
      <c r="S78">
        <v>0.80500000000000005</v>
      </c>
      <c r="U78">
        <v>0.22530000000000006</v>
      </c>
      <c r="V78">
        <v>248.11696714935346</v>
      </c>
      <c r="W78">
        <v>52.409817215333888</v>
      </c>
      <c r="X78">
        <v>219.30791257113211</v>
      </c>
      <c r="Y78">
        <v>-5.9920874288679613</v>
      </c>
      <c r="Z78">
        <v>-2.7322714254208402</v>
      </c>
    </row>
    <row r="79" spans="1:28" x14ac:dyDescent="0.35">
      <c r="A79">
        <v>77</v>
      </c>
      <c r="B79">
        <v>45635</v>
      </c>
      <c r="C79">
        <v>46041</v>
      </c>
      <c r="D79" t="s">
        <v>16</v>
      </c>
      <c r="E79" t="s">
        <v>83</v>
      </c>
      <c r="F79" t="s">
        <v>84</v>
      </c>
      <c r="G79" t="s">
        <v>67</v>
      </c>
      <c r="H79" t="s">
        <v>85</v>
      </c>
      <c r="I79" t="s">
        <v>22</v>
      </c>
      <c r="J79" t="s">
        <v>23</v>
      </c>
      <c r="K79" t="s">
        <v>24</v>
      </c>
      <c r="L79" t="s">
        <v>82</v>
      </c>
      <c r="M79">
        <v>27</v>
      </c>
      <c r="N79">
        <v>58</v>
      </c>
      <c r="O79">
        <v>1</v>
      </c>
      <c r="P79">
        <v>1</v>
      </c>
      <c r="Q79">
        <v>257</v>
      </c>
      <c r="R79">
        <v>0.58330000000000004</v>
      </c>
      <c r="S79">
        <v>0.872</v>
      </c>
      <c r="U79">
        <v>0.28869999999999996</v>
      </c>
      <c r="V79">
        <v>178.85524506815921</v>
      </c>
      <c r="W79">
        <v>38.253285992350719</v>
      </c>
      <c r="X79">
        <v>234.3190069546464</v>
      </c>
      <c r="Y79">
        <v>-54.380993045353534</v>
      </c>
      <c r="Z79">
        <v>-23.20810153308615</v>
      </c>
    </row>
    <row r="80" spans="1:28" x14ac:dyDescent="0.35">
      <c r="A80">
        <v>78</v>
      </c>
      <c r="B80">
        <v>45635</v>
      </c>
      <c r="C80">
        <v>46041</v>
      </c>
      <c r="D80" t="s">
        <v>16</v>
      </c>
      <c r="E80" t="s">
        <v>83</v>
      </c>
      <c r="F80" t="s">
        <v>84</v>
      </c>
      <c r="G80" t="s">
        <v>67</v>
      </c>
      <c r="H80" t="s">
        <v>85</v>
      </c>
      <c r="I80" t="s">
        <v>22</v>
      </c>
      <c r="J80" t="s">
        <v>23</v>
      </c>
      <c r="K80" t="s">
        <v>24</v>
      </c>
      <c r="L80" t="s">
        <v>82</v>
      </c>
      <c r="M80">
        <v>27</v>
      </c>
      <c r="N80">
        <v>58</v>
      </c>
      <c r="O80">
        <v>1</v>
      </c>
      <c r="P80">
        <v>2</v>
      </c>
      <c r="Q80">
        <v>258</v>
      </c>
      <c r="R80">
        <v>0.59750000000000003</v>
      </c>
      <c r="S80">
        <v>0.85050000000000003</v>
      </c>
      <c r="U80">
        <v>0.253</v>
      </c>
      <c r="V80">
        <v>214.08815691124801</v>
      </c>
      <c r="W80">
        <v>45.834636083896072</v>
      </c>
      <c r="X80">
        <v>234.08492203261383</v>
      </c>
      <c r="Y80">
        <v>-18.915077967386168</v>
      </c>
      <c r="Z80">
        <v>-8.0804341446438102</v>
      </c>
    </row>
    <row r="81" spans="1:26" x14ac:dyDescent="0.35">
      <c r="A81">
        <v>79</v>
      </c>
      <c r="B81">
        <v>45635</v>
      </c>
      <c r="C81">
        <v>46041</v>
      </c>
      <c r="D81" t="s">
        <v>16</v>
      </c>
      <c r="E81" t="s">
        <v>83</v>
      </c>
      <c r="F81" t="s">
        <v>84</v>
      </c>
      <c r="G81" t="s">
        <v>67</v>
      </c>
      <c r="H81" t="s">
        <v>85</v>
      </c>
      <c r="I81" t="s">
        <v>22</v>
      </c>
      <c r="J81" t="s">
        <v>23</v>
      </c>
      <c r="K81" t="s">
        <v>24</v>
      </c>
      <c r="L81" t="s">
        <v>82</v>
      </c>
      <c r="M81">
        <v>27</v>
      </c>
      <c r="N81">
        <v>58</v>
      </c>
      <c r="O81">
        <v>1</v>
      </c>
      <c r="P81">
        <v>3</v>
      </c>
      <c r="Q81">
        <v>259</v>
      </c>
      <c r="R81">
        <v>0.5867</v>
      </c>
      <c r="S81">
        <v>0.80520000000000003</v>
      </c>
      <c r="U81">
        <v>0.21850000000000003</v>
      </c>
      <c r="V81">
        <v>248.86840980539463</v>
      </c>
      <c r="W81">
        <v>53.248872748806406</v>
      </c>
      <c r="X81">
        <v>234.22537298583336</v>
      </c>
      <c r="Y81">
        <v>15.725372985833332</v>
      </c>
      <c r="Z81">
        <v>6.713778607915569</v>
      </c>
    </row>
    <row r="82" spans="1:26" x14ac:dyDescent="0.35">
      <c r="A82">
        <v>80</v>
      </c>
      <c r="B82">
        <v>45635</v>
      </c>
      <c r="C82">
        <v>46041</v>
      </c>
      <c r="D82" t="s">
        <v>16</v>
      </c>
      <c r="E82" t="s">
        <v>87</v>
      </c>
      <c r="F82" t="s">
        <v>88</v>
      </c>
      <c r="G82" t="s">
        <v>89</v>
      </c>
      <c r="H82" t="s">
        <v>90</v>
      </c>
      <c r="I82" t="s">
        <v>22</v>
      </c>
      <c r="J82" t="s">
        <v>23</v>
      </c>
      <c r="K82" t="s">
        <v>24</v>
      </c>
      <c r="L82" t="s">
        <v>86</v>
      </c>
      <c r="M82">
        <v>27</v>
      </c>
      <c r="N82">
        <v>58</v>
      </c>
      <c r="O82">
        <v>1</v>
      </c>
      <c r="P82">
        <v>1</v>
      </c>
      <c r="Q82">
        <v>260</v>
      </c>
      <c r="R82">
        <v>0.59599999999999997</v>
      </c>
      <c r="S82">
        <v>0.96440000000000003</v>
      </c>
      <c r="T82" t="s">
        <v>551</v>
      </c>
      <c r="U82">
        <v>0.36840000000000006</v>
      </c>
      <c r="V82">
        <v>100.57808438312293</v>
      </c>
      <c r="W82">
        <v>21.446222698320703</v>
      </c>
      <c r="X82">
        <v>329.85254683418816</v>
      </c>
      <c r="Y82">
        <v>-38.547453165811874</v>
      </c>
      <c r="Z82">
        <v>-11.68626816308594</v>
      </c>
    </row>
    <row r="83" spans="1:26" x14ac:dyDescent="0.35">
      <c r="A83">
        <v>81</v>
      </c>
      <c r="B83">
        <v>45635</v>
      </c>
      <c r="C83">
        <v>46041</v>
      </c>
      <c r="D83" t="s">
        <v>16</v>
      </c>
      <c r="E83" t="s">
        <v>87</v>
      </c>
      <c r="F83" t="s">
        <v>88</v>
      </c>
      <c r="G83" t="s">
        <v>89</v>
      </c>
      <c r="H83" t="s">
        <v>90</v>
      </c>
      <c r="I83" t="s">
        <v>22</v>
      </c>
      <c r="J83" t="s">
        <v>23</v>
      </c>
      <c r="K83" t="s">
        <v>24</v>
      </c>
      <c r="L83" t="s">
        <v>86</v>
      </c>
      <c r="M83">
        <v>27</v>
      </c>
      <c r="N83">
        <v>58</v>
      </c>
      <c r="O83">
        <v>1</v>
      </c>
      <c r="P83">
        <v>2</v>
      </c>
      <c r="Q83">
        <v>261</v>
      </c>
      <c r="R83">
        <v>0.60399999999999998</v>
      </c>
      <c r="S83">
        <v>0.97450000000000003</v>
      </c>
      <c r="U83">
        <v>0.37050000000000005</v>
      </c>
      <c r="V83">
        <v>99.040858084382648</v>
      </c>
      <c r="W83">
        <v>21.093128825560843</v>
      </c>
      <c r="X83">
        <v>330.2483698903892</v>
      </c>
      <c r="Y83">
        <v>-40.251630109610858</v>
      </c>
      <c r="Z83">
        <v>-12.188290323119698</v>
      </c>
    </row>
    <row r="84" spans="1:26" x14ac:dyDescent="0.35">
      <c r="A84">
        <v>82</v>
      </c>
      <c r="B84">
        <v>45635</v>
      </c>
      <c r="C84">
        <v>46041</v>
      </c>
      <c r="D84" t="s">
        <v>16</v>
      </c>
      <c r="E84" t="s">
        <v>87</v>
      </c>
      <c r="F84" t="s">
        <v>88</v>
      </c>
      <c r="G84" t="s">
        <v>89</v>
      </c>
      <c r="H84" t="s">
        <v>90</v>
      </c>
      <c r="I84" t="s">
        <v>22</v>
      </c>
      <c r="J84" t="s">
        <v>23</v>
      </c>
      <c r="K84" t="s">
        <v>24</v>
      </c>
      <c r="L84" t="s">
        <v>86</v>
      </c>
      <c r="M84">
        <v>27</v>
      </c>
      <c r="N84">
        <v>58</v>
      </c>
      <c r="O84">
        <v>1</v>
      </c>
      <c r="P84">
        <v>3</v>
      </c>
      <c r="Q84">
        <v>262</v>
      </c>
      <c r="R84">
        <v>0.59040000000000004</v>
      </c>
      <c r="S84">
        <v>0.99309999999999998</v>
      </c>
      <c r="U84">
        <v>0.40269999999999995</v>
      </c>
      <c r="V84">
        <v>66.559471233752845</v>
      </c>
      <c r="W84">
        <v>14.183937738914063</v>
      </c>
      <c r="X84">
        <v>330.05045836228862</v>
      </c>
      <c r="Y84">
        <v>-72.649541637711309</v>
      </c>
      <c r="Z84">
        <v>-22.011646945802941</v>
      </c>
    </row>
    <row r="85" spans="1:26" x14ac:dyDescent="0.35">
      <c r="A85">
        <v>83</v>
      </c>
      <c r="B85">
        <v>45635</v>
      </c>
      <c r="C85">
        <v>46041</v>
      </c>
      <c r="D85" t="s">
        <v>16</v>
      </c>
      <c r="E85" t="s">
        <v>92</v>
      </c>
      <c r="F85" t="s">
        <v>79</v>
      </c>
      <c r="G85" t="s">
        <v>80</v>
      </c>
      <c r="H85" t="s">
        <v>81</v>
      </c>
      <c r="I85" t="s">
        <v>22</v>
      </c>
      <c r="J85" t="s">
        <v>23</v>
      </c>
      <c r="K85" t="s">
        <v>24</v>
      </c>
      <c r="L85" t="s">
        <v>91</v>
      </c>
      <c r="M85">
        <v>27</v>
      </c>
      <c r="N85">
        <v>58</v>
      </c>
      <c r="O85">
        <v>1</v>
      </c>
      <c r="P85">
        <v>1</v>
      </c>
      <c r="Q85">
        <v>263</v>
      </c>
      <c r="R85">
        <v>0.58630000000000004</v>
      </c>
      <c r="S85">
        <v>0.82389999999999997</v>
      </c>
      <c r="U85">
        <v>0.23759999999999992</v>
      </c>
      <c r="V85">
        <v>227.45702578452915</v>
      </c>
      <c r="W85">
        <v>48.909491346963307</v>
      </c>
      <c r="X85">
        <v>226.78057180640604</v>
      </c>
      <c r="Y85">
        <v>-10.819428193593865</v>
      </c>
      <c r="Z85">
        <v>-4.7708796690176785</v>
      </c>
    </row>
    <row r="86" spans="1:26" x14ac:dyDescent="0.35">
      <c r="A86">
        <v>84</v>
      </c>
      <c r="B86">
        <v>45635</v>
      </c>
      <c r="C86">
        <v>46041</v>
      </c>
      <c r="D86" t="s">
        <v>16</v>
      </c>
      <c r="E86" t="s">
        <v>92</v>
      </c>
      <c r="F86" t="s">
        <v>79</v>
      </c>
      <c r="G86" t="s">
        <v>80</v>
      </c>
      <c r="H86" t="s">
        <v>81</v>
      </c>
      <c r="I86" t="s">
        <v>22</v>
      </c>
      <c r="J86" t="s">
        <v>23</v>
      </c>
      <c r="K86" t="s">
        <v>24</v>
      </c>
      <c r="L86" t="s">
        <v>91</v>
      </c>
      <c r="M86">
        <v>27</v>
      </c>
      <c r="N86">
        <v>58</v>
      </c>
      <c r="O86">
        <v>1</v>
      </c>
      <c r="P86">
        <v>2</v>
      </c>
      <c r="Q86">
        <v>264</v>
      </c>
      <c r="R86">
        <v>0.58230000000000004</v>
      </c>
      <c r="S86">
        <v>0.7994</v>
      </c>
      <c r="T86" t="s">
        <v>683</v>
      </c>
      <c r="U86">
        <v>0.21709999999999996</v>
      </c>
      <c r="V86">
        <v>247.86405156905835</v>
      </c>
      <c r="W86">
        <v>53.308218287547462</v>
      </c>
      <c r="X86">
        <v>226.73523382723644</v>
      </c>
      <c r="Y86">
        <v>9.6352338272364761</v>
      </c>
      <c r="Z86">
        <v>4.2495529541642192</v>
      </c>
    </row>
    <row r="87" spans="1:26" x14ac:dyDescent="0.35">
      <c r="A87">
        <v>85</v>
      </c>
      <c r="B87">
        <v>45635</v>
      </c>
      <c r="C87">
        <v>46041</v>
      </c>
      <c r="D87" t="s">
        <v>16</v>
      </c>
      <c r="E87" t="s">
        <v>92</v>
      </c>
      <c r="F87" t="s">
        <v>79</v>
      </c>
      <c r="G87" t="s">
        <v>80</v>
      </c>
      <c r="H87" t="s">
        <v>81</v>
      </c>
      <c r="I87" t="s">
        <v>22</v>
      </c>
      <c r="J87" t="s">
        <v>23</v>
      </c>
      <c r="K87" t="s">
        <v>24</v>
      </c>
      <c r="L87" t="s">
        <v>91</v>
      </c>
      <c r="M87">
        <v>27</v>
      </c>
      <c r="N87">
        <v>58</v>
      </c>
      <c r="O87">
        <v>1</v>
      </c>
      <c r="P87">
        <v>3</v>
      </c>
      <c r="Q87">
        <v>265</v>
      </c>
      <c r="R87">
        <v>0.57740000000000002</v>
      </c>
      <c r="S87">
        <v>0.75609999999999999</v>
      </c>
      <c r="U87">
        <v>0.17869999999999997</v>
      </c>
      <c r="V87">
        <v>286.6359484309412</v>
      </c>
      <c r="W87">
        <v>61.597637018468987</v>
      </c>
      <c r="X87">
        <v>226.91658574391488</v>
      </c>
      <c r="Y87">
        <v>48.216585743914919</v>
      </c>
      <c r="Z87">
        <v>21.248594758220719</v>
      </c>
    </row>
    <row r="88" spans="1:26" x14ac:dyDescent="0.35">
      <c r="A88">
        <v>86</v>
      </c>
      <c r="B88">
        <v>45635</v>
      </c>
      <c r="C88">
        <v>46041</v>
      </c>
      <c r="D88" t="s">
        <v>16</v>
      </c>
      <c r="E88" t="s">
        <v>94</v>
      </c>
      <c r="F88" t="s">
        <v>19</v>
      </c>
      <c r="G88" t="s">
        <v>29</v>
      </c>
      <c r="H88" t="s">
        <v>30</v>
      </c>
      <c r="I88" t="s">
        <v>22</v>
      </c>
      <c r="J88" t="s">
        <v>23</v>
      </c>
      <c r="K88" t="s">
        <v>24</v>
      </c>
      <c r="L88" t="s">
        <v>93</v>
      </c>
      <c r="M88">
        <v>27</v>
      </c>
      <c r="N88">
        <v>58</v>
      </c>
      <c r="O88">
        <v>1</v>
      </c>
      <c r="P88">
        <v>1</v>
      </c>
      <c r="Q88">
        <v>266</v>
      </c>
      <c r="R88">
        <v>0.59870000000000001</v>
      </c>
      <c r="S88">
        <v>0.97340000000000004</v>
      </c>
      <c r="U88">
        <v>0.37470000000000003</v>
      </c>
      <c r="V88">
        <v>98.760131617018146</v>
      </c>
      <c r="W88">
        <v>20.859228691488894</v>
      </c>
      <c r="X88">
        <v>292.61087029660069</v>
      </c>
      <c r="Y88">
        <v>-82.089129703399351</v>
      </c>
      <c r="Z88">
        <v>-28.054026024457301</v>
      </c>
    </row>
    <row r="89" spans="1:26" x14ac:dyDescent="0.35">
      <c r="A89">
        <v>87</v>
      </c>
      <c r="B89">
        <v>45635</v>
      </c>
      <c r="C89">
        <v>46041</v>
      </c>
      <c r="D89" t="s">
        <v>16</v>
      </c>
      <c r="E89" t="s">
        <v>94</v>
      </c>
      <c r="F89" t="s">
        <v>19</v>
      </c>
      <c r="G89" t="s">
        <v>29</v>
      </c>
      <c r="H89" t="s">
        <v>30</v>
      </c>
      <c r="I89" t="s">
        <v>22</v>
      </c>
      <c r="J89" t="s">
        <v>23</v>
      </c>
      <c r="K89" t="s">
        <v>24</v>
      </c>
      <c r="L89" t="s">
        <v>93</v>
      </c>
      <c r="M89">
        <v>27</v>
      </c>
      <c r="N89">
        <v>58</v>
      </c>
      <c r="O89">
        <v>1</v>
      </c>
      <c r="P89">
        <v>2</v>
      </c>
      <c r="Q89">
        <v>267</v>
      </c>
      <c r="R89">
        <v>0.56479999999999997</v>
      </c>
      <c r="S89">
        <v>0.96830000000000005</v>
      </c>
      <c r="T89" t="s">
        <v>684</v>
      </c>
      <c r="U89">
        <v>0.40350000000000008</v>
      </c>
      <c r="V89">
        <v>69.581741901440068</v>
      </c>
      <c r="W89">
        <v>14.708185866943992</v>
      </c>
      <c r="X89">
        <v>292.3770154552048</v>
      </c>
      <c r="Y89">
        <v>-111.12298454479526</v>
      </c>
      <c r="Z89">
        <v>-38.006744261954637</v>
      </c>
    </row>
    <row r="90" spans="1:26" x14ac:dyDescent="0.35">
      <c r="A90">
        <v>88</v>
      </c>
      <c r="B90">
        <v>45635</v>
      </c>
      <c r="C90">
        <v>46041</v>
      </c>
      <c r="D90" t="s">
        <v>16</v>
      </c>
      <c r="E90" t="s">
        <v>94</v>
      </c>
      <c r="F90" t="s">
        <v>19</v>
      </c>
      <c r="G90" t="s">
        <v>29</v>
      </c>
      <c r="H90" t="s">
        <v>30</v>
      </c>
      <c r="I90" t="s">
        <v>22</v>
      </c>
      <c r="J90" t="s">
        <v>23</v>
      </c>
      <c r="K90" t="s">
        <v>24</v>
      </c>
      <c r="L90" t="s">
        <v>93</v>
      </c>
      <c r="M90">
        <v>27</v>
      </c>
      <c r="N90">
        <v>58</v>
      </c>
      <c r="O90">
        <v>1</v>
      </c>
      <c r="P90">
        <v>3</v>
      </c>
      <c r="Q90">
        <v>268</v>
      </c>
      <c r="R90">
        <v>0.56559999999999999</v>
      </c>
      <c r="S90">
        <v>0.90910000000000002</v>
      </c>
      <c r="U90">
        <v>0.34350000000000003</v>
      </c>
      <c r="V90">
        <v>129.48714447254571</v>
      </c>
      <c r="W90">
        <v>27.376461704248651</v>
      </c>
      <c r="X90">
        <v>292.31855174485588</v>
      </c>
      <c r="Y90">
        <v>-51.181448255144119</v>
      </c>
      <c r="Z90">
        <v>-17.508792360129359</v>
      </c>
    </row>
    <row r="91" spans="1:26" x14ac:dyDescent="0.35">
      <c r="A91">
        <v>89</v>
      </c>
      <c r="B91">
        <v>45635</v>
      </c>
      <c r="C91">
        <v>46041</v>
      </c>
      <c r="D91" t="s">
        <v>16</v>
      </c>
      <c r="E91" t="s">
        <v>96</v>
      </c>
      <c r="F91" t="s">
        <v>19</v>
      </c>
      <c r="G91" t="s">
        <v>29</v>
      </c>
      <c r="H91" t="s">
        <v>30</v>
      </c>
      <c r="I91" t="s">
        <v>22</v>
      </c>
      <c r="J91" t="s">
        <v>23</v>
      </c>
      <c r="K91" t="s">
        <v>24</v>
      </c>
      <c r="L91" t="s">
        <v>95</v>
      </c>
      <c r="M91">
        <v>27</v>
      </c>
      <c r="N91">
        <v>58</v>
      </c>
      <c r="O91">
        <v>1</v>
      </c>
      <c r="P91">
        <v>1</v>
      </c>
      <c r="Q91">
        <v>269</v>
      </c>
      <c r="R91">
        <v>0.56659999999999999</v>
      </c>
      <c r="S91">
        <v>0.95540000000000003</v>
      </c>
      <c r="U91">
        <v>0.38880000000000003</v>
      </c>
      <c r="V91">
        <v>81.958701495729883</v>
      </c>
      <c r="W91">
        <v>17.40991748752058</v>
      </c>
      <c r="X91">
        <v>306.90445153823322</v>
      </c>
      <c r="Y91">
        <v>-81.895548461766793</v>
      </c>
      <c r="Z91">
        <v>-26.684379470971763</v>
      </c>
    </row>
    <row r="92" spans="1:26" x14ac:dyDescent="0.35">
      <c r="A92">
        <v>90</v>
      </c>
      <c r="B92">
        <v>45635</v>
      </c>
      <c r="C92">
        <v>46041</v>
      </c>
      <c r="D92" t="s">
        <v>16</v>
      </c>
      <c r="E92" t="s">
        <v>96</v>
      </c>
      <c r="F92" t="s">
        <v>19</v>
      </c>
      <c r="G92" t="s">
        <v>29</v>
      </c>
      <c r="H92" t="s">
        <v>30</v>
      </c>
      <c r="I92" t="s">
        <v>22</v>
      </c>
      <c r="J92" t="s">
        <v>23</v>
      </c>
      <c r="K92" t="s">
        <v>24</v>
      </c>
      <c r="L92" t="s">
        <v>95</v>
      </c>
      <c r="M92">
        <v>27</v>
      </c>
      <c r="N92">
        <v>58</v>
      </c>
      <c r="O92">
        <v>1</v>
      </c>
      <c r="P92">
        <v>2</v>
      </c>
      <c r="Q92">
        <v>270</v>
      </c>
      <c r="R92">
        <v>0.57650000000000001</v>
      </c>
      <c r="S92">
        <v>0.98080000000000001</v>
      </c>
      <c r="U92">
        <v>0.40429999999999999</v>
      </c>
      <c r="V92">
        <v>66.55277797484581</v>
      </c>
      <c r="W92">
        <v>14.134519554305621</v>
      </c>
      <c r="X92">
        <v>306.96578336308102</v>
      </c>
      <c r="Y92">
        <v>-97.334216636918995</v>
      </c>
      <c r="Z92">
        <v>-31.708490624113466</v>
      </c>
    </row>
    <row r="93" spans="1:26" x14ac:dyDescent="0.35">
      <c r="A93">
        <v>91</v>
      </c>
      <c r="B93">
        <v>45635</v>
      </c>
      <c r="C93">
        <v>46041</v>
      </c>
      <c r="D93" t="s">
        <v>16</v>
      </c>
      <c r="E93" t="s">
        <v>96</v>
      </c>
      <c r="F93" t="s">
        <v>19</v>
      </c>
      <c r="G93" t="s">
        <v>29</v>
      </c>
      <c r="H93" t="s">
        <v>30</v>
      </c>
      <c r="I93" t="s">
        <v>22</v>
      </c>
      <c r="J93" t="s">
        <v>23</v>
      </c>
      <c r="K93" t="s">
        <v>24</v>
      </c>
      <c r="L93" t="s">
        <v>95</v>
      </c>
      <c r="M93">
        <v>27</v>
      </c>
      <c r="N93">
        <v>58</v>
      </c>
      <c r="O93">
        <v>1</v>
      </c>
      <c r="P93">
        <v>3</v>
      </c>
      <c r="Q93">
        <v>271</v>
      </c>
      <c r="R93">
        <v>0.58730000000000004</v>
      </c>
      <c r="S93">
        <v>0.9889</v>
      </c>
      <c r="U93">
        <v>0.40159999999999996</v>
      </c>
      <c r="V93">
        <v>68.78239557926662</v>
      </c>
      <c r="W93">
        <v>14.622655147321673</v>
      </c>
      <c r="X93">
        <v>306.6591242388422</v>
      </c>
      <c r="Y93">
        <v>-94.94087576115777</v>
      </c>
      <c r="Z93">
        <v>-30.959742677414297</v>
      </c>
    </row>
    <row r="94" spans="1:26" x14ac:dyDescent="0.35">
      <c r="A94">
        <v>92</v>
      </c>
      <c r="B94">
        <v>45635</v>
      </c>
      <c r="C94">
        <v>46041</v>
      </c>
      <c r="D94" t="s">
        <v>16</v>
      </c>
      <c r="E94" t="s">
        <v>98</v>
      </c>
      <c r="F94" t="s">
        <v>99</v>
      </c>
      <c r="G94" t="s">
        <v>100</v>
      </c>
      <c r="H94" t="s">
        <v>101</v>
      </c>
      <c r="I94" t="s">
        <v>22</v>
      </c>
      <c r="J94" t="s">
        <v>23</v>
      </c>
      <c r="K94" t="s">
        <v>24</v>
      </c>
      <c r="L94" t="s">
        <v>97</v>
      </c>
      <c r="M94">
        <v>27</v>
      </c>
      <c r="N94">
        <v>58</v>
      </c>
      <c r="O94">
        <v>1</v>
      </c>
      <c r="P94">
        <v>1</v>
      </c>
      <c r="Q94">
        <v>272</v>
      </c>
      <c r="R94">
        <v>0.59799999999999998</v>
      </c>
      <c r="S94">
        <v>0.85189999999999999</v>
      </c>
      <c r="U94">
        <v>0.25390000000000001</v>
      </c>
      <c r="V94">
        <v>218.55285164801134</v>
      </c>
      <c r="W94">
        <v>46.259187744481736</v>
      </c>
      <c r="X94">
        <v>272.89934817719842</v>
      </c>
      <c r="Y94">
        <v>18.999348177198414</v>
      </c>
      <c r="Z94">
        <v>6.962035015511213</v>
      </c>
    </row>
    <row r="95" spans="1:26" x14ac:dyDescent="0.35">
      <c r="A95">
        <v>93</v>
      </c>
      <c r="B95">
        <v>45635</v>
      </c>
      <c r="C95">
        <v>46041</v>
      </c>
      <c r="D95" t="s">
        <v>16</v>
      </c>
      <c r="E95" t="s">
        <v>98</v>
      </c>
      <c r="F95" t="s">
        <v>99</v>
      </c>
      <c r="G95" t="s">
        <v>100</v>
      </c>
      <c r="H95" t="s">
        <v>101</v>
      </c>
      <c r="I95" t="s">
        <v>22</v>
      </c>
      <c r="J95" t="s">
        <v>23</v>
      </c>
      <c r="K95" t="s">
        <v>24</v>
      </c>
      <c r="L95" t="s">
        <v>97</v>
      </c>
      <c r="M95">
        <v>27</v>
      </c>
      <c r="N95">
        <v>58</v>
      </c>
      <c r="O95">
        <v>1</v>
      </c>
      <c r="P95">
        <v>2</v>
      </c>
      <c r="Q95">
        <v>273</v>
      </c>
      <c r="R95">
        <v>0.5907</v>
      </c>
      <c r="S95">
        <v>0.80830000000000002</v>
      </c>
      <c r="U95">
        <v>0.21760000000000002</v>
      </c>
      <c r="V95">
        <v>254.94732332400577</v>
      </c>
      <c r="W95">
        <v>53.951701922814429</v>
      </c>
      <c r="X95">
        <v>272.95391713304275</v>
      </c>
      <c r="Y95">
        <v>55.353917133042728</v>
      </c>
      <c r="Z95">
        <v>20.279583350350752</v>
      </c>
    </row>
    <row r="96" spans="1:26" x14ac:dyDescent="0.35">
      <c r="A96">
        <v>94</v>
      </c>
      <c r="B96">
        <v>45635</v>
      </c>
      <c r="C96">
        <v>46041</v>
      </c>
      <c r="D96" t="s">
        <v>16</v>
      </c>
      <c r="E96" t="s">
        <v>98</v>
      </c>
      <c r="F96" t="s">
        <v>99</v>
      </c>
      <c r="G96" t="s">
        <v>100</v>
      </c>
      <c r="H96" t="s">
        <v>101</v>
      </c>
      <c r="I96" t="s">
        <v>22</v>
      </c>
      <c r="J96" t="s">
        <v>23</v>
      </c>
      <c r="K96" t="s">
        <v>24</v>
      </c>
      <c r="L96" t="s">
        <v>97</v>
      </c>
      <c r="M96">
        <v>27</v>
      </c>
      <c r="N96">
        <v>58</v>
      </c>
      <c r="O96">
        <v>1</v>
      </c>
      <c r="P96">
        <v>3</v>
      </c>
      <c r="Q96">
        <v>274</v>
      </c>
      <c r="R96">
        <v>0.57350000000000001</v>
      </c>
      <c r="S96">
        <v>0.76170000000000004</v>
      </c>
      <c r="U96">
        <v>0.18820000000000003</v>
      </c>
      <c r="V96">
        <v>284.34732332400574</v>
      </c>
      <c r="W96">
        <v>60.17330101964005</v>
      </c>
      <c r="X96">
        <v>272.95391713304275</v>
      </c>
      <c r="Y96">
        <v>84.753917133042705</v>
      </c>
      <c r="Z96">
        <v>31.050632291066222</v>
      </c>
    </row>
    <row r="97" spans="1:28" x14ac:dyDescent="0.35">
      <c r="A97">
        <v>95</v>
      </c>
      <c r="B97">
        <v>45635</v>
      </c>
      <c r="C97">
        <v>46041</v>
      </c>
      <c r="D97" t="s">
        <v>102</v>
      </c>
      <c r="E97" t="s">
        <v>104</v>
      </c>
      <c r="F97" t="s">
        <v>105</v>
      </c>
      <c r="G97" t="s">
        <v>106</v>
      </c>
      <c r="H97" t="s">
        <v>107</v>
      </c>
      <c r="I97" t="s">
        <v>108</v>
      </c>
      <c r="J97" t="s">
        <v>109</v>
      </c>
      <c r="K97" t="s">
        <v>110</v>
      </c>
      <c r="L97" t="s">
        <v>103</v>
      </c>
      <c r="M97">
        <v>27</v>
      </c>
      <c r="N97">
        <v>58</v>
      </c>
      <c r="O97">
        <v>1</v>
      </c>
      <c r="P97">
        <v>1</v>
      </c>
      <c r="Q97">
        <v>275</v>
      </c>
      <c r="R97">
        <v>0.58020000000000005</v>
      </c>
      <c r="S97">
        <v>0.78359999999999996</v>
      </c>
      <c r="U97">
        <v>0.20339999999999991</v>
      </c>
      <c r="V97">
        <v>281.99325482443317</v>
      </c>
      <c r="W97">
        <v>58.095833022325415</v>
      </c>
      <c r="X97">
        <v>301.59254999144105</v>
      </c>
      <c r="Y97">
        <v>98.192549991441126</v>
      </c>
      <c r="Z97">
        <v>32.558015771353688</v>
      </c>
    </row>
    <row r="98" spans="1:28" x14ac:dyDescent="0.35">
      <c r="A98">
        <v>96</v>
      </c>
      <c r="B98">
        <v>45635</v>
      </c>
      <c r="C98">
        <v>46041</v>
      </c>
      <c r="D98" t="s">
        <v>102</v>
      </c>
      <c r="E98" t="s">
        <v>104</v>
      </c>
      <c r="F98" t="s">
        <v>105</v>
      </c>
      <c r="G98" t="s">
        <v>106</v>
      </c>
      <c r="H98" t="s">
        <v>107</v>
      </c>
      <c r="I98" t="s">
        <v>108</v>
      </c>
      <c r="J98" t="s">
        <v>109</v>
      </c>
      <c r="K98" t="s">
        <v>110</v>
      </c>
      <c r="L98" t="s">
        <v>103</v>
      </c>
      <c r="M98">
        <v>27</v>
      </c>
      <c r="N98">
        <v>58</v>
      </c>
      <c r="O98">
        <v>1</v>
      </c>
      <c r="P98">
        <v>2</v>
      </c>
      <c r="Q98">
        <v>276</v>
      </c>
      <c r="R98">
        <v>0.57379999999999998</v>
      </c>
      <c r="S98">
        <v>0.77700000000000002</v>
      </c>
      <c r="U98">
        <v>0.20320000000000005</v>
      </c>
      <c r="V98">
        <v>281.99925272418352</v>
      </c>
      <c r="W98">
        <v>58.120298236421405</v>
      </c>
      <c r="X98">
        <v>301.47200940391451</v>
      </c>
      <c r="Y98">
        <v>98.272009403914467</v>
      </c>
      <c r="Z98">
        <v>32.597390914739577</v>
      </c>
    </row>
    <row r="99" spans="1:28" x14ac:dyDescent="0.35">
      <c r="A99">
        <v>97</v>
      </c>
      <c r="B99">
        <v>45635</v>
      </c>
      <c r="C99">
        <v>46041</v>
      </c>
      <c r="D99" t="s">
        <v>102</v>
      </c>
      <c r="E99" t="s">
        <v>104</v>
      </c>
      <c r="F99" t="s">
        <v>105</v>
      </c>
      <c r="G99" t="s">
        <v>106</v>
      </c>
      <c r="H99" t="s">
        <v>107</v>
      </c>
      <c r="I99" t="s">
        <v>108</v>
      </c>
      <c r="J99" t="s">
        <v>109</v>
      </c>
      <c r="K99" t="s">
        <v>110</v>
      </c>
      <c r="L99" t="s">
        <v>103</v>
      </c>
      <c r="M99">
        <v>27</v>
      </c>
      <c r="N99">
        <v>58</v>
      </c>
      <c r="O99">
        <v>1</v>
      </c>
      <c r="P99">
        <v>3</v>
      </c>
      <c r="Q99">
        <v>277</v>
      </c>
      <c r="R99">
        <v>0.56820000000000004</v>
      </c>
      <c r="S99">
        <v>0.79720000000000002</v>
      </c>
      <c r="T99" t="s">
        <v>685</v>
      </c>
      <c r="U99">
        <v>0.22899999999999998</v>
      </c>
      <c r="V99">
        <v>256.19925272418357</v>
      </c>
      <c r="W99">
        <v>52.802895158171779</v>
      </c>
      <c r="X99">
        <v>301.47200940391451</v>
      </c>
      <c r="Y99">
        <v>72.472009403914541</v>
      </c>
      <c r="Z99">
        <v>24.03938247773311</v>
      </c>
    </row>
    <row r="100" spans="1:28" x14ac:dyDescent="0.35">
      <c r="A100">
        <v>98</v>
      </c>
      <c r="B100">
        <v>45635</v>
      </c>
      <c r="C100">
        <v>46041</v>
      </c>
      <c r="D100" t="s">
        <v>102</v>
      </c>
      <c r="E100" t="s">
        <v>114</v>
      </c>
      <c r="F100" t="s">
        <v>544</v>
      </c>
      <c r="G100" t="s">
        <v>116</v>
      </c>
      <c r="H100" t="s">
        <v>117</v>
      </c>
      <c r="I100" t="s">
        <v>22</v>
      </c>
      <c r="J100" t="s">
        <v>23</v>
      </c>
      <c r="K100" t="s">
        <v>118</v>
      </c>
      <c r="L100" t="s">
        <v>113</v>
      </c>
      <c r="M100">
        <v>27</v>
      </c>
      <c r="N100">
        <v>58</v>
      </c>
      <c r="O100">
        <v>1</v>
      </c>
      <c r="P100">
        <v>1</v>
      </c>
      <c r="Q100">
        <v>278</v>
      </c>
      <c r="R100">
        <v>0.59650000000000003</v>
      </c>
      <c r="S100">
        <v>0.75080000000000002</v>
      </c>
      <c r="U100">
        <v>0.15429999999999999</v>
      </c>
      <c r="V100">
        <v>313.56036003873044</v>
      </c>
      <c r="W100">
        <v>67.020074112022058</v>
      </c>
      <c r="X100">
        <v>220.8534829562827</v>
      </c>
      <c r="Y100">
        <v>66.553482956282721</v>
      </c>
      <c r="Z100">
        <v>30.134676648706865</v>
      </c>
    </row>
    <row r="101" spans="1:28" x14ac:dyDescent="0.35">
      <c r="A101">
        <v>99</v>
      </c>
      <c r="B101">
        <v>45635</v>
      </c>
      <c r="C101">
        <v>46041</v>
      </c>
      <c r="D101" t="s">
        <v>102</v>
      </c>
      <c r="E101" t="s">
        <v>114</v>
      </c>
      <c r="F101" t="s">
        <v>544</v>
      </c>
      <c r="G101" t="s">
        <v>116</v>
      </c>
      <c r="H101" t="s">
        <v>117</v>
      </c>
      <c r="I101" t="s">
        <v>22</v>
      </c>
      <c r="J101" t="s">
        <v>23</v>
      </c>
      <c r="K101" t="s">
        <v>118</v>
      </c>
      <c r="L101" t="s">
        <v>113</v>
      </c>
      <c r="M101">
        <v>27</v>
      </c>
      <c r="N101">
        <v>58</v>
      </c>
      <c r="O101">
        <v>1</v>
      </c>
      <c r="P101">
        <v>2</v>
      </c>
      <c r="Q101">
        <v>279</v>
      </c>
      <c r="R101">
        <v>0.5897</v>
      </c>
      <c r="S101">
        <v>0.75590000000000002</v>
      </c>
      <c r="U101">
        <v>0.16620000000000001</v>
      </c>
      <c r="V101">
        <v>301.75385731291874</v>
      </c>
      <c r="W101">
        <v>64.483677738152977</v>
      </c>
      <c r="X101">
        <v>220.89761834456331</v>
      </c>
      <c r="Y101">
        <v>54.697618344563296</v>
      </c>
      <c r="Z101">
        <v>24.761524707452555</v>
      </c>
    </row>
    <row r="102" spans="1:28" x14ac:dyDescent="0.35">
      <c r="A102">
        <v>100</v>
      </c>
      <c r="B102">
        <v>45635</v>
      </c>
      <c r="C102">
        <v>46041</v>
      </c>
      <c r="D102" t="s">
        <v>102</v>
      </c>
      <c r="E102" t="s">
        <v>114</v>
      </c>
      <c r="F102" t="s">
        <v>544</v>
      </c>
      <c r="G102" t="s">
        <v>116</v>
      </c>
      <c r="H102" t="s">
        <v>117</v>
      </c>
      <c r="I102" t="s">
        <v>22</v>
      </c>
      <c r="J102" t="s">
        <v>23</v>
      </c>
      <c r="K102" t="s">
        <v>118</v>
      </c>
      <c r="L102" t="s">
        <v>113</v>
      </c>
      <c r="M102">
        <v>27</v>
      </c>
      <c r="N102">
        <v>58</v>
      </c>
      <c r="O102">
        <v>1</v>
      </c>
      <c r="P102">
        <v>3</v>
      </c>
      <c r="Q102">
        <v>280</v>
      </c>
      <c r="R102">
        <v>0.57599999999999996</v>
      </c>
      <c r="S102">
        <v>0.79090000000000005</v>
      </c>
      <c r="U102">
        <v>0.21490000000000009</v>
      </c>
      <c r="V102">
        <v>252.96036003873036</v>
      </c>
      <c r="W102">
        <v>54.067491423678163</v>
      </c>
      <c r="X102">
        <v>220.8534829562827</v>
      </c>
      <c r="Y102">
        <v>5.9534829562826133</v>
      </c>
      <c r="Z102">
        <v>2.6956708477452844</v>
      </c>
    </row>
    <row r="103" spans="1:28" x14ac:dyDescent="0.35">
      <c r="A103">
        <v>101</v>
      </c>
      <c r="B103">
        <v>45635</v>
      </c>
      <c r="C103">
        <v>46041</v>
      </c>
      <c r="D103" t="s">
        <v>120</v>
      </c>
      <c r="E103" t="s">
        <v>122</v>
      </c>
      <c r="F103" t="s">
        <v>123</v>
      </c>
      <c r="G103" t="s">
        <v>545</v>
      </c>
      <c r="H103" t="s">
        <v>125</v>
      </c>
      <c r="I103" t="s">
        <v>108</v>
      </c>
      <c r="J103" t="s">
        <v>109</v>
      </c>
      <c r="K103" t="s">
        <v>110</v>
      </c>
      <c r="L103" t="s">
        <v>121</v>
      </c>
      <c r="M103">
        <v>27</v>
      </c>
      <c r="N103">
        <v>58</v>
      </c>
      <c r="O103">
        <v>1</v>
      </c>
      <c r="P103">
        <v>1</v>
      </c>
      <c r="Q103">
        <v>281</v>
      </c>
      <c r="R103">
        <v>0.58540000000000003</v>
      </c>
      <c r="S103">
        <v>0.83350000000000002</v>
      </c>
      <c r="U103">
        <v>0.24809999999999999</v>
      </c>
      <c r="V103">
        <v>220.02419999999992</v>
      </c>
      <c r="W103">
        <v>47.00124454151269</v>
      </c>
      <c r="X103">
        <v>356.2425161999999</v>
      </c>
      <c r="Y103">
        <v>108.1425161999999</v>
      </c>
      <c r="Z103">
        <v>30.356431723406946</v>
      </c>
    </row>
    <row r="104" spans="1:28" x14ac:dyDescent="0.35">
      <c r="A104">
        <v>102</v>
      </c>
      <c r="B104">
        <v>45635</v>
      </c>
      <c r="C104">
        <v>46041</v>
      </c>
      <c r="D104" t="s">
        <v>120</v>
      </c>
      <c r="E104" t="s">
        <v>122</v>
      </c>
      <c r="F104" t="s">
        <v>123</v>
      </c>
      <c r="G104" t="s">
        <v>545</v>
      </c>
      <c r="H104" t="s">
        <v>125</v>
      </c>
      <c r="I104" t="s">
        <v>108</v>
      </c>
      <c r="J104" t="s">
        <v>109</v>
      </c>
      <c r="K104" t="s">
        <v>110</v>
      </c>
      <c r="L104" t="s">
        <v>121</v>
      </c>
      <c r="M104">
        <v>27</v>
      </c>
      <c r="N104">
        <v>58</v>
      </c>
      <c r="O104">
        <v>1</v>
      </c>
      <c r="P104">
        <v>2</v>
      </c>
      <c r="Q104">
        <v>282</v>
      </c>
      <c r="R104">
        <v>0.55230000000000001</v>
      </c>
      <c r="S104">
        <v>0.84360000000000002</v>
      </c>
      <c r="U104">
        <v>0.2913</v>
      </c>
      <c r="V104">
        <v>176.73064999999997</v>
      </c>
      <c r="W104">
        <v>37.76048641258857</v>
      </c>
      <c r="X104">
        <v>356.17132464999997</v>
      </c>
      <c r="Y104">
        <v>64.871324649999963</v>
      </c>
      <c r="Z104">
        <v>18.213516967921905</v>
      </c>
    </row>
    <row r="105" spans="1:28" x14ac:dyDescent="0.35">
      <c r="A105">
        <v>103</v>
      </c>
      <c r="B105">
        <v>45635</v>
      </c>
      <c r="C105">
        <v>46041</v>
      </c>
      <c r="D105" t="s">
        <v>120</v>
      </c>
      <c r="E105" t="s">
        <v>122</v>
      </c>
      <c r="F105" t="s">
        <v>123</v>
      </c>
      <c r="G105" t="s">
        <v>545</v>
      </c>
      <c r="H105" t="s">
        <v>125</v>
      </c>
      <c r="I105" t="s">
        <v>108</v>
      </c>
      <c r="J105" t="s">
        <v>109</v>
      </c>
      <c r="K105" t="s">
        <v>110</v>
      </c>
      <c r="L105" t="s">
        <v>121</v>
      </c>
      <c r="M105">
        <v>27</v>
      </c>
      <c r="N105">
        <v>58</v>
      </c>
      <c r="O105">
        <v>1</v>
      </c>
      <c r="P105">
        <v>3</v>
      </c>
      <c r="Q105">
        <v>283</v>
      </c>
      <c r="R105">
        <v>0.57830000000000004</v>
      </c>
      <c r="S105">
        <v>0.88260000000000005</v>
      </c>
      <c r="U105">
        <v>0.30430000000000001</v>
      </c>
      <c r="V105">
        <v>163.82419999999991</v>
      </c>
      <c r="W105">
        <v>34.995883571069378</v>
      </c>
      <c r="X105">
        <v>356.2425161999999</v>
      </c>
      <c r="Y105">
        <v>51.942516199999886</v>
      </c>
      <c r="Z105">
        <v>14.580661722824399</v>
      </c>
    </row>
    <row r="106" spans="1:28" x14ac:dyDescent="0.35">
      <c r="A106">
        <v>104</v>
      </c>
      <c r="B106">
        <v>45635</v>
      </c>
      <c r="C106">
        <v>46041</v>
      </c>
      <c r="D106">
        <v>0</v>
      </c>
      <c r="E106" t="s">
        <v>537</v>
      </c>
      <c r="F106" t="s">
        <v>538</v>
      </c>
      <c r="G106">
        <v>24</v>
      </c>
      <c r="H106" t="s">
        <v>537</v>
      </c>
      <c r="I106">
        <v>0</v>
      </c>
      <c r="J106">
        <v>0</v>
      </c>
      <c r="K106">
        <v>0</v>
      </c>
      <c r="L106" t="s">
        <v>539</v>
      </c>
      <c r="M106">
        <v>27</v>
      </c>
      <c r="N106">
        <v>58</v>
      </c>
      <c r="O106">
        <v>1</v>
      </c>
      <c r="P106">
        <v>1</v>
      </c>
      <c r="Q106">
        <v>284</v>
      </c>
    </row>
    <row r="107" spans="1:28" x14ac:dyDescent="0.35">
      <c r="A107">
        <v>105</v>
      </c>
      <c r="B107">
        <v>45635</v>
      </c>
      <c r="C107">
        <v>46041</v>
      </c>
      <c r="D107">
        <v>0</v>
      </c>
      <c r="E107" t="s">
        <v>537</v>
      </c>
      <c r="F107" t="s">
        <v>538</v>
      </c>
      <c r="G107">
        <v>24</v>
      </c>
      <c r="H107" t="s">
        <v>537</v>
      </c>
      <c r="I107">
        <v>0</v>
      </c>
      <c r="J107">
        <v>0</v>
      </c>
      <c r="K107">
        <v>0</v>
      </c>
      <c r="L107" t="s">
        <v>539</v>
      </c>
      <c r="M107">
        <v>27</v>
      </c>
      <c r="N107">
        <v>58</v>
      </c>
      <c r="O107">
        <v>1</v>
      </c>
      <c r="P107">
        <v>2</v>
      </c>
      <c r="Q107">
        <v>285</v>
      </c>
    </row>
    <row r="108" spans="1:28" x14ac:dyDescent="0.35">
      <c r="A108">
        <v>106</v>
      </c>
      <c r="B108">
        <v>45635</v>
      </c>
      <c r="C108">
        <v>46043</v>
      </c>
      <c r="D108">
        <v>0</v>
      </c>
      <c r="E108" t="s">
        <v>537</v>
      </c>
      <c r="F108" t="s">
        <v>538</v>
      </c>
      <c r="G108">
        <v>24</v>
      </c>
      <c r="H108" t="s">
        <v>537</v>
      </c>
      <c r="I108">
        <v>0</v>
      </c>
      <c r="J108">
        <v>0</v>
      </c>
      <c r="K108">
        <v>0</v>
      </c>
      <c r="L108" t="s">
        <v>539</v>
      </c>
      <c r="M108">
        <v>27</v>
      </c>
      <c r="N108">
        <v>59</v>
      </c>
      <c r="O108">
        <v>2</v>
      </c>
      <c r="P108">
        <v>1</v>
      </c>
      <c r="Q108">
        <v>286</v>
      </c>
    </row>
    <row r="109" spans="1:28" x14ac:dyDescent="0.35">
      <c r="A109">
        <v>107</v>
      </c>
      <c r="B109">
        <v>45635</v>
      </c>
      <c r="C109">
        <v>46043</v>
      </c>
      <c r="D109">
        <v>0</v>
      </c>
      <c r="E109" t="s">
        <v>537</v>
      </c>
      <c r="F109" t="s">
        <v>538</v>
      </c>
      <c r="G109">
        <v>24</v>
      </c>
      <c r="H109" t="s">
        <v>537</v>
      </c>
      <c r="I109">
        <v>0</v>
      </c>
      <c r="J109">
        <v>0</v>
      </c>
      <c r="K109">
        <v>0</v>
      </c>
      <c r="L109" t="s">
        <v>539</v>
      </c>
      <c r="M109">
        <v>27</v>
      </c>
      <c r="N109">
        <v>59</v>
      </c>
      <c r="O109">
        <v>2</v>
      </c>
      <c r="P109">
        <v>2</v>
      </c>
      <c r="Q109">
        <v>287</v>
      </c>
    </row>
    <row r="110" spans="1:28" x14ac:dyDescent="0.35">
      <c r="A110">
        <v>108</v>
      </c>
      <c r="B110">
        <v>45635</v>
      </c>
      <c r="C110">
        <v>46043</v>
      </c>
      <c r="D110" t="s">
        <v>16</v>
      </c>
      <c r="E110" t="s">
        <v>18</v>
      </c>
      <c r="F110" t="s">
        <v>19</v>
      </c>
      <c r="G110" t="s">
        <v>20</v>
      </c>
      <c r="H110" t="s">
        <v>21</v>
      </c>
      <c r="I110" t="s">
        <v>22</v>
      </c>
      <c r="J110" t="s">
        <v>23</v>
      </c>
      <c r="K110" t="s">
        <v>24</v>
      </c>
      <c r="L110" t="s">
        <v>17</v>
      </c>
      <c r="M110">
        <v>27</v>
      </c>
      <c r="N110">
        <v>59</v>
      </c>
      <c r="O110">
        <v>2</v>
      </c>
      <c r="P110">
        <v>1</v>
      </c>
      <c r="Q110">
        <v>288</v>
      </c>
      <c r="R110">
        <v>0.58850000000000002</v>
      </c>
      <c r="S110">
        <v>0.89090000000000003</v>
      </c>
      <c r="U110">
        <v>0.3024</v>
      </c>
      <c r="V110">
        <v>172.35634208085838</v>
      </c>
      <c r="W110">
        <v>36.304168434152992</v>
      </c>
      <c r="X110">
        <v>286.77352416960383</v>
      </c>
      <c r="Y110">
        <v>-15.626475830396146</v>
      </c>
      <c r="Z110">
        <v>-5.4490650333377095</v>
      </c>
    </row>
    <row r="111" spans="1:28" x14ac:dyDescent="0.35">
      <c r="A111">
        <v>109</v>
      </c>
      <c r="B111">
        <v>45637</v>
      </c>
      <c r="C111">
        <v>46043</v>
      </c>
      <c r="D111" t="s">
        <v>16</v>
      </c>
      <c r="E111" t="s">
        <v>18</v>
      </c>
      <c r="F111" t="s">
        <v>19</v>
      </c>
      <c r="G111" t="s">
        <v>20</v>
      </c>
      <c r="H111" t="s">
        <v>21</v>
      </c>
      <c r="I111" t="s">
        <v>22</v>
      </c>
      <c r="J111" t="s">
        <v>23</v>
      </c>
      <c r="K111" t="s">
        <v>24</v>
      </c>
      <c r="L111" t="s">
        <v>17</v>
      </c>
      <c r="M111">
        <v>27</v>
      </c>
      <c r="N111">
        <v>59</v>
      </c>
      <c r="O111">
        <v>2</v>
      </c>
      <c r="P111">
        <v>2</v>
      </c>
      <c r="Q111">
        <v>289</v>
      </c>
      <c r="R111">
        <v>0.56789999999999996</v>
      </c>
      <c r="AA111" t="s">
        <v>546</v>
      </c>
      <c r="AB111" t="s">
        <v>677</v>
      </c>
    </row>
    <row r="112" spans="1:28" x14ac:dyDescent="0.35">
      <c r="A112">
        <v>110</v>
      </c>
      <c r="B112">
        <v>45637</v>
      </c>
      <c r="C112">
        <v>46043</v>
      </c>
      <c r="D112" t="s">
        <v>16</v>
      </c>
      <c r="E112" t="s">
        <v>18</v>
      </c>
      <c r="F112" t="s">
        <v>19</v>
      </c>
      <c r="G112" t="s">
        <v>20</v>
      </c>
      <c r="H112" t="s">
        <v>21</v>
      </c>
      <c r="I112" t="s">
        <v>22</v>
      </c>
      <c r="J112" t="s">
        <v>23</v>
      </c>
      <c r="K112" t="s">
        <v>24</v>
      </c>
      <c r="L112" t="s">
        <v>17</v>
      </c>
      <c r="M112">
        <v>27</v>
      </c>
      <c r="N112">
        <v>59</v>
      </c>
      <c r="O112">
        <v>2</v>
      </c>
      <c r="P112">
        <v>3</v>
      </c>
      <c r="Q112">
        <v>290</v>
      </c>
      <c r="R112">
        <v>0.57479999999999998</v>
      </c>
      <c r="S112">
        <v>0.87029999999999996</v>
      </c>
      <c r="U112">
        <v>0.29549999999999998</v>
      </c>
      <c r="V112">
        <v>179.35127436281817</v>
      </c>
      <c r="W112">
        <v>37.76998905678029</v>
      </c>
      <c r="X112">
        <v>286.83086740579057</v>
      </c>
      <c r="Y112">
        <v>-8.6691325942094295</v>
      </c>
      <c r="Z112">
        <v>-3.0223848195336926</v>
      </c>
    </row>
    <row r="113" spans="1:26" x14ac:dyDescent="0.35">
      <c r="A113">
        <v>111</v>
      </c>
      <c r="B113">
        <v>45637</v>
      </c>
      <c r="C113">
        <v>46043</v>
      </c>
      <c r="D113" t="s">
        <v>16</v>
      </c>
      <c r="E113" t="s">
        <v>28</v>
      </c>
      <c r="F113" t="s">
        <v>19</v>
      </c>
      <c r="G113" t="s">
        <v>29</v>
      </c>
      <c r="H113" t="s">
        <v>30</v>
      </c>
      <c r="I113" t="s">
        <v>22</v>
      </c>
      <c r="J113" t="s">
        <v>23</v>
      </c>
      <c r="K113" t="s">
        <v>24</v>
      </c>
      <c r="L113" t="s">
        <v>27</v>
      </c>
      <c r="M113">
        <v>27</v>
      </c>
      <c r="N113">
        <v>59</v>
      </c>
      <c r="O113">
        <v>2</v>
      </c>
      <c r="P113">
        <v>1</v>
      </c>
      <c r="Q113">
        <v>291</v>
      </c>
      <c r="R113">
        <v>0.58279999999999998</v>
      </c>
      <c r="S113">
        <v>0.91569999999999996</v>
      </c>
      <c r="U113">
        <v>0.33289999999999997</v>
      </c>
      <c r="V113">
        <v>142.6138416067414</v>
      </c>
      <c r="W113">
        <v>29.99152267047689</v>
      </c>
      <c r="X113">
        <v>270.47012315350889</v>
      </c>
      <c r="Y113">
        <v>-62.429876846491084</v>
      </c>
      <c r="Z113">
        <v>-23.081986327583465</v>
      </c>
    </row>
    <row r="114" spans="1:26" x14ac:dyDescent="0.35">
      <c r="A114">
        <v>112</v>
      </c>
      <c r="B114">
        <v>45637</v>
      </c>
      <c r="C114">
        <v>46043</v>
      </c>
      <c r="D114" t="s">
        <v>16</v>
      </c>
      <c r="E114" t="s">
        <v>28</v>
      </c>
      <c r="F114" t="s">
        <v>19</v>
      </c>
      <c r="G114" t="s">
        <v>29</v>
      </c>
      <c r="H114" t="s">
        <v>30</v>
      </c>
      <c r="I114" t="s">
        <v>22</v>
      </c>
      <c r="J114" t="s">
        <v>23</v>
      </c>
      <c r="K114" t="s">
        <v>24</v>
      </c>
      <c r="L114" t="s">
        <v>27</v>
      </c>
      <c r="M114">
        <v>27</v>
      </c>
      <c r="N114">
        <v>59</v>
      </c>
      <c r="O114">
        <v>2</v>
      </c>
      <c r="P114">
        <v>2</v>
      </c>
      <c r="Q114">
        <v>292</v>
      </c>
      <c r="R114">
        <v>0.56720000000000004</v>
      </c>
      <c r="S114">
        <v>0.88370000000000004</v>
      </c>
      <c r="U114">
        <v>0.3165</v>
      </c>
      <c r="V114">
        <v>159.10888734761824</v>
      </c>
      <c r="W114">
        <v>33.453724600256891</v>
      </c>
      <c r="X114">
        <v>270.52418474118701</v>
      </c>
      <c r="Y114">
        <v>-45.975815258812986</v>
      </c>
      <c r="Z114">
        <v>-16.995085043061298</v>
      </c>
    </row>
    <row r="115" spans="1:26" x14ac:dyDescent="0.35">
      <c r="A115">
        <v>113</v>
      </c>
      <c r="B115">
        <v>45637</v>
      </c>
      <c r="C115">
        <v>46043</v>
      </c>
      <c r="D115" t="s">
        <v>16</v>
      </c>
      <c r="E115" t="s">
        <v>28</v>
      </c>
      <c r="F115" t="s">
        <v>19</v>
      </c>
      <c r="G115" t="s">
        <v>29</v>
      </c>
      <c r="H115" t="s">
        <v>30</v>
      </c>
      <c r="I115" t="s">
        <v>22</v>
      </c>
      <c r="J115" t="s">
        <v>23</v>
      </c>
      <c r="K115" t="s">
        <v>24</v>
      </c>
      <c r="L115" t="s">
        <v>27</v>
      </c>
      <c r="M115">
        <v>27</v>
      </c>
      <c r="N115">
        <v>59</v>
      </c>
      <c r="O115">
        <v>2</v>
      </c>
      <c r="P115">
        <v>3</v>
      </c>
      <c r="Q115">
        <v>293</v>
      </c>
      <c r="R115">
        <v>0.57699999999999996</v>
      </c>
      <c r="S115">
        <v>0.9012</v>
      </c>
      <c r="U115">
        <v>0.32420000000000004</v>
      </c>
      <c r="V115">
        <v>151.31384160674133</v>
      </c>
      <c r="W115">
        <v>31.821122408436775</v>
      </c>
      <c r="X115">
        <v>270.47012315350889</v>
      </c>
      <c r="Y115">
        <v>-53.729876846491152</v>
      </c>
      <c r="Z115">
        <v>-19.865364876547215</v>
      </c>
    </row>
    <row r="116" spans="1:26" x14ac:dyDescent="0.35">
      <c r="A116">
        <v>114</v>
      </c>
      <c r="B116">
        <v>45637</v>
      </c>
      <c r="C116">
        <v>46043</v>
      </c>
      <c r="D116" t="s">
        <v>16</v>
      </c>
      <c r="E116" t="s">
        <v>32</v>
      </c>
      <c r="F116" t="s">
        <v>19</v>
      </c>
      <c r="G116" t="s">
        <v>20</v>
      </c>
      <c r="H116" t="s">
        <v>21</v>
      </c>
      <c r="I116" t="s">
        <v>22</v>
      </c>
      <c r="J116" t="s">
        <v>23</v>
      </c>
      <c r="K116" t="s">
        <v>24</v>
      </c>
      <c r="L116" t="s">
        <v>31</v>
      </c>
      <c r="M116">
        <v>27</v>
      </c>
      <c r="N116">
        <v>59</v>
      </c>
      <c r="O116">
        <v>2</v>
      </c>
      <c r="P116">
        <v>1</v>
      </c>
      <c r="Q116">
        <v>294</v>
      </c>
      <c r="R116">
        <v>0.59940000000000004</v>
      </c>
      <c r="S116">
        <v>0.90559999999999996</v>
      </c>
      <c r="U116">
        <v>0.30619999999999992</v>
      </c>
      <c r="V116">
        <v>166.05670079627248</v>
      </c>
      <c r="W116">
        <v>35.16238107713118</v>
      </c>
      <c r="X116">
        <v>283.08948511392174</v>
      </c>
      <c r="Y116">
        <v>-23.110514886078192</v>
      </c>
      <c r="Z116">
        <v>-8.1636783071536509</v>
      </c>
    </row>
    <row r="117" spans="1:26" x14ac:dyDescent="0.35">
      <c r="A117">
        <v>115</v>
      </c>
      <c r="B117">
        <v>45637</v>
      </c>
      <c r="C117">
        <v>46043</v>
      </c>
      <c r="D117" t="s">
        <v>16</v>
      </c>
      <c r="E117" t="s">
        <v>32</v>
      </c>
      <c r="F117" t="s">
        <v>19</v>
      </c>
      <c r="G117" t="s">
        <v>20</v>
      </c>
      <c r="H117" t="s">
        <v>21</v>
      </c>
      <c r="I117" t="s">
        <v>22</v>
      </c>
      <c r="J117" t="s">
        <v>23</v>
      </c>
      <c r="K117" t="s">
        <v>24</v>
      </c>
      <c r="L117" t="s">
        <v>31</v>
      </c>
      <c r="M117">
        <v>27</v>
      </c>
      <c r="N117">
        <v>59</v>
      </c>
      <c r="O117">
        <v>2</v>
      </c>
      <c r="P117">
        <v>2</v>
      </c>
      <c r="Q117">
        <v>295</v>
      </c>
      <c r="R117">
        <v>0.56950000000000001</v>
      </c>
      <c r="S117">
        <v>0.85140000000000005</v>
      </c>
      <c r="U117">
        <v>0.28190000000000004</v>
      </c>
      <c r="V117">
        <v>190.16798682992027</v>
      </c>
      <c r="W117">
        <v>40.28402521148616</v>
      </c>
      <c r="X117">
        <v>282.97636244254755</v>
      </c>
      <c r="Y117">
        <v>1.07636244254752</v>
      </c>
      <c r="Z117">
        <v>0.3803718562415449</v>
      </c>
    </row>
    <row r="118" spans="1:26" x14ac:dyDescent="0.35">
      <c r="A118">
        <v>116</v>
      </c>
      <c r="B118">
        <v>45637</v>
      </c>
      <c r="C118">
        <v>46043</v>
      </c>
      <c r="D118" t="s">
        <v>16</v>
      </c>
      <c r="E118" t="s">
        <v>32</v>
      </c>
      <c r="F118" t="s">
        <v>19</v>
      </c>
      <c r="G118" t="s">
        <v>20</v>
      </c>
      <c r="H118" t="s">
        <v>21</v>
      </c>
      <c r="I118" t="s">
        <v>22</v>
      </c>
      <c r="J118" t="s">
        <v>23</v>
      </c>
      <c r="K118" t="s">
        <v>24</v>
      </c>
      <c r="L118" t="s">
        <v>31</v>
      </c>
      <c r="M118">
        <v>27</v>
      </c>
      <c r="N118">
        <v>59</v>
      </c>
      <c r="O118">
        <v>2</v>
      </c>
      <c r="P118">
        <v>3</v>
      </c>
      <c r="Q118">
        <v>296</v>
      </c>
      <c r="R118">
        <v>0.57909999999999995</v>
      </c>
      <c r="S118">
        <v>0.88229999999999997</v>
      </c>
      <c r="U118">
        <v>0.30320000000000003</v>
      </c>
      <c r="V118">
        <v>168.96234381309631</v>
      </c>
      <c r="W118">
        <v>35.784798603079501</v>
      </c>
      <c r="X118">
        <v>283.03292377823465</v>
      </c>
      <c r="Y118">
        <v>-20.167076221765399</v>
      </c>
      <c r="Z118">
        <v>-7.1253463917035127</v>
      </c>
    </row>
    <row r="119" spans="1:26" x14ac:dyDescent="0.35">
      <c r="A119">
        <v>117</v>
      </c>
      <c r="B119">
        <v>45637</v>
      </c>
      <c r="C119">
        <v>46043</v>
      </c>
      <c r="D119" t="s">
        <v>16</v>
      </c>
      <c r="E119" t="s">
        <v>34</v>
      </c>
      <c r="F119" t="s">
        <v>19</v>
      </c>
      <c r="G119" t="s">
        <v>29</v>
      </c>
      <c r="H119" t="s">
        <v>30</v>
      </c>
      <c r="I119" t="s">
        <v>22</v>
      </c>
      <c r="J119" t="s">
        <v>23</v>
      </c>
      <c r="K119" t="s">
        <v>24</v>
      </c>
      <c r="L119" t="s">
        <v>33</v>
      </c>
      <c r="M119">
        <v>27</v>
      </c>
      <c r="N119">
        <v>59</v>
      </c>
      <c r="O119">
        <v>2</v>
      </c>
      <c r="P119">
        <v>1</v>
      </c>
      <c r="Q119">
        <v>297</v>
      </c>
      <c r="R119">
        <v>0.60509999999999997</v>
      </c>
      <c r="S119">
        <v>0.98909999999999998</v>
      </c>
      <c r="U119">
        <v>0.38400000000000001</v>
      </c>
      <c r="V119">
        <v>87.039742046210108</v>
      </c>
      <c r="W119">
        <v>18.478216226110135</v>
      </c>
      <c r="X119">
        <v>303.14705860801047</v>
      </c>
      <c r="Y119">
        <v>-80.852941391989532</v>
      </c>
      <c r="Z119">
        <v>-26.671194424003243</v>
      </c>
    </row>
    <row r="120" spans="1:26" x14ac:dyDescent="0.35">
      <c r="A120">
        <v>118</v>
      </c>
      <c r="B120">
        <v>45637</v>
      </c>
      <c r="C120">
        <v>46043</v>
      </c>
      <c r="D120" t="s">
        <v>16</v>
      </c>
      <c r="E120" t="s">
        <v>34</v>
      </c>
      <c r="F120" t="s">
        <v>19</v>
      </c>
      <c r="G120" t="s">
        <v>29</v>
      </c>
      <c r="H120" t="s">
        <v>30</v>
      </c>
      <c r="I120" t="s">
        <v>22</v>
      </c>
      <c r="J120" t="s">
        <v>23</v>
      </c>
      <c r="K120" t="s">
        <v>24</v>
      </c>
      <c r="L120" t="s">
        <v>33</v>
      </c>
      <c r="M120">
        <v>27</v>
      </c>
      <c r="N120">
        <v>59</v>
      </c>
      <c r="O120">
        <v>2</v>
      </c>
      <c r="P120">
        <v>2</v>
      </c>
      <c r="Q120">
        <v>298</v>
      </c>
      <c r="R120">
        <v>0.57369999999999999</v>
      </c>
      <c r="S120">
        <v>0.93340000000000001</v>
      </c>
      <c r="U120">
        <v>0.35970000000000002</v>
      </c>
      <c r="V120">
        <v>110.96321147702844</v>
      </c>
      <c r="W120">
        <v>23.575926218836031</v>
      </c>
      <c r="X120">
        <v>302.90473482015432</v>
      </c>
      <c r="Y120">
        <v>-56.795265179845728</v>
      </c>
      <c r="Z120">
        <v>-18.750207128180801</v>
      </c>
    </row>
    <row r="121" spans="1:26" x14ac:dyDescent="0.35">
      <c r="A121">
        <v>119</v>
      </c>
      <c r="B121">
        <v>45637</v>
      </c>
      <c r="C121">
        <v>46043</v>
      </c>
      <c r="D121" t="s">
        <v>16</v>
      </c>
      <c r="E121" t="s">
        <v>34</v>
      </c>
      <c r="F121" t="s">
        <v>19</v>
      </c>
      <c r="G121" t="s">
        <v>29</v>
      </c>
      <c r="H121" t="s">
        <v>30</v>
      </c>
      <c r="I121" t="s">
        <v>22</v>
      </c>
      <c r="J121" t="s">
        <v>23</v>
      </c>
      <c r="K121" t="s">
        <v>24</v>
      </c>
      <c r="L121" t="s">
        <v>33</v>
      </c>
      <c r="M121">
        <v>27</v>
      </c>
      <c r="N121">
        <v>59</v>
      </c>
      <c r="O121">
        <v>2</v>
      </c>
      <c r="P121">
        <v>3</v>
      </c>
      <c r="Q121">
        <v>299</v>
      </c>
      <c r="R121">
        <v>0.56730000000000003</v>
      </c>
      <c r="S121">
        <v>0.9274</v>
      </c>
      <c r="U121">
        <v>0.36009999999999998</v>
      </c>
      <c r="V121">
        <v>110.93974204621014</v>
      </c>
      <c r="W121">
        <v>23.55209808078714</v>
      </c>
      <c r="X121">
        <v>303.14705860801047</v>
      </c>
      <c r="Y121">
        <v>-56.952941391989498</v>
      </c>
      <c r="Z121">
        <v>-18.787232062717614</v>
      </c>
    </row>
    <row r="122" spans="1:26" x14ac:dyDescent="0.35">
      <c r="A122">
        <v>120</v>
      </c>
      <c r="B122">
        <v>45637</v>
      </c>
      <c r="C122">
        <v>46043</v>
      </c>
      <c r="D122" t="s">
        <v>16</v>
      </c>
      <c r="E122" t="s">
        <v>36</v>
      </c>
      <c r="F122" t="s">
        <v>19</v>
      </c>
      <c r="G122" t="s">
        <v>20</v>
      </c>
      <c r="H122" t="s">
        <v>21</v>
      </c>
      <c r="I122" t="s">
        <v>22</v>
      </c>
      <c r="J122" t="s">
        <v>23</v>
      </c>
      <c r="K122" t="s">
        <v>24</v>
      </c>
      <c r="L122" t="s">
        <v>35</v>
      </c>
      <c r="M122">
        <v>27</v>
      </c>
      <c r="N122">
        <v>59</v>
      </c>
      <c r="O122">
        <v>2</v>
      </c>
      <c r="P122">
        <v>1</v>
      </c>
      <c r="Q122">
        <v>300</v>
      </c>
      <c r="R122">
        <v>0.59919999999999995</v>
      </c>
      <c r="S122">
        <v>1.0286999999999999</v>
      </c>
      <c r="U122">
        <v>0.42949999999999999</v>
      </c>
      <c r="V122">
        <v>42.262136845203599</v>
      </c>
      <c r="W122">
        <v>8.9583570923731877</v>
      </c>
      <c r="X122">
        <v>300.08094060931745</v>
      </c>
      <c r="Y122">
        <v>-129.41905939068255</v>
      </c>
      <c r="Z122">
        <v>-43.128050427959806</v>
      </c>
    </row>
    <row r="123" spans="1:26" x14ac:dyDescent="0.35">
      <c r="A123">
        <v>121</v>
      </c>
      <c r="B123">
        <v>45637</v>
      </c>
      <c r="C123">
        <v>46043</v>
      </c>
      <c r="D123" t="s">
        <v>16</v>
      </c>
      <c r="E123" t="s">
        <v>36</v>
      </c>
      <c r="F123" t="s">
        <v>19</v>
      </c>
      <c r="G123" t="s">
        <v>20</v>
      </c>
      <c r="H123" t="s">
        <v>21</v>
      </c>
      <c r="I123" t="s">
        <v>22</v>
      </c>
      <c r="J123" t="s">
        <v>23</v>
      </c>
      <c r="K123" t="s">
        <v>24</v>
      </c>
      <c r="L123" t="s">
        <v>35</v>
      </c>
      <c r="M123">
        <v>27</v>
      </c>
      <c r="N123">
        <v>59</v>
      </c>
      <c r="O123">
        <v>2</v>
      </c>
      <c r="P123">
        <v>2</v>
      </c>
      <c r="Q123">
        <v>301</v>
      </c>
      <c r="R123">
        <v>0.58179999999999998</v>
      </c>
      <c r="S123">
        <v>0.92179999999999995</v>
      </c>
      <c r="U123">
        <v>0.33999999999999997</v>
      </c>
      <c r="V123">
        <v>131.47924929562623</v>
      </c>
      <c r="W123">
        <v>27.886539967994718</v>
      </c>
      <c r="X123">
        <v>299.90100000931182</v>
      </c>
      <c r="Y123">
        <v>-40.098999990688128</v>
      </c>
      <c r="Z123">
        <v>-13.370745675887399</v>
      </c>
    </row>
    <row r="124" spans="1:26" x14ac:dyDescent="0.35">
      <c r="A124">
        <v>122</v>
      </c>
      <c r="B124">
        <v>45637</v>
      </c>
      <c r="C124">
        <v>46043</v>
      </c>
      <c r="D124" t="s">
        <v>16</v>
      </c>
      <c r="E124" t="s">
        <v>36</v>
      </c>
      <c r="F124" t="s">
        <v>19</v>
      </c>
      <c r="G124" t="s">
        <v>20</v>
      </c>
      <c r="H124" t="s">
        <v>21</v>
      </c>
      <c r="I124" t="s">
        <v>22</v>
      </c>
      <c r="J124" t="s">
        <v>23</v>
      </c>
      <c r="K124" t="s">
        <v>24</v>
      </c>
      <c r="L124" t="s">
        <v>35</v>
      </c>
      <c r="M124">
        <v>27</v>
      </c>
      <c r="N124">
        <v>59</v>
      </c>
      <c r="O124">
        <v>2</v>
      </c>
      <c r="P124">
        <v>3</v>
      </c>
      <c r="Q124">
        <v>302</v>
      </c>
      <c r="R124">
        <v>0.57299999999999995</v>
      </c>
      <c r="S124">
        <v>0.92020000000000002</v>
      </c>
      <c r="U124">
        <v>0.34720000000000006</v>
      </c>
      <c r="V124">
        <v>124.65643269506262</v>
      </c>
      <c r="W124">
        <v>26.418296765198889</v>
      </c>
      <c r="X124">
        <v>300.14092080931931</v>
      </c>
      <c r="Y124">
        <v>-47.059079190680734</v>
      </c>
      <c r="Z124">
        <v>-15.678994741465976</v>
      </c>
    </row>
    <row r="125" spans="1:26" x14ac:dyDescent="0.35">
      <c r="A125">
        <v>123</v>
      </c>
      <c r="B125">
        <v>45637</v>
      </c>
      <c r="C125">
        <v>46043</v>
      </c>
      <c r="D125" t="s">
        <v>16</v>
      </c>
      <c r="E125" t="s">
        <v>38</v>
      </c>
      <c r="F125" t="s">
        <v>19</v>
      </c>
      <c r="G125" t="s">
        <v>20</v>
      </c>
      <c r="H125" t="s">
        <v>21</v>
      </c>
      <c r="I125" t="s">
        <v>22</v>
      </c>
      <c r="J125" t="s">
        <v>23</v>
      </c>
      <c r="K125" t="s">
        <v>24</v>
      </c>
      <c r="L125" t="s">
        <v>37</v>
      </c>
      <c r="M125">
        <v>27</v>
      </c>
      <c r="N125">
        <v>59</v>
      </c>
      <c r="O125">
        <v>2</v>
      </c>
      <c r="P125">
        <v>1</v>
      </c>
      <c r="Q125">
        <v>303</v>
      </c>
      <c r="R125">
        <v>0.54169999999999996</v>
      </c>
      <c r="S125">
        <v>0.90720000000000001</v>
      </c>
      <c r="U125">
        <v>0.36550000000000005</v>
      </c>
      <c r="V125">
        <v>97.94079313091288</v>
      </c>
      <c r="W125">
        <v>21.133399256730197</v>
      </c>
      <c r="X125">
        <v>311.52272310093059</v>
      </c>
      <c r="Y125">
        <v>-53.977276899069466</v>
      </c>
      <c r="Z125">
        <v>-17.326914827199076</v>
      </c>
    </row>
    <row r="126" spans="1:26" x14ac:dyDescent="0.35">
      <c r="A126">
        <v>124</v>
      </c>
      <c r="B126">
        <v>45637</v>
      </c>
      <c r="C126">
        <v>46043</v>
      </c>
      <c r="D126" t="s">
        <v>16</v>
      </c>
      <c r="E126" t="s">
        <v>38</v>
      </c>
      <c r="F126" t="s">
        <v>19</v>
      </c>
      <c r="G126" t="s">
        <v>20</v>
      </c>
      <c r="H126" t="s">
        <v>21</v>
      </c>
      <c r="I126" t="s">
        <v>22</v>
      </c>
      <c r="J126" t="s">
        <v>23</v>
      </c>
      <c r="K126" t="s">
        <v>24</v>
      </c>
      <c r="L126" t="s">
        <v>37</v>
      </c>
      <c r="M126">
        <v>27</v>
      </c>
      <c r="N126">
        <v>59</v>
      </c>
      <c r="O126">
        <v>2</v>
      </c>
      <c r="P126">
        <v>2</v>
      </c>
      <c r="Q126">
        <v>304</v>
      </c>
      <c r="R126">
        <v>0.55369999999999997</v>
      </c>
      <c r="S126">
        <v>0.95199999999999996</v>
      </c>
      <c r="U126">
        <v>0.39829999999999999</v>
      </c>
      <c r="V126">
        <v>65.233425709991593</v>
      </c>
      <c r="W126">
        <v>14.073079111840514</v>
      </c>
      <c r="X126">
        <v>311.58499028524017</v>
      </c>
      <c r="Y126">
        <v>-86.715009714759844</v>
      </c>
      <c r="Z126">
        <v>-27.830291066131487</v>
      </c>
    </row>
    <row r="127" spans="1:26" x14ac:dyDescent="0.35">
      <c r="A127">
        <v>125</v>
      </c>
      <c r="B127">
        <v>45637</v>
      </c>
      <c r="C127">
        <v>46043</v>
      </c>
      <c r="D127" t="s">
        <v>16</v>
      </c>
      <c r="E127" t="s">
        <v>38</v>
      </c>
      <c r="F127" t="s">
        <v>19</v>
      </c>
      <c r="G127" t="s">
        <v>20</v>
      </c>
      <c r="H127" t="s">
        <v>21</v>
      </c>
      <c r="I127" t="s">
        <v>22</v>
      </c>
      <c r="J127" t="s">
        <v>23</v>
      </c>
      <c r="K127" t="s">
        <v>24</v>
      </c>
      <c r="L127" t="s">
        <v>37</v>
      </c>
      <c r="M127">
        <v>27</v>
      </c>
      <c r="N127">
        <v>59</v>
      </c>
      <c r="O127">
        <v>2</v>
      </c>
      <c r="P127">
        <v>3</v>
      </c>
      <c r="Q127">
        <v>305</v>
      </c>
      <c r="R127">
        <v>0.56259999999999999</v>
      </c>
      <c r="S127">
        <v>1.0185</v>
      </c>
      <c r="U127">
        <v>0.45589999999999997</v>
      </c>
      <c r="V127">
        <v>7.3555279727555103</v>
      </c>
      <c r="W127">
        <v>1.5877906530212191</v>
      </c>
      <c r="X127">
        <v>311.39818873231144</v>
      </c>
      <c r="Y127">
        <v>-144.50181126768854</v>
      </c>
      <c r="Z127">
        <v>-46.404191320427771</v>
      </c>
    </row>
    <row r="128" spans="1:26" x14ac:dyDescent="0.35">
      <c r="A128">
        <v>126</v>
      </c>
      <c r="B128">
        <v>45637</v>
      </c>
      <c r="C128">
        <v>46043</v>
      </c>
      <c r="D128" t="s">
        <v>16</v>
      </c>
      <c r="E128" t="s">
        <v>40</v>
      </c>
      <c r="F128" t="s">
        <v>19</v>
      </c>
      <c r="G128" t="s">
        <v>20</v>
      </c>
      <c r="H128" t="s">
        <v>21</v>
      </c>
      <c r="I128" t="s">
        <v>22</v>
      </c>
      <c r="J128" t="s">
        <v>23</v>
      </c>
      <c r="K128" t="s">
        <v>24</v>
      </c>
      <c r="L128" t="s">
        <v>39</v>
      </c>
      <c r="M128">
        <v>27</v>
      </c>
      <c r="N128">
        <v>59</v>
      </c>
      <c r="O128">
        <v>2</v>
      </c>
      <c r="P128">
        <v>1</v>
      </c>
      <c r="Q128">
        <v>306</v>
      </c>
      <c r="R128">
        <v>0.57040000000000002</v>
      </c>
      <c r="S128">
        <v>0.92500000000000004</v>
      </c>
      <c r="U128">
        <v>0.35460000000000003</v>
      </c>
      <c r="V128">
        <v>118.75802098950498</v>
      </c>
      <c r="W128">
        <v>25.088414207338005</v>
      </c>
      <c r="X128">
        <v>320.75215772572801</v>
      </c>
      <c r="Y128">
        <v>-33.847842274272011</v>
      </c>
      <c r="Z128">
        <v>-10.552646789430163</v>
      </c>
    </row>
    <row r="129" spans="1:28" x14ac:dyDescent="0.35">
      <c r="A129">
        <v>127</v>
      </c>
      <c r="B129">
        <v>45637</v>
      </c>
      <c r="C129">
        <v>46043</v>
      </c>
      <c r="D129" t="s">
        <v>16</v>
      </c>
      <c r="E129" t="s">
        <v>40</v>
      </c>
      <c r="F129" t="s">
        <v>19</v>
      </c>
      <c r="G129" t="s">
        <v>20</v>
      </c>
      <c r="H129" t="s">
        <v>21</v>
      </c>
      <c r="I129" t="s">
        <v>22</v>
      </c>
      <c r="J129" t="s">
        <v>23</v>
      </c>
      <c r="K129" t="s">
        <v>24</v>
      </c>
      <c r="L129" t="s">
        <v>39</v>
      </c>
      <c r="M129">
        <v>27</v>
      </c>
      <c r="N129">
        <v>59</v>
      </c>
      <c r="O129">
        <v>2</v>
      </c>
      <c r="P129">
        <v>2</v>
      </c>
      <c r="Q129">
        <v>307</v>
      </c>
      <c r="R129">
        <v>0.57089999999999996</v>
      </c>
      <c r="S129">
        <v>0.95779999999999998</v>
      </c>
      <c r="U129">
        <v>0.38690000000000002</v>
      </c>
      <c r="V129">
        <v>86.458020989504973</v>
      </c>
      <c r="W129">
        <v>18.2648264433702</v>
      </c>
      <c r="X129">
        <v>320.75215772572801</v>
      </c>
      <c r="Y129">
        <v>-66.147842274272023</v>
      </c>
      <c r="Z129">
        <v>-20.62272713714194</v>
      </c>
    </row>
    <row r="130" spans="1:28" x14ac:dyDescent="0.35">
      <c r="A130">
        <v>128</v>
      </c>
      <c r="B130">
        <v>45637</v>
      </c>
      <c r="C130">
        <v>46043</v>
      </c>
      <c r="D130" t="s">
        <v>16</v>
      </c>
      <c r="E130" t="s">
        <v>40</v>
      </c>
      <c r="F130" t="s">
        <v>19</v>
      </c>
      <c r="G130" t="s">
        <v>20</v>
      </c>
      <c r="H130" t="s">
        <v>21</v>
      </c>
      <c r="I130" t="s">
        <v>22</v>
      </c>
      <c r="J130" t="s">
        <v>23</v>
      </c>
      <c r="K130" t="s">
        <v>24</v>
      </c>
      <c r="L130" t="s">
        <v>39</v>
      </c>
      <c r="M130">
        <v>27</v>
      </c>
      <c r="N130">
        <v>59</v>
      </c>
      <c r="O130">
        <v>2</v>
      </c>
      <c r="P130">
        <v>3</v>
      </c>
      <c r="Q130">
        <v>308</v>
      </c>
      <c r="R130">
        <v>0.57789999999999997</v>
      </c>
      <c r="S130">
        <v>0.9365</v>
      </c>
      <c r="U130">
        <v>0.35860000000000003</v>
      </c>
      <c r="V130">
        <v>114.85267366316816</v>
      </c>
      <c r="W130">
        <v>24.258533123181518</v>
      </c>
      <c r="X130">
        <v>320.81629532975234</v>
      </c>
      <c r="Y130">
        <v>-37.783704670247687</v>
      </c>
      <c r="Z130">
        <v>-11.777364560429062</v>
      </c>
    </row>
    <row r="131" spans="1:28" x14ac:dyDescent="0.35">
      <c r="A131">
        <v>129</v>
      </c>
      <c r="B131">
        <v>45637</v>
      </c>
      <c r="C131">
        <v>46043</v>
      </c>
      <c r="D131" t="s">
        <v>16</v>
      </c>
      <c r="E131" t="s">
        <v>42</v>
      </c>
      <c r="F131" t="s">
        <v>19</v>
      </c>
      <c r="G131" t="s">
        <v>20</v>
      </c>
      <c r="H131" t="s">
        <v>21</v>
      </c>
      <c r="I131" t="s">
        <v>22</v>
      </c>
      <c r="J131" t="s">
        <v>23</v>
      </c>
      <c r="K131" t="s">
        <v>24</v>
      </c>
      <c r="L131" t="s">
        <v>41</v>
      </c>
      <c r="M131">
        <v>27</v>
      </c>
      <c r="N131">
        <v>59</v>
      </c>
      <c r="O131">
        <v>2</v>
      </c>
      <c r="P131">
        <v>1</v>
      </c>
      <c r="Q131">
        <v>309</v>
      </c>
      <c r="R131">
        <v>0.58930000000000005</v>
      </c>
      <c r="S131">
        <v>0.98150000000000004</v>
      </c>
      <c r="U131">
        <v>0.39219999999999999</v>
      </c>
      <c r="V131">
        <v>82.830025236806534</v>
      </c>
      <c r="W131">
        <v>17.436797851991578</v>
      </c>
      <c r="X131">
        <v>319.29987701925063</v>
      </c>
      <c r="Y131">
        <v>-72.900122980749359</v>
      </c>
      <c r="Z131">
        <v>-22.831240544559996</v>
      </c>
    </row>
    <row r="132" spans="1:28" x14ac:dyDescent="0.35">
      <c r="A132">
        <v>130</v>
      </c>
      <c r="B132">
        <v>45637</v>
      </c>
      <c r="C132">
        <v>46043</v>
      </c>
      <c r="D132" t="s">
        <v>16</v>
      </c>
      <c r="E132" t="s">
        <v>42</v>
      </c>
      <c r="F132" t="s">
        <v>19</v>
      </c>
      <c r="G132" t="s">
        <v>20</v>
      </c>
      <c r="H132" t="s">
        <v>21</v>
      </c>
      <c r="I132" t="s">
        <v>22</v>
      </c>
      <c r="J132" t="s">
        <v>23</v>
      </c>
      <c r="K132" t="s">
        <v>24</v>
      </c>
      <c r="L132" t="s">
        <v>41</v>
      </c>
      <c r="M132">
        <v>27</v>
      </c>
      <c r="N132">
        <v>59</v>
      </c>
      <c r="O132">
        <v>2</v>
      </c>
      <c r="P132">
        <v>2</v>
      </c>
      <c r="Q132">
        <v>310</v>
      </c>
      <c r="R132">
        <v>0.57599999999999996</v>
      </c>
      <c r="S132">
        <v>1.0707</v>
      </c>
      <c r="AA132" t="s">
        <v>546</v>
      </c>
      <c r="AB132" t="s">
        <v>677</v>
      </c>
    </row>
    <row r="133" spans="1:28" x14ac:dyDescent="0.35">
      <c r="A133">
        <v>131</v>
      </c>
      <c r="B133">
        <v>45637</v>
      </c>
      <c r="C133">
        <v>46043</v>
      </c>
      <c r="D133" t="s">
        <v>16</v>
      </c>
      <c r="E133" t="s">
        <v>42</v>
      </c>
      <c r="F133" t="s">
        <v>19</v>
      </c>
      <c r="G133" t="s">
        <v>20</v>
      </c>
      <c r="H133" t="s">
        <v>21</v>
      </c>
      <c r="I133" t="s">
        <v>22</v>
      </c>
      <c r="J133" t="s">
        <v>23</v>
      </c>
      <c r="K133" t="s">
        <v>24</v>
      </c>
      <c r="L133" t="s">
        <v>41</v>
      </c>
      <c r="M133">
        <v>27</v>
      </c>
      <c r="N133">
        <v>59</v>
      </c>
      <c r="O133">
        <v>2</v>
      </c>
      <c r="P133">
        <v>3</v>
      </c>
      <c r="Q133">
        <v>311</v>
      </c>
      <c r="R133">
        <v>0.56920000000000004</v>
      </c>
      <c r="S133">
        <v>0.95520000000000005</v>
      </c>
      <c r="U133">
        <v>0.38600000000000001</v>
      </c>
      <c r="V133">
        <v>88.935038229160796</v>
      </c>
      <c r="W133">
        <v>18.725726903781055</v>
      </c>
      <c r="X133">
        <v>319.2360298132881</v>
      </c>
      <c r="Y133">
        <v>-66.763970186711902</v>
      </c>
      <c r="Z133">
        <v>-20.91367012231051</v>
      </c>
    </row>
    <row r="134" spans="1:28" x14ac:dyDescent="0.35">
      <c r="A134">
        <v>132</v>
      </c>
      <c r="B134">
        <v>45637</v>
      </c>
      <c r="C134">
        <v>46043</v>
      </c>
      <c r="D134" t="s">
        <v>16</v>
      </c>
      <c r="E134" t="s">
        <v>44</v>
      </c>
      <c r="F134" t="s">
        <v>19</v>
      </c>
      <c r="G134" t="s">
        <v>20</v>
      </c>
      <c r="H134" t="s">
        <v>21</v>
      </c>
      <c r="I134" t="s">
        <v>22</v>
      </c>
      <c r="J134" t="s">
        <v>23</v>
      </c>
      <c r="K134" t="s">
        <v>24</v>
      </c>
      <c r="L134" t="s">
        <v>43</v>
      </c>
      <c r="M134">
        <v>27</v>
      </c>
      <c r="N134">
        <v>59</v>
      </c>
      <c r="O134">
        <v>2</v>
      </c>
      <c r="P134">
        <v>1</v>
      </c>
      <c r="Q134">
        <v>312</v>
      </c>
      <c r="R134">
        <v>0.57230000000000003</v>
      </c>
      <c r="S134">
        <v>0.94869999999999999</v>
      </c>
      <c r="U134">
        <v>0.37639999999999996</v>
      </c>
      <c r="V134">
        <v>96.505456725964734</v>
      </c>
      <c r="W134">
        <v>20.406923911196674</v>
      </c>
      <c r="X134">
        <v>328.03607500156477</v>
      </c>
      <c r="Y134">
        <v>-48.363924998435209</v>
      </c>
      <c r="Z134">
        <v>-14.743477527038607</v>
      </c>
    </row>
    <row r="135" spans="1:28" x14ac:dyDescent="0.35">
      <c r="A135">
        <v>133</v>
      </c>
      <c r="B135">
        <v>45637</v>
      </c>
      <c r="C135">
        <v>46043</v>
      </c>
      <c r="D135" t="s">
        <v>16</v>
      </c>
      <c r="E135" t="s">
        <v>44</v>
      </c>
      <c r="F135" t="s">
        <v>19</v>
      </c>
      <c r="G135" t="s">
        <v>20</v>
      </c>
      <c r="H135" t="s">
        <v>21</v>
      </c>
      <c r="I135" t="s">
        <v>22</v>
      </c>
      <c r="J135" t="s">
        <v>23</v>
      </c>
      <c r="K135" t="s">
        <v>24</v>
      </c>
      <c r="L135" t="s">
        <v>43</v>
      </c>
      <c r="M135">
        <v>27</v>
      </c>
      <c r="N135">
        <v>59</v>
      </c>
      <c r="O135">
        <v>2</v>
      </c>
      <c r="P135">
        <v>2</v>
      </c>
      <c r="Q135">
        <v>313</v>
      </c>
      <c r="R135">
        <v>0.53600000000000003</v>
      </c>
      <c r="S135">
        <v>0.91249999999999998</v>
      </c>
      <c r="U135">
        <v>0.37649999999999995</v>
      </c>
      <c r="V135">
        <v>96.500000000000341</v>
      </c>
      <c r="W135">
        <v>20.401691331923949</v>
      </c>
      <c r="X135">
        <v>328.10165598417206</v>
      </c>
      <c r="Y135">
        <v>-48.398344015827888</v>
      </c>
      <c r="Z135">
        <v>-14.751020951312318</v>
      </c>
    </row>
    <row r="136" spans="1:28" x14ac:dyDescent="0.35">
      <c r="A136">
        <v>134</v>
      </c>
      <c r="B136">
        <v>45637</v>
      </c>
      <c r="C136">
        <v>46043</v>
      </c>
      <c r="D136" t="s">
        <v>16</v>
      </c>
      <c r="E136" t="s">
        <v>44</v>
      </c>
      <c r="F136" t="s">
        <v>19</v>
      </c>
      <c r="G136" t="s">
        <v>20</v>
      </c>
      <c r="H136" t="s">
        <v>21</v>
      </c>
      <c r="I136" t="s">
        <v>22</v>
      </c>
      <c r="J136" t="s">
        <v>23</v>
      </c>
      <c r="K136" t="s">
        <v>24</v>
      </c>
      <c r="L136" t="s">
        <v>43</v>
      </c>
      <c r="M136">
        <v>27</v>
      </c>
      <c r="N136">
        <v>59</v>
      </c>
      <c r="O136">
        <v>2</v>
      </c>
      <c r="P136">
        <v>3</v>
      </c>
      <c r="Q136">
        <v>314</v>
      </c>
      <c r="R136">
        <v>0.57310000000000005</v>
      </c>
      <c r="S136">
        <v>0.94820000000000004</v>
      </c>
      <c r="U136">
        <v>0.37509999999999999</v>
      </c>
      <c r="V136">
        <v>97.900000000000318</v>
      </c>
      <c r="W136">
        <v>20.697674418604706</v>
      </c>
      <c r="X136">
        <v>328.10165598417206</v>
      </c>
      <c r="Y136">
        <v>-46.998344015827911</v>
      </c>
      <c r="Z136">
        <v>-14.324323927854591</v>
      </c>
    </row>
    <row r="137" spans="1:28" x14ac:dyDescent="0.35">
      <c r="A137">
        <v>135</v>
      </c>
      <c r="B137">
        <v>45637</v>
      </c>
      <c r="C137">
        <v>46043</v>
      </c>
      <c r="D137" t="s">
        <v>16</v>
      </c>
      <c r="E137" t="s">
        <v>46</v>
      </c>
      <c r="F137" t="s">
        <v>19</v>
      </c>
      <c r="G137" t="s">
        <v>20</v>
      </c>
      <c r="H137" t="s">
        <v>21</v>
      </c>
      <c r="I137" t="s">
        <v>22</v>
      </c>
      <c r="J137" t="s">
        <v>23</v>
      </c>
      <c r="K137" t="s">
        <v>24</v>
      </c>
      <c r="L137" t="s">
        <v>45</v>
      </c>
      <c r="M137">
        <v>27</v>
      </c>
      <c r="N137">
        <v>59</v>
      </c>
      <c r="O137">
        <v>2</v>
      </c>
      <c r="P137">
        <v>1</v>
      </c>
      <c r="Q137">
        <v>315</v>
      </c>
      <c r="R137">
        <v>0.5696</v>
      </c>
      <c r="S137">
        <v>0.94350000000000001</v>
      </c>
      <c r="U137">
        <v>0.37390000000000001</v>
      </c>
      <c r="V137">
        <v>97.3207862641205</v>
      </c>
      <c r="W137">
        <v>20.652906047648742</v>
      </c>
      <c r="X137">
        <v>292.79853233765573</v>
      </c>
      <c r="Y137">
        <v>-81.101467662344305</v>
      </c>
      <c r="Z137">
        <v>-27.698727522588111</v>
      </c>
    </row>
    <row r="138" spans="1:28" x14ac:dyDescent="0.35">
      <c r="A138">
        <v>136</v>
      </c>
      <c r="B138">
        <v>45637</v>
      </c>
      <c r="C138">
        <v>46043</v>
      </c>
      <c r="D138" t="s">
        <v>16</v>
      </c>
      <c r="E138" t="s">
        <v>46</v>
      </c>
      <c r="F138" t="s">
        <v>19</v>
      </c>
      <c r="G138" t="s">
        <v>20</v>
      </c>
      <c r="H138" t="s">
        <v>21</v>
      </c>
      <c r="I138" t="s">
        <v>22</v>
      </c>
      <c r="J138" t="s">
        <v>23</v>
      </c>
      <c r="K138" t="s">
        <v>24</v>
      </c>
      <c r="L138" t="s">
        <v>45</v>
      </c>
      <c r="M138">
        <v>27</v>
      </c>
      <c r="N138">
        <v>59</v>
      </c>
      <c r="O138">
        <v>2</v>
      </c>
      <c r="P138">
        <v>2</v>
      </c>
      <c r="Q138">
        <v>316</v>
      </c>
      <c r="R138">
        <v>0.58750000000000002</v>
      </c>
      <c r="S138">
        <v>1.0038</v>
      </c>
      <c r="U138">
        <v>0.4163</v>
      </c>
      <c r="V138">
        <v>54.638223330122457</v>
      </c>
      <c r="W138">
        <v>11.601993769747942</v>
      </c>
      <c r="X138">
        <v>292.62295856251825</v>
      </c>
      <c r="Y138">
        <v>-123.67704143748176</v>
      </c>
      <c r="Z138">
        <v>-42.264982230045504</v>
      </c>
    </row>
    <row r="139" spans="1:28" x14ac:dyDescent="0.35">
      <c r="A139">
        <v>137</v>
      </c>
      <c r="B139">
        <v>45637</v>
      </c>
      <c r="C139">
        <v>46043</v>
      </c>
      <c r="D139" t="s">
        <v>16</v>
      </c>
      <c r="E139" t="s">
        <v>46</v>
      </c>
      <c r="F139" t="s">
        <v>19</v>
      </c>
      <c r="G139" t="s">
        <v>20</v>
      </c>
      <c r="H139" t="s">
        <v>21</v>
      </c>
      <c r="I139" t="s">
        <v>22</v>
      </c>
      <c r="J139" t="s">
        <v>23</v>
      </c>
      <c r="K139" t="s">
        <v>24</v>
      </c>
      <c r="L139" t="s">
        <v>45</v>
      </c>
      <c r="M139">
        <v>27</v>
      </c>
      <c r="N139">
        <v>59</v>
      </c>
      <c r="O139">
        <v>2</v>
      </c>
      <c r="P139">
        <v>3</v>
      </c>
      <c r="Q139">
        <v>317</v>
      </c>
      <c r="R139">
        <v>0.56589999999999996</v>
      </c>
      <c r="S139">
        <v>0.99839999999999995</v>
      </c>
      <c r="U139">
        <v>0.4325</v>
      </c>
      <c r="V139">
        <v>38.814973908786556</v>
      </c>
      <c r="W139">
        <v>8.2354637678662854</v>
      </c>
      <c r="X139">
        <v>292.85705692936824</v>
      </c>
      <c r="Y139">
        <v>-139.64294307063176</v>
      </c>
      <c r="Z139">
        <v>-47.682970161211138</v>
      </c>
    </row>
    <row r="140" spans="1:28" x14ac:dyDescent="0.35">
      <c r="A140">
        <v>138</v>
      </c>
      <c r="B140">
        <v>45637</v>
      </c>
      <c r="C140">
        <v>46043</v>
      </c>
      <c r="D140" t="s">
        <v>16</v>
      </c>
      <c r="E140" t="s">
        <v>48</v>
      </c>
      <c r="F140" t="s">
        <v>19</v>
      </c>
      <c r="G140" t="s">
        <v>20</v>
      </c>
      <c r="H140" t="s">
        <v>21</v>
      </c>
      <c r="I140" t="s">
        <v>22</v>
      </c>
      <c r="J140" t="s">
        <v>23</v>
      </c>
      <c r="K140" t="s">
        <v>24</v>
      </c>
      <c r="L140" t="s">
        <v>47</v>
      </c>
      <c r="M140">
        <v>27</v>
      </c>
      <c r="N140">
        <v>59</v>
      </c>
      <c r="O140">
        <v>2</v>
      </c>
      <c r="P140">
        <v>1</v>
      </c>
      <c r="Q140">
        <v>318</v>
      </c>
      <c r="R140">
        <v>0.55789999999999995</v>
      </c>
      <c r="S140">
        <v>0.90600000000000003</v>
      </c>
      <c r="U140">
        <v>0.34810000000000008</v>
      </c>
      <c r="V140">
        <v>119.81393713037716</v>
      </c>
      <c r="W140">
        <v>25.605977429347821</v>
      </c>
      <c r="X140">
        <v>280.62275404724033</v>
      </c>
      <c r="Y140">
        <v>-67.477245952759745</v>
      </c>
      <c r="Z140">
        <v>-24.04553621528515</v>
      </c>
    </row>
    <row r="141" spans="1:28" x14ac:dyDescent="0.35">
      <c r="A141">
        <v>139</v>
      </c>
      <c r="B141">
        <v>45637</v>
      </c>
      <c r="C141">
        <v>46043</v>
      </c>
      <c r="D141" t="s">
        <v>16</v>
      </c>
      <c r="E141" t="s">
        <v>48</v>
      </c>
      <c r="F141" t="s">
        <v>19</v>
      </c>
      <c r="G141" t="s">
        <v>20</v>
      </c>
      <c r="H141" t="s">
        <v>21</v>
      </c>
      <c r="I141" t="s">
        <v>22</v>
      </c>
      <c r="J141" t="s">
        <v>23</v>
      </c>
      <c r="K141" t="s">
        <v>24</v>
      </c>
      <c r="L141" t="s">
        <v>47</v>
      </c>
      <c r="M141">
        <v>27</v>
      </c>
      <c r="N141">
        <v>59</v>
      </c>
      <c r="O141">
        <v>2</v>
      </c>
      <c r="P141">
        <v>2</v>
      </c>
      <c r="Q141">
        <v>319</v>
      </c>
      <c r="R141">
        <v>0.55900000000000005</v>
      </c>
      <c r="S141">
        <v>0.89980000000000004</v>
      </c>
      <c r="U141">
        <v>0.34079999999999999</v>
      </c>
      <c r="V141">
        <v>127.20746380180043</v>
      </c>
      <c r="W141">
        <v>27.180648523945838</v>
      </c>
      <c r="X141">
        <v>280.67884494351199</v>
      </c>
      <c r="Y141">
        <v>-60.121155056488021</v>
      </c>
      <c r="Z141">
        <v>-21.419909672418562</v>
      </c>
    </row>
    <row r="142" spans="1:28" x14ac:dyDescent="0.35">
      <c r="A142">
        <v>140</v>
      </c>
      <c r="B142">
        <v>45637</v>
      </c>
      <c r="C142">
        <v>46043</v>
      </c>
      <c r="D142" t="s">
        <v>16</v>
      </c>
      <c r="E142" t="s">
        <v>48</v>
      </c>
      <c r="F142" t="s">
        <v>19</v>
      </c>
      <c r="G142" t="s">
        <v>20</v>
      </c>
      <c r="H142" t="s">
        <v>21</v>
      </c>
      <c r="I142" t="s">
        <v>22</v>
      </c>
      <c r="J142" t="s">
        <v>23</v>
      </c>
      <c r="K142" t="s">
        <v>24</v>
      </c>
      <c r="L142" t="s">
        <v>47</v>
      </c>
      <c r="M142">
        <v>27</v>
      </c>
      <c r="N142">
        <v>59</v>
      </c>
      <c r="O142">
        <v>2</v>
      </c>
      <c r="P142">
        <v>3</v>
      </c>
      <c r="Q142">
        <v>320</v>
      </c>
      <c r="R142">
        <v>0.55379999999999996</v>
      </c>
      <c r="S142">
        <v>0.92459999999999998</v>
      </c>
      <c r="U142">
        <v>0.37080000000000002</v>
      </c>
      <c r="V142">
        <v>96.926883787530812</v>
      </c>
      <c r="W142">
        <v>20.722966146962108</v>
      </c>
      <c r="X142">
        <v>280.51057225469697</v>
      </c>
      <c r="Y142">
        <v>-90.289427745303044</v>
      </c>
      <c r="Z142">
        <v>-32.187531122114848</v>
      </c>
    </row>
    <row r="143" spans="1:28" x14ac:dyDescent="0.35">
      <c r="A143">
        <v>141</v>
      </c>
      <c r="B143">
        <v>45637</v>
      </c>
      <c r="C143">
        <v>46043</v>
      </c>
      <c r="D143" t="s">
        <v>16</v>
      </c>
      <c r="E143" t="s">
        <v>50</v>
      </c>
      <c r="F143" t="s">
        <v>19</v>
      </c>
      <c r="G143" t="s">
        <v>20</v>
      </c>
      <c r="H143" t="s">
        <v>21</v>
      </c>
      <c r="I143" t="s">
        <v>22</v>
      </c>
      <c r="J143" t="s">
        <v>23</v>
      </c>
      <c r="K143" t="s">
        <v>24</v>
      </c>
      <c r="L143" t="s">
        <v>49</v>
      </c>
      <c r="M143">
        <v>27</v>
      </c>
      <c r="N143">
        <v>59</v>
      </c>
      <c r="O143">
        <v>2</v>
      </c>
      <c r="P143">
        <v>1</v>
      </c>
      <c r="Q143">
        <v>321</v>
      </c>
      <c r="R143">
        <v>0.57210000000000005</v>
      </c>
      <c r="S143">
        <v>0.9325</v>
      </c>
      <c r="U143">
        <v>0.36039999999999994</v>
      </c>
      <c r="V143">
        <v>109.57507216900365</v>
      </c>
      <c r="W143">
        <v>23.31508172620703</v>
      </c>
      <c r="X143">
        <v>282.09432262334241</v>
      </c>
      <c r="Y143">
        <v>-78.305677376657513</v>
      </c>
      <c r="Z143">
        <v>-27.758686048145933</v>
      </c>
    </row>
    <row r="144" spans="1:28" x14ac:dyDescent="0.35">
      <c r="A144">
        <v>142</v>
      </c>
      <c r="B144">
        <v>45637</v>
      </c>
      <c r="C144">
        <v>46043</v>
      </c>
      <c r="D144" t="s">
        <v>16</v>
      </c>
      <c r="E144" t="s">
        <v>50</v>
      </c>
      <c r="F144" t="s">
        <v>19</v>
      </c>
      <c r="G144" t="s">
        <v>20</v>
      </c>
      <c r="H144" t="s">
        <v>21</v>
      </c>
      <c r="I144" t="s">
        <v>22</v>
      </c>
      <c r="J144" t="s">
        <v>23</v>
      </c>
      <c r="K144" t="s">
        <v>24</v>
      </c>
      <c r="L144" t="s">
        <v>49</v>
      </c>
      <c r="M144">
        <v>27</v>
      </c>
      <c r="N144">
        <v>59</v>
      </c>
      <c r="O144">
        <v>2</v>
      </c>
      <c r="P144">
        <v>2</v>
      </c>
      <c r="Q144">
        <v>322</v>
      </c>
      <c r="R144">
        <v>0.55400000000000005</v>
      </c>
      <c r="S144">
        <v>0.92459999999999998</v>
      </c>
      <c r="U144">
        <v>0.37059999999999993</v>
      </c>
      <c r="V144">
        <v>99.375072169003658</v>
      </c>
      <c r="W144">
        <v>21.144753850533647</v>
      </c>
      <c r="X144">
        <v>282.09432262334241</v>
      </c>
      <c r="Y144">
        <v>-88.505677376657502</v>
      </c>
      <c r="Z144">
        <v>-31.374497917433075</v>
      </c>
    </row>
    <row r="145" spans="1:27" x14ac:dyDescent="0.35">
      <c r="A145">
        <v>143</v>
      </c>
      <c r="B145">
        <v>45637</v>
      </c>
      <c r="C145">
        <v>46043</v>
      </c>
      <c r="D145" t="s">
        <v>16</v>
      </c>
      <c r="E145" t="s">
        <v>50</v>
      </c>
      <c r="F145" t="s">
        <v>19</v>
      </c>
      <c r="G145" t="s">
        <v>20</v>
      </c>
      <c r="H145" t="s">
        <v>21</v>
      </c>
      <c r="I145" t="s">
        <v>22</v>
      </c>
      <c r="J145" t="s">
        <v>23</v>
      </c>
      <c r="K145" t="s">
        <v>24</v>
      </c>
      <c r="L145" t="s">
        <v>49</v>
      </c>
      <c r="M145">
        <v>27</v>
      </c>
      <c r="N145">
        <v>59</v>
      </c>
      <c r="O145">
        <v>2</v>
      </c>
      <c r="P145">
        <v>3</v>
      </c>
      <c r="Q145">
        <v>323</v>
      </c>
      <c r="R145">
        <v>0.57499999999999996</v>
      </c>
      <c r="S145">
        <v>0.95399999999999996</v>
      </c>
      <c r="U145">
        <v>0.379</v>
      </c>
      <c r="V145">
        <v>90.975072169003568</v>
      </c>
      <c r="W145">
        <v>19.357425011743778</v>
      </c>
      <c r="X145">
        <v>282.09432262334241</v>
      </c>
      <c r="Y145">
        <v>-96.905677376657593</v>
      </c>
      <c r="Z145">
        <v>-34.352225339198995</v>
      </c>
    </row>
    <row r="146" spans="1:27" x14ac:dyDescent="0.35">
      <c r="A146">
        <v>144</v>
      </c>
      <c r="B146">
        <v>45637</v>
      </c>
      <c r="C146">
        <v>46043</v>
      </c>
      <c r="D146" t="s">
        <v>16</v>
      </c>
      <c r="E146" t="s">
        <v>52</v>
      </c>
      <c r="F146" t="s">
        <v>19</v>
      </c>
      <c r="G146" t="s">
        <v>20</v>
      </c>
      <c r="H146" t="s">
        <v>21</v>
      </c>
      <c r="I146" t="s">
        <v>22</v>
      </c>
      <c r="J146" t="s">
        <v>23</v>
      </c>
      <c r="K146" t="s">
        <v>24</v>
      </c>
      <c r="L146" t="s">
        <v>51</v>
      </c>
      <c r="M146">
        <v>27</v>
      </c>
      <c r="N146">
        <v>59</v>
      </c>
      <c r="O146">
        <v>2</v>
      </c>
      <c r="P146">
        <v>1</v>
      </c>
      <c r="Q146">
        <v>324</v>
      </c>
      <c r="R146">
        <v>0.56000000000000005</v>
      </c>
      <c r="S146">
        <v>0.87890000000000001</v>
      </c>
      <c r="U146">
        <v>0.31889999999999996</v>
      </c>
      <c r="V146">
        <v>140.66281825702055</v>
      </c>
      <c r="W146">
        <v>30.60796319217274</v>
      </c>
      <c r="X146">
        <v>274.34318746317308</v>
      </c>
      <c r="Y146">
        <v>-44.556812536826897</v>
      </c>
      <c r="Z146">
        <v>-16.241268080625495</v>
      </c>
    </row>
    <row r="147" spans="1:27" x14ac:dyDescent="0.35">
      <c r="A147">
        <v>145</v>
      </c>
      <c r="B147">
        <v>45637</v>
      </c>
      <c r="C147">
        <v>46043</v>
      </c>
      <c r="D147" t="s">
        <v>16</v>
      </c>
      <c r="E147" t="s">
        <v>52</v>
      </c>
      <c r="F147" t="s">
        <v>19</v>
      </c>
      <c r="G147" t="s">
        <v>20</v>
      </c>
      <c r="H147" t="s">
        <v>21</v>
      </c>
      <c r="I147" t="s">
        <v>22</v>
      </c>
      <c r="J147" t="s">
        <v>23</v>
      </c>
      <c r="K147" t="s">
        <v>24</v>
      </c>
      <c r="L147" t="s">
        <v>51</v>
      </c>
      <c r="M147">
        <v>27</v>
      </c>
      <c r="N147">
        <v>59</v>
      </c>
      <c r="O147">
        <v>2</v>
      </c>
      <c r="P147">
        <v>2</v>
      </c>
      <c r="Q147">
        <v>325</v>
      </c>
      <c r="R147">
        <v>0.58289999999999997</v>
      </c>
      <c r="S147">
        <v>0.91110000000000002</v>
      </c>
      <c r="U147">
        <v>0.32820000000000005</v>
      </c>
      <c r="V147">
        <v>131.0872459094748</v>
      </c>
      <c r="W147">
        <v>28.541451363383164</v>
      </c>
      <c r="X147">
        <v>274.17868025502003</v>
      </c>
      <c r="Y147">
        <v>-54.021319744980019</v>
      </c>
      <c r="Z147">
        <v>-19.702961475609087</v>
      </c>
    </row>
    <row r="148" spans="1:27" x14ac:dyDescent="0.35">
      <c r="A148">
        <v>146</v>
      </c>
      <c r="B148">
        <v>45637</v>
      </c>
      <c r="C148">
        <v>46043</v>
      </c>
      <c r="D148" t="s">
        <v>16</v>
      </c>
      <c r="E148" t="s">
        <v>52</v>
      </c>
      <c r="F148" t="s">
        <v>19</v>
      </c>
      <c r="G148" t="s">
        <v>20</v>
      </c>
      <c r="H148" t="s">
        <v>21</v>
      </c>
      <c r="I148" t="s">
        <v>22</v>
      </c>
      <c r="J148" t="s">
        <v>23</v>
      </c>
      <c r="K148" t="s">
        <v>24</v>
      </c>
      <c r="L148" t="s">
        <v>51</v>
      </c>
      <c r="M148">
        <v>27</v>
      </c>
      <c r="N148">
        <v>59</v>
      </c>
      <c r="O148">
        <v>2</v>
      </c>
      <c r="P148">
        <v>3</v>
      </c>
      <c r="Q148">
        <v>326</v>
      </c>
      <c r="R148">
        <v>0.5625</v>
      </c>
      <c r="S148">
        <v>0.93889999999999996</v>
      </c>
      <c r="U148">
        <v>0.37639999999999996</v>
      </c>
      <c r="V148">
        <v>82.887245909474871</v>
      </c>
      <c r="W148">
        <v>18.046929595299904</v>
      </c>
      <c r="X148">
        <v>274.17868025502003</v>
      </c>
      <c r="Y148">
        <v>-102.22131974497995</v>
      </c>
      <c r="Z148">
        <v>-37.282738267578466</v>
      </c>
    </row>
    <row r="149" spans="1:27" x14ac:dyDescent="0.35">
      <c r="A149">
        <v>147</v>
      </c>
      <c r="B149">
        <v>45637</v>
      </c>
      <c r="C149">
        <v>46043</v>
      </c>
      <c r="D149" t="s">
        <v>16</v>
      </c>
      <c r="E149" t="s">
        <v>54</v>
      </c>
      <c r="F149" t="s">
        <v>19</v>
      </c>
      <c r="G149" t="s">
        <v>20</v>
      </c>
      <c r="H149" t="s">
        <v>21</v>
      </c>
      <c r="I149" t="s">
        <v>22</v>
      </c>
      <c r="J149" t="s">
        <v>23</v>
      </c>
      <c r="K149" t="s">
        <v>24</v>
      </c>
      <c r="L149" t="s">
        <v>53</v>
      </c>
      <c r="M149">
        <v>27</v>
      </c>
      <c r="N149">
        <v>59</v>
      </c>
      <c r="O149">
        <v>2</v>
      </c>
      <c r="P149">
        <v>1</v>
      </c>
      <c r="Q149">
        <v>327</v>
      </c>
      <c r="R149">
        <v>0.55589999999999995</v>
      </c>
      <c r="S149">
        <v>0.88929999999999998</v>
      </c>
      <c r="U149">
        <v>0.33340000000000003</v>
      </c>
      <c r="V149">
        <v>140.53409289282035</v>
      </c>
      <c r="W149">
        <v>29.652665845375669</v>
      </c>
      <c r="X149">
        <v>282.94655367305302</v>
      </c>
      <c r="Y149">
        <v>-50.453446326947017</v>
      </c>
      <c r="Z149">
        <v>-17.831440486547283</v>
      </c>
    </row>
    <row r="150" spans="1:27" x14ac:dyDescent="0.35">
      <c r="A150">
        <v>148</v>
      </c>
      <c r="B150">
        <v>45637</v>
      </c>
      <c r="C150">
        <v>46043</v>
      </c>
      <c r="D150" t="s">
        <v>16</v>
      </c>
      <c r="E150" t="s">
        <v>54</v>
      </c>
      <c r="F150" t="s">
        <v>19</v>
      </c>
      <c r="G150" t="s">
        <v>20</v>
      </c>
      <c r="H150" t="s">
        <v>21</v>
      </c>
      <c r="I150" t="s">
        <v>22</v>
      </c>
      <c r="J150" t="s">
        <v>23</v>
      </c>
      <c r="K150" t="s">
        <v>24</v>
      </c>
      <c r="L150" t="s">
        <v>53</v>
      </c>
      <c r="M150">
        <v>27</v>
      </c>
      <c r="N150">
        <v>59</v>
      </c>
      <c r="O150">
        <v>2</v>
      </c>
      <c r="P150">
        <v>2</v>
      </c>
      <c r="Q150">
        <v>328</v>
      </c>
      <c r="R150">
        <v>0.58760000000000001</v>
      </c>
      <c r="S150">
        <v>0.84960000000000002</v>
      </c>
      <c r="U150">
        <v>0.26200000000000001</v>
      </c>
      <c r="V150">
        <v>211.55524869386534</v>
      </c>
      <c r="W150">
        <v>44.673826185511757</v>
      </c>
      <c r="X150">
        <v>282.72037737115608</v>
      </c>
      <c r="Y150">
        <v>20.720377371156076</v>
      </c>
      <c r="Z150">
        <v>7.3289295818795219</v>
      </c>
    </row>
    <row r="151" spans="1:27" x14ac:dyDescent="0.35">
      <c r="A151">
        <v>149</v>
      </c>
      <c r="B151">
        <v>45637</v>
      </c>
      <c r="C151">
        <v>46043</v>
      </c>
      <c r="D151" t="s">
        <v>16</v>
      </c>
      <c r="E151" t="s">
        <v>54</v>
      </c>
      <c r="F151" t="s">
        <v>19</v>
      </c>
      <c r="G151" t="s">
        <v>20</v>
      </c>
      <c r="H151" t="s">
        <v>21</v>
      </c>
      <c r="I151" t="s">
        <v>22</v>
      </c>
      <c r="J151" t="s">
        <v>23</v>
      </c>
      <c r="K151" t="s">
        <v>24</v>
      </c>
      <c r="L151" t="s">
        <v>53</v>
      </c>
      <c r="M151">
        <v>27</v>
      </c>
      <c r="N151">
        <v>59</v>
      </c>
      <c r="O151">
        <v>2</v>
      </c>
      <c r="P151">
        <v>3</v>
      </c>
      <c r="Q151">
        <v>329</v>
      </c>
      <c r="R151">
        <v>0.57979999999999998</v>
      </c>
      <c r="S151">
        <v>0.90429999999999999</v>
      </c>
      <c r="U151">
        <v>0.32450000000000001</v>
      </c>
      <c r="V151">
        <v>149.52880394255914</v>
      </c>
      <c r="W151">
        <v>31.544244294631181</v>
      </c>
      <c r="X151">
        <v>283.00309774852724</v>
      </c>
      <c r="Y151">
        <v>-41.496902251472761</v>
      </c>
      <c r="Z151">
        <v>-14.663055839885667</v>
      </c>
    </row>
    <row r="152" spans="1:27" x14ac:dyDescent="0.35">
      <c r="A152">
        <v>150</v>
      </c>
      <c r="B152">
        <v>45637</v>
      </c>
      <c r="C152">
        <v>46043</v>
      </c>
      <c r="D152" t="s">
        <v>16</v>
      </c>
      <c r="E152" t="s">
        <v>56</v>
      </c>
      <c r="F152" t="s">
        <v>19</v>
      </c>
      <c r="G152" t="s">
        <v>20</v>
      </c>
      <c r="H152" t="s">
        <v>21</v>
      </c>
      <c r="I152" t="s">
        <v>22</v>
      </c>
      <c r="J152" t="s">
        <v>23</v>
      </c>
      <c r="K152" t="s">
        <v>24</v>
      </c>
      <c r="L152" t="s">
        <v>55</v>
      </c>
      <c r="M152">
        <v>27</v>
      </c>
      <c r="N152">
        <v>59</v>
      </c>
      <c r="O152">
        <v>2</v>
      </c>
      <c r="P152">
        <v>1</v>
      </c>
      <c r="Q152">
        <v>330</v>
      </c>
      <c r="R152">
        <v>0.58650000000000002</v>
      </c>
      <c r="S152">
        <v>0.94810000000000005</v>
      </c>
      <c r="U152">
        <v>0.36160000000000003</v>
      </c>
      <c r="V152">
        <v>114.00975609756057</v>
      </c>
      <c r="W152">
        <v>23.971282051281985</v>
      </c>
      <c r="X152">
        <v>282.66608094755173</v>
      </c>
      <c r="Y152">
        <v>-78.933919052448289</v>
      </c>
      <c r="Z152">
        <v>-27.924793377347019</v>
      </c>
    </row>
    <row r="153" spans="1:27" x14ac:dyDescent="0.35">
      <c r="A153">
        <v>151</v>
      </c>
      <c r="B153">
        <v>45637</v>
      </c>
      <c r="C153">
        <v>46043</v>
      </c>
      <c r="D153" t="s">
        <v>16</v>
      </c>
      <c r="E153" t="s">
        <v>56</v>
      </c>
      <c r="F153" t="s">
        <v>19</v>
      </c>
      <c r="G153" t="s">
        <v>20</v>
      </c>
      <c r="H153" t="s">
        <v>21</v>
      </c>
      <c r="I153" t="s">
        <v>22</v>
      </c>
      <c r="J153" t="s">
        <v>23</v>
      </c>
      <c r="K153" t="s">
        <v>24</v>
      </c>
      <c r="L153" t="s">
        <v>55</v>
      </c>
      <c r="M153">
        <v>27</v>
      </c>
      <c r="N153">
        <v>59</v>
      </c>
      <c r="O153">
        <v>2</v>
      </c>
      <c r="P153">
        <v>2</v>
      </c>
      <c r="Q153">
        <v>331</v>
      </c>
      <c r="R153">
        <v>0.56320000000000003</v>
      </c>
      <c r="S153">
        <v>0.90739999999999998</v>
      </c>
      <c r="U153">
        <v>0.34419999999999995</v>
      </c>
      <c r="V153">
        <v>131.50487804878009</v>
      </c>
      <c r="W153">
        <v>27.644214746794169</v>
      </c>
      <c r="X153">
        <v>282.72261416374124</v>
      </c>
      <c r="Y153">
        <v>-61.477385836258691</v>
      </c>
      <c r="Z153">
        <v>-21.744771290440013</v>
      </c>
    </row>
    <row r="154" spans="1:27" x14ac:dyDescent="0.35">
      <c r="A154">
        <v>152</v>
      </c>
      <c r="B154">
        <v>45637</v>
      </c>
      <c r="C154">
        <v>46043</v>
      </c>
      <c r="D154" t="s">
        <v>16</v>
      </c>
      <c r="E154" t="s">
        <v>56</v>
      </c>
      <c r="F154" t="s">
        <v>19</v>
      </c>
      <c r="G154" t="s">
        <v>20</v>
      </c>
      <c r="H154" t="s">
        <v>21</v>
      </c>
      <c r="I154" t="s">
        <v>22</v>
      </c>
      <c r="J154" t="s">
        <v>23</v>
      </c>
      <c r="K154" t="s">
        <v>24</v>
      </c>
      <c r="L154" t="s">
        <v>55</v>
      </c>
      <c r="M154">
        <v>27</v>
      </c>
      <c r="N154">
        <v>59</v>
      </c>
      <c r="O154">
        <v>2</v>
      </c>
      <c r="P154">
        <v>3</v>
      </c>
      <c r="Q154">
        <v>332</v>
      </c>
      <c r="R154">
        <v>0.60499999999999998</v>
      </c>
      <c r="S154">
        <v>0.92659999999999998</v>
      </c>
      <c r="U154">
        <v>0.3216</v>
      </c>
      <c r="V154">
        <v>154.29512195121907</v>
      </c>
      <c r="W154">
        <v>32.422085210412149</v>
      </c>
      <c r="X154">
        <v>282.83568059612026</v>
      </c>
      <c r="Y154">
        <v>-38.764319403879767</v>
      </c>
      <c r="Z154">
        <v>-13.705597300233805</v>
      </c>
    </row>
    <row r="155" spans="1:27" x14ac:dyDescent="0.35">
      <c r="A155">
        <v>153</v>
      </c>
      <c r="B155">
        <v>45637</v>
      </c>
      <c r="C155">
        <v>46043</v>
      </c>
      <c r="D155" t="s">
        <v>16</v>
      </c>
      <c r="E155" t="s">
        <v>58</v>
      </c>
      <c r="F155" t="s">
        <v>19</v>
      </c>
      <c r="G155" t="s">
        <v>20</v>
      </c>
      <c r="H155" t="s">
        <v>21</v>
      </c>
      <c r="I155" t="s">
        <v>22</v>
      </c>
      <c r="J155" t="s">
        <v>23</v>
      </c>
      <c r="K155" t="s">
        <v>24</v>
      </c>
      <c r="L155" t="s">
        <v>57</v>
      </c>
      <c r="M155">
        <v>27</v>
      </c>
      <c r="N155">
        <v>59</v>
      </c>
      <c r="O155">
        <v>2</v>
      </c>
      <c r="P155">
        <v>1</v>
      </c>
      <c r="Q155">
        <v>1</v>
      </c>
      <c r="R155">
        <v>0.61509999999999998</v>
      </c>
      <c r="S155">
        <v>0.94699999999999995</v>
      </c>
      <c r="U155">
        <v>0.33189999999999997</v>
      </c>
      <c r="V155">
        <v>137.08112343719159</v>
      </c>
      <c r="W155">
        <v>29.229560975187141</v>
      </c>
      <c r="X155">
        <v>301.87962550826842</v>
      </c>
      <c r="Y155">
        <v>-30.020374491731559</v>
      </c>
      <c r="Z155">
        <v>-9.9444851374738796</v>
      </c>
      <c r="AA155" t="s">
        <v>546</v>
      </c>
    </row>
    <row r="156" spans="1:27" x14ac:dyDescent="0.35">
      <c r="A156">
        <v>154</v>
      </c>
      <c r="B156" t="s">
        <v>686</v>
      </c>
      <c r="C156">
        <v>46043</v>
      </c>
      <c r="D156" t="s">
        <v>16</v>
      </c>
      <c r="E156" t="s">
        <v>58</v>
      </c>
      <c r="F156" t="s">
        <v>19</v>
      </c>
      <c r="G156" t="s">
        <v>20</v>
      </c>
      <c r="H156" t="s">
        <v>21</v>
      </c>
      <c r="I156" t="s">
        <v>22</v>
      </c>
      <c r="J156" t="s">
        <v>23</v>
      </c>
      <c r="K156" t="s">
        <v>24</v>
      </c>
      <c r="L156" t="s">
        <v>57</v>
      </c>
      <c r="M156">
        <v>27</v>
      </c>
      <c r="N156">
        <v>59</v>
      </c>
      <c r="O156">
        <v>2</v>
      </c>
      <c r="P156">
        <v>2</v>
      </c>
      <c r="Q156">
        <v>2</v>
      </c>
      <c r="R156">
        <v>0.58240000000000003</v>
      </c>
      <c r="S156">
        <v>0.95499999999999996</v>
      </c>
      <c r="U156">
        <v>0.37259999999999993</v>
      </c>
      <c r="V156">
        <v>96.474844684880907</v>
      </c>
      <c r="W156">
        <v>20.56704719471615</v>
      </c>
      <c r="X156">
        <v>301.93995317123967</v>
      </c>
      <c r="Y156">
        <v>-70.660046828760244</v>
      </c>
      <c r="Z156">
        <v>-23.402019536211132</v>
      </c>
    </row>
    <row r="157" spans="1:27" x14ac:dyDescent="0.35">
      <c r="A157">
        <v>155</v>
      </c>
      <c r="B157" t="s">
        <v>686</v>
      </c>
      <c r="C157">
        <v>46043</v>
      </c>
      <c r="D157" t="s">
        <v>16</v>
      </c>
      <c r="E157" t="s">
        <v>58</v>
      </c>
      <c r="F157" t="s">
        <v>19</v>
      </c>
      <c r="G157" t="s">
        <v>20</v>
      </c>
      <c r="H157" t="s">
        <v>21</v>
      </c>
      <c r="I157" t="s">
        <v>22</v>
      </c>
      <c r="J157" t="s">
        <v>23</v>
      </c>
      <c r="K157" t="s">
        <v>24</v>
      </c>
      <c r="L157" t="s">
        <v>57</v>
      </c>
      <c r="M157">
        <v>27</v>
      </c>
      <c r="N157">
        <v>59</v>
      </c>
      <c r="O157">
        <v>2</v>
      </c>
      <c r="P157">
        <v>3</v>
      </c>
      <c r="Q157">
        <v>3</v>
      </c>
      <c r="R157">
        <v>0.57650000000000001</v>
      </c>
    </row>
    <row r="158" spans="1:27" x14ac:dyDescent="0.35">
      <c r="A158">
        <v>156</v>
      </c>
      <c r="B158" t="s">
        <v>686</v>
      </c>
      <c r="C158">
        <v>46043</v>
      </c>
      <c r="D158">
        <v>0</v>
      </c>
      <c r="E158" t="s">
        <v>541</v>
      </c>
      <c r="F158" t="s">
        <v>538</v>
      </c>
      <c r="G158" t="s">
        <v>542</v>
      </c>
      <c r="H158" t="s">
        <v>541</v>
      </c>
      <c r="I158">
        <v>0</v>
      </c>
      <c r="J158">
        <v>0</v>
      </c>
      <c r="K158">
        <v>0</v>
      </c>
      <c r="L158" t="s">
        <v>543</v>
      </c>
      <c r="M158">
        <v>27</v>
      </c>
      <c r="N158">
        <v>59</v>
      </c>
      <c r="O158">
        <v>2</v>
      </c>
      <c r="P158">
        <v>1</v>
      </c>
      <c r="Q158">
        <v>4</v>
      </c>
    </row>
    <row r="159" spans="1:27" x14ac:dyDescent="0.35">
      <c r="A159">
        <v>157</v>
      </c>
      <c r="B159" t="s">
        <v>686</v>
      </c>
      <c r="C159">
        <v>46043</v>
      </c>
      <c r="D159">
        <v>0</v>
      </c>
      <c r="E159" t="s">
        <v>541</v>
      </c>
      <c r="F159" t="s">
        <v>538</v>
      </c>
      <c r="G159" t="s">
        <v>542</v>
      </c>
      <c r="H159" t="s">
        <v>541</v>
      </c>
      <c r="I159">
        <v>0</v>
      </c>
      <c r="J159">
        <v>0</v>
      </c>
      <c r="K159">
        <v>0</v>
      </c>
      <c r="L159" t="s">
        <v>543</v>
      </c>
      <c r="M159">
        <v>27</v>
      </c>
      <c r="N159">
        <v>59</v>
      </c>
      <c r="O159">
        <v>2</v>
      </c>
      <c r="P159">
        <v>2</v>
      </c>
      <c r="Q159">
        <v>5</v>
      </c>
    </row>
    <row r="160" spans="1:27" x14ac:dyDescent="0.35">
      <c r="A160">
        <v>158</v>
      </c>
      <c r="B160" t="s">
        <v>686</v>
      </c>
      <c r="C160">
        <v>46043</v>
      </c>
      <c r="D160" t="s">
        <v>16</v>
      </c>
      <c r="E160" t="s">
        <v>60</v>
      </c>
      <c r="F160" t="s">
        <v>19</v>
      </c>
      <c r="G160" t="s">
        <v>20</v>
      </c>
      <c r="H160" t="s">
        <v>21</v>
      </c>
      <c r="I160" t="s">
        <v>22</v>
      </c>
      <c r="J160" t="s">
        <v>23</v>
      </c>
      <c r="K160" t="s">
        <v>24</v>
      </c>
      <c r="L160" t="s">
        <v>59</v>
      </c>
      <c r="M160">
        <v>27</v>
      </c>
      <c r="N160">
        <v>59</v>
      </c>
      <c r="O160">
        <v>2</v>
      </c>
      <c r="P160">
        <v>1</v>
      </c>
      <c r="Q160">
        <v>6</v>
      </c>
      <c r="R160">
        <v>0.55810000000000004</v>
      </c>
      <c r="S160">
        <v>0.90720000000000001</v>
      </c>
      <c r="U160">
        <v>0.34909999999999997</v>
      </c>
      <c r="V160">
        <v>122.13548675994411</v>
      </c>
      <c r="W160">
        <v>25.918142880050578</v>
      </c>
      <c r="X160">
        <v>275.65727501641493</v>
      </c>
      <c r="Y160">
        <v>-73.442724983585038</v>
      </c>
      <c r="Z160">
        <v>-26.642766812235102</v>
      </c>
    </row>
    <row r="161" spans="1:26" x14ac:dyDescent="0.35">
      <c r="A161">
        <v>159</v>
      </c>
      <c r="B161" t="s">
        <v>686</v>
      </c>
      <c r="C161">
        <v>46043</v>
      </c>
      <c r="D161" t="s">
        <v>16</v>
      </c>
      <c r="E161" t="s">
        <v>60</v>
      </c>
      <c r="F161" t="s">
        <v>19</v>
      </c>
      <c r="G161" t="s">
        <v>20</v>
      </c>
      <c r="H161" t="s">
        <v>21</v>
      </c>
      <c r="I161" t="s">
        <v>22</v>
      </c>
      <c r="J161" t="s">
        <v>23</v>
      </c>
      <c r="K161" t="s">
        <v>24</v>
      </c>
      <c r="L161" t="s">
        <v>59</v>
      </c>
      <c r="M161">
        <v>27</v>
      </c>
      <c r="N161">
        <v>59</v>
      </c>
      <c r="O161">
        <v>2</v>
      </c>
      <c r="P161">
        <v>2</v>
      </c>
      <c r="Q161">
        <v>7</v>
      </c>
      <c r="R161">
        <v>0.58279999999999998</v>
      </c>
      <c r="S161">
        <v>0.94110000000000005</v>
      </c>
      <c r="U161">
        <v>0.35830000000000006</v>
      </c>
      <c r="V161">
        <v>113.02965851988802</v>
      </c>
      <c r="W161">
        <v>23.981019754800482</v>
      </c>
      <c r="X161">
        <v>275.71236240151012</v>
      </c>
      <c r="Y161">
        <v>-82.587637598489948</v>
      </c>
      <c r="Z161">
        <v>-29.954274403633924</v>
      </c>
    </row>
    <row r="162" spans="1:26" x14ac:dyDescent="0.35">
      <c r="A162">
        <v>160</v>
      </c>
      <c r="B162" t="s">
        <v>686</v>
      </c>
      <c r="C162">
        <v>46043</v>
      </c>
      <c r="D162" t="s">
        <v>16</v>
      </c>
      <c r="E162" t="s">
        <v>60</v>
      </c>
      <c r="F162" t="s">
        <v>19</v>
      </c>
      <c r="G162" t="s">
        <v>20</v>
      </c>
      <c r="H162" t="s">
        <v>21</v>
      </c>
      <c r="I162" t="s">
        <v>22</v>
      </c>
      <c r="J162" t="s">
        <v>23</v>
      </c>
      <c r="K162" t="s">
        <v>24</v>
      </c>
      <c r="L162" t="s">
        <v>59</v>
      </c>
      <c r="M162">
        <v>27</v>
      </c>
      <c r="N162">
        <v>59</v>
      </c>
      <c r="O162">
        <v>2</v>
      </c>
      <c r="P162">
        <v>3</v>
      </c>
      <c r="Q162">
        <v>8</v>
      </c>
      <c r="R162">
        <v>0.57410000000000005</v>
      </c>
      <c r="S162">
        <v>0.83250000000000002</v>
      </c>
      <c r="U162">
        <v>0.25839999999999996</v>
      </c>
      <c r="V162">
        <v>212.45879972016797</v>
      </c>
      <c r="W162">
        <v>45.121552330854293</v>
      </c>
      <c r="X162">
        <v>275.43692547603411</v>
      </c>
      <c r="Y162">
        <v>17.036925476034128</v>
      </c>
      <c r="Z162">
        <v>6.185418112182826</v>
      </c>
    </row>
    <row r="163" spans="1:26" x14ac:dyDescent="0.35">
      <c r="A163">
        <v>161</v>
      </c>
      <c r="B163" t="s">
        <v>686</v>
      </c>
      <c r="C163">
        <v>46043</v>
      </c>
      <c r="D163" t="s">
        <v>16</v>
      </c>
      <c r="E163" t="s">
        <v>62</v>
      </c>
      <c r="F163" t="s">
        <v>19</v>
      </c>
      <c r="G163" t="s">
        <v>20</v>
      </c>
      <c r="H163" t="s">
        <v>21</v>
      </c>
      <c r="I163" t="s">
        <v>22</v>
      </c>
      <c r="J163" t="s">
        <v>23</v>
      </c>
      <c r="K163" t="s">
        <v>24</v>
      </c>
      <c r="L163" t="s">
        <v>61</v>
      </c>
      <c r="M163">
        <v>27</v>
      </c>
      <c r="N163">
        <v>59</v>
      </c>
      <c r="O163">
        <v>2</v>
      </c>
      <c r="P163">
        <v>1</v>
      </c>
      <c r="Q163">
        <v>9</v>
      </c>
      <c r="R163">
        <v>0.58330000000000004</v>
      </c>
      <c r="S163">
        <v>0.9607</v>
      </c>
      <c r="U163">
        <v>0.37739999999999996</v>
      </c>
      <c r="V163">
        <v>92.986882870277782</v>
      </c>
      <c r="W163">
        <v>19.768170894323493</v>
      </c>
      <c r="X163">
        <v>290.01968425635567</v>
      </c>
      <c r="Y163">
        <v>-87.380315743644303</v>
      </c>
      <c r="Z163">
        <v>-30.129098294723555</v>
      </c>
    </row>
    <row r="164" spans="1:26" x14ac:dyDescent="0.35">
      <c r="A164">
        <v>162</v>
      </c>
      <c r="B164" t="s">
        <v>686</v>
      </c>
      <c r="C164">
        <v>46043</v>
      </c>
      <c r="D164" t="s">
        <v>16</v>
      </c>
      <c r="E164" t="s">
        <v>62</v>
      </c>
      <c r="F164" t="s">
        <v>19</v>
      </c>
      <c r="G164" t="s">
        <v>20</v>
      </c>
      <c r="H164" t="s">
        <v>21</v>
      </c>
      <c r="I164" t="s">
        <v>22</v>
      </c>
      <c r="J164" t="s">
        <v>23</v>
      </c>
      <c r="K164" t="s">
        <v>24</v>
      </c>
      <c r="L164" t="s">
        <v>61</v>
      </c>
      <c r="M164">
        <v>27</v>
      </c>
      <c r="N164">
        <v>59</v>
      </c>
      <c r="O164">
        <v>2</v>
      </c>
      <c r="P164">
        <v>2</v>
      </c>
      <c r="Q164">
        <v>10</v>
      </c>
      <c r="R164">
        <v>0.55220000000000002</v>
      </c>
      <c r="S164">
        <v>0.89019999999999999</v>
      </c>
      <c r="U164">
        <v>0.33799999999999997</v>
      </c>
      <c r="V164">
        <v>132.29282430541673</v>
      </c>
      <c r="W164">
        <v>28.129883652977739</v>
      </c>
      <c r="X164">
        <v>289.96169191797208</v>
      </c>
      <c r="Y164">
        <v>-48.038308082027868</v>
      </c>
      <c r="Z164">
        <v>-16.567122285800959</v>
      </c>
    </row>
    <row r="165" spans="1:26" x14ac:dyDescent="0.35">
      <c r="A165">
        <v>163</v>
      </c>
      <c r="B165" t="s">
        <v>686</v>
      </c>
      <c r="C165">
        <v>46043</v>
      </c>
      <c r="D165" t="s">
        <v>16</v>
      </c>
      <c r="E165" t="s">
        <v>62</v>
      </c>
      <c r="F165" t="s">
        <v>19</v>
      </c>
      <c r="G165" t="s">
        <v>20</v>
      </c>
      <c r="H165" t="s">
        <v>21</v>
      </c>
      <c r="I165" t="s">
        <v>22</v>
      </c>
      <c r="J165" t="s">
        <v>23</v>
      </c>
      <c r="K165" t="s">
        <v>24</v>
      </c>
      <c r="L165" t="s">
        <v>61</v>
      </c>
      <c r="M165">
        <v>27</v>
      </c>
      <c r="N165">
        <v>59</v>
      </c>
      <c r="O165">
        <v>2</v>
      </c>
      <c r="P165">
        <v>3</v>
      </c>
      <c r="Q165">
        <v>11</v>
      </c>
      <c r="R165">
        <v>0.55469999999999997</v>
      </c>
      <c r="S165">
        <v>0.9405</v>
      </c>
      <c r="U165">
        <v>0.38580000000000003</v>
      </c>
      <c r="V165">
        <v>84.492824305416661</v>
      </c>
      <c r="W165">
        <v>17.966003293842622</v>
      </c>
      <c r="X165">
        <v>289.96169191797208</v>
      </c>
      <c r="Y165">
        <v>-95.838308082027936</v>
      </c>
      <c r="Z165">
        <v>-33.052058514384669</v>
      </c>
    </row>
    <row r="166" spans="1:26" x14ac:dyDescent="0.35">
      <c r="A166">
        <v>164</v>
      </c>
      <c r="B166" t="s">
        <v>686</v>
      </c>
      <c r="C166">
        <v>46043</v>
      </c>
      <c r="D166" t="s">
        <v>16</v>
      </c>
      <c r="E166" t="s">
        <v>64</v>
      </c>
      <c r="F166" t="s">
        <v>19</v>
      </c>
      <c r="G166" t="s">
        <v>20</v>
      </c>
      <c r="H166" t="s">
        <v>21</v>
      </c>
      <c r="I166" t="s">
        <v>22</v>
      </c>
      <c r="J166" t="s">
        <v>23</v>
      </c>
      <c r="K166" t="s">
        <v>24</v>
      </c>
      <c r="L166" t="s">
        <v>63</v>
      </c>
      <c r="M166">
        <v>27</v>
      </c>
      <c r="N166">
        <v>59</v>
      </c>
      <c r="O166">
        <v>2</v>
      </c>
      <c r="P166">
        <v>1</v>
      </c>
      <c r="Q166">
        <v>12</v>
      </c>
      <c r="R166">
        <v>0.60060000000000002</v>
      </c>
      <c r="S166">
        <v>0.93779999999999997</v>
      </c>
      <c r="U166">
        <v>0.33719999999999994</v>
      </c>
      <c r="V166">
        <v>139.330834358527</v>
      </c>
      <c r="W166">
        <v>29.238576879518106</v>
      </c>
      <c r="X166">
        <v>283.43273651836739</v>
      </c>
      <c r="Y166">
        <v>-53.76726348163254</v>
      </c>
      <c r="Z166">
        <v>-18.970025884130091</v>
      </c>
    </row>
    <row r="167" spans="1:26" x14ac:dyDescent="0.35">
      <c r="A167">
        <v>165</v>
      </c>
      <c r="B167" t="s">
        <v>686</v>
      </c>
      <c r="C167">
        <v>46043</v>
      </c>
      <c r="D167" t="s">
        <v>16</v>
      </c>
      <c r="E167" t="s">
        <v>64</v>
      </c>
      <c r="F167" t="s">
        <v>19</v>
      </c>
      <c r="G167" t="s">
        <v>20</v>
      </c>
      <c r="H167" t="s">
        <v>21</v>
      </c>
      <c r="I167" t="s">
        <v>22</v>
      </c>
      <c r="J167" t="s">
        <v>23</v>
      </c>
      <c r="K167" t="s">
        <v>24</v>
      </c>
      <c r="L167" t="s">
        <v>63</v>
      </c>
      <c r="M167">
        <v>27</v>
      </c>
      <c r="N167">
        <v>59</v>
      </c>
      <c r="O167">
        <v>2</v>
      </c>
      <c r="P167">
        <v>2</v>
      </c>
      <c r="Q167">
        <v>13</v>
      </c>
      <c r="R167">
        <v>0.56779999999999997</v>
      </c>
      <c r="S167">
        <v>0.93510000000000004</v>
      </c>
      <c r="U167">
        <v>0.36730000000000007</v>
      </c>
      <c r="V167">
        <v>109.32612146797669</v>
      </c>
      <c r="W167">
        <v>22.937501018882369</v>
      </c>
      <c r="X167">
        <v>283.4894117306286</v>
      </c>
      <c r="Y167">
        <v>-83.810588269371465</v>
      </c>
      <c r="Z167">
        <v>-29.563921896669708</v>
      </c>
    </row>
    <row r="168" spans="1:26" x14ac:dyDescent="0.35">
      <c r="A168">
        <v>166</v>
      </c>
      <c r="B168" t="s">
        <v>686</v>
      </c>
      <c r="C168">
        <v>46043</v>
      </c>
      <c r="D168" t="s">
        <v>16</v>
      </c>
      <c r="E168" t="s">
        <v>64</v>
      </c>
      <c r="F168" t="s">
        <v>19</v>
      </c>
      <c r="G168" t="s">
        <v>20</v>
      </c>
      <c r="H168" t="s">
        <v>21</v>
      </c>
      <c r="I168" t="s">
        <v>22</v>
      </c>
      <c r="J168" t="s">
        <v>23</v>
      </c>
      <c r="K168" t="s">
        <v>24</v>
      </c>
      <c r="L168" t="s">
        <v>63</v>
      </c>
      <c r="M168">
        <v>27</v>
      </c>
      <c r="N168">
        <v>59</v>
      </c>
      <c r="O168">
        <v>2</v>
      </c>
      <c r="P168">
        <v>3</v>
      </c>
      <c r="Q168">
        <v>14</v>
      </c>
      <c r="R168">
        <v>0.5806</v>
      </c>
      <c r="S168">
        <v>0.91649999999999998</v>
      </c>
      <c r="U168">
        <v>0.33589999999999998</v>
      </c>
      <c r="V168">
        <v>140.72612146797678</v>
      </c>
      <c r="W168">
        <v>29.525473978335405</v>
      </c>
      <c r="X168">
        <v>283.4894117306286</v>
      </c>
      <c r="Y168">
        <v>-52.410588269371374</v>
      </c>
      <c r="Z168">
        <v>-18.487670473975893</v>
      </c>
    </row>
    <row r="169" spans="1:26" x14ac:dyDescent="0.35">
      <c r="A169">
        <v>167</v>
      </c>
      <c r="B169" t="s">
        <v>686</v>
      </c>
      <c r="C169">
        <v>46043</v>
      </c>
      <c r="D169" t="s">
        <v>16</v>
      </c>
      <c r="E169" t="s">
        <v>66</v>
      </c>
      <c r="F169" t="s">
        <v>19</v>
      </c>
      <c r="G169" t="s">
        <v>67</v>
      </c>
      <c r="H169" t="s">
        <v>68</v>
      </c>
      <c r="I169" t="s">
        <v>22</v>
      </c>
      <c r="J169" t="s">
        <v>23</v>
      </c>
      <c r="K169" t="s">
        <v>24</v>
      </c>
      <c r="L169" t="s">
        <v>65</v>
      </c>
      <c r="M169">
        <v>27</v>
      </c>
      <c r="N169">
        <v>59</v>
      </c>
      <c r="O169">
        <v>2</v>
      </c>
      <c r="P169">
        <v>1</v>
      </c>
      <c r="Q169">
        <v>15</v>
      </c>
      <c r="R169">
        <v>0.56879999999999997</v>
      </c>
      <c r="S169">
        <v>0.91039999999999999</v>
      </c>
      <c r="U169">
        <v>0.34160000000000001</v>
      </c>
      <c r="V169">
        <v>131.757810313812</v>
      </c>
      <c r="W169">
        <v>27.834717721561052</v>
      </c>
      <c r="X169">
        <v>282.86911805589068</v>
      </c>
      <c r="Y169">
        <v>-58.730881944109342</v>
      </c>
      <c r="Z169">
        <v>-20.762564095987674</v>
      </c>
    </row>
    <row r="170" spans="1:26" x14ac:dyDescent="0.35">
      <c r="A170">
        <v>168</v>
      </c>
      <c r="B170" t="s">
        <v>686</v>
      </c>
      <c r="C170">
        <v>46043</v>
      </c>
      <c r="D170" t="s">
        <v>16</v>
      </c>
      <c r="E170" t="s">
        <v>66</v>
      </c>
      <c r="F170" t="s">
        <v>19</v>
      </c>
      <c r="G170" t="s">
        <v>67</v>
      </c>
      <c r="H170" t="s">
        <v>68</v>
      </c>
      <c r="I170" t="s">
        <v>22</v>
      </c>
      <c r="J170" t="s">
        <v>23</v>
      </c>
      <c r="K170" t="s">
        <v>24</v>
      </c>
      <c r="L170" t="s">
        <v>65</v>
      </c>
      <c r="M170">
        <v>27</v>
      </c>
      <c r="N170">
        <v>59</v>
      </c>
      <c r="O170">
        <v>2</v>
      </c>
      <c r="P170">
        <v>2</v>
      </c>
      <c r="Q170">
        <v>16</v>
      </c>
      <c r="R170">
        <v>0.56779999999999997</v>
      </c>
      <c r="S170">
        <v>0.87809999999999999</v>
      </c>
      <c r="U170">
        <v>0.31030000000000002</v>
      </c>
      <c r="V170">
        <v>163.43649656206298</v>
      </c>
      <c r="W170">
        <v>34.499452279512433</v>
      </c>
      <c r="X170">
        <v>283.09541335033538</v>
      </c>
      <c r="Y170">
        <v>-27.204586649664634</v>
      </c>
      <c r="Z170">
        <v>-9.6096882417513747</v>
      </c>
    </row>
    <row r="171" spans="1:26" x14ac:dyDescent="0.35">
      <c r="A171">
        <v>169</v>
      </c>
      <c r="B171" t="s">
        <v>686</v>
      </c>
      <c r="C171">
        <v>46043</v>
      </c>
      <c r="D171" t="s">
        <v>16</v>
      </c>
      <c r="E171" t="s">
        <v>66</v>
      </c>
      <c r="F171" t="s">
        <v>19</v>
      </c>
      <c r="G171" t="s">
        <v>67</v>
      </c>
      <c r="H171" t="s">
        <v>68</v>
      </c>
      <c r="I171" t="s">
        <v>22</v>
      </c>
      <c r="J171" t="s">
        <v>23</v>
      </c>
      <c r="K171" t="s">
        <v>24</v>
      </c>
      <c r="L171" t="s">
        <v>65</v>
      </c>
      <c r="M171">
        <v>27</v>
      </c>
      <c r="N171">
        <v>59</v>
      </c>
      <c r="O171">
        <v>2</v>
      </c>
      <c r="P171">
        <v>3</v>
      </c>
      <c r="Q171">
        <v>17</v>
      </c>
      <c r="R171">
        <v>0.55879999999999996</v>
      </c>
      <c r="S171">
        <v>0.87270000000000003</v>
      </c>
      <c r="U171">
        <v>0.31390000000000007</v>
      </c>
      <c r="V171">
        <v>159.83649656206291</v>
      </c>
      <c r="W171">
        <v>33.739536160293099</v>
      </c>
      <c r="X171">
        <v>283.09541335033538</v>
      </c>
      <c r="Y171">
        <v>-30.804586649664714</v>
      </c>
      <c r="Z171">
        <v>-10.881344309009879</v>
      </c>
    </row>
    <row r="172" spans="1:26" x14ac:dyDescent="0.35">
      <c r="A172">
        <v>170</v>
      </c>
      <c r="B172" t="s">
        <v>686</v>
      </c>
      <c r="C172">
        <v>46043</v>
      </c>
      <c r="D172" t="s">
        <v>16</v>
      </c>
      <c r="E172" t="s">
        <v>70</v>
      </c>
      <c r="F172" t="s">
        <v>19</v>
      </c>
      <c r="G172" t="s">
        <v>20</v>
      </c>
      <c r="H172" t="s">
        <v>21</v>
      </c>
      <c r="I172" t="s">
        <v>22</v>
      </c>
      <c r="J172" t="s">
        <v>23</v>
      </c>
      <c r="K172" t="s">
        <v>24</v>
      </c>
      <c r="L172" t="s">
        <v>69</v>
      </c>
      <c r="M172">
        <v>27</v>
      </c>
      <c r="N172">
        <v>59</v>
      </c>
      <c r="O172">
        <v>2</v>
      </c>
      <c r="P172">
        <v>1</v>
      </c>
      <c r="Q172">
        <v>18</v>
      </c>
      <c r="R172">
        <v>0.56369999999999998</v>
      </c>
      <c r="S172">
        <v>0.8861</v>
      </c>
      <c r="U172">
        <v>0.32240000000000002</v>
      </c>
      <c r="V172">
        <v>150.85408688293626</v>
      </c>
      <c r="W172">
        <v>31.875918468349411</v>
      </c>
      <c r="X172">
        <v>284.38500217002877</v>
      </c>
      <c r="Y172">
        <v>-38.014997829971264</v>
      </c>
      <c r="Z172">
        <v>-13.367441158954918</v>
      </c>
    </row>
    <row r="173" spans="1:26" x14ac:dyDescent="0.35">
      <c r="A173">
        <v>171</v>
      </c>
      <c r="B173" t="s">
        <v>686</v>
      </c>
      <c r="C173">
        <v>46043</v>
      </c>
      <c r="D173" t="s">
        <v>16</v>
      </c>
      <c r="E173" t="s">
        <v>70</v>
      </c>
      <c r="F173" t="s">
        <v>19</v>
      </c>
      <c r="G173" t="s">
        <v>20</v>
      </c>
      <c r="H173" t="s">
        <v>21</v>
      </c>
      <c r="I173" t="s">
        <v>22</v>
      </c>
      <c r="J173" t="s">
        <v>23</v>
      </c>
      <c r="K173" t="s">
        <v>24</v>
      </c>
      <c r="L173" t="s">
        <v>69</v>
      </c>
      <c r="M173">
        <v>27</v>
      </c>
      <c r="N173">
        <v>59</v>
      </c>
      <c r="O173">
        <v>2</v>
      </c>
      <c r="P173">
        <v>2</v>
      </c>
      <c r="Q173">
        <v>19</v>
      </c>
      <c r="R173">
        <v>0.55649999999999999</v>
      </c>
      <c r="S173">
        <v>0.86180000000000001</v>
      </c>
      <c r="U173">
        <v>0.30530000000000002</v>
      </c>
      <c r="V173">
        <v>168.23798255593135</v>
      </c>
      <c r="W173">
        <v>35.527875007589302</v>
      </c>
      <c r="X173">
        <v>284.55559905195435</v>
      </c>
      <c r="Y173">
        <v>-20.744400948045666</v>
      </c>
      <c r="Z173">
        <v>-7.2901046463886798</v>
      </c>
    </row>
    <row r="174" spans="1:26" x14ac:dyDescent="0.35">
      <c r="A174">
        <v>172</v>
      </c>
      <c r="B174" t="s">
        <v>686</v>
      </c>
      <c r="C174">
        <v>46043</v>
      </c>
      <c r="D174" t="s">
        <v>16</v>
      </c>
      <c r="E174" t="s">
        <v>70</v>
      </c>
      <c r="F174" t="s">
        <v>19</v>
      </c>
      <c r="G174" t="s">
        <v>20</v>
      </c>
      <c r="H174" t="s">
        <v>21</v>
      </c>
      <c r="I174" t="s">
        <v>22</v>
      </c>
      <c r="J174" t="s">
        <v>23</v>
      </c>
      <c r="K174" t="s">
        <v>24</v>
      </c>
      <c r="L174" t="s">
        <v>69</v>
      </c>
      <c r="M174">
        <v>27</v>
      </c>
      <c r="N174">
        <v>59</v>
      </c>
      <c r="O174">
        <v>2</v>
      </c>
      <c r="P174">
        <v>3</v>
      </c>
      <c r="Q174">
        <v>20</v>
      </c>
      <c r="R174">
        <v>0.55989999999999995</v>
      </c>
      <c r="S174">
        <v>0.88660000000000005</v>
      </c>
      <c r="U174">
        <v>0.3267000000000001</v>
      </c>
      <c r="V174">
        <v>146.55408688293619</v>
      </c>
      <c r="W174">
        <v>30.967315643950833</v>
      </c>
      <c r="X174">
        <v>284.38500217002877</v>
      </c>
      <c r="Y174">
        <v>-42.314997829971333</v>
      </c>
      <c r="Z174">
        <v>-14.879475889052665</v>
      </c>
    </row>
    <row r="175" spans="1:26" x14ac:dyDescent="0.35">
      <c r="A175">
        <v>173</v>
      </c>
      <c r="B175" t="s">
        <v>686</v>
      </c>
      <c r="C175">
        <v>46043</v>
      </c>
      <c r="D175" t="s">
        <v>16</v>
      </c>
      <c r="E175" t="s">
        <v>72</v>
      </c>
      <c r="F175" t="s">
        <v>19</v>
      </c>
      <c r="G175" t="s">
        <v>73</v>
      </c>
      <c r="H175" t="s">
        <v>74</v>
      </c>
      <c r="I175" t="s">
        <v>22</v>
      </c>
      <c r="J175" t="s">
        <v>23</v>
      </c>
      <c r="K175" t="s">
        <v>24</v>
      </c>
      <c r="L175" t="s">
        <v>71</v>
      </c>
      <c r="M175">
        <v>27</v>
      </c>
      <c r="N175">
        <v>59</v>
      </c>
      <c r="O175">
        <v>2</v>
      </c>
      <c r="P175">
        <v>1</v>
      </c>
      <c r="Q175">
        <v>21</v>
      </c>
      <c r="R175">
        <v>0.58020000000000005</v>
      </c>
      <c r="S175">
        <v>0.87280000000000002</v>
      </c>
      <c r="U175">
        <v>0.29259999999999997</v>
      </c>
      <c r="V175">
        <v>176.50622093244061</v>
      </c>
      <c r="W175">
        <v>37.626066987898795</v>
      </c>
      <c r="X175">
        <v>273.77714640840446</v>
      </c>
      <c r="Y175">
        <v>-18.822853591595504</v>
      </c>
      <c r="Z175">
        <v>-6.8752464690813486</v>
      </c>
    </row>
    <row r="176" spans="1:26" x14ac:dyDescent="0.35">
      <c r="A176">
        <v>174</v>
      </c>
      <c r="B176" t="s">
        <v>686</v>
      </c>
      <c r="C176">
        <v>46043</v>
      </c>
      <c r="D176" t="s">
        <v>16</v>
      </c>
      <c r="E176" t="s">
        <v>72</v>
      </c>
      <c r="F176" t="s">
        <v>19</v>
      </c>
      <c r="G176" t="s">
        <v>73</v>
      </c>
      <c r="H176" t="s">
        <v>74</v>
      </c>
      <c r="I176" t="s">
        <v>22</v>
      </c>
      <c r="J176" t="s">
        <v>23</v>
      </c>
      <c r="K176" t="s">
        <v>24</v>
      </c>
      <c r="L176" t="s">
        <v>71</v>
      </c>
      <c r="M176">
        <v>27</v>
      </c>
      <c r="N176">
        <v>59</v>
      </c>
      <c r="O176">
        <v>2</v>
      </c>
      <c r="P176">
        <v>2</v>
      </c>
      <c r="Q176">
        <v>22</v>
      </c>
      <c r="R176">
        <v>0.58530000000000004</v>
      </c>
      <c r="S176">
        <v>0.90329999999999999</v>
      </c>
      <c r="U176">
        <v>0.31799999999999995</v>
      </c>
      <c r="V176">
        <v>151.10622093244064</v>
      </c>
      <c r="W176">
        <v>32.211515044948115</v>
      </c>
      <c r="X176">
        <v>273.77714640840446</v>
      </c>
      <c r="Y176">
        <v>-44.222853591595481</v>
      </c>
      <c r="Z176">
        <v>-16.152865267149238</v>
      </c>
    </row>
    <row r="177" spans="1:26" x14ac:dyDescent="0.35">
      <c r="A177">
        <v>175</v>
      </c>
      <c r="B177" t="s">
        <v>686</v>
      </c>
      <c r="C177">
        <v>46043</v>
      </c>
      <c r="D177" t="s">
        <v>16</v>
      </c>
      <c r="E177" t="s">
        <v>72</v>
      </c>
      <c r="F177" t="s">
        <v>19</v>
      </c>
      <c r="G177" t="s">
        <v>73</v>
      </c>
      <c r="H177" t="s">
        <v>74</v>
      </c>
      <c r="I177" t="s">
        <v>22</v>
      </c>
      <c r="J177" t="s">
        <v>23</v>
      </c>
      <c r="K177" t="s">
        <v>24</v>
      </c>
      <c r="L177" t="s">
        <v>71</v>
      </c>
      <c r="M177">
        <v>27</v>
      </c>
      <c r="N177">
        <v>59</v>
      </c>
      <c r="O177">
        <v>2</v>
      </c>
      <c r="P177">
        <v>3</v>
      </c>
      <c r="Q177">
        <v>23</v>
      </c>
      <c r="R177">
        <v>0.58509999999999995</v>
      </c>
      <c r="S177">
        <v>0.94769999999999999</v>
      </c>
      <c r="U177">
        <v>0.36260000000000003</v>
      </c>
      <c r="V177">
        <v>106.50622093244056</v>
      </c>
      <c r="W177">
        <v>22.704073444333901</v>
      </c>
      <c r="X177">
        <v>273.77714640840446</v>
      </c>
      <c r="Y177">
        <v>-88.82285359159556</v>
      </c>
      <c r="Z177">
        <v>-32.443487251158245</v>
      </c>
    </row>
    <row r="178" spans="1:26" x14ac:dyDescent="0.35">
      <c r="A178">
        <v>176</v>
      </c>
      <c r="B178" t="s">
        <v>686</v>
      </c>
      <c r="C178">
        <v>46043</v>
      </c>
      <c r="D178" t="s">
        <v>16</v>
      </c>
      <c r="E178" t="s">
        <v>76</v>
      </c>
      <c r="F178" t="s">
        <v>19</v>
      </c>
      <c r="G178" t="s">
        <v>20</v>
      </c>
      <c r="H178" t="s">
        <v>21</v>
      </c>
      <c r="I178" t="s">
        <v>22</v>
      </c>
      <c r="J178" t="s">
        <v>23</v>
      </c>
      <c r="K178" t="s">
        <v>24</v>
      </c>
      <c r="L178" t="s">
        <v>75</v>
      </c>
      <c r="M178">
        <v>27</v>
      </c>
      <c r="N178">
        <v>59</v>
      </c>
      <c r="O178">
        <v>2</v>
      </c>
      <c r="P178">
        <v>1</v>
      </c>
      <c r="Q178">
        <v>24</v>
      </c>
      <c r="R178">
        <v>0.59760000000000002</v>
      </c>
      <c r="S178">
        <v>0.97670000000000001</v>
      </c>
      <c r="U178">
        <v>0.37909999999999999</v>
      </c>
      <c r="V178">
        <v>88.235181484554857</v>
      </c>
      <c r="W178">
        <v>18.880491985273526</v>
      </c>
      <c r="X178">
        <v>295.90537253939584</v>
      </c>
      <c r="Y178">
        <v>-83.194627460604124</v>
      </c>
      <c r="Z178">
        <v>-28.115281161219158</v>
      </c>
    </row>
    <row r="179" spans="1:26" x14ac:dyDescent="0.35">
      <c r="A179">
        <v>177</v>
      </c>
      <c r="B179" t="s">
        <v>686</v>
      </c>
      <c r="C179">
        <v>46043</v>
      </c>
      <c r="D179" t="s">
        <v>16</v>
      </c>
      <c r="E179" t="s">
        <v>76</v>
      </c>
      <c r="F179" t="s">
        <v>19</v>
      </c>
      <c r="G179" t="s">
        <v>20</v>
      </c>
      <c r="H179" t="s">
        <v>21</v>
      </c>
      <c r="I179" t="s">
        <v>22</v>
      </c>
      <c r="J179" t="s">
        <v>23</v>
      </c>
      <c r="K179" t="s">
        <v>24</v>
      </c>
      <c r="L179" t="s">
        <v>75</v>
      </c>
      <c r="M179">
        <v>27</v>
      </c>
      <c r="N179">
        <v>59</v>
      </c>
      <c r="O179">
        <v>2</v>
      </c>
      <c r="P179">
        <v>2</v>
      </c>
      <c r="Q179">
        <v>25</v>
      </c>
      <c r="R179">
        <v>0.56899999999999995</v>
      </c>
      <c r="S179">
        <v>0.93130000000000002</v>
      </c>
      <c r="U179">
        <v>0.36230000000000007</v>
      </c>
      <c r="V179">
        <v>104.75494851544551</v>
      </c>
      <c r="W179">
        <v>22.428827453474938</v>
      </c>
      <c r="X179">
        <v>295.72793577792913</v>
      </c>
      <c r="Y179">
        <v>-66.572064222070935</v>
      </c>
      <c r="Z179">
        <v>-22.511253137769803</v>
      </c>
    </row>
    <row r="180" spans="1:26" x14ac:dyDescent="0.35">
      <c r="A180">
        <v>178</v>
      </c>
      <c r="B180" t="s">
        <v>686</v>
      </c>
      <c r="C180">
        <v>46043</v>
      </c>
      <c r="D180" t="s">
        <v>16</v>
      </c>
      <c r="E180" t="s">
        <v>76</v>
      </c>
      <c r="F180" t="s">
        <v>19</v>
      </c>
      <c r="G180" t="s">
        <v>20</v>
      </c>
      <c r="H180" t="s">
        <v>21</v>
      </c>
      <c r="I180" t="s">
        <v>22</v>
      </c>
      <c r="J180" t="s">
        <v>23</v>
      </c>
      <c r="K180" t="s">
        <v>24</v>
      </c>
      <c r="L180" t="s">
        <v>75</v>
      </c>
      <c r="M180">
        <v>27</v>
      </c>
      <c r="N180">
        <v>59</v>
      </c>
      <c r="O180">
        <v>2</v>
      </c>
      <c r="P180">
        <v>3</v>
      </c>
      <c r="Q180">
        <v>26</v>
      </c>
      <c r="R180">
        <v>0.56220000000000003</v>
      </c>
      <c r="S180">
        <v>0.92220000000000002</v>
      </c>
      <c r="U180">
        <v>0.36</v>
      </c>
      <c r="V180">
        <v>107.33518148455482</v>
      </c>
      <c r="W180">
        <v>22.967494367445177</v>
      </c>
      <c r="X180">
        <v>295.90537253939584</v>
      </c>
      <c r="Y180">
        <v>-64.094627460604158</v>
      </c>
      <c r="Z180">
        <v>-21.660514951302826</v>
      </c>
    </row>
    <row r="181" spans="1:26" x14ac:dyDescent="0.35">
      <c r="A181">
        <v>179</v>
      </c>
      <c r="B181" t="s">
        <v>686</v>
      </c>
      <c r="C181">
        <v>46043</v>
      </c>
      <c r="D181" t="s">
        <v>16</v>
      </c>
      <c r="E181" t="s">
        <v>78</v>
      </c>
      <c r="F181" t="s">
        <v>79</v>
      </c>
      <c r="G181" t="s">
        <v>80</v>
      </c>
      <c r="H181" t="s">
        <v>81</v>
      </c>
      <c r="I181" t="s">
        <v>22</v>
      </c>
      <c r="J181" t="s">
        <v>23</v>
      </c>
      <c r="K181" t="s">
        <v>24</v>
      </c>
      <c r="L181" t="s">
        <v>77</v>
      </c>
      <c r="M181">
        <v>27</v>
      </c>
      <c r="N181">
        <v>59</v>
      </c>
      <c r="O181">
        <v>2</v>
      </c>
      <c r="P181">
        <v>1</v>
      </c>
      <c r="Q181">
        <v>27</v>
      </c>
      <c r="R181">
        <v>0.55510000000000004</v>
      </c>
      <c r="S181">
        <v>0.81720000000000004</v>
      </c>
      <c r="U181">
        <v>0.2621</v>
      </c>
      <c r="V181">
        <v>211.3169671493535</v>
      </c>
      <c r="W181">
        <v>44.636542796888655</v>
      </c>
      <c r="X181">
        <v>219.30791257113211</v>
      </c>
      <c r="Y181">
        <v>-42.792087428867916</v>
      </c>
      <c r="Z181">
        <v>-19.512331738139356</v>
      </c>
    </row>
    <row r="182" spans="1:26" x14ac:dyDescent="0.35">
      <c r="A182">
        <v>180</v>
      </c>
      <c r="B182" t="s">
        <v>686</v>
      </c>
      <c r="C182">
        <v>46043</v>
      </c>
      <c r="D182" t="s">
        <v>16</v>
      </c>
      <c r="E182" t="s">
        <v>78</v>
      </c>
      <c r="F182" t="s">
        <v>79</v>
      </c>
      <c r="G182" t="s">
        <v>80</v>
      </c>
      <c r="H182" t="s">
        <v>81</v>
      </c>
      <c r="I182" t="s">
        <v>22</v>
      </c>
      <c r="J182" t="s">
        <v>23</v>
      </c>
      <c r="K182" t="s">
        <v>24</v>
      </c>
      <c r="L182" t="s">
        <v>77</v>
      </c>
      <c r="M182">
        <v>27</v>
      </c>
      <c r="N182">
        <v>59</v>
      </c>
      <c r="O182">
        <v>2</v>
      </c>
      <c r="P182">
        <v>2</v>
      </c>
      <c r="Q182">
        <v>28</v>
      </c>
      <c r="R182">
        <v>0.57630000000000003</v>
      </c>
      <c r="S182">
        <v>0.81499999999999995</v>
      </c>
      <c r="U182">
        <v>0.23869999999999991</v>
      </c>
      <c r="V182">
        <v>234.43308729697551</v>
      </c>
      <c r="W182">
        <v>49.549079020513929</v>
      </c>
      <c r="X182">
        <v>219.17640672709589</v>
      </c>
      <c r="Y182">
        <v>-19.523593272904009</v>
      </c>
      <c r="Z182">
        <v>-8.9077075240190009</v>
      </c>
    </row>
    <row r="183" spans="1:26" x14ac:dyDescent="0.35">
      <c r="A183">
        <v>181</v>
      </c>
      <c r="B183" t="s">
        <v>686</v>
      </c>
      <c r="C183">
        <v>46043</v>
      </c>
      <c r="D183" t="s">
        <v>16</v>
      </c>
      <c r="E183" t="s">
        <v>78</v>
      </c>
      <c r="F183" t="s">
        <v>79</v>
      </c>
      <c r="G183" t="s">
        <v>80</v>
      </c>
      <c r="H183" t="s">
        <v>81</v>
      </c>
      <c r="I183" t="s">
        <v>22</v>
      </c>
      <c r="J183" t="s">
        <v>23</v>
      </c>
      <c r="K183" t="s">
        <v>24</v>
      </c>
      <c r="L183" t="s">
        <v>77</v>
      </c>
      <c r="M183">
        <v>27</v>
      </c>
      <c r="N183">
        <v>59</v>
      </c>
      <c r="O183">
        <v>2</v>
      </c>
      <c r="P183">
        <v>3</v>
      </c>
      <c r="Q183">
        <v>29</v>
      </c>
      <c r="R183">
        <v>0.57199999999999995</v>
      </c>
      <c r="S183">
        <v>0.82210000000000005</v>
      </c>
      <c r="U183">
        <v>0.2501000000000001</v>
      </c>
      <c r="V183">
        <v>223.03308729697531</v>
      </c>
      <c r="W183">
        <v>47.139608977924276</v>
      </c>
      <c r="X183">
        <v>219.17640672709589</v>
      </c>
      <c r="Y183">
        <v>-30.923593272904213</v>
      </c>
      <c r="Z183">
        <v>-14.108997284278068</v>
      </c>
    </row>
    <row r="184" spans="1:26" x14ac:dyDescent="0.35">
      <c r="A184">
        <v>182</v>
      </c>
      <c r="B184" t="s">
        <v>686</v>
      </c>
      <c r="C184">
        <v>46043</v>
      </c>
      <c r="D184" t="s">
        <v>16</v>
      </c>
      <c r="E184" t="s">
        <v>83</v>
      </c>
      <c r="F184" t="s">
        <v>84</v>
      </c>
      <c r="G184" t="s">
        <v>67</v>
      </c>
      <c r="H184" t="s">
        <v>85</v>
      </c>
      <c r="I184" t="s">
        <v>22</v>
      </c>
      <c r="J184" t="s">
        <v>23</v>
      </c>
      <c r="K184" t="s">
        <v>24</v>
      </c>
      <c r="L184" t="s">
        <v>82</v>
      </c>
      <c r="M184">
        <v>27</v>
      </c>
      <c r="N184">
        <v>59</v>
      </c>
      <c r="O184">
        <v>2</v>
      </c>
      <c r="P184">
        <v>1</v>
      </c>
      <c r="Q184">
        <v>30</v>
      </c>
      <c r="R184">
        <v>0.57240000000000002</v>
      </c>
      <c r="S184">
        <v>0.82750000000000001</v>
      </c>
      <c r="U184">
        <v>0.25509999999999999</v>
      </c>
      <c r="V184">
        <v>212.45524506815914</v>
      </c>
      <c r="W184">
        <v>45.439602551606043</v>
      </c>
      <c r="X184">
        <v>234.3190069546464</v>
      </c>
      <c r="Y184">
        <v>-20.780993045353597</v>
      </c>
      <c r="Z184">
        <v>-8.8686757917917696</v>
      </c>
    </row>
    <row r="185" spans="1:26" x14ac:dyDescent="0.35">
      <c r="A185">
        <v>183</v>
      </c>
      <c r="B185" t="s">
        <v>686</v>
      </c>
      <c r="C185">
        <v>46043</v>
      </c>
      <c r="D185" t="s">
        <v>16</v>
      </c>
      <c r="E185" t="s">
        <v>83</v>
      </c>
      <c r="F185" t="s">
        <v>84</v>
      </c>
      <c r="G185" t="s">
        <v>67</v>
      </c>
      <c r="H185" t="s">
        <v>85</v>
      </c>
      <c r="I185" t="s">
        <v>22</v>
      </c>
      <c r="J185" t="s">
        <v>23</v>
      </c>
      <c r="K185" t="s">
        <v>24</v>
      </c>
      <c r="L185" t="s">
        <v>82</v>
      </c>
      <c r="M185">
        <v>27</v>
      </c>
      <c r="N185">
        <v>59</v>
      </c>
      <c r="O185">
        <v>2</v>
      </c>
      <c r="P185">
        <v>2</v>
      </c>
      <c r="Q185">
        <v>31</v>
      </c>
      <c r="R185">
        <v>0.57430000000000003</v>
      </c>
      <c r="S185">
        <v>0.85089999999999999</v>
      </c>
      <c r="U185">
        <v>0.27659999999999996</v>
      </c>
      <c r="V185">
        <v>190.7684098053947</v>
      </c>
      <c r="W185">
        <v>40.817566143340294</v>
      </c>
      <c r="X185">
        <v>234.22537298583336</v>
      </c>
      <c r="Y185">
        <v>-42.374627014166606</v>
      </c>
      <c r="Z185">
        <v>-18.09139055858374</v>
      </c>
    </row>
    <row r="186" spans="1:26" x14ac:dyDescent="0.35">
      <c r="A186">
        <v>184</v>
      </c>
      <c r="B186" t="s">
        <v>686</v>
      </c>
      <c r="C186">
        <v>46043</v>
      </c>
      <c r="D186" t="s">
        <v>16</v>
      </c>
      <c r="E186" t="s">
        <v>83</v>
      </c>
      <c r="F186" t="s">
        <v>84</v>
      </c>
      <c r="G186" t="s">
        <v>67</v>
      </c>
      <c r="H186" t="s">
        <v>85</v>
      </c>
      <c r="I186" t="s">
        <v>22</v>
      </c>
      <c r="J186" t="s">
        <v>23</v>
      </c>
      <c r="K186" t="s">
        <v>24</v>
      </c>
      <c r="L186" t="s">
        <v>82</v>
      </c>
      <c r="M186">
        <v>27</v>
      </c>
      <c r="N186">
        <v>59</v>
      </c>
      <c r="O186">
        <v>2</v>
      </c>
      <c r="P186">
        <v>3</v>
      </c>
      <c r="Q186">
        <v>32</v>
      </c>
      <c r="R186">
        <v>0.58799999999999997</v>
      </c>
      <c r="S186">
        <v>0.88649999999999995</v>
      </c>
      <c r="U186">
        <v>0.29849999999999999</v>
      </c>
      <c r="V186">
        <v>168.68157454263019</v>
      </c>
      <c r="W186">
        <v>36.106213030291087</v>
      </c>
      <c r="X186">
        <v>234.13173901702032</v>
      </c>
      <c r="Y186">
        <v>-64.368260982979677</v>
      </c>
      <c r="Z186">
        <v>-27.49232600980271</v>
      </c>
    </row>
    <row r="187" spans="1:26" x14ac:dyDescent="0.35">
      <c r="A187">
        <v>185</v>
      </c>
      <c r="B187" t="s">
        <v>686</v>
      </c>
      <c r="C187">
        <v>46043</v>
      </c>
      <c r="D187" t="s">
        <v>16</v>
      </c>
      <c r="E187" t="s">
        <v>87</v>
      </c>
      <c r="F187" t="s">
        <v>88</v>
      </c>
      <c r="G187" t="s">
        <v>89</v>
      </c>
      <c r="H187" t="s">
        <v>90</v>
      </c>
      <c r="I187" t="s">
        <v>22</v>
      </c>
      <c r="J187" t="s">
        <v>23</v>
      </c>
      <c r="K187" t="s">
        <v>24</v>
      </c>
      <c r="L187" t="s">
        <v>86</v>
      </c>
      <c r="M187">
        <v>27</v>
      </c>
      <c r="N187">
        <v>59</v>
      </c>
      <c r="O187">
        <v>2</v>
      </c>
      <c r="P187">
        <v>1</v>
      </c>
      <c r="Q187">
        <v>33</v>
      </c>
      <c r="R187">
        <v>0.59299999999999997</v>
      </c>
      <c r="S187">
        <v>0.97729999999999995</v>
      </c>
      <c r="U187">
        <v>0.38429999999999997</v>
      </c>
      <c r="V187">
        <v>84.865675616876274</v>
      </c>
      <c r="W187">
        <v>18.088636920271668</v>
      </c>
      <c r="X187">
        <v>329.98448785292186</v>
      </c>
      <c r="Y187">
        <v>-54.315512147078095</v>
      </c>
      <c r="Z187">
        <v>-16.460019833201127</v>
      </c>
    </row>
    <row r="188" spans="1:26" x14ac:dyDescent="0.35">
      <c r="A188">
        <v>186</v>
      </c>
      <c r="B188" t="s">
        <v>686</v>
      </c>
      <c r="C188">
        <v>46043</v>
      </c>
      <c r="D188" t="s">
        <v>16</v>
      </c>
      <c r="E188" t="s">
        <v>87</v>
      </c>
      <c r="F188" t="s">
        <v>88</v>
      </c>
      <c r="G188" t="s">
        <v>89</v>
      </c>
      <c r="H188" t="s">
        <v>90</v>
      </c>
      <c r="I188" t="s">
        <v>22</v>
      </c>
      <c r="J188" t="s">
        <v>23</v>
      </c>
      <c r="K188" t="s">
        <v>24</v>
      </c>
      <c r="L188" t="s">
        <v>86</v>
      </c>
      <c r="M188">
        <v>27</v>
      </c>
      <c r="N188">
        <v>59</v>
      </c>
      <c r="O188">
        <v>2</v>
      </c>
      <c r="P188">
        <v>2</v>
      </c>
      <c r="Q188">
        <v>34</v>
      </c>
      <c r="R188">
        <v>0.56610000000000005</v>
      </c>
      <c r="S188">
        <v>0.95030000000000003</v>
      </c>
      <c r="U188">
        <v>0.38419999999999999</v>
      </c>
      <c r="V188">
        <v>84.778084383122973</v>
      </c>
      <c r="W188">
        <v>18.077195333047822</v>
      </c>
      <c r="X188">
        <v>329.85254683418816</v>
      </c>
      <c r="Y188">
        <v>-54.347453165811828</v>
      </c>
      <c r="Z188">
        <v>-16.476287264542925</v>
      </c>
    </row>
    <row r="189" spans="1:26" x14ac:dyDescent="0.35">
      <c r="A189">
        <v>187</v>
      </c>
      <c r="B189" t="s">
        <v>686</v>
      </c>
      <c r="C189">
        <v>46043</v>
      </c>
      <c r="D189" t="s">
        <v>16</v>
      </c>
      <c r="E189" t="s">
        <v>87</v>
      </c>
      <c r="F189" t="s">
        <v>88</v>
      </c>
      <c r="G189" t="s">
        <v>89</v>
      </c>
      <c r="H189" t="s">
        <v>90</v>
      </c>
      <c r="I189" t="s">
        <v>22</v>
      </c>
      <c r="J189" t="s">
        <v>23</v>
      </c>
      <c r="K189" t="s">
        <v>24</v>
      </c>
      <c r="L189" t="s">
        <v>86</v>
      </c>
      <c r="M189">
        <v>27</v>
      </c>
      <c r="N189">
        <v>59</v>
      </c>
      <c r="O189">
        <v>2</v>
      </c>
      <c r="P189">
        <v>3</v>
      </c>
      <c r="Q189">
        <v>35</v>
      </c>
      <c r="R189">
        <v>0.56469999999999998</v>
      </c>
      <c r="S189">
        <v>0.92310000000000003</v>
      </c>
      <c r="U189">
        <v>0.35840000000000005</v>
      </c>
      <c r="V189">
        <v>110.57808438312293</v>
      </c>
      <c r="W189">
        <v>23.578518499126329</v>
      </c>
      <c r="X189">
        <v>329.85254683418816</v>
      </c>
      <c r="Y189">
        <v>-28.547453165811874</v>
      </c>
      <c r="Z189">
        <v>-8.6546105039359436</v>
      </c>
    </row>
    <row r="190" spans="1:26" x14ac:dyDescent="0.35">
      <c r="A190">
        <v>188</v>
      </c>
      <c r="B190" t="s">
        <v>686</v>
      </c>
      <c r="C190">
        <v>46043</v>
      </c>
      <c r="D190" t="s">
        <v>16</v>
      </c>
      <c r="E190" t="s">
        <v>92</v>
      </c>
      <c r="F190" t="s">
        <v>79</v>
      </c>
      <c r="G190" t="s">
        <v>80</v>
      </c>
      <c r="H190" t="s">
        <v>81</v>
      </c>
      <c r="I190" t="s">
        <v>22</v>
      </c>
      <c r="J190" t="s">
        <v>23</v>
      </c>
      <c r="K190" t="s">
        <v>24</v>
      </c>
      <c r="L190" t="s">
        <v>91</v>
      </c>
      <c r="M190">
        <v>27</v>
      </c>
      <c r="N190">
        <v>59</v>
      </c>
      <c r="O190">
        <v>2</v>
      </c>
      <c r="P190">
        <v>1</v>
      </c>
      <c r="Q190">
        <v>36</v>
      </c>
      <c r="R190">
        <v>0.56930000000000003</v>
      </c>
      <c r="S190">
        <v>0.80130000000000001</v>
      </c>
      <c r="U190">
        <v>0.23199999999999998</v>
      </c>
      <c r="V190">
        <v>233.05702578452909</v>
      </c>
      <c r="W190">
        <v>50.113644749560116</v>
      </c>
      <c r="X190">
        <v>226.78057180640604</v>
      </c>
      <c r="Y190">
        <v>-5.2194281935939273</v>
      </c>
      <c r="Z190">
        <v>-2.3015323367512956</v>
      </c>
    </row>
    <row r="191" spans="1:26" x14ac:dyDescent="0.35">
      <c r="A191">
        <v>189</v>
      </c>
      <c r="B191" t="s">
        <v>686</v>
      </c>
      <c r="C191">
        <v>46043</v>
      </c>
      <c r="D191" t="s">
        <v>16</v>
      </c>
      <c r="E191" t="s">
        <v>92</v>
      </c>
      <c r="F191" t="s">
        <v>79</v>
      </c>
      <c r="G191" t="s">
        <v>80</v>
      </c>
      <c r="H191" t="s">
        <v>81</v>
      </c>
      <c r="I191" t="s">
        <v>22</v>
      </c>
      <c r="J191" t="s">
        <v>23</v>
      </c>
      <c r="K191" t="s">
        <v>24</v>
      </c>
      <c r="L191" t="s">
        <v>91</v>
      </c>
      <c r="M191">
        <v>27</v>
      </c>
      <c r="N191">
        <v>59</v>
      </c>
      <c r="O191">
        <v>2</v>
      </c>
      <c r="P191">
        <v>2</v>
      </c>
      <c r="Q191">
        <v>37</v>
      </c>
      <c r="R191">
        <v>0.57889999999999997</v>
      </c>
      <c r="S191">
        <v>0.76870000000000005</v>
      </c>
      <c r="U191">
        <v>0.18980000000000008</v>
      </c>
      <c r="V191">
        <v>275.25702578452899</v>
      </c>
      <c r="W191">
        <v>59.187800747700457</v>
      </c>
      <c r="X191">
        <v>226.78057180640604</v>
      </c>
      <c r="Y191">
        <v>36.980571806405976</v>
      </c>
      <c r="Z191">
        <v>16.306763631399114</v>
      </c>
    </row>
    <row r="192" spans="1:26" x14ac:dyDescent="0.35">
      <c r="A192">
        <v>190</v>
      </c>
      <c r="B192" t="s">
        <v>686</v>
      </c>
      <c r="C192">
        <v>46043</v>
      </c>
      <c r="D192" t="s">
        <v>16</v>
      </c>
      <c r="E192" t="s">
        <v>92</v>
      </c>
      <c r="F192" t="s">
        <v>79</v>
      </c>
      <c r="G192" t="s">
        <v>80</v>
      </c>
      <c r="H192" t="s">
        <v>81</v>
      </c>
      <c r="I192" t="s">
        <v>22</v>
      </c>
      <c r="J192" t="s">
        <v>23</v>
      </c>
      <c r="K192" t="s">
        <v>24</v>
      </c>
      <c r="L192" t="s">
        <v>91</v>
      </c>
      <c r="M192">
        <v>27</v>
      </c>
      <c r="N192">
        <v>59</v>
      </c>
      <c r="O192">
        <v>2</v>
      </c>
      <c r="P192">
        <v>3</v>
      </c>
      <c r="Q192">
        <v>38</v>
      </c>
      <c r="R192">
        <v>0.59730000000000005</v>
      </c>
      <c r="S192">
        <v>0.8448</v>
      </c>
      <c r="U192">
        <v>0.24749999999999994</v>
      </c>
      <c r="V192">
        <v>217.55702578452912</v>
      </c>
      <c r="W192">
        <v>46.780720153086769</v>
      </c>
      <c r="X192">
        <v>226.78057180640604</v>
      </c>
      <c r="Y192">
        <v>-20.719428193593899</v>
      </c>
      <c r="Z192">
        <v>-9.136332988560099</v>
      </c>
    </row>
    <row r="193" spans="1:27" x14ac:dyDescent="0.35">
      <c r="A193">
        <v>191</v>
      </c>
      <c r="B193" t="s">
        <v>686</v>
      </c>
      <c r="C193">
        <v>46043</v>
      </c>
      <c r="D193" t="s">
        <v>16</v>
      </c>
      <c r="E193" t="s">
        <v>94</v>
      </c>
      <c r="F193" t="s">
        <v>19</v>
      </c>
      <c r="G193" t="s">
        <v>29</v>
      </c>
      <c r="H193" t="s">
        <v>30</v>
      </c>
      <c r="I193" t="s">
        <v>22</v>
      </c>
      <c r="J193" t="s">
        <v>23</v>
      </c>
      <c r="K193" t="s">
        <v>24</v>
      </c>
      <c r="L193" t="s">
        <v>93</v>
      </c>
      <c r="M193">
        <v>27</v>
      </c>
      <c r="N193">
        <v>59</v>
      </c>
      <c r="O193">
        <v>2</v>
      </c>
      <c r="P193">
        <v>1</v>
      </c>
      <c r="Q193">
        <v>39</v>
      </c>
      <c r="R193">
        <v>0.59499999999999997</v>
      </c>
      <c r="S193">
        <v>0.99709999999999999</v>
      </c>
      <c r="U193">
        <v>0.40210000000000001</v>
      </c>
      <c r="V193">
        <v>71.265534188123638</v>
      </c>
      <c r="W193">
        <v>15.055074575793151</v>
      </c>
      <c r="X193">
        <v>292.55240658625172</v>
      </c>
      <c r="Y193">
        <v>-109.5475934137483</v>
      </c>
      <c r="Z193">
        <v>-37.445459667224085</v>
      </c>
    </row>
    <row r="194" spans="1:27" x14ac:dyDescent="0.35">
      <c r="A194">
        <v>192</v>
      </c>
      <c r="B194" t="s">
        <v>686</v>
      </c>
      <c r="C194">
        <v>46043</v>
      </c>
      <c r="D194" t="s">
        <v>16</v>
      </c>
      <c r="E194" t="s">
        <v>94</v>
      </c>
      <c r="F194" t="s">
        <v>19</v>
      </c>
      <c r="G194" t="s">
        <v>29</v>
      </c>
      <c r="H194" t="s">
        <v>30</v>
      </c>
      <c r="I194" t="s">
        <v>22</v>
      </c>
      <c r="J194" t="s">
        <v>23</v>
      </c>
      <c r="K194" t="s">
        <v>24</v>
      </c>
      <c r="L194" t="s">
        <v>93</v>
      </c>
      <c r="M194">
        <v>27</v>
      </c>
      <c r="N194">
        <v>59</v>
      </c>
      <c r="O194">
        <v>2</v>
      </c>
      <c r="P194">
        <v>2</v>
      </c>
      <c r="Q194">
        <v>40</v>
      </c>
      <c r="R194">
        <v>0.57179999999999997</v>
      </c>
      <c r="S194">
        <v>0.93559999999999999</v>
      </c>
      <c r="U194">
        <v>0.36380000000000001</v>
      </c>
      <c r="V194">
        <v>109.56553418812365</v>
      </c>
      <c r="W194">
        <v>23.146073441118002</v>
      </c>
      <c r="X194">
        <v>292.55240658625172</v>
      </c>
      <c r="Y194">
        <v>-71.247593413748291</v>
      </c>
      <c r="Z194">
        <v>-24.353788179398457</v>
      </c>
    </row>
    <row r="195" spans="1:27" x14ac:dyDescent="0.35">
      <c r="A195">
        <v>193</v>
      </c>
      <c r="B195" t="s">
        <v>686</v>
      </c>
      <c r="C195">
        <v>46043</v>
      </c>
      <c r="D195" t="s">
        <v>16</v>
      </c>
      <c r="E195" t="s">
        <v>94</v>
      </c>
      <c r="F195" t="s">
        <v>19</v>
      </c>
      <c r="G195" t="s">
        <v>29</v>
      </c>
      <c r="H195" t="s">
        <v>30</v>
      </c>
      <c r="I195" t="s">
        <v>22</v>
      </c>
      <c r="J195" t="s">
        <v>23</v>
      </c>
      <c r="K195" t="s">
        <v>24</v>
      </c>
      <c r="L195" t="s">
        <v>93</v>
      </c>
      <c r="M195">
        <v>27</v>
      </c>
      <c r="N195">
        <v>59</v>
      </c>
      <c r="O195">
        <v>2</v>
      </c>
      <c r="P195">
        <v>3</v>
      </c>
      <c r="Q195">
        <v>41</v>
      </c>
      <c r="R195">
        <v>0.57420000000000004</v>
      </c>
      <c r="S195">
        <v>0.95430000000000004</v>
      </c>
      <c r="U195">
        <v>0.38009999999999999</v>
      </c>
      <c r="V195">
        <v>93.170936759229164</v>
      </c>
      <c r="W195">
        <v>19.6865958846378</v>
      </c>
      <c r="X195">
        <v>292.49394287590275</v>
      </c>
      <c r="Y195">
        <v>-87.606057124097219</v>
      </c>
      <c r="Z195">
        <v>-29.95140899764413</v>
      </c>
    </row>
    <row r="196" spans="1:27" x14ac:dyDescent="0.35">
      <c r="A196">
        <v>194</v>
      </c>
      <c r="B196" t="s">
        <v>686</v>
      </c>
      <c r="C196">
        <v>46043</v>
      </c>
      <c r="D196" t="s">
        <v>16</v>
      </c>
      <c r="E196" t="s">
        <v>96</v>
      </c>
      <c r="F196" t="s">
        <v>19</v>
      </c>
      <c r="G196" t="s">
        <v>29</v>
      </c>
      <c r="H196" t="s">
        <v>30</v>
      </c>
      <c r="I196" t="s">
        <v>22</v>
      </c>
      <c r="J196" t="s">
        <v>23</v>
      </c>
      <c r="K196" t="s">
        <v>24</v>
      </c>
      <c r="L196" t="s">
        <v>95</v>
      </c>
      <c r="M196">
        <v>27</v>
      </c>
      <c r="N196">
        <v>59</v>
      </c>
      <c r="O196">
        <v>2</v>
      </c>
      <c r="P196">
        <v>1</v>
      </c>
      <c r="Q196">
        <v>42</v>
      </c>
      <c r="R196">
        <v>0.58389999999999997</v>
      </c>
      <c r="S196">
        <v>0.91310000000000002</v>
      </c>
      <c r="U196">
        <v>0.32920000000000005</v>
      </c>
      <c r="V196">
        <v>141.27647205838241</v>
      </c>
      <c r="W196">
        <v>30.028381959311051</v>
      </c>
      <c r="X196">
        <v>306.72045606368999</v>
      </c>
      <c r="Y196">
        <v>-22.479543936310051</v>
      </c>
      <c r="Z196">
        <v>-7.3290005579680715</v>
      </c>
    </row>
    <row r="197" spans="1:27" x14ac:dyDescent="0.35">
      <c r="A197">
        <v>195</v>
      </c>
      <c r="B197" t="s">
        <v>686</v>
      </c>
      <c r="C197">
        <v>46043</v>
      </c>
      <c r="D197" t="s">
        <v>16</v>
      </c>
      <c r="E197" t="s">
        <v>96</v>
      </c>
      <c r="F197" t="s">
        <v>19</v>
      </c>
      <c r="G197" t="s">
        <v>29</v>
      </c>
      <c r="H197" t="s">
        <v>30</v>
      </c>
      <c r="I197" t="s">
        <v>22</v>
      </c>
      <c r="J197" t="s">
        <v>23</v>
      </c>
      <c r="K197" t="s">
        <v>24</v>
      </c>
      <c r="L197" t="s">
        <v>95</v>
      </c>
      <c r="M197">
        <v>27</v>
      </c>
      <c r="N197">
        <v>59</v>
      </c>
      <c r="O197">
        <v>2</v>
      </c>
      <c r="P197">
        <v>2</v>
      </c>
      <c r="Q197">
        <v>43</v>
      </c>
      <c r="R197">
        <v>0.57599999999999996</v>
      </c>
      <c r="S197">
        <v>0.93510000000000004</v>
      </c>
      <c r="U197">
        <v>0.35910000000000009</v>
      </c>
      <c r="V197">
        <v>111.28239557926651</v>
      </c>
      <c r="W197">
        <v>23.657857229589649</v>
      </c>
      <c r="X197">
        <v>306.6591242388422</v>
      </c>
      <c r="Y197">
        <v>-52.440875761157884</v>
      </c>
      <c r="Z197">
        <v>-17.100706163992754</v>
      </c>
    </row>
    <row r="198" spans="1:27" x14ac:dyDescent="0.35">
      <c r="A198">
        <v>196</v>
      </c>
      <c r="B198" t="s">
        <v>686</v>
      </c>
      <c r="C198">
        <v>46043</v>
      </c>
      <c r="D198" t="s">
        <v>16</v>
      </c>
      <c r="E198" t="s">
        <v>96</v>
      </c>
      <c r="F198" t="s">
        <v>19</v>
      </c>
      <c r="G198" t="s">
        <v>29</v>
      </c>
      <c r="H198" t="s">
        <v>30</v>
      </c>
      <c r="I198" t="s">
        <v>22</v>
      </c>
      <c r="J198" t="s">
        <v>23</v>
      </c>
      <c r="K198" t="s">
        <v>24</v>
      </c>
      <c r="L198" t="s">
        <v>95</v>
      </c>
      <c r="M198">
        <v>27</v>
      </c>
      <c r="N198">
        <v>59</v>
      </c>
      <c r="O198">
        <v>2</v>
      </c>
      <c r="P198">
        <v>3</v>
      </c>
      <c r="Q198">
        <v>44</v>
      </c>
      <c r="R198">
        <v>0.57130000000000003</v>
      </c>
      <c r="S198">
        <v>0.93620000000000003</v>
      </c>
      <c r="U198">
        <v>0.3649</v>
      </c>
      <c r="V198">
        <v>105.7646250166141</v>
      </c>
      <c r="W198">
        <v>22.471335085546464</v>
      </c>
      <c r="X198">
        <v>306.84311971338548</v>
      </c>
      <c r="Y198">
        <v>-58.056880286614501</v>
      </c>
      <c r="Z198">
        <v>-18.92070460658984</v>
      </c>
    </row>
    <row r="199" spans="1:27" x14ac:dyDescent="0.35">
      <c r="A199">
        <v>197</v>
      </c>
      <c r="B199" t="s">
        <v>686</v>
      </c>
      <c r="C199">
        <v>46043</v>
      </c>
      <c r="D199" t="s">
        <v>16</v>
      </c>
      <c r="E199" t="s">
        <v>98</v>
      </c>
      <c r="F199" t="s">
        <v>99</v>
      </c>
      <c r="G199" t="s">
        <v>100</v>
      </c>
      <c r="H199" t="s">
        <v>101</v>
      </c>
      <c r="I199" t="s">
        <v>22</v>
      </c>
      <c r="J199" t="s">
        <v>23</v>
      </c>
      <c r="K199" t="s">
        <v>24</v>
      </c>
      <c r="L199" t="s">
        <v>97</v>
      </c>
      <c r="M199">
        <v>27</v>
      </c>
      <c r="N199">
        <v>59</v>
      </c>
      <c r="O199">
        <v>2</v>
      </c>
      <c r="P199">
        <v>1</v>
      </c>
      <c r="Q199">
        <v>45</v>
      </c>
      <c r="R199">
        <v>0.57830000000000004</v>
      </c>
      <c r="S199">
        <v>0.95789999999999997</v>
      </c>
      <c r="U199">
        <v>0.37959999999999994</v>
      </c>
      <c r="V199">
        <v>92.75837997201711</v>
      </c>
      <c r="W199">
        <v>19.63728895367797</v>
      </c>
      <c r="X199">
        <v>272.8447792213542</v>
      </c>
      <c r="Y199">
        <v>-106.75522077864571</v>
      </c>
      <c r="Z199">
        <v>-39.126722924039186</v>
      </c>
      <c r="AA199" t="s">
        <v>546</v>
      </c>
    </row>
    <row r="200" spans="1:27" x14ac:dyDescent="0.35">
      <c r="A200">
        <v>198</v>
      </c>
      <c r="B200" t="s">
        <v>686</v>
      </c>
      <c r="C200">
        <v>46043</v>
      </c>
      <c r="D200" t="s">
        <v>16</v>
      </c>
      <c r="E200" t="s">
        <v>98</v>
      </c>
      <c r="F200" t="s">
        <v>99</v>
      </c>
      <c r="G200" t="s">
        <v>100</v>
      </c>
      <c r="H200" t="s">
        <v>101</v>
      </c>
      <c r="I200" t="s">
        <v>22</v>
      </c>
      <c r="J200" t="s">
        <v>23</v>
      </c>
      <c r="K200" t="s">
        <v>24</v>
      </c>
      <c r="L200" t="s">
        <v>97</v>
      </c>
      <c r="M200">
        <v>27</v>
      </c>
      <c r="N200">
        <v>59</v>
      </c>
      <c r="O200">
        <v>2</v>
      </c>
      <c r="P200">
        <v>2</v>
      </c>
      <c r="Q200">
        <v>46</v>
      </c>
      <c r="R200">
        <v>0.57169999999999999</v>
      </c>
      <c r="S200">
        <v>0.79659999999999997</v>
      </c>
      <c r="U200">
        <v>0.22489999999999999</v>
      </c>
      <c r="V200">
        <v>247.83626667599464</v>
      </c>
      <c r="W200">
        <v>52.425905128589889</v>
      </c>
      <c r="X200">
        <v>273.0630550447313</v>
      </c>
      <c r="Y200">
        <v>48.163055044731323</v>
      </c>
      <c r="Z200">
        <v>17.638070824645826</v>
      </c>
    </row>
    <row r="201" spans="1:27" x14ac:dyDescent="0.35">
      <c r="A201">
        <v>199</v>
      </c>
      <c r="B201" t="s">
        <v>686</v>
      </c>
      <c r="C201">
        <v>46043</v>
      </c>
      <c r="D201" t="s">
        <v>16</v>
      </c>
      <c r="E201" t="s">
        <v>98</v>
      </c>
      <c r="F201" t="s">
        <v>99</v>
      </c>
      <c r="G201" t="s">
        <v>100</v>
      </c>
      <c r="H201" t="s">
        <v>101</v>
      </c>
      <c r="I201" t="s">
        <v>22</v>
      </c>
      <c r="J201" t="s">
        <v>23</v>
      </c>
      <c r="K201" t="s">
        <v>24</v>
      </c>
      <c r="L201" t="s">
        <v>97</v>
      </c>
      <c r="M201">
        <v>27</v>
      </c>
      <c r="N201">
        <v>59</v>
      </c>
      <c r="O201">
        <v>2</v>
      </c>
      <c r="P201">
        <v>3</v>
      </c>
      <c r="Q201">
        <v>47</v>
      </c>
      <c r="R201">
        <v>0.59560000000000002</v>
      </c>
      <c r="S201">
        <v>0.83289999999999997</v>
      </c>
      <c r="U201">
        <v>0.23729999999999996</v>
      </c>
      <c r="V201">
        <v>235.24732332400583</v>
      </c>
      <c r="W201">
        <v>49.782807289907481</v>
      </c>
      <c r="X201">
        <v>272.95391713304275</v>
      </c>
      <c r="Y201">
        <v>35.653917133042796</v>
      </c>
      <c r="Z201">
        <v>13.062247835653674</v>
      </c>
    </row>
    <row r="202" spans="1:27" x14ac:dyDescent="0.35">
      <c r="A202">
        <v>200</v>
      </c>
      <c r="B202" t="s">
        <v>686</v>
      </c>
      <c r="C202">
        <v>46043</v>
      </c>
      <c r="D202" t="s">
        <v>102</v>
      </c>
      <c r="E202" t="s">
        <v>104</v>
      </c>
      <c r="F202" t="s">
        <v>105</v>
      </c>
      <c r="G202" t="s">
        <v>106</v>
      </c>
      <c r="H202" t="s">
        <v>107</v>
      </c>
      <c r="I202" t="s">
        <v>108</v>
      </c>
      <c r="J202" t="s">
        <v>109</v>
      </c>
      <c r="K202" t="s">
        <v>110</v>
      </c>
      <c r="L202" t="s">
        <v>103</v>
      </c>
      <c r="M202">
        <v>27</v>
      </c>
      <c r="N202">
        <v>59</v>
      </c>
      <c r="O202">
        <v>2</v>
      </c>
      <c r="P202">
        <v>1</v>
      </c>
      <c r="Q202">
        <v>48</v>
      </c>
      <c r="R202">
        <v>0.59060000000000001</v>
      </c>
      <c r="S202">
        <v>0.80859999999999999</v>
      </c>
      <c r="U202">
        <v>0.21799999999999997</v>
      </c>
      <c r="V202">
        <v>267.00525062393399</v>
      </c>
      <c r="W202">
        <v>55.052032999734671</v>
      </c>
      <c r="X202">
        <v>301.35146881638798</v>
      </c>
      <c r="Y202">
        <v>83.351468816388007</v>
      </c>
      <c r="Z202">
        <v>27.65922102313484</v>
      </c>
    </row>
    <row r="203" spans="1:27" x14ac:dyDescent="0.35">
      <c r="A203">
        <v>201</v>
      </c>
      <c r="B203" t="s">
        <v>686</v>
      </c>
      <c r="C203">
        <v>46043</v>
      </c>
      <c r="D203" t="s">
        <v>102</v>
      </c>
      <c r="E203" t="s">
        <v>104</v>
      </c>
      <c r="F203" t="s">
        <v>105</v>
      </c>
      <c r="G203" t="s">
        <v>106</v>
      </c>
      <c r="H203" t="s">
        <v>107</v>
      </c>
      <c r="I203" t="s">
        <v>108</v>
      </c>
      <c r="J203" t="s">
        <v>109</v>
      </c>
      <c r="K203" t="s">
        <v>110</v>
      </c>
      <c r="L203" t="s">
        <v>103</v>
      </c>
      <c r="M203">
        <v>27</v>
      </c>
      <c r="N203">
        <v>59</v>
      </c>
      <c r="O203">
        <v>2</v>
      </c>
      <c r="P203">
        <v>2</v>
      </c>
      <c r="Q203">
        <v>49</v>
      </c>
      <c r="R203">
        <v>0.57630000000000003</v>
      </c>
      <c r="S203">
        <v>0.89480000000000004</v>
      </c>
      <c r="U203">
        <v>0.31850000000000001</v>
      </c>
      <c r="V203">
        <v>166.50525062393399</v>
      </c>
      <c r="W203">
        <v>34.33060784594263</v>
      </c>
      <c r="X203">
        <v>301.35146881638798</v>
      </c>
      <c r="Y203">
        <v>-17.148531183612022</v>
      </c>
      <c r="Z203">
        <v>-5.6905417620713639</v>
      </c>
    </row>
    <row r="204" spans="1:27" x14ac:dyDescent="0.35">
      <c r="A204">
        <v>202</v>
      </c>
      <c r="B204" t="s">
        <v>686</v>
      </c>
      <c r="C204">
        <v>46043</v>
      </c>
      <c r="D204" t="s">
        <v>102</v>
      </c>
      <c r="E204" t="s">
        <v>104</v>
      </c>
      <c r="F204" t="s">
        <v>105</v>
      </c>
      <c r="G204" t="s">
        <v>106</v>
      </c>
      <c r="H204" t="s">
        <v>107</v>
      </c>
      <c r="I204" t="s">
        <v>108</v>
      </c>
      <c r="J204" t="s">
        <v>109</v>
      </c>
      <c r="K204" t="s">
        <v>110</v>
      </c>
      <c r="L204" t="s">
        <v>103</v>
      </c>
      <c r="M204">
        <v>27</v>
      </c>
      <c r="N204">
        <v>59</v>
      </c>
      <c r="O204">
        <v>2</v>
      </c>
      <c r="P204">
        <v>3</v>
      </c>
      <c r="Q204">
        <v>50</v>
      </c>
      <c r="R204">
        <v>0.60329999999999995</v>
      </c>
      <c r="S204">
        <v>0.81120000000000003</v>
      </c>
      <c r="U204">
        <v>0.20790000000000008</v>
      </c>
      <c r="V204">
        <v>277.1052506239339</v>
      </c>
      <c r="W204">
        <v>57.134484681857032</v>
      </c>
      <c r="X204">
        <v>301.35146881638798</v>
      </c>
      <c r="Y204">
        <v>93.451468816387887</v>
      </c>
      <c r="Z204">
        <v>31.010789223439101</v>
      </c>
    </row>
    <row r="205" spans="1:27" x14ac:dyDescent="0.35">
      <c r="A205">
        <v>203</v>
      </c>
      <c r="B205" t="s">
        <v>686</v>
      </c>
      <c r="C205">
        <v>46043</v>
      </c>
      <c r="D205" t="s">
        <v>102</v>
      </c>
      <c r="E205" t="s">
        <v>114</v>
      </c>
      <c r="F205" t="s">
        <v>544</v>
      </c>
      <c r="G205" t="s">
        <v>116</v>
      </c>
      <c r="H205" t="s">
        <v>117</v>
      </c>
      <c r="I205" t="s">
        <v>22</v>
      </c>
      <c r="J205" t="s">
        <v>23</v>
      </c>
      <c r="K205" t="s">
        <v>118</v>
      </c>
      <c r="L205" t="s">
        <v>113</v>
      </c>
      <c r="M205">
        <v>27</v>
      </c>
      <c r="N205">
        <v>59</v>
      </c>
      <c r="O205">
        <v>2</v>
      </c>
      <c r="P205">
        <v>1</v>
      </c>
      <c r="Q205">
        <v>51</v>
      </c>
      <c r="R205">
        <v>0.58499999999999996</v>
      </c>
      <c r="S205">
        <v>0.80330000000000001</v>
      </c>
      <c r="U205">
        <v>0.21830000000000005</v>
      </c>
      <c r="V205">
        <v>249.56036003873041</v>
      </c>
      <c r="W205">
        <v>53.340778863606076</v>
      </c>
      <c r="X205">
        <v>220.8534829562827</v>
      </c>
      <c r="Y205">
        <v>2.5534829562826644</v>
      </c>
      <c r="Z205">
        <v>1.1561886740940006</v>
      </c>
    </row>
    <row r="206" spans="1:27" x14ac:dyDescent="0.35">
      <c r="A206">
        <v>204</v>
      </c>
      <c r="B206" t="s">
        <v>686</v>
      </c>
      <c r="C206">
        <v>46043</v>
      </c>
      <c r="D206" t="s">
        <v>102</v>
      </c>
      <c r="E206" t="s">
        <v>114</v>
      </c>
      <c r="F206" t="s">
        <v>544</v>
      </c>
      <c r="G206" t="s">
        <v>116</v>
      </c>
      <c r="H206" t="s">
        <v>117</v>
      </c>
      <c r="I206" t="s">
        <v>22</v>
      </c>
      <c r="J206" t="s">
        <v>23</v>
      </c>
      <c r="K206" t="s">
        <v>118</v>
      </c>
      <c r="L206" t="s">
        <v>113</v>
      </c>
      <c r="M206">
        <v>27</v>
      </c>
      <c r="N206">
        <v>59</v>
      </c>
      <c r="O206">
        <v>2</v>
      </c>
      <c r="P206">
        <v>2</v>
      </c>
      <c r="Q206">
        <v>52</v>
      </c>
      <c r="R206">
        <v>0.56589999999999996</v>
      </c>
      <c r="S206">
        <v>0.80989999999999995</v>
      </c>
      <c r="U206">
        <v>0.24399999999999999</v>
      </c>
      <c r="V206">
        <v>223.57986821616527</v>
      </c>
      <c r="W206">
        <v>47.816401734559456</v>
      </c>
      <c r="X206">
        <v>220.72107679144079</v>
      </c>
      <c r="Y206">
        <v>-23.278923208559206</v>
      </c>
      <c r="Z206">
        <v>-10.546760439446137</v>
      </c>
    </row>
    <row r="207" spans="1:27" x14ac:dyDescent="0.35">
      <c r="A207">
        <v>205</v>
      </c>
      <c r="B207" t="s">
        <v>687</v>
      </c>
      <c r="C207">
        <v>46043</v>
      </c>
      <c r="D207" t="s">
        <v>102</v>
      </c>
      <c r="E207" t="s">
        <v>114</v>
      </c>
      <c r="F207" t="s">
        <v>544</v>
      </c>
      <c r="G207" t="s">
        <v>116</v>
      </c>
      <c r="H207" t="s">
        <v>117</v>
      </c>
      <c r="I207" t="s">
        <v>22</v>
      </c>
      <c r="J207" t="s">
        <v>23</v>
      </c>
      <c r="K207" t="s">
        <v>118</v>
      </c>
      <c r="L207" t="s">
        <v>113</v>
      </c>
      <c r="M207">
        <v>27</v>
      </c>
      <c r="N207">
        <v>59</v>
      </c>
      <c r="O207">
        <v>2</v>
      </c>
      <c r="P207">
        <v>3</v>
      </c>
      <c r="Q207">
        <v>53</v>
      </c>
      <c r="R207">
        <v>0.55220000000000002</v>
      </c>
      <c r="S207">
        <v>0.77639999999999998</v>
      </c>
      <c r="U207">
        <v>0.22419999999999995</v>
      </c>
      <c r="V207">
        <v>243.37986821616531</v>
      </c>
      <c r="W207">
        <v>52.050972413476359</v>
      </c>
      <c r="X207">
        <v>220.72107679144079</v>
      </c>
      <c r="Y207">
        <v>-3.4789232085591664</v>
      </c>
      <c r="Z207">
        <v>-1.5761626660812273</v>
      </c>
    </row>
    <row r="208" spans="1:27" x14ac:dyDescent="0.35">
      <c r="A208">
        <v>206</v>
      </c>
      <c r="B208" t="s">
        <v>687</v>
      </c>
      <c r="C208">
        <v>46043</v>
      </c>
      <c r="D208" t="s">
        <v>120</v>
      </c>
      <c r="E208" t="s">
        <v>122</v>
      </c>
      <c r="F208" t="s">
        <v>123</v>
      </c>
      <c r="G208" t="s">
        <v>545</v>
      </c>
      <c r="H208" t="s">
        <v>125</v>
      </c>
      <c r="I208" t="s">
        <v>108</v>
      </c>
      <c r="J208" t="s">
        <v>109</v>
      </c>
      <c r="K208" t="s">
        <v>110</v>
      </c>
      <c r="L208" t="s">
        <v>121</v>
      </c>
      <c r="M208">
        <v>27</v>
      </c>
      <c r="N208">
        <v>59</v>
      </c>
      <c r="O208">
        <v>2</v>
      </c>
      <c r="P208">
        <v>1</v>
      </c>
      <c r="Q208">
        <v>54</v>
      </c>
      <c r="R208">
        <v>0.58150000000000002</v>
      </c>
      <c r="S208">
        <v>0.95889999999999997</v>
      </c>
      <c r="U208">
        <v>0.37739999999999996</v>
      </c>
      <c r="V208">
        <v>90.443550000000016</v>
      </c>
      <c r="W208">
        <v>19.332007462751175</v>
      </c>
      <c r="X208">
        <v>356.02894154999996</v>
      </c>
      <c r="Y208">
        <v>-21.371058450000021</v>
      </c>
      <c r="Z208">
        <v>-6.0026183143874317</v>
      </c>
    </row>
    <row r="209" spans="1:26" x14ac:dyDescent="0.35">
      <c r="A209">
        <v>207</v>
      </c>
      <c r="B209" t="s">
        <v>687</v>
      </c>
      <c r="C209">
        <v>46043</v>
      </c>
      <c r="D209" t="s">
        <v>120</v>
      </c>
      <c r="E209" t="s">
        <v>122</v>
      </c>
      <c r="F209" t="s">
        <v>123</v>
      </c>
      <c r="G209" t="s">
        <v>545</v>
      </c>
      <c r="H209" t="s">
        <v>125</v>
      </c>
      <c r="I209" t="s">
        <v>108</v>
      </c>
      <c r="J209" t="s">
        <v>109</v>
      </c>
      <c r="K209" t="s">
        <v>110</v>
      </c>
      <c r="L209" t="s">
        <v>121</v>
      </c>
      <c r="M209">
        <v>27</v>
      </c>
      <c r="N209">
        <v>59</v>
      </c>
      <c r="O209">
        <v>2</v>
      </c>
      <c r="P209">
        <v>2</v>
      </c>
      <c r="Q209">
        <v>55</v>
      </c>
      <c r="R209">
        <v>0.57779999999999998</v>
      </c>
      <c r="S209">
        <v>0.97199999999999998</v>
      </c>
      <c r="U209">
        <v>0.39419999999999999</v>
      </c>
      <c r="V209">
        <v>73.737099999999998</v>
      </c>
      <c r="W209">
        <v>15.757908488127997</v>
      </c>
      <c r="X209">
        <v>356.10013309999994</v>
      </c>
      <c r="Y209">
        <v>-38.099866900000052</v>
      </c>
      <c r="Z209">
        <v>-10.699200409818678</v>
      </c>
    </row>
    <row r="210" spans="1:26" x14ac:dyDescent="0.35">
      <c r="A210">
        <v>208</v>
      </c>
      <c r="B210" t="s">
        <v>687</v>
      </c>
      <c r="C210">
        <v>46043</v>
      </c>
      <c r="D210" t="s">
        <v>120</v>
      </c>
      <c r="E210" t="s">
        <v>122</v>
      </c>
      <c r="F210" t="s">
        <v>123</v>
      </c>
      <c r="G210" t="s">
        <v>545</v>
      </c>
      <c r="H210" t="s">
        <v>125</v>
      </c>
      <c r="I210" t="s">
        <v>108</v>
      </c>
      <c r="J210" t="s">
        <v>109</v>
      </c>
      <c r="K210" t="s">
        <v>110</v>
      </c>
      <c r="L210" t="s">
        <v>121</v>
      </c>
      <c r="M210">
        <v>27</v>
      </c>
      <c r="N210">
        <v>59</v>
      </c>
      <c r="O210">
        <v>2</v>
      </c>
      <c r="P210">
        <v>3</v>
      </c>
      <c r="Q210">
        <v>56</v>
      </c>
      <c r="R210">
        <v>0.57550000000000001</v>
      </c>
      <c r="S210">
        <v>0.95660000000000001</v>
      </c>
      <c r="U210">
        <v>0.38109999999999999</v>
      </c>
      <c r="V210">
        <v>86.743549999999971</v>
      </c>
      <c r="W210">
        <v>18.541144790817352</v>
      </c>
      <c r="X210">
        <v>356.02894154999996</v>
      </c>
      <c r="Y210">
        <v>-25.071058450000066</v>
      </c>
      <c r="Z210">
        <v>-7.0418596704108509</v>
      </c>
    </row>
    <row r="211" spans="1:26" x14ac:dyDescent="0.35">
      <c r="A211">
        <v>209</v>
      </c>
      <c r="B211" t="s">
        <v>687</v>
      </c>
      <c r="C211">
        <v>46043</v>
      </c>
      <c r="D211">
        <v>0</v>
      </c>
      <c r="E211" t="s">
        <v>537</v>
      </c>
      <c r="F211" t="s">
        <v>538</v>
      </c>
      <c r="G211">
        <v>24</v>
      </c>
      <c r="H211" t="s">
        <v>537</v>
      </c>
      <c r="I211">
        <v>0</v>
      </c>
      <c r="J211">
        <v>0</v>
      </c>
      <c r="K211">
        <v>0</v>
      </c>
      <c r="L211" t="s">
        <v>539</v>
      </c>
      <c r="M211">
        <v>27</v>
      </c>
      <c r="N211">
        <v>59</v>
      </c>
      <c r="O211">
        <v>2</v>
      </c>
      <c r="P211">
        <v>1</v>
      </c>
      <c r="Q211">
        <v>57</v>
      </c>
    </row>
    <row r="212" spans="1:26" x14ac:dyDescent="0.35">
      <c r="A212">
        <v>210</v>
      </c>
      <c r="B212" t="s">
        <v>687</v>
      </c>
      <c r="C212">
        <v>46043</v>
      </c>
      <c r="D212">
        <v>0</v>
      </c>
      <c r="E212" t="s">
        <v>537</v>
      </c>
      <c r="F212" t="s">
        <v>538</v>
      </c>
      <c r="G212">
        <v>24</v>
      </c>
      <c r="H212" t="s">
        <v>537</v>
      </c>
      <c r="I212">
        <v>0</v>
      </c>
      <c r="J212">
        <v>0</v>
      </c>
      <c r="K212">
        <v>0</v>
      </c>
      <c r="L212" t="s">
        <v>539</v>
      </c>
      <c r="M212">
        <v>27</v>
      </c>
      <c r="N212">
        <v>59</v>
      </c>
      <c r="O212">
        <v>2</v>
      </c>
      <c r="P212">
        <v>2</v>
      </c>
      <c r="Q212">
        <v>58</v>
      </c>
    </row>
    <row r="213" spans="1:26" x14ac:dyDescent="0.35">
      <c r="A213">
        <v>211</v>
      </c>
      <c r="C213">
        <v>46076</v>
      </c>
      <c r="D213">
        <v>0</v>
      </c>
      <c r="E213" t="s">
        <v>537</v>
      </c>
      <c r="F213">
        <v>0</v>
      </c>
      <c r="G213">
        <v>0</v>
      </c>
      <c r="H213" t="s">
        <v>537</v>
      </c>
      <c r="I213">
        <v>0</v>
      </c>
      <c r="J213">
        <v>0</v>
      </c>
      <c r="K213">
        <v>0</v>
      </c>
      <c r="L213" t="s">
        <v>537</v>
      </c>
      <c r="M213">
        <v>27</v>
      </c>
      <c r="N213">
        <v>69</v>
      </c>
      <c r="O213">
        <v>3</v>
      </c>
      <c r="P213">
        <v>1</v>
      </c>
      <c r="Q213">
        <v>73</v>
      </c>
    </row>
    <row r="214" spans="1:26" x14ac:dyDescent="0.35">
      <c r="A214">
        <v>212</v>
      </c>
      <c r="C214">
        <v>46076</v>
      </c>
      <c r="D214">
        <v>0</v>
      </c>
      <c r="E214" t="s">
        <v>537</v>
      </c>
      <c r="F214">
        <v>0</v>
      </c>
      <c r="G214">
        <v>0</v>
      </c>
      <c r="H214" t="s">
        <v>537</v>
      </c>
      <c r="I214">
        <v>0</v>
      </c>
      <c r="J214">
        <v>0</v>
      </c>
      <c r="K214">
        <v>0</v>
      </c>
      <c r="L214" t="s">
        <v>537</v>
      </c>
      <c r="M214">
        <v>27</v>
      </c>
      <c r="N214">
        <v>69</v>
      </c>
      <c r="O214">
        <v>3</v>
      </c>
      <c r="P214">
        <v>2</v>
      </c>
      <c r="Q214">
        <v>74</v>
      </c>
    </row>
    <row r="215" spans="1:26" x14ac:dyDescent="0.35">
      <c r="A215">
        <v>213</v>
      </c>
      <c r="C215">
        <v>46076</v>
      </c>
      <c r="D215" t="s">
        <v>16</v>
      </c>
      <c r="E215" t="s">
        <v>18</v>
      </c>
      <c r="F215" t="s">
        <v>19</v>
      </c>
      <c r="G215" t="s">
        <v>20</v>
      </c>
      <c r="H215" t="s">
        <v>21</v>
      </c>
      <c r="I215" t="s">
        <v>22</v>
      </c>
      <c r="J215" t="s">
        <v>23</v>
      </c>
      <c r="K215" t="s">
        <v>24</v>
      </c>
      <c r="L215" t="s">
        <v>17</v>
      </c>
      <c r="M215">
        <v>27</v>
      </c>
      <c r="N215">
        <v>69</v>
      </c>
      <c r="O215">
        <v>3</v>
      </c>
      <c r="P215">
        <v>1</v>
      </c>
      <c r="Q215">
        <v>75</v>
      </c>
      <c r="R215">
        <v>0.58009999999999995</v>
      </c>
      <c r="S215">
        <v>0.91600000000000004</v>
      </c>
      <c r="U215">
        <v>0.33590000000000009</v>
      </c>
      <c r="V215">
        <v>139.33100349065717</v>
      </c>
      <c r="W215">
        <v>29.31858453409939</v>
      </c>
      <c r="X215">
        <v>287.06024035053724</v>
      </c>
      <c r="Y215">
        <v>-48.839759649462849</v>
      </c>
      <c r="Z215">
        <v>-17.013766723605908</v>
      </c>
    </row>
    <row r="216" spans="1:26" x14ac:dyDescent="0.35">
      <c r="A216">
        <v>214</v>
      </c>
      <c r="C216">
        <v>46076</v>
      </c>
      <c r="D216" t="s">
        <v>16</v>
      </c>
      <c r="E216" t="s">
        <v>18</v>
      </c>
      <c r="F216" t="s">
        <v>19</v>
      </c>
      <c r="G216" t="s">
        <v>20</v>
      </c>
      <c r="H216" t="s">
        <v>21</v>
      </c>
      <c r="I216" t="s">
        <v>22</v>
      </c>
      <c r="J216" t="s">
        <v>23</v>
      </c>
      <c r="K216" t="s">
        <v>24</v>
      </c>
      <c r="L216" t="s">
        <v>17</v>
      </c>
      <c r="M216">
        <v>27</v>
      </c>
      <c r="N216">
        <v>69</v>
      </c>
      <c r="O216">
        <v>3</v>
      </c>
      <c r="P216">
        <v>2</v>
      </c>
      <c r="Q216">
        <v>76</v>
      </c>
      <c r="R216">
        <v>0.55149999999999999</v>
      </c>
      <c r="S216">
        <v>0.88739999999999997</v>
      </c>
      <c r="U216">
        <v>0.33589999999999998</v>
      </c>
      <c r="V216">
        <v>139.33100349065728</v>
      </c>
      <c r="W216">
        <v>29.318584534099411</v>
      </c>
      <c r="X216">
        <v>287.06024035053724</v>
      </c>
      <c r="Y216">
        <v>-48.839759649462735</v>
      </c>
      <c r="Z216">
        <v>-17.013766723605869</v>
      </c>
    </row>
    <row r="217" spans="1:26" x14ac:dyDescent="0.35">
      <c r="A217">
        <v>215</v>
      </c>
      <c r="C217">
        <v>46076</v>
      </c>
      <c r="D217" t="s">
        <v>16</v>
      </c>
      <c r="E217" t="s">
        <v>28</v>
      </c>
      <c r="F217" t="s">
        <v>19</v>
      </c>
      <c r="G217" t="s">
        <v>29</v>
      </c>
      <c r="H217" t="s">
        <v>30</v>
      </c>
      <c r="I217" t="s">
        <v>22</v>
      </c>
      <c r="J217" t="s">
        <v>23</v>
      </c>
      <c r="K217" t="s">
        <v>24</v>
      </c>
      <c r="L217" t="s">
        <v>27</v>
      </c>
      <c r="M217">
        <v>27</v>
      </c>
      <c r="N217">
        <v>69</v>
      </c>
      <c r="O217">
        <v>3</v>
      </c>
      <c r="P217">
        <v>1</v>
      </c>
      <c r="Q217">
        <v>77</v>
      </c>
      <c r="R217">
        <v>0.56089999999999995</v>
      </c>
      <c r="S217">
        <v>0.95269999999999999</v>
      </c>
      <c r="U217">
        <v>0.39180000000000004</v>
      </c>
      <c r="V217">
        <v>83.61879586586457</v>
      </c>
      <c r="W217">
        <v>17.588449719067672</v>
      </c>
      <c r="X217">
        <v>270.41606156583083</v>
      </c>
      <c r="Y217">
        <v>-121.38393843416918</v>
      </c>
      <c r="Z217">
        <v>-44.887843470281126</v>
      </c>
    </row>
    <row r="218" spans="1:26" x14ac:dyDescent="0.35">
      <c r="A218">
        <v>216</v>
      </c>
      <c r="C218">
        <v>46076</v>
      </c>
      <c r="D218" t="s">
        <v>16</v>
      </c>
      <c r="E218" t="s">
        <v>28</v>
      </c>
      <c r="F218" t="s">
        <v>19</v>
      </c>
      <c r="G218" t="s">
        <v>29</v>
      </c>
      <c r="H218" t="s">
        <v>30</v>
      </c>
      <c r="I218" t="s">
        <v>22</v>
      </c>
      <c r="J218" t="s">
        <v>23</v>
      </c>
      <c r="K218" t="s">
        <v>24</v>
      </c>
      <c r="L218" t="s">
        <v>27</v>
      </c>
      <c r="M218">
        <v>27</v>
      </c>
      <c r="N218">
        <v>69</v>
      </c>
      <c r="O218">
        <v>3</v>
      </c>
      <c r="P218">
        <v>2</v>
      </c>
      <c r="Q218">
        <v>78</v>
      </c>
      <c r="R218">
        <v>0.60160000000000002</v>
      </c>
      <c r="S218">
        <v>0.96319999999999995</v>
      </c>
      <c r="U218">
        <v>0.36159999999999992</v>
      </c>
      <c r="V218">
        <v>114.00888734761833</v>
      </c>
      <c r="W218">
        <v>23.971143176786406</v>
      </c>
      <c r="X218">
        <v>270.52418474118701</v>
      </c>
      <c r="Y218">
        <v>-91.075815258812895</v>
      </c>
      <c r="Z218">
        <v>-33.666422595800803</v>
      </c>
    </row>
    <row r="219" spans="1:26" x14ac:dyDescent="0.35">
      <c r="A219">
        <v>217</v>
      </c>
      <c r="C219">
        <v>46076</v>
      </c>
      <c r="D219" t="s">
        <v>16</v>
      </c>
      <c r="E219" t="s">
        <v>32</v>
      </c>
      <c r="F219" t="s">
        <v>19</v>
      </c>
      <c r="G219" t="s">
        <v>20</v>
      </c>
      <c r="H219" t="s">
        <v>21</v>
      </c>
      <c r="I219" t="s">
        <v>22</v>
      </c>
      <c r="J219" t="s">
        <v>23</v>
      </c>
      <c r="K219" t="s">
        <v>24</v>
      </c>
      <c r="L219" t="s">
        <v>31</v>
      </c>
      <c r="M219">
        <v>27</v>
      </c>
      <c r="N219">
        <v>69</v>
      </c>
      <c r="O219">
        <v>3</v>
      </c>
      <c r="P219">
        <v>1</v>
      </c>
      <c r="Q219">
        <v>79</v>
      </c>
      <c r="R219">
        <v>0.58919999999999995</v>
      </c>
      <c r="S219">
        <v>0.94899999999999995</v>
      </c>
      <c r="U219">
        <v>0.35980000000000001</v>
      </c>
      <c r="V219">
        <v>112.36234381309635</v>
      </c>
      <c r="W219">
        <v>23.797396231490783</v>
      </c>
      <c r="X219">
        <v>283.03292377823465</v>
      </c>
      <c r="Y219">
        <v>-76.767076221765365</v>
      </c>
      <c r="Z219">
        <v>-27.123019893584825</v>
      </c>
    </row>
    <row r="220" spans="1:26" x14ac:dyDescent="0.35">
      <c r="A220">
        <v>218</v>
      </c>
      <c r="C220">
        <v>46076</v>
      </c>
      <c r="D220" t="s">
        <v>16</v>
      </c>
      <c r="E220" t="s">
        <v>32</v>
      </c>
      <c r="F220" t="s">
        <v>19</v>
      </c>
      <c r="G220" t="s">
        <v>20</v>
      </c>
      <c r="H220" t="s">
        <v>21</v>
      </c>
      <c r="I220" t="s">
        <v>22</v>
      </c>
      <c r="J220" t="s">
        <v>23</v>
      </c>
      <c r="K220" t="s">
        <v>24</v>
      </c>
      <c r="L220" t="s">
        <v>31</v>
      </c>
      <c r="M220">
        <v>27</v>
      </c>
      <c r="N220">
        <v>69</v>
      </c>
      <c r="O220">
        <v>3</v>
      </c>
      <c r="P220">
        <v>2</v>
      </c>
      <c r="Q220">
        <v>80</v>
      </c>
      <c r="R220">
        <v>0.55730000000000002</v>
      </c>
      <c r="S220">
        <v>0.88739999999999997</v>
      </c>
      <c r="U220">
        <v>0.33009999999999995</v>
      </c>
      <c r="V220">
        <v>141.68491588039211</v>
      </c>
      <c r="W220">
        <v>30.031675687637367</v>
      </c>
      <c r="X220">
        <v>282.80667843548628</v>
      </c>
      <c r="Y220">
        <v>-47.29332156451369</v>
      </c>
      <c r="Z220">
        <v>-16.722844674724406</v>
      </c>
    </row>
    <row r="221" spans="1:26" x14ac:dyDescent="0.35">
      <c r="A221">
        <v>219</v>
      </c>
      <c r="C221">
        <v>46076</v>
      </c>
      <c r="D221" t="s">
        <v>16</v>
      </c>
      <c r="E221" t="s">
        <v>34</v>
      </c>
      <c r="F221" t="s">
        <v>19</v>
      </c>
      <c r="G221" t="s">
        <v>29</v>
      </c>
      <c r="H221" t="s">
        <v>30</v>
      </c>
      <c r="I221" t="s">
        <v>22</v>
      </c>
      <c r="J221" t="s">
        <v>23</v>
      </c>
      <c r="K221" t="s">
        <v>24</v>
      </c>
      <c r="L221" t="s">
        <v>33</v>
      </c>
      <c r="M221">
        <v>27</v>
      </c>
      <c r="N221">
        <v>69</v>
      </c>
      <c r="O221">
        <v>3</v>
      </c>
      <c r="P221">
        <v>1</v>
      </c>
      <c r="Q221">
        <v>81</v>
      </c>
      <c r="R221">
        <v>0.57579999999999998</v>
      </c>
      <c r="S221">
        <v>0.97799999999999998</v>
      </c>
      <c r="U221">
        <v>0.4022</v>
      </c>
      <c r="V221">
        <v>68.745609403914671</v>
      </c>
      <c r="W221">
        <v>14.597356474121796</v>
      </c>
      <c r="X221">
        <v>303.08647766104639</v>
      </c>
      <c r="Y221">
        <v>-99.113522338953601</v>
      </c>
      <c r="Z221">
        <v>-32.70140030786731</v>
      </c>
    </row>
    <row r="222" spans="1:26" x14ac:dyDescent="0.35">
      <c r="A222">
        <v>220</v>
      </c>
      <c r="C222">
        <v>46076</v>
      </c>
      <c r="D222" t="s">
        <v>16</v>
      </c>
      <c r="E222" t="s">
        <v>34</v>
      </c>
      <c r="F222" t="s">
        <v>19</v>
      </c>
      <c r="G222" t="s">
        <v>29</v>
      </c>
      <c r="H222" t="s">
        <v>30</v>
      </c>
      <c r="I222" t="s">
        <v>22</v>
      </c>
      <c r="J222" t="s">
        <v>23</v>
      </c>
      <c r="K222" t="s">
        <v>24</v>
      </c>
      <c r="L222" t="s">
        <v>33</v>
      </c>
      <c r="M222">
        <v>27</v>
      </c>
      <c r="N222">
        <v>69</v>
      </c>
      <c r="O222">
        <v>3</v>
      </c>
      <c r="P222">
        <v>2</v>
      </c>
      <c r="Q222">
        <v>82</v>
      </c>
      <c r="R222">
        <v>0.56440000000000001</v>
      </c>
      <c r="S222">
        <v>0.95250000000000001</v>
      </c>
      <c r="U222">
        <v>0.3881</v>
      </c>
      <c r="V222">
        <v>82.657344119323852</v>
      </c>
      <c r="W222">
        <v>17.558375913169506</v>
      </c>
      <c r="X222">
        <v>302.9653157671184</v>
      </c>
      <c r="Y222">
        <v>-85.134684232881625</v>
      </c>
      <c r="Z222">
        <v>-28.10047216702603</v>
      </c>
    </row>
    <row r="223" spans="1:26" x14ac:dyDescent="0.35">
      <c r="A223">
        <v>221</v>
      </c>
      <c r="C223">
        <v>46076</v>
      </c>
      <c r="D223" t="s">
        <v>16</v>
      </c>
      <c r="E223" t="s">
        <v>36</v>
      </c>
      <c r="F223" t="s">
        <v>19</v>
      </c>
      <c r="G223" t="s">
        <v>20</v>
      </c>
      <c r="H223" t="s">
        <v>21</v>
      </c>
      <c r="I223" t="s">
        <v>22</v>
      </c>
      <c r="J223" t="s">
        <v>23</v>
      </c>
      <c r="K223" t="s">
        <v>24</v>
      </c>
      <c r="L223" t="s">
        <v>35</v>
      </c>
      <c r="M223">
        <v>27</v>
      </c>
      <c r="N223">
        <v>69</v>
      </c>
      <c r="O223">
        <v>3</v>
      </c>
      <c r="P223">
        <v>1</v>
      </c>
      <c r="Q223">
        <v>83</v>
      </c>
      <c r="R223">
        <v>0.56989999999999996</v>
      </c>
      <c r="S223">
        <v>0.92320000000000002</v>
      </c>
      <c r="U223">
        <v>0.35330000000000006</v>
      </c>
      <c r="V223">
        <v>118.46213684520353</v>
      </c>
      <c r="W223">
        <v>25.110564751421283</v>
      </c>
      <c r="X223">
        <v>300.08094060931745</v>
      </c>
      <c r="Y223">
        <v>-53.219059390682617</v>
      </c>
      <c r="Z223">
        <v>-17.734901551101768</v>
      </c>
    </row>
    <row r="224" spans="1:26" x14ac:dyDescent="0.35">
      <c r="A224">
        <v>222</v>
      </c>
      <c r="C224">
        <v>46076</v>
      </c>
      <c r="D224" t="s">
        <v>16</v>
      </c>
      <c r="E224" t="s">
        <v>36</v>
      </c>
      <c r="F224" t="s">
        <v>19</v>
      </c>
      <c r="G224" t="s">
        <v>20</v>
      </c>
      <c r="H224" t="s">
        <v>21</v>
      </c>
      <c r="I224" t="s">
        <v>22</v>
      </c>
      <c r="J224" t="s">
        <v>23</v>
      </c>
      <c r="K224" t="s">
        <v>24</v>
      </c>
      <c r="L224" t="s">
        <v>35</v>
      </c>
      <c r="M224">
        <v>27</v>
      </c>
      <c r="N224">
        <v>69</v>
      </c>
      <c r="O224">
        <v>3</v>
      </c>
      <c r="P224">
        <v>2</v>
      </c>
      <c r="Q224">
        <v>84</v>
      </c>
      <c r="R224">
        <v>0.55740000000000001</v>
      </c>
      <c r="S224">
        <v>0.93200000000000005</v>
      </c>
      <c r="U224">
        <v>0.37460000000000004</v>
      </c>
      <c r="V224">
        <v>96.879249295626153</v>
      </c>
      <c r="W224">
        <v>20.547934917678866</v>
      </c>
      <c r="X224">
        <v>299.90100000931182</v>
      </c>
      <c r="Y224">
        <v>-74.698999990688208</v>
      </c>
      <c r="Z224">
        <v>-24.907886265257144</v>
      </c>
    </row>
    <row r="225" spans="1:28" x14ac:dyDescent="0.35">
      <c r="A225">
        <v>223</v>
      </c>
      <c r="C225">
        <v>46076</v>
      </c>
      <c r="D225" t="s">
        <v>16</v>
      </c>
      <c r="E225" t="s">
        <v>38</v>
      </c>
      <c r="F225" t="s">
        <v>19</v>
      </c>
      <c r="G225" t="s">
        <v>20</v>
      </c>
      <c r="H225" t="s">
        <v>21</v>
      </c>
      <c r="I225" t="s">
        <v>22</v>
      </c>
      <c r="J225" t="s">
        <v>23</v>
      </c>
      <c r="K225" t="s">
        <v>24</v>
      </c>
      <c r="L225" t="s">
        <v>37</v>
      </c>
      <c r="M225">
        <v>27</v>
      </c>
      <c r="N225">
        <v>69</v>
      </c>
      <c r="O225">
        <v>3</v>
      </c>
      <c r="P225">
        <v>1</v>
      </c>
      <c r="Q225">
        <v>85</v>
      </c>
      <c r="R225">
        <v>0.58460000000000001</v>
      </c>
      <c r="S225">
        <v>0.96560000000000001</v>
      </c>
      <c r="U225">
        <v>0.38100000000000001</v>
      </c>
      <c r="V225">
        <v>82.440793130912937</v>
      </c>
      <c r="W225">
        <v>17.788851208794007</v>
      </c>
      <c r="X225">
        <v>311.52272310093059</v>
      </c>
      <c r="Y225">
        <v>-69.477276899069409</v>
      </c>
      <c r="Z225">
        <v>-22.30247482671092</v>
      </c>
    </row>
    <row r="226" spans="1:28" x14ac:dyDescent="0.35">
      <c r="A226">
        <v>224</v>
      </c>
      <c r="C226">
        <v>46076</v>
      </c>
      <c r="D226" t="s">
        <v>16</v>
      </c>
      <c r="E226" t="s">
        <v>38</v>
      </c>
      <c r="F226" t="s">
        <v>19</v>
      </c>
      <c r="G226" t="s">
        <v>20</v>
      </c>
      <c r="H226" t="s">
        <v>21</v>
      </c>
      <c r="I226" t="s">
        <v>22</v>
      </c>
      <c r="J226" t="s">
        <v>23</v>
      </c>
      <c r="K226" t="s">
        <v>24</v>
      </c>
      <c r="L226" t="s">
        <v>37</v>
      </c>
      <c r="M226">
        <v>27</v>
      </c>
      <c r="N226">
        <v>69</v>
      </c>
      <c r="O226">
        <v>3</v>
      </c>
      <c r="P226">
        <v>2</v>
      </c>
      <c r="Q226">
        <v>86</v>
      </c>
      <c r="R226">
        <v>0.56510000000000005</v>
      </c>
      <c r="S226">
        <v>1.0245</v>
      </c>
      <c r="U226">
        <v>0.45939999999999992</v>
      </c>
      <c r="V226">
        <v>4.2260582890704086</v>
      </c>
      <c r="X226">
        <v>311.64725746954974</v>
      </c>
      <c r="Y226">
        <v>-147.75274253045018</v>
      </c>
      <c r="Z226">
        <v>-47.410249565532183</v>
      </c>
    </row>
    <row r="227" spans="1:28" x14ac:dyDescent="0.35">
      <c r="A227">
        <v>225</v>
      </c>
      <c r="C227">
        <v>46076</v>
      </c>
      <c r="D227" t="s">
        <v>16</v>
      </c>
      <c r="E227" t="s">
        <v>40</v>
      </c>
      <c r="F227" t="s">
        <v>19</v>
      </c>
      <c r="G227" t="s">
        <v>20</v>
      </c>
      <c r="H227" t="s">
        <v>21</v>
      </c>
      <c r="I227" t="s">
        <v>22</v>
      </c>
      <c r="J227" t="s">
        <v>23</v>
      </c>
      <c r="K227" t="s">
        <v>24</v>
      </c>
      <c r="L227" t="s">
        <v>39</v>
      </c>
      <c r="M227">
        <v>27</v>
      </c>
      <c r="N227">
        <v>69</v>
      </c>
      <c r="O227">
        <v>3</v>
      </c>
      <c r="P227">
        <v>1</v>
      </c>
      <c r="Q227">
        <v>87</v>
      </c>
      <c r="R227">
        <v>0.57099999999999995</v>
      </c>
      <c r="S227">
        <v>0.98750000000000004</v>
      </c>
      <c r="U227">
        <v>0.41650000000000009</v>
      </c>
      <c r="V227">
        <v>57.04732633683119</v>
      </c>
      <c r="W227">
        <v>12.046805707494117</v>
      </c>
      <c r="X227">
        <v>320.88043293377666</v>
      </c>
      <c r="Y227">
        <v>-95.619567066223453</v>
      </c>
      <c r="Z227">
        <v>-29.799126793735482</v>
      </c>
    </row>
    <row r="228" spans="1:28" x14ac:dyDescent="0.35">
      <c r="A228">
        <v>226</v>
      </c>
      <c r="C228">
        <v>46076</v>
      </c>
      <c r="D228" t="s">
        <v>16</v>
      </c>
      <c r="E228" t="s">
        <v>40</v>
      </c>
      <c r="F228" t="s">
        <v>19</v>
      </c>
      <c r="G228" t="s">
        <v>20</v>
      </c>
      <c r="H228" t="s">
        <v>21</v>
      </c>
      <c r="I228" t="s">
        <v>22</v>
      </c>
      <c r="J228" t="s">
        <v>23</v>
      </c>
      <c r="K228" t="s">
        <v>24</v>
      </c>
      <c r="L228" t="s">
        <v>39</v>
      </c>
      <c r="M228">
        <v>27</v>
      </c>
      <c r="N228">
        <v>69</v>
      </c>
      <c r="O228">
        <v>3</v>
      </c>
      <c r="P228">
        <v>2</v>
      </c>
      <c r="Q228">
        <v>88</v>
      </c>
      <c r="R228">
        <v>0.58630000000000004</v>
      </c>
      <c r="S228">
        <v>1.0377000000000001</v>
      </c>
      <c r="U228">
        <v>0.45140000000000002</v>
      </c>
      <c r="V228">
        <v>22.241979010494447</v>
      </c>
      <c r="W228">
        <v>4.6959475714042718</v>
      </c>
      <c r="X228">
        <v>320.94457053780098</v>
      </c>
      <c r="Y228">
        <v>-130.45542946219905</v>
      </c>
      <c r="Z228">
        <v>-40.647339583778361</v>
      </c>
    </row>
    <row r="229" spans="1:28" x14ac:dyDescent="0.35">
      <c r="A229">
        <v>227</v>
      </c>
      <c r="C229">
        <v>46076</v>
      </c>
      <c r="D229" t="s">
        <v>16</v>
      </c>
      <c r="E229" t="s">
        <v>42</v>
      </c>
      <c r="F229" t="s">
        <v>19</v>
      </c>
      <c r="G229" t="s">
        <v>20</v>
      </c>
      <c r="H229" t="s">
        <v>21</v>
      </c>
      <c r="I229" t="s">
        <v>22</v>
      </c>
      <c r="J229" t="s">
        <v>23</v>
      </c>
      <c r="K229" t="s">
        <v>24</v>
      </c>
      <c r="L229" t="s">
        <v>41</v>
      </c>
      <c r="M229">
        <v>27</v>
      </c>
      <c r="N229">
        <v>69</v>
      </c>
      <c r="O229">
        <v>3</v>
      </c>
      <c r="P229">
        <v>1</v>
      </c>
      <c r="Q229">
        <v>89</v>
      </c>
      <c r="R229">
        <v>0.57130000000000003</v>
      </c>
      <c r="S229">
        <v>0.96560000000000001</v>
      </c>
      <c r="U229">
        <v>0.39429999999999998</v>
      </c>
      <c r="V229">
        <v>80.825012244452353</v>
      </c>
      <c r="W229">
        <v>17.011314951120234</v>
      </c>
      <c r="X229">
        <v>319.36372422521328</v>
      </c>
      <c r="Y229">
        <v>-74.936275774786736</v>
      </c>
      <c r="Z229">
        <v>-23.464241581157836</v>
      </c>
    </row>
    <row r="230" spans="1:28" x14ac:dyDescent="0.35">
      <c r="A230">
        <v>228</v>
      </c>
      <c r="C230">
        <v>46076</v>
      </c>
      <c r="D230" t="s">
        <v>16</v>
      </c>
      <c r="E230" t="s">
        <v>42</v>
      </c>
      <c r="F230" t="s">
        <v>19</v>
      </c>
      <c r="G230" t="s">
        <v>20</v>
      </c>
      <c r="H230" t="s">
        <v>21</v>
      </c>
      <c r="I230" t="s">
        <v>22</v>
      </c>
      <c r="J230" t="s">
        <v>23</v>
      </c>
      <c r="K230" t="s">
        <v>24</v>
      </c>
      <c r="L230" t="s">
        <v>41</v>
      </c>
      <c r="M230">
        <v>27</v>
      </c>
      <c r="N230">
        <v>69</v>
      </c>
      <c r="O230">
        <v>3</v>
      </c>
      <c r="P230">
        <v>2</v>
      </c>
      <c r="Q230">
        <v>90</v>
      </c>
      <c r="R230">
        <v>0.58320000000000005</v>
      </c>
      <c r="S230">
        <v>1.1172</v>
      </c>
      <c r="U230">
        <v>0.53399999999999992</v>
      </c>
      <c r="AA230" t="s">
        <v>546</v>
      </c>
      <c r="AB230" t="s">
        <v>677</v>
      </c>
    </row>
    <row r="231" spans="1:28" x14ac:dyDescent="0.35">
      <c r="A231">
        <v>229</v>
      </c>
      <c r="C231">
        <v>46076</v>
      </c>
      <c r="D231" t="s">
        <v>16</v>
      </c>
      <c r="E231" t="s">
        <v>44</v>
      </c>
      <c r="F231" t="s">
        <v>19</v>
      </c>
      <c r="G231" t="s">
        <v>20</v>
      </c>
      <c r="H231" t="s">
        <v>21</v>
      </c>
      <c r="I231" t="s">
        <v>22</v>
      </c>
      <c r="J231" t="s">
        <v>23</v>
      </c>
      <c r="K231" t="s">
        <v>24</v>
      </c>
      <c r="L231" t="s">
        <v>43</v>
      </c>
      <c r="M231">
        <v>27</v>
      </c>
      <c r="N231">
        <v>69</v>
      </c>
      <c r="O231">
        <v>3</v>
      </c>
      <c r="P231">
        <v>1</v>
      </c>
      <c r="Q231">
        <v>91</v>
      </c>
      <c r="R231">
        <v>0.57630000000000003</v>
      </c>
      <c r="S231">
        <v>0.98860000000000003</v>
      </c>
      <c r="U231">
        <v>0.4123</v>
      </c>
      <c r="V231">
        <v>60.510913451929184</v>
      </c>
      <c r="W231">
        <v>12.798121136872053</v>
      </c>
      <c r="X231">
        <v>327.97049401895754</v>
      </c>
      <c r="Y231">
        <v>-84.329505981042473</v>
      </c>
      <c r="Z231">
        <v>-25.71252826669463</v>
      </c>
    </row>
    <row r="232" spans="1:28" x14ac:dyDescent="0.35">
      <c r="A232">
        <v>230</v>
      </c>
      <c r="C232">
        <v>46076</v>
      </c>
      <c r="D232" t="s">
        <v>16</v>
      </c>
      <c r="E232" t="s">
        <v>44</v>
      </c>
      <c r="F232" t="s">
        <v>19</v>
      </c>
      <c r="G232" t="s">
        <v>20</v>
      </c>
      <c r="H232" t="s">
        <v>21</v>
      </c>
      <c r="I232" t="s">
        <v>22</v>
      </c>
      <c r="J232" t="s">
        <v>23</v>
      </c>
      <c r="K232" t="s">
        <v>24</v>
      </c>
      <c r="L232" t="s">
        <v>43</v>
      </c>
      <c r="M232">
        <v>27</v>
      </c>
      <c r="N232">
        <v>69</v>
      </c>
      <c r="O232">
        <v>3</v>
      </c>
      <c r="P232">
        <v>2</v>
      </c>
      <c r="Q232">
        <v>92</v>
      </c>
      <c r="R232">
        <v>0.5988</v>
      </c>
      <c r="S232">
        <v>0.99490000000000001</v>
      </c>
      <c r="U232">
        <v>0.39610000000000001</v>
      </c>
      <c r="V232">
        <v>77.089086548071464</v>
      </c>
      <c r="W232">
        <v>16.291391483780544</v>
      </c>
      <c r="X232">
        <v>328.23281794938657</v>
      </c>
      <c r="Y232">
        <v>-67.867182050613451</v>
      </c>
      <c r="Z232">
        <v>-20.676537609678796</v>
      </c>
    </row>
    <row r="233" spans="1:28" x14ac:dyDescent="0.35">
      <c r="A233">
        <v>231</v>
      </c>
      <c r="C233">
        <v>46076</v>
      </c>
      <c r="D233" t="s">
        <v>16</v>
      </c>
      <c r="E233" t="s">
        <v>46</v>
      </c>
      <c r="F233" t="s">
        <v>19</v>
      </c>
      <c r="G233" t="s">
        <v>20</v>
      </c>
      <c r="H233" t="s">
        <v>21</v>
      </c>
      <c r="I233" t="s">
        <v>22</v>
      </c>
      <c r="J233" t="s">
        <v>23</v>
      </c>
      <c r="K233" t="s">
        <v>24</v>
      </c>
      <c r="L233" t="s">
        <v>45</v>
      </c>
      <c r="M233">
        <v>27</v>
      </c>
      <c r="N233">
        <v>69</v>
      </c>
      <c r="O233">
        <v>3</v>
      </c>
      <c r="P233">
        <v>1</v>
      </c>
      <c r="Q233">
        <v>93</v>
      </c>
      <c r="R233">
        <v>0.56669999999999998</v>
      </c>
      <c r="S233">
        <v>0.95340000000000003</v>
      </c>
      <c r="U233">
        <v>0.38670000000000004</v>
      </c>
      <c r="V233">
        <v>84.332410974788445</v>
      </c>
      <c r="W233">
        <v>17.903738471045944</v>
      </c>
      <c r="X233">
        <v>292.68148315423076</v>
      </c>
      <c r="Y233">
        <v>-94.018516845769284</v>
      </c>
      <c r="Z233">
        <v>-32.123151704894667</v>
      </c>
    </row>
    <row r="234" spans="1:28" x14ac:dyDescent="0.35">
      <c r="A234">
        <v>232</v>
      </c>
      <c r="C234">
        <v>46076</v>
      </c>
      <c r="D234" t="s">
        <v>16</v>
      </c>
      <c r="E234" t="s">
        <v>46</v>
      </c>
      <c r="F234" t="s">
        <v>19</v>
      </c>
      <c r="G234" t="s">
        <v>20</v>
      </c>
      <c r="H234" t="s">
        <v>21</v>
      </c>
      <c r="I234" t="s">
        <v>22</v>
      </c>
      <c r="J234" t="s">
        <v>23</v>
      </c>
      <c r="K234" t="s">
        <v>24</v>
      </c>
      <c r="L234" t="s">
        <v>45</v>
      </c>
      <c r="M234">
        <v>27</v>
      </c>
      <c r="N234">
        <v>69</v>
      </c>
      <c r="O234">
        <v>3</v>
      </c>
      <c r="P234">
        <v>2</v>
      </c>
      <c r="Q234">
        <v>94</v>
      </c>
      <c r="R234">
        <v>0.57069999999999999</v>
      </c>
      <c r="S234">
        <v>0.94</v>
      </c>
      <c r="U234">
        <v>0.36929999999999996</v>
      </c>
      <c r="V234">
        <v>101.82659861945461</v>
      </c>
      <c r="W234">
        <v>21.613425970394747</v>
      </c>
      <c r="X234">
        <v>292.74000774594327</v>
      </c>
      <c r="Y234">
        <v>-76.559992254056681</v>
      </c>
      <c r="Z234">
        <v>-26.152896846439887</v>
      </c>
    </row>
    <row r="235" spans="1:28" x14ac:dyDescent="0.35">
      <c r="A235">
        <v>233</v>
      </c>
      <c r="C235">
        <v>46076</v>
      </c>
      <c r="D235" t="s">
        <v>16</v>
      </c>
      <c r="E235" t="s">
        <v>48</v>
      </c>
      <c r="F235" t="s">
        <v>19</v>
      </c>
      <c r="G235" t="s">
        <v>20</v>
      </c>
      <c r="H235" t="s">
        <v>21</v>
      </c>
      <c r="I235" t="s">
        <v>22</v>
      </c>
      <c r="J235" t="s">
        <v>23</v>
      </c>
      <c r="K235" t="s">
        <v>24</v>
      </c>
      <c r="L235" t="s">
        <v>47</v>
      </c>
      <c r="M235">
        <v>27</v>
      </c>
      <c r="N235">
        <v>69</v>
      </c>
      <c r="O235">
        <v>3</v>
      </c>
      <c r="P235">
        <v>1</v>
      </c>
      <c r="Q235">
        <v>95</v>
      </c>
      <c r="R235">
        <v>0.61370000000000002</v>
      </c>
      <c r="S235">
        <v>1.0159</v>
      </c>
      <c r="U235">
        <v>0.4022</v>
      </c>
      <c r="V235">
        <v>65.900990473223658</v>
      </c>
      <c r="W235">
        <v>14.078370226604623</v>
      </c>
      <c r="X235">
        <v>280.7349358397837</v>
      </c>
      <c r="Y235">
        <v>-121.46506416021629</v>
      </c>
      <c r="Z235">
        <v>-43.266814583253996</v>
      </c>
    </row>
    <row r="236" spans="1:28" x14ac:dyDescent="0.35">
      <c r="A236">
        <v>234</v>
      </c>
      <c r="C236">
        <v>46076</v>
      </c>
      <c r="D236" t="s">
        <v>16</v>
      </c>
      <c r="E236" t="s">
        <v>48</v>
      </c>
      <c r="F236" t="s">
        <v>19</v>
      </c>
      <c r="G236" t="s">
        <v>20</v>
      </c>
      <c r="H236" t="s">
        <v>21</v>
      </c>
      <c r="I236" t="s">
        <v>22</v>
      </c>
      <c r="J236" t="s">
        <v>23</v>
      </c>
      <c r="K236" t="s">
        <v>24</v>
      </c>
      <c r="L236" t="s">
        <v>47</v>
      </c>
      <c r="M236">
        <v>27</v>
      </c>
      <c r="N236">
        <v>69</v>
      </c>
      <c r="O236">
        <v>3</v>
      </c>
      <c r="P236">
        <v>2</v>
      </c>
      <c r="Q236">
        <v>96</v>
      </c>
      <c r="R236">
        <v>0.57569999999999999</v>
      </c>
      <c r="S236">
        <v>0.95320000000000005</v>
      </c>
      <c r="U236">
        <v>0.37750000000000006</v>
      </c>
      <c r="V236">
        <v>90.226883787530767</v>
      </c>
      <c r="W236">
        <v>19.290506258031805</v>
      </c>
      <c r="X236">
        <v>280.51057225469697</v>
      </c>
      <c r="Y236">
        <v>-96.98942774530309</v>
      </c>
      <c r="Z236">
        <v>-34.576032898053832</v>
      </c>
    </row>
    <row r="237" spans="1:28" x14ac:dyDescent="0.35">
      <c r="A237">
        <v>235</v>
      </c>
      <c r="C237">
        <v>46076</v>
      </c>
      <c r="D237" t="s">
        <v>16</v>
      </c>
      <c r="E237" t="s">
        <v>50</v>
      </c>
      <c r="F237" t="s">
        <v>19</v>
      </c>
      <c r="G237" t="s">
        <v>20</v>
      </c>
      <c r="H237" t="s">
        <v>21</v>
      </c>
      <c r="I237" t="s">
        <v>22</v>
      </c>
      <c r="J237" t="s">
        <v>23</v>
      </c>
      <c r="K237" t="s">
        <v>24</v>
      </c>
      <c r="L237" t="s">
        <v>49</v>
      </c>
      <c r="M237">
        <v>27</v>
      </c>
      <c r="N237">
        <v>69</v>
      </c>
      <c r="O237">
        <v>3</v>
      </c>
      <c r="P237">
        <v>1</v>
      </c>
      <c r="Q237">
        <v>97</v>
      </c>
      <c r="R237">
        <v>0.57750000000000001</v>
      </c>
      <c r="S237">
        <v>0.99429999999999996</v>
      </c>
      <c r="U237">
        <v>0.41679999999999995</v>
      </c>
      <c r="V237">
        <v>53.269029600464819</v>
      </c>
      <c r="W237">
        <v>11.332171712256994</v>
      </c>
      <c r="X237">
        <v>282.15071892934463</v>
      </c>
      <c r="Y237">
        <v>-134.64928107065532</v>
      </c>
      <c r="Z237">
        <v>-47.722466057006152</v>
      </c>
    </row>
    <row r="238" spans="1:28" x14ac:dyDescent="0.35">
      <c r="A238">
        <v>236</v>
      </c>
      <c r="C238">
        <v>46076</v>
      </c>
      <c r="D238" t="s">
        <v>16</v>
      </c>
      <c r="E238" t="s">
        <v>50</v>
      </c>
      <c r="F238" t="s">
        <v>19</v>
      </c>
      <c r="G238" t="s">
        <v>20</v>
      </c>
      <c r="H238" t="s">
        <v>21</v>
      </c>
      <c r="I238" t="s">
        <v>22</v>
      </c>
      <c r="J238" t="s">
        <v>23</v>
      </c>
      <c r="K238" t="s">
        <v>24</v>
      </c>
      <c r="L238" t="s">
        <v>49</v>
      </c>
      <c r="M238">
        <v>27</v>
      </c>
      <c r="N238">
        <v>69</v>
      </c>
      <c r="O238">
        <v>3</v>
      </c>
      <c r="P238">
        <v>2</v>
      </c>
      <c r="Q238">
        <v>98</v>
      </c>
      <c r="R238">
        <v>0.56279999999999997</v>
      </c>
      <c r="S238">
        <v>0.97230000000000005</v>
      </c>
      <c r="U238">
        <v>0.40950000000000009</v>
      </c>
      <c r="V238">
        <v>60.662987031925809</v>
      </c>
      <c r="W238">
        <v>12.902544161309438</v>
      </c>
      <c r="X238">
        <v>282.20711523534692</v>
      </c>
      <c r="Y238">
        <v>-127.29288476465319</v>
      </c>
      <c r="Z238">
        <v>-45.106192541778107</v>
      </c>
    </row>
    <row r="239" spans="1:28" x14ac:dyDescent="0.35">
      <c r="A239">
        <v>237</v>
      </c>
      <c r="C239">
        <v>46076</v>
      </c>
      <c r="D239" t="s">
        <v>16</v>
      </c>
      <c r="E239" t="s">
        <v>52</v>
      </c>
      <c r="F239" t="s">
        <v>19</v>
      </c>
      <c r="G239" t="s">
        <v>20</v>
      </c>
      <c r="H239" t="s">
        <v>21</v>
      </c>
      <c r="I239" t="s">
        <v>22</v>
      </c>
      <c r="J239" t="s">
        <v>23</v>
      </c>
      <c r="K239" t="s">
        <v>24</v>
      </c>
      <c r="L239" t="s">
        <v>51</v>
      </c>
      <c r="M239">
        <v>27</v>
      </c>
      <c r="N239">
        <v>69</v>
      </c>
      <c r="O239">
        <v>3</v>
      </c>
      <c r="P239">
        <v>1</v>
      </c>
      <c r="Q239">
        <v>99</v>
      </c>
      <c r="R239">
        <v>0.56779999999999997</v>
      </c>
      <c r="S239">
        <v>1.0026999999999999</v>
      </c>
      <c r="U239">
        <v>0.43489999999999995</v>
      </c>
      <c r="V239">
        <v>24.387245909474871</v>
      </c>
      <c r="W239">
        <v>5.309802553124146</v>
      </c>
      <c r="X239">
        <v>274.17868025502003</v>
      </c>
      <c r="Y239">
        <v>-160.72131974497995</v>
      </c>
      <c r="Z239">
        <v>-58.619189353267465</v>
      </c>
    </row>
    <row r="240" spans="1:28" x14ac:dyDescent="0.35">
      <c r="A240">
        <v>238</v>
      </c>
      <c r="C240">
        <v>46076</v>
      </c>
      <c r="D240" t="s">
        <v>16</v>
      </c>
      <c r="E240" t="s">
        <v>52</v>
      </c>
      <c r="F240" t="s">
        <v>19</v>
      </c>
      <c r="G240" t="s">
        <v>20</v>
      </c>
      <c r="H240" t="s">
        <v>21</v>
      </c>
      <c r="I240" t="s">
        <v>22</v>
      </c>
      <c r="J240" t="s">
        <v>23</v>
      </c>
      <c r="K240" t="s">
        <v>24</v>
      </c>
      <c r="L240" t="s">
        <v>51</v>
      </c>
      <c r="M240">
        <v>27</v>
      </c>
      <c r="N240">
        <v>69</v>
      </c>
      <c r="O240">
        <v>3</v>
      </c>
      <c r="P240">
        <v>2</v>
      </c>
      <c r="Q240">
        <v>100</v>
      </c>
      <c r="R240">
        <v>0.58699999999999997</v>
      </c>
      <c r="S240">
        <v>0.96409999999999996</v>
      </c>
      <c r="U240">
        <v>0.37709999999999999</v>
      </c>
      <c r="V240">
        <v>82.462818257020558</v>
      </c>
      <c r="W240">
        <v>17.943753276162873</v>
      </c>
      <c r="X240">
        <v>274.34318746317308</v>
      </c>
      <c r="Y240">
        <v>-102.75681253682689</v>
      </c>
      <c r="Z240">
        <v>-37.455572885556201</v>
      </c>
    </row>
    <row r="241" spans="1:27" x14ac:dyDescent="0.35">
      <c r="A241">
        <v>239</v>
      </c>
      <c r="C241">
        <v>46076</v>
      </c>
      <c r="D241" t="s">
        <v>16</v>
      </c>
      <c r="E241" t="s">
        <v>54</v>
      </c>
      <c r="F241" t="s">
        <v>19</v>
      </c>
      <c r="G241" t="s">
        <v>20</v>
      </c>
      <c r="H241" t="s">
        <v>21</v>
      </c>
      <c r="I241" t="s">
        <v>22</v>
      </c>
      <c r="J241" t="s">
        <v>23</v>
      </c>
      <c r="K241" t="s">
        <v>24</v>
      </c>
      <c r="L241" t="s">
        <v>53</v>
      </c>
      <c r="M241">
        <v>27</v>
      </c>
      <c r="N241">
        <v>69</v>
      </c>
      <c r="O241">
        <v>3</v>
      </c>
      <c r="P241">
        <v>1</v>
      </c>
      <c r="Q241">
        <v>101</v>
      </c>
      <c r="R241">
        <v>0.57310000000000005</v>
      </c>
      <c r="S241">
        <v>0.95789999999999997</v>
      </c>
      <c r="U241">
        <v>0.38479999999999992</v>
      </c>
      <c r="V241">
        <v>89.039381843081742</v>
      </c>
      <c r="W241">
        <v>18.791047189186219</v>
      </c>
      <c r="X241">
        <v>282.8900095975788</v>
      </c>
      <c r="Y241">
        <v>-101.9099904024211</v>
      </c>
      <c r="Z241">
        <v>-36.024598587766221</v>
      </c>
    </row>
    <row r="242" spans="1:27" x14ac:dyDescent="0.35">
      <c r="A242">
        <v>240</v>
      </c>
      <c r="C242">
        <v>46076</v>
      </c>
      <c r="D242" t="s">
        <v>16</v>
      </c>
      <c r="E242" t="s">
        <v>54</v>
      </c>
      <c r="F242" t="s">
        <v>19</v>
      </c>
      <c r="G242" t="s">
        <v>20</v>
      </c>
      <c r="H242" t="s">
        <v>21</v>
      </c>
      <c r="I242" t="s">
        <v>22</v>
      </c>
      <c r="J242" t="s">
        <v>23</v>
      </c>
      <c r="K242" t="s">
        <v>24</v>
      </c>
      <c r="L242" t="s">
        <v>53</v>
      </c>
      <c r="M242">
        <v>27</v>
      </c>
      <c r="N242">
        <v>69</v>
      </c>
      <c r="O242">
        <v>3</v>
      </c>
      <c r="P242">
        <v>2</v>
      </c>
      <c r="Q242">
        <v>102</v>
      </c>
      <c r="R242">
        <v>0.5716</v>
      </c>
      <c r="S242">
        <v>0.95230000000000004</v>
      </c>
      <c r="U242">
        <v>0.38070000000000004</v>
      </c>
      <c r="V242">
        <v>93.328803942559091</v>
      </c>
      <c r="W242">
        <v>19.688424662453276</v>
      </c>
      <c r="X242">
        <v>283.00309774852724</v>
      </c>
      <c r="Y242">
        <v>-97.696902251472807</v>
      </c>
      <c r="Z242">
        <v>-34.521495711076973</v>
      </c>
    </row>
    <row r="243" spans="1:27" x14ac:dyDescent="0.35">
      <c r="A243">
        <v>241</v>
      </c>
      <c r="C243">
        <v>46076</v>
      </c>
      <c r="D243" t="s">
        <v>16</v>
      </c>
      <c r="E243" t="s">
        <v>56</v>
      </c>
      <c r="F243" t="s">
        <v>19</v>
      </c>
      <c r="G243" t="s">
        <v>20</v>
      </c>
      <c r="H243" t="s">
        <v>21</v>
      </c>
      <c r="I243" t="s">
        <v>22</v>
      </c>
      <c r="J243" t="s">
        <v>23</v>
      </c>
      <c r="K243" t="s">
        <v>24</v>
      </c>
      <c r="L243" t="s">
        <v>55</v>
      </c>
      <c r="M243">
        <v>27</v>
      </c>
      <c r="N243">
        <v>69</v>
      </c>
      <c r="O243">
        <v>3</v>
      </c>
      <c r="P243">
        <v>1</v>
      </c>
      <c r="Q243">
        <v>103</v>
      </c>
      <c r="R243">
        <v>0.61409999999999998</v>
      </c>
      <c r="S243">
        <v>1.0210999999999999</v>
      </c>
      <c r="U243">
        <v>0.40699999999999992</v>
      </c>
      <c r="V243">
        <v>68.895121951219153</v>
      </c>
      <c r="W243">
        <v>14.476954852729326</v>
      </c>
      <c r="X243">
        <v>282.83568059612026</v>
      </c>
      <c r="Y243">
        <v>-124.16431940387969</v>
      </c>
      <c r="Z243">
        <v>-43.899807528591886</v>
      </c>
    </row>
    <row r="244" spans="1:27" x14ac:dyDescent="0.35">
      <c r="A244">
        <v>242</v>
      </c>
      <c r="C244">
        <v>46076</v>
      </c>
      <c r="D244" t="s">
        <v>16</v>
      </c>
      <c r="E244" t="s">
        <v>56</v>
      </c>
      <c r="F244" t="s">
        <v>19</v>
      </c>
      <c r="G244" t="s">
        <v>20</v>
      </c>
      <c r="H244" t="s">
        <v>21</v>
      </c>
      <c r="I244" t="s">
        <v>22</v>
      </c>
      <c r="J244" t="s">
        <v>23</v>
      </c>
      <c r="K244" t="s">
        <v>24</v>
      </c>
      <c r="L244" t="s">
        <v>55</v>
      </c>
      <c r="M244">
        <v>27</v>
      </c>
      <c r="N244">
        <v>69</v>
      </c>
      <c r="O244">
        <v>3</v>
      </c>
      <c r="P244">
        <v>2</v>
      </c>
      <c r="Q244">
        <v>104</v>
      </c>
      <c r="R244">
        <v>0.5776</v>
      </c>
      <c r="S244">
        <v>0.96830000000000005</v>
      </c>
      <c r="U244">
        <v>0.39070000000000005</v>
      </c>
      <c r="V244">
        <v>85.099999999999511</v>
      </c>
      <c r="W244">
        <v>17.8856662463219</v>
      </c>
      <c r="X244">
        <v>282.77914737993075</v>
      </c>
      <c r="Y244">
        <v>-107.9208526200693</v>
      </c>
      <c r="Z244">
        <v>-38.164360286110899</v>
      </c>
    </row>
    <row r="245" spans="1:27" x14ac:dyDescent="0.35">
      <c r="A245">
        <v>243</v>
      </c>
      <c r="C245">
        <v>46076</v>
      </c>
      <c r="D245" t="s">
        <v>16</v>
      </c>
      <c r="E245" t="s">
        <v>58</v>
      </c>
      <c r="F245" t="s">
        <v>19</v>
      </c>
      <c r="G245" t="s">
        <v>20</v>
      </c>
      <c r="H245" t="s">
        <v>21</v>
      </c>
      <c r="I245" t="s">
        <v>22</v>
      </c>
      <c r="J245" t="s">
        <v>23</v>
      </c>
      <c r="K245" t="s">
        <v>24</v>
      </c>
      <c r="L245" t="s">
        <v>57</v>
      </c>
      <c r="M245">
        <v>27</v>
      </c>
      <c r="N245">
        <v>69</v>
      </c>
      <c r="O245">
        <v>3</v>
      </c>
      <c r="P245">
        <v>1</v>
      </c>
      <c r="Q245">
        <v>105</v>
      </c>
      <c r="R245">
        <v>0.58140000000000003</v>
      </c>
      <c r="S245">
        <v>0.95540000000000003</v>
      </c>
      <c r="U245">
        <v>0.374</v>
      </c>
      <c r="V245">
        <v>94.98112343719157</v>
      </c>
      <c r="W245">
        <v>20.252653825610093</v>
      </c>
      <c r="X245">
        <v>301.87962550826842</v>
      </c>
      <c r="Y245">
        <v>-72.120374491731582</v>
      </c>
      <c r="Z245">
        <v>-23.890441221498143</v>
      </c>
    </row>
    <row r="246" spans="1:27" x14ac:dyDescent="0.35">
      <c r="A246">
        <v>244</v>
      </c>
      <c r="C246">
        <v>46076</v>
      </c>
      <c r="D246" t="s">
        <v>16</v>
      </c>
      <c r="E246" t="s">
        <v>58</v>
      </c>
      <c r="F246" t="s">
        <v>19</v>
      </c>
      <c r="G246" t="s">
        <v>20</v>
      </c>
      <c r="H246" t="s">
        <v>21</v>
      </c>
      <c r="I246" t="s">
        <v>22</v>
      </c>
      <c r="J246" t="s">
        <v>23</v>
      </c>
      <c r="K246" t="s">
        <v>24</v>
      </c>
      <c r="L246" t="s">
        <v>57</v>
      </c>
      <c r="M246">
        <v>27</v>
      </c>
      <c r="N246">
        <v>69</v>
      </c>
      <c r="O246">
        <v>3</v>
      </c>
      <c r="P246">
        <v>2</v>
      </c>
      <c r="Q246">
        <v>106</v>
      </c>
      <c r="R246">
        <v>0.54769999999999996</v>
      </c>
      <c r="S246">
        <v>1.0045999999999999</v>
      </c>
      <c r="U246">
        <v>0.45689999999999997</v>
      </c>
      <c r="V246">
        <v>12.081123437191593</v>
      </c>
      <c r="W246">
        <v>2.5760361842814259</v>
      </c>
      <c r="X246">
        <v>301.87962550826842</v>
      </c>
      <c r="Y246">
        <v>-155.02037449173156</v>
      </c>
      <c r="Z246">
        <v>-51.351718166049466</v>
      </c>
      <c r="AA246" t="s">
        <v>562</v>
      </c>
    </row>
    <row r="247" spans="1:27" x14ac:dyDescent="0.35">
      <c r="A247">
        <v>245</v>
      </c>
      <c r="C247">
        <v>46076</v>
      </c>
      <c r="D247">
        <v>0</v>
      </c>
      <c r="E247" t="s">
        <v>541</v>
      </c>
      <c r="F247" t="s">
        <v>538</v>
      </c>
      <c r="G247" t="s">
        <v>542</v>
      </c>
      <c r="H247" t="s">
        <v>541</v>
      </c>
      <c r="I247">
        <v>0</v>
      </c>
      <c r="J247">
        <v>0</v>
      </c>
      <c r="K247">
        <v>0</v>
      </c>
      <c r="L247" t="s">
        <v>541</v>
      </c>
      <c r="M247">
        <v>27</v>
      </c>
      <c r="N247">
        <v>69</v>
      </c>
      <c r="O247">
        <v>3</v>
      </c>
      <c r="P247">
        <v>1</v>
      </c>
      <c r="Q247">
        <v>107</v>
      </c>
    </row>
    <row r="248" spans="1:27" x14ac:dyDescent="0.35">
      <c r="A248">
        <v>246</v>
      </c>
      <c r="C248">
        <v>46076</v>
      </c>
      <c r="D248">
        <v>0</v>
      </c>
      <c r="E248" t="s">
        <v>541</v>
      </c>
      <c r="F248" t="s">
        <v>538</v>
      </c>
      <c r="G248" t="s">
        <v>542</v>
      </c>
      <c r="H248" t="s">
        <v>541</v>
      </c>
      <c r="I248">
        <v>0</v>
      </c>
      <c r="J248">
        <v>0</v>
      </c>
      <c r="K248">
        <v>0</v>
      </c>
      <c r="L248" t="s">
        <v>541</v>
      </c>
      <c r="M248">
        <v>27</v>
      </c>
      <c r="N248">
        <v>69</v>
      </c>
      <c r="O248">
        <v>3</v>
      </c>
      <c r="P248">
        <v>2</v>
      </c>
      <c r="Q248">
        <v>108</v>
      </c>
    </row>
    <row r="249" spans="1:27" x14ac:dyDescent="0.35">
      <c r="A249">
        <v>247</v>
      </c>
      <c r="C249">
        <v>46076</v>
      </c>
      <c r="D249" t="s">
        <v>16</v>
      </c>
      <c r="E249" t="s">
        <v>60</v>
      </c>
      <c r="F249" t="s">
        <v>19</v>
      </c>
      <c r="G249" t="s">
        <v>20</v>
      </c>
      <c r="H249" t="s">
        <v>21</v>
      </c>
      <c r="I249" t="s">
        <v>22</v>
      </c>
      <c r="J249" t="s">
        <v>23</v>
      </c>
      <c r="K249" t="s">
        <v>24</v>
      </c>
      <c r="L249" t="s">
        <v>59</v>
      </c>
      <c r="M249">
        <v>27</v>
      </c>
      <c r="N249">
        <v>69</v>
      </c>
      <c r="O249">
        <v>3</v>
      </c>
      <c r="P249">
        <v>1</v>
      </c>
      <c r="Q249">
        <v>109</v>
      </c>
      <c r="R249">
        <v>0.57030000000000003</v>
      </c>
      <c r="S249">
        <v>0.90539999999999998</v>
      </c>
      <c r="U249">
        <v>0.33509999999999995</v>
      </c>
      <c r="V249">
        <v>135.75879972016799</v>
      </c>
      <c r="W249">
        <v>28.832167902744864</v>
      </c>
      <c r="X249">
        <v>275.43692547603411</v>
      </c>
      <c r="Y249">
        <v>-59.663074523965861</v>
      </c>
      <c r="Z249">
        <v>-21.661247641670027</v>
      </c>
    </row>
    <row r="250" spans="1:27" x14ac:dyDescent="0.35">
      <c r="A250">
        <v>248</v>
      </c>
      <c r="C250">
        <v>46076</v>
      </c>
      <c r="D250" t="s">
        <v>16</v>
      </c>
      <c r="E250" t="s">
        <v>60</v>
      </c>
      <c r="F250" t="s">
        <v>19</v>
      </c>
      <c r="G250" t="s">
        <v>20</v>
      </c>
      <c r="H250" t="s">
        <v>21</v>
      </c>
      <c r="I250" t="s">
        <v>22</v>
      </c>
      <c r="J250" t="s">
        <v>23</v>
      </c>
      <c r="K250" t="s">
        <v>24</v>
      </c>
      <c r="L250" t="s">
        <v>59</v>
      </c>
      <c r="M250">
        <v>27</v>
      </c>
      <c r="N250">
        <v>69</v>
      </c>
      <c r="O250">
        <v>3</v>
      </c>
      <c r="P250">
        <v>2</v>
      </c>
      <c r="Q250">
        <v>110</v>
      </c>
      <c r="R250">
        <v>0.57799999999999996</v>
      </c>
      <c r="S250">
        <v>0.91930000000000001</v>
      </c>
      <c r="U250">
        <v>0.34130000000000005</v>
      </c>
      <c r="V250">
        <v>130.12383027983213</v>
      </c>
      <c r="W250">
        <v>27.602302200674071</v>
      </c>
      <c r="X250">
        <v>275.76744978660537</v>
      </c>
      <c r="Y250">
        <v>-65.5325502133947</v>
      </c>
      <c r="Z250">
        <v>-23.763700271408087</v>
      </c>
    </row>
    <row r="251" spans="1:27" x14ac:dyDescent="0.35">
      <c r="A251">
        <v>249</v>
      </c>
      <c r="C251">
        <v>46076</v>
      </c>
      <c r="D251" t="s">
        <v>16</v>
      </c>
      <c r="E251" t="s">
        <v>62</v>
      </c>
      <c r="F251" t="s">
        <v>19</v>
      </c>
      <c r="G251" t="s">
        <v>20</v>
      </c>
      <c r="H251" t="s">
        <v>21</v>
      </c>
      <c r="I251" t="s">
        <v>22</v>
      </c>
      <c r="J251" t="s">
        <v>23</v>
      </c>
      <c r="K251" t="s">
        <v>24</v>
      </c>
      <c r="L251" t="s">
        <v>61</v>
      </c>
      <c r="M251">
        <v>27</v>
      </c>
      <c r="N251">
        <v>69</v>
      </c>
      <c r="O251">
        <v>3</v>
      </c>
      <c r="P251">
        <v>1</v>
      </c>
      <c r="Q251">
        <v>111</v>
      </c>
      <c r="R251">
        <v>0.58940000000000003</v>
      </c>
      <c r="S251">
        <v>1.0130999999999999</v>
      </c>
      <c r="U251">
        <v>0.42369999999999985</v>
      </c>
      <c r="V251">
        <v>46.686882870277884</v>
      </c>
      <c r="W251">
        <v>9.9252093479726327</v>
      </c>
      <c r="X251">
        <v>290.01968425635567</v>
      </c>
      <c r="Y251">
        <v>-133.6803157436442</v>
      </c>
      <c r="Z251">
        <v>-46.093531922295597</v>
      </c>
    </row>
    <row r="252" spans="1:27" x14ac:dyDescent="0.35">
      <c r="A252">
        <v>250</v>
      </c>
      <c r="C252">
        <v>46076</v>
      </c>
      <c r="D252" t="s">
        <v>16</v>
      </c>
      <c r="E252" t="s">
        <v>62</v>
      </c>
      <c r="F252" t="s">
        <v>19</v>
      </c>
      <c r="G252" t="s">
        <v>20</v>
      </c>
      <c r="H252" t="s">
        <v>21</v>
      </c>
      <c r="I252" t="s">
        <v>22</v>
      </c>
      <c r="J252" t="s">
        <v>23</v>
      </c>
      <c r="K252" t="s">
        <v>24</v>
      </c>
      <c r="L252" t="s">
        <v>61</v>
      </c>
      <c r="M252">
        <v>27</v>
      </c>
      <c r="N252">
        <v>69</v>
      </c>
      <c r="O252">
        <v>3</v>
      </c>
      <c r="P252">
        <v>2</v>
      </c>
      <c r="Q252">
        <v>112</v>
      </c>
      <c r="R252">
        <v>0.57079999999999997</v>
      </c>
      <c r="S252">
        <v>0.94030000000000002</v>
      </c>
      <c r="U252">
        <v>0.36950000000000005</v>
      </c>
      <c r="V252">
        <v>101.35717569458319</v>
      </c>
      <c r="W252">
        <v>21.526097705756854</v>
      </c>
      <c r="X252">
        <v>290.30964594827367</v>
      </c>
      <c r="Y252">
        <v>-79.190354051726388</v>
      </c>
      <c r="Z252">
        <v>-27.277892814431748</v>
      </c>
    </row>
    <row r="253" spans="1:27" x14ac:dyDescent="0.35">
      <c r="A253">
        <v>251</v>
      </c>
      <c r="C253">
        <v>46076</v>
      </c>
      <c r="D253" t="s">
        <v>16</v>
      </c>
      <c r="E253" t="s">
        <v>64</v>
      </c>
      <c r="F253" t="s">
        <v>19</v>
      </c>
      <c r="G253" t="s">
        <v>20</v>
      </c>
      <c r="H253" t="s">
        <v>21</v>
      </c>
      <c r="I253" t="s">
        <v>22</v>
      </c>
      <c r="J253" t="s">
        <v>23</v>
      </c>
      <c r="K253" t="s">
        <v>24</v>
      </c>
      <c r="L253" t="s">
        <v>63</v>
      </c>
      <c r="M253">
        <v>27</v>
      </c>
      <c r="N253">
        <v>69</v>
      </c>
      <c r="O253">
        <v>3</v>
      </c>
      <c r="P253">
        <v>1</v>
      </c>
      <c r="Q253">
        <v>113</v>
      </c>
      <c r="R253">
        <v>0.57569999999999999</v>
      </c>
      <c r="S253">
        <v>0.92190000000000005</v>
      </c>
      <c r="U253">
        <v>0.34620000000000006</v>
      </c>
      <c r="V253">
        <v>130.23554724907711</v>
      </c>
      <c r="W253">
        <v>27.335396781590454</v>
      </c>
      <c r="X253">
        <v>283.37606130610618</v>
      </c>
      <c r="Y253">
        <v>-62.823938693893865</v>
      </c>
      <c r="Z253">
        <v>-22.16981152336319</v>
      </c>
    </row>
    <row r="254" spans="1:27" x14ac:dyDescent="0.35">
      <c r="A254">
        <v>252</v>
      </c>
      <c r="C254">
        <v>46076</v>
      </c>
      <c r="D254" t="s">
        <v>16</v>
      </c>
      <c r="E254" t="s">
        <v>64</v>
      </c>
      <c r="F254" t="s">
        <v>19</v>
      </c>
      <c r="G254" t="s">
        <v>20</v>
      </c>
      <c r="H254" t="s">
        <v>21</v>
      </c>
      <c r="I254" t="s">
        <v>22</v>
      </c>
      <c r="J254" t="s">
        <v>23</v>
      </c>
      <c r="K254" t="s">
        <v>24</v>
      </c>
      <c r="L254" t="s">
        <v>63</v>
      </c>
      <c r="M254">
        <v>27</v>
      </c>
      <c r="N254">
        <v>69</v>
      </c>
      <c r="O254">
        <v>3</v>
      </c>
      <c r="P254">
        <v>2</v>
      </c>
      <c r="Q254">
        <v>114</v>
      </c>
      <c r="R254">
        <v>0.56379999999999997</v>
      </c>
      <c r="S254">
        <v>0.87470000000000003</v>
      </c>
      <c r="U254">
        <v>0.31090000000000007</v>
      </c>
      <c r="V254">
        <v>165.8214085774265</v>
      </c>
      <c r="W254">
        <v>34.78371342127268</v>
      </c>
      <c r="X254">
        <v>283.54608694288987</v>
      </c>
      <c r="Y254">
        <v>-27.353913057110219</v>
      </c>
      <c r="Z254">
        <v>-9.6470783116889489</v>
      </c>
    </row>
    <row r="255" spans="1:27" x14ac:dyDescent="0.35">
      <c r="A255">
        <v>253</v>
      </c>
      <c r="C255">
        <v>46076</v>
      </c>
      <c r="D255" t="s">
        <v>16</v>
      </c>
      <c r="E255" t="s">
        <v>66</v>
      </c>
      <c r="F255" t="s">
        <v>19</v>
      </c>
      <c r="G255" t="s">
        <v>67</v>
      </c>
      <c r="H255" t="s">
        <v>68</v>
      </c>
      <c r="I255" t="s">
        <v>22</v>
      </c>
      <c r="J255" t="s">
        <v>23</v>
      </c>
      <c r="K255" t="s">
        <v>24</v>
      </c>
      <c r="L255" t="s">
        <v>65</v>
      </c>
      <c r="M255">
        <v>27</v>
      </c>
      <c r="N255">
        <v>69</v>
      </c>
      <c r="O255">
        <v>3</v>
      </c>
      <c r="P255">
        <v>1</v>
      </c>
      <c r="Q255">
        <v>115</v>
      </c>
      <c r="R255">
        <v>0.5887</v>
      </c>
      <c r="S255">
        <v>0.9123</v>
      </c>
      <c r="U255">
        <v>0.3236</v>
      </c>
      <c r="V255">
        <v>150.04182500000024</v>
      </c>
      <c r="W255">
        <v>31.678330983544399</v>
      </c>
      <c r="X255">
        <v>283.03883952672425</v>
      </c>
      <c r="Y255">
        <v>-40.561160473275777</v>
      </c>
      <c r="Z255">
        <v>-14.330598776160553</v>
      </c>
    </row>
    <row r="256" spans="1:27" x14ac:dyDescent="0.35">
      <c r="A256">
        <v>254</v>
      </c>
      <c r="C256">
        <v>46076</v>
      </c>
      <c r="D256" t="s">
        <v>16</v>
      </c>
      <c r="E256" t="s">
        <v>66</v>
      </c>
      <c r="F256" t="s">
        <v>19</v>
      </c>
      <c r="G256" t="s">
        <v>67</v>
      </c>
      <c r="H256" t="s">
        <v>68</v>
      </c>
      <c r="I256" t="s">
        <v>22</v>
      </c>
      <c r="J256" t="s">
        <v>23</v>
      </c>
      <c r="K256" t="s">
        <v>24</v>
      </c>
      <c r="L256" t="s">
        <v>65</v>
      </c>
      <c r="M256">
        <v>27</v>
      </c>
      <c r="N256">
        <v>69</v>
      </c>
      <c r="O256">
        <v>3</v>
      </c>
      <c r="P256">
        <v>2</v>
      </c>
      <c r="Q256">
        <v>116</v>
      </c>
      <c r="R256">
        <v>0.55820000000000003</v>
      </c>
      <c r="S256">
        <v>0.86160000000000003</v>
      </c>
      <c r="U256">
        <v>0.3034</v>
      </c>
      <c r="V256">
        <v>169.95781031381205</v>
      </c>
      <c r="W256">
        <v>35.904722941222559</v>
      </c>
      <c r="X256">
        <v>282.86911805589068</v>
      </c>
      <c r="Y256">
        <v>-20.530881944109296</v>
      </c>
      <c r="Z256">
        <v>-7.2580853241295511</v>
      </c>
    </row>
    <row r="257" spans="1:26" x14ac:dyDescent="0.35">
      <c r="A257">
        <v>255</v>
      </c>
      <c r="C257">
        <v>46076</v>
      </c>
      <c r="D257" t="s">
        <v>16</v>
      </c>
      <c r="E257" t="s">
        <v>70</v>
      </c>
      <c r="F257" t="s">
        <v>19</v>
      </c>
      <c r="G257" t="s">
        <v>20</v>
      </c>
      <c r="H257" t="s">
        <v>21</v>
      </c>
      <c r="I257" t="s">
        <v>22</v>
      </c>
      <c r="J257" t="s">
        <v>23</v>
      </c>
      <c r="K257" t="s">
        <v>24</v>
      </c>
      <c r="L257" t="s">
        <v>69</v>
      </c>
      <c r="M257">
        <v>27</v>
      </c>
      <c r="N257">
        <v>69</v>
      </c>
      <c r="O257">
        <v>3</v>
      </c>
      <c r="P257">
        <v>1</v>
      </c>
      <c r="Q257">
        <v>117</v>
      </c>
      <c r="R257">
        <v>0.59599999999999997</v>
      </c>
      <c r="S257">
        <v>0.93020000000000003</v>
      </c>
      <c r="U257">
        <v>0.33420000000000005</v>
      </c>
      <c r="V257">
        <v>139.33798255593132</v>
      </c>
      <c r="W257">
        <v>29.424879880564507</v>
      </c>
      <c r="X257">
        <v>284.55559905195435</v>
      </c>
      <c r="Y257">
        <v>-49.6444009480457</v>
      </c>
      <c r="Z257">
        <v>-17.446292082617425</v>
      </c>
    </row>
    <row r="258" spans="1:26" x14ac:dyDescent="0.35">
      <c r="A258">
        <v>256</v>
      </c>
      <c r="C258">
        <v>46076</v>
      </c>
      <c r="D258" t="s">
        <v>16</v>
      </c>
      <c r="E258" t="s">
        <v>70</v>
      </c>
      <c r="F258" t="s">
        <v>19</v>
      </c>
      <c r="G258" t="s">
        <v>20</v>
      </c>
      <c r="H258" t="s">
        <v>21</v>
      </c>
      <c r="I258" t="s">
        <v>22</v>
      </c>
      <c r="J258" t="s">
        <v>23</v>
      </c>
      <c r="K258" t="s">
        <v>24</v>
      </c>
      <c r="L258" t="s">
        <v>69</v>
      </c>
      <c r="M258">
        <v>27</v>
      </c>
      <c r="N258">
        <v>69</v>
      </c>
      <c r="O258">
        <v>3</v>
      </c>
      <c r="P258">
        <v>2</v>
      </c>
      <c r="Q258">
        <v>118</v>
      </c>
      <c r="R258">
        <v>0.56779999999999997</v>
      </c>
      <c r="S258">
        <v>0.87170000000000003</v>
      </c>
      <c r="U258">
        <v>0.30390000000000006</v>
      </c>
      <c r="V258">
        <v>169.73261444692969</v>
      </c>
      <c r="W258">
        <v>35.836344303512512</v>
      </c>
      <c r="X258">
        <v>284.61246467926287</v>
      </c>
      <c r="Y258">
        <v>-19.287535320737163</v>
      </c>
      <c r="Z258">
        <v>-6.776771123665573</v>
      </c>
    </row>
    <row r="259" spans="1:26" x14ac:dyDescent="0.35">
      <c r="A259">
        <v>257</v>
      </c>
      <c r="C259">
        <v>46076</v>
      </c>
      <c r="D259" t="s">
        <v>16</v>
      </c>
      <c r="E259" t="s">
        <v>72</v>
      </c>
      <c r="F259" t="s">
        <v>19</v>
      </c>
      <c r="G259" t="s">
        <v>73</v>
      </c>
      <c r="H259" t="s">
        <v>74</v>
      </c>
      <c r="I259" t="s">
        <v>22</v>
      </c>
      <c r="J259" t="s">
        <v>23</v>
      </c>
      <c r="K259" t="s">
        <v>24</v>
      </c>
      <c r="L259" t="s">
        <v>71</v>
      </c>
      <c r="M259">
        <v>27</v>
      </c>
      <c r="N259">
        <v>69</v>
      </c>
      <c r="O259">
        <v>3</v>
      </c>
      <c r="P259">
        <v>1</v>
      </c>
      <c r="Q259">
        <v>119</v>
      </c>
      <c r="R259">
        <v>0.56299999999999994</v>
      </c>
      <c r="S259">
        <v>0.89170000000000005</v>
      </c>
      <c r="U259">
        <v>0.3287000000000001</v>
      </c>
      <c r="V259">
        <v>140.49996717962921</v>
      </c>
      <c r="W259">
        <v>29.944581629913024</v>
      </c>
      <c r="X259">
        <v>273.8318580683582</v>
      </c>
      <c r="Y259">
        <v>-54.868141931641901</v>
      </c>
      <c r="Z259">
        <v>-20.037165258523299</v>
      </c>
    </row>
    <row r="260" spans="1:26" x14ac:dyDescent="0.35">
      <c r="A260">
        <v>258</v>
      </c>
      <c r="C260">
        <v>46076</v>
      </c>
      <c r="D260" t="s">
        <v>16</v>
      </c>
      <c r="E260" t="s">
        <v>72</v>
      </c>
      <c r="F260" t="s">
        <v>19</v>
      </c>
      <c r="G260" t="s">
        <v>73</v>
      </c>
      <c r="H260" t="s">
        <v>74</v>
      </c>
      <c r="I260" t="s">
        <v>22</v>
      </c>
      <c r="J260" t="s">
        <v>23</v>
      </c>
      <c r="K260" t="s">
        <v>24</v>
      </c>
      <c r="L260" t="s">
        <v>71</v>
      </c>
      <c r="M260">
        <v>27</v>
      </c>
      <c r="N260">
        <v>69</v>
      </c>
      <c r="O260">
        <v>3</v>
      </c>
      <c r="P260">
        <v>2</v>
      </c>
      <c r="Q260">
        <v>120</v>
      </c>
      <c r="R260">
        <v>0.59489999999999998</v>
      </c>
      <c r="S260">
        <v>0.91479999999999995</v>
      </c>
      <c r="U260">
        <v>0.31989999999999996</v>
      </c>
      <c r="V260">
        <v>149.29996717962933</v>
      </c>
      <c r="W260">
        <v>31.820114582930287</v>
      </c>
      <c r="X260">
        <v>273.8318580683582</v>
      </c>
      <c r="Y260">
        <v>-46.068141931641776</v>
      </c>
      <c r="Z260">
        <v>-16.823514348042558</v>
      </c>
    </row>
    <row r="261" spans="1:26" x14ac:dyDescent="0.35">
      <c r="A261">
        <v>259</v>
      </c>
      <c r="C261">
        <v>46076</v>
      </c>
      <c r="D261" t="s">
        <v>16</v>
      </c>
      <c r="E261" t="s">
        <v>76</v>
      </c>
      <c r="F261" t="s">
        <v>19</v>
      </c>
      <c r="G261" t="s">
        <v>20</v>
      </c>
      <c r="H261" t="s">
        <v>21</v>
      </c>
      <c r="I261" t="s">
        <v>22</v>
      </c>
      <c r="J261" t="s">
        <v>23</v>
      </c>
      <c r="K261" t="s">
        <v>24</v>
      </c>
      <c r="L261" t="s">
        <v>75</v>
      </c>
      <c r="M261">
        <v>27</v>
      </c>
      <c r="N261">
        <v>69</v>
      </c>
      <c r="O261">
        <v>3</v>
      </c>
      <c r="P261">
        <v>1</v>
      </c>
      <c r="Q261">
        <v>121</v>
      </c>
      <c r="R261">
        <v>0.59460000000000002</v>
      </c>
      <c r="S261">
        <v>1.0121</v>
      </c>
      <c r="U261">
        <v>0.41749999999999998</v>
      </c>
      <c r="V261">
        <v>49.741770494851721</v>
      </c>
      <c r="W261">
        <v>10.645831266791632</v>
      </c>
      <c r="X261">
        <v>295.84622695224027</v>
      </c>
      <c r="Y261">
        <v>-121.65377304775973</v>
      </c>
      <c r="Z261">
        <v>-41.120609953696928</v>
      </c>
    </row>
    <row r="262" spans="1:26" x14ac:dyDescent="0.35">
      <c r="A262">
        <v>260</v>
      </c>
      <c r="C262">
        <v>46076</v>
      </c>
      <c r="D262" t="s">
        <v>16</v>
      </c>
      <c r="E262" t="s">
        <v>76</v>
      </c>
      <c r="F262" t="s">
        <v>19</v>
      </c>
      <c r="G262" t="s">
        <v>20</v>
      </c>
      <c r="H262" t="s">
        <v>21</v>
      </c>
      <c r="I262" t="s">
        <v>22</v>
      </c>
      <c r="J262" t="s">
        <v>23</v>
      </c>
      <c r="K262" t="s">
        <v>24</v>
      </c>
      <c r="L262" t="s">
        <v>75</v>
      </c>
      <c r="M262">
        <v>27</v>
      </c>
      <c r="N262">
        <v>69</v>
      </c>
      <c r="O262">
        <v>3</v>
      </c>
      <c r="P262">
        <v>2</v>
      </c>
      <c r="Q262">
        <v>122</v>
      </c>
      <c r="R262">
        <v>0.58740000000000003</v>
      </c>
      <c r="S262">
        <v>0.96220000000000006</v>
      </c>
      <c r="U262">
        <v>0.37480000000000002</v>
      </c>
      <c r="V262">
        <v>92.628592474257857</v>
      </c>
      <c r="W262">
        <v>19.816629527077779</v>
      </c>
      <c r="X262">
        <v>295.96451812655147</v>
      </c>
      <c r="Y262">
        <v>-78.835481873448543</v>
      </c>
      <c r="Z262">
        <v>-26.636801726259389</v>
      </c>
    </row>
    <row r="263" spans="1:26" x14ac:dyDescent="0.35">
      <c r="A263">
        <v>261</v>
      </c>
      <c r="C263">
        <v>46076</v>
      </c>
      <c r="D263" t="s">
        <v>16</v>
      </c>
      <c r="E263" t="s">
        <v>78</v>
      </c>
      <c r="F263" t="s">
        <v>79</v>
      </c>
      <c r="G263" t="s">
        <v>80</v>
      </c>
      <c r="H263" t="s">
        <v>81</v>
      </c>
      <c r="I263" t="s">
        <v>22</v>
      </c>
      <c r="J263" t="s">
        <v>23</v>
      </c>
      <c r="K263" t="s">
        <v>24</v>
      </c>
      <c r="L263" t="s">
        <v>77</v>
      </c>
      <c r="M263">
        <v>27</v>
      </c>
      <c r="N263">
        <v>69</v>
      </c>
      <c r="O263">
        <v>3</v>
      </c>
      <c r="P263">
        <v>1</v>
      </c>
      <c r="Q263">
        <v>123</v>
      </c>
      <c r="R263">
        <v>0.57720000000000005</v>
      </c>
      <c r="S263">
        <v>0.90149999999999997</v>
      </c>
      <c r="U263">
        <v>0.32429999999999992</v>
      </c>
      <c r="V263">
        <v>148.83308729697552</v>
      </c>
      <c r="W263">
        <v>31.456917998963835</v>
      </c>
      <c r="X263">
        <v>219.17640672709589</v>
      </c>
      <c r="Y263">
        <v>-105.123593272904</v>
      </c>
      <c r="Z263">
        <v>-47.963006074735503</v>
      </c>
    </row>
    <row r="264" spans="1:26" x14ac:dyDescent="0.35">
      <c r="A264">
        <v>262</v>
      </c>
      <c r="C264">
        <v>46076</v>
      </c>
      <c r="D264" t="s">
        <v>16</v>
      </c>
      <c r="E264" t="s">
        <v>78</v>
      </c>
      <c r="F264" t="s">
        <v>79</v>
      </c>
      <c r="G264" t="s">
        <v>80</v>
      </c>
      <c r="H264" t="s">
        <v>81</v>
      </c>
      <c r="I264" t="s">
        <v>22</v>
      </c>
      <c r="J264" t="s">
        <v>23</v>
      </c>
      <c r="K264" t="s">
        <v>24</v>
      </c>
      <c r="L264" t="s">
        <v>77</v>
      </c>
      <c r="M264">
        <v>27</v>
      </c>
      <c r="N264">
        <v>69</v>
      </c>
      <c r="O264">
        <v>3</v>
      </c>
      <c r="P264">
        <v>2</v>
      </c>
      <c r="Q264">
        <v>124</v>
      </c>
      <c r="R264">
        <v>0.58289999999999997</v>
      </c>
      <c r="S264">
        <v>0.84499999999999997</v>
      </c>
      <c r="U264">
        <v>0.2621</v>
      </c>
      <c r="V264">
        <v>211.12771391443471</v>
      </c>
      <c r="W264">
        <v>44.614401842198347</v>
      </c>
      <c r="X264">
        <v>219.22024200844126</v>
      </c>
      <c r="Y264">
        <v>-42.879757991558762</v>
      </c>
      <c r="Z264">
        <v>-19.56012711175989</v>
      </c>
    </row>
    <row r="265" spans="1:26" x14ac:dyDescent="0.35">
      <c r="A265">
        <v>263</v>
      </c>
      <c r="C265">
        <v>46076</v>
      </c>
      <c r="D265" t="s">
        <v>16</v>
      </c>
      <c r="E265" t="s">
        <v>83</v>
      </c>
      <c r="F265" t="s">
        <v>84</v>
      </c>
      <c r="G265" t="s">
        <v>67</v>
      </c>
      <c r="H265" t="s">
        <v>85</v>
      </c>
      <c r="I265" t="s">
        <v>22</v>
      </c>
      <c r="J265" t="s">
        <v>23</v>
      </c>
      <c r="K265" t="s">
        <v>24</v>
      </c>
      <c r="L265" t="s">
        <v>82</v>
      </c>
      <c r="M265">
        <v>27</v>
      </c>
      <c r="N265">
        <v>69</v>
      </c>
      <c r="O265">
        <v>3</v>
      </c>
      <c r="P265">
        <v>1</v>
      </c>
      <c r="Q265">
        <v>125</v>
      </c>
      <c r="R265">
        <v>0.59499999999999997</v>
      </c>
      <c r="S265">
        <v>0.92689999999999995</v>
      </c>
      <c r="U265">
        <v>0.33189999999999997</v>
      </c>
      <c r="V265">
        <v>135.3749921740125</v>
      </c>
      <c r="W265">
        <v>28.971161402020645</v>
      </c>
      <c r="X265">
        <v>234.17855600142687</v>
      </c>
      <c r="Y265">
        <v>-97.721443998573108</v>
      </c>
      <c r="Z265">
        <v>-41.729458780153074</v>
      </c>
    </row>
    <row r="266" spans="1:26" x14ac:dyDescent="0.35">
      <c r="A266">
        <v>264</v>
      </c>
      <c r="C266">
        <v>46076</v>
      </c>
      <c r="D266" t="s">
        <v>16</v>
      </c>
      <c r="E266" t="s">
        <v>83</v>
      </c>
      <c r="F266" t="s">
        <v>84</v>
      </c>
      <c r="G266" t="s">
        <v>67</v>
      </c>
      <c r="H266" t="s">
        <v>85</v>
      </c>
      <c r="I266" t="s">
        <v>22</v>
      </c>
      <c r="J266" t="s">
        <v>23</v>
      </c>
      <c r="K266" t="s">
        <v>24</v>
      </c>
      <c r="L266" t="s">
        <v>82</v>
      </c>
      <c r="M266">
        <v>27</v>
      </c>
      <c r="N266">
        <v>69</v>
      </c>
      <c r="O266">
        <v>3</v>
      </c>
      <c r="P266">
        <v>2</v>
      </c>
      <c r="Q266">
        <v>126</v>
      </c>
      <c r="R266">
        <v>0.57340000000000002</v>
      </c>
      <c r="S266">
        <v>0.83599999999999997</v>
      </c>
      <c r="U266">
        <v>0.26259999999999994</v>
      </c>
      <c r="V266">
        <v>205.04866269954158</v>
      </c>
      <c r="W266">
        <v>43.846733467787722</v>
      </c>
      <c r="X266">
        <v>234.36582393905297</v>
      </c>
      <c r="Y266">
        <v>-28.234176060946993</v>
      </c>
      <c r="Z266">
        <v>-12.047053442522964</v>
      </c>
    </row>
    <row r="267" spans="1:26" x14ac:dyDescent="0.35">
      <c r="A267">
        <v>265</v>
      </c>
      <c r="C267">
        <v>46076</v>
      </c>
      <c r="D267" t="s">
        <v>16</v>
      </c>
      <c r="E267" t="s">
        <v>87</v>
      </c>
      <c r="F267" t="s">
        <v>88</v>
      </c>
      <c r="G267" t="s">
        <v>89</v>
      </c>
      <c r="H267" t="s">
        <v>90</v>
      </c>
      <c r="I267" t="s">
        <v>22</v>
      </c>
      <c r="J267" t="s">
        <v>23</v>
      </c>
      <c r="K267" t="s">
        <v>24</v>
      </c>
      <c r="L267" t="s">
        <v>86</v>
      </c>
      <c r="M267">
        <v>27</v>
      </c>
      <c r="N267">
        <v>69</v>
      </c>
      <c r="O267">
        <v>3</v>
      </c>
      <c r="P267">
        <v>1</v>
      </c>
      <c r="Q267">
        <v>127</v>
      </c>
      <c r="R267">
        <v>0.59970000000000001</v>
      </c>
      <c r="S267">
        <v>1.0636000000000001</v>
      </c>
      <c r="U267">
        <v>0.46390000000000009</v>
      </c>
      <c r="V267">
        <v>5.2656756168761376</v>
      </c>
      <c r="W267">
        <v>1.1223488610825236</v>
      </c>
      <c r="X267">
        <v>329.98448785292186</v>
      </c>
      <c r="Y267">
        <v>-133.91551214707823</v>
      </c>
      <c r="Z267">
        <v>-40.582365861623785</v>
      </c>
    </row>
    <row r="268" spans="1:26" x14ac:dyDescent="0.35">
      <c r="A268">
        <v>266</v>
      </c>
      <c r="C268">
        <v>46076</v>
      </c>
      <c r="D268" t="s">
        <v>16</v>
      </c>
      <c r="E268" t="s">
        <v>87</v>
      </c>
      <c r="F268" t="s">
        <v>88</v>
      </c>
      <c r="G268" t="s">
        <v>89</v>
      </c>
      <c r="H268" t="s">
        <v>90</v>
      </c>
      <c r="I268" t="s">
        <v>22</v>
      </c>
      <c r="J268" t="s">
        <v>23</v>
      </c>
      <c r="K268" t="s">
        <v>24</v>
      </c>
      <c r="L268" t="s">
        <v>86</v>
      </c>
      <c r="M268">
        <v>27</v>
      </c>
      <c r="N268">
        <v>69</v>
      </c>
      <c r="O268">
        <v>3</v>
      </c>
      <c r="P268">
        <v>2</v>
      </c>
      <c r="Q268">
        <v>128</v>
      </c>
      <c r="R268">
        <v>0.55730000000000002</v>
      </c>
      <c r="S268">
        <v>1.0058</v>
      </c>
      <c r="U268">
        <v>0.44850000000000001</v>
      </c>
      <c r="V268">
        <v>20.759471233752777</v>
      </c>
      <c r="W268">
        <v>4.4238790064637472</v>
      </c>
      <c r="X268">
        <v>330.05045836228862</v>
      </c>
      <c r="Y268">
        <v>-118.44954163771138</v>
      </c>
      <c r="Z268">
        <v>-35.888313025062395</v>
      </c>
    </row>
    <row r="269" spans="1:26" x14ac:dyDescent="0.35">
      <c r="A269">
        <v>267</v>
      </c>
      <c r="C269">
        <v>46076</v>
      </c>
      <c r="D269" t="s">
        <v>16</v>
      </c>
      <c r="E269" t="s">
        <v>92</v>
      </c>
      <c r="F269" t="s">
        <v>79</v>
      </c>
      <c r="G269" t="s">
        <v>80</v>
      </c>
      <c r="H269" t="s">
        <v>81</v>
      </c>
      <c r="I269" t="s">
        <v>22</v>
      </c>
      <c r="J269" t="s">
        <v>23</v>
      </c>
      <c r="K269" t="s">
        <v>24</v>
      </c>
      <c r="L269" t="s">
        <v>91</v>
      </c>
      <c r="M269">
        <v>27</v>
      </c>
      <c r="N269">
        <v>69</v>
      </c>
      <c r="O269">
        <v>3</v>
      </c>
      <c r="P269">
        <v>1</v>
      </c>
      <c r="Q269">
        <v>129</v>
      </c>
      <c r="R269">
        <v>0.5554</v>
      </c>
      <c r="S269">
        <v>0.81710000000000005</v>
      </c>
      <c r="U269">
        <v>0.26170000000000004</v>
      </c>
      <c r="V269">
        <v>203.72892264641189</v>
      </c>
      <c r="W269">
        <v>43.772295345982506</v>
      </c>
      <c r="X269">
        <v>226.96192372308451</v>
      </c>
      <c r="Y269">
        <v>-34.738076276915535</v>
      </c>
      <c r="Z269">
        <v>-15.305684630739799</v>
      </c>
    </row>
    <row r="270" spans="1:26" x14ac:dyDescent="0.35">
      <c r="A270">
        <v>268</v>
      </c>
      <c r="C270">
        <v>46076</v>
      </c>
      <c r="D270" t="s">
        <v>16</v>
      </c>
      <c r="E270" t="s">
        <v>92</v>
      </c>
      <c r="F270" t="s">
        <v>79</v>
      </c>
      <c r="G270" t="s">
        <v>80</v>
      </c>
      <c r="H270" t="s">
        <v>81</v>
      </c>
      <c r="I270" t="s">
        <v>22</v>
      </c>
      <c r="J270" t="s">
        <v>23</v>
      </c>
      <c r="K270" t="s">
        <v>24</v>
      </c>
      <c r="L270" t="s">
        <v>91</v>
      </c>
      <c r="M270">
        <v>27</v>
      </c>
      <c r="N270">
        <v>69</v>
      </c>
      <c r="O270">
        <v>3</v>
      </c>
      <c r="P270">
        <v>2</v>
      </c>
      <c r="Q270">
        <v>130</v>
      </c>
      <c r="R270">
        <v>0.59609999999999996</v>
      </c>
      <c r="S270">
        <v>0.80459999999999998</v>
      </c>
      <c r="U270">
        <v>0.20850000000000002</v>
      </c>
      <c r="V270">
        <v>256.37107735358757</v>
      </c>
      <c r="W270">
        <v>55.148855207997386</v>
      </c>
      <c r="X270">
        <v>226.68989584806684</v>
      </c>
      <c r="Y270">
        <v>18.189895848066811</v>
      </c>
      <c r="Z270">
        <v>8.0241317240968382</v>
      </c>
    </row>
    <row r="271" spans="1:26" x14ac:dyDescent="0.35">
      <c r="A271">
        <v>269</v>
      </c>
      <c r="C271">
        <v>46076</v>
      </c>
      <c r="D271" t="s">
        <v>16</v>
      </c>
      <c r="E271" t="s">
        <v>94</v>
      </c>
      <c r="F271" t="s">
        <v>19</v>
      </c>
      <c r="G271" t="s">
        <v>29</v>
      </c>
      <c r="H271" t="s">
        <v>30</v>
      </c>
      <c r="I271" t="s">
        <v>22</v>
      </c>
      <c r="J271" t="s">
        <v>23</v>
      </c>
      <c r="K271" t="s">
        <v>24</v>
      </c>
      <c r="L271" t="s">
        <v>93</v>
      </c>
      <c r="M271">
        <v>27</v>
      </c>
      <c r="N271">
        <v>69</v>
      </c>
      <c r="O271">
        <v>3</v>
      </c>
      <c r="P271">
        <v>1</v>
      </c>
      <c r="Q271">
        <v>131</v>
      </c>
      <c r="R271">
        <v>0.57540000000000002</v>
      </c>
      <c r="S271">
        <v>0.97019999999999995</v>
      </c>
      <c r="U271">
        <v>0.39479999999999993</v>
      </c>
      <c r="V271">
        <v>78.281741901440171</v>
      </c>
      <c r="W271">
        <v>16.547191524831469</v>
      </c>
      <c r="X271">
        <v>292.3770154552048</v>
      </c>
      <c r="Y271">
        <v>-102.42298454479516</v>
      </c>
      <c r="Z271">
        <v>-35.031134162626209</v>
      </c>
    </row>
    <row r="272" spans="1:26" x14ac:dyDescent="0.35">
      <c r="A272">
        <v>270</v>
      </c>
      <c r="C272">
        <v>46076</v>
      </c>
      <c r="D272" t="s">
        <v>16</v>
      </c>
      <c r="E272" t="s">
        <v>94</v>
      </c>
      <c r="F272" t="s">
        <v>19</v>
      </c>
      <c r="G272" t="s">
        <v>29</v>
      </c>
      <c r="H272" t="s">
        <v>30</v>
      </c>
      <c r="I272" t="s">
        <v>22</v>
      </c>
      <c r="J272" t="s">
        <v>23</v>
      </c>
      <c r="K272" t="s">
        <v>24</v>
      </c>
      <c r="L272" t="s">
        <v>93</v>
      </c>
      <c r="M272">
        <v>27</v>
      </c>
      <c r="N272">
        <v>69</v>
      </c>
      <c r="O272">
        <v>3</v>
      </c>
      <c r="P272">
        <v>2</v>
      </c>
      <c r="Q272">
        <v>132</v>
      </c>
      <c r="R272">
        <v>0.59660000000000002</v>
      </c>
      <c r="S272">
        <v>0.97030000000000005</v>
      </c>
      <c r="U272">
        <v>0.37370000000000003</v>
      </c>
      <c r="V272">
        <v>99.38174190144008</v>
      </c>
      <c r="W272">
        <v>21.007308695110211</v>
      </c>
      <c r="X272">
        <v>292.3770154552048</v>
      </c>
      <c r="Y272">
        <v>-81.322984544795247</v>
      </c>
      <c r="Z272">
        <v>-27.814424611381522</v>
      </c>
    </row>
    <row r="273" spans="1:27" x14ac:dyDescent="0.35">
      <c r="A273">
        <v>271</v>
      </c>
      <c r="C273">
        <v>46076</v>
      </c>
      <c r="D273" t="s">
        <v>16</v>
      </c>
      <c r="E273" t="s">
        <v>96</v>
      </c>
      <c r="F273" t="s">
        <v>19</v>
      </c>
      <c r="G273" t="s">
        <v>29</v>
      </c>
      <c r="H273" t="s">
        <v>30</v>
      </c>
      <c r="I273" t="s">
        <v>22</v>
      </c>
      <c r="J273" t="s">
        <v>23</v>
      </c>
      <c r="K273" t="s">
        <v>24</v>
      </c>
      <c r="L273" t="s">
        <v>95</v>
      </c>
      <c r="M273">
        <v>27</v>
      </c>
      <c r="N273">
        <v>69</v>
      </c>
      <c r="O273">
        <v>3</v>
      </c>
      <c r="P273">
        <v>1</v>
      </c>
      <c r="Q273">
        <v>133</v>
      </c>
      <c r="R273">
        <v>0.57950000000000002</v>
      </c>
      <c r="S273">
        <v>0.99380000000000002</v>
      </c>
      <c r="U273">
        <v>0.4143</v>
      </c>
      <c r="V273">
        <v>56.36462501661407</v>
      </c>
      <c r="W273">
        <v>11.975538848840497</v>
      </c>
      <c r="X273">
        <v>306.84311971338548</v>
      </c>
      <c r="Y273">
        <v>-107.45688028661453</v>
      </c>
      <c r="Z273">
        <v>-35.020136800521165</v>
      </c>
    </row>
    <row r="274" spans="1:27" x14ac:dyDescent="0.35">
      <c r="A274">
        <v>272</v>
      </c>
      <c r="C274">
        <v>46076</v>
      </c>
      <c r="D274" t="s">
        <v>16</v>
      </c>
      <c r="E274" t="s">
        <v>96</v>
      </c>
      <c r="F274" t="s">
        <v>19</v>
      </c>
      <c r="G274" t="s">
        <v>29</v>
      </c>
      <c r="H274" t="s">
        <v>30</v>
      </c>
      <c r="I274" t="s">
        <v>22</v>
      </c>
      <c r="J274" t="s">
        <v>23</v>
      </c>
      <c r="K274" t="s">
        <v>24</v>
      </c>
      <c r="L274" t="s">
        <v>95</v>
      </c>
      <c r="M274">
        <v>27</v>
      </c>
      <c r="N274">
        <v>69</v>
      </c>
      <c r="O274">
        <v>3</v>
      </c>
      <c r="P274">
        <v>2</v>
      </c>
      <c r="Q274">
        <v>134</v>
      </c>
      <c r="R274">
        <v>0.56940000000000002</v>
      </c>
      <c r="S274">
        <v>0.96050000000000002</v>
      </c>
      <c r="U274">
        <v>0.3911</v>
      </c>
      <c r="V274">
        <v>79.658701495729872</v>
      </c>
      <c r="W274">
        <v>16.921344468542433</v>
      </c>
      <c r="X274">
        <v>306.90445153823322</v>
      </c>
      <c r="Y274">
        <v>-84.195548461766805</v>
      </c>
      <c r="Z274">
        <v>-27.433798382451279</v>
      </c>
    </row>
    <row r="275" spans="1:27" x14ac:dyDescent="0.35">
      <c r="A275">
        <v>273</v>
      </c>
      <c r="C275">
        <v>46076</v>
      </c>
      <c r="D275" t="s">
        <v>16</v>
      </c>
      <c r="E275" t="s">
        <v>98</v>
      </c>
      <c r="F275" t="s">
        <v>99</v>
      </c>
      <c r="G275" t="s">
        <v>100</v>
      </c>
      <c r="H275" t="s">
        <v>101</v>
      </c>
      <c r="I275" t="s">
        <v>22</v>
      </c>
      <c r="J275" t="s">
        <v>23</v>
      </c>
      <c r="K275" t="s">
        <v>24</v>
      </c>
      <c r="L275" t="s">
        <v>97</v>
      </c>
      <c r="M275">
        <v>27</v>
      </c>
      <c r="N275">
        <v>69</v>
      </c>
      <c r="O275">
        <v>3</v>
      </c>
      <c r="P275">
        <v>1</v>
      </c>
      <c r="Q275">
        <v>135</v>
      </c>
      <c r="R275">
        <v>0.57809999999999995</v>
      </c>
      <c r="S275">
        <v>0.85870000000000002</v>
      </c>
      <c r="U275">
        <v>0.28060000000000007</v>
      </c>
      <c r="V275">
        <v>192.32521002798336</v>
      </c>
      <c r="W275">
        <v>40.667151158341355</v>
      </c>
      <c r="X275">
        <v>273.17219295641985</v>
      </c>
      <c r="Y275">
        <v>-7.4278070435802306</v>
      </c>
      <c r="Z275">
        <v>-2.7190933905799173</v>
      </c>
    </row>
    <row r="276" spans="1:27" x14ac:dyDescent="0.35">
      <c r="A276">
        <v>274</v>
      </c>
      <c r="C276">
        <v>46076</v>
      </c>
      <c r="D276" t="s">
        <v>16</v>
      </c>
      <c r="E276" t="s">
        <v>98</v>
      </c>
      <c r="F276" t="s">
        <v>99</v>
      </c>
      <c r="G276" t="s">
        <v>100</v>
      </c>
      <c r="H276" t="s">
        <v>101</v>
      </c>
      <c r="I276" t="s">
        <v>22</v>
      </c>
      <c r="J276" t="s">
        <v>23</v>
      </c>
      <c r="K276" t="s">
        <v>24</v>
      </c>
      <c r="L276" t="s">
        <v>97</v>
      </c>
      <c r="M276">
        <v>27</v>
      </c>
      <c r="N276">
        <v>69</v>
      </c>
      <c r="O276">
        <v>3</v>
      </c>
      <c r="P276">
        <v>2</v>
      </c>
      <c r="Q276">
        <v>136</v>
      </c>
      <c r="R276">
        <v>0.59179999999999999</v>
      </c>
      <c r="S276">
        <v>0.88290000000000002</v>
      </c>
      <c r="U276">
        <v>0.29110000000000003</v>
      </c>
      <c r="V276">
        <v>181.54179500000015</v>
      </c>
      <c r="W276">
        <v>38.410017252071434</v>
      </c>
      <c r="X276">
        <v>273.00848608888703</v>
      </c>
      <c r="Y276">
        <v>-18.091513911112997</v>
      </c>
      <c r="Z276">
        <v>-6.6267221837282744</v>
      </c>
    </row>
    <row r="277" spans="1:27" x14ac:dyDescent="0.35">
      <c r="A277">
        <v>275</v>
      </c>
      <c r="C277">
        <v>46076</v>
      </c>
      <c r="D277" t="s">
        <v>473</v>
      </c>
      <c r="E277" t="s">
        <v>104</v>
      </c>
      <c r="F277" t="s">
        <v>105</v>
      </c>
      <c r="G277" t="s">
        <v>106</v>
      </c>
      <c r="H277" t="s">
        <v>107</v>
      </c>
      <c r="I277" t="s">
        <v>108</v>
      </c>
      <c r="J277" t="s">
        <v>109</v>
      </c>
      <c r="K277" t="s">
        <v>110</v>
      </c>
      <c r="L277" t="s">
        <v>103</v>
      </c>
      <c r="M277">
        <v>27</v>
      </c>
      <c r="N277">
        <v>69</v>
      </c>
      <c r="O277">
        <v>3</v>
      </c>
      <c r="P277">
        <v>1</v>
      </c>
      <c r="Q277">
        <v>137</v>
      </c>
      <c r="R277">
        <v>0.5534</v>
      </c>
      <c r="S277">
        <v>0.80289999999999995</v>
      </c>
      <c r="U277">
        <v>0.24949999999999994</v>
      </c>
      <c r="V277">
        <v>235.69925272418362</v>
      </c>
      <c r="W277">
        <v>48.57782682080289</v>
      </c>
      <c r="X277">
        <v>301.47200940391451</v>
      </c>
      <c r="Y277">
        <v>51.972009403914569</v>
      </c>
      <c r="Z277">
        <v>17.239414533600055</v>
      </c>
    </row>
    <row r="278" spans="1:27" x14ac:dyDescent="0.35">
      <c r="A278">
        <v>276</v>
      </c>
      <c r="C278">
        <v>46076</v>
      </c>
      <c r="D278" t="s">
        <v>473</v>
      </c>
      <c r="E278" t="s">
        <v>104</v>
      </c>
      <c r="F278" t="s">
        <v>105</v>
      </c>
      <c r="G278" t="s">
        <v>106</v>
      </c>
      <c r="H278" t="s">
        <v>107</v>
      </c>
      <c r="I278" t="s">
        <v>108</v>
      </c>
      <c r="J278" t="s">
        <v>109</v>
      </c>
      <c r="K278" t="s">
        <v>110</v>
      </c>
      <c r="L278" t="s">
        <v>103</v>
      </c>
      <c r="M278">
        <v>27</v>
      </c>
      <c r="N278">
        <v>69</v>
      </c>
      <c r="O278">
        <v>3</v>
      </c>
      <c r="P278">
        <v>2</v>
      </c>
      <c r="Q278">
        <v>138</v>
      </c>
      <c r="R278">
        <v>0.5474</v>
      </c>
      <c r="S278">
        <v>0.85</v>
      </c>
      <c r="U278">
        <v>0.30259999999999998</v>
      </c>
      <c r="V278">
        <v>182.79325482443312</v>
      </c>
      <c r="W278">
        <v>37.658795833607023</v>
      </c>
      <c r="X278">
        <v>301.59254999144105</v>
      </c>
      <c r="Y278">
        <v>-1.0074500085589193</v>
      </c>
      <c r="Z278">
        <v>-0.33404340013952927</v>
      </c>
    </row>
    <row r="279" spans="1:27" x14ac:dyDescent="0.35">
      <c r="A279">
        <v>277</v>
      </c>
      <c r="C279">
        <v>46076</v>
      </c>
      <c r="D279" t="s">
        <v>112</v>
      </c>
      <c r="E279" t="s">
        <v>114</v>
      </c>
      <c r="F279" t="s">
        <v>544</v>
      </c>
      <c r="G279" t="s">
        <v>116</v>
      </c>
      <c r="H279" t="s">
        <v>117</v>
      </c>
      <c r="I279" t="s">
        <v>22</v>
      </c>
      <c r="J279" t="s">
        <v>23</v>
      </c>
      <c r="K279" t="s">
        <v>118</v>
      </c>
      <c r="L279" t="s">
        <v>113</v>
      </c>
      <c r="M279">
        <v>27</v>
      </c>
      <c r="N279">
        <v>69</v>
      </c>
      <c r="O279">
        <v>3</v>
      </c>
      <c r="P279">
        <v>1</v>
      </c>
      <c r="Q279">
        <v>139</v>
      </c>
      <c r="R279">
        <v>0.56210000000000004</v>
      </c>
      <c r="S279">
        <v>0.78390000000000004</v>
      </c>
      <c r="U279">
        <v>0.2218</v>
      </c>
      <c r="V279">
        <v>246.06036003873044</v>
      </c>
      <c r="W279">
        <v>52.59269240470833</v>
      </c>
      <c r="X279">
        <v>220.8534829562827</v>
      </c>
      <c r="Y279">
        <v>-0.94651704371730716</v>
      </c>
      <c r="Z279">
        <v>-0.42857238701762623</v>
      </c>
    </row>
    <row r="280" spans="1:27" x14ac:dyDescent="0.35">
      <c r="A280">
        <v>278</v>
      </c>
      <c r="C280">
        <v>46076</v>
      </c>
      <c r="D280" t="s">
        <v>112</v>
      </c>
      <c r="E280" t="s">
        <v>114</v>
      </c>
      <c r="F280" t="s">
        <v>544</v>
      </c>
      <c r="G280" t="s">
        <v>116</v>
      </c>
      <c r="H280" t="s">
        <v>117</v>
      </c>
      <c r="I280" t="s">
        <v>22</v>
      </c>
      <c r="J280" t="s">
        <v>23</v>
      </c>
      <c r="K280" t="s">
        <v>118</v>
      </c>
      <c r="L280" t="s">
        <v>113</v>
      </c>
      <c r="M280">
        <v>27</v>
      </c>
      <c r="N280">
        <v>69</v>
      </c>
      <c r="O280">
        <v>3</v>
      </c>
      <c r="P280">
        <v>2</v>
      </c>
      <c r="Q280">
        <v>140</v>
      </c>
      <c r="R280">
        <v>0.57750000000000001</v>
      </c>
      <c r="S280">
        <v>0.91720000000000002</v>
      </c>
      <c r="U280">
        <v>0.3397</v>
      </c>
      <c r="V280">
        <v>127.87986821616528</v>
      </c>
      <c r="W280">
        <v>27.349310119794456</v>
      </c>
      <c r="X280">
        <v>220.72107679144079</v>
      </c>
      <c r="Y280">
        <v>-118.97892320855919</v>
      </c>
      <c r="Z280">
        <v>-53.90464967737644</v>
      </c>
      <c r="AA280" t="s">
        <v>562</v>
      </c>
    </row>
    <row r="281" spans="1:27" x14ac:dyDescent="0.35">
      <c r="A281">
        <v>279</v>
      </c>
      <c r="C281">
        <v>46076</v>
      </c>
      <c r="D281" t="s">
        <v>120</v>
      </c>
      <c r="E281" t="s">
        <v>122</v>
      </c>
      <c r="F281" t="s">
        <v>123</v>
      </c>
      <c r="G281" t="s">
        <v>545</v>
      </c>
      <c r="H281" t="s">
        <v>125</v>
      </c>
      <c r="I281" t="s">
        <v>108</v>
      </c>
      <c r="J281" t="s">
        <v>109</v>
      </c>
      <c r="K281" t="s">
        <v>110</v>
      </c>
      <c r="L281" t="s">
        <v>121</v>
      </c>
      <c r="M281">
        <v>27</v>
      </c>
      <c r="N281">
        <v>69</v>
      </c>
      <c r="O281">
        <v>3</v>
      </c>
      <c r="P281">
        <v>1</v>
      </c>
      <c r="Q281">
        <v>141</v>
      </c>
      <c r="R281">
        <v>0.57599999999999996</v>
      </c>
      <c r="S281">
        <v>0.94469999999999998</v>
      </c>
      <c r="U281">
        <v>0.36870000000000003</v>
      </c>
      <c r="V281">
        <v>99.424199999999871</v>
      </c>
      <c r="W281">
        <v>21.238850715258874</v>
      </c>
      <c r="X281">
        <v>356.2425161999999</v>
      </c>
      <c r="Y281">
        <v>-12.457483800000148</v>
      </c>
      <c r="Z281">
        <v>-3.4969110180566796</v>
      </c>
    </row>
    <row r="282" spans="1:27" x14ac:dyDescent="0.35">
      <c r="A282">
        <v>280</v>
      </c>
      <c r="C282">
        <v>46076</v>
      </c>
      <c r="D282" t="s">
        <v>120</v>
      </c>
      <c r="E282" t="s">
        <v>122</v>
      </c>
      <c r="F282" t="s">
        <v>123</v>
      </c>
      <c r="G282" t="s">
        <v>545</v>
      </c>
      <c r="H282" t="s">
        <v>125</v>
      </c>
      <c r="I282" t="s">
        <v>108</v>
      </c>
      <c r="J282" t="s">
        <v>109</v>
      </c>
      <c r="K282" t="s">
        <v>110</v>
      </c>
      <c r="L282" t="s">
        <v>121</v>
      </c>
      <c r="M282">
        <v>27</v>
      </c>
      <c r="N282">
        <v>69</v>
      </c>
      <c r="O282">
        <v>3</v>
      </c>
      <c r="P282">
        <v>2</v>
      </c>
      <c r="Q282">
        <v>142</v>
      </c>
      <c r="R282">
        <v>0.56689999999999996</v>
      </c>
      <c r="S282">
        <v>0.94030000000000002</v>
      </c>
      <c r="U282">
        <v>0.37340000000000007</v>
      </c>
      <c r="V282">
        <v>94.537099999999896</v>
      </c>
      <c r="W282">
        <v>20.202950353797529</v>
      </c>
      <c r="X282">
        <v>356.10013309999994</v>
      </c>
      <c r="Y282">
        <v>-17.299866900000154</v>
      </c>
      <c r="Z282">
        <v>-4.8581467098587154</v>
      </c>
    </row>
    <row r="283" spans="1:27" x14ac:dyDescent="0.35">
      <c r="A283">
        <v>281</v>
      </c>
      <c r="C283">
        <v>46076</v>
      </c>
      <c r="D283">
        <v>0</v>
      </c>
      <c r="E283" t="s">
        <v>553</v>
      </c>
      <c r="F283" t="s">
        <v>554</v>
      </c>
      <c r="G283">
        <v>24</v>
      </c>
      <c r="H283" t="s">
        <v>553</v>
      </c>
      <c r="I283">
        <v>0</v>
      </c>
      <c r="J283">
        <v>0</v>
      </c>
      <c r="K283">
        <v>0</v>
      </c>
      <c r="L283" t="s">
        <v>553</v>
      </c>
      <c r="M283">
        <v>27</v>
      </c>
      <c r="N283">
        <v>69</v>
      </c>
      <c r="O283">
        <v>3</v>
      </c>
      <c r="P283">
        <v>1</v>
      </c>
      <c r="Q283">
        <v>143</v>
      </c>
    </row>
    <row r="284" spans="1:27" x14ac:dyDescent="0.35">
      <c r="A284">
        <v>282</v>
      </c>
      <c r="C284">
        <v>46076</v>
      </c>
      <c r="D284">
        <v>0</v>
      </c>
      <c r="E284" t="s">
        <v>553</v>
      </c>
      <c r="F284" t="s">
        <v>554</v>
      </c>
      <c r="G284">
        <v>24</v>
      </c>
      <c r="H284" t="s">
        <v>553</v>
      </c>
      <c r="I284">
        <v>0</v>
      </c>
      <c r="J284">
        <v>0</v>
      </c>
      <c r="K284">
        <v>0</v>
      </c>
      <c r="L284" t="s">
        <v>553</v>
      </c>
      <c r="M284">
        <v>27</v>
      </c>
      <c r="N284">
        <v>69</v>
      </c>
      <c r="O284">
        <v>3</v>
      </c>
      <c r="P284">
        <v>2</v>
      </c>
      <c r="Q284">
        <v>144</v>
      </c>
    </row>
    <row r="285" spans="1:27" x14ac:dyDescent="0.35">
      <c r="A285">
        <v>283</v>
      </c>
      <c r="B285" t="s">
        <v>687</v>
      </c>
      <c r="C285">
        <v>46048</v>
      </c>
      <c r="D285">
        <v>0</v>
      </c>
      <c r="E285" t="s">
        <v>537</v>
      </c>
      <c r="F285" t="s">
        <v>538</v>
      </c>
      <c r="G285">
        <v>24</v>
      </c>
      <c r="H285" t="s">
        <v>537</v>
      </c>
      <c r="I285">
        <v>0</v>
      </c>
      <c r="J285">
        <v>0</v>
      </c>
      <c r="K285">
        <v>0</v>
      </c>
      <c r="L285" t="s">
        <v>539</v>
      </c>
      <c r="M285">
        <v>28</v>
      </c>
      <c r="N285">
        <v>60</v>
      </c>
      <c r="O285">
        <v>1</v>
      </c>
      <c r="P285">
        <v>1</v>
      </c>
      <c r="Q285">
        <v>211</v>
      </c>
    </row>
    <row r="286" spans="1:27" x14ac:dyDescent="0.35">
      <c r="A286">
        <v>284</v>
      </c>
      <c r="B286" t="s">
        <v>687</v>
      </c>
      <c r="C286">
        <v>46048</v>
      </c>
      <c r="D286">
        <v>0</v>
      </c>
      <c r="E286" t="s">
        <v>537</v>
      </c>
      <c r="F286" t="s">
        <v>538</v>
      </c>
      <c r="G286">
        <v>24</v>
      </c>
      <c r="H286" t="s">
        <v>537</v>
      </c>
      <c r="I286">
        <v>0</v>
      </c>
      <c r="J286">
        <v>0</v>
      </c>
      <c r="K286">
        <v>0</v>
      </c>
      <c r="L286" t="s">
        <v>539</v>
      </c>
      <c r="M286">
        <v>28</v>
      </c>
      <c r="N286">
        <v>60</v>
      </c>
      <c r="O286">
        <v>1</v>
      </c>
      <c r="P286">
        <v>2</v>
      </c>
      <c r="Q286">
        <v>212</v>
      </c>
    </row>
    <row r="287" spans="1:27" x14ac:dyDescent="0.35">
      <c r="A287">
        <v>285</v>
      </c>
      <c r="B287" t="s">
        <v>687</v>
      </c>
      <c r="C287">
        <v>46048</v>
      </c>
      <c r="D287" t="s">
        <v>16</v>
      </c>
      <c r="E287" t="s">
        <v>128</v>
      </c>
      <c r="F287" t="s">
        <v>129</v>
      </c>
      <c r="G287" t="s">
        <v>130</v>
      </c>
      <c r="H287" t="s">
        <v>131</v>
      </c>
      <c r="I287" t="s">
        <v>22</v>
      </c>
      <c r="J287" t="s">
        <v>23</v>
      </c>
      <c r="K287" t="s">
        <v>24</v>
      </c>
      <c r="L287" t="s">
        <v>127</v>
      </c>
      <c r="M287">
        <v>28</v>
      </c>
      <c r="N287">
        <v>60</v>
      </c>
      <c r="O287">
        <v>1</v>
      </c>
      <c r="P287">
        <v>1</v>
      </c>
      <c r="Q287">
        <v>213</v>
      </c>
      <c r="R287">
        <v>0.59109999999999996</v>
      </c>
      <c r="S287">
        <v>0.79279999999999995</v>
      </c>
      <c r="U287">
        <v>0.20169999999999999</v>
      </c>
      <c r="V287">
        <v>271.51958716513411</v>
      </c>
      <c r="W287">
        <v>57.377081280954037</v>
      </c>
      <c r="X287">
        <v>245.96419578287765</v>
      </c>
      <c r="Y287">
        <v>44.264195782877664</v>
      </c>
      <c r="Z287">
        <v>17.996194788428241</v>
      </c>
    </row>
    <row r="288" spans="1:27" x14ac:dyDescent="0.35">
      <c r="A288">
        <v>286</v>
      </c>
      <c r="B288" t="s">
        <v>687</v>
      </c>
      <c r="C288">
        <v>46048</v>
      </c>
      <c r="D288" t="s">
        <v>16</v>
      </c>
      <c r="E288" t="s">
        <v>128</v>
      </c>
      <c r="F288" t="s">
        <v>129</v>
      </c>
      <c r="G288" t="s">
        <v>130</v>
      </c>
      <c r="H288" t="s">
        <v>131</v>
      </c>
      <c r="I288" t="s">
        <v>22</v>
      </c>
      <c r="J288" t="s">
        <v>23</v>
      </c>
      <c r="K288" t="s">
        <v>24</v>
      </c>
      <c r="L288" t="s">
        <v>127</v>
      </c>
      <c r="M288">
        <v>28</v>
      </c>
      <c r="N288">
        <v>60</v>
      </c>
      <c r="O288">
        <v>1</v>
      </c>
      <c r="P288">
        <v>2</v>
      </c>
      <c r="Q288">
        <v>214</v>
      </c>
      <c r="R288">
        <v>0.57269999999999999</v>
      </c>
      <c r="S288">
        <v>0.76719999999999999</v>
      </c>
      <c r="U288">
        <v>0.19450000000000001</v>
      </c>
      <c r="V288">
        <v>279.00334866053606</v>
      </c>
      <c r="W288">
        <v>58.923204967777131</v>
      </c>
      <c r="X288">
        <v>246.11168580633338</v>
      </c>
      <c r="Y288">
        <v>51.611685806333384</v>
      </c>
      <c r="Z288">
        <v>20.970839168907606</v>
      </c>
    </row>
    <row r="289" spans="1:26" x14ac:dyDescent="0.35">
      <c r="A289">
        <v>287</v>
      </c>
      <c r="B289" t="s">
        <v>687</v>
      </c>
      <c r="C289">
        <v>46048</v>
      </c>
      <c r="D289" t="s">
        <v>16</v>
      </c>
      <c r="E289" t="s">
        <v>128</v>
      </c>
      <c r="F289" t="s">
        <v>129</v>
      </c>
      <c r="G289" t="s">
        <v>130</v>
      </c>
      <c r="H289" t="s">
        <v>131</v>
      </c>
      <c r="I289" t="s">
        <v>22</v>
      </c>
      <c r="J289" t="s">
        <v>23</v>
      </c>
      <c r="K289" t="s">
        <v>24</v>
      </c>
      <c r="L289" t="s">
        <v>127</v>
      </c>
      <c r="M289">
        <v>28</v>
      </c>
      <c r="N289">
        <v>60</v>
      </c>
      <c r="O289">
        <v>1</v>
      </c>
      <c r="P289">
        <v>3</v>
      </c>
      <c r="Q289">
        <v>215</v>
      </c>
      <c r="R289">
        <v>0.56710000000000005</v>
      </c>
      <c r="S289">
        <v>0.75890000000000002</v>
      </c>
      <c r="U289">
        <v>0.19179999999999997</v>
      </c>
      <c r="V289">
        <v>281.70334866053611</v>
      </c>
      <c r="W289">
        <v>59.493422688018796</v>
      </c>
      <c r="X289">
        <v>246.11168580633338</v>
      </c>
      <c r="Y289">
        <v>54.311685806333401</v>
      </c>
      <c r="Z289">
        <v>22.067902069904783</v>
      </c>
    </row>
    <row r="290" spans="1:26" x14ac:dyDescent="0.35">
      <c r="A290">
        <v>288</v>
      </c>
      <c r="B290" t="s">
        <v>687</v>
      </c>
      <c r="C290">
        <v>46048</v>
      </c>
      <c r="D290" t="s">
        <v>16</v>
      </c>
      <c r="E290" t="s">
        <v>135</v>
      </c>
      <c r="F290" t="s">
        <v>99</v>
      </c>
      <c r="G290" t="s">
        <v>100</v>
      </c>
      <c r="H290" t="s">
        <v>101</v>
      </c>
      <c r="I290" t="s">
        <v>22</v>
      </c>
      <c r="J290" t="s">
        <v>23</v>
      </c>
      <c r="K290" t="s">
        <v>24</v>
      </c>
      <c r="L290" t="s">
        <v>134</v>
      </c>
      <c r="M290">
        <v>28</v>
      </c>
      <c r="N290">
        <v>60</v>
      </c>
      <c r="O290">
        <v>1</v>
      </c>
      <c r="P290">
        <v>1</v>
      </c>
      <c r="Q290">
        <v>216</v>
      </c>
      <c r="R290">
        <v>0.56999999999999995</v>
      </c>
      <c r="S290">
        <v>0.90910000000000002</v>
      </c>
      <c r="U290">
        <v>0.33910000000000007</v>
      </c>
      <c r="V290">
        <v>124.67247178276</v>
      </c>
      <c r="W290">
        <v>26.882249242503331</v>
      </c>
      <c r="X290">
        <v>236.74323949788464</v>
      </c>
      <c r="Y290">
        <v>-102.35676050211543</v>
      </c>
      <c r="Z290">
        <v>-43.235346749164513</v>
      </c>
    </row>
    <row r="291" spans="1:26" x14ac:dyDescent="0.35">
      <c r="A291">
        <v>289</v>
      </c>
      <c r="B291" t="s">
        <v>687</v>
      </c>
      <c r="C291">
        <v>46048</v>
      </c>
      <c r="D291" t="s">
        <v>16</v>
      </c>
      <c r="E291" t="s">
        <v>135</v>
      </c>
      <c r="F291" t="s">
        <v>99</v>
      </c>
      <c r="G291" t="s">
        <v>100</v>
      </c>
      <c r="H291" t="s">
        <v>101</v>
      </c>
      <c r="I291" t="s">
        <v>22</v>
      </c>
      <c r="J291" t="s">
        <v>23</v>
      </c>
      <c r="K291" t="s">
        <v>24</v>
      </c>
      <c r="L291" t="s">
        <v>134</v>
      </c>
      <c r="M291">
        <v>28</v>
      </c>
      <c r="N291">
        <v>60</v>
      </c>
      <c r="O291">
        <v>1</v>
      </c>
      <c r="P291">
        <v>2</v>
      </c>
      <c r="Q291">
        <v>217</v>
      </c>
      <c r="R291">
        <v>0.55940000000000001</v>
      </c>
      <c r="S291">
        <v>0.85860000000000003</v>
      </c>
      <c r="U291">
        <v>0.29920000000000002</v>
      </c>
      <c r="V291">
        <v>164.57247178276003</v>
      </c>
      <c r="W291">
        <v>35.485605937354755</v>
      </c>
      <c r="X291">
        <v>236.74323949788464</v>
      </c>
      <c r="Y291">
        <v>-62.456760502115401</v>
      </c>
      <c r="Z291">
        <v>-26.381644787230961</v>
      </c>
    </row>
    <row r="292" spans="1:26" x14ac:dyDescent="0.35">
      <c r="A292">
        <v>290</v>
      </c>
      <c r="B292" t="s">
        <v>687</v>
      </c>
      <c r="C292">
        <v>46048</v>
      </c>
      <c r="D292" t="s">
        <v>16</v>
      </c>
      <c r="E292" t="s">
        <v>135</v>
      </c>
      <c r="F292" t="s">
        <v>99</v>
      </c>
      <c r="G292" t="s">
        <v>100</v>
      </c>
      <c r="H292" t="s">
        <v>101</v>
      </c>
      <c r="I292" t="s">
        <v>22</v>
      </c>
      <c r="J292" t="s">
        <v>23</v>
      </c>
      <c r="K292" t="s">
        <v>24</v>
      </c>
      <c r="L292" t="s">
        <v>134</v>
      </c>
      <c r="M292">
        <v>28</v>
      </c>
      <c r="N292">
        <v>60</v>
      </c>
      <c r="O292">
        <v>1</v>
      </c>
      <c r="P292">
        <v>3</v>
      </c>
      <c r="Q292">
        <v>218</v>
      </c>
      <c r="R292">
        <v>0.55589999999999995</v>
      </c>
      <c r="S292">
        <v>0.80810000000000004</v>
      </c>
      <c r="U292">
        <v>0.25220000000000009</v>
      </c>
      <c r="V292">
        <v>211.1091626201399</v>
      </c>
      <c r="W292">
        <v>45.56550563909849</v>
      </c>
      <c r="X292">
        <v>236.50673276511955</v>
      </c>
      <c r="Y292">
        <v>-15.693267234880551</v>
      </c>
      <c r="Z292">
        <v>-6.6354420660260471</v>
      </c>
    </row>
    <row r="293" spans="1:26" x14ac:dyDescent="0.35">
      <c r="A293">
        <v>291</v>
      </c>
      <c r="B293" t="s">
        <v>687</v>
      </c>
      <c r="C293">
        <v>46048</v>
      </c>
      <c r="D293" t="s">
        <v>16</v>
      </c>
      <c r="E293" t="s">
        <v>137</v>
      </c>
      <c r="F293" t="s">
        <v>99</v>
      </c>
      <c r="G293" t="s">
        <v>100</v>
      </c>
      <c r="H293" t="s">
        <v>101</v>
      </c>
      <c r="I293" t="s">
        <v>22</v>
      </c>
      <c r="J293" t="s">
        <v>23</v>
      </c>
      <c r="K293" t="s">
        <v>24</v>
      </c>
      <c r="L293" t="s">
        <v>136</v>
      </c>
      <c r="M293">
        <v>28</v>
      </c>
      <c r="N293">
        <v>60</v>
      </c>
      <c r="O293">
        <v>1</v>
      </c>
      <c r="P293">
        <v>1</v>
      </c>
      <c r="Q293">
        <v>219</v>
      </c>
      <c r="R293">
        <v>0.58860000000000001</v>
      </c>
      <c r="S293">
        <v>0.84309999999999996</v>
      </c>
      <c r="U293">
        <v>0.25449999999999995</v>
      </c>
      <c r="V293">
        <v>216.80431427962992</v>
      </c>
      <c r="W293">
        <v>46.000918665683507</v>
      </c>
      <c r="X293">
        <v>217.21122599819918</v>
      </c>
      <c r="Y293">
        <v>-37.288774001800761</v>
      </c>
      <c r="Z293">
        <v>-17.167056550801803</v>
      </c>
    </row>
    <row r="294" spans="1:26" x14ac:dyDescent="0.35">
      <c r="A294">
        <v>292</v>
      </c>
      <c r="B294" t="s">
        <v>687</v>
      </c>
      <c r="C294">
        <v>46048</v>
      </c>
      <c r="D294" t="s">
        <v>16</v>
      </c>
      <c r="E294" t="s">
        <v>137</v>
      </c>
      <c r="F294" t="s">
        <v>99</v>
      </c>
      <c r="G294" t="s">
        <v>100</v>
      </c>
      <c r="H294" t="s">
        <v>101</v>
      </c>
      <c r="I294" t="s">
        <v>22</v>
      </c>
      <c r="J294" t="s">
        <v>23</v>
      </c>
      <c r="K294" t="s">
        <v>24</v>
      </c>
      <c r="L294" t="s">
        <v>136</v>
      </c>
      <c r="M294">
        <v>28</v>
      </c>
      <c r="N294">
        <v>60</v>
      </c>
      <c r="O294">
        <v>1</v>
      </c>
      <c r="P294">
        <v>2</v>
      </c>
      <c r="Q294">
        <v>220</v>
      </c>
      <c r="R294">
        <v>0.56699999999999995</v>
      </c>
      <c r="S294">
        <v>0.78939999999999999</v>
      </c>
      <c r="U294">
        <v>0.22240000000000004</v>
      </c>
      <c r="V294">
        <v>249.37561859390945</v>
      </c>
      <c r="W294">
        <v>52.85894581351068</v>
      </c>
      <c r="X294">
        <v>217.42843722419738</v>
      </c>
      <c r="Y294">
        <v>-4.9715627758026528</v>
      </c>
      <c r="Z294">
        <v>-2.2865283121528011</v>
      </c>
    </row>
    <row r="295" spans="1:26" x14ac:dyDescent="0.35">
      <c r="A295">
        <v>293</v>
      </c>
      <c r="B295" t="s">
        <v>687</v>
      </c>
      <c r="C295">
        <v>46048</v>
      </c>
      <c r="D295" t="s">
        <v>16</v>
      </c>
      <c r="E295" t="s">
        <v>137</v>
      </c>
      <c r="F295" t="s">
        <v>99</v>
      </c>
      <c r="G295" t="s">
        <v>100</v>
      </c>
      <c r="H295" t="s">
        <v>101</v>
      </c>
      <c r="I295" t="s">
        <v>22</v>
      </c>
      <c r="J295" t="s">
        <v>23</v>
      </c>
      <c r="K295" t="s">
        <v>24</v>
      </c>
      <c r="L295" t="s">
        <v>136</v>
      </c>
      <c r="M295">
        <v>28</v>
      </c>
      <c r="N295">
        <v>60</v>
      </c>
      <c r="O295">
        <v>1</v>
      </c>
      <c r="P295">
        <v>3</v>
      </c>
      <c r="Q295">
        <v>221</v>
      </c>
      <c r="R295">
        <v>0.58720000000000006</v>
      </c>
      <c r="S295">
        <v>0.81989999999999996</v>
      </c>
      <c r="U295">
        <v>0.23269999999999991</v>
      </c>
      <c r="V295">
        <v>238.98135773105369</v>
      </c>
      <c r="W295">
        <v>50.66584757146957</v>
      </c>
      <c r="X295">
        <v>217.38499497899775</v>
      </c>
      <c r="Y295">
        <v>-15.31500502100215</v>
      </c>
      <c r="Z295">
        <v>-7.0451067804757086</v>
      </c>
    </row>
    <row r="296" spans="1:26" x14ac:dyDescent="0.35">
      <c r="A296">
        <v>294</v>
      </c>
      <c r="B296" t="s">
        <v>687</v>
      </c>
      <c r="C296">
        <v>46048</v>
      </c>
      <c r="D296" t="s">
        <v>16</v>
      </c>
      <c r="E296" t="s">
        <v>139</v>
      </c>
      <c r="F296" t="s">
        <v>79</v>
      </c>
      <c r="G296" t="s">
        <v>80</v>
      </c>
      <c r="H296" t="s">
        <v>81</v>
      </c>
      <c r="I296" t="s">
        <v>22</v>
      </c>
      <c r="J296" t="s">
        <v>23</v>
      </c>
      <c r="K296" t="s">
        <v>24</v>
      </c>
      <c r="L296" t="s">
        <v>138</v>
      </c>
      <c r="M296">
        <v>28</v>
      </c>
      <c r="N296">
        <v>60</v>
      </c>
      <c r="O296">
        <v>1</v>
      </c>
      <c r="P296">
        <v>1</v>
      </c>
      <c r="Q296">
        <v>222</v>
      </c>
      <c r="R296">
        <v>0.55930000000000002</v>
      </c>
      <c r="S296">
        <v>0.74680000000000002</v>
      </c>
      <c r="U296">
        <v>0.1875</v>
      </c>
      <c r="V296">
        <v>279.71842480689094</v>
      </c>
      <c r="W296">
        <v>59.868877157938108</v>
      </c>
      <c r="X296">
        <v>245.08080164444777</v>
      </c>
      <c r="Y296">
        <v>57.580801644447774</v>
      </c>
      <c r="Z296">
        <v>23.49461943085343</v>
      </c>
    </row>
    <row r="297" spans="1:26" x14ac:dyDescent="0.35">
      <c r="A297">
        <v>295</v>
      </c>
      <c r="B297" t="s">
        <v>687</v>
      </c>
      <c r="C297">
        <v>46048</v>
      </c>
      <c r="D297" t="s">
        <v>16</v>
      </c>
      <c r="E297" t="s">
        <v>139</v>
      </c>
      <c r="F297" t="s">
        <v>79</v>
      </c>
      <c r="G297" t="s">
        <v>80</v>
      </c>
      <c r="H297" t="s">
        <v>81</v>
      </c>
      <c r="I297" t="s">
        <v>22</v>
      </c>
      <c r="J297" t="s">
        <v>23</v>
      </c>
      <c r="K297" t="s">
        <v>24</v>
      </c>
      <c r="L297" t="s">
        <v>138</v>
      </c>
      <c r="M297">
        <v>28</v>
      </c>
      <c r="N297">
        <v>60</v>
      </c>
      <c r="O297">
        <v>1</v>
      </c>
      <c r="P297">
        <v>2</v>
      </c>
      <c r="Q297">
        <v>223</v>
      </c>
      <c r="R297">
        <v>0.56200000000000006</v>
      </c>
      <c r="S297">
        <v>0.75209999999999999</v>
      </c>
      <c r="U297">
        <v>0.19009999999999994</v>
      </c>
      <c r="V297">
        <v>276.83826184978125</v>
      </c>
      <c r="W297">
        <v>59.28797968988092</v>
      </c>
      <c r="X297">
        <v>244.93384133964406</v>
      </c>
      <c r="Y297">
        <v>54.833841339644124</v>
      </c>
      <c r="Z297">
        <v>22.387205067186823</v>
      </c>
    </row>
    <row r="298" spans="1:26" x14ac:dyDescent="0.35">
      <c r="A298">
        <v>296</v>
      </c>
      <c r="B298" t="s">
        <v>687</v>
      </c>
      <c r="C298">
        <v>46048</v>
      </c>
      <c r="D298" t="s">
        <v>16</v>
      </c>
      <c r="E298" t="s">
        <v>139</v>
      </c>
      <c r="F298" t="s">
        <v>79</v>
      </c>
      <c r="G298" t="s">
        <v>80</v>
      </c>
      <c r="H298" t="s">
        <v>81</v>
      </c>
      <c r="I298" t="s">
        <v>22</v>
      </c>
      <c r="J298" t="s">
        <v>23</v>
      </c>
      <c r="K298" t="s">
        <v>24</v>
      </c>
      <c r="L298" t="s">
        <v>138</v>
      </c>
      <c r="M298">
        <v>28</v>
      </c>
      <c r="N298">
        <v>60</v>
      </c>
      <c r="O298">
        <v>1</v>
      </c>
      <c r="P298">
        <v>3</v>
      </c>
      <c r="Q298">
        <v>224</v>
      </c>
      <c r="R298">
        <v>0.56389999999999996</v>
      </c>
      <c r="S298">
        <v>0.7359</v>
      </c>
      <c r="U298">
        <v>0.17200000000000004</v>
      </c>
      <c r="V298">
        <v>295.31181245926098</v>
      </c>
      <c r="W298">
        <v>63.193740150749022</v>
      </c>
      <c r="X298">
        <v>245.12978841271575</v>
      </c>
      <c r="Y298">
        <v>73.129788412715726</v>
      </c>
      <c r="Z298">
        <v>29.83308919175089</v>
      </c>
    </row>
    <row r="299" spans="1:26" x14ac:dyDescent="0.35">
      <c r="A299">
        <v>297</v>
      </c>
      <c r="B299" t="s">
        <v>687</v>
      </c>
      <c r="C299">
        <v>46048</v>
      </c>
      <c r="D299" t="s">
        <v>16</v>
      </c>
      <c r="E299" t="s">
        <v>141</v>
      </c>
      <c r="F299" t="s">
        <v>142</v>
      </c>
      <c r="G299" t="s">
        <v>143</v>
      </c>
      <c r="H299" t="s">
        <v>144</v>
      </c>
      <c r="I299" t="s">
        <v>22</v>
      </c>
      <c r="J299" t="s">
        <v>23</v>
      </c>
      <c r="K299" t="s">
        <v>24</v>
      </c>
      <c r="L299" t="s">
        <v>140</v>
      </c>
      <c r="M299">
        <v>28</v>
      </c>
      <c r="N299">
        <v>60</v>
      </c>
      <c r="O299">
        <v>1</v>
      </c>
      <c r="P299">
        <v>1</v>
      </c>
      <c r="Q299">
        <v>225</v>
      </c>
      <c r="R299">
        <v>0.55369999999999997</v>
      </c>
      <c r="S299">
        <v>0.90069999999999995</v>
      </c>
      <c r="U299">
        <v>0.34699999999999998</v>
      </c>
      <c r="V299">
        <v>119.50299062388405</v>
      </c>
      <c r="W299">
        <v>25.616768386428802</v>
      </c>
      <c r="X299">
        <v>259.86420464514185</v>
      </c>
      <c r="Y299">
        <v>-87.135795354858146</v>
      </c>
      <c r="Z299">
        <v>-33.531280490841986</v>
      </c>
    </row>
    <row r="300" spans="1:26" x14ac:dyDescent="0.35">
      <c r="A300">
        <v>298</v>
      </c>
      <c r="B300" t="s">
        <v>687</v>
      </c>
      <c r="C300">
        <v>46048</v>
      </c>
      <c r="D300" t="s">
        <v>16</v>
      </c>
      <c r="E300" t="s">
        <v>141</v>
      </c>
      <c r="F300" t="s">
        <v>142</v>
      </c>
      <c r="G300" t="s">
        <v>143</v>
      </c>
      <c r="H300" t="s">
        <v>144</v>
      </c>
      <c r="I300" t="s">
        <v>22</v>
      </c>
      <c r="J300" t="s">
        <v>23</v>
      </c>
      <c r="K300" t="s">
        <v>24</v>
      </c>
      <c r="L300" t="s">
        <v>140</v>
      </c>
      <c r="M300">
        <v>28</v>
      </c>
      <c r="N300">
        <v>60</v>
      </c>
      <c r="O300">
        <v>1</v>
      </c>
      <c r="P300">
        <v>2</v>
      </c>
      <c r="Q300">
        <v>226</v>
      </c>
      <c r="R300">
        <v>0.5655</v>
      </c>
      <c r="S300">
        <v>0.79690000000000005</v>
      </c>
      <c r="U300">
        <v>0.23140000000000005</v>
      </c>
      <c r="V300">
        <v>235.19619801461809</v>
      </c>
      <c r="W300">
        <v>50.406796929633266</v>
      </c>
      <c r="X300">
        <v>259.91612556515088</v>
      </c>
      <c r="Y300">
        <v>28.516125565150816</v>
      </c>
      <c r="Z300">
        <v>10.971279870822379</v>
      </c>
    </row>
    <row r="301" spans="1:26" x14ac:dyDescent="0.35">
      <c r="A301">
        <v>299</v>
      </c>
      <c r="B301" t="s">
        <v>687</v>
      </c>
      <c r="C301">
        <v>46048</v>
      </c>
      <c r="D301" t="s">
        <v>16</v>
      </c>
      <c r="E301" t="s">
        <v>141</v>
      </c>
      <c r="F301" t="s">
        <v>142</v>
      </c>
      <c r="G301" t="s">
        <v>143</v>
      </c>
      <c r="H301" t="s">
        <v>144</v>
      </c>
      <c r="I301" t="s">
        <v>22</v>
      </c>
      <c r="J301" t="s">
        <v>23</v>
      </c>
      <c r="K301" t="s">
        <v>24</v>
      </c>
      <c r="L301" t="s">
        <v>140</v>
      </c>
      <c r="M301">
        <v>28</v>
      </c>
      <c r="N301">
        <v>60</v>
      </c>
      <c r="O301">
        <v>1</v>
      </c>
      <c r="P301">
        <v>3</v>
      </c>
      <c r="Q301">
        <v>227</v>
      </c>
      <c r="R301">
        <v>0.56879999999999997</v>
      </c>
      <c r="S301">
        <v>0.84660000000000002</v>
      </c>
      <c r="U301">
        <v>0.27780000000000005</v>
      </c>
      <c r="V301">
        <v>188.60978323314993</v>
      </c>
      <c r="W301">
        <v>40.438642158341523</v>
      </c>
      <c r="X301">
        <v>259.81228372513283</v>
      </c>
      <c r="Y301">
        <v>-17.987716274867239</v>
      </c>
      <c r="Z301">
        <v>-6.9233509736195753</v>
      </c>
    </row>
    <row r="302" spans="1:26" x14ac:dyDescent="0.35">
      <c r="A302">
        <v>300</v>
      </c>
      <c r="B302" t="s">
        <v>687</v>
      </c>
      <c r="C302">
        <v>46048</v>
      </c>
      <c r="D302" t="s">
        <v>16</v>
      </c>
      <c r="E302" t="s">
        <v>146</v>
      </c>
      <c r="F302" t="s">
        <v>88</v>
      </c>
      <c r="G302" t="s">
        <v>147</v>
      </c>
      <c r="H302" t="s">
        <v>148</v>
      </c>
      <c r="I302" t="s">
        <v>22</v>
      </c>
      <c r="J302" t="s">
        <v>23</v>
      </c>
      <c r="K302" t="s">
        <v>24</v>
      </c>
      <c r="L302" t="s">
        <v>145</v>
      </c>
      <c r="M302">
        <v>28</v>
      </c>
      <c r="N302">
        <v>60</v>
      </c>
      <c r="O302">
        <v>1</v>
      </c>
      <c r="P302">
        <v>1</v>
      </c>
      <c r="Q302">
        <v>228</v>
      </c>
      <c r="R302">
        <v>0.60229999999999995</v>
      </c>
      <c r="S302">
        <v>0.95650000000000002</v>
      </c>
      <c r="U302">
        <v>0.35420000000000007</v>
      </c>
      <c r="V302">
        <v>115.94250195538103</v>
      </c>
      <c r="W302">
        <v>24.661140286862338</v>
      </c>
      <c r="X302">
        <v>274.03138500414281</v>
      </c>
      <c r="Y302">
        <v>-80.16861499585724</v>
      </c>
      <c r="Z302">
        <v>-29.255267601791395</v>
      </c>
    </row>
    <row r="303" spans="1:26" x14ac:dyDescent="0.35">
      <c r="A303">
        <v>301</v>
      </c>
      <c r="B303" t="s">
        <v>687</v>
      </c>
      <c r="C303">
        <v>46048</v>
      </c>
      <c r="D303" t="s">
        <v>16</v>
      </c>
      <c r="E303" t="s">
        <v>146</v>
      </c>
      <c r="F303" t="s">
        <v>88</v>
      </c>
      <c r="G303" t="s">
        <v>147</v>
      </c>
      <c r="H303" t="s">
        <v>148</v>
      </c>
      <c r="I303" t="s">
        <v>22</v>
      </c>
      <c r="J303" t="s">
        <v>23</v>
      </c>
      <c r="K303" t="s">
        <v>24</v>
      </c>
      <c r="L303" t="s">
        <v>145</v>
      </c>
      <c r="M303">
        <v>28</v>
      </c>
      <c r="N303">
        <v>60</v>
      </c>
      <c r="O303">
        <v>1</v>
      </c>
      <c r="P303">
        <v>2</v>
      </c>
      <c r="Q303">
        <v>229</v>
      </c>
      <c r="R303">
        <v>0.60650000000000004</v>
      </c>
      <c r="S303">
        <v>0.96009999999999995</v>
      </c>
      <c r="T303" t="s">
        <v>688</v>
      </c>
      <c r="U303">
        <v>0.35359999999999991</v>
      </c>
      <c r="V303">
        <v>116.54250195538117</v>
      </c>
      <c r="W303">
        <v>24.788761167234703</v>
      </c>
      <c r="X303">
        <v>274.03138500414281</v>
      </c>
      <c r="Y303">
        <v>-79.568614995857104</v>
      </c>
      <c r="Z303">
        <v>-29.036314579315135</v>
      </c>
    </row>
    <row r="304" spans="1:26" x14ac:dyDescent="0.35">
      <c r="A304">
        <v>302</v>
      </c>
      <c r="B304" t="s">
        <v>687</v>
      </c>
      <c r="C304">
        <v>46048</v>
      </c>
      <c r="D304" t="s">
        <v>16</v>
      </c>
      <c r="E304" t="s">
        <v>146</v>
      </c>
      <c r="F304" t="s">
        <v>88</v>
      </c>
      <c r="G304" t="s">
        <v>147</v>
      </c>
      <c r="H304" t="s">
        <v>148</v>
      </c>
      <c r="I304" t="s">
        <v>22</v>
      </c>
      <c r="J304" t="s">
        <v>23</v>
      </c>
      <c r="K304" t="s">
        <v>24</v>
      </c>
      <c r="L304" t="s">
        <v>145</v>
      </c>
      <c r="M304">
        <v>28</v>
      </c>
      <c r="N304">
        <v>60</v>
      </c>
      <c r="O304">
        <v>1</v>
      </c>
      <c r="P304">
        <v>3</v>
      </c>
      <c r="Q304">
        <v>230</v>
      </c>
      <c r="R304">
        <v>0.57509999999999994</v>
      </c>
      <c r="S304">
        <v>1.143</v>
      </c>
      <c r="U304">
        <v>0.56790000000000007</v>
      </c>
    </row>
    <row r="305" spans="1:26" x14ac:dyDescent="0.35">
      <c r="A305">
        <v>303</v>
      </c>
      <c r="B305" t="s">
        <v>687</v>
      </c>
      <c r="C305">
        <v>46048</v>
      </c>
      <c r="D305" t="s">
        <v>16</v>
      </c>
      <c r="E305" t="s">
        <v>150</v>
      </c>
      <c r="F305" t="s">
        <v>142</v>
      </c>
      <c r="G305" t="s">
        <v>151</v>
      </c>
      <c r="H305" t="s">
        <v>152</v>
      </c>
      <c r="I305" t="s">
        <v>22</v>
      </c>
      <c r="J305" t="s">
        <v>23</v>
      </c>
      <c r="K305" t="s">
        <v>24</v>
      </c>
      <c r="L305" t="s">
        <v>149</v>
      </c>
      <c r="M305">
        <v>28</v>
      </c>
      <c r="N305">
        <v>60</v>
      </c>
      <c r="O305">
        <v>1</v>
      </c>
      <c r="P305">
        <v>1</v>
      </c>
      <c r="Q305">
        <v>231</v>
      </c>
      <c r="R305">
        <v>0.57850000000000001</v>
      </c>
      <c r="S305">
        <v>0.71609999999999996</v>
      </c>
      <c r="U305">
        <v>0.13759999999999994</v>
      </c>
      <c r="V305">
        <v>332.26587523742876</v>
      </c>
      <c r="W305">
        <v>70.715047154580219</v>
      </c>
      <c r="X305">
        <v>250.71948592144011</v>
      </c>
      <c r="Y305">
        <v>113.11948592144017</v>
      </c>
      <c r="Z305">
        <v>45.117947456578939</v>
      </c>
    </row>
    <row r="306" spans="1:26" x14ac:dyDescent="0.35">
      <c r="A306">
        <v>304</v>
      </c>
      <c r="B306" t="s">
        <v>687</v>
      </c>
      <c r="C306">
        <v>46048</v>
      </c>
      <c r="D306" t="s">
        <v>16</v>
      </c>
      <c r="E306" t="s">
        <v>150</v>
      </c>
      <c r="F306" t="s">
        <v>142</v>
      </c>
      <c r="G306" t="s">
        <v>151</v>
      </c>
      <c r="H306" t="s">
        <v>152</v>
      </c>
      <c r="I306" t="s">
        <v>22</v>
      </c>
      <c r="J306" t="s">
        <v>23</v>
      </c>
      <c r="K306" t="s">
        <v>24</v>
      </c>
      <c r="L306" t="s">
        <v>149</v>
      </c>
      <c r="M306">
        <v>28</v>
      </c>
      <c r="N306">
        <v>60</v>
      </c>
      <c r="O306">
        <v>1</v>
      </c>
      <c r="P306">
        <v>2</v>
      </c>
      <c r="Q306">
        <v>232</v>
      </c>
      <c r="R306">
        <v>0.55389999999999995</v>
      </c>
      <c r="S306">
        <v>0.71</v>
      </c>
      <c r="U306">
        <v>0.15610000000000002</v>
      </c>
      <c r="V306">
        <v>313.48412476257113</v>
      </c>
      <c r="W306">
        <v>66.757820001064445</v>
      </c>
      <c r="X306">
        <v>250.56914443477922</v>
      </c>
      <c r="Y306">
        <v>94.469144434779196</v>
      </c>
      <c r="Z306">
        <v>37.701826634671143</v>
      </c>
    </row>
    <row r="307" spans="1:26" x14ac:dyDescent="0.35">
      <c r="A307">
        <v>305</v>
      </c>
      <c r="B307" t="s">
        <v>687</v>
      </c>
      <c r="C307">
        <v>46048</v>
      </c>
      <c r="D307" t="s">
        <v>16</v>
      </c>
      <c r="E307" t="s">
        <v>150</v>
      </c>
      <c r="F307" t="s">
        <v>142</v>
      </c>
      <c r="G307" t="s">
        <v>151</v>
      </c>
      <c r="H307" t="s">
        <v>152</v>
      </c>
      <c r="I307" t="s">
        <v>22</v>
      </c>
      <c r="J307" t="s">
        <v>23</v>
      </c>
      <c r="K307" t="s">
        <v>24</v>
      </c>
      <c r="L307" t="s">
        <v>149</v>
      </c>
      <c r="M307">
        <v>28</v>
      </c>
      <c r="N307">
        <v>60</v>
      </c>
      <c r="O307">
        <v>1</v>
      </c>
      <c r="P307">
        <v>3</v>
      </c>
      <c r="Q307">
        <v>233</v>
      </c>
      <c r="R307">
        <v>0.55700000000000005</v>
      </c>
      <c r="S307">
        <v>0.69979999999999998</v>
      </c>
      <c r="U307">
        <v>0.14279999999999993</v>
      </c>
      <c r="V307">
        <v>327.34762571228634</v>
      </c>
      <c r="W307">
        <v>69.626561490413977</v>
      </c>
      <c r="X307">
        <v>250.869827408101</v>
      </c>
      <c r="Y307">
        <v>108.06982740810108</v>
      </c>
      <c r="Z307">
        <v>43.078049092089152</v>
      </c>
    </row>
    <row r="308" spans="1:26" x14ac:dyDescent="0.35">
      <c r="A308">
        <v>306</v>
      </c>
      <c r="B308" t="s">
        <v>687</v>
      </c>
      <c r="C308">
        <v>46048</v>
      </c>
      <c r="D308" t="s">
        <v>16</v>
      </c>
      <c r="E308" t="s">
        <v>154</v>
      </c>
      <c r="F308" t="s">
        <v>99</v>
      </c>
      <c r="G308" t="s">
        <v>155</v>
      </c>
      <c r="H308" t="s">
        <v>156</v>
      </c>
      <c r="I308" t="s">
        <v>22</v>
      </c>
      <c r="J308" t="s">
        <v>23</v>
      </c>
      <c r="K308" t="s">
        <v>24</v>
      </c>
      <c r="L308" t="s">
        <v>153</v>
      </c>
      <c r="M308">
        <v>28</v>
      </c>
      <c r="N308">
        <v>60</v>
      </c>
      <c r="O308">
        <v>1</v>
      </c>
      <c r="P308">
        <v>1</v>
      </c>
      <c r="Q308">
        <v>234</v>
      </c>
      <c r="R308">
        <v>0.58809999999999996</v>
      </c>
      <c r="S308">
        <v>0.9244</v>
      </c>
      <c r="U308">
        <v>0.33630000000000004</v>
      </c>
      <c r="V308">
        <v>129.75682828698058</v>
      </c>
      <c r="W308">
        <v>27.841417700907733</v>
      </c>
      <c r="X308">
        <v>295.67710880792072</v>
      </c>
      <c r="Y308">
        <v>-40.622891192079351</v>
      </c>
      <c r="Z308">
        <v>-13.738936827358184</v>
      </c>
    </row>
    <row r="309" spans="1:26" x14ac:dyDescent="0.35">
      <c r="A309">
        <v>307</v>
      </c>
      <c r="B309" t="s">
        <v>687</v>
      </c>
      <c r="C309">
        <v>46048</v>
      </c>
      <c r="D309" t="s">
        <v>16</v>
      </c>
      <c r="E309" t="s">
        <v>154</v>
      </c>
      <c r="F309" t="s">
        <v>99</v>
      </c>
      <c r="G309" t="s">
        <v>155</v>
      </c>
      <c r="H309" t="s">
        <v>156</v>
      </c>
      <c r="I309" t="s">
        <v>22</v>
      </c>
      <c r="J309" t="s">
        <v>23</v>
      </c>
      <c r="K309" t="s">
        <v>24</v>
      </c>
      <c r="L309" t="s">
        <v>153</v>
      </c>
      <c r="M309">
        <v>28</v>
      </c>
      <c r="N309">
        <v>60</v>
      </c>
      <c r="O309">
        <v>1</v>
      </c>
      <c r="P309">
        <v>2</v>
      </c>
      <c r="Q309">
        <v>235</v>
      </c>
      <c r="R309">
        <v>0.56430000000000002</v>
      </c>
      <c r="S309">
        <v>0.89419999999999999</v>
      </c>
      <c r="U309">
        <v>0.32989999999999997</v>
      </c>
      <c r="V309">
        <v>136.4364623839528</v>
      </c>
      <c r="W309">
        <v>29.257086543582218</v>
      </c>
      <c r="X309">
        <v>295.85451507320545</v>
      </c>
      <c r="Y309">
        <v>-34.045484926794529</v>
      </c>
      <c r="Z309">
        <v>-11.507508992509512</v>
      </c>
    </row>
    <row r="310" spans="1:26" x14ac:dyDescent="0.35">
      <c r="A310">
        <v>308</v>
      </c>
      <c r="B310" t="s">
        <v>687</v>
      </c>
      <c r="C310">
        <v>46048</v>
      </c>
      <c r="D310" t="s">
        <v>16</v>
      </c>
      <c r="E310" t="s">
        <v>154</v>
      </c>
      <c r="F310" t="s">
        <v>99</v>
      </c>
      <c r="G310" t="s">
        <v>155</v>
      </c>
      <c r="H310" t="s">
        <v>156</v>
      </c>
      <c r="I310" t="s">
        <v>22</v>
      </c>
      <c r="J310" t="s">
        <v>23</v>
      </c>
      <c r="K310" t="s">
        <v>24</v>
      </c>
      <c r="L310" t="s">
        <v>153</v>
      </c>
      <c r="M310">
        <v>28</v>
      </c>
      <c r="N310">
        <v>60</v>
      </c>
      <c r="O310">
        <v>1</v>
      </c>
      <c r="P310">
        <v>3</v>
      </c>
      <c r="Q310">
        <v>236</v>
      </c>
      <c r="R310">
        <v>0.56279999999999997</v>
      </c>
      <c r="S310">
        <v>0.89629999999999999</v>
      </c>
      <c r="U310">
        <v>0.33350000000000002</v>
      </c>
      <c r="V310">
        <v>132.92967374961017</v>
      </c>
      <c r="W310">
        <v>28.499403282169776</v>
      </c>
      <c r="X310">
        <v>295.91365049496704</v>
      </c>
      <c r="Y310">
        <v>-37.586349505032956</v>
      </c>
      <c r="Z310">
        <v>-12.701796433575554</v>
      </c>
    </row>
    <row r="311" spans="1:26" x14ac:dyDescent="0.35">
      <c r="A311">
        <v>309</v>
      </c>
      <c r="B311" t="s">
        <v>687</v>
      </c>
      <c r="C311">
        <v>46048</v>
      </c>
      <c r="D311" t="s">
        <v>16</v>
      </c>
      <c r="E311" t="s">
        <v>158</v>
      </c>
      <c r="F311" t="s">
        <v>159</v>
      </c>
      <c r="G311" t="s">
        <v>160</v>
      </c>
      <c r="H311" t="s">
        <v>161</v>
      </c>
      <c r="I311" t="s">
        <v>22</v>
      </c>
      <c r="J311" t="s">
        <v>23</v>
      </c>
      <c r="K311" t="s">
        <v>24</v>
      </c>
      <c r="L311" t="s">
        <v>157</v>
      </c>
      <c r="M311">
        <v>28</v>
      </c>
      <c r="N311">
        <v>60</v>
      </c>
      <c r="O311">
        <v>1</v>
      </c>
      <c r="P311">
        <v>1</v>
      </c>
      <c r="Q311">
        <v>237</v>
      </c>
      <c r="R311">
        <v>0.5766</v>
      </c>
      <c r="S311">
        <v>0.9254</v>
      </c>
      <c r="U311">
        <v>0.3488</v>
      </c>
      <c r="V311">
        <v>115.69615153938418</v>
      </c>
      <c r="W311">
        <v>24.907881616662738</v>
      </c>
      <c r="X311">
        <v>247.88295088814041</v>
      </c>
      <c r="Y311">
        <v>-100.9170491118596</v>
      </c>
      <c r="Z311">
        <v>-40.711573244663931</v>
      </c>
    </row>
    <row r="312" spans="1:26" x14ac:dyDescent="0.35">
      <c r="A312">
        <v>310</v>
      </c>
      <c r="B312" t="s">
        <v>687</v>
      </c>
      <c r="C312">
        <v>46048</v>
      </c>
      <c r="D312" t="s">
        <v>16</v>
      </c>
      <c r="E312" t="s">
        <v>158</v>
      </c>
      <c r="F312" t="s">
        <v>159</v>
      </c>
      <c r="G312" t="s">
        <v>160</v>
      </c>
      <c r="H312" t="s">
        <v>161</v>
      </c>
      <c r="I312" t="s">
        <v>22</v>
      </c>
      <c r="J312" t="s">
        <v>23</v>
      </c>
      <c r="K312" t="s">
        <v>24</v>
      </c>
      <c r="L312" t="s">
        <v>157</v>
      </c>
      <c r="M312">
        <v>28</v>
      </c>
      <c r="N312">
        <v>60</v>
      </c>
      <c r="O312">
        <v>1</v>
      </c>
      <c r="P312">
        <v>2</v>
      </c>
      <c r="Q312">
        <v>238</v>
      </c>
      <c r="R312">
        <v>0.58689999999999998</v>
      </c>
      <c r="S312">
        <v>0.95109999999999995</v>
      </c>
      <c r="U312">
        <v>0.36419999999999997</v>
      </c>
      <c r="V312">
        <v>99.924999999999898</v>
      </c>
      <c r="W312">
        <v>21.52976030164286</v>
      </c>
      <c r="X312">
        <v>247.68488220984381</v>
      </c>
      <c r="Y312">
        <v>-116.51511779015618</v>
      </c>
      <c r="Z312">
        <v>-47.041675192530377</v>
      </c>
    </row>
    <row r="313" spans="1:26" x14ac:dyDescent="0.35">
      <c r="A313">
        <v>311</v>
      </c>
      <c r="B313" t="s">
        <v>687</v>
      </c>
      <c r="C313">
        <v>46048</v>
      </c>
      <c r="D313" t="s">
        <v>16</v>
      </c>
      <c r="E313" t="s">
        <v>158</v>
      </c>
      <c r="F313" t="s">
        <v>159</v>
      </c>
      <c r="G313" t="s">
        <v>160</v>
      </c>
      <c r="H313" t="s">
        <v>161</v>
      </c>
      <c r="I313" t="s">
        <v>22</v>
      </c>
      <c r="J313" t="s">
        <v>23</v>
      </c>
      <c r="K313" t="s">
        <v>24</v>
      </c>
      <c r="L313" t="s">
        <v>157</v>
      </c>
      <c r="M313">
        <v>28</v>
      </c>
      <c r="N313">
        <v>60</v>
      </c>
      <c r="O313">
        <v>1</v>
      </c>
      <c r="P313">
        <v>3</v>
      </c>
      <c r="Q313">
        <v>239</v>
      </c>
      <c r="R313">
        <v>0.57779999999999998</v>
      </c>
      <c r="S313">
        <v>0.93149999999999999</v>
      </c>
      <c r="U313">
        <v>0.35370000000000001</v>
      </c>
      <c r="V313">
        <v>110.70336365453807</v>
      </c>
      <c r="W313">
        <v>23.837760946298499</v>
      </c>
      <c r="X313">
        <v>247.83343371856623</v>
      </c>
      <c r="Y313">
        <v>-105.86656628143376</v>
      </c>
      <c r="Z313">
        <v>-42.71682181575764</v>
      </c>
    </row>
    <row r="314" spans="1:26" x14ac:dyDescent="0.35">
      <c r="A314">
        <v>312</v>
      </c>
      <c r="B314" t="s">
        <v>687</v>
      </c>
      <c r="C314">
        <v>46048</v>
      </c>
      <c r="D314" t="s">
        <v>16</v>
      </c>
      <c r="E314" t="s">
        <v>163</v>
      </c>
      <c r="F314" t="s">
        <v>129</v>
      </c>
      <c r="G314" t="s">
        <v>164</v>
      </c>
      <c r="H314" t="s">
        <v>165</v>
      </c>
      <c r="I314" t="s">
        <v>22</v>
      </c>
      <c r="J314" t="s">
        <v>23</v>
      </c>
      <c r="K314" t="s">
        <v>24</v>
      </c>
      <c r="L314" t="s">
        <v>162</v>
      </c>
      <c r="M314">
        <v>28</v>
      </c>
      <c r="N314">
        <v>60</v>
      </c>
      <c r="O314">
        <v>1</v>
      </c>
      <c r="P314">
        <v>1</v>
      </c>
      <c r="Q314">
        <v>240</v>
      </c>
      <c r="R314">
        <v>0.56399999999999995</v>
      </c>
      <c r="S314">
        <v>0.90739999999999998</v>
      </c>
      <c r="U314">
        <v>0.34340000000000004</v>
      </c>
      <c r="V314">
        <v>122.97040295970442</v>
      </c>
      <c r="W314">
        <v>26.367540088158076</v>
      </c>
      <c r="X314">
        <v>319.42271061210278</v>
      </c>
      <c r="Y314">
        <v>-23.977289387897258</v>
      </c>
      <c r="Z314">
        <v>-7.5064447803195034</v>
      </c>
    </row>
    <row r="315" spans="1:26" x14ac:dyDescent="0.35">
      <c r="A315">
        <v>313</v>
      </c>
      <c r="B315" t="s">
        <v>687</v>
      </c>
      <c r="C315">
        <v>46048</v>
      </c>
      <c r="D315" t="s">
        <v>16</v>
      </c>
      <c r="E315" t="s">
        <v>163</v>
      </c>
      <c r="F315" t="s">
        <v>129</v>
      </c>
      <c r="G315" t="s">
        <v>164</v>
      </c>
      <c r="H315" t="s">
        <v>165</v>
      </c>
      <c r="I315" t="s">
        <v>22</v>
      </c>
      <c r="J315" t="s">
        <v>23</v>
      </c>
      <c r="K315" t="s">
        <v>24</v>
      </c>
      <c r="L315" t="s">
        <v>162</v>
      </c>
      <c r="M315">
        <v>28</v>
      </c>
      <c r="N315">
        <v>60</v>
      </c>
      <c r="O315">
        <v>1</v>
      </c>
      <c r="P315">
        <v>2</v>
      </c>
      <c r="Q315">
        <v>241</v>
      </c>
      <c r="R315">
        <v>0.59499999999999997</v>
      </c>
      <c r="S315">
        <v>0.94650000000000001</v>
      </c>
      <c r="U315">
        <v>0.35150000000000003</v>
      </c>
      <c r="V315">
        <v>115.24335010321477</v>
      </c>
      <c r="W315">
        <v>24.690946336510216</v>
      </c>
      <c r="X315">
        <v>319.67814660619484</v>
      </c>
      <c r="Y315">
        <v>-31.821853393805213</v>
      </c>
      <c r="Z315">
        <v>-9.9543411808521025</v>
      </c>
    </row>
    <row r="316" spans="1:26" x14ac:dyDescent="0.35">
      <c r="A316">
        <v>314</v>
      </c>
      <c r="B316" t="s">
        <v>687</v>
      </c>
      <c r="C316">
        <v>46048</v>
      </c>
      <c r="D316" t="s">
        <v>16</v>
      </c>
      <c r="E316" t="s">
        <v>163</v>
      </c>
      <c r="F316" t="s">
        <v>129</v>
      </c>
      <c r="G316" t="s">
        <v>164</v>
      </c>
      <c r="H316" t="s">
        <v>165</v>
      </c>
      <c r="I316" t="s">
        <v>22</v>
      </c>
      <c r="J316" t="s">
        <v>23</v>
      </c>
      <c r="K316" t="s">
        <v>24</v>
      </c>
      <c r="L316" t="s">
        <v>162</v>
      </c>
      <c r="M316">
        <v>28</v>
      </c>
      <c r="N316">
        <v>60</v>
      </c>
      <c r="O316">
        <v>1</v>
      </c>
      <c r="P316">
        <v>3</v>
      </c>
      <c r="Q316">
        <v>242</v>
      </c>
      <c r="R316">
        <v>0.58489999999999998</v>
      </c>
      <c r="S316">
        <v>0.92749999999999999</v>
      </c>
      <c r="U316">
        <v>0.34260000000000002</v>
      </c>
      <c r="V316">
        <v>124.1433501032148</v>
      </c>
      <c r="W316">
        <v>26.597775860279949</v>
      </c>
      <c r="X316">
        <v>319.67814660619484</v>
      </c>
      <c r="Y316">
        <v>-22.921853393805179</v>
      </c>
      <c r="Z316">
        <v>-7.1702910058603893</v>
      </c>
    </row>
    <row r="317" spans="1:26" x14ac:dyDescent="0.35">
      <c r="A317">
        <v>315</v>
      </c>
      <c r="B317" t="s">
        <v>687</v>
      </c>
      <c r="C317">
        <v>46048</v>
      </c>
      <c r="D317" t="s">
        <v>16</v>
      </c>
      <c r="E317" t="s">
        <v>167</v>
      </c>
      <c r="F317" t="s">
        <v>88</v>
      </c>
      <c r="G317" t="s">
        <v>168</v>
      </c>
      <c r="H317" t="s">
        <v>169</v>
      </c>
      <c r="I317" t="s">
        <v>22</v>
      </c>
      <c r="J317" t="s">
        <v>23</v>
      </c>
      <c r="K317" t="s">
        <v>24</v>
      </c>
      <c r="L317" t="s">
        <v>166</v>
      </c>
      <c r="M317">
        <v>28</v>
      </c>
      <c r="N317">
        <v>60</v>
      </c>
      <c r="O317">
        <v>1</v>
      </c>
      <c r="P317">
        <v>1</v>
      </c>
      <c r="Q317">
        <v>243</v>
      </c>
      <c r="R317">
        <v>0.60440000000000005</v>
      </c>
      <c r="S317">
        <v>0.91049999999999998</v>
      </c>
      <c r="U317">
        <v>0.30609999999999993</v>
      </c>
      <c r="V317">
        <v>167.45215034989508</v>
      </c>
      <c r="W317">
        <v>35.360867905714116</v>
      </c>
      <c r="X317">
        <v>297.59750449130928</v>
      </c>
      <c r="Y317">
        <v>-8.5024955086906289</v>
      </c>
      <c r="Z317">
        <v>-2.8570452978845213</v>
      </c>
    </row>
    <row r="318" spans="1:26" x14ac:dyDescent="0.35">
      <c r="A318">
        <v>316</v>
      </c>
      <c r="B318" t="s">
        <v>687</v>
      </c>
      <c r="C318">
        <v>46048</v>
      </c>
      <c r="D318" t="s">
        <v>16</v>
      </c>
      <c r="E318" t="s">
        <v>167</v>
      </c>
      <c r="F318" t="s">
        <v>88</v>
      </c>
      <c r="G318" t="s">
        <v>168</v>
      </c>
      <c r="H318" t="s">
        <v>169</v>
      </c>
      <c r="I318" t="s">
        <v>22</v>
      </c>
      <c r="J318" t="s">
        <v>23</v>
      </c>
      <c r="K318" t="s">
        <v>24</v>
      </c>
      <c r="L318" t="s">
        <v>166</v>
      </c>
      <c r="M318">
        <v>28</v>
      </c>
      <c r="N318">
        <v>60</v>
      </c>
      <c r="O318">
        <v>1</v>
      </c>
      <c r="P318">
        <v>2</v>
      </c>
      <c r="Q318">
        <v>244</v>
      </c>
      <c r="R318">
        <v>0.58709999999999996</v>
      </c>
      <c r="S318">
        <v>0.87229999999999996</v>
      </c>
      <c r="U318">
        <v>0.28520000000000001</v>
      </c>
      <c r="V318">
        <v>188.06830290712787</v>
      </c>
      <c r="W318">
        <v>39.738199611486252</v>
      </c>
      <c r="X318">
        <v>297.41912436873707</v>
      </c>
      <c r="Y318">
        <v>12.219124368737084</v>
      </c>
      <c r="Z318">
        <v>4.1083855635281692</v>
      </c>
    </row>
    <row r="319" spans="1:26" x14ac:dyDescent="0.35">
      <c r="A319">
        <v>317</v>
      </c>
      <c r="B319" t="s">
        <v>687</v>
      </c>
      <c r="C319">
        <v>46048</v>
      </c>
      <c r="D319" t="s">
        <v>16</v>
      </c>
      <c r="E319" t="s">
        <v>167</v>
      </c>
      <c r="F319" t="s">
        <v>88</v>
      </c>
      <c r="G319" t="s">
        <v>168</v>
      </c>
      <c r="H319" t="s">
        <v>169</v>
      </c>
      <c r="I319" t="s">
        <v>22</v>
      </c>
      <c r="J319" t="s">
        <v>23</v>
      </c>
      <c r="K319" t="s">
        <v>24</v>
      </c>
      <c r="L319" t="s">
        <v>166</v>
      </c>
      <c r="M319">
        <v>28</v>
      </c>
      <c r="N319">
        <v>60</v>
      </c>
      <c r="O319">
        <v>1</v>
      </c>
      <c r="P319">
        <v>3</v>
      </c>
      <c r="Q319">
        <v>245</v>
      </c>
      <c r="R319">
        <v>0.57820000000000005</v>
      </c>
      <c r="S319">
        <v>0.86709999999999998</v>
      </c>
      <c r="U319">
        <v>0.28889999999999993</v>
      </c>
      <c r="V319">
        <v>184.74676616415081</v>
      </c>
      <c r="W319">
        <v>39.005178407599118</v>
      </c>
      <c r="X319">
        <v>297.65696453216668</v>
      </c>
      <c r="Y319">
        <v>8.7569645321667622</v>
      </c>
      <c r="Z319">
        <v>2.9419652739959421</v>
      </c>
    </row>
    <row r="320" spans="1:26" x14ac:dyDescent="0.35">
      <c r="A320">
        <v>318</v>
      </c>
      <c r="B320" t="s">
        <v>687</v>
      </c>
      <c r="C320">
        <v>46048</v>
      </c>
      <c r="D320" t="s">
        <v>16</v>
      </c>
      <c r="E320" t="s">
        <v>171</v>
      </c>
      <c r="F320" t="s">
        <v>88</v>
      </c>
      <c r="G320" t="s">
        <v>147</v>
      </c>
      <c r="H320" t="s">
        <v>148</v>
      </c>
      <c r="I320" t="s">
        <v>22</v>
      </c>
      <c r="J320" t="s">
        <v>23</v>
      </c>
      <c r="K320" t="s">
        <v>24</v>
      </c>
      <c r="L320" t="s">
        <v>170</v>
      </c>
      <c r="M320">
        <v>28</v>
      </c>
      <c r="N320">
        <v>60</v>
      </c>
      <c r="O320">
        <v>1</v>
      </c>
      <c r="P320">
        <v>1</v>
      </c>
      <c r="Q320">
        <v>246</v>
      </c>
      <c r="R320">
        <v>0.58250000000000002</v>
      </c>
      <c r="S320">
        <v>0.87780000000000002</v>
      </c>
      <c r="U320">
        <v>0.29530000000000001</v>
      </c>
      <c r="V320">
        <v>178.63406521830325</v>
      </c>
      <c r="W320">
        <v>37.691754682377791</v>
      </c>
      <c r="X320">
        <v>248.18772677696015</v>
      </c>
      <c r="Y320">
        <v>-47.112273223039864</v>
      </c>
      <c r="Z320">
        <v>-18.982515305995946</v>
      </c>
    </row>
    <row r="321" spans="1:26" x14ac:dyDescent="0.35">
      <c r="A321">
        <v>319</v>
      </c>
      <c r="B321" t="s">
        <v>687</v>
      </c>
      <c r="C321">
        <v>46048</v>
      </c>
      <c r="D321" t="s">
        <v>16</v>
      </c>
      <c r="E321" t="s">
        <v>171</v>
      </c>
      <c r="F321" t="s">
        <v>88</v>
      </c>
      <c r="G321" t="s">
        <v>147</v>
      </c>
      <c r="H321" t="s">
        <v>148</v>
      </c>
      <c r="I321" t="s">
        <v>22</v>
      </c>
      <c r="J321" t="s">
        <v>23</v>
      </c>
      <c r="K321" t="s">
        <v>24</v>
      </c>
      <c r="L321" t="s">
        <v>170</v>
      </c>
      <c r="M321">
        <v>28</v>
      </c>
      <c r="N321">
        <v>60</v>
      </c>
      <c r="O321">
        <v>1</v>
      </c>
      <c r="P321">
        <v>2</v>
      </c>
      <c r="Q321">
        <v>247</v>
      </c>
      <c r="R321">
        <v>0.58919999999999995</v>
      </c>
      <c r="S321">
        <v>0.89290000000000003</v>
      </c>
      <c r="U321">
        <v>0.30370000000000008</v>
      </c>
      <c r="V321">
        <v>170.3288520313468</v>
      </c>
      <c r="W321">
        <v>35.932169803892691</v>
      </c>
      <c r="X321">
        <v>248.23736432231553</v>
      </c>
      <c r="Y321">
        <v>-55.462635677684574</v>
      </c>
      <c r="Z321">
        <v>-22.342581596890852</v>
      </c>
    </row>
    <row r="322" spans="1:26" x14ac:dyDescent="0.35">
      <c r="A322">
        <v>320</v>
      </c>
      <c r="B322" t="s">
        <v>687</v>
      </c>
      <c r="C322">
        <v>46048</v>
      </c>
      <c r="D322" t="s">
        <v>16</v>
      </c>
      <c r="E322" t="s">
        <v>171</v>
      </c>
      <c r="F322" t="s">
        <v>88</v>
      </c>
      <c r="G322" t="s">
        <v>147</v>
      </c>
      <c r="H322" t="s">
        <v>148</v>
      </c>
      <c r="I322" t="s">
        <v>22</v>
      </c>
      <c r="J322" t="s">
        <v>23</v>
      </c>
      <c r="K322" t="s">
        <v>24</v>
      </c>
      <c r="L322" t="s">
        <v>170</v>
      </c>
      <c r="M322">
        <v>28</v>
      </c>
      <c r="N322">
        <v>60</v>
      </c>
      <c r="O322">
        <v>1</v>
      </c>
      <c r="P322">
        <v>3</v>
      </c>
      <c r="Q322">
        <v>248</v>
      </c>
      <c r="R322">
        <v>0.58860000000000001</v>
      </c>
      <c r="S322">
        <v>0.91779999999999995</v>
      </c>
      <c r="U322">
        <v>0.32919999999999994</v>
      </c>
      <c r="V322">
        <v>145.01842565743436</v>
      </c>
      <c r="W322">
        <v>30.580512652241971</v>
      </c>
      <c r="X322">
        <v>248.33663941302635</v>
      </c>
      <c r="Y322">
        <v>-80.863360586973585</v>
      </c>
      <c r="Z322">
        <v>-32.561993581818577</v>
      </c>
    </row>
    <row r="323" spans="1:26" x14ac:dyDescent="0.35">
      <c r="A323">
        <v>321</v>
      </c>
      <c r="B323" t="s">
        <v>687</v>
      </c>
      <c r="C323">
        <v>46048</v>
      </c>
      <c r="D323" t="s">
        <v>16</v>
      </c>
      <c r="E323" t="s">
        <v>173</v>
      </c>
      <c r="F323" t="s">
        <v>99</v>
      </c>
      <c r="G323" t="s">
        <v>100</v>
      </c>
      <c r="H323" t="s">
        <v>101</v>
      </c>
      <c r="I323" t="s">
        <v>22</v>
      </c>
      <c r="J323" t="s">
        <v>23</v>
      </c>
      <c r="K323" t="s">
        <v>24</v>
      </c>
      <c r="L323" t="s">
        <v>172</v>
      </c>
      <c r="M323">
        <v>28</v>
      </c>
      <c r="N323">
        <v>60</v>
      </c>
      <c r="O323">
        <v>1</v>
      </c>
      <c r="P323">
        <v>1</v>
      </c>
      <c r="Q323">
        <v>249</v>
      </c>
      <c r="R323">
        <v>0.57589999999999997</v>
      </c>
      <c r="S323">
        <v>0.80549999999999999</v>
      </c>
      <c r="U323">
        <v>0.22960000000000003</v>
      </c>
      <c r="V323">
        <v>239.49824677746614</v>
      </c>
      <c r="W323">
        <v>51.055029180503595</v>
      </c>
      <c r="X323">
        <v>265.8192111431614</v>
      </c>
      <c r="Y323">
        <v>36.219211143161374</v>
      </c>
      <c r="Z323">
        <v>13.625505465688448</v>
      </c>
    </row>
    <row r="324" spans="1:26" x14ac:dyDescent="0.35">
      <c r="A324">
        <v>322</v>
      </c>
      <c r="B324" t="s">
        <v>687</v>
      </c>
      <c r="C324">
        <v>46048</v>
      </c>
      <c r="D324" t="s">
        <v>16</v>
      </c>
      <c r="E324" t="s">
        <v>173</v>
      </c>
      <c r="F324" t="s">
        <v>99</v>
      </c>
      <c r="G324" t="s">
        <v>100</v>
      </c>
      <c r="H324" t="s">
        <v>101</v>
      </c>
      <c r="I324" t="s">
        <v>22</v>
      </c>
      <c r="J324" t="s">
        <v>23</v>
      </c>
      <c r="K324" t="s">
        <v>24</v>
      </c>
      <c r="L324" t="s">
        <v>172</v>
      </c>
      <c r="M324">
        <v>28</v>
      </c>
      <c r="N324">
        <v>60</v>
      </c>
      <c r="O324">
        <v>1</v>
      </c>
      <c r="P324">
        <v>2</v>
      </c>
      <c r="Q324">
        <v>250</v>
      </c>
      <c r="R324">
        <v>0.56630000000000003</v>
      </c>
      <c r="S324">
        <v>0.80910000000000004</v>
      </c>
      <c r="U324">
        <v>0.24280000000000002</v>
      </c>
      <c r="V324">
        <v>226.1108323760368</v>
      </c>
      <c r="W324">
        <v>48.220432705787914</v>
      </c>
      <c r="X324">
        <v>265.71301089899708</v>
      </c>
      <c r="Y324">
        <v>22.913010898997072</v>
      </c>
      <c r="Z324">
        <v>8.6232175163250755</v>
      </c>
    </row>
    <row r="325" spans="1:26" x14ac:dyDescent="0.35">
      <c r="A325">
        <v>323</v>
      </c>
      <c r="B325" t="s">
        <v>687</v>
      </c>
      <c r="C325">
        <v>46048</v>
      </c>
      <c r="D325" t="s">
        <v>16</v>
      </c>
      <c r="E325" t="s">
        <v>173</v>
      </c>
      <c r="F325" t="s">
        <v>99</v>
      </c>
      <c r="G325" t="s">
        <v>100</v>
      </c>
      <c r="H325" t="s">
        <v>101</v>
      </c>
      <c r="I325" t="s">
        <v>22</v>
      </c>
      <c r="J325" t="s">
        <v>23</v>
      </c>
      <c r="K325" t="s">
        <v>24</v>
      </c>
      <c r="L325" t="s">
        <v>172</v>
      </c>
      <c r="M325">
        <v>28</v>
      </c>
      <c r="N325">
        <v>60</v>
      </c>
      <c r="O325">
        <v>1</v>
      </c>
      <c r="P325">
        <v>3</v>
      </c>
      <c r="Q325">
        <v>251</v>
      </c>
      <c r="R325">
        <v>0.57310000000000005</v>
      </c>
      <c r="S325">
        <v>0.872</v>
      </c>
      <c r="U325">
        <v>0.29889999999999994</v>
      </c>
      <c r="V325">
        <v>169.72971077389298</v>
      </c>
      <c r="W325">
        <v>36.218299196950646</v>
      </c>
      <c r="X325">
        <v>265.5537105327507</v>
      </c>
      <c r="Y325">
        <v>-33.346289467249221</v>
      </c>
      <c r="Z325">
        <v>-12.557267379299763</v>
      </c>
    </row>
    <row r="326" spans="1:26" x14ac:dyDescent="0.35">
      <c r="A326">
        <v>324</v>
      </c>
      <c r="B326" t="s">
        <v>687</v>
      </c>
      <c r="C326">
        <v>46048</v>
      </c>
      <c r="D326" t="s">
        <v>16</v>
      </c>
      <c r="E326" t="s">
        <v>175</v>
      </c>
      <c r="F326" t="s">
        <v>159</v>
      </c>
      <c r="G326" t="s">
        <v>160</v>
      </c>
      <c r="H326" t="s">
        <v>161</v>
      </c>
      <c r="I326" t="s">
        <v>22</v>
      </c>
      <c r="J326" t="s">
        <v>23</v>
      </c>
      <c r="K326" t="s">
        <v>24</v>
      </c>
      <c r="L326" t="s">
        <v>174</v>
      </c>
      <c r="M326">
        <v>28</v>
      </c>
      <c r="N326">
        <v>60</v>
      </c>
      <c r="O326">
        <v>1</v>
      </c>
      <c r="P326">
        <v>1</v>
      </c>
      <c r="Q326">
        <v>252</v>
      </c>
      <c r="R326">
        <v>0.56100000000000005</v>
      </c>
      <c r="S326">
        <v>0.95269999999999999</v>
      </c>
      <c r="U326">
        <v>0.39169999999999994</v>
      </c>
      <c r="V326">
        <v>82.887131019795845</v>
      </c>
      <c r="W326">
        <v>17.465102949944612</v>
      </c>
      <c r="X326">
        <v>261.03270967869952</v>
      </c>
      <c r="Y326">
        <v>-130.66729032130041</v>
      </c>
      <c r="Z326">
        <v>-50.057822440006248</v>
      </c>
    </row>
    <row r="327" spans="1:26" x14ac:dyDescent="0.35">
      <c r="A327">
        <v>325</v>
      </c>
      <c r="B327" t="s">
        <v>687</v>
      </c>
      <c r="C327">
        <v>46048</v>
      </c>
      <c r="D327" t="s">
        <v>16</v>
      </c>
      <c r="E327" t="s">
        <v>175</v>
      </c>
      <c r="F327" t="s">
        <v>159</v>
      </c>
      <c r="G327" t="s">
        <v>160</v>
      </c>
      <c r="H327" t="s">
        <v>161</v>
      </c>
      <c r="I327" t="s">
        <v>22</v>
      </c>
      <c r="J327" t="s">
        <v>23</v>
      </c>
      <c r="K327" t="s">
        <v>24</v>
      </c>
      <c r="L327" t="s">
        <v>174</v>
      </c>
      <c r="M327">
        <v>28</v>
      </c>
      <c r="N327">
        <v>60</v>
      </c>
      <c r="O327">
        <v>1</v>
      </c>
      <c r="P327">
        <v>2</v>
      </c>
      <c r="Q327">
        <v>253</v>
      </c>
      <c r="R327">
        <v>0.58230000000000004</v>
      </c>
      <c r="S327">
        <v>0.9506</v>
      </c>
      <c r="U327">
        <v>0.36829999999999996</v>
      </c>
      <c r="V327">
        <v>106.4768520395919</v>
      </c>
      <c r="W327">
        <v>22.426715115149033</v>
      </c>
      <c r="X327">
        <v>261.13706015228689</v>
      </c>
      <c r="Y327">
        <v>-107.16293984771306</v>
      </c>
      <c r="Z327">
        <v>-41.03704766578096</v>
      </c>
    </row>
    <row r="328" spans="1:26" x14ac:dyDescent="0.35">
      <c r="A328">
        <v>326</v>
      </c>
      <c r="B328" t="s">
        <v>687</v>
      </c>
      <c r="C328">
        <v>46048</v>
      </c>
      <c r="D328" t="s">
        <v>16</v>
      </c>
      <c r="E328" t="s">
        <v>175</v>
      </c>
      <c r="F328" t="s">
        <v>159</v>
      </c>
      <c r="G328" t="s">
        <v>160</v>
      </c>
      <c r="H328" t="s">
        <v>161</v>
      </c>
      <c r="I328" t="s">
        <v>22</v>
      </c>
      <c r="J328" t="s">
        <v>23</v>
      </c>
      <c r="K328" t="s">
        <v>24</v>
      </c>
      <c r="L328" t="s">
        <v>174</v>
      </c>
      <c r="M328">
        <v>28</v>
      </c>
      <c r="N328">
        <v>60</v>
      </c>
      <c r="O328">
        <v>1</v>
      </c>
      <c r="P328">
        <v>3</v>
      </c>
      <c r="Q328">
        <v>254</v>
      </c>
      <c r="R328">
        <v>0.59409999999999996</v>
      </c>
      <c r="S328">
        <v>0.95820000000000005</v>
      </c>
      <c r="U328">
        <v>0.36410000000000009</v>
      </c>
      <c r="V328">
        <v>110.39227050989768</v>
      </c>
      <c r="W328">
        <v>23.265346428355556</v>
      </c>
      <c r="X328">
        <v>260.98053444190589</v>
      </c>
      <c r="Y328">
        <v>-103.11946555809419</v>
      </c>
      <c r="Z328">
        <v>-39.512320632881732</v>
      </c>
    </row>
    <row r="329" spans="1:26" x14ac:dyDescent="0.35">
      <c r="A329">
        <v>327</v>
      </c>
      <c r="B329" t="s">
        <v>687</v>
      </c>
      <c r="C329">
        <v>46048</v>
      </c>
      <c r="D329" t="s">
        <v>16</v>
      </c>
      <c r="E329" t="s">
        <v>177</v>
      </c>
      <c r="F329" t="s">
        <v>159</v>
      </c>
      <c r="G329" t="s">
        <v>160</v>
      </c>
      <c r="H329" t="s">
        <v>161</v>
      </c>
      <c r="I329" t="s">
        <v>22</v>
      </c>
      <c r="J329" t="s">
        <v>23</v>
      </c>
      <c r="K329" t="s">
        <v>24</v>
      </c>
      <c r="L329" t="s">
        <v>176</v>
      </c>
      <c r="M329">
        <v>28</v>
      </c>
      <c r="N329">
        <v>60</v>
      </c>
      <c r="O329">
        <v>1</v>
      </c>
      <c r="P329">
        <v>1</v>
      </c>
      <c r="Q329">
        <v>255</v>
      </c>
      <c r="R329">
        <v>0.59670000000000001</v>
      </c>
      <c r="S329">
        <v>1.0139</v>
      </c>
      <c r="U329">
        <v>0.41720000000000002</v>
      </c>
      <c r="V329">
        <v>52.467438256174319</v>
      </c>
      <c r="W329">
        <v>11.17118922507815</v>
      </c>
      <c r="X329">
        <v>257.98642701848371</v>
      </c>
      <c r="Y329">
        <v>-159.21357298151628</v>
      </c>
      <c r="Z329">
        <v>-61.713933876881534</v>
      </c>
    </row>
    <row r="330" spans="1:26" x14ac:dyDescent="0.35">
      <c r="A330">
        <v>328</v>
      </c>
      <c r="B330" t="s">
        <v>689</v>
      </c>
      <c r="C330">
        <v>46048</v>
      </c>
      <c r="D330" t="s">
        <v>16</v>
      </c>
      <c r="E330" t="s">
        <v>177</v>
      </c>
      <c r="F330" t="s">
        <v>159</v>
      </c>
      <c r="G330" t="s">
        <v>160</v>
      </c>
      <c r="H330" t="s">
        <v>161</v>
      </c>
      <c r="I330" t="s">
        <v>22</v>
      </c>
      <c r="J330" t="s">
        <v>23</v>
      </c>
      <c r="K330" t="s">
        <v>24</v>
      </c>
      <c r="L330" t="s">
        <v>176</v>
      </c>
      <c r="M330">
        <v>28</v>
      </c>
      <c r="N330">
        <v>60</v>
      </c>
      <c r="O330">
        <v>1</v>
      </c>
      <c r="P330">
        <v>2</v>
      </c>
      <c r="Q330">
        <v>256</v>
      </c>
      <c r="R330">
        <v>0.5887</v>
      </c>
      <c r="S330">
        <v>0.99150000000000005</v>
      </c>
      <c r="U330">
        <v>0.40280000000000005</v>
      </c>
      <c r="V330">
        <v>67.149069740237564</v>
      </c>
      <c r="W330">
        <v>14.288584458174144</v>
      </c>
      <c r="X330">
        <v>258.14112605527282</v>
      </c>
      <c r="Y330">
        <v>-144.65887394472725</v>
      </c>
      <c r="Z330">
        <v>-56.038677817556703</v>
      </c>
    </row>
    <row r="331" spans="1:26" x14ac:dyDescent="0.35">
      <c r="A331">
        <v>329</v>
      </c>
      <c r="B331" t="s">
        <v>689</v>
      </c>
      <c r="C331">
        <v>46048</v>
      </c>
      <c r="D331" t="s">
        <v>16</v>
      </c>
      <c r="E331" t="s">
        <v>177</v>
      </c>
      <c r="F331" t="s">
        <v>159</v>
      </c>
      <c r="G331" t="s">
        <v>160</v>
      </c>
      <c r="H331" t="s">
        <v>161</v>
      </c>
      <c r="I331" t="s">
        <v>22</v>
      </c>
      <c r="J331" t="s">
        <v>23</v>
      </c>
      <c r="K331" t="s">
        <v>24</v>
      </c>
      <c r="L331" t="s">
        <v>176</v>
      </c>
      <c r="M331">
        <v>28</v>
      </c>
      <c r="N331">
        <v>60</v>
      </c>
      <c r="O331">
        <v>1</v>
      </c>
      <c r="P331">
        <v>3</v>
      </c>
      <c r="Q331">
        <v>257</v>
      </c>
      <c r="R331">
        <v>0.60360000000000003</v>
      </c>
      <c r="S331">
        <v>0.9607</v>
      </c>
      <c r="U331">
        <v>0.35709999999999997</v>
      </c>
      <c r="V331">
        <v>112.75519257888317</v>
      </c>
      <c r="W331">
        <v>23.997860268395971</v>
      </c>
      <c r="X331">
        <v>258.08955970967639</v>
      </c>
      <c r="Y331">
        <v>-99.010440290323572</v>
      </c>
      <c r="Z331">
        <v>-38.362822735526343</v>
      </c>
    </row>
    <row r="332" spans="1:26" x14ac:dyDescent="0.35">
      <c r="A332">
        <v>330</v>
      </c>
      <c r="B332" t="s">
        <v>689</v>
      </c>
      <c r="C332">
        <v>46048</v>
      </c>
      <c r="D332" t="s">
        <v>16</v>
      </c>
      <c r="E332" t="s">
        <v>181</v>
      </c>
      <c r="F332" t="s">
        <v>159</v>
      </c>
      <c r="G332" t="s">
        <v>160</v>
      </c>
      <c r="H332" t="s">
        <v>161</v>
      </c>
      <c r="I332" t="s">
        <v>22</v>
      </c>
      <c r="J332" t="s">
        <v>23</v>
      </c>
      <c r="K332" t="s">
        <v>24</v>
      </c>
      <c r="L332" t="s">
        <v>180</v>
      </c>
      <c r="M332">
        <v>28</v>
      </c>
      <c r="N332">
        <v>60</v>
      </c>
      <c r="O332">
        <v>1</v>
      </c>
      <c r="P332">
        <v>1</v>
      </c>
      <c r="Q332">
        <v>258</v>
      </c>
      <c r="R332">
        <v>0.59060000000000001</v>
      </c>
      <c r="S332">
        <v>0.9234</v>
      </c>
      <c r="U332">
        <v>0.33279999999999998</v>
      </c>
      <c r="V332">
        <v>145.16155997116499</v>
      </c>
      <c r="W332">
        <v>30.370969577537256</v>
      </c>
      <c r="X332">
        <v>259.803349529282</v>
      </c>
      <c r="Y332">
        <v>-72.996650470718009</v>
      </c>
      <c r="Z332">
        <v>-28.096885818822237</v>
      </c>
    </row>
    <row r="333" spans="1:26" x14ac:dyDescent="0.35">
      <c r="A333">
        <v>331</v>
      </c>
      <c r="B333" t="s">
        <v>689</v>
      </c>
      <c r="C333">
        <v>46048</v>
      </c>
      <c r="D333" t="s">
        <v>16</v>
      </c>
      <c r="E333" t="s">
        <v>181</v>
      </c>
      <c r="F333" t="s">
        <v>159</v>
      </c>
      <c r="G333" t="s">
        <v>160</v>
      </c>
      <c r="H333" t="s">
        <v>161</v>
      </c>
      <c r="I333" t="s">
        <v>22</v>
      </c>
      <c r="J333" t="s">
        <v>23</v>
      </c>
      <c r="K333" t="s">
        <v>24</v>
      </c>
      <c r="L333" t="s">
        <v>180</v>
      </c>
      <c r="M333">
        <v>28</v>
      </c>
      <c r="N333">
        <v>60</v>
      </c>
      <c r="O333">
        <v>1</v>
      </c>
      <c r="P333">
        <v>2</v>
      </c>
      <c r="Q333">
        <v>259</v>
      </c>
      <c r="R333">
        <v>0.60129999999999995</v>
      </c>
      <c r="S333">
        <v>0.94069999999999998</v>
      </c>
      <c r="U333">
        <v>0.33940000000000003</v>
      </c>
      <c r="V333">
        <v>138.27501227334062</v>
      </c>
      <c r="W333">
        <v>28.947507975195343</v>
      </c>
      <c r="X333">
        <v>259.64759212548756</v>
      </c>
      <c r="Y333">
        <v>-79.752407874512471</v>
      </c>
      <c r="Z333">
        <v>-30.715635458682851</v>
      </c>
    </row>
    <row r="334" spans="1:26" x14ac:dyDescent="0.35">
      <c r="A334">
        <v>332</v>
      </c>
      <c r="B334" t="s">
        <v>689</v>
      </c>
      <c r="C334">
        <v>46048</v>
      </c>
      <c r="D334" t="s">
        <v>16</v>
      </c>
      <c r="E334" t="s">
        <v>181</v>
      </c>
      <c r="F334" t="s">
        <v>159</v>
      </c>
      <c r="G334" t="s">
        <v>160</v>
      </c>
      <c r="H334" t="s">
        <v>161</v>
      </c>
      <c r="I334" t="s">
        <v>22</v>
      </c>
      <c r="J334" t="s">
        <v>23</v>
      </c>
      <c r="K334" t="s">
        <v>24</v>
      </c>
      <c r="L334" t="s">
        <v>180</v>
      </c>
      <c r="M334">
        <v>28</v>
      </c>
      <c r="N334">
        <v>60</v>
      </c>
      <c r="O334">
        <v>1</v>
      </c>
      <c r="P334">
        <v>3</v>
      </c>
      <c r="Q334">
        <v>260</v>
      </c>
      <c r="R334">
        <v>0.60560000000000003</v>
      </c>
      <c r="S334">
        <v>0.93799999999999994</v>
      </c>
      <c r="U334">
        <v>0.33239999999999992</v>
      </c>
      <c r="V334">
        <v>145.17949637406588</v>
      </c>
      <c r="W334">
        <v>30.399022042678638</v>
      </c>
      <c r="X334">
        <v>259.59567299088934</v>
      </c>
      <c r="Y334">
        <v>-72.80432700911058</v>
      </c>
      <c r="Z334">
        <v>-28.045277554247093</v>
      </c>
    </row>
    <row r="335" spans="1:26" x14ac:dyDescent="0.35">
      <c r="A335">
        <v>333</v>
      </c>
      <c r="B335" t="s">
        <v>689</v>
      </c>
      <c r="C335">
        <v>46048</v>
      </c>
      <c r="D335" t="s">
        <v>16</v>
      </c>
      <c r="E335" t="s">
        <v>183</v>
      </c>
      <c r="F335" t="s">
        <v>19</v>
      </c>
      <c r="G335" t="s">
        <v>20</v>
      </c>
      <c r="H335" t="s">
        <v>21</v>
      </c>
      <c r="I335" t="s">
        <v>22</v>
      </c>
      <c r="J335" t="s">
        <v>23</v>
      </c>
      <c r="K335" t="s">
        <v>24</v>
      </c>
      <c r="L335" t="s">
        <v>182</v>
      </c>
      <c r="M335">
        <v>28</v>
      </c>
      <c r="N335">
        <v>60</v>
      </c>
      <c r="O335">
        <v>1</v>
      </c>
      <c r="P335">
        <v>1</v>
      </c>
      <c r="Q335">
        <v>261</v>
      </c>
      <c r="R335">
        <v>0.57869999999999999</v>
      </c>
      <c r="S335">
        <v>0.96040000000000003</v>
      </c>
      <c r="U335">
        <v>0.38170000000000004</v>
      </c>
      <c r="V335">
        <v>97.770853121625578</v>
      </c>
      <c r="W335">
        <v>20.391407003174894</v>
      </c>
      <c r="X335">
        <v>312.58306939103164</v>
      </c>
      <c r="Y335">
        <v>-69.116930608968403</v>
      </c>
      <c r="Z335">
        <v>-22.111540059933727</v>
      </c>
    </row>
    <row r="336" spans="1:26" x14ac:dyDescent="0.35">
      <c r="A336">
        <v>334</v>
      </c>
      <c r="B336" t="s">
        <v>689</v>
      </c>
      <c r="C336">
        <v>46048</v>
      </c>
      <c r="D336" t="s">
        <v>16</v>
      </c>
      <c r="E336" t="s">
        <v>183</v>
      </c>
      <c r="F336" t="s">
        <v>19</v>
      </c>
      <c r="G336" t="s">
        <v>20</v>
      </c>
      <c r="H336" t="s">
        <v>21</v>
      </c>
      <c r="I336" t="s">
        <v>22</v>
      </c>
      <c r="J336" t="s">
        <v>23</v>
      </c>
      <c r="K336" t="s">
        <v>24</v>
      </c>
      <c r="L336" t="s">
        <v>182</v>
      </c>
      <c r="M336">
        <v>28</v>
      </c>
      <c r="N336">
        <v>60</v>
      </c>
      <c r="O336">
        <v>1</v>
      </c>
      <c r="P336">
        <v>2</v>
      </c>
      <c r="Q336">
        <v>262</v>
      </c>
      <c r="R336">
        <v>0.57879999999999998</v>
      </c>
      <c r="S336">
        <v>0.95340000000000003</v>
      </c>
      <c r="U336">
        <v>0.37460000000000004</v>
      </c>
      <c r="V336">
        <v>105.15842060650459</v>
      </c>
      <c r="W336">
        <v>21.919035933452637</v>
      </c>
      <c r="X336">
        <v>312.77054424272558</v>
      </c>
      <c r="Y336">
        <v>-61.829455757274445</v>
      </c>
      <c r="Z336">
        <v>-19.768311593080099</v>
      </c>
    </row>
    <row r="337" spans="1:26" x14ac:dyDescent="0.35">
      <c r="A337">
        <v>335</v>
      </c>
      <c r="B337" t="s">
        <v>689</v>
      </c>
      <c r="C337">
        <v>46048</v>
      </c>
      <c r="D337" t="s">
        <v>16</v>
      </c>
      <c r="E337" t="s">
        <v>183</v>
      </c>
      <c r="F337" t="s">
        <v>19</v>
      </c>
      <c r="G337" t="s">
        <v>20</v>
      </c>
      <c r="H337" t="s">
        <v>21</v>
      </c>
      <c r="I337" t="s">
        <v>22</v>
      </c>
      <c r="J337" t="s">
        <v>23</v>
      </c>
      <c r="K337" t="s">
        <v>24</v>
      </c>
      <c r="L337" t="s">
        <v>182</v>
      </c>
      <c r="M337">
        <v>28</v>
      </c>
      <c r="N337">
        <v>60</v>
      </c>
      <c r="O337">
        <v>1</v>
      </c>
      <c r="P337">
        <v>3</v>
      </c>
      <c r="Q337">
        <v>263</v>
      </c>
      <c r="R337">
        <v>0.59940000000000004</v>
      </c>
      <c r="S337">
        <v>0.98409999999999997</v>
      </c>
      <c r="U337">
        <v>0.38469999999999993</v>
      </c>
      <c r="V337">
        <v>94.962564778211686</v>
      </c>
      <c r="W337">
        <v>19.79778530811986</v>
      </c>
      <c r="X337">
        <v>312.70805262549425</v>
      </c>
      <c r="Y337">
        <v>-71.991947374505685</v>
      </c>
      <c r="Z337">
        <v>-23.022095775936016</v>
      </c>
    </row>
    <row r="338" spans="1:26" x14ac:dyDescent="0.35">
      <c r="A338">
        <v>336</v>
      </c>
      <c r="B338" t="s">
        <v>689</v>
      </c>
      <c r="C338">
        <v>46048</v>
      </c>
      <c r="D338" t="s">
        <v>16</v>
      </c>
      <c r="E338" t="s">
        <v>185</v>
      </c>
      <c r="F338" t="s">
        <v>19</v>
      </c>
      <c r="G338" t="s">
        <v>20</v>
      </c>
      <c r="H338" t="s">
        <v>21</v>
      </c>
      <c r="I338" t="s">
        <v>22</v>
      </c>
      <c r="J338" t="s">
        <v>23</v>
      </c>
      <c r="K338" t="s">
        <v>24</v>
      </c>
      <c r="L338" t="s">
        <v>184</v>
      </c>
      <c r="M338">
        <v>28</v>
      </c>
      <c r="N338">
        <v>60</v>
      </c>
      <c r="O338">
        <v>1</v>
      </c>
      <c r="P338">
        <v>1</v>
      </c>
      <c r="Q338">
        <v>264</v>
      </c>
      <c r="R338">
        <v>0.58679999999999999</v>
      </c>
      <c r="S338">
        <v>0.9385</v>
      </c>
      <c r="U338">
        <v>0.35170000000000001</v>
      </c>
      <c r="V338">
        <v>126.93361904246206</v>
      </c>
      <c r="W338">
        <v>26.519996505134991</v>
      </c>
      <c r="X338">
        <v>311.93947144221755</v>
      </c>
      <c r="Y338">
        <v>-39.760528557782436</v>
      </c>
      <c r="Z338">
        <v>-12.74623194491997</v>
      </c>
    </row>
    <row r="339" spans="1:26" x14ac:dyDescent="0.35">
      <c r="A339">
        <v>337</v>
      </c>
      <c r="B339" t="s">
        <v>689</v>
      </c>
      <c r="C339">
        <v>46048</v>
      </c>
      <c r="D339" t="s">
        <v>16</v>
      </c>
      <c r="E339" t="s">
        <v>185</v>
      </c>
      <c r="F339" t="s">
        <v>19</v>
      </c>
      <c r="G339" t="s">
        <v>20</v>
      </c>
      <c r="H339" t="s">
        <v>21</v>
      </c>
      <c r="I339" t="s">
        <v>22</v>
      </c>
      <c r="J339" t="s">
        <v>23</v>
      </c>
      <c r="K339" t="s">
        <v>24</v>
      </c>
      <c r="L339" t="s">
        <v>184</v>
      </c>
      <c r="M339">
        <v>28</v>
      </c>
      <c r="N339">
        <v>60</v>
      </c>
      <c r="O339">
        <v>1</v>
      </c>
      <c r="P339">
        <v>2</v>
      </c>
      <c r="Q339">
        <v>265</v>
      </c>
      <c r="R339">
        <v>0.58899999999999997</v>
      </c>
      <c r="S339">
        <v>0.99709999999999999</v>
      </c>
      <c r="U339">
        <v>0.40810000000000002</v>
      </c>
      <c r="V339">
        <v>70.43798794974623</v>
      </c>
      <c r="W339">
        <v>14.719414074425224</v>
      </c>
      <c r="X339">
        <v>311.8771458734978</v>
      </c>
      <c r="Y339">
        <v>-96.222854126502227</v>
      </c>
      <c r="Z339">
        <v>-30.85280707472285</v>
      </c>
    </row>
    <row r="340" spans="1:26" x14ac:dyDescent="0.35">
      <c r="A340">
        <v>338</v>
      </c>
      <c r="B340" t="s">
        <v>689</v>
      </c>
      <c r="C340">
        <v>46048</v>
      </c>
      <c r="D340" t="s">
        <v>16</v>
      </c>
      <c r="E340" t="s">
        <v>185</v>
      </c>
      <c r="F340" t="s">
        <v>19</v>
      </c>
      <c r="G340" t="s">
        <v>20</v>
      </c>
      <c r="H340" t="s">
        <v>21</v>
      </c>
      <c r="I340" t="s">
        <v>22</v>
      </c>
      <c r="J340" t="s">
        <v>23</v>
      </c>
      <c r="K340" t="s">
        <v>24</v>
      </c>
      <c r="L340" t="s">
        <v>184</v>
      </c>
      <c r="M340">
        <v>28</v>
      </c>
      <c r="N340">
        <v>60</v>
      </c>
      <c r="O340">
        <v>1</v>
      </c>
      <c r="P340">
        <v>3</v>
      </c>
      <c r="Q340">
        <v>266</v>
      </c>
      <c r="R340">
        <v>0.57469999999999999</v>
      </c>
      <c r="S340">
        <v>1.0530999999999999</v>
      </c>
      <c r="U340">
        <v>0.47839999999999994</v>
      </c>
    </row>
    <row r="341" spans="1:26" x14ac:dyDescent="0.35">
      <c r="A341">
        <v>339</v>
      </c>
      <c r="B341" t="s">
        <v>689</v>
      </c>
      <c r="C341">
        <v>46048</v>
      </c>
      <c r="D341" t="s">
        <v>16</v>
      </c>
      <c r="E341" t="s">
        <v>187</v>
      </c>
      <c r="F341" t="s">
        <v>105</v>
      </c>
      <c r="G341" t="s">
        <v>188</v>
      </c>
      <c r="H341" t="s">
        <v>189</v>
      </c>
      <c r="I341" t="s">
        <v>108</v>
      </c>
      <c r="J341" t="s">
        <v>109</v>
      </c>
      <c r="K341" t="s">
        <v>110</v>
      </c>
      <c r="L341" t="s">
        <v>186</v>
      </c>
      <c r="M341">
        <v>28</v>
      </c>
      <c r="N341">
        <v>60</v>
      </c>
      <c r="O341">
        <v>1</v>
      </c>
      <c r="P341">
        <v>1</v>
      </c>
      <c r="Q341">
        <v>267</v>
      </c>
      <c r="R341">
        <v>0.57930000000000004</v>
      </c>
      <c r="S341">
        <v>0.82740000000000002</v>
      </c>
      <c r="U341">
        <v>0.24809999999999999</v>
      </c>
      <c r="V341">
        <v>226.39097469269549</v>
      </c>
      <c r="W341">
        <v>47.712387962556676</v>
      </c>
      <c r="X341">
        <v>323.01478086672762</v>
      </c>
      <c r="Y341">
        <v>74.914780866727625</v>
      </c>
      <c r="Z341">
        <v>23.192369298306708</v>
      </c>
    </row>
    <row r="342" spans="1:26" x14ac:dyDescent="0.35">
      <c r="A342">
        <v>340</v>
      </c>
      <c r="B342" t="s">
        <v>689</v>
      </c>
      <c r="C342">
        <v>46048</v>
      </c>
      <c r="D342" t="s">
        <v>16</v>
      </c>
      <c r="E342" t="s">
        <v>187</v>
      </c>
      <c r="F342" t="s">
        <v>105</v>
      </c>
      <c r="G342" t="s">
        <v>188</v>
      </c>
      <c r="H342" t="s">
        <v>189</v>
      </c>
      <c r="I342" t="s">
        <v>108</v>
      </c>
      <c r="J342" t="s">
        <v>109</v>
      </c>
      <c r="K342" t="s">
        <v>110</v>
      </c>
      <c r="L342" t="s">
        <v>186</v>
      </c>
      <c r="M342">
        <v>28</v>
      </c>
      <c r="N342">
        <v>60</v>
      </c>
      <c r="O342">
        <v>1</v>
      </c>
      <c r="P342">
        <v>2</v>
      </c>
      <c r="Q342">
        <v>268</v>
      </c>
      <c r="R342">
        <v>0.58430000000000004</v>
      </c>
      <c r="S342">
        <v>0.96009999999999995</v>
      </c>
      <c r="U342">
        <v>0.37579999999999991</v>
      </c>
      <c r="V342">
        <v>98.975498563188978</v>
      </c>
      <c r="W342">
        <v>20.846799984986191</v>
      </c>
      <c r="X342">
        <v>323.20847351965597</v>
      </c>
      <c r="Y342">
        <v>-52.59152648034393</v>
      </c>
      <c r="Z342">
        <v>-16.271704113334632</v>
      </c>
    </row>
    <row r="343" spans="1:26" x14ac:dyDescent="0.35">
      <c r="A343">
        <v>341</v>
      </c>
      <c r="B343" t="s">
        <v>689</v>
      </c>
      <c r="C343">
        <v>46048</v>
      </c>
      <c r="D343" t="s">
        <v>16</v>
      </c>
      <c r="E343" t="s">
        <v>187</v>
      </c>
      <c r="F343" t="s">
        <v>105</v>
      </c>
      <c r="G343" t="s">
        <v>188</v>
      </c>
      <c r="H343" t="s">
        <v>189</v>
      </c>
      <c r="I343" t="s">
        <v>108</v>
      </c>
      <c r="J343" t="s">
        <v>109</v>
      </c>
      <c r="K343" t="s">
        <v>110</v>
      </c>
      <c r="L343" t="s">
        <v>186</v>
      </c>
      <c r="M343">
        <v>28</v>
      </c>
      <c r="N343">
        <v>60</v>
      </c>
      <c r="O343">
        <v>1</v>
      </c>
      <c r="P343">
        <v>3</v>
      </c>
      <c r="Q343">
        <v>269</v>
      </c>
      <c r="R343">
        <v>0.57879999999999998</v>
      </c>
      <c r="S343">
        <v>0.91979999999999995</v>
      </c>
      <c r="U343">
        <v>0.34099999999999997</v>
      </c>
      <c r="V343">
        <v>133.30129211236664</v>
      </c>
      <c r="W343">
        <v>28.104771024065915</v>
      </c>
      <c r="X343">
        <v>322.88565243144205</v>
      </c>
      <c r="Y343">
        <v>-18.114347568557889</v>
      </c>
      <c r="Z343">
        <v>-5.6101432293911193</v>
      </c>
    </row>
    <row r="344" spans="1:26" x14ac:dyDescent="0.35">
      <c r="A344">
        <v>342</v>
      </c>
      <c r="B344" t="s">
        <v>689</v>
      </c>
      <c r="C344">
        <v>46048</v>
      </c>
      <c r="D344" t="s">
        <v>16</v>
      </c>
      <c r="E344" t="s">
        <v>193</v>
      </c>
      <c r="F344" t="s">
        <v>105</v>
      </c>
      <c r="G344" t="s">
        <v>188</v>
      </c>
      <c r="H344" t="s">
        <v>189</v>
      </c>
      <c r="I344" t="s">
        <v>108</v>
      </c>
      <c r="J344" t="s">
        <v>109</v>
      </c>
      <c r="K344" t="s">
        <v>110</v>
      </c>
      <c r="L344" t="s">
        <v>192</v>
      </c>
      <c r="M344">
        <v>28</v>
      </c>
      <c r="N344">
        <v>60</v>
      </c>
      <c r="O344">
        <v>1</v>
      </c>
      <c r="P344">
        <v>1</v>
      </c>
      <c r="Q344">
        <v>270</v>
      </c>
      <c r="R344">
        <v>0.57499999999999996</v>
      </c>
      <c r="S344">
        <v>0.86609999999999998</v>
      </c>
      <c r="U344">
        <v>0.29110000000000003</v>
      </c>
      <c r="V344">
        <v>184.4699500000001</v>
      </c>
      <c r="W344">
        <v>38.78923594730913</v>
      </c>
      <c r="X344">
        <v>324.8879972361234</v>
      </c>
      <c r="Y344">
        <v>33.787997236123374</v>
      </c>
      <c r="Z344">
        <v>10.399890892727194</v>
      </c>
    </row>
    <row r="345" spans="1:26" x14ac:dyDescent="0.35">
      <c r="A345">
        <v>343</v>
      </c>
      <c r="B345" t="s">
        <v>689</v>
      </c>
      <c r="C345">
        <v>46048</v>
      </c>
      <c r="D345" t="s">
        <v>16</v>
      </c>
      <c r="E345" t="s">
        <v>193</v>
      </c>
      <c r="F345" t="s">
        <v>105</v>
      </c>
      <c r="G345" t="s">
        <v>188</v>
      </c>
      <c r="H345" t="s">
        <v>189</v>
      </c>
      <c r="I345" t="s">
        <v>108</v>
      </c>
      <c r="J345" t="s">
        <v>109</v>
      </c>
      <c r="K345" t="s">
        <v>110</v>
      </c>
      <c r="L345" t="s">
        <v>192</v>
      </c>
      <c r="M345">
        <v>28</v>
      </c>
      <c r="N345">
        <v>60</v>
      </c>
      <c r="O345">
        <v>1</v>
      </c>
      <c r="P345">
        <v>2</v>
      </c>
      <c r="Q345">
        <v>271</v>
      </c>
      <c r="R345">
        <v>0.57240000000000002</v>
      </c>
      <c r="S345">
        <v>0.93559999999999999</v>
      </c>
      <c r="U345">
        <v>0.36319999999999997</v>
      </c>
      <c r="V345">
        <v>112.56010191923241</v>
      </c>
      <c r="W345">
        <v>23.659004078980381</v>
      </c>
      <c r="X345">
        <v>325.01790047372282</v>
      </c>
      <c r="Y345">
        <v>-38.18209952627717</v>
      </c>
      <c r="Z345">
        <v>-11.747691271965536</v>
      </c>
    </row>
    <row r="346" spans="1:26" x14ac:dyDescent="0.35">
      <c r="A346">
        <v>344</v>
      </c>
      <c r="B346" t="s">
        <v>689</v>
      </c>
      <c r="C346">
        <v>46048</v>
      </c>
      <c r="D346" t="s">
        <v>16</v>
      </c>
      <c r="E346" t="s">
        <v>193</v>
      </c>
      <c r="F346" t="s">
        <v>105</v>
      </c>
      <c r="G346" t="s">
        <v>188</v>
      </c>
      <c r="H346" t="s">
        <v>189</v>
      </c>
      <c r="I346" t="s">
        <v>108</v>
      </c>
      <c r="J346" t="s">
        <v>109</v>
      </c>
      <c r="K346" t="s">
        <v>110</v>
      </c>
      <c r="L346" t="s">
        <v>192</v>
      </c>
      <c r="M346">
        <v>28</v>
      </c>
      <c r="N346">
        <v>60</v>
      </c>
      <c r="O346">
        <v>1</v>
      </c>
      <c r="P346">
        <v>3</v>
      </c>
      <c r="Q346">
        <v>272</v>
      </c>
      <c r="R346">
        <v>0.59299999999999997</v>
      </c>
      <c r="S346">
        <v>0.91</v>
      </c>
      <c r="U346">
        <v>0.31700000000000006</v>
      </c>
      <c r="V346">
        <v>158.76010191923234</v>
      </c>
      <c r="W346">
        <v>33.369780542502134</v>
      </c>
      <c r="X346">
        <v>325.01790047372282</v>
      </c>
      <c r="Y346">
        <v>8.0179004737227615</v>
      </c>
      <c r="Z346">
        <v>2.4669104261754335</v>
      </c>
    </row>
    <row r="347" spans="1:26" x14ac:dyDescent="0.35">
      <c r="A347">
        <v>345</v>
      </c>
      <c r="B347" t="s">
        <v>689</v>
      </c>
      <c r="C347">
        <v>46048</v>
      </c>
      <c r="D347" t="s">
        <v>16</v>
      </c>
      <c r="E347" t="s">
        <v>195</v>
      </c>
      <c r="F347" t="s">
        <v>105</v>
      </c>
      <c r="G347" t="s">
        <v>188</v>
      </c>
      <c r="H347" t="s">
        <v>189</v>
      </c>
      <c r="I347" t="s">
        <v>108</v>
      </c>
      <c r="J347" t="s">
        <v>109</v>
      </c>
      <c r="K347" t="s">
        <v>110</v>
      </c>
      <c r="L347" t="s">
        <v>194</v>
      </c>
      <c r="M347">
        <v>28</v>
      </c>
      <c r="N347">
        <v>60</v>
      </c>
      <c r="O347">
        <v>1</v>
      </c>
      <c r="P347">
        <v>1</v>
      </c>
      <c r="Q347">
        <v>3</v>
      </c>
      <c r="R347">
        <v>0.5877</v>
      </c>
      <c r="S347">
        <v>0.94179999999999997</v>
      </c>
      <c r="U347">
        <v>0.35409999999999997</v>
      </c>
      <c r="V347">
        <v>126.09901759823975</v>
      </c>
      <c r="W347">
        <v>26.259740852643926</v>
      </c>
      <c r="X347">
        <v>325.78258586582183</v>
      </c>
      <c r="Y347">
        <v>-28.317414134178136</v>
      </c>
      <c r="Z347">
        <v>-8.6921202552677457</v>
      </c>
    </row>
    <row r="348" spans="1:26" x14ac:dyDescent="0.35">
      <c r="A348">
        <v>346</v>
      </c>
      <c r="B348" t="s">
        <v>689</v>
      </c>
      <c r="C348">
        <v>46048</v>
      </c>
      <c r="D348" t="s">
        <v>16</v>
      </c>
      <c r="E348" t="s">
        <v>195</v>
      </c>
      <c r="F348" t="s">
        <v>105</v>
      </c>
      <c r="G348" t="s">
        <v>188</v>
      </c>
      <c r="H348" t="s">
        <v>189</v>
      </c>
      <c r="I348" t="s">
        <v>108</v>
      </c>
      <c r="J348" t="s">
        <v>109</v>
      </c>
      <c r="K348" t="s">
        <v>110</v>
      </c>
      <c r="L348" t="s">
        <v>194</v>
      </c>
      <c r="M348">
        <v>28</v>
      </c>
      <c r="N348">
        <v>60</v>
      </c>
      <c r="O348">
        <v>1</v>
      </c>
      <c r="P348">
        <v>2</v>
      </c>
      <c r="Q348">
        <v>4</v>
      </c>
      <c r="R348">
        <v>0.56999999999999995</v>
      </c>
      <c r="S348">
        <v>0.87219999999999998</v>
      </c>
      <c r="U348">
        <v>0.30220000000000002</v>
      </c>
      <c r="V348">
        <v>178.1910587970392</v>
      </c>
      <c r="W348">
        <v>37.09291743340362</v>
      </c>
      <c r="X348">
        <v>325.9128728427728</v>
      </c>
      <c r="Y348">
        <v>23.712872842772754</v>
      </c>
      <c r="Z348">
        <v>7.2758319227888686</v>
      </c>
    </row>
    <row r="349" spans="1:26" x14ac:dyDescent="0.35">
      <c r="A349">
        <v>347</v>
      </c>
      <c r="B349" t="s">
        <v>689</v>
      </c>
      <c r="C349">
        <v>46048</v>
      </c>
      <c r="D349" t="s">
        <v>16</v>
      </c>
      <c r="E349" t="s">
        <v>195</v>
      </c>
      <c r="F349" t="s">
        <v>105</v>
      </c>
      <c r="G349" t="s">
        <v>188</v>
      </c>
      <c r="H349" t="s">
        <v>189</v>
      </c>
      <c r="I349" t="s">
        <v>108</v>
      </c>
      <c r="J349" t="s">
        <v>109</v>
      </c>
      <c r="K349" t="s">
        <v>110</v>
      </c>
      <c r="L349" t="s">
        <v>194</v>
      </c>
      <c r="M349">
        <v>28</v>
      </c>
      <c r="N349">
        <v>60</v>
      </c>
      <c r="O349">
        <v>1</v>
      </c>
      <c r="P349">
        <v>3</v>
      </c>
      <c r="Q349">
        <v>5</v>
      </c>
      <c r="R349">
        <v>0.58689999999999998</v>
      </c>
      <c r="S349">
        <v>0.88919999999999999</v>
      </c>
      <c r="U349">
        <v>0.30230000000000001</v>
      </c>
      <c r="V349">
        <v>177.89901759823971</v>
      </c>
      <c r="W349">
        <v>37.046934932940573</v>
      </c>
      <c r="X349">
        <v>325.78258586582183</v>
      </c>
      <c r="Y349">
        <v>23.482585865821818</v>
      </c>
      <c r="Z349">
        <v>7.2080543542291888</v>
      </c>
    </row>
    <row r="350" spans="1:26" x14ac:dyDescent="0.35">
      <c r="A350">
        <v>348</v>
      </c>
      <c r="B350" t="s">
        <v>689</v>
      </c>
      <c r="C350">
        <v>46048</v>
      </c>
      <c r="D350" t="s">
        <v>16</v>
      </c>
      <c r="E350" t="s">
        <v>197</v>
      </c>
      <c r="F350" t="s">
        <v>105</v>
      </c>
      <c r="G350" t="s">
        <v>188</v>
      </c>
      <c r="H350" t="s">
        <v>189</v>
      </c>
      <c r="I350" t="s">
        <v>108</v>
      </c>
      <c r="J350" t="s">
        <v>109</v>
      </c>
      <c r="K350" t="s">
        <v>110</v>
      </c>
      <c r="L350" t="s">
        <v>196</v>
      </c>
      <c r="M350">
        <v>28</v>
      </c>
      <c r="N350">
        <v>60</v>
      </c>
      <c r="O350">
        <v>1</v>
      </c>
      <c r="P350">
        <v>1</v>
      </c>
      <c r="Q350">
        <v>6</v>
      </c>
      <c r="R350">
        <v>0.56720000000000004</v>
      </c>
      <c r="S350">
        <v>0.90639999999999998</v>
      </c>
      <c r="U350">
        <v>0.33919999999999995</v>
      </c>
      <c r="V350">
        <v>140.98586141385846</v>
      </c>
      <c r="W350">
        <v>29.360685672572689</v>
      </c>
      <c r="X350">
        <v>323.78156088395701</v>
      </c>
      <c r="Y350">
        <v>-15.418439116042919</v>
      </c>
      <c r="Z350">
        <v>-4.7619880125196108</v>
      </c>
    </row>
    <row r="351" spans="1:26" x14ac:dyDescent="0.35">
      <c r="A351">
        <v>349</v>
      </c>
      <c r="B351" t="s">
        <v>689</v>
      </c>
      <c r="C351">
        <v>46048</v>
      </c>
      <c r="D351" t="s">
        <v>16</v>
      </c>
      <c r="E351" t="s">
        <v>197</v>
      </c>
      <c r="F351" t="s">
        <v>105</v>
      </c>
      <c r="G351" t="s">
        <v>188</v>
      </c>
      <c r="H351" t="s">
        <v>189</v>
      </c>
      <c r="I351" t="s">
        <v>108</v>
      </c>
      <c r="J351" t="s">
        <v>109</v>
      </c>
      <c r="K351" t="s">
        <v>110</v>
      </c>
      <c r="L351" t="s">
        <v>196</v>
      </c>
      <c r="M351">
        <v>28</v>
      </c>
      <c r="N351">
        <v>60</v>
      </c>
      <c r="O351">
        <v>1</v>
      </c>
      <c r="P351">
        <v>2</v>
      </c>
      <c r="Q351">
        <v>7</v>
      </c>
      <c r="R351">
        <v>0.56100000000000005</v>
      </c>
      <c r="S351">
        <v>0.79249999999999998</v>
      </c>
      <c r="U351">
        <v>0.23149999999999993</v>
      </c>
      <c r="V351">
        <v>248.87778222177778</v>
      </c>
      <c r="W351">
        <v>51.808762068616552</v>
      </c>
      <c r="X351">
        <v>323.91096998103296</v>
      </c>
      <c r="Y351">
        <v>92.410969981033048</v>
      </c>
      <c r="Z351">
        <v>28.529743832524197</v>
      </c>
    </row>
    <row r="352" spans="1:26" x14ac:dyDescent="0.35">
      <c r="A352">
        <v>350</v>
      </c>
      <c r="B352" t="s">
        <v>689</v>
      </c>
      <c r="C352">
        <v>46048</v>
      </c>
      <c r="D352" t="s">
        <v>16</v>
      </c>
      <c r="E352" t="s">
        <v>197</v>
      </c>
      <c r="F352" t="s">
        <v>105</v>
      </c>
      <c r="G352" t="s">
        <v>188</v>
      </c>
      <c r="H352" t="s">
        <v>189</v>
      </c>
      <c r="I352" t="s">
        <v>108</v>
      </c>
      <c r="J352" t="s">
        <v>109</v>
      </c>
      <c r="K352" t="s">
        <v>110</v>
      </c>
      <c r="L352" t="s">
        <v>196</v>
      </c>
      <c r="M352">
        <v>28</v>
      </c>
      <c r="N352">
        <v>60</v>
      </c>
      <c r="O352">
        <v>1</v>
      </c>
      <c r="P352">
        <v>3</v>
      </c>
      <c r="Q352">
        <v>8</v>
      </c>
      <c r="R352">
        <v>0.56320000000000003</v>
      </c>
      <c r="S352">
        <v>0.8498</v>
      </c>
      <c r="U352">
        <v>0.28659999999999997</v>
      </c>
      <c r="V352">
        <v>193.68182181781805</v>
      </c>
      <c r="W352">
        <v>40.326702577405904</v>
      </c>
      <c r="X352">
        <v>323.84626543249499</v>
      </c>
      <c r="Y352">
        <v>37.246265432495022</v>
      </c>
      <c r="Z352">
        <v>11.5012181421184</v>
      </c>
    </row>
    <row r="353" spans="1:26" x14ac:dyDescent="0.35">
      <c r="A353">
        <v>351</v>
      </c>
      <c r="B353" t="s">
        <v>689</v>
      </c>
      <c r="C353">
        <v>46048</v>
      </c>
      <c r="D353" t="s">
        <v>16</v>
      </c>
      <c r="E353" t="s">
        <v>199</v>
      </c>
      <c r="F353" t="s">
        <v>105</v>
      </c>
      <c r="G353" t="s">
        <v>188</v>
      </c>
      <c r="H353" t="s">
        <v>189</v>
      </c>
      <c r="I353" t="s">
        <v>108</v>
      </c>
      <c r="J353" t="s">
        <v>109</v>
      </c>
      <c r="K353" t="s">
        <v>110</v>
      </c>
      <c r="L353" t="s">
        <v>198</v>
      </c>
      <c r="M353">
        <v>28</v>
      </c>
      <c r="N353">
        <v>60</v>
      </c>
      <c r="O353">
        <v>1</v>
      </c>
      <c r="P353">
        <v>1</v>
      </c>
      <c r="Q353">
        <v>9</v>
      </c>
      <c r="R353">
        <v>0.56200000000000006</v>
      </c>
      <c r="S353">
        <v>0.88490000000000002</v>
      </c>
      <c r="U353">
        <v>0.32289999999999996</v>
      </c>
      <c r="V353">
        <v>163.64590540945926</v>
      </c>
      <c r="W353">
        <v>33.634216954665533</v>
      </c>
      <c r="X353">
        <v>337.62143958283281</v>
      </c>
      <c r="Y353">
        <v>14.721439582832829</v>
      </c>
      <c r="Z353">
        <v>4.3603390830341624</v>
      </c>
    </row>
    <row r="354" spans="1:26" x14ac:dyDescent="0.35">
      <c r="A354">
        <v>352</v>
      </c>
      <c r="B354" t="s">
        <v>689</v>
      </c>
      <c r="C354">
        <v>46048</v>
      </c>
      <c r="D354" t="s">
        <v>16</v>
      </c>
      <c r="E354" t="s">
        <v>199</v>
      </c>
      <c r="F354" t="s">
        <v>105</v>
      </c>
      <c r="G354" t="s">
        <v>188</v>
      </c>
      <c r="H354" t="s">
        <v>189</v>
      </c>
      <c r="I354" t="s">
        <v>108</v>
      </c>
      <c r="J354" t="s">
        <v>109</v>
      </c>
      <c r="K354" t="s">
        <v>110</v>
      </c>
      <c r="L354" t="s">
        <v>198</v>
      </c>
      <c r="M354">
        <v>28</v>
      </c>
      <c r="N354">
        <v>60</v>
      </c>
      <c r="O354">
        <v>1</v>
      </c>
      <c r="P354">
        <v>2</v>
      </c>
      <c r="Q354">
        <v>10</v>
      </c>
      <c r="R354">
        <v>0.59860000000000002</v>
      </c>
      <c r="S354">
        <v>0.87960000000000005</v>
      </c>
      <c r="U354">
        <v>0.28100000000000003</v>
      </c>
      <c r="V354">
        <v>205.93498650135012</v>
      </c>
      <c r="W354">
        <v>42.292090773966009</v>
      </c>
      <c r="X354">
        <v>337.89142873883679</v>
      </c>
      <c r="Y354">
        <v>56.891428738836794</v>
      </c>
      <c r="Z354">
        <v>16.837192038632427</v>
      </c>
    </row>
    <row r="355" spans="1:26" x14ac:dyDescent="0.35">
      <c r="A355">
        <v>353</v>
      </c>
      <c r="B355" t="s">
        <v>689</v>
      </c>
      <c r="C355">
        <v>46048</v>
      </c>
      <c r="D355" t="s">
        <v>16</v>
      </c>
      <c r="E355" t="s">
        <v>199</v>
      </c>
      <c r="F355" t="s">
        <v>105</v>
      </c>
      <c r="G355" t="s">
        <v>188</v>
      </c>
      <c r="H355" t="s">
        <v>189</v>
      </c>
      <c r="I355" t="s">
        <v>108</v>
      </c>
      <c r="J355" t="s">
        <v>109</v>
      </c>
      <c r="K355" t="s">
        <v>110</v>
      </c>
      <c r="L355" t="s">
        <v>198</v>
      </c>
      <c r="M355">
        <v>28</v>
      </c>
      <c r="N355">
        <v>60</v>
      </c>
      <c r="O355">
        <v>1</v>
      </c>
      <c r="P355">
        <v>3</v>
      </c>
      <c r="Q355">
        <v>11</v>
      </c>
      <c r="R355">
        <v>0.57609999999999995</v>
      </c>
      <c r="S355">
        <v>0.9143</v>
      </c>
      <c r="U355">
        <v>0.33820000000000006</v>
      </c>
      <c r="V355">
        <v>148.34590540945919</v>
      </c>
      <c r="W355">
        <v>30.489601034586183</v>
      </c>
      <c r="X355">
        <v>337.62143958283281</v>
      </c>
      <c r="Y355">
        <v>-0.57856041716723894</v>
      </c>
      <c r="Z355">
        <v>-0.17136364855327668</v>
      </c>
    </row>
    <row r="356" spans="1:26" x14ac:dyDescent="0.35">
      <c r="A356">
        <v>354</v>
      </c>
      <c r="B356" t="s">
        <v>689</v>
      </c>
      <c r="C356">
        <v>46048</v>
      </c>
      <c r="D356" t="s">
        <v>16</v>
      </c>
      <c r="E356" t="s">
        <v>201</v>
      </c>
      <c r="F356" t="s">
        <v>105</v>
      </c>
      <c r="G356" t="s">
        <v>188</v>
      </c>
      <c r="H356" t="s">
        <v>189</v>
      </c>
      <c r="I356" t="s">
        <v>108</v>
      </c>
      <c r="J356" t="s">
        <v>109</v>
      </c>
      <c r="K356" t="s">
        <v>110</v>
      </c>
      <c r="L356" t="s">
        <v>200</v>
      </c>
      <c r="M356">
        <v>28</v>
      </c>
      <c r="N356">
        <v>60</v>
      </c>
      <c r="O356">
        <v>1</v>
      </c>
      <c r="P356">
        <v>1</v>
      </c>
      <c r="Q356">
        <v>12</v>
      </c>
      <c r="R356">
        <v>0.56330000000000002</v>
      </c>
      <c r="S356">
        <v>0.90720000000000001</v>
      </c>
      <c r="U356">
        <v>0.34389999999999998</v>
      </c>
      <c r="V356">
        <v>141.98839999999979</v>
      </c>
      <c r="W356">
        <v>29.222430500501734</v>
      </c>
      <c r="X356">
        <v>311.64086360872693</v>
      </c>
      <c r="Y356">
        <v>-32.259136391273046</v>
      </c>
      <c r="Z356">
        <v>-10.351382042046712</v>
      </c>
    </row>
    <row r="357" spans="1:26" x14ac:dyDescent="0.35">
      <c r="A357">
        <v>355</v>
      </c>
      <c r="B357" t="s">
        <v>689</v>
      </c>
      <c r="C357">
        <v>46048</v>
      </c>
      <c r="D357" t="s">
        <v>16</v>
      </c>
      <c r="E357" t="s">
        <v>201</v>
      </c>
      <c r="F357" t="s">
        <v>105</v>
      </c>
      <c r="G357" t="s">
        <v>188</v>
      </c>
      <c r="H357" t="s">
        <v>189</v>
      </c>
      <c r="I357" t="s">
        <v>108</v>
      </c>
      <c r="J357" t="s">
        <v>109</v>
      </c>
      <c r="K357" t="s">
        <v>110</v>
      </c>
      <c r="L357" t="s">
        <v>200</v>
      </c>
      <c r="M357">
        <v>28</v>
      </c>
      <c r="N357">
        <v>60</v>
      </c>
      <c r="O357">
        <v>1</v>
      </c>
      <c r="P357">
        <v>2</v>
      </c>
      <c r="Q357">
        <v>13</v>
      </c>
      <c r="R357">
        <v>0.57369999999999999</v>
      </c>
      <c r="S357">
        <v>0.84699999999999998</v>
      </c>
      <c r="U357">
        <v>0.27329999999999999</v>
      </c>
      <c r="V357">
        <v>212.58839999999975</v>
      </c>
      <c r="W357">
        <v>43.752516009849145</v>
      </c>
      <c r="X357">
        <v>311.64086360872693</v>
      </c>
      <c r="Y357">
        <v>38.34086360872692</v>
      </c>
      <c r="Z357">
        <v>12.302899935762229</v>
      </c>
    </row>
    <row r="358" spans="1:26" x14ac:dyDescent="0.35">
      <c r="A358">
        <v>356</v>
      </c>
      <c r="B358" t="s">
        <v>689</v>
      </c>
      <c r="C358">
        <v>46048</v>
      </c>
      <c r="D358" t="s">
        <v>16</v>
      </c>
      <c r="E358" t="s">
        <v>201</v>
      </c>
      <c r="F358" t="s">
        <v>105</v>
      </c>
      <c r="G358" t="s">
        <v>188</v>
      </c>
      <c r="H358" t="s">
        <v>189</v>
      </c>
      <c r="I358" t="s">
        <v>108</v>
      </c>
      <c r="J358" t="s">
        <v>109</v>
      </c>
      <c r="K358" t="s">
        <v>110</v>
      </c>
      <c r="L358" t="s">
        <v>200</v>
      </c>
      <c r="M358">
        <v>28</v>
      </c>
      <c r="N358">
        <v>60</v>
      </c>
      <c r="O358">
        <v>1</v>
      </c>
      <c r="P358">
        <v>3</v>
      </c>
      <c r="Q358">
        <v>19</v>
      </c>
      <c r="R358">
        <v>0.57989999999999997</v>
      </c>
      <c r="S358">
        <v>0.87319999999999998</v>
      </c>
      <c r="U358">
        <v>0.29330000000000001</v>
      </c>
      <c r="V358">
        <v>192.49129999999974</v>
      </c>
      <c r="W358">
        <v>39.624278985646683</v>
      </c>
      <c r="X358">
        <v>311.57858525868522</v>
      </c>
      <c r="Y358">
        <v>18.278585258685212</v>
      </c>
      <c r="Z358">
        <v>5.866444654246564</v>
      </c>
    </row>
    <row r="359" spans="1:26" x14ac:dyDescent="0.35">
      <c r="A359">
        <v>357</v>
      </c>
      <c r="B359" t="s">
        <v>689</v>
      </c>
      <c r="C359">
        <v>46048</v>
      </c>
      <c r="D359" t="s">
        <v>16</v>
      </c>
      <c r="E359" t="s">
        <v>203</v>
      </c>
      <c r="F359" t="s">
        <v>105</v>
      </c>
      <c r="G359" t="s">
        <v>188</v>
      </c>
      <c r="H359" t="s">
        <v>189</v>
      </c>
      <c r="I359" t="s">
        <v>108</v>
      </c>
      <c r="J359" t="s">
        <v>109</v>
      </c>
      <c r="K359" t="s">
        <v>110</v>
      </c>
      <c r="L359" t="s">
        <v>202</v>
      </c>
      <c r="M359">
        <v>28</v>
      </c>
      <c r="N359">
        <v>60</v>
      </c>
      <c r="O359">
        <v>1</v>
      </c>
      <c r="P359">
        <v>1</v>
      </c>
      <c r="Q359">
        <v>20</v>
      </c>
      <c r="R359">
        <v>0.5756</v>
      </c>
      <c r="S359">
        <v>0.93200000000000005</v>
      </c>
      <c r="U359">
        <v>0.35640000000000005</v>
      </c>
      <c r="V359">
        <v>126.48775122487723</v>
      </c>
      <c r="W359">
        <v>26.194027681181094</v>
      </c>
      <c r="X359">
        <v>329.29333060158456</v>
      </c>
      <c r="Y359">
        <v>-27.106669398415477</v>
      </c>
      <c r="Z359">
        <v>-8.2317699386423708</v>
      </c>
    </row>
    <row r="360" spans="1:26" x14ac:dyDescent="0.35">
      <c r="A360">
        <v>358</v>
      </c>
      <c r="B360" t="s">
        <v>689</v>
      </c>
      <c r="C360">
        <v>46048</v>
      </c>
      <c r="D360" t="s">
        <v>16</v>
      </c>
      <c r="E360" t="s">
        <v>203</v>
      </c>
      <c r="F360" t="s">
        <v>105</v>
      </c>
      <c r="G360" t="s">
        <v>188</v>
      </c>
      <c r="H360" t="s">
        <v>189</v>
      </c>
      <c r="I360" t="s">
        <v>108</v>
      </c>
      <c r="J360" t="s">
        <v>109</v>
      </c>
      <c r="K360" t="s">
        <v>110</v>
      </c>
      <c r="L360" t="s">
        <v>202</v>
      </c>
      <c r="M360">
        <v>28</v>
      </c>
      <c r="N360">
        <v>60</v>
      </c>
      <c r="O360">
        <v>1</v>
      </c>
      <c r="P360">
        <v>2</v>
      </c>
      <c r="Q360">
        <v>21</v>
      </c>
      <c r="R360">
        <v>0.56240000000000001</v>
      </c>
      <c r="S360">
        <v>0.92149999999999999</v>
      </c>
      <c r="U360">
        <v>0.35909999999999997</v>
      </c>
      <c r="V360">
        <v>123.88425157484232</v>
      </c>
      <c r="W360">
        <v>25.649749690781682</v>
      </c>
      <c r="X360">
        <v>329.35913662288783</v>
      </c>
      <c r="Y360">
        <v>-29.740863377112134</v>
      </c>
      <c r="Z360">
        <v>-9.0299190367276978</v>
      </c>
    </row>
    <row r="361" spans="1:26" x14ac:dyDescent="0.35">
      <c r="A361">
        <v>359</v>
      </c>
      <c r="B361" t="s">
        <v>689</v>
      </c>
      <c r="C361">
        <v>46048</v>
      </c>
      <c r="D361" t="s">
        <v>16</v>
      </c>
      <c r="E361" t="s">
        <v>203</v>
      </c>
      <c r="F361" t="s">
        <v>105</v>
      </c>
      <c r="G361" t="s">
        <v>188</v>
      </c>
      <c r="H361" t="s">
        <v>189</v>
      </c>
      <c r="I361" t="s">
        <v>108</v>
      </c>
      <c r="J361" t="s">
        <v>109</v>
      </c>
      <c r="K361" t="s">
        <v>110</v>
      </c>
      <c r="L361" t="s">
        <v>202</v>
      </c>
      <c r="M361">
        <v>28</v>
      </c>
      <c r="N361">
        <v>60</v>
      </c>
      <c r="O361">
        <v>1</v>
      </c>
      <c r="P361">
        <v>3</v>
      </c>
      <c r="Q361">
        <v>17</v>
      </c>
      <c r="R361">
        <v>0.55159999999999998</v>
      </c>
      <c r="S361">
        <v>0.90439999999999998</v>
      </c>
      <c r="U361">
        <v>0.3528</v>
      </c>
      <c r="V361">
        <v>130.18425157484228</v>
      </c>
      <c r="W361">
        <v>26.954140047083747</v>
      </c>
      <c r="X361">
        <v>329.35913662288783</v>
      </c>
      <c r="Y361">
        <v>-23.44086337711218</v>
      </c>
      <c r="Z361">
        <v>-7.1171134395921376</v>
      </c>
    </row>
    <row r="362" spans="1:26" x14ac:dyDescent="0.35">
      <c r="A362">
        <v>360</v>
      </c>
      <c r="B362" t="s">
        <v>689</v>
      </c>
      <c r="C362">
        <v>46048</v>
      </c>
      <c r="D362" t="s">
        <v>16</v>
      </c>
      <c r="E362" t="s">
        <v>205</v>
      </c>
      <c r="F362" t="s">
        <v>105</v>
      </c>
      <c r="G362" t="s">
        <v>188</v>
      </c>
      <c r="H362" t="s">
        <v>189</v>
      </c>
      <c r="I362" t="s">
        <v>108</v>
      </c>
      <c r="J362" t="s">
        <v>109</v>
      </c>
      <c r="K362" t="s">
        <v>110</v>
      </c>
      <c r="L362" t="s">
        <v>204</v>
      </c>
      <c r="M362">
        <v>28</v>
      </c>
      <c r="N362">
        <v>60</v>
      </c>
      <c r="O362">
        <v>1</v>
      </c>
      <c r="P362">
        <v>1</v>
      </c>
      <c r="Q362">
        <v>18</v>
      </c>
      <c r="R362">
        <v>0.5544</v>
      </c>
      <c r="S362">
        <v>0.92769999999999997</v>
      </c>
      <c r="U362">
        <v>0.37329999999999997</v>
      </c>
      <c r="V362">
        <v>111.51793102684974</v>
      </c>
      <c r="W362">
        <v>23.002022798672801</v>
      </c>
      <c r="X362">
        <v>336.73464765759979</v>
      </c>
      <c r="Y362">
        <v>-36.565352342400161</v>
      </c>
      <c r="Z362">
        <v>-10.858803095183935</v>
      </c>
    </row>
    <row r="363" spans="1:26" x14ac:dyDescent="0.35">
      <c r="A363">
        <v>361</v>
      </c>
      <c r="B363" t="s">
        <v>689</v>
      </c>
      <c r="C363">
        <v>46048</v>
      </c>
      <c r="D363" t="s">
        <v>16</v>
      </c>
      <c r="E363" t="s">
        <v>205</v>
      </c>
      <c r="F363" t="s">
        <v>105</v>
      </c>
      <c r="G363" t="s">
        <v>188</v>
      </c>
      <c r="H363" t="s">
        <v>189</v>
      </c>
      <c r="I363" t="s">
        <v>108</v>
      </c>
      <c r="J363" t="s">
        <v>109</v>
      </c>
      <c r="K363" t="s">
        <v>110</v>
      </c>
      <c r="L363" t="s">
        <v>204</v>
      </c>
      <c r="M363">
        <v>28</v>
      </c>
      <c r="N363">
        <v>60</v>
      </c>
      <c r="O363">
        <v>1</v>
      </c>
      <c r="P363">
        <v>2</v>
      </c>
      <c r="Q363">
        <v>14</v>
      </c>
      <c r="R363">
        <v>0.57010000000000005</v>
      </c>
      <c r="S363">
        <v>0.97729999999999995</v>
      </c>
      <c r="U363">
        <v>0.4071999999999999</v>
      </c>
      <c r="V363">
        <v>77.327330868392153</v>
      </c>
      <c r="W363">
        <v>15.959333136028173</v>
      </c>
      <c r="X363">
        <v>336.53280870795481</v>
      </c>
      <c r="Y363">
        <v>-70.667191292045061</v>
      </c>
      <c r="Z363">
        <v>-20.99860383995145</v>
      </c>
    </row>
    <row r="364" spans="1:26" x14ac:dyDescent="0.35">
      <c r="A364">
        <v>362</v>
      </c>
      <c r="B364" t="s">
        <v>689</v>
      </c>
      <c r="C364">
        <v>46048</v>
      </c>
      <c r="D364" t="s">
        <v>16</v>
      </c>
      <c r="E364" t="s">
        <v>205</v>
      </c>
      <c r="F364" t="s">
        <v>105</v>
      </c>
      <c r="G364" t="s">
        <v>188</v>
      </c>
      <c r="H364" t="s">
        <v>189</v>
      </c>
      <c r="I364" t="s">
        <v>108</v>
      </c>
      <c r="J364" t="s">
        <v>109</v>
      </c>
      <c r="K364" t="s">
        <v>110</v>
      </c>
      <c r="L364" t="s">
        <v>204</v>
      </c>
      <c r="M364">
        <v>28</v>
      </c>
      <c r="N364">
        <v>60</v>
      </c>
      <c r="O364">
        <v>1</v>
      </c>
      <c r="P364">
        <v>3</v>
      </c>
      <c r="Q364">
        <v>15</v>
      </c>
      <c r="R364">
        <v>0.57940000000000003</v>
      </c>
      <c r="S364">
        <v>0.91569999999999996</v>
      </c>
      <c r="U364">
        <v>0.33629999999999993</v>
      </c>
      <c r="V364">
        <v>148.51793102684974</v>
      </c>
      <c r="W364">
        <v>30.633753729423152</v>
      </c>
      <c r="X364">
        <v>336.73464765759979</v>
      </c>
      <c r="Y364">
        <v>0.43464765759983948</v>
      </c>
      <c r="Z364">
        <v>0.12907720088305261</v>
      </c>
    </row>
    <row r="365" spans="1:26" x14ac:dyDescent="0.35">
      <c r="A365">
        <v>363</v>
      </c>
      <c r="B365" t="s">
        <v>689</v>
      </c>
      <c r="C365">
        <v>46048</v>
      </c>
      <c r="D365" t="s">
        <v>16</v>
      </c>
      <c r="E365" t="s">
        <v>207</v>
      </c>
      <c r="F365" t="s">
        <v>105</v>
      </c>
      <c r="G365" t="s">
        <v>188</v>
      </c>
      <c r="H365" t="s">
        <v>189</v>
      </c>
      <c r="I365" t="s">
        <v>108</v>
      </c>
      <c r="J365" t="s">
        <v>109</v>
      </c>
      <c r="K365" t="s">
        <v>110</v>
      </c>
      <c r="L365" t="s">
        <v>206</v>
      </c>
      <c r="M365">
        <v>28</v>
      </c>
      <c r="N365">
        <v>60</v>
      </c>
      <c r="O365">
        <v>1</v>
      </c>
      <c r="P365">
        <v>1</v>
      </c>
      <c r="Q365">
        <v>16</v>
      </c>
      <c r="R365">
        <v>0.57169999999999999</v>
      </c>
      <c r="S365">
        <v>0.85409999999999997</v>
      </c>
      <c r="U365">
        <v>0.28239999999999998</v>
      </c>
      <c r="V365">
        <v>205.87677696690997</v>
      </c>
      <c r="W365">
        <v>42.163950177147591</v>
      </c>
      <c r="X365">
        <v>315.31583441527187</v>
      </c>
      <c r="Y365">
        <v>32.915834415271888</v>
      </c>
      <c r="Z365">
        <v>10.439004586088005</v>
      </c>
    </row>
    <row r="366" spans="1:26" x14ac:dyDescent="0.35">
      <c r="A366">
        <v>364</v>
      </c>
      <c r="B366" t="s">
        <v>689</v>
      </c>
      <c r="C366">
        <v>46048</v>
      </c>
      <c r="D366" t="s">
        <v>16</v>
      </c>
      <c r="E366" t="s">
        <v>207</v>
      </c>
      <c r="F366" t="s">
        <v>105</v>
      </c>
      <c r="G366" t="s">
        <v>188</v>
      </c>
      <c r="H366" t="s">
        <v>189</v>
      </c>
      <c r="I366" t="s">
        <v>108</v>
      </c>
      <c r="J366" t="s">
        <v>109</v>
      </c>
      <c r="K366" t="s">
        <v>110</v>
      </c>
      <c r="L366" t="s">
        <v>206</v>
      </c>
      <c r="M366">
        <v>28</v>
      </c>
      <c r="N366">
        <v>60</v>
      </c>
      <c r="O366">
        <v>1</v>
      </c>
      <c r="P366">
        <v>2</v>
      </c>
      <c r="Q366">
        <v>22</v>
      </c>
      <c r="R366">
        <v>0.58889999999999998</v>
      </c>
      <c r="S366">
        <v>0.94610000000000005</v>
      </c>
      <c r="U366">
        <v>0.35720000000000007</v>
      </c>
      <c r="V366">
        <v>131.27208767769667</v>
      </c>
      <c r="W366">
        <v>26.874020233539429</v>
      </c>
      <c r="X366">
        <v>315.44196074903795</v>
      </c>
      <c r="Y366">
        <v>-41.758039250962099</v>
      </c>
      <c r="Z366">
        <v>-13.237946895779132</v>
      </c>
    </row>
    <row r="367" spans="1:26" x14ac:dyDescent="0.35">
      <c r="A367">
        <v>365</v>
      </c>
      <c r="B367" t="s">
        <v>689</v>
      </c>
      <c r="C367">
        <v>46048</v>
      </c>
      <c r="D367" t="s">
        <v>16</v>
      </c>
      <c r="E367" t="s">
        <v>207</v>
      </c>
      <c r="F367" t="s">
        <v>105</v>
      </c>
      <c r="G367" t="s">
        <v>188</v>
      </c>
      <c r="H367" t="s">
        <v>189</v>
      </c>
      <c r="I367" t="s">
        <v>108</v>
      </c>
      <c r="J367" t="s">
        <v>109</v>
      </c>
      <c r="K367" t="s">
        <v>110</v>
      </c>
      <c r="L367" t="s">
        <v>206</v>
      </c>
      <c r="M367">
        <v>28</v>
      </c>
      <c r="N367">
        <v>60</v>
      </c>
      <c r="O367">
        <v>1</v>
      </c>
      <c r="P367">
        <v>3</v>
      </c>
      <c r="Q367">
        <v>23</v>
      </c>
      <c r="R367">
        <v>0.57399999999999995</v>
      </c>
      <c r="S367">
        <v>0.92749999999999999</v>
      </c>
      <c r="U367">
        <v>0.35350000000000004</v>
      </c>
      <c r="V367">
        <v>135.36270909927026</v>
      </c>
      <c r="W367">
        <v>27.689309611828666</v>
      </c>
      <c r="X367">
        <v>315.69421341657022</v>
      </c>
      <c r="Y367">
        <v>-37.805786583429835</v>
      </c>
      <c r="Z367">
        <v>-11.975444901026329</v>
      </c>
    </row>
    <row r="368" spans="1:26" x14ac:dyDescent="0.35">
      <c r="A368">
        <v>366</v>
      </c>
      <c r="B368" t="s">
        <v>689</v>
      </c>
      <c r="C368">
        <v>46048</v>
      </c>
      <c r="D368" t="s">
        <v>16</v>
      </c>
      <c r="E368" t="s">
        <v>209</v>
      </c>
      <c r="F368" t="s">
        <v>105</v>
      </c>
      <c r="G368" t="s">
        <v>188</v>
      </c>
      <c r="H368" t="s">
        <v>189</v>
      </c>
      <c r="I368" t="s">
        <v>108</v>
      </c>
      <c r="J368" t="s">
        <v>109</v>
      </c>
      <c r="K368" t="s">
        <v>110</v>
      </c>
      <c r="L368" t="s">
        <v>208</v>
      </c>
      <c r="M368">
        <v>28</v>
      </c>
      <c r="N368">
        <v>60</v>
      </c>
      <c r="O368">
        <v>1</v>
      </c>
      <c r="P368">
        <v>1</v>
      </c>
      <c r="Q368">
        <v>24</v>
      </c>
      <c r="R368">
        <v>0.57120000000000004</v>
      </c>
      <c r="S368">
        <v>0.89800000000000002</v>
      </c>
      <c r="U368">
        <v>0.32679999999999998</v>
      </c>
      <c r="V368">
        <v>156.21884985174034</v>
      </c>
      <c r="W368">
        <v>32.342184968493626</v>
      </c>
      <c r="X368">
        <v>323.02518504458232</v>
      </c>
      <c r="Y368">
        <v>-3.7748149554176393</v>
      </c>
      <c r="Z368">
        <v>-1.1685822437952194</v>
      </c>
    </row>
    <row r="369" spans="1:26" x14ac:dyDescent="0.35">
      <c r="A369">
        <v>367</v>
      </c>
      <c r="B369" t="s">
        <v>689</v>
      </c>
      <c r="C369">
        <v>46048</v>
      </c>
      <c r="D369" t="s">
        <v>16</v>
      </c>
      <c r="E369" t="s">
        <v>209</v>
      </c>
      <c r="F369" t="s">
        <v>105</v>
      </c>
      <c r="G369" t="s">
        <v>188</v>
      </c>
      <c r="H369" t="s">
        <v>189</v>
      </c>
      <c r="I369" t="s">
        <v>108</v>
      </c>
      <c r="J369" t="s">
        <v>109</v>
      </c>
      <c r="K369" t="s">
        <v>110</v>
      </c>
      <c r="L369" t="s">
        <v>208</v>
      </c>
      <c r="M369">
        <v>28</v>
      </c>
      <c r="N369">
        <v>60</v>
      </c>
      <c r="O369">
        <v>1</v>
      </c>
      <c r="P369">
        <v>2</v>
      </c>
      <c r="Q369">
        <v>25</v>
      </c>
      <c r="R369">
        <v>0.57389999999999997</v>
      </c>
      <c r="S369">
        <v>0.95730000000000004</v>
      </c>
      <c r="U369">
        <v>0.38340000000000007</v>
      </c>
      <c r="V369">
        <v>99.425796754277599</v>
      </c>
      <c r="W369">
        <v>20.592478161409819</v>
      </c>
      <c r="X369">
        <v>322.89607825599546</v>
      </c>
      <c r="Y369">
        <v>-60.503921744004629</v>
      </c>
      <c r="Z369">
        <v>-18.737893030721938</v>
      </c>
    </row>
    <row r="370" spans="1:26" x14ac:dyDescent="0.35">
      <c r="A370">
        <v>368</v>
      </c>
      <c r="B370" t="s">
        <v>689</v>
      </c>
      <c r="C370">
        <v>46048</v>
      </c>
      <c r="D370" t="s">
        <v>16</v>
      </c>
      <c r="E370" t="s">
        <v>209</v>
      </c>
      <c r="F370" t="s">
        <v>105</v>
      </c>
      <c r="G370" t="s">
        <v>188</v>
      </c>
      <c r="H370" t="s">
        <v>189</v>
      </c>
      <c r="I370" t="s">
        <v>108</v>
      </c>
      <c r="J370" t="s">
        <v>109</v>
      </c>
      <c r="K370" t="s">
        <v>110</v>
      </c>
      <c r="L370" t="s">
        <v>208</v>
      </c>
      <c r="M370">
        <v>28</v>
      </c>
      <c r="N370">
        <v>60</v>
      </c>
      <c r="O370">
        <v>1</v>
      </c>
      <c r="P370">
        <v>3</v>
      </c>
      <c r="Q370">
        <v>26</v>
      </c>
      <c r="R370">
        <v>0.56799999999999995</v>
      </c>
      <c r="S370">
        <v>0.89249999999999996</v>
      </c>
      <c r="U370">
        <v>0.32450000000000001</v>
      </c>
      <c r="V370">
        <v>158.32579675427769</v>
      </c>
      <c r="W370">
        <v>32.791494948819746</v>
      </c>
      <c r="X370">
        <v>322.89607825599546</v>
      </c>
      <c r="Y370">
        <v>-1.6039217440045377</v>
      </c>
      <c r="Z370">
        <v>-0.49673001687339524</v>
      </c>
    </row>
    <row r="371" spans="1:26" x14ac:dyDescent="0.35">
      <c r="A371">
        <v>369</v>
      </c>
      <c r="B371" t="s">
        <v>689</v>
      </c>
      <c r="C371">
        <v>46048</v>
      </c>
      <c r="D371" t="s">
        <v>16</v>
      </c>
      <c r="E371" t="s">
        <v>211</v>
      </c>
      <c r="F371" t="s">
        <v>212</v>
      </c>
      <c r="G371" t="s">
        <v>213</v>
      </c>
      <c r="H371" t="s">
        <v>214</v>
      </c>
      <c r="I371" t="s">
        <v>22</v>
      </c>
      <c r="J371" t="s">
        <v>23</v>
      </c>
      <c r="K371" t="s">
        <v>215</v>
      </c>
      <c r="L371" t="s">
        <v>210</v>
      </c>
      <c r="M371">
        <v>28</v>
      </c>
      <c r="N371">
        <v>60</v>
      </c>
      <c r="O371">
        <v>1</v>
      </c>
      <c r="P371">
        <v>1</v>
      </c>
      <c r="Q371">
        <v>27</v>
      </c>
      <c r="R371">
        <v>0.60809999999999997</v>
      </c>
      <c r="S371">
        <v>0.92610000000000003</v>
      </c>
      <c r="U371">
        <v>0.31800000000000006</v>
      </c>
      <c r="V371">
        <v>140.475002083417</v>
      </c>
      <c r="W371">
        <v>30.63962079613194</v>
      </c>
      <c r="X371">
        <v>255.16538810954171</v>
      </c>
      <c r="Y371">
        <v>-62.834611890458348</v>
      </c>
      <c r="Z371">
        <v>-24.625052933701042</v>
      </c>
    </row>
    <row r="372" spans="1:26" x14ac:dyDescent="0.35">
      <c r="A372">
        <v>370</v>
      </c>
      <c r="B372" t="s">
        <v>689</v>
      </c>
      <c r="C372">
        <v>46048</v>
      </c>
      <c r="D372" t="s">
        <v>16</v>
      </c>
      <c r="E372" t="s">
        <v>211</v>
      </c>
      <c r="F372" t="s">
        <v>212</v>
      </c>
      <c r="G372" t="s">
        <v>213</v>
      </c>
      <c r="H372" t="s">
        <v>214</v>
      </c>
      <c r="I372" t="s">
        <v>22</v>
      </c>
      <c r="J372" t="s">
        <v>23</v>
      </c>
      <c r="K372" t="s">
        <v>215</v>
      </c>
      <c r="L372" t="s">
        <v>210</v>
      </c>
      <c r="M372">
        <v>28</v>
      </c>
      <c r="N372">
        <v>60</v>
      </c>
      <c r="O372">
        <v>1</v>
      </c>
      <c r="P372">
        <v>2</v>
      </c>
      <c r="Q372">
        <v>28</v>
      </c>
      <c r="R372">
        <v>0.59819999999999995</v>
      </c>
      <c r="S372">
        <v>0.98829999999999996</v>
      </c>
      <c r="U372">
        <v>0.3901</v>
      </c>
      <c r="V372">
        <v>68.283325418333334</v>
      </c>
      <c r="W372">
        <v>14.896555269765994</v>
      </c>
      <c r="X372">
        <v>255.11436523649436</v>
      </c>
      <c r="Y372">
        <v>-134.98563476350566</v>
      </c>
      <c r="Z372">
        <v>-52.911812566247377</v>
      </c>
    </row>
    <row r="373" spans="1:26" x14ac:dyDescent="0.35">
      <c r="A373">
        <v>371</v>
      </c>
      <c r="B373" t="s">
        <v>689</v>
      </c>
      <c r="C373">
        <v>46048</v>
      </c>
      <c r="D373" t="s">
        <v>16</v>
      </c>
      <c r="E373" t="s">
        <v>211</v>
      </c>
      <c r="F373" t="s">
        <v>212</v>
      </c>
      <c r="G373" t="s">
        <v>213</v>
      </c>
      <c r="H373" t="s">
        <v>214</v>
      </c>
      <c r="I373" t="s">
        <v>22</v>
      </c>
      <c r="J373" t="s">
        <v>23</v>
      </c>
      <c r="K373" t="s">
        <v>215</v>
      </c>
      <c r="L373" t="s">
        <v>210</v>
      </c>
      <c r="M373">
        <v>28</v>
      </c>
      <c r="N373">
        <v>60</v>
      </c>
      <c r="O373">
        <v>1</v>
      </c>
      <c r="P373">
        <v>3</v>
      </c>
      <c r="Q373">
        <v>29</v>
      </c>
      <c r="R373">
        <v>0.59340000000000004</v>
      </c>
      <c r="S373">
        <v>0.88139999999999996</v>
      </c>
      <c r="U373">
        <v>0.28799999999999992</v>
      </c>
      <c r="V373">
        <v>170.75003207866808</v>
      </c>
      <c r="W373">
        <v>37.220712836786738</v>
      </c>
      <c r="X373">
        <v>255.3184567286836</v>
      </c>
      <c r="Y373">
        <v>-32.681543271316343</v>
      </c>
      <c r="Z373">
        <v>-12.80030581809668</v>
      </c>
    </row>
    <row r="374" spans="1:26" x14ac:dyDescent="0.35">
      <c r="A374">
        <v>372</v>
      </c>
      <c r="B374" t="s">
        <v>689</v>
      </c>
      <c r="C374">
        <v>46048</v>
      </c>
      <c r="D374" t="s">
        <v>120</v>
      </c>
      <c r="E374" t="s">
        <v>122</v>
      </c>
      <c r="F374" t="s">
        <v>123</v>
      </c>
      <c r="G374" t="s">
        <v>545</v>
      </c>
      <c r="H374" t="s">
        <v>125</v>
      </c>
      <c r="I374" t="s">
        <v>108</v>
      </c>
      <c r="J374" t="s">
        <v>109</v>
      </c>
      <c r="K374" t="s">
        <v>110</v>
      </c>
      <c r="L374" t="s">
        <v>121</v>
      </c>
      <c r="M374">
        <v>28</v>
      </c>
      <c r="N374">
        <v>60</v>
      </c>
      <c r="O374">
        <v>1</v>
      </c>
      <c r="P374">
        <v>1</v>
      </c>
      <c r="Q374">
        <v>30</v>
      </c>
      <c r="R374">
        <v>0.58230000000000004</v>
      </c>
      <c r="S374">
        <v>0.89090000000000003</v>
      </c>
      <c r="U374">
        <v>0.30859999999999999</v>
      </c>
      <c r="V374">
        <v>159.61774999999994</v>
      </c>
      <c r="W374">
        <v>34.090495287716024</v>
      </c>
      <c r="X374">
        <v>356.31370774999988</v>
      </c>
      <c r="Y374">
        <v>47.713707749999912</v>
      </c>
      <c r="Z374">
        <v>13.390926790691211</v>
      </c>
    </row>
    <row r="375" spans="1:26" x14ac:dyDescent="0.35">
      <c r="A375">
        <v>373</v>
      </c>
      <c r="B375" t="s">
        <v>689</v>
      </c>
      <c r="C375">
        <v>46048</v>
      </c>
      <c r="D375" t="s">
        <v>120</v>
      </c>
      <c r="E375" t="s">
        <v>122</v>
      </c>
      <c r="F375" t="s">
        <v>123</v>
      </c>
      <c r="G375" t="s">
        <v>545</v>
      </c>
      <c r="H375" t="s">
        <v>125</v>
      </c>
      <c r="I375" t="s">
        <v>108</v>
      </c>
      <c r="J375" t="s">
        <v>109</v>
      </c>
      <c r="K375" t="s">
        <v>110</v>
      </c>
      <c r="L375" t="s">
        <v>121</v>
      </c>
      <c r="M375">
        <v>28</v>
      </c>
      <c r="N375">
        <v>60</v>
      </c>
      <c r="O375">
        <v>1</v>
      </c>
      <c r="P375">
        <v>2</v>
      </c>
      <c r="Q375">
        <v>31</v>
      </c>
      <c r="R375">
        <v>0.62819999999999998</v>
      </c>
      <c r="S375">
        <v>1.0097</v>
      </c>
      <c r="U375">
        <v>0.38150000000000006</v>
      </c>
      <c r="V375">
        <v>86.62419999999986</v>
      </c>
      <c r="W375">
        <v>18.504533625905236</v>
      </c>
      <c r="X375">
        <v>356.2425161999999</v>
      </c>
      <c r="Y375">
        <v>-25.257483800000159</v>
      </c>
      <c r="Z375">
        <v>-7.0899689541324227</v>
      </c>
    </row>
    <row r="376" spans="1:26" x14ac:dyDescent="0.35">
      <c r="A376">
        <v>374</v>
      </c>
      <c r="B376" t="s">
        <v>689</v>
      </c>
      <c r="C376">
        <v>46048</v>
      </c>
      <c r="D376" t="s">
        <v>120</v>
      </c>
      <c r="E376" t="s">
        <v>122</v>
      </c>
      <c r="F376" t="s">
        <v>123</v>
      </c>
      <c r="G376" t="s">
        <v>545</v>
      </c>
      <c r="H376" t="s">
        <v>125</v>
      </c>
      <c r="I376" t="s">
        <v>108</v>
      </c>
      <c r="J376" t="s">
        <v>109</v>
      </c>
      <c r="K376" t="s">
        <v>110</v>
      </c>
      <c r="L376" t="s">
        <v>121</v>
      </c>
      <c r="M376">
        <v>28</v>
      </c>
      <c r="N376">
        <v>60</v>
      </c>
      <c r="O376">
        <v>1</v>
      </c>
      <c r="P376">
        <v>3</v>
      </c>
      <c r="Q376">
        <v>32</v>
      </c>
      <c r="R376">
        <v>0.57909999999999995</v>
      </c>
      <c r="S376">
        <v>0.90700000000000003</v>
      </c>
      <c r="U376">
        <v>0.32790000000000008</v>
      </c>
      <c r="V376">
        <v>139.9435499999999</v>
      </c>
      <c r="W376">
        <v>29.912467533217011</v>
      </c>
      <c r="X376">
        <v>356.02894154999996</v>
      </c>
      <c r="Y376">
        <v>28.128941549999865</v>
      </c>
      <c r="Z376">
        <v>7.9007457729527015</v>
      </c>
    </row>
    <row r="377" spans="1:26" x14ac:dyDescent="0.35">
      <c r="A377">
        <v>375</v>
      </c>
      <c r="B377" t="s">
        <v>689</v>
      </c>
      <c r="C377">
        <v>46048</v>
      </c>
      <c r="D377">
        <v>0</v>
      </c>
      <c r="E377" t="s">
        <v>564</v>
      </c>
      <c r="F377" t="s">
        <v>538</v>
      </c>
      <c r="G377">
        <v>0</v>
      </c>
      <c r="H377" t="s">
        <v>564</v>
      </c>
      <c r="I377">
        <v>0</v>
      </c>
      <c r="J377">
        <v>0</v>
      </c>
      <c r="K377">
        <v>0</v>
      </c>
      <c r="L377" t="s">
        <v>543</v>
      </c>
      <c r="M377">
        <v>28</v>
      </c>
      <c r="N377">
        <v>60</v>
      </c>
      <c r="O377">
        <v>1</v>
      </c>
      <c r="P377">
        <v>1</v>
      </c>
      <c r="Q377">
        <v>33</v>
      </c>
    </row>
    <row r="378" spans="1:26" x14ac:dyDescent="0.35">
      <c r="A378">
        <v>376</v>
      </c>
      <c r="B378" t="s">
        <v>689</v>
      </c>
      <c r="C378">
        <v>46048</v>
      </c>
      <c r="D378">
        <v>0</v>
      </c>
      <c r="E378" t="s">
        <v>564</v>
      </c>
      <c r="F378" t="s">
        <v>538</v>
      </c>
      <c r="G378">
        <v>0</v>
      </c>
      <c r="H378" t="s">
        <v>564</v>
      </c>
      <c r="I378">
        <v>0</v>
      </c>
      <c r="J378">
        <v>0</v>
      </c>
      <c r="K378">
        <v>0</v>
      </c>
      <c r="L378" t="s">
        <v>543</v>
      </c>
      <c r="M378">
        <v>28</v>
      </c>
      <c r="N378">
        <v>60</v>
      </c>
      <c r="O378">
        <v>1</v>
      </c>
      <c r="P378">
        <v>2</v>
      </c>
      <c r="Q378">
        <v>34</v>
      </c>
    </row>
    <row r="379" spans="1:26" x14ac:dyDescent="0.35">
      <c r="A379">
        <v>377</v>
      </c>
      <c r="B379" t="s">
        <v>689</v>
      </c>
      <c r="C379">
        <v>46048</v>
      </c>
      <c r="D379" t="s">
        <v>16</v>
      </c>
      <c r="E379" t="s">
        <v>218</v>
      </c>
      <c r="F379" t="s">
        <v>219</v>
      </c>
      <c r="G379" t="s">
        <v>220</v>
      </c>
      <c r="H379" t="s">
        <v>221</v>
      </c>
      <c r="I379" t="s">
        <v>22</v>
      </c>
      <c r="J379" t="s">
        <v>23</v>
      </c>
      <c r="K379" t="s">
        <v>215</v>
      </c>
      <c r="L379" t="s">
        <v>217</v>
      </c>
      <c r="M379">
        <v>28</v>
      </c>
      <c r="N379">
        <v>60</v>
      </c>
      <c r="O379">
        <v>1</v>
      </c>
      <c r="P379">
        <v>1</v>
      </c>
      <c r="Q379">
        <v>35</v>
      </c>
      <c r="R379">
        <v>0.58509999999999995</v>
      </c>
      <c r="S379">
        <v>0.80600000000000005</v>
      </c>
      <c r="U379">
        <v>0.2209000000000001</v>
      </c>
      <c r="V379">
        <v>238.78312674930027</v>
      </c>
      <c r="W379">
        <v>51.945158056568516</v>
      </c>
      <c r="X379">
        <v>193.97817016164805</v>
      </c>
      <c r="Y379">
        <v>-26.921829838352039</v>
      </c>
      <c r="Z379">
        <v>-13.87879358585414</v>
      </c>
    </row>
    <row r="380" spans="1:26" x14ac:dyDescent="0.35">
      <c r="A380">
        <v>378</v>
      </c>
      <c r="B380" t="s">
        <v>689</v>
      </c>
      <c r="C380">
        <v>46048</v>
      </c>
      <c r="D380" t="s">
        <v>16</v>
      </c>
      <c r="E380" t="s">
        <v>218</v>
      </c>
      <c r="F380" t="s">
        <v>219</v>
      </c>
      <c r="G380" t="s">
        <v>220</v>
      </c>
      <c r="H380" t="s">
        <v>221</v>
      </c>
      <c r="I380" t="s">
        <v>22</v>
      </c>
      <c r="J380" t="s">
        <v>23</v>
      </c>
      <c r="K380" t="s">
        <v>215</v>
      </c>
      <c r="L380" t="s">
        <v>217</v>
      </c>
      <c r="M380">
        <v>28</v>
      </c>
      <c r="N380">
        <v>60</v>
      </c>
      <c r="O380">
        <v>1</v>
      </c>
      <c r="P380">
        <v>2</v>
      </c>
      <c r="Q380">
        <v>36</v>
      </c>
      <c r="R380">
        <v>0.5837</v>
      </c>
      <c r="S380">
        <v>0.85289999999999999</v>
      </c>
      <c r="U380">
        <v>0.26919999999999999</v>
      </c>
      <c r="V380">
        <v>190.5750633746502</v>
      </c>
      <c r="W380">
        <v>41.449630168254487</v>
      </c>
      <c r="X380">
        <v>194.01696579568033</v>
      </c>
      <c r="Y380">
        <v>-75.183034204319654</v>
      </c>
      <c r="Z380">
        <v>-38.750752490117314</v>
      </c>
    </row>
    <row r="381" spans="1:26" x14ac:dyDescent="0.35">
      <c r="A381">
        <v>379</v>
      </c>
      <c r="B381" t="s">
        <v>690</v>
      </c>
      <c r="C381">
        <v>46048</v>
      </c>
      <c r="D381" t="s">
        <v>16</v>
      </c>
      <c r="E381" t="s">
        <v>218</v>
      </c>
      <c r="F381" t="s">
        <v>219</v>
      </c>
      <c r="G381" t="s">
        <v>220</v>
      </c>
      <c r="H381" t="s">
        <v>221</v>
      </c>
      <c r="I381" t="s">
        <v>22</v>
      </c>
      <c r="J381" t="s">
        <v>23</v>
      </c>
      <c r="K381" t="s">
        <v>215</v>
      </c>
      <c r="L381" t="s">
        <v>217</v>
      </c>
      <c r="M381">
        <v>28</v>
      </c>
      <c r="N381">
        <v>60</v>
      </c>
      <c r="O381">
        <v>1</v>
      </c>
      <c r="P381">
        <v>3</v>
      </c>
      <c r="Q381">
        <v>37</v>
      </c>
      <c r="R381">
        <v>0.57379999999999998</v>
      </c>
      <c r="S381">
        <v>0.83709999999999996</v>
      </c>
      <c r="U381">
        <v>0.26329999999999998</v>
      </c>
      <c r="V381">
        <v>196.84280987604961</v>
      </c>
      <c r="W381">
        <v>42.778634295964309</v>
      </c>
      <c r="X381">
        <v>194.17214833180967</v>
      </c>
      <c r="Y381">
        <v>-69.127851668190289</v>
      </c>
      <c r="Z381">
        <v>-35.601321951725879</v>
      </c>
    </row>
    <row r="382" spans="1:26" x14ac:dyDescent="0.35">
      <c r="A382">
        <v>380</v>
      </c>
      <c r="B382" t="s">
        <v>690</v>
      </c>
      <c r="C382">
        <v>46048</v>
      </c>
      <c r="D382" t="s">
        <v>16</v>
      </c>
      <c r="E382" t="s">
        <v>223</v>
      </c>
      <c r="F382" t="s">
        <v>219</v>
      </c>
      <c r="G382" t="s">
        <v>220</v>
      </c>
      <c r="H382" t="s">
        <v>221</v>
      </c>
      <c r="I382" t="s">
        <v>22</v>
      </c>
      <c r="J382" t="s">
        <v>23</v>
      </c>
      <c r="K382" t="s">
        <v>215</v>
      </c>
      <c r="L382" t="s">
        <v>222</v>
      </c>
      <c r="M382">
        <v>28</v>
      </c>
      <c r="N382">
        <v>60</v>
      </c>
      <c r="O382">
        <v>1</v>
      </c>
      <c r="P382">
        <v>1</v>
      </c>
      <c r="Q382">
        <v>38</v>
      </c>
      <c r="R382">
        <v>0.57609999999999995</v>
      </c>
      <c r="S382">
        <v>0.8095</v>
      </c>
      <c r="U382">
        <v>0.23340000000000005</v>
      </c>
      <c r="V382">
        <v>224.01856528752799</v>
      </c>
      <c r="W382">
        <v>48.974524054727098</v>
      </c>
      <c r="X382">
        <v>207.94107177784099</v>
      </c>
      <c r="Y382">
        <v>-25.458928222159074</v>
      </c>
      <c r="Z382">
        <v>-12.243337982483208</v>
      </c>
    </row>
    <row r="383" spans="1:26" x14ac:dyDescent="0.35">
      <c r="A383">
        <v>381</v>
      </c>
      <c r="B383" t="s">
        <v>690</v>
      </c>
      <c r="C383">
        <v>46048</v>
      </c>
      <c r="D383" t="s">
        <v>16</v>
      </c>
      <c r="E383" t="s">
        <v>223</v>
      </c>
      <c r="F383" t="s">
        <v>219</v>
      </c>
      <c r="G383" t="s">
        <v>220</v>
      </c>
      <c r="H383" t="s">
        <v>221</v>
      </c>
      <c r="I383" t="s">
        <v>22</v>
      </c>
      <c r="J383" t="s">
        <v>23</v>
      </c>
      <c r="K383" t="s">
        <v>215</v>
      </c>
      <c r="L383" t="s">
        <v>222</v>
      </c>
      <c r="M383">
        <v>28</v>
      </c>
      <c r="N383">
        <v>60</v>
      </c>
      <c r="O383">
        <v>1</v>
      </c>
      <c r="P383">
        <v>2</v>
      </c>
      <c r="Q383">
        <v>39</v>
      </c>
      <c r="R383">
        <v>0.55900000000000005</v>
      </c>
      <c r="S383">
        <v>0.76670000000000005</v>
      </c>
      <c r="U383">
        <v>0.2077</v>
      </c>
      <c r="V383">
        <v>249.71856528752807</v>
      </c>
      <c r="W383">
        <v>54.593010480577639</v>
      </c>
      <c r="X383">
        <v>207.94107177784099</v>
      </c>
      <c r="Y383">
        <v>0.24107177784100031</v>
      </c>
      <c r="Z383">
        <v>0.11593273795306554</v>
      </c>
    </row>
    <row r="384" spans="1:26" x14ac:dyDescent="0.35">
      <c r="A384">
        <v>382</v>
      </c>
      <c r="B384" t="s">
        <v>690</v>
      </c>
      <c r="C384">
        <v>46048</v>
      </c>
      <c r="D384" t="s">
        <v>16</v>
      </c>
      <c r="E384" t="s">
        <v>223</v>
      </c>
      <c r="F384" t="s">
        <v>219</v>
      </c>
      <c r="G384" t="s">
        <v>220</v>
      </c>
      <c r="H384" t="s">
        <v>221</v>
      </c>
      <c r="I384" t="s">
        <v>22</v>
      </c>
      <c r="J384" t="s">
        <v>23</v>
      </c>
      <c r="K384" t="s">
        <v>215</v>
      </c>
      <c r="L384" t="s">
        <v>222</v>
      </c>
      <c r="M384">
        <v>28</v>
      </c>
      <c r="N384">
        <v>60</v>
      </c>
      <c r="O384">
        <v>1</v>
      </c>
      <c r="P384">
        <v>3</v>
      </c>
      <c r="Q384">
        <v>40</v>
      </c>
      <c r="R384">
        <v>0.5706</v>
      </c>
      <c r="S384">
        <v>0.76280000000000003</v>
      </c>
      <c r="U384">
        <v>0.19220000000000004</v>
      </c>
      <c r="V384">
        <v>265.30999414327204</v>
      </c>
      <c r="W384">
        <v>57.989988752068342</v>
      </c>
      <c r="X384">
        <v>207.98263505423071</v>
      </c>
      <c r="Y384">
        <v>15.782635054230667</v>
      </c>
      <c r="Z384">
        <v>7.5884388377497975</v>
      </c>
    </row>
    <row r="385" spans="1:26" x14ac:dyDescent="0.35">
      <c r="A385">
        <v>383</v>
      </c>
      <c r="B385" t="s">
        <v>690</v>
      </c>
      <c r="C385">
        <v>46048</v>
      </c>
      <c r="D385" t="s">
        <v>16</v>
      </c>
      <c r="E385" t="s">
        <v>225</v>
      </c>
      <c r="F385" t="s">
        <v>226</v>
      </c>
      <c r="G385" t="s">
        <v>227</v>
      </c>
      <c r="H385" t="s">
        <v>228</v>
      </c>
      <c r="I385" t="s">
        <v>22</v>
      </c>
      <c r="J385" t="s">
        <v>23</v>
      </c>
      <c r="K385" t="s">
        <v>215</v>
      </c>
      <c r="L385" t="s">
        <v>224</v>
      </c>
      <c r="M385">
        <v>28</v>
      </c>
      <c r="N385">
        <v>60</v>
      </c>
      <c r="O385">
        <v>1</v>
      </c>
      <c r="P385">
        <v>1</v>
      </c>
      <c r="Q385">
        <v>41</v>
      </c>
      <c r="R385">
        <v>0.56269999999999998</v>
      </c>
      <c r="S385">
        <v>0.81699999999999995</v>
      </c>
      <c r="U385">
        <v>0.25429999999999997</v>
      </c>
      <c r="V385">
        <v>201.29780726613328</v>
      </c>
      <c r="W385">
        <v>44.183225655549968</v>
      </c>
      <c r="X385">
        <v>207.78911332684905</v>
      </c>
      <c r="Y385">
        <v>-46.510886673150935</v>
      </c>
      <c r="Z385">
        <v>-22.383697552041639</v>
      </c>
    </row>
    <row r="386" spans="1:26" x14ac:dyDescent="0.35">
      <c r="A386">
        <v>384</v>
      </c>
      <c r="B386" t="s">
        <v>690</v>
      </c>
      <c r="C386">
        <v>46048</v>
      </c>
      <c r="D386" t="s">
        <v>16</v>
      </c>
      <c r="E386" t="s">
        <v>225</v>
      </c>
      <c r="F386" t="s">
        <v>226</v>
      </c>
      <c r="G386" t="s">
        <v>227</v>
      </c>
      <c r="H386" t="s">
        <v>228</v>
      </c>
      <c r="I386" t="s">
        <v>22</v>
      </c>
      <c r="J386" t="s">
        <v>23</v>
      </c>
      <c r="K386" t="s">
        <v>215</v>
      </c>
      <c r="L386" t="s">
        <v>224</v>
      </c>
      <c r="M386">
        <v>28</v>
      </c>
      <c r="N386">
        <v>60</v>
      </c>
      <c r="O386">
        <v>1</v>
      </c>
      <c r="P386">
        <v>2</v>
      </c>
      <c r="Q386">
        <v>42</v>
      </c>
      <c r="R386">
        <v>0.56340000000000001</v>
      </c>
      <c r="S386">
        <v>0.89439999999999997</v>
      </c>
      <c r="U386">
        <v>0.33099999999999996</v>
      </c>
      <c r="V386">
        <v>124.77997352253726</v>
      </c>
      <c r="W386">
        <v>27.377239188059061</v>
      </c>
      <c r="X386">
        <v>207.87219573921485</v>
      </c>
      <c r="Y386">
        <v>-123.1278042607851</v>
      </c>
      <c r="Z386">
        <v>-59.232454741207697</v>
      </c>
    </row>
    <row r="387" spans="1:26" x14ac:dyDescent="0.35">
      <c r="A387">
        <v>385</v>
      </c>
      <c r="B387" t="s">
        <v>690</v>
      </c>
      <c r="C387">
        <v>46048</v>
      </c>
      <c r="D387" t="s">
        <v>16</v>
      </c>
      <c r="E387" t="s">
        <v>225</v>
      </c>
      <c r="F387" t="s">
        <v>226</v>
      </c>
      <c r="G387" t="s">
        <v>227</v>
      </c>
      <c r="H387" t="s">
        <v>228</v>
      </c>
      <c r="I387" t="s">
        <v>22</v>
      </c>
      <c r="J387" t="s">
        <v>23</v>
      </c>
      <c r="K387" t="s">
        <v>215</v>
      </c>
      <c r="L387" t="s">
        <v>224</v>
      </c>
      <c r="M387">
        <v>28</v>
      </c>
      <c r="N387">
        <v>60</v>
      </c>
      <c r="O387">
        <v>1</v>
      </c>
      <c r="P387">
        <v>3</v>
      </c>
      <c r="Q387">
        <v>43</v>
      </c>
      <c r="R387">
        <v>0.58189999999999997</v>
      </c>
      <c r="S387">
        <v>0.82120000000000004</v>
      </c>
      <c r="U387">
        <v>0.23930000000000007</v>
      </c>
      <c r="V387">
        <v>216.47997352253714</v>
      </c>
      <c r="W387">
        <v>47.496596186412461</v>
      </c>
      <c r="X387">
        <v>207.87219573921485</v>
      </c>
      <c r="Y387">
        <v>-31.427804260785223</v>
      </c>
      <c r="Z387">
        <v>-15.118810935259875</v>
      </c>
    </row>
    <row r="388" spans="1:26" x14ac:dyDescent="0.35">
      <c r="A388">
        <v>386</v>
      </c>
      <c r="B388" t="s">
        <v>690</v>
      </c>
      <c r="C388">
        <v>46048</v>
      </c>
      <c r="D388" t="s">
        <v>16</v>
      </c>
      <c r="E388" t="s">
        <v>230</v>
      </c>
      <c r="F388" t="s">
        <v>226</v>
      </c>
      <c r="G388" t="s">
        <v>231</v>
      </c>
      <c r="H388" t="s">
        <v>232</v>
      </c>
      <c r="I388" t="s">
        <v>22</v>
      </c>
      <c r="J388" t="s">
        <v>23</v>
      </c>
      <c r="K388" t="s">
        <v>215</v>
      </c>
      <c r="L388" t="s">
        <v>229</v>
      </c>
      <c r="M388">
        <v>28</v>
      </c>
      <c r="N388">
        <v>60</v>
      </c>
      <c r="O388">
        <v>1</v>
      </c>
      <c r="P388">
        <v>1</v>
      </c>
      <c r="Q388">
        <v>44</v>
      </c>
      <c r="R388">
        <v>0.57330000000000003</v>
      </c>
      <c r="S388">
        <v>0.80800000000000005</v>
      </c>
      <c r="U388">
        <v>0.23470000000000002</v>
      </c>
      <c r="V388">
        <v>230.28905795494941</v>
      </c>
      <c r="W388">
        <v>49.525693995418926</v>
      </c>
      <c r="X388">
        <v>239.1810228248799</v>
      </c>
      <c r="Y388">
        <v>4.4810228248798865</v>
      </c>
      <c r="Z388">
        <v>1.8734859362821341</v>
      </c>
    </row>
    <row r="389" spans="1:26" x14ac:dyDescent="0.35">
      <c r="A389">
        <v>387</v>
      </c>
      <c r="B389" t="s">
        <v>690</v>
      </c>
      <c r="C389">
        <v>46048</v>
      </c>
      <c r="D389" t="s">
        <v>16</v>
      </c>
      <c r="E389" t="s">
        <v>230</v>
      </c>
      <c r="F389" t="s">
        <v>226</v>
      </c>
      <c r="G389" t="s">
        <v>231</v>
      </c>
      <c r="H389" t="s">
        <v>232</v>
      </c>
      <c r="I389" t="s">
        <v>22</v>
      </c>
      <c r="J389" t="s">
        <v>23</v>
      </c>
      <c r="K389" t="s">
        <v>215</v>
      </c>
      <c r="L389" t="s">
        <v>229</v>
      </c>
      <c r="M389">
        <v>28</v>
      </c>
      <c r="N389">
        <v>60</v>
      </c>
      <c r="O389">
        <v>1</v>
      </c>
      <c r="P389">
        <v>2</v>
      </c>
      <c r="Q389">
        <v>45</v>
      </c>
      <c r="R389">
        <v>0.56530000000000002</v>
      </c>
      <c r="S389">
        <v>0.83860000000000001</v>
      </c>
      <c r="U389">
        <v>0.27329999999999999</v>
      </c>
      <c r="V389">
        <v>192.06104920131338</v>
      </c>
      <c r="W389">
        <v>41.271406262071693</v>
      </c>
      <c r="X389">
        <v>239.3723676431398</v>
      </c>
      <c r="Y389">
        <v>-33.927632356860215</v>
      </c>
      <c r="Z389">
        <v>-14.173579302787395</v>
      </c>
    </row>
    <row r="390" spans="1:26" x14ac:dyDescent="0.35">
      <c r="A390">
        <v>388</v>
      </c>
      <c r="B390" t="s">
        <v>690</v>
      </c>
      <c r="C390">
        <v>46048</v>
      </c>
      <c r="D390" t="s">
        <v>16</v>
      </c>
      <c r="E390" t="s">
        <v>230</v>
      </c>
      <c r="F390" t="s">
        <v>226</v>
      </c>
      <c r="G390" t="s">
        <v>231</v>
      </c>
      <c r="H390" t="s">
        <v>232</v>
      </c>
      <c r="I390" t="s">
        <v>22</v>
      </c>
      <c r="J390" t="s">
        <v>23</v>
      </c>
      <c r="K390" t="s">
        <v>215</v>
      </c>
      <c r="L390" t="s">
        <v>229</v>
      </c>
      <c r="M390">
        <v>28</v>
      </c>
      <c r="N390">
        <v>60</v>
      </c>
      <c r="O390">
        <v>1</v>
      </c>
      <c r="P390">
        <v>3</v>
      </c>
      <c r="Q390">
        <v>46</v>
      </c>
      <c r="R390">
        <v>0.56869999999999998</v>
      </c>
      <c r="S390">
        <v>0.89329999999999998</v>
      </c>
      <c r="U390">
        <v>0.3246</v>
      </c>
      <c r="V390">
        <v>140.57505357813136</v>
      </c>
      <c r="W390">
        <v>30.219817786191793</v>
      </c>
      <c r="X390">
        <v>239.27669523400985</v>
      </c>
      <c r="Y390">
        <v>-85.323304765990173</v>
      </c>
      <c r="Z390">
        <v>-35.658844536675396</v>
      </c>
    </row>
    <row r="391" spans="1:26" x14ac:dyDescent="0.35">
      <c r="A391">
        <v>389</v>
      </c>
      <c r="B391" t="s">
        <v>690</v>
      </c>
      <c r="C391">
        <v>46048</v>
      </c>
      <c r="D391" t="s">
        <v>16</v>
      </c>
      <c r="E391" t="s">
        <v>234</v>
      </c>
      <c r="F391" t="s">
        <v>235</v>
      </c>
      <c r="G391" t="s">
        <v>236</v>
      </c>
      <c r="H391" t="s">
        <v>237</v>
      </c>
      <c r="I391" t="s">
        <v>22</v>
      </c>
      <c r="J391" t="s">
        <v>23</v>
      </c>
      <c r="K391" t="s">
        <v>215</v>
      </c>
      <c r="L391" t="s">
        <v>233</v>
      </c>
      <c r="M391">
        <v>28</v>
      </c>
      <c r="N391">
        <v>60</v>
      </c>
      <c r="O391">
        <v>1</v>
      </c>
      <c r="P391">
        <v>1</v>
      </c>
      <c r="Q391">
        <v>47</v>
      </c>
      <c r="R391">
        <v>0.57379999999999998</v>
      </c>
      <c r="S391">
        <v>0.81859999999999999</v>
      </c>
      <c r="U391">
        <v>0.24480000000000002</v>
      </c>
      <c r="V391">
        <v>199.43901772157852</v>
      </c>
      <c r="W391">
        <v>44.89452969360169</v>
      </c>
      <c r="X391">
        <v>226.9255042356686</v>
      </c>
      <c r="Y391">
        <v>-17.874495764331414</v>
      </c>
      <c r="Z391">
        <v>-7.8768121831595623</v>
      </c>
    </row>
    <row r="392" spans="1:26" x14ac:dyDescent="0.35">
      <c r="A392">
        <v>390</v>
      </c>
      <c r="B392" t="s">
        <v>690</v>
      </c>
      <c r="C392">
        <v>46048</v>
      </c>
      <c r="D392" t="s">
        <v>16</v>
      </c>
      <c r="E392" t="s">
        <v>234</v>
      </c>
      <c r="F392" t="s">
        <v>235</v>
      </c>
      <c r="G392" t="s">
        <v>236</v>
      </c>
      <c r="H392" t="s">
        <v>237</v>
      </c>
      <c r="I392" t="s">
        <v>22</v>
      </c>
      <c r="J392" t="s">
        <v>23</v>
      </c>
      <c r="K392" t="s">
        <v>215</v>
      </c>
      <c r="L392" t="s">
        <v>233</v>
      </c>
      <c r="M392">
        <v>28</v>
      </c>
      <c r="N392">
        <v>60</v>
      </c>
      <c r="O392">
        <v>1</v>
      </c>
      <c r="P392">
        <v>2</v>
      </c>
      <c r="Q392">
        <v>48</v>
      </c>
      <c r="R392">
        <v>0.57140000000000002</v>
      </c>
      <c r="S392">
        <v>0.78480000000000005</v>
      </c>
      <c r="U392">
        <v>0.21340000000000003</v>
      </c>
      <c r="V392">
        <v>230.9278655251228</v>
      </c>
      <c r="W392">
        <v>51.972402237749336</v>
      </c>
      <c r="X392">
        <v>226.97088933651571</v>
      </c>
      <c r="Y392">
        <v>13.570889336515677</v>
      </c>
      <c r="Z392">
        <v>5.9791321152180696</v>
      </c>
    </row>
    <row r="393" spans="1:26" x14ac:dyDescent="0.35">
      <c r="A393">
        <v>391</v>
      </c>
      <c r="B393" t="s">
        <v>690</v>
      </c>
      <c r="C393">
        <v>46048</v>
      </c>
      <c r="D393" t="s">
        <v>16</v>
      </c>
      <c r="E393" t="s">
        <v>234</v>
      </c>
      <c r="F393" t="s">
        <v>235</v>
      </c>
      <c r="G393" t="s">
        <v>236</v>
      </c>
      <c r="H393" t="s">
        <v>237</v>
      </c>
      <c r="I393" t="s">
        <v>22</v>
      </c>
      <c r="J393" t="s">
        <v>23</v>
      </c>
      <c r="K393" t="s">
        <v>215</v>
      </c>
      <c r="L393" t="s">
        <v>233</v>
      </c>
      <c r="M393">
        <v>28</v>
      </c>
      <c r="N393">
        <v>60</v>
      </c>
      <c r="O393">
        <v>1</v>
      </c>
      <c r="P393">
        <v>3</v>
      </c>
      <c r="Q393">
        <v>49</v>
      </c>
      <c r="R393">
        <v>0.57979999999999998</v>
      </c>
      <c r="S393">
        <v>0.81630000000000003</v>
      </c>
      <c r="U393">
        <v>0.23650000000000004</v>
      </c>
      <c r="V393">
        <v>207.91671332866713</v>
      </c>
      <c r="W393">
        <v>46.78417959832732</v>
      </c>
      <c r="X393">
        <v>227.01627443736288</v>
      </c>
      <c r="Y393">
        <v>-9.4837255626371757</v>
      </c>
      <c r="Z393">
        <v>-4.1775531671205695</v>
      </c>
    </row>
    <row r="394" spans="1:26" x14ac:dyDescent="0.35">
      <c r="A394">
        <v>392</v>
      </c>
      <c r="B394" t="s">
        <v>690</v>
      </c>
      <c r="C394">
        <v>46048</v>
      </c>
      <c r="D394" t="s">
        <v>16</v>
      </c>
      <c r="E394" t="s">
        <v>239</v>
      </c>
      <c r="F394" t="s">
        <v>240</v>
      </c>
      <c r="G394" t="s">
        <v>241</v>
      </c>
      <c r="H394" t="s">
        <v>242</v>
      </c>
      <c r="I394" t="s">
        <v>22</v>
      </c>
      <c r="J394" t="s">
        <v>23</v>
      </c>
      <c r="K394" t="s">
        <v>215</v>
      </c>
      <c r="L394" t="s">
        <v>238</v>
      </c>
      <c r="M394">
        <v>28</v>
      </c>
      <c r="N394">
        <v>60</v>
      </c>
      <c r="O394">
        <v>1</v>
      </c>
      <c r="P394">
        <v>1</v>
      </c>
      <c r="Q394">
        <v>50</v>
      </c>
      <c r="R394">
        <v>0.58260000000000001</v>
      </c>
      <c r="S394">
        <v>0.87390000000000001</v>
      </c>
      <c r="U394">
        <v>0.2913</v>
      </c>
      <c r="V394">
        <v>168.7480072950928</v>
      </c>
      <c r="W394">
        <v>36.68052129760693</v>
      </c>
      <c r="X394">
        <v>263.06180589189501</v>
      </c>
      <c r="Y394">
        <v>-28.238194108105006</v>
      </c>
      <c r="Z394">
        <v>-10.734433306410686</v>
      </c>
    </row>
    <row r="395" spans="1:26" x14ac:dyDescent="0.35">
      <c r="A395">
        <v>393</v>
      </c>
      <c r="B395" t="s">
        <v>690</v>
      </c>
      <c r="C395">
        <v>46048</v>
      </c>
      <c r="D395" t="s">
        <v>16</v>
      </c>
      <c r="E395" t="s">
        <v>239</v>
      </c>
      <c r="F395" t="s">
        <v>240</v>
      </c>
      <c r="G395" t="s">
        <v>241</v>
      </c>
      <c r="H395" t="s">
        <v>242</v>
      </c>
      <c r="I395" t="s">
        <v>22</v>
      </c>
      <c r="J395" t="s">
        <v>23</v>
      </c>
      <c r="K395" t="s">
        <v>215</v>
      </c>
      <c r="L395" t="s">
        <v>238</v>
      </c>
      <c r="M395">
        <v>28</v>
      </c>
      <c r="N395">
        <v>60</v>
      </c>
      <c r="O395">
        <v>1</v>
      </c>
      <c r="P395">
        <v>2</v>
      </c>
      <c r="Q395">
        <v>51</v>
      </c>
      <c r="R395">
        <v>0.5655</v>
      </c>
      <c r="S395">
        <v>0.87590000000000001</v>
      </c>
      <c r="U395">
        <v>0.31040000000000001</v>
      </c>
      <c r="V395">
        <v>149.83195291976091</v>
      </c>
      <c r="W395">
        <v>32.555747589712297</v>
      </c>
      <c r="X395">
        <v>263.16698854119198</v>
      </c>
      <c r="Y395">
        <v>-47.233011458808051</v>
      </c>
      <c r="Z395">
        <v>-17.947924137686798</v>
      </c>
    </row>
    <row r="396" spans="1:26" x14ac:dyDescent="0.35">
      <c r="A396">
        <v>394</v>
      </c>
      <c r="B396" t="s">
        <v>690</v>
      </c>
      <c r="C396">
        <v>46048</v>
      </c>
      <c r="D396" t="s">
        <v>16</v>
      </c>
      <c r="E396" t="s">
        <v>239</v>
      </c>
      <c r="F396" t="s">
        <v>240</v>
      </c>
      <c r="G396" t="s">
        <v>241</v>
      </c>
      <c r="H396" t="s">
        <v>242</v>
      </c>
      <c r="I396" t="s">
        <v>22</v>
      </c>
      <c r="J396" t="s">
        <v>23</v>
      </c>
      <c r="K396" t="s">
        <v>215</v>
      </c>
      <c r="L396" t="s">
        <v>238</v>
      </c>
      <c r="M396">
        <v>28</v>
      </c>
      <c r="N396">
        <v>60</v>
      </c>
      <c r="O396">
        <v>1</v>
      </c>
      <c r="P396">
        <v>3</v>
      </c>
      <c r="Q396">
        <v>52</v>
      </c>
      <c r="R396">
        <v>0.56859999999999999</v>
      </c>
      <c r="S396">
        <v>0.87580000000000002</v>
      </c>
      <c r="U396">
        <v>0.30720000000000003</v>
      </c>
      <c r="V396">
        <v>152.93998010742683</v>
      </c>
      <c r="W396">
        <v>33.237707375855621</v>
      </c>
      <c r="X396">
        <v>263.11439721654347</v>
      </c>
      <c r="Y396">
        <v>-44.085602783456579</v>
      </c>
      <c r="Z396">
        <v>-16.755298550681008</v>
      </c>
    </row>
    <row r="397" spans="1:26" x14ac:dyDescent="0.35">
      <c r="A397">
        <v>395</v>
      </c>
      <c r="B397" t="s">
        <v>690</v>
      </c>
      <c r="C397">
        <v>46048</v>
      </c>
      <c r="D397" t="s">
        <v>16</v>
      </c>
      <c r="E397" t="s">
        <v>244</v>
      </c>
      <c r="F397" t="s">
        <v>240</v>
      </c>
      <c r="G397" t="s">
        <v>245</v>
      </c>
      <c r="H397" t="s">
        <v>246</v>
      </c>
      <c r="I397" t="s">
        <v>22</v>
      </c>
      <c r="J397" t="s">
        <v>23</v>
      </c>
      <c r="K397" t="s">
        <v>215</v>
      </c>
      <c r="L397" t="s">
        <v>243</v>
      </c>
      <c r="M397">
        <v>28</v>
      </c>
      <c r="N397">
        <v>60</v>
      </c>
      <c r="O397">
        <v>1</v>
      </c>
      <c r="P397">
        <v>1</v>
      </c>
      <c r="Q397">
        <v>53</v>
      </c>
      <c r="R397">
        <v>0.57679999999999998</v>
      </c>
      <c r="S397">
        <v>0.86580000000000001</v>
      </c>
      <c r="U397">
        <v>0.28900000000000003</v>
      </c>
      <c r="V397">
        <v>166.24781975538912</v>
      </c>
      <c r="W397">
        <v>36.518092463290948</v>
      </c>
      <c r="X397">
        <v>273.55966161864961</v>
      </c>
      <c r="Y397">
        <v>-15.440338381350443</v>
      </c>
      <c r="Z397">
        <v>-5.6442306917584721</v>
      </c>
    </row>
    <row r="398" spans="1:26" x14ac:dyDescent="0.35">
      <c r="A398">
        <v>396</v>
      </c>
      <c r="B398" t="s">
        <v>690</v>
      </c>
      <c r="C398">
        <v>46048</v>
      </c>
      <c r="D398" t="s">
        <v>16</v>
      </c>
      <c r="E398" t="s">
        <v>244</v>
      </c>
      <c r="F398" t="s">
        <v>240</v>
      </c>
      <c r="G398" t="s">
        <v>245</v>
      </c>
      <c r="H398" t="s">
        <v>246</v>
      </c>
      <c r="I398" t="s">
        <v>22</v>
      </c>
      <c r="J398" t="s">
        <v>23</v>
      </c>
      <c r="K398" t="s">
        <v>215</v>
      </c>
      <c r="L398" t="s">
        <v>243</v>
      </c>
      <c r="M398">
        <v>28</v>
      </c>
      <c r="N398">
        <v>60</v>
      </c>
      <c r="O398">
        <v>1</v>
      </c>
      <c r="P398">
        <v>2</v>
      </c>
      <c r="Q398">
        <v>54</v>
      </c>
      <c r="R398">
        <v>0.56710000000000005</v>
      </c>
      <c r="S398">
        <v>0.89249999999999996</v>
      </c>
      <c r="U398">
        <v>0.32539999999999991</v>
      </c>
      <c r="V398">
        <v>129.66579343801413</v>
      </c>
      <c r="W398">
        <v>28.493856340726325</v>
      </c>
      <c r="X398">
        <v>273.45028150604719</v>
      </c>
      <c r="Y398">
        <v>-51.94971849395273</v>
      </c>
      <c r="Z398">
        <v>-18.997866159740592</v>
      </c>
    </row>
    <row r="399" spans="1:26" x14ac:dyDescent="0.35">
      <c r="A399">
        <v>397</v>
      </c>
      <c r="B399" t="s">
        <v>690</v>
      </c>
      <c r="C399">
        <v>46048</v>
      </c>
      <c r="D399" t="s">
        <v>16</v>
      </c>
      <c r="E399" t="s">
        <v>244</v>
      </c>
      <c r="F399" t="s">
        <v>240</v>
      </c>
      <c r="G399" t="s">
        <v>245</v>
      </c>
      <c r="H399" t="s">
        <v>246</v>
      </c>
      <c r="I399" t="s">
        <v>22</v>
      </c>
      <c r="J399" t="s">
        <v>23</v>
      </c>
      <c r="K399" t="s">
        <v>215</v>
      </c>
      <c r="L399" t="s">
        <v>243</v>
      </c>
      <c r="M399">
        <v>28</v>
      </c>
      <c r="N399">
        <v>60</v>
      </c>
      <c r="O399">
        <v>1</v>
      </c>
      <c r="P399">
        <v>3</v>
      </c>
      <c r="Q399">
        <v>55</v>
      </c>
      <c r="R399">
        <v>0.56230000000000002</v>
      </c>
      <c r="S399">
        <v>0.86209999999999998</v>
      </c>
      <c r="U399">
        <v>0.29979999999999996</v>
      </c>
      <c r="V399">
        <v>155.2657934380141</v>
      </c>
      <c r="W399">
        <v>34.119416505684548</v>
      </c>
      <c r="X399">
        <v>273.45028150604719</v>
      </c>
      <c r="Y399">
        <v>-26.349718493952764</v>
      </c>
      <c r="Z399">
        <v>-9.6360180537499485</v>
      </c>
    </row>
    <row r="400" spans="1:26" x14ac:dyDescent="0.35">
      <c r="A400">
        <v>398</v>
      </c>
      <c r="B400" t="s">
        <v>690</v>
      </c>
      <c r="C400">
        <v>46048</v>
      </c>
      <c r="D400" t="s">
        <v>16</v>
      </c>
      <c r="E400" t="s">
        <v>248</v>
      </c>
      <c r="F400" t="s">
        <v>226</v>
      </c>
      <c r="G400" t="s">
        <v>227</v>
      </c>
      <c r="H400" t="s">
        <v>228</v>
      </c>
      <c r="I400" t="s">
        <v>22</v>
      </c>
      <c r="J400" t="s">
        <v>23</v>
      </c>
      <c r="K400" t="s">
        <v>215</v>
      </c>
      <c r="L400" t="s">
        <v>247</v>
      </c>
      <c r="M400">
        <v>28</v>
      </c>
      <c r="N400">
        <v>60</v>
      </c>
      <c r="O400">
        <v>1</v>
      </c>
      <c r="P400">
        <v>1</v>
      </c>
      <c r="Q400">
        <v>56</v>
      </c>
      <c r="R400">
        <v>0.57430000000000003</v>
      </c>
      <c r="S400">
        <v>0.88819999999999999</v>
      </c>
      <c r="U400">
        <v>0.31389999999999996</v>
      </c>
      <c r="V400">
        <v>147.70775534679188</v>
      </c>
      <c r="W400">
        <v>31.998542839867049</v>
      </c>
      <c r="X400">
        <v>238.68572387730765</v>
      </c>
      <c r="Y400">
        <v>-75.214276122692326</v>
      </c>
      <c r="Z400">
        <v>-31.511845325678106</v>
      </c>
    </row>
    <row r="401" spans="1:26" x14ac:dyDescent="0.35">
      <c r="A401">
        <v>399</v>
      </c>
      <c r="B401" t="s">
        <v>690</v>
      </c>
      <c r="C401">
        <v>46048</v>
      </c>
      <c r="D401" t="s">
        <v>16</v>
      </c>
      <c r="E401" t="s">
        <v>248</v>
      </c>
      <c r="F401" t="s">
        <v>226</v>
      </c>
      <c r="G401" t="s">
        <v>227</v>
      </c>
      <c r="H401" t="s">
        <v>228</v>
      </c>
      <c r="I401" t="s">
        <v>22</v>
      </c>
      <c r="J401" t="s">
        <v>23</v>
      </c>
      <c r="K401" t="s">
        <v>215</v>
      </c>
      <c r="L401" t="s">
        <v>247</v>
      </c>
      <c r="M401">
        <v>28</v>
      </c>
      <c r="N401">
        <v>60</v>
      </c>
      <c r="O401">
        <v>1</v>
      </c>
      <c r="P401">
        <v>2</v>
      </c>
      <c r="Q401">
        <v>57</v>
      </c>
      <c r="R401">
        <v>0.56410000000000005</v>
      </c>
      <c r="S401">
        <v>0.83730000000000004</v>
      </c>
      <c r="U401">
        <v>0.2732</v>
      </c>
      <c r="V401">
        <v>188.50005843724324</v>
      </c>
      <c r="W401">
        <v>40.827384574148844</v>
      </c>
      <c r="X401">
        <v>238.73345147656332</v>
      </c>
      <c r="Y401">
        <v>-34.466548523436671</v>
      </c>
      <c r="Z401">
        <v>-14.437251382351954</v>
      </c>
    </row>
    <row r="402" spans="1:26" x14ac:dyDescent="0.35">
      <c r="A402">
        <v>400</v>
      </c>
      <c r="B402" t="s">
        <v>690</v>
      </c>
      <c r="C402">
        <v>46048</v>
      </c>
      <c r="D402" t="s">
        <v>16</v>
      </c>
      <c r="E402" t="s">
        <v>248</v>
      </c>
      <c r="F402" t="s">
        <v>226</v>
      </c>
      <c r="G402" t="s">
        <v>227</v>
      </c>
      <c r="H402" t="s">
        <v>228</v>
      </c>
      <c r="I402" t="s">
        <v>22</v>
      </c>
      <c r="J402" t="s">
        <v>23</v>
      </c>
      <c r="K402" t="s">
        <v>215</v>
      </c>
      <c r="L402" t="s">
        <v>247</v>
      </c>
      <c r="M402">
        <v>28</v>
      </c>
      <c r="N402">
        <v>60</v>
      </c>
      <c r="O402">
        <v>1</v>
      </c>
      <c r="P402">
        <v>3</v>
      </c>
      <c r="Q402">
        <v>58</v>
      </c>
      <c r="R402">
        <v>0.56030000000000002</v>
      </c>
      <c r="S402">
        <v>0.88560000000000005</v>
      </c>
      <c r="U402">
        <v>0.32530000000000003</v>
      </c>
      <c r="V402">
        <v>136.21545225634065</v>
      </c>
      <c r="W402">
        <v>29.514819404287717</v>
      </c>
      <c r="X402">
        <v>238.6379962780521</v>
      </c>
      <c r="Y402">
        <v>-86.662003721947912</v>
      </c>
      <c r="Z402">
        <v>-36.315257869066492</v>
      </c>
    </row>
    <row r="403" spans="1:26" x14ac:dyDescent="0.35">
      <c r="A403">
        <v>401</v>
      </c>
      <c r="B403" t="s">
        <v>690</v>
      </c>
      <c r="C403">
        <v>46048</v>
      </c>
      <c r="D403" t="s">
        <v>16</v>
      </c>
      <c r="E403" t="s">
        <v>250</v>
      </c>
      <c r="F403" t="s">
        <v>219</v>
      </c>
      <c r="G403" t="s">
        <v>220</v>
      </c>
      <c r="H403" t="s">
        <v>221</v>
      </c>
      <c r="I403" t="s">
        <v>22</v>
      </c>
      <c r="J403" t="s">
        <v>23</v>
      </c>
      <c r="K403" t="s">
        <v>215</v>
      </c>
      <c r="L403" t="s">
        <v>249</v>
      </c>
      <c r="M403">
        <v>28</v>
      </c>
      <c r="N403">
        <v>60</v>
      </c>
      <c r="O403">
        <v>1</v>
      </c>
      <c r="P403">
        <v>1</v>
      </c>
      <c r="Q403">
        <v>59</v>
      </c>
      <c r="R403">
        <v>0.59740000000000004</v>
      </c>
      <c r="S403">
        <v>0.82789999999999997</v>
      </c>
      <c r="U403">
        <v>0.23049999999999993</v>
      </c>
      <c r="V403">
        <v>224.47732179964029</v>
      </c>
      <c r="W403">
        <v>49.338134241885157</v>
      </c>
      <c r="X403">
        <v>223.59743736571215</v>
      </c>
      <c r="Y403">
        <v>-6.9025626342877615</v>
      </c>
      <c r="Z403">
        <v>-3.0870490805304032</v>
      </c>
    </row>
    <row r="404" spans="1:26" x14ac:dyDescent="0.35">
      <c r="A404">
        <v>402</v>
      </c>
      <c r="B404" t="s">
        <v>690</v>
      </c>
      <c r="C404">
        <v>46048</v>
      </c>
      <c r="D404" t="s">
        <v>16</v>
      </c>
      <c r="E404" t="s">
        <v>250</v>
      </c>
      <c r="F404" t="s">
        <v>219</v>
      </c>
      <c r="G404" t="s">
        <v>220</v>
      </c>
      <c r="H404" t="s">
        <v>221</v>
      </c>
      <c r="I404" t="s">
        <v>22</v>
      </c>
      <c r="J404" t="s">
        <v>23</v>
      </c>
      <c r="K404" t="s">
        <v>215</v>
      </c>
      <c r="L404" t="s">
        <v>249</v>
      </c>
      <c r="M404">
        <v>28</v>
      </c>
      <c r="N404">
        <v>60</v>
      </c>
      <c r="O404">
        <v>1</v>
      </c>
      <c r="P404">
        <v>2</v>
      </c>
      <c r="Q404">
        <v>60</v>
      </c>
      <c r="R404">
        <v>0.61009999999999998</v>
      </c>
      <c r="S404">
        <v>0.82909999999999995</v>
      </c>
      <c r="U404">
        <v>0.21899999999999997</v>
      </c>
      <c r="V404">
        <v>235.97732179964024</v>
      </c>
      <c r="W404">
        <v>51.865732750424499</v>
      </c>
      <c r="X404">
        <v>223.59743736571215</v>
      </c>
      <c r="Y404">
        <v>4.5974373657121816</v>
      </c>
      <c r="Z404">
        <v>2.0561225655697886</v>
      </c>
    </row>
    <row r="405" spans="1:26" x14ac:dyDescent="0.35">
      <c r="A405">
        <v>403</v>
      </c>
      <c r="B405" t="s">
        <v>690</v>
      </c>
      <c r="C405">
        <v>46048</v>
      </c>
      <c r="D405" t="s">
        <v>16</v>
      </c>
      <c r="E405" t="s">
        <v>250</v>
      </c>
      <c r="F405" t="s">
        <v>219</v>
      </c>
      <c r="G405" t="s">
        <v>220</v>
      </c>
      <c r="H405" t="s">
        <v>221</v>
      </c>
      <c r="I405" t="s">
        <v>22</v>
      </c>
      <c r="J405" t="s">
        <v>23</v>
      </c>
      <c r="K405" t="s">
        <v>215</v>
      </c>
      <c r="L405" t="s">
        <v>249</v>
      </c>
      <c r="M405">
        <v>28</v>
      </c>
      <c r="N405">
        <v>60</v>
      </c>
      <c r="O405">
        <v>1</v>
      </c>
      <c r="P405">
        <v>3</v>
      </c>
      <c r="Q405">
        <v>61</v>
      </c>
      <c r="R405">
        <v>0.58360000000000001</v>
      </c>
      <c r="S405">
        <v>0.86599999999999999</v>
      </c>
      <c r="U405">
        <v>0.28239999999999998</v>
      </c>
      <c r="V405">
        <v>172.57732179964023</v>
      </c>
      <c r="W405">
        <v>37.930972277259713</v>
      </c>
      <c r="X405">
        <v>223.59743736571215</v>
      </c>
      <c r="Y405">
        <v>-58.802562634287824</v>
      </c>
      <c r="Z405">
        <v>-26.298406335539237</v>
      </c>
    </row>
    <row r="406" spans="1:26" x14ac:dyDescent="0.35">
      <c r="A406">
        <v>404</v>
      </c>
      <c r="B406" t="s">
        <v>690</v>
      </c>
      <c r="C406">
        <v>46048</v>
      </c>
      <c r="D406" t="s">
        <v>16</v>
      </c>
      <c r="E406" t="s">
        <v>252</v>
      </c>
      <c r="F406" t="s">
        <v>219</v>
      </c>
      <c r="G406" t="s">
        <v>253</v>
      </c>
      <c r="H406" t="s">
        <v>254</v>
      </c>
      <c r="I406" t="s">
        <v>22</v>
      </c>
      <c r="J406" t="s">
        <v>23</v>
      </c>
      <c r="K406" t="s">
        <v>215</v>
      </c>
      <c r="L406" t="s">
        <v>251</v>
      </c>
      <c r="M406">
        <v>28</v>
      </c>
      <c r="N406">
        <v>60</v>
      </c>
      <c r="O406">
        <v>1</v>
      </c>
      <c r="P406">
        <v>1</v>
      </c>
      <c r="Q406">
        <v>62</v>
      </c>
      <c r="R406">
        <v>0.59089999999999998</v>
      </c>
      <c r="S406">
        <v>0.81789999999999996</v>
      </c>
      <c r="U406">
        <v>0.22699999999999998</v>
      </c>
      <c r="V406">
        <v>233.56109337514718</v>
      </c>
      <c r="W406">
        <v>50.712293490431989</v>
      </c>
      <c r="X406">
        <v>222.52674073767255</v>
      </c>
      <c r="Y406">
        <v>-4.4732592623274172</v>
      </c>
      <c r="Z406">
        <v>-2.0102120075540739</v>
      </c>
    </row>
    <row r="407" spans="1:26" x14ac:dyDescent="0.35">
      <c r="A407">
        <v>405</v>
      </c>
      <c r="B407" t="s">
        <v>690</v>
      </c>
      <c r="C407">
        <v>46048</v>
      </c>
      <c r="D407" t="s">
        <v>16</v>
      </c>
      <c r="E407" t="s">
        <v>252</v>
      </c>
      <c r="F407" t="s">
        <v>219</v>
      </c>
      <c r="G407" t="s">
        <v>253</v>
      </c>
      <c r="H407" t="s">
        <v>254</v>
      </c>
      <c r="I407" t="s">
        <v>22</v>
      </c>
      <c r="J407" t="s">
        <v>23</v>
      </c>
      <c r="K407" t="s">
        <v>215</v>
      </c>
      <c r="L407" t="s">
        <v>251</v>
      </c>
      <c r="M407">
        <v>28</v>
      </c>
      <c r="N407">
        <v>60</v>
      </c>
      <c r="O407">
        <v>1</v>
      </c>
      <c r="P407">
        <v>2</v>
      </c>
      <c r="Q407">
        <v>63</v>
      </c>
      <c r="R407">
        <v>0.59189999999999998</v>
      </c>
      <c r="S407">
        <v>0.88980000000000004</v>
      </c>
      <c r="U407">
        <v>0.29790000000000005</v>
      </c>
      <c r="V407">
        <v>162.38492242169417</v>
      </c>
      <c r="W407">
        <v>35.279218264925859</v>
      </c>
      <c r="X407">
        <v>222.3933047548197</v>
      </c>
      <c r="Y407">
        <v>-75.506695245180339</v>
      </c>
      <c r="Z407">
        <v>-33.951874283456348</v>
      </c>
    </row>
    <row r="408" spans="1:26" x14ac:dyDescent="0.35">
      <c r="A408">
        <v>406</v>
      </c>
      <c r="B408" t="s">
        <v>690</v>
      </c>
      <c r="C408">
        <v>46048</v>
      </c>
      <c r="D408" t="s">
        <v>16</v>
      </c>
      <c r="E408" t="s">
        <v>252</v>
      </c>
      <c r="F408" t="s">
        <v>219</v>
      </c>
      <c r="G408" t="s">
        <v>253</v>
      </c>
      <c r="H408" t="s">
        <v>254</v>
      </c>
      <c r="I408" t="s">
        <v>22</v>
      </c>
      <c r="J408" t="s">
        <v>23</v>
      </c>
      <c r="K408" t="s">
        <v>215</v>
      </c>
      <c r="L408" t="s">
        <v>251</v>
      </c>
      <c r="M408">
        <v>28</v>
      </c>
      <c r="N408">
        <v>60</v>
      </c>
      <c r="O408">
        <v>1</v>
      </c>
      <c r="P408">
        <v>3</v>
      </c>
      <c r="Q408">
        <v>64</v>
      </c>
      <c r="R408">
        <v>0.58199999999999996</v>
      </c>
      <c r="S408">
        <v>0.81020000000000003</v>
      </c>
      <c r="U408">
        <v>0.22820000000000007</v>
      </c>
      <c r="V408">
        <v>232.26903639066282</v>
      </c>
      <c r="W408">
        <v>50.441836048581834</v>
      </c>
      <c r="X408">
        <v>222.48226207672164</v>
      </c>
      <c r="Y408">
        <v>-5.7177379232784347</v>
      </c>
      <c r="Z408">
        <v>-2.5699747341236168</v>
      </c>
    </row>
    <row r="409" spans="1:26" x14ac:dyDescent="0.35">
      <c r="A409">
        <v>407</v>
      </c>
      <c r="B409" t="s">
        <v>690</v>
      </c>
      <c r="C409">
        <v>46048</v>
      </c>
      <c r="D409" t="s">
        <v>16</v>
      </c>
      <c r="E409" t="s">
        <v>256</v>
      </c>
      <c r="F409" t="s">
        <v>219</v>
      </c>
      <c r="G409" t="s">
        <v>253</v>
      </c>
      <c r="H409" t="s">
        <v>254</v>
      </c>
      <c r="I409" t="s">
        <v>22</v>
      </c>
      <c r="J409" t="s">
        <v>23</v>
      </c>
      <c r="K409" t="s">
        <v>215</v>
      </c>
      <c r="L409" t="s">
        <v>255</v>
      </c>
      <c r="M409">
        <v>28</v>
      </c>
      <c r="N409">
        <v>60</v>
      </c>
      <c r="O409">
        <v>1</v>
      </c>
      <c r="P409">
        <v>1</v>
      </c>
      <c r="Q409">
        <v>65</v>
      </c>
      <c r="R409">
        <v>0.5766</v>
      </c>
      <c r="S409">
        <v>0.84030000000000005</v>
      </c>
      <c r="U409">
        <v>0.26370000000000005</v>
      </c>
      <c r="V409">
        <v>197.69225154969007</v>
      </c>
      <c r="W409">
        <v>42.846894564374665</v>
      </c>
      <c r="X409">
        <v>228.98877489609629</v>
      </c>
      <c r="Y409">
        <v>-34.711225103903757</v>
      </c>
      <c r="Z409">
        <v>-15.158483257379748</v>
      </c>
    </row>
    <row r="410" spans="1:26" x14ac:dyDescent="0.35">
      <c r="A410">
        <v>408</v>
      </c>
      <c r="B410" t="s">
        <v>690</v>
      </c>
      <c r="C410">
        <v>46048</v>
      </c>
      <c r="D410" t="s">
        <v>16</v>
      </c>
      <c r="E410" t="s">
        <v>256</v>
      </c>
      <c r="F410" t="s">
        <v>219</v>
      </c>
      <c r="G410" t="s">
        <v>253</v>
      </c>
      <c r="H410" t="s">
        <v>254</v>
      </c>
      <c r="I410" t="s">
        <v>22</v>
      </c>
      <c r="J410" t="s">
        <v>23</v>
      </c>
      <c r="K410" t="s">
        <v>215</v>
      </c>
      <c r="L410" t="s">
        <v>255</v>
      </c>
      <c r="M410">
        <v>28</v>
      </c>
      <c r="N410">
        <v>60</v>
      </c>
      <c r="O410">
        <v>1</v>
      </c>
      <c r="P410">
        <v>2</v>
      </c>
      <c r="Q410">
        <v>66</v>
      </c>
      <c r="R410">
        <v>0.57930000000000004</v>
      </c>
      <c r="S410">
        <v>0.82430000000000003</v>
      </c>
      <c r="U410">
        <v>0.245</v>
      </c>
      <c r="V410">
        <v>216.39225154969012</v>
      </c>
      <c r="W410">
        <v>46.899845158406507</v>
      </c>
      <c r="X410">
        <v>228.98877489609629</v>
      </c>
      <c r="Y410">
        <v>-16.011225103903712</v>
      </c>
      <c r="Z410">
        <v>-6.9921440957832148</v>
      </c>
    </row>
    <row r="411" spans="1:26" x14ac:dyDescent="0.35">
      <c r="A411">
        <v>409</v>
      </c>
      <c r="B411" t="s">
        <v>690</v>
      </c>
      <c r="C411">
        <v>46048</v>
      </c>
      <c r="D411" t="s">
        <v>16</v>
      </c>
      <c r="E411" t="s">
        <v>256</v>
      </c>
      <c r="F411" t="s">
        <v>219</v>
      </c>
      <c r="G411" t="s">
        <v>253</v>
      </c>
      <c r="H411" t="s">
        <v>254</v>
      </c>
      <c r="I411" t="s">
        <v>22</v>
      </c>
      <c r="J411" t="s">
        <v>23</v>
      </c>
      <c r="K411" t="s">
        <v>215</v>
      </c>
      <c r="L411" t="s">
        <v>255</v>
      </c>
      <c r="M411">
        <v>28</v>
      </c>
      <c r="N411">
        <v>60</v>
      </c>
      <c r="O411">
        <v>1</v>
      </c>
      <c r="P411">
        <v>3</v>
      </c>
      <c r="Q411">
        <v>67</v>
      </c>
      <c r="R411">
        <v>0.57020000000000004</v>
      </c>
      <c r="S411">
        <v>0.78210000000000002</v>
      </c>
      <c r="U411">
        <v>0.21189999999999998</v>
      </c>
      <c r="V411">
        <v>249.40002843325004</v>
      </c>
      <c r="W411">
        <v>54.06460287468596</v>
      </c>
      <c r="X411">
        <v>228.94300460329271</v>
      </c>
      <c r="Y411">
        <v>17.043004603292729</v>
      </c>
      <c r="Z411">
        <v>7.444212865479102</v>
      </c>
    </row>
    <row r="412" spans="1:26" x14ac:dyDescent="0.35">
      <c r="A412">
        <v>410</v>
      </c>
      <c r="B412" t="s">
        <v>690</v>
      </c>
      <c r="C412">
        <v>46048</v>
      </c>
      <c r="D412" t="s">
        <v>16</v>
      </c>
      <c r="E412" t="s">
        <v>258</v>
      </c>
      <c r="F412" t="s">
        <v>259</v>
      </c>
      <c r="G412" t="s">
        <v>260</v>
      </c>
      <c r="H412" t="s">
        <v>261</v>
      </c>
      <c r="I412" t="s">
        <v>22</v>
      </c>
      <c r="J412" t="s">
        <v>23</v>
      </c>
      <c r="K412" t="s">
        <v>215</v>
      </c>
      <c r="L412" t="s">
        <v>257</v>
      </c>
      <c r="M412">
        <v>28</v>
      </c>
      <c r="N412">
        <v>60</v>
      </c>
      <c r="O412">
        <v>1</v>
      </c>
      <c r="P412">
        <v>1</v>
      </c>
      <c r="Q412">
        <v>68</v>
      </c>
      <c r="R412">
        <v>0.56899999999999995</v>
      </c>
      <c r="S412">
        <v>0.95599999999999996</v>
      </c>
      <c r="U412">
        <v>0.38700000000000001</v>
      </c>
      <c r="V412">
        <v>70.031478056582898</v>
      </c>
      <c r="W412">
        <v>15.323119176467891</v>
      </c>
      <c r="X412">
        <v>262.58180921961787</v>
      </c>
      <c r="Y412">
        <v>-124.41819078038213</v>
      </c>
      <c r="Z412">
        <v>-47.382639014540942</v>
      </c>
    </row>
    <row r="413" spans="1:26" x14ac:dyDescent="0.35">
      <c r="A413">
        <v>411</v>
      </c>
      <c r="B413" t="s">
        <v>690</v>
      </c>
      <c r="C413">
        <v>46048</v>
      </c>
      <c r="D413" t="s">
        <v>16</v>
      </c>
      <c r="E413" t="s">
        <v>258</v>
      </c>
      <c r="F413" t="s">
        <v>259</v>
      </c>
      <c r="G413" t="s">
        <v>260</v>
      </c>
      <c r="H413" t="s">
        <v>261</v>
      </c>
      <c r="I413" t="s">
        <v>22</v>
      </c>
      <c r="J413" t="s">
        <v>23</v>
      </c>
      <c r="K413" t="s">
        <v>215</v>
      </c>
      <c r="L413" t="s">
        <v>257</v>
      </c>
      <c r="M413">
        <v>28</v>
      </c>
      <c r="N413">
        <v>60</v>
      </c>
      <c r="O413">
        <v>1</v>
      </c>
      <c r="P413">
        <v>2</v>
      </c>
      <c r="Q413">
        <v>69</v>
      </c>
      <c r="R413">
        <v>0.57779999999999998</v>
      </c>
      <c r="S413">
        <v>0.85399999999999998</v>
      </c>
      <c r="U413">
        <v>0.2762</v>
      </c>
      <c r="V413">
        <v>180.83147805658291</v>
      </c>
      <c r="W413">
        <v>39.566525882533412</v>
      </c>
      <c r="X413">
        <v>262.58180921961787</v>
      </c>
      <c r="Y413">
        <v>-13.618190780382122</v>
      </c>
      <c r="Z413">
        <v>-5.1862658806620363</v>
      </c>
    </row>
    <row r="414" spans="1:26" x14ac:dyDescent="0.35">
      <c r="A414">
        <v>412</v>
      </c>
      <c r="B414" t="s">
        <v>690</v>
      </c>
      <c r="C414">
        <v>46048</v>
      </c>
      <c r="D414" t="s">
        <v>16</v>
      </c>
      <c r="E414" t="s">
        <v>258</v>
      </c>
      <c r="F414" t="s">
        <v>259</v>
      </c>
      <c r="G414" t="s">
        <v>260</v>
      </c>
      <c r="H414" t="s">
        <v>261</v>
      </c>
      <c r="I414" t="s">
        <v>22</v>
      </c>
      <c r="J414" t="s">
        <v>23</v>
      </c>
      <c r="K414" t="s">
        <v>215</v>
      </c>
      <c r="L414" t="s">
        <v>257</v>
      </c>
      <c r="M414">
        <v>28</v>
      </c>
      <c r="N414">
        <v>60</v>
      </c>
      <c r="O414">
        <v>1</v>
      </c>
      <c r="P414">
        <v>3</v>
      </c>
      <c r="Q414">
        <v>70</v>
      </c>
      <c r="R414">
        <v>0.56479999999999997</v>
      </c>
      <c r="S414">
        <v>0.81850000000000001</v>
      </c>
      <c r="U414">
        <v>0.25370000000000004</v>
      </c>
      <c r="V414">
        <v>203.42288435219416</v>
      </c>
      <c r="W414">
        <v>44.500700208976035</v>
      </c>
      <c r="X414">
        <v>262.63432558146178</v>
      </c>
      <c r="Y414">
        <v>8.9343255814617351</v>
      </c>
      <c r="Z414">
        <v>3.4018118392108492</v>
      </c>
    </row>
    <row r="415" spans="1:26" x14ac:dyDescent="0.35">
      <c r="A415">
        <v>413</v>
      </c>
      <c r="B415" t="s">
        <v>690</v>
      </c>
      <c r="C415">
        <v>46048</v>
      </c>
      <c r="D415" t="s">
        <v>16</v>
      </c>
      <c r="E415" t="s">
        <v>263</v>
      </c>
      <c r="F415" t="s">
        <v>264</v>
      </c>
      <c r="G415" t="s">
        <v>265</v>
      </c>
      <c r="H415" t="s">
        <v>266</v>
      </c>
      <c r="I415" t="s">
        <v>22</v>
      </c>
      <c r="J415" t="s">
        <v>23</v>
      </c>
      <c r="K415" t="s">
        <v>215</v>
      </c>
      <c r="L415" t="s">
        <v>262</v>
      </c>
      <c r="M415">
        <v>28</v>
      </c>
      <c r="N415">
        <v>60</v>
      </c>
      <c r="O415">
        <v>1</v>
      </c>
      <c r="P415">
        <v>1</v>
      </c>
      <c r="Q415">
        <v>71</v>
      </c>
      <c r="R415">
        <v>0.55459999999999998</v>
      </c>
      <c r="S415">
        <v>0.82310000000000005</v>
      </c>
      <c r="U415">
        <v>0.26850000000000007</v>
      </c>
      <c r="V415">
        <v>185.28425018639797</v>
      </c>
      <c r="W415">
        <v>40.830912511901843</v>
      </c>
      <c r="X415">
        <v>243.08746805521375</v>
      </c>
      <c r="Y415">
        <v>-25.412531944786309</v>
      </c>
      <c r="Z415">
        <v>-10.454069125033721</v>
      </c>
    </row>
    <row r="416" spans="1:26" x14ac:dyDescent="0.35">
      <c r="A416">
        <v>414</v>
      </c>
      <c r="B416" t="s">
        <v>690</v>
      </c>
      <c r="C416">
        <v>46048</v>
      </c>
      <c r="D416" t="s">
        <v>16</v>
      </c>
      <c r="E416" t="s">
        <v>263</v>
      </c>
      <c r="F416" t="s">
        <v>264</v>
      </c>
      <c r="G416" t="s">
        <v>265</v>
      </c>
      <c r="H416" t="s">
        <v>266</v>
      </c>
      <c r="I416" t="s">
        <v>22</v>
      </c>
      <c r="J416" t="s">
        <v>23</v>
      </c>
      <c r="K416" t="s">
        <v>215</v>
      </c>
      <c r="L416" t="s">
        <v>262</v>
      </c>
      <c r="M416">
        <v>28</v>
      </c>
      <c r="N416">
        <v>60</v>
      </c>
      <c r="O416">
        <v>1</v>
      </c>
      <c r="P416">
        <v>2</v>
      </c>
      <c r="Q416">
        <v>72</v>
      </c>
      <c r="R416">
        <v>0.53659999999999997</v>
      </c>
      <c r="S416">
        <v>0.85050000000000003</v>
      </c>
      <c r="U416">
        <v>0.31390000000000007</v>
      </c>
      <c r="V416">
        <v>140.24727758654706</v>
      </c>
      <c r="W416">
        <v>30.881452891638229</v>
      </c>
      <c r="X416">
        <v>243.28193802965794</v>
      </c>
      <c r="Y416">
        <v>-70.618061970342154</v>
      </c>
      <c r="Z416">
        <v>-29.027252307457889</v>
      </c>
    </row>
    <row r="417" spans="1:26" x14ac:dyDescent="0.35">
      <c r="A417">
        <v>415</v>
      </c>
      <c r="B417" t="s">
        <v>690</v>
      </c>
      <c r="C417">
        <v>46048</v>
      </c>
      <c r="D417" t="s">
        <v>16</v>
      </c>
      <c r="E417" t="s">
        <v>263</v>
      </c>
      <c r="F417" t="s">
        <v>264</v>
      </c>
      <c r="G417" t="s">
        <v>265</v>
      </c>
      <c r="H417" t="s">
        <v>266</v>
      </c>
      <c r="I417" t="s">
        <v>22</v>
      </c>
      <c r="J417" t="s">
        <v>23</v>
      </c>
      <c r="K417" t="s">
        <v>215</v>
      </c>
      <c r="L417" t="s">
        <v>262</v>
      </c>
      <c r="M417">
        <v>28</v>
      </c>
      <c r="N417">
        <v>60</v>
      </c>
      <c r="O417">
        <v>1</v>
      </c>
      <c r="P417">
        <v>3</v>
      </c>
      <c r="Q417">
        <v>73</v>
      </c>
      <c r="R417">
        <v>0.54190000000000005</v>
      </c>
      <c r="S417">
        <v>0.80069999999999997</v>
      </c>
      <c r="U417">
        <v>0.25879999999999992</v>
      </c>
      <c r="V417">
        <v>195.34727758654725</v>
      </c>
      <c r="W417">
        <v>43.014080944109544</v>
      </c>
      <c r="X417">
        <v>243.28193802965794</v>
      </c>
      <c r="Y417">
        <v>-15.518061970341961</v>
      </c>
      <c r="Z417">
        <v>-6.3786329951260861</v>
      </c>
    </row>
    <row r="418" spans="1:26" x14ac:dyDescent="0.35">
      <c r="A418">
        <v>416</v>
      </c>
      <c r="B418" t="s">
        <v>690</v>
      </c>
      <c r="C418">
        <v>46048</v>
      </c>
      <c r="D418" t="s">
        <v>16</v>
      </c>
      <c r="E418" t="s">
        <v>268</v>
      </c>
      <c r="F418" t="s">
        <v>269</v>
      </c>
      <c r="G418" t="s">
        <v>270</v>
      </c>
      <c r="H418" t="s">
        <v>271</v>
      </c>
      <c r="I418" t="s">
        <v>22</v>
      </c>
      <c r="J418" t="s">
        <v>23</v>
      </c>
      <c r="K418" t="s">
        <v>215</v>
      </c>
      <c r="L418" t="s">
        <v>267</v>
      </c>
      <c r="M418">
        <v>28</v>
      </c>
      <c r="N418">
        <v>60</v>
      </c>
      <c r="O418">
        <v>1</v>
      </c>
      <c r="P418">
        <v>1</v>
      </c>
      <c r="Q418">
        <v>74</v>
      </c>
      <c r="R418">
        <v>0.53739999999999999</v>
      </c>
      <c r="S418">
        <v>0.78559999999999997</v>
      </c>
      <c r="U418">
        <v>0.24819999999999998</v>
      </c>
      <c r="V418">
        <v>208.5521780423698</v>
      </c>
      <c r="W418">
        <v>45.659810301555659</v>
      </c>
      <c r="X418">
        <v>250.65813823582639</v>
      </c>
      <c r="Y418">
        <v>2.4581382358263966</v>
      </c>
      <c r="Z418">
        <v>0.98067361910815343</v>
      </c>
    </row>
    <row r="419" spans="1:26" x14ac:dyDescent="0.35">
      <c r="A419">
        <v>417</v>
      </c>
      <c r="B419" t="s">
        <v>690</v>
      </c>
      <c r="C419">
        <v>46048</v>
      </c>
      <c r="D419" t="s">
        <v>16</v>
      </c>
      <c r="E419" t="s">
        <v>268</v>
      </c>
      <c r="F419" t="s">
        <v>269</v>
      </c>
      <c r="G419" t="s">
        <v>270</v>
      </c>
      <c r="H419" t="s">
        <v>271</v>
      </c>
      <c r="I419" t="s">
        <v>22</v>
      </c>
      <c r="J419" t="s">
        <v>23</v>
      </c>
      <c r="K419" t="s">
        <v>215</v>
      </c>
      <c r="L419" t="s">
        <v>267</v>
      </c>
      <c r="M419">
        <v>28</v>
      </c>
      <c r="N419">
        <v>60</v>
      </c>
      <c r="O419">
        <v>1</v>
      </c>
      <c r="P419">
        <v>2</v>
      </c>
      <c r="Q419">
        <v>75</v>
      </c>
      <c r="R419">
        <v>0.56520000000000004</v>
      </c>
      <c r="S419">
        <v>0.79090000000000005</v>
      </c>
      <c r="U419">
        <v>0.22570000000000001</v>
      </c>
      <c r="V419">
        <v>231.14349195241422</v>
      </c>
      <c r="W419">
        <v>50.595772080406611</v>
      </c>
      <c r="X419">
        <v>250.7082498188403</v>
      </c>
      <c r="Y419">
        <v>25.008249818840284</v>
      </c>
      <c r="Z419">
        <v>9.9750406446182112</v>
      </c>
    </row>
    <row r="420" spans="1:26" x14ac:dyDescent="0.35">
      <c r="A420">
        <v>418</v>
      </c>
      <c r="B420" t="s">
        <v>690</v>
      </c>
      <c r="C420">
        <v>46048</v>
      </c>
      <c r="D420" t="s">
        <v>16</v>
      </c>
      <c r="E420" t="s">
        <v>268</v>
      </c>
      <c r="F420" t="s">
        <v>269</v>
      </c>
      <c r="G420" t="s">
        <v>270</v>
      </c>
      <c r="H420" t="s">
        <v>271</v>
      </c>
      <c r="I420" t="s">
        <v>22</v>
      </c>
      <c r="J420" t="s">
        <v>23</v>
      </c>
      <c r="K420" t="s">
        <v>215</v>
      </c>
      <c r="L420" t="s">
        <v>267</v>
      </c>
      <c r="M420">
        <v>28</v>
      </c>
      <c r="N420">
        <v>60</v>
      </c>
      <c r="O420">
        <v>1</v>
      </c>
      <c r="P420">
        <v>3</v>
      </c>
      <c r="Q420">
        <v>76</v>
      </c>
      <c r="R420">
        <v>0.59770000000000001</v>
      </c>
      <c r="S420">
        <v>0.83120000000000005</v>
      </c>
      <c r="U420">
        <v>0.23350000000000004</v>
      </c>
      <c r="V420">
        <v>223.43480586245866</v>
      </c>
      <c r="W420">
        <v>48.898618138911147</v>
      </c>
      <c r="X420">
        <v>250.75836140185427</v>
      </c>
      <c r="Y420">
        <v>17.258361401854245</v>
      </c>
      <c r="Z420">
        <v>6.8824669715386904</v>
      </c>
    </row>
    <row r="421" spans="1:26" x14ac:dyDescent="0.35">
      <c r="A421">
        <v>419</v>
      </c>
      <c r="B421" t="s">
        <v>690</v>
      </c>
      <c r="C421">
        <v>46048</v>
      </c>
      <c r="D421" t="s">
        <v>16</v>
      </c>
      <c r="E421" t="s">
        <v>273</v>
      </c>
      <c r="F421" t="s">
        <v>235</v>
      </c>
      <c r="G421" t="s">
        <v>274</v>
      </c>
      <c r="H421" t="s">
        <v>275</v>
      </c>
      <c r="I421" t="s">
        <v>22</v>
      </c>
      <c r="J421" t="s">
        <v>23</v>
      </c>
      <c r="K421" t="s">
        <v>215</v>
      </c>
      <c r="L421" t="s">
        <v>272</v>
      </c>
      <c r="M421">
        <v>28</v>
      </c>
      <c r="N421">
        <v>60</v>
      </c>
      <c r="O421">
        <v>1</v>
      </c>
      <c r="P421">
        <v>1</v>
      </c>
      <c r="Q421">
        <v>77</v>
      </c>
      <c r="R421">
        <v>0.56279999999999997</v>
      </c>
      <c r="S421">
        <v>0.9</v>
      </c>
      <c r="U421">
        <v>0.33720000000000006</v>
      </c>
      <c r="V421">
        <v>114.5287096890313</v>
      </c>
      <c r="W421">
        <v>25.35342723022243</v>
      </c>
      <c r="X421">
        <v>234.69666746651322</v>
      </c>
      <c r="Y421">
        <v>-102.50333253348683</v>
      </c>
      <c r="Z421">
        <v>-43.674813809664393</v>
      </c>
    </row>
    <row r="422" spans="1:26" x14ac:dyDescent="0.35">
      <c r="A422">
        <v>420</v>
      </c>
      <c r="B422" t="s">
        <v>690</v>
      </c>
      <c r="C422">
        <v>46048</v>
      </c>
      <c r="D422" t="s">
        <v>16</v>
      </c>
      <c r="E422" t="s">
        <v>273</v>
      </c>
      <c r="F422" t="s">
        <v>235</v>
      </c>
      <c r="G422" t="s">
        <v>274</v>
      </c>
      <c r="H422" t="s">
        <v>275</v>
      </c>
      <c r="I422" t="s">
        <v>22</v>
      </c>
      <c r="J422" t="s">
        <v>23</v>
      </c>
      <c r="K422" t="s">
        <v>215</v>
      </c>
      <c r="L422" t="s">
        <v>272</v>
      </c>
      <c r="M422">
        <v>28</v>
      </c>
      <c r="N422">
        <v>60</v>
      </c>
      <c r="O422">
        <v>1</v>
      </c>
      <c r="P422">
        <v>2</v>
      </c>
      <c r="Q422">
        <v>78</v>
      </c>
      <c r="R422">
        <v>0.57879999999999998</v>
      </c>
      <c r="S422">
        <v>0.84109999999999996</v>
      </c>
      <c r="U422">
        <v>0.26229999999999998</v>
      </c>
      <c r="V422">
        <v>189.24819871612874</v>
      </c>
      <c r="W422">
        <v>41.910963049838657</v>
      </c>
      <c r="X422">
        <v>234.60288258440872</v>
      </c>
      <c r="Y422">
        <v>-27.697117415591237</v>
      </c>
      <c r="Z422">
        <v>-11.805957842664604</v>
      </c>
    </row>
    <row r="423" spans="1:26" x14ac:dyDescent="0.35">
      <c r="A423">
        <v>421</v>
      </c>
      <c r="B423" t="s">
        <v>690</v>
      </c>
      <c r="C423">
        <v>46048</v>
      </c>
      <c r="D423" t="s">
        <v>16</v>
      </c>
      <c r="E423" t="s">
        <v>273</v>
      </c>
      <c r="F423" t="s">
        <v>235</v>
      </c>
      <c r="G423" t="s">
        <v>274</v>
      </c>
      <c r="H423" t="s">
        <v>275</v>
      </c>
      <c r="I423" t="s">
        <v>22</v>
      </c>
      <c r="J423" t="s">
        <v>23</v>
      </c>
      <c r="K423" t="s">
        <v>215</v>
      </c>
      <c r="L423" t="s">
        <v>272</v>
      </c>
      <c r="M423">
        <v>28</v>
      </c>
      <c r="N423">
        <v>60</v>
      </c>
      <c r="O423">
        <v>1</v>
      </c>
      <c r="P423">
        <v>3</v>
      </c>
      <c r="Q423">
        <v>79</v>
      </c>
      <c r="R423">
        <v>0.57310000000000005</v>
      </c>
      <c r="S423">
        <v>0.86129999999999995</v>
      </c>
      <c r="U423">
        <v>0.2881999999999999</v>
      </c>
      <c r="V423">
        <v>163.43845420258009</v>
      </c>
      <c r="W423">
        <v>36.187896022084658</v>
      </c>
      <c r="X423">
        <v>234.64977502546094</v>
      </c>
      <c r="Y423">
        <v>-53.550224974538935</v>
      </c>
      <c r="Z423">
        <v>-22.821340855207897</v>
      </c>
    </row>
    <row r="424" spans="1:26" x14ac:dyDescent="0.35">
      <c r="A424">
        <v>422</v>
      </c>
      <c r="B424" t="s">
        <v>690</v>
      </c>
      <c r="C424">
        <v>46048</v>
      </c>
      <c r="D424" t="s">
        <v>16</v>
      </c>
      <c r="E424" t="s">
        <v>277</v>
      </c>
      <c r="F424" t="s">
        <v>269</v>
      </c>
      <c r="G424" t="s">
        <v>270</v>
      </c>
      <c r="H424" t="s">
        <v>271</v>
      </c>
      <c r="I424" t="s">
        <v>22</v>
      </c>
      <c r="J424" t="s">
        <v>23</v>
      </c>
      <c r="K424" t="s">
        <v>215</v>
      </c>
      <c r="L424" t="s">
        <v>276</v>
      </c>
      <c r="M424">
        <v>28</v>
      </c>
      <c r="N424">
        <v>60</v>
      </c>
      <c r="O424">
        <v>1</v>
      </c>
      <c r="P424">
        <v>1</v>
      </c>
      <c r="Q424">
        <v>80</v>
      </c>
      <c r="R424">
        <v>0.58640000000000003</v>
      </c>
      <c r="S424">
        <v>0.82469999999999999</v>
      </c>
      <c r="U424">
        <v>0.23829999999999996</v>
      </c>
      <c r="V424">
        <v>222.09702029797</v>
      </c>
      <c r="W424">
        <v>48.240325307541809</v>
      </c>
      <c r="X424">
        <v>230.16258437503762</v>
      </c>
      <c r="Y424">
        <v>-8.1374156249623297</v>
      </c>
      <c r="Z424">
        <v>-3.5355075835014285</v>
      </c>
    </row>
    <row r="425" spans="1:26" x14ac:dyDescent="0.35">
      <c r="A425">
        <v>423</v>
      </c>
      <c r="B425" t="s">
        <v>690</v>
      </c>
      <c r="C425">
        <v>46048</v>
      </c>
      <c r="D425" t="s">
        <v>16</v>
      </c>
      <c r="E425" t="s">
        <v>277</v>
      </c>
      <c r="F425" t="s">
        <v>269</v>
      </c>
      <c r="G425" t="s">
        <v>270</v>
      </c>
      <c r="H425" t="s">
        <v>271</v>
      </c>
      <c r="I425" t="s">
        <v>22</v>
      </c>
      <c r="J425" t="s">
        <v>23</v>
      </c>
      <c r="K425" t="s">
        <v>215</v>
      </c>
      <c r="L425" t="s">
        <v>276</v>
      </c>
      <c r="M425">
        <v>28</v>
      </c>
      <c r="N425">
        <v>60</v>
      </c>
      <c r="O425">
        <v>1</v>
      </c>
      <c r="P425">
        <v>2</v>
      </c>
      <c r="Q425">
        <v>81</v>
      </c>
      <c r="R425">
        <v>0.56059999999999999</v>
      </c>
      <c r="S425">
        <v>0.8135</v>
      </c>
      <c r="U425">
        <v>0.25290000000000001</v>
      </c>
      <c r="V425">
        <v>207.40501449854989</v>
      </c>
      <c r="W425">
        <v>45.058169684398102</v>
      </c>
      <c r="X425">
        <v>230.11658865473885</v>
      </c>
      <c r="Y425">
        <v>-22.783411345261158</v>
      </c>
      <c r="Z425">
        <v>-9.9008122267294763</v>
      </c>
    </row>
    <row r="426" spans="1:26" x14ac:dyDescent="0.35">
      <c r="A426">
        <v>424</v>
      </c>
      <c r="B426" t="s">
        <v>690</v>
      </c>
      <c r="C426">
        <v>46048</v>
      </c>
      <c r="D426" t="s">
        <v>16</v>
      </c>
      <c r="E426" t="s">
        <v>277</v>
      </c>
      <c r="F426" t="s">
        <v>269</v>
      </c>
      <c r="G426" t="s">
        <v>270</v>
      </c>
      <c r="H426" t="s">
        <v>271</v>
      </c>
      <c r="I426" t="s">
        <v>22</v>
      </c>
      <c r="J426" t="s">
        <v>23</v>
      </c>
      <c r="K426" t="s">
        <v>215</v>
      </c>
      <c r="L426" t="s">
        <v>276</v>
      </c>
      <c r="M426">
        <v>28</v>
      </c>
      <c r="N426">
        <v>60</v>
      </c>
      <c r="O426">
        <v>1</v>
      </c>
      <c r="P426">
        <v>3</v>
      </c>
      <c r="Q426">
        <v>82</v>
      </c>
      <c r="R426">
        <v>0.57779999999999998</v>
      </c>
      <c r="S426">
        <v>0.86060000000000003</v>
      </c>
      <c r="U426">
        <v>0.28280000000000005</v>
      </c>
      <c r="V426">
        <v>177.32100289970975</v>
      </c>
      <c r="W426">
        <v>38.537906720671799</v>
      </c>
      <c r="X426">
        <v>230.02459721414132</v>
      </c>
      <c r="Y426">
        <v>-52.775402785858745</v>
      </c>
      <c r="Z426">
        <v>-22.94337363265873</v>
      </c>
    </row>
    <row r="427" spans="1:26" x14ac:dyDescent="0.35">
      <c r="A427">
        <v>425</v>
      </c>
      <c r="B427" t="s">
        <v>690</v>
      </c>
      <c r="C427">
        <v>46048</v>
      </c>
      <c r="D427" t="s">
        <v>16</v>
      </c>
      <c r="E427" t="s">
        <v>279</v>
      </c>
      <c r="F427" t="s">
        <v>269</v>
      </c>
      <c r="G427" t="s">
        <v>270</v>
      </c>
      <c r="H427" t="s">
        <v>271</v>
      </c>
      <c r="I427" t="s">
        <v>22</v>
      </c>
      <c r="J427" t="s">
        <v>23</v>
      </c>
      <c r="K427" t="s">
        <v>215</v>
      </c>
      <c r="L427" t="s">
        <v>278</v>
      </c>
      <c r="M427">
        <v>28</v>
      </c>
      <c r="N427">
        <v>60</v>
      </c>
      <c r="O427">
        <v>1</v>
      </c>
      <c r="P427">
        <v>1</v>
      </c>
      <c r="Q427">
        <v>83</v>
      </c>
      <c r="R427">
        <v>0.55220000000000002</v>
      </c>
      <c r="S427">
        <v>0.83179999999999998</v>
      </c>
      <c r="U427">
        <v>0.27959999999999996</v>
      </c>
      <c r="V427">
        <v>181.69756782549922</v>
      </c>
      <c r="W427">
        <v>39.388364582540405</v>
      </c>
      <c r="X427">
        <v>217.37759725514132</v>
      </c>
      <c r="Y427">
        <v>-62.222402744858641</v>
      </c>
      <c r="Z427">
        <v>-28.624110087952946</v>
      </c>
    </row>
    <row r="428" spans="1:26" x14ac:dyDescent="0.35">
      <c r="A428">
        <v>426</v>
      </c>
      <c r="B428" t="s">
        <v>690</v>
      </c>
      <c r="C428">
        <v>46048</v>
      </c>
      <c r="D428" t="s">
        <v>16</v>
      </c>
      <c r="E428" t="s">
        <v>279</v>
      </c>
      <c r="F428" t="s">
        <v>269</v>
      </c>
      <c r="G428" t="s">
        <v>270</v>
      </c>
      <c r="H428" t="s">
        <v>271</v>
      </c>
      <c r="I428" t="s">
        <v>22</v>
      </c>
      <c r="J428" t="s">
        <v>23</v>
      </c>
      <c r="K428" t="s">
        <v>215</v>
      </c>
      <c r="L428" t="s">
        <v>278</v>
      </c>
      <c r="M428">
        <v>28</v>
      </c>
      <c r="N428">
        <v>60</v>
      </c>
      <c r="O428">
        <v>1</v>
      </c>
      <c r="P428">
        <v>2</v>
      </c>
      <c r="Q428">
        <v>84</v>
      </c>
      <c r="R428">
        <v>0.56920000000000004</v>
      </c>
      <c r="S428">
        <v>0.77310000000000001</v>
      </c>
      <c r="U428">
        <v>0.20389999999999997</v>
      </c>
      <c r="V428">
        <v>256.93673109440482</v>
      </c>
      <c r="W428">
        <v>55.75439494248343</v>
      </c>
      <c r="X428">
        <v>217.16043681832303</v>
      </c>
      <c r="Y428">
        <v>13.260436818323058</v>
      </c>
      <c r="Z428">
        <v>6.1062857547191127</v>
      </c>
    </row>
    <row r="429" spans="1:26" x14ac:dyDescent="0.35">
      <c r="A429">
        <v>427</v>
      </c>
      <c r="B429" t="s">
        <v>690</v>
      </c>
      <c r="C429">
        <v>46048</v>
      </c>
      <c r="D429" t="s">
        <v>16</v>
      </c>
      <c r="E429" t="s">
        <v>279</v>
      </c>
      <c r="F429" t="s">
        <v>269</v>
      </c>
      <c r="G429" t="s">
        <v>270</v>
      </c>
      <c r="H429" t="s">
        <v>271</v>
      </c>
      <c r="I429" t="s">
        <v>22</v>
      </c>
      <c r="J429" t="s">
        <v>23</v>
      </c>
      <c r="K429" t="s">
        <v>215</v>
      </c>
      <c r="L429" t="s">
        <v>278</v>
      </c>
      <c r="M429">
        <v>28</v>
      </c>
      <c r="N429">
        <v>60</v>
      </c>
      <c r="O429">
        <v>1</v>
      </c>
      <c r="P429">
        <v>3</v>
      </c>
      <c r="Q429">
        <v>85</v>
      </c>
      <c r="R429">
        <v>0.57040000000000002</v>
      </c>
      <c r="S429">
        <v>0.76970000000000005</v>
      </c>
      <c r="U429">
        <v>0.19930000000000003</v>
      </c>
      <c r="V429">
        <v>261.99756782549912</v>
      </c>
      <c r="W429">
        <v>56.795783481045412</v>
      </c>
      <c r="X429">
        <v>217.37759725514132</v>
      </c>
      <c r="Y429">
        <v>18.077597255141285</v>
      </c>
      <c r="Z429">
        <v>8.3162190968203475</v>
      </c>
    </row>
    <row r="430" spans="1:26" x14ac:dyDescent="0.35">
      <c r="A430">
        <v>428</v>
      </c>
      <c r="B430" t="s">
        <v>690</v>
      </c>
      <c r="C430">
        <v>46048</v>
      </c>
      <c r="D430" t="s">
        <v>16</v>
      </c>
      <c r="E430" t="s">
        <v>281</v>
      </c>
      <c r="F430" t="s">
        <v>269</v>
      </c>
      <c r="G430" t="s">
        <v>282</v>
      </c>
      <c r="H430" t="s">
        <v>283</v>
      </c>
      <c r="I430" t="s">
        <v>22</v>
      </c>
      <c r="J430" t="s">
        <v>23</v>
      </c>
      <c r="K430" t="s">
        <v>215</v>
      </c>
      <c r="L430" t="s">
        <v>280</v>
      </c>
      <c r="M430">
        <v>28</v>
      </c>
      <c r="N430">
        <v>60</v>
      </c>
      <c r="O430">
        <v>1</v>
      </c>
      <c r="P430">
        <v>1</v>
      </c>
      <c r="Q430">
        <v>86</v>
      </c>
      <c r="R430">
        <v>0.58679999999999999</v>
      </c>
      <c r="S430">
        <v>0.72399999999999998</v>
      </c>
      <c r="U430">
        <v>0.13719999999999999</v>
      </c>
      <c r="V430">
        <v>319.03678896331121</v>
      </c>
      <c r="W430">
        <v>69.927896364571097</v>
      </c>
      <c r="X430">
        <v>226.86284584303041</v>
      </c>
      <c r="Y430">
        <v>89.662845843030425</v>
      </c>
      <c r="Z430">
        <v>39.522930918828997</v>
      </c>
    </row>
    <row r="431" spans="1:26" x14ac:dyDescent="0.35">
      <c r="A431">
        <v>429</v>
      </c>
      <c r="B431" t="s">
        <v>690</v>
      </c>
      <c r="C431">
        <v>46048</v>
      </c>
      <c r="D431" t="s">
        <v>16</v>
      </c>
      <c r="E431" t="s">
        <v>281</v>
      </c>
      <c r="F431" t="s">
        <v>269</v>
      </c>
      <c r="G431" t="s">
        <v>282</v>
      </c>
      <c r="H431" t="s">
        <v>283</v>
      </c>
      <c r="I431" t="s">
        <v>22</v>
      </c>
      <c r="J431" t="s">
        <v>23</v>
      </c>
      <c r="K431" t="s">
        <v>215</v>
      </c>
      <c r="L431" t="s">
        <v>280</v>
      </c>
      <c r="M431">
        <v>28</v>
      </c>
      <c r="N431">
        <v>60</v>
      </c>
      <c r="O431">
        <v>1</v>
      </c>
      <c r="P431">
        <v>2</v>
      </c>
      <c r="Q431">
        <v>87</v>
      </c>
      <c r="R431">
        <v>0.57299999999999995</v>
      </c>
      <c r="S431">
        <v>0.749</v>
      </c>
      <c r="U431">
        <v>0.17600000000000005</v>
      </c>
      <c r="V431">
        <v>280.41917424772583</v>
      </c>
      <c r="W431">
        <v>61.438955694601397</v>
      </c>
      <c r="X431">
        <v>226.95353656693328</v>
      </c>
      <c r="Y431">
        <v>50.953536566933224</v>
      </c>
      <c r="Z431">
        <v>22.451087274379606</v>
      </c>
    </row>
    <row r="432" spans="1:26" x14ac:dyDescent="0.35">
      <c r="A432">
        <v>430</v>
      </c>
      <c r="B432" t="s">
        <v>691</v>
      </c>
      <c r="C432">
        <v>46048</v>
      </c>
      <c r="D432" t="s">
        <v>16</v>
      </c>
      <c r="E432" t="s">
        <v>281</v>
      </c>
      <c r="F432" t="s">
        <v>269</v>
      </c>
      <c r="G432" t="s">
        <v>282</v>
      </c>
      <c r="H432" t="s">
        <v>283</v>
      </c>
      <c r="I432" t="s">
        <v>22</v>
      </c>
      <c r="J432" t="s">
        <v>23</v>
      </c>
      <c r="K432" t="s">
        <v>215</v>
      </c>
      <c r="L432" t="s">
        <v>280</v>
      </c>
      <c r="M432">
        <v>28</v>
      </c>
      <c r="N432">
        <v>60</v>
      </c>
      <c r="O432">
        <v>1</v>
      </c>
      <c r="P432">
        <v>3</v>
      </c>
      <c r="Q432">
        <v>88</v>
      </c>
      <c r="R432">
        <v>0.57310000000000005</v>
      </c>
      <c r="S432">
        <v>0.71730000000000005</v>
      </c>
      <c r="U432">
        <v>0.14419999999999999</v>
      </c>
      <c r="V432">
        <v>312.12798160551853</v>
      </c>
      <c r="W432">
        <v>68.399921588710185</v>
      </c>
      <c r="X432">
        <v>226.90819120498185</v>
      </c>
      <c r="Y432">
        <v>82.708191204981858</v>
      </c>
      <c r="Z432">
        <v>36.450068534663799</v>
      </c>
    </row>
    <row r="433" spans="1:26" x14ac:dyDescent="0.35">
      <c r="A433">
        <v>431</v>
      </c>
      <c r="B433" t="s">
        <v>691</v>
      </c>
      <c r="C433">
        <v>46048</v>
      </c>
      <c r="D433" t="s">
        <v>16</v>
      </c>
      <c r="E433" t="s">
        <v>285</v>
      </c>
      <c r="F433" t="s">
        <v>269</v>
      </c>
      <c r="G433" t="s">
        <v>282</v>
      </c>
      <c r="H433" t="s">
        <v>283</v>
      </c>
      <c r="I433" t="s">
        <v>22</v>
      </c>
      <c r="J433" t="s">
        <v>23</v>
      </c>
      <c r="K433" t="s">
        <v>215</v>
      </c>
      <c r="L433" t="s">
        <v>284</v>
      </c>
      <c r="M433">
        <v>28</v>
      </c>
      <c r="N433">
        <v>60</v>
      </c>
      <c r="O433">
        <v>1</v>
      </c>
      <c r="P433">
        <v>1</v>
      </c>
      <c r="Q433">
        <v>89</v>
      </c>
      <c r="R433">
        <v>0.56830000000000003</v>
      </c>
      <c r="S433">
        <v>0.80530000000000002</v>
      </c>
      <c r="U433">
        <v>0.23699999999999999</v>
      </c>
      <c r="V433">
        <v>230.03163583471684</v>
      </c>
      <c r="W433">
        <v>49.253973004116872</v>
      </c>
      <c r="X433">
        <v>263.62794559244145</v>
      </c>
      <c r="Y433">
        <v>26.627945592441449</v>
      </c>
      <c r="Z433">
        <v>10.100577741332179</v>
      </c>
    </row>
    <row r="434" spans="1:26" x14ac:dyDescent="0.35">
      <c r="A434">
        <v>432</v>
      </c>
      <c r="B434" t="s">
        <v>691</v>
      </c>
      <c r="C434">
        <v>46048</v>
      </c>
      <c r="D434" t="s">
        <v>16</v>
      </c>
      <c r="E434" t="s">
        <v>285</v>
      </c>
      <c r="F434" t="s">
        <v>269</v>
      </c>
      <c r="G434" t="s">
        <v>282</v>
      </c>
      <c r="H434" t="s">
        <v>283</v>
      </c>
      <c r="I434" t="s">
        <v>22</v>
      </c>
      <c r="J434" t="s">
        <v>23</v>
      </c>
      <c r="K434" t="s">
        <v>215</v>
      </c>
      <c r="L434" t="s">
        <v>284</v>
      </c>
      <c r="M434">
        <v>28</v>
      </c>
      <c r="N434">
        <v>60</v>
      </c>
      <c r="O434">
        <v>1</v>
      </c>
      <c r="P434">
        <v>2</v>
      </c>
      <c r="Q434">
        <v>90</v>
      </c>
      <c r="R434">
        <v>0.57599999999999996</v>
      </c>
      <c r="S434">
        <v>0.79679999999999995</v>
      </c>
      <c r="U434">
        <v>0.2208</v>
      </c>
      <c r="V434">
        <v>246.41844848905069</v>
      </c>
      <c r="W434">
        <v>52.741592136601078</v>
      </c>
      <c r="X434">
        <v>263.73339677067838</v>
      </c>
      <c r="Y434">
        <v>42.933396770678399</v>
      </c>
      <c r="Z434">
        <v>16.279089905329613</v>
      </c>
    </row>
    <row r="435" spans="1:26" x14ac:dyDescent="0.35">
      <c r="A435">
        <v>433</v>
      </c>
      <c r="B435" t="s">
        <v>691</v>
      </c>
      <c r="C435">
        <v>46048</v>
      </c>
      <c r="D435" t="s">
        <v>16</v>
      </c>
      <c r="E435" t="s">
        <v>285</v>
      </c>
      <c r="F435" t="s">
        <v>269</v>
      </c>
      <c r="G435" t="s">
        <v>282</v>
      </c>
      <c r="H435" t="s">
        <v>283</v>
      </c>
      <c r="I435" t="s">
        <v>22</v>
      </c>
      <c r="J435" t="s">
        <v>23</v>
      </c>
      <c r="K435" t="s">
        <v>215</v>
      </c>
      <c r="L435" t="s">
        <v>284</v>
      </c>
      <c r="M435">
        <v>28</v>
      </c>
      <c r="N435">
        <v>60</v>
      </c>
      <c r="O435">
        <v>1</v>
      </c>
      <c r="P435">
        <v>3</v>
      </c>
      <c r="Q435">
        <v>91</v>
      </c>
      <c r="R435">
        <v>0.59970000000000001</v>
      </c>
      <c r="S435">
        <v>0.8216</v>
      </c>
      <c r="U435">
        <v>0.22189999999999999</v>
      </c>
      <c r="V435">
        <v>245.3184484890507</v>
      </c>
      <c r="W435">
        <v>52.506156227861311</v>
      </c>
      <c r="X435">
        <v>263.73339677067838</v>
      </c>
      <c r="Y435">
        <v>41.833396770678405</v>
      </c>
      <c r="Z435">
        <v>15.86200203801015</v>
      </c>
    </row>
    <row r="436" spans="1:26" x14ac:dyDescent="0.35">
      <c r="A436">
        <v>434</v>
      </c>
      <c r="B436" t="s">
        <v>691</v>
      </c>
      <c r="C436">
        <v>46048</v>
      </c>
      <c r="D436" t="s">
        <v>16</v>
      </c>
      <c r="E436" t="s">
        <v>287</v>
      </c>
      <c r="F436" t="s">
        <v>235</v>
      </c>
      <c r="G436" t="s">
        <v>274</v>
      </c>
      <c r="H436" t="s">
        <v>275</v>
      </c>
      <c r="I436" t="s">
        <v>22</v>
      </c>
      <c r="J436" t="s">
        <v>23</v>
      </c>
      <c r="K436" t="s">
        <v>215</v>
      </c>
      <c r="L436" t="s">
        <v>286</v>
      </c>
      <c r="M436">
        <v>28</v>
      </c>
      <c r="N436">
        <v>60</v>
      </c>
      <c r="O436">
        <v>1</v>
      </c>
      <c r="P436">
        <v>1</v>
      </c>
      <c r="Q436">
        <v>92</v>
      </c>
      <c r="R436">
        <v>0.58360000000000001</v>
      </c>
      <c r="S436">
        <v>0.84950000000000003</v>
      </c>
      <c r="U436">
        <v>0.26590000000000003</v>
      </c>
      <c r="V436">
        <v>194.76510888203313</v>
      </c>
      <c r="W436">
        <v>42.279110166320081</v>
      </c>
      <c r="X436">
        <v>227.87693603562559</v>
      </c>
      <c r="Y436">
        <v>-38.023063964374444</v>
      </c>
      <c r="Z436">
        <v>-16.685788665523411</v>
      </c>
    </row>
    <row r="437" spans="1:26" x14ac:dyDescent="0.35">
      <c r="A437">
        <v>435</v>
      </c>
      <c r="B437" t="s">
        <v>691</v>
      </c>
      <c r="C437">
        <v>46048</v>
      </c>
      <c r="D437" t="s">
        <v>16</v>
      </c>
      <c r="E437" t="s">
        <v>287</v>
      </c>
      <c r="F437" t="s">
        <v>235</v>
      </c>
      <c r="G437" t="s">
        <v>274</v>
      </c>
      <c r="H437" t="s">
        <v>275</v>
      </c>
      <c r="I437" t="s">
        <v>22</v>
      </c>
      <c r="J437" t="s">
        <v>23</v>
      </c>
      <c r="K437" t="s">
        <v>215</v>
      </c>
      <c r="L437" t="s">
        <v>286</v>
      </c>
      <c r="M437">
        <v>28</v>
      </c>
      <c r="N437">
        <v>60</v>
      </c>
      <c r="O437">
        <v>1</v>
      </c>
      <c r="P437">
        <v>2</v>
      </c>
      <c r="Q437">
        <v>273</v>
      </c>
      <c r="R437">
        <v>0.59230000000000005</v>
      </c>
      <c r="S437">
        <v>0.85170000000000001</v>
      </c>
      <c r="U437">
        <v>0.25939999999999996</v>
      </c>
      <c r="V437">
        <v>201.44930124863942</v>
      </c>
      <c r="W437">
        <v>43.712619440417164</v>
      </c>
      <c r="X437">
        <v>227.9680503643084</v>
      </c>
      <c r="Y437">
        <v>-31.431949635691581</v>
      </c>
      <c r="Z437">
        <v>-13.787874917323368</v>
      </c>
    </row>
    <row r="438" spans="1:26" x14ac:dyDescent="0.35">
      <c r="A438">
        <v>436</v>
      </c>
      <c r="B438" t="s">
        <v>691</v>
      </c>
      <c r="C438">
        <v>46048</v>
      </c>
      <c r="D438" t="s">
        <v>16</v>
      </c>
      <c r="E438" t="s">
        <v>287</v>
      </c>
      <c r="F438" t="s">
        <v>235</v>
      </c>
      <c r="G438" t="s">
        <v>274</v>
      </c>
      <c r="H438" t="s">
        <v>275</v>
      </c>
      <c r="I438" t="s">
        <v>22</v>
      </c>
      <c r="J438" t="s">
        <v>23</v>
      </c>
      <c r="K438" t="s">
        <v>215</v>
      </c>
      <c r="L438" t="s">
        <v>286</v>
      </c>
      <c r="M438">
        <v>28</v>
      </c>
      <c r="N438">
        <v>60</v>
      </c>
      <c r="O438">
        <v>1</v>
      </c>
      <c r="P438">
        <v>3</v>
      </c>
      <c r="Q438">
        <v>274</v>
      </c>
      <c r="R438">
        <v>0.5837</v>
      </c>
      <c r="S438">
        <v>0.84360000000000002</v>
      </c>
      <c r="U438">
        <v>0.25990000000000002</v>
      </c>
      <c r="V438">
        <v>200.58091651542702</v>
      </c>
      <c r="W438">
        <v>43.559007403232343</v>
      </c>
      <c r="X438">
        <v>227.78582170694284</v>
      </c>
      <c r="Y438">
        <v>-32.114178293057194</v>
      </c>
      <c r="Z438">
        <v>-14.098409660621281</v>
      </c>
    </row>
    <row r="439" spans="1:26" x14ac:dyDescent="0.35">
      <c r="A439">
        <v>437</v>
      </c>
      <c r="B439" t="s">
        <v>691</v>
      </c>
      <c r="C439">
        <v>46048</v>
      </c>
      <c r="D439" t="s">
        <v>16</v>
      </c>
      <c r="E439" t="s">
        <v>289</v>
      </c>
      <c r="F439" t="s">
        <v>290</v>
      </c>
      <c r="G439" t="s">
        <v>291</v>
      </c>
      <c r="H439" t="s">
        <v>292</v>
      </c>
      <c r="I439" t="s">
        <v>22</v>
      </c>
      <c r="J439" t="s">
        <v>23</v>
      </c>
      <c r="K439" t="s">
        <v>215</v>
      </c>
      <c r="L439" t="s">
        <v>288</v>
      </c>
      <c r="M439">
        <v>28</v>
      </c>
      <c r="N439">
        <v>60</v>
      </c>
      <c r="O439">
        <v>1</v>
      </c>
      <c r="P439">
        <v>1</v>
      </c>
      <c r="Q439">
        <v>275</v>
      </c>
      <c r="R439">
        <v>0.58289999999999997</v>
      </c>
      <c r="S439">
        <v>0.78859999999999997</v>
      </c>
      <c r="U439">
        <v>0.20569999999999999</v>
      </c>
      <c r="V439">
        <v>252.38352488506899</v>
      </c>
      <c r="W439">
        <v>55.095525417202204</v>
      </c>
      <c r="X439">
        <v>195.46963744457952</v>
      </c>
      <c r="Y439">
        <v>-10.23036255542047</v>
      </c>
      <c r="Z439">
        <v>-5.2337348598812596</v>
      </c>
    </row>
    <row r="440" spans="1:26" x14ac:dyDescent="0.35">
      <c r="A440">
        <v>438</v>
      </c>
      <c r="B440" t="s">
        <v>691</v>
      </c>
      <c r="C440">
        <v>46048</v>
      </c>
      <c r="D440" t="s">
        <v>16</v>
      </c>
      <c r="E440" t="s">
        <v>289</v>
      </c>
      <c r="F440" t="s">
        <v>290</v>
      </c>
      <c r="G440" t="s">
        <v>291</v>
      </c>
      <c r="H440" t="s">
        <v>292</v>
      </c>
      <c r="I440" t="s">
        <v>22</v>
      </c>
      <c r="J440" t="s">
        <v>23</v>
      </c>
      <c r="K440" t="s">
        <v>215</v>
      </c>
      <c r="L440" t="s">
        <v>288</v>
      </c>
      <c r="M440">
        <v>28</v>
      </c>
      <c r="N440">
        <v>60</v>
      </c>
      <c r="O440">
        <v>1</v>
      </c>
      <c r="P440">
        <v>2</v>
      </c>
      <c r="Q440">
        <v>1</v>
      </c>
      <c r="R440">
        <v>0.58130000000000004</v>
      </c>
      <c r="S440">
        <v>0.78239999999999998</v>
      </c>
      <c r="U440">
        <v>0.20109999999999995</v>
      </c>
      <c r="V440">
        <v>256.98352488506907</v>
      </c>
      <c r="W440">
        <v>56.099709097712051</v>
      </c>
      <c r="X440">
        <v>195.46963744457952</v>
      </c>
      <c r="Y440">
        <v>-5.6303625554204189</v>
      </c>
      <c r="Z440">
        <v>-2.8804281979684778</v>
      </c>
    </row>
    <row r="441" spans="1:26" x14ac:dyDescent="0.35">
      <c r="A441">
        <v>439</v>
      </c>
      <c r="B441" t="s">
        <v>691</v>
      </c>
      <c r="C441">
        <v>46048</v>
      </c>
      <c r="D441" t="s">
        <v>16</v>
      </c>
      <c r="E441" t="s">
        <v>289</v>
      </c>
      <c r="F441" t="s">
        <v>290</v>
      </c>
      <c r="G441" t="s">
        <v>291</v>
      </c>
      <c r="H441" t="s">
        <v>292</v>
      </c>
      <c r="I441" t="s">
        <v>22</v>
      </c>
      <c r="J441" t="s">
        <v>23</v>
      </c>
      <c r="K441" t="s">
        <v>215</v>
      </c>
      <c r="L441" t="s">
        <v>288</v>
      </c>
      <c r="M441">
        <v>28</v>
      </c>
      <c r="N441">
        <v>60</v>
      </c>
      <c r="O441">
        <v>1</v>
      </c>
      <c r="P441">
        <v>3</v>
      </c>
      <c r="Q441">
        <v>2</v>
      </c>
      <c r="R441">
        <v>0.59289999999999998</v>
      </c>
      <c r="S441">
        <v>0.81620000000000004</v>
      </c>
      <c r="U441">
        <v>0.22330000000000005</v>
      </c>
      <c r="V441">
        <v>234.87512327036887</v>
      </c>
      <c r="W441">
        <v>51.263176750818303</v>
      </c>
      <c r="X441">
        <v>195.5087235548464</v>
      </c>
      <c r="Y441">
        <v>-27.79127644515367</v>
      </c>
      <c r="Z441">
        <v>-14.214852380925771</v>
      </c>
    </row>
    <row r="442" spans="1:26" x14ac:dyDescent="0.35">
      <c r="A442">
        <v>440</v>
      </c>
      <c r="B442" t="s">
        <v>691</v>
      </c>
      <c r="C442">
        <v>46048</v>
      </c>
      <c r="D442" t="s">
        <v>16</v>
      </c>
      <c r="E442" t="s">
        <v>294</v>
      </c>
      <c r="F442" t="s">
        <v>240</v>
      </c>
      <c r="G442" t="s">
        <v>241</v>
      </c>
      <c r="H442" t="s">
        <v>242</v>
      </c>
      <c r="I442" t="s">
        <v>22</v>
      </c>
      <c r="J442" t="s">
        <v>23</v>
      </c>
      <c r="K442" t="s">
        <v>215</v>
      </c>
      <c r="L442" t="s">
        <v>293</v>
      </c>
      <c r="M442">
        <v>28</v>
      </c>
      <c r="N442">
        <v>60</v>
      </c>
      <c r="O442">
        <v>1</v>
      </c>
      <c r="P442">
        <v>1</v>
      </c>
      <c r="Q442">
        <v>276</v>
      </c>
      <c r="R442">
        <v>0.6018</v>
      </c>
      <c r="S442">
        <v>0.86499999999999999</v>
      </c>
      <c r="U442">
        <v>0.26319999999999999</v>
      </c>
      <c r="V442">
        <v>200.81230808272005</v>
      </c>
      <c r="W442">
        <v>43.277366695825016</v>
      </c>
      <c r="X442">
        <v>265.63570638590232</v>
      </c>
      <c r="Y442">
        <v>2.4357063859023356</v>
      </c>
      <c r="Z442">
        <v>0.91693485753148818</v>
      </c>
    </row>
    <row r="443" spans="1:26" x14ac:dyDescent="0.35">
      <c r="A443">
        <v>441</v>
      </c>
      <c r="B443" t="s">
        <v>691</v>
      </c>
      <c r="C443">
        <v>46048</v>
      </c>
      <c r="D443" t="s">
        <v>16</v>
      </c>
      <c r="E443" t="s">
        <v>294</v>
      </c>
      <c r="F443" t="s">
        <v>240</v>
      </c>
      <c r="G443" t="s">
        <v>241</v>
      </c>
      <c r="H443" t="s">
        <v>242</v>
      </c>
      <c r="I443" t="s">
        <v>22</v>
      </c>
      <c r="J443" t="s">
        <v>23</v>
      </c>
      <c r="K443" t="s">
        <v>215</v>
      </c>
      <c r="L443" t="s">
        <v>293</v>
      </c>
      <c r="M443">
        <v>28</v>
      </c>
      <c r="N443">
        <v>60</v>
      </c>
      <c r="O443">
        <v>1</v>
      </c>
      <c r="P443">
        <v>2</v>
      </c>
      <c r="Q443">
        <v>277</v>
      </c>
      <c r="R443">
        <v>0.57530000000000003</v>
      </c>
      <c r="S443">
        <v>0.78710000000000002</v>
      </c>
      <c r="U443">
        <v>0.21179999999999999</v>
      </c>
      <c r="V443">
        <v>252.21230808272006</v>
      </c>
      <c r="W443">
        <v>54.354659066017241</v>
      </c>
      <c r="X443">
        <v>265.63570638590232</v>
      </c>
      <c r="Y443">
        <v>53.835706385902341</v>
      </c>
      <c r="Z443">
        <v>20.266743171828153</v>
      </c>
    </row>
    <row r="444" spans="1:26" x14ac:dyDescent="0.35">
      <c r="A444">
        <v>442</v>
      </c>
      <c r="B444" t="s">
        <v>691</v>
      </c>
      <c r="C444">
        <v>46048</v>
      </c>
      <c r="D444" t="s">
        <v>16</v>
      </c>
      <c r="E444" t="s">
        <v>294</v>
      </c>
      <c r="F444" t="s">
        <v>240</v>
      </c>
      <c r="G444" t="s">
        <v>241</v>
      </c>
      <c r="H444" t="s">
        <v>242</v>
      </c>
      <c r="I444" t="s">
        <v>22</v>
      </c>
      <c r="J444" t="s">
        <v>23</v>
      </c>
      <c r="K444" t="s">
        <v>215</v>
      </c>
      <c r="L444" t="s">
        <v>293</v>
      </c>
      <c r="M444">
        <v>28</v>
      </c>
      <c r="N444">
        <v>60</v>
      </c>
      <c r="O444">
        <v>1</v>
      </c>
      <c r="P444">
        <v>3</v>
      </c>
      <c r="Q444">
        <v>278</v>
      </c>
      <c r="R444">
        <v>0.56130000000000002</v>
      </c>
      <c r="S444">
        <v>0.77600000000000002</v>
      </c>
      <c r="U444">
        <v>0.2147</v>
      </c>
      <c r="V444">
        <v>249.21956126919162</v>
      </c>
      <c r="W444">
        <v>53.720425279627463</v>
      </c>
      <c r="X444">
        <v>265.58261110179564</v>
      </c>
      <c r="Y444">
        <v>50.882611101795646</v>
      </c>
      <c r="Z444">
        <v>19.158863937177255</v>
      </c>
    </row>
    <row r="445" spans="1:26" x14ac:dyDescent="0.35">
      <c r="A445">
        <v>443</v>
      </c>
      <c r="B445" t="s">
        <v>691</v>
      </c>
      <c r="C445">
        <v>46048</v>
      </c>
      <c r="D445" t="s">
        <v>16</v>
      </c>
      <c r="E445" t="s">
        <v>296</v>
      </c>
      <c r="F445" t="s">
        <v>240</v>
      </c>
      <c r="G445" t="s">
        <v>297</v>
      </c>
      <c r="H445" t="s">
        <v>298</v>
      </c>
      <c r="I445" t="s">
        <v>22</v>
      </c>
      <c r="J445" t="s">
        <v>23</v>
      </c>
      <c r="K445" t="s">
        <v>215</v>
      </c>
      <c r="L445" t="s">
        <v>295</v>
      </c>
      <c r="M445">
        <v>28</v>
      </c>
      <c r="N445">
        <v>60</v>
      </c>
      <c r="O445">
        <v>1</v>
      </c>
      <c r="P445">
        <v>1</v>
      </c>
      <c r="Q445">
        <v>279</v>
      </c>
      <c r="R445">
        <v>0.5998</v>
      </c>
      <c r="S445">
        <v>0.77910000000000001</v>
      </c>
      <c r="U445">
        <v>0.17930000000000001</v>
      </c>
      <c r="V445">
        <v>279.30621646293622</v>
      </c>
      <c r="W445">
        <v>60.903277460371982</v>
      </c>
      <c r="X445">
        <v>280.27676077718411</v>
      </c>
      <c r="Y445">
        <v>100.9767607771841</v>
      </c>
      <c r="Z445">
        <v>36.027518120726079</v>
      </c>
    </row>
    <row r="446" spans="1:26" x14ac:dyDescent="0.35">
      <c r="A446">
        <v>444</v>
      </c>
      <c r="B446" t="s">
        <v>691</v>
      </c>
      <c r="C446">
        <v>46048</v>
      </c>
      <c r="D446" t="s">
        <v>16</v>
      </c>
      <c r="E446" t="s">
        <v>296</v>
      </c>
      <c r="F446" t="s">
        <v>240</v>
      </c>
      <c r="G446" t="s">
        <v>297</v>
      </c>
      <c r="H446" t="s">
        <v>298</v>
      </c>
      <c r="I446" t="s">
        <v>22</v>
      </c>
      <c r="J446" t="s">
        <v>23</v>
      </c>
      <c r="K446" t="s">
        <v>215</v>
      </c>
      <c r="L446" t="s">
        <v>295</v>
      </c>
      <c r="M446">
        <v>28</v>
      </c>
      <c r="N446">
        <v>60</v>
      </c>
      <c r="O446">
        <v>1</v>
      </c>
      <c r="P446">
        <v>2</v>
      </c>
      <c r="Q446">
        <v>0</v>
      </c>
      <c r="R446">
        <v>0.58050000000000002</v>
      </c>
      <c r="S446">
        <v>0.76229999999999998</v>
      </c>
      <c r="U446">
        <v>0.18179999999999996</v>
      </c>
      <c r="V446">
        <v>277.08138019281404</v>
      </c>
      <c r="W446">
        <v>60.381918324162385</v>
      </c>
      <c r="X446">
        <v>280.44492683365041</v>
      </c>
      <c r="Y446">
        <v>98.644926833650459</v>
      </c>
      <c r="Z446">
        <v>35.174437971617508</v>
      </c>
    </row>
    <row r="447" spans="1:26" x14ac:dyDescent="0.35">
      <c r="A447">
        <v>445</v>
      </c>
      <c r="B447" t="s">
        <v>691</v>
      </c>
      <c r="C447">
        <v>46048</v>
      </c>
      <c r="D447" t="s">
        <v>16</v>
      </c>
      <c r="E447" t="s">
        <v>296</v>
      </c>
      <c r="F447" t="s">
        <v>240</v>
      </c>
      <c r="G447" t="s">
        <v>297</v>
      </c>
      <c r="H447" t="s">
        <v>298</v>
      </c>
      <c r="I447" t="s">
        <v>22</v>
      </c>
      <c r="J447" t="s">
        <v>23</v>
      </c>
      <c r="K447" t="s">
        <v>215</v>
      </c>
      <c r="L447" t="s">
        <v>295</v>
      </c>
      <c r="M447">
        <v>28</v>
      </c>
      <c r="N447">
        <v>60</v>
      </c>
      <c r="O447">
        <v>1</v>
      </c>
      <c r="P447">
        <v>3</v>
      </c>
      <c r="Q447">
        <v>0</v>
      </c>
      <c r="R447">
        <v>0.56920000000000004</v>
      </c>
      <c r="S447">
        <v>0.76370000000000005</v>
      </c>
      <c r="U447">
        <v>0.19450000000000001</v>
      </c>
      <c r="V447">
        <v>264.19793770622886</v>
      </c>
      <c r="W447">
        <v>57.597367676728751</v>
      </c>
      <c r="X447">
        <v>280.33281612933956</v>
      </c>
      <c r="Y447">
        <v>85.832816129339562</v>
      </c>
      <c r="Z447">
        <v>30.618183527160852</v>
      </c>
    </row>
    <row r="448" spans="1:26" x14ac:dyDescent="0.35">
      <c r="A448">
        <v>446</v>
      </c>
      <c r="B448" t="s">
        <v>691</v>
      </c>
      <c r="C448">
        <v>46048</v>
      </c>
      <c r="D448" t="s">
        <v>16</v>
      </c>
      <c r="E448" t="s">
        <v>300</v>
      </c>
      <c r="F448" t="s">
        <v>212</v>
      </c>
      <c r="G448" t="s">
        <v>301</v>
      </c>
      <c r="H448" t="s">
        <v>302</v>
      </c>
      <c r="I448" t="s">
        <v>22</v>
      </c>
      <c r="J448" t="s">
        <v>23</v>
      </c>
      <c r="K448" t="s">
        <v>303</v>
      </c>
      <c r="L448" t="s">
        <v>299</v>
      </c>
      <c r="M448">
        <v>28</v>
      </c>
      <c r="N448">
        <v>60</v>
      </c>
      <c r="O448">
        <v>1</v>
      </c>
      <c r="P448">
        <v>1</v>
      </c>
      <c r="Q448">
        <v>0</v>
      </c>
      <c r="R448">
        <v>0.58689999999999998</v>
      </c>
      <c r="S448">
        <v>0.76580000000000004</v>
      </c>
      <c r="U448">
        <v>0.17890000000000006</v>
      </c>
      <c r="V448">
        <v>279.52292770722909</v>
      </c>
      <c r="W448">
        <v>60.974901300256477</v>
      </c>
      <c r="X448">
        <v>232.50976751197769</v>
      </c>
      <c r="Y448">
        <v>53.609767511977623</v>
      </c>
      <c r="Z448">
        <v>23.056995878341297</v>
      </c>
    </row>
    <row r="449" spans="1:26" x14ac:dyDescent="0.35">
      <c r="A449">
        <v>447</v>
      </c>
      <c r="B449" t="s">
        <v>691</v>
      </c>
      <c r="C449">
        <v>46048</v>
      </c>
      <c r="D449" t="s">
        <v>16</v>
      </c>
      <c r="E449" t="s">
        <v>300</v>
      </c>
      <c r="F449" t="s">
        <v>212</v>
      </c>
      <c r="G449" t="s">
        <v>301</v>
      </c>
      <c r="H449" t="s">
        <v>302</v>
      </c>
      <c r="I449" t="s">
        <v>22</v>
      </c>
      <c r="J449" t="s">
        <v>23</v>
      </c>
      <c r="K449" t="s">
        <v>303</v>
      </c>
      <c r="L449" t="s">
        <v>299</v>
      </c>
      <c r="M449">
        <v>28</v>
      </c>
      <c r="N449">
        <v>60</v>
      </c>
      <c r="O449">
        <v>1</v>
      </c>
      <c r="P449">
        <v>2</v>
      </c>
      <c r="Q449">
        <v>0</v>
      </c>
      <c r="R449">
        <v>0.59530000000000005</v>
      </c>
      <c r="S449">
        <v>0.78520000000000001</v>
      </c>
      <c r="U449">
        <v>0.18989999999999996</v>
      </c>
      <c r="V449">
        <v>268.79792646410215</v>
      </c>
      <c r="W449">
        <v>58.6002052671451</v>
      </c>
      <c r="X449">
        <v>232.64924547689188</v>
      </c>
      <c r="Y449">
        <v>42.749245476891929</v>
      </c>
      <c r="Z449">
        <v>18.374977055809126</v>
      </c>
    </row>
    <row r="450" spans="1:26" x14ac:dyDescent="0.35">
      <c r="A450">
        <v>448</v>
      </c>
      <c r="B450" t="s">
        <v>691</v>
      </c>
      <c r="C450">
        <v>46048</v>
      </c>
      <c r="D450" t="s">
        <v>16</v>
      </c>
      <c r="E450" t="s">
        <v>300</v>
      </c>
      <c r="F450" t="s">
        <v>212</v>
      </c>
      <c r="G450" t="s">
        <v>301</v>
      </c>
      <c r="H450" t="s">
        <v>302</v>
      </c>
      <c r="I450" t="s">
        <v>22</v>
      </c>
      <c r="J450" t="s">
        <v>23</v>
      </c>
      <c r="K450" t="s">
        <v>303</v>
      </c>
      <c r="L450" t="s">
        <v>299</v>
      </c>
      <c r="M450">
        <v>28</v>
      </c>
      <c r="N450">
        <v>60</v>
      </c>
      <c r="O450">
        <v>1</v>
      </c>
      <c r="P450">
        <v>3</v>
      </c>
      <c r="Q450">
        <v>0</v>
      </c>
      <c r="R450">
        <v>0.54890000000000005</v>
      </c>
      <c r="S450">
        <v>0.74490000000000001</v>
      </c>
      <c r="U450">
        <v>0.19599999999999995</v>
      </c>
      <c r="V450">
        <v>262.33126145493827</v>
      </c>
      <c r="W450">
        <v>57.236170324098637</v>
      </c>
      <c r="X450">
        <v>232.4632748570063</v>
      </c>
      <c r="Y450">
        <v>36.463274857006354</v>
      </c>
      <c r="Z450">
        <v>15.685606631600532</v>
      </c>
    </row>
    <row r="451" spans="1:26" x14ac:dyDescent="0.35">
      <c r="A451">
        <v>449</v>
      </c>
      <c r="B451" t="s">
        <v>691</v>
      </c>
      <c r="C451">
        <v>46048</v>
      </c>
      <c r="D451" t="s">
        <v>16</v>
      </c>
      <c r="E451" t="s">
        <v>305</v>
      </c>
      <c r="F451" t="s">
        <v>212</v>
      </c>
      <c r="G451" t="s">
        <v>301</v>
      </c>
      <c r="H451" t="s">
        <v>302</v>
      </c>
      <c r="I451" t="s">
        <v>22</v>
      </c>
      <c r="J451" t="s">
        <v>23</v>
      </c>
      <c r="K451" t="s">
        <v>303</v>
      </c>
      <c r="L451" t="s">
        <v>304</v>
      </c>
      <c r="M451">
        <v>28</v>
      </c>
      <c r="N451">
        <v>60</v>
      </c>
      <c r="O451">
        <v>1</v>
      </c>
      <c r="P451">
        <v>1</v>
      </c>
      <c r="Q451">
        <v>0</v>
      </c>
      <c r="R451">
        <v>0.57620000000000005</v>
      </c>
      <c r="S451">
        <v>0.82640000000000002</v>
      </c>
      <c r="U451">
        <v>0.25019999999999998</v>
      </c>
      <c r="V451">
        <v>209.22747052309029</v>
      </c>
      <c r="W451">
        <v>45.54091427856288</v>
      </c>
      <c r="X451">
        <v>231.16305074755957</v>
      </c>
      <c r="Y451">
        <v>-19.036949252440422</v>
      </c>
      <c r="Z451">
        <v>-8.2352907140119136</v>
      </c>
    </row>
    <row r="452" spans="1:26" x14ac:dyDescent="0.35">
      <c r="A452">
        <v>450</v>
      </c>
      <c r="B452" t="s">
        <v>691</v>
      </c>
      <c r="C452">
        <v>46048</v>
      </c>
      <c r="D452" t="s">
        <v>16</v>
      </c>
      <c r="E452" t="s">
        <v>305</v>
      </c>
      <c r="F452" t="s">
        <v>212</v>
      </c>
      <c r="G452" t="s">
        <v>301</v>
      </c>
      <c r="H452" t="s">
        <v>302</v>
      </c>
      <c r="I452" t="s">
        <v>22</v>
      </c>
      <c r="J452" t="s">
        <v>23</v>
      </c>
      <c r="K452" t="s">
        <v>303</v>
      </c>
      <c r="L452" t="s">
        <v>304</v>
      </c>
      <c r="M452">
        <v>28</v>
      </c>
      <c r="N452">
        <v>60</v>
      </c>
      <c r="O452">
        <v>1</v>
      </c>
      <c r="P452">
        <v>2</v>
      </c>
      <c r="Q452">
        <v>0</v>
      </c>
      <c r="R452">
        <v>0.58040000000000003</v>
      </c>
      <c r="S452">
        <v>0.81079999999999997</v>
      </c>
      <c r="U452">
        <v>0.23039999999999994</v>
      </c>
      <c r="V452">
        <v>229.1192825675594</v>
      </c>
      <c r="W452">
        <v>49.86064595317039</v>
      </c>
      <c r="X452">
        <v>231.20924640118616</v>
      </c>
      <c r="Y452">
        <v>0.80924640118621483</v>
      </c>
      <c r="Z452">
        <v>0.35000607189473681</v>
      </c>
    </row>
    <row r="453" spans="1:26" x14ac:dyDescent="0.35">
      <c r="A453">
        <v>451</v>
      </c>
      <c r="B453" t="s">
        <v>691</v>
      </c>
      <c r="C453">
        <v>46048</v>
      </c>
      <c r="D453" t="s">
        <v>16</v>
      </c>
      <c r="E453" t="s">
        <v>305</v>
      </c>
      <c r="F453" t="s">
        <v>212</v>
      </c>
      <c r="G453" t="s">
        <v>301</v>
      </c>
      <c r="H453" t="s">
        <v>302</v>
      </c>
      <c r="I453" t="s">
        <v>22</v>
      </c>
      <c r="J453" t="s">
        <v>23</v>
      </c>
      <c r="K453" t="s">
        <v>303</v>
      </c>
      <c r="L453" t="s">
        <v>304</v>
      </c>
      <c r="M453">
        <v>28</v>
      </c>
      <c r="N453">
        <v>60</v>
      </c>
      <c r="O453">
        <v>1</v>
      </c>
      <c r="P453">
        <v>3</v>
      </c>
      <c r="Q453">
        <v>0</v>
      </c>
      <c r="R453">
        <v>0.57250000000000001</v>
      </c>
      <c r="S453">
        <v>0.81440000000000001</v>
      </c>
      <c r="U453">
        <v>0.2419</v>
      </c>
      <c r="V453">
        <v>217.3438464341522</v>
      </c>
      <c r="W453">
        <v>47.326458072708355</v>
      </c>
      <c r="X453">
        <v>231.07065944030634</v>
      </c>
      <c r="Y453">
        <v>-10.829340559693662</v>
      </c>
      <c r="Z453">
        <v>-4.6865926578148107</v>
      </c>
    </row>
    <row r="454" spans="1:26" x14ac:dyDescent="0.35">
      <c r="A454">
        <v>452</v>
      </c>
      <c r="B454" t="s">
        <v>691</v>
      </c>
      <c r="C454">
        <v>46048</v>
      </c>
      <c r="D454" t="s">
        <v>16</v>
      </c>
      <c r="E454" t="s">
        <v>307</v>
      </c>
      <c r="F454" t="s">
        <v>212</v>
      </c>
      <c r="G454" t="s">
        <v>213</v>
      </c>
      <c r="H454" t="s">
        <v>214</v>
      </c>
      <c r="I454" t="s">
        <v>22</v>
      </c>
      <c r="J454" t="s">
        <v>23</v>
      </c>
      <c r="K454" t="s">
        <v>215</v>
      </c>
      <c r="L454" t="s">
        <v>306</v>
      </c>
      <c r="M454">
        <v>28</v>
      </c>
      <c r="N454">
        <v>60</v>
      </c>
      <c r="O454">
        <v>1</v>
      </c>
      <c r="P454">
        <v>1</v>
      </c>
      <c r="Q454">
        <v>0</v>
      </c>
      <c r="R454">
        <v>0.5786</v>
      </c>
      <c r="S454">
        <v>0.86839999999999995</v>
      </c>
      <c r="U454">
        <v>0.28979999999999995</v>
      </c>
      <c r="V454">
        <v>164.1971192899137</v>
      </c>
      <c r="W454">
        <v>36.1669958493857</v>
      </c>
      <c r="X454">
        <v>264.65631977691544</v>
      </c>
      <c r="Y454">
        <v>-25.143680223084516</v>
      </c>
      <c r="Z454">
        <v>-9.5005024796984525</v>
      </c>
    </row>
    <row r="455" spans="1:26" x14ac:dyDescent="0.35">
      <c r="A455">
        <v>453</v>
      </c>
      <c r="B455" t="s">
        <v>691</v>
      </c>
      <c r="C455">
        <v>46048</v>
      </c>
      <c r="D455" t="s">
        <v>16</v>
      </c>
      <c r="E455" t="s">
        <v>307</v>
      </c>
      <c r="F455" t="s">
        <v>212</v>
      </c>
      <c r="G455" t="s">
        <v>213</v>
      </c>
      <c r="H455" t="s">
        <v>214</v>
      </c>
      <c r="I455" t="s">
        <v>22</v>
      </c>
      <c r="J455" t="s">
        <v>23</v>
      </c>
      <c r="K455" t="s">
        <v>215</v>
      </c>
      <c r="L455" t="s">
        <v>306</v>
      </c>
      <c r="M455">
        <v>28</v>
      </c>
      <c r="N455">
        <v>60</v>
      </c>
      <c r="O455">
        <v>1</v>
      </c>
      <c r="P455">
        <v>2</v>
      </c>
      <c r="Q455">
        <v>0</v>
      </c>
      <c r="R455">
        <v>0.57110000000000005</v>
      </c>
      <c r="S455">
        <v>0.83930000000000005</v>
      </c>
      <c r="U455">
        <v>0.26819999999999999</v>
      </c>
      <c r="V455">
        <v>185.34357571419952</v>
      </c>
      <c r="W455">
        <v>40.86566002447222</v>
      </c>
      <c r="X455">
        <v>264.39192784906641</v>
      </c>
      <c r="Y455">
        <v>-3.8080721509335831</v>
      </c>
      <c r="Z455">
        <v>-1.4403133189102126</v>
      </c>
    </row>
    <row r="456" spans="1:26" x14ac:dyDescent="0.35">
      <c r="A456">
        <v>454</v>
      </c>
      <c r="B456" t="s">
        <v>691</v>
      </c>
      <c r="C456">
        <v>46048</v>
      </c>
      <c r="D456" t="s">
        <v>16</v>
      </c>
      <c r="E456" t="s">
        <v>307</v>
      </c>
      <c r="F456" t="s">
        <v>212</v>
      </c>
      <c r="G456" t="s">
        <v>213</v>
      </c>
      <c r="H456" t="s">
        <v>214</v>
      </c>
      <c r="I456" t="s">
        <v>22</v>
      </c>
      <c r="J456" t="s">
        <v>23</v>
      </c>
      <c r="K456" t="s">
        <v>215</v>
      </c>
      <c r="L456" t="s">
        <v>306</v>
      </c>
      <c r="M456">
        <v>28</v>
      </c>
      <c r="N456">
        <v>60</v>
      </c>
      <c r="O456">
        <v>1</v>
      </c>
      <c r="P456">
        <v>3</v>
      </c>
      <c r="Q456">
        <v>0</v>
      </c>
      <c r="R456">
        <v>0.56859999999999999</v>
      </c>
      <c r="S456">
        <v>0.84530000000000005</v>
      </c>
      <c r="U456">
        <v>0.27670000000000006</v>
      </c>
      <c r="V456">
        <v>176.93428442934231</v>
      </c>
      <c r="W456">
        <v>39.003728444361315</v>
      </c>
      <c r="X456">
        <v>264.44480623463625</v>
      </c>
      <c r="Y456">
        <v>-12.255193765363799</v>
      </c>
      <c r="Z456">
        <v>-4.6343106298295105</v>
      </c>
    </row>
    <row r="457" spans="1:26" x14ac:dyDescent="0.35">
      <c r="A457">
        <v>455</v>
      </c>
      <c r="B457" t="s">
        <v>691</v>
      </c>
      <c r="C457">
        <v>46048</v>
      </c>
      <c r="D457" t="s">
        <v>16</v>
      </c>
      <c r="E457" t="s">
        <v>309</v>
      </c>
      <c r="F457" t="s">
        <v>212</v>
      </c>
      <c r="G457" t="s">
        <v>310</v>
      </c>
      <c r="H457" t="s">
        <v>311</v>
      </c>
      <c r="I457" t="s">
        <v>22</v>
      </c>
      <c r="J457" t="s">
        <v>23</v>
      </c>
      <c r="K457" t="s">
        <v>215</v>
      </c>
      <c r="L457" t="s">
        <v>308</v>
      </c>
      <c r="M457">
        <v>28</v>
      </c>
      <c r="N457">
        <v>60</v>
      </c>
      <c r="O457">
        <v>1</v>
      </c>
      <c r="P457">
        <v>1</v>
      </c>
      <c r="Q457">
        <v>0</v>
      </c>
      <c r="R457">
        <v>0.58299999999999996</v>
      </c>
      <c r="S457">
        <v>0.86580000000000001</v>
      </c>
      <c r="U457">
        <v>0.28280000000000005</v>
      </c>
      <c r="V457">
        <v>180.52322088955475</v>
      </c>
      <c r="W457">
        <v>38.962696612304512</v>
      </c>
      <c r="X457">
        <v>275.75290241975461</v>
      </c>
      <c r="Y457">
        <v>-7.0470975802454632</v>
      </c>
      <c r="Z457">
        <v>-2.5555841909211461</v>
      </c>
    </row>
    <row r="458" spans="1:26" x14ac:dyDescent="0.35">
      <c r="A458">
        <v>456</v>
      </c>
      <c r="B458" t="s">
        <v>691</v>
      </c>
      <c r="C458">
        <v>46048</v>
      </c>
      <c r="D458" t="s">
        <v>16</v>
      </c>
      <c r="E458" t="s">
        <v>309</v>
      </c>
      <c r="F458" t="s">
        <v>212</v>
      </c>
      <c r="G458" t="s">
        <v>310</v>
      </c>
      <c r="H458" t="s">
        <v>311</v>
      </c>
      <c r="I458" t="s">
        <v>22</v>
      </c>
      <c r="J458" t="s">
        <v>23</v>
      </c>
      <c r="K458" t="s">
        <v>215</v>
      </c>
      <c r="L458" t="s">
        <v>308</v>
      </c>
      <c r="M458">
        <v>28</v>
      </c>
      <c r="N458">
        <v>60</v>
      </c>
      <c r="O458">
        <v>1</v>
      </c>
      <c r="P458">
        <v>2</v>
      </c>
      <c r="Q458">
        <v>0</v>
      </c>
      <c r="R458">
        <v>0.58989999999999998</v>
      </c>
      <c r="S458">
        <v>0.93830000000000002</v>
      </c>
      <c r="U458">
        <v>0.34840000000000004</v>
      </c>
      <c r="V458">
        <v>114.64539365336282</v>
      </c>
      <c r="W458">
        <v>24.75899668255564</v>
      </c>
      <c r="X458">
        <v>275.58754988982071</v>
      </c>
      <c r="Y458">
        <v>-72.812450110179327</v>
      </c>
      <c r="Z458">
        <v>-26.420805344540994</v>
      </c>
    </row>
    <row r="459" spans="1:26" x14ac:dyDescent="0.35">
      <c r="A459">
        <v>457</v>
      </c>
      <c r="B459" t="s">
        <v>691</v>
      </c>
      <c r="C459">
        <v>46048</v>
      </c>
      <c r="D459" t="s">
        <v>16</v>
      </c>
      <c r="E459" t="s">
        <v>309</v>
      </c>
      <c r="F459" t="s">
        <v>212</v>
      </c>
      <c r="G459" t="s">
        <v>310</v>
      </c>
      <c r="H459" t="s">
        <v>311</v>
      </c>
      <c r="I459" t="s">
        <v>22</v>
      </c>
      <c r="J459" t="s">
        <v>23</v>
      </c>
      <c r="K459" t="s">
        <v>215</v>
      </c>
      <c r="L459" t="s">
        <v>308</v>
      </c>
      <c r="M459">
        <v>28</v>
      </c>
      <c r="N459">
        <v>60</v>
      </c>
      <c r="O459">
        <v>1</v>
      </c>
      <c r="P459">
        <v>3</v>
      </c>
      <c r="Q459">
        <v>0</v>
      </c>
      <c r="R459">
        <v>0.57989999999999997</v>
      </c>
      <c r="S459">
        <v>0.89180000000000004</v>
      </c>
      <c r="U459">
        <v>0.31190000000000007</v>
      </c>
      <c r="V459">
        <v>151.42322088955473</v>
      </c>
      <c r="W459">
        <v>32.6819839935565</v>
      </c>
      <c r="X459">
        <v>275.75290241975461</v>
      </c>
      <c r="Y459">
        <v>-36.147097580245486</v>
      </c>
      <c r="Z459">
        <v>-13.108510286945924</v>
      </c>
    </row>
    <row r="460" spans="1:26" x14ac:dyDescent="0.35">
      <c r="A460">
        <v>458</v>
      </c>
      <c r="B460" t="s">
        <v>691</v>
      </c>
      <c r="C460">
        <v>46048</v>
      </c>
      <c r="D460" t="s">
        <v>16</v>
      </c>
      <c r="E460" t="s">
        <v>313</v>
      </c>
      <c r="F460" t="s">
        <v>290</v>
      </c>
      <c r="G460" t="s">
        <v>314</v>
      </c>
      <c r="H460" t="s">
        <v>315</v>
      </c>
      <c r="I460" t="s">
        <v>22</v>
      </c>
      <c r="J460" t="s">
        <v>23</v>
      </c>
      <c r="K460" t="s">
        <v>215</v>
      </c>
      <c r="L460" t="s">
        <v>312</v>
      </c>
      <c r="M460">
        <v>28</v>
      </c>
      <c r="N460">
        <v>60</v>
      </c>
      <c r="O460">
        <v>1</v>
      </c>
      <c r="P460">
        <v>1</v>
      </c>
      <c r="Q460">
        <v>0</v>
      </c>
      <c r="R460">
        <v>0.57999999999999996</v>
      </c>
      <c r="S460">
        <v>0.86040000000000005</v>
      </c>
      <c r="U460">
        <v>0.28040000000000009</v>
      </c>
      <c r="V460">
        <v>169.18697595354422</v>
      </c>
      <c r="W460">
        <v>37.631645266126718</v>
      </c>
      <c r="X460">
        <v>224.59973024112205</v>
      </c>
      <c r="Y460">
        <v>-55.800269758878045</v>
      </c>
      <c r="Z460">
        <v>-24.844317354688236</v>
      </c>
    </row>
    <row r="461" spans="1:26" x14ac:dyDescent="0.35">
      <c r="A461">
        <v>459</v>
      </c>
      <c r="B461" t="s">
        <v>691</v>
      </c>
      <c r="C461">
        <v>46048</v>
      </c>
      <c r="D461" t="s">
        <v>16</v>
      </c>
      <c r="E461" t="s">
        <v>313</v>
      </c>
      <c r="F461" t="s">
        <v>290</v>
      </c>
      <c r="G461" t="s">
        <v>314</v>
      </c>
      <c r="H461" t="s">
        <v>315</v>
      </c>
      <c r="I461" t="s">
        <v>22</v>
      </c>
      <c r="J461" t="s">
        <v>23</v>
      </c>
      <c r="K461" t="s">
        <v>215</v>
      </c>
      <c r="L461" t="s">
        <v>312</v>
      </c>
      <c r="M461">
        <v>28</v>
      </c>
      <c r="N461">
        <v>60</v>
      </c>
      <c r="O461">
        <v>1</v>
      </c>
      <c r="P461">
        <v>2</v>
      </c>
      <c r="Q461">
        <v>0</v>
      </c>
      <c r="R461">
        <v>0.59079999999999999</v>
      </c>
      <c r="S461">
        <v>0.8246</v>
      </c>
      <c r="U461">
        <v>0.23380000000000001</v>
      </c>
      <c r="V461">
        <v>215.33783811542889</v>
      </c>
      <c r="W461">
        <v>47.944710919699183</v>
      </c>
      <c r="X461">
        <v>224.37535488623581</v>
      </c>
      <c r="Y461">
        <v>-9.4246451137641998</v>
      </c>
      <c r="Z461">
        <v>-4.2003922928802684</v>
      </c>
    </row>
    <row r="462" spans="1:26" x14ac:dyDescent="0.35">
      <c r="A462">
        <v>460</v>
      </c>
      <c r="B462" t="s">
        <v>691</v>
      </c>
      <c r="C462">
        <v>46048</v>
      </c>
      <c r="D462" t="s">
        <v>16</v>
      </c>
      <c r="E462" t="s">
        <v>313</v>
      </c>
      <c r="F462" t="s">
        <v>290</v>
      </c>
      <c r="G462" t="s">
        <v>314</v>
      </c>
      <c r="H462" t="s">
        <v>315</v>
      </c>
      <c r="I462" t="s">
        <v>22</v>
      </c>
      <c r="J462" t="s">
        <v>23</v>
      </c>
      <c r="K462" t="s">
        <v>215</v>
      </c>
      <c r="L462" t="s">
        <v>312</v>
      </c>
      <c r="M462">
        <v>28</v>
      </c>
      <c r="N462">
        <v>60</v>
      </c>
      <c r="O462">
        <v>1</v>
      </c>
      <c r="P462">
        <v>3</v>
      </c>
      <c r="Q462">
        <v>0</v>
      </c>
      <c r="R462">
        <v>0.57720000000000005</v>
      </c>
      <c r="S462">
        <v>0.83579999999999999</v>
      </c>
      <c r="U462">
        <v>0.25859999999999994</v>
      </c>
      <c r="V462">
        <v>190.71749325067509</v>
      </c>
      <c r="W462">
        <v>42.446042300933392</v>
      </c>
      <c r="X462">
        <v>224.46510502819029</v>
      </c>
      <c r="Y462">
        <v>-34.134894971809672</v>
      </c>
      <c r="Z462">
        <v>-15.207216715276395</v>
      </c>
    </row>
    <row r="463" spans="1:26" x14ac:dyDescent="0.35">
      <c r="A463">
        <v>461</v>
      </c>
      <c r="B463" t="s">
        <v>691</v>
      </c>
      <c r="C463">
        <v>46048</v>
      </c>
      <c r="D463" t="s">
        <v>16</v>
      </c>
      <c r="E463" t="s">
        <v>317</v>
      </c>
      <c r="F463" t="s">
        <v>290</v>
      </c>
      <c r="G463" t="s">
        <v>318</v>
      </c>
      <c r="H463" t="s">
        <v>319</v>
      </c>
      <c r="I463" t="s">
        <v>22</v>
      </c>
      <c r="J463" t="s">
        <v>23</v>
      </c>
      <c r="K463" t="s">
        <v>215</v>
      </c>
      <c r="L463" t="s">
        <v>316</v>
      </c>
      <c r="M463">
        <v>28</v>
      </c>
      <c r="N463">
        <v>60</v>
      </c>
      <c r="O463">
        <v>1</v>
      </c>
      <c r="P463">
        <v>1</v>
      </c>
      <c r="Q463">
        <v>0</v>
      </c>
      <c r="R463">
        <v>0.59340000000000004</v>
      </c>
      <c r="S463">
        <v>0.87409999999999999</v>
      </c>
      <c r="U463">
        <v>0.28069999999999995</v>
      </c>
      <c r="V463">
        <v>171.19522950553505</v>
      </c>
      <c r="W463">
        <v>37.883831987528907</v>
      </c>
      <c r="X463">
        <v>217.56891361531896</v>
      </c>
      <c r="Y463">
        <v>-63.13108638468097</v>
      </c>
      <c r="Z463">
        <v>-29.016593104060036</v>
      </c>
    </row>
    <row r="464" spans="1:26" x14ac:dyDescent="0.35">
      <c r="A464">
        <v>462</v>
      </c>
      <c r="B464" t="s">
        <v>691</v>
      </c>
      <c r="C464">
        <v>46048</v>
      </c>
      <c r="D464" t="s">
        <v>16</v>
      </c>
      <c r="E464" t="s">
        <v>317</v>
      </c>
      <c r="F464" t="s">
        <v>290</v>
      </c>
      <c r="G464" t="s">
        <v>318</v>
      </c>
      <c r="H464" t="s">
        <v>319</v>
      </c>
      <c r="I464" t="s">
        <v>22</v>
      </c>
      <c r="J464" t="s">
        <v>23</v>
      </c>
      <c r="K464" t="s">
        <v>215</v>
      </c>
      <c r="L464" t="s">
        <v>316</v>
      </c>
      <c r="M464">
        <v>28</v>
      </c>
      <c r="N464">
        <v>60</v>
      </c>
      <c r="O464">
        <v>1</v>
      </c>
      <c r="P464">
        <v>2</v>
      </c>
      <c r="Q464">
        <v>0</v>
      </c>
      <c r="R464">
        <v>0.57789999999999997</v>
      </c>
      <c r="S464">
        <v>0.8427</v>
      </c>
      <c r="U464">
        <v>0.26480000000000004</v>
      </c>
      <c r="V464">
        <v>187.1855724142726</v>
      </c>
      <c r="W464">
        <v>41.414059173266153</v>
      </c>
      <c r="X464">
        <v>217.61240999948836</v>
      </c>
      <c r="Y464">
        <v>-47.187590000511648</v>
      </c>
      <c r="Z464">
        <v>-21.684236666751953</v>
      </c>
    </row>
    <row r="465" spans="1:26" x14ac:dyDescent="0.35">
      <c r="A465">
        <v>463</v>
      </c>
      <c r="B465" t="s">
        <v>691</v>
      </c>
      <c r="C465">
        <v>46048</v>
      </c>
      <c r="D465" t="s">
        <v>16</v>
      </c>
      <c r="E465" t="s">
        <v>317</v>
      </c>
      <c r="F465" t="s">
        <v>290</v>
      </c>
      <c r="G465" t="s">
        <v>318</v>
      </c>
      <c r="H465" t="s">
        <v>319</v>
      </c>
      <c r="I465" t="s">
        <v>22</v>
      </c>
      <c r="J465" t="s">
        <v>23</v>
      </c>
      <c r="K465" t="s">
        <v>215</v>
      </c>
      <c r="L465" t="s">
        <v>316</v>
      </c>
      <c r="M465">
        <v>28</v>
      </c>
      <c r="N465">
        <v>60</v>
      </c>
      <c r="O465">
        <v>1</v>
      </c>
      <c r="P465">
        <v>3</v>
      </c>
      <c r="Q465">
        <v>0</v>
      </c>
      <c r="R465">
        <v>0.57889999999999997</v>
      </c>
      <c r="S465">
        <v>0.8498</v>
      </c>
      <c r="U465">
        <v>0.27090000000000003</v>
      </c>
      <c r="V465">
        <v>181.1759153230102</v>
      </c>
      <c r="W465">
        <v>40.076436098914755</v>
      </c>
      <c r="X465">
        <v>217.65590638365774</v>
      </c>
      <c r="Y465">
        <v>-53.244093616342298</v>
      </c>
      <c r="Z465">
        <v>-24.462508048134467</v>
      </c>
    </row>
    <row r="466" spans="1:26" x14ac:dyDescent="0.35">
      <c r="A466">
        <v>464</v>
      </c>
      <c r="B466" t="s">
        <v>691</v>
      </c>
      <c r="C466">
        <v>46048</v>
      </c>
      <c r="D466" t="s">
        <v>120</v>
      </c>
      <c r="E466" t="s">
        <v>122</v>
      </c>
      <c r="F466" t="s">
        <v>123</v>
      </c>
      <c r="G466" t="s">
        <v>545</v>
      </c>
      <c r="H466" t="s">
        <v>125</v>
      </c>
      <c r="I466" t="s">
        <v>108</v>
      </c>
      <c r="J466" t="s">
        <v>109</v>
      </c>
      <c r="K466" t="s">
        <v>110</v>
      </c>
      <c r="L466" t="s">
        <v>121</v>
      </c>
      <c r="M466">
        <v>28</v>
      </c>
      <c r="N466">
        <v>60</v>
      </c>
      <c r="O466">
        <v>1</v>
      </c>
      <c r="P466">
        <v>1</v>
      </c>
      <c r="Q466">
        <v>0</v>
      </c>
      <c r="R466">
        <v>0.56159999999999999</v>
      </c>
      <c r="S466">
        <v>0.9204</v>
      </c>
      <c r="U466">
        <v>0.35880000000000001</v>
      </c>
      <c r="V466">
        <v>109.32419999999991</v>
      </c>
      <c r="W466">
        <v>23.353674089055836</v>
      </c>
      <c r="X466">
        <v>356.2425161999999</v>
      </c>
      <c r="Y466">
        <v>-2.5574838000001137</v>
      </c>
      <c r="Z466">
        <v>-0.71790527062308973</v>
      </c>
    </row>
    <row r="467" spans="1:26" x14ac:dyDescent="0.35">
      <c r="A467">
        <v>465</v>
      </c>
      <c r="B467" t="s">
        <v>691</v>
      </c>
      <c r="C467">
        <v>46048</v>
      </c>
      <c r="D467" t="s">
        <v>120</v>
      </c>
      <c r="E467" t="s">
        <v>122</v>
      </c>
      <c r="F467" t="s">
        <v>123</v>
      </c>
      <c r="G467" t="s">
        <v>545</v>
      </c>
      <c r="H467" t="s">
        <v>125</v>
      </c>
      <c r="I467" t="s">
        <v>108</v>
      </c>
      <c r="J467" t="s">
        <v>109</v>
      </c>
      <c r="K467" t="s">
        <v>110</v>
      </c>
      <c r="L467" t="s">
        <v>121</v>
      </c>
      <c r="M467">
        <v>28</v>
      </c>
      <c r="N467">
        <v>60</v>
      </c>
      <c r="O467">
        <v>1</v>
      </c>
      <c r="P467">
        <v>2</v>
      </c>
      <c r="Q467">
        <v>0</v>
      </c>
      <c r="R467">
        <v>0.57399999999999995</v>
      </c>
      <c r="S467">
        <v>0.86680000000000001</v>
      </c>
      <c r="U467">
        <v>0.29280000000000006</v>
      </c>
      <c r="V467">
        <v>175.13709999999992</v>
      </c>
      <c r="W467">
        <v>37.427487583267052</v>
      </c>
      <c r="X467">
        <v>356.10013309999994</v>
      </c>
      <c r="Y467">
        <v>63.300133099999869</v>
      </c>
      <c r="Z467">
        <v>17.775936377486257</v>
      </c>
    </row>
    <row r="468" spans="1:26" x14ac:dyDescent="0.35">
      <c r="A468">
        <v>466</v>
      </c>
      <c r="B468" t="s">
        <v>691</v>
      </c>
      <c r="C468">
        <v>46048</v>
      </c>
      <c r="D468" t="s">
        <v>120</v>
      </c>
      <c r="E468" t="s">
        <v>122</v>
      </c>
      <c r="F468" t="s">
        <v>123</v>
      </c>
      <c r="G468" t="s">
        <v>545</v>
      </c>
      <c r="H468" t="s">
        <v>125</v>
      </c>
      <c r="I468" t="s">
        <v>108</v>
      </c>
      <c r="J468" t="s">
        <v>109</v>
      </c>
      <c r="K468" t="s">
        <v>110</v>
      </c>
      <c r="L468" t="s">
        <v>121</v>
      </c>
      <c r="M468">
        <v>28</v>
      </c>
      <c r="N468">
        <v>60</v>
      </c>
      <c r="O468">
        <v>1</v>
      </c>
      <c r="P468">
        <v>3</v>
      </c>
      <c r="Q468">
        <v>0</v>
      </c>
      <c r="R468">
        <v>0.5696</v>
      </c>
      <c r="S468">
        <v>0.96040000000000003</v>
      </c>
      <c r="U468">
        <v>0.39080000000000004</v>
      </c>
      <c r="V468">
        <v>77.043549999999982</v>
      </c>
      <c r="W468">
        <v>16.467802110342227</v>
      </c>
      <c r="X468">
        <v>356.02894154999996</v>
      </c>
      <c r="Y468">
        <v>-34.771058450000055</v>
      </c>
      <c r="Z468">
        <v>-9.7663572794451827</v>
      </c>
    </row>
    <row r="469" spans="1:26" x14ac:dyDescent="0.35">
      <c r="A469">
        <v>467</v>
      </c>
      <c r="B469" t="s">
        <v>691</v>
      </c>
      <c r="C469">
        <v>46048</v>
      </c>
      <c r="D469">
        <v>0</v>
      </c>
      <c r="E469" t="s">
        <v>537</v>
      </c>
      <c r="F469" t="s">
        <v>538</v>
      </c>
      <c r="G469">
        <v>24</v>
      </c>
      <c r="H469" t="s">
        <v>537</v>
      </c>
      <c r="I469">
        <v>0</v>
      </c>
      <c r="J469">
        <v>0</v>
      </c>
      <c r="K469">
        <v>0</v>
      </c>
      <c r="L469" t="s">
        <v>539</v>
      </c>
      <c r="M469">
        <v>28</v>
      </c>
      <c r="N469">
        <v>60</v>
      </c>
      <c r="O469">
        <v>1</v>
      </c>
      <c r="P469">
        <v>1</v>
      </c>
      <c r="Q469">
        <v>0</v>
      </c>
    </row>
    <row r="470" spans="1:26" x14ac:dyDescent="0.35">
      <c r="A470">
        <v>468</v>
      </c>
      <c r="B470" t="s">
        <v>691</v>
      </c>
      <c r="C470">
        <v>46048</v>
      </c>
      <c r="D470">
        <v>0</v>
      </c>
      <c r="E470" t="s">
        <v>537</v>
      </c>
      <c r="F470" t="s">
        <v>538</v>
      </c>
      <c r="G470">
        <v>24</v>
      </c>
      <c r="H470" t="s">
        <v>537</v>
      </c>
      <c r="I470">
        <v>0</v>
      </c>
      <c r="J470">
        <v>0</v>
      </c>
      <c r="K470">
        <v>0</v>
      </c>
      <c r="L470" t="s">
        <v>539</v>
      </c>
      <c r="M470">
        <v>28</v>
      </c>
      <c r="N470">
        <v>60</v>
      </c>
      <c r="O470">
        <v>1</v>
      </c>
      <c r="P470">
        <v>2</v>
      </c>
      <c r="Q470">
        <v>0</v>
      </c>
    </row>
    <row r="471" spans="1:26" x14ac:dyDescent="0.35">
      <c r="A471">
        <v>469</v>
      </c>
      <c r="B471" t="s">
        <v>691</v>
      </c>
      <c r="C471">
        <v>46050</v>
      </c>
      <c r="D471">
        <v>0</v>
      </c>
      <c r="E471" t="s">
        <v>537</v>
      </c>
      <c r="F471" t="s">
        <v>538</v>
      </c>
      <c r="G471">
        <v>24</v>
      </c>
      <c r="H471" t="s">
        <v>537</v>
      </c>
      <c r="I471">
        <v>0</v>
      </c>
      <c r="J471">
        <v>0</v>
      </c>
      <c r="K471">
        <v>0</v>
      </c>
      <c r="L471" t="s">
        <v>539</v>
      </c>
      <c r="M471">
        <v>28</v>
      </c>
      <c r="N471">
        <v>61</v>
      </c>
      <c r="O471">
        <v>2</v>
      </c>
      <c r="P471">
        <v>1</v>
      </c>
      <c r="Q471">
        <v>0</v>
      </c>
    </row>
    <row r="472" spans="1:26" x14ac:dyDescent="0.35">
      <c r="A472">
        <v>470</v>
      </c>
      <c r="B472" t="s">
        <v>691</v>
      </c>
      <c r="C472">
        <v>46050</v>
      </c>
      <c r="D472">
        <v>0</v>
      </c>
      <c r="E472" t="s">
        <v>537</v>
      </c>
      <c r="F472" t="s">
        <v>538</v>
      </c>
      <c r="G472">
        <v>24</v>
      </c>
      <c r="H472" t="s">
        <v>537</v>
      </c>
      <c r="I472">
        <v>0</v>
      </c>
      <c r="J472">
        <v>0</v>
      </c>
      <c r="K472">
        <v>0</v>
      </c>
      <c r="L472" t="s">
        <v>539</v>
      </c>
      <c r="M472">
        <v>28</v>
      </c>
      <c r="N472">
        <v>61</v>
      </c>
      <c r="O472">
        <v>2</v>
      </c>
      <c r="P472">
        <v>2</v>
      </c>
      <c r="Q472">
        <v>0</v>
      </c>
    </row>
    <row r="473" spans="1:26" x14ac:dyDescent="0.35">
      <c r="A473">
        <v>471</v>
      </c>
      <c r="B473" t="s">
        <v>691</v>
      </c>
      <c r="C473">
        <v>46050</v>
      </c>
      <c r="D473" t="s">
        <v>16</v>
      </c>
      <c r="E473" t="s">
        <v>128</v>
      </c>
      <c r="F473" t="s">
        <v>129</v>
      </c>
      <c r="G473" t="s">
        <v>130</v>
      </c>
      <c r="H473" t="s">
        <v>131</v>
      </c>
      <c r="I473" t="s">
        <v>22</v>
      </c>
      <c r="J473" t="s">
        <v>23</v>
      </c>
      <c r="K473" t="s">
        <v>24</v>
      </c>
      <c r="L473" t="s">
        <v>127</v>
      </c>
      <c r="M473">
        <v>28</v>
      </c>
      <c r="N473">
        <v>61</v>
      </c>
      <c r="O473">
        <v>2</v>
      </c>
      <c r="P473">
        <v>1</v>
      </c>
      <c r="Q473">
        <v>0</v>
      </c>
      <c r="R473">
        <v>0.57989999999999997</v>
      </c>
      <c r="S473">
        <v>0.79369999999999996</v>
      </c>
      <c r="U473">
        <v>0.21379999999999999</v>
      </c>
      <c r="V473">
        <v>259.32500000000027</v>
      </c>
      <c r="W473">
        <v>54.811096433289329</v>
      </c>
      <c r="X473">
        <v>245.91503244172583</v>
      </c>
      <c r="Y473">
        <v>32.115032441725845</v>
      </c>
      <c r="Z473">
        <v>13.059401909208662</v>
      </c>
    </row>
    <row r="474" spans="1:26" x14ac:dyDescent="0.35">
      <c r="A474">
        <v>472</v>
      </c>
      <c r="B474" t="s">
        <v>691</v>
      </c>
      <c r="C474">
        <v>46050</v>
      </c>
      <c r="D474" t="s">
        <v>16</v>
      </c>
      <c r="E474" t="s">
        <v>128</v>
      </c>
      <c r="F474" t="s">
        <v>129</v>
      </c>
      <c r="G474" t="s">
        <v>130</v>
      </c>
      <c r="H474" t="s">
        <v>131</v>
      </c>
      <c r="I474" t="s">
        <v>22</v>
      </c>
      <c r="J474" t="s">
        <v>23</v>
      </c>
      <c r="K474" t="s">
        <v>24</v>
      </c>
      <c r="L474" t="s">
        <v>127</v>
      </c>
      <c r="M474">
        <v>28</v>
      </c>
      <c r="N474">
        <v>61</v>
      </c>
      <c r="O474">
        <v>2</v>
      </c>
      <c r="P474">
        <v>2</v>
      </c>
      <c r="Q474">
        <v>0</v>
      </c>
      <c r="R474">
        <v>0.61219999999999997</v>
      </c>
      <c r="S474">
        <v>0.82379999999999998</v>
      </c>
      <c r="U474">
        <v>0.21160000000000001</v>
      </c>
      <c r="V474">
        <v>261.71417433026807</v>
      </c>
      <c r="W474">
        <v>55.29396509212711</v>
      </c>
      <c r="X474">
        <v>246.01335912402956</v>
      </c>
      <c r="Y474">
        <v>34.41335912402954</v>
      </c>
      <c r="Z474">
        <v>13.988410729630246</v>
      </c>
    </row>
    <row r="475" spans="1:26" x14ac:dyDescent="0.35">
      <c r="A475">
        <v>473</v>
      </c>
      <c r="B475" t="s">
        <v>691</v>
      </c>
      <c r="C475">
        <v>46050</v>
      </c>
      <c r="D475" t="s">
        <v>16</v>
      </c>
      <c r="E475" t="s">
        <v>128</v>
      </c>
      <c r="F475" t="s">
        <v>129</v>
      </c>
      <c r="G475" t="s">
        <v>130</v>
      </c>
      <c r="H475" t="s">
        <v>131</v>
      </c>
      <c r="I475" t="s">
        <v>22</v>
      </c>
      <c r="J475" t="s">
        <v>23</v>
      </c>
      <c r="K475" t="s">
        <v>24</v>
      </c>
      <c r="L475" t="s">
        <v>127</v>
      </c>
      <c r="M475">
        <v>28</v>
      </c>
      <c r="N475">
        <v>61</v>
      </c>
      <c r="O475">
        <v>2</v>
      </c>
      <c r="P475">
        <v>3</v>
      </c>
      <c r="Q475">
        <v>0</v>
      </c>
      <c r="R475">
        <v>0.56979999999999997</v>
      </c>
      <c r="S475">
        <v>0.78859999999999997</v>
      </c>
      <c r="U475">
        <v>0.21879999999999999</v>
      </c>
      <c r="V475">
        <v>254.13582566973238</v>
      </c>
      <c r="W475">
        <v>53.73579498018497</v>
      </c>
      <c r="X475">
        <v>245.81670575942204</v>
      </c>
      <c r="Y475">
        <v>27.016705759422052</v>
      </c>
      <c r="Z475">
        <v>10.990589787604993</v>
      </c>
    </row>
    <row r="476" spans="1:26" x14ac:dyDescent="0.35">
      <c r="A476">
        <v>474</v>
      </c>
      <c r="B476" t="s">
        <v>691</v>
      </c>
      <c r="C476">
        <v>46050</v>
      </c>
      <c r="D476" t="s">
        <v>16</v>
      </c>
      <c r="E476" t="s">
        <v>135</v>
      </c>
      <c r="F476" t="s">
        <v>99</v>
      </c>
      <c r="G476" t="s">
        <v>100</v>
      </c>
      <c r="H476" t="s">
        <v>101</v>
      </c>
      <c r="I476" t="s">
        <v>22</v>
      </c>
      <c r="J476" t="s">
        <v>23</v>
      </c>
      <c r="K476" t="s">
        <v>24</v>
      </c>
      <c r="L476" t="s">
        <v>134</v>
      </c>
      <c r="M476">
        <v>28</v>
      </c>
      <c r="N476">
        <v>61</v>
      </c>
      <c r="O476">
        <v>2</v>
      </c>
      <c r="P476">
        <v>1</v>
      </c>
      <c r="Q476">
        <v>0</v>
      </c>
      <c r="R476">
        <v>0.59140000000000004</v>
      </c>
      <c r="S476">
        <v>0.82609999999999995</v>
      </c>
      <c r="U476">
        <v>0.23469999999999991</v>
      </c>
      <c r="V476">
        <v>228.6091626201401</v>
      </c>
      <c r="W476">
        <v>49.342681100303039</v>
      </c>
      <c r="X476">
        <v>236.50673276511955</v>
      </c>
      <c r="Y476">
        <v>1.8067327651196479</v>
      </c>
      <c r="Z476">
        <v>0.7639244532264361</v>
      </c>
    </row>
    <row r="477" spans="1:26" x14ac:dyDescent="0.35">
      <c r="A477">
        <v>475</v>
      </c>
      <c r="B477" t="s">
        <v>691</v>
      </c>
      <c r="C477">
        <v>46050</v>
      </c>
      <c r="D477" t="s">
        <v>16</v>
      </c>
      <c r="E477" t="s">
        <v>135</v>
      </c>
      <c r="F477" t="s">
        <v>99</v>
      </c>
      <c r="G477" t="s">
        <v>100</v>
      </c>
      <c r="H477" t="s">
        <v>101</v>
      </c>
      <c r="I477" t="s">
        <v>22</v>
      </c>
      <c r="J477" t="s">
        <v>23</v>
      </c>
      <c r="K477" t="s">
        <v>24</v>
      </c>
      <c r="L477" t="s">
        <v>134</v>
      </c>
      <c r="M477">
        <v>28</v>
      </c>
      <c r="N477">
        <v>61</v>
      </c>
      <c r="O477">
        <v>2</v>
      </c>
      <c r="P477">
        <v>2</v>
      </c>
      <c r="Q477">
        <v>0</v>
      </c>
      <c r="R477">
        <v>0.55449999999999999</v>
      </c>
      <c r="S477">
        <v>0.75660000000000005</v>
      </c>
      <c r="U477">
        <v>0.20210000000000006</v>
      </c>
      <c r="V477">
        <v>261.30182445266394</v>
      </c>
      <c r="W477">
        <v>56.387741839664606</v>
      </c>
      <c r="X477">
        <v>236.55403411167256</v>
      </c>
      <c r="Y477">
        <v>34.454034111672513</v>
      </c>
      <c r="Z477">
        <v>14.564974231387417</v>
      </c>
    </row>
    <row r="478" spans="1:26" x14ac:dyDescent="0.35">
      <c r="A478">
        <v>476</v>
      </c>
      <c r="B478" t="s">
        <v>691</v>
      </c>
      <c r="C478">
        <v>46050</v>
      </c>
      <c r="D478" t="s">
        <v>16</v>
      </c>
      <c r="E478" t="s">
        <v>135</v>
      </c>
      <c r="F478" t="s">
        <v>99</v>
      </c>
      <c r="G478" t="s">
        <v>100</v>
      </c>
      <c r="H478" t="s">
        <v>101</v>
      </c>
      <c r="I478" t="s">
        <v>22</v>
      </c>
      <c r="J478" t="s">
        <v>23</v>
      </c>
      <c r="K478" t="s">
        <v>24</v>
      </c>
      <c r="L478" t="s">
        <v>134</v>
      </c>
      <c r="M478">
        <v>28</v>
      </c>
      <c r="N478">
        <v>61</v>
      </c>
      <c r="O478">
        <v>2</v>
      </c>
      <c r="P478">
        <v>3</v>
      </c>
      <c r="Q478">
        <v>0</v>
      </c>
      <c r="R478">
        <v>0.57430000000000003</v>
      </c>
      <c r="S478">
        <v>0.79490000000000005</v>
      </c>
      <c r="U478">
        <v>0.22060000000000002</v>
      </c>
      <c r="V478">
        <v>242.89448628518801</v>
      </c>
      <c r="W478">
        <v>52.405043311720235</v>
      </c>
      <c r="X478">
        <v>236.60133545822558</v>
      </c>
      <c r="Y478">
        <v>16.001335458225554</v>
      </c>
      <c r="Z478">
        <v>6.7629945651979453</v>
      </c>
    </row>
    <row r="479" spans="1:26" x14ac:dyDescent="0.35">
      <c r="A479">
        <v>477</v>
      </c>
      <c r="B479" t="s">
        <v>691</v>
      </c>
      <c r="C479">
        <v>46050</v>
      </c>
      <c r="D479" t="s">
        <v>16</v>
      </c>
      <c r="E479" t="s">
        <v>137</v>
      </c>
      <c r="F479" t="s">
        <v>99</v>
      </c>
      <c r="G479" t="s">
        <v>100</v>
      </c>
      <c r="H479" t="s">
        <v>101</v>
      </c>
      <c r="I479" t="s">
        <v>22</v>
      </c>
      <c r="J479" t="s">
        <v>23</v>
      </c>
      <c r="K479" t="s">
        <v>24</v>
      </c>
      <c r="L479" t="s">
        <v>136</v>
      </c>
      <c r="M479">
        <v>28</v>
      </c>
      <c r="N479">
        <v>61</v>
      </c>
      <c r="O479">
        <v>2</v>
      </c>
      <c r="P479">
        <v>1</v>
      </c>
      <c r="Q479">
        <v>0</v>
      </c>
      <c r="R479">
        <v>0.57179999999999997</v>
      </c>
      <c r="S479">
        <v>0.79210000000000003</v>
      </c>
      <c r="U479">
        <v>0.22030000000000005</v>
      </c>
      <c r="V479">
        <v>251.00431427962982</v>
      </c>
      <c r="W479">
        <v>53.257376746758631</v>
      </c>
      <c r="X479">
        <v>217.21122599819918</v>
      </c>
      <c r="Y479">
        <v>-3.0887740018008571</v>
      </c>
      <c r="Z479">
        <v>-1.4220139809102064</v>
      </c>
    </row>
    <row r="480" spans="1:26" x14ac:dyDescent="0.35">
      <c r="A480">
        <v>478</v>
      </c>
      <c r="B480" t="s">
        <v>691</v>
      </c>
      <c r="C480">
        <v>46050</v>
      </c>
      <c r="D480" t="s">
        <v>16</v>
      </c>
      <c r="E480" t="s">
        <v>137</v>
      </c>
      <c r="F480" t="s">
        <v>99</v>
      </c>
      <c r="G480" t="s">
        <v>100</v>
      </c>
      <c r="H480" t="s">
        <v>101</v>
      </c>
      <c r="I480" t="s">
        <v>22</v>
      </c>
      <c r="J480" t="s">
        <v>23</v>
      </c>
      <c r="K480" t="s">
        <v>24</v>
      </c>
      <c r="L480" t="s">
        <v>136</v>
      </c>
      <c r="M480">
        <v>28</v>
      </c>
      <c r="N480">
        <v>61</v>
      </c>
      <c r="O480">
        <v>2</v>
      </c>
      <c r="P480">
        <v>2</v>
      </c>
      <c r="Q480">
        <v>0</v>
      </c>
      <c r="R480">
        <v>0.56630000000000003</v>
      </c>
      <c r="S480">
        <v>0.78939999999999999</v>
      </c>
      <c r="U480">
        <v>0.22309999999999997</v>
      </c>
      <c r="V480">
        <v>248.39283600534179</v>
      </c>
      <c r="W480">
        <v>52.682207880360586</v>
      </c>
      <c r="X480">
        <v>217.2981104885985</v>
      </c>
      <c r="Y480">
        <v>-5.8018895114014697</v>
      </c>
      <c r="Z480">
        <v>-2.6700137881345691</v>
      </c>
    </row>
    <row r="481" spans="1:26" x14ac:dyDescent="0.35">
      <c r="A481">
        <v>479</v>
      </c>
      <c r="B481" t="s">
        <v>691</v>
      </c>
      <c r="C481">
        <v>46050</v>
      </c>
      <c r="D481" t="s">
        <v>16</v>
      </c>
      <c r="E481" t="s">
        <v>137</v>
      </c>
      <c r="F481" t="s">
        <v>99</v>
      </c>
      <c r="G481" t="s">
        <v>100</v>
      </c>
      <c r="H481" t="s">
        <v>101</v>
      </c>
      <c r="I481" t="s">
        <v>22</v>
      </c>
      <c r="J481" t="s">
        <v>23</v>
      </c>
      <c r="K481" t="s">
        <v>24</v>
      </c>
      <c r="L481" t="s">
        <v>136</v>
      </c>
      <c r="M481">
        <v>28</v>
      </c>
      <c r="N481">
        <v>61</v>
      </c>
      <c r="O481">
        <v>2</v>
      </c>
      <c r="P481">
        <v>3</v>
      </c>
      <c r="Q481">
        <v>0</v>
      </c>
      <c r="R481">
        <v>0.59519999999999995</v>
      </c>
      <c r="S481">
        <v>0.83260000000000001</v>
      </c>
      <c r="U481">
        <v>0.23740000000000006</v>
      </c>
      <c r="V481">
        <v>234.18709686819753</v>
      </c>
      <c r="W481">
        <v>49.659352094964071</v>
      </c>
      <c r="X481">
        <v>217.3415527337981</v>
      </c>
      <c r="Y481">
        <v>-20.058447266201966</v>
      </c>
      <c r="Z481">
        <v>-9.2289978671357584</v>
      </c>
    </row>
    <row r="482" spans="1:26" x14ac:dyDescent="0.35">
      <c r="A482">
        <v>480</v>
      </c>
      <c r="B482" t="s">
        <v>691</v>
      </c>
      <c r="C482">
        <v>46050</v>
      </c>
      <c r="D482" t="s">
        <v>16</v>
      </c>
      <c r="E482" t="s">
        <v>139</v>
      </c>
      <c r="F482" t="s">
        <v>79</v>
      </c>
      <c r="G482" t="s">
        <v>80</v>
      </c>
      <c r="H482" t="s">
        <v>81</v>
      </c>
      <c r="I482" t="s">
        <v>22</v>
      </c>
      <c r="J482" t="s">
        <v>23</v>
      </c>
      <c r="K482" t="s">
        <v>24</v>
      </c>
      <c r="L482" t="s">
        <v>138</v>
      </c>
      <c r="M482">
        <v>28</v>
      </c>
      <c r="N482">
        <v>61</v>
      </c>
      <c r="O482">
        <v>2</v>
      </c>
      <c r="P482">
        <v>1</v>
      </c>
      <c r="Q482">
        <v>0</v>
      </c>
      <c r="R482">
        <v>0.57679999999999998</v>
      </c>
      <c r="S482">
        <v>0.75409999999999999</v>
      </c>
      <c r="U482">
        <v>0.17730000000000001</v>
      </c>
      <c r="V482">
        <v>289.63826184978114</v>
      </c>
      <c r="W482">
        <v>62.029241446690598</v>
      </c>
      <c r="X482">
        <v>244.93384133964406</v>
      </c>
      <c r="Y482">
        <v>67.63384133964405</v>
      </c>
      <c r="Z482">
        <v>27.61310604109531</v>
      </c>
    </row>
    <row r="483" spans="1:26" x14ac:dyDescent="0.35">
      <c r="A483">
        <v>481</v>
      </c>
      <c r="B483" t="s">
        <v>692</v>
      </c>
      <c r="C483">
        <v>46050</v>
      </c>
      <c r="D483" t="s">
        <v>16</v>
      </c>
      <c r="E483" t="s">
        <v>139</v>
      </c>
      <c r="F483" t="s">
        <v>79</v>
      </c>
      <c r="G483" t="s">
        <v>80</v>
      </c>
      <c r="H483" t="s">
        <v>81</v>
      </c>
      <c r="I483" t="s">
        <v>22</v>
      </c>
      <c r="J483" t="s">
        <v>23</v>
      </c>
      <c r="K483" t="s">
        <v>24</v>
      </c>
      <c r="L483" t="s">
        <v>138</v>
      </c>
      <c r="M483">
        <v>28</v>
      </c>
      <c r="N483">
        <v>61</v>
      </c>
      <c r="O483">
        <v>2</v>
      </c>
      <c r="P483">
        <v>2</v>
      </c>
      <c r="Q483">
        <v>0</v>
      </c>
      <c r="R483">
        <v>0.57069999999999999</v>
      </c>
      <c r="S483">
        <v>0.75460000000000005</v>
      </c>
      <c r="U483">
        <v>0.18390000000000006</v>
      </c>
      <c r="V483">
        <v>283.22503715452092</v>
      </c>
      <c r="W483">
        <v>60.63152574303836</v>
      </c>
      <c r="X483">
        <v>245.03181487617988</v>
      </c>
      <c r="Y483">
        <v>61.131814876179817</v>
      </c>
      <c r="Z483">
        <v>24.948521442846559</v>
      </c>
    </row>
    <row r="484" spans="1:26" x14ac:dyDescent="0.35">
      <c r="A484">
        <v>482</v>
      </c>
      <c r="B484" t="s">
        <v>692</v>
      </c>
      <c r="C484">
        <v>46050</v>
      </c>
      <c r="D484" t="s">
        <v>16</v>
      </c>
      <c r="E484" t="s">
        <v>139</v>
      </c>
      <c r="F484" t="s">
        <v>79</v>
      </c>
      <c r="G484" t="s">
        <v>80</v>
      </c>
      <c r="H484" t="s">
        <v>81</v>
      </c>
      <c r="I484" t="s">
        <v>22</v>
      </c>
      <c r="J484" t="s">
        <v>23</v>
      </c>
      <c r="K484" t="s">
        <v>24</v>
      </c>
      <c r="L484" t="s">
        <v>138</v>
      </c>
      <c r="M484">
        <v>28</v>
      </c>
      <c r="N484">
        <v>61</v>
      </c>
      <c r="O484">
        <v>2</v>
      </c>
      <c r="P484">
        <v>3</v>
      </c>
      <c r="Q484">
        <v>0</v>
      </c>
      <c r="R484">
        <v>0.5625</v>
      </c>
      <c r="S484">
        <v>0.75949999999999995</v>
      </c>
      <c r="U484">
        <v>0.19699999999999995</v>
      </c>
      <c r="V484">
        <v>270.21842480689099</v>
      </c>
      <c r="W484">
        <v>57.835566933940306</v>
      </c>
      <c r="X484">
        <v>245.08080164444777</v>
      </c>
      <c r="Y484">
        <v>48.080801644447831</v>
      </c>
      <c r="Z484">
        <v>19.618346815350023</v>
      </c>
    </row>
    <row r="485" spans="1:26" x14ac:dyDescent="0.35">
      <c r="A485">
        <v>483</v>
      </c>
      <c r="B485" t="s">
        <v>692</v>
      </c>
      <c r="C485">
        <v>46050</v>
      </c>
      <c r="D485" t="s">
        <v>16</v>
      </c>
      <c r="E485" t="s">
        <v>141</v>
      </c>
      <c r="F485" t="s">
        <v>142</v>
      </c>
      <c r="G485" t="s">
        <v>143</v>
      </c>
      <c r="H485" t="s">
        <v>144</v>
      </c>
      <c r="I485" t="s">
        <v>22</v>
      </c>
      <c r="J485" t="s">
        <v>23</v>
      </c>
      <c r="K485" t="s">
        <v>24</v>
      </c>
      <c r="L485" t="s">
        <v>140</v>
      </c>
      <c r="M485">
        <v>28</v>
      </c>
      <c r="N485">
        <v>61</v>
      </c>
      <c r="O485">
        <v>2</v>
      </c>
      <c r="P485">
        <v>1</v>
      </c>
      <c r="Q485">
        <v>0</v>
      </c>
      <c r="R485">
        <v>0.57079999999999997</v>
      </c>
      <c r="S485">
        <v>0.82589999999999997</v>
      </c>
      <c r="U485">
        <v>0.25509999999999999</v>
      </c>
      <c r="V485">
        <v>211.12336845168196</v>
      </c>
      <c r="W485">
        <v>45.283737954366856</v>
      </c>
      <c r="X485">
        <v>259.70844188511478</v>
      </c>
      <c r="Y485">
        <v>4.6084418851147859</v>
      </c>
      <c r="Z485">
        <v>1.7744674958056956</v>
      </c>
    </row>
    <row r="486" spans="1:26" x14ac:dyDescent="0.35">
      <c r="A486">
        <v>484</v>
      </c>
      <c r="B486" t="s">
        <v>692</v>
      </c>
      <c r="C486">
        <v>46050</v>
      </c>
      <c r="D486" t="s">
        <v>16</v>
      </c>
      <c r="E486" t="s">
        <v>141</v>
      </c>
      <c r="F486" t="s">
        <v>142</v>
      </c>
      <c r="G486" t="s">
        <v>143</v>
      </c>
      <c r="H486" t="s">
        <v>144</v>
      </c>
      <c r="I486" t="s">
        <v>22</v>
      </c>
      <c r="J486" t="s">
        <v>23</v>
      </c>
      <c r="K486" t="s">
        <v>24</v>
      </c>
      <c r="L486" t="s">
        <v>140</v>
      </c>
      <c r="M486">
        <v>28</v>
      </c>
      <c r="N486">
        <v>61</v>
      </c>
      <c r="O486">
        <v>2</v>
      </c>
      <c r="P486">
        <v>2</v>
      </c>
      <c r="Q486">
        <v>0</v>
      </c>
      <c r="R486">
        <v>0.56820000000000004</v>
      </c>
      <c r="S486">
        <v>0.79069999999999996</v>
      </c>
      <c r="U486">
        <v>0.22249999999999992</v>
      </c>
      <c r="V486">
        <v>243.63016106094798</v>
      </c>
      <c r="W486">
        <v>52.266551580019424</v>
      </c>
      <c r="X486">
        <v>259.65652096510576</v>
      </c>
      <c r="Y486">
        <v>37.156520965105841</v>
      </c>
      <c r="Z486">
        <v>14.309873993150807</v>
      </c>
    </row>
    <row r="487" spans="1:26" x14ac:dyDescent="0.35">
      <c r="A487">
        <v>485</v>
      </c>
      <c r="B487" t="s">
        <v>692</v>
      </c>
      <c r="C487">
        <v>46050</v>
      </c>
      <c r="D487" t="s">
        <v>16</v>
      </c>
      <c r="E487" t="s">
        <v>141</v>
      </c>
      <c r="F487" t="s">
        <v>142</v>
      </c>
      <c r="G487" t="s">
        <v>143</v>
      </c>
      <c r="H487" t="s">
        <v>144</v>
      </c>
      <c r="I487" t="s">
        <v>22</v>
      </c>
      <c r="J487" t="s">
        <v>23</v>
      </c>
      <c r="K487" t="s">
        <v>24</v>
      </c>
      <c r="L487" t="s">
        <v>140</v>
      </c>
      <c r="M487">
        <v>28</v>
      </c>
      <c r="N487">
        <v>61</v>
      </c>
      <c r="O487">
        <v>2</v>
      </c>
      <c r="P487">
        <v>3</v>
      </c>
      <c r="Q487">
        <v>0</v>
      </c>
      <c r="R487">
        <v>0.57779999999999998</v>
      </c>
      <c r="S487">
        <v>0.85199999999999998</v>
      </c>
      <c r="U487">
        <v>0.2742</v>
      </c>
      <c r="V487">
        <v>192.11657584241595</v>
      </c>
      <c r="W487">
        <v>41.198744757325251</v>
      </c>
      <c r="X487">
        <v>259.7603628051238</v>
      </c>
      <c r="Y487">
        <v>-14.439637194876184</v>
      </c>
      <c r="Z487">
        <v>-5.5588300843685765</v>
      </c>
    </row>
    <row r="488" spans="1:26" x14ac:dyDescent="0.35">
      <c r="A488">
        <v>486</v>
      </c>
      <c r="B488" t="s">
        <v>692</v>
      </c>
      <c r="C488">
        <v>46050</v>
      </c>
      <c r="D488" t="s">
        <v>16</v>
      </c>
      <c r="E488" t="s">
        <v>146</v>
      </c>
      <c r="F488" t="s">
        <v>88</v>
      </c>
      <c r="G488" t="s">
        <v>147</v>
      </c>
      <c r="H488" t="s">
        <v>148</v>
      </c>
      <c r="I488" t="s">
        <v>22</v>
      </c>
      <c r="J488" t="s">
        <v>23</v>
      </c>
      <c r="K488" t="s">
        <v>24</v>
      </c>
      <c r="L488" t="s">
        <v>145</v>
      </c>
      <c r="M488">
        <v>28</v>
      </c>
      <c r="N488">
        <v>61</v>
      </c>
      <c r="O488">
        <v>2</v>
      </c>
      <c r="P488">
        <v>1</v>
      </c>
      <c r="Q488">
        <v>0</v>
      </c>
      <c r="R488">
        <v>0.59199999999999997</v>
      </c>
      <c r="S488">
        <v>1.0447</v>
      </c>
      <c r="U488">
        <v>0.45269999999999999</v>
      </c>
      <c r="V488">
        <v>17.160585604018706</v>
      </c>
      <c r="W488">
        <v>3.6522717865254224</v>
      </c>
      <c r="X488">
        <v>273.86706476528366</v>
      </c>
      <c r="Y488">
        <v>-178.83293523471633</v>
      </c>
      <c r="Z488">
        <v>-65.299175491578069</v>
      </c>
    </row>
    <row r="489" spans="1:26" x14ac:dyDescent="0.35">
      <c r="A489">
        <v>487</v>
      </c>
      <c r="B489" t="s">
        <v>692</v>
      </c>
      <c r="C489">
        <v>46050</v>
      </c>
      <c r="D489" t="s">
        <v>16</v>
      </c>
      <c r="E489" t="s">
        <v>146</v>
      </c>
      <c r="F489" t="s">
        <v>88</v>
      </c>
      <c r="G489" t="s">
        <v>147</v>
      </c>
      <c r="H489" t="s">
        <v>148</v>
      </c>
      <c r="I489" t="s">
        <v>22</v>
      </c>
      <c r="J489" t="s">
        <v>23</v>
      </c>
      <c r="K489" t="s">
        <v>24</v>
      </c>
      <c r="L489" t="s">
        <v>145</v>
      </c>
      <c r="M489">
        <v>28</v>
      </c>
      <c r="N489">
        <v>61</v>
      </c>
      <c r="O489">
        <v>2</v>
      </c>
      <c r="P489">
        <v>2</v>
      </c>
      <c r="Q489">
        <v>0</v>
      </c>
      <c r="R489">
        <v>0.58350000000000002</v>
      </c>
      <c r="S489">
        <v>0.93049999999999999</v>
      </c>
      <c r="U489">
        <v>0.34699999999999998</v>
      </c>
      <c r="V489">
        <v>122.86058560401869</v>
      </c>
      <c r="W489">
        <v>26.148306405841222</v>
      </c>
      <c r="X489">
        <v>273.86706476528366</v>
      </c>
      <c r="Y489">
        <v>-73.132935234716342</v>
      </c>
      <c r="Z489">
        <v>-26.703808030876054</v>
      </c>
    </row>
    <row r="490" spans="1:26" x14ac:dyDescent="0.35">
      <c r="A490">
        <v>488</v>
      </c>
      <c r="B490" t="s">
        <v>692</v>
      </c>
      <c r="C490">
        <v>46050</v>
      </c>
      <c r="D490" t="s">
        <v>16</v>
      </c>
      <c r="E490" t="s">
        <v>146</v>
      </c>
      <c r="F490" t="s">
        <v>88</v>
      </c>
      <c r="G490" t="s">
        <v>147</v>
      </c>
      <c r="H490" t="s">
        <v>148</v>
      </c>
      <c r="I490" t="s">
        <v>22</v>
      </c>
      <c r="J490" t="s">
        <v>23</v>
      </c>
      <c r="K490" t="s">
        <v>24</v>
      </c>
      <c r="L490" t="s">
        <v>145</v>
      </c>
      <c r="M490">
        <v>28</v>
      </c>
      <c r="N490">
        <v>61</v>
      </c>
      <c r="O490">
        <v>2</v>
      </c>
      <c r="P490">
        <v>3</v>
      </c>
      <c r="Q490">
        <v>0</v>
      </c>
      <c r="R490">
        <v>0.57889999999999997</v>
      </c>
      <c r="S490">
        <v>0.93959999999999999</v>
      </c>
      <c r="U490">
        <v>0.36070000000000002</v>
      </c>
      <c r="V490">
        <v>109.44250195538103</v>
      </c>
      <c r="W490">
        <v>23.27858074949533</v>
      </c>
      <c r="X490">
        <v>274.03138500414281</v>
      </c>
      <c r="Y490">
        <v>-86.66861499585724</v>
      </c>
      <c r="Z490">
        <v>-31.627258678617043</v>
      </c>
    </row>
    <row r="491" spans="1:26" x14ac:dyDescent="0.35">
      <c r="A491">
        <v>489</v>
      </c>
      <c r="B491" t="s">
        <v>692</v>
      </c>
      <c r="C491">
        <v>46050</v>
      </c>
      <c r="D491" t="s">
        <v>16</v>
      </c>
      <c r="E491" t="s">
        <v>150</v>
      </c>
      <c r="F491" t="s">
        <v>142</v>
      </c>
      <c r="G491" t="s">
        <v>151</v>
      </c>
      <c r="H491" t="s">
        <v>152</v>
      </c>
      <c r="I491" t="s">
        <v>22</v>
      </c>
      <c r="J491" t="s">
        <v>23</v>
      </c>
      <c r="K491" t="s">
        <v>24</v>
      </c>
      <c r="L491" t="s">
        <v>149</v>
      </c>
      <c r="M491">
        <v>28</v>
      </c>
      <c r="N491">
        <v>61</v>
      </c>
      <c r="O491">
        <v>2</v>
      </c>
      <c r="P491">
        <v>1</v>
      </c>
      <c r="Q491">
        <v>0</v>
      </c>
      <c r="R491">
        <v>0.56910000000000005</v>
      </c>
      <c r="S491">
        <v>0.72199999999999998</v>
      </c>
      <c r="U491">
        <v>0.15289999999999992</v>
      </c>
      <c r="V491">
        <v>316.68412476257123</v>
      </c>
      <c r="W491">
        <v>67.439274043323223</v>
      </c>
      <c r="X491">
        <v>250.56914443477922</v>
      </c>
      <c r="Y491">
        <v>97.669144434779298</v>
      </c>
      <c r="Z491">
        <v>38.978919234088558</v>
      </c>
    </row>
    <row r="492" spans="1:26" x14ac:dyDescent="0.35">
      <c r="A492">
        <v>490</v>
      </c>
      <c r="B492" t="s">
        <v>692</v>
      </c>
      <c r="C492">
        <v>46050</v>
      </c>
      <c r="D492" t="s">
        <v>16</v>
      </c>
      <c r="E492" t="s">
        <v>150</v>
      </c>
      <c r="F492" t="s">
        <v>142</v>
      </c>
      <c r="G492" t="s">
        <v>151</v>
      </c>
      <c r="H492" t="s">
        <v>152</v>
      </c>
      <c r="I492" t="s">
        <v>22</v>
      </c>
      <c r="J492" t="s">
        <v>23</v>
      </c>
      <c r="K492" t="s">
        <v>24</v>
      </c>
      <c r="L492" t="s">
        <v>149</v>
      </c>
      <c r="M492">
        <v>28</v>
      </c>
      <c r="N492">
        <v>61</v>
      </c>
      <c r="O492">
        <v>2</v>
      </c>
      <c r="P492">
        <v>2</v>
      </c>
      <c r="Q492">
        <v>0</v>
      </c>
      <c r="R492">
        <v>0.56589999999999996</v>
      </c>
      <c r="S492">
        <v>0.83360000000000001</v>
      </c>
      <c r="U492">
        <v>0.26770000000000005</v>
      </c>
      <c r="V492">
        <v>201.97804158752359</v>
      </c>
      <c r="W492">
        <v>43.003509575374807</v>
      </c>
      <c r="X492">
        <v>250.61925826366615</v>
      </c>
      <c r="Y492">
        <v>-17.080741736333891</v>
      </c>
      <c r="Z492">
        <v>-6.8154146870724315</v>
      </c>
    </row>
    <row r="493" spans="1:26" x14ac:dyDescent="0.35">
      <c r="A493">
        <v>491</v>
      </c>
      <c r="B493" t="s">
        <v>692</v>
      </c>
      <c r="C493">
        <v>46050</v>
      </c>
      <c r="D493" t="s">
        <v>16</v>
      </c>
      <c r="E493" t="s">
        <v>150</v>
      </c>
      <c r="F493" t="s">
        <v>142</v>
      </c>
      <c r="G493" t="s">
        <v>151</v>
      </c>
      <c r="H493" t="s">
        <v>152</v>
      </c>
      <c r="I493" t="s">
        <v>22</v>
      </c>
      <c r="J493" t="s">
        <v>23</v>
      </c>
      <c r="K493" t="s">
        <v>24</v>
      </c>
      <c r="L493" t="s">
        <v>149</v>
      </c>
      <c r="M493">
        <v>28</v>
      </c>
      <c r="N493">
        <v>61</v>
      </c>
      <c r="O493">
        <v>2</v>
      </c>
      <c r="P493">
        <v>3</v>
      </c>
      <c r="Q493">
        <v>0</v>
      </c>
      <c r="R493">
        <v>0.59440000000000004</v>
      </c>
      <c r="S493">
        <v>0.76029999999999998</v>
      </c>
      <c r="U493">
        <v>0.16589999999999994</v>
      </c>
      <c r="V493">
        <v>303.87195841247626</v>
      </c>
      <c r="W493">
        <v>64.684992999447218</v>
      </c>
      <c r="X493">
        <v>250.66937209255312</v>
      </c>
      <c r="Y493">
        <v>84.769372092553169</v>
      </c>
      <c r="Z493">
        <v>33.817203667488457</v>
      </c>
    </row>
    <row r="494" spans="1:26" x14ac:dyDescent="0.35">
      <c r="A494">
        <v>492</v>
      </c>
      <c r="B494" t="s">
        <v>692</v>
      </c>
      <c r="C494">
        <v>46050</v>
      </c>
      <c r="D494" t="s">
        <v>16</v>
      </c>
      <c r="E494" t="s">
        <v>154</v>
      </c>
      <c r="F494" t="s">
        <v>99</v>
      </c>
      <c r="G494" t="s">
        <v>155</v>
      </c>
      <c r="H494" t="s">
        <v>156</v>
      </c>
      <c r="I494" t="s">
        <v>22</v>
      </c>
      <c r="J494" t="s">
        <v>23</v>
      </c>
      <c r="K494" t="s">
        <v>24</v>
      </c>
      <c r="L494" t="s">
        <v>153</v>
      </c>
      <c r="M494">
        <v>28</v>
      </c>
      <c r="N494">
        <v>61</v>
      </c>
      <c r="O494">
        <v>2</v>
      </c>
      <c r="P494">
        <v>1</v>
      </c>
      <c r="Q494">
        <v>0</v>
      </c>
      <c r="R494">
        <v>0.57840000000000003</v>
      </c>
      <c r="S494">
        <v>0.9012</v>
      </c>
      <c r="U494">
        <v>0.32279999999999998</v>
      </c>
      <c r="V494">
        <v>143.25682828698069</v>
      </c>
      <c r="W494">
        <v>30.738060166080949</v>
      </c>
      <c r="X494">
        <v>295.67710880792072</v>
      </c>
      <c r="Y494">
        <v>-27.122891192079237</v>
      </c>
      <c r="Z494">
        <v>-9.1731454292929211</v>
      </c>
    </row>
    <row r="495" spans="1:26" x14ac:dyDescent="0.35">
      <c r="A495">
        <v>493</v>
      </c>
      <c r="B495" t="s">
        <v>692</v>
      </c>
      <c r="C495">
        <v>46050</v>
      </c>
      <c r="D495" t="s">
        <v>16</v>
      </c>
      <c r="E495" t="s">
        <v>154</v>
      </c>
      <c r="F495" t="s">
        <v>99</v>
      </c>
      <c r="G495" t="s">
        <v>155</v>
      </c>
      <c r="H495" t="s">
        <v>156</v>
      </c>
      <c r="I495" t="s">
        <v>22</v>
      </c>
      <c r="J495" t="s">
        <v>23</v>
      </c>
      <c r="K495" t="s">
        <v>24</v>
      </c>
      <c r="L495" t="s">
        <v>153</v>
      </c>
      <c r="M495">
        <v>28</v>
      </c>
      <c r="N495">
        <v>61</v>
      </c>
      <c r="O495">
        <v>2</v>
      </c>
      <c r="P495">
        <v>2</v>
      </c>
      <c r="Q495">
        <v>0</v>
      </c>
      <c r="R495">
        <v>0.56630000000000003</v>
      </c>
      <c r="S495">
        <v>0.89449999999999996</v>
      </c>
      <c r="U495">
        <v>0.32819999999999994</v>
      </c>
      <c r="V495">
        <v>137.95003965263811</v>
      </c>
      <c r="W495">
        <v>29.593484483115056</v>
      </c>
      <c r="X495">
        <v>295.73624422968231</v>
      </c>
      <c r="Y495">
        <v>-32.463755770317618</v>
      </c>
      <c r="Z495">
        <v>-10.977266535211957</v>
      </c>
    </row>
    <row r="496" spans="1:26" x14ac:dyDescent="0.35">
      <c r="A496">
        <v>494</v>
      </c>
      <c r="B496" t="s">
        <v>692</v>
      </c>
      <c r="C496">
        <v>46050</v>
      </c>
      <c r="D496" t="s">
        <v>16</v>
      </c>
      <c r="E496" t="s">
        <v>154</v>
      </c>
      <c r="F496" t="s">
        <v>99</v>
      </c>
      <c r="G496" t="s">
        <v>155</v>
      </c>
      <c r="H496" t="s">
        <v>156</v>
      </c>
      <c r="I496" t="s">
        <v>22</v>
      </c>
      <c r="J496" t="s">
        <v>23</v>
      </c>
      <c r="K496" t="s">
        <v>24</v>
      </c>
      <c r="L496" t="s">
        <v>153</v>
      </c>
      <c r="M496">
        <v>28</v>
      </c>
      <c r="N496">
        <v>61</v>
      </c>
      <c r="O496">
        <v>2</v>
      </c>
      <c r="P496">
        <v>3</v>
      </c>
      <c r="Q496">
        <v>0</v>
      </c>
      <c r="R496">
        <v>0.58860000000000001</v>
      </c>
      <c r="S496">
        <v>0.91039999999999999</v>
      </c>
      <c r="U496">
        <v>0.32179999999999997</v>
      </c>
      <c r="V496">
        <v>144.53646238395282</v>
      </c>
      <c r="W496">
        <v>30.994029856698269</v>
      </c>
      <c r="X496">
        <v>295.85451507320545</v>
      </c>
      <c r="Y496">
        <v>-25.945484926794506</v>
      </c>
      <c r="Z496">
        <v>-8.7696768529541025</v>
      </c>
    </row>
    <row r="497" spans="1:26" x14ac:dyDescent="0.35">
      <c r="A497">
        <v>495</v>
      </c>
      <c r="B497" t="s">
        <v>692</v>
      </c>
      <c r="C497">
        <v>46050</v>
      </c>
      <c r="D497" t="s">
        <v>16</v>
      </c>
      <c r="E497" t="s">
        <v>158</v>
      </c>
      <c r="F497" t="s">
        <v>159</v>
      </c>
      <c r="G497" t="s">
        <v>160</v>
      </c>
      <c r="H497" t="s">
        <v>161</v>
      </c>
      <c r="I497" t="s">
        <v>22</v>
      </c>
      <c r="J497" t="s">
        <v>23</v>
      </c>
      <c r="K497" t="s">
        <v>24</v>
      </c>
      <c r="L497" t="s">
        <v>157</v>
      </c>
      <c r="M497">
        <v>28</v>
      </c>
      <c r="N497">
        <v>61</v>
      </c>
      <c r="O497">
        <v>2</v>
      </c>
      <c r="P497">
        <v>1</v>
      </c>
      <c r="Q497">
        <v>0</v>
      </c>
      <c r="R497">
        <v>0.5706</v>
      </c>
      <c r="S497">
        <v>0.94059999999999999</v>
      </c>
      <c r="U497">
        <v>0.37</v>
      </c>
      <c r="V497">
        <v>94.032212115153868</v>
      </c>
      <c r="W497">
        <v>20.264156164188645</v>
      </c>
      <c r="X497">
        <v>247.63536504026968</v>
      </c>
      <c r="Y497">
        <v>-122.36463495973032</v>
      </c>
      <c r="Z497">
        <v>-49.413230997855159</v>
      </c>
    </row>
    <row r="498" spans="1:26" x14ac:dyDescent="0.35">
      <c r="A498">
        <v>496</v>
      </c>
      <c r="B498" t="s">
        <v>692</v>
      </c>
      <c r="C498">
        <v>46050</v>
      </c>
      <c r="D498" t="s">
        <v>16</v>
      </c>
      <c r="E498" t="s">
        <v>158</v>
      </c>
      <c r="F498" t="s">
        <v>159</v>
      </c>
      <c r="G498" t="s">
        <v>160</v>
      </c>
      <c r="H498" t="s">
        <v>161</v>
      </c>
      <c r="I498" t="s">
        <v>22</v>
      </c>
      <c r="J498" t="s">
        <v>23</v>
      </c>
      <c r="K498" t="s">
        <v>24</v>
      </c>
      <c r="L498" t="s">
        <v>157</v>
      </c>
      <c r="M498">
        <v>28</v>
      </c>
      <c r="N498">
        <v>61</v>
      </c>
      <c r="O498">
        <v>2</v>
      </c>
      <c r="P498">
        <v>2</v>
      </c>
      <c r="Q498">
        <v>0</v>
      </c>
      <c r="R498">
        <v>0.58330000000000004</v>
      </c>
      <c r="S498">
        <v>0.95760000000000001</v>
      </c>
      <c r="U498">
        <v>0.37429999999999997</v>
      </c>
      <c r="V498">
        <v>89.824999999999932</v>
      </c>
      <c r="W498">
        <v>19.353622407756522</v>
      </c>
      <c r="X498">
        <v>247.68488220984381</v>
      </c>
      <c r="Y498">
        <v>-126.61511779015615</v>
      </c>
      <c r="Z498">
        <v>-51.119437189906961</v>
      </c>
    </row>
    <row r="499" spans="1:26" x14ac:dyDescent="0.35">
      <c r="A499">
        <v>497</v>
      </c>
      <c r="B499" t="s">
        <v>692</v>
      </c>
      <c r="C499">
        <v>46050</v>
      </c>
      <c r="D499" t="s">
        <v>16</v>
      </c>
      <c r="E499" t="s">
        <v>158</v>
      </c>
      <c r="F499" t="s">
        <v>159</v>
      </c>
      <c r="G499" t="s">
        <v>160</v>
      </c>
      <c r="H499" t="s">
        <v>161</v>
      </c>
      <c r="I499" t="s">
        <v>22</v>
      </c>
      <c r="J499" t="s">
        <v>23</v>
      </c>
      <c r="K499" t="s">
        <v>24</v>
      </c>
      <c r="L499" t="s">
        <v>157</v>
      </c>
      <c r="M499">
        <v>28</v>
      </c>
      <c r="N499">
        <v>61</v>
      </c>
      <c r="O499">
        <v>2</v>
      </c>
      <c r="P499">
        <v>3</v>
      </c>
      <c r="Q499">
        <v>0</v>
      </c>
      <c r="R499">
        <v>0.58460000000000001</v>
      </c>
      <c r="S499">
        <v>0.91420000000000001</v>
      </c>
      <c r="U499">
        <v>0.3296</v>
      </c>
      <c r="V499">
        <v>134.43221211515385</v>
      </c>
      <c r="W499">
        <v>28.970448301936692</v>
      </c>
      <c r="X499">
        <v>247.63536504026968</v>
      </c>
      <c r="Y499">
        <v>-81.964634959730347</v>
      </c>
      <c r="Z499">
        <v>-33.098921451062338</v>
      </c>
    </row>
    <row r="500" spans="1:26" x14ac:dyDescent="0.35">
      <c r="A500">
        <v>498</v>
      </c>
      <c r="B500" t="s">
        <v>692</v>
      </c>
      <c r="C500">
        <v>46050</v>
      </c>
      <c r="D500" t="s">
        <v>16</v>
      </c>
      <c r="E500" t="s">
        <v>163</v>
      </c>
      <c r="F500" t="s">
        <v>129</v>
      </c>
      <c r="G500" t="s">
        <v>164</v>
      </c>
      <c r="H500" t="s">
        <v>165</v>
      </c>
      <c r="I500" t="s">
        <v>22</v>
      </c>
      <c r="J500" t="s">
        <v>23</v>
      </c>
      <c r="K500" t="s">
        <v>24</v>
      </c>
      <c r="L500" t="s">
        <v>162</v>
      </c>
      <c r="M500">
        <v>28</v>
      </c>
      <c r="N500">
        <v>61</v>
      </c>
      <c r="O500">
        <v>2</v>
      </c>
      <c r="P500">
        <v>1</v>
      </c>
      <c r="Q500">
        <v>0</v>
      </c>
      <c r="R500">
        <v>0.56689999999999996</v>
      </c>
      <c r="S500">
        <v>0.86099999999999999</v>
      </c>
      <c r="U500">
        <v>0.29410000000000003</v>
      </c>
      <c r="V500">
        <v>172.36363974558196</v>
      </c>
      <c r="W500">
        <v>36.95114153797546</v>
      </c>
      <c r="X500">
        <v>319.48656961062574</v>
      </c>
      <c r="Y500">
        <v>25.386569610625713</v>
      </c>
      <c r="Z500">
        <v>7.9460522054387432</v>
      </c>
    </row>
    <row r="501" spans="1:26" x14ac:dyDescent="0.35">
      <c r="A501">
        <v>499</v>
      </c>
      <c r="B501" t="s">
        <v>692</v>
      </c>
      <c r="C501">
        <v>46050</v>
      </c>
      <c r="D501" t="s">
        <v>16</v>
      </c>
      <c r="E501" t="s">
        <v>163</v>
      </c>
      <c r="F501" t="s">
        <v>129</v>
      </c>
      <c r="G501" t="s">
        <v>164</v>
      </c>
      <c r="H501" t="s">
        <v>165</v>
      </c>
      <c r="I501" t="s">
        <v>22</v>
      </c>
      <c r="J501" t="s">
        <v>23</v>
      </c>
      <c r="K501" t="s">
        <v>24</v>
      </c>
      <c r="L501" t="s">
        <v>162</v>
      </c>
      <c r="M501">
        <v>28</v>
      </c>
      <c r="N501">
        <v>61</v>
      </c>
      <c r="O501">
        <v>2</v>
      </c>
      <c r="P501">
        <v>2</v>
      </c>
      <c r="Q501">
        <v>0</v>
      </c>
      <c r="R501">
        <v>0.58720000000000006</v>
      </c>
      <c r="S501">
        <v>0.91930000000000001</v>
      </c>
      <c r="U501">
        <v>0.33209999999999995</v>
      </c>
      <c r="V501">
        <v>134.45687653145961</v>
      </c>
      <c r="W501">
        <v>28.818967910420092</v>
      </c>
      <c r="X501">
        <v>319.55042860914875</v>
      </c>
      <c r="Y501">
        <v>-12.549571390851213</v>
      </c>
      <c r="Z501">
        <v>-3.9272585067319539</v>
      </c>
    </row>
    <row r="502" spans="1:26" x14ac:dyDescent="0.35">
      <c r="A502">
        <v>500</v>
      </c>
      <c r="B502" t="s">
        <v>692</v>
      </c>
      <c r="C502">
        <v>46050</v>
      </c>
      <c r="D502" t="s">
        <v>16</v>
      </c>
      <c r="E502" t="s">
        <v>163</v>
      </c>
      <c r="F502" t="s">
        <v>129</v>
      </c>
      <c r="G502" t="s">
        <v>164</v>
      </c>
      <c r="H502" t="s">
        <v>165</v>
      </c>
      <c r="I502" t="s">
        <v>22</v>
      </c>
      <c r="J502" t="s">
        <v>23</v>
      </c>
      <c r="K502" t="s">
        <v>24</v>
      </c>
      <c r="L502" t="s">
        <v>162</v>
      </c>
      <c r="M502">
        <v>28</v>
      </c>
      <c r="N502">
        <v>61</v>
      </c>
      <c r="O502">
        <v>2</v>
      </c>
      <c r="P502">
        <v>3</v>
      </c>
      <c r="Q502">
        <v>0</v>
      </c>
      <c r="R502">
        <v>0.57299999999999995</v>
      </c>
      <c r="S502">
        <v>0.8952</v>
      </c>
      <c r="U502">
        <v>0.32220000000000004</v>
      </c>
      <c r="V502">
        <v>143.98392938794922</v>
      </c>
      <c r="W502">
        <v>30.885648412845345</v>
      </c>
      <c r="X502">
        <v>319.29499261505674</v>
      </c>
      <c r="Y502">
        <v>-2.9050073849433034</v>
      </c>
      <c r="Z502">
        <v>-0.90981927438041321</v>
      </c>
    </row>
    <row r="503" spans="1:26" x14ac:dyDescent="0.35">
      <c r="A503">
        <v>501</v>
      </c>
      <c r="B503" t="s">
        <v>692</v>
      </c>
      <c r="C503">
        <v>46050</v>
      </c>
      <c r="D503" t="s">
        <v>16</v>
      </c>
      <c r="E503" t="s">
        <v>167</v>
      </c>
      <c r="F503" t="s">
        <v>88</v>
      </c>
      <c r="G503" t="s">
        <v>168</v>
      </c>
      <c r="H503" t="s">
        <v>169</v>
      </c>
      <c r="I503" t="s">
        <v>22</v>
      </c>
      <c r="J503" t="s">
        <v>23</v>
      </c>
      <c r="K503" t="s">
        <v>24</v>
      </c>
      <c r="L503" t="s">
        <v>166</v>
      </c>
      <c r="M503">
        <v>28</v>
      </c>
      <c r="N503">
        <v>61</v>
      </c>
      <c r="O503">
        <v>2</v>
      </c>
      <c r="P503">
        <v>1</v>
      </c>
      <c r="Q503">
        <v>0</v>
      </c>
      <c r="R503">
        <v>0.59499999999999997</v>
      </c>
      <c r="S503">
        <v>0.90610000000000002</v>
      </c>
      <c r="U503">
        <v>0.31110000000000004</v>
      </c>
      <c r="V503">
        <v>162.07368709287209</v>
      </c>
      <c r="W503">
        <v>34.252472509330616</v>
      </c>
      <c r="X503">
        <v>297.35966432787967</v>
      </c>
      <c r="Y503">
        <v>-13.740335672120352</v>
      </c>
      <c r="Z503">
        <v>-4.6207799242636201</v>
      </c>
    </row>
    <row r="504" spans="1:26" x14ac:dyDescent="0.35">
      <c r="A504">
        <v>502</v>
      </c>
      <c r="B504" t="s">
        <v>692</v>
      </c>
      <c r="C504">
        <v>46050</v>
      </c>
      <c r="D504" t="s">
        <v>16</v>
      </c>
      <c r="E504" t="s">
        <v>167</v>
      </c>
      <c r="F504" t="s">
        <v>88</v>
      </c>
      <c r="G504" t="s">
        <v>168</v>
      </c>
      <c r="H504" t="s">
        <v>169</v>
      </c>
      <c r="I504" t="s">
        <v>22</v>
      </c>
      <c r="J504" t="s">
        <v>23</v>
      </c>
      <c r="K504" t="s">
        <v>24</v>
      </c>
      <c r="L504" t="s">
        <v>166</v>
      </c>
      <c r="M504">
        <v>28</v>
      </c>
      <c r="N504">
        <v>61</v>
      </c>
      <c r="O504">
        <v>2</v>
      </c>
      <c r="P504">
        <v>2</v>
      </c>
      <c r="Q504">
        <v>0</v>
      </c>
      <c r="R504">
        <v>0.57930000000000004</v>
      </c>
      <c r="S504">
        <v>0.85360000000000003</v>
      </c>
      <c r="U504">
        <v>0.27429999999999999</v>
      </c>
      <c r="V504">
        <v>198.77907127861636</v>
      </c>
      <c r="W504">
        <v>42.018149469467211</v>
      </c>
      <c r="X504">
        <v>297.30020428702227</v>
      </c>
      <c r="Y504">
        <v>23.000204287022257</v>
      </c>
      <c r="Z504">
        <v>7.7363567045575214</v>
      </c>
    </row>
    <row r="505" spans="1:26" x14ac:dyDescent="0.35">
      <c r="A505">
        <v>503</v>
      </c>
      <c r="B505" t="s">
        <v>692</v>
      </c>
      <c r="C505">
        <v>46050</v>
      </c>
      <c r="D505" t="s">
        <v>16</v>
      </c>
      <c r="E505" t="s">
        <v>167</v>
      </c>
      <c r="F505" t="s">
        <v>88</v>
      </c>
      <c r="G505" t="s">
        <v>168</v>
      </c>
      <c r="H505" t="s">
        <v>169</v>
      </c>
      <c r="I505" t="s">
        <v>22</v>
      </c>
      <c r="J505" t="s">
        <v>23</v>
      </c>
      <c r="K505" t="s">
        <v>24</v>
      </c>
      <c r="L505" t="s">
        <v>166</v>
      </c>
      <c r="M505">
        <v>28</v>
      </c>
      <c r="N505">
        <v>61</v>
      </c>
      <c r="O505">
        <v>2</v>
      </c>
      <c r="P505">
        <v>3</v>
      </c>
      <c r="Q505">
        <v>0</v>
      </c>
      <c r="R505">
        <v>0.59909999999999997</v>
      </c>
      <c r="S505">
        <v>0.90759999999999996</v>
      </c>
      <c r="U505">
        <v>0.3085</v>
      </c>
      <c r="V505">
        <v>164.95753453563924</v>
      </c>
      <c r="W505">
        <v>34.841041171184948</v>
      </c>
      <c r="X505">
        <v>297.53804445045188</v>
      </c>
      <c r="Y505">
        <v>-10.961955549548122</v>
      </c>
      <c r="Z505">
        <v>-3.6842198011332239</v>
      </c>
    </row>
    <row r="506" spans="1:26" x14ac:dyDescent="0.35">
      <c r="A506">
        <v>504</v>
      </c>
      <c r="B506" t="s">
        <v>692</v>
      </c>
      <c r="C506">
        <v>46050</v>
      </c>
      <c r="D506" t="s">
        <v>16</v>
      </c>
      <c r="E506" t="s">
        <v>171</v>
      </c>
      <c r="F506" t="s">
        <v>88</v>
      </c>
      <c r="G506" t="s">
        <v>147</v>
      </c>
      <c r="H506" t="s">
        <v>148</v>
      </c>
      <c r="I506" t="s">
        <v>22</v>
      </c>
      <c r="J506" t="s">
        <v>23</v>
      </c>
      <c r="K506" t="s">
        <v>24</v>
      </c>
      <c r="L506" t="s">
        <v>170</v>
      </c>
      <c r="M506">
        <v>28</v>
      </c>
      <c r="N506">
        <v>61</v>
      </c>
      <c r="O506">
        <v>2</v>
      </c>
      <c r="P506">
        <v>1</v>
      </c>
      <c r="Q506">
        <v>0</v>
      </c>
      <c r="R506">
        <v>0.5746</v>
      </c>
      <c r="S506">
        <v>0.86629999999999996</v>
      </c>
      <c r="U506">
        <v>0.29169999999999996</v>
      </c>
      <c r="V506">
        <v>182.51842565743436</v>
      </c>
      <c r="W506">
        <v>38.488261059109909</v>
      </c>
      <c r="X506">
        <v>248.33663941302635</v>
      </c>
      <c r="Y506">
        <v>-43.363360586973585</v>
      </c>
      <c r="Z506">
        <v>-17.461523474533653</v>
      </c>
    </row>
    <row r="507" spans="1:26" x14ac:dyDescent="0.35">
      <c r="A507">
        <v>505</v>
      </c>
      <c r="B507" t="s">
        <v>692</v>
      </c>
      <c r="C507">
        <v>46050</v>
      </c>
      <c r="D507" t="s">
        <v>16</v>
      </c>
      <c r="E507" t="s">
        <v>171</v>
      </c>
      <c r="F507" t="s">
        <v>88</v>
      </c>
      <c r="G507" t="s">
        <v>147</v>
      </c>
      <c r="H507" t="s">
        <v>148</v>
      </c>
      <c r="I507" t="s">
        <v>22</v>
      </c>
      <c r="J507" t="s">
        <v>23</v>
      </c>
      <c r="K507" t="s">
        <v>24</v>
      </c>
      <c r="L507" t="s">
        <v>170</v>
      </c>
      <c r="M507">
        <v>28</v>
      </c>
      <c r="N507">
        <v>61</v>
      </c>
      <c r="O507">
        <v>2</v>
      </c>
      <c r="P507">
        <v>2</v>
      </c>
      <c r="Q507">
        <v>0</v>
      </c>
      <c r="R507">
        <v>0.56489999999999996</v>
      </c>
      <c r="S507">
        <v>0.91149999999999998</v>
      </c>
      <c r="U507">
        <v>0.34660000000000002</v>
      </c>
      <c r="V507">
        <v>127.42885203134688</v>
      </c>
      <c r="W507">
        <v>26.882087764337214</v>
      </c>
      <c r="X507">
        <v>248.23736432231553</v>
      </c>
      <c r="Y507">
        <v>-98.362635677684494</v>
      </c>
      <c r="Z507">
        <v>-39.624427993027197</v>
      </c>
    </row>
    <row r="508" spans="1:26" x14ac:dyDescent="0.35">
      <c r="A508">
        <v>506</v>
      </c>
      <c r="B508" t="s">
        <v>692</v>
      </c>
      <c r="C508">
        <v>46050</v>
      </c>
      <c r="D508" t="s">
        <v>16</v>
      </c>
      <c r="E508" t="s">
        <v>171</v>
      </c>
      <c r="F508" t="s">
        <v>88</v>
      </c>
      <c r="G508" t="s">
        <v>147</v>
      </c>
      <c r="H508" t="s">
        <v>148</v>
      </c>
      <c r="I508" t="s">
        <v>22</v>
      </c>
      <c r="J508" t="s">
        <v>23</v>
      </c>
      <c r="K508" t="s">
        <v>24</v>
      </c>
      <c r="L508" t="s">
        <v>170</v>
      </c>
      <c r="M508">
        <v>28</v>
      </c>
      <c r="N508">
        <v>61</v>
      </c>
      <c r="O508">
        <v>2</v>
      </c>
      <c r="P508">
        <v>3</v>
      </c>
      <c r="Q508">
        <v>0</v>
      </c>
      <c r="R508">
        <v>0.60140000000000005</v>
      </c>
      <c r="S508">
        <v>0.98529999999999995</v>
      </c>
      <c r="U508">
        <v>0.38389999999999991</v>
      </c>
      <c r="V508">
        <v>90.12885203134698</v>
      </c>
      <c r="W508">
        <v>19.013368415259855</v>
      </c>
      <c r="X508">
        <v>248.23736432231553</v>
      </c>
      <c r="Y508">
        <v>-135.66263567768439</v>
      </c>
      <c r="Z508">
        <v>-54.650369032092108</v>
      </c>
    </row>
    <row r="509" spans="1:26" x14ac:dyDescent="0.35">
      <c r="A509">
        <v>507</v>
      </c>
      <c r="B509" t="s">
        <v>692</v>
      </c>
      <c r="C509">
        <v>46050</v>
      </c>
      <c r="D509" t="s">
        <v>16</v>
      </c>
      <c r="E509" t="s">
        <v>173</v>
      </c>
      <c r="F509" t="s">
        <v>99</v>
      </c>
      <c r="G509" t="s">
        <v>100</v>
      </c>
      <c r="H509" t="s">
        <v>101</v>
      </c>
      <c r="I509" t="s">
        <v>22</v>
      </c>
      <c r="J509" t="s">
        <v>23</v>
      </c>
      <c r="K509" t="s">
        <v>24</v>
      </c>
      <c r="L509" t="s">
        <v>172</v>
      </c>
      <c r="M509">
        <v>28</v>
      </c>
      <c r="N509">
        <v>61</v>
      </c>
      <c r="O509">
        <v>2</v>
      </c>
      <c r="P509">
        <v>1</v>
      </c>
      <c r="Q509">
        <v>0</v>
      </c>
      <c r="R509">
        <v>0.57889999999999997</v>
      </c>
      <c r="S509">
        <v>0.83489999999999998</v>
      </c>
      <c r="U509">
        <v>0.25600000000000001</v>
      </c>
      <c r="V509">
        <v>212.72341797460751</v>
      </c>
      <c r="W509">
        <v>45.383569460600647</v>
      </c>
      <c r="X509">
        <v>265.60681065483283</v>
      </c>
      <c r="Y509">
        <v>9.6068106548328274</v>
      </c>
      <c r="Z509">
        <v>3.6169293366943362</v>
      </c>
    </row>
    <row r="510" spans="1:26" x14ac:dyDescent="0.35">
      <c r="A510">
        <v>508</v>
      </c>
      <c r="B510" t="s">
        <v>692</v>
      </c>
      <c r="C510">
        <v>46050</v>
      </c>
      <c r="D510" t="s">
        <v>16</v>
      </c>
      <c r="E510" t="s">
        <v>173</v>
      </c>
      <c r="F510" t="s">
        <v>99</v>
      </c>
      <c r="G510" t="s">
        <v>100</v>
      </c>
      <c r="H510" t="s">
        <v>101</v>
      </c>
      <c r="I510" t="s">
        <v>22</v>
      </c>
      <c r="J510" t="s">
        <v>23</v>
      </c>
      <c r="K510" t="s">
        <v>24</v>
      </c>
      <c r="L510" t="s">
        <v>172</v>
      </c>
      <c r="M510">
        <v>28</v>
      </c>
      <c r="N510">
        <v>61</v>
      </c>
      <c r="O510">
        <v>2</v>
      </c>
      <c r="P510">
        <v>2</v>
      </c>
      <c r="Q510">
        <v>0</v>
      </c>
      <c r="R510">
        <v>0.58399999999999996</v>
      </c>
      <c r="S510">
        <v>0.94440000000000002</v>
      </c>
      <c r="U510">
        <v>0.36040000000000005</v>
      </c>
      <c r="V510">
        <v>108.51083237603677</v>
      </c>
      <c r="W510">
        <v>23.141037673665419</v>
      </c>
      <c r="X510">
        <v>265.71301089899708</v>
      </c>
      <c r="Y510">
        <v>-94.686989101002951</v>
      </c>
      <c r="Z510">
        <v>-35.635059337382394</v>
      </c>
    </row>
    <row r="511" spans="1:26" x14ac:dyDescent="0.35">
      <c r="A511">
        <v>509</v>
      </c>
      <c r="B511" t="s">
        <v>692</v>
      </c>
      <c r="C511">
        <v>46050</v>
      </c>
      <c r="D511" t="s">
        <v>16</v>
      </c>
      <c r="E511" t="s">
        <v>173</v>
      </c>
      <c r="F511" t="s">
        <v>99</v>
      </c>
      <c r="G511" t="s">
        <v>100</v>
      </c>
      <c r="H511" t="s">
        <v>101</v>
      </c>
      <c r="I511" t="s">
        <v>22</v>
      </c>
      <c r="J511" t="s">
        <v>23</v>
      </c>
      <c r="K511" t="s">
        <v>24</v>
      </c>
      <c r="L511" t="s">
        <v>172</v>
      </c>
      <c r="M511">
        <v>28</v>
      </c>
      <c r="N511">
        <v>61</v>
      </c>
      <c r="O511">
        <v>2</v>
      </c>
      <c r="P511">
        <v>3</v>
      </c>
      <c r="Q511">
        <v>0</v>
      </c>
      <c r="R511">
        <v>0.59599999999999997</v>
      </c>
      <c r="S511">
        <v>0.90249999999999997</v>
      </c>
      <c r="U511">
        <v>0.30649999999999999</v>
      </c>
      <c r="V511">
        <v>162.31712517532213</v>
      </c>
      <c r="W511">
        <v>34.62269538780626</v>
      </c>
      <c r="X511">
        <v>265.65991077691496</v>
      </c>
      <c r="Y511">
        <v>-40.840089223085045</v>
      </c>
      <c r="Z511">
        <v>-15.373071948887338</v>
      </c>
    </row>
    <row r="512" spans="1:26" x14ac:dyDescent="0.35">
      <c r="A512">
        <v>510</v>
      </c>
      <c r="B512" t="s">
        <v>692</v>
      </c>
      <c r="C512">
        <v>46050</v>
      </c>
      <c r="D512" t="s">
        <v>16</v>
      </c>
      <c r="E512" t="s">
        <v>175</v>
      </c>
      <c r="F512" t="s">
        <v>159</v>
      </c>
      <c r="G512" t="s">
        <v>160</v>
      </c>
      <c r="H512" t="s">
        <v>161</v>
      </c>
      <c r="I512" t="s">
        <v>22</v>
      </c>
      <c r="J512" t="s">
        <v>23</v>
      </c>
      <c r="K512" t="s">
        <v>24</v>
      </c>
      <c r="L512" t="s">
        <v>174</v>
      </c>
      <c r="M512">
        <v>28</v>
      </c>
      <c r="N512">
        <v>61</v>
      </c>
      <c r="O512">
        <v>2</v>
      </c>
      <c r="P512">
        <v>1</v>
      </c>
      <c r="Q512">
        <v>0</v>
      </c>
      <c r="R512">
        <v>0.58460000000000001</v>
      </c>
      <c r="S512">
        <v>0.94420000000000004</v>
      </c>
      <c r="U512">
        <v>0.35960000000000003</v>
      </c>
      <c r="V512">
        <v>115.08199152969377</v>
      </c>
      <c r="W512">
        <v>24.244018855409809</v>
      </c>
      <c r="X512">
        <v>261.08488491549315</v>
      </c>
      <c r="Y512">
        <v>-98.515115084506874</v>
      </c>
      <c r="Z512">
        <v>-37.732982940162863</v>
      </c>
    </row>
    <row r="513" spans="1:26" x14ac:dyDescent="0.35">
      <c r="A513">
        <v>511</v>
      </c>
      <c r="B513" t="s">
        <v>692</v>
      </c>
      <c r="C513">
        <v>46050</v>
      </c>
      <c r="D513" t="s">
        <v>16</v>
      </c>
      <c r="E513" t="s">
        <v>175</v>
      </c>
      <c r="F513" t="s">
        <v>159</v>
      </c>
      <c r="G513" t="s">
        <v>160</v>
      </c>
      <c r="H513" t="s">
        <v>161</v>
      </c>
      <c r="I513" t="s">
        <v>22</v>
      </c>
      <c r="J513" t="s">
        <v>23</v>
      </c>
      <c r="K513" t="s">
        <v>24</v>
      </c>
      <c r="L513" t="s">
        <v>174</v>
      </c>
      <c r="M513">
        <v>28</v>
      </c>
      <c r="N513">
        <v>61</v>
      </c>
      <c r="O513">
        <v>2</v>
      </c>
      <c r="P513">
        <v>2</v>
      </c>
      <c r="Q513">
        <v>0</v>
      </c>
      <c r="R513">
        <v>0.57650000000000001</v>
      </c>
      <c r="S513">
        <v>1.0405</v>
      </c>
      <c r="U513">
        <v>0.46399999999999997</v>
      </c>
      <c r="V513">
        <v>10.492270509897821</v>
      </c>
      <c r="W513">
        <v>2.2112626826613302</v>
      </c>
      <c r="X513">
        <v>260.98053444190589</v>
      </c>
      <c r="Y513">
        <v>-203.01946555809405</v>
      </c>
      <c r="Z513">
        <v>-77.791037554674816</v>
      </c>
    </row>
    <row r="514" spans="1:26" x14ac:dyDescent="0.35">
      <c r="A514">
        <v>512</v>
      </c>
      <c r="B514" t="s">
        <v>692</v>
      </c>
      <c r="C514">
        <v>46050</v>
      </c>
      <c r="D514" t="s">
        <v>16</v>
      </c>
      <c r="E514" t="s">
        <v>175</v>
      </c>
      <c r="F514" t="s">
        <v>159</v>
      </c>
      <c r="G514" t="s">
        <v>160</v>
      </c>
      <c r="H514" t="s">
        <v>161</v>
      </c>
      <c r="I514" t="s">
        <v>22</v>
      </c>
      <c r="J514" t="s">
        <v>23</v>
      </c>
      <c r="K514" t="s">
        <v>24</v>
      </c>
      <c r="L514" t="s">
        <v>174</v>
      </c>
      <c r="M514">
        <v>28</v>
      </c>
      <c r="N514">
        <v>61</v>
      </c>
      <c r="O514">
        <v>2</v>
      </c>
      <c r="P514">
        <v>3</v>
      </c>
      <c r="Q514">
        <v>0</v>
      </c>
      <c r="R514">
        <v>0.61050000000000004</v>
      </c>
      <c r="S514">
        <v>0.98899999999999999</v>
      </c>
      <c r="U514">
        <v>0.37849999999999995</v>
      </c>
      <c r="V514">
        <v>96.087131019795834</v>
      </c>
      <c r="W514">
        <v>20.246467874786912</v>
      </c>
      <c r="X514">
        <v>261.03270967869952</v>
      </c>
      <c r="Y514">
        <v>-117.46729032130042</v>
      </c>
      <c r="Z514">
        <v>-45.000984920965962</v>
      </c>
    </row>
    <row r="515" spans="1:26" x14ac:dyDescent="0.35">
      <c r="A515">
        <v>513</v>
      </c>
      <c r="B515" t="s">
        <v>692</v>
      </c>
      <c r="C515">
        <v>46050</v>
      </c>
      <c r="D515" t="s">
        <v>16</v>
      </c>
      <c r="E515" t="s">
        <v>177</v>
      </c>
      <c r="F515" t="s">
        <v>159</v>
      </c>
      <c r="G515" t="s">
        <v>160</v>
      </c>
      <c r="H515" t="s">
        <v>161</v>
      </c>
      <c r="I515" t="s">
        <v>22</v>
      </c>
      <c r="J515" t="s">
        <v>23</v>
      </c>
      <c r="K515" t="s">
        <v>24</v>
      </c>
      <c r="L515" t="s">
        <v>176</v>
      </c>
      <c r="M515">
        <v>28</v>
      </c>
      <c r="N515">
        <v>61</v>
      </c>
      <c r="O515">
        <v>2</v>
      </c>
      <c r="P515">
        <v>1</v>
      </c>
      <c r="Q515">
        <v>0</v>
      </c>
      <c r="R515">
        <v>0.56799999999999995</v>
      </c>
      <c r="S515">
        <v>0.92969999999999997</v>
      </c>
      <c r="U515">
        <v>0.36170000000000002</v>
      </c>
      <c r="V515">
        <v>107.96743825617426</v>
      </c>
      <c r="W515">
        <v>22.988061224138931</v>
      </c>
      <c r="X515">
        <v>257.98642701848371</v>
      </c>
      <c r="Y515">
        <v>-103.71357298151634</v>
      </c>
      <c r="Z515">
        <v>-40.201174216845779</v>
      </c>
    </row>
    <row r="516" spans="1:26" x14ac:dyDescent="0.35">
      <c r="A516">
        <v>514</v>
      </c>
      <c r="B516" t="s">
        <v>692</v>
      </c>
      <c r="C516">
        <v>46050</v>
      </c>
      <c r="D516" t="s">
        <v>16</v>
      </c>
      <c r="E516" t="s">
        <v>177</v>
      </c>
      <c r="F516" t="s">
        <v>159</v>
      </c>
      <c r="G516" t="s">
        <v>160</v>
      </c>
      <c r="H516" t="s">
        <v>161</v>
      </c>
      <c r="I516" t="s">
        <v>22</v>
      </c>
      <c r="J516" t="s">
        <v>23</v>
      </c>
      <c r="K516" t="s">
        <v>24</v>
      </c>
      <c r="L516" t="s">
        <v>176</v>
      </c>
      <c r="M516">
        <v>28</v>
      </c>
      <c r="N516">
        <v>61</v>
      </c>
      <c r="O516">
        <v>2</v>
      </c>
      <c r="P516">
        <v>2</v>
      </c>
      <c r="Q516">
        <v>0</v>
      </c>
      <c r="R516">
        <v>0.62660000000000005</v>
      </c>
      <c r="S516">
        <v>1.0596000000000001</v>
      </c>
      <c r="U516">
        <v>0.43300000000000005</v>
      </c>
      <c r="V516">
        <v>36.573561094819866</v>
      </c>
      <c r="W516">
        <v>7.7886755398979224</v>
      </c>
      <c r="X516">
        <v>257.9348606728874</v>
      </c>
      <c r="Y516">
        <v>-175.06513932711266</v>
      </c>
      <c r="Z516">
        <v>-67.871841313117429</v>
      </c>
    </row>
    <row r="517" spans="1:26" x14ac:dyDescent="0.35">
      <c r="A517">
        <v>515</v>
      </c>
      <c r="B517" t="s">
        <v>692</v>
      </c>
      <c r="C517">
        <v>46050</v>
      </c>
      <c r="D517" t="s">
        <v>16</v>
      </c>
      <c r="E517" t="s">
        <v>177</v>
      </c>
      <c r="F517" t="s">
        <v>159</v>
      </c>
      <c r="G517" t="s">
        <v>160</v>
      </c>
      <c r="H517" t="s">
        <v>161</v>
      </c>
      <c r="I517" t="s">
        <v>22</v>
      </c>
      <c r="J517" t="s">
        <v>23</v>
      </c>
      <c r="K517" t="s">
        <v>24</v>
      </c>
      <c r="L517" t="s">
        <v>176</v>
      </c>
      <c r="M517">
        <v>28</v>
      </c>
      <c r="N517">
        <v>61</v>
      </c>
      <c r="O517">
        <v>2</v>
      </c>
      <c r="P517">
        <v>3</v>
      </c>
      <c r="Q517">
        <v>0</v>
      </c>
      <c r="R517">
        <v>0.57420000000000004</v>
      </c>
      <c r="S517">
        <v>0.9778</v>
      </c>
      <c r="U517">
        <v>0.40359999999999996</v>
      </c>
      <c r="V517">
        <v>65.879683933465515</v>
      </c>
      <c r="W517">
        <v>14.032488771719025</v>
      </c>
      <c r="X517">
        <v>257.88329432729108</v>
      </c>
      <c r="Y517">
        <v>-145.71670567270888</v>
      </c>
      <c r="Z517">
        <v>-56.504903139547061</v>
      </c>
    </row>
    <row r="518" spans="1:26" x14ac:dyDescent="0.35">
      <c r="A518">
        <v>516</v>
      </c>
      <c r="B518" t="s">
        <v>692</v>
      </c>
      <c r="C518">
        <v>46050</v>
      </c>
      <c r="D518" t="s">
        <v>16</v>
      </c>
      <c r="E518" t="s">
        <v>181</v>
      </c>
      <c r="F518" t="s">
        <v>159</v>
      </c>
      <c r="G518" t="s">
        <v>160</v>
      </c>
      <c r="H518" t="s">
        <v>161</v>
      </c>
      <c r="I518" t="s">
        <v>22</v>
      </c>
      <c r="J518" t="s">
        <v>23</v>
      </c>
      <c r="K518" t="s">
        <v>24</v>
      </c>
      <c r="L518" t="s">
        <v>180</v>
      </c>
      <c r="M518">
        <v>28</v>
      </c>
      <c r="N518">
        <v>61</v>
      </c>
      <c r="O518">
        <v>2</v>
      </c>
      <c r="P518">
        <v>1</v>
      </c>
      <c r="Q518">
        <v>0</v>
      </c>
      <c r="R518">
        <v>0.59950000000000003</v>
      </c>
      <c r="S518">
        <v>0.92659999999999998</v>
      </c>
      <c r="U518">
        <v>0.32709999999999995</v>
      </c>
      <c r="V518">
        <v>150.76604407189029</v>
      </c>
      <c r="W518">
        <v>31.549855015270563</v>
      </c>
      <c r="X518">
        <v>259.75143039468389</v>
      </c>
      <c r="Y518">
        <v>-67.348569605316072</v>
      </c>
      <c r="Z518">
        <v>-25.928084208422685</v>
      </c>
    </row>
    <row r="519" spans="1:26" x14ac:dyDescent="0.35">
      <c r="A519">
        <v>517</v>
      </c>
      <c r="B519" t="s">
        <v>692</v>
      </c>
      <c r="C519">
        <v>46050</v>
      </c>
      <c r="D519" t="s">
        <v>16</v>
      </c>
      <c r="E519" t="s">
        <v>181</v>
      </c>
      <c r="F519" t="s">
        <v>159</v>
      </c>
      <c r="G519" t="s">
        <v>160</v>
      </c>
      <c r="H519" t="s">
        <v>161</v>
      </c>
      <c r="I519" t="s">
        <v>22</v>
      </c>
      <c r="J519" t="s">
        <v>23</v>
      </c>
      <c r="K519" t="s">
        <v>24</v>
      </c>
      <c r="L519" t="s">
        <v>180</v>
      </c>
      <c r="M519">
        <v>28</v>
      </c>
      <c r="N519">
        <v>61</v>
      </c>
      <c r="O519">
        <v>2</v>
      </c>
      <c r="P519">
        <v>2</v>
      </c>
      <c r="Q519">
        <v>0</v>
      </c>
      <c r="R519">
        <v>0.55020000000000002</v>
      </c>
      <c r="S519">
        <v>0.86380000000000001</v>
      </c>
      <c r="U519">
        <v>0.31359999999999999</v>
      </c>
      <c r="V519">
        <v>164.17052817261543</v>
      </c>
      <c r="W519">
        <v>34.361794730314905</v>
      </c>
      <c r="X519">
        <v>259.69951126008573</v>
      </c>
      <c r="Y519">
        <v>-53.900488739914238</v>
      </c>
      <c r="Z519">
        <v>-20.75494423473658</v>
      </c>
    </row>
    <row r="520" spans="1:26" x14ac:dyDescent="0.35">
      <c r="A520">
        <v>518</v>
      </c>
      <c r="B520" t="s">
        <v>692</v>
      </c>
      <c r="C520">
        <v>46050</v>
      </c>
      <c r="D520" t="s">
        <v>16</v>
      </c>
      <c r="E520" t="s">
        <v>181</v>
      </c>
      <c r="F520" t="s">
        <v>159</v>
      </c>
      <c r="G520" t="s">
        <v>160</v>
      </c>
      <c r="H520" t="s">
        <v>161</v>
      </c>
      <c r="I520" t="s">
        <v>22</v>
      </c>
      <c r="J520" t="s">
        <v>23</v>
      </c>
      <c r="K520" t="s">
        <v>24</v>
      </c>
      <c r="L520" t="s">
        <v>180</v>
      </c>
      <c r="M520">
        <v>28</v>
      </c>
      <c r="N520">
        <v>61</v>
      </c>
      <c r="O520">
        <v>2</v>
      </c>
      <c r="P520">
        <v>3</v>
      </c>
      <c r="Q520">
        <v>0</v>
      </c>
      <c r="R520">
        <v>0.5917</v>
      </c>
      <c r="S520">
        <v>0.95620000000000005</v>
      </c>
      <c r="U520">
        <v>0.36450000000000005</v>
      </c>
      <c r="V520">
        <v>113.46155997116495</v>
      </c>
      <c r="W520">
        <v>23.738637052320687</v>
      </c>
      <c r="X520">
        <v>259.803349529282</v>
      </c>
      <c r="Y520">
        <v>-104.69665047071805</v>
      </c>
      <c r="Z520">
        <v>-40.298422118271368</v>
      </c>
    </row>
    <row r="521" spans="1:26" x14ac:dyDescent="0.35">
      <c r="A521">
        <v>519</v>
      </c>
      <c r="B521" t="s">
        <v>692</v>
      </c>
      <c r="C521">
        <v>46050</v>
      </c>
      <c r="D521" t="s">
        <v>16</v>
      </c>
      <c r="E521" t="s">
        <v>183</v>
      </c>
      <c r="F521" t="s">
        <v>19</v>
      </c>
      <c r="G521" t="s">
        <v>20</v>
      </c>
      <c r="H521" t="s">
        <v>21</v>
      </c>
      <c r="I521" t="s">
        <v>22</v>
      </c>
      <c r="J521" t="s">
        <v>23</v>
      </c>
      <c r="K521" t="s">
        <v>24</v>
      </c>
      <c r="L521" t="s">
        <v>182</v>
      </c>
      <c r="M521">
        <v>28</v>
      </c>
      <c r="N521">
        <v>61</v>
      </c>
      <c r="O521">
        <v>2</v>
      </c>
      <c r="P521">
        <v>1</v>
      </c>
      <c r="Q521">
        <v>0</v>
      </c>
      <c r="R521">
        <v>0.56530000000000002</v>
      </c>
      <c r="S521">
        <v>0.92589999999999995</v>
      </c>
      <c r="U521">
        <v>0.36059999999999992</v>
      </c>
      <c r="V521">
        <v>118.67914146503972</v>
      </c>
      <c r="W521">
        <v>24.762008440898654</v>
      </c>
      <c r="X521">
        <v>312.45808615656904</v>
      </c>
      <c r="Y521">
        <v>-48.141913843430871</v>
      </c>
      <c r="Z521">
        <v>-15.407478947210709</v>
      </c>
    </row>
    <row r="522" spans="1:26" x14ac:dyDescent="0.35">
      <c r="A522">
        <v>520</v>
      </c>
      <c r="B522" t="s">
        <v>692</v>
      </c>
      <c r="C522">
        <v>46050</v>
      </c>
      <c r="D522" t="s">
        <v>16</v>
      </c>
      <c r="E522" t="s">
        <v>183</v>
      </c>
      <c r="F522" t="s">
        <v>19</v>
      </c>
      <c r="G522" t="s">
        <v>20</v>
      </c>
      <c r="H522" t="s">
        <v>21</v>
      </c>
      <c r="I522" t="s">
        <v>22</v>
      </c>
      <c r="J522" t="s">
        <v>23</v>
      </c>
      <c r="K522" t="s">
        <v>24</v>
      </c>
      <c r="L522" t="s">
        <v>182</v>
      </c>
      <c r="M522">
        <v>28</v>
      </c>
      <c r="N522">
        <v>61</v>
      </c>
      <c r="O522">
        <v>2</v>
      </c>
      <c r="P522">
        <v>2</v>
      </c>
      <c r="Q522">
        <v>0</v>
      </c>
      <c r="R522">
        <v>0.53739999999999999</v>
      </c>
      <c r="S522">
        <v>0.88019999999999998</v>
      </c>
      <c r="U522">
        <v>0.34279999999999999</v>
      </c>
      <c r="V522">
        <v>136.86256477821161</v>
      </c>
      <c r="W522">
        <v>28.533092809003076</v>
      </c>
      <c r="X522">
        <v>312.70805262549425</v>
      </c>
      <c r="Y522">
        <v>-30.091947374505764</v>
      </c>
      <c r="Z522">
        <v>-9.6230164595551724</v>
      </c>
    </row>
    <row r="523" spans="1:26" x14ac:dyDescent="0.35">
      <c r="A523">
        <v>521</v>
      </c>
      <c r="B523" t="s">
        <v>692</v>
      </c>
      <c r="C523">
        <v>46050</v>
      </c>
      <c r="D523" t="s">
        <v>16</v>
      </c>
      <c r="E523" t="s">
        <v>183</v>
      </c>
      <c r="F523" t="s">
        <v>19</v>
      </c>
      <c r="G523" t="s">
        <v>20</v>
      </c>
      <c r="H523" t="s">
        <v>21</v>
      </c>
      <c r="I523" t="s">
        <v>22</v>
      </c>
      <c r="J523" t="s">
        <v>23</v>
      </c>
      <c r="K523" t="s">
        <v>24</v>
      </c>
      <c r="L523" t="s">
        <v>182</v>
      </c>
      <c r="M523">
        <v>28</v>
      </c>
      <c r="N523">
        <v>61</v>
      </c>
      <c r="O523">
        <v>2</v>
      </c>
      <c r="P523">
        <v>3</v>
      </c>
      <c r="Q523">
        <v>0</v>
      </c>
      <c r="R523">
        <v>0.55100000000000005</v>
      </c>
      <c r="S523">
        <v>0.94430000000000003</v>
      </c>
      <c r="U523">
        <v>0.39329999999999998</v>
      </c>
      <c r="V523">
        <v>86.074997293332729</v>
      </c>
      <c r="W523">
        <v>17.955670983954732</v>
      </c>
      <c r="X523">
        <v>312.52057777380037</v>
      </c>
      <c r="Y523">
        <v>-80.779422226199586</v>
      </c>
      <c r="Z523">
        <v>-25.8477130695269</v>
      </c>
    </row>
    <row r="524" spans="1:26" x14ac:dyDescent="0.35">
      <c r="A524">
        <v>522</v>
      </c>
      <c r="B524" t="s">
        <v>692</v>
      </c>
      <c r="C524">
        <v>46050</v>
      </c>
      <c r="D524" t="s">
        <v>16</v>
      </c>
      <c r="E524" t="s">
        <v>185</v>
      </c>
      <c r="F524" t="s">
        <v>19</v>
      </c>
      <c r="G524" t="s">
        <v>20</v>
      </c>
      <c r="H524" t="s">
        <v>21</v>
      </c>
      <c r="I524" t="s">
        <v>22</v>
      </c>
      <c r="J524" t="s">
        <v>23</v>
      </c>
      <c r="K524" t="s">
        <v>24</v>
      </c>
      <c r="L524" t="s">
        <v>184</v>
      </c>
      <c r="M524">
        <v>28</v>
      </c>
      <c r="N524">
        <v>61</v>
      </c>
      <c r="O524">
        <v>2</v>
      </c>
      <c r="P524">
        <v>1</v>
      </c>
      <c r="Q524">
        <v>0</v>
      </c>
      <c r="R524">
        <v>0.60580000000000001</v>
      </c>
      <c r="S524">
        <v>0.96789999999999998</v>
      </c>
      <c r="U524">
        <v>0.36209999999999998</v>
      </c>
      <c r="V524">
        <v>116.34235685703061</v>
      </c>
      <c r="W524">
        <v>24.316901543020435</v>
      </c>
      <c r="X524">
        <v>311.81482030477815</v>
      </c>
      <c r="Y524">
        <v>-50.285179695221814</v>
      </c>
      <c r="Z524">
        <v>-16.12661631864432</v>
      </c>
    </row>
    <row r="525" spans="1:26" x14ac:dyDescent="0.35">
      <c r="A525">
        <v>523</v>
      </c>
      <c r="B525" t="s">
        <v>692</v>
      </c>
      <c r="C525">
        <v>46050</v>
      </c>
      <c r="D525" t="s">
        <v>16</v>
      </c>
      <c r="E525" t="s">
        <v>185</v>
      </c>
      <c r="F525" t="s">
        <v>19</v>
      </c>
      <c r="G525" t="s">
        <v>20</v>
      </c>
      <c r="H525" t="s">
        <v>21</v>
      </c>
      <c r="I525" t="s">
        <v>22</v>
      </c>
      <c r="J525" t="s">
        <v>23</v>
      </c>
      <c r="K525" t="s">
        <v>24</v>
      </c>
      <c r="L525" t="s">
        <v>184</v>
      </c>
      <c r="M525">
        <v>28</v>
      </c>
      <c r="N525">
        <v>61</v>
      </c>
      <c r="O525">
        <v>2</v>
      </c>
      <c r="P525">
        <v>2</v>
      </c>
      <c r="Q525">
        <v>0</v>
      </c>
      <c r="R525">
        <v>0.56950000000000001</v>
      </c>
      <c r="S525">
        <v>0.90069999999999995</v>
      </c>
      <c r="U525">
        <v>0.33119999999999994</v>
      </c>
      <c r="V525">
        <v>147.14672576431479</v>
      </c>
      <c r="W525">
        <v>30.761520428346188</v>
      </c>
      <c r="X525">
        <v>311.75249473605834</v>
      </c>
      <c r="Y525">
        <v>-19.447505263941594</v>
      </c>
      <c r="Z525">
        <v>-6.2381233806666412</v>
      </c>
    </row>
    <row r="526" spans="1:26" x14ac:dyDescent="0.35">
      <c r="A526">
        <v>524</v>
      </c>
      <c r="B526" t="s">
        <v>692</v>
      </c>
      <c r="C526">
        <v>46050</v>
      </c>
      <c r="D526" t="s">
        <v>16</v>
      </c>
      <c r="E526" t="s">
        <v>185</v>
      </c>
      <c r="F526" t="s">
        <v>19</v>
      </c>
      <c r="G526" t="s">
        <v>20</v>
      </c>
      <c r="H526" t="s">
        <v>21</v>
      </c>
      <c r="I526" t="s">
        <v>22</v>
      </c>
      <c r="J526" t="s">
        <v>23</v>
      </c>
      <c r="K526" t="s">
        <v>24</v>
      </c>
      <c r="L526" t="s">
        <v>184</v>
      </c>
      <c r="M526">
        <v>28</v>
      </c>
      <c r="N526">
        <v>61</v>
      </c>
      <c r="O526">
        <v>2</v>
      </c>
      <c r="P526">
        <v>3</v>
      </c>
      <c r="Q526">
        <v>0</v>
      </c>
      <c r="R526">
        <v>0.58450000000000002</v>
      </c>
      <c r="S526">
        <v>0.92700000000000005</v>
      </c>
      <c r="U526">
        <v>0.34250000000000003</v>
      </c>
      <c r="V526">
        <v>136.13361904246204</v>
      </c>
      <c r="W526">
        <v>28.442134782509903</v>
      </c>
      <c r="X526">
        <v>311.93947144221755</v>
      </c>
      <c r="Y526">
        <v>-30.560528557782447</v>
      </c>
      <c r="Z526">
        <v>-9.7969418286468315</v>
      </c>
    </row>
    <row r="527" spans="1:26" x14ac:dyDescent="0.35">
      <c r="A527">
        <v>525</v>
      </c>
      <c r="B527" t="s">
        <v>692</v>
      </c>
      <c r="C527">
        <v>46050</v>
      </c>
      <c r="D527" t="s">
        <v>16</v>
      </c>
      <c r="E527" t="s">
        <v>187</v>
      </c>
      <c r="F527" t="s">
        <v>105</v>
      </c>
      <c r="G527" t="s">
        <v>188</v>
      </c>
      <c r="H527" t="s">
        <v>189</v>
      </c>
      <c r="I527" t="s">
        <v>108</v>
      </c>
      <c r="J527" t="s">
        <v>109</v>
      </c>
      <c r="K527" t="s">
        <v>110</v>
      </c>
      <c r="L527" t="s">
        <v>186</v>
      </c>
      <c r="M527">
        <v>28</v>
      </c>
      <c r="N527">
        <v>61</v>
      </c>
      <c r="O527">
        <v>2</v>
      </c>
      <c r="P527">
        <v>1</v>
      </c>
      <c r="Q527">
        <v>0</v>
      </c>
      <c r="R527">
        <v>0.56689999999999996</v>
      </c>
      <c r="S527">
        <v>0.9526</v>
      </c>
      <c r="U527">
        <v>0.38570000000000004</v>
      </c>
      <c r="V527">
        <v>88.696133402531018</v>
      </c>
      <c r="W527">
        <v>18.696639191886337</v>
      </c>
      <c r="X527">
        <v>322.95021664908489</v>
      </c>
      <c r="Y527">
        <v>-62.749783350915152</v>
      </c>
      <c r="Z527">
        <v>-19.430172242026565</v>
      </c>
    </row>
    <row r="528" spans="1:26" x14ac:dyDescent="0.35">
      <c r="A528">
        <v>526</v>
      </c>
      <c r="B528" t="s">
        <v>692</v>
      </c>
      <c r="C528">
        <v>46050</v>
      </c>
      <c r="D528" t="s">
        <v>16</v>
      </c>
      <c r="E528" t="s">
        <v>187</v>
      </c>
      <c r="F528" t="s">
        <v>105</v>
      </c>
      <c r="G528" t="s">
        <v>188</v>
      </c>
      <c r="H528" t="s">
        <v>189</v>
      </c>
      <c r="I528" t="s">
        <v>108</v>
      </c>
      <c r="J528" t="s">
        <v>109</v>
      </c>
      <c r="K528" t="s">
        <v>110</v>
      </c>
      <c r="L528" t="s">
        <v>186</v>
      </c>
      <c r="M528">
        <v>28</v>
      </c>
      <c r="N528">
        <v>61</v>
      </c>
      <c r="O528">
        <v>2</v>
      </c>
      <c r="P528">
        <v>2</v>
      </c>
      <c r="Q528">
        <v>0</v>
      </c>
      <c r="R528">
        <v>0.57389999999999997</v>
      </c>
      <c r="S528">
        <v>0.80289999999999995</v>
      </c>
      <c r="U528">
        <v>0.22899999999999998</v>
      </c>
      <c r="V528">
        <v>245.30129211236661</v>
      </c>
      <c r="W528">
        <v>51.718453268360975</v>
      </c>
      <c r="X528">
        <v>322.88565243144205</v>
      </c>
      <c r="Y528">
        <v>93.885652431442082</v>
      </c>
      <c r="Z528">
        <v>29.077059238913293</v>
      </c>
    </row>
    <row r="529" spans="1:26" x14ac:dyDescent="0.35">
      <c r="A529">
        <v>527</v>
      </c>
      <c r="B529" t="s">
        <v>692</v>
      </c>
      <c r="C529">
        <v>46050</v>
      </c>
      <c r="D529" t="s">
        <v>16</v>
      </c>
      <c r="E529" t="s">
        <v>187</v>
      </c>
      <c r="F529" t="s">
        <v>105</v>
      </c>
      <c r="G529" t="s">
        <v>188</v>
      </c>
      <c r="H529" t="s">
        <v>189</v>
      </c>
      <c r="I529" t="s">
        <v>108</v>
      </c>
      <c r="J529" t="s">
        <v>109</v>
      </c>
      <c r="K529" t="s">
        <v>110</v>
      </c>
      <c r="L529" t="s">
        <v>186</v>
      </c>
      <c r="M529">
        <v>28</v>
      </c>
      <c r="N529">
        <v>61</v>
      </c>
      <c r="O529">
        <v>2</v>
      </c>
      <c r="P529">
        <v>3</v>
      </c>
      <c r="Q529">
        <v>0</v>
      </c>
      <c r="R529">
        <v>0.55840000000000001</v>
      </c>
      <c r="S529">
        <v>0.93359999999999999</v>
      </c>
      <c r="U529">
        <v>0.37519999999999998</v>
      </c>
      <c r="V529">
        <v>99.006450822202225</v>
      </c>
      <c r="W529">
        <v>20.878343314507852</v>
      </c>
      <c r="X529">
        <v>322.82108821379938</v>
      </c>
      <c r="Y529">
        <v>-52.378911786200604</v>
      </c>
      <c r="Z529">
        <v>-16.225368694473534</v>
      </c>
    </row>
    <row r="530" spans="1:26" x14ac:dyDescent="0.35">
      <c r="A530">
        <v>528</v>
      </c>
      <c r="B530" t="s">
        <v>692</v>
      </c>
      <c r="C530">
        <v>46050</v>
      </c>
      <c r="D530" t="s">
        <v>16</v>
      </c>
      <c r="E530" t="s">
        <v>193</v>
      </c>
      <c r="F530" t="s">
        <v>105</v>
      </c>
      <c r="G530" t="s">
        <v>188</v>
      </c>
      <c r="H530" t="s">
        <v>189</v>
      </c>
      <c r="I530" t="s">
        <v>108</v>
      </c>
      <c r="J530" t="s">
        <v>109</v>
      </c>
      <c r="K530" t="s">
        <v>110</v>
      </c>
      <c r="L530" t="s">
        <v>192</v>
      </c>
      <c r="M530">
        <v>28</v>
      </c>
      <c r="N530">
        <v>61</v>
      </c>
      <c r="O530">
        <v>2</v>
      </c>
      <c r="P530">
        <v>1</v>
      </c>
      <c r="Q530">
        <v>0</v>
      </c>
      <c r="R530">
        <v>0.58250000000000002</v>
      </c>
      <c r="S530">
        <v>0.83189999999999997</v>
      </c>
      <c r="U530">
        <v>0.24939999999999996</v>
      </c>
      <c r="V530">
        <v>226.26502595961634</v>
      </c>
      <c r="W530">
        <v>47.568144305574009</v>
      </c>
      <c r="X530">
        <v>324.95294885492314</v>
      </c>
      <c r="Y530">
        <v>75.552948854923187</v>
      </c>
      <c r="Z530">
        <v>23.250427214511653</v>
      </c>
    </row>
    <row r="531" spans="1:26" x14ac:dyDescent="0.35">
      <c r="A531">
        <v>529</v>
      </c>
      <c r="B531" t="s">
        <v>692</v>
      </c>
      <c r="C531">
        <v>46050</v>
      </c>
      <c r="D531" t="s">
        <v>16</v>
      </c>
      <c r="E531" t="s">
        <v>193</v>
      </c>
      <c r="F531" t="s">
        <v>105</v>
      </c>
      <c r="G531" t="s">
        <v>188</v>
      </c>
      <c r="H531" t="s">
        <v>189</v>
      </c>
      <c r="I531" t="s">
        <v>108</v>
      </c>
      <c r="J531" t="s">
        <v>109</v>
      </c>
      <c r="K531" t="s">
        <v>110</v>
      </c>
      <c r="L531" t="s">
        <v>192</v>
      </c>
      <c r="M531">
        <v>28</v>
      </c>
      <c r="N531">
        <v>61</v>
      </c>
      <c r="O531">
        <v>2</v>
      </c>
      <c r="P531">
        <v>2</v>
      </c>
      <c r="Q531">
        <v>0</v>
      </c>
      <c r="R531">
        <v>0.57589999999999997</v>
      </c>
      <c r="S531">
        <v>0.83640000000000003</v>
      </c>
      <c r="U531">
        <v>0.26050000000000006</v>
      </c>
      <c r="V531">
        <v>215.06995000000006</v>
      </c>
      <c r="W531">
        <v>45.223620626156048</v>
      </c>
      <c r="X531">
        <v>324.8879972361234</v>
      </c>
      <c r="Y531">
        <v>64.38799723612334</v>
      </c>
      <c r="Z531">
        <v>19.818521393182518</v>
      </c>
    </row>
    <row r="532" spans="1:26" x14ac:dyDescent="0.35">
      <c r="A532">
        <v>530</v>
      </c>
      <c r="B532" t="s">
        <v>692</v>
      </c>
      <c r="C532">
        <v>46050</v>
      </c>
      <c r="D532" t="s">
        <v>16</v>
      </c>
      <c r="E532" t="s">
        <v>193</v>
      </c>
      <c r="F532" t="s">
        <v>105</v>
      </c>
      <c r="G532" t="s">
        <v>188</v>
      </c>
      <c r="H532" t="s">
        <v>189</v>
      </c>
      <c r="I532" t="s">
        <v>108</v>
      </c>
      <c r="J532" t="s">
        <v>109</v>
      </c>
      <c r="K532" t="s">
        <v>110</v>
      </c>
      <c r="L532" t="s">
        <v>192</v>
      </c>
      <c r="M532">
        <v>28</v>
      </c>
      <c r="N532">
        <v>61</v>
      </c>
      <c r="O532">
        <v>2</v>
      </c>
      <c r="P532">
        <v>3</v>
      </c>
      <c r="Q532">
        <v>0</v>
      </c>
      <c r="R532">
        <v>0.55220000000000002</v>
      </c>
      <c r="S532">
        <v>0.86370000000000002</v>
      </c>
      <c r="U532">
        <v>0.3115</v>
      </c>
      <c r="V532">
        <v>164.06995000000012</v>
      </c>
      <c r="W532">
        <v>34.499646161411185</v>
      </c>
      <c r="X532">
        <v>324.8879972361234</v>
      </c>
      <c r="Y532">
        <v>13.387997236123397</v>
      </c>
      <c r="Z532">
        <v>4.1208038924236448</v>
      </c>
    </row>
    <row r="533" spans="1:26" x14ac:dyDescent="0.35">
      <c r="A533">
        <v>531</v>
      </c>
      <c r="B533" t="s">
        <v>692</v>
      </c>
      <c r="C533">
        <v>46050</v>
      </c>
      <c r="D533" t="s">
        <v>16</v>
      </c>
      <c r="E533" t="s">
        <v>195</v>
      </c>
      <c r="F533" t="s">
        <v>105</v>
      </c>
      <c r="G533" t="s">
        <v>188</v>
      </c>
      <c r="H533" t="s">
        <v>189</v>
      </c>
      <c r="I533" t="s">
        <v>108</v>
      </c>
      <c r="J533" t="s">
        <v>109</v>
      </c>
      <c r="K533" t="s">
        <v>110</v>
      </c>
      <c r="L533" t="s">
        <v>194</v>
      </c>
      <c r="M533">
        <v>28</v>
      </c>
      <c r="N533">
        <v>61</v>
      </c>
      <c r="O533">
        <v>2</v>
      </c>
      <c r="P533">
        <v>1</v>
      </c>
      <c r="Q533">
        <v>0</v>
      </c>
      <c r="R533">
        <v>0.56640000000000001</v>
      </c>
      <c r="S533">
        <v>0.84109999999999996</v>
      </c>
      <c r="U533">
        <v>0.27469999999999994</v>
      </c>
      <c r="V533">
        <v>205.49901759823979</v>
      </c>
      <c r="W533">
        <v>42.794551856033017</v>
      </c>
      <c r="X533">
        <v>325.78258586582183</v>
      </c>
      <c r="Y533">
        <v>51.082585865821898</v>
      </c>
      <c r="Z533">
        <v>15.679962061219864</v>
      </c>
    </row>
    <row r="534" spans="1:26" x14ac:dyDescent="0.35">
      <c r="A534">
        <v>532</v>
      </c>
      <c r="B534" t="s">
        <v>693</v>
      </c>
      <c r="C534">
        <v>46050</v>
      </c>
      <c r="D534" t="s">
        <v>16</v>
      </c>
      <c r="E534" t="s">
        <v>195</v>
      </c>
      <c r="F534" t="s">
        <v>105</v>
      </c>
      <c r="G534" t="s">
        <v>188</v>
      </c>
      <c r="H534" t="s">
        <v>189</v>
      </c>
      <c r="I534" t="s">
        <v>108</v>
      </c>
      <c r="J534" t="s">
        <v>109</v>
      </c>
      <c r="K534" t="s">
        <v>110</v>
      </c>
      <c r="L534" t="s">
        <v>194</v>
      </c>
      <c r="M534">
        <v>28</v>
      </c>
      <c r="N534">
        <v>61</v>
      </c>
      <c r="O534">
        <v>2</v>
      </c>
      <c r="P534">
        <v>2</v>
      </c>
      <c r="Q534">
        <v>0</v>
      </c>
      <c r="R534">
        <v>0.57010000000000005</v>
      </c>
      <c r="S534">
        <v>0.93289999999999995</v>
      </c>
      <c r="U534">
        <v>0.3627999999999999</v>
      </c>
      <c r="V534">
        <v>117.59105879703935</v>
      </c>
      <c r="W534">
        <v>24.478194721505105</v>
      </c>
      <c r="X534">
        <v>325.9128728427728</v>
      </c>
      <c r="Y534">
        <v>-36.887127157227098</v>
      </c>
      <c r="Z534">
        <v>-11.318094567876189</v>
      </c>
    </row>
    <row r="535" spans="1:26" x14ac:dyDescent="0.35">
      <c r="A535">
        <v>533</v>
      </c>
      <c r="B535" t="s">
        <v>693</v>
      </c>
      <c r="C535">
        <v>46050</v>
      </c>
      <c r="D535" t="s">
        <v>16</v>
      </c>
      <c r="E535" t="s">
        <v>195</v>
      </c>
      <c r="F535" t="s">
        <v>105</v>
      </c>
      <c r="G535" t="s">
        <v>188</v>
      </c>
      <c r="H535" t="s">
        <v>189</v>
      </c>
      <c r="I535" t="s">
        <v>108</v>
      </c>
      <c r="J535" t="s">
        <v>109</v>
      </c>
      <c r="K535" t="s">
        <v>110</v>
      </c>
      <c r="L535" t="s">
        <v>194</v>
      </c>
      <c r="M535">
        <v>28</v>
      </c>
      <c r="N535">
        <v>61</v>
      </c>
      <c r="O535">
        <v>2</v>
      </c>
      <c r="P535">
        <v>3</v>
      </c>
      <c r="Q535">
        <v>0</v>
      </c>
      <c r="R535">
        <v>0.55940000000000001</v>
      </c>
      <c r="S535">
        <v>0.83850000000000002</v>
      </c>
      <c r="U535">
        <v>0.27910000000000001</v>
      </c>
      <c r="V535">
        <v>201.0990175982397</v>
      </c>
      <c r="W535">
        <v>41.878265100177678</v>
      </c>
      <c r="X535">
        <v>325.78258586582183</v>
      </c>
      <c r="Y535">
        <v>46.682585865821807</v>
      </c>
      <c r="Z535">
        <v>14.329368078945967</v>
      </c>
    </row>
    <row r="536" spans="1:26" x14ac:dyDescent="0.35">
      <c r="A536">
        <v>534</v>
      </c>
      <c r="B536" t="s">
        <v>693</v>
      </c>
      <c r="C536">
        <v>46050</v>
      </c>
      <c r="D536" t="s">
        <v>16</v>
      </c>
      <c r="E536" t="s">
        <v>197</v>
      </c>
      <c r="F536" t="s">
        <v>105</v>
      </c>
      <c r="G536" t="s">
        <v>188</v>
      </c>
      <c r="H536" t="s">
        <v>189</v>
      </c>
      <c r="I536" t="s">
        <v>108</v>
      </c>
      <c r="J536" t="s">
        <v>109</v>
      </c>
      <c r="K536" t="s">
        <v>110</v>
      </c>
      <c r="L536" t="s">
        <v>196</v>
      </c>
      <c r="M536">
        <v>28</v>
      </c>
      <c r="N536">
        <v>61</v>
      </c>
      <c r="O536">
        <v>2</v>
      </c>
      <c r="P536">
        <v>1</v>
      </c>
      <c r="Q536">
        <v>0</v>
      </c>
      <c r="R536">
        <v>0.57999999999999996</v>
      </c>
      <c r="S536">
        <v>1.0416000000000001</v>
      </c>
      <c r="U536">
        <v>0.46160000000000012</v>
      </c>
      <c r="V536">
        <v>18.297980201979499</v>
      </c>
      <c r="W536">
        <v>3.8128896050527739</v>
      </c>
      <c r="X536">
        <v>323.58744723834315</v>
      </c>
      <c r="Y536">
        <v>-138.01255276165699</v>
      </c>
      <c r="Z536">
        <v>-42.65077460189665</v>
      </c>
    </row>
    <row r="537" spans="1:26" x14ac:dyDescent="0.35">
      <c r="A537">
        <v>535</v>
      </c>
      <c r="B537" t="s">
        <v>693</v>
      </c>
      <c r="C537">
        <v>46050</v>
      </c>
      <c r="D537" t="s">
        <v>16</v>
      </c>
      <c r="E537" t="s">
        <v>197</v>
      </c>
      <c r="F537" t="s">
        <v>105</v>
      </c>
      <c r="G537" t="s">
        <v>188</v>
      </c>
      <c r="H537" t="s">
        <v>189</v>
      </c>
      <c r="I537" t="s">
        <v>108</v>
      </c>
      <c r="J537" t="s">
        <v>109</v>
      </c>
      <c r="K537" t="s">
        <v>110</v>
      </c>
      <c r="L537" t="s">
        <v>196</v>
      </c>
      <c r="M537">
        <v>28</v>
      </c>
      <c r="N537">
        <v>61</v>
      </c>
      <c r="O537">
        <v>2</v>
      </c>
      <c r="P537">
        <v>2</v>
      </c>
      <c r="Q537">
        <v>0</v>
      </c>
      <c r="R537">
        <v>0.53979999999999995</v>
      </c>
      <c r="S537">
        <v>0.81569999999999998</v>
      </c>
      <c r="U537">
        <v>0.27590000000000003</v>
      </c>
      <c r="V537">
        <v>203.90201979802004</v>
      </c>
      <c r="W537">
        <v>42.49711576534331</v>
      </c>
      <c r="X537">
        <v>323.52274268980523</v>
      </c>
      <c r="Y537">
        <v>47.622742689805193</v>
      </c>
      <c r="Z537">
        <v>14.720060263418963</v>
      </c>
    </row>
    <row r="538" spans="1:26" x14ac:dyDescent="0.35">
      <c r="A538">
        <v>536</v>
      </c>
      <c r="B538" t="s">
        <v>693</v>
      </c>
      <c r="C538">
        <v>46050</v>
      </c>
      <c r="D538" t="s">
        <v>16</v>
      </c>
      <c r="E538" t="s">
        <v>197</v>
      </c>
      <c r="F538" t="s">
        <v>105</v>
      </c>
      <c r="G538" t="s">
        <v>188</v>
      </c>
      <c r="H538" t="s">
        <v>189</v>
      </c>
      <c r="I538" t="s">
        <v>108</v>
      </c>
      <c r="J538" t="s">
        <v>109</v>
      </c>
      <c r="K538" t="s">
        <v>110</v>
      </c>
      <c r="L538" t="s">
        <v>196</v>
      </c>
      <c r="M538">
        <v>28</v>
      </c>
      <c r="N538">
        <v>61</v>
      </c>
      <c r="O538">
        <v>2</v>
      </c>
      <c r="P538">
        <v>3</v>
      </c>
      <c r="Q538">
        <v>0</v>
      </c>
      <c r="R538">
        <v>0.56940000000000002</v>
      </c>
      <c r="S538">
        <v>0.83050000000000002</v>
      </c>
      <c r="U538">
        <v>0.2611</v>
      </c>
      <c r="V538">
        <v>218.9899010098988</v>
      </c>
      <c r="W538">
        <v>45.614352759606064</v>
      </c>
      <c r="X538">
        <v>323.7168563354191</v>
      </c>
      <c r="Y538">
        <v>62.616856335419072</v>
      </c>
      <c r="Z538">
        <v>19.343094160823878</v>
      </c>
    </row>
    <row r="539" spans="1:26" x14ac:dyDescent="0.35">
      <c r="A539">
        <v>537</v>
      </c>
      <c r="B539" t="s">
        <v>693</v>
      </c>
      <c r="C539">
        <v>46050</v>
      </c>
      <c r="D539" t="s">
        <v>16</v>
      </c>
      <c r="E539" t="s">
        <v>199</v>
      </c>
      <c r="F539" t="s">
        <v>105</v>
      </c>
      <c r="G539" t="s">
        <v>188</v>
      </c>
      <c r="H539" t="s">
        <v>189</v>
      </c>
      <c r="I539" t="s">
        <v>108</v>
      </c>
      <c r="J539" t="s">
        <v>109</v>
      </c>
      <c r="K539" t="s">
        <v>110</v>
      </c>
      <c r="L539" t="s">
        <v>198</v>
      </c>
      <c r="M539">
        <v>28</v>
      </c>
      <c r="N539">
        <v>61</v>
      </c>
      <c r="O539">
        <v>2</v>
      </c>
      <c r="P539">
        <v>1</v>
      </c>
      <c r="Q539">
        <v>0</v>
      </c>
      <c r="R539">
        <v>0.5716</v>
      </c>
      <c r="S539">
        <v>0.88929999999999998</v>
      </c>
      <c r="U539">
        <v>0.31769999999999998</v>
      </c>
      <c r="V539">
        <v>168.74863513648654</v>
      </c>
      <c r="W539">
        <v>34.689918513007953</v>
      </c>
      <c r="X539">
        <v>337.55394229383188</v>
      </c>
      <c r="Y539">
        <v>19.853942293831892</v>
      </c>
      <c r="Z539">
        <v>5.88170950068465</v>
      </c>
    </row>
    <row r="540" spans="1:26" x14ac:dyDescent="0.35">
      <c r="A540">
        <v>538</v>
      </c>
      <c r="B540" t="s">
        <v>693</v>
      </c>
      <c r="C540">
        <v>46050</v>
      </c>
      <c r="D540" t="s">
        <v>16</v>
      </c>
      <c r="E540" t="s">
        <v>199</v>
      </c>
      <c r="F540" t="s">
        <v>105</v>
      </c>
      <c r="G540" t="s">
        <v>188</v>
      </c>
      <c r="H540" t="s">
        <v>189</v>
      </c>
      <c r="I540" t="s">
        <v>108</v>
      </c>
      <c r="J540" t="s">
        <v>109</v>
      </c>
      <c r="K540" t="s">
        <v>110</v>
      </c>
      <c r="L540" t="s">
        <v>198</v>
      </c>
      <c r="M540">
        <v>28</v>
      </c>
      <c r="N540">
        <v>61</v>
      </c>
      <c r="O540">
        <v>2</v>
      </c>
      <c r="P540">
        <v>2</v>
      </c>
      <c r="Q540">
        <v>0</v>
      </c>
      <c r="R540">
        <v>0.55369999999999997</v>
      </c>
      <c r="S540">
        <v>0.9929</v>
      </c>
      <c r="U540">
        <v>0.43920000000000003</v>
      </c>
      <c r="V540">
        <v>47.248635136486484</v>
      </c>
      <c r="W540">
        <v>9.7129751681242933</v>
      </c>
      <c r="X540">
        <v>337.55394229383188</v>
      </c>
      <c r="Y540">
        <v>-101.64605770616816</v>
      </c>
      <c r="Z540">
        <v>-30.112537574124353</v>
      </c>
    </row>
    <row r="541" spans="1:26" x14ac:dyDescent="0.35">
      <c r="A541">
        <v>539</v>
      </c>
      <c r="B541" t="s">
        <v>693</v>
      </c>
      <c r="C541">
        <v>46050</v>
      </c>
      <c r="D541" t="s">
        <v>16</v>
      </c>
      <c r="E541" t="s">
        <v>199</v>
      </c>
      <c r="F541" t="s">
        <v>105</v>
      </c>
      <c r="G541" t="s">
        <v>188</v>
      </c>
      <c r="H541" t="s">
        <v>189</v>
      </c>
      <c r="I541" t="s">
        <v>108</v>
      </c>
      <c r="J541" t="s">
        <v>109</v>
      </c>
      <c r="K541" t="s">
        <v>110</v>
      </c>
      <c r="L541" t="s">
        <v>198</v>
      </c>
      <c r="M541">
        <v>28</v>
      </c>
      <c r="N541">
        <v>61</v>
      </c>
      <c r="O541">
        <v>2</v>
      </c>
      <c r="P541">
        <v>3</v>
      </c>
      <c r="Q541">
        <v>0</v>
      </c>
      <c r="R541">
        <v>0.54879999999999995</v>
      </c>
      <c r="S541">
        <v>0.81489999999999996</v>
      </c>
      <c r="U541">
        <v>0.2661</v>
      </c>
      <c r="V541">
        <v>220.54317568243192</v>
      </c>
      <c r="W541">
        <v>45.319278416502748</v>
      </c>
      <c r="X541">
        <v>337.68893687183379</v>
      </c>
      <c r="Y541">
        <v>71.588936871833766</v>
      </c>
      <c r="Z541">
        <v>21.199669001594973</v>
      </c>
    </row>
    <row r="542" spans="1:26" x14ac:dyDescent="0.35">
      <c r="A542">
        <v>540</v>
      </c>
      <c r="B542" t="s">
        <v>693</v>
      </c>
      <c r="C542">
        <v>46050</v>
      </c>
      <c r="D542" t="s">
        <v>16</v>
      </c>
      <c r="E542" t="s">
        <v>201</v>
      </c>
      <c r="F542" t="s">
        <v>105</v>
      </c>
      <c r="G542" t="s">
        <v>188</v>
      </c>
      <c r="H542" t="s">
        <v>189</v>
      </c>
      <c r="I542" t="s">
        <v>108</v>
      </c>
      <c r="J542" t="s">
        <v>109</v>
      </c>
      <c r="K542" t="s">
        <v>110</v>
      </c>
      <c r="L542" t="s">
        <v>200</v>
      </c>
      <c r="M542">
        <v>28</v>
      </c>
      <c r="N542">
        <v>61</v>
      </c>
      <c r="O542">
        <v>2</v>
      </c>
      <c r="P542">
        <v>1</v>
      </c>
      <c r="Q542">
        <v>0</v>
      </c>
      <c r="R542">
        <v>0.5786</v>
      </c>
      <c r="S542">
        <v>0.85289999999999999</v>
      </c>
      <c r="U542">
        <v>0.27429999999999999</v>
      </c>
      <c r="V542">
        <v>211.19999999999982</v>
      </c>
      <c r="W542">
        <v>43.501544799176081</v>
      </c>
      <c r="X542">
        <v>311.3917502085601</v>
      </c>
      <c r="Y542">
        <v>37.091750208560086</v>
      </c>
      <c r="Z542">
        <v>11.911603368977255</v>
      </c>
    </row>
    <row r="543" spans="1:26" x14ac:dyDescent="0.35">
      <c r="A543">
        <v>541</v>
      </c>
      <c r="B543" t="s">
        <v>693</v>
      </c>
      <c r="C543">
        <v>46050</v>
      </c>
      <c r="D543" t="s">
        <v>16</v>
      </c>
      <c r="E543" t="s">
        <v>201</v>
      </c>
      <c r="F543" t="s">
        <v>105</v>
      </c>
      <c r="G543" t="s">
        <v>188</v>
      </c>
      <c r="H543" t="s">
        <v>189</v>
      </c>
      <c r="I543" t="s">
        <v>108</v>
      </c>
      <c r="J543" t="s">
        <v>109</v>
      </c>
      <c r="K543" t="s">
        <v>110</v>
      </c>
      <c r="L543" t="s">
        <v>200</v>
      </c>
      <c r="M543">
        <v>28</v>
      </c>
      <c r="N543">
        <v>61</v>
      </c>
      <c r="O543">
        <v>2</v>
      </c>
      <c r="P543">
        <v>2</v>
      </c>
      <c r="Q543">
        <v>0</v>
      </c>
      <c r="R543">
        <v>0.55910000000000004</v>
      </c>
      <c r="S543">
        <v>0.9667</v>
      </c>
      <c r="U543">
        <v>0.40759999999999996</v>
      </c>
      <c r="V543">
        <v>78.385499999999752</v>
      </c>
      <c r="W543">
        <v>16.129184924241525</v>
      </c>
      <c r="X543">
        <v>311.70314195876858</v>
      </c>
      <c r="Y543">
        <v>-95.896858041231383</v>
      </c>
      <c r="Z543">
        <v>-30.765444787821998</v>
      </c>
    </row>
    <row r="544" spans="1:26" x14ac:dyDescent="0.35">
      <c r="A544">
        <v>542</v>
      </c>
      <c r="B544" t="s">
        <v>693</v>
      </c>
      <c r="C544">
        <v>46050</v>
      </c>
      <c r="D544" t="s">
        <v>16</v>
      </c>
      <c r="E544" t="s">
        <v>201</v>
      </c>
      <c r="F544" t="s">
        <v>105</v>
      </c>
      <c r="G544" t="s">
        <v>188</v>
      </c>
      <c r="H544" t="s">
        <v>189</v>
      </c>
      <c r="I544" t="s">
        <v>108</v>
      </c>
      <c r="J544" t="s">
        <v>109</v>
      </c>
      <c r="K544" t="s">
        <v>110</v>
      </c>
      <c r="L544" t="s">
        <v>200</v>
      </c>
      <c r="M544">
        <v>28</v>
      </c>
      <c r="N544">
        <v>61</v>
      </c>
      <c r="O544">
        <v>2</v>
      </c>
      <c r="P544">
        <v>3</v>
      </c>
      <c r="Q544">
        <v>0</v>
      </c>
      <c r="R544">
        <v>0.55840000000000001</v>
      </c>
      <c r="S544">
        <v>0.98209999999999997</v>
      </c>
      <c r="U544">
        <v>0.42369999999999997</v>
      </c>
      <c r="V544">
        <v>62.091299999999762</v>
      </c>
      <c r="W544">
        <v>12.781476325327315</v>
      </c>
      <c r="X544">
        <v>311.57858525868522</v>
      </c>
      <c r="Y544">
        <v>-112.12141474131477</v>
      </c>
      <c r="Z544">
        <v>-35.984955335819052</v>
      </c>
    </row>
    <row r="545" spans="1:26" x14ac:dyDescent="0.35">
      <c r="A545">
        <v>543</v>
      </c>
      <c r="B545" t="s">
        <v>693</v>
      </c>
      <c r="C545">
        <v>46050</v>
      </c>
      <c r="D545" t="s">
        <v>16</v>
      </c>
      <c r="E545" t="s">
        <v>203</v>
      </c>
      <c r="F545" t="s">
        <v>105</v>
      </c>
      <c r="G545" t="s">
        <v>188</v>
      </c>
      <c r="H545" t="s">
        <v>189</v>
      </c>
      <c r="I545" t="s">
        <v>108</v>
      </c>
      <c r="J545" t="s">
        <v>109</v>
      </c>
      <c r="K545" t="s">
        <v>110</v>
      </c>
      <c r="L545" t="s">
        <v>202</v>
      </c>
      <c r="M545">
        <v>28</v>
      </c>
      <c r="N545">
        <v>61</v>
      </c>
      <c r="O545">
        <v>2</v>
      </c>
      <c r="P545">
        <v>1</v>
      </c>
      <c r="Q545">
        <v>0</v>
      </c>
      <c r="R545">
        <v>0.55669999999999997</v>
      </c>
      <c r="S545">
        <v>0.99050000000000005</v>
      </c>
      <c r="U545">
        <v>0.43380000000000007</v>
      </c>
      <c r="V545">
        <v>48.894750524947256</v>
      </c>
      <c r="W545">
        <v>10.129538486128659</v>
      </c>
      <c r="X545">
        <v>329.16171855897801</v>
      </c>
      <c r="Y545">
        <v>-104.63828144102206</v>
      </c>
      <c r="Z545">
        <v>-31.789322859022974</v>
      </c>
    </row>
    <row r="546" spans="1:26" x14ac:dyDescent="0.35">
      <c r="A546">
        <v>544</v>
      </c>
      <c r="B546" t="s">
        <v>693</v>
      </c>
      <c r="C546">
        <v>46050</v>
      </c>
      <c r="D546" t="s">
        <v>16</v>
      </c>
      <c r="E546" t="s">
        <v>203</v>
      </c>
      <c r="F546" t="s">
        <v>105</v>
      </c>
      <c r="G546" t="s">
        <v>188</v>
      </c>
      <c r="H546" t="s">
        <v>189</v>
      </c>
      <c r="I546" t="s">
        <v>108</v>
      </c>
      <c r="J546" t="s">
        <v>109</v>
      </c>
      <c r="K546" t="s">
        <v>110</v>
      </c>
      <c r="L546" t="s">
        <v>202</v>
      </c>
      <c r="M546">
        <v>28</v>
      </c>
      <c r="N546">
        <v>61</v>
      </c>
      <c r="O546">
        <v>2</v>
      </c>
      <c r="P546">
        <v>2</v>
      </c>
      <c r="Q546">
        <v>0</v>
      </c>
      <c r="R546">
        <v>0.55159999999999998</v>
      </c>
      <c r="S546">
        <v>0.82809999999999995</v>
      </c>
      <c r="U546">
        <v>0.27649999999999997</v>
      </c>
      <c r="V546">
        <v>206.38775122487732</v>
      </c>
      <c r="W546">
        <v>42.740316088233939</v>
      </c>
      <c r="X546">
        <v>329.29333060158456</v>
      </c>
      <c r="Y546">
        <v>52.793330601584614</v>
      </c>
      <c r="Z546">
        <v>16.032310920217153</v>
      </c>
    </row>
    <row r="547" spans="1:26" x14ac:dyDescent="0.35">
      <c r="A547">
        <v>545</v>
      </c>
      <c r="B547" t="s">
        <v>693</v>
      </c>
      <c r="C547">
        <v>46050</v>
      </c>
      <c r="D547" t="s">
        <v>16</v>
      </c>
      <c r="E547" t="s">
        <v>203</v>
      </c>
      <c r="F547" t="s">
        <v>105</v>
      </c>
      <c r="G547" t="s">
        <v>188</v>
      </c>
      <c r="H547" t="s">
        <v>189</v>
      </c>
      <c r="I547" t="s">
        <v>108</v>
      </c>
      <c r="J547" t="s">
        <v>109</v>
      </c>
      <c r="K547" t="s">
        <v>110</v>
      </c>
      <c r="L547" t="s">
        <v>202</v>
      </c>
      <c r="M547">
        <v>28</v>
      </c>
      <c r="N547">
        <v>61</v>
      </c>
      <c r="O547">
        <v>2</v>
      </c>
      <c r="P547">
        <v>3</v>
      </c>
      <c r="Q547">
        <v>0</v>
      </c>
      <c r="R547">
        <v>0.54720000000000002</v>
      </c>
      <c r="S547">
        <v>0.95820000000000005</v>
      </c>
      <c r="U547">
        <v>0.41100000000000003</v>
      </c>
      <c r="V547">
        <v>71.694750524947267</v>
      </c>
      <c r="W547">
        <v>14.853020557397139</v>
      </c>
      <c r="X547">
        <v>329.16171855897801</v>
      </c>
      <c r="Y547">
        <v>-81.838281441022048</v>
      </c>
      <c r="Z547">
        <v>-24.862636457027296</v>
      </c>
    </row>
    <row r="548" spans="1:26" x14ac:dyDescent="0.35">
      <c r="A548">
        <v>546</v>
      </c>
      <c r="B548" t="s">
        <v>693</v>
      </c>
      <c r="C548">
        <v>46050</v>
      </c>
      <c r="D548" t="s">
        <v>16</v>
      </c>
      <c r="E548" t="s">
        <v>205</v>
      </c>
      <c r="F548" t="s">
        <v>105</v>
      </c>
      <c r="G548" t="s">
        <v>188</v>
      </c>
      <c r="H548" t="s">
        <v>189</v>
      </c>
      <c r="I548" t="s">
        <v>108</v>
      </c>
      <c r="J548" t="s">
        <v>109</v>
      </c>
      <c r="K548" t="s">
        <v>110</v>
      </c>
      <c r="L548" t="s">
        <v>204</v>
      </c>
      <c r="M548">
        <v>28</v>
      </c>
      <c r="N548">
        <v>61</v>
      </c>
      <c r="O548">
        <v>2</v>
      </c>
      <c r="P548">
        <v>1</v>
      </c>
      <c r="Q548">
        <v>0</v>
      </c>
      <c r="R548">
        <v>0.57520000000000004</v>
      </c>
    </row>
    <row r="549" spans="1:26" x14ac:dyDescent="0.35">
      <c r="A549">
        <v>547</v>
      </c>
      <c r="B549" t="s">
        <v>693</v>
      </c>
      <c r="C549">
        <v>46050</v>
      </c>
      <c r="D549" t="s">
        <v>16</v>
      </c>
      <c r="E549" t="s">
        <v>205</v>
      </c>
      <c r="F549" t="s">
        <v>105</v>
      </c>
      <c r="G549" t="s">
        <v>188</v>
      </c>
      <c r="H549" t="s">
        <v>189</v>
      </c>
      <c r="I549" t="s">
        <v>108</v>
      </c>
      <c r="J549" t="s">
        <v>109</v>
      </c>
      <c r="K549" t="s">
        <v>110</v>
      </c>
      <c r="L549" t="s">
        <v>204</v>
      </c>
      <c r="M549">
        <v>28</v>
      </c>
      <c r="N549">
        <v>61</v>
      </c>
      <c r="O549">
        <v>2</v>
      </c>
      <c r="P549">
        <v>2</v>
      </c>
      <c r="Q549">
        <v>0</v>
      </c>
      <c r="R549">
        <v>0.57650000000000001</v>
      </c>
      <c r="S549">
        <v>0.83830000000000005</v>
      </c>
      <c r="U549">
        <v>0.26180000000000003</v>
      </c>
      <c r="V549">
        <v>222.63046414890619</v>
      </c>
      <c r="W549">
        <v>45.957156005876861</v>
      </c>
      <c r="X549">
        <v>336.46552905807323</v>
      </c>
      <c r="Y549">
        <v>74.665529058073218</v>
      </c>
      <c r="Z549">
        <v>22.19113775699326</v>
      </c>
    </row>
    <row r="550" spans="1:26" x14ac:dyDescent="0.35">
      <c r="A550">
        <v>548</v>
      </c>
      <c r="B550" t="s">
        <v>693</v>
      </c>
      <c r="C550">
        <v>46050</v>
      </c>
      <c r="D550" t="s">
        <v>16</v>
      </c>
      <c r="E550" t="s">
        <v>205</v>
      </c>
      <c r="F550" t="s">
        <v>105</v>
      </c>
      <c r="G550" t="s">
        <v>188</v>
      </c>
      <c r="H550" t="s">
        <v>189</v>
      </c>
      <c r="I550" t="s">
        <v>108</v>
      </c>
      <c r="J550" t="s">
        <v>109</v>
      </c>
      <c r="K550" t="s">
        <v>110</v>
      </c>
      <c r="L550" t="s">
        <v>204</v>
      </c>
      <c r="M550">
        <v>28</v>
      </c>
      <c r="N550">
        <v>61</v>
      </c>
      <c r="O550">
        <v>2</v>
      </c>
      <c r="P550">
        <v>3</v>
      </c>
      <c r="Q550">
        <v>0</v>
      </c>
      <c r="R550">
        <v>0.55010000000000003</v>
      </c>
      <c r="S550">
        <v>0.81140000000000001</v>
      </c>
      <c r="U550">
        <v>0.26129999999999998</v>
      </c>
      <c r="V550">
        <v>223.03359742942035</v>
      </c>
      <c r="W550">
        <v>46.049582067641303</v>
      </c>
      <c r="X550">
        <v>336.39824940819165</v>
      </c>
      <c r="Y550">
        <v>75.098249408191691</v>
      </c>
      <c r="Z550">
        <v>22.324209338279324</v>
      </c>
    </row>
    <row r="551" spans="1:26" x14ac:dyDescent="0.35">
      <c r="A551">
        <v>549</v>
      </c>
      <c r="B551" t="s">
        <v>693</v>
      </c>
      <c r="C551">
        <v>46050</v>
      </c>
      <c r="D551" t="s">
        <v>16</v>
      </c>
      <c r="E551" t="s">
        <v>207</v>
      </c>
      <c r="F551" t="s">
        <v>105</v>
      </c>
      <c r="G551" t="s">
        <v>188</v>
      </c>
      <c r="H551" t="s">
        <v>189</v>
      </c>
      <c r="I551" t="s">
        <v>108</v>
      </c>
      <c r="J551" t="s">
        <v>109</v>
      </c>
      <c r="K551" t="s">
        <v>110</v>
      </c>
      <c r="L551" t="s">
        <v>206</v>
      </c>
      <c r="M551">
        <v>28</v>
      </c>
      <c r="N551">
        <v>61</v>
      </c>
      <c r="O551">
        <v>2</v>
      </c>
      <c r="P551">
        <v>1</v>
      </c>
      <c r="Q551">
        <v>0</v>
      </c>
      <c r="R551">
        <v>0.59489999999999998</v>
      </c>
      <c r="S551">
        <v>1.0455000000000001</v>
      </c>
      <c r="U551">
        <v>0.45060000000000011</v>
      </c>
      <c r="V551">
        <v>37.872087677696584</v>
      </c>
      <c r="W551">
        <v>7.7531733405175274</v>
      </c>
      <c r="X551">
        <v>315.44196074903795</v>
      </c>
      <c r="Y551">
        <v>-135.15803925096219</v>
      </c>
      <c r="Z551">
        <v>-42.847197287900578</v>
      </c>
    </row>
    <row r="552" spans="1:26" x14ac:dyDescent="0.35">
      <c r="A552">
        <v>550</v>
      </c>
      <c r="B552" t="s">
        <v>693</v>
      </c>
      <c r="C552">
        <v>46050</v>
      </c>
      <c r="D552" t="s">
        <v>16</v>
      </c>
      <c r="E552" t="s">
        <v>207</v>
      </c>
      <c r="F552" t="s">
        <v>105</v>
      </c>
      <c r="G552" t="s">
        <v>188</v>
      </c>
      <c r="H552" t="s">
        <v>189</v>
      </c>
      <c r="I552" t="s">
        <v>108</v>
      </c>
      <c r="J552" t="s">
        <v>109</v>
      </c>
      <c r="K552" t="s">
        <v>110</v>
      </c>
      <c r="L552" t="s">
        <v>206</v>
      </c>
      <c r="M552">
        <v>28</v>
      </c>
      <c r="N552">
        <v>61</v>
      </c>
      <c r="O552">
        <v>2</v>
      </c>
      <c r="P552">
        <v>2</v>
      </c>
      <c r="Q552">
        <v>0</v>
      </c>
      <c r="R552">
        <v>0.57669999999999999</v>
      </c>
      <c r="S552">
        <v>0.82869999999999999</v>
      </c>
      <c r="U552">
        <v>0.252</v>
      </c>
      <c r="V552">
        <v>236.56974303309011</v>
      </c>
      <c r="W552">
        <v>48.420874687089984</v>
      </c>
      <c r="X552">
        <v>315.50502391592102</v>
      </c>
      <c r="Y552">
        <v>63.505023915921015</v>
      </c>
      <c r="Z552">
        <v>20.12805473831202</v>
      </c>
    </row>
    <row r="553" spans="1:26" x14ac:dyDescent="0.35">
      <c r="A553">
        <v>551</v>
      </c>
      <c r="B553" t="s">
        <v>693</v>
      </c>
      <c r="C553">
        <v>46050</v>
      </c>
      <c r="D553" t="s">
        <v>16</v>
      </c>
      <c r="E553" t="s">
        <v>207</v>
      </c>
      <c r="F553" t="s">
        <v>105</v>
      </c>
      <c r="G553" t="s">
        <v>188</v>
      </c>
      <c r="H553" t="s">
        <v>189</v>
      </c>
      <c r="I553" t="s">
        <v>108</v>
      </c>
      <c r="J553" t="s">
        <v>109</v>
      </c>
      <c r="K553" t="s">
        <v>110</v>
      </c>
      <c r="L553" t="s">
        <v>206</v>
      </c>
      <c r="M553">
        <v>28</v>
      </c>
      <c r="N553">
        <v>61</v>
      </c>
      <c r="O553">
        <v>2</v>
      </c>
      <c r="P553">
        <v>3</v>
      </c>
      <c r="Q553">
        <v>0</v>
      </c>
      <c r="R553">
        <v>0.5605</v>
      </c>
      <c r="S553">
        <v>0.79210000000000003</v>
      </c>
      <c r="U553">
        <v>0.23160000000000003</v>
      </c>
      <c r="V553">
        <v>257.16505374387685</v>
      </c>
      <c r="W553">
        <v>52.615270215009424</v>
      </c>
      <c r="X553">
        <v>315.63115024968715</v>
      </c>
      <c r="Y553">
        <v>84.03115024968713</v>
      </c>
      <c r="Z553">
        <v>26.623211993877156</v>
      </c>
    </row>
    <row r="554" spans="1:26" x14ac:dyDescent="0.35">
      <c r="A554">
        <v>552</v>
      </c>
      <c r="B554" t="s">
        <v>693</v>
      </c>
      <c r="C554">
        <v>46050</v>
      </c>
      <c r="D554" t="s">
        <v>16</v>
      </c>
      <c r="E554" t="s">
        <v>209</v>
      </c>
      <c r="F554" t="s">
        <v>105</v>
      </c>
      <c r="G554" t="s">
        <v>188</v>
      </c>
      <c r="H554" t="s">
        <v>189</v>
      </c>
      <c r="I554" t="s">
        <v>108</v>
      </c>
      <c r="J554" t="s">
        <v>109</v>
      </c>
      <c r="K554" t="s">
        <v>110</v>
      </c>
      <c r="L554" t="s">
        <v>208</v>
      </c>
      <c r="M554">
        <v>28</v>
      </c>
      <c r="N554">
        <v>61</v>
      </c>
      <c r="O554">
        <v>2</v>
      </c>
      <c r="P554">
        <v>1</v>
      </c>
      <c r="Q554">
        <v>0</v>
      </c>
      <c r="R554">
        <v>0.55330000000000001</v>
      </c>
      <c r="S554">
        <v>0.78480000000000005</v>
      </c>
      <c r="U554">
        <v>0.23150000000000004</v>
      </c>
      <c r="V554">
        <v>251.22927020554633</v>
      </c>
      <c r="W554">
        <v>52.043512940197886</v>
      </c>
      <c r="X554">
        <v>322.83152486170201</v>
      </c>
      <c r="Y554">
        <v>91.331524861701979</v>
      </c>
      <c r="Z554">
        <v>28.290770209268612</v>
      </c>
    </row>
    <row r="555" spans="1:26" x14ac:dyDescent="0.35">
      <c r="A555">
        <v>553</v>
      </c>
      <c r="B555" t="s">
        <v>693</v>
      </c>
      <c r="C555">
        <v>46050</v>
      </c>
      <c r="D555" t="s">
        <v>16</v>
      </c>
      <c r="E555" t="s">
        <v>209</v>
      </c>
      <c r="F555" t="s">
        <v>105</v>
      </c>
      <c r="G555" t="s">
        <v>188</v>
      </c>
      <c r="H555" t="s">
        <v>189</v>
      </c>
      <c r="I555" t="s">
        <v>108</v>
      </c>
      <c r="J555" t="s">
        <v>109</v>
      </c>
      <c r="K555" t="s">
        <v>110</v>
      </c>
      <c r="L555" t="s">
        <v>208</v>
      </c>
      <c r="M555">
        <v>28</v>
      </c>
      <c r="N555">
        <v>61</v>
      </c>
      <c r="O555">
        <v>2</v>
      </c>
      <c r="P555">
        <v>2</v>
      </c>
      <c r="Q555">
        <v>0</v>
      </c>
      <c r="R555">
        <v>0.58489999999999998</v>
      </c>
      <c r="S555">
        <v>0.85680000000000001</v>
      </c>
      <c r="U555">
        <v>0.27190000000000003</v>
      </c>
      <c r="V555">
        <v>210.92579675427766</v>
      </c>
      <c r="W555">
        <v>43.685693302262216</v>
      </c>
      <c r="X555">
        <v>322.89607825599546</v>
      </c>
      <c r="Y555">
        <v>50.996078255995428</v>
      </c>
      <c r="Z555">
        <v>15.793340857972634</v>
      </c>
    </row>
    <row r="556" spans="1:26" x14ac:dyDescent="0.35">
      <c r="A556">
        <v>554</v>
      </c>
      <c r="B556" t="s">
        <v>693</v>
      </c>
      <c r="C556">
        <v>46050</v>
      </c>
      <c r="D556" t="s">
        <v>16</v>
      </c>
      <c r="E556" t="s">
        <v>209</v>
      </c>
      <c r="F556" t="s">
        <v>105</v>
      </c>
      <c r="G556" t="s">
        <v>188</v>
      </c>
      <c r="H556" t="s">
        <v>189</v>
      </c>
      <c r="I556" t="s">
        <v>108</v>
      </c>
      <c r="J556" t="s">
        <v>109</v>
      </c>
      <c r="K556" t="s">
        <v>110</v>
      </c>
      <c r="L556" t="s">
        <v>208</v>
      </c>
      <c r="M556">
        <v>28</v>
      </c>
      <c r="N556">
        <v>61</v>
      </c>
      <c r="O556">
        <v>2</v>
      </c>
      <c r="P556">
        <v>3</v>
      </c>
      <c r="Q556">
        <v>0</v>
      </c>
      <c r="R556">
        <v>0.54349999999999998</v>
      </c>
      <c r="S556">
        <v>0.96120000000000005</v>
      </c>
      <c r="U556">
        <v>0.41770000000000007</v>
      </c>
      <c r="V556">
        <v>65.318849851740254</v>
      </c>
      <c r="W556">
        <v>13.523043639350613</v>
      </c>
      <c r="X556">
        <v>323.02518504458232</v>
      </c>
      <c r="Y556">
        <v>-94.67481495541773</v>
      </c>
      <c r="Z556">
        <v>-29.308802947470237</v>
      </c>
    </row>
    <row r="557" spans="1:26" x14ac:dyDescent="0.35">
      <c r="A557">
        <v>555</v>
      </c>
      <c r="B557" t="s">
        <v>693</v>
      </c>
      <c r="C557">
        <v>46055</v>
      </c>
      <c r="D557" t="s">
        <v>16</v>
      </c>
      <c r="E557" t="s">
        <v>211</v>
      </c>
      <c r="F557" t="s">
        <v>212</v>
      </c>
      <c r="G557" t="s">
        <v>213</v>
      </c>
      <c r="H557" t="s">
        <v>214</v>
      </c>
      <c r="I557" t="s">
        <v>22</v>
      </c>
      <c r="J557" t="s">
        <v>23</v>
      </c>
      <c r="K557" t="s">
        <v>215</v>
      </c>
      <c r="L557" t="s">
        <v>210</v>
      </c>
      <c r="M557">
        <v>28</v>
      </c>
      <c r="N557">
        <v>62</v>
      </c>
      <c r="O557">
        <v>2</v>
      </c>
      <c r="P557">
        <v>1</v>
      </c>
      <c r="Q557">
        <v>0</v>
      </c>
      <c r="R557">
        <v>0.5726</v>
      </c>
      <c r="S557">
        <v>0.83140000000000003</v>
      </c>
      <c r="U557">
        <v>0.25880000000000003</v>
      </c>
      <c r="V557">
        <v>199.58332541833335</v>
      </c>
      <c r="W557">
        <v>43.540703675507409</v>
      </c>
      <c r="X557">
        <v>255.11436523649436</v>
      </c>
      <c r="Y557">
        <v>-3.6856347635056466</v>
      </c>
      <c r="Z557">
        <v>-1.4446990313889283</v>
      </c>
    </row>
    <row r="558" spans="1:26" x14ac:dyDescent="0.35">
      <c r="A558">
        <v>556</v>
      </c>
      <c r="B558" t="s">
        <v>693</v>
      </c>
      <c r="C558">
        <v>46055</v>
      </c>
      <c r="D558" t="s">
        <v>16</v>
      </c>
      <c r="E558" t="s">
        <v>211</v>
      </c>
      <c r="F558" t="s">
        <v>212</v>
      </c>
      <c r="G558" t="s">
        <v>213</v>
      </c>
      <c r="H558" t="s">
        <v>214</v>
      </c>
      <c r="I558" t="s">
        <v>22</v>
      </c>
      <c r="J558" t="s">
        <v>23</v>
      </c>
      <c r="K558" t="s">
        <v>215</v>
      </c>
      <c r="L558" t="s">
        <v>210</v>
      </c>
      <c r="M558">
        <v>28</v>
      </c>
      <c r="N558">
        <v>62</v>
      </c>
      <c r="O558">
        <v>2</v>
      </c>
      <c r="P558">
        <v>2</v>
      </c>
      <c r="Q558">
        <v>0</v>
      </c>
      <c r="R558">
        <v>0.58409999999999995</v>
      </c>
      <c r="S558">
        <v>0.81379999999999997</v>
      </c>
      <c r="U558">
        <v>0.22970000000000002</v>
      </c>
      <c r="V558">
        <v>229.14170874375159</v>
      </c>
      <c r="W558">
        <v>49.939162978690739</v>
      </c>
      <c r="X558">
        <v>255.36947960173086</v>
      </c>
      <c r="Y558">
        <v>25.669479601730842</v>
      </c>
      <c r="Z558">
        <v>10.051897995705851</v>
      </c>
    </row>
    <row r="559" spans="1:26" x14ac:dyDescent="0.35">
      <c r="A559">
        <v>557</v>
      </c>
      <c r="B559" t="s">
        <v>693</v>
      </c>
      <c r="C559">
        <v>46055</v>
      </c>
      <c r="D559" t="s">
        <v>16</v>
      </c>
      <c r="E559" t="s">
        <v>211</v>
      </c>
      <c r="F559" t="s">
        <v>212</v>
      </c>
      <c r="G559" t="s">
        <v>213</v>
      </c>
      <c r="H559" t="s">
        <v>214</v>
      </c>
      <c r="I559" t="s">
        <v>22</v>
      </c>
      <c r="J559" t="s">
        <v>23</v>
      </c>
      <c r="K559" t="s">
        <v>215</v>
      </c>
      <c r="L559" t="s">
        <v>210</v>
      </c>
      <c r="M559">
        <v>28</v>
      </c>
      <c r="N559">
        <v>62</v>
      </c>
      <c r="O559">
        <v>2</v>
      </c>
      <c r="P559">
        <v>3</v>
      </c>
      <c r="Q559">
        <v>0</v>
      </c>
      <c r="R559">
        <v>0.56179999999999997</v>
      </c>
      <c r="S559">
        <v>0.83320000000000005</v>
      </c>
      <c r="U559">
        <v>0.27140000000000009</v>
      </c>
      <c r="V559">
        <v>187.16667874850054</v>
      </c>
      <c r="W559">
        <v>40.815586352525081</v>
      </c>
      <c r="X559">
        <v>255.21641098258897</v>
      </c>
      <c r="Y559">
        <v>-16.183589017411123</v>
      </c>
      <c r="Z559">
        <v>-6.3411239720455033</v>
      </c>
    </row>
    <row r="560" spans="1:26" x14ac:dyDescent="0.35">
      <c r="A560">
        <v>558</v>
      </c>
      <c r="B560" t="s">
        <v>693</v>
      </c>
      <c r="C560">
        <v>46055</v>
      </c>
      <c r="D560" t="s">
        <v>16</v>
      </c>
      <c r="E560" t="s">
        <v>218</v>
      </c>
      <c r="F560" t="s">
        <v>219</v>
      </c>
      <c r="G560" t="s">
        <v>220</v>
      </c>
      <c r="H560" t="s">
        <v>221</v>
      </c>
      <c r="I560" t="s">
        <v>22</v>
      </c>
      <c r="J560" t="s">
        <v>23</v>
      </c>
      <c r="K560" t="s">
        <v>215</v>
      </c>
      <c r="L560" t="s">
        <v>217</v>
      </c>
      <c r="M560">
        <v>28</v>
      </c>
      <c r="N560">
        <v>62</v>
      </c>
      <c r="O560">
        <v>2</v>
      </c>
      <c r="P560">
        <v>1</v>
      </c>
      <c r="Q560">
        <v>0</v>
      </c>
      <c r="R560">
        <v>0.56259999999999999</v>
      </c>
      <c r="S560">
        <v>0.74950000000000006</v>
      </c>
      <c r="U560">
        <v>0.18690000000000007</v>
      </c>
      <c r="V560">
        <v>281.22419999999988</v>
      </c>
      <c r="W560">
        <v>60.074698124984764</v>
      </c>
      <c r="X560">
        <v>197.54015416343219</v>
      </c>
      <c r="Y560">
        <v>10.640154163432129</v>
      </c>
      <c r="Z560">
        <v>5.386324723949107</v>
      </c>
    </row>
    <row r="561" spans="1:26" x14ac:dyDescent="0.35">
      <c r="A561">
        <v>559</v>
      </c>
      <c r="B561" t="s">
        <v>693</v>
      </c>
      <c r="C561">
        <v>46055</v>
      </c>
      <c r="D561" t="s">
        <v>16</v>
      </c>
      <c r="E561" t="s">
        <v>218</v>
      </c>
      <c r="F561" t="s">
        <v>219</v>
      </c>
      <c r="G561" t="s">
        <v>220</v>
      </c>
      <c r="H561" t="s">
        <v>221</v>
      </c>
      <c r="I561" t="s">
        <v>22</v>
      </c>
      <c r="J561" t="s">
        <v>23</v>
      </c>
      <c r="K561" t="s">
        <v>215</v>
      </c>
      <c r="L561" t="s">
        <v>217</v>
      </c>
      <c r="M561">
        <v>28</v>
      </c>
      <c r="N561">
        <v>62</v>
      </c>
      <c r="O561">
        <v>2</v>
      </c>
      <c r="P561">
        <v>2</v>
      </c>
      <c r="Q561">
        <v>0</v>
      </c>
      <c r="R561">
        <v>0.58389999999999997</v>
      </c>
      <c r="S561">
        <v>0.80520000000000003</v>
      </c>
      <c r="U561">
        <v>0.22130000000000005</v>
      </c>
      <c r="V561">
        <v>238.65893662534981</v>
      </c>
      <c r="W561">
        <v>51.887009387480298</v>
      </c>
      <c r="X561">
        <v>194.09455706374499</v>
      </c>
      <c r="Y561">
        <v>-27.205442936255054</v>
      </c>
      <c r="Z561">
        <v>-14.016592401053357</v>
      </c>
    </row>
    <row r="562" spans="1:26" x14ac:dyDescent="0.35">
      <c r="A562">
        <v>560</v>
      </c>
      <c r="B562" t="s">
        <v>693</v>
      </c>
      <c r="C562">
        <v>46055</v>
      </c>
      <c r="D562" t="s">
        <v>16</v>
      </c>
      <c r="E562" t="s">
        <v>218</v>
      </c>
      <c r="F562" t="s">
        <v>219</v>
      </c>
      <c r="G562" t="s">
        <v>220</v>
      </c>
      <c r="H562" t="s">
        <v>221</v>
      </c>
      <c r="I562" t="s">
        <v>22</v>
      </c>
      <c r="J562" t="s">
        <v>23</v>
      </c>
      <c r="K562" t="s">
        <v>215</v>
      </c>
      <c r="L562" t="s">
        <v>217</v>
      </c>
      <c r="M562">
        <v>28</v>
      </c>
      <c r="N562">
        <v>62</v>
      </c>
      <c r="O562">
        <v>2</v>
      </c>
      <c r="P562">
        <v>3</v>
      </c>
      <c r="Q562">
        <v>0</v>
      </c>
      <c r="R562">
        <v>0.56710000000000005</v>
      </c>
      <c r="S562">
        <v>0.74950000000000006</v>
      </c>
      <c r="U562">
        <v>0.18240000000000001</v>
      </c>
      <c r="V562">
        <v>277.28312674930032</v>
      </c>
      <c r="W562">
        <v>60.320492664183334</v>
      </c>
      <c r="X562">
        <v>193.97817016164805</v>
      </c>
      <c r="Y562">
        <v>11.578170161648046</v>
      </c>
      <c r="Z562">
        <v>5.9688005882309314</v>
      </c>
    </row>
    <row r="563" spans="1:26" x14ac:dyDescent="0.35">
      <c r="A563">
        <v>561</v>
      </c>
      <c r="B563" t="s">
        <v>693</v>
      </c>
      <c r="C563">
        <v>46055</v>
      </c>
      <c r="D563" t="s">
        <v>16</v>
      </c>
      <c r="E563" t="s">
        <v>223</v>
      </c>
      <c r="F563" t="s">
        <v>219</v>
      </c>
      <c r="G563" t="s">
        <v>220</v>
      </c>
      <c r="H563" t="s">
        <v>221</v>
      </c>
      <c r="I563" t="s">
        <v>22</v>
      </c>
      <c r="J563" t="s">
        <v>23</v>
      </c>
      <c r="K563" t="s">
        <v>215</v>
      </c>
      <c r="L563" t="s">
        <v>222</v>
      </c>
      <c r="M563">
        <v>28</v>
      </c>
      <c r="N563">
        <v>62</v>
      </c>
      <c r="O563">
        <v>2</v>
      </c>
      <c r="P563">
        <v>1</v>
      </c>
      <c r="Q563">
        <v>0</v>
      </c>
      <c r="R563">
        <v>0.57430000000000003</v>
      </c>
      <c r="S563">
        <v>0.74050000000000005</v>
      </c>
      <c r="U563">
        <v>0.16620000000000001</v>
      </c>
      <c r="V563">
        <v>290.94427872029587</v>
      </c>
      <c r="W563">
        <v>63.643863056702578</v>
      </c>
      <c r="X563">
        <v>207.81638194867182</v>
      </c>
      <c r="Y563">
        <v>41.616381948671801</v>
      </c>
      <c r="Z563">
        <v>20.025554077325122</v>
      </c>
    </row>
    <row r="564" spans="1:26" x14ac:dyDescent="0.35">
      <c r="A564">
        <v>562</v>
      </c>
      <c r="B564" t="s">
        <v>693</v>
      </c>
      <c r="C564">
        <v>46055</v>
      </c>
      <c r="D564" t="s">
        <v>16</v>
      </c>
      <c r="E564" t="s">
        <v>223</v>
      </c>
      <c r="F564" t="s">
        <v>219</v>
      </c>
      <c r="G564" t="s">
        <v>220</v>
      </c>
      <c r="H564" t="s">
        <v>221</v>
      </c>
      <c r="I564" t="s">
        <v>22</v>
      </c>
      <c r="J564" t="s">
        <v>23</v>
      </c>
      <c r="K564" t="s">
        <v>215</v>
      </c>
      <c r="L564" t="s">
        <v>222</v>
      </c>
      <c r="M564">
        <v>28</v>
      </c>
      <c r="N564">
        <v>62</v>
      </c>
      <c r="O564">
        <v>2</v>
      </c>
      <c r="P564">
        <v>2</v>
      </c>
      <c r="Q564">
        <v>0</v>
      </c>
      <c r="R564">
        <v>0.58260000000000001</v>
      </c>
      <c r="S564">
        <v>0.76200000000000001</v>
      </c>
      <c r="U564">
        <v>0.1794</v>
      </c>
      <c r="V564">
        <v>277.92713643178399</v>
      </c>
      <c r="W564">
        <v>60.772063210651019</v>
      </c>
      <c r="X564">
        <v>207.89950850145127</v>
      </c>
      <c r="Y564">
        <v>28.49950850145126</v>
      </c>
      <c r="Z564">
        <v>13.70830970543267</v>
      </c>
    </row>
    <row r="565" spans="1:26" x14ac:dyDescent="0.35">
      <c r="A565">
        <v>563</v>
      </c>
      <c r="B565" t="s">
        <v>693</v>
      </c>
      <c r="C565">
        <v>46055</v>
      </c>
      <c r="D565" t="s">
        <v>16</v>
      </c>
      <c r="E565" t="s">
        <v>223</v>
      </c>
      <c r="F565" t="s">
        <v>219</v>
      </c>
      <c r="G565" t="s">
        <v>220</v>
      </c>
      <c r="H565" t="s">
        <v>221</v>
      </c>
      <c r="I565" t="s">
        <v>22</v>
      </c>
      <c r="J565" t="s">
        <v>23</v>
      </c>
      <c r="K565" t="s">
        <v>215</v>
      </c>
      <c r="L565" t="s">
        <v>222</v>
      </c>
      <c r="M565">
        <v>28</v>
      </c>
      <c r="N565">
        <v>62</v>
      </c>
      <c r="O565">
        <v>2</v>
      </c>
      <c r="P565">
        <v>3</v>
      </c>
      <c r="Q565">
        <v>0</v>
      </c>
      <c r="R565">
        <v>0.59250000000000003</v>
      </c>
      <c r="S565">
        <v>0.7712</v>
      </c>
      <c r="U565">
        <v>0.17869999999999997</v>
      </c>
      <c r="V565">
        <v>278.53570757603995</v>
      </c>
      <c r="W565">
        <v>60.917313097144422</v>
      </c>
      <c r="X565">
        <v>207.85794522506151</v>
      </c>
      <c r="Y565">
        <v>29.157945225061553</v>
      </c>
      <c r="Z565">
        <v>14.027823277811354</v>
      </c>
    </row>
    <row r="566" spans="1:26" x14ac:dyDescent="0.35">
      <c r="A566">
        <v>564</v>
      </c>
      <c r="B566" t="s">
        <v>693</v>
      </c>
      <c r="C566">
        <v>46055</v>
      </c>
      <c r="D566" t="s">
        <v>16</v>
      </c>
      <c r="E566" t="s">
        <v>225</v>
      </c>
      <c r="F566" t="s">
        <v>226</v>
      </c>
      <c r="G566" t="s">
        <v>227</v>
      </c>
      <c r="H566" t="s">
        <v>228</v>
      </c>
      <c r="I566" t="s">
        <v>22</v>
      </c>
      <c r="J566" t="s">
        <v>23</v>
      </c>
      <c r="K566" t="s">
        <v>215</v>
      </c>
      <c r="L566" t="s">
        <v>224</v>
      </c>
      <c r="M566">
        <v>28</v>
      </c>
      <c r="N566">
        <v>62</v>
      </c>
      <c r="O566">
        <v>2</v>
      </c>
      <c r="P566">
        <v>1</v>
      </c>
      <c r="Q566">
        <v>0</v>
      </c>
      <c r="R566">
        <v>0.58299999999999996</v>
      </c>
      <c r="S566">
        <v>0.86460000000000004</v>
      </c>
      <c r="U566">
        <v>0.28160000000000007</v>
      </c>
      <c r="V566">
        <v>173.90672413793129</v>
      </c>
      <c r="W566">
        <v>38.178739176037027</v>
      </c>
      <c r="X566">
        <v>207.74757212066615</v>
      </c>
      <c r="Y566">
        <v>-73.852427879333931</v>
      </c>
      <c r="Z566">
        <v>-35.54911719326288</v>
      </c>
    </row>
    <row r="567" spans="1:26" x14ac:dyDescent="0.35">
      <c r="A567">
        <v>565</v>
      </c>
      <c r="B567" t="s">
        <v>693</v>
      </c>
      <c r="C567">
        <v>46055</v>
      </c>
      <c r="D567" t="s">
        <v>16</v>
      </c>
      <c r="E567" t="s">
        <v>225</v>
      </c>
      <c r="F567" t="s">
        <v>226</v>
      </c>
      <c r="G567" t="s">
        <v>227</v>
      </c>
      <c r="H567" t="s">
        <v>228</v>
      </c>
      <c r="I567" t="s">
        <v>22</v>
      </c>
      <c r="J567" t="s">
        <v>23</v>
      </c>
      <c r="K567" t="s">
        <v>215</v>
      </c>
      <c r="L567" t="s">
        <v>224</v>
      </c>
      <c r="M567">
        <v>28</v>
      </c>
      <c r="N567">
        <v>62</v>
      </c>
      <c r="O567">
        <v>2</v>
      </c>
      <c r="P567">
        <v>2</v>
      </c>
      <c r="Q567">
        <v>0</v>
      </c>
      <c r="R567">
        <v>0.56110000000000004</v>
      </c>
      <c r="S567">
        <v>0.83499999999999996</v>
      </c>
      <c r="U567">
        <v>0.27389999999999992</v>
      </c>
      <c r="V567">
        <v>182.06213977894117</v>
      </c>
      <c r="W567">
        <v>39.929223041897352</v>
      </c>
      <c r="X567">
        <v>207.95527815158064</v>
      </c>
      <c r="Y567">
        <v>-65.944721848419277</v>
      </c>
      <c r="Z567">
        <v>-31.711011345598799</v>
      </c>
    </row>
    <row r="568" spans="1:26" x14ac:dyDescent="0.35">
      <c r="A568">
        <v>566</v>
      </c>
      <c r="B568" t="s">
        <v>693</v>
      </c>
      <c r="C568">
        <v>46055</v>
      </c>
      <c r="D568" t="s">
        <v>16</v>
      </c>
      <c r="E568" t="s">
        <v>225</v>
      </c>
      <c r="F568" t="s">
        <v>226</v>
      </c>
      <c r="G568" t="s">
        <v>227</v>
      </c>
      <c r="H568" t="s">
        <v>228</v>
      </c>
      <c r="I568" t="s">
        <v>22</v>
      </c>
      <c r="J568" t="s">
        <v>23</v>
      </c>
      <c r="K568" t="s">
        <v>215</v>
      </c>
      <c r="L568" t="s">
        <v>224</v>
      </c>
      <c r="M568">
        <v>28</v>
      </c>
      <c r="N568">
        <v>62</v>
      </c>
      <c r="O568">
        <v>2</v>
      </c>
      <c r="P568">
        <v>3</v>
      </c>
      <c r="Q568">
        <v>0</v>
      </c>
      <c r="R568">
        <v>0.56940000000000002</v>
      </c>
      <c r="S568">
        <v>0.84519999999999995</v>
      </c>
      <c r="U568">
        <v>0.27579999999999993</v>
      </c>
      <c r="V568">
        <v>179.88889039433531</v>
      </c>
      <c r="W568">
        <v>39.476251053359348</v>
      </c>
      <c r="X568">
        <v>207.83065453303195</v>
      </c>
      <c r="Y568">
        <v>-67.969345466968008</v>
      </c>
      <c r="Z568">
        <v>-32.704196413992037</v>
      </c>
    </row>
    <row r="569" spans="1:26" x14ac:dyDescent="0.35">
      <c r="A569">
        <v>567</v>
      </c>
      <c r="B569" t="s">
        <v>693</v>
      </c>
      <c r="C569">
        <v>46055</v>
      </c>
      <c r="D569" t="s">
        <v>16</v>
      </c>
      <c r="E569" t="s">
        <v>230</v>
      </c>
      <c r="F569" t="s">
        <v>226</v>
      </c>
      <c r="G569" t="s">
        <v>231</v>
      </c>
      <c r="H569" t="s">
        <v>232</v>
      </c>
      <c r="I569" t="s">
        <v>22</v>
      </c>
      <c r="J569" t="s">
        <v>23</v>
      </c>
      <c r="K569" t="s">
        <v>215</v>
      </c>
      <c r="L569" t="s">
        <v>229</v>
      </c>
      <c r="M569">
        <v>28</v>
      </c>
      <c r="N569">
        <v>62</v>
      </c>
      <c r="O569">
        <v>2</v>
      </c>
      <c r="P569">
        <v>1</v>
      </c>
      <c r="Q569">
        <v>0</v>
      </c>
      <c r="R569">
        <v>0.5786</v>
      </c>
      <c r="S569">
        <v>0.83720000000000006</v>
      </c>
      <c r="U569">
        <v>0.25860000000000005</v>
      </c>
      <c r="V569">
        <v>206.5750535781313</v>
      </c>
      <c r="W569">
        <v>44.408024890662951</v>
      </c>
      <c r="X569">
        <v>239.27669523400985</v>
      </c>
      <c r="Y569">
        <v>-19.32330476599023</v>
      </c>
      <c r="Z569">
        <v>-8.0757153332848652</v>
      </c>
    </row>
    <row r="570" spans="1:26" x14ac:dyDescent="0.35">
      <c r="A570">
        <v>568</v>
      </c>
      <c r="B570" t="s">
        <v>693</v>
      </c>
      <c r="C570">
        <v>46055</v>
      </c>
      <c r="D570" t="s">
        <v>16</v>
      </c>
      <c r="E570" t="s">
        <v>230</v>
      </c>
      <c r="F570" t="s">
        <v>226</v>
      </c>
      <c r="G570" t="s">
        <v>231</v>
      </c>
      <c r="H570" t="s">
        <v>232</v>
      </c>
      <c r="I570" t="s">
        <v>22</v>
      </c>
      <c r="J570" t="s">
        <v>23</v>
      </c>
      <c r="K570" t="s">
        <v>215</v>
      </c>
      <c r="L570" t="s">
        <v>229</v>
      </c>
      <c r="M570">
        <v>28</v>
      </c>
      <c r="N570">
        <v>62</v>
      </c>
      <c r="O570">
        <v>2</v>
      </c>
      <c r="P570">
        <v>2</v>
      </c>
      <c r="Q570">
        <v>0</v>
      </c>
      <c r="R570">
        <v>0.56530000000000002</v>
      </c>
      <c r="S570">
        <v>0.81950000000000001</v>
      </c>
      <c r="U570">
        <v>0.25419999999999998</v>
      </c>
      <c r="V570">
        <v>210.78905795494944</v>
      </c>
      <c r="W570">
        <v>45.3320469264401</v>
      </c>
      <c r="X570">
        <v>239.1810228248799</v>
      </c>
      <c r="Y570">
        <v>-15.018977175120085</v>
      </c>
      <c r="Z570">
        <v>-6.2793347890800115</v>
      </c>
    </row>
    <row r="571" spans="1:26" x14ac:dyDescent="0.35">
      <c r="A571">
        <v>569</v>
      </c>
      <c r="B571" t="s">
        <v>693</v>
      </c>
      <c r="C571">
        <v>46055</v>
      </c>
      <c r="D571" t="s">
        <v>16</v>
      </c>
      <c r="E571" t="s">
        <v>230</v>
      </c>
      <c r="F571" t="s">
        <v>226</v>
      </c>
      <c r="G571" t="s">
        <v>231</v>
      </c>
      <c r="H571" t="s">
        <v>232</v>
      </c>
      <c r="I571" t="s">
        <v>22</v>
      </c>
      <c r="J571" t="s">
        <v>23</v>
      </c>
      <c r="K571" t="s">
        <v>215</v>
      </c>
      <c r="L571" t="s">
        <v>229</v>
      </c>
      <c r="M571">
        <v>28</v>
      </c>
      <c r="N571">
        <v>62</v>
      </c>
      <c r="O571">
        <v>2</v>
      </c>
      <c r="P571">
        <v>3</v>
      </c>
      <c r="Q571">
        <v>0</v>
      </c>
      <c r="R571">
        <v>0.56889999999999996</v>
      </c>
      <c r="S571">
        <v>0.82730000000000004</v>
      </c>
      <c r="U571">
        <v>0.25840000000000007</v>
      </c>
      <c r="V571">
        <v>206.77505357813129</v>
      </c>
      <c r="W571">
        <v>44.451019457646197</v>
      </c>
      <c r="X571">
        <v>239.27669523400985</v>
      </c>
      <c r="Y571">
        <v>-19.123304765990241</v>
      </c>
      <c r="Z571">
        <v>-7.9921300932745947</v>
      </c>
    </row>
    <row r="572" spans="1:26" x14ac:dyDescent="0.35">
      <c r="A572">
        <v>570</v>
      </c>
      <c r="B572" t="s">
        <v>693</v>
      </c>
      <c r="C572">
        <v>46055</v>
      </c>
      <c r="D572" t="s">
        <v>16</v>
      </c>
      <c r="E572" t="s">
        <v>234</v>
      </c>
      <c r="F572" t="s">
        <v>235</v>
      </c>
      <c r="G572" t="s">
        <v>236</v>
      </c>
      <c r="H572" t="s">
        <v>237</v>
      </c>
      <c r="I572" t="s">
        <v>22</v>
      </c>
      <c r="J572" t="s">
        <v>23</v>
      </c>
      <c r="K572" t="s">
        <v>215</v>
      </c>
      <c r="L572" t="s">
        <v>233</v>
      </c>
      <c r="M572">
        <v>28</v>
      </c>
      <c r="N572">
        <v>62</v>
      </c>
      <c r="O572">
        <v>2</v>
      </c>
      <c r="P572">
        <v>1</v>
      </c>
      <c r="Q572">
        <v>0</v>
      </c>
      <c r="R572">
        <v>0.58209999999999995</v>
      </c>
      <c r="S572">
        <v>0.85209999999999997</v>
      </c>
      <c r="U572">
        <v>0.27</v>
      </c>
      <c r="V572">
        <v>174.32786552512283</v>
      </c>
      <c r="W572">
        <v>39.234060938108357</v>
      </c>
      <c r="X572">
        <v>226.97088933651571</v>
      </c>
      <c r="Y572">
        <v>-43.029110663484289</v>
      </c>
      <c r="Z572">
        <v>-18.957986545881521</v>
      </c>
    </row>
    <row r="573" spans="1:26" x14ac:dyDescent="0.35">
      <c r="A573">
        <v>571</v>
      </c>
      <c r="B573" t="s">
        <v>693</v>
      </c>
      <c r="C573">
        <v>46055</v>
      </c>
      <c r="D573" t="s">
        <v>16</v>
      </c>
      <c r="E573" t="s">
        <v>234</v>
      </c>
      <c r="F573" t="s">
        <v>235</v>
      </c>
      <c r="G573" t="s">
        <v>236</v>
      </c>
      <c r="H573" t="s">
        <v>237</v>
      </c>
      <c r="I573" t="s">
        <v>22</v>
      </c>
      <c r="J573" t="s">
        <v>23</v>
      </c>
      <c r="K573" t="s">
        <v>215</v>
      </c>
      <c r="L573" t="s">
        <v>233</v>
      </c>
      <c r="M573">
        <v>28</v>
      </c>
      <c r="N573">
        <v>62</v>
      </c>
      <c r="O573">
        <v>2</v>
      </c>
      <c r="P573">
        <v>2</v>
      </c>
      <c r="Q573">
        <v>0</v>
      </c>
      <c r="R573">
        <v>0.53939999999999999</v>
      </c>
      <c r="S573">
        <v>0.78979999999999995</v>
      </c>
      <c r="U573">
        <v>0.25039999999999996</v>
      </c>
      <c r="V573">
        <v>194.19440893575577</v>
      </c>
      <c r="W573">
        <v>43.679003836464581</v>
      </c>
      <c r="X573">
        <v>227.10704463905711</v>
      </c>
      <c r="Y573">
        <v>-23.292955360942841</v>
      </c>
      <c r="Z573">
        <v>-10.256377294664066</v>
      </c>
    </row>
    <row r="574" spans="1:26" x14ac:dyDescent="0.35">
      <c r="A574">
        <v>572</v>
      </c>
      <c r="B574" t="s">
        <v>693</v>
      </c>
      <c r="C574">
        <v>46055</v>
      </c>
      <c r="D574" t="s">
        <v>16</v>
      </c>
      <c r="E574" t="s">
        <v>234</v>
      </c>
      <c r="F574" t="s">
        <v>235</v>
      </c>
      <c r="G574" t="s">
        <v>236</v>
      </c>
      <c r="H574" t="s">
        <v>237</v>
      </c>
      <c r="I574" t="s">
        <v>22</v>
      </c>
      <c r="J574" t="s">
        <v>23</v>
      </c>
      <c r="K574" t="s">
        <v>215</v>
      </c>
      <c r="L574" t="s">
        <v>233</v>
      </c>
      <c r="M574">
        <v>28</v>
      </c>
      <c r="N574">
        <v>62</v>
      </c>
      <c r="O574">
        <v>2</v>
      </c>
      <c r="P574">
        <v>3</v>
      </c>
      <c r="Q574">
        <v>0</v>
      </c>
      <c r="R574">
        <v>0.55579999999999996</v>
      </c>
      <c r="S574">
        <v>0.86219999999999997</v>
      </c>
      <c r="U574">
        <v>0.30640000000000001</v>
      </c>
      <c r="V574">
        <v>138.10556113221151</v>
      </c>
      <c r="W574">
        <v>31.069478811567464</v>
      </c>
      <c r="X574">
        <v>227.06165953820999</v>
      </c>
      <c r="Y574">
        <v>-79.338340461789983</v>
      </c>
      <c r="Z574">
        <v>-34.941319738059477</v>
      </c>
    </row>
    <row r="575" spans="1:26" x14ac:dyDescent="0.35">
      <c r="A575">
        <v>573</v>
      </c>
      <c r="B575" t="s">
        <v>693</v>
      </c>
      <c r="C575">
        <v>46055</v>
      </c>
      <c r="D575" t="s">
        <v>16</v>
      </c>
      <c r="E575" t="s">
        <v>239</v>
      </c>
      <c r="F575" t="s">
        <v>240</v>
      </c>
      <c r="G575" t="s">
        <v>241</v>
      </c>
      <c r="H575" t="s">
        <v>242</v>
      </c>
      <c r="I575" t="s">
        <v>22</v>
      </c>
      <c r="J575" t="s">
        <v>23</v>
      </c>
      <c r="K575" t="s">
        <v>215</v>
      </c>
      <c r="L575" t="s">
        <v>238</v>
      </c>
      <c r="M575">
        <v>28</v>
      </c>
      <c r="N575">
        <v>62</v>
      </c>
      <c r="O575">
        <v>2</v>
      </c>
      <c r="P575">
        <v>1</v>
      </c>
      <c r="Q575">
        <v>0</v>
      </c>
      <c r="R575">
        <v>0.59930000000000005</v>
      </c>
      <c r="S575">
        <v>0.88439999999999996</v>
      </c>
      <c r="U575">
        <v>0.28509999999999991</v>
      </c>
      <c r="V575">
        <v>174.94800729509291</v>
      </c>
      <c r="W575">
        <v>38.028206735145012</v>
      </c>
      <c r="X575">
        <v>263.06180589189501</v>
      </c>
      <c r="Y575">
        <v>-22.038194108104904</v>
      </c>
      <c r="Z575">
        <v>-8.3775727279700494</v>
      </c>
    </row>
    <row r="576" spans="1:26" x14ac:dyDescent="0.35">
      <c r="A576">
        <v>574</v>
      </c>
      <c r="B576" t="s">
        <v>693</v>
      </c>
      <c r="C576">
        <v>46055</v>
      </c>
      <c r="D576" t="s">
        <v>16</v>
      </c>
      <c r="E576" t="s">
        <v>239</v>
      </c>
      <c r="F576" t="s">
        <v>240</v>
      </c>
      <c r="G576" t="s">
        <v>241</v>
      </c>
      <c r="H576" t="s">
        <v>242</v>
      </c>
      <c r="I576" t="s">
        <v>22</v>
      </c>
      <c r="J576" t="s">
        <v>23</v>
      </c>
      <c r="K576" t="s">
        <v>215</v>
      </c>
      <c r="L576" t="s">
        <v>238</v>
      </c>
      <c r="M576">
        <v>28</v>
      </c>
      <c r="N576">
        <v>62</v>
      </c>
      <c r="O576">
        <v>2</v>
      </c>
      <c r="P576">
        <v>2</v>
      </c>
      <c r="Q576">
        <v>0</v>
      </c>
      <c r="R576">
        <v>0.56040000000000001</v>
      </c>
      <c r="S576">
        <v>0.97130000000000005</v>
      </c>
      <c r="U576">
        <v>0.41090000000000004</v>
      </c>
      <c r="V576">
        <v>49.056034482758719</v>
      </c>
      <c r="W576">
        <v>10.665374689110109</v>
      </c>
      <c r="X576">
        <v>263.00921456724643</v>
      </c>
      <c r="Y576">
        <v>-147.8907854327536</v>
      </c>
      <c r="Z576">
        <v>-56.230267702252213</v>
      </c>
    </row>
    <row r="577" spans="1:26" x14ac:dyDescent="0.35">
      <c r="A577">
        <v>575</v>
      </c>
      <c r="B577" t="s">
        <v>693</v>
      </c>
      <c r="C577">
        <v>46055</v>
      </c>
      <c r="D577" t="s">
        <v>16</v>
      </c>
      <c r="E577" t="s">
        <v>239</v>
      </c>
      <c r="F577" t="s">
        <v>240</v>
      </c>
      <c r="G577" t="s">
        <v>241</v>
      </c>
      <c r="H577" t="s">
        <v>242</v>
      </c>
      <c r="I577" t="s">
        <v>22</v>
      </c>
      <c r="J577" t="s">
        <v>23</v>
      </c>
      <c r="K577" t="s">
        <v>215</v>
      </c>
      <c r="L577" t="s">
        <v>238</v>
      </c>
      <c r="M577">
        <v>28</v>
      </c>
      <c r="N577">
        <v>62</v>
      </c>
      <c r="O577">
        <v>2</v>
      </c>
      <c r="P577">
        <v>3</v>
      </c>
      <c r="Q577">
        <v>0</v>
      </c>
      <c r="R577">
        <v>0.58189999999999997</v>
      </c>
      <c r="S577">
        <v>0.8619</v>
      </c>
      <c r="U577">
        <v>0.28000000000000003</v>
      </c>
      <c r="V577">
        <v>179.95603448275875</v>
      </c>
      <c r="W577">
        <v>39.124616483209621</v>
      </c>
      <c r="X577">
        <v>263.00921456724643</v>
      </c>
      <c r="Y577">
        <v>-16.990785432753569</v>
      </c>
      <c r="Z577">
        <v>-6.4601483490645348</v>
      </c>
    </row>
    <row r="578" spans="1:26" x14ac:dyDescent="0.35">
      <c r="A578">
        <v>576</v>
      </c>
      <c r="B578" t="s">
        <v>693</v>
      </c>
      <c r="C578">
        <v>46055</v>
      </c>
      <c r="D578" t="s">
        <v>16</v>
      </c>
      <c r="E578" t="s">
        <v>244</v>
      </c>
      <c r="F578" t="s">
        <v>240</v>
      </c>
      <c r="G578" t="s">
        <v>245</v>
      </c>
      <c r="H578" t="s">
        <v>246</v>
      </c>
      <c r="I578" t="s">
        <v>22</v>
      </c>
      <c r="J578" t="s">
        <v>23</v>
      </c>
      <c r="K578" t="s">
        <v>215</v>
      </c>
      <c r="L578" t="s">
        <v>243</v>
      </c>
      <c r="M578">
        <v>28</v>
      </c>
      <c r="N578">
        <v>62</v>
      </c>
      <c r="O578">
        <v>2</v>
      </c>
      <c r="P578">
        <v>1</v>
      </c>
      <c r="Q578">
        <v>0</v>
      </c>
      <c r="R578">
        <v>0.57210000000000005</v>
      </c>
      <c r="S578">
        <v>0.86329999999999996</v>
      </c>
      <c r="U578">
        <v>0.2911999999999999</v>
      </c>
      <c r="V578">
        <v>164.04781975538924</v>
      </c>
      <c r="W578">
        <v>36.034839187925023</v>
      </c>
      <c r="X578">
        <v>273.55966161864961</v>
      </c>
      <c r="Y578">
        <v>-17.640338381350318</v>
      </c>
      <c r="Z578">
        <v>-6.4484428285122979</v>
      </c>
    </row>
    <row r="579" spans="1:26" x14ac:dyDescent="0.35">
      <c r="A579">
        <v>577</v>
      </c>
      <c r="B579" t="s">
        <v>693</v>
      </c>
      <c r="C579">
        <v>46055</v>
      </c>
      <c r="D579" t="s">
        <v>16</v>
      </c>
      <c r="E579" t="s">
        <v>244</v>
      </c>
      <c r="F579" t="s">
        <v>240</v>
      </c>
      <c r="G579" t="s">
        <v>245</v>
      </c>
      <c r="H579" t="s">
        <v>246</v>
      </c>
      <c r="I579" t="s">
        <v>22</v>
      </c>
      <c r="J579" t="s">
        <v>23</v>
      </c>
      <c r="K579" t="s">
        <v>215</v>
      </c>
      <c r="L579" t="s">
        <v>243</v>
      </c>
      <c r="M579">
        <v>28</v>
      </c>
      <c r="N579">
        <v>62</v>
      </c>
      <c r="O579">
        <v>2</v>
      </c>
      <c r="P579">
        <v>2</v>
      </c>
      <c r="Q579">
        <v>0</v>
      </c>
      <c r="R579">
        <v>0.59489999999999998</v>
      </c>
      <c r="S579">
        <v>0.98580000000000001</v>
      </c>
      <c r="U579">
        <v>0.39090000000000003</v>
      </c>
      <c r="V579">
        <v>64.16579343801402</v>
      </c>
      <c r="W579">
        <v>14.100333262415218</v>
      </c>
      <c r="X579">
        <v>273.45028150604719</v>
      </c>
      <c r="Y579">
        <v>-117.44971849395284</v>
      </c>
      <c r="Z579">
        <v>-42.951032212177672</v>
      </c>
    </row>
    <row r="580" spans="1:26" x14ac:dyDescent="0.35">
      <c r="A580">
        <v>578</v>
      </c>
      <c r="B580" t="s">
        <v>693</v>
      </c>
      <c r="C580">
        <v>46055</v>
      </c>
      <c r="D580" t="s">
        <v>16</v>
      </c>
      <c r="E580" t="s">
        <v>244</v>
      </c>
      <c r="F580" t="s">
        <v>240</v>
      </c>
      <c r="G580" t="s">
        <v>245</v>
      </c>
      <c r="H580" t="s">
        <v>246</v>
      </c>
      <c r="I580" t="s">
        <v>22</v>
      </c>
      <c r="J580" t="s">
        <v>23</v>
      </c>
      <c r="K580" t="s">
        <v>215</v>
      </c>
      <c r="L580" t="s">
        <v>243</v>
      </c>
      <c r="M580">
        <v>28</v>
      </c>
      <c r="N580">
        <v>62</v>
      </c>
      <c r="O580">
        <v>2</v>
      </c>
      <c r="P580">
        <v>3</v>
      </c>
      <c r="Q580">
        <v>0</v>
      </c>
      <c r="R580">
        <v>0.58989999999999998</v>
      </c>
      <c r="S580">
        <v>0.91039999999999999</v>
      </c>
      <c r="U580">
        <v>0.32050000000000001</v>
      </c>
      <c r="V580">
        <v>134.56579343801405</v>
      </c>
      <c r="W580">
        <v>29.570623716050342</v>
      </c>
      <c r="X580">
        <v>273.45028150604719</v>
      </c>
      <c r="Y580">
        <v>-47.04971849395281</v>
      </c>
      <c r="Z580">
        <v>-17.205949920703347</v>
      </c>
    </row>
    <row r="581" spans="1:26" x14ac:dyDescent="0.35">
      <c r="A581">
        <v>579</v>
      </c>
      <c r="B581" t="s">
        <v>693</v>
      </c>
      <c r="C581">
        <v>46055</v>
      </c>
      <c r="D581" t="s">
        <v>16</v>
      </c>
      <c r="E581" t="s">
        <v>248</v>
      </c>
      <c r="F581" t="s">
        <v>226</v>
      </c>
      <c r="G581" t="s">
        <v>227</v>
      </c>
      <c r="H581" t="s">
        <v>228</v>
      </c>
      <c r="I581" t="s">
        <v>22</v>
      </c>
      <c r="J581" t="s">
        <v>23</v>
      </c>
      <c r="K581" t="s">
        <v>215</v>
      </c>
      <c r="L581" t="s">
        <v>247</v>
      </c>
      <c r="M581">
        <v>28</v>
      </c>
      <c r="N581">
        <v>62</v>
      </c>
      <c r="O581">
        <v>2</v>
      </c>
      <c r="P581">
        <v>1</v>
      </c>
      <c r="Q581">
        <v>0</v>
      </c>
      <c r="R581">
        <v>0.59119999999999995</v>
      </c>
      <c r="S581">
        <v>0.97119999999999995</v>
      </c>
      <c r="U581">
        <v>0.38</v>
      </c>
      <c r="V581">
        <v>81.976967708596931</v>
      </c>
      <c r="W581">
        <v>17.744817044711603</v>
      </c>
      <c r="X581">
        <v>238.87663427433009</v>
      </c>
      <c r="Y581">
        <v>-141.12336572566991</v>
      </c>
      <c r="Z581">
        <v>-59.077927882892631</v>
      </c>
    </row>
    <row r="582" spans="1:26" x14ac:dyDescent="0.35">
      <c r="A582">
        <v>580</v>
      </c>
      <c r="B582" t="s">
        <v>693</v>
      </c>
      <c r="C582">
        <v>46055</v>
      </c>
      <c r="D582" t="s">
        <v>16</v>
      </c>
      <c r="E582" t="s">
        <v>248</v>
      </c>
      <c r="F582" t="s">
        <v>226</v>
      </c>
      <c r="G582" t="s">
        <v>227</v>
      </c>
      <c r="H582" t="s">
        <v>228</v>
      </c>
      <c r="I582" t="s">
        <v>22</v>
      </c>
      <c r="J582" t="s">
        <v>23</v>
      </c>
      <c r="K582" t="s">
        <v>215</v>
      </c>
      <c r="L582" t="s">
        <v>247</v>
      </c>
      <c r="M582">
        <v>28</v>
      </c>
      <c r="N582">
        <v>62</v>
      </c>
      <c r="O582">
        <v>2</v>
      </c>
      <c r="P582">
        <v>2</v>
      </c>
      <c r="Q582">
        <v>0</v>
      </c>
      <c r="R582">
        <v>0.58169999999999999</v>
      </c>
      <c r="S582">
        <v>0.83909999999999996</v>
      </c>
      <c r="U582">
        <v>0.25739999999999996</v>
      </c>
      <c r="V582">
        <v>204.11545225634069</v>
      </c>
      <c r="W582">
        <v>44.227219534779159</v>
      </c>
      <c r="X582">
        <v>238.6379962780521</v>
      </c>
      <c r="Y582">
        <v>-18.762003721947877</v>
      </c>
      <c r="Z582">
        <v>-7.8621191991936987</v>
      </c>
    </row>
    <row r="583" spans="1:26" x14ac:dyDescent="0.35">
      <c r="A583">
        <v>581</v>
      </c>
      <c r="B583" t="s">
        <v>693</v>
      </c>
      <c r="C583">
        <v>46055</v>
      </c>
      <c r="D583" t="s">
        <v>16</v>
      </c>
      <c r="E583" t="s">
        <v>248</v>
      </c>
      <c r="F583" t="s">
        <v>226</v>
      </c>
      <c r="G583" t="s">
        <v>227</v>
      </c>
      <c r="H583" t="s">
        <v>228</v>
      </c>
      <c r="I583" t="s">
        <v>22</v>
      </c>
      <c r="J583" t="s">
        <v>23</v>
      </c>
      <c r="K583" t="s">
        <v>215</v>
      </c>
      <c r="L583" t="s">
        <v>247</v>
      </c>
      <c r="M583">
        <v>28</v>
      </c>
      <c r="N583">
        <v>62</v>
      </c>
      <c r="O583">
        <v>2</v>
      </c>
      <c r="P583">
        <v>3</v>
      </c>
      <c r="Q583">
        <v>0</v>
      </c>
      <c r="R583">
        <v>0.61170000000000002</v>
      </c>
      <c r="S583">
        <v>0.9587</v>
      </c>
      <c r="U583">
        <v>0.34699999999999998</v>
      </c>
      <c r="V583">
        <v>114.70005843724323</v>
      </c>
      <c r="W583">
        <v>24.842981139200763</v>
      </c>
      <c r="X583">
        <v>238.73345147656332</v>
      </c>
      <c r="Y583">
        <v>-108.26654852343668</v>
      </c>
      <c r="Z583">
        <v>-45.350388834832103</v>
      </c>
    </row>
    <row r="584" spans="1:26" x14ac:dyDescent="0.35">
      <c r="A584">
        <v>582</v>
      </c>
      <c r="B584" t="s">
        <v>693</v>
      </c>
      <c r="C584">
        <v>46055</v>
      </c>
      <c r="D584" t="s">
        <v>16</v>
      </c>
      <c r="E584" t="s">
        <v>250</v>
      </c>
      <c r="F584" t="s">
        <v>219</v>
      </c>
      <c r="G584" t="s">
        <v>220</v>
      </c>
      <c r="H584" t="s">
        <v>221</v>
      </c>
      <c r="I584" t="s">
        <v>22</v>
      </c>
      <c r="J584" t="s">
        <v>23</v>
      </c>
      <c r="K584" t="s">
        <v>215</v>
      </c>
      <c r="L584" t="s">
        <v>249</v>
      </c>
      <c r="M584">
        <v>28</v>
      </c>
      <c r="N584">
        <v>62</v>
      </c>
      <c r="O584">
        <v>2</v>
      </c>
      <c r="P584">
        <v>1</v>
      </c>
      <c r="Q584">
        <v>0</v>
      </c>
      <c r="R584">
        <v>0.5837</v>
      </c>
      <c r="S584">
        <v>0.9536</v>
      </c>
      <c r="U584">
        <v>0.36990000000000001</v>
      </c>
      <c r="V584">
        <v>84.804499100180124</v>
      </c>
      <c r="W584">
        <v>18.650464041592002</v>
      </c>
      <c r="X584">
        <v>223.46335935010211</v>
      </c>
      <c r="Y584">
        <v>-146.43664064989792</v>
      </c>
      <c r="Z584">
        <v>-65.530492818052693</v>
      </c>
    </row>
    <row r="585" spans="1:26" x14ac:dyDescent="0.35">
      <c r="A585">
        <v>583</v>
      </c>
      <c r="B585" t="s">
        <v>693</v>
      </c>
      <c r="C585">
        <v>46055</v>
      </c>
      <c r="D585" t="s">
        <v>16</v>
      </c>
      <c r="E585" t="s">
        <v>250</v>
      </c>
      <c r="F585" t="s">
        <v>219</v>
      </c>
      <c r="G585" t="s">
        <v>220</v>
      </c>
      <c r="H585" t="s">
        <v>221</v>
      </c>
      <c r="I585" t="s">
        <v>22</v>
      </c>
      <c r="J585" t="s">
        <v>23</v>
      </c>
      <c r="K585" t="s">
        <v>215</v>
      </c>
      <c r="L585" t="s">
        <v>249</v>
      </c>
      <c r="M585">
        <v>28</v>
      </c>
      <c r="N585">
        <v>62</v>
      </c>
      <c r="O585">
        <v>2</v>
      </c>
      <c r="P585">
        <v>2</v>
      </c>
      <c r="Q585">
        <v>0</v>
      </c>
      <c r="R585">
        <v>0.58309999999999995</v>
      </c>
      <c r="S585">
        <v>0.91620000000000001</v>
      </c>
      <c r="U585">
        <v>0.33310000000000006</v>
      </c>
      <c r="V585">
        <v>122.15014449910035</v>
      </c>
      <c r="W585">
        <v>26.831434536610395</v>
      </c>
      <c r="X585">
        <v>223.73151538132228</v>
      </c>
      <c r="Y585">
        <v>-109.3684846186778</v>
      </c>
      <c r="Z585">
        <v>-48.883808091261947</v>
      </c>
    </row>
    <row r="586" spans="1:26" x14ac:dyDescent="0.35">
      <c r="A586">
        <v>584</v>
      </c>
      <c r="B586" t="s">
        <v>693</v>
      </c>
      <c r="C586">
        <v>46055</v>
      </c>
      <c r="D586" t="s">
        <v>16</v>
      </c>
      <c r="E586" t="s">
        <v>250</v>
      </c>
      <c r="F586" t="s">
        <v>219</v>
      </c>
      <c r="G586" t="s">
        <v>220</v>
      </c>
      <c r="H586" t="s">
        <v>221</v>
      </c>
      <c r="I586" t="s">
        <v>22</v>
      </c>
      <c r="J586" t="s">
        <v>23</v>
      </c>
      <c r="K586" t="s">
        <v>215</v>
      </c>
      <c r="L586" t="s">
        <v>249</v>
      </c>
      <c r="M586">
        <v>28</v>
      </c>
      <c r="N586">
        <v>62</v>
      </c>
      <c r="O586">
        <v>2</v>
      </c>
      <c r="P586">
        <v>3</v>
      </c>
      <c r="Q586">
        <v>0</v>
      </c>
      <c r="R586">
        <v>0.5917</v>
      </c>
      <c r="S586">
        <v>0.94120000000000004</v>
      </c>
      <c r="U586">
        <v>0.34950000000000003</v>
      </c>
      <c r="V586">
        <v>105.65920359928026</v>
      </c>
      <c r="W586">
        <v>23.21368056797596</v>
      </c>
      <c r="X586">
        <v>223.6868227094522</v>
      </c>
      <c r="Y586">
        <v>-125.81317729054786</v>
      </c>
      <c r="Z586">
        <v>-56.245234192434815</v>
      </c>
    </row>
    <row r="587" spans="1:26" x14ac:dyDescent="0.35">
      <c r="A587">
        <v>585</v>
      </c>
      <c r="B587" t="s">
        <v>693</v>
      </c>
      <c r="C587">
        <v>46055</v>
      </c>
      <c r="D587" t="s">
        <v>16</v>
      </c>
      <c r="E587" t="s">
        <v>252</v>
      </c>
      <c r="F587" t="s">
        <v>219</v>
      </c>
      <c r="G587" t="s">
        <v>253</v>
      </c>
      <c r="H587" t="s">
        <v>254</v>
      </c>
      <c r="I587" t="s">
        <v>22</v>
      </c>
      <c r="J587" t="s">
        <v>23</v>
      </c>
      <c r="K587" t="s">
        <v>215</v>
      </c>
      <c r="L587" t="s">
        <v>251</v>
      </c>
      <c r="M587">
        <v>28</v>
      </c>
      <c r="N587">
        <v>62</v>
      </c>
      <c r="O587">
        <v>2</v>
      </c>
      <c r="P587">
        <v>1</v>
      </c>
      <c r="Q587">
        <v>0</v>
      </c>
      <c r="R587">
        <v>0.59740000000000004</v>
      </c>
      <c r="S587">
        <v>0.88670000000000004</v>
      </c>
      <c r="U587">
        <v>0.2893</v>
      </c>
      <c r="V587">
        <v>171.44520734411583</v>
      </c>
      <c r="W587">
        <v>37.210415781073749</v>
      </c>
      <c r="X587">
        <v>222.6156980595745</v>
      </c>
      <c r="Y587">
        <v>-66.684301940425513</v>
      </c>
      <c r="Z587">
        <v>-29.954896497272188</v>
      </c>
    </row>
    <row r="588" spans="1:26" x14ac:dyDescent="0.35">
      <c r="A588">
        <v>586</v>
      </c>
      <c r="B588" t="s">
        <v>694</v>
      </c>
      <c r="C588">
        <v>46055</v>
      </c>
      <c r="D588" t="s">
        <v>16</v>
      </c>
      <c r="E588" t="s">
        <v>252</v>
      </c>
      <c r="F588" t="s">
        <v>219</v>
      </c>
      <c r="G588" t="s">
        <v>253</v>
      </c>
      <c r="H588" t="s">
        <v>254</v>
      </c>
      <c r="I588" t="s">
        <v>22</v>
      </c>
      <c r="J588" t="s">
        <v>23</v>
      </c>
      <c r="K588" t="s">
        <v>215</v>
      </c>
      <c r="L588" t="s">
        <v>251</v>
      </c>
      <c r="M588">
        <v>28</v>
      </c>
      <c r="N588">
        <v>62</v>
      </c>
      <c r="O588">
        <v>2</v>
      </c>
      <c r="P588">
        <v>2</v>
      </c>
      <c r="Q588">
        <v>0</v>
      </c>
      <c r="R588">
        <v>0.56440000000000001</v>
      </c>
      <c r="S588">
        <v>0.86399999999999999</v>
      </c>
      <c r="U588">
        <v>0.29959999999999998</v>
      </c>
      <c r="V588">
        <v>161.14520734411587</v>
      </c>
      <c r="W588">
        <v>34.974906906359131</v>
      </c>
      <c r="X588">
        <v>222.6156980595745</v>
      </c>
      <c r="Y588">
        <v>-76.984301940425468</v>
      </c>
      <c r="Z588">
        <v>-34.58170408082524</v>
      </c>
    </row>
    <row r="589" spans="1:26" x14ac:dyDescent="0.35">
      <c r="A589">
        <v>587</v>
      </c>
      <c r="B589" t="s">
        <v>694</v>
      </c>
      <c r="C589">
        <v>46055</v>
      </c>
      <c r="D589" t="s">
        <v>16</v>
      </c>
      <c r="E589" t="s">
        <v>252</v>
      </c>
      <c r="F589" t="s">
        <v>219</v>
      </c>
      <c r="G589" t="s">
        <v>253</v>
      </c>
      <c r="H589" t="s">
        <v>254</v>
      </c>
      <c r="I589" t="s">
        <v>22</v>
      </c>
      <c r="J589" t="s">
        <v>23</v>
      </c>
      <c r="K589" t="s">
        <v>215</v>
      </c>
      <c r="L589" t="s">
        <v>251</v>
      </c>
      <c r="M589">
        <v>28</v>
      </c>
      <c r="N589">
        <v>62</v>
      </c>
      <c r="O589">
        <v>2</v>
      </c>
      <c r="P589">
        <v>3</v>
      </c>
      <c r="Q589">
        <v>0</v>
      </c>
      <c r="R589">
        <v>0.57550000000000001</v>
      </c>
      <c r="S589">
        <v>0.87949999999999995</v>
      </c>
      <c r="U589">
        <v>0.30399999999999994</v>
      </c>
      <c r="V589">
        <v>156.46903639066295</v>
      </c>
      <c r="W589">
        <v>33.98036002966208</v>
      </c>
      <c r="X589">
        <v>222.48226207672164</v>
      </c>
      <c r="Y589">
        <v>-81.517737923278304</v>
      </c>
      <c r="Z589">
        <v>-36.640106569559876</v>
      </c>
    </row>
    <row r="590" spans="1:26" x14ac:dyDescent="0.35">
      <c r="A590">
        <v>588</v>
      </c>
      <c r="B590" t="s">
        <v>694</v>
      </c>
      <c r="C590">
        <v>46055</v>
      </c>
      <c r="D590" t="s">
        <v>16</v>
      </c>
      <c r="E590" t="s">
        <v>256</v>
      </c>
      <c r="F590" t="s">
        <v>219</v>
      </c>
      <c r="G590" t="s">
        <v>253</v>
      </c>
      <c r="H590" t="s">
        <v>254</v>
      </c>
      <c r="I590" t="s">
        <v>22</v>
      </c>
      <c r="J590" t="s">
        <v>23</v>
      </c>
      <c r="K590" t="s">
        <v>215</v>
      </c>
      <c r="L590" t="s">
        <v>255</v>
      </c>
      <c r="M590">
        <v>28</v>
      </c>
      <c r="N590">
        <v>62</v>
      </c>
      <c r="O590">
        <v>2</v>
      </c>
      <c r="P590">
        <v>1</v>
      </c>
      <c r="Q590">
        <v>0</v>
      </c>
      <c r="R590">
        <v>0.56440000000000001</v>
      </c>
      <c r="S590">
        <v>0.89329999999999998</v>
      </c>
      <c r="U590">
        <v>0.32889999999999997</v>
      </c>
      <c r="V590">
        <v>132.76892089901042</v>
      </c>
      <c r="W590">
        <v>28.758470602800983</v>
      </c>
      <c r="X590">
        <v>229.12608577450695</v>
      </c>
      <c r="Y590">
        <v>-99.77391422549303</v>
      </c>
      <c r="Z590">
        <v>-43.545419059654748</v>
      </c>
    </row>
    <row r="591" spans="1:26" x14ac:dyDescent="0.35">
      <c r="A591">
        <v>589</v>
      </c>
      <c r="B591" t="s">
        <v>694</v>
      </c>
      <c r="C591">
        <v>46055</v>
      </c>
      <c r="D591" t="s">
        <v>16</v>
      </c>
      <c r="E591" t="s">
        <v>256</v>
      </c>
      <c r="F591" t="s">
        <v>219</v>
      </c>
      <c r="G591" t="s">
        <v>253</v>
      </c>
      <c r="H591" t="s">
        <v>254</v>
      </c>
      <c r="I591" t="s">
        <v>22</v>
      </c>
      <c r="J591" t="s">
        <v>23</v>
      </c>
      <c r="K591" t="s">
        <v>215</v>
      </c>
      <c r="L591" t="s">
        <v>255</v>
      </c>
      <c r="M591">
        <v>28</v>
      </c>
      <c r="N591">
        <v>62</v>
      </c>
      <c r="O591">
        <v>2</v>
      </c>
      <c r="P591">
        <v>2</v>
      </c>
      <c r="Q591">
        <v>0</v>
      </c>
      <c r="R591">
        <v>0.55700000000000005</v>
      </c>
      <c r="S591">
        <v>0.79290000000000005</v>
      </c>
      <c r="U591">
        <v>0.2359</v>
      </c>
      <c r="V591">
        <v>225.58447466613015</v>
      </c>
      <c r="W591">
        <v>48.882354022707609</v>
      </c>
      <c r="X591">
        <v>229.03454518889978</v>
      </c>
      <c r="Y591">
        <v>-6.8654548111002214</v>
      </c>
      <c r="Z591">
        <v>-2.9975630119193726</v>
      </c>
    </row>
    <row r="592" spans="1:26" x14ac:dyDescent="0.35">
      <c r="A592">
        <v>590</v>
      </c>
      <c r="B592" t="s">
        <v>694</v>
      </c>
      <c r="C592">
        <v>46055</v>
      </c>
      <c r="D592" t="s">
        <v>16</v>
      </c>
      <c r="E592" t="s">
        <v>256</v>
      </c>
      <c r="F592" t="s">
        <v>219</v>
      </c>
      <c r="G592" t="s">
        <v>253</v>
      </c>
      <c r="H592" t="s">
        <v>254</v>
      </c>
      <c r="I592" t="s">
        <v>22</v>
      </c>
      <c r="J592" t="s">
        <v>23</v>
      </c>
      <c r="K592" t="s">
        <v>215</v>
      </c>
      <c r="L592" t="s">
        <v>255</v>
      </c>
      <c r="M592">
        <v>28</v>
      </c>
      <c r="N592">
        <v>62</v>
      </c>
      <c r="O592">
        <v>2</v>
      </c>
      <c r="P592">
        <v>3</v>
      </c>
      <c r="Q592">
        <v>0</v>
      </c>
      <c r="R592">
        <v>0.5514</v>
      </c>
      <c r="S592">
        <v>0.75519999999999998</v>
      </c>
      <c r="U592">
        <v>0.20379999999999998</v>
      </c>
      <c r="V592">
        <v>257.50002843325001</v>
      </c>
      <c r="W592">
        <v>55.820509985186398</v>
      </c>
      <c r="X592">
        <v>228.94300460329271</v>
      </c>
      <c r="Y592">
        <v>25.143004603292724</v>
      </c>
      <c r="Z592">
        <v>10.982211335463147</v>
      </c>
    </row>
    <row r="593" spans="1:26" x14ac:dyDescent="0.35">
      <c r="A593">
        <v>591</v>
      </c>
      <c r="B593" t="s">
        <v>694</v>
      </c>
      <c r="C593">
        <v>46055</v>
      </c>
      <c r="D593" t="s">
        <v>16</v>
      </c>
      <c r="E593" t="s">
        <v>258</v>
      </c>
      <c r="F593" t="s">
        <v>259</v>
      </c>
      <c r="G593" t="s">
        <v>260</v>
      </c>
      <c r="H593" t="s">
        <v>261</v>
      </c>
      <c r="I593" t="s">
        <v>22</v>
      </c>
      <c r="J593" t="s">
        <v>23</v>
      </c>
      <c r="K593" t="s">
        <v>215</v>
      </c>
      <c r="L593" t="s">
        <v>257</v>
      </c>
      <c r="M593">
        <v>28</v>
      </c>
      <c r="N593">
        <v>62</v>
      </c>
      <c r="O593">
        <v>2</v>
      </c>
      <c r="P593">
        <v>1</v>
      </c>
      <c r="Q593">
        <v>0</v>
      </c>
      <c r="R593">
        <v>0.5776</v>
      </c>
      <c r="S593">
        <v>0.95909999999999995</v>
      </c>
      <c r="U593">
        <v>0.38149999999999995</v>
      </c>
      <c r="V593">
        <v>75.805696943416876</v>
      </c>
      <c r="W593">
        <v>16.576591424531596</v>
      </c>
      <c r="X593">
        <v>262.73935830514961</v>
      </c>
      <c r="Y593">
        <v>-118.76064169485034</v>
      </c>
      <c r="Z593">
        <v>-45.200933145661359</v>
      </c>
    </row>
    <row r="594" spans="1:26" x14ac:dyDescent="0.35">
      <c r="A594">
        <v>592</v>
      </c>
      <c r="B594" t="s">
        <v>694</v>
      </c>
      <c r="C594">
        <v>46055</v>
      </c>
      <c r="D594" t="s">
        <v>16</v>
      </c>
      <c r="E594" t="s">
        <v>258</v>
      </c>
      <c r="F594" t="s">
        <v>259</v>
      </c>
      <c r="G594" t="s">
        <v>260</v>
      </c>
      <c r="H594" t="s">
        <v>261</v>
      </c>
      <c r="I594" t="s">
        <v>22</v>
      </c>
      <c r="J594" t="s">
        <v>23</v>
      </c>
      <c r="K594" t="s">
        <v>215</v>
      </c>
      <c r="L594" t="s">
        <v>257</v>
      </c>
      <c r="M594">
        <v>28</v>
      </c>
      <c r="N594">
        <v>62</v>
      </c>
      <c r="O594">
        <v>2</v>
      </c>
      <c r="P594">
        <v>2</v>
      </c>
      <c r="Q594">
        <v>0</v>
      </c>
      <c r="R594">
        <v>0.56779999999999997</v>
      </c>
      <c r="S594">
        <v>0.90980000000000005</v>
      </c>
      <c r="U594">
        <v>0.34200000000000008</v>
      </c>
      <c r="V594">
        <v>115.57991583025074</v>
      </c>
      <c r="W594">
        <v>25.258957360604008</v>
      </c>
      <c r="X594">
        <v>262.89690739068141</v>
      </c>
      <c r="Y594">
        <v>-79.103092609318651</v>
      </c>
      <c r="Z594">
        <v>-30.089016030822478</v>
      </c>
    </row>
    <row r="595" spans="1:26" x14ac:dyDescent="0.35">
      <c r="A595">
        <v>593</v>
      </c>
      <c r="B595" t="s">
        <v>694</v>
      </c>
      <c r="C595">
        <v>46055</v>
      </c>
      <c r="D595" t="s">
        <v>16</v>
      </c>
      <c r="E595" t="s">
        <v>258</v>
      </c>
      <c r="F595" t="s">
        <v>259</v>
      </c>
      <c r="G595" t="s">
        <v>260</v>
      </c>
      <c r="H595" t="s">
        <v>261</v>
      </c>
      <c r="I595" t="s">
        <v>22</v>
      </c>
      <c r="J595" t="s">
        <v>23</v>
      </c>
      <c r="K595" t="s">
        <v>215</v>
      </c>
      <c r="L595" t="s">
        <v>257</v>
      </c>
      <c r="M595">
        <v>28</v>
      </c>
      <c r="N595">
        <v>62</v>
      </c>
      <c r="O595">
        <v>2</v>
      </c>
      <c r="P595">
        <v>3</v>
      </c>
      <c r="Q595">
        <v>0</v>
      </c>
      <c r="R595">
        <v>0.58069999999999999</v>
      </c>
      <c r="S595">
        <v>0.90310000000000001</v>
      </c>
      <c r="U595">
        <v>0.32240000000000002</v>
      </c>
      <c r="V595">
        <v>135.17991583025076</v>
      </c>
      <c r="W595">
        <v>29.542362143446589</v>
      </c>
      <c r="X595">
        <v>262.89690739068141</v>
      </c>
      <c r="Y595">
        <v>-59.503092609318628</v>
      </c>
      <c r="Z595">
        <v>-22.63362212964083</v>
      </c>
    </row>
    <row r="596" spans="1:26" x14ac:dyDescent="0.35">
      <c r="A596">
        <v>594</v>
      </c>
      <c r="B596" t="s">
        <v>694</v>
      </c>
      <c r="C596">
        <v>46055</v>
      </c>
      <c r="D596" t="s">
        <v>16</v>
      </c>
      <c r="E596" t="s">
        <v>263</v>
      </c>
      <c r="F596" t="s">
        <v>264</v>
      </c>
      <c r="G596" t="s">
        <v>265</v>
      </c>
      <c r="H596" t="s">
        <v>266</v>
      </c>
      <c r="I596" t="s">
        <v>22</v>
      </c>
      <c r="J596" t="s">
        <v>23</v>
      </c>
      <c r="K596" t="s">
        <v>215</v>
      </c>
      <c r="L596" t="s">
        <v>262</v>
      </c>
      <c r="M596">
        <v>28</v>
      </c>
      <c r="N596">
        <v>62</v>
      </c>
      <c r="O596">
        <v>2</v>
      </c>
      <c r="P596">
        <v>1</v>
      </c>
      <c r="Q596">
        <v>0</v>
      </c>
      <c r="R596">
        <v>0.58120000000000005</v>
      </c>
      <c r="S596">
        <v>0.89970000000000006</v>
      </c>
      <c r="U596">
        <v>0.31850000000000001</v>
      </c>
      <c r="V596">
        <v>135.28425018639803</v>
      </c>
      <c r="W596">
        <v>29.812460465701086</v>
      </c>
      <c r="X596">
        <v>243.08746805521375</v>
      </c>
      <c r="Y596">
        <v>-75.412531944786252</v>
      </c>
      <c r="Z596">
        <v>-31.022797081278338</v>
      </c>
    </row>
    <row r="597" spans="1:26" x14ac:dyDescent="0.35">
      <c r="A597">
        <v>595</v>
      </c>
      <c r="B597" t="s">
        <v>694</v>
      </c>
      <c r="C597">
        <v>46055</v>
      </c>
      <c r="D597" t="s">
        <v>16</v>
      </c>
      <c r="E597" t="s">
        <v>263</v>
      </c>
      <c r="F597" t="s">
        <v>264</v>
      </c>
      <c r="G597" t="s">
        <v>265</v>
      </c>
      <c r="H597" t="s">
        <v>266</v>
      </c>
      <c r="I597" t="s">
        <v>22</v>
      </c>
      <c r="J597" t="s">
        <v>23</v>
      </c>
      <c r="K597" t="s">
        <v>215</v>
      </c>
      <c r="L597" t="s">
        <v>262</v>
      </c>
      <c r="M597">
        <v>28</v>
      </c>
      <c r="N597">
        <v>62</v>
      </c>
      <c r="O597">
        <v>2</v>
      </c>
      <c r="P597">
        <v>2</v>
      </c>
      <c r="Q597">
        <v>0</v>
      </c>
      <c r="R597">
        <v>0.58069999999999999</v>
      </c>
      <c r="S597">
        <v>0.92330000000000001</v>
      </c>
      <c r="U597">
        <v>0.34260000000000002</v>
      </c>
      <c r="V597">
        <v>111.27500703643528</v>
      </c>
      <c r="W597">
        <v>24.516663246782954</v>
      </c>
      <c r="X597">
        <v>243.13608554882481</v>
      </c>
      <c r="Y597">
        <v>-99.463914451175214</v>
      </c>
      <c r="Z597">
        <v>-40.908742207746698</v>
      </c>
    </row>
    <row r="598" spans="1:26" x14ac:dyDescent="0.35">
      <c r="A598">
        <v>596</v>
      </c>
      <c r="B598" t="s">
        <v>694</v>
      </c>
      <c r="C598">
        <v>46055</v>
      </c>
      <c r="D598" t="s">
        <v>16</v>
      </c>
      <c r="E598" t="s">
        <v>263</v>
      </c>
      <c r="F598" t="s">
        <v>264</v>
      </c>
      <c r="G598" t="s">
        <v>265</v>
      </c>
      <c r="H598" t="s">
        <v>266</v>
      </c>
      <c r="I598" t="s">
        <v>22</v>
      </c>
      <c r="J598" t="s">
        <v>23</v>
      </c>
      <c r="K598" t="s">
        <v>215</v>
      </c>
      <c r="L598" t="s">
        <v>262</v>
      </c>
      <c r="M598">
        <v>28</v>
      </c>
      <c r="N598">
        <v>62</v>
      </c>
      <c r="O598">
        <v>2</v>
      </c>
      <c r="P598">
        <v>3</v>
      </c>
      <c r="Q598">
        <v>0</v>
      </c>
      <c r="R598">
        <v>0.56169999999999998</v>
      </c>
      <c r="S598">
        <v>0.85309999999999997</v>
      </c>
      <c r="U598">
        <v>0.29139999999999999</v>
      </c>
      <c r="V598">
        <v>162.74727758654717</v>
      </c>
      <c r="W598">
        <v>35.835792840469537</v>
      </c>
      <c r="X598">
        <v>243.28193802965794</v>
      </c>
      <c r="Y598">
        <v>-48.11806197034204</v>
      </c>
      <c r="Z598">
        <v>-19.7787235501536</v>
      </c>
    </row>
    <row r="599" spans="1:26" x14ac:dyDescent="0.35">
      <c r="A599">
        <v>597</v>
      </c>
      <c r="B599" t="s">
        <v>694</v>
      </c>
      <c r="C599">
        <v>46055</v>
      </c>
      <c r="D599" t="s">
        <v>16</v>
      </c>
      <c r="E599" t="s">
        <v>268</v>
      </c>
      <c r="F599" t="s">
        <v>269</v>
      </c>
      <c r="G599" t="s">
        <v>270</v>
      </c>
      <c r="H599" t="s">
        <v>271</v>
      </c>
      <c r="I599" t="s">
        <v>22</v>
      </c>
      <c r="J599" t="s">
        <v>23</v>
      </c>
      <c r="K599" t="s">
        <v>215</v>
      </c>
      <c r="L599" t="s">
        <v>267</v>
      </c>
      <c r="M599">
        <v>28</v>
      </c>
      <c r="N599">
        <v>62</v>
      </c>
      <c r="O599">
        <v>2</v>
      </c>
      <c r="P599">
        <v>1</v>
      </c>
      <c r="Q599">
        <v>0</v>
      </c>
      <c r="R599">
        <v>0.56410000000000005</v>
      </c>
      <c r="S599">
        <v>0.78210000000000002</v>
      </c>
      <c r="U599">
        <v>0.21799999999999997</v>
      </c>
      <c r="V599">
        <v>238.84349195241427</v>
      </c>
      <c r="W599">
        <v>52.281250835306345</v>
      </c>
      <c r="X599">
        <v>250.7082498188403</v>
      </c>
      <c r="Y599">
        <v>32.708249818840329</v>
      </c>
      <c r="Z599">
        <v>13.046339656742465</v>
      </c>
    </row>
    <row r="600" spans="1:26" x14ac:dyDescent="0.35">
      <c r="A600">
        <v>598</v>
      </c>
      <c r="B600" t="s">
        <v>694</v>
      </c>
      <c r="C600">
        <v>46055</v>
      </c>
      <c r="D600" t="s">
        <v>16</v>
      </c>
      <c r="E600" t="s">
        <v>268</v>
      </c>
      <c r="F600" t="s">
        <v>269</v>
      </c>
      <c r="G600" t="s">
        <v>270</v>
      </c>
      <c r="H600" t="s">
        <v>271</v>
      </c>
      <c r="I600" t="s">
        <v>22</v>
      </c>
      <c r="J600" t="s">
        <v>23</v>
      </c>
      <c r="K600" t="s">
        <v>215</v>
      </c>
      <c r="L600" t="s">
        <v>267</v>
      </c>
      <c r="M600">
        <v>28</v>
      </c>
      <c r="N600">
        <v>62</v>
      </c>
      <c r="O600">
        <v>2</v>
      </c>
      <c r="P600">
        <v>2</v>
      </c>
      <c r="Q600">
        <v>0</v>
      </c>
      <c r="R600">
        <v>0.56279999999999997</v>
      </c>
      <c r="S600">
        <v>0.97160000000000002</v>
      </c>
      <c r="U600">
        <v>0.40880000000000005</v>
      </c>
      <c r="V600">
        <v>47.860864132325275</v>
      </c>
      <c r="W600">
        <v>10.480614366475855</v>
      </c>
      <c r="X600">
        <v>250.60802665281241</v>
      </c>
      <c r="Y600">
        <v>-158.19197334718766</v>
      </c>
      <c r="Z600">
        <v>-63.12326682430799</v>
      </c>
    </row>
    <row r="601" spans="1:26" x14ac:dyDescent="0.35">
      <c r="A601">
        <v>599</v>
      </c>
      <c r="B601" t="s">
        <v>694</v>
      </c>
      <c r="C601">
        <v>46055</v>
      </c>
      <c r="D601" t="s">
        <v>16</v>
      </c>
      <c r="E601" t="s">
        <v>268</v>
      </c>
      <c r="F601" t="s">
        <v>269</v>
      </c>
      <c r="G601" t="s">
        <v>270</v>
      </c>
      <c r="H601" t="s">
        <v>271</v>
      </c>
      <c r="I601" t="s">
        <v>22</v>
      </c>
      <c r="J601" t="s">
        <v>23</v>
      </c>
      <c r="K601" t="s">
        <v>215</v>
      </c>
      <c r="L601" t="s">
        <v>267</v>
      </c>
      <c r="M601">
        <v>28</v>
      </c>
      <c r="N601">
        <v>62</v>
      </c>
      <c r="O601">
        <v>2</v>
      </c>
      <c r="P601">
        <v>3</v>
      </c>
      <c r="Q601">
        <v>0</v>
      </c>
      <c r="R601">
        <v>0.56789999999999996</v>
      </c>
      <c r="S601">
        <v>0.82469999999999999</v>
      </c>
      <c r="U601">
        <v>0.25680000000000003</v>
      </c>
      <c r="V601">
        <v>200.31743368254763</v>
      </c>
      <c r="W601">
        <v>43.821875719940536</v>
      </c>
      <c r="X601">
        <v>250.85858456788222</v>
      </c>
      <c r="Y601">
        <v>-5.9414154321177932</v>
      </c>
      <c r="Z601">
        <v>-2.368432175582992</v>
      </c>
    </row>
    <row r="602" spans="1:26" x14ac:dyDescent="0.35">
      <c r="A602">
        <v>600</v>
      </c>
      <c r="B602" t="s">
        <v>694</v>
      </c>
      <c r="C602">
        <v>46055</v>
      </c>
      <c r="D602" t="s">
        <v>16</v>
      </c>
      <c r="E602" t="s">
        <v>273</v>
      </c>
      <c r="F602" t="s">
        <v>235</v>
      </c>
      <c r="G602" t="s">
        <v>274</v>
      </c>
      <c r="H602" t="s">
        <v>275</v>
      </c>
      <c r="I602" t="s">
        <v>22</v>
      </c>
      <c r="J602" t="s">
        <v>23</v>
      </c>
      <c r="K602" t="s">
        <v>215</v>
      </c>
      <c r="L602" t="s">
        <v>272</v>
      </c>
      <c r="M602">
        <v>28</v>
      </c>
      <c r="N602">
        <v>62</v>
      </c>
      <c r="O602">
        <v>2</v>
      </c>
      <c r="P602">
        <v>1</v>
      </c>
      <c r="Q602">
        <v>0</v>
      </c>
      <c r="R602">
        <v>0.58679999999999999</v>
      </c>
      <c r="S602">
        <v>0.86799999999999999</v>
      </c>
      <c r="U602">
        <v>0.28120000000000001</v>
      </c>
      <c r="V602">
        <v>170.25794322967732</v>
      </c>
      <c r="W602">
        <v>37.712913413743905</v>
      </c>
      <c r="X602">
        <v>234.55599014335647</v>
      </c>
      <c r="Y602">
        <v>-46.644009856643521</v>
      </c>
      <c r="Z602">
        <v>-19.886087679165872</v>
      </c>
    </row>
    <row r="603" spans="1:26" x14ac:dyDescent="0.35">
      <c r="A603">
        <v>601</v>
      </c>
      <c r="B603" t="s">
        <v>694</v>
      </c>
      <c r="C603">
        <v>46055</v>
      </c>
      <c r="D603" t="s">
        <v>16</v>
      </c>
      <c r="E603" t="s">
        <v>273</v>
      </c>
      <c r="F603" t="s">
        <v>235</v>
      </c>
      <c r="G603" t="s">
        <v>274</v>
      </c>
      <c r="H603" t="s">
        <v>275</v>
      </c>
      <c r="I603" t="s">
        <v>22</v>
      </c>
      <c r="J603" t="s">
        <v>23</v>
      </c>
      <c r="K603" t="s">
        <v>215</v>
      </c>
      <c r="L603" t="s">
        <v>272</v>
      </c>
      <c r="M603">
        <v>28</v>
      </c>
      <c r="N603">
        <v>62</v>
      </c>
      <c r="O603">
        <v>2</v>
      </c>
      <c r="P603">
        <v>2</v>
      </c>
      <c r="Q603">
        <v>0</v>
      </c>
      <c r="R603">
        <v>0.61040000000000005</v>
      </c>
      <c r="S603">
        <v>0.9012</v>
      </c>
      <c r="U603">
        <v>0.29079999999999995</v>
      </c>
      <c r="V603">
        <v>160.83845420258001</v>
      </c>
      <c r="W603">
        <v>35.612214306808518</v>
      </c>
      <c r="X603">
        <v>234.64977502546094</v>
      </c>
      <c r="Y603">
        <v>-56.150224974539015</v>
      </c>
      <c r="Z603">
        <v>-23.929375158551235</v>
      </c>
    </row>
    <row r="604" spans="1:26" x14ac:dyDescent="0.35">
      <c r="A604">
        <v>602</v>
      </c>
      <c r="B604" t="s">
        <v>694</v>
      </c>
      <c r="C604">
        <v>46055</v>
      </c>
      <c r="D604" t="s">
        <v>16</v>
      </c>
      <c r="E604" t="s">
        <v>273</v>
      </c>
      <c r="F604" t="s">
        <v>235</v>
      </c>
      <c r="G604" t="s">
        <v>274</v>
      </c>
      <c r="H604" t="s">
        <v>275</v>
      </c>
      <c r="I604" t="s">
        <v>22</v>
      </c>
      <c r="J604" t="s">
        <v>23</v>
      </c>
      <c r="K604" t="s">
        <v>215</v>
      </c>
      <c r="L604" t="s">
        <v>272</v>
      </c>
      <c r="M604">
        <v>28</v>
      </c>
      <c r="N604">
        <v>62</v>
      </c>
      <c r="O604">
        <v>2</v>
      </c>
      <c r="P604">
        <v>3</v>
      </c>
      <c r="Q604">
        <v>0</v>
      </c>
      <c r="R604">
        <v>0.58209999999999995</v>
      </c>
      <c r="S604">
        <v>0.8468</v>
      </c>
      <c r="U604">
        <v>0.26470000000000005</v>
      </c>
      <c r="V604">
        <v>186.66768774322594</v>
      </c>
      <c r="W604">
        <v>41.356014799494787</v>
      </c>
      <c r="X604">
        <v>234.50909770230425</v>
      </c>
      <c r="Y604">
        <v>-30.1909022976958</v>
      </c>
      <c r="Z604">
        <v>-12.874085736333098</v>
      </c>
    </row>
    <row r="605" spans="1:26" x14ac:dyDescent="0.35">
      <c r="A605">
        <v>603</v>
      </c>
      <c r="B605" t="s">
        <v>694</v>
      </c>
      <c r="C605">
        <v>46055</v>
      </c>
      <c r="D605" t="s">
        <v>16</v>
      </c>
      <c r="E605" t="s">
        <v>277</v>
      </c>
      <c r="F605" t="s">
        <v>269</v>
      </c>
      <c r="G605" t="s">
        <v>270</v>
      </c>
      <c r="H605" t="s">
        <v>271</v>
      </c>
      <c r="I605" t="s">
        <v>22</v>
      </c>
      <c r="J605" t="s">
        <v>23</v>
      </c>
      <c r="K605" t="s">
        <v>215</v>
      </c>
      <c r="L605" t="s">
        <v>276</v>
      </c>
      <c r="M605">
        <v>28</v>
      </c>
      <c r="N605">
        <v>62</v>
      </c>
      <c r="O605">
        <v>2</v>
      </c>
      <c r="P605">
        <v>1</v>
      </c>
      <c r="Q605">
        <v>0</v>
      </c>
      <c r="R605">
        <v>0.57420000000000004</v>
      </c>
      <c r="S605">
        <v>0.99509999999999998</v>
      </c>
      <c r="U605">
        <v>0.42089999999999994</v>
      </c>
      <c r="V605">
        <v>39.589026097390104</v>
      </c>
      <c r="W605">
        <v>8.5971703675338649</v>
      </c>
      <c r="X605">
        <v>230.2085800953364</v>
      </c>
      <c r="Y605">
        <v>-190.69141990466352</v>
      </c>
      <c r="Z605">
        <v>-82.834193158957135</v>
      </c>
    </row>
    <row r="606" spans="1:26" x14ac:dyDescent="0.35">
      <c r="A606">
        <v>604</v>
      </c>
      <c r="B606" t="s">
        <v>694</v>
      </c>
      <c r="C606">
        <v>46055</v>
      </c>
      <c r="D606" t="s">
        <v>16</v>
      </c>
      <c r="E606" t="s">
        <v>277</v>
      </c>
      <c r="F606" t="s">
        <v>269</v>
      </c>
      <c r="G606" t="s">
        <v>270</v>
      </c>
      <c r="H606" t="s">
        <v>271</v>
      </c>
      <c r="I606" t="s">
        <v>22</v>
      </c>
      <c r="J606" t="s">
        <v>23</v>
      </c>
      <c r="K606" t="s">
        <v>215</v>
      </c>
      <c r="L606" t="s">
        <v>276</v>
      </c>
      <c r="M606">
        <v>28</v>
      </c>
      <c r="N606">
        <v>62</v>
      </c>
      <c r="O606">
        <v>2</v>
      </c>
      <c r="P606">
        <v>2</v>
      </c>
      <c r="Q606">
        <v>0</v>
      </c>
      <c r="R606">
        <v>0.6109</v>
      </c>
      <c r="S606">
        <v>0.89059999999999995</v>
      </c>
      <c r="U606">
        <v>0.27969999999999995</v>
      </c>
      <c r="V606">
        <v>180.42100289970989</v>
      </c>
      <c r="W606">
        <v>39.21164253809021</v>
      </c>
      <c r="X606">
        <v>230.02459721414132</v>
      </c>
      <c r="Y606">
        <v>-49.675402785858608</v>
      </c>
      <c r="Z606">
        <v>-21.595691672753286</v>
      </c>
    </row>
    <row r="607" spans="1:26" x14ac:dyDescent="0.35">
      <c r="A607">
        <v>605</v>
      </c>
      <c r="B607" t="s">
        <v>694</v>
      </c>
      <c r="C607">
        <v>46055</v>
      </c>
      <c r="D607" t="s">
        <v>16</v>
      </c>
      <c r="E607" t="s">
        <v>277</v>
      </c>
      <c r="F607" t="s">
        <v>269</v>
      </c>
      <c r="G607" t="s">
        <v>270</v>
      </c>
      <c r="H607" t="s">
        <v>271</v>
      </c>
      <c r="I607" t="s">
        <v>22</v>
      </c>
      <c r="J607" t="s">
        <v>23</v>
      </c>
      <c r="K607" t="s">
        <v>215</v>
      </c>
      <c r="L607" t="s">
        <v>276</v>
      </c>
      <c r="M607">
        <v>28</v>
      </c>
      <c r="N607">
        <v>62</v>
      </c>
      <c r="O607">
        <v>2</v>
      </c>
      <c r="P607">
        <v>3</v>
      </c>
      <c r="Q607">
        <v>0</v>
      </c>
      <c r="R607">
        <v>0.59870000000000001</v>
      </c>
      <c r="S607">
        <v>0.90669999999999995</v>
      </c>
      <c r="U607">
        <v>0.30799999999999994</v>
      </c>
      <c r="V607">
        <v>152.12100289970988</v>
      </c>
      <c r="W607">
        <v>33.061086527464361</v>
      </c>
      <c r="X607">
        <v>230.02459721414132</v>
      </c>
      <c r="Y607">
        <v>-77.97540278585862</v>
      </c>
      <c r="Z607">
        <v>-33.898723758341134</v>
      </c>
    </row>
    <row r="608" spans="1:26" x14ac:dyDescent="0.35">
      <c r="A608">
        <v>606</v>
      </c>
      <c r="B608" t="s">
        <v>694</v>
      </c>
      <c r="C608">
        <v>46055</v>
      </c>
      <c r="D608" t="s">
        <v>16</v>
      </c>
      <c r="E608" t="s">
        <v>279</v>
      </c>
      <c r="F608" t="s">
        <v>269</v>
      </c>
      <c r="G608" t="s">
        <v>270</v>
      </c>
      <c r="H608" t="s">
        <v>271</v>
      </c>
      <c r="I608" t="s">
        <v>22</v>
      </c>
      <c r="J608" t="s">
        <v>23</v>
      </c>
      <c r="K608" t="s">
        <v>215</v>
      </c>
      <c r="L608" t="s">
        <v>278</v>
      </c>
      <c r="M608">
        <v>28</v>
      </c>
      <c r="N608">
        <v>62</v>
      </c>
      <c r="O608">
        <v>2</v>
      </c>
      <c r="P608">
        <v>1</v>
      </c>
      <c r="Q608">
        <v>0</v>
      </c>
      <c r="R608">
        <v>0.57520000000000004</v>
      </c>
      <c r="S608">
        <v>0.81820000000000004</v>
      </c>
      <c r="U608">
        <v>0.24299999999999999</v>
      </c>
      <c r="V608">
        <v>218.38973517171809</v>
      </c>
      <c r="W608">
        <v>47.333028570832575</v>
      </c>
      <c r="X608">
        <v>217.42102934250499</v>
      </c>
      <c r="Y608">
        <v>-25.578970657495006</v>
      </c>
      <c r="Z608">
        <v>-11.764717854039896</v>
      </c>
    </row>
    <row r="609" spans="1:26" x14ac:dyDescent="0.35">
      <c r="A609">
        <v>607</v>
      </c>
      <c r="B609" t="s">
        <v>694</v>
      </c>
      <c r="C609">
        <v>46055</v>
      </c>
      <c r="D609" t="s">
        <v>16</v>
      </c>
      <c r="E609" t="s">
        <v>279</v>
      </c>
      <c r="F609" t="s">
        <v>269</v>
      </c>
      <c r="G609" t="s">
        <v>270</v>
      </c>
      <c r="H609" t="s">
        <v>271</v>
      </c>
      <c r="I609" t="s">
        <v>22</v>
      </c>
      <c r="J609" t="s">
        <v>23</v>
      </c>
      <c r="K609" t="s">
        <v>215</v>
      </c>
      <c r="L609" t="s">
        <v>278</v>
      </c>
      <c r="M609">
        <v>28</v>
      </c>
      <c r="N609">
        <v>62</v>
      </c>
      <c r="O609">
        <v>2</v>
      </c>
      <c r="P609">
        <v>2</v>
      </c>
      <c r="Q609">
        <v>0</v>
      </c>
      <c r="R609">
        <v>0.60350000000000004</v>
      </c>
      <c r="S609">
        <v>0.84540000000000004</v>
      </c>
      <c r="U609">
        <v>0.2419</v>
      </c>
      <c r="V609">
        <v>219.48973517171808</v>
      </c>
      <c r="W609">
        <v>47.571438729565436</v>
      </c>
      <c r="X609">
        <v>217.42102934250499</v>
      </c>
      <c r="Y609">
        <v>-24.478970657495012</v>
      </c>
      <c r="Z609">
        <v>-11.258787032478402</v>
      </c>
    </row>
    <row r="610" spans="1:26" x14ac:dyDescent="0.35">
      <c r="A610">
        <v>608</v>
      </c>
      <c r="B610" t="s">
        <v>694</v>
      </c>
      <c r="C610">
        <v>46055</v>
      </c>
      <c r="D610" t="s">
        <v>16</v>
      </c>
      <c r="E610" t="s">
        <v>279</v>
      </c>
      <c r="F610" t="s">
        <v>269</v>
      </c>
      <c r="G610" t="s">
        <v>270</v>
      </c>
      <c r="H610" t="s">
        <v>271</v>
      </c>
      <c r="I610" t="s">
        <v>22</v>
      </c>
      <c r="J610" t="s">
        <v>23</v>
      </c>
      <c r="K610" t="s">
        <v>215</v>
      </c>
      <c r="L610" t="s">
        <v>278</v>
      </c>
      <c r="M610">
        <v>28</v>
      </c>
      <c r="N610">
        <v>62</v>
      </c>
      <c r="O610">
        <v>2</v>
      </c>
      <c r="P610">
        <v>3</v>
      </c>
      <c r="Q610">
        <v>0</v>
      </c>
      <c r="R610">
        <v>0.59160000000000001</v>
      </c>
      <c r="S610">
        <v>0.90990000000000004</v>
      </c>
      <c r="U610">
        <v>0.31830000000000003</v>
      </c>
      <c r="V610">
        <v>142.90540047928033</v>
      </c>
      <c r="W610">
        <v>30.985196689105194</v>
      </c>
      <c r="X610">
        <v>217.33416516777768</v>
      </c>
      <c r="Y610">
        <v>-100.96583483222233</v>
      </c>
      <c r="Z610">
        <v>-46.456494658480729</v>
      </c>
    </row>
    <row r="611" spans="1:26" x14ac:dyDescent="0.35">
      <c r="A611">
        <v>609</v>
      </c>
      <c r="B611" t="s">
        <v>694</v>
      </c>
      <c r="C611">
        <v>46055</v>
      </c>
      <c r="D611" t="s">
        <v>16</v>
      </c>
      <c r="E611" t="s">
        <v>281</v>
      </c>
      <c r="F611" t="s">
        <v>269</v>
      </c>
      <c r="G611" t="s">
        <v>282</v>
      </c>
      <c r="H611" t="s">
        <v>283</v>
      </c>
      <c r="I611" t="s">
        <v>22</v>
      </c>
      <c r="J611" t="s">
        <v>23</v>
      </c>
      <c r="K611" t="s">
        <v>215</v>
      </c>
      <c r="L611" t="s">
        <v>280</v>
      </c>
      <c r="M611">
        <v>28</v>
      </c>
      <c r="N611">
        <v>62</v>
      </c>
      <c r="O611">
        <v>2</v>
      </c>
      <c r="P611">
        <v>1</v>
      </c>
      <c r="Q611">
        <v>0</v>
      </c>
      <c r="R611">
        <v>0.59219999999999995</v>
      </c>
      <c r="S611">
        <v>0.80810000000000004</v>
      </c>
      <c r="U611">
        <v>0.21590000000000009</v>
      </c>
      <c r="V611">
        <v>240.0632110366891</v>
      </c>
      <c r="W611">
        <v>52.649688664766501</v>
      </c>
      <c r="X611">
        <v>226.72680975717611</v>
      </c>
      <c r="Y611">
        <v>10.826809757176022</v>
      </c>
      <c r="Z611">
        <v>4.775266660688037</v>
      </c>
    </row>
    <row r="612" spans="1:26" x14ac:dyDescent="0.35">
      <c r="A612">
        <v>610</v>
      </c>
      <c r="B612" t="s">
        <v>694</v>
      </c>
      <c r="C612">
        <v>46055</v>
      </c>
      <c r="D612" t="s">
        <v>16</v>
      </c>
      <c r="E612" t="s">
        <v>281</v>
      </c>
      <c r="F612" t="s">
        <v>269</v>
      </c>
      <c r="G612" t="s">
        <v>282</v>
      </c>
      <c r="H612" t="s">
        <v>283</v>
      </c>
      <c r="I612" t="s">
        <v>22</v>
      </c>
      <c r="J612" t="s">
        <v>23</v>
      </c>
      <c r="K612" t="s">
        <v>215</v>
      </c>
      <c r="L612" t="s">
        <v>280</v>
      </c>
      <c r="M612">
        <v>28</v>
      </c>
      <c r="N612">
        <v>62</v>
      </c>
      <c r="O612">
        <v>2</v>
      </c>
      <c r="P612">
        <v>2</v>
      </c>
      <c r="Q612">
        <v>0</v>
      </c>
      <c r="R612">
        <v>0.60209999999999997</v>
      </c>
      <c r="S612">
        <v>0.78549999999999998</v>
      </c>
      <c r="U612">
        <v>0.18340000000000001</v>
      </c>
      <c r="V612">
        <v>273.01917424772591</v>
      </c>
      <c r="W612">
        <v>59.81763905903351</v>
      </c>
      <c r="X612">
        <v>226.95353656693328</v>
      </c>
      <c r="Y612">
        <v>43.553536566933275</v>
      </c>
      <c r="Z612">
        <v>19.190507989325138</v>
      </c>
    </row>
    <row r="613" spans="1:26" x14ac:dyDescent="0.35">
      <c r="A613">
        <v>611</v>
      </c>
      <c r="B613" t="s">
        <v>694</v>
      </c>
      <c r="C613">
        <v>46055</v>
      </c>
      <c r="D613" t="s">
        <v>16</v>
      </c>
      <c r="E613" t="s">
        <v>281</v>
      </c>
      <c r="F613" t="s">
        <v>269</v>
      </c>
      <c r="G613" t="s">
        <v>282</v>
      </c>
      <c r="H613" t="s">
        <v>283</v>
      </c>
      <c r="I613" t="s">
        <v>22</v>
      </c>
      <c r="J613" t="s">
        <v>23</v>
      </c>
      <c r="K613" t="s">
        <v>215</v>
      </c>
      <c r="L613" t="s">
        <v>280</v>
      </c>
      <c r="M613">
        <v>28</v>
      </c>
      <c r="N613">
        <v>62</v>
      </c>
      <c r="O613">
        <v>2</v>
      </c>
      <c r="P613">
        <v>3</v>
      </c>
      <c r="Q613">
        <v>0</v>
      </c>
      <c r="R613">
        <v>0.5837</v>
      </c>
      <c r="S613">
        <v>0.83299999999999996</v>
      </c>
      <c r="U613">
        <v>0.24929999999999997</v>
      </c>
      <c r="V613">
        <v>206.75440367889661</v>
      </c>
      <c r="W613">
        <v>45.33546919206384</v>
      </c>
      <c r="X613">
        <v>226.77215511912758</v>
      </c>
      <c r="Y613">
        <v>-22.527844880872379</v>
      </c>
      <c r="Z613">
        <v>-9.9341318465832309</v>
      </c>
    </row>
    <row r="614" spans="1:26" x14ac:dyDescent="0.35">
      <c r="A614">
        <v>612</v>
      </c>
      <c r="B614" t="s">
        <v>694</v>
      </c>
      <c r="C614">
        <v>46055</v>
      </c>
      <c r="D614" t="s">
        <v>16</v>
      </c>
      <c r="E614" t="s">
        <v>285</v>
      </c>
      <c r="F614" t="s">
        <v>269</v>
      </c>
      <c r="G614" t="s">
        <v>282</v>
      </c>
      <c r="H614" t="s">
        <v>283</v>
      </c>
      <c r="I614" t="s">
        <v>22</v>
      </c>
      <c r="J614" t="s">
        <v>23</v>
      </c>
      <c r="K614" t="s">
        <v>215</v>
      </c>
      <c r="L614" t="s">
        <v>284</v>
      </c>
      <c r="M614">
        <v>28</v>
      </c>
      <c r="N614">
        <v>62</v>
      </c>
      <c r="O614">
        <v>2</v>
      </c>
      <c r="P614">
        <v>1</v>
      </c>
      <c r="Q614">
        <v>0</v>
      </c>
      <c r="R614">
        <v>0.58430000000000004</v>
      </c>
      <c r="S614">
        <v>0.84550000000000003</v>
      </c>
      <c r="U614">
        <v>0.26119999999999999</v>
      </c>
      <c r="V614">
        <v>206.39207379771864</v>
      </c>
      <c r="W614">
        <v>44.139343963089566</v>
      </c>
      <c r="X614">
        <v>263.94429912715242</v>
      </c>
      <c r="Y614">
        <v>2.7442991271524306</v>
      </c>
      <c r="Z614">
        <v>1.0397266151334426</v>
      </c>
    </row>
    <row r="615" spans="1:26" x14ac:dyDescent="0.35">
      <c r="A615">
        <v>613</v>
      </c>
      <c r="B615" t="s">
        <v>694</v>
      </c>
      <c r="C615">
        <v>46055</v>
      </c>
      <c r="D615" t="s">
        <v>16</v>
      </c>
      <c r="E615" t="s">
        <v>285</v>
      </c>
      <c r="F615" t="s">
        <v>269</v>
      </c>
      <c r="G615" t="s">
        <v>282</v>
      </c>
      <c r="H615" t="s">
        <v>283</v>
      </c>
      <c r="I615" t="s">
        <v>22</v>
      </c>
      <c r="J615" t="s">
        <v>23</v>
      </c>
      <c r="K615" t="s">
        <v>215</v>
      </c>
      <c r="L615" t="s">
        <v>284</v>
      </c>
      <c r="M615">
        <v>28</v>
      </c>
      <c r="N615">
        <v>62</v>
      </c>
      <c r="O615">
        <v>2</v>
      </c>
      <c r="P615">
        <v>2</v>
      </c>
      <c r="Q615">
        <v>0</v>
      </c>
      <c r="R615">
        <v>0.5897</v>
      </c>
      <c r="S615">
        <v>0.8589</v>
      </c>
      <c r="U615">
        <v>0.26919999999999999</v>
      </c>
      <c r="V615">
        <v>198.20526114338463</v>
      </c>
      <c r="W615">
        <v>42.405440764301055</v>
      </c>
      <c r="X615">
        <v>263.83884794891537</v>
      </c>
      <c r="Y615">
        <v>-5.3611520510846162</v>
      </c>
      <c r="Z615">
        <v>-2.0319797834027256</v>
      </c>
    </row>
    <row r="616" spans="1:26" x14ac:dyDescent="0.35">
      <c r="A616">
        <v>614</v>
      </c>
      <c r="B616" t="s">
        <v>694</v>
      </c>
      <c r="C616">
        <v>46055</v>
      </c>
      <c r="D616" t="s">
        <v>16</v>
      </c>
      <c r="E616" t="s">
        <v>285</v>
      </c>
      <c r="F616" t="s">
        <v>269</v>
      </c>
      <c r="G616" t="s">
        <v>282</v>
      </c>
      <c r="H616" t="s">
        <v>283</v>
      </c>
      <c r="I616" t="s">
        <v>22</v>
      </c>
      <c r="J616" t="s">
        <v>23</v>
      </c>
      <c r="K616" t="s">
        <v>215</v>
      </c>
      <c r="L616" t="s">
        <v>284</v>
      </c>
      <c r="M616">
        <v>28</v>
      </c>
      <c r="N616">
        <v>62</v>
      </c>
      <c r="O616">
        <v>2</v>
      </c>
      <c r="P616">
        <v>3</v>
      </c>
      <c r="Q616">
        <v>0</v>
      </c>
      <c r="R616">
        <v>0.59330000000000005</v>
      </c>
      <c r="S616">
        <v>0.89790000000000003</v>
      </c>
      <c r="U616">
        <v>0.30459999999999998</v>
      </c>
      <c r="V616">
        <v>162.52504216188379</v>
      </c>
      <c r="W616">
        <v>34.792620282078602</v>
      </c>
      <c r="X616">
        <v>263.68067118155989</v>
      </c>
      <c r="Y616">
        <v>-40.919328818440079</v>
      </c>
      <c r="Z616">
        <v>-15.518516634184639</v>
      </c>
    </row>
    <row r="617" spans="1:26" x14ac:dyDescent="0.35">
      <c r="A617">
        <v>615</v>
      </c>
      <c r="B617" t="s">
        <v>694</v>
      </c>
      <c r="C617">
        <v>46055</v>
      </c>
      <c r="D617" t="s">
        <v>16</v>
      </c>
      <c r="E617" t="s">
        <v>287</v>
      </c>
      <c r="F617" t="s">
        <v>235</v>
      </c>
      <c r="G617" t="s">
        <v>274</v>
      </c>
      <c r="H617" t="s">
        <v>275</v>
      </c>
      <c r="I617" t="s">
        <v>22</v>
      </c>
      <c r="J617" t="s">
        <v>23</v>
      </c>
      <c r="K617" t="s">
        <v>215</v>
      </c>
      <c r="L617" t="s">
        <v>286</v>
      </c>
      <c r="M617">
        <v>28</v>
      </c>
      <c r="N617">
        <v>62</v>
      </c>
      <c r="O617">
        <v>2</v>
      </c>
      <c r="P617">
        <v>1</v>
      </c>
      <c r="Q617">
        <v>0</v>
      </c>
      <c r="R617">
        <v>0.58550000000000002</v>
      </c>
      <c r="S617">
        <v>0.92569999999999997</v>
      </c>
      <c r="U617">
        <v>0.34019999999999995</v>
      </c>
      <c r="V617">
        <v>120.28091651542712</v>
      </c>
      <c r="W617">
        <v>26.120716885646978</v>
      </c>
      <c r="X617">
        <v>227.78582170694284</v>
      </c>
      <c r="Y617">
        <v>-112.41417829305709</v>
      </c>
      <c r="Z617">
        <v>-49.350823264883978</v>
      </c>
    </row>
    <row r="618" spans="1:26" x14ac:dyDescent="0.35">
      <c r="A618">
        <v>616</v>
      </c>
      <c r="B618" t="s">
        <v>694</v>
      </c>
      <c r="C618">
        <v>46055</v>
      </c>
      <c r="D618" t="s">
        <v>16</v>
      </c>
      <c r="E618" t="s">
        <v>287</v>
      </c>
      <c r="F618" t="s">
        <v>235</v>
      </c>
      <c r="G618" t="s">
        <v>274</v>
      </c>
      <c r="H618" t="s">
        <v>275</v>
      </c>
      <c r="I618" t="s">
        <v>22</v>
      </c>
      <c r="J618" t="s">
        <v>23</v>
      </c>
      <c r="K618" t="s">
        <v>215</v>
      </c>
      <c r="L618" t="s">
        <v>286</v>
      </c>
      <c r="M618">
        <v>28</v>
      </c>
      <c r="N618">
        <v>62</v>
      </c>
      <c r="O618">
        <v>2</v>
      </c>
      <c r="P618">
        <v>2</v>
      </c>
      <c r="Q618">
        <v>0</v>
      </c>
      <c r="R618">
        <v>0.55930000000000002</v>
      </c>
      <c r="S618">
        <v>0.88990000000000002</v>
      </c>
      <c r="U618">
        <v>0.3306</v>
      </c>
      <c r="V618">
        <v>130.34139743194237</v>
      </c>
      <c r="W618">
        <v>28.277216617582535</v>
      </c>
      <c r="X618">
        <v>228.01360752864974</v>
      </c>
      <c r="Y618">
        <v>-102.58639247135028</v>
      </c>
      <c r="Z618">
        <v>-44.991346605689039</v>
      </c>
    </row>
    <row r="619" spans="1:26" x14ac:dyDescent="0.35">
      <c r="A619">
        <v>617</v>
      </c>
      <c r="B619" t="s">
        <v>694</v>
      </c>
      <c r="C619">
        <v>46055</v>
      </c>
      <c r="D619" t="s">
        <v>16</v>
      </c>
      <c r="E619" t="s">
        <v>287</v>
      </c>
      <c r="F619" t="s">
        <v>235</v>
      </c>
      <c r="G619" t="s">
        <v>274</v>
      </c>
      <c r="H619" t="s">
        <v>275</v>
      </c>
      <c r="I619" t="s">
        <v>22</v>
      </c>
      <c r="J619" t="s">
        <v>23</v>
      </c>
      <c r="K619" t="s">
        <v>215</v>
      </c>
      <c r="L619" t="s">
        <v>286</v>
      </c>
      <c r="M619">
        <v>28</v>
      </c>
      <c r="N619">
        <v>62</v>
      </c>
      <c r="O619">
        <v>2</v>
      </c>
      <c r="P619">
        <v>3</v>
      </c>
      <c r="Q619">
        <v>0</v>
      </c>
      <c r="R619">
        <v>0.55520000000000003</v>
      </c>
      <c r="S619">
        <v>1.0004</v>
      </c>
      <c r="U619">
        <v>0.44519999999999993</v>
      </c>
      <c r="V619">
        <v>15.557205065336348</v>
      </c>
      <c r="W619">
        <v>3.3764431449596768</v>
      </c>
      <c r="X619">
        <v>227.92249319996699</v>
      </c>
      <c r="Y619">
        <v>-217.27750680003294</v>
      </c>
      <c r="Z619">
        <v>-95.329558636147979</v>
      </c>
    </row>
    <row r="620" spans="1:26" x14ac:dyDescent="0.35">
      <c r="A620">
        <v>618</v>
      </c>
      <c r="B620" t="s">
        <v>694</v>
      </c>
      <c r="C620">
        <v>46055</v>
      </c>
      <c r="D620" t="s">
        <v>16</v>
      </c>
      <c r="E620" t="s">
        <v>289</v>
      </c>
      <c r="F620" t="s">
        <v>290</v>
      </c>
      <c r="G620" t="s">
        <v>291</v>
      </c>
      <c r="H620" t="s">
        <v>292</v>
      </c>
      <c r="I620" t="s">
        <v>22</v>
      </c>
      <c r="J620" t="s">
        <v>23</v>
      </c>
      <c r="K620" t="s">
        <v>215</v>
      </c>
      <c r="L620" t="s">
        <v>288</v>
      </c>
      <c r="M620">
        <v>28</v>
      </c>
      <c r="N620">
        <v>62</v>
      </c>
      <c r="O620">
        <v>2</v>
      </c>
      <c r="P620">
        <v>1</v>
      </c>
      <c r="Q620">
        <v>0</v>
      </c>
      <c r="R620">
        <v>0.56720000000000004</v>
      </c>
      <c r="S620">
        <v>0.80410000000000004</v>
      </c>
      <c r="U620">
        <v>0.2369</v>
      </c>
      <c r="V620">
        <v>221.27512327036894</v>
      </c>
      <c r="W620">
        <v>48.294879410071026</v>
      </c>
      <c r="X620">
        <v>195.5087235548464</v>
      </c>
      <c r="Y620">
        <v>-41.391276445153608</v>
      </c>
      <c r="Z620">
        <v>-21.171063721635953</v>
      </c>
    </row>
    <row r="621" spans="1:26" x14ac:dyDescent="0.35">
      <c r="A621">
        <v>619</v>
      </c>
      <c r="B621" t="s">
        <v>694</v>
      </c>
      <c r="C621">
        <v>46055</v>
      </c>
      <c r="D621" t="s">
        <v>16</v>
      </c>
      <c r="E621" t="s">
        <v>289</v>
      </c>
      <c r="F621" t="s">
        <v>290</v>
      </c>
      <c r="G621" t="s">
        <v>291</v>
      </c>
      <c r="H621" t="s">
        <v>292</v>
      </c>
      <c r="I621" t="s">
        <v>22</v>
      </c>
      <c r="J621" t="s">
        <v>23</v>
      </c>
      <c r="K621" t="s">
        <v>215</v>
      </c>
      <c r="L621" t="s">
        <v>288</v>
      </c>
      <c r="M621">
        <v>28</v>
      </c>
      <c r="N621">
        <v>62</v>
      </c>
      <c r="O621">
        <v>2</v>
      </c>
      <c r="P621">
        <v>2</v>
      </c>
      <c r="Q621">
        <v>0</v>
      </c>
      <c r="R621">
        <v>0.56530000000000002</v>
      </c>
      <c r="S621">
        <v>0.91139999999999999</v>
      </c>
      <c r="U621">
        <v>0.34609999999999996</v>
      </c>
      <c r="V621">
        <v>111.98352488506902</v>
      </c>
      <c r="W621">
        <v>24.446093081641642</v>
      </c>
      <c r="X621">
        <v>195.46963744457952</v>
      </c>
      <c r="Y621">
        <v>-150.63036255542045</v>
      </c>
      <c r="Z621">
        <v>-77.060746888696656</v>
      </c>
    </row>
    <row r="622" spans="1:26" x14ac:dyDescent="0.35">
      <c r="A622">
        <v>620</v>
      </c>
      <c r="B622" t="s">
        <v>694</v>
      </c>
      <c r="C622">
        <v>46055</v>
      </c>
      <c r="D622" t="s">
        <v>16</v>
      </c>
      <c r="E622" t="s">
        <v>289</v>
      </c>
      <c r="F622" t="s">
        <v>290</v>
      </c>
      <c r="G622" t="s">
        <v>291</v>
      </c>
      <c r="H622" t="s">
        <v>292</v>
      </c>
      <c r="I622" t="s">
        <v>22</v>
      </c>
      <c r="J622" t="s">
        <v>23</v>
      </c>
      <c r="K622" t="s">
        <v>215</v>
      </c>
      <c r="L622" t="s">
        <v>288</v>
      </c>
      <c r="M622">
        <v>28</v>
      </c>
      <c r="N622">
        <v>62</v>
      </c>
      <c r="O622">
        <v>2</v>
      </c>
      <c r="P622">
        <v>3</v>
      </c>
      <c r="Q622">
        <v>0</v>
      </c>
      <c r="R622">
        <v>0.57250000000000001</v>
      </c>
      <c r="S622">
        <v>0.84689999999999999</v>
      </c>
      <c r="U622">
        <v>0.27439999999999998</v>
      </c>
      <c r="V622">
        <v>183.77512327036897</v>
      </c>
      <c r="W622">
        <v>40.110236007275176</v>
      </c>
      <c r="X622">
        <v>195.5087235548464</v>
      </c>
      <c r="Y622">
        <v>-78.891276445153579</v>
      </c>
      <c r="Z622">
        <v>-40.351793521388359</v>
      </c>
    </row>
    <row r="623" spans="1:26" x14ac:dyDescent="0.35">
      <c r="A623">
        <v>621</v>
      </c>
      <c r="B623" t="s">
        <v>694</v>
      </c>
      <c r="C623">
        <v>46055</v>
      </c>
      <c r="D623" t="s">
        <v>16</v>
      </c>
      <c r="E623" t="s">
        <v>294</v>
      </c>
      <c r="F623" t="s">
        <v>240</v>
      </c>
      <c r="G623" t="s">
        <v>241</v>
      </c>
      <c r="H623" t="s">
        <v>242</v>
      </c>
      <c r="I623" t="s">
        <v>22</v>
      </c>
      <c r="J623" t="s">
        <v>23</v>
      </c>
      <c r="K623" t="s">
        <v>215</v>
      </c>
      <c r="L623" t="s">
        <v>293</v>
      </c>
      <c r="M623">
        <v>28</v>
      </c>
      <c r="N623">
        <v>62</v>
      </c>
      <c r="O623">
        <v>2</v>
      </c>
      <c r="P623">
        <v>1</v>
      </c>
      <c r="Q623">
        <v>0</v>
      </c>
      <c r="R623">
        <v>0.54969999999999997</v>
      </c>
      <c r="S623">
        <v>0.82410000000000005</v>
      </c>
      <c r="U623">
        <v>0.27440000000000009</v>
      </c>
      <c r="V623">
        <v>189.42681445566313</v>
      </c>
      <c r="W623">
        <v>40.839987804062211</v>
      </c>
      <c r="X623">
        <v>265.52951581768889</v>
      </c>
      <c r="Y623">
        <v>-8.8704841823112019</v>
      </c>
      <c r="Z623">
        <v>-3.3406772708468417</v>
      </c>
    </row>
    <row r="624" spans="1:26" x14ac:dyDescent="0.35">
      <c r="A624">
        <v>622</v>
      </c>
      <c r="B624" t="s">
        <v>694</v>
      </c>
      <c r="C624">
        <v>46055</v>
      </c>
      <c r="D624" t="s">
        <v>16</v>
      </c>
      <c r="E624" t="s">
        <v>294</v>
      </c>
      <c r="F624" t="s">
        <v>240</v>
      </c>
      <c r="G624" t="s">
        <v>241</v>
      </c>
      <c r="H624" t="s">
        <v>242</v>
      </c>
      <c r="I624" t="s">
        <v>22</v>
      </c>
      <c r="J624" t="s">
        <v>23</v>
      </c>
      <c r="K624" t="s">
        <v>215</v>
      </c>
      <c r="L624" t="s">
        <v>293</v>
      </c>
      <c r="M624">
        <v>28</v>
      </c>
      <c r="N624">
        <v>62</v>
      </c>
      <c r="O624">
        <v>2</v>
      </c>
      <c r="P624">
        <v>2</v>
      </c>
      <c r="Q624">
        <v>0</v>
      </c>
      <c r="R624">
        <v>0.54579999999999995</v>
      </c>
      <c r="S624">
        <v>0.8175</v>
      </c>
      <c r="U624">
        <v>0.27170000000000005</v>
      </c>
      <c r="V624">
        <v>192.21956126919156</v>
      </c>
      <c r="W624">
        <v>41.43381252200642</v>
      </c>
      <c r="X624">
        <v>265.58261110179564</v>
      </c>
      <c r="Y624">
        <v>-6.1173888982044105</v>
      </c>
      <c r="Z624">
        <v>-2.3033845750765907</v>
      </c>
    </row>
    <row r="625" spans="1:28" x14ac:dyDescent="0.35">
      <c r="A625">
        <v>623</v>
      </c>
      <c r="B625" t="s">
        <v>694</v>
      </c>
      <c r="C625">
        <v>46055</v>
      </c>
      <c r="D625" t="s">
        <v>16</v>
      </c>
      <c r="E625" t="s">
        <v>294</v>
      </c>
      <c r="F625" t="s">
        <v>240</v>
      </c>
      <c r="G625" t="s">
        <v>241</v>
      </c>
      <c r="H625" t="s">
        <v>242</v>
      </c>
      <c r="I625" t="s">
        <v>22</v>
      </c>
      <c r="J625" t="s">
        <v>23</v>
      </c>
      <c r="K625" t="s">
        <v>215</v>
      </c>
      <c r="L625" t="s">
        <v>293</v>
      </c>
      <c r="M625">
        <v>28</v>
      </c>
      <c r="N625">
        <v>62</v>
      </c>
      <c r="O625">
        <v>2</v>
      </c>
      <c r="P625">
        <v>3</v>
      </c>
      <c r="Q625">
        <v>0</v>
      </c>
      <c r="R625">
        <v>0.58289999999999997</v>
      </c>
      <c r="S625">
        <v>0.9657</v>
      </c>
      <c r="U625">
        <v>0.38280000000000003</v>
      </c>
      <c r="V625">
        <v>81.490548523305335</v>
      </c>
      <c r="W625">
        <v>17.55162770004457</v>
      </c>
      <c r="X625">
        <v>265.79499223822251</v>
      </c>
      <c r="Y625">
        <v>-117.00500776177751</v>
      </c>
      <c r="Z625">
        <v>-44.020772090736045</v>
      </c>
    </row>
    <row r="626" spans="1:28" x14ac:dyDescent="0.35">
      <c r="A626">
        <v>624</v>
      </c>
      <c r="B626" t="s">
        <v>694</v>
      </c>
      <c r="C626">
        <v>46055</v>
      </c>
      <c r="D626" t="s">
        <v>16</v>
      </c>
      <c r="E626" t="s">
        <v>296</v>
      </c>
      <c r="F626" t="s">
        <v>240</v>
      </c>
      <c r="G626" t="s">
        <v>297</v>
      </c>
      <c r="H626" t="s">
        <v>298</v>
      </c>
      <c r="I626" t="s">
        <v>22</v>
      </c>
      <c r="J626" t="s">
        <v>23</v>
      </c>
      <c r="K626" t="s">
        <v>215</v>
      </c>
      <c r="L626" t="s">
        <v>295</v>
      </c>
      <c r="M626">
        <v>28</v>
      </c>
      <c r="N626">
        <v>62</v>
      </c>
      <c r="O626">
        <v>2</v>
      </c>
      <c r="P626">
        <v>1</v>
      </c>
      <c r="Q626">
        <v>0</v>
      </c>
      <c r="R626">
        <v>0.59299999999999997</v>
      </c>
      <c r="S626">
        <v>0.89349999999999996</v>
      </c>
      <c r="U626">
        <v>0.30049999999999999</v>
      </c>
      <c r="V626">
        <v>158.47310143610656</v>
      </c>
      <c r="W626">
        <v>34.527753574283814</v>
      </c>
      <c r="X626">
        <v>280.50098218580581</v>
      </c>
      <c r="Y626">
        <v>-19.99901781419419</v>
      </c>
      <c r="Z626">
        <v>-7.1297496566149992</v>
      </c>
    </row>
    <row r="627" spans="1:28" x14ac:dyDescent="0.35">
      <c r="A627">
        <v>625</v>
      </c>
      <c r="B627" t="s">
        <v>694</v>
      </c>
      <c r="C627">
        <v>46055</v>
      </c>
      <c r="D627" t="s">
        <v>16</v>
      </c>
      <c r="E627" t="s">
        <v>296</v>
      </c>
      <c r="F627" t="s">
        <v>240</v>
      </c>
      <c r="G627" t="s">
        <v>297</v>
      </c>
      <c r="H627" t="s">
        <v>298</v>
      </c>
      <c r="I627" t="s">
        <v>22</v>
      </c>
      <c r="J627" t="s">
        <v>23</v>
      </c>
      <c r="K627" t="s">
        <v>215</v>
      </c>
      <c r="L627" t="s">
        <v>295</v>
      </c>
      <c r="M627">
        <v>28</v>
      </c>
      <c r="N627">
        <v>62</v>
      </c>
      <c r="O627">
        <v>2</v>
      </c>
      <c r="P627">
        <v>2</v>
      </c>
      <c r="Q627">
        <v>0</v>
      </c>
      <c r="R627">
        <v>0.56489999999999996</v>
      </c>
      <c r="S627">
        <v>0.81210000000000004</v>
      </c>
      <c r="U627">
        <v>0.24720000000000009</v>
      </c>
      <c r="V627">
        <v>211.86482267939905</v>
      </c>
      <c r="W627">
        <v>46.151395666263198</v>
      </c>
      <c r="X627">
        <v>280.55703753796126</v>
      </c>
      <c r="Y627">
        <v>33.35703753796119</v>
      </c>
      <c r="Z627">
        <v>11.889574337784257</v>
      </c>
    </row>
    <row r="628" spans="1:28" x14ac:dyDescent="0.35">
      <c r="A628">
        <v>626</v>
      </c>
      <c r="B628" t="s">
        <v>694</v>
      </c>
      <c r="C628">
        <v>46055</v>
      </c>
      <c r="D628" t="s">
        <v>16</v>
      </c>
      <c r="E628" t="s">
        <v>296</v>
      </c>
      <c r="F628" t="s">
        <v>240</v>
      </c>
      <c r="G628" t="s">
        <v>297</v>
      </c>
      <c r="H628" t="s">
        <v>298</v>
      </c>
      <c r="I628" t="s">
        <v>22</v>
      </c>
      <c r="J628" t="s">
        <v>23</v>
      </c>
      <c r="K628" t="s">
        <v>215</v>
      </c>
      <c r="L628" t="s">
        <v>295</v>
      </c>
      <c r="M628">
        <v>28</v>
      </c>
      <c r="N628">
        <v>62</v>
      </c>
      <c r="O628">
        <v>2</v>
      </c>
      <c r="P628">
        <v>3</v>
      </c>
      <c r="Q628">
        <v>0</v>
      </c>
      <c r="R628">
        <v>0.58589999999999998</v>
      </c>
      <c r="S628">
        <v>0.77739999999999998</v>
      </c>
      <c r="U628">
        <v>0.1915</v>
      </c>
      <c r="V628">
        <v>267.19793770622886</v>
      </c>
      <c r="W628">
        <v>58.251392853951444</v>
      </c>
      <c r="X628">
        <v>280.33281612933956</v>
      </c>
      <c r="Y628">
        <v>88.832816129339562</v>
      </c>
      <c r="Z628">
        <v>31.688340079441147</v>
      </c>
    </row>
    <row r="629" spans="1:28" x14ac:dyDescent="0.35">
      <c r="A629">
        <v>627</v>
      </c>
      <c r="B629" t="s">
        <v>694</v>
      </c>
      <c r="C629">
        <v>46055</v>
      </c>
      <c r="D629" t="s">
        <v>16</v>
      </c>
      <c r="E629" t="s">
        <v>300</v>
      </c>
      <c r="F629" t="s">
        <v>212</v>
      </c>
      <c r="G629" t="s">
        <v>301</v>
      </c>
      <c r="H629" t="s">
        <v>302</v>
      </c>
      <c r="I629" t="s">
        <v>22</v>
      </c>
      <c r="J629" t="s">
        <v>23</v>
      </c>
      <c r="K629" t="s">
        <v>303</v>
      </c>
      <c r="L629" t="s">
        <v>299</v>
      </c>
      <c r="M629">
        <v>28</v>
      </c>
      <c r="N629">
        <v>62</v>
      </c>
      <c r="O629">
        <v>2</v>
      </c>
      <c r="P629">
        <v>1</v>
      </c>
      <c r="Q629">
        <v>0</v>
      </c>
      <c r="R629">
        <v>0.57699999999999996</v>
      </c>
      <c r="S629">
        <v>0.85650000000000004</v>
      </c>
      <c r="U629">
        <v>0.27950000000000008</v>
      </c>
      <c r="V629">
        <v>179.19792646410207</v>
      </c>
      <c r="W629">
        <v>39.066652828683793</v>
      </c>
      <c r="X629">
        <v>232.64924547689188</v>
      </c>
      <c r="Y629">
        <v>-46.850754523108179</v>
      </c>
      <c r="Z629">
        <v>-20.137935297005587</v>
      </c>
    </row>
    <row r="630" spans="1:28" x14ac:dyDescent="0.35">
      <c r="A630">
        <v>628</v>
      </c>
      <c r="B630" t="s">
        <v>694</v>
      </c>
      <c r="C630">
        <v>46055</v>
      </c>
      <c r="D630" t="s">
        <v>16</v>
      </c>
      <c r="E630" t="s">
        <v>300</v>
      </c>
      <c r="F630" t="s">
        <v>212</v>
      </c>
      <c r="G630" t="s">
        <v>301</v>
      </c>
      <c r="H630" t="s">
        <v>302</v>
      </c>
      <c r="I630" t="s">
        <v>22</v>
      </c>
      <c r="J630" t="s">
        <v>23</v>
      </c>
      <c r="K630" t="s">
        <v>303</v>
      </c>
      <c r="L630" t="s">
        <v>299</v>
      </c>
      <c r="M630">
        <v>28</v>
      </c>
      <c r="N630">
        <v>62</v>
      </c>
      <c r="O630">
        <v>2</v>
      </c>
      <c r="P630">
        <v>2</v>
      </c>
      <c r="Q630">
        <v>0</v>
      </c>
      <c r="R630">
        <v>0.56320000000000003</v>
      </c>
      <c r="S630">
        <v>0.81289999999999996</v>
      </c>
      <c r="U630">
        <v>0.24969999999999992</v>
      </c>
      <c r="V630">
        <v>209.08959271639316</v>
      </c>
      <c r="W630">
        <v>45.574179544574953</v>
      </c>
      <c r="X630">
        <v>232.69573813186329</v>
      </c>
      <c r="Y630">
        <v>-17.004261868136638</v>
      </c>
      <c r="Z630">
        <v>-7.3075089404949543</v>
      </c>
    </row>
    <row r="631" spans="1:28" x14ac:dyDescent="0.35">
      <c r="A631">
        <v>629</v>
      </c>
      <c r="B631" t="s">
        <v>694</v>
      </c>
      <c r="C631">
        <v>46055</v>
      </c>
      <c r="D631" t="s">
        <v>16</v>
      </c>
      <c r="E631" t="s">
        <v>300</v>
      </c>
      <c r="F631" t="s">
        <v>212</v>
      </c>
      <c r="G631" t="s">
        <v>301</v>
      </c>
      <c r="H631" t="s">
        <v>302</v>
      </c>
      <c r="I631" t="s">
        <v>22</v>
      </c>
      <c r="J631" t="s">
        <v>23</v>
      </c>
      <c r="K631" t="s">
        <v>303</v>
      </c>
      <c r="L631" t="s">
        <v>299</v>
      </c>
      <c r="M631">
        <v>28</v>
      </c>
      <c r="N631">
        <v>62</v>
      </c>
      <c r="O631">
        <v>2</v>
      </c>
      <c r="P631">
        <v>3</v>
      </c>
      <c r="Q631">
        <v>0</v>
      </c>
      <c r="R631">
        <v>0.5857</v>
      </c>
      <c r="S631">
        <v>0.85609999999999997</v>
      </c>
      <c r="U631">
        <v>0.27039999999999997</v>
      </c>
      <c r="V631">
        <v>188.11459395952022</v>
      </c>
      <c r="W631">
        <v>41.026958888058388</v>
      </c>
      <c r="X631">
        <v>232.5562601669491</v>
      </c>
      <c r="Y631">
        <v>-37.843739833050876</v>
      </c>
      <c r="Z631">
        <v>-16.272939634427967</v>
      </c>
    </row>
    <row r="632" spans="1:28" x14ac:dyDescent="0.35">
      <c r="A632">
        <v>630</v>
      </c>
      <c r="B632" t="s">
        <v>694</v>
      </c>
      <c r="C632">
        <v>46055</v>
      </c>
      <c r="D632" t="s">
        <v>16</v>
      </c>
      <c r="E632" t="s">
        <v>305</v>
      </c>
      <c r="F632" t="s">
        <v>212</v>
      </c>
      <c r="G632" t="s">
        <v>301</v>
      </c>
      <c r="H632" t="s">
        <v>302</v>
      </c>
      <c r="I632" t="s">
        <v>22</v>
      </c>
      <c r="J632" t="s">
        <v>23</v>
      </c>
      <c r="K632" t="s">
        <v>303</v>
      </c>
      <c r="L632" t="s">
        <v>304</v>
      </c>
      <c r="M632">
        <v>28</v>
      </c>
      <c r="N632">
        <v>62</v>
      </c>
      <c r="O632">
        <v>2</v>
      </c>
      <c r="P632">
        <v>1</v>
      </c>
      <c r="Q632">
        <v>0</v>
      </c>
      <c r="R632">
        <v>0.57609999999999995</v>
      </c>
      <c r="S632">
        <v>0.91959999999999997</v>
      </c>
      <c r="U632">
        <v>0.34350000000000003</v>
      </c>
      <c r="V632">
        <v>116.01928256755934</v>
      </c>
      <c r="W632">
        <v>25.2479682504949</v>
      </c>
      <c r="X632">
        <v>231.20924640118616</v>
      </c>
      <c r="Y632">
        <v>-112.29075359881384</v>
      </c>
      <c r="Z632">
        <v>-48.566722718334056</v>
      </c>
    </row>
    <row r="633" spans="1:28" x14ac:dyDescent="0.35">
      <c r="A633">
        <v>631</v>
      </c>
      <c r="B633" t="s">
        <v>694</v>
      </c>
      <c r="C633">
        <v>46055</v>
      </c>
      <c r="D633" t="s">
        <v>16</v>
      </c>
      <c r="E633" t="s">
        <v>305</v>
      </c>
      <c r="F633" t="s">
        <v>212</v>
      </c>
      <c r="G633" t="s">
        <v>301</v>
      </c>
      <c r="H633" t="s">
        <v>302</v>
      </c>
      <c r="I633" t="s">
        <v>22</v>
      </c>
      <c r="J633" t="s">
        <v>23</v>
      </c>
      <c r="K633" t="s">
        <v>303</v>
      </c>
      <c r="L633" t="s">
        <v>304</v>
      </c>
      <c r="M633">
        <v>28</v>
      </c>
      <c r="N633">
        <v>62</v>
      </c>
      <c r="O633">
        <v>2</v>
      </c>
      <c r="P633">
        <v>2</v>
      </c>
      <c r="Q633">
        <v>0</v>
      </c>
      <c r="R633">
        <v>0.56379999999999997</v>
      </c>
      <c r="S633">
        <v>0.80330000000000001</v>
      </c>
      <c r="U633">
        <v>0.23950000000000005</v>
      </c>
      <c r="V633">
        <v>219.56022234521407</v>
      </c>
      <c r="W633">
        <v>47.828195878863227</v>
      </c>
      <c r="X633">
        <v>230.97826813305312</v>
      </c>
      <c r="Y633">
        <v>-8.5217318669469364</v>
      </c>
      <c r="Z633">
        <v>-3.6894085040234446</v>
      </c>
    </row>
    <row r="634" spans="1:28" x14ac:dyDescent="0.35">
      <c r="A634">
        <v>632</v>
      </c>
      <c r="B634" t="s">
        <v>694</v>
      </c>
      <c r="C634">
        <v>46055</v>
      </c>
      <c r="D634" t="s">
        <v>16</v>
      </c>
      <c r="E634" t="s">
        <v>305</v>
      </c>
      <c r="F634" t="s">
        <v>212</v>
      </c>
      <c r="G634" t="s">
        <v>301</v>
      </c>
      <c r="H634" t="s">
        <v>302</v>
      </c>
      <c r="I634" t="s">
        <v>22</v>
      </c>
      <c r="J634" t="s">
        <v>23</v>
      </c>
      <c r="K634" t="s">
        <v>303</v>
      </c>
      <c r="L634" t="s">
        <v>304</v>
      </c>
      <c r="M634">
        <v>28</v>
      </c>
      <c r="N634">
        <v>62</v>
      </c>
      <c r="O634">
        <v>2</v>
      </c>
      <c r="P634">
        <v>3</v>
      </c>
      <c r="Q634">
        <v>0</v>
      </c>
      <c r="R634">
        <v>0.58220000000000005</v>
      </c>
      <c r="S634">
        <v>0.91410000000000002</v>
      </c>
    </row>
    <row r="635" spans="1:28" x14ac:dyDescent="0.35">
      <c r="A635">
        <v>633</v>
      </c>
      <c r="B635" t="s">
        <v>694</v>
      </c>
      <c r="C635">
        <v>46055</v>
      </c>
      <c r="D635" t="s">
        <v>16</v>
      </c>
      <c r="E635" t="s">
        <v>307</v>
      </c>
      <c r="F635" t="s">
        <v>212</v>
      </c>
      <c r="G635" t="s">
        <v>213</v>
      </c>
      <c r="H635" t="s">
        <v>214</v>
      </c>
      <c r="I635" t="s">
        <v>22</v>
      </c>
      <c r="J635" t="s">
        <v>23</v>
      </c>
      <c r="K635" t="s">
        <v>215</v>
      </c>
      <c r="L635" t="s">
        <v>306</v>
      </c>
      <c r="M635">
        <v>28</v>
      </c>
      <c r="N635">
        <v>62</v>
      </c>
      <c r="O635">
        <v>2</v>
      </c>
      <c r="P635">
        <v>1</v>
      </c>
      <c r="Q635">
        <v>0</v>
      </c>
      <c r="R635">
        <v>0.57689999999999997</v>
      </c>
      <c r="T635" t="s">
        <v>574</v>
      </c>
    </row>
    <row r="636" spans="1:28" x14ac:dyDescent="0.35">
      <c r="A636">
        <v>634</v>
      </c>
      <c r="B636" t="s">
        <v>694</v>
      </c>
      <c r="C636">
        <v>46055</v>
      </c>
      <c r="D636" t="s">
        <v>16</v>
      </c>
      <c r="E636" t="s">
        <v>307</v>
      </c>
      <c r="F636" t="s">
        <v>212</v>
      </c>
      <c r="G636" t="s">
        <v>213</v>
      </c>
      <c r="H636" t="s">
        <v>214</v>
      </c>
      <c r="I636" t="s">
        <v>22</v>
      </c>
      <c r="J636" t="s">
        <v>23</v>
      </c>
      <c r="K636" t="s">
        <v>215</v>
      </c>
      <c r="L636" t="s">
        <v>306</v>
      </c>
      <c r="M636">
        <v>28</v>
      </c>
      <c r="N636">
        <v>62</v>
      </c>
      <c r="O636">
        <v>2</v>
      </c>
      <c r="P636">
        <v>2</v>
      </c>
      <c r="Q636">
        <v>0</v>
      </c>
      <c r="R636">
        <v>0.57099999999999995</v>
      </c>
      <c r="S636">
        <v>0.86650000000000005</v>
      </c>
      <c r="U636">
        <v>0.2955000000000001</v>
      </c>
      <c r="V636">
        <v>158.49711928991354</v>
      </c>
      <c r="W636">
        <v>34.911481274994699</v>
      </c>
      <c r="X636">
        <v>264.65631977691544</v>
      </c>
      <c r="Y636">
        <v>-30.843680223084675</v>
      </c>
      <c r="Z636">
        <v>-11.654239070914112</v>
      </c>
    </row>
    <row r="637" spans="1:28" x14ac:dyDescent="0.35">
      <c r="A637">
        <v>635</v>
      </c>
      <c r="B637" t="s">
        <v>694</v>
      </c>
      <c r="C637">
        <v>46055</v>
      </c>
      <c r="D637" t="s">
        <v>16</v>
      </c>
      <c r="E637" t="s">
        <v>307</v>
      </c>
      <c r="F637" t="s">
        <v>212</v>
      </c>
      <c r="G637" t="s">
        <v>213</v>
      </c>
      <c r="H637" t="s">
        <v>214</v>
      </c>
      <c r="I637" t="s">
        <v>22</v>
      </c>
      <c r="J637" t="s">
        <v>23</v>
      </c>
      <c r="K637" t="s">
        <v>215</v>
      </c>
      <c r="L637" t="s">
        <v>306</v>
      </c>
      <c r="M637">
        <v>28</v>
      </c>
      <c r="N637">
        <v>62</v>
      </c>
      <c r="O637">
        <v>2</v>
      </c>
      <c r="P637">
        <v>3</v>
      </c>
      <c r="Q637">
        <v>0</v>
      </c>
      <c r="R637">
        <v>0.60460000000000003</v>
      </c>
      <c r="S637">
        <v>1.0184</v>
      </c>
      <c r="U637">
        <v>0.41379999999999995</v>
      </c>
      <c r="V637">
        <v>39.9249931444852</v>
      </c>
      <c r="W637">
        <v>8.7993815081223428</v>
      </c>
      <c r="X637">
        <v>264.49768462020603</v>
      </c>
      <c r="Y637">
        <v>-149.30231537979392</v>
      </c>
      <c r="Z637">
        <v>-56.447494273599453</v>
      </c>
    </row>
    <row r="638" spans="1:28" x14ac:dyDescent="0.35">
      <c r="A638">
        <v>636</v>
      </c>
      <c r="B638" t="s">
        <v>694</v>
      </c>
      <c r="C638">
        <v>46055</v>
      </c>
      <c r="D638" t="s">
        <v>16</v>
      </c>
      <c r="E638" t="s">
        <v>309</v>
      </c>
      <c r="F638" t="s">
        <v>212</v>
      </c>
      <c r="G638" t="s">
        <v>310</v>
      </c>
      <c r="H638" t="s">
        <v>311</v>
      </c>
      <c r="I638" t="s">
        <v>22</v>
      </c>
      <c r="J638" t="s">
        <v>23</v>
      </c>
      <c r="K638" t="s">
        <v>215</v>
      </c>
      <c r="L638" t="s">
        <v>308</v>
      </c>
      <c r="M638">
        <v>28</v>
      </c>
      <c r="N638">
        <v>62</v>
      </c>
      <c r="O638">
        <v>2</v>
      </c>
      <c r="P638">
        <v>1</v>
      </c>
      <c r="Q638">
        <v>0</v>
      </c>
      <c r="R638">
        <v>0.6179</v>
      </c>
      <c r="S638">
        <v>0.91300000000000003</v>
      </c>
      <c r="U638">
        <v>0.29510000000000003</v>
      </c>
      <c r="V638">
        <v>168.40843904701609</v>
      </c>
      <c r="W638">
        <v>36.333413776298798</v>
      </c>
      <c r="X638">
        <v>275.8631374397105</v>
      </c>
      <c r="Y638">
        <v>-19.236862560289524</v>
      </c>
      <c r="Z638">
        <v>-6.9733356688490913</v>
      </c>
    </row>
    <row r="639" spans="1:28" x14ac:dyDescent="0.35">
      <c r="A639">
        <v>637</v>
      </c>
      <c r="B639" t="s">
        <v>694</v>
      </c>
      <c r="C639">
        <v>46055</v>
      </c>
      <c r="D639" t="s">
        <v>16</v>
      </c>
      <c r="E639" t="s">
        <v>309</v>
      </c>
      <c r="F639" t="s">
        <v>212</v>
      </c>
      <c r="G639" t="s">
        <v>310</v>
      </c>
      <c r="H639" t="s">
        <v>311</v>
      </c>
      <c r="I639" t="s">
        <v>22</v>
      </c>
      <c r="J639" t="s">
        <v>23</v>
      </c>
      <c r="K639" t="s">
        <v>215</v>
      </c>
      <c r="L639" t="s">
        <v>308</v>
      </c>
      <c r="M639">
        <v>28</v>
      </c>
      <c r="N639">
        <v>62</v>
      </c>
      <c r="O639">
        <v>2</v>
      </c>
      <c r="P639">
        <v>2</v>
      </c>
      <c r="Q639">
        <v>0</v>
      </c>
      <c r="R639">
        <v>0.58650000000000002</v>
      </c>
      <c r="S639">
        <v>0.96660000000000001</v>
      </c>
      <c r="U639">
        <v>0.38009999999999999</v>
      </c>
      <c r="V639">
        <v>83.038002732093446</v>
      </c>
      <c r="W639">
        <v>17.92942972553422</v>
      </c>
      <c r="X639">
        <v>275.64266739979865</v>
      </c>
      <c r="Y639">
        <v>-104.45733260020131</v>
      </c>
      <c r="Z639">
        <v>-37.89592285750664</v>
      </c>
    </row>
    <row r="640" spans="1:28" x14ac:dyDescent="0.35">
      <c r="A640">
        <v>638</v>
      </c>
      <c r="B640" t="s">
        <v>694</v>
      </c>
      <c r="C640">
        <v>46055</v>
      </c>
      <c r="D640" t="s">
        <v>16</v>
      </c>
      <c r="E640" t="s">
        <v>309</v>
      </c>
      <c r="F640" t="s">
        <v>212</v>
      </c>
      <c r="G640" t="s">
        <v>310</v>
      </c>
      <c r="H640" t="s">
        <v>311</v>
      </c>
      <c r="I640" t="s">
        <v>22</v>
      </c>
      <c r="J640" t="s">
        <v>23</v>
      </c>
      <c r="K640" t="s">
        <v>215</v>
      </c>
      <c r="L640" t="s">
        <v>308</v>
      </c>
      <c r="M640">
        <v>28</v>
      </c>
      <c r="N640">
        <v>62</v>
      </c>
      <c r="O640">
        <v>2</v>
      </c>
      <c r="P640">
        <v>3</v>
      </c>
      <c r="Q640">
        <v>0</v>
      </c>
      <c r="R640">
        <v>0.5917</v>
      </c>
      <c r="S640">
        <v>1.0669</v>
      </c>
      <c r="AB640" t="s">
        <v>695</v>
      </c>
    </row>
    <row r="641" spans="1:28" x14ac:dyDescent="0.35">
      <c r="A641">
        <v>639</v>
      </c>
      <c r="B641" t="s">
        <v>694</v>
      </c>
      <c r="C641">
        <v>46055</v>
      </c>
      <c r="D641" t="s">
        <v>16</v>
      </c>
      <c r="E641" t="s">
        <v>313</v>
      </c>
      <c r="F641" t="s">
        <v>290</v>
      </c>
      <c r="G641" t="s">
        <v>314</v>
      </c>
      <c r="H641" t="s">
        <v>315</v>
      </c>
      <c r="I641" t="s">
        <v>22</v>
      </c>
      <c r="J641" t="s">
        <v>23</v>
      </c>
      <c r="K641" t="s">
        <v>215</v>
      </c>
      <c r="L641" t="s">
        <v>312</v>
      </c>
      <c r="M641">
        <v>28</v>
      </c>
      <c r="N641">
        <v>62</v>
      </c>
      <c r="O641">
        <v>2</v>
      </c>
      <c r="P641">
        <v>1</v>
      </c>
      <c r="Q641">
        <v>0</v>
      </c>
      <c r="R641">
        <v>0.57620000000000005</v>
      </c>
      <c r="S641">
        <v>1.0273000000000001</v>
      </c>
      <c r="AB641" t="s">
        <v>696</v>
      </c>
    </row>
    <row r="642" spans="1:28" x14ac:dyDescent="0.35">
      <c r="A642">
        <v>640</v>
      </c>
      <c r="B642" t="s">
        <v>697</v>
      </c>
      <c r="C642">
        <v>46055</v>
      </c>
      <c r="D642" t="s">
        <v>16</v>
      </c>
      <c r="E642" t="s">
        <v>313</v>
      </c>
      <c r="F642" t="s">
        <v>290</v>
      </c>
      <c r="G642" t="s">
        <v>314</v>
      </c>
      <c r="H642" t="s">
        <v>315</v>
      </c>
      <c r="I642" t="s">
        <v>22</v>
      </c>
      <c r="J642" t="s">
        <v>23</v>
      </c>
      <c r="K642" t="s">
        <v>215</v>
      </c>
      <c r="L642" t="s">
        <v>312</v>
      </c>
      <c r="M642">
        <v>28</v>
      </c>
      <c r="N642">
        <v>62</v>
      </c>
      <c r="O642">
        <v>2</v>
      </c>
      <c r="P642">
        <v>2</v>
      </c>
      <c r="Q642">
        <v>0</v>
      </c>
      <c r="R642">
        <v>0.56699999999999995</v>
      </c>
      <c r="S642">
        <v>0.84899999999999998</v>
      </c>
      <c r="U642">
        <v>0.28200000000000003</v>
      </c>
      <c r="V642">
        <v>167.58697595354431</v>
      </c>
      <c r="W642">
        <v>37.275763070783668</v>
      </c>
      <c r="X642">
        <v>224.59973024112205</v>
      </c>
      <c r="Y642">
        <v>-57.400269758877954</v>
      </c>
      <c r="Z642">
        <v>-25.556695770406819</v>
      </c>
    </row>
    <row r="643" spans="1:28" x14ac:dyDescent="0.35">
      <c r="A643">
        <v>641</v>
      </c>
      <c r="B643" t="s">
        <v>697</v>
      </c>
      <c r="C643">
        <v>46055</v>
      </c>
      <c r="D643" t="s">
        <v>16</v>
      </c>
      <c r="E643" t="s">
        <v>313</v>
      </c>
      <c r="F643" t="s">
        <v>290</v>
      </c>
      <c r="G643" t="s">
        <v>314</v>
      </c>
      <c r="H643" t="s">
        <v>315</v>
      </c>
      <c r="I643" t="s">
        <v>22</v>
      </c>
      <c r="J643" t="s">
        <v>23</v>
      </c>
      <c r="K643" t="s">
        <v>215</v>
      </c>
      <c r="L643" t="s">
        <v>312</v>
      </c>
      <c r="M643">
        <v>28</v>
      </c>
      <c r="N643">
        <v>62</v>
      </c>
      <c r="O643">
        <v>2</v>
      </c>
      <c r="P643">
        <v>3</v>
      </c>
      <c r="Q643">
        <v>0</v>
      </c>
      <c r="R643">
        <v>0.56159999999999999</v>
      </c>
      <c r="S643">
        <v>0.9335</v>
      </c>
      <c r="U643">
        <v>0.37190000000000001</v>
      </c>
      <c r="V643">
        <v>77.686975953544277</v>
      </c>
      <c r="W643">
        <v>17.279632219944833</v>
      </c>
      <c r="X643">
        <v>224.59973024112205</v>
      </c>
      <c r="Y643">
        <v>-147.30026975887799</v>
      </c>
      <c r="Z643">
        <v>-65.583458003596803</v>
      </c>
    </row>
    <row r="644" spans="1:28" x14ac:dyDescent="0.35">
      <c r="A644">
        <v>642</v>
      </c>
      <c r="B644" t="s">
        <v>697</v>
      </c>
      <c r="C644">
        <v>46055</v>
      </c>
      <c r="D644" t="s">
        <v>16</v>
      </c>
      <c r="E644" t="s">
        <v>317</v>
      </c>
      <c r="F644" t="s">
        <v>290</v>
      </c>
      <c r="G644" t="s">
        <v>318</v>
      </c>
      <c r="H644" t="s">
        <v>319</v>
      </c>
      <c r="I644" t="s">
        <v>22</v>
      </c>
      <c r="J644" t="s">
        <v>23</v>
      </c>
      <c r="K644" t="s">
        <v>215</v>
      </c>
      <c r="L644" t="s">
        <v>316</v>
      </c>
      <c r="M644">
        <v>28</v>
      </c>
      <c r="N644">
        <v>62</v>
      </c>
      <c r="O644">
        <v>2</v>
      </c>
      <c r="P644">
        <v>1</v>
      </c>
      <c r="Q644">
        <v>0</v>
      </c>
      <c r="R644">
        <v>0.56159999999999999</v>
      </c>
      <c r="S644">
        <v>1.0072000000000001</v>
      </c>
      <c r="U644">
        <v>0.44560000000000011</v>
      </c>
      <c r="V644">
        <v>6.204886596797337</v>
      </c>
      <c r="W644">
        <v>1.3733553533551621</v>
      </c>
      <c r="X644">
        <v>217.52541723114959</v>
      </c>
      <c r="Y644">
        <v>-228.07458276885049</v>
      </c>
      <c r="Z644">
        <v>-104.84962432067928</v>
      </c>
    </row>
    <row r="645" spans="1:28" x14ac:dyDescent="0.35">
      <c r="A645">
        <v>643</v>
      </c>
      <c r="B645" t="s">
        <v>697</v>
      </c>
      <c r="C645">
        <v>46055</v>
      </c>
      <c r="D645" t="s">
        <v>16</v>
      </c>
      <c r="E645" t="s">
        <v>317</v>
      </c>
      <c r="F645" t="s">
        <v>290</v>
      </c>
      <c r="G645" t="s">
        <v>318</v>
      </c>
      <c r="H645" t="s">
        <v>319</v>
      </c>
      <c r="I645" t="s">
        <v>22</v>
      </c>
      <c r="J645" t="s">
        <v>23</v>
      </c>
      <c r="K645" t="s">
        <v>215</v>
      </c>
      <c r="L645" t="s">
        <v>316</v>
      </c>
      <c r="M645">
        <v>28</v>
      </c>
      <c r="N645">
        <v>62</v>
      </c>
      <c r="O645">
        <v>2</v>
      </c>
      <c r="P645">
        <v>2</v>
      </c>
      <c r="Q645">
        <v>0</v>
      </c>
      <c r="R645">
        <v>0.5837</v>
      </c>
      <c r="S645">
        <v>0.93420000000000003</v>
      </c>
      <c r="U645">
        <v>0.35050000000000003</v>
      </c>
      <c r="V645">
        <v>101.66625823174775</v>
      </c>
      <c r="W645">
        <v>22.484264666126627</v>
      </c>
      <c r="X645">
        <v>217.69940276782711</v>
      </c>
      <c r="Y645">
        <v>-132.80059723217295</v>
      </c>
      <c r="Z645">
        <v>-61.001819731128357</v>
      </c>
    </row>
    <row r="646" spans="1:28" x14ac:dyDescent="0.35">
      <c r="A646">
        <v>644</v>
      </c>
      <c r="B646" t="s">
        <v>697</v>
      </c>
      <c r="C646">
        <v>46055</v>
      </c>
      <c r="D646" t="s">
        <v>16</v>
      </c>
      <c r="E646" t="s">
        <v>317</v>
      </c>
      <c r="F646" t="s">
        <v>290</v>
      </c>
      <c r="G646" t="s">
        <v>318</v>
      </c>
      <c r="H646" t="s">
        <v>319</v>
      </c>
      <c r="I646" t="s">
        <v>22</v>
      </c>
      <c r="J646" t="s">
        <v>23</v>
      </c>
      <c r="K646" t="s">
        <v>215</v>
      </c>
      <c r="L646" t="s">
        <v>316</v>
      </c>
      <c r="M646">
        <v>28</v>
      </c>
      <c r="N646">
        <v>62</v>
      </c>
      <c r="O646">
        <v>2</v>
      </c>
      <c r="P646">
        <v>3</v>
      </c>
      <c r="Q646">
        <v>0</v>
      </c>
      <c r="R646">
        <v>0.56640000000000001</v>
      </c>
      <c r="S646">
        <v>0.97640000000000005</v>
      </c>
      <c r="U646">
        <v>0.41000000000000003</v>
      </c>
      <c r="V646">
        <v>41.895229505534928</v>
      </c>
      <c r="W646">
        <v>9.2710050405658855</v>
      </c>
      <c r="X646">
        <v>217.56891361531896</v>
      </c>
      <c r="Y646">
        <v>-192.43108638468109</v>
      </c>
      <c r="Z646">
        <v>-88.446039090362078</v>
      </c>
    </row>
    <row r="647" spans="1:28" x14ac:dyDescent="0.35">
      <c r="A647">
        <v>645</v>
      </c>
      <c r="B647" t="s">
        <v>697</v>
      </c>
      <c r="C647">
        <v>46050</v>
      </c>
      <c r="D647" t="s">
        <v>120</v>
      </c>
      <c r="E647" t="s">
        <v>122</v>
      </c>
      <c r="F647" t="s">
        <v>123</v>
      </c>
      <c r="G647" t="s">
        <v>545</v>
      </c>
      <c r="H647" t="s">
        <v>125</v>
      </c>
      <c r="I647" t="s">
        <v>108</v>
      </c>
      <c r="J647" t="s">
        <v>109</v>
      </c>
      <c r="K647" t="s">
        <v>110</v>
      </c>
      <c r="L647" t="s">
        <v>121</v>
      </c>
      <c r="M647">
        <v>28</v>
      </c>
      <c r="N647">
        <v>61</v>
      </c>
      <c r="O647">
        <v>2</v>
      </c>
      <c r="P647">
        <v>1</v>
      </c>
      <c r="Q647">
        <v>0</v>
      </c>
      <c r="R647">
        <v>0.55279999999999996</v>
      </c>
      <c r="S647">
        <v>0.84089999999999998</v>
      </c>
      <c r="U647">
        <v>0.28810000000000002</v>
      </c>
      <c r="V647">
        <v>179.93064999999996</v>
      </c>
      <c r="W647">
        <v>38.444202318801125</v>
      </c>
      <c r="X647">
        <v>356.17132464999997</v>
      </c>
      <c r="Y647">
        <v>68.071324649999951</v>
      </c>
      <c r="Z647">
        <v>19.11196099711054</v>
      </c>
    </row>
    <row r="648" spans="1:28" x14ac:dyDescent="0.35">
      <c r="A648">
        <v>646</v>
      </c>
      <c r="B648" t="s">
        <v>697</v>
      </c>
      <c r="C648">
        <v>46050</v>
      </c>
      <c r="D648" t="s">
        <v>120</v>
      </c>
      <c r="E648" t="s">
        <v>122</v>
      </c>
      <c r="F648" t="s">
        <v>123</v>
      </c>
      <c r="G648" t="s">
        <v>545</v>
      </c>
      <c r="H648" t="s">
        <v>125</v>
      </c>
      <c r="I648" t="s">
        <v>108</v>
      </c>
      <c r="J648" t="s">
        <v>109</v>
      </c>
      <c r="K648" t="s">
        <v>110</v>
      </c>
      <c r="L648" t="s">
        <v>121</v>
      </c>
      <c r="M648">
        <v>28</v>
      </c>
      <c r="N648">
        <v>61</v>
      </c>
      <c r="O648">
        <v>2</v>
      </c>
      <c r="P648">
        <v>2</v>
      </c>
      <c r="Q648">
        <v>0</v>
      </c>
      <c r="R648">
        <v>0.56699999999999995</v>
      </c>
      <c r="S648">
        <v>0.87760000000000005</v>
      </c>
      <c r="U648">
        <v>0.3106000000000001</v>
      </c>
      <c r="V648">
        <v>157.14999999999992</v>
      </c>
      <c r="W648">
        <v>33.59700694815605</v>
      </c>
      <c r="X648">
        <v>355.95774999999992</v>
      </c>
      <c r="Y648">
        <v>45.357749999999839</v>
      </c>
      <c r="Z648">
        <v>12.742453282728034</v>
      </c>
    </row>
    <row r="649" spans="1:28" x14ac:dyDescent="0.35">
      <c r="A649">
        <v>647</v>
      </c>
      <c r="B649" t="s">
        <v>697</v>
      </c>
      <c r="C649">
        <v>46050</v>
      </c>
      <c r="D649" t="s">
        <v>120</v>
      </c>
      <c r="E649" t="s">
        <v>122</v>
      </c>
      <c r="F649" t="s">
        <v>123</v>
      </c>
      <c r="G649" t="s">
        <v>545</v>
      </c>
      <c r="H649" t="s">
        <v>125</v>
      </c>
      <c r="I649" t="s">
        <v>108</v>
      </c>
      <c r="J649" t="s">
        <v>109</v>
      </c>
      <c r="K649" t="s">
        <v>110</v>
      </c>
      <c r="L649" t="s">
        <v>121</v>
      </c>
      <c r="M649">
        <v>28</v>
      </c>
      <c r="N649">
        <v>61</v>
      </c>
      <c r="O649">
        <v>2</v>
      </c>
      <c r="P649">
        <v>3</v>
      </c>
      <c r="Q649">
        <v>0</v>
      </c>
      <c r="R649">
        <v>0.58079999999999998</v>
      </c>
      <c r="S649">
        <v>0.94289999999999996</v>
      </c>
      <c r="U649">
        <v>0.36209999999999998</v>
      </c>
      <c r="V649">
        <v>105.74355000000003</v>
      </c>
      <c r="W649">
        <v>22.602331484531536</v>
      </c>
      <c r="X649">
        <v>356.02894154999996</v>
      </c>
      <c r="Y649">
        <v>-6.0710584500000095</v>
      </c>
      <c r="Z649">
        <v>-1.7052148692095592</v>
      </c>
    </row>
    <row r="650" spans="1:28" x14ac:dyDescent="0.35">
      <c r="A650">
        <v>648</v>
      </c>
      <c r="B650" t="s">
        <v>697</v>
      </c>
      <c r="C650">
        <v>46055</v>
      </c>
      <c r="D650">
        <v>0</v>
      </c>
      <c r="E650" t="s">
        <v>537</v>
      </c>
      <c r="F650" t="s">
        <v>538</v>
      </c>
      <c r="G650">
        <v>24</v>
      </c>
      <c r="H650" t="s">
        <v>537</v>
      </c>
      <c r="I650">
        <v>0</v>
      </c>
      <c r="J650">
        <v>0</v>
      </c>
      <c r="K650">
        <v>0</v>
      </c>
      <c r="L650" t="s">
        <v>539</v>
      </c>
      <c r="M650">
        <v>28</v>
      </c>
      <c r="N650">
        <v>62</v>
      </c>
      <c r="O650">
        <v>2</v>
      </c>
      <c r="P650">
        <v>1</v>
      </c>
      <c r="Q650">
        <v>0</v>
      </c>
    </row>
    <row r="651" spans="1:28" x14ac:dyDescent="0.35">
      <c r="A651">
        <v>649</v>
      </c>
      <c r="B651" t="s">
        <v>697</v>
      </c>
      <c r="C651">
        <v>46055</v>
      </c>
      <c r="D651">
        <v>0</v>
      </c>
      <c r="E651" t="s">
        <v>537</v>
      </c>
      <c r="F651" t="s">
        <v>538</v>
      </c>
      <c r="G651">
        <v>24</v>
      </c>
      <c r="H651" t="s">
        <v>537</v>
      </c>
      <c r="I651">
        <v>0</v>
      </c>
      <c r="J651">
        <v>0</v>
      </c>
      <c r="K651">
        <v>0</v>
      </c>
      <c r="L651" t="s">
        <v>539</v>
      </c>
      <c r="M651">
        <v>28</v>
      </c>
      <c r="N651">
        <v>62</v>
      </c>
      <c r="O651">
        <v>2</v>
      </c>
      <c r="P651">
        <v>2</v>
      </c>
      <c r="Q651">
        <v>0</v>
      </c>
    </row>
    <row r="652" spans="1:28" x14ac:dyDescent="0.35">
      <c r="A652">
        <v>650</v>
      </c>
      <c r="B652" t="s">
        <v>697</v>
      </c>
      <c r="C652">
        <v>46050</v>
      </c>
      <c r="D652">
        <v>0</v>
      </c>
      <c r="E652">
        <v>0</v>
      </c>
      <c r="F652" t="s">
        <v>554</v>
      </c>
      <c r="G652" t="s">
        <v>542</v>
      </c>
      <c r="H652" t="s">
        <v>575</v>
      </c>
      <c r="I652">
        <v>0</v>
      </c>
      <c r="J652">
        <v>0</v>
      </c>
      <c r="K652">
        <v>0</v>
      </c>
      <c r="L652">
        <v>0</v>
      </c>
      <c r="M652">
        <v>28</v>
      </c>
      <c r="N652">
        <v>61</v>
      </c>
      <c r="O652">
        <v>2</v>
      </c>
      <c r="P652">
        <v>1</v>
      </c>
      <c r="Q652">
        <v>276</v>
      </c>
    </row>
    <row r="653" spans="1:28" x14ac:dyDescent="0.35">
      <c r="A653">
        <v>651</v>
      </c>
      <c r="B653" t="s">
        <v>697</v>
      </c>
      <c r="C653">
        <v>46050</v>
      </c>
      <c r="D653">
        <v>0</v>
      </c>
      <c r="E653">
        <v>0</v>
      </c>
      <c r="F653" t="s">
        <v>554</v>
      </c>
      <c r="G653" t="s">
        <v>542</v>
      </c>
      <c r="H653" t="s">
        <v>575</v>
      </c>
      <c r="I653">
        <v>0</v>
      </c>
      <c r="J653">
        <v>0</v>
      </c>
      <c r="K653">
        <v>0</v>
      </c>
      <c r="L653">
        <v>0</v>
      </c>
      <c r="M653">
        <v>28</v>
      </c>
      <c r="N653">
        <v>61</v>
      </c>
      <c r="O653">
        <v>2</v>
      </c>
      <c r="P653">
        <v>2</v>
      </c>
      <c r="Q653">
        <v>277</v>
      </c>
    </row>
    <row r="654" spans="1:28" x14ac:dyDescent="0.35">
      <c r="A654">
        <v>652</v>
      </c>
      <c r="B654" t="s">
        <v>697</v>
      </c>
      <c r="C654">
        <v>46050</v>
      </c>
      <c r="D654">
        <v>0</v>
      </c>
      <c r="E654">
        <v>0</v>
      </c>
      <c r="F654" t="s">
        <v>554</v>
      </c>
      <c r="G654" t="s">
        <v>576</v>
      </c>
      <c r="H654" t="s">
        <v>577</v>
      </c>
      <c r="I654">
        <v>0</v>
      </c>
      <c r="J654">
        <v>0</v>
      </c>
      <c r="K654">
        <v>0</v>
      </c>
      <c r="L654">
        <v>0</v>
      </c>
      <c r="M654">
        <v>28</v>
      </c>
      <c r="N654">
        <v>61</v>
      </c>
      <c r="O654">
        <v>2</v>
      </c>
      <c r="P654">
        <v>1</v>
      </c>
      <c r="Q654">
        <v>278</v>
      </c>
    </row>
    <row r="655" spans="1:28" x14ac:dyDescent="0.35">
      <c r="A655">
        <v>653</v>
      </c>
      <c r="B655" t="s">
        <v>697</v>
      </c>
      <c r="C655">
        <v>46050</v>
      </c>
      <c r="D655">
        <v>0</v>
      </c>
      <c r="E655">
        <v>0</v>
      </c>
      <c r="F655" t="s">
        <v>554</v>
      </c>
      <c r="G655" t="s">
        <v>576</v>
      </c>
      <c r="H655" t="s">
        <v>577</v>
      </c>
      <c r="I655">
        <v>0</v>
      </c>
      <c r="J655">
        <v>0</v>
      </c>
      <c r="K655">
        <v>0</v>
      </c>
      <c r="L655">
        <v>0</v>
      </c>
      <c r="M655">
        <v>28</v>
      </c>
      <c r="N655">
        <v>61</v>
      </c>
      <c r="O655">
        <v>2</v>
      </c>
      <c r="P655">
        <v>2</v>
      </c>
      <c r="Q655">
        <v>279</v>
      </c>
    </row>
    <row r="656" spans="1:28" x14ac:dyDescent="0.35">
      <c r="A656">
        <v>654</v>
      </c>
      <c r="B656" t="s">
        <v>697</v>
      </c>
      <c r="C656">
        <v>46076</v>
      </c>
      <c r="D656">
        <v>0</v>
      </c>
      <c r="E656" t="s">
        <v>537</v>
      </c>
      <c r="F656">
        <v>0</v>
      </c>
      <c r="G656">
        <v>0</v>
      </c>
      <c r="H656" t="s">
        <v>537</v>
      </c>
      <c r="I656">
        <v>0</v>
      </c>
      <c r="J656">
        <v>0</v>
      </c>
      <c r="K656">
        <v>0</v>
      </c>
      <c r="L656" t="s">
        <v>539</v>
      </c>
      <c r="M656">
        <v>28</v>
      </c>
      <c r="N656">
        <v>69</v>
      </c>
      <c r="O656">
        <v>3</v>
      </c>
      <c r="P656">
        <v>1</v>
      </c>
      <c r="Q656">
        <v>73</v>
      </c>
    </row>
    <row r="657" spans="1:26" x14ac:dyDescent="0.35">
      <c r="A657">
        <v>655</v>
      </c>
      <c r="B657" t="s">
        <v>697</v>
      </c>
      <c r="C657">
        <v>46076</v>
      </c>
      <c r="D657">
        <v>0</v>
      </c>
      <c r="E657" t="s">
        <v>537</v>
      </c>
      <c r="F657">
        <v>0</v>
      </c>
      <c r="G657">
        <v>0</v>
      </c>
      <c r="H657" t="s">
        <v>537</v>
      </c>
      <c r="I657">
        <v>0</v>
      </c>
      <c r="J657">
        <v>0</v>
      </c>
      <c r="K657">
        <v>0</v>
      </c>
      <c r="L657" t="s">
        <v>539</v>
      </c>
      <c r="M657">
        <v>28</v>
      </c>
      <c r="N657">
        <v>69</v>
      </c>
      <c r="O657">
        <v>3</v>
      </c>
      <c r="P657">
        <v>2</v>
      </c>
      <c r="Q657">
        <v>74</v>
      </c>
    </row>
    <row r="658" spans="1:26" x14ac:dyDescent="0.35">
      <c r="A658">
        <v>656</v>
      </c>
      <c r="B658" t="s">
        <v>697</v>
      </c>
      <c r="C658">
        <v>46076</v>
      </c>
      <c r="D658" t="s">
        <v>16</v>
      </c>
      <c r="E658" t="s">
        <v>128</v>
      </c>
      <c r="F658" t="s">
        <v>129</v>
      </c>
      <c r="G658" t="s">
        <v>130</v>
      </c>
      <c r="H658" t="s">
        <v>131</v>
      </c>
      <c r="I658" t="s">
        <v>22</v>
      </c>
      <c r="J658" t="s">
        <v>23</v>
      </c>
      <c r="K658" t="s">
        <v>24</v>
      </c>
      <c r="L658" t="s">
        <v>127</v>
      </c>
      <c r="M658">
        <v>28</v>
      </c>
      <c r="N658">
        <v>69</v>
      </c>
      <c r="O658">
        <v>3</v>
      </c>
      <c r="P658">
        <v>1</v>
      </c>
      <c r="Q658">
        <v>75</v>
      </c>
      <c r="R658">
        <v>0.58230000000000004</v>
      </c>
      <c r="S658">
        <v>0.79659999999999997</v>
      </c>
      <c r="U658">
        <v>0.21429999999999993</v>
      </c>
      <c r="V658">
        <v>258.73041283486634</v>
      </c>
      <c r="W658">
        <v>54.696359010892706</v>
      </c>
      <c r="X658">
        <v>245.86586910057395</v>
      </c>
      <c r="Y658">
        <v>31.56586910057402</v>
      </c>
      <c r="Z658">
        <v>12.838654350865465</v>
      </c>
    </row>
    <row r="659" spans="1:26" x14ac:dyDescent="0.35">
      <c r="A659">
        <v>657</v>
      </c>
      <c r="B659" t="s">
        <v>697</v>
      </c>
      <c r="C659">
        <v>46076</v>
      </c>
      <c r="D659" t="s">
        <v>16</v>
      </c>
      <c r="E659" t="s">
        <v>128</v>
      </c>
      <c r="F659" t="s">
        <v>129</v>
      </c>
      <c r="G659" t="s">
        <v>130</v>
      </c>
      <c r="H659" t="s">
        <v>131</v>
      </c>
      <c r="I659" t="s">
        <v>22</v>
      </c>
      <c r="J659" t="s">
        <v>23</v>
      </c>
      <c r="K659" t="s">
        <v>24</v>
      </c>
      <c r="L659" t="s">
        <v>127</v>
      </c>
      <c r="M659">
        <v>28</v>
      </c>
      <c r="N659">
        <v>69</v>
      </c>
      <c r="O659">
        <v>3</v>
      </c>
      <c r="P659">
        <v>2</v>
      </c>
      <c r="Q659">
        <v>76</v>
      </c>
      <c r="R659">
        <v>0.56810000000000005</v>
      </c>
      <c r="S659">
        <v>0.79110000000000003</v>
      </c>
      <c r="U659">
        <v>0.22299999999999998</v>
      </c>
      <c r="V659">
        <v>249.9358256697324</v>
      </c>
      <c r="W659">
        <v>52.847725231175723</v>
      </c>
      <c r="X659">
        <v>245.81670575942204</v>
      </c>
      <c r="Y659">
        <v>22.816705759422064</v>
      </c>
      <c r="Z659">
        <v>9.2819996464164269</v>
      </c>
    </row>
    <row r="660" spans="1:26" x14ac:dyDescent="0.35">
      <c r="A660">
        <v>658</v>
      </c>
      <c r="B660" t="s">
        <v>697</v>
      </c>
      <c r="C660">
        <v>46076</v>
      </c>
      <c r="D660" t="s">
        <v>16</v>
      </c>
      <c r="E660" t="s">
        <v>135</v>
      </c>
      <c r="F660" t="s">
        <v>99</v>
      </c>
      <c r="G660" t="s">
        <v>100</v>
      </c>
      <c r="H660" t="s">
        <v>101</v>
      </c>
      <c r="I660" t="s">
        <v>22</v>
      </c>
      <c r="J660" t="s">
        <v>23</v>
      </c>
      <c r="K660" t="s">
        <v>24</v>
      </c>
      <c r="L660" t="s">
        <v>134</v>
      </c>
      <c r="M660">
        <v>28</v>
      </c>
      <c r="N660">
        <v>69</v>
      </c>
      <c r="O660">
        <v>3</v>
      </c>
      <c r="P660">
        <v>1</v>
      </c>
      <c r="Q660">
        <v>77</v>
      </c>
      <c r="R660">
        <v>0.57779999999999998</v>
      </c>
      <c r="S660">
        <v>0.78620000000000001</v>
      </c>
      <c r="U660">
        <v>0.20840000000000003</v>
      </c>
      <c r="V660">
        <v>255.27980995023603</v>
      </c>
      <c r="W660">
        <v>55.05519206834424</v>
      </c>
      <c r="X660">
        <v>236.6959381513316</v>
      </c>
      <c r="Y660">
        <v>28.295938151331569</v>
      </c>
      <c r="Z660">
        <v>11.954551637992433</v>
      </c>
    </row>
    <row r="661" spans="1:26" x14ac:dyDescent="0.35">
      <c r="A661">
        <v>659</v>
      </c>
      <c r="B661" t="s">
        <v>697</v>
      </c>
      <c r="C661">
        <v>46076</v>
      </c>
      <c r="D661" t="s">
        <v>16</v>
      </c>
      <c r="E661" t="s">
        <v>135</v>
      </c>
      <c r="F661" t="s">
        <v>99</v>
      </c>
      <c r="G661" t="s">
        <v>100</v>
      </c>
      <c r="H661" t="s">
        <v>101</v>
      </c>
      <c r="I661" t="s">
        <v>22</v>
      </c>
      <c r="J661" t="s">
        <v>23</v>
      </c>
      <c r="K661" t="s">
        <v>24</v>
      </c>
      <c r="L661" t="s">
        <v>134</v>
      </c>
      <c r="M661">
        <v>28</v>
      </c>
      <c r="N661">
        <v>69</v>
      </c>
      <c r="O661">
        <v>3</v>
      </c>
      <c r="P661">
        <v>2</v>
      </c>
      <c r="Q661">
        <v>78</v>
      </c>
      <c r="R661">
        <v>0.56479999999999997</v>
      </c>
      <c r="S661">
        <v>0.80920000000000003</v>
      </c>
      <c r="U661">
        <v>0.24440000000000006</v>
      </c>
      <c r="V661">
        <v>219.0018244526639</v>
      </c>
      <c r="W661">
        <v>47.259594782850215</v>
      </c>
      <c r="X661">
        <v>236.55403411167256</v>
      </c>
      <c r="Y661">
        <v>-7.8459658883274983</v>
      </c>
      <c r="Z661">
        <v>-3.3167753480896338</v>
      </c>
    </row>
    <row r="662" spans="1:26" x14ac:dyDescent="0.35">
      <c r="A662">
        <v>660</v>
      </c>
      <c r="B662" t="s">
        <v>697</v>
      </c>
      <c r="C662">
        <v>46076</v>
      </c>
      <c r="D662" t="s">
        <v>16</v>
      </c>
      <c r="E662" t="s">
        <v>137</v>
      </c>
      <c r="F662" t="s">
        <v>99</v>
      </c>
      <c r="G662" t="s">
        <v>100</v>
      </c>
      <c r="H662" t="s">
        <v>101</v>
      </c>
      <c r="I662" t="s">
        <v>22</v>
      </c>
      <c r="J662" t="s">
        <v>23</v>
      </c>
      <c r="K662" t="s">
        <v>24</v>
      </c>
      <c r="L662" t="s">
        <v>136</v>
      </c>
      <c r="M662">
        <v>28</v>
      </c>
      <c r="N662">
        <v>69</v>
      </c>
      <c r="O662">
        <v>3</v>
      </c>
      <c r="P662">
        <v>1</v>
      </c>
      <c r="Q662">
        <v>79</v>
      </c>
      <c r="R662">
        <v>0.58720000000000006</v>
      </c>
      <c r="S662">
        <v>0.88429999999999997</v>
      </c>
      <c r="U662">
        <v>0.29709999999999992</v>
      </c>
      <c r="V662">
        <v>174.20431427962995</v>
      </c>
      <c r="W662">
        <v>36.962172634870619</v>
      </c>
      <c r="X662">
        <v>217.21122599819918</v>
      </c>
      <c r="Y662">
        <v>-79.888774001800726</v>
      </c>
      <c r="Z662">
        <v>-36.779302558912427</v>
      </c>
    </row>
    <row r="663" spans="1:26" x14ac:dyDescent="0.35">
      <c r="A663">
        <v>661</v>
      </c>
      <c r="B663" t="s">
        <v>697</v>
      </c>
      <c r="C663">
        <v>46076</v>
      </c>
      <c r="D663" t="s">
        <v>16</v>
      </c>
      <c r="E663" t="s">
        <v>137</v>
      </c>
      <c r="F663" t="s">
        <v>99</v>
      </c>
      <c r="G663" t="s">
        <v>100</v>
      </c>
      <c r="H663" t="s">
        <v>101</v>
      </c>
      <c r="I663" t="s">
        <v>22</v>
      </c>
      <c r="J663" t="s">
        <v>23</v>
      </c>
      <c r="K663" t="s">
        <v>24</v>
      </c>
      <c r="L663" t="s">
        <v>136</v>
      </c>
      <c r="M663">
        <v>28</v>
      </c>
      <c r="N663">
        <v>69</v>
      </c>
      <c r="O663">
        <v>3</v>
      </c>
      <c r="P663">
        <v>2</v>
      </c>
      <c r="Q663">
        <v>80</v>
      </c>
      <c r="R663">
        <v>0.55469999999999997</v>
      </c>
      <c r="S663">
        <v>0.81410000000000005</v>
      </c>
      <c r="U663">
        <v>0.25940000000000007</v>
      </c>
      <c r="V663">
        <v>212.2813577310535</v>
      </c>
      <c r="W663">
        <v>45.005246497804876</v>
      </c>
      <c r="X663">
        <v>217.38499497899775</v>
      </c>
      <c r="Y663">
        <v>-42.015005021002338</v>
      </c>
      <c r="Z663">
        <v>-19.327463252494283</v>
      </c>
    </row>
    <row r="664" spans="1:26" x14ac:dyDescent="0.35">
      <c r="A664">
        <v>662</v>
      </c>
      <c r="B664" t="s">
        <v>697</v>
      </c>
      <c r="C664">
        <v>46076</v>
      </c>
      <c r="D664" t="s">
        <v>16</v>
      </c>
      <c r="E664" t="s">
        <v>139</v>
      </c>
      <c r="F664" t="s">
        <v>79</v>
      </c>
      <c r="G664" t="s">
        <v>80</v>
      </c>
      <c r="H664" t="s">
        <v>81</v>
      </c>
      <c r="I664" t="s">
        <v>22</v>
      </c>
      <c r="J664" t="s">
        <v>23</v>
      </c>
      <c r="K664" t="s">
        <v>24</v>
      </c>
      <c r="L664" t="s">
        <v>138</v>
      </c>
      <c r="M664">
        <v>28</v>
      </c>
      <c r="N664">
        <v>69</v>
      </c>
      <c r="O664">
        <v>3</v>
      </c>
      <c r="P664">
        <v>1</v>
      </c>
      <c r="Q664">
        <v>81</v>
      </c>
      <c r="R664">
        <v>0.56710000000000005</v>
      </c>
      <c r="S664">
        <v>0.73009999999999997</v>
      </c>
      <c r="U664">
        <v>0.16299999999999992</v>
      </c>
      <c r="V664">
        <v>304.21842480689099</v>
      </c>
      <c r="W664">
        <v>65.11267720930087</v>
      </c>
      <c r="X664">
        <v>245.08080164444777</v>
      </c>
      <c r="Y664">
        <v>82.08080164444786</v>
      </c>
      <c r="Z664">
        <v>33.491322491888617</v>
      </c>
    </row>
    <row r="665" spans="1:26" x14ac:dyDescent="0.35">
      <c r="A665">
        <v>663</v>
      </c>
      <c r="B665" t="s">
        <v>697</v>
      </c>
      <c r="C665">
        <v>46076</v>
      </c>
      <c r="D665" t="s">
        <v>16</v>
      </c>
      <c r="E665" t="s">
        <v>139</v>
      </c>
      <c r="F665" t="s">
        <v>79</v>
      </c>
      <c r="G665" t="s">
        <v>80</v>
      </c>
      <c r="H665" t="s">
        <v>81</v>
      </c>
      <c r="I665" t="s">
        <v>22</v>
      </c>
      <c r="J665" t="s">
        <v>23</v>
      </c>
      <c r="K665" t="s">
        <v>24</v>
      </c>
      <c r="L665" t="s">
        <v>138</v>
      </c>
      <c r="M665">
        <v>28</v>
      </c>
      <c r="N665">
        <v>69</v>
      </c>
      <c r="O665">
        <v>3</v>
      </c>
      <c r="P665">
        <v>2</v>
      </c>
      <c r="Q665">
        <v>82</v>
      </c>
      <c r="R665">
        <v>0.58499999999999996</v>
      </c>
      <c r="S665">
        <v>0.77339999999999998</v>
      </c>
      <c r="U665">
        <v>0.18840000000000001</v>
      </c>
      <c r="V665">
        <v>278.63164950215105</v>
      </c>
      <c r="W665">
        <v>59.660121492658647</v>
      </c>
      <c r="X665">
        <v>244.98282810791196</v>
      </c>
      <c r="Y665">
        <v>56.582828107911951</v>
      </c>
      <c r="Z665">
        <v>23.096650710141979</v>
      </c>
    </row>
    <row r="666" spans="1:26" x14ac:dyDescent="0.35">
      <c r="A666">
        <v>664</v>
      </c>
      <c r="B666" t="s">
        <v>697</v>
      </c>
      <c r="C666">
        <v>46076</v>
      </c>
      <c r="D666" t="s">
        <v>16</v>
      </c>
      <c r="E666" t="s">
        <v>141</v>
      </c>
      <c r="F666" t="s">
        <v>142</v>
      </c>
      <c r="G666" t="s">
        <v>143</v>
      </c>
      <c r="H666" t="s">
        <v>144</v>
      </c>
      <c r="I666" t="s">
        <v>22</v>
      </c>
      <c r="J666" t="s">
        <v>23</v>
      </c>
      <c r="K666" t="s">
        <v>24</v>
      </c>
      <c r="L666" t="s">
        <v>140</v>
      </c>
      <c r="M666">
        <v>28</v>
      </c>
      <c r="N666">
        <v>69</v>
      </c>
      <c r="O666">
        <v>3</v>
      </c>
      <c r="P666">
        <v>1</v>
      </c>
      <c r="Q666">
        <v>83</v>
      </c>
      <c r="R666">
        <v>0.57620000000000005</v>
      </c>
      <c r="S666">
        <v>0.82479999999999998</v>
      </c>
      <c r="U666">
        <v>0.24859999999999993</v>
      </c>
      <c r="V666">
        <v>217.43695367021391</v>
      </c>
      <c r="W666">
        <v>46.656590632527582</v>
      </c>
      <c r="X666">
        <v>259.60460004509679</v>
      </c>
      <c r="Y666">
        <v>11.004600045096851</v>
      </c>
      <c r="Z666">
        <v>4.2389849960999166</v>
      </c>
    </row>
    <row r="667" spans="1:26" x14ac:dyDescent="0.35">
      <c r="A667">
        <v>665</v>
      </c>
      <c r="B667" t="s">
        <v>697</v>
      </c>
      <c r="C667">
        <v>46076</v>
      </c>
      <c r="D667" t="s">
        <v>16</v>
      </c>
      <c r="E667" t="s">
        <v>141</v>
      </c>
      <c r="F667" t="s">
        <v>142</v>
      </c>
      <c r="G667" t="s">
        <v>143</v>
      </c>
      <c r="H667" t="s">
        <v>144</v>
      </c>
      <c r="I667" t="s">
        <v>22</v>
      </c>
      <c r="J667" t="s">
        <v>23</v>
      </c>
      <c r="K667" t="s">
        <v>24</v>
      </c>
      <c r="L667" t="s">
        <v>140</v>
      </c>
      <c r="M667">
        <v>28</v>
      </c>
      <c r="N667">
        <v>69</v>
      </c>
      <c r="O667">
        <v>3</v>
      </c>
      <c r="P667">
        <v>2</v>
      </c>
      <c r="Q667">
        <v>84</v>
      </c>
      <c r="R667">
        <v>0.59119999999999995</v>
      </c>
      <c r="S667">
        <v>0.80159999999999998</v>
      </c>
      <c r="U667">
        <v>0.21040000000000003</v>
      </c>
      <c r="V667">
        <v>255.82336845168192</v>
      </c>
      <c r="W667">
        <v>54.871416956482889</v>
      </c>
      <c r="X667">
        <v>259.70844188511478</v>
      </c>
      <c r="Y667">
        <v>49.308441885114746</v>
      </c>
      <c r="Z667">
        <v>18.986075896187828</v>
      </c>
    </row>
    <row r="668" spans="1:26" x14ac:dyDescent="0.35">
      <c r="A668">
        <v>666</v>
      </c>
      <c r="B668" t="s">
        <v>697</v>
      </c>
      <c r="C668">
        <v>46076</v>
      </c>
      <c r="D668" t="s">
        <v>16</v>
      </c>
      <c r="E668" t="s">
        <v>146</v>
      </c>
      <c r="F668" t="s">
        <v>88</v>
      </c>
      <c r="G668" t="s">
        <v>147</v>
      </c>
      <c r="H668" t="s">
        <v>148</v>
      </c>
      <c r="I668" t="s">
        <v>22</v>
      </c>
      <c r="J668" t="s">
        <v>23</v>
      </c>
      <c r="K668" t="s">
        <v>24</v>
      </c>
      <c r="L668" t="s">
        <v>145</v>
      </c>
      <c r="M668">
        <v>28</v>
      </c>
      <c r="N668">
        <v>69</v>
      </c>
      <c r="O668">
        <v>3</v>
      </c>
      <c r="P668">
        <v>1</v>
      </c>
      <c r="Q668">
        <v>85</v>
      </c>
      <c r="R668">
        <v>0.58199999999999996</v>
      </c>
      <c r="S668">
        <v>0.91849999999999998</v>
      </c>
      <c r="U668">
        <v>0.33650000000000002</v>
      </c>
      <c r="V668">
        <v>133.73647407250184</v>
      </c>
      <c r="W668">
        <v>28.440259623901937</v>
      </c>
      <c r="X668">
        <v>274.08615841709582</v>
      </c>
      <c r="Y668">
        <v>-62.413841582904183</v>
      </c>
      <c r="Z668">
        <v>-22.771613839734563</v>
      </c>
    </row>
    <row r="669" spans="1:26" x14ac:dyDescent="0.35">
      <c r="A669">
        <v>667</v>
      </c>
      <c r="B669" t="s">
        <v>697</v>
      </c>
      <c r="C669">
        <v>46076</v>
      </c>
      <c r="D669" t="s">
        <v>16</v>
      </c>
      <c r="E669" t="s">
        <v>146</v>
      </c>
      <c r="F669" t="s">
        <v>88</v>
      </c>
      <c r="G669" t="s">
        <v>147</v>
      </c>
      <c r="H669" t="s">
        <v>148</v>
      </c>
      <c r="I669" t="s">
        <v>22</v>
      </c>
      <c r="J669" t="s">
        <v>23</v>
      </c>
      <c r="K669" t="s">
        <v>24</v>
      </c>
      <c r="L669" t="s">
        <v>145</v>
      </c>
      <c r="M669">
        <v>28</v>
      </c>
      <c r="N669">
        <v>69</v>
      </c>
      <c r="O669">
        <v>3</v>
      </c>
      <c r="P669">
        <v>2</v>
      </c>
      <c r="Q669">
        <v>86</v>
      </c>
      <c r="R669">
        <v>0.57379999999999998</v>
      </c>
      <c r="S669">
        <v>0.90910000000000002</v>
      </c>
      <c r="U669">
        <v>0.33530000000000004</v>
      </c>
      <c r="V669">
        <v>134.65455772113938</v>
      </c>
      <c r="W669">
        <v>28.652676202161743</v>
      </c>
      <c r="X669">
        <v>273.92183817823667</v>
      </c>
      <c r="Y669">
        <v>-61.378161821763399</v>
      </c>
      <c r="Z669">
        <v>-22.407180906045756</v>
      </c>
    </row>
    <row r="670" spans="1:26" x14ac:dyDescent="0.35">
      <c r="A670">
        <v>668</v>
      </c>
      <c r="B670" t="s">
        <v>697</v>
      </c>
      <c r="C670">
        <v>46076</v>
      </c>
      <c r="D670" t="s">
        <v>16</v>
      </c>
      <c r="E670" t="s">
        <v>150</v>
      </c>
      <c r="F670" t="s">
        <v>142</v>
      </c>
      <c r="G670" t="s">
        <v>151</v>
      </c>
      <c r="H670" t="s">
        <v>152</v>
      </c>
      <c r="I670" t="s">
        <v>22</v>
      </c>
      <c r="J670" t="s">
        <v>23</v>
      </c>
      <c r="K670" t="s">
        <v>24</v>
      </c>
      <c r="L670" t="s">
        <v>149</v>
      </c>
      <c r="M670">
        <v>28</v>
      </c>
      <c r="N670">
        <v>69</v>
      </c>
      <c r="O670">
        <v>3</v>
      </c>
      <c r="P670">
        <v>1</v>
      </c>
      <c r="Q670">
        <v>87</v>
      </c>
      <c r="R670">
        <v>0.58099999999999996</v>
      </c>
      <c r="S670">
        <v>0.73329999999999995</v>
      </c>
      <c r="U670">
        <v>0.15229999999999999</v>
      </c>
      <c r="V670">
        <v>317.37804158752363</v>
      </c>
      <c r="W670">
        <v>67.573531969852766</v>
      </c>
      <c r="X670">
        <v>250.61925826366615</v>
      </c>
      <c r="Y670">
        <v>98.319258263666171</v>
      </c>
      <c r="Z670">
        <v>39.230527990881107</v>
      </c>
    </row>
    <row r="671" spans="1:26" x14ac:dyDescent="0.35">
      <c r="A671">
        <v>669</v>
      </c>
      <c r="B671" t="s">
        <v>697</v>
      </c>
      <c r="C671">
        <v>46076</v>
      </c>
      <c r="D671" t="s">
        <v>16</v>
      </c>
      <c r="E671" t="s">
        <v>150</v>
      </c>
      <c r="F671" t="s">
        <v>142</v>
      </c>
      <c r="G671" t="s">
        <v>151</v>
      </c>
      <c r="H671" t="s">
        <v>152</v>
      </c>
      <c r="I671" t="s">
        <v>22</v>
      </c>
      <c r="J671" t="s">
        <v>23</v>
      </c>
      <c r="K671" t="s">
        <v>24</v>
      </c>
      <c r="L671" t="s">
        <v>149</v>
      </c>
      <c r="M671">
        <v>28</v>
      </c>
      <c r="N671">
        <v>69</v>
      </c>
      <c r="O671">
        <v>3</v>
      </c>
      <c r="P671">
        <v>2</v>
      </c>
      <c r="Q671">
        <v>88</v>
      </c>
      <c r="R671">
        <v>0.57150000000000001</v>
      </c>
      <c r="S671">
        <v>0.74580000000000002</v>
      </c>
      <c r="U671">
        <v>0.17430000000000001</v>
      </c>
      <c r="V671">
        <v>295.6597920623812</v>
      </c>
      <c r="W671">
        <v>62.911720759110409</v>
      </c>
      <c r="X671">
        <v>250.76959975032707</v>
      </c>
      <c r="Y671">
        <v>76.469599750327063</v>
      </c>
      <c r="Z671">
        <v>30.493967301643515</v>
      </c>
    </row>
    <row r="672" spans="1:26" x14ac:dyDescent="0.35">
      <c r="A672">
        <v>670</v>
      </c>
      <c r="B672" t="s">
        <v>697</v>
      </c>
      <c r="C672">
        <v>46076</v>
      </c>
      <c r="D672" t="s">
        <v>16</v>
      </c>
      <c r="E672" t="s">
        <v>154</v>
      </c>
      <c r="F672" t="s">
        <v>99</v>
      </c>
      <c r="G672" t="s">
        <v>155</v>
      </c>
      <c r="H672" t="s">
        <v>156</v>
      </c>
      <c r="I672" t="s">
        <v>22</v>
      </c>
      <c r="J672" t="s">
        <v>23</v>
      </c>
      <c r="K672" t="s">
        <v>24</v>
      </c>
      <c r="L672" t="s">
        <v>153</v>
      </c>
      <c r="M672">
        <v>28</v>
      </c>
      <c r="N672">
        <v>69</v>
      </c>
      <c r="O672">
        <v>3</v>
      </c>
      <c r="P672">
        <v>1</v>
      </c>
      <c r="Q672">
        <v>89</v>
      </c>
      <c r="R672">
        <v>0.58069999999999999</v>
      </c>
      <c r="S672">
        <v>0.85070000000000001</v>
      </c>
      <c r="U672">
        <v>0.27</v>
      </c>
      <c r="V672">
        <v>196.33646238395278</v>
      </c>
      <c r="W672">
        <v>42.101889562798419</v>
      </c>
      <c r="X672">
        <v>295.85451507320545</v>
      </c>
      <c r="Y672">
        <v>25.854515073205448</v>
      </c>
      <c r="Z672">
        <v>8.7389286814866001</v>
      </c>
    </row>
    <row r="673" spans="1:26" x14ac:dyDescent="0.35">
      <c r="A673">
        <v>671</v>
      </c>
      <c r="B673" t="s">
        <v>697</v>
      </c>
      <c r="C673">
        <v>46076</v>
      </c>
      <c r="D673" t="s">
        <v>16</v>
      </c>
      <c r="E673" t="s">
        <v>154</v>
      </c>
      <c r="F673" t="s">
        <v>99</v>
      </c>
      <c r="G673" t="s">
        <v>155</v>
      </c>
      <c r="H673" t="s">
        <v>156</v>
      </c>
      <c r="I673" t="s">
        <v>22</v>
      </c>
      <c r="J673" t="s">
        <v>23</v>
      </c>
      <c r="K673" t="s">
        <v>24</v>
      </c>
      <c r="L673" t="s">
        <v>153</v>
      </c>
      <c r="M673">
        <v>28</v>
      </c>
      <c r="N673">
        <v>69</v>
      </c>
      <c r="O673">
        <v>3</v>
      </c>
      <c r="P673">
        <v>2</v>
      </c>
      <c r="Q673">
        <v>90</v>
      </c>
      <c r="R673">
        <v>0.5877</v>
      </c>
      <c r="S673">
        <v>0.87870000000000004</v>
      </c>
      <c r="U673">
        <v>0.29100000000000004</v>
      </c>
      <c r="V673">
        <v>175.42967374961012</v>
      </c>
      <c r="W673">
        <v>37.611173478594907</v>
      </c>
      <c r="X673">
        <v>295.91365049496704</v>
      </c>
      <c r="Y673">
        <v>4.913650494966987</v>
      </c>
      <c r="Z673">
        <v>1.6605014627571431</v>
      </c>
    </row>
    <row r="674" spans="1:26" x14ac:dyDescent="0.35">
      <c r="A674">
        <v>672</v>
      </c>
      <c r="B674" t="s">
        <v>697</v>
      </c>
      <c r="C674">
        <v>46076</v>
      </c>
      <c r="D674" t="s">
        <v>16</v>
      </c>
      <c r="E674" t="s">
        <v>158</v>
      </c>
      <c r="F674" t="s">
        <v>159</v>
      </c>
      <c r="G674" t="s">
        <v>160</v>
      </c>
      <c r="H674" t="s">
        <v>161</v>
      </c>
      <c r="I674" t="s">
        <v>22</v>
      </c>
      <c r="J674" t="s">
        <v>23</v>
      </c>
      <c r="K674" t="s">
        <v>24</v>
      </c>
      <c r="L674" t="s">
        <v>157</v>
      </c>
      <c r="M674">
        <v>28</v>
      </c>
      <c r="N674">
        <v>69</v>
      </c>
      <c r="O674">
        <v>3</v>
      </c>
      <c r="P674">
        <v>1</v>
      </c>
      <c r="Q674">
        <v>91</v>
      </c>
      <c r="R674">
        <v>0.5927</v>
      </c>
      <c r="S674">
        <v>0.92759999999999998</v>
      </c>
      <c r="U674">
        <v>0.33489999999999998</v>
      </c>
      <c r="V674">
        <v>129.13221211515389</v>
      </c>
      <c r="W674">
        <v>27.828286214558862</v>
      </c>
      <c r="X674">
        <v>247.63536504026968</v>
      </c>
      <c r="Y674">
        <v>-87.264634959730301</v>
      </c>
      <c r="Z674">
        <v>-35.239165030220789</v>
      </c>
    </row>
    <row r="675" spans="1:26" x14ac:dyDescent="0.35">
      <c r="A675">
        <v>673</v>
      </c>
      <c r="B675" t="s">
        <v>697</v>
      </c>
      <c r="C675">
        <v>46076</v>
      </c>
      <c r="D675" t="s">
        <v>16</v>
      </c>
      <c r="E675" t="s">
        <v>158</v>
      </c>
      <c r="F675" t="s">
        <v>159</v>
      </c>
      <c r="G675" t="s">
        <v>160</v>
      </c>
      <c r="H675" t="s">
        <v>161</v>
      </c>
      <c r="I675" t="s">
        <v>22</v>
      </c>
      <c r="J675" t="s">
        <v>23</v>
      </c>
      <c r="K675" t="s">
        <v>24</v>
      </c>
      <c r="L675" t="s">
        <v>157</v>
      </c>
      <c r="M675">
        <v>28</v>
      </c>
      <c r="N675">
        <v>69</v>
      </c>
      <c r="O675">
        <v>3</v>
      </c>
      <c r="P675">
        <v>2</v>
      </c>
      <c r="Q675">
        <v>92</v>
      </c>
      <c r="R675">
        <v>0.56210000000000004</v>
      </c>
      <c r="S675">
        <v>0.86599999999999999</v>
      </c>
      <c r="U675">
        <v>0.30389999999999995</v>
      </c>
      <c r="V675">
        <v>160.03942423030787</v>
      </c>
      <c r="W675">
        <v>34.495758685698902</v>
      </c>
      <c r="X675">
        <v>247.58584787069555</v>
      </c>
      <c r="Y675">
        <v>-56.314152129304375</v>
      </c>
      <c r="Z675">
        <v>-22.745303341697891</v>
      </c>
    </row>
    <row r="676" spans="1:26" x14ac:dyDescent="0.35">
      <c r="A676">
        <v>674</v>
      </c>
      <c r="B676" t="s">
        <v>697</v>
      </c>
      <c r="C676">
        <v>46076</v>
      </c>
      <c r="D676" t="s">
        <v>16</v>
      </c>
      <c r="E676" t="s">
        <v>163</v>
      </c>
      <c r="F676" t="s">
        <v>129</v>
      </c>
      <c r="G676" t="s">
        <v>164</v>
      </c>
      <c r="H676" t="s">
        <v>165</v>
      </c>
      <c r="I676" t="s">
        <v>22</v>
      </c>
      <c r="J676" t="s">
        <v>23</v>
      </c>
      <c r="K676" t="s">
        <v>24</v>
      </c>
      <c r="L676" t="s">
        <v>162</v>
      </c>
      <c r="M676">
        <v>28</v>
      </c>
      <c r="N676">
        <v>69</v>
      </c>
      <c r="O676">
        <v>3</v>
      </c>
      <c r="P676">
        <v>1</v>
      </c>
      <c r="Q676">
        <v>93</v>
      </c>
      <c r="R676">
        <v>0.60429999999999995</v>
      </c>
      <c r="S676">
        <v>0.91379999999999995</v>
      </c>
      <c r="U676">
        <v>0.3095</v>
      </c>
      <c r="V676">
        <v>156.7771661738268</v>
      </c>
      <c r="W676">
        <v>33.623170411776229</v>
      </c>
      <c r="X676">
        <v>319.3588516135797</v>
      </c>
      <c r="Y676">
        <v>9.8588516135797022</v>
      </c>
      <c r="Z676">
        <v>3.0870763605790992</v>
      </c>
    </row>
    <row r="677" spans="1:26" x14ac:dyDescent="0.35">
      <c r="A677">
        <v>675</v>
      </c>
      <c r="B677" t="s">
        <v>697</v>
      </c>
      <c r="C677">
        <v>46076</v>
      </c>
      <c r="D677" t="s">
        <v>16</v>
      </c>
      <c r="E677" t="s">
        <v>163</v>
      </c>
      <c r="F677" t="s">
        <v>129</v>
      </c>
      <c r="G677" t="s">
        <v>164</v>
      </c>
      <c r="H677" t="s">
        <v>165</v>
      </c>
      <c r="I677" t="s">
        <v>22</v>
      </c>
      <c r="J677" t="s">
        <v>23</v>
      </c>
      <c r="K677" t="s">
        <v>24</v>
      </c>
      <c r="L677" t="s">
        <v>162</v>
      </c>
      <c r="M677">
        <v>28</v>
      </c>
      <c r="N677">
        <v>69</v>
      </c>
      <c r="O677">
        <v>3</v>
      </c>
      <c r="P677">
        <v>2</v>
      </c>
      <c r="Q677">
        <v>94</v>
      </c>
      <c r="R677">
        <v>0.57289999999999996</v>
      </c>
      <c r="S677">
        <v>0.89270000000000005</v>
      </c>
      <c r="U677">
        <v>0.31980000000000008</v>
      </c>
      <c r="V677">
        <v>146.38392938794919</v>
      </c>
      <c r="W677">
        <v>31.400466674202171</v>
      </c>
      <c r="X677">
        <v>319.29499261505674</v>
      </c>
      <c r="Y677">
        <v>-0.50500738494332609</v>
      </c>
      <c r="Z677">
        <v>-0.15816326488782895</v>
      </c>
    </row>
    <row r="678" spans="1:26" x14ac:dyDescent="0.35">
      <c r="A678">
        <v>676</v>
      </c>
      <c r="B678" t="s">
        <v>697</v>
      </c>
      <c r="C678">
        <v>46076</v>
      </c>
      <c r="D678" t="s">
        <v>16</v>
      </c>
      <c r="E678" t="s">
        <v>167</v>
      </c>
      <c r="F678" t="s">
        <v>88</v>
      </c>
      <c r="G678" t="s">
        <v>168</v>
      </c>
      <c r="H678" t="s">
        <v>169</v>
      </c>
      <c r="I678" t="s">
        <v>22</v>
      </c>
      <c r="J678" t="s">
        <v>23</v>
      </c>
      <c r="K678" t="s">
        <v>24</v>
      </c>
      <c r="L678" t="s">
        <v>166</v>
      </c>
      <c r="M678">
        <v>28</v>
      </c>
      <c r="N678">
        <v>69</v>
      </c>
      <c r="O678">
        <v>3</v>
      </c>
      <c r="P678">
        <v>1</v>
      </c>
      <c r="Q678">
        <v>95</v>
      </c>
      <c r="R678">
        <v>0.56720000000000004</v>
      </c>
      <c r="S678">
        <v>0.81779999999999997</v>
      </c>
      <c r="U678">
        <v>0.25059999999999993</v>
      </c>
      <c r="V678">
        <v>222.57368709287218</v>
      </c>
      <c r="W678">
        <v>47.038475123234512</v>
      </c>
      <c r="X678">
        <v>297.35966432787967</v>
      </c>
      <c r="Y678">
        <v>46.759664327879733</v>
      </c>
      <c r="Z678">
        <v>15.724951947860962</v>
      </c>
    </row>
    <row r="679" spans="1:26" x14ac:dyDescent="0.35">
      <c r="A679">
        <v>677</v>
      </c>
      <c r="B679" t="s">
        <v>697</v>
      </c>
      <c r="C679">
        <v>46076</v>
      </c>
      <c r="D679" t="s">
        <v>16</v>
      </c>
      <c r="E679" t="s">
        <v>167</v>
      </c>
      <c r="F679" t="s">
        <v>88</v>
      </c>
      <c r="G679" t="s">
        <v>168</v>
      </c>
      <c r="H679" t="s">
        <v>169</v>
      </c>
      <c r="I679" t="s">
        <v>22</v>
      </c>
      <c r="J679" t="s">
        <v>23</v>
      </c>
      <c r="K679" t="s">
        <v>24</v>
      </c>
      <c r="L679" t="s">
        <v>166</v>
      </c>
      <c r="M679">
        <v>28</v>
      </c>
      <c r="N679">
        <v>69</v>
      </c>
      <c r="O679">
        <v>3</v>
      </c>
      <c r="P679">
        <v>2</v>
      </c>
      <c r="Q679">
        <v>96</v>
      </c>
      <c r="R679">
        <v>0.59240000000000004</v>
      </c>
      <c r="S679">
        <v>0.87870000000000004</v>
      </c>
      <c r="U679">
        <v>0.2863</v>
      </c>
      <c r="V679">
        <v>186.77907127861636</v>
      </c>
      <c r="W679">
        <v>39.481575621977626</v>
      </c>
      <c r="X679">
        <v>297.30020428702227</v>
      </c>
      <c r="Y679">
        <v>11.000204287022257</v>
      </c>
      <c r="Z679">
        <v>3.7000325355990467</v>
      </c>
    </row>
    <row r="680" spans="1:26" x14ac:dyDescent="0.35">
      <c r="A680">
        <v>678</v>
      </c>
      <c r="B680" t="s">
        <v>697</v>
      </c>
      <c r="C680">
        <v>46076</v>
      </c>
      <c r="D680" t="s">
        <v>16</v>
      </c>
      <c r="E680" t="s">
        <v>171</v>
      </c>
      <c r="F680" t="s">
        <v>88</v>
      </c>
      <c r="G680" t="s">
        <v>147</v>
      </c>
      <c r="H680" t="s">
        <v>148</v>
      </c>
      <c r="I680" t="s">
        <v>22</v>
      </c>
      <c r="J680" t="s">
        <v>23</v>
      </c>
      <c r="K680" t="s">
        <v>24</v>
      </c>
      <c r="L680" t="s">
        <v>170</v>
      </c>
      <c r="M680">
        <v>28</v>
      </c>
      <c r="N680">
        <v>69</v>
      </c>
      <c r="O680">
        <v>3</v>
      </c>
      <c r="P680">
        <v>1</v>
      </c>
      <c r="Q680">
        <v>97</v>
      </c>
      <c r="R680">
        <v>0.58899999999999997</v>
      </c>
      <c r="S680">
        <v>0.86299999999999999</v>
      </c>
      <c r="U680">
        <v>0.27400000000000002</v>
      </c>
      <c r="V680">
        <v>200.0288520313469</v>
      </c>
      <c r="W680">
        <v>42.197611215892664</v>
      </c>
      <c r="X680">
        <v>248.23736432231553</v>
      </c>
      <c r="Y680">
        <v>-25.762635677684472</v>
      </c>
      <c r="Z680">
        <v>-10.378226399565634</v>
      </c>
    </row>
    <row r="681" spans="1:26" x14ac:dyDescent="0.35">
      <c r="A681">
        <v>679</v>
      </c>
      <c r="B681" t="s">
        <v>697</v>
      </c>
      <c r="C681">
        <v>46076</v>
      </c>
      <c r="D681" t="s">
        <v>16</v>
      </c>
      <c r="E681" t="s">
        <v>171</v>
      </c>
      <c r="F681" t="s">
        <v>88</v>
      </c>
      <c r="G681" t="s">
        <v>147</v>
      </c>
      <c r="H681" t="s">
        <v>148</v>
      </c>
      <c r="I681" t="s">
        <v>22</v>
      </c>
      <c r="J681" t="s">
        <v>23</v>
      </c>
      <c r="K681" t="s">
        <v>24</v>
      </c>
      <c r="L681" t="s">
        <v>170</v>
      </c>
      <c r="M681">
        <v>28</v>
      </c>
      <c r="N681">
        <v>69</v>
      </c>
      <c r="O681">
        <v>3</v>
      </c>
      <c r="P681">
        <v>2</v>
      </c>
      <c r="Q681">
        <v>98</v>
      </c>
      <c r="R681">
        <v>0.57320000000000004</v>
      </c>
      <c r="S681">
        <v>0.8609</v>
      </c>
      <c r="U681">
        <v>0.28769999999999996</v>
      </c>
      <c r="V681">
        <v>186.32885203134697</v>
      </c>
      <c r="W681">
        <v>39.307491776687314</v>
      </c>
      <c r="X681">
        <v>248.23736432231553</v>
      </c>
      <c r="Y681">
        <v>-39.462635677684403</v>
      </c>
      <c r="Z681">
        <v>-15.897137719543888</v>
      </c>
    </row>
    <row r="682" spans="1:26" x14ac:dyDescent="0.35">
      <c r="A682">
        <v>680</v>
      </c>
      <c r="B682" t="s">
        <v>697</v>
      </c>
      <c r="C682">
        <v>46076</v>
      </c>
      <c r="D682" t="s">
        <v>16</v>
      </c>
      <c r="E682" t="s">
        <v>173</v>
      </c>
      <c r="F682" t="s">
        <v>99</v>
      </c>
      <c r="G682" t="s">
        <v>100</v>
      </c>
      <c r="H682" t="s">
        <v>101</v>
      </c>
      <c r="I682" t="s">
        <v>22</v>
      </c>
      <c r="J682" t="s">
        <v>23</v>
      </c>
      <c r="K682" t="s">
        <v>24</v>
      </c>
      <c r="L682" t="s">
        <v>172</v>
      </c>
      <c r="M682">
        <v>28</v>
      </c>
      <c r="N682">
        <v>69</v>
      </c>
      <c r="O682">
        <v>3</v>
      </c>
      <c r="P682">
        <v>1</v>
      </c>
      <c r="Q682">
        <v>99</v>
      </c>
      <c r="R682">
        <v>0.58020000000000005</v>
      </c>
      <c r="S682">
        <v>0.80579999999999996</v>
      </c>
      <c r="U682">
        <v>0.22559999999999991</v>
      </c>
      <c r="V682">
        <v>243.12341797460761</v>
      </c>
      <c r="W682">
        <v>51.86927058715434</v>
      </c>
      <c r="X682">
        <v>265.60681065483283</v>
      </c>
      <c r="Y682">
        <v>40.006810654832918</v>
      </c>
      <c r="Z682">
        <v>15.062418977961919</v>
      </c>
    </row>
    <row r="683" spans="1:26" x14ac:dyDescent="0.35">
      <c r="A683">
        <v>681</v>
      </c>
      <c r="B683" t="s">
        <v>697</v>
      </c>
      <c r="C683">
        <v>46076</v>
      </c>
      <c r="D683" t="s">
        <v>16</v>
      </c>
      <c r="E683" t="s">
        <v>173</v>
      </c>
      <c r="F683" t="s">
        <v>99</v>
      </c>
      <c r="G683" t="s">
        <v>100</v>
      </c>
      <c r="H683" t="s">
        <v>101</v>
      </c>
      <c r="I683" t="s">
        <v>22</v>
      </c>
      <c r="J683" t="s">
        <v>23</v>
      </c>
      <c r="K683" t="s">
        <v>24</v>
      </c>
      <c r="L683" t="s">
        <v>172</v>
      </c>
      <c r="M683">
        <v>28</v>
      </c>
      <c r="N683">
        <v>69</v>
      </c>
      <c r="O683">
        <v>3</v>
      </c>
      <c r="P683">
        <v>2</v>
      </c>
      <c r="Q683">
        <v>100</v>
      </c>
      <c r="R683">
        <v>0.57550000000000001</v>
      </c>
      <c r="S683">
        <v>0.77280000000000004</v>
      </c>
      <c r="U683">
        <v>0.19730000000000003</v>
      </c>
      <c r="V683">
        <v>271.23600357317832</v>
      </c>
      <c r="W683">
        <v>57.890109085462271</v>
      </c>
      <c r="X683">
        <v>265.50061041066857</v>
      </c>
      <c r="Y683">
        <v>68.200610410668531</v>
      </c>
      <c r="Z683">
        <v>25.687553149191565</v>
      </c>
    </row>
    <row r="684" spans="1:26" x14ac:dyDescent="0.35">
      <c r="A684">
        <v>682</v>
      </c>
      <c r="B684" t="s">
        <v>697</v>
      </c>
      <c r="C684">
        <v>46076</v>
      </c>
      <c r="D684" t="s">
        <v>16</v>
      </c>
      <c r="E684" t="s">
        <v>175</v>
      </c>
      <c r="F684" t="s">
        <v>159</v>
      </c>
      <c r="G684" t="s">
        <v>160</v>
      </c>
      <c r="H684" t="s">
        <v>161</v>
      </c>
      <c r="I684" t="s">
        <v>22</v>
      </c>
      <c r="J684" t="s">
        <v>23</v>
      </c>
      <c r="K684" t="s">
        <v>24</v>
      </c>
      <c r="L684" t="s">
        <v>174</v>
      </c>
      <c r="M684">
        <v>28</v>
      </c>
      <c r="N684">
        <v>69</v>
      </c>
      <c r="O684">
        <v>3</v>
      </c>
      <c r="P684">
        <v>1</v>
      </c>
      <c r="Q684">
        <v>101</v>
      </c>
      <c r="R684">
        <v>0.57799999999999996</v>
      </c>
      <c r="S684">
        <v>0.90769999999999995</v>
      </c>
      <c r="U684">
        <v>0.32969999999999999</v>
      </c>
      <c r="V684">
        <v>144.88713101979579</v>
      </c>
      <c r="W684">
        <v>30.529089718143311</v>
      </c>
      <c r="X684">
        <v>261.03270967869952</v>
      </c>
      <c r="Y684">
        <v>-68.66729032130047</v>
      </c>
      <c r="Z684">
        <v>-26.30600985057459</v>
      </c>
    </row>
    <row r="685" spans="1:26" x14ac:dyDescent="0.35">
      <c r="A685">
        <v>683</v>
      </c>
      <c r="B685" t="s">
        <v>697</v>
      </c>
      <c r="C685">
        <v>46076</v>
      </c>
      <c r="D685" t="s">
        <v>16</v>
      </c>
      <c r="E685" t="s">
        <v>175</v>
      </c>
      <c r="F685" t="s">
        <v>159</v>
      </c>
      <c r="G685" t="s">
        <v>160</v>
      </c>
      <c r="H685" t="s">
        <v>161</v>
      </c>
      <c r="I685" t="s">
        <v>22</v>
      </c>
      <c r="J685" t="s">
        <v>23</v>
      </c>
      <c r="K685" t="s">
        <v>24</v>
      </c>
      <c r="L685" t="s">
        <v>174</v>
      </c>
      <c r="M685">
        <v>28</v>
      </c>
      <c r="N685">
        <v>69</v>
      </c>
      <c r="O685">
        <v>3</v>
      </c>
      <c r="P685">
        <v>2</v>
      </c>
      <c r="Q685">
        <v>102</v>
      </c>
      <c r="R685">
        <v>0.56840000000000002</v>
      </c>
      <c r="S685">
        <v>0.94610000000000005</v>
      </c>
      <c r="U685">
        <v>0.37770000000000004</v>
      </c>
      <c r="V685">
        <v>96.602549490101694</v>
      </c>
      <c r="W685">
        <v>20.367284467257054</v>
      </c>
      <c r="X685">
        <v>260.87618396831857</v>
      </c>
      <c r="Y685">
        <v>-116.82381603168147</v>
      </c>
      <c r="Z685">
        <v>-44.78132662576391</v>
      </c>
    </row>
    <row r="686" spans="1:26" x14ac:dyDescent="0.35">
      <c r="A686">
        <v>684</v>
      </c>
      <c r="B686" t="s">
        <v>697</v>
      </c>
      <c r="C686">
        <v>46076</v>
      </c>
      <c r="D686" t="s">
        <v>16</v>
      </c>
      <c r="E686" t="s">
        <v>177</v>
      </c>
      <c r="F686" t="s">
        <v>159</v>
      </c>
      <c r="G686" t="s">
        <v>160</v>
      </c>
      <c r="H686" t="s">
        <v>161</v>
      </c>
      <c r="I686" t="s">
        <v>22</v>
      </c>
      <c r="J686" t="s">
        <v>23</v>
      </c>
      <c r="K686" t="s">
        <v>24</v>
      </c>
      <c r="L686" t="s">
        <v>176</v>
      </c>
      <c r="M686">
        <v>28</v>
      </c>
      <c r="N686">
        <v>69</v>
      </c>
      <c r="O686">
        <v>3</v>
      </c>
      <c r="P686">
        <v>1</v>
      </c>
      <c r="Q686">
        <v>103</v>
      </c>
      <c r="R686">
        <v>0.57530000000000003</v>
      </c>
      <c r="S686">
        <v>1.0061</v>
      </c>
      <c r="U686">
        <v>0.43079999999999996</v>
      </c>
      <c r="V686">
        <v>38.867438256174353</v>
      </c>
      <c r="W686">
        <v>8.2755232937767733</v>
      </c>
      <c r="X686">
        <v>257.98642701848371</v>
      </c>
      <c r="Y686">
        <v>-172.81357298151624</v>
      </c>
      <c r="Z686">
        <v>-66.985529036818221</v>
      </c>
    </row>
    <row r="687" spans="1:26" x14ac:dyDescent="0.35">
      <c r="A687">
        <v>685</v>
      </c>
      <c r="B687" t="s">
        <v>697</v>
      </c>
      <c r="C687">
        <v>46076</v>
      </c>
      <c r="D687" t="s">
        <v>16</v>
      </c>
      <c r="E687" t="s">
        <v>177</v>
      </c>
      <c r="F687" t="s">
        <v>159</v>
      </c>
      <c r="G687" t="s">
        <v>160</v>
      </c>
      <c r="H687" t="s">
        <v>161</v>
      </c>
      <c r="I687" t="s">
        <v>22</v>
      </c>
      <c r="J687" t="s">
        <v>23</v>
      </c>
      <c r="K687" t="s">
        <v>24</v>
      </c>
      <c r="L687" t="s">
        <v>176</v>
      </c>
      <c r="M687">
        <v>28</v>
      </c>
      <c r="N687">
        <v>69</v>
      </c>
      <c r="O687">
        <v>3</v>
      </c>
      <c r="P687">
        <v>2</v>
      </c>
      <c r="Q687">
        <v>104</v>
      </c>
      <c r="R687">
        <v>0.5645</v>
      </c>
      <c r="S687">
        <v>0.8891</v>
      </c>
      <c r="U687">
        <v>0.3246</v>
      </c>
      <c r="V687">
        <v>144.78580677211102</v>
      </c>
      <c r="W687">
        <v>30.845799911969895</v>
      </c>
      <c r="X687">
        <v>257.83172798169471</v>
      </c>
      <c r="Y687">
        <v>-66.768272018305311</v>
      </c>
      <c r="Z687">
        <v>-25.896065058000023</v>
      </c>
    </row>
    <row r="688" spans="1:26" x14ac:dyDescent="0.35">
      <c r="A688">
        <v>686</v>
      </c>
      <c r="B688" t="s">
        <v>697</v>
      </c>
      <c r="C688">
        <v>46076</v>
      </c>
      <c r="D688" t="s">
        <v>16</v>
      </c>
      <c r="E688" t="s">
        <v>181</v>
      </c>
      <c r="F688" t="s">
        <v>159</v>
      </c>
      <c r="G688" t="s">
        <v>160</v>
      </c>
      <c r="H688" t="s">
        <v>161</v>
      </c>
      <c r="I688" t="s">
        <v>22</v>
      </c>
      <c r="J688" t="s">
        <v>23</v>
      </c>
      <c r="K688" t="s">
        <v>24</v>
      </c>
      <c r="L688" t="s">
        <v>180</v>
      </c>
      <c r="M688">
        <v>28</v>
      </c>
      <c r="N688">
        <v>69</v>
      </c>
      <c r="O688">
        <v>3</v>
      </c>
      <c r="P688">
        <v>1</v>
      </c>
      <c r="Q688">
        <v>105</v>
      </c>
      <c r="R688">
        <v>0.56940000000000002</v>
      </c>
      <c r="S688">
        <v>1.0162</v>
      </c>
      <c r="U688">
        <v>0.44679999999999997</v>
      </c>
      <c r="V688">
        <v>30.779496374065843</v>
      </c>
      <c r="W688">
        <v>6.4448948515908846</v>
      </c>
      <c r="X688">
        <v>259.59567299088934</v>
      </c>
      <c r="Y688">
        <v>-187.20432700911061</v>
      </c>
      <c r="Z688">
        <v>-72.113808698067416</v>
      </c>
    </row>
    <row r="689" spans="1:26" x14ac:dyDescent="0.35">
      <c r="A689">
        <v>687</v>
      </c>
      <c r="B689" t="s">
        <v>697</v>
      </c>
      <c r="C689">
        <v>46076</v>
      </c>
      <c r="D689" t="s">
        <v>16</v>
      </c>
      <c r="E689" t="s">
        <v>181</v>
      </c>
      <c r="F689" t="s">
        <v>159</v>
      </c>
      <c r="G689" t="s">
        <v>160</v>
      </c>
      <c r="H689" t="s">
        <v>161</v>
      </c>
      <c r="I689" t="s">
        <v>22</v>
      </c>
      <c r="J689" t="s">
        <v>23</v>
      </c>
      <c r="K689" t="s">
        <v>24</v>
      </c>
      <c r="L689" t="s">
        <v>180</v>
      </c>
      <c r="M689">
        <v>28</v>
      </c>
      <c r="N689">
        <v>69</v>
      </c>
      <c r="O689">
        <v>3</v>
      </c>
      <c r="P689">
        <v>2</v>
      </c>
      <c r="Q689">
        <v>106</v>
      </c>
      <c r="R689">
        <v>0.59460000000000002</v>
      </c>
      <c r="S689">
        <v>0.92490000000000006</v>
      </c>
      <c r="U689">
        <v>0.33030000000000004</v>
      </c>
      <c r="V689">
        <v>147.56604407189025</v>
      </c>
      <c r="W689">
        <v>30.880211285673688</v>
      </c>
      <c r="X689">
        <v>259.75143039468389</v>
      </c>
      <c r="Y689">
        <v>-70.548569605316118</v>
      </c>
      <c r="Z689">
        <v>-27.160031226053249</v>
      </c>
    </row>
    <row r="690" spans="1:26" x14ac:dyDescent="0.35">
      <c r="A690">
        <v>688</v>
      </c>
      <c r="B690" t="s">
        <v>697</v>
      </c>
      <c r="C690">
        <v>46076</v>
      </c>
      <c r="D690" t="s">
        <v>16</v>
      </c>
      <c r="E690" t="s">
        <v>183</v>
      </c>
      <c r="F690" t="s">
        <v>19</v>
      </c>
      <c r="G690" t="s">
        <v>20</v>
      </c>
      <c r="H690" t="s">
        <v>21</v>
      </c>
      <c r="I690" t="s">
        <v>22</v>
      </c>
      <c r="J690" t="s">
        <v>23</v>
      </c>
      <c r="K690" t="s">
        <v>24</v>
      </c>
      <c r="L690" t="s">
        <v>182</v>
      </c>
      <c r="M690">
        <v>28</v>
      </c>
      <c r="N690">
        <v>69</v>
      </c>
      <c r="O690">
        <v>3</v>
      </c>
      <c r="P690">
        <v>1</v>
      </c>
      <c r="Q690">
        <v>107</v>
      </c>
      <c r="R690">
        <v>0.54290000000000005</v>
      </c>
      <c r="S690">
        <v>0.90039999999999998</v>
      </c>
      <c r="T690" t="s">
        <v>584</v>
      </c>
      <c r="U690">
        <v>0.35749999999999993</v>
      </c>
      <c r="V690">
        <v>122.06670894991873</v>
      </c>
      <c r="W690">
        <v>25.453541013554009</v>
      </c>
      <c r="X690">
        <v>312.64556100826297</v>
      </c>
      <c r="Y690">
        <v>-44.85443899173697</v>
      </c>
      <c r="Z690">
        <v>-14.346737835357112</v>
      </c>
    </row>
    <row r="691" spans="1:26" x14ac:dyDescent="0.35">
      <c r="A691">
        <v>689</v>
      </c>
      <c r="B691" t="s">
        <v>697</v>
      </c>
      <c r="C691">
        <v>46076</v>
      </c>
      <c r="D691" t="s">
        <v>16</v>
      </c>
      <c r="E691" t="s">
        <v>183</v>
      </c>
      <c r="F691" t="s">
        <v>19</v>
      </c>
      <c r="G691" t="s">
        <v>20</v>
      </c>
      <c r="H691" t="s">
        <v>21</v>
      </c>
      <c r="I691" t="s">
        <v>22</v>
      </c>
      <c r="J691" t="s">
        <v>23</v>
      </c>
      <c r="K691" t="s">
        <v>24</v>
      </c>
      <c r="L691" t="s">
        <v>182</v>
      </c>
      <c r="M691">
        <v>28</v>
      </c>
      <c r="N691">
        <v>69</v>
      </c>
      <c r="O691">
        <v>3</v>
      </c>
      <c r="P691">
        <v>2</v>
      </c>
      <c r="Q691">
        <v>108</v>
      </c>
      <c r="R691">
        <v>0.54879999999999995</v>
      </c>
      <c r="S691">
        <v>1.0387999999999999</v>
      </c>
      <c r="U691">
        <v>0.49</v>
      </c>
      <c r="X691">
        <v>312.52057777380037</v>
      </c>
      <c r="Y691">
        <v>-177.47942222619963</v>
      </c>
      <c r="Z691">
        <v>-56.789675576069641</v>
      </c>
    </row>
    <row r="692" spans="1:26" x14ac:dyDescent="0.35">
      <c r="A692">
        <v>690</v>
      </c>
      <c r="B692" t="s">
        <v>697</v>
      </c>
      <c r="C692">
        <v>46076</v>
      </c>
      <c r="D692" t="s">
        <v>16</v>
      </c>
      <c r="E692" t="s">
        <v>185</v>
      </c>
      <c r="F692" t="s">
        <v>19</v>
      </c>
      <c r="G692" t="s">
        <v>20</v>
      </c>
      <c r="H692" t="s">
        <v>21</v>
      </c>
      <c r="I692" t="s">
        <v>22</v>
      </c>
      <c r="J692" t="s">
        <v>23</v>
      </c>
      <c r="K692" t="s">
        <v>24</v>
      </c>
      <c r="L692" t="s">
        <v>184</v>
      </c>
      <c r="M692">
        <v>28</v>
      </c>
      <c r="N692">
        <v>69</v>
      </c>
      <c r="O692">
        <v>3</v>
      </c>
      <c r="P692">
        <v>1</v>
      </c>
      <c r="Q692">
        <v>109</v>
      </c>
      <c r="R692">
        <v>0.5625</v>
      </c>
      <c r="S692">
        <v>0.94040000000000001</v>
      </c>
      <c r="U692">
        <v>0.37790000000000001</v>
      </c>
      <c r="V692">
        <v>100.63798794974622</v>
      </c>
      <c r="W692">
        <v>21.030302814813258</v>
      </c>
      <c r="X692">
        <v>311.8771458734978</v>
      </c>
      <c r="Y692">
        <v>-66.022854126502239</v>
      </c>
      <c r="Z692">
        <v>-21.169506967747527</v>
      </c>
    </row>
    <row r="693" spans="1:26" x14ac:dyDescent="0.35">
      <c r="A693">
        <v>691</v>
      </c>
      <c r="B693" t="s">
        <v>697</v>
      </c>
      <c r="C693">
        <v>46076</v>
      </c>
      <c r="D693" t="s">
        <v>16</v>
      </c>
      <c r="E693" t="s">
        <v>185</v>
      </c>
      <c r="F693" t="s">
        <v>19</v>
      </c>
      <c r="G693" t="s">
        <v>20</v>
      </c>
      <c r="H693" t="s">
        <v>21</v>
      </c>
      <c r="I693" t="s">
        <v>22</v>
      </c>
      <c r="J693" t="s">
        <v>23</v>
      </c>
      <c r="K693" t="s">
        <v>24</v>
      </c>
      <c r="L693" t="s">
        <v>184</v>
      </c>
      <c r="M693">
        <v>28</v>
      </c>
      <c r="N693">
        <v>69</v>
      </c>
      <c r="O693">
        <v>3</v>
      </c>
      <c r="P693">
        <v>2</v>
      </c>
      <c r="Q693">
        <v>110</v>
      </c>
      <c r="R693">
        <v>0.58240000000000003</v>
      </c>
      <c r="S693">
        <v>1.0024</v>
      </c>
      <c r="U693">
        <v>0.41999999999999993</v>
      </c>
      <c r="V693">
        <v>58.537987949746309</v>
      </c>
      <c r="W693">
        <v>12.232673146921345</v>
      </c>
      <c r="X693">
        <v>311.8771458734978</v>
      </c>
      <c r="Y693">
        <v>-108.12285412650215</v>
      </c>
      <c r="Z693">
        <v>-34.668412083762767</v>
      </c>
    </row>
    <row r="694" spans="1:26" x14ac:dyDescent="0.35">
      <c r="A694">
        <v>692</v>
      </c>
      <c r="B694" t="s">
        <v>697</v>
      </c>
      <c r="C694">
        <v>46076</v>
      </c>
      <c r="D694" t="s">
        <v>16</v>
      </c>
      <c r="E694" t="s">
        <v>187</v>
      </c>
      <c r="F694" t="s">
        <v>105</v>
      </c>
      <c r="G694" t="s">
        <v>188</v>
      </c>
      <c r="H694" t="s">
        <v>189</v>
      </c>
      <c r="I694" t="s">
        <v>22</v>
      </c>
      <c r="J694" t="s">
        <v>23</v>
      </c>
      <c r="K694" t="s">
        <v>24</v>
      </c>
      <c r="L694" t="s">
        <v>186</v>
      </c>
      <c r="M694">
        <v>28</v>
      </c>
      <c r="N694">
        <v>69</v>
      </c>
      <c r="O694">
        <v>3</v>
      </c>
      <c r="P694">
        <v>1</v>
      </c>
      <c r="Q694">
        <v>111</v>
      </c>
      <c r="R694">
        <v>0.58430000000000004</v>
      </c>
      <c r="S694">
        <v>0.82989999999999997</v>
      </c>
      <c r="U694">
        <v>0.24559999999999993</v>
      </c>
      <c r="V694">
        <v>228.79613340253113</v>
      </c>
      <c r="W694">
        <v>48.228920366936201</v>
      </c>
      <c r="X694">
        <v>322.95021664908489</v>
      </c>
      <c r="Y694">
        <v>77.350216649084956</v>
      </c>
      <c r="Z694">
        <v>23.951127034893148</v>
      </c>
    </row>
    <row r="695" spans="1:26" x14ac:dyDescent="0.35">
      <c r="A695">
        <v>693</v>
      </c>
      <c r="B695" t="s">
        <v>697</v>
      </c>
      <c r="C695">
        <v>46076</v>
      </c>
      <c r="D695" t="s">
        <v>16</v>
      </c>
      <c r="E695" t="s">
        <v>187</v>
      </c>
      <c r="F695" t="s">
        <v>105</v>
      </c>
      <c r="G695" t="s">
        <v>188</v>
      </c>
      <c r="H695" t="s">
        <v>189</v>
      </c>
      <c r="I695" t="s">
        <v>22</v>
      </c>
      <c r="J695" t="s">
        <v>23</v>
      </c>
      <c r="K695" t="s">
        <v>24</v>
      </c>
      <c r="L695" t="s">
        <v>186</v>
      </c>
      <c r="M695">
        <v>28</v>
      </c>
      <c r="N695">
        <v>69</v>
      </c>
      <c r="O695">
        <v>3</v>
      </c>
      <c r="P695">
        <v>2</v>
      </c>
      <c r="Q695">
        <v>112</v>
      </c>
      <c r="R695">
        <v>0.58730000000000004</v>
      </c>
      <c r="S695">
        <v>0.95679999999999998</v>
      </c>
      <c r="U695">
        <v>0.36949999999999994</v>
      </c>
      <c r="V695">
        <v>104.99097469269554</v>
      </c>
      <c r="W695">
        <v>22.127075180026985</v>
      </c>
      <c r="X695">
        <v>323.01478086672762</v>
      </c>
      <c r="Y695">
        <v>-46.485219133272324</v>
      </c>
      <c r="Z695">
        <v>-14.391050158305795</v>
      </c>
    </row>
    <row r="696" spans="1:26" x14ac:dyDescent="0.35">
      <c r="A696">
        <v>694</v>
      </c>
      <c r="C696">
        <v>46076</v>
      </c>
      <c r="D696" t="s">
        <v>16</v>
      </c>
      <c r="E696" t="s">
        <v>193</v>
      </c>
      <c r="F696" t="s">
        <v>105</v>
      </c>
      <c r="G696" t="s">
        <v>188</v>
      </c>
      <c r="H696" t="s">
        <v>189</v>
      </c>
      <c r="I696" t="s">
        <v>22</v>
      </c>
      <c r="J696" t="s">
        <v>23</v>
      </c>
      <c r="K696" t="s">
        <v>24</v>
      </c>
      <c r="L696" t="s">
        <v>192</v>
      </c>
      <c r="M696">
        <v>28</v>
      </c>
      <c r="N696">
        <v>69</v>
      </c>
      <c r="O696">
        <v>3</v>
      </c>
      <c r="P696">
        <v>1</v>
      </c>
      <c r="Q696">
        <v>113</v>
      </c>
      <c r="R696">
        <v>0.58189999999999997</v>
      </c>
      <c r="S696">
        <v>1.0327</v>
      </c>
      <c r="U696">
        <v>0.45079999999999998</v>
      </c>
      <c r="V696">
        <v>24.769950000000165</v>
      </c>
      <c r="W696">
        <v>5.2084766920197882</v>
      </c>
      <c r="X696">
        <v>324.8879972361234</v>
      </c>
      <c r="Y696">
        <v>-125.91200276387656</v>
      </c>
      <c r="Z696">
        <v>-38.75551077141386</v>
      </c>
    </row>
    <row r="697" spans="1:26" x14ac:dyDescent="0.35">
      <c r="A697">
        <v>695</v>
      </c>
      <c r="C697">
        <v>46076</v>
      </c>
      <c r="D697" t="s">
        <v>16</v>
      </c>
      <c r="E697" t="s">
        <v>193</v>
      </c>
      <c r="F697" t="s">
        <v>105</v>
      </c>
      <c r="G697" t="s">
        <v>188</v>
      </c>
      <c r="H697" t="s">
        <v>189</v>
      </c>
      <c r="I697" t="s">
        <v>22</v>
      </c>
      <c r="J697" t="s">
        <v>23</v>
      </c>
      <c r="K697" t="s">
        <v>24</v>
      </c>
      <c r="L697" t="s">
        <v>192</v>
      </c>
      <c r="M697">
        <v>28</v>
      </c>
      <c r="N697">
        <v>69</v>
      </c>
      <c r="O697">
        <v>3</v>
      </c>
      <c r="P697">
        <v>2</v>
      </c>
      <c r="Q697">
        <v>114</v>
      </c>
      <c r="R697">
        <v>0.58079999999999998</v>
      </c>
      <c r="S697">
        <v>1.0103</v>
      </c>
      <c r="U697">
        <v>0.42949999999999999</v>
      </c>
      <c r="V697">
        <v>46.069950000000119</v>
      </c>
      <c r="W697">
        <v>9.6873130861191097</v>
      </c>
      <c r="X697">
        <v>324.8879972361234</v>
      </c>
      <c r="Y697">
        <v>-104.6120027638766</v>
      </c>
      <c r="Z697">
        <v>-32.19940522697928</v>
      </c>
    </row>
    <row r="698" spans="1:26" x14ac:dyDescent="0.35">
      <c r="A698">
        <v>696</v>
      </c>
      <c r="C698">
        <v>46076</v>
      </c>
      <c r="D698" t="s">
        <v>16</v>
      </c>
      <c r="E698" t="s">
        <v>195</v>
      </c>
      <c r="F698" t="s">
        <v>105</v>
      </c>
      <c r="G698" t="s">
        <v>188</v>
      </c>
      <c r="H698" t="s">
        <v>189</v>
      </c>
      <c r="I698" t="s">
        <v>22</v>
      </c>
      <c r="J698" t="s">
        <v>23</v>
      </c>
      <c r="K698" t="s">
        <v>24</v>
      </c>
      <c r="L698" t="s">
        <v>194</v>
      </c>
      <c r="M698">
        <v>28</v>
      </c>
      <c r="N698">
        <v>69</v>
      </c>
      <c r="O698">
        <v>3</v>
      </c>
      <c r="P698">
        <v>1</v>
      </c>
      <c r="Q698">
        <v>115</v>
      </c>
      <c r="R698">
        <v>0.60699999999999998</v>
      </c>
      <c r="S698">
        <v>0.94869999999999999</v>
      </c>
      <c r="U698">
        <v>0.3417</v>
      </c>
      <c r="V698">
        <v>138.59503819763955</v>
      </c>
      <c r="W698">
        <v>28.856229437166959</v>
      </c>
      <c r="X698">
        <v>325.84772935429737</v>
      </c>
      <c r="Y698">
        <v>-15.852270645702617</v>
      </c>
      <c r="Z698">
        <v>-4.8649320580246522</v>
      </c>
    </row>
    <row r="699" spans="1:26" x14ac:dyDescent="0.35">
      <c r="A699">
        <v>697</v>
      </c>
      <c r="C699">
        <v>46076</v>
      </c>
      <c r="D699" t="s">
        <v>16</v>
      </c>
      <c r="E699" t="s">
        <v>195</v>
      </c>
      <c r="F699" t="s">
        <v>105</v>
      </c>
      <c r="G699" t="s">
        <v>188</v>
      </c>
      <c r="H699" t="s">
        <v>189</v>
      </c>
      <c r="I699" t="s">
        <v>22</v>
      </c>
      <c r="J699" t="s">
        <v>23</v>
      </c>
      <c r="K699" t="s">
        <v>24</v>
      </c>
      <c r="L699" t="s">
        <v>194</v>
      </c>
      <c r="M699">
        <v>28</v>
      </c>
      <c r="N699">
        <v>69</v>
      </c>
      <c r="O699">
        <v>3</v>
      </c>
      <c r="P699">
        <v>2</v>
      </c>
      <c r="Q699">
        <v>116</v>
      </c>
      <c r="R699">
        <v>0.60570000000000002</v>
      </c>
      <c r="S699">
        <v>0.90049999999999997</v>
      </c>
      <c r="U699">
        <v>0.29479999999999995</v>
      </c>
      <c r="V699">
        <v>185.30299699884006</v>
      </c>
      <c r="W699">
        <v>38.596509115165503</v>
      </c>
      <c r="X699">
        <v>325.71744237734646</v>
      </c>
      <c r="Y699">
        <v>30.917442377346504</v>
      </c>
      <c r="Z699">
        <v>9.4921052282881373</v>
      </c>
    </row>
    <row r="700" spans="1:26" x14ac:dyDescent="0.35">
      <c r="A700">
        <v>698</v>
      </c>
      <c r="C700">
        <v>46076</v>
      </c>
      <c r="D700" t="s">
        <v>16</v>
      </c>
      <c r="E700" t="s">
        <v>197</v>
      </c>
      <c r="F700" t="s">
        <v>105</v>
      </c>
      <c r="G700" t="s">
        <v>188</v>
      </c>
      <c r="H700" t="s">
        <v>189</v>
      </c>
      <c r="I700" t="s">
        <v>22</v>
      </c>
      <c r="J700" t="s">
        <v>23</v>
      </c>
      <c r="K700" t="s">
        <v>24</v>
      </c>
      <c r="L700" t="s">
        <v>196</v>
      </c>
      <c r="M700">
        <v>28</v>
      </c>
      <c r="N700">
        <v>69</v>
      </c>
      <c r="O700">
        <v>3</v>
      </c>
      <c r="P700">
        <v>1</v>
      </c>
      <c r="Q700">
        <v>117</v>
      </c>
      <c r="R700">
        <v>0.5786</v>
      </c>
      <c r="S700">
        <v>0.88970000000000005</v>
      </c>
      <c r="U700">
        <v>0.31110000000000004</v>
      </c>
      <c r="V700">
        <v>168.79798020197961</v>
      </c>
      <c r="W700">
        <v>35.173721742053566</v>
      </c>
      <c r="X700">
        <v>323.58744723834315</v>
      </c>
      <c r="Y700">
        <v>12.487447238343123</v>
      </c>
      <c r="Z700">
        <v>3.8590641710354445</v>
      </c>
    </row>
    <row r="701" spans="1:26" x14ac:dyDescent="0.35">
      <c r="A701">
        <v>699</v>
      </c>
      <c r="C701">
        <v>46076</v>
      </c>
      <c r="D701" t="s">
        <v>16</v>
      </c>
      <c r="E701" t="s">
        <v>197</v>
      </c>
      <c r="F701" t="s">
        <v>105</v>
      </c>
      <c r="G701" t="s">
        <v>188</v>
      </c>
      <c r="H701" t="s">
        <v>189</v>
      </c>
      <c r="I701" t="s">
        <v>22</v>
      </c>
      <c r="J701" t="s">
        <v>23</v>
      </c>
      <c r="K701" t="s">
        <v>24</v>
      </c>
      <c r="L701" t="s">
        <v>196</v>
      </c>
      <c r="M701">
        <v>28</v>
      </c>
      <c r="N701">
        <v>69</v>
      </c>
      <c r="O701">
        <v>3</v>
      </c>
      <c r="P701">
        <v>2</v>
      </c>
      <c r="Q701">
        <v>118</v>
      </c>
      <c r="R701">
        <v>0.6079</v>
      </c>
      <c r="S701">
        <v>1.0437000000000001</v>
      </c>
      <c r="U701">
        <v>0.43580000000000008</v>
      </c>
      <c r="V701">
        <v>44.097980201979567</v>
      </c>
      <c r="W701">
        <v>9.1890322571100622</v>
      </c>
      <c r="X701">
        <v>323.58744723834315</v>
      </c>
      <c r="Y701">
        <v>-112.21255276165692</v>
      </c>
      <c r="Z701">
        <v>-34.67765938367971</v>
      </c>
    </row>
    <row r="702" spans="1:26" x14ac:dyDescent="0.35">
      <c r="A702">
        <v>700</v>
      </c>
      <c r="C702">
        <v>46076</v>
      </c>
      <c r="D702" t="s">
        <v>16</v>
      </c>
      <c r="E702" t="s">
        <v>199</v>
      </c>
      <c r="F702" t="s">
        <v>105</v>
      </c>
      <c r="G702" t="s">
        <v>188</v>
      </c>
      <c r="H702" t="s">
        <v>189</v>
      </c>
      <c r="I702" t="s">
        <v>22</v>
      </c>
      <c r="J702" t="s">
        <v>23</v>
      </c>
      <c r="K702" t="s">
        <v>24</v>
      </c>
      <c r="L702" t="s">
        <v>198</v>
      </c>
      <c r="M702">
        <v>28</v>
      </c>
      <c r="N702">
        <v>69</v>
      </c>
      <c r="O702">
        <v>3</v>
      </c>
      <c r="P702">
        <v>1</v>
      </c>
      <c r="Q702">
        <v>119</v>
      </c>
      <c r="R702">
        <v>0.58779999999999999</v>
      </c>
      <c r="S702">
        <v>0.89370000000000005</v>
      </c>
      <c r="U702">
        <v>0.30590000000000006</v>
      </c>
      <c r="V702">
        <v>180.45136486351379</v>
      </c>
      <c r="W702">
        <v>37.103085937500012</v>
      </c>
      <c r="X702">
        <v>337.4864450048309</v>
      </c>
      <c r="Y702">
        <v>31.586445004830864</v>
      </c>
      <c r="Z702">
        <v>9.3593225660896469</v>
      </c>
    </row>
    <row r="703" spans="1:26" x14ac:dyDescent="0.35">
      <c r="A703">
        <v>701</v>
      </c>
      <c r="C703">
        <v>46076</v>
      </c>
      <c r="D703" t="s">
        <v>16</v>
      </c>
      <c r="E703" t="s">
        <v>199</v>
      </c>
      <c r="F703" t="s">
        <v>105</v>
      </c>
      <c r="G703" t="s">
        <v>188</v>
      </c>
      <c r="H703" t="s">
        <v>189</v>
      </c>
      <c r="I703" t="s">
        <v>22</v>
      </c>
      <c r="J703" t="s">
        <v>23</v>
      </c>
      <c r="K703" t="s">
        <v>24</v>
      </c>
      <c r="L703" t="s">
        <v>198</v>
      </c>
      <c r="M703">
        <v>28</v>
      </c>
      <c r="N703">
        <v>69</v>
      </c>
      <c r="O703">
        <v>3</v>
      </c>
      <c r="P703">
        <v>2</v>
      </c>
      <c r="Q703">
        <v>120</v>
      </c>
      <c r="R703">
        <v>0.56340000000000001</v>
      </c>
      <c r="S703">
        <v>0.90769999999999995</v>
      </c>
      <c r="U703">
        <v>0.34429999999999994</v>
      </c>
      <c r="V703">
        <v>142.34317568243199</v>
      </c>
      <c r="W703">
        <v>29.250009615940996</v>
      </c>
      <c r="X703">
        <v>337.68893687183379</v>
      </c>
      <c r="Y703">
        <v>-6.6110631281661654</v>
      </c>
      <c r="Z703">
        <v>-1.9577375526149747</v>
      </c>
    </row>
    <row r="704" spans="1:26" x14ac:dyDescent="0.35">
      <c r="A704">
        <v>702</v>
      </c>
      <c r="C704">
        <v>46076</v>
      </c>
      <c r="D704" t="s">
        <v>16</v>
      </c>
      <c r="E704" t="s">
        <v>201</v>
      </c>
      <c r="F704" t="s">
        <v>105</v>
      </c>
      <c r="G704" t="s">
        <v>188</v>
      </c>
      <c r="H704" t="s">
        <v>189</v>
      </c>
      <c r="I704" t="s">
        <v>22</v>
      </c>
      <c r="J704" t="s">
        <v>23</v>
      </c>
      <c r="K704" t="s">
        <v>24</v>
      </c>
      <c r="L704" t="s">
        <v>200</v>
      </c>
      <c r="M704">
        <v>28</v>
      </c>
      <c r="N704">
        <v>69</v>
      </c>
      <c r="O704">
        <v>3</v>
      </c>
      <c r="P704">
        <v>1</v>
      </c>
      <c r="Q704">
        <v>121</v>
      </c>
      <c r="R704">
        <v>0.57920000000000005</v>
      </c>
      <c r="S704">
        <v>0.85599999999999998</v>
      </c>
      <c r="U704">
        <v>0.27679999999999993</v>
      </c>
      <c r="V704">
        <v>209.08839999999981</v>
      </c>
      <c r="W704">
        <v>43.032185991680379</v>
      </c>
      <c r="X704">
        <v>311.64086360872693</v>
      </c>
      <c r="Y704">
        <v>34.840863608726977</v>
      </c>
      <c r="Z704">
        <v>11.179812302301464</v>
      </c>
    </row>
    <row r="705" spans="1:26" x14ac:dyDescent="0.35">
      <c r="A705">
        <v>703</v>
      </c>
      <c r="C705">
        <v>46076</v>
      </c>
      <c r="D705" t="s">
        <v>16</v>
      </c>
      <c r="E705" t="s">
        <v>201</v>
      </c>
      <c r="F705" t="s">
        <v>105</v>
      </c>
      <c r="G705" t="s">
        <v>188</v>
      </c>
      <c r="H705" t="s">
        <v>189</v>
      </c>
      <c r="I705" t="s">
        <v>22</v>
      </c>
      <c r="J705" t="s">
        <v>23</v>
      </c>
      <c r="K705" t="s">
        <v>24</v>
      </c>
      <c r="L705" t="s">
        <v>200</v>
      </c>
      <c r="M705">
        <v>28</v>
      </c>
      <c r="N705">
        <v>69</v>
      </c>
      <c r="O705">
        <v>3</v>
      </c>
      <c r="P705">
        <v>2</v>
      </c>
      <c r="Q705">
        <v>122</v>
      </c>
      <c r="R705">
        <v>0.59489999999999998</v>
      </c>
      <c r="S705">
        <v>0.99219999999999997</v>
      </c>
      <c r="U705">
        <v>0.39729999999999999</v>
      </c>
      <c r="V705">
        <v>88.29709999999983</v>
      </c>
      <c r="W705">
        <v>18.183201670685399</v>
      </c>
      <c r="X705">
        <v>311.45402855860186</v>
      </c>
      <c r="Y705">
        <v>-85.845971441398149</v>
      </c>
      <c r="Z705">
        <v>-27.56296710583268</v>
      </c>
    </row>
    <row r="706" spans="1:26" x14ac:dyDescent="0.35">
      <c r="A706">
        <v>704</v>
      </c>
      <c r="C706">
        <v>46076</v>
      </c>
      <c r="D706" t="s">
        <v>16</v>
      </c>
      <c r="E706" t="s">
        <v>203</v>
      </c>
      <c r="F706" t="s">
        <v>105</v>
      </c>
      <c r="G706" t="s">
        <v>188</v>
      </c>
      <c r="H706" t="s">
        <v>189</v>
      </c>
      <c r="I706" t="s">
        <v>22</v>
      </c>
      <c r="J706" t="s">
        <v>23</v>
      </c>
      <c r="K706" t="s">
        <v>24</v>
      </c>
      <c r="L706" t="s">
        <v>202</v>
      </c>
      <c r="M706">
        <v>28</v>
      </c>
      <c r="N706">
        <v>69</v>
      </c>
      <c r="O706">
        <v>3</v>
      </c>
      <c r="P706">
        <v>1</v>
      </c>
      <c r="Q706">
        <v>123</v>
      </c>
      <c r="R706">
        <v>0.58560000000000001</v>
      </c>
      <c r="S706">
        <v>0.92249999999999999</v>
      </c>
      <c r="U706">
        <v>0.33689999999999998</v>
      </c>
      <c r="V706">
        <v>145.69825017498232</v>
      </c>
      <c r="W706">
        <v>30.190380947745769</v>
      </c>
      <c r="X706">
        <v>309.53061538532717</v>
      </c>
      <c r="Y706">
        <v>-27.369384614672811</v>
      </c>
      <c r="Z706">
        <v>-8.8422221435515613</v>
      </c>
    </row>
    <row r="707" spans="1:26" x14ac:dyDescent="0.35">
      <c r="A707">
        <v>705</v>
      </c>
      <c r="C707">
        <v>46076</v>
      </c>
      <c r="D707" t="s">
        <v>16</v>
      </c>
      <c r="E707" t="s">
        <v>203</v>
      </c>
      <c r="F707" t="s">
        <v>105</v>
      </c>
      <c r="G707" t="s">
        <v>188</v>
      </c>
      <c r="H707" t="s">
        <v>189</v>
      </c>
      <c r="I707" t="s">
        <v>22</v>
      </c>
      <c r="J707" t="s">
        <v>23</v>
      </c>
      <c r="K707" t="s">
        <v>24</v>
      </c>
      <c r="L707" t="s">
        <v>202</v>
      </c>
      <c r="M707">
        <v>28</v>
      </c>
      <c r="N707">
        <v>69</v>
      </c>
      <c r="O707">
        <v>3</v>
      </c>
      <c r="P707">
        <v>2</v>
      </c>
      <c r="Q707">
        <v>124</v>
      </c>
      <c r="R707">
        <v>0.59909999999999997</v>
      </c>
      <c r="S707">
        <v>0.87560000000000004</v>
      </c>
      <c r="U707">
        <v>0.27650000000000008</v>
      </c>
      <c r="V707">
        <v>206.09825017498224</v>
      </c>
      <c r="W707">
        <v>42.705967147674976</v>
      </c>
      <c r="X707">
        <v>309.53061538532717</v>
      </c>
      <c r="Y707">
        <v>33.03061538532711</v>
      </c>
      <c r="Z707">
        <v>10.671194946001737</v>
      </c>
    </row>
    <row r="708" spans="1:26" x14ac:dyDescent="0.35">
      <c r="A708">
        <v>706</v>
      </c>
      <c r="C708">
        <v>46076</v>
      </c>
      <c r="D708" t="s">
        <v>16</v>
      </c>
      <c r="E708" t="s">
        <v>205</v>
      </c>
      <c r="F708" t="s">
        <v>105</v>
      </c>
      <c r="G708" t="s">
        <v>188</v>
      </c>
      <c r="H708" t="s">
        <v>189</v>
      </c>
      <c r="I708" t="s">
        <v>22</v>
      </c>
      <c r="J708" t="s">
        <v>23</v>
      </c>
      <c r="K708" t="s">
        <v>24</v>
      </c>
      <c r="L708" t="s">
        <v>204</v>
      </c>
      <c r="M708">
        <v>28</v>
      </c>
      <c r="N708">
        <v>69</v>
      </c>
      <c r="O708">
        <v>3</v>
      </c>
      <c r="P708">
        <v>1</v>
      </c>
      <c r="Q708">
        <v>125</v>
      </c>
      <c r="R708">
        <v>0.57140000000000002</v>
      </c>
      <c r="S708">
        <v>1.0048999999999999</v>
      </c>
      <c r="U708">
        <v>0.43349999999999989</v>
      </c>
      <c r="V708">
        <v>51.124197587878086</v>
      </c>
      <c r="W708">
        <v>10.549245754202694</v>
      </c>
      <c r="X708">
        <v>336.60008835783651</v>
      </c>
      <c r="Y708">
        <v>-96.899911642163374</v>
      </c>
      <c r="Z708">
        <v>-28.78784498094069</v>
      </c>
    </row>
    <row r="709" spans="1:26" x14ac:dyDescent="0.35">
      <c r="A709">
        <v>707</v>
      </c>
      <c r="C709">
        <v>46076</v>
      </c>
      <c r="D709" t="s">
        <v>16</v>
      </c>
      <c r="E709" t="s">
        <v>205</v>
      </c>
      <c r="F709" t="s">
        <v>105</v>
      </c>
      <c r="G709" t="s">
        <v>188</v>
      </c>
      <c r="H709" t="s">
        <v>189</v>
      </c>
      <c r="I709" t="s">
        <v>22</v>
      </c>
      <c r="J709" t="s">
        <v>23</v>
      </c>
      <c r="K709" t="s">
        <v>24</v>
      </c>
      <c r="L709" t="s">
        <v>204</v>
      </c>
      <c r="M709">
        <v>28</v>
      </c>
      <c r="N709">
        <v>69</v>
      </c>
      <c r="O709">
        <v>3</v>
      </c>
      <c r="P709">
        <v>2</v>
      </c>
      <c r="Q709">
        <v>126</v>
      </c>
      <c r="R709">
        <v>0.55930000000000002</v>
      </c>
      <c r="S709">
        <v>0.89590000000000003</v>
      </c>
      <c r="U709">
        <v>0.33660000000000001</v>
      </c>
      <c r="V709">
        <v>147.83046414890617</v>
      </c>
      <c r="W709">
        <v>30.516343436127386</v>
      </c>
      <c r="X709">
        <v>336.46552905807323</v>
      </c>
      <c r="Y709">
        <v>-0.13447094192679288</v>
      </c>
      <c r="Z709">
        <v>-3.9965741008667628E-2</v>
      </c>
    </row>
    <row r="710" spans="1:26" x14ac:dyDescent="0.35">
      <c r="A710">
        <v>708</v>
      </c>
      <c r="C710">
        <v>46076</v>
      </c>
      <c r="D710" t="s">
        <v>16</v>
      </c>
      <c r="E710" t="s">
        <v>207</v>
      </c>
      <c r="F710" t="s">
        <v>105</v>
      </c>
      <c r="G710" t="s">
        <v>188</v>
      </c>
      <c r="H710" t="s">
        <v>189</v>
      </c>
      <c r="I710" t="s">
        <v>22</v>
      </c>
      <c r="J710" t="s">
        <v>23</v>
      </c>
      <c r="K710" t="s">
        <v>24</v>
      </c>
      <c r="L710" t="s">
        <v>206</v>
      </c>
      <c r="M710">
        <v>28</v>
      </c>
      <c r="N710">
        <v>69</v>
      </c>
      <c r="O710">
        <v>3</v>
      </c>
      <c r="P710">
        <v>1</v>
      </c>
      <c r="Q710">
        <v>127</v>
      </c>
      <c r="R710">
        <v>0.55549999999999999</v>
      </c>
      <c r="S710">
        <v>0.96350000000000002</v>
      </c>
      <c r="U710">
        <v>0.40800000000000003</v>
      </c>
      <c r="V710">
        <v>80.472087677696663</v>
      </c>
      <c r="W710">
        <v>16.474244835621743</v>
      </c>
      <c r="X710">
        <v>315.44196074903795</v>
      </c>
      <c r="Y710">
        <v>-92.558039250962111</v>
      </c>
      <c r="Z710">
        <v>-29.342335760016482</v>
      </c>
    </row>
    <row r="711" spans="1:26" x14ac:dyDescent="0.35">
      <c r="A711">
        <v>709</v>
      </c>
      <c r="C711">
        <v>46076</v>
      </c>
      <c r="D711" t="s">
        <v>16</v>
      </c>
      <c r="E711" t="s">
        <v>207</v>
      </c>
      <c r="F711" t="s">
        <v>105</v>
      </c>
      <c r="G711" t="s">
        <v>188</v>
      </c>
      <c r="H711" t="s">
        <v>189</v>
      </c>
      <c r="I711" t="s">
        <v>22</v>
      </c>
      <c r="J711" t="s">
        <v>23</v>
      </c>
      <c r="K711" t="s">
        <v>24</v>
      </c>
      <c r="L711" t="s">
        <v>206</v>
      </c>
      <c r="M711">
        <v>28</v>
      </c>
      <c r="N711">
        <v>69</v>
      </c>
      <c r="O711">
        <v>3</v>
      </c>
      <c r="P711">
        <v>2</v>
      </c>
      <c r="Q711">
        <v>128</v>
      </c>
      <c r="R711">
        <v>0.59009999999999996</v>
      </c>
      <c r="S711">
        <v>0.89649999999999996</v>
      </c>
      <c r="U711">
        <v>0.30640000000000001</v>
      </c>
      <c r="V711">
        <v>182.07208767769674</v>
      </c>
      <c r="W711">
        <v>37.273795631457126</v>
      </c>
      <c r="X711">
        <v>315.44196074903795</v>
      </c>
      <c r="Y711">
        <v>9.041960749037969</v>
      </c>
      <c r="Z711">
        <v>2.8664419684582327</v>
      </c>
    </row>
    <row r="712" spans="1:26" x14ac:dyDescent="0.35">
      <c r="A712">
        <v>710</v>
      </c>
      <c r="C712">
        <v>46076</v>
      </c>
      <c r="D712" t="s">
        <v>16</v>
      </c>
      <c r="E712" t="s">
        <v>209</v>
      </c>
      <c r="F712" t="s">
        <v>105</v>
      </c>
      <c r="G712" t="s">
        <v>188</v>
      </c>
      <c r="H712" t="s">
        <v>189</v>
      </c>
      <c r="I712" t="s">
        <v>108</v>
      </c>
      <c r="J712" t="s">
        <v>109</v>
      </c>
      <c r="K712" t="s">
        <v>110</v>
      </c>
      <c r="L712" t="s">
        <v>208</v>
      </c>
      <c r="M712">
        <v>28</v>
      </c>
      <c r="N712">
        <v>69</v>
      </c>
      <c r="O712">
        <v>3</v>
      </c>
      <c r="P712">
        <v>1</v>
      </c>
      <c r="Q712">
        <v>129</v>
      </c>
      <c r="R712">
        <v>0.57769999999999999</v>
      </c>
      <c r="S712">
        <v>0.85909999999999997</v>
      </c>
      <c r="U712">
        <v>0.28139999999999998</v>
      </c>
      <c r="V712">
        <v>201.52232330300905</v>
      </c>
      <c r="W712">
        <v>41.729759337831254</v>
      </c>
      <c r="X712">
        <v>322.96063165028886</v>
      </c>
      <c r="Y712">
        <v>41.560631650288883</v>
      </c>
      <c r="Z712">
        <v>12.868637096081711</v>
      </c>
    </row>
    <row r="713" spans="1:26" x14ac:dyDescent="0.35">
      <c r="A713">
        <v>711</v>
      </c>
      <c r="C713">
        <v>46076</v>
      </c>
      <c r="D713" t="s">
        <v>16</v>
      </c>
      <c r="E713" t="s">
        <v>209</v>
      </c>
      <c r="F713" t="s">
        <v>105</v>
      </c>
      <c r="G713" t="s">
        <v>188</v>
      </c>
      <c r="H713" t="s">
        <v>189</v>
      </c>
      <c r="I713" t="s">
        <v>108</v>
      </c>
      <c r="J713" t="s">
        <v>109</v>
      </c>
      <c r="K713" t="s">
        <v>110</v>
      </c>
      <c r="L713" t="s">
        <v>208</v>
      </c>
      <c r="M713">
        <v>28</v>
      </c>
      <c r="N713">
        <v>69</v>
      </c>
      <c r="O713">
        <v>3</v>
      </c>
      <c r="P713">
        <v>2</v>
      </c>
      <c r="Q713">
        <v>130</v>
      </c>
      <c r="R713">
        <v>0.56740000000000002</v>
      </c>
      <c r="S713">
        <v>0.99470000000000003</v>
      </c>
      <c r="U713">
        <v>0.42730000000000001</v>
      </c>
      <c r="V713">
        <v>55.429270205546345</v>
      </c>
      <c r="W713">
        <v>11.482475504736751</v>
      </c>
      <c r="X713">
        <v>322.83152486170201</v>
      </c>
      <c r="Y713">
        <v>-104.468475138298</v>
      </c>
      <c r="Z713">
        <v>-32.360059998183672</v>
      </c>
    </row>
    <row r="714" spans="1:26" x14ac:dyDescent="0.35">
      <c r="A714">
        <v>712</v>
      </c>
      <c r="C714">
        <v>46076</v>
      </c>
      <c r="D714" t="s">
        <v>16</v>
      </c>
      <c r="E714" t="s">
        <v>211</v>
      </c>
      <c r="F714" t="s">
        <v>212</v>
      </c>
      <c r="G714" t="s">
        <v>213</v>
      </c>
      <c r="H714" t="s">
        <v>214</v>
      </c>
      <c r="I714" t="s">
        <v>22</v>
      </c>
      <c r="J714" t="s">
        <v>23</v>
      </c>
      <c r="K714" t="s">
        <v>24</v>
      </c>
      <c r="L714" t="s">
        <v>210</v>
      </c>
      <c r="M714">
        <v>28</v>
      </c>
      <c r="N714">
        <v>69</v>
      </c>
      <c r="O714">
        <v>3</v>
      </c>
      <c r="P714">
        <v>1</v>
      </c>
      <c r="Q714">
        <v>131</v>
      </c>
      <c r="R714">
        <v>0.58899999999999997</v>
      </c>
      <c r="S714">
        <v>0.89890000000000003</v>
      </c>
      <c r="U714">
        <v>0.30990000000000006</v>
      </c>
      <c r="V714">
        <v>148.57500208341696</v>
      </c>
      <c r="W714">
        <v>32.406347436230462</v>
      </c>
      <c r="X714">
        <v>255.16538810954171</v>
      </c>
      <c r="Y714">
        <v>-54.734611890458382</v>
      </c>
      <c r="Z714">
        <v>-21.450641208031314</v>
      </c>
    </row>
    <row r="715" spans="1:26" x14ac:dyDescent="0.35">
      <c r="A715">
        <v>713</v>
      </c>
      <c r="C715">
        <v>46076</v>
      </c>
      <c r="D715" t="s">
        <v>16</v>
      </c>
      <c r="E715" t="s">
        <v>211</v>
      </c>
      <c r="F715" t="s">
        <v>212</v>
      </c>
      <c r="G715" t="s">
        <v>213</v>
      </c>
      <c r="H715" t="s">
        <v>214</v>
      </c>
      <c r="I715" t="s">
        <v>22</v>
      </c>
      <c r="J715" t="s">
        <v>23</v>
      </c>
      <c r="K715" t="s">
        <v>24</v>
      </c>
      <c r="L715" t="s">
        <v>210</v>
      </c>
      <c r="M715">
        <v>28</v>
      </c>
      <c r="N715">
        <v>69</v>
      </c>
      <c r="O715">
        <v>3</v>
      </c>
      <c r="P715">
        <v>2</v>
      </c>
      <c r="Q715">
        <v>132</v>
      </c>
      <c r="R715">
        <v>0.58679999999999999</v>
      </c>
      <c r="S715">
        <v>1.0149999999999999</v>
      </c>
      <c r="U715">
        <v>0.42819999999999991</v>
      </c>
      <c r="V715">
        <v>30.183325418333425</v>
      </c>
      <c r="W715">
        <v>6.5847345975744833</v>
      </c>
      <c r="X715">
        <v>255.11436523649436</v>
      </c>
      <c r="Y715">
        <v>-173.08563476350557</v>
      </c>
      <c r="Z715">
        <v>-67.846291055798801</v>
      </c>
    </row>
    <row r="716" spans="1:26" x14ac:dyDescent="0.35">
      <c r="A716">
        <v>714</v>
      </c>
      <c r="C716">
        <v>46076</v>
      </c>
      <c r="D716" t="s">
        <v>120</v>
      </c>
      <c r="E716" t="s">
        <v>122</v>
      </c>
      <c r="F716" t="s">
        <v>123</v>
      </c>
      <c r="G716" t="s">
        <v>545</v>
      </c>
      <c r="H716" t="s">
        <v>125</v>
      </c>
      <c r="I716" t="s">
        <v>108</v>
      </c>
      <c r="J716" t="s">
        <v>109</v>
      </c>
      <c r="K716" t="s">
        <v>110</v>
      </c>
      <c r="L716" t="s">
        <v>121</v>
      </c>
      <c r="M716">
        <v>28</v>
      </c>
      <c r="N716">
        <v>69</v>
      </c>
      <c r="O716">
        <v>3</v>
      </c>
      <c r="P716">
        <v>1</v>
      </c>
      <c r="Q716">
        <v>133</v>
      </c>
      <c r="R716">
        <v>0.57620000000000005</v>
      </c>
      <c r="S716">
        <v>0.99850000000000005</v>
      </c>
      <c r="U716">
        <v>0.42230000000000001</v>
      </c>
      <c r="V716">
        <v>45.449999999999989</v>
      </c>
      <c r="W716">
        <v>9.7167290219134124</v>
      </c>
      <c r="X716">
        <v>355.95774999999992</v>
      </c>
      <c r="Y716">
        <v>-66.342250000000092</v>
      </c>
      <c r="Z716">
        <v>-18.637675398274123</v>
      </c>
    </row>
    <row r="717" spans="1:26" x14ac:dyDescent="0.35">
      <c r="A717">
        <v>715</v>
      </c>
      <c r="C717">
        <v>46076</v>
      </c>
      <c r="D717" t="s">
        <v>120</v>
      </c>
      <c r="E717" t="s">
        <v>122</v>
      </c>
      <c r="F717" t="s">
        <v>123</v>
      </c>
      <c r="G717" t="s">
        <v>545</v>
      </c>
      <c r="H717" t="s">
        <v>125</v>
      </c>
      <c r="I717" t="s">
        <v>108</v>
      </c>
      <c r="J717" t="s">
        <v>109</v>
      </c>
      <c r="K717" t="s">
        <v>110</v>
      </c>
      <c r="L717" t="s">
        <v>121</v>
      </c>
      <c r="M717">
        <v>28</v>
      </c>
      <c r="N717">
        <v>69</v>
      </c>
      <c r="O717">
        <v>3</v>
      </c>
      <c r="P717">
        <v>2</v>
      </c>
      <c r="Q717">
        <v>134</v>
      </c>
      <c r="R717">
        <v>0.57720000000000005</v>
      </c>
      <c r="S717">
        <v>0.93169999999999997</v>
      </c>
      <c r="U717">
        <v>0.35449999999999993</v>
      </c>
      <c r="V717">
        <v>113.25000000000006</v>
      </c>
      <c r="W717">
        <v>24.211651523249611</v>
      </c>
      <c r="X717">
        <v>355.95774999999992</v>
      </c>
      <c r="Y717">
        <v>1.4577499999999759</v>
      </c>
      <c r="Z717">
        <v>0.40952893988120115</v>
      </c>
    </row>
    <row r="718" spans="1:26" x14ac:dyDescent="0.35">
      <c r="A718">
        <v>716</v>
      </c>
      <c r="C718">
        <v>46076</v>
      </c>
      <c r="D718" t="s">
        <v>16</v>
      </c>
      <c r="E718" t="s">
        <v>564</v>
      </c>
      <c r="F718" t="s">
        <v>538</v>
      </c>
      <c r="G718">
        <v>8</v>
      </c>
      <c r="H718" t="s">
        <v>564</v>
      </c>
      <c r="I718">
        <v>0</v>
      </c>
      <c r="J718">
        <v>0</v>
      </c>
      <c r="K718">
        <v>0</v>
      </c>
      <c r="L718" t="s">
        <v>543</v>
      </c>
      <c r="M718">
        <v>28</v>
      </c>
      <c r="N718">
        <v>69</v>
      </c>
      <c r="O718">
        <v>3</v>
      </c>
      <c r="P718">
        <v>1</v>
      </c>
      <c r="Q718">
        <v>135</v>
      </c>
    </row>
    <row r="719" spans="1:26" x14ac:dyDescent="0.35">
      <c r="A719">
        <v>717</v>
      </c>
      <c r="C719">
        <v>46076</v>
      </c>
      <c r="D719" t="s">
        <v>16</v>
      </c>
      <c r="E719" t="s">
        <v>564</v>
      </c>
      <c r="F719" t="s">
        <v>538</v>
      </c>
      <c r="G719">
        <v>8</v>
      </c>
      <c r="H719" t="s">
        <v>564</v>
      </c>
      <c r="I719">
        <v>0</v>
      </c>
      <c r="J719">
        <v>0</v>
      </c>
      <c r="K719">
        <v>0</v>
      </c>
      <c r="L719" t="s">
        <v>543</v>
      </c>
      <c r="M719">
        <v>28</v>
      </c>
      <c r="N719">
        <v>69</v>
      </c>
      <c r="O719">
        <v>3</v>
      </c>
      <c r="P719">
        <v>2</v>
      </c>
      <c r="Q719">
        <v>136</v>
      </c>
    </row>
    <row r="720" spans="1:26" x14ac:dyDescent="0.35">
      <c r="A720">
        <v>718</v>
      </c>
      <c r="C720">
        <v>46076</v>
      </c>
      <c r="D720" t="s">
        <v>16</v>
      </c>
      <c r="E720" t="s">
        <v>218</v>
      </c>
      <c r="F720" t="s">
        <v>219</v>
      </c>
      <c r="G720" t="s">
        <v>220</v>
      </c>
      <c r="H720" t="s">
        <v>221</v>
      </c>
      <c r="I720" t="s">
        <v>22</v>
      </c>
      <c r="J720" t="s">
        <v>23</v>
      </c>
      <c r="K720" t="s">
        <v>24</v>
      </c>
      <c r="L720" t="s">
        <v>217</v>
      </c>
      <c r="M720">
        <v>28</v>
      </c>
      <c r="N720">
        <v>69</v>
      </c>
      <c r="O720">
        <v>3</v>
      </c>
      <c r="P720">
        <v>1</v>
      </c>
      <c r="Q720">
        <v>137</v>
      </c>
      <c r="R720">
        <v>0.5645</v>
      </c>
      <c r="S720">
        <v>0.77</v>
      </c>
      <c r="U720">
        <v>0.20550000000000002</v>
      </c>
      <c r="V720">
        <v>254.36700000000005</v>
      </c>
      <c r="W720">
        <v>55.313166632961277</v>
      </c>
      <c r="X720">
        <v>194.0557614297127</v>
      </c>
      <c r="Y720">
        <v>-11.444238570287325</v>
      </c>
      <c r="Z720">
        <v>-5.8973969574371257</v>
      </c>
    </row>
    <row r="721" spans="1:26" x14ac:dyDescent="0.35">
      <c r="A721">
        <v>719</v>
      </c>
      <c r="C721">
        <v>46076</v>
      </c>
      <c r="D721" t="s">
        <v>16</v>
      </c>
      <c r="E721" t="s">
        <v>218</v>
      </c>
      <c r="F721" t="s">
        <v>219</v>
      </c>
      <c r="G721" t="s">
        <v>220</v>
      </c>
      <c r="H721" t="s">
        <v>221</v>
      </c>
      <c r="I721" t="s">
        <v>22</v>
      </c>
      <c r="J721" t="s">
        <v>23</v>
      </c>
      <c r="K721" t="s">
        <v>24</v>
      </c>
      <c r="L721" t="s">
        <v>217</v>
      </c>
      <c r="M721">
        <v>28</v>
      </c>
      <c r="N721">
        <v>69</v>
      </c>
      <c r="O721">
        <v>3</v>
      </c>
      <c r="P721">
        <v>2</v>
      </c>
      <c r="Q721">
        <v>138</v>
      </c>
      <c r="R721">
        <v>0.58199999999999996</v>
      </c>
      <c r="S721">
        <v>0.82420000000000004</v>
      </c>
      <c r="U721">
        <v>0.24220000000000008</v>
      </c>
      <c r="V721">
        <v>217.57506337465011</v>
      </c>
      <c r="W721">
        <v>47.322066964157621</v>
      </c>
      <c r="X721">
        <v>194.01696579568033</v>
      </c>
      <c r="Y721">
        <v>-48.183034204319739</v>
      </c>
      <c r="Z721">
        <v>-24.834443733679144</v>
      </c>
    </row>
    <row r="722" spans="1:26" x14ac:dyDescent="0.35">
      <c r="A722">
        <v>720</v>
      </c>
      <c r="C722">
        <v>46076</v>
      </c>
      <c r="D722" t="s">
        <v>16</v>
      </c>
      <c r="E722" t="s">
        <v>223</v>
      </c>
      <c r="F722" t="s">
        <v>219</v>
      </c>
      <c r="G722" t="s">
        <v>220</v>
      </c>
      <c r="H722" t="s">
        <v>221</v>
      </c>
      <c r="I722" t="s">
        <v>22</v>
      </c>
      <c r="J722" t="s">
        <v>23</v>
      </c>
      <c r="K722" t="s">
        <v>24</v>
      </c>
      <c r="L722" t="s">
        <v>222</v>
      </c>
      <c r="M722">
        <v>28</v>
      </c>
      <c r="N722">
        <v>69</v>
      </c>
      <c r="O722">
        <v>3</v>
      </c>
      <c r="P722">
        <v>1</v>
      </c>
      <c r="Q722">
        <v>139</v>
      </c>
      <c r="R722">
        <v>0.60240000000000005</v>
      </c>
      <c r="S722">
        <v>0.7792</v>
      </c>
      <c r="U722">
        <v>0.17679999999999996</v>
      </c>
      <c r="V722">
        <v>280.52713643178407</v>
      </c>
      <c r="W722">
        <v>61.340584033685076</v>
      </c>
      <c r="X722">
        <v>207.89950850145127</v>
      </c>
      <c r="Y722">
        <v>31.099508501451311</v>
      </c>
      <c r="Z722">
        <v>14.958913912600336</v>
      </c>
    </row>
    <row r="723" spans="1:26" x14ac:dyDescent="0.35">
      <c r="A723">
        <v>721</v>
      </c>
      <c r="C723">
        <v>46076</v>
      </c>
      <c r="D723" t="s">
        <v>16</v>
      </c>
      <c r="E723" t="s">
        <v>223</v>
      </c>
      <c r="F723" t="s">
        <v>219</v>
      </c>
      <c r="G723" t="s">
        <v>220</v>
      </c>
      <c r="H723" t="s">
        <v>221</v>
      </c>
      <c r="I723" t="s">
        <v>22</v>
      </c>
      <c r="J723" t="s">
        <v>23</v>
      </c>
      <c r="K723" t="s">
        <v>24</v>
      </c>
      <c r="L723" t="s">
        <v>222</v>
      </c>
      <c r="M723">
        <v>28</v>
      </c>
      <c r="N723">
        <v>69</v>
      </c>
      <c r="O723">
        <v>3</v>
      </c>
      <c r="P723">
        <v>2</v>
      </c>
      <c r="Q723">
        <v>140</v>
      </c>
      <c r="R723">
        <v>0.5655</v>
      </c>
      <c r="S723">
        <v>0.8246</v>
      </c>
      <c r="U723">
        <v>0.2591</v>
      </c>
      <c r="V723">
        <v>198.13570757603992</v>
      </c>
      <c r="W723">
        <v>43.333384574538997</v>
      </c>
      <c r="X723">
        <v>207.85794522506151</v>
      </c>
      <c r="Y723">
        <v>-51.242054774938509</v>
      </c>
      <c r="Z723">
        <v>-24.652439780185141</v>
      </c>
    </row>
    <row r="724" spans="1:26" x14ac:dyDescent="0.35">
      <c r="A724">
        <v>722</v>
      </c>
      <c r="C724">
        <v>46076</v>
      </c>
      <c r="D724" t="s">
        <v>16</v>
      </c>
      <c r="E724" t="s">
        <v>225</v>
      </c>
      <c r="F724" t="s">
        <v>226</v>
      </c>
      <c r="G724" t="s">
        <v>227</v>
      </c>
      <c r="H724" t="s">
        <v>228</v>
      </c>
      <c r="I724" t="s">
        <v>22</v>
      </c>
      <c r="J724" t="s">
        <v>23</v>
      </c>
      <c r="K724" t="s">
        <v>24</v>
      </c>
      <c r="L724" t="s">
        <v>224</v>
      </c>
      <c r="M724">
        <v>28</v>
      </c>
      <c r="N724">
        <v>69</v>
      </c>
      <c r="O724">
        <v>3</v>
      </c>
      <c r="P724">
        <v>1</v>
      </c>
      <c r="Q724">
        <v>141</v>
      </c>
      <c r="R724">
        <v>0.54990000000000006</v>
      </c>
      <c r="S724">
        <v>0.85</v>
      </c>
      <c r="U724">
        <v>0.30009999999999992</v>
      </c>
      <c r="V724">
        <v>155.58889039433535</v>
      </c>
      <c r="W724">
        <v>34.143665486269555</v>
      </c>
      <c r="X724">
        <v>207.83065453303195</v>
      </c>
      <c r="Y724">
        <v>-92.269345466967962</v>
      </c>
      <c r="Z724">
        <v>-44.396408063230616</v>
      </c>
    </row>
    <row r="725" spans="1:26" x14ac:dyDescent="0.35">
      <c r="A725">
        <v>723</v>
      </c>
      <c r="C725">
        <v>46076</v>
      </c>
      <c r="D725" t="s">
        <v>16</v>
      </c>
      <c r="E725" t="s">
        <v>225</v>
      </c>
      <c r="F725" t="s">
        <v>226</v>
      </c>
      <c r="G725" t="s">
        <v>227</v>
      </c>
      <c r="H725" t="s">
        <v>228</v>
      </c>
      <c r="I725" t="s">
        <v>22</v>
      </c>
      <c r="J725" t="s">
        <v>23</v>
      </c>
      <c r="K725" t="s">
        <v>24</v>
      </c>
      <c r="L725" t="s">
        <v>224</v>
      </c>
      <c r="M725">
        <v>28</v>
      </c>
      <c r="N725">
        <v>69</v>
      </c>
      <c r="O725">
        <v>3</v>
      </c>
      <c r="P725">
        <v>2</v>
      </c>
      <c r="Q725">
        <v>142</v>
      </c>
      <c r="R725">
        <v>0.56789999999999996</v>
      </c>
      <c r="S725">
        <v>0.87270000000000003</v>
      </c>
      <c r="U725">
        <v>0.30480000000000007</v>
      </c>
      <c r="V725">
        <v>150.88889039433519</v>
      </c>
      <c r="W725">
        <v>33.112260047367378</v>
      </c>
      <c r="X725">
        <v>207.83065453303195</v>
      </c>
      <c r="Y725">
        <v>-96.969345466968122</v>
      </c>
      <c r="Z725">
        <v>-46.657864637363261</v>
      </c>
    </row>
    <row r="726" spans="1:26" x14ac:dyDescent="0.35">
      <c r="A726">
        <v>724</v>
      </c>
      <c r="C726">
        <v>46076</v>
      </c>
      <c r="D726" t="s">
        <v>16</v>
      </c>
      <c r="E726" t="s">
        <v>230</v>
      </c>
      <c r="F726" t="s">
        <v>226</v>
      </c>
      <c r="G726" t="s">
        <v>231</v>
      </c>
      <c r="H726" t="s">
        <v>232</v>
      </c>
      <c r="I726" t="s">
        <v>22</v>
      </c>
      <c r="J726" t="s">
        <v>23</v>
      </c>
      <c r="K726" t="s">
        <v>24</v>
      </c>
      <c r="L726" t="s">
        <v>229</v>
      </c>
      <c r="M726">
        <v>28</v>
      </c>
      <c r="N726">
        <v>69</v>
      </c>
      <c r="O726">
        <v>3</v>
      </c>
      <c r="P726">
        <v>1</v>
      </c>
      <c r="Q726">
        <v>143</v>
      </c>
      <c r="R726">
        <v>0.61650000000000005</v>
      </c>
      <c r="S726">
        <v>0.92659999999999998</v>
      </c>
      <c r="U726">
        <v>0.31009999999999993</v>
      </c>
      <c r="V726">
        <v>154.88905795494952</v>
      </c>
      <c r="W726">
        <v>33.310258662034151</v>
      </c>
      <c r="X726">
        <v>239.1810228248799</v>
      </c>
      <c r="Y726">
        <v>-70.918977175120006</v>
      </c>
      <c r="Z726">
        <v>-29.650754201784828</v>
      </c>
    </row>
    <row r="727" spans="1:26" x14ac:dyDescent="0.35">
      <c r="A727">
        <v>725</v>
      </c>
      <c r="C727">
        <v>46076</v>
      </c>
      <c r="D727" t="s">
        <v>16</v>
      </c>
      <c r="E727" t="s">
        <v>230</v>
      </c>
      <c r="F727" t="s">
        <v>226</v>
      </c>
      <c r="G727" t="s">
        <v>231</v>
      </c>
      <c r="H727" t="s">
        <v>232</v>
      </c>
      <c r="I727" t="s">
        <v>22</v>
      </c>
      <c r="J727" t="s">
        <v>23</v>
      </c>
      <c r="K727" t="s">
        <v>24</v>
      </c>
      <c r="L727" t="s">
        <v>229</v>
      </c>
      <c r="M727">
        <v>28</v>
      </c>
      <c r="N727">
        <v>69</v>
      </c>
      <c r="O727">
        <v>3</v>
      </c>
      <c r="P727">
        <v>2</v>
      </c>
      <c r="Q727">
        <v>144</v>
      </c>
      <c r="R727">
        <v>0.59509999999999996</v>
      </c>
      <c r="S727">
        <v>0.87839999999999996</v>
      </c>
      <c r="U727">
        <v>0.2833</v>
      </c>
      <c r="V727">
        <v>181.78205576654045</v>
      </c>
      <c r="W727">
        <v>39.086017942990793</v>
      </c>
      <c r="X727">
        <v>239.22885902944489</v>
      </c>
      <c r="Y727">
        <v>-44.07114097055512</v>
      </c>
      <c r="Z727">
        <v>-18.422167438055929</v>
      </c>
    </row>
    <row r="728" spans="1:26" x14ac:dyDescent="0.35">
      <c r="A728">
        <v>726</v>
      </c>
      <c r="C728">
        <v>46076</v>
      </c>
      <c r="D728" t="s">
        <v>16</v>
      </c>
      <c r="E728" t="s">
        <v>234</v>
      </c>
      <c r="F728" t="s">
        <v>235</v>
      </c>
      <c r="G728" t="s">
        <v>236</v>
      </c>
      <c r="H728" t="s">
        <v>237</v>
      </c>
      <c r="I728" t="s">
        <v>22</v>
      </c>
      <c r="J728" t="s">
        <v>23</v>
      </c>
      <c r="K728" t="s">
        <v>24</v>
      </c>
      <c r="L728" t="s">
        <v>233</v>
      </c>
      <c r="M728">
        <v>28</v>
      </c>
      <c r="N728">
        <v>69</v>
      </c>
      <c r="O728">
        <v>3</v>
      </c>
      <c r="P728">
        <v>1</v>
      </c>
      <c r="Q728">
        <v>145</v>
      </c>
      <c r="R728">
        <v>0.57699999999999996</v>
      </c>
      <c r="S728">
        <v>0.92479999999999996</v>
      </c>
      <c r="U728">
        <v>0.3478</v>
      </c>
      <c r="V728">
        <v>96.616713328667174</v>
      </c>
      <c r="W728">
        <v>21.740116973776939</v>
      </c>
      <c r="X728">
        <v>227.01627443736288</v>
      </c>
      <c r="Y728">
        <v>-120.78372556263713</v>
      </c>
      <c r="Z728">
        <v>-53.204875228433515</v>
      </c>
    </row>
    <row r="729" spans="1:26" x14ac:dyDescent="0.35">
      <c r="A729">
        <v>727</v>
      </c>
      <c r="C729">
        <v>46076</v>
      </c>
      <c r="D729" t="s">
        <v>16</v>
      </c>
      <c r="E729" t="s">
        <v>234</v>
      </c>
      <c r="F729" t="s">
        <v>235</v>
      </c>
      <c r="G729" t="s">
        <v>236</v>
      </c>
      <c r="H729" t="s">
        <v>237</v>
      </c>
      <c r="I729" t="s">
        <v>22</v>
      </c>
      <c r="J729" t="s">
        <v>23</v>
      </c>
      <c r="K729" t="s">
        <v>24</v>
      </c>
      <c r="L729" t="s">
        <v>233</v>
      </c>
      <c r="M729">
        <v>28</v>
      </c>
      <c r="N729">
        <v>69</v>
      </c>
      <c r="O729">
        <v>3</v>
      </c>
      <c r="P729">
        <v>2</v>
      </c>
      <c r="Q729">
        <v>146</v>
      </c>
      <c r="R729">
        <v>0.58340000000000003</v>
      </c>
      <c r="S729">
        <v>0.82750000000000001</v>
      </c>
      <c r="U729">
        <v>0.24409999999999998</v>
      </c>
      <c r="V729">
        <v>200.13901772157854</v>
      </c>
      <c r="W729">
        <v>45.052102525360183</v>
      </c>
      <c r="X729">
        <v>226.9255042356686</v>
      </c>
      <c r="Y729">
        <v>-17.174495764331397</v>
      </c>
      <c r="Z729">
        <v>-7.5683409064920246</v>
      </c>
    </row>
    <row r="730" spans="1:26" x14ac:dyDescent="0.35">
      <c r="A730">
        <v>728</v>
      </c>
      <c r="C730">
        <v>46076</v>
      </c>
      <c r="D730" t="s">
        <v>16</v>
      </c>
      <c r="E730" t="s">
        <v>239</v>
      </c>
      <c r="F730" t="s">
        <v>240</v>
      </c>
      <c r="G730" t="s">
        <v>241</v>
      </c>
      <c r="H730" t="s">
        <v>242</v>
      </c>
      <c r="I730" t="s">
        <v>22</v>
      </c>
      <c r="J730" t="s">
        <v>23</v>
      </c>
      <c r="K730" t="s">
        <v>24</v>
      </c>
      <c r="L730" t="s">
        <v>238</v>
      </c>
      <c r="M730">
        <v>28</v>
      </c>
      <c r="N730">
        <v>69</v>
      </c>
      <c r="O730">
        <v>3</v>
      </c>
      <c r="P730">
        <v>1</v>
      </c>
      <c r="Q730">
        <v>147</v>
      </c>
      <c r="R730">
        <v>0.57279999999999998</v>
      </c>
      <c r="S730">
        <v>0.9859</v>
      </c>
      <c r="U730">
        <v>0.41310000000000002</v>
      </c>
      <c r="V730">
        <v>47.13195291976092</v>
      </c>
      <c r="W730">
        <v>10.240912787726005</v>
      </c>
      <c r="X730">
        <v>263.16698854119198</v>
      </c>
      <c r="Y730">
        <v>-149.93301145880804</v>
      </c>
      <c r="Z730">
        <v>-56.972575584015509</v>
      </c>
    </row>
    <row r="731" spans="1:26" x14ac:dyDescent="0.35">
      <c r="A731">
        <v>729</v>
      </c>
      <c r="C731">
        <v>46076</v>
      </c>
      <c r="D731" t="s">
        <v>16</v>
      </c>
      <c r="E731" t="s">
        <v>239</v>
      </c>
      <c r="F731" t="s">
        <v>240</v>
      </c>
      <c r="G731" t="s">
        <v>241</v>
      </c>
      <c r="H731" t="s">
        <v>242</v>
      </c>
      <c r="I731" t="s">
        <v>22</v>
      </c>
      <c r="J731" t="s">
        <v>23</v>
      </c>
      <c r="K731" t="s">
        <v>24</v>
      </c>
      <c r="L731" t="s">
        <v>238</v>
      </c>
      <c r="M731">
        <v>28</v>
      </c>
      <c r="N731">
        <v>69</v>
      </c>
      <c r="O731">
        <v>3</v>
      </c>
      <c r="P731">
        <v>2</v>
      </c>
      <c r="Q731">
        <v>148</v>
      </c>
      <c r="R731">
        <v>0.58030000000000004</v>
      </c>
      <c r="S731">
        <v>0.87319999999999998</v>
      </c>
      <c r="U731">
        <v>0.29289999999999994</v>
      </c>
      <c r="V731">
        <v>167.05603448275883</v>
      </c>
      <c r="W731">
        <v>36.320000599757506</v>
      </c>
      <c r="X731">
        <v>263.00921456724643</v>
      </c>
      <c r="Y731">
        <v>-29.890785432753489</v>
      </c>
      <c r="Z731">
        <v>-11.36491946943212</v>
      </c>
    </row>
    <row r="732" spans="1:26" x14ac:dyDescent="0.35">
      <c r="A732">
        <v>730</v>
      </c>
      <c r="C732">
        <v>46076</v>
      </c>
      <c r="D732" t="s">
        <v>16</v>
      </c>
      <c r="E732" t="s">
        <v>244</v>
      </c>
      <c r="F732" t="s">
        <v>240</v>
      </c>
      <c r="G732" t="s">
        <v>245</v>
      </c>
      <c r="H732" t="s">
        <v>246</v>
      </c>
      <c r="I732" t="s">
        <v>22</v>
      </c>
      <c r="J732" t="s">
        <v>23</v>
      </c>
      <c r="K732" t="s">
        <v>24</v>
      </c>
      <c r="L732" t="s">
        <v>243</v>
      </c>
      <c r="M732">
        <v>28</v>
      </c>
      <c r="N732">
        <v>69</v>
      </c>
      <c r="O732">
        <v>3</v>
      </c>
      <c r="P732">
        <v>1</v>
      </c>
      <c r="Q732">
        <v>149</v>
      </c>
      <c r="R732">
        <v>0.60589999999999999</v>
      </c>
      <c r="S732">
        <v>0.89</v>
      </c>
      <c r="U732">
        <v>0.28410000000000002</v>
      </c>
      <c r="V732">
        <v>171.05680659670162</v>
      </c>
      <c r="W732">
        <v>37.581950685463219</v>
      </c>
      <c r="X732">
        <v>273.50497156234837</v>
      </c>
      <c r="Y732">
        <v>-10.595028437651649</v>
      </c>
      <c r="Z732">
        <v>-3.8737973855207963</v>
      </c>
    </row>
    <row r="733" spans="1:26" x14ac:dyDescent="0.35">
      <c r="A733">
        <v>731</v>
      </c>
      <c r="C733">
        <v>46076</v>
      </c>
      <c r="D733" t="s">
        <v>16</v>
      </c>
      <c r="E733" t="s">
        <v>244</v>
      </c>
      <c r="F733" t="s">
        <v>240</v>
      </c>
      <c r="G733" t="s">
        <v>245</v>
      </c>
      <c r="H733" t="s">
        <v>246</v>
      </c>
      <c r="I733" t="s">
        <v>22</v>
      </c>
      <c r="J733" t="s">
        <v>23</v>
      </c>
      <c r="K733" t="s">
        <v>24</v>
      </c>
      <c r="L733" t="s">
        <v>243</v>
      </c>
      <c r="M733">
        <v>28</v>
      </c>
      <c r="N733">
        <v>69</v>
      </c>
      <c r="O733">
        <v>3</v>
      </c>
      <c r="P733">
        <v>2</v>
      </c>
      <c r="Q733">
        <v>150</v>
      </c>
      <c r="R733">
        <v>0.5746</v>
      </c>
      <c r="S733">
        <v>0.92600000000000005</v>
      </c>
      <c r="U733">
        <v>0.35140000000000005</v>
      </c>
      <c r="V733">
        <v>103.84781975538914</v>
      </c>
      <c r="W733">
        <v>22.811272289274878</v>
      </c>
      <c r="X733">
        <v>273.55966161864961</v>
      </c>
      <c r="Y733">
        <v>-77.840338381350421</v>
      </c>
      <c r="Z733">
        <v>-28.454611297868247</v>
      </c>
    </row>
    <row r="734" spans="1:26" x14ac:dyDescent="0.35">
      <c r="A734">
        <v>732</v>
      </c>
      <c r="C734">
        <v>46076</v>
      </c>
      <c r="D734" t="s">
        <v>16</v>
      </c>
      <c r="E734" t="s">
        <v>248</v>
      </c>
      <c r="F734" t="s">
        <v>226</v>
      </c>
      <c r="G734" t="s">
        <v>227</v>
      </c>
      <c r="H734" t="s">
        <v>228</v>
      </c>
      <c r="I734" t="s">
        <v>22</v>
      </c>
      <c r="J734" t="s">
        <v>23</v>
      </c>
      <c r="K734" t="s">
        <v>24</v>
      </c>
      <c r="L734" t="s">
        <v>247</v>
      </c>
      <c r="M734">
        <v>28</v>
      </c>
      <c r="N734">
        <v>69</v>
      </c>
      <c r="O734">
        <v>3</v>
      </c>
      <c r="P734">
        <v>1</v>
      </c>
      <c r="Q734">
        <v>151</v>
      </c>
      <c r="R734">
        <v>0.5968</v>
      </c>
      <c r="S734">
        <v>0.89490000000000003</v>
      </c>
      <c r="U734">
        <v>0.29810000000000003</v>
      </c>
      <c r="V734">
        <v>163.50775534679184</v>
      </c>
      <c r="W734">
        <v>35.421362282779114</v>
      </c>
      <c r="X734">
        <v>238.68572387730765</v>
      </c>
      <c r="Y734">
        <v>-59.414276122692371</v>
      </c>
      <c r="Z734">
        <v>-24.892262158600349</v>
      </c>
    </row>
    <row r="735" spans="1:26" x14ac:dyDescent="0.35">
      <c r="A735">
        <v>733</v>
      </c>
      <c r="C735">
        <v>46076</v>
      </c>
      <c r="D735" t="s">
        <v>16</v>
      </c>
      <c r="E735" t="s">
        <v>248</v>
      </c>
      <c r="F735" t="s">
        <v>226</v>
      </c>
      <c r="G735" t="s">
        <v>227</v>
      </c>
      <c r="H735" t="s">
        <v>228</v>
      </c>
      <c r="I735" t="s">
        <v>22</v>
      </c>
      <c r="J735" t="s">
        <v>23</v>
      </c>
      <c r="K735" t="s">
        <v>24</v>
      </c>
      <c r="L735" t="s">
        <v>247</v>
      </c>
      <c r="M735">
        <v>28</v>
      </c>
      <c r="N735">
        <v>69</v>
      </c>
      <c r="O735">
        <v>3</v>
      </c>
      <c r="P735">
        <v>2</v>
      </c>
      <c r="Q735">
        <v>152</v>
      </c>
      <c r="R735">
        <v>0.57299999999999995</v>
      </c>
      <c r="S735">
        <v>0.8276</v>
      </c>
      <c r="U735">
        <v>0.25460000000000005</v>
      </c>
      <c r="V735">
        <v>207.00775534679181</v>
      </c>
      <c r="W735">
        <v>44.844947457885141</v>
      </c>
      <c r="X735">
        <v>238.68572387730765</v>
      </c>
      <c r="Y735">
        <v>-15.914276122692399</v>
      </c>
      <c r="Z735">
        <v>-6.667460401139393</v>
      </c>
    </row>
    <row r="736" spans="1:26" x14ac:dyDescent="0.35">
      <c r="A736">
        <v>734</v>
      </c>
      <c r="C736">
        <v>46076</v>
      </c>
      <c r="D736" t="s">
        <v>16</v>
      </c>
      <c r="E736" t="s">
        <v>250</v>
      </c>
      <c r="F736" t="s">
        <v>219</v>
      </c>
      <c r="G736" t="s">
        <v>220</v>
      </c>
      <c r="H736" t="s">
        <v>221</v>
      </c>
      <c r="I736" t="s">
        <v>22</v>
      </c>
      <c r="J736" t="s">
        <v>23</v>
      </c>
      <c r="K736" t="s">
        <v>24</v>
      </c>
      <c r="L736" t="s">
        <v>249</v>
      </c>
      <c r="M736">
        <v>28</v>
      </c>
      <c r="N736">
        <v>69</v>
      </c>
      <c r="O736">
        <v>3</v>
      </c>
      <c r="P736">
        <v>1</v>
      </c>
      <c r="Q736">
        <v>153</v>
      </c>
      <c r="R736">
        <v>0.6048</v>
      </c>
      <c r="S736">
        <v>0.85360000000000003</v>
      </c>
      <c r="U736">
        <v>0.24880000000000002</v>
      </c>
      <c r="V736">
        <v>206.08638089982026</v>
      </c>
      <c r="W736">
        <v>45.305023309811226</v>
      </c>
      <c r="X736">
        <v>223.55274469384219</v>
      </c>
      <c r="Y736">
        <v>-25.247255306157825</v>
      </c>
      <c r="Z736">
        <v>-11.293645864529287</v>
      </c>
    </row>
    <row r="737" spans="1:26" x14ac:dyDescent="0.35">
      <c r="A737">
        <v>735</v>
      </c>
      <c r="C737">
        <v>46076</v>
      </c>
      <c r="D737" t="s">
        <v>16</v>
      </c>
      <c r="E737" t="s">
        <v>250</v>
      </c>
      <c r="F737" t="s">
        <v>219</v>
      </c>
      <c r="G737" t="s">
        <v>220</v>
      </c>
      <c r="H737" t="s">
        <v>221</v>
      </c>
      <c r="I737" t="s">
        <v>22</v>
      </c>
      <c r="J737" t="s">
        <v>23</v>
      </c>
      <c r="K737" t="s">
        <v>24</v>
      </c>
      <c r="L737" t="s">
        <v>249</v>
      </c>
      <c r="M737">
        <v>28</v>
      </c>
      <c r="N737">
        <v>69</v>
      </c>
      <c r="O737">
        <v>3</v>
      </c>
      <c r="P737">
        <v>2</v>
      </c>
      <c r="Q737">
        <v>154</v>
      </c>
      <c r="R737">
        <v>0.59150000000000003</v>
      </c>
      <c r="S737">
        <v>0.89300000000000002</v>
      </c>
      <c r="U737">
        <v>0.30149999999999999</v>
      </c>
      <c r="V737">
        <v>153.38638089982027</v>
      </c>
      <c r="W737">
        <v>33.719712732749542</v>
      </c>
      <c r="X737">
        <v>223.55274469384219</v>
      </c>
      <c r="Y737">
        <v>-77.947255306157814</v>
      </c>
      <c r="Z737">
        <v>-34.867500917024032</v>
      </c>
    </row>
    <row r="738" spans="1:26" x14ac:dyDescent="0.35">
      <c r="A738">
        <v>736</v>
      </c>
      <c r="C738">
        <v>46076</v>
      </c>
      <c r="D738" t="s">
        <v>16</v>
      </c>
      <c r="E738" t="s">
        <v>252</v>
      </c>
      <c r="F738" t="s">
        <v>219</v>
      </c>
      <c r="G738" t="s">
        <v>253</v>
      </c>
      <c r="H738" t="s">
        <v>254</v>
      </c>
      <c r="I738" t="s">
        <v>22</v>
      </c>
      <c r="J738" t="s">
        <v>23</v>
      </c>
      <c r="K738" t="s">
        <v>24</v>
      </c>
      <c r="L738" t="s">
        <v>251</v>
      </c>
      <c r="M738">
        <v>28</v>
      </c>
      <c r="N738">
        <v>69</v>
      </c>
      <c r="O738">
        <v>3</v>
      </c>
      <c r="P738">
        <v>1</v>
      </c>
      <c r="Q738">
        <v>155</v>
      </c>
      <c r="R738">
        <v>0.57620000000000005</v>
      </c>
      <c r="S738">
        <v>0.87890000000000001</v>
      </c>
      <c r="U738">
        <v>0.30269999999999997</v>
      </c>
      <c r="V738">
        <v>157.86109337514716</v>
      </c>
      <c r="W738">
        <v>34.275820438562839</v>
      </c>
      <c r="X738">
        <v>222.52674073767255</v>
      </c>
      <c r="Y738">
        <v>-80.173259262327434</v>
      </c>
      <c r="Z738">
        <v>-36.028595483200974</v>
      </c>
    </row>
    <row r="739" spans="1:26" x14ac:dyDescent="0.35">
      <c r="A739">
        <v>737</v>
      </c>
      <c r="C739">
        <v>46076</v>
      </c>
      <c r="D739" t="s">
        <v>16</v>
      </c>
      <c r="E739" t="s">
        <v>252</v>
      </c>
      <c r="F739" t="s">
        <v>219</v>
      </c>
      <c r="G739" t="s">
        <v>253</v>
      </c>
      <c r="H739" t="s">
        <v>254</v>
      </c>
      <c r="I739" t="s">
        <v>22</v>
      </c>
      <c r="J739" t="s">
        <v>23</v>
      </c>
      <c r="K739" t="s">
        <v>24</v>
      </c>
      <c r="L739" t="s">
        <v>251</v>
      </c>
      <c r="M739">
        <v>28</v>
      </c>
      <c r="N739">
        <v>69</v>
      </c>
      <c r="O739">
        <v>3</v>
      </c>
      <c r="P739">
        <v>2</v>
      </c>
      <c r="Q739">
        <v>156</v>
      </c>
      <c r="R739">
        <v>0.5887</v>
      </c>
      <c r="S739">
        <v>0.94969999999999999</v>
      </c>
      <c r="U739">
        <v>0.36099999999999999</v>
      </c>
      <c r="V739">
        <v>99.284922421694205</v>
      </c>
      <c r="W739">
        <v>21.570318206237793</v>
      </c>
      <c r="X739">
        <v>222.3933047548197</v>
      </c>
      <c r="Y739">
        <v>-138.6066952451803</v>
      </c>
      <c r="Z739">
        <v>-62.325030601972934</v>
      </c>
    </row>
    <row r="740" spans="1:26" x14ac:dyDescent="0.35">
      <c r="A740">
        <v>738</v>
      </c>
      <c r="C740">
        <v>46076</v>
      </c>
      <c r="D740" t="s">
        <v>16</v>
      </c>
      <c r="E740" t="s">
        <v>256</v>
      </c>
      <c r="F740" t="s">
        <v>219</v>
      </c>
      <c r="G740" t="s">
        <v>253</v>
      </c>
      <c r="H740" t="s">
        <v>254</v>
      </c>
      <c r="I740" t="s">
        <v>22</v>
      </c>
      <c r="J740" t="s">
        <v>23</v>
      </c>
      <c r="K740" t="s">
        <v>24</v>
      </c>
      <c r="L740" t="s">
        <v>255</v>
      </c>
      <c r="M740">
        <v>28</v>
      </c>
      <c r="N740">
        <v>69</v>
      </c>
      <c r="O740">
        <v>3</v>
      </c>
      <c r="P740">
        <v>1</v>
      </c>
      <c r="Q740">
        <v>157</v>
      </c>
      <c r="R740">
        <v>0.57789999999999997</v>
      </c>
      <c r="S740">
        <v>0.8034</v>
      </c>
      <c r="U740">
        <v>0.22550000000000003</v>
      </c>
      <c r="V740">
        <v>236.07669778257016</v>
      </c>
      <c r="W740">
        <v>51.145714009543909</v>
      </c>
      <c r="X740">
        <v>229.08031548170334</v>
      </c>
      <c r="Y740">
        <v>3.5803154817033089</v>
      </c>
      <c r="Z740">
        <v>1.5629083948896818</v>
      </c>
    </row>
    <row r="741" spans="1:26" x14ac:dyDescent="0.35">
      <c r="A741">
        <v>739</v>
      </c>
      <c r="C741">
        <v>46076</v>
      </c>
      <c r="D741" t="s">
        <v>16</v>
      </c>
      <c r="E741" t="s">
        <v>256</v>
      </c>
      <c r="F741" t="s">
        <v>219</v>
      </c>
      <c r="G741" t="s">
        <v>253</v>
      </c>
      <c r="H741" t="s">
        <v>254</v>
      </c>
      <c r="I741" t="s">
        <v>22</v>
      </c>
      <c r="J741" t="s">
        <v>23</v>
      </c>
      <c r="K741" t="s">
        <v>24</v>
      </c>
      <c r="L741" t="s">
        <v>255</v>
      </c>
      <c r="M741">
        <v>28</v>
      </c>
      <c r="N741">
        <v>69</v>
      </c>
      <c r="O741">
        <v>3</v>
      </c>
      <c r="P741">
        <v>2</v>
      </c>
      <c r="Q741">
        <v>158</v>
      </c>
      <c r="R741">
        <v>0.58399999999999996</v>
      </c>
      <c r="S741">
        <v>0.7157</v>
      </c>
      <c r="U741">
        <v>0.13170000000000004</v>
      </c>
      <c r="V741">
        <v>329.41558220036984</v>
      </c>
      <c r="W741">
        <v>71.438831155618573</v>
      </c>
      <c r="X741">
        <v>228.85146401768569</v>
      </c>
      <c r="Y741">
        <v>97.15146401768564</v>
      </c>
      <c r="Z741">
        <v>42.451755523913867</v>
      </c>
    </row>
    <row r="742" spans="1:26" x14ac:dyDescent="0.35">
      <c r="A742">
        <v>740</v>
      </c>
      <c r="C742">
        <v>46076</v>
      </c>
      <c r="D742" t="s">
        <v>16</v>
      </c>
      <c r="E742" t="s">
        <v>258</v>
      </c>
      <c r="F742" t="s">
        <v>259</v>
      </c>
      <c r="G742" t="s">
        <v>260</v>
      </c>
      <c r="H742" t="s">
        <v>261</v>
      </c>
      <c r="I742" t="s">
        <v>22</v>
      </c>
      <c r="J742" t="s">
        <v>23</v>
      </c>
      <c r="K742" t="s">
        <v>24</v>
      </c>
      <c r="L742" t="s">
        <v>257</v>
      </c>
      <c r="M742">
        <v>28</v>
      </c>
      <c r="N742">
        <v>69</v>
      </c>
      <c r="O742">
        <v>3</v>
      </c>
      <c r="P742">
        <v>1</v>
      </c>
      <c r="Q742">
        <v>159</v>
      </c>
      <c r="R742">
        <v>0.58299999999999996</v>
      </c>
      <c r="S742">
        <v>0.90380000000000005</v>
      </c>
      <c r="U742">
        <v>0.32080000000000009</v>
      </c>
      <c r="V742">
        <v>136.59710323902806</v>
      </c>
      <c r="W742">
        <v>29.864007067758951</v>
      </c>
      <c r="X742">
        <v>262.79187466699352</v>
      </c>
      <c r="Y742">
        <v>-58.008125333006546</v>
      </c>
      <c r="Z742">
        <v>-22.073789536496779</v>
      </c>
    </row>
    <row r="743" spans="1:26" x14ac:dyDescent="0.35">
      <c r="A743">
        <v>741</v>
      </c>
      <c r="C743">
        <v>46076</v>
      </c>
      <c r="D743" t="s">
        <v>16</v>
      </c>
      <c r="E743" t="s">
        <v>258</v>
      </c>
      <c r="F743" t="s">
        <v>259</v>
      </c>
      <c r="G743" t="s">
        <v>260</v>
      </c>
      <c r="H743" t="s">
        <v>261</v>
      </c>
      <c r="I743" t="s">
        <v>22</v>
      </c>
      <c r="J743" t="s">
        <v>23</v>
      </c>
      <c r="K743" t="s">
        <v>24</v>
      </c>
      <c r="L743" t="s">
        <v>257</v>
      </c>
      <c r="M743">
        <v>28</v>
      </c>
      <c r="N743">
        <v>69</v>
      </c>
      <c r="O743">
        <v>3</v>
      </c>
      <c r="P743">
        <v>2</v>
      </c>
      <c r="Q743">
        <v>160</v>
      </c>
      <c r="R743">
        <v>0.58809999999999996</v>
      </c>
      <c r="S743">
        <v>0.86</v>
      </c>
      <c r="U743">
        <v>0.27190000000000003</v>
      </c>
      <c r="V743">
        <v>185.40569694341679</v>
      </c>
      <c r="W743">
        <v>40.543054281337184</v>
      </c>
      <c r="X743">
        <v>262.73935830514961</v>
      </c>
      <c r="Y743">
        <v>-9.1606416948504261</v>
      </c>
      <c r="Z743">
        <v>-3.4865890492931451</v>
      </c>
    </row>
    <row r="744" spans="1:26" x14ac:dyDescent="0.35">
      <c r="A744">
        <v>742</v>
      </c>
      <c r="C744">
        <v>46076</v>
      </c>
      <c r="D744" t="s">
        <v>16</v>
      </c>
      <c r="E744" t="s">
        <v>263</v>
      </c>
      <c r="F744" t="s">
        <v>264</v>
      </c>
      <c r="G744" t="s">
        <v>265</v>
      </c>
      <c r="H744" t="s">
        <v>266</v>
      </c>
      <c r="I744" t="s">
        <v>22</v>
      </c>
      <c r="J744" t="s">
        <v>23</v>
      </c>
      <c r="K744" t="s">
        <v>24</v>
      </c>
      <c r="L744" t="s">
        <v>262</v>
      </c>
      <c r="M744">
        <v>28</v>
      </c>
      <c r="N744">
        <v>69</v>
      </c>
      <c r="O744">
        <v>3</v>
      </c>
      <c r="P744">
        <v>1</v>
      </c>
      <c r="Q744">
        <v>161</v>
      </c>
      <c r="R744">
        <v>0.55510000000000004</v>
      </c>
      <c r="S744">
        <v>0.81740000000000002</v>
      </c>
      <c r="U744">
        <v>0.26229999999999998</v>
      </c>
      <c r="V744">
        <v>191.48425018639807</v>
      </c>
      <c r="W744">
        <v>42.197200565630766</v>
      </c>
      <c r="X744">
        <v>243.08746805521375</v>
      </c>
      <c r="Y744">
        <v>-19.212531944786207</v>
      </c>
      <c r="Z744">
        <v>-7.903546858459344</v>
      </c>
    </row>
    <row r="745" spans="1:26" x14ac:dyDescent="0.35">
      <c r="A745">
        <v>743</v>
      </c>
      <c r="C745">
        <v>46076</v>
      </c>
      <c r="D745" t="s">
        <v>16</v>
      </c>
      <c r="E745" t="s">
        <v>263</v>
      </c>
      <c r="F745" t="s">
        <v>264</v>
      </c>
      <c r="G745" t="s">
        <v>265</v>
      </c>
      <c r="H745" t="s">
        <v>266</v>
      </c>
      <c r="I745" t="s">
        <v>22</v>
      </c>
      <c r="J745" t="s">
        <v>23</v>
      </c>
      <c r="K745" t="s">
        <v>24</v>
      </c>
      <c r="L745" t="s">
        <v>262</v>
      </c>
      <c r="M745">
        <v>28</v>
      </c>
      <c r="N745">
        <v>69</v>
      </c>
      <c r="O745">
        <v>3</v>
      </c>
      <c r="P745">
        <v>2</v>
      </c>
      <c r="Q745">
        <v>162</v>
      </c>
      <c r="R745">
        <v>0.59830000000000005</v>
      </c>
      <c r="S745">
        <v>0.91790000000000005</v>
      </c>
      <c r="U745">
        <v>0.3196</v>
      </c>
      <c r="V745">
        <v>134.36576388647251</v>
      </c>
      <c r="W745">
        <v>29.598215234590818</v>
      </c>
      <c r="X745">
        <v>243.18470304243584</v>
      </c>
      <c r="Y745">
        <v>-76.415296957564181</v>
      </c>
      <c r="Z745">
        <v>-31.422740000315596</v>
      </c>
    </row>
    <row r="746" spans="1:26" x14ac:dyDescent="0.35">
      <c r="A746">
        <v>744</v>
      </c>
      <c r="C746">
        <v>46076</v>
      </c>
      <c r="D746" t="s">
        <v>16</v>
      </c>
      <c r="E746" t="s">
        <v>268</v>
      </c>
      <c r="F746" t="s">
        <v>269</v>
      </c>
      <c r="G746" t="s">
        <v>270</v>
      </c>
      <c r="H746" t="s">
        <v>271</v>
      </c>
      <c r="I746" t="s">
        <v>22</v>
      </c>
      <c r="J746" t="s">
        <v>23</v>
      </c>
      <c r="K746" t="s">
        <v>24</v>
      </c>
      <c r="L746" t="s">
        <v>267</v>
      </c>
      <c r="M746">
        <v>28</v>
      </c>
      <c r="N746">
        <v>69</v>
      </c>
      <c r="O746">
        <v>3</v>
      </c>
      <c r="P746">
        <v>1</v>
      </c>
      <c r="Q746">
        <v>163</v>
      </c>
      <c r="R746">
        <v>0.57579999999999998</v>
      </c>
      <c r="S746">
        <v>0.78569999999999995</v>
      </c>
      <c r="U746">
        <v>0.20989999999999998</v>
      </c>
      <c r="V746">
        <v>246.85217804236981</v>
      </c>
      <c r="W746">
        <v>54.045101459695942</v>
      </c>
      <c r="X746">
        <v>250.65813823582639</v>
      </c>
      <c r="Y746">
        <v>40.758138235826408</v>
      </c>
      <c r="Z746">
        <v>16.260448801977446</v>
      </c>
    </row>
    <row r="747" spans="1:26" x14ac:dyDescent="0.35">
      <c r="A747">
        <v>745</v>
      </c>
      <c r="C747">
        <v>46076</v>
      </c>
      <c r="D747" t="s">
        <v>16</v>
      </c>
      <c r="E747" t="s">
        <v>268</v>
      </c>
      <c r="F747" t="s">
        <v>269</v>
      </c>
      <c r="G747" t="s">
        <v>270</v>
      </c>
      <c r="H747" t="s">
        <v>271</v>
      </c>
      <c r="I747" t="s">
        <v>22</v>
      </c>
      <c r="J747" t="s">
        <v>23</v>
      </c>
      <c r="K747" t="s">
        <v>24</v>
      </c>
      <c r="L747" t="s">
        <v>267</v>
      </c>
      <c r="M747">
        <v>28</v>
      </c>
      <c r="N747">
        <v>69</v>
      </c>
      <c r="O747">
        <v>3</v>
      </c>
      <c r="P747">
        <v>2</v>
      </c>
      <c r="Q747">
        <v>164</v>
      </c>
      <c r="R747">
        <v>0.5615</v>
      </c>
      <c r="S747">
        <v>0.71209999999999996</v>
      </c>
      <c r="U747">
        <v>0.15059999999999996</v>
      </c>
      <c r="V747">
        <v>306.42611977250317</v>
      </c>
      <c r="W747">
        <v>67.047835236426948</v>
      </c>
      <c r="X747">
        <v>250.80847298486825</v>
      </c>
      <c r="Y747">
        <v>100.20847298486828</v>
      </c>
      <c r="Z747">
        <v>39.954181687838769</v>
      </c>
    </row>
    <row r="748" spans="1:26" x14ac:dyDescent="0.35">
      <c r="A748">
        <v>746</v>
      </c>
      <c r="C748">
        <v>46076</v>
      </c>
      <c r="D748" t="s">
        <v>16</v>
      </c>
      <c r="E748" t="s">
        <v>273</v>
      </c>
      <c r="F748" t="s">
        <v>235</v>
      </c>
      <c r="G748" t="s">
        <v>274</v>
      </c>
      <c r="H748" t="s">
        <v>275</v>
      </c>
      <c r="I748" t="s">
        <v>22</v>
      </c>
      <c r="J748" t="s">
        <v>23</v>
      </c>
      <c r="K748" t="s">
        <v>24</v>
      </c>
      <c r="L748" t="s">
        <v>272</v>
      </c>
      <c r="M748">
        <v>28</v>
      </c>
      <c r="N748">
        <v>69</v>
      </c>
      <c r="O748">
        <v>3</v>
      </c>
      <c r="P748">
        <v>1</v>
      </c>
      <c r="Q748">
        <v>165</v>
      </c>
      <c r="R748">
        <v>0.61280000000000001</v>
      </c>
      <c r="S748">
        <v>0.85980000000000001</v>
      </c>
      <c r="U748">
        <v>0.247</v>
      </c>
      <c r="V748">
        <v>204.27743225677466</v>
      </c>
      <c r="W748">
        <v>45.266485238406915</v>
      </c>
      <c r="X748">
        <v>234.462205261252</v>
      </c>
      <c r="Y748">
        <v>-12.537794738748005</v>
      </c>
      <c r="Z748">
        <v>-5.3474694246680974</v>
      </c>
    </row>
    <row r="749" spans="1:26" x14ac:dyDescent="0.35">
      <c r="A749">
        <v>747</v>
      </c>
      <c r="C749">
        <v>46076</v>
      </c>
      <c r="D749" t="s">
        <v>16</v>
      </c>
      <c r="E749" t="s">
        <v>273</v>
      </c>
      <c r="F749" t="s">
        <v>235</v>
      </c>
      <c r="G749" t="s">
        <v>274</v>
      </c>
      <c r="H749" t="s">
        <v>275</v>
      </c>
      <c r="I749" t="s">
        <v>22</v>
      </c>
      <c r="J749" t="s">
        <v>23</v>
      </c>
      <c r="K749" t="s">
        <v>24</v>
      </c>
      <c r="L749" t="s">
        <v>272</v>
      </c>
      <c r="M749">
        <v>28</v>
      </c>
      <c r="N749">
        <v>69</v>
      </c>
      <c r="O749">
        <v>3</v>
      </c>
      <c r="P749">
        <v>2</v>
      </c>
      <c r="Q749">
        <v>166</v>
      </c>
      <c r="R749">
        <v>0.5706</v>
      </c>
      <c r="S749">
        <v>0.86</v>
      </c>
      <c r="U749">
        <v>0.28939999999999999</v>
      </c>
      <c r="V749">
        <v>162.05794322967733</v>
      </c>
      <c r="W749">
        <v>35.896575895937012</v>
      </c>
      <c r="X749">
        <v>234.55599014335647</v>
      </c>
      <c r="Y749">
        <v>-54.84400985664351</v>
      </c>
      <c r="Z749">
        <v>-23.38205467407753</v>
      </c>
    </row>
    <row r="750" spans="1:26" x14ac:dyDescent="0.35">
      <c r="A750">
        <v>748</v>
      </c>
      <c r="C750">
        <v>46076</v>
      </c>
      <c r="D750" t="s">
        <v>16</v>
      </c>
      <c r="E750" t="s">
        <v>277</v>
      </c>
      <c r="F750" t="s">
        <v>269</v>
      </c>
      <c r="G750" t="s">
        <v>270</v>
      </c>
      <c r="H750" t="s">
        <v>271</v>
      </c>
      <c r="I750" t="s">
        <v>22</v>
      </c>
      <c r="J750" t="s">
        <v>23</v>
      </c>
      <c r="K750" t="s">
        <v>24</v>
      </c>
      <c r="L750" t="s">
        <v>276</v>
      </c>
      <c r="M750">
        <v>28</v>
      </c>
      <c r="N750">
        <v>69</v>
      </c>
      <c r="O750">
        <v>3</v>
      </c>
      <c r="P750">
        <v>1</v>
      </c>
      <c r="Q750">
        <v>167</v>
      </c>
      <c r="R750">
        <v>0.55879999999999996</v>
      </c>
      <c r="S750">
        <v>0.79310000000000003</v>
      </c>
      <c r="U750">
        <v>0.23430000000000006</v>
      </c>
      <c r="V750">
        <v>225.72899710028969</v>
      </c>
      <c r="W750">
        <v>49.068427973699904</v>
      </c>
      <c r="X750">
        <v>229.97860149384258</v>
      </c>
      <c r="Y750">
        <v>-4.3213985061574931</v>
      </c>
      <c r="Z750">
        <v>-1.8790437362813488</v>
      </c>
    </row>
    <row r="751" spans="1:26" x14ac:dyDescent="0.35">
      <c r="A751">
        <v>749</v>
      </c>
      <c r="C751">
        <v>46076</v>
      </c>
      <c r="D751" t="s">
        <v>16</v>
      </c>
      <c r="E751" t="s">
        <v>277</v>
      </c>
      <c r="F751" t="s">
        <v>269</v>
      </c>
      <c r="G751" t="s">
        <v>270</v>
      </c>
      <c r="H751" t="s">
        <v>271</v>
      </c>
      <c r="I751" t="s">
        <v>22</v>
      </c>
      <c r="J751" t="s">
        <v>23</v>
      </c>
      <c r="K751" t="s">
        <v>24</v>
      </c>
      <c r="L751" t="s">
        <v>276</v>
      </c>
      <c r="M751">
        <v>28</v>
      </c>
      <c r="N751">
        <v>69</v>
      </c>
      <c r="O751">
        <v>3</v>
      </c>
      <c r="P751">
        <v>2</v>
      </c>
      <c r="Q751">
        <v>168</v>
      </c>
      <c r="R751">
        <v>0.5786</v>
      </c>
      <c r="S751">
        <v>0.77900000000000003</v>
      </c>
      <c r="U751">
        <v>0.20040000000000002</v>
      </c>
      <c r="V751">
        <v>260.08902609738999</v>
      </c>
      <c r="W751">
        <v>56.481047616188597</v>
      </c>
      <c r="X751">
        <v>230.2085800953364</v>
      </c>
      <c r="Y751">
        <v>29.808580095336367</v>
      </c>
      <c r="Z751">
        <v>12.948509600724581</v>
      </c>
    </row>
    <row r="752" spans="1:26" x14ac:dyDescent="0.35">
      <c r="A752">
        <v>750</v>
      </c>
      <c r="C752">
        <v>46076</v>
      </c>
      <c r="D752" t="s">
        <v>16</v>
      </c>
      <c r="E752" t="s">
        <v>279</v>
      </c>
      <c r="F752" t="s">
        <v>269</v>
      </c>
      <c r="G752" t="s">
        <v>270</v>
      </c>
      <c r="H752" t="s">
        <v>271</v>
      </c>
      <c r="I752" t="s">
        <v>22</v>
      </c>
      <c r="J752" t="s">
        <v>23</v>
      </c>
      <c r="K752" t="s">
        <v>24</v>
      </c>
      <c r="L752" t="s">
        <v>278</v>
      </c>
      <c r="M752">
        <v>28</v>
      </c>
      <c r="N752">
        <v>69</v>
      </c>
      <c r="O752">
        <v>3</v>
      </c>
      <c r="P752">
        <v>1</v>
      </c>
      <c r="Q752">
        <v>169</v>
      </c>
      <c r="R752">
        <v>0.55679999999999996</v>
      </c>
      <c r="S752">
        <v>0.83750000000000002</v>
      </c>
      <c r="U752">
        <v>0.28070000000000006</v>
      </c>
      <c r="V752">
        <v>180.3210657868425</v>
      </c>
      <c r="W752">
        <v>39.113411331666924</v>
      </c>
      <c r="X752">
        <v>217.24730099305035</v>
      </c>
      <c r="Y752">
        <v>-63.4526990069497</v>
      </c>
      <c r="Z752">
        <v>-29.207589100947924</v>
      </c>
    </row>
    <row r="753" spans="1:26" x14ac:dyDescent="0.35">
      <c r="A753">
        <v>751</v>
      </c>
      <c r="C753">
        <v>46076</v>
      </c>
      <c r="D753" t="s">
        <v>16</v>
      </c>
      <c r="E753" t="s">
        <v>279</v>
      </c>
      <c r="F753" t="s">
        <v>269</v>
      </c>
      <c r="G753" t="s">
        <v>270</v>
      </c>
      <c r="H753" t="s">
        <v>271</v>
      </c>
      <c r="I753" t="s">
        <v>22</v>
      </c>
      <c r="J753" t="s">
        <v>23</v>
      </c>
      <c r="K753" t="s">
        <v>24</v>
      </c>
      <c r="L753" t="s">
        <v>278</v>
      </c>
      <c r="M753">
        <v>28</v>
      </c>
      <c r="N753">
        <v>69</v>
      </c>
      <c r="O753">
        <v>3</v>
      </c>
      <c r="P753">
        <v>2</v>
      </c>
      <c r="Q753">
        <v>170</v>
      </c>
      <c r="R753">
        <v>0.5877</v>
      </c>
      <c r="S753">
        <v>0.86760000000000004</v>
      </c>
      <c r="U753">
        <v>0.27990000000000004</v>
      </c>
      <c r="V753">
        <v>181.02889844062366</v>
      </c>
      <c r="W753">
        <v>39.274799009796432</v>
      </c>
      <c r="X753">
        <v>217.20386890568668</v>
      </c>
      <c r="Y753">
        <v>-62.696131094313358</v>
      </c>
      <c r="Z753">
        <v>-28.865107886976453</v>
      </c>
    </row>
    <row r="754" spans="1:26" x14ac:dyDescent="0.35">
      <c r="A754">
        <v>752</v>
      </c>
      <c r="C754">
        <v>46076</v>
      </c>
      <c r="D754" t="s">
        <v>16</v>
      </c>
      <c r="E754" t="s">
        <v>281</v>
      </c>
      <c r="F754" t="s">
        <v>269</v>
      </c>
      <c r="G754" t="s">
        <v>282</v>
      </c>
      <c r="H754" t="s">
        <v>283</v>
      </c>
      <c r="I754" t="s">
        <v>22</v>
      </c>
      <c r="J754" t="s">
        <v>23</v>
      </c>
      <c r="K754" t="s">
        <v>24</v>
      </c>
      <c r="L754" t="s">
        <v>280</v>
      </c>
      <c r="M754">
        <v>28</v>
      </c>
      <c r="N754">
        <v>69</v>
      </c>
      <c r="O754">
        <v>3</v>
      </c>
      <c r="P754">
        <v>1</v>
      </c>
      <c r="Q754">
        <v>171</v>
      </c>
      <c r="R754">
        <v>0.56269999999999998</v>
      </c>
      <c r="S754">
        <v>0.74850000000000005</v>
      </c>
      <c r="U754">
        <v>0.18580000000000008</v>
      </c>
      <c r="V754">
        <v>270.25440367889649</v>
      </c>
      <c r="W754">
        <v>59.259246594005035</v>
      </c>
      <c r="X754">
        <v>226.77215511912758</v>
      </c>
      <c r="Y754">
        <v>40.972155119127507</v>
      </c>
      <c r="Z754">
        <v>18.067542330143699</v>
      </c>
    </row>
    <row r="755" spans="1:26" x14ac:dyDescent="0.35">
      <c r="A755">
        <v>753</v>
      </c>
      <c r="C755">
        <v>46076</v>
      </c>
      <c r="D755" t="s">
        <v>16</v>
      </c>
      <c r="E755" t="s">
        <v>281</v>
      </c>
      <c r="F755" t="s">
        <v>269</v>
      </c>
      <c r="G755" t="s">
        <v>282</v>
      </c>
      <c r="H755" t="s">
        <v>283</v>
      </c>
      <c r="I755" t="s">
        <v>22</v>
      </c>
      <c r="J755" t="s">
        <v>23</v>
      </c>
      <c r="K755" t="s">
        <v>24</v>
      </c>
      <c r="L755" t="s">
        <v>280</v>
      </c>
      <c r="M755">
        <v>28</v>
      </c>
      <c r="N755">
        <v>69</v>
      </c>
      <c r="O755">
        <v>3</v>
      </c>
      <c r="P755">
        <v>2</v>
      </c>
      <c r="Q755">
        <v>172</v>
      </c>
      <c r="R755">
        <v>0.54920000000000002</v>
      </c>
      <c r="S755">
        <v>0.72170000000000001</v>
      </c>
      <c r="U755">
        <v>0.17249999999999999</v>
      </c>
      <c r="V755">
        <v>283.64559632110388</v>
      </c>
      <c r="W755">
        <v>62.183127187625296</v>
      </c>
      <c r="X755">
        <v>226.81750048107898</v>
      </c>
      <c r="Y755">
        <v>54.31750048107898</v>
      </c>
      <c r="Z755">
        <v>23.947667338662928</v>
      </c>
    </row>
    <row r="756" spans="1:26" x14ac:dyDescent="0.35">
      <c r="A756">
        <v>754</v>
      </c>
      <c r="C756">
        <v>46076</v>
      </c>
      <c r="D756" t="s">
        <v>16</v>
      </c>
      <c r="E756" t="s">
        <v>285</v>
      </c>
      <c r="F756" t="s">
        <v>269</v>
      </c>
      <c r="G756" t="s">
        <v>282</v>
      </c>
      <c r="H756" t="s">
        <v>283</v>
      </c>
      <c r="I756" t="s">
        <v>22</v>
      </c>
      <c r="J756" t="s">
        <v>23</v>
      </c>
      <c r="K756" t="s">
        <v>24</v>
      </c>
      <c r="L756" t="s">
        <v>284</v>
      </c>
      <c r="M756">
        <v>28</v>
      </c>
      <c r="N756">
        <v>69</v>
      </c>
      <c r="O756">
        <v>3</v>
      </c>
      <c r="P756">
        <v>1</v>
      </c>
      <c r="Q756">
        <v>173</v>
      </c>
      <c r="R756">
        <v>0.57889999999999997</v>
      </c>
      <c r="S756">
        <v>0.77929999999999999</v>
      </c>
      <c r="U756">
        <v>0.20040000000000002</v>
      </c>
      <c r="V756">
        <v>266.72504216188372</v>
      </c>
      <c r="W756">
        <v>57.099281367460762</v>
      </c>
      <c r="X756">
        <v>263.68067118155989</v>
      </c>
      <c r="Y756">
        <v>63.280671181559853</v>
      </c>
      <c r="Z756">
        <v>23.998979863786577</v>
      </c>
    </row>
    <row r="757" spans="1:26" x14ac:dyDescent="0.35">
      <c r="A757">
        <v>755</v>
      </c>
      <c r="C757">
        <v>46076</v>
      </c>
      <c r="D757" t="s">
        <v>16</v>
      </c>
      <c r="E757" t="s">
        <v>285</v>
      </c>
      <c r="F757" t="s">
        <v>269</v>
      </c>
      <c r="G757" t="s">
        <v>282</v>
      </c>
      <c r="H757" t="s">
        <v>283</v>
      </c>
      <c r="I757" t="s">
        <v>22</v>
      </c>
      <c r="J757" t="s">
        <v>23</v>
      </c>
      <c r="K757" t="s">
        <v>24</v>
      </c>
      <c r="L757" t="s">
        <v>284</v>
      </c>
      <c r="M757">
        <v>28</v>
      </c>
      <c r="N757">
        <v>69</v>
      </c>
      <c r="O757">
        <v>3</v>
      </c>
      <c r="P757">
        <v>2</v>
      </c>
      <c r="Q757">
        <v>174</v>
      </c>
      <c r="R757">
        <v>0.56559999999999999</v>
      </c>
      <c r="S757">
        <v>0.82840000000000003</v>
      </c>
      <c r="U757">
        <v>0.26280000000000003</v>
      </c>
      <c r="V757">
        <v>204.69866747055153</v>
      </c>
      <c r="W757">
        <v>43.785936028030669</v>
      </c>
      <c r="X757">
        <v>263.89157353803387</v>
      </c>
      <c r="Y757">
        <v>1.091573538033856</v>
      </c>
      <c r="Z757">
        <v>0.4136447114998657</v>
      </c>
    </row>
    <row r="758" spans="1:26" x14ac:dyDescent="0.35">
      <c r="A758">
        <v>756</v>
      </c>
      <c r="C758">
        <v>46076</v>
      </c>
      <c r="D758" t="s">
        <v>16</v>
      </c>
      <c r="E758" t="s">
        <v>287</v>
      </c>
      <c r="F758" t="s">
        <v>235</v>
      </c>
      <c r="G758" t="s">
        <v>274</v>
      </c>
      <c r="H758" t="s">
        <v>275</v>
      </c>
      <c r="I758" t="s">
        <v>22</v>
      </c>
      <c r="J758" t="s">
        <v>23</v>
      </c>
      <c r="K758" t="s">
        <v>24</v>
      </c>
      <c r="L758" t="s">
        <v>286</v>
      </c>
      <c r="M758">
        <v>28</v>
      </c>
      <c r="N758">
        <v>69</v>
      </c>
      <c r="O758">
        <v>3</v>
      </c>
      <c r="P758">
        <v>1</v>
      </c>
      <c r="Q758">
        <v>175</v>
      </c>
      <c r="R758">
        <v>0.56210000000000004</v>
      </c>
      <c r="S758">
        <v>0.84240000000000004</v>
      </c>
      <c r="U758">
        <v>0.28029999999999999</v>
      </c>
      <c r="V758">
        <v>180.54930124863938</v>
      </c>
      <c r="W758">
        <v>39.17751437605601</v>
      </c>
      <c r="X758">
        <v>227.9680503643084</v>
      </c>
      <c r="Y758">
        <v>-52.331949635691615</v>
      </c>
      <c r="Z758">
        <v>-22.955826288842498</v>
      </c>
    </row>
    <row r="759" spans="1:26" x14ac:dyDescent="0.35">
      <c r="A759">
        <v>757</v>
      </c>
      <c r="C759">
        <v>46076</v>
      </c>
      <c r="D759" t="s">
        <v>16</v>
      </c>
      <c r="E759" t="s">
        <v>287</v>
      </c>
      <c r="F759" t="s">
        <v>235</v>
      </c>
      <c r="G759" t="s">
        <v>274</v>
      </c>
      <c r="H759" t="s">
        <v>275</v>
      </c>
      <c r="I759" t="s">
        <v>22</v>
      </c>
      <c r="J759" t="s">
        <v>23</v>
      </c>
      <c r="K759" t="s">
        <v>24</v>
      </c>
      <c r="L759" t="s">
        <v>286</v>
      </c>
      <c r="M759">
        <v>28</v>
      </c>
      <c r="N759">
        <v>69</v>
      </c>
      <c r="O759">
        <v>3</v>
      </c>
      <c r="P759">
        <v>2</v>
      </c>
      <c r="Q759">
        <v>176</v>
      </c>
      <c r="R759">
        <v>0.57140000000000002</v>
      </c>
      <c r="S759">
        <v>0.92249999999999999</v>
      </c>
      <c r="U759">
        <v>0.35109999999999997</v>
      </c>
      <c r="V759">
        <v>109.38091651542709</v>
      </c>
      <c r="W759">
        <v>23.753626391977221</v>
      </c>
      <c r="X759">
        <v>227.78582170694284</v>
      </c>
      <c r="Y759">
        <v>-123.31417829305713</v>
      </c>
      <c r="Z759">
        <v>-54.136020130219784</v>
      </c>
    </row>
    <row r="760" spans="1:26" x14ac:dyDescent="0.35">
      <c r="A760">
        <v>758</v>
      </c>
      <c r="C760">
        <v>46076</v>
      </c>
      <c r="D760" t="s">
        <v>16</v>
      </c>
      <c r="E760" t="s">
        <v>289</v>
      </c>
      <c r="F760" t="s">
        <v>290</v>
      </c>
      <c r="G760" t="s">
        <v>291</v>
      </c>
      <c r="H760" t="s">
        <v>292</v>
      </c>
      <c r="I760" t="s">
        <v>22</v>
      </c>
      <c r="J760" t="s">
        <v>23</v>
      </c>
      <c r="K760" t="s">
        <v>24</v>
      </c>
      <c r="L760" t="s">
        <v>288</v>
      </c>
      <c r="M760">
        <v>28</v>
      </c>
      <c r="N760">
        <v>69</v>
      </c>
      <c r="O760">
        <v>3</v>
      </c>
      <c r="P760">
        <v>1</v>
      </c>
      <c r="Q760">
        <v>177</v>
      </c>
      <c r="R760">
        <v>0.55569999999999997</v>
      </c>
      <c r="S760">
        <v>0.77990000000000004</v>
      </c>
      <c r="U760">
        <v>0.22420000000000007</v>
      </c>
      <c r="V760">
        <v>233.79192649976895</v>
      </c>
      <c r="W760">
        <v>51.047172007274867</v>
      </c>
      <c r="X760">
        <v>195.43055133431267</v>
      </c>
      <c r="Y760">
        <v>-28.769448665687406</v>
      </c>
      <c r="Z760">
        <v>-14.721059972078285</v>
      </c>
    </row>
    <row r="761" spans="1:26" x14ac:dyDescent="0.35">
      <c r="A761">
        <v>759</v>
      </c>
      <c r="C761">
        <v>46076</v>
      </c>
      <c r="D761" t="s">
        <v>16</v>
      </c>
      <c r="E761" t="s">
        <v>289</v>
      </c>
      <c r="F761" t="s">
        <v>290</v>
      </c>
      <c r="G761" t="s">
        <v>291</v>
      </c>
      <c r="H761" t="s">
        <v>292</v>
      </c>
      <c r="I761" t="s">
        <v>22</v>
      </c>
      <c r="J761" t="s">
        <v>23</v>
      </c>
      <c r="K761" t="s">
        <v>24</v>
      </c>
      <c r="L761" t="s">
        <v>288</v>
      </c>
      <c r="M761">
        <v>28</v>
      </c>
      <c r="N761">
        <v>69</v>
      </c>
      <c r="O761">
        <v>3</v>
      </c>
      <c r="P761">
        <v>2</v>
      </c>
      <c r="Q761">
        <v>178</v>
      </c>
      <c r="R761">
        <v>0.56999999999999995</v>
      </c>
      <c r="S761">
        <v>0.78049999999999997</v>
      </c>
      <c r="U761">
        <v>0.21050000000000002</v>
      </c>
      <c r="V761">
        <v>247.49192649976899</v>
      </c>
      <c r="W761">
        <v>54.038491112985554</v>
      </c>
      <c r="X761">
        <v>195.43055133431267</v>
      </c>
      <c r="Y761">
        <v>-15.069448665687361</v>
      </c>
      <c r="Z761">
        <v>-7.7108970745873071</v>
      </c>
    </row>
    <row r="762" spans="1:26" x14ac:dyDescent="0.35">
      <c r="A762">
        <v>760</v>
      </c>
      <c r="C762">
        <v>46076</v>
      </c>
      <c r="D762" t="s">
        <v>16</v>
      </c>
      <c r="E762" t="s">
        <v>294</v>
      </c>
      <c r="F762" t="s">
        <v>240</v>
      </c>
      <c r="G762" t="s">
        <v>241</v>
      </c>
      <c r="H762" t="s">
        <v>242</v>
      </c>
      <c r="I762" t="s">
        <v>22</v>
      </c>
      <c r="J762" t="s">
        <v>23</v>
      </c>
      <c r="K762" t="s">
        <v>24</v>
      </c>
      <c r="L762" t="s">
        <v>293</v>
      </c>
      <c r="M762">
        <v>28</v>
      </c>
      <c r="N762">
        <v>69</v>
      </c>
      <c r="O762">
        <v>3</v>
      </c>
      <c r="P762">
        <v>1</v>
      </c>
      <c r="Q762">
        <v>179</v>
      </c>
      <c r="R762">
        <v>0.58260000000000001</v>
      </c>
      <c r="S762">
        <v>0.89670000000000005</v>
      </c>
      <c r="U762">
        <v>0.31410000000000005</v>
      </c>
      <c r="V762">
        <v>149.91230808272002</v>
      </c>
      <c r="W762">
        <v>32.307830087988734</v>
      </c>
      <c r="X762">
        <v>265.63570638590232</v>
      </c>
      <c r="Y762">
        <v>-48.464293614097699</v>
      </c>
      <c r="Z762">
        <v>-18.244645749427672</v>
      </c>
    </row>
    <row r="763" spans="1:26" x14ac:dyDescent="0.35">
      <c r="A763">
        <v>761</v>
      </c>
      <c r="C763">
        <v>46076</v>
      </c>
      <c r="D763" t="s">
        <v>16</v>
      </c>
      <c r="E763" t="s">
        <v>294</v>
      </c>
      <c r="F763" t="s">
        <v>240</v>
      </c>
      <c r="G763" t="s">
        <v>241</v>
      </c>
      <c r="H763" t="s">
        <v>242</v>
      </c>
      <c r="I763" t="s">
        <v>22</v>
      </c>
      <c r="J763" t="s">
        <v>23</v>
      </c>
      <c r="K763" t="s">
        <v>24</v>
      </c>
      <c r="L763" t="s">
        <v>293</v>
      </c>
      <c r="M763">
        <v>28</v>
      </c>
      <c r="N763">
        <v>69</v>
      </c>
      <c r="O763">
        <v>3</v>
      </c>
      <c r="P763">
        <v>2</v>
      </c>
      <c r="Q763">
        <v>180</v>
      </c>
      <c r="R763">
        <v>0.56200000000000006</v>
      </c>
      <c r="S763">
        <v>0.88739999999999997</v>
      </c>
      <c r="U763">
        <v>0.32539999999999991</v>
      </c>
      <c r="V763">
        <v>138.4268144556633</v>
      </c>
      <c r="W763">
        <v>29.844504487761863</v>
      </c>
      <c r="X763">
        <v>265.52951581768889</v>
      </c>
      <c r="Y763">
        <v>-59.870484182311031</v>
      </c>
      <c r="Z763">
        <v>-22.547581574101834</v>
      </c>
    </row>
    <row r="764" spans="1:26" x14ac:dyDescent="0.35">
      <c r="A764">
        <v>762</v>
      </c>
      <c r="C764">
        <v>46076</v>
      </c>
      <c r="D764" t="s">
        <v>16</v>
      </c>
      <c r="E764" t="s">
        <v>296</v>
      </c>
      <c r="F764" t="s">
        <v>240</v>
      </c>
      <c r="G764" t="s">
        <v>297</v>
      </c>
      <c r="H764" t="s">
        <v>298</v>
      </c>
      <c r="I764" t="s">
        <v>22</v>
      </c>
      <c r="J764" t="s">
        <v>23</v>
      </c>
      <c r="K764" t="s">
        <v>24</v>
      </c>
      <c r="L764" t="s">
        <v>295</v>
      </c>
      <c r="M764">
        <v>28</v>
      </c>
      <c r="N764">
        <v>69</v>
      </c>
      <c r="O764">
        <v>3</v>
      </c>
      <c r="P764">
        <v>1</v>
      </c>
      <c r="Q764">
        <v>181</v>
      </c>
      <c r="R764">
        <v>0.59319999999999995</v>
      </c>
      <c r="S764">
        <v>0.80769999999999997</v>
      </c>
      <c r="U764">
        <v>0.21450000000000002</v>
      </c>
      <c r="V764">
        <v>244.1062164629362</v>
      </c>
      <c r="W764">
        <v>53.227847268543172</v>
      </c>
      <c r="X764">
        <v>280.27676077718411</v>
      </c>
      <c r="Y764">
        <v>65.77676077718408</v>
      </c>
      <c r="Z764">
        <v>23.468503273261259</v>
      </c>
    </row>
    <row r="765" spans="1:26" x14ac:dyDescent="0.35">
      <c r="A765">
        <v>763</v>
      </c>
      <c r="C765">
        <v>46076</v>
      </c>
      <c r="D765" t="s">
        <v>16</v>
      </c>
      <c r="E765" t="s">
        <v>296</v>
      </c>
      <c r="F765" t="s">
        <v>240</v>
      </c>
      <c r="G765" t="s">
        <v>297</v>
      </c>
      <c r="H765" t="s">
        <v>298</v>
      </c>
      <c r="I765" t="s">
        <v>22</v>
      </c>
      <c r="J765" t="s">
        <v>23</v>
      </c>
      <c r="K765" t="s">
        <v>24</v>
      </c>
      <c r="L765" t="s">
        <v>295</v>
      </c>
      <c r="M765">
        <v>28</v>
      </c>
      <c r="N765">
        <v>69</v>
      </c>
      <c r="O765">
        <v>3</v>
      </c>
      <c r="P765">
        <v>2</v>
      </c>
      <c r="Q765">
        <v>182</v>
      </c>
      <c r="R765">
        <v>0.57909999999999995</v>
      </c>
      <c r="S765">
        <v>0.81359999999999999</v>
      </c>
      <c r="U765">
        <v>0.23450000000000004</v>
      </c>
      <c r="V765">
        <v>224.28965894952134</v>
      </c>
      <c r="W765">
        <v>48.887252485827929</v>
      </c>
      <c r="X765">
        <v>280.38887148149496</v>
      </c>
      <c r="Y765">
        <v>45.888871481494931</v>
      </c>
      <c r="Z765">
        <v>16.366152921487647</v>
      </c>
    </row>
    <row r="766" spans="1:26" x14ac:dyDescent="0.35">
      <c r="A766">
        <v>764</v>
      </c>
      <c r="C766">
        <v>46076</v>
      </c>
      <c r="D766" t="s">
        <v>16</v>
      </c>
      <c r="E766" t="s">
        <v>300</v>
      </c>
      <c r="F766" t="s">
        <v>212</v>
      </c>
      <c r="G766" t="s">
        <v>301</v>
      </c>
      <c r="H766" t="s">
        <v>302</v>
      </c>
      <c r="I766" t="s">
        <v>22</v>
      </c>
      <c r="J766" t="s">
        <v>23</v>
      </c>
      <c r="K766" t="s">
        <v>24</v>
      </c>
      <c r="L766" t="s">
        <v>299</v>
      </c>
      <c r="M766">
        <v>28</v>
      </c>
      <c r="N766">
        <v>69</v>
      </c>
      <c r="O766">
        <v>3</v>
      </c>
      <c r="P766">
        <v>1</v>
      </c>
      <c r="Q766">
        <v>183</v>
      </c>
      <c r="R766">
        <v>0.56610000000000005</v>
      </c>
      <c r="S766">
        <v>0.83460000000000001</v>
      </c>
      <c r="U766">
        <v>0.26849999999999996</v>
      </c>
      <c r="V766">
        <v>190.10626021181116</v>
      </c>
      <c r="W766">
        <v>41.453045173000689</v>
      </c>
      <c r="X766">
        <v>232.60275282192049</v>
      </c>
      <c r="Y766">
        <v>-35.897247178079454</v>
      </c>
      <c r="Z766">
        <v>-15.432855691764837</v>
      </c>
    </row>
    <row r="767" spans="1:26" x14ac:dyDescent="0.35">
      <c r="A767">
        <v>765</v>
      </c>
      <c r="C767">
        <v>46076</v>
      </c>
      <c r="D767" t="s">
        <v>16</v>
      </c>
      <c r="E767" t="s">
        <v>300</v>
      </c>
      <c r="F767" t="s">
        <v>212</v>
      </c>
      <c r="G767" t="s">
        <v>301</v>
      </c>
      <c r="H767" t="s">
        <v>302</v>
      </c>
      <c r="I767" t="s">
        <v>22</v>
      </c>
      <c r="J767" t="s">
        <v>23</v>
      </c>
      <c r="K767" t="s">
        <v>24</v>
      </c>
      <c r="L767" t="s">
        <v>299</v>
      </c>
      <c r="M767">
        <v>28</v>
      </c>
      <c r="N767">
        <v>69</v>
      </c>
      <c r="O767">
        <v>3</v>
      </c>
      <c r="P767">
        <v>2</v>
      </c>
      <c r="Q767">
        <v>184</v>
      </c>
      <c r="R767">
        <v>0.5877</v>
      </c>
      <c r="S767">
        <v>0.87039999999999995</v>
      </c>
      <c r="U767">
        <v>0.28269999999999995</v>
      </c>
      <c r="V767">
        <v>175.99792646410219</v>
      </c>
      <c r="W767">
        <v>38.369025955881639</v>
      </c>
      <c r="X767">
        <v>232.64924547689188</v>
      </c>
      <c r="Y767">
        <v>-50.050754523108054</v>
      </c>
      <c r="Z767">
        <v>-21.513396452463198</v>
      </c>
    </row>
    <row r="768" spans="1:26" x14ac:dyDescent="0.35">
      <c r="A768">
        <v>766</v>
      </c>
      <c r="C768">
        <v>46076</v>
      </c>
      <c r="D768" t="s">
        <v>16</v>
      </c>
      <c r="E768" t="s">
        <v>305</v>
      </c>
      <c r="F768" t="s">
        <v>212</v>
      </c>
      <c r="G768" t="s">
        <v>301</v>
      </c>
      <c r="H768" t="s">
        <v>302</v>
      </c>
      <c r="I768" t="s">
        <v>22</v>
      </c>
      <c r="J768" t="s">
        <v>23</v>
      </c>
      <c r="K768" t="s">
        <v>24</v>
      </c>
      <c r="L768" t="s">
        <v>304</v>
      </c>
      <c r="M768">
        <v>28</v>
      </c>
      <c r="N768">
        <v>69</v>
      </c>
      <c r="O768">
        <v>3</v>
      </c>
      <c r="P768">
        <v>1</v>
      </c>
      <c r="Q768">
        <v>185</v>
      </c>
      <c r="R768">
        <v>0.55359999999999998</v>
      </c>
      <c r="S768">
        <v>0.82440000000000002</v>
      </c>
      <c r="U768">
        <v>0.27080000000000004</v>
      </c>
      <c r="V768">
        <v>188.35203438968313</v>
      </c>
      <c r="W768">
        <v>41.021714003738552</v>
      </c>
      <c r="X768">
        <v>231.02446378667975</v>
      </c>
      <c r="Y768">
        <v>-39.775536213320322</v>
      </c>
      <c r="Z768">
        <v>-17.217023496718394</v>
      </c>
    </row>
    <row r="769" spans="1:26" x14ac:dyDescent="0.35">
      <c r="A769">
        <v>767</v>
      </c>
      <c r="C769">
        <v>46076</v>
      </c>
      <c r="D769" t="s">
        <v>16</v>
      </c>
      <c r="E769" t="s">
        <v>305</v>
      </c>
      <c r="F769" t="s">
        <v>212</v>
      </c>
      <c r="G769" t="s">
        <v>301</v>
      </c>
      <c r="H769" t="s">
        <v>302</v>
      </c>
      <c r="I769" t="s">
        <v>22</v>
      </c>
      <c r="J769" t="s">
        <v>23</v>
      </c>
      <c r="K769" t="s">
        <v>24</v>
      </c>
      <c r="L769" t="s">
        <v>304</v>
      </c>
      <c r="M769">
        <v>28</v>
      </c>
      <c r="N769">
        <v>69</v>
      </c>
      <c r="O769">
        <v>3</v>
      </c>
      <c r="P769">
        <v>2</v>
      </c>
      <c r="Q769">
        <v>186</v>
      </c>
      <c r="R769">
        <v>0.57340000000000002</v>
      </c>
      <c r="S769">
        <v>0.80830000000000002</v>
      </c>
      <c r="U769">
        <v>0.2349</v>
      </c>
      <c r="V769">
        <v>224.16022234521412</v>
      </c>
      <c r="W769">
        <v>48.830243056137675</v>
      </c>
      <c r="X769">
        <v>230.97826813305312</v>
      </c>
      <c r="Y769">
        <v>-3.9217318669468852</v>
      </c>
      <c r="Z769">
        <v>-1.6978791548856034</v>
      </c>
    </row>
    <row r="770" spans="1:26" x14ac:dyDescent="0.35">
      <c r="A770">
        <v>768</v>
      </c>
      <c r="C770">
        <v>46076</v>
      </c>
      <c r="D770" t="s">
        <v>16</v>
      </c>
      <c r="E770" t="s">
        <v>307</v>
      </c>
      <c r="F770" t="s">
        <v>212</v>
      </c>
      <c r="G770" t="s">
        <v>213</v>
      </c>
      <c r="H770" t="s">
        <v>214</v>
      </c>
      <c r="I770" t="s">
        <v>22</v>
      </c>
      <c r="J770" t="s">
        <v>23</v>
      </c>
      <c r="K770" t="s">
        <v>24</v>
      </c>
      <c r="L770" t="s">
        <v>306</v>
      </c>
      <c r="M770">
        <v>28</v>
      </c>
      <c r="N770">
        <v>69</v>
      </c>
      <c r="O770">
        <v>3</v>
      </c>
      <c r="P770">
        <v>1</v>
      </c>
      <c r="Q770">
        <v>187</v>
      </c>
      <c r="R770">
        <v>0.58979999999999999</v>
      </c>
      <c r="S770">
        <v>0.97350000000000003</v>
      </c>
      <c r="U770">
        <v>0.38370000000000004</v>
      </c>
      <c r="V770">
        <v>69.84357571419946</v>
      </c>
      <c r="W770">
        <v>15.399529274384738</v>
      </c>
      <c r="X770">
        <v>264.39192784906641</v>
      </c>
      <c r="Y770">
        <v>-119.30807215093364</v>
      </c>
      <c r="Z770">
        <v>-45.125459434995733</v>
      </c>
    </row>
    <row r="771" spans="1:26" x14ac:dyDescent="0.35">
      <c r="A771">
        <v>769</v>
      </c>
      <c r="C771">
        <v>46076</v>
      </c>
      <c r="D771" t="s">
        <v>16</v>
      </c>
      <c r="E771" t="s">
        <v>307</v>
      </c>
      <c r="F771" t="s">
        <v>212</v>
      </c>
      <c r="G771" t="s">
        <v>213</v>
      </c>
      <c r="H771" t="s">
        <v>214</v>
      </c>
      <c r="I771" t="s">
        <v>22</v>
      </c>
      <c r="J771" t="s">
        <v>23</v>
      </c>
      <c r="K771" t="s">
        <v>24</v>
      </c>
      <c r="L771" t="s">
        <v>306</v>
      </c>
      <c r="M771">
        <v>28</v>
      </c>
      <c r="N771">
        <v>69</v>
      </c>
      <c r="O771">
        <v>3</v>
      </c>
      <c r="P771">
        <v>2</v>
      </c>
      <c r="Q771">
        <v>188</v>
      </c>
      <c r="R771">
        <v>0.56989999999999996</v>
      </c>
      <c r="S771">
        <v>0.84199999999999997</v>
      </c>
      <c r="U771">
        <v>0.27210000000000001</v>
      </c>
      <c r="V771">
        <v>181.44357571419948</v>
      </c>
      <c r="W771">
        <v>40.005764700443287</v>
      </c>
      <c r="X771">
        <v>264.39192784906641</v>
      </c>
      <c r="Y771">
        <v>-7.7080721509336172</v>
      </c>
      <c r="Z771">
        <v>-2.9153961747780475</v>
      </c>
    </row>
    <row r="772" spans="1:26" x14ac:dyDescent="0.35">
      <c r="A772">
        <v>770</v>
      </c>
      <c r="C772">
        <v>46076</v>
      </c>
      <c r="D772" t="s">
        <v>16</v>
      </c>
      <c r="E772" t="s">
        <v>309</v>
      </c>
      <c r="F772" t="s">
        <v>212</v>
      </c>
      <c r="G772" t="s">
        <v>310</v>
      </c>
      <c r="H772" t="s">
        <v>311</v>
      </c>
      <c r="I772" t="s">
        <v>22</v>
      </c>
      <c r="J772" t="s">
        <v>23</v>
      </c>
      <c r="K772" t="s">
        <v>24</v>
      </c>
      <c r="L772" t="s">
        <v>308</v>
      </c>
      <c r="M772">
        <v>28</v>
      </c>
      <c r="N772">
        <v>69</v>
      </c>
      <c r="O772">
        <v>3</v>
      </c>
      <c r="P772">
        <v>1</v>
      </c>
      <c r="Q772">
        <v>189</v>
      </c>
      <c r="R772">
        <v>0.57520000000000004</v>
      </c>
      <c r="S772">
        <v>0.90669999999999995</v>
      </c>
      <c r="U772">
        <v>0.33149999999999991</v>
      </c>
      <c r="V772">
        <v>131.63800273209353</v>
      </c>
      <c r="W772">
        <v>28.423062231030254</v>
      </c>
      <c r="X772">
        <v>275.64266739979865</v>
      </c>
      <c r="Y772">
        <v>-55.857332600201232</v>
      </c>
      <c r="Z772">
        <v>-20.264399966491556</v>
      </c>
    </row>
    <row r="773" spans="1:26" x14ac:dyDescent="0.35">
      <c r="A773">
        <v>771</v>
      </c>
      <c r="C773">
        <v>46076</v>
      </c>
      <c r="D773" t="s">
        <v>16</v>
      </c>
      <c r="E773" t="s">
        <v>309</v>
      </c>
      <c r="F773" t="s">
        <v>212</v>
      </c>
      <c r="G773" t="s">
        <v>310</v>
      </c>
      <c r="H773" t="s">
        <v>311</v>
      </c>
      <c r="I773" t="s">
        <v>22</v>
      </c>
      <c r="J773" t="s">
        <v>23</v>
      </c>
      <c r="K773" t="s">
        <v>24</v>
      </c>
      <c r="L773" t="s">
        <v>308</v>
      </c>
      <c r="M773">
        <v>28</v>
      </c>
      <c r="N773">
        <v>69</v>
      </c>
      <c r="O773">
        <v>3</v>
      </c>
      <c r="P773">
        <v>2</v>
      </c>
      <c r="Q773">
        <v>190</v>
      </c>
      <c r="R773">
        <v>0.58179999999999998</v>
      </c>
      <c r="S773">
        <v>0.92320000000000002</v>
      </c>
      <c r="U773">
        <v>0.34140000000000004</v>
      </c>
      <c r="V773">
        <v>121.83061181082411</v>
      </c>
      <c r="W773">
        <v>26.300207435465804</v>
      </c>
      <c r="X773">
        <v>275.69778490977666</v>
      </c>
      <c r="Y773">
        <v>-65.702215090223376</v>
      </c>
      <c r="Z773">
        <v>-23.83124518455044</v>
      </c>
    </row>
    <row r="774" spans="1:26" x14ac:dyDescent="0.35">
      <c r="A774">
        <v>772</v>
      </c>
      <c r="C774">
        <v>46076</v>
      </c>
      <c r="D774" t="s">
        <v>16</v>
      </c>
      <c r="E774" t="s">
        <v>313</v>
      </c>
      <c r="F774" t="s">
        <v>290</v>
      </c>
      <c r="G774" t="s">
        <v>314</v>
      </c>
      <c r="H774" t="s">
        <v>315</v>
      </c>
      <c r="I774" t="s">
        <v>22</v>
      </c>
      <c r="J774" t="s">
        <v>23</v>
      </c>
      <c r="K774" t="s">
        <v>24</v>
      </c>
      <c r="L774" t="s">
        <v>312</v>
      </c>
      <c r="M774">
        <v>28</v>
      </c>
      <c r="N774">
        <v>69</v>
      </c>
      <c r="O774">
        <v>3</v>
      </c>
      <c r="P774">
        <v>1</v>
      </c>
      <c r="Q774">
        <v>191</v>
      </c>
      <c r="R774">
        <v>0.59140000000000004</v>
      </c>
      <c r="S774">
        <v>0.91390000000000005</v>
      </c>
      <c r="U774">
        <v>0.32250000000000001</v>
      </c>
      <c r="V774">
        <v>126.72766568305201</v>
      </c>
      <c r="W774">
        <v>28.21012047206893</v>
      </c>
      <c r="X774">
        <v>224.42022995721308</v>
      </c>
      <c r="Y774">
        <v>-98.079770042786919</v>
      </c>
      <c r="Z774">
        <v>-43.703622468209019</v>
      </c>
    </row>
    <row r="775" spans="1:26" x14ac:dyDescent="0.35">
      <c r="A775">
        <v>773</v>
      </c>
      <c r="C775">
        <v>46076</v>
      </c>
      <c r="D775" t="s">
        <v>16</v>
      </c>
      <c r="E775" t="s">
        <v>313</v>
      </c>
      <c r="F775" t="s">
        <v>290</v>
      </c>
      <c r="G775" t="s">
        <v>314</v>
      </c>
      <c r="H775" t="s">
        <v>315</v>
      </c>
      <c r="I775" t="s">
        <v>22</v>
      </c>
      <c r="J775" t="s">
        <v>23</v>
      </c>
      <c r="K775" t="s">
        <v>24</v>
      </c>
      <c r="L775" t="s">
        <v>312</v>
      </c>
      <c r="M775">
        <v>28</v>
      </c>
      <c r="N775">
        <v>69</v>
      </c>
      <c r="O775">
        <v>3</v>
      </c>
      <c r="P775">
        <v>2</v>
      </c>
      <c r="Q775">
        <v>192</v>
      </c>
      <c r="R775">
        <v>0.56769999999999998</v>
      </c>
      <c r="S775">
        <v>0.82269999999999999</v>
      </c>
      <c r="U775">
        <v>0.255</v>
      </c>
      <c r="V775">
        <v>194.31749325067506</v>
      </c>
      <c r="W775">
        <v>43.247257489319466</v>
      </c>
      <c r="X775">
        <v>224.46510502819029</v>
      </c>
      <c r="Y775">
        <v>-30.534894971809706</v>
      </c>
      <c r="Z775">
        <v>-13.603403953578827</v>
      </c>
    </row>
    <row r="776" spans="1:26" x14ac:dyDescent="0.35">
      <c r="A776">
        <v>774</v>
      </c>
      <c r="C776">
        <v>46076</v>
      </c>
      <c r="D776" t="s">
        <v>16</v>
      </c>
      <c r="E776" t="s">
        <v>317</v>
      </c>
      <c r="F776" t="s">
        <v>290</v>
      </c>
      <c r="G776" t="s">
        <v>318</v>
      </c>
      <c r="H776" t="s">
        <v>319</v>
      </c>
      <c r="I776" t="s">
        <v>22</v>
      </c>
      <c r="J776" t="s">
        <v>23</v>
      </c>
      <c r="K776" t="s">
        <v>24</v>
      </c>
      <c r="L776" t="s">
        <v>316</v>
      </c>
      <c r="M776">
        <v>28</v>
      </c>
      <c r="N776">
        <v>69</v>
      </c>
      <c r="O776">
        <v>3</v>
      </c>
      <c r="P776">
        <v>1</v>
      </c>
      <c r="Q776">
        <v>193</v>
      </c>
      <c r="R776">
        <v>0.57150000000000001</v>
      </c>
      <c r="S776">
        <v>0.93820000000000003</v>
      </c>
      <c r="U776">
        <v>0.36670000000000003</v>
      </c>
      <c r="V776">
        <v>85.104886596797371</v>
      </c>
      <c r="W776">
        <v>18.836645888858484</v>
      </c>
      <c r="X776">
        <v>217.52541723114959</v>
      </c>
      <c r="Y776">
        <v>-149.17458276885046</v>
      </c>
      <c r="Z776">
        <v>-68.578000983826499</v>
      </c>
    </row>
    <row r="777" spans="1:26" x14ac:dyDescent="0.35">
      <c r="A777">
        <v>775</v>
      </c>
      <c r="C777">
        <v>46076</v>
      </c>
      <c r="D777" t="s">
        <v>16</v>
      </c>
      <c r="E777" t="s">
        <v>317</v>
      </c>
      <c r="F777" t="s">
        <v>290</v>
      </c>
      <c r="G777" t="s">
        <v>318</v>
      </c>
      <c r="H777" t="s">
        <v>319</v>
      </c>
      <c r="I777" t="s">
        <v>22</v>
      </c>
      <c r="J777" t="s">
        <v>23</v>
      </c>
      <c r="K777" t="s">
        <v>24</v>
      </c>
      <c r="L777" t="s">
        <v>316</v>
      </c>
      <c r="M777">
        <v>28</v>
      </c>
      <c r="N777">
        <v>69</v>
      </c>
      <c r="O777">
        <v>3</v>
      </c>
      <c r="P777">
        <v>2</v>
      </c>
      <c r="Q777">
        <v>194</v>
      </c>
      <c r="R777">
        <v>0.57410000000000005</v>
      </c>
      <c r="S777">
        <v>0.87170000000000003</v>
      </c>
      <c r="U777">
        <v>0.29759999999999998</v>
      </c>
      <c r="V777">
        <v>154.20488659679745</v>
      </c>
      <c r="W777">
        <v>34.130858512474205</v>
      </c>
      <c r="X777">
        <v>217.52541723114959</v>
      </c>
      <c r="Y777">
        <v>-80.074582768850377</v>
      </c>
      <c r="Z777">
        <v>-36.811598289573908</v>
      </c>
    </row>
    <row r="778" spans="1:26" x14ac:dyDescent="0.35">
      <c r="A778">
        <v>776</v>
      </c>
      <c r="C778">
        <v>46076</v>
      </c>
      <c r="D778" t="s">
        <v>120</v>
      </c>
      <c r="E778" t="s">
        <v>122</v>
      </c>
      <c r="F778" t="s">
        <v>123</v>
      </c>
      <c r="G778" t="s">
        <v>545</v>
      </c>
      <c r="H778" t="s">
        <v>125</v>
      </c>
      <c r="I778" t="s">
        <v>108</v>
      </c>
      <c r="J778" t="s">
        <v>109</v>
      </c>
      <c r="K778" t="s">
        <v>110</v>
      </c>
      <c r="L778" t="s">
        <v>121</v>
      </c>
      <c r="M778">
        <v>28</v>
      </c>
      <c r="N778">
        <v>69</v>
      </c>
      <c r="O778">
        <v>3</v>
      </c>
      <c r="P778">
        <v>1</v>
      </c>
      <c r="Q778">
        <v>195</v>
      </c>
      <c r="R778">
        <v>0.58240000000000003</v>
      </c>
      <c r="S778">
        <v>0.85219999999999996</v>
      </c>
      <c r="U778">
        <v>0.26979999999999993</v>
      </c>
      <c r="V778">
        <v>198.13710000000003</v>
      </c>
      <c r="W778">
        <v>42.342678107805519</v>
      </c>
      <c r="X778">
        <v>356.10013309999994</v>
      </c>
      <c r="Y778">
        <v>86.300133099999982</v>
      </c>
      <c r="Z778">
        <v>24.23479383417282</v>
      </c>
    </row>
    <row r="779" spans="1:26" x14ac:dyDescent="0.35">
      <c r="A779">
        <v>777</v>
      </c>
      <c r="C779">
        <v>46076</v>
      </c>
      <c r="D779" t="s">
        <v>120</v>
      </c>
      <c r="E779" t="s">
        <v>122</v>
      </c>
      <c r="F779" t="s">
        <v>123</v>
      </c>
      <c r="G779" t="s">
        <v>545</v>
      </c>
      <c r="H779" t="s">
        <v>125</v>
      </c>
      <c r="I779" t="s">
        <v>108</v>
      </c>
      <c r="J779" t="s">
        <v>109</v>
      </c>
      <c r="K779" t="s">
        <v>110</v>
      </c>
      <c r="L779" t="s">
        <v>121</v>
      </c>
      <c r="M779">
        <v>28</v>
      </c>
      <c r="N779">
        <v>69</v>
      </c>
      <c r="O779">
        <v>3</v>
      </c>
      <c r="P779">
        <v>2</v>
      </c>
      <c r="Q779">
        <v>196</v>
      </c>
      <c r="R779">
        <v>0.55679999999999996</v>
      </c>
      <c r="S779">
        <v>0.99299999999999999</v>
      </c>
      <c r="U779">
        <v>0.43620000000000003</v>
      </c>
      <c r="V779">
        <v>31.549999999999955</v>
      </c>
      <c r="W779">
        <v>6.7450561197220633</v>
      </c>
      <c r="X779">
        <v>355.95774999999992</v>
      </c>
      <c r="Y779">
        <v>-80.242250000000126</v>
      </c>
      <c r="Z779">
        <v>-22.542633219813347</v>
      </c>
    </row>
    <row r="780" spans="1:26" x14ac:dyDescent="0.35">
      <c r="A780">
        <v>778</v>
      </c>
      <c r="C780">
        <v>46076</v>
      </c>
      <c r="D780">
        <v>0</v>
      </c>
      <c r="E780" t="s">
        <v>537</v>
      </c>
      <c r="F780" t="s">
        <v>538</v>
      </c>
      <c r="G780">
        <v>24</v>
      </c>
      <c r="H780" t="s">
        <v>537</v>
      </c>
      <c r="I780">
        <v>0</v>
      </c>
      <c r="J780">
        <v>0</v>
      </c>
      <c r="K780">
        <v>0</v>
      </c>
      <c r="L780" t="s">
        <v>539</v>
      </c>
      <c r="M780">
        <v>28</v>
      </c>
      <c r="N780">
        <v>69</v>
      </c>
      <c r="O780">
        <v>3</v>
      </c>
      <c r="P780">
        <v>1</v>
      </c>
      <c r="Q780">
        <v>197</v>
      </c>
    </row>
    <row r="781" spans="1:26" x14ac:dyDescent="0.35">
      <c r="A781">
        <v>779</v>
      </c>
      <c r="C781">
        <v>46076</v>
      </c>
      <c r="D781">
        <v>0</v>
      </c>
      <c r="E781" t="s">
        <v>537</v>
      </c>
      <c r="F781" t="s">
        <v>538</v>
      </c>
      <c r="G781">
        <v>24</v>
      </c>
      <c r="H781" t="s">
        <v>537</v>
      </c>
      <c r="I781">
        <v>0</v>
      </c>
      <c r="J781">
        <v>0</v>
      </c>
      <c r="K781">
        <v>0</v>
      </c>
      <c r="L781" t="s">
        <v>539</v>
      </c>
      <c r="M781">
        <v>28</v>
      </c>
      <c r="N781">
        <v>69</v>
      </c>
      <c r="O781">
        <v>3</v>
      </c>
      <c r="P781">
        <v>2</v>
      </c>
      <c r="Q781">
        <v>198</v>
      </c>
    </row>
    <row r="782" spans="1:26" x14ac:dyDescent="0.35">
      <c r="A782">
        <v>780</v>
      </c>
      <c r="C782">
        <v>46055</v>
      </c>
      <c r="D782">
        <v>0</v>
      </c>
      <c r="E782" t="s">
        <v>537</v>
      </c>
      <c r="F782" t="s">
        <v>538</v>
      </c>
      <c r="G782">
        <v>24</v>
      </c>
      <c r="H782" t="s">
        <v>537</v>
      </c>
      <c r="I782">
        <v>0</v>
      </c>
      <c r="J782">
        <v>0</v>
      </c>
      <c r="K782">
        <v>0</v>
      </c>
      <c r="L782" t="s">
        <v>539</v>
      </c>
      <c r="M782">
        <v>29</v>
      </c>
      <c r="N782">
        <v>62</v>
      </c>
      <c r="O782">
        <v>1</v>
      </c>
      <c r="P782">
        <v>1</v>
      </c>
      <c r="Q782">
        <v>161</v>
      </c>
    </row>
    <row r="783" spans="1:26" x14ac:dyDescent="0.35">
      <c r="A783">
        <v>781</v>
      </c>
      <c r="C783">
        <v>46055</v>
      </c>
      <c r="D783">
        <v>0</v>
      </c>
      <c r="E783" t="s">
        <v>537</v>
      </c>
      <c r="F783" t="s">
        <v>538</v>
      </c>
      <c r="G783">
        <v>24</v>
      </c>
      <c r="H783" t="s">
        <v>537</v>
      </c>
      <c r="I783">
        <v>0</v>
      </c>
      <c r="J783">
        <v>0</v>
      </c>
      <c r="K783">
        <v>0</v>
      </c>
      <c r="L783" t="s">
        <v>539</v>
      </c>
      <c r="M783">
        <v>29</v>
      </c>
      <c r="N783">
        <v>62</v>
      </c>
      <c r="O783">
        <v>1</v>
      </c>
      <c r="P783">
        <v>2</v>
      </c>
      <c r="Q783">
        <v>162</v>
      </c>
    </row>
    <row r="784" spans="1:26" x14ac:dyDescent="0.35">
      <c r="A784">
        <v>782</v>
      </c>
      <c r="C784">
        <v>46055</v>
      </c>
      <c r="D784" t="s">
        <v>16</v>
      </c>
      <c r="E784" t="s">
        <v>322</v>
      </c>
      <c r="F784" t="s">
        <v>290</v>
      </c>
      <c r="G784" t="s">
        <v>318</v>
      </c>
      <c r="H784" t="s">
        <v>319</v>
      </c>
      <c r="I784" t="s">
        <v>22</v>
      </c>
      <c r="J784" t="s">
        <v>23</v>
      </c>
      <c r="K784" t="s">
        <v>215</v>
      </c>
      <c r="L784" t="s">
        <v>321</v>
      </c>
      <c r="M784">
        <v>29</v>
      </c>
      <c r="N784">
        <v>62</v>
      </c>
      <c r="O784">
        <v>1</v>
      </c>
      <c r="P784">
        <v>1</v>
      </c>
      <c r="Q784">
        <v>93</v>
      </c>
      <c r="R784">
        <v>0.59040000000000004</v>
      </c>
      <c r="S784">
        <v>1.071</v>
      </c>
      <c r="U784">
        <v>0.48059999999999992</v>
      </c>
      <c r="X784">
        <v>236.18960866415171</v>
      </c>
      <c r="Y784">
        <v>-244.4103913358482</v>
      </c>
      <c r="Z784">
        <v>-103.48058609275481</v>
      </c>
    </row>
    <row r="785" spans="1:26" x14ac:dyDescent="0.35">
      <c r="A785">
        <v>783</v>
      </c>
      <c r="C785">
        <v>46055</v>
      </c>
      <c r="D785" t="s">
        <v>16</v>
      </c>
      <c r="E785" t="s">
        <v>322</v>
      </c>
      <c r="F785" t="s">
        <v>290</v>
      </c>
      <c r="G785" t="s">
        <v>318</v>
      </c>
      <c r="H785" t="s">
        <v>319</v>
      </c>
      <c r="I785" t="s">
        <v>22</v>
      </c>
      <c r="J785" t="s">
        <v>23</v>
      </c>
      <c r="K785" t="s">
        <v>215</v>
      </c>
      <c r="L785" t="s">
        <v>321</v>
      </c>
      <c r="M785">
        <v>29</v>
      </c>
      <c r="N785">
        <v>62</v>
      </c>
      <c r="O785">
        <v>1</v>
      </c>
      <c r="P785">
        <v>2</v>
      </c>
      <c r="Q785">
        <v>94</v>
      </c>
      <c r="R785">
        <v>0.60429999999999995</v>
      </c>
      <c r="S785">
        <v>0.92959999999999998</v>
      </c>
      <c r="U785">
        <v>0.32530000000000003</v>
      </c>
      <c r="V785">
        <v>122.83051798460423</v>
      </c>
      <c r="W785">
        <v>27.409540983063362</v>
      </c>
      <c r="X785">
        <v>236.23680882575525</v>
      </c>
      <c r="Y785">
        <v>-89.063191174244764</v>
      </c>
      <c r="Z785">
        <v>-37.700810308497033</v>
      </c>
    </row>
    <row r="786" spans="1:26" x14ac:dyDescent="0.35">
      <c r="A786">
        <v>784</v>
      </c>
      <c r="C786">
        <v>46055</v>
      </c>
      <c r="D786" t="s">
        <v>16</v>
      </c>
      <c r="E786" t="s">
        <v>322</v>
      </c>
      <c r="F786" t="s">
        <v>290</v>
      </c>
      <c r="G786" t="s">
        <v>318</v>
      </c>
      <c r="H786" t="s">
        <v>319</v>
      </c>
      <c r="I786" t="s">
        <v>22</v>
      </c>
      <c r="J786" t="s">
        <v>23</v>
      </c>
      <c r="K786" t="s">
        <v>215</v>
      </c>
      <c r="L786" t="s">
        <v>321</v>
      </c>
      <c r="M786">
        <v>29</v>
      </c>
      <c r="N786">
        <v>62</v>
      </c>
      <c r="O786">
        <v>1</v>
      </c>
      <c r="P786">
        <v>3</v>
      </c>
      <c r="Q786">
        <v>95</v>
      </c>
      <c r="R786">
        <v>0.55589999999999995</v>
      </c>
      <c r="S786">
        <v>0.93100000000000005</v>
      </c>
      <c r="U786">
        <v>0.3751000000000001</v>
      </c>
      <c r="V786">
        <v>73.120054551634155</v>
      </c>
      <c r="W786">
        <v>16.31342770344758</v>
      </c>
      <c r="X786">
        <v>236.28400898735887</v>
      </c>
      <c r="Y786">
        <v>-138.81599101264121</v>
      </c>
      <c r="Z786">
        <v>-58.74963422517002</v>
      </c>
    </row>
    <row r="787" spans="1:26" x14ac:dyDescent="0.35">
      <c r="A787">
        <v>785</v>
      </c>
      <c r="C787">
        <v>46055</v>
      </c>
      <c r="D787" t="s">
        <v>16</v>
      </c>
      <c r="E787" t="s">
        <v>326</v>
      </c>
      <c r="F787" t="s">
        <v>290</v>
      </c>
      <c r="G787" t="s">
        <v>318</v>
      </c>
      <c r="H787" t="s">
        <v>319</v>
      </c>
      <c r="I787" t="s">
        <v>22</v>
      </c>
      <c r="J787" t="s">
        <v>23</v>
      </c>
      <c r="K787" t="s">
        <v>215</v>
      </c>
      <c r="L787" t="s">
        <v>325</v>
      </c>
      <c r="M787">
        <v>29</v>
      </c>
      <c r="N787">
        <v>62</v>
      </c>
      <c r="O787">
        <v>1</v>
      </c>
      <c r="P787">
        <v>1</v>
      </c>
      <c r="Q787">
        <v>96</v>
      </c>
      <c r="R787">
        <v>0.5857</v>
      </c>
      <c r="S787">
        <v>0.92610000000000003</v>
      </c>
      <c r="U787">
        <v>0.34040000000000004</v>
      </c>
      <c r="V787">
        <v>124.30529911615878</v>
      </c>
      <c r="W787">
        <v>26.749275154077196</v>
      </c>
      <c r="X787">
        <v>239.51575290934838</v>
      </c>
      <c r="Y787">
        <v>-100.88424709065166</v>
      </c>
      <c r="Z787">
        <v>-42.120088497408439</v>
      </c>
    </row>
    <row r="788" spans="1:26" x14ac:dyDescent="0.35">
      <c r="A788">
        <v>786</v>
      </c>
      <c r="C788">
        <v>46055</v>
      </c>
      <c r="D788" t="s">
        <v>16</v>
      </c>
      <c r="E788" t="s">
        <v>326</v>
      </c>
      <c r="F788" t="s">
        <v>290</v>
      </c>
      <c r="G788" t="s">
        <v>318</v>
      </c>
      <c r="H788" t="s">
        <v>319</v>
      </c>
      <c r="I788" t="s">
        <v>22</v>
      </c>
      <c r="J788" t="s">
        <v>23</v>
      </c>
      <c r="K788" t="s">
        <v>215</v>
      </c>
      <c r="L788" t="s">
        <v>325</v>
      </c>
      <c r="M788">
        <v>29</v>
      </c>
      <c r="N788">
        <v>62</v>
      </c>
      <c r="O788">
        <v>1</v>
      </c>
      <c r="P788">
        <v>2</v>
      </c>
      <c r="Q788">
        <v>97</v>
      </c>
      <c r="R788">
        <v>0.57509999999999994</v>
      </c>
      <c r="S788">
        <v>0.92759999999999998</v>
      </c>
      <c r="U788">
        <v>0.35250000000000004</v>
      </c>
      <c r="V788">
        <v>112.29824017598196</v>
      </c>
      <c r="W788">
        <v>24.160642289321828</v>
      </c>
      <c r="X788">
        <v>239.56365605993022</v>
      </c>
      <c r="Y788">
        <v>-112.93634394006983</v>
      </c>
      <c r="Z788">
        <v>-47.142519778466401</v>
      </c>
    </row>
    <row r="789" spans="1:26" x14ac:dyDescent="0.35">
      <c r="A789">
        <v>787</v>
      </c>
      <c r="C789">
        <v>46055</v>
      </c>
      <c r="D789" t="s">
        <v>16</v>
      </c>
      <c r="E789" t="s">
        <v>326</v>
      </c>
      <c r="F789" t="s">
        <v>290</v>
      </c>
      <c r="G789" t="s">
        <v>318</v>
      </c>
      <c r="H789" t="s">
        <v>319</v>
      </c>
      <c r="I789" t="s">
        <v>22</v>
      </c>
      <c r="J789" t="s">
        <v>23</v>
      </c>
      <c r="K789" t="s">
        <v>215</v>
      </c>
      <c r="L789" t="s">
        <v>325</v>
      </c>
      <c r="M789">
        <v>29</v>
      </c>
      <c r="N789">
        <v>62</v>
      </c>
      <c r="O789">
        <v>1</v>
      </c>
      <c r="P789">
        <v>3</v>
      </c>
      <c r="Q789">
        <v>98</v>
      </c>
      <c r="R789">
        <v>0.58220000000000005</v>
      </c>
      <c r="S789">
        <v>0.93100000000000005</v>
      </c>
      <c r="U789">
        <v>0.3488</v>
      </c>
      <c r="V789">
        <v>115.9052991161588</v>
      </c>
      <c r="W789">
        <v>24.941677948713654</v>
      </c>
      <c r="X789">
        <v>239.51575290934838</v>
      </c>
      <c r="Y789">
        <v>-109.28424709065163</v>
      </c>
      <c r="Z789">
        <v>-45.627164711798059</v>
      </c>
    </row>
    <row r="790" spans="1:26" x14ac:dyDescent="0.35">
      <c r="A790">
        <v>788</v>
      </c>
      <c r="C790">
        <v>46055</v>
      </c>
      <c r="D790" t="s">
        <v>16</v>
      </c>
      <c r="E790" t="s">
        <v>328</v>
      </c>
      <c r="F790" t="s">
        <v>264</v>
      </c>
      <c r="G790" t="s">
        <v>329</v>
      </c>
      <c r="H790" t="s">
        <v>330</v>
      </c>
      <c r="I790" t="s">
        <v>22</v>
      </c>
      <c r="J790" t="s">
        <v>23</v>
      </c>
      <c r="K790" t="s">
        <v>215</v>
      </c>
      <c r="L790" t="s">
        <v>327</v>
      </c>
      <c r="M790">
        <v>29</v>
      </c>
      <c r="N790">
        <v>62</v>
      </c>
      <c r="O790">
        <v>1</v>
      </c>
      <c r="P790">
        <v>1</v>
      </c>
      <c r="Q790">
        <v>99</v>
      </c>
      <c r="R790">
        <v>0.57599999999999996</v>
      </c>
      <c r="S790">
        <v>0.8518</v>
      </c>
      <c r="U790">
        <v>0.27580000000000005</v>
      </c>
      <c r="V790">
        <v>177.18581236429094</v>
      </c>
      <c r="W790">
        <v>39.115090920728043</v>
      </c>
      <c r="X790">
        <v>234.3112392957984</v>
      </c>
      <c r="Y790">
        <v>-41.488760704201667</v>
      </c>
      <c r="Z790">
        <v>-17.706688261686658</v>
      </c>
    </row>
    <row r="791" spans="1:26" x14ac:dyDescent="0.35">
      <c r="A791">
        <v>789</v>
      </c>
      <c r="C791">
        <v>46055</v>
      </c>
      <c r="D791" t="s">
        <v>16</v>
      </c>
      <c r="E791" t="s">
        <v>328</v>
      </c>
      <c r="F791" t="s">
        <v>264</v>
      </c>
      <c r="G791" t="s">
        <v>329</v>
      </c>
      <c r="H791" t="s">
        <v>330</v>
      </c>
      <c r="I791" t="s">
        <v>22</v>
      </c>
      <c r="J791" t="s">
        <v>23</v>
      </c>
      <c r="K791" t="s">
        <v>215</v>
      </c>
      <c r="L791" t="s">
        <v>327</v>
      </c>
      <c r="M791">
        <v>29</v>
      </c>
      <c r="N791">
        <v>62</v>
      </c>
      <c r="O791">
        <v>1</v>
      </c>
      <c r="P791">
        <v>2</v>
      </c>
      <c r="Q791">
        <v>100</v>
      </c>
      <c r="R791">
        <v>0.5665</v>
      </c>
      <c r="S791">
        <v>0.84089999999999998</v>
      </c>
      <c r="U791">
        <v>0.27439999999999998</v>
      </c>
      <c r="V791">
        <v>178.76689803783256</v>
      </c>
      <c r="W791">
        <v>39.44835750622461</v>
      </c>
      <c r="X791">
        <v>234.40490759053984</v>
      </c>
      <c r="Y791">
        <v>-39.995092409460142</v>
      </c>
      <c r="Z791">
        <v>-17.062395502112889</v>
      </c>
    </row>
    <row r="792" spans="1:26" x14ac:dyDescent="0.35">
      <c r="A792">
        <v>790</v>
      </c>
      <c r="C792">
        <v>46055</v>
      </c>
      <c r="D792" t="s">
        <v>16</v>
      </c>
      <c r="E792" t="s">
        <v>328</v>
      </c>
      <c r="F792" t="s">
        <v>264</v>
      </c>
      <c r="G792" t="s">
        <v>329</v>
      </c>
      <c r="H792" t="s">
        <v>330</v>
      </c>
      <c r="I792" t="s">
        <v>22</v>
      </c>
      <c r="J792" t="s">
        <v>23</v>
      </c>
      <c r="K792" t="s">
        <v>215</v>
      </c>
      <c r="L792" t="s">
        <v>327</v>
      </c>
      <c r="M792">
        <v>29</v>
      </c>
      <c r="N792">
        <v>62</v>
      </c>
      <c r="O792">
        <v>1</v>
      </c>
      <c r="P792">
        <v>3</v>
      </c>
      <c r="Q792">
        <v>101</v>
      </c>
      <c r="R792">
        <v>0.55610000000000004</v>
      </c>
      <c r="S792">
        <v>0.81359999999999999</v>
      </c>
      <c r="U792">
        <v>0.25749999999999995</v>
      </c>
      <c r="V792">
        <v>195.39526952752021</v>
      </c>
      <c r="W792">
        <v>43.143588081934475</v>
      </c>
      <c r="X792">
        <v>234.26440514842761</v>
      </c>
      <c r="Y792">
        <v>-23.23559485157233</v>
      </c>
      <c r="Z792">
        <v>-9.9185340755675142</v>
      </c>
    </row>
    <row r="793" spans="1:26" x14ac:dyDescent="0.35">
      <c r="A793">
        <v>791</v>
      </c>
      <c r="C793">
        <v>46055</v>
      </c>
      <c r="D793" t="s">
        <v>16</v>
      </c>
      <c r="E793" t="s">
        <v>332</v>
      </c>
      <c r="F793" t="s">
        <v>333</v>
      </c>
      <c r="G793" t="s">
        <v>334</v>
      </c>
      <c r="H793" t="s">
        <v>335</v>
      </c>
      <c r="I793" t="s">
        <v>22</v>
      </c>
      <c r="J793" t="s">
        <v>23</v>
      </c>
      <c r="K793" t="s">
        <v>303</v>
      </c>
      <c r="L793" t="s">
        <v>331</v>
      </c>
      <c r="M793">
        <v>29</v>
      </c>
      <c r="N793">
        <v>62</v>
      </c>
      <c r="O793">
        <v>1</v>
      </c>
      <c r="P793">
        <v>1</v>
      </c>
      <c r="Q793">
        <v>102</v>
      </c>
      <c r="R793">
        <v>0.56840000000000002</v>
      </c>
      <c r="S793">
        <v>0.92010000000000003</v>
      </c>
      <c r="U793">
        <v>0.35170000000000001</v>
      </c>
      <c r="V793">
        <v>103.65000954786029</v>
      </c>
      <c r="W793">
        <v>22.762711622819456</v>
      </c>
      <c r="X793">
        <v>243.71317141569153</v>
      </c>
      <c r="Y793">
        <v>-107.98682858430845</v>
      </c>
      <c r="Z793">
        <v>-44.308983366401549</v>
      </c>
    </row>
    <row r="794" spans="1:26" x14ac:dyDescent="0.35">
      <c r="A794">
        <v>792</v>
      </c>
      <c r="C794">
        <v>46055</v>
      </c>
      <c r="D794" t="s">
        <v>16</v>
      </c>
      <c r="E794" t="s">
        <v>332</v>
      </c>
      <c r="F794" t="s">
        <v>333</v>
      </c>
      <c r="G794" t="s">
        <v>334</v>
      </c>
      <c r="H794" t="s">
        <v>335</v>
      </c>
      <c r="I794" t="s">
        <v>22</v>
      </c>
      <c r="J794" t="s">
        <v>23</v>
      </c>
      <c r="K794" t="s">
        <v>303</v>
      </c>
      <c r="L794" t="s">
        <v>331</v>
      </c>
      <c r="M794">
        <v>29</v>
      </c>
      <c r="N794">
        <v>62</v>
      </c>
      <c r="O794">
        <v>1</v>
      </c>
      <c r="P794">
        <v>2</v>
      </c>
      <c r="Q794">
        <v>103</v>
      </c>
      <c r="R794">
        <v>0.55779999999999996</v>
      </c>
      <c r="S794">
        <v>0.93479999999999996</v>
      </c>
      <c r="U794">
        <v>0.377</v>
      </c>
      <c r="V794">
        <v>78.714143901757041</v>
      </c>
      <c r="W794">
        <v>17.272701529037082</v>
      </c>
      <c r="X794">
        <v>243.90806399579208</v>
      </c>
      <c r="Y794">
        <v>-133.09193600420792</v>
      </c>
      <c r="Z794">
        <v>-54.566435329708504</v>
      </c>
    </row>
    <row r="795" spans="1:26" x14ac:dyDescent="0.35">
      <c r="A795">
        <v>793</v>
      </c>
      <c r="C795">
        <v>46055</v>
      </c>
      <c r="D795" t="s">
        <v>16</v>
      </c>
      <c r="E795" t="s">
        <v>332</v>
      </c>
      <c r="F795" t="s">
        <v>333</v>
      </c>
      <c r="G795" t="s">
        <v>334</v>
      </c>
      <c r="H795" t="s">
        <v>335</v>
      </c>
      <c r="I795" t="s">
        <v>22</v>
      </c>
      <c r="J795" t="s">
        <v>23</v>
      </c>
      <c r="K795" t="s">
        <v>303</v>
      </c>
      <c r="L795" t="s">
        <v>331</v>
      </c>
      <c r="M795">
        <v>29</v>
      </c>
      <c r="N795">
        <v>62</v>
      </c>
      <c r="O795">
        <v>1</v>
      </c>
      <c r="P795">
        <v>3</v>
      </c>
      <c r="Q795">
        <v>104</v>
      </c>
      <c r="R795">
        <v>0.56020000000000003</v>
      </c>
      <c r="S795">
        <v>0.91700000000000004</v>
      </c>
      <c r="U795">
        <v>0.35680000000000001</v>
      </c>
      <c r="V795">
        <v>98.367942370911919</v>
      </c>
      <c r="W795">
        <v>21.6113511550321</v>
      </c>
      <c r="X795">
        <v>243.61572512564129</v>
      </c>
      <c r="Y795">
        <v>-113.18427487435872</v>
      </c>
      <c r="Z795">
        <v>-46.460167879551115</v>
      </c>
    </row>
    <row r="796" spans="1:26" x14ac:dyDescent="0.35">
      <c r="A796">
        <v>794</v>
      </c>
      <c r="C796">
        <v>46055</v>
      </c>
      <c r="D796" t="s">
        <v>16</v>
      </c>
      <c r="E796" t="s">
        <v>337</v>
      </c>
      <c r="F796" t="s">
        <v>264</v>
      </c>
      <c r="G796" t="s">
        <v>265</v>
      </c>
      <c r="H796" t="s">
        <v>266</v>
      </c>
      <c r="I796" t="s">
        <v>22</v>
      </c>
      <c r="J796" t="s">
        <v>23</v>
      </c>
      <c r="K796" t="s">
        <v>215</v>
      </c>
      <c r="L796" t="s">
        <v>336</v>
      </c>
      <c r="M796">
        <v>29</v>
      </c>
      <c r="N796">
        <v>62</v>
      </c>
      <c r="O796">
        <v>1</v>
      </c>
      <c r="P796">
        <v>1</v>
      </c>
      <c r="Q796">
        <v>105</v>
      </c>
      <c r="R796">
        <v>0.58679999999999999</v>
      </c>
      <c r="S796">
        <v>0.81240000000000001</v>
      </c>
      <c r="U796">
        <v>0.22560000000000002</v>
      </c>
      <c r="V796">
        <v>235.37305769423057</v>
      </c>
      <c r="W796">
        <v>51.060046518023739</v>
      </c>
      <c r="X796">
        <v>217.11125744402764</v>
      </c>
      <c r="Y796">
        <v>-8.4887425559723795</v>
      </c>
      <c r="Z796">
        <v>-3.9098583168405345</v>
      </c>
    </row>
    <row r="797" spans="1:26" x14ac:dyDescent="0.35">
      <c r="A797">
        <v>795</v>
      </c>
      <c r="C797">
        <v>46055</v>
      </c>
      <c r="D797" t="s">
        <v>16</v>
      </c>
      <c r="E797" t="s">
        <v>337</v>
      </c>
      <c r="F797" t="s">
        <v>264</v>
      </c>
      <c r="G797" t="s">
        <v>265</v>
      </c>
      <c r="H797" t="s">
        <v>266</v>
      </c>
      <c r="I797" t="s">
        <v>22</v>
      </c>
      <c r="J797" t="s">
        <v>23</v>
      </c>
      <c r="K797" t="s">
        <v>215</v>
      </c>
      <c r="L797" t="s">
        <v>336</v>
      </c>
      <c r="M797">
        <v>29</v>
      </c>
      <c r="N797">
        <v>62</v>
      </c>
      <c r="O797">
        <v>1</v>
      </c>
      <c r="P797">
        <v>2</v>
      </c>
      <c r="Q797">
        <v>106</v>
      </c>
      <c r="R797">
        <v>0.58340000000000003</v>
      </c>
      <c r="S797">
        <v>0.84599999999999997</v>
      </c>
      <c r="U797">
        <v>0.26259999999999994</v>
      </c>
      <c r="V797">
        <v>198.74176239944501</v>
      </c>
      <c r="W797">
        <v>43.079074689832183</v>
      </c>
      <c r="X797">
        <v>217.28491171912788</v>
      </c>
      <c r="Y797">
        <v>-45.315088280872089</v>
      </c>
      <c r="Z797">
        <v>-20.855147245312818</v>
      </c>
    </row>
    <row r="798" spans="1:26" x14ac:dyDescent="0.35">
      <c r="A798">
        <v>796</v>
      </c>
      <c r="C798">
        <v>46055</v>
      </c>
      <c r="D798" t="s">
        <v>16</v>
      </c>
      <c r="E798" t="s">
        <v>337</v>
      </c>
      <c r="F798" t="s">
        <v>264</v>
      </c>
      <c r="G798" t="s">
        <v>265</v>
      </c>
      <c r="H798" t="s">
        <v>266</v>
      </c>
      <c r="I798" t="s">
        <v>22</v>
      </c>
      <c r="J798" t="s">
        <v>23</v>
      </c>
      <c r="K798" t="s">
        <v>215</v>
      </c>
      <c r="L798" t="s">
        <v>336</v>
      </c>
      <c r="M798">
        <v>29</v>
      </c>
      <c r="N798">
        <v>62</v>
      </c>
      <c r="O798">
        <v>1</v>
      </c>
      <c r="P798">
        <v>3</v>
      </c>
      <c r="Q798">
        <v>107</v>
      </c>
      <c r="R798">
        <v>0.60329999999999995</v>
      </c>
      <c r="S798">
        <v>0.81740000000000002</v>
      </c>
      <c r="U798">
        <v>0.21410000000000007</v>
      </c>
      <c r="V798">
        <v>247.33393857574845</v>
      </c>
      <c r="W798">
        <v>53.60115888726429</v>
      </c>
      <c r="X798">
        <v>217.32832528790291</v>
      </c>
      <c r="Y798">
        <v>3.2283252879028339</v>
      </c>
      <c r="Z798">
        <v>1.4854599756502753</v>
      </c>
    </row>
    <row r="799" spans="1:26" x14ac:dyDescent="0.35">
      <c r="A799">
        <v>797</v>
      </c>
      <c r="C799">
        <v>46055</v>
      </c>
      <c r="D799" t="s">
        <v>16</v>
      </c>
      <c r="E799" t="s">
        <v>339</v>
      </c>
      <c r="F799" t="s">
        <v>219</v>
      </c>
      <c r="G799" t="s">
        <v>253</v>
      </c>
      <c r="H799" t="s">
        <v>254</v>
      </c>
      <c r="I799" t="s">
        <v>22</v>
      </c>
      <c r="J799" t="s">
        <v>23</v>
      </c>
      <c r="K799" t="s">
        <v>215</v>
      </c>
      <c r="L799" t="s">
        <v>338</v>
      </c>
      <c r="M799">
        <v>29</v>
      </c>
      <c r="N799">
        <v>62</v>
      </c>
      <c r="O799">
        <v>1</v>
      </c>
      <c r="P799">
        <v>1</v>
      </c>
      <c r="Q799">
        <v>108</v>
      </c>
      <c r="R799">
        <v>0.55589999999999995</v>
      </c>
      <c r="S799">
        <v>0.75849999999999995</v>
      </c>
      <c r="U799">
        <v>0.2026</v>
      </c>
      <c r="V799">
        <v>250.97327964407091</v>
      </c>
      <c r="W799">
        <v>55.332465757465975</v>
      </c>
      <c r="X799">
        <v>218.13114792377567</v>
      </c>
      <c r="Y799">
        <v>15.531147923775677</v>
      </c>
      <c r="Z799">
        <v>7.1200963601965377</v>
      </c>
    </row>
    <row r="800" spans="1:26" x14ac:dyDescent="0.35">
      <c r="A800">
        <v>798</v>
      </c>
      <c r="C800">
        <v>46055</v>
      </c>
      <c r="D800" t="s">
        <v>16</v>
      </c>
      <c r="E800" t="s">
        <v>339</v>
      </c>
      <c r="F800" t="s">
        <v>219</v>
      </c>
      <c r="G800" t="s">
        <v>253</v>
      </c>
      <c r="H800" t="s">
        <v>254</v>
      </c>
      <c r="I800" t="s">
        <v>22</v>
      </c>
      <c r="J800" t="s">
        <v>23</v>
      </c>
      <c r="K800" t="s">
        <v>215</v>
      </c>
      <c r="L800" t="s">
        <v>338</v>
      </c>
      <c r="M800">
        <v>29</v>
      </c>
      <c r="N800">
        <v>62</v>
      </c>
      <c r="O800">
        <v>1</v>
      </c>
      <c r="P800">
        <v>2</v>
      </c>
      <c r="Q800">
        <v>109</v>
      </c>
      <c r="R800">
        <v>0.5927</v>
      </c>
      <c r="S800">
        <v>0.75460000000000005</v>
      </c>
      <c r="U800">
        <v>0.16190000000000004</v>
      </c>
      <c r="V800">
        <v>291.1296440711854</v>
      </c>
      <c r="W800">
        <v>64.262824272364753</v>
      </c>
      <c r="X800">
        <v>217.86970427864128</v>
      </c>
      <c r="Y800">
        <v>55.969704278641245</v>
      </c>
      <c r="Z800">
        <v>25.689530567801945</v>
      </c>
    </row>
    <row r="801" spans="1:26" x14ac:dyDescent="0.35">
      <c r="A801">
        <v>799</v>
      </c>
      <c r="C801">
        <v>46055</v>
      </c>
      <c r="D801" t="s">
        <v>16</v>
      </c>
      <c r="E801" t="s">
        <v>339</v>
      </c>
      <c r="F801" t="s">
        <v>219</v>
      </c>
      <c r="G801" t="s">
        <v>253</v>
      </c>
      <c r="H801" t="s">
        <v>254</v>
      </c>
      <c r="I801" t="s">
        <v>22</v>
      </c>
      <c r="J801" t="s">
        <v>23</v>
      </c>
      <c r="K801" t="s">
        <v>215</v>
      </c>
      <c r="L801" t="s">
        <v>338</v>
      </c>
      <c r="M801">
        <v>29</v>
      </c>
      <c r="N801">
        <v>62</v>
      </c>
      <c r="O801">
        <v>1</v>
      </c>
      <c r="P801">
        <v>3</v>
      </c>
      <c r="Q801">
        <v>110</v>
      </c>
      <c r="R801">
        <v>0.59189999999999998</v>
      </c>
      <c r="S801">
        <v>0.78810000000000002</v>
      </c>
      <c r="U801">
        <v>0.19620000000000004</v>
      </c>
      <c r="V801">
        <v>257.10146185762812</v>
      </c>
      <c r="W801">
        <v>56.717545274181781</v>
      </c>
      <c r="X801">
        <v>218.00042610120846</v>
      </c>
      <c r="Y801">
        <v>21.800426101208416</v>
      </c>
      <c r="Z801">
        <v>10.000175912999083</v>
      </c>
    </row>
    <row r="802" spans="1:26" x14ac:dyDescent="0.35">
      <c r="A802">
        <v>800</v>
      </c>
      <c r="C802">
        <v>46055</v>
      </c>
      <c r="D802" t="s">
        <v>16</v>
      </c>
      <c r="E802" t="s">
        <v>341</v>
      </c>
      <c r="F802" t="s">
        <v>333</v>
      </c>
      <c r="G802" t="s">
        <v>334</v>
      </c>
      <c r="H802" t="s">
        <v>335</v>
      </c>
      <c r="I802" t="s">
        <v>22</v>
      </c>
      <c r="J802" t="s">
        <v>23</v>
      </c>
      <c r="K802" t="s">
        <v>303</v>
      </c>
      <c r="L802" t="s">
        <v>340</v>
      </c>
      <c r="M802">
        <v>29</v>
      </c>
      <c r="N802">
        <v>62</v>
      </c>
      <c r="O802">
        <v>1</v>
      </c>
      <c r="P802">
        <v>1</v>
      </c>
      <c r="Q802">
        <v>111</v>
      </c>
      <c r="R802">
        <v>0.54339999999999999</v>
      </c>
      <c r="S802">
        <v>0.74419999999999997</v>
      </c>
      <c r="U802">
        <v>0.20079999999999998</v>
      </c>
      <c r="V802">
        <v>261.59566355139464</v>
      </c>
      <c r="W802">
        <v>56.573987208753017</v>
      </c>
      <c r="X802">
        <v>210.42325487848265</v>
      </c>
      <c r="Y802">
        <v>9.623254878482669</v>
      </c>
      <c r="Z802">
        <v>4.5732848700776936</v>
      </c>
    </row>
    <row r="803" spans="1:26" x14ac:dyDescent="0.35">
      <c r="A803">
        <v>801</v>
      </c>
      <c r="C803">
        <v>46055</v>
      </c>
      <c r="D803" t="s">
        <v>16</v>
      </c>
      <c r="E803" t="s">
        <v>341</v>
      </c>
      <c r="F803" t="s">
        <v>333</v>
      </c>
      <c r="G803" t="s">
        <v>334</v>
      </c>
      <c r="H803" t="s">
        <v>335</v>
      </c>
      <c r="I803" t="s">
        <v>22</v>
      </c>
      <c r="J803" t="s">
        <v>23</v>
      </c>
      <c r="K803" t="s">
        <v>303</v>
      </c>
      <c r="L803" t="s">
        <v>340</v>
      </c>
      <c r="M803">
        <v>29</v>
      </c>
      <c r="N803">
        <v>62</v>
      </c>
      <c r="O803">
        <v>1</v>
      </c>
      <c r="P803">
        <v>2</v>
      </c>
      <c r="Q803">
        <v>112</v>
      </c>
      <c r="R803">
        <v>0.56389999999999996</v>
      </c>
      <c r="S803">
        <v>0.79249999999999998</v>
      </c>
      <c r="U803">
        <v>0.22860000000000003</v>
      </c>
      <c r="V803">
        <v>234.25805921494594</v>
      </c>
      <c r="W803">
        <v>50.611208890317542</v>
      </c>
      <c r="X803">
        <v>210.63367813336109</v>
      </c>
      <c r="Y803">
        <v>-17.966321866638935</v>
      </c>
      <c r="Z803">
        <v>-8.5296530098400023</v>
      </c>
    </row>
    <row r="804" spans="1:26" x14ac:dyDescent="0.35">
      <c r="A804">
        <v>802</v>
      </c>
      <c r="C804">
        <v>46055</v>
      </c>
      <c r="D804" t="s">
        <v>16</v>
      </c>
      <c r="E804" t="s">
        <v>341</v>
      </c>
      <c r="F804" t="s">
        <v>333</v>
      </c>
      <c r="G804" t="s">
        <v>334</v>
      </c>
      <c r="H804" t="s">
        <v>335</v>
      </c>
      <c r="I804" t="s">
        <v>22</v>
      </c>
      <c r="J804" t="s">
        <v>23</v>
      </c>
      <c r="K804" t="s">
        <v>303</v>
      </c>
      <c r="L804" t="s">
        <v>340</v>
      </c>
      <c r="M804">
        <v>29</v>
      </c>
      <c r="N804">
        <v>62</v>
      </c>
      <c r="O804">
        <v>1</v>
      </c>
      <c r="P804">
        <v>3</v>
      </c>
      <c r="Q804">
        <v>113</v>
      </c>
      <c r="R804">
        <v>0.59499999999999997</v>
      </c>
      <c r="S804">
        <v>0.8417</v>
      </c>
      <c r="U804">
        <v>0.24670000000000003</v>
      </c>
      <c r="V804">
        <v>216.25053834765637</v>
      </c>
      <c r="W804">
        <v>46.711369884024478</v>
      </c>
      <c r="X804">
        <v>210.67576278433688</v>
      </c>
      <c r="Y804">
        <v>-36.024237215663135</v>
      </c>
      <c r="Z804">
        <v>-17.099374289457387</v>
      </c>
    </row>
    <row r="805" spans="1:26" x14ac:dyDescent="0.35">
      <c r="A805">
        <v>803</v>
      </c>
      <c r="C805">
        <v>46055</v>
      </c>
      <c r="D805" t="s">
        <v>16</v>
      </c>
      <c r="E805" t="s">
        <v>343</v>
      </c>
      <c r="F805" t="s">
        <v>212</v>
      </c>
      <c r="G805" t="s">
        <v>301</v>
      </c>
      <c r="H805" t="s">
        <v>302</v>
      </c>
      <c r="I805" t="s">
        <v>22</v>
      </c>
      <c r="J805" t="s">
        <v>23</v>
      </c>
      <c r="K805" t="s">
        <v>303</v>
      </c>
      <c r="L805" t="s">
        <v>342</v>
      </c>
      <c r="M805">
        <v>29</v>
      </c>
      <c r="N805">
        <v>62</v>
      </c>
      <c r="O805">
        <v>1</v>
      </c>
      <c r="P805">
        <v>1</v>
      </c>
      <c r="Q805">
        <v>114</v>
      </c>
      <c r="R805">
        <v>0.55959999999999999</v>
      </c>
      <c r="S805">
        <v>0.89529999999999998</v>
      </c>
      <c r="U805">
        <v>0.3357</v>
      </c>
      <c r="V805">
        <v>127.59153796740685</v>
      </c>
      <c r="W805">
        <v>27.540226296208132</v>
      </c>
      <c r="X805">
        <v>276.90825270222302</v>
      </c>
      <c r="Y805">
        <v>-58.791747297776965</v>
      </c>
      <c r="Z805">
        <v>-21.231489753033635</v>
      </c>
    </row>
    <row r="806" spans="1:26" x14ac:dyDescent="0.35">
      <c r="A806">
        <v>804</v>
      </c>
      <c r="C806">
        <v>46055</v>
      </c>
      <c r="D806" t="s">
        <v>16</v>
      </c>
      <c r="E806" t="s">
        <v>343</v>
      </c>
      <c r="F806" t="s">
        <v>212</v>
      </c>
      <c r="G806" t="s">
        <v>301</v>
      </c>
      <c r="H806" t="s">
        <v>302</v>
      </c>
      <c r="I806" t="s">
        <v>22</v>
      </c>
      <c r="J806" t="s">
        <v>23</v>
      </c>
      <c r="K806" t="s">
        <v>303</v>
      </c>
      <c r="L806" t="s">
        <v>342</v>
      </c>
      <c r="M806">
        <v>29</v>
      </c>
      <c r="N806">
        <v>62</v>
      </c>
      <c r="O806">
        <v>1</v>
      </c>
      <c r="P806">
        <v>2</v>
      </c>
      <c r="Q806">
        <v>115</v>
      </c>
      <c r="R806">
        <v>0.55410000000000004</v>
      </c>
      <c r="S806">
        <v>0.82299999999999995</v>
      </c>
      <c r="U806">
        <v>0.26889999999999992</v>
      </c>
      <c r="V806">
        <v>194.48410370925865</v>
      </c>
      <c r="W806">
        <v>41.970387450166818</v>
      </c>
      <c r="X806">
        <v>276.96357902643933</v>
      </c>
      <c r="Y806">
        <v>8.0635790264394132</v>
      </c>
      <c r="Z806">
        <v>2.9114221641646436</v>
      </c>
    </row>
    <row r="807" spans="1:26" x14ac:dyDescent="0.35">
      <c r="A807">
        <v>805</v>
      </c>
      <c r="C807">
        <v>46055</v>
      </c>
      <c r="D807" t="s">
        <v>16</v>
      </c>
      <c r="E807" t="s">
        <v>343</v>
      </c>
      <c r="F807" t="s">
        <v>212</v>
      </c>
      <c r="G807" t="s">
        <v>301</v>
      </c>
      <c r="H807" t="s">
        <v>302</v>
      </c>
      <c r="I807" t="s">
        <v>22</v>
      </c>
      <c r="J807" t="s">
        <v>23</v>
      </c>
      <c r="K807" t="s">
        <v>303</v>
      </c>
      <c r="L807" t="s">
        <v>342</v>
      </c>
      <c r="M807">
        <v>29</v>
      </c>
      <c r="N807">
        <v>62</v>
      </c>
      <c r="O807">
        <v>1</v>
      </c>
      <c r="P807">
        <v>3</v>
      </c>
      <c r="Q807">
        <v>116</v>
      </c>
      <c r="R807">
        <v>0.58360000000000001</v>
      </c>
      <c r="S807">
        <v>0.86680000000000001</v>
      </c>
      <c r="U807">
        <v>0.28320000000000001</v>
      </c>
      <c r="V807">
        <v>179.81384074185206</v>
      </c>
      <c r="W807">
        <v>38.835521731650601</v>
      </c>
      <c r="X807">
        <v>276.74227372957444</v>
      </c>
      <c r="Y807">
        <v>-6.4577262704255531</v>
      </c>
      <c r="Z807">
        <v>-2.3334802389951741</v>
      </c>
    </row>
    <row r="808" spans="1:26" x14ac:dyDescent="0.35">
      <c r="A808">
        <v>806</v>
      </c>
      <c r="C808">
        <v>46055</v>
      </c>
      <c r="D808" t="s">
        <v>16</v>
      </c>
      <c r="E808" t="s">
        <v>345</v>
      </c>
      <c r="F808" t="s">
        <v>346</v>
      </c>
      <c r="G808" t="s">
        <v>347</v>
      </c>
      <c r="H808" t="s">
        <v>348</v>
      </c>
      <c r="I808" t="s">
        <v>22</v>
      </c>
      <c r="J808" t="s">
        <v>23</v>
      </c>
      <c r="K808" t="s">
        <v>303</v>
      </c>
      <c r="L808" t="s">
        <v>344</v>
      </c>
      <c r="M808">
        <v>29</v>
      </c>
      <c r="N808">
        <v>62</v>
      </c>
      <c r="O808">
        <v>1</v>
      </c>
      <c r="P808">
        <v>1</v>
      </c>
      <c r="Q808">
        <v>117</v>
      </c>
      <c r="R808">
        <v>0.58760000000000001</v>
      </c>
      <c r="S808">
        <v>0.96499999999999997</v>
      </c>
      <c r="U808">
        <v>0.37739999999999996</v>
      </c>
      <c r="V808">
        <v>86.9159898395136</v>
      </c>
      <c r="W808">
        <v>18.719146387690692</v>
      </c>
      <c r="X808">
        <v>263.7412374527708</v>
      </c>
      <c r="Y808">
        <v>-113.65876254722917</v>
      </c>
      <c r="Z808">
        <v>-43.094801421633008</v>
      </c>
    </row>
    <row r="809" spans="1:26" x14ac:dyDescent="0.35">
      <c r="A809">
        <v>807</v>
      </c>
      <c r="C809">
        <v>46055</v>
      </c>
      <c r="D809" t="s">
        <v>16</v>
      </c>
      <c r="E809" t="s">
        <v>345</v>
      </c>
      <c r="F809" t="s">
        <v>346</v>
      </c>
      <c r="G809" t="s">
        <v>347</v>
      </c>
      <c r="H809" t="s">
        <v>348</v>
      </c>
      <c r="I809" t="s">
        <v>22</v>
      </c>
      <c r="J809" t="s">
        <v>23</v>
      </c>
      <c r="K809" t="s">
        <v>303</v>
      </c>
      <c r="L809" t="s">
        <v>344</v>
      </c>
      <c r="M809">
        <v>29</v>
      </c>
      <c r="N809">
        <v>62</v>
      </c>
      <c r="O809">
        <v>1</v>
      </c>
      <c r="P809">
        <v>2</v>
      </c>
      <c r="Q809">
        <v>118</v>
      </c>
      <c r="R809">
        <v>0.58320000000000005</v>
      </c>
      <c r="S809">
        <v>0.84919999999999995</v>
      </c>
      <c r="U809">
        <v>0.2659999999999999</v>
      </c>
      <c r="V809">
        <v>198.40879735297347</v>
      </c>
      <c r="W809">
        <v>42.722876587148953</v>
      </c>
      <c r="X809">
        <v>263.79395407029079</v>
      </c>
      <c r="Y809">
        <v>-2.2060459297090915</v>
      </c>
      <c r="Z809">
        <v>-0.8362761525312542</v>
      </c>
    </row>
    <row r="810" spans="1:26" x14ac:dyDescent="0.35">
      <c r="A810">
        <v>808</v>
      </c>
      <c r="C810">
        <v>46055</v>
      </c>
      <c r="D810" t="s">
        <v>16</v>
      </c>
      <c r="E810" t="s">
        <v>345</v>
      </c>
      <c r="F810" t="s">
        <v>346</v>
      </c>
      <c r="G810" t="s">
        <v>347</v>
      </c>
      <c r="H810" t="s">
        <v>348</v>
      </c>
      <c r="I810" t="s">
        <v>22</v>
      </c>
      <c r="J810" t="s">
        <v>23</v>
      </c>
      <c r="K810" t="s">
        <v>303</v>
      </c>
      <c r="L810" t="s">
        <v>344</v>
      </c>
      <c r="M810">
        <v>29</v>
      </c>
      <c r="N810">
        <v>62</v>
      </c>
      <c r="O810">
        <v>1</v>
      </c>
      <c r="P810">
        <v>3</v>
      </c>
      <c r="Q810">
        <v>119</v>
      </c>
      <c r="R810">
        <v>0.59319999999999995</v>
      </c>
      <c r="S810">
        <v>0.90659999999999996</v>
      </c>
      <c r="U810">
        <v>0.31340000000000001</v>
      </c>
      <c r="V810">
        <v>150.91598983951354</v>
      </c>
      <c r="W810">
        <v>32.50286295151632</v>
      </c>
      <c r="X810">
        <v>263.7412374527708</v>
      </c>
      <c r="Y810">
        <v>-49.65876254722923</v>
      </c>
      <c r="Z810">
        <v>-18.828592383518266</v>
      </c>
    </row>
    <row r="811" spans="1:26" x14ac:dyDescent="0.35">
      <c r="A811">
        <v>809</v>
      </c>
      <c r="C811">
        <v>46055</v>
      </c>
      <c r="D811" t="s">
        <v>16</v>
      </c>
      <c r="E811" t="s">
        <v>350</v>
      </c>
      <c r="F811" t="s">
        <v>212</v>
      </c>
      <c r="G811" t="s">
        <v>351</v>
      </c>
      <c r="H811" t="s">
        <v>352</v>
      </c>
      <c r="I811" t="s">
        <v>22</v>
      </c>
      <c r="J811" t="s">
        <v>23</v>
      </c>
      <c r="K811" t="s">
        <v>215</v>
      </c>
      <c r="L811" t="s">
        <v>349</v>
      </c>
      <c r="M811">
        <v>29</v>
      </c>
      <c r="N811">
        <v>62</v>
      </c>
      <c r="O811">
        <v>1</v>
      </c>
      <c r="P811">
        <v>1</v>
      </c>
      <c r="Q811">
        <v>120</v>
      </c>
      <c r="R811">
        <v>0.58709999999999996</v>
      </c>
      <c r="S811">
        <v>0.84940000000000004</v>
      </c>
      <c r="U811">
        <v>0.26230000000000009</v>
      </c>
      <c r="V811">
        <v>202.08701810282861</v>
      </c>
      <c r="W811">
        <v>43.51693958380222</v>
      </c>
      <c r="X811">
        <v>273.17564251824638</v>
      </c>
      <c r="Y811">
        <v>10.875642518246309</v>
      </c>
      <c r="Z811">
        <v>3.9811904231248896</v>
      </c>
    </row>
    <row r="812" spans="1:26" x14ac:dyDescent="0.35">
      <c r="A812">
        <v>810</v>
      </c>
      <c r="C812">
        <v>46055</v>
      </c>
      <c r="D812" t="s">
        <v>16</v>
      </c>
      <c r="E812" t="s">
        <v>350</v>
      </c>
      <c r="F812" t="s">
        <v>212</v>
      </c>
      <c r="G812" t="s">
        <v>351</v>
      </c>
      <c r="H812" t="s">
        <v>352</v>
      </c>
      <c r="I812" t="s">
        <v>22</v>
      </c>
      <c r="J812" t="s">
        <v>23</v>
      </c>
      <c r="K812" t="s">
        <v>215</v>
      </c>
      <c r="L812" t="s">
        <v>349</v>
      </c>
      <c r="M812">
        <v>29</v>
      </c>
      <c r="N812">
        <v>62</v>
      </c>
      <c r="O812">
        <v>1</v>
      </c>
      <c r="P812">
        <v>2</v>
      </c>
      <c r="Q812">
        <v>121</v>
      </c>
      <c r="R812">
        <v>0.58360000000000001</v>
      </c>
      <c r="S812">
        <v>0.84609999999999996</v>
      </c>
      <c r="U812">
        <v>0.26249999999999996</v>
      </c>
      <c r="V812">
        <v>201.88701810282873</v>
      </c>
      <c r="W812">
        <v>43.473872057751009</v>
      </c>
      <c r="X812">
        <v>273.17564251824638</v>
      </c>
      <c r="Y812">
        <v>10.675642518246434</v>
      </c>
      <c r="Z812">
        <v>3.9079774535657474</v>
      </c>
    </row>
    <row r="813" spans="1:26" x14ac:dyDescent="0.35">
      <c r="A813">
        <v>811</v>
      </c>
      <c r="C813">
        <v>46055</v>
      </c>
      <c r="D813" t="s">
        <v>16</v>
      </c>
      <c r="E813" t="s">
        <v>350</v>
      </c>
      <c r="F813" t="s">
        <v>212</v>
      </c>
      <c r="G813" t="s">
        <v>351</v>
      </c>
      <c r="H813" t="s">
        <v>352</v>
      </c>
      <c r="I813" t="s">
        <v>22</v>
      </c>
      <c r="J813" t="s">
        <v>23</v>
      </c>
      <c r="K813" t="s">
        <v>215</v>
      </c>
      <c r="L813" t="s">
        <v>349</v>
      </c>
      <c r="M813">
        <v>29</v>
      </c>
      <c r="N813">
        <v>62</v>
      </c>
      <c r="O813">
        <v>1</v>
      </c>
      <c r="P813">
        <v>3</v>
      </c>
      <c r="Q813">
        <v>122</v>
      </c>
      <c r="R813">
        <v>0.57199999999999995</v>
      </c>
      <c r="S813">
        <v>0.84150000000000003</v>
      </c>
      <c r="U813">
        <v>0.26950000000000007</v>
      </c>
      <c r="V813">
        <v>194.70148593418975</v>
      </c>
      <c r="W813">
        <v>41.943313805288582</v>
      </c>
      <c r="X813">
        <v>273.06650322838686</v>
      </c>
      <c r="Y813">
        <v>3.5665032283868072</v>
      </c>
      <c r="Z813">
        <v>1.3060932725988226</v>
      </c>
    </row>
    <row r="814" spans="1:26" x14ac:dyDescent="0.35">
      <c r="A814">
        <v>812</v>
      </c>
      <c r="C814">
        <v>46055</v>
      </c>
      <c r="D814" t="s">
        <v>16</v>
      </c>
      <c r="E814" t="s">
        <v>354</v>
      </c>
      <c r="F814" t="s">
        <v>226</v>
      </c>
      <c r="G814" t="s">
        <v>227</v>
      </c>
      <c r="H814" t="s">
        <v>228</v>
      </c>
      <c r="I814" t="s">
        <v>22</v>
      </c>
      <c r="J814" t="s">
        <v>23</v>
      </c>
      <c r="K814" t="s">
        <v>215</v>
      </c>
      <c r="L814" t="s">
        <v>353</v>
      </c>
      <c r="M814">
        <v>29</v>
      </c>
      <c r="N814">
        <v>62</v>
      </c>
      <c r="O814">
        <v>1</v>
      </c>
      <c r="P814">
        <v>1</v>
      </c>
      <c r="Q814">
        <v>123</v>
      </c>
      <c r="R814">
        <v>0.59050000000000002</v>
      </c>
      <c r="S814">
        <v>0.78220000000000001</v>
      </c>
      <c r="U814">
        <v>0.19169999999999998</v>
      </c>
      <c r="V814">
        <v>269.88081709145439</v>
      </c>
      <c r="W814">
        <v>58.468811332335349</v>
      </c>
      <c r="X814">
        <v>208.82870922592826</v>
      </c>
      <c r="Y814">
        <v>17.128709225928276</v>
      </c>
      <c r="Z814">
        <v>8.2022770190074841</v>
      </c>
    </row>
    <row r="815" spans="1:26" x14ac:dyDescent="0.35">
      <c r="A815">
        <v>813</v>
      </c>
      <c r="C815">
        <v>46055</v>
      </c>
      <c r="D815" t="s">
        <v>16</v>
      </c>
      <c r="E815" t="s">
        <v>354</v>
      </c>
      <c r="F815" t="s">
        <v>226</v>
      </c>
      <c r="G815" t="s">
        <v>227</v>
      </c>
      <c r="H815" t="s">
        <v>228</v>
      </c>
      <c r="I815" t="s">
        <v>22</v>
      </c>
      <c r="J815" t="s">
        <v>23</v>
      </c>
      <c r="K815" t="s">
        <v>215</v>
      </c>
      <c r="L815" t="s">
        <v>353</v>
      </c>
      <c r="M815">
        <v>29</v>
      </c>
      <c r="N815">
        <v>62</v>
      </c>
      <c r="O815">
        <v>1</v>
      </c>
      <c r="P815">
        <v>2</v>
      </c>
      <c r="Q815">
        <v>124</v>
      </c>
      <c r="R815">
        <v>0.57389999999999997</v>
      </c>
      <c r="S815">
        <v>0.81699999999999995</v>
      </c>
      <c r="U815">
        <v>0.24309999999999998</v>
      </c>
      <c r="V815">
        <v>218.38851938757685</v>
      </c>
      <c r="W815">
        <v>47.322633221166932</v>
      </c>
      <c r="X815">
        <v>208.78695183556113</v>
      </c>
      <c r="Y815">
        <v>-34.313048164438868</v>
      </c>
      <c r="Z815">
        <v>-16.434479196508189</v>
      </c>
    </row>
    <row r="816" spans="1:26" x14ac:dyDescent="0.35">
      <c r="A816">
        <v>814</v>
      </c>
      <c r="C816">
        <v>46055</v>
      </c>
      <c r="D816" t="s">
        <v>16</v>
      </c>
      <c r="E816" t="s">
        <v>354</v>
      </c>
      <c r="F816" t="s">
        <v>226</v>
      </c>
      <c r="G816" t="s">
        <v>227</v>
      </c>
      <c r="H816" t="s">
        <v>228</v>
      </c>
      <c r="I816" t="s">
        <v>22</v>
      </c>
      <c r="J816" t="s">
        <v>23</v>
      </c>
      <c r="K816" t="s">
        <v>215</v>
      </c>
      <c r="L816" t="s">
        <v>353</v>
      </c>
      <c r="M816">
        <v>29</v>
      </c>
      <c r="N816">
        <v>62</v>
      </c>
      <c r="O816">
        <v>1</v>
      </c>
      <c r="P816">
        <v>3</v>
      </c>
      <c r="Q816">
        <v>125</v>
      </c>
      <c r="R816">
        <v>0.57289999999999996</v>
      </c>
      <c r="S816">
        <v>0.74409999999999998</v>
      </c>
      <c r="T816" t="s">
        <v>584</v>
      </c>
      <c r="U816">
        <v>0.17120000000000002</v>
      </c>
      <c r="V816">
        <v>290.65771020308694</v>
      </c>
      <c r="W816">
        <v>62.932306591846142</v>
      </c>
      <c r="X816">
        <v>208.95398139702959</v>
      </c>
      <c r="Y816">
        <v>37.753981397029577</v>
      </c>
      <c r="Z816">
        <v>18.068084247360634</v>
      </c>
    </row>
    <row r="817" spans="1:26" x14ac:dyDescent="0.35">
      <c r="A817">
        <v>815</v>
      </c>
      <c r="C817">
        <v>46055</v>
      </c>
      <c r="D817" t="s">
        <v>16</v>
      </c>
      <c r="E817" t="s">
        <v>356</v>
      </c>
      <c r="F817" t="s">
        <v>219</v>
      </c>
      <c r="G817" t="s">
        <v>253</v>
      </c>
      <c r="H817" t="s">
        <v>254</v>
      </c>
      <c r="I817" t="s">
        <v>22</v>
      </c>
      <c r="J817" t="s">
        <v>23</v>
      </c>
      <c r="K817" t="s">
        <v>215</v>
      </c>
      <c r="L817" t="s">
        <v>355</v>
      </c>
      <c r="M817">
        <v>29</v>
      </c>
      <c r="N817">
        <v>62</v>
      </c>
      <c r="O817">
        <v>1</v>
      </c>
      <c r="P817">
        <v>1</v>
      </c>
      <c r="Q817">
        <v>126</v>
      </c>
      <c r="R817">
        <v>0.58809999999999996</v>
      </c>
      <c r="S817">
        <v>0.83</v>
      </c>
      <c r="U817">
        <v>0.2419</v>
      </c>
      <c r="V817">
        <v>208.55244128935502</v>
      </c>
      <c r="W817">
        <v>46.298437342775586</v>
      </c>
      <c r="X817">
        <v>223.46868713600998</v>
      </c>
      <c r="Y817">
        <v>-18.43131286399003</v>
      </c>
      <c r="Z817">
        <v>-8.2478279620321757</v>
      </c>
    </row>
    <row r="818" spans="1:26" x14ac:dyDescent="0.35">
      <c r="A818">
        <v>816</v>
      </c>
      <c r="C818">
        <v>46055</v>
      </c>
      <c r="D818" t="s">
        <v>16</v>
      </c>
      <c r="E818" t="s">
        <v>356</v>
      </c>
      <c r="F818" t="s">
        <v>219</v>
      </c>
      <c r="G818" t="s">
        <v>253</v>
      </c>
      <c r="H818" t="s">
        <v>254</v>
      </c>
      <c r="I818" t="s">
        <v>22</v>
      </c>
      <c r="J818" t="s">
        <v>23</v>
      </c>
      <c r="K818" t="s">
        <v>215</v>
      </c>
      <c r="L818" t="s">
        <v>355</v>
      </c>
      <c r="M818">
        <v>29</v>
      </c>
      <c r="N818">
        <v>62</v>
      </c>
      <c r="O818">
        <v>1</v>
      </c>
      <c r="P818">
        <v>2</v>
      </c>
      <c r="Q818">
        <v>127</v>
      </c>
      <c r="R818">
        <v>0.57769999999999999</v>
      </c>
      <c r="S818">
        <v>0.84540000000000004</v>
      </c>
      <c r="U818">
        <v>0.26770000000000005</v>
      </c>
      <c r="V818">
        <v>183.02265871064429</v>
      </c>
      <c r="W818">
        <v>40.606491635944465</v>
      </c>
      <c r="X818">
        <v>223.6027415374113</v>
      </c>
      <c r="Y818">
        <v>-44.097258462588741</v>
      </c>
      <c r="Z818">
        <v>-19.721251250942629</v>
      </c>
    </row>
    <row r="819" spans="1:26" x14ac:dyDescent="0.35">
      <c r="A819">
        <v>817</v>
      </c>
      <c r="C819">
        <v>46055</v>
      </c>
      <c r="D819" t="s">
        <v>16</v>
      </c>
      <c r="E819" t="s">
        <v>356</v>
      </c>
      <c r="F819" t="s">
        <v>219</v>
      </c>
      <c r="G819" t="s">
        <v>253</v>
      </c>
      <c r="H819" t="s">
        <v>254</v>
      </c>
      <c r="I819" t="s">
        <v>22</v>
      </c>
      <c r="J819" t="s">
        <v>23</v>
      </c>
      <c r="K819" t="s">
        <v>215</v>
      </c>
      <c r="L819" t="s">
        <v>355</v>
      </c>
      <c r="M819">
        <v>29</v>
      </c>
      <c r="N819">
        <v>62</v>
      </c>
      <c r="O819">
        <v>1</v>
      </c>
      <c r="P819">
        <v>3</v>
      </c>
      <c r="Q819">
        <v>128</v>
      </c>
      <c r="R819">
        <v>0.61129999999999995</v>
      </c>
      <c r="S819">
        <v>0.91549999999999998</v>
      </c>
      <c r="U819">
        <v>0.30420000000000003</v>
      </c>
      <c r="V819">
        <v>146.25244128935498</v>
      </c>
      <c r="W819">
        <v>32.467898469087771</v>
      </c>
      <c r="X819">
        <v>223.46868713600998</v>
      </c>
      <c r="Y819">
        <v>-80.73131286399007</v>
      </c>
      <c r="Z819">
        <v>-36.126454179620474</v>
      </c>
    </row>
    <row r="820" spans="1:26" x14ac:dyDescent="0.35">
      <c r="A820">
        <v>818</v>
      </c>
      <c r="C820">
        <v>46055</v>
      </c>
      <c r="D820" t="s">
        <v>16</v>
      </c>
      <c r="E820" t="s">
        <v>358</v>
      </c>
      <c r="F820" t="s">
        <v>212</v>
      </c>
      <c r="G820" t="s">
        <v>359</v>
      </c>
      <c r="H820" t="s">
        <v>360</v>
      </c>
      <c r="I820" t="s">
        <v>22</v>
      </c>
      <c r="J820" t="s">
        <v>23</v>
      </c>
      <c r="K820" t="s">
        <v>215</v>
      </c>
      <c r="L820" t="s">
        <v>357</v>
      </c>
      <c r="M820">
        <v>29</v>
      </c>
      <c r="N820">
        <v>62</v>
      </c>
      <c r="O820">
        <v>1</v>
      </c>
      <c r="P820">
        <v>1</v>
      </c>
      <c r="Q820">
        <v>129</v>
      </c>
      <c r="R820">
        <v>0.59499999999999997</v>
      </c>
      <c r="S820">
        <v>0.85140000000000005</v>
      </c>
      <c r="U820">
        <v>0.25640000000000007</v>
      </c>
      <c r="V820">
        <v>203.16281371862817</v>
      </c>
      <c r="W820">
        <v>44.207844423856393</v>
      </c>
      <c r="X820">
        <v>251.31152224226997</v>
      </c>
      <c r="Y820">
        <v>-5.0884777577301179</v>
      </c>
      <c r="Z820">
        <v>-2.0247689848556605</v>
      </c>
    </row>
    <row r="821" spans="1:26" x14ac:dyDescent="0.35">
      <c r="A821">
        <v>819</v>
      </c>
      <c r="C821">
        <v>46055</v>
      </c>
      <c r="D821" t="s">
        <v>16</v>
      </c>
      <c r="E821" t="s">
        <v>358</v>
      </c>
      <c r="F821" t="s">
        <v>212</v>
      </c>
      <c r="G821" t="s">
        <v>359</v>
      </c>
      <c r="H821" t="s">
        <v>360</v>
      </c>
      <c r="I821" t="s">
        <v>22</v>
      </c>
      <c r="J821" t="s">
        <v>23</v>
      </c>
      <c r="K821" t="s">
        <v>215</v>
      </c>
      <c r="L821" t="s">
        <v>357</v>
      </c>
      <c r="M821">
        <v>29</v>
      </c>
      <c r="N821">
        <v>62</v>
      </c>
      <c r="O821">
        <v>1</v>
      </c>
      <c r="P821">
        <v>2</v>
      </c>
      <c r="Q821">
        <v>130</v>
      </c>
      <c r="R821">
        <v>0.59650000000000003</v>
      </c>
      <c r="S821">
        <v>0.87209999999999999</v>
      </c>
      <c r="U821">
        <v>0.27559999999999996</v>
      </c>
      <c r="V821">
        <v>183.77906209379086</v>
      </c>
      <c r="W821">
        <v>40.005972683245396</v>
      </c>
      <c r="X821">
        <v>251.21103782713917</v>
      </c>
      <c r="Y821">
        <v>-24.388962172860801</v>
      </c>
      <c r="Z821">
        <v>-9.7085551589668171</v>
      </c>
    </row>
    <row r="822" spans="1:26" x14ac:dyDescent="0.35">
      <c r="A822">
        <v>820</v>
      </c>
      <c r="C822">
        <v>46055</v>
      </c>
      <c r="D822" t="s">
        <v>16</v>
      </c>
      <c r="E822" t="s">
        <v>358</v>
      </c>
      <c r="F822" t="s">
        <v>212</v>
      </c>
      <c r="G822" t="s">
        <v>359</v>
      </c>
      <c r="H822" t="s">
        <v>360</v>
      </c>
      <c r="I822" t="s">
        <v>22</v>
      </c>
      <c r="J822" t="s">
        <v>23</v>
      </c>
      <c r="K822" t="s">
        <v>215</v>
      </c>
      <c r="L822" t="s">
        <v>357</v>
      </c>
      <c r="M822">
        <v>29</v>
      </c>
      <c r="N822">
        <v>62</v>
      </c>
      <c r="O822">
        <v>1</v>
      </c>
      <c r="P822">
        <v>3</v>
      </c>
      <c r="Q822">
        <v>131</v>
      </c>
      <c r="R822">
        <v>0.60040000000000004</v>
      </c>
      <c r="S822">
        <v>0.92120000000000002</v>
      </c>
      <c r="U822">
        <v>0.32079999999999997</v>
      </c>
      <c r="V822">
        <v>138.57906209379087</v>
      </c>
      <c r="W822">
        <v>30.166603907057777</v>
      </c>
      <c r="X822">
        <v>251.21103782713917</v>
      </c>
      <c r="Y822">
        <v>-69.588962172860789</v>
      </c>
      <c r="Z822">
        <v>-27.701395119726246</v>
      </c>
    </row>
    <row r="823" spans="1:26" x14ac:dyDescent="0.35">
      <c r="A823">
        <v>821</v>
      </c>
      <c r="C823">
        <v>46055</v>
      </c>
      <c r="D823" t="s">
        <v>16</v>
      </c>
      <c r="E823" t="s">
        <v>362</v>
      </c>
      <c r="F823" t="s">
        <v>219</v>
      </c>
      <c r="G823" t="s">
        <v>253</v>
      </c>
      <c r="H823" t="s">
        <v>254</v>
      </c>
      <c r="I823" t="s">
        <v>22</v>
      </c>
      <c r="J823" t="s">
        <v>23</v>
      </c>
      <c r="K823" t="s">
        <v>215</v>
      </c>
      <c r="L823" t="s">
        <v>361</v>
      </c>
      <c r="M823">
        <v>29</v>
      </c>
      <c r="N823">
        <v>62</v>
      </c>
      <c r="O823">
        <v>1</v>
      </c>
      <c r="P823">
        <v>1</v>
      </c>
      <c r="Q823">
        <v>132</v>
      </c>
      <c r="R823">
        <v>0.5877</v>
      </c>
      <c r="S823">
        <v>0.84019999999999995</v>
      </c>
      <c r="U823">
        <v>0.25249999999999995</v>
      </c>
      <c r="V823">
        <v>206.53733341762296</v>
      </c>
      <c r="W823">
        <v>44.993580779130106</v>
      </c>
      <c r="X823">
        <v>215.55707287448348</v>
      </c>
      <c r="Y823">
        <v>-36.942927125516462</v>
      </c>
      <c r="Z823">
        <v>-17.138350708180159</v>
      </c>
    </row>
    <row r="824" spans="1:26" x14ac:dyDescent="0.35">
      <c r="A824">
        <v>822</v>
      </c>
      <c r="C824">
        <v>46055</v>
      </c>
      <c r="D824" t="s">
        <v>16</v>
      </c>
      <c r="E824" t="s">
        <v>362</v>
      </c>
      <c r="F824" t="s">
        <v>219</v>
      </c>
      <c r="G824" t="s">
        <v>253</v>
      </c>
      <c r="H824" t="s">
        <v>254</v>
      </c>
      <c r="I824" t="s">
        <v>22</v>
      </c>
      <c r="J824" t="s">
        <v>23</v>
      </c>
      <c r="K824" t="s">
        <v>215</v>
      </c>
      <c r="L824" t="s">
        <v>361</v>
      </c>
      <c r="M824">
        <v>29</v>
      </c>
      <c r="N824">
        <v>62</v>
      </c>
      <c r="O824">
        <v>1</v>
      </c>
      <c r="P824">
        <v>2</v>
      </c>
      <c r="Q824">
        <v>133</v>
      </c>
      <c r="R824">
        <v>0.56200000000000006</v>
      </c>
      <c r="S824">
        <v>0.80020000000000002</v>
      </c>
      <c r="U824">
        <v>0.23819999999999997</v>
      </c>
      <c r="V824">
        <v>221.11270074420813</v>
      </c>
      <c r="W824">
        <v>48.13990564291975</v>
      </c>
      <c r="X824">
        <v>215.68638125653172</v>
      </c>
      <c r="Y824">
        <v>-22.513618743468243</v>
      </c>
      <c r="Z824">
        <v>-10.438127160514199</v>
      </c>
    </row>
    <row r="825" spans="1:26" x14ac:dyDescent="0.35">
      <c r="A825">
        <v>823</v>
      </c>
      <c r="C825">
        <v>46055</v>
      </c>
      <c r="D825" t="s">
        <v>16</v>
      </c>
      <c r="E825" t="s">
        <v>362</v>
      </c>
      <c r="F825" t="s">
        <v>219</v>
      </c>
      <c r="G825" t="s">
        <v>253</v>
      </c>
      <c r="H825" t="s">
        <v>254</v>
      </c>
      <c r="I825" t="s">
        <v>22</v>
      </c>
      <c r="J825" t="s">
        <v>23</v>
      </c>
      <c r="K825" t="s">
        <v>215</v>
      </c>
      <c r="L825" t="s">
        <v>361</v>
      </c>
      <c r="M825">
        <v>29</v>
      </c>
      <c r="N825">
        <v>62</v>
      </c>
      <c r="O825">
        <v>1</v>
      </c>
      <c r="P825">
        <v>3</v>
      </c>
      <c r="Q825">
        <v>134</v>
      </c>
      <c r="R825">
        <v>0.57830000000000004</v>
      </c>
      <c r="S825">
        <v>0.78420000000000001</v>
      </c>
      <c r="U825">
        <v>0.20589999999999997</v>
      </c>
      <c r="V825">
        <v>253.04554430876112</v>
      </c>
      <c r="W825">
        <v>55.136289576551967</v>
      </c>
      <c r="X825">
        <v>215.51397008046737</v>
      </c>
      <c r="Y825">
        <v>9.6139700804673964</v>
      </c>
      <c r="Z825">
        <v>4.4609498293209429</v>
      </c>
    </row>
    <row r="826" spans="1:26" x14ac:dyDescent="0.35">
      <c r="A826">
        <v>824</v>
      </c>
      <c r="C826">
        <v>46055</v>
      </c>
      <c r="D826" t="s">
        <v>16</v>
      </c>
      <c r="E826" t="s">
        <v>364</v>
      </c>
      <c r="F826" t="s">
        <v>219</v>
      </c>
      <c r="G826" t="s">
        <v>365</v>
      </c>
      <c r="H826" t="s">
        <v>366</v>
      </c>
      <c r="I826" t="s">
        <v>22</v>
      </c>
      <c r="J826" t="s">
        <v>23</v>
      </c>
      <c r="K826" t="s">
        <v>215</v>
      </c>
      <c r="L826" t="s">
        <v>363</v>
      </c>
      <c r="M826">
        <v>29</v>
      </c>
      <c r="N826">
        <v>62</v>
      </c>
      <c r="O826">
        <v>1</v>
      </c>
      <c r="P826">
        <v>1</v>
      </c>
      <c r="Q826">
        <v>135</v>
      </c>
      <c r="R826">
        <v>0.59250000000000003</v>
      </c>
      <c r="S826">
        <v>0.79279999999999995</v>
      </c>
      <c r="U826">
        <v>0.20029999999999992</v>
      </c>
      <c r="V826">
        <v>253.52357463907205</v>
      </c>
      <c r="W826">
        <v>55.863905889133356</v>
      </c>
      <c r="X826">
        <v>190.49242589962589</v>
      </c>
      <c r="Y826">
        <v>-9.8075741003740404</v>
      </c>
      <c r="Z826">
        <v>-5.1485375620875544</v>
      </c>
    </row>
    <row r="827" spans="1:26" x14ac:dyDescent="0.35">
      <c r="A827">
        <v>825</v>
      </c>
      <c r="C827">
        <v>46055</v>
      </c>
      <c r="D827" t="s">
        <v>16</v>
      </c>
      <c r="E827" t="s">
        <v>364</v>
      </c>
      <c r="F827" t="s">
        <v>219</v>
      </c>
      <c r="G827" t="s">
        <v>365</v>
      </c>
      <c r="H827" t="s">
        <v>366</v>
      </c>
      <c r="I827" t="s">
        <v>22</v>
      </c>
      <c r="J827" t="s">
        <v>23</v>
      </c>
      <c r="K827" t="s">
        <v>215</v>
      </c>
      <c r="L827" t="s">
        <v>363</v>
      </c>
      <c r="M827">
        <v>29</v>
      </c>
      <c r="N827">
        <v>62</v>
      </c>
      <c r="O827">
        <v>1</v>
      </c>
      <c r="P827">
        <v>2</v>
      </c>
      <c r="Q827">
        <v>136</v>
      </c>
      <c r="R827">
        <v>0.60450000000000004</v>
      </c>
      <c r="S827">
        <v>0.86980000000000002</v>
      </c>
      <c r="U827">
        <v>0.26529999999999998</v>
      </c>
      <c r="V827">
        <v>188.16095092781421</v>
      </c>
      <c r="W827">
        <v>41.494411049688665</v>
      </c>
      <c r="X827">
        <v>190.34021461245075</v>
      </c>
      <c r="Y827">
        <v>-74.959785387549204</v>
      </c>
      <c r="Z827">
        <v>-39.382001086934707</v>
      </c>
    </row>
    <row r="828" spans="1:26" x14ac:dyDescent="0.35">
      <c r="A828">
        <v>826</v>
      </c>
      <c r="C828">
        <v>46055</v>
      </c>
      <c r="D828" t="s">
        <v>16</v>
      </c>
      <c r="E828" t="s">
        <v>364</v>
      </c>
      <c r="F828" t="s">
        <v>219</v>
      </c>
      <c r="G828" t="s">
        <v>365</v>
      </c>
      <c r="H828" t="s">
        <v>366</v>
      </c>
      <c r="I828" t="s">
        <v>22</v>
      </c>
      <c r="J828" t="s">
        <v>23</v>
      </c>
      <c r="K828" t="s">
        <v>215</v>
      </c>
      <c r="L828" t="s">
        <v>363</v>
      </c>
      <c r="M828">
        <v>29</v>
      </c>
      <c r="N828">
        <v>62</v>
      </c>
      <c r="O828">
        <v>1</v>
      </c>
      <c r="P828">
        <v>3</v>
      </c>
      <c r="Q828">
        <v>137</v>
      </c>
      <c r="R828">
        <v>0.58960000000000001</v>
      </c>
      <c r="S828">
        <v>0.81599999999999995</v>
      </c>
      <c r="U828">
        <v>0.22639999999999993</v>
      </c>
      <c r="V828">
        <v>227.15160685562864</v>
      </c>
      <c r="W828">
        <v>50.082857920054501</v>
      </c>
      <c r="X828">
        <v>190.37826743424452</v>
      </c>
      <c r="Y828">
        <v>-36.0217325657554</v>
      </c>
      <c r="Z828">
        <v>-18.921136877242088</v>
      </c>
    </row>
    <row r="829" spans="1:26" x14ac:dyDescent="0.35">
      <c r="A829">
        <v>827</v>
      </c>
      <c r="C829">
        <v>46055</v>
      </c>
      <c r="D829" t="s">
        <v>16</v>
      </c>
      <c r="E829" t="s">
        <v>368</v>
      </c>
      <c r="F829" t="s">
        <v>219</v>
      </c>
      <c r="G829" t="s">
        <v>365</v>
      </c>
      <c r="H829" t="s">
        <v>366</v>
      </c>
      <c r="I829" t="s">
        <v>22</v>
      </c>
      <c r="J829" t="s">
        <v>23</v>
      </c>
      <c r="K829" t="s">
        <v>215</v>
      </c>
      <c r="L829" t="s">
        <v>367</v>
      </c>
      <c r="M829">
        <v>29</v>
      </c>
      <c r="N829">
        <v>62</v>
      </c>
      <c r="O829">
        <v>1</v>
      </c>
      <c r="P829">
        <v>1</v>
      </c>
      <c r="Q829">
        <v>138</v>
      </c>
      <c r="R829">
        <v>0.54400000000000004</v>
      </c>
      <c r="S829">
        <v>0.78049999999999997</v>
      </c>
      <c r="U829">
        <v>0.23649999999999993</v>
      </c>
      <c r="V829">
        <v>218.94553544645544</v>
      </c>
      <c r="W829">
        <v>48.072825048516883</v>
      </c>
      <c r="X829">
        <v>222.9866751419286</v>
      </c>
      <c r="Y829">
        <v>-13.513324858071343</v>
      </c>
      <c r="Z829">
        <v>-6.0601490423005133</v>
      </c>
    </row>
    <row r="830" spans="1:26" x14ac:dyDescent="0.35">
      <c r="A830">
        <v>828</v>
      </c>
      <c r="C830">
        <v>46055</v>
      </c>
      <c r="D830" t="s">
        <v>16</v>
      </c>
      <c r="E830" t="s">
        <v>368</v>
      </c>
      <c r="F830" t="s">
        <v>219</v>
      </c>
      <c r="G830" t="s">
        <v>365</v>
      </c>
      <c r="H830" t="s">
        <v>366</v>
      </c>
      <c r="I830" t="s">
        <v>22</v>
      </c>
      <c r="J830" t="s">
        <v>23</v>
      </c>
      <c r="K830" t="s">
        <v>215</v>
      </c>
      <c r="L830" t="s">
        <v>367</v>
      </c>
      <c r="M830">
        <v>29</v>
      </c>
      <c r="N830">
        <v>62</v>
      </c>
      <c r="O830">
        <v>1</v>
      </c>
      <c r="P830">
        <v>2</v>
      </c>
      <c r="Q830">
        <v>139</v>
      </c>
      <c r="R830">
        <v>0.55400000000000005</v>
      </c>
      <c r="S830">
        <v>0.80369999999999997</v>
      </c>
      <c r="U830">
        <v>0.24969999999999992</v>
      </c>
      <c r="V830">
        <v>206.20088991100903</v>
      </c>
      <c r="W830">
        <v>45.229323845202209</v>
      </c>
      <c r="X830">
        <v>223.2096172286532</v>
      </c>
      <c r="Y830">
        <v>-26.490382771346731</v>
      </c>
      <c r="Z830">
        <v>-11.867939697334057</v>
      </c>
    </row>
    <row r="831" spans="1:26" x14ac:dyDescent="0.35">
      <c r="A831">
        <v>829</v>
      </c>
      <c r="C831">
        <v>46055</v>
      </c>
      <c r="D831" t="s">
        <v>16</v>
      </c>
      <c r="E831" t="s">
        <v>368</v>
      </c>
      <c r="F831" t="s">
        <v>219</v>
      </c>
      <c r="G831" t="s">
        <v>365</v>
      </c>
      <c r="H831" t="s">
        <v>366</v>
      </c>
      <c r="I831" t="s">
        <v>22</v>
      </c>
      <c r="J831" t="s">
        <v>23</v>
      </c>
      <c r="K831" t="s">
        <v>215</v>
      </c>
      <c r="L831" t="s">
        <v>367</v>
      </c>
      <c r="M831">
        <v>29</v>
      </c>
      <c r="N831">
        <v>62</v>
      </c>
      <c r="O831">
        <v>1</v>
      </c>
      <c r="P831">
        <v>3</v>
      </c>
      <c r="Q831">
        <v>140</v>
      </c>
      <c r="R831">
        <v>0.56950000000000001</v>
      </c>
      <c r="S831">
        <v>0.85899999999999999</v>
      </c>
      <c r="U831">
        <v>0.28949999999999998</v>
      </c>
      <c r="V831">
        <v>165.94553544645538</v>
      </c>
      <c r="W831">
        <v>36.435868294061876</v>
      </c>
      <c r="X831">
        <v>222.9866751419286</v>
      </c>
      <c r="Y831">
        <v>-66.5133248580714</v>
      </c>
      <c r="Z831">
        <v>-29.828385402731527</v>
      </c>
    </row>
    <row r="832" spans="1:26" x14ac:dyDescent="0.35">
      <c r="A832">
        <v>830</v>
      </c>
      <c r="C832">
        <v>46055</v>
      </c>
      <c r="D832">
        <v>0</v>
      </c>
      <c r="E832" t="s">
        <v>541</v>
      </c>
      <c r="F832" t="s">
        <v>538</v>
      </c>
      <c r="G832" t="s">
        <v>542</v>
      </c>
      <c r="H832" t="s">
        <v>541</v>
      </c>
      <c r="I832">
        <v>0</v>
      </c>
      <c r="J832">
        <v>0</v>
      </c>
      <c r="K832">
        <v>0</v>
      </c>
      <c r="L832" t="s">
        <v>543</v>
      </c>
      <c r="M832">
        <v>29</v>
      </c>
      <c r="N832">
        <v>62</v>
      </c>
      <c r="O832">
        <v>1</v>
      </c>
      <c r="P832">
        <v>1</v>
      </c>
      <c r="Q832">
        <v>141</v>
      </c>
    </row>
    <row r="833" spans="1:26" x14ac:dyDescent="0.35">
      <c r="A833">
        <v>831</v>
      </c>
      <c r="C833">
        <v>46055</v>
      </c>
      <c r="D833">
        <v>0</v>
      </c>
      <c r="E833" t="s">
        <v>541</v>
      </c>
      <c r="F833" t="s">
        <v>538</v>
      </c>
      <c r="G833" t="s">
        <v>542</v>
      </c>
      <c r="H833" t="s">
        <v>541</v>
      </c>
      <c r="I833">
        <v>0</v>
      </c>
      <c r="J833">
        <v>0</v>
      </c>
      <c r="K833">
        <v>0</v>
      </c>
      <c r="L833" t="s">
        <v>543</v>
      </c>
      <c r="M833">
        <v>29</v>
      </c>
      <c r="N833">
        <v>62</v>
      </c>
      <c r="O833">
        <v>1</v>
      </c>
      <c r="P833">
        <v>2</v>
      </c>
      <c r="Q833">
        <v>142</v>
      </c>
    </row>
    <row r="834" spans="1:26" x14ac:dyDescent="0.35">
      <c r="A834">
        <v>832</v>
      </c>
      <c r="C834">
        <v>46055</v>
      </c>
      <c r="D834" t="s">
        <v>16</v>
      </c>
      <c r="E834" t="s">
        <v>370</v>
      </c>
      <c r="F834" t="s">
        <v>219</v>
      </c>
      <c r="G834" t="s">
        <v>365</v>
      </c>
      <c r="H834" t="s">
        <v>366</v>
      </c>
      <c r="I834" t="s">
        <v>22</v>
      </c>
      <c r="J834" t="s">
        <v>23</v>
      </c>
      <c r="K834" t="s">
        <v>215</v>
      </c>
      <c r="L834" t="s">
        <v>369</v>
      </c>
      <c r="M834">
        <v>29</v>
      </c>
      <c r="N834">
        <v>62</v>
      </c>
      <c r="O834">
        <v>1</v>
      </c>
      <c r="P834">
        <v>1</v>
      </c>
      <c r="Q834">
        <v>143</v>
      </c>
      <c r="R834">
        <v>0.55649999999999999</v>
      </c>
      <c r="S834">
        <v>0.82840000000000003</v>
      </c>
      <c r="U834">
        <v>0.27190000000000003</v>
      </c>
      <c r="V834">
        <v>186.24788605697108</v>
      </c>
      <c r="W834">
        <v>40.652350851142202</v>
      </c>
      <c r="X834">
        <v>248.6229551301771</v>
      </c>
      <c r="Y834">
        <v>-23.27704486982293</v>
      </c>
      <c r="Z834">
        <v>-9.3623876595124713</v>
      </c>
    </row>
    <row r="835" spans="1:26" x14ac:dyDescent="0.35">
      <c r="A835">
        <v>833</v>
      </c>
      <c r="C835">
        <v>46055</v>
      </c>
      <c r="D835" t="s">
        <v>16</v>
      </c>
      <c r="E835" t="s">
        <v>370</v>
      </c>
      <c r="F835" t="s">
        <v>219</v>
      </c>
      <c r="G835" t="s">
        <v>365</v>
      </c>
      <c r="H835" t="s">
        <v>366</v>
      </c>
      <c r="I835" t="s">
        <v>22</v>
      </c>
      <c r="J835" t="s">
        <v>23</v>
      </c>
      <c r="K835" t="s">
        <v>215</v>
      </c>
      <c r="L835" t="s">
        <v>369</v>
      </c>
      <c r="M835">
        <v>29</v>
      </c>
      <c r="N835">
        <v>62</v>
      </c>
      <c r="O835">
        <v>1</v>
      </c>
      <c r="P835">
        <v>2</v>
      </c>
      <c r="Q835">
        <v>144</v>
      </c>
      <c r="R835">
        <v>0.56620000000000004</v>
      </c>
      <c r="S835">
        <v>0.88090000000000002</v>
      </c>
      <c r="U835">
        <v>0.31469999999999998</v>
      </c>
      <c r="V835">
        <v>143.53946068940309</v>
      </c>
      <c r="W835">
        <v>31.324116101536447</v>
      </c>
      <c r="X835">
        <v>248.6726499043387</v>
      </c>
      <c r="Y835">
        <v>-66.027350095661291</v>
      </c>
      <c r="Z835">
        <v>-26.551914784782802</v>
      </c>
    </row>
    <row r="836" spans="1:26" x14ac:dyDescent="0.35">
      <c r="A836">
        <v>834</v>
      </c>
      <c r="C836">
        <v>46055</v>
      </c>
      <c r="D836" t="s">
        <v>16</v>
      </c>
      <c r="E836" t="s">
        <v>370</v>
      </c>
      <c r="F836" t="s">
        <v>219</v>
      </c>
      <c r="G836" t="s">
        <v>365</v>
      </c>
      <c r="H836" t="s">
        <v>366</v>
      </c>
      <c r="I836" t="s">
        <v>22</v>
      </c>
      <c r="J836" t="s">
        <v>23</v>
      </c>
      <c r="K836" t="s">
        <v>215</v>
      </c>
      <c r="L836" t="s">
        <v>369</v>
      </c>
      <c r="M836">
        <v>29</v>
      </c>
      <c r="N836">
        <v>62</v>
      </c>
      <c r="O836">
        <v>1</v>
      </c>
      <c r="P836">
        <v>3</v>
      </c>
      <c r="Q836">
        <v>145</v>
      </c>
      <c r="R836">
        <v>0.57289999999999996</v>
      </c>
      <c r="S836">
        <v>0.86299999999999999</v>
      </c>
      <c r="U836">
        <v>0.29010000000000002</v>
      </c>
      <c r="V836">
        <v>167.95631142453914</v>
      </c>
      <c r="W836">
        <v>36.667175461942847</v>
      </c>
      <c r="X836">
        <v>248.57326035601557</v>
      </c>
      <c r="Y836">
        <v>-41.526739643984456</v>
      </c>
      <c r="Z836">
        <v>-16.706036515958463</v>
      </c>
    </row>
    <row r="837" spans="1:26" x14ac:dyDescent="0.35">
      <c r="A837">
        <v>835</v>
      </c>
      <c r="C837">
        <v>46055</v>
      </c>
      <c r="D837" t="s">
        <v>16</v>
      </c>
      <c r="E837" t="s">
        <v>372</v>
      </c>
      <c r="F837" t="s">
        <v>219</v>
      </c>
      <c r="G837" t="s">
        <v>220</v>
      </c>
      <c r="H837" t="s">
        <v>221</v>
      </c>
      <c r="I837" t="s">
        <v>22</v>
      </c>
      <c r="J837" t="s">
        <v>23</v>
      </c>
      <c r="K837" t="s">
        <v>215</v>
      </c>
      <c r="L837" t="s">
        <v>371</v>
      </c>
      <c r="M837">
        <v>29</v>
      </c>
      <c r="N837">
        <v>62</v>
      </c>
      <c r="O837">
        <v>1</v>
      </c>
      <c r="P837">
        <v>1</v>
      </c>
      <c r="Q837">
        <v>146</v>
      </c>
      <c r="R837">
        <v>0.56789999999999996</v>
      </c>
      <c r="S837">
        <v>0.84860000000000002</v>
      </c>
      <c r="U837">
        <v>0.28070000000000006</v>
      </c>
      <c r="V837">
        <v>167.19214433130554</v>
      </c>
      <c r="W837">
        <v>37.328661921704438</v>
      </c>
      <c r="X837">
        <v>200.41461681616471</v>
      </c>
      <c r="Y837">
        <v>-80.285383183835336</v>
      </c>
      <c r="Z837">
        <v>-40.059644580454481</v>
      </c>
    </row>
    <row r="838" spans="1:26" x14ac:dyDescent="0.35">
      <c r="A838">
        <v>836</v>
      </c>
      <c r="C838">
        <v>46055</v>
      </c>
      <c r="D838" t="s">
        <v>16</v>
      </c>
      <c r="E838" t="s">
        <v>372</v>
      </c>
      <c r="F838" t="s">
        <v>219</v>
      </c>
      <c r="G838" t="s">
        <v>220</v>
      </c>
      <c r="H838" t="s">
        <v>221</v>
      </c>
      <c r="I838" t="s">
        <v>22</v>
      </c>
      <c r="J838" t="s">
        <v>23</v>
      </c>
      <c r="K838" t="s">
        <v>215</v>
      </c>
      <c r="L838" t="s">
        <v>371</v>
      </c>
      <c r="M838">
        <v>29</v>
      </c>
      <c r="N838">
        <v>62</v>
      </c>
      <c r="O838">
        <v>1</v>
      </c>
      <c r="P838">
        <v>2</v>
      </c>
      <c r="Q838">
        <v>147</v>
      </c>
      <c r="R838">
        <v>0.56530000000000002</v>
      </c>
      <c r="S838">
        <v>0.84150000000000003</v>
      </c>
      <c r="U838">
        <v>0.2762</v>
      </c>
      <c r="V838">
        <v>171.60260171948414</v>
      </c>
      <c r="W838">
        <v>38.321037229475664</v>
      </c>
      <c r="X838">
        <v>200.37454991956017</v>
      </c>
      <c r="Y838">
        <v>-75.825450080439822</v>
      </c>
      <c r="Z838">
        <v>-37.841856718270733</v>
      </c>
    </row>
    <row r="839" spans="1:26" x14ac:dyDescent="0.35">
      <c r="A839">
        <v>837</v>
      </c>
      <c r="C839">
        <v>46055</v>
      </c>
      <c r="D839" t="s">
        <v>16</v>
      </c>
      <c r="E839" t="s">
        <v>372</v>
      </c>
      <c r="F839" t="s">
        <v>219</v>
      </c>
      <c r="G839" t="s">
        <v>220</v>
      </c>
      <c r="H839" t="s">
        <v>221</v>
      </c>
      <c r="I839" t="s">
        <v>22</v>
      </c>
      <c r="J839" t="s">
        <v>23</v>
      </c>
      <c r="K839" t="s">
        <v>215</v>
      </c>
      <c r="L839" t="s">
        <v>371</v>
      </c>
      <c r="M839">
        <v>29</v>
      </c>
      <c r="N839">
        <v>62</v>
      </c>
      <c r="O839">
        <v>1</v>
      </c>
      <c r="P839">
        <v>3</v>
      </c>
      <c r="Q839">
        <v>148</v>
      </c>
      <c r="R839">
        <v>0.5706</v>
      </c>
      <c r="S839">
        <v>0.79420000000000002</v>
      </c>
      <c r="U839">
        <v>0.22360000000000002</v>
      </c>
      <c r="V839">
        <v>224.20260171948411</v>
      </c>
      <c r="W839">
        <v>50.067284303080214</v>
      </c>
      <c r="X839">
        <v>200.37454991956017</v>
      </c>
      <c r="Y839">
        <v>-23.225450080439856</v>
      </c>
      <c r="Z839">
        <v>-11.591017965986024</v>
      </c>
    </row>
    <row r="840" spans="1:26" x14ac:dyDescent="0.35">
      <c r="A840">
        <v>838</v>
      </c>
      <c r="C840">
        <v>46055</v>
      </c>
      <c r="D840" t="s">
        <v>16</v>
      </c>
      <c r="E840" t="s">
        <v>374</v>
      </c>
      <c r="F840" t="s">
        <v>219</v>
      </c>
      <c r="G840" t="s">
        <v>253</v>
      </c>
      <c r="H840" t="s">
        <v>254</v>
      </c>
      <c r="I840" t="s">
        <v>22</v>
      </c>
      <c r="J840" t="s">
        <v>23</v>
      </c>
      <c r="K840" t="s">
        <v>215</v>
      </c>
      <c r="L840" t="s">
        <v>373</v>
      </c>
      <c r="M840">
        <v>29</v>
      </c>
      <c r="N840">
        <v>62</v>
      </c>
      <c r="O840">
        <v>1</v>
      </c>
      <c r="P840">
        <v>1</v>
      </c>
      <c r="Q840">
        <v>149</v>
      </c>
      <c r="R840">
        <v>0.56359999999999999</v>
      </c>
      <c r="S840">
        <v>0.7671</v>
      </c>
      <c r="U840">
        <v>0.20350000000000001</v>
      </c>
      <c r="V840">
        <v>248.91191689683649</v>
      </c>
      <c r="W840">
        <v>55.018868336661406</v>
      </c>
      <c r="X840">
        <v>220.03461589803391</v>
      </c>
      <c r="Y840">
        <v>16.534615898033906</v>
      </c>
      <c r="Z840">
        <v>7.514552121969845</v>
      </c>
    </row>
    <row r="841" spans="1:26" x14ac:dyDescent="0.35">
      <c r="A841">
        <v>839</v>
      </c>
      <c r="C841">
        <v>46055</v>
      </c>
      <c r="D841" t="s">
        <v>16</v>
      </c>
      <c r="E841" t="s">
        <v>374</v>
      </c>
      <c r="F841" t="s">
        <v>219</v>
      </c>
      <c r="G841" t="s">
        <v>253</v>
      </c>
      <c r="H841" t="s">
        <v>254</v>
      </c>
      <c r="I841" t="s">
        <v>22</v>
      </c>
      <c r="J841" t="s">
        <v>23</v>
      </c>
      <c r="K841" t="s">
        <v>215</v>
      </c>
      <c r="L841" t="s">
        <v>373</v>
      </c>
      <c r="M841">
        <v>29</v>
      </c>
      <c r="N841">
        <v>62</v>
      </c>
      <c r="O841">
        <v>1</v>
      </c>
      <c r="P841">
        <v>2</v>
      </c>
      <c r="Q841">
        <v>150</v>
      </c>
      <c r="R841">
        <v>0.57020000000000004</v>
      </c>
      <c r="S841">
        <v>0.77980000000000005</v>
      </c>
      <c r="U841">
        <v>0.20960000000000001</v>
      </c>
      <c r="V841">
        <v>242.81191689683646</v>
      </c>
      <c r="W841">
        <v>53.670539574271402</v>
      </c>
      <c r="X841">
        <v>220.03461589803391</v>
      </c>
      <c r="Y841">
        <v>10.434615898033883</v>
      </c>
      <c r="Z841">
        <v>4.7422610553556632</v>
      </c>
    </row>
    <row r="842" spans="1:26" x14ac:dyDescent="0.35">
      <c r="A842">
        <v>840</v>
      </c>
      <c r="C842">
        <v>46055</v>
      </c>
      <c r="D842" t="s">
        <v>16</v>
      </c>
      <c r="E842" t="s">
        <v>374</v>
      </c>
      <c r="F842" t="s">
        <v>219</v>
      </c>
      <c r="G842" t="s">
        <v>253</v>
      </c>
      <c r="H842" t="s">
        <v>254</v>
      </c>
      <c r="I842" t="s">
        <v>22</v>
      </c>
      <c r="J842" t="s">
        <v>23</v>
      </c>
      <c r="K842" t="s">
        <v>215</v>
      </c>
      <c r="L842" t="s">
        <v>373</v>
      </c>
      <c r="M842">
        <v>29</v>
      </c>
      <c r="N842">
        <v>62</v>
      </c>
      <c r="O842">
        <v>1</v>
      </c>
      <c r="P842">
        <v>3</v>
      </c>
      <c r="Q842">
        <v>151</v>
      </c>
      <c r="R842">
        <v>0.57369999999999999</v>
      </c>
      <c r="S842">
        <v>0.81989999999999996</v>
      </c>
      <c r="U842">
        <v>0.24619999999999997</v>
      </c>
      <c r="V842">
        <v>206.66432881373322</v>
      </c>
      <c r="W842">
        <v>45.634932067863517</v>
      </c>
      <c r="X842">
        <v>220.25465051393189</v>
      </c>
      <c r="Y842">
        <v>-25.945349486068096</v>
      </c>
      <c r="Z842">
        <v>-11.779705638690686</v>
      </c>
    </row>
    <row r="843" spans="1:26" x14ac:dyDescent="0.35">
      <c r="A843">
        <v>841</v>
      </c>
      <c r="C843">
        <v>46055</v>
      </c>
      <c r="D843" t="s">
        <v>16</v>
      </c>
      <c r="E843" t="s">
        <v>376</v>
      </c>
      <c r="F843" t="s">
        <v>219</v>
      </c>
      <c r="G843" t="s">
        <v>253</v>
      </c>
      <c r="H843" t="s">
        <v>254</v>
      </c>
      <c r="I843" t="s">
        <v>22</v>
      </c>
      <c r="J843" t="s">
        <v>23</v>
      </c>
      <c r="K843" t="s">
        <v>215</v>
      </c>
      <c r="L843" t="s">
        <v>375</v>
      </c>
      <c r="M843">
        <v>29</v>
      </c>
      <c r="N843">
        <v>62</v>
      </c>
      <c r="O843">
        <v>1</v>
      </c>
      <c r="P843">
        <v>1</v>
      </c>
      <c r="Q843">
        <v>152</v>
      </c>
      <c r="R843">
        <v>0.5635</v>
      </c>
      <c r="S843">
        <v>0.81269999999999998</v>
      </c>
      <c r="U843">
        <v>0.24919999999999998</v>
      </c>
      <c r="V843">
        <v>198.88957496614279</v>
      </c>
      <c r="W843">
        <v>44.38611966841021</v>
      </c>
      <c r="X843">
        <v>191.22898021073485</v>
      </c>
      <c r="Y843">
        <v>-57.971019789265142</v>
      </c>
      <c r="Z843">
        <v>-30.314976174312559</v>
      </c>
    </row>
    <row r="844" spans="1:26" x14ac:dyDescent="0.35">
      <c r="A844">
        <v>842</v>
      </c>
      <c r="C844">
        <v>46055</v>
      </c>
      <c r="D844" t="s">
        <v>16</v>
      </c>
      <c r="E844" t="s">
        <v>376</v>
      </c>
      <c r="F844" t="s">
        <v>219</v>
      </c>
      <c r="G844" t="s">
        <v>253</v>
      </c>
      <c r="H844" t="s">
        <v>254</v>
      </c>
      <c r="I844" t="s">
        <v>22</v>
      </c>
      <c r="J844" t="s">
        <v>23</v>
      </c>
      <c r="K844" t="s">
        <v>215</v>
      </c>
      <c r="L844" t="s">
        <v>375</v>
      </c>
      <c r="M844">
        <v>29</v>
      </c>
      <c r="N844">
        <v>62</v>
      </c>
      <c r="O844">
        <v>1</v>
      </c>
      <c r="P844">
        <v>2</v>
      </c>
      <c r="Q844">
        <v>153</v>
      </c>
      <c r="R844">
        <v>0.57550000000000001</v>
      </c>
      <c r="S844">
        <v>0.81169999999999998</v>
      </c>
      <c r="U844">
        <v>0.23619999999999997</v>
      </c>
      <c r="V844">
        <v>211.62109709018935</v>
      </c>
      <c r="W844">
        <v>47.255722980726325</v>
      </c>
      <c r="X844">
        <v>191.11440323038084</v>
      </c>
      <c r="Y844">
        <v>-45.085596769619116</v>
      </c>
      <c r="Z844">
        <v>-23.59089425367392</v>
      </c>
    </row>
    <row r="845" spans="1:26" x14ac:dyDescent="0.35">
      <c r="A845">
        <v>843</v>
      </c>
      <c r="C845">
        <v>46055</v>
      </c>
      <c r="D845" t="s">
        <v>16</v>
      </c>
      <c r="E845" t="s">
        <v>376</v>
      </c>
      <c r="F845" t="s">
        <v>219</v>
      </c>
      <c r="G845" t="s">
        <v>253</v>
      </c>
      <c r="H845" t="s">
        <v>254</v>
      </c>
      <c r="I845" t="s">
        <v>22</v>
      </c>
      <c r="J845" t="s">
        <v>23</v>
      </c>
      <c r="K845" t="s">
        <v>215</v>
      </c>
      <c r="L845" t="s">
        <v>375</v>
      </c>
      <c r="M845">
        <v>29</v>
      </c>
      <c r="N845">
        <v>62</v>
      </c>
      <c r="O845">
        <v>1</v>
      </c>
      <c r="P845">
        <v>3</v>
      </c>
      <c r="Q845">
        <v>154</v>
      </c>
      <c r="R845">
        <v>0.59119999999999995</v>
      </c>
      <c r="S845">
        <v>0.84130000000000005</v>
      </c>
      <c r="U845">
        <v>0.2501000000000001</v>
      </c>
      <c r="V845">
        <v>197.90008234082487</v>
      </c>
      <c r="W845">
        <v>44.174117403458077</v>
      </c>
      <c r="X845">
        <v>191.19078788395018</v>
      </c>
      <c r="Y845">
        <v>-58.909212116049929</v>
      </c>
      <c r="Z845">
        <v>-30.811741908719419</v>
      </c>
    </row>
    <row r="846" spans="1:26" x14ac:dyDescent="0.35">
      <c r="A846">
        <v>844</v>
      </c>
      <c r="C846">
        <v>46055</v>
      </c>
      <c r="D846" t="s">
        <v>16</v>
      </c>
      <c r="E846" t="s">
        <v>378</v>
      </c>
      <c r="F846" t="s">
        <v>212</v>
      </c>
      <c r="G846" t="s">
        <v>379</v>
      </c>
      <c r="H846" t="s">
        <v>380</v>
      </c>
      <c r="I846" t="s">
        <v>22</v>
      </c>
      <c r="J846" t="s">
        <v>23</v>
      </c>
      <c r="K846" t="s">
        <v>215</v>
      </c>
      <c r="L846" t="s">
        <v>377</v>
      </c>
      <c r="M846">
        <v>29</v>
      </c>
      <c r="N846">
        <v>62</v>
      </c>
      <c r="O846">
        <v>1</v>
      </c>
      <c r="P846">
        <v>1</v>
      </c>
      <c r="Q846">
        <v>155</v>
      </c>
      <c r="R846">
        <v>0.55989999999999995</v>
      </c>
      <c r="S846">
        <v>0.99050000000000005</v>
      </c>
      <c r="U846">
        <v>0.43060000000000009</v>
      </c>
      <c r="V846">
        <v>38.737613724506559</v>
      </c>
      <c r="W846">
        <v>8.2536776494638442</v>
      </c>
      <c r="X846">
        <v>307.0319104288921</v>
      </c>
      <c r="Y846">
        <v>-123.56808957110798</v>
      </c>
      <c r="Z846">
        <v>-40.24600876127046</v>
      </c>
    </row>
    <row r="847" spans="1:26" x14ac:dyDescent="0.35">
      <c r="A847">
        <v>845</v>
      </c>
      <c r="C847">
        <v>46055</v>
      </c>
      <c r="D847" t="s">
        <v>16</v>
      </c>
      <c r="E847" t="s">
        <v>378</v>
      </c>
      <c r="F847" t="s">
        <v>212</v>
      </c>
      <c r="G847" t="s">
        <v>379</v>
      </c>
      <c r="H847" t="s">
        <v>380</v>
      </c>
      <c r="I847" t="s">
        <v>22</v>
      </c>
      <c r="J847" t="s">
        <v>23</v>
      </c>
      <c r="K847" t="s">
        <v>215</v>
      </c>
      <c r="L847" t="s">
        <v>377</v>
      </c>
      <c r="M847">
        <v>29</v>
      </c>
      <c r="N847">
        <v>62</v>
      </c>
      <c r="O847">
        <v>1</v>
      </c>
      <c r="P847">
        <v>2</v>
      </c>
      <c r="Q847">
        <v>156</v>
      </c>
      <c r="R847">
        <v>0.56440000000000001</v>
      </c>
      <c r="S847">
        <v>1.0294000000000001</v>
      </c>
      <c r="U847">
        <v>0.46500000000000008</v>
      </c>
      <c r="V847">
        <v>4.1500287469988848</v>
      </c>
      <c r="W847">
        <v>0.88458456628101223</v>
      </c>
      <c r="X847">
        <v>306.90919583639459</v>
      </c>
      <c r="Y847">
        <v>-158.09080416360547</v>
      </c>
      <c r="Z847">
        <v>-51.510611708057006</v>
      </c>
    </row>
    <row r="848" spans="1:26" x14ac:dyDescent="0.35">
      <c r="A848">
        <v>846</v>
      </c>
      <c r="C848">
        <v>46055</v>
      </c>
      <c r="D848" t="s">
        <v>16</v>
      </c>
      <c r="E848" t="s">
        <v>378</v>
      </c>
      <c r="F848" t="s">
        <v>212</v>
      </c>
      <c r="G848" t="s">
        <v>379</v>
      </c>
      <c r="H848" t="s">
        <v>380</v>
      </c>
      <c r="I848" t="s">
        <v>22</v>
      </c>
      <c r="J848" t="s">
        <v>23</v>
      </c>
      <c r="K848" t="s">
        <v>215</v>
      </c>
      <c r="L848" t="s">
        <v>377</v>
      </c>
      <c r="M848">
        <v>29</v>
      </c>
      <c r="N848">
        <v>62</v>
      </c>
      <c r="O848">
        <v>1</v>
      </c>
      <c r="P848">
        <v>3</v>
      </c>
      <c r="Q848">
        <v>157</v>
      </c>
      <c r="R848">
        <v>0.55100000000000005</v>
      </c>
      <c r="S848">
        <v>1.0012000000000001</v>
      </c>
      <c r="U848">
        <v>0.45020000000000004</v>
      </c>
      <c r="V848">
        <v>19.043821235752716</v>
      </c>
      <c r="W848">
        <v>4.0584063921397728</v>
      </c>
      <c r="X848">
        <v>306.97055313264332</v>
      </c>
      <c r="Y848">
        <v>-143.22944686735673</v>
      </c>
      <c r="Z848">
        <v>-46.659018399548785</v>
      </c>
    </row>
    <row r="849" spans="1:26" x14ac:dyDescent="0.35">
      <c r="A849">
        <v>847</v>
      </c>
      <c r="C849">
        <v>46055</v>
      </c>
      <c r="D849" t="s">
        <v>120</v>
      </c>
      <c r="E849" t="s">
        <v>122</v>
      </c>
      <c r="F849" t="s">
        <v>123</v>
      </c>
      <c r="G849" t="s">
        <v>545</v>
      </c>
      <c r="H849" t="s">
        <v>125</v>
      </c>
      <c r="I849" t="s">
        <v>108</v>
      </c>
      <c r="J849" t="s">
        <v>109</v>
      </c>
      <c r="K849" t="s">
        <v>110</v>
      </c>
      <c r="L849" t="s">
        <v>121</v>
      </c>
      <c r="M849">
        <v>29</v>
      </c>
      <c r="N849">
        <v>62</v>
      </c>
      <c r="O849">
        <v>1</v>
      </c>
      <c r="P849">
        <v>1</v>
      </c>
      <c r="Q849">
        <v>158</v>
      </c>
      <c r="R849">
        <v>0.56059999999999999</v>
      </c>
      <c r="S849">
        <v>0.88290000000000002</v>
      </c>
      <c r="U849">
        <v>0.32230000000000003</v>
      </c>
      <c r="V849">
        <v>145.9177499999999</v>
      </c>
      <c r="W849">
        <v>31.164506258039115</v>
      </c>
      <c r="X849">
        <v>356.31370774999988</v>
      </c>
      <c r="Y849">
        <v>34.013707749999867</v>
      </c>
      <c r="Z849">
        <v>9.5460003390789776</v>
      </c>
    </row>
    <row r="850" spans="1:26" x14ac:dyDescent="0.35">
      <c r="A850">
        <v>848</v>
      </c>
      <c r="C850">
        <v>46055</v>
      </c>
      <c r="D850" t="s">
        <v>120</v>
      </c>
      <c r="E850" t="s">
        <v>122</v>
      </c>
      <c r="F850" t="s">
        <v>123</v>
      </c>
      <c r="G850" t="s">
        <v>545</v>
      </c>
      <c r="H850" t="s">
        <v>125</v>
      </c>
      <c r="I850" t="s">
        <v>108</v>
      </c>
      <c r="J850" t="s">
        <v>109</v>
      </c>
      <c r="K850" t="s">
        <v>110</v>
      </c>
      <c r="L850" t="s">
        <v>121</v>
      </c>
      <c r="M850">
        <v>29</v>
      </c>
      <c r="N850">
        <v>62</v>
      </c>
      <c r="O850">
        <v>1</v>
      </c>
      <c r="P850">
        <v>2</v>
      </c>
      <c r="Q850">
        <v>159</v>
      </c>
      <c r="R850">
        <v>0.5524</v>
      </c>
      <c r="S850">
        <v>0.90239999999999998</v>
      </c>
      <c r="U850">
        <v>0.35</v>
      </c>
      <c r="V850">
        <v>118.40485000000001</v>
      </c>
      <c r="W850">
        <v>25.278314261690504</v>
      </c>
      <c r="X850">
        <v>356.45609084999995</v>
      </c>
      <c r="Y850">
        <v>6.4560908499999528</v>
      </c>
      <c r="Z850">
        <v>1.8111882545210136</v>
      </c>
    </row>
    <row r="851" spans="1:26" x14ac:dyDescent="0.35">
      <c r="A851">
        <v>849</v>
      </c>
      <c r="C851">
        <v>46055</v>
      </c>
      <c r="D851" t="s">
        <v>120</v>
      </c>
      <c r="E851" t="s">
        <v>122</v>
      </c>
      <c r="F851" t="s">
        <v>123</v>
      </c>
      <c r="G851" t="s">
        <v>545</v>
      </c>
      <c r="H851" t="s">
        <v>125</v>
      </c>
      <c r="I851" t="s">
        <v>108</v>
      </c>
      <c r="J851" t="s">
        <v>109</v>
      </c>
      <c r="K851" t="s">
        <v>110</v>
      </c>
      <c r="L851" t="s">
        <v>121</v>
      </c>
      <c r="M851">
        <v>29</v>
      </c>
      <c r="N851">
        <v>62</v>
      </c>
      <c r="O851">
        <v>1</v>
      </c>
      <c r="P851">
        <v>3</v>
      </c>
      <c r="Q851">
        <v>160</v>
      </c>
      <c r="R851">
        <v>0.5363</v>
      </c>
      <c r="S851">
        <v>0.97850000000000004</v>
      </c>
      <c r="U851">
        <v>0.44220000000000004</v>
      </c>
      <c r="V851">
        <v>25.549999999999955</v>
      </c>
      <c r="W851">
        <v>5.4623196151790392</v>
      </c>
      <c r="X851">
        <v>355.95774999999992</v>
      </c>
      <c r="Y851">
        <v>-86.242250000000126</v>
      </c>
      <c r="Z851">
        <v>-24.228226524074877</v>
      </c>
    </row>
    <row r="852" spans="1:26" x14ac:dyDescent="0.35">
      <c r="A852">
        <v>850</v>
      </c>
      <c r="C852">
        <v>46055</v>
      </c>
      <c r="D852">
        <v>0</v>
      </c>
      <c r="E852" t="s">
        <v>537</v>
      </c>
      <c r="F852" t="s">
        <v>538</v>
      </c>
      <c r="G852">
        <v>24</v>
      </c>
      <c r="H852" t="s">
        <v>537</v>
      </c>
      <c r="I852">
        <v>0</v>
      </c>
      <c r="J852">
        <v>0</v>
      </c>
      <c r="K852">
        <v>0</v>
      </c>
      <c r="L852" t="s">
        <v>539</v>
      </c>
      <c r="M852">
        <v>29</v>
      </c>
      <c r="N852">
        <v>62</v>
      </c>
      <c r="O852">
        <v>1</v>
      </c>
      <c r="P852">
        <v>1</v>
      </c>
      <c r="Q852">
        <v>161</v>
      </c>
    </row>
    <row r="853" spans="1:26" x14ac:dyDescent="0.35">
      <c r="A853">
        <v>851</v>
      </c>
      <c r="C853">
        <v>46055</v>
      </c>
      <c r="D853">
        <v>0</v>
      </c>
      <c r="E853" t="s">
        <v>537</v>
      </c>
      <c r="F853" t="s">
        <v>538</v>
      </c>
      <c r="G853">
        <v>24</v>
      </c>
      <c r="H853" t="s">
        <v>537</v>
      </c>
      <c r="I853">
        <v>0</v>
      </c>
      <c r="J853">
        <v>0</v>
      </c>
      <c r="K853">
        <v>0</v>
      </c>
      <c r="L853" t="s">
        <v>539</v>
      </c>
      <c r="M853">
        <v>29</v>
      </c>
      <c r="N853">
        <v>62</v>
      </c>
      <c r="O853">
        <v>1</v>
      </c>
      <c r="P853">
        <v>2</v>
      </c>
      <c r="Q853">
        <v>162</v>
      </c>
    </row>
    <row r="854" spans="1:26" x14ac:dyDescent="0.35">
      <c r="A854">
        <v>852</v>
      </c>
      <c r="C854">
        <v>46057</v>
      </c>
      <c r="D854">
        <v>0</v>
      </c>
      <c r="E854" t="s">
        <v>537</v>
      </c>
      <c r="F854" t="s">
        <v>538</v>
      </c>
      <c r="G854">
        <v>24</v>
      </c>
      <c r="H854" t="s">
        <v>537</v>
      </c>
      <c r="I854">
        <v>0</v>
      </c>
      <c r="J854">
        <v>0</v>
      </c>
      <c r="K854">
        <v>0</v>
      </c>
      <c r="L854" t="s">
        <v>539</v>
      </c>
      <c r="M854">
        <v>29</v>
      </c>
      <c r="N854">
        <v>63</v>
      </c>
      <c r="O854">
        <v>2</v>
      </c>
      <c r="P854">
        <v>1</v>
      </c>
      <c r="Q854">
        <v>163</v>
      </c>
    </row>
    <row r="855" spans="1:26" x14ac:dyDescent="0.35">
      <c r="A855">
        <v>853</v>
      </c>
      <c r="C855">
        <v>46057</v>
      </c>
      <c r="D855">
        <v>0</v>
      </c>
      <c r="E855" t="s">
        <v>537</v>
      </c>
      <c r="F855" t="s">
        <v>538</v>
      </c>
      <c r="G855">
        <v>24</v>
      </c>
      <c r="H855" t="s">
        <v>537</v>
      </c>
      <c r="I855">
        <v>0</v>
      </c>
      <c r="J855">
        <v>0</v>
      </c>
      <c r="K855">
        <v>0</v>
      </c>
      <c r="L855" t="s">
        <v>539</v>
      </c>
      <c r="M855">
        <v>29</v>
      </c>
      <c r="N855">
        <v>63</v>
      </c>
      <c r="O855">
        <v>2</v>
      </c>
      <c r="P855">
        <v>2</v>
      </c>
      <c r="Q855">
        <v>164</v>
      </c>
    </row>
    <row r="856" spans="1:26" x14ac:dyDescent="0.35">
      <c r="A856">
        <v>854</v>
      </c>
      <c r="C856">
        <v>46057</v>
      </c>
      <c r="D856" t="s">
        <v>16</v>
      </c>
      <c r="E856" t="s">
        <v>322</v>
      </c>
      <c r="F856" t="s">
        <v>290</v>
      </c>
      <c r="G856" t="s">
        <v>318</v>
      </c>
      <c r="H856" t="s">
        <v>319</v>
      </c>
      <c r="I856" t="s">
        <v>22</v>
      </c>
      <c r="J856" t="s">
        <v>23</v>
      </c>
      <c r="K856" t="s">
        <v>215</v>
      </c>
      <c r="L856" t="s">
        <v>321</v>
      </c>
      <c r="M856">
        <v>29</v>
      </c>
      <c r="N856">
        <v>63</v>
      </c>
      <c r="O856">
        <v>2</v>
      </c>
      <c r="P856">
        <v>1</v>
      </c>
      <c r="Q856">
        <v>165</v>
      </c>
      <c r="R856">
        <v>0.58399999999999996</v>
      </c>
      <c r="S856">
        <v>0.85729999999999995</v>
      </c>
      <c r="U856">
        <v>0.27329999999999999</v>
      </c>
      <c r="V856">
        <v>174.56190828351458</v>
      </c>
      <c r="W856">
        <v>38.97672587350516</v>
      </c>
      <c r="X856">
        <v>236.09520834094462</v>
      </c>
      <c r="Y856">
        <v>-37.204791659055388</v>
      </c>
      <c r="Z856">
        <v>-15.758384899251332</v>
      </c>
    </row>
    <row r="857" spans="1:26" x14ac:dyDescent="0.35">
      <c r="A857">
        <v>855</v>
      </c>
      <c r="C857">
        <v>46057</v>
      </c>
      <c r="D857" t="s">
        <v>16</v>
      </c>
      <c r="E857" t="s">
        <v>322</v>
      </c>
      <c r="F857" t="s">
        <v>290</v>
      </c>
      <c r="G857" t="s">
        <v>318</v>
      </c>
      <c r="H857" t="s">
        <v>319</v>
      </c>
      <c r="I857" t="s">
        <v>22</v>
      </c>
      <c r="J857" t="s">
        <v>23</v>
      </c>
      <c r="K857" t="s">
        <v>215</v>
      </c>
      <c r="L857" t="s">
        <v>321</v>
      </c>
      <c r="M857">
        <v>29</v>
      </c>
      <c r="N857">
        <v>63</v>
      </c>
      <c r="O857">
        <v>2</v>
      </c>
      <c r="P857">
        <v>2</v>
      </c>
      <c r="Q857">
        <v>166</v>
      </c>
      <c r="R857">
        <v>0.57469999999999999</v>
      </c>
      <c r="S857">
        <v>0.8427</v>
      </c>
      <c r="U857">
        <v>0.26800000000000002</v>
      </c>
      <c r="V857">
        <v>179.68283514945477</v>
      </c>
      <c r="W857">
        <v>40.136190410219619</v>
      </c>
      <c r="X857">
        <v>236.00080801773751</v>
      </c>
      <c r="Y857">
        <v>-31.999191982262488</v>
      </c>
      <c r="Z857">
        <v>-13.558933230371597</v>
      </c>
    </row>
    <row r="858" spans="1:26" x14ac:dyDescent="0.35">
      <c r="A858">
        <v>856</v>
      </c>
      <c r="C858">
        <v>46057</v>
      </c>
      <c r="D858" t="s">
        <v>16</v>
      </c>
      <c r="E858" t="s">
        <v>322</v>
      </c>
      <c r="F858" t="s">
        <v>290</v>
      </c>
      <c r="G858" t="s">
        <v>318</v>
      </c>
      <c r="H858" t="s">
        <v>319</v>
      </c>
      <c r="I858" t="s">
        <v>22</v>
      </c>
      <c r="J858" t="s">
        <v>23</v>
      </c>
      <c r="K858" t="s">
        <v>215</v>
      </c>
      <c r="L858" t="s">
        <v>321</v>
      </c>
      <c r="M858">
        <v>29</v>
      </c>
      <c r="N858">
        <v>63</v>
      </c>
      <c r="O858">
        <v>2</v>
      </c>
      <c r="P858">
        <v>3</v>
      </c>
      <c r="Q858">
        <v>167</v>
      </c>
      <c r="R858">
        <v>0.59</v>
      </c>
      <c r="S858">
        <v>0.84430000000000005</v>
      </c>
      <c r="U858">
        <v>0.25430000000000008</v>
      </c>
      <c r="V858">
        <v>193.65144485054435</v>
      </c>
      <c r="W858">
        <v>43.230454344254802</v>
      </c>
      <c r="X858">
        <v>236.14240850254814</v>
      </c>
      <c r="Y858">
        <v>-18.157591497451932</v>
      </c>
      <c r="Z858">
        <v>-7.6892548071288092</v>
      </c>
    </row>
    <row r="859" spans="1:26" x14ac:dyDescent="0.35">
      <c r="A859">
        <v>857</v>
      </c>
      <c r="C859">
        <v>46057</v>
      </c>
      <c r="D859" t="s">
        <v>16</v>
      </c>
      <c r="E859" t="s">
        <v>326</v>
      </c>
      <c r="F859" t="s">
        <v>290</v>
      </c>
      <c r="G859" t="s">
        <v>318</v>
      </c>
      <c r="H859" t="s">
        <v>319</v>
      </c>
      <c r="I859" t="s">
        <v>22</v>
      </c>
      <c r="J859" t="s">
        <v>23</v>
      </c>
      <c r="K859" t="s">
        <v>215</v>
      </c>
      <c r="L859" t="s">
        <v>325</v>
      </c>
      <c r="M859">
        <v>29</v>
      </c>
      <c r="N859">
        <v>63</v>
      </c>
      <c r="O859">
        <v>2</v>
      </c>
      <c r="P859">
        <v>1</v>
      </c>
      <c r="Q859">
        <v>168</v>
      </c>
      <c r="R859">
        <v>0.59860000000000002</v>
      </c>
      <c r="S859">
        <v>0.85509999999999997</v>
      </c>
      <c r="U859">
        <v>0.25649999999999995</v>
      </c>
      <c r="V859">
        <v>208.20529911615887</v>
      </c>
      <c r="W859">
        <v>44.803728193363121</v>
      </c>
      <c r="X859">
        <v>239.51575290934838</v>
      </c>
      <c r="Y859">
        <v>-16.984247090651564</v>
      </c>
      <c r="Z859">
        <v>-7.0910772608262391</v>
      </c>
    </row>
    <row r="860" spans="1:26" x14ac:dyDescent="0.35">
      <c r="A860">
        <v>858</v>
      </c>
      <c r="C860">
        <v>46057</v>
      </c>
      <c r="D860" t="s">
        <v>16</v>
      </c>
      <c r="E860" t="s">
        <v>326</v>
      </c>
      <c r="F860" t="s">
        <v>290</v>
      </c>
      <c r="G860" t="s">
        <v>318</v>
      </c>
      <c r="H860" t="s">
        <v>319</v>
      </c>
      <c r="I860" t="s">
        <v>22</v>
      </c>
      <c r="J860" t="s">
        <v>23</v>
      </c>
      <c r="K860" t="s">
        <v>215</v>
      </c>
      <c r="L860" t="s">
        <v>325</v>
      </c>
      <c r="M860">
        <v>29</v>
      </c>
      <c r="N860">
        <v>63</v>
      </c>
      <c r="O860">
        <v>2</v>
      </c>
      <c r="P860">
        <v>2</v>
      </c>
      <c r="Q860">
        <v>169</v>
      </c>
      <c r="R860">
        <v>0.59340000000000004</v>
      </c>
      <c r="S860">
        <v>0.84889999999999999</v>
      </c>
      <c r="U860">
        <v>0.25549999999999995</v>
      </c>
      <c r="V860">
        <v>209.39118123580533</v>
      </c>
      <c r="W860">
        <v>45.040901976068355</v>
      </c>
      <c r="X860">
        <v>239.6115592105121</v>
      </c>
      <c r="Y860">
        <v>-15.888440789487845</v>
      </c>
      <c r="Z860">
        <v>-6.6309158213560826</v>
      </c>
    </row>
    <row r="861" spans="1:26" x14ac:dyDescent="0.35">
      <c r="A861">
        <v>859</v>
      </c>
      <c r="C861">
        <v>46057</v>
      </c>
      <c r="D861" t="s">
        <v>16</v>
      </c>
      <c r="E861" t="s">
        <v>326</v>
      </c>
      <c r="F861" t="s">
        <v>290</v>
      </c>
      <c r="G861" t="s">
        <v>318</v>
      </c>
      <c r="H861" t="s">
        <v>319</v>
      </c>
      <c r="I861" t="s">
        <v>22</v>
      </c>
      <c r="J861" t="s">
        <v>23</v>
      </c>
      <c r="K861" t="s">
        <v>215</v>
      </c>
      <c r="L861" t="s">
        <v>325</v>
      </c>
      <c r="M861">
        <v>29</v>
      </c>
      <c r="N861">
        <v>63</v>
      </c>
      <c r="O861">
        <v>2</v>
      </c>
      <c r="P861">
        <v>3</v>
      </c>
      <c r="Q861">
        <v>170</v>
      </c>
      <c r="R861">
        <v>0.57050000000000001</v>
      </c>
      <c r="S861">
        <v>0.89670000000000005</v>
      </c>
      <c r="U861">
        <v>0.32620000000000005</v>
      </c>
      <c r="V861">
        <v>138.8770633554517</v>
      </c>
      <c r="W861">
        <v>29.861086322657442</v>
      </c>
      <c r="X861">
        <v>239.70736551167585</v>
      </c>
      <c r="Y861">
        <v>-86.4926344883242</v>
      </c>
      <c r="Z861">
        <v>-36.082593583930255</v>
      </c>
    </row>
    <row r="862" spans="1:26" x14ac:dyDescent="0.35">
      <c r="A862">
        <v>860</v>
      </c>
      <c r="C862">
        <v>46057</v>
      </c>
      <c r="D862" t="s">
        <v>16</v>
      </c>
      <c r="E862" t="s">
        <v>328</v>
      </c>
      <c r="F862" t="s">
        <v>264</v>
      </c>
      <c r="G862" t="s">
        <v>329</v>
      </c>
      <c r="H862" t="s">
        <v>330</v>
      </c>
      <c r="I862" t="s">
        <v>22</v>
      </c>
      <c r="J862" t="s">
        <v>23</v>
      </c>
      <c r="K862" t="s">
        <v>215</v>
      </c>
      <c r="L862" t="s">
        <v>327</v>
      </c>
      <c r="M862">
        <v>29</v>
      </c>
      <c r="N862">
        <v>63</v>
      </c>
      <c r="O862">
        <v>2</v>
      </c>
      <c r="P862">
        <v>1</v>
      </c>
      <c r="Q862">
        <v>171</v>
      </c>
      <c r="R862">
        <v>0.59330000000000005</v>
      </c>
      <c r="S862">
        <v>0.84099999999999997</v>
      </c>
      <c r="U862">
        <v>0.24769999999999992</v>
      </c>
      <c r="V862">
        <v>205.37635520106187</v>
      </c>
      <c r="W862">
        <v>45.329303293684781</v>
      </c>
      <c r="X862">
        <v>234.35807344316913</v>
      </c>
      <c r="Y862">
        <v>-13.341926556830799</v>
      </c>
      <c r="Z862">
        <v>-5.6929664768157267</v>
      </c>
    </row>
    <row r="863" spans="1:26" x14ac:dyDescent="0.35">
      <c r="A863">
        <v>861</v>
      </c>
      <c r="C863">
        <v>46057</v>
      </c>
      <c r="D863" t="s">
        <v>16</v>
      </c>
      <c r="E863" t="s">
        <v>328</v>
      </c>
      <c r="F863" t="s">
        <v>264</v>
      </c>
      <c r="G863" t="s">
        <v>329</v>
      </c>
      <c r="H863" t="s">
        <v>330</v>
      </c>
      <c r="I863" t="s">
        <v>22</v>
      </c>
      <c r="J863" t="s">
        <v>23</v>
      </c>
      <c r="K863" t="s">
        <v>215</v>
      </c>
      <c r="L863" t="s">
        <v>327</v>
      </c>
      <c r="M863">
        <v>29</v>
      </c>
      <c r="N863">
        <v>63</v>
      </c>
      <c r="O863">
        <v>2</v>
      </c>
      <c r="P863">
        <v>2</v>
      </c>
      <c r="Q863">
        <v>172</v>
      </c>
      <c r="R863">
        <v>0.58540000000000003</v>
      </c>
      <c r="S863">
        <v>0.86040000000000005</v>
      </c>
      <c r="U863">
        <v>0.27500000000000002</v>
      </c>
      <c r="V863">
        <v>177.80472669074948</v>
      </c>
      <c r="W863">
        <v>39.267418427852277</v>
      </c>
      <c r="X863">
        <v>234.21757100105697</v>
      </c>
      <c r="Y863">
        <v>-40.782428998943033</v>
      </c>
      <c r="Z863">
        <v>-17.412198762303362</v>
      </c>
    </row>
    <row r="864" spans="1:26" x14ac:dyDescent="0.35">
      <c r="A864">
        <v>862</v>
      </c>
      <c r="C864">
        <v>46057</v>
      </c>
      <c r="D864" t="s">
        <v>16</v>
      </c>
      <c r="E864" t="s">
        <v>328</v>
      </c>
      <c r="F864" t="s">
        <v>264</v>
      </c>
      <c r="G864" t="s">
        <v>329</v>
      </c>
      <c r="H864" t="s">
        <v>330</v>
      </c>
      <c r="I864" t="s">
        <v>22</v>
      </c>
      <c r="J864" t="s">
        <v>23</v>
      </c>
      <c r="K864" t="s">
        <v>215</v>
      </c>
      <c r="L864" t="s">
        <v>327</v>
      </c>
      <c r="M864">
        <v>29</v>
      </c>
      <c r="N864">
        <v>63</v>
      </c>
      <c r="O864">
        <v>2</v>
      </c>
      <c r="P864">
        <v>3</v>
      </c>
      <c r="Q864">
        <v>173</v>
      </c>
      <c r="R864">
        <v>0.56979999999999997</v>
      </c>
      <c r="S864">
        <v>0.8085</v>
      </c>
      <c r="U864">
        <v>0.23870000000000002</v>
      </c>
      <c r="V864">
        <v>214.46689803783252</v>
      </c>
      <c r="W864">
        <v>47.326249769445383</v>
      </c>
      <c r="X864">
        <v>234.40490759053984</v>
      </c>
      <c r="Y864">
        <v>-4.2950924094601817</v>
      </c>
      <c r="Z864">
        <v>-1.832338944440054</v>
      </c>
    </row>
    <row r="865" spans="1:26" x14ac:dyDescent="0.35">
      <c r="A865">
        <v>863</v>
      </c>
      <c r="C865">
        <v>46057</v>
      </c>
      <c r="D865" t="s">
        <v>16</v>
      </c>
      <c r="E865" t="s">
        <v>332</v>
      </c>
      <c r="F865" t="s">
        <v>333</v>
      </c>
      <c r="G865" t="s">
        <v>334</v>
      </c>
      <c r="H865" t="s">
        <v>335</v>
      </c>
      <c r="I865" t="s">
        <v>22</v>
      </c>
      <c r="J865" t="s">
        <v>23</v>
      </c>
      <c r="K865" t="s">
        <v>303</v>
      </c>
      <c r="L865" t="s">
        <v>331</v>
      </c>
      <c r="M865">
        <v>29</v>
      </c>
      <c r="N865">
        <v>63</v>
      </c>
      <c r="O865">
        <v>2</v>
      </c>
      <c r="P865">
        <v>1</v>
      </c>
      <c r="Q865">
        <v>174</v>
      </c>
      <c r="R865">
        <v>0.57630000000000003</v>
      </c>
      <c r="S865">
        <v>0.8508</v>
      </c>
      <c r="U865">
        <v>0.27449999999999997</v>
      </c>
      <c r="V865">
        <v>181.03207672480869</v>
      </c>
      <c r="W865">
        <v>39.740796746168968</v>
      </c>
      <c r="X865">
        <v>243.81061770574178</v>
      </c>
      <c r="Y865">
        <v>-30.689382294258166</v>
      </c>
      <c r="Z865">
        <v>-12.587385481011982</v>
      </c>
    </row>
    <row r="866" spans="1:26" x14ac:dyDescent="0.35">
      <c r="A866">
        <v>864</v>
      </c>
      <c r="C866">
        <v>46057</v>
      </c>
      <c r="D866" t="s">
        <v>16</v>
      </c>
      <c r="E866" t="s">
        <v>332</v>
      </c>
      <c r="F866" t="s">
        <v>333</v>
      </c>
      <c r="G866" t="s">
        <v>334</v>
      </c>
      <c r="H866" t="s">
        <v>335</v>
      </c>
      <c r="I866" t="s">
        <v>22</v>
      </c>
      <c r="J866" t="s">
        <v>23</v>
      </c>
      <c r="K866" t="s">
        <v>303</v>
      </c>
      <c r="L866" t="s">
        <v>331</v>
      </c>
      <c r="M866">
        <v>29</v>
      </c>
      <c r="N866">
        <v>63</v>
      </c>
      <c r="O866">
        <v>2</v>
      </c>
      <c r="P866">
        <v>2</v>
      </c>
      <c r="Q866">
        <v>175</v>
      </c>
      <c r="R866">
        <v>0.59319999999999995</v>
      </c>
      <c r="S866">
        <v>0.94689999999999996</v>
      </c>
      <c r="U866">
        <v>0.35370000000000001</v>
      </c>
      <c r="V866">
        <v>101.92311031328279</v>
      </c>
      <c r="W866">
        <v>22.370048403207925</v>
      </c>
      <c r="X866">
        <v>243.8593408507669</v>
      </c>
      <c r="Y866">
        <v>-109.84065914923309</v>
      </c>
      <c r="Z866">
        <v>-45.04262939694059</v>
      </c>
    </row>
    <row r="867" spans="1:26" x14ac:dyDescent="0.35">
      <c r="A867">
        <v>865</v>
      </c>
      <c r="C867">
        <v>46057</v>
      </c>
      <c r="D867" t="s">
        <v>16</v>
      </c>
      <c r="E867" t="s">
        <v>332</v>
      </c>
      <c r="F867" t="s">
        <v>333</v>
      </c>
      <c r="G867" t="s">
        <v>334</v>
      </c>
      <c r="H867" t="s">
        <v>335</v>
      </c>
      <c r="I867" t="s">
        <v>22</v>
      </c>
      <c r="J867" t="s">
        <v>23</v>
      </c>
      <c r="K867" t="s">
        <v>303</v>
      </c>
      <c r="L867" t="s">
        <v>331</v>
      </c>
      <c r="M867">
        <v>29</v>
      </c>
      <c r="N867">
        <v>63</v>
      </c>
      <c r="O867">
        <v>2</v>
      </c>
      <c r="P867">
        <v>3</v>
      </c>
      <c r="Q867">
        <v>176</v>
      </c>
      <c r="R867">
        <v>0.56910000000000005</v>
      </c>
      <c r="S867">
        <v>0.87860000000000005</v>
      </c>
      <c r="U867">
        <v>0.3095</v>
      </c>
      <c r="V867">
        <v>145.85000954786028</v>
      </c>
      <c r="W867">
        <v>32.03030778294746</v>
      </c>
      <c r="X867">
        <v>243.71317141569153</v>
      </c>
      <c r="Y867">
        <v>-65.786828584308466</v>
      </c>
      <c r="Z867">
        <v>-26.993546636057097</v>
      </c>
    </row>
    <row r="868" spans="1:26" x14ac:dyDescent="0.35">
      <c r="A868">
        <v>866</v>
      </c>
      <c r="C868">
        <v>46057</v>
      </c>
      <c r="D868" t="s">
        <v>16</v>
      </c>
      <c r="E868" t="s">
        <v>337</v>
      </c>
      <c r="F868" t="s">
        <v>264</v>
      </c>
      <c r="G868" t="s">
        <v>265</v>
      </c>
      <c r="H868" t="s">
        <v>266</v>
      </c>
      <c r="I868" t="s">
        <v>22</v>
      </c>
      <c r="J868" t="s">
        <v>23</v>
      </c>
      <c r="K868" t="s">
        <v>215</v>
      </c>
      <c r="L868" t="s">
        <v>336</v>
      </c>
      <c r="M868">
        <v>29</v>
      </c>
      <c r="N868">
        <v>63</v>
      </c>
      <c r="O868">
        <v>2</v>
      </c>
      <c r="P868">
        <v>1</v>
      </c>
      <c r="Q868">
        <v>177</v>
      </c>
      <c r="R868">
        <v>0.58389999999999997</v>
      </c>
      <c r="S868">
        <v>0.76749999999999996</v>
      </c>
      <c r="U868">
        <v>0.18359999999999999</v>
      </c>
      <c r="V868">
        <v>277.55741004683773</v>
      </c>
      <c r="W868">
        <v>60.187130034112954</v>
      </c>
      <c r="X868">
        <v>217.19808458157775</v>
      </c>
      <c r="Y868">
        <v>33.598084581577751</v>
      </c>
      <c r="Z868">
        <v>15.468867806225333</v>
      </c>
    </row>
    <row r="869" spans="1:26" x14ac:dyDescent="0.35">
      <c r="A869">
        <v>867</v>
      </c>
      <c r="C869">
        <v>46057</v>
      </c>
      <c r="D869" t="s">
        <v>16</v>
      </c>
      <c r="E869" t="s">
        <v>337</v>
      </c>
      <c r="F869" t="s">
        <v>264</v>
      </c>
      <c r="G869" t="s">
        <v>265</v>
      </c>
      <c r="H869" t="s">
        <v>266</v>
      </c>
      <c r="I869" t="s">
        <v>22</v>
      </c>
      <c r="J869" t="s">
        <v>23</v>
      </c>
      <c r="K869" t="s">
        <v>215</v>
      </c>
      <c r="L869" t="s">
        <v>336</v>
      </c>
      <c r="M869">
        <v>29</v>
      </c>
      <c r="N869">
        <v>63</v>
      </c>
      <c r="O869">
        <v>2</v>
      </c>
      <c r="P869">
        <v>2</v>
      </c>
      <c r="Q869">
        <v>178</v>
      </c>
      <c r="R869">
        <v>0.60599999999999998</v>
      </c>
      <c r="S869">
        <v>0.7944</v>
      </c>
      <c r="U869">
        <v>0.18840000000000001</v>
      </c>
      <c r="V869">
        <v>272.66523387053417</v>
      </c>
      <c r="W869">
        <v>59.13810320972884</v>
      </c>
      <c r="X869">
        <v>217.15467101280271</v>
      </c>
      <c r="Y869">
        <v>28.754671012802703</v>
      </c>
      <c r="Z869">
        <v>13.241562283091495</v>
      </c>
    </row>
    <row r="870" spans="1:26" x14ac:dyDescent="0.35">
      <c r="A870">
        <v>868</v>
      </c>
      <c r="C870">
        <v>46057</v>
      </c>
      <c r="D870" t="s">
        <v>16</v>
      </c>
      <c r="E870" t="s">
        <v>337</v>
      </c>
      <c r="F870" t="s">
        <v>264</v>
      </c>
      <c r="G870" t="s">
        <v>265</v>
      </c>
      <c r="H870" t="s">
        <v>266</v>
      </c>
      <c r="I870" t="s">
        <v>22</v>
      </c>
      <c r="J870" t="s">
        <v>23</v>
      </c>
      <c r="K870" t="s">
        <v>215</v>
      </c>
      <c r="L870" t="s">
        <v>336</v>
      </c>
      <c r="M870">
        <v>29</v>
      </c>
      <c r="N870">
        <v>63</v>
      </c>
      <c r="O870">
        <v>2</v>
      </c>
      <c r="P870">
        <v>3</v>
      </c>
      <c r="Q870">
        <v>179</v>
      </c>
      <c r="R870">
        <v>0.5867</v>
      </c>
      <c r="S870">
        <v>0.78049999999999997</v>
      </c>
      <c r="U870">
        <v>0.19379999999999997</v>
      </c>
      <c r="V870">
        <v>267.08088151792708</v>
      </c>
      <c r="W870">
        <v>57.950089107251969</v>
      </c>
      <c r="X870">
        <v>217.06784387525261</v>
      </c>
      <c r="Y870">
        <v>23.267843875252623</v>
      </c>
      <c r="Z870">
        <v>10.719157411737362</v>
      </c>
    </row>
    <row r="871" spans="1:26" x14ac:dyDescent="0.35">
      <c r="A871">
        <v>869</v>
      </c>
      <c r="C871">
        <v>46057</v>
      </c>
      <c r="D871" t="s">
        <v>16</v>
      </c>
      <c r="E871" t="s">
        <v>339</v>
      </c>
      <c r="F871" t="s">
        <v>219</v>
      </c>
      <c r="G871" t="s">
        <v>253</v>
      </c>
      <c r="H871" t="s">
        <v>254</v>
      </c>
      <c r="I871" t="s">
        <v>22</v>
      </c>
      <c r="J871" t="s">
        <v>23</v>
      </c>
      <c r="K871" t="s">
        <v>215</v>
      </c>
      <c r="L871" t="s">
        <v>338</v>
      </c>
      <c r="M871">
        <v>29</v>
      </c>
      <c r="N871">
        <v>63</v>
      </c>
      <c r="O871">
        <v>2</v>
      </c>
      <c r="P871">
        <v>1</v>
      </c>
      <c r="Q871">
        <v>180</v>
      </c>
      <c r="R871">
        <v>0.57430000000000003</v>
      </c>
      <c r="S871">
        <v>0.70299999999999996</v>
      </c>
      <c r="U871">
        <v>0.12869999999999993</v>
      </c>
      <c r="V871">
        <v>324.60146185762824</v>
      </c>
      <c r="W871">
        <v>71.608298046825695</v>
      </c>
      <c r="X871">
        <v>218.00042610120846</v>
      </c>
      <c r="Y871">
        <v>89.300426101208529</v>
      </c>
      <c r="Z871">
        <v>40.963418144765498</v>
      </c>
    </row>
    <row r="872" spans="1:26" x14ac:dyDescent="0.35">
      <c r="A872">
        <v>870</v>
      </c>
      <c r="C872">
        <v>46057</v>
      </c>
      <c r="D872" t="s">
        <v>16</v>
      </c>
      <c r="E872" t="s">
        <v>339</v>
      </c>
      <c r="F872" t="s">
        <v>219</v>
      </c>
      <c r="G872" t="s">
        <v>253</v>
      </c>
      <c r="H872" t="s">
        <v>254</v>
      </c>
      <c r="I872" t="s">
        <v>22</v>
      </c>
      <c r="J872" t="s">
        <v>23</v>
      </c>
      <c r="K872" t="s">
        <v>215</v>
      </c>
      <c r="L872" t="s">
        <v>338</v>
      </c>
      <c r="M872">
        <v>29</v>
      </c>
      <c r="N872">
        <v>63</v>
      </c>
      <c r="O872">
        <v>2</v>
      </c>
      <c r="P872">
        <v>2</v>
      </c>
      <c r="Q872">
        <v>181</v>
      </c>
      <c r="R872">
        <v>0.56759999999999999</v>
      </c>
      <c r="S872">
        <v>0.74829999999999997</v>
      </c>
      <c r="U872">
        <v>0.18069999999999997</v>
      </c>
      <c r="V872">
        <v>272.69206778644229</v>
      </c>
      <c r="W872">
        <v>60.14486956460965</v>
      </c>
      <c r="X872">
        <v>218.04400004206414</v>
      </c>
      <c r="Y872">
        <v>37.344000042064181</v>
      </c>
      <c r="Z872">
        <v>17.126818456302367</v>
      </c>
    </row>
    <row r="873" spans="1:26" x14ac:dyDescent="0.35">
      <c r="A873">
        <v>871</v>
      </c>
      <c r="C873">
        <v>46057</v>
      </c>
      <c r="D873" t="s">
        <v>16</v>
      </c>
      <c r="E873" t="s">
        <v>339</v>
      </c>
      <c r="F873" t="s">
        <v>219</v>
      </c>
      <c r="G873" t="s">
        <v>253</v>
      </c>
      <c r="H873" t="s">
        <v>254</v>
      </c>
      <c r="I873" t="s">
        <v>22</v>
      </c>
      <c r="J873" t="s">
        <v>23</v>
      </c>
      <c r="K873" t="s">
        <v>215</v>
      </c>
      <c r="L873" t="s">
        <v>338</v>
      </c>
      <c r="M873">
        <v>29</v>
      </c>
      <c r="N873">
        <v>63</v>
      </c>
      <c r="O873">
        <v>2</v>
      </c>
      <c r="P873">
        <v>3</v>
      </c>
      <c r="Q873">
        <v>182</v>
      </c>
      <c r="R873">
        <v>0.58309999999999995</v>
      </c>
      <c r="S873">
        <v>0.85160000000000002</v>
      </c>
      <c r="U873">
        <v>0.26850000000000007</v>
      </c>
      <c r="V873">
        <v>184.89206778644223</v>
      </c>
      <c r="W873">
        <v>40.779731478127772</v>
      </c>
      <c r="X873">
        <v>218.04400004206414</v>
      </c>
      <c r="Y873">
        <v>-50.455999957935916</v>
      </c>
      <c r="Z873">
        <v>-23.140283588726199</v>
      </c>
    </row>
    <row r="874" spans="1:26" x14ac:dyDescent="0.35">
      <c r="A874">
        <v>872</v>
      </c>
      <c r="C874">
        <v>46057</v>
      </c>
      <c r="D874" t="s">
        <v>16</v>
      </c>
      <c r="E874" t="s">
        <v>341</v>
      </c>
      <c r="F874" t="s">
        <v>333</v>
      </c>
      <c r="G874" t="s">
        <v>334</v>
      </c>
      <c r="H874" t="s">
        <v>335</v>
      </c>
      <c r="I874" t="s">
        <v>22</v>
      </c>
      <c r="J874" t="s">
        <v>23</v>
      </c>
      <c r="K874" t="s">
        <v>303</v>
      </c>
      <c r="L874" t="s">
        <v>340</v>
      </c>
      <c r="M874">
        <v>29</v>
      </c>
      <c r="N874">
        <v>63</v>
      </c>
      <c r="O874">
        <v>2</v>
      </c>
      <c r="P874">
        <v>1</v>
      </c>
      <c r="Q874">
        <v>183</v>
      </c>
      <c r="R874">
        <v>0.5696</v>
      </c>
      <c r="S874">
        <v>0.77070000000000005</v>
      </c>
      <c r="U874">
        <v>0.20110000000000006</v>
      </c>
      <c r="V874">
        <v>261.48062181681507</v>
      </c>
      <c r="W874">
        <v>56.526497108727355</v>
      </c>
      <c r="X874">
        <v>210.50742418043401</v>
      </c>
      <c r="Y874">
        <v>9.4074241804339636</v>
      </c>
      <c r="Z874">
        <v>4.4689275055546247</v>
      </c>
    </row>
    <row r="875" spans="1:26" x14ac:dyDescent="0.35">
      <c r="A875">
        <v>873</v>
      </c>
      <c r="C875">
        <v>46057</v>
      </c>
      <c r="D875" t="s">
        <v>16</v>
      </c>
      <c r="E875" t="s">
        <v>341</v>
      </c>
      <c r="F875" t="s">
        <v>333</v>
      </c>
      <c r="G875" t="s">
        <v>334</v>
      </c>
      <c r="H875" t="s">
        <v>335</v>
      </c>
      <c r="I875" t="s">
        <v>22</v>
      </c>
      <c r="J875" t="s">
        <v>23</v>
      </c>
      <c r="K875" t="s">
        <v>303</v>
      </c>
      <c r="L875" t="s">
        <v>340</v>
      </c>
      <c r="M875">
        <v>29</v>
      </c>
      <c r="N875">
        <v>63</v>
      </c>
      <c r="O875">
        <v>2</v>
      </c>
      <c r="P875">
        <v>2</v>
      </c>
      <c r="Q875">
        <v>184</v>
      </c>
      <c r="R875">
        <v>0.57179999999999997</v>
      </c>
      <c r="S875">
        <v>0.78310000000000002</v>
      </c>
      <c r="U875">
        <v>0.21130000000000004</v>
      </c>
      <c r="V875">
        <v>251.09566355139461</v>
      </c>
      <c r="W875">
        <v>54.303204667378047</v>
      </c>
      <c r="X875">
        <v>210.42325487848265</v>
      </c>
      <c r="Y875">
        <v>-0.87674512151738782</v>
      </c>
      <c r="Z875">
        <v>-0.41665790315034312</v>
      </c>
    </row>
    <row r="876" spans="1:26" x14ac:dyDescent="0.35">
      <c r="A876">
        <v>874</v>
      </c>
      <c r="C876">
        <v>46057</v>
      </c>
      <c r="D876" t="s">
        <v>16</v>
      </c>
      <c r="E876" t="s">
        <v>341</v>
      </c>
      <c r="F876" t="s">
        <v>333</v>
      </c>
      <c r="G876" t="s">
        <v>334</v>
      </c>
      <c r="H876" t="s">
        <v>335</v>
      </c>
      <c r="I876" t="s">
        <v>22</v>
      </c>
      <c r="J876" t="s">
        <v>23</v>
      </c>
      <c r="K876" t="s">
        <v>303</v>
      </c>
      <c r="L876" t="s">
        <v>340</v>
      </c>
      <c r="M876">
        <v>29</v>
      </c>
      <c r="N876">
        <v>63</v>
      </c>
      <c r="O876">
        <v>2</v>
      </c>
      <c r="P876">
        <v>3</v>
      </c>
      <c r="Q876">
        <v>185</v>
      </c>
      <c r="R876">
        <v>0.5988</v>
      </c>
      <c r="S876">
        <v>0.78449999999999998</v>
      </c>
      <c r="U876">
        <v>0.18569999999999998</v>
      </c>
      <c r="V876">
        <v>276.78814268410497</v>
      </c>
      <c r="W876">
        <v>59.84761924440528</v>
      </c>
      <c r="X876">
        <v>210.46533952945836</v>
      </c>
      <c r="Y876">
        <v>24.765339529458373</v>
      </c>
      <c r="Z876">
        <v>11.766944421740295</v>
      </c>
    </row>
    <row r="877" spans="1:26" x14ac:dyDescent="0.35">
      <c r="A877">
        <v>875</v>
      </c>
      <c r="C877">
        <v>46057</v>
      </c>
      <c r="D877" t="s">
        <v>16</v>
      </c>
      <c r="E877" t="s">
        <v>343</v>
      </c>
      <c r="F877" t="s">
        <v>212</v>
      </c>
      <c r="G877" t="s">
        <v>301</v>
      </c>
      <c r="H877" t="s">
        <v>302</v>
      </c>
      <c r="I877" t="s">
        <v>22</v>
      </c>
      <c r="J877" t="s">
        <v>23</v>
      </c>
      <c r="K877" t="s">
        <v>303</v>
      </c>
      <c r="L877" t="s">
        <v>342</v>
      </c>
      <c r="M877">
        <v>29</v>
      </c>
      <c r="N877">
        <v>63</v>
      </c>
      <c r="O877">
        <v>2</v>
      </c>
      <c r="P877">
        <v>1</v>
      </c>
      <c r="Q877">
        <v>186</v>
      </c>
      <c r="R877">
        <v>0.58750000000000002</v>
      </c>
      <c r="S877">
        <v>0.86560000000000004</v>
      </c>
      <c r="U877">
        <v>0.27810000000000001</v>
      </c>
      <c r="V877">
        <v>184.91384074185203</v>
      </c>
      <c r="W877">
        <v>39.937000683517056</v>
      </c>
      <c r="X877">
        <v>276.74227372957444</v>
      </c>
      <c r="Y877">
        <v>-1.3577262704255872</v>
      </c>
      <c r="Z877">
        <v>-0.49061036180989215</v>
      </c>
    </row>
    <row r="878" spans="1:26" x14ac:dyDescent="0.35">
      <c r="A878">
        <v>876</v>
      </c>
      <c r="C878">
        <v>46057</v>
      </c>
      <c r="D878" t="s">
        <v>16</v>
      </c>
      <c r="E878" t="s">
        <v>343</v>
      </c>
      <c r="F878" t="s">
        <v>212</v>
      </c>
      <c r="G878" t="s">
        <v>301</v>
      </c>
      <c r="H878" t="s">
        <v>302</v>
      </c>
      <c r="I878" t="s">
        <v>22</v>
      </c>
      <c r="J878" t="s">
        <v>23</v>
      </c>
      <c r="K878" t="s">
        <v>303</v>
      </c>
      <c r="L878" t="s">
        <v>342</v>
      </c>
      <c r="M878">
        <v>29</v>
      </c>
      <c r="N878">
        <v>63</v>
      </c>
      <c r="O878">
        <v>2</v>
      </c>
      <c r="P878">
        <v>2</v>
      </c>
      <c r="Q878">
        <v>187</v>
      </c>
      <c r="R878">
        <v>0.57120000000000004</v>
      </c>
      <c r="S878">
        <v>0.82979999999999998</v>
      </c>
      <c r="U878">
        <v>0.25859999999999994</v>
      </c>
      <c r="V878">
        <v>204.50640648370364</v>
      </c>
      <c r="W878">
        <v>44.159701446691187</v>
      </c>
      <c r="X878">
        <v>276.79760005379057</v>
      </c>
      <c r="Y878">
        <v>18.197600053790609</v>
      </c>
      <c r="Z878">
        <v>6.5743344777029273</v>
      </c>
    </row>
    <row r="879" spans="1:26" x14ac:dyDescent="0.35">
      <c r="A879">
        <v>877</v>
      </c>
      <c r="C879">
        <v>46057</v>
      </c>
      <c r="D879" t="s">
        <v>16</v>
      </c>
      <c r="E879" t="s">
        <v>343</v>
      </c>
      <c r="F879" t="s">
        <v>212</v>
      </c>
      <c r="G879" t="s">
        <v>301</v>
      </c>
      <c r="H879" t="s">
        <v>302</v>
      </c>
      <c r="I879" t="s">
        <v>22</v>
      </c>
      <c r="J879" t="s">
        <v>23</v>
      </c>
      <c r="K879" t="s">
        <v>303</v>
      </c>
      <c r="L879" t="s">
        <v>342</v>
      </c>
      <c r="M879">
        <v>29</v>
      </c>
      <c r="N879">
        <v>63</v>
      </c>
      <c r="O879">
        <v>2</v>
      </c>
      <c r="P879">
        <v>3</v>
      </c>
      <c r="Q879">
        <v>188</v>
      </c>
      <c r="R879">
        <v>0.5978</v>
      </c>
      <c r="S879">
        <v>0.90390000000000004</v>
      </c>
      <c r="U879">
        <v>0.30610000000000004</v>
      </c>
      <c r="V879">
        <v>157.19153796740682</v>
      </c>
      <c r="W879">
        <v>33.929291835773924</v>
      </c>
      <c r="X879">
        <v>276.90825270222302</v>
      </c>
      <c r="Y879">
        <v>-29.191747297776999</v>
      </c>
      <c r="Z879">
        <v>-10.542028636888888</v>
      </c>
    </row>
    <row r="880" spans="1:26" x14ac:dyDescent="0.35">
      <c r="A880">
        <v>878</v>
      </c>
      <c r="C880">
        <v>46057</v>
      </c>
      <c r="D880" t="s">
        <v>16</v>
      </c>
      <c r="E880" t="s">
        <v>345</v>
      </c>
      <c r="F880" t="s">
        <v>346</v>
      </c>
      <c r="G880" t="s">
        <v>347</v>
      </c>
      <c r="H880" t="s">
        <v>348</v>
      </c>
      <c r="I880" t="s">
        <v>22</v>
      </c>
      <c r="J880" t="s">
        <v>23</v>
      </c>
      <c r="K880" t="s">
        <v>303</v>
      </c>
      <c r="L880" t="s">
        <v>344</v>
      </c>
      <c r="M880">
        <v>29</v>
      </c>
      <c r="N880">
        <v>63</v>
      </c>
      <c r="O880">
        <v>2</v>
      </c>
      <c r="P880">
        <v>1</v>
      </c>
      <c r="Q880">
        <v>189</v>
      </c>
      <c r="R880">
        <v>0.60970000000000002</v>
      </c>
      <c r="S880">
        <v>0.93379999999999996</v>
      </c>
      <c r="U880">
        <v>0.32409999999999994</v>
      </c>
      <c r="V880">
        <v>140.030374812594</v>
      </c>
      <c r="W880">
        <v>30.170482780648715</v>
      </c>
      <c r="X880">
        <v>263.63580421773071</v>
      </c>
      <c r="Y880">
        <v>-60.464195782269258</v>
      </c>
      <c r="Z880">
        <v>-22.934743617878731</v>
      </c>
    </row>
    <row r="881" spans="1:26" x14ac:dyDescent="0.35">
      <c r="A881">
        <v>879</v>
      </c>
      <c r="C881">
        <v>46057</v>
      </c>
      <c r="D881" t="s">
        <v>16</v>
      </c>
      <c r="E881" t="s">
        <v>345</v>
      </c>
      <c r="F881" t="s">
        <v>346</v>
      </c>
      <c r="G881" t="s">
        <v>347</v>
      </c>
      <c r="H881" t="s">
        <v>348</v>
      </c>
      <c r="I881" t="s">
        <v>22</v>
      </c>
      <c r="J881" t="s">
        <v>23</v>
      </c>
      <c r="K881" t="s">
        <v>303</v>
      </c>
      <c r="L881" t="s">
        <v>344</v>
      </c>
      <c r="M881">
        <v>29</v>
      </c>
      <c r="N881">
        <v>63</v>
      </c>
      <c r="O881">
        <v>2</v>
      </c>
      <c r="P881">
        <v>2</v>
      </c>
      <c r="Q881">
        <v>190</v>
      </c>
      <c r="R881">
        <v>0.58089999999999997</v>
      </c>
      <c r="S881">
        <v>0.87549999999999994</v>
      </c>
      <c r="U881">
        <v>0.29459999999999997</v>
      </c>
      <c r="V881">
        <v>169.80879735297339</v>
      </c>
      <c r="W881">
        <v>36.564509182609306</v>
      </c>
      <c r="X881">
        <v>263.79395407029079</v>
      </c>
      <c r="Y881">
        <v>-30.806045929709171</v>
      </c>
      <c r="Z881">
        <v>-11.678071257653071</v>
      </c>
    </row>
    <row r="882" spans="1:26" x14ac:dyDescent="0.35">
      <c r="A882">
        <v>880</v>
      </c>
      <c r="C882">
        <v>46057</v>
      </c>
      <c r="D882" t="s">
        <v>16</v>
      </c>
      <c r="E882" t="s">
        <v>345</v>
      </c>
      <c r="F882" t="s">
        <v>346</v>
      </c>
      <c r="G882" t="s">
        <v>347</v>
      </c>
      <c r="H882" t="s">
        <v>348</v>
      </c>
      <c r="I882" t="s">
        <v>22</v>
      </c>
      <c r="J882" t="s">
        <v>23</v>
      </c>
      <c r="K882" t="s">
        <v>303</v>
      </c>
      <c r="L882" t="s">
        <v>344</v>
      </c>
      <c r="M882">
        <v>29</v>
      </c>
      <c r="N882">
        <v>63</v>
      </c>
      <c r="O882">
        <v>2</v>
      </c>
      <c r="P882">
        <v>3</v>
      </c>
      <c r="Q882">
        <v>191</v>
      </c>
      <c r="R882">
        <v>0.57030000000000003</v>
      </c>
      <c r="S882">
        <v>0.85429999999999995</v>
      </c>
      <c r="U882">
        <v>0.28399999999999992</v>
      </c>
      <c r="V882">
        <v>180.13037481259403</v>
      </c>
      <c r="W882">
        <v>38.81029654336389</v>
      </c>
      <c r="X882">
        <v>263.63580421773071</v>
      </c>
      <c r="Y882">
        <v>-20.364195782269235</v>
      </c>
      <c r="Z882">
        <v>-7.7243665148952676</v>
      </c>
    </row>
    <row r="883" spans="1:26" x14ac:dyDescent="0.35">
      <c r="A883">
        <v>881</v>
      </c>
      <c r="C883">
        <v>46057</v>
      </c>
      <c r="D883" t="s">
        <v>16</v>
      </c>
      <c r="E883" t="s">
        <v>350</v>
      </c>
      <c r="F883" t="s">
        <v>212</v>
      </c>
      <c r="G883" t="s">
        <v>351</v>
      </c>
      <c r="H883" t="s">
        <v>352</v>
      </c>
      <c r="I883" t="s">
        <v>22</v>
      </c>
      <c r="J883" t="s">
        <v>23</v>
      </c>
      <c r="K883" t="s">
        <v>215</v>
      </c>
      <c r="L883" t="s">
        <v>349</v>
      </c>
      <c r="M883">
        <v>29</v>
      </c>
      <c r="N883">
        <v>63</v>
      </c>
      <c r="O883">
        <v>2</v>
      </c>
      <c r="P883">
        <v>1</v>
      </c>
      <c r="Q883">
        <v>192</v>
      </c>
      <c r="R883">
        <v>0.56840000000000002</v>
      </c>
      <c r="S883">
        <v>0.82840000000000003</v>
      </c>
      <c r="U883">
        <v>0.26</v>
      </c>
      <c r="V883">
        <v>204.29425201850916</v>
      </c>
      <c r="W883">
        <v>44.001029762988523</v>
      </c>
      <c r="X883">
        <v>273.12107287331656</v>
      </c>
      <c r="Y883">
        <v>13.121072873316564</v>
      </c>
      <c r="Z883">
        <v>4.8041232173258894</v>
      </c>
    </row>
    <row r="884" spans="1:26" x14ac:dyDescent="0.35">
      <c r="A884">
        <v>882</v>
      </c>
      <c r="C884">
        <v>46057</v>
      </c>
      <c r="D884" t="s">
        <v>16</v>
      </c>
      <c r="E884" t="s">
        <v>350</v>
      </c>
      <c r="F884" t="s">
        <v>212</v>
      </c>
      <c r="G884" t="s">
        <v>351</v>
      </c>
      <c r="H884" t="s">
        <v>352</v>
      </c>
      <c r="I884" t="s">
        <v>22</v>
      </c>
      <c r="J884" t="s">
        <v>23</v>
      </c>
      <c r="K884" t="s">
        <v>215</v>
      </c>
      <c r="L884" t="s">
        <v>349</v>
      </c>
      <c r="M884">
        <v>29</v>
      </c>
      <c r="N884">
        <v>63</v>
      </c>
      <c r="O884">
        <v>2</v>
      </c>
      <c r="P884">
        <v>2</v>
      </c>
      <c r="Q884">
        <v>193</v>
      </c>
      <c r="R884">
        <v>0.55610000000000004</v>
      </c>
      <c r="S884">
        <v>0.81110000000000004</v>
      </c>
      <c r="U884">
        <v>0.255</v>
      </c>
      <c r="V884">
        <v>209.2014859341898</v>
      </c>
      <c r="W884">
        <v>45.066957403890875</v>
      </c>
      <c r="X884">
        <v>273.06650322838686</v>
      </c>
      <c r="Y884">
        <v>18.066503228386864</v>
      </c>
      <c r="Z884">
        <v>6.616155044574044</v>
      </c>
    </row>
    <row r="885" spans="1:26" x14ac:dyDescent="0.35">
      <c r="A885">
        <v>883</v>
      </c>
      <c r="C885">
        <v>46057</v>
      </c>
      <c r="D885" t="s">
        <v>16</v>
      </c>
      <c r="E885" t="s">
        <v>350</v>
      </c>
      <c r="F885" t="s">
        <v>212</v>
      </c>
      <c r="G885" t="s">
        <v>351</v>
      </c>
      <c r="H885" t="s">
        <v>352</v>
      </c>
      <c r="I885" t="s">
        <v>22</v>
      </c>
      <c r="J885" t="s">
        <v>23</v>
      </c>
      <c r="K885" t="s">
        <v>215</v>
      </c>
      <c r="L885" t="s">
        <v>349</v>
      </c>
      <c r="M885">
        <v>29</v>
      </c>
      <c r="N885">
        <v>63</v>
      </c>
      <c r="O885">
        <v>2</v>
      </c>
      <c r="P885">
        <v>3</v>
      </c>
      <c r="Q885">
        <v>194</v>
      </c>
      <c r="R885">
        <v>0.56089999999999995</v>
      </c>
      <c r="S885">
        <v>0.84599999999999997</v>
      </c>
      <c r="U885">
        <v>0.28510000000000002</v>
      </c>
      <c r="V885">
        <v>179.00871984987037</v>
      </c>
      <c r="W885">
        <v>38.570428047069662</v>
      </c>
      <c r="X885">
        <v>273.01193358345711</v>
      </c>
      <c r="Y885">
        <v>-12.088066416542915</v>
      </c>
      <c r="Z885">
        <v>-4.4276696105841502</v>
      </c>
    </row>
    <row r="886" spans="1:26" x14ac:dyDescent="0.35">
      <c r="A886">
        <v>884</v>
      </c>
      <c r="C886">
        <v>46057</v>
      </c>
      <c r="D886" t="s">
        <v>16</v>
      </c>
      <c r="E886" t="s">
        <v>354</v>
      </c>
      <c r="F886" t="s">
        <v>226</v>
      </c>
      <c r="G886" t="s">
        <v>227</v>
      </c>
      <c r="H886" t="s">
        <v>228</v>
      </c>
      <c r="I886" t="s">
        <v>22</v>
      </c>
      <c r="J886" t="s">
        <v>23</v>
      </c>
      <c r="K886" t="s">
        <v>215</v>
      </c>
      <c r="L886" t="s">
        <v>353</v>
      </c>
      <c r="M886">
        <v>29</v>
      </c>
      <c r="N886">
        <v>63</v>
      </c>
      <c r="O886">
        <v>2</v>
      </c>
      <c r="P886">
        <v>1</v>
      </c>
      <c r="Q886">
        <v>195</v>
      </c>
      <c r="R886">
        <v>0.56599999999999995</v>
      </c>
      <c r="S886">
        <v>0.75160000000000005</v>
      </c>
      <c r="U886">
        <v>0.1856000000000001</v>
      </c>
      <c r="V886">
        <v>276.25771020308684</v>
      </c>
      <c r="W886">
        <v>59.814463221066831</v>
      </c>
      <c r="X886">
        <v>208.95398139702959</v>
      </c>
      <c r="Y886">
        <v>23.353981397029486</v>
      </c>
      <c r="Z886">
        <v>11.17661469807317</v>
      </c>
    </row>
    <row r="887" spans="1:26" x14ac:dyDescent="0.35">
      <c r="A887">
        <v>885</v>
      </c>
      <c r="C887">
        <v>46057</v>
      </c>
      <c r="D887" t="s">
        <v>16</v>
      </c>
      <c r="E887" t="s">
        <v>354</v>
      </c>
      <c r="F887" t="s">
        <v>226</v>
      </c>
      <c r="G887" t="s">
        <v>227</v>
      </c>
      <c r="H887" t="s">
        <v>228</v>
      </c>
      <c r="I887" t="s">
        <v>22</v>
      </c>
      <c r="J887" t="s">
        <v>23</v>
      </c>
      <c r="K887" t="s">
        <v>215</v>
      </c>
      <c r="L887" t="s">
        <v>353</v>
      </c>
      <c r="M887">
        <v>29</v>
      </c>
      <c r="N887">
        <v>63</v>
      </c>
      <c r="O887">
        <v>2</v>
      </c>
      <c r="P887">
        <v>2</v>
      </c>
      <c r="Q887">
        <v>196</v>
      </c>
      <c r="R887">
        <v>0.55549999999999999</v>
      </c>
      <c r="S887">
        <v>0.80079999999999996</v>
      </c>
      <c r="U887">
        <v>0.24529999999999996</v>
      </c>
      <c r="V887">
        <v>216.18851938757689</v>
      </c>
      <c r="W887">
        <v>46.845914969774789</v>
      </c>
      <c r="X887">
        <v>208.78695183556113</v>
      </c>
      <c r="Y887">
        <v>-36.513048164438828</v>
      </c>
      <c r="Z887">
        <v>-17.488184890594219</v>
      </c>
    </row>
    <row r="888" spans="1:26" x14ac:dyDescent="0.35">
      <c r="A888">
        <v>886</v>
      </c>
      <c r="C888">
        <v>46057</v>
      </c>
      <c r="D888" t="s">
        <v>16</v>
      </c>
      <c r="E888" t="s">
        <v>354</v>
      </c>
      <c r="F888" t="s">
        <v>226</v>
      </c>
      <c r="G888" t="s">
        <v>227</v>
      </c>
      <c r="H888" t="s">
        <v>228</v>
      </c>
      <c r="I888" t="s">
        <v>22</v>
      </c>
      <c r="J888" t="s">
        <v>23</v>
      </c>
      <c r="K888" t="s">
        <v>215</v>
      </c>
      <c r="L888" t="s">
        <v>353</v>
      </c>
      <c r="M888">
        <v>29</v>
      </c>
      <c r="N888">
        <v>63</v>
      </c>
      <c r="O888">
        <v>2</v>
      </c>
      <c r="P888">
        <v>3</v>
      </c>
      <c r="Q888">
        <v>197</v>
      </c>
      <c r="R888">
        <v>0.56679999999999997</v>
      </c>
      <c r="S888">
        <v>0.75970000000000004</v>
      </c>
      <c r="U888">
        <v>0.19290000000000007</v>
      </c>
      <c r="V888">
        <v>269.05000790696431</v>
      </c>
      <c r="W888">
        <v>58.242234722756045</v>
      </c>
      <c r="X888">
        <v>208.9957387873967</v>
      </c>
      <c r="Y888">
        <v>16.095738787396641</v>
      </c>
      <c r="Z888">
        <v>7.7014674465541209</v>
      </c>
    </row>
    <row r="889" spans="1:26" x14ac:dyDescent="0.35">
      <c r="A889">
        <v>887</v>
      </c>
      <c r="C889">
        <v>46057</v>
      </c>
      <c r="D889" t="s">
        <v>16</v>
      </c>
      <c r="E889" t="s">
        <v>356</v>
      </c>
      <c r="F889" t="s">
        <v>219</v>
      </c>
      <c r="G889" t="s">
        <v>253</v>
      </c>
      <c r="H889" t="s">
        <v>254</v>
      </c>
      <c r="I889" t="s">
        <v>22</v>
      </c>
      <c r="J889" t="s">
        <v>23</v>
      </c>
      <c r="K889" t="s">
        <v>215</v>
      </c>
      <c r="L889" t="s">
        <v>355</v>
      </c>
      <c r="M889">
        <v>29</v>
      </c>
      <c r="N889">
        <v>63</v>
      </c>
      <c r="O889">
        <v>2</v>
      </c>
      <c r="P889">
        <v>1</v>
      </c>
      <c r="Q889">
        <v>198</v>
      </c>
      <c r="R889">
        <v>0.58430000000000004</v>
      </c>
      <c r="S889">
        <v>0.89690000000000003</v>
      </c>
      <c r="U889">
        <v>0.31259999999999999</v>
      </c>
      <c r="V889">
        <v>138.03258623688123</v>
      </c>
      <c r="W889">
        <v>30.630848822886168</v>
      </c>
      <c r="X889">
        <v>223.55805673694417</v>
      </c>
      <c r="Y889">
        <v>-89.041943263055799</v>
      </c>
      <c r="Z889">
        <v>-39.829449478454485</v>
      </c>
    </row>
    <row r="890" spans="1:26" x14ac:dyDescent="0.35">
      <c r="A890">
        <v>888</v>
      </c>
      <c r="C890">
        <v>46057</v>
      </c>
      <c r="D890" t="s">
        <v>16</v>
      </c>
      <c r="E890" t="s">
        <v>356</v>
      </c>
      <c r="F890" t="s">
        <v>219</v>
      </c>
      <c r="G890" t="s">
        <v>253</v>
      </c>
      <c r="H890" t="s">
        <v>254</v>
      </c>
      <c r="I890" t="s">
        <v>22</v>
      </c>
      <c r="J890" t="s">
        <v>23</v>
      </c>
      <c r="K890" t="s">
        <v>215</v>
      </c>
      <c r="L890" t="s">
        <v>355</v>
      </c>
      <c r="M890">
        <v>29</v>
      </c>
      <c r="N890">
        <v>63</v>
      </c>
      <c r="O890">
        <v>2</v>
      </c>
      <c r="P890">
        <v>2</v>
      </c>
      <c r="Q890">
        <v>199</v>
      </c>
      <c r="R890">
        <v>0.59809999999999997</v>
      </c>
      <c r="S890">
        <v>0.8296</v>
      </c>
      <c r="U890">
        <v>0.23150000000000004</v>
      </c>
      <c r="V890">
        <v>219.04251376311808</v>
      </c>
      <c r="W890">
        <v>48.617501583498537</v>
      </c>
      <c r="X890">
        <v>223.51337193647709</v>
      </c>
      <c r="Y890">
        <v>-7.986628063522943</v>
      </c>
      <c r="Z890">
        <v>-3.5732215904258102</v>
      </c>
    </row>
    <row r="891" spans="1:26" x14ac:dyDescent="0.35">
      <c r="A891">
        <v>889</v>
      </c>
      <c r="C891">
        <v>46057</v>
      </c>
      <c r="D891" t="s">
        <v>16</v>
      </c>
      <c r="E891" t="s">
        <v>356</v>
      </c>
      <c r="F891" t="s">
        <v>219</v>
      </c>
      <c r="G891" t="s">
        <v>253</v>
      </c>
      <c r="H891" t="s">
        <v>254</v>
      </c>
      <c r="I891" t="s">
        <v>22</v>
      </c>
      <c r="J891" t="s">
        <v>23</v>
      </c>
      <c r="K891" t="s">
        <v>215</v>
      </c>
      <c r="L891" t="s">
        <v>355</v>
      </c>
      <c r="M891">
        <v>29</v>
      </c>
      <c r="N891">
        <v>63</v>
      </c>
      <c r="O891">
        <v>2</v>
      </c>
      <c r="P891">
        <v>3</v>
      </c>
      <c r="Q891">
        <v>200</v>
      </c>
      <c r="R891">
        <v>0.58840000000000003</v>
      </c>
      <c r="S891">
        <v>0.80420000000000003</v>
      </c>
      <c r="U891">
        <v>0.21579999999999999</v>
      </c>
      <c r="V891">
        <v>234.92265871064436</v>
      </c>
      <c r="W891">
        <v>52.121333190275756</v>
      </c>
      <c r="X891">
        <v>223.6027415374113</v>
      </c>
      <c r="Y891">
        <v>7.8027415374113218</v>
      </c>
      <c r="Z891">
        <v>3.4895553980074228</v>
      </c>
    </row>
    <row r="892" spans="1:26" x14ac:dyDescent="0.35">
      <c r="A892">
        <v>890</v>
      </c>
      <c r="C892">
        <v>46057</v>
      </c>
      <c r="D892" t="s">
        <v>16</v>
      </c>
      <c r="E892" t="s">
        <v>358</v>
      </c>
      <c r="F892" t="s">
        <v>212</v>
      </c>
      <c r="G892" t="s">
        <v>359</v>
      </c>
      <c r="H892" t="s">
        <v>360</v>
      </c>
      <c r="I892" t="s">
        <v>22</v>
      </c>
      <c r="J892" t="s">
        <v>23</v>
      </c>
      <c r="K892" t="s">
        <v>215</v>
      </c>
      <c r="L892" t="s">
        <v>357</v>
      </c>
      <c r="M892">
        <v>29</v>
      </c>
      <c r="N892">
        <v>63</v>
      </c>
      <c r="O892">
        <v>2</v>
      </c>
      <c r="P892">
        <v>1</v>
      </c>
      <c r="Q892">
        <v>201</v>
      </c>
      <c r="R892">
        <v>0.58430000000000004</v>
      </c>
      <c r="S892">
        <v>0.82940000000000003</v>
      </c>
      <c r="U892">
        <v>0.24509999999999998</v>
      </c>
      <c r="V892">
        <v>214.37093790620955</v>
      </c>
      <c r="W892">
        <v>46.656038547963277</v>
      </c>
      <c r="X892">
        <v>251.26128003470455</v>
      </c>
      <c r="Y892">
        <v>6.1612800347045606</v>
      </c>
      <c r="Z892">
        <v>2.4521406696063779</v>
      </c>
    </row>
    <row r="893" spans="1:26" x14ac:dyDescent="0.35">
      <c r="A893">
        <v>891</v>
      </c>
      <c r="C893">
        <v>46057</v>
      </c>
      <c r="D893" t="s">
        <v>16</v>
      </c>
      <c r="E893" t="s">
        <v>358</v>
      </c>
      <c r="F893" t="s">
        <v>212</v>
      </c>
      <c r="G893" t="s">
        <v>359</v>
      </c>
      <c r="H893" t="s">
        <v>360</v>
      </c>
      <c r="I893" t="s">
        <v>22</v>
      </c>
      <c r="J893" t="s">
        <v>23</v>
      </c>
      <c r="K893" t="s">
        <v>215</v>
      </c>
      <c r="L893" t="s">
        <v>357</v>
      </c>
      <c r="M893">
        <v>29</v>
      </c>
      <c r="N893">
        <v>63</v>
      </c>
      <c r="O893">
        <v>2</v>
      </c>
      <c r="P893">
        <v>2</v>
      </c>
      <c r="Q893">
        <v>202</v>
      </c>
      <c r="R893">
        <v>0.57730000000000004</v>
      </c>
      <c r="S893">
        <v>0.84570000000000001</v>
      </c>
      <c r="U893">
        <v>0.26839999999999997</v>
      </c>
      <c r="V893">
        <v>191.34656534346584</v>
      </c>
      <c r="W893">
        <v>41.620009754834236</v>
      </c>
      <c r="X893">
        <v>251.41200665740081</v>
      </c>
      <c r="Y893">
        <v>-16.987993342599168</v>
      </c>
      <c r="Z893">
        <v>-6.7570334322770469</v>
      </c>
    </row>
    <row r="894" spans="1:26" x14ac:dyDescent="0.35">
      <c r="A894">
        <v>892</v>
      </c>
      <c r="C894">
        <v>46057</v>
      </c>
      <c r="D894" t="s">
        <v>16</v>
      </c>
      <c r="E894" t="s">
        <v>358</v>
      </c>
      <c r="F894" t="s">
        <v>212</v>
      </c>
      <c r="G894" t="s">
        <v>359</v>
      </c>
      <c r="H894" t="s">
        <v>360</v>
      </c>
      <c r="I894" t="s">
        <v>22</v>
      </c>
      <c r="J894" t="s">
        <v>23</v>
      </c>
      <c r="K894" t="s">
        <v>215</v>
      </c>
      <c r="L894" t="s">
        <v>357</v>
      </c>
      <c r="M894">
        <v>29</v>
      </c>
      <c r="N894">
        <v>63</v>
      </c>
      <c r="O894">
        <v>2</v>
      </c>
      <c r="P894">
        <v>3</v>
      </c>
      <c r="Q894">
        <v>203</v>
      </c>
      <c r="R894">
        <v>0.55200000000000005</v>
      </c>
      <c r="S894">
        <v>0.80889999999999995</v>
      </c>
      <c r="U894">
        <v>0.25689999999999991</v>
      </c>
      <c r="V894">
        <v>202.57093790620962</v>
      </c>
      <c r="W894">
        <v>44.087867413185513</v>
      </c>
      <c r="X894">
        <v>251.26128003470455</v>
      </c>
      <c r="Y894">
        <v>-5.6387199652953655</v>
      </c>
      <c r="Z894">
        <v>-2.2441658995435101</v>
      </c>
    </row>
    <row r="895" spans="1:26" x14ac:dyDescent="0.35">
      <c r="A895">
        <v>893</v>
      </c>
      <c r="C895">
        <v>46057</v>
      </c>
      <c r="D895" t="s">
        <v>16</v>
      </c>
      <c r="E895" t="s">
        <v>362</v>
      </c>
      <c r="F895" t="s">
        <v>219</v>
      </c>
      <c r="G895" t="s">
        <v>253</v>
      </c>
      <c r="H895" t="s">
        <v>254</v>
      </c>
      <c r="I895" t="s">
        <v>22</v>
      </c>
      <c r="J895" t="s">
        <v>23</v>
      </c>
      <c r="K895" t="s">
        <v>215</v>
      </c>
      <c r="L895" t="s">
        <v>361</v>
      </c>
      <c r="M895">
        <v>29</v>
      </c>
      <c r="N895">
        <v>63</v>
      </c>
      <c r="O895">
        <v>2</v>
      </c>
      <c r="P895">
        <v>1</v>
      </c>
      <c r="Q895">
        <v>204</v>
      </c>
      <c r="R895">
        <v>0.57410000000000005</v>
      </c>
      <c r="S895">
        <v>0.82950000000000002</v>
      </c>
      <c r="U895">
        <v>0.25539999999999996</v>
      </c>
      <c r="V895">
        <v>203.7291225264847</v>
      </c>
      <c r="W895">
        <v>44.372947071056835</v>
      </c>
      <c r="X895">
        <v>215.60017566849959</v>
      </c>
      <c r="Y895">
        <v>-39.799824331500361</v>
      </c>
      <c r="Z895">
        <v>-18.460014797341994</v>
      </c>
    </row>
    <row r="896" spans="1:26" x14ac:dyDescent="0.35">
      <c r="A896">
        <v>894</v>
      </c>
      <c r="C896">
        <v>46057</v>
      </c>
      <c r="D896" t="s">
        <v>16</v>
      </c>
      <c r="E896" t="s">
        <v>362</v>
      </c>
      <c r="F896" t="s">
        <v>219</v>
      </c>
      <c r="G896" t="s">
        <v>253</v>
      </c>
      <c r="H896" t="s">
        <v>254</v>
      </c>
      <c r="I896" t="s">
        <v>22</v>
      </c>
      <c r="J896" t="s">
        <v>23</v>
      </c>
      <c r="K896" t="s">
        <v>215</v>
      </c>
      <c r="L896" t="s">
        <v>361</v>
      </c>
      <c r="M896">
        <v>29</v>
      </c>
      <c r="N896">
        <v>63</v>
      </c>
      <c r="O896">
        <v>2</v>
      </c>
      <c r="P896">
        <v>2</v>
      </c>
      <c r="Q896">
        <v>205</v>
      </c>
      <c r="R896">
        <v>0.57669999999999999</v>
      </c>
      <c r="S896">
        <v>0.76749999999999996</v>
      </c>
      <c r="U896">
        <v>0.19079999999999997</v>
      </c>
      <c r="V896">
        <v>268.23733341762295</v>
      </c>
      <c r="W896">
        <v>58.43475331745752</v>
      </c>
      <c r="X896">
        <v>215.55707287448348</v>
      </c>
      <c r="Y896">
        <v>24.757072874483498</v>
      </c>
      <c r="Z896">
        <v>11.485159148036525</v>
      </c>
    </row>
    <row r="897" spans="1:26" x14ac:dyDescent="0.35">
      <c r="A897">
        <v>895</v>
      </c>
      <c r="C897">
        <v>46057</v>
      </c>
      <c r="D897" t="s">
        <v>16</v>
      </c>
      <c r="E897" t="s">
        <v>362</v>
      </c>
      <c r="F897" t="s">
        <v>219</v>
      </c>
      <c r="G897" t="s">
        <v>253</v>
      </c>
      <c r="H897" t="s">
        <v>254</v>
      </c>
      <c r="I897" t="s">
        <v>22</v>
      </c>
      <c r="J897" t="s">
        <v>23</v>
      </c>
      <c r="K897" t="s">
        <v>215</v>
      </c>
      <c r="L897" t="s">
        <v>361</v>
      </c>
      <c r="M897">
        <v>29</v>
      </c>
      <c r="N897">
        <v>63</v>
      </c>
      <c r="O897">
        <v>2</v>
      </c>
      <c r="P897">
        <v>3</v>
      </c>
      <c r="Q897">
        <v>206</v>
      </c>
      <c r="R897">
        <v>0.55810000000000004</v>
      </c>
      <c r="S897">
        <v>0.74480000000000002</v>
      </c>
      <c r="U897">
        <v>0.18669999999999998</v>
      </c>
      <c r="V897">
        <v>272.52091163534641</v>
      </c>
      <c r="W897">
        <v>59.344185931094337</v>
      </c>
      <c r="X897">
        <v>215.64327846251567</v>
      </c>
      <c r="Y897">
        <v>28.943278462515678</v>
      </c>
      <c r="Z897">
        <v>13.421831957329827</v>
      </c>
    </row>
    <row r="898" spans="1:26" x14ac:dyDescent="0.35">
      <c r="A898">
        <v>896</v>
      </c>
      <c r="C898">
        <v>46057</v>
      </c>
      <c r="D898" t="s">
        <v>16</v>
      </c>
      <c r="E898" t="s">
        <v>364</v>
      </c>
      <c r="F898" t="s">
        <v>219</v>
      </c>
      <c r="G898" t="s">
        <v>365</v>
      </c>
      <c r="H898" t="s">
        <v>366</v>
      </c>
      <c r="I898" t="s">
        <v>22</v>
      </c>
      <c r="J898" t="s">
        <v>23</v>
      </c>
      <c r="K898" t="s">
        <v>215</v>
      </c>
      <c r="L898" t="s">
        <v>363</v>
      </c>
      <c r="M898">
        <v>29</v>
      </c>
      <c r="N898">
        <v>63</v>
      </c>
      <c r="O898">
        <v>2</v>
      </c>
      <c r="P898">
        <v>1</v>
      </c>
      <c r="Q898">
        <v>207</v>
      </c>
      <c r="R898">
        <v>0.55510000000000004</v>
      </c>
      <c r="S898">
        <v>0.76229999999999998</v>
      </c>
      <c r="U898">
        <v>0.20719999999999994</v>
      </c>
      <c r="V898">
        <v>246.35160685562863</v>
      </c>
      <c r="W898">
        <v>54.316113785491581</v>
      </c>
      <c r="X898">
        <v>190.37826743424452</v>
      </c>
      <c r="Y898">
        <v>-16.821732565755411</v>
      </c>
      <c r="Z898">
        <v>-8.8359521244017696</v>
      </c>
    </row>
    <row r="899" spans="1:26" x14ac:dyDescent="0.35">
      <c r="A899">
        <v>897</v>
      </c>
      <c r="C899">
        <v>46057</v>
      </c>
      <c r="D899" t="s">
        <v>16</v>
      </c>
      <c r="E899" t="s">
        <v>364</v>
      </c>
      <c r="F899" t="s">
        <v>219</v>
      </c>
      <c r="G899" t="s">
        <v>365</v>
      </c>
      <c r="H899" t="s">
        <v>366</v>
      </c>
      <c r="I899" t="s">
        <v>22</v>
      </c>
      <c r="J899" t="s">
        <v>23</v>
      </c>
      <c r="K899" t="s">
        <v>215</v>
      </c>
      <c r="L899" t="s">
        <v>363</v>
      </c>
      <c r="M899">
        <v>29</v>
      </c>
      <c r="N899">
        <v>63</v>
      </c>
      <c r="O899">
        <v>2</v>
      </c>
      <c r="P899">
        <v>2</v>
      </c>
      <c r="Q899">
        <v>208</v>
      </c>
      <c r="R899">
        <v>0.56999999999999995</v>
      </c>
      <c r="S899">
        <v>0.74519999999999997</v>
      </c>
      <c r="U899">
        <v>0.17520000000000002</v>
      </c>
      <c r="V899">
        <v>278.26095092781418</v>
      </c>
      <c r="W899">
        <v>61.363817624973436</v>
      </c>
      <c r="X899">
        <v>190.34021461245075</v>
      </c>
      <c r="Y899">
        <v>15.140214612450734</v>
      </c>
      <c r="Z899">
        <v>7.9542910273992966</v>
      </c>
    </row>
    <row r="900" spans="1:26" x14ac:dyDescent="0.35">
      <c r="A900">
        <v>898</v>
      </c>
      <c r="C900">
        <v>46057</v>
      </c>
      <c r="D900" t="s">
        <v>16</v>
      </c>
      <c r="E900" t="s">
        <v>364</v>
      </c>
      <c r="F900" t="s">
        <v>219</v>
      </c>
      <c r="G900" t="s">
        <v>365</v>
      </c>
      <c r="H900" t="s">
        <v>366</v>
      </c>
      <c r="I900" t="s">
        <v>22</v>
      </c>
      <c r="J900" t="s">
        <v>23</v>
      </c>
      <c r="K900" t="s">
        <v>215</v>
      </c>
      <c r="L900" t="s">
        <v>363</v>
      </c>
      <c r="M900">
        <v>29</v>
      </c>
      <c r="N900">
        <v>63</v>
      </c>
      <c r="O900">
        <v>2</v>
      </c>
      <c r="P900">
        <v>3</v>
      </c>
      <c r="Q900">
        <v>209</v>
      </c>
      <c r="R900">
        <v>0.54500000000000004</v>
      </c>
      <c r="S900">
        <v>0.76900000000000002</v>
      </c>
      <c r="U900">
        <v>0.22399999999999998</v>
      </c>
      <c r="V900">
        <v>229.4609509278142</v>
      </c>
      <c r="W900">
        <v>50.602141255673807</v>
      </c>
      <c r="X900">
        <v>190.34021461245075</v>
      </c>
      <c r="Y900">
        <v>-33.659785387549221</v>
      </c>
      <c r="Z900">
        <v>-17.684011471818227</v>
      </c>
    </row>
    <row r="901" spans="1:26" x14ac:dyDescent="0.35">
      <c r="A901">
        <v>899</v>
      </c>
      <c r="C901">
        <v>46057</v>
      </c>
      <c r="D901" t="s">
        <v>16</v>
      </c>
      <c r="E901" t="s">
        <v>368</v>
      </c>
      <c r="F901" t="s">
        <v>219</v>
      </c>
      <c r="G901" t="s">
        <v>365</v>
      </c>
      <c r="H901" t="s">
        <v>366</v>
      </c>
      <c r="I901" t="s">
        <v>22</v>
      </c>
      <c r="J901" t="s">
        <v>23</v>
      </c>
      <c r="K901" t="s">
        <v>215</v>
      </c>
      <c r="L901" t="s">
        <v>367</v>
      </c>
      <c r="M901">
        <v>29</v>
      </c>
      <c r="N901">
        <v>63</v>
      </c>
      <c r="O901">
        <v>2</v>
      </c>
      <c r="P901">
        <v>1</v>
      </c>
      <c r="Q901">
        <v>210</v>
      </c>
      <c r="R901">
        <v>0.55479999999999996</v>
      </c>
      <c r="S901">
        <v>0.75649999999999995</v>
      </c>
      <c r="U901">
        <v>0.20169999999999999</v>
      </c>
      <c r="V901">
        <v>253.92767723227684</v>
      </c>
      <c r="W901">
        <v>55.731398666289913</v>
      </c>
      <c r="X901">
        <v>223.07585197661842</v>
      </c>
      <c r="Y901">
        <v>21.375851976618435</v>
      </c>
      <c r="Z901">
        <v>9.5823244816561015</v>
      </c>
    </row>
    <row r="902" spans="1:26" x14ac:dyDescent="0.35">
      <c r="A902">
        <v>900</v>
      </c>
      <c r="C902">
        <v>46057</v>
      </c>
      <c r="D902" t="s">
        <v>16</v>
      </c>
      <c r="E902" t="s">
        <v>368</v>
      </c>
      <c r="F902" t="s">
        <v>219</v>
      </c>
      <c r="G902" t="s">
        <v>365</v>
      </c>
      <c r="H902" t="s">
        <v>366</v>
      </c>
      <c r="I902" t="s">
        <v>22</v>
      </c>
      <c r="J902" t="s">
        <v>23</v>
      </c>
      <c r="K902" t="s">
        <v>215</v>
      </c>
      <c r="L902" t="s">
        <v>367</v>
      </c>
      <c r="M902">
        <v>29</v>
      </c>
      <c r="N902">
        <v>63</v>
      </c>
      <c r="O902">
        <v>2</v>
      </c>
      <c r="P902">
        <v>2</v>
      </c>
      <c r="Q902">
        <v>211</v>
      </c>
      <c r="R902">
        <v>0.5605</v>
      </c>
      <c r="S902">
        <v>0.79190000000000005</v>
      </c>
      <c r="U902">
        <v>0.23140000000000005</v>
      </c>
      <c r="V902">
        <v>224.22767723227676</v>
      </c>
      <c r="W902">
        <v>49.212918450071804</v>
      </c>
      <c r="X902">
        <v>223.07585197661842</v>
      </c>
      <c r="Y902">
        <v>-8.324148023381639</v>
      </c>
      <c r="Z902">
        <v>-3.7315325480653687</v>
      </c>
    </row>
    <row r="903" spans="1:26" x14ac:dyDescent="0.35">
      <c r="A903">
        <v>901</v>
      </c>
      <c r="C903">
        <v>46057</v>
      </c>
      <c r="D903" t="s">
        <v>16</v>
      </c>
      <c r="E903" t="s">
        <v>368</v>
      </c>
      <c r="F903" t="s">
        <v>219</v>
      </c>
      <c r="G903" t="s">
        <v>365</v>
      </c>
      <c r="H903" t="s">
        <v>366</v>
      </c>
      <c r="I903" t="s">
        <v>22</v>
      </c>
      <c r="J903" t="s">
        <v>23</v>
      </c>
      <c r="K903" t="s">
        <v>215</v>
      </c>
      <c r="L903" t="s">
        <v>367</v>
      </c>
      <c r="M903">
        <v>29</v>
      </c>
      <c r="N903">
        <v>63</v>
      </c>
      <c r="O903">
        <v>2</v>
      </c>
      <c r="P903">
        <v>3</v>
      </c>
      <c r="Q903">
        <v>212</v>
      </c>
      <c r="R903">
        <v>0.56579999999999997</v>
      </c>
      <c r="S903">
        <v>0.76319999999999999</v>
      </c>
      <c r="U903">
        <v>0.19740000000000002</v>
      </c>
      <c r="V903">
        <v>257.95446455354465</v>
      </c>
      <c r="W903">
        <v>56.64915678524374</v>
      </c>
      <c r="X903">
        <v>222.94208672458367</v>
      </c>
      <c r="Y903">
        <v>25.54208672458364</v>
      </c>
      <c r="Z903">
        <v>11.456825895837968</v>
      </c>
    </row>
    <row r="904" spans="1:26" x14ac:dyDescent="0.35">
      <c r="A904">
        <v>902</v>
      </c>
      <c r="C904">
        <v>46057</v>
      </c>
      <c r="D904">
        <v>0</v>
      </c>
      <c r="E904" t="s">
        <v>541</v>
      </c>
      <c r="F904" t="s">
        <v>538</v>
      </c>
      <c r="G904" t="s">
        <v>542</v>
      </c>
      <c r="H904" t="s">
        <v>541</v>
      </c>
      <c r="I904">
        <v>0</v>
      </c>
      <c r="J904">
        <v>0</v>
      </c>
      <c r="K904">
        <v>0</v>
      </c>
      <c r="L904" t="s">
        <v>543</v>
      </c>
      <c r="M904">
        <v>29</v>
      </c>
      <c r="N904">
        <v>63</v>
      </c>
      <c r="O904">
        <v>2</v>
      </c>
      <c r="P904">
        <v>1</v>
      </c>
      <c r="Q904">
        <v>213</v>
      </c>
    </row>
    <row r="905" spans="1:26" x14ac:dyDescent="0.35">
      <c r="A905">
        <v>903</v>
      </c>
      <c r="C905">
        <v>46057</v>
      </c>
      <c r="D905">
        <v>0</v>
      </c>
      <c r="E905" t="s">
        <v>541</v>
      </c>
      <c r="F905" t="s">
        <v>538</v>
      </c>
      <c r="G905" t="s">
        <v>542</v>
      </c>
      <c r="H905" t="s">
        <v>541</v>
      </c>
      <c r="I905">
        <v>0</v>
      </c>
      <c r="J905">
        <v>0</v>
      </c>
      <c r="K905">
        <v>0</v>
      </c>
      <c r="L905" t="s">
        <v>543</v>
      </c>
      <c r="M905">
        <v>29</v>
      </c>
      <c r="N905">
        <v>63</v>
      </c>
      <c r="O905">
        <v>2</v>
      </c>
      <c r="P905">
        <v>2</v>
      </c>
      <c r="Q905">
        <v>214</v>
      </c>
    </row>
    <row r="906" spans="1:26" x14ac:dyDescent="0.35">
      <c r="A906">
        <v>904</v>
      </c>
      <c r="C906">
        <v>46057</v>
      </c>
      <c r="D906" t="s">
        <v>16</v>
      </c>
      <c r="E906" t="s">
        <v>370</v>
      </c>
      <c r="F906" t="s">
        <v>219</v>
      </c>
      <c r="G906" t="s">
        <v>365</v>
      </c>
      <c r="H906" t="s">
        <v>366</v>
      </c>
      <c r="I906" t="s">
        <v>22</v>
      </c>
      <c r="J906" t="s">
        <v>23</v>
      </c>
      <c r="K906" t="s">
        <v>215</v>
      </c>
      <c r="L906" t="s">
        <v>369</v>
      </c>
      <c r="M906">
        <v>29</v>
      </c>
      <c r="N906">
        <v>63</v>
      </c>
      <c r="O906">
        <v>2</v>
      </c>
      <c r="P906">
        <v>1</v>
      </c>
      <c r="Q906">
        <v>215</v>
      </c>
      <c r="R906">
        <v>0.60240000000000005</v>
      </c>
      <c r="S906">
        <v>0.85450000000000004</v>
      </c>
      <c r="U906">
        <v>0.25209999999999999</v>
      </c>
      <c r="V906">
        <v>206.04788605697112</v>
      </c>
      <c r="W906">
        <v>44.974099483534204</v>
      </c>
      <c r="X906">
        <v>248.6229551301771</v>
      </c>
      <c r="Y906">
        <v>-3.4770448698228904</v>
      </c>
      <c r="Z906">
        <v>-1.3985212540018019</v>
      </c>
    </row>
    <row r="907" spans="1:26" x14ac:dyDescent="0.35">
      <c r="A907">
        <v>905</v>
      </c>
      <c r="C907">
        <v>46057</v>
      </c>
      <c r="D907" t="s">
        <v>16</v>
      </c>
      <c r="E907" t="s">
        <v>370</v>
      </c>
      <c r="F907" t="s">
        <v>219</v>
      </c>
      <c r="G907" t="s">
        <v>365</v>
      </c>
      <c r="H907" t="s">
        <v>366</v>
      </c>
      <c r="I907" t="s">
        <v>22</v>
      </c>
      <c r="J907" t="s">
        <v>23</v>
      </c>
      <c r="K907" t="s">
        <v>215</v>
      </c>
      <c r="L907" t="s">
        <v>369</v>
      </c>
      <c r="M907">
        <v>29</v>
      </c>
      <c r="N907">
        <v>63</v>
      </c>
      <c r="O907">
        <v>2</v>
      </c>
      <c r="P907">
        <v>2</v>
      </c>
      <c r="Q907">
        <v>216</v>
      </c>
      <c r="R907">
        <v>0.58020000000000005</v>
      </c>
      <c r="S907">
        <v>0.76629999999999998</v>
      </c>
      <c r="U907">
        <v>0.18609999999999993</v>
      </c>
      <c r="V907">
        <v>272.04788605697115</v>
      </c>
      <c r="W907">
        <v>59.37992825817421</v>
      </c>
      <c r="X907">
        <v>248.6229551301771</v>
      </c>
      <c r="Y907">
        <v>62.522955130177166</v>
      </c>
      <c r="Z907">
        <v>25.147700097700397</v>
      </c>
    </row>
    <row r="908" spans="1:26" x14ac:dyDescent="0.35">
      <c r="A908">
        <v>906</v>
      </c>
      <c r="C908">
        <v>46057</v>
      </c>
      <c r="D908" t="s">
        <v>16</v>
      </c>
      <c r="E908" t="s">
        <v>370</v>
      </c>
      <c r="F908" t="s">
        <v>219</v>
      </c>
      <c r="G908" t="s">
        <v>365</v>
      </c>
      <c r="H908" t="s">
        <v>366</v>
      </c>
      <c r="I908" t="s">
        <v>22</v>
      </c>
      <c r="J908" t="s">
        <v>23</v>
      </c>
      <c r="K908" t="s">
        <v>215</v>
      </c>
      <c r="L908" t="s">
        <v>369</v>
      </c>
      <c r="M908">
        <v>29</v>
      </c>
      <c r="N908">
        <v>63</v>
      </c>
      <c r="O908">
        <v>2</v>
      </c>
      <c r="P908">
        <v>3</v>
      </c>
      <c r="Q908">
        <v>217</v>
      </c>
      <c r="R908">
        <v>0.57979999999999998</v>
      </c>
      <c r="S908">
        <v>0.80630000000000002</v>
      </c>
      <c r="U908">
        <v>0.22650000000000003</v>
      </c>
      <c r="V908">
        <v>231.73946068940305</v>
      </c>
      <c r="W908">
        <v>50.571694620266925</v>
      </c>
      <c r="X908">
        <v>248.6726499043387</v>
      </c>
      <c r="Y908">
        <v>22.17264990433867</v>
      </c>
      <c r="Z908">
        <v>8.9164007030400061</v>
      </c>
    </row>
    <row r="909" spans="1:26" x14ac:dyDescent="0.35">
      <c r="A909">
        <v>907</v>
      </c>
      <c r="C909">
        <v>46057</v>
      </c>
      <c r="D909" t="s">
        <v>16</v>
      </c>
      <c r="E909" t="s">
        <v>372</v>
      </c>
      <c r="F909" t="s">
        <v>219</v>
      </c>
      <c r="G909" t="s">
        <v>220</v>
      </c>
      <c r="H909" t="s">
        <v>221</v>
      </c>
      <c r="I909" t="s">
        <v>22</v>
      </c>
      <c r="J909" t="s">
        <v>23</v>
      </c>
      <c r="K909" t="s">
        <v>215</v>
      </c>
      <c r="L909" t="s">
        <v>371</v>
      </c>
      <c r="M909">
        <v>29</v>
      </c>
      <c r="N909">
        <v>63</v>
      </c>
      <c r="O909">
        <v>2</v>
      </c>
      <c r="P909">
        <v>1</v>
      </c>
      <c r="Q909">
        <v>218</v>
      </c>
      <c r="R909">
        <v>0.58120000000000005</v>
      </c>
      <c r="S909">
        <v>0.86519999999999997</v>
      </c>
      <c r="U909">
        <v>0.28399999999999992</v>
      </c>
      <c r="V909">
        <v>163.89214433130564</v>
      </c>
      <c r="W909">
        <v>36.591877398518221</v>
      </c>
      <c r="X909">
        <v>200.41461681616471</v>
      </c>
      <c r="Y909">
        <v>-83.585383183835233</v>
      </c>
      <c r="Z909">
        <v>-41.706231068218941</v>
      </c>
    </row>
    <row r="910" spans="1:26" x14ac:dyDescent="0.35">
      <c r="A910">
        <v>908</v>
      </c>
      <c r="C910">
        <v>46057</v>
      </c>
      <c r="D910" t="s">
        <v>16</v>
      </c>
      <c r="E910" t="s">
        <v>372</v>
      </c>
      <c r="F910" t="s">
        <v>219</v>
      </c>
      <c r="G910" t="s">
        <v>220</v>
      </c>
      <c r="H910" t="s">
        <v>221</v>
      </c>
      <c r="I910" t="s">
        <v>22</v>
      </c>
      <c r="J910" t="s">
        <v>23</v>
      </c>
      <c r="K910" t="s">
        <v>215</v>
      </c>
      <c r="L910" t="s">
        <v>371</v>
      </c>
      <c r="M910">
        <v>29</v>
      </c>
      <c r="N910">
        <v>63</v>
      </c>
      <c r="O910">
        <v>2</v>
      </c>
      <c r="P910">
        <v>2</v>
      </c>
      <c r="Q910">
        <v>219</v>
      </c>
      <c r="R910">
        <v>0.54549999999999998</v>
      </c>
      <c r="S910">
        <v>0.74570000000000003</v>
      </c>
      <c r="U910">
        <v>0.20020000000000004</v>
      </c>
      <c r="V910">
        <v>247.78168694312706</v>
      </c>
      <c r="W910">
        <v>55.310673218341591</v>
      </c>
      <c r="X910">
        <v>200.45468371276928</v>
      </c>
      <c r="Y910">
        <v>0.25468371276923563</v>
      </c>
      <c r="Z910">
        <v>0.12705301170920552</v>
      </c>
    </row>
    <row r="911" spans="1:26" x14ac:dyDescent="0.35">
      <c r="A911">
        <v>909</v>
      </c>
      <c r="C911">
        <v>46057</v>
      </c>
      <c r="D911" t="s">
        <v>16</v>
      </c>
      <c r="E911" t="s">
        <v>372</v>
      </c>
      <c r="F911" t="s">
        <v>219</v>
      </c>
      <c r="G911" t="s">
        <v>220</v>
      </c>
      <c r="H911" t="s">
        <v>221</v>
      </c>
      <c r="I911" t="s">
        <v>22</v>
      </c>
      <c r="J911" t="s">
        <v>23</v>
      </c>
      <c r="K911" t="s">
        <v>215</v>
      </c>
      <c r="L911" t="s">
        <v>371</v>
      </c>
      <c r="M911">
        <v>29</v>
      </c>
      <c r="N911">
        <v>63</v>
      </c>
      <c r="O911">
        <v>2</v>
      </c>
      <c r="P911">
        <v>3</v>
      </c>
      <c r="Q911">
        <v>220</v>
      </c>
      <c r="R911">
        <v>0.5746</v>
      </c>
      <c r="S911">
        <v>0.84030000000000005</v>
      </c>
      <c r="U911">
        <v>0.26570000000000005</v>
      </c>
      <c r="V911">
        <v>182.37122955494868</v>
      </c>
      <c r="W911">
        <v>40.701392440681978</v>
      </c>
      <c r="X911">
        <v>200.49475060937394</v>
      </c>
      <c r="Y911">
        <v>-65.205249390626108</v>
      </c>
      <c r="Z911">
        <v>-32.52217287108239</v>
      </c>
    </row>
    <row r="912" spans="1:26" x14ac:dyDescent="0.35">
      <c r="A912">
        <v>910</v>
      </c>
      <c r="C912">
        <v>46057</v>
      </c>
      <c r="D912" t="s">
        <v>16</v>
      </c>
      <c r="E912" t="s">
        <v>374</v>
      </c>
      <c r="F912" t="s">
        <v>219</v>
      </c>
      <c r="G912" t="s">
        <v>253</v>
      </c>
      <c r="H912" t="s">
        <v>254</v>
      </c>
      <c r="I912" t="s">
        <v>22</v>
      </c>
      <c r="J912" t="s">
        <v>23</v>
      </c>
      <c r="K912" t="s">
        <v>215</v>
      </c>
      <c r="L912" t="s">
        <v>373</v>
      </c>
      <c r="M912">
        <v>29</v>
      </c>
      <c r="N912">
        <v>63</v>
      </c>
      <c r="O912">
        <v>2</v>
      </c>
      <c r="P912">
        <v>1</v>
      </c>
      <c r="Q912">
        <v>221</v>
      </c>
      <c r="R912">
        <v>0.57069999999999999</v>
      </c>
      <c r="S912">
        <v>0.83689999999999998</v>
      </c>
      <c r="U912">
        <v>0.26619999999999999</v>
      </c>
      <c r="V912">
        <v>186.57384643035391</v>
      </c>
      <c r="W912">
        <v>41.206851478125927</v>
      </c>
      <c r="X912">
        <v>220.21064359075234</v>
      </c>
      <c r="Y912">
        <v>-45.989356409247648</v>
      </c>
      <c r="Z912">
        <v>-20.884256845784428</v>
      </c>
    </row>
    <row r="913" spans="1:26" x14ac:dyDescent="0.35">
      <c r="A913">
        <v>911</v>
      </c>
      <c r="C913">
        <v>46057</v>
      </c>
      <c r="D913" t="s">
        <v>16</v>
      </c>
      <c r="E913" t="s">
        <v>374</v>
      </c>
      <c r="F913" t="s">
        <v>219</v>
      </c>
      <c r="G913" t="s">
        <v>253</v>
      </c>
      <c r="H913" t="s">
        <v>254</v>
      </c>
      <c r="I913" t="s">
        <v>22</v>
      </c>
      <c r="J913" t="s">
        <v>23</v>
      </c>
      <c r="K913" t="s">
        <v>215</v>
      </c>
      <c r="L913" t="s">
        <v>373</v>
      </c>
      <c r="M913">
        <v>29</v>
      </c>
      <c r="N913">
        <v>63</v>
      </c>
      <c r="O913">
        <v>2</v>
      </c>
      <c r="P913">
        <v>2</v>
      </c>
      <c r="Q913">
        <v>222</v>
      </c>
      <c r="R913">
        <v>0.59150000000000003</v>
      </c>
      <c r="S913">
        <v>0.8</v>
      </c>
      <c r="U913">
        <v>0.20850000000000002</v>
      </c>
      <c r="V913">
        <v>244.1833640469745</v>
      </c>
      <c r="W913">
        <v>53.941316036883521</v>
      </c>
      <c r="X913">
        <v>220.1666366675727</v>
      </c>
      <c r="Y913">
        <v>11.666636667572675</v>
      </c>
      <c r="Z913">
        <v>5.2990029934408307</v>
      </c>
    </row>
    <row r="914" spans="1:26" x14ac:dyDescent="0.35">
      <c r="A914">
        <v>912</v>
      </c>
      <c r="C914">
        <v>46057</v>
      </c>
      <c r="D914" t="s">
        <v>16</v>
      </c>
      <c r="E914" t="s">
        <v>374</v>
      </c>
      <c r="F914" t="s">
        <v>219</v>
      </c>
      <c r="G914" t="s">
        <v>253</v>
      </c>
      <c r="H914" t="s">
        <v>254</v>
      </c>
      <c r="I914" t="s">
        <v>22</v>
      </c>
      <c r="J914" t="s">
        <v>23</v>
      </c>
      <c r="K914" t="s">
        <v>215</v>
      </c>
      <c r="L914" t="s">
        <v>373</v>
      </c>
      <c r="M914">
        <v>29</v>
      </c>
      <c r="N914">
        <v>63</v>
      </c>
      <c r="O914">
        <v>2</v>
      </c>
      <c r="P914">
        <v>3</v>
      </c>
      <c r="Q914">
        <v>223</v>
      </c>
      <c r="R914">
        <v>0.5544</v>
      </c>
      <c r="S914">
        <v>0.7681</v>
      </c>
      <c r="U914">
        <v>0.2137</v>
      </c>
      <c r="V914">
        <v>238.7119168968365</v>
      </c>
      <c r="W914">
        <v>52.764285815943701</v>
      </c>
      <c r="X914">
        <v>220.03461589803391</v>
      </c>
      <c r="Y914">
        <v>6.3346158980339169</v>
      </c>
      <c r="Z914">
        <v>2.8789178794346784</v>
      </c>
    </row>
    <row r="915" spans="1:26" x14ac:dyDescent="0.35">
      <c r="A915">
        <v>913</v>
      </c>
      <c r="C915">
        <v>46057</v>
      </c>
      <c r="D915" t="s">
        <v>16</v>
      </c>
      <c r="E915" t="s">
        <v>376</v>
      </c>
      <c r="F915" t="s">
        <v>219</v>
      </c>
      <c r="G915" t="s">
        <v>253</v>
      </c>
      <c r="H915" t="s">
        <v>254</v>
      </c>
      <c r="I915" t="s">
        <v>22</v>
      </c>
      <c r="J915" t="s">
        <v>23</v>
      </c>
      <c r="K915" t="s">
        <v>215</v>
      </c>
      <c r="L915" t="s">
        <v>375</v>
      </c>
      <c r="M915">
        <v>29</v>
      </c>
      <c r="N915">
        <v>63</v>
      </c>
      <c r="O915">
        <v>2</v>
      </c>
      <c r="P915">
        <v>1</v>
      </c>
      <c r="Q915">
        <v>224</v>
      </c>
      <c r="R915">
        <v>0.56769999999999998</v>
      </c>
      <c r="S915">
        <v>0.86619999999999997</v>
      </c>
      <c r="U915">
        <v>0.29849999999999999</v>
      </c>
      <c r="V915">
        <v>149.32109709018931</v>
      </c>
      <c r="W915">
        <v>33.343917484110101</v>
      </c>
      <c r="X915">
        <v>191.11440323038084</v>
      </c>
      <c r="Y915">
        <v>-107.38559676961916</v>
      </c>
      <c r="Z915">
        <v>-56.189169918381332</v>
      </c>
    </row>
    <row r="916" spans="1:26" x14ac:dyDescent="0.35">
      <c r="A916">
        <v>914</v>
      </c>
      <c r="C916">
        <v>46057</v>
      </c>
      <c r="D916" t="s">
        <v>16</v>
      </c>
      <c r="E916" t="s">
        <v>376</v>
      </c>
      <c r="F916" t="s">
        <v>219</v>
      </c>
      <c r="G916" t="s">
        <v>253</v>
      </c>
      <c r="H916" t="s">
        <v>254</v>
      </c>
      <c r="I916" t="s">
        <v>22</v>
      </c>
      <c r="J916" t="s">
        <v>23</v>
      </c>
      <c r="K916" t="s">
        <v>215</v>
      </c>
      <c r="L916" t="s">
        <v>375</v>
      </c>
      <c r="M916">
        <v>29</v>
      </c>
      <c r="N916">
        <v>63</v>
      </c>
      <c r="O916">
        <v>2</v>
      </c>
      <c r="P916">
        <v>2</v>
      </c>
      <c r="Q916">
        <v>225</v>
      </c>
      <c r="R916">
        <v>0.57320000000000004</v>
      </c>
      <c r="S916">
        <v>0.74919999999999998</v>
      </c>
      <c r="U916">
        <v>0.17599999999999993</v>
      </c>
      <c r="V916">
        <v>271.73160446487157</v>
      </c>
      <c r="W916">
        <v>60.690735644995399</v>
      </c>
      <c r="X916">
        <v>191.07621090359618</v>
      </c>
      <c r="Y916">
        <v>15.076210903596234</v>
      </c>
      <c r="Z916">
        <v>7.890155887172499</v>
      </c>
    </row>
    <row r="917" spans="1:26" x14ac:dyDescent="0.35">
      <c r="A917">
        <v>915</v>
      </c>
      <c r="C917">
        <v>46057</v>
      </c>
      <c r="D917" t="s">
        <v>16</v>
      </c>
      <c r="E917" t="s">
        <v>376</v>
      </c>
      <c r="F917" t="s">
        <v>219</v>
      </c>
      <c r="G917" t="s">
        <v>253</v>
      </c>
      <c r="H917" t="s">
        <v>254</v>
      </c>
      <c r="I917" t="s">
        <v>22</v>
      </c>
      <c r="J917" t="s">
        <v>23</v>
      </c>
      <c r="K917" t="s">
        <v>215</v>
      </c>
      <c r="L917" t="s">
        <v>375</v>
      </c>
      <c r="M917">
        <v>29</v>
      </c>
      <c r="N917">
        <v>63</v>
      </c>
      <c r="O917">
        <v>2</v>
      </c>
      <c r="P917">
        <v>3</v>
      </c>
      <c r="Q917">
        <v>226</v>
      </c>
      <c r="R917">
        <v>0.55649999999999999</v>
      </c>
      <c r="S917">
        <v>0.74180000000000001</v>
      </c>
      <c r="U917">
        <v>0.18530000000000002</v>
      </c>
      <c r="V917">
        <v>262.34211183955381</v>
      </c>
      <c r="W917">
        <v>58.605324410046521</v>
      </c>
      <c r="X917">
        <v>191.03801857681157</v>
      </c>
      <c r="Y917">
        <v>5.7380185768115552</v>
      </c>
      <c r="Z917">
        <v>3.0036003406852982</v>
      </c>
    </row>
    <row r="918" spans="1:26" x14ac:dyDescent="0.35">
      <c r="A918">
        <v>916</v>
      </c>
      <c r="C918">
        <v>46057</v>
      </c>
      <c r="D918" t="s">
        <v>16</v>
      </c>
      <c r="E918" t="s">
        <v>378</v>
      </c>
      <c r="F918" t="s">
        <v>212</v>
      </c>
      <c r="G918" t="s">
        <v>379</v>
      </c>
      <c r="H918" t="s">
        <v>380</v>
      </c>
      <c r="I918" t="s">
        <v>22</v>
      </c>
      <c r="J918" t="s">
        <v>23</v>
      </c>
      <c r="K918" t="s">
        <v>215</v>
      </c>
      <c r="L918" t="s">
        <v>377</v>
      </c>
      <c r="M918">
        <v>29</v>
      </c>
      <c r="N918">
        <v>63</v>
      </c>
      <c r="O918">
        <v>2</v>
      </c>
      <c r="P918">
        <v>1</v>
      </c>
      <c r="Q918">
        <v>227</v>
      </c>
      <c r="R918">
        <v>0.58819999999999995</v>
      </c>
      <c r="S918">
        <v>0.94440000000000002</v>
      </c>
      <c r="U918">
        <v>0.35620000000000007</v>
      </c>
      <c r="V918">
        <v>112.9500287469989</v>
      </c>
      <c r="W918">
        <v>24.075460263460851</v>
      </c>
      <c r="X918">
        <v>306.90919583639459</v>
      </c>
      <c r="Y918">
        <v>-49.290804163605458</v>
      </c>
      <c r="Z918">
        <v>-16.060386861096571</v>
      </c>
    </row>
    <row r="919" spans="1:26" x14ac:dyDescent="0.35">
      <c r="A919">
        <v>917</v>
      </c>
      <c r="C919">
        <v>46057</v>
      </c>
      <c r="D919" t="s">
        <v>16</v>
      </c>
      <c r="E919" t="s">
        <v>378</v>
      </c>
      <c r="F919" t="s">
        <v>212</v>
      </c>
      <c r="G919" t="s">
        <v>379</v>
      </c>
      <c r="H919" t="s">
        <v>380</v>
      </c>
      <c r="I919" t="s">
        <v>22</v>
      </c>
      <c r="J919" t="s">
        <v>23</v>
      </c>
      <c r="K919" t="s">
        <v>215</v>
      </c>
      <c r="L919" t="s">
        <v>377</v>
      </c>
      <c r="M919">
        <v>29</v>
      </c>
      <c r="N919">
        <v>63</v>
      </c>
      <c r="O919">
        <v>2</v>
      </c>
      <c r="P919">
        <v>2</v>
      </c>
      <c r="Q919">
        <v>228</v>
      </c>
      <c r="R919">
        <v>0.60029999999999994</v>
      </c>
      <c r="S919">
        <v>1.0296000000000001</v>
      </c>
      <c r="U919">
        <v>0.42930000000000013</v>
      </c>
      <c r="V919">
        <v>40.037613724506514</v>
      </c>
      <c r="W919">
        <v>8.5306637596721426</v>
      </c>
      <c r="X919">
        <v>307.0319104288921</v>
      </c>
      <c r="Y919">
        <v>-122.26808957110802</v>
      </c>
      <c r="Z919">
        <v>-39.822600002817957</v>
      </c>
    </row>
    <row r="920" spans="1:26" x14ac:dyDescent="0.35">
      <c r="A920">
        <v>918</v>
      </c>
      <c r="C920">
        <v>46057</v>
      </c>
      <c r="D920" t="s">
        <v>16</v>
      </c>
      <c r="E920" t="s">
        <v>378</v>
      </c>
      <c r="F920" t="s">
        <v>212</v>
      </c>
      <c r="G920" t="s">
        <v>379</v>
      </c>
      <c r="H920" t="s">
        <v>380</v>
      </c>
      <c r="I920" t="s">
        <v>22</v>
      </c>
      <c r="J920" t="s">
        <v>23</v>
      </c>
      <c r="K920" t="s">
        <v>215</v>
      </c>
      <c r="L920" t="s">
        <v>377</v>
      </c>
      <c r="M920">
        <v>29</v>
      </c>
      <c r="N920">
        <v>63</v>
      </c>
      <c r="O920">
        <v>2</v>
      </c>
      <c r="P920">
        <v>3</v>
      </c>
      <c r="Q920">
        <v>229</v>
      </c>
      <c r="R920">
        <v>0.58450000000000002</v>
      </c>
      <c r="S920">
        <v>1.0222</v>
      </c>
      <c r="U920">
        <v>0.43769999999999998</v>
      </c>
      <c r="V920">
        <v>31.356236258245076</v>
      </c>
      <c r="W920">
        <v>6.6849630885157847</v>
      </c>
      <c r="X920">
        <v>306.8478385401458</v>
      </c>
      <c r="Y920">
        <v>-130.85216145985419</v>
      </c>
      <c r="Z920">
        <v>-42.64398996010344</v>
      </c>
    </row>
    <row r="921" spans="1:26" x14ac:dyDescent="0.35">
      <c r="A921">
        <v>919</v>
      </c>
      <c r="C921">
        <v>46057</v>
      </c>
      <c r="D921" t="s">
        <v>120</v>
      </c>
      <c r="E921" t="s">
        <v>122</v>
      </c>
      <c r="F921" t="s">
        <v>123</v>
      </c>
      <c r="G921" t="s">
        <v>545</v>
      </c>
      <c r="H921" t="s">
        <v>125</v>
      </c>
      <c r="I921" t="s">
        <v>108</v>
      </c>
      <c r="J921" t="s">
        <v>109</v>
      </c>
      <c r="K921" t="s">
        <v>110</v>
      </c>
      <c r="L921" t="s">
        <v>121</v>
      </c>
      <c r="M921">
        <v>29</v>
      </c>
      <c r="N921">
        <v>63</v>
      </c>
      <c r="O921">
        <v>2</v>
      </c>
      <c r="P921">
        <v>1</v>
      </c>
      <c r="Q921">
        <v>230</v>
      </c>
      <c r="R921">
        <v>0.5847</v>
      </c>
      <c r="S921">
        <v>1.0083</v>
      </c>
      <c r="U921">
        <v>0.42359999999999998</v>
      </c>
      <c r="V921">
        <v>44.243550000000027</v>
      </c>
      <c r="W921">
        <v>9.4569113969830365</v>
      </c>
      <c r="X921">
        <v>356.02894154999996</v>
      </c>
      <c r="Y921">
        <v>-67.57105845000001</v>
      </c>
      <c r="Z921">
        <v>-18.979091462571581</v>
      </c>
    </row>
    <row r="922" spans="1:26" x14ac:dyDescent="0.35">
      <c r="A922">
        <v>920</v>
      </c>
      <c r="C922">
        <v>46057</v>
      </c>
      <c r="D922" t="s">
        <v>120</v>
      </c>
      <c r="E922" t="s">
        <v>122</v>
      </c>
      <c r="F922" t="s">
        <v>123</v>
      </c>
      <c r="G922" t="s">
        <v>545</v>
      </c>
      <c r="H922" t="s">
        <v>125</v>
      </c>
      <c r="I922" t="s">
        <v>108</v>
      </c>
      <c r="J922" t="s">
        <v>109</v>
      </c>
      <c r="K922" t="s">
        <v>110</v>
      </c>
      <c r="L922" t="s">
        <v>121</v>
      </c>
      <c r="M922">
        <v>29</v>
      </c>
      <c r="N922">
        <v>63</v>
      </c>
      <c r="O922">
        <v>2</v>
      </c>
      <c r="P922">
        <v>2</v>
      </c>
      <c r="Q922">
        <v>231</v>
      </c>
      <c r="R922">
        <v>0.58030000000000004</v>
      </c>
      <c r="S922">
        <v>0.91920000000000002</v>
      </c>
      <c r="U922">
        <v>0.33889999999999998</v>
      </c>
      <c r="V922">
        <v>129.22419999999994</v>
      </c>
      <c r="W922">
        <v>27.604682688910327</v>
      </c>
      <c r="X922">
        <v>356.2425161999999</v>
      </c>
      <c r="Y922">
        <v>17.34251619999992</v>
      </c>
      <c r="Z922">
        <v>4.8681769893696725</v>
      </c>
    </row>
    <row r="923" spans="1:26" x14ac:dyDescent="0.35">
      <c r="A923">
        <v>921</v>
      </c>
      <c r="C923">
        <v>46057</v>
      </c>
      <c r="D923" t="s">
        <v>120</v>
      </c>
      <c r="E923" t="s">
        <v>122</v>
      </c>
      <c r="F923" t="s">
        <v>123</v>
      </c>
      <c r="G923" t="s">
        <v>545</v>
      </c>
      <c r="H923" t="s">
        <v>125</v>
      </c>
      <c r="I923" t="s">
        <v>108</v>
      </c>
      <c r="J923" t="s">
        <v>109</v>
      </c>
      <c r="K923" t="s">
        <v>110</v>
      </c>
      <c r="L923" t="s">
        <v>121</v>
      </c>
      <c r="M923">
        <v>29</v>
      </c>
      <c r="N923">
        <v>63</v>
      </c>
      <c r="O923">
        <v>2</v>
      </c>
      <c r="P923">
        <v>3</v>
      </c>
      <c r="Q923">
        <v>232</v>
      </c>
      <c r="R923">
        <v>0.5605</v>
      </c>
      <c r="S923">
        <v>0.8881</v>
      </c>
      <c r="U923">
        <v>0.3276</v>
      </c>
      <c r="V923">
        <v>140.43064999999996</v>
      </c>
      <c r="W923">
        <v>30.004584101489929</v>
      </c>
      <c r="X923">
        <v>356.17132464999997</v>
      </c>
      <c r="Y923">
        <v>28.571324649999951</v>
      </c>
      <c r="Z923">
        <v>8.0217925118133042</v>
      </c>
    </row>
    <row r="924" spans="1:26" x14ac:dyDescent="0.35">
      <c r="A924">
        <v>922</v>
      </c>
      <c r="C924">
        <v>46057</v>
      </c>
      <c r="D924">
        <v>0</v>
      </c>
      <c r="E924" t="s">
        <v>537</v>
      </c>
      <c r="F924" t="s">
        <v>538</v>
      </c>
      <c r="G924">
        <v>24</v>
      </c>
      <c r="H924" t="s">
        <v>537</v>
      </c>
      <c r="I924">
        <v>0</v>
      </c>
      <c r="J924">
        <v>0</v>
      </c>
      <c r="K924">
        <v>0</v>
      </c>
      <c r="L924" t="s">
        <v>539</v>
      </c>
      <c r="M924">
        <v>29</v>
      </c>
      <c r="N924">
        <v>63</v>
      </c>
      <c r="O924">
        <v>2</v>
      </c>
      <c r="P924">
        <v>1</v>
      </c>
      <c r="Q924">
        <v>233</v>
      </c>
    </row>
    <row r="925" spans="1:26" x14ac:dyDescent="0.35">
      <c r="A925">
        <v>923</v>
      </c>
      <c r="C925">
        <v>46057</v>
      </c>
      <c r="D925">
        <v>0</v>
      </c>
      <c r="E925" t="s">
        <v>537</v>
      </c>
      <c r="F925" t="s">
        <v>538</v>
      </c>
      <c r="G925">
        <v>24</v>
      </c>
      <c r="H925" t="s">
        <v>537</v>
      </c>
      <c r="I925">
        <v>0</v>
      </c>
      <c r="J925">
        <v>0</v>
      </c>
      <c r="K925">
        <v>0</v>
      </c>
      <c r="L925" t="s">
        <v>539</v>
      </c>
      <c r="M925">
        <v>29</v>
      </c>
      <c r="N925">
        <v>63</v>
      </c>
      <c r="O925">
        <v>2</v>
      </c>
      <c r="P925">
        <v>2</v>
      </c>
      <c r="Q925">
        <v>234</v>
      </c>
    </row>
    <row r="926" spans="1:26" x14ac:dyDescent="0.35">
      <c r="A926">
        <v>924</v>
      </c>
      <c r="C926">
        <v>46078</v>
      </c>
      <c r="D926">
        <v>0</v>
      </c>
      <c r="E926" t="s">
        <v>537</v>
      </c>
      <c r="F926" t="s">
        <v>538</v>
      </c>
      <c r="G926">
        <v>24</v>
      </c>
      <c r="H926" t="s">
        <v>537</v>
      </c>
      <c r="I926">
        <v>0</v>
      </c>
      <c r="J926">
        <v>0</v>
      </c>
      <c r="K926">
        <v>0</v>
      </c>
      <c r="L926" t="s">
        <v>539</v>
      </c>
      <c r="M926">
        <v>29</v>
      </c>
      <c r="N926">
        <v>70</v>
      </c>
      <c r="O926">
        <v>3</v>
      </c>
      <c r="P926">
        <v>1</v>
      </c>
      <c r="Q926">
        <v>199</v>
      </c>
    </row>
    <row r="927" spans="1:26" x14ac:dyDescent="0.35">
      <c r="A927">
        <v>925</v>
      </c>
      <c r="C927">
        <v>46078</v>
      </c>
      <c r="D927">
        <v>0</v>
      </c>
      <c r="E927" t="s">
        <v>537</v>
      </c>
      <c r="F927" t="s">
        <v>538</v>
      </c>
      <c r="G927">
        <v>24</v>
      </c>
      <c r="H927" t="s">
        <v>537</v>
      </c>
      <c r="I927">
        <v>0</v>
      </c>
      <c r="J927">
        <v>0</v>
      </c>
      <c r="K927">
        <v>0</v>
      </c>
      <c r="L927" t="s">
        <v>539</v>
      </c>
      <c r="M927">
        <v>29</v>
      </c>
      <c r="N927">
        <v>70</v>
      </c>
      <c r="O927">
        <v>3</v>
      </c>
      <c r="P927">
        <v>2</v>
      </c>
      <c r="Q927">
        <v>200</v>
      </c>
    </row>
    <row r="928" spans="1:26" x14ac:dyDescent="0.35">
      <c r="A928">
        <v>926</v>
      </c>
      <c r="C928">
        <v>46078</v>
      </c>
      <c r="D928" t="s">
        <v>16</v>
      </c>
      <c r="E928" t="s">
        <v>322</v>
      </c>
      <c r="F928" t="s">
        <v>290</v>
      </c>
      <c r="G928" t="s">
        <v>318</v>
      </c>
      <c r="H928" t="s">
        <v>319</v>
      </c>
      <c r="I928" t="s">
        <v>22</v>
      </c>
      <c r="J928" t="s">
        <v>23</v>
      </c>
      <c r="K928" t="s">
        <v>215</v>
      </c>
      <c r="L928" t="s">
        <v>321</v>
      </c>
      <c r="M928">
        <v>29</v>
      </c>
      <c r="N928">
        <v>70</v>
      </c>
      <c r="O928">
        <v>3</v>
      </c>
      <c r="P928">
        <v>1</v>
      </c>
      <c r="Q928">
        <v>201</v>
      </c>
      <c r="R928">
        <v>0.57169999999999999</v>
      </c>
      <c r="S928">
        <v>0.82540000000000002</v>
      </c>
      <c r="U928">
        <v>0.25370000000000004</v>
      </c>
      <c r="V928">
        <v>194.43051798460419</v>
      </c>
      <c r="W928">
        <v>43.387029042124723</v>
      </c>
      <c r="X928">
        <v>236.23680882575525</v>
      </c>
      <c r="Y928">
        <v>-17.463191174244798</v>
      </c>
      <c r="Z928">
        <v>-7.3922397026305031</v>
      </c>
    </row>
    <row r="929" spans="1:26" x14ac:dyDescent="0.35">
      <c r="A929">
        <v>927</v>
      </c>
      <c r="C929">
        <v>46078</v>
      </c>
      <c r="D929" t="s">
        <v>16</v>
      </c>
      <c r="E929" t="s">
        <v>322</v>
      </c>
      <c r="F929" t="s">
        <v>290</v>
      </c>
      <c r="G929" t="s">
        <v>318</v>
      </c>
      <c r="H929" t="s">
        <v>319</v>
      </c>
      <c r="I929" t="s">
        <v>22</v>
      </c>
      <c r="J929" t="s">
        <v>23</v>
      </c>
      <c r="K929" t="s">
        <v>215</v>
      </c>
      <c r="L929" t="s">
        <v>321</v>
      </c>
      <c r="M929">
        <v>29</v>
      </c>
      <c r="N929">
        <v>70</v>
      </c>
      <c r="O929">
        <v>3</v>
      </c>
      <c r="P929">
        <v>2</v>
      </c>
      <c r="Q929">
        <v>202</v>
      </c>
      <c r="R929">
        <v>0.57679999999999998</v>
      </c>
      <c r="S929">
        <v>0.83340000000000003</v>
      </c>
      <c r="U929">
        <v>0.25660000000000005</v>
      </c>
      <c r="V929">
        <v>191.17237171648463</v>
      </c>
      <c r="W929">
        <v>42.694097222579188</v>
      </c>
      <c r="X929">
        <v>236.04800817934105</v>
      </c>
      <c r="Y929">
        <v>-20.551991820658969</v>
      </c>
      <c r="Z929">
        <v>-8.706699954461925</v>
      </c>
    </row>
    <row r="930" spans="1:26" x14ac:dyDescent="0.35">
      <c r="A930">
        <v>928</v>
      </c>
      <c r="C930">
        <v>46078</v>
      </c>
      <c r="D930" t="s">
        <v>16</v>
      </c>
      <c r="E930" t="s">
        <v>326</v>
      </c>
      <c r="F930" t="s">
        <v>290</v>
      </c>
      <c r="G930" t="s">
        <v>318</v>
      </c>
      <c r="H930" t="s">
        <v>319</v>
      </c>
      <c r="I930" t="s">
        <v>22</v>
      </c>
      <c r="J930" t="s">
        <v>23</v>
      </c>
      <c r="K930" t="s">
        <v>215</v>
      </c>
      <c r="L930" t="s">
        <v>325</v>
      </c>
      <c r="M930">
        <v>29</v>
      </c>
      <c r="N930">
        <v>70</v>
      </c>
      <c r="O930">
        <v>3</v>
      </c>
      <c r="P930">
        <v>1</v>
      </c>
      <c r="Q930">
        <v>203</v>
      </c>
      <c r="R930">
        <v>0.57350000000000001</v>
      </c>
      <c r="S930">
        <v>0.85809999999999997</v>
      </c>
      <c r="U930">
        <v>0.28459999999999996</v>
      </c>
      <c r="V930">
        <v>180.47706335545178</v>
      </c>
      <c r="W930">
        <v>38.805840488744067</v>
      </c>
      <c r="X930">
        <v>239.70736551167585</v>
      </c>
      <c r="Y930">
        <v>-44.89263448832412</v>
      </c>
      <c r="Z930">
        <v>-18.728099736316803</v>
      </c>
    </row>
    <row r="931" spans="1:26" x14ac:dyDescent="0.35">
      <c r="A931">
        <v>929</v>
      </c>
      <c r="C931">
        <v>46078</v>
      </c>
      <c r="D931" t="s">
        <v>16</v>
      </c>
      <c r="E931" t="s">
        <v>326</v>
      </c>
      <c r="F931" t="s">
        <v>290</v>
      </c>
      <c r="G931" t="s">
        <v>318</v>
      </c>
      <c r="H931" t="s">
        <v>319</v>
      </c>
      <c r="I931" t="s">
        <v>22</v>
      </c>
      <c r="J931" t="s">
        <v>23</v>
      </c>
      <c r="K931" t="s">
        <v>215</v>
      </c>
      <c r="L931" t="s">
        <v>325</v>
      </c>
      <c r="M931">
        <v>29</v>
      </c>
      <c r="N931">
        <v>70</v>
      </c>
      <c r="O931">
        <v>3</v>
      </c>
      <c r="P931">
        <v>2</v>
      </c>
      <c r="Q931">
        <v>204</v>
      </c>
      <c r="R931">
        <v>0.57179999999999997</v>
      </c>
      <c r="S931">
        <v>0.79890000000000005</v>
      </c>
      <c r="U931">
        <v>0.22710000000000008</v>
      </c>
      <c r="V931">
        <v>237.97706335545166</v>
      </c>
      <c r="W931">
        <v>51.169382905810856</v>
      </c>
      <c r="X931">
        <v>239.70736551167585</v>
      </c>
      <c r="Y931">
        <v>12.607365511675766</v>
      </c>
      <c r="Z931">
        <v>5.2594819040142005</v>
      </c>
    </row>
    <row r="932" spans="1:26" x14ac:dyDescent="0.35">
      <c r="A932">
        <v>930</v>
      </c>
      <c r="C932">
        <v>46078</v>
      </c>
      <c r="D932" t="s">
        <v>16</v>
      </c>
      <c r="E932" t="s">
        <v>328</v>
      </c>
      <c r="F932" t="s">
        <v>264</v>
      </c>
      <c r="G932" t="s">
        <v>329</v>
      </c>
      <c r="H932" t="s">
        <v>330</v>
      </c>
      <c r="I932" t="s">
        <v>22</v>
      </c>
      <c r="J932" t="s">
        <v>23</v>
      </c>
      <c r="K932" t="s">
        <v>215</v>
      </c>
      <c r="L932" t="s">
        <v>327</v>
      </c>
      <c r="M932">
        <v>29</v>
      </c>
      <c r="N932">
        <v>70</v>
      </c>
      <c r="O932">
        <v>3</v>
      </c>
      <c r="P932">
        <v>1</v>
      </c>
      <c r="Q932">
        <v>205</v>
      </c>
      <c r="R932">
        <v>0.59489999999999998</v>
      </c>
      <c r="S932">
        <v>0.78939999999999999</v>
      </c>
      <c r="U932">
        <v>0.19450000000000001</v>
      </c>
      <c r="V932">
        <v>258.21418385397868</v>
      </c>
      <c r="W932">
        <v>57.036910497433126</v>
      </c>
      <c r="X932">
        <v>234.17073685368621</v>
      </c>
      <c r="Y932">
        <v>39.670736853686208</v>
      </c>
      <c r="Z932">
        <v>16.940945477091422</v>
      </c>
    </row>
    <row r="933" spans="1:26" x14ac:dyDescent="0.35">
      <c r="A933">
        <v>931</v>
      </c>
      <c r="C933">
        <v>46078</v>
      </c>
      <c r="D933" t="s">
        <v>16</v>
      </c>
      <c r="E933" t="s">
        <v>328</v>
      </c>
      <c r="F933" t="s">
        <v>264</v>
      </c>
      <c r="G933" t="s">
        <v>329</v>
      </c>
      <c r="H933" t="s">
        <v>330</v>
      </c>
      <c r="I933" t="s">
        <v>22</v>
      </c>
      <c r="J933" t="s">
        <v>23</v>
      </c>
      <c r="K933" t="s">
        <v>215</v>
      </c>
      <c r="L933" t="s">
        <v>327</v>
      </c>
      <c r="M933">
        <v>29</v>
      </c>
      <c r="N933">
        <v>70</v>
      </c>
      <c r="O933">
        <v>3</v>
      </c>
      <c r="P933">
        <v>2</v>
      </c>
      <c r="Q933">
        <v>206</v>
      </c>
      <c r="R933">
        <v>0.56220000000000003</v>
      </c>
      <c r="S933">
        <v>0.7601</v>
      </c>
      <c r="U933">
        <v>0.19789999999999996</v>
      </c>
      <c r="V933">
        <v>255.26689803783256</v>
      </c>
      <c r="W933">
        <v>56.329555213126284</v>
      </c>
      <c r="X933">
        <v>234.40490759053984</v>
      </c>
      <c r="Y933">
        <v>36.504907590539858</v>
      </c>
      <c r="Z933">
        <v>15.573439978614651</v>
      </c>
    </row>
    <row r="934" spans="1:26" x14ac:dyDescent="0.35">
      <c r="A934">
        <v>932</v>
      </c>
      <c r="C934">
        <v>46078</v>
      </c>
      <c r="D934" t="s">
        <v>16</v>
      </c>
      <c r="E934" t="s">
        <v>332</v>
      </c>
      <c r="F934" t="s">
        <v>333</v>
      </c>
      <c r="G934" t="s">
        <v>334</v>
      </c>
      <c r="H934" t="s">
        <v>335</v>
      </c>
      <c r="I934" t="s">
        <v>22</v>
      </c>
      <c r="J934" t="s">
        <v>23</v>
      </c>
      <c r="K934" t="s">
        <v>303</v>
      </c>
      <c r="L934" t="s">
        <v>331</v>
      </c>
      <c r="M934">
        <v>29</v>
      </c>
      <c r="N934">
        <v>70</v>
      </c>
      <c r="O934">
        <v>3</v>
      </c>
      <c r="P934">
        <v>1</v>
      </c>
      <c r="Q934">
        <v>207</v>
      </c>
      <c r="R934">
        <v>0.56200000000000006</v>
      </c>
      <c r="S934">
        <v>0.7954</v>
      </c>
      <c r="U934">
        <v>0.23339999999999994</v>
      </c>
      <c r="V934">
        <v>222.22311031328283</v>
      </c>
      <c r="W934">
        <v>48.773450091345019</v>
      </c>
      <c r="X934">
        <v>243.8593408507669</v>
      </c>
      <c r="Y934">
        <v>10.459340850766949</v>
      </c>
      <c r="Z934">
        <v>4.2890876413742491</v>
      </c>
    </row>
    <row r="935" spans="1:26" x14ac:dyDescent="0.35">
      <c r="A935">
        <v>933</v>
      </c>
      <c r="C935">
        <v>46078</v>
      </c>
      <c r="D935" t="s">
        <v>16</v>
      </c>
      <c r="E935" t="s">
        <v>332</v>
      </c>
      <c r="F935" t="s">
        <v>333</v>
      </c>
      <c r="G935" t="s">
        <v>334</v>
      </c>
      <c r="H935" t="s">
        <v>335</v>
      </c>
      <c r="I935" t="s">
        <v>22</v>
      </c>
      <c r="J935" t="s">
        <v>23</v>
      </c>
      <c r="K935" t="s">
        <v>303</v>
      </c>
      <c r="L935" t="s">
        <v>331</v>
      </c>
      <c r="M935">
        <v>29</v>
      </c>
      <c r="N935">
        <v>70</v>
      </c>
      <c r="O935">
        <v>3</v>
      </c>
      <c r="P935">
        <v>2</v>
      </c>
      <c r="Q935">
        <v>208</v>
      </c>
      <c r="R935">
        <v>0.56910000000000005</v>
      </c>
      <c r="S935">
        <v>0.75060000000000004</v>
      </c>
      <c r="U935">
        <v>0.18149999999999999</v>
      </c>
      <c r="V935">
        <v>274.03207672480863</v>
      </c>
      <c r="W935">
        <v>60.156483094461443</v>
      </c>
      <c r="X935">
        <v>243.81061770574178</v>
      </c>
      <c r="Y935">
        <v>62.310617705741777</v>
      </c>
      <c r="Z935">
        <v>25.556974627309003</v>
      </c>
    </row>
    <row r="936" spans="1:26" x14ac:dyDescent="0.35">
      <c r="A936">
        <v>934</v>
      </c>
      <c r="C936">
        <v>46078</v>
      </c>
      <c r="D936" t="s">
        <v>16</v>
      </c>
      <c r="E936" t="s">
        <v>337</v>
      </c>
      <c r="F936" t="s">
        <v>264</v>
      </c>
      <c r="G936" t="s">
        <v>265</v>
      </c>
      <c r="H936" t="s">
        <v>266</v>
      </c>
      <c r="I936" t="s">
        <v>22</v>
      </c>
      <c r="J936" t="s">
        <v>23</v>
      </c>
      <c r="K936" t="s">
        <v>215</v>
      </c>
      <c r="L936" t="s">
        <v>336</v>
      </c>
      <c r="M936">
        <v>29</v>
      </c>
      <c r="N936">
        <v>70</v>
      </c>
      <c r="O936">
        <v>3</v>
      </c>
      <c r="P936">
        <v>1</v>
      </c>
      <c r="Q936">
        <v>209</v>
      </c>
      <c r="R936">
        <v>0.54310000000000003</v>
      </c>
      <c r="S936">
        <v>0.67510000000000003</v>
      </c>
      <c r="U936">
        <v>0.13200000000000001</v>
      </c>
      <c r="V936">
        <v>329.24958622314131</v>
      </c>
      <c r="W936">
        <v>71.382088148661964</v>
      </c>
      <c r="X936">
        <v>217.24149815035281</v>
      </c>
      <c r="Y936">
        <v>85.241498150352811</v>
      </c>
      <c r="Z936">
        <v>39.23812847734883</v>
      </c>
    </row>
    <row r="937" spans="1:26" x14ac:dyDescent="0.35">
      <c r="A937">
        <v>935</v>
      </c>
      <c r="C937">
        <v>46078</v>
      </c>
      <c r="D937" t="s">
        <v>16</v>
      </c>
      <c r="E937" t="s">
        <v>337</v>
      </c>
      <c r="F937" t="s">
        <v>264</v>
      </c>
      <c r="G937" t="s">
        <v>265</v>
      </c>
      <c r="H937" t="s">
        <v>266</v>
      </c>
      <c r="I937" t="s">
        <v>22</v>
      </c>
      <c r="J937" t="s">
        <v>23</v>
      </c>
      <c r="K937" t="s">
        <v>215</v>
      </c>
      <c r="L937" t="s">
        <v>336</v>
      </c>
      <c r="M937">
        <v>29</v>
      </c>
      <c r="N937">
        <v>70</v>
      </c>
      <c r="O937">
        <v>3</v>
      </c>
      <c r="P937">
        <v>2</v>
      </c>
      <c r="Q937">
        <v>210</v>
      </c>
      <c r="R937">
        <v>0.57630000000000003</v>
      </c>
      <c r="S937">
        <v>0.76019999999999999</v>
      </c>
      <c r="U937">
        <v>0.18389999999999995</v>
      </c>
      <c r="V937">
        <v>277.16523387053428</v>
      </c>
      <c r="W937">
        <v>60.114103929241715</v>
      </c>
      <c r="X937">
        <v>217.15467101280271</v>
      </c>
      <c r="Y937">
        <v>33.25467101280276</v>
      </c>
      <c r="Z937">
        <v>15.313817961043158</v>
      </c>
    </row>
    <row r="938" spans="1:26" x14ac:dyDescent="0.35">
      <c r="A938">
        <v>936</v>
      </c>
      <c r="C938">
        <v>46078</v>
      </c>
      <c r="D938" t="s">
        <v>16</v>
      </c>
      <c r="E938" t="s">
        <v>339</v>
      </c>
      <c r="F938" t="s">
        <v>219</v>
      </c>
      <c r="G938" t="s">
        <v>253</v>
      </c>
      <c r="H938" t="s">
        <v>254</v>
      </c>
      <c r="I938" t="s">
        <v>22</v>
      </c>
      <c r="J938" t="s">
        <v>23</v>
      </c>
      <c r="K938" t="s">
        <v>215</v>
      </c>
      <c r="L938" t="s">
        <v>338</v>
      </c>
      <c r="M938">
        <v>29</v>
      </c>
      <c r="N938">
        <v>70</v>
      </c>
      <c r="O938">
        <v>3</v>
      </c>
      <c r="P938">
        <v>1</v>
      </c>
      <c r="Q938">
        <v>211</v>
      </c>
      <c r="R938">
        <v>0.57709999999999995</v>
      </c>
      <c r="S938">
        <v>0.70240000000000002</v>
      </c>
      <c r="U938">
        <v>0.12530000000000008</v>
      </c>
      <c r="V938">
        <v>328.0014618576281</v>
      </c>
      <c r="W938">
        <v>72.358350779077355</v>
      </c>
      <c r="X938">
        <v>218.00042610120846</v>
      </c>
      <c r="Y938">
        <v>92.700426101208379</v>
      </c>
      <c r="Z938">
        <v>42.523048123846998</v>
      </c>
    </row>
    <row r="939" spans="1:26" x14ac:dyDescent="0.35">
      <c r="A939">
        <v>937</v>
      </c>
      <c r="C939">
        <v>46078</v>
      </c>
      <c r="D939" t="s">
        <v>16</v>
      </c>
      <c r="E939" t="s">
        <v>339</v>
      </c>
      <c r="F939" t="s">
        <v>219</v>
      </c>
      <c r="G939" t="s">
        <v>253</v>
      </c>
      <c r="H939" t="s">
        <v>254</v>
      </c>
      <c r="I939" t="s">
        <v>22</v>
      </c>
      <c r="J939" t="s">
        <v>23</v>
      </c>
      <c r="K939" t="s">
        <v>215</v>
      </c>
      <c r="L939" t="s">
        <v>338</v>
      </c>
      <c r="M939">
        <v>29</v>
      </c>
      <c r="N939">
        <v>70</v>
      </c>
      <c r="O939">
        <v>3</v>
      </c>
      <c r="P939">
        <v>2</v>
      </c>
      <c r="Q939">
        <v>212</v>
      </c>
      <c r="R939">
        <v>0.5716</v>
      </c>
      <c r="S939">
        <v>0.68830000000000002</v>
      </c>
      <c r="U939">
        <v>0.11670000000000003</v>
      </c>
      <c r="V939">
        <v>336.51085592881384</v>
      </c>
      <c r="W939">
        <v>74.250396151514479</v>
      </c>
      <c r="X939">
        <v>217.95685216035272</v>
      </c>
      <c r="Y939">
        <v>101.25685216035269</v>
      </c>
      <c r="Z939">
        <v>46.457292421280314</v>
      </c>
    </row>
    <row r="940" spans="1:26" x14ac:dyDescent="0.35">
      <c r="A940">
        <v>938</v>
      </c>
      <c r="C940">
        <v>46078</v>
      </c>
      <c r="D940" t="s">
        <v>16</v>
      </c>
      <c r="E940" t="s">
        <v>341</v>
      </c>
      <c r="F940" t="s">
        <v>333</v>
      </c>
      <c r="G940" t="s">
        <v>334</v>
      </c>
      <c r="H940" t="s">
        <v>335</v>
      </c>
      <c r="I940" t="s">
        <v>22</v>
      </c>
      <c r="J940" t="s">
        <v>23</v>
      </c>
      <c r="K940" t="s">
        <v>303</v>
      </c>
      <c r="L940" t="s">
        <v>340</v>
      </c>
      <c r="M940">
        <v>29</v>
      </c>
      <c r="N940">
        <v>70</v>
      </c>
      <c r="O940">
        <v>3</v>
      </c>
      <c r="P940">
        <v>1</v>
      </c>
      <c r="Q940">
        <v>213</v>
      </c>
      <c r="R940">
        <v>0.57989999999999997</v>
      </c>
      <c r="S940">
        <v>0.75260000000000005</v>
      </c>
      <c r="U940">
        <v>0.17270000000000008</v>
      </c>
      <c r="V940">
        <v>289.69566355139455</v>
      </c>
      <c r="W940">
        <v>62.651033819480283</v>
      </c>
      <c r="X940">
        <v>210.42325487848265</v>
      </c>
      <c r="Y940">
        <v>37.723254878482578</v>
      </c>
      <c r="Z940">
        <v>17.927322196525942</v>
      </c>
    </row>
    <row r="941" spans="1:26" x14ac:dyDescent="0.35">
      <c r="A941">
        <v>939</v>
      </c>
      <c r="C941">
        <v>46078</v>
      </c>
      <c r="D941" t="s">
        <v>16</v>
      </c>
      <c r="E941" t="s">
        <v>341</v>
      </c>
      <c r="F941" t="s">
        <v>333</v>
      </c>
      <c r="G941" t="s">
        <v>334</v>
      </c>
      <c r="H941" t="s">
        <v>335</v>
      </c>
      <c r="I941" t="s">
        <v>22</v>
      </c>
      <c r="J941" t="s">
        <v>23</v>
      </c>
      <c r="K941" t="s">
        <v>303</v>
      </c>
      <c r="L941" t="s">
        <v>340</v>
      </c>
      <c r="M941">
        <v>29</v>
      </c>
      <c r="N941">
        <v>70</v>
      </c>
      <c r="O941">
        <v>3</v>
      </c>
      <c r="P941">
        <v>2</v>
      </c>
      <c r="Q941">
        <v>214</v>
      </c>
      <c r="R941">
        <v>0.5696</v>
      </c>
      <c r="S941">
        <v>0.74160000000000004</v>
      </c>
      <c r="U941">
        <v>0.17200000000000004</v>
      </c>
      <c r="V941">
        <v>290.5806218168151</v>
      </c>
      <c r="W941">
        <v>62.817292405276518</v>
      </c>
      <c r="X941">
        <v>210.50742418043401</v>
      </c>
      <c r="Y941">
        <v>38.507424180433986</v>
      </c>
      <c r="Z941">
        <v>18.292667980882133</v>
      </c>
    </row>
    <row r="942" spans="1:26" x14ac:dyDescent="0.35">
      <c r="A942">
        <v>940</v>
      </c>
      <c r="C942">
        <v>46078</v>
      </c>
      <c r="D942" t="s">
        <v>16</v>
      </c>
      <c r="E942" t="s">
        <v>343</v>
      </c>
      <c r="F942" t="s">
        <v>212</v>
      </c>
      <c r="G942" t="s">
        <v>301</v>
      </c>
      <c r="H942" t="s">
        <v>302</v>
      </c>
      <c r="I942" t="s">
        <v>22</v>
      </c>
      <c r="J942" t="s">
        <v>23</v>
      </c>
      <c r="K942" t="s">
        <v>303</v>
      </c>
      <c r="L942" t="s">
        <v>342</v>
      </c>
      <c r="M942">
        <v>29</v>
      </c>
      <c r="N942">
        <v>70</v>
      </c>
      <c r="O942">
        <v>3</v>
      </c>
      <c r="P942">
        <v>1</v>
      </c>
      <c r="Q942">
        <v>215</v>
      </c>
      <c r="R942">
        <v>0.58509999999999995</v>
      </c>
      <c r="S942">
        <v>0.87419999999999998</v>
      </c>
      <c r="U942">
        <v>0.28910000000000002</v>
      </c>
      <c r="V942">
        <v>174.28410370925855</v>
      </c>
      <c r="W942">
        <v>37.611152888966984</v>
      </c>
      <c r="X942">
        <v>276.96357902643933</v>
      </c>
      <c r="Y942">
        <v>-12.136420973560689</v>
      </c>
      <c r="Z942">
        <v>-4.3819555683897811</v>
      </c>
    </row>
    <row r="943" spans="1:26" x14ac:dyDescent="0.35">
      <c r="A943">
        <v>941</v>
      </c>
      <c r="C943">
        <v>46078</v>
      </c>
      <c r="D943" t="s">
        <v>16</v>
      </c>
      <c r="E943" t="s">
        <v>343</v>
      </c>
      <c r="F943" t="s">
        <v>212</v>
      </c>
      <c r="G943" t="s">
        <v>301</v>
      </c>
      <c r="H943" t="s">
        <v>302</v>
      </c>
      <c r="I943" t="s">
        <v>22</v>
      </c>
      <c r="J943" t="s">
        <v>23</v>
      </c>
      <c r="K943" t="s">
        <v>303</v>
      </c>
      <c r="L943" t="s">
        <v>342</v>
      </c>
      <c r="M943">
        <v>29</v>
      </c>
      <c r="N943">
        <v>70</v>
      </c>
      <c r="O943">
        <v>3</v>
      </c>
      <c r="P943">
        <v>2</v>
      </c>
      <c r="Q943">
        <v>216</v>
      </c>
      <c r="R943">
        <v>0.57830000000000004</v>
      </c>
      <c r="S943">
        <v>0.84530000000000005</v>
      </c>
      <c r="U943">
        <v>0.26700000000000002</v>
      </c>
      <c r="V943">
        <v>196.01384074185205</v>
      </c>
      <c r="W943">
        <v>42.334337225814657</v>
      </c>
      <c r="X943">
        <v>276.74227372957444</v>
      </c>
      <c r="Y943">
        <v>9.7422737295744355</v>
      </c>
      <c r="Z943">
        <v>3.520341723828698</v>
      </c>
    </row>
    <row r="944" spans="1:26" x14ac:dyDescent="0.35">
      <c r="A944">
        <v>942</v>
      </c>
      <c r="C944">
        <v>46078</v>
      </c>
      <c r="D944" t="s">
        <v>16</v>
      </c>
      <c r="E944" t="s">
        <v>345</v>
      </c>
      <c r="F944" t="s">
        <v>346</v>
      </c>
      <c r="G944" t="s">
        <v>347</v>
      </c>
      <c r="H944" t="s">
        <v>348</v>
      </c>
      <c r="I944" t="s">
        <v>22</v>
      </c>
      <c r="J944" t="s">
        <v>23</v>
      </c>
      <c r="K944" t="s">
        <v>303</v>
      </c>
      <c r="L944" t="s">
        <v>344</v>
      </c>
      <c r="M944">
        <v>29</v>
      </c>
      <c r="N944">
        <v>70</v>
      </c>
      <c r="O944">
        <v>3</v>
      </c>
      <c r="P944">
        <v>1</v>
      </c>
      <c r="Q944">
        <v>217</v>
      </c>
      <c r="R944">
        <v>0.57410000000000005</v>
      </c>
      <c r="S944">
        <v>0.82230000000000003</v>
      </c>
      <c r="U944">
        <v>0.24819999999999998</v>
      </c>
      <c r="V944">
        <v>215.93037481259398</v>
      </c>
      <c r="W944">
        <v>46.523646486137025</v>
      </c>
      <c r="X944">
        <v>263.63580421773071</v>
      </c>
      <c r="Y944">
        <v>15.43580421773072</v>
      </c>
      <c r="Z944">
        <v>5.854972644376728</v>
      </c>
    </row>
    <row r="945" spans="1:26" x14ac:dyDescent="0.35">
      <c r="A945">
        <v>943</v>
      </c>
      <c r="C945">
        <v>46078</v>
      </c>
      <c r="D945" t="s">
        <v>16</v>
      </c>
      <c r="E945" t="s">
        <v>345</v>
      </c>
      <c r="F945" t="s">
        <v>346</v>
      </c>
      <c r="G945" t="s">
        <v>347</v>
      </c>
      <c r="H945" t="s">
        <v>348</v>
      </c>
      <c r="I945" t="s">
        <v>22</v>
      </c>
      <c r="J945" t="s">
        <v>23</v>
      </c>
      <c r="K945" t="s">
        <v>303</v>
      </c>
      <c r="L945" t="s">
        <v>344</v>
      </c>
      <c r="M945">
        <v>29</v>
      </c>
      <c r="N945">
        <v>70</v>
      </c>
      <c r="O945">
        <v>3</v>
      </c>
      <c r="P945">
        <v>2</v>
      </c>
      <c r="Q945">
        <v>218</v>
      </c>
      <c r="R945">
        <v>0.60119999999999996</v>
      </c>
      <c r="S945">
        <v>0.84799999999999998</v>
      </c>
      <c r="U945">
        <v>0.24680000000000002</v>
      </c>
      <c r="V945">
        <v>217.60879735297334</v>
      </c>
      <c r="W945">
        <v>46.857165194392309</v>
      </c>
      <c r="X945">
        <v>263.79395407029079</v>
      </c>
      <c r="Y945">
        <v>16.993954070290783</v>
      </c>
      <c r="Z945">
        <v>6.4421317502077997</v>
      </c>
    </row>
    <row r="946" spans="1:26" x14ac:dyDescent="0.35">
      <c r="A946">
        <v>944</v>
      </c>
      <c r="C946">
        <v>46078</v>
      </c>
      <c r="D946" t="s">
        <v>16</v>
      </c>
      <c r="E946" t="s">
        <v>350</v>
      </c>
      <c r="F946" t="s">
        <v>212</v>
      </c>
      <c r="G946" t="s">
        <v>351</v>
      </c>
      <c r="H946" t="s">
        <v>352</v>
      </c>
      <c r="I946" t="s">
        <v>22</v>
      </c>
      <c r="J946" t="s">
        <v>23</v>
      </c>
      <c r="K946" t="s">
        <v>215</v>
      </c>
      <c r="L946" t="s">
        <v>349</v>
      </c>
      <c r="M946">
        <v>29</v>
      </c>
      <c r="N946">
        <v>70</v>
      </c>
      <c r="O946">
        <v>3</v>
      </c>
      <c r="P946">
        <v>1</v>
      </c>
      <c r="Q946">
        <v>219</v>
      </c>
      <c r="R946">
        <v>0.58199999999999996</v>
      </c>
      <c r="S946">
        <v>0.81850000000000001</v>
      </c>
      <c r="U946">
        <v>0.23650000000000004</v>
      </c>
      <c r="V946">
        <v>227.60871984987034</v>
      </c>
      <c r="W946">
        <v>49.042112357530591</v>
      </c>
      <c r="X946">
        <v>273.01193358345711</v>
      </c>
      <c r="Y946">
        <v>36.511933583457051</v>
      </c>
      <c r="Z946">
        <v>13.37375004243018</v>
      </c>
    </row>
    <row r="947" spans="1:26" x14ac:dyDescent="0.35">
      <c r="A947">
        <v>945</v>
      </c>
      <c r="C947">
        <v>46078</v>
      </c>
      <c r="D947" t="s">
        <v>16</v>
      </c>
      <c r="E947" t="s">
        <v>350</v>
      </c>
      <c r="F947" t="s">
        <v>212</v>
      </c>
      <c r="G947" t="s">
        <v>351</v>
      </c>
      <c r="H947" t="s">
        <v>352</v>
      </c>
      <c r="I947" t="s">
        <v>22</v>
      </c>
      <c r="J947" t="s">
        <v>23</v>
      </c>
      <c r="K947" t="s">
        <v>215</v>
      </c>
      <c r="L947" t="s">
        <v>349</v>
      </c>
      <c r="M947">
        <v>29</v>
      </c>
      <c r="N947">
        <v>70</v>
      </c>
      <c r="O947">
        <v>3</v>
      </c>
      <c r="P947">
        <v>2</v>
      </c>
      <c r="Q947">
        <v>220</v>
      </c>
      <c r="R947">
        <v>0.56689999999999996</v>
      </c>
      <c r="S947">
        <v>0.81420000000000003</v>
      </c>
      <c r="U947">
        <v>0.24730000000000008</v>
      </c>
      <c r="V947">
        <v>216.62318768123163</v>
      </c>
      <c r="W947">
        <v>46.693761690152151</v>
      </c>
      <c r="X947">
        <v>272.90279429359765</v>
      </c>
      <c r="Y947">
        <v>25.602794293597583</v>
      </c>
      <c r="Z947">
        <v>9.3816534051510185</v>
      </c>
    </row>
    <row r="948" spans="1:26" x14ac:dyDescent="0.35">
      <c r="A948">
        <v>946</v>
      </c>
      <c r="C948">
        <v>46078</v>
      </c>
      <c r="D948" t="s">
        <v>16</v>
      </c>
      <c r="E948" t="s">
        <v>354</v>
      </c>
      <c r="F948" t="s">
        <v>226</v>
      </c>
      <c r="G948" t="s">
        <v>227</v>
      </c>
      <c r="H948" t="s">
        <v>228</v>
      </c>
      <c r="I948" t="s">
        <v>22</v>
      </c>
      <c r="J948" t="s">
        <v>23</v>
      </c>
      <c r="K948" t="s">
        <v>215</v>
      </c>
      <c r="L948" t="s">
        <v>353</v>
      </c>
      <c r="M948">
        <v>29</v>
      </c>
      <c r="N948">
        <v>70</v>
      </c>
      <c r="O948">
        <v>3</v>
      </c>
      <c r="P948">
        <v>1</v>
      </c>
      <c r="Q948">
        <v>221</v>
      </c>
      <c r="R948">
        <v>0.57679999999999998</v>
      </c>
      <c r="S948">
        <v>0.76570000000000005</v>
      </c>
      <c r="U948">
        <v>0.18890000000000007</v>
      </c>
      <c r="V948">
        <v>272.95771020308689</v>
      </c>
      <c r="W948">
        <v>59.099957448596584</v>
      </c>
      <c r="X948">
        <v>208.95398139702959</v>
      </c>
      <c r="Y948">
        <v>20.053981397029531</v>
      </c>
      <c r="Z948">
        <v>9.597319593028157</v>
      </c>
    </row>
    <row r="949" spans="1:26" x14ac:dyDescent="0.35">
      <c r="A949">
        <v>947</v>
      </c>
      <c r="C949">
        <v>46078</v>
      </c>
      <c r="D949" t="s">
        <v>16</v>
      </c>
      <c r="E949" t="s">
        <v>354</v>
      </c>
      <c r="F949" t="s">
        <v>226</v>
      </c>
      <c r="G949" t="s">
        <v>227</v>
      </c>
      <c r="H949" t="s">
        <v>228</v>
      </c>
      <c r="I949" t="s">
        <v>22</v>
      </c>
      <c r="J949" t="s">
        <v>23</v>
      </c>
      <c r="K949" t="s">
        <v>215</v>
      </c>
      <c r="L949" t="s">
        <v>353</v>
      </c>
      <c r="M949">
        <v>29</v>
      </c>
      <c r="N949">
        <v>70</v>
      </c>
      <c r="O949">
        <v>3</v>
      </c>
      <c r="P949">
        <v>2</v>
      </c>
      <c r="Q949">
        <v>222</v>
      </c>
      <c r="R949">
        <v>0.60109999999999997</v>
      </c>
      <c r="S949">
        <v>0.77869999999999995</v>
      </c>
      <c r="U949">
        <v>0.17759999999999998</v>
      </c>
      <c r="V949">
        <v>284.25771020308696</v>
      </c>
      <c r="W949">
        <v>61.546598427055358</v>
      </c>
      <c r="X949">
        <v>208.95398139702959</v>
      </c>
      <c r="Y949">
        <v>31.353981397029628</v>
      </c>
      <c r="Z949">
        <v>15.005208892121805</v>
      </c>
    </row>
    <row r="950" spans="1:26" x14ac:dyDescent="0.35">
      <c r="A950">
        <v>948</v>
      </c>
      <c r="C950">
        <v>46078</v>
      </c>
      <c r="D950">
        <v>0</v>
      </c>
      <c r="E950" t="s">
        <v>541</v>
      </c>
      <c r="F950" t="s">
        <v>538</v>
      </c>
      <c r="G950" t="s">
        <v>542</v>
      </c>
      <c r="H950" t="s">
        <v>541</v>
      </c>
      <c r="I950">
        <v>0</v>
      </c>
      <c r="J950">
        <v>0</v>
      </c>
      <c r="K950">
        <v>0</v>
      </c>
      <c r="L950" t="s">
        <v>543</v>
      </c>
      <c r="M950">
        <v>29</v>
      </c>
      <c r="N950">
        <v>70</v>
      </c>
      <c r="O950">
        <v>3</v>
      </c>
      <c r="P950">
        <v>1</v>
      </c>
      <c r="Q950">
        <v>223</v>
      </c>
    </row>
    <row r="951" spans="1:26" x14ac:dyDescent="0.35">
      <c r="A951">
        <v>949</v>
      </c>
      <c r="C951">
        <v>46078</v>
      </c>
      <c r="D951">
        <v>0</v>
      </c>
      <c r="E951" t="s">
        <v>541</v>
      </c>
      <c r="F951" t="s">
        <v>538</v>
      </c>
      <c r="G951" t="s">
        <v>542</v>
      </c>
      <c r="H951" t="s">
        <v>541</v>
      </c>
      <c r="I951">
        <v>0</v>
      </c>
      <c r="J951">
        <v>0</v>
      </c>
      <c r="K951">
        <v>0</v>
      </c>
      <c r="L951" t="s">
        <v>543</v>
      </c>
      <c r="M951">
        <v>29</v>
      </c>
      <c r="N951">
        <v>70</v>
      </c>
      <c r="O951">
        <v>3</v>
      </c>
      <c r="P951">
        <v>2</v>
      </c>
      <c r="Q951">
        <v>224</v>
      </c>
    </row>
    <row r="952" spans="1:26" x14ac:dyDescent="0.35">
      <c r="A952">
        <v>950</v>
      </c>
      <c r="C952">
        <v>46078</v>
      </c>
      <c r="D952" t="s">
        <v>16</v>
      </c>
      <c r="E952" t="s">
        <v>356</v>
      </c>
      <c r="F952" t="s">
        <v>219</v>
      </c>
      <c r="G952" t="s">
        <v>253</v>
      </c>
      <c r="H952" t="s">
        <v>254</v>
      </c>
      <c r="I952" t="s">
        <v>22</v>
      </c>
      <c r="J952" t="s">
        <v>23</v>
      </c>
      <c r="K952" t="s">
        <v>215</v>
      </c>
      <c r="L952" t="s">
        <v>355</v>
      </c>
      <c r="M952">
        <v>29</v>
      </c>
      <c r="N952">
        <v>70</v>
      </c>
      <c r="O952">
        <v>3</v>
      </c>
      <c r="P952">
        <v>1</v>
      </c>
      <c r="Q952">
        <v>225</v>
      </c>
      <c r="R952">
        <v>0.57809999999999995</v>
      </c>
      <c r="S952">
        <v>0.78059999999999996</v>
      </c>
      <c r="U952">
        <v>0.20250000000000001</v>
      </c>
      <c r="V952">
        <v>248.22265871064434</v>
      </c>
      <c r="W952">
        <v>55.072150004776823</v>
      </c>
      <c r="X952">
        <v>223.6027415374113</v>
      </c>
      <c r="Y952">
        <v>21.102741537411305</v>
      </c>
      <c r="Z952">
        <v>9.4376041153684049</v>
      </c>
    </row>
    <row r="953" spans="1:26" x14ac:dyDescent="0.35">
      <c r="A953">
        <v>951</v>
      </c>
      <c r="C953">
        <v>46078</v>
      </c>
      <c r="D953" t="s">
        <v>16</v>
      </c>
      <c r="E953" t="s">
        <v>356</v>
      </c>
      <c r="F953" t="s">
        <v>219</v>
      </c>
      <c r="G953" t="s">
        <v>253</v>
      </c>
      <c r="H953" t="s">
        <v>254</v>
      </c>
      <c r="I953" t="s">
        <v>22</v>
      </c>
      <c r="J953" t="s">
        <v>23</v>
      </c>
      <c r="K953" t="s">
        <v>215</v>
      </c>
      <c r="L953" t="s">
        <v>355</v>
      </c>
      <c r="M953">
        <v>29</v>
      </c>
      <c r="N953">
        <v>70</v>
      </c>
      <c r="O953">
        <v>3</v>
      </c>
      <c r="P953">
        <v>2</v>
      </c>
      <c r="Q953">
        <v>226</v>
      </c>
      <c r="R953">
        <v>0.57010000000000005</v>
      </c>
      <c r="S953">
        <v>0.75139999999999996</v>
      </c>
      <c r="U953">
        <v>0.18129999999999991</v>
      </c>
      <c r="V953">
        <v>269.3325862368813</v>
      </c>
      <c r="W953">
        <v>59.76766759945383</v>
      </c>
      <c r="X953">
        <v>223.55805673694417</v>
      </c>
      <c r="Y953">
        <v>42.258056736944269</v>
      </c>
      <c r="Z953">
        <v>18.902497791286667</v>
      </c>
    </row>
    <row r="954" spans="1:26" x14ac:dyDescent="0.35">
      <c r="A954">
        <v>952</v>
      </c>
      <c r="C954">
        <v>46078</v>
      </c>
      <c r="D954" t="s">
        <v>16</v>
      </c>
      <c r="E954" t="s">
        <v>358</v>
      </c>
      <c r="F954" t="s">
        <v>212</v>
      </c>
      <c r="G954" t="s">
        <v>359</v>
      </c>
      <c r="H954" t="s">
        <v>360</v>
      </c>
      <c r="I954" t="s">
        <v>22</v>
      </c>
      <c r="J954" t="s">
        <v>23</v>
      </c>
      <c r="K954" t="s">
        <v>215</v>
      </c>
      <c r="L954" t="s">
        <v>357</v>
      </c>
      <c r="M954">
        <v>29</v>
      </c>
      <c r="N954">
        <v>70</v>
      </c>
      <c r="O954">
        <v>3</v>
      </c>
      <c r="P954">
        <v>1</v>
      </c>
      <c r="Q954">
        <v>227</v>
      </c>
      <c r="R954">
        <v>0.57310000000000005</v>
      </c>
      <c r="S954">
        <v>0.83089999999999997</v>
      </c>
      <c r="U954">
        <v>0.25779999999999992</v>
      </c>
      <c r="V954">
        <v>201.85468953104714</v>
      </c>
      <c r="W954">
        <v>43.91441969992411</v>
      </c>
      <c r="X954">
        <v>251.36176444983539</v>
      </c>
      <c r="Y954">
        <v>-6.4382355501645065</v>
      </c>
      <c r="Z954">
        <v>-2.5613424397525639</v>
      </c>
    </row>
    <row r="955" spans="1:26" x14ac:dyDescent="0.35">
      <c r="A955">
        <v>953</v>
      </c>
      <c r="C955">
        <v>46078</v>
      </c>
      <c r="D955" t="s">
        <v>16</v>
      </c>
      <c r="E955" t="s">
        <v>358</v>
      </c>
      <c r="F955" t="s">
        <v>212</v>
      </c>
      <c r="G955" t="s">
        <v>359</v>
      </c>
      <c r="H955" t="s">
        <v>360</v>
      </c>
      <c r="I955" t="s">
        <v>22</v>
      </c>
      <c r="J955" t="s">
        <v>23</v>
      </c>
      <c r="K955" t="s">
        <v>215</v>
      </c>
      <c r="L955" t="s">
        <v>357</v>
      </c>
      <c r="M955">
        <v>29</v>
      </c>
      <c r="N955">
        <v>70</v>
      </c>
      <c r="O955">
        <v>3</v>
      </c>
      <c r="P955">
        <v>2</v>
      </c>
      <c r="Q955">
        <v>228</v>
      </c>
      <c r="R955">
        <v>0.57709999999999995</v>
      </c>
      <c r="S955">
        <v>0.78690000000000004</v>
      </c>
      <c r="U955">
        <v>0.2098000000000001</v>
      </c>
      <c r="V955">
        <v>249.67093790620945</v>
      </c>
      <c r="W955">
        <v>54.338787790137452</v>
      </c>
      <c r="X955">
        <v>251.26128003470455</v>
      </c>
      <c r="Y955">
        <v>41.461280034704458</v>
      </c>
      <c r="Z955">
        <v>16.501261168842955</v>
      </c>
    </row>
    <row r="956" spans="1:26" x14ac:dyDescent="0.35">
      <c r="A956">
        <v>954</v>
      </c>
      <c r="C956">
        <v>46078</v>
      </c>
      <c r="D956" t="s">
        <v>16</v>
      </c>
      <c r="E956" t="s">
        <v>362</v>
      </c>
      <c r="F956" t="s">
        <v>219</v>
      </c>
      <c r="G956" t="s">
        <v>253</v>
      </c>
      <c r="H956" t="s">
        <v>254</v>
      </c>
      <c r="I956" t="s">
        <v>22</v>
      </c>
      <c r="J956" t="s">
        <v>23</v>
      </c>
      <c r="K956" t="s">
        <v>215</v>
      </c>
      <c r="L956" t="s">
        <v>361</v>
      </c>
      <c r="M956">
        <v>29</v>
      </c>
      <c r="N956">
        <v>70</v>
      </c>
      <c r="O956">
        <v>3</v>
      </c>
      <c r="P956">
        <v>1</v>
      </c>
      <c r="Q956">
        <v>229</v>
      </c>
      <c r="R956">
        <v>0.5998</v>
      </c>
      <c r="S956">
        <v>0.75219999999999998</v>
      </c>
      <c r="U956">
        <v>0.15239999999999998</v>
      </c>
      <c r="V956">
        <v>306.72912252648467</v>
      </c>
      <c r="W956">
        <v>66.806723310998677</v>
      </c>
      <c r="X956">
        <v>215.60017566849959</v>
      </c>
      <c r="Y956">
        <v>63.200175668499611</v>
      </c>
      <c r="Z956">
        <v>29.313601193755201</v>
      </c>
    </row>
    <row r="957" spans="1:26" x14ac:dyDescent="0.35">
      <c r="A957">
        <v>955</v>
      </c>
      <c r="C957">
        <v>46078</v>
      </c>
      <c r="D957" t="s">
        <v>16</v>
      </c>
      <c r="E957" t="s">
        <v>362</v>
      </c>
      <c r="F957" t="s">
        <v>219</v>
      </c>
      <c r="G957" t="s">
        <v>253</v>
      </c>
      <c r="H957" t="s">
        <v>254</v>
      </c>
      <c r="I957" t="s">
        <v>22</v>
      </c>
      <c r="J957" t="s">
        <v>23</v>
      </c>
      <c r="K957" t="s">
        <v>215</v>
      </c>
      <c r="L957" t="s">
        <v>361</v>
      </c>
      <c r="M957">
        <v>29</v>
      </c>
      <c r="N957">
        <v>70</v>
      </c>
      <c r="O957">
        <v>3</v>
      </c>
      <c r="P957">
        <v>2</v>
      </c>
      <c r="Q957">
        <v>230</v>
      </c>
      <c r="R957">
        <v>0.57450000000000001</v>
      </c>
      <c r="S957">
        <v>0.7329</v>
      </c>
      <c r="U957">
        <v>0.15839999999999999</v>
      </c>
      <c r="V957">
        <v>300.72912252648467</v>
      </c>
      <c r="W957">
        <v>65.499901394108846</v>
      </c>
      <c r="X957">
        <v>215.60017566849959</v>
      </c>
      <c r="Y957">
        <v>57.200175668499611</v>
      </c>
      <c r="Z957">
        <v>26.530672106895171</v>
      </c>
    </row>
    <row r="958" spans="1:26" x14ac:dyDescent="0.35">
      <c r="A958">
        <v>956</v>
      </c>
      <c r="C958">
        <v>46078</v>
      </c>
      <c r="D958" t="s">
        <v>16</v>
      </c>
      <c r="E958" t="s">
        <v>364</v>
      </c>
      <c r="F958" t="s">
        <v>219</v>
      </c>
      <c r="G958" t="s">
        <v>365</v>
      </c>
      <c r="H958" t="s">
        <v>366</v>
      </c>
      <c r="I958" t="s">
        <v>22</v>
      </c>
      <c r="J958" t="s">
        <v>23</v>
      </c>
      <c r="K958" t="s">
        <v>215</v>
      </c>
      <c r="L958" t="s">
        <v>363</v>
      </c>
      <c r="M958">
        <v>29</v>
      </c>
      <c r="N958">
        <v>70</v>
      </c>
      <c r="O958">
        <v>3</v>
      </c>
      <c r="P958">
        <v>1</v>
      </c>
      <c r="Q958">
        <v>231</v>
      </c>
      <c r="R958">
        <v>0.59399999999999997</v>
      </c>
      <c r="S958">
        <v>0.76449999999999996</v>
      </c>
      <c r="U958">
        <v>0.17049999999999998</v>
      </c>
      <c r="V958">
        <v>282.87029499999971</v>
      </c>
      <c r="W958">
        <v>62.392772115782293</v>
      </c>
      <c r="X958">
        <v>190.30216179065701</v>
      </c>
      <c r="Y958">
        <v>19.802161790657038</v>
      </c>
      <c r="Z958">
        <v>10.405642061197666</v>
      </c>
    </row>
    <row r="959" spans="1:26" x14ac:dyDescent="0.35">
      <c r="A959">
        <v>957</v>
      </c>
      <c r="C959">
        <v>46078</v>
      </c>
      <c r="D959" t="s">
        <v>16</v>
      </c>
      <c r="E959" t="s">
        <v>364</v>
      </c>
      <c r="F959" t="s">
        <v>219</v>
      </c>
      <c r="G959" t="s">
        <v>365</v>
      </c>
      <c r="H959" t="s">
        <v>366</v>
      </c>
      <c r="I959" t="s">
        <v>22</v>
      </c>
      <c r="J959" t="s">
        <v>23</v>
      </c>
      <c r="K959" t="s">
        <v>215</v>
      </c>
      <c r="L959" t="s">
        <v>363</v>
      </c>
      <c r="M959">
        <v>29</v>
      </c>
      <c r="N959">
        <v>70</v>
      </c>
      <c r="O959">
        <v>3</v>
      </c>
      <c r="P959">
        <v>2</v>
      </c>
      <c r="Q959">
        <v>232</v>
      </c>
      <c r="R959">
        <v>0.55989999999999995</v>
      </c>
      <c r="S959">
        <v>0.74970000000000003</v>
      </c>
      <c r="U959">
        <v>0.18980000000000008</v>
      </c>
      <c r="V959">
        <v>263.6609509278141</v>
      </c>
      <c r="W959">
        <v>58.144135760387869</v>
      </c>
      <c r="X959">
        <v>190.34021461245075</v>
      </c>
      <c r="Y959">
        <v>0.54021461245068281</v>
      </c>
      <c r="Z959">
        <v>0.28381527968254466</v>
      </c>
    </row>
    <row r="960" spans="1:26" x14ac:dyDescent="0.35">
      <c r="A960">
        <v>958</v>
      </c>
      <c r="C960">
        <v>46078</v>
      </c>
      <c r="D960" t="s">
        <v>16</v>
      </c>
      <c r="E960" t="s">
        <v>368</v>
      </c>
      <c r="F960" t="s">
        <v>219</v>
      </c>
      <c r="G960" t="s">
        <v>365</v>
      </c>
      <c r="H960" t="s">
        <v>366</v>
      </c>
      <c r="I960" t="s">
        <v>22</v>
      </c>
      <c r="J960" t="s">
        <v>23</v>
      </c>
      <c r="K960" t="s">
        <v>215</v>
      </c>
      <c r="L960" t="s">
        <v>367</v>
      </c>
      <c r="M960">
        <v>29</v>
      </c>
      <c r="N960">
        <v>70</v>
      </c>
      <c r="O960">
        <v>3</v>
      </c>
      <c r="P960">
        <v>1</v>
      </c>
      <c r="Q960">
        <v>233</v>
      </c>
      <c r="R960">
        <v>0.58199999999999996</v>
      </c>
      <c r="S960">
        <v>0.77910000000000001</v>
      </c>
      <c r="U960">
        <v>0.19710000000000005</v>
      </c>
      <c r="V960">
        <v>258.43660633936599</v>
      </c>
      <c r="W960">
        <v>56.73234658705686</v>
      </c>
      <c r="X960">
        <v>223.0312635592735</v>
      </c>
      <c r="Y960">
        <v>25.931263559273447</v>
      </c>
      <c r="Z960">
        <v>11.626739294503379</v>
      </c>
    </row>
    <row r="961" spans="1:26" x14ac:dyDescent="0.35">
      <c r="A961">
        <v>959</v>
      </c>
      <c r="C961">
        <v>46078</v>
      </c>
      <c r="D961" t="s">
        <v>16</v>
      </c>
      <c r="E961" t="s">
        <v>368</v>
      </c>
      <c r="F961" t="s">
        <v>219</v>
      </c>
      <c r="G961" t="s">
        <v>365</v>
      </c>
      <c r="H961" t="s">
        <v>366</v>
      </c>
      <c r="I961" t="s">
        <v>22</v>
      </c>
      <c r="J961" t="s">
        <v>23</v>
      </c>
      <c r="K961" t="s">
        <v>215</v>
      </c>
      <c r="L961" t="s">
        <v>367</v>
      </c>
      <c r="M961">
        <v>29</v>
      </c>
      <c r="N961">
        <v>70</v>
      </c>
      <c r="O961">
        <v>3</v>
      </c>
      <c r="P961">
        <v>2</v>
      </c>
      <c r="Q961">
        <v>234</v>
      </c>
      <c r="R961">
        <v>0.55840000000000001</v>
      </c>
      <c r="S961">
        <v>0.77969999999999995</v>
      </c>
      <c r="U961">
        <v>0.22129999999999994</v>
      </c>
      <c r="V961">
        <v>234.05446455354473</v>
      </c>
      <c r="W961">
        <v>51.400498462889779</v>
      </c>
      <c r="X961">
        <v>222.94208672458367</v>
      </c>
      <c r="Y961">
        <v>1.6420867245837201</v>
      </c>
      <c r="Z961">
        <v>0.73655304330774807</v>
      </c>
    </row>
    <row r="962" spans="1:26" x14ac:dyDescent="0.35">
      <c r="A962">
        <v>960</v>
      </c>
      <c r="C962">
        <v>46078</v>
      </c>
      <c r="D962" t="s">
        <v>16</v>
      </c>
      <c r="E962" t="s">
        <v>370</v>
      </c>
      <c r="F962" t="s">
        <v>219</v>
      </c>
      <c r="G962" t="s">
        <v>365</v>
      </c>
      <c r="H962" t="s">
        <v>366</v>
      </c>
      <c r="I962" t="s">
        <v>22</v>
      </c>
      <c r="J962" t="s">
        <v>23</v>
      </c>
      <c r="K962" t="s">
        <v>215</v>
      </c>
      <c r="L962" t="s">
        <v>369</v>
      </c>
      <c r="M962">
        <v>29</v>
      </c>
      <c r="N962">
        <v>70</v>
      </c>
      <c r="O962">
        <v>3</v>
      </c>
      <c r="P962">
        <v>1</v>
      </c>
      <c r="Q962">
        <v>235</v>
      </c>
      <c r="R962">
        <v>0.57530000000000003</v>
      </c>
      <c r="S962">
        <v>0.72340000000000004</v>
      </c>
      <c r="U962">
        <v>0.14810000000000001</v>
      </c>
      <c r="V962">
        <v>310.13946068940305</v>
      </c>
      <c r="W962">
        <v>67.680653303582929</v>
      </c>
      <c r="X962">
        <v>248.6726499043387</v>
      </c>
      <c r="Y962">
        <v>100.57264990433868</v>
      </c>
      <c r="Z962">
        <v>40.443792247771412</v>
      </c>
    </row>
    <row r="963" spans="1:26" x14ac:dyDescent="0.35">
      <c r="A963">
        <v>961</v>
      </c>
      <c r="C963">
        <v>46078</v>
      </c>
      <c r="D963" t="s">
        <v>16</v>
      </c>
      <c r="E963" t="s">
        <v>370</v>
      </c>
      <c r="F963" t="s">
        <v>219</v>
      </c>
      <c r="G963" t="s">
        <v>365</v>
      </c>
      <c r="H963" t="s">
        <v>366</v>
      </c>
      <c r="I963" t="s">
        <v>22</v>
      </c>
      <c r="J963" t="s">
        <v>23</v>
      </c>
      <c r="K963" t="s">
        <v>215</v>
      </c>
      <c r="L963" t="s">
        <v>369</v>
      </c>
      <c r="M963">
        <v>29</v>
      </c>
      <c r="N963">
        <v>70</v>
      </c>
      <c r="O963">
        <v>3</v>
      </c>
      <c r="P963">
        <v>2</v>
      </c>
      <c r="Q963">
        <v>236</v>
      </c>
      <c r="R963">
        <v>0.55710000000000004</v>
      </c>
      <c r="S963">
        <v>0.72019999999999995</v>
      </c>
      <c r="U963">
        <v>0.16309999999999991</v>
      </c>
      <c r="V963">
        <v>294.95631142453925</v>
      </c>
      <c r="W963">
        <v>64.393024191116453</v>
      </c>
      <c r="X963">
        <v>248.57326035601557</v>
      </c>
      <c r="Y963">
        <v>85.473260356015658</v>
      </c>
      <c r="Z963">
        <v>34.385541000507367</v>
      </c>
    </row>
    <row r="964" spans="1:26" x14ac:dyDescent="0.35">
      <c r="A964">
        <v>962</v>
      </c>
      <c r="C964">
        <v>46078</v>
      </c>
      <c r="D964" t="s">
        <v>16</v>
      </c>
      <c r="E964" t="s">
        <v>372</v>
      </c>
      <c r="F964" t="s">
        <v>219</v>
      </c>
      <c r="G964" t="s">
        <v>220</v>
      </c>
      <c r="H964" t="s">
        <v>221</v>
      </c>
      <c r="I964" t="s">
        <v>22</v>
      </c>
      <c r="J964" t="s">
        <v>23</v>
      </c>
      <c r="K964" t="s">
        <v>215</v>
      </c>
      <c r="L964" t="s">
        <v>371</v>
      </c>
      <c r="M964">
        <v>29</v>
      </c>
      <c r="N964">
        <v>70</v>
      </c>
      <c r="O964">
        <v>3</v>
      </c>
      <c r="P964">
        <v>1</v>
      </c>
      <c r="Q964">
        <v>237</v>
      </c>
      <c r="R964">
        <v>0.59160000000000001</v>
      </c>
      <c r="S964">
        <v>0.79700000000000004</v>
      </c>
      <c r="U964">
        <v>0.20540000000000003</v>
      </c>
      <c r="V964">
        <v>242.6712295549487</v>
      </c>
      <c r="W964">
        <v>54.159074171306273</v>
      </c>
      <c r="X964">
        <v>200.49475060937394</v>
      </c>
      <c r="Y964">
        <v>-4.9052493906260963</v>
      </c>
      <c r="Z964">
        <v>-2.4465724791882684</v>
      </c>
    </row>
    <row r="965" spans="1:26" x14ac:dyDescent="0.35">
      <c r="A965">
        <v>963</v>
      </c>
      <c r="C965">
        <v>46078</v>
      </c>
      <c r="D965" t="s">
        <v>16</v>
      </c>
      <c r="E965" t="s">
        <v>372</v>
      </c>
      <c r="F965" t="s">
        <v>219</v>
      </c>
      <c r="G965" t="s">
        <v>220</v>
      </c>
      <c r="H965" t="s">
        <v>221</v>
      </c>
      <c r="I965" t="s">
        <v>22</v>
      </c>
      <c r="J965" t="s">
        <v>23</v>
      </c>
      <c r="K965" t="s">
        <v>215</v>
      </c>
      <c r="L965" t="s">
        <v>371</v>
      </c>
      <c r="M965">
        <v>29</v>
      </c>
      <c r="N965">
        <v>70</v>
      </c>
      <c r="O965">
        <v>3</v>
      </c>
      <c r="P965">
        <v>2</v>
      </c>
      <c r="Q965">
        <v>238</v>
      </c>
      <c r="R965">
        <v>0.5706</v>
      </c>
      <c r="S965">
        <v>0.75009999999999999</v>
      </c>
      <c r="U965">
        <v>0.17949999999999999</v>
      </c>
      <c r="V965">
        <v>268.57122955494873</v>
      </c>
      <c r="W965">
        <v>59.939405130231151</v>
      </c>
      <c r="X965">
        <v>200.49475060937394</v>
      </c>
      <c r="Y965">
        <v>20.994750609373938</v>
      </c>
      <c r="Z965">
        <v>10.471471470232272</v>
      </c>
    </row>
    <row r="966" spans="1:26" x14ac:dyDescent="0.35">
      <c r="A966">
        <v>964</v>
      </c>
      <c r="C966">
        <v>46078</v>
      </c>
      <c r="D966" t="s">
        <v>16</v>
      </c>
      <c r="E966" t="s">
        <v>374</v>
      </c>
      <c r="F966" t="s">
        <v>219</v>
      </c>
      <c r="G966" t="s">
        <v>253</v>
      </c>
      <c r="H966" t="s">
        <v>254</v>
      </c>
      <c r="I966" t="s">
        <v>22</v>
      </c>
      <c r="J966" t="s">
        <v>23</v>
      </c>
      <c r="K966" t="s">
        <v>215</v>
      </c>
      <c r="L966" t="s">
        <v>373</v>
      </c>
      <c r="M966">
        <v>29</v>
      </c>
      <c r="N966">
        <v>70</v>
      </c>
      <c r="O966">
        <v>3</v>
      </c>
      <c r="P966">
        <v>1</v>
      </c>
      <c r="Q966">
        <v>239</v>
      </c>
      <c r="R966">
        <v>0.55620000000000003</v>
      </c>
      <c r="S966">
        <v>0.72419999999999995</v>
      </c>
      <c r="U966">
        <v>0.16799999999999993</v>
      </c>
      <c r="V966">
        <v>284.4119168968366</v>
      </c>
      <c r="W966">
        <v>62.865699658767184</v>
      </c>
      <c r="X966">
        <v>220.03461589803391</v>
      </c>
      <c r="Y966">
        <v>52.034615898033991</v>
      </c>
      <c r="Z966">
        <v>23.648377181773668</v>
      </c>
    </row>
    <row r="967" spans="1:26" x14ac:dyDescent="0.35">
      <c r="A967">
        <v>965</v>
      </c>
      <c r="C967">
        <v>46078</v>
      </c>
      <c r="D967" t="s">
        <v>16</v>
      </c>
      <c r="E967" t="s">
        <v>374</v>
      </c>
      <c r="F967" t="s">
        <v>219</v>
      </c>
      <c r="G967" t="s">
        <v>253</v>
      </c>
      <c r="H967" t="s">
        <v>254</v>
      </c>
      <c r="I967" t="s">
        <v>22</v>
      </c>
      <c r="J967" t="s">
        <v>23</v>
      </c>
      <c r="K967" t="s">
        <v>215</v>
      </c>
      <c r="L967" t="s">
        <v>373</v>
      </c>
      <c r="M967">
        <v>29</v>
      </c>
      <c r="N967">
        <v>70</v>
      </c>
      <c r="O967">
        <v>3</v>
      </c>
      <c r="P967">
        <v>2</v>
      </c>
      <c r="Q967">
        <v>240</v>
      </c>
      <c r="R967">
        <v>0.57289999999999996</v>
      </c>
      <c r="S967">
        <v>0.72189999999999999</v>
      </c>
      <c r="U967">
        <v>0.14900000000000002</v>
      </c>
      <c r="V967">
        <v>303.41191689683649</v>
      </c>
      <c r="W967">
        <v>67.065412197358967</v>
      </c>
      <c r="X967">
        <v>220.03461589803391</v>
      </c>
      <c r="Y967">
        <v>71.034615898033877</v>
      </c>
      <c r="Z967">
        <v>32.283382143358743</v>
      </c>
    </row>
    <row r="968" spans="1:26" x14ac:dyDescent="0.35">
      <c r="A968">
        <v>966</v>
      </c>
      <c r="C968">
        <v>46078</v>
      </c>
      <c r="D968" t="s">
        <v>16</v>
      </c>
      <c r="E968" t="s">
        <v>376</v>
      </c>
      <c r="F968" t="s">
        <v>219</v>
      </c>
      <c r="G968" t="s">
        <v>253</v>
      </c>
      <c r="H968" t="s">
        <v>254</v>
      </c>
      <c r="I968" t="s">
        <v>22</v>
      </c>
      <c r="J968" t="s">
        <v>23</v>
      </c>
      <c r="K968" t="s">
        <v>215</v>
      </c>
      <c r="L968" t="s">
        <v>375</v>
      </c>
      <c r="M968">
        <v>29</v>
      </c>
      <c r="N968">
        <v>70</v>
      </c>
      <c r="O968">
        <v>3</v>
      </c>
      <c r="P968">
        <v>1</v>
      </c>
      <c r="Q968">
        <v>241</v>
      </c>
      <c r="R968">
        <v>0.56830000000000003</v>
      </c>
      <c r="S968">
        <v>0.70609999999999995</v>
      </c>
      <c r="U968">
        <v>0.13779999999999992</v>
      </c>
      <c r="V968">
        <v>309.75261921423612</v>
      </c>
      <c r="W968">
        <v>69.210324309589751</v>
      </c>
      <c r="X968">
        <v>190.99982625002693</v>
      </c>
      <c r="Y968">
        <v>53.199826250027002</v>
      </c>
      <c r="Z968">
        <v>27.853337510572473</v>
      </c>
    </row>
    <row r="969" spans="1:26" x14ac:dyDescent="0.35">
      <c r="A969">
        <v>967</v>
      </c>
      <c r="C969">
        <v>46078</v>
      </c>
      <c r="D969" t="s">
        <v>16</v>
      </c>
      <c r="E969" t="s">
        <v>376</v>
      </c>
      <c r="F969" t="s">
        <v>219</v>
      </c>
      <c r="G969" t="s">
        <v>253</v>
      </c>
      <c r="H969" t="s">
        <v>254</v>
      </c>
      <c r="I969" t="s">
        <v>22</v>
      </c>
      <c r="J969" t="s">
        <v>23</v>
      </c>
      <c r="K969" t="s">
        <v>215</v>
      </c>
      <c r="L969" t="s">
        <v>375</v>
      </c>
      <c r="M969">
        <v>29</v>
      </c>
      <c r="N969">
        <v>70</v>
      </c>
      <c r="O969">
        <v>3</v>
      </c>
      <c r="P969">
        <v>2</v>
      </c>
      <c r="Q969">
        <v>242</v>
      </c>
      <c r="R969">
        <v>0.5746</v>
      </c>
      <c r="S969">
        <v>0.73699999999999999</v>
      </c>
      <c r="U969">
        <v>0.16239999999999999</v>
      </c>
      <c r="V969">
        <v>285.33160446487153</v>
      </c>
      <c r="W969">
        <v>63.728269708791196</v>
      </c>
      <c r="X969">
        <v>191.07621090359618</v>
      </c>
      <c r="Y969">
        <v>28.6762109035962</v>
      </c>
      <c r="Z969">
        <v>15.007734750436427</v>
      </c>
    </row>
    <row r="970" spans="1:26" x14ac:dyDescent="0.35">
      <c r="A970">
        <v>968</v>
      </c>
      <c r="C970">
        <v>46078</v>
      </c>
      <c r="D970" t="s">
        <v>16</v>
      </c>
      <c r="E970" t="s">
        <v>378</v>
      </c>
      <c r="F970" t="s">
        <v>212</v>
      </c>
      <c r="G970" t="s">
        <v>379</v>
      </c>
      <c r="H970" t="s">
        <v>380</v>
      </c>
      <c r="I970" t="s">
        <v>22</v>
      </c>
      <c r="J970" t="s">
        <v>23</v>
      </c>
      <c r="K970" t="s">
        <v>215</v>
      </c>
      <c r="L970" t="s">
        <v>377</v>
      </c>
      <c r="M970">
        <v>29</v>
      </c>
      <c r="N970">
        <v>70</v>
      </c>
      <c r="O970">
        <v>3</v>
      </c>
      <c r="P970">
        <v>1</v>
      </c>
      <c r="Q970">
        <v>243</v>
      </c>
      <c r="R970">
        <v>0.60489999999999999</v>
      </c>
      <c r="S970">
        <v>0.99170000000000003</v>
      </c>
      <c r="U970">
        <v>0.38680000000000003</v>
      </c>
      <c r="V970">
        <v>82.631406213260561</v>
      </c>
      <c r="W970">
        <v>17.602445238979492</v>
      </c>
      <c r="X970">
        <v>307.09326772514089</v>
      </c>
      <c r="Y970">
        <v>-79.706732274859121</v>
      </c>
      <c r="Z970">
        <v>-25.955219684659259</v>
      </c>
    </row>
    <row r="971" spans="1:26" x14ac:dyDescent="0.35">
      <c r="A971">
        <v>969</v>
      </c>
      <c r="C971">
        <v>46078</v>
      </c>
      <c r="D971" t="s">
        <v>16</v>
      </c>
      <c r="E971" t="s">
        <v>378</v>
      </c>
      <c r="F971" t="s">
        <v>212</v>
      </c>
      <c r="G971" t="s">
        <v>379</v>
      </c>
      <c r="H971" t="s">
        <v>380</v>
      </c>
      <c r="I971" t="s">
        <v>22</v>
      </c>
      <c r="J971" t="s">
        <v>23</v>
      </c>
      <c r="K971" t="s">
        <v>215</v>
      </c>
      <c r="L971" t="s">
        <v>377</v>
      </c>
      <c r="M971">
        <v>29</v>
      </c>
      <c r="N971">
        <v>70</v>
      </c>
      <c r="O971">
        <v>3</v>
      </c>
      <c r="P971">
        <v>2</v>
      </c>
      <c r="Q971">
        <v>244</v>
      </c>
      <c r="R971">
        <v>0.57789999999999997</v>
      </c>
      <c r="S971">
        <v>0.98970000000000002</v>
      </c>
      <c r="U971">
        <v>0.41180000000000005</v>
      </c>
      <c r="V971">
        <v>57.631406213260505</v>
      </c>
      <c r="W971">
        <v>12.276853540361298</v>
      </c>
      <c r="X971">
        <v>307.09326772514089</v>
      </c>
      <c r="Y971">
        <v>-104.70673227485918</v>
      </c>
      <c r="Z971">
        <v>-34.096068940389578</v>
      </c>
    </row>
    <row r="972" spans="1:26" x14ac:dyDescent="0.35">
      <c r="A972">
        <v>970</v>
      </c>
      <c r="C972">
        <v>46078</v>
      </c>
      <c r="D972" t="s">
        <v>120</v>
      </c>
      <c r="E972" t="s">
        <v>122</v>
      </c>
      <c r="F972" t="s">
        <v>123</v>
      </c>
      <c r="G972" t="s">
        <v>545</v>
      </c>
      <c r="H972" t="s">
        <v>125</v>
      </c>
      <c r="I972" t="s">
        <v>108</v>
      </c>
      <c r="J972" t="s">
        <v>109</v>
      </c>
      <c r="K972" t="s">
        <v>110</v>
      </c>
      <c r="L972" t="s">
        <v>121</v>
      </c>
      <c r="M972">
        <v>29</v>
      </c>
      <c r="N972">
        <v>70</v>
      </c>
      <c r="O972">
        <v>3</v>
      </c>
      <c r="P972">
        <v>1</v>
      </c>
      <c r="Q972">
        <v>245</v>
      </c>
      <c r="R972">
        <v>0.55730000000000002</v>
      </c>
      <c r="S972">
        <v>0.87</v>
      </c>
      <c r="U972">
        <v>0.31269999999999998</v>
      </c>
      <c r="V972">
        <v>155.51774999999992</v>
      </c>
      <c r="W972">
        <v>33.214834337228766</v>
      </c>
      <c r="X972">
        <v>356.31370774999988</v>
      </c>
      <c r="Y972">
        <v>43.61370774999989</v>
      </c>
      <c r="Z972">
        <v>12.240255370865647</v>
      </c>
    </row>
    <row r="973" spans="1:26" x14ac:dyDescent="0.35">
      <c r="A973">
        <v>971</v>
      </c>
      <c r="C973">
        <v>46078</v>
      </c>
      <c r="D973" t="s">
        <v>120</v>
      </c>
      <c r="E973" t="s">
        <v>122</v>
      </c>
      <c r="F973" t="s">
        <v>123</v>
      </c>
      <c r="G973" t="s">
        <v>545</v>
      </c>
      <c r="H973" t="s">
        <v>125</v>
      </c>
      <c r="I973" t="s">
        <v>108</v>
      </c>
      <c r="J973" t="s">
        <v>109</v>
      </c>
      <c r="K973" t="s">
        <v>110</v>
      </c>
      <c r="L973" t="s">
        <v>121</v>
      </c>
      <c r="M973">
        <v>29</v>
      </c>
      <c r="N973">
        <v>70</v>
      </c>
      <c r="O973">
        <v>3</v>
      </c>
      <c r="P973">
        <v>2</v>
      </c>
      <c r="Q973">
        <v>246</v>
      </c>
      <c r="R973">
        <v>0.60209999999999997</v>
      </c>
      <c r="S973">
        <v>0.95209999999999995</v>
      </c>
      <c r="U973">
        <v>0.35</v>
      </c>
      <c r="V973">
        <v>118.12419999999992</v>
      </c>
      <c r="W973">
        <v>25.233517087986467</v>
      </c>
      <c r="X973">
        <v>356.2425161999999</v>
      </c>
      <c r="Y973">
        <v>6.2425161999998977</v>
      </c>
      <c r="Z973">
        <v>1.7523220604289846</v>
      </c>
    </row>
    <row r="974" spans="1:26" x14ac:dyDescent="0.35">
      <c r="A974">
        <v>972</v>
      </c>
      <c r="C974">
        <v>46064</v>
      </c>
      <c r="D974">
        <v>0</v>
      </c>
      <c r="E974" t="s">
        <v>537</v>
      </c>
      <c r="F974" t="s">
        <v>538</v>
      </c>
      <c r="G974">
        <v>0</v>
      </c>
      <c r="H974" t="s">
        <v>537</v>
      </c>
      <c r="I974">
        <v>0</v>
      </c>
      <c r="J974">
        <v>0</v>
      </c>
      <c r="K974">
        <v>0</v>
      </c>
      <c r="L974" t="s">
        <v>539</v>
      </c>
      <c r="M974">
        <v>30</v>
      </c>
      <c r="N974">
        <v>64</v>
      </c>
      <c r="O974">
        <v>1</v>
      </c>
      <c r="P974">
        <v>1</v>
      </c>
      <c r="Q974">
        <v>106</v>
      </c>
    </row>
    <row r="975" spans="1:26" x14ac:dyDescent="0.35">
      <c r="A975">
        <v>973</v>
      </c>
      <c r="C975">
        <v>46064</v>
      </c>
      <c r="D975">
        <v>0</v>
      </c>
      <c r="E975" t="s">
        <v>537</v>
      </c>
      <c r="F975" t="s">
        <v>538</v>
      </c>
      <c r="G975">
        <v>0</v>
      </c>
      <c r="H975" t="s">
        <v>537</v>
      </c>
      <c r="I975">
        <v>0</v>
      </c>
      <c r="J975">
        <v>0</v>
      </c>
      <c r="K975">
        <v>0</v>
      </c>
      <c r="L975" t="s">
        <v>539</v>
      </c>
      <c r="M975">
        <v>30</v>
      </c>
      <c r="N975">
        <v>64</v>
      </c>
      <c r="O975">
        <v>1</v>
      </c>
      <c r="P975">
        <v>2</v>
      </c>
      <c r="Q975">
        <v>107</v>
      </c>
    </row>
    <row r="976" spans="1:26" x14ac:dyDescent="0.35">
      <c r="A976">
        <v>974</v>
      </c>
      <c r="C976">
        <v>46064</v>
      </c>
      <c r="D976" t="s">
        <v>16</v>
      </c>
      <c r="E976" t="s">
        <v>385</v>
      </c>
      <c r="F976" t="s">
        <v>226</v>
      </c>
      <c r="G976" t="s">
        <v>231</v>
      </c>
      <c r="H976" t="s">
        <v>232</v>
      </c>
      <c r="I976" t="s">
        <v>22</v>
      </c>
      <c r="J976" t="s">
        <v>23</v>
      </c>
      <c r="K976" t="s">
        <v>215</v>
      </c>
      <c r="L976" t="s">
        <v>384</v>
      </c>
      <c r="M976">
        <v>30</v>
      </c>
      <c r="N976">
        <v>64</v>
      </c>
      <c r="O976">
        <v>1</v>
      </c>
      <c r="P976">
        <v>1</v>
      </c>
      <c r="Q976">
        <v>108</v>
      </c>
      <c r="R976">
        <v>0.58340000000000003</v>
      </c>
      <c r="S976">
        <v>0.83350000000000002</v>
      </c>
      <c r="U976">
        <v>0.25009999999999999</v>
      </c>
      <c r="V976">
        <v>213.00726564061611</v>
      </c>
      <c r="W976">
        <v>45.995232950181261</v>
      </c>
      <c r="X976">
        <v>256.84177878534882</v>
      </c>
      <c r="Y976">
        <v>6.7417787853488278</v>
      </c>
      <c r="Z976">
        <v>2.6248762242778096</v>
      </c>
    </row>
    <row r="977" spans="1:26" x14ac:dyDescent="0.35">
      <c r="A977">
        <v>975</v>
      </c>
      <c r="C977">
        <v>46064</v>
      </c>
      <c r="D977" t="s">
        <v>16</v>
      </c>
      <c r="E977" t="s">
        <v>385</v>
      </c>
      <c r="F977" t="s">
        <v>226</v>
      </c>
      <c r="G977" t="s">
        <v>231</v>
      </c>
      <c r="H977" t="s">
        <v>232</v>
      </c>
      <c r="I977" t="s">
        <v>22</v>
      </c>
      <c r="J977" t="s">
        <v>23</v>
      </c>
      <c r="K977" t="s">
        <v>215</v>
      </c>
      <c r="L977" t="s">
        <v>384</v>
      </c>
      <c r="M977">
        <v>30</v>
      </c>
      <c r="N977">
        <v>64</v>
      </c>
      <c r="O977">
        <v>1</v>
      </c>
      <c r="P977">
        <v>2</v>
      </c>
      <c r="Q977">
        <v>109</v>
      </c>
      <c r="R977">
        <v>0.60570000000000002</v>
      </c>
      <c r="S977">
        <v>0.85619999999999996</v>
      </c>
      <c r="U977">
        <v>0.25049999999999994</v>
      </c>
      <c r="V977">
        <v>212.6998685731578</v>
      </c>
      <c r="W977">
        <v>45.919673774597371</v>
      </c>
      <c r="X977">
        <v>256.89313686948913</v>
      </c>
      <c r="Y977">
        <v>6.393136869489183</v>
      </c>
      <c r="Z977">
        <v>2.4886366943843754</v>
      </c>
    </row>
    <row r="978" spans="1:26" x14ac:dyDescent="0.35">
      <c r="A978">
        <v>976</v>
      </c>
      <c r="C978">
        <v>46064</v>
      </c>
      <c r="D978" t="s">
        <v>16</v>
      </c>
      <c r="E978" t="s">
        <v>385</v>
      </c>
      <c r="F978" t="s">
        <v>226</v>
      </c>
      <c r="G978" t="s">
        <v>231</v>
      </c>
      <c r="H978" t="s">
        <v>232</v>
      </c>
      <c r="I978" t="s">
        <v>22</v>
      </c>
      <c r="J978" t="s">
        <v>23</v>
      </c>
      <c r="K978" t="s">
        <v>215</v>
      </c>
      <c r="L978" t="s">
        <v>384</v>
      </c>
      <c r="M978">
        <v>30</v>
      </c>
      <c r="N978">
        <v>64</v>
      </c>
      <c r="O978">
        <v>1</v>
      </c>
      <c r="P978">
        <v>3</v>
      </c>
      <c r="Q978">
        <v>110</v>
      </c>
      <c r="R978">
        <v>0.58930000000000005</v>
      </c>
      <c r="S978">
        <v>0.81110000000000004</v>
      </c>
      <c r="U978">
        <v>0.2218</v>
      </c>
      <c r="V978">
        <v>241.58507443824089</v>
      </c>
      <c r="W978">
        <v>52.134841574496782</v>
      </c>
      <c r="X978">
        <v>256.99585303776951</v>
      </c>
      <c r="Y978">
        <v>35.195853037769496</v>
      </c>
      <c r="Z978">
        <v>13.695105435260437</v>
      </c>
    </row>
    <row r="979" spans="1:26" x14ac:dyDescent="0.35">
      <c r="A979">
        <v>977</v>
      </c>
      <c r="C979">
        <v>46064</v>
      </c>
      <c r="D979" t="s">
        <v>16</v>
      </c>
      <c r="E979" t="s">
        <v>389</v>
      </c>
      <c r="F979" t="s">
        <v>226</v>
      </c>
      <c r="G979" t="s">
        <v>227</v>
      </c>
      <c r="H979" t="s">
        <v>228</v>
      </c>
      <c r="I979" t="s">
        <v>22</v>
      </c>
      <c r="J979" t="s">
        <v>23</v>
      </c>
      <c r="K979" t="s">
        <v>215</v>
      </c>
      <c r="L979" t="s">
        <v>388</v>
      </c>
      <c r="M979">
        <v>30</v>
      </c>
      <c r="N979">
        <v>64</v>
      </c>
      <c r="O979">
        <v>1</v>
      </c>
      <c r="P979">
        <v>1</v>
      </c>
      <c r="Q979">
        <v>111</v>
      </c>
      <c r="R979">
        <v>0.58340000000000003</v>
      </c>
      <c r="S979">
        <v>0.83409999999999995</v>
      </c>
      <c r="U979">
        <v>0.25069999999999992</v>
      </c>
      <c r="V979">
        <v>212.49258759503567</v>
      </c>
      <c r="W979">
        <v>45.875645095775084</v>
      </c>
      <c r="X979">
        <v>244.6738541341397</v>
      </c>
      <c r="Y979">
        <v>-6.0261458658602294</v>
      </c>
      <c r="Z979">
        <v>-2.4629300450535521</v>
      </c>
    </row>
    <row r="980" spans="1:26" x14ac:dyDescent="0.35">
      <c r="A980">
        <v>978</v>
      </c>
      <c r="C980">
        <v>46064</v>
      </c>
      <c r="D980" t="s">
        <v>16</v>
      </c>
      <c r="E980" t="s">
        <v>389</v>
      </c>
      <c r="F980" t="s">
        <v>226</v>
      </c>
      <c r="G980" t="s">
        <v>227</v>
      </c>
      <c r="H980" t="s">
        <v>228</v>
      </c>
      <c r="I980" t="s">
        <v>22</v>
      </c>
      <c r="J980" t="s">
        <v>23</v>
      </c>
      <c r="K980" t="s">
        <v>215</v>
      </c>
      <c r="L980" t="s">
        <v>388</v>
      </c>
      <c r="M980">
        <v>30</v>
      </c>
      <c r="N980">
        <v>64</v>
      </c>
      <c r="O980">
        <v>1</v>
      </c>
      <c r="P980">
        <v>2</v>
      </c>
      <c r="Q980">
        <v>112</v>
      </c>
      <c r="R980">
        <v>0.61409999999999998</v>
      </c>
      <c r="S980">
        <v>0.88419999999999999</v>
      </c>
      <c r="U980">
        <v>0.27010000000000001</v>
      </c>
      <c r="V980">
        <v>192.90742165955891</v>
      </c>
      <c r="W980">
        <v>41.664002051656155</v>
      </c>
      <c r="X980">
        <v>244.57604327899918</v>
      </c>
      <c r="Y980">
        <v>-25.523956721000843</v>
      </c>
      <c r="Z980">
        <v>-10.43600034525233</v>
      </c>
    </row>
    <row r="981" spans="1:26" x14ac:dyDescent="0.35">
      <c r="A981">
        <v>979</v>
      </c>
      <c r="C981">
        <v>46064</v>
      </c>
      <c r="D981" t="s">
        <v>16</v>
      </c>
      <c r="E981" t="s">
        <v>389</v>
      </c>
      <c r="F981" t="s">
        <v>226</v>
      </c>
      <c r="G981" t="s">
        <v>227</v>
      </c>
      <c r="H981" t="s">
        <v>228</v>
      </c>
      <c r="I981" t="s">
        <v>22</v>
      </c>
      <c r="J981" t="s">
        <v>23</v>
      </c>
      <c r="K981" t="s">
        <v>215</v>
      </c>
      <c r="L981" t="s">
        <v>388</v>
      </c>
      <c r="M981">
        <v>30</v>
      </c>
      <c r="N981">
        <v>64</v>
      </c>
      <c r="O981">
        <v>1</v>
      </c>
      <c r="P981">
        <v>3</v>
      </c>
      <c r="Q981">
        <v>113</v>
      </c>
      <c r="R981">
        <v>0.59189999999999998</v>
      </c>
      <c r="S981">
        <v>0.88109999999999999</v>
      </c>
      <c r="U981">
        <v>0.28920000000000001</v>
      </c>
      <c r="V981">
        <v>173.7148386918206</v>
      </c>
      <c r="W981">
        <v>37.526305957858682</v>
      </c>
      <c r="X981">
        <v>244.52713785142888</v>
      </c>
      <c r="Y981">
        <v>-44.672862148571113</v>
      </c>
      <c r="Z981">
        <v>-18.269081518352245</v>
      </c>
    </row>
    <row r="982" spans="1:26" x14ac:dyDescent="0.35">
      <c r="A982">
        <v>980</v>
      </c>
      <c r="C982">
        <v>46064</v>
      </c>
      <c r="D982" t="s">
        <v>16</v>
      </c>
      <c r="E982" t="s">
        <v>391</v>
      </c>
      <c r="F982" t="s">
        <v>290</v>
      </c>
      <c r="G982" t="s">
        <v>314</v>
      </c>
      <c r="H982" t="s">
        <v>315</v>
      </c>
      <c r="I982" t="s">
        <v>22</v>
      </c>
      <c r="J982" t="s">
        <v>23</v>
      </c>
      <c r="K982" t="s">
        <v>215</v>
      </c>
      <c r="L982" t="s">
        <v>390</v>
      </c>
      <c r="M982">
        <v>30</v>
      </c>
      <c r="N982">
        <v>64</v>
      </c>
      <c r="O982">
        <v>1</v>
      </c>
      <c r="P982">
        <v>1</v>
      </c>
      <c r="Q982">
        <v>114</v>
      </c>
      <c r="R982">
        <v>0.5988</v>
      </c>
      <c r="S982">
        <v>0.8528</v>
      </c>
      <c r="U982">
        <v>0.254</v>
      </c>
      <c r="V982">
        <v>220.10929499999986</v>
      </c>
      <c r="W982">
        <v>46.425855245044275</v>
      </c>
      <c r="X982">
        <v>225.67278554989335</v>
      </c>
      <c r="Y982">
        <v>-28.327214450106652</v>
      </c>
      <c r="Z982">
        <v>-12.55233961023797</v>
      </c>
    </row>
    <row r="983" spans="1:26" x14ac:dyDescent="0.35">
      <c r="A983">
        <v>981</v>
      </c>
      <c r="C983">
        <v>46064</v>
      </c>
      <c r="D983" t="s">
        <v>16</v>
      </c>
      <c r="E983" t="s">
        <v>391</v>
      </c>
      <c r="F983" t="s">
        <v>290</v>
      </c>
      <c r="G983" t="s">
        <v>314</v>
      </c>
      <c r="H983" t="s">
        <v>315</v>
      </c>
      <c r="I983" t="s">
        <v>22</v>
      </c>
      <c r="J983" t="s">
        <v>23</v>
      </c>
      <c r="K983" t="s">
        <v>215</v>
      </c>
      <c r="L983" t="s">
        <v>390</v>
      </c>
      <c r="M983">
        <v>30</v>
      </c>
      <c r="N983">
        <v>64</v>
      </c>
      <c r="O983">
        <v>1</v>
      </c>
      <c r="P983">
        <v>2</v>
      </c>
      <c r="Q983">
        <v>115</v>
      </c>
      <c r="R983">
        <v>0.5655</v>
      </c>
      <c r="S983">
        <v>0.82869999999999999</v>
      </c>
      <c r="U983">
        <v>0.26319999999999999</v>
      </c>
      <c r="V983">
        <v>210.81452999999988</v>
      </c>
      <c r="W983">
        <v>44.474275925676778</v>
      </c>
      <c r="X983">
        <v>225.62767805727893</v>
      </c>
      <c r="Y983">
        <v>-37.572321942721061</v>
      </c>
      <c r="Z983">
        <v>-16.65235500636707</v>
      </c>
    </row>
    <row r="984" spans="1:26" x14ac:dyDescent="0.35">
      <c r="A984">
        <v>982</v>
      </c>
      <c r="C984">
        <v>46064</v>
      </c>
      <c r="D984" t="s">
        <v>16</v>
      </c>
      <c r="E984" t="s">
        <v>391</v>
      </c>
      <c r="F984" t="s">
        <v>290</v>
      </c>
      <c r="G984" t="s">
        <v>314</v>
      </c>
      <c r="H984" t="s">
        <v>315</v>
      </c>
      <c r="I984" t="s">
        <v>22</v>
      </c>
      <c r="J984" t="s">
        <v>23</v>
      </c>
      <c r="K984" t="s">
        <v>215</v>
      </c>
      <c r="L984" t="s">
        <v>390</v>
      </c>
      <c r="M984">
        <v>30</v>
      </c>
      <c r="N984">
        <v>64</v>
      </c>
      <c r="O984">
        <v>1</v>
      </c>
      <c r="P984">
        <v>3</v>
      </c>
      <c r="Q984">
        <v>116</v>
      </c>
      <c r="R984">
        <v>0.5726</v>
      </c>
      <c r="S984">
        <v>0.89119999999999999</v>
      </c>
      <c r="U984">
        <v>0.31859999999999999</v>
      </c>
      <c r="V984">
        <v>155.50929499999984</v>
      </c>
      <c r="W984">
        <v>32.800305043587024</v>
      </c>
      <c r="X984">
        <v>225.67278554989335</v>
      </c>
      <c r="Y984">
        <v>-92.927214450106675</v>
      </c>
      <c r="Z984">
        <v>-41.177855904810315</v>
      </c>
    </row>
    <row r="985" spans="1:26" x14ac:dyDescent="0.35">
      <c r="A985">
        <v>983</v>
      </c>
      <c r="C985">
        <v>46064</v>
      </c>
      <c r="D985" t="s">
        <v>16</v>
      </c>
      <c r="E985" t="s">
        <v>393</v>
      </c>
      <c r="F985" t="s">
        <v>226</v>
      </c>
      <c r="G985" t="s">
        <v>227</v>
      </c>
      <c r="H985" t="s">
        <v>228</v>
      </c>
      <c r="I985" t="s">
        <v>22</v>
      </c>
      <c r="J985" t="s">
        <v>23</v>
      </c>
      <c r="K985" t="s">
        <v>215</v>
      </c>
      <c r="L985" t="s">
        <v>392</v>
      </c>
      <c r="M985">
        <v>30</v>
      </c>
      <c r="N985">
        <v>64</v>
      </c>
      <c r="O985">
        <v>1</v>
      </c>
      <c r="P985">
        <v>1</v>
      </c>
      <c r="Q985">
        <v>117</v>
      </c>
      <c r="R985">
        <v>0.59499999999999997</v>
      </c>
      <c r="S985">
        <v>0.8377</v>
      </c>
      <c r="U985">
        <v>0.24270000000000003</v>
      </c>
      <c r="V985">
        <v>225.19998968012803</v>
      </c>
      <c r="W985">
        <v>48.129941151330698</v>
      </c>
      <c r="X985">
        <v>237.80738395651579</v>
      </c>
      <c r="Y985">
        <v>-4.8926160434842245</v>
      </c>
      <c r="Z985">
        <v>-2.0573860920899167</v>
      </c>
    </row>
    <row r="986" spans="1:26" x14ac:dyDescent="0.35">
      <c r="A986">
        <v>984</v>
      </c>
      <c r="C986">
        <v>46064</v>
      </c>
      <c r="D986" t="s">
        <v>16</v>
      </c>
      <c r="E986" t="s">
        <v>393</v>
      </c>
      <c r="F986" t="s">
        <v>226</v>
      </c>
      <c r="G986" t="s">
        <v>227</v>
      </c>
      <c r="H986" t="s">
        <v>228</v>
      </c>
      <c r="I986" t="s">
        <v>22</v>
      </c>
      <c r="J986" t="s">
        <v>23</v>
      </c>
      <c r="K986" t="s">
        <v>215</v>
      </c>
      <c r="L986" t="s">
        <v>392</v>
      </c>
      <c r="M986">
        <v>30</v>
      </c>
      <c r="N986">
        <v>64</v>
      </c>
      <c r="O986">
        <v>1</v>
      </c>
      <c r="P986">
        <v>2</v>
      </c>
      <c r="Q986">
        <v>118</v>
      </c>
      <c r="R986">
        <v>0.58450000000000002</v>
      </c>
      <c r="S986">
        <v>0.82630000000000003</v>
      </c>
      <c r="U986">
        <v>0.24180000000000001</v>
      </c>
      <c r="V986">
        <v>226.38067353716463</v>
      </c>
      <c r="W986">
        <v>48.353271788608829</v>
      </c>
      <c r="X986">
        <v>237.95003985570983</v>
      </c>
      <c r="Y986">
        <v>-3.8499601442901792</v>
      </c>
      <c r="Z986">
        <v>-1.6179699514338182</v>
      </c>
    </row>
    <row r="987" spans="1:26" x14ac:dyDescent="0.35">
      <c r="A987">
        <v>985</v>
      </c>
      <c r="C987">
        <v>46064</v>
      </c>
      <c r="D987" t="s">
        <v>16</v>
      </c>
      <c r="E987" t="s">
        <v>393</v>
      </c>
      <c r="F987" t="s">
        <v>226</v>
      </c>
      <c r="G987" t="s">
        <v>227</v>
      </c>
      <c r="H987" t="s">
        <v>228</v>
      </c>
      <c r="I987" t="s">
        <v>22</v>
      </c>
      <c r="J987" t="s">
        <v>23</v>
      </c>
      <c r="K987" t="s">
        <v>215</v>
      </c>
      <c r="L987" t="s">
        <v>392</v>
      </c>
      <c r="M987">
        <v>30</v>
      </c>
      <c r="N987">
        <v>64</v>
      </c>
      <c r="O987">
        <v>1</v>
      </c>
      <c r="P987">
        <v>3</v>
      </c>
      <c r="Q987">
        <v>119</v>
      </c>
      <c r="R987">
        <v>0.57479999999999998</v>
      </c>
      <c r="S987">
        <v>0.84230000000000005</v>
      </c>
      <c r="U987">
        <v>0.26750000000000007</v>
      </c>
      <c r="V987">
        <v>200.39998968012799</v>
      </c>
      <c r="W987">
        <v>42.829663197284546</v>
      </c>
      <c r="X987">
        <v>237.80738395651579</v>
      </c>
      <c r="Y987">
        <v>-29.692616043484264</v>
      </c>
      <c r="Z987">
        <v>-12.485994147647535</v>
      </c>
    </row>
    <row r="988" spans="1:26" x14ac:dyDescent="0.35">
      <c r="A988">
        <v>986</v>
      </c>
      <c r="C988">
        <v>46064</v>
      </c>
      <c r="D988" t="s">
        <v>16</v>
      </c>
      <c r="E988" t="s">
        <v>395</v>
      </c>
      <c r="F988" t="s">
        <v>240</v>
      </c>
      <c r="G988" t="s">
        <v>396</v>
      </c>
      <c r="H988" t="s">
        <v>397</v>
      </c>
      <c r="I988" t="s">
        <v>22</v>
      </c>
      <c r="J988" t="s">
        <v>23</v>
      </c>
      <c r="K988" t="s">
        <v>215</v>
      </c>
      <c r="L988" t="s">
        <v>394</v>
      </c>
      <c r="M988">
        <v>30</v>
      </c>
      <c r="N988">
        <v>64</v>
      </c>
      <c r="O988">
        <v>1</v>
      </c>
      <c r="P988">
        <v>1</v>
      </c>
      <c r="Q988">
        <v>120</v>
      </c>
      <c r="R988">
        <v>0.59089999999999998</v>
      </c>
      <c r="S988">
        <v>0.87339999999999995</v>
      </c>
      <c r="U988">
        <v>0.28249999999999997</v>
      </c>
      <c r="V988">
        <v>191.10748049040865</v>
      </c>
      <c r="W988">
        <v>40.351448902901964</v>
      </c>
      <c r="X988">
        <v>288.21267405171614</v>
      </c>
      <c r="Y988">
        <v>5.7126740517161352</v>
      </c>
      <c r="Z988">
        <v>1.982103691488275</v>
      </c>
    </row>
    <row r="989" spans="1:26" x14ac:dyDescent="0.35">
      <c r="A989">
        <v>987</v>
      </c>
      <c r="C989">
        <v>46064</v>
      </c>
      <c r="D989" t="s">
        <v>16</v>
      </c>
      <c r="E989" t="s">
        <v>395</v>
      </c>
      <c r="F989" t="s">
        <v>240</v>
      </c>
      <c r="G989" t="s">
        <v>396</v>
      </c>
      <c r="H989" t="s">
        <v>397</v>
      </c>
      <c r="I989" t="s">
        <v>22</v>
      </c>
      <c r="J989" t="s">
        <v>23</v>
      </c>
      <c r="K989" t="s">
        <v>215</v>
      </c>
      <c r="L989" t="s">
        <v>394</v>
      </c>
      <c r="M989">
        <v>30</v>
      </c>
      <c r="N989">
        <v>64</v>
      </c>
      <c r="O989">
        <v>1</v>
      </c>
      <c r="P989">
        <v>2</v>
      </c>
      <c r="Q989">
        <v>121</v>
      </c>
      <c r="R989">
        <v>0.58089999999999997</v>
      </c>
      <c r="T989" t="s">
        <v>589</v>
      </c>
    </row>
    <row r="990" spans="1:26" x14ac:dyDescent="0.35">
      <c r="A990">
        <v>988</v>
      </c>
      <c r="C990">
        <v>46064</v>
      </c>
      <c r="D990" t="s">
        <v>16</v>
      </c>
      <c r="E990" t="s">
        <v>395</v>
      </c>
      <c r="F990" t="s">
        <v>240</v>
      </c>
      <c r="G990" t="s">
        <v>396</v>
      </c>
      <c r="H990" t="s">
        <v>397</v>
      </c>
      <c r="I990" t="s">
        <v>22</v>
      </c>
      <c r="J990" t="s">
        <v>23</v>
      </c>
      <c r="K990" t="s">
        <v>215</v>
      </c>
      <c r="L990" t="s">
        <v>394</v>
      </c>
      <c r="M990">
        <v>30</v>
      </c>
      <c r="N990">
        <v>64</v>
      </c>
      <c r="O990">
        <v>1</v>
      </c>
      <c r="P990">
        <v>3</v>
      </c>
      <c r="Q990">
        <v>122</v>
      </c>
      <c r="R990">
        <v>0.58209999999999995</v>
      </c>
      <c r="S990">
        <v>0.85860000000000003</v>
      </c>
      <c r="U990">
        <v>0.27650000000000008</v>
      </c>
      <c r="V990">
        <v>196.72897301349326</v>
      </c>
      <c r="W990">
        <v>41.571624780438768</v>
      </c>
      <c r="X990">
        <v>287.98233425227426</v>
      </c>
      <c r="Y990">
        <v>11.4823342522742</v>
      </c>
      <c r="Z990">
        <v>3.9871661857617995</v>
      </c>
    </row>
    <row r="991" spans="1:26" x14ac:dyDescent="0.35">
      <c r="A991">
        <v>989</v>
      </c>
      <c r="C991">
        <v>46064</v>
      </c>
      <c r="D991" t="s">
        <v>16</v>
      </c>
      <c r="E991" t="s">
        <v>399</v>
      </c>
      <c r="F991" t="s">
        <v>240</v>
      </c>
      <c r="G991" t="s">
        <v>400</v>
      </c>
      <c r="H991" t="s">
        <v>401</v>
      </c>
      <c r="I991" t="s">
        <v>22</v>
      </c>
      <c r="J991" t="s">
        <v>23</v>
      </c>
      <c r="K991" t="s">
        <v>215</v>
      </c>
      <c r="L991" t="s">
        <v>398</v>
      </c>
      <c r="M991">
        <v>30</v>
      </c>
      <c r="N991">
        <v>64</v>
      </c>
      <c r="O991">
        <v>1</v>
      </c>
      <c r="P991">
        <v>1</v>
      </c>
      <c r="Q991">
        <v>123</v>
      </c>
      <c r="R991">
        <v>0.54690000000000005</v>
      </c>
      <c r="S991">
        <v>0.93410000000000004</v>
      </c>
      <c r="U991">
        <v>0.38719999999999999</v>
      </c>
      <c r="V991">
        <v>90.085212851391248</v>
      </c>
      <c r="W991">
        <v>18.874503216474132</v>
      </c>
      <c r="X991">
        <v>268.60417954089291</v>
      </c>
      <c r="Y991">
        <v>-118.59582045910707</v>
      </c>
      <c r="Z991">
        <v>-44.152634058716046</v>
      </c>
    </row>
    <row r="992" spans="1:26" x14ac:dyDescent="0.35">
      <c r="A992">
        <v>990</v>
      </c>
      <c r="C992">
        <v>46064</v>
      </c>
      <c r="D992" t="s">
        <v>16</v>
      </c>
      <c r="E992" t="s">
        <v>399</v>
      </c>
      <c r="F992" t="s">
        <v>240</v>
      </c>
      <c r="G992" t="s">
        <v>400</v>
      </c>
      <c r="H992" t="s">
        <v>401</v>
      </c>
      <c r="I992" t="s">
        <v>22</v>
      </c>
      <c r="J992" t="s">
        <v>23</v>
      </c>
      <c r="K992" t="s">
        <v>215</v>
      </c>
      <c r="L992" t="s">
        <v>398</v>
      </c>
      <c r="M992">
        <v>30</v>
      </c>
      <c r="N992">
        <v>64</v>
      </c>
      <c r="O992">
        <v>1</v>
      </c>
      <c r="P992">
        <v>2</v>
      </c>
      <c r="Q992">
        <v>124</v>
      </c>
      <c r="R992">
        <v>0.58520000000000005</v>
      </c>
      <c r="S992">
        <v>0.96530000000000005</v>
      </c>
      <c r="U992">
        <v>0.38009999999999999</v>
      </c>
      <c r="V992">
        <v>97.280669893961601</v>
      </c>
      <c r="W992">
        <v>20.378007747060668</v>
      </c>
      <c r="X992">
        <v>268.65790037680114</v>
      </c>
      <c r="Y992">
        <v>-111.44209962319883</v>
      </c>
      <c r="Z992">
        <v>-41.481043165638454</v>
      </c>
    </row>
    <row r="993" spans="1:26" x14ac:dyDescent="0.35">
      <c r="A993">
        <v>991</v>
      </c>
      <c r="C993">
        <v>46064</v>
      </c>
      <c r="D993" t="s">
        <v>16</v>
      </c>
      <c r="E993" t="s">
        <v>399</v>
      </c>
      <c r="F993" t="s">
        <v>240</v>
      </c>
      <c r="G993" t="s">
        <v>400</v>
      </c>
      <c r="H993" t="s">
        <v>401</v>
      </c>
      <c r="I993" t="s">
        <v>22</v>
      </c>
      <c r="J993" t="s">
        <v>23</v>
      </c>
      <c r="K993" t="s">
        <v>215</v>
      </c>
      <c r="L993" t="s">
        <v>398</v>
      </c>
      <c r="M993">
        <v>30</v>
      </c>
      <c r="N993">
        <v>64</v>
      </c>
      <c r="O993">
        <v>1</v>
      </c>
      <c r="P993">
        <v>3</v>
      </c>
      <c r="Q993">
        <v>125</v>
      </c>
      <c r="R993">
        <v>0.59930000000000005</v>
      </c>
      <c r="S993">
        <v>1.0329999999999999</v>
      </c>
      <c r="U993">
        <v>0.43369999999999986</v>
      </c>
      <c r="V993">
        <v>44.062498064242732</v>
      </c>
    </row>
    <row r="994" spans="1:26" x14ac:dyDescent="0.35">
      <c r="A994">
        <v>992</v>
      </c>
      <c r="C994">
        <v>46064</v>
      </c>
      <c r="D994" t="s">
        <v>16</v>
      </c>
      <c r="E994" t="s">
        <v>403</v>
      </c>
      <c r="F994" t="s">
        <v>212</v>
      </c>
      <c r="G994" t="s">
        <v>404</v>
      </c>
      <c r="H994" t="s">
        <v>405</v>
      </c>
      <c r="I994" t="s">
        <v>22</v>
      </c>
      <c r="J994" t="s">
        <v>23</v>
      </c>
      <c r="K994" t="s">
        <v>215</v>
      </c>
      <c r="L994" t="s">
        <v>402</v>
      </c>
      <c r="M994">
        <v>30</v>
      </c>
      <c r="N994">
        <v>64</v>
      </c>
      <c r="O994">
        <v>1</v>
      </c>
      <c r="P994">
        <v>1</v>
      </c>
      <c r="Q994">
        <v>126</v>
      </c>
      <c r="R994">
        <v>0.56710000000000005</v>
      </c>
      <c r="S994">
        <v>0.98309999999999997</v>
      </c>
      <c r="U994">
        <v>0.41599999999999993</v>
      </c>
      <c r="V994">
        <v>56.633353329334454</v>
      </c>
      <c r="W994">
        <v>11.982513068617887</v>
      </c>
      <c r="X994">
        <v>288.35371108673064</v>
      </c>
      <c r="Y994">
        <v>-127.6462889132693</v>
      </c>
      <c r="Z994">
        <v>-44.267260661291097</v>
      </c>
    </row>
    <row r="995" spans="1:26" x14ac:dyDescent="0.35">
      <c r="A995">
        <v>993</v>
      </c>
      <c r="C995">
        <v>46064</v>
      </c>
      <c r="D995" t="s">
        <v>16</v>
      </c>
      <c r="E995" t="s">
        <v>403</v>
      </c>
      <c r="F995" t="s">
        <v>212</v>
      </c>
      <c r="G995" t="s">
        <v>404</v>
      </c>
      <c r="H995" t="s">
        <v>405</v>
      </c>
      <c r="I995" t="s">
        <v>22</v>
      </c>
      <c r="J995" t="s">
        <v>23</v>
      </c>
      <c r="K995" t="s">
        <v>215</v>
      </c>
      <c r="L995" t="s">
        <v>402</v>
      </c>
      <c r="M995">
        <v>30</v>
      </c>
      <c r="N995">
        <v>64</v>
      </c>
      <c r="O995">
        <v>1</v>
      </c>
      <c r="P995">
        <v>2</v>
      </c>
      <c r="Q995">
        <v>127</v>
      </c>
      <c r="R995">
        <v>0.58540000000000003</v>
      </c>
      <c r="S995">
        <v>0.91510000000000002</v>
      </c>
      <c r="U995">
        <v>0.32969999999999999</v>
      </c>
      <c r="V995">
        <v>143.12225554889051</v>
      </c>
      <c r="W995">
        <v>30.269779789181573</v>
      </c>
      <c r="X995">
        <v>288.46896037173735</v>
      </c>
      <c r="Y995">
        <v>-41.231039628262636</v>
      </c>
      <c r="Z995">
        <v>-14.293059320881524</v>
      </c>
    </row>
    <row r="996" spans="1:26" x14ac:dyDescent="0.35">
      <c r="A996">
        <v>994</v>
      </c>
      <c r="C996">
        <v>46064</v>
      </c>
      <c r="D996" t="s">
        <v>16</v>
      </c>
      <c r="E996" t="s">
        <v>403</v>
      </c>
      <c r="F996" t="s">
        <v>212</v>
      </c>
      <c r="G996" t="s">
        <v>404</v>
      </c>
      <c r="H996" t="s">
        <v>405</v>
      </c>
      <c r="I996" t="s">
        <v>22</v>
      </c>
      <c r="J996" t="s">
        <v>23</v>
      </c>
      <c r="K996" t="s">
        <v>215</v>
      </c>
      <c r="L996" t="s">
        <v>402</v>
      </c>
      <c r="M996">
        <v>30</v>
      </c>
      <c r="N996">
        <v>64</v>
      </c>
      <c r="O996">
        <v>1</v>
      </c>
      <c r="P996">
        <v>3</v>
      </c>
      <c r="Q996">
        <v>128</v>
      </c>
      <c r="R996">
        <v>0.6018</v>
      </c>
      <c r="S996">
        <v>1.0059</v>
      </c>
      <c r="U996">
        <v>0.40410000000000001</v>
      </c>
      <c r="V996">
        <v>68.438902219556269</v>
      </c>
      <c r="W996">
        <v>14.48323130605603</v>
      </c>
      <c r="X996">
        <v>288.29608644422729</v>
      </c>
      <c r="Y996">
        <v>-115.80391355577274</v>
      </c>
      <c r="Z996">
        <v>-40.168395965435955</v>
      </c>
    </row>
    <row r="997" spans="1:26" x14ac:dyDescent="0.35">
      <c r="A997">
        <v>995</v>
      </c>
      <c r="C997">
        <v>46064</v>
      </c>
      <c r="D997" t="s">
        <v>16</v>
      </c>
      <c r="E997" t="s">
        <v>407</v>
      </c>
      <c r="F997" t="s">
        <v>226</v>
      </c>
      <c r="G997" t="s">
        <v>231</v>
      </c>
      <c r="H997" t="s">
        <v>232</v>
      </c>
      <c r="I997" t="s">
        <v>22</v>
      </c>
      <c r="J997" t="s">
        <v>23</v>
      </c>
      <c r="K997" t="s">
        <v>215</v>
      </c>
      <c r="L997" t="s">
        <v>406</v>
      </c>
      <c r="M997">
        <v>30</v>
      </c>
      <c r="N997">
        <v>64</v>
      </c>
      <c r="O997">
        <v>1</v>
      </c>
      <c r="P997">
        <v>1</v>
      </c>
      <c r="Q997">
        <v>129</v>
      </c>
      <c r="R997">
        <v>0.5534</v>
      </c>
      <c r="S997">
        <v>0.86880000000000002</v>
      </c>
      <c r="U997">
        <v>0.31540000000000001</v>
      </c>
      <c r="V997">
        <v>158.32101172774304</v>
      </c>
      <c r="W997">
        <v>33.420728194073284</v>
      </c>
      <c r="X997">
        <v>242.82112513053784</v>
      </c>
      <c r="Y997">
        <v>-72.578874869462197</v>
      </c>
      <c r="Z997">
        <v>-29.889851976612263</v>
      </c>
    </row>
    <row r="998" spans="1:26" x14ac:dyDescent="0.35">
      <c r="A998">
        <v>996</v>
      </c>
      <c r="C998">
        <v>46064</v>
      </c>
      <c r="D998" t="s">
        <v>16</v>
      </c>
      <c r="E998" t="s">
        <v>407</v>
      </c>
      <c r="F998" t="s">
        <v>226</v>
      </c>
      <c r="G998" t="s">
        <v>231</v>
      </c>
      <c r="H998" t="s">
        <v>232</v>
      </c>
      <c r="I998" t="s">
        <v>22</v>
      </c>
      <c r="J998" t="s">
        <v>23</v>
      </c>
      <c r="K998" t="s">
        <v>215</v>
      </c>
      <c r="L998" t="s">
        <v>406</v>
      </c>
      <c r="M998">
        <v>30</v>
      </c>
      <c r="N998">
        <v>64</v>
      </c>
      <c r="O998">
        <v>1</v>
      </c>
      <c r="P998">
        <v>2</v>
      </c>
      <c r="Q998">
        <v>130</v>
      </c>
      <c r="R998">
        <v>0.58299999999999996</v>
      </c>
      <c r="S998">
        <v>0.90300000000000002</v>
      </c>
      <c r="U998">
        <v>0.32000000000000006</v>
      </c>
      <c r="V998">
        <v>153.53163694791982</v>
      </c>
      <c r="W998">
        <v>32.422677804060974</v>
      </c>
      <c r="X998">
        <v>242.72405492261038</v>
      </c>
      <c r="Y998">
        <v>-77.275945077389679</v>
      </c>
      <c r="Z998">
        <v>-31.836953738280361</v>
      </c>
    </row>
    <row r="999" spans="1:26" x14ac:dyDescent="0.35">
      <c r="A999">
        <v>997</v>
      </c>
      <c r="C999">
        <v>46064</v>
      </c>
      <c r="D999" t="s">
        <v>16</v>
      </c>
      <c r="E999" t="s">
        <v>407</v>
      </c>
      <c r="F999" t="s">
        <v>226</v>
      </c>
      <c r="G999" t="s">
        <v>231</v>
      </c>
      <c r="H999" t="s">
        <v>232</v>
      </c>
      <c r="I999" t="s">
        <v>22</v>
      </c>
      <c r="J999" t="s">
        <v>23</v>
      </c>
      <c r="K999" t="s">
        <v>215</v>
      </c>
      <c r="L999" t="s">
        <v>406</v>
      </c>
      <c r="M999">
        <v>30</v>
      </c>
      <c r="N999">
        <v>64</v>
      </c>
      <c r="O999">
        <v>1</v>
      </c>
      <c r="P999">
        <v>3</v>
      </c>
      <c r="Q999">
        <v>131</v>
      </c>
      <c r="R999">
        <v>0.56740000000000002</v>
      </c>
      <c r="S999">
        <v>0.84530000000000005</v>
      </c>
      <c r="U999">
        <v>0.27790000000000004</v>
      </c>
      <c r="V999">
        <v>195.63163694791984</v>
      </c>
      <c r="W999">
        <v>41.313319255464208</v>
      </c>
      <c r="X999">
        <v>242.72405492261038</v>
      </c>
      <c r="Y999">
        <v>-35.175945077389656</v>
      </c>
      <c r="Z999">
        <v>-14.492154512087843</v>
      </c>
    </row>
    <row r="1000" spans="1:26" x14ac:dyDescent="0.35">
      <c r="A1000">
        <v>998</v>
      </c>
      <c r="C1000">
        <v>46064</v>
      </c>
      <c r="D1000" t="s">
        <v>16</v>
      </c>
      <c r="E1000" t="s">
        <v>409</v>
      </c>
      <c r="F1000" t="s">
        <v>290</v>
      </c>
      <c r="G1000" t="s">
        <v>314</v>
      </c>
      <c r="H1000" t="s">
        <v>315</v>
      </c>
      <c r="I1000" t="s">
        <v>22</v>
      </c>
      <c r="J1000" t="s">
        <v>23</v>
      </c>
      <c r="K1000" t="s">
        <v>215</v>
      </c>
      <c r="L1000" t="s">
        <v>408</v>
      </c>
      <c r="M1000">
        <v>30</v>
      </c>
      <c r="N1000">
        <v>64</v>
      </c>
      <c r="O1000">
        <v>1</v>
      </c>
      <c r="P1000">
        <v>1</v>
      </c>
      <c r="Q1000">
        <v>132</v>
      </c>
      <c r="R1000">
        <v>0.57250000000000001</v>
      </c>
      <c r="S1000">
        <v>0.85880000000000001</v>
      </c>
      <c r="U1000">
        <v>0.2863</v>
      </c>
      <c r="V1000">
        <v>184.06754254061605</v>
      </c>
      <c r="W1000">
        <v>39.132704936740375</v>
      </c>
      <c r="X1000">
        <v>212.71420002791348</v>
      </c>
      <c r="Y1000">
        <v>-73.585799972086534</v>
      </c>
      <c r="Z1000">
        <v>-34.593741255840101</v>
      </c>
    </row>
    <row r="1001" spans="1:26" x14ac:dyDescent="0.35">
      <c r="A1001">
        <v>999</v>
      </c>
      <c r="C1001">
        <v>46064</v>
      </c>
      <c r="D1001" t="s">
        <v>16</v>
      </c>
      <c r="E1001" t="s">
        <v>409</v>
      </c>
      <c r="F1001" t="s">
        <v>290</v>
      </c>
      <c r="G1001" t="s">
        <v>314</v>
      </c>
      <c r="H1001" t="s">
        <v>315</v>
      </c>
      <c r="I1001" t="s">
        <v>22</v>
      </c>
      <c r="J1001" t="s">
        <v>23</v>
      </c>
      <c r="K1001" t="s">
        <v>215</v>
      </c>
      <c r="L1001" t="s">
        <v>408</v>
      </c>
      <c r="M1001">
        <v>30</v>
      </c>
      <c r="N1001">
        <v>64</v>
      </c>
      <c r="O1001">
        <v>1</v>
      </c>
      <c r="P1001">
        <v>2</v>
      </c>
      <c r="Q1001">
        <v>133</v>
      </c>
      <c r="R1001">
        <v>0.56540000000000001</v>
      </c>
      <c r="S1001">
        <v>0.82699999999999996</v>
      </c>
      <c r="U1001">
        <v>0.26159999999999994</v>
      </c>
      <c r="V1001">
        <v>208.67352544236695</v>
      </c>
      <c r="W1001">
        <v>44.372798840010475</v>
      </c>
      <c r="X1001">
        <v>212.67168269830566</v>
      </c>
      <c r="Y1001">
        <v>-48.928317301694307</v>
      </c>
      <c r="Z1001">
        <v>-23.006503113582649</v>
      </c>
    </row>
    <row r="1002" spans="1:26" x14ac:dyDescent="0.35">
      <c r="A1002">
        <v>1000</v>
      </c>
      <c r="C1002">
        <v>46064</v>
      </c>
      <c r="D1002" t="s">
        <v>16</v>
      </c>
      <c r="E1002" t="s">
        <v>409</v>
      </c>
      <c r="F1002" t="s">
        <v>290</v>
      </c>
      <c r="G1002" t="s">
        <v>314</v>
      </c>
      <c r="H1002" t="s">
        <v>315</v>
      </c>
      <c r="I1002" t="s">
        <v>22</v>
      </c>
      <c r="J1002" t="s">
        <v>23</v>
      </c>
      <c r="K1002" t="s">
        <v>215</v>
      </c>
      <c r="L1002" t="s">
        <v>408</v>
      </c>
      <c r="M1002">
        <v>30</v>
      </c>
      <c r="N1002">
        <v>64</v>
      </c>
      <c r="O1002">
        <v>1</v>
      </c>
      <c r="P1002">
        <v>3</v>
      </c>
      <c r="Q1002">
        <v>134</v>
      </c>
      <c r="R1002">
        <v>0.57730000000000004</v>
      </c>
      <c r="S1002">
        <v>0.89359999999999995</v>
      </c>
      <c r="U1002">
        <v>0.31629999999999991</v>
      </c>
      <c r="V1002">
        <v>154.34959383536375</v>
      </c>
      <c r="W1002">
        <v>32.795012649975057</v>
      </c>
      <c r="X1002">
        <v>212.84175201673696</v>
      </c>
      <c r="Y1002">
        <v>-103.45824798326294</v>
      </c>
      <c r="Z1002">
        <v>-48.608060684976614</v>
      </c>
    </row>
    <row r="1003" spans="1:26" x14ac:dyDescent="0.35">
      <c r="A1003">
        <v>1001</v>
      </c>
      <c r="C1003">
        <v>46064</v>
      </c>
      <c r="D1003" t="s">
        <v>16</v>
      </c>
      <c r="E1003" t="s">
        <v>411</v>
      </c>
      <c r="F1003" t="s">
        <v>264</v>
      </c>
      <c r="G1003" t="s">
        <v>412</v>
      </c>
      <c r="H1003" t="s">
        <v>413</v>
      </c>
      <c r="I1003" t="s">
        <v>22</v>
      </c>
      <c r="J1003" t="s">
        <v>23</v>
      </c>
      <c r="K1003" t="s">
        <v>215</v>
      </c>
      <c r="L1003" t="s">
        <v>410</v>
      </c>
      <c r="M1003">
        <v>30</v>
      </c>
      <c r="N1003">
        <v>64</v>
      </c>
      <c r="O1003">
        <v>1</v>
      </c>
      <c r="P1003">
        <v>1</v>
      </c>
      <c r="Q1003">
        <v>135</v>
      </c>
      <c r="R1003">
        <v>0.59160000000000001</v>
      </c>
      <c r="S1003">
        <v>0.88439999999999996</v>
      </c>
      <c r="U1003">
        <v>0.29279999999999995</v>
      </c>
      <c r="V1003">
        <v>182.76885336261404</v>
      </c>
      <c r="W1003">
        <v>38.431628158637125</v>
      </c>
      <c r="X1003">
        <v>246.75556764692689</v>
      </c>
      <c r="Y1003">
        <v>-46.044432353073063</v>
      </c>
      <c r="Z1003">
        <v>-18.6599365486076</v>
      </c>
    </row>
    <row r="1004" spans="1:26" x14ac:dyDescent="0.35">
      <c r="A1004">
        <v>1002</v>
      </c>
      <c r="C1004">
        <v>46064</v>
      </c>
      <c r="D1004" t="s">
        <v>16</v>
      </c>
      <c r="E1004" t="s">
        <v>411</v>
      </c>
      <c r="F1004" t="s">
        <v>264</v>
      </c>
      <c r="G1004" t="s">
        <v>412</v>
      </c>
      <c r="H1004" t="s">
        <v>413</v>
      </c>
      <c r="I1004" t="s">
        <v>22</v>
      </c>
      <c r="J1004" t="s">
        <v>23</v>
      </c>
      <c r="K1004" t="s">
        <v>215</v>
      </c>
      <c r="L1004" t="s">
        <v>410</v>
      </c>
      <c r="M1004">
        <v>30</v>
      </c>
      <c r="N1004">
        <v>64</v>
      </c>
      <c r="O1004">
        <v>1</v>
      </c>
      <c r="P1004">
        <v>2</v>
      </c>
      <c r="Q1004">
        <v>136</v>
      </c>
      <c r="R1004">
        <v>0.59940000000000004</v>
      </c>
      <c r="S1004">
        <v>0.85450000000000004</v>
      </c>
      <c r="U1004">
        <v>0.25509999999999999</v>
      </c>
      <c r="V1004">
        <v>220.56392910299044</v>
      </c>
      <c r="W1004">
        <v>46.369698353821164</v>
      </c>
      <c r="X1004">
        <v>246.80489902790396</v>
      </c>
      <c r="Y1004">
        <v>-8.2951009720960371</v>
      </c>
      <c r="Z1004">
        <v>-3.3609952658023157</v>
      </c>
    </row>
    <row r="1005" spans="1:26" x14ac:dyDescent="0.35">
      <c r="A1005">
        <v>1003</v>
      </c>
      <c r="C1005">
        <v>46064</v>
      </c>
      <c r="D1005" t="s">
        <v>16</v>
      </c>
      <c r="E1005" t="s">
        <v>411</v>
      </c>
      <c r="F1005" t="s">
        <v>264</v>
      </c>
      <c r="G1005" t="s">
        <v>412</v>
      </c>
      <c r="H1005" t="s">
        <v>413</v>
      </c>
      <c r="I1005" t="s">
        <v>22</v>
      </c>
      <c r="J1005" t="s">
        <v>23</v>
      </c>
      <c r="K1005" t="s">
        <v>215</v>
      </c>
      <c r="L1005" t="s">
        <v>410</v>
      </c>
      <c r="M1005">
        <v>30</v>
      </c>
      <c r="N1005">
        <v>64</v>
      </c>
      <c r="O1005">
        <v>1</v>
      </c>
      <c r="P1005">
        <v>3</v>
      </c>
      <c r="Q1005">
        <v>137</v>
      </c>
      <c r="R1005">
        <v>0.57520000000000004</v>
      </c>
      <c r="S1005">
        <v>0.81920000000000004</v>
      </c>
      <c r="U1005">
        <v>0.24399999999999999</v>
      </c>
      <c r="V1005">
        <v>231.8540805837431</v>
      </c>
      <c r="W1005">
        <v>48.723776898019118</v>
      </c>
      <c r="X1005">
        <v>246.90356178985789</v>
      </c>
      <c r="Y1005">
        <v>2.9035617898578892</v>
      </c>
      <c r="Z1005">
        <v>1.1759902404037168</v>
      </c>
    </row>
    <row r="1006" spans="1:26" x14ac:dyDescent="0.35">
      <c r="A1006">
        <v>1004</v>
      </c>
      <c r="C1006">
        <v>46064</v>
      </c>
      <c r="D1006" t="s">
        <v>16</v>
      </c>
      <c r="E1006" t="s">
        <v>415</v>
      </c>
      <c r="F1006" t="s">
        <v>235</v>
      </c>
      <c r="G1006" t="s">
        <v>274</v>
      </c>
      <c r="H1006" t="s">
        <v>275</v>
      </c>
      <c r="I1006" t="s">
        <v>22</v>
      </c>
      <c r="J1006" t="s">
        <v>23</v>
      </c>
      <c r="K1006" t="s">
        <v>215</v>
      </c>
      <c r="L1006" t="s">
        <v>414</v>
      </c>
      <c r="M1006">
        <v>30</v>
      </c>
      <c r="N1006">
        <v>64</v>
      </c>
      <c r="O1006">
        <v>1</v>
      </c>
      <c r="P1006">
        <v>1</v>
      </c>
      <c r="Q1006">
        <v>138</v>
      </c>
      <c r="R1006">
        <v>0.56589999999999996</v>
      </c>
      <c r="S1006">
        <v>0.84750000000000003</v>
      </c>
      <c r="U1006">
        <v>0.28160000000000007</v>
      </c>
      <c r="V1006">
        <v>192.02894434411735</v>
      </c>
      <c r="W1006">
        <v>40.544174218499151</v>
      </c>
      <c r="X1006">
        <v>220.93573340740693</v>
      </c>
      <c r="Y1006">
        <v>-60.664266592593151</v>
      </c>
      <c r="Z1006">
        <v>-27.457879111265289</v>
      </c>
    </row>
    <row r="1007" spans="1:26" x14ac:dyDescent="0.35">
      <c r="A1007">
        <v>1005</v>
      </c>
      <c r="C1007">
        <v>46064</v>
      </c>
      <c r="D1007" t="s">
        <v>16</v>
      </c>
      <c r="E1007" t="s">
        <v>415</v>
      </c>
      <c r="F1007" t="s">
        <v>235</v>
      </c>
      <c r="G1007" t="s">
        <v>274</v>
      </c>
      <c r="H1007" t="s">
        <v>275</v>
      </c>
      <c r="I1007" t="s">
        <v>22</v>
      </c>
      <c r="J1007" t="s">
        <v>23</v>
      </c>
      <c r="K1007" t="s">
        <v>215</v>
      </c>
      <c r="L1007" t="s">
        <v>414</v>
      </c>
      <c r="M1007">
        <v>30</v>
      </c>
      <c r="N1007">
        <v>64</v>
      </c>
      <c r="O1007">
        <v>1</v>
      </c>
      <c r="P1007">
        <v>2</v>
      </c>
      <c r="Q1007">
        <v>139</v>
      </c>
      <c r="R1007">
        <v>0.58289999999999997</v>
      </c>
      <c r="S1007">
        <v>0.80030000000000001</v>
      </c>
      <c r="U1007">
        <v>0.21740000000000004</v>
      </c>
      <c r="V1007">
        <v>256.51312171072385</v>
      </c>
      <c r="W1007">
        <v>54.126613077259165</v>
      </c>
      <c r="X1007">
        <v>221.06829484745137</v>
      </c>
      <c r="Y1007">
        <v>3.6682948474513353</v>
      </c>
      <c r="Z1007">
        <v>1.6593491391348767</v>
      </c>
    </row>
    <row r="1008" spans="1:26" x14ac:dyDescent="0.35">
      <c r="A1008">
        <v>1006</v>
      </c>
      <c r="C1008">
        <v>46064</v>
      </c>
      <c r="D1008" t="s">
        <v>16</v>
      </c>
      <c r="E1008" t="s">
        <v>415</v>
      </c>
      <c r="F1008" t="s">
        <v>235</v>
      </c>
      <c r="G1008" t="s">
        <v>274</v>
      </c>
      <c r="H1008" t="s">
        <v>275</v>
      </c>
      <c r="I1008" t="s">
        <v>22</v>
      </c>
      <c r="J1008" t="s">
        <v>23</v>
      </c>
      <c r="K1008" t="s">
        <v>215</v>
      </c>
      <c r="L1008" t="s">
        <v>414</v>
      </c>
      <c r="M1008">
        <v>30</v>
      </c>
      <c r="N1008">
        <v>64</v>
      </c>
      <c r="O1008">
        <v>1</v>
      </c>
      <c r="P1008">
        <v>3</v>
      </c>
      <c r="Q1008">
        <v>140</v>
      </c>
      <c r="R1008">
        <v>0.58240000000000003</v>
      </c>
      <c r="S1008">
        <v>0.81310000000000004</v>
      </c>
      <c r="U1008">
        <v>0.23070000000000002</v>
      </c>
      <c r="V1008">
        <v>243.40257328846147</v>
      </c>
      <c r="W1008">
        <v>51.339643993108297</v>
      </c>
      <c r="X1008">
        <v>221.1566691408143</v>
      </c>
      <c r="Y1008">
        <v>-9.5433308591857156</v>
      </c>
      <c r="Z1008">
        <v>-4.315190175481125</v>
      </c>
    </row>
    <row r="1009" spans="1:26" x14ac:dyDescent="0.35">
      <c r="A1009">
        <v>1007</v>
      </c>
      <c r="C1009">
        <v>46064</v>
      </c>
      <c r="D1009" t="s">
        <v>16</v>
      </c>
      <c r="E1009" t="s">
        <v>417</v>
      </c>
      <c r="F1009" t="s">
        <v>290</v>
      </c>
      <c r="G1009" t="s">
        <v>291</v>
      </c>
      <c r="H1009" t="s">
        <v>292</v>
      </c>
      <c r="I1009" t="s">
        <v>22</v>
      </c>
      <c r="J1009" t="s">
        <v>23</v>
      </c>
      <c r="K1009" t="s">
        <v>215</v>
      </c>
      <c r="L1009" t="s">
        <v>416</v>
      </c>
      <c r="M1009">
        <v>30</v>
      </c>
      <c r="N1009">
        <v>64</v>
      </c>
      <c r="O1009">
        <v>1</v>
      </c>
      <c r="P1009">
        <v>1</v>
      </c>
      <c r="Q1009">
        <v>141</v>
      </c>
      <c r="R1009">
        <v>0.58189999999999997</v>
      </c>
      <c r="S1009">
        <v>0.79790000000000005</v>
      </c>
      <c r="U1009">
        <v>0.21600000000000008</v>
      </c>
      <c r="V1009">
        <v>251.59120439780074</v>
      </c>
      <c r="W1009">
        <v>53.805803452145518</v>
      </c>
      <c r="X1009">
        <v>195.7918093971237</v>
      </c>
      <c r="Y1009">
        <v>-20.208190602876385</v>
      </c>
      <c r="Z1009">
        <v>-10.321264543752285</v>
      </c>
    </row>
    <row r="1010" spans="1:26" x14ac:dyDescent="0.35">
      <c r="A1010">
        <v>1008</v>
      </c>
      <c r="C1010">
        <v>46064</v>
      </c>
      <c r="D1010" t="s">
        <v>16</v>
      </c>
      <c r="E1010" t="s">
        <v>417</v>
      </c>
      <c r="F1010" t="s">
        <v>290</v>
      </c>
      <c r="G1010" t="s">
        <v>291</v>
      </c>
      <c r="H1010" t="s">
        <v>292</v>
      </c>
      <c r="I1010" t="s">
        <v>22</v>
      </c>
      <c r="J1010" t="s">
        <v>23</v>
      </c>
      <c r="K1010" t="s">
        <v>215</v>
      </c>
      <c r="L1010" t="s">
        <v>416</v>
      </c>
      <c r="M1010">
        <v>30</v>
      </c>
      <c r="N1010">
        <v>64</v>
      </c>
      <c r="O1010">
        <v>1</v>
      </c>
      <c r="P1010">
        <v>2</v>
      </c>
      <c r="Q1010">
        <v>142</v>
      </c>
      <c r="R1010">
        <v>0.58260000000000001</v>
      </c>
      <c r="S1010">
        <v>0.85950000000000004</v>
      </c>
      <c r="U1010">
        <v>0.27690000000000003</v>
      </c>
      <c r="V1010">
        <v>190.78472263868042</v>
      </c>
      <c r="W1010">
        <v>40.793447680367166</v>
      </c>
      <c r="X1010">
        <v>195.83096775900313</v>
      </c>
      <c r="Y1010">
        <v>-81.069032240996904</v>
      </c>
      <c r="Z1010">
        <v>-41.397452695409989</v>
      </c>
    </row>
    <row r="1011" spans="1:26" x14ac:dyDescent="0.35">
      <c r="A1011">
        <v>1009</v>
      </c>
      <c r="C1011">
        <v>46064</v>
      </c>
      <c r="D1011" t="s">
        <v>16</v>
      </c>
      <c r="E1011" t="s">
        <v>417</v>
      </c>
      <c r="F1011" t="s">
        <v>290</v>
      </c>
      <c r="G1011" t="s">
        <v>291</v>
      </c>
      <c r="H1011" t="s">
        <v>292</v>
      </c>
      <c r="I1011" t="s">
        <v>22</v>
      </c>
      <c r="J1011" t="s">
        <v>23</v>
      </c>
      <c r="K1011" t="s">
        <v>215</v>
      </c>
      <c r="L1011" t="s">
        <v>416</v>
      </c>
      <c r="M1011">
        <v>30</v>
      </c>
      <c r="N1011">
        <v>64</v>
      </c>
      <c r="O1011">
        <v>1</v>
      </c>
      <c r="P1011">
        <v>3</v>
      </c>
      <c r="Q1011">
        <v>143</v>
      </c>
      <c r="R1011">
        <v>0.56859999999999999</v>
      </c>
      <c r="S1011">
        <v>0.81140000000000001</v>
      </c>
      <c r="U1011">
        <v>0.24280000000000002</v>
      </c>
      <c r="V1011">
        <v>225.07175912043948</v>
      </c>
      <c r="W1011">
        <v>48.105438025059669</v>
      </c>
      <c r="X1011">
        <v>195.90928448276199</v>
      </c>
      <c r="Y1011">
        <v>-46.890715517238021</v>
      </c>
      <c r="Z1011">
        <v>-23.934912345292101</v>
      </c>
    </row>
    <row r="1012" spans="1:26" x14ac:dyDescent="0.35">
      <c r="A1012">
        <v>1010</v>
      </c>
      <c r="C1012">
        <v>46064</v>
      </c>
      <c r="D1012" t="s">
        <v>16</v>
      </c>
      <c r="E1012" t="s">
        <v>419</v>
      </c>
      <c r="F1012" t="s">
        <v>264</v>
      </c>
      <c r="G1012" t="s">
        <v>329</v>
      </c>
      <c r="H1012" t="s">
        <v>330</v>
      </c>
      <c r="I1012" t="s">
        <v>22</v>
      </c>
      <c r="J1012" t="s">
        <v>23</v>
      </c>
      <c r="K1012" t="s">
        <v>215</v>
      </c>
      <c r="L1012" t="s">
        <v>418</v>
      </c>
      <c r="M1012">
        <v>30</v>
      </c>
      <c r="N1012">
        <v>64</v>
      </c>
      <c r="O1012">
        <v>1</v>
      </c>
      <c r="P1012">
        <v>1</v>
      </c>
      <c r="Q1012">
        <v>144</v>
      </c>
      <c r="R1012">
        <v>0.58320000000000005</v>
      </c>
      <c r="S1012">
        <v>0.84940000000000004</v>
      </c>
      <c r="U1012">
        <v>0.26619999999999999</v>
      </c>
      <c r="V1012">
        <v>205.83582396675405</v>
      </c>
      <c r="W1012">
        <v>43.605975122187182</v>
      </c>
      <c r="X1012">
        <v>274.07203400582176</v>
      </c>
      <c r="Y1012">
        <v>7.8720340058217744</v>
      </c>
      <c r="Z1012">
        <v>2.8722500033164855</v>
      </c>
    </row>
    <row r="1013" spans="1:26" x14ac:dyDescent="0.35">
      <c r="A1013">
        <v>1011</v>
      </c>
      <c r="C1013">
        <v>46064</v>
      </c>
      <c r="D1013" t="s">
        <v>16</v>
      </c>
      <c r="E1013" t="s">
        <v>419</v>
      </c>
      <c r="F1013" t="s">
        <v>264</v>
      </c>
      <c r="G1013" t="s">
        <v>329</v>
      </c>
      <c r="H1013" t="s">
        <v>330</v>
      </c>
      <c r="I1013" t="s">
        <v>22</v>
      </c>
      <c r="J1013" t="s">
        <v>23</v>
      </c>
      <c r="K1013" t="s">
        <v>215</v>
      </c>
      <c r="L1013" t="s">
        <v>418</v>
      </c>
      <c r="M1013">
        <v>30</v>
      </c>
      <c r="N1013">
        <v>64</v>
      </c>
      <c r="O1013">
        <v>1</v>
      </c>
      <c r="P1013">
        <v>2</v>
      </c>
      <c r="Q1013">
        <v>145</v>
      </c>
      <c r="R1013">
        <v>0.57469999999999999</v>
      </c>
      <c r="S1013">
        <v>0.86160000000000003</v>
      </c>
      <c r="U1013">
        <v>0.28690000000000004</v>
      </c>
      <c r="V1013">
        <v>184.94716056788639</v>
      </c>
      <c r="W1013">
        <v>39.19641274206149</v>
      </c>
      <c r="X1013">
        <v>273.96249282516396</v>
      </c>
      <c r="Y1013">
        <v>-12.937507174836071</v>
      </c>
      <c r="Z1013">
        <v>-4.7223643796716601</v>
      </c>
    </row>
    <row r="1014" spans="1:26" x14ac:dyDescent="0.35">
      <c r="A1014">
        <v>1012</v>
      </c>
      <c r="C1014">
        <v>46064</v>
      </c>
      <c r="D1014" t="s">
        <v>16</v>
      </c>
      <c r="E1014" t="s">
        <v>419</v>
      </c>
      <c r="F1014" t="s">
        <v>264</v>
      </c>
      <c r="G1014" t="s">
        <v>329</v>
      </c>
      <c r="H1014" t="s">
        <v>330</v>
      </c>
      <c r="I1014" t="s">
        <v>22</v>
      </c>
      <c r="J1014" t="s">
        <v>23</v>
      </c>
      <c r="K1014" t="s">
        <v>215</v>
      </c>
      <c r="L1014" t="s">
        <v>418</v>
      </c>
      <c r="M1014">
        <v>30</v>
      </c>
      <c r="N1014">
        <v>64</v>
      </c>
      <c r="O1014">
        <v>1</v>
      </c>
      <c r="P1014">
        <v>3</v>
      </c>
      <c r="Q1014">
        <v>146</v>
      </c>
      <c r="R1014">
        <v>0.57879999999999998</v>
      </c>
      <c r="S1014">
        <v>0.84870000000000001</v>
      </c>
      <c r="U1014">
        <v>0.26990000000000003</v>
      </c>
      <c r="V1014">
        <v>202.135823966754</v>
      </c>
      <c r="W1014">
        <v>42.822136309084591</v>
      </c>
      <c r="X1014">
        <v>274.07203400582176</v>
      </c>
      <c r="Y1014">
        <v>4.1720340058217289</v>
      </c>
      <c r="Z1014">
        <v>1.5222399545271037</v>
      </c>
    </row>
    <row r="1015" spans="1:26" x14ac:dyDescent="0.35">
      <c r="A1015">
        <v>1013</v>
      </c>
      <c r="C1015">
        <v>46064</v>
      </c>
      <c r="D1015" t="s">
        <v>16</v>
      </c>
      <c r="E1015" t="s">
        <v>421</v>
      </c>
      <c r="F1015" t="s">
        <v>264</v>
      </c>
      <c r="G1015" t="s">
        <v>265</v>
      </c>
      <c r="H1015" t="s">
        <v>266</v>
      </c>
      <c r="I1015" t="s">
        <v>22</v>
      </c>
      <c r="J1015" t="s">
        <v>23</v>
      </c>
      <c r="K1015" t="s">
        <v>215</v>
      </c>
      <c r="L1015" t="s">
        <v>420</v>
      </c>
      <c r="M1015">
        <v>30</v>
      </c>
      <c r="N1015">
        <v>64</v>
      </c>
      <c r="O1015">
        <v>1</v>
      </c>
      <c r="P1015">
        <v>1</v>
      </c>
      <c r="Q1015">
        <v>147</v>
      </c>
      <c r="R1015">
        <v>0.56499999999999995</v>
      </c>
      <c r="S1015">
        <v>0.83599999999999997</v>
      </c>
      <c r="U1015">
        <v>0.27100000000000002</v>
      </c>
      <c r="V1015">
        <v>209.61709316273499</v>
      </c>
      <c r="W1015">
        <v>43.614156913008394</v>
      </c>
      <c r="X1015">
        <v>295.51653539531077</v>
      </c>
      <c r="Y1015">
        <v>24.516535395310768</v>
      </c>
      <c r="Z1015">
        <v>8.2961636520660811</v>
      </c>
    </row>
    <row r="1016" spans="1:26" x14ac:dyDescent="0.35">
      <c r="A1016">
        <v>1014</v>
      </c>
      <c r="C1016">
        <v>46064</v>
      </c>
      <c r="D1016" t="s">
        <v>16</v>
      </c>
      <c r="E1016" t="s">
        <v>421</v>
      </c>
      <c r="F1016" t="s">
        <v>264</v>
      </c>
      <c r="G1016" t="s">
        <v>265</v>
      </c>
      <c r="H1016" t="s">
        <v>266</v>
      </c>
      <c r="I1016" t="s">
        <v>22</v>
      </c>
      <c r="J1016" t="s">
        <v>23</v>
      </c>
      <c r="K1016" t="s">
        <v>215</v>
      </c>
      <c r="L1016" t="s">
        <v>420</v>
      </c>
      <c r="M1016">
        <v>30</v>
      </c>
      <c r="N1016">
        <v>64</v>
      </c>
      <c r="O1016">
        <v>1</v>
      </c>
      <c r="P1016">
        <v>2</v>
      </c>
      <c r="Q1016">
        <v>148</v>
      </c>
      <c r="R1016">
        <v>0.58009999999999995</v>
      </c>
      <c r="S1016">
        <v>0.85680000000000001</v>
      </c>
      <c r="U1016">
        <v>0.27670000000000006</v>
      </c>
      <c r="V1016">
        <v>203.62895341863265</v>
      </c>
      <c r="W1016">
        <v>42.39364543181285</v>
      </c>
      <c r="X1016">
        <v>295.33936720862295</v>
      </c>
      <c r="Y1016">
        <v>18.6393672086229</v>
      </c>
      <c r="Z1016">
        <v>6.3111692101162911</v>
      </c>
    </row>
    <row r="1017" spans="1:26" x14ac:dyDescent="0.35">
      <c r="A1017">
        <v>1015</v>
      </c>
      <c r="C1017">
        <v>46064</v>
      </c>
      <c r="D1017" t="s">
        <v>16</v>
      </c>
      <c r="E1017" t="s">
        <v>421</v>
      </c>
      <c r="F1017" t="s">
        <v>264</v>
      </c>
      <c r="G1017" t="s">
        <v>265</v>
      </c>
      <c r="H1017" t="s">
        <v>266</v>
      </c>
      <c r="I1017" t="s">
        <v>22</v>
      </c>
      <c r="J1017" t="s">
        <v>23</v>
      </c>
      <c r="K1017" t="s">
        <v>215</v>
      </c>
      <c r="L1017" t="s">
        <v>420</v>
      </c>
      <c r="M1017">
        <v>30</v>
      </c>
      <c r="N1017">
        <v>64</v>
      </c>
      <c r="O1017">
        <v>1</v>
      </c>
      <c r="P1017">
        <v>3</v>
      </c>
      <c r="Q1017">
        <v>149</v>
      </c>
      <c r="R1017">
        <v>0.55120000000000002</v>
      </c>
      <c r="S1017">
        <v>0.84240000000000004</v>
      </c>
      <c r="U1017">
        <v>0.29120000000000001</v>
      </c>
      <c r="V1017">
        <v>189.32104658136757</v>
      </c>
      <c r="W1017">
        <v>39.399116423365541</v>
      </c>
      <c r="X1017">
        <v>295.45747933308149</v>
      </c>
      <c r="Y1017">
        <v>4.2574793330815055</v>
      </c>
      <c r="Z1017">
        <v>1.4409786960518514</v>
      </c>
    </row>
    <row r="1018" spans="1:26" x14ac:dyDescent="0.35">
      <c r="A1018">
        <v>1016</v>
      </c>
      <c r="C1018">
        <v>46064</v>
      </c>
      <c r="D1018" t="s">
        <v>16</v>
      </c>
      <c r="E1018" t="s">
        <v>423</v>
      </c>
      <c r="F1018" t="s">
        <v>212</v>
      </c>
      <c r="G1018" t="s">
        <v>424</v>
      </c>
      <c r="H1018" t="s">
        <v>425</v>
      </c>
      <c r="I1018" t="s">
        <v>22</v>
      </c>
      <c r="J1018" t="s">
        <v>23</v>
      </c>
      <c r="K1018" t="s">
        <v>215</v>
      </c>
      <c r="L1018" t="s">
        <v>422</v>
      </c>
      <c r="M1018">
        <v>30</v>
      </c>
      <c r="N1018">
        <v>64</v>
      </c>
      <c r="O1018">
        <v>1</v>
      </c>
      <c r="P1018">
        <v>1</v>
      </c>
      <c r="Q1018">
        <v>150</v>
      </c>
      <c r="R1018">
        <v>0.54649999999999999</v>
      </c>
      <c r="S1018">
        <v>0.83809999999999996</v>
      </c>
      <c r="U1018">
        <v>0.29159999999999997</v>
      </c>
      <c r="V1018">
        <v>175.03665767596118</v>
      </c>
      <c r="W1018">
        <v>37.510267313269892</v>
      </c>
      <c r="X1018">
        <v>259.64309162860724</v>
      </c>
      <c r="Y1018">
        <v>-31.956908371392728</v>
      </c>
      <c r="Z1018">
        <v>-12.308014116972464</v>
      </c>
    </row>
    <row r="1019" spans="1:26" x14ac:dyDescent="0.35">
      <c r="A1019">
        <v>1017</v>
      </c>
      <c r="C1019">
        <v>46064</v>
      </c>
      <c r="D1019" t="s">
        <v>16</v>
      </c>
      <c r="E1019" t="s">
        <v>423</v>
      </c>
      <c r="F1019" t="s">
        <v>212</v>
      </c>
      <c r="G1019" t="s">
        <v>424</v>
      </c>
      <c r="H1019" t="s">
        <v>425</v>
      </c>
      <c r="I1019" t="s">
        <v>22</v>
      </c>
      <c r="J1019" t="s">
        <v>23</v>
      </c>
      <c r="K1019" t="s">
        <v>215</v>
      </c>
      <c r="L1019" t="s">
        <v>422</v>
      </c>
      <c r="M1019">
        <v>30</v>
      </c>
      <c r="N1019">
        <v>64</v>
      </c>
      <c r="O1019">
        <v>1</v>
      </c>
      <c r="P1019">
        <v>2</v>
      </c>
      <c r="Q1019">
        <v>151</v>
      </c>
      <c r="R1019">
        <v>0.57909999999999995</v>
      </c>
      <c r="S1019">
        <v>0.85799999999999998</v>
      </c>
      <c r="U1019">
        <v>0.27890000000000004</v>
      </c>
      <c r="V1019">
        <v>187.8299850074963</v>
      </c>
      <c r="W1019">
        <v>40.243822132936131</v>
      </c>
      <c r="X1019">
        <v>259.69502024693293</v>
      </c>
      <c r="Y1019">
        <v>-19.204979753067107</v>
      </c>
      <c r="Z1019">
        <v>-7.3952052429830619</v>
      </c>
    </row>
    <row r="1020" spans="1:26" x14ac:dyDescent="0.35">
      <c r="A1020">
        <v>1018</v>
      </c>
      <c r="C1020">
        <v>46064</v>
      </c>
      <c r="D1020" t="s">
        <v>16</v>
      </c>
      <c r="E1020" t="s">
        <v>423</v>
      </c>
      <c r="F1020" t="s">
        <v>212</v>
      </c>
      <c r="G1020" t="s">
        <v>424</v>
      </c>
      <c r="H1020" t="s">
        <v>425</v>
      </c>
      <c r="I1020" t="s">
        <v>22</v>
      </c>
      <c r="J1020" t="s">
        <v>23</v>
      </c>
      <c r="K1020" t="s">
        <v>215</v>
      </c>
      <c r="L1020" t="s">
        <v>422</v>
      </c>
      <c r="M1020">
        <v>30</v>
      </c>
      <c r="N1020">
        <v>64</v>
      </c>
      <c r="O1020">
        <v>1</v>
      </c>
      <c r="P1020">
        <v>3</v>
      </c>
      <c r="Q1020">
        <v>152</v>
      </c>
      <c r="R1020">
        <v>0.5917</v>
      </c>
      <c r="S1020">
        <v>0.94350000000000001</v>
      </c>
      <c r="T1020" t="s">
        <v>591</v>
      </c>
      <c r="U1020">
        <v>0.3518</v>
      </c>
      <c r="V1020">
        <v>114.92998500749633</v>
      </c>
      <c r="W1020">
        <v>24.624512823115573</v>
      </c>
      <c r="X1020">
        <v>259.69502024693293</v>
      </c>
      <c r="Y1020">
        <v>-92.104979753067084</v>
      </c>
      <c r="Z1020">
        <v>-35.466594494375897</v>
      </c>
    </row>
    <row r="1021" spans="1:26" x14ac:dyDescent="0.35">
      <c r="A1021">
        <v>1019</v>
      </c>
      <c r="C1021">
        <v>46064</v>
      </c>
      <c r="D1021" t="s">
        <v>16</v>
      </c>
      <c r="E1021" t="s">
        <v>427</v>
      </c>
      <c r="F1021" t="s">
        <v>226</v>
      </c>
      <c r="G1021" t="s">
        <v>231</v>
      </c>
      <c r="H1021" t="s">
        <v>232</v>
      </c>
      <c r="I1021" t="s">
        <v>22</v>
      </c>
      <c r="J1021" t="s">
        <v>23</v>
      </c>
      <c r="K1021" t="s">
        <v>215</v>
      </c>
      <c r="L1021" t="s">
        <v>426</v>
      </c>
      <c r="M1021">
        <v>30</v>
      </c>
      <c r="N1021">
        <v>64</v>
      </c>
      <c r="O1021">
        <v>1</v>
      </c>
      <c r="P1021">
        <v>1</v>
      </c>
      <c r="Q1021">
        <v>153</v>
      </c>
      <c r="R1021">
        <v>0.56179999999999997</v>
      </c>
      <c r="S1021">
        <v>0.8538</v>
      </c>
      <c r="U1021">
        <v>0.29200000000000004</v>
      </c>
      <c r="V1021">
        <v>180.34438696077285</v>
      </c>
      <c r="W1021">
        <v>38.18069864684346</v>
      </c>
      <c r="X1021">
        <v>260.02642638803405</v>
      </c>
      <c r="Y1021">
        <v>-31.973573611966003</v>
      </c>
      <c r="Z1021">
        <v>-12.296278519111844</v>
      </c>
    </row>
    <row r="1022" spans="1:26" x14ac:dyDescent="0.35">
      <c r="A1022">
        <v>1020</v>
      </c>
      <c r="C1022">
        <v>46064</v>
      </c>
      <c r="D1022" t="s">
        <v>16</v>
      </c>
      <c r="E1022" t="s">
        <v>427</v>
      </c>
      <c r="F1022" t="s">
        <v>226</v>
      </c>
      <c r="G1022" t="s">
        <v>231</v>
      </c>
      <c r="H1022" t="s">
        <v>232</v>
      </c>
      <c r="I1022" t="s">
        <v>22</v>
      </c>
      <c r="J1022" t="s">
        <v>23</v>
      </c>
      <c r="K1022" t="s">
        <v>215</v>
      </c>
      <c r="L1022" t="s">
        <v>426</v>
      </c>
      <c r="M1022">
        <v>30</v>
      </c>
      <c r="N1022">
        <v>64</v>
      </c>
      <c r="O1022">
        <v>1</v>
      </c>
      <c r="P1022">
        <v>2</v>
      </c>
      <c r="Q1022">
        <v>154</v>
      </c>
      <c r="R1022">
        <v>0.57420000000000004</v>
      </c>
      <c r="S1022">
        <v>0.95779999999999998</v>
      </c>
      <c r="U1022">
        <v>0.38359999999999994</v>
      </c>
      <c r="V1022">
        <v>88.744386960772943</v>
      </c>
      <c r="W1022">
        <v>18.78806849633273</v>
      </c>
      <c r="X1022">
        <v>260.02642638803405</v>
      </c>
      <c r="Y1022">
        <v>-123.57357361196591</v>
      </c>
      <c r="Z1022">
        <v>-47.523467260038672</v>
      </c>
    </row>
    <row r="1023" spans="1:26" x14ac:dyDescent="0.35">
      <c r="A1023">
        <v>1021</v>
      </c>
      <c r="C1023">
        <v>46064</v>
      </c>
      <c r="D1023" t="s">
        <v>16</v>
      </c>
      <c r="E1023" t="s">
        <v>427</v>
      </c>
      <c r="F1023" t="s">
        <v>226</v>
      </c>
      <c r="G1023" t="s">
        <v>231</v>
      </c>
      <c r="H1023" t="s">
        <v>232</v>
      </c>
      <c r="I1023" t="s">
        <v>22</v>
      </c>
      <c r="J1023" t="s">
        <v>23</v>
      </c>
      <c r="K1023" t="s">
        <v>215</v>
      </c>
      <c r="L1023" t="s">
        <v>426</v>
      </c>
      <c r="M1023">
        <v>30</v>
      </c>
      <c r="N1023">
        <v>64</v>
      </c>
      <c r="O1023">
        <v>1</v>
      </c>
      <c r="P1023">
        <v>3</v>
      </c>
      <c r="Q1023">
        <v>155</v>
      </c>
      <c r="R1023">
        <v>0.6008</v>
      </c>
      <c r="S1023">
        <v>0.90059999999999996</v>
      </c>
      <c r="U1023">
        <v>0.29979999999999996</v>
      </c>
      <c r="V1023">
        <v>172.26115027061064</v>
      </c>
      <c r="W1023">
        <v>36.491278761631065</v>
      </c>
      <c r="X1023">
        <v>259.87050408558275</v>
      </c>
      <c r="Y1023">
        <v>-39.929495914417203</v>
      </c>
      <c r="Z1023">
        <v>-15.365151214416887</v>
      </c>
    </row>
    <row r="1024" spans="1:26" x14ac:dyDescent="0.35">
      <c r="A1024">
        <v>1022</v>
      </c>
      <c r="C1024">
        <v>46064</v>
      </c>
      <c r="D1024">
        <v>0</v>
      </c>
      <c r="E1024" t="s">
        <v>541</v>
      </c>
      <c r="F1024" t="s">
        <v>538</v>
      </c>
      <c r="G1024" t="s">
        <v>542</v>
      </c>
      <c r="H1024" t="s">
        <v>541</v>
      </c>
      <c r="I1024">
        <v>0</v>
      </c>
      <c r="J1024">
        <v>0</v>
      </c>
      <c r="K1024">
        <v>0</v>
      </c>
      <c r="L1024" t="s">
        <v>543</v>
      </c>
      <c r="M1024">
        <v>30</v>
      </c>
      <c r="N1024">
        <v>64</v>
      </c>
      <c r="O1024">
        <v>1</v>
      </c>
      <c r="P1024">
        <v>1</v>
      </c>
      <c r="Q1024">
        <v>156</v>
      </c>
    </row>
    <row r="1025" spans="1:26" x14ac:dyDescent="0.35">
      <c r="A1025">
        <v>1023</v>
      </c>
      <c r="C1025">
        <v>46064</v>
      </c>
      <c r="D1025">
        <v>0</v>
      </c>
      <c r="E1025" t="s">
        <v>541</v>
      </c>
      <c r="F1025" t="s">
        <v>538</v>
      </c>
      <c r="G1025" t="s">
        <v>542</v>
      </c>
      <c r="H1025" t="s">
        <v>541</v>
      </c>
      <c r="I1025">
        <v>0</v>
      </c>
      <c r="J1025">
        <v>0</v>
      </c>
      <c r="K1025">
        <v>0</v>
      </c>
      <c r="L1025" t="s">
        <v>543</v>
      </c>
      <c r="M1025">
        <v>30</v>
      </c>
      <c r="N1025">
        <v>64</v>
      </c>
      <c r="O1025">
        <v>1</v>
      </c>
      <c r="P1025">
        <v>2</v>
      </c>
      <c r="Q1025">
        <v>157</v>
      </c>
    </row>
    <row r="1026" spans="1:26" x14ac:dyDescent="0.35">
      <c r="A1026">
        <v>1024</v>
      </c>
      <c r="C1026">
        <v>46064</v>
      </c>
      <c r="D1026" t="s">
        <v>16</v>
      </c>
      <c r="E1026" t="s">
        <v>429</v>
      </c>
      <c r="F1026" t="s">
        <v>212</v>
      </c>
      <c r="G1026" t="s">
        <v>213</v>
      </c>
      <c r="H1026" t="s">
        <v>214</v>
      </c>
      <c r="I1026" t="s">
        <v>22</v>
      </c>
      <c r="J1026" t="s">
        <v>23</v>
      </c>
      <c r="K1026" t="s">
        <v>215</v>
      </c>
      <c r="L1026" t="s">
        <v>428</v>
      </c>
      <c r="M1026">
        <v>30</v>
      </c>
      <c r="N1026">
        <v>64</v>
      </c>
      <c r="O1026">
        <v>1</v>
      </c>
      <c r="P1026">
        <v>1</v>
      </c>
      <c r="Q1026">
        <v>158</v>
      </c>
      <c r="R1026">
        <v>0.56930000000000003</v>
      </c>
      <c r="S1026">
        <v>0.89890000000000003</v>
      </c>
      <c r="U1026">
        <v>0.3296</v>
      </c>
      <c r="V1026">
        <v>137.33842834332853</v>
      </c>
      <c r="W1026">
        <v>29.412534931125201</v>
      </c>
      <c r="X1026">
        <v>264.35217321551869</v>
      </c>
      <c r="Y1026">
        <v>-65.247826784481333</v>
      </c>
      <c r="Z1026">
        <v>-24.682160161886269</v>
      </c>
    </row>
    <row r="1027" spans="1:26" x14ac:dyDescent="0.35">
      <c r="A1027">
        <v>1025</v>
      </c>
      <c r="C1027">
        <v>46064</v>
      </c>
      <c r="D1027" t="s">
        <v>16</v>
      </c>
      <c r="E1027" t="s">
        <v>429</v>
      </c>
      <c r="F1027" t="s">
        <v>212</v>
      </c>
      <c r="G1027" t="s">
        <v>213</v>
      </c>
      <c r="H1027" t="s">
        <v>214</v>
      </c>
      <c r="I1027" t="s">
        <v>22</v>
      </c>
      <c r="J1027" t="s">
        <v>23</v>
      </c>
      <c r="K1027" t="s">
        <v>215</v>
      </c>
      <c r="L1027" t="s">
        <v>428</v>
      </c>
      <c r="M1027">
        <v>30</v>
      </c>
      <c r="N1027">
        <v>64</v>
      </c>
      <c r="O1027">
        <v>1</v>
      </c>
      <c r="P1027">
        <v>2</v>
      </c>
      <c r="Q1027">
        <v>159</v>
      </c>
      <c r="R1027">
        <v>0.56369999999999998</v>
      </c>
      <c r="S1027">
        <v>0.92010000000000003</v>
      </c>
      <c r="U1027">
        <v>0.35640000000000005</v>
      </c>
      <c r="V1027">
        <v>110.44509665667181</v>
      </c>
      <c r="W1027">
        <v>23.657760882063105</v>
      </c>
      <c r="X1027">
        <v>264.29933448411447</v>
      </c>
      <c r="Y1027">
        <v>-92.100665515885566</v>
      </c>
      <c r="Z1027">
        <v>-34.847104589066305</v>
      </c>
    </row>
    <row r="1028" spans="1:26" x14ac:dyDescent="0.35">
      <c r="A1028">
        <v>1026</v>
      </c>
      <c r="C1028">
        <v>46064</v>
      </c>
      <c r="D1028" t="s">
        <v>16</v>
      </c>
      <c r="E1028" t="s">
        <v>429</v>
      </c>
      <c r="F1028" t="s">
        <v>212</v>
      </c>
      <c r="G1028" t="s">
        <v>213</v>
      </c>
      <c r="H1028" t="s">
        <v>214</v>
      </c>
      <c r="I1028" t="s">
        <v>22</v>
      </c>
      <c r="J1028" t="s">
        <v>23</v>
      </c>
      <c r="K1028" t="s">
        <v>215</v>
      </c>
      <c r="L1028" t="s">
        <v>428</v>
      </c>
      <c r="M1028">
        <v>30</v>
      </c>
      <c r="N1028">
        <v>64</v>
      </c>
      <c r="O1028">
        <v>1</v>
      </c>
      <c r="P1028">
        <v>3</v>
      </c>
      <c r="Q1028">
        <v>160</v>
      </c>
      <c r="R1028">
        <v>0.5827</v>
      </c>
      <c r="S1028">
        <v>0.84919999999999995</v>
      </c>
      <c r="U1028">
        <v>0.26649999999999996</v>
      </c>
      <c r="V1028">
        <v>200.3450966566719</v>
      </c>
      <c r="W1028">
        <v>42.914683712317128</v>
      </c>
      <c r="X1028">
        <v>264.29933448411447</v>
      </c>
      <c r="Y1028">
        <v>-2.2006655158854755</v>
      </c>
      <c r="Z1028">
        <v>-0.83264133834500631</v>
      </c>
    </row>
    <row r="1029" spans="1:26" x14ac:dyDescent="0.35">
      <c r="A1029">
        <v>1027</v>
      </c>
      <c r="C1029">
        <v>46064</v>
      </c>
      <c r="D1029" t="s">
        <v>16</v>
      </c>
      <c r="E1029" t="s">
        <v>431</v>
      </c>
      <c r="F1029" t="s">
        <v>212</v>
      </c>
      <c r="G1029" t="s">
        <v>404</v>
      </c>
      <c r="H1029" t="s">
        <v>433</v>
      </c>
      <c r="I1029" t="s">
        <v>22</v>
      </c>
      <c r="J1029" t="s">
        <v>23</v>
      </c>
      <c r="K1029" t="s">
        <v>215</v>
      </c>
      <c r="L1029" t="s">
        <v>430</v>
      </c>
      <c r="M1029">
        <v>30</v>
      </c>
      <c r="N1029">
        <v>64</v>
      </c>
      <c r="O1029">
        <v>1</v>
      </c>
      <c r="P1029">
        <v>1</v>
      </c>
      <c r="Q1029">
        <v>161</v>
      </c>
      <c r="R1029">
        <v>0.59389999999999998</v>
      </c>
      <c r="S1029">
        <v>0.91579999999999995</v>
      </c>
      <c r="U1029">
        <v>0.32189999999999996</v>
      </c>
      <c r="V1029">
        <v>155.95779315469207</v>
      </c>
      <c r="W1029">
        <v>32.636862972370828</v>
      </c>
      <c r="X1029">
        <v>284.86095409563654</v>
      </c>
      <c r="Y1029">
        <v>-37.039045904363434</v>
      </c>
      <c r="Z1029">
        <v>-13.002500122192348</v>
      </c>
    </row>
    <row r="1030" spans="1:26" x14ac:dyDescent="0.35">
      <c r="A1030">
        <v>1028</v>
      </c>
      <c r="C1030">
        <v>46064</v>
      </c>
      <c r="D1030" t="s">
        <v>16</v>
      </c>
      <c r="E1030" t="s">
        <v>431</v>
      </c>
      <c r="F1030" t="s">
        <v>212</v>
      </c>
      <c r="G1030" t="s">
        <v>404</v>
      </c>
      <c r="H1030" t="s">
        <v>433</v>
      </c>
      <c r="I1030" t="s">
        <v>22</v>
      </c>
      <c r="J1030" t="s">
        <v>23</v>
      </c>
      <c r="K1030" t="s">
        <v>215</v>
      </c>
      <c r="L1030" t="s">
        <v>430</v>
      </c>
      <c r="M1030">
        <v>30</v>
      </c>
      <c r="N1030">
        <v>64</v>
      </c>
      <c r="O1030">
        <v>1</v>
      </c>
      <c r="P1030">
        <v>2</v>
      </c>
      <c r="Q1030">
        <v>162</v>
      </c>
      <c r="R1030">
        <v>0.58299999999999996</v>
      </c>
      <c r="S1030">
        <v>0.91859999999999997</v>
      </c>
      <c r="U1030">
        <v>0.33560000000000001</v>
      </c>
      <c r="V1030">
        <v>142.54445049911595</v>
      </c>
      <c r="W1030">
        <v>29.812005629328013</v>
      </c>
      <c r="X1030">
        <v>285.03183649161468</v>
      </c>
      <c r="Y1030">
        <v>-50.568163508385339</v>
      </c>
      <c r="Z1030">
        <v>-17.741233446346264</v>
      </c>
    </row>
    <row r="1031" spans="1:26" x14ac:dyDescent="0.35">
      <c r="A1031">
        <v>1029</v>
      </c>
      <c r="C1031">
        <v>46064</v>
      </c>
      <c r="D1031" t="s">
        <v>16</v>
      </c>
      <c r="E1031" t="s">
        <v>431</v>
      </c>
      <c r="F1031" t="s">
        <v>212</v>
      </c>
      <c r="G1031" t="s">
        <v>404</v>
      </c>
      <c r="H1031" t="s">
        <v>433</v>
      </c>
      <c r="I1031" t="s">
        <v>22</v>
      </c>
      <c r="J1031" t="s">
        <v>23</v>
      </c>
      <c r="K1031" t="s">
        <v>215</v>
      </c>
      <c r="L1031" t="s">
        <v>430</v>
      </c>
      <c r="M1031">
        <v>30</v>
      </c>
      <c r="N1031">
        <v>64</v>
      </c>
      <c r="O1031">
        <v>1</v>
      </c>
      <c r="P1031">
        <v>3</v>
      </c>
      <c r="Q1031">
        <v>163</v>
      </c>
      <c r="R1031">
        <v>0.57530000000000003</v>
      </c>
      <c r="S1031">
        <v>0.88790000000000002</v>
      </c>
      <c r="U1031">
        <v>0.31259999999999999</v>
      </c>
      <c r="V1031">
        <v>165.25779315469208</v>
      </c>
      <c r="W1031">
        <v>34.583048664688171</v>
      </c>
      <c r="X1031">
        <v>284.86095409563654</v>
      </c>
      <c r="Y1031">
        <v>-27.739045904363422</v>
      </c>
      <c r="Z1031">
        <v>-9.7377494196872547</v>
      </c>
    </row>
    <row r="1032" spans="1:26" x14ac:dyDescent="0.35">
      <c r="A1032">
        <v>1030</v>
      </c>
      <c r="C1032">
        <v>46064</v>
      </c>
      <c r="D1032" t="s">
        <v>16</v>
      </c>
      <c r="E1032" t="s">
        <v>435</v>
      </c>
      <c r="F1032" t="s">
        <v>219</v>
      </c>
      <c r="G1032" t="s">
        <v>220</v>
      </c>
      <c r="H1032" t="s">
        <v>221</v>
      </c>
      <c r="I1032" t="s">
        <v>22</v>
      </c>
      <c r="J1032" t="s">
        <v>23</v>
      </c>
      <c r="K1032" t="s">
        <v>215</v>
      </c>
      <c r="L1032" t="s">
        <v>434</v>
      </c>
      <c r="M1032">
        <v>30</v>
      </c>
      <c r="N1032">
        <v>64</v>
      </c>
      <c r="O1032">
        <v>1</v>
      </c>
      <c r="P1032">
        <v>1</v>
      </c>
      <c r="Q1032">
        <v>164</v>
      </c>
      <c r="R1032">
        <v>0.59240000000000004</v>
      </c>
      <c r="S1032">
        <v>1.0331999999999999</v>
      </c>
      <c r="U1032">
        <v>0.44079999999999986</v>
      </c>
      <c r="V1032">
        <v>13.874972056109414</v>
      </c>
    </row>
    <row r="1033" spans="1:26" x14ac:dyDescent="0.35">
      <c r="A1033">
        <v>1031</v>
      </c>
      <c r="C1033">
        <v>46064</v>
      </c>
      <c r="D1033" t="s">
        <v>16</v>
      </c>
      <c r="E1033" t="s">
        <v>435</v>
      </c>
      <c r="F1033" t="s">
        <v>219</v>
      </c>
      <c r="G1033" t="s">
        <v>220</v>
      </c>
      <c r="H1033" t="s">
        <v>221</v>
      </c>
      <c r="I1033" t="s">
        <v>22</v>
      </c>
      <c r="J1033" t="s">
        <v>23</v>
      </c>
      <c r="K1033" t="s">
        <v>215</v>
      </c>
      <c r="L1033" t="s">
        <v>434</v>
      </c>
      <c r="M1033">
        <v>30</v>
      </c>
      <c r="N1033">
        <v>64</v>
      </c>
      <c r="O1033">
        <v>1</v>
      </c>
      <c r="P1033">
        <v>2</v>
      </c>
      <c r="Q1033">
        <v>165</v>
      </c>
      <c r="R1033">
        <v>0.5796</v>
      </c>
      <c r="S1033">
        <v>0.77149999999999996</v>
      </c>
      <c r="U1033">
        <v>0.19189999999999996</v>
      </c>
      <c r="V1033">
        <v>262.95676932602373</v>
      </c>
      <c r="W1033">
        <v>57.810895002322482</v>
      </c>
      <c r="X1033">
        <v>222.55270538256352</v>
      </c>
      <c r="Y1033">
        <v>30.652705382563568</v>
      </c>
      <c r="Z1033">
        <v>13.773234223269585</v>
      </c>
    </row>
    <row r="1034" spans="1:26" x14ac:dyDescent="0.35">
      <c r="A1034">
        <v>1032</v>
      </c>
      <c r="C1034">
        <v>46064</v>
      </c>
      <c r="D1034" t="s">
        <v>16</v>
      </c>
      <c r="E1034" t="s">
        <v>435</v>
      </c>
      <c r="F1034" t="s">
        <v>219</v>
      </c>
      <c r="G1034" t="s">
        <v>220</v>
      </c>
      <c r="H1034" t="s">
        <v>221</v>
      </c>
      <c r="I1034" t="s">
        <v>22</v>
      </c>
      <c r="J1034" t="s">
        <v>23</v>
      </c>
      <c r="K1034" t="s">
        <v>215</v>
      </c>
      <c r="L1034" t="s">
        <v>434</v>
      </c>
      <c r="M1034">
        <v>30</v>
      </c>
      <c r="N1034">
        <v>64</v>
      </c>
      <c r="O1034">
        <v>1</v>
      </c>
      <c r="P1034">
        <v>3</v>
      </c>
      <c r="Q1034">
        <v>166</v>
      </c>
      <c r="R1034">
        <v>0.57550000000000001</v>
      </c>
      <c r="S1034">
        <v>0.8357</v>
      </c>
      <c r="T1034" t="s">
        <v>551</v>
      </c>
      <c r="U1034">
        <v>0.26019999999999999</v>
      </c>
      <c r="V1034">
        <v>194.47497205610927</v>
      </c>
      <c r="W1034">
        <v>42.772306374521548</v>
      </c>
      <c r="X1034">
        <v>222.4637554603483</v>
      </c>
      <c r="Y1034">
        <v>-37.736244539651693</v>
      </c>
      <c r="Z1034">
        <v>-16.962873103334697</v>
      </c>
    </row>
    <row r="1035" spans="1:26" x14ac:dyDescent="0.35">
      <c r="A1035">
        <v>1033</v>
      </c>
      <c r="C1035">
        <v>46064</v>
      </c>
      <c r="D1035" t="s">
        <v>16</v>
      </c>
      <c r="E1035" t="s">
        <v>437</v>
      </c>
      <c r="F1035" t="s">
        <v>333</v>
      </c>
      <c r="G1035" t="s">
        <v>438</v>
      </c>
      <c r="H1035" t="s">
        <v>439</v>
      </c>
      <c r="I1035" t="s">
        <v>22</v>
      </c>
      <c r="J1035" t="s">
        <v>23</v>
      </c>
      <c r="K1035" t="s">
        <v>303</v>
      </c>
      <c r="L1035" t="s">
        <v>436</v>
      </c>
      <c r="M1035">
        <v>30</v>
      </c>
      <c r="N1035">
        <v>64</v>
      </c>
      <c r="O1035">
        <v>1</v>
      </c>
      <c r="P1035">
        <v>1</v>
      </c>
      <c r="Q1035">
        <v>167</v>
      </c>
      <c r="R1035">
        <v>0.58660000000000001</v>
      </c>
      <c r="S1035">
        <v>0.83299999999999996</v>
      </c>
      <c r="U1035">
        <v>0.24639999999999995</v>
      </c>
      <c r="V1035">
        <v>236.12513423959254</v>
      </c>
      <c r="W1035">
        <v>48.93530253334891</v>
      </c>
      <c r="X1035">
        <v>234.85616516035435</v>
      </c>
      <c r="Y1035">
        <v>-11.543834839645598</v>
      </c>
      <c r="Z1035">
        <v>-4.9152786054237643</v>
      </c>
    </row>
    <row r="1036" spans="1:26" x14ac:dyDescent="0.35">
      <c r="A1036">
        <v>1034</v>
      </c>
      <c r="C1036">
        <v>46064</v>
      </c>
      <c r="D1036" t="s">
        <v>16</v>
      </c>
      <c r="E1036" t="s">
        <v>437</v>
      </c>
      <c r="F1036" t="s">
        <v>333</v>
      </c>
      <c r="G1036" t="s">
        <v>438</v>
      </c>
      <c r="H1036" t="s">
        <v>439</v>
      </c>
      <c r="I1036" t="s">
        <v>22</v>
      </c>
      <c r="J1036" t="s">
        <v>23</v>
      </c>
      <c r="K1036" t="s">
        <v>303</v>
      </c>
      <c r="L1036" t="s">
        <v>436</v>
      </c>
      <c r="M1036">
        <v>30</v>
      </c>
      <c r="N1036">
        <v>64</v>
      </c>
      <c r="O1036">
        <v>1</v>
      </c>
      <c r="P1036">
        <v>2</v>
      </c>
      <c r="Q1036">
        <v>168</v>
      </c>
      <c r="R1036">
        <v>0.57889999999999997</v>
      </c>
      <c r="S1036">
        <v>0.90559999999999996</v>
      </c>
      <c r="U1036">
        <v>0.32669999999999999</v>
      </c>
      <c r="V1036">
        <v>155.8251342395925</v>
      </c>
      <c r="W1036">
        <v>32.293682376806359</v>
      </c>
      <c r="X1036">
        <v>234.85616516035435</v>
      </c>
      <c r="Y1036">
        <v>-91.843834839645638</v>
      </c>
      <c r="Z1036">
        <v>-39.106418508084211</v>
      </c>
    </row>
    <row r="1037" spans="1:26" x14ac:dyDescent="0.35">
      <c r="A1037">
        <v>1035</v>
      </c>
      <c r="C1037">
        <v>46064</v>
      </c>
      <c r="D1037" t="s">
        <v>16</v>
      </c>
      <c r="E1037" t="s">
        <v>437</v>
      </c>
      <c r="F1037" t="s">
        <v>333</v>
      </c>
      <c r="G1037" t="s">
        <v>438</v>
      </c>
      <c r="H1037" t="s">
        <v>439</v>
      </c>
      <c r="I1037" t="s">
        <v>22</v>
      </c>
      <c r="J1037" t="s">
        <v>23</v>
      </c>
      <c r="K1037" t="s">
        <v>303</v>
      </c>
      <c r="L1037" t="s">
        <v>436</v>
      </c>
      <c r="M1037">
        <v>30</v>
      </c>
      <c r="N1037">
        <v>64</v>
      </c>
      <c r="O1037">
        <v>1</v>
      </c>
      <c r="P1037">
        <v>3</v>
      </c>
      <c r="Q1037">
        <v>169</v>
      </c>
      <c r="R1037">
        <v>0.56410000000000005</v>
      </c>
      <c r="S1037">
        <v>0.86029999999999995</v>
      </c>
      <c r="U1037">
        <v>0.29619999999999991</v>
      </c>
      <c r="V1037">
        <v>186.61453356040801</v>
      </c>
      <c r="W1037">
        <v>38.6513910806</v>
      </c>
      <c r="X1037">
        <v>234.99702251650811</v>
      </c>
      <c r="Y1037">
        <v>-61.202977483491821</v>
      </c>
      <c r="Z1037">
        <v>-26.044150188835868</v>
      </c>
    </row>
    <row r="1038" spans="1:26" x14ac:dyDescent="0.35">
      <c r="A1038">
        <v>1036</v>
      </c>
      <c r="C1038">
        <v>46064</v>
      </c>
      <c r="D1038" t="s">
        <v>16</v>
      </c>
      <c r="E1038" t="s">
        <v>441</v>
      </c>
      <c r="F1038" t="s">
        <v>442</v>
      </c>
      <c r="G1038" t="s">
        <v>443</v>
      </c>
      <c r="H1038" t="s">
        <v>444</v>
      </c>
      <c r="I1038" t="s">
        <v>22</v>
      </c>
      <c r="J1038" t="s">
        <v>23</v>
      </c>
      <c r="K1038" t="s">
        <v>303</v>
      </c>
      <c r="L1038" t="s">
        <v>440</v>
      </c>
      <c r="M1038">
        <v>30</v>
      </c>
      <c r="N1038">
        <v>64</v>
      </c>
      <c r="O1038">
        <v>1</v>
      </c>
      <c r="P1038">
        <v>1</v>
      </c>
      <c r="Q1038">
        <v>170</v>
      </c>
      <c r="R1038">
        <v>0.59619999999999995</v>
      </c>
      <c r="S1038">
        <v>0.94410000000000005</v>
      </c>
      <c r="U1038">
        <v>0.3479000000000001</v>
      </c>
      <c r="V1038">
        <v>133.20187867869868</v>
      </c>
      <c r="W1038">
        <v>27.686834032850825</v>
      </c>
      <c r="X1038">
        <v>299.53031423951836</v>
      </c>
      <c r="Y1038">
        <v>-48.36968576048173</v>
      </c>
      <c r="Z1038">
        <v>-16.148511005735159</v>
      </c>
    </row>
    <row r="1039" spans="1:26" x14ac:dyDescent="0.35">
      <c r="A1039">
        <v>1037</v>
      </c>
      <c r="C1039">
        <v>46064</v>
      </c>
      <c r="D1039" t="s">
        <v>16</v>
      </c>
      <c r="E1039" t="s">
        <v>441</v>
      </c>
      <c r="F1039" t="s">
        <v>442</v>
      </c>
      <c r="G1039" t="s">
        <v>443</v>
      </c>
      <c r="H1039" t="s">
        <v>444</v>
      </c>
      <c r="I1039" t="s">
        <v>22</v>
      </c>
      <c r="J1039" t="s">
        <v>23</v>
      </c>
      <c r="K1039" t="s">
        <v>303</v>
      </c>
      <c r="L1039" t="s">
        <v>440</v>
      </c>
      <c r="M1039">
        <v>30</v>
      </c>
      <c r="N1039">
        <v>64</v>
      </c>
      <c r="O1039">
        <v>1</v>
      </c>
      <c r="P1039">
        <v>2</v>
      </c>
      <c r="Q1039">
        <v>171</v>
      </c>
      <c r="R1039">
        <v>0.56840000000000002</v>
      </c>
      <c r="S1039">
        <v>0.89800000000000002</v>
      </c>
      <c r="U1039">
        <v>0.3296</v>
      </c>
      <c r="V1039">
        <v>151.79048208522465</v>
      </c>
      <c r="W1039">
        <v>31.531674957036621</v>
      </c>
      <c r="X1039">
        <v>299.70999649161161</v>
      </c>
      <c r="Y1039">
        <v>-29.890003508388418</v>
      </c>
      <c r="Z1039">
        <v>-9.9729751620830545</v>
      </c>
    </row>
    <row r="1040" spans="1:26" x14ac:dyDescent="0.35">
      <c r="A1040">
        <v>1038</v>
      </c>
      <c r="C1040">
        <v>46064</v>
      </c>
      <c r="D1040" t="s">
        <v>16</v>
      </c>
      <c r="E1040" t="s">
        <v>441</v>
      </c>
      <c r="F1040" t="s">
        <v>442</v>
      </c>
      <c r="G1040" t="s">
        <v>443</v>
      </c>
      <c r="H1040" t="s">
        <v>444</v>
      </c>
      <c r="I1040" t="s">
        <v>22</v>
      </c>
      <c r="J1040" t="s">
        <v>23</v>
      </c>
      <c r="K1040" t="s">
        <v>303</v>
      </c>
      <c r="L1040" t="s">
        <v>440</v>
      </c>
      <c r="M1040">
        <v>30</v>
      </c>
      <c r="N1040">
        <v>64</v>
      </c>
      <c r="O1040">
        <v>1</v>
      </c>
      <c r="P1040">
        <v>3</v>
      </c>
      <c r="Q1040">
        <v>172</v>
      </c>
      <c r="R1040">
        <v>0.56579999999999997</v>
      </c>
      <c r="S1040">
        <v>0.87160000000000004</v>
      </c>
      <c r="U1040">
        <v>0.30580000000000007</v>
      </c>
      <c r="V1040">
        <v>175.20567754319012</v>
      </c>
      <c r="W1040">
        <v>36.424866841090072</v>
      </c>
      <c r="X1040">
        <v>299.47042015548726</v>
      </c>
      <c r="Y1040">
        <v>-6.3295798445128071</v>
      </c>
      <c r="Z1040">
        <v>-2.1135909988126516</v>
      </c>
    </row>
    <row r="1041" spans="1:26" x14ac:dyDescent="0.35">
      <c r="A1041">
        <v>1039</v>
      </c>
      <c r="C1041">
        <v>46064</v>
      </c>
      <c r="D1041" t="s">
        <v>16</v>
      </c>
      <c r="E1041" t="s">
        <v>446</v>
      </c>
      <c r="F1041" t="s">
        <v>442</v>
      </c>
      <c r="G1041" t="s">
        <v>447</v>
      </c>
      <c r="H1041" t="s">
        <v>448</v>
      </c>
      <c r="I1041" t="s">
        <v>22</v>
      </c>
      <c r="J1041" t="s">
        <v>23</v>
      </c>
      <c r="K1041" t="s">
        <v>303</v>
      </c>
      <c r="L1041" t="s">
        <v>445</v>
      </c>
      <c r="M1041">
        <v>30</v>
      </c>
      <c r="N1041">
        <v>64</v>
      </c>
      <c r="O1041">
        <v>1</v>
      </c>
      <c r="P1041">
        <v>1</v>
      </c>
      <c r="Q1041">
        <v>173</v>
      </c>
      <c r="R1041">
        <v>0.57830000000000004</v>
      </c>
      <c r="S1041">
        <v>0.89929999999999999</v>
      </c>
      <c r="U1041">
        <v>0.32099999999999995</v>
      </c>
      <c r="V1041">
        <v>155.65000976069018</v>
      </c>
      <c r="W1041">
        <v>32.65498931571129</v>
      </c>
      <c r="X1041">
        <v>259.45395715854613</v>
      </c>
      <c r="Y1041">
        <v>-61.546042841453811</v>
      </c>
      <c r="Z1041">
        <v>-23.721373732544187</v>
      </c>
    </row>
    <row r="1042" spans="1:26" x14ac:dyDescent="0.35">
      <c r="A1042">
        <v>1040</v>
      </c>
      <c r="C1042">
        <v>46064</v>
      </c>
      <c r="D1042" t="s">
        <v>16</v>
      </c>
      <c r="E1042" t="s">
        <v>446</v>
      </c>
      <c r="F1042" t="s">
        <v>442</v>
      </c>
      <c r="G1042" t="s">
        <v>447</v>
      </c>
      <c r="H1042" t="s">
        <v>448</v>
      </c>
      <c r="I1042" t="s">
        <v>22</v>
      </c>
      <c r="J1042" t="s">
        <v>23</v>
      </c>
      <c r="K1042" t="s">
        <v>303</v>
      </c>
      <c r="L1042" t="s">
        <v>445</v>
      </c>
      <c r="M1042">
        <v>30</v>
      </c>
      <c r="N1042">
        <v>64</v>
      </c>
      <c r="O1042">
        <v>1</v>
      </c>
      <c r="P1042">
        <v>2</v>
      </c>
      <c r="Q1042">
        <v>174</v>
      </c>
      <c r="R1042">
        <v>0.56399999999999995</v>
      </c>
      <c r="S1042">
        <v>0.90680000000000005</v>
      </c>
      <c r="U1042">
        <v>0.3428000000000001</v>
      </c>
      <c r="V1042">
        <v>133.65942599029381</v>
      </c>
      <c r="W1042">
        <v>28.052635481497774</v>
      </c>
      <c r="X1042">
        <v>259.3502170717174</v>
      </c>
      <c r="Y1042">
        <v>-83.44978292828273</v>
      </c>
      <c r="Z1042">
        <v>-32.17648470492955</v>
      </c>
    </row>
    <row r="1043" spans="1:26" x14ac:dyDescent="0.35">
      <c r="A1043">
        <v>1041</v>
      </c>
      <c r="C1043">
        <v>46064</v>
      </c>
      <c r="D1043" t="s">
        <v>16</v>
      </c>
      <c r="E1043" t="s">
        <v>446</v>
      </c>
      <c r="F1043" t="s">
        <v>442</v>
      </c>
      <c r="G1043" t="s">
        <v>447</v>
      </c>
      <c r="H1043" t="s">
        <v>448</v>
      </c>
      <c r="I1043" t="s">
        <v>22</v>
      </c>
      <c r="J1043" t="s">
        <v>23</v>
      </c>
      <c r="K1043" t="s">
        <v>303</v>
      </c>
      <c r="L1043" t="s">
        <v>445</v>
      </c>
      <c r="M1043">
        <v>30</v>
      </c>
      <c r="N1043">
        <v>64</v>
      </c>
      <c r="O1043">
        <v>1</v>
      </c>
      <c r="P1043">
        <v>3</v>
      </c>
      <c r="Q1043">
        <v>175</v>
      </c>
      <c r="R1043">
        <v>0.57250000000000001</v>
      </c>
      <c r="S1043">
        <v>0.97589999999999999</v>
      </c>
      <c r="U1043">
        <v>0.40339999999999998</v>
      </c>
      <c r="V1043">
        <v>73.440593531086165</v>
      </c>
      <c r="W1043">
        <v>15.401497801864142</v>
      </c>
      <c r="X1043">
        <v>259.55769724537475</v>
      </c>
      <c r="Y1043">
        <v>-143.84230275462522</v>
      </c>
      <c r="Z1043">
        <v>-55.418238134021834</v>
      </c>
    </row>
    <row r="1044" spans="1:26" x14ac:dyDescent="0.35">
      <c r="A1044">
        <v>1042</v>
      </c>
      <c r="C1044">
        <v>46064</v>
      </c>
      <c r="D1044" t="s">
        <v>16</v>
      </c>
      <c r="E1044" t="s">
        <v>450</v>
      </c>
      <c r="F1044" t="s">
        <v>442</v>
      </c>
      <c r="G1044" t="s">
        <v>451</v>
      </c>
      <c r="H1044" t="s">
        <v>452</v>
      </c>
      <c r="I1044" t="s">
        <v>22</v>
      </c>
      <c r="J1044" t="s">
        <v>23</v>
      </c>
      <c r="K1044" t="s">
        <v>303</v>
      </c>
      <c r="L1044" t="s">
        <v>449</v>
      </c>
      <c r="M1044">
        <v>30</v>
      </c>
      <c r="N1044">
        <v>64</v>
      </c>
      <c r="O1044">
        <v>1</v>
      </c>
      <c r="P1044">
        <v>1</v>
      </c>
      <c r="Q1044">
        <v>176</v>
      </c>
      <c r="R1044">
        <v>0.59299999999999997</v>
      </c>
      <c r="S1044">
        <v>0.9627</v>
      </c>
      <c r="U1044">
        <v>0.36970000000000003</v>
      </c>
      <c r="V1044">
        <v>112.57582118440791</v>
      </c>
      <c r="W1044">
        <v>23.342621844059288</v>
      </c>
      <c r="X1044">
        <v>286.42678911843007</v>
      </c>
      <c r="Y1044">
        <v>-83.27321088156998</v>
      </c>
      <c r="Z1044">
        <v>-29.073122363264236</v>
      </c>
    </row>
    <row r="1045" spans="1:26" x14ac:dyDescent="0.35">
      <c r="A1045">
        <v>1043</v>
      </c>
      <c r="C1045">
        <v>46064</v>
      </c>
      <c r="D1045" t="s">
        <v>16</v>
      </c>
      <c r="E1045" t="s">
        <v>450</v>
      </c>
      <c r="F1045" t="s">
        <v>442</v>
      </c>
      <c r="G1045" t="s">
        <v>451</v>
      </c>
      <c r="H1045" t="s">
        <v>452</v>
      </c>
      <c r="I1045" t="s">
        <v>22</v>
      </c>
      <c r="J1045" t="s">
        <v>23</v>
      </c>
      <c r="K1045" t="s">
        <v>303</v>
      </c>
      <c r="L1045" t="s">
        <v>449</v>
      </c>
      <c r="M1045">
        <v>30</v>
      </c>
      <c r="N1045">
        <v>64</v>
      </c>
      <c r="O1045">
        <v>1</v>
      </c>
      <c r="P1045">
        <v>2</v>
      </c>
      <c r="Q1045">
        <v>177</v>
      </c>
      <c r="R1045">
        <v>0.5696</v>
      </c>
      <c r="S1045">
        <v>0.9345</v>
      </c>
      <c r="U1045">
        <v>0.3649</v>
      </c>
      <c r="V1045">
        <v>117.47225706146952</v>
      </c>
      <c r="W1045">
        <v>24.353029292582189</v>
      </c>
      <c r="X1045">
        <v>286.48406302147322</v>
      </c>
      <c r="Y1045">
        <v>-78.415936978526759</v>
      </c>
      <c r="Z1045">
        <v>-27.371832189020978</v>
      </c>
    </row>
    <row r="1046" spans="1:26" x14ac:dyDescent="0.35">
      <c r="A1046">
        <v>1044</v>
      </c>
      <c r="C1046">
        <v>46064</v>
      </c>
      <c r="D1046" t="s">
        <v>16</v>
      </c>
      <c r="E1046" t="s">
        <v>450</v>
      </c>
      <c r="F1046" t="s">
        <v>442</v>
      </c>
      <c r="G1046" t="s">
        <v>451</v>
      </c>
      <c r="H1046" t="s">
        <v>452</v>
      </c>
      <c r="I1046" t="s">
        <v>22</v>
      </c>
      <c r="J1046" t="s">
        <v>23</v>
      </c>
      <c r="K1046" t="s">
        <v>303</v>
      </c>
      <c r="L1046" t="s">
        <v>449</v>
      </c>
      <c r="M1046">
        <v>30</v>
      </c>
      <c r="N1046">
        <v>64</v>
      </c>
      <c r="O1046">
        <v>1</v>
      </c>
      <c r="P1046">
        <v>3</v>
      </c>
      <c r="Q1046">
        <v>178</v>
      </c>
      <c r="R1046">
        <v>0.59089999999999998</v>
      </c>
      <c r="S1046">
        <v>0.89200000000000002</v>
      </c>
      <c r="U1046">
        <v>0.30110000000000003</v>
      </c>
      <c r="V1046">
        <v>181.46512881559238</v>
      </c>
      <c r="W1046">
        <v>37.604277221808438</v>
      </c>
      <c r="X1046">
        <v>286.5986108275593</v>
      </c>
      <c r="Y1046">
        <v>-14.501389172440724</v>
      </c>
      <c r="Z1046">
        <v>-5.059825353154249</v>
      </c>
    </row>
    <row r="1047" spans="1:26" x14ac:dyDescent="0.35">
      <c r="A1047">
        <v>1045</v>
      </c>
      <c r="C1047">
        <v>46064</v>
      </c>
      <c r="D1047" t="s">
        <v>16</v>
      </c>
      <c r="E1047" t="s">
        <v>454</v>
      </c>
      <c r="F1047" t="s">
        <v>442</v>
      </c>
      <c r="G1047" t="s">
        <v>455</v>
      </c>
      <c r="H1047" t="s">
        <v>456</v>
      </c>
      <c r="I1047" t="s">
        <v>22</v>
      </c>
      <c r="J1047" t="s">
        <v>23</v>
      </c>
      <c r="K1047" t="s">
        <v>303</v>
      </c>
      <c r="L1047" t="s">
        <v>453</v>
      </c>
      <c r="M1047">
        <v>30</v>
      </c>
      <c r="N1047">
        <v>64</v>
      </c>
      <c r="O1047">
        <v>1</v>
      </c>
      <c r="P1047">
        <v>1</v>
      </c>
      <c r="Q1047">
        <v>179</v>
      </c>
      <c r="R1047">
        <v>0.57120000000000004</v>
      </c>
      <c r="S1047">
        <v>0.89780000000000004</v>
      </c>
      <c r="U1047">
        <v>0.3266</v>
      </c>
      <c r="V1047">
        <v>151.73586433505767</v>
      </c>
      <c r="W1047">
        <v>31.721615636324511</v>
      </c>
      <c r="X1047">
        <v>292.18679277481618</v>
      </c>
      <c r="Y1047">
        <v>-34.413207225183839</v>
      </c>
      <c r="Z1047">
        <v>-11.777810659534349</v>
      </c>
    </row>
    <row r="1048" spans="1:26" x14ac:dyDescent="0.35">
      <c r="A1048">
        <v>1046</v>
      </c>
      <c r="C1048">
        <v>46064</v>
      </c>
      <c r="D1048" t="s">
        <v>16</v>
      </c>
      <c r="E1048" t="s">
        <v>454</v>
      </c>
      <c r="F1048" t="s">
        <v>442</v>
      </c>
      <c r="G1048" t="s">
        <v>455</v>
      </c>
      <c r="H1048" t="s">
        <v>456</v>
      </c>
      <c r="I1048" t="s">
        <v>22</v>
      </c>
      <c r="J1048" t="s">
        <v>23</v>
      </c>
      <c r="K1048" t="s">
        <v>303</v>
      </c>
      <c r="L1048" t="s">
        <v>453</v>
      </c>
      <c r="M1048">
        <v>30</v>
      </c>
      <c r="N1048">
        <v>64</v>
      </c>
      <c r="O1048">
        <v>1</v>
      </c>
      <c r="P1048">
        <v>2</v>
      </c>
      <c r="Q1048">
        <v>180</v>
      </c>
      <c r="R1048">
        <v>0.59499999999999997</v>
      </c>
      <c r="S1048">
        <v>0.90410000000000001</v>
      </c>
      <c r="U1048">
        <v>0.30910000000000004</v>
      </c>
      <c r="V1048">
        <v>169.33153150792469</v>
      </c>
      <c r="W1048">
        <v>35.393054252553988</v>
      </c>
      <c r="X1048">
        <v>292.24523013337114</v>
      </c>
      <c r="Y1048">
        <v>-16.854769866628885</v>
      </c>
      <c r="Z1048">
        <v>-5.7673378822767862</v>
      </c>
    </row>
    <row r="1049" spans="1:26" x14ac:dyDescent="0.35">
      <c r="A1049">
        <v>1047</v>
      </c>
      <c r="C1049">
        <v>46064</v>
      </c>
      <c r="D1049" t="s">
        <v>16</v>
      </c>
      <c r="E1049" t="s">
        <v>454</v>
      </c>
      <c r="F1049" t="s">
        <v>442</v>
      </c>
      <c r="G1049" t="s">
        <v>455</v>
      </c>
      <c r="H1049" t="s">
        <v>456</v>
      </c>
      <c r="I1049" t="s">
        <v>22</v>
      </c>
      <c r="J1049" t="s">
        <v>23</v>
      </c>
      <c r="K1049" t="s">
        <v>303</v>
      </c>
      <c r="L1049" t="s">
        <v>453</v>
      </c>
      <c r="M1049">
        <v>30</v>
      </c>
      <c r="N1049">
        <v>64</v>
      </c>
      <c r="O1049">
        <v>1</v>
      </c>
      <c r="P1049">
        <v>3</v>
      </c>
      <c r="Q1049">
        <v>181</v>
      </c>
      <c r="R1049">
        <v>0.57130000000000003</v>
      </c>
      <c r="S1049">
        <v>0.9607</v>
      </c>
      <c r="U1049">
        <v>0.38939999999999997</v>
      </c>
      <c r="V1049">
        <v>89.318533026525756</v>
      </c>
      <c r="W1049">
        <v>18.657838973110451</v>
      </c>
      <c r="X1049">
        <v>292.42054220903606</v>
      </c>
      <c r="Y1049">
        <v>-96.97945779096392</v>
      </c>
      <c r="Z1049">
        <v>-33.164379307401191</v>
      </c>
    </row>
    <row r="1050" spans="1:26" x14ac:dyDescent="0.35">
      <c r="A1050">
        <v>1048</v>
      </c>
      <c r="C1050">
        <v>46064</v>
      </c>
      <c r="D1050" t="s">
        <v>16</v>
      </c>
      <c r="E1050" t="s">
        <v>458</v>
      </c>
      <c r="F1050" t="s">
        <v>333</v>
      </c>
      <c r="G1050" t="s">
        <v>438</v>
      </c>
      <c r="H1050" t="s">
        <v>439</v>
      </c>
      <c r="I1050" t="s">
        <v>22</v>
      </c>
      <c r="J1050" t="s">
        <v>23</v>
      </c>
      <c r="K1050" t="s">
        <v>303</v>
      </c>
      <c r="L1050" t="s">
        <v>457</v>
      </c>
      <c r="M1050">
        <v>30</v>
      </c>
      <c r="N1050">
        <v>64</v>
      </c>
      <c r="O1050">
        <v>1</v>
      </c>
      <c r="P1050">
        <v>1</v>
      </c>
      <c r="Q1050">
        <v>182</v>
      </c>
      <c r="R1050">
        <v>0.55940000000000001</v>
      </c>
      <c r="S1050">
        <v>0.86370000000000002</v>
      </c>
      <c r="U1050">
        <v>0.30430000000000001</v>
      </c>
      <c r="V1050">
        <v>173.58196273490609</v>
      </c>
      <c r="W1050">
        <v>36.323187789198194</v>
      </c>
      <c r="X1050">
        <v>219.84683534461576</v>
      </c>
      <c r="Y1050">
        <v>-84.453164655384256</v>
      </c>
      <c r="Z1050">
        <v>-38.41454643775139</v>
      </c>
    </row>
    <row r="1051" spans="1:26" x14ac:dyDescent="0.35">
      <c r="A1051">
        <v>1049</v>
      </c>
      <c r="C1051">
        <v>46064</v>
      </c>
      <c r="D1051" t="s">
        <v>16</v>
      </c>
      <c r="E1051" t="s">
        <v>458</v>
      </c>
      <c r="F1051" t="s">
        <v>333</v>
      </c>
      <c r="G1051" t="s">
        <v>438</v>
      </c>
      <c r="H1051" t="s">
        <v>439</v>
      </c>
      <c r="I1051" t="s">
        <v>22</v>
      </c>
      <c r="J1051" t="s">
        <v>23</v>
      </c>
      <c r="K1051" t="s">
        <v>303</v>
      </c>
      <c r="L1051" t="s">
        <v>457</v>
      </c>
      <c r="M1051">
        <v>30</v>
      </c>
      <c r="N1051">
        <v>64</v>
      </c>
      <c r="O1051">
        <v>1</v>
      </c>
      <c r="P1051">
        <v>2</v>
      </c>
      <c r="Q1051">
        <v>183</v>
      </c>
      <c r="R1051">
        <v>0.58730000000000004</v>
      </c>
      <c r="S1051">
        <v>0.80979999999999996</v>
      </c>
      <c r="U1051">
        <v>0.22249999999999992</v>
      </c>
      <c r="V1051">
        <v>254.90455817672947</v>
      </c>
      <c r="W1051">
        <v>53.393825804731186</v>
      </c>
      <c r="X1051">
        <v>219.62720813647928</v>
      </c>
      <c r="Y1051">
        <v>-2.8727918635206322</v>
      </c>
      <c r="Z1051">
        <v>-1.3080309529479794</v>
      </c>
    </row>
    <row r="1052" spans="1:26" x14ac:dyDescent="0.35">
      <c r="A1052">
        <v>1050</v>
      </c>
      <c r="C1052">
        <v>46064</v>
      </c>
      <c r="D1052" t="s">
        <v>16</v>
      </c>
      <c r="E1052" t="s">
        <v>458</v>
      </c>
      <c r="F1052" t="s">
        <v>333</v>
      </c>
      <c r="G1052" t="s">
        <v>438</v>
      </c>
      <c r="H1052" t="s">
        <v>439</v>
      </c>
      <c r="I1052" t="s">
        <v>22</v>
      </c>
      <c r="J1052" t="s">
        <v>23</v>
      </c>
      <c r="K1052" t="s">
        <v>303</v>
      </c>
      <c r="L1052" t="s">
        <v>457</v>
      </c>
      <c r="M1052">
        <v>30</v>
      </c>
      <c r="N1052">
        <v>64</v>
      </c>
      <c r="O1052">
        <v>1</v>
      </c>
      <c r="P1052">
        <v>3</v>
      </c>
      <c r="Q1052">
        <v>184</v>
      </c>
      <c r="R1052">
        <v>0.60089999999999999</v>
      </c>
      <c r="S1052">
        <v>0.81730000000000003</v>
      </c>
      <c r="U1052">
        <v>0.21640000000000004</v>
      </c>
      <c r="V1052">
        <v>261.10003908836467</v>
      </c>
      <c r="W1052">
        <v>54.680631982115145</v>
      </c>
      <c r="X1052">
        <v>219.67113357810658</v>
      </c>
      <c r="Y1052">
        <v>3.2711335781065429</v>
      </c>
      <c r="Z1052">
        <v>1.4891048836616734</v>
      </c>
    </row>
    <row r="1053" spans="1:26" x14ac:dyDescent="0.35">
      <c r="A1053">
        <v>1051</v>
      </c>
      <c r="C1053">
        <v>46064</v>
      </c>
      <c r="D1053" t="s">
        <v>16</v>
      </c>
      <c r="E1053" t="s">
        <v>460</v>
      </c>
      <c r="F1053" t="s">
        <v>333</v>
      </c>
      <c r="G1053" t="s">
        <v>461</v>
      </c>
      <c r="H1053" t="s">
        <v>462</v>
      </c>
      <c r="I1053" t="s">
        <v>22</v>
      </c>
      <c r="J1053" t="s">
        <v>23</v>
      </c>
      <c r="K1053" t="s">
        <v>303</v>
      </c>
      <c r="L1053" t="s">
        <v>459</v>
      </c>
      <c r="M1053">
        <v>30</v>
      </c>
      <c r="N1053">
        <v>64</v>
      </c>
      <c r="O1053">
        <v>1</v>
      </c>
      <c r="P1053">
        <v>1</v>
      </c>
      <c r="Q1053">
        <v>185</v>
      </c>
      <c r="R1053">
        <v>0.57420000000000004</v>
      </c>
      <c r="S1053">
        <v>0.80859999999999999</v>
      </c>
      <c r="U1053">
        <v>0.23439999999999994</v>
      </c>
      <c r="V1053">
        <v>247.80799636167498</v>
      </c>
      <c r="W1053">
        <v>51.390271051376189</v>
      </c>
      <c r="X1053">
        <v>243.05016222944593</v>
      </c>
      <c r="Y1053">
        <v>8.6501622294459821</v>
      </c>
      <c r="Z1053">
        <v>3.559002861837218</v>
      </c>
    </row>
    <row r="1054" spans="1:26" x14ac:dyDescent="0.35">
      <c r="A1054">
        <v>1052</v>
      </c>
      <c r="C1054">
        <v>46064</v>
      </c>
      <c r="D1054" t="s">
        <v>16</v>
      </c>
      <c r="E1054" t="s">
        <v>460</v>
      </c>
      <c r="F1054" t="s">
        <v>333</v>
      </c>
      <c r="G1054" t="s">
        <v>461</v>
      </c>
      <c r="H1054" t="s">
        <v>462</v>
      </c>
      <c r="I1054" t="s">
        <v>22</v>
      </c>
      <c r="J1054" t="s">
        <v>23</v>
      </c>
      <c r="K1054" t="s">
        <v>303</v>
      </c>
      <c r="L1054" t="s">
        <v>459</v>
      </c>
      <c r="M1054">
        <v>30</v>
      </c>
      <c r="N1054">
        <v>64</v>
      </c>
      <c r="O1054">
        <v>1</v>
      </c>
      <c r="P1054">
        <v>2</v>
      </c>
      <c r="Q1054">
        <v>186</v>
      </c>
      <c r="R1054">
        <v>0.56379999999999997</v>
      </c>
      <c r="S1054">
        <v>0.80810000000000004</v>
      </c>
      <c r="U1054">
        <v>0.24430000000000007</v>
      </c>
      <c r="V1054">
        <v>238.29376275876416</v>
      </c>
      <c r="W1054">
        <v>49.377712922883518</v>
      </c>
      <c r="X1054">
        <v>243.24460235922948</v>
      </c>
      <c r="Y1054">
        <v>-1.0553976407705932</v>
      </c>
      <c r="Z1054">
        <v>-0.43388327244851116</v>
      </c>
    </row>
    <row r="1055" spans="1:26" x14ac:dyDescent="0.35">
      <c r="A1055">
        <v>1053</v>
      </c>
      <c r="C1055">
        <v>46064</v>
      </c>
      <c r="D1055" t="s">
        <v>16</v>
      </c>
      <c r="E1055" t="s">
        <v>460</v>
      </c>
      <c r="F1055" t="s">
        <v>333</v>
      </c>
      <c r="G1055" t="s">
        <v>461</v>
      </c>
      <c r="H1055" t="s">
        <v>462</v>
      </c>
      <c r="I1055" t="s">
        <v>22</v>
      </c>
      <c r="J1055" t="s">
        <v>23</v>
      </c>
      <c r="K1055" t="s">
        <v>303</v>
      </c>
      <c r="L1055" t="s">
        <v>459</v>
      </c>
      <c r="M1055">
        <v>30</v>
      </c>
      <c r="N1055">
        <v>64</v>
      </c>
      <c r="O1055">
        <v>1</v>
      </c>
      <c r="P1055">
        <v>3</v>
      </c>
      <c r="Q1055">
        <v>187</v>
      </c>
      <c r="R1055">
        <v>0.56399999999999995</v>
      </c>
      <c r="S1055">
        <v>0.80820000000000003</v>
      </c>
      <c r="U1055">
        <v>0.24420000000000008</v>
      </c>
      <c r="V1055">
        <v>238.39376275876415</v>
      </c>
      <c r="W1055">
        <v>49.398434284765273</v>
      </c>
      <c r="X1055">
        <v>243.24460235922948</v>
      </c>
      <c r="Y1055">
        <v>-0.95539764077059885</v>
      </c>
      <c r="Z1055">
        <v>-0.39277239104349976</v>
      </c>
    </row>
    <row r="1056" spans="1:26" x14ac:dyDescent="0.35">
      <c r="A1056">
        <v>1054</v>
      </c>
      <c r="C1056">
        <v>46064</v>
      </c>
      <c r="D1056" t="s">
        <v>16</v>
      </c>
      <c r="E1056" t="s">
        <v>464</v>
      </c>
      <c r="F1056" t="s">
        <v>333</v>
      </c>
      <c r="G1056" t="s">
        <v>438</v>
      </c>
      <c r="H1056" t="s">
        <v>439</v>
      </c>
      <c r="I1056" t="s">
        <v>22</v>
      </c>
      <c r="J1056" t="s">
        <v>23</v>
      </c>
      <c r="K1056" t="s">
        <v>303</v>
      </c>
      <c r="L1056" t="s">
        <v>463</v>
      </c>
      <c r="M1056">
        <v>30</v>
      </c>
      <c r="N1056">
        <v>64</v>
      </c>
      <c r="O1056">
        <v>1</v>
      </c>
      <c r="P1056">
        <v>1</v>
      </c>
      <c r="Q1056">
        <v>188</v>
      </c>
      <c r="R1056">
        <v>0.56540000000000001</v>
      </c>
      <c r="S1056">
        <v>0.92610000000000003</v>
      </c>
      <c r="U1056">
        <v>0.36070000000000002</v>
      </c>
      <c r="V1056">
        <v>118.5802150983684</v>
      </c>
      <c r="W1056">
        <v>24.741312360250621</v>
      </c>
      <c r="X1056">
        <v>302.0739719319165</v>
      </c>
      <c r="Y1056">
        <v>-58.626028068083542</v>
      </c>
      <c r="Z1056">
        <v>-19.407838316270784</v>
      </c>
    </row>
    <row r="1057" spans="1:26" x14ac:dyDescent="0.35">
      <c r="A1057">
        <v>1055</v>
      </c>
      <c r="C1057">
        <v>46064</v>
      </c>
      <c r="D1057" t="s">
        <v>16</v>
      </c>
      <c r="E1057" t="s">
        <v>464</v>
      </c>
      <c r="F1057" t="s">
        <v>333</v>
      </c>
      <c r="G1057" t="s">
        <v>438</v>
      </c>
      <c r="H1057" t="s">
        <v>439</v>
      </c>
      <c r="I1057" t="s">
        <v>22</v>
      </c>
      <c r="J1057" t="s">
        <v>23</v>
      </c>
      <c r="K1057" t="s">
        <v>303</v>
      </c>
      <c r="L1057" t="s">
        <v>463</v>
      </c>
      <c r="M1057">
        <v>30</v>
      </c>
      <c r="N1057">
        <v>64</v>
      </c>
      <c r="O1057">
        <v>1</v>
      </c>
      <c r="P1057">
        <v>2</v>
      </c>
      <c r="Q1057">
        <v>189</v>
      </c>
      <c r="R1057">
        <v>0.58430000000000004</v>
      </c>
      <c r="S1057">
        <v>0.87350000000000005</v>
      </c>
      <c r="U1057">
        <v>0.28920000000000001</v>
      </c>
      <c r="V1057">
        <v>190.36772572530208</v>
      </c>
      <c r="W1057">
        <v>39.695691664277113</v>
      </c>
      <c r="X1057">
        <v>302.25518007344732</v>
      </c>
      <c r="Y1057">
        <v>13.055180073447332</v>
      </c>
      <c r="Z1057">
        <v>4.3192576783216596</v>
      </c>
    </row>
    <row r="1058" spans="1:26" x14ac:dyDescent="0.35">
      <c r="A1058">
        <v>1056</v>
      </c>
      <c r="C1058">
        <v>46064</v>
      </c>
      <c r="D1058" t="s">
        <v>16</v>
      </c>
      <c r="E1058" t="s">
        <v>464</v>
      </c>
      <c r="F1058" t="s">
        <v>333</v>
      </c>
      <c r="G1058" t="s">
        <v>438</v>
      </c>
      <c r="H1058" t="s">
        <v>439</v>
      </c>
      <c r="I1058" t="s">
        <v>22</v>
      </c>
      <c r="J1058" t="s">
        <v>23</v>
      </c>
      <c r="K1058" t="s">
        <v>303</v>
      </c>
      <c r="L1058" t="s">
        <v>463</v>
      </c>
      <c r="M1058">
        <v>30</v>
      </c>
      <c r="N1058">
        <v>64</v>
      </c>
      <c r="O1058">
        <v>1</v>
      </c>
      <c r="P1058">
        <v>3</v>
      </c>
      <c r="Q1058">
        <v>190</v>
      </c>
      <c r="R1058">
        <v>0.5897</v>
      </c>
      <c r="S1058">
        <v>0.88519999999999999</v>
      </c>
      <c r="U1058">
        <v>0.29549999999999998</v>
      </c>
      <c r="V1058">
        <v>183.87605197401308</v>
      </c>
      <c r="W1058">
        <v>38.357371257248573</v>
      </c>
      <c r="X1058">
        <v>302.13437464576015</v>
      </c>
      <c r="Y1058">
        <v>6.6343746457601469</v>
      </c>
      <c r="Z1058">
        <v>2.1958357613358865</v>
      </c>
    </row>
    <row r="1059" spans="1:26" x14ac:dyDescent="0.35">
      <c r="A1059">
        <v>1057</v>
      </c>
      <c r="C1059">
        <v>46064</v>
      </c>
      <c r="D1059" t="s">
        <v>16</v>
      </c>
      <c r="E1059" t="s">
        <v>466</v>
      </c>
      <c r="F1059" t="s">
        <v>346</v>
      </c>
      <c r="G1059" t="s">
        <v>347</v>
      </c>
      <c r="H1059" t="s">
        <v>348</v>
      </c>
      <c r="I1059" t="s">
        <v>22</v>
      </c>
      <c r="J1059" t="s">
        <v>23</v>
      </c>
      <c r="K1059" t="s">
        <v>303</v>
      </c>
      <c r="L1059" t="s">
        <v>465</v>
      </c>
      <c r="M1059">
        <v>30</v>
      </c>
      <c r="N1059">
        <v>64</v>
      </c>
      <c r="O1059">
        <v>1</v>
      </c>
      <c r="P1059">
        <v>1</v>
      </c>
      <c r="Q1059">
        <v>191</v>
      </c>
      <c r="R1059">
        <v>0.57650000000000001</v>
      </c>
      <c r="S1059">
        <v>0.96330000000000005</v>
      </c>
      <c r="U1059">
        <v>0.38680000000000003</v>
      </c>
      <c r="V1059">
        <v>95.11841250543074</v>
      </c>
      <c r="W1059">
        <v>19.737451410275561</v>
      </c>
      <c r="X1059">
        <v>302.90206084986511</v>
      </c>
      <c r="Y1059">
        <v>-83.897939150134903</v>
      </c>
      <c r="Z1059">
        <v>-27.698041708510967</v>
      </c>
    </row>
    <row r="1060" spans="1:26" x14ac:dyDescent="0.35">
      <c r="A1060">
        <v>1058</v>
      </c>
      <c r="C1060">
        <v>46064</v>
      </c>
      <c r="D1060" t="s">
        <v>16</v>
      </c>
      <c r="E1060" t="s">
        <v>466</v>
      </c>
      <c r="F1060" t="s">
        <v>346</v>
      </c>
      <c r="G1060" t="s">
        <v>347</v>
      </c>
      <c r="H1060" t="s">
        <v>348</v>
      </c>
      <c r="I1060" t="s">
        <v>22</v>
      </c>
      <c r="J1060" t="s">
        <v>23</v>
      </c>
      <c r="K1060" t="s">
        <v>303</v>
      </c>
      <c r="L1060" t="s">
        <v>465</v>
      </c>
      <c r="M1060">
        <v>30</v>
      </c>
      <c r="N1060">
        <v>64</v>
      </c>
      <c r="O1060">
        <v>1</v>
      </c>
      <c r="P1060">
        <v>2</v>
      </c>
      <c r="Q1060">
        <v>192</v>
      </c>
      <c r="R1060">
        <v>0.57920000000000005</v>
      </c>
      <c r="S1060">
        <v>0.91810000000000003</v>
      </c>
      <c r="U1060">
        <v>0.33889999999999998</v>
      </c>
      <c r="V1060">
        <v>142.6331859566655</v>
      </c>
      <c r="W1060">
        <v>29.620634696920238</v>
      </c>
      <c r="X1060">
        <v>302.65993290354231</v>
      </c>
      <c r="Y1060">
        <v>-36.240067096457665</v>
      </c>
      <c r="Z1060">
        <v>-11.973856846128148</v>
      </c>
    </row>
    <row r="1061" spans="1:26" x14ac:dyDescent="0.35">
      <c r="A1061">
        <v>1059</v>
      </c>
      <c r="C1061">
        <v>46064</v>
      </c>
      <c r="D1061" t="s">
        <v>16</v>
      </c>
      <c r="E1061" t="s">
        <v>466</v>
      </c>
      <c r="F1061" t="s">
        <v>346</v>
      </c>
      <c r="G1061" t="s">
        <v>347</v>
      </c>
      <c r="H1061" t="s">
        <v>348</v>
      </c>
      <c r="I1061" t="s">
        <v>22</v>
      </c>
      <c r="J1061" t="s">
        <v>23</v>
      </c>
      <c r="K1061" t="s">
        <v>303</v>
      </c>
      <c r="L1061" t="s">
        <v>465</v>
      </c>
      <c r="M1061">
        <v>30</v>
      </c>
      <c r="N1061">
        <v>64</v>
      </c>
      <c r="O1061">
        <v>1</v>
      </c>
      <c r="P1061">
        <v>3</v>
      </c>
      <c r="Q1061">
        <v>193</v>
      </c>
      <c r="R1061">
        <v>0.58409999999999995</v>
      </c>
      <c r="S1061">
        <v>0.94340000000000002</v>
      </c>
      <c r="U1061">
        <v>0.35930000000000006</v>
      </c>
      <c r="V1061">
        <v>122.71471914262202</v>
      </c>
      <c r="W1061">
        <v>25.458707850436468</v>
      </c>
      <c r="X1061">
        <v>302.96259283644582</v>
      </c>
      <c r="Y1061">
        <v>-56.337407163554246</v>
      </c>
      <c r="Z1061">
        <v>-18.595499410043654</v>
      </c>
    </row>
    <row r="1062" spans="1:26" x14ac:dyDescent="0.35">
      <c r="A1062">
        <v>1060</v>
      </c>
      <c r="C1062">
        <v>46064</v>
      </c>
      <c r="D1062" t="s">
        <v>16</v>
      </c>
      <c r="E1062" t="s">
        <v>468</v>
      </c>
      <c r="F1062" t="s">
        <v>212</v>
      </c>
      <c r="G1062" t="s">
        <v>469</v>
      </c>
      <c r="H1062" t="s">
        <v>470</v>
      </c>
      <c r="I1062" t="s">
        <v>22</v>
      </c>
      <c r="J1062" t="s">
        <v>23</v>
      </c>
      <c r="K1062" t="s">
        <v>303</v>
      </c>
      <c r="L1062" t="s">
        <v>467</v>
      </c>
      <c r="M1062">
        <v>30</v>
      </c>
      <c r="N1062">
        <v>64</v>
      </c>
      <c r="O1062">
        <v>1</v>
      </c>
      <c r="P1062">
        <v>1</v>
      </c>
      <c r="Q1062">
        <v>194</v>
      </c>
      <c r="R1062">
        <v>0.58720000000000006</v>
      </c>
      <c r="S1062">
        <v>0.88270000000000004</v>
      </c>
      <c r="U1062">
        <v>0.29549999999999998</v>
      </c>
      <c r="V1062">
        <v>179.76503600959654</v>
      </c>
      <c r="W1062">
        <v>37.824165968305465</v>
      </c>
      <c r="X1062">
        <v>260.05224117908494</v>
      </c>
      <c r="Y1062">
        <v>-35.447758820915055</v>
      </c>
      <c r="Z1062">
        <v>-13.631014545459719</v>
      </c>
    </row>
    <row r="1063" spans="1:26" x14ac:dyDescent="0.35">
      <c r="A1063">
        <v>1061</v>
      </c>
      <c r="C1063">
        <v>46064</v>
      </c>
      <c r="D1063" t="s">
        <v>16</v>
      </c>
      <c r="E1063" t="s">
        <v>468</v>
      </c>
      <c r="F1063" t="s">
        <v>212</v>
      </c>
      <c r="G1063" t="s">
        <v>469</v>
      </c>
      <c r="H1063" t="s">
        <v>470</v>
      </c>
      <c r="I1063" t="s">
        <v>22</v>
      </c>
      <c r="J1063" t="s">
        <v>23</v>
      </c>
      <c r="K1063" t="s">
        <v>303</v>
      </c>
      <c r="L1063" t="s">
        <v>467</v>
      </c>
      <c r="M1063">
        <v>30</v>
      </c>
      <c r="N1063">
        <v>64</v>
      </c>
      <c r="O1063">
        <v>1</v>
      </c>
      <c r="P1063">
        <v>2</v>
      </c>
      <c r="Q1063">
        <v>195</v>
      </c>
      <c r="R1063">
        <v>0.57269999999999999</v>
      </c>
      <c r="S1063">
        <v>0.82979999999999998</v>
      </c>
      <c r="U1063">
        <v>0.2571</v>
      </c>
      <c r="V1063">
        <v>218.26003201919264</v>
      </c>
      <c r="W1063">
        <v>45.914678836604502</v>
      </c>
      <c r="X1063">
        <v>260.10422043976433</v>
      </c>
      <c r="Y1063">
        <v>3.0042204397643104</v>
      </c>
      <c r="Z1063">
        <v>1.1550064180754176</v>
      </c>
    </row>
    <row r="1064" spans="1:26" x14ac:dyDescent="0.35">
      <c r="A1064">
        <v>1062</v>
      </c>
      <c r="C1064">
        <v>46064</v>
      </c>
      <c r="D1064" t="s">
        <v>16</v>
      </c>
      <c r="E1064" t="s">
        <v>468</v>
      </c>
      <c r="F1064" t="s">
        <v>212</v>
      </c>
      <c r="G1064" t="s">
        <v>469</v>
      </c>
      <c r="H1064" t="s">
        <v>470</v>
      </c>
      <c r="I1064" t="s">
        <v>22</v>
      </c>
      <c r="J1064" t="s">
        <v>23</v>
      </c>
      <c r="K1064" t="s">
        <v>303</v>
      </c>
      <c r="L1064" t="s">
        <v>467</v>
      </c>
      <c r="M1064">
        <v>30</v>
      </c>
      <c r="N1064">
        <v>64</v>
      </c>
      <c r="O1064">
        <v>1</v>
      </c>
      <c r="P1064">
        <v>3</v>
      </c>
      <c r="Q1064">
        <v>196</v>
      </c>
      <c r="R1064">
        <v>0.58779999999999999</v>
      </c>
      <c r="S1064">
        <v>0.83950000000000002</v>
      </c>
      <c r="U1064">
        <v>0.25170000000000003</v>
      </c>
      <c r="V1064">
        <v>223.28004798080804</v>
      </c>
      <c r="W1064">
        <v>47.008300439143888</v>
      </c>
      <c r="X1064">
        <v>259.89630339704672</v>
      </c>
      <c r="Y1064">
        <v>8.1963033970466768</v>
      </c>
      <c r="Z1064">
        <v>3.1536821762813165</v>
      </c>
    </row>
    <row r="1065" spans="1:26" x14ac:dyDescent="0.35">
      <c r="A1065">
        <v>1063</v>
      </c>
      <c r="C1065">
        <v>46064</v>
      </c>
      <c r="D1065" t="s">
        <v>16</v>
      </c>
      <c r="E1065" t="s">
        <v>472</v>
      </c>
      <c r="F1065" t="s">
        <v>346</v>
      </c>
      <c r="G1065" t="s">
        <v>347</v>
      </c>
      <c r="H1065" t="s">
        <v>348</v>
      </c>
      <c r="I1065" t="s">
        <v>22</v>
      </c>
      <c r="J1065" t="s">
        <v>23</v>
      </c>
      <c r="K1065" t="s">
        <v>303</v>
      </c>
      <c r="L1065" t="s">
        <v>471</v>
      </c>
      <c r="M1065">
        <v>30</v>
      </c>
      <c r="N1065">
        <v>64</v>
      </c>
      <c r="O1065">
        <v>1</v>
      </c>
      <c r="P1065">
        <v>1</v>
      </c>
      <c r="Q1065">
        <v>197</v>
      </c>
      <c r="R1065">
        <v>0.59160000000000001</v>
      </c>
      <c r="S1065">
        <v>1.0385</v>
      </c>
      <c r="U1065">
        <v>0.44689999999999996</v>
      </c>
      <c r="V1065">
        <v>31.107749274732555</v>
      </c>
    </row>
    <row r="1066" spans="1:26" x14ac:dyDescent="0.35">
      <c r="A1066">
        <v>1064</v>
      </c>
      <c r="C1066">
        <v>46064</v>
      </c>
      <c r="D1066" t="s">
        <v>16</v>
      </c>
      <c r="E1066" t="s">
        <v>472</v>
      </c>
      <c r="F1066" t="s">
        <v>346</v>
      </c>
      <c r="G1066" t="s">
        <v>347</v>
      </c>
      <c r="H1066" t="s">
        <v>348</v>
      </c>
      <c r="I1066" t="s">
        <v>22</v>
      </c>
      <c r="J1066" t="s">
        <v>23</v>
      </c>
      <c r="K1066" t="s">
        <v>303</v>
      </c>
      <c r="L1066" t="s">
        <v>471</v>
      </c>
      <c r="M1066">
        <v>30</v>
      </c>
      <c r="N1066">
        <v>64</v>
      </c>
      <c r="O1066">
        <v>1</v>
      </c>
      <c r="P1066">
        <v>2</v>
      </c>
      <c r="Q1066">
        <v>198</v>
      </c>
      <c r="R1066">
        <v>0.56869999999999998</v>
      </c>
    </row>
    <row r="1067" spans="1:26" x14ac:dyDescent="0.35">
      <c r="A1067">
        <v>1065</v>
      </c>
      <c r="C1067">
        <v>46064</v>
      </c>
      <c r="D1067" t="s">
        <v>16</v>
      </c>
      <c r="E1067" t="s">
        <v>472</v>
      </c>
      <c r="F1067" t="s">
        <v>346</v>
      </c>
      <c r="G1067" t="s">
        <v>347</v>
      </c>
      <c r="H1067" t="s">
        <v>348</v>
      </c>
      <c r="I1067" t="s">
        <v>22</v>
      </c>
      <c r="J1067" t="s">
        <v>23</v>
      </c>
      <c r="K1067" t="s">
        <v>303</v>
      </c>
      <c r="L1067" t="s">
        <v>471</v>
      </c>
      <c r="M1067">
        <v>30</v>
      </c>
      <c r="N1067">
        <v>64</v>
      </c>
      <c r="O1067">
        <v>1</v>
      </c>
      <c r="P1067">
        <v>3</v>
      </c>
      <c r="Q1067">
        <v>199</v>
      </c>
      <c r="R1067">
        <v>0.57989999999999997</v>
      </c>
      <c r="S1067">
        <v>0.89090000000000003</v>
      </c>
      <c r="U1067">
        <v>0.31100000000000005</v>
      </c>
      <c r="V1067">
        <v>167.10335082458744</v>
      </c>
      <c r="W1067">
        <v>34.951303005173123</v>
      </c>
      <c r="X1067">
        <v>308.81947209005727</v>
      </c>
      <c r="Y1067">
        <v>-2.1805279099427821</v>
      </c>
      <c r="Z1067">
        <v>-0.70608498071225934</v>
      </c>
    </row>
    <row r="1068" spans="1:26" x14ac:dyDescent="0.35">
      <c r="A1068">
        <v>1066</v>
      </c>
      <c r="C1068">
        <v>46064</v>
      </c>
      <c r="D1068" t="s">
        <v>473</v>
      </c>
      <c r="E1068" t="s">
        <v>475</v>
      </c>
      <c r="F1068" t="s">
        <v>592</v>
      </c>
      <c r="G1068" t="s">
        <v>106</v>
      </c>
      <c r="H1068" t="s">
        <v>476</v>
      </c>
      <c r="I1068" t="s">
        <v>108</v>
      </c>
      <c r="J1068" t="s">
        <v>109</v>
      </c>
      <c r="K1068" t="s">
        <v>110</v>
      </c>
      <c r="L1068" t="s">
        <v>474</v>
      </c>
      <c r="M1068">
        <v>30</v>
      </c>
      <c r="N1068">
        <v>64</v>
      </c>
      <c r="O1068">
        <v>1</v>
      </c>
      <c r="P1068">
        <v>1</v>
      </c>
      <c r="Q1068">
        <v>200</v>
      </c>
      <c r="R1068">
        <v>0.57150000000000001</v>
      </c>
      <c r="S1068">
        <v>0.82</v>
      </c>
      <c r="T1068" t="s">
        <v>593</v>
      </c>
      <c r="U1068">
        <v>0.24849999999999994</v>
      </c>
      <c r="V1068">
        <v>217.41545000000002</v>
      </c>
      <c r="W1068">
        <v>46.66414260355608</v>
      </c>
      <c r="X1068">
        <v>278.43107292000002</v>
      </c>
      <c r="Y1068">
        <v>29.931072920000076</v>
      </c>
      <c r="Z1068">
        <v>10.749903955080473</v>
      </c>
    </row>
    <row r="1069" spans="1:26" x14ac:dyDescent="0.35">
      <c r="A1069">
        <v>1067</v>
      </c>
      <c r="C1069">
        <v>46064</v>
      </c>
      <c r="D1069" t="s">
        <v>473</v>
      </c>
      <c r="E1069" t="s">
        <v>475</v>
      </c>
      <c r="F1069" t="s">
        <v>592</v>
      </c>
      <c r="G1069" t="s">
        <v>106</v>
      </c>
      <c r="H1069" t="s">
        <v>476</v>
      </c>
      <c r="I1069" t="s">
        <v>108</v>
      </c>
      <c r="J1069" t="s">
        <v>109</v>
      </c>
      <c r="K1069" t="s">
        <v>110</v>
      </c>
      <c r="L1069" t="s">
        <v>474</v>
      </c>
      <c r="M1069">
        <v>30</v>
      </c>
      <c r="N1069">
        <v>64</v>
      </c>
      <c r="O1069">
        <v>1</v>
      </c>
      <c r="P1069">
        <v>2</v>
      </c>
      <c r="Q1069">
        <v>201</v>
      </c>
      <c r="R1069">
        <v>0.55330000000000001</v>
      </c>
      <c r="S1069">
        <v>0.77300000000000002</v>
      </c>
      <c r="U1069">
        <v>0.21970000000000001</v>
      </c>
      <c r="V1069">
        <v>246.12235999999993</v>
      </c>
      <c r="W1069">
        <v>52.836098292920063</v>
      </c>
      <c r="X1069">
        <v>278.37544233599999</v>
      </c>
      <c r="Y1069">
        <v>58.675442335999975</v>
      </c>
      <c r="Z1069">
        <v>21.077808388420465</v>
      </c>
    </row>
    <row r="1070" spans="1:26" x14ac:dyDescent="0.35">
      <c r="A1070">
        <v>1068</v>
      </c>
      <c r="C1070">
        <v>46064</v>
      </c>
      <c r="D1070" t="s">
        <v>473</v>
      </c>
      <c r="E1070" t="s">
        <v>475</v>
      </c>
      <c r="F1070" t="s">
        <v>592</v>
      </c>
      <c r="G1070" t="s">
        <v>106</v>
      </c>
      <c r="H1070" t="s">
        <v>476</v>
      </c>
      <c r="I1070" t="s">
        <v>108</v>
      </c>
      <c r="J1070" t="s">
        <v>109</v>
      </c>
      <c r="K1070" t="s">
        <v>110</v>
      </c>
      <c r="L1070" t="s">
        <v>474</v>
      </c>
      <c r="M1070">
        <v>30</v>
      </c>
      <c r="N1070">
        <v>64</v>
      </c>
      <c r="O1070">
        <v>1</v>
      </c>
      <c r="P1070">
        <v>3</v>
      </c>
      <c r="Q1070">
        <v>202</v>
      </c>
      <c r="R1070">
        <v>0.58940000000000003</v>
      </c>
      <c r="S1070">
        <v>0.80379999999999996</v>
      </c>
      <c r="U1070">
        <v>0.21439999999999992</v>
      </c>
      <c r="V1070">
        <v>251.51545000000004</v>
      </c>
      <c r="W1070">
        <v>53.983067099406135</v>
      </c>
      <c r="X1070">
        <v>278.43107292000002</v>
      </c>
      <c r="Y1070">
        <v>64.031072920000099</v>
      </c>
      <c r="Z1070">
        <v>22.997100233276687</v>
      </c>
    </row>
    <row r="1071" spans="1:26" x14ac:dyDescent="0.35">
      <c r="A1071">
        <v>1069</v>
      </c>
      <c r="C1071">
        <v>46064</v>
      </c>
      <c r="D1071" t="s">
        <v>473</v>
      </c>
      <c r="E1071" t="s">
        <v>479</v>
      </c>
      <c r="F1071" t="s">
        <v>105</v>
      </c>
      <c r="G1071" t="s">
        <v>188</v>
      </c>
      <c r="H1071" t="s">
        <v>189</v>
      </c>
      <c r="I1071" t="s">
        <v>108</v>
      </c>
      <c r="J1071" t="s">
        <v>109</v>
      </c>
      <c r="K1071" t="s">
        <v>110</v>
      </c>
      <c r="L1071" t="s">
        <v>478</v>
      </c>
      <c r="M1071">
        <v>30</v>
      </c>
      <c r="N1071">
        <v>64</v>
      </c>
      <c r="O1071">
        <v>1</v>
      </c>
      <c r="P1071">
        <v>1</v>
      </c>
      <c r="Q1071">
        <v>203</v>
      </c>
      <c r="R1071">
        <v>0.5746</v>
      </c>
      <c r="S1071">
        <v>0.85409999999999997</v>
      </c>
      <c r="U1071">
        <v>0.27949999999999997</v>
      </c>
      <c r="V1071">
        <v>211.84463000000011</v>
      </c>
      <c r="W1071">
        <v>43.115283462037652</v>
      </c>
      <c r="X1071">
        <v>361.40854259650007</v>
      </c>
      <c r="Y1071">
        <v>81.908542596500126</v>
      </c>
      <c r="Z1071">
        <v>22.663698541278848</v>
      </c>
    </row>
    <row r="1072" spans="1:26" x14ac:dyDescent="0.35">
      <c r="A1072">
        <v>1070</v>
      </c>
      <c r="C1072">
        <v>46064</v>
      </c>
      <c r="D1072" t="s">
        <v>473</v>
      </c>
      <c r="E1072" t="s">
        <v>479</v>
      </c>
      <c r="F1072" t="s">
        <v>105</v>
      </c>
      <c r="G1072" t="s">
        <v>188</v>
      </c>
      <c r="H1072" t="s">
        <v>189</v>
      </c>
      <c r="I1072" t="s">
        <v>108</v>
      </c>
      <c r="J1072" t="s">
        <v>109</v>
      </c>
      <c r="K1072" t="s">
        <v>110</v>
      </c>
      <c r="L1072" t="s">
        <v>478</v>
      </c>
      <c r="M1072">
        <v>30</v>
      </c>
      <c r="N1072">
        <v>64</v>
      </c>
      <c r="O1072">
        <v>1</v>
      </c>
      <c r="P1072">
        <v>2</v>
      </c>
      <c r="Q1072">
        <v>204</v>
      </c>
      <c r="R1072">
        <v>0.56330000000000002</v>
      </c>
      <c r="S1072">
        <v>0.87939999999999996</v>
      </c>
      <c r="U1072">
        <v>0.31609999999999994</v>
      </c>
      <c r="V1072">
        <v>174.95000000000016</v>
      </c>
      <c r="W1072">
        <v>35.627736483046561</v>
      </c>
      <c r="X1072">
        <v>361.19182750000004</v>
      </c>
      <c r="Y1072">
        <v>45.091827500000136</v>
      </c>
      <c r="Z1072">
        <v>12.484177123304411</v>
      </c>
    </row>
    <row r="1073" spans="1:26" x14ac:dyDescent="0.35">
      <c r="A1073">
        <v>1071</v>
      </c>
      <c r="C1073">
        <v>46064</v>
      </c>
      <c r="D1073" t="s">
        <v>473</v>
      </c>
      <c r="E1073" t="s">
        <v>479</v>
      </c>
      <c r="F1073" t="s">
        <v>105</v>
      </c>
      <c r="G1073" t="s">
        <v>188</v>
      </c>
      <c r="H1073" t="s">
        <v>189</v>
      </c>
      <c r="I1073" t="s">
        <v>108</v>
      </c>
      <c r="J1073" t="s">
        <v>109</v>
      </c>
      <c r="K1073" t="s">
        <v>110</v>
      </c>
      <c r="L1073" t="s">
        <v>478</v>
      </c>
      <c r="M1073">
        <v>30</v>
      </c>
      <c r="N1073">
        <v>64</v>
      </c>
      <c r="O1073">
        <v>1</v>
      </c>
      <c r="P1073">
        <v>3</v>
      </c>
      <c r="Q1073">
        <v>205</v>
      </c>
      <c r="R1073">
        <v>0.60199999999999998</v>
      </c>
      <c r="S1073">
        <v>0.875</v>
      </c>
      <c r="U1073">
        <v>0.27300000000000002</v>
      </c>
      <c r="V1073">
        <v>218.24642</v>
      </c>
      <c r="W1073">
        <v>44.427075926578766</v>
      </c>
      <c r="X1073">
        <v>361.33630423100004</v>
      </c>
      <c r="Y1073">
        <v>88.336304231000042</v>
      </c>
      <c r="Z1073">
        <v>24.447115663896092</v>
      </c>
    </row>
    <row r="1074" spans="1:26" x14ac:dyDescent="0.35">
      <c r="A1074">
        <v>1072</v>
      </c>
      <c r="C1074">
        <v>46064</v>
      </c>
      <c r="D1074" t="s">
        <v>120</v>
      </c>
      <c r="E1074" t="s">
        <v>122</v>
      </c>
      <c r="F1074" t="s">
        <v>123</v>
      </c>
      <c r="G1074" t="s">
        <v>545</v>
      </c>
      <c r="H1074" t="s">
        <v>125</v>
      </c>
      <c r="I1074" t="s">
        <v>108</v>
      </c>
      <c r="J1074" t="s">
        <v>109</v>
      </c>
      <c r="K1074" t="s">
        <v>110</v>
      </c>
      <c r="L1074" t="s">
        <v>121</v>
      </c>
      <c r="M1074">
        <v>30</v>
      </c>
      <c r="N1074">
        <v>64</v>
      </c>
      <c r="O1074">
        <v>1</v>
      </c>
      <c r="P1074">
        <v>1</v>
      </c>
      <c r="Q1074">
        <v>206</v>
      </c>
      <c r="R1074">
        <v>0.59440000000000004</v>
      </c>
      <c r="S1074">
        <v>0.91869999999999996</v>
      </c>
      <c r="T1074" t="s">
        <v>594</v>
      </c>
      <c r="U1074">
        <v>0.32429999999999992</v>
      </c>
      <c r="V1074">
        <v>144.20000000000005</v>
      </c>
      <c r="W1074">
        <v>30.779082177161165</v>
      </c>
      <c r="X1074">
        <v>356.52849999999989</v>
      </c>
      <c r="Y1074">
        <v>32.228499999999997</v>
      </c>
      <c r="Z1074">
        <v>9.0395297991605172</v>
      </c>
    </row>
    <row r="1075" spans="1:26" x14ac:dyDescent="0.35">
      <c r="A1075">
        <v>1073</v>
      </c>
      <c r="C1075">
        <v>46064</v>
      </c>
      <c r="D1075" t="s">
        <v>120</v>
      </c>
      <c r="E1075" t="s">
        <v>122</v>
      </c>
      <c r="F1075" t="s">
        <v>123</v>
      </c>
      <c r="G1075" t="s">
        <v>545</v>
      </c>
      <c r="H1075" t="s">
        <v>125</v>
      </c>
      <c r="I1075" t="s">
        <v>108</v>
      </c>
      <c r="J1075" t="s">
        <v>109</v>
      </c>
      <c r="K1075" t="s">
        <v>110</v>
      </c>
      <c r="L1075" t="s">
        <v>121</v>
      </c>
      <c r="M1075">
        <v>30</v>
      </c>
      <c r="N1075">
        <v>64</v>
      </c>
      <c r="O1075">
        <v>1</v>
      </c>
      <c r="P1075">
        <v>2</v>
      </c>
      <c r="Q1075">
        <v>207</v>
      </c>
      <c r="R1075">
        <v>0.56850000000000001</v>
      </c>
      <c r="S1075">
        <v>0.86240000000000006</v>
      </c>
      <c r="U1075">
        <v>0.29390000000000005</v>
      </c>
      <c r="V1075">
        <v>174.59999999999991</v>
      </c>
      <c r="W1075">
        <v>37.267876200640323</v>
      </c>
      <c r="X1075">
        <v>356.52849999999989</v>
      </c>
      <c r="Y1075">
        <v>62.62849999999986</v>
      </c>
      <c r="Z1075">
        <v>17.56619737272052</v>
      </c>
    </row>
    <row r="1076" spans="1:26" x14ac:dyDescent="0.35">
      <c r="A1076">
        <v>1074</v>
      </c>
      <c r="C1076">
        <v>46064</v>
      </c>
      <c r="D1076" t="s">
        <v>120</v>
      </c>
      <c r="E1076" t="s">
        <v>122</v>
      </c>
      <c r="F1076" t="s">
        <v>123</v>
      </c>
      <c r="G1076" t="s">
        <v>545</v>
      </c>
      <c r="H1076" t="s">
        <v>125</v>
      </c>
      <c r="I1076" t="s">
        <v>108</v>
      </c>
      <c r="J1076" t="s">
        <v>109</v>
      </c>
      <c r="K1076" t="s">
        <v>110</v>
      </c>
      <c r="L1076" t="s">
        <v>121</v>
      </c>
      <c r="M1076">
        <v>30</v>
      </c>
      <c r="N1076">
        <v>64</v>
      </c>
      <c r="O1076">
        <v>1</v>
      </c>
      <c r="P1076">
        <v>3</v>
      </c>
      <c r="Q1076">
        <v>208</v>
      </c>
      <c r="R1076">
        <v>0.57509999999999994</v>
      </c>
      <c r="S1076">
        <v>0.9425</v>
      </c>
      <c r="U1076">
        <v>0.36740000000000006</v>
      </c>
      <c r="V1076">
        <v>101.38109999999989</v>
      </c>
      <c r="W1076">
        <v>21.626533151613813</v>
      </c>
      <c r="X1076">
        <v>356.74241709999995</v>
      </c>
      <c r="Y1076">
        <v>-10.657582900000079</v>
      </c>
      <c r="Z1076">
        <v>-2.9874728625311207</v>
      </c>
    </row>
    <row r="1077" spans="1:26" x14ac:dyDescent="0.35">
      <c r="A1077">
        <v>1075</v>
      </c>
      <c r="C1077">
        <v>46064</v>
      </c>
      <c r="D1077">
        <v>0</v>
      </c>
      <c r="E1077" t="s">
        <v>537</v>
      </c>
      <c r="F1077" t="s">
        <v>538</v>
      </c>
      <c r="G1077">
        <v>24</v>
      </c>
      <c r="H1077" t="s">
        <v>537</v>
      </c>
      <c r="I1077">
        <v>0</v>
      </c>
      <c r="J1077">
        <v>0</v>
      </c>
      <c r="K1077">
        <v>0</v>
      </c>
      <c r="L1077" t="s">
        <v>539</v>
      </c>
      <c r="M1077">
        <v>30</v>
      </c>
      <c r="N1077">
        <v>64</v>
      </c>
      <c r="O1077">
        <v>1</v>
      </c>
      <c r="P1077">
        <v>1</v>
      </c>
      <c r="Q1077">
        <v>209</v>
      </c>
    </row>
    <row r="1078" spans="1:26" x14ac:dyDescent="0.35">
      <c r="A1078">
        <v>1076</v>
      </c>
      <c r="C1078">
        <v>46064</v>
      </c>
      <c r="D1078">
        <v>0</v>
      </c>
      <c r="E1078" t="s">
        <v>537</v>
      </c>
      <c r="F1078" t="s">
        <v>538</v>
      </c>
      <c r="G1078">
        <v>24</v>
      </c>
      <c r="H1078" t="s">
        <v>537</v>
      </c>
      <c r="I1078">
        <v>0</v>
      </c>
      <c r="J1078">
        <v>0</v>
      </c>
      <c r="K1078">
        <v>0</v>
      </c>
      <c r="L1078" t="s">
        <v>539</v>
      </c>
      <c r="M1078">
        <v>30</v>
      </c>
      <c r="N1078">
        <v>64</v>
      </c>
      <c r="O1078">
        <v>1</v>
      </c>
      <c r="P1078">
        <v>2</v>
      </c>
      <c r="Q1078">
        <v>210</v>
      </c>
    </row>
    <row r="1079" spans="1:26" x14ac:dyDescent="0.35">
      <c r="A1079">
        <v>1077</v>
      </c>
      <c r="C1079">
        <v>46083</v>
      </c>
      <c r="D1079">
        <v>0</v>
      </c>
      <c r="E1079" t="s">
        <v>537</v>
      </c>
      <c r="F1079" t="s">
        <v>538</v>
      </c>
      <c r="G1079">
        <v>24</v>
      </c>
      <c r="H1079" t="s">
        <v>537</v>
      </c>
      <c r="I1079">
        <v>0</v>
      </c>
      <c r="J1079">
        <v>0</v>
      </c>
      <c r="K1079">
        <v>0</v>
      </c>
      <c r="L1079" t="s">
        <v>539</v>
      </c>
      <c r="M1079">
        <v>30</v>
      </c>
      <c r="N1079">
        <v>65</v>
      </c>
      <c r="O1079">
        <v>2</v>
      </c>
      <c r="P1079">
        <v>1</v>
      </c>
      <c r="Q1079">
        <v>1</v>
      </c>
    </row>
    <row r="1080" spans="1:26" x14ac:dyDescent="0.35">
      <c r="A1080">
        <v>1078</v>
      </c>
      <c r="C1080">
        <v>46083</v>
      </c>
      <c r="D1080">
        <v>0</v>
      </c>
      <c r="E1080" t="s">
        <v>537</v>
      </c>
      <c r="F1080" t="s">
        <v>538</v>
      </c>
      <c r="G1080">
        <v>24</v>
      </c>
      <c r="H1080" t="s">
        <v>537</v>
      </c>
      <c r="I1080">
        <v>0</v>
      </c>
      <c r="J1080">
        <v>0</v>
      </c>
      <c r="K1080">
        <v>0</v>
      </c>
      <c r="L1080" t="s">
        <v>539</v>
      </c>
      <c r="M1080">
        <v>30</v>
      </c>
      <c r="N1080">
        <v>65</v>
      </c>
      <c r="O1080">
        <v>2</v>
      </c>
      <c r="P1080">
        <v>2</v>
      </c>
      <c r="Q1080">
        <v>2</v>
      </c>
    </row>
    <row r="1081" spans="1:26" x14ac:dyDescent="0.35">
      <c r="A1081">
        <v>1079</v>
      </c>
      <c r="C1081">
        <v>46083</v>
      </c>
      <c r="D1081" t="s">
        <v>16</v>
      </c>
      <c r="E1081" t="s">
        <v>385</v>
      </c>
      <c r="F1081" t="s">
        <v>226</v>
      </c>
      <c r="G1081" t="s">
        <v>231</v>
      </c>
      <c r="H1081" t="s">
        <v>232</v>
      </c>
      <c r="I1081" t="s">
        <v>22</v>
      </c>
      <c r="J1081" t="s">
        <v>23</v>
      </c>
      <c r="K1081" t="s">
        <v>215</v>
      </c>
      <c r="L1081" t="s">
        <v>384</v>
      </c>
      <c r="M1081">
        <v>30</v>
      </c>
      <c r="N1081">
        <v>65</v>
      </c>
      <c r="O1081">
        <v>2</v>
      </c>
      <c r="P1081">
        <v>1</v>
      </c>
      <c r="Q1081">
        <v>3</v>
      </c>
      <c r="R1081">
        <v>0.5675</v>
      </c>
      <c r="S1081">
        <v>0.82469999999999999</v>
      </c>
      <c r="U1081">
        <v>0.25719999999999998</v>
      </c>
      <c r="V1081">
        <v>205.99986857315776</v>
      </c>
      <c r="W1081">
        <v>44.473213951402954</v>
      </c>
      <c r="X1081">
        <v>256.89313686948913</v>
      </c>
      <c r="Y1081">
        <v>-0.30686313051086245</v>
      </c>
      <c r="Z1081">
        <v>-0.11945166548640022</v>
      </c>
    </row>
    <row r="1082" spans="1:26" x14ac:dyDescent="0.35">
      <c r="A1082">
        <v>1080</v>
      </c>
      <c r="C1082">
        <v>46083</v>
      </c>
      <c r="D1082" t="s">
        <v>16</v>
      </c>
      <c r="E1082" t="s">
        <v>385</v>
      </c>
      <c r="F1082" t="s">
        <v>226</v>
      </c>
      <c r="G1082" t="s">
        <v>231</v>
      </c>
      <c r="H1082" t="s">
        <v>232</v>
      </c>
      <c r="I1082" t="s">
        <v>22</v>
      </c>
      <c r="J1082" t="s">
        <v>23</v>
      </c>
      <c r="K1082" t="s">
        <v>215</v>
      </c>
      <c r="L1082" t="s">
        <v>384</v>
      </c>
      <c r="M1082">
        <v>30</v>
      </c>
      <c r="N1082">
        <v>65</v>
      </c>
      <c r="O1082">
        <v>2</v>
      </c>
      <c r="P1082">
        <v>2</v>
      </c>
      <c r="Q1082">
        <v>4</v>
      </c>
      <c r="R1082">
        <v>0.59160000000000001</v>
      </c>
      <c r="S1082">
        <v>0.8085</v>
      </c>
      <c r="U1082">
        <v>0.21689999999999998</v>
      </c>
      <c r="V1082">
        <v>246.20726564061613</v>
      </c>
      <c r="W1082">
        <v>53.164198428205978</v>
      </c>
      <c r="X1082">
        <v>256.84177878534882</v>
      </c>
      <c r="Y1082">
        <v>39.941778785348845</v>
      </c>
      <c r="Z1082">
        <v>15.551122163318107</v>
      </c>
    </row>
    <row r="1083" spans="1:26" x14ac:dyDescent="0.35">
      <c r="A1083">
        <v>1081</v>
      </c>
      <c r="C1083">
        <v>46083</v>
      </c>
      <c r="D1083" t="s">
        <v>16</v>
      </c>
      <c r="E1083" t="s">
        <v>389</v>
      </c>
      <c r="F1083" t="s">
        <v>226</v>
      </c>
      <c r="G1083" t="s">
        <v>227</v>
      </c>
      <c r="H1083" t="s">
        <v>228</v>
      </c>
      <c r="I1083" t="s">
        <v>22</v>
      </c>
      <c r="J1083" t="s">
        <v>23</v>
      </c>
      <c r="K1083" t="s">
        <v>215</v>
      </c>
      <c r="L1083" t="s">
        <v>388</v>
      </c>
      <c r="M1083">
        <v>30</v>
      </c>
      <c r="N1083">
        <v>65</v>
      </c>
      <c r="O1083">
        <v>2</v>
      </c>
      <c r="P1083">
        <v>1</v>
      </c>
      <c r="Q1083">
        <v>5</v>
      </c>
      <c r="R1083">
        <v>0.56289999999999996</v>
      </c>
      <c r="S1083">
        <v>0.81910000000000005</v>
      </c>
      <c r="U1083">
        <v>0.25620000000000009</v>
      </c>
      <c r="V1083">
        <v>206.9925875950355</v>
      </c>
      <c r="W1083">
        <v>44.688234038841514</v>
      </c>
      <c r="X1083">
        <v>244.6738541341397</v>
      </c>
      <c r="Y1083">
        <v>-11.5261458658604</v>
      </c>
      <c r="Z1083">
        <v>-4.7108204130145106</v>
      </c>
    </row>
    <row r="1084" spans="1:26" x14ac:dyDescent="0.35">
      <c r="A1084">
        <v>1082</v>
      </c>
      <c r="C1084">
        <v>46083</v>
      </c>
      <c r="D1084" t="s">
        <v>16</v>
      </c>
      <c r="E1084" t="s">
        <v>389</v>
      </c>
      <c r="F1084" t="s">
        <v>226</v>
      </c>
      <c r="G1084" t="s">
        <v>227</v>
      </c>
      <c r="H1084" t="s">
        <v>228</v>
      </c>
      <c r="I1084" t="s">
        <v>22</v>
      </c>
      <c r="J1084" t="s">
        <v>23</v>
      </c>
      <c r="K1084" t="s">
        <v>215</v>
      </c>
      <c r="L1084" t="s">
        <v>388</v>
      </c>
      <c r="M1084">
        <v>30</v>
      </c>
      <c r="N1084">
        <v>65</v>
      </c>
      <c r="O1084">
        <v>2</v>
      </c>
      <c r="P1084">
        <v>2</v>
      </c>
      <c r="Q1084">
        <v>6</v>
      </c>
      <c r="R1084">
        <v>0.55720000000000003</v>
      </c>
      <c r="S1084">
        <v>0.81899999999999995</v>
      </c>
      <c r="U1084">
        <v>0.26179999999999992</v>
      </c>
      <c r="V1084">
        <v>201.20742165955903</v>
      </c>
      <c r="W1084">
        <v>43.456629904196923</v>
      </c>
      <c r="X1084">
        <v>244.57604327899918</v>
      </c>
      <c r="Y1084">
        <v>-17.223956721000718</v>
      </c>
      <c r="Z1084">
        <v>-7.042372789289324</v>
      </c>
    </row>
    <row r="1085" spans="1:26" x14ac:dyDescent="0.35">
      <c r="A1085">
        <v>1083</v>
      </c>
      <c r="C1085">
        <v>46083</v>
      </c>
      <c r="D1085" t="s">
        <v>16</v>
      </c>
      <c r="E1085" t="s">
        <v>391</v>
      </c>
      <c r="F1085" t="s">
        <v>290</v>
      </c>
      <c r="G1085" t="s">
        <v>314</v>
      </c>
      <c r="H1085" t="s">
        <v>315</v>
      </c>
      <c r="I1085" t="s">
        <v>22</v>
      </c>
      <c r="J1085" t="s">
        <v>23</v>
      </c>
      <c r="K1085" t="s">
        <v>215</v>
      </c>
      <c r="L1085" t="s">
        <v>390</v>
      </c>
      <c r="M1085">
        <v>30</v>
      </c>
      <c r="N1085">
        <v>65</v>
      </c>
      <c r="O1085">
        <v>2</v>
      </c>
      <c r="P1085">
        <v>1</v>
      </c>
      <c r="Q1085">
        <v>7</v>
      </c>
      <c r="R1085">
        <v>0.56740000000000002</v>
      </c>
      <c r="S1085">
        <v>0.80420000000000003</v>
      </c>
      <c r="U1085">
        <v>0.23680000000000001</v>
      </c>
      <c r="V1085">
        <v>237.30929499999985</v>
      </c>
      <c r="W1085">
        <v>50.053710716639699</v>
      </c>
      <c r="X1085">
        <v>225.67278554989335</v>
      </c>
      <c r="Y1085">
        <v>-11.127214450106663</v>
      </c>
      <c r="Z1085">
        <v>-4.93068511694627</v>
      </c>
    </row>
    <row r="1086" spans="1:26" x14ac:dyDescent="0.35">
      <c r="A1086">
        <v>1084</v>
      </c>
      <c r="C1086">
        <v>46083</v>
      </c>
      <c r="D1086" t="s">
        <v>16</v>
      </c>
      <c r="E1086" t="s">
        <v>391</v>
      </c>
      <c r="F1086" t="s">
        <v>290</v>
      </c>
      <c r="G1086" t="s">
        <v>314</v>
      </c>
      <c r="H1086" t="s">
        <v>315</v>
      </c>
      <c r="I1086" t="s">
        <v>22</v>
      </c>
      <c r="J1086" t="s">
        <v>23</v>
      </c>
      <c r="K1086" t="s">
        <v>215</v>
      </c>
      <c r="L1086" t="s">
        <v>390</v>
      </c>
      <c r="M1086">
        <v>30</v>
      </c>
      <c r="N1086">
        <v>65</v>
      </c>
      <c r="O1086">
        <v>2</v>
      </c>
      <c r="P1086">
        <v>2</v>
      </c>
      <c r="Q1086">
        <v>8</v>
      </c>
      <c r="R1086">
        <v>0.58150000000000002</v>
      </c>
      <c r="S1086">
        <v>0.81610000000000005</v>
      </c>
      <c r="U1086">
        <v>0.23460000000000003</v>
      </c>
      <c r="V1086">
        <v>239.3197649999999</v>
      </c>
      <c r="W1086">
        <v>50.497949795362494</v>
      </c>
      <c r="X1086">
        <v>225.58257056466456</v>
      </c>
      <c r="Y1086">
        <v>-9.0174294353354583</v>
      </c>
      <c r="Z1086">
        <v>-3.9973963470509166</v>
      </c>
    </row>
    <row r="1087" spans="1:26" x14ac:dyDescent="0.35">
      <c r="A1087">
        <v>1085</v>
      </c>
      <c r="C1087">
        <v>46083</v>
      </c>
      <c r="D1087" t="s">
        <v>16</v>
      </c>
      <c r="E1087" t="s">
        <v>393</v>
      </c>
      <c r="F1087" t="s">
        <v>226</v>
      </c>
      <c r="G1087" t="s">
        <v>227</v>
      </c>
      <c r="H1087" t="s">
        <v>228</v>
      </c>
      <c r="I1087" t="s">
        <v>22</v>
      </c>
      <c r="J1087" t="s">
        <v>23</v>
      </c>
      <c r="K1087" t="s">
        <v>215</v>
      </c>
      <c r="L1087" t="s">
        <v>392</v>
      </c>
      <c r="M1087">
        <v>30</v>
      </c>
      <c r="N1087">
        <v>65</v>
      </c>
      <c r="O1087">
        <v>2</v>
      </c>
      <c r="P1087">
        <v>1</v>
      </c>
      <c r="Q1087">
        <v>9</v>
      </c>
      <c r="R1087">
        <v>0.56710000000000005</v>
      </c>
      <c r="S1087">
        <v>0.86439999999999995</v>
      </c>
      <c r="U1087">
        <v>0.2972999999999999</v>
      </c>
      <c r="V1087">
        <v>170.78711225148589</v>
      </c>
      <c r="W1087">
        <v>36.486181264424204</v>
      </c>
      <c r="X1087">
        <v>237.90248788931186</v>
      </c>
      <c r="Y1087">
        <v>-59.397512110688041</v>
      </c>
      <c r="Z1087">
        <v>-24.967167278353024</v>
      </c>
    </row>
    <row r="1088" spans="1:26" x14ac:dyDescent="0.35">
      <c r="A1088">
        <v>1086</v>
      </c>
      <c r="C1088">
        <v>46083</v>
      </c>
      <c r="D1088" t="s">
        <v>16</v>
      </c>
      <c r="E1088" t="s">
        <v>393</v>
      </c>
      <c r="F1088" t="s">
        <v>226</v>
      </c>
      <c r="G1088" t="s">
        <v>227</v>
      </c>
      <c r="H1088" t="s">
        <v>228</v>
      </c>
      <c r="I1088" t="s">
        <v>22</v>
      </c>
      <c r="J1088" t="s">
        <v>23</v>
      </c>
      <c r="K1088" t="s">
        <v>215</v>
      </c>
      <c r="L1088" t="s">
        <v>392</v>
      </c>
      <c r="M1088">
        <v>30</v>
      </c>
      <c r="N1088">
        <v>65</v>
      </c>
      <c r="O1088">
        <v>2</v>
      </c>
      <c r="P1088">
        <v>2</v>
      </c>
      <c r="Q1088">
        <v>10</v>
      </c>
      <c r="R1088">
        <v>0.59299999999999997</v>
      </c>
      <c r="S1088">
        <v>0.84119999999999995</v>
      </c>
      <c r="T1088" t="s">
        <v>551</v>
      </c>
      <c r="U1088">
        <v>0.24819999999999998</v>
      </c>
      <c r="V1088">
        <v>219.60642839444915</v>
      </c>
      <c r="W1088">
        <v>46.94386717774632</v>
      </c>
      <c r="X1088">
        <v>237.75983199011779</v>
      </c>
      <c r="Y1088">
        <v>-10.4401680098822</v>
      </c>
      <c r="Z1088">
        <v>-4.3910562698900852</v>
      </c>
    </row>
    <row r="1089" spans="1:26" x14ac:dyDescent="0.35">
      <c r="A1089">
        <v>1087</v>
      </c>
      <c r="C1089">
        <v>46083</v>
      </c>
      <c r="D1089" t="s">
        <v>16</v>
      </c>
      <c r="E1089" t="s">
        <v>395</v>
      </c>
      <c r="F1089" t="s">
        <v>240</v>
      </c>
      <c r="G1089" t="s">
        <v>396</v>
      </c>
      <c r="H1089" t="s">
        <v>397</v>
      </c>
      <c r="I1089" t="s">
        <v>22</v>
      </c>
      <c r="J1089" t="s">
        <v>23</v>
      </c>
      <c r="K1089" t="s">
        <v>215</v>
      </c>
      <c r="L1089" t="s">
        <v>394</v>
      </c>
      <c r="M1089">
        <v>30</v>
      </c>
      <c r="N1089">
        <v>65</v>
      </c>
      <c r="O1089">
        <v>2</v>
      </c>
      <c r="P1089">
        <v>1</v>
      </c>
      <c r="Q1089">
        <v>11</v>
      </c>
      <c r="R1089">
        <v>0.57499999999999996</v>
      </c>
      <c r="S1089">
        <v>0.84699999999999998</v>
      </c>
      <c r="T1089" t="s">
        <v>595</v>
      </c>
      <c r="U1089">
        <v>0.27200000000000002</v>
      </c>
      <c r="V1089">
        <v>201.41822675195095</v>
      </c>
      <c r="W1089">
        <v>42.545515861070704</v>
      </c>
      <c r="X1089">
        <v>288.09750415199522</v>
      </c>
      <c r="Y1089">
        <v>16.097504151995224</v>
      </c>
      <c r="Z1089">
        <v>5.587519475178258</v>
      </c>
    </row>
    <row r="1090" spans="1:26" x14ac:dyDescent="0.35">
      <c r="A1090">
        <v>1088</v>
      </c>
      <c r="C1090">
        <v>46083</v>
      </c>
      <c r="D1090" t="s">
        <v>16</v>
      </c>
      <c r="E1090" t="s">
        <v>395</v>
      </c>
      <c r="F1090" t="s">
        <v>240</v>
      </c>
      <c r="G1090" t="s">
        <v>396</v>
      </c>
      <c r="H1090" t="s">
        <v>397</v>
      </c>
      <c r="I1090" t="s">
        <v>22</v>
      </c>
      <c r="J1090" t="s">
        <v>23</v>
      </c>
      <c r="K1090" t="s">
        <v>215</v>
      </c>
      <c r="L1090" t="s">
        <v>394</v>
      </c>
      <c r="M1090">
        <v>30</v>
      </c>
      <c r="N1090">
        <v>65</v>
      </c>
      <c r="O1090">
        <v>2</v>
      </c>
      <c r="P1090">
        <v>2</v>
      </c>
      <c r="Q1090">
        <v>12</v>
      </c>
      <c r="R1090">
        <v>0.58620000000000005</v>
      </c>
      <c r="S1090">
        <v>0.85340000000000005</v>
      </c>
      <c r="U1090">
        <v>0.26719999999999999</v>
      </c>
      <c r="V1090">
        <v>206.12359988272209</v>
      </c>
      <c r="W1090">
        <v>43.548134919491538</v>
      </c>
      <c r="X1090">
        <v>288.03991920213468</v>
      </c>
      <c r="Y1090">
        <v>20.839919202134695</v>
      </c>
      <c r="Z1090">
        <v>7.2350802138331698</v>
      </c>
    </row>
    <row r="1091" spans="1:26" x14ac:dyDescent="0.35">
      <c r="A1091">
        <v>1089</v>
      </c>
      <c r="C1091">
        <v>46083</v>
      </c>
      <c r="D1091" t="s">
        <v>16</v>
      </c>
      <c r="E1091" t="s">
        <v>399</v>
      </c>
      <c r="F1091" t="s">
        <v>240</v>
      </c>
      <c r="G1091" t="s">
        <v>400</v>
      </c>
      <c r="H1091" t="s">
        <v>401</v>
      </c>
      <c r="I1091" t="s">
        <v>22</v>
      </c>
      <c r="J1091" t="s">
        <v>23</v>
      </c>
      <c r="K1091" t="s">
        <v>215</v>
      </c>
      <c r="L1091" t="s">
        <v>398</v>
      </c>
      <c r="M1091">
        <v>30</v>
      </c>
      <c r="N1091">
        <v>65</v>
      </c>
      <c r="O1091">
        <v>2</v>
      </c>
      <c r="P1091">
        <v>1</v>
      </c>
      <c r="Q1091">
        <v>13</v>
      </c>
      <c r="R1091">
        <v>0.56089999999999995</v>
      </c>
      <c r="S1091">
        <v>0.91279999999999994</v>
      </c>
      <c r="U1091">
        <v>0.35189999999999999</v>
      </c>
      <c r="V1091">
        <v>125.48066989396159</v>
      </c>
      <c r="W1091">
        <v>26.285243162827278</v>
      </c>
      <c r="X1091">
        <v>268.65790037680114</v>
      </c>
      <c r="Y1091">
        <v>-83.24209962319884</v>
      </c>
      <c r="Z1091">
        <v>-30.984422757138049</v>
      </c>
    </row>
    <row r="1092" spans="1:26" x14ac:dyDescent="0.35">
      <c r="A1092">
        <v>1090</v>
      </c>
      <c r="C1092">
        <v>46083</v>
      </c>
      <c r="D1092" t="s">
        <v>16</v>
      </c>
      <c r="E1092" t="s">
        <v>399</v>
      </c>
      <c r="F1092" t="s">
        <v>240</v>
      </c>
      <c r="G1092" t="s">
        <v>400</v>
      </c>
      <c r="H1092" t="s">
        <v>401</v>
      </c>
      <c r="I1092" t="s">
        <v>22</v>
      </c>
      <c r="J1092" t="s">
        <v>23</v>
      </c>
      <c r="K1092" t="s">
        <v>215</v>
      </c>
      <c r="L1092" t="s">
        <v>398</v>
      </c>
      <c r="M1092">
        <v>30</v>
      </c>
      <c r="N1092">
        <v>65</v>
      </c>
      <c r="O1092">
        <v>2</v>
      </c>
      <c r="P1092">
        <v>2</v>
      </c>
      <c r="Q1092">
        <v>14</v>
      </c>
      <c r="R1092">
        <v>0.5877</v>
      </c>
      <c r="S1092">
        <v>0.95440000000000003</v>
      </c>
      <c r="U1092">
        <v>0.36670000000000003</v>
      </c>
      <c r="V1092">
        <v>110.77612693653168</v>
      </c>
      <c r="W1092">
        <v>23.200348810581801</v>
      </c>
      <c r="X1092">
        <v>268.71162121270919</v>
      </c>
      <c r="Y1092">
        <v>-97.988378787290856</v>
      </c>
      <c r="Z1092">
        <v>-36.465999626314755</v>
      </c>
    </row>
    <row r="1093" spans="1:26" x14ac:dyDescent="0.35">
      <c r="A1093">
        <v>1091</v>
      </c>
      <c r="C1093">
        <v>46083</v>
      </c>
      <c r="D1093" t="s">
        <v>16</v>
      </c>
      <c r="E1093" t="s">
        <v>403</v>
      </c>
      <c r="F1093" t="s">
        <v>212</v>
      </c>
      <c r="G1093" t="s">
        <v>404</v>
      </c>
      <c r="H1093" t="s">
        <v>405</v>
      </c>
      <c r="I1093" t="s">
        <v>22</v>
      </c>
      <c r="J1093" t="s">
        <v>23</v>
      </c>
      <c r="K1093" t="s">
        <v>215</v>
      </c>
      <c r="L1093" t="s">
        <v>402</v>
      </c>
      <c r="M1093">
        <v>30</v>
      </c>
      <c r="N1093">
        <v>65</v>
      </c>
      <c r="O1093">
        <v>2</v>
      </c>
      <c r="P1093">
        <v>1</v>
      </c>
      <c r="Q1093">
        <v>15</v>
      </c>
      <c r="R1093">
        <v>0.55989999999999995</v>
      </c>
      <c r="S1093">
        <v>0.92830000000000001</v>
      </c>
      <c r="U1093">
        <v>0.36840000000000006</v>
      </c>
      <c r="V1093">
        <v>103.85554889022217</v>
      </c>
      <c r="W1093">
        <v>21.991387742140393</v>
      </c>
      <c r="X1093">
        <v>288.12321251671727</v>
      </c>
      <c r="Y1093">
        <v>-80.27678748328276</v>
      </c>
      <c r="Z1093">
        <v>-27.861964602600352</v>
      </c>
    </row>
    <row r="1094" spans="1:26" x14ac:dyDescent="0.35">
      <c r="A1094">
        <v>1092</v>
      </c>
      <c r="C1094">
        <v>46083</v>
      </c>
      <c r="D1094" t="s">
        <v>16</v>
      </c>
      <c r="E1094" t="s">
        <v>403</v>
      </c>
      <c r="F1094" t="s">
        <v>212</v>
      </c>
      <c r="G1094" t="s">
        <v>404</v>
      </c>
      <c r="H1094" t="s">
        <v>405</v>
      </c>
      <c r="I1094" t="s">
        <v>22</v>
      </c>
      <c r="J1094" t="s">
        <v>23</v>
      </c>
      <c r="K1094" t="s">
        <v>215</v>
      </c>
      <c r="L1094" t="s">
        <v>402</v>
      </c>
      <c r="M1094">
        <v>30</v>
      </c>
      <c r="N1094">
        <v>65</v>
      </c>
      <c r="O1094">
        <v>2</v>
      </c>
      <c r="P1094">
        <v>2</v>
      </c>
      <c r="Q1094">
        <v>16</v>
      </c>
      <c r="R1094">
        <v>0.57210000000000005</v>
      </c>
      <c r="S1094">
        <v>0.90369999999999995</v>
      </c>
      <c r="U1094">
        <v>0.33159999999999989</v>
      </c>
      <c r="V1094">
        <v>140.93890221955638</v>
      </c>
      <c r="W1094">
        <v>29.825883447384776</v>
      </c>
      <c r="X1094">
        <v>288.29608644422729</v>
      </c>
      <c r="Y1094">
        <v>-43.303913555772624</v>
      </c>
      <c r="Z1094">
        <v>-15.020638708583386</v>
      </c>
    </row>
    <row r="1095" spans="1:26" x14ac:dyDescent="0.35">
      <c r="A1095">
        <v>1093</v>
      </c>
      <c r="C1095">
        <v>46083</v>
      </c>
      <c r="D1095" t="s">
        <v>16</v>
      </c>
      <c r="E1095" t="s">
        <v>407</v>
      </c>
      <c r="F1095" t="s">
        <v>226</v>
      </c>
      <c r="G1095" t="s">
        <v>231</v>
      </c>
      <c r="H1095" t="s">
        <v>232</v>
      </c>
      <c r="I1095" t="s">
        <v>22</v>
      </c>
      <c r="J1095" t="s">
        <v>23</v>
      </c>
      <c r="K1095" t="s">
        <v>215</v>
      </c>
      <c r="L1095" t="s">
        <v>406</v>
      </c>
      <c r="M1095">
        <v>30</v>
      </c>
      <c r="N1095">
        <v>65</v>
      </c>
      <c r="O1095">
        <v>2</v>
      </c>
      <c r="P1095">
        <v>1</v>
      </c>
      <c r="Q1095">
        <v>17</v>
      </c>
      <c r="R1095">
        <v>0.58699999999999997</v>
      </c>
      <c r="S1095">
        <v>0.81559999999999999</v>
      </c>
      <c r="U1095">
        <v>0.22860000000000003</v>
      </c>
      <c r="V1095">
        <v>244.93163694791986</v>
      </c>
      <c r="W1095">
        <v>51.72445045627606</v>
      </c>
      <c r="X1095">
        <v>242.72405492261038</v>
      </c>
      <c r="Y1095">
        <v>14.124054922610355</v>
      </c>
      <c r="Z1095">
        <v>5.818976173215975</v>
      </c>
    </row>
    <row r="1096" spans="1:26" x14ac:dyDescent="0.35">
      <c r="A1096">
        <v>1094</v>
      </c>
      <c r="C1096">
        <v>46083</v>
      </c>
      <c r="D1096" t="s">
        <v>16</v>
      </c>
      <c r="E1096" t="s">
        <v>407</v>
      </c>
      <c r="F1096" t="s">
        <v>226</v>
      </c>
      <c r="G1096" t="s">
        <v>231</v>
      </c>
      <c r="H1096" t="s">
        <v>232</v>
      </c>
      <c r="I1096" t="s">
        <v>22</v>
      </c>
      <c r="J1096" t="s">
        <v>23</v>
      </c>
      <c r="K1096" t="s">
        <v>215</v>
      </c>
      <c r="L1096" t="s">
        <v>406</v>
      </c>
      <c r="M1096">
        <v>30</v>
      </c>
      <c r="N1096">
        <v>65</v>
      </c>
      <c r="O1096">
        <v>2</v>
      </c>
      <c r="P1096">
        <v>2</v>
      </c>
      <c r="Q1096">
        <v>18</v>
      </c>
      <c r="R1096">
        <v>0.60389999999999999</v>
      </c>
      <c r="S1096">
        <v>0.871</v>
      </c>
      <c r="T1096" t="s">
        <v>596</v>
      </c>
      <c r="U1096">
        <v>0.2671</v>
      </c>
      <c r="V1096">
        <v>206.33694955800826</v>
      </c>
      <c r="W1096">
        <v>43.582772690353067</v>
      </c>
      <c r="X1096">
        <v>242.67551981864665</v>
      </c>
      <c r="Y1096">
        <v>-24.424480181353374</v>
      </c>
      <c r="Z1096">
        <v>-10.064665854885561</v>
      </c>
    </row>
    <row r="1097" spans="1:26" x14ac:dyDescent="0.35">
      <c r="A1097">
        <v>1095</v>
      </c>
      <c r="C1097">
        <v>46083</v>
      </c>
      <c r="D1097" t="s">
        <v>16</v>
      </c>
      <c r="E1097" t="s">
        <v>409</v>
      </c>
      <c r="F1097" t="s">
        <v>290</v>
      </c>
      <c r="G1097" t="s">
        <v>314</v>
      </c>
      <c r="H1097" t="s">
        <v>315</v>
      </c>
      <c r="I1097" t="s">
        <v>22</v>
      </c>
      <c r="J1097" t="s">
        <v>23</v>
      </c>
      <c r="K1097" t="s">
        <v>215</v>
      </c>
      <c r="L1097" t="s">
        <v>408</v>
      </c>
      <c r="M1097">
        <v>30</v>
      </c>
      <c r="N1097">
        <v>65</v>
      </c>
      <c r="O1097">
        <v>2</v>
      </c>
      <c r="P1097">
        <v>1</v>
      </c>
      <c r="Q1097">
        <v>19</v>
      </c>
      <c r="R1097">
        <v>0.57240000000000002</v>
      </c>
      <c r="S1097">
        <v>0.82479999999999998</v>
      </c>
      <c r="U1097">
        <v>0.25239999999999996</v>
      </c>
      <c r="V1097">
        <v>217.77950834411777</v>
      </c>
      <c r="W1097">
        <v>46.31837510551992</v>
      </c>
      <c r="X1097">
        <v>212.62916536869784</v>
      </c>
      <c r="Y1097">
        <v>-39.770834631302108</v>
      </c>
      <c r="Z1097">
        <v>-18.704317708410176</v>
      </c>
    </row>
    <row r="1098" spans="1:26" x14ac:dyDescent="0.35">
      <c r="A1098">
        <v>1096</v>
      </c>
      <c r="C1098">
        <v>46083</v>
      </c>
      <c r="D1098" t="s">
        <v>16</v>
      </c>
      <c r="E1098" t="s">
        <v>409</v>
      </c>
      <c r="F1098" t="s">
        <v>290</v>
      </c>
      <c r="G1098" t="s">
        <v>314</v>
      </c>
      <c r="H1098" t="s">
        <v>315</v>
      </c>
      <c r="I1098" t="s">
        <v>22</v>
      </c>
      <c r="J1098" t="s">
        <v>23</v>
      </c>
      <c r="K1098" t="s">
        <v>215</v>
      </c>
      <c r="L1098" t="s">
        <v>408</v>
      </c>
      <c r="M1098">
        <v>30</v>
      </c>
      <c r="N1098">
        <v>65</v>
      </c>
      <c r="O1098">
        <v>2</v>
      </c>
      <c r="P1098">
        <v>2</v>
      </c>
      <c r="Q1098">
        <v>20</v>
      </c>
      <c r="R1098">
        <v>0.56720000000000004</v>
      </c>
      <c r="S1098">
        <v>0.79590000000000005</v>
      </c>
      <c r="U1098">
        <v>0.22870000000000001</v>
      </c>
      <c r="V1098">
        <v>241.38549124586856</v>
      </c>
      <c r="W1098">
        <v>51.34927491723348</v>
      </c>
      <c r="X1098">
        <v>212.58664803909002</v>
      </c>
      <c r="Y1098">
        <v>-16.113351960909995</v>
      </c>
      <c r="Z1098">
        <v>-7.5796632147598952</v>
      </c>
    </row>
    <row r="1099" spans="1:26" x14ac:dyDescent="0.35">
      <c r="A1099">
        <v>1097</v>
      </c>
      <c r="C1099">
        <v>46083</v>
      </c>
      <c r="D1099" t="s">
        <v>16</v>
      </c>
      <c r="E1099" t="s">
        <v>411</v>
      </c>
      <c r="F1099" t="s">
        <v>264</v>
      </c>
      <c r="G1099" t="s">
        <v>412</v>
      </c>
      <c r="H1099" t="s">
        <v>413</v>
      </c>
      <c r="I1099" t="s">
        <v>22</v>
      </c>
      <c r="J1099" t="s">
        <v>23</v>
      </c>
      <c r="K1099" t="s">
        <v>215</v>
      </c>
      <c r="L1099" t="s">
        <v>410</v>
      </c>
      <c r="M1099">
        <v>30</v>
      </c>
      <c r="N1099">
        <v>65</v>
      </c>
      <c r="O1099">
        <v>2</v>
      </c>
      <c r="P1099">
        <v>1</v>
      </c>
      <c r="Q1099">
        <v>21</v>
      </c>
      <c r="R1099">
        <v>0.56130000000000002</v>
      </c>
      <c r="S1099">
        <v>0.79179999999999995</v>
      </c>
      <c r="U1099">
        <v>0.23049999999999993</v>
      </c>
      <c r="V1099">
        <v>244.87870188186142</v>
      </c>
      <c r="W1099">
        <v>51.512341826100027</v>
      </c>
      <c r="X1099">
        <v>246.65690488497296</v>
      </c>
      <c r="Y1099">
        <v>16.156904884973045</v>
      </c>
      <c r="Z1099">
        <v>6.5503558039486975</v>
      </c>
    </row>
    <row r="1100" spans="1:26" x14ac:dyDescent="0.35">
      <c r="A1100">
        <v>1098</v>
      </c>
      <c r="C1100">
        <v>46083</v>
      </c>
      <c r="D1100" t="s">
        <v>16</v>
      </c>
      <c r="E1100" t="s">
        <v>411</v>
      </c>
      <c r="F1100" t="s">
        <v>264</v>
      </c>
      <c r="G1100" t="s">
        <v>412</v>
      </c>
      <c r="H1100" t="s">
        <v>413</v>
      </c>
      <c r="I1100" t="s">
        <v>22</v>
      </c>
      <c r="J1100" t="s">
        <v>23</v>
      </c>
      <c r="K1100" t="s">
        <v>215</v>
      </c>
      <c r="L1100" t="s">
        <v>410</v>
      </c>
      <c r="M1100">
        <v>30</v>
      </c>
      <c r="N1100">
        <v>65</v>
      </c>
      <c r="O1100">
        <v>2</v>
      </c>
      <c r="P1100">
        <v>2</v>
      </c>
      <c r="Q1100">
        <v>22</v>
      </c>
      <c r="R1100">
        <v>0.57099999999999995</v>
      </c>
      <c r="S1100">
        <v>0.80649999999999999</v>
      </c>
      <c r="U1100">
        <v>0.23550000000000004</v>
      </c>
      <c r="V1100">
        <v>240.06885336261394</v>
      </c>
      <c r="W1100">
        <v>50.48035666447759</v>
      </c>
      <c r="X1100">
        <v>246.75556764692689</v>
      </c>
      <c r="Y1100">
        <v>11.255567646926835</v>
      </c>
      <c r="Z1100">
        <v>4.5614239849825786</v>
      </c>
    </row>
    <row r="1101" spans="1:26" x14ac:dyDescent="0.35">
      <c r="A1101">
        <v>1099</v>
      </c>
      <c r="C1101">
        <v>46083</v>
      </c>
      <c r="D1101" t="s">
        <v>16</v>
      </c>
      <c r="E1101" t="s">
        <v>415</v>
      </c>
      <c r="F1101" t="s">
        <v>235</v>
      </c>
      <c r="G1101" t="s">
        <v>274</v>
      </c>
      <c r="H1101" t="s">
        <v>275</v>
      </c>
      <c r="I1101" t="s">
        <v>22</v>
      </c>
      <c r="J1101" t="s">
        <v>23</v>
      </c>
      <c r="K1101" t="s">
        <v>215</v>
      </c>
      <c r="L1101" t="s">
        <v>414</v>
      </c>
      <c r="M1101">
        <v>30</v>
      </c>
      <c r="N1101">
        <v>65</v>
      </c>
      <c r="O1101">
        <v>2</v>
      </c>
      <c r="P1101">
        <v>1</v>
      </c>
      <c r="Q1101">
        <v>23</v>
      </c>
      <c r="R1101">
        <v>0.60089999999999999</v>
      </c>
      <c r="S1101">
        <v>0.86970000000000003</v>
      </c>
      <c r="T1101" t="s">
        <v>597</v>
      </c>
      <c r="U1101">
        <v>0.26880000000000004</v>
      </c>
      <c r="V1101">
        <v>204.82894434411742</v>
      </c>
      <c r="W1101">
        <v>43.246711754021931</v>
      </c>
      <c r="X1101">
        <v>220.93573340740693</v>
      </c>
      <c r="Y1101">
        <v>-47.864266592593083</v>
      </c>
      <c r="Z1101">
        <v>-21.66433915166229</v>
      </c>
    </row>
    <row r="1102" spans="1:26" x14ac:dyDescent="0.35">
      <c r="A1102">
        <v>1100</v>
      </c>
      <c r="C1102">
        <v>46083</v>
      </c>
      <c r="D1102" t="s">
        <v>16</v>
      </c>
      <c r="E1102" t="s">
        <v>415</v>
      </c>
      <c r="F1102" t="s">
        <v>235</v>
      </c>
      <c r="G1102" t="s">
        <v>274</v>
      </c>
      <c r="H1102" t="s">
        <v>275</v>
      </c>
      <c r="I1102" t="s">
        <v>22</v>
      </c>
      <c r="J1102" t="s">
        <v>23</v>
      </c>
      <c r="K1102" t="s">
        <v>215</v>
      </c>
      <c r="L1102" t="s">
        <v>414</v>
      </c>
      <c r="M1102">
        <v>30</v>
      </c>
      <c r="N1102">
        <v>65</v>
      </c>
      <c r="O1102">
        <v>2</v>
      </c>
      <c r="P1102">
        <v>2</v>
      </c>
      <c r="Q1102">
        <v>24</v>
      </c>
      <c r="R1102">
        <v>0.59589999999999999</v>
      </c>
      <c r="S1102">
        <v>0.85360000000000003</v>
      </c>
      <c r="U1102">
        <v>0.25770000000000004</v>
      </c>
      <c r="V1102">
        <v>215.92894434411738</v>
      </c>
      <c r="W1102">
        <v>45.590318523108067</v>
      </c>
      <c r="X1102">
        <v>220.93573340740693</v>
      </c>
      <c r="Y1102">
        <v>-36.764266592593117</v>
      </c>
      <c r="Z1102">
        <v>-16.640253717944109</v>
      </c>
    </row>
    <row r="1103" spans="1:26" x14ac:dyDescent="0.35">
      <c r="A1103">
        <v>1101</v>
      </c>
      <c r="C1103">
        <v>46083</v>
      </c>
      <c r="D1103" t="s">
        <v>16</v>
      </c>
      <c r="E1103" t="s">
        <v>417</v>
      </c>
      <c r="F1103" t="s">
        <v>290</v>
      </c>
      <c r="G1103" t="s">
        <v>291</v>
      </c>
      <c r="H1103" t="s">
        <v>292</v>
      </c>
      <c r="I1103" t="s">
        <v>22</v>
      </c>
      <c r="J1103" t="s">
        <v>23</v>
      </c>
      <c r="K1103" t="s">
        <v>215</v>
      </c>
      <c r="L1103" t="s">
        <v>416</v>
      </c>
      <c r="M1103">
        <v>30</v>
      </c>
      <c r="N1103">
        <v>65</v>
      </c>
      <c r="O1103">
        <v>2</v>
      </c>
      <c r="P1103">
        <v>1</v>
      </c>
      <c r="Q1103">
        <v>25</v>
      </c>
      <c r="R1103">
        <v>0.5655</v>
      </c>
      <c r="S1103">
        <v>0.78690000000000004</v>
      </c>
      <c r="U1103">
        <v>0.22140000000000004</v>
      </c>
      <c r="V1103">
        <v>246.28472263868042</v>
      </c>
      <c r="W1103">
        <v>52.660416455158142</v>
      </c>
      <c r="X1103">
        <v>195.83096775900313</v>
      </c>
      <c r="Y1103">
        <v>-25.569032240996904</v>
      </c>
      <c r="Z1103">
        <v>-13.056684820381987</v>
      </c>
    </row>
    <row r="1104" spans="1:26" x14ac:dyDescent="0.35">
      <c r="A1104">
        <v>1102</v>
      </c>
      <c r="C1104">
        <v>46083</v>
      </c>
      <c r="D1104" t="s">
        <v>16</v>
      </c>
      <c r="E1104" t="s">
        <v>417</v>
      </c>
      <c r="F1104" t="s">
        <v>290</v>
      </c>
      <c r="G1104" t="s">
        <v>291</v>
      </c>
      <c r="H1104" t="s">
        <v>292</v>
      </c>
      <c r="I1104" t="s">
        <v>22</v>
      </c>
      <c r="J1104" t="s">
        <v>23</v>
      </c>
      <c r="K1104" t="s">
        <v>215</v>
      </c>
      <c r="L1104" t="s">
        <v>416</v>
      </c>
      <c r="M1104">
        <v>30</v>
      </c>
      <c r="N1104">
        <v>65</v>
      </c>
      <c r="O1104">
        <v>2</v>
      </c>
      <c r="P1104">
        <v>2</v>
      </c>
      <c r="Q1104">
        <v>26</v>
      </c>
      <c r="R1104">
        <v>0.55500000000000005</v>
      </c>
      <c r="S1104">
        <v>0.77910000000000001</v>
      </c>
      <c r="U1104">
        <v>0.22409999999999997</v>
      </c>
      <c r="V1104">
        <v>243.67824087955995</v>
      </c>
      <c r="W1104">
        <v>52.092684007997804</v>
      </c>
      <c r="X1104">
        <v>195.87012612088253</v>
      </c>
      <c r="Y1104">
        <v>-28.229873879117434</v>
      </c>
      <c r="Z1104">
        <v>-14.412546945364799</v>
      </c>
    </row>
    <row r="1105" spans="1:26" x14ac:dyDescent="0.35">
      <c r="A1105">
        <v>1103</v>
      </c>
      <c r="C1105">
        <v>46083</v>
      </c>
      <c r="D1105" t="s">
        <v>16</v>
      </c>
      <c r="E1105" t="s">
        <v>419</v>
      </c>
      <c r="F1105" t="s">
        <v>264</v>
      </c>
      <c r="G1105" t="s">
        <v>329</v>
      </c>
      <c r="H1105" t="s">
        <v>330</v>
      </c>
      <c r="I1105" t="s">
        <v>22</v>
      </c>
      <c r="J1105" t="s">
        <v>23</v>
      </c>
      <c r="K1105" t="s">
        <v>215</v>
      </c>
      <c r="L1105" t="s">
        <v>418</v>
      </c>
      <c r="M1105">
        <v>30</v>
      </c>
      <c r="N1105">
        <v>65</v>
      </c>
      <c r="O1105">
        <v>2</v>
      </c>
      <c r="P1105">
        <v>1</v>
      </c>
      <c r="Q1105">
        <v>27</v>
      </c>
      <c r="R1105">
        <v>0.58909999999999996</v>
      </c>
      <c r="S1105">
        <v>0.86050000000000004</v>
      </c>
      <c r="T1105" t="s">
        <v>598</v>
      </c>
      <c r="U1105">
        <v>0.27140000000000009</v>
      </c>
      <c r="V1105">
        <v>200.44716056788633</v>
      </c>
      <c r="W1105">
        <v>42.481374758436687</v>
      </c>
      <c r="X1105">
        <v>273.96249282516396</v>
      </c>
      <c r="Y1105">
        <v>2.5624928251638721</v>
      </c>
      <c r="Z1105">
        <v>0.93534439650437529</v>
      </c>
    </row>
    <row r="1106" spans="1:26" x14ac:dyDescent="0.35">
      <c r="A1106">
        <v>1104</v>
      </c>
      <c r="C1106">
        <v>46083</v>
      </c>
      <c r="D1106" t="s">
        <v>16</v>
      </c>
      <c r="E1106" t="s">
        <v>419</v>
      </c>
      <c r="F1106" t="s">
        <v>264</v>
      </c>
      <c r="G1106" t="s">
        <v>329</v>
      </c>
      <c r="H1106" t="s">
        <v>330</v>
      </c>
      <c r="I1106" t="s">
        <v>22</v>
      </c>
      <c r="J1106" t="s">
        <v>23</v>
      </c>
      <c r="K1106" t="s">
        <v>215</v>
      </c>
      <c r="L1106" t="s">
        <v>418</v>
      </c>
      <c r="M1106">
        <v>30</v>
      </c>
      <c r="N1106">
        <v>65</v>
      </c>
      <c r="O1106">
        <v>2</v>
      </c>
      <c r="P1106">
        <v>2</v>
      </c>
      <c r="Q1106">
        <v>28</v>
      </c>
      <c r="R1106">
        <v>0.57830000000000004</v>
      </c>
      <c r="S1106">
        <v>0.83430000000000004</v>
      </c>
      <c r="U1106">
        <v>0.25600000000000001</v>
      </c>
      <c r="V1106">
        <v>215.84716056788642</v>
      </c>
      <c r="W1106">
        <v>45.745143471480461</v>
      </c>
      <c r="X1106">
        <v>273.96249282516396</v>
      </c>
      <c r="Y1106">
        <v>17.962492825163963</v>
      </c>
      <c r="Z1106">
        <v>6.5565518257373929</v>
      </c>
    </row>
    <row r="1107" spans="1:26" x14ac:dyDescent="0.35">
      <c r="A1107">
        <v>1105</v>
      </c>
      <c r="C1107">
        <v>46083</v>
      </c>
      <c r="D1107" t="s">
        <v>16</v>
      </c>
      <c r="E1107" t="s">
        <v>421</v>
      </c>
      <c r="F1107" t="s">
        <v>264</v>
      </c>
      <c r="G1107" t="s">
        <v>265</v>
      </c>
      <c r="H1107" t="s">
        <v>266</v>
      </c>
      <c r="I1107" t="s">
        <v>22</v>
      </c>
      <c r="J1107" t="s">
        <v>23</v>
      </c>
      <c r="K1107" t="s">
        <v>215</v>
      </c>
      <c r="L1107" t="s">
        <v>420</v>
      </c>
      <c r="M1107">
        <v>30</v>
      </c>
      <c r="N1107">
        <v>65</v>
      </c>
      <c r="O1107">
        <v>2</v>
      </c>
      <c r="P1107">
        <v>1</v>
      </c>
      <c r="Q1107">
        <v>29</v>
      </c>
      <c r="R1107">
        <v>0.57869999999999999</v>
      </c>
      <c r="S1107">
        <v>0.86570000000000003</v>
      </c>
      <c r="U1107">
        <v>0.28700000000000003</v>
      </c>
      <c r="V1107">
        <v>193.42500000000007</v>
      </c>
      <c r="W1107">
        <v>40.26122703855961</v>
      </c>
      <c r="X1107">
        <v>295.39842327085228</v>
      </c>
      <c r="Y1107">
        <v>8.39842327085222</v>
      </c>
      <c r="Z1107">
        <v>2.8430833102828257</v>
      </c>
    </row>
    <row r="1108" spans="1:26" x14ac:dyDescent="0.35">
      <c r="A1108">
        <v>1106</v>
      </c>
      <c r="C1108">
        <v>46083</v>
      </c>
      <c r="D1108" t="s">
        <v>16</v>
      </c>
      <c r="E1108" t="s">
        <v>421</v>
      </c>
      <c r="F1108" t="s">
        <v>264</v>
      </c>
      <c r="G1108" t="s">
        <v>265</v>
      </c>
      <c r="H1108" t="s">
        <v>266</v>
      </c>
      <c r="I1108" t="s">
        <v>22</v>
      </c>
      <c r="J1108" t="s">
        <v>23</v>
      </c>
      <c r="K1108" t="s">
        <v>215</v>
      </c>
      <c r="L1108" t="s">
        <v>420</v>
      </c>
      <c r="M1108">
        <v>30</v>
      </c>
      <c r="N1108">
        <v>65</v>
      </c>
      <c r="O1108">
        <v>2</v>
      </c>
      <c r="P1108">
        <v>2</v>
      </c>
      <c r="Q1108">
        <v>30</v>
      </c>
      <c r="R1108">
        <v>0.55640000000000001</v>
      </c>
      <c r="S1108">
        <v>0.84150000000000003</v>
      </c>
      <c r="T1108" t="s">
        <v>551</v>
      </c>
      <c r="U1108">
        <v>0.28510000000000002</v>
      </c>
      <c r="V1108">
        <v>195.22895341863267</v>
      </c>
      <c r="W1108">
        <v>40.644843919804281</v>
      </c>
      <c r="X1108">
        <v>295.33936720862295</v>
      </c>
      <c r="Y1108">
        <v>10.239367208622923</v>
      </c>
      <c r="Z1108">
        <v>3.4669835265780873</v>
      </c>
    </row>
    <row r="1109" spans="1:26" x14ac:dyDescent="0.35">
      <c r="A1109">
        <v>1107</v>
      </c>
      <c r="C1109">
        <v>46083</v>
      </c>
      <c r="D1109" t="s">
        <v>16</v>
      </c>
      <c r="E1109" t="s">
        <v>423</v>
      </c>
      <c r="F1109" t="s">
        <v>212</v>
      </c>
      <c r="G1109" t="s">
        <v>424</v>
      </c>
      <c r="H1109" t="s">
        <v>425</v>
      </c>
      <c r="I1109" t="s">
        <v>22</v>
      </c>
      <c r="J1109" t="s">
        <v>23</v>
      </c>
      <c r="K1109" t="s">
        <v>215</v>
      </c>
      <c r="L1109" t="s">
        <v>422</v>
      </c>
      <c r="M1109">
        <v>30</v>
      </c>
      <c r="N1109">
        <v>65</v>
      </c>
      <c r="O1109">
        <v>2</v>
      </c>
      <c r="P1109">
        <v>1</v>
      </c>
      <c r="Q1109">
        <v>31</v>
      </c>
      <c r="R1109">
        <v>0.55869999999999997</v>
      </c>
      <c r="S1109">
        <v>0.83650000000000002</v>
      </c>
      <c r="U1109">
        <v>0.27780000000000005</v>
      </c>
      <c r="V1109">
        <v>189.02331233903146</v>
      </c>
      <c r="W1109">
        <v>40.491403780142157</v>
      </c>
      <c r="X1109">
        <v>259.74694886525867</v>
      </c>
      <c r="Y1109">
        <v>-18.053051134741395</v>
      </c>
      <c r="Z1109">
        <v>-6.9502456962858297</v>
      </c>
    </row>
    <row r="1110" spans="1:26" x14ac:dyDescent="0.35">
      <c r="A1110">
        <v>1108</v>
      </c>
      <c r="C1110">
        <v>46083</v>
      </c>
      <c r="D1110" t="s">
        <v>16</v>
      </c>
      <c r="E1110" t="s">
        <v>423</v>
      </c>
      <c r="F1110" t="s">
        <v>212</v>
      </c>
      <c r="G1110" t="s">
        <v>424</v>
      </c>
      <c r="H1110" t="s">
        <v>425</v>
      </c>
      <c r="I1110" t="s">
        <v>22</v>
      </c>
      <c r="J1110" t="s">
        <v>23</v>
      </c>
      <c r="K1110" t="s">
        <v>215</v>
      </c>
      <c r="L1110" t="s">
        <v>422</v>
      </c>
      <c r="M1110">
        <v>30</v>
      </c>
      <c r="N1110">
        <v>65</v>
      </c>
      <c r="O1110">
        <v>2</v>
      </c>
      <c r="P1110">
        <v>2</v>
      </c>
      <c r="Q1110">
        <v>32</v>
      </c>
      <c r="R1110">
        <v>0.60119999999999996</v>
      </c>
      <c r="S1110">
        <v>0.89</v>
      </c>
      <c r="U1110">
        <v>0.28880000000000006</v>
      </c>
      <c r="V1110">
        <v>178.02331233903146</v>
      </c>
      <c r="W1110">
        <v>38.135051877987962</v>
      </c>
      <c r="X1110">
        <v>259.74694886525867</v>
      </c>
      <c r="Y1110">
        <v>-29.053051134741395</v>
      </c>
      <c r="Z1110">
        <v>-11.185136634583683</v>
      </c>
    </row>
    <row r="1111" spans="1:26" x14ac:dyDescent="0.35">
      <c r="A1111">
        <v>1109</v>
      </c>
      <c r="C1111">
        <v>46083</v>
      </c>
      <c r="D1111" t="s">
        <v>16</v>
      </c>
      <c r="E1111" t="s">
        <v>427</v>
      </c>
      <c r="F1111" t="s">
        <v>226</v>
      </c>
      <c r="G1111" t="s">
        <v>231</v>
      </c>
      <c r="H1111" t="s">
        <v>232</v>
      </c>
      <c r="I1111" t="s">
        <v>22</v>
      </c>
      <c r="J1111" t="s">
        <v>23</v>
      </c>
      <c r="K1111" t="s">
        <v>215</v>
      </c>
      <c r="L1111" t="s">
        <v>426</v>
      </c>
      <c r="M1111">
        <v>30</v>
      </c>
      <c r="N1111">
        <v>65</v>
      </c>
      <c r="O1111">
        <v>2</v>
      </c>
      <c r="P1111">
        <v>1</v>
      </c>
      <c r="Q1111">
        <v>33</v>
      </c>
      <c r="R1111">
        <v>0.5585</v>
      </c>
      <c r="S1111">
        <v>0.83209999999999995</v>
      </c>
      <c r="U1111">
        <v>0.27359999999999995</v>
      </c>
      <c r="V1111">
        <v>198.64997473071884</v>
      </c>
      <c r="W1111">
        <v>42.064581336185533</v>
      </c>
      <c r="X1111">
        <v>259.97445228721693</v>
      </c>
      <c r="Y1111">
        <v>-13.625547712783032</v>
      </c>
      <c r="Z1111">
        <v>-5.2411102679157402</v>
      </c>
    </row>
    <row r="1112" spans="1:26" x14ac:dyDescent="0.35">
      <c r="A1112">
        <v>1110</v>
      </c>
      <c r="C1112">
        <v>46083</v>
      </c>
      <c r="D1112" t="s">
        <v>16</v>
      </c>
      <c r="E1112" t="s">
        <v>427</v>
      </c>
      <c r="F1112" t="s">
        <v>226</v>
      </c>
      <c r="G1112" t="s">
        <v>231</v>
      </c>
      <c r="H1112" t="s">
        <v>232</v>
      </c>
      <c r="I1112" t="s">
        <v>22</v>
      </c>
      <c r="J1112" t="s">
        <v>23</v>
      </c>
      <c r="K1112" t="s">
        <v>215</v>
      </c>
      <c r="L1112" t="s">
        <v>426</v>
      </c>
      <c r="M1112">
        <v>30</v>
      </c>
      <c r="N1112">
        <v>65</v>
      </c>
      <c r="O1112">
        <v>2</v>
      </c>
      <c r="P1112">
        <v>2</v>
      </c>
      <c r="Q1112">
        <v>34</v>
      </c>
      <c r="R1112">
        <v>0.59160000000000001</v>
      </c>
      <c r="S1112">
        <v>0.83699999999999997</v>
      </c>
      <c r="U1112">
        <v>0.24539999999999995</v>
      </c>
      <c r="V1112">
        <v>226.84997473071886</v>
      </c>
      <c r="W1112">
        <v>48.035995101973434</v>
      </c>
      <c r="X1112">
        <v>259.97445228721693</v>
      </c>
      <c r="Y1112">
        <v>14.574452287216985</v>
      </c>
      <c r="Z1112">
        <v>5.6061094307510224</v>
      </c>
    </row>
    <row r="1113" spans="1:26" x14ac:dyDescent="0.35">
      <c r="A1113">
        <v>1111</v>
      </c>
      <c r="C1113">
        <v>46083</v>
      </c>
      <c r="D1113">
        <v>0</v>
      </c>
      <c r="E1113" t="s">
        <v>541</v>
      </c>
      <c r="F1113" t="s">
        <v>538</v>
      </c>
      <c r="G1113" t="s">
        <v>542</v>
      </c>
      <c r="H1113" t="s">
        <v>541</v>
      </c>
      <c r="I1113">
        <v>0</v>
      </c>
      <c r="J1113">
        <v>0</v>
      </c>
      <c r="K1113">
        <v>0</v>
      </c>
      <c r="L1113" t="s">
        <v>543</v>
      </c>
      <c r="M1113">
        <v>30</v>
      </c>
      <c r="N1113">
        <v>65</v>
      </c>
      <c r="O1113">
        <v>2</v>
      </c>
      <c r="P1113">
        <v>1</v>
      </c>
      <c r="Q1113">
        <v>35</v>
      </c>
    </row>
    <row r="1114" spans="1:26" x14ac:dyDescent="0.35">
      <c r="A1114">
        <v>1112</v>
      </c>
      <c r="C1114">
        <v>46083</v>
      </c>
      <c r="D1114">
        <v>0</v>
      </c>
      <c r="E1114" t="s">
        <v>541</v>
      </c>
      <c r="F1114" t="s">
        <v>538</v>
      </c>
      <c r="G1114" t="s">
        <v>542</v>
      </c>
      <c r="H1114" t="s">
        <v>541</v>
      </c>
      <c r="I1114">
        <v>0</v>
      </c>
      <c r="J1114">
        <v>0</v>
      </c>
      <c r="K1114">
        <v>0</v>
      </c>
      <c r="L1114" t="s">
        <v>543</v>
      </c>
      <c r="M1114">
        <v>30</v>
      </c>
      <c r="N1114">
        <v>65</v>
      </c>
      <c r="O1114">
        <v>2</v>
      </c>
      <c r="P1114">
        <v>2</v>
      </c>
      <c r="Q1114">
        <v>36</v>
      </c>
    </row>
    <row r="1115" spans="1:26" x14ac:dyDescent="0.35">
      <c r="A1115">
        <v>1113</v>
      </c>
      <c r="C1115">
        <v>46083</v>
      </c>
      <c r="D1115" t="s">
        <v>16</v>
      </c>
      <c r="E1115" t="s">
        <v>429</v>
      </c>
      <c r="F1115" t="s">
        <v>212</v>
      </c>
      <c r="G1115" t="s">
        <v>213</v>
      </c>
      <c r="H1115" t="s">
        <v>214</v>
      </c>
      <c r="I1115" t="s">
        <v>22</v>
      </c>
      <c r="J1115" t="s">
        <v>23</v>
      </c>
      <c r="K1115" t="s">
        <v>215</v>
      </c>
      <c r="L1115" t="s">
        <v>428</v>
      </c>
      <c r="M1115">
        <v>30</v>
      </c>
      <c r="N1115">
        <v>65</v>
      </c>
      <c r="O1115">
        <v>2</v>
      </c>
      <c r="P1115">
        <v>1</v>
      </c>
      <c r="Q1115">
        <v>37</v>
      </c>
      <c r="R1115">
        <v>0.59919999999999995</v>
      </c>
      <c r="S1115">
        <v>0.88460000000000005</v>
      </c>
      <c r="U1115">
        <v>0.2854000000000001</v>
      </c>
      <c r="V1115">
        <v>181.35176497001515</v>
      </c>
      <c r="W1115">
        <v>38.854007329070392</v>
      </c>
      <c r="X1115">
        <v>264.24649575271019</v>
      </c>
      <c r="Y1115">
        <v>-21.153504247289902</v>
      </c>
      <c r="Z1115">
        <v>-8.0052165638124428</v>
      </c>
    </row>
    <row r="1116" spans="1:26" x14ac:dyDescent="0.35">
      <c r="A1116">
        <v>1114</v>
      </c>
      <c r="C1116">
        <v>46083</v>
      </c>
      <c r="D1116" t="s">
        <v>16</v>
      </c>
      <c r="E1116" t="s">
        <v>429</v>
      </c>
      <c r="F1116" t="s">
        <v>212</v>
      </c>
      <c r="G1116" t="s">
        <v>213</v>
      </c>
      <c r="H1116" t="s">
        <v>214</v>
      </c>
      <c r="I1116" t="s">
        <v>22</v>
      </c>
      <c r="J1116" t="s">
        <v>23</v>
      </c>
      <c r="K1116" t="s">
        <v>215</v>
      </c>
      <c r="L1116" t="s">
        <v>428</v>
      </c>
      <c r="M1116">
        <v>30</v>
      </c>
      <c r="N1116">
        <v>65</v>
      </c>
      <c r="O1116">
        <v>2</v>
      </c>
      <c r="P1116">
        <v>2</v>
      </c>
      <c r="Q1116">
        <v>38</v>
      </c>
      <c r="R1116">
        <v>0.56299999999999994</v>
      </c>
      <c r="S1116">
        <v>0.89339999999999997</v>
      </c>
      <c r="T1116" t="s">
        <v>599</v>
      </c>
      <c r="U1116">
        <v>0.33040000000000003</v>
      </c>
      <c r="V1116">
        <v>136.35176497001521</v>
      </c>
      <c r="W1116">
        <v>29.212908274438902</v>
      </c>
      <c r="X1116">
        <v>264.24649575271019</v>
      </c>
      <c r="Y1116">
        <v>-66.153504247289845</v>
      </c>
      <c r="Z1116">
        <v>-25.034770682143044</v>
      </c>
    </row>
    <row r="1117" spans="1:26" x14ac:dyDescent="0.35">
      <c r="A1117">
        <v>1115</v>
      </c>
      <c r="C1117">
        <v>46083</v>
      </c>
      <c r="D1117" t="s">
        <v>16</v>
      </c>
      <c r="E1117" t="s">
        <v>431</v>
      </c>
      <c r="F1117" t="s">
        <v>212</v>
      </c>
      <c r="G1117" t="s">
        <v>404</v>
      </c>
      <c r="H1117" t="s">
        <v>433</v>
      </c>
      <c r="I1117" t="s">
        <v>22</v>
      </c>
      <c r="J1117" t="s">
        <v>23</v>
      </c>
      <c r="K1117" t="s">
        <v>215</v>
      </c>
      <c r="L1117" t="s">
        <v>430</v>
      </c>
      <c r="M1117">
        <v>30</v>
      </c>
      <c r="N1117">
        <v>65</v>
      </c>
      <c r="O1117">
        <v>2</v>
      </c>
      <c r="P1117">
        <v>1</v>
      </c>
      <c r="Q1117">
        <v>39</v>
      </c>
      <c r="R1117">
        <v>0.55479999999999996</v>
      </c>
      <c r="S1117">
        <v>0.88490000000000002</v>
      </c>
      <c r="U1117">
        <v>0.33010000000000006</v>
      </c>
      <c r="V1117">
        <v>147.75779315469197</v>
      </c>
      <c r="W1117">
        <v>30.920871286671648</v>
      </c>
      <c r="X1117">
        <v>284.86095409563654</v>
      </c>
      <c r="Y1117">
        <v>-45.239045904363536</v>
      </c>
      <c r="Z1117">
        <v>-15.881097515799025</v>
      </c>
    </row>
    <row r="1118" spans="1:26" x14ac:dyDescent="0.35">
      <c r="A1118">
        <v>1116</v>
      </c>
      <c r="C1118">
        <v>46083</v>
      </c>
      <c r="D1118" t="s">
        <v>16</v>
      </c>
      <c r="E1118" t="s">
        <v>431</v>
      </c>
      <c r="F1118" t="s">
        <v>212</v>
      </c>
      <c r="G1118" t="s">
        <v>404</v>
      </c>
      <c r="H1118" t="s">
        <v>433</v>
      </c>
      <c r="I1118" t="s">
        <v>22</v>
      </c>
      <c r="J1118" t="s">
        <v>23</v>
      </c>
      <c r="K1118" t="s">
        <v>215</v>
      </c>
      <c r="L1118" t="s">
        <v>430</v>
      </c>
      <c r="M1118">
        <v>30</v>
      </c>
      <c r="N1118">
        <v>65</v>
      </c>
      <c r="O1118">
        <v>2</v>
      </c>
      <c r="P1118">
        <v>2</v>
      </c>
      <c r="Q1118">
        <v>40</v>
      </c>
      <c r="R1118">
        <v>0.5917</v>
      </c>
      <c r="S1118">
        <v>0.88570000000000004</v>
      </c>
      <c r="U1118">
        <v>0.29400000000000004</v>
      </c>
      <c r="V1118">
        <v>183.95334560283334</v>
      </c>
      <c r="W1118">
        <v>38.487720045314575</v>
      </c>
      <c r="X1118">
        <v>284.91791489429596</v>
      </c>
      <c r="Y1118">
        <v>-9.0820851057040954</v>
      </c>
      <c r="Z1118">
        <v>-3.1876146184326575</v>
      </c>
    </row>
    <row r="1119" spans="1:26" x14ac:dyDescent="0.35">
      <c r="A1119">
        <v>1117</v>
      </c>
      <c r="C1119">
        <v>46083</v>
      </c>
      <c r="D1119" t="s">
        <v>16</v>
      </c>
      <c r="E1119" t="s">
        <v>435</v>
      </c>
      <c r="F1119" t="s">
        <v>219</v>
      </c>
      <c r="G1119" t="s">
        <v>220</v>
      </c>
      <c r="H1119" t="s">
        <v>221</v>
      </c>
      <c r="I1119" t="s">
        <v>22</v>
      </c>
      <c r="J1119" t="s">
        <v>23</v>
      </c>
      <c r="K1119" t="s">
        <v>215</v>
      </c>
      <c r="L1119" t="s">
        <v>434</v>
      </c>
      <c r="M1119">
        <v>30</v>
      </c>
      <c r="N1119">
        <v>65</v>
      </c>
      <c r="O1119">
        <v>2</v>
      </c>
      <c r="P1119">
        <v>1</v>
      </c>
      <c r="Q1119">
        <v>41</v>
      </c>
      <c r="R1119">
        <v>0.57050000000000001</v>
      </c>
      <c r="S1119">
        <v>0.73729999999999996</v>
      </c>
      <c r="U1119">
        <v>0.16679999999999995</v>
      </c>
      <c r="V1119">
        <v>287.69317478619485</v>
      </c>
      <c r="W1119">
        <v>63.299778906808243</v>
      </c>
      <c r="X1119">
        <v>222.37480553813305</v>
      </c>
      <c r="Y1119">
        <v>55.574805538133091</v>
      </c>
      <c r="Z1119">
        <v>24.991502703575417</v>
      </c>
    </row>
    <row r="1120" spans="1:26" x14ac:dyDescent="0.35">
      <c r="A1120">
        <v>1118</v>
      </c>
      <c r="C1120">
        <v>46083</v>
      </c>
      <c r="D1120" t="s">
        <v>16</v>
      </c>
      <c r="E1120" t="s">
        <v>435</v>
      </c>
      <c r="F1120" t="s">
        <v>219</v>
      </c>
      <c r="G1120" t="s">
        <v>220</v>
      </c>
      <c r="H1120" t="s">
        <v>221</v>
      </c>
      <c r="I1120" t="s">
        <v>22</v>
      </c>
      <c r="J1120" t="s">
        <v>23</v>
      </c>
      <c r="K1120" t="s">
        <v>215</v>
      </c>
      <c r="L1120" t="s">
        <v>434</v>
      </c>
      <c r="M1120">
        <v>30</v>
      </c>
      <c r="N1120">
        <v>65</v>
      </c>
      <c r="O1120">
        <v>2</v>
      </c>
      <c r="P1120">
        <v>2</v>
      </c>
      <c r="Q1120">
        <v>42</v>
      </c>
      <c r="R1120">
        <v>0.60819999999999996</v>
      </c>
      <c r="S1120">
        <v>0.78759999999999997</v>
      </c>
      <c r="U1120">
        <v>0.1794</v>
      </c>
      <c r="V1120">
        <v>275.27497205610928</v>
      </c>
      <c r="W1120">
        <v>60.543242750150519</v>
      </c>
      <c r="X1120">
        <v>222.4637554603483</v>
      </c>
      <c r="Y1120">
        <v>43.06375546034829</v>
      </c>
      <c r="Z1120">
        <v>19.357650135517886</v>
      </c>
    </row>
    <row r="1121" spans="1:26" x14ac:dyDescent="0.35">
      <c r="A1121">
        <v>1119</v>
      </c>
      <c r="C1121">
        <v>46083</v>
      </c>
      <c r="D1121" t="s">
        <v>16</v>
      </c>
      <c r="E1121" t="s">
        <v>437</v>
      </c>
      <c r="F1121" t="s">
        <v>333</v>
      </c>
      <c r="G1121" t="s">
        <v>438</v>
      </c>
      <c r="H1121" t="s">
        <v>439</v>
      </c>
      <c r="I1121" t="s">
        <v>22</v>
      </c>
      <c r="J1121" t="s">
        <v>23</v>
      </c>
      <c r="K1121" t="s">
        <v>215</v>
      </c>
      <c r="L1121" t="s">
        <v>436</v>
      </c>
      <c r="M1121">
        <v>30</v>
      </c>
      <c r="N1121">
        <v>65</v>
      </c>
      <c r="O1121">
        <v>2</v>
      </c>
      <c r="P1121">
        <v>1</v>
      </c>
      <c r="Q1121">
        <v>43</v>
      </c>
      <c r="R1121">
        <v>0.59379999999999999</v>
      </c>
      <c r="S1121">
        <v>0.79949999999999999</v>
      </c>
      <c r="T1121" t="s">
        <v>600</v>
      </c>
      <c r="U1121">
        <v>0.20569999999999999</v>
      </c>
      <c r="V1121">
        <v>276.63220135904891</v>
      </c>
      <c r="W1121">
        <v>57.353044349847046</v>
      </c>
      <c r="X1121">
        <v>234.76226025625186</v>
      </c>
      <c r="Y1121">
        <v>29.062260256251875</v>
      </c>
      <c r="Z1121">
        <v>12.37944302654495</v>
      </c>
    </row>
    <row r="1122" spans="1:26" x14ac:dyDescent="0.35">
      <c r="A1122">
        <v>1120</v>
      </c>
      <c r="C1122">
        <v>46083</v>
      </c>
      <c r="D1122" t="s">
        <v>16</v>
      </c>
      <c r="E1122" t="s">
        <v>437</v>
      </c>
      <c r="F1122" t="s">
        <v>333</v>
      </c>
      <c r="G1122" t="s">
        <v>438</v>
      </c>
      <c r="H1122" t="s">
        <v>439</v>
      </c>
      <c r="I1122" t="s">
        <v>22</v>
      </c>
      <c r="J1122" t="s">
        <v>23</v>
      </c>
      <c r="K1122" t="s">
        <v>215</v>
      </c>
      <c r="L1122" t="s">
        <v>436</v>
      </c>
      <c r="M1122">
        <v>30</v>
      </c>
      <c r="N1122">
        <v>65</v>
      </c>
      <c r="O1122">
        <v>2</v>
      </c>
      <c r="P1122">
        <v>2</v>
      </c>
      <c r="Q1122">
        <v>44</v>
      </c>
      <c r="R1122">
        <v>0.59430000000000005</v>
      </c>
      <c r="S1122">
        <v>0.77980000000000005</v>
      </c>
      <c r="T1122" t="s">
        <v>599</v>
      </c>
      <c r="U1122">
        <v>0.1855</v>
      </c>
      <c r="V1122">
        <v>296.8322013590489</v>
      </c>
      <c r="W1122">
        <v>61.541029299448844</v>
      </c>
      <c r="X1122">
        <v>234.76226025625186</v>
      </c>
      <c r="Y1122">
        <v>49.262260256251864</v>
      </c>
      <c r="Z1122">
        <v>20.983892471677624</v>
      </c>
    </row>
    <row r="1123" spans="1:26" x14ac:dyDescent="0.35">
      <c r="A1123">
        <v>1121</v>
      </c>
      <c r="C1123">
        <v>46083</v>
      </c>
      <c r="D1123" t="s">
        <v>16</v>
      </c>
      <c r="E1123" t="s">
        <v>441</v>
      </c>
      <c r="F1123" t="s">
        <v>442</v>
      </c>
      <c r="G1123" t="s">
        <v>443</v>
      </c>
      <c r="H1123" t="s">
        <v>444</v>
      </c>
      <c r="I1123" t="s">
        <v>22</v>
      </c>
      <c r="J1123" t="s">
        <v>23</v>
      </c>
      <c r="K1123" t="s">
        <v>215</v>
      </c>
      <c r="L1123" t="s">
        <v>440</v>
      </c>
      <c r="M1123">
        <v>30</v>
      </c>
      <c r="N1123">
        <v>65</v>
      </c>
      <c r="O1123">
        <v>2</v>
      </c>
      <c r="P1123">
        <v>1</v>
      </c>
      <c r="Q1123">
        <v>45</v>
      </c>
      <c r="R1123">
        <v>0.59119999999999995</v>
      </c>
      <c r="S1123">
        <v>0.87749999999999995</v>
      </c>
      <c r="U1123">
        <v>0.2863</v>
      </c>
      <c r="V1123">
        <v>194.70567754319018</v>
      </c>
      <c r="W1123">
        <v>40.478873043178851</v>
      </c>
      <c r="X1123">
        <v>299.47042015548726</v>
      </c>
      <c r="Y1123">
        <v>13.17042015548725</v>
      </c>
      <c r="Z1123">
        <v>4.3979035220403642</v>
      </c>
    </row>
    <row r="1124" spans="1:26" x14ac:dyDescent="0.35">
      <c r="A1124">
        <v>1122</v>
      </c>
      <c r="C1124">
        <v>46083</v>
      </c>
      <c r="D1124" t="s">
        <v>16</v>
      </c>
      <c r="E1124" t="s">
        <v>441</v>
      </c>
      <c r="F1124" t="s">
        <v>442</v>
      </c>
      <c r="G1124" t="s">
        <v>443</v>
      </c>
      <c r="H1124" t="s">
        <v>444</v>
      </c>
      <c r="I1124" t="s">
        <v>22</v>
      </c>
      <c r="J1124" t="s">
        <v>23</v>
      </c>
      <c r="K1124" t="s">
        <v>215</v>
      </c>
      <c r="L1124" t="s">
        <v>440</v>
      </c>
      <c r="M1124">
        <v>30</v>
      </c>
      <c r="N1124">
        <v>65</v>
      </c>
      <c r="O1124">
        <v>2</v>
      </c>
      <c r="P1124">
        <v>2</v>
      </c>
      <c r="Q1124">
        <v>46</v>
      </c>
      <c r="R1124">
        <v>0.5837</v>
      </c>
      <c r="S1124">
        <v>0.91710000000000003</v>
      </c>
      <c r="U1124">
        <v>0.33340000000000003</v>
      </c>
      <c r="V1124">
        <v>147.60567754319015</v>
      </c>
      <c r="W1124">
        <v>30.686888831979829</v>
      </c>
      <c r="X1124">
        <v>299.47042015548726</v>
      </c>
      <c r="Y1124">
        <v>-33.929579844512773</v>
      </c>
      <c r="Z1124">
        <v>-11.329860166789189</v>
      </c>
    </row>
    <row r="1125" spans="1:26" x14ac:dyDescent="0.35">
      <c r="A1125">
        <v>1123</v>
      </c>
      <c r="C1125">
        <v>46083</v>
      </c>
      <c r="D1125" t="s">
        <v>16</v>
      </c>
      <c r="E1125" t="s">
        <v>446</v>
      </c>
      <c r="F1125" t="s">
        <v>442</v>
      </c>
      <c r="G1125" t="s">
        <v>447</v>
      </c>
      <c r="H1125" t="s">
        <v>448</v>
      </c>
      <c r="I1125" t="s">
        <v>22</v>
      </c>
      <c r="J1125" t="s">
        <v>23</v>
      </c>
      <c r="K1125" t="s">
        <v>215</v>
      </c>
      <c r="L1125" t="s">
        <v>445</v>
      </c>
      <c r="M1125">
        <v>30</v>
      </c>
      <c r="N1125">
        <v>65</v>
      </c>
      <c r="O1125">
        <v>2</v>
      </c>
      <c r="P1125">
        <v>1</v>
      </c>
      <c r="Q1125">
        <v>47</v>
      </c>
      <c r="R1125">
        <v>0.58699999999999997</v>
      </c>
      <c r="S1125">
        <v>0.84260000000000002</v>
      </c>
      <c r="U1125">
        <v>0.25560000000000005</v>
      </c>
      <c r="V1125">
        <v>220.85942599029389</v>
      </c>
      <c r="W1125">
        <v>46.354298801256803</v>
      </c>
      <c r="X1125">
        <v>259.3502170717174</v>
      </c>
      <c r="Y1125">
        <v>3.7502170717173442</v>
      </c>
      <c r="Z1125">
        <v>1.446004986639478</v>
      </c>
    </row>
    <row r="1126" spans="1:26" x14ac:dyDescent="0.35">
      <c r="A1126">
        <v>1124</v>
      </c>
      <c r="C1126">
        <v>46083</v>
      </c>
      <c r="D1126" t="s">
        <v>16</v>
      </c>
      <c r="E1126" t="s">
        <v>446</v>
      </c>
      <c r="F1126" t="s">
        <v>442</v>
      </c>
      <c r="G1126" t="s">
        <v>447</v>
      </c>
      <c r="H1126" t="s">
        <v>448</v>
      </c>
      <c r="I1126" t="s">
        <v>22</v>
      </c>
      <c r="J1126" t="s">
        <v>23</v>
      </c>
      <c r="K1126" t="s">
        <v>215</v>
      </c>
      <c r="L1126" t="s">
        <v>445</v>
      </c>
      <c r="M1126">
        <v>30</v>
      </c>
      <c r="N1126">
        <v>65</v>
      </c>
      <c r="O1126">
        <v>2</v>
      </c>
      <c r="P1126">
        <v>2</v>
      </c>
      <c r="Q1126">
        <v>48</v>
      </c>
      <c r="R1126">
        <v>0.5706</v>
      </c>
      <c r="S1126">
        <v>0.87719999999999998</v>
      </c>
      <c r="U1126">
        <v>0.30659999999999998</v>
      </c>
      <c r="V1126">
        <v>169.85942599029397</v>
      </c>
      <c r="W1126">
        <v>35.650344336718867</v>
      </c>
      <c r="X1126">
        <v>259.3502170717174</v>
      </c>
      <c r="Y1126">
        <v>-47.249782928282571</v>
      </c>
      <c r="Z1126">
        <v>-18.21852453480566</v>
      </c>
    </row>
    <row r="1127" spans="1:26" x14ac:dyDescent="0.35">
      <c r="A1127">
        <v>1125</v>
      </c>
      <c r="C1127">
        <v>46083</v>
      </c>
      <c r="D1127" t="s">
        <v>16</v>
      </c>
      <c r="E1127" t="s">
        <v>450</v>
      </c>
      <c r="F1127" t="s">
        <v>442</v>
      </c>
      <c r="G1127" t="s">
        <v>451</v>
      </c>
      <c r="H1127" t="s">
        <v>452</v>
      </c>
      <c r="I1127" t="s">
        <v>22</v>
      </c>
      <c r="J1127" t="s">
        <v>23</v>
      </c>
      <c r="K1127" t="s">
        <v>215</v>
      </c>
      <c r="L1127" t="s">
        <v>449</v>
      </c>
      <c r="M1127">
        <v>30</v>
      </c>
      <c r="N1127">
        <v>65</v>
      </c>
      <c r="O1127">
        <v>2</v>
      </c>
      <c r="P1127">
        <v>1</v>
      </c>
      <c r="Q1127">
        <v>49</v>
      </c>
      <c r="R1127">
        <v>0.59119999999999995</v>
      </c>
      <c r="S1127">
        <v>0.86980000000000002</v>
      </c>
      <c r="U1127">
        <v>0.27860000000000007</v>
      </c>
      <c r="V1127">
        <v>203.77225706146942</v>
      </c>
      <c r="W1127">
        <v>42.243776269973665</v>
      </c>
      <c r="X1127">
        <v>286.48406302147322</v>
      </c>
      <c r="Y1127">
        <v>7.8840630214731391</v>
      </c>
      <c r="Z1127">
        <v>2.7520075421724925</v>
      </c>
    </row>
    <row r="1128" spans="1:26" x14ac:dyDescent="0.35">
      <c r="A1128">
        <v>1126</v>
      </c>
      <c r="C1128">
        <v>46083</v>
      </c>
      <c r="D1128" t="s">
        <v>16</v>
      </c>
      <c r="E1128" t="s">
        <v>450</v>
      </c>
      <c r="F1128" t="s">
        <v>442</v>
      </c>
      <c r="G1128" t="s">
        <v>451</v>
      </c>
      <c r="H1128" t="s">
        <v>452</v>
      </c>
      <c r="I1128" t="s">
        <v>22</v>
      </c>
      <c r="J1128" t="s">
        <v>23</v>
      </c>
      <c r="K1128" t="s">
        <v>215</v>
      </c>
      <c r="L1128" t="s">
        <v>449</v>
      </c>
      <c r="M1128">
        <v>30</v>
      </c>
      <c r="N1128">
        <v>65</v>
      </c>
      <c r="O1128">
        <v>2</v>
      </c>
      <c r="P1128">
        <v>2</v>
      </c>
      <c r="Q1128">
        <v>50</v>
      </c>
      <c r="R1128">
        <v>0.57330000000000003</v>
      </c>
      <c r="S1128">
        <v>0.85760000000000003</v>
      </c>
      <c r="U1128">
        <v>0.2843</v>
      </c>
      <c r="V1128">
        <v>198.07225706146949</v>
      </c>
      <c r="W1128">
        <v>41.062116272625687</v>
      </c>
      <c r="X1128">
        <v>286.48406302147322</v>
      </c>
      <c r="Y1128">
        <v>2.1840630214732073</v>
      </c>
      <c r="Z1128">
        <v>0.76236806977618943</v>
      </c>
    </row>
    <row r="1129" spans="1:26" x14ac:dyDescent="0.35">
      <c r="A1129">
        <v>1127</v>
      </c>
      <c r="C1129">
        <v>46083</v>
      </c>
      <c r="D1129" t="s">
        <v>16</v>
      </c>
      <c r="E1129" t="s">
        <v>454</v>
      </c>
      <c r="F1129" t="s">
        <v>442</v>
      </c>
      <c r="G1129" t="s">
        <v>455</v>
      </c>
      <c r="H1129" t="s">
        <v>456</v>
      </c>
      <c r="I1129" t="s">
        <v>22</v>
      </c>
      <c r="J1129" t="s">
        <v>23</v>
      </c>
      <c r="K1129" t="s">
        <v>215</v>
      </c>
      <c r="L1129" t="s">
        <v>453</v>
      </c>
      <c r="M1129">
        <v>30</v>
      </c>
      <c r="N1129">
        <v>65</v>
      </c>
      <c r="O1129">
        <v>2</v>
      </c>
      <c r="P1129">
        <v>1</v>
      </c>
      <c r="Q1129">
        <v>51</v>
      </c>
      <c r="R1129">
        <v>0.54679999999999995</v>
      </c>
      <c r="S1129">
        <v>0.85209999999999997</v>
      </c>
      <c r="T1129" t="s">
        <v>599</v>
      </c>
      <c r="U1129">
        <v>0.30530000000000002</v>
      </c>
      <c r="V1129">
        <v>173.03586433505768</v>
      </c>
      <c r="W1129">
        <v>36.174553746999003</v>
      </c>
      <c r="X1129">
        <v>292.18679277481618</v>
      </c>
      <c r="Y1129">
        <v>-13.113207225183828</v>
      </c>
      <c r="Z1129">
        <v>-4.4879534426081928</v>
      </c>
    </row>
    <row r="1130" spans="1:26" x14ac:dyDescent="0.35">
      <c r="A1130">
        <v>1128</v>
      </c>
      <c r="C1130">
        <v>46083</v>
      </c>
      <c r="D1130" t="s">
        <v>16</v>
      </c>
      <c r="E1130" t="s">
        <v>454</v>
      </c>
      <c r="F1130" t="s">
        <v>442</v>
      </c>
      <c r="G1130" t="s">
        <v>455</v>
      </c>
      <c r="H1130" t="s">
        <v>456</v>
      </c>
      <c r="I1130" t="s">
        <v>22</v>
      </c>
      <c r="J1130" t="s">
        <v>23</v>
      </c>
      <c r="K1130" t="s">
        <v>215</v>
      </c>
      <c r="L1130" t="s">
        <v>453</v>
      </c>
      <c r="M1130">
        <v>30</v>
      </c>
      <c r="N1130">
        <v>65</v>
      </c>
      <c r="O1130">
        <v>2</v>
      </c>
      <c r="P1130">
        <v>2</v>
      </c>
      <c r="Q1130">
        <v>52</v>
      </c>
      <c r="R1130">
        <v>0.56100000000000005</v>
      </c>
      <c r="S1130">
        <v>0.87360000000000004</v>
      </c>
      <c r="U1130">
        <v>0.31259999999999999</v>
      </c>
      <c r="V1130">
        <v>165.73586433505773</v>
      </c>
      <c r="W1130">
        <v>34.64842941798851</v>
      </c>
      <c r="X1130">
        <v>292.18679277481618</v>
      </c>
      <c r="Y1130">
        <v>-20.413207225183783</v>
      </c>
      <c r="Z1130">
        <v>-6.9863552117894399</v>
      </c>
    </row>
    <row r="1131" spans="1:26" x14ac:dyDescent="0.35">
      <c r="A1131">
        <v>1129</v>
      </c>
      <c r="C1131">
        <v>46083</v>
      </c>
      <c r="D1131" t="s">
        <v>16</v>
      </c>
      <c r="E1131" t="s">
        <v>458</v>
      </c>
      <c r="F1131" t="s">
        <v>333</v>
      </c>
      <c r="G1131" t="s">
        <v>438</v>
      </c>
      <c r="H1131" t="s">
        <v>439</v>
      </c>
      <c r="I1131" t="s">
        <v>22</v>
      </c>
      <c r="J1131" t="s">
        <v>23</v>
      </c>
      <c r="K1131" t="s">
        <v>303</v>
      </c>
      <c r="L1131" t="s">
        <v>457</v>
      </c>
      <c r="M1131">
        <v>30</v>
      </c>
      <c r="N1131">
        <v>65</v>
      </c>
      <c r="O1131">
        <v>2</v>
      </c>
      <c r="P1131">
        <v>1</v>
      </c>
      <c r="Q1131">
        <v>53</v>
      </c>
      <c r="R1131">
        <v>0.58560000000000001</v>
      </c>
      <c r="S1131">
        <v>0.78939999999999999</v>
      </c>
      <c r="U1131">
        <v>0.20379999999999998</v>
      </c>
      <c r="V1131">
        <v>273.60455817672937</v>
      </c>
      <c r="W1131">
        <v>57.310839096648145</v>
      </c>
      <c r="X1131">
        <v>219.62720813647928</v>
      </c>
      <c r="Y1131">
        <v>15.8272081364793</v>
      </c>
      <c r="Z1131">
        <v>7.2063968170300932</v>
      </c>
    </row>
    <row r="1132" spans="1:26" x14ac:dyDescent="0.35">
      <c r="A1132">
        <v>1130</v>
      </c>
      <c r="C1132">
        <v>46083</v>
      </c>
      <c r="D1132" t="s">
        <v>16</v>
      </c>
      <c r="E1132" t="s">
        <v>458</v>
      </c>
      <c r="F1132" t="s">
        <v>333</v>
      </c>
      <c r="G1132" t="s">
        <v>438</v>
      </c>
      <c r="H1132" t="s">
        <v>439</v>
      </c>
      <c r="I1132" t="s">
        <v>22</v>
      </c>
      <c r="J1132" t="s">
        <v>23</v>
      </c>
      <c r="K1132" t="s">
        <v>303</v>
      </c>
      <c r="L1132" t="s">
        <v>457</v>
      </c>
      <c r="M1132">
        <v>30</v>
      </c>
      <c r="N1132">
        <v>65</v>
      </c>
      <c r="O1132">
        <v>2</v>
      </c>
      <c r="P1132">
        <v>2</v>
      </c>
      <c r="Q1132">
        <v>54</v>
      </c>
      <c r="R1132">
        <v>0.54459999999999997</v>
      </c>
      <c r="S1132">
        <v>0.73129999999999995</v>
      </c>
      <c r="U1132">
        <v>0.18669999999999998</v>
      </c>
      <c r="V1132">
        <v>290.70455817672939</v>
      </c>
      <c r="W1132">
        <v>60.892706866262067</v>
      </c>
      <c r="X1132">
        <v>219.62720813647928</v>
      </c>
      <c r="Y1132">
        <v>32.927208136479294</v>
      </c>
      <c r="Z1132">
        <v>14.992317398133062</v>
      </c>
    </row>
    <row r="1133" spans="1:26" x14ac:dyDescent="0.35">
      <c r="A1133">
        <v>1131</v>
      </c>
      <c r="C1133">
        <v>46083</v>
      </c>
      <c r="D1133" t="s">
        <v>16</v>
      </c>
      <c r="E1133" t="s">
        <v>460</v>
      </c>
      <c r="F1133" t="s">
        <v>333</v>
      </c>
      <c r="G1133" t="s">
        <v>461</v>
      </c>
      <c r="H1133" t="s">
        <v>462</v>
      </c>
      <c r="I1133" t="s">
        <v>22</v>
      </c>
      <c r="J1133" t="s">
        <v>23</v>
      </c>
      <c r="K1133" t="s">
        <v>303</v>
      </c>
      <c r="L1133" t="s">
        <v>459</v>
      </c>
      <c r="M1133">
        <v>30</v>
      </c>
      <c r="N1133">
        <v>65</v>
      </c>
      <c r="O1133">
        <v>2</v>
      </c>
      <c r="P1133">
        <v>1</v>
      </c>
      <c r="Q1133">
        <v>55</v>
      </c>
      <c r="R1133">
        <v>0.60109999999999997</v>
      </c>
      <c r="S1133">
        <v>0.87070000000000003</v>
      </c>
      <c r="U1133">
        <v>0.26960000000000006</v>
      </c>
      <c r="V1133">
        <v>212.80087956021953</v>
      </c>
      <c r="W1133">
        <v>44.112871384940114</v>
      </c>
      <c r="X1133">
        <v>243.14738229433769</v>
      </c>
      <c r="Y1133">
        <v>-26.452617705662391</v>
      </c>
      <c r="Z1133">
        <v>-10.87925251592495</v>
      </c>
    </row>
    <row r="1134" spans="1:26" x14ac:dyDescent="0.35">
      <c r="A1134">
        <v>1132</v>
      </c>
      <c r="C1134">
        <v>46083</v>
      </c>
      <c r="D1134" t="s">
        <v>16</v>
      </c>
      <c r="E1134" t="s">
        <v>460</v>
      </c>
      <c r="F1134" t="s">
        <v>333</v>
      </c>
      <c r="G1134" t="s">
        <v>461</v>
      </c>
      <c r="H1134" t="s">
        <v>462</v>
      </c>
      <c r="I1134" t="s">
        <v>22</v>
      </c>
      <c r="J1134" t="s">
        <v>23</v>
      </c>
      <c r="K1134" t="s">
        <v>303</v>
      </c>
      <c r="L1134" t="s">
        <v>459</v>
      </c>
      <c r="M1134">
        <v>30</v>
      </c>
      <c r="N1134">
        <v>65</v>
      </c>
      <c r="O1134">
        <v>2</v>
      </c>
      <c r="P1134">
        <v>2</v>
      </c>
      <c r="Q1134">
        <v>56</v>
      </c>
      <c r="R1134">
        <v>0.56200000000000006</v>
      </c>
      <c r="S1134">
        <v>0.8216</v>
      </c>
      <c r="U1134">
        <v>0.25959999999999994</v>
      </c>
      <c r="V1134">
        <v>222.80087956021964</v>
      </c>
      <c r="W1134">
        <v>46.185836096181227</v>
      </c>
      <c r="X1134">
        <v>243.14738229433769</v>
      </c>
      <c r="Y1134">
        <v>-16.452617705662277</v>
      </c>
      <c r="Z1134">
        <v>-6.7665205976784311</v>
      </c>
    </row>
    <row r="1135" spans="1:26" x14ac:dyDescent="0.35">
      <c r="A1135">
        <v>1133</v>
      </c>
      <c r="C1135">
        <v>46083</v>
      </c>
      <c r="D1135" t="s">
        <v>16</v>
      </c>
      <c r="E1135" t="s">
        <v>464</v>
      </c>
      <c r="F1135" t="s">
        <v>333</v>
      </c>
      <c r="G1135" t="s">
        <v>438</v>
      </c>
      <c r="H1135" t="s">
        <v>439</v>
      </c>
      <c r="I1135" t="s">
        <v>22</v>
      </c>
      <c r="J1135" t="s">
        <v>23</v>
      </c>
      <c r="K1135" t="s">
        <v>303</v>
      </c>
      <c r="L1135" t="s">
        <v>463</v>
      </c>
      <c r="M1135">
        <v>30</v>
      </c>
      <c r="N1135">
        <v>65</v>
      </c>
      <c r="O1135">
        <v>2</v>
      </c>
      <c r="P1135">
        <v>1</v>
      </c>
      <c r="Q1135">
        <v>57</v>
      </c>
      <c r="R1135">
        <v>0.56810000000000005</v>
      </c>
      <c r="S1135">
        <v>0.84930000000000005</v>
      </c>
      <c r="U1135">
        <v>0.28120000000000001</v>
      </c>
      <c r="V1135">
        <v>198.17605197401309</v>
      </c>
      <c r="W1135">
        <v>41.340415558505242</v>
      </c>
      <c r="X1135">
        <v>302.13437464576015</v>
      </c>
      <c r="Y1135">
        <v>20.934374645760158</v>
      </c>
      <c r="Z1135">
        <v>6.9288291576570309</v>
      </c>
    </row>
    <row r="1136" spans="1:26" x14ac:dyDescent="0.35">
      <c r="A1136">
        <v>1134</v>
      </c>
      <c r="C1136">
        <v>46083</v>
      </c>
      <c r="D1136" t="s">
        <v>16</v>
      </c>
      <c r="E1136" t="s">
        <v>464</v>
      </c>
      <c r="F1136" t="s">
        <v>333</v>
      </c>
      <c r="G1136" t="s">
        <v>438</v>
      </c>
      <c r="H1136" t="s">
        <v>439</v>
      </c>
      <c r="I1136" t="s">
        <v>22</v>
      </c>
      <c r="J1136" t="s">
        <v>23</v>
      </c>
      <c r="K1136" t="s">
        <v>303</v>
      </c>
      <c r="L1136" t="s">
        <v>463</v>
      </c>
      <c r="M1136">
        <v>30</v>
      </c>
      <c r="N1136">
        <v>65</v>
      </c>
      <c r="O1136">
        <v>2</v>
      </c>
      <c r="P1136">
        <v>2</v>
      </c>
      <c r="Q1136">
        <v>58</v>
      </c>
      <c r="R1136">
        <v>0.56340000000000001</v>
      </c>
      <c r="S1136">
        <v>0.83720000000000006</v>
      </c>
      <c r="U1136">
        <v>0.27380000000000004</v>
      </c>
      <c r="V1136">
        <v>205.48021509836838</v>
      </c>
      <c r="W1136">
        <v>42.872667935227661</v>
      </c>
      <c r="X1136">
        <v>302.0739719319165</v>
      </c>
      <c r="Y1136">
        <v>28.273971931916435</v>
      </c>
      <c r="Z1136">
        <v>9.3599497338648607</v>
      </c>
    </row>
    <row r="1137" spans="1:26" x14ac:dyDescent="0.35">
      <c r="A1137">
        <v>1135</v>
      </c>
      <c r="C1137">
        <v>46083</v>
      </c>
      <c r="D1137" t="s">
        <v>16</v>
      </c>
      <c r="E1137" t="s">
        <v>466</v>
      </c>
      <c r="F1137" t="s">
        <v>346</v>
      </c>
      <c r="G1137" t="s">
        <v>347</v>
      </c>
      <c r="H1137" t="s">
        <v>348</v>
      </c>
      <c r="I1137" t="s">
        <v>22</v>
      </c>
      <c r="J1137" t="s">
        <v>23</v>
      </c>
      <c r="K1137" t="s">
        <v>303</v>
      </c>
      <c r="L1137" t="s">
        <v>465</v>
      </c>
      <c r="M1137">
        <v>30</v>
      </c>
      <c r="N1137">
        <v>65</v>
      </c>
      <c r="O1137">
        <v>2</v>
      </c>
      <c r="P1137">
        <v>1</v>
      </c>
      <c r="Q1137">
        <v>59</v>
      </c>
      <c r="R1137">
        <v>0.54949999999999999</v>
      </c>
      <c r="S1137">
        <v>1.1000000000000001</v>
      </c>
    </row>
    <row r="1138" spans="1:26" x14ac:dyDescent="0.35">
      <c r="A1138">
        <v>1136</v>
      </c>
      <c r="C1138">
        <v>46083</v>
      </c>
      <c r="D1138" t="s">
        <v>16</v>
      </c>
      <c r="E1138" t="s">
        <v>466</v>
      </c>
      <c r="F1138" t="s">
        <v>346</v>
      </c>
      <c r="G1138" t="s">
        <v>347</v>
      </c>
      <c r="H1138" t="s">
        <v>348</v>
      </c>
      <c r="I1138" t="s">
        <v>22</v>
      </c>
      <c r="J1138" t="s">
        <v>23</v>
      </c>
      <c r="K1138" t="s">
        <v>303</v>
      </c>
      <c r="L1138" t="s">
        <v>465</v>
      </c>
      <c r="M1138">
        <v>30</v>
      </c>
      <c r="N1138">
        <v>65</v>
      </c>
      <c r="O1138">
        <v>2</v>
      </c>
      <c r="P1138">
        <v>2</v>
      </c>
      <c r="Q1138">
        <v>60</v>
      </c>
      <c r="R1138">
        <v>0.5706</v>
      </c>
      <c r="S1138">
        <v>0.84299999999999997</v>
      </c>
      <c r="U1138">
        <v>0.27239999999999998</v>
      </c>
      <c r="V1138">
        <v>209.1331859566655</v>
      </c>
      <c r="W1138">
        <v>43.430690148837634</v>
      </c>
      <c r="X1138">
        <v>302.65993290354231</v>
      </c>
      <c r="Y1138">
        <v>30.259932903542335</v>
      </c>
      <c r="Z1138">
        <v>9.9979976250064695</v>
      </c>
    </row>
    <row r="1139" spans="1:26" x14ac:dyDescent="0.35">
      <c r="A1139">
        <v>1137</v>
      </c>
      <c r="C1139">
        <v>46083</v>
      </c>
      <c r="D1139" t="s">
        <v>16</v>
      </c>
      <c r="E1139" t="s">
        <v>468</v>
      </c>
      <c r="F1139" t="s">
        <v>212</v>
      </c>
      <c r="G1139" t="s">
        <v>469</v>
      </c>
      <c r="H1139" t="s">
        <v>470</v>
      </c>
      <c r="I1139" t="s">
        <v>22</v>
      </c>
      <c r="J1139" t="s">
        <v>23</v>
      </c>
      <c r="K1139" t="s">
        <v>303</v>
      </c>
      <c r="L1139" t="s">
        <v>467</v>
      </c>
      <c r="M1139">
        <v>30</v>
      </c>
      <c r="N1139">
        <v>65</v>
      </c>
      <c r="O1139">
        <v>2</v>
      </c>
      <c r="P1139">
        <v>1</v>
      </c>
      <c r="Q1139">
        <v>61</v>
      </c>
      <c r="R1139">
        <v>0.57320000000000004</v>
      </c>
      <c r="S1139">
        <v>0.80710000000000004</v>
      </c>
      <c r="U1139">
        <v>0.2339</v>
      </c>
      <c r="V1139">
        <v>241.17504399040425</v>
      </c>
      <c r="W1139">
        <v>50.765673137584464</v>
      </c>
      <c r="X1139">
        <v>259.94828265772617</v>
      </c>
      <c r="Y1139">
        <v>26.048282657726162</v>
      </c>
      <c r="Z1139">
        <v>10.020563471859488</v>
      </c>
    </row>
    <row r="1140" spans="1:26" x14ac:dyDescent="0.35">
      <c r="A1140">
        <v>1138</v>
      </c>
      <c r="C1140">
        <v>46083</v>
      </c>
      <c r="D1140" t="s">
        <v>16</v>
      </c>
      <c r="E1140" t="s">
        <v>468</v>
      </c>
      <c r="F1140" t="s">
        <v>212</v>
      </c>
      <c r="G1140" t="s">
        <v>469</v>
      </c>
      <c r="H1140" t="s">
        <v>470</v>
      </c>
      <c r="I1140" t="s">
        <v>22</v>
      </c>
      <c r="J1140" t="s">
        <v>23</v>
      </c>
      <c r="K1140" t="s">
        <v>303</v>
      </c>
      <c r="L1140" t="s">
        <v>467</v>
      </c>
      <c r="M1140">
        <v>30</v>
      </c>
      <c r="N1140">
        <v>65</v>
      </c>
      <c r="O1140">
        <v>2</v>
      </c>
      <c r="P1140">
        <v>2</v>
      </c>
      <c r="Q1140">
        <v>62</v>
      </c>
      <c r="R1140">
        <v>0.54449999999999998</v>
      </c>
      <c r="S1140">
        <v>0.7742</v>
      </c>
      <c r="U1140">
        <v>0.22970000000000002</v>
      </c>
      <c r="V1140">
        <v>245.56503600959653</v>
      </c>
      <c r="W1140">
        <v>51.669072497190406</v>
      </c>
      <c r="X1140">
        <v>260.05224117908494</v>
      </c>
      <c r="Y1140">
        <v>30.352241179084928</v>
      </c>
      <c r="Z1140">
        <v>11.671593769569883</v>
      </c>
    </row>
    <row r="1141" spans="1:26" x14ac:dyDescent="0.35">
      <c r="A1141">
        <v>1139</v>
      </c>
      <c r="C1141">
        <v>46083</v>
      </c>
      <c r="D1141" t="s">
        <v>16</v>
      </c>
      <c r="E1141" t="s">
        <v>472</v>
      </c>
      <c r="F1141" t="s">
        <v>346</v>
      </c>
      <c r="G1141" t="s">
        <v>347</v>
      </c>
      <c r="H1141" t="s">
        <v>348</v>
      </c>
      <c r="I1141" t="s">
        <v>22</v>
      </c>
      <c r="J1141" t="s">
        <v>23</v>
      </c>
      <c r="K1141" t="s">
        <v>303</v>
      </c>
      <c r="L1141" t="s">
        <v>471</v>
      </c>
      <c r="M1141">
        <v>30</v>
      </c>
      <c r="N1141">
        <v>65</v>
      </c>
      <c r="O1141">
        <v>2</v>
      </c>
      <c r="P1141">
        <v>1</v>
      </c>
      <c r="Q1141">
        <v>63</v>
      </c>
      <c r="R1141">
        <v>0.58709999999999996</v>
      </c>
      <c r="S1141">
        <v>0.74009999999999998</v>
      </c>
      <c r="U1141">
        <v>0.15300000000000002</v>
      </c>
      <c r="V1141">
        <v>325.29455392429736</v>
      </c>
      <c r="W1141">
        <v>68.011343899973355</v>
      </c>
      <c r="X1141">
        <v>308.94297517827567</v>
      </c>
      <c r="Y1141">
        <v>155.94297517827565</v>
      </c>
      <c r="Z1141">
        <v>50.476297474732576</v>
      </c>
    </row>
    <row r="1142" spans="1:26" x14ac:dyDescent="0.35">
      <c r="A1142">
        <v>1140</v>
      </c>
      <c r="C1142">
        <v>46083</v>
      </c>
      <c r="D1142" t="s">
        <v>16</v>
      </c>
      <c r="E1142" t="s">
        <v>472</v>
      </c>
      <c r="F1142" t="s">
        <v>346</v>
      </c>
      <c r="G1142" t="s">
        <v>347</v>
      </c>
      <c r="H1142" t="s">
        <v>348</v>
      </c>
      <c r="I1142" t="s">
        <v>22</v>
      </c>
      <c r="J1142" t="s">
        <v>23</v>
      </c>
      <c r="K1142" t="s">
        <v>303</v>
      </c>
      <c r="L1142" t="s">
        <v>471</v>
      </c>
      <c r="M1142">
        <v>30</v>
      </c>
      <c r="N1142">
        <v>65</v>
      </c>
      <c r="O1142">
        <v>2</v>
      </c>
      <c r="P1142">
        <v>2</v>
      </c>
      <c r="Q1142">
        <v>64</v>
      </c>
      <c r="R1142">
        <v>0.58860000000000001</v>
      </c>
      <c r="S1142">
        <v>0.89810000000000001</v>
      </c>
      <c r="U1142">
        <v>0.3095</v>
      </c>
      <c r="V1142">
        <v>168.89015547415232</v>
      </c>
      <c r="W1142">
        <v>35.303852627727736</v>
      </c>
      <c r="X1142">
        <v>309.00472672238482</v>
      </c>
      <c r="Y1142">
        <v>-0.49527327761518336</v>
      </c>
      <c r="Z1142">
        <v>-0.16028016233555722</v>
      </c>
    </row>
    <row r="1143" spans="1:26" x14ac:dyDescent="0.35">
      <c r="A1143">
        <v>1141</v>
      </c>
      <c r="C1143">
        <v>46083</v>
      </c>
      <c r="D1143" t="s">
        <v>473</v>
      </c>
      <c r="E1143" t="s">
        <v>475</v>
      </c>
      <c r="F1143" t="s">
        <v>592</v>
      </c>
      <c r="G1143" t="s">
        <v>106</v>
      </c>
      <c r="H1143" t="s">
        <v>476</v>
      </c>
      <c r="I1143" t="s">
        <v>108</v>
      </c>
      <c r="J1143" t="s">
        <v>109</v>
      </c>
      <c r="K1143" t="s">
        <v>110</v>
      </c>
      <c r="L1143" t="s">
        <v>474</v>
      </c>
      <c r="M1143">
        <v>30</v>
      </c>
      <c r="N1143">
        <v>65</v>
      </c>
      <c r="O1143">
        <v>2</v>
      </c>
      <c r="P1143">
        <v>1</v>
      </c>
      <c r="Q1143">
        <v>65</v>
      </c>
      <c r="R1143">
        <v>0.56599999999999995</v>
      </c>
      <c r="S1143">
        <v>0.77890000000000004</v>
      </c>
      <c r="U1143">
        <v>0.21290000000000009</v>
      </c>
      <c r="V1143">
        <v>252.54999999999995</v>
      </c>
      <c r="W1143">
        <v>54.259318938661494</v>
      </c>
      <c r="X1143">
        <v>278.15292000000005</v>
      </c>
      <c r="Y1143">
        <v>65.252919999999961</v>
      </c>
      <c r="Z1143">
        <v>23.459369040598226</v>
      </c>
    </row>
    <row r="1144" spans="1:26" x14ac:dyDescent="0.35">
      <c r="A1144">
        <v>1142</v>
      </c>
      <c r="C1144">
        <v>46083</v>
      </c>
      <c r="D1144" t="s">
        <v>473</v>
      </c>
      <c r="E1144" t="s">
        <v>475</v>
      </c>
      <c r="F1144" t="s">
        <v>592</v>
      </c>
      <c r="G1144" t="s">
        <v>106</v>
      </c>
      <c r="H1144" t="s">
        <v>476</v>
      </c>
      <c r="I1144" t="s">
        <v>108</v>
      </c>
      <c r="J1144" t="s">
        <v>109</v>
      </c>
      <c r="K1144" t="s">
        <v>110</v>
      </c>
      <c r="L1144" t="s">
        <v>474</v>
      </c>
      <c r="M1144">
        <v>30</v>
      </c>
      <c r="N1144">
        <v>65</v>
      </c>
      <c r="O1144">
        <v>2</v>
      </c>
      <c r="P1144">
        <v>2</v>
      </c>
      <c r="Q1144">
        <v>66</v>
      </c>
      <c r="R1144">
        <v>0.57620000000000005</v>
      </c>
      <c r="S1144">
        <v>0.80559999999999998</v>
      </c>
      <c r="U1144">
        <v>0.22939999999999994</v>
      </c>
      <c r="V1144">
        <v>236.14309000000011</v>
      </c>
      <c r="W1144">
        <v>50.72421760142548</v>
      </c>
      <c r="X1144">
        <v>278.20855058400008</v>
      </c>
      <c r="Y1144">
        <v>48.80855058400013</v>
      </c>
      <c r="Z1144">
        <v>17.543871488329135</v>
      </c>
    </row>
    <row r="1145" spans="1:26" x14ac:dyDescent="0.35">
      <c r="A1145">
        <v>1143</v>
      </c>
      <c r="C1145">
        <v>46083</v>
      </c>
      <c r="D1145" t="s">
        <v>473</v>
      </c>
      <c r="E1145" t="s">
        <v>479</v>
      </c>
      <c r="F1145" t="s">
        <v>105</v>
      </c>
      <c r="G1145" t="s">
        <v>188</v>
      </c>
      <c r="H1145" t="s">
        <v>189</v>
      </c>
      <c r="I1145" t="s">
        <v>108</v>
      </c>
      <c r="J1145" t="s">
        <v>109</v>
      </c>
      <c r="K1145" t="s">
        <v>110</v>
      </c>
      <c r="L1145" t="s">
        <v>478</v>
      </c>
      <c r="M1145">
        <v>30</v>
      </c>
      <c r="N1145">
        <v>65</v>
      </c>
      <c r="O1145">
        <v>2</v>
      </c>
      <c r="P1145">
        <v>1</v>
      </c>
      <c r="Q1145">
        <v>67</v>
      </c>
      <c r="R1145">
        <v>0.56440000000000001</v>
      </c>
      <c r="S1145">
        <v>0.84350000000000003</v>
      </c>
      <c r="T1145" t="s">
        <v>551</v>
      </c>
      <c r="U1145">
        <v>0.27910000000000001</v>
      </c>
      <c r="V1145">
        <v>212.24463000000003</v>
      </c>
      <c r="W1145">
        <v>43.196692716474786</v>
      </c>
      <c r="X1145">
        <v>361.40854259650007</v>
      </c>
      <c r="Y1145">
        <v>82.308542596500047</v>
      </c>
      <c r="Z1145">
        <v>22.774376611344973</v>
      </c>
    </row>
    <row r="1146" spans="1:26" x14ac:dyDescent="0.35">
      <c r="A1146">
        <v>1144</v>
      </c>
      <c r="C1146">
        <v>46083</v>
      </c>
      <c r="D1146" t="s">
        <v>473</v>
      </c>
      <c r="E1146" t="s">
        <v>479</v>
      </c>
      <c r="F1146" t="s">
        <v>105</v>
      </c>
      <c r="G1146" t="s">
        <v>188</v>
      </c>
      <c r="H1146" t="s">
        <v>189</v>
      </c>
      <c r="I1146" t="s">
        <v>108</v>
      </c>
      <c r="J1146" t="s">
        <v>109</v>
      </c>
      <c r="K1146" t="s">
        <v>110</v>
      </c>
      <c r="L1146" t="s">
        <v>478</v>
      </c>
      <c r="M1146">
        <v>30</v>
      </c>
      <c r="N1146">
        <v>65</v>
      </c>
      <c r="O1146">
        <v>2</v>
      </c>
      <c r="P1146">
        <v>2</v>
      </c>
      <c r="Q1146">
        <v>68</v>
      </c>
      <c r="R1146">
        <v>0.56679999999999997</v>
      </c>
      <c r="S1146">
        <v>0.83289999999999997</v>
      </c>
      <c r="U1146">
        <v>0.2661</v>
      </c>
      <c r="V1146">
        <v>225.04821000000004</v>
      </c>
      <c r="W1146">
        <v>45.820834814810787</v>
      </c>
      <c r="X1146">
        <v>361.26406586550007</v>
      </c>
      <c r="Y1146">
        <v>95.164065865500049</v>
      </c>
      <c r="Z1146">
        <v>26.341968343159262</v>
      </c>
    </row>
    <row r="1147" spans="1:26" x14ac:dyDescent="0.35">
      <c r="A1147">
        <v>1145</v>
      </c>
      <c r="C1147">
        <v>46083</v>
      </c>
      <c r="D1147" t="s">
        <v>120</v>
      </c>
      <c r="E1147" t="s">
        <v>122</v>
      </c>
      <c r="F1147" t="s">
        <v>123</v>
      </c>
      <c r="G1147" t="s">
        <v>545</v>
      </c>
      <c r="H1147" t="s">
        <v>125</v>
      </c>
      <c r="I1147" t="s">
        <v>108</v>
      </c>
      <c r="J1147" t="s">
        <v>109</v>
      </c>
      <c r="K1147" t="s">
        <v>110</v>
      </c>
      <c r="L1147" t="s">
        <v>121</v>
      </c>
      <c r="M1147">
        <v>30</v>
      </c>
      <c r="N1147">
        <v>65</v>
      </c>
      <c r="O1147">
        <v>2</v>
      </c>
      <c r="P1147">
        <v>1</v>
      </c>
      <c r="Q1147">
        <v>69</v>
      </c>
      <c r="R1147">
        <v>0.58260000000000001</v>
      </c>
      <c r="S1147">
        <v>0.85470000000000002</v>
      </c>
      <c r="U1147">
        <v>0.27210000000000001</v>
      </c>
      <c r="V1147">
        <v>196.6810999999999</v>
      </c>
      <c r="W1147">
        <v>41.955851035803263</v>
      </c>
      <c r="X1147">
        <v>356.74241709999995</v>
      </c>
      <c r="Y1147">
        <v>84.642417099999932</v>
      </c>
      <c r="Z1147">
        <v>23.726479679110728</v>
      </c>
    </row>
    <row r="1148" spans="1:26" x14ac:dyDescent="0.35">
      <c r="A1148">
        <v>1146</v>
      </c>
      <c r="C1148">
        <v>46083</v>
      </c>
      <c r="D1148" t="s">
        <v>120</v>
      </c>
      <c r="E1148" t="s">
        <v>122</v>
      </c>
      <c r="F1148" t="s">
        <v>123</v>
      </c>
      <c r="G1148" t="s">
        <v>545</v>
      </c>
      <c r="H1148" t="s">
        <v>125</v>
      </c>
      <c r="I1148" t="s">
        <v>108</v>
      </c>
      <c r="J1148" t="s">
        <v>109</v>
      </c>
      <c r="K1148" t="s">
        <v>110</v>
      </c>
      <c r="L1148" t="s">
        <v>121</v>
      </c>
      <c r="M1148">
        <v>30</v>
      </c>
      <c r="N1148">
        <v>65</v>
      </c>
      <c r="O1148">
        <v>2</v>
      </c>
      <c r="P1148">
        <v>2</v>
      </c>
      <c r="Q1148">
        <v>70</v>
      </c>
      <c r="R1148">
        <v>0.58689999999999998</v>
      </c>
      <c r="S1148">
        <v>0.90349999999999997</v>
      </c>
      <c r="U1148">
        <v>0.31659999999999999</v>
      </c>
      <c r="V1148">
        <v>152.18109999999996</v>
      </c>
      <c r="W1148">
        <v>32.463147511706417</v>
      </c>
      <c r="X1148">
        <v>356.74241709999995</v>
      </c>
      <c r="Y1148">
        <v>40.142417099999989</v>
      </c>
      <c r="Z1148">
        <v>11.252493445080711</v>
      </c>
    </row>
    <row r="1149" spans="1:26" x14ac:dyDescent="0.35">
      <c r="A1149">
        <v>1147</v>
      </c>
      <c r="C1149">
        <v>46083</v>
      </c>
      <c r="D1149">
        <v>0</v>
      </c>
      <c r="E1149" t="s">
        <v>537</v>
      </c>
      <c r="F1149" t="s">
        <v>538</v>
      </c>
      <c r="G1149">
        <v>24</v>
      </c>
      <c r="H1149" t="s">
        <v>537</v>
      </c>
      <c r="I1149">
        <v>0</v>
      </c>
      <c r="J1149">
        <v>0</v>
      </c>
      <c r="K1149">
        <v>0</v>
      </c>
      <c r="L1149" t="s">
        <v>539</v>
      </c>
      <c r="M1149">
        <v>30</v>
      </c>
      <c r="N1149">
        <v>65</v>
      </c>
      <c r="O1149">
        <v>2</v>
      </c>
      <c r="P1149">
        <v>1</v>
      </c>
      <c r="Q1149">
        <v>71</v>
      </c>
    </row>
    <row r="1150" spans="1:26" x14ac:dyDescent="0.35">
      <c r="A1150">
        <v>1148</v>
      </c>
      <c r="C1150">
        <v>46083</v>
      </c>
      <c r="D1150">
        <v>0</v>
      </c>
      <c r="E1150" t="s">
        <v>537</v>
      </c>
      <c r="F1150" t="s">
        <v>538</v>
      </c>
      <c r="G1150">
        <v>24</v>
      </c>
      <c r="H1150" t="s">
        <v>537</v>
      </c>
      <c r="I1150">
        <v>0</v>
      </c>
      <c r="J1150">
        <v>0</v>
      </c>
      <c r="K1150">
        <v>0</v>
      </c>
      <c r="L1150" t="s">
        <v>539</v>
      </c>
      <c r="M1150">
        <v>30</v>
      </c>
      <c r="N1150">
        <v>65</v>
      </c>
      <c r="O1150">
        <v>2</v>
      </c>
      <c r="P1150">
        <v>2</v>
      </c>
      <c r="Q1150">
        <v>72</v>
      </c>
    </row>
    <row r="1151" spans="1:26" x14ac:dyDescent="0.35">
      <c r="A1151">
        <v>1149</v>
      </c>
      <c r="C1151">
        <v>46085</v>
      </c>
      <c r="D1151">
        <v>0</v>
      </c>
      <c r="E1151" t="s">
        <v>537</v>
      </c>
      <c r="F1151" t="s">
        <v>538</v>
      </c>
      <c r="G1151">
        <v>24</v>
      </c>
      <c r="H1151" t="s">
        <v>537</v>
      </c>
      <c r="I1151">
        <v>0</v>
      </c>
      <c r="J1151">
        <v>0</v>
      </c>
      <c r="K1151">
        <v>0</v>
      </c>
      <c r="L1151" t="s">
        <v>539</v>
      </c>
      <c r="M1151">
        <v>30</v>
      </c>
      <c r="N1151">
        <v>71</v>
      </c>
      <c r="O1151">
        <v>3</v>
      </c>
      <c r="P1151">
        <v>1</v>
      </c>
      <c r="Q1151">
        <v>73</v>
      </c>
    </row>
    <row r="1152" spans="1:26" x14ac:dyDescent="0.35">
      <c r="A1152">
        <v>1150</v>
      </c>
      <c r="C1152">
        <v>46085</v>
      </c>
      <c r="D1152">
        <v>0</v>
      </c>
      <c r="E1152" t="s">
        <v>537</v>
      </c>
      <c r="F1152" t="s">
        <v>538</v>
      </c>
      <c r="G1152">
        <v>24</v>
      </c>
      <c r="H1152" t="s">
        <v>537</v>
      </c>
      <c r="I1152">
        <v>0</v>
      </c>
      <c r="J1152">
        <v>0</v>
      </c>
      <c r="K1152">
        <v>0</v>
      </c>
      <c r="L1152" t="s">
        <v>539</v>
      </c>
      <c r="M1152">
        <v>30</v>
      </c>
      <c r="N1152">
        <v>71</v>
      </c>
      <c r="O1152">
        <v>3</v>
      </c>
      <c r="P1152">
        <v>2</v>
      </c>
      <c r="Q1152">
        <v>74</v>
      </c>
    </row>
    <row r="1153" spans="1:26" x14ac:dyDescent="0.35">
      <c r="A1153">
        <v>1151</v>
      </c>
      <c r="C1153">
        <v>46085</v>
      </c>
      <c r="D1153" t="s">
        <v>16</v>
      </c>
      <c r="E1153" t="s">
        <v>385</v>
      </c>
      <c r="F1153" t="s">
        <v>226</v>
      </c>
      <c r="G1153" t="s">
        <v>231</v>
      </c>
      <c r="H1153" t="s">
        <v>232</v>
      </c>
      <c r="I1153" t="s">
        <v>22</v>
      </c>
      <c r="J1153" t="s">
        <v>23</v>
      </c>
      <c r="K1153" t="s">
        <v>215</v>
      </c>
      <c r="L1153" t="s">
        <v>384</v>
      </c>
      <c r="M1153">
        <v>30</v>
      </c>
      <c r="N1153">
        <v>71</v>
      </c>
      <c r="O1153">
        <v>3</v>
      </c>
      <c r="P1153">
        <v>1</v>
      </c>
      <c r="Q1153">
        <v>75</v>
      </c>
      <c r="R1153">
        <v>0.58389999999999997</v>
      </c>
      <c r="S1153">
        <v>0.8488</v>
      </c>
      <c r="U1153">
        <v>0.26490000000000002</v>
      </c>
      <c r="V1153">
        <v>198.11466270807449</v>
      </c>
      <c r="W1153">
        <v>42.787988948199576</v>
      </c>
      <c r="X1153">
        <v>256.79042070120863</v>
      </c>
      <c r="Y1153">
        <v>-8.1095792987914024</v>
      </c>
      <c r="Z1153">
        <v>-3.1580536675187716</v>
      </c>
    </row>
    <row r="1154" spans="1:26" x14ac:dyDescent="0.35">
      <c r="A1154">
        <v>1152</v>
      </c>
      <c r="C1154">
        <v>46085</v>
      </c>
      <c r="D1154" t="s">
        <v>16</v>
      </c>
      <c r="E1154" t="s">
        <v>385</v>
      </c>
      <c r="F1154" t="s">
        <v>226</v>
      </c>
      <c r="G1154" t="s">
        <v>231</v>
      </c>
      <c r="H1154" t="s">
        <v>232</v>
      </c>
      <c r="I1154" t="s">
        <v>22</v>
      </c>
      <c r="J1154" t="s">
        <v>23</v>
      </c>
      <c r="K1154" t="s">
        <v>215</v>
      </c>
      <c r="L1154" t="s">
        <v>384</v>
      </c>
      <c r="M1154">
        <v>30</v>
      </c>
      <c r="N1154">
        <v>71</v>
      </c>
      <c r="O1154">
        <v>3</v>
      </c>
      <c r="P1154">
        <v>2</v>
      </c>
      <c r="Q1154">
        <v>76</v>
      </c>
      <c r="R1154">
        <v>0.56479999999999997</v>
      </c>
      <c r="S1154">
        <v>0.89739999999999998</v>
      </c>
      <c r="U1154">
        <v>0.33260000000000001</v>
      </c>
      <c r="V1154">
        <v>130.4146627080745</v>
      </c>
      <c r="W1154">
        <v>28.16642175980061</v>
      </c>
      <c r="X1154">
        <v>256.79042070120863</v>
      </c>
      <c r="Y1154">
        <v>-75.809579298791391</v>
      </c>
      <c r="Z1154">
        <v>-29.521965457971845</v>
      </c>
    </row>
    <row r="1155" spans="1:26" x14ac:dyDescent="0.35">
      <c r="A1155">
        <v>1153</v>
      </c>
      <c r="C1155">
        <v>46085</v>
      </c>
      <c r="D1155" t="s">
        <v>16</v>
      </c>
      <c r="E1155" t="s">
        <v>389</v>
      </c>
      <c r="F1155" t="s">
        <v>226</v>
      </c>
      <c r="G1155" t="s">
        <v>227</v>
      </c>
      <c r="H1155" t="s">
        <v>228</v>
      </c>
      <c r="I1155" t="s">
        <v>22</v>
      </c>
      <c r="J1155" t="s">
        <v>23</v>
      </c>
      <c r="K1155" t="s">
        <v>215</v>
      </c>
      <c r="L1155" t="s">
        <v>388</v>
      </c>
      <c r="M1155">
        <v>30</v>
      </c>
      <c r="N1155">
        <v>71</v>
      </c>
      <c r="O1155">
        <v>3</v>
      </c>
      <c r="P1155">
        <v>1</v>
      </c>
      <c r="Q1155">
        <v>77</v>
      </c>
      <c r="R1155">
        <v>0.56120000000000003</v>
      </c>
      <c r="S1155">
        <v>0.87709999999999999</v>
      </c>
      <c r="T1155" t="s">
        <v>602</v>
      </c>
      <c r="U1155">
        <v>0.31589999999999996</v>
      </c>
      <c r="V1155">
        <v>147.47775353051236</v>
      </c>
      <c r="W1155">
        <v>31.826679724451058</v>
      </c>
      <c r="X1155">
        <v>244.77166498928028</v>
      </c>
      <c r="Y1155">
        <v>-71.128335010719695</v>
      </c>
      <c r="Z1155">
        <v>-29.059055922112044</v>
      </c>
    </row>
    <row r="1156" spans="1:26" x14ac:dyDescent="0.35">
      <c r="A1156">
        <v>1154</v>
      </c>
      <c r="C1156">
        <v>46085</v>
      </c>
      <c r="D1156" t="s">
        <v>16</v>
      </c>
      <c r="E1156" t="s">
        <v>389</v>
      </c>
      <c r="F1156" t="s">
        <v>226</v>
      </c>
      <c r="G1156" t="s">
        <v>227</v>
      </c>
      <c r="H1156" t="s">
        <v>228</v>
      </c>
      <c r="I1156" t="s">
        <v>22</v>
      </c>
      <c r="J1156" t="s">
        <v>23</v>
      </c>
      <c r="K1156" t="s">
        <v>215</v>
      </c>
      <c r="L1156" t="s">
        <v>388</v>
      </c>
      <c r="M1156">
        <v>30</v>
      </c>
      <c r="N1156">
        <v>71</v>
      </c>
      <c r="O1156">
        <v>3</v>
      </c>
      <c r="P1156">
        <v>2</v>
      </c>
      <c r="Q1156">
        <v>78</v>
      </c>
      <c r="R1156">
        <v>0.54769999999999996</v>
      </c>
      <c r="S1156">
        <v>0.89390000000000003</v>
      </c>
      <c r="U1156">
        <v>0.34620000000000006</v>
      </c>
      <c r="V1156">
        <v>117.0851705627739</v>
      </c>
      <c r="W1156">
        <v>25.272807765580996</v>
      </c>
      <c r="X1156">
        <v>244.72275956170998</v>
      </c>
      <c r="Y1156">
        <v>-101.47724043829007</v>
      </c>
      <c r="Z1156">
        <v>-41.466204704471423</v>
      </c>
    </row>
    <row r="1157" spans="1:26" x14ac:dyDescent="0.35">
      <c r="A1157">
        <v>1155</v>
      </c>
      <c r="C1157">
        <v>46085</v>
      </c>
      <c r="D1157" t="s">
        <v>16</v>
      </c>
      <c r="E1157" t="s">
        <v>391</v>
      </c>
      <c r="F1157" t="s">
        <v>290</v>
      </c>
      <c r="G1157" t="s">
        <v>314</v>
      </c>
      <c r="H1157" t="s">
        <v>315</v>
      </c>
      <c r="I1157" t="s">
        <v>22</v>
      </c>
      <c r="J1157" t="s">
        <v>23</v>
      </c>
      <c r="K1157" t="s">
        <v>215</v>
      </c>
      <c r="L1157" t="s">
        <v>390</v>
      </c>
      <c r="M1157">
        <v>30</v>
      </c>
      <c r="N1157">
        <v>71</v>
      </c>
      <c r="O1157">
        <v>3</v>
      </c>
      <c r="P1157">
        <v>1</v>
      </c>
      <c r="Q1157">
        <v>79</v>
      </c>
      <c r="R1157">
        <v>0.57289999999999996</v>
      </c>
      <c r="S1157">
        <v>0.86399999999999999</v>
      </c>
      <c r="U1157">
        <v>0.29110000000000003</v>
      </c>
      <c r="V1157">
        <v>182.91452999999984</v>
      </c>
      <c r="W1157">
        <v>38.58838040260072</v>
      </c>
      <c r="X1157">
        <v>225.62767805727893</v>
      </c>
      <c r="Y1157">
        <v>-65.472321942721095</v>
      </c>
      <c r="Z1157">
        <v>-29.017859203470586</v>
      </c>
    </row>
    <row r="1158" spans="1:26" x14ac:dyDescent="0.35">
      <c r="A1158">
        <v>1156</v>
      </c>
      <c r="C1158">
        <v>46085</v>
      </c>
      <c r="D1158" t="s">
        <v>16</v>
      </c>
      <c r="E1158" t="s">
        <v>391</v>
      </c>
      <c r="F1158" t="s">
        <v>290</v>
      </c>
      <c r="G1158" t="s">
        <v>314</v>
      </c>
      <c r="H1158" t="s">
        <v>315</v>
      </c>
      <c r="I1158" t="s">
        <v>22</v>
      </c>
      <c r="J1158" t="s">
        <v>23</v>
      </c>
      <c r="K1158" t="s">
        <v>215</v>
      </c>
      <c r="L1158" t="s">
        <v>390</v>
      </c>
      <c r="M1158">
        <v>30</v>
      </c>
      <c r="N1158">
        <v>71</v>
      </c>
      <c r="O1158">
        <v>3</v>
      </c>
      <c r="P1158">
        <v>2</v>
      </c>
      <c r="Q1158">
        <v>80</v>
      </c>
      <c r="R1158">
        <v>0.57950000000000002</v>
      </c>
      <c r="S1158">
        <v>0.8</v>
      </c>
      <c r="U1158">
        <v>0.22050000000000003</v>
      </c>
      <c r="V1158">
        <v>253.60929499999983</v>
      </c>
      <c r="W1158">
        <v>53.491736541465599</v>
      </c>
      <c r="X1158">
        <v>225.67278554989335</v>
      </c>
      <c r="Y1158">
        <v>5.1727855498933195</v>
      </c>
      <c r="Z1158">
        <v>2.2921618737894662</v>
      </c>
    </row>
    <row r="1159" spans="1:26" x14ac:dyDescent="0.35">
      <c r="A1159">
        <v>1157</v>
      </c>
      <c r="C1159">
        <v>46085</v>
      </c>
      <c r="D1159" t="s">
        <v>16</v>
      </c>
      <c r="E1159" t="s">
        <v>393</v>
      </c>
      <c r="F1159" t="s">
        <v>226</v>
      </c>
      <c r="G1159" t="s">
        <v>227</v>
      </c>
      <c r="H1159" t="s">
        <v>228</v>
      </c>
      <c r="I1159" t="s">
        <v>22</v>
      </c>
      <c r="J1159" t="s">
        <v>23</v>
      </c>
      <c r="K1159" t="s">
        <v>215</v>
      </c>
      <c r="L1159" t="s">
        <v>392</v>
      </c>
      <c r="M1159">
        <v>30</v>
      </c>
      <c r="N1159">
        <v>71</v>
      </c>
      <c r="O1159">
        <v>3</v>
      </c>
      <c r="P1159">
        <v>1</v>
      </c>
      <c r="Q1159">
        <v>81</v>
      </c>
      <c r="R1159">
        <v>0.58069999999999999</v>
      </c>
      <c r="S1159">
        <v>0.83909999999999996</v>
      </c>
      <c r="T1159" t="s">
        <v>603</v>
      </c>
      <c r="U1159">
        <v>0.25839999999999996</v>
      </c>
      <c r="V1159">
        <v>209.40642839444916</v>
      </c>
      <c r="W1159">
        <v>44.763478157653708</v>
      </c>
      <c r="X1159">
        <v>237.75983199011779</v>
      </c>
      <c r="Y1159">
        <v>-20.640168009882188</v>
      </c>
      <c r="Z1159">
        <v>-8.6810996782417291</v>
      </c>
    </row>
    <row r="1160" spans="1:26" x14ac:dyDescent="0.35">
      <c r="A1160">
        <v>1158</v>
      </c>
      <c r="C1160">
        <v>46085</v>
      </c>
      <c r="D1160" t="s">
        <v>16</v>
      </c>
      <c r="E1160" t="s">
        <v>393</v>
      </c>
      <c r="F1160" t="s">
        <v>226</v>
      </c>
      <c r="G1160" t="s">
        <v>227</v>
      </c>
      <c r="H1160" t="s">
        <v>228</v>
      </c>
      <c r="I1160" t="s">
        <v>22</v>
      </c>
      <c r="J1160" t="s">
        <v>23</v>
      </c>
      <c r="K1160" t="s">
        <v>215</v>
      </c>
      <c r="L1160" t="s">
        <v>392</v>
      </c>
      <c r="M1160">
        <v>30</v>
      </c>
      <c r="N1160">
        <v>71</v>
      </c>
      <c r="O1160">
        <v>3</v>
      </c>
      <c r="P1160">
        <v>2</v>
      </c>
      <c r="Q1160">
        <v>82</v>
      </c>
      <c r="R1160">
        <v>0.5625</v>
      </c>
      <c r="S1160">
        <v>0.89290000000000003</v>
      </c>
      <c r="U1160">
        <v>0.33040000000000003</v>
      </c>
      <c r="V1160">
        <v>137.96779610852252</v>
      </c>
      <c r="W1160">
        <v>29.457148261439155</v>
      </c>
      <c r="X1160">
        <v>238.04514378850595</v>
      </c>
      <c r="Y1160">
        <v>-92.354856211494081</v>
      </c>
      <c r="Z1160">
        <v>-38.797202388446053</v>
      </c>
    </row>
    <row r="1161" spans="1:26" x14ac:dyDescent="0.35">
      <c r="A1161">
        <v>1159</v>
      </c>
      <c r="C1161">
        <v>46085</v>
      </c>
      <c r="D1161" t="s">
        <v>16</v>
      </c>
      <c r="E1161" t="s">
        <v>395</v>
      </c>
      <c r="F1161" t="s">
        <v>240</v>
      </c>
      <c r="G1161" t="s">
        <v>396</v>
      </c>
      <c r="H1161" t="s">
        <v>397</v>
      </c>
      <c r="I1161" t="s">
        <v>22</v>
      </c>
      <c r="J1161" t="s">
        <v>23</v>
      </c>
      <c r="K1161" t="s">
        <v>215</v>
      </c>
      <c r="L1161" t="s">
        <v>394</v>
      </c>
      <c r="M1161">
        <v>30</v>
      </c>
      <c r="N1161">
        <v>71</v>
      </c>
      <c r="O1161">
        <v>3</v>
      </c>
      <c r="P1161">
        <v>1</v>
      </c>
      <c r="Q1161">
        <v>83</v>
      </c>
      <c r="R1161">
        <v>0.57050000000000001</v>
      </c>
      <c r="S1161">
        <v>0.92179999999999995</v>
      </c>
      <c r="U1161">
        <v>0.35129999999999995</v>
      </c>
      <c r="V1161">
        <v>122.21285362117982</v>
      </c>
      <c r="W1161">
        <v>25.809828114814525</v>
      </c>
      <c r="X1161">
        <v>288.15508910185565</v>
      </c>
      <c r="Y1161">
        <v>-63.144910898144303</v>
      </c>
      <c r="Z1161">
        <v>-21.913515771996014</v>
      </c>
    </row>
    <row r="1162" spans="1:26" x14ac:dyDescent="0.35">
      <c r="A1162">
        <v>1160</v>
      </c>
      <c r="C1162">
        <v>46085</v>
      </c>
      <c r="D1162" t="s">
        <v>16</v>
      </c>
      <c r="E1162" t="s">
        <v>395</v>
      </c>
      <c r="F1162" t="s">
        <v>240</v>
      </c>
      <c r="G1162" t="s">
        <v>396</v>
      </c>
      <c r="H1162" t="s">
        <v>397</v>
      </c>
      <c r="I1162" t="s">
        <v>22</v>
      </c>
      <c r="J1162" t="s">
        <v>23</v>
      </c>
      <c r="K1162" t="s">
        <v>215</v>
      </c>
      <c r="L1162" t="s">
        <v>394</v>
      </c>
      <c r="M1162">
        <v>30</v>
      </c>
      <c r="N1162">
        <v>71</v>
      </c>
      <c r="O1162">
        <v>3</v>
      </c>
      <c r="P1162">
        <v>2</v>
      </c>
      <c r="Q1162">
        <v>84</v>
      </c>
      <c r="R1162">
        <v>0.57689999999999997</v>
      </c>
      <c r="S1162">
        <v>0.95030000000000003</v>
      </c>
      <c r="U1162">
        <v>0.37340000000000007</v>
      </c>
      <c r="V1162">
        <v>99.828973013493226</v>
      </c>
      <c r="W1162">
        <v>21.095279179080773</v>
      </c>
      <c r="X1162">
        <v>287.98233425227426</v>
      </c>
      <c r="Y1162">
        <v>-85.417665747725835</v>
      </c>
      <c r="Z1162">
        <v>-29.660731089463095</v>
      </c>
    </row>
    <row r="1163" spans="1:26" x14ac:dyDescent="0.35">
      <c r="A1163">
        <v>1161</v>
      </c>
      <c r="C1163">
        <v>46085</v>
      </c>
      <c r="D1163" t="s">
        <v>16</v>
      </c>
      <c r="E1163" t="s">
        <v>399</v>
      </c>
      <c r="F1163" t="s">
        <v>240</v>
      </c>
      <c r="G1163" t="s">
        <v>400</v>
      </c>
      <c r="H1163" t="s">
        <v>401</v>
      </c>
      <c r="I1163" t="s">
        <v>22</v>
      </c>
      <c r="J1163" t="s">
        <v>23</v>
      </c>
      <c r="K1163" t="s">
        <v>215</v>
      </c>
      <c r="L1163" t="s">
        <v>398</v>
      </c>
      <c r="M1163">
        <v>30</v>
      </c>
      <c r="N1163">
        <v>71</v>
      </c>
      <c r="O1163">
        <v>3</v>
      </c>
      <c r="P1163">
        <v>1</v>
      </c>
      <c r="Q1163">
        <v>85</v>
      </c>
      <c r="R1163">
        <v>0.55610000000000004</v>
      </c>
      <c r="S1163">
        <v>0.95930000000000004</v>
      </c>
      <c r="U1163">
        <v>0.4032</v>
      </c>
      <c r="V1163">
        <v>74.37158397910207</v>
      </c>
      <c r="W1163">
        <v>15.572866241211806</v>
      </c>
      <c r="X1163">
        <v>268.76534204861741</v>
      </c>
      <c r="Y1163">
        <v>-134.43465795138258</v>
      </c>
      <c r="Z1163">
        <v>-50.019342868644301</v>
      </c>
    </row>
    <row r="1164" spans="1:26" x14ac:dyDescent="0.35">
      <c r="A1164">
        <v>1162</v>
      </c>
      <c r="C1164">
        <v>46085</v>
      </c>
      <c r="D1164" t="s">
        <v>16</v>
      </c>
      <c r="E1164" t="s">
        <v>399</v>
      </c>
      <c r="F1164" t="s">
        <v>240</v>
      </c>
      <c r="G1164" t="s">
        <v>400</v>
      </c>
      <c r="H1164" t="s">
        <v>401</v>
      </c>
      <c r="I1164" t="s">
        <v>22</v>
      </c>
      <c r="J1164" t="s">
        <v>23</v>
      </c>
      <c r="K1164" t="s">
        <v>215</v>
      </c>
      <c r="L1164" t="s">
        <v>398</v>
      </c>
      <c r="M1164">
        <v>30</v>
      </c>
      <c r="N1164">
        <v>71</v>
      </c>
      <c r="O1164">
        <v>3</v>
      </c>
      <c r="P1164">
        <v>2</v>
      </c>
      <c r="Q1164">
        <v>86</v>
      </c>
      <c r="R1164">
        <v>0.56950000000000001</v>
      </c>
      <c r="S1164">
        <v>0.98860000000000003</v>
      </c>
      <c r="U1164">
        <v>0.41910000000000003</v>
      </c>
      <c r="V1164">
        <v>58.280669893961544</v>
      </c>
      <c r="W1164">
        <v>12.208426852915341</v>
      </c>
      <c r="X1164">
        <v>268.65790037680114</v>
      </c>
      <c r="Y1164">
        <v>-150.44209962319889</v>
      </c>
      <c r="Z1164">
        <v>-55.997645858245413</v>
      </c>
    </row>
    <row r="1165" spans="1:26" x14ac:dyDescent="0.35">
      <c r="A1165">
        <v>1163</v>
      </c>
      <c r="C1165">
        <v>46085</v>
      </c>
      <c r="D1165" t="s">
        <v>16</v>
      </c>
      <c r="E1165" t="s">
        <v>403</v>
      </c>
      <c r="F1165" t="s">
        <v>212</v>
      </c>
      <c r="G1165" t="s">
        <v>404</v>
      </c>
      <c r="H1165" t="s">
        <v>405</v>
      </c>
      <c r="I1165" t="s">
        <v>22</v>
      </c>
      <c r="J1165" t="s">
        <v>23</v>
      </c>
      <c r="K1165" t="s">
        <v>215</v>
      </c>
      <c r="L1165" t="s">
        <v>402</v>
      </c>
      <c r="M1165">
        <v>30</v>
      </c>
      <c r="N1165">
        <v>71</v>
      </c>
      <c r="O1165">
        <v>3</v>
      </c>
      <c r="P1165">
        <v>1</v>
      </c>
      <c r="Q1165">
        <v>87</v>
      </c>
      <c r="R1165">
        <v>0.59160000000000001</v>
      </c>
      <c r="S1165">
        <v>0.9708</v>
      </c>
      <c r="U1165">
        <v>0.37919999999999998</v>
      </c>
      <c r="V1165">
        <v>93.150000000000205</v>
      </c>
      <c r="W1165">
        <v>19.720546205144526</v>
      </c>
      <c r="X1165">
        <v>288.18083715922057</v>
      </c>
      <c r="Y1165">
        <v>-91.019162840779416</v>
      </c>
      <c r="Z1165">
        <v>-31.584044150198341</v>
      </c>
    </row>
    <row r="1166" spans="1:26" x14ac:dyDescent="0.35">
      <c r="A1166">
        <v>1164</v>
      </c>
      <c r="C1166">
        <v>46085</v>
      </c>
      <c r="D1166" t="s">
        <v>16</v>
      </c>
      <c r="E1166" t="s">
        <v>403</v>
      </c>
      <c r="F1166" t="s">
        <v>212</v>
      </c>
      <c r="G1166" t="s">
        <v>404</v>
      </c>
      <c r="H1166" t="s">
        <v>405</v>
      </c>
      <c r="I1166" t="s">
        <v>22</v>
      </c>
      <c r="J1166" t="s">
        <v>23</v>
      </c>
      <c r="K1166" t="s">
        <v>215</v>
      </c>
      <c r="L1166" t="s">
        <v>402</v>
      </c>
      <c r="M1166">
        <v>30</v>
      </c>
      <c r="N1166">
        <v>71</v>
      </c>
      <c r="O1166">
        <v>3</v>
      </c>
      <c r="P1166">
        <v>2</v>
      </c>
      <c r="Q1166">
        <v>88</v>
      </c>
      <c r="R1166">
        <v>0.53559999999999997</v>
      </c>
      <c r="S1166">
        <v>0.90629999999999999</v>
      </c>
      <c r="U1166">
        <v>0.37070000000000003</v>
      </c>
      <c r="V1166">
        <v>101.83890221955625</v>
      </c>
      <c r="W1166">
        <v>21.55143243047505</v>
      </c>
      <c r="X1166">
        <v>288.29608644422729</v>
      </c>
      <c r="Y1166">
        <v>-82.40391355577276</v>
      </c>
      <c r="Z1166">
        <v>-28.583084346417003</v>
      </c>
    </row>
    <row r="1167" spans="1:26" x14ac:dyDescent="0.35">
      <c r="A1167">
        <v>1165</v>
      </c>
      <c r="C1167">
        <v>46085</v>
      </c>
      <c r="D1167" t="s">
        <v>16</v>
      </c>
      <c r="E1167" t="s">
        <v>407</v>
      </c>
      <c r="F1167" t="s">
        <v>226</v>
      </c>
      <c r="G1167" t="s">
        <v>231</v>
      </c>
      <c r="H1167" t="s">
        <v>232</v>
      </c>
      <c r="I1167" t="s">
        <v>22</v>
      </c>
      <c r="J1167" t="s">
        <v>23</v>
      </c>
      <c r="K1167" t="s">
        <v>215</v>
      </c>
      <c r="L1167" t="s">
        <v>406</v>
      </c>
      <c r="M1167">
        <v>30</v>
      </c>
      <c r="N1167">
        <v>71</v>
      </c>
      <c r="O1167">
        <v>3</v>
      </c>
      <c r="P1167">
        <v>1</v>
      </c>
      <c r="Q1167">
        <v>89</v>
      </c>
      <c r="R1167">
        <v>0.58389999999999997</v>
      </c>
      <c r="S1167">
        <v>0.90820000000000001</v>
      </c>
      <c r="U1167">
        <v>0.32430000000000003</v>
      </c>
      <c r="V1167">
        <v>149.32632433783147</v>
      </c>
      <c r="W1167">
        <v>31.528299138904902</v>
      </c>
      <c r="X1167">
        <v>242.77259002657411</v>
      </c>
      <c r="Y1167">
        <v>-81.527409973425904</v>
      </c>
      <c r="Z1167">
        <v>-33.581801785984915</v>
      </c>
    </row>
    <row r="1168" spans="1:26" x14ac:dyDescent="0.35">
      <c r="A1168">
        <v>1166</v>
      </c>
      <c r="C1168">
        <v>46085</v>
      </c>
      <c r="D1168" t="s">
        <v>16</v>
      </c>
      <c r="E1168" t="s">
        <v>407</v>
      </c>
      <c r="F1168" t="s">
        <v>226</v>
      </c>
      <c r="G1168" t="s">
        <v>231</v>
      </c>
      <c r="H1168" t="s">
        <v>232</v>
      </c>
      <c r="I1168" t="s">
        <v>22</v>
      </c>
      <c r="J1168" t="s">
        <v>23</v>
      </c>
      <c r="K1168" t="s">
        <v>215</v>
      </c>
      <c r="L1168" t="s">
        <v>406</v>
      </c>
      <c r="M1168">
        <v>30</v>
      </c>
      <c r="N1168">
        <v>71</v>
      </c>
      <c r="O1168">
        <v>3</v>
      </c>
      <c r="P1168">
        <v>2</v>
      </c>
      <c r="Q1168">
        <v>90</v>
      </c>
      <c r="R1168">
        <v>0.55820000000000003</v>
      </c>
      <c r="S1168">
        <v>0.8599</v>
      </c>
      <c r="U1168">
        <v>0.30169999999999997</v>
      </c>
      <c r="V1168">
        <v>171.92632433783149</v>
      </c>
      <c r="W1168">
        <v>36.299993370976289</v>
      </c>
      <c r="X1168">
        <v>242.77259002657411</v>
      </c>
      <c r="Y1168">
        <v>-58.927409973425881</v>
      </c>
      <c r="Z1168">
        <v>-24.272678380609456</v>
      </c>
    </row>
    <row r="1169" spans="1:26" x14ac:dyDescent="0.35">
      <c r="A1169">
        <v>1167</v>
      </c>
      <c r="C1169">
        <v>46085</v>
      </c>
      <c r="D1169" t="s">
        <v>16</v>
      </c>
      <c r="E1169" t="s">
        <v>409</v>
      </c>
      <c r="F1169" t="s">
        <v>290</v>
      </c>
      <c r="G1169" t="s">
        <v>314</v>
      </c>
      <c r="H1169" t="s">
        <v>315</v>
      </c>
      <c r="I1169" t="s">
        <v>22</v>
      </c>
      <c r="J1169" t="s">
        <v>23</v>
      </c>
      <c r="K1169" t="s">
        <v>215</v>
      </c>
      <c r="L1169" t="s">
        <v>408</v>
      </c>
      <c r="M1169">
        <v>30</v>
      </c>
      <c r="N1169">
        <v>71</v>
      </c>
      <c r="O1169">
        <v>3</v>
      </c>
      <c r="P1169">
        <v>1</v>
      </c>
      <c r="Q1169">
        <v>91</v>
      </c>
      <c r="R1169">
        <v>0.54669999999999996</v>
      </c>
      <c r="S1169">
        <v>0.83160000000000001</v>
      </c>
      <c r="U1169">
        <v>0.28490000000000004</v>
      </c>
      <c r="V1169">
        <v>185.37352544236688</v>
      </c>
      <c r="W1169">
        <v>39.418235433941057</v>
      </c>
      <c r="X1169">
        <v>212.67168269830566</v>
      </c>
      <c r="Y1169">
        <v>-72.228317301694375</v>
      </c>
      <c r="Z1169">
        <v>-33.962357557567685</v>
      </c>
    </row>
    <row r="1170" spans="1:26" x14ac:dyDescent="0.35">
      <c r="A1170">
        <v>1168</v>
      </c>
      <c r="C1170">
        <v>46085</v>
      </c>
      <c r="D1170" t="s">
        <v>16</v>
      </c>
      <c r="E1170" t="s">
        <v>409</v>
      </c>
      <c r="F1170" t="s">
        <v>290</v>
      </c>
      <c r="G1170" t="s">
        <v>314</v>
      </c>
      <c r="H1170" t="s">
        <v>315</v>
      </c>
      <c r="I1170" t="s">
        <v>22</v>
      </c>
      <c r="J1170" t="s">
        <v>23</v>
      </c>
      <c r="K1170" t="s">
        <v>215</v>
      </c>
      <c r="L1170" t="s">
        <v>408</v>
      </c>
      <c r="M1170">
        <v>30</v>
      </c>
      <c r="N1170">
        <v>71</v>
      </c>
      <c r="O1170">
        <v>3</v>
      </c>
      <c r="P1170">
        <v>2</v>
      </c>
      <c r="Q1170">
        <v>92</v>
      </c>
      <c r="R1170">
        <v>0.56659999999999999</v>
      </c>
      <c r="S1170">
        <v>0.86009999999999998</v>
      </c>
      <c r="U1170">
        <v>0.29349999999999998</v>
      </c>
      <c r="V1170">
        <v>176.58549124586858</v>
      </c>
      <c r="W1170">
        <v>37.564548265011041</v>
      </c>
      <c r="X1170">
        <v>212.58664803909002</v>
      </c>
      <c r="Y1170">
        <v>-80.913351960909978</v>
      </c>
      <c r="Z1170">
        <v>-38.06135178632281</v>
      </c>
    </row>
    <row r="1171" spans="1:26" x14ac:dyDescent="0.35">
      <c r="A1171">
        <v>1169</v>
      </c>
      <c r="C1171">
        <v>46085</v>
      </c>
      <c r="D1171" t="s">
        <v>16</v>
      </c>
      <c r="E1171" t="s">
        <v>411</v>
      </c>
      <c r="F1171" t="s">
        <v>264</v>
      </c>
      <c r="G1171" t="s">
        <v>412</v>
      </c>
      <c r="H1171" t="s">
        <v>413</v>
      </c>
      <c r="I1171" t="s">
        <v>22</v>
      </c>
      <c r="J1171" t="s">
        <v>23</v>
      </c>
      <c r="K1171" t="s">
        <v>215</v>
      </c>
      <c r="L1171" t="s">
        <v>410</v>
      </c>
      <c r="M1171">
        <v>30</v>
      </c>
      <c r="N1171">
        <v>71</v>
      </c>
      <c r="O1171">
        <v>3</v>
      </c>
      <c r="P1171">
        <v>1</v>
      </c>
      <c r="Q1171">
        <v>93</v>
      </c>
      <c r="R1171">
        <v>0.57299999999999995</v>
      </c>
      <c r="S1171">
        <v>0.82940000000000003</v>
      </c>
      <c r="U1171">
        <v>0.25640000000000007</v>
      </c>
      <c r="V1171">
        <v>219.26392910299035</v>
      </c>
      <c r="W1171">
        <v>46.096396150214588</v>
      </c>
      <c r="X1171">
        <v>246.80489902790396</v>
      </c>
      <c r="Y1171">
        <v>-9.5951009720961338</v>
      </c>
      <c r="Z1171">
        <v>-3.8877271115316492</v>
      </c>
    </row>
    <row r="1172" spans="1:26" x14ac:dyDescent="0.35">
      <c r="A1172">
        <v>1170</v>
      </c>
      <c r="C1172">
        <v>46085</v>
      </c>
      <c r="D1172" t="s">
        <v>16</v>
      </c>
      <c r="E1172" t="s">
        <v>411</v>
      </c>
      <c r="F1172" t="s">
        <v>264</v>
      </c>
      <c r="G1172" t="s">
        <v>412</v>
      </c>
      <c r="H1172" t="s">
        <v>413</v>
      </c>
      <c r="I1172" t="s">
        <v>22</v>
      </c>
      <c r="J1172" t="s">
        <v>23</v>
      </c>
      <c r="K1172" t="s">
        <v>215</v>
      </c>
      <c r="L1172" t="s">
        <v>410</v>
      </c>
      <c r="M1172">
        <v>30</v>
      </c>
      <c r="N1172">
        <v>71</v>
      </c>
      <c r="O1172">
        <v>3</v>
      </c>
      <c r="P1172">
        <v>2</v>
      </c>
      <c r="Q1172">
        <v>94</v>
      </c>
      <c r="R1172">
        <v>0.5544</v>
      </c>
      <c r="S1172">
        <v>0.85719999999999996</v>
      </c>
      <c r="U1172">
        <v>0.30279999999999996</v>
      </c>
      <c r="V1172">
        <v>172.76885336261404</v>
      </c>
      <c r="W1172">
        <v>36.328883218699865</v>
      </c>
      <c r="X1172">
        <v>246.75556764692689</v>
      </c>
      <c r="Y1172">
        <v>-56.044432353073063</v>
      </c>
      <c r="Z1172">
        <v>-22.71253000996715</v>
      </c>
    </row>
    <row r="1173" spans="1:26" x14ac:dyDescent="0.35">
      <c r="A1173">
        <v>1171</v>
      </c>
      <c r="C1173">
        <v>46085</v>
      </c>
      <c r="D1173" t="s">
        <v>16</v>
      </c>
      <c r="E1173" t="s">
        <v>415</v>
      </c>
      <c r="F1173" t="s">
        <v>235</v>
      </c>
      <c r="G1173" t="s">
        <v>274</v>
      </c>
      <c r="H1173" t="s">
        <v>275</v>
      </c>
      <c r="I1173" t="s">
        <v>22</v>
      </c>
      <c r="J1173" t="s">
        <v>23</v>
      </c>
      <c r="K1173" t="s">
        <v>215</v>
      </c>
      <c r="L1173" t="s">
        <v>414</v>
      </c>
      <c r="M1173">
        <v>30</v>
      </c>
      <c r="N1173">
        <v>71</v>
      </c>
      <c r="O1173">
        <v>3</v>
      </c>
      <c r="P1173">
        <v>1</v>
      </c>
      <c r="Q1173">
        <v>95</v>
      </c>
      <c r="R1173">
        <v>0.57720000000000005</v>
      </c>
      <c r="S1173">
        <v>0.87819999999999998</v>
      </c>
      <c r="U1173">
        <v>0.30099999999999993</v>
      </c>
      <c r="V1173">
        <v>172.72367013298629</v>
      </c>
      <c r="W1173">
        <v>36.46084859650319</v>
      </c>
      <c r="X1173">
        <v>220.97992055408838</v>
      </c>
      <c r="Y1173">
        <v>-80.020079445911563</v>
      </c>
      <c r="Z1173">
        <v>-36.211470818374814</v>
      </c>
    </row>
    <row r="1174" spans="1:26" x14ac:dyDescent="0.35">
      <c r="A1174">
        <v>1172</v>
      </c>
      <c r="C1174">
        <v>46085</v>
      </c>
      <c r="D1174" t="s">
        <v>16</v>
      </c>
      <c r="E1174" t="s">
        <v>415</v>
      </c>
      <c r="F1174" t="s">
        <v>235</v>
      </c>
      <c r="G1174" t="s">
        <v>274</v>
      </c>
      <c r="H1174" t="s">
        <v>275</v>
      </c>
      <c r="I1174" t="s">
        <v>22</v>
      </c>
      <c r="J1174" t="s">
        <v>23</v>
      </c>
      <c r="K1174" t="s">
        <v>215</v>
      </c>
      <c r="L1174" t="s">
        <v>414</v>
      </c>
      <c r="M1174">
        <v>30</v>
      </c>
      <c r="N1174">
        <v>71</v>
      </c>
      <c r="O1174">
        <v>3</v>
      </c>
      <c r="P1174">
        <v>2</v>
      </c>
      <c r="Q1174">
        <v>96</v>
      </c>
      <c r="R1174">
        <v>0.54379999999999995</v>
      </c>
      <c r="S1174">
        <v>0.83160000000000001</v>
      </c>
      <c r="U1174">
        <v>0.28780000000000006</v>
      </c>
      <c r="V1174">
        <v>186.20784749959267</v>
      </c>
      <c r="W1174">
        <v>39.283705635222141</v>
      </c>
      <c r="X1174">
        <v>221.11248199413288</v>
      </c>
      <c r="Y1174">
        <v>-66.68751800586719</v>
      </c>
      <c r="Z1174">
        <v>-30.159997031572701</v>
      </c>
    </row>
    <row r="1175" spans="1:26" x14ac:dyDescent="0.35">
      <c r="A1175">
        <v>1173</v>
      </c>
      <c r="C1175">
        <v>46085</v>
      </c>
      <c r="D1175" t="s">
        <v>16</v>
      </c>
      <c r="E1175" t="s">
        <v>417</v>
      </c>
      <c r="F1175" t="s">
        <v>290</v>
      </c>
      <c r="G1175" t="s">
        <v>291</v>
      </c>
      <c r="H1175" t="s">
        <v>292</v>
      </c>
      <c r="I1175" t="s">
        <v>22</v>
      </c>
      <c r="J1175" t="s">
        <v>23</v>
      </c>
      <c r="K1175" t="s">
        <v>215</v>
      </c>
      <c r="L1175" t="s">
        <v>416</v>
      </c>
      <c r="M1175">
        <v>30</v>
      </c>
      <c r="N1175">
        <v>71</v>
      </c>
      <c r="O1175">
        <v>3</v>
      </c>
      <c r="P1175">
        <v>1</v>
      </c>
      <c r="Q1175">
        <v>97</v>
      </c>
      <c r="R1175">
        <v>0.56310000000000004</v>
      </c>
      <c r="S1175">
        <v>0.83699999999999997</v>
      </c>
      <c r="U1175">
        <v>0.27389999999999992</v>
      </c>
      <c r="V1175">
        <v>193.6912043978009</v>
      </c>
      <c r="W1175">
        <v>41.423192433067904</v>
      </c>
      <c r="X1175">
        <v>195.7918093971237</v>
      </c>
      <c r="Y1175">
        <v>-78.108190602876221</v>
      </c>
      <c r="Z1175">
        <v>-39.893492400619124</v>
      </c>
    </row>
    <row r="1176" spans="1:26" x14ac:dyDescent="0.35">
      <c r="A1176">
        <v>1174</v>
      </c>
      <c r="C1176">
        <v>46085</v>
      </c>
      <c r="D1176" t="s">
        <v>16</v>
      </c>
      <c r="E1176" t="s">
        <v>417</v>
      </c>
      <c r="F1176" t="s">
        <v>290</v>
      </c>
      <c r="G1176" t="s">
        <v>291</v>
      </c>
      <c r="H1176" t="s">
        <v>292</v>
      </c>
      <c r="I1176" t="s">
        <v>22</v>
      </c>
      <c r="J1176" t="s">
        <v>23</v>
      </c>
      <c r="K1176" t="s">
        <v>215</v>
      </c>
      <c r="L1176" t="s">
        <v>416</v>
      </c>
      <c r="M1176">
        <v>30</v>
      </c>
      <c r="N1176">
        <v>71</v>
      </c>
      <c r="O1176">
        <v>3</v>
      </c>
      <c r="P1176">
        <v>2</v>
      </c>
      <c r="Q1176">
        <v>98</v>
      </c>
      <c r="R1176">
        <v>0.57479999999999998</v>
      </c>
      <c r="S1176">
        <v>0.84509999999999996</v>
      </c>
      <c r="T1176" t="s">
        <v>604</v>
      </c>
      <c r="U1176">
        <v>0.27029999999999998</v>
      </c>
      <c r="V1176">
        <v>197.66527736131906</v>
      </c>
      <c r="W1176">
        <v>42.2393042654531</v>
      </c>
      <c r="X1176">
        <v>195.94844284464139</v>
      </c>
      <c r="Y1176">
        <v>-74.35155715535862</v>
      </c>
      <c r="Z1176">
        <v>-37.944449098944148</v>
      </c>
    </row>
    <row r="1177" spans="1:26" x14ac:dyDescent="0.35">
      <c r="A1177">
        <v>1175</v>
      </c>
      <c r="C1177">
        <v>46085</v>
      </c>
      <c r="D1177" t="s">
        <v>16</v>
      </c>
      <c r="E1177" t="s">
        <v>419</v>
      </c>
      <c r="F1177" t="s">
        <v>264</v>
      </c>
      <c r="G1177" t="s">
        <v>329</v>
      </c>
      <c r="H1177" t="s">
        <v>330</v>
      </c>
      <c r="I1177" t="s">
        <v>22</v>
      </c>
      <c r="J1177" t="s">
        <v>23</v>
      </c>
      <c r="K1177" t="s">
        <v>215</v>
      </c>
      <c r="L1177" t="s">
        <v>418</v>
      </c>
      <c r="M1177">
        <v>30</v>
      </c>
      <c r="N1177">
        <v>71</v>
      </c>
      <c r="O1177">
        <v>3</v>
      </c>
      <c r="P1177">
        <v>1</v>
      </c>
      <c r="Q1177">
        <v>99</v>
      </c>
      <c r="R1177">
        <v>0.57020000000000004</v>
      </c>
      <c r="S1177">
        <v>0.89249999999999996</v>
      </c>
      <c r="U1177">
        <v>0.32229999999999992</v>
      </c>
      <c r="V1177">
        <v>149.3584971690189</v>
      </c>
      <c r="W1177">
        <v>31.666660956072267</v>
      </c>
      <c r="X1177">
        <v>273.85295164450616</v>
      </c>
      <c r="Y1177">
        <v>-48.447048355493735</v>
      </c>
      <c r="Z1177">
        <v>-17.690898733997866</v>
      </c>
    </row>
    <row r="1178" spans="1:26" x14ac:dyDescent="0.35">
      <c r="A1178">
        <v>1176</v>
      </c>
      <c r="C1178">
        <v>46085</v>
      </c>
      <c r="D1178" t="s">
        <v>16</v>
      </c>
      <c r="E1178" t="s">
        <v>419</v>
      </c>
      <c r="F1178" t="s">
        <v>264</v>
      </c>
      <c r="G1178" t="s">
        <v>329</v>
      </c>
      <c r="H1178" t="s">
        <v>330</v>
      </c>
      <c r="I1178" t="s">
        <v>22</v>
      </c>
      <c r="J1178" t="s">
        <v>23</v>
      </c>
      <c r="K1178" t="s">
        <v>215</v>
      </c>
      <c r="L1178" t="s">
        <v>418</v>
      </c>
      <c r="M1178">
        <v>30</v>
      </c>
      <c r="N1178">
        <v>71</v>
      </c>
      <c r="O1178">
        <v>3</v>
      </c>
      <c r="P1178">
        <v>2</v>
      </c>
      <c r="Q1178">
        <v>100</v>
      </c>
      <c r="R1178">
        <v>0.5736</v>
      </c>
      <c r="S1178">
        <v>0.90710000000000002</v>
      </c>
      <c r="U1178">
        <v>0.33350000000000002</v>
      </c>
      <c r="V1178">
        <v>138.34716056788642</v>
      </c>
      <c r="W1178">
        <v>29.320333389604432</v>
      </c>
      <c r="X1178">
        <v>273.96249282516396</v>
      </c>
      <c r="Y1178">
        <v>-59.537507174836037</v>
      </c>
      <c r="Z1178">
        <v>-21.731992055142886</v>
      </c>
    </row>
    <row r="1179" spans="1:26" x14ac:dyDescent="0.35">
      <c r="A1179">
        <v>1177</v>
      </c>
      <c r="C1179">
        <v>46085</v>
      </c>
      <c r="D1179" t="s">
        <v>16</v>
      </c>
      <c r="E1179" t="s">
        <v>421</v>
      </c>
      <c r="F1179" t="s">
        <v>264</v>
      </c>
      <c r="G1179" t="s">
        <v>265</v>
      </c>
      <c r="H1179" t="s">
        <v>266</v>
      </c>
      <c r="I1179" t="s">
        <v>22</v>
      </c>
      <c r="J1179" t="s">
        <v>23</v>
      </c>
      <c r="K1179" t="s">
        <v>215</v>
      </c>
      <c r="L1179" t="s">
        <v>420</v>
      </c>
      <c r="M1179">
        <v>30</v>
      </c>
      <c r="N1179">
        <v>71</v>
      </c>
      <c r="O1179">
        <v>3</v>
      </c>
      <c r="P1179">
        <v>1</v>
      </c>
      <c r="Q1179">
        <v>101</v>
      </c>
      <c r="R1179">
        <v>0.57669999999999999</v>
      </c>
      <c r="S1179">
        <v>0.92869999999999997</v>
      </c>
      <c r="U1179">
        <v>0.35199999999999998</v>
      </c>
      <c r="V1179">
        <v>128.61709316273499</v>
      </c>
      <c r="W1179">
        <v>26.760823739405744</v>
      </c>
      <c r="X1179">
        <v>295.51653539531077</v>
      </c>
      <c r="Y1179">
        <v>-56.483464604689232</v>
      </c>
      <c r="Z1179">
        <v>-19.113470090305313</v>
      </c>
    </row>
    <row r="1180" spans="1:26" x14ac:dyDescent="0.35">
      <c r="A1180">
        <v>1178</v>
      </c>
      <c r="C1180">
        <v>46085</v>
      </c>
      <c r="D1180" t="s">
        <v>16</v>
      </c>
      <c r="E1180" t="s">
        <v>421</v>
      </c>
      <c r="F1180" t="s">
        <v>264</v>
      </c>
      <c r="G1180" t="s">
        <v>265</v>
      </c>
      <c r="H1180" t="s">
        <v>266</v>
      </c>
      <c r="I1180" t="s">
        <v>22</v>
      </c>
      <c r="J1180" t="s">
        <v>23</v>
      </c>
      <c r="K1180" t="s">
        <v>215</v>
      </c>
      <c r="L1180" t="s">
        <v>420</v>
      </c>
      <c r="M1180">
        <v>30</v>
      </c>
      <c r="N1180">
        <v>71</v>
      </c>
      <c r="O1180">
        <v>3</v>
      </c>
      <c r="P1180">
        <v>2</v>
      </c>
      <c r="Q1180">
        <v>102</v>
      </c>
      <c r="R1180">
        <v>0.55179999999999996</v>
      </c>
      <c r="S1180">
        <v>0.91990000000000005</v>
      </c>
      <c r="U1180">
        <v>0.36810000000000009</v>
      </c>
      <c r="V1180">
        <v>112.51709316273491</v>
      </c>
      <c r="W1180">
        <v>23.410963688850135</v>
      </c>
      <c r="X1180">
        <v>295.51653539531077</v>
      </c>
      <c r="Y1180">
        <v>-72.583464604689311</v>
      </c>
      <c r="Z1180">
        <v>-24.561557784776689</v>
      </c>
    </row>
    <row r="1181" spans="1:26" x14ac:dyDescent="0.35">
      <c r="A1181">
        <v>1179</v>
      </c>
      <c r="C1181">
        <v>46085</v>
      </c>
      <c r="D1181" t="s">
        <v>16</v>
      </c>
      <c r="E1181" t="s">
        <v>423</v>
      </c>
      <c r="F1181" t="s">
        <v>212</v>
      </c>
      <c r="G1181" t="s">
        <v>424</v>
      </c>
      <c r="H1181" t="s">
        <v>425</v>
      </c>
      <c r="I1181" t="s">
        <v>22</v>
      </c>
      <c r="J1181" t="s">
        <v>23</v>
      </c>
      <c r="K1181" t="s">
        <v>215</v>
      </c>
      <c r="L1181" t="s">
        <v>422</v>
      </c>
      <c r="M1181">
        <v>30</v>
      </c>
      <c r="N1181">
        <v>71</v>
      </c>
      <c r="O1181">
        <v>3</v>
      </c>
      <c r="P1181">
        <v>1</v>
      </c>
      <c r="Q1181">
        <v>103</v>
      </c>
      <c r="R1181">
        <v>0.57630000000000003</v>
      </c>
      <c r="S1181">
        <v>0.92069999999999996</v>
      </c>
      <c r="U1181">
        <v>0.34439999999999993</v>
      </c>
      <c r="V1181">
        <v>122.51663967056675</v>
      </c>
      <c r="W1181">
        <v>26.239510281108945</v>
      </c>
      <c r="X1181">
        <v>259.79887748358436</v>
      </c>
      <c r="Y1181">
        <v>-84.601122516415558</v>
      </c>
      <c r="Z1181">
        <v>-32.564083161506794</v>
      </c>
    </row>
    <row r="1182" spans="1:26" x14ac:dyDescent="0.35">
      <c r="A1182">
        <v>1180</v>
      </c>
      <c r="C1182">
        <v>46085</v>
      </c>
      <c r="D1182" t="s">
        <v>16</v>
      </c>
      <c r="E1182" t="s">
        <v>423</v>
      </c>
      <c r="F1182" t="s">
        <v>212</v>
      </c>
      <c r="G1182" t="s">
        <v>424</v>
      </c>
      <c r="H1182" t="s">
        <v>425</v>
      </c>
      <c r="I1182" t="s">
        <v>22</v>
      </c>
      <c r="J1182" t="s">
        <v>23</v>
      </c>
      <c r="K1182" t="s">
        <v>215</v>
      </c>
      <c r="L1182" t="s">
        <v>422</v>
      </c>
      <c r="M1182">
        <v>30</v>
      </c>
      <c r="N1182">
        <v>71</v>
      </c>
      <c r="O1182">
        <v>3</v>
      </c>
      <c r="P1182">
        <v>2</v>
      </c>
      <c r="Q1182">
        <v>104</v>
      </c>
      <c r="R1182">
        <v>0.5978</v>
      </c>
      <c r="S1182">
        <v>0.95809999999999995</v>
      </c>
      <c r="U1182">
        <v>0.36029999999999995</v>
      </c>
      <c r="V1182">
        <v>106.61663967056671</v>
      </c>
      <c r="W1182">
        <v>22.834191504888356</v>
      </c>
      <c r="X1182">
        <v>259.79887748358436</v>
      </c>
      <c r="Y1182">
        <v>-100.50112251641559</v>
      </c>
      <c r="Z1182">
        <v>-38.684201983423058</v>
      </c>
    </row>
    <row r="1183" spans="1:26" x14ac:dyDescent="0.35">
      <c r="A1183">
        <v>1181</v>
      </c>
      <c r="C1183">
        <v>46085</v>
      </c>
      <c r="D1183" t="s">
        <v>16</v>
      </c>
      <c r="E1183" t="s">
        <v>427</v>
      </c>
      <c r="F1183" t="s">
        <v>226</v>
      </c>
      <c r="G1183" t="s">
        <v>231</v>
      </c>
      <c r="H1183" t="s">
        <v>232</v>
      </c>
      <c r="I1183" t="s">
        <v>22</v>
      </c>
      <c r="J1183" t="s">
        <v>23</v>
      </c>
      <c r="K1183" t="s">
        <v>215</v>
      </c>
      <c r="L1183" t="s">
        <v>426</v>
      </c>
      <c r="M1183">
        <v>30</v>
      </c>
      <c r="N1183">
        <v>71</v>
      </c>
      <c r="O1183">
        <v>3</v>
      </c>
      <c r="P1183">
        <v>1</v>
      </c>
      <c r="Q1183">
        <v>105</v>
      </c>
      <c r="R1183">
        <v>0.56459999999999999</v>
      </c>
      <c r="S1183">
        <v>0.87050000000000005</v>
      </c>
      <c r="U1183">
        <v>0.30590000000000006</v>
      </c>
      <c r="V1183">
        <v>166.53879919082698</v>
      </c>
      <c r="W1183">
        <v>35.250872594729202</v>
      </c>
      <c r="X1183">
        <v>260.07840048885117</v>
      </c>
      <c r="Y1183">
        <v>-45.821599511148861</v>
      </c>
      <c r="Z1183">
        <v>-17.618379467507182</v>
      </c>
    </row>
    <row r="1184" spans="1:26" x14ac:dyDescent="0.35">
      <c r="A1184">
        <v>1182</v>
      </c>
      <c r="C1184">
        <v>46085</v>
      </c>
      <c r="D1184" t="s">
        <v>16</v>
      </c>
      <c r="E1184" t="s">
        <v>427</v>
      </c>
      <c r="F1184" t="s">
        <v>226</v>
      </c>
      <c r="G1184" t="s">
        <v>231</v>
      </c>
      <c r="H1184" t="s">
        <v>232</v>
      </c>
      <c r="I1184" t="s">
        <v>22</v>
      </c>
      <c r="J1184" t="s">
        <v>23</v>
      </c>
      <c r="K1184" t="s">
        <v>215</v>
      </c>
      <c r="L1184" t="s">
        <v>426</v>
      </c>
      <c r="M1184">
        <v>30</v>
      </c>
      <c r="N1184">
        <v>71</v>
      </c>
      <c r="O1184">
        <v>3</v>
      </c>
      <c r="P1184">
        <v>2</v>
      </c>
      <c r="Q1184">
        <v>106</v>
      </c>
      <c r="R1184">
        <v>0.58189999999999997</v>
      </c>
      <c r="S1184">
        <v>0.90949999999999998</v>
      </c>
      <c r="U1184">
        <v>0.3276</v>
      </c>
      <c r="V1184">
        <v>144.46115027061057</v>
      </c>
      <c r="W1184">
        <v>30.602211215177892</v>
      </c>
      <c r="X1184">
        <v>259.87050408558275</v>
      </c>
      <c r="Y1184">
        <v>-67.729495914417271</v>
      </c>
      <c r="Z1184">
        <v>-26.062786984132693</v>
      </c>
    </row>
    <row r="1185" spans="1:26" x14ac:dyDescent="0.35">
      <c r="A1185">
        <v>1183</v>
      </c>
      <c r="C1185">
        <v>46085</v>
      </c>
      <c r="D1185">
        <v>0</v>
      </c>
      <c r="E1185" t="s">
        <v>541</v>
      </c>
      <c r="F1185" t="s">
        <v>538</v>
      </c>
      <c r="G1185" t="s">
        <v>542</v>
      </c>
      <c r="H1185" t="s">
        <v>541</v>
      </c>
      <c r="I1185">
        <v>0</v>
      </c>
      <c r="J1185">
        <v>0</v>
      </c>
      <c r="K1185">
        <v>0</v>
      </c>
      <c r="L1185" t="s">
        <v>543</v>
      </c>
      <c r="M1185">
        <v>30</v>
      </c>
      <c r="N1185">
        <v>71</v>
      </c>
      <c r="O1185">
        <v>3</v>
      </c>
      <c r="P1185">
        <v>1</v>
      </c>
      <c r="Q1185">
        <v>107</v>
      </c>
    </row>
    <row r="1186" spans="1:26" x14ac:dyDescent="0.35">
      <c r="A1186">
        <v>1184</v>
      </c>
      <c r="C1186">
        <v>46085</v>
      </c>
      <c r="D1186">
        <v>0</v>
      </c>
      <c r="E1186" t="s">
        <v>541</v>
      </c>
      <c r="F1186" t="s">
        <v>538</v>
      </c>
      <c r="G1186" t="s">
        <v>542</v>
      </c>
      <c r="H1186" t="s">
        <v>541</v>
      </c>
      <c r="I1186">
        <v>0</v>
      </c>
      <c r="J1186">
        <v>0</v>
      </c>
      <c r="K1186">
        <v>0</v>
      </c>
      <c r="L1186" t="s">
        <v>543</v>
      </c>
      <c r="M1186">
        <v>30</v>
      </c>
      <c r="N1186">
        <v>71</v>
      </c>
      <c r="O1186">
        <v>3</v>
      </c>
      <c r="P1186">
        <v>2</v>
      </c>
      <c r="Q1186">
        <v>108</v>
      </c>
    </row>
    <row r="1187" spans="1:26" x14ac:dyDescent="0.35">
      <c r="A1187">
        <v>1185</v>
      </c>
      <c r="C1187">
        <v>46085</v>
      </c>
      <c r="D1187" t="s">
        <v>16</v>
      </c>
      <c r="E1187" t="s">
        <v>429</v>
      </c>
      <c r="F1187" t="s">
        <v>212</v>
      </c>
      <c r="G1187" t="s">
        <v>213</v>
      </c>
      <c r="H1187" t="s">
        <v>214</v>
      </c>
      <c r="I1187" t="s">
        <v>22</v>
      </c>
      <c r="J1187" t="s">
        <v>23</v>
      </c>
      <c r="K1187" t="s">
        <v>215</v>
      </c>
      <c r="L1187" t="s">
        <v>428</v>
      </c>
      <c r="M1187">
        <v>30</v>
      </c>
      <c r="N1187">
        <v>71</v>
      </c>
      <c r="O1187">
        <v>3</v>
      </c>
      <c r="P1187">
        <v>1</v>
      </c>
      <c r="Q1187">
        <v>109</v>
      </c>
      <c r="R1187">
        <v>0.56499999999999995</v>
      </c>
      <c r="S1187">
        <v>0.85880000000000001</v>
      </c>
      <c r="U1187">
        <v>0.29380000000000006</v>
      </c>
      <c r="V1187">
        <v>173.04509665667177</v>
      </c>
      <c r="W1187">
        <v>37.066919604798365</v>
      </c>
      <c r="X1187">
        <v>264.29933448411447</v>
      </c>
      <c r="Y1187">
        <v>-29.500665515885601</v>
      </c>
      <c r="Z1187">
        <v>-11.161838743736494</v>
      </c>
    </row>
    <row r="1188" spans="1:26" x14ac:dyDescent="0.35">
      <c r="A1188">
        <v>1186</v>
      </c>
      <c r="C1188">
        <v>46085</v>
      </c>
      <c r="D1188" t="s">
        <v>16</v>
      </c>
      <c r="E1188" t="s">
        <v>429</v>
      </c>
      <c r="F1188" t="s">
        <v>212</v>
      </c>
      <c r="G1188" t="s">
        <v>213</v>
      </c>
      <c r="H1188" t="s">
        <v>214</v>
      </c>
      <c r="I1188" t="s">
        <v>22</v>
      </c>
      <c r="J1188" t="s">
        <v>23</v>
      </c>
      <c r="K1188" t="s">
        <v>215</v>
      </c>
      <c r="L1188" t="s">
        <v>428</v>
      </c>
      <c r="M1188">
        <v>30</v>
      </c>
      <c r="N1188">
        <v>71</v>
      </c>
      <c r="O1188">
        <v>3</v>
      </c>
      <c r="P1188">
        <v>2</v>
      </c>
      <c r="Q1188">
        <v>110</v>
      </c>
      <c r="R1188">
        <v>0.60299999999999998</v>
      </c>
      <c r="S1188">
        <v>0.90469999999999995</v>
      </c>
      <c r="U1188">
        <v>0.30169999999999997</v>
      </c>
      <c r="V1188">
        <v>164.95843328335854</v>
      </c>
      <c r="W1188">
        <v>35.348859362238187</v>
      </c>
      <c r="X1188">
        <v>264.19365702130591</v>
      </c>
      <c r="Y1188">
        <v>-37.506342978694079</v>
      </c>
      <c r="Z1188">
        <v>-14.196534239907727</v>
      </c>
    </row>
    <row r="1189" spans="1:26" x14ac:dyDescent="0.35">
      <c r="A1189">
        <v>1187</v>
      </c>
      <c r="C1189">
        <v>46085</v>
      </c>
      <c r="D1189" t="s">
        <v>16</v>
      </c>
      <c r="E1189" t="s">
        <v>431</v>
      </c>
      <c r="F1189" t="s">
        <v>212</v>
      </c>
      <c r="G1189" t="s">
        <v>404</v>
      </c>
      <c r="H1189" t="s">
        <v>433</v>
      </c>
      <c r="I1189" t="s">
        <v>22</v>
      </c>
      <c r="J1189" t="s">
        <v>23</v>
      </c>
      <c r="K1189" t="s">
        <v>215</v>
      </c>
      <c r="L1189" t="s">
        <v>430</v>
      </c>
      <c r="M1189">
        <v>30</v>
      </c>
      <c r="N1189">
        <v>71</v>
      </c>
      <c r="O1189">
        <v>3</v>
      </c>
      <c r="P1189">
        <v>1</v>
      </c>
      <c r="Q1189">
        <v>111</v>
      </c>
      <c r="R1189">
        <v>0.60309999999999997</v>
      </c>
      <c r="S1189">
        <v>0.96330000000000005</v>
      </c>
      <c r="U1189">
        <v>0.36020000000000008</v>
      </c>
      <c r="V1189">
        <v>117.84889805097458</v>
      </c>
      <c r="W1189">
        <v>24.652059346114896</v>
      </c>
      <c r="X1189">
        <v>284.97487569295532</v>
      </c>
      <c r="Y1189">
        <v>-75.22512430704478</v>
      </c>
      <c r="Z1189">
        <v>-26.397107507854727</v>
      </c>
    </row>
    <row r="1190" spans="1:26" x14ac:dyDescent="0.35">
      <c r="A1190">
        <v>1188</v>
      </c>
      <c r="C1190">
        <v>46085</v>
      </c>
      <c r="D1190" t="s">
        <v>16</v>
      </c>
      <c r="E1190" t="s">
        <v>431</v>
      </c>
      <c r="F1190" t="s">
        <v>212</v>
      </c>
      <c r="G1190" t="s">
        <v>404</v>
      </c>
      <c r="H1190" t="s">
        <v>433</v>
      </c>
      <c r="I1190" t="s">
        <v>22</v>
      </c>
      <c r="J1190" t="s">
        <v>23</v>
      </c>
      <c r="K1190" t="s">
        <v>215</v>
      </c>
      <c r="L1190" t="s">
        <v>430</v>
      </c>
      <c r="M1190">
        <v>30</v>
      </c>
      <c r="N1190">
        <v>71</v>
      </c>
      <c r="O1190">
        <v>3</v>
      </c>
      <c r="P1190">
        <v>2</v>
      </c>
      <c r="Q1190">
        <v>112</v>
      </c>
      <c r="R1190">
        <v>0.59899999999999998</v>
      </c>
      <c r="S1190">
        <v>0.94430000000000003</v>
      </c>
      <c r="T1190" t="s">
        <v>595</v>
      </c>
      <c r="U1190">
        <v>0.34530000000000005</v>
      </c>
      <c r="V1190">
        <v>132.84445049911591</v>
      </c>
      <c r="W1190">
        <v>27.783329987505841</v>
      </c>
      <c r="X1190">
        <v>285.03183649161468</v>
      </c>
      <c r="Y1190">
        <v>-60.268163508385385</v>
      </c>
      <c r="Z1190">
        <v>-21.14436206502792</v>
      </c>
    </row>
    <row r="1191" spans="1:26" x14ac:dyDescent="0.35">
      <c r="A1191">
        <v>1189</v>
      </c>
      <c r="C1191">
        <v>46085</v>
      </c>
      <c r="D1191" t="s">
        <v>16</v>
      </c>
      <c r="E1191" t="s">
        <v>435</v>
      </c>
      <c r="F1191" t="s">
        <v>219</v>
      </c>
      <c r="G1191" t="s">
        <v>220</v>
      </c>
      <c r="H1191" t="s">
        <v>221</v>
      </c>
      <c r="I1191" t="s">
        <v>22</v>
      </c>
      <c r="J1191" t="s">
        <v>23</v>
      </c>
      <c r="K1191" t="s">
        <v>215</v>
      </c>
      <c r="L1191" t="s">
        <v>434</v>
      </c>
      <c r="M1191">
        <v>30</v>
      </c>
      <c r="N1191">
        <v>71</v>
      </c>
      <c r="O1191">
        <v>3</v>
      </c>
      <c r="P1191">
        <v>1</v>
      </c>
      <c r="Q1191">
        <v>113</v>
      </c>
      <c r="R1191">
        <v>0.56269999999999998</v>
      </c>
      <c r="S1191">
        <v>0.83889999999999998</v>
      </c>
      <c r="U1191">
        <v>0.2762</v>
      </c>
      <c r="V1191">
        <v>178.38407342115204</v>
      </c>
      <c r="W1191">
        <v>39.241162163613041</v>
      </c>
      <c r="X1191">
        <v>222.41928049924067</v>
      </c>
      <c r="Y1191">
        <v>-53.780719500759318</v>
      </c>
      <c r="Z1191">
        <v>-24.179881968884853</v>
      </c>
    </row>
    <row r="1192" spans="1:26" x14ac:dyDescent="0.35">
      <c r="A1192">
        <v>1190</v>
      </c>
      <c r="C1192">
        <v>46085</v>
      </c>
      <c r="D1192" t="s">
        <v>16</v>
      </c>
      <c r="E1192" t="s">
        <v>435</v>
      </c>
      <c r="F1192" t="s">
        <v>219</v>
      </c>
      <c r="G1192" t="s">
        <v>220</v>
      </c>
      <c r="H1192" t="s">
        <v>221</v>
      </c>
      <c r="I1192" t="s">
        <v>22</v>
      </c>
      <c r="J1192" t="s">
        <v>23</v>
      </c>
      <c r="K1192" t="s">
        <v>215</v>
      </c>
      <c r="L1192" t="s">
        <v>434</v>
      </c>
      <c r="M1192">
        <v>30</v>
      </c>
      <c r="N1192">
        <v>71</v>
      </c>
      <c r="O1192">
        <v>3</v>
      </c>
      <c r="P1192">
        <v>2</v>
      </c>
      <c r="Q1192">
        <v>114</v>
      </c>
      <c r="R1192">
        <v>0.60109999999999997</v>
      </c>
      <c r="S1192">
        <v>0.8347</v>
      </c>
      <c r="U1192">
        <v>0.23360000000000003</v>
      </c>
      <c r="V1192">
        <v>221.07497205610923</v>
      </c>
      <c r="W1192">
        <v>48.622639389270681</v>
      </c>
      <c r="X1192">
        <v>222.4637554603483</v>
      </c>
      <c r="Y1192">
        <v>-11.136244539651727</v>
      </c>
      <c r="Z1192">
        <v>-5.0058691657916565</v>
      </c>
    </row>
    <row r="1193" spans="1:26" x14ac:dyDescent="0.35">
      <c r="A1193">
        <v>1191</v>
      </c>
      <c r="C1193">
        <v>46085</v>
      </c>
      <c r="D1193" t="s">
        <v>16</v>
      </c>
      <c r="E1193" t="s">
        <v>437</v>
      </c>
      <c r="F1193" t="s">
        <v>333</v>
      </c>
      <c r="G1193" t="s">
        <v>438</v>
      </c>
      <c r="H1193" t="s">
        <v>439</v>
      </c>
      <c r="I1193" t="s">
        <v>22</v>
      </c>
      <c r="J1193" t="s">
        <v>23</v>
      </c>
      <c r="K1193" t="s">
        <v>215</v>
      </c>
      <c r="L1193" t="s">
        <v>436</v>
      </c>
      <c r="M1193">
        <v>30</v>
      </c>
      <c r="N1193">
        <v>71</v>
      </c>
      <c r="O1193">
        <v>3</v>
      </c>
      <c r="P1193">
        <v>1</v>
      </c>
      <c r="Q1193">
        <v>115</v>
      </c>
      <c r="R1193">
        <v>0.59079999999999999</v>
      </c>
      <c r="S1193">
        <v>0.89939999999999998</v>
      </c>
      <c r="U1193">
        <v>0.30859999999999999</v>
      </c>
      <c r="V1193">
        <v>174.21453356040797</v>
      </c>
      <c r="W1193">
        <v>36.083117108282096</v>
      </c>
      <c r="X1193">
        <v>234.99702251650811</v>
      </c>
      <c r="Y1193">
        <v>-73.602977483491856</v>
      </c>
      <c r="Z1193">
        <v>-31.320812789583911</v>
      </c>
    </row>
    <row r="1194" spans="1:26" x14ac:dyDescent="0.35">
      <c r="A1194">
        <v>1192</v>
      </c>
      <c r="C1194">
        <v>46085</v>
      </c>
      <c r="D1194" t="s">
        <v>16</v>
      </c>
      <c r="E1194" t="s">
        <v>437</v>
      </c>
      <c r="F1194" t="s">
        <v>333</v>
      </c>
      <c r="G1194" t="s">
        <v>438</v>
      </c>
      <c r="H1194" t="s">
        <v>439</v>
      </c>
      <c r="I1194" t="s">
        <v>22</v>
      </c>
      <c r="J1194" t="s">
        <v>23</v>
      </c>
      <c r="K1194" t="s">
        <v>215</v>
      </c>
      <c r="L1194" t="s">
        <v>436</v>
      </c>
      <c r="M1194">
        <v>30</v>
      </c>
      <c r="N1194">
        <v>71</v>
      </c>
      <c r="O1194">
        <v>3</v>
      </c>
      <c r="P1194">
        <v>2</v>
      </c>
      <c r="Q1194">
        <v>116</v>
      </c>
      <c r="R1194">
        <v>0.58430000000000004</v>
      </c>
      <c r="S1194">
        <v>0.83630000000000004</v>
      </c>
      <c r="U1194">
        <v>0.252</v>
      </c>
      <c r="V1194">
        <v>230.42866779932069</v>
      </c>
      <c r="W1194">
        <v>47.764298264126744</v>
      </c>
      <c r="X1194">
        <v>234.80921270830311</v>
      </c>
      <c r="Y1194">
        <v>-17.190787291696893</v>
      </c>
      <c r="Z1194">
        <v>-7.3211724077677163</v>
      </c>
    </row>
    <row r="1195" spans="1:26" x14ac:dyDescent="0.35">
      <c r="A1195">
        <v>1193</v>
      </c>
      <c r="C1195">
        <v>46085</v>
      </c>
      <c r="D1195" t="s">
        <v>16</v>
      </c>
      <c r="E1195" t="s">
        <v>441</v>
      </c>
      <c r="F1195" t="s">
        <v>442</v>
      </c>
      <c r="G1195" t="s">
        <v>443</v>
      </c>
      <c r="H1195" t="s">
        <v>444</v>
      </c>
      <c r="I1195" t="s">
        <v>22</v>
      </c>
      <c r="J1195" t="s">
        <v>23</v>
      </c>
      <c r="K1195" t="s">
        <v>215</v>
      </c>
      <c r="L1195" t="s">
        <v>440</v>
      </c>
      <c r="M1195">
        <v>30</v>
      </c>
      <c r="N1195">
        <v>71</v>
      </c>
      <c r="O1195">
        <v>3</v>
      </c>
      <c r="P1195">
        <v>1</v>
      </c>
      <c r="Q1195">
        <v>117</v>
      </c>
      <c r="R1195">
        <v>0.59230000000000005</v>
      </c>
      <c r="S1195">
        <v>1.0054000000000001</v>
      </c>
      <c r="U1195">
        <v>0.41310000000000002</v>
      </c>
      <c r="V1195">
        <v>68.098079814207381</v>
      </c>
      <c r="W1195">
        <v>14.151777131051798</v>
      </c>
      <c r="X1195">
        <v>299.5902083235494</v>
      </c>
      <c r="Y1195">
        <v>-113.50979167645062</v>
      </c>
      <c r="Z1195">
        <v>-37.888351662636147</v>
      </c>
    </row>
    <row r="1196" spans="1:26" x14ac:dyDescent="0.35">
      <c r="A1196">
        <v>1194</v>
      </c>
      <c r="C1196">
        <v>46085</v>
      </c>
      <c r="D1196" t="s">
        <v>16</v>
      </c>
      <c r="E1196" t="s">
        <v>441</v>
      </c>
      <c r="F1196" t="s">
        <v>442</v>
      </c>
      <c r="G1196" t="s">
        <v>443</v>
      </c>
      <c r="H1196" t="s">
        <v>444</v>
      </c>
      <c r="I1196" t="s">
        <v>22</v>
      </c>
      <c r="J1196" t="s">
        <v>23</v>
      </c>
      <c r="K1196" t="s">
        <v>215</v>
      </c>
      <c r="L1196" t="s">
        <v>440</v>
      </c>
      <c r="M1196">
        <v>30</v>
      </c>
      <c r="N1196">
        <v>71</v>
      </c>
      <c r="O1196">
        <v>3</v>
      </c>
      <c r="P1196">
        <v>2</v>
      </c>
      <c r="Q1196">
        <v>118</v>
      </c>
      <c r="R1196">
        <v>0.61280000000000001</v>
      </c>
      <c r="S1196">
        <v>0.98970000000000002</v>
      </c>
      <c r="U1196">
        <v>0.37690000000000001</v>
      </c>
      <c r="V1196">
        <v>104.29807981420737</v>
      </c>
      <c r="W1196">
        <v>21.674666668345246</v>
      </c>
      <c r="X1196">
        <v>299.5902083235494</v>
      </c>
      <c r="Y1196">
        <v>-77.309791676450629</v>
      </c>
      <c r="Z1196">
        <v>-25.805179718343176</v>
      </c>
    </row>
    <row r="1197" spans="1:26" x14ac:dyDescent="0.35">
      <c r="A1197">
        <v>1195</v>
      </c>
      <c r="C1197">
        <v>46085</v>
      </c>
      <c r="D1197" t="s">
        <v>16</v>
      </c>
      <c r="E1197" t="s">
        <v>446</v>
      </c>
      <c r="F1197" t="s">
        <v>442</v>
      </c>
      <c r="G1197" t="s">
        <v>447</v>
      </c>
      <c r="H1197" t="s">
        <v>448</v>
      </c>
      <c r="I1197" t="s">
        <v>22</v>
      </c>
      <c r="J1197" t="s">
        <v>23</v>
      </c>
      <c r="K1197" t="s">
        <v>215</v>
      </c>
      <c r="L1197" t="s">
        <v>445</v>
      </c>
      <c r="M1197">
        <v>30</v>
      </c>
      <c r="N1197">
        <v>71</v>
      </c>
      <c r="O1197">
        <v>3</v>
      </c>
      <c r="P1197">
        <v>1</v>
      </c>
      <c r="Q1197">
        <v>119</v>
      </c>
      <c r="R1197">
        <v>0.57969999999999999</v>
      </c>
      <c r="S1197">
        <v>0.98009999999999997</v>
      </c>
      <c r="U1197">
        <v>0.40039999999999998</v>
      </c>
      <c r="V1197">
        <v>76.535885416284259</v>
      </c>
      <c r="W1197">
        <v>16.04741596440817</v>
      </c>
      <c r="X1197">
        <v>259.60956728878915</v>
      </c>
      <c r="Y1197">
        <v>-140.79043271121083</v>
      </c>
      <c r="Z1197">
        <v>-54.231604089766016</v>
      </c>
    </row>
    <row r="1198" spans="1:26" x14ac:dyDescent="0.35">
      <c r="A1198">
        <v>1196</v>
      </c>
      <c r="C1198">
        <v>46085</v>
      </c>
      <c r="D1198" t="s">
        <v>16</v>
      </c>
      <c r="E1198" t="s">
        <v>446</v>
      </c>
      <c r="F1198" t="s">
        <v>442</v>
      </c>
      <c r="G1198" t="s">
        <v>447</v>
      </c>
      <c r="H1198" t="s">
        <v>448</v>
      </c>
      <c r="I1198" t="s">
        <v>22</v>
      </c>
      <c r="J1198" t="s">
        <v>23</v>
      </c>
      <c r="K1198" t="s">
        <v>215</v>
      </c>
      <c r="L1198" t="s">
        <v>445</v>
      </c>
      <c r="M1198">
        <v>30</v>
      </c>
      <c r="N1198">
        <v>71</v>
      </c>
      <c r="O1198">
        <v>3</v>
      </c>
      <c r="P1198">
        <v>2</v>
      </c>
      <c r="Q1198">
        <v>120</v>
      </c>
      <c r="R1198">
        <v>0.5595</v>
      </c>
      <c r="S1198">
        <v>0.876</v>
      </c>
      <c r="U1198">
        <v>0.3165</v>
      </c>
      <c r="V1198">
        <v>160.05471787549203</v>
      </c>
      <c r="W1198">
        <v>33.585800721693623</v>
      </c>
      <c r="X1198">
        <v>259.40208711513179</v>
      </c>
      <c r="Y1198">
        <v>-57.097912884868208</v>
      </c>
      <c r="Z1198">
        <v>-22.011354465134332</v>
      </c>
    </row>
    <row r="1199" spans="1:26" x14ac:dyDescent="0.35">
      <c r="A1199">
        <v>1197</v>
      </c>
      <c r="C1199">
        <v>46085</v>
      </c>
      <c r="D1199" t="s">
        <v>16</v>
      </c>
      <c r="E1199" t="s">
        <v>450</v>
      </c>
      <c r="F1199" t="s">
        <v>442</v>
      </c>
      <c r="G1199" t="s">
        <v>451</v>
      </c>
      <c r="H1199" t="s">
        <v>452</v>
      </c>
      <c r="I1199" t="s">
        <v>22</v>
      </c>
      <c r="J1199" t="s">
        <v>23</v>
      </c>
      <c r="K1199" t="s">
        <v>215</v>
      </c>
      <c r="L1199" t="s">
        <v>449</v>
      </c>
      <c r="M1199">
        <v>30</v>
      </c>
      <c r="N1199">
        <v>71</v>
      </c>
      <c r="O1199">
        <v>3</v>
      </c>
      <c r="P1199">
        <v>1</v>
      </c>
      <c r="Q1199">
        <v>121</v>
      </c>
      <c r="R1199">
        <v>0.5786</v>
      </c>
      <c r="S1199">
        <v>0.97209999999999996</v>
      </c>
      <c r="U1199">
        <v>0.39349999999999996</v>
      </c>
      <c r="V1199">
        <v>88.679385307346593</v>
      </c>
      <c r="W1199">
        <v>18.391368028067266</v>
      </c>
      <c r="X1199">
        <v>286.36951521538703</v>
      </c>
      <c r="Y1199">
        <v>-107.13048478461292</v>
      </c>
      <c r="Z1199">
        <v>-37.409877480861361</v>
      </c>
    </row>
    <row r="1200" spans="1:26" x14ac:dyDescent="0.35">
      <c r="A1200">
        <v>1198</v>
      </c>
      <c r="C1200">
        <v>46085</v>
      </c>
      <c r="D1200" t="s">
        <v>16</v>
      </c>
      <c r="E1200" t="s">
        <v>450</v>
      </c>
      <c r="F1200" t="s">
        <v>442</v>
      </c>
      <c r="G1200" t="s">
        <v>451</v>
      </c>
      <c r="H1200" t="s">
        <v>452</v>
      </c>
      <c r="I1200" t="s">
        <v>22</v>
      </c>
      <c r="J1200" t="s">
        <v>23</v>
      </c>
      <c r="K1200" t="s">
        <v>215</v>
      </c>
      <c r="L1200" t="s">
        <v>449</v>
      </c>
      <c r="M1200">
        <v>30</v>
      </c>
      <c r="N1200">
        <v>71</v>
      </c>
      <c r="O1200">
        <v>3</v>
      </c>
      <c r="P1200">
        <v>2</v>
      </c>
      <c r="Q1200">
        <v>122</v>
      </c>
      <c r="R1200">
        <v>0.57579999999999998</v>
      </c>
      <c r="S1200">
        <v>0.93520000000000003</v>
      </c>
      <c r="U1200">
        <v>0.35940000000000005</v>
      </c>
      <c r="V1200">
        <v>122.97225706146946</v>
      </c>
      <c r="W1200">
        <v>25.493227535637253</v>
      </c>
      <c r="X1200">
        <v>286.48406302147322</v>
      </c>
      <c r="Y1200">
        <v>-72.915936978526815</v>
      </c>
      <c r="Z1200">
        <v>-25.452004627936827</v>
      </c>
    </row>
    <row r="1201" spans="1:26" x14ac:dyDescent="0.35">
      <c r="A1201">
        <v>1199</v>
      </c>
      <c r="C1201">
        <v>46085</v>
      </c>
      <c r="D1201" t="s">
        <v>16</v>
      </c>
      <c r="E1201" t="s">
        <v>454</v>
      </c>
      <c r="F1201" t="s">
        <v>442</v>
      </c>
      <c r="G1201" t="s">
        <v>455</v>
      </c>
      <c r="H1201" t="s">
        <v>456</v>
      </c>
      <c r="I1201" t="s">
        <v>22</v>
      </c>
      <c r="J1201" t="s">
        <v>23</v>
      </c>
      <c r="K1201" t="s">
        <v>215</v>
      </c>
      <c r="L1201" t="s">
        <v>453</v>
      </c>
      <c r="M1201">
        <v>30</v>
      </c>
      <c r="N1201">
        <v>71</v>
      </c>
      <c r="O1201">
        <v>3</v>
      </c>
      <c r="P1201">
        <v>1</v>
      </c>
      <c r="Q1201">
        <v>123</v>
      </c>
      <c r="R1201">
        <v>0.57620000000000005</v>
      </c>
      <c r="S1201">
        <v>0.94220000000000004</v>
      </c>
      <c r="U1201">
        <v>0.36599999999999999</v>
      </c>
      <c r="V1201">
        <v>112.8142001993927</v>
      </c>
      <c r="W1201">
        <v>23.56116425795506</v>
      </c>
      <c r="X1201">
        <v>292.47897956759095</v>
      </c>
      <c r="Y1201">
        <v>-73.521020432409045</v>
      </c>
      <c r="Z1201">
        <v>-25.137198078680584</v>
      </c>
    </row>
    <row r="1202" spans="1:26" x14ac:dyDescent="0.35">
      <c r="A1202">
        <v>1200</v>
      </c>
      <c r="C1202">
        <v>46085</v>
      </c>
      <c r="D1202" t="s">
        <v>16</v>
      </c>
      <c r="E1202" t="s">
        <v>454</v>
      </c>
      <c r="F1202" t="s">
        <v>442</v>
      </c>
      <c r="G1202" t="s">
        <v>455</v>
      </c>
      <c r="H1202" t="s">
        <v>456</v>
      </c>
      <c r="I1202" t="s">
        <v>22</v>
      </c>
      <c r="J1202" t="s">
        <v>23</v>
      </c>
      <c r="K1202" t="s">
        <v>215</v>
      </c>
      <c r="L1202" t="s">
        <v>453</v>
      </c>
      <c r="M1202">
        <v>30</v>
      </c>
      <c r="N1202">
        <v>71</v>
      </c>
      <c r="O1202">
        <v>3</v>
      </c>
      <c r="P1202">
        <v>2</v>
      </c>
      <c r="Q1202">
        <v>124</v>
      </c>
      <c r="R1202">
        <v>0.56810000000000005</v>
      </c>
      <c r="S1202">
        <v>0.90310000000000001</v>
      </c>
      <c r="U1202">
        <v>0.33499999999999996</v>
      </c>
      <c r="V1202">
        <v>143.52719868079174</v>
      </c>
      <c r="W1202">
        <v>29.993529955344002</v>
      </c>
      <c r="X1202">
        <v>292.30366749192609</v>
      </c>
      <c r="Y1202">
        <v>-42.696332508073851</v>
      </c>
      <c r="Z1202">
        <v>-14.60684119170458</v>
      </c>
    </row>
    <row r="1203" spans="1:26" x14ac:dyDescent="0.35">
      <c r="A1203">
        <v>1201</v>
      </c>
      <c r="C1203">
        <v>46085</v>
      </c>
      <c r="D1203" t="s">
        <v>16</v>
      </c>
      <c r="E1203" t="s">
        <v>458</v>
      </c>
      <c r="F1203" t="s">
        <v>333</v>
      </c>
      <c r="G1203" t="s">
        <v>438</v>
      </c>
      <c r="H1203" t="s">
        <v>439</v>
      </c>
      <c r="I1203" t="s">
        <v>22</v>
      </c>
      <c r="J1203" t="s">
        <v>23</v>
      </c>
      <c r="K1203" t="s">
        <v>303</v>
      </c>
      <c r="L1203" t="s">
        <v>457</v>
      </c>
      <c r="M1203">
        <v>30</v>
      </c>
      <c r="N1203">
        <v>71</v>
      </c>
      <c r="O1203">
        <v>3</v>
      </c>
      <c r="P1203">
        <v>1</v>
      </c>
      <c r="Q1203">
        <v>125</v>
      </c>
      <c r="R1203">
        <v>0.57720000000000005</v>
      </c>
      <c r="S1203">
        <v>0.82189999999999996</v>
      </c>
      <c r="U1203">
        <v>0.24469999999999992</v>
      </c>
      <c r="V1203">
        <v>232.99100091163541</v>
      </c>
      <c r="W1203">
        <v>48.774417032556734</v>
      </c>
      <c r="X1203">
        <v>219.75898446136114</v>
      </c>
      <c r="Y1203">
        <v>-24.941015538638794</v>
      </c>
      <c r="Z1203">
        <v>-11.349258643404415</v>
      </c>
    </row>
    <row r="1204" spans="1:26" x14ac:dyDescent="0.35">
      <c r="A1204">
        <v>1202</v>
      </c>
      <c r="C1204">
        <v>46085</v>
      </c>
      <c r="D1204" t="s">
        <v>16</v>
      </c>
      <c r="E1204" t="s">
        <v>458</v>
      </c>
      <c r="F1204" t="s">
        <v>333</v>
      </c>
      <c r="G1204" t="s">
        <v>438</v>
      </c>
      <c r="H1204" t="s">
        <v>439</v>
      </c>
      <c r="I1204" t="s">
        <v>22</v>
      </c>
      <c r="J1204" t="s">
        <v>23</v>
      </c>
      <c r="K1204" t="s">
        <v>303</v>
      </c>
      <c r="L1204" t="s">
        <v>457</v>
      </c>
      <c r="M1204">
        <v>30</v>
      </c>
      <c r="N1204">
        <v>71</v>
      </c>
      <c r="O1204">
        <v>3</v>
      </c>
      <c r="P1204">
        <v>2</v>
      </c>
      <c r="Q1204">
        <v>126</v>
      </c>
      <c r="R1204">
        <v>0.5645</v>
      </c>
      <c r="S1204">
        <v>0.79090000000000005</v>
      </c>
      <c r="U1204">
        <v>0.22640000000000005</v>
      </c>
      <c r="V1204">
        <v>251.00455817672935</v>
      </c>
      <c r="W1204">
        <v>52.576908594117469</v>
      </c>
      <c r="X1204">
        <v>219.62720813647928</v>
      </c>
      <c r="Y1204">
        <v>-6.7727918635207516</v>
      </c>
      <c r="Z1204">
        <v>-3.0837672258311679</v>
      </c>
    </row>
    <row r="1205" spans="1:26" x14ac:dyDescent="0.35">
      <c r="A1205">
        <v>1203</v>
      </c>
      <c r="C1205">
        <v>46085</v>
      </c>
      <c r="D1205" t="s">
        <v>16</v>
      </c>
      <c r="E1205" t="s">
        <v>460</v>
      </c>
      <c r="F1205" t="s">
        <v>333</v>
      </c>
      <c r="G1205" t="s">
        <v>461</v>
      </c>
      <c r="H1205" t="s">
        <v>462</v>
      </c>
      <c r="I1205" t="s">
        <v>22</v>
      </c>
      <c r="J1205" t="s">
        <v>23</v>
      </c>
      <c r="K1205" t="s">
        <v>303</v>
      </c>
      <c r="L1205" t="s">
        <v>459</v>
      </c>
      <c r="M1205">
        <v>30</v>
      </c>
      <c r="N1205">
        <v>71</v>
      </c>
      <c r="O1205">
        <v>3</v>
      </c>
      <c r="P1205">
        <v>1</v>
      </c>
      <c r="Q1205">
        <v>127</v>
      </c>
      <c r="R1205">
        <v>0.59209999999999996</v>
      </c>
      <c r="S1205">
        <v>0.92800000000000005</v>
      </c>
      <c r="U1205">
        <v>0.33590000000000009</v>
      </c>
      <c r="V1205">
        <v>146.59732115949174</v>
      </c>
      <c r="W1205">
        <v>30.383033175646023</v>
      </c>
      <c r="X1205">
        <v>243.19599232678354</v>
      </c>
      <c r="Y1205">
        <v>-92.704007673216552</v>
      </c>
      <c r="Z1205">
        <v>-38.119052368531534</v>
      </c>
    </row>
    <row r="1206" spans="1:26" x14ac:dyDescent="0.35">
      <c r="A1206">
        <v>1204</v>
      </c>
      <c r="C1206">
        <v>46085</v>
      </c>
      <c r="D1206" t="s">
        <v>16</v>
      </c>
      <c r="E1206" t="s">
        <v>460</v>
      </c>
      <c r="F1206" t="s">
        <v>333</v>
      </c>
      <c r="G1206" t="s">
        <v>461</v>
      </c>
      <c r="H1206" t="s">
        <v>462</v>
      </c>
      <c r="I1206" t="s">
        <v>22</v>
      </c>
      <c r="J1206" t="s">
        <v>23</v>
      </c>
      <c r="K1206" t="s">
        <v>303</v>
      </c>
      <c r="L1206" t="s">
        <v>459</v>
      </c>
      <c r="M1206">
        <v>30</v>
      </c>
      <c r="N1206">
        <v>71</v>
      </c>
      <c r="O1206">
        <v>3</v>
      </c>
      <c r="P1206">
        <v>2</v>
      </c>
      <c r="Q1206">
        <v>128</v>
      </c>
      <c r="R1206">
        <v>0.56730000000000003</v>
      </c>
      <c r="S1206">
        <v>0.86950000000000005</v>
      </c>
      <c r="U1206">
        <v>0.30220000000000002</v>
      </c>
      <c r="V1206">
        <v>180.20087956021956</v>
      </c>
      <c r="W1206">
        <v>37.35500642629416</v>
      </c>
      <c r="X1206">
        <v>243.14738229433769</v>
      </c>
      <c r="Y1206">
        <v>-59.052617705662357</v>
      </c>
      <c r="Z1206">
        <v>-24.286758569408441</v>
      </c>
    </row>
    <row r="1207" spans="1:26" x14ac:dyDescent="0.35">
      <c r="A1207">
        <v>1205</v>
      </c>
      <c r="C1207">
        <v>46085</v>
      </c>
      <c r="D1207" t="s">
        <v>16</v>
      </c>
      <c r="E1207" t="s">
        <v>464</v>
      </c>
      <c r="F1207" t="s">
        <v>333</v>
      </c>
      <c r="G1207" t="s">
        <v>438</v>
      </c>
      <c r="H1207" t="s">
        <v>439</v>
      </c>
      <c r="I1207" t="s">
        <v>22</v>
      </c>
      <c r="J1207" t="s">
        <v>23</v>
      </c>
      <c r="K1207" t="s">
        <v>303</v>
      </c>
      <c r="L1207" t="s">
        <v>463</v>
      </c>
      <c r="M1207">
        <v>30</v>
      </c>
      <c r="N1207">
        <v>71</v>
      </c>
      <c r="O1207">
        <v>3</v>
      </c>
      <c r="P1207">
        <v>1</v>
      </c>
      <c r="Q1207">
        <v>129</v>
      </c>
      <c r="R1207">
        <v>0.57969999999999999</v>
      </c>
      <c r="S1207">
        <v>0.88819999999999999</v>
      </c>
      <c r="U1207">
        <v>0.3085</v>
      </c>
      <c r="V1207">
        <v>171.16356260094659</v>
      </c>
      <c r="W1207">
        <v>35.68408691976154</v>
      </c>
      <c r="X1207">
        <v>302.31558278729091</v>
      </c>
      <c r="Y1207">
        <v>-6.1844172127090928</v>
      </c>
      <c r="Z1207">
        <v>-2.0456825796705442</v>
      </c>
    </row>
    <row r="1208" spans="1:26" x14ac:dyDescent="0.35">
      <c r="A1208">
        <v>1206</v>
      </c>
      <c r="C1208">
        <v>46085</v>
      </c>
      <c r="D1208" t="s">
        <v>16</v>
      </c>
      <c r="E1208" t="s">
        <v>464</v>
      </c>
      <c r="F1208" t="s">
        <v>333</v>
      </c>
      <c r="G1208" t="s">
        <v>438</v>
      </c>
      <c r="H1208" t="s">
        <v>439</v>
      </c>
      <c r="I1208" t="s">
        <v>22</v>
      </c>
      <c r="J1208" t="s">
        <v>23</v>
      </c>
      <c r="K1208" t="s">
        <v>303</v>
      </c>
      <c r="L1208" t="s">
        <v>463</v>
      </c>
      <c r="M1208">
        <v>30</v>
      </c>
      <c r="N1208">
        <v>71</v>
      </c>
      <c r="O1208">
        <v>3</v>
      </c>
      <c r="P1208">
        <v>2</v>
      </c>
      <c r="Q1208">
        <v>130</v>
      </c>
      <c r="R1208">
        <v>0.59370000000000001</v>
      </c>
      <c r="S1208">
        <v>0.93010000000000004</v>
      </c>
      <c r="U1208">
        <v>0.33640000000000003</v>
      </c>
      <c r="V1208">
        <v>142.88021509836841</v>
      </c>
      <c r="W1208">
        <v>29.811415242551455</v>
      </c>
      <c r="X1208">
        <v>302.0739719319165</v>
      </c>
      <c r="Y1208">
        <v>-34.326028068083531</v>
      </c>
      <c r="Z1208">
        <v>-11.363451093965873</v>
      </c>
    </row>
    <row r="1209" spans="1:26" x14ac:dyDescent="0.35">
      <c r="A1209">
        <v>1207</v>
      </c>
      <c r="C1209">
        <v>46085</v>
      </c>
      <c r="D1209" t="s">
        <v>16</v>
      </c>
      <c r="E1209" t="s">
        <v>466</v>
      </c>
      <c r="F1209" t="s">
        <v>346</v>
      </c>
      <c r="G1209" t="s">
        <v>347</v>
      </c>
      <c r="H1209" t="s">
        <v>348</v>
      </c>
      <c r="I1209" t="s">
        <v>22</v>
      </c>
      <c r="J1209" t="s">
        <v>23</v>
      </c>
      <c r="K1209" t="s">
        <v>303</v>
      </c>
      <c r="L1209" t="s">
        <v>465</v>
      </c>
      <c r="M1209">
        <v>30</v>
      </c>
      <c r="N1209">
        <v>71</v>
      </c>
      <c r="O1209">
        <v>3</v>
      </c>
      <c r="P1209">
        <v>1</v>
      </c>
      <c r="Q1209">
        <v>131</v>
      </c>
      <c r="R1209">
        <v>0.60019999999999996</v>
      </c>
      <c r="S1209">
        <v>0.93859999999999999</v>
      </c>
      <c r="T1209" t="s">
        <v>603</v>
      </c>
      <c r="U1209">
        <v>0.33840000000000003</v>
      </c>
      <c r="V1209">
        <v>143.61471914262205</v>
      </c>
      <c r="W1209">
        <v>29.794675025292801</v>
      </c>
      <c r="X1209">
        <v>302.96259283644582</v>
      </c>
      <c r="Y1209">
        <v>-35.437407163554212</v>
      </c>
      <c r="Z1209">
        <v>-11.696957974836542</v>
      </c>
    </row>
    <row r="1210" spans="1:26" x14ac:dyDescent="0.35">
      <c r="A1210">
        <v>1208</v>
      </c>
      <c r="C1210">
        <v>46085</v>
      </c>
      <c r="D1210" t="s">
        <v>16</v>
      </c>
      <c r="E1210" t="s">
        <v>466</v>
      </c>
      <c r="F1210" t="s">
        <v>346</v>
      </c>
      <c r="G1210" t="s">
        <v>347</v>
      </c>
      <c r="H1210" t="s">
        <v>348</v>
      </c>
      <c r="I1210" t="s">
        <v>22</v>
      </c>
      <c r="J1210" t="s">
        <v>23</v>
      </c>
      <c r="K1210" t="s">
        <v>303</v>
      </c>
      <c r="L1210" t="s">
        <v>465</v>
      </c>
      <c r="M1210">
        <v>30</v>
      </c>
      <c r="N1210">
        <v>71</v>
      </c>
      <c r="O1210">
        <v>3</v>
      </c>
      <c r="P1210">
        <v>2</v>
      </c>
      <c r="Q1210">
        <v>132</v>
      </c>
      <c r="R1210">
        <v>0.58309999999999995</v>
      </c>
      <c r="S1210">
        <v>0.93710000000000004</v>
      </c>
      <c r="U1210">
        <v>0.35400000000000009</v>
      </c>
      <c r="V1210">
        <v>127.72579923104803</v>
      </c>
      <c r="W1210">
        <v>26.514211909540563</v>
      </c>
      <c r="X1210">
        <v>302.78099687670374</v>
      </c>
      <c r="Y1210">
        <v>-51.219003123296375</v>
      </c>
      <c r="Z1210">
        <v>-16.916188153034387</v>
      </c>
    </row>
    <row r="1211" spans="1:26" x14ac:dyDescent="0.35">
      <c r="A1211">
        <v>1209</v>
      </c>
      <c r="C1211">
        <v>46085</v>
      </c>
      <c r="D1211" t="s">
        <v>16</v>
      </c>
      <c r="E1211" t="s">
        <v>468</v>
      </c>
      <c r="F1211" t="s">
        <v>212</v>
      </c>
      <c r="G1211" t="s">
        <v>469</v>
      </c>
      <c r="H1211" t="s">
        <v>470</v>
      </c>
      <c r="I1211" t="s">
        <v>22</v>
      </c>
      <c r="J1211" t="s">
        <v>23</v>
      </c>
      <c r="K1211" t="s">
        <v>303</v>
      </c>
      <c r="L1211" t="s">
        <v>467</v>
      </c>
      <c r="M1211">
        <v>30</v>
      </c>
      <c r="N1211">
        <v>71</v>
      </c>
      <c r="O1211">
        <v>3</v>
      </c>
      <c r="P1211">
        <v>1</v>
      </c>
      <c r="Q1211">
        <v>133</v>
      </c>
      <c r="R1211">
        <v>0.58479999999999999</v>
      </c>
      <c r="S1211">
        <v>0.85150000000000003</v>
      </c>
      <c r="U1211">
        <v>0.26670000000000005</v>
      </c>
      <c r="V1211">
        <v>208.85002403838502</v>
      </c>
      <c r="W1211">
        <v>43.917571965368509</v>
      </c>
      <c r="X1211">
        <v>260.20817896112317</v>
      </c>
      <c r="Y1211">
        <v>-6.4918210388768784</v>
      </c>
      <c r="Z1211">
        <v>-2.4948566431675463</v>
      </c>
    </row>
    <row r="1212" spans="1:26" x14ac:dyDescent="0.35">
      <c r="A1212">
        <v>1210</v>
      </c>
      <c r="C1212">
        <v>46085</v>
      </c>
      <c r="D1212" t="s">
        <v>16</v>
      </c>
      <c r="E1212" t="s">
        <v>468</v>
      </c>
      <c r="F1212" t="s">
        <v>212</v>
      </c>
      <c r="G1212" t="s">
        <v>469</v>
      </c>
      <c r="H1212" t="s">
        <v>470</v>
      </c>
      <c r="I1212" t="s">
        <v>22</v>
      </c>
      <c r="J1212" t="s">
        <v>23</v>
      </c>
      <c r="K1212" t="s">
        <v>303</v>
      </c>
      <c r="L1212" t="s">
        <v>467</v>
      </c>
      <c r="M1212">
        <v>30</v>
      </c>
      <c r="N1212">
        <v>71</v>
      </c>
      <c r="O1212">
        <v>3</v>
      </c>
      <c r="P1212">
        <v>2</v>
      </c>
      <c r="Q1212">
        <v>134</v>
      </c>
      <c r="R1212">
        <v>0.56620000000000004</v>
      </c>
      <c r="S1212">
        <v>0.80369999999999997</v>
      </c>
      <c r="U1212">
        <v>0.23749999999999993</v>
      </c>
      <c r="V1212">
        <v>237.7650360095966</v>
      </c>
      <c r="W1212">
        <v>50.027882969450268</v>
      </c>
      <c r="X1212">
        <v>260.05224117908494</v>
      </c>
      <c r="Y1212">
        <v>22.552241179085001</v>
      </c>
      <c r="Z1212">
        <v>8.6721964313141235</v>
      </c>
    </row>
    <row r="1213" spans="1:26" x14ac:dyDescent="0.35">
      <c r="A1213">
        <v>1211</v>
      </c>
      <c r="C1213">
        <v>46085</v>
      </c>
      <c r="D1213" t="s">
        <v>16</v>
      </c>
      <c r="E1213" t="s">
        <v>472</v>
      </c>
      <c r="F1213" t="s">
        <v>346</v>
      </c>
      <c r="G1213" t="s">
        <v>347</v>
      </c>
      <c r="H1213" t="s">
        <v>348</v>
      </c>
      <c r="I1213" t="s">
        <v>22</v>
      </c>
      <c r="J1213" t="s">
        <v>23</v>
      </c>
      <c r="K1213" t="s">
        <v>303</v>
      </c>
      <c r="L1213" t="s">
        <v>471</v>
      </c>
      <c r="M1213">
        <v>30</v>
      </c>
      <c r="N1213">
        <v>71</v>
      </c>
      <c r="O1213">
        <v>3</v>
      </c>
      <c r="P1213">
        <v>1</v>
      </c>
      <c r="Q1213">
        <v>135</v>
      </c>
      <c r="R1213">
        <v>0.58560000000000001</v>
      </c>
      <c r="S1213">
        <v>0.89170000000000005</v>
      </c>
      <c r="T1213" t="s">
        <v>698</v>
      </c>
      <c r="U1213">
        <v>0.30610000000000004</v>
      </c>
      <c r="V1213">
        <v>172.19455392429734</v>
      </c>
      <c r="W1213">
        <v>36.001780181580671</v>
      </c>
      <c r="X1213">
        <v>308.94297517827567</v>
      </c>
      <c r="Y1213">
        <v>2.8429751782756512</v>
      </c>
      <c r="Z1213">
        <v>0.92022651644210751</v>
      </c>
    </row>
    <row r="1214" spans="1:26" x14ac:dyDescent="0.35">
      <c r="A1214">
        <v>1212</v>
      </c>
      <c r="C1214">
        <v>46085</v>
      </c>
      <c r="D1214" t="s">
        <v>16</v>
      </c>
      <c r="E1214" t="s">
        <v>472</v>
      </c>
      <c r="F1214" t="s">
        <v>346</v>
      </c>
      <c r="G1214" t="s">
        <v>347</v>
      </c>
      <c r="H1214" t="s">
        <v>348</v>
      </c>
      <c r="I1214" t="s">
        <v>22</v>
      </c>
      <c r="J1214" t="s">
        <v>23</v>
      </c>
      <c r="K1214" t="s">
        <v>303</v>
      </c>
      <c r="L1214" t="s">
        <v>471</v>
      </c>
      <c r="M1214">
        <v>30</v>
      </c>
      <c r="N1214">
        <v>71</v>
      </c>
      <c r="O1214">
        <v>3</v>
      </c>
      <c r="P1214">
        <v>2</v>
      </c>
      <c r="Q1214">
        <v>136</v>
      </c>
      <c r="R1214">
        <v>0.5645</v>
      </c>
      <c r="S1214">
        <v>0.95589999999999997</v>
      </c>
      <c r="U1214">
        <v>0.39139999999999997</v>
      </c>
      <c r="V1214">
        <v>86.798952374442479</v>
      </c>
      <c r="W1214">
        <v>18.151221775675619</v>
      </c>
      <c r="X1214">
        <v>308.88122363416647</v>
      </c>
      <c r="Y1214">
        <v>-82.518776365833503</v>
      </c>
      <c r="Z1214">
        <v>-26.715374730439201</v>
      </c>
    </row>
    <row r="1215" spans="1:26" x14ac:dyDescent="0.35">
      <c r="A1215">
        <v>1213</v>
      </c>
      <c r="C1215">
        <v>46085</v>
      </c>
      <c r="D1215" t="s">
        <v>473</v>
      </c>
      <c r="E1215" t="s">
        <v>475</v>
      </c>
      <c r="F1215" t="s">
        <v>592</v>
      </c>
      <c r="G1215" t="s">
        <v>106</v>
      </c>
      <c r="H1215" t="s">
        <v>476</v>
      </c>
      <c r="I1215" t="s">
        <v>108</v>
      </c>
      <c r="J1215" t="s">
        <v>109</v>
      </c>
      <c r="K1215" t="s">
        <v>110</v>
      </c>
      <c r="L1215" t="s">
        <v>474</v>
      </c>
      <c r="M1215">
        <v>30</v>
      </c>
      <c r="N1215">
        <v>71</v>
      </c>
      <c r="O1215">
        <v>3</v>
      </c>
      <c r="P1215">
        <v>1</v>
      </c>
      <c r="Q1215">
        <v>137</v>
      </c>
      <c r="R1215">
        <v>0.56159999999999999</v>
      </c>
      <c r="S1215">
        <v>0.77559999999999996</v>
      </c>
      <c r="U1215">
        <v>0.21399999999999997</v>
      </c>
      <c r="V1215">
        <v>251.63618</v>
      </c>
      <c r="W1215">
        <v>54.041371956964348</v>
      </c>
      <c r="X1215">
        <v>278.26418116799999</v>
      </c>
      <c r="Y1215">
        <v>64.264181168000022</v>
      </c>
      <c r="Z1215">
        <v>23.094665255964433</v>
      </c>
    </row>
    <row r="1216" spans="1:26" x14ac:dyDescent="0.35">
      <c r="A1216">
        <v>1214</v>
      </c>
      <c r="C1216">
        <v>46085</v>
      </c>
      <c r="D1216" t="s">
        <v>473</v>
      </c>
      <c r="E1216" t="s">
        <v>475</v>
      </c>
      <c r="F1216" t="s">
        <v>592</v>
      </c>
      <c r="G1216" t="s">
        <v>106</v>
      </c>
      <c r="H1216" t="s">
        <v>476</v>
      </c>
      <c r="I1216" t="s">
        <v>108</v>
      </c>
      <c r="J1216" t="s">
        <v>109</v>
      </c>
      <c r="K1216" t="s">
        <v>110</v>
      </c>
      <c r="L1216" t="s">
        <v>474</v>
      </c>
      <c r="M1216">
        <v>30</v>
      </c>
      <c r="N1216">
        <v>71</v>
      </c>
      <c r="O1216">
        <v>3</v>
      </c>
      <c r="P1216">
        <v>2</v>
      </c>
      <c r="Q1216">
        <v>138</v>
      </c>
      <c r="R1216">
        <v>0.58630000000000004</v>
      </c>
      <c r="S1216">
        <v>0.72809999999999997</v>
      </c>
      <c r="U1216">
        <v>0.14179999999999993</v>
      </c>
      <c r="V1216">
        <v>324.02236000000005</v>
      </c>
      <c r="W1216">
        <v>69.559211369759083</v>
      </c>
      <c r="X1216">
        <v>278.37544233599999</v>
      </c>
      <c r="Y1216">
        <v>136.57544233600007</v>
      </c>
      <c r="Z1216">
        <v>49.061598677642372</v>
      </c>
    </row>
    <row r="1217" spans="1:26" x14ac:dyDescent="0.35">
      <c r="A1217">
        <v>1215</v>
      </c>
      <c r="C1217">
        <v>46085</v>
      </c>
      <c r="D1217" t="s">
        <v>473</v>
      </c>
      <c r="E1217" t="s">
        <v>479</v>
      </c>
      <c r="F1217" t="s">
        <v>105</v>
      </c>
      <c r="G1217" t="s">
        <v>188</v>
      </c>
      <c r="H1217" t="s">
        <v>189</v>
      </c>
      <c r="I1217" t="s">
        <v>108</v>
      </c>
      <c r="J1217" t="s">
        <v>109</v>
      </c>
      <c r="K1217" t="s">
        <v>110</v>
      </c>
      <c r="L1217" t="s">
        <v>478</v>
      </c>
      <c r="M1217">
        <v>30</v>
      </c>
      <c r="N1217">
        <v>71</v>
      </c>
      <c r="O1217">
        <v>3</v>
      </c>
      <c r="P1217">
        <v>1</v>
      </c>
      <c r="Q1217">
        <v>139</v>
      </c>
      <c r="R1217">
        <v>0.58430000000000004</v>
      </c>
      <c r="S1217">
        <v>0.8236</v>
      </c>
      <c r="U1217">
        <v>0.23929999999999996</v>
      </c>
      <c r="V1217">
        <v>252.24105000000009</v>
      </c>
      <c r="W1217">
        <v>51.316375305785769</v>
      </c>
      <c r="X1217">
        <v>361.55301932750007</v>
      </c>
      <c r="Y1217">
        <v>122.25301932750011</v>
      </c>
      <c r="Z1217">
        <v>33.813303386290222</v>
      </c>
    </row>
    <row r="1218" spans="1:26" x14ac:dyDescent="0.35">
      <c r="A1218">
        <v>1216</v>
      </c>
      <c r="C1218">
        <v>46085</v>
      </c>
      <c r="D1218" t="s">
        <v>473</v>
      </c>
      <c r="E1218" t="s">
        <v>479</v>
      </c>
      <c r="F1218" t="s">
        <v>105</v>
      </c>
      <c r="G1218" t="s">
        <v>188</v>
      </c>
      <c r="H1218" t="s">
        <v>189</v>
      </c>
      <c r="I1218" t="s">
        <v>108</v>
      </c>
      <c r="J1218" t="s">
        <v>109</v>
      </c>
      <c r="K1218" t="s">
        <v>110</v>
      </c>
      <c r="L1218" t="s">
        <v>478</v>
      </c>
      <c r="M1218">
        <v>30</v>
      </c>
      <c r="N1218">
        <v>71</v>
      </c>
      <c r="O1218">
        <v>3</v>
      </c>
      <c r="P1218">
        <v>2</v>
      </c>
      <c r="Q1218">
        <v>140</v>
      </c>
      <c r="R1218">
        <v>0.57989999999999997</v>
      </c>
      <c r="S1218">
        <v>0.88060000000000005</v>
      </c>
      <c r="U1218">
        <v>0.30070000000000008</v>
      </c>
      <c r="V1218">
        <v>190.93926000000005</v>
      </c>
      <c r="W1218">
        <v>38.837268610322127</v>
      </c>
      <c r="X1218">
        <v>361.62525769300015</v>
      </c>
      <c r="Y1218">
        <v>60.925257693000049</v>
      </c>
      <c r="Z1218">
        <v>16.847622337464667</v>
      </c>
    </row>
    <row r="1219" spans="1:26" x14ac:dyDescent="0.35">
      <c r="A1219">
        <v>1217</v>
      </c>
      <c r="C1219">
        <v>46085</v>
      </c>
      <c r="D1219" t="s">
        <v>120</v>
      </c>
      <c r="E1219" t="s">
        <v>122</v>
      </c>
      <c r="F1219" t="s">
        <v>123</v>
      </c>
      <c r="G1219" t="s">
        <v>545</v>
      </c>
      <c r="H1219" t="s">
        <v>125</v>
      </c>
      <c r="I1219" t="s">
        <v>108</v>
      </c>
      <c r="J1219" t="s">
        <v>109</v>
      </c>
      <c r="K1219" t="s">
        <v>110</v>
      </c>
      <c r="L1219" t="s">
        <v>121</v>
      </c>
      <c r="M1219">
        <v>30</v>
      </c>
      <c r="N1219">
        <v>71</v>
      </c>
      <c r="O1219">
        <v>3</v>
      </c>
      <c r="P1219">
        <v>1</v>
      </c>
      <c r="Q1219">
        <v>141</v>
      </c>
      <c r="R1219">
        <v>0.59140000000000004</v>
      </c>
      <c r="S1219">
        <v>0.89229999999999998</v>
      </c>
      <c r="U1219">
        <v>0.30089999999999995</v>
      </c>
      <c r="V1219">
        <v>167.8811</v>
      </c>
      <c r="W1219">
        <v>35.812258642679929</v>
      </c>
      <c r="X1219">
        <v>356.74241709999995</v>
      </c>
      <c r="Y1219">
        <v>55.842417100000034</v>
      </c>
      <c r="Z1219">
        <v>15.65342791416548</v>
      </c>
    </row>
    <row r="1220" spans="1:26" x14ac:dyDescent="0.35">
      <c r="A1220">
        <v>1218</v>
      </c>
      <c r="C1220">
        <v>46085</v>
      </c>
      <c r="D1220" t="s">
        <v>120</v>
      </c>
      <c r="E1220" t="s">
        <v>122</v>
      </c>
      <c r="F1220" t="s">
        <v>123</v>
      </c>
      <c r="G1220" t="s">
        <v>545</v>
      </c>
      <c r="H1220" t="s">
        <v>125</v>
      </c>
      <c r="I1220" t="s">
        <v>108</v>
      </c>
      <c r="J1220" t="s">
        <v>109</v>
      </c>
      <c r="K1220" t="s">
        <v>110</v>
      </c>
      <c r="L1220" t="s">
        <v>121</v>
      </c>
      <c r="M1220">
        <v>30</v>
      </c>
      <c r="N1220">
        <v>71</v>
      </c>
      <c r="O1220">
        <v>3</v>
      </c>
      <c r="P1220">
        <v>2</v>
      </c>
      <c r="Q1220">
        <v>142</v>
      </c>
      <c r="R1220">
        <v>0.58430000000000004</v>
      </c>
      <c r="S1220">
        <v>0.89780000000000004</v>
      </c>
      <c r="U1220">
        <v>0.3135</v>
      </c>
      <c r="V1220">
        <v>155.0936999999999</v>
      </c>
      <c r="W1220">
        <v>33.097692094451958</v>
      </c>
      <c r="X1220">
        <v>356.59980569999993</v>
      </c>
      <c r="Y1220">
        <v>43.099805699999933</v>
      </c>
      <c r="Z1220">
        <v>12.086323382985494</v>
      </c>
    </row>
    <row r="1221" spans="1:26" x14ac:dyDescent="0.35">
      <c r="A1221">
        <v>1219</v>
      </c>
      <c r="C1221">
        <v>46085</v>
      </c>
      <c r="D1221">
        <v>0</v>
      </c>
      <c r="E1221" t="s">
        <v>553</v>
      </c>
      <c r="F1221" t="s">
        <v>554</v>
      </c>
      <c r="G1221">
        <v>24</v>
      </c>
      <c r="H1221" t="s">
        <v>553</v>
      </c>
      <c r="I1221">
        <v>0</v>
      </c>
      <c r="J1221">
        <v>0</v>
      </c>
      <c r="K1221">
        <v>0</v>
      </c>
      <c r="L1221" t="s">
        <v>607</v>
      </c>
      <c r="M1221">
        <v>30</v>
      </c>
      <c r="N1221">
        <v>71</v>
      </c>
      <c r="O1221">
        <v>3</v>
      </c>
      <c r="P1221">
        <v>1</v>
      </c>
      <c r="Q1221">
        <v>143</v>
      </c>
    </row>
    <row r="1222" spans="1:26" x14ac:dyDescent="0.35">
      <c r="A1222">
        <v>1220</v>
      </c>
      <c r="C1222">
        <v>46085</v>
      </c>
      <c r="D1222">
        <v>0</v>
      </c>
      <c r="E1222" t="s">
        <v>553</v>
      </c>
      <c r="F1222" t="s">
        <v>554</v>
      </c>
      <c r="G1222">
        <v>24</v>
      </c>
      <c r="H1222" t="s">
        <v>553</v>
      </c>
      <c r="I1222">
        <v>0</v>
      </c>
      <c r="J1222">
        <v>0</v>
      </c>
      <c r="K1222">
        <v>0</v>
      </c>
      <c r="L1222" t="s">
        <v>607</v>
      </c>
      <c r="M1222">
        <v>30</v>
      </c>
      <c r="N1222">
        <v>71</v>
      </c>
      <c r="O1222">
        <v>3</v>
      </c>
      <c r="P1222">
        <v>2</v>
      </c>
      <c r="Q1222">
        <v>144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F407B5-28C7-4695-BF43-32339A27C45E}">
  <dimension ref="B4:Y310"/>
  <sheetViews>
    <sheetView topLeftCell="A7" zoomScale="91" zoomScaleNormal="53" workbookViewId="0">
      <selection activeCell="A7" sqref="A1:XFD1048576"/>
    </sheetView>
  </sheetViews>
  <sheetFormatPr defaultColWidth="8.6328125" defaultRowHeight="14.5" x14ac:dyDescent="0.35"/>
  <cols>
    <col min="1" max="1" width="2.6328125" style="5" customWidth="1"/>
    <col min="2" max="2" width="4.08984375" style="5" bestFit="1" customWidth="1"/>
    <col min="3" max="3" width="12.453125" style="191" bestFit="1" customWidth="1"/>
    <col min="4" max="4" width="12.453125" style="5" customWidth="1"/>
    <col min="5" max="5" width="7" style="46" customWidth="1"/>
    <col min="6" max="6" width="13" style="15" customWidth="1"/>
    <col min="7" max="7" width="14" style="15" customWidth="1"/>
    <col min="8" max="9" width="13" style="15" customWidth="1"/>
    <col min="10" max="10" width="24.54296875" style="15" customWidth="1"/>
    <col min="11" max="11" width="13.90625" style="15" bestFit="1" customWidth="1"/>
    <col min="12" max="12" width="12.90625" style="15" bestFit="1" customWidth="1"/>
    <col min="13" max="13" width="13.54296875" style="15" customWidth="1"/>
    <col min="14" max="25" width="11.08984375" style="5" customWidth="1"/>
    <col min="26" max="16384" width="8.6328125" style="5"/>
  </cols>
  <sheetData>
    <row r="4" spans="2:25" ht="14.4" customHeight="1" x14ac:dyDescent="0.35">
      <c r="H4" s="338" t="s">
        <v>699</v>
      </c>
      <c r="I4" s="338"/>
      <c r="J4" s="338"/>
      <c r="K4" s="338"/>
      <c r="L4" s="338"/>
      <c r="M4" s="338"/>
      <c r="N4" s="338"/>
      <c r="O4" s="338"/>
      <c r="P4" s="338"/>
      <c r="Q4" s="338"/>
      <c r="R4" s="338"/>
      <c r="S4" s="338"/>
      <c r="T4" s="338"/>
      <c r="U4" s="338"/>
      <c r="V4" s="338"/>
      <c r="W4" s="338"/>
      <c r="X4" s="338"/>
      <c r="Y4" s="338"/>
    </row>
    <row r="5" spans="2:25" ht="14.4" customHeight="1" x14ac:dyDescent="0.35">
      <c r="H5" s="338"/>
      <c r="I5" s="338"/>
      <c r="J5" s="338"/>
      <c r="K5" s="338"/>
      <c r="L5" s="338"/>
      <c r="M5" s="338"/>
      <c r="N5" s="338"/>
      <c r="O5" s="338"/>
      <c r="P5" s="338"/>
      <c r="Q5" s="338"/>
      <c r="R5" s="338"/>
      <c r="S5" s="338"/>
      <c r="T5" s="338"/>
      <c r="U5" s="338"/>
      <c r="V5" s="338"/>
      <c r="W5" s="338"/>
      <c r="X5" s="338"/>
      <c r="Y5" s="338"/>
    </row>
    <row r="6" spans="2:25" ht="14.4" customHeight="1" x14ac:dyDescent="0.35">
      <c r="H6" s="338"/>
      <c r="I6" s="338"/>
      <c r="J6" s="338"/>
      <c r="K6" s="338"/>
      <c r="L6" s="338"/>
      <c r="M6" s="338"/>
      <c r="N6" s="338"/>
      <c r="O6" s="338"/>
      <c r="P6" s="338"/>
      <c r="Q6" s="338"/>
      <c r="R6" s="338"/>
      <c r="S6" s="338"/>
      <c r="T6" s="338"/>
      <c r="U6" s="338"/>
      <c r="V6" s="338"/>
      <c r="W6" s="338"/>
      <c r="X6" s="338"/>
      <c r="Y6" s="338"/>
    </row>
    <row r="10" spans="2:25" ht="35.4" customHeight="1" thickBot="1" x14ac:dyDescent="0.4">
      <c r="B10" s="12" t="s">
        <v>1</v>
      </c>
      <c r="C10" s="13" t="s">
        <v>2</v>
      </c>
      <c r="D10" s="12" t="s">
        <v>3</v>
      </c>
      <c r="E10" s="201" t="s">
        <v>4</v>
      </c>
      <c r="F10" s="201" t="s">
        <v>5</v>
      </c>
      <c r="G10" s="201" t="s">
        <v>6</v>
      </c>
      <c r="H10" s="201" t="s">
        <v>7</v>
      </c>
      <c r="I10" s="201" t="s">
        <v>8</v>
      </c>
      <c r="J10" s="201" t="s">
        <v>9</v>
      </c>
      <c r="K10" s="201" t="s">
        <v>10</v>
      </c>
      <c r="L10" s="201" t="s">
        <v>11</v>
      </c>
      <c r="M10" s="201" t="s">
        <v>12</v>
      </c>
      <c r="N10" s="16" t="s">
        <v>484</v>
      </c>
      <c r="O10" s="55" t="s">
        <v>485</v>
      </c>
      <c r="P10" s="13" t="s">
        <v>700</v>
      </c>
      <c r="Q10" s="54" t="s">
        <v>487</v>
      </c>
      <c r="R10" s="12" t="s">
        <v>488</v>
      </c>
      <c r="S10" s="54" t="s">
        <v>488</v>
      </c>
      <c r="T10" s="13" t="s">
        <v>701</v>
      </c>
      <c r="U10" s="54" t="s">
        <v>491</v>
      </c>
      <c r="V10" s="13" t="s">
        <v>493</v>
      </c>
      <c r="W10" s="53" t="s">
        <v>494</v>
      </c>
      <c r="X10" s="13" t="s">
        <v>499</v>
      </c>
      <c r="Y10" s="53" t="s">
        <v>702</v>
      </c>
    </row>
    <row r="11" spans="2:25" x14ac:dyDescent="0.35">
      <c r="B11" s="17">
        <v>1</v>
      </c>
      <c r="C11" s="199">
        <f>'2.1. DM'!C11</f>
        <v>46041</v>
      </c>
      <c r="D11" s="199" t="str">
        <f>'2.1. DM'!D11</f>
        <v>Genbank</v>
      </c>
      <c r="E11" s="200">
        <f>'2.1. DM'!E11</f>
        <v>27</v>
      </c>
      <c r="F11" s="199" t="str">
        <f>'2.1. DM'!F11</f>
        <v>F251728</v>
      </c>
      <c r="G11" s="199" t="str">
        <f>'2.1. DM'!G11</f>
        <v>CIAT-13262</v>
      </c>
      <c r="H11" s="199" t="str">
        <f>'2.1. DM'!H11</f>
        <v>Dendrolobium</v>
      </c>
      <c r="I11" s="199" t="str">
        <f>'2.1. DM'!I11</f>
        <v>triangulare</v>
      </c>
      <c r="J11" s="199" t="str">
        <f>'2.1. DM'!J11</f>
        <v>Dendrolobium triangulare</v>
      </c>
      <c r="K11" s="199" t="str">
        <f>'2.1. DM'!K11</f>
        <v>Fabaceae</v>
      </c>
      <c r="L11" s="199" t="str">
        <f>'2.1. DM'!L11</f>
        <v>Fabales</v>
      </c>
      <c r="M11" s="199" t="str">
        <f>'2.1. DM'!M11</f>
        <v>Tree</v>
      </c>
      <c r="N11" s="310">
        <f>'2.1. DM'!P11</f>
        <v>94.902548725637061</v>
      </c>
      <c r="O11" s="341">
        <f>AVERAGE(N11:N12)</f>
        <v>94.932281959779715</v>
      </c>
      <c r="P11" s="18">
        <f>'2.1. DM'!R11</f>
        <v>8.6755336424545462</v>
      </c>
      <c r="Q11" s="341">
        <f>AVERAGE(P11:P12)</f>
        <v>8.6970264710569118</v>
      </c>
      <c r="R11" s="18">
        <f>'2.1. DM'!T11</f>
        <v>91.324466357545447</v>
      </c>
      <c r="S11" s="341">
        <f>AVERAGE(R11:R12)</f>
        <v>91.302973528943085</v>
      </c>
      <c r="T11" s="30">
        <f>TablePC[[#This Row],[Av DM 105]]</f>
        <v>18.980951082197933</v>
      </c>
      <c r="U11" s="341">
        <f>AVERAGE(T11:T12)</f>
        <v>18.980951082197933</v>
      </c>
      <c r="V11" s="30">
        <f>'2.3 ADF'!Q11</f>
        <v>47.874993257035051</v>
      </c>
      <c r="W11" s="341">
        <f>AVERAGE(V11:V12)</f>
        <v>47.523177057750779</v>
      </c>
      <c r="X11" s="30">
        <f>'2.4 NDF'!Q11</f>
        <v>61.504677678983363</v>
      </c>
      <c r="Y11" s="341">
        <f>AVERAGE(X11:X12)</f>
        <v>60.404358773318265</v>
      </c>
    </row>
    <row r="12" spans="2:25" x14ac:dyDescent="0.35">
      <c r="B12" s="19">
        <f>B11+1</f>
        <v>2</v>
      </c>
      <c r="C12" s="199">
        <f>'2.1. DM'!C12</f>
        <v>46041</v>
      </c>
      <c r="D12" s="199" t="str">
        <f>'2.1. DM'!D12</f>
        <v>Genbank</v>
      </c>
      <c r="E12" s="200">
        <f>'2.1. DM'!E12</f>
        <v>27</v>
      </c>
      <c r="F12" s="199" t="str">
        <f>'2.1. DM'!F12</f>
        <v>F251728</v>
      </c>
      <c r="G12" s="199" t="str">
        <f>'2.1. DM'!G12</f>
        <v>CIAT-13262</v>
      </c>
      <c r="H12" s="199" t="str">
        <f>'2.1. DM'!H12</f>
        <v>Dendrolobium</v>
      </c>
      <c r="I12" s="199" t="str">
        <f>'2.1. DM'!I12</f>
        <v>triangulare</v>
      </c>
      <c r="J12" s="199" t="str">
        <f>'2.1. DM'!J12</f>
        <v>Dendrolobium triangulare</v>
      </c>
      <c r="K12" s="199" t="str">
        <f>'2.1. DM'!K12</f>
        <v>Fabaceae</v>
      </c>
      <c r="L12" s="199" t="str">
        <f>'2.1. DM'!L12</f>
        <v>Fabales</v>
      </c>
      <c r="M12" s="199" t="str">
        <f>'2.1. DM'!M12</f>
        <v>Tree</v>
      </c>
      <c r="N12" s="310">
        <f>'2.1. DM'!P12</f>
        <v>94.962015193922369</v>
      </c>
      <c r="O12" s="341"/>
      <c r="P12" s="18">
        <f>'2.1. DM'!R12</f>
        <v>8.7185192996592775</v>
      </c>
      <c r="Q12" s="341"/>
      <c r="R12" s="18">
        <f>'2.1. DM'!T12</f>
        <v>91.281480700340722</v>
      </c>
      <c r="S12" s="341"/>
      <c r="T12" s="30">
        <f>TablePC[[#This Row],[Av DM 105]]</f>
        <v>18.980951082197933</v>
      </c>
      <c r="U12" s="341"/>
      <c r="V12" s="30">
        <f>'2.3 ADF'!Q12</f>
        <v>47.171360858466507</v>
      </c>
      <c r="W12" s="341"/>
      <c r="X12" s="30">
        <f>'2.4 NDF'!Q12</f>
        <v>59.304039867653167</v>
      </c>
      <c r="Y12" s="341"/>
    </row>
    <row r="13" spans="2:25" x14ac:dyDescent="0.35">
      <c r="B13" s="19">
        <f t="shared" ref="B13:B76" si="0">B12+1</f>
        <v>3</v>
      </c>
      <c r="C13" s="199">
        <f>'2.1. DM'!C13</f>
        <v>46041</v>
      </c>
      <c r="D13" s="199" t="str">
        <f>'2.1. DM'!D13</f>
        <v>Genbank</v>
      </c>
      <c r="E13" s="200">
        <f>'2.1. DM'!E13</f>
        <v>27</v>
      </c>
      <c r="F13" s="199" t="str">
        <f>'2.1. DM'!F13</f>
        <v>F251729</v>
      </c>
      <c r="G13" s="199" t="str">
        <f>'2.1. DM'!G13</f>
        <v>CIAT-13528</v>
      </c>
      <c r="H13" s="199" t="str">
        <f>'2.1. DM'!H13</f>
        <v>Dendrolobium</v>
      </c>
      <c r="I13" s="199" t="str">
        <f>'2.1. DM'!I13</f>
        <v>lanceolatum</v>
      </c>
      <c r="J13" s="199" t="str">
        <f>'2.1. DM'!J13</f>
        <v>Dendrolobium lanceolatum</v>
      </c>
      <c r="K13" s="199" t="str">
        <f>'2.1. DM'!K13</f>
        <v>Fabaceae</v>
      </c>
      <c r="L13" s="199" t="str">
        <f>'2.1. DM'!L13</f>
        <v>Fabales</v>
      </c>
      <c r="M13" s="199" t="str">
        <f>'2.1. DM'!M13</f>
        <v>Tree</v>
      </c>
      <c r="N13" s="310">
        <f>'2.1. DM'!P13</f>
        <v>95.000499950005079</v>
      </c>
      <c r="O13" s="341">
        <f>AVERAGE(N13:N14)</f>
        <v>95.045740876822194</v>
      </c>
      <c r="P13" s="18">
        <f>'2.1. DM'!R13</f>
        <v>7.585062734621614</v>
      </c>
      <c r="Q13" s="341">
        <f>AVERAGE(P13:P14)</f>
        <v>7.5846835573203437</v>
      </c>
      <c r="R13" s="18">
        <f>'2.1. DM'!T13</f>
        <v>92.414937265378384</v>
      </c>
      <c r="S13" s="341">
        <f>AVERAGE(R13:R14)</f>
        <v>92.415316442679654</v>
      </c>
      <c r="T13" s="30">
        <f>TablePC[[#This Row],[Av DM 105]]</f>
        <v>16.897001614940418</v>
      </c>
      <c r="U13" s="341">
        <f t="shared" ref="U13" si="1">AVERAGE(T13:T14)</f>
        <v>16.897001614940418</v>
      </c>
      <c r="V13" s="30">
        <f>'2.3 ADF'!Q13</f>
        <v>48.312754224691041</v>
      </c>
      <c r="W13" s="341">
        <f>AVERAGE(V13:V14)</f>
        <v>48.362187242896454</v>
      </c>
      <c r="X13" s="30">
        <f>'2.4 NDF'!Q13</f>
        <v>57.217055116378525</v>
      </c>
      <c r="Y13" s="341">
        <f>AVERAGE(X13:X14)</f>
        <v>56.879547867545071</v>
      </c>
    </row>
    <row r="14" spans="2:25" x14ac:dyDescent="0.35">
      <c r="B14" s="19">
        <f t="shared" si="0"/>
        <v>4</v>
      </c>
      <c r="C14" s="199">
        <f>'2.1. DM'!C14</f>
        <v>46041</v>
      </c>
      <c r="D14" s="199" t="str">
        <f>'2.1. DM'!D14</f>
        <v>Genbank</v>
      </c>
      <c r="E14" s="200">
        <f>'2.1. DM'!E14</f>
        <v>27</v>
      </c>
      <c r="F14" s="199" t="str">
        <f>'2.1. DM'!F14</f>
        <v>F251729</v>
      </c>
      <c r="G14" s="199" t="str">
        <f>'2.1. DM'!G14</f>
        <v>CIAT-13528</v>
      </c>
      <c r="H14" s="199" t="str">
        <f>'2.1. DM'!H14</f>
        <v>Dendrolobium</v>
      </c>
      <c r="I14" s="199" t="str">
        <f>'2.1. DM'!I14</f>
        <v>lanceolatum</v>
      </c>
      <c r="J14" s="199" t="str">
        <f>'2.1. DM'!J14</f>
        <v>Dendrolobium lanceolatum</v>
      </c>
      <c r="K14" s="199" t="str">
        <f>'2.1. DM'!K14</f>
        <v>Fabaceae</v>
      </c>
      <c r="L14" s="199" t="str">
        <f>'2.1. DM'!L14</f>
        <v>Fabales</v>
      </c>
      <c r="M14" s="199" t="str">
        <f>'2.1. DM'!M14</f>
        <v>Tree</v>
      </c>
      <c r="N14" s="310">
        <f>'2.1. DM'!P14</f>
        <v>95.090981803639309</v>
      </c>
      <c r="O14" s="341"/>
      <c r="P14" s="18">
        <f>'2.1. DM'!R14</f>
        <v>7.5843043800190735</v>
      </c>
      <c r="Q14" s="341"/>
      <c r="R14" s="18">
        <f>'2.1. DM'!T14</f>
        <v>92.415695619980923</v>
      </c>
      <c r="S14" s="341"/>
      <c r="T14" s="30">
        <f>TablePC[[#This Row],[Av DM 105]]</f>
        <v>16.897001614940418</v>
      </c>
      <c r="U14" s="341"/>
      <c r="V14" s="30">
        <f>'2.3 ADF'!Q14</f>
        <v>48.411620261101874</v>
      </c>
      <c r="W14" s="341"/>
      <c r="X14" s="30">
        <f>'2.4 NDF'!Q14</f>
        <v>56.542040618711617</v>
      </c>
      <c r="Y14" s="341"/>
    </row>
    <row r="15" spans="2:25" x14ac:dyDescent="0.35">
      <c r="B15" s="19">
        <f t="shared" si="0"/>
        <v>5</v>
      </c>
      <c r="C15" s="199">
        <f>'2.1. DM'!C15</f>
        <v>46041</v>
      </c>
      <c r="D15" s="199" t="str">
        <f>'2.1. DM'!D15</f>
        <v>Genbank</v>
      </c>
      <c r="E15" s="200">
        <f>'2.1. DM'!E15</f>
        <v>27</v>
      </c>
      <c r="F15" s="199" t="str">
        <f>'2.1. DM'!F15</f>
        <v>F251730</v>
      </c>
      <c r="G15" s="199" t="str">
        <f>'2.1. DM'!G15</f>
        <v>CIAT-13529</v>
      </c>
      <c r="H15" s="199" t="str">
        <f>'2.1. DM'!H15</f>
        <v>Dendrolobium</v>
      </c>
      <c r="I15" s="199" t="str">
        <f>'2.1. DM'!I15</f>
        <v>triangulare</v>
      </c>
      <c r="J15" s="199" t="str">
        <f>'2.1. DM'!J15</f>
        <v>Dendrolobium triangulare</v>
      </c>
      <c r="K15" s="199" t="str">
        <f>'2.1. DM'!K15</f>
        <v>Fabaceae</v>
      </c>
      <c r="L15" s="199" t="str">
        <f>'2.1. DM'!L15</f>
        <v>Fabales</v>
      </c>
      <c r="M15" s="199" t="str">
        <f>'2.1. DM'!M15</f>
        <v>Tree</v>
      </c>
      <c r="N15" s="310">
        <f>'2.1. DM'!P15</f>
        <v>94.30284857571209</v>
      </c>
      <c r="O15" s="341">
        <f>AVERAGE(N15:N16)</f>
        <v>94.356983176078415</v>
      </c>
      <c r="P15" s="18">
        <f>'2.1. DM'!R15</f>
        <v>6.7158056255176994</v>
      </c>
      <c r="Q15" s="341">
        <f>AVERAGE(P15:P16)</f>
        <v>6.6903229685698147</v>
      </c>
      <c r="R15" s="18">
        <f>'2.1. DM'!T15</f>
        <v>93.284194374482297</v>
      </c>
      <c r="S15" s="341">
        <f>AVERAGE(R15:R16)</f>
        <v>93.309677031430184</v>
      </c>
      <c r="T15" s="30">
        <f>TablePC[[#This Row],[Av DM 105]]</f>
        <v>18.170976041618641</v>
      </c>
      <c r="U15" s="341">
        <f t="shared" ref="U15" si="2">AVERAGE(T15:T16)</f>
        <v>18.170976041618641</v>
      </c>
      <c r="V15" s="30">
        <f>'2.3 ADF'!Q15</f>
        <v>44.493065843207802</v>
      </c>
      <c r="W15" s="341">
        <f>AVERAGE(V15:V16)</f>
        <v>45.328121185749261</v>
      </c>
      <c r="X15" s="30">
        <f>'2.4 NDF'!Q15</f>
        <v>61.915823880617474</v>
      </c>
      <c r="Y15" s="341">
        <f>AVERAGE(X15:X16)</f>
        <v>59.943984836340981</v>
      </c>
    </row>
    <row r="16" spans="2:25" x14ac:dyDescent="0.35">
      <c r="B16" s="19">
        <f t="shared" si="0"/>
        <v>6</v>
      </c>
      <c r="C16" s="199">
        <f>'2.1. DM'!C16</f>
        <v>46041</v>
      </c>
      <c r="D16" s="199" t="str">
        <f>'2.1. DM'!D16</f>
        <v>Genbank</v>
      </c>
      <c r="E16" s="200">
        <f>'2.1. DM'!E16</f>
        <v>27</v>
      </c>
      <c r="F16" s="199" t="str">
        <f>'2.1. DM'!F16</f>
        <v>F251730</v>
      </c>
      <c r="G16" s="199" t="str">
        <f>'2.1. DM'!G16</f>
        <v>CIAT-13529</v>
      </c>
      <c r="H16" s="199" t="str">
        <f>'2.1. DM'!H16</f>
        <v>Dendrolobium</v>
      </c>
      <c r="I16" s="199" t="str">
        <f>'2.1. DM'!I16</f>
        <v>triangulare</v>
      </c>
      <c r="J16" s="199" t="str">
        <f>'2.1. DM'!J16</f>
        <v>Dendrolobium triangulare</v>
      </c>
      <c r="K16" s="199" t="str">
        <f>'2.1. DM'!K16</f>
        <v>Fabaceae</v>
      </c>
      <c r="L16" s="199" t="str">
        <f>'2.1. DM'!L16</f>
        <v>Fabales</v>
      </c>
      <c r="M16" s="199" t="str">
        <f>'2.1. DM'!M16</f>
        <v>Tree</v>
      </c>
      <c r="N16" s="310">
        <f>'2.1. DM'!P16</f>
        <v>94.411117776444726</v>
      </c>
      <c r="O16" s="341"/>
      <c r="P16" s="18">
        <f>'2.1. DM'!R16</f>
        <v>6.664840311621929</v>
      </c>
      <c r="Q16" s="341"/>
      <c r="R16" s="18">
        <f>'2.1. DM'!T16</f>
        <v>93.33515968837807</v>
      </c>
      <c r="S16" s="341"/>
      <c r="T16" s="30">
        <f>TablePC[[#This Row],[Av DM 105]]</f>
        <v>18.170976041618641</v>
      </c>
      <c r="U16" s="341"/>
      <c r="V16" s="30">
        <f>'2.3 ADF'!Q16</f>
        <v>46.16317652829072</v>
      </c>
      <c r="W16" s="341"/>
      <c r="X16" s="30">
        <f>'2.4 NDF'!Q16</f>
        <v>57.972145792064488</v>
      </c>
      <c r="Y16" s="341"/>
    </row>
    <row r="17" spans="2:25" x14ac:dyDescent="0.35">
      <c r="B17" s="19">
        <f t="shared" si="0"/>
        <v>7</v>
      </c>
      <c r="C17" s="199">
        <f>'2.1. DM'!C17</f>
        <v>46041</v>
      </c>
      <c r="D17" s="199" t="str">
        <f>'2.1. DM'!D17</f>
        <v>Genbank</v>
      </c>
      <c r="E17" s="200">
        <f>'2.1. DM'!E17</f>
        <v>27</v>
      </c>
      <c r="F17" s="199" t="str">
        <f>'2.1. DM'!F17</f>
        <v>F251731</v>
      </c>
      <c r="G17" s="199" t="str">
        <f>'2.1. DM'!G17</f>
        <v>CIAT-13710</v>
      </c>
      <c r="H17" s="199" t="str">
        <f>'2.1. DM'!H17</f>
        <v>Dendrolobium</v>
      </c>
      <c r="I17" s="199" t="str">
        <f>'2.1. DM'!I17</f>
        <v>lanceolatum</v>
      </c>
      <c r="J17" s="199" t="str">
        <f>'2.1. DM'!J17</f>
        <v>Dendrolobium lanceolatum</v>
      </c>
      <c r="K17" s="199" t="str">
        <f>'2.1. DM'!K17</f>
        <v>Fabaceae</v>
      </c>
      <c r="L17" s="199" t="str">
        <f>'2.1. DM'!L17</f>
        <v>Fabales</v>
      </c>
      <c r="M17" s="199" t="str">
        <f>'2.1. DM'!M17</f>
        <v>Tree</v>
      </c>
      <c r="N17" s="310">
        <f>'2.1. DM'!P17</f>
        <v>94.09295352323845</v>
      </c>
      <c r="O17" s="341">
        <f>AVERAGE(N17:N18)</f>
        <v>94.132642295405702</v>
      </c>
      <c r="P17" s="18">
        <f>'2.1. DM'!R17</f>
        <v>7.5493968971042964</v>
      </c>
      <c r="Q17" s="341">
        <f>AVERAGE(P17:P18)</f>
        <v>7.4913693869890468</v>
      </c>
      <c r="R17" s="18">
        <f>'2.1. DM'!T17</f>
        <v>92.450603102895698</v>
      </c>
      <c r="S17" s="341">
        <f>AVERAGE(R17:R18)</f>
        <v>92.508630613010951</v>
      </c>
      <c r="T17" s="30">
        <f>TablePC[[#This Row],[Av DM 105]]</f>
        <v>19.138187821274556</v>
      </c>
      <c r="U17" s="341">
        <f t="shared" ref="U17" si="3">AVERAGE(T17:T18)</f>
        <v>19.138187821274556</v>
      </c>
      <c r="V17" s="30">
        <f>'2.3 ADF'!Q17</f>
        <v>53.587566889009054</v>
      </c>
      <c r="W17" s="341">
        <f>AVERAGE(V17:V18)</f>
        <v>55.171776839485076</v>
      </c>
      <c r="X17" s="30">
        <f>'2.4 NDF'!Q17</f>
        <v>63.795737375394047</v>
      </c>
      <c r="Y17" s="341">
        <f>AVERAGE(X17:X18)</f>
        <v>64.357002509200385</v>
      </c>
    </row>
    <row r="18" spans="2:25" x14ac:dyDescent="0.35">
      <c r="B18" s="19">
        <f t="shared" si="0"/>
        <v>8</v>
      </c>
      <c r="C18" s="199">
        <f>'2.1. DM'!C18</f>
        <v>46041</v>
      </c>
      <c r="D18" s="199" t="str">
        <f>'2.1. DM'!D18</f>
        <v>Genbank</v>
      </c>
      <c r="E18" s="200">
        <f>'2.1. DM'!E18</f>
        <v>27</v>
      </c>
      <c r="F18" s="199" t="str">
        <f>'2.1. DM'!F18</f>
        <v>F251731</v>
      </c>
      <c r="G18" s="199" t="str">
        <f>'2.1. DM'!G18</f>
        <v>CIAT-13710</v>
      </c>
      <c r="H18" s="199" t="str">
        <f>'2.1. DM'!H18</f>
        <v>Dendrolobium</v>
      </c>
      <c r="I18" s="199" t="str">
        <f>'2.1. DM'!I18</f>
        <v>lanceolatum</v>
      </c>
      <c r="J18" s="199" t="str">
        <f>'2.1. DM'!J18</f>
        <v>Dendrolobium lanceolatum</v>
      </c>
      <c r="K18" s="199" t="str">
        <f>'2.1. DM'!K18</f>
        <v>Fabaceae</v>
      </c>
      <c r="L18" s="199" t="str">
        <f>'2.1. DM'!L18</f>
        <v>Fabales</v>
      </c>
      <c r="M18" s="199" t="str">
        <f>'2.1. DM'!M18</f>
        <v>Tree</v>
      </c>
      <c r="N18" s="310">
        <f>'2.1. DM'!P18</f>
        <v>94.172331067572969</v>
      </c>
      <c r="O18" s="341"/>
      <c r="P18" s="18">
        <f>'2.1. DM'!R18</f>
        <v>7.4333418768737971</v>
      </c>
      <c r="Q18" s="341"/>
      <c r="R18" s="18">
        <f>'2.1. DM'!T18</f>
        <v>92.566658123126203</v>
      </c>
      <c r="S18" s="341"/>
      <c r="T18" s="30">
        <f>TablePC[[#This Row],[Av DM 105]]</f>
        <v>19.138187821274556</v>
      </c>
      <c r="U18" s="341"/>
      <c r="V18" s="30">
        <f>'2.3 ADF'!Q18</f>
        <v>56.755986789961099</v>
      </c>
      <c r="W18" s="341"/>
      <c r="X18" s="30">
        <f>'2.4 NDF'!Q18</f>
        <v>64.918267643006729</v>
      </c>
      <c r="Y18" s="341"/>
    </row>
    <row r="19" spans="2:25" x14ac:dyDescent="0.35">
      <c r="B19" s="19">
        <f t="shared" si="0"/>
        <v>9</v>
      </c>
      <c r="C19" s="199">
        <f>'2.1. DM'!C19</f>
        <v>46041</v>
      </c>
      <c r="D19" s="199" t="str">
        <f>'2.1. DM'!D19</f>
        <v>Genbank</v>
      </c>
      <c r="E19" s="200">
        <f>'2.1. DM'!E19</f>
        <v>27</v>
      </c>
      <c r="F19" s="199" t="str">
        <f>'2.1. DM'!F19</f>
        <v>F251732</v>
      </c>
      <c r="G19" s="199" t="str">
        <f>'2.1. DM'!G19</f>
        <v>CIAT-22004</v>
      </c>
      <c r="H19" s="199" t="str">
        <f>'2.1. DM'!H19</f>
        <v>Dendrolobium</v>
      </c>
      <c r="I19" s="199" t="str">
        <f>'2.1. DM'!I19</f>
        <v>triangulare</v>
      </c>
      <c r="J19" s="199" t="str">
        <f>'2.1. DM'!J19</f>
        <v>Dendrolobium triangulare</v>
      </c>
      <c r="K19" s="199" t="str">
        <f>'2.1. DM'!K19</f>
        <v>Fabaceae</v>
      </c>
      <c r="L19" s="199" t="str">
        <f>'2.1. DM'!L19</f>
        <v>Fabales</v>
      </c>
      <c r="M19" s="199" t="str">
        <f>'2.1. DM'!M19</f>
        <v>Tree</v>
      </c>
      <c r="N19" s="310">
        <f>'2.1. DM'!P19</f>
        <v>94.180581941805769</v>
      </c>
      <c r="O19" s="341">
        <f>AVERAGE(N19:N20)</f>
        <v>94.295849859125241</v>
      </c>
      <c r="P19" s="18">
        <f>'2.1. DM'!R19</f>
        <v>6.7864705324296128</v>
      </c>
      <c r="Q19" s="341">
        <f>AVERAGE(P19:P20)</f>
        <v>6.8126382768364504</v>
      </c>
      <c r="R19" s="18">
        <f>'2.1. DM'!T19</f>
        <v>93.213529467570382</v>
      </c>
      <c r="S19" s="341">
        <f>AVERAGE(R19:R20)</f>
        <v>93.187361723163548</v>
      </c>
      <c r="T19" s="30">
        <f>TablePC[[#This Row],[Av DM 105]]</f>
        <v>17.582279628179812</v>
      </c>
      <c r="U19" s="341">
        <f t="shared" ref="U19" si="4">AVERAGE(T19:T20)</f>
        <v>17.582279628179812</v>
      </c>
      <c r="V19" s="30">
        <f>'2.3 ADF'!Q19</f>
        <v>49.288703373375412</v>
      </c>
      <c r="W19" s="341">
        <f>AVERAGE(V19:V20)</f>
        <v>49.203135014066248</v>
      </c>
      <c r="X19" s="30">
        <f>'2.4 NDF'!Q19</f>
        <v>62.658193597523514</v>
      </c>
      <c r="Y19" s="341">
        <f>AVERAGE(X19:X20)</f>
        <v>63.608525816852733</v>
      </c>
    </row>
    <row r="20" spans="2:25" x14ac:dyDescent="0.35">
      <c r="B20" s="19">
        <f t="shared" si="0"/>
        <v>10</v>
      </c>
      <c r="C20" s="199">
        <f>'2.1. DM'!C20</f>
        <v>46041</v>
      </c>
      <c r="D20" s="199" t="str">
        <f>'2.1. DM'!D20</f>
        <v>Genbank</v>
      </c>
      <c r="E20" s="200">
        <f>'2.1. DM'!E20</f>
        <v>27</v>
      </c>
      <c r="F20" s="199" t="str">
        <f>'2.1. DM'!F20</f>
        <v>F251732</v>
      </c>
      <c r="G20" s="199" t="str">
        <f>'2.1. DM'!G20</f>
        <v>CIAT-22004</v>
      </c>
      <c r="H20" s="199" t="str">
        <f>'2.1. DM'!H20</f>
        <v>Dendrolobium</v>
      </c>
      <c r="I20" s="199" t="str">
        <f>'2.1. DM'!I20</f>
        <v>triangulare</v>
      </c>
      <c r="J20" s="199" t="str">
        <f>'2.1. DM'!J20</f>
        <v>Dendrolobium triangulare</v>
      </c>
      <c r="K20" s="199" t="str">
        <f>'2.1. DM'!K20</f>
        <v>Fabaceae</v>
      </c>
      <c r="L20" s="199" t="str">
        <f>'2.1. DM'!L20</f>
        <v>Fabales</v>
      </c>
      <c r="M20" s="199" t="str">
        <f>'2.1. DM'!M20</f>
        <v>Tree</v>
      </c>
      <c r="N20" s="310">
        <f>'2.1. DM'!P20</f>
        <v>94.411117776444726</v>
      </c>
      <c r="O20" s="341"/>
      <c r="P20" s="18">
        <f>'2.1. DM'!R20</f>
        <v>6.8388060212432888</v>
      </c>
      <c r="Q20" s="341"/>
      <c r="R20" s="18">
        <f>'2.1. DM'!T20</f>
        <v>93.161193978756714</v>
      </c>
      <c r="S20" s="341"/>
      <c r="T20" s="30">
        <f>TablePC[[#This Row],[Av DM 105]]</f>
        <v>17.582279628179812</v>
      </c>
      <c r="U20" s="341"/>
      <c r="V20" s="30">
        <f>'2.3 ADF'!Q20</f>
        <v>49.117566654757091</v>
      </c>
      <c r="W20" s="341"/>
      <c r="X20" s="30">
        <f>'2.4 NDF'!Q20</f>
        <v>64.55885803618196</v>
      </c>
      <c r="Y20" s="341"/>
    </row>
    <row r="21" spans="2:25" x14ac:dyDescent="0.35">
      <c r="B21" s="19">
        <f t="shared" si="0"/>
        <v>11</v>
      </c>
      <c r="C21" s="199">
        <f>'2.1. DM'!C21</f>
        <v>46041</v>
      </c>
      <c r="D21" s="199" t="str">
        <f>'2.1. DM'!D21</f>
        <v>Genbank</v>
      </c>
      <c r="E21" s="200">
        <f>'2.1. DM'!E21</f>
        <v>27</v>
      </c>
      <c r="F21" s="199" t="str">
        <f>'2.1. DM'!F21</f>
        <v>F251733</v>
      </c>
      <c r="G21" s="199" t="str">
        <f>'2.1. DM'!G21</f>
        <v>CIAT-23104</v>
      </c>
      <c r="H21" s="199" t="str">
        <f>'2.1. DM'!H21</f>
        <v>Dendrolobium</v>
      </c>
      <c r="I21" s="199" t="str">
        <f>'2.1. DM'!I21</f>
        <v>triangulare</v>
      </c>
      <c r="J21" s="199" t="str">
        <f>'2.1. DM'!J21</f>
        <v>Dendrolobium triangulare</v>
      </c>
      <c r="K21" s="199" t="str">
        <f>'2.1. DM'!K21</f>
        <v>Fabaceae</v>
      </c>
      <c r="L21" s="199" t="str">
        <f>'2.1. DM'!L21</f>
        <v>Fabales</v>
      </c>
      <c r="M21" s="199" t="str">
        <f>'2.1. DM'!M21</f>
        <v>Tree</v>
      </c>
      <c r="N21" s="310">
        <f>'2.1. DM'!P21</f>
        <v>92.622950819672013</v>
      </c>
      <c r="O21" s="341">
        <f>AVERAGE(N21:N22)</f>
        <v>92.632579078735347</v>
      </c>
      <c r="P21" s="18">
        <f>'2.1. DM'!R21</f>
        <v>7.0357460707675763</v>
      </c>
      <c r="Q21" s="341">
        <f>AVERAGE(P21:P22)</f>
        <v>6.9983254013085654</v>
      </c>
      <c r="R21" s="18">
        <f>'2.1. DM'!T21</f>
        <v>92.964253929232427</v>
      </c>
      <c r="S21" s="341">
        <f>AVERAGE(R21:R22)</f>
        <v>93.001674598691437</v>
      </c>
      <c r="T21" s="30">
        <f>TablePC[[#This Row],[Av DM 105]]</f>
        <v>19.394716052821558</v>
      </c>
      <c r="U21" s="341">
        <f t="shared" ref="U21" si="5">AVERAGE(T21:T22)</f>
        <v>19.394716052821558</v>
      </c>
      <c r="V21" s="30">
        <f>'2.3 ADF'!Q21</f>
        <v>55.829591289909239</v>
      </c>
      <c r="W21" s="341">
        <f>AVERAGE(V21:V22)</f>
        <v>57.005039033422221</v>
      </c>
      <c r="X21" s="30">
        <f>'2.4 NDF'!Q21</f>
        <v>66.326560948931771</v>
      </c>
      <c r="Y21" s="341">
        <f>AVERAGE(X21:X22)</f>
        <v>67.219530028063701</v>
      </c>
    </row>
    <row r="22" spans="2:25" x14ac:dyDescent="0.35">
      <c r="B22" s="19">
        <f t="shared" si="0"/>
        <v>12</v>
      </c>
      <c r="C22" s="199">
        <f>'2.1. DM'!C22</f>
        <v>46041</v>
      </c>
      <c r="D22" s="199" t="str">
        <f>'2.1. DM'!D22</f>
        <v>Genbank</v>
      </c>
      <c r="E22" s="200">
        <f>'2.1. DM'!E22</f>
        <v>27</v>
      </c>
      <c r="F22" s="199" t="str">
        <f>'2.1. DM'!F22</f>
        <v>F251733</v>
      </c>
      <c r="G22" s="199" t="str">
        <f>'2.1. DM'!G22</f>
        <v>CIAT-23104</v>
      </c>
      <c r="H22" s="199" t="str">
        <f>'2.1. DM'!H22</f>
        <v>Dendrolobium</v>
      </c>
      <c r="I22" s="199" t="str">
        <f>'2.1. DM'!I22</f>
        <v>triangulare</v>
      </c>
      <c r="J22" s="199" t="str">
        <f>'2.1. DM'!J22</f>
        <v>Dendrolobium triangulare</v>
      </c>
      <c r="K22" s="199" t="str">
        <f>'2.1. DM'!K22</f>
        <v>Fabaceae</v>
      </c>
      <c r="L22" s="199" t="str">
        <f>'2.1. DM'!L22</f>
        <v>Fabales</v>
      </c>
      <c r="M22" s="199" t="str">
        <f>'2.1. DM'!M22</f>
        <v>Tree</v>
      </c>
      <c r="N22" s="310">
        <f>'2.1. DM'!P22</f>
        <v>92.642207337798695</v>
      </c>
      <c r="O22" s="341"/>
      <c r="P22" s="18">
        <f>'2.1. DM'!R22</f>
        <v>6.9609047318495545</v>
      </c>
      <c r="Q22" s="341"/>
      <c r="R22" s="18">
        <f>'2.1. DM'!T22</f>
        <v>93.039095268150447</v>
      </c>
      <c r="S22" s="341"/>
      <c r="T22" s="30">
        <f>TablePC[[#This Row],[Av DM 105]]</f>
        <v>19.394716052821558</v>
      </c>
      <c r="U22" s="341"/>
      <c r="V22" s="30">
        <f>'2.3 ADF'!Q22</f>
        <v>58.180486776935211</v>
      </c>
      <c r="W22" s="341"/>
      <c r="X22" s="30">
        <f>'2.4 NDF'!Q22</f>
        <v>68.112499107195617</v>
      </c>
      <c r="Y22" s="341"/>
    </row>
    <row r="23" spans="2:25" x14ac:dyDescent="0.35">
      <c r="B23" s="19">
        <f t="shared" si="0"/>
        <v>13</v>
      </c>
      <c r="C23" s="199">
        <f>'2.1. DM'!C23</f>
        <v>46041</v>
      </c>
      <c r="D23" s="199" t="str">
        <f>'2.1. DM'!D23</f>
        <v>Genbank</v>
      </c>
      <c r="E23" s="200">
        <f>'2.1. DM'!E23</f>
        <v>27</v>
      </c>
      <c r="F23" s="199" t="str">
        <f>'2.1. DM'!F23</f>
        <v>F251734</v>
      </c>
      <c r="G23" s="199" t="str">
        <f>'2.1. DM'!G23</f>
        <v>CIAT-23106</v>
      </c>
      <c r="H23" s="199" t="str">
        <f>'2.1. DM'!H23</f>
        <v>Dendrolobium</v>
      </c>
      <c r="I23" s="199" t="str">
        <f>'2.1. DM'!I23</f>
        <v>triangulare</v>
      </c>
      <c r="J23" s="199" t="str">
        <f>'2.1. DM'!J23</f>
        <v>Dendrolobium triangulare</v>
      </c>
      <c r="K23" s="199" t="str">
        <f>'2.1. DM'!K23</f>
        <v>Fabaceae</v>
      </c>
      <c r="L23" s="199" t="str">
        <f>'2.1. DM'!L23</f>
        <v>Fabales</v>
      </c>
      <c r="M23" s="199" t="str">
        <f>'2.1. DM'!M23</f>
        <v>Tree</v>
      </c>
      <c r="N23" s="310">
        <f>'2.1. DM'!P23</f>
        <v>94.502748625687076</v>
      </c>
      <c r="O23" s="341">
        <f>AVERAGE(N23:N24)</f>
        <v>94.652673663168372</v>
      </c>
      <c r="P23" s="18">
        <f>'2.1. DM'!R23</f>
        <v>6.8004223864835431</v>
      </c>
      <c r="Q23" s="341">
        <f>AVERAGE(P23:P24)</f>
        <v>6.8532206969376732</v>
      </c>
      <c r="R23" s="18">
        <f>'2.1. DM'!T23</f>
        <v>93.199577613516453</v>
      </c>
      <c r="S23" s="341">
        <f>AVERAGE(R23:R24)</f>
        <v>93.146779303062317</v>
      </c>
      <c r="T23" s="30">
        <f>TablePC[[#This Row],[Av DM 105]]</f>
        <v>21.885308885955659</v>
      </c>
      <c r="U23" s="341">
        <f t="shared" ref="U23" si="6">AVERAGE(T23:T24)</f>
        <v>21.885308885955659</v>
      </c>
      <c r="V23" s="30">
        <f>'2.3 ADF'!Q23</f>
        <v>56.170695531436941</v>
      </c>
      <c r="W23" s="341">
        <f>AVERAGE(V23:V24)</f>
        <v>55.750984880021235</v>
      </c>
      <c r="X23" s="30">
        <f>'2.4 NDF'!Q23</f>
        <v>68.634416370889056</v>
      </c>
      <c r="Y23" s="341">
        <f>AVERAGE(X23:X24)</f>
        <v>67.761006152431818</v>
      </c>
    </row>
    <row r="24" spans="2:25" x14ac:dyDescent="0.35">
      <c r="B24" s="19">
        <f t="shared" si="0"/>
        <v>14</v>
      </c>
      <c r="C24" s="199">
        <f>'2.1. DM'!C24</f>
        <v>46041</v>
      </c>
      <c r="D24" s="199" t="str">
        <f>'2.1. DM'!D24</f>
        <v>Genbank</v>
      </c>
      <c r="E24" s="200">
        <f>'2.1. DM'!E24</f>
        <v>27</v>
      </c>
      <c r="F24" s="199" t="str">
        <f>'2.1. DM'!F24</f>
        <v>F251734</v>
      </c>
      <c r="G24" s="199" t="str">
        <f>'2.1. DM'!G24</f>
        <v>CIAT-23106</v>
      </c>
      <c r="H24" s="199" t="str">
        <f>'2.1. DM'!H24</f>
        <v>Dendrolobium</v>
      </c>
      <c r="I24" s="199" t="str">
        <f>'2.1. DM'!I24</f>
        <v>triangulare</v>
      </c>
      <c r="J24" s="199" t="str">
        <f>'2.1. DM'!J24</f>
        <v>Dendrolobium triangulare</v>
      </c>
      <c r="K24" s="199" t="str">
        <f>'2.1. DM'!K24</f>
        <v>Fabaceae</v>
      </c>
      <c r="L24" s="199" t="str">
        <f>'2.1. DM'!L24</f>
        <v>Fabales</v>
      </c>
      <c r="M24" s="199" t="str">
        <f>'2.1. DM'!M24</f>
        <v>Tree</v>
      </c>
      <c r="N24" s="310">
        <f>'2.1. DM'!P24</f>
        <v>94.802598700649682</v>
      </c>
      <c r="O24" s="341"/>
      <c r="P24" s="18">
        <f>'2.1. DM'!R24</f>
        <v>6.9060190073918033</v>
      </c>
      <c r="Q24" s="341"/>
      <c r="R24" s="18">
        <f>'2.1. DM'!T24</f>
        <v>93.093980992608195</v>
      </c>
      <c r="S24" s="341"/>
      <c r="T24" s="30">
        <f>TablePC[[#This Row],[Av DM 105]]</f>
        <v>21.885308885955659</v>
      </c>
      <c r="U24" s="341"/>
      <c r="V24" s="30">
        <f>'2.3 ADF'!Q24</f>
        <v>55.331274228605523</v>
      </c>
      <c r="W24" s="341"/>
      <c r="X24" s="30">
        <f>'2.4 NDF'!Q24</f>
        <v>66.88759593397458</v>
      </c>
      <c r="Y24" s="341"/>
    </row>
    <row r="25" spans="2:25" x14ac:dyDescent="0.35">
      <c r="B25" s="19">
        <f t="shared" si="0"/>
        <v>15</v>
      </c>
      <c r="C25" s="199">
        <f>'2.1. DM'!C25</f>
        <v>46041</v>
      </c>
      <c r="D25" s="199" t="str">
        <f>'2.1. DM'!D25</f>
        <v>Genbank</v>
      </c>
      <c r="E25" s="200">
        <f>'2.1. DM'!E25</f>
        <v>27</v>
      </c>
      <c r="F25" s="199" t="str">
        <f>'2.1. DM'!F25</f>
        <v>F251735</v>
      </c>
      <c r="G25" s="199" t="str">
        <f>'2.1. DM'!G25</f>
        <v>CIAT-23107</v>
      </c>
      <c r="H25" s="199" t="str">
        <f>'2.1. DM'!H25</f>
        <v>Dendrolobium</v>
      </c>
      <c r="I25" s="199" t="str">
        <f>'2.1. DM'!I25</f>
        <v>triangulare</v>
      </c>
      <c r="J25" s="199" t="str">
        <f>'2.1. DM'!J25</f>
        <v>Dendrolobium triangulare</v>
      </c>
      <c r="K25" s="199" t="str">
        <f>'2.1. DM'!K25</f>
        <v>Fabaceae</v>
      </c>
      <c r="L25" s="199" t="str">
        <f>'2.1. DM'!L25</f>
        <v>Fabales</v>
      </c>
      <c r="M25" s="199" t="str">
        <f>'2.1. DM'!M25</f>
        <v>Tree</v>
      </c>
      <c r="N25" s="310">
        <f>'2.1. DM'!P25</f>
        <v>94.962518740629605</v>
      </c>
      <c r="O25" s="341">
        <f>AVERAGE(N25:N26)</f>
        <v>94.987007645832151</v>
      </c>
      <c r="P25" s="18">
        <f>'2.1. DM'!R25</f>
        <v>6.8396213179086507</v>
      </c>
      <c r="Q25" s="341">
        <f>AVERAGE(P25:P26)</f>
        <v>6.9192395614354751</v>
      </c>
      <c r="R25" s="18">
        <f>'2.1. DM'!T25</f>
        <v>93.160378682091348</v>
      </c>
      <c r="S25" s="341">
        <f>AVERAGE(R25:R26)</f>
        <v>93.080760438564525</v>
      </c>
      <c r="T25" s="30">
        <f>TablePC[[#This Row],[Av DM 105]]</f>
        <v>21.240817132160643</v>
      </c>
      <c r="U25" s="341">
        <f t="shared" ref="U25" si="7">AVERAGE(T25:T26)</f>
        <v>21.240817132160643</v>
      </c>
      <c r="V25" s="30">
        <f>'2.3 ADF'!Q25</f>
        <v>51.066965583557888</v>
      </c>
      <c r="W25" s="341">
        <f>AVERAGE(V25:V26)</f>
        <v>51.070861809657387</v>
      </c>
      <c r="X25" s="30">
        <f>'2.4 NDF'!Q25</f>
        <v>67.34624902643462</v>
      </c>
      <c r="Y25" s="341">
        <f>AVERAGE(X25:X26)</f>
        <v>67.216777899476341</v>
      </c>
    </row>
    <row r="26" spans="2:25" x14ac:dyDescent="0.35">
      <c r="B26" s="19">
        <f t="shared" si="0"/>
        <v>16</v>
      </c>
      <c r="C26" s="199">
        <f>'2.1. DM'!C26</f>
        <v>46041</v>
      </c>
      <c r="D26" s="199" t="str">
        <f>'2.1. DM'!D26</f>
        <v>Genbank</v>
      </c>
      <c r="E26" s="200">
        <f>'2.1. DM'!E26</f>
        <v>27</v>
      </c>
      <c r="F26" s="199" t="str">
        <f>'2.1. DM'!F26</f>
        <v>F251735</v>
      </c>
      <c r="G26" s="199" t="str">
        <f>'2.1. DM'!G26</f>
        <v>CIAT-23107</v>
      </c>
      <c r="H26" s="199" t="str">
        <f>'2.1. DM'!H26</f>
        <v>Dendrolobium</v>
      </c>
      <c r="I26" s="199" t="str">
        <f>'2.1. DM'!I26</f>
        <v>triangulare</v>
      </c>
      <c r="J26" s="199" t="str">
        <f>'2.1. DM'!J26</f>
        <v>Dendrolobium triangulare</v>
      </c>
      <c r="K26" s="199" t="str">
        <f>'2.1. DM'!K26</f>
        <v>Fabaceae</v>
      </c>
      <c r="L26" s="199" t="str">
        <f>'2.1. DM'!L26</f>
        <v>Fabales</v>
      </c>
      <c r="M26" s="199" t="str">
        <f>'2.1. DM'!M26</f>
        <v>Tree</v>
      </c>
      <c r="N26" s="310">
        <f>'2.1. DM'!P26</f>
        <v>95.011496551034696</v>
      </c>
      <c r="O26" s="341"/>
      <c r="P26" s="18">
        <f>'2.1. DM'!R26</f>
        <v>6.9988578049622996</v>
      </c>
      <c r="Q26" s="341"/>
      <c r="R26" s="18">
        <f>'2.1. DM'!T26</f>
        <v>93.001142195037701</v>
      </c>
      <c r="S26" s="341"/>
      <c r="T26" s="30">
        <f>TablePC[[#This Row],[Av DM 105]]</f>
        <v>21.240817132160643</v>
      </c>
      <c r="U26" s="341"/>
      <c r="V26" s="30">
        <f>'2.3 ADF'!Q26</f>
        <v>51.074758035756894</v>
      </c>
      <c r="W26" s="341"/>
      <c r="X26" s="30">
        <f>'2.4 NDF'!Q26</f>
        <v>67.087306772518062</v>
      </c>
      <c r="Y26" s="341"/>
    </row>
    <row r="27" spans="2:25" x14ac:dyDescent="0.35">
      <c r="B27" s="19">
        <f t="shared" si="0"/>
        <v>17</v>
      </c>
      <c r="C27" s="199">
        <f>'2.1. DM'!C27</f>
        <v>46041</v>
      </c>
      <c r="D27" s="199" t="str">
        <f>'2.1. DM'!D27</f>
        <v>Genbank</v>
      </c>
      <c r="E27" s="200">
        <f>'2.1. DM'!E27</f>
        <v>27</v>
      </c>
      <c r="F27" s="199" t="str">
        <f>'2.1. DM'!F27</f>
        <v>F251736</v>
      </c>
      <c r="G27" s="199" t="str">
        <f>'2.1. DM'!G27</f>
        <v>CIAT-23108</v>
      </c>
      <c r="H27" s="199" t="str">
        <f>'2.1. DM'!H27</f>
        <v>Dendrolobium</v>
      </c>
      <c r="I27" s="199" t="str">
        <f>'2.1. DM'!I27</f>
        <v>triangulare</v>
      </c>
      <c r="J27" s="199" t="str">
        <f>'2.1. DM'!J27</f>
        <v>Dendrolobium triangulare</v>
      </c>
      <c r="K27" s="199" t="str">
        <f>'2.1. DM'!K27</f>
        <v>Fabaceae</v>
      </c>
      <c r="L27" s="199" t="str">
        <f>'2.1. DM'!L27</f>
        <v>Fabales</v>
      </c>
      <c r="M27" s="199" t="str">
        <f>'2.1. DM'!M27</f>
        <v>Tree</v>
      </c>
      <c r="N27" s="310">
        <f>'2.1. DM'!P27</f>
        <v>94.473316010393901</v>
      </c>
      <c r="O27" s="341">
        <f>AVERAGE(N27:N28)</f>
        <v>94.543274035578719</v>
      </c>
      <c r="P27" s="18">
        <f>'2.1. DM'!R27</f>
        <v>6.8710359408035133</v>
      </c>
      <c r="Q27" s="341">
        <f>AVERAGE(P27:P28)</f>
        <v>6.9291754756871917</v>
      </c>
      <c r="R27" s="18">
        <f>'2.1. DM'!T27</f>
        <v>93.128964059196491</v>
      </c>
      <c r="S27" s="341">
        <f>AVERAGE(R27:R28)</f>
        <v>93.070824524312812</v>
      </c>
      <c r="T27" s="30">
        <f>TablePC[[#This Row],[Av DM 105]]</f>
        <v>21.587331260994091</v>
      </c>
      <c r="U27" s="341">
        <f t="shared" ref="U27" si="8">AVERAGE(T27:T28)</f>
        <v>21.587331260994091</v>
      </c>
      <c r="V27" s="30">
        <f>'2.3 ADF'!Q27</f>
        <v>58.313248197392156</v>
      </c>
      <c r="W27" s="341">
        <f>AVERAGE(V27:V28)</f>
        <v>58.167411455478486</v>
      </c>
      <c r="X27" s="30">
        <f>'2.4 NDF'!Q27</f>
        <v>69.587165742795591</v>
      </c>
      <c r="Y27" s="341">
        <f>AVERAGE(X27:X28)</f>
        <v>69.366100630903134</v>
      </c>
    </row>
    <row r="28" spans="2:25" x14ac:dyDescent="0.35">
      <c r="B28" s="19">
        <f t="shared" si="0"/>
        <v>18</v>
      </c>
      <c r="C28" s="199">
        <f>'2.1. DM'!C28</f>
        <v>46041</v>
      </c>
      <c r="D28" s="199" t="str">
        <f>'2.1. DM'!D28</f>
        <v>Genbank</v>
      </c>
      <c r="E28" s="200">
        <f>'2.1. DM'!E28</f>
        <v>27</v>
      </c>
      <c r="F28" s="199" t="str">
        <f>'2.1. DM'!F28</f>
        <v>F251736</v>
      </c>
      <c r="G28" s="199" t="str">
        <f>'2.1. DM'!G28</f>
        <v>CIAT-23108</v>
      </c>
      <c r="H28" s="199" t="str">
        <f>'2.1. DM'!H28</f>
        <v>Dendrolobium</v>
      </c>
      <c r="I28" s="199" t="str">
        <f>'2.1. DM'!I28</f>
        <v>triangulare</v>
      </c>
      <c r="J28" s="199" t="str">
        <f>'2.1. DM'!J28</f>
        <v>Dendrolobium triangulare</v>
      </c>
      <c r="K28" s="199" t="str">
        <f>'2.1. DM'!K28</f>
        <v>Fabaceae</v>
      </c>
      <c r="L28" s="199" t="str">
        <f>'2.1. DM'!L28</f>
        <v>Fabales</v>
      </c>
      <c r="M28" s="199" t="str">
        <f>'2.1. DM'!M28</f>
        <v>Tree</v>
      </c>
      <c r="N28" s="310">
        <f>'2.1. DM'!P28</f>
        <v>94.613232060763536</v>
      </c>
      <c r="O28" s="341"/>
      <c r="P28" s="18">
        <f>'2.1. DM'!R28</f>
        <v>6.987315010570871</v>
      </c>
      <c r="Q28" s="341"/>
      <c r="R28" s="18">
        <f>'2.1. DM'!T28</f>
        <v>93.012684989429133</v>
      </c>
      <c r="S28" s="341"/>
      <c r="T28" s="30">
        <f>TablePC[[#This Row],[Av DM 105]]</f>
        <v>21.587331260994091</v>
      </c>
      <c r="U28" s="341"/>
      <c r="V28" s="30">
        <f>'2.3 ADF'!Q28</f>
        <v>58.021574713564817</v>
      </c>
      <c r="W28" s="341"/>
      <c r="X28" s="30">
        <f>'2.4 NDF'!Q28</f>
        <v>69.145035519010662</v>
      </c>
      <c r="Y28" s="341"/>
    </row>
    <row r="29" spans="2:25" x14ac:dyDescent="0.35">
      <c r="B29" s="19">
        <f t="shared" si="0"/>
        <v>19</v>
      </c>
      <c r="C29" s="199">
        <f>'2.1. DM'!C29</f>
        <v>46041</v>
      </c>
      <c r="D29" s="199" t="str">
        <f>'2.1. DM'!D29</f>
        <v>Genbank</v>
      </c>
      <c r="E29" s="200">
        <f>'2.1. DM'!E29</f>
        <v>27</v>
      </c>
      <c r="F29" s="199" t="str">
        <f>'2.1. DM'!F29</f>
        <v>F251737</v>
      </c>
      <c r="G29" s="199" t="str">
        <f>'2.1. DM'!G29</f>
        <v>CIAT-23412</v>
      </c>
      <c r="H29" s="199" t="str">
        <f>'2.1. DM'!H29</f>
        <v>Dendrolobium</v>
      </c>
      <c r="I29" s="199" t="str">
        <f>'2.1. DM'!I29</f>
        <v>triangulare</v>
      </c>
      <c r="J29" s="199" t="str">
        <f>'2.1. DM'!J29</f>
        <v>Dendrolobium triangulare</v>
      </c>
      <c r="K29" s="199" t="str">
        <f>'2.1. DM'!K29</f>
        <v>Fabaceae</v>
      </c>
      <c r="L29" s="199" t="str">
        <f>'2.1. DM'!L29</f>
        <v>Fabales</v>
      </c>
      <c r="M29" s="199" t="str">
        <f>'2.1. DM'!M29</f>
        <v>Tree</v>
      </c>
      <c r="N29" s="310">
        <f>'2.1. DM'!P29</f>
        <v>94.381685494351586</v>
      </c>
      <c r="O29" s="341">
        <f>AVERAGE(N29:N30)</f>
        <v>94.187644666024497</v>
      </c>
      <c r="P29" s="18">
        <f>'2.1. DM'!R29</f>
        <v>7.2386931829448473</v>
      </c>
      <c r="Q29" s="341">
        <f>AVERAGE(P29:P30)</f>
        <v>7.2747456108071029</v>
      </c>
      <c r="R29" s="18">
        <f>'2.1. DM'!T29</f>
        <v>92.761306817055157</v>
      </c>
      <c r="S29" s="341">
        <f>AVERAGE(R29:R30)</f>
        <v>92.725254389192898</v>
      </c>
      <c r="T29" s="30">
        <f>TablePC[[#This Row],[Av DM 105]]</f>
        <v>21.259809928527385</v>
      </c>
      <c r="U29" s="341">
        <f t="shared" ref="U29" si="9">AVERAGE(T29:T30)</f>
        <v>21.147143051903054</v>
      </c>
      <c r="V29" s="30">
        <f>'2.3 ADF'!Q29</f>
        <v>49.559882982686091</v>
      </c>
      <c r="W29" s="341">
        <f>AVERAGE(V29:V30)</f>
        <v>50.977070074497377</v>
      </c>
      <c r="X29" s="30">
        <f>'2.4 NDF'!Q29</f>
        <v>62.085483648121539</v>
      </c>
      <c r="Y29" s="341">
        <f>AVERAGE(X29:X30)</f>
        <v>62.136166500418632</v>
      </c>
    </row>
    <row r="30" spans="2:25" x14ac:dyDescent="0.35">
      <c r="B30" s="19">
        <f t="shared" si="0"/>
        <v>20</v>
      </c>
      <c r="C30" s="199">
        <f>'2.1. DM'!C30</f>
        <v>46041</v>
      </c>
      <c r="D30" s="199" t="str">
        <f>'2.1. DM'!D30</f>
        <v>Genbank</v>
      </c>
      <c r="E30" s="200">
        <f>'2.1. DM'!E30</f>
        <v>27</v>
      </c>
      <c r="F30" s="199" t="str">
        <f>'2.1. DM'!F30</f>
        <v>F251737</v>
      </c>
      <c r="G30" s="199" t="str">
        <f>'2.1. DM'!G30</f>
        <v>CIAT-23412</v>
      </c>
      <c r="H30" s="199" t="str">
        <f>'2.1. DM'!H30</f>
        <v>Dendrolobium</v>
      </c>
      <c r="I30" s="199" t="str">
        <f>'2.1. DM'!I30</f>
        <v>triangulare</v>
      </c>
      <c r="J30" s="199" t="str">
        <f>'2.1. DM'!J30</f>
        <v>Dendrolobium triangulare</v>
      </c>
      <c r="K30" s="199" t="str">
        <f>'2.1. DM'!K30</f>
        <v>Fabaceae</v>
      </c>
      <c r="L30" s="199" t="str">
        <f>'2.1. DM'!L30</f>
        <v>Fabales</v>
      </c>
      <c r="M30" s="199" t="str">
        <f>'2.1. DM'!M30</f>
        <v>Tree</v>
      </c>
      <c r="N30" s="310">
        <f>'2.1. DM'!P30</f>
        <v>93.993603837697407</v>
      </c>
      <c r="O30" s="341"/>
      <c r="P30" s="18">
        <f>'2.1. DM'!R30</f>
        <v>7.3107980386693585</v>
      </c>
      <c r="Q30" s="341"/>
      <c r="R30" s="18">
        <f>'2.1. DM'!T30</f>
        <v>92.689201961330639</v>
      </c>
      <c r="S30" s="341"/>
      <c r="T30" s="30">
        <f>TablePC[[#This Row],[Av DM 105]]</f>
        <v>21.034476175278723</v>
      </c>
      <c r="U30" s="341"/>
      <c r="V30" s="30">
        <f>'2.3 ADF'!Q30</f>
        <v>52.394257166308655</v>
      </c>
      <c r="W30" s="341"/>
      <c r="X30" s="30">
        <f>'2.4 NDF'!Q30</f>
        <v>62.186849352715726</v>
      </c>
      <c r="Y30" s="341"/>
    </row>
    <row r="31" spans="2:25" x14ac:dyDescent="0.35">
      <c r="B31" s="19">
        <f t="shared" si="0"/>
        <v>21</v>
      </c>
      <c r="C31" s="199">
        <f>'2.1. DM'!C31</f>
        <v>46041</v>
      </c>
      <c r="D31" s="199" t="str">
        <f>'2.1. DM'!D31</f>
        <v>Genbank</v>
      </c>
      <c r="E31" s="200">
        <f>'2.1. DM'!E31</f>
        <v>27</v>
      </c>
      <c r="F31" s="199" t="str">
        <f>'2.1. DM'!F31</f>
        <v>F251738</v>
      </c>
      <c r="G31" s="199" t="str">
        <f>'2.1. DM'!G31</f>
        <v>CIAT-23413</v>
      </c>
      <c r="H31" s="199" t="str">
        <f>'2.1. DM'!H31</f>
        <v>Dendrolobium</v>
      </c>
      <c r="I31" s="199" t="str">
        <f>'2.1. DM'!I31</f>
        <v>triangulare</v>
      </c>
      <c r="J31" s="199" t="str">
        <f>'2.1. DM'!J31</f>
        <v>Dendrolobium triangulare</v>
      </c>
      <c r="K31" s="199" t="str">
        <f>'2.1. DM'!K31</f>
        <v>Fabaceae</v>
      </c>
      <c r="L31" s="199" t="str">
        <f>'2.1. DM'!L31</f>
        <v>Fabales</v>
      </c>
      <c r="M31" s="199" t="str">
        <f>'2.1. DM'!M31</f>
        <v>Tree</v>
      </c>
      <c r="N31" s="310">
        <f>'2.1. DM'!P31</f>
        <v>93.172730907636975</v>
      </c>
      <c r="O31" s="341">
        <f>AVERAGE(N31:N32)</f>
        <v>93.526671423221515</v>
      </c>
      <c r="P31" s="18">
        <f>'2.1. DM'!R31</f>
        <v>7.502879142354038</v>
      </c>
      <c r="Q31" s="341">
        <f>AVERAGE(P31:P32)</f>
        <v>7.4986589276613946</v>
      </c>
      <c r="R31" s="18">
        <f>'2.1. DM'!T31</f>
        <v>92.497120857645967</v>
      </c>
      <c r="S31" s="341">
        <f>AVERAGE(R31:R32)</f>
        <v>92.501341072338604</v>
      </c>
      <c r="T31" s="30">
        <f>TablePC[[#This Row],[Av DM 105]]</f>
        <v>21.317526281540893</v>
      </c>
      <c r="U31" s="341">
        <f t="shared" ref="U31" si="10">AVERAGE(T31:T32)</f>
        <v>21.317526281540893</v>
      </c>
      <c r="V31" s="30">
        <f>'2.3 ADF'!Q31</f>
        <v>53.27133251114968</v>
      </c>
      <c r="W31" s="341">
        <f>AVERAGE(V31:V32)</f>
        <v>54.591146532301323</v>
      </c>
      <c r="X31" s="30">
        <f>'2.4 NDF'!Q31</f>
        <v>65.337061998199687</v>
      </c>
      <c r="Y31" s="341">
        <f>AVERAGE(X31:X32)</f>
        <v>66.226035405740589</v>
      </c>
    </row>
    <row r="32" spans="2:25" x14ac:dyDescent="0.35">
      <c r="B32" s="19">
        <f t="shared" si="0"/>
        <v>22</v>
      </c>
      <c r="C32" s="199">
        <f>'2.1. DM'!C32</f>
        <v>46041</v>
      </c>
      <c r="D32" s="199" t="str">
        <f>'2.1. DM'!D32</f>
        <v>Genbank</v>
      </c>
      <c r="E32" s="200">
        <f>'2.1. DM'!E32</f>
        <v>27</v>
      </c>
      <c r="F32" s="199" t="str">
        <f>'2.1. DM'!F32</f>
        <v>F251738</v>
      </c>
      <c r="G32" s="199" t="str">
        <f>'2.1. DM'!G32</f>
        <v>CIAT-23413</v>
      </c>
      <c r="H32" s="199" t="str">
        <f>'2.1. DM'!H32</f>
        <v>Dendrolobium</v>
      </c>
      <c r="I32" s="199" t="str">
        <f>'2.1. DM'!I32</f>
        <v>triangulare</v>
      </c>
      <c r="J32" s="199" t="str">
        <f>'2.1. DM'!J32</f>
        <v>Dendrolobium triangulare</v>
      </c>
      <c r="K32" s="199" t="str">
        <f>'2.1. DM'!K32</f>
        <v>Fabaceae</v>
      </c>
      <c r="L32" s="199" t="str">
        <f>'2.1. DM'!L32</f>
        <v>Fabales</v>
      </c>
      <c r="M32" s="199" t="str">
        <f>'2.1. DM'!M32</f>
        <v>Tree</v>
      </c>
      <c r="N32" s="310">
        <f>'2.1. DM'!P32</f>
        <v>93.880611938806055</v>
      </c>
      <c r="O32" s="341"/>
      <c r="P32" s="18">
        <f>'2.1. DM'!R32</f>
        <v>7.4944387129687513</v>
      </c>
      <c r="Q32" s="341"/>
      <c r="R32" s="18">
        <f>'2.1. DM'!T32</f>
        <v>92.505561287031242</v>
      </c>
      <c r="S32" s="341"/>
      <c r="T32" s="30">
        <f>TablePC[[#This Row],[Av DM 105]]</f>
        <v>21.317526281540893</v>
      </c>
      <c r="U32" s="341"/>
      <c r="V32" s="30">
        <f>'2.3 ADF'!Q32</f>
        <v>55.910960553452973</v>
      </c>
      <c r="W32" s="341"/>
      <c r="X32" s="30">
        <f>'2.4 NDF'!Q32</f>
        <v>67.115008813281506</v>
      </c>
      <c r="Y32" s="341"/>
    </row>
    <row r="33" spans="2:25" x14ac:dyDescent="0.35">
      <c r="B33" s="19">
        <f t="shared" si="0"/>
        <v>23</v>
      </c>
      <c r="C33" s="199">
        <f>'2.1. DM'!C33</f>
        <v>46041</v>
      </c>
      <c r="D33" s="199" t="str">
        <f>'2.1. DM'!D33</f>
        <v>Genbank</v>
      </c>
      <c r="E33" s="200">
        <f>'2.1. DM'!E33</f>
        <v>27</v>
      </c>
      <c r="F33" s="199" t="str">
        <f>'2.1. DM'!F33</f>
        <v>F251739</v>
      </c>
      <c r="G33" s="199" t="str">
        <f>'2.1. DM'!G33</f>
        <v>CIAT-23419</v>
      </c>
      <c r="H33" s="199" t="str">
        <f>'2.1. DM'!H33</f>
        <v>Dendrolobium</v>
      </c>
      <c r="I33" s="199" t="str">
        <f>'2.1. DM'!I33</f>
        <v>triangulare</v>
      </c>
      <c r="J33" s="199" t="str">
        <f>'2.1. DM'!J33</f>
        <v>Dendrolobium triangulare</v>
      </c>
      <c r="K33" s="199" t="str">
        <f>'2.1. DM'!K33</f>
        <v>Fabaceae</v>
      </c>
      <c r="L33" s="199" t="str">
        <f>'2.1. DM'!L33</f>
        <v>Fabales</v>
      </c>
      <c r="M33" s="199" t="str">
        <f>'2.1. DM'!M33</f>
        <v>Tree</v>
      </c>
      <c r="N33" s="310">
        <f>'2.1. DM'!P33</f>
        <v>93.813093453273282</v>
      </c>
      <c r="O33" s="341">
        <f t="shared" ref="O33" si="11">AVERAGE(N33:N34)</f>
        <v>93.957431461216231</v>
      </c>
      <c r="P33" s="18">
        <f>'2.1. DM'!R33</f>
        <v>7.2230653723788052</v>
      </c>
      <c r="Q33" s="341">
        <f t="shared" ref="Q33:Y33" si="12">AVERAGE(P33:P34)</f>
        <v>7.2025076108834778</v>
      </c>
      <c r="R33" s="18">
        <f>'2.1. DM'!T33</f>
        <v>92.776934627621188</v>
      </c>
      <c r="S33" s="341">
        <f t="shared" si="12"/>
        <v>92.797492389116513</v>
      </c>
      <c r="T33" s="30">
        <f>TablePC[[#This Row],[Av DM 105]]</f>
        <v>20.194918293638743</v>
      </c>
      <c r="U33" s="341">
        <f t="shared" ref="U33" si="13">AVERAGE(T33:T34)</f>
        <v>20.194918293638743</v>
      </c>
      <c r="V33" s="30">
        <f>'2.3 ADF'!Q33</f>
        <v>56.136356269671239</v>
      </c>
      <c r="W33" s="341">
        <f t="shared" si="12"/>
        <v>56.434424137767706</v>
      </c>
      <c r="X33" s="30">
        <f>'2.4 NDF'!Q33</f>
        <v>67.80357800074195</v>
      </c>
      <c r="Y33" s="341">
        <f t="shared" si="12"/>
        <v>67.783940114216108</v>
      </c>
    </row>
    <row r="34" spans="2:25" x14ac:dyDescent="0.35">
      <c r="B34" s="19">
        <f t="shared" si="0"/>
        <v>24</v>
      </c>
      <c r="C34" s="199">
        <f>'2.1. DM'!C34</f>
        <v>46041</v>
      </c>
      <c r="D34" s="199" t="str">
        <f>'2.1. DM'!D34</f>
        <v>Genbank</v>
      </c>
      <c r="E34" s="200">
        <f>'2.1. DM'!E34</f>
        <v>27</v>
      </c>
      <c r="F34" s="199" t="str">
        <f>'2.1. DM'!F34</f>
        <v>F251739</v>
      </c>
      <c r="G34" s="199" t="str">
        <f>'2.1. DM'!G34</f>
        <v>CIAT-23419</v>
      </c>
      <c r="H34" s="199" t="str">
        <f>'2.1. DM'!H34</f>
        <v>Dendrolobium</v>
      </c>
      <c r="I34" s="199" t="str">
        <f>'2.1. DM'!I34</f>
        <v>triangulare</v>
      </c>
      <c r="J34" s="199" t="str">
        <f>'2.1. DM'!J34</f>
        <v>Dendrolobium triangulare</v>
      </c>
      <c r="K34" s="199" t="str">
        <f>'2.1. DM'!K34</f>
        <v>Fabaceae</v>
      </c>
      <c r="L34" s="199" t="str">
        <f>'2.1. DM'!L34</f>
        <v>Fabales</v>
      </c>
      <c r="M34" s="199" t="str">
        <f>'2.1. DM'!M34</f>
        <v>Tree</v>
      </c>
      <c r="N34" s="310">
        <f>'2.1. DM'!P34</f>
        <v>94.101769469159166</v>
      </c>
      <c r="O34" s="341"/>
      <c r="P34" s="18">
        <f>'2.1. DM'!R34</f>
        <v>7.1819498493881504</v>
      </c>
      <c r="Q34" s="341"/>
      <c r="R34" s="18">
        <f>'2.1. DM'!T34</f>
        <v>92.818050150611853</v>
      </c>
      <c r="S34" s="341"/>
      <c r="T34" s="30">
        <f>TablePC[[#This Row],[Av DM 105]]</f>
        <v>20.194918293638743</v>
      </c>
      <c r="U34" s="341"/>
      <c r="V34" s="30">
        <f>'2.3 ADF'!Q34</f>
        <v>56.732492005864174</v>
      </c>
      <c r="W34" s="341"/>
      <c r="X34" s="30">
        <f>'2.4 NDF'!Q34</f>
        <v>67.764302227690266</v>
      </c>
      <c r="Y34" s="341"/>
    </row>
    <row r="35" spans="2:25" x14ac:dyDescent="0.35">
      <c r="B35" s="19">
        <f t="shared" si="0"/>
        <v>25</v>
      </c>
      <c r="C35" s="199">
        <f>'2.1. DM'!C35</f>
        <v>46041</v>
      </c>
      <c r="D35" s="199" t="str">
        <f>'2.1. DM'!D35</f>
        <v>Genbank</v>
      </c>
      <c r="E35" s="200">
        <f>'2.1. DM'!E35</f>
        <v>27</v>
      </c>
      <c r="F35" s="199" t="str">
        <f>'2.1. DM'!F35</f>
        <v>F251740</v>
      </c>
      <c r="G35" s="199" t="str">
        <f>'2.1. DM'!G35</f>
        <v>CIAT-23422</v>
      </c>
      <c r="H35" s="199" t="str">
        <f>'2.1. DM'!H35</f>
        <v>Dendrolobium</v>
      </c>
      <c r="I35" s="199" t="str">
        <f>'2.1. DM'!I35</f>
        <v>triangulare</v>
      </c>
      <c r="J35" s="199" t="str">
        <f>'2.1. DM'!J35</f>
        <v>Dendrolobium triangulare</v>
      </c>
      <c r="K35" s="199" t="str">
        <f>'2.1. DM'!K35</f>
        <v>Fabaceae</v>
      </c>
      <c r="L35" s="199" t="str">
        <f>'2.1. DM'!L35</f>
        <v>Fabales</v>
      </c>
      <c r="M35" s="199" t="str">
        <f>'2.1. DM'!M35</f>
        <v>Tree</v>
      </c>
      <c r="N35" s="310">
        <f>'2.1. DM'!P35</f>
        <v>91.793282686925266</v>
      </c>
      <c r="O35" s="341">
        <f t="shared" ref="O35" si="14">AVERAGE(N35:N36)</f>
        <v>91.857449181894964</v>
      </c>
      <c r="P35" s="18">
        <f>'2.1. DM'!R35</f>
        <v>7.0842344296951643</v>
      </c>
      <c r="Q35" s="341">
        <f t="shared" ref="Q35:Y35" si="15">AVERAGE(P35:P36)</f>
        <v>7.0631741984456244</v>
      </c>
      <c r="R35" s="18">
        <f>'2.1. DM'!T35</f>
        <v>92.915765570304842</v>
      </c>
      <c r="S35" s="341">
        <f t="shared" si="15"/>
        <v>92.936825801554377</v>
      </c>
      <c r="T35" s="30">
        <f>TablePC[[#This Row],[Av DM 105]]</f>
        <v>21.674954169008064</v>
      </c>
      <c r="U35" s="341">
        <f t="shared" ref="U35" si="16">AVERAGE(T35:T36)</f>
        <v>21.674954169008064</v>
      </c>
      <c r="V35" s="30">
        <f>'2.3 ADF'!Q35</f>
        <v>52.996015334494828</v>
      </c>
      <c r="W35" s="341">
        <f t="shared" si="15"/>
        <v>54.629756108743862</v>
      </c>
      <c r="X35" s="30">
        <f>'2.4 NDF'!Q35</f>
        <v>66.238466842640946</v>
      </c>
      <c r="Y35" s="341">
        <f t="shared" si="15"/>
        <v>66.573105982287089</v>
      </c>
    </row>
    <row r="36" spans="2:25" x14ac:dyDescent="0.35">
      <c r="B36" s="19">
        <f t="shared" si="0"/>
        <v>26</v>
      </c>
      <c r="C36" s="199">
        <f>'2.1. DM'!C36</f>
        <v>46041</v>
      </c>
      <c r="D36" s="199" t="str">
        <f>'2.1. DM'!D36</f>
        <v>Genbank</v>
      </c>
      <c r="E36" s="200">
        <f>'2.1. DM'!E36</f>
        <v>27</v>
      </c>
      <c r="F36" s="199" t="str">
        <f>'2.1. DM'!F36</f>
        <v>F251740</v>
      </c>
      <c r="G36" s="199" t="str">
        <f>'2.1. DM'!G36</f>
        <v>CIAT-23422</v>
      </c>
      <c r="H36" s="199" t="str">
        <f>'2.1. DM'!H36</f>
        <v>Dendrolobium</v>
      </c>
      <c r="I36" s="199" t="str">
        <f>'2.1. DM'!I36</f>
        <v>triangulare</v>
      </c>
      <c r="J36" s="199" t="str">
        <f>'2.1. DM'!J36</f>
        <v>Dendrolobium triangulare</v>
      </c>
      <c r="K36" s="199" t="str">
        <f>'2.1. DM'!K36</f>
        <v>Fabaceae</v>
      </c>
      <c r="L36" s="199" t="str">
        <f>'2.1. DM'!L36</f>
        <v>Fabales</v>
      </c>
      <c r="M36" s="199" t="str">
        <f>'2.1. DM'!M36</f>
        <v>Tree</v>
      </c>
      <c r="N36" s="310">
        <f>'2.1. DM'!P36</f>
        <v>91.921615676864675</v>
      </c>
      <c r="O36" s="341"/>
      <c r="P36" s="18">
        <f>'2.1. DM'!R36</f>
        <v>7.0421139671960837</v>
      </c>
      <c r="Q36" s="341"/>
      <c r="R36" s="18">
        <f>'2.1. DM'!T36</f>
        <v>92.957886032803913</v>
      </c>
      <c r="S36" s="341"/>
      <c r="T36" s="30">
        <f>TablePC[[#This Row],[Av DM 105]]</f>
        <v>21.674954169008064</v>
      </c>
      <c r="U36" s="341"/>
      <c r="V36" s="30">
        <f>'2.3 ADF'!Q36</f>
        <v>56.263496882992889</v>
      </c>
      <c r="W36" s="341"/>
      <c r="X36" s="30">
        <f>'2.4 NDF'!Q36</f>
        <v>66.907745121933232</v>
      </c>
      <c r="Y36" s="341"/>
    </row>
    <row r="37" spans="2:25" x14ac:dyDescent="0.35">
      <c r="B37" s="19">
        <f t="shared" si="0"/>
        <v>27</v>
      </c>
      <c r="C37" s="199">
        <f>'2.1. DM'!C37</f>
        <v>46041</v>
      </c>
      <c r="D37" s="199" t="str">
        <f>'2.1. DM'!D37</f>
        <v>Genbank</v>
      </c>
      <c r="E37" s="200">
        <f>'2.1. DM'!E37</f>
        <v>27</v>
      </c>
      <c r="F37" s="199" t="str">
        <f>'2.1. DM'!F37</f>
        <v>F251741</v>
      </c>
      <c r="G37" s="199" t="str">
        <f>'2.1. DM'!G37</f>
        <v>CIAT-23734</v>
      </c>
      <c r="H37" s="199" t="str">
        <f>'2.1. DM'!H37</f>
        <v>Dendrolobium</v>
      </c>
      <c r="I37" s="199" t="str">
        <f>'2.1. DM'!I37</f>
        <v>triangulare</v>
      </c>
      <c r="J37" s="199" t="str">
        <f>'2.1. DM'!J37</f>
        <v>Dendrolobium triangulare</v>
      </c>
      <c r="K37" s="199" t="str">
        <f>'2.1. DM'!K37</f>
        <v>Fabaceae</v>
      </c>
      <c r="L37" s="199" t="str">
        <f>'2.1. DM'!L37</f>
        <v>Fabales</v>
      </c>
      <c r="M37" s="199" t="str">
        <f>'2.1. DM'!M37</f>
        <v>Tree</v>
      </c>
      <c r="N37" s="310">
        <f>'2.1. DM'!P37</f>
        <v>94.630536946305426</v>
      </c>
      <c r="O37" s="341">
        <f t="shared" ref="O37" si="17">AVERAGE(N37:N38)</f>
        <v>94.71104973877307</v>
      </c>
      <c r="P37" s="18">
        <f>'2.1. DM'!R37</f>
        <v>7.8441291642143556</v>
      </c>
      <c r="Q37" s="341">
        <f t="shared" ref="Q37:Y37" si="18">AVERAGE(P37:P38)</f>
        <v>7.859177881858507</v>
      </c>
      <c r="R37" s="18">
        <f>'2.1. DM'!T37</f>
        <v>92.155870835785649</v>
      </c>
      <c r="S37" s="341">
        <f t="shared" si="18"/>
        <v>92.1408221181415</v>
      </c>
      <c r="T37" s="30">
        <f>TablePC[[#This Row],[Av DM 105]]</f>
        <v>21.435013684619474</v>
      </c>
      <c r="U37" s="341">
        <f t="shared" ref="U37" si="19">AVERAGE(T37:T38)</f>
        <v>21.435013684619474</v>
      </c>
      <c r="V37" s="30">
        <f>'2.3 ADF'!Q37</f>
        <v>46.542857848730677</v>
      </c>
      <c r="W37" s="341">
        <f t="shared" si="18"/>
        <v>47.219601144823621</v>
      </c>
      <c r="X37" s="30">
        <f>'2.4 NDF'!Q37</f>
        <v>61.497078753767823</v>
      </c>
      <c r="Y37" s="341">
        <f t="shared" si="18"/>
        <v>62.023150386065069</v>
      </c>
    </row>
    <row r="38" spans="2:25" x14ac:dyDescent="0.35">
      <c r="B38" s="19">
        <f t="shared" si="0"/>
        <v>28</v>
      </c>
      <c r="C38" s="199">
        <f>'2.1. DM'!C38</f>
        <v>46041</v>
      </c>
      <c r="D38" s="199" t="str">
        <f>'2.1. DM'!D38</f>
        <v>Genbank</v>
      </c>
      <c r="E38" s="200">
        <f>'2.1. DM'!E38</f>
        <v>27</v>
      </c>
      <c r="F38" s="199" t="str">
        <f>'2.1. DM'!F38</f>
        <v>F251741</v>
      </c>
      <c r="G38" s="199" t="str">
        <f>'2.1. DM'!G38</f>
        <v>CIAT-23734</v>
      </c>
      <c r="H38" s="199" t="str">
        <f>'2.1. DM'!H38</f>
        <v>Dendrolobium</v>
      </c>
      <c r="I38" s="199" t="str">
        <f>'2.1. DM'!I38</f>
        <v>triangulare</v>
      </c>
      <c r="J38" s="199" t="str">
        <f>'2.1. DM'!J38</f>
        <v>Dendrolobium triangulare</v>
      </c>
      <c r="K38" s="199" t="str">
        <f>'2.1. DM'!K38</f>
        <v>Fabaceae</v>
      </c>
      <c r="L38" s="199" t="str">
        <f>'2.1. DM'!L38</f>
        <v>Fabales</v>
      </c>
      <c r="M38" s="199" t="str">
        <f>'2.1. DM'!M38</f>
        <v>Tree</v>
      </c>
      <c r="N38" s="310">
        <f>'2.1. DM'!P38</f>
        <v>94.791562531240714</v>
      </c>
      <c r="O38" s="341"/>
      <c r="P38" s="18">
        <f>'2.1. DM'!R38</f>
        <v>7.8742265995026592</v>
      </c>
      <c r="Q38" s="341"/>
      <c r="R38" s="18">
        <f>'2.1. DM'!T38</f>
        <v>92.125773400497337</v>
      </c>
      <c r="S38" s="341"/>
      <c r="T38" s="30">
        <f>TablePC[[#This Row],[Av DM 105]]</f>
        <v>21.435013684619474</v>
      </c>
      <c r="U38" s="341"/>
      <c r="V38" s="30">
        <f>'2.3 ADF'!Q38</f>
        <v>47.896344440916565</v>
      </c>
      <c r="W38" s="341"/>
      <c r="X38" s="30">
        <f>'2.4 NDF'!Q38</f>
        <v>62.549222018362308</v>
      </c>
      <c r="Y38" s="341"/>
    </row>
    <row r="39" spans="2:25" x14ac:dyDescent="0.35">
      <c r="B39" s="19">
        <f t="shared" si="0"/>
        <v>29</v>
      </c>
      <c r="C39" s="199">
        <f>'2.1. DM'!C39</f>
        <v>46041</v>
      </c>
      <c r="D39" s="199" t="str">
        <f>'2.1. DM'!D39</f>
        <v>Genbank</v>
      </c>
      <c r="E39" s="200">
        <f>'2.1. DM'!E39</f>
        <v>27</v>
      </c>
      <c r="F39" s="199" t="str">
        <f>'2.1. DM'!F39</f>
        <v>F251742</v>
      </c>
      <c r="G39" s="199" t="str">
        <f>'2.1. DM'!G39</f>
        <v>CIAT-23932</v>
      </c>
      <c r="H39" s="199" t="str">
        <f>'2.1. DM'!H39</f>
        <v>Dendrolobium</v>
      </c>
      <c r="I39" s="199" t="str">
        <f>'2.1. DM'!I39</f>
        <v>triangulare</v>
      </c>
      <c r="J39" s="199" t="str">
        <f>'2.1. DM'!J39</f>
        <v>Dendrolobium triangulare</v>
      </c>
      <c r="K39" s="199" t="str">
        <f>'2.1. DM'!K39</f>
        <v>Fabaceae</v>
      </c>
      <c r="L39" s="199" t="str">
        <f>'2.1. DM'!L39</f>
        <v>Fabales</v>
      </c>
      <c r="M39" s="199" t="str">
        <f>'2.1. DM'!M39</f>
        <v>Tree</v>
      </c>
      <c r="N39" s="310">
        <f>'2.1. DM'!P39</f>
        <v>95.121951219512113</v>
      </c>
      <c r="O39" s="341">
        <f t="shared" ref="O39" si="20">AVERAGE(N39:N40)</f>
        <v>95.121951219512113</v>
      </c>
      <c r="P39" s="18">
        <f>'2.1. DM'!R39</f>
        <v>7.2929802437999109</v>
      </c>
      <c r="Q39" s="341">
        <f t="shared" ref="Q39:Y39" si="21">AVERAGE(P39:P40)</f>
        <v>7.2929802437999109</v>
      </c>
      <c r="R39" s="18">
        <f>'2.1. DM'!T39</f>
        <v>92.707019756200083</v>
      </c>
      <c r="S39" s="341">
        <f t="shared" si="21"/>
        <v>92.707019756200083</v>
      </c>
      <c r="T39" s="30">
        <f>TablePC[[#This Row],[Av DM 105]]</f>
        <v>18.840827307961472</v>
      </c>
      <c r="U39" s="341">
        <f t="shared" ref="U39" si="22">AVERAGE(T39:T40)</f>
        <v>18.840827307961472</v>
      </c>
      <c r="V39" s="30">
        <f>'2.3 ADF'!Q39</f>
        <v>48.776254446859987</v>
      </c>
      <c r="W39" s="341">
        <f t="shared" si="21"/>
        <v>49.892248931655672</v>
      </c>
      <c r="X39" s="30">
        <f>'2.4 NDF'!Q39</f>
        <v>63.453120527972864</v>
      </c>
      <c r="Y39" s="341">
        <f t="shared" si="21"/>
        <v>63.091070171894259</v>
      </c>
    </row>
    <row r="40" spans="2:25" x14ac:dyDescent="0.35">
      <c r="B40" s="19">
        <f t="shared" si="0"/>
        <v>30</v>
      </c>
      <c r="C40" s="199">
        <f>'2.1. DM'!C40</f>
        <v>46041</v>
      </c>
      <c r="D40" s="199" t="str">
        <f>'2.1. DM'!D40</f>
        <v>Genbank</v>
      </c>
      <c r="E40" s="200">
        <f>'2.1. DM'!E40</f>
        <v>27</v>
      </c>
      <c r="F40" s="199" t="str">
        <f>'2.1. DM'!F40</f>
        <v>F251742</v>
      </c>
      <c r="G40" s="199" t="str">
        <f>'2.1. DM'!G40</f>
        <v>CIAT-23932</v>
      </c>
      <c r="H40" s="199" t="str">
        <f>'2.1. DM'!H40</f>
        <v>Dendrolobium</v>
      </c>
      <c r="I40" s="199" t="str">
        <f>'2.1. DM'!I40</f>
        <v>triangulare</v>
      </c>
      <c r="J40" s="199" t="str">
        <f>'2.1. DM'!J40</f>
        <v>Dendrolobium triangulare</v>
      </c>
      <c r="K40" s="199" t="str">
        <f>'2.1. DM'!K40</f>
        <v>Fabaceae</v>
      </c>
      <c r="L40" s="199" t="str">
        <f>'2.1. DM'!L40</f>
        <v>Fabales</v>
      </c>
      <c r="M40" s="199" t="str">
        <f>'2.1. DM'!M40</f>
        <v>Tree</v>
      </c>
      <c r="N40" s="310">
        <f>'2.1. DM'!P40</f>
        <v>95.121951219512113</v>
      </c>
      <c r="O40" s="341"/>
      <c r="P40" s="18">
        <f>'2.1. DM'!R40</f>
        <v>7.2929802437999109</v>
      </c>
      <c r="Q40" s="341"/>
      <c r="R40" s="18">
        <f>'2.1. DM'!T40</f>
        <v>92.707019756200083</v>
      </c>
      <c r="S40" s="341"/>
      <c r="T40" s="30">
        <f>TablePC[[#This Row],[Av DM 105]]</f>
        <v>18.840827307961472</v>
      </c>
      <c r="U40" s="341"/>
      <c r="V40" s="30">
        <f>'2.3 ADF'!Q40</f>
        <v>51.00824341645135</v>
      </c>
      <c r="W40" s="341"/>
      <c r="X40" s="30">
        <f>'2.4 NDF'!Q40</f>
        <v>62.729019815815654</v>
      </c>
      <c r="Y40" s="341"/>
    </row>
    <row r="41" spans="2:25" x14ac:dyDescent="0.35">
      <c r="B41" s="19">
        <f t="shared" si="0"/>
        <v>31</v>
      </c>
      <c r="C41" s="199">
        <f>'2.1. DM'!C41</f>
        <v>46041</v>
      </c>
      <c r="D41" s="199" t="str">
        <f>'2.1. DM'!D41</f>
        <v>Genbank</v>
      </c>
      <c r="E41" s="200">
        <f>'2.1. DM'!E41</f>
        <v>27</v>
      </c>
      <c r="F41" s="199" t="str">
        <f>'2.1. DM'!F41</f>
        <v>F251743</v>
      </c>
      <c r="G41" s="199" t="str">
        <f>'2.1. DM'!G41</f>
        <v>CIAT-23933</v>
      </c>
      <c r="H41" s="199" t="str">
        <f>'2.1. DM'!H41</f>
        <v>Dendrolobium</v>
      </c>
      <c r="I41" s="199" t="str">
        <f>'2.1. DM'!I41</f>
        <v>triangulare</v>
      </c>
      <c r="J41" s="199" t="str">
        <f>'2.1. DM'!J41</f>
        <v>Dendrolobium triangulare</v>
      </c>
      <c r="K41" s="199" t="str">
        <f>'2.1. DM'!K41</f>
        <v>Fabaceae</v>
      </c>
      <c r="L41" s="199" t="str">
        <f>'2.1. DM'!L41</f>
        <v>Fabales</v>
      </c>
      <c r="M41" s="199" t="str">
        <f>'2.1. DM'!M41</f>
        <v>Tree</v>
      </c>
      <c r="N41" s="310">
        <f>'2.1. DM'!P41</f>
        <v>93.640635936406412</v>
      </c>
      <c r="O41" s="341">
        <f>AVERAGE(N41:N42)</f>
        <v>93.721247689286884</v>
      </c>
      <c r="P41" s="18">
        <f>'2.1. DM'!R41</f>
        <v>7.3295151719138971</v>
      </c>
      <c r="Q41" s="341">
        <f>AVERAGE(P41:P42)</f>
        <v>7.3714493963065175</v>
      </c>
      <c r="R41" s="18">
        <f>'2.1. DM'!T41</f>
        <v>92.670484828086103</v>
      </c>
      <c r="S41" s="341">
        <f>AVERAGE(R41:R42)</f>
        <v>92.628550603693483</v>
      </c>
      <c r="T41" s="30">
        <f>TablePC[[#This Row],[Av DM 105]]</f>
        <v>17.584205926024783</v>
      </c>
      <c r="U41" s="341">
        <f t="shared" ref="U41" si="23">AVERAGE(T41:T42)</f>
        <v>17.584205926024783</v>
      </c>
      <c r="V41" s="30">
        <f>'2.3 ADF'!Q41</f>
        <v>47.918116179467987</v>
      </c>
      <c r="W41" s="341">
        <f>AVERAGE(V41:V42)</f>
        <v>49.308483536149055</v>
      </c>
      <c r="X41" s="30">
        <f>'2.4 NDF'!Q41</f>
        <v>63.094779674494085</v>
      </c>
      <c r="Y41" s="341">
        <f>AVERAGE(X41:X42)</f>
        <v>64.369248658831737</v>
      </c>
    </row>
    <row r="42" spans="2:25" x14ac:dyDescent="0.35">
      <c r="B42" s="19">
        <f t="shared" si="0"/>
        <v>32</v>
      </c>
      <c r="C42" s="199">
        <f>'2.1. DM'!C42</f>
        <v>46041</v>
      </c>
      <c r="D42" s="199" t="str">
        <f>'2.1. DM'!D42</f>
        <v>Genbank</v>
      </c>
      <c r="E42" s="200">
        <f>'2.1. DM'!E42</f>
        <v>27</v>
      </c>
      <c r="F42" s="199" t="str">
        <f>'2.1. DM'!F42</f>
        <v>F251743</v>
      </c>
      <c r="G42" s="199" t="str">
        <f>'2.1. DM'!G42</f>
        <v>CIAT-23933</v>
      </c>
      <c r="H42" s="199" t="str">
        <f>'2.1. DM'!H42</f>
        <v>Dendrolobium</v>
      </c>
      <c r="I42" s="199" t="str">
        <f>'2.1. DM'!I42</f>
        <v>triangulare</v>
      </c>
      <c r="J42" s="199" t="str">
        <f>'2.1. DM'!J42</f>
        <v>Dendrolobium triangulare</v>
      </c>
      <c r="K42" s="199" t="str">
        <f>'2.1. DM'!K42</f>
        <v>Fabaceae</v>
      </c>
      <c r="L42" s="199" t="str">
        <f>'2.1. DM'!L42</f>
        <v>Fabales</v>
      </c>
      <c r="M42" s="199" t="str">
        <f>'2.1. DM'!M42</f>
        <v>Tree</v>
      </c>
      <c r="N42" s="310">
        <f>'2.1. DM'!P42</f>
        <v>93.801859442167341</v>
      </c>
      <c r="O42" s="341"/>
      <c r="P42" s="18">
        <f>'2.1. DM'!R42</f>
        <v>7.4133836206991379</v>
      </c>
      <c r="Q42" s="341"/>
      <c r="R42" s="18">
        <f>'2.1. DM'!T42</f>
        <v>92.586616379300864</v>
      </c>
      <c r="S42" s="341"/>
      <c r="T42" s="30">
        <f>TablePC[[#This Row],[Av DM 105]]</f>
        <v>17.584205926024783</v>
      </c>
      <c r="U42" s="341"/>
      <c r="V42" s="30">
        <f>'2.3 ADF'!Q42</f>
        <v>50.69885089283013</v>
      </c>
      <c r="W42" s="341"/>
      <c r="X42" s="30">
        <f>'2.4 NDF'!Q42</f>
        <v>65.643717643169396</v>
      </c>
      <c r="Y42" s="341"/>
    </row>
    <row r="43" spans="2:25" x14ac:dyDescent="0.35">
      <c r="B43" s="19">
        <f t="shared" si="0"/>
        <v>33</v>
      </c>
      <c r="C43" s="199">
        <f>'2.1. DM'!C43</f>
        <v>46041</v>
      </c>
      <c r="D43" s="199" t="str">
        <f>'2.1. DM'!D43</f>
        <v>Genbank</v>
      </c>
      <c r="E43" s="200">
        <f>'2.1. DM'!E43</f>
        <v>27</v>
      </c>
      <c r="F43" s="199" t="str">
        <f>'2.1. DM'!F43</f>
        <v>F251744</v>
      </c>
      <c r="G43" s="199" t="str">
        <f>'2.1. DM'!G43</f>
        <v>CIAT-23934</v>
      </c>
      <c r="H43" s="199" t="str">
        <f>'2.1. DM'!H43</f>
        <v>Dendrolobium</v>
      </c>
      <c r="I43" s="199" t="str">
        <f>'2.1. DM'!I43</f>
        <v>triangulare</v>
      </c>
      <c r="J43" s="199" t="str">
        <f>'2.1. DM'!J43</f>
        <v>Dendrolobium triangulare</v>
      </c>
      <c r="K43" s="199" t="str">
        <f>'2.1. DM'!K43</f>
        <v>Fabaceae</v>
      </c>
      <c r="L43" s="199" t="str">
        <f>'2.1. DM'!L43</f>
        <v>Fabales</v>
      </c>
      <c r="M43" s="199" t="str">
        <f>'2.1. DM'!M43</f>
        <v>Tree</v>
      </c>
      <c r="N43" s="310">
        <f>'2.1. DM'!P43</f>
        <v>94.133519888067212</v>
      </c>
      <c r="O43" s="341">
        <f>AVERAGE(N43:N44)</f>
        <v>94.171759944033596</v>
      </c>
      <c r="P43" s="18">
        <f>'2.1. DM'!R43</f>
        <v>8.1610333833703574</v>
      </c>
      <c r="Q43" s="341">
        <f>AVERAGE(P43:P44)</f>
        <v>8.1953383774038073</v>
      </c>
      <c r="R43" s="18">
        <f>'2.1. DM'!T43</f>
        <v>91.838966616629648</v>
      </c>
      <c r="S43" s="341">
        <f>AVERAGE(R43:R44)</f>
        <v>91.8046616225962</v>
      </c>
      <c r="T43" s="30">
        <f>TablePC[[#This Row],[Av DM 105]]</f>
        <v>22.612796485152785</v>
      </c>
      <c r="U43" s="341">
        <f t="shared" ref="U43" si="24">AVERAGE(T43:T44)</f>
        <v>22.612796485152785</v>
      </c>
      <c r="V43" s="30">
        <f>'2.3 ADF'!Q43</f>
        <v>42.440536982268917</v>
      </c>
      <c r="W43" s="341">
        <f>AVERAGE(V43:V44)</f>
        <v>43.737007368661075</v>
      </c>
      <c r="X43" s="30">
        <f>'2.4 NDF'!Q43</f>
        <v>58.909831198232929</v>
      </c>
      <c r="Y43" s="341">
        <f>AVERAGE(X43:X44)</f>
        <v>58.496714012720304</v>
      </c>
    </row>
    <row r="44" spans="2:25" x14ac:dyDescent="0.35">
      <c r="B44" s="19">
        <f t="shared" si="0"/>
        <v>34</v>
      </c>
      <c r="C44" s="199">
        <f>'2.1. DM'!C44</f>
        <v>46041</v>
      </c>
      <c r="D44" s="199" t="str">
        <f>'2.1. DM'!D44</f>
        <v>Genbank</v>
      </c>
      <c r="E44" s="200">
        <f>'2.1. DM'!E44</f>
        <v>27</v>
      </c>
      <c r="F44" s="199" t="str">
        <f>'2.1. DM'!F44</f>
        <v>F251744</v>
      </c>
      <c r="G44" s="199" t="str">
        <f>'2.1. DM'!G44</f>
        <v>CIAT-23934</v>
      </c>
      <c r="H44" s="199" t="str">
        <f>'2.1. DM'!H44</f>
        <v>Dendrolobium</v>
      </c>
      <c r="I44" s="199" t="str">
        <f>'2.1. DM'!I44</f>
        <v>triangulare</v>
      </c>
      <c r="J44" s="199" t="str">
        <f>'2.1. DM'!J44</f>
        <v>Dendrolobium triangulare</v>
      </c>
      <c r="K44" s="199" t="str">
        <f>'2.1. DM'!K44</f>
        <v>Fabaceae</v>
      </c>
      <c r="L44" s="199" t="str">
        <f>'2.1. DM'!L44</f>
        <v>Fabales</v>
      </c>
      <c r="M44" s="199" t="str">
        <f>'2.1. DM'!M44</f>
        <v>Tree</v>
      </c>
      <c r="N44" s="310">
        <f>'2.1. DM'!P44</f>
        <v>94.21</v>
      </c>
      <c r="O44" s="341"/>
      <c r="P44" s="18">
        <f>'2.1. DM'!R44</f>
        <v>8.2296433714372572</v>
      </c>
      <c r="Q44" s="341"/>
      <c r="R44" s="18">
        <f>'2.1. DM'!T44</f>
        <v>91.770356628562737</v>
      </c>
      <c r="S44" s="341"/>
      <c r="T44" s="30">
        <f>TablePC[[#This Row],[Av DM 105]]</f>
        <v>22.612796485152785</v>
      </c>
      <c r="U44" s="341"/>
      <c r="V44" s="30">
        <f>'2.3 ADF'!Q44</f>
        <v>45.033477755053234</v>
      </c>
      <c r="W44" s="341"/>
      <c r="X44" s="30">
        <f>'2.4 NDF'!Q44</f>
        <v>58.083596827207685</v>
      </c>
      <c r="Y44" s="341"/>
    </row>
    <row r="45" spans="2:25" x14ac:dyDescent="0.35">
      <c r="B45" s="19">
        <f t="shared" si="0"/>
        <v>35</v>
      </c>
      <c r="C45" s="199">
        <f>'2.1. DM'!C45</f>
        <v>46041</v>
      </c>
      <c r="D45" s="199" t="str">
        <f>'2.1. DM'!D45</f>
        <v>Genbank</v>
      </c>
      <c r="E45" s="200">
        <f>'2.1. DM'!E45</f>
        <v>27</v>
      </c>
      <c r="F45" s="199" t="str">
        <f>'2.1. DM'!F45</f>
        <v>F251745</v>
      </c>
      <c r="G45" s="199" t="str">
        <f>'2.1. DM'!G45</f>
        <v>CIAT-23936</v>
      </c>
      <c r="H45" s="199" t="str">
        <f>'2.1. DM'!H45</f>
        <v>Dendrolobium</v>
      </c>
      <c r="I45" s="199" t="str">
        <f>'2.1. DM'!I45</f>
        <v>triangulare</v>
      </c>
      <c r="J45" s="199" t="str">
        <f>'2.1. DM'!J45</f>
        <v>Dendrolobium triangulare</v>
      </c>
      <c r="K45" s="199" t="str">
        <f>'2.1. DM'!K45</f>
        <v>Fabaceae</v>
      </c>
      <c r="L45" s="199" t="str">
        <f>'2.1. DM'!L45</f>
        <v>Fabales</v>
      </c>
      <c r="M45" s="199" t="str">
        <f>'2.1. DM'!M45</f>
        <v>Tree</v>
      </c>
      <c r="N45" s="310">
        <f>'2.1. DM'!P45</f>
        <v>94.06356186288221</v>
      </c>
      <c r="O45" s="341">
        <f>AVERAGE(N45:N46)</f>
        <v>94.05856486108334</v>
      </c>
      <c r="P45" s="18">
        <f>'2.1. DM'!R45</f>
        <v>7.7458428518301812</v>
      </c>
      <c r="Q45" s="341">
        <f>AVERAGE(P45:P46)</f>
        <v>7.7989693460128482</v>
      </c>
      <c r="R45" s="18">
        <f>'2.1. DM'!T45</f>
        <v>92.254157148169824</v>
      </c>
      <c r="S45" s="341">
        <f>AVERAGE(R45:R46)</f>
        <v>92.201030653987146</v>
      </c>
      <c r="T45" s="30">
        <f>TablePC[[#This Row],[Av DM 105]]</f>
        <v>19.2663130290344</v>
      </c>
      <c r="U45" s="341">
        <f t="shared" ref="U45" si="25">AVERAGE(T45:T46)</f>
        <v>19.2663130290344</v>
      </c>
      <c r="V45" s="30">
        <f>'2.3 ADF'!Q45</f>
        <v>48.068152657356414</v>
      </c>
      <c r="W45" s="341">
        <f>AVERAGE(V45:V46)</f>
        <v>49.209674688172143</v>
      </c>
      <c r="X45" s="30">
        <f>'2.4 NDF'!Q45</f>
        <v>61.649122519801189</v>
      </c>
      <c r="Y45" s="341">
        <f>AVERAGE(X45:X46)</f>
        <v>61.65556371101799</v>
      </c>
    </row>
    <row r="46" spans="2:25" x14ac:dyDescent="0.35">
      <c r="B46" s="19">
        <f t="shared" si="0"/>
        <v>36</v>
      </c>
      <c r="C46" s="199">
        <f>'2.1. DM'!C46</f>
        <v>46041</v>
      </c>
      <c r="D46" s="199" t="str">
        <f>'2.1. DM'!D46</f>
        <v>Genbank</v>
      </c>
      <c r="E46" s="200">
        <f>'2.1. DM'!E46</f>
        <v>27</v>
      </c>
      <c r="F46" s="199" t="str">
        <f>'2.1. DM'!F46</f>
        <v>F251745</v>
      </c>
      <c r="G46" s="199" t="str">
        <f>'2.1. DM'!G46</f>
        <v>CIAT-23936</v>
      </c>
      <c r="H46" s="199" t="str">
        <f>'2.1. DM'!H46</f>
        <v>Dendrolobium</v>
      </c>
      <c r="I46" s="199" t="str">
        <f>'2.1. DM'!I46</f>
        <v>triangulare</v>
      </c>
      <c r="J46" s="199" t="str">
        <f>'2.1. DM'!J46</f>
        <v>Dendrolobium triangulare</v>
      </c>
      <c r="K46" s="199" t="str">
        <f>'2.1. DM'!K46</f>
        <v>Fabaceae</v>
      </c>
      <c r="L46" s="199" t="str">
        <f>'2.1. DM'!L46</f>
        <v>Fabales</v>
      </c>
      <c r="M46" s="199" t="str">
        <f>'2.1. DM'!M46</f>
        <v>Tree</v>
      </c>
      <c r="N46" s="310">
        <f>'2.1. DM'!P46</f>
        <v>94.053567859284485</v>
      </c>
      <c r="O46" s="341"/>
      <c r="P46" s="18">
        <f>'2.1. DM'!R46</f>
        <v>7.8520958401955152</v>
      </c>
      <c r="Q46" s="341"/>
      <c r="R46" s="18">
        <f>'2.1. DM'!T46</f>
        <v>92.147904159804483</v>
      </c>
      <c r="S46" s="341"/>
      <c r="T46" s="30">
        <f>TablePC[[#This Row],[Av DM 105]]</f>
        <v>19.2663130290344</v>
      </c>
      <c r="U46" s="341"/>
      <c r="V46" s="30">
        <f>'2.3 ADF'!Q46</f>
        <v>50.351196718987865</v>
      </c>
      <c r="W46" s="341"/>
      <c r="X46" s="30">
        <f>'2.4 NDF'!Q46</f>
        <v>61.662004902234798</v>
      </c>
      <c r="Y46" s="341"/>
    </row>
    <row r="47" spans="2:25" x14ac:dyDescent="0.35">
      <c r="B47" s="19">
        <f t="shared" si="0"/>
        <v>37</v>
      </c>
      <c r="C47" s="199">
        <f>'2.1. DM'!C47</f>
        <v>46041</v>
      </c>
      <c r="D47" s="199" t="str">
        <f>'2.1. DM'!D47</f>
        <v>Genbank</v>
      </c>
      <c r="E47" s="200">
        <f>'2.1. DM'!E47</f>
        <v>27</v>
      </c>
      <c r="F47" s="199" t="str">
        <f>'2.1. DM'!F47</f>
        <v>F251746</v>
      </c>
      <c r="G47" s="199" t="str">
        <f>'2.1. DM'!G47</f>
        <v>CIAT-33119</v>
      </c>
      <c r="H47" s="199" t="str">
        <f>'2.1. DM'!H47</f>
        <v>Dendrolobium</v>
      </c>
      <c r="I47" s="199" t="str">
        <f>'2.1. DM'!I47</f>
        <v>triangulare</v>
      </c>
      <c r="J47" s="199" t="str">
        <f>'2.1. DM'!J47</f>
        <v>Dendrolobium triangulare</v>
      </c>
      <c r="K47" s="199" t="str">
        <f>'2.1. DM'!K47</f>
        <v>Fabaceae</v>
      </c>
      <c r="L47" s="199" t="str">
        <f>'2.1. DM'!L47</f>
        <v>Fabales</v>
      </c>
      <c r="M47" s="199" t="str">
        <f>'2.1. DM'!M47</f>
        <v>Tree</v>
      </c>
      <c r="N47" s="310">
        <f>'2.1. DM'!P47</f>
        <v>95.211436569029189</v>
      </c>
      <c r="O47" s="341">
        <f>AVERAGE(N47:N48)</f>
        <v>95.287109449815432</v>
      </c>
      <c r="P47" s="18">
        <f>'2.1. DM'!R47</f>
        <v>7.4279476813562075</v>
      </c>
      <c r="Q47" s="341">
        <f>AVERAGE(P47:P48)</f>
        <v>7.3953692393808703</v>
      </c>
      <c r="R47" s="18">
        <f>'2.1. DM'!T47</f>
        <v>92.572052318643799</v>
      </c>
      <c r="S47" s="341">
        <f>AVERAGE(R47:R48)</f>
        <v>92.604630760619131</v>
      </c>
      <c r="T47" s="30">
        <f>TablePC[[#This Row],[Av DM 105]]</f>
        <v>17.300431120337905</v>
      </c>
      <c r="U47" s="341">
        <f t="shared" ref="U47" si="26">AVERAGE(T47:T48)</f>
        <v>17.300431120337905</v>
      </c>
      <c r="V47" s="30">
        <f>'2.3 ADF'!Q47</f>
        <v>41.534198985672482</v>
      </c>
      <c r="W47" s="341">
        <f>AVERAGE(V47:V48)</f>
        <v>40.977473092905498</v>
      </c>
      <c r="X47" s="30">
        <f>'2.4 NDF'!Q47</f>
        <v>60.251562798158034</v>
      </c>
      <c r="Y47" s="341">
        <f>AVERAGE(X47:X48)</f>
        <v>59.478362381293763</v>
      </c>
    </row>
    <row r="48" spans="2:25" x14ac:dyDescent="0.35">
      <c r="B48" s="19">
        <f t="shared" si="0"/>
        <v>38</v>
      </c>
      <c r="C48" s="199">
        <f>'2.1. DM'!C48</f>
        <v>46041</v>
      </c>
      <c r="D48" s="199" t="str">
        <f>'2.1. DM'!D48</f>
        <v>Genbank</v>
      </c>
      <c r="E48" s="200">
        <f>'2.1. DM'!E48</f>
        <v>27</v>
      </c>
      <c r="F48" s="199" t="str">
        <f>'2.1. DM'!F48</f>
        <v>F251746</v>
      </c>
      <c r="G48" s="199" t="str">
        <f>'2.1. DM'!G48</f>
        <v>CIAT-33119</v>
      </c>
      <c r="H48" s="199" t="str">
        <f>'2.1. DM'!H48</f>
        <v>Dendrolobium</v>
      </c>
      <c r="I48" s="199" t="str">
        <f>'2.1. DM'!I48</f>
        <v>triangulare</v>
      </c>
      <c r="J48" s="199" t="str">
        <f>'2.1. DM'!J48</f>
        <v>Dendrolobium triangulare</v>
      </c>
      <c r="K48" s="199" t="str">
        <f>'2.1. DM'!K48</f>
        <v>Fabaceae</v>
      </c>
      <c r="L48" s="199" t="str">
        <f>'2.1. DM'!L48</f>
        <v>Fabales</v>
      </c>
      <c r="M48" s="199" t="str">
        <f>'2.1. DM'!M48</f>
        <v>Tree</v>
      </c>
      <c r="N48" s="310">
        <f>'2.1. DM'!P48</f>
        <v>95.362782330601661</v>
      </c>
      <c r="O48" s="341"/>
      <c r="P48" s="18">
        <f>'2.1. DM'!R48</f>
        <v>7.3627907974055331</v>
      </c>
      <c r="Q48" s="341"/>
      <c r="R48" s="18">
        <f>'2.1. DM'!T48</f>
        <v>92.637209202594462</v>
      </c>
      <c r="S48" s="341"/>
      <c r="T48" s="30">
        <f>TablePC[[#This Row],[Av DM 105]]</f>
        <v>17.300431120337905</v>
      </c>
      <c r="U48" s="341"/>
      <c r="V48" s="30">
        <f>'2.3 ADF'!Q48</f>
        <v>40.420747200138521</v>
      </c>
      <c r="W48" s="341"/>
      <c r="X48" s="30">
        <f>'2.4 NDF'!Q48</f>
        <v>58.7051619644295</v>
      </c>
      <c r="Y48" s="341"/>
    </row>
    <row r="49" spans="2:25" x14ac:dyDescent="0.35">
      <c r="B49" s="19">
        <f t="shared" si="0"/>
        <v>39</v>
      </c>
      <c r="C49" s="199">
        <f>'2.1. DM'!C49</f>
        <v>46041</v>
      </c>
      <c r="D49" s="199" t="str">
        <f>'2.1. DM'!D49</f>
        <v>Genbank</v>
      </c>
      <c r="E49" s="200">
        <f>'2.1. DM'!E49</f>
        <v>27</v>
      </c>
      <c r="F49" s="199" t="str">
        <f>'2.1. DM'!F49</f>
        <v>F251747</v>
      </c>
      <c r="G49" s="199" t="str">
        <f>'2.1. DM'!G49</f>
        <v>CIAT-33383</v>
      </c>
      <c r="H49" s="199" t="str">
        <f>'2.1. DM'!H49</f>
        <v>Dendrolobium</v>
      </c>
      <c r="I49" s="199" t="str">
        <f>'2.1. DM'!I49</f>
        <v>sp.</v>
      </c>
      <c r="J49" s="199" t="str">
        <f>'2.1. DM'!J49</f>
        <v>Dendrolobium sp.</v>
      </c>
      <c r="K49" s="199" t="str">
        <f>'2.1. DM'!K49</f>
        <v>Fabaceae</v>
      </c>
      <c r="L49" s="199" t="str">
        <f>'2.1. DM'!L49</f>
        <v>Fabales</v>
      </c>
      <c r="M49" s="199" t="str">
        <f>'2.1. DM'!M49</f>
        <v>Tree</v>
      </c>
      <c r="N49" s="310">
        <f>'2.1. DM'!P49</f>
        <v>94.550000000000097</v>
      </c>
      <c r="O49" s="341">
        <f>AVERAGE(N49:N50)</f>
        <v>94.671562062762405</v>
      </c>
      <c r="P49" s="18">
        <f>'2.1. DM'!R49</f>
        <v>9.5699276557766169</v>
      </c>
      <c r="Q49" s="341">
        <f>AVERAGE(P49:P50)</f>
        <v>9.8045796525676145</v>
      </c>
      <c r="R49" s="18">
        <f>'2.1. DM'!T49</f>
        <v>90.43007234422339</v>
      </c>
      <c r="S49" s="341">
        <f>AVERAGE(R49:R50)</f>
        <v>90.195420347432389</v>
      </c>
      <c r="T49" s="30">
        <f>TablePC[[#This Row],[Av DM 105]]</f>
        <v>14.842100984909424</v>
      </c>
      <c r="U49" s="341">
        <f t="shared" ref="U49" si="27">AVERAGE(T49:T50)</f>
        <v>14.663947536188356</v>
      </c>
      <c r="V49" s="30">
        <f>'2.3 ADF'!Q49</f>
        <v>46.509000281942058</v>
      </c>
      <c r="W49" s="341">
        <f>AVERAGE(V49:V50)</f>
        <v>47.338086342816538</v>
      </c>
      <c r="X49" s="30">
        <f>'2.4 NDF'!Q49</f>
        <v>60.218487587880077</v>
      </c>
      <c r="Y49" s="341">
        <f>AVERAGE(X49:X50)</f>
        <v>59.757991078326761</v>
      </c>
    </row>
    <row r="50" spans="2:25" x14ac:dyDescent="0.35">
      <c r="B50" s="19">
        <f t="shared" si="0"/>
        <v>40</v>
      </c>
      <c r="C50" s="199">
        <f>'2.1. DM'!C50</f>
        <v>46041</v>
      </c>
      <c r="D50" s="199" t="str">
        <f>'2.1. DM'!D50</f>
        <v>Genbank</v>
      </c>
      <c r="E50" s="200">
        <f>'2.1. DM'!E50</f>
        <v>27</v>
      </c>
      <c r="F50" s="199" t="str">
        <f>'2.1. DM'!F50</f>
        <v>F251747</v>
      </c>
      <c r="G50" s="199" t="str">
        <f>'2.1. DM'!G50</f>
        <v>CIAT-33383</v>
      </c>
      <c r="H50" s="199" t="str">
        <f>'2.1. DM'!H50</f>
        <v>Dendrolobium</v>
      </c>
      <c r="I50" s="199" t="str">
        <f>'2.1. DM'!I50</f>
        <v>sp.</v>
      </c>
      <c r="J50" s="199" t="str">
        <f>'2.1. DM'!J50</f>
        <v>Dendrolobium sp.</v>
      </c>
      <c r="K50" s="199" t="str">
        <f>'2.1. DM'!K50</f>
        <v>Fabaceae</v>
      </c>
      <c r="L50" s="199" t="str">
        <f>'2.1. DM'!L50</f>
        <v>Fabales</v>
      </c>
      <c r="M50" s="199" t="str">
        <f>'2.1. DM'!M50</f>
        <v>Tree</v>
      </c>
      <c r="N50" s="310">
        <f>'2.1. DM'!P50</f>
        <v>94.793124125524713</v>
      </c>
      <c r="O50" s="341"/>
      <c r="P50" s="18">
        <f>'2.1. DM'!R50</f>
        <v>10.039231649358612</v>
      </c>
      <c r="Q50" s="341"/>
      <c r="R50" s="18">
        <f>'2.1. DM'!T50</f>
        <v>89.960768350641388</v>
      </c>
      <c r="S50" s="341"/>
      <c r="T50" s="30">
        <f>TablePC[[#This Row],[Av DM 105]]</f>
        <v>14.485794087467289</v>
      </c>
      <c r="U50" s="341"/>
      <c r="V50" s="30">
        <f>'2.3 ADF'!Q50</f>
        <v>48.167172403691012</v>
      </c>
      <c r="W50" s="341"/>
      <c r="X50" s="30">
        <f>'2.4 NDF'!Q50</f>
        <v>59.297494568773445</v>
      </c>
      <c r="Y50" s="341"/>
    </row>
    <row r="51" spans="2:25" x14ac:dyDescent="0.35">
      <c r="B51" s="19">
        <f t="shared" si="0"/>
        <v>41</v>
      </c>
      <c r="C51" s="199">
        <f>'2.1. DM'!C51</f>
        <v>46041</v>
      </c>
      <c r="D51" s="199" t="str">
        <f>'2.1. DM'!D51</f>
        <v>Genbank</v>
      </c>
      <c r="E51" s="200">
        <f>'2.1. DM'!E51</f>
        <v>27</v>
      </c>
      <c r="F51" s="199" t="str">
        <f>'2.1. DM'!F51</f>
        <v>F251748</v>
      </c>
      <c r="G51" s="199" t="str">
        <f>'2.1. DM'!G51</f>
        <v>CIAT-33402</v>
      </c>
      <c r="H51" s="199" t="str">
        <f>'2.1. DM'!H51</f>
        <v>Dendrolobium</v>
      </c>
      <c r="I51" s="199" t="str">
        <f>'2.1. DM'!I51</f>
        <v>triangulare</v>
      </c>
      <c r="J51" s="199" t="str">
        <f>'2.1. DM'!J51</f>
        <v>Dendrolobium triangulare</v>
      </c>
      <c r="K51" s="199" t="str">
        <f>'2.1. DM'!K51</f>
        <v>Fabaceae</v>
      </c>
      <c r="L51" s="199" t="str">
        <f>'2.1. DM'!L51</f>
        <v>Fabales</v>
      </c>
      <c r="M51" s="199" t="str">
        <f>'2.1. DM'!M51</f>
        <v>Tree</v>
      </c>
      <c r="N51" s="310">
        <f>'2.1. DM'!P51</f>
        <v>94.583250049969905</v>
      </c>
      <c r="O51" s="341">
        <f>AVERAGE(N51:N52)</f>
        <v>94.631890998387576</v>
      </c>
      <c r="P51" s="18">
        <f>'2.1. DM'!R51</f>
        <v>6.9068453393787008</v>
      </c>
      <c r="Q51" s="341">
        <f>AVERAGE(P51:P52)</f>
        <v>6.9085718780597709</v>
      </c>
      <c r="R51" s="18">
        <f>'2.1. DM'!T51</f>
        <v>93.093154660621295</v>
      </c>
      <c r="S51" s="341">
        <f>AVERAGE(R51:R52)</f>
        <v>93.091428121940226</v>
      </c>
      <c r="T51" s="30">
        <f>TablePC[[#This Row],[Av DM 105]]</f>
        <v>20.084073911761312</v>
      </c>
      <c r="U51" s="341">
        <f t="shared" ref="U51" si="28">AVERAGE(T51:T52)</f>
        <v>20.084073911761312</v>
      </c>
      <c r="V51" s="30">
        <f>'2.3 ADF'!Q51</f>
        <v>45.17473390058359</v>
      </c>
      <c r="W51" s="341">
        <f>AVERAGE(V51:V52)</f>
        <v>45.181599814728301</v>
      </c>
      <c r="X51" s="30">
        <f>'2.4 NDF'!Q51</f>
        <v>59.82504625501727</v>
      </c>
      <c r="Y51" s="341">
        <f>AVERAGE(X51:X52)</f>
        <v>60.091399113553557</v>
      </c>
    </row>
    <row r="52" spans="2:25" x14ac:dyDescent="0.35">
      <c r="B52" s="19">
        <f t="shared" si="0"/>
        <v>42</v>
      </c>
      <c r="C52" s="199">
        <f>'2.1. DM'!C52</f>
        <v>46041</v>
      </c>
      <c r="D52" s="199" t="str">
        <f>'2.1. DM'!D52</f>
        <v>Genbank</v>
      </c>
      <c r="E52" s="200">
        <f>'2.1. DM'!E52</f>
        <v>27</v>
      </c>
      <c r="F52" s="199" t="str">
        <f>'2.1. DM'!F52</f>
        <v>F251748</v>
      </c>
      <c r="G52" s="199" t="str">
        <f>'2.1. DM'!G52</f>
        <v>CIAT-33402</v>
      </c>
      <c r="H52" s="199" t="str">
        <f>'2.1. DM'!H52</f>
        <v>Dendrolobium</v>
      </c>
      <c r="I52" s="199" t="str">
        <f>'2.1. DM'!I52</f>
        <v>triangulare</v>
      </c>
      <c r="J52" s="199" t="str">
        <f>'2.1. DM'!J52</f>
        <v>Dendrolobium triangulare</v>
      </c>
      <c r="K52" s="199" t="str">
        <f>'2.1. DM'!K52</f>
        <v>Fabaceae</v>
      </c>
      <c r="L52" s="199" t="str">
        <f>'2.1. DM'!L52</f>
        <v>Fabales</v>
      </c>
      <c r="M52" s="199" t="str">
        <f>'2.1. DM'!M52</f>
        <v>Tree</v>
      </c>
      <c r="N52" s="310">
        <f>'2.1. DM'!P52</f>
        <v>94.68053194680526</v>
      </c>
      <c r="O52" s="341"/>
      <c r="P52" s="18">
        <f>'2.1. DM'!R52</f>
        <v>6.910298416740841</v>
      </c>
      <c r="Q52" s="341"/>
      <c r="R52" s="18">
        <f>'2.1. DM'!T52</f>
        <v>93.089701583259156</v>
      </c>
      <c r="S52" s="341"/>
      <c r="T52" s="30">
        <f>TablePC[[#This Row],[Av DM 105]]</f>
        <v>20.084073911761312</v>
      </c>
      <c r="U52" s="341"/>
      <c r="V52" s="30">
        <f>'2.3 ADF'!Q52</f>
        <v>45.18846572887302</v>
      </c>
      <c r="W52" s="341"/>
      <c r="X52" s="30">
        <f>'2.4 NDF'!Q52</f>
        <v>60.357751972089844</v>
      </c>
      <c r="Y52" s="341"/>
    </row>
    <row r="53" spans="2:25" x14ac:dyDescent="0.35">
      <c r="B53" s="19">
        <f t="shared" si="0"/>
        <v>43</v>
      </c>
      <c r="C53" s="199">
        <f>'2.1. DM'!C53</f>
        <v>46041</v>
      </c>
      <c r="D53" s="199" t="str">
        <f>'2.1. DM'!D53</f>
        <v>Genbank</v>
      </c>
      <c r="E53" s="200">
        <f>'2.1. DM'!E53</f>
        <v>27</v>
      </c>
      <c r="F53" s="199" t="str">
        <f>'2.1. DM'!F53</f>
        <v>F251749</v>
      </c>
      <c r="G53" s="199" t="str">
        <f>'2.1. DM'!G53</f>
        <v>CIAT-33508</v>
      </c>
      <c r="H53" s="199" t="str">
        <f>'2.1. DM'!H53</f>
        <v>Dendrolobium</v>
      </c>
      <c r="I53" s="199" t="str">
        <f>'2.1. DM'!I53</f>
        <v>umbellatum</v>
      </c>
      <c r="J53" s="199" t="str">
        <f>'2.1. DM'!J53</f>
        <v>Dendrolobium umbellatum</v>
      </c>
      <c r="K53" s="199" t="str">
        <f>'2.1. DM'!K53</f>
        <v>Fabaceae</v>
      </c>
      <c r="L53" s="199" t="str">
        <f>'2.1. DM'!L53</f>
        <v>Fabales</v>
      </c>
      <c r="M53" s="199" t="str">
        <f>'2.1. DM'!M53</f>
        <v>Tree</v>
      </c>
      <c r="N53" s="310">
        <f>'2.1. DM'!P53</f>
        <v>93.71062893710635</v>
      </c>
      <c r="O53" s="341">
        <f>AVERAGE(N53:N54)</f>
        <v>93.746247188737129</v>
      </c>
      <c r="P53" s="18">
        <f>'2.1. DM'!R53</f>
        <v>8.6608139788740477</v>
      </c>
      <c r="Q53" s="341">
        <f>AVERAGE(P53:P54)</f>
        <v>8.6652801044736112</v>
      </c>
      <c r="R53" s="18">
        <f>'2.1. DM'!T53</f>
        <v>91.339186021125954</v>
      </c>
      <c r="S53" s="341">
        <f>AVERAGE(R53:R54)</f>
        <v>91.334719895526391</v>
      </c>
      <c r="T53" s="30">
        <f>TablePC[[#This Row],[Av DM 105]]</f>
        <v>22.605566233851366</v>
      </c>
      <c r="U53" s="341">
        <f t="shared" ref="U53" si="29">AVERAGE(T53:T54)</f>
        <v>22.605566233851366</v>
      </c>
      <c r="V53" s="30">
        <f>'2.3 ADF'!Q53</f>
        <v>44.315203432792657</v>
      </c>
      <c r="W53" s="341">
        <f>AVERAGE(V53:V54)</f>
        <v>45.811663840735562</v>
      </c>
      <c r="X53" s="30">
        <f>'2.4 NDF'!Q53</f>
        <v>57.850940854473841</v>
      </c>
      <c r="Y53" s="341">
        <f>AVERAGE(X53:X54)</f>
        <v>58.361440158311851</v>
      </c>
    </row>
    <row r="54" spans="2:25" x14ac:dyDescent="0.35">
      <c r="B54" s="19">
        <f t="shared" si="0"/>
        <v>44</v>
      </c>
      <c r="C54" s="199">
        <f>'2.1. DM'!C54</f>
        <v>46041</v>
      </c>
      <c r="D54" s="199" t="str">
        <f>'2.1. DM'!D54</f>
        <v>Genbank</v>
      </c>
      <c r="E54" s="200">
        <f>'2.1. DM'!E54</f>
        <v>27</v>
      </c>
      <c r="F54" s="199" t="str">
        <f>'2.1. DM'!F54</f>
        <v>F251749</v>
      </c>
      <c r="G54" s="199" t="str">
        <f>'2.1. DM'!G54</f>
        <v>CIAT-33508</v>
      </c>
      <c r="H54" s="199" t="str">
        <f>'2.1. DM'!H54</f>
        <v>Dendrolobium</v>
      </c>
      <c r="I54" s="199" t="str">
        <f>'2.1. DM'!I54</f>
        <v>umbellatum</v>
      </c>
      <c r="J54" s="199" t="str">
        <f>'2.1. DM'!J54</f>
        <v>Dendrolobium umbellatum</v>
      </c>
      <c r="K54" s="199" t="str">
        <f>'2.1. DM'!K54</f>
        <v>Fabaceae</v>
      </c>
      <c r="L54" s="199" t="str">
        <f>'2.1. DM'!L54</f>
        <v>Fabales</v>
      </c>
      <c r="M54" s="199" t="str">
        <f>'2.1. DM'!M54</f>
        <v>Tree</v>
      </c>
      <c r="N54" s="310">
        <f>'2.1. DM'!P54</f>
        <v>93.781865440367923</v>
      </c>
      <c r="O54" s="341"/>
      <c r="P54" s="18">
        <f>'2.1. DM'!R54</f>
        <v>8.6697462300731747</v>
      </c>
      <c r="Q54" s="341"/>
      <c r="R54" s="18">
        <f>'2.1. DM'!T54</f>
        <v>91.330253769926827</v>
      </c>
      <c r="S54" s="341"/>
      <c r="T54" s="30">
        <f>TablePC[[#This Row],[Av DM 105]]</f>
        <v>22.605566233851366</v>
      </c>
      <c r="U54" s="341"/>
      <c r="V54" s="30">
        <f>'2.3 ADF'!Q54</f>
        <v>47.30812424867846</v>
      </c>
      <c r="W54" s="341"/>
      <c r="X54" s="30">
        <f>'2.4 NDF'!Q54</f>
        <v>58.871939462149861</v>
      </c>
      <c r="Y54" s="341"/>
    </row>
    <row r="55" spans="2:25" x14ac:dyDescent="0.35">
      <c r="B55" s="19">
        <f t="shared" si="0"/>
        <v>45</v>
      </c>
      <c r="C55" s="199">
        <f>'2.1. DM'!C55</f>
        <v>46041</v>
      </c>
      <c r="D55" s="199" t="str">
        <f>'2.1. DM'!D55</f>
        <v>Genbank</v>
      </c>
      <c r="E55" s="200">
        <f>'2.1. DM'!E55</f>
        <v>27</v>
      </c>
      <c r="F55" s="199" t="str">
        <f>'2.1. DM'!F55</f>
        <v>F251750</v>
      </c>
      <c r="G55" s="199" t="str">
        <f>'2.1. DM'!G55</f>
        <v>CIAT-33515</v>
      </c>
      <c r="H55" s="199" t="str">
        <f>'2.1. DM'!H55</f>
        <v>Dendrolobium</v>
      </c>
      <c r="I55" s="199" t="str">
        <f>'2.1. DM'!I55</f>
        <v>triangulare</v>
      </c>
      <c r="J55" s="199" t="str">
        <f>'2.1. DM'!J55</f>
        <v>Dendrolobium triangulare</v>
      </c>
      <c r="K55" s="199" t="str">
        <f>'2.1. DM'!K55</f>
        <v>Fabaceae</v>
      </c>
      <c r="L55" s="199" t="str">
        <f>'2.1. DM'!L55</f>
        <v>Fabales</v>
      </c>
      <c r="M55" s="199" t="str">
        <f>'2.1. DM'!M55</f>
        <v>Tree</v>
      </c>
      <c r="N55" s="310">
        <f>'2.1. DM'!P55</f>
        <v>93.401979406178185</v>
      </c>
      <c r="O55" s="341">
        <f>AVERAGE(N55:N56)</f>
        <v>93.410989703089115</v>
      </c>
      <c r="P55" s="18">
        <f>'2.1. DM'!R55</f>
        <v>8.2299670695365919</v>
      </c>
      <c r="Q55" s="341">
        <f>AVERAGE(P55:P56)</f>
        <v>11.110948378703402</v>
      </c>
      <c r="R55" s="18">
        <f>'2.1. DM'!T55</f>
        <v>91.770032930463401</v>
      </c>
      <c r="S55" s="341">
        <f>AVERAGE(R55:R56)</f>
        <v>88.889051621296602</v>
      </c>
      <c r="T55" s="30">
        <f>TablePC[[#This Row],[Av DM 105]]</f>
        <v>20.963127013124584</v>
      </c>
      <c r="U55" s="341">
        <f t="shared" ref="U55" si="30">AVERAGE(T55:T56)</f>
        <v>20.963127013124584</v>
      </c>
      <c r="V55" s="30">
        <f>'2.3 ADF'!Q55</f>
        <v>50.956053709713444</v>
      </c>
      <c r="W55" s="341">
        <f>AVERAGE(V55:V56)</f>
        <v>51.470994796675967</v>
      </c>
      <c r="X55" s="30">
        <f>'2.4 NDF'!Q55</f>
        <v>63.084120860725989</v>
      </c>
      <c r="Y55" s="341">
        <f>AVERAGE(X55:X56)</f>
        <v>63.317589657900683</v>
      </c>
    </row>
    <row r="56" spans="2:25" x14ac:dyDescent="0.35">
      <c r="B56" s="19">
        <f t="shared" si="0"/>
        <v>46</v>
      </c>
      <c r="C56" s="199">
        <f>'2.1. DM'!C56</f>
        <v>46041</v>
      </c>
      <c r="D56" s="199" t="str">
        <f>'2.1. DM'!D56</f>
        <v>Genbank</v>
      </c>
      <c r="E56" s="200">
        <f>'2.1. DM'!E56</f>
        <v>27</v>
      </c>
      <c r="F56" s="199" t="str">
        <f>'2.1. DM'!F56</f>
        <v>F251750</v>
      </c>
      <c r="G56" s="199" t="str">
        <f>'2.1. DM'!G56</f>
        <v>CIAT-33515</v>
      </c>
      <c r="H56" s="199" t="str">
        <f>'2.1. DM'!H56</f>
        <v>Dendrolobium</v>
      </c>
      <c r="I56" s="199" t="str">
        <f>'2.1. DM'!I56</f>
        <v>triangulare</v>
      </c>
      <c r="J56" s="199" t="str">
        <f>'2.1. DM'!J56</f>
        <v>Dendrolobium triangulare</v>
      </c>
      <c r="K56" s="199" t="str">
        <f>'2.1. DM'!K56</f>
        <v>Fabaceae</v>
      </c>
      <c r="L56" s="199" t="str">
        <f>'2.1. DM'!L56</f>
        <v>Fabales</v>
      </c>
      <c r="M56" s="199" t="str">
        <f>'2.1. DM'!M56</f>
        <v>Tree</v>
      </c>
      <c r="N56" s="310">
        <f>'2.1. DM'!P56</f>
        <v>93.420000000000059</v>
      </c>
      <c r="O56" s="341"/>
      <c r="P56" s="18">
        <f>'2.1. DM'!R56</f>
        <v>13.991929687870213</v>
      </c>
      <c r="Q56" s="341"/>
      <c r="R56" s="18">
        <f>'2.1. DM'!T56</f>
        <v>86.008070312129789</v>
      </c>
      <c r="S56" s="341"/>
      <c r="T56" s="30">
        <f>TablePC[[#This Row],[Av DM 105]]</f>
        <v>20.963127013124584</v>
      </c>
      <c r="U56" s="341"/>
      <c r="V56" s="30">
        <f>'2.3 ADF'!Q56</f>
        <v>51.98593588363849</v>
      </c>
      <c r="W56" s="341"/>
      <c r="X56" s="30">
        <f>'2.4 NDF'!Q56</f>
        <v>63.551058455075385</v>
      </c>
      <c r="Y56" s="341"/>
    </row>
    <row r="57" spans="2:25" x14ac:dyDescent="0.35">
      <c r="B57" s="19">
        <f t="shared" si="0"/>
        <v>47</v>
      </c>
      <c r="C57" s="199">
        <f>'2.1. DM'!C57</f>
        <v>46041</v>
      </c>
      <c r="D57" s="199" t="str">
        <f>'2.1. DM'!D57</f>
        <v>Genbank</v>
      </c>
      <c r="E57" s="200">
        <f>'2.1. DM'!E57</f>
        <v>27</v>
      </c>
      <c r="F57" s="199" t="str">
        <f>'2.1. DM'!F57</f>
        <v>F251751</v>
      </c>
      <c r="G57" s="199" t="str">
        <f>'2.1. DM'!G57</f>
        <v>CIAT-7353</v>
      </c>
      <c r="H57" s="199" t="str">
        <f>'2.1. DM'!H57</f>
        <v>Prosopis</v>
      </c>
      <c r="I57" s="199" t="str">
        <f>'2.1. DM'!I57</f>
        <v>juliflora</v>
      </c>
      <c r="J57" s="199" t="str">
        <f>'2.1. DM'!J57</f>
        <v>Prosopis juliflora</v>
      </c>
      <c r="K57" s="199" t="str">
        <f>'2.1. DM'!K57</f>
        <v>Fabaceae</v>
      </c>
      <c r="L57" s="199" t="str">
        <f>'2.1. DM'!L57</f>
        <v>Fabales</v>
      </c>
      <c r="M57" s="199" t="str">
        <f>'2.1. DM'!M57</f>
        <v>Tree</v>
      </c>
      <c r="N57" s="310">
        <f>'2.1. DM'!P57</f>
        <v>94.572171131547506</v>
      </c>
      <c r="O57" s="341">
        <f>AVERAGE(N57:N58)</f>
        <v>94.626617459395078</v>
      </c>
      <c r="P57" s="18">
        <f>'2.1. DM'!R57</f>
        <v>9.8452990720095883</v>
      </c>
      <c r="Q57" s="341">
        <f>AVERAGE(P57:P58)</f>
        <v>9.4183710194356927</v>
      </c>
      <c r="R57" s="18">
        <f>'2.1. DM'!T57</f>
        <v>90.154700927990405</v>
      </c>
      <c r="S57" s="341">
        <f>AVERAGE(R57:R58)</f>
        <v>90.581628980564304</v>
      </c>
      <c r="T57" s="30">
        <f>TablePC[[#This Row],[Av DM 105]]</f>
        <v>30.486453959263638</v>
      </c>
      <c r="U57" s="341">
        <f t="shared" ref="U57" si="31">AVERAGE(T57:T58)</f>
        <v>30.486453959263638</v>
      </c>
      <c r="V57" s="30">
        <f>'2.3 ADF'!Q57</f>
        <v>28.995439891096471</v>
      </c>
      <c r="W57" s="341">
        <f>AVERAGE(V57:V58)</f>
        <v>29.377469406089595</v>
      </c>
      <c r="X57" s="30">
        <f>'2.4 NDF'!Q57</f>
        <v>47.118282760789711</v>
      </c>
      <c r="Y57" s="341">
        <f>AVERAGE(X57:X58)</f>
        <v>46.324472460646909</v>
      </c>
    </row>
    <row r="58" spans="2:25" x14ac:dyDescent="0.35">
      <c r="B58" s="19">
        <f t="shared" si="0"/>
        <v>48</v>
      </c>
      <c r="C58" s="199">
        <f>'2.1. DM'!C58</f>
        <v>46041</v>
      </c>
      <c r="D58" s="199" t="str">
        <f>'2.1. DM'!D58</f>
        <v>Genbank</v>
      </c>
      <c r="E58" s="200">
        <f>'2.1. DM'!E58</f>
        <v>27</v>
      </c>
      <c r="F58" s="199" t="str">
        <f>'2.1. DM'!F58</f>
        <v>F251751</v>
      </c>
      <c r="G58" s="199" t="str">
        <f>'2.1. DM'!G58</f>
        <v>CIAT-7353</v>
      </c>
      <c r="H58" s="199" t="str">
        <f>'2.1. DM'!H58</f>
        <v>Prosopis</v>
      </c>
      <c r="I58" s="199" t="str">
        <f>'2.1. DM'!I58</f>
        <v>juliflora</v>
      </c>
      <c r="J58" s="199" t="str">
        <f>'2.1. DM'!J58</f>
        <v>Prosopis juliflora</v>
      </c>
      <c r="K58" s="199" t="str">
        <f>'2.1. DM'!K58</f>
        <v>Fabaceae</v>
      </c>
      <c r="L58" s="199" t="str">
        <f>'2.1. DM'!L58</f>
        <v>Fabales</v>
      </c>
      <c r="M58" s="199" t="str">
        <f>'2.1. DM'!M58</f>
        <v>Tree</v>
      </c>
      <c r="N58" s="310">
        <f>'2.1. DM'!P58</f>
        <v>94.68106378724265</v>
      </c>
      <c r="O58" s="341"/>
      <c r="P58" s="18">
        <f>'2.1. DM'!R58</f>
        <v>8.9914429668617952</v>
      </c>
      <c r="Q58" s="341"/>
      <c r="R58" s="18">
        <f>'2.1. DM'!T58</f>
        <v>91.008557033138203</v>
      </c>
      <c r="S58" s="341"/>
      <c r="T58" s="30">
        <f>TablePC[[#This Row],[Av DM 105]]</f>
        <v>30.486453959263638</v>
      </c>
      <c r="U58" s="341"/>
      <c r="V58" s="30">
        <f>'2.3 ADF'!Q58</f>
        <v>29.759498921082717</v>
      </c>
      <c r="W58" s="341"/>
      <c r="X58" s="30">
        <f>'2.4 NDF'!Q58</f>
        <v>45.530662160504107</v>
      </c>
      <c r="Y58" s="341"/>
    </row>
    <row r="59" spans="2:25" x14ac:dyDescent="0.35">
      <c r="B59" s="19">
        <f t="shared" si="0"/>
        <v>49</v>
      </c>
      <c r="C59" s="199">
        <f>'2.1. DM'!C59</f>
        <v>46041</v>
      </c>
      <c r="D59" s="199" t="str">
        <f>'2.1. DM'!D59</f>
        <v>Genbank</v>
      </c>
      <c r="E59" s="200">
        <f>'2.1. DM'!E59</f>
        <v>27</v>
      </c>
      <c r="F59" s="199" t="str">
        <f>'2.1. DM'!F59</f>
        <v>F251752</v>
      </c>
      <c r="G59" s="199" t="str">
        <f>'2.1. DM'!G59</f>
        <v>CIAT-7976</v>
      </c>
      <c r="H59" s="199" t="str">
        <f>'2.1. DM'!H59</f>
        <v>Cassia</v>
      </c>
      <c r="I59" s="199" t="str">
        <f>'2.1. DM'!I59</f>
        <v>sp.</v>
      </c>
      <c r="J59" s="199" t="str">
        <f>'2.1. DM'!J59</f>
        <v>Cassia sp.</v>
      </c>
      <c r="K59" s="199" t="str">
        <f>'2.1. DM'!K59</f>
        <v>Fabaceae</v>
      </c>
      <c r="L59" s="199" t="str">
        <f>'2.1. DM'!L59</f>
        <v>Fabales</v>
      </c>
      <c r="M59" s="199" t="str">
        <f>'2.1. DM'!M59</f>
        <v>Tree</v>
      </c>
      <c r="N59" s="310">
        <f>'2.1. DM'!P59</f>
        <v>93.40197940617827</v>
      </c>
      <c r="O59" s="341">
        <f>AVERAGE(N59:N60)</f>
        <v>93.417631382249596</v>
      </c>
      <c r="P59" s="18">
        <f>'2.1. DM'!R59</f>
        <v>8.0581594353366821</v>
      </c>
      <c r="Q59" s="341">
        <f>AVERAGE(P59:P60)</f>
        <v>12.053530523308613</v>
      </c>
      <c r="R59" s="18">
        <f>'2.1. DM'!T59</f>
        <v>91.941840564663323</v>
      </c>
      <c r="S59" s="341">
        <f>AVERAGE(R59:R60)</f>
        <v>87.946469476691391</v>
      </c>
      <c r="T59" s="30">
        <f>TablePC[[#This Row],[Av DM 105]]</f>
        <v>25.588518268733985</v>
      </c>
      <c r="U59" s="341">
        <f t="shared" ref="U59" si="32">AVERAGE(T59:T60)</f>
        <v>25.588518268733985</v>
      </c>
      <c r="V59" s="30">
        <f>'2.3 ADF'!Q59</f>
        <v>38.508302667087136</v>
      </c>
      <c r="W59" s="341">
        <f>AVERAGE(V59:V60)</f>
        <v>39.53895727197682</v>
      </c>
      <c r="X59" s="30">
        <f>'2.4 NDF'!Q59</f>
        <v>49.576049604459683</v>
      </c>
      <c r="Y59" s="341">
        <f>AVERAGE(X59:X60)</f>
        <v>50.115790471025065</v>
      </c>
    </row>
    <row r="60" spans="2:25" x14ac:dyDescent="0.35">
      <c r="B60" s="19">
        <f t="shared" si="0"/>
        <v>50</v>
      </c>
      <c r="C60" s="199">
        <f>'2.1. DM'!C60</f>
        <v>46041</v>
      </c>
      <c r="D60" s="199" t="str">
        <f>'2.1. DM'!D60</f>
        <v>Genbank</v>
      </c>
      <c r="E60" s="200">
        <f>'2.1. DM'!E60</f>
        <v>27</v>
      </c>
      <c r="F60" s="199" t="str">
        <f>'2.1. DM'!F60</f>
        <v>F251752</v>
      </c>
      <c r="G60" s="199" t="str">
        <f>'2.1. DM'!G60</f>
        <v>CIAT-7976</v>
      </c>
      <c r="H60" s="199" t="str">
        <f>'2.1. DM'!H60</f>
        <v>Cassia</v>
      </c>
      <c r="I60" s="199" t="str">
        <f>'2.1. DM'!I60</f>
        <v>sp.</v>
      </c>
      <c r="J60" s="199" t="str">
        <f>'2.1. DM'!J60</f>
        <v>Cassia sp.</v>
      </c>
      <c r="K60" s="199" t="str">
        <f>'2.1. DM'!K60</f>
        <v>Fabaceae</v>
      </c>
      <c r="L60" s="199" t="str">
        <f>'2.1. DM'!L60</f>
        <v>Fabales</v>
      </c>
      <c r="M60" s="199" t="str">
        <f>'2.1. DM'!M60</f>
        <v>Tree</v>
      </c>
      <c r="N60" s="310">
        <f>'2.1. DM'!P60</f>
        <v>93.433283358320935</v>
      </c>
      <c r="O60" s="341"/>
      <c r="P60" s="18">
        <f>'2.1. DM'!R60</f>
        <v>16.048901611280542</v>
      </c>
      <c r="Q60" s="341"/>
      <c r="R60" s="18">
        <f>'2.1. DM'!T60</f>
        <v>83.951098388719458</v>
      </c>
      <c r="S60" s="341"/>
      <c r="T60" s="30">
        <f>TablePC[[#This Row],[Av DM 105]]</f>
        <v>25.588518268733985</v>
      </c>
      <c r="U60" s="341"/>
      <c r="V60" s="30">
        <f>'2.3 ADF'!Q60</f>
        <v>40.569611876866503</v>
      </c>
      <c r="W60" s="341"/>
      <c r="X60" s="30">
        <f>'2.4 NDF'!Q60</f>
        <v>50.655531337590446</v>
      </c>
      <c r="Y60" s="341"/>
    </row>
    <row r="61" spans="2:25" x14ac:dyDescent="0.35">
      <c r="B61" s="19">
        <f t="shared" si="0"/>
        <v>51</v>
      </c>
      <c r="C61" s="199">
        <f>'2.1. DM'!C61</f>
        <v>46041</v>
      </c>
      <c r="D61" s="199" t="str">
        <f>'2.1. DM'!D61</f>
        <v>Genbank</v>
      </c>
      <c r="E61" s="200">
        <f>'2.1. DM'!E61</f>
        <v>27</v>
      </c>
      <c r="F61" s="199" t="str">
        <f>'2.1. DM'!F61</f>
        <v>F251753</v>
      </c>
      <c r="G61" s="199" t="str">
        <f>'2.1. DM'!G61</f>
        <v>CIAT-8018</v>
      </c>
      <c r="H61" s="199" t="str">
        <f>'2.1. DM'!H61</f>
        <v>Acacia</v>
      </c>
      <c r="I61" s="199" t="str">
        <f>'2.1. DM'!I61</f>
        <v>aroma</v>
      </c>
      <c r="J61" s="199" t="str">
        <f>'2.1. DM'!J61</f>
        <v>Acacia aroma</v>
      </c>
      <c r="K61" s="199" t="str">
        <f>'2.1. DM'!K61</f>
        <v>Fabaceae</v>
      </c>
      <c r="L61" s="199" t="str">
        <f>'2.1. DM'!L61</f>
        <v>Fabales</v>
      </c>
      <c r="M61" s="199" t="str">
        <f>'2.1. DM'!M61</f>
        <v>Tree</v>
      </c>
      <c r="N61" s="310">
        <f>'2.1. DM'!P61</f>
        <v>93.759999999999891</v>
      </c>
      <c r="O61" s="341">
        <f>AVERAGE(N61:N62)</f>
        <v>93.795616876624592</v>
      </c>
      <c r="P61" s="18">
        <f>'2.1. DM'!R61</f>
        <v>17.698055146686649</v>
      </c>
      <c r="Q61" s="341">
        <f>AVERAGE(P61:P62)</f>
        <v>18.112000233311775</v>
      </c>
      <c r="R61" s="18">
        <f>'2.1. DM'!T61</f>
        <v>82.301944853313358</v>
      </c>
      <c r="S61" s="341">
        <f>AVERAGE(R61:R62)</f>
        <v>81.887999766688225</v>
      </c>
      <c r="T61" s="30">
        <f>TablePC[[#This Row],[Av DM 105]]</f>
        <v>23.536924058087447</v>
      </c>
      <c r="U61" s="341">
        <f t="shared" ref="U61" si="33">AVERAGE(T61:T62)</f>
        <v>23.536924058087447</v>
      </c>
      <c r="V61" s="30">
        <f>'2.3 ADF'!Q61</f>
        <v>57.853846160204533</v>
      </c>
      <c r="W61" s="341">
        <f>AVERAGE(V61:V62)</f>
        <v>58.526711306777671</v>
      </c>
      <c r="X61" s="30">
        <f>'2.4 NDF'!Q61</f>
        <v>71.12141109048973</v>
      </c>
      <c r="Y61" s="341">
        <f>AVERAGE(X61:X62)</f>
        <v>70.33432004995808</v>
      </c>
    </row>
    <row r="62" spans="2:25" x14ac:dyDescent="0.35">
      <c r="B62" s="19">
        <f t="shared" si="0"/>
        <v>52</v>
      </c>
      <c r="C62" s="199">
        <f>'2.1. DM'!C62</f>
        <v>46041</v>
      </c>
      <c r="D62" s="199" t="str">
        <f>'2.1. DM'!D62</f>
        <v>Genbank</v>
      </c>
      <c r="E62" s="200">
        <f>'2.1. DM'!E62</f>
        <v>27</v>
      </c>
      <c r="F62" s="199" t="str">
        <f>'2.1. DM'!F62</f>
        <v>F251753</v>
      </c>
      <c r="G62" s="199" t="str">
        <f>'2.1. DM'!G62</f>
        <v>CIAT-8018</v>
      </c>
      <c r="H62" s="199" t="str">
        <f>'2.1. DM'!H62</f>
        <v>Acacia</v>
      </c>
      <c r="I62" s="199" t="str">
        <f>'2.1. DM'!I62</f>
        <v>aroma</v>
      </c>
      <c r="J62" s="199" t="str">
        <f>'2.1. DM'!J62</f>
        <v>Acacia aroma</v>
      </c>
      <c r="K62" s="199" t="str">
        <f>'2.1. DM'!K62</f>
        <v>Fabaceae</v>
      </c>
      <c r="L62" s="199" t="str">
        <f>'2.1. DM'!L62</f>
        <v>Fabales</v>
      </c>
      <c r="M62" s="199" t="str">
        <f>'2.1. DM'!M62</f>
        <v>Tree</v>
      </c>
      <c r="N62" s="310">
        <f>'2.1. DM'!P62</f>
        <v>93.831233753249293</v>
      </c>
      <c r="O62" s="341"/>
      <c r="P62" s="18">
        <f>'2.1. DM'!R62</f>
        <v>18.525945319936906</v>
      </c>
      <c r="Q62" s="341"/>
      <c r="R62" s="18">
        <f>'2.1. DM'!T62</f>
        <v>81.474054680063091</v>
      </c>
      <c r="S62" s="341"/>
      <c r="T62" s="30">
        <f>TablePC[[#This Row],[Av DM 105]]</f>
        <v>23.536924058087447</v>
      </c>
      <c r="U62" s="341"/>
      <c r="V62" s="30">
        <f>'2.3 ADF'!Q62</f>
        <v>59.199576453350808</v>
      </c>
      <c r="W62" s="341"/>
      <c r="X62" s="30">
        <f>'2.4 NDF'!Q62</f>
        <v>69.547229009426445</v>
      </c>
      <c r="Y62" s="341"/>
    </row>
    <row r="63" spans="2:25" x14ac:dyDescent="0.35">
      <c r="B63" s="19">
        <f t="shared" si="0"/>
        <v>53</v>
      </c>
      <c r="C63" s="199">
        <f>'2.1. DM'!C63</f>
        <v>46041</v>
      </c>
      <c r="D63" s="199" t="str">
        <f>'2.1. DM'!D63</f>
        <v>Genbank</v>
      </c>
      <c r="E63" s="200">
        <f>'2.1. DM'!E63</f>
        <v>27</v>
      </c>
      <c r="F63" s="199" t="str">
        <f>'2.1. DM'!F63</f>
        <v>F251754</v>
      </c>
      <c r="G63" s="199" t="str">
        <f>'2.1. DM'!G63</f>
        <v>CIAT-9990</v>
      </c>
      <c r="H63" s="199" t="str">
        <f>'2.1. DM'!H63</f>
        <v>Prosopis</v>
      </c>
      <c r="I63" s="199" t="str">
        <f>'2.1. DM'!I63</f>
        <v>juliflora</v>
      </c>
      <c r="J63" s="199" t="str">
        <f>'2.1. DM'!J63</f>
        <v>Prosopis juliflora</v>
      </c>
      <c r="K63" s="199" t="str">
        <f>'2.1. DM'!K63</f>
        <v>Fabaceae</v>
      </c>
      <c r="L63" s="199" t="str">
        <f>'2.1. DM'!L63</f>
        <v>Fabales</v>
      </c>
      <c r="M63" s="199" t="str">
        <f>'2.1. DM'!M63</f>
        <v>Tree</v>
      </c>
      <c r="N63" s="310">
        <f>'2.1. DM'!P63</f>
        <v>92.964221467119657</v>
      </c>
      <c r="O63" s="341">
        <f>AVERAGE(N63:N64)</f>
        <v>92.974215470717525</v>
      </c>
      <c r="P63" s="18">
        <f>'2.1. DM'!R63</f>
        <v>10.147264323336593</v>
      </c>
      <c r="Q63" s="341">
        <f>AVERAGE(P63:P64)</f>
        <v>12.38310222508871</v>
      </c>
      <c r="R63" s="18">
        <f>'2.1. DM'!T63</f>
        <v>89.8527356766634</v>
      </c>
      <c r="S63" s="341">
        <f>AVERAGE(R63:R64)</f>
        <v>87.61689777491128</v>
      </c>
      <c r="T63" s="30">
        <f>TablePC[[#This Row],[Av DM 105]]</f>
        <v>31.752008331859145</v>
      </c>
      <c r="U63" s="341">
        <f t="shared" ref="U63" si="34">AVERAGE(T63:T64)</f>
        <v>31.752008331859145</v>
      </c>
      <c r="V63" s="30">
        <f>'2.3 ADF'!Q63</f>
        <v>28.740804663610607</v>
      </c>
      <c r="W63" s="341">
        <f>AVERAGE(V63:V64)</f>
        <v>28.642297250900654</v>
      </c>
      <c r="X63" s="30">
        <f>'2.4 NDF'!Q63</f>
        <v>49.166365274735234</v>
      </c>
      <c r="Y63" s="341">
        <f>AVERAGE(X63:X64)</f>
        <v>48.76403521134597</v>
      </c>
    </row>
    <row r="64" spans="2:25" x14ac:dyDescent="0.35">
      <c r="B64" s="19">
        <f t="shared" si="0"/>
        <v>54</v>
      </c>
      <c r="C64" s="199">
        <f>'2.1. DM'!C64</f>
        <v>46041</v>
      </c>
      <c r="D64" s="199" t="str">
        <f>'2.1. DM'!D64</f>
        <v>Genbank</v>
      </c>
      <c r="E64" s="200">
        <f>'2.1. DM'!E64</f>
        <v>27</v>
      </c>
      <c r="F64" s="199" t="str">
        <f>'2.1. DM'!F64</f>
        <v>F251754</v>
      </c>
      <c r="G64" s="199" t="str">
        <f>'2.1. DM'!G64</f>
        <v>CIAT-9990</v>
      </c>
      <c r="H64" s="199" t="str">
        <f>'2.1. DM'!H64</f>
        <v>Prosopis</v>
      </c>
      <c r="I64" s="199" t="str">
        <f>'2.1. DM'!I64</f>
        <v>juliflora</v>
      </c>
      <c r="J64" s="199" t="str">
        <f>'2.1. DM'!J64</f>
        <v>Prosopis juliflora</v>
      </c>
      <c r="K64" s="199" t="str">
        <f>'2.1. DM'!K64</f>
        <v>Fabaceae</v>
      </c>
      <c r="L64" s="199" t="str">
        <f>'2.1. DM'!L64</f>
        <v>Fabales</v>
      </c>
      <c r="M64" s="199" t="str">
        <f>'2.1. DM'!M64</f>
        <v>Tree</v>
      </c>
      <c r="N64" s="310">
        <f>'2.1. DM'!P64</f>
        <v>92.984209474315378</v>
      </c>
      <c r="O64" s="341"/>
      <c r="P64" s="18">
        <f>'2.1. DM'!R64</f>
        <v>14.618940126840826</v>
      </c>
      <c r="Q64" s="341"/>
      <c r="R64" s="18">
        <f>'2.1. DM'!T64</f>
        <v>85.381059873159174</v>
      </c>
      <c r="S64" s="341"/>
      <c r="T64" s="30">
        <f>TablePC[[#This Row],[Av DM 105]]</f>
        <v>31.752008331859145</v>
      </c>
      <c r="U64" s="341"/>
      <c r="V64" s="30">
        <f>'2.3 ADF'!Q64</f>
        <v>28.543789838190705</v>
      </c>
      <c r="W64" s="341"/>
      <c r="X64" s="30">
        <f>'2.4 NDF'!Q64</f>
        <v>48.361705147956705</v>
      </c>
      <c r="Y64" s="341"/>
    </row>
    <row r="65" spans="2:25" x14ac:dyDescent="0.35">
      <c r="B65" s="19">
        <f t="shared" si="0"/>
        <v>55</v>
      </c>
      <c r="C65" s="199">
        <f>'2.1. DM'!C65</f>
        <v>46041</v>
      </c>
      <c r="D65" s="199" t="str">
        <f>'2.1. DM'!D65</f>
        <v>Genbank</v>
      </c>
      <c r="E65" s="200">
        <f>'2.1. DM'!E65</f>
        <v>27</v>
      </c>
      <c r="F65" s="199" t="str">
        <f>'2.1. DM'!F65</f>
        <v>F251755</v>
      </c>
      <c r="G65" s="199" t="str">
        <f>'2.1. DM'!G65</f>
        <v>CIAT-13258</v>
      </c>
      <c r="H65" s="199" t="str">
        <f>'2.1. DM'!H65</f>
        <v>Dendrolobium</v>
      </c>
      <c r="I65" s="199" t="str">
        <f>'2.1. DM'!I65</f>
        <v>lanceolatum</v>
      </c>
      <c r="J65" s="199" t="str">
        <f>'2.1. DM'!J65</f>
        <v>Dendrolobium lanceolatum</v>
      </c>
      <c r="K65" s="199" t="str">
        <f>'2.1. DM'!K65</f>
        <v>Fabaceae</v>
      </c>
      <c r="L65" s="199" t="str">
        <f>'2.1. DM'!L65</f>
        <v>Fabales</v>
      </c>
      <c r="M65" s="199" t="str">
        <f>'2.1. DM'!M65</f>
        <v>Tree</v>
      </c>
      <c r="N65" s="310">
        <f>'2.1. DM'!P65</f>
        <v>94.552179128348655</v>
      </c>
      <c r="O65" s="341">
        <f>AVERAGE(N65:N66)</f>
        <v>94.597428894509136</v>
      </c>
      <c r="P65" s="18">
        <f>'2.1. DM'!R65</f>
        <v>14.888741076889941</v>
      </c>
      <c r="Q65" s="341">
        <f>AVERAGE(P65:P66)</f>
        <v>14.866865354030644</v>
      </c>
      <c r="R65" s="18">
        <f>'2.1. DM'!T65</f>
        <v>85.111258923110057</v>
      </c>
      <c r="S65" s="341">
        <f>AVERAGE(R65:R66)</f>
        <v>85.133134645969363</v>
      </c>
      <c r="T65" s="30">
        <f>TablePC[[#This Row],[Av DM 105]]</f>
        <v>15.550264369544495</v>
      </c>
      <c r="U65" s="341">
        <f t="shared" ref="U65" si="35">AVERAGE(T65:T66)</f>
        <v>15.550264369544495</v>
      </c>
      <c r="V65" s="30">
        <f>'2.3 ADF'!Q65</f>
        <v>53.990401487179938</v>
      </c>
      <c r="W65" s="341">
        <f>AVERAGE(V65:V66)</f>
        <v>54.957144053029076</v>
      </c>
      <c r="X65" s="30">
        <f>'2.4 NDF'!Q65</f>
        <v>60.148887408621022</v>
      </c>
      <c r="Y65" s="341">
        <f>AVERAGE(X65:X66)</f>
        <v>61.802642029697566</v>
      </c>
    </row>
    <row r="66" spans="2:25" x14ac:dyDescent="0.35">
      <c r="B66" s="19">
        <f t="shared" si="0"/>
        <v>56</v>
      </c>
      <c r="C66" s="199">
        <f>'2.1. DM'!C66</f>
        <v>46041</v>
      </c>
      <c r="D66" s="199" t="str">
        <f>'2.1. DM'!D66</f>
        <v>Genbank</v>
      </c>
      <c r="E66" s="200">
        <f>'2.1. DM'!E66</f>
        <v>27</v>
      </c>
      <c r="F66" s="199" t="str">
        <f>'2.1. DM'!F66</f>
        <v>F251755</v>
      </c>
      <c r="G66" s="199" t="str">
        <f>'2.1. DM'!G66</f>
        <v>CIAT-13258</v>
      </c>
      <c r="H66" s="199" t="str">
        <f>'2.1. DM'!H66</f>
        <v>Dendrolobium</v>
      </c>
      <c r="I66" s="199" t="str">
        <f>'2.1. DM'!I66</f>
        <v>lanceolatum</v>
      </c>
      <c r="J66" s="199" t="str">
        <f>'2.1. DM'!J66</f>
        <v>Dendrolobium lanceolatum</v>
      </c>
      <c r="K66" s="199" t="str">
        <f>'2.1. DM'!K66</f>
        <v>Fabaceae</v>
      </c>
      <c r="L66" s="199" t="str">
        <f>'2.1. DM'!L66</f>
        <v>Fabales</v>
      </c>
      <c r="M66" s="199" t="str">
        <f>'2.1. DM'!M66</f>
        <v>Tree</v>
      </c>
      <c r="N66" s="310">
        <f>'2.1. DM'!P66</f>
        <v>94.642678660669617</v>
      </c>
      <c r="O66" s="341"/>
      <c r="P66" s="18">
        <f>'2.1. DM'!R66</f>
        <v>14.844989631171348</v>
      </c>
      <c r="Q66" s="341"/>
      <c r="R66" s="18">
        <f>'2.1. DM'!T66</f>
        <v>85.155010368828655</v>
      </c>
      <c r="S66" s="341"/>
      <c r="T66" s="30">
        <f>TablePC[[#This Row],[Av DM 105]]</f>
        <v>15.550264369544495</v>
      </c>
      <c r="U66" s="341"/>
      <c r="V66" s="30">
        <f>'2.3 ADF'!Q66</f>
        <v>55.923886618878214</v>
      </c>
      <c r="W66" s="341"/>
      <c r="X66" s="30">
        <f>'2.4 NDF'!Q66</f>
        <v>63.456396650774117</v>
      </c>
      <c r="Y66" s="341"/>
    </row>
    <row r="67" spans="2:25" x14ac:dyDescent="0.35">
      <c r="B67" s="19">
        <f t="shared" si="0"/>
        <v>57</v>
      </c>
      <c r="C67" s="199">
        <f>'2.1. DM'!C67</f>
        <v>46041</v>
      </c>
      <c r="D67" s="199" t="str">
        <f>'2.1. DM'!D67</f>
        <v>Genbank</v>
      </c>
      <c r="E67" s="200">
        <f>'2.1. DM'!E67</f>
        <v>27</v>
      </c>
      <c r="F67" s="199" t="str">
        <f>'2.1. DM'!F67</f>
        <v>F251756</v>
      </c>
      <c r="G67" s="199" t="str">
        <f>'2.1. DM'!G67</f>
        <v>CIAT-13260</v>
      </c>
      <c r="H67" s="199" t="str">
        <f>'2.1. DM'!H67</f>
        <v>Dendrolobium</v>
      </c>
      <c r="I67" s="199" t="str">
        <f>'2.1. DM'!I67</f>
        <v>lanceolatum</v>
      </c>
      <c r="J67" s="199" t="str">
        <f>'2.1. DM'!J67</f>
        <v>Dendrolobium lanceolatum</v>
      </c>
      <c r="K67" s="199" t="str">
        <f>'2.1. DM'!K67</f>
        <v>Fabaceae</v>
      </c>
      <c r="L67" s="199" t="str">
        <f>'2.1. DM'!L67</f>
        <v>Fabales</v>
      </c>
      <c r="M67" s="199" t="str">
        <f>'2.1. DM'!M67</f>
        <v>Tree</v>
      </c>
      <c r="N67" s="310">
        <f>'2.1. DM'!P67</f>
        <v>94.041191761647653</v>
      </c>
      <c r="O67" s="341">
        <f>AVERAGE(N67:N68)</f>
        <v>94.076479115853317</v>
      </c>
      <c r="P67" s="18">
        <f>'2.1. DM'!R67</f>
        <v>9.3522211232999606</v>
      </c>
      <c r="Q67" s="341">
        <f>AVERAGE(P67:P68)</f>
        <v>12.082754275995448</v>
      </c>
      <c r="R67" s="18">
        <f>'2.1. DM'!T67</f>
        <v>90.647778876700045</v>
      </c>
      <c r="S67" s="341">
        <f>AVERAGE(R67:R68)</f>
        <v>87.917245724004545</v>
      </c>
      <c r="T67" s="30">
        <f>TablePC[[#This Row],[Av DM 105]]</f>
        <v>15.813425412661195</v>
      </c>
      <c r="U67" s="341">
        <f t="shared" ref="U67" si="36">AVERAGE(T67:T68)</f>
        <v>15.813425412661195</v>
      </c>
      <c r="V67" s="30">
        <f>'2.3 ADF'!Q67</f>
        <v>57.398417704360625</v>
      </c>
      <c r="W67" s="341">
        <f>AVERAGE(V67:V68)</f>
        <v>57.392576547550817</v>
      </c>
      <c r="X67" s="30">
        <f>'2.4 NDF'!Q67</f>
        <v>63.657549936738143</v>
      </c>
      <c r="Y67" s="341">
        <f>AVERAGE(X67:X68)</f>
        <v>65.193580185159263</v>
      </c>
    </row>
    <row r="68" spans="2:25" x14ac:dyDescent="0.35">
      <c r="B68" s="19">
        <f t="shared" si="0"/>
        <v>58</v>
      </c>
      <c r="C68" s="199">
        <f>'2.1. DM'!C68</f>
        <v>46041</v>
      </c>
      <c r="D68" s="199" t="str">
        <f>'2.1. DM'!D68</f>
        <v>Genbank</v>
      </c>
      <c r="E68" s="200">
        <f>'2.1. DM'!E68</f>
        <v>27</v>
      </c>
      <c r="F68" s="199" t="str">
        <f>'2.1. DM'!F68</f>
        <v>F251756</v>
      </c>
      <c r="G68" s="199" t="str">
        <f>'2.1. DM'!G68</f>
        <v>CIAT-13260</v>
      </c>
      <c r="H68" s="199" t="str">
        <f>'2.1. DM'!H68</f>
        <v>Dendrolobium</v>
      </c>
      <c r="I68" s="199" t="str">
        <f>'2.1. DM'!I68</f>
        <v>lanceolatum</v>
      </c>
      <c r="J68" s="199" t="str">
        <f>'2.1. DM'!J68</f>
        <v>Dendrolobium lanceolatum</v>
      </c>
      <c r="K68" s="199" t="str">
        <f>'2.1. DM'!K68</f>
        <v>Fabaceae</v>
      </c>
      <c r="L68" s="199" t="str">
        <f>'2.1. DM'!L68</f>
        <v>Fabales</v>
      </c>
      <c r="M68" s="199" t="str">
        <f>'2.1. DM'!M68</f>
        <v>Tree</v>
      </c>
      <c r="N68" s="310">
        <f>'2.1. DM'!P68</f>
        <v>94.111766470058967</v>
      </c>
      <c r="O68" s="341"/>
      <c r="P68" s="18">
        <f>'2.1. DM'!R68</f>
        <v>14.813287428690936</v>
      </c>
      <c r="Q68" s="341"/>
      <c r="R68" s="18">
        <f>'2.1. DM'!T68</f>
        <v>85.186712571309059</v>
      </c>
      <c r="S68" s="341"/>
      <c r="T68" s="30">
        <f>TablePC[[#This Row],[Av DM 105]]</f>
        <v>15.813425412661195</v>
      </c>
      <c r="U68" s="341"/>
      <c r="V68" s="30">
        <f>'2.3 ADF'!Q68</f>
        <v>57.386735390741016</v>
      </c>
      <c r="W68" s="341"/>
      <c r="X68" s="30">
        <f>'2.4 NDF'!Q68</f>
        <v>66.72961043358039</v>
      </c>
      <c r="Y68" s="341"/>
    </row>
    <row r="69" spans="2:25" x14ac:dyDescent="0.35">
      <c r="B69" s="19">
        <f t="shared" si="0"/>
        <v>59</v>
      </c>
      <c r="C69" s="199">
        <f>'2.1. DM'!C69</f>
        <v>46041</v>
      </c>
      <c r="D69" s="199" t="str">
        <f>'2.1. DM'!D69</f>
        <v>Genbank</v>
      </c>
      <c r="E69" s="200">
        <f>'2.1. DM'!E69</f>
        <v>27</v>
      </c>
      <c r="F69" s="199" t="str">
        <f>'2.1. DM'!F69</f>
        <v>F251757</v>
      </c>
      <c r="G69" s="199" t="str">
        <f>'2.1. DM'!G69</f>
        <v>CIAT-17263</v>
      </c>
      <c r="H69" s="199" t="str">
        <f>'2.1. DM'!H69</f>
        <v>Leucaena</v>
      </c>
      <c r="I69" s="199" t="str">
        <f>'2.1. DM'!I69</f>
        <v>leucocephala</v>
      </c>
      <c r="J69" s="199" t="str">
        <f>'2.1. DM'!J69</f>
        <v>Leucaena leucocephala</v>
      </c>
      <c r="K69" s="199" t="str">
        <f>'2.1. DM'!K69</f>
        <v>Fabaceae</v>
      </c>
      <c r="L69" s="199" t="str">
        <f>'2.1. DM'!L69</f>
        <v>Fabales</v>
      </c>
      <c r="M69" s="199" t="str">
        <f>'2.1. DM'!M69</f>
        <v>Tree</v>
      </c>
      <c r="N69" s="310">
        <f>'2.1. DM'!P69</f>
        <v>94.413351988806639</v>
      </c>
      <c r="O69" s="341">
        <f>AVERAGE(N69:N70)</f>
        <v>94.471675994403398</v>
      </c>
      <c r="P69" s="18">
        <f>'2.1. DM'!R69</f>
        <v>15.423942776791399</v>
      </c>
      <c r="Q69" s="341">
        <f>AVERAGE(P69:P70)</f>
        <v>13.814329517769407</v>
      </c>
      <c r="R69" s="18">
        <f>'2.1. DM'!T69</f>
        <v>84.576057223208608</v>
      </c>
      <c r="S69" s="341">
        <f>AVERAGE(R69:R70)</f>
        <v>86.185670482230591</v>
      </c>
      <c r="T69" s="30">
        <f>TablePC[[#This Row],[Av DM 105]]</f>
        <v>27.42940648425769</v>
      </c>
      <c r="U69" s="341">
        <f t="shared" ref="U69" si="37">AVERAGE(T69:T70)</f>
        <v>13.714703242128845</v>
      </c>
      <c r="V69" s="30">
        <f>'2.3 ADF'!Q69</f>
        <v>36.709312615326922</v>
      </c>
      <c r="W69" s="341">
        <f>AVERAGE(V69:V70)</f>
        <v>36.267308380154496</v>
      </c>
      <c r="X69" s="30">
        <f>'2.4 NDF'!Q69</f>
        <v>58.984626358318174</v>
      </c>
      <c r="Y69" s="341">
        <f>AVERAGE(X69:X70)</f>
        <v>57.76223960237941</v>
      </c>
    </row>
    <row r="70" spans="2:25" x14ac:dyDescent="0.35">
      <c r="B70" s="19">
        <f t="shared" si="0"/>
        <v>60</v>
      </c>
      <c r="C70" s="199">
        <f>'2.1. DM'!C70</f>
        <v>46041</v>
      </c>
      <c r="D70" s="199" t="str">
        <f>'2.1. DM'!D70</f>
        <v>Genbank</v>
      </c>
      <c r="E70" s="200">
        <f>'2.1. DM'!E70</f>
        <v>27</v>
      </c>
      <c r="F70" s="199" t="str">
        <f>'2.1. DM'!F70</f>
        <v>F251757</v>
      </c>
      <c r="G70" s="199" t="str">
        <f>'2.1. DM'!G70</f>
        <v>CIAT-17263</v>
      </c>
      <c r="H70" s="199" t="str">
        <f>'2.1. DM'!H70</f>
        <v>Leucaena</v>
      </c>
      <c r="I70" s="199" t="str">
        <f>'2.1. DM'!I70</f>
        <v>leucocephala</v>
      </c>
      <c r="J70" s="199" t="str">
        <f>'2.1. DM'!J70</f>
        <v>Leucaena leucocephala</v>
      </c>
      <c r="K70" s="199" t="str">
        <f>'2.1. DM'!K70</f>
        <v>Fabaceae</v>
      </c>
      <c r="L70" s="199" t="str">
        <f>'2.1. DM'!L70</f>
        <v>Fabales</v>
      </c>
      <c r="M70" s="199" t="str">
        <f>'2.1. DM'!M70</f>
        <v>Tree</v>
      </c>
      <c r="N70" s="310">
        <f>'2.1. DM'!P70</f>
        <v>94.530000000000143</v>
      </c>
      <c r="O70" s="341"/>
      <c r="P70" s="18">
        <f>'2.1. DM'!R70</f>
        <v>12.204716258747414</v>
      </c>
      <c r="Q70" s="341"/>
      <c r="R70" s="18">
        <f>'2.1. DM'!T70</f>
        <v>87.795283741252589</v>
      </c>
      <c r="S70" s="341"/>
      <c r="T70" s="30">
        <f>TablePC[[#This Row],[Av DM 105]]</f>
        <v>0</v>
      </c>
      <c r="U70" s="341"/>
      <c r="V70" s="30">
        <f>'2.3 ADF'!Q70</f>
        <v>35.82530414498207</v>
      </c>
      <c r="W70" s="341"/>
      <c r="X70" s="30">
        <f>'2.4 NDF'!Q70</f>
        <v>56.539852846440652</v>
      </c>
      <c r="Y70" s="341"/>
    </row>
    <row r="71" spans="2:25" x14ac:dyDescent="0.35">
      <c r="B71" s="19">
        <f t="shared" si="0"/>
        <v>61</v>
      </c>
      <c r="C71" s="199">
        <f>'2.1. DM'!C71</f>
        <v>46041</v>
      </c>
      <c r="D71" s="199" t="str">
        <f>'2.1. DM'!D71</f>
        <v>Isabel Molina</v>
      </c>
      <c r="E71" s="200">
        <f>'2.1. DM'!E71</f>
        <v>27</v>
      </c>
      <c r="F71" s="199" t="str">
        <f>'2.1. DM'!F71</f>
        <v>F252640</v>
      </c>
      <c r="G71" s="199" t="str">
        <f>'2.1. DM'!G71</f>
        <v xml:space="preserve"> Cayman Br02_1752</v>
      </c>
      <c r="H71" s="199" t="str">
        <f>'2.1. DM'!H71</f>
        <v>Urochloa</v>
      </c>
      <c r="I71" s="199" t="str">
        <f>'2.1. DM'!I71</f>
        <v>interespecifico</v>
      </c>
      <c r="J71" s="199" t="str">
        <f>'2.1. DM'!J71</f>
        <v>Urochloa interespecifico</v>
      </c>
      <c r="K71" s="199" t="str">
        <f>'2.1. DM'!K71</f>
        <v>Poaceae</v>
      </c>
      <c r="L71" s="199" t="str">
        <f>'2.1. DM'!L71</f>
        <v>Poales</v>
      </c>
      <c r="M71" s="199" t="str">
        <f>'2.1. DM'!M71</f>
        <v>grasses</v>
      </c>
      <c r="N71" s="310">
        <f>'2.1. DM'!P71</f>
        <v>97.010896730980861</v>
      </c>
      <c r="O71" s="341">
        <f>AVERAGE(N71:N72)</f>
        <v>97.001050124786801</v>
      </c>
      <c r="P71" s="18">
        <f>'2.1. DM'!R71</f>
        <v>9.6258739759373544</v>
      </c>
      <c r="Q71" s="341">
        <f>AVERAGE(P71:P72)</f>
        <v>9.6511554864924065</v>
      </c>
      <c r="R71" s="18">
        <f>'2.1. DM'!T71</f>
        <v>90.374126024062647</v>
      </c>
      <c r="S71" s="341">
        <f>AVERAGE(R71:R72)</f>
        <v>90.348844513507601</v>
      </c>
      <c r="T71" s="30">
        <f>TablePC[[#This Row],[Av DM 105]]</f>
        <v>8.0410104701209058</v>
      </c>
      <c r="U71" s="341">
        <f t="shared" ref="U71" si="38">AVERAGE(T71:T72)</f>
        <v>8.0543856929248818</v>
      </c>
      <c r="V71" s="30">
        <f>'2.3 ADF'!Q71</f>
        <v>26.267021853926213</v>
      </c>
      <c r="W71" s="341">
        <f>AVERAGE(V71:V72)</f>
        <v>26.241815612724281</v>
      </c>
      <c r="X71" s="30">
        <f>'2.4 NDF'!Q71</f>
        <v>62.420924342626257</v>
      </c>
      <c r="Y71" s="341">
        <f>AVERAGE(X71:X72)</f>
        <v>62.133650806607761</v>
      </c>
    </row>
    <row r="72" spans="2:25" x14ac:dyDescent="0.35">
      <c r="B72" s="19">
        <f t="shared" si="0"/>
        <v>62</v>
      </c>
      <c r="C72" s="199">
        <f>'2.1. DM'!C72</f>
        <v>46041</v>
      </c>
      <c r="D72" s="199" t="str">
        <f>'2.1. DM'!D72</f>
        <v>Isabel Molina</v>
      </c>
      <c r="E72" s="200">
        <f>'2.1. DM'!E72</f>
        <v>27</v>
      </c>
      <c r="F72" s="199" t="str">
        <f>'2.1. DM'!F72</f>
        <v>F252640</v>
      </c>
      <c r="G72" s="199" t="str">
        <f>'2.1. DM'!G72</f>
        <v xml:space="preserve"> Cayman Br02_1752</v>
      </c>
      <c r="H72" s="199" t="str">
        <f>'2.1. DM'!H72</f>
        <v>Urochloa</v>
      </c>
      <c r="I72" s="199" t="str">
        <f>'2.1. DM'!I72</f>
        <v>interespecifico</v>
      </c>
      <c r="J72" s="199" t="str">
        <f>'2.1. DM'!J72</f>
        <v>Urochloa interespecifico</v>
      </c>
      <c r="K72" s="199" t="str">
        <f>'2.1. DM'!K72</f>
        <v>Poaceae</v>
      </c>
      <c r="L72" s="199" t="str">
        <f>'2.1. DM'!L72</f>
        <v>Poales</v>
      </c>
      <c r="M72" s="199" t="str">
        <f>'2.1. DM'!M72</f>
        <v>grasses</v>
      </c>
      <c r="N72" s="310">
        <f>'2.1. DM'!P72</f>
        <v>96.991203518592741</v>
      </c>
      <c r="O72" s="341"/>
      <c r="P72" s="18">
        <f>'2.1. DM'!R72</f>
        <v>9.6764369970474604</v>
      </c>
      <c r="Q72" s="341"/>
      <c r="R72" s="18">
        <f>'2.1. DM'!T72</f>
        <v>90.32356300295254</v>
      </c>
      <c r="S72" s="341"/>
      <c r="T72" s="30">
        <f>TablePC[[#This Row],[Av DM 105]]</f>
        <v>8.0677609157288597</v>
      </c>
      <c r="U72" s="341"/>
      <c r="V72" s="30">
        <f>'2.3 ADF'!Q72</f>
        <v>26.216609371522352</v>
      </c>
      <c r="W72" s="341"/>
      <c r="X72" s="30">
        <f>'2.4 NDF'!Q72</f>
        <v>61.846377270589258</v>
      </c>
      <c r="Y72" s="341"/>
    </row>
    <row r="73" spans="2:25" x14ac:dyDescent="0.35">
      <c r="B73" s="19">
        <f t="shared" si="0"/>
        <v>63</v>
      </c>
      <c r="C73" s="199">
        <f>'2.1. DM'!C73</f>
        <v>46041</v>
      </c>
      <c r="D73" s="199" t="str">
        <f>'2.1. DM'!D73</f>
        <v>Mauricio Sotelo</v>
      </c>
      <c r="E73" s="200">
        <f>'2.1. DM'!E73</f>
        <v>27</v>
      </c>
      <c r="F73" s="199" t="str">
        <f>'2.1. DM'!F73</f>
        <v>F252641</v>
      </c>
      <c r="G73" s="199" t="str">
        <f>'2.1. DM'!G73</f>
        <v>N/A</v>
      </c>
      <c r="H73" s="199" t="str">
        <f>'2.1. DM'!H73</f>
        <v xml:space="preserve">Gliricidia  </v>
      </c>
      <c r="I73" s="199" t="str">
        <f>'2.1. DM'!I73</f>
        <v>sepium</v>
      </c>
      <c r="J73" s="199" t="str">
        <f>'2.1. DM'!J73</f>
        <v xml:space="preserve">Gliricidia sepium </v>
      </c>
      <c r="K73" s="199" t="str">
        <f>'2.1. DM'!K73</f>
        <v>Fabaceae</v>
      </c>
      <c r="L73" s="199" t="str">
        <f>'2.1. DM'!L73</f>
        <v>Fabales</v>
      </c>
      <c r="M73" s="199" t="str">
        <f>'2.1. DM'!M73</f>
        <v xml:space="preserve">Arbustiva </v>
      </c>
      <c r="N73" s="310">
        <f>'2.1. DM'!P73</f>
        <v>93.53258696521398</v>
      </c>
      <c r="O73" s="341">
        <f>AVERAGE(N73:N74)</f>
        <v>93.49727418839538</v>
      </c>
      <c r="P73" s="18">
        <f>'2.1. DM'!R73</f>
        <v>9.4296582303252556</v>
      </c>
      <c r="Q73" s="341">
        <f>AVERAGE(P73:P74)</f>
        <v>9.4087449892644308</v>
      </c>
      <c r="R73" s="18">
        <f>'2.1. DM'!T73</f>
        <v>90.570341769674741</v>
      </c>
      <c r="S73" s="341">
        <f>AVERAGE(R73:R74)</f>
        <v>90.591255010735566</v>
      </c>
      <c r="T73" s="30">
        <f>TablePC[[#This Row],[Av DM 105]]</f>
        <v>22.32</v>
      </c>
      <c r="U73" s="341">
        <f t="shared" ref="U73" si="39">AVERAGE(T73:T74)</f>
        <v>22.375</v>
      </c>
      <c r="V73" s="30">
        <f>'2.3 ADF'!Q73</f>
        <v>22.47</v>
      </c>
      <c r="W73" s="341">
        <f>AVERAGE(V73:V74)</f>
        <v>21.939999999999998</v>
      </c>
      <c r="X73" s="30">
        <f>'2.4 NDF'!Q73</f>
        <v>47.82</v>
      </c>
      <c r="Y73" s="341">
        <f>AVERAGE(X73:X74)</f>
        <v>47.204999999999998</v>
      </c>
    </row>
    <row r="74" spans="2:25" x14ac:dyDescent="0.35">
      <c r="B74" s="19">
        <f t="shared" si="0"/>
        <v>64</v>
      </c>
      <c r="C74" s="199">
        <f>'2.1. DM'!C74</f>
        <v>46041</v>
      </c>
      <c r="D74" s="199" t="str">
        <f>'2.1. DM'!D74</f>
        <v>Mauricio Sotelo</v>
      </c>
      <c r="E74" s="200">
        <f>'2.1. DM'!E74</f>
        <v>27</v>
      </c>
      <c r="F74" s="199" t="str">
        <f>'2.1. DM'!F74</f>
        <v>F252641</v>
      </c>
      <c r="G74" s="199" t="str">
        <f>'2.1. DM'!G74</f>
        <v>N/A</v>
      </c>
      <c r="H74" s="199" t="str">
        <f>'2.1. DM'!H74</f>
        <v xml:space="preserve">Gliricidia  </v>
      </c>
      <c r="I74" s="199" t="str">
        <f>'2.1. DM'!I74</f>
        <v>sepium</v>
      </c>
      <c r="J74" s="199" t="str">
        <f>'2.1. DM'!J74</f>
        <v xml:space="preserve">Gliricidia sepium </v>
      </c>
      <c r="K74" s="199" t="str">
        <f>'2.1. DM'!K74</f>
        <v>Fabaceae</v>
      </c>
      <c r="L74" s="199" t="str">
        <f>'2.1. DM'!L74</f>
        <v>Fabales</v>
      </c>
      <c r="M74" s="199" t="str">
        <f>'2.1. DM'!M74</f>
        <v xml:space="preserve">Arbustiva </v>
      </c>
      <c r="N74" s="310">
        <f>'2.1. DM'!P74</f>
        <v>93.46196141157678</v>
      </c>
      <c r="O74" s="341"/>
      <c r="P74" s="18">
        <f>'2.1. DM'!R74</f>
        <v>9.3878317482036042</v>
      </c>
      <c r="Q74" s="341"/>
      <c r="R74" s="18">
        <f>'2.1. DM'!T74</f>
        <v>90.61216825179639</v>
      </c>
      <c r="S74" s="341"/>
      <c r="T74" s="30">
        <f>TablePC[[#This Row],[Av DM 105]]</f>
        <v>22.43</v>
      </c>
      <c r="U74" s="341"/>
      <c r="V74" s="30">
        <f>'2.3 ADF'!Q74</f>
        <v>21.41</v>
      </c>
      <c r="W74" s="341"/>
      <c r="X74" s="30">
        <f>'2.4 NDF'!Q74</f>
        <v>46.59</v>
      </c>
      <c r="Y74" s="341"/>
    </row>
    <row r="75" spans="2:25" x14ac:dyDescent="0.35">
      <c r="B75" s="19">
        <f t="shared" si="0"/>
        <v>65</v>
      </c>
      <c r="C75" s="199">
        <f>'2.1. DM'!C75</f>
        <v>46041</v>
      </c>
      <c r="D75" s="199" t="str">
        <f>'2.1. DM'!D75</f>
        <v>Jacobo Arango/Alejandro Montoya</v>
      </c>
      <c r="E75" s="200">
        <f>'2.1. DM'!E75</f>
        <v>27</v>
      </c>
      <c r="F75" s="199" t="str">
        <f>'2.1. DM'!F75</f>
        <v>F250008</v>
      </c>
      <c r="G75" s="199" t="str">
        <f>'2.1. DM'!G75</f>
        <v>Sample 8</v>
      </c>
      <c r="H75" s="199" t="str">
        <f>'2.1. DM'!H75</f>
        <v>Cynodon</v>
      </c>
      <c r="I75" s="199" t="str">
        <f>'2.1. DM'!I75</f>
        <v xml:space="preserve"> nlemfuensis </v>
      </c>
      <c r="J75" s="199" t="str">
        <f>'2.1. DM'!J75</f>
        <v xml:space="preserve">Cynodon nlemfuensis </v>
      </c>
      <c r="K75" s="199" t="str">
        <f>'2.1. DM'!K75</f>
        <v>Poaceae</v>
      </c>
      <c r="L75" s="199" t="str">
        <f>'2.1. DM'!L75</f>
        <v>Poales</v>
      </c>
      <c r="M75" s="199" t="str">
        <f>'2.1. DM'!M75</f>
        <v>grasses</v>
      </c>
      <c r="N75" s="310">
        <f>'2.1. DM'!P75</f>
        <v>93.3</v>
      </c>
      <c r="O75" s="341">
        <f>AVERAGE(N75:N76)</f>
        <v>93.55</v>
      </c>
      <c r="P75" s="18">
        <f>'2.1. DM'!R75</f>
        <v>11.3</v>
      </c>
      <c r="Q75" s="341">
        <f>AVERAGE(P75:P76)</f>
        <v>11.4</v>
      </c>
      <c r="R75" s="18">
        <f>'2.1. DM'!T75</f>
        <v>88.7</v>
      </c>
      <c r="S75" s="341">
        <f>AVERAGE(R75:R76)</f>
        <v>88.6</v>
      </c>
      <c r="T75" s="30">
        <f>TablePC[[#This Row],[Av DM 105]]</f>
        <v>0</v>
      </c>
      <c r="U75" s="341">
        <f t="shared" ref="U75" si="40">AVERAGE(T75:T76)</f>
        <v>0</v>
      </c>
      <c r="V75" s="30">
        <f>'2.3 ADF'!Q75</f>
        <v>0</v>
      </c>
      <c r="W75" s="341">
        <f>AVERAGE(V75:V76)</f>
        <v>0</v>
      </c>
      <c r="X75" s="30">
        <f>'2.4 NDF'!Q75</f>
        <v>76.099999999999994</v>
      </c>
      <c r="Y75" s="341">
        <f>AVERAGE(X75:X76)</f>
        <v>76.099999999999994</v>
      </c>
    </row>
    <row r="76" spans="2:25" x14ac:dyDescent="0.35">
      <c r="B76" s="19">
        <f t="shared" si="0"/>
        <v>66</v>
      </c>
      <c r="C76" s="199">
        <f>'2.1. DM'!C76</f>
        <v>46041</v>
      </c>
      <c r="D76" s="199" t="str">
        <f>'2.1. DM'!D76</f>
        <v>Jacobo Arango/Alejandro Montoya</v>
      </c>
      <c r="E76" s="200">
        <f>'2.1. DM'!E76</f>
        <v>27</v>
      </c>
      <c r="F76" s="199" t="str">
        <f>'2.1. DM'!F76</f>
        <v>F250008</v>
      </c>
      <c r="G76" s="199" t="str">
        <f>'2.1. DM'!G76</f>
        <v>Sample 8</v>
      </c>
      <c r="H76" s="199" t="str">
        <f>'2.1. DM'!H76</f>
        <v>Cynodon</v>
      </c>
      <c r="I76" s="199" t="str">
        <f>'2.1. DM'!I76</f>
        <v xml:space="preserve"> nlemfuensis </v>
      </c>
      <c r="J76" s="199" t="str">
        <f>'2.1. DM'!J76</f>
        <v xml:space="preserve">Cynodon nlemfuensis </v>
      </c>
      <c r="K76" s="199" t="str">
        <f>'2.1. DM'!K76</f>
        <v>Poaceae</v>
      </c>
      <c r="L76" s="199" t="str">
        <f>'2.1. DM'!L76</f>
        <v>Poales</v>
      </c>
      <c r="M76" s="199" t="str">
        <f>'2.1. DM'!M76</f>
        <v>grasses</v>
      </c>
      <c r="N76" s="310">
        <f>'2.1. DM'!P76</f>
        <v>93.8</v>
      </c>
      <c r="O76" s="341"/>
      <c r="P76" s="18">
        <f>'2.1. DM'!R76</f>
        <v>11.5</v>
      </c>
      <c r="Q76" s="341"/>
      <c r="R76" s="18">
        <f>'2.1. DM'!T76</f>
        <v>88.5</v>
      </c>
      <c r="S76" s="341"/>
      <c r="T76" s="30">
        <f>TablePC[[#This Row],[Av DM 105]]</f>
        <v>0</v>
      </c>
      <c r="U76" s="341"/>
      <c r="V76" s="30">
        <f>'2.3 ADF'!Q76</f>
        <v>0</v>
      </c>
      <c r="W76" s="341"/>
      <c r="X76" s="30">
        <f>'2.4 NDF'!Q76</f>
        <v>76.099999999999994</v>
      </c>
      <c r="Y76" s="341"/>
    </row>
    <row r="77" spans="2:25" x14ac:dyDescent="0.35">
      <c r="B77" s="19">
        <f t="shared" ref="B77:B140" si="41">B76+1</f>
        <v>67</v>
      </c>
      <c r="C77" s="199">
        <f>'2.1. DM'!C77</f>
        <v>46048</v>
      </c>
      <c r="D77" s="199" t="str">
        <f>'2.1. DM'!D77</f>
        <v>Genbank</v>
      </c>
      <c r="E77" s="200">
        <f>'2.1. DM'!E77</f>
        <v>28</v>
      </c>
      <c r="F77" s="199" t="str">
        <f>'2.1. DM'!F77</f>
        <v>F251758</v>
      </c>
      <c r="G77" s="199" t="str">
        <f>'2.1. DM'!G77</f>
        <v>CIAT-17459</v>
      </c>
      <c r="H77" s="199" t="str">
        <f>'2.1. DM'!H77</f>
        <v>Erythrina</v>
      </c>
      <c r="I77" s="199" t="str">
        <f>'2.1. DM'!I77</f>
        <v>berteroana</v>
      </c>
      <c r="J77" s="199" t="str">
        <f>'2.1. DM'!J77</f>
        <v>Erythrina berteroana</v>
      </c>
      <c r="K77" s="199" t="str">
        <f>'2.1. DM'!K77</f>
        <v>Fabaceae</v>
      </c>
      <c r="L77" s="199" t="str">
        <f>'2.1. DM'!L77</f>
        <v>Fabales</v>
      </c>
      <c r="M77" s="199" t="str">
        <f>'2.1. DM'!M77</f>
        <v>Tree</v>
      </c>
      <c r="N77" s="310">
        <f>'2.1. DM'!P77</f>
        <v>94.512195121951308</v>
      </c>
      <c r="O77" s="341">
        <f>AVERAGE(N77:N78)</f>
        <v>94.587165133946471</v>
      </c>
      <c r="P77" s="18">
        <f>'2.1. DM'!R77</f>
        <v>10.821664464993512</v>
      </c>
      <c r="Q77" s="341">
        <f>AVERAGE(P77:P78)</f>
        <v>11.867899603698884</v>
      </c>
      <c r="R77" s="18">
        <f>'2.1. DM'!T77</f>
        <v>89.178335535006482</v>
      </c>
      <c r="S77" s="341">
        <f>AVERAGE(R77:R78)</f>
        <v>88.132100396301112</v>
      </c>
      <c r="T77" s="30">
        <f>TablePC[[#This Row],[Av DM 105]]</f>
        <v>24.25144619344341</v>
      </c>
      <c r="U77" s="341">
        <f t="shared" ref="U77" si="42">AVERAGE(T77:T78)</f>
        <v>24.25144619344341</v>
      </c>
      <c r="V77" s="30">
        <f>'2.3 ADF'!Q77</f>
        <v>37.936299023150497</v>
      </c>
      <c r="W77" s="341">
        <f>AVERAGE(V77:V78)</f>
        <v>38.255378696896031</v>
      </c>
      <c r="X77" s="30">
        <f>'2.4 NDF'!Q77</f>
        <v>50.64633655649444</v>
      </c>
      <c r="Y77" s="341">
        <f>AVERAGE(X77:X78)</f>
        <v>51.976757187154703</v>
      </c>
    </row>
    <row r="78" spans="2:25" x14ac:dyDescent="0.35">
      <c r="B78" s="19">
        <f t="shared" si="41"/>
        <v>68</v>
      </c>
      <c r="C78" s="199">
        <f>'2.1. DM'!C78</f>
        <v>46048</v>
      </c>
      <c r="D78" s="199" t="str">
        <f>'2.1. DM'!D78</f>
        <v>Genbank</v>
      </c>
      <c r="E78" s="200">
        <f>'2.1. DM'!E78</f>
        <v>28</v>
      </c>
      <c r="F78" s="199" t="str">
        <f>'2.1. DM'!F78</f>
        <v>F251758</v>
      </c>
      <c r="G78" s="199" t="str">
        <f>'2.1. DM'!G78</f>
        <v>CIAT-17459</v>
      </c>
      <c r="H78" s="199" t="str">
        <f>'2.1. DM'!H78</f>
        <v>Erythrina</v>
      </c>
      <c r="I78" s="199" t="str">
        <f>'2.1. DM'!I78</f>
        <v>berteroana</v>
      </c>
      <c r="J78" s="199" t="str">
        <f>'2.1. DM'!J78</f>
        <v>Erythrina berteroana</v>
      </c>
      <c r="K78" s="199" t="str">
        <f>'2.1. DM'!K78</f>
        <v>Fabaceae</v>
      </c>
      <c r="L78" s="199" t="str">
        <f>'2.1. DM'!L78</f>
        <v>Fabales</v>
      </c>
      <c r="M78" s="199" t="str">
        <f>'2.1. DM'!M78</f>
        <v>Tree</v>
      </c>
      <c r="N78" s="310">
        <f>'2.1. DM'!P78</f>
        <v>94.662135145941633</v>
      </c>
      <c r="O78" s="341"/>
      <c r="P78" s="18">
        <f>'2.1. DM'!R78</f>
        <v>12.914134742404254</v>
      </c>
      <c r="Q78" s="341"/>
      <c r="R78" s="18">
        <f>'2.1. DM'!T78</f>
        <v>87.085865257595742</v>
      </c>
      <c r="S78" s="341"/>
      <c r="T78" s="30">
        <f>TablePC[[#This Row],[Av DM 105]]</f>
        <v>24.25144619344341</v>
      </c>
      <c r="U78" s="341"/>
      <c r="V78" s="30">
        <f>'2.3 ADF'!Q78</f>
        <v>38.574458370641572</v>
      </c>
      <c r="W78" s="341"/>
      <c r="X78" s="30">
        <f>'2.4 NDF'!Q78</f>
        <v>53.307177817814967</v>
      </c>
      <c r="Y78" s="341"/>
    </row>
    <row r="79" spans="2:25" x14ac:dyDescent="0.35">
      <c r="B79" s="19">
        <f t="shared" si="41"/>
        <v>69</v>
      </c>
      <c r="C79" s="199">
        <f>'2.1. DM'!C79</f>
        <v>46048</v>
      </c>
      <c r="D79" s="199" t="str">
        <f>'2.1. DM'!D79</f>
        <v>Genbank</v>
      </c>
      <c r="E79" s="200">
        <f>'2.1. DM'!E79</f>
        <v>28</v>
      </c>
      <c r="F79" s="199" t="str">
        <f>'2.1. DM'!F79</f>
        <v>F251759</v>
      </c>
      <c r="G79" s="199" t="str">
        <f>'2.1. DM'!G79</f>
        <v>CIAT-17482</v>
      </c>
      <c r="H79" s="199" t="str">
        <f>'2.1. DM'!H79</f>
        <v>Leucaena</v>
      </c>
      <c r="I79" s="199" t="str">
        <f>'2.1. DM'!I79</f>
        <v>leucocephala</v>
      </c>
      <c r="J79" s="199" t="str">
        <f>'2.1. DM'!J79</f>
        <v>Leucaena leucocephala</v>
      </c>
      <c r="K79" s="199" t="str">
        <f>'2.1. DM'!K79</f>
        <v>Fabaceae</v>
      </c>
      <c r="L79" s="199" t="str">
        <f>'2.1. DM'!L79</f>
        <v>Fabales</v>
      </c>
      <c r="M79" s="199" t="str">
        <f>'2.1. DM'!M79</f>
        <v>Tree</v>
      </c>
      <c r="N79" s="310">
        <f>'2.1. DM'!P79</f>
        <v>92.621475704858952</v>
      </c>
      <c r="O79" s="341">
        <f>AVERAGE(N79:N80)</f>
        <v>92.661832524028</v>
      </c>
      <c r="P79" s="18">
        <f>'2.1. DM'!R79</f>
        <v>14.781987550633266</v>
      </c>
      <c r="Q79" s="341">
        <f>AVERAGE(P79:P80)</f>
        <v>14.236419662219873</v>
      </c>
      <c r="R79" s="18">
        <f>'2.1. DM'!T79</f>
        <v>85.218012449366739</v>
      </c>
      <c r="S79" s="341">
        <f>AVERAGE(R79:R80)</f>
        <v>85.763580337780127</v>
      </c>
      <c r="T79" s="30">
        <f>TablePC[[#This Row],[Av DM 105]]</f>
        <v>26.542323041506798</v>
      </c>
      <c r="U79" s="341">
        <f t="shared" ref="U79" si="43">AVERAGE(T79:T80)</f>
        <v>26.542323041506798</v>
      </c>
      <c r="V79" s="30">
        <f>'2.3 ADF'!Q79</f>
        <v>32.666747322267156</v>
      </c>
      <c r="W79" s="341">
        <f>AVERAGE(V79:V80)</f>
        <v>33.112273468271319</v>
      </c>
      <c r="X79" s="30">
        <f>'2.4 NDF'!Q79</f>
        <v>49.505271156829409</v>
      </c>
      <c r="Y79" s="341">
        <f>AVERAGE(X79:X80)</f>
        <v>51.047281566289193</v>
      </c>
    </row>
    <row r="80" spans="2:25" x14ac:dyDescent="0.35">
      <c r="B80" s="19">
        <f t="shared" si="41"/>
        <v>70</v>
      </c>
      <c r="C80" s="199">
        <f>'2.1. DM'!C80</f>
        <v>46048</v>
      </c>
      <c r="D80" s="199" t="str">
        <f>'2.1. DM'!D80</f>
        <v>Genbank</v>
      </c>
      <c r="E80" s="200">
        <f>'2.1. DM'!E80</f>
        <v>28</v>
      </c>
      <c r="F80" s="199" t="str">
        <f>'2.1. DM'!F80</f>
        <v>F251759</v>
      </c>
      <c r="G80" s="199" t="str">
        <f>'2.1. DM'!G80</f>
        <v>CIAT-17482</v>
      </c>
      <c r="H80" s="199" t="str">
        <f>'2.1. DM'!H80</f>
        <v>Leucaena</v>
      </c>
      <c r="I80" s="199" t="str">
        <f>'2.1. DM'!I80</f>
        <v>leucocephala</v>
      </c>
      <c r="J80" s="199" t="str">
        <f>'2.1. DM'!J80</f>
        <v>Leucaena leucocephala</v>
      </c>
      <c r="K80" s="199" t="str">
        <f>'2.1. DM'!K80</f>
        <v>Fabaceae</v>
      </c>
      <c r="L80" s="199" t="str">
        <f>'2.1. DM'!L80</f>
        <v>Fabales</v>
      </c>
      <c r="M80" s="199" t="str">
        <f>'2.1. DM'!M80</f>
        <v>Tree</v>
      </c>
      <c r="N80" s="310">
        <f>'2.1. DM'!P80</f>
        <v>92.702189343197034</v>
      </c>
      <c r="O80" s="341"/>
      <c r="P80" s="18">
        <f>'2.1. DM'!R80</f>
        <v>13.690851773806479</v>
      </c>
      <c r="Q80" s="341"/>
      <c r="R80" s="18">
        <f>'2.1. DM'!T80</f>
        <v>86.309148226193514</v>
      </c>
      <c r="S80" s="341"/>
      <c r="T80" s="30">
        <f>TablePC[[#This Row],[Av DM 105]]</f>
        <v>26.542323041506798</v>
      </c>
      <c r="U80" s="341"/>
      <c r="V80" s="30">
        <f>'2.3 ADF'!Q80</f>
        <v>33.557799614275481</v>
      </c>
      <c r="W80" s="341"/>
      <c r="X80" s="30">
        <f>'2.4 NDF'!Q80</f>
        <v>52.589291975748978</v>
      </c>
      <c r="Y80" s="341"/>
    </row>
    <row r="81" spans="2:25" x14ac:dyDescent="0.35">
      <c r="B81" s="19">
        <f t="shared" si="41"/>
        <v>71</v>
      </c>
      <c r="C81" s="199">
        <f>'2.1. DM'!C81</f>
        <v>46048</v>
      </c>
      <c r="D81" s="199" t="str">
        <f>'2.1. DM'!D81</f>
        <v>Genbank</v>
      </c>
      <c r="E81" s="200">
        <f>'2.1. DM'!E81</f>
        <v>28</v>
      </c>
      <c r="F81" s="199" t="str">
        <f>'2.1. DM'!F81</f>
        <v>F251760</v>
      </c>
      <c r="G81" s="199" t="str">
        <f>'2.1. DM'!G81</f>
        <v>CIAT-17502</v>
      </c>
      <c r="H81" s="199" t="str">
        <f>'2.1. DM'!H81</f>
        <v>Leucaena</v>
      </c>
      <c r="I81" s="199" t="str">
        <f>'2.1. DM'!I81</f>
        <v>leucocephala</v>
      </c>
      <c r="J81" s="199" t="str">
        <f>'2.1. DM'!J81</f>
        <v>Leucaena leucocephala</v>
      </c>
      <c r="K81" s="199" t="str">
        <f>'2.1. DM'!K81</f>
        <v>Fabaceae</v>
      </c>
      <c r="L81" s="199" t="str">
        <f>'2.1. DM'!L81</f>
        <v>Fabales</v>
      </c>
      <c r="M81" s="199" t="str">
        <f>'2.1. DM'!M81</f>
        <v>Tree</v>
      </c>
      <c r="N81" s="310">
        <f>'2.1. DM'!P81</f>
        <v>94.22115576884633</v>
      </c>
      <c r="O81" s="341">
        <f>AVERAGE(N81:N82)</f>
        <v>94.260862855925978</v>
      </c>
      <c r="P81" s="18">
        <f>'2.1. DM'!R81</f>
        <v>11.158285742399837</v>
      </c>
      <c r="Q81" s="341">
        <f>AVERAGE(P81:P82)</f>
        <v>12.956865033761142</v>
      </c>
      <c r="R81" s="18">
        <f>'2.1. DM'!T81</f>
        <v>88.841714257600159</v>
      </c>
      <c r="S81" s="341">
        <f>AVERAGE(R81:R82)</f>
        <v>87.043134966238853</v>
      </c>
      <c r="T81" s="30">
        <f>TablePC[[#This Row],[Av DM 105]]</f>
        <v>28.859971347998314</v>
      </c>
      <c r="U81" s="341">
        <f t="shared" ref="U81" si="44">AVERAGE(T81:T82)</f>
        <v>28.859971347998314</v>
      </c>
      <c r="V81" s="30">
        <f>'2.3 ADF'!Q81</f>
        <v>36.633509942340545</v>
      </c>
      <c r="W81" s="341">
        <f>AVERAGE(V81:V82)</f>
        <v>35.484542060923772</v>
      </c>
      <c r="X81" s="30">
        <f>'2.4 NDF'!Q81</f>
        <v>46.335994860144929</v>
      </c>
      <c r="Y81" s="341">
        <f>AVERAGE(X81:X82)</f>
        <v>46.087256029089829</v>
      </c>
    </row>
    <row r="82" spans="2:25" x14ac:dyDescent="0.35">
      <c r="B82" s="19">
        <f t="shared" si="41"/>
        <v>72</v>
      </c>
      <c r="C82" s="199">
        <f>'2.1. DM'!C82</f>
        <v>46048</v>
      </c>
      <c r="D82" s="199" t="str">
        <f>'2.1. DM'!D82</f>
        <v>Genbank</v>
      </c>
      <c r="E82" s="200">
        <f>'2.1. DM'!E82</f>
        <v>28</v>
      </c>
      <c r="F82" s="199" t="str">
        <f>'2.1. DM'!F82</f>
        <v>F251760</v>
      </c>
      <c r="G82" s="199" t="str">
        <f>'2.1. DM'!G82</f>
        <v>CIAT-17502</v>
      </c>
      <c r="H82" s="199" t="str">
        <f>'2.1. DM'!H82</f>
        <v>Leucaena</v>
      </c>
      <c r="I82" s="199" t="str">
        <f>'2.1. DM'!I82</f>
        <v>leucocephala</v>
      </c>
      <c r="J82" s="199" t="str">
        <f>'2.1. DM'!J82</f>
        <v>Leucaena leucocephala</v>
      </c>
      <c r="K82" s="199" t="str">
        <f>'2.1. DM'!K82</f>
        <v>Fabaceae</v>
      </c>
      <c r="L82" s="199" t="str">
        <f>'2.1. DM'!L82</f>
        <v>Fabales</v>
      </c>
      <c r="M82" s="199" t="str">
        <f>'2.1. DM'!M82</f>
        <v>Tree</v>
      </c>
      <c r="N82" s="310">
        <f>'2.1. DM'!P82</f>
        <v>94.300569943005641</v>
      </c>
      <c r="O82" s="341"/>
      <c r="P82" s="18">
        <f>'2.1. DM'!R82</f>
        <v>14.755444325122447</v>
      </c>
      <c r="Q82" s="341"/>
      <c r="R82" s="18">
        <f>'2.1. DM'!T82</f>
        <v>85.244555674877546</v>
      </c>
      <c r="S82" s="341"/>
      <c r="T82" s="30">
        <f>TablePC[[#This Row],[Av DM 105]]</f>
        <v>28.859971347998314</v>
      </c>
      <c r="U82" s="341"/>
      <c r="V82" s="30">
        <f>'2.3 ADF'!Q82</f>
        <v>34.335574179506992</v>
      </c>
      <c r="W82" s="341"/>
      <c r="X82" s="30">
        <f>'2.4 NDF'!Q82</f>
        <v>45.838517198034729</v>
      </c>
      <c r="Y82" s="341"/>
    </row>
    <row r="83" spans="2:25" x14ac:dyDescent="0.35">
      <c r="B83" s="19">
        <f t="shared" si="41"/>
        <v>73</v>
      </c>
      <c r="C83" s="199">
        <f>'2.1. DM'!C83</f>
        <v>46048</v>
      </c>
      <c r="D83" s="199" t="str">
        <f>'2.1. DM'!D83</f>
        <v>Genbank</v>
      </c>
      <c r="E83" s="200">
        <f>'2.1. DM'!E83</f>
        <v>28</v>
      </c>
      <c r="F83" s="199" t="str">
        <f>'2.1. DM'!F83</f>
        <v>F251761</v>
      </c>
      <c r="G83" s="199" t="str">
        <f>'2.1. DM'!G83</f>
        <v>CIAT-19384</v>
      </c>
      <c r="H83" s="199" t="str">
        <f>'2.1. DM'!H83</f>
        <v>Prosopis</v>
      </c>
      <c r="I83" s="199" t="str">
        <f>'2.1. DM'!I83</f>
        <v>juliflora</v>
      </c>
      <c r="J83" s="199" t="str">
        <f>'2.1. DM'!J83</f>
        <v>Prosopis juliflora</v>
      </c>
      <c r="K83" s="199" t="str">
        <f>'2.1. DM'!K83</f>
        <v>Fabaceae</v>
      </c>
      <c r="L83" s="199" t="str">
        <f>'2.1. DM'!L83</f>
        <v>Fabales</v>
      </c>
      <c r="M83" s="199" t="str">
        <f>'2.1. DM'!M83</f>
        <v>Tree</v>
      </c>
      <c r="N83" s="310">
        <f>'2.1. DM'!P83</f>
        <v>93.313343328335861</v>
      </c>
      <c r="O83" s="341">
        <f>AVERAGE(N83:N84)</f>
        <v>93.387652369956228</v>
      </c>
      <c r="P83" s="18">
        <f>'2.1. DM'!R83</f>
        <v>11.91210775600168</v>
      </c>
      <c r="Q83" s="341">
        <f>AVERAGE(P83:P84)</f>
        <v>10.334334372505555</v>
      </c>
      <c r="R83" s="18">
        <f>'2.1. DM'!T83</f>
        <v>88.087892243998326</v>
      </c>
      <c r="S83" s="341">
        <f>AVERAGE(R83:R84)</f>
        <v>89.665665627494448</v>
      </c>
      <c r="T83" s="30">
        <f>TablePC[[#This Row],[Av DM 105]]</f>
        <v>36.95492579631334</v>
      </c>
      <c r="U83" s="341">
        <f t="shared" ref="U83" si="45">AVERAGE(T83:T84)</f>
        <v>36.95492579631334</v>
      </c>
      <c r="V83" s="30">
        <f>'2.3 ADF'!Q83</f>
        <v>30.728014202455089</v>
      </c>
      <c r="W83" s="341">
        <f>AVERAGE(V83:V84)</f>
        <v>31.536903466218028</v>
      </c>
      <c r="X83" s="30">
        <f>'2.4 NDF'!Q83</f>
        <v>50.993382703173232</v>
      </c>
      <c r="Y83" s="341">
        <f>AVERAGE(X83:X84)</f>
        <v>52.455294704129813</v>
      </c>
    </row>
    <row r="84" spans="2:25" x14ac:dyDescent="0.35">
      <c r="B84" s="19">
        <f t="shared" si="41"/>
        <v>74</v>
      </c>
      <c r="C84" s="199">
        <f>'2.1. DM'!C84</f>
        <v>46048</v>
      </c>
      <c r="D84" s="199" t="str">
        <f>'2.1. DM'!D84</f>
        <v>Genbank</v>
      </c>
      <c r="E84" s="200">
        <f>'2.1. DM'!E84</f>
        <v>28</v>
      </c>
      <c r="F84" s="199" t="str">
        <f>'2.1. DM'!F84</f>
        <v>F251761</v>
      </c>
      <c r="G84" s="199" t="str">
        <f>'2.1. DM'!G84</f>
        <v>CIAT-19384</v>
      </c>
      <c r="H84" s="199" t="str">
        <f>'2.1. DM'!H84</f>
        <v>Prosopis</v>
      </c>
      <c r="I84" s="199" t="str">
        <f>'2.1. DM'!I84</f>
        <v>juliflora</v>
      </c>
      <c r="J84" s="199" t="str">
        <f>'2.1. DM'!J84</f>
        <v>Prosopis juliflora</v>
      </c>
      <c r="K84" s="199" t="str">
        <f>'2.1. DM'!K84</f>
        <v>Fabaceae</v>
      </c>
      <c r="L84" s="199" t="str">
        <f>'2.1. DM'!L84</f>
        <v>Fabales</v>
      </c>
      <c r="M84" s="199" t="str">
        <f>'2.1. DM'!M84</f>
        <v>Tree</v>
      </c>
      <c r="N84" s="310">
        <f>'2.1. DM'!P84</f>
        <v>93.461961411576596</v>
      </c>
      <c r="O84" s="341"/>
      <c r="P84" s="18">
        <f>'2.1. DM'!R84</f>
        <v>8.7565609890094294</v>
      </c>
      <c r="Q84" s="341"/>
      <c r="R84" s="18">
        <f>'2.1. DM'!T84</f>
        <v>91.243439010990571</v>
      </c>
      <c r="S84" s="341"/>
      <c r="T84" s="30">
        <f>TablePC[[#This Row],[Av DM 105]]</f>
        <v>36.95492579631334</v>
      </c>
      <c r="U84" s="341"/>
      <c r="V84" s="30">
        <f>'2.3 ADF'!Q84</f>
        <v>32.345792729980964</v>
      </c>
      <c r="W84" s="341"/>
      <c r="X84" s="30">
        <f>'2.4 NDF'!Q84</f>
        <v>53.917206705086393</v>
      </c>
      <c r="Y84" s="341"/>
    </row>
    <row r="85" spans="2:25" x14ac:dyDescent="0.35">
      <c r="B85" s="19">
        <f t="shared" si="41"/>
        <v>75</v>
      </c>
      <c r="C85" s="199">
        <f>'2.1. DM'!C85</f>
        <v>46048</v>
      </c>
      <c r="D85" s="199" t="str">
        <f>'2.1. DM'!D85</f>
        <v>Genbank</v>
      </c>
      <c r="E85" s="200">
        <f>'2.1. DM'!E85</f>
        <v>28</v>
      </c>
      <c r="F85" s="199" t="str">
        <f>'2.1. DM'!F85</f>
        <v>F251762</v>
      </c>
      <c r="G85" s="199" t="str">
        <f>'2.1. DM'!G85</f>
        <v>CIAT-19571</v>
      </c>
      <c r="H85" s="199" t="str">
        <f>'2.1. DM'!H85</f>
        <v>Senna</v>
      </c>
      <c r="I85" s="199" t="str">
        <f>'2.1. DM'!I85</f>
        <v>cobanensis</v>
      </c>
      <c r="J85" s="199" t="str">
        <f>'2.1. DM'!J85</f>
        <v>Senna cobanensis</v>
      </c>
      <c r="K85" s="199" t="str">
        <f>'2.1. DM'!K85</f>
        <v>Fabaceae</v>
      </c>
      <c r="L85" s="199" t="str">
        <f>'2.1. DM'!L85</f>
        <v>Fabales</v>
      </c>
      <c r="M85" s="199" t="str">
        <f>'2.1. DM'!M85</f>
        <v>Tree</v>
      </c>
      <c r="N85" s="310">
        <f>'2.1. DM'!P85</f>
        <v>93.154107535478829</v>
      </c>
      <c r="O85" s="341">
        <f>AVERAGE(N85:N86)</f>
        <v>93.207390734042775</v>
      </c>
      <c r="P85" s="18">
        <f>'2.1. DM'!R85</f>
        <v>6.1117278425099979</v>
      </c>
      <c r="Q85" s="341">
        <f>AVERAGE(P85:P86)</f>
        <v>6.081072551161764</v>
      </c>
      <c r="R85" s="18">
        <f>'2.1. DM'!T85</f>
        <v>93.888272157490007</v>
      </c>
      <c r="S85" s="341">
        <f>AVERAGE(R85:R86)</f>
        <v>93.918927448838247</v>
      </c>
      <c r="T85" s="30">
        <f>TablePC[[#This Row],[Av DM 105]]</f>
        <v>23.200972853253763</v>
      </c>
      <c r="U85" s="341">
        <f t="shared" ref="U85" si="46">AVERAGE(T85:T86)</f>
        <v>23.200972853253763</v>
      </c>
      <c r="V85" s="30">
        <f>'2.3 ADF'!Q85</f>
        <v>42.547984735778918</v>
      </c>
      <c r="W85" s="341">
        <f>AVERAGE(V85:V86)</f>
        <v>42.269414623947</v>
      </c>
      <c r="X85" s="30">
        <f>'2.4 NDF'!Q85</f>
        <v>54.164221197134545</v>
      </c>
      <c r="Y85" s="341">
        <f>AVERAGE(X85:X86)</f>
        <v>55.70472427145836</v>
      </c>
    </row>
    <row r="86" spans="2:25" x14ac:dyDescent="0.35">
      <c r="B86" s="19">
        <f t="shared" si="41"/>
        <v>76</v>
      </c>
      <c r="C86" s="199">
        <f>'2.1. DM'!C86</f>
        <v>46048</v>
      </c>
      <c r="D86" s="199" t="str">
        <f>'2.1. DM'!D86</f>
        <v>Genbank</v>
      </c>
      <c r="E86" s="200">
        <f>'2.1. DM'!E86</f>
        <v>28</v>
      </c>
      <c r="F86" s="199" t="str">
        <f>'2.1. DM'!F86</f>
        <v>F251762</v>
      </c>
      <c r="G86" s="199" t="str">
        <f>'2.1. DM'!G86</f>
        <v>CIAT-19571</v>
      </c>
      <c r="H86" s="199" t="str">
        <f>'2.1. DM'!H86</f>
        <v>Senna</v>
      </c>
      <c r="I86" s="199" t="str">
        <f>'2.1. DM'!I86</f>
        <v>cobanensis</v>
      </c>
      <c r="J86" s="199" t="str">
        <f>'2.1. DM'!J86</f>
        <v>Senna cobanensis</v>
      </c>
      <c r="K86" s="199" t="str">
        <f>'2.1. DM'!K86</f>
        <v>Fabaceae</v>
      </c>
      <c r="L86" s="199" t="str">
        <f>'2.1. DM'!L86</f>
        <v>Fabales</v>
      </c>
      <c r="M86" s="199" t="str">
        <f>'2.1. DM'!M86</f>
        <v>Tree</v>
      </c>
      <c r="N86" s="310">
        <f>'2.1. DM'!P86</f>
        <v>93.260673932606707</v>
      </c>
      <c r="O86" s="341"/>
      <c r="P86" s="18">
        <f>'2.1. DM'!R86</f>
        <v>6.0504172598135302</v>
      </c>
      <c r="Q86" s="341"/>
      <c r="R86" s="18">
        <f>'2.1. DM'!T86</f>
        <v>93.949582740186472</v>
      </c>
      <c r="S86" s="341"/>
      <c r="T86" s="30">
        <f>TablePC[[#This Row],[Av DM 105]]</f>
        <v>23.200972853253763</v>
      </c>
      <c r="U86" s="341"/>
      <c r="V86" s="30">
        <f>'2.3 ADF'!Q86</f>
        <v>41.990844512115089</v>
      </c>
      <c r="W86" s="341"/>
      <c r="X86" s="30">
        <f>'2.4 NDF'!Q86</f>
        <v>57.245227345782169</v>
      </c>
      <c r="Y86" s="341"/>
    </row>
    <row r="87" spans="2:25" x14ac:dyDescent="0.35">
      <c r="B87" s="19">
        <f t="shared" si="41"/>
        <v>77</v>
      </c>
      <c r="C87" s="199">
        <f>'2.1. DM'!C87</f>
        <v>46048</v>
      </c>
      <c r="D87" s="199" t="str">
        <f>'2.1. DM'!D87</f>
        <v>Genbank</v>
      </c>
      <c r="E87" s="200">
        <f>'2.1. DM'!E87</f>
        <v>28</v>
      </c>
      <c r="F87" s="199" t="str">
        <f>'2.1. DM'!F87</f>
        <v>F251763</v>
      </c>
      <c r="G87" s="199" t="str">
        <f>'2.1. DM'!G87</f>
        <v>CIAT-20126</v>
      </c>
      <c r="H87" s="199" t="str">
        <f>'2.1. DM'!H87</f>
        <v>Acacia</v>
      </c>
      <c r="I87" s="199" t="str">
        <f>'2.1. DM'!I87</f>
        <v>angustissima</v>
      </c>
      <c r="J87" s="199" t="str">
        <f>'2.1. DM'!J87</f>
        <v>Acacia angustissima</v>
      </c>
      <c r="K87" s="199" t="str">
        <f>'2.1. DM'!K87</f>
        <v>Fabaceae</v>
      </c>
      <c r="L87" s="199" t="str">
        <f>'2.1. DM'!L87</f>
        <v>Fabales</v>
      </c>
      <c r="M87" s="199" t="str">
        <f>'2.1. DM'!M87</f>
        <v>Tree</v>
      </c>
      <c r="N87" s="310">
        <f>'2.1. DM'!P87</f>
        <v>93.923038480759729</v>
      </c>
      <c r="O87" s="341">
        <f>AVERAGE(N87:N88)</f>
        <v>93.972117120803745</v>
      </c>
      <c r="P87" s="18">
        <f>'2.1. DM'!R87</f>
        <v>5.7966943054145155</v>
      </c>
      <c r="Q87" s="341">
        <f>AVERAGE(P87:P88)</f>
        <v>5.7762849826081304</v>
      </c>
      <c r="R87" s="18">
        <f>'2.1. DM'!T87</f>
        <v>94.203305694585481</v>
      </c>
      <c r="S87" s="341">
        <f>AVERAGE(R87:R88)</f>
        <v>94.223715017391868</v>
      </c>
      <c r="T87" s="30">
        <f>TablePC[[#This Row],[Av DM 105]]</f>
        <v>29.90215547495993</v>
      </c>
      <c r="U87" s="341">
        <f t="shared" ref="U87" si="47">AVERAGE(T87:T88)</f>
        <v>29.90215547495993</v>
      </c>
      <c r="V87" s="30">
        <f>'2.3 ADF'!Q87</f>
        <v>48.097888552549549</v>
      </c>
      <c r="W87" s="341">
        <f>AVERAGE(V87:V88)</f>
        <v>47.802178005032687</v>
      </c>
      <c r="X87" s="30">
        <f>'2.4 NDF'!Q87</f>
        <v>56.321513994788994</v>
      </c>
      <c r="Y87" s="341">
        <f>AVERAGE(X87:X88)</f>
        <v>58.286877673133617</v>
      </c>
    </row>
    <row r="88" spans="2:25" x14ac:dyDescent="0.35">
      <c r="B88" s="19">
        <f t="shared" si="41"/>
        <v>78</v>
      </c>
      <c r="C88" s="199">
        <f>'2.1. DM'!C88</f>
        <v>46048</v>
      </c>
      <c r="D88" s="199" t="str">
        <f>'2.1. DM'!D88</f>
        <v>Genbank</v>
      </c>
      <c r="E88" s="200">
        <f>'2.1. DM'!E88</f>
        <v>28</v>
      </c>
      <c r="F88" s="199" t="str">
        <f>'2.1. DM'!F88</f>
        <v>F251763</v>
      </c>
      <c r="G88" s="199" t="str">
        <f>'2.1. DM'!G88</f>
        <v>CIAT-20126</v>
      </c>
      <c r="H88" s="199" t="str">
        <f>'2.1. DM'!H88</f>
        <v>Acacia</v>
      </c>
      <c r="I88" s="199" t="str">
        <f>'2.1. DM'!I88</f>
        <v>angustissima</v>
      </c>
      <c r="J88" s="199" t="str">
        <f>'2.1. DM'!J88</f>
        <v>Acacia angustissima</v>
      </c>
      <c r="K88" s="199" t="str">
        <f>'2.1. DM'!K88</f>
        <v>Fabaceae</v>
      </c>
      <c r="L88" s="199" t="str">
        <f>'2.1. DM'!L88</f>
        <v>Fabales</v>
      </c>
      <c r="M88" s="199" t="str">
        <f>'2.1. DM'!M88</f>
        <v>Tree</v>
      </c>
      <c r="N88" s="310">
        <f>'2.1. DM'!P88</f>
        <v>94.021195760847775</v>
      </c>
      <c r="O88" s="341"/>
      <c r="P88" s="18">
        <f>'2.1. DM'!R88</f>
        <v>5.7558756598017462</v>
      </c>
      <c r="Q88" s="341"/>
      <c r="R88" s="18">
        <f>'2.1. DM'!T88</f>
        <v>94.244124340198255</v>
      </c>
      <c r="S88" s="341"/>
      <c r="T88" s="30">
        <f>TablePC[[#This Row],[Av DM 105]]</f>
        <v>29.90215547495993</v>
      </c>
      <c r="U88" s="341"/>
      <c r="V88" s="30">
        <f>'2.3 ADF'!Q88</f>
        <v>47.506467457515832</v>
      </c>
      <c r="W88" s="341"/>
      <c r="X88" s="30">
        <f>'2.4 NDF'!Q88</f>
        <v>60.252241351478233</v>
      </c>
      <c r="Y88" s="341"/>
    </row>
    <row r="89" spans="2:25" x14ac:dyDescent="0.35">
      <c r="B89" s="19">
        <f t="shared" si="41"/>
        <v>79</v>
      </c>
      <c r="C89" s="199">
        <f>'2.1. DM'!C89</f>
        <v>46048</v>
      </c>
      <c r="D89" s="199" t="str">
        <f>'2.1. DM'!D89</f>
        <v>Genbank</v>
      </c>
      <c r="E89" s="200">
        <f>'2.1. DM'!E89</f>
        <v>28</v>
      </c>
      <c r="F89" s="199" t="str">
        <f>'2.1. DM'!F89</f>
        <v>F251764</v>
      </c>
      <c r="G89" s="199" t="str">
        <f>'2.1. DM'!G89</f>
        <v>CIAT-20788</v>
      </c>
      <c r="H89" s="199" t="str">
        <f>'2.1. DM'!H89</f>
        <v>Senna</v>
      </c>
      <c r="I89" s="199" t="str">
        <f>'2.1. DM'!I89</f>
        <v>pallida</v>
      </c>
      <c r="J89" s="199" t="str">
        <f>'2.1. DM'!J89</f>
        <v>Senna pallida</v>
      </c>
      <c r="K89" s="199" t="str">
        <f>'2.1. DM'!K89</f>
        <v>Fabaceae</v>
      </c>
      <c r="L89" s="199" t="str">
        <f>'2.1. DM'!L89</f>
        <v>Fabales</v>
      </c>
      <c r="M89" s="199" t="str">
        <f>'2.1. DM'!M89</f>
        <v>Tree</v>
      </c>
      <c r="N89" s="310">
        <f>'2.1. DM'!P89</f>
        <v>93.871838448465468</v>
      </c>
      <c r="O89" s="341">
        <f>AVERAGE(N89:N90)</f>
        <v>93.916824952514233</v>
      </c>
      <c r="P89" s="18">
        <f>'2.1. DM'!R89</f>
        <v>9.7290968119642738</v>
      </c>
      <c r="Q89" s="341">
        <f>AVERAGE(P89:P90)</f>
        <v>9.7450636010430483</v>
      </c>
      <c r="R89" s="18">
        <f>'2.1. DM'!T89</f>
        <v>90.270903188035732</v>
      </c>
      <c r="S89" s="341">
        <f>AVERAGE(R89:R90)</f>
        <v>90.254936398956957</v>
      </c>
      <c r="T89" s="30">
        <f>TablePC[[#This Row],[Av DM 105]]</f>
        <v>24.302493202405671</v>
      </c>
      <c r="U89" s="341">
        <f t="shared" ref="U89" si="48">AVERAGE(T89:T90)</f>
        <v>24.302493202405671</v>
      </c>
      <c r="V89" s="30">
        <f>'2.3 ADF'!Q89</f>
        <v>30.232350736776002</v>
      </c>
      <c r="W89" s="341">
        <f>AVERAGE(V89:V90)</f>
        <v>30.685165397246124</v>
      </c>
      <c r="X89" s="30">
        <f>'2.4 NDF'!Q89</f>
        <v>51.627724551084462</v>
      </c>
      <c r="Y89" s="341">
        <f>AVERAGE(X89:X90)</f>
        <v>53.359798856375477</v>
      </c>
    </row>
    <row r="90" spans="2:25" x14ac:dyDescent="0.35">
      <c r="B90" s="19">
        <f t="shared" si="41"/>
        <v>80</v>
      </c>
      <c r="C90" s="199">
        <f>'2.1. DM'!C90</f>
        <v>46048</v>
      </c>
      <c r="D90" s="199" t="str">
        <f>'2.1. DM'!D90</f>
        <v>Genbank</v>
      </c>
      <c r="E90" s="200">
        <f>'2.1. DM'!E90</f>
        <v>28</v>
      </c>
      <c r="F90" s="199" t="str">
        <f>'2.1. DM'!F90</f>
        <v>F251764</v>
      </c>
      <c r="G90" s="199" t="str">
        <f>'2.1. DM'!G90</f>
        <v>CIAT-20788</v>
      </c>
      <c r="H90" s="199" t="str">
        <f>'2.1. DM'!H90</f>
        <v>Senna</v>
      </c>
      <c r="I90" s="199" t="str">
        <f>'2.1. DM'!I90</f>
        <v>pallida</v>
      </c>
      <c r="J90" s="199" t="str">
        <f>'2.1. DM'!J90</f>
        <v>Senna pallida</v>
      </c>
      <c r="K90" s="199" t="str">
        <f>'2.1. DM'!K90</f>
        <v>Fabaceae</v>
      </c>
      <c r="L90" s="199" t="str">
        <f>'2.1. DM'!L90</f>
        <v>Fabales</v>
      </c>
      <c r="M90" s="199" t="str">
        <f>'2.1. DM'!M90</f>
        <v>Tree</v>
      </c>
      <c r="N90" s="310">
        <f>'2.1. DM'!P90</f>
        <v>93.961811456562998</v>
      </c>
      <c r="O90" s="341"/>
      <c r="P90" s="18">
        <f>'2.1. DM'!R90</f>
        <v>9.7610303901218227</v>
      </c>
      <c r="Q90" s="341"/>
      <c r="R90" s="18">
        <f>'2.1. DM'!T90</f>
        <v>90.238969609878183</v>
      </c>
      <c r="S90" s="341"/>
      <c r="T90" s="30">
        <f>TablePC[[#This Row],[Av DM 105]]</f>
        <v>24.302493202405671</v>
      </c>
      <c r="U90" s="341"/>
      <c r="V90" s="30">
        <f>'2.3 ADF'!Q90</f>
        <v>31.137980057716248</v>
      </c>
      <c r="W90" s="341"/>
      <c r="X90" s="30">
        <f>'2.4 NDF'!Q90</f>
        <v>55.091873161666491</v>
      </c>
      <c r="Y90" s="341"/>
    </row>
    <row r="91" spans="2:25" x14ac:dyDescent="0.35">
      <c r="B91" s="19">
        <f t="shared" si="41"/>
        <v>81</v>
      </c>
      <c r="C91" s="199">
        <f>'2.1. DM'!C91</f>
        <v>46048</v>
      </c>
      <c r="D91" s="199" t="str">
        <f>'2.1. DM'!D91</f>
        <v>Genbank</v>
      </c>
      <c r="E91" s="200">
        <f>'2.1. DM'!E91</f>
        <v>28</v>
      </c>
      <c r="F91" s="199" t="str">
        <f>'2.1. DM'!F91</f>
        <v>F251765</v>
      </c>
      <c r="G91" s="199" t="str">
        <f>'2.1. DM'!G91</f>
        <v>CIAT-21242</v>
      </c>
      <c r="H91" s="199" t="str">
        <f>'2.1. DM'!H91</f>
        <v>Leucaena</v>
      </c>
      <c r="I91" s="199" t="str">
        <f>'2.1. DM'!I91</f>
        <v>diversifolia</v>
      </c>
      <c r="J91" s="199" t="str">
        <f>'2.1. DM'!J91</f>
        <v>Leucaena diversifolia</v>
      </c>
      <c r="K91" s="199" t="str">
        <f>'2.1. DM'!K91</f>
        <v>Fabaceae</v>
      </c>
      <c r="L91" s="199" t="str">
        <f>'2.1. DM'!L91</f>
        <v>Fabales</v>
      </c>
      <c r="M91" s="199" t="str">
        <f>'2.1. DM'!M91</f>
        <v>Tree</v>
      </c>
      <c r="N91" s="310">
        <f>'2.1. DM'!P91</f>
        <v>93.132060381885481</v>
      </c>
      <c r="O91" s="341">
        <f>AVERAGE(N91:N92)</f>
        <v>93.211365657396129</v>
      </c>
      <c r="P91" s="18">
        <f>'2.1. DM'!R91</f>
        <v>6.842606080325857</v>
      </c>
      <c r="Q91" s="341">
        <f>AVERAGE(P91:P92)</f>
        <v>6.8754719706245817</v>
      </c>
      <c r="R91" s="18">
        <f>'2.1. DM'!T91</f>
        <v>93.157393919674149</v>
      </c>
      <c r="S91" s="341">
        <f>AVERAGE(R91:R92)</f>
        <v>93.124528029375426</v>
      </c>
      <c r="T91" s="30">
        <f>TablePC[[#This Row],[Av DM 105]]</f>
        <v>23.275835301403752</v>
      </c>
      <c r="U91" s="341">
        <f t="shared" ref="U91" si="49">AVERAGE(T91:T92)</f>
        <v>23.275835301403752</v>
      </c>
      <c r="V91" s="30">
        <f>'2.3 ADF'!Q91</f>
        <v>45.048343912260478</v>
      </c>
      <c r="W91" s="341">
        <f>AVERAGE(V91:V92)</f>
        <v>45.755774826170828</v>
      </c>
      <c r="X91" s="30">
        <f>'2.4 NDF'!Q91</f>
        <v>62.131081946980395</v>
      </c>
      <c r="Y91" s="341">
        <f>AVERAGE(X91:X92)</f>
        <v>63.442286618715443</v>
      </c>
    </row>
    <row r="92" spans="2:25" x14ac:dyDescent="0.35">
      <c r="B92" s="19">
        <f t="shared" si="41"/>
        <v>82</v>
      </c>
      <c r="C92" s="199">
        <f>'2.1. DM'!C92</f>
        <v>46048</v>
      </c>
      <c r="D92" s="199" t="str">
        <f>'2.1. DM'!D92</f>
        <v>Genbank</v>
      </c>
      <c r="E92" s="200">
        <f>'2.1. DM'!E92</f>
        <v>28</v>
      </c>
      <c r="F92" s="199" t="str">
        <f>'2.1. DM'!F92</f>
        <v>F251765</v>
      </c>
      <c r="G92" s="199" t="str">
        <f>'2.1. DM'!G92</f>
        <v>CIAT-21242</v>
      </c>
      <c r="H92" s="199" t="str">
        <f>'2.1. DM'!H92</f>
        <v>Leucaena</v>
      </c>
      <c r="I92" s="199" t="str">
        <f>'2.1. DM'!I92</f>
        <v>diversifolia</v>
      </c>
      <c r="J92" s="199" t="str">
        <f>'2.1. DM'!J92</f>
        <v>Leucaena diversifolia</v>
      </c>
      <c r="K92" s="199" t="str">
        <f>'2.1. DM'!K92</f>
        <v>Fabaceae</v>
      </c>
      <c r="L92" s="199" t="str">
        <f>'2.1. DM'!L92</f>
        <v>Fabales</v>
      </c>
      <c r="M92" s="199" t="str">
        <f>'2.1. DM'!M92</f>
        <v>Tree</v>
      </c>
      <c r="N92" s="310">
        <f>'2.1. DM'!P92</f>
        <v>93.290670932906778</v>
      </c>
      <c r="O92" s="341"/>
      <c r="P92" s="18">
        <f>'2.1. DM'!R92</f>
        <v>6.9083378609233064</v>
      </c>
      <c r="Q92" s="341"/>
      <c r="R92" s="18">
        <f>'2.1. DM'!T92</f>
        <v>93.091662139076689</v>
      </c>
      <c r="S92" s="341"/>
      <c r="T92" s="30">
        <f>TablePC[[#This Row],[Av DM 105]]</f>
        <v>23.275835301403752</v>
      </c>
      <c r="U92" s="341"/>
      <c r="V92" s="30">
        <f>'2.3 ADF'!Q92</f>
        <v>46.463205740081179</v>
      </c>
      <c r="W92" s="341"/>
      <c r="X92" s="30">
        <f>'2.4 NDF'!Q92</f>
        <v>64.753491290450498</v>
      </c>
      <c r="Y92" s="341"/>
    </row>
    <row r="93" spans="2:25" x14ac:dyDescent="0.35">
      <c r="B93" s="19">
        <f t="shared" si="41"/>
        <v>83</v>
      </c>
      <c r="C93" s="199">
        <f>'2.1. DM'!C93</f>
        <v>46048</v>
      </c>
      <c r="D93" s="199" t="str">
        <f>'2.1. DM'!D93</f>
        <v>Genbank</v>
      </c>
      <c r="E93" s="200">
        <f>'2.1. DM'!E93</f>
        <v>28</v>
      </c>
      <c r="F93" s="199" t="str">
        <f>'2.1. DM'!F93</f>
        <v>F251766</v>
      </c>
      <c r="G93" s="199" t="str">
        <f>'2.1. DM'!G93</f>
        <v>CIAT-21512</v>
      </c>
      <c r="H93" s="199" t="str">
        <f>'2.1. DM'!H93</f>
        <v>Calliandra</v>
      </c>
      <c r="I93" s="199" t="str">
        <f>'2.1. DM'!I93</f>
        <v>calothyrsus</v>
      </c>
      <c r="J93" s="199" t="str">
        <f>'2.1. DM'!J93</f>
        <v>Calliandra calothyrsus</v>
      </c>
      <c r="K93" s="199" t="str">
        <f>'2.1. DM'!K93</f>
        <v>Fabaceae</v>
      </c>
      <c r="L93" s="199" t="str">
        <f>'2.1. DM'!L93</f>
        <v>Fabales</v>
      </c>
      <c r="M93" s="199" t="str">
        <f>'2.1. DM'!M93</f>
        <v>Tree</v>
      </c>
      <c r="N93" s="310">
        <f>'2.1. DM'!P93</f>
        <v>92.393042782886809</v>
      </c>
      <c r="O93" s="341">
        <f>AVERAGE(N93:N94)</f>
        <v>92.787884846061559</v>
      </c>
      <c r="P93" s="18">
        <f>'2.1. DM'!R93</f>
        <v>4.7939671424724173</v>
      </c>
      <c r="Q93" s="341">
        <f>AVERAGE(P93:P94)</f>
        <v>4.7831941826016706</v>
      </c>
      <c r="R93" s="18">
        <f>'2.1. DM'!T93</f>
        <v>95.206032857527589</v>
      </c>
      <c r="S93" s="341">
        <f>AVERAGE(R93:R94)</f>
        <v>95.216805817398324</v>
      </c>
      <c r="T93" s="30">
        <f>TablePC[[#This Row],[Av DM 105]]</f>
        <v>24.069321644433145</v>
      </c>
      <c r="U93" s="341">
        <f t="shared" ref="U93" si="50">AVERAGE(T93:T94)</f>
        <v>24.069321644433145</v>
      </c>
      <c r="V93" s="30">
        <f>'2.3 ADF'!Q93</f>
        <v>46.571954064815877</v>
      </c>
      <c r="W93" s="341">
        <f>AVERAGE(V93:V94)</f>
        <v>46.723798521553235</v>
      </c>
      <c r="X93" s="30">
        <f>'2.4 NDF'!Q93</f>
        <v>53.944792947348517</v>
      </c>
      <c r="Y93" s="341">
        <f>AVERAGE(X93:X94)</f>
        <v>53.365985932635361</v>
      </c>
    </row>
    <row r="94" spans="2:25" x14ac:dyDescent="0.35">
      <c r="B94" s="19">
        <f t="shared" si="41"/>
        <v>84</v>
      </c>
      <c r="C94" s="199">
        <f>'2.1. DM'!C94</f>
        <v>46048</v>
      </c>
      <c r="D94" s="199" t="str">
        <f>'2.1. DM'!D94</f>
        <v>Genbank</v>
      </c>
      <c r="E94" s="200">
        <f>'2.1. DM'!E94</f>
        <v>28</v>
      </c>
      <c r="F94" s="199" t="str">
        <f>'2.1. DM'!F94</f>
        <v>F251766</v>
      </c>
      <c r="G94" s="199" t="str">
        <f>'2.1. DM'!G94</f>
        <v>CIAT-21512</v>
      </c>
      <c r="H94" s="199" t="str">
        <f>'2.1. DM'!H94</f>
        <v>Calliandra</v>
      </c>
      <c r="I94" s="199" t="str">
        <f>'2.1. DM'!I94</f>
        <v>calothyrsus</v>
      </c>
      <c r="J94" s="199" t="str">
        <f>'2.1. DM'!J94</f>
        <v>Calliandra calothyrsus</v>
      </c>
      <c r="K94" s="199" t="str">
        <f>'2.1. DM'!K94</f>
        <v>Fabaceae</v>
      </c>
      <c r="L94" s="199" t="str">
        <f>'2.1. DM'!L94</f>
        <v>Fabales</v>
      </c>
      <c r="M94" s="199" t="str">
        <f>'2.1. DM'!M94</f>
        <v>Tree</v>
      </c>
      <c r="N94" s="310">
        <f>'2.1. DM'!P94</f>
        <v>93.182726909236308</v>
      </c>
      <c r="O94" s="341"/>
      <c r="P94" s="18">
        <f>'2.1. DM'!R94</f>
        <v>4.7724212227309231</v>
      </c>
      <c r="Q94" s="341"/>
      <c r="R94" s="18">
        <f>'2.1. DM'!T94</f>
        <v>95.227578777269073</v>
      </c>
      <c r="S94" s="341"/>
      <c r="T94" s="30">
        <f>TablePC[[#This Row],[Av DM 105]]</f>
        <v>24.069321644433145</v>
      </c>
      <c r="U94" s="341"/>
      <c r="V94" s="30">
        <f>'2.3 ADF'!Q94</f>
        <v>46.875642978290593</v>
      </c>
      <c r="W94" s="341"/>
      <c r="X94" s="30">
        <f>'2.4 NDF'!Q94</f>
        <v>52.787178917922205</v>
      </c>
      <c r="Y94" s="341"/>
    </row>
    <row r="95" spans="2:25" x14ac:dyDescent="0.35">
      <c r="B95" s="19">
        <f t="shared" si="41"/>
        <v>85</v>
      </c>
      <c r="C95" s="199">
        <f>'2.1. DM'!C95</f>
        <v>46048</v>
      </c>
      <c r="D95" s="199" t="str">
        <f>'2.1. DM'!D95</f>
        <v>Genbank</v>
      </c>
      <c r="E95" s="200">
        <f>'2.1. DM'!E95</f>
        <v>28</v>
      </c>
      <c r="F95" s="199" t="str">
        <f>'2.1. DM'!F95</f>
        <v>F251767</v>
      </c>
      <c r="G95" s="199" t="str">
        <f>'2.1. DM'!G95</f>
        <v>CIAT-21601</v>
      </c>
      <c r="H95" s="199" t="str">
        <f>'2.1. DM'!H95</f>
        <v>Erythrina</v>
      </c>
      <c r="I95" s="199" t="str">
        <f>'2.1. DM'!I95</f>
        <v>fusca</v>
      </c>
      <c r="J95" s="199" t="str">
        <f>'2.1. DM'!J95</f>
        <v>Erythrina fusca</v>
      </c>
      <c r="K95" s="199" t="str">
        <f>'2.1. DM'!K95</f>
        <v>Fabaceae</v>
      </c>
      <c r="L95" s="199" t="str">
        <f>'2.1. DM'!L95</f>
        <v>Fabales</v>
      </c>
      <c r="M95" s="199" t="str">
        <f>'2.1. DM'!M95</f>
        <v>Tree</v>
      </c>
      <c r="N95" s="310">
        <f>'2.1. DM'!P95</f>
        <v>93.870612938706174</v>
      </c>
      <c r="O95" s="341">
        <f>AVERAGE(N95:N96)</f>
        <v>93.236785877589853</v>
      </c>
      <c r="P95" s="18">
        <f>'2.1. DM'!R95</f>
        <v>7.1745620614547398</v>
      </c>
      <c r="Q95" s="341">
        <f>AVERAGE(P95:P96)</f>
        <v>7.0448332033495689</v>
      </c>
      <c r="R95" s="18">
        <f>'2.1. DM'!T95</f>
        <v>92.825437938545264</v>
      </c>
      <c r="S95" s="341">
        <f>AVERAGE(R95:R96)</f>
        <v>92.955166796650431</v>
      </c>
      <c r="T95" s="30">
        <f>TablePC[[#This Row],[Av DM 105]]</f>
        <v>23.751605611660302</v>
      </c>
      <c r="U95" s="341">
        <f t="shared" ref="U95" si="51">AVERAGE(T95:T96)</f>
        <v>23.410848588713336</v>
      </c>
      <c r="V95" s="30">
        <f>'2.3 ADF'!Q95</f>
        <v>56.108954424654989</v>
      </c>
      <c r="W95" s="341">
        <f>AVERAGE(V95:V96)</f>
        <v>54.967608166241035</v>
      </c>
      <c r="X95" s="30">
        <f>'2.4 NDF'!Q95</f>
        <v>66.494912614177963</v>
      </c>
      <c r="Y95" s="341">
        <f>AVERAGE(X95:X96)</f>
        <v>68.49120539917746</v>
      </c>
    </row>
    <row r="96" spans="2:25" x14ac:dyDescent="0.35">
      <c r="B96" s="19">
        <f t="shared" si="41"/>
        <v>86</v>
      </c>
      <c r="C96" s="199">
        <f>'2.1. DM'!C96</f>
        <v>46048</v>
      </c>
      <c r="D96" s="199" t="str">
        <f>'2.1. DM'!D96</f>
        <v>Genbank</v>
      </c>
      <c r="E96" s="200">
        <f>'2.1. DM'!E96</f>
        <v>28</v>
      </c>
      <c r="F96" s="199" t="str">
        <f>'2.1. DM'!F96</f>
        <v>F251767</v>
      </c>
      <c r="G96" s="199" t="str">
        <f>'2.1. DM'!G96</f>
        <v>CIAT-21601</v>
      </c>
      <c r="H96" s="199" t="str">
        <f>'2.1. DM'!H96</f>
        <v>Erythrina</v>
      </c>
      <c r="I96" s="199" t="str">
        <f>'2.1. DM'!I96</f>
        <v>fusca</v>
      </c>
      <c r="J96" s="199" t="str">
        <f>'2.1. DM'!J96</f>
        <v>Erythrina fusca</v>
      </c>
      <c r="K96" s="199" t="str">
        <f>'2.1. DM'!K96</f>
        <v>Fabaceae</v>
      </c>
      <c r="L96" s="199" t="str">
        <f>'2.1. DM'!L96</f>
        <v>Fabales</v>
      </c>
      <c r="M96" s="199" t="str">
        <f>'2.1. DM'!M96</f>
        <v>Tree</v>
      </c>
      <c r="N96" s="310">
        <f>'2.1. DM'!P96</f>
        <v>92.602958816473517</v>
      </c>
      <c r="O96" s="341"/>
      <c r="P96" s="18">
        <f>'2.1. DM'!R96</f>
        <v>6.9151043452443979</v>
      </c>
      <c r="Q96" s="341"/>
      <c r="R96" s="18">
        <f>'2.1. DM'!T96</f>
        <v>93.084895654755599</v>
      </c>
      <c r="S96" s="341"/>
      <c r="T96" s="30">
        <f>TablePC[[#This Row],[Av DM 105]]</f>
        <v>23.070091565766372</v>
      </c>
      <c r="U96" s="341"/>
      <c r="V96" s="30">
        <f>'2.3 ADF'!Q96</f>
        <v>53.826261907827075</v>
      </c>
      <c r="W96" s="341"/>
      <c r="X96" s="30">
        <f>'2.4 NDF'!Q96</f>
        <v>70.487498184176971</v>
      </c>
      <c r="Y96" s="341"/>
    </row>
    <row r="97" spans="2:25" x14ac:dyDescent="0.35">
      <c r="B97" s="19">
        <f t="shared" si="41"/>
        <v>87</v>
      </c>
      <c r="C97" s="199">
        <f>'2.1. DM'!C97</f>
        <v>46048</v>
      </c>
      <c r="D97" s="199" t="str">
        <f>'2.1. DM'!D97</f>
        <v>Genbank</v>
      </c>
      <c r="E97" s="200">
        <f>'2.1. DM'!E97</f>
        <v>28</v>
      </c>
      <c r="F97" s="199" t="str">
        <f>'2.1. DM'!F97</f>
        <v>F251768</v>
      </c>
      <c r="G97" s="199" t="str">
        <f>'2.1. DM'!G97</f>
        <v>CIAT-21809</v>
      </c>
      <c r="H97" s="199" t="str">
        <f>'2.1. DM'!H97</f>
        <v>Acacia</v>
      </c>
      <c r="I97" s="199" t="str">
        <f>'2.1. DM'!I97</f>
        <v>farnesiana</v>
      </c>
      <c r="J97" s="199" t="str">
        <f>'2.1. DM'!J97</f>
        <v>Acacia farnesiana</v>
      </c>
      <c r="K97" s="199" t="str">
        <f>'2.1. DM'!K97</f>
        <v>Fabaceae</v>
      </c>
      <c r="L97" s="199" t="str">
        <f>'2.1. DM'!L97</f>
        <v>Fabales</v>
      </c>
      <c r="M97" s="199" t="str">
        <f>'2.1. DM'!M97</f>
        <v>Tree</v>
      </c>
      <c r="N97" s="310">
        <f>'2.1. DM'!P97</f>
        <v>94.571628511446534</v>
      </c>
      <c r="O97" s="341">
        <f>AVERAGE(N97:N98)</f>
        <v>94.615814255723279</v>
      </c>
      <c r="P97" s="18">
        <f>'2.1. DM'!R97</f>
        <v>7.427819215840116</v>
      </c>
      <c r="Q97" s="341">
        <f>AVERAGE(P97:P98)</f>
        <v>7.4606405618161311</v>
      </c>
      <c r="R97" s="18">
        <f>'2.1. DM'!T97</f>
        <v>92.572180784159883</v>
      </c>
      <c r="S97" s="341">
        <f>AVERAGE(R97:R98)</f>
        <v>92.539359438183865</v>
      </c>
      <c r="T97" s="30">
        <f>TablePC[[#This Row],[Av DM 105]]</f>
        <v>31.000656289562979</v>
      </c>
      <c r="U97" s="341">
        <f t="shared" ref="U97" si="52">AVERAGE(T97:T98)</f>
        <v>31.000656289562979</v>
      </c>
      <c r="V97" s="30">
        <f>'2.3 ADF'!Q97</f>
        <v>49.040359793723461</v>
      </c>
      <c r="W97" s="341">
        <f>AVERAGE(V97:V98)</f>
        <v>48.090150596284076</v>
      </c>
      <c r="X97" s="30">
        <f>'2.4 NDF'!Q97</f>
        <v>60.947002218630587</v>
      </c>
      <c r="Y97" s="341">
        <f>AVERAGE(X97:X98)</f>
        <v>62.843660253980993</v>
      </c>
    </row>
    <row r="98" spans="2:25" x14ac:dyDescent="0.35">
      <c r="B98" s="19">
        <f t="shared" si="41"/>
        <v>88</v>
      </c>
      <c r="C98" s="199">
        <f>'2.1. DM'!C98</f>
        <v>46048</v>
      </c>
      <c r="D98" s="199" t="str">
        <f>'2.1. DM'!D98</f>
        <v>Genbank</v>
      </c>
      <c r="E98" s="200">
        <f>'2.1. DM'!E98</f>
        <v>28</v>
      </c>
      <c r="F98" s="199" t="str">
        <f>'2.1. DM'!F98</f>
        <v>F251768</v>
      </c>
      <c r="G98" s="199" t="str">
        <f>'2.1. DM'!G98</f>
        <v>CIAT-21809</v>
      </c>
      <c r="H98" s="199" t="str">
        <f>'2.1. DM'!H98</f>
        <v>Acacia</v>
      </c>
      <c r="I98" s="199" t="str">
        <f>'2.1. DM'!I98</f>
        <v>farnesiana</v>
      </c>
      <c r="J98" s="199" t="str">
        <f>'2.1. DM'!J98</f>
        <v>Acacia farnesiana</v>
      </c>
      <c r="K98" s="199" t="str">
        <f>'2.1. DM'!K98</f>
        <v>Fabaceae</v>
      </c>
      <c r="L98" s="199" t="str">
        <f>'2.1. DM'!L98</f>
        <v>Fabales</v>
      </c>
      <c r="M98" s="199" t="str">
        <f>'2.1. DM'!M98</f>
        <v>Tree</v>
      </c>
      <c r="N98" s="310">
        <f>'2.1. DM'!P98</f>
        <v>94.660000000000011</v>
      </c>
      <c r="O98" s="341"/>
      <c r="P98" s="18">
        <f>'2.1. DM'!R98</f>
        <v>7.4934619077921472</v>
      </c>
      <c r="Q98" s="341"/>
      <c r="R98" s="18">
        <f>'2.1. DM'!T98</f>
        <v>92.506538092207848</v>
      </c>
      <c r="S98" s="341"/>
      <c r="T98" s="30">
        <f>TablePC[[#This Row],[Av DM 105]]</f>
        <v>31.000656289562979</v>
      </c>
      <c r="U98" s="341"/>
      <c r="V98" s="30">
        <f>'2.3 ADF'!Q98</f>
        <v>47.139941398844698</v>
      </c>
      <c r="W98" s="341"/>
      <c r="X98" s="30">
        <f>'2.4 NDF'!Q98</f>
        <v>64.740318289331398</v>
      </c>
      <c r="Y98" s="341"/>
    </row>
    <row r="99" spans="2:25" x14ac:dyDescent="0.35">
      <c r="B99" s="19">
        <f t="shared" si="41"/>
        <v>89</v>
      </c>
      <c r="C99" s="199">
        <f>'2.1. DM'!C99</f>
        <v>46048</v>
      </c>
      <c r="D99" s="199" t="str">
        <f>'2.1. DM'!D99</f>
        <v>Genbank</v>
      </c>
      <c r="E99" s="200">
        <f>'2.1. DM'!E99</f>
        <v>28</v>
      </c>
      <c r="F99" s="199" t="str">
        <f>'2.1. DM'!F99</f>
        <v>F251769</v>
      </c>
      <c r="G99" s="199" t="str">
        <f>'2.1. DM'!G99</f>
        <v>CIAT-21810</v>
      </c>
      <c r="H99" s="199" t="str">
        <f>'2.1. DM'!H99</f>
        <v>Acacia</v>
      </c>
      <c r="I99" s="199" t="str">
        <f>'2.1. DM'!I99</f>
        <v>angustissima</v>
      </c>
      <c r="J99" s="199" t="str">
        <f>'2.1. DM'!J99</f>
        <v>Acacia angustissima</v>
      </c>
      <c r="K99" s="199" t="str">
        <f>'2.1. DM'!K99</f>
        <v>Fabaceae</v>
      </c>
      <c r="L99" s="199" t="str">
        <f>'2.1. DM'!L99</f>
        <v>Fabales</v>
      </c>
      <c r="M99" s="199" t="str">
        <f>'2.1. DM'!M99</f>
        <v>Tree</v>
      </c>
      <c r="N99" s="310">
        <f>'2.1. DM'!P99</f>
        <v>94.740525947405246</v>
      </c>
      <c r="O99" s="341">
        <f>AVERAGE(N99:N100)</f>
        <v>94.786813043660658</v>
      </c>
      <c r="P99" s="18">
        <f>'2.1. DM'!R99</f>
        <v>5.3905062181395982</v>
      </c>
      <c r="Q99" s="341">
        <f>AVERAGE(P99:P100)</f>
        <v>5.3891593996761422</v>
      </c>
      <c r="R99" s="18">
        <f>'2.1. DM'!T99</f>
        <v>94.609493781860408</v>
      </c>
      <c r="S99" s="341">
        <f>AVERAGE(R99:R100)</f>
        <v>94.610840600323854</v>
      </c>
      <c r="T99" s="30">
        <f>TablePC[[#This Row],[Av DM 105]]</f>
        <v>31.663939854461496</v>
      </c>
      <c r="U99" s="341">
        <f t="shared" ref="U99" si="53">AVERAGE(T99:T100)</f>
        <v>31.663939854461496</v>
      </c>
      <c r="V99" s="30">
        <f>'2.3 ADF'!Q99</f>
        <v>40.173169657697386</v>
      </c>
      <c r="W99" s="341">
        <f>AVERAGE(V99:V100)</f>
        <v>38.916287565421669</v>
      </c>
      <c r="X99" s="30">
        <f>'2.4 NDF'!Q99</f>
        <v>51.000591530609675</v>
      </c>
      <c r="Y99" s="341">
        <f>AVERAGE(X99:X100)</f>
        <v>52.367564391607942</v>
      </c>
    </row>
    <row r="100" spans="2:25" x14ac:dyDescent="0.35">
      <c r="B100" s="19">
        <f t="shared" si="41"/>
        <v>90</v>
      </c>
      <c r="C100" s="199">
        <f>'2.1. DM'!C100</f>
        <v>46048</v>
      </c>
      <c r="D100" s="199" t="str">
        <f>'2.1. DM'!D100</f>
        <v>Genbank</v>
      </c>
      <c r="E100" s="200">
        <f>'2.1. DM'!E100</f>
        <v>28</v>
      </c>
      <c r="F100" s="199" t="str">
        <f>'2.1. DM'!F100</f>
        <v>F251769</v>
      </c>
      <c r="G100" s="199" t="str">
        <f>'2.1. DM'!G100</f>
        <v>CIAT-21810</v>
      </c>
      <c r="H100" s="199" t="str">
        <f>'2.1. DM'!H100</f>
        <v>Acacia</v>
      </c>
      <c r="I100" s="199" t="str">
        <f>'2.1. DM'!I100</f>
        <v>angustissima</v>
      </c>
      <c r="J100" s="199" t="str">
        <f>'2.1. DM'!J100</f>
        <v>Acacia angustissima</v>
      </c>
      <c r="K100" s="199" t="str">
        <f>'2.1. DM'!K100</f>
        <v>Fabaceae</v>
      </c>
      <c r="L100" s="199" t="str">
        <f>'2.1. DM'!L100</f>
        <v>Fabales</v>
      </c>
      <c r="M100" s="199" t="str">
        <f>'2.1. DM'!M100</f>
        <v>Tree</v>
      </c>
      <c r="N100" s="310">
        <f>'2.1. DM'!P100</f>
        <v>94.833100139916056</v>
      </c>
      <c r="O100" s="341"/>
      <c r="P100" s="18">
        <f>'2.1. DM'!R100</f>
        <v>5.3878125812126854</v>
      </c>
      <c r="Q100" s="341"/>
      <c r="R100" s="18">
        <f>'2.1. DM'!T100</f>
        <v>94.612187418787315</v>
      </c>
      <c r="S100" s="341"/>
      <c r="T100" s="30">
        <f>TablePC[[#This Row],[Av DM 105]]</f>
        <v>31.663939854461496</v>
      </c>
      <c r="U100" s="341"/>
      <c r="V100" s="30">
        <f>'2.3 ADF'!Q100</f>
        <v>37.659405473145959</v>
      </c>
      <c r="W100" s="341"/>
      <c r="X100" s="30">
        <f>'2.4 NDF'!Q100</f>
        <v>53.734537252606216</v>
      </c>
      <c r="Y100" s="341"/>
    </row>
    <row r="101" spans="2:25" x14ac:dyDescent="0.35">
      <c r="B101" s="19">
        <f t="shared" si="41"/>
        <v>91</v>
      </c>
      <c r="C101" s="199">
        <f>'2.1. DM'!C101</f>
        <v>46048</v>
      </c>
      <c r="D101" s="199" t="str">
        <f>'2.1. DM'!D101</f>
        <v>Genbank</v>
      </c>
      <c r="E101" s="200">
        <f>'2.1. DM'!E101</f>
        <v>28</v>
      </c>
      <c r="F101" s="199" t="str">
        <f>'2.1. DM'!F101</f>
        <v>F251770</v>
      </c>
      <c r="G101" s="199" t="str">
        <f>'2.1. DM'!G101</f>
        <v>CIAT-21888</v>
      </c>
      <c r="H101" s="199" t="str">
        <f>'2.1. DM'!H101</f>
        <v>Leucaena</v>
      </c>
      <c r="I101" s="199" t="str">
        <f>'2.1. DM'!I101</f>
        <v>leucocephala</v>
      </c>
      <c r="J101" s="199" t="str">
        <f>'2.1. DM'!J101</f>
        <v>Leucaena leucocephala</v>
      </c>
      <c r="K101" s="199" t="str">
        <f>'2.1. DM'!K101</f>
        <v>Fabaceae</v>
      </c>
      <c r="L101" s="199" t="str">
        <f>'2.1. DM'!L101</f>
        <v>Fabales</v>
      </c>
      <c r="M101" s="199" t="str">
        <f>'2.1. DM'!M101</f>
        <v>Tree</v>
      </c>
      <c r="N101" s="310">
        <f>'2.1. DM'!P101</f>
        <v>93.671898430470804</v>
      </c>
      <c r="O101" s="341">
        <f>AVERAGE(N101:N102)</f>
        <v>93.707200714635661</v>
      </c>
      <c r="P101" s="18">
        <f>'2.1. DM'!R101</f>
        <v>9.0574189594217138</v>
      </c>
      <c r="Q101" s="341">
        <f>AVERAGE(P101:P102)</f>
        <v>9.1369708064726893</v>
      </c>
      <c r="R101" s="18">
        <f>'2.1. DM'!T101</f>
        <v>90.94258104057829</v>
      </c>
      <c r="S101" s="341">
        <f>AVERAGE(R101:R102)</f>
        <v>90.863029193527311</v>
      </c>
      <c r="T101" s="30">
        <f>TablePC[[#This Row],[Av DM 105]]</f>
        <v>29.904588346217004</v>
      </c>
      <c r="U101" s="341">
        <f t="shared" ref="U101" si="54">AVERAGE(T101:T102)</f>
        <v>29.904588346217004</v>
      </c>
      <c r="V101" s="30">
        <f>'2.3 ADF'!Q101</f>
        <v>31.166699589735593</v>
      </c>
      <c r="W101" s="341">
        <f>AVERAGE(V101:V102)</f>
        <v>30.163106973441941</v>
      </c>
      <c r="X101" s="30">
        <f>'2.4 NDF'!Q101</f>
        <v>55.750866195741125</v>
      </c>
      <c r="Y101" s="341">
        <f>AVERAGE(X101:X102)</f>
        <v>56.665999706722936</v>
      </c>
    </row>
    <row r="102" spans="2:25" x14ac:dyDescent="0.35">
      <c r="B102" s="19">
        <f t="shared" si="41"/>
        <v>92</v>
      </c>
      <c r="C102" s="199">
        <f>'2.1. DM'!C102</f>
        <v>46048</v>
      </c>
      <c r="D102" s="199" t="str">
        <f>'2.1. DM'!D102</f>
        <v>Genbank</v>
      </c>
      <c r="E102" s="200">
        <f>'2.1. DM'!E102</f>
        <v>28</v>
      </c>
      <c r="F102" s="199" t="str">
        <f>'2.1. DM'!F102</f>
        <v>F251770</v>
      </c>
      <c r="G102" s="199" t="str">
        <f>'2.1. DM'!G102</f>
        <v>CIAT-21888</v>
      </c>
      <c r="H102" s="199" t="str">
        <f>'2.1. DM'!H102</f>
        <v>Leucaena</v>
      </c>
      <c r="I102" s="199" t="str">
        <f>'2.1. DM'!I102</f>
        <v>leucocephala</v>
      </c>
      <c r="J102" s="199" t="str">
        <f>'2.1. DM'!J102</f>
        <v>Leucaena leucocephala</v>
      </c>
      <c r="K102" s="199" t="str">
        <f>'2.1. DM'!K102</f>
        <v>Fabaceae</v>
      </c>
      <c r="L102" s="199" t="str">
        <f>'2.1. DM'!L102</f>
        <v>Fabales</v>
      </c>
      <c r="M102" s="199" t="str">
        <f>'2.1. DM'!M102</f>
        <v>Tree</v>
      </c>
      <c r="N102" s="310">
        <f>'2.1. DM'!P102</f>
        <v>93.742502998800504</v>
      </c>
      <c r="O102" s="341"/>
      <c r="P102" s="18">
        <f>'2.1. DM'!R102</f>
        <v>9.2165226535236666</v>
      </c>
      <c r="Q102" s="341"/>
      <c r="R102" s="18">
        <f>'2.1. DM'!T102</f>
        <v>90.783477346476332</v>
      </c>
      <c r="S102" s="341"/>
      <c r="T102" s="30">
        <f>TablePC[[#This Row],[Av DM 105]]</f>
        <v>29.904588346217004</v>
      </c>
      <c r="U102" s="341"/>
      <c r="V102" s="30">
        <f>'2.3 ADF'!Q102</f>
        <v>29.159514357148293</v>
      </c>
      <c r="W102" s="341"/>
      <c r="X102" s="30">
        <f>'2.4 NDF'!Q102</f>
        <v>57.581133217704746</v>
      </c>
      <c r="Y102" s="341"/>
    </row>
    <row r="103" spans="2:25" x14ac:dyDescent="0.35">
      <c r="B103" s="19">
        <f t="shared" si="41"/>
        <v>93</v>
      </c>
      <c r="C103" s="199">
        <f>'2.1. DM'!C103</f>
        <v>46048</v>
      </c>
      <c r="D103" s="199" t="str">
        <f>'2.1. DM'!D103</f>
        <v>Genbank</v>
      </c>
      <c r="E103" s="200">
        <f>'2.1. DM'!E103</f>
        <v>28</v>
      </c>
      <c r="F103" s="199" t="str">
        <f>'2.1. DM'!F103</f>
        <v>F251771</v>
      </c>
      <c r="G103" s="199" t="str">
        <f>'2.1. DM'!G103</f>
        <v>CIAT-22310</v>
      </c>
      <c r="H103" s="199" t="str">
        <f>'2.1. DM'!H103</f>
        <v>Calliandra</v>
      </c>
      <c r="I103" s="199" t="str">
        <f>'2.1. DM'!I103</f>
        <v>calothyrsus</v>
      </c>
      <c r="J103" s="199" t="str">
        <f>'2.1. DM'!J103</f>
        <v>Calliandra calothyrsus</v>
      </c>
      <c r="K103" s="199" t="str">
        <f>'2.1. DM'!K103</f>
        <v>Fabaceae</v>
      </c>
      <c r="L103" s="199" t="str">
        <f>'2.1. DM'!L103</f>
        <v>Fabales</v>
      </c>
      <c r="M103" s="199" t="str">
        <f>'2.1. DM'!M103</f>
        <v>Tree</v>
      </c>
      <c r="N103" s="310">
        <f>'2.1. DM'!P103</f>
        <v>94.82</v>
      </c>
      <c r="O103" s="341">
        <f t="shared" ref="O103:O165" si="55">AVERAGE(N103:N104)</f>
        <v>94.860509898020354</v>
      </c>
      <c r="P103" s="18">
        <f>'2.1. DM'!R103</f>
        <v>5.6504018434670042</v>
      </c>
      <c r="Q103" s="341">
        <f t="shared" ref="Q103:Y165" si="56">AVERAGE(P103:P104)</f>
        <v>5.7130750355487638</v>
      </c>
      <c r="R103" s="18">
        <f>'2.1. DM'!T103</f>
        <v>94.349598156532991</v>
      </c>
      <c r="S103" s="341">
        <f t="shared" si="56"/>
        <v>94.286924964451231</v>
      </c>
      <c r="T103" s="30">
        <f>TablePC[[#This Row],[Av DM 105]]</f>
        <v>21.754706236142574</v>
      </c>
      <c r="U103" s="341">
        <f t="shared" ref="U103" si="57">AVERAGE(T103:T104)</f>
        <v>21.754706236142574</v>
      </c>
      <c r="V103" s="30">
        <f>'2.3 ADF'!Q103</f>
        <v>52.180364738496685</v>
      </c>
      <c r="W103" s="341">
        <f t="shared" si="56"/>
        <v>50.768412175494994</v>
      </c>
      <c r="X103" s="30">
        <f>'2.4 NDF'!Q103</f>
        <v>55.498507006340148</v>
      </c>
      <c r="Y103" s="341">
        <f t="shared" si="56"/>
        <v>55.002062343703003</v>
      </c>
    </row>
    <row r="104" spans="2:25" x14ac:dyDescent="0.35">
      <c r="B104" s="19">
        <f t="shared" si="41"/>
        <v>94</v>
      </c>
      <c r="C104" s="199">
        <f>'2.1. DM'!C104</f>
        <v>46048</v>
      </c>
      <c r="D104" s="199" t="str">
        <f>'2.1. DM'!D104</f>
        <v>Genbank</v>
      </c>
      <c r="E104" s="200">
        <f>'2.1. DM'!E104</f>
        <v>28</v>
      </c>
      <c r="F104" s="199" t="str">
        <f>'2.1. DM'!F104</f>
        <v>F251771</v>
      </c>
      <c r="G104" s="199" t="str">
        <f>'2.1. DM'!G104</f>
        <v>CIAT-22310</v>
      </c>
      <c r="H104" s="199" t="str">
        <f>'2.1. DM'!H104</f>
        <v>Calliandra</v>
      </c>
      <c r="I104" s="199" t="str">
        <f>'2.1. DM'!I104</f>
        <v>calothyrsus</v>
      </c>
      <c r="J104" s="199" t="str">
        <f>'2.1. DM'!J104</f>
        <v>Calliandra calothyrsus</v>
      </c>
      <c r="K104" s="199" t="str">
        <f>'2.1. DM'!K104</f>
        <v>Fabaceae</v>
      </c>
      <c r="L104" s="199" t="str">
        <f>'2.1. DM'!L104</f>
        <v>Fabales</v>
      </c>
      <c r="M104" s="199" t="str">
        <f>'2.1. DM'!M104</f>
        <v>Tree</v>
      </c>
      <c r="N104" s="310">
        <f>'2.1. DM'!P104</f>
        <v>94.901019796040728</v>
      </c>
      <c r="O104" s="341"/>
      <c r="P104" s="18">
        <f>'2.1. DM'!R104</f>
        <v>5.7757482276305225</v>
      </c>
      <c r="Q104" s="341"/>
      <c r="R104" s="18">
        <f>'2.1. DM'!T104</f>
        <v>94.224251772369485</v>
      </c>
      <c r="S104" s="341"/>
      <c r="T104" s="30">
        <f>TablePC[[#This Row],[Av DM 105]]</f>
        <v>21.754706236142574</v>
      </c>
      <c r="U104" s="341"/>
      <c r="V104" s="30">
        <f>'2.3 ADF'!Q104</f>
        <v>49.356459612493303</v>
      </c>
      <c r="W104" s="341"/>
      <c r="X104" s="30">
        <f>'2.4 NDF'!Q104</f>
        <v>54.505617681065857</v>
      </c>
      <c r="Y104" s="341"/>
    </row>
    <row r="105" spans="2:25" x14ac:dyDescent="0.35">
      <c r="B105" s="19">
        <f t="shared" si="41"/>
        <v>95</v>
      </c>
      <c r="C105" s="199">
        <f>'2.1. DM'!C105</f>
        <v>46048</v>
      </c>
      <c r="D105" s="199" t="str">
        <f>'2.1. DM'!D105</f>
        <v>Genbank</v>
      </c>
      <c r="E105" s="200">
        <f>'2.1. DM'!E105</f>
        <v>28</v>
      </c>
      <c r="F105" s="199" t="str">
        <f>'2.1. DM'!F105</f>
        <v>F251772</v>
      </c>
      <c r="G105" s="199" t="str">
        <f>'2.1. DM'!G105</f>
        <v>CIAT-22311</v>
      </c>
      <c r="H105" s="199" t="str">
        <f>'2.1. DM'!H105</f>
        <v>Calliandra</v>
      </c>
      <c r="I105" s="199" t="str">
        <f>'2.1. DM'!I105</f>
        <v>calothyrsus</v>
      </c>
      <c r="J105" s="199" t="str">
        <f>'2.1. DM'!J105</f>
        <v>Calliandra calothyrsus</v>
      </c>
      <c r="K105" s="199" t="str">
        <f>'2.1. DM'!K105</f>
        <v>Fabaceae</v>
      </c>
      <c r="L105" s="199" t="str">
        <f>'2.1. DM'!L105</f>
        <v>Fabales</v>
      </c>
      <c r="M105" s="199" t="str">
        <f>'2.1. DM'!M105</f>
        <v>Tree</v>
      </c>
      <c r="N105" s="310">
        <f>'2.1. DM'!P105</f>
        <v>93.80371776933832</v>
      </c>
      <c r="O105" s="341">
        <f t="shared" si="55"/>
        <v>93.877161354422213</v>
      </c>
      <c r="P105" s="18">
        <f>'2.1. DM'!R105</f>
        <v>6.8772065868408321</v>
      </c>
      <c r="Q105" s="341">
        <f t="shared" si="56"/>
        <v>6.953483787664565</v>
      </c>
      <c r="R105" s="18">
        <f>'2.1. DM'!T105</f>
        <v>93.122793413159172</v>
      </c>
      <c r="S105" s="341">
        <f t="shared" si="56"/>
        <v>93.046516212335433</v>
      </c>
      <c r="T105" s="30">
        <f>TablePC[[#This Row],[Av DM 105]]</f>
        <v>21.513621593833555</v>
      </c>
      <c r="U105" s="341">
        <f t="shared" ref="U105" si="58">AVERAGE(T105:T106)</f>
        <v>21.513621593833555</v>
      </c>
      <c r="V105" s="30">
        <f>'2.3 ADF'!Q105</f>
        <v>48.23549136249526</v>
      </c>
      <c r="W105" s="341">
        <f t="shared" si="56"/>
        <v>49.182546382240204</v>
      </c>
      <c r="X105" s="30">
        <f>'2.4 NDF'!Q105</f>
        <v>53.949428757435022</v>
      </c>
      <c r="Y105" s="341">
        <f t="shared" si="56"/>
        <v>54.929596136440743</v>
      </c>
    </row>
    <row r="106" spans="2:25" x14ac:dyDescent="0.35">
      <c r="B106" s="19">
        <f t="shared" si="41"/>
        <v>96</v>
      </c>
      <c r="C106" s="199">
        <f>'2.1. DM'!C106</f>
        <v>46048</v>
      </c>
      <c r="D106" s="199" t="str">
        <f>'2.1. DM'!D106</f>
        <v>Genbank</v>
      </c>
      <c r="E106" s="200">
        <f>'2.1. DM'!E106</f>
        <v>28</v>
      </c>
      <c r="F106" s="199" t="str">
        <f>'2.1. DM'!F106</f>
        <v>F251772</v>
      </c>
      <c r="G106" s="199" t="str">
        <f>'2.1. DM'!G106</f>
        <v>CIAT-22311</v>
      </c>
      <c r="H106" s="199" t="str">
        <f>'2.1. DM'!H106</f>
        <v>Calliandra</v>
      </c>
      <c r="I106" s="199" t="str">
        <f>'2.1. DM'!I106</f>
        <v>calothyrsus</v>
      </c>
      <c r="J106" s="199" t="str">
        <f>'2.1. DM'!J106</f>
        <v>Calliandra calothyrsus</v>
      </c>
      <c r="K106" s="199" t="str">
        <f>'2.1. DM'!K106</f>
        <v>Fabaceae</v>
      </c>
      <c r="L106" s="199" t="str">
        <f>'2.1. DM'!L106</f>
        <v>Fabales</v>
      </c>
      <c r="M106" s="199" t="str">
        <f>'2.1. DM'!M106</f>
        <v>Tree</v>
      </c>
      <c r="N106" s="310">
        <f>'2.1. DM'!P106</f>
        <v>93.950604939506093</v>
      </c>
      <c r="O106" s="341"/>
      <c r="P106" s="18">
        <f>'2.1. DM'!R106</f>
        <v>7.029760988488297</v>
      </c>
      <c r="Q106" s="341"/>
      <c r="R106" s="18">
        <f>'2.1. DM'!T106</f>
        <v>92.970239011511708</v>
      </c>
      <c r="S106" s="341"/>
      <c r="T106" s="30">
        <f>TablePC[[#This Row],[Av DM 105]]</f>
        <v>21.513621593833555</v>
      </c>
      <c r="U106" s="341"/>
      <c r="V106" s="30">
        <f>'2.3 ADF'!Q106</f>
        <v>50.129601401985148</v>
      </c>
      <c r="W106" s="341"/>
      <c r="X106" s="30">
        <f>'2.4 NDF'!Q106</f>
        <v>55.909763515446464</v>
      </c>
      <c r="Y106" s="341"/>
    </row>
    <row r="107" spans="2:25" x14ac:dyDescent="0.35">
      <c r="B107" s="19">
        <f t="shared" si="41"/>
        <v>97</v>
      </c>
      <c r="C107" s="199">
        <f>'2.1. DM'!C107</f>
        <v>46048</v>
      </c>
      <c r="D107" s="199" t="str">
        <f>'2.1. DM'!D107</f>
        <v>Genbank</v>
      </c>
      <c r="E107" s="200">
        <f>'2.1. DM'!E107</f>
        <v>28</v>
      </c>
      <c r="F107" s="199" t="str">
        <f>'2.1. DM'!F107</f>
        <v>F251773</v>
      </c>
      <c r="G107" s="199" t="str">
        <f>'2.1. DM'!G107</f>
        <v>CIAT-22316</v>
      </c>
      <c r="H107" s="199" t="str">
        <f>'2.1. DM'!H107</f>
        <v>Calliandra</v>
      </c>
      <c r="I107" s="199" t="str">
        <f>'2.1. DM'!I107</f>
        <v>calothyrsus</v>
      </c>
      <c r="J107" s="199" t="str">
        <f>'2.1. DM'!J107</f>
        <v>Calliandra calothyrsus</v>
      </c>
      <c r="K107" s="199" t="str">
        <f>'2.1. DM'!K107</f>
        <v>Fabaceae</v>
      </c>
      <c r="L107" s="199" t="str">
        <f>'2.1. DM'!L107</f>
        <v>Fabales</v>
      </c>
      <c r="M107" s="199" t="str">
        <f>'2.1. DM'!M107</f>
        <v>Tree</v>
      </c>
      <c r="N107" s="310">
        <f>'2.1. DM'!P107</f>
        <v>95.540445955404437</v>
      </c>
      <c r="O107" s="341">
        <f t="shared" si="55"/>
        <v>95.515899274813165</v>
      </c>
      <c r="P107" s="18">
        <f>'2.1. DM'!R107</f>
        <v>8.6678470764028521</v>
      </c>
      <c r="Q107" s="341">
        <f t="shared" si="56"/>
        <v>8.6460479090756266</v>
      </c>
      <c r="R107" s="18">
        <f>'2.1. DM'!T107</f>
        <v>91.33215292359715</v>
      </c>
      <c r="S107" s="341">
        <f t="shared" si="56"/>
        <v>91.353952090924366</v>
      </c>
      <c r="T107" s="30">
        <f>TablePC[[#This Row],[Av DM 105]]</f>
        <v>20.815955680729736</v>
      </c>
      <c r="U107" s="341">
        <f t="shared" ref="U107" si="59">AVERAGE(T107:T108)</f>
        <v>20.815955680729736</v>
      </c>
      <c r="V107" s="30">
        <f>'2.3 ADF'!Q107</f>
        <v>43.605486669064007</v>
      </c>
      <c r="W107" s="341">
        <f t="shared" si="56"/>
        <v>44.541586138733123</v>
      </c>
      <c r="X107" s="30">
        <f>'2.4 NDF'!Q107</f>
        <v>55.273655890587136</v>
      </c>
      <c r="Y107" s="341">
        <f t="shared" si="56"/>
        <v>54.356536443005112</v>
      </c>
    </row>
    <row r="108" spans="2:25" x14ac:dyDescent="0.35">
      <c r="B108" s="19">
        <f t="shared" si="41"/>
        <v>98</v>
      </c>
      <c r="C108" s="199">
        <f>'2.1. DM'!C108</f>
        <v>46048</v>
      </c>
      <c r="D108" s="199" t="str">
        <f>'2.1. DM'!D108</f>
        <v>Genbank</v>
      </c>
      <c r="E108" s="200">
        <f>'2.1. DM'!E108</f>
        <v>28</v>
      </c>
      <c r="F108" s="199" t="str">
        <f>'2.1. DM'!F108</f>
        <v>F251773</v>
      </c>
      <c r="G108" s="199" t="str">
        <f>'2.1. DM'!G108</f>
        <v>CIAT-22316</v>
      </c>
      <c r="H108" s="199" t="str">
        <f>'2.1. DM'!H108</f>
        <v>Calliandra</v>
      </c>
      <c r="I108" s="199" t="str">
        <f>'2.1. DM'!I108</f>
        <v>calothyrsus</v>
      </c>
      <c r="J108" s="199" t="str">
        <f>'2.1. DM'!J108</f>
        <v>Calliandra calothyrsus</v>
      </c>
      <c r="K108" s="199" t="str">
        <f>'2.1. DM'!K108</f>
        <v>Fabaceae</v>
      </c>
      <c r="L108" s="199" t="str">
        <f>'2.1. DM'!L108</f>
        <v>Fabales</v>
      </c>
      <c r="M108" s="199" t="str">
        <f>'2.1. DM'!M108</f>
        <v>Tree</v>
      </c>
      <c r="N108" s="310">
        <f>'2.1. DM'!P108</f>
        <v>95.49135259422188</v>
      </c>
      <c r="O108" s="341"/>
      <c r="P108" s="18">
        <f>'2.1. DM'!R108</f>
        <v>8.6242487417484011</v>
      </c>
      <c r="Q108" s="341"/>
      <c r="R108" s="18">
        <f>'2.1. DM'!T108</f>
        <v>91.375751258251597</v>
      </c>
      <c r="S108" s="341"/>
      <c r="T108" s="30">
        <f>TablePC[[#This Row],[Av DM 105]]</f>
        <v>20.815955680729736</v>
      </c>
      <c r="U108" s="341"/>
      <c r="V108" s="30">
        <f>'2.3 ADF'!Q108</f>
        <v>45.477685608402247</v>
      </c>
      <c r="W108" s="341"/>
      <c r="X108" s="30">
        <f>'2.4 NDF'!Q108</f>
        <v>53.439416995423095</v>
      </c>
      <c r="Y108" s="341"/>
    </row>
    <row r="109" spans="2:25" x14ac:dyDescent="0.35">
      <c r="B109" s="19">
        <f t="shared" si="41"/>
        <v>99</v>
      </c>
      <c r="C109" s="199">
        <f>'2.1. DM'!C109</f>
        <v>46048</v>
      </c>
      <c r="D109" s="199" t="str">
        <f>'2.1. DM'!D109</f>
        <v>Genbank</v>
      </c>
      <c r="E109" s="200">
        <f>'2.1. DM'!E109</f>
        <v>28</v>
      </c>
      <c r="F109" s="199" t="str">
        <f>'2.1. DM'!F109</f>
        <v>F251774</v>
      </c>
      <c r="G109" s="199" t="str">
        <f>'2.1. DM'!G109</f>
        <v>CIAT-23239</v>
      </c>
      <c r="H109" s="199" t="str">
        <f>'2.1. DM'!H109</f>
        <v>Dendrolobium</v>
      </c>
      <c r="I109" s="199" t="str">
        <f>'2.1. DM'!I109</f>
        <v>triangulare</v>
      </c>
      <c r="J109" s="199" t="str">
        <f>'2.1. DM'!J109</f>
        <v>Dendrolobium triangulare</v>
      </c>
      <c r="K109" s="199" t="str">
        <f>'2.1. DM'!K109</f>
        <v>Fabaceae</v>
      </c>
      <c r="L109" s="199" t="str">
        <f>'2.1. DM'!L109</f>
        <v>Fabales</v>
      </c>
      <c r="M109" s="199" t="str">
        <f>'2.1. DM'!M109</f>
        <v>Tree</v>
      </c>
      <c r="N109" s="310">
        <f>'2.1. DM'!P109</f>
        <v>95.850414958504118</v>
      </c>
      <c r="O109" s="341">
        <f t="shared" si="55"/>
        <v>95.855828293007932</v>
      </c>
      <c r="P109" s="18">
        <f>'2.1. DM'!R109</f>
        <v>7.5731170465742181</v>
      </c>
      <c r="Q109" s="341">
        <f t="shared" si="56"/>
        <v>7.5515015518643622</v>
      </c>
      <c r="R109" s="18">
        <f>'2.1. DM'!T109</f>
        <v>92.426882953425775</v>
      </c>
      <c r="S109" s="341">
        <f t="shared" si="56"/>
        <v>92.448498448135638</v>
      </c>
      <c r="T109" s="30">
        <f>TablePC[[#This Row],[Av DM 105]]</f>
        <v>20.355371333791691</v>
      </c>
      <c r="U109" s="341">
        <f t="shared" ref="U109" si="60">AVERAGE(T109:T110)</f>
        <v>20.355371333791691</v>
      </c>
      <c r="V109" s="30">
        <f>'2.3 ADF'!Q109</f>
        <v>53.215456991873658</v>
      </c>
      <c r="W109" s="341">
        <f t="shared" si="56"/>
        <v>52.757940793567954</v>
      </c>
      <c r="X109" s="30">
        <f>'2.4 NDF'!Q109</f>
        <v>63.334187947945885</v>
      </c>
      <c r="Y109" s="341">
        <f t="shared" si="56"/>
        <v>65.193341233557703</v>
      </c>
    </row>
    <row r="110" spans="2:25" x14ac:dyDescent="0.35">
      <c r="B110" s="19">
        <f t="shared" si="41"/>
        <v>100</v>
      </c>
      <c r="C110" s="199">
        <f>'2.1. DM'!C110</f>
        <v>46048</v>
      </c>
      <c r="D110" s="199" t="str">
        <f>'2.1. DM'!D110</f>
        <v>Genbank</v>
      </c>
      <c r="E110" s="200">
        <f>'2.1. DM'!E110</f>
        <v>28</v>
      </c>
      <c r="F110" s="199" t="str">
        <f>'2.1. DM'!F110</f>
        <v>F251774</v>
      </c>
      <c r="G110" s="199" t="str">
        <f>'2.1. DM'!G110</f>
        <v>CIAT-23239</v>
      </c>
      <c r="H110" s="199" t="str">
        <f>'2.1. DM'!H110</f>
        <v>Dendrolobium</v>
      </c>
      <c r="I110" s="199" t="str">
        <f>'2.1. DM'!I110</f>
        <v>triangulare</v>
      </c>
      <c r="J110" s="199" t="str">
        <f>'2.1. DM'!J110</f>
        <v>Dendrolobium triangulare</v>
      </c>
      <c r="K110" s="199" t="str">
        <f>'2.1. DM'!K110</f>
        <v>Fabaceae</v>
      </c>
      <c r="L110" s="199" t="str">
        <f>'2.1. DM'!L110</f>
        <v>Fabales</v>
      </c>
      <c r="M110" s="199" t="str">
        <f>'2.1. DM'!M110</f>
        <v>Tree</v>
      </c>
      <c r="N110" s="310">
        <f>'2.1. DM'!P110</f>
        <v>95.861241627511745</v>
      </c>
      <c r="O110" s="341"/>
      <c r="P110" s="18">
        <f>'2.1. DM'!R110</f>
        <v>7.5298860571545054</v>
      </c>
      <c r="Q110" s="341"/>
      <c r="R110" s="18">
        <f>'2.1. DM'!T110</f>
        <v>92.470113942845501</v>
      </c>
      <c r="S110" s="341"/>
      <c r="T110" s="30">
        <f>TablePC[[#This Row],[Av DM 105]]</f>
        <v>20.355371333791691</v>
      </c>
      <c r="U110" s="341"/>
      <c r="V110" s="30">
        <f>'2.3 ADF'!Q110</f>
        <v>52.30042459526225</v>
      </c>
      <c r="W110" s="341"/>
      <c r="X110" s="30">
        <f>'2.4 NDF'!Q110</f>
        <v>67.052494519169528</v>
      </c>
      <c r="Y110" s="341"/>
    </row>
    <row r="111" spans="2:25" x14ac:dyDescent="0.35">
      <c r="B111" s="19">
        <f t="shared" si="41"/>
        <v>101</v>
      </c>
      <c r="C111" s="199">
        <f>'2.1. DM'!C111</f>
        <v>46048</v>
      </c>
      <c r="D111" s="199" t="str">
        <f>'2.1. DM'!D111</f>
        <v>Genbank</v>
      </c>
      <c r="E111" s="200">
        <f>'2.1. DM'!E111</f>
        <v>28</v>
      </c>
      <c r="F111" s="199" t="str">
        <f>'2.1. DM'!F111</f>
        <v>F251775</v>
      </c>
      <c r="G111" s="199" t="str">
        <f>'2.1. DM'!G111</f>
        <v>CIAT-33116</v>
      </c>
      <c r="H111" s="199" t="str">
        <f>'2.1. DM'!H111</f>
        <v>Dendrolobium</v>
      </c>
      <c r="I111" s="199" t="str">
        <f>'2.1. DM'!I111</f>
        <v>triangulare</v>
      </c>
      <c r="J111" s="199" t="str">
        <f>'2.1. DM'!J111</f>
        <v>Dendrolobium triangulare</v>
      </c>
      <c r="K111" s="199" t="str">
        <f>'2.1. DM'!K111</f>
        <v>Fabaceae</v>
      </c>
      <c r="L111" s="199" t="str">
        <f>'2.1. DM'!L111</f>
        <v>Fabales</v>
      </c>
      <c r="M111" s="199" t="str">
        <f>'2.1. DM'!M111</f>
        <v>Tree</v>
      </c>
      <c r="N111" s="310">
        <f>'2.1. DM'!P111</f>
        <v>95.640871825635045</v>
      </c>
      <c r="O111" s="341">
        <f t="shared" si="55"/>
        <v>95.631092715776646</v>
      </c>
      <c r="P111" s="18">
        <f>'2.1. DM'!R111</f>
        <v>7.7574312768643141</v>
      </c>
      <c r="Q111" s="341">
        <f t="shared" si="56"/>
        <v>7.8824880892774889</v>
      </c>
      <c r="R111" s="18">
        <f>'2.1. DM'!T111</f>
        <v>92.24256872313569</v>
      </c>
      <c r="S111" s="341">
        <f t="shared" si="56"/>
        <v>92.117511910722513</v>
      </c>
      <c r="T111" s="30">
        <f>TablePC[[#This Row],[Av DM 105]]</f>
        <v>18.299339394295366</v>
      </c>
      <c r="U111" s="341">
        <f t="shared" ref="U111" si="61">AVERAGE(T111:T112)</f>
        <v>18.299339394295366</v>
      </c>
      <c r="V111" s="30">
        <f>'2.3 ADF'!Q111</f>
        <v>56.563412217914511</v>
      </c>
      <c r="W111" s="341">
        <f t="shared" si="56"/>
        <v>57.419672235613312</v>
      </c>
      <c r="X111" s="30">
        <f>'2.4 NDF'!Q111</f>
        <v>63.802127259625898</v>
      </c>
      <c r="Y111" s="341">
        <f t="shared" si="56"/>
        <v>65.172912856868038</v>
      </c>
    </row>
    <row r="112" spans="2:25" x14ac:dyDescent="0.35">
      <c r="B112" s="19">
        <f t="shared" si="41"/>
        <v>102</v>
      </c>
      <c r="C112" s="199">
        <f>'2.1. DM'!C112</f>
        <v>46048</v>
      </c>
      <c r="D112" s="199" t="str">
        <f>'2.1. DM'!D112</f>
        <v>Genbank</v>
      </c>
      <c r="E112" s="200">
        <f>'2.1. DM'!E112</f>
        <v>28</v>
      </c>
      <c r="F112" s="199" t="str">
        <f>'2.1. DM'!F112</f>
        <v>F251775</v>
      </c>
      <c r="G112" s="199" t="str">
        <f>'2.1. DM'!G112</f>
        <v>CIAT-33116</v>
      </c>
      <c r="H112" s="199" t="str">
        <f>'2.1. DM'!H112</f>
        <v>Dendrolobium</v>
      </c>
      <c r="I112" s="199" t="str">
        <f>'2.1. DM'!I112</f>
        <v>triangulare</v>
      </c>
      <c r="J112" s="199" t="str">
        <f>'2.1. DM'!J112</f>
        <v>Dendrolobium triangulare</v>
      </c>
      <c r="K112" s="199" t="str">
        <f>'2.1. DM'!K112</f>
        <v>Fabaceae</v>
      </c>
      <c r="L112" s="199" t="str">
        <f>'2.1. DM'!L112</f>
        <v>Fabales</v>
      </c>
      <c r="M112" s="199" t="str">
        <f>'2.1. DM'!M112</f>
        <v>Tree</v>
      </c>
      <c r="N112" s="310">
        <f>'2.1. DM'!P112</f>
        <v>95.621313605918246</v>
      </c>
      <c r="O112" s="341"/>
      <c r="P112" s="18">
        <f>'2.1. DM'!R112</f>
        <v>8.0075449016906628</v>
      </c>
      <c r="Q112" s="341"/>
      <c r="R112" s="18">
        <f>'2.1. DM'!T112</f>
        <v>91.992455098309335</v>
      </c>
      <c r="S112" s="341"/>
      <c r="T112" s="30">
        <f>TablePC[[#This Row],[Av DM 105]]</f>
        <v>18.299339394295366</v>
      </c>
      <c r="U112" s="341"/>
      <c r="V112" s="30">
        <f>'2.3 ADF'!Q112</f>
        <v>58.275932253312114</v>
      </c>
      <c r="W112" s="341"/>
      <c r="X112" s="30">
        <f>'2.4 NDF'!Q112</f>
        <v>66.543698454110185</v>
      </c>
      <c r="Y112" s="341"/>
    </row>
    <row r="113" spans="2:25" x14ac:dyDescent="0.35">
      <c r="B113" s="19">
        <f t="shared" si="41"/>
        <v>103</v>
      </c>
      <c r="C113" s="199">
        <f>'2.1. DM'!C113</f>
        <v>46048</v>
      </c>
      <c r="D113" s="199" t="str">
        <f>'2.1. DM'!D113</f>
        <v>Genbank</v>
      </c>
      <c r="E113" s="200">
        <f>'2.1. DM'!E113</f>
        <v>28</v>
      </c>
      <c r="F113" s="199" t="str">
        <f>'2.1. DM'!F113</f>
        <v>F252184</v>
      </c>
      <c r="G113" s="199" t="str">
        <f>'2.1. DM'!G113</f>
        <v>CIAT-BH22_0303</v>
      </c>
      <c r="H113" s="199" t="str">
        <f>'2.1. DM'!H113</f>
        <v>Urochloa</v>
      </c>
      <c r="I113" s="199" t="str">
        <f>'2.1. DM'!I113</f>
        <v>humidicola</v>
      </c>
      <c r="J113" s="199" t="str">
        <f>'2.1. DM'!J113</f>
        <v>Urochloa humidicola</v>
      </c>
      <c r="K113" s="199" t="str">
        <f>'2.1. DM'!K113</f>
        <v>Poaceae</v>
      </c>
      <c r="L113" s="199" t="str">
        <f>'2.1. DM'!L113</f>
        <v>Poales</v>
      </c>
      <c r="M113" s="199" t="str">
        <f>'2.1. DM'!M113</f>
        <v>grasses</v>
      </c>
      <c r="N113" s="310">
        <f>'2.1. DM'!P113</f>
        <v>94.831550534839621</v>
      </c>
      <c r="O113" s="341">
        <f t="shared" si="55"/>
        <v>94.841290164440437</v>
      </c>
      <c r="P113" s="18">
        <f>'2.1. DM'!R113</f>
        <v>9.4972324765296356</v>
      </c>
      <c r="Q113" s="341">
        <f t="shared" si="56"/>
        <v>9.5082490656305918</v>
      </c>
      <c r="R113" s="18">
        <f>'2.1. DM'!T113</f>
        <v>90.502767523470368</v>
      </c>
      <c r="S113" s="341">
        <f t="shared" si="56"/>
        <v>90.491750934369406</v>
      </c>
      <c r="T113" s="30">
        <f>TablePC[[#This Row],[Av DM 105]]</f>
        <v>8.0229961856412029</v>
      </c>
      <c r="U113" s="341">
        <f t="shared" ref="U113" si="62">AVERAGE(T113:T114)</f>
        <v>8.0243727363164616</v>
      </c>
      <c r="V113" s="30">
        <f>'2.3 ADF'!Q113</f>
        <v>32.561605963080488</v>
      </c>
      <c r="W113" s="341">
        <f t="shared" si="56"/>
        <v>33.134015860138412</v>
      </c>
      <c r="X113" s="30">
        <f>'2.4 NDF'!Q113</f>
        <v>67.494819401815647</v>
      </c>
      <c r="Y113" s="341">
        <f t="shared" si="56"/>
        <v>68.076064265696189</v>
      </c>
    </row>
    <row r="114" spans="2:25" x14ac:dyDescent="0.35">
      <c r="B114" s="19">
        <f t="shared" si="41"/>
        <v>104</v>
      </c>
      <c r="C114" s="199">
        <f>'2.1. DM'!C114</f>
        <v>46048</v>
      </c>
      <c r="D114" s="199" t="str">
        <f>'2.1. DM'!D114</f>
        <v>Genbank</v>
      </c>
      <c r="E114" s="200">
        <f>'2.1. DM'!E114</f>
        <v>28</v>
      </c>
      <c r="F114" s="199" t="str">
        <f>'2.1. DM'!F114</f>
        <v>F252184</v>
      </c>
      <c r="G114" s="199" t="str">
        <f>'2.1. DM'!G114</f>
        <v>CIAT-BH22_0303</v>
      </c>
      <c r="H114" s="199" t="str">
        <f>'2.1. DM'!H114</f>
        <v>Urochloa</v>
      </c>
      <c r="I114" s="199" t="str">
        <f>'2.1. DM'!I114</f>
        <v>humidicola</v>
      </c>
      <c r="J114" s="199" t="str">
        <f>'2.1. DM'!J114</f>
        <v>Urochloa humidicola</v>
      </c>
      <c r="K114" s="199" t="str">
        <f>'2.1. DM'!K114</f>
        <v>Poaceae</v>
      </c>
      <c r="L114" s="199" t="str">
        <f>'2.1. DM'!L114</f>
        <v>Poales</v>
      </c>
      <c r="M114" s="199" t="str">
        <f>'2.1. DM'!M114</f>
        <v>grasses</v>
      </c>
      <c r="N114" s="310">
        <f>'2.1. DM'!P114</f>
        <v>94.851029794041253</v>
      </c>
      <c r="O114" s="341"/>
      <c r="P114" s="18">
        <f>'2.1. DM'!R114</f>
        <v>9.519265654731548</v>
      </c>
      <c r="Q114" s="341"/>
      <c r="R114" s="18">
        <f>'2.1. DM'!T114</f>
        <v>90.480734345268445</v>
      </c>
      <c r="S114" s="341"/>
      <c r="T114" s="30">
        <f>TablePC[[#This Row],[Av DM 105]]</f>
        <v>8.0257492869917204</v>
      </c>
      <c r="U114" s="341"/>
      <c r="V114" s="30">
        <f>'2.3 ADF'!Q114</f>
        <v>33.706425757196335</v>
      </c>
      <c r="W114" s="341"/>
      <c r="X114" s="30">
        <f>'2.4 NDF'!Q114</f>
        <v>68.657309129576731</v>
      </c>
      <c r="Y114" s="341"/>
    </row>
    <row r="115" spans="2:25" x14ac:dyDescent="0.35">
      <c r="B115" s="19">
        <f t="shared" si="41"/>
        <v>105</v>
      </c>
      <c r="C115" s="199">
        <f>'2.1. DM'!C115</f>
        <v>46048</v>
      </c>
      <c r="D115" s="199" t="str">
        <f>'2.1. DM'!D115</f>
        <v>Genbank</v>
      </c>
      <c r="E115" s="200">
        <f>'2.1. DM'!E115</f>
        <v>28</v>
      </c>
      <c r="F115" s="199" t="str">
        <f>'2.1. DM'!F115</f>
        <v>F252185</v>
      </c>
      <c r="G115" s="199" t="str">
        <f>'2.1. DM'!G115</f>
        <v>CIAT-BH22_1594</v>
      </c>
      <c r="H115" s="199" t="str">
        <f>'2.1. DM'!H115</f>
        <v>Urochloa</v>
      </c>
      <c r="I115" s="199" t="str">
        <f>'2.1. DM'!I115</f>
        <v>humidicola</v>
      </c>
      <c r="J115" s="199" t="str">
        <f>'2.1. DM'!J115</f>
        <v>Urochloa humidicola</v>
      </c>
      <c r="K115" s="199" t="str">
        <f>'2.1. DM'!K115</f>
        <v>Poaceae</v>
      </c>
      <c r="L115" s="199" t="str">
        <f>'2.1. DM'!L115</f>
        <v>Poales</v>
      </c>
      <c r="M115" s="199" t="str">
        <f>'2.1. DM'!M115</f>
        <v>grasses</v>
      </c>
      <c r="N115" s="310">
        <f>'2.1. DM'!P115</f>
        <v>94.950000000000045</v>
      </c>
      <c r="O115" s="341">
        <f t="shared" si="55"/>
        <v>95.075959616153568</v>
      </c>
      <c r="P115" s="18">
        <f>'2.1. DM'!R115</f>
        <v>11.727465118433098</v>
      </c>
      <c r="Q115" s="341">
        <f t="shared" si="56"/>
        <v>11.588442457308311</v>
      </c>
      <c r="R115" s="18">
        <f>'2.1. DM'!T115</f>
        <v>88.272534881566898</v>
      </c>
      <c r="S115" s="341">
        <f t="shared" si="56"/>
        <v>88.411557542691696</v>
      </c>
      <c r="T115" s="30">
        <f>TablePC[[#This Row],[Av DM 105]]</f>
        <v>8.0474660562403315</v>
      </c>
      <c r="U115" s="341">
        <f t="shared" ref="U115" si="63">AVERAGE(T115:T116)</f>
        <v>7.956214446940522</v>
      </c>
      <c r="V115" s="30">
        <f>'2.3 ADF'!Q115</f>
        <v>34.124477797431481</v>
      </c>
      <c r="W115" s="341">
        <f t="shared" si="56"/>
        <v>34.078557191895065</v>
      </c>
      <c r="X115" s="30">
        <f>'2.4 NDF'!Q115</f>
        <v>68.458326715153518</v>
      </c>
      <c r="Y115" s="341">
        <f t="shared" si="56"/>
        <v>68.315501691417495</v>
      </c>
    </row>
    <row r="116" spans="2:25" x14ac:dyDescent="0.35">
      <c r="B116" s="19">
        <f t="shared" si="41"/>
        <v>106</v>
      </c>
      <c r="C116" s="199">
        <f>'2.1. DM'!C116</f>
        <v>46048</v>
      </c>
      <c r="D116" s="199" t="str">
        <f>'2.1. DM'!D116</f>
        <v>Genbank</v>
      </c>
      <c r="E116" s="200">
        <f>'2.1. DM'!E116</f>
        <v>28</v>
      </c>
      <c r="F116" s="199" t="str">
        <f>'2.1. DM'!F116</f>
        <v>F252185</v>
      </c>
      <c r="G116" s="199" t="str">
        <f>'2.1. DM'!G116</f>
        <v>CIAT-BH22_1594</v>
      </c>
      <c r="H116" s="199" t="str">
        <f>'2.1. DM'!H116</f>
        <v>Urochloa</v>
      </c>
      <c r="I116" s="199" t="str">
        <f>'2.1. DM'!I116</f>
        <v>humidicola</v>
      </c>
      <c r="J116" s="199" t="str">
        <f>'2.1. DM'!J116</f>
        <v>Urochloa humidicola</v>
      </c>
      <c r="K116" s="199" t="str">
        <f>'2.1. DM'!K116</f>
        <v>Poaceae</v>
      </c>
      <c r="L116" s="199" t="str">
        <f>'2.1. DM'!L116</f>
        <v>Poales</v>
      </c>
      <c r="M116" s="199" t="str">
        <f>'2.1. DM'!M116</f>
        <v>grasses</v>
      </c>
      <c r="N116" s="310">
        <f>'2.1. DM'!P116</f>
        <v>95.201919232307077</v>
      </c>
      <c r="O116" s="341"/>
      <c r="P116" s="18">
        <f>'2.1. DM'!R116</f>
        <v>11.449419796183525</v>
      </c>
      <c r="Q116" s="341"/>
      <c r="R116" s="18">
        <f>'2.1. DM'!T116</f>
        <v>88.55058020381648</v>
      </c>
      <c r="S116" s="341"/>
      <c r="T116" s="30">
        <f>TablePC[[#This Row],[Av DM 105]]</f>
        <v>7.8649628376407126</v>
      </c>
      <c r="U116" s="341"/>
      <c r="V116" s="30">
        <f>'2.3 ADF'!Q116</f>
        <v>34.032636586358649</v>
      </c>
      <c r="W116" s="341"/>
      <c r="X116" s="30">
        <f>'2.4 NDF'!Q116</f>
        <v>68.172676667681458</v>
      </c>
      <c r="Y116" s="341"/>
    </row>
    <row r="117" spans="2:25" x14ac:dyDescent="0.35">
      <c r="B117" s="19">
        <f t="shared" si="41"/>
        <v>107</v>
      </c>
      <c r="C117" s="199">
        <f>'2.1. DM'!C117</f>
        <v>46048</v>
      </c>
      <c r="D117" s="199" t="str">
        <f>'2.1. DM'!D117</f>
        <v>Genbank</v>
      </c>
      <c r="E117" s="200">
        <f>'2.1. DM'!E117</f>
        <v>28</v>
      </c>
      <c r="F117" s="199" t="str">
        <f>'2.1. DM'!F117</f>
        <v>F252186</v>
      </c>
      <c r="G117" s="199" t="str">
        <f>'2.1. DM'!G117</f>
        <v>CIAT-BH22_0468</v>
      </c>
      <c r="H117" s="199" t="str">
        <f>'2.1. DM'!H117</f>
        <v>Urochloa</v>
      </c>
      <c r="I117" s="199" t="str">
        <f>'2.1. DM'!I117</f>
        <v>humidicola</v>
      </c>
      <c r="J117" s="199" t="str">
        <f>'2.1. DM'!J117</f>
        <v>Urochloa humidicola</v>
      </c>
      <c r="K117" s="199" t="str">
        <f>'2.1. DM'!K117</f>
        <v>Poaceae</v>
      </c>
      <c r="L117" s="199" t="str">
        <f>'2.1. DM'!L117</f>
        <v>Poales</v>
      </c>
      <c r="M117" s="199" t="str">
        <f>'2.1. DM'!M117</f>
        <v>grasses</v>
      </c>
      <c r="N117" s="310">
        <f>'2.1. DM'!P117</f>
        <v>95.970805838832163</v>
      </c>
      <c r="O117" s="341">
        <f t="shared" si="55"/>
        <v>96.020599399768003</v>
      </c>
      <c r="P117" s="18">
        <f>'2.1. DM'!R117</f>
        <v>10.693482934811497</v>
      </c>
      <c r="Q117" s="341">
        <f t="shared" si="56"/>
        <v>10.673190774237739</v>
      </c>
      <c r="R117" s="18">
        <f>'2.1. DM'!T117</f>
        <v>89.306517065188501</v>
      </c>
      <c r="S117" s="341">
        <f t="shared" si="56"/>
        <v>89.326809225762261</v>
      </c>
      <c r="T117" s="30">
        <f>TablePC[[#This Row],[Av DM 105]]</f>
        <v>9.5768284222095428</v>
      </c>
      <c r="U117" s="341">
        <f t="shared" ref="U117" si="64">AVERAGE(T117:T118)</f>
        <v>9.5938843043388999</v>
      </c>
      <c r="V117" s="30">
        <f>'2.3 ADF'!Q117</f>
        <v>33.959598757120148</v>
      </c>
      <c r="W117" s="341">
        <f t="shared" si="56"/>
        <v>33.181715528197131</v>
      </c>
      <c r="X117" s="30">
        <f>'2.4 NDF'!Q117</f>
        <v>68.808187378370732</v>
      </c>
      <c r="Y117" s="341">
        <f t="shared" si="56"/>
        <v>67.843242890261195</v>
      </c>
    </row>
    <row r="118" spans="2:25" x14ac:dyDescent="0.35">
      <c r="B118" s="19">
        <f t="shared" si="41"/>
        <v>108</v>
      </c>
      <c r="C118" s="199">
        <f>'2.1. DM'!C118</f>
        <v>46048</v>
      </c>
      <c r="D118" s="199" t="str">
        <f>'2.1. DM'!D118</f>
        <v>Genbank</v>
      </c>
      <c r="E118" s="200">
        <f>'2.1. DM'!E118</f>
        <v>28</v>
      </c>
      <c r="F118" s="199" t="str">
        <f>'2.1. DM'!F118</f>
        <v>F252186</v>
      </c>
      <c r="G118" s="199" t="str">
        <f>'2.1. DM'!G118</f>
        <v>CIAT-BH22_0468</v>
      </c>
      <c r="H118" s="199" t="str">
        <f>'2.1. DM'!H118</f>
        <v>Urochloa</v>
      </c>
      <c r="I118" s="199" t="str">
        <f>'2.1. DM'!I118</f>
        <v>humidicola</v>
      </c>
      <c r="J118" s="199" t="str">
        <f>'2.1. DM'!J118</f>
        <v>Urochloa humidicola</v>
      </c>
      <c r="K118" s="199" t="str">
        <f>'2.1. DM'!K118</f>
        <v>Poaceae</v>
      </c>
      <c r="L118" s="199" t="str">
        <f>'2.1. DM'!L118</f>
        <v>Poales</v>
      </c>
      <c r="M118" s="199" t="str">
        <f>'2.1. DM'!M118</f>
        <v>grasses</v>
      </c>
      <c r="N118" s="310">
        <f>'2.1. DM'!P118</f>
        <v>96.070392960703828</v>
      </c>
      <c r="O118" s="341"/>
      <c r="P118" s="18">
        <f>'2.1. DM'!R118</f>
        <v>10.652898613663982</v>
      </c>
      <c r="Q118" s="341"/>
      <c r="R118" s="18">
        <f>'2.1. DM'!T118</f>
        <v>89.347101386336021</v>
      </c>
      <c r="S118" s="341"/>
      <c r="T118" s="30">
        <f>TablePC[[#This Row],[Av DM 105]]</f>
        <v>9.6109401864682553</v>
      </c>
      <c r="U118" s="341"/>
      <c r="V118" s="30">
        <f>'2.3 ADF'!Q118</f>
        <v>32.403832299274107</v>
      </c>
      <c r="W118" s="341"/>
      <c r="X118" s="30">
        <f>'2.4 NDF'!Q118</f>
        <v>66.878298402151657</v>
      </c>
      <c r="Y118" s="341"/>
    </row>
    <row r="119" spans="2:25" x14ac:dyDescent="0.35">
      <c r="B119" s="19">
        <f t="shared" si="41"/>
        <v>109</v>
      </c>
      <c r="C119" s="199">
        <f>'2.1. DM'!C119</f>
        <v>46048</v>
      </c>
      <c r="D119" s="199" t="str">
        <f>'2.1. DM'!D119</f>
        <v>Genbank</v>
      </c>
      <c r="E119" s="200">
        <f>'2.1. DM'!E119</f>
        <v>28</v>
      </c>
      <c r="F119" s="199" t="str">
        <f>'2.1. DM'!F119</f>
        <v>F252187</v>
      </c>
      <c r="G119" s="199" t="str">
        <f>'2.1. DM'!G119</f>
        <v>CIAT-BH22_3830</v>
      </c>
      <c r="H119" s="199" t="str">
        <f>'2.1. DM'!H119</f>
        <v>Urochloa</v>
      </c>
      <c r="I119" s="199" t="str">
        <f>'2.1. DM'!I119</f>
        <v>humidicola</v>
      </c>
      <c r="J119" s="199" t="str">
        <f>'2.1. DM'!J119</f>
        <v>Urochloa humidicola</v>
      </c>
      <c r="K119" s="199" t="str">
        <f>'2.1. DM'!K119</f>
        <v>Poaceae</v>
      </c>
      <c r="L119" s="199" t="str">
        <f>'2.1. DM'!L119</f>
        <v>Poales</v>
      </c>
      <c r="M119" s="199" t="str">
        <f>'2.1. DM'!M119</f>
        <v>grasses</v>
      </c>
      <c r="N119" s="310">
        <f>'2.1. DM'!P119</f>
        <v>95.840415958404051</v>
      </c>
      <c r="O119" s="341">
        <f t="shared" si="55"/>
        <v>95.960403959604008</v>
      </c>
      <c r="P119" s="18">
        <f>'2.1. DM'!R119</f>
        <v>10.25320412628945</v>
      </c>
      <c r="Q119" s="341">
        <f t="shared" si="56"/>
        <v>10.190684588934079</v>
      </c>
      <c r="R119" s="18">
        <f>'2.1. DM'!T119</f>
        <v>89.746795873710553</v>
      </c>
      <c r="S119" s="341">
        <f t="shared" si="56"/>
        <v>89.809315411065924</v>
      </c>
      <c r="T119" s="30">
        <f>TablePC[[#This Row],[Av DM 105]]</f>
        <v>8.1087803447301283</v>
      </c>
      <c r="U119" s="341">
        <f t="shared" ref="U119" si="65">AVERAGE(T119:T120)</f>
        <v>8.0395675459505505</v>
      </c>
      <c r="V119" s="30">
        <f>'2.3 ADF'!Q119</f>
        <v>32.617685081512136</v>
      </c>
      <c r="W119" s="341">
        <f t="shared" si="56"/>
        <v>32.624245492797797</v>
      </c>
      <c r="X119" s="30">
        <f>'2.4 NDF'!Q119</f>
        <v>67.685964629115219</v>
      </c>
      <c r="Y119" s="341">
        <f t="shared" si="56"/>
        <v>67.428382820480209</v>
      </c>
    </row>
    <row r="120" spans="2:25" x14ac:dyDescent="0.35">
      <c r="B120" s="19">
        <f t="shared" si="41"/>
        <v>110</v>
      </c>
      <c r="C120" s="199">
        <f>'2.1. DM'!C120</f>
        <v>46048</v>
      </c>
      <c r="D120" s="199" t="str">
        <f>'2.1. DM'!D120</f>
        <v>Genbank</v>
      </c>
      <c r="E120" s="200">
        <f>'2.1. DM'!E120</f>
        <v>28</v>
      </c>
      <c r="F120" s="199" t="str">
        <f>'2.1. DM'!F120</f>
        <v>F252187</v>
      </c>
      <c r="G120" s="199" t="str">
        <f>'2.1. DM'!G120</f>
        <v>CIAT-BH22_3830</v>
      </c>
      <c r="H120" s="199" t="str">
        <f>'2.1. DM'!H120</f>
        <v>Urochloa</v>
      </c>
      <c r="I120" s="199" t="str">
        <f>'2.1. DM'!I120</f>
        <v>humidicola</v>
      </c>
      <c r="J120" s="199" t="str">
        <f>'2.1. DM'!J120</f>
        <v>Urochloa humidicola</v>
      </c>
      <c r="K120" s="199" t="str">
        <f>'2.1. DM'!K120</f>
        <v>Poaceae</v>
      </c>
      <c r="L120" s="199" t="str">
        <f>'2.1. DM'!L120</f>
        <v>Poales</v>
      </c>
      <c r="M120" s="199" t="str">
        <f>'2.1. DM'!M120</f>
        <v>grasses</v>
      </c>
      <c r="N120" s="310">
        <f>'2.1. DM'!P120</f>
        <v>96.080391960803979</v>
      </c>
      <c r="O120" s="341"/>
      <c r="P120" s="18">
        <f>'2.1. DM'!R120</f>
        <v>10.12816505157871</v>
      </c>
      <c r="Q120" s="341"/>
      <c r="R120" s="18">
        <f>'2.1. DM'!T120</f>
        <v>89.871834948421295</v>
      </c>
      <c r="S120" s="341"/>
      <c r="T120" s="30">
        <f>TablePC[[#This Row],[Av DM 105]]</f>
        <v>7.9703547471709726</v>
      </c>
      <c r="U120" s="341"/>
      <c r="V120" s="30">
        <f>'2.3 ADF'!Q120</f>
        <v>32.630805904083452</v>
      </c>
      <c r="W120" s="341"/>
      <c r="X120" s="30">
        <f>'2.4 NDF'!Q120</f>
        <v>67.170801011845199</v>
      </c>
      <c r="Y120" s="341"/>
    </row>
    <row r="121" spans="2:25" x14ac:dyDescent="0.35">
      <c r="B121" s="19">
        <f t="shared" si="41"/>
        <v>111</v>
      </c>
      <c r="C121" s="199">
        <f>'2.1. DM'!C121</f>
        <v>46048</v>
      </c>
      <c r="D121" s="199" t="str">
        <f>'2.1. DM'!D121</f>
        <v>Genbank</v>
      </c>
      <c r="E121" s="200">
        <f>'2.1. DM'!E121</f>
        <v>28</v>
      </c>
      <c r="F121" s="199" t="str">
        <f>'2.1. DM'!F121</f>
        <v>F252188</v>
      </c>
      <c r="G121" s="199" t="str">
        <f>'2.1. DM'!G121</f>
        <v>CIAT-BH22_1710</v>
      </c>
      <c r="H121" s="199" t="str">
        <f>'2.1. DM'!H121</f>
        <v>Urochloa</v>
      </c>
      <c r="I121" s="199" t="str">
        <f>'2.1. DM'!I121</f>
        <v>humidicola</v>
      </c>
      <c r="J121" s="199" t="str">
        <f>'2.1. DM'!J121</f>
        <v>Urochloa humidicola</v>
      </c>
      <c r="K121" s="199" t="str">
        <f>'2.1. DM'!K121</f>
        <v>Poaceae</v>
      </c>
      <c r="L121" s="199" t="str">
        <f>'2.1. DM'!L121</f>
        <v>Poales</v>
      </c>
      <c r="M121" s="199" t="str">
        <f>'2.1. DM'!M121</f>
        <v>grasses</v>
      </c>
      <c r="N121" s="310">
        <f>'2.1. DM'!P121</f>
        <v>97.230276972302804</v>
      </c>
      <c r="O121" s="341">
        <f t="shared" si="55"/>
        <v>97.27027297270277</v>
      </c>
      <c r="P121" s="18">
        <f>'2.1. DM'!R121</f>
        <v>9.7656250000000622</v>
      </c>
      <c r="Q121" s="341">
        <f t="shared" si="56"/>
        <v>9.9403782894737045</v>
      </c>
      <c r="R121" s="18">
        <f>'2.1. DM'!T121</f>
        <v>90.234374999999943</v>
      </c>
      <c r="S121" s="341">
        <f t="shared" si="56"/>
        <v>90.059621710526301</v>
      </c>
      <c r="T121" s="30">
        <f>TablePC[[#This Row],[Av DM 105]]</f>
        <v>7.6003872158442771</v>
      </c>
      <c r="U121" s="341">
        <f t="shared" ref="U121" si="66">AVERAGE(T121:T122)</f>
        <v>7.5583491812288406</v>
      </c>
      <c r="V121" s="30">
        <f>'2.3 ADF'!Q121</f>
        <v>34.968255876968591</v>
      </c>
      <c r="W121" s="341">
        <f t="shared" si="56"/>
        <v>35.297170357230435</v>
      </c>
      <c r="X121" s="30">
        <f>'2.4 NDF'!Q121</f>
        <v>68.887836883293801</v>
      </c>
      <c r="Y121" s="341">
        <f t="shared" si="56"/>
        <v>69.391487181194748</v>
      </c>
    </row>
    <row r="122" spans="2:25" x14ac:dyDescent="0.35">
      <c r="B122" s="19">
        <f t="shared" si="41"/>
        <v>112</v>
      </c>
      <c r="C122" s="199">
        <f>'2.1. DM'!C122</f>
        <v>46048</v>
      </c>
      <c r="D122" s="199" t="str">
        <f>'2.1. DM'!D122</f>
        <v>Genbank</v>
      </c>
      <c r="E122" s="200">
        <f>'2.1. DM'!E122</f>
        <v>28</v>
      </c>
      <c r="F122" s="199" t="str">
        <f>'2.1. DM'!F122</f>
        <v>F252188</v>
      </c>
      <c r="G122" s="199" t="str">
        <f>'2.1. DM'!G122</f>
        <v>CIAT-BH22_1710</v>
      </c>
      <c r="H122" s="199" t="str">
        <f>'2.1. DM'!H122</f>
        <v>Urochloa</v>
      </c>
      <c r="I122" s="199" t="str">
        <f>'2.1. DM'!I122</f>
        <v>humidicola</v>
      </c>
      <c r="J122" s="199" t="str">
        <f>'2.1. DM'!J122</f>
        <v>Urochloa humidicola</v>
      </c>
      <c r="K122" s="199" t="str">
        <f>'2.1. DM'!K122</f>
        <v>Poaceae</v>
      </c>
      <c r="L122" s="199" t="str">
        <f>'2.1. DM'!L122</f>
        <v>Poales</v>
      </c>
      <c r="M122" s="199" t="str">
        <f>'2.1. DM'!M122</f>
        <v>grasses</v>
      </c>
      <c r="N122" s="310">
        <f>'2.1. DM'!P122</f>
        <v>97.310268973102723</v>
      </c>
      <c r="O122" s="341"/>
      <c r="P122" s="18">
        <f>'2.1. DM'!R122</f>
        <v>10.115131578947347</v>
      </c>
      <c r="Q122" s="341"/>
      <c r="R122" s="18">
        <f>'2.1. DM'!T122</f>
        <v>89.884868421052659</v>
      </c>
      <c r="S122" s="341"/>
      <c r="T122" s="30">
        <f>TablePC[[#This Row],[Av DM 105]]</f>
        <v>7.516311146613404</v>
      </c>
      <c r="U122" s="341"/>
      <c r="V122" s="30">
        <f>'2.3 ADF'!Q122</f>
        <v>35.626084837492279</v>
      </c>
      <c r="W122" s="341"/>
      <c r="X122" s="30">
        <f>'2.4 NDF'!Q122</f>
        <v>69.895137479095695</v>
      </c>
      <c r="Y122" s="341"/>
    </row>
    <row r="123" spans="2:25" x14ac:dyDescent="0.35">
      <c r="B123" s="19">
        <f t="shared" si="41"/>
        <v>113</v>
      </c>
      <c r="C123" s="199">
        <f>'2.1. DM'!C123</f>
        <v>46048</v>
      </c>
      <c r="D123" s="199" t="str">
        <f>'2.1. DM'!D123</f>
        <v>Genbank</v>
      </c>
      <c r="E123" s="200">
        <f>'2.1. DM'!E123</f>
        <v>28</v>
      </c>
      <c r="F123" s="199" t="str">
        <f>'2.1. DM'!F123</f>
        <v>F252189</v>
      </c>
      <c r="G123" s="199" t="str">
        <f>'2.1. DM'!G123</f>
        <v>CIAT-BH22_2365</v>
      </c>
      <c r="H123" s="199" t="str">
        <f>'2.1. DM'!H123</f>
        <v>Urochloa</v>
      </c>
      <c r="I123" s="199" t="str">
        <f>'2.1. DM'!I123</f>
        <v>humidicola</v>
      </c>
      <c r="J123" s="199" t="str">
        <f>'2.1. DM'!J123</f>
        <v>Urochloa humidicola</v>
      </c>
      <c r="K123" s="199" t="str">
        <f>'2.1. DM'!K123</f>
        <v>Poaceae</v>
      </c>
      <c r="L123" s="199" t="str">
        <f>'2.1. DM'!L123</f>
        <v>Poales</v>
      </c>
      <c r="M123" s="199" t="str">
        <f>'2.1. DM'!M123</f>
        <v>grasses</v>
      </c>
      <c r="N123" s="310">
        <f>'2.1. DM'!P123</f>
        <v>97.060000000000016</v>
      </c>
      <c r="O123" s="341">
        <f t="shared" si="55"/>
        <v>97.099999999999966</v>
      </c>
      <c r="P123" s="18">
        <f>'2.1. DM'!R123</f>
        <v>12.626158599382112</v>
      </c>
      <c r="Q123" s="341">
        <f t="shared" si="56"/>
        <v>12.342945417095738</v>
      </c>
      <c r="R123" s="18">
        <f>'2.1. DM'!T123</f>
        <v>87.373841400617891</v>
      </c>
      <c r="S123" s="341">
        <f t="shared" si="56"/>
        <v>87.657054582904266</v>
      </c>
      <c r="T123" s="30">
        <f>TablePC[[#This Row],[Av DM 105]]</f>
        <v>10.017195066781124</v>
      </c>
      <c r="U123" s="341">
        <f t="shared" ref="U123" si="67">AVERAGE(T123:T124)</f>
        <v>9.9837827915039128</v>
      </c>
      <c r="V123" s="30">
        <f>'2.3 ADF'!Q123</f>
        <v>31.845743086172039</v>
      </c>
      <c r="W123" s="341">
        <f t="shared" si="56"/>
        <v>31.982736589249733</v>
      </c>
      <c r="X123" s="30">
        <f>'2.4 NDF'!Q123</f>
        <v>63.483349179704504</v>
      </c>
      <c r="Y123" s="341">
        <f t="shared" si="56"/>
        <v>64.138362555831151</v>
      </c>
    </row>
    <row r="124" spans="2:25" x14ac:dyDescent="0.35">
      <c r="B124" s="19">
        <f t="shared" si="41"/>
        <v>114</v>
      </c>
      <c r="C124" s="199">
        <f>'2.1. DM'!C124</f>
        <v>46048</v>
      </c>
      <c r="D124" s="199" t="str">
        <f>'2.1. DM'!D124</f>
        <v>Genbank</v>
      </c>
      <c r="E124" s="200">
        <f>'2.1. DM'!E124</f>
        <v>28</v>
      </c>
      <c r="F124" s="199" t="str">
        <f>'2.1. DM'!F124</f>
        <v>F252189</v>
      </c>
      <c r="G124" s="199" t="str">
        <f>'2.1. DM'!G124</f>
        <v>CIAT-BH22_2365</v>
      </c>
      <c r="H124" s="199" t="str">
        <f>'2.1. DM'!H124</f>
        <v>Urochloa</v>
      </c>
      <c r="I124" s="199" t="str">
        <f>'2.1. DM'!I124</f>
        <v>humidicola</v>
      </c>
      <c r="J124" s="199" t="str">
        <f>'2.1. DM'!J124</f>
        <v>Urochloa humidicola</v>
      </c>
      <c r="K124" s="199" t="str">
        <f>'2.1. DM'!K124</f>
        <v>Poaceae</v>
      </c>
      <c r="L124" s="199" t="str">
        <f>'2.1. DM'!L124</f>
        <v>Poales</v>
      </c>
      <c r="M124" s="199" t="str">
        <f>'2.1. DM'!M124</f>
        <v>grasses</v>
      </c>
      <c r="N124" s="310">
        <f>'2.1. DM'!P124</f>
        <v>97.139999999999915</v>
      </c>
      <c r="O124" s="341"/>
      <c r="P124" s="18">
        <f>'2.1. DM'!R124</f>
        <v>12.059732234809363</v>
      </c>
      <c r="Q124" s="341"/>
      <c r="R124" s="18">
        <f>'2.1. DM'!T124</f>
        <v>87.94026776519064</v>
      </c>
      <c r="S124" s="341"/>
      <c r="T124" s="30">
        <f>TablePC[[#This Row],[Av DM 105]]</f>
        <v>9.9503705162267018</v>
      </c>
      <c r="U124" s="341"/>
      <c r="V124" s="30">
        <f>'2.3 ADF'!Q124</f>
        <v>32.119730092327423</v>
      </c>
      <c r="W124" s="341"/>
      <c r="X124" s="30">
        <f>'2.4 NDF'!Q124</f>
        <v>64.793375931957812</v>
      </c>
      <c r="Y124" s="341"/>
    </row>
    <row r="125" spans="2:25" x14ac:dyDescent="0.35">
      <c r="B125" s="19">
        <f t="shared" si="41"/>
        <v>115</v>
      </c>
      <c r="C125" s="199">
        <f>'2.1. DM'!C125</f>
        <v>46048</v>
      </c>
      <c r="D125" s="199" t="str">
        <f>'2.1. DM'!D125</f>
        <v>Genbank</v>
      </c>
      <c r="E125" s="200">
        <f>'2.1. DM'!E125</f>
        <v>28</v>
      </c>
      <c r="F125" s="199" t="str">
        <f>'2.1. DM'!F125</f>
        <v>F252190</v>
      </c>
      <c r="G125" s="199" t="str">
        <f>'2.1. DM'!G125</f>
        <v>CIAT-BH22_3572</v>
      </c>
      <c r="H125" s="199" t="str">
        <f>'2.1. DM'!H125</f>
        <v>Urochloa</v>
      </c>
      <c r="I125" s="199" t="str">
        <f>'2.1. DM'!I125</f>
        <v>humidicola</v>
      </c>
      <c r="J125" s="199" t="str">
        <f>'2.1. DM'!J125</f>
        <v>Urochloa humidicola</v>
      </c>
      <c r="K125" s="199" t="str">
        <f>'2.1. DM'!K125</f>
        <v>Poaceae</v>
      </c>
      <c r="L125" s="199" t="str">
        <f>'2.1. DM'!L125</f>
        <v>Poales</v>
      </c>
      <c r="M125" s="199" t="str">
        <f>'2.1. DM'!M125</f>
        <v>grasses</v>
      </c>
      <c r="N125" s="310">
        <f>'2.1. DM'!P125</f>
        <v>96.440355964403494</v>
      </c>
      <c r="O125" s="341">
        <f t="shared" si="55"/>
        <v>96.500349965003466</v>
      </c>
      <c r="P125" s="18">
        <f>'2.1. DM'!R125</f>
        <v>9.853901150139837</v>
      </c>
      <c r="Q125" s="341">
        <f t="shared" si="56"/>
        <v>10.0404103201741</v>
      </c>
      <c r="R125" s="18">
        <f>'2.1. DM'!T125</f>
        <v>90.146098849860167</v>
      </c>
      <c r="S125" s="341">
        <f t="shared" si="56"/>
        <v>89.95958967982591</v>
      </c>
      <c r="T125" s="30">
        <f>TablePC[[#This Row],[Av DM 105]]</f>
        <v>7.9704717617286525</v>
      </c>
      <c r="U125" s="341">
        <f t="shared" ref="U125" si="68">AVERAGE(T125:T126)</f>
        <v>7.9759318357459463</v>
      </c>
      <c r="V125" s="30">
        <f>'2.3 ADF'!Q125</f>
        <v>33.064911661588695</v>
      </c>
      <c r="W125" s="341">
        <f t="shared" si="56"/>
        <v>32.767336426059344</v>
      </c>
      <c r="X125" s="30">
        <f>'2.4 NDF'!Q125</f>
        <v>68.807471706812066</v>
      </c>
      <c r="Y125" s="341">
        <f t="shared" si="56"/>
        <v>68.192520884265519</v>
      </c>
    </row>
    <row r="126" spans="2:25" x14ac:dyDescent="0.35">
      <c r="B126" s="19">
        <f t="shared" si="41"/>
        <v>116</v>
      </c>
      <c r="C126" s="199">
        <f>'2.1. DM'!C126</f>
        <v>46048</v>
      </c>
      <c r="D126" s="199" t="str">
        <f>'2.1. DM'!D126</f>
        <v>Genbank</v>
      </c>
      <c r="E126" s="200">
        <f>'2.1. DM'!E126</f>
        <v>28</v>
      </c>
      <c r="F126" s="199" t="str">
        <f>'2.1. DM'!F126</f>
        <v>F252190</v>
      </c>
      <c r="G126" s="199" t="str">
        <f>'2.1. DM'!G126</f>
        <v>CIAT-BH22_3572</v>
      </c>
      <c r="H126" s="199" t="str">
        <f>'2.1. DM'!H126</f>
        <v>Urochloa</v>
      </c>
      <c r="I126" s="199" t="str">
        <f>'2.1. DM'!I126</f>
        <v>humidicola</v>
      </c>
      <c r="J126" s="199" t="str">
        <f>'2.1. DM'!J126</f>
        <v>Urochloa humidicola</v>
      </c>
      <c r="K126" s="199" t="str">
        <f>'2.1. DM'!K126</f>
        <v>Poaceae</v>
      </c>
      <c r="L126" s="199" t="str">
        <f>'2.1. DM'!L126</f>
        <v>Poales</v>
      </c>
      <c r="M126" s="199" t="str">
        <f>'2.1. DM'!M126</f>
        <v>grasses</v>
      </c>
      <c r="N126" s="310">
        <f>'2.1. DM'!P126</f>
        <v>96.560343965603451</v>
      </c>
      <c r="O126" s="341"/>
      <c r="P126" s="18">
        <f>'2.1. DM'!R126</f>
        <v>10.226919490208365</v>
      </c>
      <c r="Q126" s="341"/>
      <c r="R126" s="18">
        <f>'2.1. DM'!T126</f>
        <v>89.77308050979164</v>
      </c>
      <c r="S126" s="341"/>
      <c r="T126" s="30">
        <f>TablePC[[#This Row],[Av DM 105]]</f>
        <v>7.9813919097632402</v>
      </c>
      <c r="U126" s="341"/>
      <c r="V126" s="30">
        <f>'2.3 ADF'!Q126</f>
        <v>32.469761190529994</v>
      </c>
      <c r="W126" s="341"/>
      <c r="X126" s="30">
        <f>'2.4 NDF'!Q126</f>
        <v>67.577570061718973</v>
      </c>
      <c r="Y126" s="341"/>
    </row>
    <row r="127" spans="2:25" x14ac:dyDescent="0.35">
      <c r="B127" s="19">
        <f t="shared" si="41"/>
        <v>117</v>
      </c>
      <c r="C127" s="199">
        <f>'2.1. DM'!C127</f>
        <v>46048</v>
      </c>
      <c r="D127" s="199" t="str">
        <f>'2.1. DM'!D127</f>
        <v>Genbank</v>
      </c>
      <c r="E127" s="200">
        <f>'2.1. DM'!E127</f>
        <v>28</v>
      </c>
      <c r="F127" s="199" t="str">
        <f>'2.1. DM'!F127</f>
        <v>F252191</v>
      </c>
      <c r="G127" s="199" t="str">
        <f>'2.1. DM'!G127</f>
        <v>CIAT-BH22_0517</v>
      </c>
      <c r="H127" s="199" t="str">
        <f>'2.1. DM'!H127</f>
        <v>Urochloa</v>
      </c>
      <c r="I127" s="199" t="str">
        <f>'2.1. DM'!I127</f>
        <v>humidicola</v>
      </c>
      <c r="J127" s="199" t="str">
        <f>'2.1. DM'!J127</f>
        <v>Urochloa humidicola</v>
      </c>
      <c r="K127" s="199" t="str">
        <f>'2.1. DM'!K127</f>
        <v>Poaceae</v>
      </c>
      <c r="L127" s="199" t="str">
        <f>'2.1. DM'!L127</f>
        <v>Poales</v>
      </c>
      <c r="M127" s="199" t="str">
        <f>'2.1. DM'!M127</f>
        <v>grasses</v>
      </c>
      <c r="N127" s="310">
        <f>'2.1. DM'!P127</f>
        <v>96.841263494602146</v>
      </c>
      <c r="O127" s="341">
        <f t="shared" si="55"/>
        <v>96.866719485884062</v>
      </c>
      <c r="P127" s="18">
        <f>'2.1. DM'!R127</f>
        <v>10.22646130429716</v>
      </c>
      <c r="Q127" s="341">
        <f t="shared" si="56"/>
        <v>10.26103525403385</v>
      </c>
      <c r="R127" s="18">
        <f>'2.1. DM'!T127</f>
        <v>89.77353869570284</v>
      </c>
      <c r="S127" s="341">
        <f t="shared" si="56"/>
        <v>89.738964745966143</v>
      </c>
      <c r="T127" s="30">
        <f>TablePC[[#This Row],[Av DM 105]]</f>
        <v>8.1673498535180489</v>
      </c>
      <c r="U127" s="341">
        <f t="shared" ref="U127" si="69">AVERAGE(T127:T128)</f>
        <v>8.2099390330563473</v>
      </c>
      <c r="V127" s="30">
        <f>'2.3 ADF'!Q127</f>
        <v>34.349403141707448</v>
      </c>
      <c r="W127" s="341">
        <f t="shared" si="56"/>
        <v>34.305607128281594</v>
      </c>
      <c r="X127" s="30">
        <f>'2.4 NDF'!Q127</f>
        <v>69.426823964038192</v>
      </c>
      <c r="Y127" s="341">
        <f t="shared" si="56"/>
        <v>69.455897999562865</v>
      </c>
    </row>
    <row r="128" spans="2:25" x14ac:dyDescent="0.35">
      <c r="B128" s="19">
        <f t="shared" si="41"/>
        <v>118</v>
      </c>
      <c r="C128" s="199">
        <f>'2.1. DM'!C128</f>
        <v>46048</v>
      </c>
      <c r="D128" s="199" t="str">
        <f>'2.1. DM'!D128</f>
        <v>Genbank</v>
      </c>
      <c r="E128" s="200">
        <f>'2.1. DM'!E128</f>
        <v>28</v>
      </c>
      <c r="F128" s="199" t="str">
        <f>'2.1. DM'!F128</f>
        <v>F252191</v>
      </c>
      <c r="G128" s="199" t="str">
        <f>'2.1. DM'!G128</f>
        <v>CIAT-BH22_0517</v>
      </c>
      <c r="H128" s="199" t="str">
        <f>'2.1. DM'!H128</f>
        <v>Urochloa</v>
      </c>
      <c r="I128" s="199" t="str">
        <f>'2.1. DM'!I128</f>
        <v>humidicola</v>
      </c>
      <c r="J128" s="199" t="str">
        <f>'2.1. DM'!J128</f>
        <v>Urochloa humidicola</v>
      </c>
      <c r="K128" s="199" t="str">
        <f>'2.1. DM'!K128</f>
        <v>Poaceae</v>
      </c>
      <c r="L128" s="199" t="str">
        <f>'2.1. DM'!L128</f>
        <v>Poales</v>
      </c>
      <c r="M128" s="199" t="str">
        <f>'2.1. DM'!M128</f>
        <v>grasses</v>
      </c>
      <c r="N128" s="310">
        <f>'2.1. DM'!P128</f>
        <v>96.892175477165978</v>
      </c>
      <c r="O128" s="341"/>
      <c r="P128" s="18">
        <f>'2.1. DM'!R128</f>
        <v>10.295609203770537</v>
      </c>
      <c r="Q128" s="341"/>
      <c r="R128" s="18">
        <f>'2.1. DM'!T128</f>
        <v>89.704390796229461</v>
      </c>
      <c r="S128" s="341"/>
      <c r="T128" s="30">
        <f>TablePC[[#This Row],[Av DM 105]]</f>
        <v>8.2525282125946475</v>
      </c>
      <c r="U128" s="341"/>
      <c r="V128" s="30">
        <f>'2.3 ADF'!Q128</f>
        <v>34.261811114855739</v>
      </c>
      <c r="W128" s="341"/>
      <c r="X128" s="30">
        <f>'2.4 NDF'!Q128</f>
        <v>69.484972035087537</v>
      </c>
      <c r="Y128" s="341"/>
    </row>
    <row r="129" spans="2:25" x14ac:dyDescent="0.35">
      <c r="B129" s="19">
        <f t="shared" si="41"/>
        <v>119</v>
      </c>
      <c r="C129" s="199">
        <f>'2.1. DM'!C129</f>
        <v>46048</v>
      </c>
      <c r="D129" s="199" t="str">
        <f>'2.1. DM'!D129</f>
        <v>Genbank</v>
      </c>
      <c r="E129" s="200">
        <f>'2.1. DM'!E129</f>
        <v>28</v>
      </c>
      <c r="F129" s="199" t="str">
        <f>'2.1. DM'!F129</f>
        <v>F252192</v>
      </c>
      <c r="G129" s="199" t="str">
        <f>'2.1. DM'!G129</f>
        <v>CIAT-BH22_0519</v>
      </c>
      <c r="H129" s="199" t="str">
        <f>'2.1. DM'!H129</f>
        <v>Urochloa</v>
      </c>
      <c r="I129" s="199" t="str">
        <f>'2.1. DM'!I129</f>
        <v>humidicola</v>
      </c>
      <c r="J129" s="199" t="str">
        <f>'2.1. DM'!J129</f>
        <v>Urochloa humidicola</v>
      </c>
      <c r="K129" s="199" t="str">
        <f>'2.1. DM'!K129</f>
        <v>Poaceae</v>
      </c>
      <c r="L129" s="199" t="str">
        <f>'2.1. DM'!L129</f>
        <v>Poales</v>
      </c>
      <c r="M129" s="199" t="str">
        <f>'2.1. DM'!M129</f>
        <v>grasses</v>
      </c>
      <c r="N129" s="310">
        <f>'2.1. DM'!P129</f>
        <v>97.680000000000078</v>
      </c>
      <c r="O129" s="341">
        <f t="shared" si="55"/>
        <v>97.655355393381996</v>
      </c>
      <c r="P129" s="18">
        <f>'2.1. DM'!R129</f>
        <v>11.141222062192577</v>
      </c>
      <c r="Q129" s="341">
        <f t="shared" si="56"/>
        <v>11.144669891437953</v>
      </c>
      <c r="R129" s="18">
        <f>'2.1. DM'!T129</f>
        <v>88.858777937807417</v>
      </c>
      <c r="S129" s="341">
        <f t="shared" si="56"/>
        <v>88.855330108562043</v>
      </c>
      <c r="T129" s="30">
        <f>TablePC[[#This Row],[Av DM 105]]</f>
        <v>9.3832551098585064</v>
      </c>
      <c r="U129" s="341">
        <f t="shared" ref="U129" si="70">AVERAGE(T129:T130)</f>
        <v>9.3605866828112365</v>
      </c>
      <c r="V129" s="30">
        <f>'2.3 ADF'!Q129</f>
        <v>31.767286849225052</v>
      </c>
      <c r="W129" s="341">
        <f t="shared" si="56"/>
        <v>31.684815204607752</v>
      </c>
      <c r="X129" s="30">
        <f>'2.4 NDF'!Q129</f>
        <v>64.614668113230607</v>
      </c>
      <c r="Y129" s="341">
        <f t="shared" si="56"/>
        <v>64.577274465920482</v>
      </c>
    </row>
    <row r="130" spans="2:25" x14ac:dyDescent="0.35">
      <c r="B130" s="19">
        <f t="shared" si="41"/>
        <v>120</v>
      </c>
      <c r="C130" s="199">
        <f>'2.1. DM'!C130</f>
        <v>46048</v>
      </c>
      <c r="D130" s="199" t="str">
        <f>'2.1. DM'!D130</f>
        <v>Genbank</v>
      </c>
      <c r="E130" s="200">
        <f>'2.1. DM'!E130</f>
        <v>28</v>
      </c>
      <c r="F130" s="199" t="str">
        <f>'2.1. DM'!F130</f>
        <v>F252192</v>
      </c>
      <c r="G130" s="199" t="str">
        <f>'2.1. DM'!G130</f>
        <v>CIAT-BH22_0519</v>
      </c>
      <c r="H130" s="199" t="str">
        <f>'2.1. DM'!H130</f>
        <v>Urochloa</v>
      </c>
      <c r="I130" s="199" t="str">
        <f>'2.1. DM'!I130</f>
        <v>humidicola</v>
      </c>
      <c r="J130" s="199" t="str">
        <f>'2.1. DM'!J130</f>
        <v>Urochloa humidicola</v>
      </c>
      <c r="K130" s="199" t="str">
        <f>'2.1. DM'!K130</f>
        <v>Poaceae</v>
      </c>
      <c r="L130" s="199" t="str">
        <f>'2.1. DM'!L130</f>
        <v>Poales</v>
      </c>
      <c r="M130" s="199" t="str">
        <f>'2.1. DM'!M130</f>
        <v>grasses</v>
      </c>
      <c r="N130" s="310">
        <f>'2.1. DM'!P130</f>
        <v>97.630710786763913</v>
      </c>
      <c r="O130" s="341"/>
      <c r="P130" s="18">
        <f>'2.1. DM'!R130</f>
        <v>11.148117720683331</v>
      </c>
      <c r="Q130" s="341"/>
      <c r="R130" s="18">
        <f>'2.1. DM'!T130</f>
        <v>88.851882279316669</v>
      </c>
      <c r="S130" s="341"/>
      <c r="T130" s="30">
        <f>TablePC[[#This Row],[Av DM 105]]</f>
        <v>9.3379182557639666</v>
      </c>
      <c r="U130" s="341"/>
      <c r="V130" s="30">
        <f>'2.3 ADF'!Q130</f>
        <v>31.602343559990448</v>
      </c>
      <c r="W130" s="341"/>
      <c r="X130" s="30">
        <f>'2.4 NDF'!Q130</f>
        <v>64.539880818610357</v>
      </c>
      <c r="Y130" s="341"/>
    </row>
    <row r="131" spans="2:25" x14ac:dyDescent="0.35">
      <c r="B131" s="19">
        <f t="shared" si="41"/>
        <v>121</v>
      </c>
      <c r="C131" s="199">
        <f>'2.1. DM'!C131</f>
        <v>46048</v>
      </c>
      <c r="D131" s="199" t="str">
        <f>'2.1. DM'!D131</f>
        <v>Genbank</v>
      </c>
      <c r="E131" s="200">
        <f>'2.1. DM'!E131</f>
        <v>28</v>
      </c>
      <c r="F131" s="199" t="str">
        <f>'2.1. DM'!F131</f>
        <v>F252193</v>
      </c>
      <c r="G131" s="199" t="str">
        <f>'2.1. DM'!G131</f>
        <v>CIAT-BH22_0521</v>
      </c>
      <c r="H131" s="199" t="str">
        <f>'2.1. DM'!H131</f>
        <v>Urochloa</v>
      </c>
      <c r="I131" s="199" t="str">
        <f>'2.1. DM'!I131</f>
        <v>humidicola</v>
      </c>
      <c r="J131" s="199" t="str">
        <f>'2.1. DM'!J131</f>
        <v>Urochloa humidicola</v>
      </c>
      <c r="K131" s="199" t="str">
        <f>'2.1. DM'!K131</f>
        <v>Poaceae</v>
      </c>
      <c r="L131" s="199" t="str">
        <f>'2.1. DM'!L131</f>
        <v>Poales</v>
      </c>
      <c r="M131" s="199" t="str">
        <f>'2.1. DM'!M131</f>
        <v>grasses</v>
      </c>
      <c r="N131" s="310">
        <f>'2.1. DM'!P131</f>
        <v>96.431070678796345</v>
      </c>
      <c r="O131" s="341">
        <f>AVERAGE(N131:N132)</f>
        <v>96.526548731362993</v>
      </c>
      <c r="P131" s="18">
        <f>'2.1. DM'!R131</f>
        <v>11.040281766180799</v>
      </c>
      <c r="Q131" s="341">
        <f>AVERAGE(P131:P132)</f>
        <v>10.992035373132349</v>
      </c>
      <c r="R131" s="18">
        <f>'2.1. DM'!T131</f>
        <v>88.959718233819203</v>
      </c>
      <c r="S131" s="341">
        <f>AVERAGE(R131:R132)</f>
        <v>89.007964626867647</v>
      </c>
      <c r="T131" s="30">
        <f>TablePC[[#This Row],[Av DM 105]]</f>
        <v>9.0028106702587074</v>
      </c>
      <c r="U131" s="341">
        <f>AVERAGE(T131:T132)</f>
        <v>9.0289474871743671</v>
      </c>
      <c r="V131" s="30">
        <f>'2.3 ADF'!Q131</f>
        <v>31.578380546816643</v>
      </c>
      <c r="W131" s="341">
        <f>AVERAGE(V131:V132)</f>
        <v>31.720348010110389</v>
      </c>
      <c r="X131" s="30">
        <f>'2.4 NDF'!Q131</f>
        <v>67.179525589833034</v>
      </c>
      <c r="Y131" s="341">
        <f>AVERAGE(X131:X132)</f>
        <v>66.876310343526541</v>
      </c>
    </row>
    <row r="132" spans="2:25" x14ac:dyDescent="0.35">
      <c r="B132" s="19">
        <f t="shared" si="41"/>
        <v>122</v>
      </c>
      <c r="C132" s="199">
        <f>'2.1. DM'!C132</f>
        <v>46048</v>
      </c>
      <c r="D132" s="199" t="str">
        <f>'2.1. DM'!D132</f>
        <v>Genbank</v>
      </c>
      <c r="E132" s="200">
        <f>'2.1. DM'!E132</f>
        <v>28</v>
      </c>
      <c r="F132" s="199" t="str">
        <f>'2.1. DM'!F132</f>
        <v>F252193</v>
      </c>
      <c r="G132" s="199" t="str">
        <f>'2.1. DM'!G132</f>
        <v>CIAT-BH22_0521</v>
      </c>
      <c r="H132" s="199" t="str">
        <f>'2.1. DM'!H132</f>
        <v>Urochloa</v>
      </c>
      <c r="I132" s="199" t="str">
        <f>'2.1. DM'!I132</f>
        <v>humidicola</v>
      </c>
      <c r="J132" s="199" t="str">
        <f>'2.1. DM'!J132</f>
        <v>Urochloa humidicola</v>
      </c>
      <c r="K132" s="199" t="str">
        <f>'2.1. DM'!K132</f>
        <v>Poaceae</v>
      </c>
      <c r="L132" s="199" t="str">
        <f>'2.1. DM'!L132</f>
        <v>Poales</v>
      </c>
      <c r="M132" s="199" t="str">
        <f>'2.1. DM'!M132</f>
        <v>grasses</v>
      </c>
      <c r="N132" s="310">
        <f>'2.1. DM'!P132</f>
        <v>96.622026783929655</v>
      </c>
      <c r="O132" s="341"/>
      <c r="P132" s="18">
        <f>'2.1. DM'!R132</f>
        <v>10.9437889800839</v>
      </c>
      <c r="Q132" s="341"/>
      <c r="R132" s="18">
        <f>'2.1. DM'!T132</f>
        <v>89.056211019916105</v>
      </c>
      <c r="S132" s="341"/>
      <c r="T132" s="30">
        <f>TablePC[[#This Row],[Av DM 105]]</f>
        <v>9.0550843040900286</v>
      </c>
      <c r="U132" s="341"/>
      <c r="V132" s="30">
        <f>'2.3 ADF'!Q132</f>
        <v>31.862315473404134</v>
      </c>
      <c r="W132" s="341"/>
      <c r="X132" s="30">
        <f>'2.4 NDF'!Q132</f>
        <v>66.573095097220047</v>
      </c>
      <c r="Y132" s="341"/>
    </row>
    <row r="133" spans="2:25" x14ac:dyDescent="0.35">
      <c r="B133" s="19">
        <f t="shared" si="41"/>
        <v>123</v>
      </c>
      <c r="C133" s="199">
        <f>'2.1. DM'!C133</f>
        <v>46048</v>
      </c>
      <c r="D133" s="199" t="str">
        <f>'2.1. DM'!D133</f>
        <v>Genbank</v>
      </c>
      <c r="E133" s="200">
        <f>'2.1. DM'!E133</f>
        <v>28</v>
      </c>
      <c r="F133" s="199" t="str">
        <f>'2.1. DM'!F133</f>
        <v>F252574</v>
      </c>
      <c r="G133" s="199" t="str">
        <f>'2.1. DM'!G133</f>
        <v>CIAT326</v>
      </c>
      <c r="H133" s="199" t="str">
        <f>'2.1. DM'!H133</f>
        <v>Desmodium</v>
      </c>
      <c r="I133" s="199" t="str">
        <f>'2.1. DM'!I133</f>
        <v>scorpiurus</v>
      </c>
      <c r="J133" s="199" t="str">
        <f>'2.1. DM'!J133</f>
        <v>Desmodium scorpiurus</v>
      </c>
      <c r="K133" s="199" t="str">
        <f>'2.1. DM'!K133</f>
        <v>Fabaceae</v>
      </c>
      <c r="L133" s="199" t="str">
        <f>'2.1. DM'!L133</f>
        <v>Fabales</v>
      </c>
      <c r="M133" s="199" t="str">
        <f>'2.1. DM'!M133</f>
        <v>Herbaceous</v>
      </c>
      <c r="N133" s="310">
        <f>'2.1. DM'!P133</f>
        <v>91.67249825052501</v>
      </c>
      <c r="O133" s="341">
        <f>AVERAGE(N135:N136)</f>
        <v>93.55</v>
      </c>
      <c r="P133" s="18">
        <f>'2.1. DM'!R133</f>
        <v>13.39088533997718</v>
      </c>
      <c r="Q133" s="341">
        <f>AVERAGE(P135:P136)</f>
        <v>11.4</v>
      </c>
      <c r="R133" s="18">
        <f>'2.1. DM'!T133</f>
        <v>86.609114660022826</v>
      </c>
      <c r="S133" s="341">
        <f>AVERAGE(R135:R136)</f>
        <v>88.6</v>
      </c>
      <c r="T133" s="30">
        <f>TablePC[[#This Row],[Av DM 105]]</f>
        <v>28.60156824647801</v>
      </c>
      <c r="U133" s="341">
        <f t="shared" ref="U133" si="71">AVERAGE(T133:T134)</f>
        <v>28.623722525353291</v>
      </c>
      <c r="V133" s="30">
        <f>'2.3 ADF'!Q133</f>
        <v>39.488482725543101</v>
      </c>
      <c r="W133" s="341">
        <f>AVERAGE(V135:V136)</f>
        <v>0</v>
      </c>
      <c r="X133" s="30">
        <f>'2.4 NDF'!Q133</f>
        <v>56.232303304986296</v>
      </c>
      <c r="Y133" s="341">
        <f>AVERAGE(X135:X136)</f>
        <v>76.099999999999994</v>
      </c>
    </row>
    <row r="134" spans="2:25" x14ac:dyDescent="0.35">
      <c r="B134" s="19">
        <f t="shared" si="41"/>
        <v>124</v>
      </c>
      <c r="C134" s="199">
        <f>'2.1. DM'!C134</f>
        <v>46048</v>
      </c>
      <c r="D134" s="199" t="str">
        <f>'2.1. DM'!D134</f>
        <v>Genbank</v>
      </c>
      <c r="E134" s="200">
        <f>'2.1. DM'!E134</f>
        <v>28</v>
      </c>
      <c r="F134" s="199" t="str">
        <f>'2.1. DM'!F134</f>
        <v>F252574</v>
      </c>
      <c r="G134" s="199" t="str">
        <f>'2.1. DM'!G134</f>
        <v>CIAT326</v>
      </c>
      <c r="H134" s="199" t="str">
        <f>'2.1. DM'!H134</f>
        <v>Desmodium</v>
      </c>
      <c r="I134" s="199" t="str">
        <f>'2.1. DM'!I134</f>
        <v>scorpiurus</v>
      </c>
      <c r="J134" s="199" t="str">
        <f>'2.1. DM'!J134</f>
        <v>Desmodium scorpiurus</v>
      </c>
      <c r="K134" s="199" t="str">
        <f>'2.1. DM'!K134</f>
        <v>Fabaceae</v>
      </c>
      <c r="L134" s="199" t="str">
        <f>'2.1. DM'!L134</f>
        <v>Fabales</v>
      </c>
      <c r="M134" s="199" t="str">
        <f>'2.1. DM'!M134</f>
        <v>Herbaceous</v>
      </c>
      <c r="N134" s="310">
        <f>'2.1. DM'!P134</f>
        <v>91.68083191680833</v>
      </c>
      <c r="O134" s="341"/>
      <c r="P134" s="18">
        <f>'2.1. DM'!R134</f>
        <v>12.957290830711621</v>
      </c>
      <c r="Q134" s="341"/>
      <c r="R134" s="18">
        <f>'2.1. DM'!T134</f>
        <v>87.042709169288372</v>
      </c>
      <c r="S134" s="341"/>
      <c r="T134" s="30">
        <f>TablePC[[#This Row],[Av DM 105]]</f>
        <v>28.645876804228571</v>
      </c>
      <c r="U134" s="341"/>
      <c r="V134" s="30">
        <f>'2.3 ADF'!Q134</f>
        <v>38.383941478958675</v>
      </c>
      <c r="W134" s="341"/>
      <c r="X134" s="30">
        <f>'2.4 NDF'!Q134</f>
        <v>55.078187757780853</v>
      </c>
      <c r="Y134" s="341"/>
    </row>
    <row r="135" spans="2:25" x14ac:dyDescent="0.35">
      <c r="B135" s="19">
        <f t="shared" si="41"/>
        <v>125</v>
      </c>
      <c r="C135" s="199">
        <f>'2.1. DM'!C135</f>
        <v>46048</v>
      </c>
      <c r="D135" s="199" t="str">
        <f>'2.1. DM'!D135</f>
        <v>Jacobo Arango/Alejandro Montoya</v>
      </c>
      <c r="E135" s="200">
        <f>'2.1. DM'!E135</f>
        <v>28</v>
      </c>
      <c r="F135" s="199" t="str">
        <f>'2.1. DM'!F135</f>
        <v>F250008</v>
      </c>
      <c r="G135" s="199" t="str">
        <f>'2.1. DM'!G135</f>
        <v>Sample 8</v>
      </c>
      <c r="H135" s="199" t="str">
        <f>'2.1. DM'!H135</f>
        <v>Cynodon</v>
      </c>
      <c r="I135" s="199" t="str">
        <f>'2.1. DM'!I135</f>
        <v xml:space="preserve"> nlemfuensis </v>
      </c>
      <c r="J135" s="199" t="str">
        <f>'2.1. DM'!J135</f>
        <v xml:space="preserve">Cynodon nlemfuensis </v>
      </c>
      <c r="K135" s="199" t="str">
        <f>'2.1. DM'!K135</f>
        <v>Poaceae</v>
      </c>
      <c r="L135" s="199" t="str">
        <f>'2.1. DM'!L135</f>
        <v>Poales</v>
      </c>
      <c r="M135" s="199" t="str">
        <f>'2.1. DM'!M135</f>
        <v>grasses</v>
      </c>
      <c r="N135" s="310">
        <f>'2.1. DM'!P135</f>
        <v>93.3</v>
      </c>
      <c r="O135" s="341">
        <f>AVERAGE(N135:N136)</f>
        <v>93.55</v>
      </c>
      <c r="P135" s="18">
        <f>'2.1. DM'!R135</f>
        <v>11.3</v>
      </c>
      <c r="Q135" s="341">
        <f>AVERAGE(P135:P136)</f>
        <v>11.4</v>
      </c>
      <c r="R135" s="18">
        <f>'2.1. DM'!T135</f>
        <v>88.7</v>
      </c>
      <c r="S135" s="341">
        <f>AVERAGE(R135:R136)</f>
        <v>88.6</v>
      </c>
      <c r="T135" s="30">
        <f>TablePC[[#This Row],[Av DM 105]]</f>
        <v>0</v>
      </c>
      <c r="U135" s="341">
        <f>AVERAGE(T135:T136)</f>
        <v>0</v>
      </c>
      <c r="V135" s="30">
        <f>'2.3 ADF'!Q135</f>
        <v>0</v>
      </c>
      <c r="W135" s="341">
        <f>AVERAGE(V135:V136)</f>
        <v>0</v>
      </c>
      <c r="X135" s="30">
        <f>'2.4 NDF'!Q135</f>
        <v>76.099999999999994</v>
      </c>
      <c r="Y135" s="341">
        <f>AVERAGE(X135:X136)</f>
        <v>76.099999999999994</v>
      </c>
    </row>
    <row r="136" spans="2:25" x14ac:dyDescent="0.35">
      <c r="B136" s="19">
        <f t="shared" si="41"/>
        <v>126</v>
      </c>
      <c r="C136" s="199">
        <f>'2.1. DM'!C136</f>
        <v>46048</v>
      </c>
      <c r="D136" s="199" t="str">
        <f>'2.1. DM'!D136</f>
        <v>Jacobo Arango/Alejandro Montoya</v>
      </c>
      <c r="E136" s="200">
        <f>'2.1. DM'!E136</f>
        <v>28</v>
      </c>
      <c r="F136" s="199" t="str">
        <f>'2.1. DM'!F136</f>
        <v>F250008</v>
      </c>
      <c r="G136" s="199" t="str">
        <f>'2.1. DM'!G136</f>
        <v>Sample 8</v>
      </c>
      <c r="H136" s="199" t="str">
        <f>'2.1. DM'!H136</f>
        <v>Cynodon</v>
      </c>
      <c r="I136" s="199" t="str">
        <f>'2.1. DM'!I136</f>
        <v xml:space="preserve"> nlemfuensis </v>
      </c>
      <c r="J136" s="199" t="str">
        <f>'2.1. DM'!J136</f>
        <v xml:space="preserve">Cynodon nlemfuensis </v>
      </c>
      <c r="K136" s="199" t="str">
        <f>'2.1. DM'!K136</f>
        <v>Poaceae</v>
      </c>
      <c r="L136" s="199" t="str">
        <f>'2.1. DM'!L136</f>
        <v>Poales</v>
      </c>
      <c r="M136" s="199" t="str">
        <f>'2.1. DM'!M136</f>
        <v>grasses</v>
      </c>
      <c r="N136" s="310">
        <f>'2.1. DM'!P136</f>
        <v>93.8</v>
      </c>
      <c r="O136" s="341"/>
      <c r="P136" s="18">
        <f>'2.1. DM'!R136</f>
        <v>11.5</v>
      </c>
      <c r="Q136" s="341"/>
      <c r="R136" s="18">
        <f>'2.1. DM'!T136</f>
        <v>88.5</v>
      </c>
      <c r="S136" s="341"/>
      <c r="T136" s="30">
        <f>TablePC[[#This Row],[Av DM 105]]</f>
        <v>0</v>
      </c>
      <c r="U136" s="341"/>
      <c r="V136" s="30">
        <f>'2.3 ADF'!Q136</f>
        <v>0</v>
      </c>
      <c r="W136" s="341"/>
      <c r="X136" s="30">
        <f>'2.4 NDF'!Q136</f>
        <v>76.099999999999994</v>
      </c>
      <c r="Y136" s="341"/>
    </row>
    <row r="137" spans="2:25" x14ac:dyDescent="0.35">
      <c r="B137" s="19">
        <f t="shared" si="41"/>
        <v>127</v>
      </c>
      <c r="C137" s="199">
        <f>'2.1. DM'!C137</f>
        <v>46048</v>
      </c>
      <c r="D137" s="199" t="str">
        <f>'2.1. DM'!D137</f>
        <v>Genbank</v>
      </c>
      <c r="E137" s="200">
        <f>'2.1. DM'!E137</f>
        <v>28</v>
      </c>
      <c r="F137" s="199" t="str">
        <f>'2.1. DM'!F137</f>
        <v>F252575</v>
      </c>
      <c r="G137" s="199" t="str">
        <f>'2.1. DM'!G137</f>
        <v>CIAT415</v>
      </c>
      <c r="H137" s="199" t="str">
        <f>'2.1. DM'!H137</f>
        <v>Vigna</v>
      </c>
      <c r="I137" s="199" t="str">
        <f>'2.1. DM'!I137</f>
        <v>radiata</v>
      </c>
      <c r="J137" s="199" t="str">
        <f>'2.1. DM'!J137</f>
        <v>Vigna radiata</v>
      </c>
      <c r="K137" s="199" t="str">
        <f>'2.1. DM'!K137</f>
        <v>Fabaceae</v>
      </c>
      <c r="L137" s="199" t="str">
        <f>'2.1. DM'!L137</f>
        <v>Fabales</v>
      </c>
      <c r="M137" s="199" t="str">
        <f>'2.1. DM'!M137</f>
        <v>Herbaceous</v>
      </c>
      <c r="N137" s="310">
        <f>'2.1. DM'!P137</f>
        <v>92</v>
      </c>
      <c r="O137" s="341">
        <f>AVERAGE(N139:N140)</f>
        <v>91.428855744059177</v>
      </c>
      <c r="P137" s="18">
        <f>'2.1. DM'!R137</f>
        <v>21.242894141132062</v>
      </c>
      <c r="Q137" s="341">
        <f>AVERAGE(P139:P140)</f>
        <v>10.75762617368197</v>
      </c>
      <c r="R137" s="18">
        <f>'2.1. DM'!T137</f>
        <v>78.757105858867931</v>
      </c>
      <c r="S137" s="341">
        <f>AVERAGE(R139:R140)</f>
        <v>89.24237382631803</v>
      </c>
      <c r="T137" s="30">
        <f>TablePC[[#This Row],[Av DM 105]]</f>
        <v>26.957736093732475</v>
      </c>
      <c r="U137" s="341">
        <f t="shared" ref="U137" si="72">AVERAGE(T137:T138)</f>
        <v>26.957736093732475</v>
      </c>
      <c r="V137" s="30">
        <f>'2.3 ADF'!Q137</f>
        <v>25.378712784655448</v>
      </c>
      <c r="W137" s="341">
        <f>AVERAGE(V139:V140)</f>
        <v>23.980459764400585</v>
      </c>
      <c r="X137" s="30">
        <f>'2.4 NDF'!Q137</f>
        <v>41.7110852541459</v>
      </c>
      <c r="Y137" s="341">
        <f>AVERAGE(X139:X140)</f>
        <v>45.459692185237742</v>
      </c>
    </row>
    <row r="138" spans="2:25" x14ac:dyDescent="0.35">
      <c r="B138" s="19">
        <f t="shared" si="41"/>
        <v>128</v>
      </c>
      <c r="C138" s="199">
        <f>'2.1. DM'!C138</f>
        <v>46048</v>
      </c>
      <c r="D138" s="199" t="str">
        <f>'2.1. DM'!D138</f>
        <v>Genbank</v>
      </c>
      <c r="E138" s="200">
        <f>'2.1. DM'!E138</f>
        <v>28</v>
      </c>
      <c r="F138" s="199" t="str">
        <f>'2.1. DM'!F138</f>
        <v>F252575</v>
      </c>
      <c r="G138" s="199" t="str">
        <f>'2.1. DM'!G138</f>
        <v>CIAT415</v>
      </c>
      <c r="H138" s="199" t="str">
        <f>'2.1. DM'!H138</f>
        <v>Vigna</v>
      </c>
      <c r="I138" s="199" t="str">
        <f>'2.1. DM'!I138</f>
        <v>radiata</v>
      </c>
      <c r="J138" s="199" t="str">
        <f>'2.1. DM'!J138</f>
        <v>Vigna radiata</v>
      </c>
      <c r="K138" s="199" t="str">
        <f>'2.1. DM'!K138</f>
        <v>Fabaceae</v>
      </c>
      <c r="L138" s="199" t="str">
        <f>'2.1. DM'!L138</f>
        <v>Fabales</v>
      </c>
      <c r="M138" s="199" t="str">
        <f>'2.1. DM'!M138</f>
        <v>Herbaceous</v>
      </c>
      <c r="N138" s="310">
        <f>'2.1. DM'!P138</f>
        <v>91.873250699720145</v>
      </c>
      <c r="O138" s="341"/>
      <c r="P138" s="18">
        <f>'2.1. DM'!R138</f>
        <v>19.288185497111172</v>
      </c>
      <c r="Q138" s="341"/>
      <c r="R138" s="18">
        <f>'2.1. DM'!T138</f>
        <v>80.711814502888828</v>
      </c>
      <c r="S138" s="341"/>
      <c r="T138" s="30">
        <f>TablePC[[#This Row],[Av DM 105]]</f>
        <v>26.957736093732475</v>
      </c>
      <c r="U138" s="341"/>
      <c r="V138" s="30">
        <f>'2.3 ADF'!Q138</f>
        <v>25.170442267816401</v>
      </c>
      <c r="W138" s="341"/>
      <c r="X138" s="30">
        <f>'2.4 NDF'!Q138</f>
        <v>42.685386521264235</v>
      </c>
      <c r="Y138" s="341"/>
    </row>
    <row r="139" spans="2:25" x14ac:dyDescent="0.35">
      <c r="B139" s="19">
        <f t="shared" si="41"/>
        <v>129</v>
      </c>
      <c r="C139" s="199">
        <f>'2.1. DM'!C139</f>
        <v>46048</v>
      </c>
      <c r="D139" s="199" t="str">
        <f>'2.1. DM'!D139</f>
        <v>Genbank</v>
      </c>
      <c r="E139" s="200">
        <f>'2.1. DM'!E139</f>
        <v>28</v>
      </c>
      <c r="F139" s="199" t="str">
        <f>'2.1. DM'!F139</f>
        <v>F252576</v>
      </c>
      <c r="G139" s="199" t="str">
        <f>'2.1. DM'!G139</f>
        <v>CIAT416</v>
      </c>
      <c r="H139" s="199" t="str">
        <f>'2.1. DM'!H139</f>
        <v>Vigna</v>
      </c>
      <c r="I139" s="199" t="str">
        <f>'2.1. DM'!I139</f>
        <v>radiata</v>
      </c>
      <c r="J139" s="199" t="str">
        <f>'2.1. DM'!J139</f>
        <v>Vigna radiata</v>
      </c>
      <c r="K139" s="199" t="str">
        <f>'2.1. DM'!K139</f>
        <v>Fabaceae</v>
      </c>
      <c r="L139" s="199" t="str">
        <f>'2.1. DM'!L139</f>
        <v>Fabales</v>
      </c>
      <c r="M139" s="199" t="str">
        <f>'2.1. DM'!M139</f>
        <v>Herbaceous</v>
      </c>
      <c r="N139" s="310">
        <f>'2.1. DM'!P139</f>
        <v>91.403438624550233</v>
      </c>
      <c r="O139" s="341">
        <f>AVERAGE(N141:N142)</f>
        <v>91.083128201945883</v>
      </c>
      <c r="P139" s="18">
        <f>'2.1. DM'!R139</f>
        <v>10.769096359394812</v>
      </c>
      <c r="Q139" s="341">
        <f>AVERAGE(P141:P142)</f>
        <v>13.685998773265922</v>
      </c>
      <c r="R139" s="18">
        <f>'2.1. DM'!T139</f>
        <v>89.230903640605192</v>
      </c>
      <c r="S139" s="341">
        <f>AVERAGE(R141:R142)</f>
        <v>86.314001226734078</v>
      </c>
      <c r="T139" s="30">
        <f>TablePC[[#This Row],[Av DM 105]]</f>
        <v>26.837377821064617</v>
      </c>
      <c r="U139" s="341">
        <f t="shared" ref="U139" si="73">AVERAGE(T139:T140)</f>
        <v>26.837377821064617</v>
      </c>
      <c r="V139" s="30">
        <f>'2.3 ADF'!Q139</f>
        <v>24.613924161721449</v>
      </c>
      <c r="W139" s="341">
        <f>AVERAGE(V141:V142)</f>
        <v>26.525040040434263</v>
      </c>
      <c r="X139" s="30">
        <f>'2.4 NDF'!Q139</f>
        <v>46.382980149383343</v>
      </c>
      <c r="Y139" s="341">
        <f>AVERAGE(X141:X142)</f>
        <v>45.608014352332241</v>
      </c>
    </row>
    <row r="140" spans="2:25" x14ac:dyDescent="0.35">
      <c r="B140" s="19">
        <f t="shared" si="41"/>
        <v>130</v>
      </c>
      <c r="C140" s="199">
        <f>'2.1. DM'!C140</f>
        <v>46048</v>
      </c>
      <c r="D140" s="199" t="str">
        <f>'2.1. DM'!D140</f>
        <v>Genbank</v>
      </c>
      <c r="E140" s="200">
        <f>'2.1. DM'!E140</f>
        <v>28</v>
      </c>
      <c r="F140" s="199" t="str">
        <f>'2.1. DM'!F140</f>
        <v>F252576</v>
      </c>
      <c r="G140" s="199" t="str">
        <f>'2.1. DM'!G140</f>
        <v>CIAT416</v>
      </c>
      <c r="H140" s="199" t="str">
        <f>'2.1. DM'!H140</f>
        <v>Vigna</v>
      </c>
      <c r="I140" s="199" t="str">
        <f>'2.1. DM'!I140</f>
        <v>radiata</v>
      </c>
      <c r="J140" s="199" t="str">
        <f>'2.1. DM'!J140</f>
        <v>Vigna radiata</v>
      </c>
      <c r="K140" s="199" t="str">
        <f>'2.1. DM'!K140</f>
        <v>Fabaceae</v>
      </c>
      <c r="L140" s="199" t="str">
        <f>'2.1. DM'!L140</f>
        <v>Fabales</v>
      </c>
      <c r="M140" s="199" t="str">
        <f>'2.1. DM'!M140</f>
        <v>Herbaceous</v>
      </c>
      <c r="N140" s="310">
        <f>'2.1. DM'!P140</f>
        <v>91.454272863568136</v>
      </c>
      <c r="O140" s="341"/>
      <c r="P140" s="18">
        <f>'2.1. DM'!R140</f>
        <v>10.746155987969127</v>
      </c>
      <c r="Q140" s="341"/>
      <c r="R140" s="18">
        <f>'2.1. DM'!T140</f>
        <v>89.253844012030868</v>
      </c>
      <c r="S140" s="341"/>
      <c r="T140" s="30">
        <f>TablePC[[#This Row],[Av DM 105]]</f>
        <v>26.837377821064617</v>
      </c>
      <c r="U140" s="341"/>
      <c r="V140" s="30">
        <f>'2.3 ADF'!Q140</f>
        <v>23.346995367079721</v>
      </c>
      <c r="W140" s="341"/>
      <c r="X140" s="30">
        <f>'2.4 NDF'!Q140</f>
        <v>44.536404221092134</v>
      </c>
      <c r="Y140" s="341"/>
    </row>
    <row r="141" spans="2:25" x14ac:dyDescent="0.35">
      <c r="B141" s="19">
        <f t="shared" ref="B141:B204" si="74">B140+1</f>
        <v>131</v>
      </c>
      <c r="C141" s="199">
        <f>'2.1. DM'!C141</f>
        <v>46048</v>
      </c>
      <c r="D141" s="199" t="str">
        <f>'2.1. DM'!D141</f>
        <v>Genbank</v>
      </c>
      <c r="E141" s="200">
        <f>'2.1. DM'!E141</f>
        <v>28</v>
      </c>
      <c r="F141" s="199" t="str">
        <f>'2.1. DM'!F141</f>
        <v>F252577</v>
      </c>
      <c r="G141" s="199" t="str">
        <f>'2.1. DM'!G141</f>
        <v>CIAT517</v>
      </c>
      <c r="H141" s="199" t="str">
        <f>'2.1. DM'!H141</f>
        <v>Macroptilium</v>
      </c>
      <c r="I141" s="199" t="str">
        <f>'2.1. DM'!I141</f>
        <v>atropurpureum</v>
      </c>
      <c r="J141" s="199" t="str">
        <f>'2.1. DM'!J141</f>
        <v>Macroptilium atropurpureum</v>
      </c>
      <c r="K141" s="199" t="str">
        <f>'2.1. DM'!K141</f>
        <v>Fabaceae</v>
      </c>
      <c r="L141" s="199" t="str">
        <f>'2.1. DM'!L141</f>
        <v>Fabales</v>
      </c>
      <c r="M141" s="199" t="str">
        <f>'2.1. DM'!M141</f>
        <v>Herbaceous</v>
      </c>
      <c r="N141" s="310">
        <f>'2.1. DM'!P141</f>
        <v>91.034482758620797</v>
      </c>
      <c r="O141" s="341">
        <f>AVERAGE(N143:N144)</f>
        <v>92.997811590989883</v>
      </c>
      <c r="P141" s="18">
        <f>'2.1. DM'!R141</f>
        <v>13.694921732139564</v>
      </c>
      <c r="Q141" s="341">
        <f>AVERAGE(P143:P144)</f>
        <v>12.887604777369589</v>
      </c>
      <c r="R141" s="18">
        <f>'2.1. DM'!T141</f>
        <v>86.305078267860438</v>
      </c>
      <c r="S141" s="341">
        <f>AVERAGE(R143:R144)</f>
        <v>87.112395222630411</v>
      </c>
      <c r="T141" s="30">
        <f>TablePC[[#This Row],[Av DM 105]]</f>
        <v>23.684026559220481</v>
      </c>
      <c r="U141" s="341">
        <f t="shared" ref="U141" si="75">AVERAGE(T141:T142)</f>
        <v>23.684026559220481</v>
      </c>
      <c r="V141" s="30">
        <f>'2.3 ADF'!Q141</f>
        <v>26.727252261387918</v>
      </c>
      <c r="W141" s="341">
        <f>AVERAGE(V143:V144)</f>
        <v>30.285187611689931</v>
      </c>
      <c r="X141" s="30">
        <f>'2.4 NDF'!Q141</f>
        <v>45.87051566740368</v>
      </c>
      <c r="Y141" s="341">
        <f>AVERAGE(X143:X144)</f>
        <v>51.437989503841834</v>
      </c>
    </row>
    <row r="142" spans="2:25" x14ac:dyDescent="0.35">
      <c r="B142" s="19">
        <f t="shared" si="74"/>
        <v>132</v>
      </c>
      <c r="C142" s="199">
        <f>'2.1. DM'!C142</f>
        <v>46048</v>
      </c>
      <c r="D142" s="199" t="str">
        <f>'2.1. DM'!D142</f>
        <v>Genbank</v>
      </c>
      <c r="E142" s="200">
        <f>'2.1. DM'!E142</f>
        <v>28</v>
      </c>
      <c r="F142" s="199" t="str">
        <f>'2.1. DM'!F142</f>
        <v>F252577</v>
      </c>
      <c r="G142" s="199" t="str">
        <f>'2.1. DM'!G142</f>
        <v>CIAT517</v>
      </c>
      <c r="H142" s="199" t="str">
        <f>'2.1. DM'!H142</f>
        <v>Macroptilium</v>
      </c>
      <c r="I142" s="199" t="str">
        <f>'2.1. DM'!I142</f>
        <v>atropurpureum</v>
      </c>
      <c r="J142" s="199" t="str">
        <f>'2.1. DM'!J142</f>
        <v>Macroptilium atropurpureum</v>
      </c>
      <c r="K142" s="199" t="str">
        <f>'2.1. DM'!K142</f>
        <v>Fabaceae</v>
      </c>
      <c r="L142" s="199" t="str">
        <f>'2.1. DM'!L142</f>
        <v>Fabales</v>
      </c>
      <c r="M142" s="199" t="str">
        <f>'2.1. DM'!M142</f>
        <v>Herbaceous</v>
      </c>
      <c r="N142" s="310">
        <f>'2.1. DM'!P142</f>
        <v>91.131773645270968</v>
      </c>
      <c r="O142" s="341"/>
      <c r="P142" s="18">
        <f>'2.1. DM'!R142</f>
        <v>13.677075814392282</v>
      </c>
      <c r="Q142" s="341"/>
      <c r="R142" s="18">
        <f>'2.1. DM'!T142</f>
        <v>86.322924185607718</v>
      </c>
      <c r="S142" s="341"/>
      <c r="T142" s="30">
        <f>TablePC[[#This Row],[Av DM 105]]</f>
        <v>23.684026559220481</v>
      </c>
      <c r="U142" s="341"/>
      <c r="V142" s="30">
        <f>'2.3 ADF'!Q142</f>
        <v>26.322827819480604</v>
      </c>
      <c r="W142" s="341"/>
      <c r="X142" s="30">
        <f>'2.4 NDF'!Q142</f>
        <v>45.345513037260801</v>
      </c>
      <c r="Y142" s="341"/>
    </row>
    <row r="143" spans="2:25" x14ac:dyDescent="0.35">
      <c r="B143" s="19">
        <f t="shared" si="74"/>
        <v>133</v>
      </c>
      <c r="C143" s="199">
        <f>'2.1. DM'!C143</f>
        <v>46048</v>
      </c>
      <c r="D143" s="199" t="str">
        <f>'2.1. DM'!D143</f>
        <v>Genbank</v>
      </c>
      <c r="E143" s="200">
        <f>'2.1. DM'!E143</f>
        <v>28</v>
      </c>
      <c r="F143" s="199" t="str">
        <f>'2.1. DM'!F143</f>
        <v>F252578</v>
      </c>
      <c r="G143" s="199" t="str">
        <f>'2.1. DM'!G143</f>
        <v>CIAT563</v>
      </c>
      <c r="H143" s="199" t="str">
        <f>'2.1. DM'!H143</f>
        <v>Macroptilium</v>
      </c>
      <c r="I143" s="199" t="str">
        <f>'2.1. DM'!I143</f>
        <v>bracteatum</v>
      </c>
      <c r="J143" s="199" t="str">
        <f>'2.1. DM'!J143</f>
        <v>Macroptilium bracteatum</v>
      </c>
      <c r="K143" s="199" t="str">
        <f>'2.1. DM'!K143</f>
        <v>Fabaceae</v>
      </c>
      <c r="L143" s="199" t="str">
        <f>'2.1. DM'!L143</f>
        <v>Fabales</v>
      </c>
      <c r="M143" s="199" t="str">
        <f>'2.1. DM'!M143</f>
        <v>Herbaceous</v>
      </c>
      <c r="N143" s="310">
        <f>'2.1. DM'!P143</f>
        <v>92.944233459924106</v>
      </c>
      <c r="O143" s="341">
        <f>AVERAGE(N145:N146)</f>
        <v>88.84780354431571</v>
      </c>
      <c r="P143" s="18">
        <f>'2.1. DM'!R143</f>
        <v>12.971017420976787</v>
      </c>
      <c r="Q143" s="341">
        <f>AVERAGE(P145:P146)</f>
        <v>8.4449292312171735</v>
      </c>
      <c r="R143" s="18">
        <f>'2.1. DM'!T143</f>
        <v>87.028982579023207</v>
      </c>
      <c r="S143" s="341">
        <f>AVERAGE(R145:R146)</f>
        <v>91.555070768782826</v>
      </c>
      <c r="T143" s="30">
        <f>TablePC[[#This Row],[Av DM 105]]</f>
        <v>21.857304649704218</v>
      </c>
      <c r="U143" s="341">
        <f t="shared" ref="U143" si="76">AVERAGE(T143:T144)</f>
        <v>21.857304649704218</v>
      </c>
      <c r="V143" s="30">
        <f>'2.3 ADF'!Q143</f>
        <v>29.990838788280033</v>
      </c>
      <c r="W143" s="341">
        <f>AVERAGE(V145:V146)</f>
        <v>24.85387739056619</v>
      </c>
      <c r="X143" s="30">
        <f>'2.4 NDF'!Q143</f>
        <v>51.01815447150522</v>
      </c>
      <c r="Y143" s="341">
        <f>AVERAGE(X145:X146)</f>
        <v>51.081849000911362</v>
      </c>
    </row>
    <row r="144" spans="2:25" x14ac:dyDescent="0.35">
      <c r="B144" s="19">
        <f t="shared" si="74"/>
        <v>134</v>
      </c>
      <c r="C144" s="199">
        <f>'2.1. DM'!C144</f>
        <v>46048</v>
      </c>
      <c r="D144" s="199" t="str">
        <f>'2.1. DM'!D144</f>
        <v>Genbank</v>
      </c>
      <c r="E144" s="200">
        <f>'2.1. DM'!E144</f>
        <v>28</v>
      </c>
      <c r="F144" s="199" t="str">
        <f>'2.1. DM'!F144</f>
        <v>F252578</v>
      </c>
      <c r="G144" s="199" t="str">
        <f>'2.1. DM'!G144</f>
        <v>CIAT563</v>
      </c>
      <c r="H144" s="199" t="str">
        <f>'2.1. DM'!H144</f>
        <v>Macroptilium</v>
      </c>
      <c r="I144" s="199" t="str">
        <f>'2.1. DM'!I144</f>
        <v>bracteatum</v>
      </c>
      <c r="J144" s="199" t="str">
        <f>'2.1. DM'!J144</f>
        <v>Macroptilium bracteatum</v>
      </c>
      <c r="K144" s="199" t="str">
        <f>'2.1. DM'!K144</f>
        <v>Fabaceae</v>
      </c>
      <c r="L144" s="199" t="str">
        <f>'2.1. DM'!L144</f>
        <v>Fabales</v>
      </c>
      <c r="M144" s="199" t="str">
        <f>'2.1. DM'!M144</f>
        <v>Herbaceous</v>
      </c>
      <c r="N144" s="310">
        <f>'2.1. DM'!P144</f>
        <v>93.05138972205566</v>
      </c>
      <c r="O144" s="341"/>
      <c r="P144" s="18">
        <f>'2.1. DM'!R144</f>
        <v>12.804192133762388</v>
      </c>
      <c r="Q144" s="341"/>
      <c r="R144" s="18">
        <f>'2.1. DM'!T144</f>
        <v>87.195807866237615</v>
      </c>
      <c r="S144" s="341"/>
      <c r="T144" s="30">
        <f>TablePC[[#This Row],[Av DM 105]]</f>
        <v>21.857304649704218</v>
      </c>
      <c r="U144" s="341"/>
      <c r="V144" s="30">
        <f>'2.3 ADF'!Q144</f>
        <v>30.579536435099829</v>
      </c>
      <c r="W144" s="341"/>
      <c r="X144" s="30">
        <f>'2.4 NDF'!Q144</f>
        <v>51.857824536178455</v>
      </c>
      <c r="Y144" s="341"/>
    </row>
    <row r="145" spans="2:25" x14ac:dyDescent="0.35">
      <c r="B145" s="19">
        <f t="shared" si="74"/>
        <v>135</v>
      </c>
      <c r="C145" s="199">
        <f>'2.1. DM'!C145</f>
        <v>46048</v>
      </c>
      <c r="D145" s="199" t="str">
        <f>'2.1. DM'!D145</f>
        <v>Genbank</v>
      </c>
      <c r="E145" s="200">
        <f>'2.1. DM'!E145</f>
        <v>28</v>
      </c>
      <c r="F145" s="199" t="str">
        <f>'2.1. DM'!F145</f>
        <v>F252579</v>
      </c>
      <c r="G145" s="199" t="str">
        <f>'2.1. DM'!G145</f>
        <v>CIAT789</v>
      </c>
      <c r="H145" s="199" t="str">
        <f>'2.1. DM'!H145</f>
        <v>Zornia</v>
      </c>
      <c r="I145" s="199" t="str">
        <f>'2.1. DM'!I145</f>
        <v>latifolia</v>
      </c>
      <c r="J145" s="199" t="str">
        <f>'2.1. DM'!J145</f>
        <v>Zornia latifolia</v>
      </c>
      <c r="K145" s="199" t="str">
        <f>'2.1. DM'!K145</f>
        <v>Fabaceae</v>
      </c>
      <c r="L145" s="199" t="str">
        <f>'2.1. DM'!L145</f>
        <v>Fabales</v>
      </c>
      <c r="M145" s="199" t="str">
        <f>'2.1. DM'!M145</f>
        <v>Herbaceous</v>
      </c>
      <c r="N145" s="310">
        <f>'2.1. DM'!P145</f>
        <v>88.951104889511029</v>
      </c>
      <c r="O145" s="341">
        <f>AVERAGE(N147:N148)</f>
        <v>91.972812334084935</v>
      </c>
      <c r="P145" s="18">
        <f>'2.1. DM'!R145</f>
        <v>8.519336183608802</v>
      </c>
      <c r="Q145" s="341">
        <f>AVERAGE(P147:P148)</f>
        <v>9.3310251362757555</v>
      </c>
      <c r="R145" s="18">
        <f>'2.1. DM'!T145</f>
        <v>91.4806638163912</v>
      </c>
      <c r="S145" s="341">
        <f>AVERAGE(R147:R148)</f>
        <v>90.668974863724245</v>
      </c>
      <c r="T145" s="30">
        <f>TablePC[[#This Row],[Av DM 105]]</f>
        <v>14.788570035286847</v>
      </c>
      <c r="U145" s="341">
        <f t="shared" ref="U145" si="77">AVERAGE(T145:T146)</f>
        <v>14.788570035286847</v>
      </c>
      <c r="V145" s="30">
        <f>'2.3 ADF'!Q145</f>
        <v>24.832265368222433</v>
      </c>
      <c r="W145" s="341">
        <f>AVERAGE(V147:V148)</f>
        <v>37.915377668858667</v>
      </c>
      <c r="X145" s="30">
        <f>'2.4 NDF'!Q145</f>
        <v>49.440779501680751</v>
      </c>
      <c r="Y145" s="341">
        <f>AVERAGE(X147:X148)</f>
        <v>57.181381447253358</v>
      </c>
    </row>
    <row r="146" spans="2:25" x14ac:dyDescent="0.35">
      <c r="B146" s="19">
        <f t="shared" si="74"/>
        <v>136</v>
      </c>
      <c r="C146" s="199">
        <f>'2.1. DM'!C146</f>
        <v>46048</v>
      </c>
      <c r="D146" s="199" t="str">
        <f>'2.1. DM'!D146</f>
        <v>Genbank</v>
      </c>
      <c r="E146" s="200">
        <f>'2.1. DM'!E146</f>
        <v>28</v>
      </c>
      <c r="F146" s="199" t="str">
        <f>'2.1. DM'!F146</f>
        <v>F252579</v>
      </c>
      <c r="G146" s="199" t="str">
        <f>'2.1. DM'!G146</f>
        <v>CIAT789</v>
      </c>
      <c r="H146" s="199" t="str">
        <f>'2.1. DM'!H146</f>
        <v>Zornia</v>
      </c>
      <c r="I146" s="199" t="str">
        <f>'2.1. DM'!I146</f>
        <v>latifolia</v>
      </c>
      <c r="J146" s="199" t="str">
        <f>'2.1. DM'!J146</f>
        <v>Zornia latifolia</v>
      </c>
      <c r="K146" s="199" t="str">
        <f>'2.1. DM'!K146</f>
        <v>Fabaceae</v>
      </c>
      <c r="L146" s="199" t="str">
        <f>'2.1. DM'!L146</f>
        <v>Fabales</v>
      </c>
      <c r="M146" s="199" t="str">
        <f>'2.1. DM'!M146</f>
        <v>Herbaceous</v>
      </c>
      <c r="N146" s="310">
        <f>'2.1. DM'!P146</f>
        <v>88.74450219912039</v>
      </c>
      <c r="O146" s="341"/>
      <c r="P146" s="18">
        <f>'2.1. DM'!R146</f>
        <v>8.3705222788255451</v>
      </c>
      <c r="Q146" s="341"/>
      <c r="R146" s="18">
        <f>'2.1. DM'!T146</f>
        <v>91.629477721174453</v>
      </c>
      <c r="S146" s="341"/>
      <c r="T146" s="30">
        <f>TablePC[[#This Row],[Av DM 105]]</f>
        <v>14.788570035286847</v>
      </c>
      <c r="U146" s="341"/>
      <c r="V146" s="30">
        <f>'2.3 ADF'!Q146</f>
        <v>24.875489412909943</v>
      </c>
      <c r="W146" s="341"/>
      <c r="X146" s="30">
        <f>'2.4 NDF'!Q146</f>
        <v>52.722918500141979</v>
      </c>
      <c r="Y146" s="341"/>
    </row>
    <row r="147" spans="2:25" x14ac:dyDescent="0.35">
      <c r="B147" s="19">
        <f t="shared" si="74"/>
        <v>137</v>
      </c>
      <c r="C147" s="199">
        <f>'2.1. DM'!C147</f>
        <v>46048</v>
      </c>
      <c r="D147" s="199" t="str">
        <f>'2.1. DM'!D147</f>
        <v>Genbank</v>
      </c>
      <c r="E147" s="200">
        <f>'2.1. DM'!E147</f>
        <v>28</v>
      </c>
      <c r="F147" s="199" t="str">
        <f>'2.1. DM'!F147</f>
        <v>F252580</v>
      </c>
      <c r="G147" s="199" t="str">
        <f>'2.1. DM'!G147</f>
        <v>CIAT2085</v>
      </c>
      <c r="H147" s="199" t="str">
        <f>'2.1. DM'!H147</f>
        <v>Stylosanthes</v>
      </c>
      <c r="I147" s="199" t="str">
        <f>'2.1. DM'!I147</f>
        <v>seabrana</v>
      </c>
      <c r="J147" s="199" t="str">
        <f>'2.1. DM'!J147</f>
        <v>Stylosanthes seabrana</v>
      </c>
      <c r="K147" s="199" t="str">
        <f>'2.1. DM'!K147</f>
        <v>Fabaceae</v>
      </c>
      <c r="L147" s="199" t="str">
        <f>'2.1. DM'!L147</f>
        <v>Fabales</v>
      </c>
      <c r="M147" s="199" t="str">
        <f>'2.1. DM'!M147</f>
        <v>Herbaceous</v>
      </c>
      <c r="N147" s="310">
        <f>'2.1. DM'!P147</f>
        <v>91.954022988505741</v>
      </c>
      <c r="O147" s="341">
        <f>AVERAGE(N149:N150)</f>
        <v>91.013158687602811</v>
      </c>
      <c r="P147" s="18">
        <f>'2.1. DM'!R147</f>
        <v>9.2589776400472807</v>
      </c>
      <c r="Q147" s="341">
        <f>AVERAGE(P149:P150)</f>
        <v>9.4513435062118116</v>
      </c>
      <c r="R147" s="18">
        <f>'2.1. DM'!T147</f>
        <v>90.741022359952723</v>
      </c>
      <c r="S147" s="341">
        <f>AVERAGE(R149:R150)</f>
        <v>90.548656493788187</v>
      </c>
      <c r="T147" s="30">
        <f>TablePC[[#This Row],[Av DM 105]]</f>
        <v>18.709963746160142</v>
      </c>
      <c r="U147" s="341">
        <f t="shared" ref="U147" si="78">AVERAGE(T147:T148)</f>
        <v>18.709963746160142</v>
      </c>
      <c r="V147" s="30">
        <f>'2.3 ADF'!Q147</f>
        <v>37.039597242954855</v>
      </c>
      <c r="W147" s="341">
        <f>AVERAGE(V149:V150)</f>
        <v>38.392498362794498</v>
      </c>
      <c r="X147" s="30">
        <f>'2.4 NDF'!Q147</f>
        <v>56.497959794318767</v>
      </c>
      <c r="Y147" s="341">
        <f>AVERAGE(X149:X150)</f>
        <v>60.090273856915317</v>
      </c>
    </row>
    <row r="148" spans="2:25" x14ac:dyDescent="0.35">
      <c r="B148" s="19">
        <f t="shared" si="74"/>
        <v>138</v>
      </c>
      <c r="C148" s="199">
        <f>'2.1. DM'!C148</f>
        <v>46048</v>
      </c>
      <c r="D148" s="199" t="str">
        <f>'2.1. DM'!D148</f>
        <v>Genbank</v>
      </c>
      <c r="E148" s="200">
        <f>'2.1. DM'!E148</f>
        <v>28</v>
      </c>
      <c r="F148" s="199" t="str">
        <f>'2.1. DM'!F148</f>
        <v>F252580</v>
      </c>
      <c r="G148" s="199" t="str">
        <f>'2.1. DM'!G148</f>
        <v>CIAT2085</v>
      </c>
      <c r="H148" s="199" t="str">
        <f>'2.1. DM'!H148</f>
        <v>Stylosanthes</v>
      </c>
      <c r="I148" s="199" t="str">
        <f>'2.1. DM'!I148</f>
        <v>seabrana</v>
      </c>
      <c r="J148" s="199" t="str">
        <f>'2.1. DM'!J148</f>
        <v>Stylosanthes seabrana</v>
      </c>
      <c r="K148" s="199" t="str">
        <f>'2.1. DM'!K148</f>
        <v>Fabaceae</v>
      </c>
      <c r="L148" s="199" t="str">
        <f>'2.1. DM'!L148</f>
        <v>Fabales</v>
      </c>
      <c r="M148" s="199" t="str">
        <f>'2.1. DM'!M148</f>
        <v>Herbaceous</v>
      </c>
      <c r="N148" s="310">
        <f>'2.1. DM'!P148</f>
        <v>91.991601679664129</v>
      </c>
      <c r="O148" s="341"/>
      <c r="P148" s="18">
        <f>'2.1. DM'!R148</f>
        <v>9.4030726325042302</v>
      </c>
      <c r="Q148" s="341"/>
      <c r="R148" s="18">
        <f>'2.1. DM'!T148</f>
        <v>90.596927367495766</v>
      </c>
      <c r="S148" s="341"/>
      <c r="T148" s="30">
        <f>TablePC[[#This Row],[Av DM 105]]</f>
        <v>18.709963746160142</v>
      </c>
      <c r="U148" s="341"/>
      <c r="V148" s="30">
        <f>'2.3 ADF'!Q148</f>
        <v>38.791158094762487</v>
      </c>
      <c r="W148" s="341"/>
      <c r="X148" s="30">
        <f>'2.4 NDF'!Q148</f>
        <v>57.864803100187956</v>
      </c>
      <c r="Y148" s="341"/>
    </row>
    <row r="149" spans="2:25" x14ac:dyDescent="0.35">
      <c r="B149" s="19">
        <f t="shared" si="74"/>
        <v>139</v>
      </c>
      <c r="C149" s="199">
        <f>'2.1. DM'!C149</f>
        <v>46048</v>
      </c>
      <c r="D149" s="199" t="str">
        <f>'2.1. DM'!D149</f>
        <v>Genbank</v>
      </c>
      <c r="E149" s="200">
        <f>'2.1. DM'!E149</f>
        <v>28</v>
      </c>
      <c r="F149" s="199" t="str">
        <f>'2.1. DM'!F149</f>
        <v>F252581</v>
      </c>
      <c r="G149" s="199" t="str">
        <f>'2.1. DM'!G149</f>
        <v>CIAT2690</v>
      </c>
      <c r="H149" s="199" t="str">
        <f>'2.1. DM'!H149</f>
        <v>Stylosanthes</v>
      </c>
      <c r="I149" s="199" t="str">
        <f>'2.1. DM'!I149</f>
        <v>angustifolia</v>
      </c>
      <c r="J149" s="199" t="str">
        <f>'2.1. DM'!J149</f>
        <v>Stylosanthes angustifolia</v>
      </c>
      <c r="K149" s="199" t="str">
        <f>'2.1. DM'!K149</f>
        <v>Fabaceae</v>
      </c>
      <c r="L149" s="199" t="str">
        <f>'2.1. DM'!L149</f>
        <v>Fabales</v>
      </c>
      <c r="M149" s="199" t="str">
        <f>'2.1. DM'!M149</f>
        <v>Herbaceous</v>
      </c>
      <c r="N149" s="310">
        <f>'2.1. DM'!P149</f>
        <v>90.92453773113435</v>
      </c>
      <c r="O149" s="341">
        <f>AVERAGE(N151:N152)</f>
        <v>92.303090451268133</v>
      </c>
      <c r="P149" s="18">
        <f>'2.1. DM'!R149</f>
        <v>9.620171758853802</v>
      </c>
      <c r="Q149" s="341">
        <f>AVERAGE(P151:P152)</f>
        <v>14.760743763075807</v>
      </c>
      <c r="R149" s="18">
        <f>'2.1. DM'!T149</f>
        <v>90.3798282411462</v>
      </c>
      <c r="S149" s="341">
        <f>AVERAGE(R151:R152)</f>
        <v>85.239256236924192</v>
      </c>
      <c r="T149" s="30">
        <f>TablePC[[#This Row],[Av DM 105]]</f>
        <v>17.543140012820359</v>
      </c>
      <c r="U149" s="341">
        <f t="shared" ref="U149" si="79">AVERAGE(T149:T150)</f>
        <v>17.543140012820359</v>
      </c>
      <c r="V149" s="30">
        <f>'2.3 ADF'!Q149</f>
        <v>38.196099923294611</v>
      </c>
      <c r="W149" s="341">
        <f>AVERAGE(V151:V152)</f>
        <v>33.571615987359522</v>
      </c>
      <c r="X149" s="30">
        <f>'2.4 NDF'!Q149</f>
        <v>60.485392020994745</v>
      </c>
      <c r="Y149" s="341">
        <f>AVERAGE(X151:X152)</f>
        <v>51.707476989417202</v>
      </c>
    </row>
    <row r="150" spans="2:25" x14ac:dyDescent="0.35">
      <c r="B150" s="19">
        <f t="shared" si="74"/>
        <v>140</v>
      </c>
      <c r="C150" s="199">
        <f>'2.1. DM'!C150</f>
        <v>46048</v>
      </c>
      <c r="D150" s="199" t="str">
        <f>'2.1. DM'!D150</f>
        <v>Genbank</v>
      </c>
      <c r="E150" s="200">
        <f>'2.1. DM'!E150</f>
        <v>28</v>
      </c>
      <c r="F150" s="199" t="str">
        <f>'2.1. DM'!F150</f>
        <v>F252581</v>
      </c>
      <c r="G150" s="199" t="str">
        <f>'2.1. DM'!G150</f>
        <v>CIAT2690</v>
      </c>
      <c r="H150" s="199" t="str">
        <f>'2.1. DM'!H150</f>
        <v>Stylosanthes</v>
      </c>
      <c r="I150" s="199" t="str">
        <f>'2.1. DM'!I150</f>
        <v>angustifolia</v>
      </c>
      <c r="J150" s="199" t="str">
        <f>'2.1. DM'!J150</f>
        <v>Stylosanthes angustifolia</v>
      </c>
      <c r="K150" s="199" t="str">
        <f>'2.1. DM'!K150</f>
        <v>Fabaceae</v>
      </c>
      <c r="L150" s="199" t="str">
        <f>'2.1. DM'!L150</f>
        <v>Fabales</v>
      </c>
      <c r="M150" s="199" t="str">
        <f>'2.1. DM'!M150</f>
        <v>Herbaceous</v>
      </c>
      <c r="N150" s="310">
        <f>'2.1. DM'!P150</f>
        <v>91.101779644071286</v>
      </c>
      <c r="O150" s="341"/>
      <c r="P150" s="18">
        <f>'2.1. DM'!R150</f>
        <v>9.2825152535698212</v>
      </c>
      <c r="Q150" s="341"/>
      <c r="R150" s="18">
        <f>'2.1. DM'!T150</f>
        <v>90.717484746430173</v>
      </c>
      <c r="S150" s="341"/>
      <c r="T150" s="30">
        <f>TablePC[[#This Row],[Av DM 105]]</f>
        <v>17.543140012820359</v>
      </c>
      <c r="U150" s="341"/>
      <c r="V150" s="30">
        <f>'2.3 ADF'!Q150</f>
        <v>38.588896802294379</v>
      </c>
      <c r="W150" s="341"/>
      <c r="X150" s="30">
        <f>'2.4 NDF'!Q150</f>
        <v>59.69515569283589</v>
      </c>
      <c r="Y150" s="341"/>
    </row>
    <row r="151" spans="2:25" x14ac:dyDescent="0.35">
      <c r="B151" s="19">
        <f t="shared" si="74"/>
        <v>141</v>
      </c>
      <c r="C151" s="199">
        <f>'2.1. DM'!C151</f>
        <v>46048</v>
      </c>
      <c r="D151" s="199" t="str">
        <f>'2.1. DM'!D151</f>
        <v>Genbank</v>
      </c>
      <c r="E151" s="200">
        <f>'2.1. DM'!E151</f>
        <v>28</v>
      </c>
      <c r="F151" s="199" t="str">
        <f>'2.1. DM'!F151</f>
        <v>F252582</v>
      </c>
      <c r="G151" s="199" t="str">
        <f>'2.1. DM'!G151</f>
        <v>CIAT4069</v>
      </c>
      <c r="H151" s="199" t="str">
        <f>'2.1. DM'!H151</f>
        <v>Macroptilium</v>
      </c>
      <c r="I151" s="199" t="str">
        <f>'2.1. DM'!I151</f>
        <v>atropurpureum</v>
      </c>
      <c r="J151" s="199" t="str">
        <f>'2.1. DM'!J151</f>
        <v>Macroptilium atropurpureum</v>
      </c>
      <c r="K151" s="199" t="str">
        <f>'2.1. DM'!K151</f>
        <v>Fabaceae</v>
      </c>
      <c r="L151" s="199" t="str">
        <f>'2.1. DM'!L151</f>
        <v>Fabales</v>
      </c>
      <c r="M151" s="199" t="str">
        <f>'2.1. DM'!M151</f>
        <v>Herbaceous</v>
      </c>
      <c r="N151" s="310">
        <f>'2.1. DM'!P151</f>
        <v>92.244653208075164</v>
      </c>
      <c r="O151" s="341">
        <f>AVERAGE(N153:N154)</f>
        <v>90.940899820036037</v>
      </c>
      <c r="P151" s="18">
        <f>'2.1. DM'!R151</f>
        <v>14.367929296297117</v>
      </c>
      <c r="Q151" s="341">
        <f>AVERAGE(P153:P154)</f>
        <v>11.819691947658916</v>
      </c>
      <c r="R151" s="18">
        <f>'2.1. DM'!T151</f>
        <v>85.63207070370288</v>
      </c>
      <c r="S151" s="341">
        <f>AVERAGE(R153:R154)</f>
        <v>88.180308052341076</v>
      </c>
      <c r="T151" s="30">
        <f>TablePC[[#This Row],[Av DM 105]]</f>
        <v>20.831379821909206</v>
      </c>
      <c r="U151" s="341">
        <f t="shared" ref="U151" si="80">AVERAGE(T151:T152)</f>
        <v>20.831379821909206</v>
      </c>
      <c r="V151" s="30">
        <f>'2.3 ADF'!Q151</f>
        <v>32.401008699467063</v>
      </c>
      <c r="W151" s="341">
        <f>AVERAGE(V153:V154)</f>
        <v>27.986659986596848</v>
      </c>
      <c r="X151" s="30">
        <f>'2.4 NDF'!Q151</f>
        <v>50.509975688979011</v>
      </c>
      <c r="Y151" s="341">
        <f>AVERAGE(X153:X154)</f>
        <v>49.144743408590912</v>
      </c>
    </row>
    <row r="152" spans="2:25" x14ac:dyDescent="0.35">
      <c r="B152" s="19">
        <f t="shared" si="74"/>
        <v>142</v>
      </c>
      <c r="C152" s="199">
        <f>'2.1. DM'!C152</f>
        <v>46048</v>
      </c>
      <c r="D152" s="199" t="str">
        <f>'2.1. DM'!D152</f>
        <v>Genbank</v>
      </c>
      <c r="E152" s="200">
        <f>'2.1. DM'!E152</f>
        <v>28</v>
      </c>
      <c r="F152" s="199" t="str">
        <f>'2.1. DM'!F152</f>
        <v>F252582</v>
      </c>
      <c r="G152" s="199" t="str">
        <f>'2.1. DM'!G152</f>
        <v>CIAT4069</v>
      </c>
      <c r="H152" s="199" t="str">
        <f>'2.1. DM'!H152</f>
        <v>Macroptilium</v>
      </c>
      <c r="I152" s="199" t="str">
        <f>'2.1. DM'!I152</f>
        <v>atropurpureum</v>
      </c>
      <c r="J152" s="199" t="str">
        <f>'2.1. DM'!J152</f>
        <v>Macroptilium atropurpureum</v>
      </c>
      <c r="K152" s="199" t="str">
        <f>'2.1. DM'!K152</f>
        <v>Fabaceae</v>
      </c>
      <c r="L152" s="199" t="str">
        <f>'2.1. DM'!L152</f>
        <v>Fabales</v>
      </c>
      <c r="M152" s="199" t="str">
        <f>'2.1. DM'!M152</f>
        <v>Herbaceous</v>
      </c>
      <c r="N152" s="310">
        <f>'2.1. DM'!P152</f>
        <v>92.361527694461103</v>
      </c>
      <c r="O152" s="341"/>
      <c r="P152" s="18">
        <f>'2.1. DM'!R152</f>
        <v>15.153558229854497</v>
      </c>
      <c r="Q152" s="341"/>
      <c r="R152" s="18">
        <f>'2.1. DM'!T152</f>
        <v>84.846441770145503</v>
      </c>
      <c r="S152" s="341"/>
      <c r="T152" s="30">
        <f>TablePC[[#This Row],[Av DM 105]]</f>
        <v>20.831379821909206</v>
      </c>
      <c r="U152" s="341"/>
      <c r="V152" s="30">
        <f>'2.3 ADF'!Q152</f>
        <v>34.742223275251973</v>
      </c>
      <c r="W152" s="341"/>
      <c r="X152" s="30">
        <f>'2.4 NDF'!Q152</f>
        <v>52.904978289855386</v>
      </c>
      <c r="Y152" s="341"/>
    </row>
    <row r="153" spans="2:25" x14ac:dyDescent="0.35">
      <c r="B153" s="19">
        <f t="shared" si="74"/>
        <v>143</v>
      </c>
      <c r="C153" s="199">
        <f>'2.1. DM'!C153</f>
        <v>46048</v>
      </c>
      <c r="D153" s="199" t="str">
        <f>'2.1. DM'!D153</f>
        <v>Genbank</v>
      </c>
      <c r="E153" s="200">
        <f>'2.1. DM'!E153</f>
        <v>28</v>
      </c>
      <c r="F153" s="199" t="str">
        <f>'2.1. DM'!F153</f>
        <v>F252583</v>
      </c>
      <c r="G153" s="199" t="str">
        <f>'2.1. DM'!G153</f>
        <v>CIAT4141</v>
      </c>
      <c r="H153" s="199" t="str">
        <f>'2.1. DM'!H153</f>
        <v>Vigna</v>
      </c>
      <c r="I153" s="199" t="str">
        <f>'2.1. DM'!I153</f>
        <v>radiata</v>
      </c>
      <c r="J153" s="199" t="str">
        <f>'2.1. DM'!J153</f>
        <v>Vigna radiata</v>
      </c>
      <c r="K153" s="199" t="str">
        <f>'2.1. DM'!K153</f>
        <v>Fabaceae</v>
      </c>
      <c r="L153" s="199" t="str">
        <f>'2.1. DM'!L153</f>
        <v>Fabales</v>
      </c>
      <c r="M153" s="199" t="str">
        <f>'2.1. DM'!M153</f>
        <v>Herbaceous</v>
      </c>
      <c r="N153" s="310">
        <f>'2.1. DM'!P153</f>
        <v>90.879999999999939</v>
      </c>
      <c r="O153" s="341">
        <f>AVERAGE(N155:N156)</f>
        <v>92.056984484338841</v>
      </c>
      <c r="P153" s="18">
        <f>'2.1. DM'!R153</f>
        <v>11.919829275333054</v>
      </c>
      <c r="Q153" s="341">
        <f>AVERAGE(P155:P156)</f>
        <v>11.967859120708429</v>
      </c>
      <c r="R153" s="18">
        <f>'2.1. DM'!T153</f>
        <v>88.080170724666942</v>
      </c>
      <c r="S153" s="341">
        <f>AVERAGE(R155:R156)</f>
        <v>88.032140879291575</v>
      </c>
      <c r="T153" s="30">
        <f>TablePC[[#This Row],[Av DM 105]]</f>
        <v>19.795833763339559</v>
      </c>
      <c r="U153" s="341">
        <f t="shared" ref="U153" si="81">AVERAGE(T153:T154)</f>
        <v>19.482004753296192</v>
      </c>
      <c r="V153" s="30">
        <f>'2.3 ADF'!Q153</f>
        <v>28.073702293807472</v>
      </c>
      <c r="W153" s="341">
        <f>AVERAGE(V155:V156)</f>
        <v>24.331266928502892</v>
      </c>
      <c r="X153" s="30">
        <f>'2.4 NDF'!Q153</f>
        <v>48.460377156574459</v>
      </c>
      <c r="Y153" s="341">
        <f>AVERAGE(X155:X156)</f>
        <v>48.316443559511612</v>
      </c>
    </row>
    <row r="154" spans="2:25" x14ac:dyDescent="0.35">
      <c r="B154" s="19">
        <f t="shared" si="74"/>
        <v>144</v>
      </c>
      <c r="C154" s="199">
        <f>'2.1. DM'!C154</f>
        <v>46048</v>
      </c>
      <c r="D154" s="199" t="str">
        <f>'2.1. DM'!D154</f>
        <v>Genbank</v>
      </c>
      <c r="E154" s="200">
        <f>'2.1. DM'!E154</f>
        <v>28</v>
      </c>
      <c r="F154" s="199" t="str">
        <f>'2.1. DM'!F154</f>
        <v>F252583</v>
      </c>
      <c r="G154" s="199" t="str">
        <f>'2.1. DM'!G154</f>
        <v>CIAT4141</v>
      </c>
      <c r="H154" s="199" t="str">
        <f>'2.1. DM'!H154</f>
        <v>Vigna</v>
      </c>
      <c r="I154" s="199" t="str">
        <f>'2.1. DM'!I154</f>
        <v>radiata</v>
      </c>
      <c r="J154" s="199" t="str">
        <f>'2.1. DM'!J154</f>
        <v>Vigna radiata</v>
      </c>
      <c r="K154" s="199" t="str">
        <f>'2.1. DM'!K154</f>
        <v>Fabaceae</v>
      </c>
      <c r="L154" s="199" t="str">
        <f>'2.1. DM'!L154</f>
        <v>Fabales</v>
      </c>
      <c r="M154" s="199" t="str">
        <f>'2.1. DM'!M154</f>
        <v>Herbaceous</v>
      </c>
      <c r="N154" s="310">
        <f>'2.1. DM'!P154</f>
        <v>91.001799640072136</v>
      </c>
      <c r="O154" s="341"/>
      <c r="P154" s="18">
        <f>'2.1. DM'!R154</f>
        <v>11.719554619984777</v>
      </c>
      <c r="Q154" s="341"/>
      <c r="R154" s="18">
        <f>'2.1. DM'!T154</f>
        <v>88.280445380015223</v>
      </c>
      <c r="S154" s="341"/>
      <c r="T154" s="30">
        <f>TablePC[[#This Row],[Av DM 105]]</f>
        <v>19.168175743252824</v>
      </c>
      <c r="U154" s="341"/>
      <c r="V154" s="30">
        <f>'2.3 ADF'!Q154</f>
        <v>27.899617679386228</v>
      </c>
      <c r="W154" s="341"/>
      <c r="X154" s="30">
        <f>'2.4 NDF'!Q154</f>
        <v>49.829109660607358</v>
      </c>
      <c r="Y154" s="341"/>
    </row>
    <row r="155" spans="2:25" x14ac:dyDescent="0.35">
      <c r="B155" s="19">
        <f t="shared" si="74"/>
        <v>145</v>
      </c>
      <c r="C155" s="199">
        <f>'2.1. DM'!C155</f>
        <v>46048</v>
      </c>
      <c r="D155" s="199" t="str">
        <f>'2.1. DM'!D155</f>
        <v>Genbank</v>
      </c>
      <c r="E155" s="200">
        <f>'2.1. DM'!E155</f>
        <v>28</v>
      </c>
      <c r="F155" s="199" t="str">
        <f>'2.1. DM'!F155</f>
        <v>F252584</v>
      </c>
      <c r="G155" s="199" t="str">
        <f>'2.1. DM'!G155</f>
        <v>CIAT4532</v>
      </c>
      <c r="H155" s="199" t="str">
        <f>'2.1. DM'!H155</f>
        <v>Vigna</v>
      </c>
      <c r="I155" s="199" t="str">
        <f>'2.1. DM'!I155</f>
        <v>unguiculata</v>
      </c>
      <c r="J155" s="199" t="str">
        <f>'2.1. DM'!J155</f>
        <v>Vigna unguiculata</v>
      </c>
      <c r="K155" s="199" t="str">
        <f>'2.1. DM'!K155</f>
        <v>Fabaceae</v>
      </c>
      <c r="L155" s="199" t="str">
        <f>'2.1. DM'!L155</f>
        <v>Fabales</v>
      </c>
      <c r="M155" s="199" t="str">
        <f>'2.1. DM'!M155</f>
        <v>Herbaceous</v>
      </c>
      <c r="N155" s="310">
        <f>'2.1. DM'!P155</f>
        <v>92.0315936812638</v>
      </c>
      <c r="O155" s="341">
        <f>AVERAGE(N157:N158)</f>
        <v>92.22311644007398</v>
      </c>
      <c r="P155" s="18">
        <f>'2.1. DM'!R155</f>
        <v>12.06619846015148</v>
      </c>
      <c r="Q155" s="341">
        <f>AVERAGE(P157:P158)</f>
        <v>12.063732667268386</v>
      </c>
      <c r="R155" s="18">
        <f>'2.1. DM'!T155</f>
        <v>87.933801539848517</v>
      </c>
      <c r="S155" s="341">
        <f>AVERAGE(R157:R158)</f>
        <v>87.936267332731617</v>
      </c>
      <c r="T155" s="30">
        <f>TablePC[[#This Row],[Av DM 105]]</f>
        <v>18.936281801589576</v>
      </c>
      <c r="U155" s="341">
        <f t="shared" ref="U155" si="82">AVERAGE(T155:T156)</f>
        <v>18.936281801589576</v>
      </c>
      <c r="V155" s="30">
        <f>'2.3 ADF'!Q155</f>
        <v>24.100880154676435</v>
      </c>
      <c r="W155" s="341">
        <f>AVERAGE(V157:V158)</f>
        <v>28.020445886907702</v>
      </c>
      <c r="X155" s="30">
        <f>'2.4 NDF'!Q155</f>
        <v>48.021707936521743</v>
      </c>
      <c r="Y155" s="341">
        <f>AVERAGE(X157:X158)</f>
        <v>49.629956750895957</v>
      </c>
    </row>
    <row r="156" spans="2:25" x14ac:dyDescent="0.35">
      <c r="B156" s="19">
        <f t="shared" si="74"/>
        <v>146</v>
      </c>
      <c r="C156" s="199">
        <f>'2.1. DM'!C156</f>
        <v>46048</v>
      </c>
      <c r="D156" s="199" t="str">
        <f>'2.1. DM'!D156</f>
        <v>Genbank</v>
      </c>
      <c r="E156" s="200">
        <f>'2.1. DM'!E156</f>
        <v>28</v>
      </c>
      <c r="F156" s="199" t="str">
        <f>'2.1. DM'!F156</f>
        <v>F252584</v>
      </c>
      <c r="G156" s="199" t="str">
        <f>'2.1. DM'!G156</f>
        <v>CIAT4532</v>
      </c>
      <c r="H156" s="199" t="str">
        <f>'2.1. DM'!H156</f>
        <v>Vigna</v>
      </c>
      <c r="I156" s="199" t="str">
        <f>'2.1. DM'!I156</f>
        <v>unguiculata</v>
      </c>
      <c r="J156" s="199" t="str">
        <f>'2.1. DM'!J156</f>
        <v>Vigna unguiculata</v>
      </c>
      <c r="K156" s="199" t="str">
        <f>'2.1. DM'!K156</f>
        <v>Fabaceae</v>
      </c>
      <c r="L156" s="199" t="str">
        <f>'2.1. DM'!L156</f>
        <v>Fabales</v>
      </c>
      <c r="M156" s="199" t="str">
        <f>'2.1. DM'!M156</f>
        <v>Herbaceous</v>
      </c>
      <c r="N156" s="310">
        <f>'2.1. DM'!P156</f>
        <v>92.082375287413882</v>
      </c>
      <c r="O156" s="341"/>
      <c r="P156" s="18">
        <f>'2.1. DM'!R156</f>
        <v>11.869519781265376</v>
      </c>
      <c r="Q156" s="341"/>
      <c r="R156" s="18">
        <f>'2.1. DM'!T156</f>
        <v>88.130480218734618</v>
      </c>
      <c r="S156" s="341"/>
      <c r="T156" s="30">
        <f>TablePC[[#This Row],[Av DM 105]]</f>
        <v>18.936281801589576</v>
      </c>
      <c r="U156" s="341"/>
      <c r="V156" s="30">
        <f>'2.3 ADF'!Q156</f>
        <v>24.561653702329348</v>
      </c>
      <c r="W156" s="341"/>
      <c r="X156" s="30">
        <f>'2.4 NDF'!Q156</f>
        <v>48.611179182501481</v>
      </c>
      <c r="Y156" s="341"/>
    </row>
    <row r="157" spans="2:25" x14ac:dyDescent="0.35">
      <c r="B157" s="19">
        <f t="shared" si="74"/>
        <v>147</v>
      </c>
      <c r="C157" s="199">
        <f>'2.1. DM'!C157</f>
        <v>46048</v>
      </c>
      <c r="D157" s="199" t="str">
        <f>'2.1. DM'!D157</f>
        <v>Genbank</v>
      </c>
      <c r="E157" s="200">
        <f>'2.1. DM'!E157</f>
        <v>28</v>
      </c>
      <c r="F157" s="199" t="str">
        <f>'2.1. DM'!F157</f>
        <v>F252585</v>
      </c>
      <c r="G157" s="199" t="str">
        <f>'2.1. DM'!G157</f>
        <v>CIAT4537</v>
      </c>
      <c r="H157" s="199" t="str">
        <f>'2.1. DM'!H157</f>
        <v>Vigna</v>
      </c>
      <c r="I157" s="199" t="str">
        <f>'2.1. DM'!I157</f>
        <v>unguiculata</v>
      </c>
      <c r="J157" s="199" t="str">
        <f>'2.1. DM'!J157</f>
        <v>Vigna unguiculata</v>
      </c>
      <c r="K157" s="199" t="str">
        <f>'2.1. DM'!K157</f>
        <v>Fabaceae</v>
      </c>
      <c r="L157" s="199" t="str">
        <f>'2.1. DM'!L157</f>
        <v>Fabales</v>
      </c>
      <c r="M157" s="199" t="str">
        <f>'2.1. DM'!M157</f>
        <v>Herbaceous</v>
      </c>
      <c r="N157" s="310">
        <f>'2.1. DM'!P157</f>
        <v>92.251549690062063</v>
      </c>
      <c r="O157" s="341">
        <f>AVERAGE(N159:N160)</f>
        <v>91.40629561131658</v>
      </c>
      <c r="P157" s="18">
        <f>'2.1. DM'!R157</f>
        <v>12.06614444908911</v>
      </c>
      <c r="Q157" s="341">
        <f>AVERAGE(P159:P160)</f>
        <v>5.7482120859845942</v>
      </c>
      <c r="R157" s="18">
        <f>'2.1. DM'!T157</f>
        <v>87.933855550910891</v>
      </c>
      <c r="S157" s="341">
        <f>AVERAGE(R159:R160)</f>
        <v>94.251787914015409</v>
      </c>
      <c r="T157" s="30">
        <f>TablePC[[#This Row],[Av DM 105]]</f>
        <v>25.084380889854529</v>
      </c>
      <c r="U157" s="341">
        <f t="shared" ref="U157" si="83">AVERAGE(T157:T158)</f>
        <v>25.084380889854529</v>
      </c>
      <c r="V157" s="30">
        <f>'2.3 ADF'!Q157</f>
        <v>28.169096793048322</v>
      </c>
      <c r="W157" s="341">
        <f>AVERAGE(V159:V160)</f>
        <v>36.536739109847815</v>
      </c>
      <c r="X157" s="30">
        <f>'2.4 NDF'!Q157</f>
        <v>51.303127441771601</v>
      </c>
      <c r="Y157" s="341">
        <f>AVERAGE(X159:X160)</f>
        <v>57.453768903661569</v>
      </c>
    </row>
    <row r="158" spans="2:25" x14ac:dyDescent="0.35">
      <c r="B158" s="19">
        <f t="shared" si="74"/>
        <v>148</v>
      </c>
      <c r="C158" s="199">
        <f>'2.1. DM'!C158</f>
        <v>46048</v>
      </c>
      <c r="D158" s="199" t="str">
        <f>'2.1. DM'!D158</f>
        <v>Genbank</v>
      </c>
      <c r="E158" s="200">
        <f>'2.1. DM'!E158</f>
        <v>28</v>
      </c>
      <c r="F158" s="199" t="str">
        <f>'2.1. DM'!F158</f>
        <v>F252585</v>
      </c>
      <c r="G158" s="199" t="str">
        <f>'2.1. DM'!G158</f>
        <v>CIAT4537</v>
      </c>
      <c r="H158" s="199" t="str">
        <f>'2.1. DM'!H158</f>
        <v>Vigna</v>
      </c>
      <c r="I158" s="199" t="str">
        <f>'2.1. DM'!I158</f>
        <v>unguiculata</v>
      </c>
      <c r="J158" s="199" t="str">
        <f>'2.1. DM'!J158</f>
        <v>Vigna unguiculata</v>
      </c>
      <c r="K158" s="199" t="str">
        <f>'2.1. DM'!K158</f>
        <v>Fabaceae</v>
      </c>
      <c r="L158" s="199" t="str">
        <f>'2.1. DM'!L158</f>
        <v>Fabales</v>
      </c>
      <c r="M158" s="199" t="str">
        <f>'2.1. DM'!M158</f>
        <v>Herbaceous</v>
      </c>
      <c r="N158" s="310">
        <f>'2.1. DM'!P158</f>
        <v>92.194683190085897</v>
      </c>
      <c r="O158" s="341"/>
      <c r="P158" s="18">
        <f>'2.1. DM'!R158</f>
        <v>12.06132088544766</v>
      </c>
      <c r="Q158" s="341"/>
      <c r="R158" s="18">
        <f>'2.1. DM'!T158</f>
        <v>87.938679114552343</v>
      </c>
      <c r="S158" s="341"/>
      <c r="T158" s="30">
        <f>TablePC[[#This Row],[Av DM 105]]</f>
        <v>25.084380889854529</v>
      </c>
      <c r="U158" s="341"/>
      <c r="V158" s="30">
        <f>'2.3 ADF'!Q158</f>
        <v>27.871794980767078</v>
      </c>
      <c r="W158" s="341"/>
      <c r="X158" s="30">
        <f>'2.4 NDF'!Q158</f>
        <v>47.956786060020306</v>
      </c>
      <c r="Y158" s="341"/>
    </row>
    <row r="159" spans="2:25" x14ac:dyDescent="0.35">
      <c r="B159" s="19">
        <f t="shared" si="74"/>
        <v>149</v>
      </c>
      <c r="C159" s="199">
        <f>'2.1. DM'!C159</f>
        <v>46048</v>
      </c>
      <c r="D159" s="199" t="str">
        <f>'2.1. DM'!D159</f>
        <v>Genbank</v>
      </c>
      <c r="E159" s="200">
        <f>'2.1. DM'!E159</f>
        <v>28</v>
      </c>
      <c r="F159" s="199" t="str">
        <f>'2.1. DM'!F159</f>
        <v>F252586</v>
      </c>
      <c r="G159" s="199" t="str">
        <f>'2.1. DM'!G159</f>
        <v>CIAT7289</v>
      </c>
      <c r="H159" s="199" t="str">
        <f>'2.1. DM'!H159</f>
        <v>Chamaecrista</v>
      </c>
      <c r="I159" s="199" t="str">
        <f>'2.1. DM'!I159</f>
        <v>mimosoides</v>
      </c>
      <c r="J159" s="199" t="str">
        <f>'2.1. DM'!J159</f>
        <v>Chamaecrista mimosoides</v>
      </c>
      <c r="K159" s="199" t="str">
        <f>'2.1. DM'!K159</f>
        <v>Fabaceae</v>
      </c>
      <c r="L159" s="199" t="str">
        <f>'2.1. DM'!L159</f>
        <v>Fabales</v>
      </c>
      <c r="M159" s="199" t="str">
        <f>'2.1. DM'!M159</f>
        <v>Herbaceous</v>
      </c>
      <c r="N159" s="310">
        <f>'2.1. DM'!P159</f>
        <v>91.449999999999946</v>
      </c>
      <c r="O159" s="341">
        <f>AVERAGE(N161:N162)</f>
        <v>90.756850037279605</v>
      </c>
      <c r="P159" s="18">
        <f>'2.1. DM'!R159</f>
        <v>5.8639286978570384</v>
      </c>
      <c r="Q159" s="341">
        <f>AVERAGE(P161:P162)</f>
        <v>8.3227821066313989</v>
      </c>
      <c r="R159" s="18">
        <f>'2.1. DM'!T159</f>
        <v>94.136071302142966</v>
      </c>
      <c r="S159" s="341">
        <f>AVERAGE(R161:R162)</f>
        <v>91.677217893368606</v>
      </c>
      <c r="T159" s="30">
        <f>TablePC[[#This Row],[Av DM 105]]</f>
        <v>18.559443730372223</v>
      </c>
      <c r="U159" s="341">
        <f t="shared" ref="U159" si="84">AVERAGE(T159:T160)</f>
        <v>18.559443730372223</v>
      </c>
      <c r="V159" s="30">
        <f>'2.3 ADF'!Q159</f>
        <v>37.055952980039585</v>
      </c>
      <c r="W159" s="341">
        <f>AVERAGE(V161:V162)</f>
        <v>29.573516803055071</v>
      </c>
      <c r="X159" s="30">
        <f>'2.4 NDF'!Q159</f>
        <v>58.07161357174737</v>
      </c>
      <c r="Y159" s="341">
        <f>AVERAGE(X161:X162)</f>
        <v>53.568952195974695</v>
      </c>
    </row>
    <row r="160" spans="2:25" x14ac:dyDescent="0.35">
      <c r="B160" s="19">
        <f t="shared" si="74"/>
        <v>150</v>
      </c>
      <c r="C160" s="199">
        <f>'2.1. DM'!C160</f>
        <v>46048</v>
      </c>
      <c r="D160" s="199" t="str">
        <f>'2.1. DM'!D160</f>
        <v>Genbank</v>
      </c>
      <c r="E160" s="200">
        <f>'2.1. DM'!E160</f>
        <v>28</v>
      </c>
      <c r="F160" s="199" t="str">
        <f>'2.1. DM'!F160</f>
        <v>F252586</v>
      </c>
      <c r="G160" s="199" t="str">
        <f>'2.1. DM'!G160</f>
        <v>CIAT7289</v>
      </c>
      <c r="H160" s="199" t="str">
        <f>'2.1. DM'!H160</f>
        <v>Chamaecrista</v>
      </c>
      <c r="I160" s="199" t="str">
        <f>'2.1. DM'!I160</f>
        <v>mimosoides</v>
      </c>
      <c r="J160" s="199" t="str">
        <f>'2.1. DM'!J160</f>
        <v>Chamaecrista mimosoides</v>
      </c>
      <c r="K160" s="199" t="str">
        <f>'2.1. DM'!K160</f>
        <v>Fabaceae</v>
      </c>
      <c r="L160" s="199" t="str">
        <f>'2.1. DM'!L160</f>
        <v>Fabales</v>
      </c>
      <c r="M160" s="199" t="str">
        <f>'2.1. DM'!M160</f>
        <v>Herbaceous</v>
      </c>
      <c r="N160" s="310">
        <f>'2.1. DM'!P160</f>
        <v>91.362591222633199</v>
      </c>
      <c r="O160" s="341"/>
      <c r="P160" s="18">
        <f>'2.1. DM'!R160</f>
        <v>5.6324954741121509</v>
      </c>
      <c r="Q160" s="341"/>
      <c r="R160" s="18">
        <f>'2.1. DM'!T160</f>
        <v>94.367504525887853</v>
      </c>
      <c r="S160" s="341"/>
      <c r="T160" s="30">
        <f>TablePC[[#This Row],[Av DM 105]]</f>
        <v>18.559443730372223</v>
      </c>
      <c r="U160" s="341"/>
      <c r="V160" s="30">
        <f>'2.3 ADF'!Q160</f>
        <v>36.017525239656038</v>
      </c>
      <c r="W160" s="341"/>
      <c r="X160" s="30">
        <f>'2.4 NDF'!Q160</f>
        <v>56.835924235575774</v>
      </c>
      <c r="Y160" s="341"/>
    </row>
    <row r="161" spans="2:25" x14ac:dyDescent="0.35">
      <c r="B161" s="19">
        <f t="shared" si="74"/>
        <v>151</v>
      </c>
      <c r="C161" s="199">
        <f>'2.1. DM'!C161</f>
        <v>46048</v>
      </c>
      <c r="D161" s="199" t="str">
        <f>'2.1. DM'!D161</f>
        <v>Genbank</v>
      </c>
      <c r="E161" s="200">
        <f>'2.1. DM'!E161</f>
        <v>28</v>
      </c>
      <c r="F161" s="199" t="str">
        <f>'2.1. DM'!F161</f>
        <v>F252587</v>
      </c>
      <c r="G161" s="199" t="str">
        <f>'2.1. DM'!G161</f>
        <v>CIAT7826</v>
      </c>
      <c r="H161" s="199" t="str">
        <f>'2.1. DM'!H161</f>
        <v>Tephrosia</v>
      </c>
      <c r="I161" s="199" t="str">
        <f>'2.1. DM'!I161</f>
        <v>purpurea</v>
      </c>
      <c r="J161" s="199" t="str">
        <f>'2.1. DM'!J161</f>
        <v>Tephrosia purpurea</v>
      </c>
      <c r="K161" s="199" t="str">
        <f>'2.1. DM'!K161</f>
        <v>Fabaceae</v>
      </c>
      <c r="L161" s="199" t="str">
        <f>'2.1. DM'!L161</f>
        <v>Fabales</v>
      </c>
      <c r="M161" s="199" t="str">
        <f>'2.1. DM'!M161</f>
        <v>Herbaceous</v>
      </c>
      <c r="N161" s="310">
        <f>'2.1. DM'!P161</f>
        <v>90.742777166849962</v>
      </c>
      <c r="O161" s="341">
        <f>AVERAGE(N163:N164)</f>
        <v>91.313910044456179</v>
      </c>
      <c r="P161" s="18">
        <f>'2.1. DM'!R161</f>
        <v>8.2613606264626611</v>
      </c>
      <c r="Q161" s="341">
        <f>AVERAGE(P163:P164)</f>
        <v>8.9321844106076647</v>
      </c>
      <c r="R161" s="18">
        <f>'2.1. DM'!T161</f>
        <v>91.738639373537339</v>
      </c>
      <c r="S161" s="341">
        <f>AVERAGE(R163:R164)</f>
        <v>91.067815589392325</v>
      </c>
      <c r="T161" s="30">
        <f>TablePC[[#This Row],[Av DM 105]]</f>
        <v>21.70179374941814</v>
      </c>
      <c r="U161" s="341">
        <f t="shared" ref="U161" si="85">AVERAGE(T161:T162)</f>
        <v>21.70179374941814</v>
      </c>
      <c r="V161" s="30">
        <f>'2.3 ADF'!Q161</f>
        <v>29.581258475242024</v>
      </c>
      <c r="W161" s="341">
        <f>AVERAGE(V163:V164)</f>
        <v>30.015327904223529</v>
      </c>
      <c r="X161" s="30">
        <f>'2.4 NDF'!Q161</f>
        <v>53.011804370416748</v>
      </c>
      <c r="Y161" s="341">
        <f>AVERAGE(X163:X164)</f>
        <v>54.878367369837591</v>
      </c>
    </row>
    <row r="162" spans="2:25" x14ac:dyDescent="0.35">
      <c r="B162" s="19">
        <f t="shared" si="74"/>
        <v>152</v>
      </c>
      <c r="C162" s="199">
        <f>'2.1. DM'!C162</f>
        <v>46048</v>
      </c>
      <c r="D162" s="199" t="str">
        <f>'2.1. DM'!D162</f>
        <v>Genbank</v>
      </c>
      <c r="E162" s="200">
        <f>'2.1. DM'!E162</f>
        <v>28</v>
      </c>
      <c r="F162" s="199" t="str">
        <f>'2.1. DM'!F162</f>
        <v>F252587</v>
      </c>
      <c r="G162" s="199" t="str">
        <f>'2.1. DM'!G162</f>
        <v>CIAT7826</v>
      </c>
      <c r="H162" s="199" t="str">
        <f>'2.1. DM'!H162</f>
        <v>Tephrosia</v>
      </c>
      <c r="I162" s="199" t="str">
        <f>'2.1. DM'!I162</f>
        <v>purpurea</v>
      </c>
      <c r="J162" s="199" t="str">
        <f>'2.1. DM'!J162</f>
        <v>Tephrosia purpurea</v>
      </c>
      <c r="K162" s="199" t="str">
        <f>'2.1. DM'!K162</f>
        <v>Fabaceae</v>
      </c>
      <c r="L162" s="199" t="str">
        <f>'2.1. DM'!L162</f>
        <v>Fabales</v>
      </c>
      <c r="M162" s="199" t="str">
        <f>'2.1. DM'!M162</f>
        <v>Herbaceous</v>
      </c>
      <c r="N162" s="310">
        <f>'2.1. DM'!P162</f>
        <v>90.770922907709235</v>
      </c>
      <c r="O162" s="341"/>
      <c r="P162" s="18">
        <f>'2.1. DM'!R162</f>
        <v>8.3842035868001368</v>
      </c>
      <c r="Q162" s="341"/>
      <c r="R162" s="18">
        <f>'2.1. DM'!T162</f>
        <v>91.61579641319986</v>
      </c>
      <c r="S162" s="341"/>
      <c r="T162" s="30">
        <f>TablePC[[#This Row],[Av DM 105]]</f>
        <v>21.70179374941814</v>
      </c>
      <c r="U162" s="341"/>
      <c r="V162" s="30">
        <f>'2.3 ADF'!Q162</f>
        <v>29.565775130868122</v>
      </c>
      <c r="W162" s="341"/>
      <c r="X162" s="30">
        <f>'2.4 NDF'!Q162</f>
        <v>54.126100021532643</v>
      </c>
      <c r="Y162" s="341"/>
    </row>
    <row r="163" spans="2:25" x14ac:dyDescent="0.35">
      <c r="B163" s="19">
        <f t="shared" si="74"/>
        <v>153</v>
      </c>
      <c r="C163" s="199">
        <f>'2.1. DM'!C163</f>
        <v>46048</v>
      </c>
      <c r="D163" s="199" t="str">
        <f>'2.1. DM'!D163</f>
        <v>Genbank</v>
      </c>
      <c r="E163" s="200">
        <f>'2.1. DM'!E163</f>
        <v>28</v>
      </c>
      <c r="F163" s="199" t="str">
        <f>'2.1. DM'!F163</f>
        <v>F252588</v>
      </c>
      <c r="G163" s="199" t="str">
        <f>'2.1. DM'!G163</f>
        <v>CIAT8014</v>
      </c>
      <c r="H163" s="199" t="str">
        <f>'2.1. DM'!H163</f>
        <v>Crotalaria</v>
      </c>
      <c r="I163" s="199" t="str">
        <f>'2.1. DM'!I163</f>
        <v>retusa</v>
      </c>
      <c r="J163" s="199" t="str">
        <f>'2.1. DM'!J163</f>
        <v>Crotalaria retusa</v>
      </c>
      <c r="K163" s="199" t="str">
        <f>'2.1. DM'!K163</f>
        <v>Fabaceae</v>
      </c>
      <c r="L163" s="199" t="str">
        <f>'2.1. DM'!L163</f>
        <v>Fabales</v>
      </c>
      <c r="M163" s="199" t="str">
        <f>'2.1. DM'!M163</f>
        <v>Herbaceous</v>
      </c>
      <c r="N163" s="310">
        <f>'2.1. DM'!P163</f>
        <v>91.322603219034207</v>
      </c>
      <c r="O163" s="341">
        <f t="shared" si="55"/>
        <v>91.313910044456179</v>
      </c>
      <c r="P163" s="18">
        <f>'2.1. DM'!R163</f>
        <v>8.911631019215335</v>
      </c>
      <c r="Q163" s="341">
        <f t="shared" si="56"/>
        <v>8.9321844106076647</v>
      </c>
      <c r="R163" s="18">
        <f>'2.1. DM'!T163</f>
        <v>91.088368980784665</v>
      </c>
      <c r="S163" s="341">
        <f t="shared" si="56"/>
        <v>91.067815589392325</v>
      </c>
      <c r="T163" s="30">
        <f>TablePC[[#This Row],[Av DM 105]]</f>
        <v>21.183406489283914</v>
      </c>
      <c r="U163" s="341">
        <f t="shared" ref="U163" si="86">AVERAGE(T163:T164)</f>
        <v>21.183406489283914</v>
      </c>
      <c r="V163" s="30">
        <f>'2.3 ADF'!Q163</f>
        <v>31.01340150567945</v>
      </c>
      <c r="W163" s="341">
        <f t="shared" si="56"/>
        <v>30.015327904223529</v>
      </c>
      <c r="X163" s="30">
        <f>'2.4 NDF'!Q163</f>
        <v>56.562950913824004</v>
      </c>
      <c r="Y163" s="341">
        <f t="shared" si="56"/>
        <v>54.878367369837591</v>
      </c>
    </row>
    <row r="164" spans="2:25" x14ac:dyDescent="0.35">
      <c r="B164" s="19">
        <f t="shared" si="74"/>
        <v>154</v>
      </c>
      <c r="C164" s="199">
        <f>'2.1. DM'!C164</f>
        <v>46048</v>
      </c>
      <c r="D164" s="199" t="str">
        <f>'2.1. DM'!D164</f>
        <v>Genbank</v>
      </c>
      <c r="E164" s="200">
        <f>'2.1. DM'!E164</f>
        <v>28</v>
      </c>
      <c r="F164" s="199" t="str">
        <f>'2.1. DM'!F164</f>
        <v>F252588</v>
      </c>
      <c r="G164" s="199" t="str">
        <f>'2.1. DM'!G164</f>
        <v>CIAT8014</v>
      </c>
      <c r="H164" s="199" t="str">
        <f>'2.1. DM'!H164</f>
        <v>Crotalaria</v>
      </c>
      <c r="I164" s="199" t="str">
        <f>'2.1. DM'!I164</f>
        <v>retusa</v>
      </c>
      <c r="J164" s="199" t="str">
        <f>'2.1. DM'!J164</f>
        <v>Crotalaria retusa</v>
      </c>
      <c r="K164" s="199" t="str">
        <f>'2.1. DM'!K164</f>
        <v>Fabaceae</v>
      </c>
      <c r="L164" s="199" t="str">
        <f>'2.1. DM'!L164</f>
        <v>Fabales</v>
      </c>
      <c r="M164" s="199" t="str">
        <f>'2.1. DM'!M164</f>
        <v>Herbaceous</v>
      </c>
      <c r="N164" s="310">
        <f>'2.1. DM'!P164</f>
        <v>91.305216869878151</v>
      </c>
      <c r="O164" s="341"/>
      <c r="P164" s="18">
        <f>'2.1. DM'!R164</f>
        <v>8.9527378019999944</v>
      </c>
      <c r="Q164" s="341"/>
      <c r="R164" s="18">
        <f>'2.1. DM'!T164</f>
        <v>91.047262197999999</v>
      </c>
      <c r="S164" s="341"/>
      <c r="T164" s="30">
        <f>TablePC[[#This Row],[Av DM 105]]</f>
        <v>21.183406489283914</v>
      </c>
      <c r="U164" s="341"/>
      <c r="V164" s="30">
        <f>'2.3 ADF'!Q164</f>
        <v>29.017254302767608</v>
      </c>
      <c r="W164" s="341"/>
      <c r="X164" s="30">
        <f>'2.4 NDF'!Q164</f>
        <v>53.193783825851185</v>
      </c>
      <c r="Y164" s="341"/>
    </row>
    <row r="165" spans="2:25" x14ac:dyDescent="0.35">
      <c r="B165" s="19">
        <f t="shared" si="74"/>
        <v>155</v>
      </c>
      <c r="C165" s="199">
        <f>'2.1. DM'!C165</f>
        <v>46048</v>
      </c>
      <c r="D165" s="199" t="str">
        <f>'2.1. DM'!D165</f>
        <v>Genbank</v>
      </c>
      <c r="E165" s="200">
        <f>'2.1. DM'!E165</f>
        <v>28</v>
      </c>
      <c r="F165" s="199" t="str">
        <f>'2.1. DM'!F165</f>
        <v>F252589</v>
      </c>
      <c r="G165" s="199" t="str">
        <f>'2.1. DM'!G165</f>
        <v>CIAT8849</v>
      </c>
      <c r="H165" s="199" t="str">
        <f>'2.1. DM'!H165</f>
        <v>Zornia</v>
      </c>
      <c r="I165" s="199" t="str">
        <f>'2.1. DM'!I165</f>
        <v>brasiliensis</v>
      </c>
      <c r="J165" s="199" t="str">
        <f>'2.1. DM'!J165</f>
        <v>Zornia brasiliensis</v>
      </c>
      <c r="K165" s="199" t="str">
        <f>'2.1. DM'!K165</f>
        <v>Fabaceae</v>
      </c>
      <c r="L165" s="199" t="str">
        <f>'2.1. DM'!L165</f>
        <v>Fabales</v>
      </c>
      <c r="M165" s="199" t="str">
        <f>'2.1. DM'!M165</f>
        <v>Herbaceous</v>
      </c>
      <c r="N165" s="310">
        <f>'2.1. DM'!P165</f>
        <v>90.240000000000009</v>
      </c>
      <c r="O165" s="341">
        <f t="shared" si="55"/>
        <v>90.255486451354926</v>
      </c>
      <c r="P165" s="18">
        <f>'2.1. DM'!R165</f>
        <v>9.5949845715667994</v>
      </c>
      <c r="Q165" s="341">
        <f t="shared" si="56"/>
        <v>9.6166619723153879</v>
      </c>
      <c r="R165" s="18">
        <f>'2.1. DM'!T165</f>
        <v>90.405015428433202</v>
      </c>
      <c r="S165" s="341">
        <f t="shared" si="56"/>
        <v>90.383338027684616</v>
      </c>
      <c r="T165" s="30">
        <f>TablePC[[#This Row],[Av DM 105]]</f>
        <v>17.570233853358662</v>
      </c>
      <c r="U165" s="341">
        <f t="shared" ref="U165" si="87">AVERAGE(T165:T166)</f>
        <v>17.570233853358662</v>
      </c>
      <c r="V165" s="30">
        <f>'2.3 ADF'!Q165</f>
        <v>27.227431918689334</v>
      </c>
      <c r="W165" s="341">
        <f t="shared" si="56"/>
        <v>26.441387429925108</v>
      </c>
      <c r="X165" s="30">
        <f>'2.4 NDF'!Q165</f>
        <v>52.255957786305643</v>
      </c>
      <c r="Y165" s="341">
        <f t="shared" si="56"/>
        <v>51.955224990697992</v>
      </c>
    </row>
    <row r="166" spans="2:25" x14ac:dyDescent="0.35">
      <c r="B166" s="19">
        <f t="shared" si="74"/>
        <v>156</v>
      </c>
      <c r="C166" s="199">
        <f>'2.1. DM'!C166</f>
        <v>46048</v>
      </c>
      <c r="D166" s="199" t="str">
        <f>'2.1. DM'!D166</f>
        <v>Genbank</v>
      </c>
      <c r="E166" s="200">
        <f>'2.1. DM'!E166</f>
        <v>28</v>
      </c>
      <c r="F166" s="199" t="str">
        <f>'2.1. DM'!F166</f>
        <v>F252589</v>
      </c>
      <c r="G166" s="199" t="str">
        <f>'2.1. DM'!G166</f>
        <v>CIAT8849</v>
      </c>
      <c r="H166" s="199" t="str">
        <f>'2.1. DM'!H166</f>
        <v>Zornia</v>
      </c>
      <c r="I166" s="199" t="str">
        <f>'2.1. DM'!I166</f>
        <v>brasiliensis</v>
      </c>
      <c r="J166" s="199" t="str">
        <f>'2.1. DM'!J166</f>
        <v>Zornia brasiliensis</v>
      </c>
      <c r="K166" s="199" t="str">
        <f>'2.1. DM'!K166</f>
        <v>Fabaceae</v>
      </c>
      <c r="L166" s="199" t="str">
        <f>'2.1. DM'!L166</f>
        <v>Fabales</v>
      </c>
      <c r="M166" s="199" t="str">
        <f>'2.1. DM'!M166</f>
        <v>Herbaceous</v>
      </c>
      <c r="N166" s="310">
        <f>'2.1. DM'!P166</f>
        <v>90.270972902709829</v>
      </c>
      <c r="O166" s="341"/>
      <c r="P166" s="18">
        <f>'2.1. DM'!R166</f>
        <v>9.6383393730639764</v>
      </c>
      <c r="Q166" s="341"/>
      <c r="R166" s="18">
        <f>'2.1. DM'!T166</f>
        <v>90.361660626936029</v>
      </c>
      <c r="S166" s="341"/>
      <c r="T166" s="30">
        <f>TablePC[[#This Row],[Av DM 105]]</f>
        <v>17.570233853358662</v>
      </c>
      <c r="U166" s="341"/>
      <c r="V166" s="30">
        <f>'2.3 ADF'!Q166</f>
        <v>25.655342941160885</v>
      </c>
      <c r="W166" s="341"/>
      <c r="X166" s="30">
        <f>'2.4 NDF'!Q166</f>
        <v>51.654492195090342</v>
      </c>
      <c r="Y166" s="341"/>
    </row>
    <row r="167" spans="2:25" x14ac:dyDescent="0.35">
      <c r="B167" s="19">
        <f t="shared" si="74"/>
        <v>157</v>
      </c>
      <c r="C167" s="199">
        <f>'2.1. DM'!C167</f>
        <v>46048</v>
      </c>
      <c r="D167" s="199" t="str">
        <f>'2.1. DM'!D167</f>
        <v>Genbank</v>
      </c>
      <c r="E167" s="200">
        <f>'2.1. DM'!E167</f>
        <v>28</v>
      </c>
      <c r="F167" s="199" t="str">
        <f>'2.1. DM'!F167</f>
        <v>F252590</v>
      </c>
      <c r="G167" s="199" t="str">
        <f>'2.1. DM'!G167</f>
        <v>CIAT9326</v>
      </c>
      <c r="H167" s="199" t="str">
        <f>'2.1. DM'!H167</f>
        <v>Crotalaria</v>
      </c>
      <c r="I167" s="199" t="str">
        <f>'2.1. DM'!I167</f>
        <v>retusa</v>
      </c>
      <c r="J167" s="199" t="str">
        <f>'2.1. DM'!J167</f>
        <v>Crotalaria retusa</v>
      </c>
      <c r="K167" s="199" t="str">
        <f>'2.1. DM'!K167</f>
        <v>Fabaceae</v>
      </c>
      <c r="L167" s="199" t="str">
        <f>'2.1. DM'!L167</f>
        <v>Fabales</v>
      </c>
      <c r="M167" s="199" t="str">
        <f>'2.1. DM'!M167</f>
        <v>Herbaceous</v>
      </c>
      <c r="N167" s="310">
        <f>'2.1. DM'!P167</f>
        <v>91.940805919407993</v>
      </c>
      <c r="O167" s="341">
        <f t="shared" ref="O167:O191" si="88">AVERAGE(N167:N168)</f>
        <v>92.005799420057954</v>
      </c>
      <c r="P167" s="18">
        <f>'2.1. DM'!R167</f>
        <v>7.7270010324403113</v>
      </c>
      <c r="Q167" s="341">
        <f t="shared" ref="Q167:Y191" si="89">AVERAGE(P167:P168)</f>
        <v>7.7541705156767726</v>
      </c>
      <c r="R167" s="18">
        <f>'2.1. DM'!T167</f>
        <v>92.272998967559687</v>
      </c>
      <c r="S167" s="341">
        <f t="shared" si="89"/>
        <v>92.245829484323224</v>
      </c>
      <c r="T167" s="30">
        <f>TablePC[[#This Row],[Av DM 105]]</f>
        <v>18.839065087506274</v>
      </c>
      <c r="U167" s="341">
        <f t="shared" ref="U167" si="90">AVERAGE(T167:T168)</f>
        <v>18.839065087506274</v>
      </c>
      <c r="V167" s="30">
        <f>'2.3 ADF'!Q167</f>
        <v>32.051671234382816</v>
      </c>
      <c r="W167" s="341">
        <f t="shared" si="89"/>
        <v>32.618395503114101</v>
      </c>
      <c r="X167" s="30">
        <f>'2.4 NDF'!Q167</f>
        <v>49.513120194449748</v>
      </c>
      <c r="Y167" s="341">
        <f t="shared" si="89"/>
        <v>49.992196784000882</v>
      </c>
    </row>
    <row r="168" spans="2:25" x14ac:dyDescent="0.35">
      <c r="B168" s="19">
        <f t="shared" si="74"/>
        <v>158</v>
      </c>
      <c r="C168" s="199">
        <f>'2.1. DM'!C168</f>
        <v>46048</v>
      </c>
      <c r="D168" s="199" t="str">
        <f>'2.1. DM'!D168</f>
        <v>Genbank</v>
      </c>
      <c r="E168" s="200">
        <f>'2.1. DM'!E168</f>
        <v>28</v>
      </c>
      <c r="F168" s="199" t="str">
        <f>'2.1. DM'!F168</f>
        <v>F252590</v>
      </c>
      <c r="G168" s="199" t="str">
        <f>'2.1. DM'!G168</f>
        <v>CIAT9326</v>
      </c>
      <c r="H168" s="199" t="str">
        <f>'2.1. DM'!H168</f>
        <v>Crotalaria</v>
      </c>
      <c r="I168" s="199" t="str">
        <f>'2.1. DM'!I168</f>
        <v>retusa</v>
      </c>
      <c r="J168" s="199" t="str">
        <f>'2.1. DM'!J168</f>
        <v>Crotalaria retusa</v>
      </c>
      <c r="K168" s="199" t="str">
        <f>'2.1. DM'!K168</f>
        <v>Fabaceae</v>
      </c>
      <c r="L168" s="199" t="str">
        <f>'2.1. DM'!L168</f>
        <v>Fabales</v>
      </c>
      <c r="M168" s="199" t="str">
        <f>'2.1. DM'!M168</f>
        <v>Herbaceous</v>
      </c>
      <c r="N168" s="310">
        <f>'2.1. DM'!P168</f>
        <v>92.070792920707916</v>
      </c>
      <c r="O168" s="341"/>
      <c r="P168" s="18">
        <f>'2.1. DM'!R168</f>
        <v>7.7813399989132348</v>
      </c>
      <c r="Q168" s="341"/>
      <c r="R168" s="18">
        <f>'2.1. DM'!T168</f>
        <v>92.218660001086761</v>
      </c>
      <c r="S168" s="341"/>
      <c r="T168" s="30">
        <f>TablePC[[#This Row],[Av DM 105]]</f>
        <v>18.839065087506274</v>
      </c>
      <c r="U168" s="341"/>
      <c r="V168" s="30">
        <f>'2.3 ADF'!Q168</f>
        <v>33.185119771845386</v>
      </c>
      <c r="W168" s="341"/>
      <c r="X168" s="30">
        <f>'2.4 NDF'!Q168</f>
        <v>50.471273373552016</v>
      </c>
      <c r="Y168" s="341"/>
    </row>
    <row r="169" spans="2:25" x14ac:dyDescent="0.35">
      <c r="B169" s="19">
        <f t="shared" si="74"/>
        <v>159</v>
      </c>
      <c r="C169" s="199">
        <f>'2.1. DM'!C169</f>
        <v>46048</v>
      </c>
      <c r="D169" s="199" t="str">
        <f>'2.1. DM'!D169</f>
        <v>Genbank</v>
      </c>
      <c r="E169" s="200">
        <f>'2.1. DM'!E169</f>
        <v>28</v>
      </c>
      <c r="F169" s="199" t="str">
        <f>'2.1. DM'!F169</f>
        <v>F252591</v>
      </c>
      <c r="G169" s="199" t="str">
        <f>'2.1. DM'!G169</f>
        <v>CIAT9337</v>
      </c>
      <c r="H169" s="199" t="str">
        <f>'2.1. DM'!H169</f>
        <v>Crotalaria</v>
      </c>
      <c r="I169" s="199" t="str">
        <f>'2.1. DM'!I169</f>
        <v>retusa</v>
      </c>
      <c r="J169" s="199" t="str">
        <f>'2.1. DM'!J169</f>
        <v>Crotalaria retusa</v>
      </c>
      <c r="K169" s="199" t="str">
        <f>'2.1. DM'!K169</f>
        <v>Fabaceae</v>
      </c>
      <c r="L169" s="199" t="str">
        <f>'2.1. DM'!L169</f>
        <v>Fabales</v>
      </c>
      <c r="M169" s="199" t="str">
        <f>'2.1. DM'!M169</f>
        <v>Herbaceous</v>
      </c>
      <c r="N169" s="310">
        <f>'2.1. DM'!P169</f>
        <v>92.13157368526295</v>
      </c>
      <c r="O169" s="341">
        <f>AVERAGE(N169:N170)</f>
        <v>92.167346218880965</v>
      </c>
      <c r="P169" s="18">
        <f>'2.1. DM'!R169</f>
        <v>8.7866046448847062</v>
      </c>
      <c r="Q169" s="341">
        <f>AVERAGE(P169:P170)</f>
        <v>8.7531898615712507</v>
      </c>
      <c r="R169" s="18">
        <f>'2.1. DM'!T169</f>
        <v>91.213395355115296</v>
      </c>
      <c r="S169" s="341">
        <f>AVERAGE(R169:R170)</f>
        <v>91.246810138428742</v>
      </c>
      <c r="T169" s="30">
        <f>TablePC[[#This Row],[Av DM 105]]</f>
        <v>22.457800610107149</v>
      </c>
      <c r="U169" s="341">
        <f t="shared" ref="U169" si="91">AVERAGE(T169:T170)</f>
        <v>22.457800610107149</v>
      </c>
      <c r="V169" s="30">
        <f>'2.3 ADF'!Q169</f>
        <v>26.159414577112084</v>
      </c>
      <c r="W169" s="341">
        <f>AVERAGE(V169:V170)</f>
        <v>26.102866214574192</v>
      </c>
      <c r="X169" s="30">
        <f>'2.4 NDF'!Q169</f>
        <v>46.742979579213475</v>
      </c>
      <c r="Y169" s="341">
        <f>AVERAGE(X169:X170)</f>
        <v>47.123074652188819</v>
      </c>
    </row>
    <row r="170" spans="2:25" x14ac:dyDescent="0.35">
      <c r="B170" s="19">
        <f t="shared" si="74"/>
        <v>160</v>
      </c>
      <c r="C170" s="199">
        <f>'2.1. DM'!C170</f>
        <v>46048</v>
      </c>
      <c r="D170" s="199" t="str">
        <f>'2.1. DM'!D170</f>
        <v>Genbank</v>
      </c>
      <c r="E170" s="200">
        <f>'2.1. DM'!E170</f>
        <v>28</v>
      </c>
      <c r="F170" s="199" t="str">
        <f>'2.1. DM'!F170</f>
        <v>F252591</v>
      </c>
      <c r="G170" s="199" t="str">
        <f>'2.1. DM'!G170</f>
        <v>CIAT9337</v>
      </c>
      <c r="H170" s="199" t="str">
        <f>'2.1. DM'!H170</f>
        <v>Crotalaria</v>
      </c>
      <c r="I170" s="199" t="str">
        <f>'2.1. DM'!I170</f>
        <v>retusa</v>
      </c>
      <c r="J170" s="199" t="str">
        <f>'2.1. DM'!J170</f>
        <v>Crotalaria retusa</v>
      </c>
      <c r="K170" s="199" t="str">
        <f>'2.1. DM'!K170</f>
        <v>Fabaceae</v>
      </c>
      <c r="L170" s="199" t="str">
        <f>'2.1. DM'!L170</f>
        <v>Fabales</v>
      </c>
      <c r="M170" s="199" t="str">
        <f>'2.1. DM'!M170</f>
        <v>Herbaceous</v>
      </c>
      <c r="N170" s="310">
        <f>'2.1. DM'!P170</f>
        <v>92.203118752498966</v>
      </c>
      <c r="O170" s="341"/>
      <c r="P170" s="18">
        <f>'2.1. DM'!R170</f>
        <v>8.7197750782577952</v>
      </c>
      <c r="Q170" s="341"/>
      <c r="R170" s="18">
        <f>'2.1. DM'!T170</f>
        <v>91.280224921742203</v>
      </c>
      <c r="S170" s="341"/>
      <c r="T170" s="30">
        <f>TablePC[[#This Row],[Av DM 105]]</f>
        <v>22.457800610107149</v>
      </c>
      <c r="U170" s="341"/>
      <c r="V170" s="30">
        <f>'2.3 ADF'!Q170</f>
        <v>26.046317852036299</v>
      </c>
      <c r="W170" s="341"/>
      <c r="X170" s="30">
        <f>'2.4 NDF'!Q170</f>
        <v>47.503169725164156</v>
      </c>
      <c r="Y170" s="341"/>
    </row>
    <row r="171" spans="2:25" x14ac:dyDescent="0.35">
      <c r="B171" s="19">
        <f t="shared" si="74"/>
        <v>161</v>
      </c>
      <c r="C171" s="199">
        <f>'2.1. DM'!C171</f>
        <v>46048</v>
      </c>
      <c r="D171" s="199" t="str">
        <f>'2.1. DM'!D171</f>
        <v>Genbank</v>
      </c>
      <c r="E171" s="200">
        <f>'2.1. DM'!E171</f>
        <v>28</v>
      </c>
      <c r="F171" s="199" t="str">
        <f>'2.1. DM'!F171</f>
        <v>F252592</v>
      </c>
      <c r="G171" s="199" t="str">
        <f>'2.1. DM'!G171</f>
        <v>CIAT9350</v>
      </c>
      <c r="H171" s="199" t="str">
        <f>'2.1. DM'!H171</f>
        <v>Crotalaria</v>
      </c>
      <c r="I171" s="199" t="str">
        <f>'2.1. DM'!I171</f>
        <v>pumila</v>
      </c>
      <c r="J171" s="199" t="str">
        <f>'2.1. DM'!J171</f>
        <v>Crotalaria pumila</v>
      </c>
      <c r="K171" s="199" t="str">
        <f>'2.1. DM'!K171</f>
        <v>Fabaceae</v>
      </c>
      <c r="L171" s="199" t="str">
        <f>'2.1. DM'!L171</f>
        <v>Fabales</v>
      </c>
      <c r="M171" s="199" t="str">
        <f>'2.1. DM'!M171</f>
        <v>Herbaceous</v>
      </c>
      <c r="N171" s="310">
        <f>'2.1. DM'!P171</f>
        <v>91.072678196541005</v>
      </c>
      <c r="O171" s="341">
        <f t="shared" si="88"/>
        <v>91.19264220733784</v>
      </c>
      <c r="P171" s="18">
        <f>'2.1. DM'!R171</f>
        <v>7.5860556895416087</v>
      </c>
      <c r="Q171" s="341">
        <f t="shared" si="89"/>
        <v>7.5750931813198505</v>
      </c>
      <c r="R171" s="18">
        <f>'2.1. DM'!T171</f>
        <v>92.41394431045839</v>
      </c>
      <c r="S171" s="341">
        <f t="shared" si="89"/>
        <v>92.424906818680142</v>
      </c>
      <c r="T171" s="30">
        <f>TablePC[[#This Row],[Av DM 105]]</f>
        <v>21.993873838557636</v>
      </c>
      <c r="U171" s="341">
        <f t="shared" ref="U171" si="92">AVERAGE(T171:T172)</f>
        <v>21.993873838557636</v>
      </c>
      <c r="V171" s="30">
        <f>'2.3 ADF'!Q171</f>
        <v>29.624970726085792</v>
      </c>
      <c r="W171" s="341">
        <f t="shared" si="89"/>
        <v>29.771762080958805</v>
      </c>
      <c r="X171" s="30">
        <f>'2.4 NDF'!Q171</f>
        <v>49.650552748171087</v>
      </c>
      <c r="Y171" s="341">
        <f t="shared" si="89"/>
        <v>49.724803288775085</v>
      </c>
    </row>
    <row r="172" spans="2:25" x14ac:dyDescent="0.35">
      <c r="B172" s="19">
        <f t="shared" si="74"/>
        <v>162</v>
      </c>
      <c r="C172" s="199">
        <f>'2.1. DM'!C172</f>
        <v>46048</v>
      </c>
      <c r="D172" s="199" t="str">
        <f>'2.1. DM'!D172</f>
        <v>Genbank</v>
      </c>
      <c r="E172" s="200">
        <f>'2.1. DM'!E172</f>
        <v>28</v>
      </c>
      <c r="F172" s="199" t="str">
        <f>'2.1. DM'!F172</f>
        <v>F252592</v>
      </c>
      <c r="G172" s="199" t="str">
        <f>'2.1. DM'!G172</f>
        <v>CIAT9350</v>
      </c>
      <c r="H172" s="199" t="str">
        <f>'2.1. DM'!H172</f>
        <v>Crotalaria</v>
      </c>
      <c r="I172" s="199" t="str">
        <f>'2.1. DM'!I172</f>
        <v>pumila</v>
      </c>
      <c r="J172" s="199" t="str">
        <f>'2.1. DM'!J172</f>
        <v>Crotalaria pumila</v>
      </c>
      <c r="K172" s="199" t="str">
        <f>'2.1. DM'!K172</f>
        <v>Fabaceae</v>
      </c>
      <c r="L172" s="199" t="str">
        <f>'2.1. DM'!L172</f>
        <v>Fabales</v>
      </c>
      <c r="M172" s="199" t="str">
        <f>'2.1. DM'!M172</f>
        <v>Herbaceous</v>
      </c>
      <c r="N172" s="310">
        <f>'2.1. DM'!P172</f>
        <v>91.312606218134675</v>
      </c>
      <c r="O172" s="341"/>
      <c r="P172" s="18">
        <f>'2.1. DM'!R172</f>
        <v>7.5641306730980933</v>
      </c>
      <c r="Q172" s="341"/>
      <c r="R172" s="18">
        <f>'2.1. DM'!T172</f>
        <v>92.435869326901908</v>
      </c>
      <c r="S172" s="341"/>
      <c r="T172" s="30">
        <f>TablePC[[#This Row],[Av DM 105]]</f>
        <v>21.993873838557636</v>
      </c>
      <c r="U172" s="341"/>
      <c r="V172" s="30">
        <f>'2.3 ADF'!Q172</f>
        <v>29.918553435831818</v>
      </c>
      <c r="W172" s="341"/>
      <c r="X172" s="30">
        <f>'2.4 NDF'!Q172</f>
        <v>49.799053829379083</v>
      </c>
      <c r="Y172" s="341"/>
    </row>
    <row r="173" spans="2:25" x14ac:dyDescent="0.35">
      <c r="B173" s="19">
        <f t="shared" si="74"/>
        <v>163</v>
      </c>
      <c r="C173" s="199">
        <f>'2.1. DM'!C173</f>
        <v>46048</v>
      </c>
      <c r="D173" s="199" t="str">
        <f>'2.1. DM'!D173</f>
        <v>Genbank</v>
      </c>
      <c r="E173" s="200">
        <f>'2.1. DM'!E173</f>
        <v>28</v>
      </c>
      <c r="F173" s="199" t="str">
        <f>'2.1. DM'!F173</f>
        <v>F252593</v>
      </c>
      <c r="G173" s="199" t="str">
        <f>'2.1. DM'!G173</f>
        <v>CIAT9352</v>
      </c>
      <c r="H173" s="199" t="str">
        <f>'2.1. DM'!H173</f>
        <v>Crotalaria</v>
      </c>
      <c r="I173" s="199" t="str">
        <f>'2.1. DM'!I173</f>
        <v>pumila</v>
      </c>
      <c r="J173" s="199" t="str">
        <f>'2.1. DM'!J173</f>
        <v>Crotalaria pumila</v>
      </c>
      <c r="K173" s="199" t="str">
        <f>'2.1. DM'!K173</f>
        <v>Fabaceae</v>
      </c>
      <c r="L173" s="199" t="str">
        <f>'2.1. DM'!L173</f>
        <v>Fabales</v>
      </c>
      <c r="M173" s="199" t="str">
        <f>'2.1. DM'!M173</f>
        <v>Herbaceous</v>
      </c>
      <c r="N173" s="310">
        <f>'2.1. DM'!P173</f>
        <v>93.322003398980186</v>
      </c>
      <c r="O173" s="341">
        <f t="shared" si="88"/>
        <v>93.40632716694337</v>
      </c>
      <c r="P173" s="18">
        <f>'2.1. DM'!R173</f>
        <v>9.3327561943251904</v>
      </c>
      <c r="Q173" s="341">
        <f t="shared" si="89"/>
        <v>9.4032708521230148</v>
      </c>
      <c r="R173" s="18">
        <f>'2.1. DM'!T173</f>
        <v>90.667243805674815</v>
      </c>
      <c r="S173" s="341">
        <f t="shared" si="89"/>
        <v>90.596729147876985</v>
      </c>
      <c r="T173" s="30">
        <f>TablePC[[#This Row],[Av DM 105]]</f>
        <v>22.912973068825917</v>
      </c>
      <c r="U173" s="341">
        <f t="shared" ref="U173" si="93">AVERAGE(T173:T174)</f>
        <v>22.819671206779695</v>
      </c>
      <c r="V173" s="30">
        <f>'2.3 ADF'!Q173</f>
        <v>30.928346528039008</v>
      </c>
      <c r="W173" s="341">
        <f t="shared" si="89"/>
        <v>31.065555905043251</v>
      </c>
      <c r="X173" s="30">
        <f>'2.4 NDF'!Q173</f>
        <v>55.457305193091614</v>
      </c>
      <c r="Y173" s="341">
        <f t="shared" si="89"/>
        <v>56.447556303389206</v>
      </c>
    </row>
    <row r="174" spans="2:25" x14ac:dyDescent="0.35">
      <c r="B174" s="19">
        <f t="shared" si="74"/>
        <v>164</v>
      </c>
      <c r="C174" s="199">
        <f>'2.1. DM'!C174</f>
        <v>46048</v>
      </c>
      <c r="D174" s="199" t="str">
        <f>'2.1. DM'!D174</f>
        <v>Genbank</v>
      </c>
      <c r="E174" s="200">
        <f>'2.1. DM'!E174</f>
        <v>28</v>
      </c>
      <c r="F174" s="199" t="str">
        <f>'2.1. DM'!F174</f>
        <v>F252593</v>
      </c>
      <c r="G174" s="199" t="str">
        <f>'2.1. DM'!G174</f>
        <v>CIAT9352</v>
      </c>
      <c r="H174" s="199" t="str">
        <f>'2.1. DM'!H174</f>
        <v>Crotalaria</v>
      </c>
      <c r="I174" s="199" t="str">
        <f>'2.1. DM'!I174</f>
        <v>pumila</v>
      </c>
      <c r="J174" s="199" t="str">
        <f>'2.1. DM'!J174</f>
        <v>Crotalaria pumila</v>
      </c>
      <c r="K174" s="199" t="str">
        <f>'2.1. DM'!K174</f>
        <v>Fabaceae</v>
      </c>
      <c r="L174" s="199" t="str">
        <f>'2.1. DM'!L174</f>
        <v>Fabales</v>
      </c>
      <c r="M174" s="199" t="str">
        <f>'2.1. DM'!M174</f>
        <v>Herbaceous</v>
      </c>
      <c r="N174" s="310">
        <f>'2.1. DM'!P174</f>
        <v>93.490650934906554</v>
      </c>
      <c r="O174" s="341"/>
      <c r="P174" s="18">
        <f>'2.1. DM'!R174</f>
        <v>9.4737855099208375</v>
      </c>
      <c r="Q174" s="341"/>
      <c r="R174" s="18">
        <f>'2.1. DM'!T174</f>
        <v>90.526214490079155</v>
      </c>
      <c r="S174" s="341"/>
      <c r="T174" s="30">
        <f>TablePC[[#This Row],[Av DM 105]]</f>
        <v>22.72636934473347</v>
      </c>
      <c r="U174" s="341"/>
      <c r="V174" s="30">
        <f>'2.3 ADF'!Q174</f>
        <v>31.202765282047494</v>
      </c>
      <c r="W174" s="341"/>
      <c r="X174" s="30">
        <f>'2.4 NDF'!Q174</f>
        <v>57.437807413686791</v>
      </c>
      <c r="Y174" s="341"/>
    </row>
    <row r="175" spans="2:25" x14ac:dyDescent="0.35">
      <c r="B175" s="19">
        <f t="shared" si="74"/>
        <v>165</v>
      </c>
      <c r="C175" s="199">
        <f>'2.1. DM'!C175</f>
        <v>46048</v>
      </c>
      <c r="D175" s="199" t="str">
        <f>'2.1. DM'!D175</f>
        <v>Genbank</v>
      </c>
      <c r="E175" s="200">
        <f>'2.1. DM'!E175</f>
        <v>28</v>
      </c>
      <c r="F175" s="199" t="str">
        <f>'2.1. DM'!F175</f>
        <v>F252594</v>
      </c>
      <c r="G175" s="199" t="str">
        <f>'2.1. DM'!G175</f>
        <v>CIAT9472</v>
      </c>
      <c r="H175" s="199" t="str">
        <f>'2.1. DM'!H175</f>
        <v>Zornia</v>
      </c>
      <c r="I175" s="199" t="str">
        <f>'2.1. DM'!I175</f>
        <v>brasiliensis</v>
      </c>
      <c r="J175" s="199" t="str">
        <f>'2.1. DM'!J175</f>
        <v>Zornia brasiliensis</v>
      </c>
      <c r="K175" s="199" t="str">
        <f>'2.1. DM'!K175</f>
        <v>Fabaceae</v>
      </c>
      <c r="L175" s="199" t="str">
        <f>'2.1. DM'!L175</f>
        <v>Fabales</v>
      </c>
      <c r="M175" s="199" t="str">
        <f>'2.1. DM'!M175</f>
        <v>Herbaceous</v>
      </c>
      <c r="N175" s="310">
        <f>'2.1. DM'!P175</f>
        <v>92.050794920507983</v>
      </c>
      <c r="O175" s="341">
        <f t="shared" si="88"/>
        <v>92.096183303085411</v>
      </c>
      <c r="P175" s="18">
        <f>'2.1. DM'!R175</f>
        <v>10.075414376569389</v>
      </c>
      <c r="Q175" s="341">
        <f t="shared" si="89"/>
        <v>10.150903001041684</v>
      </c>
      <c r="R175" s="18">
        <f>'2.1. DM'!T175</f>
        <v>89.924585623430616</v>
      </c>
      <c r="S175" s="341">
        <f t="shared" si="89"/>
        <v>89.849096998958316</v>
      </c>
      <c r="T175" s="30">
        <f>TablePC[[#This Row],[Av DM 105]]</f>
        <v>18.21313969894895</v>
      </c>
      <c r="U175" s="341">
        <f t="shared" ref="U175" si="94">AVERAGE(T175:T176)</f>
        <v>18.21313969894895</v>
      </c>
      <c r="V175" s="30">
        <f>'2.3 ADF'!Q175</f>
        <v>24.223149118358744</v>
      </c>
      <c r="W175" s="341">
        <f t="shared" si="89"/>
        <v>25.072781182873847</v>
      </c>
      <c r="X175" s="30">
        <f>'2.4 NDF'!Q175</f>
        <v>51.006150569851805</v>
      </c>
      <c r="Y175" s="341">
        <f t="shared" si="89"/>
        <v>49.466940656445544</v>
      </c>
    </row>
    <row r="176" spans="2:25" x14ac:dyDescent="0.35">
      <c r="B176" s="19">
        <f t="shared" si="74"/>
        <v>166</v>
      </c>
      <c r="C176" s="199">
        <f>'2.1. DM'!C176</f>
        <v>46048</v>
      </c>
      <c r="D176" s="199" t="str">
        <f>'2.1. DM'!D176</f>
        <v>Genbank</v>
      </c>
      <c r="E176" s="200">
        <f>'2.1. DM'!E176</f>
        <v>28</v>
      </c>
      <c r="F176" s="199" t="str">
        <f>'2.1. DM'!F176</f>
        <v>F252594</v>
      </c>
      <c r="G176" s="199" t="str">
        <f>'2.1. DM'!G176</f>
        <v>CIAT9472</v>
      </c>
      <c r="H176" s="199" t="str">
        <f>'2.1. DM'!H176</f>
        <v>Zornia</v>
      </c>
      <c r="I176" s="199" t="str">
        <f>'2.1. DM'!I176</f>
        <v>brasiliensis</v>
      </c>
      <c r="J176" s="199" t="str">
        <f>'2.1. DM'!J176</f>
        <v>Zornia brasiliensis</v>
      </c>
      <c r="K176" s="199" t="str">
        <f>'2.1. DM'!K176</f>
        <v>Fabaceae</v>
      </c>
      <c r="L176" s="199" t="str">
        <f>'2.1. DM'!L176</f>
        <v>Fabales</v>
      </c>
      <c r="M176" s="199" t="str">
        <f>'2.1. DM'!M176</f>
        <v>Herbaceous</v>
      </c>
      <c r="N176" s="310">
        <f>'2.1. DM'!P176</f>
        <v>92.141571685662853</v>
      </c>
      <c r="O176" s="341"/>
      <c r="P176" s="18">
        <f>'2.1. DM'!R176</f>
        <v>10.226391625513976</v>
      </c>
      <c r="Q176" s="341"/>
      <c r="R176" s="18">
        <f>'2.1. DM'!T176</f>
        <v>89.773608374486031</v>
      </c>
      <c r="S176" s="341"/>
      <c r="T176" s="30">
        <f>TablePC[[#This Row],[Av DM 105]]</f>
        <v>18.21313969894895</v>
      </c>
      <c r="U176" s="341"/>
      <c r="V176" s="30">
        <f>'2.3 ADF'!Q176</f>
        <v>25.922413247388953</v>
      </c>
      <c r="W176" s="341"/>
      <c r="X176" s="30">
        <f>'2.4 NDF'!Q176</f>
        <v>47.927730743039277</v>
      </c>
      <c r="Y176" s="341"/>
    </row>
    <row r="177" spans="2:25" x14ac:dyDescent="0.35">
      <c r="B177" s="19">
        <f t="shared" si="74"/>
        <v>167</v>
      </c>
      <c r="C177" s="199">
        <f>'2.1. DM'!C177</f>
        <v>46048</v>
      </c>
      <c r="D177" s="199" t="str">
        <f>'2.1. DM'!D177</f>
        <v>Genbank</v>
      </c>
      <c r="E177" s="200">
        <f>'2.1. DM'!E177</f>
        <v>28</v>
      </c>
      <c r="F177" s="199" t="str">
        <f>'2.1. DM'!F177</f>
        <v>F252595</v>
      </c>
      <c r="G177" s="199" t="str">
        <f>'2.1. DM'!G177</f>
        <v>CIAT9531</v>
      </c>
      <c r="H177" s="199" t="str">
        <f>'2.1. DM'!H177</f>
        <v>Indigofera</v>
      </c>
      <c r="I177" s="199" t="str">
        <f>'2.1. DM'!I177</f>
        <v>spicata</v>
      </c>
      <c r="J177" s="199" t="str">
        <f>'2.1. DM'!J177</f>
        <v>Indigofera spicata</v>
      </c>
      <c r="K177" s="199" t="str">
        <f>'2.1. DM'!K177</f>
        <v>Fabaceae</v>
      </c>
      <c r="L177" s="199" t="str">
        <f>'2.1. DM'!L177</f>
        <v>Fabales</v>
      </c>
      <c r="M177" s="199" t="str">
        <f>'2.1. DM'!M177</f>
        <v>Herbaceous</v>
      </c>
      <c r="N177" s="310">
        <f>'2.1. DM'!P177</f>
        <v>91.721655668866205</v>
      </c>
      <c r="O177" s="341">
        <f t="shared" si="88"/>
        <v>91.598385299953804</v>
      </c>
      <c r="P177" s="18">
        <f>'2.1. DM'!R177</f>
        <v>16.405305128328955</v>
      </c>
      <c r="Q177" s="341">
        <f t="shared" si="89"/>
        <v>16.189267840911622</v>
      </c>
      <c r="R177" s="18">
        <f>'2.1. DM'!T177</f>
        <v>83.594694871671038</v>
      </c>
      <c r="S177" s="341">
        <f t="shared" si="89"/>
        <v>83.810732159088374</v>
      </c>
      <c r="T177" s="30">
        <f>TablePC[[#This Row],[Av DM 105]]</f>
        <v>20.552774962518356</v>
      </c>
      <c r="U177" s="341">
        <f t="shared" ref="U177" si="95">AVERAGE(T177:T178)</f>
        <v>20.552774962518356</v>
      </c>
      <c r="V177" s="30">
        <f>'2.3 ADF'!Q177</f>
        <v>25.713911338982538</v>
      </c>
      <c r="W177" s="341">
        <f t="shared" si="89"/>
        <v>25.439764908531053</v>
      </c>
      <c r="X177" s="30">
        <f>'2.4 NDF'!Q177</f>
        <v>43.302450753941102</v>
      </c>
      <c r="Y177" s="341">
        <f t="shared" si="89"/>
        <v>42.671178251525625</v>
      </c>
    </row>
    <row r="178" spans="2:25" x14ac:dyDescent="0.35">
      <c r="B178" s="19">
        <f t="shared" si="74"/>
        <v>168</v>
      </c>
      <c r="C178" s="199">
        <f>'2.1. DM'!C178</f>
        <v>46048</v>
      </c>
      <c r="D178" s="199" t="str">
        <f>'2.1. DM'!D178</f>
        <v>Genbank</v>
      </c>
      <c r="E178" s="200">
        <f>'2.1. DM'!E178</f>
        <v>28</v>
      </c>
      <c r="F178" s="199" t="str">
        <f>'2.1. DM'!F178</f>
        <v>F252595</v>
      </c>
      <c r="G178" s="199" t="str">
        <f>'2.1. DM'!G178</f>
        <v>CIAT9531</v>
      </c>
      <c r="H178" s="199" t="str">
        <f>'2.1. DM'!H178</f>
        <v>Indigofera</v>
      </c>
      <c r="I178" s="199" t="str">
        <f>'2.1. DM'!I178</f>
        <v>spicata</v>
      </c>
      <c r="J178" s="199" t="str">
        <f>'2.1. DM'!J178</f>
        <v>Indigofera spicata</v>
      </c>
      <c r="K178" s="199" t="str">
        <f>'2.1. DM'!K178</f>
        <v>Fabaceae</v>
      </c>
      <c r="L178" s="199" t="str">
        <f>'2.1. DM'!L178</f>
        <v>Fabales</v>
      </c>
      <c r="M178" s="199" t="str">
        <f>'2.1. DM'!M178</f>
        <v>Herbaceous</v>
      </c>
      <c r="N178" s="310">
        <f>'2.1. DM'!P178</f>
        <v>91.475114931041404</v>
      </c>
      <c r="O178" s="341"/>
      <c r="P178" s="18">
        <f>'2.1. DM'!R178</f>
        <v>15.973230553494291</v>
      </c>
      <c r="Q178" s="341"/>
      <c r="R178" s="18">
        <f>'2.1. DM'!T178</f>
        <v>84.02676944650571</v>
      </c>
      <c r="S178" s="341"/>
      <c r="T178" s="30">
        <f>TablePC[[#This Row],[Av DM 105]]</f>
        <v>20.552774962518356</v>
      </c>
      <c r="U178" s="341"/>
      <c r="V178" s="30">
        <f>'2.3 ADF'!Q178</f>
        <v>25.165618478079573</v>
      </c>
      <c r="W178" s="341"/>
      <c r="X178" s="30">
        <f>'2.4 NDF'!Q178</f>
        <v>42.039905749110147</v>
      </c>
      <c r="Y178" s="341"/>
    </row>
    <row r="179" spans="2:25" x14ac:dyDescent="0.35">
      <c r="B179" s="19">
        <f t="shared" si="74"/>
        <v>169</v>
      </c>
      <c r="C179" s="199">
        <f>'2.1. DM'!C179</f>
        <v>46048</v>
      </c>
      <c r="D179" s="199" t="str">
        <f>'2.1. DM'!D179</f>
        <v>Genbank</v>
      </c>
      <c r="E179" s="200">
        <f>'2.1. DM'!E179</f>
        <v>28</v>
      </c>
      <c r="F179" s="199" t="str">
        <f>'2.1. DM'!F179</f>
        <v>F252596</v>
      </c>
      <c r="G179" s="199" t="str">
        <f>'2.1. DM'!G179</f>
        <v>CIAT10026</v>
      </c>
      <c r="H179" s="199" t="str">
        <f>'2.1. DM'!H179</f>
        <v>Stylosanthes</v>
      </c>
      <c r="I179" s="199" t="str">
        <f>'2.1. DM'!I179</f>
        <v>seabrana</v>
      </c>
      <c r="J179" s="199" t="str">
        <f>'2.1. DM'!J179</f>
        <v>Stylosanthes seabrana</v>
      </c>
      <c r="K179" s="199" t="str">
        <f>'2.1. DM'!K179</f>
        <v>Fabaceae</v>
      </c>
      <c r="L179" s="199" t="str">
        <f>'2.1. DM'!L179</f>
        <v>Fabales</v>
      </c>
      <c r="M179" s="199" t="str">
        <f>'2.1. DM'!M179</f>
        <v>Herbaceous</v>
      </c>
      <c r="N179" s="310">
        <f>'2.1. DM'!P179</f>
        <v>92.751449710057969</v>
      </c>
      <c r="O179" s="341">
        <f t="shared" si="88"/>
        <v>92.746813528426955</v>
      </c>
      <c r="P179" s="18">
        <f>'2.1. DM'!R179</f>
        <v>9.9067148702745502</v>
      </c>
      <c r="Q179" s="341">
        <f t="shared" si="89"/>
        <v>9.9708925307209171</v>
      </c>
      <c r="R179" s="18">
        <f>'2.1. DM'!T179</f>
        <v>90.093285129725444</v>
      </c>
      <c r="S179" s="341">
        <f t="shared" si="89"/>
        <v>90.029107469279083</v>
      </c>
      <c r="T179" s="30">
        <f>TablePC[[#This Row],[Av DM 105]]</f>
        <v>16.293993750381642</v>
      </c>
      <c r="U179" s="341">
        <f t="shared" ref="U179" si="96">AVERAGE(T179:T180)</f>
        <v>16.293993750381642</v>
      </c>
      <c r="V179" s="30">
        <f>'2.3 ADF'!Q179</f>
        <v>35.016325330884271</v>
      </c>
      <c r="W179" s="341">
        <f t="shared" si="89"/>
        <v>34.494389261427571</v>
      </c>
      <c r="X179" s="30">
        <f>'2.4 NDF'!Q179</f>
        <v>56.317244486663483</v>
      </c>
      <c r="Y179" s="341">
        <f t="shared" si="89"/>
        <v>57.247556101151339</v>
      </c>
    </row>
    <row r="180" spans="2:25" x14ac:dyDescent="0.35">
      <c r="B180" s="19">
        <f t="shared" si="74"/>
        <v>170</v>
      </c>
      <c r="C180" s="199">
        <f>'2.1. DM'!C180</f>
        <v>46048</v>
      </c>
      <c r="D180" s="199" t="str">
        <f>'2.1. DM'!D180</f>
        <v>Genbank</v>
      </c>
      <c r="E180" s="200">
        <f>'2.1. DM'!E180</f>
        <v>28</v>
      </c>
      <c r="F180" s="199" t="str">
        <f>'2.1. DM'!F180</f>
        <v>F252596</v>
      </c>
      <c r="G180" s="199" t="str">
        <f>'2.1. DM'!G180</f>
        <v>CIAT10026</v>
      </c>
      <c r="H180" s="199" t="str">
        <f>'2.1. DM'!H180</f>
        <v>Stylosanthes</v>
      </c>
      <c r="I180" s="199" t="str">
        <f>'2.1. DM'!I180</f>
        <v>seabrana</v>
      </c>
      <c r="J180" s="199" t="str">
        <f>'2.1. DM'!J180</f>
        <v>Stylosanthes seabrana</v>
      </c>
      <c r="K180" s="199" t="str">
        <f>'2.1. DM'!K180</f>
        <v>Fabaceae</v>
      </c>
      <c r="L180" s="199" t="str">
        <f>'2.1. DM'!L180</f>
        <v>Fabales</v>
      </c>
      <c r="M180" s="199" t="str">
        <f>'2.1. DM'!M180</f>
        <v>Herbaceous</v>
      </c>
      <c r="N180" s="310">
        <f>'2.1. DM'!P180</f>
        <v>92.742177346795941</v>
      </c>
      <c r="O180" s="341"/>
      <c r="P180" s="18">
        <f>'2.1. DM'!R180</f>
        <v>10.035070191167284</v>
      </c>
      <c r="Q180" s="341"/>
      <c r="R180" s="18">
        <f>'2.1. DM'!T180</f>
        <v>89.964929808832721</v>
      </c>
      <c r="S180" s="341"/>
      <c r="T180" s="30">
        <f>TablePC[[#This Row],[Av DM 105]]</f>
        <v>16.293993750381642</v>
      </c>
      <c r="U180" s="341"/>
      <c r="V180" s="30">
        <f>'2.3 ADF'!Q180</f>
        <v>33.972453191970871</v>
      </c>
      <c r="W180" s="341"/>
      <c r="X180" s="30">
        <f>'2.4 NDF'!Q180</f>
        <v>58.177867715639195</v>
      </c>
      <c r="Y180" s="341"/>
    </row>
    <row r="181" spans="2:25" x14ac:dyDescent="0.35">
      <c r="B181" s="19">
        <f t="shared" si="74"/>
        <v>171</v>
      </c>
      <c r="C181" s="199">
        <f>'2.1. DM'!C181</f>
        <v>46048</v>
      </c>
      <c r="D181" s="199" t="str">
        <f>'2.1. DM'!D181</f>
        <v>Genbank</v>
      </c>
      <c r="E181" s="200">
        <f>'2.1. DM'!E181</f>
        <v>28</v>
      </c>
      <c r="F181" s="199" t="str">
        <f>'2.1. DM'!F181</f>
        <v>F252597</v>
      </c>
      <c r="G181" s="199" t="str">
        <f>'2.1. DM'!G181</f>
        <v>CIAT12411</v>
      </c>
      <c r="H181" s="199" t="str">
        <f>'2.1. DM'!H181</f>
        <v>Stylosanthes</v>
      </c>
      <c r="I181" s="199" t="str">
        <f>'2.1. DM'!I181</f>
        <v>sympodialis</v>
      </c>
      <c r="J181" s="199" t="str">
        <f>'2.1. DM'!J181</f>
        <v>Stylosanthes sympodialis</v>
      </c>
      <c r="K181" s="199" t="str">
        <f>'2.1. DM'!K181</f>
        <v>Fabaceae</v>
      </c>
      <c r="L181" s="199" t="str">
        <f>'2.1. DM'!L181</f>
        <v>Fabales</v>
      </c>
      <c r="M181" s="199" t="str">
        <f>'2.1. DM'!M181</f>
        <v>Herbaceous</v>
      </c>
      <c r="N181" s="310">
        <f>'2.1. DM'!P181</f>
        <v>91.691661667666423</v>
      </c>
      <c r="O181" s="341">
        <f t="shared" si="88"/>
        <v>91.721243292587246</v>
      </c>
      <c r="P181" s="18">
        <f>'2.1. DM'!R181</f>
        <v>11.957760323554915</v>
      </c>
      <c r="Q181" s="341">
        <f t="shared" si="89"/>
        <v>11.778483244157979</v>
      </c>
      <c r="R181" s="18">
        <f>'2.1. DM'!T181</f>
        <v>88.042239676445092</v>
      </c>
      <c r="S181" s="341">
        <f t="shared" si="89"/>
        <v>88.221516755842032</v>
      </c>
      <c r="T181" s="30">
        <f>TablePC[[#This Row],[Av DM 105]]</f>
        <v>17.93763783569818</v>
      </c>
      <c r="U181" s="341">
        <f t="shared" ref="U181" si="97">AVERAGE(T181:T182)</f>
        <v>17.93763783569818</v>
      </c>
      <c r="V181" s="30">
        <f>'2.3 ADF'!Q181</f>
        <v>33.357116529535872</v>
      </c>
      <c r="W181" s="341">
        <f t="shared" si="89"/>
        <v>34.297812897885493</v>
      </c>
      <c r="X181" s="30">
        <f>'2.4 NDF'!Q181</f>
        <v>59.841676667461272</v>
      </c>
      <c r="Y181" s="341">
        <f t="shared" si="89"/>
        <v>61.114906583442611</v>
      </c>
    </row>
    <row r="182" spans="2:25" x14ac:dyDescent="0.35">
      <c r="B182" s="19">
        <f t="shared" si="74"/>
        <v>172</v>
      </c>
      <c r="C182" s="199">
        <f>'2.1. DM'!C182</f>
        <v>46048</v>
      </c>
      <c r="D182" s="199" t="str">
        <f>'2.1. DM'!D182</f>
        <v>Genbank</v>
      </c>
      <c r="E182" s="200">
        <f>'2.1. DM'!E182</f>
        <v>28</v>
      </c>
      <c r="F182" s="199" t="str">
        <f>'2.1. DM'!F182</f>
        <v>F252597</v>
      </c>
      <c r="G182" s="199" t="str">
        <f>'2.1. DM'!G182</f>
        <v>CIAT12411</v>
      </c>
      <c r="H182" s="199" t="str">
        <f>'2.1. DM'!H182</f>
        <v>Stylosanthes</v>
      </c>
      <c r="I182" s="199" t="str">
        <f>'2.1. DM'!I182</f>
        <v>sympodialis</v>
      </c>
      <c r="J182" s="199" t="str">
        <f>'2.1. DM'!J182</f>
        <v>Stylosanthes sympodialis</v>
      </c>
      <c r="K182" s="199" t="str">
        <f>'2.1. DM'!K182</f>
        <v>Fabaceae</v>
      </c>
      <c r="L182" s="199" t="str">
        <f>'2.1. DM'!L182</f>
        <v>Fabales</v>
      </c>
      <c r="M182" s="199" t="str">
        <f>'2.1. DM'!M182</f>
        <v>Herbaceous</v>
      </c>
      <c r="N182" s="310">
        <f>'2.1. DM'!P182</f>
        <v>91.750824917508083</v>
      </c>
      <c r="O182" s="341"/>
      <c r="P182" s="18">
        <f>'2.1. DM'!R182</f>
        <v>11.599206164761043</v>
      </c>
      <c r="Q182" s="341"/>
      <c r="R182" s="18">
        <f>'2.1. DM'!T182</f>
        <v>88.400793835238957</v>
      </c>
      <c r="S182" s="341"/>
      <c r="T182" s="30">
        <f>TablePC[[#This Row],[Av DM 105]]</f>
        <v>17.93763783569818</v>
      </c>
      <c r="U182" s="341"/>
      <c r="V182" s="30">
        <f>'2.3 ADF'!Q182</f>
        <v>35.238509266235113</v>
      </c>
      <c r="W182" s="341"/>
      <c r="X182" s="30">
        <f>'2.4 NDF'!Q182</f>
        <v>62.38813649942395</v>
      </c>
      <c r="Y182" s="341"/>
    </row>
    <row r="183" spans="2:25" x14ac:dyDescent="0.35">
      <c r="B183" s="19">
        <f t="shared" si="74"/>
        <v>173</v>
      </c>
      <c r="C183" s="199">
        <f>'2.1. DM'!C183</f>
        <v>46048</v>
      </c>
      <c r="D183" s="199" t="str">
        <f>'2.1. DM'!D183</f>
        <v>Genbank</v>
      </c>
      <c r="E183" s="200">
        <f>'2.1. DM'!E183</f>
        <v>28</v>
      </c>
      <c r="F183" s="199" t="str">
        <f>'2.1. DM'!F183</f>
        <v>F252598</v>
      </c>
      <c r="G183" s="199" t="str">
        <f>'2.1. DM'!G183</f>
        <v>CIAT13494</v>
      </c>
      <c r="H183" s="199" t="str">
        <f>'2.1. DM'!H183</f>
        <v>Desmodium</v>
      </c>
      <c r="I183" s="199" t="str">
        <f>'2.1. DM'!I183</f>
        <v>tortuosum</v>
      </c>
      <c r="J183" s="199" t="str">
        <f>'2.1. DM'!J183</f>
        <v>Desmodium tortuosum</v>
      </c>
      <c r="K183" s="199" t="str">
        <f>'2.1. DM'!K183</f>
        <v>Fabaceae</v>
      </c>
      <c r="L183" s="199" t="str">
        <f>'2.1. DM'!L183</f>
        <v>Fabales</v>
      </c>
      <c r="M183" s="199" t="str">
        <f>'2.1. DM'!M183</f>
        <v>Shurb_Tree</v>
      </c>
      <c r="N183" s="310">
        <f>'2.1. DM'!P183</f>
        <v>91.710828917108316</v>
      </c>
      <c r="O183" s="341">
        <f t="shared" si="88"/>
        <v>91.666252290987643</v>
      </c>
      <c r="P183" s="18">
        <f>'2.1. DM'!R183</f>
        <v>10.897141369083862</v>
      </c>
      <c r="Q183" s="341">
        <f t="shared" si="89"/>
        <v>10.880236182717553</v>
      </c>
      <c r="R183" s="18">
        <f>'2.1. DM'!T183</f>
        <v>89.102858630916131</v>
      </c>
      <c r="S183" s="341">
        <f t="shared" si="89"/>
        <v>89.119763817282447</v>
      </c>
      <c r="T183" s="30">
        <f>TablePC[[#This Row],[Av DM 105]]</f>
        <v>21.076179676537187</v>
      </c>
      <c r="U183" s="341">
        <f t="shared" ref="U183" si="98">AVERAGE(T183:T184)</f>
        <v>21.076179676537187</v>
      </c>
      <c r="V183" s="30">
        <f>'2.3 ADF'!Q183</f>
        <v>23.519859134767497</v>
      </c>
      <c r="W183" s="341">
        <f t="shared" si="89"/>
        <v>23.406406769323404</v>
      </c>
      <c r="X183" s="30">
        <f>'2.4 NDF'!Q183</f>
        <v>51.175102046942555</v>
      </c>
      <c r="Y183" s="341">
        <f t="shared" si="89"/>
        <v>50.71948924432278</v>
      </c>
    </row>
    <row r="184" spans="2:25" x14ac:dyDescent="0.35">
      <c r="B184" s="19">
        <f t="shared" si="74"/>
        <v>174</v>
      </c>
      <c r="C184" s="199">
        <f>'2.1. DM'!C184</f>
        <v>46048</v>
      </c>
      <c r="D184" s="199" t="str">
        <f>'2.1. DM'!D184</f>
        <v>Genbank</v>
      </c>
      <c r="E184" s="200">
        <f>'2.1. DM'!E184</f>
        <v>28</v>
      </c>
      <c r="F184" s="199" t="str">
        <f>'2.1. DM'!F184</f>
        <v>F252598</v>
      </c>
      <c r="G184" s="199" t="str">
        <f>'2.1. DM'!G184</f>
        <v>CIAT13494</v>
      </c>
      <c r="H184" s="199" t="str">
        <f>'2.1. DM'!H184</f>
        <v>Desmodium</v>
      </c>
      <c r="I184" s="199" t="str">
        <f>'2.1. DM'!I184</f>
        <v>tortuosum</v>
      </c>
      <c r="J184" s="199" t="str">
        <f>'2.1. DM'!J184</f>
        <v>Desmodium tortuosum</v>
      </c>
      <c r="K184" s="199" t="str">
        <f>'2.1. DM'!K184</f>
        <v>Fabaceae</v>
      </c>
      <c r="L184" s="199" t="str">
        <f>'2.1. DM'!L184</f>
        <v>Fabales</v>
      </c>
      <c r="M184" s="199" t="str">
        <f>'2.1. DM'!M184</f>
        <v>Shurb_Tree</v>
      </c>
      <c r="N184" s="310">
        <f>'2.1. DM'!P184</f>
        <v>91.62167566486697</v>
      </c>
      <c r="O184" s="341"/>
      <c r="P184" s="18">
        <f>'2.1. DM'!R184</f>
        <v>10.863330996351245</v>
      </c>
      <c r="Q184" s="341"/>
      <c r="R184" s="18">
        <f>'2.1. DM'!T184</f>
        <v>89.136669003648763</v>
      </c>
      <c r="S184" s="341"/>
      <c r="T184" s="30">
        <f>TablePC[[#This Row],[Av DM 105]]</f>
        <v>21.076179676537187</v>
      </c>
      <c r="U184" s="341"/>
      <c r="V184" s="30">
        <f>'2.3 ADF'!Q184</f>
        <v>23.292954403879307</v>
      </c>
      <c r="W184" s="341"/>
      <c r="X184" s="30">
        <f>'2.4 NDF'!Q184</f>
        <v>50.263876441703005</v>
      </c>
      <c r="Y184" s="341"/>
    </row>
    <row r="185" spans="2:25" x14ac:dyDescent="0.35">
      <c r="B185" s="19">
        <f t="shared" si="74"/>
        <v>175</v>
      </c>
      <c r="C185" s="199">
        <f>'2.1. DM'!C185</f>
        <v>46048</v>
      </c>
      <c r="D185" s="199" t="str">
        <f>'2.1. DM'!D185</f>
        <v>Genbank</v>
      </c>
      <c r="E185" s="200">
        <f>'2.1. DM'!E185</f>
        <v>28</v>
      </c>
      <c r="F185" s="199" t="str">
        <f>'2.1. DM'!F185</f>
        <v>F252599</v>
      </c>
      <c r="G185" s="199" t="str">
        <f>'2.1. DM'!G185</f>
        <v>CIAT13562</v>
      </c>
      <c r="H185" s="199" t="str">
        <f>'2.1. DM'!H185</f>
        <v>Desmodium</v>
      </c>
      <c r="I185" s="199" t="str">
        <f>'2.1. DM'!I185</f>
        <v>tortuosum</v>
      </c>
      <c r="J185" s="199" t="str">
        <f>'2.1. DM'!J185</f>
        <v>Desmodium tortuosum</v>
      </c>
      <c r="K185" s="199" t="str">
        <f>'2.1. DM'!K185</f>
        <v>Fabaceae</v>
      </c>
      <c r="L185" s="199" t="str">
        <f>'2.1. DM'!L185</f>
        <v>Fabales</v>
      </c>
      <c r="M185" s="199" t="str">
        <f>'2.1. DM'!M185</f>
        <v>Shurb_Tree</v>
      </c>
      <c r="N185" s="310">
        <f>'2.1. DM'!P185</f>
        <v>91.761647670465891</v>
      </c>
      <c r="O185" s="341">
        <f t="shared" si="88"/>
        <v>91.812044469042831</v>
      </c>
      <c r="P185" s="18">
        <f>'2.1. DM'!R185</f>
        <v>14.592116550035081</v>
      </c>
      <c r="Q185" s="341">
        <f t="shared" si="89"/>
        <v>14.803713899316438</v>
      </c>
      <c r="R185" s="18">
        <f>'2.1. DM'!T185</f>
        <v>85.407883449964913</v>
      </c>
      <c r="S185" s="341">
        <f t="shared" si="89"/>
        <v>85.196286100683551</v>
      </c>
      <c r="T185" s="30">
        <f>TablePC[[#This Row],[Av DM 105]]</f>
        <v>18.556611437559916</v>
      </c>
      <c r="U185" s="341">
        <f t="shared" ref="U185" si="99">AVERAGE(T185:T186)</f>
        <v>18.556611437559916</v>
      </c>
      <c r="V185" s="30">
        <f>'2.3 ADF'!Q185</f>
        <v>27.304918274776462</v>
      </c>
      <c r="W185" s="341">
        <f t="shared" si="89"/>
        <v>27.485051370078089</v>
      </c>
      <c r="X185" s="30">
        <f>'2.4 NDF'!Q185</f>
        <v>48.938266585215842</v>
      </c>
      <c r="Y185" s="341">
        <f t="shared" si="89"/>
        <v>50.315461216188112</v>
      </c>
    </row>
    <row r="186" spans="2:25" x14ac:dyDescent="0.35">
      <c r="B186" s="19">
        <f t="shared" si="74"/>
        <v>176</v>
      </c>
      <c r="C186" s="199">
        <f>'2.1. DM'!C186</f>
        <v>46048</v>
      </c>
      <c r="D186" s="199" t="str">
        <f>'2.1. DM'!D186</f>
        <v>Genbank</v>
      </c>
      <c r="E186" s="200">
        <f>'2.1. DM'!E186</f>
        <v>28</v>
      </c>
      <c r="F186" s="199" t="str">
        <f>'2.1. DM'!F186</f>
        <v>F252599</v>
      </c>
      <c r="G186" s="199" t="str">
        <f>'2.1. DM'!G186</f>
        <v>CIAT13562</v>
      </c>
      <c r="H186" s="199" t="str">
        <f>'2.1. DM'!H186</f>
        <v>Desmodium</v>
      </c>
      <c r="I186" s="199" t="str">
        <f>'2.1. DM'!I186</f>
        <v>tortuosum</v>
      </c>
      <c r="J186" s="199" t="str">
        <f>'2.1. DM'!J186</f>
        <v>Desmodium tortuosum</v>
      </c>
      <c r="K186" s="199" t="str">
        <f>'2.1. DM'!K186</f>
        <v>Fabaceae</v>
      </c>
      <c r="L186" s="199" t="str">
        <f>'2.1. DM'!L186</f>
        <v>Fabales</v>
      </c>
      <c r="M186" s="199" t="str">
        <f>'2.1. DM'!M186</f>
        <v>Shurb_Tree</v>
      </c>
      <c r="N186" s="310">
        <f>'2.1. DM'!P186</f>
        <v>91.862441267619786</v>
      </c>
      <c r="O186" s="341"/>
      <c r="P186" s="18">
        <f>'2.1. DM'!R186</f>
        <v>15.015311248597794</v>
      </c>
      <c r="Q186" s="341"/>
      <c r="R186" s="18">
        <f>'2.1. DM'!T186</f>
        <v>84.984688751402203</v>
      </c>
      <c r="S186" s="341"/>
      <c r="T186" s="30">
        <f>TablePC[[#This Row],[Av DM 105]]</f>
        <v>18.556611437559916</v>
      </c>
      <c r="U186" s="341"/>
      <c r="V186" s="30">
        <f>'2.3 ADF'!Q186</f>
        <v>27.665184465379721</v>
      </c>
      <c r="W186" s="341"/>
      <c r="X186" s="30">
        <f>'2.4 NDF'!Q186</f>
        <v>51.692655847160374</v>
      </c>
      <c r="Y186" s="341"/>
    </row>
    <row r="187" spans="2:25" x14ac:dyDescent="0.35">
      <c r="B187" s="19">
        <f t="shared" si="74"/>
        <v>177</v>
      </c>
      <c r="C187" s="199">
        <f>'2.1. DM'!C187</f>
        <v>46048</v>
      </c>
      <c r="D187" s="199" t="str">
        <f>'2.1. DM'!D187</f>
        <v>Genbank</v>
      </c>
      <c r="E187" s="200">
        <f>'2.1. DM'!E187</f>
        <v>28</v>
      </c>
      <c r="F187" s="199" t="str">
        <f>'2.1. DM'!F187</f>
        <v>F252600</v>
      </c>
      <c r="G187" s="199" t="str">
        <f>'2.1. DM'!G187</f>
        <v>CIAT13593</v>
      </c>
      <c r="H187" s="199" t="str">
        <f>'2.1. DM'!H187</f>
        <v>Desmodium</v>
      </c>
      <c r="I187" s="199" t="str">
        <f>'2.1. DM'!I187</f>
        <v>scorpiurus</v>
      </c>
      <c r="J187" s="199" t="str">
        <f>'2.1. DM'!J187</f>
        <v>Desmodium scorpiurus</v>
      </c>
      <c r="K187" s="199" t="str">
        <f>'2.1. DM'!K187</f>
        <v>Fabaceae</v>
      </c>
      <c r="L187" s="199" t="str">
        <f>'2.1. DM'!L187</f>
        <v>Fabales</v>
      </c>
      <c r="M187" s="199" t="str">
        <f>'2.1. DM'!M187</f>
        <v>Herbaceous</v>
      </c>
      <c r="N187" s="310">
        <f>'2.1. DM'!P187</f>
        <v>90.70185962807443</v>
      </c>
      <c r="O187" s="341">
        <f t="shared" si="88"/>
        <v>90.708715142839907</v>
      </c>
      <c r="P187" s="18">
        <f>'2.1. DM'!R187</f>
        <v>10.371791025272142</v>
      </c>
      <c r="Q187" s="341">
        <f t="shared" si="89"/>
        <v>10.47989479506532</v>
      </c>
      <c r="R187" s="18">
        <f>'2.1. DM'!T187</f>
        <v>89.628208974727855</v>
      </c>
      <c r="S187" s="341">
        <f t="shared" si="89"/>
        <v>89.52010520493468</v>
      </c>
      <c r="T187" s="30">
        <f>TablePC[[#This Row],[Av DM 105]]</f>
        <v>16.648198451736118</v>
      </c>
      <c r="U187" s="341">
        <f t="shared" ref="U187" si="100">AVERAGE(T187:T188)</f>
        <v>16.648198451736118</v>
      </c>
      <c r="V187" s="30">
        <f>'2.3 ADF'!Q187</f>
        <v>42.865431555383012</v>
      </c>
      <c r="W187" s="341">
        <f t="shared" si="89"/>
        <v>42.646867774826624</v>
      </c>
      <c r="X187" s="30">
        <f>'2.4 NDF'!Q187</f>
        <v>58.8730067457629</v>
      </c>
      <c r="Y187" s="341">
        <f t="shared" si="89"/>
        <v>58.294713453437382</v>
      </c>
    </row>
    <row r="188" spans="2:25" x14ac:dyDescent="0.35">
      <c r="B188" s="19">
        <f t="shared" si="74"/>
        <v>178</v>
      </c>
      <c r="C188" s="199">
        <f>'2.1. DM'!C188</f>
        <v>46048</v>
      </c>
      <c r="D188" s="199" t="str">
        <f>'2.1. DM'!D188</f>
        <v>Genbank</v>
      </c>
      <c r="E188" s="200">
        <f>'2.1. DM'!E188</f>
        <v>28</v>
      </c>
      <c r="F188" s="199" t="str">
        <f>'2.1. DM'!F188</f>
        <v>F252600</v>
      </c>
      <c r="G188" s="199" t="str">
        <f>'2.1. DM'!G188</f>
        <v>CIAT13593</v>
      </c>
      <c r="H188" s="199" t="str">
        <f>'2.1. DM'!H188</f>
        <v>Desmodium</v>
      </c>
      <c r="I188" s="199" t="str">
        <f>'2.1. DM'!I188</f>
        <v>scorpiurus</v>
      </c>
      <c r="J188" s="199" t="str">
        <f>'2.1. DM'!J188</f>
        <v>Desmodium scorpiurus</v>
      </c>
      <c r="K188" s="199" t="str">
        <f>'2.1. DM'!K188</f>
        <v>Fabaceae</v>
      </c>
      <c r="L188" s="199" t="str">
        <f>'2.1. DM'!L188</f>
        <v>Fabales</v>
      </c>
      <c r="M188" s="199" t="str">
        <f>'2.1. DM'!M188</f>
        <v>Herbaceous</v>
      </c>
      <c r="N188" s="310">
        <f>'2.1. DM'!P188</f>
        <v>90.715570657605369</v>
      </c>
      <c r="O188" s="341"/>
      <c r="P188" s="18">
        <f>'2.1. DM'!R188</f>
        <v>10.587998564858497</v>
      </c>
      <c r="Q188" s="341"/>
      <c r="R188" s="18">
        <f>'2.1. DM'!T188</f>
        <v>89.412001435141505</v>
      </c>
      <c r="S188" s="341"/>
      <c r="T188" s="30">
        <f>TablePC[[#This Row],[Av DM 105]]</f>
        <v>16.648198451736118</v>
      </c>
      <c r="U188" s="341"/>
      <c r="V188" s="30">
        <f>'2.3 ADF'!Q188</f>
        <v>42.428303994270237</v>
      </c>
      <c r="W188" s="341"/>
      <c r="X188" s="30">
        <f>'2.4 NDF'!Q188</f>
        <v>57.71642016111187</v>
      </c>
      <c r="Y188" s="341"/>
    </row>
    <row r="189" spans="2:25" x14ac:dyDescent="0.35">
      <c r="B189" s="19">
        <f t="shared" si="74"/>
        <v>179</v>
      </c>
      <c r="C189" s="199">
        <f>'2.1. DM'!C189</f>
        <v>46048</v>
      </c>
      <c r="D189" s="199" t="str">
        <f>'2.1. DM'!D189</f>
        <v>Genbank</v>
      </c>
      <c r="E189" s="200">
        <f>'2.1. DM'!E189</f>
        <v>28</v>
      </c>
      <c r="F189" s="199" t="str">
        <f>'2.1. DM'!F189</f>
        <v>F252601</v>
      </c>
      <c r="G189" s="199" t="str">
        <f>'2.1. DM'!G189</f>
        <v>CIAT13608</v>
      </c>
      <c r="H189" s="199" t="str">
        <f>'2.1. DM'!H189</f>
        <v>Desmodium</v>
      </c>
      <c r="I189" s="199" t="str">
        <f>'2.1. DM'!I189</f>
        <v>incanum</v>
      </c>
      <c r="J189" s="199" t="str">
        <f>'2.1. DM'!J189</f>
        <v>Desmodium incanum</v>
      </c>
      <c r="K189" s="199" t="str">
        <f>'2.1. DM'!K189</f>
        <v>Fabaceae</v>
      </c>
      <c r="L189" s="199" t="str">
        <f>'2.1. DM'!L189</f>
        <v>Fabales</v>
      </c>
      <c r="M189" s="199" t="str">
        <f>'2.1. DM'!M189</f>
        <v>Herbaceous</v>
      </c>
      <c r="N189" s="310">
        <f>'2.1. DM'!P189</f>
        <v>92.334599240455617</v>
      </c>
      <c r="O189" s="341">
        <f t="shared" si="88"/>
        <v>92.609078730672564</v>
      </c>
      <c r="P189" s="18">
        <f>'2.1. DM'!R189</f>
        <v>9.7664002061287398</v>
      </c>
      <c r="Q189" s="341">
        <f t="shared" si="89"/>
        <v>9.9773455627446666</v>
      </c>
      <c r="R189" s="18">
        <f>'2.1. DM'!T189</f>
        <v>90.233599793871264</v>
      </c>
      <c r="S189" s="341">
        <f t="shared" si="89"/>
        <v>90.022654437255341</v>
      </c>
      <c r="T189" s="30">
        <f>TablePC[[#This Row],[Av DM 105]]</f>
        <v>17.577517504014267</v>
      </c>
      <c r="U189" s="341">
        <f t="shared" ref="U189" si="101">AVERAGE(T189:T190)</f>
        <v>17.577517504014267</v>
      </c>
      <c r="V189" s="30">
        <f>'2.3 ADF'!Q189</f>
        <v>44.62612732080337</v>
      </c>
      <c r="W189" s="341">
        <f t="shared" si="89"/>
        <v>44.722523635631603</v>
      </c>
      <c r="X189" s="30">
        <f>'2.4 NDF'!Q189</f>
        <v>58.513608743964426</v>
      </c>
      <c r="Y189" s="341">
        <f t="shared" si="89"/>
        <v>59.516313879180146</v>
      </c>
    </row>
    <row r="190" spans="2:25" x14ac:dyDescent="0.35">
      <c r="B190" s="19">
        <f t="shared" si="74"/>
        <v>180</v>
      </c>
      <c r="C190" s="199">
        <f>'2.1. DM'!C190</f>
        <v>46048</v>
      </c>
      <c r="D190" s="199" t="str">
        <f>'2.1. DM'!D190</f>
        <v>Genbank</v>
      </c>
      <c r="E190" s="200">
        <f>'2.1. DM'!E190</f>
        <v>28</v>
      </c>
      <c r="F190" s="199" t="str">
        <f>'2.1. DM'!F190</f>
        <v>F252601</v>
      </c>
      <c r="G190" s="199" t="str">
        <f>'2.1. DM'!G190</f>
        <v>CIAT13608</v>
      </c>
      <c r="H190" s="199" t="str">
        <f>'2.1. DM'!H190</f>
        <v>Desmodium</v>
      </c>
      <c r="I190" s="199" t="str">
        <f>'2.1. DM'!I190</f>
        <v>incanum</v>
      </c>
      <c r="J190" s="199" t="str">
        <f>'2.1. DM'!J190</f>
        <v>Desmodium incanum</v>
      </c>
      <c r="K190" s="199" t="str">
        <f>'2.1. DM'!K190</f>
        <v>Fabaceae</v>
      </c>
      <c r="L190" s="199" t="str">
        <f>'2.1. DM'!L190</f>
        <v>Fabales</v>
      </c>
      <c r="M190" s="199" t="str">
        <f>'2.1. DM'!M190</f>
        <v>Herbaceous</v>
      </c>
      <c r="N190" s="310">
        <f>'2.1. DM'!P190</f>
        <v>92.883558220889512</v>
      </c>
      <c r="O190" s="341"/>
      <c r="P190" s="18">
        <f>'2.1. DM'!R190</f>
        <v>10.188290919360595</v>
      </c>
      <c r="Q190" s="341"/>
      <c r="R190" s="18">
        <f>'2.1. DM'!T190</f>
        <v>89.811709080639403</v>
      </c>
      <c r="S190" s="341"/>
      <c r="T190" s="30">
        <f>TablePC[[#This Row],[Av DM 105]]</f>
        <v>17.577517504014267</v>
      </c>
      <c r="U190" s="341"/>
      <c r="V190" s="30">
        <f>'2.3 ADF'!Q190</f>
        <v>44.818919950459843</v>
      </c>
      <c r="W190" s="341"/>
      <c r="X190" s="30">
        <f>'2.4 NDF'!Q190</f>
        <v>60.519019014395866</v>
      </c>
      <c r="Y190" s="341"/>
    </row>
    <row r="191" spans="2:25" x14ac:dyDescent="0.35">
      <c r="B191" s="19">
        <f t="shared" si="74"/>
        <v>181</v>
      </c>
      <c r="C191" s="199">
        <f>'2.1. DM'!C191</f>
        <v>46048</v>
      </c>
      <c r="D191" s="199" t="str">
        <f>'2.1. DM'!D191</f>
        <v>Genbank</v>
      </c>
      <c r="E191" s="200">
        <f>'2.1. DM'!E191</f>
        <v>28</v>
      </c>
      <c r="F191" s="199" t="str">
        <f>'2.1. DM'!F191</f>
        <v>F252602</v>
      </c>
      <c r="G191" s="199" t="str">
        <f>'2.1. DM'!G191</f>
        <v>CIAT18277</v>
      </c>
      <c r="H191" s="199" t="str">
        <f>'2.1. DM'!H191</f>
        <v>Indigofera</v>
      </c>
      <c r="I191" s="199" t="str">
        <f>'2.1. DM'!I191</f>
        <v>jamaicensis</v>
      </c>
      <c r="J191" s="199" t="str">
        <f>'2.1. DM'!J191</f>
        <v>Indigofera jamaicensis</v>
      </c>
      <c r="K191" s="199" t="str">
        <f>'2.1. DM'!K191</f>
        <v>Fabaceae</v>
      </c>
      <c r="L191" s="199" t="str">
        <f>'2.1. DM'!L191</f>
        <v>Fabales</v>
      </c>
      <c r="M191" s="199" t="str">
        <f>'2.1. DM'!M191</f>
        <v>Herbaceous</v>
      </c>
      <c r="N191" s="310">
        <f>'2.1. DM'!P191</f>
        <v>89.66413434626152</v>
      </c>
      <c r="O191" s="341">
        <f t="shared" si="88"/>
        <v>89.827567623085784</v>
      </c>
      <c r="P191" s="18">
        <f>'2.1. DM'!R191</f>
        <v>10.8831729755775</v>
      </c>
      <c r="Q191" s="341">
        <f t="shared" si="89"/>
        <v>10.328238948772755</v>
      </c>
      <c r="R191" s="18">
        <f>'2.1. DM'!T191</f>
        <v>89.116827024422506</v>
      </c>
      <c r="S191" s="341">
        <f t="shared" si="89"/>
        <v>89.67176105122725</v>
      </c>
      <c r="T191" s="30">
        <f>TablePC[[#This Row],[Av DM 105]]</f>
        <v>21.940146401110969</v>
      </c>
      <c r="U191" s="341">
        <f t="shared" ref="U191" si="102">AVERAGE(T191:T192)</f>
        <v>21.940146401110969</v>
      </c>
      <c r="V191" s="30">
        <f>'2.3 ADF'!Q191</f>
        <v>32.667992855956271</v>
      </c>
      <c r="W191" s="341">
        <f t="shared" si="89"/>
        <v>32.427584846947688</v>
      </c>
      <c r="X191" s="30">
        <f>'2.4 NDF'!Q191</f>
        <v>51.315341565023353</v>
      </c>
      <c r="Y191" s="341">
        <f t="shared" si="89"/>
        <v>49.956903169795083</v>
      </c>
    </row>
    <row r="192" spans="2:25" x14ac:dyDescent="0.35">
      <c r="B192" s="19">
        <f t="shared" si="74"/>
        <v>182</v>
      </c>
      <c r="C192" s="199">
        <f>'2.1. DM'!C192</f>
        <v>46048</v>
      </c>
      <c r="D192" s="199" t="str">
        <f>'2.1. DM'!D192</f>
        <v>Genbank</v>
      </c>
      <c r="E192" s="200">
        <f>'2.1. DM'!E192</f>
        <v>28</v>
      </c>
      <c r="F192" s="199" t="str">
        <f>'2.1. DM'!F192</f>
        <v>F252602</v>
      </c>
      <c r="G192" s="199" t="str">
        <f>'2.1. DM'!G192</f>
        <v>CIAT18277</v>
      </c>
      <c r="H192" s="199" t="str">
        <f>'2.1. DM'!H192</f>
        <v>Indigofera</v>
      </c>
      <c r="I192" s="199" t="str">
        <f>'2.1. DM'!I192</f>
        <v>jamaicensis</v>
      </c>
      <c r="J192" s="199" t="str">
        <f>'2.1. DM'!J192</f>
        <v>Indigofera jamaicensis</v>
      </c>
      <c r="K192" s="199" t="str">
        <f>'2.1. DM'!K192</f>
        <v>Fabaceae</v>
      </c>
      <c r="L192" s="199" t="str">
        <f>'2.1. DM'!L192</f>
        <v>Fabales</v>
      </c>
      <c r="M192" s="199" t="str">
        <f>'2.1. DM'!M192</f>
        <v>Herbaceous</v>
      </c>
      <c r="N192" s="310">
        <f>'2.1. DM'!P192</f>
        <v>89.991000899910048</v>
      </c>
      <c r="O192" s="341"/>
      <c r="P192" s="18">
        <f>'2.1. DM'!R192</f>
        <v>9.7733049219680108</v>
      </c>
      <c r="Q192" s="341"/>
      <c r="R192" s="18">
        <f>'2.1. DM'!T192</f>
        <v>90.226695078031995</v>
      </c>
      <c r="S192" s="341"/>
      <c r="T192" s="30">
        <f>TablePC[[#This Row],[Av DM 105]]</f>
        <v>21.940146401110969</v>
      </c>
      <c r="U192" s="341"/>
      <c r="V192" s="30">
        <f>'2.3 ADF'!Q192</f>
        <v>32.187176837939106</v>
      </c>
      <c r="W192" s="341"/>
      <c r="X192" s="30">
        <f>'2.4 NDF'!Q192</f>
        <v>48.598464774566807</v>
      </c>
      <c r="Y192" s="341"/>
    </row>
    <row r="193" spans="2:25" x14ac:dyDescent="0.35">
      <c r="B193" s="19">
        <f t="shared" si="74"/>
        <v>183</v>
      </c>
      <c r="C193" s="199">
        <f>'2.1. DM'!C193</f>
        <v>46048</v>
      </c>
      <c r="D193" s="199" t="str">
        <f>'2.1. DM'!D193</f>
        <v>Genbank</v>
      </c>
      <c r="E193" s="200">
        <f>'2.1. DM'!E193</f>
        <v>28</v>
      </c>
      <c r="F193" s="199" t="str">
        <f>'2.1. DM'!F193</f>
        <v>F252603</v>
      </c>
      <c r="G193" s="199" t="str">
        <f>'2.1. DM'!G193</f>
        <v>CIAT18952</v>
      </c>
      <c r="H193" s="199" t="str">
        <f>'2.1. DM'!H193</f>
        <v>Indigofera</v>
      </c>
      <c r="I193" s="199" t="str">
        <f>'2.1. DM'!I193</f>
        <v>atriceps</v>
      </c>
      <c r="J193" s="199" t="str">
        <f>'2.1. DM'!J193</f>
        <v>Indigofera atriceps</v>
      </c>
      <c r="K193" s="199" t="str">
        <f>'2.1. DM'!K193</f>
        <v>Fabaceae</v>
      </c>
      <c r="L193" s="199" t="str">
        <f>'2.1. DM'!L193</f>
        <v>Fabales</v>
      </c>
      <c r="M193" s="199" t="str">
        <f>'2.1. DM'!M193</f>
        <v>Herbaceous</v>
      </c>
      <c r="N193" s="310">
        <f>'2.1. DM'!P193</f>
        <v>90.284857571214374</v>
      </c>
      <c r="O193" s="341">
        <f t="shared" ref="O193" si="103">AVERAGE(N193:N194)</f>
        <v>90.342908737611964</v>
      </c>
      <c r="P193" s="18">
        <f>'2.1. DM'!R193</f>
        <v>17.745702714264517</v>
      </c>
      <c r="Q193" s="341">
        <f t="shared" ref="Q193:Y193" si="104">AVERAGE(P193:P194)</f>
        <v>18.092354248590603</v>
      </c>
      <c r="R193" s="18">
        <f>'2.1. DM'!T193</f>
        <v>82.254297285735475</v>
      </c>
      <c r="S193" s="341">
        <f t="shared" si="104"/>
        <v>81.90764575140939</v>
      </c>
      <c r="T193" s="30">
        <f>TablePC[[#This Row],[Av DM 105]]</f>
        <v>16.681806242228959</v>
      </c>
      <c r="U193" s="341">
        <f t="shared" ref="U193" si="105">AVERAGE(T193:T194)</f>
        <v>16.658173479258529</v>
      </c>
      <c r="V193" s="30">
        <f>'2.3 ADF'!Q193</f>
        <v>41.739477763617359</v>
      </c>
      <c r="W193" s="341">
        <f t="shared" si="104"/>
        <v>40.990933785856228</v>
      </c>
      <c r="X193" s="30">
        <f>'2.4 NDF'!Q193</f>
        <v>48.974611064755472</v>
      </c>
      <c r="Y193" s="341">
        <f t="shared" si="104"/>
        <v>48.145875284716652</v>
      </c>
    </row>
    <row r="194" spans="2:25" x14ac:dyDescent="0.35">
      <c r="B194" s="19">
        <f t="shared" si="74"/>
        <v>184</v>
      </c>
      <c r="C194" s="199">
        <f>'2.1. DM'!C194</f>
        <v>46048</v>
      </c>
      <c r="D194" s="199" t="str">
        <f>'2.1. DM'!D194</f>
        <v>Genbank</v>
      </c>
      <c r="E194" s="200">
        <f>'2.1. DM'!E194</f>
        <v>28</v>
      </c>
      <c r="F194" s="199" t="str">
        <f>'2.1. DM'!F194</f>
        <v>F252603</v>
      </c>
      <c r="G194" s="199" t="str">
        <f>'2.1. DM'!G194</f>
        <v>CIAT18952</v>
      </c>
      <c r="H194" s="199" t="str">
        <f>'2.1. DM'!H194</f>
        <v>Indigofera</v>
      </c>
      <c r="I194" s="199" t="str">
        <f>'2.1. DM'!I194</f>
        <v>atriceps</v>
      </c>
      <c r="J194" s="199" t="str">
        <f>'2.1. DM'!J194</f>
        <v>Indigofera atriceps</v>
      </c>
      <c r="K194" s="199" t="str">
        <f>'2.1. DM'!K194</f>
        <v>Fabaceae</v>
      </c>
      <c r="L194" s="199" t="str">
        <f>'2.1. DM'!L194</f>
        <v>Fabales</v>
      </c>
      <c r="M194" s="199" t="str">
        <f>'2.1. DM'!M194</f>
        <v>Herbaceous</v>
      </c>
      <c r="N194" s="310">
        <f>'2.1. DM'!P194</f>
        <v>90.400959904009568</v>
      </c>
      <c r="O194" s="341"/>
      <c r="P194" s="18">
        <f>'2.1. DM'!R194</f>
        <v>18.439005782916688</v>
      </c>
      <c r="Q194" s="341"/>
      <c r="R194" s="18">
        <f>'2.1. DM'!T194</f>
        <v>81.560994217083305</v>
      </c>
      <c r="S194" s="341"/>
      <c r="T194" s="30">
        <f>TablePC[[#This Row],[Av DM 105]]</f>
        <v>16.634540716288097</v>
      </c>
      <c r="U194" s="341"/>
      <c r="V194" s="30">
        <f>'2.3 ADF'!Q194</f>
        <v>40.242389808095098</v>
      </c>
      <c r="W194" s="341"/>
      <c r="X194" s="30">
        <f>'2.4 NDF'!Q194</f>
        <v>47.317139504677833</v>
      </c>
      <c r="Y194" s="341"/>
    </row>
    <row r="195" spans="2:25" x14ac:dyDescent="0.35">
      <c r="B195" s="19">
        <f t="shared" si="74"/>
        <v>185</v>
      </c>
      <c r="C195" s="199">
        <f>'2.1. DM'!C195</f>
        <v>46048</v>
      </c>
      <c r="D195" s="199" t="str">
        <f>'2.1. DM'!D195</f>
        <v>Jacobo Arango/ Alejandro Montoya</v>
      </c>
      <c r="E195" s="200">
        <f>'2.1. DM'!E195</f>
        <v>28</v>
      </c>
      <c r="F195" s="199" t="str">
        <f>'2.1. DM'!F195</f>
        <v>F250008</v>
      </c>
      <c r="G195" s="199" t="str">
        <f>'2.1. DM'!G195</f>
        <v>Sample 8</v>
      </c>
      <c r="H195" s="199" t="str">
        <f>'2.1. DM'!H195</f>
        <v>Cynodon</v>
      </c>
      <c r="I195" s="199" t="str">
        <f>'2.1. DM'!I195</f>
        <v xml:space="preserve"> nlemfuensis </v>
      </c>
      <c r="J195" s="199" t="str">
        <f>'2.1. DM'!J195</f>
        <v xml:space="preserve">Cynodon nlemfuensis </v>
      </c>
      <c r="K195" s="199" t="str">
        <f>'2.1. DM'!K195</f>
        <v>Poaceae</v>
      </c>
      <c r="L195" s="199" t="str">
        <f>'2.1. DM'!L195</f>
        <v>Poales</v>
      </c>
      <c r="M195" s="199" t="str">
        <f>'2.1. DM'!M195</f>
        <v>grasses</v>
      </c>
      <c r="N195" s="310">
        <f>'2.1. DM'!P195</f>
        <v>93.3</v>
      </c>
      <c r="O195" s="341">
        <f t="shared" ref="O195" si="106">AVERAGE(N195:N196)</f>
        <v>93.55</v>
      </c>
      <c r="P195" s="18">
        <f>'2.1. DM'!R195</f>
        <v>11.3</v>
      </c>
      <c r="Q195" s="341">
        <f t="shared" ref="Q195:Y195" si="107">AVERAGE(P195:P196)</f>
        <v>11.4</v>
      </c>
      <c r="R195" s="18">
        <f>'2.1. DM'!T195</f>
        <v>88.7</v>
      </c>
      <c r="S195" s="341">
        <f t="shared" si="107"/>
        <v>88.6</v>
      </c>
      <c r="T195" s="30">
        <f>TablePC[[#This Row],[Av DM 105]]</f>
        <v>0</v>
      </c>
      <c r="U195" s="341">
        <f t="shared" ref="U195" si="108">AVERAGE(T195:T196)</f>
        <v>0</v>
      </c>
      <c r="V195" s="30">
        <f>'2.3 ADF'!Q195</f>
        <v>0</v>
      </c>
      <c r="W195" s="341">
        <f t="shared" si="107"/>
        <v>0</v>
      </c>
      <c r="X195" s="30">
        <f>'2.4 NDF'!Q195</f>
        <v>76.099999999999994</v>
      </c>
      <c r="Y195" s="341">
        <f t="shared" si="107"/>
        <v>76.099999999999994</v>
      </c>
    </row>
    <row r="196" spans="2:25" x14ac:dyDescent="0.35">
      <c r="B196" s="19">
        <f t="shared" si="74"/>
        <v>186</v>
      </c>
      <c r="C196" s="199">
        <f>'2.1. DM'!C196</f>
        <v>46048</v>
      </c>
      <c r="D196" s="199" t="str">
        <f>'2.1. DM'!D196</f>
        <v>Jacobo Arango/ Alejandro Montoya</v>
      </c>
      <c r="E196" s="200">
        <f>'2.1. DM'!E196</f>
        <v>28</v>
      </c>
      <c r="F196" s="199" t="str">
        <f>'2.1. DM'!F196</f>
        <v>F250008</v>
      </c>
      <c r="G196" s="199" t="str">
        <f>'2.1. DM'!G196</f>
        <v>Sample 8</v>
      </c>
      <c r="H196" s="199" t="str">
        <f>'2.1. DM'!H196</f>
        <v>Cynodon</v>
      </c>
      <c r="I196" s="199" t="str">
        <f>'2.1. DM'!I196</f>
        <v xml:space="preserve"> nlemfuensis </v>
      </c>
      <c r="J196" s="199" t="str">
        <f>'2.1. DM'!J196</f>
        <v xml:space="preserve">Cynodon nlemfuensis </v>
      </c>
      <c r="K196" s="199" t="str">
        <f>'2.1. DM'!K196</f>
        <v>Poaceae</v>
      </c>
      <c r="L196" s="199" t="str">
        <f>'2.1. DM'!L196</f>
        <v>Poales</v>
      </c>
      <c r="M196" s="199" t="str">
        <f>'2.1. DM'!M196</f>
        <v>grasses</v>
      </c>
      <c r="N196" s="310">
        <f>'2.1. DM'!P196</f>
        <v>93.8</v>
      </c>
      <c r="O196" s="341"/>
      <c r="P196" s="18">
        <f>'2.1. DM'!R196</f>
        <v>11.5</v>
      </c>
      <c r="Q196" s="341"/>
      <c r="R196" s="18">
        <f>'2.1. DM'!T196</f>
        <v>88.5</v>
      </c>
      <c r="S196" s="341"/>
      <c r="T196" s="30">
        <f>TablePC[[#This Row],[Av DM 105]]</f>
        <v>0</v>
      </c>
      <c r="U196" s="341"/>
      <c r="V196" s="30">
        <f>'2.3 ADF'!Q196</f>
        <v>0</v>
      </c>
      <c r="W196" s="341"/>
      <c r="X196" s="30">
        <f>'2.4 NDF'!Q196</f>
        <v>76.099999999999994</v>
      </c>
      <c r="Y196" s="341"/>
    </row>
    <row r="197" spans="2:25" x14ac:dyDescent="0.35">
      <c r="B197" s="19">
        <f t="shared" si="74"/>
        <v>187</v>
      </c>
      <c r="C197" s="199">
        <f>'2.1. DM'!C197</f>
        <v>46055</v>
      </c>
      <c r="D197" s="199" t="str">
        <f>'2.1. DM'!D197</f>
        <v>Genbank</v>
      </c>
      <c r="E197" s="200">
        <f>'2.1. DM'!E197</f>
        <v>29</v>
      </c>
      <c r="F197" s="199" t="str">
        <f>'2.1. DM'!F197</f>
        <v>F252604</v>
      </c>
      <c r="G197" s="199" t="str">
        <f>'2.1. DM'!G197</f>
        <v>CIAT18953</v>
      </c>
      <c r="H197" s="199" t="str">
        <f>'2.1. DM'!H197</f>
        <v>Indigofera</v>
      </c>
      <c r="I197" s="199" t="str">
        <f>'2.1. DM'!I197</f>
        <v>atriceps</v>
      </c>
      <c r="J197" s="199" t="str">
        <f>'2.1. DM'!J197</f>
        <v>Indigofera atriceps</v>
      </c>
      <c r="K197" s="199" t="str">
        <f>'2.1. DM'!K197</f>
        <v>Fabaceae</v>
      </c>
      <c r="L197" s="199" t="str">
        <f>'2.1. DM'!L197</f>
        <v>Fabales</v>
      </c>
      <c r="M197" s="199" t="str">
        <f>'2.1. DM'!M197</f>
        <v>Herbaceous</v>
      </c>
      <c r="N197" s="310">
        <f>'2.1. DM'!P197</f>
        <v>89.519999999999911</v>
      </c>
      <c r="O197" s="341">
        <f t="shared" ref="O197" si="109">AVERAGE(N197:N198)</f>
        <v>89.536567029890961</v>
      </c>
      <c r="P197" s="18">
        <f>'2.1. DM'!R197</f>
        <v>13.614549233198201</v>
      </c>
      <c r="Q197" s="341">
        <f t="shared" ref="Q197:Y197" si="110">AVERAGE(P197:P198)</f>
        <v>11.971212736520121</v>
      </c>
      <c r="R197" s="18">
        <f>'2.1. DM'!T197</f>
        <v>86.385450766801796</v>
      </c>
      <c r="S197" s="341">
        <f t="shared" si="110"/>
        <v>88.02878726347987</v>
      </c>
      <c r="T197" s="30">
        <f>TablePC[[#This Row],[Av DM 105]]</f>
        <v>13.46691821367828</v>
      </c>
      <c r="U197" s="341">
        <f t="shared" ref="U197" si="111">AVERAGE(T197:T198)</f>
        <v>13.46691821367828</v>
      </c>
      <c r="V197" s="30">
        <f>'2.3 ADF'!Q197</f>
        <v>44.857637751796531</v>
      </c>
      <c r="W197" s="341">
        <f t="shared" si="110"/>
        <v>44.711084593598386</v>
      </c>
      <c r="X197" s="30">
        <f>'2.4 NDF'!Q197</f>
        <v>52.564583308067625</v>
      </c>
      <c r="Y197" s="341">
        <f t="shared" si="110"/>
        <v>52.716072515702066</v>
      </c>
    </row>
    <row r="198" spans="2:25" x14ac:dyDescent="0.35">
      <c r="B198" s="19">
        <f t="shared" si="74"/>
        <v>188</v>
      </c>
      <c r="C198" s="199">
        <f>'2.1. DM'!C198</f>
        <v>46055</v>
      </c>
      <c r="D198" s="199" t="str">
        <f>'2.1. DM'!D198</f>
        <v>Genbank</v>
      </c>
      <c r="E198" s="200">
        <f>'2.1. DM'!E198</f>
        <v>29</v>
      </c>
      <c r="F198" s="199" t="str">
        <f>'2.1. DM'!F198</f>
        <v>F252604</v>
      </c>
      <c r="G198" s="199" t="str">
        <f>'2.1. DM'!G198</f>
        <v>CIAT18953</v>
      </c>
      <c r="H198" s="199" t="str">
        <f>'2.1. DM'!H198</f>
        <v>Indigofera</v>
      </c>
      <c r="I198" s="199" t="str">
        <f>'2.1. DM'!I198</f>
        <v>atriceps</v>
      </c>
      <c r="J198" s="199" t="str">
        <f>'2.1. DM'!J198</f>
        <v>Indigofera atriceps</v>
      </c>
      <c r="K198" s="199" t="str">
        <f>'2.1. DM'!K198</f>
        <v>Fabaceae</v>
      </c>
      <c r="L198" s="199" t="str">
        <f>'2.1. DM'!L198</f>
        <v>Fabales</v>
      </c>
      <c r="M198" s="199" t="str">
        <f>'2.1. DM'!M198</f>
        <v>Herbaceous</v>
      </c>
      <c r="N198" s="310">
        <f>'2.1. DM'!P198</f>
        <v>89.55313405978201</v>
      </c>
      <c r="O198" s="341"/>
      <c r="P198" s="18">
        <f>'2.1. DM'!R198</f>
        <v>10.327876239842041</v>
      </c>
      <c r="Q198" s="341"/>
      <c r="R198" s="18">
        <f>'2.1. DM'!T198</f>
        <v>89.672123760157959</v>
      </c>
      <c r="S198" s="341"/>
      <c r="T198" s="30">
        <f>TablePC[[#This Row],[Av DM 105]]</f>
        <v>13.46691821367828</v>
      </c>
      <c r="U198" s="341"/>
      <c r="V198" s="30">
        <f>'2.3 ADF'!Q198</f>
        <v>44.564531435400234</v>
      </c>
      <c r="W198" s="341"/>
      <c r="X198" s="30">
        <f>'2.4 NDF'!Q198</f>
        <v>52.8675617233365</v>
      </c>
      <c r="Y198" s="341"/>
    </row>
    <row r="199" spans="2:25" x14ac:dyDescent="0.35">
      <c r="B199" s="19">
        <f t="shared" si="74"/>
        <v>189</v>
      </c>
      <c r="C199" s="199">
        <f>'2.1. DM'!C199</f>
        <v>46055</v>
      </c>
      <c r="D199" s="199" t="str">
        <f>'2.1. DM'!D199</f>
        <v>Genbank</v>
      </c>
      <c r="E199" s="200">
        <f>'2.1. DM'!E199</f>
        <v>29</v>
      </c>
      <c r="F199" s="199" t="str">
        <f>'2.1. DM'!F199</f>
        <v>F252605</v>
      </c>
      <c r="G199" s="199" t="str">
        <f>'2.1. DM'!G199</f>
        <v>CIAT18954</v>
      </c>
      <c r="H199" s="199" t="str">
        <f>'2.1. DM'!H199</f>
        <v>Indigofera</v>
      </c>
      <c r="I199" s="199" t="str">
        <f>'2.1. DM'!I199</f>
        <v>atriceps</v>
      </c>
      <c r="J199" s="199" t="str">
        <f>'2.1. DM'!J199</f>
        <v>Indigofera atriceps</v>
      </c>
      <c r="K199" s="199" t="str">
        <f>'2.1. DM'!K199</f>
        <v>Fabaceae</v>
      </c>
      <c r="L199" s="199" t="str">
        <f>'2.1. DM'!L199</f>
        <v>Fabales</v>
      </c>
      <c r="M199" s="199" t="str">
        <f>'2.1. DM'!M199</f>
        <v>Herbaceous</v>
      </c>
      <c r="N199" s="310">
        <f>'2.1. DM'!P199</f>
        <v>92.921415716856558</v>
      </c>
      <c r="O199" s="341">
        <f>AVERAGE(N199:N200)</f>
        <v>92.941059823231768</v>
      </c>
      <c r="P199" s="18">
        <f>'2.1. DM'!R199</f>
        <v>18.889916615595787</v>
      </c>
      <c r="Q199" s="341">
        <f>AVERAGE(P199:P200)</f>
        <v>20.284077874435134</v>
      </c>
      <c r="R199" s="18">
        <f>'2.1. DM'!T199</f>
        <v>81.11008338440422</v>
      </c>
      <c r="S199" s="341">
        <f>AVERAGE(R199:R200)</f>
        <v>79.715922125564873</v>
      </c>
      <c r="T199" s="30">
        <f>TablePC[[#This Row],[Av DM 105]]</f>
        <v>17.605298353449115</v>
      </c>
      <c r="U199" s="341">
        <f t="shared" ref="U199" si="112">AVERAGE(T199:T200)</f>
        <v>17.605298353449115</v>
      </c>
      <c r="V199" s="30">
        <f>'2.3 ADF'!Q199</f>
        <v>45.564478802727294</v>
      </c>
      <c r="W199" s="341">
        <f>AVERAGE(V199:V200)</f>
        <v>44.830313903885752</v>
      </c>
      <c r="X199" s="30">
        <f>'2.4 NDF'!Q199</f>
        <v>53.167025510802205</v>
      </c>
      <c r="Y199" s="341">
        <f>AVERAGE(X199:X200)</f>
        <v>51.541429238033814</v>
      </c>
    </row>
    <row r="200" spans="2:25" x14ac:dyDescent="0.35">
      <c r="B200" s="19">
        <f t="shared" si="74"/>
        <v>190</v>
      </c>
      <c r="C200" s="199">
        <f>'2.1. DM'!C200</f>
        <v>46055</v>
      </c>
      <c r="D200" s="199" t="str">
        <f>'2.1. DM'!D200</f>
        <v>Genbank</v>
      </c>
      <c r="E200" s="200">
        <f>'2.1. DM'!E200</f>
        <v>29</v>
      </c>
      <c r="F200" s="199" t="str">
        <f>'2.1. DM'!F200</f>
        <v>F252605</v>
      </c>
      <c r="G200" s="199" t="str">
        <f>'2.1. DM'!G200</f>
        <v>CIAT18954</v>
      </c>
      <c r="H200" s="199" t="str">
        <f>'2.1. DM'!H200</f>
        <v>Indigofera</v>
      </c>
      <c r="I200" s="199" t="str">
        <f>'2.1. DM'!I200</f>
        <v>atriceps</v>
      </c>
      <c r="J200" s="199" t="str">
        <f>'2.1. DM'!J200</f>
        <v>Indigofera atriceps</v>
      </c>
      <c r="K200" s="199" t="str">
        <f>'2.1. DM'!K200</f>
        <v>Fabaceae</v>
      </c>
      <c r="L200" s="199" t="str">
        <f>'2.1. DM'!L200</f>
        <v>Fabales</v>
      </c>
      <c r="M200" s="199" t="str">
        <f>'2.1. DM'!M200</f>
        <v>Herbaceous</v>
      </c>
      <c r="N200" s="310">
        <f>'2.1. DM'!P200</f>
        <v>92.960703929606993</v>
      </c>
      <c r="O200" s="341"/>
      <c r="P200" s="18">
        <f>'2.1. DM'!R200</f>
        <v>21.678239133274481</v>
      </c>
      <c r="Q200" s="341"/>
      <c r="R200" s="18">
        <f>'2.1. DM'!T200</f>
        <v>78.321760866725526</v>
      </c>
      <c r="S200" s="341"/>
      <c r="T200" s="30">
        <f>TablePC[[#This Row],[Av DM 105]]</f>
        <v>17.605298353449115</v>
      </c>
      <c r="U200" s="341"/>
      <c r="V200" s="30">
        <f>'2.3 ADF'!Q200</f>
        <v>44.096149005044204</v>
      </c>
      <c r="W200" s="341"/>
      <c r="X200" s="30">
        <f>'2.4 NDF'!Q200</f>
        <v>49.91583296526543</v>
      </c>
      <c r="Y200" s="341"/>
    </row>
    <row r="201" spans="2:25" x14ac:dyDescent="0.35">
      <c r="B201" s="19">
        <f t="shared" si="74"/>
        <v>191</v>
      </c>
      <c r="C201" s="199">
        <f>'2.1. DM'!C201</f>
        <v>46055</v>
      </c>
      <c r="D201" s="199" t="str">
        <f>'2.1. DM'!D201</f>
        <v>Genbank</v>
      </c>
      <c r="E201" s="200">
        <f>'2.1. DM'!E201</f>
        <v>29</v>
      </c>
      <c r="F201" s="199" t="str">
        <f>'2.1. DM'!F201</f>
        <v>F252606</v>
      </c>
      <c r="G201" s="199" t="str">
        <f>'2.1. DM'!G201</f>
        <v>CIAT19198</v>
      </c>
      <c r="H201" s="199" t="str">
        <f>'2.1. DM'!H201</f>
        <v>Tephrosia</v>
      </c>
      <c r="I201" s="199" t="str">
        <f>'2.1. DM'!I201</f>
        <v>villosa</v>
      </c>
      <c r="J201" s="199" t="str">
        <f>'2.1. DM'!J201</f>
        <v>Tephrosia villosa</v>
      </c>
      <c r="K201" s="199" t="str">
        <f>'2.1. DM'!K201</f>
        <v>Fabaceae</v>
      </c>
      <c r="L201" s="199" t="str">
        <f>'2.1. DM'!L201</f>
        <v>Fabales</v>
      </c>
      <c r="M201" s="199" t="str">
        <f>'2.1. DM'!M201</f>
        <v>Herbaceous</v>
      </c>
      <c r="N201" s="310">
        <f>'2.1. DM'!P201</f>
        <v>90.544727636182003</v>
      </c>
      <c r="O201" s="341">
        <f t="shared" ref="O201" si="113">AVERAGE(N201:N202)</f>
        <v>90.542836770795731</v>
      </c>
      <c r="P201" s="18">
        <f>'2.1. DM'!R201</f>
        <v>12.198069063241238</v>
      </c>
      <c r="Q201" s="341">
        <f t="shared" ref="Q201:Y201" si="114">AVERAGE(P201:P202)</f>
        <v>11.322558794802035</v>
      </c>
      <c r="R201" s="18">
        <f>'2.1. DM'!T201</f>
        <v>87.801930936758765</v>
      </c>
      <c r="S201" s="341">
        <f t="shared" si="114"/>
        <v>88.677441205197965</v>
      </c>
      <c r="T201" s="30">
        <f>TablePC[[#This Row],[Av DM 105]]</f>
        <v>26.998023936265938</v>
      </c>
      <c r="U201" s="341">
        <f t="shared" ref="U201" si="115">AVERAGE(T201:T202)</f>
        <v>26.998023936265938</v>
      </c>
      <c r="V201" s="30">
        <f>'2.3 ADF'!Q201</f>
        <v>33.602407279175218</v>
      </c>
      <c r="W201" s="341">
        <f t="shared" si="114"/>
        <v>33.587159133532339</v>
      </c>
      <c r="X201" s="30">
        <f>'2.4 NDF'!Q201</f>
        <v>51.80362673208748</v>
      </c>
      <c r="Y201" s="341">
        <f t="shared" si="114"/>
        <v>51.725955405279976</v>
      </c>
    </row>
    <row r="202" spans="2:25" x14ac:dyDescent="0.35">
      <c r="B202" s="19">
        <f t="shared" si="74"/>
        <v>192</v>
      </c>
      <c r="C202" s="199">
        <f>'2.1. DM'!C202</f>
        <v>46055</v>
      </c>
      <c r="D202" s="199" t="str">
        <f>'2.1. DM'!D202</f>
        <v>Genbank</v>
      </c>
      <c r="E202" s="200">
        <f>'2.1. DM'!E202</f>
        <v>29</v>
      </c>
      <c r="F202" s="199" t="str">
        <f>'2.1. DM'!F202</f>
        <v>F252606</v>
      </c>
      <c r="G202" s="199" t="str">
        <f>'2.1. DM'!G202</f>
        <v>CIAT19198</v>
      </c>
      <c r="H202" s="199" t="str">
        <f>'2.1. DM'!H202</f>
        <v>Tephrosia</v>
      </c>
      <c r="I202" s="199" t="str">
        <f>'2.1. DM'!I202</f>
        <v>villosa</v>
      </c>
      <c r="J202" s="199" t="str">
        <f>'2.1. DM'!J202</f>
        <v>Tephrosia villosa</v>
      </c>
      <c r="K202" s="199" t="str">
        <f>'2.1. DM'!K202</f>
        <v>Fabaceae</v>
      </c>
      <c r="L202" s="199" t="str">
        <f>'2.1. DM'!L202</f>
        <v>Fabales</v>
      </c>
      <c r="M202" s="199" t="str">
        <f>'2.1. DM'!M202</f>
        <v>Herbaceous</v>
      </c>
      <c r="N202" s="310">
        <f>'2.1. DM'!P202</f>
        <v>90.540945905409458</v>
      </c>
      <c r="O202" s="341"/>
      <c r="P202" s="18">
        <f>'2.1. DM'!R202</f>
        <v>10.447048526362833</v>
      </c>
      <c r="Q202" s="341"/>
      <c r="R202" s="18">
        <f>'2.1. DM'!T202</f>
        <v>89.552951473637165</v>
      </c>
      <c r="S202" s="341"/>
      <c r="T202" s="30">
        <f>TablePC[[#This Row],[Av DM 105]]</f>
        <v>26.998023936265938</v>
      </c>
      <c r="U202" s="341"/>
      <c r="V202" s="30">
        <f>'2.3 ADF'!Q202</f>
        <v>33.571910987889467</v>
      </c>
      <c r="W202" s="341"/>
      <c r="X202" s="30">
        <f>'2.4 NDF'!Q202</f>
        <v>51.648284078472464</v>
      </c>
      <c r="Y202" s="341"/>
    </row>
    <row r="203" spans="2:25" x14ac:dyDescent="0.35">
      <c r="B203" s="19">
        <f t="shared" si="74"/>
        <v>193</v>
      </c>
      <c r="C203" s="199">
        <f>'2.1. DM'!C203</f>
        <v>46055</v>
      </c>
      <c r="D203" s="199" t="str">
        <f>'2.1. DM'!D203</f>
        <v>Genbank</v>
      </c>
      <c r="E203" s="200">
        <f>'2.1. DM'!E203</f>
        <v>29</v>
      </c>
      <c r="F203" s="199" t="str">
        <f>'2.1. DM'!F203</f>
        <v>F252607</v>
      </c>
      <c r="G203" s="199" t="str">
        <f>'2.1. DM'!G203</f>
        <v>CIAT19460</v>
      </c>
      <c r="H203" s="199" t="str">
        <f>'2.1. DM'!H203</f>
        <v>Sesbania</v>
      </c>
      <c r="I203" s="199" t="str">
        <f>'2.1. DM'!I203</f>
        <v>cannabina</v>
      </c>
      <c r="J203" s="199" t="str">
        <f>'2.1. DM'!J203</f>
        <v>Sesbania cannabina</v>
      </c>
      <c r="K203" s="199" t="str">
        <f>'2.1. DM'!K203</f>
        <v>Fabaceae</v>
      </c>
      <c r="L203" s="199" t="str">
        <f>'2.1. DM'!L203</f>
        <v>Fabales</v>
      </c>
      <c r="M203" s="199" t="str">
        <f>'2.1. DM'!M203</f>
        <v>Shurb_Tree</v>
      </c>
      <c r="N203" s="310">
        <f>'2.1. DM'!P203</f>
        <v>91.014492753623244</v>
      </c>
      <c r="O203" s="341">
        <f t="shared" ref="O203" si="116">AVERAGE(N203:N204)</f>
        <v>91.03358847418238</v>
      </c>
      <c r="P203" s="18">
        <f>'2.1. DM'!R203</f>
        <v>8.0040311974032736</v>
      </c>
      <c r="Q203" s="341">
        <f t="shared" ref="Q203:Y203" si="117">AVERAGE(P203:P204)</f>
        <v>10.426287808953671</v>
      </c>
      <c r="R203" s="18">
        <f>'2.1. DM'!T203</f>
        <v>91.995968802596721</v>
      </c>
      <c r="S203" s="341">
        <f t="shared" si="117"/>
        <v>89.573712191046326</v>
      </c>
      <c r="T203" s="30">
        <f>TablePC[[#This Row],[Av DM 105]]</f>
        <v>21.69628457518186</v>
      </c>
      <c r="U203" s="341">
        <f t="shared" ref="U203" si="118">AVERAGE(T203:T204)</f>
        <v>21.69628457518186</v>
      </c>
      <c r="V203" s="30">
        <f>'2.3 ADF'!Q203</f>
        <v>33.901700784130725</v>
      </c>
      <c r="W203" s="341">
        <f t="shared" si="117"/>
        <v>33.70085178218784</v>
      </c>
      <c r="X203" s="30">
        <f>'2.4 NDF'!Q203</f>
        <v>53.949644391233065</v>
      </c>
      <c r="Y203" s="341">
        <f t="shared" si="117"/>
        <v>53.522162359826567</v>
      </c>
    </row>
    <row r="204" spans="2:25" x14ac:dyDescent="0.35">
      <c r="B204" s="19">
        <f t="shared" si="74"/>
        <v>194</v>
      </c>
      <c r="C204" s="199">
        <f>'2.1. DM'!C204</f>
        <v>46055</v>
      </c>
      <c r="D204" s="199" t="str">
        <f>'2.1. DM'!D204</f>
        <v>Genbank</v>
      </c>
      <c r="E204" s="200">
        <f>'2.1. DM'!E204</f>
        <v>29</v>
      </c>
      <c r="F204" s="199" t="str">
        <f>'2.1. DM'!F204</f>
        <v>F252607</v>
      </c>
      <c r="G204" s="199" t="str">
        <f>'2.1. DM'!G204</f>
        <v>CIAT19460</v>
      </c>
      <c r="H204" s="199" t="str">
        <f>'2.1. DM'!H204</f>
        <v>Sesbania</v>
      </c>
      <c r="I204" s="199" t="str">
        <f>'2.1. DM'!I204</f>
        <v>cannabina</v>
      </c>
      <c r="J204" s="199" t="str">
        <f>'2.1. DM'!J204</f>
        <v>Sesbania cannabina</v>
      </c>
      <c r="K204" s="199" t="str">
        <f>'2.1. DM'!K204</f>
        <v>Fabaceae</v>
      </c>
      <c r="L204" s="199" t="str">
        <f>'2.1. DM'!L204</f>
        <v>Fabales</v>
      </c>
      <c r="M204" s="199" t="str">
        <f>'2.1. DM'!M204</f>
        <v>Shurb_Tree</v>
      </c>
      <c r="N204" s="310">
        <f>'2.1. DM'!P204</f>
        <v>91.052684194741502</v>
      </c>
      <c r="O204" s="341"/>
      <c r="P204" s="18">
        <f>'2.1. DM'!R204</f>
        <v>12.848544420504068</v>
      </c>
      <c r="Q204" s="341"/>
      <c r="R204" s="18">
        <f>'2.1. DM'!T204</f>
        <v>87.151455579495931</v>
      </c>
      <c r="S204" s="341"/>
      <c r="T204" s="30">
        <f>TablePC[[#This Row],[Av DM 105]]</f>
        <v>21.69628457518186</v>
      </c>
      <c r="U204" s="341"/>
      <c r="V204" s="30">
        <f>'2.3 ADF'!Q204</f>
        <v>33.500002780244955</v>
      </c>
      <c r="W204" s="341"/>
      <c r="X204" s="30">
        <f>'2.4 NDF'!Q204</f>
        <v>53.094680328420075</v>
      </c>
      <c r="Y204" s="341"/>
    </row>
    <row r="205" spans="2:25" x14ac:dyDescent="0.35">
      <c r="B205" s="19">
        <f t="shared" ref="B205:B240" si="119">B204+1</f>
        <v>195</v>
      </c>
      <c r="C205" s="199">
        <f>'2.1. DM'!C205</f>
        <v>46055</v>
      </c>
      <c r="D205" s="199" t="str">
        <f>'2.1. DM'!D205</f>
        <v>Genbank</v>
      </c>
      <c r="E205" s="200">
        <f>'2.1. DM'!E205</f>
        <v>29</v>
      </c>
      <c r="F205" s="199" t="str">
        <f>'2.1. DM'!F205</f>
        <v>F252608</v>
      </c>
      <c r="G205" s="199" t="str">
        <f>'2.1. DM'!G205</f>
        <v>CIAT20044</v>
      </c>
      <c r="H205" s="199" t="str">
        <f>'2.1. DM'!H205</f>
        <v>Tephrosia</v>
      </c>
      <c r="I205" s="199" t="str">
        <f>'2.1. DM'!I205</f>
        <v>purpurea</v>
      </c>
      <c r="J205" s="199" t="str">
        <f>'2.1. DM'!J205</f>
        <v>Tephrosia purpurea</v>
      </c>
      <c r="K205" s="199" t="str">
        <f>'2.1. DM'!K205</f>
        <v>Fabaceae</v>
      </c>
      <c r="L205" s="199" t="str">
        <f>'2.1. DM'!L205</f>
        <v>Fabales</v>
      </c>
      <c r="M205" s="199" t="str">
        <f>'2.1. DM'!M205</f>
        <v>Herbaceous</v>
      </c>
      <c r="N205" s="310">
        <f>'2.1. DM'!P205</f>
        <v>92.12157568486306</v>
      </c>
      <c r="O205" s="341">
        <f t="shared" ref="O205" si="120">AVERAGE(N205:N206)</f>
        <v>92.176176303585407</v>
      </c>
      <c r="P205" s="18">
        <f>'2.1. DM'!R205</f>
        <v>11.942129606306716</v>
      </c>
      <c r="Q205" s="341">
        <f t="shared" ref="Q205:Y205" si="121">AVERAGE(P205:P206)</f>
        <v>11.530513846002735</v>
      </c>
      <c r="R205" s="18">
        <f>'2.1. DM'!T205</f>
        <v>88.057870393693278</v>
      </c>
      <c r="S205" s="341">
        <f t="shared" si="121"/>
        <v>88.469486153997252</v>
      </c>
      <c r="T205" s="30">
        <f>TablePC[[#This Row],[Av DM 105]]</f>
        <v>27.96478551583979</v>
      </c>
      <c r="U205" s="341">
        <f t="shared" ref="U205" si="122">AVERAGE(T205:T206)</f>
        <v>27.96478551583979</v>
      </c>
      <c r="V205" s="30">
        <f>'2.3 ADF'!Q205</f>
        <v>25.267587312017319</v>
      </c>
      <c r="W205" s="341">
        <f t="shared" si="121"/>
        <v>24.721835442152837</v>
      </c>
      <c r="X205" s="30">
        <f>'2.4 NDF'!Q205</f>
        <v>44.205627157784718</v>
      </c>
      <c r="Y205" s="341">
        <f t="shared" si="121"/>
        <v>47.098470034237963</v>
      </c>
    </row>
    <row r="206" spans="2:25" x14ac:dyDescent="0.35">
      <c r="B206" s="19">
        <f t="shared" si="119"/>
        <v>196</v>
      </c>
      <c r="C206" s="199">
        <f>'2.1. DM'!C206</f>
        <v>46055</v>
      </c>
      <c r="D206" s="199" t="str">
        <f>'2.1. DM'!D206</f>
        <v>Genbank</v>
      </c>
      <c r="E206" s="200">
        <f>'2.1. DM'!E206</f>
        <v>29</v>
      </c>
      <c r="F206" s="199" t="str">
        <f>'2.1. DM'!F206</f>
        <v>F252608</v>
      </c>
      <c r="G206" s="199" t="str">
        <f>'2.1. DM'!G206</f>
        <v>CIAT20044</v>
      </c>
      <c r="H206" s="199" t="str">
        <f>'2.1. DM'!H206</f>
        <v>Tephrosia</v>
      </c>
      <c r="I206" s="199" t="str">
        <f>'2.1. DM'!I206</f>
        <v>purpurea</v>
      </c>
      <c r="J206" s="199" t="str">
        <f>'2.1. DM'!J206</f>
        <v>Tephrosia purpurea</v>
      </c>
      <c r="K206" s="199" t="str">
        <f>'2.1. DM'!K206</f>
        <v>Fabaceae</v>
      </c>
      <c r="L206" s="199" t="str">
        <f>'2.1. DM'!L206</f>
        <v>Fabales</v>
      </c>
      <c r="M206" s="199" t="str">
        <f>'2.1. DM'!M206</f>
        <v>Herbaceous</v>
      </c>
      <c r="N206" s="310">
        <f>'2.1. DM'!P206</f>
        <v>92.23077692230774</v>
      </c>
      <c r="O206" s="341"/>
      <c r="P206" s="18">
        <f>'2.1. DM'!R206</f>
        <v>11.118898085698754</v>
      </c>
      <c r="Q206" s="341"/>
      <c r="R206" s="18">
        <f>'2.1. DM'!T206</f>
        <v>88.88110191430124</v>
      </c>
      <c r="S206" s="341"/>
      <c r="T206" s="30">
        <f>TablePC[[#This Row],[Av DM 105]]</f>
        <v>27.96478551583979</v>
      </c>
      <c r="U206" s="341"/>
      <c r="V206" s="30">
        <f>'2.3 ADF'!Q206</f>
        <v>24.176083572288356</v>
      </c>
      <c r="W206" s="341"/>
      <c r="X206" s="30">
        <f>'2.4 NDF'!Q206</f>
        <v>49.9913129106912</v>
      </c>
      <c r="Y206" s="341"/>
    </row>
    <row r="207" spans="2:25" x14ac:dyDescent="0.35">
      <c r="B207" s="19">
        <f t="shared" si="119"/>
        <v>197</v>
      </c>
      <c r="C207" s="199">
        <f>'2.1. DM'!C207</f>
        <v>46055</v>
      </c>
      <c r="D207" s="199" t="str">
        <f>'2.1. DM'!D207</f>
        <v>Genbank</v>
      </c>
      <c r="E207" s="200">
        <f>'2.1. DM'!E207</f>
        <v>29</v>
      </c>
      <c r="F207" s="199" t="str">
        <f>'2.1. DM'!F207</f>
        <v>F252609</v>
      </c>
      <c r="G207" s="199" t="str">
        <f>'2.1. DM'!G207</f>
        <v>CIAT22423</v>
      </c>
      <c r="H207" s="199" t="str">
        <f>'2.1. DM'!H207</f>
        <v>Vigna</v>
      </c>
      <c r="I207" s="199" t="str">
        <f>'2.1. DM'!I207</f>
        <v>unguiculata</v>
      </c>
      <c r="J207" s="199" t="str">
        <f>'2.1. DM'!J207</f>
        <v>Vigna unguiculata</v>
      </c>
      <c r="K207" s="199" t="str">
        <f>'2.1. DM'!K207</f>
        <v>Fabaceae</v>
      </c>
      <c r="L207" s="199" t="str">
        <f>'2.1. DM'!L207</f>
        <v>Fabales</v>
      </c>
      <c r="M207" s="199" t="str">
        <f>'2.1. DM'!M207</f>
        <v>Herbaceous</v>
      </c>
      <c r="N207" s="310">
        <f>'2.1. DM'!P207</f>
        <v>90.499999999999943</v>
      </c>
      <c r="O207" s="341">
        <f t="shared" ref="O207" si="123">AVERAGE(N207:N208)</f>
        <v>90.605928814237089</v>
      </c>
      <c r="P207" s="18">
        <f>'2.1. DM'!R207</f>
        <v>11.401019927932941</v>
      </c>
      <c r="Q207" s="341">
        <f t="shared" ref="Q207:Y207" si="124">AVERAGE(P207:P208)</f>
        <v>12.050921361382503</v>
      </c>
      <c r="R207" s="18">
        <f>'2.1. DM'!T207</f>
        <v>88.598980072067064</v>
      </c>
      <c r="S207" s="341">
        <f t="shared" si="124"/>
        <v>87.949078638617493</v>
      </c>
      <c r="T207" s="30">
        <f>TablePC[[#This Row],[Av DM 105]]</f>
        <v>27.744721817861834</v>
      </c>
      <c r="U207" s="341">
        <f t="shared" ref="U207" si="125">AVERAGE(T207:T208)</f>
        <v>27.744721817861834</v>
      </c>
      <c r="V207" s="30">
        <f>'2.3 ADF'!Q207</f>
        <v>27.765210989906425</v>
      </c>
      <c r="W207" s="341">
        <f t="shared" si="124"/>
        <v>27.282639876858141</v>
      </c>
      <c r="X207" s="30">
        <f>'2.4 NDF'!Q207</f>
        <v>49.272094604876287</v>
      </c>
      <c r="Y207" s="341">
        <f t="shared" si="124"/>
        <v>48.091710361542475</v>
      </c>
    </row>
    <row r="208" spans="2:25" x14ac:dyDescent="0.35">
      <c r="B208" s="19">
        <f t="shared" si="119"/>
        <v>198</v>
      </c>
      <c r="C208" s="199">
        <f>'2.1. DM'!C208</f>
        <v>46055</v>
      </c>
      <c r="D208" s="199" t="str">
        <f>'2.1. DM'!D208</f>
        <v>Genbank</v>
      </c>
      <c r="E208" s="200">
        <f>'2.1. DM'!E208</f>
        <v>29</v>
      </c>
      <c r="F208" s="199" t="str">
        <f>'2.1. DM'!F208</f>
        <v>F252609</v>
      </c>
      <c r="G208" s="199" t="str">
        <f>'2.1. DM'!G208</f>
        <v>CIAT22423</v>
      </c>
      <c r="H208" s="199" t="str">
        <f>'2.1. DM'!H208</f>
        <v>Vigna</v>
      </c>
      <c r="I208" s="199" t="str">
        <f>'2.1. DM'!I208</f>
        <v>unguiculata</v>
      </c>
      <c r="J208" s="199" t="str">
        <f>'2.1. DM'!J208</f>
        <v>Vigna unguiculata</v>
      </c>
      <c r="K208" s="199" t="str">
        <f>'2.1. DM'!K208</f>
        <v>Fabaceae</v>
      </c>
      <c r="L208" s="199" t="str">
        <f>'2.1. DM'!L208</f>
        <v>Fabales</v>
      </c>
      <c r="M208" s="199" t="str">
        <f>'2.1. DM'!M208</f>
        <v>Herbaceous</v>
      </c>
      <c r="N208" s="310">
        <f>'2.1. DM'!P208</f>
        <v>90.711857628474235</v>
      </c>
      <c r="O208" s="341"/>
      <c r="P208" s="18">
        <f>'2.1. DM'!R208</f>
        <v>12.700822794832064</v>
      </c>
      <c r="Q208" s="341"/>
      <c r="R208" s="18">
        <f>'2.1. DM'!T208</f>
        <v>87.299177205167936</v>
      </c>
      <c r="S208" s="341"/>
      <c r="T208" s="30">
        <f>TablePC[[#This Row],[Av DM 105]]</f>
        <v>27.744721817861834</v>
      </c>
      <c r="U208" s="341"/>
      <c r="V208" s="30">
        <f>'2.3 ADF'!Q208</f>
        <v>26.800068763809854</v>
      </c>
      <c r="W208" s="341"/>
      <c r="X208" s="30">
        <f>'2.4 NDF'!Q208</f>
        <v>46.911326118208663</v>
      </c>
      <c r="Y208" s="341"/>
    </row>
    <row r="209" spans="2:25" x14ac:dyDescent="0.35">
      <c r="B209" s="19">
        <f t="shared" si="119"/>
        <v>199</v>
      </c>
      <c r="C209" s="199">
        <f>'2.1. DM'!C209</f>
        <v>46055</v>
      </c>
      <c r="D209" s="199" t="str">
        <f>'2.1. DM'!D209</f>
        <v>Genbank</v>
      </c>
      <c r="E209" s="200">
        <f>'2.1. DM'!E209</f>
        <v>29</v>
      </c>
      <c r="F209" s="199" t="str">
        <f>'2.1. DM'!F209</f>
        <v>F252610</v>
      </c>
      <c r="G209" s="199" t="str">
        <f>'2.1. DM'!G209</f>
        <v>CIAT22480</v>
      </c>
      <c r="H209" s="199" t="str">
        <f>'2.1. DM'!H209</f>
        <v>Sesbania</v>
      </c>
      <c r="I209" s="199" t="str">
        <f>'2.1. DM'!I209</f>
        <v>cannabina</v>
      </c>
      <c r="J209" s="199" t="str">
        <f>'2.1. DM'!J209</f>
        <v>Sesbania cannabina</v>
      </c>
      <c r="K209" s="199" t="str">
        <f>'2.1. DM'!K209</f>
        <v>Fabaceae</v>
      </c>
      <c r="L209" s="199" t="str">
        <f>'2.1. DM'!L209</f>
        <v>Fabales</v>
      </c>
      <c r="M209" s="199" t="str">
        <f>'2.1. DM'!M209</f>
        <v>Shurb_Tree</v>
      </c>
      <c r="N209" s="310">
        <f>'2.1. DM'!P209</f>
        <v>92.554467319608236</v>
      </c>
      <c r="O209" s="341">
        <f t="shared" ref="O209" si="126">AVERAGE(N209:N210)</f>
        <v>92.479132710278932</v>
      </c>
      <c r="P209" s="18">
        <f>'2.1. DM'!R209</f>
        <v>15.388834979573776</v>
      </c>
      <c r="Q209" s="341">
        <f t="shared" ref="Q209:Y209" si="127">AVERAGE(P209:P210)</f>
        <v>11.677108841714169</v>
      </c>
      <c r="R209" s="18">
        <f>'2.1. DM'!T209</f>
        <v>84.611165020426228</v>
      </c>
      <c r="S209" s="341">
        <f t="shared" si="127"/>
        <v>88.322891158285842</v>
      </c>
      <c r="T209" s="30">
        <f>TablePC[[#This Row],[Av DM 105]]</f>
        <v>26.980756921854944</v>
      </c>
      <c r="U209" s="341">
        <f t="shared" ref="U209" si="128">AVERAGE(T209:T210)</f>
        <v>26.980756921854944</v>
      </c>
      <c r="V209" s="30">
        <f>'2.3 ADF'!Q209</f>
        <v>27.253123076779872</v>
      </c>
      <c r="W209" s="341">
        <f t="shared" si="127"/>
        <v>27.500504990428773</v>
      </c>
      <c r="X209" s="30">
        <f>'2.4 NDF'!Q209</f>
        <v>45.01502209737864</v>
      </c>
      <c r="Y209" s="341">
        <f t="shared" si="127"/>
        <v>45.507186045462213</v>
      </c>
    </row>
    <row r="210" spans="2:25" x14ac:dyDescent="0.35">
      <c r="B210" s="19">
        <f t="shared" si="119"/>
        <v>200</v>
      </c>
      <c r="C210" s="199">
        <f>'2.1. DM'!C210</f>
        <v>46055</v>
      </c>
      <c r="D210" s="199" t="str">
        <f>'2.1. DM'!D210</f>
        <v>Genbank</v>
      </c>
      <c r="E210" s="200">
        <f>'2.1. DM'!E210</f>
        <v>29</v>
      </c>
      <c r="F210" s="199" t="str">
        <f>'2.1. DM'!F210</f>
        <v>F252610</v>
      </c>
      <c r="G210" s="199" t="str">
        <f>'2.1. DM'!G210</f>
        <v>CIAT22480</v>
      </c>
      <c r="H210" s="199" t="str">
        <f>'2.1. DM'!H210</f>
        <v>Sesbania</v>
      </c>
      <c r="I210" s="199" t="str">
        <f>'2.1. DM'!I210</f>
        <v>cannabina</v>
      </c>
      <c r="J210" s="199" t="str">
        <f>'2.1. DM'!J210</f>
        <v>Sesbania cannabina</v>
      </c>
      <c r="K210" s="199" t="str">
        <f>'2.1. DM'!K210</f>
        <v>Fabaceae</v>
      </c>
      <c r="L210" s="199" t="str">
        <f>'2.1. DM'!L210</f>
        <v>Fabales</v>
      </c>
      <c r="M210" s="199" t="str">
        <f>'2.1. DM'!M210</f>
        <v>Shurb_Tree</v>
      </c>
      <c r="N210" s="310">
        <f>'2.1. DM'!P210</f>
        <v>92.403798100949629</v>
      </c>
      <c r="O210" s="341"/>
      <c r="P210" s="18">
        <f>'2.1. DM'!R210</f>
        <v>7.9653827038545622</v>
      </c>
      <c r="Q210" s="341"/>
      <c r="R210" s="18">
        <f>'2.1. DM'!T210</f>
        <v>92.034617296145441</v>
      </c>
      <c r="S210" s="341"/>
      <c r="T210" s="30">
        <f>TablePC[[#This Row],[Av DM 105]]</f>
        <v>26.980756921854944</v>
      </c>
      <c r="U210" s="341"/>
      <c r="V210" s="30">
        <f>'2.3 ADF'!Q210</f>
        <v>27.747886904077674</v>
      </c>
      <c r="W210" s="341"/>
      <c r="X210" s="30">
        <f>'2.4 NDF'!Q210</f>
        <v>45.999349993545785</v>
      </c>
      <c r="Y210" s="341"/>
    </row>
    <row r="211" spans="2:25" x14ac:dyDescent="0.35">
      <c r="B211" s="19">
        <f t="shared" si="119"/>
        <v>201</v>
      </c>
      <c r="C211" s="199">
        <f>'2.1. DM'!C211</f>
        <v>46055</v>
      </c>
      <c r="D211" s="199" t="str">
        <f>'2.1. DM'!D211</f>
        <v>Genbank</v>
      </c>
      <c r="E211" s="200">
        <f>'2.1. DM'!E211</f>
        <v>29</v>
      </c>
      <c r="F211" s="199" t="str">
        <f>'2.1. DM'!F211</f>
        <v>F252611</v>
      </c>
      <c r="G211" s="199" t="str">
        <f>'2.1. DM'!G211</f>
        <v>CIAT23116</v>
      </c>
      <c r="H211" s="199" t="str">
        <f>'2.1. DM'!H211</f>
        <v>Desmodium</v>
      </c>
      <c r="I211" s="199" t="str">
        <f>'2.1. DM'!I211</f>
        <v>tortuosum</v>
      </c>
      <c r="J211" s="199" t="str">
        <f>'2.1. DM'!J211</f>
        <v>Desmodium tortuosum</v>
      </c>
      <c r="K211" s="199" t="str">
        <f>'2.1. DM'!K211</f>
        <v>Fabaceae</v>
      </c>
      <c r="L211" s="199" t="str">
        <f>'2.1. DM'!L211</f>
        <v>Fabales</v>
      </c>
      <c r="M211" s="199" t="str">
        <f>'2.1. DM'!M211</f>
        <v>Shurb_Tree</v>
      </c>
      <c r="N211" s="310">
        <f>'2.1. DM'!P211</f>
        <v>92.581483703259366</v>
      </c>
      <c r="O211" s="341">
        <f t="shared" ref="O211" si="129">AVERAGE(N211:N212)</f>
        <v>92.565741851629753</v>
      </c>
      <c r="P211" s="18">
        <f>'2.1. DM'!R211</f>
        <v>10.768569666624227</v>
      </c>
      <c r="Q211" s="341">
        <f t="shared" ref="Q211:Y211" si="130">AVERAGE(P211:P212)</f>
        <v>10.866874718600904</v>
      </c>
      <c r="R211" s="18">
        <f>'2.1. DM'!T211</f>
        <v>89.231430333375769</v>
      </c>
      <c r="S211" s="341">
        <f t="shared" si="130"/>
        <v>89.133125281399089</v>
      </c>
      <c r="T211" s="30">
        <f>TablePC[[#This Row],[Av DM 105]]</f>
        <v>18.225289875128052</v>
      </c>
      <c r="U211" s="341">
        <f t="shared" ref="U211" si="131">AVERAGE(T211:T212)</f>
        <v>18.225289875128052</v>
      </c>
      <c r="V211" s="30">
        <f>'2.3 ADF'!Q211</f>
        <v>36.936409572680162</v>
      </c>
      <c r="W211" s="341">
        <f t="shared" si="130"/>
        <v>36.916497530544866</v>
      </c>
      <c r="X211" s="30">
        <f>'2.4 NDF'!Q211</f>
        <v>58.826168425062086</v>
      </c>
      <c r="Y211" s="341">
        <f t="shared" si="130"/>
        <v>59.769762667606479</v>
      </c>
    </row>
    <row r="212" spans="2:25" x14ac:dyDescent="0.35">
      <c r="B212" s="19">
        <f t="shared" si="119"/>
        <v>202</v>
      </c>
      <c r="C212" s="199">
        <f>'2.1. DM'!C212</f>
        <v>46055</v>
      </c>
      <c r="D212" s="199" t="str">
        <f>'2.1. DM'!D212</f>
        <v>Genbank</v>
      </c>
      <c r="E212" s="200">
        <f>'2.1. DM'!E212</f>
        <v>29</v>
      </c>
      <c r="F212" s="199" t="str">
        <f>'2.1. DM'!F212</f>
        <v>F252611</v>
      </c>
      <c r="G212" s="199" t="str">
        <f>'2.1. DM'!G212</f>
        <v>CIAT23116</v>
      </c>
      <c r="H212" s="199" t="str">
        <f>'2.1. DM'!H212</f>
        <v>Desmodium</v>
      </c>
      <c r="I212" s="199" t="str">
        <f>'2.1. DM'!I212</f>
        <v>tortuosum</v>
      </c>
      <c r="J212" s="199" t="str">
        <f>'2.1. DM'!J212</f>
        <v>Desmodium tortuosum</v>
      </c>
      <c r="K212" s="199" t="str">
        <f>'2.1. DM'!K212</f>
        <v>Fabaceae</v>
      </c>
      <c r="L212" s="199" t="str">
        <f>'2.1. DM'!L212</f>
        <v>Fabales</v>
      </c>
      <c r="M212" s="199" t="str">
        <f>'2.1. DM'!M212</f>
        <v>Shurb_Tree</v>
      </c>
      <c r="N212" s="310">
        <f>'2.1. DM'!P212</f>
        <v>92.550000000000125</v>
      </c>
      <c r="O212" s="341"/>
      <c r="P212" s="18">
        <f>'2.1. DM'!R212</f>
        <v>10.96517977057758</v>
      </c>
      <c r="Q212" s="341"/>
      <c r="R212" s="18">
        <f>'2.1. DM'!T212</f>
        <v>89.034820229422422</v>
      </c>
      <c r="S212" s="341"/>
      <c r="T212" s="30">
        <f>TablePC[[#This Row],[Av DM 105]]</f>
        <v>18.225289875128052</v>
      </c>
      <c r="U212" s="341"/>
      <c r="V212" s="30">
        <f>'2.3 ADF'!Q212</f>
        <v>36.896585488409571</v>
      </c>
      <c r="W212" s="341"/>
      <c r="X212" s="30">
        <f>'2.4 NDF'!Q212</f>
        <v>60.713356910150871</v>
      </c>
      <c r="Y212" s="341"/>
    </row>
    <row r="213" spans="2:25" x14ac:dyDescent="0.35">
      <c r="B213" s="19">
        <f t="shared" si="119"/>
        <v>203</v>
      </c>
      <c r="C213" s="199">
        <f>'2.1. DM'!C213</f>
        <v>46055</v>
      </c>
      <c r="D213" s="199" t="str">
        <f>'2.1. DM'!D213</f>
        <v>Genbank</v>
      </c>
      <c r="E213" s="200">
        <f>'2.1. DM'!E213</f>
        <v>29</v>
      </c>
      <c r="F213" s="199" t="str">
        <f>'2.1. DM'!F213</f>
        <v>F252612</v>
      </c>
      <c r="G213" s="199" t="str">
        <f>'2.1. DM'!G213</f>
        <v>CIAT23416</v>
      </c>
      <c r="H213" s="199" t="str">
        <f>'2.1. DM'!H213</f>
        <v>Codariocalyx</v>
      </c>
      <c r="I213" s="199" t="str">
        <f>'2.1. DM'!I213</f>
        <v>motorius</v>
      </c>
      <c r="J213" s="199" t="str">
        <f>'2.1. DM'!J213</f>
        <v>Codariocalyx motorius</v>
      </c>
      <c r="K213" s="199" t="str">
        <f>'2.1. DM'!K213</f>
        <v>Fabaceae</v>
      </c>
      <c r="L213" s="199" t="str">
        <f>'2.1. DM'!L213</f>
        <v>Fabales</v>
      </c>
      <c r="M213" s="199" t="str">
        <f>'2.1. DM'!M213</f>
        <v>Shurb_Tree</v>
      </c>
      <c r="N213" s="310">
        <f>'2.1. DM'!P213</f>
        <v>92.781443711257836</v>
      </c>
      <c r="O213" s="341">
        <f t="shared" ref="O213" si="132">AVERAGE(N213:N214)</f>
        <v>92.807513459826822</v>
      </c>
      <c r="P213" s="18">
        <f>'2.1. DM'!R213</f>
        <v>12.356441877598884</v>
      </c>
      <c r="Q213" s="341">
        <f t="shared" ref="Q213:Y213" si="133">AVERAGE(P213:P214)</f>
        <v>12.273817300985836</v>
      </c>
      <c r="R213" s="18">
        <f>'2.1. DM'!T213</f>
        <v>87.643558122401117</v>
      </c>
      <c r="S213" s="341">
        <f t="shared" si="133"/>
        <v>87.726182699014174</v>
      </c>
      <c r="T213" s="30">
        <f>TablePC[[#This Row],[Av DM 105]]</f>
        <v>18.142715294395835</v>
      </c>
      <c r="U213" s="341">
        <f t="shared" ref="U213" si="134">AVERAGE(T213:T214)</f>
        <v>18.142715294395835</v>
      </c>
      <c r="V213" s="30">
        <f>'2.3 ADF'!Q213</f>
        <v>40.906148058339589</v>
      </c>
      <c r="W213" s="341">
        <f t="shared" si="133"/>
        <v>41.119709100706025</v>
      </c>
      <c r="X213" s="30">
        <f>'2.4 NDF'!Q213</f>
        <v>56.80832740866677</v>
      </c>
      <c r="Y213" s="341">
        <f t="shared" si="133"/>
        <v>56.802100988150428</v>
      </c>
    </row>
    <row r="214" spans="2:25" x14ac:dyDescent="0.35">
      <c r="B214" s="19">
        <f t="shared" si="119"/>
        <v>204</v>
      </c>
      <c r="C214" s="199">
        <f>'2.1. DM'!C214</f>
        <v>46055</v>
      </c>
      <c r="D214" s="199" t="str">
        <f>'2.1. DM'!D214</f>
        <v>Genbank</v>
      </c>
      <c r="E214" s="200">
        <f>'2.1. DM'!E214</f>
        <v>29</v>
      </c>
      <c r="F214" s="199" t="str">
        <f>'2.1. DM'!F214</f>
        <v>F252612</v>
      </c>
      <c r="G214" s="199" t="str">
        <f>'2.1. DM'!G214</f>
        <v>CIAT23416</v>
      </c>
      <c r="H214" s="199" t="str">
        <f>'2.1. DM'!H214</f>
        <v>Codariocalyx</v>
      </c>
      <c r="I214" s="199" t="str">
        <f>'2.1. DM'!I214</f>
        <v>motorius</v>
      </c>
      <c r="J214" s="199" t="str">
        <f>'2.1. DM'!J214</f>
        <v>Codariocalyx motorius</v>
      </c>
      <c r="K214" s="199" t="str">
        <f>'2.1. DM'!K214</f>
        <v>Fabaceae</v>
      </c>
      <c r="L214" s="199" t="str">
        <f>'2.1. DM'!L214</f>
        <v>Fabales</v>
      </c>
      <c r="M214" s="199" t="str">
        <f>'2.1. DM'!M214</f>
        <v>Shurb_Tree</v>
      </c>
      <c r="N214" s="310">
        <f>'2.1. DM'!P214</f>
        <v>92.833583208395794</v>
      </c>
      <c r="O214" s="341"/>
      <c r="P214" s="18">
        <f>'2.1. DM'!R214</f>
        <v>12.191192724372788</v>
      </c>
      <c r="Q214" s="341"/>
      <c r="R214" s="18">
        <f>'2.1. DM'!T214</f>
        <v>87.808807275627217</v>
      </c>
      <c r="S214" s="341"/>
      <c r="T214" s="30">
        <f>TablePC[[#This Row],[Av DM 105]]</f>
        <v>18.142715294395835</v>
      </c>
      <c r="U214" s="341"/>
      <c r="V214" s="30">
        <f>'2.3 ADF'!Q214</f>
        <v>41.333270143072461</v>
      </c>
      <c r="W214" s="341"/>
      <c r="X214" s="30">
        <f>'2.4 NDF'!Q214</f>
        <v>56.795874567634094</v>
      </c>
      <c r="Y214" s="341"/>
    </row>
    <row r="215" spans="2:25" x14ac:dyDescent="0.35">
      <c r="B215" s="19">
        <f t="shared" si="119"/>
        <v>205</v>
      </c>
      <c r="C215" s="199">
        <f>'2.1. DM'!C215</f>
        <v>46055</v>
      </c>
      <c r="D215" s="199" t="str">
        <f>'2.1. DM'!D215</f>
        <v>Genbank</v>
      </c>
      <c r="E215" s="200">
        <f>'2.1. DM'!E215</f>
        <v>29</v>
      </c>
      <c r="F215" s="199" t="str">
        <f>'2.1. DM'!F215</f>
        <v>F252613</v>
      </c>
      <c r="G215" s="199" t="str">
        <f>'2.1. DM'!G215</f>
        <v>CIAT23806</v>
      </c>
      <c r="H215" s="199" t="str">
        <f>'2.1. DM'!H215</f>
        <v>Desmodium</v>
      </c>
      <c r="I215" s="199" t="str">
        <f>'2.1. DM'!I215</f>
        <v>angustifolium</v>
      </c>
      <c r="J215" s="199" t="str">
        <f>'2.1. DM'!J215</f>
        <v>Desmodium angustifolium</v>
      </c>
      <c r="K215" s="199" t="str">
        <f>'2.1. DM'!K215</f>
        <v>Fabaceae</v>
      </c>
      <c r="L215" s="199" t="str">
        <f>'2.1. DM'!L215</f>
        <v>Fabales</v>
      </c>
      <c r="M215" s="199" t="str">
        <f>'2.1. DM'!M215</f>
        <v>Herbaceous</v>
      </c>
      <c r="N215" s="310">
        <f>'2.1. DM'!P215</f>
        <v>92.75072492750725</v>
      </c>
      <c r="O215" s="341">
        <f t="shared" ref="O215" si="135">AVERAGE(N215:N216)</f>
        <v>92.766084319382458</v>
      </c>
      <c r="P215" s="18">
        <f>'2.1. DM'!R215</f>
        <v>9.8194174712920717</v>
      </c>
      <c r="Q215" s="341">
        <f t="shared" ref="Q215:Y215" si="136">AVERAGE(P215:P216)</f>
        <v>9.9267030610067515</v>
      </c>
      <c r="R215" s="18">
        <f>'2.1. DM'!T215</f>
        <v>90.18058252870793</v>
      </c>
      <c r="S215" s="341">
        <f t="shared" si="136"/>
        <v>90.073296938993252</v>
      </c>
      <c r="T215" s="30">
        <f>TablePC[[#This Row],[Av DM 105]]</f>
        <v>13.603227278666502</v>
      </c>
      <c r="U215" s="341">
        <f t="shared" ref="U215" si="137">AVERAGE(T215:T216)</f>
        <v>13.497157695731715</v>
      </c>
      <c r="V215" s="30">
        <f>'2.3 ADF'!Q215</f>
        <v>35.466057633050482</v>
      </c>
      <c r="W215" s="341">
        <f t="shared" si="136"/>
        <v>36.094641414755685</v>
      </c>
      <c r="X215" s="30">
        <f>'2.4 NDF'!Q215</f>
        <v>58.985507342359867</v>
      </c>
      <c r="Y215" s="341">
        <f t="shared" si="136"/>
        <v>58.824995503590372</v>
      </c>
    </row>
    <row r="216" spans="2:25" x14ac:dyDescent="0.35">
      <c r="B216" s="19">
        <f t="shared" si="119"/>
        <v>206</v>
      </c>
      <c r="C216" s="199">
        <f>'2.1. DM'!C216</f>
        <v>46055</v>
      </c>
      <c r="D216" s="199" t="str">
        <f>'2.1. DM'!D216</f>
        <v>Genbank</v>
      </c>
      <c r="E216" s="200">
        <f>'2.1. DM'!E216</f>
        <v>29</v>
      </c>
      <c r="F216" s="199" t="str">
        <f>'2.1. DM'!F216</f>
        <v>F252613</v>
      </c>
      <c r="G216" s="199" t="str">
        <f>'2.1. DM'!G216</f>
        <v>CIAT23806</v>
      </c>
      <c r="H216" s="199" t="str">
        <f>'2.1. DM'!H216</f>
        <v>Desmodium</v>
      </c>
      <c r="I216" s="199" t="str">
        <f>'2.1. DM'!I216</f>
        <v>angustifolium</v>
      </c>
      <c r="J216" s="199" t="str">
        <f>'2.1. DM'!J216</f>
        <v>Desmodium angustifolium</v>
      </c>
      <c r="K216" s="199" t="str">
        <f>'2.1. DM'!K216</f>
        <v>Fabaceae</v>
      </c>
      <c r="L216" s="199" t="str">
        <f>'2.1. DM'!L216</f>
        <v>Fabales</v>
      </c>
      <c r="M216" s="199" t="str">
        <f>'2.1. DM'!M216</f>
        <v>Herbaceous</v>
      </c>
      <c r="N216" s="310">
        <f>'2.1. DM'!P216</f>
        <v>92.781443711257666</v>
      </c>
      <c r="O216" s="341"/>
      <c r="P216" s="18">
        <f>'2.1. DM'!R216</f>
        <v>10.03398865072143</v>
      </c>
      <c r="Q216" s="341"/>
      <c r="R216" s="18">
        <f>'2.1. DM'!T216</f>
        <v>89.966011349278574</v>
      </c>
      <c r="S216" s="341"/>
      <c r="T216" s="30">
        <f>TablePC[[#This Row],[Av DM 105]]</f>
        <v>13.391088112796931</v>
      </c>
      <c r="U216" s="341"/>
      <c r="V216" s="30">
        <f>'2.3 ADF'!Q216</f>
        <v>36.723225196460881</v>
      </c>
      <c r="W216" s="341"/>
      <c r="X216" s="30">
        <f>'2.4 NDF'!Q216</f>
        <v>58.664483664820878</v>
      </c>
      <c r="Y216" s="341"/>
    </row>
    <row r="217" spans="2:25" x14ac:dyDescent="0.35">
      <c r="B217" s="19">
        <f t="shared" si="119"/>
        <v>207</v>
      </c>
      <c r="C217" s="199">
        <f>'2.1. DM'!C217</f>
        <v>46055</v>
      </c>
      <c r="D217" s="199" t="str">
        <f>'2.1. DM'!D217</f>
        <v>Genbank</v>
      </c>
      <c r="E217" s="200">
        <f>'2.1. DM'!E217</f>
        <v>29</v>
      </c>
      <c r="F217" s="199" t="str">
        <f>'2.1. DM'!F217</f>
        <v>F252614</v>
      </c>
      <c r="G217" s="199" t="str">
        <f>'2.1. DM'!G217</f>
        <v>CIAT24104</v>
      </c>
      <c r="H217" s="199" t="str">
        <f>'2.1. DM'!H217</f>
        <v>Macroptilium</v>
      </c>
      <c r="I217" s="199" t="str">
        <f>'2.1. DM'!I217</f>
        <v>atropurpureum</v>
      </c>
      <c r="J217" s="199" t="str">
        <f>'2.1. DM'!J217</f>
        <v>Macroptilium atropurpureum</v>
      </c>
      <c r="K217" s="199" t="str">
        <f>'2.1. DM'!K217</f>
        <v>Fabaceae</v>
      </c>
      <c r="L217" s="199" t="str">
        <f>'2.1. DM'!L217</f>
        <v>Fabales</v>
      </c>
      <c r="M217" s="199" t="str">
        <f>'2.1. DM'!M217</f>
        <v>Herbaceous</v>
      </c>
      <c r="N217" s="310">
        <f>'2.1. DM'!P217</f>
        <v>92.24387806096955</v>
      </c>
      <c r="O217" s="341">
        <f t="shared" ref="O217" si="138">AVERAGE(N217:N218)</f>
        <v>92.297703877515374</v>
      </c>
      <c r="P217" s="18">
        <f>'2.1. DM'!R217</f>
        <v>13.038225766120446</v>
      </c>
      <c r="Q217" s="341">
        <f t="shared" ref="Q217:Y217" si="139">AVERAGE(P217:P218)</f>
        <v>13.072678126653653</v>
      </c>
      <c r="R217" s="18">
        <f>'2.1. DM'!T217</f>
        <v>86.961774233879552</v>
      </c>
      <c r="S217" s="341">
        <f t="shared" si="139"/>
        <v>86.927321873346358</v>
      </c>
      <c r="T217" s="30">
        <f>TablePC[[#This Row],[Av DM 105]]</f>
        <v>26.641708781822125</v>
      </c>
      <c r="U217" s="341">
        <f t="shared" ref="U217" si="140">AVERAGE(T217:T218)</f>
        <v>26.641708781822125</v>
      </c>
      <c r="V217" s="30">
        <f>'2.3 ADF'!Q217</f>
        <v>26.4382087553643</v>
      </c>
      <c r="W217" s="341">
        <f t="shared" si="139"/>
        <v>25.987197145073893</v>
      </c>
      <c r="X217" s="30">
        <f>'2.4 NDF'!Q217</f>
        <v>45.166845910108087</v>
      </c>
      <c r="Y217" s="341">
        <f t="shared" si="139"/>
        <v>45.242068451157579</v>
      </c>
    </row>
    <row r="218" spans="2:25" x14ac:dyDescent="0.35">
      <c r="B218" s="19">
        <f t="shared" si="119"/>
        <v>208</v>
      </c>
      <c r="C218" s="199">
        <f>'2.1. DM'!C218</f>
        <v>46055</v>
      </c>
      <c r="D218" s="199" t="str">
        <f>'2.1. DM'!D218</f>
        <v>Genbank</v>
      </c>
      <c r="E218" s="200">
        <f>'2.1. DM'!E218</f>
        <v>29</v>
      </c>
      <c r="F218" s="199" t="str">
        <f>'2.1. DM'!F218</f>
        <v>F252614</v>
      </c>
      <c r="G218" s="199" t="str">
        <f>'2.1. DM'!G218</f>
        <v>CIAT24104</v>
      </c>
      <c r="H218" s="199" t="str">
        <f>'2.1. DM'!H218</f>
        <v>Macroptilium</v>
      </c>
      <c r="I218" s="199" t="str">
        <f>'2.1. DM'!I218</f>
        <v>atropurpureum</v>
      </c>
      <c r="J218" s="199" t="str">
        <f>'2.1. DM'!J218</f>
        <v>Macroptilium atropurpureum</v>
      </c>
      <c r="K218" s="199" t="str">
        <f>'2.1. DM'!K218</f>
        <v>Fabaceae</v>
      </c>
      <c r="L218" s="199" t="str">
        <f>'2.1. DM'!L218</f>
        <v>Fabales</v>
      </c>
      <c r="M218" s="199" t="str">
        <f>'2.1. DM'!M218</f>
        <v>Herbaceous</v>
      </c>
      <c r="N218" s="310">
        <f>'2.1. DM'!P218</f>
        <v>92.351529694061213</v>
      </c>
      <c r="O218" s="341"/>
      <c r="P218" s="18">
        <f>'2.1. DM'!R218</f>
        <v>13.107130487186858</v>
      </c>
      <c r="Q218" s="341"/>
      <c r="R218" s="18">
        <f>'2.1. DM'!T218</f>
        <v>86.892869512813149</v>
      </c>
      <c r="S218" s="341"/>
      <c r="T218" s="30">
        <f>TablePC[[#This Row],[Av DM 105]]</f>
        <v>26.641708781822125</v>
      </c>
      <c r="U218" s="341"/>
      <c r="V218" s="30">
        <f>'2.3 ADF'!Q218</f>
        <v>25.536185534783485</v>
      </c>
      <c r="W218" s="341"/>
      <c r="X218" s="30">
        <f>'2.4 NDF'!Q218</f>
        <v>45.31729099220707</v>
      </c>
      <c r="Y218" s="341"/>
    </row>
    <row r="219" spans="2:25" x14ac:dyDescent="0.35">
      <c r="B219" s="19">
        <f t="shared" si="119"/>
        <v>209</v>
      </c>
      <c r="C219" s="199">
        <f>'2.1. DM'!C219</f>
        <v>46055</v>
      </c>
      <c r="D219" s="199" t="str">
        <f>'2.1. DM'!D219</f>
        <v>Genbank</v>
      </c>
      <c r="E219" s="200">
        <f>'2.1. DM'!E219</f>
        <v>29</v>
      </c>
      <c r="F219" s="199" t="str">
        <f>'2.1. DM'!F219</f>
        <v>F252615</v>
      </c>
      <c r="G219" s="199" t="str">
        <f>'2.1. DM'!G219</f>
        <v>CIAT24565</v>
      </c>
      <c r="H219" s="199" t="str">
        <f>'2.1. DM'!H219</f>
        <v>Vigna</v>
      </c>
      <c r="I219" s="199" t="str">
        <f>'2.1. DM'!I219</f>
        <v>unguiculata</v>
      </c>
      <c r="J219" s="199" t="str">
        <f>'2.1. DM'!J219</f>
        <v>Vigna unguiculata</v>
      </c>
      <c r="K219" s="199" t="str">
        <f>'2.1. DM'!K219</f>
        <v>Fabaceae</v>
      </c>
      <c r="L219" s="199" t="str">
        <f>'2.1. DM'!L219</f>
        <v>Fabales</v>
      </c>
      <c r="M219" s="199" t="str">
        <f>'2.1. DM'!M219</f>
        <v>Herbaceous</v>
      </c>
      <c r="N219" s="310">
        <f>'2.1. DM'!P219</f>
        <v>90.039999999999935</v>
      </c>
      <c r="O219" s="341">
        <f t="shared" ref="O219" si="141">AVERAGE(N219:N220)</f>
        <v>90.072473763118381</v>
      </c>
      <c r="P219" s="18">
        <f>'2.1. DM'!R219</f>
        <v>11.435236060117488</v>
      </c>
      <c r="Q219" s="341">
        <f t="shared" ref="Q219:Y219" si="142">AVERAGE(P219:P220)</f>
        <v>11.421282057171805</v>
      </c>
      <c r="R219" s="18">
        <f>'2.1. DM'!T219</f>
        <v>88.564763939882511</v>
      </c>
      <c r="S219" s="341">
        <f t="shared" si="142"/>
        <v>88.578717942828192</v>
      </c>
      <c r="T219" s="30">
        <f>TablePC[[#This Row],[Av DM 105]]</f>
        <v>23.163386625456138</v>
      </c>
      <c r="U219" s="341">
        <f t="shared" ref="U219" si="143">AVERAGE(T219:T220)</f>
        <v>23.162229034920131</v>
      </c>
      <c r="V219" s="30">
        <f>'2.3 ADF'!Q219</f>
        <v>30.787796068110524</v>
      </c>
      <c r="W219" s="341">
        <f t="shared" si="142"/>
        <v>30.999400801541146</v>
      </c>
      <c r="X219" s="30">
        <f>'2.4 NDF'!Q219</f>
        <v>49.243638643380372</v>
      </c>
      <c r="Y219" s="341">
        <f t="shared" si="142"/>
        <v>49.609829285498634</v>
      </c>
    </row>
    <row r="220" spans="2:25" x14ac:dyDescent="0.35">
      <c r="B220" s="19">
        <f t="shared" si="119"/>
        <v>210</v>
      </c>
      <c r="C220" s="199">
        <f>'2.1. DM'!C220</f>
        <v>46055</v>
      </c>
      <c r="D220" s="199" t="str">
        <f>'2.1. DM'!D220</f>
        <v>Genbank</v>
      </c>
      <c r="E220" s="200">
        <f>'2.1. DM'!E220</f>
        <v>29</v>
      </c>
      <c r="F220" s="199" t="str">
        <f>'2.1. DM'!F220</f>
        <v>F252615</v>
      </c>
      <c r="G220" s="199" t="str">
        <f>'2.1. DM'!G220</f>
        <v>CIAT24565</v>
      </c>
      <c r="H220" s="199" t="str">
        <f>'2.1. DM'!H220</f>
        <v>Vigna</v>
      </c>
      <c r="I220" s="199" t="str">
        <f>'2.1. DM'!I220</f>
        <v>unguiculata</v>
      </c>
      <c r="J220" s="199" t="str">
        <f>'2.1. DM'!J220</f>
        <v>Vigna unguiculata</v>
      </c>
      <c r="K220" s="199" t="str">
        <f>'2.1. DM'!K220</f>
        <v>Fabaceae</v>
      </c>
      <c r="L220" s="199" t="str">
        <f>'2.1. DM'!L220</f>
        <v>Fabales</v>
      </c>
      <c r="M220" s="199" t="str">
        <f>'2.1. DM'!M220</f>
        <v>Herbaceous</v>
      </c>
      <c r="N220" s="310">
        <f>'2.1. DM'!P220</f>
        <v>90.104947526236828</v>
      </c>
      <c r="O220" s="341"/>
      <c r="P220" s="18">
        <f>'2.1. DM'!R220</f>
        <v>11.40732805422612</v>
      </c>
      <c r="Q220" s="341"/>
      <c r="R220" s="18">
        <f>'2.1. DM'!T220</f>
        <v>88.592671945773873</v>
      </c>
      <c r="S220" s="341"/>
      <c r="T220" s="30">
        <f>TablePC[[#This Row],[Av DM 105]]</f>
        <v>23.161071444384127</v>
      </c>
      <c r="U220" s="341"/>
      <c r="V220" s="30">
        <f>'2.3 ADF'!Q220</f>
        <v>31.211005534971768</v>
      </c>
      <c r="W220" s="341"/>
      <c r="X220" s="30">
        <f>'2.4 NDF'!Q220</f>
        <v>49.976019927616896</v>
      </c>
      <c r="Y220" s="341"/>
    </row>
    <row r="221" spans="2:25" x14ac:dyDescent="0.35">
      <c r="B221" s="19">
        <f t="shared" si="119"/>
        <v>211</v>
      </c>
      <c r="C221" s="199">
        <f>'2.1. DM'!C221</f>
        <v>46055</v>
      </c>
      <c r="D221" s="199" t="str">
        <f>'2.1. DM'!D221</f>
        <v>Genbank</v>
      </c>
      <c r="E221" s="200">
        <f>'2.1. DM'!E221</f>
        <v>29</v>
      </c>
      <c r="F221" s="199" t="str">
        <f>'2.1. DM'!F221</f>
        <v>F252616</v>
      </c>
      <c r="G221" s="199" t="str">
        <f>'2.1. DM'!G221</f>
        <v>CIAT33561</v>
      </c>
      <c r="H221" s="199" t="str">
        <f>'2.1. DM'!H221</f>
        <v>Desmodium</v>
      </c>
      <c r="I221" s="199" t="str">
        <f>'2.1. DM'!I221</f>
        <v>wigginsii</v>
      </c>
      <c r="J221" s="199" t="str">
        <f>'2.1. DM'!J221</f>
        <v>Desmodium wigginsii</v>
      </c>
      <c r="K221" s="199" t="str">
        <f>'2.1. DM'!K221</f>
        <v>Fabaceae</v>
      </c>
      <c r="L221" s="199" t="str">
        <f>'2.1. DM'!L221</f>
        <v>Fabales</v>
      </c>
      <c r="M221" s="199" t="str">
        <f>'2.1. DM'!M221</f>
        <v>Herbaceous</v>
      </c>
      <c r="N221" s="310">
        <f>'2.1. DM'!P221</f>
        <v>91.830816918308173</v>
      </c>
      <c r="O221" s="341">
        <f t="shared" ref="O221" si="144">AVERAGE(N221:N222)</f>
        <v>91.875812418758159</v>
      </c>
      <c r="P221" s="18">
        <f>'2.1. DM'!R221</f>
        <v>9.8383849376937373</v>
      </c>
      <c r="Q221" s="341">
        <f t="shared" ref="Q221:Y221" si="145">AVERAGE(P221:P222)</f>
        <v>9.9091255373564344</v>
      </c>
      <c r="R221" s="18">
        <f>'2.1. DM'!T221</f>
        <v>90.161615062306268</v>
      </c>
      <c r="S221" s="341">
        <f t="shared" si="145"/>
        <v>90.090874462643569</v>
      </c>
      <c r="T221" s="30">
        <f>TablePC[[#This Row],[Av DM 105]]</f>
        <v>16.293655903712867</v>
      </c>
      <c r="U221" s="341">
        <f t="shared" ref="U221" si="146">AVERAGE(T221:T222)</f>
        <v>16.293655903712867</v>
      </c>
      <c r="V221" s="30">
        <f>'2.3 ADF'!Q221</f>
        <v>35.855248399502528</v>
      </c>
      <c r="W221" s="341">
        <f t="shared" si="145"/>
        <v>36.113348008427153</v>
      </c>
      <c r="X221" s="30">
        <f>'2.4 NDF'!Q221</f>
        <v>53.771504079227128</v>
      </c>
      <c r="Y221" s="341">
        <f t="shared" si="145"/>
        <v>54.684912429868149</v>
      </c>
    </row>
    <row r="222" spans="2:25" x14ac:dyDescent="0.35">
      <c r="B222" s="19">
        <f t="shared" si="119"/>
        <v>212</v>
      </c>
      <c r="C222" s="199">
        <f>'2.1. DM'!C222</f>
        <v>46055</v>
      </c>
      <c r="D222" s="199" t="str">
        <f>'2.1. DM'!D222</f>
        <v>Genbank</v>
      </c>
      <c r="E222" s="200">
        <f>'2.1. DM'!E222</f>
        <v>29</v>
      </c>
      <c r="F222" s="199" t="str">
        <f>'2.1. DM'!F222</f>
        <v>F252616</v>
      </c>
      <c r="G222" s="199" t="str">
        <f>'2.1. DM'!G222</f>
        <v>CIAT33561</v>
      </c>
      <c r="H222" s="199" t="str">
        <f>'2.1. DM'!H222</f>
        <v>Desmodium</v>
      </c>
      <c r="I222" s="199" t="str">
        <f>'2.1. DM'!I222</f>
        <v>wigginsii</v>
      </c>
      <c r="J222" s="199" t="str">
        <f>'2.1. DM'!J222</f>
        <v>Desmodium wigginsii</v>
      </c>
      <c r="K222" s="199" t="str">
        <f>'2.1. DM'!K222</f>
        <v>Fabaceae</v>
      </c>
      <c r="L222" s="199" t="str">
        <f>'2.1. DM'!L222</f>
        <v>Fabales</v>
      </c>
      <c r="M222" s="199" t="str">
        <f>'2.1. DM'!M222</f>
        <v>Herbaceous</v>
      </c>
      <c r="N222" s="310">
        <f>'2.1. DM'!P222</f>
        <v>91.920807919208144</v>
      </c>
      <c r="O222" s="341"/>
      <c r="P222" s="18">
        <f>'2.1. DM'!R222</f>
        <v>9.9798661370191333</v>
      </c>
      <c r="Q222" s="341"/>
      <c r="R222" s="18">
        <f>'2.1. DM'!T222</f>
        <v>90.02013386298087</v>
      </c>
      <c r="S222" s="341"/>
      <c r="T222" s="30">
        <f>TablePC[[#This Row],[Av DM 105]]</f>
        <v>16.293655903712867</v>
      </c>
      <c r="U222" s="341"/>
      <c r="V222" s="30">
        <f>'2.3 ADF'!Q222</f>
        <v>36.371447617351777</v>
      </c>
      <c r="W222" s="341"/>
      <c r="X222" s="30">
        <f>'2.4 NDF'!Q222</f>
        <v>55.598320780509169</v>
      </c>
      <c r="Y222" s="341"/>
    </row>
    <row r="223" spans="2:25" x14ac:dyDescent="0.35">
      <c r="B223" s="19">
        <f t="shared" si="119"/>
        <v>213</v>
      </c>
      <c r="C223" s="199">
        <f>'2.1. DM'!C223</f>
        <v>46055</v>
      </c>
      <c r="D223" s="199" t="str">
        <f>'2.1. DM'!D223</f>
        <v>Genbank</v>
      </c>
      <c r="E223" s="200">
        <f>'2.1. DM'!E223</f>
        <v>29</v>
      </c>
      <c r="F223" s="199" t="str">
        <f>'2.1. DM'!F223</f>
        <v>F252617</v>
      </c>
      <c r="G223" s="199" t="str">
        <f>'2.1. DM'!G223</f>
        <v>CIAT34038</v>
      </c>
      <c r="H223" s="199" t="str">
        <f>'2.1. DM'!H223</f>
        <v>Vigna</v>
      </c>
      <c r="I223" s="199" t="str">
        <f>'2.1. DM'!I223</f>
        <v>unguiculata</v>
      </c>
      <c r="J223" s="199" t="str">
        <f>'2.1. DM'!J223</f>
        <v>Vigna unguiculata</v>
      </c>
      <c r="K223" s="199" t="str">
        <f>'2.1. DM'!K223</f>
        <v>Fabaceae</v>
      </c>
      <c r="L223" s="199" t="str">
        <f>'2.1. DM'!L223</f>
        <v>Fabales</v>
      </c>
      <c r="M223" s="199" t="str">
        <f>'2.1. DM'!M223</f>
        <v>Herbaceous</v>
      </c>
      <c r="N223" s="310">
        <f>'2.1. DM'!P223</f>
        <v>91.754947031781015</v>
      </c>
      <c r="O223" s="341">
        <f t="shared" ref="O223" si="147">AVERAGE(N223:N224)</f>
        <v>91.789108861752226</v>
      </c>
      <c r="P223" s="18">
        <f>'2.1. DM'!R223</f>
        <v>12.281670666771719</v>
      </c>
      <c r="Q223" s="341">
        <f t="shared" ref="Q223:Y223" si="148">AVERAGE(P223:P224)</f>
        <v>12.24478270352537</v>
      </c>
      <c r="R223" s="18">
        <f>'2.1. DM'!T223</f>
        <v>87.718329333228283</v>
      </c>
      <c r="S223" s="341">
        <f t="shared" si="148"/>
        <v>87.755217296474626</v>
      </c>
      <c r="T223" s="30">
        <f>TablePC[[#This Row],[Av DM 105]]</f>
        <v>20.568244123206618</v>
      </c>
      <c r="U223" s="341">
        <f t="shared" ref="U223" si="149">AVERAGE(T223:T224)</f>
        <v>20.568244123206618</v>
      </c>
      <c r="V223" s="30">
        <f>'2.3 ADF'!Q223</f>
        <v>24.049174966639971</v>
      </c>
      <c r="W223" s="341">
        <f t="shared" si="148"/>
        <v>24.323621212121893</v>
      </c>
      <c r="X223" s="30">
        <f>'2.4 NDF'!Q223</f>
        <v>46.167509373158843</v>
      </c>
      <c r="Y223" s="341">
        <f t="shared" si="148"/>
        <v>46.958505808148288</v>
      </c>
    </row>
    <row r="224" spans="2:25" x14ac:dyDescent="0.35">
      <c r="B224" s="19">
        <f t="shared" si="119"/>
        <v>214</v>
      </c>
      <c r="C224" s="199">
        <f>'2.1. DM'!C224</f>
        <v>46055</v>
      </c>
      <c r="D224" s="199" t="str">
        <f>'2.1. DM'!D224</f>
        <v>Genbank</v>
      </c>
      <c r="E224" s="200">
        <f>'2.1. DM'!E224</f>
        <v>29</v>
      </c>
      <c r="F224" s="199" t="str">
        <f>'2.1. DM'!F224</f>
        <v>F252617</v>
      </c>
      <c r="G224" s="199" t="str">
        <f>'2.1. DM'!G224</f>
        <v>CIAT34038</v>
      </c>
      <c r="H224" s="199" t="str">
        <f>'2.1. DM'!H224</f>
        <v>Vigna</v>
      </c>
      <c r="I224" s="199" t="str">
        <f>'2.1. DM'!I224</f>
        <v>unguiculata</v>
      </c>
      <c r="J224" s="199" t="str">
        <f>'2.1. DM'!J224</f>
        <v>Vigna unguiculata</v>
      </c>
      <c r="K224" s="199" t="str">
        <f>'2.1. DM'!K224</f>
        <v>Fabaceae</v>
      </c>
      <c r="L224" s="199" t="str">
        <f>'2.1. DM'!L224</f>
        <v>Fabales</v>
      </c>
      <c r="M224" s="199" t="str">
        <f>'2.1. DM'!M224</f>
        <v>Herbaceous</v>
      </c>
      <c r="N224" s="310">
        <f>'2.1. DM'!P224</f>
        <v>91.823270691723451</v>
      </c>
      <c r="O224" s="341"/>
      <c r="P224" s="18">
        <f>'2.1. DM'!R224</f>
        <v>12.20789474027902</v>
      </c>
      <c r="Q224" s="341"/>
      <c r="R224" s="18">
        <f>'2.1. DM'!T224</f>
        <v>87.792105259720984</v>
      </c>
      <c r="S224" s="341"/>
      <c r="T224" s="30">
        <f>TablePC[[#This Row],[Av DM 105]]</f>
        <v>20.568244123206618</v>
      </c>
      <c r="U224" s="341"/>
      <c r="V224" s="30">
        <f>'2.3 ADF'!Q224</f>
        <v>24.598067457603811</v>
      </c>
      <c r="W224" s="341"/>
      <c r="X224" s="30">
        <f>'2.4 NDF'!Q224</f>
        <v>47.749502243137734</v>
      </c>
      <c r="Y224" s="341"/>
    </row>
    <row r="225" spans="2:25" x14ac:dyDescent="0.35">
      <c r="B225" s="19">
        <f t="shared" si="119"/>
        <v>215</v>
      </c>
      <c r="C225" s="199">
        <f>'2.1. DM'!C225</f>
        <v>46055</v>
      </c>
      <c r="D225" s="199" t="str">
        <f>'2.1. DM'!D225</f>
        <v>Genbank</v>
      </c>
      <c r="E225" s="200">
        <f>'2.1. DM'!E225</f>
        <v>29</v>
      </c>
      <c r="F225" s="199" t="str">
        <f>'2.1. DM'!F225</f>
        <v>F252618</v>
      </c>
      <c r="G225" s="199" t="str">
        <f>'2.1. DM'!G225</f>
        <v>CIAT34040</v>
      </c>
      <c r="H225" s="199" t="str">
        <f>'2.1. DM'!H225</f>
        <v>Vigna</v>
      </c>
      <c r="I225" s="199" t="str">
        <f>'2.1. DM'!I225</f>
        <v>aconitifolia</v>
      </c>
      <c r="J225" s="199" t="str">
        <f>'2.1. DM'!J225</f>
        <v>Vigna aconitifolia</v>
      </c>
      <c r="K225" s="199" t="str">
        <f>'2.1. DM'!K225</f>
        <v>Fabaceae</v>
      </c>
      <c r="L225" s="199" t="str">
        <f>'2.1. DM'!L225</f>
        <v>Fabales</v>
      </c>
      <c r="M225" s="199" t="str">
        <f>'2.1. DM'!M225</f>
        <v>Herbaceous</v>
      </c>
      <c r="N225" s="310">
        <f>'2.1. DM'!P225</f>
        <v>90.721855628874138</v>
      </c>
      <c r="O225" s="341">
        <f t="shared" ref="O225" si="150">AVERAGE(N225:N226)</f>
        <v>90.655927814437064</v>
      </c>
      <c r="P225" s="18">
        <f>'2.1. DM'!R225</f>
        <v>12.748960537875631</v>
      </c>
      <c r="Q225" s="341">
        <f t="shared" ref="Q225:Y225" si="151">AVERAGE(P225:P226)</f>
        <v>12.810904384461349</v>
      </c>
      <c r="R225" s="18">
        <f>'2.1. DM'!T225</f>
        <v>87.251039462124368</v>
      </c>
      <c r="S225" s="341">
        <f t="shared" si="151"/>
        <v>87.189095615538648</v>
      </c>
      <c r="T225" s="30">
        <f>TablePC[[#This Row],[Av DM 105]]</f>
        <v>25.56369149675103</v>
      </c>
      <c r="U225" s="341">
        <f t="shared" ref="U225" si="152">AVERAGE(T225:T226)</f>
        <v>25.56369149675103</v>
      </c>
      <c r="V225" s="30">
        <f>'2.3 ADF'!Q225</f>
        <v>22.853700590077526</v>
      </c>
      <c r="W225" s="341">
        <f t="shared" si="151"/>
        <v>22.650679533279096</v>
      </c>
      <c r="X225" s="30">
        <f>'2.4 NDF'!Q225</f>
        <v>41.944848884716748</v>
      </c>
      <c r="Y225" s="341">
        <f t="shared" si="151"/>
        <v>41.974995691029363</v>
      </c>
    </row>
    <row r="226" spans="2:25" x14ac:dyDescent="0.35">
      <c r="B226" s="19">
        <f t="shared" si="119"/>
        <v>216</v>
      </c>
      <c r="C226" s="199">
        <f>'2.1. DM'!C226</f>
        <v>46055</v>
      </c>
      <c r="D226" s="199" t="str">
        <f>'2.1. DM'!D226</f>
        <v>Genbank</v>
      </c>
      <c r="E226" s="200">
        <f>'2.1. DM'!E226</f>
        <v>29</v>
      </c>
      <c r="F226" s="199" t="str">
        <f>'2.1. DM'!F226</f>
        <v>F252618</v>
      </c>
      <c r="G226" s="199" t="str">
        <f>'2.1. DM'!G226</f>
        <v>CIAT34040</v>
      </c>
      <c r="H226" s="199" t="str">
        <f>'2.1. DM'!H226</f>
        <v>Vigna</v>
      </c>
      <c r="I226" s="199" t="str">
        <f>'2.1. DM'!I226</f>
        <v>aconitifolia</v>
      </c>
      <c r="J226" s="199" t="str">
        <f>'2.1. DM'!J226</f>
        <v>Vigna aconitifolia</v>
      </c>
      <c r="K226" s="199" t="str">
        <f>'2.1. DM'!K226</f>
        <v>Fabaceae</v>
      </c>
      <c r="L226" s="199" t="str">
        <f>'2.1. DM'!L226</f>
        <v>Fabales</v>
      </c>
      <c r="M226" s="199" t="str">
        <f>'2.1. DM'!M226</f>
        <v>Herbaceous</v>
      </c>
      <c r="N226" s="310">
        <f>'2.1. DM'!P226</f>
        <v>90.589999999999989</v>
      </c>
      <c r="O226" s="341"/>
      <c r="P226" s="18">
        <f>'2.1. DM'!R226</f>
        <v>12.872848231047069</v>
      </c>
      <c r="Q226" s="341"/>
      <c r="R226" s="18">
        <f>'2.1. DM'!T226</f>
        <v>87.127151768952928</v>
      </c>
      <c r="S226" s="341"/>
      <c r="T226" s="30">
        <f>TablePC[[#This Row],[Av DM 105]]</f>
        <v>25.56369149675103</v>
      </c>
      <c r="U226" s="341"/>
      <c r="V226" s="30">
        <f>'2.3 ADF'!Q226</f>
        <v>22.447658476480665</v>
      </c>
      <c r="W226" s="341"/>
      <c r="X226" s="30">
        <f>'2.4 NDF'!Q226</f>
        <v>42.005142497341978</v>
      </c>
      <c r="Y226" s="341"/>
    </row>
    <row r="227" spans="2:25" x14ac:dyDescent="0.35">
      <c r="B227" s="19">
        <f t="shared" si="119"/>
        <v>217</v>
      </c>
      <c r="C227" s="199">
        <f>'2.1. DM'!C227</f>
        <v>46055</v>
      </c>
      <c r="D227" s="199" t="str">
        <f>'2.1. DM'!D227</f>
        <v>Genbank</v>
      </c>
      <c r="E227" s="200">
        <f>'2.1. DM'!E227</f>
        <v>29</v>
      </c>
      <c r="F227" s="199" t="str">
        <f>'2.1. DM'!F227</f>
        <v>F252619</v>
      </c>
      <c r="G227" s="199" t="str">
        <f>'2.1. DM'!G227</f>
        <v>CIAT34042</v>
      </c>
      <c r="H227" s="199" t="str">
        <f>'2.1. DM'!H227</f>
        <v>Vigna</v>
      </c>
      <c r="I227" s="199" t="str">
        <f>'2.1. DM'!I227</f>
        <v>aconitifolia</v>
      </c>
      <c r="J227" s="199" t="str">
        <f>'2.1. DM'!J227</f>
        <v>Vigna aconitifolia</v>
      </c>
      <c r="K227" s="199" t="str">
        <f>'2.1. DM'!K227</f>
        <v>Fabaceae</v>
      </c>
      <c r="L227" s="199" t="str">
        <f>'2.1. DM'!L227</f>
        <v>Fabales</v>
      </c>
      <c r="M227" s="199" t="str">
        <f>'2.1. DM'!M227</f>
        <v>Herbaceous</v>
      </c>
      <c r="N227" s="310">
        <f>'2.1. DM'!P227</f>
        <v>91.060893910608968</v>
      </c>
      <c r="O227" s="341">
        <f t="shared" ref="O227" si="153">AVERAGE(N227:N228)</f>
        <v>91.070892910708935</v>
      </c>
      <c r="P227" s="18">
        <f>'2.1. DM'!R227</f>
        <v>12.351778656126461</v>
      </c>
      <c r="Q227" s="341">
        <f t="shared" ref="Q227:Y227" si="154">AVERAGE(P227:P228)</f>
        <v>12.36824769433464</v>
      </c>
      <c r="R227" s="18">
        <f>'2.1. DM'!T227</f>
        <v>87.648221343873544</v>
      </c>
      <c r="S227" s="341">
        <f t="shared" si="154"/>
        <v>87.631752305665373</v>
      </c>
      <c r="T227" s="30">
        <f>TablePC[[#This Row],[Av DM 105]]</f>
        <v>24.707049982964765</v>
      </c>
      <c r="U227" s="341">
        <f t="shared" ref="U227" si="155">AVERAGE(T227:T228)</f>
        <v>24.707049982964765</v>
      </c>
      <c r="V227" s="30">
        <f>'2.3 ADF'!Q227</f>
        <v>23.325938523882829</v>
      </c>
      <c r="W227" s="341">
        <f t="shared" si="154"/>
        <v>23.370352412416224</v>
      </c>
      <c r="X227" s="30">
        <f>'2.4 NDF'!Q227</f>
        <v>49.688673852842946</v>
      </c>
      <c r="Y227" s="341">
        <f t="shared" si="154"/>
        <v>48.960118782006177</v>
      </c>
    </row>
    <row r="228" spans="2:25" x14ac:dyDescent="0.35">
      <c r="B228" s="19">
        <f t="shared" si="119"/>
        <v>218</v>
      </c>
      <c r="C228" s="199">
        <f>'2.1. DM'!C228</f>
        <v>46055</v>
      </c>
      <c r="D228" s="199" t="str">
        <f>'2.1. DM'!D228</f>
        <v>Genbank</v>
      </c>
      <c r="E228" s="200">
        <f>'2.1. DM'!E228</f>
        <v>29</v>
      </c>
      <c r="F228" s="199" t="str">
        <f>'2.1. DM'!F228</f>
        <v>F252619</v>
      </c>
      <c r="G228" s="199" t="str">
        <f>'2.1. DM'!G228</f>
        <v>CIAT34042</v>
      </c>
      <c r="H228" s="199" t="str">
        <f>'2.1. DM'!H228</f>
        <v>Vigna</v>
      </c>
      <c r="I228" s="199" t="str">
        <f>'2.1. DM'!I228</f>
        <v>aconitifolia</v>
      </c>
      <c r="J228" s="199" t="str">
        <f>'2.1. DM'!J228</f>
        <v>Vigna aconitifolia</v>
      </c>
      <c r="K228" s="199" t="str">
        <f>'2.1. DM'!K228</f>
        <v>Fabaceae</v>
      </c>
      <c r="L228" s="199" t="str">
        <f>'2.1. DM'!L228</f>
        <v>Fabales</v>
      </c>
      <c r="M228" s="199" t="str">
        <f>'2.1. DM'!M228</f>
        <v>Herbaceous</v>
      </c>
      <c r="N228" s="310">
        <f>'2.1. DM'!P228</f>
        <v>91.080891910808901</v>
      </c>
      <c r="O228" s="341"/>
      <c r="P228" s="18">
        <f>'2.1. DM'!R228</f>
        <v>12.384716732542818</v>
      </c>
      <c r="Q228" s="341"/>
      <c r="R228" s="18">
        <f>'2.1. DM'!T228</f>
        <v>87.615283267457187</v>
      </c>
      <c r="S228" s="341"/>
      <c r="T228" s="30">
        <f>TablePC[[#This Row],[Av DM 105]]</f>
        <v>24.707049982964765</v>
      </c>
      <c r="U228" s="341"/>
      <c r="V228" s="30">
        <f>'2.3 ADF'!Q228</f>
        <v>23.414766300949623</v>
      </c>
      <c r="W228" s="341"/>
      <c r="X228" s="30">
        <f>'2.4 NDF'!Q228</f>
        <v>48.231563711169407</v>
      </c>
      <c r="Y228" s="341"/>
    </row>
    <row r="229" spans="2:25" x14ac:dyDescent="0.35">
      <c r="B229" s="19">
        <f t="shared" si="119"/>
        <v>219</v>
      </c>
      <c r="C229" s="199">
        <f>'2.1. DM'!C229</f>
        <v>46055</v>
      </c>
      <c r="D229" s="199" t="str">
        <f>'2.1. DM'!D229</f>
        <v>Genbank</v>
      </c>
      <c r="E229" s="200">
        <f>'2.1. DM'!E229</f>
        <v>29</v>
      </c>
      <c r="F229" s="199" t="str">
        <f>'2.1. DM'!F229</f>
        <v>F252620</v>
      </c>
      <c r="G229" s="199" t="str">
        <f>'2.1. DM'!G229</f>
        <v>CIAT34044</v>
      </c>
      <c r="H229" s="199" t="str">
        <f>'2.1. DM'!H229</f>
        <v>Vigna</v>
      </c>
      <c r="I229" s="199" t="str">
        <f>'2.1. DM'!I229</f>
        <v>aconitifolia</v>
      </c>
      <c r="J229" s="199" t="str">
        <f>'2.1. DM'!J229</f>
        <v>Vigna aconitifolia</v>
      </c>
      <c r="K229" s="199" t="str">
        <f>'2.1. DM'!K229</f>
        <v>Fabaceae</v>
      </c>
      <c r="L229" s="199" t="str">
        <f>'2.1. DM'!L229</f>
        <v>Fabales</v>
      </c>
      <c r="M229" s="199" t="str">
        <f>'2.1. DM'!M229</f>
        <v>Herbaceous</v>
      </c>
      <c r="N229" s="310">
        <f>'2.1. DM'!P229</f>
        <v>91.605036977813299</v>
      </c>
      <c r="O229" s="341">
        <f t="shared" ref="O229" si="156">AVERAGE(N229:N230)</f>
        <v>91.574632431935072</v>
      </c>
      <c r="P229" s="18">
        <f>'2.1. DM'!R229</f>
        <v>10.346004301786929</v>
      </c>
      <c r="Q229" s="341">
        <f t="shared" ref="Q229:Y229" si="157">AVERAGE(P229:P230)</f>
        <v>10.439295421829192</v>
      </c>
      <c r="R229" s="18">
        <f>'2.1. DM'!T229</f>
        <v>89.653995698213066</v>
      </c>
      <c r="S229" s="341">
        <f t="shared" si="157"/>
        <v>89.5607045781708</v>
      </c>
      <c r="T229" s="30">
        <f>TablePC[[#This Row],[Av DM 105]]</f>
        <v>22.362805395352606</v>
      </c>
      <c r="U229" s="341">
        <f t="shared" ref="U229" si="158">AVERAGE(T229:T230)</f>
        <v>22.362805395352606</v>
      </c>
      <c r="V229" s="30">
        <f>'2.3 ADF'!Q229</f>
        <v>21.106033059567345</v>
      </c>
      <c r="W229" s="341">
        <f t="shared" si="157"/>
        <v>20.672331398584671</v>
      </c>
      <c r="X229" s="30">
        <f>'2.4 NDF'!Q229</f>
        <v>55.233531816468926</v>
      </c>
      <c r="Y229" s="341">
        <f t="shared" si="157"/>
        <v>54.266965470459603</v>
      </c>
    </row>
    <row r="230" spans="2:25" x14ac:dyDescent="0.35">
      <c r="B230" s="19">
        <f t="shared" si="119"/>
        <v>220</v>
      </c>
      <c r="C230" s="199">
        <f>'2.1. DM'!C230</f>
        <v>46055</v>
      </c>
      <c r="D230" s="199" t="str">
        <f>'2.1. DM'!D230</f>
        <v>Genbank</v>
      </c>
      <c r="E230" s="200">
        <f>'2.1. DM'!E230</f>
        <v>29</v>
      </c>
      <c r="F230" s="199" t="str">
        <f>'2.1. DM'!F230</f>
        <v>F252620</v>
      </c>
      <c r="G230" s="199" t="str">
        <f>'2.1. DM'!G230</f>
        <v>CIAT34044</v>
      </c>
      <c r="H230" s="199" t="str">
        <f>'2.1. DM'!H230</f>
        <v>Vigna</v>
      </c>
      <c r="I230" s="199" t="str">
        <f>'2.1. DM'!I230</f>
        <v>aconitifolia</v>
      </c>
      <c r="J230" s="199" t="str">
        <f>'2.1. DM'!J230</f>
        <v>Vigna aconitifolia</v>
      </c>
      <c r="K230" s="199" t="str">
        <f>'2.1. DM'!K230</f>
        <v>Fabaceae</v>
      </c>
      <c r="L230" s="199" t="str">
        <f>'2.1. DM'!L230</f>
        <v>Fabales</v>
      </c>
      <c r="M230" s="199" t="str">
        <f>'2.1. DM'!M230</f>
        <v>Herbaceous</v>
      </c>
      <c r="N230" s="310">
        <f>'2.1. DM'!P230</f>
        <v>91.544227886056859</v>
      </c>
      <c r="O230" s="341"/>
      <c r="P230" s="18">
        <f>'2.1. DM'!R230</f>
        <v>10.532586541871455</v>
      </c>
      <c r="Q230" s="341"/>
      <c r="R230" s="18">
        <f>'2.1. DM'!T230</f>
        <v>89.467413458128547</v>
      </c>
      <c r="S230" s="341"/>
      <c r="T230" s="30">
        <f>TablePC[[#This Row],[Av DM 105]]</f>
        <v>22.362805395352606</v>
      </c>
      <c r="U230" s="341"/>
      <c r="V230" s="30">
        <f>'2.3 ADF'!Q230</f>
        <v>20.238629737601997</v>
      </c>
      <c r="W230" s="341"/>
      <c r="X230" s="30">
        <f>'2.4 NDF'!Q230</f>
        <v>53.30039912445028</v>
      </c>
      <c r="Y230" s="341"/>
    </row>
    <row r="231" spans="2:25" x14ac:dyDescent="0.35">
      <c r="B231" s="19">
        <f t="shared" si="119"/>
        <v>221</v>
      </c>
      <c r="C231" s="199">
        <f>'2.1. DM'!C231</f>
        <v>46055</v>
      </c>
      <c r="D231" s="199" t="str">
        <f>'2.1. DM'!D231</f>
        <v>Genbank</v>
      </c>
      <c r="E231" s="200">
        <f>'2.1. DM'!E231</f>
        <v>29</v>
      </c>
      <c r="F231" s="199" t="str">
        <f>'2.1. DM'!F231</f>
        <v>F252621</v>
      </c>
      <c r="G231" s="199" t="str">
        <f>'2.1. DM'!G231</f>
        <v>CIAT34148</v>
      </c>
      <c r="H231" s="199" t="str">
        <f>'2.1. DM'!H231</f>
        <v>Vigna</v>
      </c>
      <c r="I231" s="199" t="str">
        <f>'2.1. DM'!I231</f>
        <v>radiata</v>
      </c>
      <c r="J231" s="199" t="str">
        <f>'2.1. DM'!J231</f>
        <v>Vigna radiata</v>
      </c>
      <c r="K231" s="199" t="str">
        <f>'2.1. DM'!K231</f>
        <v>Fabaceae</v>
      </c>
      <c r="L231" s="199" t="str">
        <f>'2.1. DM'!L231</f>
        <v>Fabales</v>
      </c>
      <c r="M231" s="199" t="str">
        <f>'2.1. DM'!M231</f>
        <v>Herbaceous</v>
      </c>
      <c r="N231" s="310">
        <f>'2.1. DM'!P231</f>
        <v>89.593122063381031</v>
      </c>
      <c r="O231" s="341">
        <f t="shared" ref="O231" si="159">AVERAGE(N231:N232)</f>
        <v>89.542611821532518</v>
      </c>
      <c r="P231" s="18">
        <f>'2.1. DM'!R231</f>
        <v>10.260191924223884</v>
      </c>
      <c r="Q231" s="341">
        <f t="shared" ref="Q231:Y231" si="160">AVERAGE(P231:P232)</f>
        <v>10.260704831238595</v>
      </c>
      <c r="R231" s="18">
        <f>'2.1. DM'!T231</f>
        <v>89.739808075776111</v>
      </c>
      <c r="S231" s="341">
        <f t="shared" si="160"/>
        <v>89.739295168761402</v>
      </c>
      <c r="T231" s="30">
        <f>TablePC[[#This Row],[Av DM 105]]</f>
        <v>23.287884478466296</v>
      </c>
      <c r="U231" s="341">
        <f t="shared" ref="U231" si="161">AVERAGE(T231:T232)</f>
        <v>23.287884478466296</v>
      </c>
      <c r="V231" s="30">
        <f>'2.3 ADF'!Q231</f>
        <v>27.183082262073242</v>
      </c>
      <c r="W231" s="341">
        <f t="shared" si="160"/>
        <v>27.821378052869541</v>
      </c>
      <c r="X231" s="30">
        <f>'2.4 NDF'!Q231</f>
        <v>44.084767084329116</v>
      </c>
      <c r="Y231" s="341">
        <f t="shared" si="160"/>
        <v>44.746178148621006</v>
      </c>
    </row>
    <row r="232" spans="2:25" x14ac:dyDescent="0.35">
      <c r="B232" s="19">
        <f t="shared" si="119"/>
        <v>222</v>
      </c>
      <c r="C232" s="199">
        <f>'2.1. DM'!C232</f>
        <v>46055</v>
      </c>
      <c r="D232" s="199" t="str">
        <f>'2.1. DM'!D232</f>
        <v>Genbank</v>
      </c>
      <c r="E232" s="200">
        <f>'2.1. DM'!E232</f>
        <v>29</v>
      </c>
      <c r="F232" s="199" t="str">
        <f>'2.1. DM'!F232</f>
        <v>F252621</v>
      </c>
      <c r="G232" s="199" t="str">
        <f>'2.1. DM'!G232</f>
        <v>CIAT34148</v>
      </c>
      <c r="H232" s="199" t="str">
        <f>'2.1. DM'!H232</f>
        <v>Vigna</v>
      </c>
      <c r="I232" s="199" t="str">
        <f>'2.1. DM'!I232</f>
        <v>radiata</v>
      </c>
      <c r="J232" s="199" t="str">
        <f>'2.1. DM'!J232</f>
        <v>Vigna radiata</v>
      </c>
      <c r="K232" s="199" t="str">
        <f>'2.1. DM'!K232</f>
        <v>Fabaceae</v>
      </c>
      <c r="L232" s="199" t="str">
        <f>'2.1. DM'!L232</f>
        <v>Fabales</v>
      </c>
      <c r="M232" s="199" t="str">
        <f>'2.1. DM'!M232</f>
        <v>Herbaceous</v>
      </c>
      <c r="N232" s="310">
        <f>'2.1. DM'!P232</f>
        <v>89.492101579684004</v>
      </c>
      <c r="O232" s="341"/>
      <c r="P232" s="18">
        <f>'2.1. DM'!R232</f>
        <v>10.261217738253304</v>
      </c>
      <c r="Q232" s="341"/>
      <c r="R232" s="18">
        <f>'2.1. DM'!T232</f>
        <v>89.738782261746692</v>
      </c>
      <c r="S232" s="341"/>
      <c r="T232" s="30">
        <f>TablePC[[#This Row],[Av DM 105]]</f>
        <v>23.287884478466296</v>
      </c>
      <c r="U232" s="341"/>
      <c r="V232" s="30">
        <f>'2.3 ADF'!Q232</f>
        <v>28.459673843665843</v>
      </c>
      <c r="W232" s="341"/>
      <c r="X232" s="30">
        <f>'2.4 NDF'!Q232</f>
        <v>45.407589212912896</v>
      </c>
      <c r="Y232" s="341"/>
    </row>
    <row r="233" spans="2:25" x14ac:dyDescent="0.35">
      <c r="B233" s="19">
        <f t="shared" si="119"/>
        <v>223</v>
      </c>
      <c r="C233" s="199">
        <f>'2.1. DM'!C233</f>
        <v>46055</v>
      </c>
      <c r="D233" s="199" t="str">
        <f>'2.1. DM'!D233</f>
        <v>Genbank</v>
      </c>
      <c r="E233" s="200">
        <f>'2.1. DM'!E233</f>
        <v>29</v>
      </c>
      <c r="F233" s="199" t="str">
        <f>'2.1. DM'!F233</f>
        <v>F252622</v>
      </c>
      <c r="G233" s="199" t="str">
        <f>'2.1. DM'!G233</f>
        <v>CIAT34159</v>
      </c>
      <c r="H233" s="199" t="str">
        <f>'2.1. DM'!H233</f>
        <v>Vigna</v>
      </c>
      <c r="I233" s="199" t="str">
        <f>'2.1. DM'!I233</f>
        <v>unguiculata</v>
      </c>
      <c r="J233" s="199" t="str">
        <f>'2.1. DM'!J233</f>
        <v>Vigna unguiculata</v>
      </c>
      <c r="K233" s="199" t="str">
        <f>'2.1. DM'!K233</f>
        <v>Fabaceae</v>
      </c>
      <c r="L233" s="199" t="str">
        <f>'2.1. DM'!L233</f>
        <v>Fabales</v>
      </c>
      <c r="M233" s="199" t="str">
        <f>'2.1. DM'!M233</f>
        <v>Herbaceous</v>
      </c>
      <c r="N233" s="310">
        <f>'2.1. DM'!P233</f>
        <v>90.561887622475524</v>
      </c>
      <c r="O233" s="341">
        <f t="shared" ref="O233" si="162">AVERAGE(N233:N234)</f>
        <v>90.482383379367292</v>
      </c>
      <c r="P233" s="18">
        <f>'2.1. DM'!R233</f>
        <v>12.165681350544594</v>
      </c>
      <c r="Q233" s="341">
        <f t="shared" ref="Q233:Y233" si="163">AVERAGE(P233:P234)</f>
        <v>11.993820560639854</v>
      </c>
      <c r="R233" s="18">
        <f>'2.1. DM'!T233</f>
        <v>87.834318649455412</v>
      </c>
      <c r="S233" s="341">
        <f t="shared" si="163"/>
        <v>88.006179439360153</v>
      </c>
      <c r="T233" s="30">
        <f>TablePC[[#This Row],[Av DM 105]]</f>
        <v>22.863588720097063</v>
      </c>
      <c r="U233" s="341">
        <f t="shared" ref="U233" si="164">AVERAGE(T233:T234)</f>
        <v>22.863588720097063</v>
      </c>
      <c r="V233" s="30">
        <f>'2.3 ADF'!Q233</f>
        <v>22.214710815752284</v>
      </c>
      <c r="W233" s="341">
        <f t="shared" si="163"/>
        <v>22.342212979163186</v>
      </c>
      <c r="X233" s="30">
        <f>'2.4 NDF'!Q233</f>
        <v>48.13623771294823</v>
      </c>
      <c r="Y233" s="341">
        <f t="shared" si="163"/>
        <v>48.635901858484516</v>
      </c>
    </row>
    <row r="234" spans="2:25" x14ac:dyDescent="0.35">
      <c r="B234" s="19">
        <f t="shared" si="119"/>
        <v>224</v>
      </c>
      <c r="C234" s="199">
        <f>'2.1. DM'!C234</f>
        <v>46055</v>
      </c>
      <c r="D234" s="199" t="str">
        <f>'2.1. DM'!D234</f>
        <v>Genbank</v>
      </c>
      <c r="E234" s="200">
        <f>'2.1. DM'!E234</f>
        <v>29</v>
      </c>
      <c r="F234" s="199" t="str">
        <f>'2.1. DM'!F234</f>
        <v>F252622</v>
      </c>
      <c r="G234" s="199" t="str">
        <f>'2.1. DM'!G234</f>
        <v>CIAT34159</v>
      </c>
      <c r="H234" s="199" t="str">
        <f>'2.1. DM'!H234</f>
        <v>Vigna</v>
      </c>
      <c r="I234" s="199" t="str">
        <f>'2.1. DM'!I234</f>
        <v>unguiculata</v>
      </c>
      <c r="J234" s="199" t="str">
        <f>'2.1. DM'!J234</f>
        <v>Vigna unguiculata</v>
      </c>
      <c r="K234" s="199" t="str">
        <f>'2.1. DM'!K234</f>
        <v>Fabaceae</v>
      </c>
      <c r="L234" s="199" t="str">
        <f>'2.1. DM'!L234</f>
        <v>Fabales</v>
      </c>
      <c r="M234" s="199" t="str">
        <f>'2.1. DM'!M234</f>
        <v>Herbaceous</v>
      </c>
      <c r="N234" s="310">
        <f>'2.1. DM'!P234</f>
        <v>90.402879136259045</v>
      </c>
      <c r="O234" s="341"/>
      <c r="P234" s="18">
        <f>'2.1. DM'!R234</f>
        <v>11.821959770735116</v>
      </c>
      <c r="Q234" s="341"/>
      <c r="R234" s="18">
        <f>'2.1. DM'!T234</f>
        <v>88.17804022926488</v>
      </c>
      <c r="S234" s="341"/>
      <c r="T234" s="30">
        <f>TablePC[[#This Row],[Av DM 105]]</f>
        <v>22.863588720097063</v>
      </c>
      <c r="U234" s="341"/>
      <c r="V234" s="30">
        <f>'2.3 ADF'!Q234</f>
        <v>22.469715142574092</v>
      </c>
      <c r="W234" s="341"/>
      <c r="X234" s="30">
        <f>'2.4 NDF'!Q234</f>
        <v>49.135566004020809</v>
      </c>
      <c r="Y234" s="341"/>
    </row>
    <row r="235" spans="2:25" x14ac:dyDescent="0.35">
      <c r="B235" s="19">
        <f t="shared" si="119"/>
        <v>225</v>
      </c>
      <c r="C235" s="199">
        <f>'2.1. DM'!C235</f>
        <v>46055</v>
      </c>
      <c r="D235" s="199" t="str">
        <f>'2.1. DM'!D235</f>
        <v>Genbank</v>
      </c>
      <c r="E235" s="200">
        <f>'2.1. DM'!E235</f>
        <v>29</v>
      </c>
      <c r="F235" s="199" t="str">
        <f>'2.1. DM'!F235</f>
        <v>F252623</v>
      </c>
      <c r="G235" s="199" t="str">
        <f>'2.1. DM'!G235</f>
        <v>CIAT34347</v>
      </c>
      <c r="H235" s="199" t="str">
        <f>'2.1. DM'!H235</f>
        <v>Vigna</v>
      </c>
      <c r="I235" s="199" t="str">
        <f>'2.1. DM'!I235</f>
        <v>unguiculata</v>
      </c>
      <c r="J235" s="199" t="str">
        <f>'2.1. DM'!J235</f>
        <v>Vigna unguiculata</v>
      </c>
      <c r="K235" s="199" t="str">
        <f>'2.1. DM'!K235</f>
        <v>Fabaceae</v>
      </c>
      <c r="L235" s="199" t="str">
        <f>'2.1. DM'!L235</f>
        <v>Fabales</v>
      </c>
      <c r="M235" s="199" t="str">
        <f>'2.1. DM'!M235</f>
        <v>Herbaceous</v>
      </c>
      <c r="N235" s="310">
        <f>'2.1. DM'!P235</f>
        <v>89.462107578484392</v>
      </c>
      <c r="O235" s="341">
        <f t="shared" ref="O235" si="165">AVERAGE(N235:N236)</f>
        <v>89.492625317783649</v>
      </c>
      <c r="P235" s="18">
        <f>'2.1. DM'!R235</f>
        <v>11.92038605285477</v>
      </c>
      <c r="Q235" s="341">
        <f t="shared" ref="Q235:Y235" si="166">AVERAGE(P235:P236)</f>
        <v>11.997985489344817</v>
      </c>
      <c r="R235" s="18">
        <f>'2.1. DM'!T235</f>
        <v>88.079613947145234</v>
      </c>
      <c r="S235" s="341">
        <f t="shared" si="166"/>
        <v>88.002014510655187</v>
      </c>
      <c r="T235" s="30">
        <f>TablePC[[#This Row],[Av DM 105]]</f>
        <v>32.509384991699882</v>
      </c>
      <c r="U235" s="341">
        <f t="shared" ref="U235" si="167">AVERAGE(T235:T236)</f>
        <v>32.464899703970843</v>
      </c>
      <c r="V235" s="30">
        <f>'2.3 ADF'!Q235</f>
        <v>23.312842132515428</v>
      </c>
      <c r="W235" s="341">
        <f t="shared" si="166"/>
        <v>25.269234630721314</v>
      </c>
      <c r="X235" s="30">
        <f>'2.4 NDF'!Q235</f>
        <v>43.223727543227447</v>
      </c>
      <c r="Y235" s="341">
        <f t="shared" si="166"/>
        <v>42.676507308875443</v>
      </c>
    </row>
    <row r="236" spans="2:25" x14ac:dyDescent="0.35">
      <c r="B236" s="19">
        <f t="shared" si="119"/>
        <v>226</v>
      </c>
      <c r="C236" s="199">
        <f>'2.1. DM'!C236</f>
        <v>46055</v>
      </c>
      <c r="D236" s="199" t="str">
        <f>'2.1. DM'!D236</f>
        <v>Genbank</v>
      </c>
      <c r="E236" s="200">
        <f>'2.1. DM'!E236</f>
        <v>29</v>
      </c>
      <c r="F236" s="199" t="str">
        <f>'2.1. DM'!F236</f>
        <v>F252623</v>
      </c>
      <c r="G236" s="199" t="str">
        <f>'2.1. DM'!G236</f>
        <v>CIAT34347</v>
      </c>
      <c r="H236" s="199" t="str">
        <f>'2.1. DM'!H236</f>
        <v>Vigna</v>
      </c>
      <c r="I236" s="199" t="str">
        <f>'2.1. DM'!I236</f>
        <v>unguiculata</v>
      </c>
      <c r="J236" s="199" t="str">
        <f>'2.1. DM'!J236</f>
        <v>Vigna unguiculata</v>
      </c>
      <c r="K236" s="199" t="str">
        <f>'2.1. DM'!K236</f>
        <v>Fabaceae</v>
      </c>
      <c r="L236" s="199" t="str">
        <f>'2.1. DM'!L236</f>
        <v>Fabales</v>
      </c>
      <c r="M236" s="199" t="str">
        <f>'2.1. DM'!M236</f>
        <v>Herbaceous</v>
      </c>
      <c r="N236" s="310">
        <f>'2.1. DM'!P236</f>
        <v>89.523143057082905</v>
      </c>
      <c r="O236" s="341"/>
      <c r="P236" s="18">
        <f>'2.1. DM'!R236</f>
        <v>12.075584925834866</v>
      </c>
      <c r="Q236" s="341"/>
      <c r="R236" s="18">
        <f>'2.1. DM'!T236</f>
        <v>87.92441507416514</v>
      </c>
      <c r="S236" s="341"/>
      <c r="T236" s="30">
        <f>TablePC[[#This Row],[Av DM 105]]</f>
        <v>32.420414416241812</v>
      </c>
      <c r="U236" s="341"/>
      <c r="V236" s="30">
        <f>'2.3 ADF'!Q236</f>
        <v>27.225627128927204</v>
      </c>
      <c r="W236" s="341"/>
      <c r="X236" s="30">
        <f>'2.4 NDF'!Q236</f>
        <v>42.12928707452344</v>
      </c>
      <c r="Y236" s="341"/>
    </row>
    <row r="237" spans="2:25" x14ac:dyDescent="0.35">
      <c r="B237" s="19">
        <f t="shared" si="119"/>
        <v>227</v>
      </c>
      <c r="C237" s="199">
        <f>'2.1. DM'!C237</f>
        <v>46055</v>
      </c>
      <c r="D237" s="199" t="str">
        <f>'2.1. DM'!D237</f>
        <v>Genbank</v>
      </c>
      <c r="E237" s="200">
        <f>'2.1. DM'!E237</f>
        <v>29</v>
      </c>
      <c r="F237" s="199" t="str">
        <f>'2.1. DM'!F237</f>
        <v>F251692</v>
      </c>
      <c r="G237" s="199" t="str">
        <f>'2.1. DM'!G237</f>
        <v>CIAT-23715</v>
      </c>
      <c r="H237" s="199" t="str">
        <f>'2.1. DM'!H237</f>
        <v>Desmodium</v>
      </c>
      <c r="I237" s="199" t="str">
        <f>'2.1. DM'!I237</f>
        <v>sequax</v>
      </c>
      <c r="J237" s="199" t="str">
        <f>'2.1. DM'!J237</f>
        <v>Desmodium sequax</v>
      </c>
      <c r="K237" s="199" t="str">
        <f>'2.1. DM'!K237</f>
        <v>Fabaceae</v>
      </c>
      <c r="L237" s="199" t="str">
        <f>'2.1. DM'!L237</f>
        <v>Fabales</v>
      </c>
      <c r="M237" s="199" t="str">
        <f>'2.1. DM'!M237</f>
        <v>Shrub</v>
      </c>
      <c r="N237" s="310">
        <f>'2.1. DM'!P237</f>
        <v>93.763741754947048</v>
      </c>
      <c r="O237" s="341">
        <f t="shared" ref="O237" si="168">AVERAGE(N237:N238)</f>
        <v>93.792488753898226</v>
      </c>
      <c r="P237" s="18">
        <f>'2.1. DM'!R237</f>
        <v>5.1998553621319132</v>
      </c>
      <c r="Q237" s="341">
        <f t="shared" ref="Q237:Y237" si="169">AVERAGE(P237:P238)</f>
        <v>5.2168846792118364</v>
      </c>
      <c r="R237" s="18">
        <f>'2.1. DM'!T237</f>
        <v>94.800144637868087</v>
      </c>
      <c r="S237" s="341">
        <f t="shared" si="169"/>
        <v>94.78311532078817</v>
      </c>
      <c r="T237" s="30">
        <f>TablePC[[#This Row],[Av DM 105]]</f>
        <v>16.813216997484169</v>
      </c>
      <c r="U237" s="341">
        <f t="shared" ref="U237" si="170">AVERAGE(T237:T238)</f>
        <v>16.813216997484169</v>
      </c>
      <c r="V237" s="30">
        <f>'2.3 ADF'!Q237</f>
        <v>58.104294581330052</v>
      </c>
      <c r="W237" s="341">
        <f t="shared" si="169"/>
        <v>59.13848020217921</v>
      </c>
      <c r="X237" s="30">
        <f>'2.4 NDF'!Q237</f>
        <v>64.699716864105</v>
      </c>
      <c r="Y237" s="341">
        <f t="shared" si="169"/>
        <v>65.418134291941641</v>
      </c>
    </row>
    <row r="238" spans="2:25" x14ac:dyDescent="0.35">
      <c r="B238" s="19">
        <f t="shared" si="119"/>
        <v>228</v>
      </c>
      <c r="C238" s="199">
        <f>'2.1. DM'!C238</f>
        <v>46055</v>
      </c>
      <c r="D238" s="199" t="str">
        <f>'2.1. DM'!D238</f>
        <v>Genbank</v>
      </c>
      <c r="E238" s="200">
        <f>'2.1. DM'!E238</f>
        <v>29</v>
      </c>
      <c r="F238" s="199" t="str">
        <f>'2.1. DM'!F238</f>
        <v>F251692</v>
      </c>
      <c r="G238" s="199" t="str">
        <f>'2.1. DM'!G238</f>
        <v>CIAT-23715</v>
      </c>
      <c r="H238" s="199" t="str">
        <f>'2.1. DM'!H238</f>
        <v>Desmodium</v>
      </c>
      <c r="I238" s="199" t="str">
        <f>'2.1. DM'!I238</f>
        <v>sequax</v>
      </c>
      <c r="J238" s="199" t="str">
        <f>'2.1. DM'!J238</f>
        <v>Desmodium sequax</v>
      </c>
      <c r="K238" s="199" t="str">
        <f>'2.1. DM'!K238</f>
        <v>Fabaceae</v>
      </c>
      <c r="L238" s="199" t="str">
        <f>'2.1. DM'!L238</f>
        <v>Fabales</v>
      </c>
      <c r="M238" s="199" t="str">
        <f>'2.1. DM'!M238</f>
        <v>Shrub</v>
      </c>
      <c r="N238" s="310">
        <f>'2.1. DM'!P238</f>
        <v>93.82123575284939</v>
      </c>
      <c r="O238" s="341"/>
      <c r="P238" s="18">
        <f>'2.1. DM'!R238</f>
        <v>5.2339139962917596</v>
      </c>
      <c r="Q238" s="341"/>
      <c r="R238" s="18">
        <f>'2.1. DM'!T238</f>
        <v>94.766086003708239</v>
      </c>
      <c r="S238" s="341"/>
      <c r="T238" s="30">
        <f>TablePC[[#This Row],[Av DM 105]]</f>
        <v>16.813216997484169</v>
      </c>
      <c r="U238" s="341"/>
      <c r="V238" s="30">
        <f>'2.3 ADF'!Q238</f>
        <v>60.17266582302836</v>
      </c>
      <c r="W238" s="341"/>
      <c r="X238" s="30">
        <f>'2.4 NDF'!Q238</f>
        <v>66.136551719778268</v>
      </c>
      <c r="Y238" s="341"/>
    </row>
    <row r="239" spans="2:25" x14ac:dyDescent="0.35">
      <c r="B239" s="19">
        <f t="shared" si="119"/>
        <v>229</v>
      </c>
      <c r="C239" s="199">
        <f>'2.1. DM'!C239</f>
        <v>46055</v>
      </c>
      <c r="D239" s="199" t="str">
        <f>'2.1. DM'!D239</f>
        <v>Jacobo Arango/ Alejandro Montoya</v>
      </c>
      <c r="E239" s="200">
        <f>'2.1. DM'!E239</f>
        <v>29</v>
      </c>
      <c r="F239" s="199" t="str">
        <f>'2.1. DM'!F239</f>
        <v>F250008</v>
      </c>
      <c r="G239" s="199" t="str">
        <f>'2.1. DM'!G239</f>
        <v>Sample 8</v>
      </c>
      <c r="H239" s="199" t="str">
        <f>'2.1. DM'!H239</f>
        <v>Cynodon</v>
      </c>
      <c r="I239" s="199" t="str">
        <f>'2.1. DM'!I239</f>
        <v xml:space="preserve"> nlemfuensis </v>
      </c>
      <c r="J239" s="199" t="str">
        <f>'2.1. DM'!J239</f>
        <v xml:space="preserve">Cynodon nlemfuensis </v>
      </c>
      <c r="K239" s="199" t="str">
        <f>'2.1. DM'!K239</f>
        <v>Poaceae</v>
      </c>
      <c r="L239" s="199" t="str">
        <f>'2.1. DM'!L239</f>
        <v>Poales</v>
      </c>
      <c r="M239" s="199" t="str">
        <f>'2.1. DM'!M239</f>
        <v>grasses</v>
      </c>
      <c r="N239" s="310">
        <f>'2.1. DM'!P239</f>
        <v>93.3</v>
      </c>
      <c r="O239" s="341">
        <f t="shared" ref="O239" si="171">AVERAGE(N239:N240)</f>
        <v>93.55</v>
      </c>
      <c r="P239" s="18">
        <f>'2.1. DM'!R239</f>
        <v>11.3</v>
      </c>
      <c r="Q239" s="341">
        <f t="shared" ref="Q239:Y239" si="172">AVERAGE(P239:P240)</f>
        <v>11.4</v>
      </c>
      <c r="R239" s="18">
        <f>'2.1. DM'!T239</f>
        <v>88.7</v>
      </c>
      <c r="S239" s="341">
        <f t="shared" si="172"/>
        <v>88.6</v>
      </c>
      <c r="T239" s="30">
        <f>TablePC[[#This Row],[Av DM 105]]</f>
        <v>0</v>
      </c>
      <c r="U239" s="341">
        <f t="shared" ref="U239" si="173">AVERAGE(T239:T240)</f>
        <v>0</v>
      </c>
      <c r="V239" s="30">
        <f>'2.3 ADF'!Q239</f>
        <v>0</v>
      </c>
      <c r="W239" s="341">
        <f t="shared" si="172"/>
        <v>0</v>
      </c>
      <c r="X239" s="30">
        <f>'2.4 NDF'!Q239</f>
        <v>76.099999999999994</v>
      </c>
      <c r="Y239" s="341">
        <f t="shared" si="172"/>
        <v>76.099999999999994</v>
      </c>
    </row>
    <row r="240" spans="2:25" x14ac:dyDescent="0.35">
      <c r="B240" s="19">
        <f t="shared" si="119"/>
        <v>230</v>
      </c>
      <c r="C240" s="199">
        <f>'2.1. DM'!C240</f>
        <v>46055</v>
      </c>
      <c r="D240" s="199" t="str">
        <f>'2.1. DM'!D240</f>
        <v>Jacobo Arango/ Alejandro Montoya</v>
      </c>
      <c r="E240" s="200">
        <f>'2.1. DM'!E240</f>
        <v>29</v>
      </c>
      <c r="F240" s="199" t="str">
        <f>'2.1. DM'!F240</f>
        <v>F250008</v>
      </c>
      <c r="G240" s="199" t="str">
        <f>'2.1. DM'!G240</f>
        <v>Sample 8</v>
      </c>
      <c r="H240" s="199" t="str">
        <f>'2.1. DM'!H240</f>
        <v>Cynodon</v>
      </c>
      <c r="I240" s="199" t="str">
        <f>'2.1. DM'!I240</f>
        <v xml:space="preserve"> nlemfuensis </v>
      </c>
      <c r="J240" s="199" t="str">
        <f>'2.1. DM'!J240</f>
        <v xml:space="preserve">Cynodon nlemfuensis </v>
      </c>
      <c r="K240" s="199" t="str">
        <f>'2.1. DM'!K240</f>
        <v>Poaceae</v>
      </c>
      <c r="L240" s="199" t="str">
        <f>'2.1. DM'!L240</f>
        <v>Poales</v>
      </c>
      <c r="M240" s="199" t="str">
        <f>'2.1. DM'!M240</f>
        <v>grasses</v>
      </c>
      <c r="N240" s="310">
        <f>'2.1. DM'!P240</f>
        <v>93.8</v>
      </c>
      <c r="O240" s="341"/>
      <c r="P240" s="18">
        <f>'2.1. DM'!R240</f>
        <v>11.5</v>
      </c>
      <c r="Q240" s="341"/>
      <c r="R240" s="18">
        <f>'2.1. DM'!T240</f>
        <v>88.5</v>
      </c>
      <c r="S240" s="341"/>
      <c r="T240" s="30">
        <f>TablePC[[#This Row],[Av DM 105]]</f>
        <v>0</v>
      </c>
      <c r="U240" s="341"/>
      <c r="V240" s="30">
        <f>'2.3 ADF'!Q240</f>
        <v>0</v>
      </c>
      <c r="W240" s="341"/>
      <c r="X240" s="30">
        <f>'2.4 NDF'!Q240</f>
        <v>76.099999999999994</v>
      </c>
      <c r="Y240" s="341"/>
    </row>
    <row r="241" spans="3:25" x14ac:dyDescent="0.35">
      <c r="C241" s="199">
        <f>'2.1. DM'!C241</f>
        <v>46062</v>
      </c>
      <c r="D241" s="199" t="str">
        <f>'2.1. DM'!D241</f>
        <v>Genbank</v>
      </c>
      <c r="E241" s="200">
        <f>'2.1. DM'!E241</f>
        <v>30</v>
      </c>
      <c r="F241" s="199" t="str">
        <f>'2.1. DM'!F241</f>
        <v>F260013</v>
      </c>
      <c r="G241" s="199" t="str">
        <f>'2.1. DM'!G241</f>
        <v>CIAT590</v>
      </c>
      <c r="H241" s="199" t="str">
        <f>'2.1. DM'!H241</f>
        <v>Macroptilium</v>
      </c>
      <c r="I241" s="199" t="str">
        <f>'2.1. DM'!I241</f>
        <v>bracteatum</v>
      </c>
      <c r="J241" s="199" t="str">
        <f>'2.1. DM'!J241</f>
        <v>Macroptilium bracteatum</v>
      </c>
      <c r="K241" s="199" t="str">
        <f>'2.1. DM'!K241</f>
        <v>Fabaceae</v>
      </c>
      <c r="L241" s="199" t="str">
        <f>'2.1. DM'!L241</f>
        <v>Fabales</v>
      </c>
      <c r="M241" s="199" t="str">
        <f>'2.1. DM'!M241</f>
        <v>Herbaceous</v>
      </c>
      <c r="N241" s="310">
        <f>'2.1. DM'!P241</f>
        <v>92.734359384369498</v>
      </c>
      <c r="O241" s="341">
        <f t="shared" ref="O241" si="174">AVERAGE(N241:N242)</f>
        <v>92.602932541614905</v>
      </c>
      <c r="P241" s="18">
        <f>'2.1. DM'!R241</f>
        <v>10.673603186187734</v>
      </c>
      <c r="Q241" s="341">
        <f t="shared" ref="Q241" si="175">AVERAGE(P241:P242)</f>
        <v>10.540779545515475</v>
      </c>
      <c r="R241" s="18">
        <f>'2.1. DM'!T241</f>
        <v>89.326396813812266</v>
      </c>
      <c r="S241" s="341">
        <f t="shared" ref="S241" si="176">AVERAGE(R241:R242)</f>
        <v>89.459220454484523</v>
      </c>
      <c r="T241" s="30">
        <f>TablePC[[#This Row],[Av DM 105]]</f>
        <v>18.342831355874488</v>
      </c>
      <c r="U241" s="341">
        <f t="shared" ref="U241" si="177">AVERAGE(T241:T242)</f>
        <v>18.469606162913962</v>
      </c>
      <c r="V241" s="30">
        <f>'2.3 ADF'!Q241</f>
        <v>35.83839105688886</v>
      </c>
      <c r="W241" s="341">
        <f t="shared" ref="W241" si="178">AVERAGE(V241:V242)</f>
        <v>36.081738212564389</v>
      </c>
      <c r="X241" s="30">
        <f>'2.4 NDF'!Q241</f>
        <v>55.827118398255053</v>
      </c>
      <c r="Y241" s="341">
        <f t="shared" ref="Y241" si="179">AVERAGE(X241:X242)</f>
        <v>55.460537512850223</v>
      </c>
    </row>
    <row r="242" spans="3:25" x14ac:dyDescent="0.35">
      <c r="C242" s="199">
        <f>'2.1. DM'!C242</f>
        <v>46062</v>
      </c>
      <c r="D242" s="199" t="str">
        <f>'2.1. DM'!D242</f>
        <v>Genbank</v>
      </c>
      <c r="E242" s="200">
        <f>'2.1. DM'!E242</f>
        <v>30</v>
      </c>
      <c r="F242" s="199" t="str">
        <f>'2.1. DM'!F242</f>
        <v>F260013</v>
      </c>
      <c r="G242" s="199" t="str">
        <f>'2.1. DM'!G242</f>
        <v>CIAT590</v>
      </c>
      <c r="H242" s="199" t="str">
        <f>'2.1. DM'!H242</f>
        <v>Macroptilium</v>
      </c>
      <c r="I242" s="199" t="str">
        <f>'2.1. DM'!I242</f>
        <v>bracteatum</v>
      </c>
      <c r="J242" s="199" t="str">
        <f>'2.1. DM'!J242</f>
        <v>Macroptilium bracteatum</v>
      </c>
      <c r="K242" s="199" t="str">
        <f>'2.1. DM'!K242</f>
        <v>Fabaceae</v>
      </c>
      <c r="L242" s="199" t="str">
        <f>'2.1. DM'!L242</f>
        <v>Fabales</v>
      </c>
      <c r="M242" s="199" t="str">
        <f>'2.1. DM'!M242</f>
        <v>Herbaceous</v>
      </c>
      <c r="N242" s="310">
        <f>'2.1. DM'!P242</f>
        <v>92.471505698860327</v>
      </c>
      <c r="O242" s="341"/>
      <c r="P242" s="18">
        <f>'2.1. DM'!R242</f>
        <v>10.407955904843217</v>
      </c>
      <c r="Q242" s="341"/>
      <c r="R242" s="18">
        <f>'2.1. DM'!T242</f>
        <v>89.59204409515678</v>
      </c>
      <c r="S242" s="341"/>
      <c r="T242" s="30">
        <f>TablePC[[#This Row],[Av DM 105]]</f>
        <v>18.596380969953437</v>
      </c>
      <c r="U242" s="341"/>
      <c r="V242" s="30">
        <f>'2.3 ADF'!Q242</f>
        <v>36.325085368239925</v>
      </c>
      <c r="W242" s="341"/>
      <c r="X242" s="30">
        <f>'2.4 NDF'!Q242</f>
        <v>55.093956627445387</v>
      </c>
      <c r="Y242" s="341"/>
    </row>
    <row r="243" spans="3:25" x14ac:dyDescent="0.35">
      <c r="C243" s="199">
        <f>'2.1. DM'!C243</f>
        <v>46062</v>
      </c>
      <c r="D243" s="199" t="str">
        <f>'2.1. DM'!D243</f>
        <v>Genbank</v>
      </c>
      <c r="E243" s="200">
        <f>'2.1. DM'!E243</f>
        <v>30</v>
      </c>
      <c r="F243" s="199" t="str">
        <f>'2.1. DM'!F243</f>
        <v>F260014</v>
      </c>
      <c r="G243" s="199" t="str">
        <f>'2.1. DM'!G243</f>
        <v>CIAT778</v>
      </c>
      <c r="H243" s="199" t="str">
        <f>'2.1. DM'!H243</f>
        <v>Macroptilium</v>
      </c>
      <c r="I243" s="199" t="str">
        <f>'2.1. DM'!I243</f>
        <v>atropurpureum</v>
      </c>
      <c r="J243" s="199" t="str">
        <f>'2.1. DM'!J243</f>
        <v>Macroptilium atropurpureum</v>
      </c>
      <c r="K243" s="199" t="str">
        <f>'2.1. DM'!K243</f>
        <v>Fabaceae</v>
      </c>
      <c r="L243" s="199" t="str">
        <f>'2.1. DM'!L243</f>
        <v>Fabales</v>
      </c>
      <c r="M243" s="199" t="str">
        <f>'2.1. DM'!M243</f>
        <v>Herbaceous</v>
      </c>
      <c r="N243" s="310">
        <f>'2.1. DM'!P243</f>
        <v>92.573713143428265</v>
      </c>
      <c r="O243" s="341">
        <f t="shared" ref="O243:O305" si="180">AVERAGE(N243:N244)</f>
        <v>92.582967738364118</v>
      </c>
      <c r="P243" s="18">
        <f>'2.1. DM'!R243</f>
        <v>12.37190073225724</v>
      </c>
      <c r="Q243" s="341">
        <f t="shared" ref="Q243:Q305" si="181">AVERAGE(P243:P244)</f>
        <v>12.356940726192665</v>
      </c>
      <c r="R243" s="18">
        <f>'2.1. DM'!T243</f>
        <v>87.628099267742755</v>
      </c>
      <c r="S243" s="341">
        <f t="shared" ref="S243:S305" si="182">AVERAGE(R243:R244)</f>
        <v>87.643059273807324</v>
      </c>
      <c r="T243" s="30">
        <f>TablePC[[#This Row],[Av DM 105]]</f>
        <v>22.842056715834623</v>
      </c>
      <c r="U243" s="341">
        <f t="shared" ref="U243:U305" si="183">AVERAGE(T243:T244)</f>
        <v>22.842056715834623</v>
      </c>
      <c r="V243" s="30">
        <f>'2.3 ADF'!Q243</f>
        <v>35.237029127190247</v>
      </c>
      <c r="W243" s="341">
        <f>AVERAGE(V243:V244)</f>
        <v>35.742916163503722</v>
      </c>
      <c r="X243" s="30">
        <f>'2.4 NDF'!Q243</f>
        <v>52.300297351890748</v>
      </c>
      <c r="Y243" s="341">
        <f t="shared" ref="Y243:Y305" si="184">AVERAGE(X243:X244)</f>
        <v>52.823352680258232</v>
      </c>
    </row>
    <row r="244" spans="3:25" x14ac:dyDescent="0.35">
      <c r="C244" s="199">
        <f>'2.1. DM'!C244</f>
        <v>46062</v>
      </c>
      <c r="D244" s="199" t="str">
        <f>'2.1. DM'!D244</f>
        <v>Genbank</v>
      </c>
      <c r="E244" s="200">
        <f>'2.1. DM'!E244</f>
        <v>30</v>
      </c>
      <c r="F244" s="199" t="str">
        <f>'2.1. DM'!F244</f>
        <v>F260014</v>
      </c>
      <c r="G244" s="199" t="str">
        <f>'2.1. DM'!G244</f>
        <v>CIAT778</v>
      </c>
      <c r="H244" s="199" t="str">
        <f>'2.1. DM'!H244</f>
        <v>Macroptilium</v>
      </c>
      <c r="I244" s="199" t="str">
        <f>'2.1. DM'!I244</f>
        <v>atropurpureum</v>
      </c>
      <c r="J244" s="199" t="str">
        <f>'2.1. DM'!J244</f>
        <v>Macroptilium atropurpureum</v>
      </c>
      <c r="K244" s="199" t="str">
        <f>'2.1. DM'!K244</f>
        <v>Fabaceae</v>
      </c>
      <c r="L244" s="199" t="str">
        <f>'2.1. DM'!L244</f>
        <v>Fabales</v>
      </c>
      <c r="M244" s="199" t="str">
        <f>'2.1. DM'!M244</f>
        <v>Herbaceous</v>
      </c>
      <c r="N244" s="310">
        <f>'2.1. DM'!P244</f>
        <v>92.592222333299972</v>
      </c>
      <c r="O244" s="341"/>
      <c r="P244" s="18">
        <f>'2.1. DM'!R244</f>
        <v>12.341980720128092</v>
      </c>
      <c r="Q244" s="341"/>
      <c r="R244" s="18">
        <f>'2.1. DM'!T244</f>
        <v>87.658019279871908</v>
      </c>
      <c r="S244" s="341"/>
      <c r="T244" s="30">
        <f>TablePC[[#This Row],[Av DM 105]]</f>
        <v>22.842056715834623</v>
      </c>
      <c r="U244" s="341"/>
      <c r="V244" s="30">
        <f>'2.3 ADF'!Q244</f>
        <v>36.248803199817196</v>
      </c>
      <c r="W244" s="341"/>
      <c r="X244" s="30">
        <f>'2.4 NDF'!Q244</f>
        <v>53.346408008625716</v>
      </c>
      <c r="Y244" s="341"/>
    </row>
    <row r="245" spans="3:25" x14ac:dyDescent="0.35">
      <c r="C245" s="199">
        <f>'2.1. DM'!C245</f>
        <v>46062</v>
      </c>
      <c r="D245" s="199" t="str">
        <f>'2.1. DM'!D245</f>
        <v>Genbank</v>
      </c>
      <c r="E245" s="200">
        <f>'2.1. DM'!E245</f>
        <v>30</v>
      </c>
      <c r="F245" s="199" t="str">
        <f>'2.1. DM'!F245</f>
        <v>F260015</v>
      </c>
      <c r="G245" s="199" t="str">
        <f>'2.1. DM'!G245</f>
        <v>CIAT827</v>
      </c>
      <c r="H245" s="199" t="str">
        <f>'2.1. DM'!H245</f>
        <v>Indigofera</v>
      </c>
      <c r="I245" s="199" t="str">
        <f>'2.1. DM'!I245</f>
        <v>jamaicensis</v>
      </c>
      <c r="J245" s="199" t="str">
        <f>'2.1. DM'!J245</f>
        <v>Indigofera jamaicensis</v>
      </c>
      <c r="K245" s="199" t="str">
        <f>'2.1. DM'!K245</f>
        <v>Fabaceae</v>
      </c>
      <c r="L245" s="199" t="str">
        <f>'2.1. DM'!L245</f>
        <v>Fabales</v>
      </c>
      <c r="M245" s="199" t="str">
        <f>'2.1. DM'!M245</f>
        <v>Herbaceous</v>
      </c>
      <c r="N245" s="310">
        <f>'2.1. DM'!P245</f>
        <v>94.789999999999978</v>
      </c>
      <c r="O245" s="341">
        <f t="shared" si="180"/>
        <v>94.764999999999986</v>
      </c>
      <c r="P245" s="18">
        <f>'2.1. DM'!R245</f>
        <v>11.639318313723383</v>
      </c>
      <c r="Q245" s="341">
        <f t="shared" si="181"/>
        <v>11.787052181712696</v>
      </c>
      <c r="R245" s="18">
        <f>'2.1. DM'!T245</f>
        <v>88.360681686276621</v>
      </c>
      <c r="S245" s="341">
        <f t="shared" si="182"/>
        <v>88.212947818287304</v>
      </c>
      <c r="T245" s="30">
        <f>TablePC[[#This Row],[Av DM 105]]</f>
        <v>21.616260812288019</v>
      </c>
      <c r="U245" s="341">
        <f t="shared" si="183"/>
        <v>21.616260812288019</v>
      </c>
      <c r="V245" s="30">
        <f>'2.3 ADF'!Q245</f>
        <v>28.322696909664259</v>
      </c>
      <c r="W245" s="341">
        <f t="shared" ref="W245" si="185">AVERAGE(V245:V246)</f>
        <v>27.756576978938149</v>
      </c>
      <c r="X245" s="30">
        <f>'2.4 NDF'!Q245</f>
        <v>47.085541509421731</v>
      </c>
      <c r="Y245" s="341">
        <f t="shared" si="184"/>
        <v>47.599316851590814</v>
      </c>
    </row>
    <row r="246" spans="3:25" x14ac:dyDescent="0.35">
      <c r="C246" s="199">
        <f>'2.1. DM'!C246</f>
        <v>46062</v>
      </c>
      <c r="D246" s="199" t="str">
        <f>'2.1. DM'!D246</f>
        <v>Genbank</v>
      </c>
      <c r="E246" s="200">
        <f>'2.1. DM'!E246</f>
        <v>30</v>
      </c>
      <c r="F246" s="199" t="str">
        <f>'2.1. DM'!F246</f>
        <v>F260015</v>
      </c>
      <c r="G246" s="199" t="str">
        <f>'2.1. DM'!G246</f>
        <v>CIAT827</v>
      </c>
      <c r="H246" s="199" t="str">
        <f>'2.1. DM'!H246</f>
        <v>Indigofera</v>
      </c>
      <c r="I246" s="199" t="str">
        <f>'2.1. DM'!I246</f>
        <v>jamaicensis</v>
      </c>
      <c r="J246" s="199" t="str">
        <f>'2.1. DM'!J246</f>
        <v>Indigofera jamaicensis</v>
      </c>
      <c r="K246" s="199" t="str">
        <f>'2.1. DM'!K246</f>
        <v>Fabaceae</v>
      </c>
      <c r="L246" s="199" t="str">
        <f>'2.1. DM'!L246</f>
        <v>Fabales</v>
      </c>
      <c r="M246" s="199" t="str">
        <f>'2.1. DM'!M246</f>
        <v>Herbaceous</v>
      </c>
      <c r="N246" s="310">
        <f>'2.1. DM'!P246</f>
        <v>94.740000000000009</v>
      </c>
      <c r="O246" s="341"/>
      <c r="P246" s="18">
        <f>'2.1. DM'!R246</f>
        <v>11.93478604970201</v>
      </c>
      <c r="Q246" s="341"/>
      <c r="R246" s="18">
        <f>'2.1. DM'!T246</f>
        <v>88.065213950297988</v>
      </c>
      <c r="S246" s="341"/>
      <c r="T246" s="30">
        <f>TablePC[[#This Row],[Av DM 105]]</f>
        <v>21.616260812288019</v>
      </c>
      <c r="U246" s="341"/>
      <c r="V246" s="30">
        <f>'2.3 ADF'!Q246</f>
        <v>27.190457048212043</v>
      </c>
      <c r="W246" s="341"/>
      <c r="X246" s="30">
        <f>'2.4 NDF'!Q246</f>
        <v>48.11309219375989</v>
      </c>
      <c r="Y246" s="341"/>
    </row>
    <row r="247" spans="3:25" x14ac:dyDescent="0.35">
      <c r="C247" s="199">
        <f>'2.1. DM'!C247</f>
        <v>46062</v>
      </c>
      <c r="D247" s="199" t="str">
        <f>'2.1. DM'!D247</f>
        <v>Genbank</v>
      </c>
      <c r="E247" s="200">
        <f>'2.1. DM'!E247</f>
        <v>30</v>
      </c>
      <c r="F247" s="199" t="str">
        <f>'2.1. DM'!F247</f>
        <v>F260016</v>
      </c>
      <c r="G247" s="199" t="str">
        <f>'2.1. DM'!G247</f>
        <v>CIAT997</v>
      </c>
      <c r="H247" s="199" t="str">
        <f>'2.1. DM'!H247</f>
        <v>Macroptilium</v>
      </c>
      <c r="I247" s="199" t="str">
        <f>'2.1. DM'!I247</f>
        <v>atropurpureum</v>
      </c>
      <c r="J247" s="199" t="str">
        <f>'2.1. DM'!J247</f>
        <v>Macroptilium atropurpureum</v>
      </c>
      <c r="K247" s="199" t="str">
        <f>'2.1. DM'!K247</f>
        <v>Fabaceae</v>
      </c>
      <c r="L247" s="199" t="str">
        <f>'2.1. DM'!L247</f>
        <v>Fabales</v>
      </c>
      <c r="M247" s="199" t="str">
        <f>'2.1. DM'!M247</f>
        <v>Herbaceous</v>
      </c>
      <c r="N247" s="310">
        <f>'2.1. DM'!P247</f>
        <v>93.58192542237326</v>
      </c>
      <c r="O247" s="341">
        <f t="shared" si="180"/>
        <v>93.561285678889831</v>
      </c>
      <c r="P247" s="18">
        <f>'2.1. DM'!R247</f>
        <v>12.298407350964329</v>
      </c>
      <c r="Q247" s="341">
        <f t="shared" si="181"/>
        <v>12.304980625107518</v>
      </c>
      <c r="R247" s="18">
        <f>'2.1. DM'!T247</f>
        <v>87.701592649035675</v>
      </c>
      <c r="S247" s="341">
        <f t="shared" si="182"/>
        <v>87.695019374892482</v>
      </c>
      <c r="T247" s="30">
        <f>TablePC[[#This Row],[Av DM 105]]</f>
        <v>21.435036701956502</v>
      </c>
      <c r="U247" s="341">
        <f t="shared" si="183"/>
        <v>21.435036701956502</v>
      </c>
      <c r="V247" s="30">
        <f>'2.3 ADF'!Q247</f>
        <v>32.753067896542973</v>
      </c>
      <c r="W247" s="341">
        <f t="shared" ref="W247" si="186">AVERAGE(V247:V248)</f>
        <v>32.776759663042185</v>
      </c>
      <c r="X247" s="30">
        <f>'2.4 NDF'!Q247</f>
        <v>50.535711423796023</v>
      </c>
      <c r="Y247" s="341">
        <f t="shared" si="184"/>
        <v>50.824404616697862</v>
      </c>
    </row>
    <row r="248" spans="3:25" x14ac:dyDescent="0.35">
      <c r="C248" s="199">
        <f>'2.1. DM'!C248</f>
        <v>46062</v>
      </c>
      <c r="D248" s="199" t="str">
        <f>'2.1. DM'!D248</f>
        <v>Genbank</v>
      </c>
      <c r="E248" s="200">
        <f>'2.1. DM'!E248</f>
        <v>30</v>
      </c>
      <c r="F248" s="199" t="str">
        <f>'2.1. DM'!F248</f>
        <v>F260016</v>
      </c>
      <c r="G248" s="199" t="str">
        <f>'2.1. DM'!G248</f>
        <v>CIAT997</v>
      </c>
      <c r="H248" s="199" t="str">
        <f>'2.1. DM'!H248</f>
        <v>Macroptilium</v>
      </c>
      <c r="I248" s="199" t="str">
        <f>'2.1. DM'!I248</f>
        <v>atropurpureum</v>
      </c>
      <c r="J248" s="199" t="str">
        <f>'2.1. DM'!J248</f>
        <v>Macroptilium atropurpureum</v>
      </c>
      <c r="K248" s="199" t="str">
        <f>'2.1. DM'!K248</f>
        <v>Fabaceae</v>
      </c>
      <c r="L248" s="199" t="str">
        <f>'2.1. DM'!L248</f>
        <v>Fabales</v>
      </c>
      <c r="M248" s="199" t="str">
        <f>'2.1. DM'!M248</f>
        <v>Herbaceous</v>
      </c>
      <c r="N248" s="310">
        <f>'2.1. DM'!P248</f>
        <v>93.540645935406403</v>
      </c>
      <c r="O248" s="341"/>
      <c r="P248" s="18">
        <f>'2.1. DM'!R248</f>
        <v>12.311553899250709</v>
      </c>
      <c r="Q248" s="341"/>
      <c r="R248" s="18">
        <f>'2.1. DM'!T248</f>
        <v>87.688446100749289</v>
      </c>
      <c r="S248" s="341"/>
      <c r="T248" s="30">
        <f>TablePC[[#This Row],[Av DM 105]]</f>
        <v>21.435036701956502</v>
      </c>
      <c r="U248" s="341"/>
      <c r="V248" s="30">
        <f>'2.3 ADF'!Q248</f>
        <v>32.800451429541404</v>
      </c>
      <c r="W248" s="341"/>
      <c r="X248" s="30">
        <f>'2.4 NDF'!Q248</f>
        <v>51.113097809599708</v>
      </c>
      <c r="Y248" s="341"/>
    </row>
    <row r="249" spans="3:25" x14ac:dyDescent="0.35">
      <c r="C249" s="199">
        <f>'2.1. DM'!C249</f>
        <v>46062</v>
      </c>
      <c r="D249" s="199" t="str">
        <f>'2.1. DM'!D249</f>
        <v>Genbank</v>
      </c>
      <c r="E249" s="200">
        <f>'2.1. DM'!E249</f>
        <v>30</v>
      </c>
      <c r="F249" s="199" t="str">
        <f>'2.1. DM'!F249</f>
        <v>F260017</v>
      </c>
      <c r="G249" s="199" t="str">
        <f>'2.1. DM'!G249</f>
        <v>CIAT1405</v>
      </c>
      <c r="H249" s="199" t="str">
        <f>'2.1. DM'!H249</f>
        <v>Stylosanthes</v>
      </c>
      <c r="I249" s="199" t="str">
        <f>'2.1. DM'!I249</f>
        <v>capitata</v>
      </c>
      <c r="J249" s="199" t="str">
        <f>'2.1. DM'!J249</f>
        <v>Stylosanthes capitata</v>
      </c>
      <c r="K249" s="199" t="str">
        <f>'2.1. DM'!K249</f>
        <v>Fabaceae</v>
      </c>
      <c r="L249" s="199" t="str">
        <f>'2.1. DM'!L249</f>
        <v>Fabales</v>
      </c>
      <c r="M249" s="199" t="str">
        <f>'2.1. DM'!M249</f>
        <v>Herbaceous</v>
      </c>
      <c r="N249" s="310">
        <f>'2.1. DM'!P249</f>
        <v>94.551089782043547</v>
      </c>
      <c r="O249" s="341">
        <f t="shared" si="180"/>
        <v>94.626869228852883</v>
      </c>
      <c r="P249" s="18">
        <f>'2.1. DM'!R249</f>
        <v>13.397320032261081</v>
      </c>
      <c r="Q249" s="341">
        <f t="shared" si="181"/>
        <v>14.277283668477793</v>
      </c>
      <c r="R249" s="18">
        <f>'2.1. DM'!T249</f>
        <v>86.602679967738922</v>
      </c>
      <c r="S249" s="341">
        <f t="shared" si="182"/>
        <v>85.722716331522207</v>
      </c>
      <c r="T249" s="30">
        <f>TablePC[[#This Row],[Av DM 105]]</f>
        <v>16.068776133039876</v>
      </c>
      <c r="U249" s="341">
        <f t="shared" si="183"/>
        <v>16.068776133039876</v>
      </c>
      <c r="V249" s="30">
        <f>'2.3 ADF'!Q249</f>
        <v>44.132455868154253</v>
      </c>
      <c r="W249" s="341">
        <f t="shared" ref="W249" si="187">AVERAGE(V249:V250)</f>
        <v>43.375423456174161</v>
      </c>
      <c r="X249" s="30">
        <f>'2.4 NDF'!Q249</f>
        <v>61.5284371427121</v>
      </c>
      <c r="Y249" s="341">
        <f t="shared" si="184"/>
        <v>60.854755451345312</v>
      </c>
    </row>
    <row r="250" spans="3:25" x14ac:dyDescent="0.35">
      <c r="C250" s="199">
        <f>'2.1. DM'!C250</f>
        <v>46062</v>
      </c>
      <c r="D250" s="199" t="str">
        <f>'2.1. DM'!D250</f>
        <v>Genbank</v>
      </c>
      <c r="E250" s="200">
        <f>'2.1. DM'!E250</f>
        <v>30</v>
      </c>
      <c r="F250" s="199" t="str">
        <f>'2.1. DM'!F250</f>
        <v>F260017</v>
      </c>
      <c r="G250" s="199" t="str">
        <f>'2.1. DM'!G250</f>
        <v>CIAT1405</v>
      </c>
      <c r="H250" s="199" t="str">
        <f>'2.1. DM'!H250</f>
        <v>Stylosanthes</v>
      </c>
      <c r="I250" s="199" t="str">
        <f>'2.1. DM'!I250</f>
        <v>capitata</v>
      </c>
      <c r="J250" s="199" t="str">
        <f>'2.1. DM'!J250</f>
        <v>Stylosanthes capitata</v>
      </c>
      <c r="K250" s="199" t="str">
        <f>'2.1. DM'!K250</f>
        <v>Fabaceae</v>
      </c>
      <c r="L250" s="199" t="str">
        <f>'2.1. DM'!L250</f>
        <v>Fabales</v>
      </c>
      <c r="M250" s="199" t="str">
        <f>'2.1. DM'!M250</f>
        <v>Herbaceous</v>
      </c>
      <c r="N250" s="310">
        <f>'2.1. DM'!P250</f>
        <v>94.702648675662232</v>
      </c>
      <c r="O250" s="341"/>
      <c r="P250" s="18">
        <f>'2.1. DM'!R250</f>
        <v>15.157247304694504</v>
      </c>
      <c r="Q250" s="341"/>
      <c r="R250" s="18">
        <f>'2.1. DM'!T250</f>
        <v>84.842752695305492</v>
      </c>
      <c r="S250" s="341"/>
      <c r="T250" s="30">
        <f>TablePC[[#This Row],[Av DM 105]]</f>
        <v>16.068776133039876</v>
      </c>
      <c r="U250" s="341"/>
      <c r="V250" s="30">
        <f>'2.3 ADF'!Q250</f>
        <v>42.618391044194063</v>
      </c>
      <c r="W250" s="341"/>
      <c r="X250" s="30">
        <f>'2.4 NDF'!Q250</f>
        <v>60.181073759978531</v>
      </c>
      <c r="Y250" s="341"/>
    </row>
    <row r="251" spans="3:25" x14ac:dyDescent="0.35">
      <c r="C251" s="199">
        <f>'2.1. DM'!C251</f>
        <v>46062</v>
      </c>
      <c r="D251" s="199" t="str">
        <f>'2.1. DM'!D251</f>
        <v>Genbank</v>
      </c>
      <c r="E251" s="200">
        <f>'2.1. DM'!E251</f>
        <v>30</v>
      </c>
      <c r="F251" s="199" t="str">
        <f>'2.1. DM'!F251</f>
        <v>F260018</v>
      </c>
      <c r="G251" s="199" t="str">
        <f>'2.1. DM'!G251</f>
        <v>CIAT1812</v>
      </c>
      <c r="H251" s="199" t="str">
        <f>'2.1. DM'!H251</f>
        <v>Stylosanthes</v>
      </c>
      <c r="I251" s="199" t="str">
        <f>'2.1. DM'!I251</f>
        <v>viscosa</v>
      </c>
      <c r="J251" s="199" t="str">
        <f>'2.1. DM'!J251</f>
        <v>Stylosanthes viscosa</v>
      </c>
      <c r="K251" s="199" t="str">
        <f>'2.1. DM'!K251</f>
        <v>Fabaceae</v>
      </c>
      <c r="L251" s="199" t="str">
        <f>'2.1. DM'!L251</f>
        <v>Fabales</v>
      </c>
      <c r="M251" s="199" t="str">
        <f>'2.1. DM'!M251</f>
        <v>Herbaceous</v>
      </c>
      <c r="N251" s="310">
        <f>'2.1. DM'!P251</f>
        <v>95.421831267493104</v>
      </c>
      <c r="O251" s="341">
        <f t="shared" si="180"/>
        <v>95.457042570278247</v>
      </c>
      <c r="P251" s="18">
        <f>'2.1. DM'!R251</f>
        <v>11.340881134188679</v>
      </c>
      <c r="Q251" s="341">
        <f t="shared" si="181"/>
        <v>10.539307270666562</v>
      </c>
      <c r="R251" s="18">
        <f>'2.1. DM'!T251</f>
        <v>88.659118865811323</v>
      </c>
      <c r="S251" s="341">
        <f t="shared" si="182"/>
        <v>89.460692729333431</v>
      </c>
      <c r="T251" s="30">
        <f>TablePC[[#This Row],[Av DM 105]]</f>
        <v>11.385700844625955</v>
      </c>
      <c r="U251" s="341">
        <f t="shared" si="183"/>
        <v>11.385700844625955</v>
      </c>
      <c r="V251" s="30">
        <f>'2.3 ADF'!Q251</f>
        <v>43.602826669093879</v>
      </c>
      <c r="W251" s="341">
        <f t="shared" ref="W251" si="188">AVERAGE(V251:V252)</f>
        <v>44.098180614205525</v>
      </c>
      <c r="X251" s="30">
        <f>'2.4 NDF'!Q251</f>
        <v>55.434784581740047</v>
      </c>
      <c r="Y251" s="341">
        <f t="shared" si="184"/>
        <v>56.277498717423327</v>
      </c>
    </row>
    <row r="252" spans="3:25" x14ac:dyDescent="0.35">
      <c r="C252" s="199">
        <f>'2.1. DM'!C252</f>
        <v>46062</v>
      </c>
      <c r="D252" s="199" t="str">
        <f>'2.1. DM'!D252</f>
        <v>Genbank</v>
      </c>
      <c r="E252" s="200">
        <f>'2.1. DM'!E252</f>
        <v>30</v>
      </c>
      <c r="F252" s="199" t="str">
        <f>'2.1. DM'!F252</f>
        <v>F260018</v>
      </c>
      <c r="G252" s="199" t="str">
        <f>'2.1. DM'!G252</f>
        <v>CIAT1812</v>
      </c>
      <c r="H252" s="199" t="str">
        <f>'2.1. DM'!H252</f>
        <v>Stylosanthes</v>
      </c>
      <c r="I252" s="199" t="str">
        <f>'2.1. DM'!I252</f>
        <v>viscosa</v>
      </c>
      <c r="J252" s="199" t="str">
        <f>'2.1. DM'!J252</f>
        <v>Stylosanthes viscosa</v>
      </c>
      <c r="K252" s="199" t="str">
        <f>'2.1. DM'!K252</f>
        <v>Fabaceae</v>
      </c>
      <c r="L252" s="199" t="str">
        <f>'2.1. DM'!L252</f>
        <v>Fabales</v>
      </c>
      <c r="M252" s="199" t="str">
        <f>'2.1. DM'!M252</f>
        <v>Herbaceous</v>
      </c>
      <c r="N252" s="310">
        <f>'2.1. DM'!P252</f>
        <v>95.49225387306339</v>
      </c>
      <c r="O252" s="341"/>
      <c r="P252" s="18">
        <f>'2.1. DM'!R252</f>
        <v>9.737733407144443</v>
      </c>
      <c r="Q252" s="341"/>
      <c r="R252" s="18">
        <f>'2.1. DM'!T252</f>
        <v>90.262266592855553</v>
      </c>
      <c r="S252" s="341"/>
      <c r="T252" s="30">
        <f>TablePC[[#This Row],[Av DM 105]]</f>
        <v>11.385700844625955</v>
      </c>
      <c r="U252" s="341"/>
      <c r="V252" s="30">
        <f>'2.3 ADF'!Q252</f>
        <v>44.59353455931717</v>
      </c>
      <c r="W252" s="341"/>
      <c r="X252" s="30">
        <f>'2.4 NDF'!Q252</f>
        <v>57.120212853106608</v>
      </c>
      <c r="Y252" s="341"/>
    </row>
    <row r="253" spans="3:25" x14ac:dyDescent="0.35">
      <c r="C253" s="199">
        <f>'2.1. DM'!C253</f>
        <v>46062</v>
      </c>
      <c r="D253" s="199" t="str">
        <f>'2.1. DM'!D253</f>
        <v>Genbank</v>
      </c>
      <c r="E253" s="200">
        <f>'2.1. DM'!E253</f>
        <v>30</v>
      </c>
      <c r="F253" s="199" t="str">
        <f>'2.1. DM'!F253</f>
        <v>F260019</v>
      </c>
      <c r="G253" s="199" t="str">
        <f>'2.1. DM'!G253</f>
        <v>CIAT3694</v>
      </c>
      <c r="H253" s="199" t="str">
        <f>'2.1. DM'!H253</f>
        <v>Desmodium</v>
      </c>
      <c r="I253" s="199" t="str">
        <f>'2.1. DM'!I253</f>
        <v>sandwicense</v>
      </c>
      <c r="J253" s="199" t="str">
        <f>'2.1. DM'!J253</f>
        <v>Desmodium sandwicense</v>
      </c>
      <c r="K253" s="199" t="str">
        <f>'2.1. DM'!K253</f>
        <v>Fabaceae</v>
      </c>
      <c r="L253" s="199" t="str">
        <f>'2.1. DM'!L253</f>
        <v>Fabales</v>
      </c>
      <c r="M253" s="199" t="str">
        <f>'2.1. DM'!M253</f>
        <v>Herbaceous</v>
      </c>
      <c r="N253" s="310">
        <f>'2.1. DM'!P253</f>
        <v>94.38112377524503</v>
      </c>
      <c r="O253" s="341">
        <f t="shared" si="180"/>
        <v>94.45110977804444</v>
      </c>
      <c r="P253" s="18">
        <f>'2.1. DM'!R253</f>
        <v>10.924102889806395</v>
      </c>
      <c r="Q253" s="341">
        <f t="shared" si="181"/>
        <v>12.930030697575988</v>
      </c>
      <c r="R253" s="18">
        <f>'2.1. DM'!T253</f>
        <v>89.075897110193608</v>
      </c>
      <c r="S253" s="341">
        <f t="shared" si="182"/>
        <v>87.069969302424013</v>
      </c>
      <c r="T253" s="30">
        <f>TablePC[[#This Row],[Av DM 105]]</f>
        <v>17.415881529056833</v>
      </c>
      <c r="U253" s="341">
        <f t="shared" si="183"/>
        <v>17.415881529056833</v>
      </c>
      <c r="V253" s="30">
        <f>'2.3 ADF'!Q253</f>
        <v>45.965430241502858</v>
      </c>
      <c r="W253" s="341">
        <f t="shared" ref="W253" si="189">AVERAGE(V253:V254)</f>
        <v>46.558940276123124</v>
      </c>
      <c r="X253" s="30">
        <f>'2.4 NDF'!Q253</f>
        <v>59.803705848606192</v>
      </c>
      <c r="Y253" s="341">
        <f t="shared" si="184"/>
        <v>61.010021627865029</v>
      </c>
    </row>
    <row r="254" spans="3:25" x14ac:dyDescent="0.35">
      <c r="C254" s="199">
        <f>'2.1. DM'!C254</f>
        <v>46062</v>
      </c>
      <c r="D254" s="199" t="str">
        <f>'2.1. DM'!D254</f>
        <v>Genbank</v>
      </c>
      <c r="E254" s="200">
        <f>'2.1. DM'!E254</f>
        <v>30</v>
      </c>
      <c r="F254" s="199" t="str">
        <f>'2.1. DM'!F254</f>
        <v>F260019</v>
      </c>
      <c r="G254" s="199" t="str">
        <f>'2.1. DM'!G254</f>
        <v>CIAT3694</v>
      </c>
      <c r="H254" s="199" t="str">
        <f>'2.1. DM'!H254</f>
        <v>Desmodium</v>
      </c>
      <c r="I254" s="199" t="str">
        <f>'2.1. DM'!I254</f>
        <v>sandwicense</v>
      </c>
      <c r="J254" s="199" t="str">
        <f>'2.1. DM'!J254</f>
        <v>Desmodium sandwicense</v>
      </c>
      <c r="K254" s="199" t="str">
        <f>'2.1. DM'!K254</f>
        <v>Fabaceae</v>
      </c>
      <c r="L254" s="199" t="str">
        <f>'2.1. DM'!L254</f>
        <v>Fabales</v>
      </c>
      <c r="M254" s="199" t="str">
        <f>'2.1. DM'!M254</f>
        <v>Herbaceous</v>
      </c>
      <c r="N254" s="310">
        <f>'2.1. DM'!P254</f>
        <v>94.521095780843851</v>
      </c>
      <c r="O254" s="341"/>
      <c r="P254" s="18">
        <f>'2.1. DM'!R254</f>
        <v>14.935958505345582</v>
      </c>
      <c r="Q254" s="341"/>
      <c r="R254" s="18">
        <f>'2.1. DM'!T254</f>
        <v>85.064041494654418</v>
      </c>
      <c r="S254" s="341"/>
      <c r="T254" s="30">
        <f>TablePC[[#This Row],[Av DM 105]]</f>
        <v>17.415881529056833</v>
      </c>
      <c r="U254" s="341"/>
      <c r="V254" s="30">
        <f>'2.3 ADF'!Q254</f>
        <v>47.15245031074339</v>
      </c>
      <c r="W254" s="341"/>
      <c r="X254" s="30">
        <f>'2.4 NDF'!Q254</f>
        <v>62.216337407123866</v>
      </c>
      <c r="Y254" s="341"/>
    </row>
    <row r="255" spans="3:25" x14ac:dyDescent="0.35">
      <c r="C255" s="199">
        <f>'2.1. DM'!C255</f>
        <v>46062</v>
      </c>
      <c r="D255" s="199" t="str">
        <f>'2.1. DM'!D255</f>
        <v>Genbank</v>
      </c>
      <c r="E255" s="200">
        <f>'2.1. DM'!E255</f>
        <v>30</v>
      </c>
      <c r="F255" s="199" t="str">
        <f>'2.1. DM'!F255</f>
        <v>F260020</v>
      </c>
      <c r="G255" s="199" t="str">
        <f>'2.1. DM'!G255</f>
        <v>CIAT4080</v>
      </c>
      <c r="H255" s="199" t="str">
        <f>'2.1. DM'!H255</f>
        <v>Macroptilium</v>
      </c>
      <c r="I255" s="199" t="str">
        <f>'2.1. DM'!I255</f>
        <v>bracteatum</v>
      </c>
      <c r="J255" s="199" t="str">
        <f>'2.1. DM'!J255</f>
        <v>Macroptilium bracteatum</v>
      </c>
      <c r="K255" s="199" t="str">
        <f>'2.1. DM'!K255</f>
        <v>Fabaceae</v>
      </c>
      <c r="L255" s="199" t="str">
        <f>'2.1. DM'!L255</f>
        <v>Fabales</v>
      </c>
      <c r="M255" s="199" t="str">
        <f>'2.1. DM'!M255</f>
        <v>Herbaceous</v>
      </c>
      <c r="N255" s="310">
        <f>'2.1. DM'!P255</f>
        <v>94.672131147541066</v>
      </c>
      <c r="O255" s="341">
        <f t="shared" si="180"/>
        <v>94.687389911601656</v>
      </c>
      <c r="P255" s="18">
        <f>'2.1. DM'!R255</f>
        <v>17.640489074759607</v>
      </c>
      <c r="Q255" s="341">
        <f t="shared" si="181"/>
        <v>16.188186298834058</v>
      </c>
      <c r="R255" s="18">
        <f>'2.1. DM'!T255</f>
        <v>82.359510925240386</v>
      </c>
      <c r="S255" s="341">
        <f t="shared" si="182"/>
        <v>83.811813701165931</v>
      </c>
      <c r="T255" s="30">
        <f>TablePC[[#This Row],[Av DM 105]]</f>
        <v>21.553506221955995</v>
      </c>
      <c r="U255" s="341">
        <f t="shared" si="183"/>
        <v>21.553506221955995</v>
      </c>
      <c r="V255" s="30">
        <f>'2.3 ADF'!Q255</f>
        <v>30.313039919885476</v>
      </c>
      <c r="W255" s="341">
        <f t="shared" ref="W255" si="190">AVERAGE(V255:V256)</f>
        <v>30.66930525302087</v>
      </c>
      <c r="X255" s="30">
        <f>'2.4 NDF'!Q255</f>
        <v>51.095120519686191</v>
      </c>
      <c r="Y255" s="341">
        <f t="shared" si="184"/>
        <v>51.258255200656372</v>
      </c>
    </row>
    <row r="256" spans="3:25" x14ac:dyDescent="0.35">
      <c r="C256" s="199">
        <f>'2.1. DM'!C256</f>
        <v>46062</v>
      </c>
      <c r="D256" s="199" t="str">
        <f>'2.1. DM'!D256</f>
        <v>Genbank</v>
      </c>
      <c r="E256" s="200">
        <f>'2.1. DM'!E256</f>
        <v>30</v>
      </c>
      <c r="F256" s="199" t="str">
        <f>'2.1. DM'!F256</f>
        <v>F260020</v>
      </c>
      <c r="G256" s="199" t="str">
        <f>'2.1. DM'!G256</f>
        <v>CIAT4080</v>
      </c>
      <c r="H256" s="199" t="str">
        <f>'2.1. DM'!H256</f>
        <v>Macroptilium</v>
      </c>
      <c r="I256" s="199" t="str">
        <f>'2.1. DM'!I256</f>
        <v>bracteatum</v>
      </c>
      <c r="J256" s="199" t="str">
        <f>'2.1. DM'!J256</f>
        <v>Macroptilium bracteatum</v>
      </c>
      <c r="K256" s="199" t="str">
        <f>'2.1. DM'!K256</f>
        <v>Fabaceae</v>
      </c>
      <c r="L256" s="199" t="str">
        <f>'2.1. DM'!L256</f>
        <v>Fabales</v>
      </c>
      <c r="M256" s="199" t="str">
        <f>'2.1. DM'!M256</f>
        <v>Herbaceous</v>
      </c>
      <c r="N256" s="310">
        <f>'2.1. DM'!P256</f>
        <v>94.702648675662232</v>
      </c>
      <c r="O256" s="341"/>
      <c r="P256" s="18">
        <f>'2.1. DM'!R256</f>
        <v>14.735883522908511</v>
      </c>
      <c r="Q256" s="341"/>
      <c r="R256" s="18">
        <f>'2.1. DM'!T256</f>
        <v>85.264116477091491</v>
      </c>
      <c r="S256" s="341"/>
      <c r="T256" s="30">
        <f>TablePC[[#This Row],[Av DM 105]]</f>
        <v>21.553506221955995</v>
      </c>
      <c r="U256" s="341"/>
      <c r="V256" s="30">
        <f>'2.3 ADF'!Q256</f>
        <v>31.025570586156263</v>
      </c>
      <c r="W256" s="341"/>
      <c r="X256" s="30">
        <f>'2.4 NDF'!Q256</f>
        <v>51.421389881626553</v>
      </c>
      <c r="Y256" s="341"/>
    </row>
    <row r="257" spans="3:25" x14ac:dyDescent="0.35">
      <c r="C257" s="199">
        <f>'2.1. DM'!C257</f>
        <v>46062</v>
      </c>
      <c r="D257" s="199" t="str">
        <f>'2.1. DM'!D257</f>
        <v>Genbank</v>
      </c>
      <c r="E257" s="200">
        <f>'2.1. DM'!E257</f>
        <v>30</v>
      </c>
      <c r="F257" s="199" t="str">
        <f>'2.1. DM'!F257</f>
        <v>F260021</v>
      </c>
      <c r="G257" s="199" t="str">
        <f>'2.1. DM'!G257</f>
        <v>CIAT7162</v>
      </c>
      <c r="H257" s="199" t="str">
        <f>'2.1. DM'!H257</f>
        <v>Indigofera</v>
      </c>
      <c r="I257" s="199" t="str">
        <f>'2.1. DM'!I257</f>
        <v>jamaicensis</v>
      </c>
      <c r="J257" s="199" t="str">
        <f>'2.1. DM'!J257</f>
        <v>Indigofera jamaicensis</v>
      </c>
      <c r="K257" s="199" t="str">
        <f>'2.1. DM'!K257</f>
        <v>Fabaceae</v>
      </c>
      <c r="L257" s="199" t="str">
        <f>'2.1. DM'!L257</f>
        <v>Fabales</v>
      </c>
      <c r="M257" s="199" t="str">
        <f>'2.1. DM'!M257</f>
        <v>Herbaceous</v>
      </c>
      <c r="N257" s="310">
        <f>'2.1. DM'!P257</f>
        <v>93.932427029188176</v>
      </c>
      <c r="O257" s="341">
        <f t="shared" si="180"/>
        <v>94.017098249173713</v>
      </c>
      <c r="P257" s="18">
        <f>'2.1. DM'!R257</f>
        <v>14.480934246923749</v>
      </c>
      <c r="Q257" s="341">
        <f t="shared" si="181"/>
        <v>15.83738766020349</v>
      </c>
      <c r="R257" s="18">
        <f>'2.1. DM'!T257</f>
        <v>85.519065753076248</v>
      </c>
      <c r="S257" s="341">
        <f t="shared" si="182"/>
        <v>84.16261233979651</v>
      </c>
      <c r="T257" s="30">
        <f>TablePC[[#This Row],[Av DM 105]]</f>
        <v>23.423334361776607</v>
      </c>
      <c r="U257" s="341">
        <f t="shared" si="183"/>
        <v>23.423334361776607</v>
      </c>
      <c r="V257" s="30">
        <f>'2.3 ADF'!Q257</f>
        <v>32.754781601816369</v>
      </c>
      <c r="W257" s="341">
        <f t="shared" ref="W257" si="191">AVERAGE(V257:V258)</f>
        <v>32.326181081453683</v>
      </c>
      <c r="X257" s="30">
        <f>'2.4 NDF'!Q257</f>
        <v>44.926518983600936</v>
      </c>
      <c r="Y257" s="341">
        <f t="shared" si="184"/>
        <v>45.222975819923988</v>
      </c>
    </row>
    <row r="258" spans="3:25" x14ac:dyDescent="0.35">
      <c r="C258" s="199">
        <f>'2.1. DM'!C258</f>
        <v>46062</v>
      </c>
      <c r="D258" s="199" t="str">
        <f>'2.1. DM'!D258</f>
        <v>Genbank</v>
      </c>
      <c r="E258" s="200">
        <f>'2.1. DM'!E258</f>
        <v>30</v>
      </c>
      <c r="F258" s="199" t="str">
        <f>'2.1. DM'!F258</f>
        <v>F260021</v>
      </c>
      <c r="G258" s="199" t="str">
        <f>'2.1. DM'!G258</f>
        <v>CIAT7162</v>
      </c>
      <c r="H258" s="199" t="str">
        <f>'2.1. DM'!H258</f>
        <v>Indigofera</v>
      </c>
      <c r="I258" s="199" t="str">
        <f>'2.1. DM'!I258</f>
        <v>jamaicensis</v>
      </c>
      <c r="J258" s="199" t="str">
        <f>'2.1. DM'!J258</f>
        <v>Indigofera jamaicensis</v>
      </c>
      <c r="K258" s="199" t="str">
        <f>'2.1. DM'!K258</f>
        <v>Fabaceae</v>
      </c>
      <c r="L258" s="199" t="str">
        <f>'2.1. DM'!L258</f>
        <v>Fabales</v>
      </c>
      <c r="M258" s="199" t="str">
        <f>'2.1. DM'!M258</f>
        <v>Herbaceous</v>
      </c>
      <c r="N258" s="310">
        <f>'2.1. DM'!P258</f>
        <v>94.101769469159251</v>
      </c>
      <c r="O258" s="341"/>
      <c r="P258" s="18">
        <f>'2.1. DM'!R258</f>
        <v>17.193841073483231</v>
      </c>
      <c r="Q258" s="341"/>
      <c r="R258" s="18">
        <f>'2.1. DM'!T258</f>
        <v>82.806158926516773</v>
      </c>
      <c r="S258" s="341"/>
      <c r="T258" s="30">
        <f>TablePC[[#This Row],[Av DM 105]]</f>
        <v>23.423334361776607</v>
      </c>
      <c r="U258" s="341"/>
      <c r="V258" s="30">
        <f>'2.3 ADF'!Q258</f>
        <v>31.897580561090997</v>
      </c>
      <c r="W258" s="341"/>
      <c r="X258" s="30">
        <f>'2.4 NDF'!Q258</f>
        <v>45.519432656247048</v>
      </c>
      <c r="Y258" s="341"/>
    </row>
    <row r="259" spans="3:25" x14ac:dyDescent="0.35">
      <c r="C259" s="199">
        <f>'2.1. DM'!C259</f>
        <v>46062</v>
      </c>
      <c r="D259" s="199" t="str">
        <f>'2.1. DM'!D259</f>
        <v>Genbank</v>
      </c>
      <c r="E259" s="200">
        <f>'2.1. DM'!E259</f>
        <v>30</v>
      </c>
      <c r="F259" s="199" t="str">
        <f>'2.1. DM'!F259</f>
        <v>F260022</v>
      </c>
      <c r="G259" s="199" t="str">
        <f>'2.1. DM'!G259</f>
        <v>CIAT8820</v>
      </c>
      <c r="H259" s="199" t="str">
        <f>'2.1. DM'!H259</f>
        <v>Tephrosia</v>
      </c>
      <c r="I259" s="199" t="str">
        <f>'2.1. DM'!I259</f>
        <v>cinerea</v>
      </c>
      <c r="J259" s="199" t="str">
        <f>'2.1. DM'!J259</f>
        <v>Tephrosia cinerea</v>
      </c>
      <c r="K259" s="199" t="str">
        <f>'2.1. DM'!K259</f>
        <v>Fabaceae</v>
      </c>
      <c r="L259" s="199" t="str">
        <f>'2.1. DM'!L259</f>
        <v>Fabales</v>
      </c>
      <c r="M259" s="199" t="str">
        <f>'2.1. DM'!M259</f>
        <v>Herbaceous</v>
      </c>
      <c r="N259" s="310">
        <f>'2.1. DM'!P259</f>
        <v>95.040991801639635</v>
      </c>
      <c r="O259" s="341">
        <f t="shared" si="180"/>
        <v>95.075740376372266</v>
      </c>
      <c r="P259" s="18">
        <f>'2.1. DM'!R259</f>
        <v>10.526342851185426</v>
      </c>
      <c r="Q259" s="341">
        <f t="shared" si="181"/>
        <v>9.5330240972893527</v>
      </c>
      <c r="R259" s="18">
        <f>'2.1. DM'!T259</f>
        <v>89.473657148814567</v>
      </c>
      <c r="S259" s="341">
        <f t="shared" si="182"/>
        <v>90.466975902710644</v>
      </c>
      <c r="T259" s="30">
        <f>TablePC[[#This Row],[Av DM 105]]</f>
        <v>24.386271311921252</v>
      </c>
      <c r="U259" s="341">
        <f t="shared" si="183"/>
        <v>24.274636894266422</v>
      </c>
      <c r="V259" s="30">
        <f>'2.3 ADF'!Q259</f>
        <v>33.689614466682634</v>
      </c>
      <c r="W259" s="341">
        <f t="shared" ref="W259" si="192">AVERAGE(V259:V260)</f>
        <v>33.639866136112879</v>
      </c>
      <c r="X259" s="30">
        <f>'2.4 NDF'!Q259</f>
        <v>51.844659999045518</v>
      </c>
      <c r="Y259" s="341">
        <f t="shared" si="184"/>
        <v>51.886402127092111</v>
      </c>
    </row>
    <row r="260" spans="3:25" x14ac:dyDescent="0.35">
      <c r="C260" s="199">
        <f>'2.1. DM'!C260</f>
        <v>46062</v>
      </c>
      <c r="D260" s="199" t="str">
        <f>'2.1. DM'!D260</f>
        <v>Genbank</v>
      </c>
      <c r="E260" s="200">
        <f>'2.1. DM'!E260</f>
        <v>30</v>
      </c>
      <c r="F260" s="199" t="str">
        <f>'2.1. DM'!F260</f>
        <v>F260022</v>
      </c>
      <c r="G260" s="199" t="str">
        <f>'2.1. DM'!G260</f>
        <v>CIAT8820</v>
      </c>
      <c r="H260" s="199" t="str">
        <f>'2.1. DM'!H260</f>
        <v>Tephrosia</v>
      </c>
      <c r="I260" s="199" t="str">
        <f>'2.1. DM'!I260</f>
        <v>cinerea</v>
      </c>
      <c r="J260" s="199" t="str">
        <f>'2.1. DM'!J260</f>
        <v>Tephrosia cinerea</v>
      </c>
      <c r="K260" s="199" t="str">
        <f>'2.1. DM'!K260</f>
        <v>Fabaceae</v>
      </c>
      <c r="L260" s="199" t="str">
        <f>'2.1. DM'!L260</f>
        <v>Fabales</v>
      </c>
      <c r="M260" s="199" t="str">
        <f>'2.1. DM'!M260</f>
        <v>Herbaceous</v>
      </c>
      <c r="N260" s="310">
        <f>'2.1. DM'!P260</f>
        <v>95.110488951104898</v>
      </c>
      <c r="O260" s="341"/>
      <c r="P260" s="18">
        <f>'2.1. DM'!R260</f>
        <v>8.5397053433932815</v>
      </c>
      <c r="Q260" s="341"/>
      <c r="R260" s="18">
        <f>'2.1. DM'!T260</f>
        <v>91.46029465660672</v>
      </c>
      <c r="S260" s="341"/>
      <c r="T260" s="30">
        <f>TablePC[[#This Row],[Av DM 105]]</f>
        <v>24.163002476611595</v>
      </c>
      <c r="U260" s="341"/>
      <c r="V260" s="30">
        <f>'2.3 ADF'!Q260</f>
        <v>33.590117805543123</v>
      </c>
      <c r="W260" s="341"/>
      <c r="X260" s="30">
        <f>'2.4 NDF'!Q260</f>
        <v>51.928144255138697</v>
      </c>
      <c r="Y260" s="341"/>
    </row>
    <row r="261" spans="3:25" x14ac:dyDescent="0.35">
      <c r="C261" s="199">
        <f>'2.1. DM'!C261</f>
        <v>46062</v>
      </c>
      <c r="D261" s="199" t="str">
        <f>'2.1. DM'!D261</f>
        <v>Genbank</v>
      </c>
      <c r="E261" s="200">
        <f>'2.1. DM'!E261</f>
        <v>30</v>
      </c>
      <c r="F261" s="199" t="str">
        <f>'2.1. DM'!F261</f>
        <v>F260023</v>
      </c>
      <c r="G261" s="199" t="str">
        <f>'2.1. DM'!G261</f>
        <v>CIAT14080</v>
      </c>
      <c r="H261" s="199" t="str">
        <f>'2.1. DM'!H261</f>
        <v>Zornia</v>
      </c>
      <c r="I261" s="199" t="str">
        <f>'2.1. DM'!I261</f>
        <v>brasiliensis</v>
      </c>
      <c r="J261" s="199" t="str">
        <f>'2.1. DM'!J261</f>
        <v>Zornia brasiliensis</v>
      </c>
      <c r="K261" s="199" t="str">
        <f>'2.1. DM'!K261</f>
        <v>Fabaceae</v>
      </c>
      <c r="L261" s="199" t="str">
        <f>'2.1. DM'!L261</f>
        <v>Fabales</v>
      </c>
      <c r="M261" s="199" t="str">
        <f>'2.1. DM'!M261</f>
        <v>Herbaceous</v>
      </c>
      <c r="N261" s="310">
        <f>'2.1. DM'!P261</f>
        <v>94.68053194680526</v>
      </c>
      <c r="O261" s="341">
        <f t="shared" si="180"/>
        <v>94.725788868823486</v>
      </c>
      <c r="P261" s="18">
        <f>'2.1. DM'!R261</f>
        <v>18.535864821244271</v>
      </c>
      <c r="Q261" s="341">
        <f t="shared" si="181"/>
        <v>18.455778140978239</v>
      </c>
      <c r="R261" s="18">
        <f>'2.1. DM'!T261</f>
        <v>81.464135178755726</v>
      </c>
      <c r="S261" s="341">
        <f t="shared" si="182"/>
        <v>81.544221859021761</v>
      </c>
      <c r="T261" s="30">
        <f>TablePC[[#This Row],[Av DM 105]]</f>
        <v>17.228089047769188</v>
      </c>
      <c r="U261" s="341">
        <f t="shared" si="183"/>
        <v>17.228089047769188</v>
      </c>
      <c r="V261" s="30">
        <f>'2.3 ADF'!Q261</f>
        <v>28.670794113689613</v>
      </c>
      <c r="W261" s="341">
        <f t="shared" ref="W261" si="193">AVERAGE(V261:V262)</f>
        <v>27.717552666771539</v>
      </c>
      <c r="X261" s="30">
        <f>'2.4 NDF'!Q261</f>
        <v>47.668469637077941</v>
      </c>
      <c r="Y261" s="341">
        <f t="shared" si="184"/>
        <v>46.647430661856887</v>
      </c>
    </row>
    <row r="262" spans="3:25" x14ac:dyDescent="0.35">
      <c r="C262" s="199">
        <f>'2.1. DM'!C262</f>
        <v>46062</v>
      </c>
      <c r="D262" s="199" t="str">
        <f>'2.1. DM'!D262</f>
        <v>Genbank</v>
      </c>
      <c r="E262" s="200">
        <f>'2.1. DM'!E262</f>
        <v>30</v>
      </c>
      <c r="F262" s="199" t="str">
        <f>'2.1. DM'!F262</f>
        <v>F260023</v>
      </c>
      <c r="G262" s="199" t="str">
        <f>'2.1. DM'!G262</f>
        <v>CIAT14080</v>
      </c>
      <c r="H262" s="199" t="str">
        <f>'2.1. DM'!H262</f>
        <v>Zornia</v>
      </c>
      <c r="I262" s="199" t="str">
        <f>'2.1. DM'!I262</f>
        <v>brasiliensis</v>
      </c>
      <c r="J262" s="199" t="str">
        <f>'2.1. DM'!J262</f>
        <v>Zornia brasiliensis</v>
      </c>
      <c r="K262" s="199" t="str">
        <f>'2.1. DM'!K262</f>
        <v>Fabaceae</v>
      </c>
      <c r="L262" s="199" t="str">
        <f>'2.1. DM'!L262</f>
        <v>Fabales</v>
      </c>
      <c r="M262" s="199" t="str">
        <f>'2.1. DM'!M262</f>
        <v>Herbaceous</v>
      </c>
      <c r="N262" s="310">
        <f>'2.1. DM'!P262</f>
        <v>94.771045790841725</v>
      </c>
      <c r="O262" s="341"/>
      <c r="P262" s="18">
        <f>'2.1. DM'!R262</f>
        <v>18.375691460712208</v>
      </c>
      <c r="Q262" s="341"/>
      <c r="R262" s="18">
        <f>'2.1. DM'!T262</f>
        <v>81.624308539287796</v>
      </c>
      <c r="S262" s="341"/>
      <c r="T262" s="30">
        <f>TablePC[[#This Row],[Av DM 105]]</f>
        <v>17.228089047769188</v>
      </c>
      <c r="U262" s="341"/>
      <c r="V262" s="30">
        <f>'2.3 ADF'!Q262</f>
        <v>26.764311219853465</v>
      </c>
      <c r="W262" s="341"/>
      <c r="X262" s="30">
        <f>'2.4 NDF'!Q262</f>
        <v>45.626391686635834</v>
      </c>
      <c r="Y262" s="341"/>
    </row>
    <row r="263" spans="3:25" x14ac:dyDescent="0.35">
      <c r="C263" s="199">
        <f>'2.1. DM'!C263</f>
        <v>46062</v>
      </c>
      <c r="D263" s="199" t="str">
        <f>'2.1. DM'!D263</f>
        <v>Genbank</v>
      </c>
      <c r="E263" s="200">
        <f>'2.1. DM'!E263</f>
        <v>30</v>
      </c>
      <c r="F263" s="199" t="str">
        <f>'2.1. DM'!F263</f>
        <v>F260024</v>
      </c>
      <c r="G263" s="199" t="str">
        <f>'2.1. DM'!G263</f>
        <v>CIAT18950</v>
      </c>
      <c r="H263" s="199" t="str">
        <f>'2.1. DM'!H263</f>
        <v>Indigofera</v>
      </c>
      <c r="I263" s="199" t="str">
        <f>'2.1. DM'!I263</f>
        <v>spicata</v>
      </c>
      <c r="J263" s="199" t="str">
        <f>'2.1. DM'!J263</f>
        <v>Indigofera spicata</v>
      </c>
      <c r="K263" s="199" t="str">
        <f>'2.1. DM'!K263</f>
        <v>Fabaceae</v>
      </c>
      <c r="L263" s="199" t="str">
        <f>'2.1. DM'!L263</f>
        <v>Fabales</v>
      </c>
      <c r="M263" s="199" t="str">
        <f>'2.1. DM'!M263</f>
        <v>Herbaceous</v>
      </c>
      <c r="N263" s="310">
        <f>'2.1. DM'!P263</f>
        <v>93.523238380809488</v>
      </c>
      <c r="O263" s="341">
        <f t="shared" si="180"/>
        <v>93.518240879560167</v>
      </c>
      <c r="P263" s="18">
        <f>'2.1. DM'!R263</f>
        <v>16.640837920162411</v>
      </c>
      <c r="Q263" s="341">
        <f t="shared" si="181"/>
        <v>15.892694917971408</v>
      </c>
      <c r="R263" s="18">
        <f>'2.1. DM'!T263</f>
        <v>83.359162079837589</v>
      </c>
      <c r="S263" s="341">
        <f t="shared" si="182"/>
        <v>84.107305082028603</v>
      </c>
      <c r="T263" s="30">
        <f>TablePC[[#This Row],[Av DM 105]]</f>
        <v>21.86273111008844</v>
      </c>
      <c r="U263" s="341">
        <f t="shared" si="183"/>
        <v>21.86273111008844</v>
      </c>
      <c r="V263" s="30">
        <f>'2.3 ADF'!Q263</f>
        <v>31.969867869760549</v>
      </c>
      <c r="W263" s="341">
        <f t="shared" ref="W263" si="194">AVERAGE(V263:V264)</f>
        <v>32.77642575122649</v>
      </c>
      <c r="X263" s="30">
        <f>'2.4 NDF'!Q263</f>
        <v>41.189824276144414</v>
      </c>
      <c r="Y263" s="341">
        <f t="shared" si="184"/>
        <v>41.872432063661066</v>
      </c>
    </row>
    <row r="264" spans="3:25" x14ac:dyDescent="0.35">
      <c r="C264" s="199">
        <f>'2.1. DM'!C264</f>
        <v>46062</v>
      </c>
      <c r="D264" s="199" t="str">
        <f>'2.1. DM'!D264</f>
        <v>Genbank</v>
      </c>
      <c r="E264" s="200">
        <f>'2.1. DM'!E264</f>
        <v>30</v>
      </c>
      <c r="F264" s="199" t="str">
        <f>'2.1. DM'!F264</f>
        <v>F260024</v>
      </c>
      <c r="G264" s="199" t="str">
        <f>'2.1. DM'!G264</f>
        <v>CIAT18950</v>
      </c>
      <c r="H264" s="199" t="str">
        <f>'2.1. DM'!H264</f>
        <v>Indigofera</v>
      </c>
      <c r="I264" s="199" t="str">
        <f>'2.1. DM'!I264</f>
        <v>spicata</v>
      </c>
      <c r="J264" s="199" t="str">
        <f>'2.1. DM'!J264</f>
        <v>Indigofera spicata</v>
      </c>
      <c r="K264" s="199" t="str">
        <f>'2.1. DM'!K264</f>
        <v>Fabaceae</v>
      </c>
      <c r="L264" s="199" t="str">
        <f>'2.1. DM'!L264</f>
        <v>Fabales</v>
      </c>
      <c r="M264" s="199" t="str">
        <f>'2.1. DM'!M264</f>
        <v>Herbaceous</v>
      </c>
      <c r="N264" s="310">
        <f>'2.1. DM'!P264</f>
        <v>93.513243378310847</v>
      </c>
      <c r="O264" s="341"/>
      <c r="P264" s="18">
        <f>'2.1. DM'!R264</f>
        <v>15.144551915780404</v>
      </c>
      <c r="Q264" s="341"/>
      <c r="R264" s="18">
        <f>'2.1. DM'!T264</f>
        <v>84.855448084219603</v>
      </c>
      <c r="S264" s="341"/>
      <c r="T264" s="30">
        <f>TablePC[[#This Row],[Av DM 105]]</f>
        <v>21.86273111008844</v>
      </c>
      <c r="U264" s="341"/>
      <c r="V264" s="30">
        <f>'2.3 ADF'!Q264</f>
        <v>33.582983632692432</v>
      </c>
      <c r="W264" s="341"/>
      <c r="X264" s="30">
        <f>'2.4 NDF'!Q264</f>
        <v>42.555039851177725</v>
      </c>
      <c r="Y264" s="341"/>
    </row>
    <row r="265" spans="3:25" x14ac:dyDescent="0.35">
      <c r="C265" s="199">
        <f>'2.1. DM'!C265</f>
        <v>46062</v>
      </c>
      <c r="D265" s="199" t="str">
        <f>'2.1. DM'!D265</f>
        <v>Genbank</v>
      </c>
      <c r="E265" s="200">
        <f>'2.1. DM'!E265</f>
        <v>30</v>
      </c>
      <c r="F265" s="199" t="str">
        <f>'2.1. DM'!F265</f>
        <v>F260025</v>
      </c>
      <c r="G265" s="199" t="str">
        <f>'2.1. DM'!G265</f>
        <v>CIAT19193</v>
      </c>
      <c r="H265" s="199" t="str">
        <f>'2.1. DM'!H265</f>
        <v>Tephrosia</v>
      </c>
      <c r="I265" s="199" t="str">
        <f>'2.1. DM'!I265</f>
        <v>villosa</v>
      </c>
      <c r="J265" s="199" t="str">
        <f>'2.1. DM'!J265</f>
        <v>Tephrosia villosa</v>
      </c>
      <c r="K265" s="199" t="str">
        <f>'2.1. DM'!K265</f>
        <v>Fabaceae</v>
      </c>
      <c r="L265" s="199" t="str">
        <f>'2.1. DM'!L265</f>
        <v>Fabales</v>
      </c>
      <c r="M265" s="199" t="str">
        <f>'2.1. DM'!M265</f>
        <v>Herbaceous</v>
      </c>
      <c r="N265" s="310">
        <f>'2.1. DM'!P265</f>
        <v>94.321135772845395</v>
      </c>
      <c r="O265" s="341">
        <f t="shared" si="180"/>
        <v>94.331699433803763</v>
      </c>
      <c r="P265" s="18">
        <f>'2.1. DM'!R265</f>
        <v>7.1223738245709916</v>
      </c>
      <c r="Q265" s="341">
        <f t="shared" si="181"/>
        <v>7.1587501527996249</v>
      </c>
      <c r="R265" s="18">
        <f>'2.1. DM'!T265</f>
        <v>92.877626175429015</v>
      </c>
      <c r="S265" s="341">
        <f t="shared" si="182"/>
        <v>92.841249847200373</v>
      </c>
      <c r="T265" s="30">
        <f>TablePC[[#This Row],[Av DM 105]]</f>
        <v>21.657672984512406</v>
      </c>
      <c r="U265" s="341">
        <f t="shared" si="183"/>
        <v>21.657672984512406</v>
      </c>
      <c r="V265" s="30">
        <f>'2.3 ADF'!Q265</f>
        <v>35.022320836995476</v>
      </c>
      <c r="W265" s="341">
        <f t="shared" ref="W265" si="195">AVERAGE(V265:V266)</f>
        <v>35.281397651964426</v>
      </c>
      <c r="X265" s="30">
        <f>'2.4 NDF'!Q265</f>
        <v>57.971077617610824</v>
      </c>
      <c r="Y265" s="341">
        <f t="shared" si="184"/>
        <v>58.061702118847009</v>
      </c>
    </row>
    <row r="266" spans="3:25" x14ac:dyDescent="0.35">
      <c r="C266" s="199">
        <f>'2.1. DM'!C266</f>
        <v>46062</v>
      </c>
      <c r="D266" s="199" t="str">
        <f>'2.1. DM'!D266</f>
        <v>Genbank</v>
      </c>
      <c r="E266" s="200">
        <f>'2.1. DM'!E266</f>
        <v>30</v>
      </c>
      <c r="F266" s="199" t="str">
        <f>'2.1. DM'!F266</f>
        <v>F260025</v>
      </c>
      <c r="G266" s="199" t="str">
        <f>'2.1. DM'!G266</f>
        <v>CIAT19193</v>
      </c>
      <c r="H266" s="199" t="str">
        <f>'2.1. DM'!H266</f>
        <v>Tephrosia</v>
      </c>
      <c r="I266" s="199" t="str">
        <f>'2.1. DM'!I266</f>
        <v>villosa</v>
      </c>
      <c r="J266" s="199" t="str">
        <f>'2.1. DM'!J266</f>
        <v>Tephrosia villosa</v>
      </c>
      <c r="K266" s="199" t="str">
        <f>'2.1. DM'!K266</f>
        <v>Fabaceae</v>
      </c>
      <c r="L266" s="199" t="str">
        <f>'2.1. DM'!L266</f>
        <v>Fabales</v>
      </c>
      <c r="M266" s="199" t="str">
        <f>'2.1. DM'!M266</f>
        <v>Herbaceous</v>
      </c>
      <c r="N266" s="310">
        <f>'2.1. DM'!P266</f>
        <v>94.342263094762131</v>
      </c>
      <c r="O266" s="341"/>
      <c r="P266" s="18">
        <f>'2.1. DM'!R266</f>
        <v>7.1951264810282574</v>
      </c>
      <c r="Q266" s="341"/>
      <c r="R266" s="18">
        <f>'2.1. DM'!T266</f>
        <v>92.804873518971746</v>
      </c>
      <c r="S266" s="341"/>
      <c r="T266" s="30">
        <f>TablePC[[#This Row],[Av DM 105]]</f>
        <v>21.657672984512406</v>
      </c>
      <c r="U266" s="341"/>
      <c r="V266" s="30">
        <f>'2.3 ADF'!Q266</f>
        <v>35.540474466933368</v>
      </c>
      <c r="W266" s="341"/>
      <c r="X266" s="30">
        <f>'2.4 NDF'!Q266</f>
        <v>58.152326620083187</v>
      </c>
      <c r="Y266" s="341"/>
    </row>
    <row r="267" spans="3:25" x14ac:dyDescent="0.35">
      <c r="C267" s="199">
        <f>'2.1. DM'!C267</f>
        <v>46062</v>
      </c>
      <c r="D267" s="199" t="str">
        <f>'2.1. DM'!D267</f>
        <v>Genbank</v>
      </c>
      <c r="E267" s="200">
        <f>'2.1. DM'!E267</f>
        <v>30</v>
      </c>
      <c r="F267" s="199" t="str">
        <f>'2.1. DM'!F267</f>
        <v>F260026</v>
      </c>
      <c r="G267" s="199" t="str">
        <f>'2.1. DM'!G267</f>
        <v>CIAT19641</v>
      </c>
      <c r="H267" s="199" t="str">
        <f>'2.1. DM'!H267</f>
        <v>Tephrosia</v>
      </c>
      <c r="I267" s="199" t="str">
        <f>'2.1. DM'!I267</f>
        <v>purpurea</v>
      </c>
      <c r="J267" s="199" t="str">
        <f>'2.1. DM'!J267</f>
        <v>Tephrosia purpurea</v>
      </c>
      <c r="K267" s="199" t="str">
        <f>'2.1. DM'!K267</f>
        <v>Fabaceae</v>
      </c>
      <c r="L267" s="199" t="str">
        <f>'2.1. DM'!L267</f>
        <v>Fabales</v>
      </c>
      <c r="M267" s="199" t="str">
        <f>'2.1. DM'!M267</f>
        <v>Herbaceous</v>
      </c>
      <c r="N267" s="310">
        <f>'2.1. DM'!P267</f>
        <v>96.061575369852093</v>
      </c>
      <c r="O267" s="341">
        <f t="shared" si="180"/>
        <v>96.046581367453044</v>
      </c>
      <c r="P267" s="18">
        <f>'2.1. DM'!R267</f>
        <v>8.3988135505021813</v>
      </c>
      <c r="Q267" s="341">
        <f t="shared" si="181"/>
        <v>8.3363688400895324</v>
      </c>
      <c r="R267" s="18">
        <f>'2.1. DM'!T267</f>
        <v>91.601186449497817</v>
      </c>
      <c r="S267" s="341">
        <f t="shared" si="182"/>
        <v>91.663631159910466</v>
      </c>
      <c r="T267" s="30">
        <f>TablePC[[#This Row],[Av DM 105]]</f>
        <v>20.316141441952436</v>
      </c>
      <c r="U267" s="341">
        <f t="shared" si="183"/>
        <v>20.316141441952436</v>
      </c>
      <c r="V267" s="30">
        <f>'2.3 ADF'!Q267</f>
        <v>40.37681224259547</v>
      </c>
      <c r="W267" s="341">
        <f t="shared" ref="W267" si="196">AVERAGE(V267:V268)</f>
        <v>40.913699697455087</v>
      </c>
      <c r="X267" s="30">
        <f>'2.4 NDF'!Q267</f>
        <v>61.324563902171192</v>
      </c>
      <c r="Y267" s="341">
        <f t="shared" si="184"/>
        <v>61.486896658344627</v>
      </c>
    </row>
    <row r="268" spans="3:25" x14ac:dyDescent="0.35">
      <c r="C268" s="199">
        <f>'2.1. DM'!C268</f>
        <v>46062</v>
      </c>
      <c r="D268" s="199" t="str">
        <f>'2.1. DM'!D268</f>
        <v>Genbank</v>
      </c>
      <c r="E268" s="200">
        <f>'2.1. DM'!E268</f>
        <v>30</v>
      </c>
      <c r="F268" s="199" t="str">
        <f>'2.1. DM'!F268</f>
        <v>F260026</v>
      </c>
      <c r="G268" s="199" t="str">
        <f>'2.1. DM'!G268</f>
        <v>CIAT19641</v>
      </c>
      <c r="H268" s="199" t="str">
        <f>'2.1. DM'!H268</f>
        <v>Tephrosia</v>
      </c>
      <c r="I268" s="199" t="str">
        <f>'2.1. DM'!I268</f>
        <v>purpurea</v>
      </c>
      <c r="J268" s="199" t="str">
        <f>'2.1. DM'!J268</f>
        <v>Tephrosia purpurea</v>
      </c>
      <c r="K268" s="199" t="str">
        <f>'2.1. DM'!K268</f>
        <v>Fabaceae</v>
      </c>
      <c r="L268" s="199" t="str">
        <f>'2.1. DM'!L268</f>
        <v>Fabales</v>
      </c>
      <c r="M268" s="199" t="str">
        <f>'2.1. DM'!M268</f>
        <v>Herbaceous</v>
      </c>
      <c r="N268" s="310">
        <f>'2.1. DM'!P268</f>
        <v>96.031587365053994</v>
      </c>
      <c r="O268" s="341"/>
      <c r="P268" s="18">
        <f>'2.1. DM'!R268</f>
        <v>8.2739241296768835</v>
      </c>
      <c r="Q268" s="341"/>
      <c r="R268" s="18">
        <f>'2.1. DM'!T268</f>
        <v>91.726075870323115</v>
      </c>
      <c r="S268" s="341"/>
      <c r="T268" s="30">
        <f>TablePC[[#This Row],[Av DM 105]]</f>
        <v>20.316141441952436</v>
      </c>
      <c r="U268" s="341"/>
      <c r="V268" s="30">
        <f>'2.3 ADF'!Q268</f>
        <v>41.450587152314696</v>
      </c>
      <c r="W268" s="341"/>
      <c r="X268" s="30">
        <f>'2.4 NDF'!Q268</f>
        <v>61.649229414518061</v>
      </c>
      <c r="Y268" s="341"/>
    </row>
    <row r="269" spans="3:25" x14ac:dyDescent="0.35">
      <c r="C269" s="199">
        <f>'2.1. DM'!C269</f>
        <v>46062</v>
      </c>
      <c r="D269" s="199" t="str">
        <f>'2.1. DM'!D269</f>
        <v>Genbank</v>
      </c>
      <c r="E269" s="200">
        <f>'2.1. DM'!E269</f>
        <v>30</v>
      </c>
      <c r="F269" s="199" t="str">
        <f>'2.1. DM'!F269</f>
        <v>F260027</v>
      </c>
      <c r="G269" s="199" t="str">
        <f>'2.1. DM'!G269</f>
        <v>CIAT23503</v>
      </c>
      <c r="H269" s="199" t="str">
        <f>'2.1. DM'!H269</f>
        <v>Desmodium</v>
      </c>
      <c r="I269" s="199" t="str">
        <f>'2.1. DM'!I269</f>
        <v>macrodesmum</v>
      </c>
      <c r="J269" s="199" t="str">
        <f>'2.1. DM'!J269</f>
        <v>Desmodium macrodesmum</v>
      </c>
      <c r="K269" s="199" t="str">
        <f>'2.1. DM'!K269</f>
        <v>Fabaceae</v>
      </c>
      <c r="L269" s="199" t="str">
        <f>'2.1. DM'!L269</f>
        <v>Fabales</v>
      </c>
      <c r="M269" s="199" t="str">
        <f>'2.1. DM'!M269</f>
        <v>Herbaceous</v>
      </c>
      <c r="N269" s="310">
        <f>'2.1. DM'!P269</f>
        <v>93.353323338330938</v>
      </c>
      <c r="O269" s="341">
        <f t="shared" si="180"/>
        <v>93.327331535192229</v>
      </c>
      <c r="P269" s="18">
        <f>'2.1. DM'!R269</f>
        <v>12.273224440419266</v>
      </c>
      <c r="Q269" s="341">
        <f t="shared" si="181"/>
        <v>13.223150703368908</v>
      </c>
      <c r="R269" s="18">
        <f>'2.1. DM'!T269</f>
        <v>87.72677555958073</v>
      </c>
      <c r="S269" s="341">
        <f t="shared" si="182"/>
        <v>86.776849296631099</v>
      </c>
      <c r="T269" s="30">
        <f>TablePC[[#This Row],[Av DM 105]]</f>
        <v>20.344312159338216</v>
      </c>
      <c r="U269" s="341">
        <f t="shared" si="183"/>
        <v>20.344312159338216</v>
      </c>
      <c r="V269" s="30">
        <f>'2.3 ADF'!Q269</f>
        <v>40.546843005904165</v>
      </c>
      <c r="W269" s="341">
        <f t="shared" ref="W269" si="197">AVERAGE(V269:V270)</f>
        <v>40.307463209652106</v>
      </c>
      <c r="X269" s="30">
        <f>'2.4 NDF'!Q269</f>
        <v>56.177767238199074</v>
      </c>
      <c r="Y269" s="341">
        <f t="shared" si="184"/>
        <v>55.641383367036482</v>
      </c>
    </row>
    <row r="270" spans="3:25" x14ac:dyDescent="0.35">
      <c r="C270" s="199">
        <f>'2.1. DM'!C270</f>
        <v>46062</v>
      </c>
      <c r="D270" s="199" t="str">
        <f>'2.1. DM'!D270</f>
        <v>Genbank</v>
      </c>
      <c r="E270" s="200">
        <f>'2.1. DM'!E270</f>
        <v>30</v>
      </c>
      <c r="F270" s="199" t="str">
        <f>'2.1. DM'!F270</f>
        <v>F260027</v>
      </c>
      <c r="G270" s="199" t="str">
        <f>'2.1. DM'!G270</f>
        <v>CIAT23503</v>
      </c>
      <c r="H270" s="199" t="str">
        <f>'2.1. DM'!H270</f>
        <v>Desmodium</v>
      </c>
      <c r="I270" s="199" t="str">
        <f>'2.1. DM'!I270</f>
        <v>macrodesmum</v>
      </c>
      <c r="J270" s="199" t="str">
        <f>'2.1. DM'!J270</f>
        <v>Desmodium macrodesmum</v>
      </c>
      <c r="K270" s="199" t="str">
        <f>'2.1. DM'!K270</f>
        <v>Fabaceae</v>
      </c>
      <c r="L270" s="199" t="str">
        <f>'2.1. DM'!L270</f>
        <v>Fabales</v>
      </c>
      <c r="M270" s="199" t="str">
        <f>'2.1. DM'!M270</f>
        <v>Herbaceous</v>
      </c>
      <c r="N270" s="310">
        <f>'2.1. DM'!P270</f>
        <v>93.30133973205352</v>
      </c>
      <c r="O270" s="341"/>
      <c r="P270" s="18">
        <f>'2.1. DM'!R270</f>
        <v>14.173076966318551</v>
      </c>
      <c r="Q270" s="341"/>
      <c r="R270" s="18">
        <f>'2.1. DM'!T270</f>
        <v>85.826923033681453</v>
      </c>
      <c r="S270" s="341"/>
      <c r="T270" s="30">
        <f>TablePC[[#This Row],[Av DM 105]]</f>
        <v>20.344312159338216</v>
      </c>
      <c r="U270" s="341"/>
      <c r="V270" s="30">
        <f>'2.3 ADF'!Q270</f>
        <v>40.068083413400046</v>
      </c>
      <c r="W270" s="341"/>
      <c r="X270" s="30">
        <f>'2.4 NDF'!Q270</f>
        <v>55.104999495873884</v>
      </c>
      <c r="Y270" s="341"/>
    </row>
    <row r="271" spans="3:25" x14ac:dyDescent="0.35">
      <c r="C271" s="199">
        <f>'2.1. DM'!C271</f>
        <v>46062</v>
      </c>
      <c r="D271" s="199" t="str">
        <f>'2.1. DM'!D271</f>
        <v>Genbank</v>
      </c>
      <c r="E271" s="200">
        <f>'2.1. DM'!E271</f>
        <v>30</v>
      </c>
      <c r="F271" s="199" t="str">
        <f>'2.1. DM'!F271</f>
        <v>F260028</v>
      </c>
      <c r="G271" s="199" t="str">
        <f>'2.1. DM'!G271</f>
        <v>CIAT24333</v>
      </c>
      <c r="H271" s="199" t="str">
        <f>'2.1. DM'!H271</f>
        <v>Macroptilium</v>
      </c>
      <c r="I271" s="199" t="str">
        <f>'2.1. DM'!I271</f>
        <v>bracteatum</v>
      </c>
      <c r="J271" s="199" t="str">
        <f>'2.1. DM'!J271</f>
        <v>Macroptilium bracteatum</v>
      </c>
      <c r="K271" s="199" t="str">
        <f>'2.1. DM'!K271</f>
        <v>Fabaceae</v>
      </c>
      <c r="L271" s="199" t="str">
        <f>'2.1. DM'!L271</f>
        <v>Fabales</v>
      </c>
      <c r="M271" s="199" t="str">
        <f>'2.1. DM'!M271</f>
        <v>Herbaceous</v>
      </c>
      <c r="N271" s="310">
        <f>'2.1. DM'!P271</f>
        <v>94.361691492552168</v>
      </c>
      <c r="O271" s="341">
        <f t="shared" si="180"/>
        <v>94.412230054122119</v>
      </c>
      <c r="P271" s="18">
        <f>'2.1. DM'!R271</f>
        <v>9.7945211409043722</v>
      </c>
      <c r="Q271" s="341">
        <f t="shared" si="181"/>
        <v>9.692969907408278</v>
      </c>
      <c r="R271" s="18">
        <f>'2.1. DM'!T271</f>
        <v>90.205478859095621</v>
      </c>
      <c r="S271" s="341">
        <f t="shared" si="182"/>
        <v>90.307030092591717</v>
      </c>
      <c r="T271" s="30">
        <f>TablePC[[#This Row],[Av DM 105]]</f>
        <v>15.853006438401252</v>
      </c>
      <c r="U271" s="341">
        <f t="shared" si="183"/>
        <v>15.853006438401252</v>
      </c>
      <c r="V271" s="30">
        <f>'2.3 ADF'!Q271</f>
        <v>35.604784189325848</v>
      </c>
      <c r="W271" s="341">
        <f t="shared" ref="W271" si="198">AVERAGE(V271:V272)</f>
        <v>35.226786536406635</v>
      </c>
      <c r="X271" s="30">
        <f>'2.4 NDF'!Q271</f>
        <v>55.383472337284367</v>
      </c>
      <c r="Y271" s="341">
        <f t="shared" si="184"/>
        <v>55.050178125569353</v>
      </c>
    </row>
    <row r="272" spans="3:25" x14ac:dyDescent="0.35">
      <c r="C272" s="199">
        <f>'2.1. DM'!C272</f>
        <v>46062</v>
      </c>
      <c r="D272" s="199" t="str">
        <f>'2.1. DM'!D272</f>
        <v>Genbank</v>
      </c>
      <c r="E272" s="200">
        <f>'2.1. DM'!E272</f>
        <v>30</v>
      </c>
      <c r="F272" s="199" t="str">
        <f>'2.1. DM'!F272</f>
        <v>F260028</v>
      </c>
      <c r="G272" s="199" t="str">
        <f>'2.1. DM'!G272</f>
        <v>CIAT24333</v>
      </c>
      <c r="H272" s="199" t="str">
        <f>'2.1. DM'!H272</f>
        <v>Macroptilium</v>
      </c>
      <c r="I272" s="199" t="str">
        <f>'2.1. DM'!I272</f>
        <v>bracteatum</v>
      </c>
      <c r="J272" s="199" t="str">
        <f>'2.1. DM'!J272</f>
        <v>Macroptilium bracteatum</v>
      </c>
      <c r="K272" s="199" t="str">
        <f>'2.1. DM'!K272</f>
        <v>Fabaceae</v>
      </c>
      <c r="L272" s="199" t="str">
        <f>'2.1. DM'!L272</f>
        <v>Fabales</v>
      </c>
      <c r="M272" s="199" t="str">
        <f>'2.1. DM'!M272</f>
        <v>Herbaceous</v>
      </c>
      <c r="N272" s="310">
        <f>'2.1. DM'!P272</f>
        <v>94.46276861569207</v>
      </c>
      <c r="O272" s="341"/>
      <c r="P272" s="18">
        <f>'2.1. DM'!R272</f>
        <v>9.5914186739121838</v>
      </c>
      <c r="Q272" s="341"/>
      <c r="R272" s="18">
        <f>'2.1. DM'!T272</f>
        <v>90.408581326087813</v>
      </c>
      <c r="S272" s="341"/>
      <c r="T272" s="30">
        <f>TablePC[[#This Row],[Av DM 105]]</f>
        <v>15.853006438401252</v>
      </c>
      <c r="U272" s="341"/>
      <c r="V272" s="30">
        <f>'2.3 ADF'!Q272</f>
        <v>34.848788883487423</v>
      </c>
      <c r="W272" s="341"/>
      <c r="X272" s="30">
        <f>'2.4 NDF'!Q272</f>
        <v>54.716883913854339</v>
      </c>
      <c r="Y272" s="341"/>
    </row>
    <row r="273" spans="3:25" x14ac:dyDescent="0.35">
      <c r="C273" s="199">
        <f>'2.1. DM'!C273</f>
        <v>46062</v>
      </c>
      <c r="D273" s="199" t="str">
        <f>'2.1. DM'!D273</f>
        <v>Genbank</v>
      </c>
      <c r="E273" s="200">
        <f>'2.1. DM'!E273</f>
        <v>30</v>
      </c>
      <c r="F273" s="199" t="str">
        <f>'2.1. DM'!F273</f>
        <v>F260029</v>
      </c>
      <c r="G273" s="199" t="str">
        <f>'2.1. DM'!G273</f>
        <v>CIAT33235</v>
      </c>
      <c r="H273" s="199" t="str">
        <f>'2.1. DM'!H273</f>
        <v>Desmodium</v>
      </c>
      <c r="I273" s="199" t="str">
        <f>'2.1. DM'!I273</f>
        <v>scorpiurus</v>
      </c>
      <c r="J273" s="199" t="str">
        <f>'2.1. DM'!J273</f>
        <v>Desmodium scorpiurus</v>
      </c>
      <c r="K273" s="199" t="str">
        <f>'2.1. DM'!K273</f>
        <v>Fabaceae</v>
      </c>
      <c r="L273" s="199" t="str">
        <f>'2.1. DM'!L273</f>
        <v>Fabales</v>
      </c>
      <c r="M273" s="199" t="str">
        <f>'2.1. DM'!M273</f>
        <v>Herbaceous</v>
      </c>
      <c r="N273" s="310">
        <f>'2.1. DM'!P273</f>
        <v>93.253373313343488</v>
      </c>
      <c r="O273" s="341">
        <f t="shared" si="180"/>
        <v>93.331686656671707</v>
      </c>
      <c r="P273" s="18">
        <f>'2.1. DM'!R273</f>
        <v>15.720988437871682</v>
      </c>
      <c r="Q273" s="341">
        <f t="shared" si="181"/>
        <v>15.451699578871871</v>
      </c>
      <c r="R273" s="18">
        <f>'2.1. DM'!T273</f>
        <v>84.279011562128318</v>
      </c>
      <c r="S273" s="341">
        <f t="shared" si="182"/>
        <v>84.548300421128118</v>
      </c>
      <c r="T273" s="30">
        <f>TablePC[[#This Row],[Av DM 105]]</f>
        <v>20.052274661550623</v>
      </c>
      <c r="U273" s="341">
        <f t="shared" si="183"/>
        <v>20.052274661550623</v>
      </c>
      <c r="V273" s="30">
        <f>'2.3 ADF'!Q273</f>
        <v>42.487580164434476</v>
      </c>
      <c r="W273" s="341">
        <f t="shared" ref="W273" si="199">AVERAGE(V273:V274)</f>
        <v>43.50623775271827</v>
      </c>
      <c r="X273" s="30">
        <f>'2.4 NDF'!Q273</f>
        <v>55.285780588679145</v>
      </c>
      <c r="Y273" s="341">
        <f t="shared" si="184"/>
        <v>56.613925342025382</v>
      </c>
    </row>
    <row r="274" spans="3:25" x14ac:dyDescent="0.35">
      <c r="C274" s="199">
        <f>'2.1. DM'!C274</f>
        <v>46062</v>
      </c>
      <c r="D274" s="199" t="str">
        <f>'2.1. DM'!D274</f>
        <v>Genbank</v>
      </c>
      <c r="E274" s="200">
        <f>'2.1. DM'!E274</f>
        <v>30</v>
      </c>
      <c r="F274" s="199" t="str">
        <f>'2.1. DM'!F274</f>
        <v>F260029</v>
      </c>
      <c r="G274" s="199" t="str">
        <f>'2.1. DM'!G274</f>
        <v>CIAT33235</v>
      </c>
      <c r="H274" s="199" t="str">
        <f>'2.1. DM'!H274</f>
        <v>Desmodium</v>
      </c>
      <c r="I274" s="199" t="str">
        <f>'2.1. DM'!I274</f>
        <v>scorpiurus</v>
      </c>
      <c r="J274" s="199" t="str">
        <f>'2.1. DM'!J274</f>
        <v>Desmodium scorpiurus</v>
      </c>
      <c r="K274" s="199" t="str">
        <f>'2.1. DM'!K274</f>
        <v>Fabaceae</v>
      </c>
      <c r="L274" s="199" t="str">
        <f>'2.1. DM'!L274</f>
        <v>Fabales</v>
      </c>
      <c r="M274" s="199" t="str">
        <f>'2.1. DM'!M274</f>
        <v>Herbaceous</v>
      </c>
      <c r="N274" s="310">
        <f>'2.1. DM'!P274</f>
        <v>93.409999999999911</v>
      </c>
      <c r="O274" s="341"/>
      <c r="P274" s="18">
        <f>'2.1. DM'!R274</f>
        <v>15.182410719872061</v>
      </c>
      <c r="Q274" s="341"/>
      <c r="R274" s="18">
        <f>'2.1. DM'!T274</f>
        <v>84.817589280127933</v>
      </c>
      <c r="S274" s="341"/>
      <c r="T274" s="30">
        <f>TablePC[[#This Row],[Av DM 105]]</f>
        <v>20.052274661550623</v>
      </c>
      <c r="U274" s="341"/>
      <c r="V274" s="30">
        <f>'2.3 ADF'!Q274</f>
        <v>44.524895341002065</v>
      </c>
      <c r="W274" s="341"/>
      <c r="X274" s="30">
        <f>'2.4 NDF'!Q274</f>
        <v>57.942070095371619</v>
      </c>
      <c r="Y274" s="341"/>
    </row>
    <row r="275" spans="3:25" x14ac:dyDescent="0.35">
      <c r="C275" s="199">
        <f>'2.1. DM'!C275</f>
        <v>46062</v>
      </c>
      <c r="D275" s="199" t="str">
        <f>'2.1. DM'!D275</f>
        <v>Genbank</v>
      </c>
      <c r="E275" s="200">
        <f>'2.1. DM'!E275</f>
        <v>30</v>
      </c>
      <c r="F275" s="199" t="str">
        <f>'2.1. DM'!F275</f>
        <v>F260030</v>
      </c>
      <c r="G275" s="199" t="str">
        <f>'2.1. DM'!G275</f>
        <v>CIAT33605</v>
      </c>
      <c r="H275" s="199" t="str">
        <f>'2.1. DM'!H275</f>
        <v>Desmodium</v>
      </c>
      <c r="I275" s="199" t="str">
        <f>'2.1. DM'!I275</f>
        <v>sandwicense x intortum</v>
      </c>
      <c r="J275" s="199" t="str">
        <f>'2.1. DM'!J275</f>
        <v>Desmodium sandwicense x intortum</v>
      </c>
      <c r="K275" s="199" t="str">
        <f>'2.1. DM'!K275</f>
        <v>Fabaceae</v>
      </c>
      <c r="L275" s="199" t="str">
        <f>'2.1. DM'!L275</f>
        <v>Fabales</v>
      </c>
      <c r="M275" s="199" t="str">
        <f>'2.1. DM'!M275</f>
        <v>Herbaceous</v>
      </c>
      <c r="N275" s="310">
        <f>'2.1. DM'!P275</f>
        <v>95.592203898051025</v>
      </c>
      <c r="O275" s="341">
        <f t="shared" si="180"/>
        <v>95.552448141310151</v>
      </c>
      <c r="P275" s="18">
        <f>'2.1. DM'!R275</f>
        <v>11.087840086532799</v>
      </c>
      <c r="Q275" s="341">
        <f t="shared" si="181"/>
        <v>10.574786152999778</v>
      </c>
      <c r="R275" s="18">
        <f>'2.1. DM'!T275</f>
        <v>88.912159913467207</v>
      </c>
      <c r="S275" s="341">
        <f t="shared" si="182"/>
        <v>89.425213847000222</v>
      </c>
      <c r="T275" s="30">
        <f>TablePC[[#This Row],[Av DM 105]]</f>
        <v>19.3223043607377</v>
      </c>
      <c r="U275" s="341">
        <f t="shared" si="183"/>
        <v>19.3223043607377</v>
      </c>
      <c r="V275" s="30">
        <f>'2.3 ADF'!Q275</f>
        <v>46.64076046802041</v>
      </c>
      <c r="W275" s="341">
        <f t="shared" ref="W275" si="200">AVERAGE(V275:V276)</f>
        <v>46.455608529818591</v>
      </c>
      <c r="X275" s="30">
        <f>'2.4 NDF'!Q275</f>
        <v>60.381814525746833</v>
      </c>
      <c r="Y275" s="341">
        <f t="shared" si="184"/>
        <v>59.612076683956346</v>
      </c>
    </row>
    <row r="276" spans="3:25" x14ac:dyDescent="0.35">
      <c r="C276" s="199">
        <f>'2.1. DM'!C276</f>
        <v>46062</v>
      </c>
      <c r="D276" s="199" t="str">
        <f>'2.1. DM'!D276</f>
        <v>Genbank</v>
      </c>
      <c r="E276" s="200">
        <f>'2.1. DM'!E276</f>
        <v>30</v>
      </c>
      <c r="F276" s="199" t="str">
        <f>'2.1. DM'!F276</f>
        <v>F260030</v>
      </c>
      <c r="G276" s="199" t="str">
        <f>'2.1. DM'!G276</f>
        <v>CIAT33605</v>
      </c>
      <c r="H276" s="199" t="str">
        <f>'2.1. DM'!H276</f>
        <v>Desmodium</v>
      </c>
      <c r="I276" s="199" t="str">
        <f>'2.1. DM'!I276</f>
        <v>sandwicense x intortum</v>
      </c>
      <c r="J276" s="199" t="str">
        <f>'2.1. DM'!J276</f>
        <v>Desmodium sandwicense x intortum</v>
      </c>
      <c r="K276" s="199" t="str">
        <f>'2.1. DM'!K276</f>
        <v>Fabaceae</v>
      </c>
      <c r="L276" s="199" t="str">
        <f>'2.1. DM'!L276</f>
        <v>Fabales</v>
      </c>
      <c r="M276" s="199" t="str">
        <f>'2.1. DM'!M276</f>
        <v>Herbaceous</v>
      </c>
      <c r="N276" s="310">
        <f>'2.1. DM'!P276</f>
        <v>95.512692384569291</v>
      </c>
      <c r="O276" s="341"/>
      <c r="P276" s="18">
        <f>'2.1. DM'!R276</f>
        <v>10.061732219466755</v>
      </c>
      <c r="Q276" s="341"/>
      <c r="R276" s="18">
        <f>'2.1. DM'!T276</f>
        <v>89.938267780533238</v>
      </c>
      <c r="S276" s="341"/>
      <c r="T276" s="30">
        <f>TablePC[[#This Row],[Av DM 105]]</f>
        <v>19.3223043607377</v>
      </c>
      <c r="U276" s="341"/>
      <c r="V276" s="30">
        <f>'2.3 ADF'!Q276</f>
        <v>46.270456591616771</v>
      </c>
      <c r="W276" s="341"/>
      <c r="X276" s="30">
        <f>'2.4 NDF'!Q276</f>
        <v>58.842338842165852</v>
      </c>
      <c r="Y276" s="341"/>
    </row>
    <row r="277" spans="3:25" x14ac:dyDescent="0.35">
      <c r="C277" s="199">
        <f>'2.1. DM'!C277</f>
        <v>46062</v>
      </c>
      <c r="D277" s="199" t="str">
        <f>'2.1. DM'!D277</f>
        <v>Genbank</v>
      </c>
      <c r="E277" s="200">
        <f>'2.1. DM'!E277</f>
        <v>30</v>
      </c>
      <c r="F277" s="199" t="str">
        <f>'2.1. DM'!F277</f>
        <v>F260031</v>
      </c>
      <c r="G277" s="199" t="str">
        <f>'2.1. DM'!G277</f>
        <v>CIAT34144</v>
      </c>
      <c r="H277" s="199" t="str">
        <f>'2.1. DM'!H277</f>
        <v>Vigna</v>
      </c>
      <c r="I277" s="199" t="str">
        <f>'2.1. DM'!I277</f>
        <v>radiata</v>
      </c>
      <c r="J277" s="199" t="str">
        <f>'2.1. DM'!J277</f>
        <v>Vigna radiata</v>
      </c>
      <c r="K277" s="199" t="str">
        <f>'2.1. DM'!K277</f>
        <v>Fabaceae</v>
      </c>
      <c r="L277" s="199" t="str">
        <f>'2.1. DM'!L277</f>
        <v>Fabales</v>
      </c>
      <c r="M277" s="199" t="str">
        <f>'2.1. DM'!M277</f>
        <v>Herbaceous</v>
      </c>
      <c r="N277" s="310">
        <f>'2.1. DM'!P277</f>
        <v>90.842747175847222</v>
      </c>
      <c r="O277" s="341">
        <f t="shared" si="180"/>
        <v>90.898634957238954</v>
      </c>
      <c r="P277" s="18">
        <f>'2.1. DM'!R277</f>
        <v>11.404890665186485</v>
      </c>
      <c r="Q277" s="341">
        <f t="shared" si="181"/>
        <v>11.678644931879287</v>
      </c>
      <c r="R277" s="18">
        <f>'2.1. DM'!T277</f>
        <v>88.595109334813515</v>
      </c>
      <c r="S277" s="341">
        <f t="shared" si="182"/>
        <v>88.32135506812071</v>
      </c>
      <c r="T277" s="30">
        <f>TablePC[[#This Row],[Av DM 105]]</f>
        <v>24.930335875406787</v>
      </c>
      <c r="U277" s="341">
        <f t="shared" si="183"/>
        <v>24.930335875406787</v>
      </c>
      <c r="V277" s="30">
        <f>'2.3 ADF'!Q277</f>
        <v>21.642607364578097</v>
      </c>
      <c r="W277" s="341">
        <f t="shared" ref="W277" si="201">AVERAGE(V277:V278)</f>
        <v>21.590427688895382</v>
      </c>
      <c r="X277" s="30">
        <f>'2.4 NDF'!Q277</f>
        <v>49.038547877548609</v>
      </c>
      <c r="Y277" s="341">
        <f t="shared" si="184"/>
        <v>48.928084705065999</v>
      </c>
    </row>
    <row r="278" spans="3:25" x14ac:dyDescent="0.35">
      <c r="C278" s="199">
        <f>'2.1. DM'!C278</f>
        <v>46062</v>
      </c>
      <c r="D278" s="199" t="str">
        <f>'2.1. DM'!D278</f>
        <v>Genbank</v>
      </c>
      <c r="E278" s="200">
        <f>'2.1. DM'!E278</f>
        <v>30</v>
      </c>
      <c r="F278" s="199" t="str">
        <f>'2.1. DM'!F278</f>
        <v>F260031</v>
      </c>
      <c r="G278" s="199" t="str">
        <f>'2.1. DM'!G278</f>
        <v>CIAT34144</v>
      </c>
      <c r="H278" s="199" t="str">
        <f>'2.1. DM'!H278</f>
        <v>Vigna</v>
      </c>
      <c r="I278" s="199" t="str">
        <f>'2.1. DM'!I278</f>
        <v>radiata</v>
      </c>
      <c r="J278" s="199" t="str">
        <f>'2.1. DM'!J278</f>
        <v>Vigna radiata</v>
      </c>
      <c r="K278" s="199" t="str">
        <f>'2.1. DM'!K278</f>
        <v>Fabaceae</v>
      </c>
      <c r="L278" s="199" t="str">
        <f>'2.1. DM'!L278</f>
        <v>Fabales</v>
      </c>
      <c r="M278" s="199" t="str">
        <f>'2.1. DM'!M278</f>
        <v>Herbaceous</v>
      </c>
      <c r="N278" s="310">
        <f>'2.1. DM'!P278</f>
        <v>90.9545227386307</v>
      </c>
      <c r="O278" s="341"/>
      <c r="P278" s="18">
        <f>'2.1. DM'!R278</f>
        <v>11.95239919857209</v>
      </c>
      <c r="Q278" s="341"/>
      <c r="R278" s="18">
        <f>'2.1. DM'!T278</f>
        <v>88.047600801427905</v>
      </c>
      <c r="S278" s="341"/>
      <c r="T278" s="30">
        <f>TablePC[[#This Row],[Av DM 105]]</f>
        <v>24.930335875406787</v>
      </c>
      <c r="U278" s="341"/>
      <c r="V278" s="30">
        <f>'2.3 ADF'!Q278</f>
        <v>21.538248013212669</v>
      </c>
      <c r="W278" s="341"/>
      <c r="X278" s="30">
        <f>'2.4 NDF'!Q278</f>
        <v>48.817621532583395</v>
      </c>
      <c r="Y278" s="341"/>
    </row>
    <row r="279" spans="3:25" x14ac:dyDescent="0.35">
      <c r="C279" s="199">
        <f>'2.1. DM'!C279</f>
        <v>46062</v>
      </c>
      <c r="D279" s="199" t="str">
        <f>'2.1. DM'!D279</f>
        <v>Genbank</v>
      </c>
      <c r="E279" s="200">
        <f>'2.1. DM'!E279</f>
        <v>30</v>
      </c>
      <c r="F279" s="199" t="str">
        <f>'2.1. DM'!F279</f>
        <v>F260032</v>
      </c>
      <c r="G279" s="199" t="str">
        <f>'2.1. DM'!G279</f>
        <v>CIAT7934</v>
      </c>
      <c r="H279" s="199" t="str">
        <f>'2.1. DM'!H279</f>
        <v>Sesbania</v>
      </c>
      <c r="I279" s="199" t="str">
        <f>'2.1. DM'!I279</f>
        <v>sesban</v>
      </c>
      <c r="J279" s="199" t="str">
        <f>'2.1. DM'!J279</f>
        <v>Sesbania sesban</v>
      </c>
      <c r="K279" s="199" t="str">
        <f>'2.1. DM'!K279</f>
        <v>Fabaceae</v>
      </c>
      <c r="L279" s="199" t="str">
        <f>'2.1. DM'!L279</f>
        <v>Fabales</v>
      </c>
      <c r="M279" s="199" t="str">
        <f>'2.1. DM'!M279</f>
        <v>Shurb_Tree</v>
      </c>
      <c r="N279" s="310">
        <f>'2.1. DM'!P279</f>
        <v>96.332200679592319</v>
      </c>
      <c r="O279" s="341">
        <f t="shared" si="180"/>
        <v>96.466440271809788</v>
      </c>
      <c r="P279" s="18">
        <f>'2.1. DM'!R279</f>
        <v>15.022120828796441</v>
      </c>
      <c r="Q279" s="341">
        <f t="shared" si="181"/>
        <v>12.957461458485808</v>
      </c>
      <c r="R279" s="18">
        <f>'2.1. DM'!T279</f>
        <v>84.977879171203554</v>
      </c>
      <c r="S279" s="341">
        <f t="shared" si="182"/>
        <v>87.04253854151419</v>
      </c>
      <c r="T279" s="30">
        <f>TablePC[[#This Row],[Av DM 105]]</f>
        <v>26.701514501639117</v>
      </c>
      <c r="U279" s="341">
        <f t="shared" si="183"/>
        <v>26.817681002087667</v>
      </c>
      <c r="V279" s="30">
        <f>'2.3 ADF'!Q279</f>
        <v>19.533611757771677</v>
      </c>
      <c r="W279" s="341">
        <f t="shared" ref="W279" si="202">AVERAGE(V279:V280)</f>
        <v>19.256703399431906</v>
      </c>
      <c r="X279" s="30">
        <f>'2.4 NDF'!Q279</f>
        <v>48.269248062930053</v>
      </c>
      <c r="Y279" s="341">
        <f t="shared" si="184"/>
        <v>48.672317459786278</v>
      </c>
    </row>
    <row r="280" spans="3:25" x14ac:dyDescent="0.35">
      <c r="C280" s="199">
        <f>'2.1. DM'!C280</f>
        <v>46062</v>
      </c>
      <c r="D280" s="199" t="str">
        <f>'2.1. DM'!D280</f>
        <v>Genbank</v>
      </c>
      <c r="E280" s="200">
        <f>'2.1. DM'!E280</f>
        <v>30</v>
      </c>
      <c r="F280" s="199" t="str">
        <f>'2.1. DM'!F280</f>
        <v>F260032</v>
      </c>
      <c r="G280" s="199" t="str">
        <f>'2.1. DM'!G280</f>
        <v>CIAT7934</v>
      </c>
      <c r="H280" s="199" t="str">
        <f>'2.1. DM'!H280</f>
        <v>Sesbania</v>
      </c>
      <c r="I280" s="199" t="str">
        <f>'2.1. DM'!I280</f>
        <v>sesban</v>
      </c>
      <c r="J280" s="199" t="str">
        <f>'2.1. DM'!J280</f>
        <v>Sesbania sesban</v>
      </c>
      <c r="K280" s="199" t="str">
        <f>'2.1. DM'!K280</f>
        <v>Fabaceae</v>
      </c>
      <c r="L280" s="199" t="str">
        <f>'2.1. DM'!L280</f>
        <v>Fabales</v>
      </c>
      <c r="M280" s="199" t="str">
        <f>'2.1. DM'!M280</f>
        <v>Shurb_Tree</v>
      </c>
      <c r="N280" s="310">
        <f>'2.1. DM'!P280</f>
        <v>96.600679864027256</v>
      </c>
      <c r="O280" s="341"/>
      <c r="P280" s="18">
        <f>'2.1. DM'!R280</f>
        <v>10.892802088175175</v>
      </c>
      <c r="Q280" s="341"/>
      <c r="R280" s="18">
        <f>'2.1. DM'!T280</f>
        <v>89.107197911824827</v>
      </c>
      <c r="S280" s="341"/>
      <c r="T280" s="30">
        <f>TablePC[[#This Row],[Av DM 105]]</f>
        <v>26.933847502536214</v>
      </c>
      <c r="U280" s="341"/>
      <c r="V280" s="30">
        <f>'2.3 ADF'!Q280</f>
        <v>18.979795041092135</v>
      </c>
      <c r="W280" s="341"/>
      <c r="X280" s="30">
        <f>'2.4 NDF'!Q280</f>
        <v>49.075386856642503</v>
      </c>
      <c r="Y280" s="341"/>
    </row>
    <row r="281" spans="3:25" x14ac:dyDescent="0.35">
      <c r="C281" s="199">
        <f>'2.1. DM'!C281</f>
        <v>46062</v>
      </c>
      <c r="D281" s="199" t="str">
        <f>'2.1. DM'!D281</f>
        <v>Genbank</v>
      </c>
      <c r="E281" s="200">
        <f>'2.1. DM'!E281</f>
        <v>30</v>
      </c>
      <c r="F281" s="199" t="str">
        <f>'2.1. DM'!F281</f>
        <v>F260033</v>
      </c>
      <c r="G281" s="199" t="str">
        <f>'2.1. DM'!G281</f>
        <v>CIAT7937</v>
      </c>
      <c r="H281" s="199" t="str">
        <f>'2.1. DM'!H281</f>
        <v>Mimosa</v>
      </c>
      <c r="I281" s="199" t="str">
        <f>'2.1. DM'!I281</f>
        <v>nuda</v>
      </c>
      <c r="J281" s="199" t="str">
        <f>'2.1. DM'!J281</f>
        <v>Mimosa nuda</v>
      </c>
      <c r="K281" s="199" t="str">
        <f>'2.1. DM'!K281</f>
        <v>Fabaceae</v>
      </c>
      <c r="L281" s="199" t="str">
        <f>'2.1. DM'!L281</f>
        <v>Fabales</v>
      </c>
      <c r="M281" s="199" t="str">
        <f>'2.1. DM'!M281</f>
        <v>Shurb_Tree</v>
      </c>
      <c r="N281" s="310">
        <f>'2.1. DM'!P281</f>
        <v>96.180381961803818</v>
      </c>
      <c r="O281" s="341">
        <f t="shared" si="180"/>
        <v>96.201135508638032</v>
      </c>
      <c r="P281" s="18">
        <f>'2.1. DM'!R281</f>
        <v>6.6936383134638513</v>
      </c>
      <c r="Q281" s="341">
        <f t="shared" si="181"/>
        <v>8.1936108718343554</v>
      </c>
      <c r="R281" s="18">
        <f>'2.1. DM'!T281</f>
        <v>93.30636168653615</v>
      </c>
      <c r="S281" s="341">
        <f t="shared" si="182"/>
        <v>91.806389128165648</v>
      </c>
      <c r="T281" s="30">
        <f>TablePC[[#This Row],[Av DM 105]]</f>
        <v>14.646737347226853</v>
      </c>
      <c r="U281" s="341">
        <f t="shared" si="183"/>
        <v>14.646737347226853</v>
      </c>
      <c r="V281" s="30">
        <f>'2.3 ADF'!Q281</f>
        <v>42.241653058939491</v>
      </c>
      <c r="W281" s="341">
        <f t="shared" ref="W281" si="203">AVERAGE(V281:V282)</f>
        <v>42.432635958952673</v>
      </c>
      <c r="X281" s="30">
        <f>'2.4 NDF'!Q281</f>
        <v>61.974579203188043</v>
      </c>
      <c r="Y281" s="341">
        <f t="shared" si="184"/>
        <v>62.259227725767829</v>
      </c>
    </row>
    <row r="282" spans="3:25" x14ac:dyDescent="0.35">
      <c r="C282" s="199">
        <f>'2.1. DM'!C282</f>
        <v>46062</v>
      </c>
      <c r="D282" s="199" t="str">
        <f>'2.1. DM'!D282</f>
        <v>Genbank</v>
      </c>
      <c r="E282" s="200">
        <f>'2.1. DM'!E282</f>
        <v>30</v>
      </c>
      <c r="F282" s="199" t="str">
        <f>'2.1. DM'!F282</f>
        <v>F260033</v>
      </c>
      <c r="G282" s="199" t="str">
        <f>'2.1. DM'!G282</f>
        <v>CIAT7937</v>
      </c>
      <c r="H282" s="199" t="str">
        <f>'2.1. DM'!H282</f>
        <v>Mimosa</v>
      </c>
      <c r="I282" s="199" t="str">
        <f>'2.1. DM'!I282</f>
        <v>nuda</v>
      </c>
      <c r="J282" s="199" t="str">
        <f>'2.1. DM'!J282</f>
        <v>Mimosa nuda</v>
      </c>
      <c r="K282" s="199" t="str">
        <f>'2.1. DM'!K282</f>
        <v>Fabaceae</v>
      </c>
      <c r="L282" s="199" t="str">
        <f>'2.1. DM'!L282</f>
        <v>Fabales</v>
      </c>
      <c r="M282" s="199" t="str">
        <f>'2.1. DM'!M282</f>
        <v>Shurb_Tree</v>
      </c>
      <c r="N282" s="310">
        <f>'2.1. DM'!P282</f>
        <v>96.221889055472261</v>
      </c>
      <c r="O282" s="341"/>
      <c r="P282" s="18">
        <f>'2.1. DM'!R282</f>
        <v>9.6935834302048605</v>
      </c>
      <c r="Q282" s="341"/>
      <c r="R282" s="18">
        <f>'2.1. DM'!T282</f>
        <v>90.306416569795147</v>
      </c>
      <c r="S282" s="341"/>
      <c r="T282" s="30">
        <f>TablePC[[#This Row],[Av DM 105]]</f>
        <v>14.646737347226853</v>
      </c>
      <c r="U282" s="341"/>
      <c r="V282" s="30">
        <f>'2.3 ADF'!Q282</f>
        <v>42.623618858965848</v>
      </c>
      <c r="W282" s="341"/>
      <c r="X282" s="30">
        <f>'2.4 NDF'!Q282</f>
        <v>62.543876248347608</v>
      </c>
      <c r="Y282" s="341"/>
    </row>
    <row r="283" spans="3:25" x14ac:dyDescent="0.35">
      <c r="C283" s="199">
        <f>'2.1. DM'!C283</f>
        <v>46062</v>
      </c>
      <c r="D283" s="199" t="str">
        <f>'2.1. DM'!D283</f>
        <v>Genbank</v>
      </c>
      <c r="E283" s="200">
        <f>'2.1. DM'!E283</f>
        <v>30</v>
      </c>
      <c r="F283" s="199" t="str">
        <f>'2.1. DM'!F283</f>
        <v>F260034</v>
      </c>
      <c r="G283" s="199" t="str">
        <f>'2.1. DM'!G283</f>
        <v>CIAT8056</v>
      </c>
      <c r="H283" s="199" t="str">
        <f>'2.1. DM'!H283</f>
        <v>Mimosa</v>
      </c>
      <c r="I283" s="199" t="str">
        <f>'2.1. DM'!I283</f>
        <v>diplotricha</v>
      </c>
      <c r="J283" s="199" t="str">
        <f>'2.1. DM'!J283</f>
        <v>Mimosa diplotricha</v>
      </c>
      <c r="K283" s="199" t="str">
        <f>'2.1. DM'!K283</f>
        <v>Fabaceae</v>
      </c>
      <c r="L283" s="199" t="str">
        <f>'2.1. DM'!L283</f>
        <v>Fabales</v>
      </c>
      <c r="M283" s="199" t="str">
        <f>'2.1. DM'!M283</f>
        <v>Shurb_Tree</v>
      </c>
      <c r="N283" s="310">
        <f>'2.1. DM'!P283</f>
        <v>95.311406578026535</v>
      </c>
      <c r="O283" s="341">
        <f t="shared" si="180"/>
        <v>95.291885198058793</v>
      </c>
      <c r="P283" s="18">
        <f>'2.1. DM'!R283</f>
        <v>11.991128105653399</v>
      </c>
      <c r="Q283" s="341">
        <f t="shared" si="181"/>
        <v>9.9183859455442462</v>
      </c>
      <c r="R283" s="18">
        <f>'2.1. DM'!T283</f>
        <v>88.008871894346598</v>
      </c>
      <c r="S283" s="341">
        <f t="shared" si="182"/>
        <v>90.081614054455741</v>
      </c>
      <c r="T283" s="30">
        <f>TablePC[[#This Row],[Av DM 105]]</f>
        <v>18.616653686775535</v>
      </c>
      <c r="U283" s="341">
        <f t="shared" si="183"/>
        <v>18.616653686775535</v>
      </c>
      <c r="V283" s="30">
        <f>'2.3 ADF'!Q283</f>
        <v>36.510605807060884</v>
      </c>
      <c r="W283" s="341">
        <f t="shared" ref="W283" si="204">AVERAGE(V283:V284)</f>
        <v>39.256096151615154</v>
      </c>
      <c r="X283" s="30">
        <f>'2.4 NDF'!Q283</f>
        <v>53.931834508042819</v>
      </c>
      <c r="Y283" s="341">
        <f t="shared" si="184"/>
        <v>54.432802233405852</v>
      </c>
    </row>
    <row r="284" spans="3:25" x14ac:dyDescent="0.35">
      <c r="C284" s="199">
        <f>'2.1. DM'!C284</f>
        <v>46062</v>
      </c>
      <c r="D284" s="199" t="str">
        <f>'2.1. DM'!D284</f>
        <v>Genbank</v>
      </c>
      <c r="E284" s="200">
        <f>'2.1. DM'!E284</f>
        <v>30</v>
      </c>
      <c r="F284" s="199" t="str">
        <f>'2.1. DM'!F284</f>
        <v>F260034</v>
      </c>
      <c r="G284" s="199" t="str">
        <f>'2.1. DM'!G284</f>
        <v>CIAT8056</v>
      </c>
      <c r="H284" s="199" t="str">
        <f>'2.1. DM'!H284</f>
        <v>Mimosa</v>
      </c>
      <c r="I284" s="199" t="str">
        <f>'2.1. DM'!I284</f>
        <v>diplotricha</v>
      </c>
      <c r="J284" s="199" t="str">
        <f>'2.1. DM'!J284</f>
        <v>Mimosa diplotricha</v>
      </c>
      <c r="K284" s="199" t="str">
        <f>'2.1. DM'!K284</f>
        <v>Fabaceae</v>
      </c>
      <c r="L284" s="199" t="str">
        <f>'2.1. DM'!L284</f>
        <v>Fabales</v>
      </c>
      <c r="M284" s="199" t="str">
        <f>'2.1. DM'!M284</f>
        <v>Shurb_Tree</v>
      </c>
      <c r="N284" s="310">
        <f>'2.1. DM'!P284</f>
        <v>95.272363818091037</v>
      </c>
      <c r="O284" s="341"/>
      <c r="P284" s="18">
        <f>'2.1. DM'!R284</f>
        <v>7.8456437854350938</v>
      </c>
      <c r="Q284" s="341"/>
      <c r="R284" s="18">
        <f>'2.1. DM'!T284</f>
        <v>92.154356214564899</v>
      </c>
      <c r="S284" s="341"/>
      <c r="T284" s="30">
        <f>TablePC[[#This Row],[Av DM 105]]</f>
        <v>18.616653686775535</v>
      </c>
      <c r="U284" s="341"/>
      <c r="V284" s="30">
        <f>'2.3 ADF'!Q284</f>
        <v>42.001586496169423</v>
      </c>
      <c r="W284" s="341"/>
      <c r="X284" s="30">
        <f>'2.4 NDF'!Q284</f>
        <v>54.933769958768885</v>
      </c>
      <c r="Y284" s="341"/>
    </row>
    <row r="285" spans="3:25" x14ac:dyDescent="0.35">
      <c r="C285" s="199">
        <f>'2.1. DM'!C285</f>
        <v>46062</v>
      </c>
      <c r="D285" s="199" t="str">
        <f>'2.1. DM'!D285</f>
        <v>Genbank</v>
      </c>
      <c r="E285" s="200">
        <f>'2.1. DM'!E285</f>
        <v>30</v>
      </c>
      <c r="F285" s="199" t="str">
        <f>'2.1. DM'!F285</f>
        <v>F260035</v>
      </c>
      <c r="G285" s="199" t="str">
        <f>'2.1. DM'!G285</f>
        <v>CIAT17514</v>
      </c>
      <c r="H285" s="199" t="str">
        <f>'2.1. DM'!H285</f>
        <v>Mimosa</v>
      </c>
      <c r="I285" s="199" t="str">
        <f>'2.1. DM'!I285</f>
        <v>pudica</v>
      </c>
      <c r="J285" s="199" t="str">
        <f>'2.1. DM'!J285</f>
        <v>Mimosa pudica</v>
      </c>
      <c r="K285" s="199" t="str">
        <f>'2.1. DM'!K285</f>
        <v>Fabaceae</v>
      </c>
      <c r="L285" s="199" t="str">
        <f>'2.1. DM'!L285</f>
        <v>Fabales</v>
      </c>
      <c r="M285" s="199" t="str">
        <f>'2.1. DM'!M285</f>
        <v>Shurb_Tree</v>
      </c>
      <c r="N285" s="310">
        <f>'2.1. DM'!P285</f>
        <v>96.38</v>
      </c>
      <c r="O285" s="341">
        <f t="shared" si="180"/>
        <v>96.435877061469313</v>
      </c>
      <c r="P285" s="18">
        <f>'2.1. DM'!R285</f>
        <v>8.8037774516100455</v>
      </c>
      <c r="Q285" s="341">
        <f t="shared" si="181"/>
        <v>10.034941510308036</v>
      </c>
      <c r="R285" s="18">
        <f>'2.1. DM'!T285</f>
        <v>91.196222548389954</v>
      </c>
      <c r="S285" s="341">
        <f t="shared" si="182"/>
        <v>89.965058489691955</v>
      </c>
      <c r="T285" s="30">
        <f>TablePC[[#This Row],[Av DM 105]]</f>
        <v>19.832973521790223</v>
      </c>
      <c r="U285" s="341">
        <f t="shared" si="183"/>
        <v>19.832973521790223</v>
      </c>
      <c r="V285" s="30">
        <f>'2.3 ADF'!Q285</f>
        <v>41.756084698082859</v>
      </c>
      <c r="W285" s="341">
        <f t="shared" ref="W285" si="205">AVERAGE(V285:V286)</f>
        <v>41.152725185972685</v>
      </c>
      <c r="X285" s="30">
        <f>'2.4 NDF'!Q285</f>
        <v>59.100105194123266</v>
      </c>
      <c r="Y285" s="341">
        <f t="shared" si="184"/>
        <v>59.390659149157088</v>
      </c>
    </row>
    <row r="286" spans="3:25" x14ac:dyDescent="0.35">
      <c r="C286" s="199">
        <f>'2.1. DM'!C286</f>
        <v>46062</v>
      </c>
      <c r="D286" s="199" t="str">
        <f>'2.1. DM'!D286</f>
        <v>Genbank</v>
      </c>
      <c r="E286" s="200">
        <f>'2.1. DM'!E286</f>
        <v>30</v>
      </c>
      <c r="F286" s="199" t="str">
        <f>'2.1. DM'!F286</f>
        <v>F260035</v>
      </c>
      <c r="G286" s="199" t="str">
        <f>'2.1. DM'!G286</f>
        <v>CIAT17514</v>
      </c>
      <c r="H286" s="199" t="str">
        <f>'2.1. DM'!H286</f>
        <v>Mimosa</v>
      </c>
      <c r="I286" s="199" t="str">
        <f>'2.1. DM'!I286</f>
        <v>pudica</v>
      </c>
      <c r="J286" s="199" t="str">
        <f>'2.1. DM'!J286</f>
        <v>Mimosa pudica</v>
      </c>
      <c r="K286" s="199" t="str">
        <f>'2.1. DM'!K286</f>
        <v>Fabaceae</v>
      </c>
      <c r="L286" s="199" t="str">
        <f>'2.1. DM'!L286</f>
        <v>Fabales</v>
      </c>
      <c r="M286" s="199" t="str">
        <f>'2.1. DM'!M286</f>
        <v>Shurb_Tree</v>
      </c>
      <c r="N286" s="310">
        <f>'2.1. DM'!P286</f>
        <v>96.491754122938616</v>
      </c>
      <c r="O286" s="341"/>
      <c r="P286" s="18">
        <f>'2.1. DM'!R286</f>
        <v>11.266105569006026</v>
      </c>
      <c r="Q286" s="341"/>
      <c r="R286" s="18">
        <f>'2.1. DM'!T286</f>
        <v>88.733894430993971</v>
      </c>
      <c r="S286" s="341"/>
      <c r="T286" s="30">
        <f>TablePC[[#This Row],[Av DM 105]]</f>
        <v>19.832973521790223</v>
      </c>
      <c r="U286" s="341"/>
      <c r="V286" s="30">
        <f>'2.3 ADF'!Q286</f>
        <v>40.549365673862511</v>
      </c>
      <c r="W286" s="341"/>
      <c r="X286" s="30">
        <f>'2.4 NDF'!Q286</f>
        <v>59.68121310419091</v>
      </c>
      <c r="Y286" s="341"/>
    </row>
    <row r="287" spans="3:25" x14ac:dyDescent="0.35">
      <c r="C287" s="199">
        <f>'2.1. DM'!C287</f>
        <v>46062</v>
      </c>
      <c r="D287" s="199" t="str">
        <f>'2.1. DM'!D287</f>
        <v>Genbank</v>
      </c>
      <c r="E287" s="200">
        <f>'2.1. DM'!E287</f>
        <v>30</v>
      </c>
      <c r="F287" s="199" t="str">
        <f>'2.1. DM'!F287</f>
        <v>F260036</v>
      </c>
      <c r="G287" s="199" t="str">
        <f>'2.1. DM'!G287</f>
        <v>CIAT17725</v>
      </c>
      <c r="H287" s="199" t="str">
        <f>'2.1. DM'!H287</f>
        <v>Mimosa</v>
      </c>
      <c r="I287" s="199" t="str">
        <f>'2.1. DM'!I287</f>
        <v>polycarpa</v>
      </c>
      <c r="J287" s="199" t="str">
        <f>'2.1. DM'!J287</f>
        <v>Mimosa polycarpa</v>
      </c>
      <c r="K287" s="199" t="str">
        <f>'2.1. DM'!K287</f>
        <v>Fabaceae</v>
      </c>
      <c r="L287" s="199" t="str">
        <f>'2.1. DM'!L287</f>
        <v>Fabales</v>
      </c>
      <c r="M287" s="199" t="str">
        <f>'2.1. DM'!M287</f>
        <v>Shurb_Tree</v>
      </c>
      <c r="N287" s="310">
        <f>'2.1. DM'!P287</f>
        <v>95.731707317073273</v>
      </c>
      <c r="O287" s="341">
        <f t="shared" si="180"/>
        <v>95.667172867011544</v>
      </c>
      <c r="P287" s="18">
        <f>'2.1. DM'!R287</f>
        <v>9.7800083525072043</v>
      </c>
      <c r="Q287" s="341">
        <f t="shared" si="181"/>
        <v>7.9978790943207372</v>
      </c>
      <c r="R287" s="18">
        <f>'2.1. DM'!T287</f>
        <v>90.21999164749279</v>
      </c>
      <c r="S287" s="341">
        <f t="shared" si="182"/>
        <v>92.002120905679263</v>
      </c>
      <c r="T287" s="30">
        <f>TablePC[[#This Row],[Av DM 105]]</f>
        <v>21.375911130411364</v>
      </c>
      <c r="U287" s="341">
        <f t="shared" si="183"/>
        <v>21.375911130411364</v>
      </c>
      <c r="V287" s="30">
        <f>'2.3 ADF'!Q287</f>
        <v>35.58179390335556</v>
      </c>
      <c r="W287" s="341">
        <f t="shared" ref="W287" si="206">AVERAGE(V287:V288)</f>
        <v>35.154390279538404</v>
      </c>
      <c r="X287" s="30">
        <f>'2.4 NDF'!Q287</f>
        <v>60.31573107374517</v>
      </c>
      <c r="Y287" s="341">
        <f t="shared" si="184"/>
        <v>61.084023708109299</v>
      </c>
    </row>
    <row r="288" spans="3:25" x14ac:dyDescent="0.35">
      <c r="C288" s="199">
        <f>'2.1. DM'!C288</f>
        <v>46062</v>
      </c>
      <c r="D288" s="199" t="str">
        <f>'2.1. DM'!D288</f>
        <v>Genbank</v>
      </c>
      <c r="E288" s="200">
        <f>'2.1. DM'!E288</f>
        <v>30</v>
      </c>
      <c r="F288" s="199" t="str">
        <f>'2.1. DM'!F288</f>
        <v>F260036</v>
      </c>
      <c r="G288" s="199" t="str">
        <f>'2.1. DM'!G288</f>
        <v>CIAT17725</v>
      </c>
      <c r="H288" s="199" t="str">
        <f>'2.1. DM'!H288</f>
        <v>Mimosa</v>
      </c>
      <c r="I288" s="199" t="str">
        <f>'2.1. DM'!I288</f>
        <v>polycarpa</v>
      </c>
      <c r="J288" s="199" t="str">
        <f>'2.1. DM'!J288</f>
        <v>Mimosa polycarpa</v>
      </c>
      <c r="K288" s="199" t="str">
        <f>'2.1. DM'!K288</f>
        <v>Fabaceae</v>
      </c>
      <c r="L288" s="199" t="str">
        <f>'2.1. DM'!L288</f>
        <v>Fabales</v>
      </c>
      <c r="M288" s="199" t="str">
        <f>'2.1. DM'!M288</f>
        <v>Shurb_Tree</v>
      </c>
      <c r="N288" s="310">
        <f>'2.1. DM'!P288</f>
        <v>95.60263841694983</v>
      </c>
      <c r="O288" s="341"/>
      <c r="P288" s="18">
        <f>'2.1. DM'!R288</f>
        <v>6.2157498361342709</v>
      </c>
      <c r="Q288" s="341"/>
      <c r="R288" s="18">
        <f>'2.1. DM'!T288</f>
        <v>93.784250163865735</v>
      </c>
      <c r="S288" s="341"/>
      <c r="T288" s="30">
        <f>TablePC[[#This Row],[Av DM 105]]</f>
        <v>21.375911130411364</v>
      </c>
      <c r="U288" s="341"/>
      <c r="V288" s="30">
        <f>'2.3 ADF'!Q288</f>
        <v>34.726986655721255</v>
      </c>
      <c r="W288" s="341"/>
      <c r="X288" s="30">
        <f>'2.4 NDF'!Q288</f>
        <v>61.852316342473436</v>
      </c>
      <c r="Y288" s="341"/>
    </row>
    <row r="289" spans="3:25" x14ac:dyDescent="0.35">
      <c r="C289" s="199">
        <f>'2.1. DM'!C289</f>
        <v>46062</v>
      </c>
      <c r="D289" s="199" t="str">
        <f>'2.1. DM'!D289</f>
        <v>Genbank</v>
      </c>
      <c r="E289" s="200">
        <f>'2.1. DM'!E289</f>
        <v>30</v>
      </c>
      <c r="F289" s="199" t="str">
        <f>'2.1. DM'!F289</f>
        <v>F260037</v>
      </c>
      <c r="G289" s="199" t="str">
        <f>'2.1. DM'!G289</f>
        <v>CIAT18947</v>
      </c>
      <c r="H289" s="199" t="str">
        <f>'2.1. DM'!H289</f>
        <v>Sesbania</v>
      </c>
      <c r="I289" s="199" t="str">
        <f>'2.1. DM'!I289</f>
        <v>sesban</v>
      </c>
      <c r="J289" s="199" t="str">
        <f>'2.1. DM'!J289</f>
        <v>Sesbania sesban</v>
      </c>
      <c r="K289" s="199" t="str">
        <f>'2.1. DM'!K289</f>
        <v>Fabaceae</v>
      </c>
      <c r="L289" s="199" t="str">
        <f>'2.1. DM'!L289</f>
        <v>Fabales</v>
      </c>
      <c r="M289" s="199" t="str">
        <f>'2.1. DM'!M289</f>
        <v>Shurb_Tree</v>
      </c>
      <c r="N289" s="310">
        <f>'2.1. DM'!P289</f>
        <v>95.520000000000053</v>
      </c>
      <c r="O289" s="341">
        <f t="shared" si="180"/>
        <v>95.480911635345876</v>
      </c>
      <c r="P289" s="18">
        <f>'2.1. DM'!R289</f>
        <v>9.2479217560499993</v>
      </c>
      <c r="Q289" s="341">
        <f t="shared" si="181"/>
        <v>9.7276519679246789</v>
      </c>
      <c r="R289" s="18">
        <f>'2.1. DM'!T289</f>
        <v>90.752078243949995</v>
      </c>
      <c r="S289" s="341">
        <f t="shared" si="182"/>
        <v>90.272348032075314</v>
      </c>
      <c r="T289" s="30">
        <f>TablePC[[#This Row],[Av DM 105]]</f>
        <v>28.79378419999593</v>
      </c>
      <c r="U289" s="341">
        <f t="shared" si="183"/>
        <v>28.79378419999593</v>
      </c>
      <c r="V289" s="30">
        <f>'2.3 ADF'!Q289</f>
        <v>20.437366108991188</v>
      </c>
      <c r="W289" s="341">
        <f t="shared" ref="W289" si="207">AVERAGE(V289:V290)</f>
        <v>20.469508267526756</v>
      </c>
      <c r="X289" s="30">
        <f>'2.4 NDF'!Q289</f>
        <v>44.927412202308155</v>
      </c>
      <c r="Y289" s="341">
        <f t="shared" si="184"/>
        <v>46.004422114289063</v>
      </c>
    </row>
    <row r="290" spans="3:25" x14ac:dyDescent="0.35">
      <c r="C290" s="199">
        <f>'2.1. DM'!C290</f>
        <v>46062</v>
      </c>
      <c r="D290" s="199" t="str">
        <f>'2.1. DM'!D290</f>
        <v>Genbank</v>
      </c>
      <c r="E290" s="200">
        <f>'2.1. DM'!E290</f>
        <v>30</v>
      </c>
      <c r="F290" s="199" t="str">
        <f>'2.1. DM'!F290</f>
        <v>F260037</v>
      </c>
      <c r="G290" s="199" t="str">
        <f>'2.1. DM'!G290</f>
        <v>CIAT18947</v>
      </c>
      <c r="H290" s="199" t="str">
        <f>'2.1. DM'!H290</f>
        <v>Sesbania</v>
      </c>
      <c r="I290" s="199" t="str">
        <f>'2.1. DM'!I290</f>
        <v>sesban</v>
      </c>
      <c r="J290" s="199" t="str">
        <f>'2.1. DM'!J290</f>
        <v>Sesbania sesban</v>
      </c>
      <c r="K290" s="199" t="str">
        <f>'2.1. DM'!K290</f>
        <v>Fabaceae</v>
      </c>
      <c r="L290" s="199" t="str">
        <f>'2.1. DM'!L290</f>
        <v>Fabales</v>
      </c>
      <c r="M290" s="199" t="str">
        <f>'2.1. DM'!M290</f>
        <v>Shurb_Tree</v>
      </c>
      <c r="N290" s="310">
        <f>'2.1. DM'!P290</f>
        <v>95.4418232706917</v>
      </c>
      <c r="O290" s="341"/>
      <c r="P290" s="18">
        <f>'2.1. DM'!R290</f>
        <v>10.207382179799357</v>
      </c>
      <c r="Q290" s="341"/>
      <c r="R290" s="18">
        <f>'2.1. DM'!T290</f>
        <v>89.792617820200647</v>
      </c>
      <c r="S290" s="341"/>
      <c r="T290" s="30">
        <f>TablePC[[#This Row],[Av DM 105]]</f>
        <v>28.79378419999593</v>
      </c>
      <c r="U290" s="341"/>
      <c r="V290" s="30">
        <f>'2.3 ADF'!Q290</f>
        <v>20.501650426062326</v>
      </c>
      <c r="W290" s="341"/>
      <c r="X290" s="30">
        <f>'2.4 NDF'!Q290</f>
        <v>47.081432026269972</v>
      </c>
      <c r="Y290" s="341"/>
    </row>
    <row r="291" spans="3:25" x14ac:dyDescent="0.35">
      <c r="C291" s="199">
        <f>'2.1. DM'!C291</f>
        <v>46062</v>
      </c>
      <c r="D291" s="199" t="str">
        <f>'2.1. DM'!D291</f>
        <v>Genbank</v>
      </c>
      <c r="E291" s="200">
        <f>'2.1. DM'!E291</f>
        <v>30</v>
      </c>
      <c r="F291" s="199" t="str">
        <f>'2.1. DM'!F291</f>
        <v>F260038</v>
      </c>
      <c r="G291" s="199" t="str">
        <f>'2.1. DM'!G291</f>
        <v>CIAT19165</v>
      </c>
      <c r="H291" s="199" t="str">
        <f>'2.1. DM'!H291</f>
        <v>Sesbania</v>
      </c>
      <c r="I291" s="199" t="str">
        <f>'2.1. DM'!I291</f>
        <v>keniensis</v>
      </c>
      <c r="J291" s="199" t="str">
        <f>'2.1. DM'!J291</f>
        <v>Sesbania keniensis</v>
      </c>
      <c r="K291" s="199" t="str">
        <f>'2.1. DM'!K291</f>
        <v>Fabaceae</v>
      </c>
      <c r="L291" s="199" t="str">
        <f>'2.1. DM'!L291</f>
        <v>Fabales</v>
      </c>
      <c r="M291" s="199" t="str">
        <f>'2.1. DM'!M291</f>
        <v>Shurb_Tree</v>
      </c>
      <c r="N291" s="310">
        <f>'2.1. DM'!P291</f>
        <v>96.401439424230261</v>
      </c>
      <c r="O291" s="341">
        <f t="shared" si="180"/>
        <v>96.441599272334983</v>
      </c>
      <c r="P291" s="18">
        <f>'2.1. DM'!R291</f>
        <v>12.292680737659664</v>
      </c>
      <c r="Q291" s="341">
        <f t="shared" si="181"/>
        <v>10.395493281480912</v>
      </c>
      <c r="R291" s="18">
        <f>'2.1. DM'!T291</f>
        <v>87.707319262340334</v>
      </c>
      <c r="S291" s="341">
        <f t="shared" si="182"/>
        <v>89.60450671851909</v>
      </c>
      <c r="T291" s="30">
        <f>TablePC[[#This Row],[Av DM 105]]</f>
        <v>25.521093019694892</v>
      </c>
      <c r="U291" s="341">
        <f t="shared" si="183"/>
        <v>25.521093019694892</v>
      </c>
      <c r="V291" s="30">
        <f>'2.3 ADF'!Q291</f>
        <v>30.662749455309157</v>
      </c>
      <c r="W291" s="341">
        <f t="shared" ref="W291" si="208">AVERAGE(V291:V292)</f>
        <v>30.395489537354145</v>
      </c>
      <c r="X291" s="30">
        <f>'2.4 NDF'!Q291</f>
        <v>50.455266674692581</v>
      </c>
      <c r="Y291" s="341">
        <f t="shared" si="184"/>
        <v>50.403594312680944</v>
      </c>
    </row>
    <row r="292" spans="3:25" x14ac:dyDescent="0.35">
      <c r="C292" s="199">
        <f>'2.1. DM'!C292</f>
        <v>46062</v>
      </c>
      <c r="D292" s="199" t="str">
        <f>'2.1. DM'!D292</f>
        <v>Genbank</v>
      </c>
      <c r="E292" s="200">
        <f>'2.1. DM'!E292</f>
        <v>30</v>
      </c>
      <c r="F292" s="199" t="str">
        <f>'2.1. DM'!F292</f>
        <v>F260038</v>
      </c>
      <c r="G292" s="199" t="str">
        <f>'2.1. DM'!G292</f>
        <v>CIAT19165</v>
      </c>
      <c r="H292" s="199" t="str">
        <f>'2.1. DM'!H292</f>
        <v>Sesbania</v>
      </c>
      <c r="I292" s="199" t="str">
        <f>'2.1. DM'!I292</f>
        <v>keniensis</v>
      </c>
      <c r="J292" s="199" t="str">
        <f>'2.1. DM'!J292</f>
        <v>Sesbania keniensis</v>
      </c>
      <c r="K292" s="199" t="str">
        <f>'2.1. DM'!K292</f>
        <v>Fabaceae</v>
      </c>
      <c r="L292" s="199" t="str">
        <f>'2.1. DM'!L292</f>
        <v>Fabales</v>
      </c>
      <c r="M292" s="199" t="str">
        <f>'2.1. DM'!M292</f>
        <v>Shurb_Tree</v>
      </c>
      <c r="N292" s="310">
        <f>'2.1. DM'!P292</f>
        <v>96.481759120439705</v>
      </c>
      <c r="O292" s="341"/>
      <c r="P292" s="18">
        <f>'2.1. DM'!R292</f>
        <v>8.4983058253021593</v>
      </c>
      <c r="Q292" s="341"/>
      <c r="R292" s="18">
        <f>'2.1. DM'!T292</f>
        <v>91.501694174697846</v>
      </c>
      <c r="S292" s="341"/>
      <c r="T292" s="30">
        <f>TablePC[[#This Row],[Av DM 105]]</f>
        <v>25.521093019694892</v>
      </c>
      <c r="U292" s="341"/>
      <c r="V292" s="30">
        <f>'2.3 ADF'!Q292</f>
        <v>30.128229619399132</v>
      </c>
      <c r="W292" s="341"/>
      <c r="X292" s="30">
        <f>'2.4 NDF'!Q292</f>
        <v>50.351921950669308</v>
      </c>
      <c r="Y292" s="341"/>
    </row>
    <row r="293" spans="3:25" x14ac:dyDescent="0.35">
      <c r="C293" s="199">
        <f>'2.1. DM'!C293</f>
        <v>46062</v>
      </c>
      <c r="D293" s="199" t="str">
        <f>'2.1. DM'!D293</f>
        <v>Genbank</v>
      </c>
      <c r="E293" s="200">
        <f>'2.1. DM'!E293</f>
        <v>30</v>
      </c>
      <c r="F293" s="199" t="str">
        <f>'2.1. DM'!F293</f>
        <v>F260039</v>
      </c>
      <c r="G293" s="199" t="str">
        <f>'2.1. DM'!G293</f>
        <v>CIAT21899</v>
      </c>
      <c r="H293" s="199" t="str">
        <f>'2.1. DM'!H293</f>
        <v>Sesbania</v>
      </c>
      <c r="I293" s="199" t="str">
        <f>'2.1. DM'!I293</f>
        <v>sesban</v>
      </c>
      <c r="J293" s="199" t="str">
        <f>'2.1. DM'!J293</f>
        <v>Sesbania sesban</v>
      </c>
      <c r="K293" s="199" t="str">
        <f>'2.1. DM'!K293</f>
        <v>Fabaceae</v>
      </c>
      <c r="L293" s="199" t="str">
        <f>'2.1. DM'!L293</f>
        <v>Fabales</v>
      </c>
      <c r="M293" s="199" t="str">
        <f>'2.1. DM'!M293</f>
        <v>Shurb_Tree</v>
      </c>
      <c r="N293" s="310">
        <f>'2.1. DM'!P293</f>
        <v>95.881647341063669</v>
      </c>
      <c r="O293" s="341">
        <f t="shared" si="180"/>
        <v>95.83687564454479</v>
      </c>
      <c r="P293" s="18">
        <f>'2.1. DM'!R293</f>
        <v>7.9582615449609522</v>
      </c>
      <c r="Q293" s="341">
        <f t="shared" si="181"/>
        <v>7.9891513777258432</v>
      </c>
      <c r="R293" s="18">
        <f>'2.1. DM'!T293</f>
        <v>92.041738455039052</v>
      </c>
      <c r="S293" s="341">
        <f t="shared" si="182"/>
        <v>92.010848622274153</v>
      </c>
      <c r="T293" s="30">
        <f>TablePC[[#This Row],[Av DM 105]]</f>
        <v>18.324960198207332</v>
      </c>
      <c r="U293" s="341">
        <f t="shared" si="183"/>
        <v>18.324960198207332</v>
      </c>
      <c r="V293" s="30">
        <f>'2.3 ADF'!Q293</f>
        <v>41.759124745056269</v>
      </c>
      <c r="W293" s="341">
        <f t="shared" ref="W293" si="209">AVERAGE(V293:V294)</f>
        <v>41.369421047308848</v>
      </c>
      <c r="X293" s="30">
        <f>'2.4 NDF'!Q293</f>
        <v>63.16837770926972</v>
      </c>
      <c r="Y293" s="341">
        <f t="shared" si="184"/>
        <v>63.026589125928808</v>
      </c>
    </row>
    <row r="294" spans="3:25" x14ac:dyDescent="0.35">
      <c r="C294" s="199">
        <f>'2.1. DM'!C294</f>
        <v>46062</v>
      </c>
      <c r="D294" s="199" t="str">
        <f>'2.1. DM'!D294</f>
        <v>Genbank</v>
      </c>
      <c r="E294" s="200">
        <f>'2.1. DM'!E294</f>
        <v>30</v>
      </c>
      <c r="F294" s="199" t="str">
        <f>'2.1. DM'!F294</f>
        <v>F260039</v>
      </c>
      <c r="G294" s="199" t="str">
        <f>'2.1. DM'!G294</f>
        <v>CIAT21899</v>
      </c>
      <c r="H294" s="199" t="str">
        <f>'2.1. DM'!H294</f>
        <v>Sesbania</v>
      </c>
      <c r="I294" s="199" t="str">
        <f>'2.1. DM'!I294</f>
        <v>sesban</v>
      </c>
      <c r="J294" s="199" t="str">
        <f>'2.1. DM'!J294</f>
        <v>Sesbania sesban</v>
      </c>
      <c r="K294" s="199" t="str">
        <f>'2.1. DM'!K294</f>
        <v>Fabaceae</v>
      </c>
      <c r="L294" s="199" t="str">
        <f>'2.1. DM'!L294</f>
        <v>Fabales</v>
      </c>
      <c r="M294" s="199" t="str">
        <f>'2.1. DM'!M294</f>
        <v>Shurb_Tree</v>
      </c>
      <c r="N294" s="310">
        <f>'2.1. DM'!P294</f>
        <v>95.792103948025925</v>
      </c>
      <c r="O294" s="341"/>
      <c r="P294" s="18">
        <f>'2.1. DM'!R294</f>
        <v>8.020041210490735</v>
      </c>
      <c r="Q294" s="341"/>
      <c r="R294" s="18">
        <f>'2.1. DM'!T294</f>
        <v>91.979958789509269</v>
      </c>
      <c r="S294" s="341"/>
      <c r="T294" s="30">
        <f>TablePC[[#This Row],[Av DM 105]]</f>
        <v>18.324960198207332</v>
      </c>
      <c r="U294" s="341"/>
      <c r="V294" s="30">
        <f>'2.3 ADF'!Q294</f>
        <v>40.979717349561426</v>
      </c>
      <c r="W294" s="341"/>
      <c r="X294" s="30">
        <f>'2.4 NDF'!Q294</f>
        <v>62.884800542587904</v>
      </c>
      <c r="Y294" s="341"/>
    </row>
    <row r="295" spans="3:25" x14ac:dyDescent="0.35">
      <c r="C295" s="199">
        <f>'2.1. DM'!C295</f>
        <v>46062</v>
      </c>
      <c r="D295" s="199" t="str">
        <f>'2.1. DM'!D295</f>
        <v>Genbank</v>
      </c>
      <c r="E295" s="200">
        <f>'2.1. DM'!E295</f>
        <v>30</v>
      </c>
      <c r="F295" s="199" t="str">
        <f>'2.1. DM'!F295</f>
        <v>F260040</v>
      </c>
      <c r="G295" s="199" t="str">
        <f>'2.1. DM'!G295</f>
        <v>CIAT23414</v>
      </c>
      <c r="H295" s="199" t="str">
        <f>'2.1. DM'!H295</f>
        <v>Codariocalyx</v>
      </c>
      <c r="I295" s="199" t="str">
        <f>'2.1. DM'!I295</f>
        <v>motorius</v>
      </c>
      <c r="J295" s="199" t="str">
        <f>'2.1. DM'!J295</f>
        <v>Codariocalyx motorius</v>
      </c>
      <c r="K295" s="199" t="str">
        <f>'2.1. DM'!K295</f>
        <v>Fabaceae</v>
      </c>
      <c r="L295" s="199" t="str">
        <f>'2.1. DM'!L295</f>
        <v>Fabales</v>
      </c>
      <c r="M295" s="199" t="str">
        <f>'2.1. DM'!M295</f>
        <v>Shurb_Tree</v>
      </c>
      <c r="N295" s="310">
        <f>'2.1. DM'!P295</f>
        <v>96.472116729962124</v>
      </c>
      <c r="O295" s="341">
        <f t="shared" si="180"/>
        <v>96.306637191333095</v>
      </c>
      <c r="P295" s="18">
        <f>'2.1. DM'!R295</f>
        <v>9.4329420436407094</v>
      </c>
      <c r="Q295" s="341">
        <f t="shared" si="181"/>
        <v>9.3357428914648342</v>
      </c>
      <c r="R295" s="18">
        <f>'2.1. DM'!T295</f>
        <v>90.567057956359292</v>
      </c>
      <c r="S295" s="341">
        <f t="shared" si="182"/>
        <v>90.664257108535168</v>
      </c>
      <c r="T295" s="30">
        <f>TablePC[[#This Row],[Av DM 105]]</f>
        <v>15.866404880370927</v>
      </c>
      <c r="U295" s="341">
        <f t="shared" si="183"/>
        <v>16.194493709548571</v>
      </c>
      <c r="V295" s="30">
        <f>'2.3 ADF'!Q295</f>
        <v>42.722099832189308</v>
      </c>
      <c r="W295" s="341">
        <f t="shared" ref="W295" si="210">AVERAGE(V295:V296)</f>
        <v>43.815159268350158</v>
      </c>
      <c r="X295" s="30">
        <f>'2.4 NDF'!Q295</f>
        <v>61.391641818631058</v>
      </c>
      <c r="Y295" s="341">
        <f t="shared" si="184"/>
        <v>62.853390322879953</v>
      </c>
    </row>
    <row r="296" spans="3:25" x14ac:dyDescent="0.35">
      <c r="C296" s="199">
        <f>'2.1. DM'!C296</f>
        <v>46062</v>
      </c>
      <c r="D296" s="199" t="str">
        <f>'2.1. DM'!D296</f>
        <v>Genbank</v>
      </c>
      <c r="E296" s="200">
        <f>'2.1. DM'!E296</f>
        <v>30</v>
      </c>
      <c r="F296" s="199" t="str">
        <f>'2.1. DM'!F296</f>
        <v>F260040</v>
      </c>
      <c r="G296" s="199" t="str">
        <f>'2.1. DM'!G296</f>
        <v>CIAT23414</v>
      </c>
      <c r="H296" s="199" t="str">
        <f>'2.1. DM'!H296</f>
        <v>Codariocalyx</v>
      </c>
      <c r="I296" s="199" t="str">
        <f>'2.1. DM'!I296</f>
        <v>motorius</v>
      </c>
      <c r="J296" s="199" t="str">
        <f>'2.1. DM'!J296</f>
        <v>Codariocalyx motorius</v>
      </c>
      <c r="K296" s="199" t="str">
        <f>'2.1. DM'!K296</f>
        <v>Fabaceae</v>
      </c>
      <c r="L296" s="199" t="str">
        <f>'2.1. DM'!L296</f>
        <v>Fabales</v>
      </c>
      <c r="M296" s="199" t="str">
        <f>'2.1. DM'!M296</f>
        <v>Shurb_Tree</v>
      </c>
      <c r="N296" s="310">
        <f>'2.1. DM'!P296</f>
        <v>96.141157652704052</v>
      </c>
      <c r="O296" s="341"/>
      <c r="P296" s="18">
        <f>'2.1. DM'!R296</f>
        <v>9.2385437392889589</v>
      </c>
      <c r="Q296" s="341"/>
      <c r="R296" s="18">
        <f>'2.1. DM'!T296</f>
        <v>90.761456260711043</v>
      </c>
      <c r="S296" s="341"/>
      <c r="T296" s="30">
        <f>TablePC[[#This Row],[Av DM 105]]</f>
        <v>16.522582538726212</v>
      </c>
      <c r="U296" s="341"/>
      <c r="V296" s="30">
        <f>'2.3 ADF'!Q296</f>
        <v>44.908218704511</v>
      </c>
      <c r="W296" s="341"/>
      <c r="X296" s="30">
        <f>'2.4 NDF'!Q296</f>
        <v>64.315138827128848</v>
      </c>
      <c r="Y296" s="341"/>
    </row>
    <row r="297" spans="3:25" x14ac:dyDescent="0.35">
      <c r="C297" s="199">
        <f>'2.1. DM'!C297</f>
        <v>46062</v>
      </c>
      <c r="D297" s="199" t="str">
        <f>'2.1. DM'!D297</f>
        <v>Genbank</v>
      </c>
      <c r="E297" s="200">
        <f>'2.1. DM'!E297</f>
        <v>30</v>
      </c>
      <c r="F297" s="199" t="str">
        <f>'2.1. DM'!F297</f>
        <v>F260041</v>
      </c>
      <c r="G297" s="199" t="str">
        <f>'2.1. DM'!G297</f>
        <v>CIAT23767</v>
      </c>
      <c r="H297" s="199" t="str">
        <f>'2.1. DM'!H297</f>
        <v>Desmodium</v>
      </c>
      <c r="I297" s="199" t="str">
        <f>'2.1. DM'!I297</f>
        <v>nicaraguense</v>
      </c>
      <c r="J297" s="199" t="str">
        <f>'2.1. DM'!J297</f>
        <v>Desmodium nicaraguense</v>
      </c>
      <c r="K297" s="199" t="str">
        <f>'2.1. DM'!K297</f>
        <v>Fabaceae</v>
      </c>
      <c r="L297" s="199" t="str">
        <f>'2.1. DM'!L297</f>
        <v>Fabales</v>
      </c>
      <c r="M297" s="199" t="str">
        <f>'2.1. DM'!M297</f>
        <v>Shurb_Tree</v>
      </c>
      <c r="N297" s="310">
        <f>'2.1. DM'!P297</f>
        <v>94.952019192323206</v>
      </c>
      <c r="O297" s="341">
        <f t="shared" si="180"/>
        <v>94.996009596161613</v>
      </c>
      <c r="P297" s="18">
        <f>'2.1. DM'!R297</f>
        <v>10.049034236249529</v>
      </c>
      <c r="Q297" s="341">
        <f t="shared" si="181"/>
        <v>10.098414453907923</v>
      </c>
      <c r="R297" s="18">
        <f>'2.1. DM'!T297</f>
        <v>89.950965763750474</v>
      </c>
      <c r="S297" s="341">
        <f t="shared" si="182"/>
        <v>89.901585546092079</v>
      </c>
      <c r="T297" s="30">
        <f>TablePC[[#This Row],[Av DM 105]]</f>
        <v>19.053138278667557</v>
      </c>
      <c r="U297" s="341">
        <f t="shared" si="183"/>
        <v>19.053138278667557</v>
      </c>
      <c r="V297" s="30">
        <f>'2.3 ADF'!Q297</f>
        <v>27.536720677266953</v>
      </c>
      <c r="W297" s="341">
        <f t="shared" ref="W297" si="211">AVERAGE(V297:V298)</f>
        <v>26.899184517815108</v>
      </c>
      <c r="X297" s="30">
        <f>'2.4 NDF'!Q297</f>
        <v>55.906290743822026</v>
      </c>
      <c r="Y297" s="341">
        <f t="shared" si="184"/>
        <v>54.717309601086242</v>
      </c>
    </row>
    <row r="298" spans="3:25" x14ac:dyDescent="0.35">
      <c r="C298" s="199">
        <f>'2.1. DM'!C298</f>
        <v>46062</v>
      </c>
      <c r="D298" s="199" t="str">
        <f>'2.1. DM'!D298</f>
        <v>Genbank</v>
      </c>
      <c r="E298" s="200">
        <f>'2.1. DM'!E298</f>
        <v>30</v>
      </c>
      <c r="F298" s="199" t="str">
        <f>'2.1. DM'!F298</f>
        <v>F260041</v>
      </c>
      <c r="G298" s="199" t="str">
        <f>'2.1. DM'!G298</f>
        <v>CIAT23767</v>
      </c>
      <c r="H298" s="199" t="str">
        <f>'2.1. DM'!H298</f>
        <v>Desmodium</v>
      </c>
      <c r="I298" s="199" t="str">
        <f>'2.1. DM'!I298</f>
        <v>nicaraguense</v>
      </c>
      <c r="J298" s="199" t="str">
        <f>'2.1. DM'!J298</f>
        <v>Desmodium nicaraguense</v>
      </c>
      <c r="K298" s="199" t="str">
        <f>'2.1. DM'!K298</f>
        <v>Fabaceae</v>
      </c>
      <c r="L298" s="199" t="str">
        <f>'2.1. DM'!L298</f>
        <v>Fabales</v>
      </c>
      <c r="M298" s="199" t="str">
        <f>'2.1. DM'!M298</f>
        <v>Shurb_Tree</v>
      </c>
      <c r="N298" s="310">
        <f>'2.1. DM'!P298</f>
        <v>95.04000000000002</v>
      </c>
      <c r="O298" s="341"/>
      <c r="P298" s="18">
        <f>'2.1. DM'!R298</f>
        <v>10.147794671566317</v>
      </c>
      <c r="Q298" s="341"/>
      <c r="R298" s="18">
        <f>'2.1. DM'!T298</f>
        <v>89.852205328433683</v>
      </c>
      <c r="S298" s="341"/>
      <c r="T298" s="30">
        <f>TablePC[[#This Row],[Av DM 105]]</f>
        <v>19.053138278667557</v>
      </c>
      <c r="U298" s="341"/>
      <c r="V298" s="30">
        <f>'2.3 ADF'!Q298</f>
        <v>26.261648358363267</v>
      </c>
      <c r="W298" s="341"/>
      <c r="X298" s="30">
        <f>'2.4 NDF'!Q298</f>
        <v>53.528328458350451</v>
      </c>
      <c r="Y298" s="341"/>
    </row>
    <row r="299" spans="3:25" x14ac:dyDescent="0.35">
      <c r="C299" s="199">
        <f>'2.1. DM'!C299</f>
        <v>46062</v>
      </c>
      <c r="D299" s="199" t="str">
        <f>'2.1. DM'!D299</f>
        <v>Genbank</v>
      </c>
      <c r="E299" s="200">
        <f>'2.1. DM'!E299</f>
        <v>30</v>
      </c>
      <c r="F299" s="199" t="str">
        <f>'2.1. DM'!F299</f>
        <v>F260042</v>
      </c>
      <c r="G299" s="199" t="str">
        <f>'2.1. DM'!G299</f>
        <v>CIAT33127</v>
      </c>
      <c r="H299" s="199" t="str">
        <f>'2.1. DM'!H299</f>
        <v>Codariocalyx</v>
      </c>
      <c r="I299" s="199" t="str">
        <f>'2.1. DM'!I299</f>
        <v>motorius</v>
      </c>
      <c r="J299" s="199" t="str">
        <f>'2.1. DM'!J299</f>
        <v>Codariocalyx motorius</v>
      </c>
      <c r="K299" s="199" t="str">
        <f>'2.1. DM'!K299</f>
        <v>Fabaceae</v>
      </c>
      <c r="L299" s="199" t="str">
        <f>'2.1. DM'!L299</f>
        <v>Fabales</v>
      </c>
      <c r="M299" s="199" t="str">
        <f>'2.1. DM'!M299</f>
        <v>Shurb_Tree</v>
      </c>
      <c r="N299" s="310">
        <f>'2.1. DM'!P299</f>
        <v>95.532233883058467</v>
      </c>
      <c r="O299" s="341">
        <f t="shared" si="180"/>
        <v>95.601549854946512</v>
      </c>
      <c r="P299" s="18">
        <f>'2.1. DM'!R299</f>
        <v>9.3048200969388724</v>
      </c>
      <c r="Q299" s="341">
        <f t="shared" si="181"/>
        <v>9.5310623230814127</v>
      </c>
      <c r="R299" s="18">
        <f>'2.1. DM'!T299</f>
        <v>90.695179903061131</v>
      </c>
      <c r="S299" s="341">
        <f t="shared" si="182"/>
        <v>90.468937676918586</v>
      </c>
      <c r="T299" s="30">
        <f>TablePC[[#This Row],[Av DM 105]]</f>
        <v>13.668304683335682</v>
      </c>
      <c r="U299" s="341">
        <f t="shared" si="183"/>
        <v>13.662068705204028</v>
      </c>
      <c r="V299" s="30">
        <f>'2.3 ADF'!Q299</f>
        <v>43.818620200779108</v>
      </c>
      <c r="W299" s="341">
        <f t="shared" ref="W299" si="212">AVERAGE(V299:V300)</f>
        <v>45.266052677216479</v>
      </c>
      <c r="X299" s="30">
        <f>'2.4 NDF'!Q299</f>
        <v>62.433688343794977</v>
      </c>
      <c r="Y299" s="341">
        <f t="shared" si="184"/>
        <v>64.592618218934177</v>
      </c>
    </row>
    <row r="300" spans="3:25" x14ac:dyDescent="0.35">
      <c r="C300" s="199">
        <f>'2.1. DM'!C300</f>
        <v>46062</v>
      </c>
      <c r="D300" s="199" t="str">
        <f>'2.1. DM'!D300</f>
        <v>Genbank</v>
      </c>
      <c r="E300" s="200">
        <f>'2.1. DM'!E300</f>
        <v>30</v>
      </c>
      <c r="F300" s="199" t="str">
        <f>'2.1. DM'!F300</f>
        <v>F260042</v>
      </c>
      <c r="G300" s="199" t="str">
        <f>'2.1. DM'!G300</f>
        <v>CIAT33127</v>
      </c>
      <c r="H300" s="199" t="str">
        <f>'2.1. DM'!H300</f>
        <v>Codariocalyx</v>
      </c>
      <c r="I300" s="199" t="str">
        <f>'2.1. DM'!I300</f>
        <v>motorius</v>
      </c>
      <c r="J300" s="199" t="str">
        <f>'2.1. DM'!J300</f>
        <v>Codariocalyx motorius</v>
      </c>
      <c r="K300" s="199" t="str">
        <f>'2.1. DM'!K300</f>
        <v>Fabaceae</v>
      </c>
      <c r="L300" s="199" t="str">
        <f>'2.1. DM'!L300</f>
        <v>Fabales</v>
      </c>
      <c r="M300" s="199" t="str">
        <f>'2.1. DM'!M300</f>
        <v>Shurb_Tree</v>
      </c>
      <c r="N300" s="310">
        <f>'2.1. DM'!P300</f>
        <v>95.670865826834557</v>
      </c>
      <c r="O300" s="341"/>
      <c r="P300" s="18">
        <f>'2.1. DM'!R300</f>
        <v>9.757304549223953</v>
      </c>
      <c r="Q300" s="341"/>
      <c r="R300" s="18">
        <f>'2.1. DM'!T300</f>
        <v>90.24269545077604</v>
      </c>
      <c r="S300" s="341"/>
      <c r="T300" s="30">
        <f>TablePC[[#This Row],[Av DM 105]]</f>
        <v>13.655832727072376</v>
      </c>
      <c r="U300" s="341"/>
      <c r="V300" s="30">
        <f>'2.3 ADF'!Q300</f>
        <v>46.713485153653842</v>
      </c>
      <c r="W300" s="341"/>
      <c r="X300" s="30">
        <f>'2.4 NDF'!Q300</f>
        <v>66.751548094073385</v>
      </c>
      <c r="Y300" s="341"/>
    </row>
    <row r="301" spans="3:25" x14ac:dyDescent="0.35">
      <c r="C301" s="199">
        <f>'2.1. DM'!C301</f>
        <v>46062</v>
      </c>
      <c r="D301" s="199" t="str">
        <f>'2.1. DM'!D301</f>
        <v>Breeding</v>
      </c>
      <c r="E301" s="200">
        <f>'2.1. DM'!E301</f>
        <v>30</v>
      </c>
      <c r="F301" s="199" t="str">
        <f>'2.1. DM'!F301</f>
        <v>F252104</v>
      </c>
      <c r="G301" s="199" t="str">
        <f>'2.1. DM'!G301</f>
        <v>CIAT-BR06_1348</v>
      </c>
      <c r="H301" s="199" t="str">
        <f>'2.1. DM'!H301</f>
        <v>Urochloa</v>
      </c>
      <c r="I301" s="199" t="str">
        <f>'2.1. DM'!I301</f>
        <v>interespecifico</v>
      </c>
      <c r="J301" s="199" t="str">
        <f>'2.1. DM'!J301</f>
        <v>Brachiaria interespecifico</v>
      </c>
      <c r="K301" s="199" t="str">
        <f>'2.1. DM'!K301</f>
        <v>Poaceae</v>
      </c>
      <c r="L301" s="199" t="str">
        <f>'2.1. DM'!L301</f>
        <v>Poales</v>
      </c>
      <c r="M301" s="199" t="str">
        <f>'2.1. DM'!M301</f>
        <v>grasses</v>
      </c>
      <c r="N301" s="310">
        <f>'2.1. DM'!P301</f>
        <v>93.02</v>
      </c>
      <c r="O301" s="341">
        <f t="shared" si="180"/>
        <v>93.09</v>
      </c>
      <c r="P301" s="18">
        <f>'2.1. DM'!R301</f>
        <v>14.27</v>
      </c>
      <c r="Q301" s="341">
        <f t="shared" si="181"/>
        <v>14.475</v>
      </c>
      <c r="R301" s="18">
        <f>'2.1. DM'!T301</f>
        <v>85.73</v>
      </c>
      <c r="S301" s="341">
        <f t="shared" si="182"/>
        <v>85.525000000000006</v>
      </c>
      <c r="T301" s="30">
        <f>TablePC[[#This Row],[Av DM 105]]</f>
        <v>12.27</v>
      </c>
      <c r="U301" s="341">
        <f t="shared" si="183"/>
        <v>12.225</v>
      </c>
      <c r="V301" s="30">
        <f>'2.3 ADF'!Q301</f>
        <v>25.43</v>
      </c>
      <c r="W301" s="341">
        <f t="shared" ref="W301" si="213">AVERAGE(V301:V302)</f>
        <v>25.64</v>
      </c>
      <c r="X301" s="30">
        <f>'2.4 NDF'!Q301</f>
        <v>59.24</v>
      </c>
      <c r="Y301" s="341">
        <f t="shared" si="184"/>
        <v>59.760000000000005</v>
      </c>
    </row>
    <row r="302" spans="3:25" x14ac:dyDescent="0.35">
      <c r="C302" s="199">
        <f>'2.1. DM'!C302</f>
        <v>46062</v>
      </c>
      <c r="D302" s="199" t="str">
        <f>'2.1. DM'!D302</f>
        <v>Breeding</v>
      </c>
      <c r="E302" s="200">
        <f>'2.1. DM'!E302</f>
        <v>30</v>
      </c>
      <c r="F302" s="199" t="str">
        <f>'2.1. DM'!F302</f>
        <v>F252104</v>
      </c>
      <c r="G302" s="199" t="str">
        <f>'2.1. DM'!G302</f>
        <v>CIAT-BR06_1348</v>
      </c>
      <c r="H302" s="199" t="str">
        <f>'2.1. DM'!H302</f>
        <v>Urochloa</v>
      </c>
      <c r="I302" s="199" t="str">
        <f>'2.1. DM'!I302</f>
        <v>interespecifico</v>
      </c>
      <c r="J302" s="199" t="str">
        <f>'2.1. DM'!J302</f>
        <v>Brachiaria interespecifico</v>
      </c>
      <c r="K302" s="199" t="str">
        <f>'2.1. DM'!K302</f>
        <v>Poaceae</v>
      </c>
      <c r="L302" s="199" t="str">
        <f>'2.1. DM'!L302</f>
        <v>Poales</v>
      </c>
      <c r="M302" s="199" t="str">
        <f>'2.1. DM'!M302</f>
        <v>grasses</v>
      </c>
      <c r="N302" s="310">
        <f>'2.1. DM'!P302</f>
        <v>93.16</v>
      </c>
      <c r="O302" s="341"/>
      <c r="P302" s="18">
        <f>'2.1. DM'!R302</f>
        <v>14.68</v>
      </c>
      <c r="Q302" s="341"/>
      <c r="R302" s="18">
        <f>'2.1. DM'!T302</f>
        <v>85.32</v>
      </c>
      <c r="S302" s="341"/>
      <c r="T302" s="30">
        <f>TablePC[[#This Row],[Av DM 105]]</f>
        <v>12.18</v>
      </c>
      <c r="U302" s="341"/>
      <c r="V302" s="30">
        <f>'2.3 ADF'!Q302</f>
        <v>25.85</v>
      </c>
      <c r="W302" s="341"/>
      <c r="X302" s="30">
        <f>'2.4 NDF'!Q302</f>
        <v>60.28</v>
      </c>
      <c r="Y302" s="341"/>
    </row>
    <row r="303" spans="3:25" x14ac:dyDescent="0.35">
      <c r="C303" s="199">
        <f>'2.1. DM'!C303</f>
        <v>46062</v>
      </c>
      <c r="D303" s="199" t="str">
        <f>'2.1. DM'!D303</f>
        <v>Breeding</v>
      </c>
      <c r="E303" s="200">
        <f>'2.1. DM'!E303</f>
        <v>30</v>
      </c>
      <c r="F303" s="199" t="str">
        <f>'2.1. DM'!F303</f>
        <v>F252166</v>
      </c>
      <c r="G303" s="199" t="str">
        <f>'2.1. DM'!G303</f>
        <v>CIAT-BH22_0528</v>
      </c>
      <c r="H303" s="199" t="str">
        <f>'2.1. DM'!H303</f>
        <v>Urochloa</v>
      </c>
      <c r="I303" s="199" t="str">
        <f>'2.1. DM'!I303</f>
        <v>humidicola</v>
      </c>
      <c r="J303" s="199" t="str">
        <f>'2.1. DM'!J303</f>
        <v>Urochloa humidicola</v>
      </c>
      <c r="K303" s="199" t="str">
        <f>'2.1. DM'!K303</f>
        <v>Poaceae</v>
      </c>
      <c r="L303" s="199" t="str">
        <f>'2.1. DM'!L303</f>
        <v>Poales</v>
      </c>
      <c r="M303" s="199" t="str">
        <f>'2.1. DM'!M303</f>
        <v>grasses</v>
      </c>
      <c r="N303" s="310">
        <f>'2.1. DM'!P303</f>
        <v>98.22</v>
      </c>
      <c r="O303" s="341">
        <f t="shared" si="180"/>
        <v>98.210000000000008</v>
      </c>
      <c r="P303" s="18">
        <f>'2.1. DM'!R303</f>
        <v>15.08</v>
      </c>
      <c r="Q303" s="341">
        <f t="shared" si="181"/>
        <v>13.780000000000001</v>
      </c>
      <c r="R303" s="18">
        <f>'2.1. DM'!T303</f>
        <v>84.92</v>
      </c>
      <c r="S303" s="341">
        <f t="shared" si="182"/>
        <v>86.22</v>
      </c>
      <c r="T303" s="30">
        <f>TablePC[[#This Row],[Av DM 105]]</f>
        <v>8.73</v>
      </c>
      <c r="U303" s="341">
        <f t="shared" si="183"/>
        <v>8.7650000000000006</v>
      </c>
      <c r="V303" s="30">
        <f>'2.3 ADF'!Q303</f>
        <v>36.96</v>
      </c>
      <c r="W303" s="341">
        <f t="shared" ref="W303" si="214">AVERAGE(V303:V304)</f>
        <v>36.795000000000002</v>
      </c>
      <c r="X303" s="30">
        <f>'2.4 NDF'!Q303</f>
        <v>73.739999999999995</v>
      </c>
      <c r="Y303" s="341">
        <f t="shared" si="184"/>
        <v>73.555000000000007</v>
      </c>
    </row>
    <row r="304" spans="3:25" x14ac:dyDescent="0.35">
      <c r="C304" s="199">
        <f>'2.1. DM'!C304</f>
        <v>46062</v>
      </c>
      <c r="D304" s="199" t="str">
        <f>'2.1. DM'!D304</f>
        <v>Breeding</v>
      </c>
      <c r="E304" s="200">
        <f>'2.1. DM'!E304</f>
        <v>30</v>
      </c>
      <c r="F304" s="199" t="str">
        <f>'2.1. DM'!F304</f>
        <v>F252166</v>
      </c>
      <c r="G304" s="199" t="str">
        <f>'2.1. DM'!G304</f>
        <v>CIAT-BH22_0528</v>
      </c>
      <c r="H304" s="199" t="str">
        <f>'2.1. DM'!H304</f>
        <v>Urochloa</v>
      </c>
      <c r="I304" s="199" t="str">
        <f>'2.1. DM'!I304</f>
        <v>humidicola</v>
      </c>
      <c r="J304" s="199" t="str">
        <f>'2.1. DM'!J304</f>
        <v>Urochloa humidicola</v>
      </c>
      <c r="K304" s="199" t="str">
        <f>'2.1. DM'!K304</f>
        <v>Poaceae</v>
      </c>
      <c r="L304" s="199" t="str">
        <f>'2.1. DM'!L304</f>
        <v>Poales</v>
      </c>
      <c r="M304" s="199" t="str">
        <f>'2.1. DM'!M304</f>
        <v>grasses</v>
      </c>
      <c r="N304" s="310">
        <f>'2.1. DM'!P304</f>
        <v>98.2</v>
      </c>
      <c r="O304" s="341"/>
      <c r="P304" s="18">
        <f>'2.1. DM'!R304</f>
        <v>12.48</v>
      </c>
      <c r="Q304" s="341"/>
      <c r="R304" s="18">
        <f>'2.1. DM'!T304</f>
        <v>87.52</v>
      </c>
      <c r="S304" s="341"/>
      <c r="T304" s="30">
        <f>TablePC[[#This Row],[Av DM 105]]</f>
        <v>8.8000000000000007</v>
      </c>
      <c r="U304" s="341"/>
      <c r="V304" s="30">
        <f>'2.3 ADF'!Q304</f>
        <v>36.630000000000003</v>
      </c>
      <c r="W304" s="341"/>
      <c r="X304" s="30">
        <f>'2.4 NDF'!Q304</f>
        <v>73.37</v>
      </c>
      <c r="Y304" s="341"/>
    </row>
    <row r="305" spans="3:25" x14ac:dyDescent="0.35">
      <c r="C305" s="199">
        <f>'2.1. DM'!C305</f>
        <v>46062</v>
      </c>
      <c r="D305" s="199" t="str">
        <f>'2.1. DM'!D305</f>
        <v>Jacobo Arango/ Alejandro Montoya</v>
      </c>
      <c r="E305" s="200">
        <f>'2.1. DM'!E305</f>
        <v>30</v>
      </c>
      <c r="F305" s="199" t="str">
        <f>'2.1. DM'!F305</f>
        <v>F250008</v>
      </c>
      <c r="G305" s="199" t="str">
        <f>'2.1. DM'!G305</f>
        <v>Sample 8</v>
      </c>
      <c r="H305" s="199" t="str">
        <f>'2.1. DM'!H305</f>
        <v>Cynodon</v>
      </c>
      <c r="I305" s="199" t="str">
        <f>'2.1. DM'!I305</f>
        <v xml:space="preserve"> nlemfuensis </v>
      </c>
      <c r="J305" s="199" t="str">
        <f>'2.1. DM'!J305</f>
        <v xml:space="preserve">Cynodon nlemfuensis </v>
      </c>
      <c r="K305" s="199" t="str">
        <f>'2.1. DM'!K305</f>
        <v>Poaceae</v>
      </c>
      <c r="L305" s="199" t="str">
        <f>'2.1. DM'!L305</f>
        <v>Poales</v>
      </c>
      <c r="M305" s="199" t="str">
        <f>'2.1. DM'!M305</f>
        <v>grasses</v>
      </c>
      <c r="N305" s="310">
        <f>'2.1. DM'!P305</f>
        <v>93.6</v>
      </c>
      <c r="O305" s="341">
        <f t="shared" si="180"/>
        <v>93.699999999999989</v>
      </c>
      <c r="P305" s="18">
        <f>'2.1. DM'!R305</f>
        <v>11.3</v>
      </c>
      <c r="Q305" s="341">
        <f t="shared" si="181"/>
        <v>11.4</v>
      </c>
      <c r="R305" s="18">
        <f>'2.1. DM'!T305</f>
        <v>88.7</v>
      </c>
      <c r="S305" s="341">
        <f t="shared" si="182"/>
        <v>88.6</v>
      </c>
      <c r="T305" s="30">
        <f>TablePC[[#This Row],[Av DM 105]]</f>
        <v>13.1</v>
      </c>
      <c r="U305" s="341">
        <f t="shared" si="183"/>
        <v>13.1</v>
      </c>
      <c r="V305" s="30">
        <f>'2.3 ADF'!Q305</f>
        <v>37.799999999999997</v>
      </c>
      <c r="W305" s="341">
        <f t="shared" ref="W305" si="215">AVERAGE(V305:V306)</f>
        <v>37.799999999999997</v>
      </c>
      <c r="X305" s="30">
        <f>'2.4 NDF'!Q305</f>
        <v>76.099999999999994</v>
      </c>
      <c r="Y305" s="341">
        <f t="shared" si="184"/>
        <v>76.099999999999994</v>
      </c>
    </row>
    <row r="306" spans="3:25" x14ac:dyDescent="0.35">
      <c r="C306" s="199">
        <f>'2.1. DM'!C306</f>
        <v>46062</v>
      </c>
      <c r="D306" s="199" t="str">
        <f>'2.1. DM'!D306</f>
        <v>Jacobo Arango/ Alejandro Montoya</v>
      </c>
      <c r="E306" s="200">
        <f>'2.1. DM'!E306</f>
        <v>30</v>
      </c>
      <c r="F306" s="199" t="str">
        <f>'2.1. DM'!F306</f>
        <v>F250008</v>
      </c>
      <c r="G306" s="199" t="str">
        <f>'2.1. DM'!G306</f>
        <v>Sample 8</v>
      </c>
      <c r="H306" s="199" t="str">
        <f>'2.1. DM'!H306</f>
        <v>Cynodon</v>
      </c>
      <c r="I306" s="199" t="str">
        <f>'2.1. DM'!I306</f>
        <v xml:space="preserve"> nlemfuensis </v>
      </c>
      <c r="J306" s="199" t="str">
        <f>'2.1. DM'!J306</f>
        <v xml:space="preserve">Cynodon nlemfuensis </v>
      </c>
      <c r="K306" s="199" t="str">
        <f>'2.1. DM'!K306</f>
        <v>Poaceae</v>
      </c>
      <c r="L306" s="199" t="str">
        <f>'2.1. DM'!L306</f>
        <v>Poales</v>
      </c>
      <c r="M306" s="199" t="str">
        <f>'2.1. DM'!M306</f>
        <v>grasses</v>
      </c>
      <c r="N306" s="310">
        <f>'2.1. DM'!P306</f>
        <v>93.8</v>
      </c>
      <c r="O306" s="341"/>
      <c r="P306" s="18">
        <f>'2.1. DM'!R306</f>
        <v>11.5</v>
      </c>
      <c r="Q306" s="341"/>
      <c r="R306" s="18">
        <f>'2.1. DM'!T306</f>
        <v>88.5</v>
      </c>
      <c r="S306" s="341"/>
      <c r="T306" s="30">
        <f>TablePC[[#This Row],[Av DM 105]]</f>
        <v>13.1</v>
      </c>
      <c r="U306" s="341"/>
      <c r="V306" s="30">
        <f>'2.3 ADF'!Q306</f>
        <v>37.799999999999997</v>
      </c>
      <c r="W306" s="341"/>
      <c r="X306" s="30">
        <f>'2.4 NDF'!Q306</f>
        <v>76.099999999999994</v>
      </c>
      <c r="Y306" s="341"/>
    </row>
    <row r="307" spans="3:25" x14ac:dyDescent="0.35">
      <c r="C307" s="199"/>
      <c r="D307" s="199"/>
      <c r="E307" s="200"/>
      <c r="F307" s="199"/>
      <c r="G307" s="199"/>
      <c r="H307" s="199"/>
      <c r="I307" s="199"/>
      <c r="J307" s="199"/>
      <c r="K307" s="199"/>
      <c r="L307" s="199"/>
      <c r="M307" s="199"/>
    </row>
    <row r="308" spans="3:25" x14ac:dyDescent="0.35">
      <c r="C308" s="199"/>
      <c r="D308" s="199"/>
      <c r="E308" s="200"/>
      <c r="F308" s="199"/>
      <c r="G308" s="199"/>
      <c r="H308" s="199"/>
      <c r="I308" s="199"/>
      <c r="J308" s="199"/>
      <c r="K308" s="199"/>
      <c r="L308" s="199"/>
      <c r="M308" s="199"/>
    </row>
    <row r="309" spans="3:25" x14ac:dyDescent="0.35">
      <c r="C309" s="199"/>
      <c r="D309" s="199"/>
      <c r="E309" s="200"/>
      <c r="F309" s="199"/>
      <c r="G309" s="199"/>
      <c r="H309" s="199"/>
      <c r="I309" s="199"/>
      <c r="J309" s="199"/>
      <c r="K309" s="199"/>
      <c r="L309" s="199"/>
      <c r="M309" s="199"/>
    </row>
    <row r="310" spans="3:25" x14ac:dyDescent="0.35">
      <c r="C310" s="199"/>
      <c r="D310" s="199"/>
      <c r="E310" s="200"/>
      <c r="F310" s="199"/>
      <c r="G310" s="199"/>
      <c r="H310" s="199"/>
      <c r="I310" s="199"/>
      <c r="J310" s="199"/>
      <c r="K310" s="199"/>
      <c r="L310" s="199"/>
      <c r="M310" s="199"/>
    </row>
  </sheetData>
  <autoFilter ref="B10:Y306" xr:uid="{17F407B5-28C7-4695-BF43-32339A27C45E}"/>
  <mergeCells count="889">
    <mergeCell ref="O239:O240"/>
    <mergeCell ref="Q239:Q240"/>
    <mergeCell ref="O233:O234"/>
    <mergeCell ref="Q233:Q234"/>
    <mergeCell ref="O235:O236"/>
    <mergeCell ref="Q235:Q236"/>
    <mergeCell ref="O237:O238"/>
    <mergeCell ref="Q237:Q238"/>
    <mergeCell ref="O227:O228"/>
    <mergeCell ref="Q227:Q228"/>
    <mergeCell ref="O229:O230"/>
    <mergeCell ref="Q229:Q230"/>
    <mergeCell ref="O231:O232"/>
    <mergeCell ref="Q231:Q232"/>
    <mergeCell ref="O221:O222"/>
    <mergeCell ref="Q221:Q222"/>
    <mergeCell ref="O223:O224"/>
    <mergeCell ref="Q223:Q224"/>
    <mergeCell ref="O225:O226"/>
    <mergeCell ref="Q225:Q226"/>
    <mergeCell ref="O215:O216"/>
    <mergeCell ref="Q215:Q216"/>
    <mergeCell ref="O217:O218"/>
    <mergeCell ref="Q217:Q218"/>
    <mergeCell ref="O219:O220"/>
    <mergeCell ref="Q219:Q220"/>
    <mergeCell ref="O209:O210"/>
    <mergeCell ref="Q209:Q210"/>
    <mergeCell ref="O211:O212"/>
    <mergeCell ref="Q211:Q212"/>
    <mergeCell ref="O213:O214"/>
    <mergeCell ref="Q213:Q214"/>
    <mergeCell ref="O203:O204"/>
    <mergeCell ref="Q203:Q204"/>
    <mergeCell ref="O205:O206"/>
    <mergeCell ref="Q205:Q206"/>
    <mergeCell ref="O207:O208"/>
    <mergeCell ref="Q207:Q208"/>
    <mergeCell ref="O197:O198"/>
    <mergeCell ref="Q197:Q198"/>
    <mergeCell ref="O199:O200"/>
    <mergeCell ref="Q199:Q200"/>
    <mergeCell ref="O201:O202"/>
    <mergeCell ref="Q201:Q202"/>
    <mergeCell ref="O191:O192"/>
    <mergeCell ref="Q191:Q192"/>
    <mergeCell ref="O193:O194"/>
    <mergeCell ref="Q193:Q194"/>
    <mergeCell ref="O195:O196"/>
    <mergeCell ref="Q195:Q196"/>
    <mergeCell ref="O185:O186"/>
    <mergeCell ref="Q185:Q186"/>
    <mergeCell ref="O187:O188"/>
    <mergeCell ref="Q187:Q188"/>
    <mergeCell ref="O189:O190"/>
    <mergeCell ref="Q189:Q190"/>
    <mergeCell ref="O179:O180"/>
    <mergeCell ref="Q179:Q180"/>
    <mergeCell ref="O181:O182"/>
    <mergeCell ref="Q181:Q182"/>
    <mergeCell ref="O183:O184"/>
    <mergeCell ref="Q183:Q184"/>
    <mergeCell ref="O173:O174"/>
    <mergeCell ref="Q173:Q174"/>
    <mergeCell ref="O175:O176"/>
    <mergeCell ref="Q175:Q176"/>
    <mergeCell ref="O177:O178"/>
    <mergeCell ref="Q177:Q178"/>
    <mergeCell ref="O167:O168"/>
    <mergeCell ref="Q167:Q168"/>
    <mergeCell ref="O169:O170"/>
    <mergeCell ref="Q169:Q170"/>
    <mergeCell ref="O171:O172"/>
    <mergeCell ref="Q171:Q172"/>
    <mergeCell ref="O161:O162"/>
    <mergeCell ref="Q161:Q162"/>
    <mergeCell ref="O163:O164"/>
    <mergeCell ref="Q163:Q164"/>
    <mergeCell ref="O165:O166"/>
    <mergeCell ref="Q165:Q166"/>
    <mergeCell ref="O155:O156"/>
    <mergeCell ref="Q155:Q156"/>
    <mergeCell ref="O157:O158"/>
    <mergeCell ref="Q157:Q158"/>
    <mergeCell ref="O159:O160"/>
    <mergeCell ref="Q159:Q160"/>
    <mergeCell ref="O149:O150"/>
    <mergeCell ref="Q149:Q150"/>
    <mergeCell ref="O151:O152"/>
    <mergeCell ref="Q151:Q152"/>
    <mergeCell ref="O153:O154"/>
    <mergeCell ref="Q153:Q154"/>
    <mergeCell ref="O143:O144"/>
    <mergeCell ref="Q143:Q144"/>
    <mergeCell ref="O145:O146"/>
    <mergeCell ref="Q145:Q146"/>
    <mergeCell ref="O147:O148"/>
    <mergeCell ref="Q147:Q148"/>
    <mergeCell ref="O137:O138"/>
    <mergeCell ref="Q137:Q138"/>
    <mergeCell ref="O139:O140"/>
    <mergeCell ref="Q139:Q140"/>
    <mergeCell ref="O141:O142"/>
    <mergeCell ref="Q141:Q142"/>
    <mergeCell ref="O131:O132"/>
    <mergeCell ref="Q131:Q132"/>
    <mergeCell ref="O133:O134"/>
    <mergeCell ref="Q133:Q134"/>
    <mergeCell ref="O135:O136"/>
    <mergeCell ref="Q135:Q136"/>
    <mergeCell ref="O125:O126"/>
    <mergeCell ref="Q125:Q126"/>
    <mergeCell ref="O127:O128"/>
    <mergeCell ref="Q127:Q128"/>
    <mergeCell ref="O129:O130"/>
    <mergeCell ref="Q129:Q130"/>
    <mergeCell ref="O119:O120"/>
    <mergeCell ref="Q119:Q120"/>
    <mergeCell ref="O121:O122"/>
    <mergeCell ref="Q121:Q122"/>
    <mergeCell ref="O123:O124"/>
    <mergeCell ref="Q123:Q124"/>
    <mergeCell ref="O113:O114"/>
    <mergeCell ref="Q113:Q114"/>
    <mergeCell ref="O115:O116"/>
    <mergeCell ref="Q115:Q116"/>
    <mergeCell ref="O117:O118"/>
    <mergeCell ref="Q117:Q118"/>
    <mergeCell ref="O107:O108"/>
    <mergeCell ref="Q107:Q108"/>
    <mergeCell ref="O109:O110"/>
    <mergeCell ref="Q109:Q110"/>
    <mergeCell ref="O111:O112"/>
    <mergeCell ref="Q111:Q112"/>
    <mergeCell ref="O101:O102"/>
    <mergeCell ref="Q101:Q102"/>
    <mergeCell ref="O103:O104"/>
    <mergeCell ref="Q103:Q104"/>
    <mergeCell ref="O105:O106"/>
    <mergeCell ref="Q105:Q106"/>
    <mergeCell ref="O95:O96"/>
    <mergeCell ref="Q95:Q96"/>
    <mergeCell ref="O97:O98"/>
    <mergeCell ref="Q97:Q98"/>
    <mergeCell ref="O99:O100"/>
    <mergeCell ref="Q99:Q100"/>
    <mergeCell ref="O89:O90"/>
    <mergeCell ref="Q89:Q90"/>
    <mergeCell ref="O91:O92"/>
    <mergeCell ref="Q91:Q92"/>
    <mergeCell ref="O93:O94"/>
    <mergeCell ref="Q93:Q94"/>
    <mergeCell ref="O83:O84"/>
    <mergeCell ref="Q83:Q84"/>
    <mergeCell ref="O85:O86"/>
    <mergeCell ref="Q85:Q86"/>
    <mergeCell ref="O87:O88"/>
    <mergeCell ref="Q87:Q88"/>
    <mergeCell ref="O77:O78"/>
    <mergeCell ref="Q77:Q78"/>
    <mergeCell ref="O79:O80"/>
    <mergeCell ref="Q79:Q80"/>
    <mergeCell ref="O81:O82"/>
    <mergeCell ref="Q81:Q82"/>
    <mergeCell ref="O71:O72"/>
    <mergeCell ref="Q71:Q72"/>
    <mergeCell ref="O73:O74"/>
    <mergeCell ref="Q73:Q74"/>
    <mergeCell ref="O75:O76"/>
    <mergeCell ref="Q75:Q76"/>
    <mergeCell ref="O65:O66"/>
    <mergeCell ref="Q65:Q66"/>
    <mergeCell ref="O67:O68"/>
    <mergeCell ref="Q67:Q68"/>
    <mergeCell ref="O69:O70"/>
    <mergeCell ref="Q69:Q70"/>
    <mergeCell ref="O59:O60"/>
    <mergeCell ref="Q59:Q60"/>
    <mergeCell ref="O61:O62"/>
    <mergeCell ref="Q61:Q62"/>
    <mergeCell ref="O63:O64"/>
    <mergeCell ref="Q63:Q64"/>
    <mergeCell ref="O53:O54"/>
    <mergeCell ref="Q53:Q54"/>
    <mergeCell ref="O55:O56"/>
    <mergeCell ref="Q55:Q56"/>
    <mergeCell ref="O57:O58"/>
    <mergeCell ref="Q57:Q58"/>
    <mergeCell ref="O47:O48"/>
    <mergeCell ref="Q47:Q48"/>
    <mergeCell ref="O49:O50"/>
    <mergeCell ref="Q49:Q50"/>
    <mergeCell ref="O51:O52"/>
    <mergeCell ref="Q51:Q52"/>
    <mergeCell ref="O41:O42"/>
    <mergeCell ref="Q41:Q42"/>
    <mergeCell ref="O43:O44"/>
    <mergeCell ref="Q43:Q44"/>
    <mergeCell ref="O45:O46"/>
    <mergeCell ref="Q45:Q46"/>
    <mergeCell ref="O35:O36"/>
    <mergeCell ref="Q35:Q36"/>
    <mergeCell ref="O37:O38"/>
    <mergeCell ref="Q37:Q38"/>
    <mergeCell ref="O39:O40"/>
    <mergeCell ref="Q39:Q40"/>
    <mergeCell ref="O29:O30"/>
    <mergeCell ref="Q29:Q30"/>
    <mergeCell ref="O31:O32"/>
    <mergeCell ref="Q31:Q32"/>
    <mergeCell ref="O33:O34"/>
    <mergeCell ref="Q33:Q34"/>
    <mergeCell ref="O23:O24"/>
    <mergeCell ref="Q23:Q24"/>
    <mergeCell ref="O25:O26"/>
    <mergeCell ref="Q25:Q26"/>
    <mergeCell ref="O27:O28"/>
    <mergeCell ref="Q27:Q28"/>
    <mergeCell ref="O17:O18"/>
    <mergeCell ref="Q17:Q18"/>
    <mergeCell ref="O19:O20"/>
    <mergeCell ref="Q19:Q20"/>
    <mergeCell ref="O21:O22"/>
    <mergeCell ref="Q21:Q22"/>
    <mergeCell ref="O11:O12"/>
    <mergeCell ref="Q11:Q12"/>
    <mergeCell ref="O13:O14"/>
    <mergeCell ref="Q13:Q14"/>
    <mergeCell ref="O15:O16"/>
    <mergeCell ref="Q15:Q16"/>
    <mergeCell ref="S11:S12"/>
    <mergeCell ref="S13:S14"/>
    <mergeCell ref="S15:S16"/>
    <mergeCell ref="S17:S18"/>
    <mergeCell ref="S19:S20"/>
    <mergeCell ref="S21:S22"/>
    <mergeCell ref="S23:S24"/>
    <mergeCell ref="S25:S26"/>
    <mergeCell ref="S27:S28"/>
    <mergeCell ref="S29:S30"/>
    <mergeCell ref="S31:S32"/>
    <mergeCell ref="S33:S34"/>
    <mergeCell ref="S35:S36"/>
    <mergeCell ref="S37:S38"/>
    <mergeCell ref="S39:S40"/>
    <mergeCell ref="S41:S42"/>
    <mergeCell ref="S43:S44"/>
    <mergeCell ref="S45:S46"/>
    <mergeCell ref="S47:S48"/>
    <mergeCell ref="S49:S50"/>
    <mergeCell ref="S51:S52"/>
    <mergeCell ref="S53:S54"/>
    <mergeCell ref="S55:S56"/>
    <mergeCell ref="S57:S58"/>
    <mergeCell ref="S59:S60"/>
    <mergeCell ref="S61:S62"/>
    <mergeCell ref="S63:S64"/>
    <mergeCell ref="S65:S66"/>
    <mergeCell ref="S67:S68"/>
    <mergeCell ref="S69:S70"/>
    <mergeCell ref="S71:S72"/>
    <mergeCell ref="S73:S74"/>
    <mergeCell ref="S75:S76"/>
    <mergeCell ref="S77:S78"/>
    <mergeCell ref="S79:S80"/>
    <mergeCell ref="S81:S82"/>
    <mergeCell ref="S83:S84"/>
    <mergeCell ref="S85:S86"/>
    <mergeCell ref="S87:S88"/>
    <mergeCell ref="S89:S90"/>
    <mergeCell ref="S91:S92"/>
    <mergeCell ref="S93:S94"/>
    <mergeCell ref="S95:S96"/>
    <mergeCell ref="S97:S98"/>
    <mergeCell ref="S99:S100"/>
    <mergeCell ref="S101:S102"/>
    <mergeCell ref="S103:S104"/>
    <mergeCell ref="S105:S106"/>
    <mergeCell ref="S107:S108"/>
    <mergeCell ref="S109:S110"/>
    <mergeCell ref="S111:S112"/>
    <mergeCell ref="S113:S114"/>
    <mergeCell ref="S115:S116"/>
    <mergeCell ref="S117:S118"/>
    <mergeCell ref="S119:S120"/>
    <mergeCell ref="S121:S122"/>
    <mergeCell ref="S123:S124"/>
    <mergeCell ref="S125:S126"/>
    <mergeCell ref="S127:S128"/>
    <mergeCell ref="S129:S130"/>
    <mergeCell ref="S131:S132"/>
    <mergeCell ref="S133:S134"/>
    <mergeCell ref="S135:S136"/>
    <mergeCell ref="S137:S138"/>
    <mergeCell ref="S139:S140"/>
    <mergeCell ref="S141:S142"/>
    <mergeCell ref="S143:S144"/>
    <mergeCell ref="S145:S146"/>
    <mergeCell ref="S147:S148"/>
    <mergeCell ref="S149:S150"/>
    <mergeCell ref="S151:S152"/>
    <mergeCell ref="S153:S154"/>
    <mergeCell ref="S155:S156"/>
    <mergeCell ref="S157:S158"/>
    <mergeCell ref="S159:S160"/>
    <mergeCell ref="S191:S192"/>
    <mergeCell ref="S193:S194"/>
    <mergeCell ref="S195:S196"/>
    <mergeCell ref="S161:S162"/>
    <mergeCell ref="S163:S164"/>
    <mergeCell ref="S165:S166"/>
    <mergeCell ref="S167:S168"/>
    <mergeCell ref="S169:S170"/>
    <mergeCell ref="S171:S172"/>
    <mergeCell ref="S173:S174"/>
    <mergeCell ref="S175:S176"/>
    <mergeCell ref="S177:S178"/>
    <mergeCell ref="S235:S236"/>
    <mergeCell ref="S237:S238"/>
    <mergeCell ref="S239:S240"/>
    <mergeCell ref="S215:S216"/>
    <mergeCell ref="S217:S218"/>
    <mergeCell ref="S219:S220"/>
    <mergeCell ref="S221:S222"/>
    <mergeCell ref="S223:S224"/>
    <mergeCell ref="S225:S226"/>
    <mergeCell ref="S227:S228"/>
    <mergeCell ref="S229:S230"/>
    <mergeCell ref="S231:S232"/>
    <mergeCell ref="U29:U30"/>
    <mergeCell ref="U31:U32"/>
    <mergeCell ref="U33:U34"/>
    <mergeCell ref="U35:U36"/>
    <mergeCell ref="U37:U38"/>
    <mergeCell ref="U39:U40"/>
    <mergeCell ref="U41:U42"/>
    <mergeCell ref="U43:U44"/>
    <mergeCell ref="S233:S234"/>
    <mergeCell ref="S197:S198"/>
    <mergeCell ref="S199:S200"/>
    <mergeCell ref="S201:S202"/>
    <mergeCell ref="S203:S204"/>
    <mergeCell ref="S205:S206"/>
    <mergeCell ref="S207:S208"/>
    <mergeCell ref="S209:S210"/>
    <mergeCell ref="S211:S212"/>
    <mergeCell ref="S213:S214"/>
    <mergeCell ref="S179:S180"/>
    <mergeCell ref="S181:S182"/>
    <mergeCell ref="S183:S184"/>
    <mergeCell ref="S185:S186"/>
    <mergeCell ref="S187:S188"/>
    <mergeCell ref="S189:S190"/>
    <mergeCell ref="U11:U12"/>
    <mergeCell ref="U13:U14"/>
    <mergeCell ref="U15:U16"/>
    <mergeCell ref="U17:U18"/>
    <mergeCell ref="U19:U20"/>
    <mergeCell ref="U21:U22"/>
    <mergeCell ref="U23:U24"/>
    <mergeCell ref="U25:U26"/>
    <mergeCell ref="U27:U28"/>
    <mergeCell ref="U81:U82"/>
    <mergeCell ref="U83:U84"/>
    <mergeCell ref="U85:U86"/>
    <mergeCell ref="U87:U88"/>
    <mergeCell ref="U89:U90"/>
    <mergeCell ref="U91:U92"/>
    <mergeCell ref="U57:U58"/>
    <mergeCell ref="U59:U60"/>
    <mergeCell ref="U61:U62"/>
    <mergeCell ref="U63:U64"/>
    <mergeCell ref="U65:U66"/>
    <mergeCell ref="U67:U68"/>
    <mergeCell ref="U69:U70"/>
    <mergeCell ref="U71:U72"/>
    <mergeCell ref="U73:U74"/>
    <mergeCell ref="U45:U46"/>
    <mergeCell ref="U47:U48"/>
    <mergeCell ref="U49:U50"/>
    <mergeCell ref="U51:U52"/>
    <mergeCell ref="U53:U54"/>
    <mergeCell ref="U55:U56"/>
    <mergeCell ref="U75:U76"/>
    <mergeCell ref="U77:U78"/>
    <mergeCell ref="U79:U80"/>
    <mergeCell ref="U93:U94"/>
    <mergeCell ref="U95:U96"/>
    <mergeCell ref="U97:U98"/>
    <mergeCell ref="U99:U100"/>
    <mergeCell ref="U101:U102"/>
    <mergeCell ref="U103:U104"/>
    <mergeCell ref="U105:U106"/>
    <mergeCell ref="U107:U108"/>
    <mergeCell ref="U109:U110"/>
    <mergeCell ref="U111:U112"/>
    <mergeCell ref="U113:U114"/>
    <mergeCell ref="U115:U116"/>
    <mergeCell ref="U117:U118"/>
    <mergeCell ref="U119:U120"/>
    <mergeCell ref="U121:U122"/>
    <mergeCell ref="U123:U124"/>
    <mergeCell ref="U125:U126"/>
    <mergeCell ref="U127:U128"/>
    <mergeCell ref="U129:U130"/>
    <mergeCell ref="U131:U132"/>
    <mergeCell ref="U133:U134"/>
    <mergeCell ref="U135:U136"/>
    <mergeCell ref="U137:U138"/>
    <mergeCell ref="U139:U140"/>
    <mergeCell ref="U141:U142"/>
    <mergeCell ref="U143:U144"/>
    <mergeCell ref="U145:U146"/>
    <mergeCell ref="U147:U148"/>
    <mergeCell ref="U149:U150"/>
    <mergeCell ref="U151:U152"/>
    <mergeCell ref="U153:U154"/>
    <mergeCell ref="U155:U156"/>
    <mergeCell ref="U157:U158"/>
    <mergeCell ref="U159:U160"/>
    <mergeCell ref="U161:U162"/>
    <mergeCell ref="U163:U164"/>
    <mergeCell ref="U189:U190"/>
    <mergeCell ref="U191:U192"/>
    <mergeCell ref="U193:U194"/>
    <mergeCell ref="U195:U196"/>
    <mergeCell ref="U197:U198"/>
    <mergeCell ref="U199:U200"/>
    <mergeCell ref="U165:U166"/>
    <mergeCell ref="U167:U168"/>
    <mergeCell ref="U169:U170"/>
    <mergeCell ref="U171:U172"/>
    <mergeCell ref="U173:U174"/>
    <mergeCell ref="U175:U176"/>
    <mergeCell ref="U177:U178"/>
    <mergeCell ref="U179:U180"/>
    <mergeCell ref="U181:U182"/>
    <mergeCell ref="W47:W48"/>
    <mergeCell ref="U237:U238"/>
    <mergeCell ref="U239:U240"/>
    <mergeCell ref="U219:U220"/>
    <mergeCell ref="U221:U222"/>
    <mergeCell ref="U223:U224"/>
    <mergeCell ref="U225:U226"/>
    <mergeCell ref="U227:U228"/>
    <mergeCell ref="U229:U230"/>
    <mergeCell ref="U231:U232"/>
    <mergeCell ref="U233:U234"/>
    <mergeCell ref="U235:U236"/>
    <mergeCell ref="U201:U202"/>
    <mergeCell ref="U203:U204"/>
    <mergeCell ref="U205:U206"/>
    <mergeCell ref="U207:U208"/>
    <mergeCell ref="U209:U210"/>
    <mergeCell ref="U211:U212"/>
    <mergeCell ref="U213:U214"/>
    <mergeCell ref="U215:U216"/>
    <mergeCell ref="U217:U218"/>
    <mergeCell ref="U183:U184"/>
    <mergeCell ref="U185:U186"/>
    <mergeCell ref="U187:U188"/>
    <mergeCell ref="W29:W30"/>
    <mergeCell ref="W31:W32"/>
    <mergeCell ref="W33:W34"/>
    <mergeCell ref="W35:W36"/>
    <mergeCell ref="W37:W38"/>
    <mergeCell ref="W39:W40"/>
    <mergeCell ref="W41:W42"/>
    <mergeCell ref="W43:W44"/>
    <mergeCell ref="W45:W46"/>
    <mergeCell ref="W11:W12"/>
    <mergeCell ref="W13:W14"/>
    <mergeCell ref="W15:W16"/>
    <mergeCell ref="W17:W18"/>
    <mergeCell ref="W19:W20"/>
    <mergeCell ref="W21:W22"/>
    <mergeCell ref="W23:W24"/>
    <mergeCell ref="W25:W26"/>
    <mergeCell ref="W27:W28"/>
    <mergeCell ref="W49:W50"/>
    <mergeCell ref="W51:W52"/>
    <mergeCell ref="W53:W54"/>
    <mergeCell ref="W55:W56"/>
    <mergeCell ref="W57:W58"/>
    <mergeCell ref="W59:W60"/>
    <mergeCell ref="W61:W62"/>
    <mergeCell ref="W63:W64"/>
    <mergeCell ref="W65:W66"/>
    <mergeCell ref="W67:W68"/>
    <mergeCell ref="W69:W70"/>
    <mergeCell ref="W71:W72"/>
    <mergeCell ref="W73:W74"/>
    <mergeCell ref="W75:W76"/>
    <mergeCell ref="W77:W78"/>
    <mergeCell ref="W79:W80"/>
    <mergeCell ref="W81:W82"/>
    <mergeCell ref="W83:W84"/>
    <mergeCell ref="W85:W86"/>
    <mergeCell ref="W87:W88"/>
    <mergeCell ref="W89:W90"/>
    <mergeCell ref="W91:W92"/>
    <mergeCell ref="W93:W94"/>
    <mergeCell ref="W95:W96"/>
    <mergeCell ref="W97:W98"/>
    <mergeCell ref="W99:W100"/>
    <mergeCell ref="W101:W102"/>
    <mergeCell ref="W103:W104"/>
    <mergeCell ref="W105:W106"/>
    <mergeCell ref="W107:W108"/>
    <mergeCell ref="W109:W110"/>
    <mergeCell ref="W111:W112"/>
    <mergeCell ref="W113:W114"/>
    <mergeCell ref="W115:W116"/>
    <mergeCell ref="W117:W118"/>
    <mergeCell ref="W119:W120"/>
    <mergeCell ref="W121:W122"/>
    <mergeCell ref="W123:W124"/>
    <mergeCell ref="W125:W126"/>
    <mergeCell ref="W127:W128"/>
    <mergeCell ref="W129:W130"/>
    <mergeCell ref="W131:W132"/>
    <mergeCell ref="W133:W134"/>
    <mergeCell ref="W135:W136"/>
    <mergeCell ref="W137:W138"/>
    <mergeCell ref="W139:W140"/>
    <mergeCell ref="W141:W142"/>
    <mergeCell ref="W143:W144"/>
    <mergeCell ref="W145:W146"/>
    <mergeCell ref="W147:W148"/>
    <mergeCell ref="W149:W150"/>
    <mergeCell ref="W151:W152"/>
    <mergeCell ref="W153:W154"/>
    <mergeCell ref="W155:W156"/>
    <mergeCell ref="W157:W158"/>
    <mergeCell ref="W159:W160"/>
    <mergeCell ref="W161:W162"/>
    <mergeCell ref="W163:W164"/>
    <mergeCell ref="W165:W166"/>
    <mergeCell ref="W167:W168"/>
    <mergeCell ref="W169:W170"/>
    <mergeCell ref="W171:W172"/>
    <mergeCell ref="W173:W174"/>
    <mergeCell ref="W175:W176"/>
    <mergeCell ref="W177:W178"/>
    <mergeCell ref="W179:W180"/>
    <mergeCell ref="W181:W182"/>
    <mergeCell ref="W183:W184"/>
    <mergeCell ref="W185:W186"/>
    <mergeCell ref="W187:W188"/>
    <mergeCell ref="W189:W190"/>
    <mergeCell ref="W191:W192"/>
    <mergeCell ref="W193:W194"/>
    <mergeCell ref="W195:W196"/>
    <mergeCell ref="W197:W198"/>
    <mergeCell ref="W199:W200"/>
    <mergeCell ref="W201:W202"/>
    <mergeCell ref="W203:W204"/>
    <mergeCell ref="W205:W206"/>
    <mergeCell ref="W207:W208"/>
    <mergeCell ref="W209:W210"/>
    <mergeCell ref="W229:W230"/>
    <mergeCell ref="W231:W232"/>
    <mergeCell ref="W233:W234"/>
    <mergeCell ref="W235:W236"/>
    <mergeCell ref="W237:W238"/>
    <mergeCell ref="W239:W240"/>
    <mergeCell ref="W211:W212"/>
    <mergeCell ref="W213:W214"/>
    <mergeCell ref="W215:W216"/>
    <mergeCell ref="W217:W218"/>
    <mergeCell ref="W219:W220"/>
    <mergeCell ref="W221:W222"/>
    <mergeCell ref="W223:W224"/>
    <mergeCell ref="W225:W226"/>
    <mergeCell ref="W227:W228"/>
    <mergeCell ref="Y11:Y12"/>
    <mergeCell ref="Y13:Y14"/>
    <mergeCell ref="Y15:Y16"/>
    <mergeCell ref="Y17:Y18"/>
    <mergeCell ref="Y19:Y20"/>
    <mergeCell ref="Y21:Y22"/>
    <mergeCell ref="Y23:Y24"/>
    <mergeCell ref="Y25:Y26"/>
    <mergeCell ref="Y27:Y28"/>
    <mergeCell ref="Y29:Y30"/>
    <mergeCell ref="Y31:Y32"/>
    <mergeCell ref="Y33:Y34"/>
    <mergeCell ref="Y35:Y36"/>
    <mergeCell ref="Y37:Y38"/>
    <mergeCell ref="Y39:Y40"/>
    <mergeCell ref="Y41:Y42"/>
    <mergeCell ref="Y43:Y44"/>
    <mergeCell ref="Y45:Y46"/>
    <mergeCell ref="Y47:Y48"/>
    <mergeCell ref="Y49:Y50"/>
    <mergeCell ref="Y51:Y52"/>
    <mergeCell ref="Y53:Y54"/>
    <mergeCell ref="Y55:Y56"/>
    <mergeCell ref="Y57:Y58"/>
    <mergeCell ref="Y59:Y60"/>
    <mergeCell ref="Y61:Y62"/>
    <mergeCell ref="Y63:Y64"/>
    <mergeCell ref="Y65:Y66"/>
    <mergeCell ref="Y67:Y68"/>
    <mergeCell ref="Y69:Y70"/>
    <mergeCell ref="Y71:Y72"/>
    <mergeCell ref="Y73:Y74"/>
    <mergeCell ref="Y75:Y76"/>
    <mergeCell ref="Y77:Y78"/>
    <mergeCell ref="Y79:Y80"/>
    <mergeCell ref="Y81:Y82"/>
    <mergeCell ref="Y83:Y84"/>
    <mergeCell ref="Y85:Y86"/>
    <mergeCell ref="Y87:Y88"/>
    <mergeCell ref="Y89:Y90"/>
    <mergeCell ref="Y91:Y92"/>
    <mergeCell ref="Y93:Y94"/>
    <mergeCell ref="Y95:Y96"/>
    <mergeCell ref="Y97:Y98"/>
    <mergeCell ref="Y99:Y100"/>
    <mergeCell ref="Y101:Y102"/>
    <mergeCell ref="Y103:Y104"/>
    <mergeCell ref="Y105:Y106"/>
    <mergeCell ref="Y107:Y108"/>
    <mergeCell ref="Y109:Y110"/>
    <mergeCell ref="Y111:Y112"/>
    <mergeCell ref="Y113:Y114"/>
    <mergeCell ref="Y115:Y116"/>
    <mergeCell ref="Y117:Y118"/>
    <mergeCell ref="Y119:Y120"/>
    <mergeCell ref="Y121:Y122"/>
    <mergeCell ref="Y123:Y124"/>
    <mergeCell ref="Y125:Y126"/>
    <mergeCell ref="Y127:Y128"/>
    <mergeCell ref="Y129:Y130"/>
    <mergeCell ref="Y131:Y132"/>
    <mergeCell ref="Y133:Y134"/>
    <mergeCell ref="Y135:Y136"/>
    <mergeCell ref="Y137:Y138"/>
    <mergeCell ref="Y139:Y140"/>
    <mergeCell ref="Y141:Y142"/>
    <mergeCell ref="Y143:Y144"/>
    <mergeCell ref="Y145:Y146"/>
    <mergeCell ref="Y147:Y148"/>
    <mergeCell ref="Y149:Y150"/>
    <mergeCell ref="Y151:Y152"/>
    <mergeCell ref="Y153:Y154"/>
    <mergeCell ref="Y155:Y156"/>
    <mergeCell ref="Y157:Y158"/>
    <mergeCell ref="Y159:Y160"/>
    <mergeCell ref="Y161:Y162"/>
    <mergeCell ref="Y163:Y164"/>
    <mergeCell ref="Y165:Y166"/>
    <mergeCell ref="Y167:Y168"/>
    <mergeCell ref="Y169:Y170"/>
    <mergeCell ref="Y171:Y172"/>
    <mergeCell ref="Y205:Y206"/>
    <mergeCell ref="Y207:Y208"/>
    <mergeCell ref="Y173:Y174"/>
    <mergeCell ref="Y175:Y176"/>
    <mergeCell ref="Y177:Y178"/>
    <mergeCell ref="Y179:Y180"/>
    <mergeCell ref="Y181:Y182"/>
    <mergeCell ref="Y183:Y184"/>
    <mergeCell ref="Y185:Y186"/>
    <mergeCell ref="Y187:Y188"/>
    <mergeCell ref="Y189:Y190"/>
    <mergeCell ref="H4:Y6"/>
    <mergeCell ref="Y227:Y228"/>
    <mergeCell ref="Y229:Y230"/>
    <mergeCell ref="Y231:Y232"/>
    <mergeCell ref="Y233:Y234"/>
    <mergeCell ref="Y235:Y236"/>
    <mergeCell ref="Y237:Y238"/>
    <mergeCell ref="Y239:Y240"/>
    <mergeCell ref="Y209:Y210"/>
    <mergeCell ref="Y211:Y212"/>
    <mergeCell ref="Y213:Y214"/>
    <mergeCell ref="Y215:Y216"/>
    <mergeCell ref="Y217:Y218"/>
    <mergeCell ref="Y219:Y220"/>
    <mergeCell ref="Y221:Y222"/>
    <mergeCell ref="Y223:Y224"/>
    <mergeCell ref="Y225:Y226"/>
    <mergeCell ref="Y191:Y192"/>
    <mergeCell ref="Y193:Y194"/>
    <mergeCell ref="Y195:Y196"/>
    <mergeCell ref="Y197:Y198"/>
    <mergeCell ref="Y199:Y200"/>
    <mergeCell ref="Y201:Y202"/>
    <mergeCell ref="Y203:Y204"/>
    <mergeCell ref="O241:O242"/>
    <mergeCell ref="Q241:Q242"/>
    <mergeCell ref="S241:S242"/>
    <mergeCell ref="U241:U242"/>
    <mergeCell ref="W241:W242"/>
    <mergeCell ref="Y241:Y242"/>
    <mergeCell ref="O243:O244"/>
    <mergeCell ref="Q243:Q244"/>
    <mergeCell ref="S243:S244"/>
    <mergeCell ref="U243:U244"/>
    <mergeCell ref="W243:W244"/>
    <mergeCell ref="Y243:Y244"/>
    <mergeCell ref="O245:O246"/>
    <mergeCell ref="Q245:Q246"/>
    <mergeCell ref="S245:S246"/>
    <mergeCell ref="U245:U246"/>
    <mergeCell ref="W245:W246"/>
    <mergeCell ref="Y245:Y246"/>
    <mergeCell ref="O247:O248"/>
    <mergeCell ref="Q247:Q248"/>
    <mergeCell ref="S247:S248"/>
    <mergeCell ref="U247:U248"/>
    <mergeCell ref="W247:W248"/>
    <mergeCell ref="Y247:Y248"/>
    <mergeCell ref="O249:O250"/>
    <mergeCell ref="Q249:Q250"/>
    <mergeCell ref="S249:S250"/>
    <mergeCell ref="U249:U250"/>
    <mergeCell ref="W249:W250"/>
    <mergeCell ref="Y249:Y250"/>
    <mergeCell ref="O251:O252"/>
    <mergeCell ref="Q251:Q252"/>
    <mergeCell ref="S251:S252"/>
    <mergeCell ref="U251:U252"/>
    <mergeCell ref="W251:W252"/>
    <mergeCell ref="Y251:Y252"/>
    <mergeCell ref="O253:O254"/>
    <mergeCell ref="Q253:Q254"/>
    <mergeCell ref="S253:S254"/>
    <mergeCell ref="U253:U254"/>
    <mergeCell ref="W253:W254"/>
    <mergeCell ref="Y253:Y254"/>
    <mergeCell ref="O255:O256"/>
    <mergeCell ref="Q255:Q256"/>
    <mergeCell ref="S255:S256"/>
    <mergeCell ref="U255:U256"/>
    <mergeCell ref="W255:W256"/>
    <mergeCell ref="Y255:Y256"/>
    <mergeCell ref="O257:O258"/>
    <mergeCell ref="Q257:Q258"/>
    <mergeCell ref="S257:S258"/>
    <mergeCell ref="U257:U258"/>
    <mergeCell ref="W257:W258"/>
    <mergeCell ref="Y257:Y258"/>
    <mergeCell ref="O259:O260"/>
    <mergeCell ref="Q259:Q260"/>
    <mergeCell ref="S259:S260"/>
    <mergeCell ref="U259:U260"/>
    <mergeCell ref="W259:W260"/>
    <mergeCell ref="Y259:Y260"/>
    <mergeCell ref="O261:O262"/>
    <mergeCell ref="Q261:Q262"/>
    <mergeCell ref="S261:S262"/>
    <mergeCell ref="U261:U262"/>
    <mergeCell ref="W261:W262"/>
    <mergeCell ref="Y261:Y262"/>
    <mergeCell ref="O263:O264"/>
    <mergeCell ref="Q263:Q264"/>
    <mergeCell ref="S263:S264"/>
    <mergeCell ref="U263:U264"/>
    <mergeCell ref="W263:W264"/>
    <mergeCell ref="Y263:Y264"/>
    <mergeCell ref="O265:O266"/>
    <mergeCell ref="Q265:Q266"/>
    <mergeCell ref="S265:S266"/>
    <mergeCell ref="U265:U266"/>
    <mergeCell ref="W265:W266"/>
    <mergeCell ref="Y265:Y266"/>
    <mergeCell ref="O267:O268"/>
    <mergeCell ref="Q267:Q268"/>
    <mergeCell ref="S267:S268"/>
    <mergeCell ref="U267:U268"/>
    <mergeCell ref="W267:W268"/>
    <mergeCell ref="Y267:Y268"/>
    <mergeCell ref="O269:O270"/>
    <mergeCell ref="Q269:Q270"/>
    <mergeCell ref="S269:S270"/>
    <mergeCell ref="U269:U270"/>
    <mergeCell ref="W269:W270"/>
    <mergeCell ref="Y269:Y270"/>
    <mergeCell ref="O271:O272"/>
    <mergeCell ref="Q271:Q272"/>
    <mergeCell ref="S271:S272"/>
    <mergeCell ref="U271:U272"/>
    <mergeCell ref="W271:W272"/>
    <mergeCell ref="Y271:Y272"/>
    <mergeCell ref="O273:O274"/>
    <mergeCell ref="Q273:Q274"/>
    <mergeCell ref="S273:S274"/>
    <mergeCell ref="U273:U274"/>
    <mergeCell ref="W273:W274"/>
    <mergeCell ref="Y273:Y274"/>
    <mergeCell ref="O275:O276"/>
    <mergeCell ref="Q275:Q276"/>
    <mergeCell ref="S275:S276"/>
    <mergeCell ref="U275:U276"/>
    <mergeCell ref="W275:W276"/>
    <mergeCell ref="Y275:Y276"/>
    <mergeCell ref="O277:O278"/>
    <mergeCell ref="Q277:Q278"/>
    <mergeCell ref="S277:S278"/>
    <mergeCell ref="U277:U278"/>
    <mergeCell ref="W277:W278"/>
    <mergeCell ref="Y277:Y278"/>
    <mergeCell ref="O279:O280"/>
    <mergeCell ref="Q279:Q280"/>
    <mergeCell ref="S279:S280"/>
    <mergeCell ref="U279:U280"/>
    <mergeCell ref="W279:W280"/>
    <mergeCell ref="Y279:Y280"/>
    <mergeCell ref="O281:O282"/>
    <mergeCell ref="Q281:Q282"/>
    <mergeCell ref="S281:S282"/>
    <mergeCell ref="U281:U282"/>
    <mergeCell ref="W281:W282"/>
    <mergeCell ref="Y281:Y282"/>
    <mergeCell ref="O283:O284"/>
    <mergeCell ref="O285:O286"/>
    <mergeCell ref="O287:O288"/>
    <mergeCell ref="Q283:Q284"/>
    <mergeCell ref="Q285:Q286"/>
    <mergeCell ref="Q287:Q288"/>
    <mergeCell ref="S283:S284"/>
    <mergeCell ref="S285:S286"/>
    <mergeCell ref="S287:S288"/>
    <mergeCell ref="U283:U284"/>
    <mergeCell ref="U285:U286"/>
    <mergeCell ref="U287:U288"/>
    <mergeCell ref="W283:W284"/>
    <mergeCell ref="W285:W286"/>
    <mergeCell ref="W287:W288"/>
    <mergeCell ref="Y283:Y284"/>
    <mergeCell ref="Y285:Y286"/>
    <mergeCell ref="Y287:Y288"/>
    <mergeCell ref="O289:O290"/>
    <mergeCell ref="O291:O292"/>
    <mergeCell ref="O293:O294"/>
    <mergeCell ref="O295:O296"/>
    <mergeCell ref="O297:O298"/>
    <mergeCell ref="O299:O300"/>
    <mergeCell ref="O301:O302"/>
    <mergeCell ref="O303:O304"/>
    <mergeCell ref="O305:O306"/>
    <mergeCell ref="Q289:Q290"/>
    <mergeCell ref="Q291:Q292"/>
    <mergeCell ref="Q293:Q294"/>
    <mergeCell ref="Q295:Q296"/>
    <mergeCell ref="Q297:Q298"/>
    <mergeCell ref="Q299:Q300"/>
    <mergeCell ref="Q301:Q302"/>
    <mergeCell ref="Q303:Q304"/>
    <mergeCell ref="Q305:Q306"/>
    <mergeCell ref="S289:S290"/>
    <mergeCell ref="S291:S292"/>
    <mergeCell ref="S293:S294"/>
    <mergeCell ref="S295:S296"/>
    <mergeCell ref="S297:S298"/>
    <mergeCell ref="S299:S300"/>
    <mergeCell ref="S301:S302"/>
    <mergeCell ref="S303:S304"/>
    <mergeCell ref="S305:S306"/>
    <mergeCell ref="U289:U290"/>
    <mergeCell ref="U291:U292"/>
    <mergeCell ref="U293:U294"/>
    <mergeCell ref="U295:U296"/>
    <mergeCell ref="U297:U298"/>
    <mergeCell ref="U299:U300"/>
    <mergeCell ref="U301:U302"/>
    <mergeCell ref="U303:U304"/>
    <mergeCell ref="U305:U306"/>
    <mergeCell ref="W289:W290"/>
    <mergeCell ref="W291:W292"/>
    <mergeCell ref="W293:W294"/>
    <mergeCell ref="W295:W296"/>
    <mergeCell ref="W297:W298"/>
    <mergeCell ref="W299:W300"/>
    <mergeCell ref="W301:W302"/>
    <mergeCell ref="W303:W304"/>
    <mergeCell ref="W305:W306"/>
    <mergeCell ref="Y289:Y290"/>
    <mergeCell ref="Y291:Y292"/>
    <mergeCell ref="Y293:Y294"/>
    <mergeCell ref="Y295:Y296"/>
    <mergeCell ref="Y297:Y298"/>
    <mergeCell ref="Y299:Y300"/>
    <mergeCell ref="Y301:Y302"/>
    <mergeCell ref="Y303:Y304"/>
    <mergeCell ref="Y305:Y306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CBAD6-E56F-49EE-ADB1-7B129F7B3728}">
  <sheetPr>
    <tabColor rgb="FF0070C0"/>
  </sheetPr>
  <dimension ref="A1:X298"/>
  <sheetViews>
    <sheetView topLeftCell="J1" zoomScale="130" zoomScaleNormal="130" workbookViewId="0">
      <selection activeCell="U33" sqref="U33"/>
    </sheetView>
  </sheetViews>
  <sheetFormatPr defaultRowHeight="14.5" x14ac:dyDescent="0.35"/>
  <cols>
    <col min="1" max="1" width="18.453125" bestFit="1" customWidth="1"/>
    <col min="2" max="2" width="11.36328125" bestFit="1" customWidth="1"/>
    <col min="3" max="3" width="29.90625" bestFit="1" customWidth="1"/>
    <col min="4" max="4" width="10.1796875" bestFit="1" customWidth="1"/>
    <col min="5" max="5" width="13.36328125" customWidth="1"/>
    <col min="6" max="6" width="31.54296875" bestFit="1" customWidth="1"/>
    <col min="7" max="7" width="12.90625" bestFit="1" customWidth="1"/>
    <col min="8" max="8" width="20.54296875" bestFit="1" customWidth="1"/>
    <col min="9" max="9" width="31.08984375" bestFit="1" customWidth="1"/>
    <col min="10" max="10" width="13.453125" customWidth="1"/>
    <col min="11" max="11" width="9" customWidth="1"/>
    <col min="12" max="12" width="18" bestFit="1" customWidth="1"/>
    <col min="13" max="13" width="16.81640625" bestFit="1" customWidth="1"/>
    <col min="14" max="14" width="13.36328125" bestFit="1" customWidth="1"/>
    <col min="15" max="15" width="12.81640625" bestFit="1" customWidth="1"/>
    <col min="16" max="16" width="19.90625" bestFit="1" customWidth="1"/>
    <col min="17" max="17" width="16.81640625" bestFit="1" customWidth="1"/>
    <col min="18" max="18" width="19.54296875" bestFit="1" customWidth="1"/>
    <col min="19" max="19" width="19.90625" bestFit="1" customWidth="1"/>
    <col min="20" max="20" width="18.90625" bestFit="1" customWidth="1"/>
    <col min="21" max="21" width="20.1796875" bestFit="1" customWidth="1"/>
    <col min="22" max="22" width="23" bestFit="1" customWidth="1"/>
    <col min="23" max="23" width="20.453125" bestFit="1" customWidth="1"/>
    <col min="24" max="24" width="23.1796875" bestFit="1" customWidth="1"/>
  </cols>
  <sheetData>
    <row r="1" spans="1:24" x14ac:dyDescent="0.35">
      <c r="A1" t="s">
        <v>807</v>
      </c>
      <c r="B1" t="s">
        <v>808</v>
      </c>
      <c r="C1" t="s">
        <v>809</v>
      </c>
      <c r="D1" t="s">
        <v>810</v>
      </c>
      <c r="E1" t="s">
        <v>811</v>
      </c>
      <c r="F1" t="s">
        <v>812</v>
      </c>
      <c r="G1" t="s">
        <v>813</v>
      </c>
      <c r="H1" t="s">
        <v>814</v>
      </c>
      <c r="I1" t="s">
        <v>815</v>
      </c>
      <c r="J1" t="s">
        <v>816</v>
      </c>
      <c r="K1" t="s">
        <v>817</v>
      </c>
      <c r="L1" t="s">
        <v>818</v>
      </c>
      <c r="M1" t="s">
        <v>819</v>
      </c>
      <c r="N1" t="s">
        <v>820</v>
      </c>
      <c r="O1" t="s">
        <v>821</v>
      </c>
      <c r="P1" t="s">
        <v>822</v>
      </c>
      <c r="Q1" t="s">
        <v>823</v>
      </c>
      <c r="R1" t="s">
        <v>824</v>
      </c>
      <c r="S1" t="s">
        <v>825</v>
      </c>
      <c r="T1" t="s">
        <v>826</v>
      </c>
      <c r="U1" t="s">
        <v>827</v>
      </c>
      <c r="V1" t="s">
        <v>828</v>
      </c>
      <c r="W1" t="s">
        <v>829</v>
      </c>
      <c r="X1" t="s">
        <v>830</v>
      </c>
    </row>
    <row r="2" spans="1:24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484</v>
      </c>
      <c r="N2" t="s">
        <v>485</v>
      </c>
      <c r="O2" t="s">
        <v>700</v>
      </c>
      <c r="P2" t="s">
        <v>487</v>
      </c>
      <c r="Q2" t="s">
        <v>488</v>
      </c>
      <c r="R2" t="s">
        <v>488</v>
      </c>
      <c r="S2" t="s">
        <v>701</v>
      </c>
      <c r="T2" t="s">
        <v>491</v>
      </c>
      <c r="U2" t="s">
        <v>493</v>
      </c>
      <c r="V2" t="s">
        <v>494</v>
      </c>
      <c r="W2" t="s">
        <v>499</v>
      </c>
      <c r="X2" t="s">
        <v>702</v>
      </c>
    </row>
    <row r="3" spans="1:24" x14ac:dyDescent="0.35">
      <c r="A3">
        <v>1</v>
      </c>
      <c r="B3">
        <v>46041</v>
      </c>
      <c r="C3" t="s">
        <v>16</v>
      </c>
      <c r="D3">
        <v>27</v>
      </c>
      <c r="E3" t="s">
        <v>17</v>
      </c>
      <c r="F3" t="s">
        <v>18</v>
      </c>
      <c r="G3" t="s">
        <v>19</v>
      </c>
      <c r="H3" t="s">
        <v>20</v>
      </c>
      <c r="I3" t="s">
        <v>21</v>
      </c>
      <c r="J3" t="s">
        <v>22</v>
      </c>
      <c r="K3" t="s">
        <v>23</v>
      </c>
      <c r="L3" t="s">
        <v>24</v>
      </c>
      <c r="M3">
        <v>94.902548725637061</v>
      </c>
      <c r="N3">
        <v>94.932281959779715</v>
      </c>
      <c r="O3">
        <v>8.6755336424545462</v>
      </c>
      <c r="P3">
        <v>8.6970264710569118</v>
      </c>
      <c r="Q3">
        <v>91.324466357545447</v>
      </c>
      <c r="R3">
        <v>91.302973528943085</v>
      </c>
      <c r="S3">
        <v>18.980951082197933</v>
      </c>
      <c r="T3">
        <v>18.980951082197933</v>
      </c>
      <c r="U3">
        <v>47.874993257035051</v>
      </c>
      <c r="V3">
        <v>47.523177057750779</v>
      </c>
      <c r="W3">
        <v>61.504677678983363</v>
      </c>
      <c r="X3">
        <v>60.404358773318265</v>
      </c>
    </row>
    <row r="4" spans="1:24" x14ac:dyDescent="0.35">
      <c r="A4">
        <v>2</v>
      </c>
      <c r="B4">
        <v>46041</v>
      </c>
      <c r="C4" t="s">
        <v>16</v>
      </c>
      <c r="D4">
        <v>27</v>
      </c>
      <c r="E4" t="s">
        <v>17</v>
      </c>
      <c r="F4" t="s">
        <v>18</v>
      </c>
      <c r="G4" t="s">
        <v>19</v>
      </c>
      <c r="H4" t="s">
        <v>20</v>
      </c>
      <c r="I4" t="s">
        <v>21</v>
      </c>
      <c r="J4" t="s">
        <v>22</v>
      </c>
      <c r="K4" t="s">
        <v>23</v>
      </c>
      <c r="L4" t="s">
        <v>24</v>
      </c>
      <c r="M4">
        <v>94.962015193922369</v>
      </c>
      <c r="O4">
        <v>8.7185192996592775</v>
      </c>
      <c r="Q4">
        <v>91.281480700340722</v>
      </c>
      <c r="S4">
        <v>18.980951082197933</v>
      </c>
      <c r="U4">
        <v>47.171360858466507</v>
      </c>
      <c r="W4">
        <v>59.304039867653167</v>
      </c>
    </row>
    <row r="5" spans="1:24" x14ac:dyDescent="0.35">
      <c r="A5">
        <v>3</v>
      </c>
      <c r="B5">
        <v>46041</v>
      </c>
      <c r="C5" t="s">
        <v>16</v>
      </c>
      <c r="D5">
        <v>27</v>
      </c>
      <c r="E5" t="s">
        <v>27</v>
      </c>
      <c r="F5" t="s">
        <v>28</v>
      </c>
      <c r="G5" t="s">
        <v>19</v>
      </c>
      <c r="H5" t="s">
        <v>29</v>
      </c>
      <c r="I5" t="s">
        <v>30</v>
      </c>
      <c r="J5" t="s">
        <v>22</v>
      </c>
      <c r="K5" t="s">
        <v>23</v>
      </c>
      <c r="L5" t="s">
        <v>24</v>
      </c>
      <c r="M5">
        <v>95.000499950005079</v>
      </c>
      <c r="N5">
        <v>95.045740876822194</v>
      </c>
      <c r="O5">
        <v>7.585062734621614</v>
      </c>
      <c r="P5">
        <v>7.5846835573203437</v>
      </c>
      <c r="Q5">
        <v>92.414937265378384</v>
      </c>
      <c r="R5">
        <v>92.415316442679654</v>
      </c>
      <c r="S5">
        <v>16.897001614940418</v>
      </c>
      <c r="T5">
        <v>16.897001614940418</v>
      </c>
      <c r="U5">
        <v>48.312754224691041</v>
      </c>
      <c r="V5">
        <v>48.362187242896454</v>
      </c>
      <c r="W5">
        <v>57.217055116378525</v>
      </c>
      <c r="X5">
        <v>56.879547867545071</v>
      </c>
    </row>
    <row r="6" spans="1:24" x14ac:dyDescent="0.35">
      <c r="A6">
        <v>4</v>
      </c>
      <c r="B6">
        <v>46041</v>
      </c>
      <c r="C6" t="s">
        <v>16</v>
      </c>
      <c r="D6">
        <v>27</v>
      </c>
      <c r="E6" t="s">
        <v>27</v>
      </c>
      <c r="F6" t="s">
        <v>28</v>
      </c>
      <c r="G6" t="s">
        <v>19</v>
      </c>
      <c r="H6" t="s">
        <v>29</v>
      </c>
      <c r="I6" t="s">
        <v>30</v>
      </c>
      <c r="J6" t="s">
        <v>22</v>
      </c>
      <c r="K6" t="s">
        <v>23</v>
      </c>
      <c r="L6" t="s">
        <v>24</v>
      </c>
      <c r="M6">
        <v>95.090981803639309</v>
      </c>
      <c r="O6">
        <v>7.5843043800190735</v>
      </c>
      <c r="Q6">
        <v>92.415695619980923</v>
      </c>
      <c r="S6">
        <v>16.897001614940418</v>
      </c>
      <c r="U6">
        <v>48.411620261101874</v>
      </c>
      <c r="W6">
        <v>56.542040618711617</v>
      </c>
    </row>
    <row r="7" spans="1:24" x14ac:dyDescent="0.35">
      <c r="A7">
        <v>5</v>
      </c>
      <c r="B7">
        <v>46041</v>
      </c>
      <c r="C7" t="s">
        <v>16</v>
      </c>
      <c r="D7">
        <v>27</v>
      </c>
      <c r="E7" t="s">
        <v>31</v>
      </c>
      <c r="F7" t="s">
        <v>32</v>
      </c>
      <c r="G7" t="s">
        <v>19</v>
      </c>
      <c r="H7" t="s">
        <v>20</v>
      </c>
      <c r="I7" t="s">
        <v>21</v>
      </c>
      <c r="J7" t="s">
        <v>22</v>
      </c>
      <c r="K7" t="s">
        <v>23</v>
      </c>
      <c r="L7" t="s">
        <v>24</v>
      </c>
      <c r="M7">
        <v>94.30284857571209</v>
      </c>
      <c r="N7">
        <v>94.356983176078415</v>
      </c>
      <c r="O7">
        <v>6.7158056255176994</v>
      </c>
      <c r="P7">
        <v>6.6903229685698147</v>
      </c>
      <c r="Q7">
        <v>93.284194374482297</v>
      </c>
      <c r="R7">
        <v>93.309677031430184</v>
      </c>
      <c r="S7">
        <v>18.170976041618641</v>
      </c>
      <c r="T7">
        <v>18.170976041618641</v>
      </c>
      <c r="U7">
        <v>44.493065843207802</v>
      </c>
      <c r="V7">
        <v>45.328121185749261</v>
      </c>
      <c r="W7">
        <v>61.915823880617474</v>
      </c>
      <c r="X7">
        <v>59.943984836340981</v>
      </c>
    </row>
    <row r="8" spans="1:24" x14ac:dyDescent="0.35">
      <c r="A8">
        <v>6</v>
      </c>
      <c r="B8">
        <v>46041</v>
      </c>
      <c r="C8" t="s">
        <v>16</v>
      </c>
      <c r="D8">
        <v>27</v>
      </c>
      <c r="E8" t="s">
        <v>31</v>
      </c>
      <c r="F8" t="s">
        <v>32</v>
      </c>
      <c r="G8" t="s">
        <v>19</v>
      </c>
      <c r="H8" t="s">
        <v>20</v>
      </c>
      <c r="I8" t="s">
        <v>21</v>
      </c>
      <c r="J8" t="s">
        <v>22</v>
      </c>
      <c r="K8" t="s">
        <v>23</v>
      </c>
      <c r="L8" t="s">
        <v>24</v>
      </c>
      <c r="M8">
        <v>94.411117776444726</v>
      </c>
      <c r="O8">
        <v>6.664840311621929</v>
      </c>
      <c r="Q8">
        <v>93.33515968837807</v>
      </c>
      <c r="S8">
        <v>18.170976041618641</v>
      </c>
      <c r="U8">
        <v>46.16317652829072</v>
      </c>
      <c r="W8">
        <v>57.972145792064488</v>
      </c>
    </row>
    <row r="9" spans="1:24" x14ac:dyDescent="0.35">
      <c r="A9">
        <v>7</v>
      </c>
      <c r="B9">
        <v>46041</v>
      </c>
      <c r="C9" t="s">
        <v>16</v>
      </c>
      <c r="D9">
        <v>27</v>
      </c>
      <c r="E9" t="s">
        <v>33</v>
      </c>
      <c r="F9" t="s">
        <v>34</v>
      </c>
      <c r="G9" t="s">
        <v>19</v>
      </c>
      <c r="H9" t="s">
        <v>29</v>
      </c>
      <c r="I9" t="s">
        <v>30</v>
      </c>
      <c r="J9" t="s">
        <v>22</v>
      </c>
      <c r="K9" t="s">
        <v>23</v>
      </c>
      <c r="L9" t="s">
        <v>24</v>
      </c>
      <c r="M9">
        <v>94.09295352323845</v>
      </c>
      <c r="N9">
        <v>94.132642295405702</v>
      </c>
      <c r="O9">
        <v>7.5493968971042964</v>
      </c>
      <c r="P9">
        <v>7.4913693869890468</v>
      </c>
      <c r="Q9">
        <v>92.450603102895698</v>
      </c>
      <c r="R9">
        <v>92.508630613010951</v>
      </c>
      <c r="S9">
        <v>19.138187821274556</v>
      </c>
      <c r="T9">
        <v>19.138187821274556</v>
      </c>
      <c r="U9">
        <v>53.587566889009054</v>
      </c>
      <c r="V9">
        <v>55.171776839485076</v>
      </c>
      <c r="W9">
        <v>63.795737375394047</v>
      </c>
      <c r="X9">
        <v>64.357002509200385</v>
      </c>
    </row>
    <row r="10" spans="1:24" x14ac:dyDescent="0.35">
      <c r="A10">
        <v>8</v>
      </c>
      <c r="B10">
        <v>46041</v>
      </c>
      <c r="C10" t="s">
        <v>16</v>
      </c>
      <c r="D10">
        <v>27</v>
      </c>
      <c r="E10" t="s">
        <v>33</v>
      </c>
      <c r="F10" t="s">
        <v>34</v>
      </c>
      <c r="G10" t="s">
        <v>19</v>
      </c>
      <c r="H10" t="s">
        <v>29</v>
      </c>
      <c r="I10" t="s">
        <v>30</v>
      </c>
      <c r="J10" t="s">
        <v>22</v>
      </c>
      <c r="K10" t="s">
        <v>23</v>
      </c>
      <c r="L10" t="s">
        <v>24</v>
      </c>
      <c r="M10">
        <v>94.172331067572969</v>
      </c>
      <c r="O10">
        <v>7.4333418768737971</v>
      </c>
      <c r="Q10">
        <v>92.566658123126203</v>
      </c>
      <c r="S10">
        <v>19.138187821274556</v>
      </c>
      <c r="U10">
        <v>56.755986789961099</v>
      </c>
      <c r="W10">
        <v>64.918267643006729</v>
      </c>
    </row>
    <row r="11" spans="1:24" x14ac:dyDescent="0.35">
      <c r="A11">
        <v>9</v>
      </c>
      <c r="B11">
        <v>46041</v>
      </c>
      <c r="C11" t="s">
        <v>16</v>
      </c>
      <c r="D11">
        <v>27</v>
      </c>
      <c r="E11" t="s">
        <v>35</v>
      </c>
      <c r="F11" t="s">
        <v>36</v>
      </c>
      <c r="G11" t="s">
        <v>19</v>
      </c>
      <c r="H11" t="s">
        <v>20</v>
      </c>
      <c r="I11" t="s">
        <v>21</v>
      </c>
      <c r="J11" t="s">
        <v>22</v>
      </c>
      <c r="K11" t="s">
        <v>23</v>
      </c>
      <c r="L11" t="s">
        <v>24</v>
      </c>
      <c r="M11">
        <v>94.180581941805769</v>
      </c>
      <c r="N11">
        <v>94.295849859125241</v>
      </c>
      <c r="O11">
        <v>6.7864705324296128</v>
      </c>
      <c r="P11">
        <v>6.8126382768364504</v>
      </c>
      <c r="Q11">
        <v>93.213529467570382</v>
      </c>
      <c r="R11">
        <v>93.187361723163548</v>
      </c>
      <c r="S11">
        <v>17.582279628179812</v>
      </c>
      <c r="T11">
        <v>17.582279628179812</v>
      </c>
      <c r="U11">
        <v>49.288703373375412</v>
      </c>
      <c r="V11">
        <v>49.203135014066248</v>
      </c>
      <c r="W11">
        <v>62.658193597523514</v>
      </c>
      <c r="X11">
        <v>63.608525816852733</v>
      </c>
    </row>
    <row r="12" spans="1:24" x14ac:dyDescent="0.35">
      <c r="A12">
        <v>10</v>
      </c>
      <c r="B12">
        <v>46041</v>
      </c>
      <c r="C12" t="s">
        <v>16</v>
      </c>
      <c r="D12">
        <v>27</v>
      </c>
      <c r="E12" t="s">
        <v>35</v>
      </c>
      <c r="F12" t="s">
        <v>36</v>
      </c>
      <c r="G12" t="s">
        <v>19</v>
      </c>
      <c r="H12" t="s">
        <v>20</v>
      </c>
      <c r="I12" t="s">
        <v>21</v>
      </c>
      <c r="J12" t="s">
        <v>22</v>
      </c>
      <c r="K12" t="s">
        <v>23</v>
      </c>
      <c r="L12" t="s">
        <v>24</v>
      </c>
      <c r="M12">
        <v>94.411117776444726</v>
      </c>
      <c r="O12">
        <v>6.8388060212432888</v>
      </c>
      <c r="Q12">
        <v>93.161193978756714</v>
      </c>
      <c r="S12">
        <v>17.582279628179812</v>
      </c>
      <c r="U12">
        <v>49.117566654757091</v>
      </c>
      <c r="W12">
        <v>64.55885803618196</v>
      </c>
    </row>
    <row r="13" spans="1:24" x14ac:dyDescent="0.35">
      <c r="A13">
        <v>11</v>
      </c>
      <c r="B13">
        <v>46041</v>
      </c>
      <c r="C13" t="s">
        <v>16</v>
      </c>
      <c r="D13">
        <v>27</v>
      </c>
      <c r="E13" t="s">
        <v>37</v>
      </c>
      <c r="F13" t="s">
        <v>38</v>
      </c>
      <c r="G13" t="s">
        <v>19</v>
      </c>
      <c r="H13" t="s">
        <v>20</v>
      </c>
      <c r="I13" t="s">
        <v>21</v>
      </c>
      <c r="J13" t="s">
        <v>22</v>
      </c>
      <c r="K13" t="s">
        <v>23</v>
      </c>
      <c r="L13" t="s">
        <v>24</v>
      </c>
      <c r="M13">
        <v>92.622950819672013</v>
      </c>
      <c r="N13">
        <v>92.632579078735347</v>
      </c>
      <c r="O13">
        <v>7.0357460707675763</v>
      </c>
      <c r="P13">
        <v>6.9983254013085654</v>
      </c>
      <c r="Q13">
        <v>92.964253929232427</v>
      </c>
      <c r="R13">
        <v>93.001674598691437</v>
      </c>
      <c r="S13">
        <v>19.394716052821558</v>
      </c>
      <c r="T13">
        <v>19.394716052821558</v>
      </c>
      <c r="U13">
        <v>55.829591289909239</v>
      </c>
      <c r="V13">
        <v>57.005039033422221</v>
      </c>
      <c r="W13">
        <v>66.326560948931771</v>
      </c>
      <c r="X13">
        <v>67.219530028063701</v>
      </c>
    </row>
    <row r="14" spans="1:24" x14ac:dyDescent="0.35">
      <c r="A14">
        <v>12</v>
      </c>
      <c r="B14">
        <v>46041</v>
      </c>
      <c r="C14" t="s">
        <v>16</v>
      </c>
      <c r="D14">
        <v>27</v>
      </c>
      <c r="E14" t="s">
        <v>37</v>
      </c>
      <c r="F14" t="s">
        <v>38</v>
      </c>
      <c r="G14" t="s">
        <v>19</v>
      </c>
      <c r="H14" t="s">
        <v>20</v>
      </c>
      <c r="I14" t="s">
        <v>21</v>
      </c>
      <c r="J14" t="s">
        <v>22</v>
      </c>
      <c r="K14" t="s">
        <v>23</v>
      </c>
      <c r="L14" t="s">
        <v>24</v>
      </c>
      <c r="M14">
        <v>92.642207337798695</v>
      </c>
      <c r="O14">
        <v>6.9609047318495545</v>
      </c>
      <c r="Q14">
        <v>93.039095268150447</v>
      </c>
      <c r="S14">
        <v>19.394716052821558</v>
      </c>
      <c r="U14">
        <v>58.180486776935211</v>
      </c>
      <c r="W14">
        <v>68.112499107195617</v>
      </c>
    </row>
    <row r="15" spans="1:24" x14ac:dyDescent="0.35">
      <c r="A15">
        <v>13</v>
      </c>
      <c r="B15">
        <v>46041</v>
      </c>
      <c r="C15" t="s">
        <v>16</v>
      </c>
      <c r="D15">
        <v>27</v>
      </c>
      <c r="E15" t="s">
        <v>39</v>
      </c>
      <c r="F15" t="s">
        <v>40</v>
      </c>
      <c r="G15" t="s">
        <v>19</v>
      </c>
      <c r="H15" t="s">
        <v>20</v>
      </c>
      <c r="I15" t="s">
        <v>21</v>
      </c>
      <c r="J15" t="s">
        <v>22</v>
      </c>
      <c r="K15" t="s">
        <v>23</v>
      </c>
      <c r="L15" t="s">
        <v>24</v>
      </c>
      <c r="M15">
        <v>94.502748625687076</v>
      </c>
      <c r="N15">
        <v>94.652673663168372</v>
      </c>
      <c r="O15">
        <v>6.8004223864835431</v>
      </c>
      <c r="P15">
        <v>6.8532206969376732</v>
      </c>
      <c r="Q15">
        <v>93.199577613516453</v>
      </c>
      <c r="R15">
        <v>93.146779303062317</v>
      </c>
      <c r="S15">
        <v>21.885308885955659</v>
      </c>
      <c r="T15">
        <v>21.885308885955659</v>
      </c>
      <c r="U15">
        <v>56.170695531436941</v>
      </c>
      <c r="V15">
        <v>55.750984880021235</v>
      </c>
      <c r="W15">
        <v>68.634416370889056</v>
      </c>
      <c r="X15">
        <v>67.761006152431818</v>
      </c>
    </row>
    <row r="16" spans="1:24" x14ac:dyDescent="0.35">
      <c r="A16">
        <v>14</v>
      </c>
      <c r="B16">
        <v>46041</v>
      </c>
      <c r="C16" t="s">
        <v>16</v>
      </c>
      <c r="D16">
        <v>27</v>
      </c>
      <c r="E16" t="s">
        <v>39</v>
      </c>
      <c r="F16" t="s">
        <v>40</v>
      </c>
      <c r="G16" t="s">
        <v>19</v>
      </c>
      <c r="H16" t="s">
        <v>20</v>
      </c>
      <c r="I16" t="s">
        <v>21</v>
      </c>
      <c r="J16" t="s">
        <v>22</v>
      </c>
      <c r="K16" t="s">
        <v>23</v>
      </c>
      <c r="L16" t="s">
        <v>24</v>
      </c>
      <c r="M16">
        <v>94.802598700649682</v>
      </c>
      <c r="O16">
        <v>6.9060190073918033</v>
      </c>
      <c r="Q16">
        <v>93.093980992608195</v>
      </c>
      <c r="S16">
        <v>21.885308885955659</v>
      </c>
      <c r="U16">
        <v>55.331274228605523</v>
      </c>
      <c r="W16">
        <v>66.88759593397458</v>
      </c>
    </row>
    <row r="17" spans="1:24" x14ac:dyDescent="0.35">
      <c r="A17">
        <v>15</v>
      </c>
      <c r="B17">
        <v>46041</v>
      </c>
      <c r="C17" t="s">
        <v>16</v>
      </c>
      <c r="D17">
        <v>27</v>
      </c>
      <c r="E17" t="s">
        <v>41</v>
      </c>
      <c r="F17" t="s">
        <v>42</v>
      </c>
      <c r="G17" t="s">
        <v>19</v>
      </c>
      <c r="H17" t="s">
        <v>20</v>
      </c>
      <c r="I17" t="s">
        <v>21</v>
      </c>
      <c r="J17" t="s">
        <v>22</v>
      </c>
      <c r="K17" t="s">
        <v>23</v>
      </c>
      <c r="L17" t="s">
        <v>24</v>
      </c>
      <c r="M17">
        <v>94.962518740629605</v>
      </c>
      <c r="N17">
        <v>94.987007645832151</v>
      </c>
      <c r="O17">
        <v>6.8396213179086507</v>
      </c>
      <c r="P17">
        <v>6.9192395614354751</v>
      </c>
      <c r="Q17">
        <v>93.160378682091348</v>
      </c>
      <c r="R17">
        <v>93.080760438564525</v>
      </c>
      <c r="S17">
        <v>21.240817132160643</v>
      </c>
      <c r="T17">
        <v>21.240817132160643</v>
      </c>
      <c r="U17">
        <v>51.066965583557888</v>
      </c>
      <c r="V17">
        <v>51.070861809657387</v>
      </c>
      <c r="W17">
        <v>67.34624902643462</v>
      </c>
      <c r="X17">
        <v>67.216777899476341</v>
      </c>
    </row>
    <row r="18" spans="1:24" x14ac:dyDescent="0.35">
      <c r="A18">
        <v>16</v>
      </c>
      <c r="B18">
        <v>46041</v>
      </c>
      <c r="C18" t="s">
        <v>16</v>
      </c>
      <c r="D18">
        <v>27</v>
      </c>
      <c r="E18" t="s">
        <v>41</v>
      </c>
      <c r="F18" t="s">
        <v>42</v>
      </c>
      <c r="G18" t="s">
        <v>19</v>
      </c>
      <c r="H18" t="s">
        <v>20</v>
      </c>
      <c r="I18" t="s">
        <v>21</v>
      </c>
      <c r="J18" t="s">
        <v>22</v>
      </c>
      <c r="K18" t="s">
        <v>23</v>
      </c>
      <c r="L18" t="s">
        <v>24</v>
      </c>
      <c r="M18">
        <v>95.011496551034696</v>
      </c>
      <c r="O18">
        <v>6.9988578049622996</v>
      </c>
      <c r="Q18">
        <v>93.001142195037701</v>
      </c>
      <c r="S18">
        <v>21.240817132160643</v>
      </c>
      <c r="U18">
        <v>51.074758035756894</v>
      </c>
      <c r="W18">
        <v>67.087306772518062</v>
      </c>
    </row>
    <row r="19" spans="1:24" x14ac:dyDescent="0.35">
      <c r="A19">
        <v>17</v>
      </c>
      <c r="B19">
        <v>46041</v>
      </c>
      <c r="C19" t="s">
        <v>16</v>
      </c>
      <c r="D19">
        <v>27</v>
      </c>
      <c r="E19" t="s">
        <v>43</v>
      </c>
      <c r="F19" t="s">
        <v>44</v>
      </c>
      <c r="G19" t="s">
        <v>19</v>
      </c>
      <c r="H19" t="s">
        <v>20</v>
      </c>
      <c r="I19" t="s">
        <v>21</v>
      </c>
      <c r="J19" t="s">
        <v>22</v>
      </c>
      <c r="K19" t="s">
        <v>23</v>
      </c>
      <c r="L19" t="s">
        <v>24</v>
      </c>
      <c r="M19">
        <v>94.473316010393901</v>
      </c>
      <c r="N19">
        <v>94.543274035578719</v>
      </c>
      <c r="O19">
        <v>6.8710359408035133</v>
      </c>
      <c r="P19">
        <v>6.9291754756871917</v>
      </c>
      <c r="Q19">
        <v>93.128964059196491</v>
      </c>
      <c r="R19">
        <v>93.070824524312812</v>
      </c>
      <c r="S19">
        <v>21.587331260994091</v>
      </c>
      <c r="T19">
        <v>21.587331260994091</v>
      </c>
      <c r="U19">
        <v>58.313248197392156</v>
      </c>
      <c r="V19">
        <v>58.167411455478486</v>
      </c>
      <c r="W19">
        <v>69.587165742795591</v>
      </c>
      <c r="X19">
        <v>69.366100630903134</v>
      </c>
    </row>
    <row r="20" spans="1:24" x14ac:dyDescent="0.35">
      <c r="A20">
        <v>18</v>
      </c>
      <c r="B20">
        <v>46041</v>
      </c>
      <c r="C20" t="s">
        <v>16</v>
      </c>
      <c r="D20">
        <v>27</v>
      </c>
      <c r="E20" t="s">
        <v>43</v>
      </c>
      <c r="F20" t="s">
        <v>44</v>
      </c>
      <c r="G20" t="s">
        <v>19</v>
      </c>
      <c r="H20" t="s">
        <v>20</v>
      </c>
      <c r="I20" t="s">
        <v>21</v>
      </c>
      <c r="J20" t="s">
        <v>22</v>
      </c>
      <c r="K20" t="s">
        <v>23</v>
      </c>
      <c r="L20" t="s">
        <v>24</v>
      </c>
      <c r="M20">
        <v>94.613232060763536</v>
      </c>
      <c r="O20">
        <v>6.987315010570871</v>
      </c>
      <c r="Q20">
        <v>93.012684989429133</v>
      </c>
      <c r="S20">
        <v>21.587331260994091</v>
      </c>
      <c r="U20">
        <v>58.021574713564817</v>
      </c>
      <c r="W20">
        <v>69.145035519010662</v>
      </c>
    </row>
    <row r="21" spans="1:24" x14ac:dyDescent="0.35">
      <c r="A21">
        <v>19</v>
      </c>
      <c r="B21">
        <v>46041</v>
      </c>
      <c r="C21" t="s">
        <v>16</v>
      </c>
      <c r="D21">
        <v>27</v>
      </c>
      <c r="E21" t="s">
        <v>45</v>
      </c>
      <c r="F21" t="s">
        <v>46</v>
      </c>
      <c r="G21" t="s">
        <v>19</v>
      </c>
      <c r="H21" t="s">
        <v>20</v>
      </c>
      <c r="I21" t="s">
        <v>21</v>
      </c>
      <c r="J21" t="s">
        <v>22</v>
      </c>
      <c r="K21" t="s">
        <v>23</v>
      </c>
      <c r="L21" t="s">
        <v>24</v>
      </c>
      <c r="M21">
        <v>94.381685494351586</v>
      </c>
      <c r="N21">
        <v>94.187644666024497</v>
      </c>
      <c r="O21">
        <v>7.2386931829448473</v>
      </c>
      <c r="P21">
        <v>7.2747456108071029</v>
      </c>
      <c r="Q21">
        <v>92.761306817055157</v>
      </c>
      <c r="R21">
        <v>92.725254389192898</v>
      </c>
      <c r="S21">
        <v>21.259809928527385</v>
      </c>
      <c r="T21">
        <v>21.147143051903054</v>
      </c>
      <c r="U21">
        <v>49.559882982686091</v>
      </c>
      <c r="V21">
        <v>50.977070074497377</v>
      </c>
      <c r="W21">
        <v>62.085483648121539</v>
      </c>
      <c r="X21">
        <v>62.136166500418632</v>
      </c>
    </row>
    <row r="22" spans="1:24" x14ac:dyDescent="0.35">
      <c r="A22">
        <v>20</v>
      </c>
      <c r="B22">
        <v>46041</v>
      </c>
      <c r="C22" t="s">
        <v>16</v>
      </c>
      <c r="D22">
        <v>27</v>
      </c>
      <c r="E22" t="s">
        <v>45</v>
      </c>
      <c r="F22" t="s">
        <v>46</v>
      </c>
      <c r="G22" t="s">
        <v>19</v>
      </c>
      <c r="H22" t="s">
        <v>20</v>
      </c>
      <c r="I22" t="s">
        <v>21</v>
      </c>
      <c r="J22" t="s">
        <v>22</v>
      </c>
      <c r="K22" t="s">
        <v>23</v>
      </c>
      <c r="L22" t="s">
        <v>24</v>
      </c>
      <c r="M22">
        <v>93.993603837697407</v>
      </c>
      <c r="O22">
        <v>7.3107980386693585</v>
      </c>
      <c r="Q22">
        <v>92.689201961330639</v>
      </c>
      <c r="S22">
        <v>21.034476175278723</v>
      </c>
      <c r="U22">
        <v>52.394257166308655</v>
      </c>
      <c r="W22">
        <v>62.186849352715726</v>
      </c>
    </row>
    <row r="23" spans="1:24" x14ac:dyDescent="0.35">
      <c r="A23">
        <v>21</v>
      </c>
      <c r="B23">
        <v>46041</v>
      </c>
      <c r="C23" t="s">
        <v>16</v>
      </c>
      <c r="D23">
        <v>27</v>
      </c>
      <c r="E23" t="s">
        <v>47</v>
      </c>
      <c r="F23" t="s">
        <v>48</v>
      </c>
      <c r="G23" t="s">
        <v>19</v>
      </c>
      <c r="H23" t="s">
        <v>20</v>
      </c>
      <c r="I23" t="s">
        <v>21</v>
      </c>
      <c r="J23" t="s">
        <v>22</v>
      </c>
      <c r="K23" t="s">
        <v>23</v>
      </c>
      <c r="L23" t="s">
        <v>24</v>
      </c>
      <c r="M23">
        <v>93.172730907636975</v>
      </c>
      <c r="N23">
        <v>93.526671423221515</v>
      </c>
      <c r="O23">
        <v>7.502879142354038</v>
      </c>
      <c r="P23">
        <v>7.4986589276613946</v>
      </c>
      <c r="Q23">
        <v>92.497120857645967</v>
      </c>
      <c r="R23">
        <v>92.501341072338604</v>
      </c>
      <c r="S23">
        <v>21.317526281540893</v>
      </c>
      <c r="T23">
        <v>21.317526281540893</v>
      </c>
      <c r="U23">
        <v>53.27133251114968</v>
      </c>
      <c r="V23">
        <v>54.591146532301323</v>
      </c>
      <c r="W23">
        <v>65.337061998199687</v>
      </c>
      <c r="X23">
        <v>66.226035405740589</v>
      </c>
    </row>
    <row r="24" spans="1:24" x14ac:dyDescent="0.35">
      <c r="A24">
        <v>22</v>
      </c>
      <c r="B24">
        <v>46041</v>
      </c>
      <c r="C24" t="s">
        <v>16</v>
      </c>
      <c r="D24">
        <v>27</v>
      </c>
      <c r="E24" t="s">
        <v>47</v>
      </c>
      <c r="F24" t="s">
        <v>48</v>
      </c>
      <c r="G24" t="s">
        <v>19</v>
      </c>
      <c r="H24" t="s">
        <v>20</v>
      </c>
      <c r="I24" t="s">
        <v>21</v>
      </c>
      <c r="J24" t="s">
        <v>22</v>
      </c>
      <c r="K24" t="s">
        <v>23</v>
      </c>
      <c r="L24" t="s">
        <v>24</v>
      </c>
      <c r="M24">
        <v>93.880611938806055</v>
      </c>
      <c r="O24">
        <v>7.4944387129687513</v>
      </c>
      <c r="Q24">
        <v>92.505561287031242</v>
      </c>
      <c r="S24">
        <v>21.317526281540893</v>
      </c>
      <c r="U24">
        <v>55.910960553452973</v>
      </c>
      <c r="W24">
        <v>67.115008813281506</v>
      </c>
    </row>
    <row r="25" spans="1:24" x14ac:dyDescent="0.35">
      <c r="A25">
        <v>23</v>
      </c>
      <c r="B25">
        <v>46041</v>
      </c>
      <c r="C25" t="s">
        <v>16</v>
      </c>
      <c r="D25">
        <v>27</v>
      </c>
      <c r="E25" t="s">
        <v>49</v>
      </c>
      <c r="F25" t="s">
        <v>50</v>
      </c>
      <c r="G25" t="s">
        <v>19</v>
      </c>
      <c r="H25" t="s">
        <v>20</v>
      </c>
      <c r="I25" t="s">
        <v>21</v>
      </c>
      <c r="J25" t="s">
        <v>22</v>
      </c>
      <c r="K25" t="s">
        <v>23</v>
      </c>
      <c r="L25" t="s">
        <v>24</v>
      </c>
      <c r="M25">
        <v>93.813093453273282</v>
      </c>
      <c r="N25">
        <v>93.957431461216231</v>
      </c>
      <c r="O25">
        <v>7.2230653723788052</v>
      </c>
      <c r="P25">
        <v>7.2025076108834778</v>
      </c>
      <c r="Q25">
        <v>92.776934627621188</v>
      </c>
      <c r="R25">
        <v>92.797492389116513</v>
      </c>
      <c r="S25">
        <v>20.194918293638743</v>
      </c>
      <c r="T25">
        <v>20.194918293638743</v>
      </c>
      <c r="U25">
        <v>56.136356269671239</v>
      </c>
      <c r="V25">
        <v>56.434424137767706</v>
      </c>
      <c r="W25">
        <v>67.80357800074195</v>
      </c>
      <c r="X25">
        <v>67.783940114216108</v>
      </c>
    </row>
    <row r="26" spans="1:24" x14ac:dyDescent="0.35">
      <c r="A26">
        <v>24</v>
      </c>
      <c r="B26">
        <v>46041</v>
      </c>
      <c r="C26" t="s">
        <v>16</v>
      </c>
      <c r="D26">
        <v>27</v>
      </c>
      <c r="E26" t="s">
        <v>49</v>
      </c>
      <c r="F26" t="s">
        <v>50</v>
      </c>
      <c r="G26" t="s">
        <v>19</v>
      </c>
      <c r="H26" t="s">
        <v>20</v>
      </c>
      <c r="I26" t="s">
        <v>21</v>
      </c>
      <c r="J26" t="s">
        <v>22</v>
      </c>
      <c r="K26" t="s">
        <v>23</v>
      </c>
      <c r="L26" t="s">
        <v>24</v>
      </c>
      <c r="M26">
        <v>94.101769469159166</v>
      </c>
      <c r="O26">
        <v>7.1819498493881504</v>
      </c>
      <c r="Q26">
        <v>92.818050150611853</v>
      </c>
      <c r="S26">
        <v>20.194918293638743</v>
      </c>
      <c r="U26">
        <v>56.732492005864174</v>
      </c>
      <c r="W26">
        <v>67.764302227690266</v>
      </c>
    </row>
    <row r="27" spans="1:24" x14ac:dyDescent="0.35">
      <c r="A27">
        <v>25</v>
      </c>
      <c r="B27">
        <v>46041</v>
      </c>
      <c r="C27" t="s">
        <v>16</v>
      </c>
      <c r="D27">
        <v>27</v>
      </c>
      <c r="E27" t="s">
        <v>51</v>
      </c>
      <c r="F27" t="s">
        <v>52</v>
      </c>
      <c r="G27" t="s">
        <v>19</v>
      </c>
      <c r="H27" t="s">
        <v>20</v>
      </c>
      <c r="I27" t="s">
        <v>21</v>
      </c>
      <c r="J27" t="s">
        <v>22</v>
      </c>
      <c r="K27" t="s">
        <v>23</v>
      </c>
      <c r="L27" t="s">
        <v>24</v>
      </c>
      <c r="M27">
        <v>91.793282686925266</v>
      </c>
      <c r="N27">
        <v>91.857449181894964</v>
      </c>
      <c r="O27">
        <v>7.0842344296951643</v>
      </c>
      <c r="P27">
        <v>7.0631741984456244</v>
      </c>
      <c r="Q27">
        <v>92.915765570304842</v>
      </c>
      <c r="R27">
        <v>92.936825801554377</v>
      </c>
      <c r="S27">
        <v>21.674954169008064</v>
      </c>
      <c r="T27">
        <v>21.674954169008064</v>
      </c>
      <c r="U27">
        <v>52.996015334494828</v>
      </c>
      <c r="V27">
        <v>54.629756108743862</v>
      </c>
      <c r="W27">
        <v>66.238466842640946</v>
      </c>
      <c r="X27">
        <v>66.573105982287089</v>
      </c>
    </row>
    <row r="28" spans="1:24" x14ac:dyDescent="0.35">
      <c r="A28">
        <v>26</v>
      </c>
      <c r="B28">
        <v>46041</v>
      </c>
      <c r="C28" t="s">
        <v>16</v>
      </c>
      <c r="D28">
        <v>27</v>
      </c>
      <c r="E28" t="s">
        <v>51</v>
      </c>
      <c r="F28" t="s">
        <v>52</v>
      </c>
      <c r="G28" t="s">
        <v>19</v>
      </c>
      <c r="H28" t="s">
        <v>20</v>
      </c>
      <c r="I28" t="s">
        <v>21</v>
      </c>
      <c r="J28" t="s">
        <v>22</v>
      </c>
      <c r="K28" t="s">
        <v>23</v>
      </c>
      <c r="L28" t="s">
        <v>24</v>
      </c>
      <c r="M28">
        <v>91.921615676864675</v>
      </c>
      <c r="O28">
        <v>7.0421139671960837</v>
      </c>
      <c r="Q28">
        <v>92.957886032803913</v>
      </c>
      <c r="S28">
        <v>21.674954169008064</v>
      </c>
      <c r="U28">
        <v>56.263496882992889</v>
      </c>
      <c r="W28">
        <v>66.907745121933232</v>
      </c>
    </row>
    <row r="29" spans="1:24" x14ac:dyDescent="0.35">
      <c r="A29">
        <v>27</v>
      </c>
      <c r="B29">
        <v>46041</v>
      </c>
      <c r="C29" t="s">
        <v>16</v>
      </c>
      <c r="D29">
        <v>27</v>
      </c>
      <c r="E29" t="s">
        <v>53</v>
      </c>
      <c r="F29" t="s">
        <v>54</v>
      </c>
      <c r="G29" t="s">
        <v>19</v>
      </c>
      <c r="H29" t="s">
        <v>20</v>
      </c>
      <c r="I29" t="s">
        <v>21</v>
      </c>
      <c r="J29" t="s">
        <v>22</v>
      </c>
      <c r="K29" t="s">
        <v>23</v>
      </c>
      <c r="L29" t="s">
        <v>24</v>
      </c>
      <c r="M29">
        <v>94.630536946305426</v>
      </c>
      <c r="N29">
        <v>94.71104973877307</v>
      </c>
      <c r="O29">
        <v>7.8441291642143556</v>
      </c>
      <c r="P29">
        <v>7.859177881858507</v>
      </c>
      <c r="Q29">
        <v>92.155870835785649</v>
      </c>
      <c r="R29">
        <v>92.1408221181415</v>
      </c>
      <c r="S29">
        <v>21.435013684619474</v>
      </c>
      <c r="T29">
        <v>21.435013684619474</v>
      </c>
      <c r="U29">
        <v>46.542857848730677</v>
      </c>
      <c r="V29">
        <v>47.219601144823621</v>
      </c>
      <c r="W29">
        <v>61.497078753767823</v>
      </c>
      <c r="X29">
        <v>62.023150386065069</v>
      </c>
    </row>
    <row r="30" spans="1:24" x14ac:dyDescent="0.35">
      <c r="A30">
        <v>28</v>
      </c>
      <c r="B30">
        <v>46041</v>
      </c>
      <c r="C30" t="s">
        <v>16</v>
      </c>
      <c r="D30">
        <v>27</v>
      </c>
      <c r="E30" t="s">
        <v>53</v>
      </c>
      <c r="F30" t="s">
        <v>54</v>
      </c>
      <c r="G30" t="s">
        <v>19</v>
      </c>
      <c r="H30" t="s">
        <v>20</v>
      </c>
      <c r="I30" t="s">
        <v>21</v>
      </c>
      <c r="J30" t="s">
        <v>22</v>
      </c>
      <c r="K30" t="s">
        <v>23</v>
      </c>
      <c r="L30" t="s">
        <v>24</v>
      </c>
      <c r="M30">
        <v>94.791562531240714</v>
      </c>
      <c r="O30">
        <v>7.8742265995026592</v>
      </c>
      <c r="Q30">
        <v>92.125773400497337</v>
      </c>
      <c r="S30">
        <v>21.435013684619474</v>
      </c>
      <c r="U30">
        <v>47.896344440916565</v>
      </c>
      <c r="W30">
        <v>62.549222018362308</v>
      </c>
    </row>
    <row r="31" spans="1:24" x14ac:dyDescent="0.35">
      <c r="A31">
        <v>29</v>
      </c>
      <c r="B31">
        <v>46041</v>
      </c>
      <c r="C31" t="s">
        <v>16</v>
      </c>
      <c r="D31">
        <v>27</v>
      </c>
      <c r="E31" t="s">
        <v>55</v>
      </c>
      <c r="F31" t="s">
        <v>56</v>
      </c>
      <c r="G31" t="s">
        <v>19</v>
      </c>
      <c r="H31" t="s">
        <v>20</v>
      </c>
      <c r="I31" t="s">
        <v>21</v>
      </c>
      <c r="J31" t="s">
        <v>22</v>
      </c>
      <c r="K31" t="s">
        <v>23</v>
      </c>
      <c r="L31" t="s">
        <v>24</v>
      </c>
      <c r="M31">
        <v>95.121951219512113</v>
      </c>
      <c r="N31">
        <v>95.121951219512113</v>
      </c>
      <c r="O31">
        <v>7.2929802437999109</v>
      </c>
      <c r="P31">
        <v>7.2929802437999109</v>
      </c>
      <c r="Q31">
        <v>92.707019756200083</v>
      </c>
      <c r="R31">
        <v>92.707019756200083</v>
      </c>
      <c r="S31">
        <v>18.840827307961472</v>
      </c>
      <c r="T31">
        <v>18.840827307961472</v>
      </c>
      <c r="U31">
        <v>48.776254446859987</v>
      </c>
      <c r="V31">
        <v>49.892248931655672</v>
      </c>
      <c r="W31">
        <v>63.453120527972864</v>
      </c>
      <c r="X31">
        <v>63.091070171894259</v>
      </c>
    </row>
    <row r="32" spans="1:24" x14ac:dyDescent="0.35">
      <c r="A32">
        <v>30</v>
      </c>
      <c r="B32">
        <v>46041</v>
      </c>
      <c r="C32" t="s">
        <v>16</v>
      </c>
      <c r="D32">
        <v>27</v>
      </c>
      <c r="E32" t="s">
        <v>55</v>
      </c>
      <c r="F32" t="s">
        <v>56</v>
      </c>
      <c r="G32" t="s">
        <v>19</v>
      </c>
      <c r="H32" t="s">
        <v>20</v>
      </c>
      <c r="I32" t="s">
        <v>21</v>
      </c>
      <c r="J32" t="s">
        <v>22</v>
      </c>
      <c r="K32" t="s">
        <v>23</v>
      </c>
      <c r="L32" t="s">
        <v>24</v>
      </c>
      <c r="M32">
        <v>95.121951219512113</v>
      </c>
      <c r="O32">
        <v>7.2929802437999109</v>
      </c>
      <c r="Q32">
        <v>92.707019756200083</v>
      </c>
      <c r="S32">
        <v>18.840827307961472</v>
      </c>
      <c r="U32">
        <v>51.00824341645135</v>
      </c>
      <c r="W32">
        <v>62.729019815815654</v>
      </c>
    </row>
    <row r="33" spans="1:24" x14ac:dyDescent="0.35">
      <c r="A33">
        <v>31</v>
      </c>
      <c r="B33">
        <v>46041</v>
      </c>
      <c r="C33" t="s">
        <v>16</v>
      </c>
      <c r="D33">
        <v>27</v>
      </c>
      <c r="E33" t="s">
        <v>57</v>
      </c>
      <c r="F33" t="s">
        <v>58</v>
      </c>
      <c r="G33" t="s">
        <v>19</v>
      </c>
      <c r="H33" t="s">
        <v>20</v>
      </c>
      <c r="I33" t="s">
        <v>21</v>
      </c>
      <c r="J33" t="s">
        <v>22</v>
      </c>
      <c r="K33" t="s">
        <v>23</v>
      </c>
      <c r="L33" t="s">
        <v>24</v>
      </c>
      <c r="M33">
        <v>93.640635936406412</v>
      </c>
      <c r="N33">
        <v>93.721247689286884</v>
      </c>
      <c r="O33">
        <v>7.3295151719138971</v>
      </c>
      <c r="P33">
        <v>7.3714493963065175</v>
      </c>
      <c r="Q33">
        <v>92.670484828086103</v>
      </c>
      <c r="R33">
        <v>92.628550603693483</v>
      </c>
      <c r="S33">
        <v>17.584205926024783</v>
      </c>
      <c r="T33">
        <v>17.584205926024783</v>
      </c>
      <c r="U33">
        <v>47.918116179467987</v>
      </c>
      <c r="V33">
        <v>49.308483536149055</v>
      </c>
      <c r="W33">
        <v>63.094779674494085</v>
      </c>
      <c r="X33">
        <v>64.369248658831737</v>
      </c>
    </row>
    <row r="34" spans="1:24" x14ac:dyDescent="0.35">
      <c r="A34">
        <v>32</v>
      </c>
      <c r="B34">
        <v>46041</v>
      </c>
      <c r="C34" t="s">
        <v>16</v>
      </c>
      <c r="D34">
        <v>27</v>
      </c>
      <c r="E34" t="s">
        <v>57</v>
      </c>
      <c r="F34" t="s">
        <v>58</v>
      </c>
      <c r="G34" t="s">
        <v>19</v>
      </c>
      <c r="H34" t="s">
        <v>20</v>
      </c>
      <c r="I34" t="s">
        <v>21</v>
      </c>
      <c r="J34" t="s">
        <v>22</v>
      </c>
      <c r="K34" t="s">
        <v>23</v>
      </c>
      <c r="L34" t="s">
        <v>24</v>
      </c>
      <c r="M34">
        <v>93.801859442167341</v>
      </c>
      <c r="O34">
        <v>7.4133836206991379</v>
      </c>
      <c r="Q34">
        <v>92.586616379300864</v>
      </c>
      <c r="S34">
        <v>17.584205926024783</v>
      </c>
      <c r="U34">
        <v>50.69885089283013</v>
      </c>
      <c r="W34">
        <v>65.643717643169396</v>
      </c>
    </row>
    <row r="35" spans="1:24" x14ac:dyDescent="0.35">
      <c r="A35">
        <v>33</v>
      </c>
      <c r="B35">
        <v>46041</v>
      </c>
      <c r="C35" t="s">
        <v>16</v>
      </c>
      <c r="D35">
        <v>27</v>
      </c>
      <c r="E35" t="s">
        <v>59</v>
      </c>
      <c r="F35" t="s">
        <v>60</v>
      </c>
      <c r="G35" t="s">
        <v>19</v>
      </c>
      <c r="H35" t="s">
        <v>20</v>
      </c>
      <c r="I35" t="s">
        <v>21</v>
      </c>
      <c r="J35" t="s">
        <v>22</v>
      </c>
      <c r="K35" t="s">
        <v>23</v>
      </c>
      <c r="L35" t="s">
        <v>24</v>
      </c>
      <c r="M35">
        <v>94.133519888067212</v>
      </c>
      <c r="N35">
        <v>94.171759944033596</v>
      </c>
      <c r="O35">
        <v>8.1610333833703574</v>
      </c>
      <c r="P35">
        <v>8.1953383774038073</v>
      </c>
      <c r="Q35">
        <v>91.838966616629648</v>
      </c>
      <c r="R35">
        <v>91.8046616225962</v>
      </c>
      <c r="S35">
        <v>22.612796485152785</v>
      </c>
      <c r="T35">
        <v>22.612796485152785</v>
      </c>
      <c r="U35">
        <v>42.440536982268917</v>
      </c>
      <c r="V35">
        <v>43.737007368661075</v>
      </c>
      <c r="W35">
        <v>58.909831198232929</v>
      </c>
      <c r="X35">
        <v>58.496714012720304</v>
      </c>
    </row>
    <row r="36" spans="1:24" x14ac:dyDescent="0.35">
      <c r="A36">
        <v>34</v>
      </c>
      <c r="B36">
        <v>46041</v>
      </c>
      <c r="C36" t="s">
        <v>16</v>
      </c>
      <c r="D36">
        <v>27</v>
      </c>
      <c r="E36" t="s">
        <v>59</v>
      </c>
      <c r="F36" t="s">
        <v>60</v>
      </c>
      <c r="G36" t="s">
        <v>19</v>
      </c>
      <c r="H36" t="s">
        <v>20</v>
      </c>
      <c r="I36" t="s">
        <v>21</v>
      </c>
      <c r="J36" t="s">
        <v>22</v>
      </c>
      <c r="K36" t="s">
        <v>23</v>
      </c>
      <c r="L36" t="s">
        <v>24</v>
      </c>
      <c r="M36">
        <v>94.21</v>
      </c>
      <c r="O36">
        <v>8.2296433714372572</v>
      </c>
      <c r="Q36">
        <v>91.770356628562737</v>
      </c>
      <c r="S36">
        <v>22.612796485152785</v>
      </c>
      <c r="U36">
        <v>45.033477755053234</v>
      </c>
      <c r="W36">
        <v>58.083596827207685</v>
      </c>
    </row>
    <row r="37" spans="1:24" x14ac:dyDescent="0.35">
      <c r="A37">
        <v>35</v>
      </c>
      <c r="B37">
        <v>46041</v>
      </c>
      <c r="C37" t="s">
        <v>16</v>
      </c>
      <c r="D37">
        <v>27</v>
      </c>
      <c r="E37" t="s">
        <v>61</v>
      </c>
      <c r="F37" t="s">
        <v>62</v>
      </c>
      <c r="G37" t="s">
        <v>19</v>
      </c>
      <c r="H37" t="s">
        <v>20</v>
      </c>
      <c r="I37" t="s">
        <v>21</v>
      </c>
      <c r="J37" t="s">
        <v>22</v>
      </c>
      <c r="K37" t="s">
        <v>23</v>
      </c>
      <c r="L37" t="s">
        <v>24</v>
      </c>
      <c r="M37">
        <v>94.06356186288221</v>
      </c>
      <c r="N37">
        <v>94.05856486108334</v>
      </c>
      <c r="O37">
        <v>7.7458428518301812</v>
      </c>
      <c r="P37">
        <v>7.7989693460128482</v>
      </c>
      <c r="Q37">
        <v>92.254157148169824</v>
      </c>
      <c r="R37">
        <v>92.201030653987146</v>
      </c>
      <c r="S37">
        <v>19.2663130290344</v>
      </c>
      <c r="T37">
        <v>19.2663130290344</v>
      </c>
      <c r="U37">
        <v>48.068152657356414</v>
      </c>
      <c r="V37">
        <v>49.209674688172143</v>
      </c>
      <c r="W37">
        <v>61.649122519801189</v>
      </c>
      <c r="X37">
        <v>61.65556371101799</v>
      </c>
    </row>
    <row r="38" spans="1:24" x14ac:dyDescent="0.35">
      <c r="A38">
        <v>36</v>
      </c>
      <c r="B38">
        <v>46041</v>
      </c>
      <c r="C38" t="s">
        <v>16</v>
      </c>
      <c r="D38">
        <v>27</v>
      </c>
      <c r="E38" t="s">
        <v>61</v>
      </c>
      <c r="F38" t="s">
        <v>62</v>
      </c>
      <c r="G38" t="s">
        <v>19</v>
      </c>
      <c r="H38" t="s">
        <v>20</v>
      </c>
      <c r="I38" t="s">
        <v>21</v>
      </c>
      <c r="J38" t="s">
        <v>22</v>
      </c>
      <c r="K38" t="s">
        <v>23</v>
      </c>
      <c r="L38" t="s">
        <v>24</v>
      </c>
      <c r="M38">
        <v>94.053567859284485</v>
      </c>
      <c r="O38">
        <v>7.8520958401955152</v>
      </c>
      <c r="Q38">
        <v>92.147904159804483</v>
      </c>
      <c r="S38">
        <v>19.2663130290344</v>
      </c>
      <c r="U38">
        <v>50.351196718987865</v>
      </c>
      <c r="W38">
        <v>61.662004902234798</v>
      </c>
    </row>
    <row r="39" spans="1:24" x14ac:dyDescent="0.35">
      <c r="A39">
        <v>37</v>
      </c>
      <c r="B39">
        <v>46041</v>
      </c>
      <c r="C39" t="s">
        <v>16</v>
      </c>
      <c r="D39">
        <v>27</v>
      </c>
      <c r="E39" t="s">
        <v>63</v>
      </c>
      <c r="F39" t="s">
        <v>64</v>
      </c>
      <c r="G39" t="s">
        <v>19</v>
      </c>
      <c r="H39" t="s">
        <v>20</v>
      </c>
      <c r="I39" t="s">
        <v>21</v>
      </c>
      <c r="J39" t="s">
        <v>22</v>
      </c>
      <c r="K39" t="s">
        <v>23</v>
      </c>
      <c r="L39" t="s">
        <v>24</v>
      </c>
      <c r="M39">
        <v>95.211436569029189</v>
      </c>
      <c r="N39">
        <v>95.287109449815432</v>
      </c>
      <c r="O39">
        <v>7.4279476813562075</v>
      </c>
      <c r="P39">
        <v>7.3953692393808703</v>
      </c>
      <c r="Q39">
        <v>92.572052318643799</v>
      </c>
      <c r="R39">
        <v>92.604630760619131</v>
      </c>
      <c r="S39">
        <v>17.300431120337905</v>
      </c>
      <c r="T39">
        <v>17.300431120337905</v>
      </c>
      <c r="U39">
        <v>41.534198985672482</v>
      </c>
      <c r="V39">
        <v>40.977473092905498</v>
      </c>
      <c r="W39">
        <v>60.251562798158034</v>
      </c>
      <c r="X39">
        <v>59.478362381293763</v>
      </c>
    </row>
    <row r="40" spans="1:24" x14ac:dyDescent="0.35">
      <c r="A40">
        <v>38</v>
      </c>
      <c r="B40">
        <v>46041</v>
      </c>
      <c r="C40" t="s">
        <v>16</v>
      </c>
      <c r="D40">
        <v>27</v>
      </c>
      <c r="E40" t="s">
        <v>63</v>
      </c>
      <c r="F40" t="s">
        <v>64</v>
      </c>
      <c r="G40" t="s">
        <v>19</v>
      </c>
      <c r="H40" t="s">
        <v>20</v>
      </c>
      <c r="I40" t="s">
        <v>21</v>
      </c>
      <c r="J40" t="s">
        <v>22</v>
      </c>
      <c r="K40" t="s">
        <v>23</v>
      </c>
      <c r="L40" t="s">
        <v>24</v>
      </c>
      <c r="M40">
        <v>95.362782330601661</v>
      </c>
      <c r="O40">
        <v>7.3627907974055331</v>
      </c>
      <c r="Q40">
        <v>92.637209202594462</v>
      </c>
      <c r="S40">
        <v>17.300431120337905</v>
      </c>
      <c r="U40">
        <v>40.420747200138521</v>
      </c>
      <c r="W40">
        <v>58.7051619644295</v>
      </c>
    </row>
    <row r="41" spans="1:24" x14ac:dyDescent="0.35">
      <c r="A41">
        <v>39</v>
      </c>
      <c r="B41">
        <v>46041</v>
      </c>
      <c r="C41" t="s">
        <v>16</v>
      </c>
      <c r="D41">
        <v>27</v>
      </c>
      <c r="E41" t="s">
        <v>65</v>
      </c>
      <c r="F41" t="s">
        <v>66</v>
      </c>
      <c r="G41" t="s">
        <v>19</v>
      </c>
      <c r="H41" t="s">
        <v>67</v>
      </c>
      <c r="I41" t="s">
        <v>68</v>
      </c>
      <c r="J41" t="s">
        <v>22</v>
      </c>
      <c r="K41" t="s">
        <v>23</v>
      </c>
      <c r="L41" t="s">
        <v>24</v>
      </c>
      <c r="M41">
        <v>94.550000000000097</v>
      </c>
      <c r="N41">
        <v>94.671562062762405</v>
      </c>
      <c r="O41">
        <v>9.5699276557766169</v>
      </c>
      <c r="P41">
        <v>9.8045796525676145</v>
      </c>
      <c r="Q41">
        <v>90.43007234422339</v>
      </c>
      <c r="R41">
        <v>90.195420347432389</v>
      </c>
      <c r="S41">
        <v>14.842100984909424</v>
      </c>
      <c r="T41">
        <v>14.663947536188356</v>
      </c>
      <c r="U41">
        <v>46.509000281942058</v>
      </c>
      <c r="V41">
        <v>47.338086342816538</v>
      </c>
      <c r="W41">
        <v>60.218487587880077</v>
      </c>
      <c r="X41">
        <v>59.757991078326761</v>
      </c>
    </row>
    <row r="42" spans="1:24" x14ac:dyDescent="0.35">
      <c r="A42">
        <v>40</v>
      </c>
      <c r="B42">
        <v>46041</v>
      </c>
      <c r="C42" t="s">
        <v>16</v>
      </c>
      <c r="D42">
        <v>27</v>
      </c>
      <c r="E42" t="s">
        <v>65</v>
      </c>
      <c r="F42" t="s">
        <v>66</v>
      </c>
      <c r="G42" t="s">
        <v>19</v>
      </c>
      <c r="H42" t="s">
        <v>67</v>
      </c>
      <c r="I42" t="s">
        <v>68</v>
      </c>
      <c r="J42" t="s">
        <v>22</v>
      </c>
      <c r="K42" t="s">
        <v>23</v>
      </c>
      <c r="L42" t="s">
        <v>24</v>
      </c>
      <c r="M42">
        <v>94.793124125524713</v>
      </c>
      <c r="O42">
        <v>10.039231649358612</v>
      </c>
      <c r="Q42">
        <v>89.960768350641388</v>
      </c>
      <c r="S42">
        <v>14.485794087467289</v>
      </c>
      <c r="U42">
        <v>48.167172403691012</v>
      </c>
      <c r="W42">
        <v>59.297494568773445</v>
      </c>
    </row>
    <row r="43" spans="1:24" x14ac:dyDescent="0.35">
      <c r="A43">
        <v>41</v>
      </c>
      <c r="B43">
        <v>46041</v>
      </c>
      <c r="C43" t="s">
        <v>16</v>
      </c>
      <c r="D43">
        <v>27</v>
      </c>
      <c r="E43" t="s">
        <v>69</v>
      </c>
      <c r="F43" t="s">
        <v>70</v>
      </c>
      <c r="G43" t="s">
        <v>19</v>
      </c>
      <c r="H43" t="s">
        <v>20</v>
      </c>
      <c r="I43" t="s">
        <v>21</v>
      </c>
      <c r="J43" t="s">
        <v>22</v>
      </c>
      <c r="K43" t="s">
        <v>23</v>
      </c>
      <c r="L43" t="s">
        <v>24</v>
      </c>
      <c r="M43">
        <v>94.583250049969905</v>
      </c>
      <c r="N43">
        <v>94.631890998387576</v>
      </c>
      <c r="O43">
        <v>6.9068453393787008</v>
      </c>
      <c r="P43">
        <v>6.9085718780597709</v>
      </c>
      <c r="Q43">
        <v>93.093154660621295</v>
      </c>
      <c r="R43">
        <v>93.091428121940226</v>
      </c>
      <c r="S43">
        <v>20.084073911761312</v>
      </c>
      <c r="T43">
        <v>20.084073911761312</v>
      </c>
      <c r="U43">
        <v>45.17473390058359</v>
      </c>
      <c r="V43">
        <v>45.181599814728301</v>
      </c>
      <c r="W43">
        <v>59.82504625501727</v>
      </c>
      <c r="X43">
        <v>60.091399113553557</v>
      </c>
    </row>
    <row r="44" spans="1:24" x14ac:dyDescent="0.35">
      <c r="A44">
        <v>42</v>
      </c>
      <c r="B44">
        <v>46041</v>
      </c>
      <c r="C44" t="s">
        <v>16</v>
      </c>
      <c r="D44">
        <v>27</v>
      </c>
      <c r="E44" t="s">
        <v>69</v>
      </c>
      <c r="F44" t="s">
        <v>70</v>
      </c>
      <c r="G44" t="s">
        <v>19</v>
      </c>
      <c r="H44" t="s">
        <v>20</v>
      </c>
      <c r="I44" t="s">
        <v>21</v>
      </c>
      <c r="J44" t="s">
        <v>22</v>
      </c>
      <c r="K44" t="s">
        <v>23</v>
      </c>
      <c r="L44" t="s">
        <v>24</v>
      </c>
      <c r="M44">
        <v>94.68053194680526</v>
      </c>
      <c r="O44">
        <v>6.910298416740841</v>
      </c>
      <c r="Q44">
        <v>93.089701583259156</v>
      </c>
      <c r="S44">
        <v>20.084073911761312</v>
      </c>
      <c r="U44">
        <v>45.18846572887302</v>
      </c>
      <c r="W44">
        <v>60.357751972089844</v>
      </c>
    </row>
    <row r="45" spans="1:24" x14ac:dyDescent="0.35">
      <c r="A45">
        <v>43</v>
      </c>
      <c r="B45">
        <v>46041</v>
      </c>
      <c r="C45" t="s">
        <v>16</v>
      </c>
      <c r="D45">
        <v>27</v>
      </c>
      <c r="E45" t="s">
        <v>71</v>
      </c>
      <c r="F45" t="s">
        <v>72</v>
      </c>
      <c r="G45" t="s">
        <v>19</v>
      </c>
      <c r="H45" t="s">
        <v>73</v>
      </c>
      <c r="I45" t="s">
        <v>74</v>
      </c>
      <c r="J45" t="s">
        <v>22</v>
      </c>
      <c r="K45" t="s">
        <v>23</v>
      </c>
      <c r="L45" t="s">
        <v>24</v>
      </c>
      <c r="M45">
        <v>93.71062893710635</v>
      </c>
      <c r="N45">
        <v>93.746247188737129</v>
      </c>
      <c r="O45">
        <v>8.6608139788740477</v>
      </c>
      <c r="P45">
        <v>8.6652801044736112</v>
      </c>
      <c r="Q45">
        <v>91.339186021125954</v>
      </c>
      <c r="R45">
        <v>91.334719895526391</v>
      </c>
      <c r="S45">
        <v>22.605566233851366</v>
      </c>
      <c r="T45">
        <v>22.605566233851366</v>
      </c>
      <c r="U45">
        <v>44.315203432792657</v>
      </c>
      <c r="V45">
        <v>45.811663840735562</v>
      </c>
      <c r="W45">
        <v>57.850940854473841</v>
      </c>
      <c r="X45">
        <v>58.361440158311851</v>
      </c>
    </row>
    <row r="46" spans="1:24" x14ac:dyDescent="0.35">
      <c r="A46">
        <v>44</v>
      </c>
      <c r="B46">
        <v>46041</v>
      </c>
      <c r="C46" t="s">
        <v>16</v>
      </c>
      <c r="D46">
        <v>27</v>
      </c>
      <c r="E46" t="s">
        <v>71</v>
      </c>
      <c r="F46" t="s">
        <v>72</v>
      </c>
      <c r="G46" t="s">
        <v>19</v>
      </c>
      <c r="H46" t="s">
        <v>73</v>
      </c>
      <c r="I46" t="s">
        <v>74</v>
      </c>
      <c r="J46" t="s">
        <v>22</v>
      </c>
      <c r="K46" t="s">
        <v>23</v>
      </c>
      <c r="L46" t="s">
        <v>24</v>
      </c>
      <c r="M46">
        <v>93.781865440367923</v>
      </c>
      <c r="O46">
        <v>8.6697462300731747</v>
      </c>
      <c r="Q46">
        <v>91.330253769926827</v>
      </c>
      <c r="S46">
        <v>22.605566233851366</v>
      </c>
      <c r="U46">
        <v>47.30812424867846</v>
      </c>
      <c r="W46">
        <v>58.871939462149861</v>
      </c>
    </row>
    <row r="47" spans="1:24" x14ac:dyDescent="0.35">
      <c r="A47">
        <v>45</v>
      </c>
      <c r="B47">
        <v>46041</v>
      </c>
      <c r="C47" t="s">
        <v>16</v>
      </c>
      <c r="D47">
        <v>27</v>
      </c>
      <c r="E47" t="s">
        <v>75</v>
      </c>
      <c r="F47" t="s">
        <v>76</v>
      </c>
      <c r="G47" t="s">
        <v>19</v>
      </c>
      <c r="H47" t="s">
        <v>20</v>
      </c>
      <c r="I47" t="s">
        <v>21</v>
      </c>
      <c r="J47" t="s">
        <v>22</v>
      </c>
      <c r="K47" t="s">
        <v>23</v>
      </c>
      <c r="L47" t="s">
        <v>24</v>
      </c>
      <c r="M47">
        <v>93.401979406178185</v>
      </c>
      <c r="N47">
        <v>93.410989703089115</v>
      </c>
      <c r="O47">
        <v>8.2299670695365919</v>
      </c>
      <c r="P47">
        <v>11.110948378703402</v>
      </c>
      <c r="Q47">
        <v>91.770032930463401</v>
      </c>
      <c r="R47">
        <v>88.889051621296602</v>
      </c>
      <c r="S47">
        <v>20.963127013124584</v>
      </c>
      <c r="T47">
        <v>20.963127013124584</v>
      </c>
      <c r="U47">
        <v>50.956053709713444</v>
      </c>
      <c r="V47">
        <v>51.470994796675967</v>
      </c>
      <c r="W47">
        <v>63.084120860725989</v>
      </c>
      <c r="X47">
        <v>63.317589657900683</v>
      </c>
    </row>
    <row r="48" spans="1:24" x14ac:dyDescent="0.35">
      <c r="A48">
        <v>46</v>
      </c>
      <c r="B48">
        <v>46041</v>
      </c>
      <c r="C48" t="s">
        <v>16</v>
      </c>
      <c r="D48">
        <v>27</v>
      </c>
      <c r="E48" t="s">
        <v>75</v>
      </c>
      <c r="F48" t="s">
        <v>76</v>
      </c>
      <c r="G48" t="s">
        <v>19</v>
      </c>
      <c r="H48" t="s">
        <v>20</v>
      </c>
      <c r="I48" t="s">
        <v>21</v>
      </c>
      <c r="J48" t="s">
        <v>22</v>
      </c>
      <c r="K48" t="s">
        <v>23</v>
      </c>
      <c r="L48" t="s">
        <v>24</v>
      </c>
      <c r="M48">
        <v>93.420000000000059</v>
      </c>
      <c r="O48">
        <v>13.991929687870213</v>
      </c>
      <c r="Q48">
        <v>86.008070312129789</v>
      </c>
      <c r="S48">
        <v>20.963127013124584</v>
      </c>
      <c r="U48">
        <v>51.98593588363849</v>
      </c>
      <c r="W48">
        <v>63.551058455075385</v>
      </c>
    </row>
    <row r="49" spans="1:24" x14ac:dyDescent="0.35">
      <c r="A49">
        <v>47</v>
      </c>
      <c r="B49">
        <v>46041</v>
      </c>
      <c r="C49" t="s">
        <v>16</v>
      </c>
      <c r="D49">
        <v>27</v>
      </c>
      <c r="E49" t="s">
        <v>77</v>
      </c>
      <c r="F49" t="s">
        <v>78</v>
      </c>
      <c r="G49" t="s">
        <v>79</v>
      </c>
      <c r="H49" t="s">
        <v>80</v>
      </c>
      <c r="I49" t="s">
        <v>81</v>
      </c>
      <c r="J49" t="s">
        <v>22</v>
      </c>
      <c r="K49" t="s">
        <v>23</v>
      </c>
      <c r="L49" t="s">
        <v>24</v>
      </c>
      <c r="M49">
        <v>94.572171131547506</v>
      </c>
      <c r="N49">
        <v>94.626617459395078</v>
      </c>
      <c r="O49">
        <v>9.8452990720095883</v>
      </c>
      <c r="P49">
        <v>9.4183710194356927</v>
      </c>
      <c r="Q49">
        <v>90.154700927990405</v>
      </c>
      <c r="R49">
        <v>90.581628980564304</v>
      </c>
      <c r="S49">
        <v>30.486453959263638</v>
      </c>
      <c r="T49">
        <v>30.486453959263638</v>
      </c>
      <c r="U49">
        <v>28.995439891096471</v>
      </c>
      <c r="V49">
        <v>29.377469406089595</v>
      </c>
      <c r="W49">
        <v>47.118282760789711</v>
      </c>
      <c r="X49">
        <v>46.324472460646909</v>
      </c>
    </row>
    <row r="50" spans="1:24" x14ac:dyDescent="0.35">
      <c r="A50">
        <v>48</v>
      </c>
      <c r="B50">
        <v>46041</v>
      </c>
      <c r="C50" t="s">
        <v>16</v>
      </c>
      <c r="D50">
        <v>27</v>
      </c>
      <c r="E50" t="s">
        <v>77</v>
      </c>
      <c r="F50" t="s">
        <v>78</v>
      </c>
      <c r="G50" t="s">
        <v>79</v>
      </c>
      <c r="H50" t="s">
        <v>80</v>
      </c>
      <c r="I50" t="s">
        <v>81</v>
      </c>
      <c r="J50" t="s">
        <v>22</v>
      </c>
      <c r="K50" t="s">
        <v>23</v>
      </c>
      <c r="L50" t="s">
        <v>24</v>
      </c>
      <c r="M50">
        <v>94.68106378724265</v>
      </c>
      <c r="O50">
        <v>8.9914429668617952</v>
      </c>
      <c r="Q50">
        <v>91.008557033138203</v>
      </c>
      <c r="S50">
        <v>30.486453959263638</v>
      </c>
      <c r="U50">
        <v>29.759498921082717</v>
      </c>
      <c r="W50">
        <v>45.530662160504107</v>
      </c>
    </row>
    <row r="51" spans="1:24" x14ac:dyDescent="0.35">
      <c r="A51">
        <v>49</v>
      </c>
      <c r="B51">
        <v>46041</v>
      </c>
      <c r="C51" t="s">
        <v>16</v>
      </c>
      <c r="D51">
        <v>27</v>
      </c>
      <c r="E51" t="s">
        <v>82</v>
      </c>
      <c r="F51" t="s">
        <v>83</v>
      </c>
      <c r="G51" t="s">
        <v>84</v>
      </c>
      <c r="H51" t="s">
        <v>67</v>
      </c>
      <c r="I51" t="s">
        <v>85</v>
      </c>
      <c r="J51" t="s">
        <v>22</v>
      </c>
      <c r="K51" t="s">
        <v>23</v>
      </c>
      <c r="L51" t="s">
        <v>24</v>
      </c>
      <c r="M51">
        <v>93.40197940617827</v>
      </c>
      <c r="N51">
        <v>93.417631382249596</v>
      </c>
      <c r="O51">
        <v>8.0581594353366821</v>
      </c>
      <c r="P51">
        <v>12.053530523308613</v>
      </c>
      <c r="Q51">
        <v>91.941840564663323</v>
      </c>
      <c r="R51">
        <v>87.946469476691391</v>
      </c>
      <c r="S51">
        <v>25.588518268733985</v>
      </c>
      <c r="T51">
        <v>25.588518268733985</v>
      </c>
      <c r="U51">
        <v>38.508302667087136</v>
      </c>
      <c r="V51">
        <v>39.53895727197682</v>
      </c>
      <c r="W51">
        <v>49.576049604459683</v>
      </c>
      <c r="X51">
        <v>50.115790471025065</v>
      </c>
    </row>
    <row r="52" spans="1:24" x14ac:dyDescent="0.35">
      <c r="A52">
        <v>50</v>
      </c>
      <c r="B52">
        <v>46041</v>
      </c>
      <c r="C52" t="s">
        <v>16</v>
      </c>
      <c r="D52">
        <v>27</v>
      </c>
      <c r="E52" t="s">
        <v>82</v>
      </c>
      <c r="F52" t="s">
        <v>83</v>
      </c>
      <c r="G52" t="s">
        <v>84</v>
      </c>
      <c r="H52" t="s">
        <v>67</v>
      </c>
      <c r="I52" t="s">
        <v>85</v>
      </c>
      <c r="J52" t="s">
        <v>22</v>
      </c>
      <c r="K52" t="s">
        <v>23</v>
      </c>
      <c r="L52" t="s">
        <v>24</v>
      </c>
      <c r="M52">
        <v>93.433283358320935</v>
      </c>
      <c r="O52">
        <v>16.048901611280542</v>
      </c>
      <c r="Q52">
        <v>83.951098388719458</v>
      </c>
      <c r="S52">
        <v>25.588518268733985</v>
      </c>
      <c r="U52">
        <v>40.569611876866503</v>
      </c>
      <c r="W52">
        <v>50.655531337590446</v>
      </c>
    </row>
    <row r="53" spans="1:24" x14ac:dyDescent="0.35">
      <c r="A53">
        <v>51</v>
      </c>
      <c r="B53">
        <v>46041</v>
      </c>
      <c r="C53" t="s">
        <v>16</v>
      </c>
      <c r="D53">
        <v>27</v>
      </c>
      <c r="E53" t="s">
        <v>86</v>
      </c>
      <c r="F53" t="s">
        <v>87</v>
      </c>
      <c r="G53" t="s">
        <v>88</v>
      </c>
      <c r="H53" t="s">
        <v>89</v>
      </c>
      <c r="I53" t="s">
        <v>90</v>
      </c>
      <c r="J53" t="s">
        <v>22</v>
      </c>
      <c r="K53" t="s">
        <v>23</v>
      </c>
      <c r="L53" t="s">
        <v>24</v>
      </c>
      <c r="M53">
        <v>93.759999999999891</v>
      </c>
      <c r="N53">
        <v>93.795616876624592</v>
      </c>
      <c r="O53">
        <v>17.698055146686649</v>
      </c>
      <c r="P53">
        <v>18.112000233311775</v>
      </c>
      <c r="Q53">
        <v>82.301944853313358</v>
      </c>
      <c r="R53">
        <v>81.887999766688225</v>
      </c>
      <c r="S53">
        <v>23.536924058087447</v>
      </c>
      <c r="T53">
        <v>23.536924058087447</v>
      </c>
      <c r="U53">
        <v>57.853846160204533</v>
      </c>
      <c r="V53">
        <v>58.526711306777671</v>
      </c>
      <c r="W53">
        <v>71.12141109048973</v>
      </c>
      <c r="X53">
        <v>70.33432004995808</v>
      </c>
    </row>
    <row r="54" spans="1:24" x14ac:dyDescent="0.35">
      <c r="A54">
        <v>52</v>
      </c>
      <c r="B54">
        <v>46041</v>
      </c>
      <c r="C54" t="s">
        <v>16</v>
      </c>
      <c r="D54">
        <v>27</v>
      </c>
      <c r="E54" t="s">
        <v>86</v>
      </c>
      <c r="F54" t="s">
        <v>87</v>
      </c>
      <c r="G54" t="s">
        <v>88</v>
      </c>
      <c r="H54" t="s">
        <v>89</v>
      </c>
      <c r="I54" t="s">
        <v>90</v>
      </c>
      <c r="J54" t="s">
        <v>22</v>
      </c>
      <c r="K54" t="s">
        <v>23</v>
      </c>
      <c r="L54" t="s">
        <v>24</v>
      </c>
      <c r="M54">
        <v>93.831233753249293</v>
      </c>
      <c r="O54">
        <v>18.525945319936906</v>
      </c>
      <c r="Q54">
        <v>81.474054680063091</v>
      </c>
      <c r="S54">
        <v>23.536924058087447</v>
      </c>
      <c r="U54">
        <v>59.199576453350808</v>
      </c>
      <c r="W54">
        <v>69.547229009426445</v>
      </c>
    </row>
    <row r="55" spans="1:24" x14ac:dyDescent="0.35">
      <c r="A55">
        <v>53</v>
      </c>
      <c r="B55">
        <v>46041</v>
      </c>
      <c r="C55" t="s">
        <v>16</v>
      </c>
      <c r="D55">
        <v>27</v>
      </c>
      <c r="E55" t="s">
        <v>91</v>
      </c>
      <c r="F55" t="s">
        <v>92</v>
      </c>
      <c r="G55" t="s">
        <v>79</v>
      </c>
      <c r="H55" t="s">
        <v>80</v>
      </c>
      <c r="I55" t="s">
        <v>81</v>
      </c>
      <c r="J55" t="s">
        <v>22</v>
      </c>
      <c r="K55" t="s">
        <v>23</v>
      </c>
      <c r="L55" t="s">
        <v>24</v>
      </c>
      <c r="M55">
        <v>92.964221467119657</v>
      </c>
      <c r="N55">
        <v>92.974215470717525</v>
      </c>
      <c r="O55">
        <v>10.147264323336593</v>
      </c>
      <c r="P55">
        <v>12.38310222508871</v>
      </c>
      <c r="Q55">
        <v>89.8527356766634</v>
      </c>
      <c r="R55">
        <v>87.61689777491128</v>
      </c>
      <c r="S55">
        <v>31.752008331859145</v>
      </c>
      <c r="T55">
        <v>31.752008331859145</v>
      </c>
      <c r="U55">
        <v>28.740804663610607</v>
      </c>
      <c r="V55">
        <v>28.642297250900654</v>
      </c>
      <c r="W55">
        <v>49.166365274735234</v>
      </c>
      <c r="X55">
        <v>48.76403521134597</v>
      </c>
    </row>
    <row r="56" spans="1:24" x14ac:dyDescent="0.35">
      <c r="A56">
        <v>54</v>
      </c>
      <c r="B56">
        <v>46041</v>
      </c>
      <c r="C56" t="s">
        <v>16</v>
      </c>
      <c r="D56">
        <v>27</v>
      </c>
      <c r="E56" t="s">
        <v>91</v>
      </c>
      <c r="F56" t="s">
        <v>92</v>
      </c>
      <c r="G56" t="s">
        <v>79</v>
      </c>
      <c r="H56" t="s">
        <v>80</v>
      </c>
      <c r="I56" t="s">
        <v>81</v>
      </c>
      <c r="J56" t="s">
        <v>22</v>
      </c>
      <c r="K56" t="s">
        <v>23</v>
      </c>
      <c r="L56" t="s">
        <v>24</v>
      </c>
      <c r="M56">
        <v>92.984209474315378</v>
      </c>
      <c r="O56">
        <v>14.618940126840826</v>
      </c>
      <c r="Q56">
        <v>85.381059873159174</v>
      </c>
      <c r="S56">
        <v>31.752008331859145</v>
      </c>
      <c r="U56">
        <v>28.543789838190705</v>
      </c>
      <c r="W56">
        <v>48.361705147956705</v>
      </c>
    </row>
    <row r="57" spans="1:24" x14ac:dyDescent="0.35">
      <c r="A57">
        <v>55</v>
      </c>
      <c r="B57">
        <v>46041</v>
      </c>
      <c r="C57" t="s">
        <v>16</v>
      </c>
      <c r="D57">
        <v>27</v>
      </c>
      <c r="E57" t="s">
        <v>93</v>
      </c>
      <c r="F57" t="s">
        <v>94</v>
      </c>
      <c r="G57" t="s">
        <v>19</v>
      </c>
      <c r="H57" t="s">
        <v>29</v>
      </c>
      <c r="I57" t="s">
        <v>30</v>
      </c>
      <c r="J57" t="s">
        <v>22</v>
      </c>
      <c r="K57" t="s">
        <v>23</v>
      </c>
      <c r="L57" t="s">
        <v>24</v>
      </c>
      <c r="M57">
        <v>94.552179128348655</v>
      </c>
      <c r="N57">
        <v>94.597428894509136</v>
      </c>
      <c r="O57">
        <v>14.888741076889941</v>
      </c>
      <c r="P57">
        <v>14.866865354030644</v>
      </c>
      <c r="Q57">
        <v>85.111258923110057</v>
      </c>
      <c r="R57">
        <v>85.133134645969363</v>
      </c>
      <c r="S57">
        <v>15.550264369544495</v>
      </c>
      <c r="T57">
        <v>15.550264369544495</v>
      </c>
      <c r="U57">
        <v>53.990401487179938</v>
      </c>
      <c r="V57">
        <v>54.957144053029076</v>
      </c>
      <c r="W57">
        <v>60.148887408621022</v>
      </c>
      <c r="X57">
        <v>61.802642029697566</v>
      </c>
    </row>
    <row r="58" spans="1:24" x14ac:dyDescent="0.35">
      <c r="A58">
        <v>56</v>
      </c>
      <c r="B58">
        <v>46041</v>
      </c>
      <c r="C58" t="s">
        <v>16</v>
      </c>
      <c r="D58">
        <v>27</v>
      </c>
      <c r="E58" t="s">
        <v>93</v>
      </c>
      <c r="F58" t="s">
        <v>94</v>
      </c>
      <c r="G58" t="s">
        <v>19</v>
      </c>
      <c r="H58" t="s">
        <v>29</v>
      </c>
      <c r="I58" t="s">
        <v>30</v>
      </c>
      <c r="J58" t="s">
        <v>22</v>
      </c>
      <c r="K58" t="s">
        <v>23</v>
      </c>
      <c r="L58" t="s">
        <v>24</v>
      </c>
      <c r="M58">
        <v>94.642678660669617</v>
      </c>
      <c r="O58">
        <v>14.844989631171348</v>
      </c>
      <c r="Q58">
        <v>85.155010368828655</v>
      </c>
      <c r="S58">
        <v>15.550264369544495</v>
      </c>
      <c r="U58">
        <v>55.923886618878214</v>
      </c>
      <c r="W58">
        <v>63.456396650774117</v>
      </c>
    </row>
    <row r="59" spans="1:24" x14ac:dyDescent="0.35">
      <c r="A59">
        <v>57</v>
      </c>
      <c r="B59">
        <v>46041</v>
      </c>
      <c r="C59" t="s">
        <v>16</v>
      </c>
      <c r="D59">
        <v>27</v>
      </c>
      <c r="E59" t="s">
        <v>95</v>
      </c>
      <c r="F59" t="s">
        <v>96</v>
      </c>
      <c r="G59" t="s">
        <v>19</v>
      </c>
      <c r="H59" t="s">
        <v>29</v>
      </c>
      <c r="I59" t="s">
        <v>30</v>
      </c>
      <c r="J59" t="s">
        <v>22</v>
      </c>
      <c r="K59" t="s">
        <v>23</v>
      </c>
      <c r="L59" t="s">
        <v>24</v>
      </c>
      <c r="M59">
        <v>94.041191761647653</v>
      </c>
      <c r="N59">
        <v>94.076479115853317</v>
      </c>
      <c r="O59">
        <v>9.3522211232999606</v>
      </c>
      <c r="P59">
        <v>12.082754275995448</v>
      </c>
      <c r="Q59">
        <v>90.647778876700045</v>
      </c>
      <c r="R59">
        <v>87.917245724004545</v>
      </c>
      <c r="S59">
        <v>15.813425412661195</v>
      </c>
      <c r="T59">
        <v>15.813425412661195</v>
      </c>
      <c r="U59">
        <v>57.398417704360625</v>
      </c>
      <c r="V59">
        <v>57.392576547550817</v>
      </c>
      <c r="W59">
        <v>63.657549936738143</v>
      </c>
      <c r="X59">
        <v>65.193580185159263</v>
      </c>
    </row>
    <row r="60" spans="1:24" x14ac:dyDescent="0.35">
      <c r="A60">
        <v>58</v>
      </c>
      <c r="B60">
        <v>46041</v>
      </c>
      <c r="C60" t="s">
        <v>16</v>
      </c>
      <c r="D60">
        <v>27</v>
      </c>
      <c r="E60" t="s">
        <v>95</v>
      </c>
      <c r="F60" t="s">
        <v>96</v>
      </c>
      <c r="G60" t="s">
        <v>19</v>
      </c>
      <c r="H60" t="s">
        <v>29</v>
      </c>
      <c r="I60" t="s">
        <v>30</v>
      </c>
      <c r="J60" t="s">
        <v>22</v>
      </c>
      <c r="K60" t="s">
        <v>23</v>
      </c>
      <c r="L60" t="s">
        <v>24</v>
      </c>
      <c r="M60">
        <v>94.111766470058967</v>
      </c>
      <c r="O60">
        <v>14.813287428690936</v>
      </c>
      <c r="Q60">
        <v>85.186712571309059</v>
      </c>
      <c r="S60">
        <v>15.813425412661195</v>
      </c>
      <c r="U60">
        <v>57.386735390741016</v>
      </c>
      <c r="W60">
        <v>66.72961043358039</v>
      </c>
    </row>
    <row r="61" spans="1:24" x14ac:dyDescent="0.35">
      <c r="A61">
        <v>59</v>
      </c>
      <c r="B61">
        <v>46041</v>
      </c>
      <c r="C61" t="s">
        <v>16</v>
      </c>
      <c r="D61">
        <v>27</v>
      </c>
      <c r="E61" t="s">
        <v>97</v>
      </c>
      <c r="F61" t="s">
        <v>98</v>
      </c>
      <c r="G61" t="s">
        <v>99</v>
      </c>
      <c r="H61" t="s">
        <v>100</v>
      </c>
      <c r="I61" t="s">
        <v>101</v>
      </c>
      <c r="J61" t="s">
        <v>22</v>
      </c>
      <c r="K61" t="s">
        <v>23</v>
      </c>
      <c r="L61" t="s">
        <v>24</v>
      </c>
      <c r="M61">
        <v>94.413351988806639</v>
      </c>
      <c r="N61">
        <v>94.471675994403398</v>
      </c>
      <c r="O61">
        <v>15.423942776791399</v>
      </c>
      <c r="P61">
        <v>13.814329517769407</v>
      </c>
      <c r="Q61">
        <v>84.576057223208608</v>
      </c>
      <c r="R61">
        <v>86.185670482230591</v>
      </c>
      <c r="S61">
        <v>27.42940648425769</v>
      </c>
      <c r="T61">
        <v>13.714703242128845</v>
      </c>
      <c r="U61">
        <v>36.709312615326922</v>
      </c>
      <c r="V61">
        <v>36.267308380154496</v>
      </c>
      <c r="W61">
        <v>58.984626358318174</v>
      </c>
      <c r="X61">
        <v>57.76223960237941</v>
      </c>
    </row>
    <row r="62" spans="1:24" x14ac:dyDescent="0.35">
      <c r="A62">
        <v>60</v>
      </c>
      <c r="B62">
        <v>46041</v>
      </c>
      <c r="C62" t="s">
        <v>16</v>
      </c>
      <c r="D62">
        <v>27</v>
      </c>
      <c r="E62" t="s">
        <v>97</v>
      </c>
      <c r="F62" t="s">
        <v>98</v>
      </c>
      <c r="G62" t="s">
        <v>99</v>
      </c>
      <c r="H62" t="s">
        <v>100</v>
      </c>
      <c r="I62" t="s">
        <v>101</v>
      </c>
      <c r="J62" t="s">
        <v>22</v>
      </c>
      <c r="K62" t="s">
        <v>23</v>
      </c>
      <c r="L62" t="s">
        <v>24</v>
      </c>
      <c r="M62">
        <v>94.530000000000143</v>
      </c>
      <c r="O62">
        <v>12.204716258747414</v>
      </c>
      <c r="Q62">
        <v>87.795283741252589</v>
      </c>
      <c r="S62">
        <v>0</v>
      </c>
      <c r="U62">
        <v>35.82530414498207</v>
      </c>
      <c r="W62">
        <v>56.539852846440652</v>
      </c>
    </row>
    <row r="63" spans="1:24" x14ac:dyDescent="0.35">
      <c r="A63">
        <v>61</v>
      </c>
      <c r="B63">
        <v>46041</v>
      </c>
      <c r="C63" t="s">
        <v>102</v>
      </c>
      <c r="D63">
        <v>27</v>
      </c>
      <c r="E63" t="s">
        <v>103</v>
      </c>
      <c r="F63" t="s">
        <v>104</v>
      </c>
      <c r="G63" t="s">
        <v>105</v>
      </c>
      <c r="H63" t="s">
        <v>106</v>
      </c>
      <c r="I63" t="s">
        <v>107</v>
      </c>
      <c r="J63" t="s">
        <v>108</v>
      </c>
      <c r="K63" t="s">
        <v>109</v>
      </c>
      <c r="L63" t="s">
        <v>110</v>
      </c>
      <c r="M63">
        <v>97.010896730980861</v>
      </c>
      <c r="N63">
        <v>97.001050124786801</v>
      </c>
      <c r="O63">
        <v>9.6258739759373544</v>
      </c>
      <c r="P63">
        <v>9.6511554864924065</v>
      </c>
      <c r="Q63">
        <v>90.374126024062647</v>
      </c>
      <c r="R63">
        <v>90.348844513507601</v>
      </c>
      <c r="S63">
        <v>8.0410104701209058</v>
      </c>
      <c r="T63">
        <v>8.0543856929248818</v>
      </c>
      <c r="U63">
        <v>26.267021853926213</v>
      </c>
      <c r="V63">
        <v>26.241815612724281</v>
      </c>
      <c r="W63">
        <v>62.420924342626257</v>
      </c>
      <c r="X63">
        <v>62.133650806607761</v>
      </c>
    </row>
    <row r="64" spans="1:24" x14ac:dyDescent="0.35">
      <c r="A64">
        <v>62</v>
      </c>
      <c r="B64">
        <v>46041</v>
      </c>
      <c r="C64" t="s">
        <v>102</v>
      </c>
      <c r="D64">
        <v>27</v>
      </c>
      <c r="E64" t="s">
        <v>103</v>
      </c>
      <c r="F64" t="s">
        <v>104</v>
      </c>
      <c r="G64" t="s">
        <v>105</v>
      </c>
      <c r="H64" t="s">
        <v>106</v>
      </c>
      <c r="I64" t="s">
        <v>107</v>
      </c>
      <c r="J64" t="s">
        <v>108</v>
      </c>
      <c r="K64" t="s">
        <v>109</v>
      </c>
      <c r="L64" t="s">
        <v>110</v>
      </c>
      <c r="M64">
        <v>96.991203518592741</v>
      </c>
      <c r="O64">
        <v>9.6764369970474604</v>
      </c>
      <c r="Q64">
        <v>90.32356300295254</v>
      </c>
      <c r="S64">
        <v>8.0677609157288597</v>
      </c>
      <c r="U64">
        <v>26.216609371522352</v>
      </c>
      <c r="W64">
        <v>61.846377270589258</v>
      </c>
    </row>
    <row r="65" spans="1:24" x14ac:dyDescent="0.35">
      <c r="A65">
        <v>63</v>
      </c>
      <c r="B65">
        <v>46041</v>
      </c>
      <c r="C65" t="s">
        <v>112</v>
      </c>
      <c r="D65">
        <v>27</v>
      </c>
      <c r="E65" t="s">
        <v>113</v>
      </c>
      <c r="F65" t="s">
        <v>114</v>
      </c>
      <c r="G65" t="s">
        <v>115</v>
      </c>
      <c r="H65" t="s">
        <v>116</v>
      </c>
      <c r="I65" t="s">
        <v>117</v>
      </c>
      <c r="J65" t="s">
        <v>22</v>
      </c>
      <c r="K65" t="s">
        <v>23</v>
      </c>
      <c r="L65" t="s">
        <v>118</v>
      </c>
      <c r="M65">
        <v>93.53258696521398</v>
      </c>
      <c r="N65">
        <v>93.49727418839538</v>
      </c>
      <c r="O65">
        <v>9.4296582303252556</v>
      </c>
      <c r="P65">
        <v>9.4087449892644308</v>
      </c>
      <c r="Q65">
        <v>90.570341769674741</v>
      </c>
      <c r="R65">
        <v>90.591255010735566</v>
      </c>
      <c r="S65">
        <v>22.32</v>
      </c>
      <c r="T65">
        <v>22.375</v>
      </c>
      <c r="U65">
        <v>22.47</v>
      </c>
      <c r="V65">
        <v>21.939999999999998</v>
      </c>
      <c r="W65">
        <v>47.82</v>
      </c>
      <c r="X65">
        <v>47.204999999999998</v>
      </c>
    </row>
    <row r="66" spans="1:24" x14ac:dyDescent="0.35">
      <c r="A66">
        <v>64</v>
      </c>
      <c r="B66">
        <v>46041</v>
      </c>
      <c r="C66" t="s">
        <v>112</v>
      </c>
      <c r="D66">
        <v>27</v>
      </c>
      <c r="E66" t="s">
        <v>113</v>
      </c>
      <c r="F66" t="s">
        <v>114</v>
      </c>
      <c r="G66" t="s">
        <v>115</v>
      </c>
      <c r="H66" t="s">
        <v>116</v>
      </c>
      <c r="I66" t="s">
        <v>117</v>
      </c>
      <c r="J66" t="s">
        <v>22</v>
      </c>
      <c r="K66" t="s">
        <v>23</v>
      </c>
      <c r="L66" t="s">
        <v>118</v>
      </c>
      <c r="M66">
        <v>93.46196141157678</v>
      </c>
      <c r="O66">
        <v>9.3878317482036042</v>
      </c>
      <c r="Q66">
        <v>90.61216825179639</v>
      </c>
      <c r="S66">
        <v>22.43</v>
      </c>
      <c r="U66">
        <v>21.41</v>
      </c>
      <c r="W66">
        <v>46.59</v>
      </c>
    </row>
    <row r="67" spans="1:24" x14ac:dyDescent="0.35">
      <c r="A67">
        <v>65</v>
      </c>
      <c r="B67">
        <v>46041</v>
      </c>
      <c r="C67" t="s">
        <v>120</v>
      </c>
      <c r="D67">
        <v>27</v>
      </c>
      <c r="E67" t="s">
        <v>121</v>
      </c>
      <c r="F67" t="s">
        <v>122</v>
      </c>
      <c r="G67" t="s">
        <v>123</v>
      </c>
      <c r="H67" t="s">
        <v>124</v>
      </c>
      <c r="I67" t="s">
        <v>125</v>
      </c>
      <c r="J67" t="s">
        <v>108</v>
      </c>
      <c r="K67" t="s">
        <v>109</v>
      </c>
      <c r="L67" t="s">
        <v>110</v>
      </c>
      <c r="M67">
        <v>93.3</v>
      </c>
      <c r="N67">
        <v>93.55</v>
      </c>
      <c r="O67">
        <v>11.3</v>
      </c>
      <c r="P67">
        <v>11.4</v>
      </c>
      <c r="Q67">
        <v>88.7</v>
      </c>
      <c r="R67">
        <v>88.6</v>
      </c>
      <c r="S67">
        <v>0</v>
      </c>
      <c r="T67">
        <v>0</v>
      </c>
      <c r="U67">
        <v>0</v>
      </c>
      <c r="V67">
        <v>0</v>
      </c>
      <c r="W67">
        <v>76.099999999999994</v>
      </c>
      <c r="X67">
        <v>76.099999999999994</v>
      </c>
    </row>
    <row r="68" spans="1:24" x14ac:dyDescent="0.35">
      <c r="A68">
        <v>66</v>
      </c>
      <c r="B68">
        <v>46041</v>
      </c>
      <c r="C68" t="s">
        <v>120</v>
      </c>
      <c r="D68">
        <v>27</v>
      </c>
      <c r="E68" t="s">
        <v>121</v>
      </c>
      <c r="F68" t="s">
        <v>122</v>
      </c>
      <c r="G68" t="s">
        <v>123</v>
      </c>
      <c r="H68" t="s">
        <v>124</v>
      </c>
      <c r="I68" t="s">
        <v>125</v>
      </c>
      <c r="J68" t="s">
        <v>108</v>
      </c>
      <c r="K68" t="s">
        <v>109</v>
      </c>
      <c r="L68" t="s">
        <v>110</v>
      </c>
      <c r="M68">
        <v>93.8</v>
      </c>
      <c r="O68">
        <v>11.5</v>
      </c>
      <c r="Q68">
        <v>88.5</v>
      </c>
      <c r="S68">
        <v>0</v>
      </c>
      <c r="U68">
        <v>0</v>
      </c>
      <c r="W68">
        <v>76.099999999999994</v>
      </c>
    </row>
    <row r="69" spans="1:24" x14ac:dyDescent="0.35">
      <c r="A69">
        <v>67</v>
      </c>
      <c r="B69">
        <v>46048</v>
      </c>
      <c r="C69" t="s">
        <v>16</v>
      </c>
      <c r="D69">
        <v>28</v>
      </c>
      <c r="E69" t="s">
        <v>127</v>
      </c>
      <c r="F69" t="s">
        <v>128</v>
      </c>
      <c r="G69" t="s">
        <v>129</v>
      </c>
      <c r="H69" t="s">
        <v>130</v>
      </c>
      <c r="I69" t="s">
        <v>131</v>
      </c>
      <c r="J69" t="s">
        <v>22</v>
      </c>
      <c r="K69" t="s">
        <v>23</v>
      </c>
      <c r="L69" t="s">
        <v>24</v>
      </c>
      <c r="M69">
        <v>94.512195121951308</v>
      </c>
      <c r="N69">
        <v>94.587165133946471</v>
      </c>
      <c r="O69">
        <v>10.821664464993512</v>
      </c>
      <c r="P69">
        <v>11.867899603698884</v>
      </c>
      <c r="Q69">
        <v>89.178335535006482</v>
      </c>
      <c r="R69">
        <v>88.132100396301112</v>
      </c>
      <c r="S69">
        <v>24.25144619344341</v>
      </c>
      <c r="T69">
        <v>24.25144619344341</v>
      </c>
      <c r="U69">
        <v>37.936299023150497</v>
      </c>
      <c r="V69">
        <v>38.255378696896031</v>
      </c>
      <c r="W69">
        <v>50.64633655649444</v>
      </c>
      <c r="X69">
        <v>51.976757187154703</v>
      </c>
    </row>
    <row r="70" spans="1:24" x14ac:dyDescent="0.35">
      <c r="A70">
        <v>68</v>
      </c>
      <c r="B70">
        <v>46048</v>
      </c>
      <c r="C70" t="s">
        <v>16</v>
      </c>
      <c r="D70">
        <v>28</v>
      </c>
      <c r="E70" t="s">
        <v>127</v>
      </c>
      <c r="F70" t="s">
        <v>128</v>
      </c>
      <c r="G70" t="s">
        <v>129</v>
      </c>
      <c r="H70" t="s">
        <v>130</v>
      </c>
      <c r="I70" t="s">
        <v>131</v>
      </c>
      <c r="J70" t="s">
        <v>22</v>
      </c>
      <c r="K70" t="s">
        <v>23</v>
      </c>
      <c r="L70" t="s">
        <v>24</v>
      </c>
      <c r="M70">
        <v>94.662135145941633</v>
      </c>
      <c r="O70">
        <v>12.914134742404254</v>
      </c>
      <c r="Q70">
        <v>87.085865257595742</v>
      </c>
      <c r="S70">
        <v>24.25144619344341</v>
      </c>
      <c r="U70">
        <v>38.574458370641572</v>
      </c>
      <c r="W70">
        <v>53.307177817814967</v>
      </c>
    </row>
    <row r="71" spans="1:24" x14ac:dyDescent="0.35">
      <c r="A71">
        <v>69</v>
      </c>
      <c r="B71">
        <v>46048</v>
      </c>
      <c r="C71" t="s">
        <v>16</v>
      </c>
      <c r="D71">
        <v>28</v>
      </c>
      <c r="E71" t="s">
        <v>134</v>
      </c>
      <c r="F71" t="s">
        <v>135</v>
      </c>
      <c r="G71" t="s">
        <v>99</v>
      </c>
      <c r="H71" t="s">
        <v>100</v>
      </c>
      <c r="I71" t="s">
        <v>101</v>
      </c>
      <c r="J71" t="s">
        <v>22</v>
      </c>
      <c r="K71" t="s">
        <v>23</v>
      </c>
      <c r="L71" t="s">
        <v>24</v>
      </c>
      <c r="M71">
        <v>92.621475704858952</v>
      </c>
      <c r="N71">
        <v>92.661832524028</v>
      </c>
      <c r="O71">
        <v>14.781987550633266</v>
      </c>
      <c r="P71">
        <v>14.236419662219873</v>
      </c>
      <c r="Q71">
        <v>85.218012449366739</v>
      </c>
      <c r="R71">
        <v>85.763580337780127</v>
      </c>
      <c r="S71">
        <v>26.542323041506798</v>
      </c>
      <c r="T71">
        <v>26.542323041506798</v>
      </c>
      <c r="U71">
        <v>32.666747322267156</v>
      </c>
      <c r="V71">
        <v>33.112273468271319</v>
      </c>
      <c r="W71">
        <v>49.505271156829409</v>
      </c>
      <c r="X71">
        <v>51.047281566289193</v>
      </c>
    </row>
    <row r="72" spans="1:24" x14ac:dyDescent="0.35">
      <c r="A72">
        <v>70</v>
      </c>
      <c r="B72">
        <v>46048</v>
      </c>
      <c r="C72" t="s">
        <v>16</v>
      </c>
      <c r="D72">
        <v>28</v>
      </c>
      <c r="E72" t="s">
        <v>134</v>
      </c>
      <c r="F72" t="s">
        <v>135</v>
      </c>
      <c r="G72" t="s">
        <v>99</v>
      </c>
      <c r="H72" t="s">
        <v>100</v>
      </c>
      <c r="I72" t="s">
        <v>101</v>
      </c>
      <c r="J72" t="s">
        <v>22</v>
      </c>
      <c r="K72" t="s">
        <v>23</v>
      </c>
      <c r="L72" t="s">
        <v>24</v>
      </c>
      <c r="M72">
        <v>92.702189343197034</v>
      </c>
      <c r="O72">
        <v>13.690851773806479</v>
      </c>
      <c r="Q72">
        <v>86.309148226193514</v>
      </c>
      <c r="S72">
        <v>26.542323041506798</v>
      </c>
      <c r="U72">
        <v>33.557799614275481</v>
      </c>
      <c r="W72">
        <v>52.589291975748978</v>
      </c>
    </row>
    <row r="73" spans="1:24" x14ac:dyDescent="0.35">
      <c r="A73">
        <v>71</v>
      </c>
      <c r="B73">
        <v>46048</v>
      </c>
      <c r="C73" t="s">
        <v>16</v>
      </c>
      <c r="D73">
        <v>28</v>
      </c>
      <c r="E73" t="s">
        <v>136</v>
      </c>
      <c r="F73" t="s">
        <v>137</v>
      </c>
      <c r="G73" t="s">
        <v>99</v>
      </c>
      <c r="H73" t="s">
        <v>100</v>
      </c>
      <c r="I73" t="s">
        <v>101</v>
      </c>
      <c r="J73" t="s">
        <v>22</v>
      </c>
      <c r="K73" t="s">
        <v>23</v>
      </c>
      <c r="L73" t="s">
        <v>24</v>
      </c>
      <c r="M73">
        <v>94.22115576884633</v>
      </c>
      <c r="N73">
        <v>94.260862855925978</v>
      </c>
      <c r="O73">
        <v>11.158285742399837</v>
      </c>
      <c r="P73">
        <v>12.956865033761142</v>
      </c>
      <c r="Q73">
        <v>88.841714257600159</v>
      </c>
      <c r="R73">
        <v>87.043134966238853</v>
      </c>
      <c r="S73">
        <v>28.859971347998314</v>
      </c>
      <c r="T73">
        <v>28.859971347998314</v>
      </c>
      <c r="U73">
        <v>36.633509942340545</v>
      </c>
      <c r="V73">
        <v>35.484542060923772</v>
      </c>
      <c r="W73">
        <v>46.335994860144929</v>
      </c>
      <c r="X73">
        <v>46.087256029089829</v>
      </c>
    </row>
    <row r="74" spans="1:24" x14ac:dyDescent="0.35">
      <c r="A74">
        <v>72</v>
      </c>
      <c r="B74">
        <v>46048</v>
      </c>
      <c r="C74" t="s">
        <v>16</v>
      </c>
      <c r="D74">
        <v>28</v>
      </c>
      <c r="E74" t="s">
        <v>136</v>
      </c>
      <c r="F74" t="s">
        <v>137</v>
      </c>
      <c r="G74" t="s">
        <v>99</v>
      </c>
      <c r="H74" t="s">
        <v>100</v>
      </c>
      <c r="I74" t="s">
        <v>101</v>
      </c>
      <c r="J74" t="s">
        <v>22</v>
      </c>
      <c r="K74" t="s">
        <v>23</v>
      </c>
      <c r="L74" t="s">
        <v>24</v>
      </c>
      <c r="M74">
        <v>94.300569943005641</v>
      </c>
      <c r="O74">
        <v>14.755444325122447</v>
      </c>
      <c r="Q74">
        <v>85.244555674877546</v>
      </c>
      <c r="S74">
        <v>28.859971347998314</v>
      </c>
      <c r="U74">
        <v>34.335574179506992</v>
      </c>
      <c r="W74">
        <v>45.838517198034729</v>
      </c>
    </row>
    <row r="75" spans="1:24" x14ac:dyDescent="0.35">
      <c r="A75">
        <v>73</v>
      </c>
      <c r="B75">
        <v>46048</v>
      </c>
      <c r="C75" t="s">
        <v>16</v>
      </c>
      <c r="D75">
        <v>28</v>
      </c>
      <c r="E75" t="s">
        <v>138</v>
      </c>
      <c r="F75" t="s">
        <v>139</v>
      </c>
      <c r="G75" t="s">
        <v>79</v>
      </c>
      <c r="H75" t="s">
        <v>80</v>
      </c>
      <c r="I75" t="s">
        <v>81</v>
      </c>
      <c r="J75" t="s">
        <v>22</v>
      </c>
      <c r="K75" t="s">
        <v>23</v>
      </c>
      <c r="L75" t="s">
        <v>24</v>
      </c>
      <c r="M75">
        <v>93.313343328335861</v>
      </c>
      <c r="N75">
        <v>93.387652369956228</v>
      </c>
      <c r="O75">
        <v>11.91210775600168</v>
      </c>
      <c r="P75">
        <v>10.334334372505555</v>
      </c>
      <c r="Q75">
        <v>88.087892243998326</v>
      </c>
      <c r="R75">
        <v>89.665665627494448</v>
      </c>
      <c r="S75">
        <v>36.95492579631334</v>
      </c>
      <c r="T75">
        <v>36.95492579631334</v>
      </c>
      <c r="U75">
        <v>30.728014202455089</v>
      </c>
      <c r="V75">
        <v>31.536903466218028</v>
      </c>
      <c r="W75">
        <v>50.993382703173232</v>
      </c>
      <c r="X75">
        <v>52.455294704129813</v>
      </c>
    </row>
    <row r="76" spans="1:24" x14ac:dyDescent="0.35">
      <c r="A76">
        <v>74</v>
      </c>
      <c r="B76">
        <v>46048</v>
      </c>
      <c r="C76" t="s">
        <v>16</v>
      </c>
      <c r="D76">
        <v>28</v>
      </c>
      <c r="E76" t="s">
        <v>138</v>
      </c>
      <c r="F76" t="s">
        <v>139</v>
      </c>
      <c r="G76" t="s">
        <v>79</v>
      </c>
      <c r="H76" t="s">
        <v>80</v>
      </c>
      <c r="I76" t="s">
        <v>81</v>
      </c>
      <c r="J76" t="s">
        <v>22</v>
      </c>
      <c r="K76" t="s">
        <v>23</v>
      </c>
      <c r="L76" t="s">
        <v>24</v>
      </c>
      <c r="M76">
        <v>93.461961411576596</v>
      </c>
      <c r="O76">
        <v>8.7565609890094294</v>
      </c>
      <c r="Q76">
        <v>91.243439010990571</v>
      </c>
      <c r="S76">
        <v>36.95492579631334</v>
      </c>
      <c r="U76">
        <v>32.345792729980964</v>
      </c>
      <c r="W76">
        <v>53.917206705086393</v>
      </c>
    </row>
    <row r="77" spans="1:24" x14ac:dyDescent="0.35">
      <c r="A77">
        <v>75</v>
      </c>
      <c r="B77">
        <v>46048</v>
      </c>
      <c r="C77" t="s">
        <v>16</v>
      </c>
      <c r="D77">
        <v>28</v>
      </c>
      <c r="E77" t="s">
        <v>140</v>
      </c>
      <c r="F77" t="s">
        <v>141</v>
      </c>
      <c r="G77" t="s">
        <v>142</v>
      </c>
      <c r="H77" t="s">
        <v>143</v>
      </c>
      <c r="I77" t="s">
        <v>144</v>
      </c>
      <c r="J77" t="s">
        <v>22</v>
      </c>
      <c r="K77" t="s">
        <v>23</v>
      </c>
      <c r="L77" t="s">
        <v>24</v>
      </c>
      <c r="M77">
        <v>93.154107535478829</v>
      </c>
      <c r="N77">
        <v>93.207390734042775</v>
      </c>
      <c r="O77">
        <v>6.1117278425099979</v>
      </c>
      <c r="P77">
        <v>6.081072551161764</v>
      </c>
      <c r="Q77">
        <v>93.888272157490007</v>
      </c>
      <c r="R77">
        <v>93.918927448838247</v>
      </c>
      <c r="S77">
        <v>23.200972853253763</v>
      </c>
      <c r="T77">
        <v>23.200972853253763</v>
      </c>
      <c r="U77">
        <v>42.547984735778918</v>
      </c>
      <c r="V77">
        <v>42.269414623947</v>
      </c>
      <c r="W77">
        <v>54.164221197134545</v>
      </c>
      <c r="X77">
        <v>55.70472427145836</v>
      </c>
    </row>
    <row r="78" spans="1:24" x14ac:dyDescent="0.35">
      <c r="A78">
        <v>76</v>
      </c>
      <c r="B78">
        <v>46048</v>
      </c>
      <c r="C78" t="s">
        <v>16</v>
      </c>
      <c r="D78">
        <v>28</v>
      </c>
      <c r="E78" t="s">
        <v>140</v>
      </c>
      <c r="F78" t="s">
        <v>141</v>
      </c>
      <c r="G78" t="s">
        <v>142</v>
      </c>
      <c r="H78" t="s">
        <v>143</v>
      </c>
      <c r="I78" t="s">
        <v>144</v>
      </c>
      <c r="J78" t="s">
        <v>22</v>
      </c>
      <c r="K78" t="s">
        <v>23</v>
      </c>
      <c r="L78" t="s">
        <v>24</v>
      </c>
      <c r="M78">
        <v>93.260673932606707</v>
      </c>
      <c r="O78">
        <v>6.0504172598135302</v>
      </c>
      <c r="Q78">
        <v>93.949582740186472</v>
      </c>
      <c r="S78">
        <v>23.200972853253763</v>
      </c>
      <c r="U78">
        <v>41.990844512115089</v>
      </c>
      <c r="W78">
        <v>57.245227345782169</v>
      </c>
    </row>
    <row r="79" spans="1:24" x14ac:dyDescent="0.35">
      <c r="A79">
        <v>77</v>
      </c>
      <c r="B79">
        <v>46048</v>
      </c>
      <c r="C79" t="s">
        <v>16</v>
      </c>
      <c r="D79">
        <v>28</v>
      </c>
      <c r="E79" t="s">
        <v>145</v>
      </c>
      <c r="F79" t="s">
        <v>146</v>
      </c>
      <c r="G79" t="s">
        <v>88</v>
      </c>
      <c r="H79" t="s">
        <v>147</v>
      </c>
      <c r="I79" t="s">
        <v>148</v>
      </c>
      <c r="J79" t="s">
        <v>22</v>
      </c>
      <c r="K79" t="s">
        <v>23</v>
      </c>
      <c r="L79" t="s">
        <v>24</v>
      </c>
      <c r="M79">
        <v>93.923038480759729</v>
      </c>
      <c r="N79">
        <v>93.972117120803745</v>
      </c>
      <c r="O79">
        <v>5.7966943054145155</v>
      </c>
      <c r="P79">
        <v>5.7762849826081304</v>
      </c>
      <c r="Q79">
        <v>94.203305694585481</v>
      </c>
      <c r="R79">
        <v>94.223715017391868</v>
      </c>
      <c r="S79">
        <v>29.90215547495993</v>
      </c>
      <c r="T79">
        <v>29.90215547495993</v>
      </c>
      <c r="U79">
        <v>48.097888552549549</v>
      </c>
      <c r="V79">
        <v>47.802178005032687</v>
      </c>
      <c r="W79">
        <v>56.321513994788994</v>
      </c>
      <c r="X79">
        <v>58.286877673133617</v>
      </c>
    </row>
    <row r="80" spans="1:24" x14ac:dyDescent="0.35">
      <c r="A80">
        <v>78</v>
      </c>
      <c r="B80">
        <v>46048</v>
      </c>
      <c r="C80" t="s">
        <v>16</v>
      </c>
      <c r="D80">
        <v>28</v>
      </c>
      <c r="E80" t="s">
        <v>145</v>
      </c>
      <c r="F80" t="s">
        <v>146</v>
      </c>
      <c r="G80" t="s">
        <v>88</v>
      </c>
      <c r="H80" t="s">
        <v>147</v>
      </c>
      <c r="I80" t="s">
        <v>148</v>
      </c>
      <c r="J80" t="s">
        <v>22</v>
      </c>
      <c r="K80" t="s">
        <v>23</v>
      </c>
      <c r="L80" t="s">
        <v>24</v>
      </c>
      <c r="M80">
        <v>94.021195760847775</v>
      </c>
      <c r="O80">
        <v>5.7558756598017462</v>
      </c>
      <c r="Q80">
        <v>94.244124340198255</v>
      </c>
      <c r="S80">
        <v>29.90215547495993</v>
      </c>
      <c r="U80">
        <v>47.506467457515832</v>
      </c>
      <c r="W80">
        <v>60.252241351478233</v>
      </c>
    </row>
    <row r="81" spans="1:24" x14ac:dyDescent="0.35">
      <c r="A81">
        <v>79</v>
      </c>
      <c r="B81">
        <v>46048</v>
      </c>
      <c r="C81" t="s">
        <v>16</v>
      </c>
      <c r="D81">
        <v>28</v>
      </c>
      <c r="E81" t="s">
        <v>149</v>
      </c>
      <c r="F81" t="s">
        <v>150</v>
      </c>
      <c r="G81" t="s">
        <v>142</v>
      </c>
      <c r="H81" t="s">
        <v>151</v>
      </c>
      <c r="I81" t="s">
        <v>152</v>
      </c>
      <c r="J81" t="s">
        <v>22</v>
      </c>
      <c r="K81" t="s">
        <v>23</v>
      </c>
      <c r="L81" t="s">
        <v>24</v>
      </c>
      <c r="M81">
        <v>93.871838448465468</v>
      </c>
      <c r="N81">
        <v>93.916824952514233</v>
      </c>
      <c r="O81">
        <v>9.7290968119642738</v>
      </c>
      <c r="P81">
        <v>9.7450636010430483</v>
      </c>
      <c r="Q81">
        <v>90.270903188035732</v>
      </c>
      <c r="R81">
        <v>90.254936398956957</v>
      </c>
      <c r="S81">
        <v>24.302493202405671</v>
      </c>
      <c r="T81">
        <v>24.302493202405671</v>
      </c>
      <c r="U81">
        <v>30.232350736776002</v>
      </c>
      <c r="V81">
        <v>30.685165397246124</v>
      </c>
      <c r="W81">
        <v>51.627724551084462</v>
      </c>
      <c r="X81">
        <v>53.359798856375477</v>
      </c>
    </row>
    <row r="82" spans="1:24" x14ac:dyDescent="0.35">
      <c r="A82">
        <v>80</v>
      </c>
      <c r="B82">
        <v>46048</v>
      </c>
      <c r="C82" t="s">
        <v>16</v>
      </c>
      <c r="D82">
        <v>28</v>
      </c>
      <c r="E82" t="s">
        <v>149</v>
      </c>
      <c r="F82" t="s">
        <v>150</v>
      </c>
      <c r="G82" t="s">
        <v>142</v>
      </c>
      <c r="H82" t="s">
        <v>151</v>
      </c>
      <c r="I82" t="s">
        <v>152</v>
      </c>
      <c r="J82" t="s">
        <v>22</v>
      </c>
      <c r="K82" t="s">
        <v>23</v>
      </c>
      <c r="L82" t="s">
        <v>24</v>
      </c>
      <c r="M82">
        <v>93.961811456562998</v>
      </c>
      <c r="O82">
        <v>9.7610303901218227</v>
      </c>
      <c r="Q82">
        <v>90.238969609878183</v>
      </c>
      <c r="S82">
        <v>24.302493202405671</v>
      </c>
      <c r="U82">
        <v>31.137980057716248</v>
      </c>
      <c r="W82">
        <v>55.091873161666491</v>
      </c>
    </row>
    <row r="83" spans="1:24" x14ac:dyDescent="0.35">
      <c r="A83">
        <v>81</v>
      </c>
      <c r="B83">
        <v>46048</v>
      </c>
      <c r="C83" t="s">
        <v>16</v>
      </c>
      <c r="D83">
        <v>28</v>
      </c>
      <c r="E83" t="s">
        <v>153</v>
      </c>
      <c r="F83" t="s">
        <v>154</v>
      </c>
      <c r="G83" t="s">
        <v>99</v>
      </c>
      <c r="H83" t="s">
        <v>155</v>
      </c>
      <c r="I83" t="s">
        <v>156</v>
      </c>
      <c r="J83" t="s">
        <v>22</v>
      </c>
      <c r="K83" t="s">
        <v>23</v>
      </c>
      <c r="L83" t="s">
        <v>24</v>
      </c>
      <c r="M83">
        <v>93.132060381885481</v>
      </c>
      <c r="N83">
        <v>93.211365657396129</v>
      </c>
      <c r="O83">
        <v>6.842606080325857</v>
      </c>
      <c r="P83">
        <v>6.8754719706245817</v>
      </c>
      <c r="Q83">
        <v>93.157393919674149</v>
      </c>
      <c r="R83">
        <v>93.124528029375426</v>
      </c>
      <c r="S83">
        <v>23.275835301403752</v>
      </c>
      <c r="T83">
        <v>23.275835301403752</v>
      </c>
      <c r="U83">
        <v>45.048343912260478</v>
      </c>
      <c r="V83">
        <v>45.755774826170828</v>
      </c>
      <c r="W83">
        <v>62.131081946980395</v>
      </c>
      <c r="X83">
        <v>63.442286618715443</v>
      </c>
    </row>
    <row r="84" spans="1:24" x14ac:dyDescent="0.35">
      <c r="A84">
        <v>82</v>
      </c>
      <c r="B84">
        <v>46048</v>
      </c>
      <c r="C84" t="s">
        <v>16</v>
      </c>
      <c r="D84">
        <v>28</v>
      </c>
      <c r="E84" t="s">
        <v>153</v>
      </c>
      <c r="F84" t="s">
        <v>154</v>
      </c>
      <c r="G84" t="s">
        <v>99</v>
      </c>
      <c r="H84" t="s">
        <v>155</v>
      </c>
      <c r="I84" t="s">
        <v>156</v>
      </c>
      <c r="J84" t="s">
        <v>22</v>
      </c>
      <c r="K84" t="s">
        <v>23</v>
      </c>
      <c r="L84" t="s">
        <v>24</v>
      </c>
      <c r="M84">
        <v>93.290670932906778</v>
      </c>
      <c r="O84">
        <v>6.9083378609233064</v>
      </c>
      <c r="Q84">
        <v>93.091662139076689</v>
      </c>
      <c r="S84">
        <v>23.275835301403752</v>
      </c>
      <c r="U84">
        <v>46.463205740081179</v>
      </c>
      <c r="W84">
        <v>64.753491290450498</v>
      </c>
    </row>
    <row r="85" spans="1:24" x14ac:dyDescent="0.35">
      <c r="A85">
        <v>83</v>
      </c>
      <c r="B85">
        <v>46048</v>
      </c>
      <c r="C85" t="s">
        <v>16</v>
      </c>
      <c r="D85">
        <v>28</v>
      </c>
      <c r="E85" t="s">
        <v>157</v>
      </c>
      <c r="F85" t="s">
        <v>158</v>
      </c>
      <c r="G85" t="s">
        <v>159</v>
      </c>
      <c r="H85" t="s">
        <v>160</v>
      </c>
      <c r="I85" t="s">
        <v>161</v>
      </c>
      <c r="J85" t="s">
        <v>22</v>
      </c>
      <c r="K85" t="s">
        <v>23</v>
      </c>
      <c r="L85" t="s">
        <v>24</v>
      </c>
      <c r="M85">
        <v>92.393042782886809</v>
      </c>
      <c r="N85">
        <v>92.787884846061559</v>
      </c>
      <c r="O85">
        <v>4.7939671424724173</v>
      </c>
      <c r="P85">
        <v>4.7831941826016706</v>
      </c>
      <c r="Q85">
        <v>95.206032857527589</v>
      </c>
      <c r="R85">
        <v>95.216805817398324</v>
      </c>
      <c r="S85">
        <v>24.069321644433145</v>
      </c>
      <c r="T85">
        <v>24.069321644433145</v>
      </c>
      <c r="U85">
        <v>46.571954064815877</v>
      </c>
      <c r="V85">
        <v>46.723798521553235</v>
      </c>
      <c r="W85">
        <v>53.944792947348517</v>
      </c>
      <c r="X85">
        <v>53.365985932635361</v>
      </c>
    </row>
    <row r="86" spans="1:24" x14ac:dyDescent="0.35">
      <c r="A86">
        <v>84</v>
      </c>
      <c r="B86">
        <v>46048</v>
      </c>
      <c r="C86" t="s">
        <v>16</v>
      </c>
      <c r="D86">
        <v>28</v>
      </c>
      <c r="E86" t="s">
        <v>157</v>
      </c>
      <c r="F86" t="s">
        <v>158</v>
      </c>
      <c r="G86" t="s">
        <v>159</v>
      </c>
      <c r="H86" t="s">
        <v>160</v>
      </c>
      <c r="I86" t="s">
        <v>161</v>
      </c>
      <c r="J86" t="s">
        <v>22</v>
      </c>
      <c r="K86" t="s">
        <v>23</v>
      </c>
      <c r="L86" t="s">
        <v>24</v>
      </c>
      <c r="M86">
        <v>93.182726909236308</v>
      </c>
      <c r="O86">
        <v>4.7724212227309231</v>
      </c>
      <c r="Q86">
        <v>95.227578777269073</v>
      </c>
      <c r="S86">
        <v>24.069321644433145</v>
      </c>
      <c r="U86">
        <v>46.875642978290593</v>
      </c>
      <c r="W86">
        <v>52.787178917922205</v>
      </c>
    </row>
    <row r="87" spans="1:24" x14ac:dyDescent="0.35">
      <c r="A87">
        <v>85</v>
      </c>
      <c r="B87">
        <v>46048</v>
      </c>
      <c r="C87" t="s">
        <v>16</v>
      </c>
      <c r="D87">
        <v>28</v>
      </c>
      <c r="E87" t="s">
        <v>162</v>
      </c>
      <c r="F87" t="s">
        <v>163</v>
      </c>
      <c r="G87" t="s">
        <v>129</v>
      </c>
      <c r="H87" t="s">
        <v>164</v>
      </c>
      <c r="I87" t="s">
        <v>165</v>
      </c>
      <c r="J87" t="s">
        <v>22</v>
      </c>
      <c r="K87" t="s">
        <v>23</v>
      </c>
      <c r="L87" t="s">
        <v>24</v>
      </c>
      <c r="M87">
        <v>93.870612938706174</v>
      </c>
      <c r="N87">
        <v>93.236785877589853</v>
      </c>
      <c r="O87">
        <v>7.1745620614547398</v>
      </c>
      <c r="P87">
        <v>7.0448332033495689</v>
      </c>
      <c r="Q87">
        <v>92.825437938545264</v>
      </c>
      <c r="R87">
        <v>92.955166796650431</v>
      </c>
      <c r="S87">
        <v>23.751605611660302</v>
      </c>
      <c r="T87">
        <v>23.410848588713336</v>
      </c>
      <c r="U87">
        <v>56.108954424654989</v>
      </c>
      <c r="V87">
        <v>54.967608166241035</v>
      </c>
      <c r="W87">
        <v>66.494912614177963</v>
      </c>
      <c r="X87">
        <v>68.49120539917746</v>
      </c>
    </row>
    <row r="88" spans="1:24" x14ac:dyDescent="0.35">
      <c r="A88">
        <v>86</v>
      </c>
      <c r="B88">
        <v>46048</v>
      </c>
      <c r="C88" t="s">
        <v>16</v>
      </c>
      <c r="D88">
        <v>28</v>
      </c>
      <c r="E88" t="s">
        <v>162</v>
      </c>
      <c r="F88" t="s">
        <v>163</v>
      </c>
      <c r="G88" t="s">
        <v>129</v>
      </c>
      <c r="H88" t="s">
        <v>164</v>
      </c>
      <c r="I88" t="s">
        <v>165</v>
      </c>
      <c r="J88" t="s">
        <v>22</v>
      </c>
      <c r="K88" t="s">
        <v>23</v>
      </c>
      <c r="L88" t="s">
        <v>24</v>
      </c>
      <c r="M88">
        <v>92.602958816473517</v>
      </c>
      <c r="O88">
        <v>6.9151043452443979</v>
      </c>
      <c r="Q88">
        <v>93.084895654755599</v>
      </c>
      <c r="S88">
        <v>23.070091565766372</v>
      </c>
      <c r="U88">
        <v>53.826261907827075</v>
      </c>
      <c r="W88">
        <v>70.487498184176971</v>
      </c>
    </row>
    <row r="89" spans="1:24" x14ac:dyDescent="0.35">
      <c r="A89">
        <v>87</v>
      </c>
      <c r="B89">
        <v>46048</v>
      </c>
      <c r="C89" t="s">
        <v>16</v>
      </c>
      <c r="D89">
        <v>28</v>
      </c>
      <c r="E89" t="s">
        <v>166</v>
      </c>
      <c r="F89" t="s">
        <v>167</v>
      </c>
      <c r="G89" t="s">
        <v>88</v>
      </c>
      <c r="H89" t="s">
        <v>168</v>
      </c>
      <c r="I89" t="s">
        <v>169</v>
      </c>
      <c r="J89" t="s">
        <v>22</v>
      </c>
      <c r="K89" t="s">
        <v>23</v>
      </c>
      <c r="L89" t="s">
        <v>24</v>
      </c>
      <c r="M89">
        <v>94.571628511446534</v>
      </c>
      <c r="N89">
        <v>94.615814255723279</v>
      </c>
      <c r="O89">
        <v>7.427819215840116</v>
      </c>
      <c r="P89">
        <v>7.4606405618161311</v>
      </c>
      <c r="Q89">
        <v>92.572180784159883</v>
      </c>
      <c r="R89">
        <v>92.539359438183865</v>
      </c>
      <c r="S89">
        <v>31.000656289562979</v>
      </c>
      <c r="T89">
        <v>31.000656289562979</v>
      </c>
      <c r="U89">
        <v>49.040359793723461</v>
      </c>
      <c r="V89">
        <v>48.090150596284076</v>
      </c>
      <c r="W89">
        <v>60.947002218630587</v>
      </c>
      <c r="X89">
        <v>62.843660253980993</v>
      </c>
    </row>
    <row r="90" spans="1:24" x14ac:dyDescent="0.35">
      <c r="A90">
        <v>88</v>
      </c>
      <c r="B90">
        <v>46048</v>
      </c>
      <c r="C90" t="s">
        <v>16</v>
      </c>
      <c r="D90">
        <v>28</v>
      </c>
      <c r="E90" t="s">
        <v>166</v>
      </c>
      <c r="F90" t="s">
        <v>167</v>
      </c>
      <c r="G90" t="s">
        <v>88</v>
      </c>
      <c r="H90" t="s">
        <v>168</v>
      </c>
      <c r="I90" t="s">
        <v>169</v>
      </c>
      <c r="J90" t="s">
        <v>22</v>
      </c>
      <c r="K90" t="s">
        <v>23</v>
      </c>
      <c r="L90" t="s">
        <v>24</v>
      </c>
      <c r="M90">
        <v>94.660000000000011</v>
      </c>
      <c r="O90">
        <v>7.4934619077921472</v>
      </c>
      <c r="Q90">
        <v>92.506538092207848</v>
      </c>
      <c r="S90">
        <v>31.000656289562979</v>
      </c>
      <c r="U90">
        <v>47.139941398844698</v>
      </c>
      <c r="W90">
        <v>64.740318289331398</v>
      </c>
    </row>
    <row r="91" spans="1:24" x14ac:dyDescent="0.35">
      <c r="A91">
        <v>89</v>
      </c>
      <c r="B91">
        <v>46048</v>
      </c>
      <c r="C91" t="s">
        <v>16</v>
      </c>
      <c r="D91">
        <v>28</v>
      </c>
      <c r="E91" t="s">
        <v>170</v>
      </c>
      <c r="F91" t="s">
        <v>171</v>
      </c>
      <c r="G91" t="s">
        <v>88</v>
      </c>
      <c r="H91" t="s">
        <v>147</v>
      </c>
      <c r="I91" t="s">
        <v>148</v>
      </c>
      <c r="J91" t="s">
        <v>22</v>
      </c>
      <c r="K91" t="s">
        <v>23</v>
      </c>
      <c r="L91" t="s">
        <v>24</v>
      </c>
      <c r="M91">
        <v>94.740525947405246</v>
      </c>
      <c r="N91">
        <v>94.786813043660658</v>
      </c>
      <c r="O91">
        <v>5.3905062181395982</v>
      </c>
      <c r="P91">
        <v>5.3891593996761422</v>
      </c>
      <c r="Q91">
        <v>94.609493781860408</v>
      </c>
      <c r="R91">
        <v>94.610840600323854</v>
      </c>
      <c r="S91">
        <v>31.663939854461496</v>
      </c>
      <c r="T91">
        <v>31.663939854461496</v>
      </c>
      <c r="U91">
        <v>40.173169657697386</v>
      </c>
      <c r="V91">
        <v>38.916287565421669</v>
      </c>
      <c r="W91">
        <v>51.000591530609675</v>
      </c>
      <c r="X91">
        <v>52.367564391607942</v>
      </c>
    </row>
    <row r="92" spans="1:24" x14ac:dyDescent="0.35">
      <c r="A92">
        <v>90</v>
      </c>
      <c r="B92">
        <v>46048</v>
      </c>
      <c r="C92" t="s">
        <v>16</v>
      </c>
      <c r="D92">
        <v>28</v>
      </c>
      <c r="E92" t="s">
        <v>170</v>
      </c>
      <c r="F92" t="s">
        <v>171</v>
      </c>
      <c r="G92" t="s">
        <v>88</v>
      </c>
      <c r="H92" t="s">
        <v>147</v>
      </c>
      <c r="I92" t="s">
        <v>148</v>
      </c>
      <c r="J92" t="s">
        <v>22</v>
      </c>
      <c r="K92" t="s">
        <v>23</v>
      </c>
      <c r="L92" t="s">
        <v>24</v>
      </c>
      <c r="M92">
        <v>94.833100139916056</v>
      </c>
      <c r="O92">
        <v>5.3878125812126854</v>
      </c>
      <c r="Q92">
        <v>94.612187418787315</v>
      </c>
      <c r="S92">
        <v>31.663939854461496</v>
      </c>
      <c r="U92">
        <v>37.659405473145959</v>
      </c>
      <c r="W92">
        <v>53.734537252606216</v>
      </c>
    </row>
    <row r="93" spans="1:24" x14ac:dyDescent="0.35">
      <c r="A93">
        <v>91</v>
      </c>
      <c r="B93">
        <v>46048</v>
      </c>
      <c r="C93" t="s">
        <v>16</v>
      </c>
      <c r="D93">
        <v>28</v>
      </c>
      <c r="E93" t="s">
        <v>172</v>
      </c>
      <c r="F93" t="s">
        <v>173</v>
      </c>
      <c r="G93" t="s">
        <v>99</v>
      </c>
      <c r="H93" t="s">
        <v>100</v>
      </c>
      <c r="I93" t="s">
        <v>101</v>
      </c>
      <c r="J93" t="s">
        <v>22</v>
      </c>
      <c r="K93" t="s">
        <v>23</v>
      </c>
      <c r="L93" t="s">
        <v>24</v>
      </c>
      <c r="M93">
        <v>93.671898430470804</v>
      </c>
      <c r="N93">
        <v>93.707200714635661</v>
      </c>
      <c r="O93">
        <v>9.0574189594217138</v>
      </c>
      <c r="P93">
        <v>9.1369708064726893</v>
      </c>
      <c r="Q93">
        <v>90.94258104057829</v>
      </c>
      <c r="R93">
        <v>90.863029193527311</v>
      </c>
      <c r="S93">
        <v>29.904588346217004</v>
      </c>
      <c r="T93">
        <v>29.904588346217004</v>
      </c>
      <c r="U93">
        <v>31.166699589735593</v>
      </c>
      <c r="V93">
        <v>30.163106973441941</v>
      </c>
      <c r="W93">
        <v>55.750866195741125</v>
      </c>
      <c r="X93">
        <v>56.665999706722936</v>
      </c>
    </row>
    <row r="94" spans="1:24" x14ac:dyDescent="0.35">
      <c r="A94">
        <v>92</v>
      </c>
      <c r="B94">
        <v>46048</v>
      </c>
      <c r="C94" t="s">
        <v>16</v>
      </c>
      <c r="D94">
        <v>28</v>
      </c>
      <c r="E94" t="s">
        <v>172</v>
      </c>
      <c r="F94" t="s">
        <v>173</v>
      </c>
      <c r="G94" t="s">
        <v>99</v>
      </c>
      <c r="H94" t="s">
        <v>100</v>
      </c>
      <c r="I94" t="s">
        <v>101</v>
      </c>
      <c r="J94" t="s">
        <v>22</v>
      </c>
      <c r="K94" t="s">
        <v>23</v>
      </c>
      <c r="L94" t="s">
        <v>24</v>
      </c>
      <c r="M94">
        <v>93.742502998800504</v>
      </c>
      <c r="O94">
        <v>9.2165226535236666</v>
      </c>
      <c r="Q94">
        <v>90.783477346476332</v>
      </c>
      <c r="S94">
        <v>29.904588346217004</v>
      </c>
      <c r="U94">
        <v>29.159514357148293</v>
      </c>
      <c r="W94">
        <v>57.581133217704746</v>
      </c>
    </row>
    <row r="95" spans="1:24" x14ac:dyDescent="0.35">
      <c r="A95">
        <v>93</v>
      </c>
      <c r="B95">
        <v>46048</v>
      </c>
      <c r="C95" t="s">
        <v>16</v>
      </c>
      <c r="D95">
        <v>28</v>
      </c>
      <c r="E95" t="s">
        <v>174</v>
      </c>
      <c r="F95" t="s">
        <v>175</v>
      </c>
      <c r="G95" t="s">
        <v>159</v>
      </c>
      <c r="H95" t="s">
        <v>160</v>
      </c>
      <c r="I95" t="s">
        <v>161</v>
      </c>
      <c r="J95" t="s">
        <v>22</v>
      </c>
      <c r="K95" t="s">
        <v>23</v>
      </c>
      <c r="L95" t="s">
        <v>24</v>
      </c>
      <c r="M95">
        <v>94.82</v>
      </c>
      <c r="N95">
        <v>94.860509898020354</v>
      </c>
      <c r="O95">
        <v>5.6504018434670042</v>
      </c>
      <c r="P95">
        <v>5.7130750355487638</v>
      </c>
      <c r="Q95">
        <v>94.349598156532991</v>
      </c>
      <c r="R95">
        <v>94.286924964451231</v>
      </c>
      <c r="S95">
        <v>21.754706236142574</v>
      </c>
      <c r="T95">
        <v>21.754706236142574</v>
      </c>
      <c r="U95">
        <v>52.180364738496685</v>
      </c>
      <c r="V95">
        <v>50.768412175494994</v>
      </c>
      <c r="W95">
        <v>55.498507006340148</v>
      </c>
      <c r="X95">
        <v>55.002062343703003</v>
      </c>
    </row>
    <row r="96" spans="1:24" x14ac:dyDescent="0.35">
      <c r="A96">
        <v>94</v>
      </c>
      <c r="B96">
        <v>46048</v>
      </c>
      <c r="C96" t="s">
        <v>16</v>
      </c>
      <c r="D96">
        <v>28</v>
      </c>
      <c r="E96" t="s">
        <v>174</v>
      </c>
      <c r="F96" t="s">
        <v>175</v>
      </c>
      <c r="G96" t="s">
        <v>159</v>
      </c>
      <c r="H96" t="s">
        <v>160</v>
      </c>
      <c r="I96" t="s">
        <v>161</v>
      </c>
      <c r="J96" t="s">
        <v>22</v>
      </c>
      <c r="K96" t="s">
        <v>23</v>
      </c>
      <c r="L96" t="s">
        <v>24</v>
      </c>
      <c r="M96">
        <v>94.901019796040728</v>
      </c>
      <c r="O96">
        <v>5.7757482276305225</v>
      </c>
      <c r="Q96">
        <v>94.224251772369485</v>
      </c>
      <c r="S96">
        <v>21.754706236142574</v>
      </c>
      <c r="U96">
        <v>49.356459612493303</v>
      </c>
      <c r="W96">
        <v>54.505617681065857</v>
      </c>
    </row>
    <row r="97" spans="1:24" x14ac:dyDescent="0.35">
      <c r="A97">
        <v>95</v>
      </c>
      <c r="B97">
        <v>46048</v>
      </c>
      <c r="C97" t="s">
        <v>16</v>
      </c>
      <c r="D97">
        <v>28</v>
      </c>
      <c r="E97" t="s">
        <v>176</v>
      </c>
      <c r="F97" t="s">
        <v>177</v>
      </c>
      <c r="G97" t="s">
        <v>159</v>
      </c>
      <c r="H97" t="s">
        <v>160</v>
      </c>
      <c r="I97" t="s">
        <v>161</v>
      </c>
      <c r="J97" t="s">
        <v>22</v>
      </c>
      <c r="K97" t="s">
        <v>23</v>
      </c>
      <c r="L97" t="s">
        <v>24</v>
      </c>
      <c r="M97">
        <v>93.80371776933832</v>
      </c>
      <c r="N97">
        <v>93.877161354422213</v>
      </c>
      <c r="O97">
        <v>6.8772065868408321</v>
      </c>
      <c r="P97">
        <v>6.953483787664565</v>
      </c>
      <c r="Q97">
        <v>93.122793413159172</v>
      </c>
      <c r="R97">
        <v>93.046516212335433</v>
      </c>
      <c r="S97">
        <v>21.513621593833555</v>
      </c>
      <c r="T97">
        <v>21.513621593833555</v>
      </c>
      <c r="U97">
        <v>48.23549136249526</v>
      </c>
      <c r="V97">
        <v>49.182546382240204</v>
      </c>
      <c r="W97">
        <v>53.949428757435022</v>
      </c>
      <c r="X97">
        <v>54.929596136440743</v>
      </c>
    </row>
    <row r="98" spans="1:24" x14ac:dyDescent="0.35">
      <c r="A98">
        <v>96</v>
      </c>
      <c r="B98">
        <v>46048</v>
      </c>
      <c r="C98" t="s">
        <v>16</v>
      </c>
      <c r="D98">
        <v>28</v>
      </c>
      <c r="E98" t="s">
        <v>176</v>
      </c>
      <c r="F98" t="s">
        <v>177</v>
      </c>
      <c r="G98" t="s">
        <v>159</v>
      </c>
      <c r="H98" t="s">
        <v>160</v>
      </c>
      <c r="I98" t="s">
        <v>161</v>
      </c>
      <c r="J98" t="s">
        <v>22</v>
      </c>
      <c r="K98" t="s">
        <v>23</v>
      </c>
      <c r="L98" t="s">
        <v>24</v>
      </c>
      <c r="M98">
        <v>93.950604939506093</v>
      </c>
      <c r="O98">
        <v>7.029760988488297</v>
      </c>
      <c r="Q98">
        <v>92.970239011511708</v>
      </c>
      <c r="S98">
        <v>21.513621593833555</v>
      </c>
      <c r="U98">
        <v>50.129601401985148</v>
      </c>
      <c r="W98">
        <v>55.909763515446464</v>
      </c>
    </row>
    <row r="99" spans="1:24" x14ac:dyDescent="0.35">
      <c r="A99">
        <v>97</v>
      </c>
      <c r="B99">
        <v>46048</v>
      </c>
      <c r="C99" t="s">
        <v>16</v>
      </c>
      <c r="D99">
        <v>28</v>
      </c>
      <c r="E99" t="s">
        <v>180</v>
      </c>
      <c r="F99" t="s">
        <v>181</v>
      </c>
      <c r="G99" t="s">
        <v>159</v>
      </c>
      <c r="H99" t="s">
        <v>160</v>
      </c>
      <c r="I99" t="s">
        <v>161</v>
      </c>
      <c r="J99" t="s">
        <v>22</v>
      </c>
      <c r="K99" t="s">
        <v>23</v>
      </c>
      <c r="L99" t="s">
        <v>24</v>
      </c>
      <c r="M99">
        <v>95.540445955404437</v>
      </c>
      <c r="N99">
        <v>95.515899274813165</v>
      </c>
      <c r="O99">
        <v>8.6678470764028521</v>
      </c>
      <c r="P99">
        <v>8.6460479090756266</v>
      </c>
      <c r="Q99">
        <v>91.33215292359715</v>
      </c>
      <c r="R99">
        <v>91.353952090924366</v>
      </c>
      <c r="S99">
        <v>20.815955680729736</v>
      </c>
      <c r="T99">
        <v>20.815955680729736</v>
      </c>
      <c r="U99">
        <v>43.605486669064007</v>
      </c>
      <c r="V99">
        <v>44.541586138733123</v>
      </c>
      <c r="W99">
        <v>55.273655890587136</v>
      </c>
      <c r="X99">
        <v>54.356536443005112</v>
      </c>
    </row>
    <row r="100" spans="1:24" x14ac:dyDescent="0.35">
      <c r="A100">
        <v>98</v>
      </c>
      <c r="B100">
        <v>46048</v>
      </c>
      <c r="C100" t="s">
        <v>16</v>
      </c>
      <c r="D100">
        <v>28</v>
      </c>
      <c r="E100" t="s">
        <v>180</v>
      </c>
      <c r="F100" t="s">
        <v>181</v>
      </c>
      <c r="G100" t="s">
        <v>159</v>
      </c>
      <c r="H100" t="s">
        <v>160</v>
      </c>
      <c r="I100" t="s">
        <v>161</v>
      </c>
      <c r="J100" t="s">
        <v>22</v>
      </c>
      <c r="K100" t="s">
        <v>23</v>
      </c>
      <c r="L100" t="s">
        <v>24</v>
      </c>
      <c r="M100">
        <v>95.49135259422188</v>
      </c>
      <c r="O100">
        <v>8.6242487417484011</v>
      </c>
      <c r="Q100">
        <v>91.375751258251597</v>
      </c>
      <c r="S100">
        <v>20.815955680729736</v>
      </c>
      <c r="U100">
        <v>45.477685608402247</v>
      </c>
      <c r="W100">
        <v>53.439416995423095</v>
      </c>
    </row>
    <row r="101" spans="1:24" x14ac:dyDescent="0.35">
      <c r="A101">
        <v>99</v>
      </c>
      <c r="B101">
        <v>46048</v>
      </c>
      <c r="C101" t="s">
        <v>16</v>
      </c>
      <c r="D101">
        <v>28</v>
      </c>
      <c r="E101" t="s">
        <v>182</v>
      </c>
      <c r="F101" t="s">
        <v>183</v>
      </c>
      <c r="G101" t="s">
        <v>19</v>
      </c>
      <c r="H101" t="s">
        <v>20</v>
      </c>
      <c r="I101" t="s">
        <v>21</v>
      </c>
      <c r="J101" t="s">
        <v>22</v>
      </c>
      <c r="K101" t="s">
        <v>23</v>
      </c>
      <c r="L101" t="s">
        <v>24</v>
      </c>
      <c r="M101">
        <v>95.850414958504118</v>
      </c>
      <c r="N101">
        <v>95.855828293007932</v>
      </c>
      <c r="O101">
        <v>7.5731170465742181</v>
      </c>
      <c r="P101">
        <v>7.5515015518643622</v>
      </c>
      <c r="Q101">
        <v>92.426882953425775</v>
      </c>
      <c r="R101">
        <v>92.448498448135638</v>
      </c>
      <c r="S101">
        <v>20.355371333791691</v>
      </c>
      <c r="T101">
        <v>20.355371333791691</v>
      </c>
      <c r="U101">
        <v>53.215456991873658</v>
      </c>
      <c r="V101">
        <v>52.757940793567954</v>
      </c>
      <c r="W101">
        <v>63.334187947945885</v>
      </c>
      <c r="X101">
        <v>65.193341233557703</v>
      </c>
    </row>
    <row r="102" spans="1:24" x14ac:dyDescent="0.35">
      <c r="A102">
        <v>100</v>
      </c>
      <c r="B102">
        <v>46048</v>
      </c>
      <c r="C102" t="s">
        <v>16</v>
      </c>
      <c r="D102">
        <v>28</v>
      </c>
      <c r="E102" t="s">
        <v>182</v>
      </c>
      <c r="F102" t="s">
        <v>183</v>
      </c>
      <c r="G102" t="s">
        <v>19</v>
      </c>
      <c r="H102" t="s">
        <v>20</v>
      </c>
      <c r="I102" t="s">
        <v>21</v>
      </c>
      <c r="J102" t="s">
        <v>22</v>
      </c>
      <c r="K102" t="s">
        <v>23</v>
      </c>
      <c r="L102" t="s">
        <v>24</v>
      </c>
      <c r="M102">
        <v>95.861241627511745</v>
      </c>
      <c r="O102">
        <v>7.5298860571545054</v>
      </c>
      <c r="Q102">
        <v>92.470113942845501</v>
      </c>
      <c r="S102">
        <v>20.355371333791691</v>
      </c>
      <c r="U102">
        <v>52.30042459526225</v>
      </c>
      <c r="W102">
        <v>67.052494519169528</v>
      </c>
    </row>
    <row r="103" spans="1:24" x14ac:dyDescent="0.35">
      <c r="A103">
        <v>101</v>
      </c>
      <c r="B103">
        <v>46048</v>
      </c>
      <c r="C103" t="s">
        <v>16</v>
      </c>
      <c r="D103">
        <v>28</v>
      </c>
      <c r="E103" t="s">
        <v>184</v>
      </c>
      <c r="F103" t="s">
        <v>185</v>
      </c>
      <c r="G103" t="s">
        <v>19</v>
      </c>
      <c r="H103" t="s">
        <v>20</v>
      </c>
      <c r="I103" t="s">
        <v>21</v>
      </c>
      <c r="J103" t="s">
        <v>22</v>
      </c>
      <c r="K103" t="s">
        <v>23</v>
      </c>
      <c r="L103" t="s">
        <v>24</v>
      </c>
      <c r="M103">
        <v>95.640871825635045</v>
      </c>
      <c r="N103">
        <v>95.631092715776646</v>
      </c>
      <c r="O103">
        <v>7.7574312768643141</v>
      </c>
      <c r="P103">
        <v>7.8824880892774889</v>
      </c>
      <c r="Q103">
        <v>92.24256872313569</v>
      </c>
      <c r="R103">
        <v>92.117511910722513</v>
      </c>
      <c r="S103">
        <v>18.299339394295366</v>
      </c>
      <c r="T103">
        <v>18.299339394295366</v>
      </c>
      <c r="U103">
        <v>56.563412217914511</v>
      </c>
      <c r="V103">
        <v>57.419672235613312</v>
      </c>
      <c r="W103">
        <v>63.802127259625898</v>
      </c>
      <c r="X103">
        <v>65.172912856868038</v>
      </c>
    </row>
    <row r="104" spans="1:24" x14ac:dyDescent="0.35">
      <c r="A104">
        <v>102</v>
      </c>
      <c r="B104">
        <v>46048</v>
      </c>
      <c r="C104" t="s">
        <v>16</v>
      </c>
      <c r="D104">
        <v>28</v>
      </c>
      <c r="E104" t="s">
        <v>184</v>
      </c>
      <c r="F104" t="s">
        <v>185</v>
      </c>
      <c r="G104" t="s">
        <v>19</v>
      </c>
      <c r="H104" t="s">
        <v>20</v>
      </c>
      <c r="I104" t="s">
        <v>21</v>
      </c>
      <c r="J104" t="s">
        <v>22</v>
      </c>
      <c r="K104" t="s">
        <v>23</v>
      </c>
      <c r="L104" t="s">
        <v>24</v>
      </c>
      <c r="M104">
        <v>95.621313605918246</v>
      </c>
      <c r="O104">
        <v>8.0075449016906628</v>
      </c>
      <c r="Q104">
        <v>91.992455098309335</v>
      </c>
      <c r="S104">
        <v>18.299339394295366</v>
      </c>
      <c r="U104">
        <v>58.275932253312114</v>
      </c>
      <c r="W104">
        <v>66.543698454110185</v>
      </c>
    </row>
    <row r="105" spans="1:24" x14ac:dyDescent="0.35">
      <c r="A105">
        <v>103</v>
      </c>
      <c r="B105">
        <v>46048</v>
      </c>
      <c r="C105" t="s">
        <v>16</v>
      </c>
      <c r="D105">
        <v>28</v>
      </c>
      <c r="E105" t="s">
        <v>186</v>
      </c>
      <c r="F105" t="s">
        <v>187</v>
      </c>
      <c r="G105" t="s">
        <v>105</v>
      </c>
      <c r="H105" t="s">
        <v>188</v>
      </c>
      <c r="I105" t="s">
        <v>189</v>
      </c>
      <c r="J105" t="s">
        <v>108</v>
      </c>
      <c r="K105" t="s">
        <v>109</v>
      </c>
      <c r="L105" t="s">
        <v>110</v>
      </c>
      <c r="M105">
        <v>94.831550534839621</v>
      </c>
      <c r="N105">
        <v>94.841290164440437</v>
      </c>
      <c r="O105">
        <v>9.4972324765296356</v>
      </c>
      <c r="P105">
        <v>9.5082490656305918</v>
      </c>
      <c r="Q105">
        <v>90.502767523470368</v>
      </c>
      <c r="R105">
        <v>90.491750934369406</v>
      </c>
      <c r="S105">
        <v>8.0229961856412029</v>
      </c>
      <c r="T105">
        <v>8.0243727363164616</v>
      </c>
      <c r="U105">
        <v>32.561605963080488</v>
      </c>
      <c r="V105">
        <v>33.134015860138412</v>
      </c>
      <c r="W105">
        <v>67.494819401815647</v>
      </c>
      <c r="X105">
        <v>68.076064265696189</v>
      </c>
    </row>
    <row r="106" spans="1:24" x14ac:dyDescent="0.35">
      <c r="A106">
        <v>104</v>
      </c>
      <c r="B106">
        <v>46048</v>
      </c>
      <c r="C106" t="s">
        <v>16</v>
      </c>
      <c r="D106">
        <v>28</v>
      </c>
      <c r="E106" t="s">
        <v>186</v>
      </c>
      <c r="F106" t="s">
        <v>187</v>
      </c>
      <c r="G106" t="s">
        <v>105</v>
      </c>
      <c r="H106" t="s">
        <v>188</v>
      </c>
      <c r="I106" t="s">
        <v>189</v>
      </c>
      <c r="J106" t="s">
        <v>108</v>
      </c>
      <c r="K106" t="s">
        <v>109</v>
      </c>
      <c r="L106" t="s">
        <v>110</v>
      </c>
      <c r="M106">
        <v>94.851029794041253</v>
      </c>
      <c r="O106">
        <v>9.519265654731548</v>
      </c>
      <c r="Q106">
        <v>90.480734345268445</v>
      </c>
      <c r="S106">
        <v>8.0257492869917204</v>
      </c>
      <c r="U106">
        <v>33.706425757196335</v>
      </c>
      <c r="W106">
        <v>68.657309129576731</v>
      </c>
    </row>
    <row r="107" spans="1:24" x14ac:dyDescent="0.35">
      <c r="A107">
        <v>105</v>
      </c>
      <c r="B107">
        <v>46048</v>
      </c>
      <c r="C107" t="s">
        <v>16</v>
      </c>
      <c r="D107">
        <v>28</v>
      </c>
      <c r="E107" t="s">
        <v>192</v>
      </c>
      <c r="F107" t="s">
        <v>193</v>
      </c>
      <c r="G107" t="s">
        <v>105</v>
      </c>
      <c r="H107" t="s">
        <v>188</v>
      </c>
      <c r="I107" t="s">
        <v>189</v>
      </c>
      <c r="J107" t="s">
        <v>108</v>
      </c>
      <c r="K107" t="s">
        <v>109</v>
      </c>
      <c r="L107" t="s">
        <v>110</v>
      </c>
      <c r="M107">
        <v>94.950000000000045</v>
      </c>
      <c r="N107">
        <v>95.075959616153568</v>
      </c>
      <c r="O107">
        <v>11.727465118433098</v>
      </c>
      <c r="P107">
        <v>11.588442457308311</v>
      </c>
      <c r="Q107">
        <v>88.272534881566898</v>
      </c>
      <c r="R107">
        <v>88.411557542691696</v>
      </c>
      <c r="S107">
        <v>8.0474660562403315</v>
      </c>
      <c r="T107">
        <v>7.956214446940522</v>
      </c>
      <c r="U107">
        <v>34.124477797431481</v>
      </c>
      <c r="V107">
        <v>34.078557191895065</v>
      </c>
      <c r="W107">
        <v>68.458326715153518</v>
      </c>
      <c r="X107">
        <v>68.315501691417495</v>
      </c>
    </row>
    <row r="108" spans="1:24" x14ac:dyDescent="0.35">
      <c r="A108">
        <v>106</v>
      </c>
      <c r="B108">
        <v>46048</v>
      </c>
      <c r="C108" t="s">
        <v>16</v>
      </c>
      <c r="D108">
        <v>28</v>
      </c>
      <c r="E108" t="s">
        <v>192</v>
      </c>
      <c r="F108" t="s">
        <v>193</v>
      </c>
      <c r="G108" t="s">
        <v>105</v>
      </c>
      <c r="H108" t="s">
        <v>188</v>
      </c>
      <c r="I108" t="s">
        <v>189</v>
      </c>
      <c r="J108" t="s">
        <v>108</v>
      </c>
      <c r="K108" t="s">
        <v>109</v>
      </c>
      <c r="L108" t="s">
        <v>110</v>
      </c>
      <c r="M108">
        <v>95.201919232307077</v>
      </c>
      <c r="O108">
        <v>11.449419796183525</v>
      </c>
      <c r="Q108">
        <v>88.55058020381648</v>
      </c>
      <c r="S108">
        <v>7.8649628376407126</v>
      </c>
      <c r="U108">
        <v>34.032636586358649</v>
      </c>
      <c r="W108">
        <v>68.172676667681458</v>
      </c>
    </row>
    <row r="109" spans="1:24" x14ac:dyDescent="0.35">
      <c r="A109">
        <v>107</v>
      </c>
      <c r="B109">
        <v>46048</v>
      </c>
      <c r="C109" t="s">
        <v>16</v>
      </c>
      <c r="D109">
        <v>28</v>
      </c>
      <c r="E109" t="s">
        <v>194</v>
      </c>
      <c r="F109" t="s">
        <v>195</v>
      </c>
      <c r="G109" t="s">
        <v>105</v>
      </c>
      <c r="H109" t="s">
        <v>188</v>
      </c>
      <c r="I109" t="s">
        <v>189</v>
      </c>
      <c r="J109" t="s">
        <v>108</v>
      </c>
      <c r="K109" t="s">
        <v>109</v>
      </c>
      <c r="L109" t="s">
        <v>110</v>
      </c>
      <c r="M109">
        <v>95.970805838832163</v>
      </c>
      <c r="N109">
        <v>96.020599399768003</v>
      </c>
      <c r="O109">
        <v>10.693482934811497</v>
      </c>
      <c r="P109">
        <v>10.673190774237739</v>
      </c>
      <c r="Q109">
        <v>89.306517065188501</v>
      </c>
      <c r="R109">
        <v>89.326809225762261</v>
      </c>
      <c r="S109">
        <v>9.5768284222095428</v>
      </c>
      <c r="T109">
        <v>9.5938843043388999</v>
      </c>
      <c r="U109">
        <v>33.959598757120148</v>
      </c>
      <c r="V109">
        <v>33.181715528197131</v>
      </c>
      <c r="W109">
        <v>68.808187378370732</v>
      </c>
      <c r="X109">
        <v>67.843242890261195</v>
      </c>
    </row>
    <row r="110" spans="1:24" x14ac:dyDescent="0.35">
      <c r="A110">
        <v>108</v>
      </c>
      <c r="B110">
        <v>46048</v>
      </c>
      <c r="C110" t="s">
        <v>16</v>
      </c>
      <c r="D110">
        <v>28</v>
      </c>
      <c r="E110" t="s">
        <v>194</v>
      </c>
      <c r="F110" t="s">
        <v>195</v>
      </c>
      <c r="G110" t="s">
        <v>105</v>
      </c>
      <c r="H110" t="s">
        <v>188</v>
      </c>
      <c r="I110" t="s">
        <v>189</v>
      </c>
      <c r="J110" t="s">
        <v>108</v>
      </c>
      <c r="K110" t="s">
        <v>109</v>
      </c>
      <c r="L110" t="s">
        <v>110</v>
      </c>
      <c r="M110">
        <v>96.070392960703828</v>
      </c>
      <c r="O110">
        <v>10.652898613663982</v>
      </c>
      <c r="Q110">
        <v>89.347101386336021</v>
      </c>
      <c r="S110">
        <v>9.6109401864682553</v>
      </c>
      <c r="U110">
        <v>32.403832299274107</v>
      </c>
      <c r="W110">
        <v>66.878298402151657</v>
      </c>
    </row>
    <row r="111" spans="1:24" x14ac:dyDescent="0.35">
      <c r="A111">
        <v>109</v>
      </c>
      <c r="B111">
        <v>46048</v>
      </c>
      <c r="C111" t="s">
        <v>16</v>
      </c>
      <c r="D111">
        <v>28</v>
      </c>
      <c r="E111" t="s">
        <v>196</v>
      </c>
      <c r="F111" t="s">
        <v>197</v>
      </c>
      <c r="G111" t="s">
        <v>105</v>
      </c>
      <c r="H111" t="s">
        <v>188</v>
      </c>
      <c r="I111" t="s">
        <v>189</v>
      </c>
      <c r="J111" t="s">
        <v>108</v>
      </c>
      <c r="K111" t="s">
        <v>109</v>
      </c>
      <c r="L111" t="s">
        <v>110</v>
      </c>
      <c r="M111">
        <v>95.840415958404051</v>
      </c>
      <c r="N111">
        <v>95.960403959604008</v>
      </c>
      <c r="O111">
        <v>10.25320412628945</v>
      </c>
      <c r="P111">
        <v>10.190684588934079</v>
      </c>
      <c r="Q111">
        <v>89.746795873710553</v>
      </c>
      <c r="R111">
        <v>89.809315411065924</v>
      </c>
      <c r="S111">
        <v>8.1087803447301283</v>
      </c>
      <c r="T111">
        <v>8.0395675459505505</v>
      </c>
      <c r="U111">
        <v>32.617685081512136</v>
      </c>
      <c r="V111">
        <v>32.624245492797797</v>
      </c>
      <c r="W111">
        <v>67.685964629115219</v>
      </c>
      <c r="X111">
        <v>67.428382820480209</v>
      </c>
    </row>
    <row r="112" spans="1:24" x14ac:dyDescent="0.35">
      <c r="A112">
        <v>110</v>
      </c>
      <c r="B112">
        <v>46048</v>
      </c>
      <c r="C112" t="s">
        <v>16</v>
      </c>
      <c r="D112">
        <v>28</v>
      </c>
      <c r="E112" t="s">
        <v>196</v>
      </c>
      <c r="F112" t="s">
        <v>197</v>
      </c>
      <c r="G112" t="s">
        <v>105</v>
      </c>
      <c r="H112" t="s">
        <v>188</v>
      </c>
      <c r="I112" t="s">
        <v>189</v>
      </c>
      <c r="J112" t="s">
        <v>108</v>
      </c>
      <c r="K112" t="s">
        <v>109</v>
      </c>
      <c r="L112" t="s">
        <v>110</v>
      </c>
      <c r="M112">
        <v>96.080391960803979</v>
      </c>
      <c r="O112">
        <v>10.12816505157871</v>
      </c>
      <c r="Q112">
        <v>89.871834948421295</v>
      </c>
      <c r="S112">
        <v>7.9703547471709726</v>
      </c>
      <c r="U112">
        <v>32.630805904083452</v>
      </c>
      <c r="W112">
        <v>67.170801011845199</v>
      </c>
    </row>
    <row r="113" spans="1:24" x14ac:dyDescent="0.35">
      <c r="A113">
        <v>111</v>
      </c>
      <c r="B113">
        <v>46048</v>
      </c>
      <c r="C113" t="s">
        <v>16</v>
      </c>
      <c r="D113">
        <v>28</v>
      </c>
      <c r="E113" t="s">
        <v>198</v>
      </c>
      <c r="F113" t="s">
        <v>199</v>
      </c>
      <c r="G113" t="s">
        <v>105</v>
      </c>
      <c r="H113" t="s">
        <v>188</v>
      </c>
      <c r="I113" t="s">
        <v>189</v>
      </c>
      <c r="J113" t="s">
        <v>108</v>
      </c>
      <c r="K113" t="s">
        <v>109</v>
      </c>
      <c r="L113" t="s">
        <v>110</v>
      </c>
      <c r="M113">
        <v>97.230276972302804</v>
      </c>
      <c r="N113">
        <v>97.27027297270277</v>
      </c>
      <c r="O113">
        <v>9.7656250000000622</v>
      </c>
      <c r="P113">
        <v>9.9403782894737045</v>
      </c>
      <c r="Q113">
        <v>90.234374999999943</v>
      </c>
      <c r="R113">
        <v>90.059621710526301</v>
      </c>
      <c r="S113">
        <v>7.6003872158442771</v>
      </c>
      <c r="T113">
        <v>7.5583491812288406</v>
      </c>
      <c r="U113">
        <v>34.968255876968591</v>
      </c>
      <c r="V113">
        <v>35.297170357230435</v>
      </c>
      <c r="W113">
        <v>68.887836883293801</v>
      </c>
      <c r="X113">
        <v>69.391487181194748</v>
      </c>
    </row>
    <row r="114" spans="1:24" x14ac:dyDescent="0.35">
      <c r="A114">
        <v>112</v>
      </c>
      <c r="B114">
        <v>46048</v>
      </c>
      <c r="C114" t="s">
        <v>16</v>
      </c>
      <c r="D114">
        <v>28</v>
      </c>
      <c r="E114" t="s">
        <v>198</v>
      </c>
      <c r="F114" t="s">
        <v>199</v>
      </c>
      <c r="G114" t="s">
        <v>105</v>
      </c>
      <c r="H114" t="s">
        <v>188</v>
      </c>
      <c r="I114" t="s">
        <v>189</v>
      </c>
      <c r="J114" t="s">
        <v>108</v>
      </c>
      <c r="K114" t="s">
        <v>109</v>
      </c>
      <c r="L114" t="s">
        <v>110</v>
      </c>
      <c r="M114">
        <v>97.310268973102723</v>
      </c>
      <c r="O114">
        <v>10.115131578947347</v>
      </c>
      <c r="Q114">
        <v>89.884868421052659</v>
      </c>
      <c r="S114">
        <v>7.516311146613404</v>
      </c>
      <c r="U114">
        <v>35.626084837492279</v>
      </c>
      <c r="W114">
        <v>69.895137479095695</v>
      </c>
    </row>
    <row r="115" spans="1:24" x14ac:dyDescent="0.35">
      <c r="A115">
        <v>113</v>
      </c>
      <c r="B115">
        <v>46048</v>
      </c>
      <c r="C115" t="s">
        <v>16</v>
      </c>
      <c r="D115">
        <v>28</v>
      </c>
      <c r="E115" t="s">
        <v>200</v>
      </c>
      <c r="F115" t="s">
        <v>201</v>
      </c>
      <c r="G115" t="s">
        <v>105</v>
      </c>
      <c r="H115" t="s">
        <v>188</v>
      </c>
      <c r="I115" t="s">
        <v>189</v>
      </c>
      <c r="J115" t="s">
        <v>108</v>
      </c>
      <c r="K115" t="s">
        <v>109</v>
      </c>
      <c r="L115" t="s">
        <v>110</v>
      </c>
      <c r="M115">
        <v>97.060000000000016</v>
      </c>
      <c r="N115">
        <v>97.099999999999966</v>
      </c>
      <c r="O115">
        <v>12.626158599382112</v>
      </c>
      <c r="P115">
        <v>12.342945417095738</v>
      </c>
      <c r="Q115">
        <v>87.373841400617891</v>
      </c>
      <c r="R115">
        <v>87.657054582904266</v>
      </c>
      <c r="S115">
        <v>10.017195066781124</v>
      </c>
      <c r="T115">
        <v>9.9837827915039128</v>
      </c>
      <c r="U115">
        <v>31.845743086172039</v>
      </c>
      <c r="V115">
        <v>31.982736589249733</v>
      </c>
      <c r="W115">
        <v>63.483349179704504</v>
      </c>
      <c r="X115">
        <v>64.138362555831151</v>
      </c>
    </row>
    <row r="116" spans="1:24" x14ac:dyDescent="0.35">
      <c r="A116">
        <v>114</v>
      </c>
      <c r="B116">
        <v>46048</v>
      </c>
      <c r="C116" t="s">
        <v>16</v>
      </c>
      <c r="D116">
        <v>28</v>
      </c>
      <c r="E116" t="s">
        <v>200</v>
      </c>
      <c r="F116" t="s">
        <v>201</v>
      </c>
      <c r="G116" t="s">
        <v>105</v>
      </c>
      <c r="H116" t="s">
        <v>188</v>
      </c>
      <c r="I116" t="s">
        <v>189</v>
      </c>
      <c r="J116" t="s">
        <v>108</v>
      </c>
      <c r="K116" t="s">
        <v>109</v>
      </c>
      <c r="L116" t="s">
        <v>110</v>
      </c>
      <c r="M116">
        <v>97.139999999999915</v>
      </c>
      <c r="O116">
        <v>12.059732234809363</v>
      </c>
      <c r="Q116">
        <v>87.94026776519064</v>
      </c>
      <c r="S116">
        <v>9.9503705162267018</v>
      </c>
      <c r="U116">
        <v>32.119730092327423</v>
      </c>
      <c r="W116">
        <v>64.793375931957812</v>
      </c>
    </row>
    <row r="117" spans="1:24" x14ac:dyDescent="0.35">
      <c r="A117">
        <v>115</v>
      </c>
      <c r="B117">
        <v>46048</v>
      </c>
      <c r="C117" t="s">
        <v>16</v>
      </c>
      <c r="D117">
        <v>28</v>
      </c>
      <c r="E117" t="s">
        <v>202</v>
      </c>
      <c r="F117" t="s">
        <v>203</v>
      </c>
      <c r="G117" t="s">
        <v>105</v>
      </c>
      <c r="H117" t="s">
        <v>188</v>
      </c>
      <c r="I117" t="s">
        <v>189</v>
      </c>
      <c r="J117" t="s">
        <v>108</v>
      </c>
      <c r="K117" t="s">
        <v>109</v>
      </c>
      <c r="L117" t="s">
        <v>110</v>
      </c>
      <c r="M117">
        <v>96.440355964403494</v>
      </c>
      <c r="N117">
        <v>96.500349965003466</v>
      </c>
      <c r="O117">
        <v>9.853901150139837</v>
      </c>
      <c r="P117">
        <v>10.0404103201741</v>
      </c>
      <c r="Q117">
        <v>90.146098849860167</v>
      </c>
      <c r="R117">
        <v>89.95958967982591</v>
      </c>
      <c r="S117">
        <v>7.9704717617286525</v>
      </c>
      <c r="T117">
        <v>7.9759318357459463</v>
      </c>
      <c r="U117">
        <v>33.064911661588695</v>
      </c>
      <c r="V117">
        <v>32.767336426059344</v>
      </c>
      <c r="W117">
        <v>68.807471706812066</v>
      </c>
      <c r="X117">
        <v>68.192520884265519</v>
      </c>
    </row>
    <row r="118" spans="1:24" x14ac:dyDescent="0.35">
      <c r="A118">
        <v>116</v>
      </c>
      <c r="B118">
        <v>46048</v>
      </c>
      <c r="C118" t="s">
        <v>16</v>
      </c>
      <c r="D118">
        <v>28</v>
      </c>
      <c r="E118" t="s">
        <v>202</v>
      </c>
      <c r="F118" t="s">
        <v>203</v>
      </c>
      <c r="G118" t="s">
        <v>105</v>
      </c>
      <c r="H118" t="s">
        <v>188</v>
      </c>
      <c r="I118" t="s">
        <v>189</v>
      </c>
      <c r="J118" t="s">
        <v>108</v>
      </c>
      <c r="K118" t="s">
        <v>109</v>
      </c>
      <c r="L118" t="s">
        <v>110</v>
      </c>
      <c r="M118">
        <v>96.560343965603451</v>
      </c>
      <c r="O118">
        <v>10.226919490208365</v>
      </c>
      <c r="Q118">
        <v>89.77308050979164</v>
      </c>
      <c r="S118">
        <v>7.9813919097632402</v>
      </c>
      <c r="U118">
        <v>32.469761190529994</v>
      </c>
      <c r="W118">
        <v>67.577570061718973</v>
      </c>
    </row>
    <row r="119" spans="1:24" x14ac:dyDescent="0.35">
      <c r="A119">
        <v>117</v>
      </c>
      <c r="B119">
        <v>46048</v>
      </c>
      <c r="C119" t="s">
        <v>16</v>
      </c>
      <c r="D119">
        <v>28</v>
      </c>
      <c r="E119" t="s">
        <v>204</v>
      </c>
      <c r="F119" t="s">
        <v>205</v>
      </c>
      <c r="G119" t="s">
        <v>105</v>
      </c>
      <c r="H119" t="s">
        <v>188</v>
      </c>
      <c r="I119" t="s">
        <v>189</v>
      </c>
      <c r="J119" t="s">
        <v>108</v>
      </c>
      <c r="K119" t="s">
        <v>109</v>
      </c>
      <c r="L119" t="s">
        <v>110</v>
      </c>
      <c r="M119">
        <v>96.841263494602146</v>
      </c>
      <c r="N119">
        <v>96.866719485884062</v>
      </c>
      <c r="O119">
        <v>10.22646130429716</v>
      </c>
      <c r="P119">
        <v>10.26103525403385</v>
      </c>
      <c r="Q119">
        <v>89.77353869570284</v>
      </c>
      <c r="R119">
        <v>89.738964745966143</v>
      </c>
      <c r="S119">
        <v>8.1673498535180489</v>
      </c>
      <c r="T119">
        <v>8.2099390330563473</v>
      </c>
      <c r="U119">
        <v>34.349403141707448</v>
      </c>
      <c r="V119">
        <v>34.305607128281594</v>
      </c>
      <c r="W119">
        <v>69.426823964038192</v>
      </c>
      <c r="X119">
        <v>69.455897999562865</v>
      </c>
    </row>
    <row r="120" spans="1:24" x14ac:dyDescent="0.35">
      <c r="A120">
        <v>118</v>
      </c>
      <c r="B120">
        <v>46048</v>
      </c>
      <c r="C120" t="s">
        <v>16</v>
      </c>
      <c r="D120">
        <v>28</v>
      </c>
      <c r="E120" t="s">
        <v>204</v>
      </c>
      <c r="F120" t="s">
        <v>205</v>
      </c>
      <c r="G120" t="s">
        <v>105</v>
      </c>
      <c r="H120" t="s">
        <v>188</v>
      </c>
      <c r="I120" t="s">
        <v>189</v>
      </c>
      <c r="J120" t="s">
        <v>108</v>
      </c>
      <c r="K120" t="s">
        <v>109</v>
      </c>
      <c r="L120" t="s">
        <v>110</v>
      </c>
      <c r="M120">
        <v>96.892175477165978</v>
      </c>
      <c r="O120">
        <v>10.295609203770537</v>
      </c>
      <c r="Q120">
        <v>89.704390796229461</v>
      </c>
      <c r="S120">
        <v>8.2525282125946475</v>
      </c>
      <c r="U120">
        <v>34.261811114855739</v>
      </c>
      <c r="W120">
        <v>69.484972035087537</v>
      </c>
    </row>
    <row r="121" spans="1:24" x14ac:dyDescent="0.35">
      <c r="A121">
        <v>119</v>
      </c>
      <c r="B121">
        <v>46048</v>
      </c>
      <c r="C121" t="s">
        <v>16</v>
      </c>
      <c r="D121">
        <v>28</v>
      </c>
      <c r="E121" t="s">
        <v>206</v>
      </c>
      <c r="F121" t="s">
        <v>207</v>
      </c>
      <c r="G121" t="s">
        <v>105</v>
      </c>
      <c r="H121" t="s">
        <v>188</v>
      </c>
      <c r="I121" t="s">
        <v>189</v>
      </c>
      <c r="J121" t="s">
        <v>108</v>
      </c>
      <c r="K121" t="s">
        <v>109</v>
      </c>
      <c r="L121" t="s">
        <v>110</v>
      </c>
      <c r="M121">
        <v>97.680000000000078</v>
      </c>
      <c r="N121">
        <v>97.655355393381996</v>
      </c>
      <c r="O121">
        <v>11.141222062192577</v>
      </c>
      <c r="P121">
        <v>11.144669891437953</v>
      </c>
      <c r="Q121">
        <v>88.858777937807417</v>
      </c>
      <c r="R121">
        <v>88.855330108562043</v>
      </c>
      <c r="S121">
        <v>9.3832551098585064</v>
      </c>
      <c r="T121">
        <v>9.3605866828112365</v>
      </c>
      <c r="U121">
        <v>31.767286849225052</v>
      </c>
      <c r="V121">
        <v>31.684815204607752</v>
      </c>
      <c r="W121">
        <v>64.614668113230607</v>
      </c>
      <c r="X121">
        <v>64.577274465920482</v>
      </c>
    </row>
    <row r="122" spans="1:24" x14ac:dyDescent="0.35">
      <c r="A122">
        <v>120</v>
      </c>
      <c r="B122">
        <v>46048</v>
      </c>
      <c r="C122" t="s">
        <v>16</v>
      </c>
      <c r="D122">
        <v>28</v>
      </c>
      <c r="E122" t="s">
        <v>206</v>
      </c>
      <c r="F122" t="s">
        <v>207</v>
      </c>
      <c r="G122" t="s">
        <v>105</v>
      </c>
      <c r="H122" t="s">
        <v>188</v>
      </c>
      <c r="I122" t="s">
        <v>189</v>
      </c>
      <c r="J122" t="s">
        <v>108</v>
      </c>
      <c r="K122" t="s">
        <v>109</v>
      </c>
      <c r="L122" t="s">
        <v>110</v>
      </c>
      <c r="M122">
        <v>97.630710786763913</v>
      </c>
      <c r="O122">
        <v>11.148117720683331</v>
      </c>
      <c r="Q122">
        <v>88.851882279316669</v>
      </c>
      <c r="S122">
        <v>9.3379182557639666</v>
      </c>
      <c r="U122">
        <v>31.602343559990448</v>
      </c>
      <c r="W122">
        <v>64.539880818610357</v>
      </c>
    </row>
    <row r="123" spans="1:24" x14ac:dyDescent="0.35">
      <c r="A123">
        <v>121</v>
      </c>
      <c r="B123">
        <v>46048</v>
      </c>
      <c r="C123" t="s">
        <v>16</v>
      </c>
      <c r="D123">
        <v>28</v>
      </c>
      <c r="E123" t="s">
        <v>208</v>
      </c>
      <c r="F123" t="s">
        <v>209</v>
      </c>
      <c r="G123" t="s">
        <v>105</v>
      </c>
      <c r="H123" t="s">
        <v>188</v>
      </c>
      <c r="I123" t="s">
        <v>189</v>
      </c>
      <c r="J123" t="s">
        <v>108</v>
      </c>
      <c r="K123" t="s">
        <v>109</v>
      </c>
      <c r="L123" t="s">
        <v>110</v>
      </c>
      <c r="M123">
        <v>96.431070678796345</v>
      </c>
      <c r="N123">
        <v>96.526548731362993</v>
      </c>
      <c r="O123">
        <v>11.040281766180799</v>
      </c>
      <c r="P123">
        <v>10.992035373132349</v>
      </c>
      <c r="Q123">
        <v>88.959718233819203</v>
      </c>
      <c r="R123">
        <v>89.007964626867647</v>
      </c>
      <c r="S123">
        <v>9.0028106702587074</v>
      </c>
      <c r="T123">
        <v>9.0289474871743671</v>
      </c>
      <c r="U123">
        <v>31.578380546816643</v>
      </c>
      <c r="V123">
        <v>31.720348010110389</v>
      </c>
      <c r="W123">
        <v>67.179525589833034</v>
      </c>
      <c r="X123">
        <v>66.876310343526541</v>
      </c>
    </row>
    <row r="124" spans="1:24" x14ac:dyDescent="0.35">
      <c r="A124">
        <v>122</v>
      </c>
      <c r="B124">
        <v>46048</v>
      </c>
      <c r="C124" t="s">
        <v>16</v>
      </c>
      <c r="D124">
        <v>28</v>
      </c>
      <c r="E124" t="s">
        <v>208</v>
      </c>
      <c r="F124" t="s">
        <v>209</v>
      </c>
      <c r="G124" t="s">
        <v>105</v>
      </c>
      <c r="H124" t="s">
        <v>188</v>
      </c>
      <c r="I124" t="s">
        <v>189</v>
      </c>
      <c r="J124" t="s">
        <v>108</v>
      </c>
      <c r="K124" t="s">
        <v>109</v>
      </c>
      <c r="L124" t="s">
        <v>110</v>
      </c>
      <c r="M124">
        <v>96.622026783929655</v>
      </c>
      <c r="O124">
        <v>10.9437889800839</v>
      </c>
      <c r="Q124">
        <v>89.056211019916105</v>
      </c>
      <c r="S124">
        <v>9.0550843040900286</v>
      </c>
      <c r="U124">
        <v>31.862315473404134</v>
      </c>
      <c r="W124">
        <v>66.573095097220047</v>
      </c>
    </row>
    <row r="125" spans="1:24" x14ac:dyDescent="0.35">
      <c r="A125">
        <v>123</v>
      </c>
      <c r="B125">
        <v>46048</v>
      </c>
      <c r="C125" t="s">
        <v>16</v>
      </c>
      <c r="D125">
        <v>28</v>
      </c>
      <c r="E125" t="s">
        <v>210</v>
      </c>
      <c r="F125" t="s">
        <v>211</v>
      </c>
      <c r="G125" t="s">
        <v>212</v>
      </c>
      <c r="H125" t="s">
        <v>213</v>
      </c>
      <c r="I125" t="s">
        <v>214</v>
      </c>
      <c r="J125" t="s">
        <v>22</v>
      </c>
      <c r="K125" t="s">
        <v>23</v>
      </c>
      <c r="L125" t="s">
        <v>215</v>
      </c>
      <c r="M125">
        <v>91.67249825052501</v>
      </c>
      <c r="N125">
        <v>93.55</v>
      </c>
      <c r="O125">
        <v>13.39088533997718</v>
      </c>
      <c r="P125">
        <v>11.4</v>
      </c>
      <c r="Q125">
        <v>86.609114660022826</v>
      </c>
      <c r="R125">
        <v>88.6</v>
      </c>
      <c r="S125">
        <v>28.60156824647801</v>
      </c>
      <c r="T125">
        <v>28.623722525353291</v>
      </c>
      <c r="U125">
        <v>39.488482725543101</v>
      </c>
      <c r="V125">
        <v>0</v>
      </c>
      <c r="W125">
        <v>56.232303304986296</v>
      </c>
      <c r="X125">
        <v>76.099999999999994</v>
      </c>
    </row>
    <row r="126" spans="1:24" x14ac:dyDescent="0.35">
      <c r="A126">
        <v>124</v>
      </c>
      <c r="B126">
        <v>46048</v>
      </c>
      <c r="C126" t="s">
        <v>16</v>
      </c>
      <c r="D126">
        <v>28</v>
      </c>
      <c r="E126" t="s">
        <v>210</v>
      </c>
      <c r="F126" t="s">
        <v>211</v>
      </c>
      <c r="G126" t="s">
        <v>212</v>
      </c>
      <c r="H126" t="s">
        <v>213</v>
      </c>
      <c r="I126" t="s">
        <v>214</v>
      </c>
      <c r="J126" t="s">
        <v>22</v>
      </c>
      <c r="K126" t="s">
        <v>23</v>
      </c>
      <c r="L126" t="s">
        <v>215</v>
      </c>
      <c r="M126">
        <v>91.68083191680833</v>
      </c>
      <c r="O126">
        <v>12.957290830711621</v>
      </c>
      <c r="Q126">
        <v>87.042709169288372</v>
      </c>
      <c r="S126">
        <v>28.645876804228571</v>
      </c>
      <c r="U126">
        <v>38.383941478958675</v>
      </c>
      <c r="W126">
        <v>55.078187757780853</v>
      </c>
    </row>
    <row r="127" spans="1:24" x14ac:dyDescent="0.35">
      <c r="A127">
        <v>125</v>
      </c>
      <c r="B127">
        <v>46048</v>
      </c>
      <c r="C127" t="s">
        <v>120</v>
      </c>
      <c r="D127">
        <v>28</v>
      </c>
      <c r="E127" t="s">
        <v>121</v>
      </c>
      <c r="F127" t="s">
        <v>122</v>
      </c>
      <c r="G127" t="s">
        <v>123</v>
      </c>
      <c r="H127" t="s">
        <v>124</v>
      </c>
      <c r="I127" t="s">
        <v>125</v>
      </c>
      <c r="J127" t="s">
        <v>108</v>
      </c>
      <c r="K127" t="s">
        <v>109</v>
      </c>
      <c r="L127" t="s">
        <v>110</v>
      </c>
      <c r="M127">
        <v>93.3</v>
      </c>
      <c r="N127">
        <v>93.55</v>
      </c>
      <c r="O127">
        <v>11.3</v>
      </c>
      <c r="P127">
        <v>11.4</v>
      </c>
      <c r="Q127">
        <v>88.7</v>
      </c>
      <c r="R127">
        <v>88.6</v>
      </c>
      <c r="S127">
        <v>0</v>
      </c>
      <c r="T127">
        <v>0</v>
      </c>
      <c r="U127">
        <v>0</v>
      </c>
      <c r="V127">
        <v>0</v>
      </c>
      <c r="W127">
        <v>76.099999999999994</v>
      </c>
      <c r="X127">
        <v>76.099999999999994</v>
      </c>
    </row>
    <row r="128" spans="1:24" x14ac:dyDescent="0.35">
      <c r="A128">
        <v>126</v>
      </c>
      <c r="B128">
        <v>46048</v>
      </c>
      <c r="C128" t="s">
        <v>120</v>
      </c>
      <c r="D128">
        <v>28</v>
      </c>
      <c r="E128" t="s">
        <v>121</v>
      </c>
      <c r="F128" t="s">
        <v>122</v>
      </c>
      <c r="G128" t="s">
        <v>123</v>
      </c>
      <c r="H128" t="s">
        <v>124</v>
      </c>
      <c r="I128" t="s">
        <v>125</v>
      </c>
      <c r="J128" t="s">
        <v>108</v>
      </c>
      <c r="K128" t="s">
        <v>109</v>
      </c>
      <c r="L128" t="s">
        <v>110</v>
      </c>
      <c r="M128">
        <v>93.8</v>
      </c>
      <c r="O128">
        <v>11.5</v>
      </c>
      <c r="Q128">
        <v>88.5</v>
      </c>
      <c r="S128">
        <v>0</v>
      </c>
      <c r="U128">
        <v>0</v>
      </c>
      <c r="W128">
        <v>76.099999999999994</v>
      </c>
    </row>
    <row r="129" spans="1:24" x14ac:dyDescent="0.35">
      <c r="A129">
        <v>127</v>
      </c>
      <c r="B129">
        <v>46048</v>
      </c>
      <c r="C129" t="s">
        <v>16</v>
      </c>
      <c r="D129">
        <v>28</v>
      </c>
      <c r="E129" t="s">
        <v>217</v>
      </c>
      <c r="F129" t="s">
        <v>218</v>
      </c>
      <c r="G129" t="s">
        <v>219</v>
      </c>
      <c r="H129" t="s">
        <v>220</v>
      </c>
      <c r="I129" t="s">
        <v>221</v>
      </c>
      <c r="J129" t="s">
        <v>22</v>
      </c>
      <c r="K129" t="s">
        <v>23</v>
      </c>
      <c r="L129" t="s">
        <v>215</v>
      </c>
      <c r="M129">
        <v>92</v>
      </c>
      <c r="N129">
        <v>91.428855744059177</v>
      </c>
      <c r="O129">
        <v>21.242894141132062</v>
      </c>
      <c r="P129">
        <v>10.75762617368197</v>
      </c>
      <c r="Q129">
        <v>78.757105858867931</v>
      </c>
      <c r="R129">
        <v>89.24237382631803</v>
      </c>
      <c r="S129">
        <v>26.957736093732475</v>
      </c>
      <c r="T129">
        <v>26.957736093732475</v>
      </c>
      <c r="U129">
        <v>25.378712784655448</v>
      </c>
      <c r="V129">
        <v>23.980459764400585</v>
      </c>
      <c r="W129">
        <v>41.7110852541459</v>
      </c>
      <c r="X129">
        <v>45.459692185237742</v>
      </c>
    </row>
    <row r="130" spans="1:24" x14ac:dyDescent="0.35">
      <c r="A130">
        <v>128</v>
      </c>
      <c r="B130">
        <v>46048</v>
      </c>
      <c r="C130" t="s">
        <v>16</v>
      </c>
      <c r="D130">
        <v>28</v>
      </c>
      <c r="E130" t="s">
        <v>217</v>
      </c>
      <c r="F130" t="s">
        <v>218</v>
      </c>
      <c r="G130" t="s">
        <v>219</v>
      </c>
      <c r="H130" t="s">
        <v>220</v>
      </c>
      <c r="I130" t="s">
        <v>221</v>
      </c>
      <c r="J130" t="s">
        <v>22</v>
      </c>
      <c r="K130" t="s">
        <v>23</v>
      </c>
      <c r="L130" t="s">
        <v>215</v>
      </c>
      <c r="M130">
        <v>91.873250699720145</v>
      </c>
      <c r="O130">
        <v>19.288185497111172</v>
      </c>
      <c r="Q130">
        <v>80.711814502888828</v>
      </c>
      <c r="S130">
        <v>26.957736093732475</v>
      </c>
      <c r="U130">
        <v>25.170442267816401</v>
      </c>
      <c r="W130">
        <v>42.685386521264235</v>
      </c>
    </row>
    <row r="131" spans="1:24" x14ac:dyDescent="0.35">
      <c r="A131">
        <v>129</v>
      </c>
      <c r="B131">
        <v>46048</v>
      </c>
      <c r="C131" t="s">
        <v>16</v>
      </c>
      <c r="D131">
        <v>28</v>
      </c>
      <c r="E131" t="s">
        <v>222</v>
      </c>
      <c r="F131" t="s">
        <v>223</v>
      </c>
      <c r="G131" t="s">
        <v>219</v>
      </c>
      <c r="H131" t="s">
        <v>220</v>
      </c>
      <c r="I131" t="s">
        <v>221</v>
      </c>
      <c r="J131" t="s">
        <v>22</v>
      </c>
      <c r="K131" t="s">
        <v>23</v>
      </c>
      <c r="L131" t="s">
        <v>215</v>
      </c>
      <c r="M131">
        <v>91.403438624550233</v>
      </c>
      <c r="N131">
        <v>91.083128201945883</v>
      </c>
      <c r="O131">
        <v>10.769096359394812</v>
      </c>
      <c r="P131">
        <v>13.685998773265922</v>
      </c>
      <c r="Q131">
        <v>89.230903640605192</v>
      </c>
      <c r="R131">
        <v>86.314001226734078</v>
      </c>
      <c r="S131">
        <v>26.837377821064617</v>
      </c>
      <c r="T131">
        <v>26.837377821064617</v>
      </c>
      <c r="U131">
        <v>24.613924161721449</v>
      </c>
      <c r="V131">
        <v>26.525040040434263</v>
      </c>
      <c r="W131">
        <v>46.382980149383343</v>
      </c>
      <c r="X131">
        <v>45.608014352332241</v>
      </c>
    </row>
    <row r="132" spans="1:24" x14ac:dyDescent="0.35">
      <c r="A132">
        <v>130</v>
      </c>
      <c r="B132">
        <v>46048</v>
      </c>
      <c r="C132" t="s">
        <v>16</v>
      </c>
      <c r="D132">
        <v>28</v>
      </c>
      <c r="E132" t="s">
        <v>222</v>
      </c>
      <c r="F132" t="s">
        <v>223</v>
      </c>
      <c r="G132" t="s">
        <v>219</v>
      </c>
      <c r="H132" t="s">
        <v>220</v>
      </c>
      <c r="I132" t="s">
        <v>221</v>
      </c>
      <c r="J132" t="s">
        <v>22</v>
      </c>
      <c r="K132" t="s">
        <v>23</v>
      </c>
      <c r="L132" t="s">
        <v>215</v>
      </c>
      <c r="M132">
        <v>91.454272863568136</v>
      </c>
      <c r="O132">
        <v>10.746155987969127</v>
      </c>
      <c r="Q132">
        <v>89.253844012030868</v>
      </c>
      <c r="S132">
        <v>26.837377821064617</v>
      </c>
      <c r="U132">
        <v>23.346995367079721</v>
      </c>
      <c r="W132">
        <v>44.536404221092134</v>
      </c>
    </row>
    <row r="133" spans="1:24" x14ac:dyDescent="0.35">
      <c r="A133">
        <v>131</v>
      </c>
      <c r="B133">
        <v>46048</v>
      </c>
      <c r="C133" t="s">
        <v>16</v>
      </c>
      <c r="D133">
        <v>28</v>
      </c>
      <c r="E133" t="s">
        <v>224</v>
      </c>
      <c r="F133" t="s">
        <v>225</v>
      </c>
      <c r="G133" t="s">
        <v>226</v>
      </c>
      <c r="H133" t="s">
        <v>227</v>
      </c>
      <c r="I133" t="s">
        <v>228</v>
      </c>
      <c r="J133" t="s">
        <v>22</v>
      </c>
      <c r="K133" t="s">
        <v>23</v>
      </c>
      <c r="L133" t="s">
        <v>215</v>
      </c>
      <c r="M133">
        <v>91.034482758620797</v>
      </c>
      <c r="N133">
        <v>92.997811590989883</v>
      </c>
      <c r="O133">
        <v>13.694921732139564</v>
      </c>
      <c r="P133">
        <v>12.887604777369589</v>
      </c>
      <c r="Q133">
        <v>86.305078267860438</v>
      </c>
      <c r="R133">
        <v>87.112395222630411</v>
      </c>
      <c r="S133">
        <v>23.684026559220481</v>
      </c>
      <c r="T133">
        <v>23.684026559220481</v>
      </c>
      <c r="U133">
        <v>26.727252261387918</v>
      </c>
      <c r="V133">
        <v>30.285187611689931</v>
      </c>
      <c r="W133">
        <v>45.87051566740368</v>
      </c>
      <c r="X133">
        <v>51.437989503841834</v>
      </c>
    </row>
    <row r="134" spans="1:24" x14ac:dyDescent="0.35">
      <c r="A134">
        <v>132</v>
      </c>
      <c r="B134">
        <v>46048</v>
      </c>
      <c r="C134" t="s">
        <v>16</v>
      </c>
      <c r="D134">
        <v>28</v>
      </c>
      <c r="E134" t="s">
        <v>224</v>
      </c>
      <c r="F134" t="s">
        <v>225</v>
      </c>
      <c r="G134" t="s">
        <v>226</v>
      </c>
      <c r="H134" t="s">
        <v>227</v>
      </c>
      <c r="I134" t="s">
        <v>228</v>
      </c>
      <c r="J134" t="s">
        <v>22</v>
      </c>
      <c r="K134" t="s">
        <v>23</v>
      </c>
      <c r="L134" t="s">
        <v>215</v>
      </c>
      <c r="M134">
        <v>91.131773645270968</v>
      </c>
      <c r="O134">
        <v>13.677075814392282</v>
      </c>
      <c r="Q134">
        <v>86.322924185607718</v>
      </c>
      <c r="S134">
        <v>23.684026559220481</v>
      </c>
      <c r="U134">
        <v>26.322827819480604</v>
      </c>
      <c r="W134">
        <v>45.345513037260801</v>
      </c>
    </row>
    <row r="135" spans="1:24" x14ac:dyDescent="0.35">
      <c r="A135">
        <v>133</v>
      </c>
      <c r="B135">
        <v>46048</v>
      </c>
      <c r="C135" t="s">
        <v>16</v>
      </c>
      <c r="D135">
        <v>28</v>
      </c>
      <c r="E135" t="s">
        <v>229</v>
      </c>
      <c r="F135" t="s">
        <v>230</v>
      </c>
      <c r="G135" t="s">
        <v>226</v>
      </c>
      <c r="H135" t="s">
        <v>231</v>
      </c>
      <c r="I135" t="s">
        <v>232</v>
      </c>
      <c r="J135" t="s">
        <v>22</v>
      </c>
      <c r="K135" t="s">
        <v>23</v>
      </c>
      <c r="L135" t="s">
        <v>215</v>
      </c>
      <c r="M135">
        <v>92.944233459924106</v>
      </c>
      <c r="N135">
        <v>88.84780354431571</v>
      </c>
      <c r="O135">
        <v>12.971017420976787</v>
      </c>
      <c r="P135">
        <v>8.4449292312171735</v>
      </c>
      <c r="Q135">
        <v>87.028982579023207</v>
      </c>
      <c r="R135">
        <v>91.555070768782826</v>
      </c>
      <c r="S135">
        <v>21.857304649704218</v>
      </c>
      <c r="T135">
        <v>21.857304649704218</v>
      </c>
      <c r="U135">
        <v>29.990838788280033</v>
      </c>
      <c r="V135">
        <v>24.85387739056619</v>
      </c>
      <c r="W135">
        <v>51.01815447150522</v>
      </c>
      <c r="X135">
        <v>51.081849000911362</v>
      </c>
    </row>
    <row r="136" spans="1:24" x14ac:dyDescent="0.35">
      <c r="A136">
        <v>134</v>
      </c>
      <c r="B136">
        <v>46048</v>
      </c>
      <c r="C136" t="s">
        <v>16</v>
      </c>
      <c r="D136">
        <v>28</v>
      </c>
      <c r="E136" t="s">
        <v>229</v>
      </c>
      <c r="F136" t="s">
        <v>230</v>
      </c>
      <c r="G136" t="s">
        <v>226</v>
      </c>
      <c r="H136" t="s">
        <v>231</v>
      </c>
      <c r="I136" t="s">
        <v>232</v>
      </c>
      <c r="J136" t="s">
        <v>22</v>
      </c>
      <c r="K136" t="s">
        <v>23</v>
      </c>
      <c r="L136" t="s">
        <v>215</v>
      </c>
      <c r="M136">
        <v>93.05138972205566</v>
      </c>
      <c r="O136">
        <v>12.804192133762388</v>
      </c>
      <c r="Q136">
        <v>87.195807866237615</v>
      </c>
      <c r="S136">
        <v>21.857304649704218</v>
      </c>
      <c r="U136">
        <v>30.579536435099829</v>
      </c>
      <c r="W136">
        <v>51.857824536178455</v>
      </c>
    </row>
    <row r="137" spans="1:24" x14ac:dyDescent="0.35">
      <c r="A137">
        <v>135</v>
      </c>
      <c r="B137">
        <v>46048</v>
      </c>
      <c r="C137" t="s">
        <v>16</v>
      </c>
      <c r="D137">
        <v>28</v>
      </c>
      <c r="E137" t="s">
        <v>233</v>
      </c>
      <c r="F137" t="s">
        <v>234</v>
      </c>
      <c r="G137" t="s">
        <v>235</v>
      </c>
      <c r="H137" t="s">
        <v>236</v>
      </c>
      <c r="I137" t="s">
        <v>237</v>
      </c>
      <c r="J137" t="s">
        <v>22</v>
      </c>
      <c r="K137" t="s">
        <v>23</v>
      </c>
      <c r="L137" t="s">
        <v>215</v>
      </c>
      <c r="M137">
        <v>88.951104889511029</v>
      </c>
      <c r="N137">
        <v>91.972812334084935</v>
      </c>
      <c r="O137">
        <v>8.519336183608802</v>
      </c>
      <c r="P137">
        <v>9.3310251362757555</v>
      </c>
      <c r="Q137">
        <v>91.4806638163912</v>
      </c>
      <c r="R137">
        <v>90.668974863724245</v>
      </c>
      <c r="S137">
        <v>14.788570035286847</v>
      </c>
      <c r="T137">
        <v>14.788570035286847</v>
      </c>
      <c r="U137">
        <v>24.832265368222433</v>
      </c>
      <c r="V137">
        <v>37.915377668858667</v>
      </c>
      <c r="W137">
        <v>49.440779501680751</v>
      </c>
      <c r="X137">
        <v>57.181381447253358</v>
      </c>
    </row>
    <row r="138" spans="1:24" x14ac:dyDescent="0.35">
      <c r="A138">
        <v>136</v>
      </c>
      <c r="B138">
        <v>46048</v>
      </c>
      <c r="C138" t="s">
        <v>16</v>
      </c>
      <c r="D138">
        <v>28</v>
      </c>
      <c r="E138" t="s">
        <v>233</v>
      </c>
      <c r="F138" t="s">
        <v>234</v>
      </c>
      <c r="G138" t="s">
        <v>235</v>
      </c>
      <c r="H138" t="s">
        <v>236</v>
      </c>
      <c r="I138" t="s">
        <v>237</v>
      </c>
      <c r="J138" t="s">
        <v>22</v>
      </c>
      <c r="K138" t="s">
        <v>23</v>
      </c>
      <c r="L138" t="s">
        <v>215</v>
      </c>
      <c r="M138">
        <v>88.74450219912039</v>
      </c>
      <c r="O138">
        <v>8.3705222788255451</v>
      </c>
      <c r="Q138">
        <v>91.629477721174453</v>
      </c>
      <c r="S138">
        <v>14.788570035286847</v>
      </c>
      <c r="U138">
        <v>24.875489412909943</v>
      </c>
      <c r="W138">
        <v>52.722918500141979</v>
      </c>
    </row>
    <row r="139" spans="1:24" x14ac:dyDescent="0.35">
      <c r="A139">
        <v>137</v>
      </c>
      <c r="B139">
        <v>46048</v>
      </c>
      <c r="C139" t="s">
        <v>16</v>
      </c>
      <c r="D139">
        <v>28</v>
      </c>
      <c r="E139" t="s">
        <v>238</v>
      </c>
      <c r="F139" t="s">
        <v>239</v>
      </c>
      <c r="G139" t="s">
        <v>240</v>
      </c>
      <c r="H139" t="s">
        <v>241</v>
      </c>
      <c r="I139" t="s">
        <v>242</v>
      </c>
      <c r="J139" t="s">
        <v>22</v>
      </c>
      <c r="K139" t="s">
        <v>23</v>
      </c>
      <c r="L139" t="s">
        <v>215</v>
      </c>
      <c r="M139">
        <v>91.954022988505741</v>
      </c>
      <c r="N139">
        <v>91.013158687602811</v>
      </c>
      <c r="O139">
        <v>9.2589776400472807</v>
      </c>
      <c r="P139">
        <v>9.4513435062118116</v>
      </c>
      <c r="Q139">
        <v>90.741022359952723</v>
      </c>
      <c r="R139">
        <v>90.548656493788187</v>
      </c>
      <c r="S139">
        <v>18.709963746160142</v>
      </c>
      <c r="T139">
        <v>18.709963746160142</v>
      </c>
      <c r="U139">
        <v>37.039597242954855</v>
      </c>
      <c r="V139">
        <v>38.392498362794498</v>
      </c>
      <c r="W139">
        <v>56.497959794318767</v>
      </c>
      <c r="X139">
        <v>60.090273856915317</v>
      </c>
    </row>
    <row r="140" spans="1:24" x14ac:dyDescent="0.35">
      <c r="A140">
        <v>138</v>
      </c>
      <c r="B140">
        <v>46048</v>
      </c>
      <c r="C140" t="s">
        <v>16</v>
      </c>
      <c r="D140">
        <v>28</v>
      </c>
      <c r="E140" t="s">
        <v>238</v>
      </c>
      <c r="F140" t="s">
        <v>239</v>
      </c>
      <c r="G140" t="s">
        <v>240</v>
      </c>
      <c r="H140" t="s">
        <v>241</v>
      </c>
      <c r="I140" t="s">
        <v>242</v>
      </c>
      <c r="J140" t="s">
        <v>22</v>
      </c>
      <c r="K140" t="s">
        <v>23</v>
      </c>
      <c r="L140" t="s">
        <v>215</v>
      </c>
      <c r="M140">
        <v>91.991601679664129</v>
      </c>
      <c r="O140">
        <v>9.4030726325042302</v>
      </c>
      <c r="Q140">
        <v>90.596927367495766</v>
      </c>
      <c r="S140">
        <v>18.709963746160142</v>
      </c>
      <c r="U140">
        <v>38.791158094762487</v>
      </c>
      <c r="W140">
        <v>57.864803100187956</v>
      </c>
    </row>
    <row r="141" spans="1:24" x14ac:dyDescent="0.35">
      <c r="A141">
        <v>139</v>
      </c>
      <c r="B141">
        <v>46048</v>
      </c>
      <c r="C141" t="s">
        <v>16</v>
      </c>
      <c r="D141">
        <v>28</v>
      </c>
      <c r="E141" t="s">
        <v>243</v>
      </c>
      <c r="F141" t="s">
        <v>244</v>
      </c>
      <c r="G141" t="s">
        <v>240</v>
      </c>
      <c r="H141" t="s">
        <v>245</v>
      </c>
      <c r="I141" t="s">
        <v>246</v>
      </c>
      <c r="J141" t="s">
        <v>22</v>
      </c>
      <c r="K141" t="s">
        <v>23</v>
      </c>
      <c r="L141" t="s">
        <v>215</v>
      </c>
      <c r="M141">
        <v>90.92453773113435</v>
      </c>
      <c r="N141">
        <v>92.303090451268133</v>
      </c>
      <c r="O141">
        <v>9.620171758853802</v>
      </c>
      <c r="P141">
        <v>14.760743763075807</v>
      </c>
      <c r="Q141">
        <v>90.3798282411462</v>
      </c>
      <c r="R141">
        <v>85.239256236924192</v>
      </c>
      <c r="S141">
        <v>17.543140012820359</v>
      </c>
      <c r="T141">
        <v>17.543140012820359</v>
      </c>
      <c r="U141">
        <v>38.196099923294611</v>
      </c>
      <c r="V141">
        <v>33.571615987359522</v>
      </c>
      <c r="W141">
        <v>60.485392020994745</v>
      </c>
      <c r="X141">
        <v>51.707476989417202</v>
      </c>
    </row>
    <row r="142" spans="1:24" x14ac:dyDescent="0.35">
      <c r="A142">
        <v>140</v>
      </c>
      <c r="B142">
        <v>46048</v>
      </c>
      <c r="C142" t="s">
        <v>16</v>
      </c>
      <c r="D142">
        <v>28</v>
      </c>
      <c r="E142" t="s">
        <v>243</v>
      </c>
      <c r="F142" t="s">
        <v>244</v>
      </c>
      <c r="G142" t="s">
        <v>240</v>
      </c>
      <c r="H142" t="s">
        <v>245</v>
      </c>
      <c r="I142" t="s">
        <v>246</v>
      </c>
      <c r="J142" t="s">
        <v>22</v>
      </c>
      <c r="K142" t="s">
        <v>23</v>
      </c>
      <c r="L142" t="s">
        <v>215</v>
      </c>
      <c r="M142">
        <v>91.101779644071286</v>
      </c>
      <c r="O142">
        <v>9.2825152535698212</v>
      </c>
      <c r="Q142">
        <v>90.717484746430173</v>
      </c>
      <c r="S142">
        <v>17.543140012820359</v>
      </c>
      <c r="U142">
        <v>38.588896802294379</v>
      </c>
      <c r="W142">
        <v>59.69515569283589</v>
      </c>
    </row>
    <row r="143" spans="1:24" x14ac:dyDescent="0.35">
      <c r="A143">
        <v>141</v>
      </c>
      <c r="B143">
        <v>46048</v>
      </c>
      <c r="C143" t="s">
        <v>16</v>
      </c>
      <c r="D143">
        <v>28</v>
      </c>
      <c r="E143" t="s">
        <v>247</v>
      </c>
      <c r="F143" t="s">
        <v>248</v>
      </c>
      <c r="G143" t="s">
        <v>226</v>
      </c>
      <c r="H143" t="s">
        <v>227</v>
      </c>
      <c r="I143" t="s">
        <v>228</v>
      </c>
      <c r="J143" t="s">
        <v>22</v>
      </c>
      <c r="K143" t="s">
        <v>23</v>
      </c>
      <c r="L143" t="s">
        <v>215</v>
      </c>
      <c r="M143">
        <v>92.244653208075164</v>
      </c>
      <c r="N143">
        <v>90.940899820036037</v>
      </c>
      <c r="O143">
        <v>14.367929296297117</v>
      </c>
      <c r="P143">
        <v>11.819691947658916</v>
      </c>
      <c r="Q143">
        <v>85.63207070370288</v>
      </c>
      <c r="R143">
        <v>88.180308052341076</v>
      </c>
      <c r="S143">
        <v>20.831379821909206</v>
      </c>
      <c r="T143">
        <v>20.831379821909206</v>
      </c>
      <c r="U143">
        <v>32.401008699467063</v>
      </c>
      <c r="V143">
        <v>27.986659986596848</v>
      </c>
      <c r="W143">
        <v>50.509975688979011</v>
      </c>
      <c r="X143">
        <v>49.144743408590912</v>
      </c>
    </row>
    <row r="144" spans="1:24" x14ac:dyDescent="0.35">
      <c r="A144">
        <v>142</v>
      </c>
      <c r="B144">
        <v>46048</v>
      </c>
      <c r="C144" t="s">
        <v>16</v>
      </c>
      <c r="D144">
        <v>28</v>
      </c>
      <c r="E144" t="s">
        <v>247</v>
      </c>
      <c r="F144" t="s">
        <v>248</v>
      </c>
      <c r="G144" t="s">
        <v>226</v>
      </c>
      <c r="H144" t="s">
        <v>227</v>
      </c>
      <c r="I144" t="s">
        <v>228</v>
      </c>
      <c r="J144" t="s">
        <v>22</v>
      </c>
      <c r="K144" t="s">
        <v>23</v>
      </c>
      <c r="L144" t="s">
        <v>215</v>
      </c>
      <c r="M144">
        <v>92.361527694461103</v>
      </c>
      <c r="O144">
        <v>15.153558229854497</v>
      </c>
      <c r="Q144">
        <v>84.846441770145503</v>
      </c>
      <c r="S144">
        <v>20.831379821909206</v>
      </c>
      <c r="U144">
        <v>34.742223275251973</v>
      </c>
      <c r="W144">
        <v>52.904978289855386</v>
      </c>
    </row>
    <row r="145" spans="1:24" x14ac:dyDescent="0.35">
      <c r="A145">
        <v>143</v>
      </c>
      <c r="B145">
        <v>46048</v>
      </c>
      <c r="C145" t="s">
        <v>16</v>
      </c>
      <c r="D145">
        <v>28</v>
      </c>
      <c r="E145" t="s">
        <v>249</v>
      </c>
      <c r="F145" t="s">
        <v>250</v>
      </c>
      <c r="G145" t="s">
        <v>219</v>
      </c>
      <c r="H145" t="s">
        <v>220</v>
      </c>
      <c r="I145" t="s">
        <v>221</v>
      </c>
      <c r="J145" t="s">
        <v>22</v>
      </c>
      <c r="K145" t="s">
        <v>23</v>
      </c>
      <c r="L145" t="s">
        <v>215</v>
      </c>
      <c r="M145">
        <v>90.879999999999939</v>
      </c>
      <c r="N145">
        <v>92.056984484338841</v>
      </c>
      <c r="O145">
        <v>11.919829275333054</v>
      </c>
      <c r="P145">
        <v>11.967859120708429</v>
      </c>
      <c r="Q145">
        <v>88.080170724666942</v>
      </c>
      <c r="R145">
        <v>88.032140879291575</v>
      </c>
      <c r="S145">
        <v>19.795833763339559</v>
      </c>
      <c r="T145">
        <v>19.482004753296192</v>
      </c>
      <c r="U145">
        <v>28.073702293807472</v>
      </c>
      <c r="V145">
        <v>24.331266928502892</v>
      </c>
      <c r="W145">
        <v>48.460377156574459</v>
      </c>
      <c r="X145">
        <v>48.316443559511612</v>
      </c>
    </row>
    <row r="146" spans="1:24" x14ac:dyDescent="0.35">
      <c r="A146">
        <v>144</v>
      </c>
      <c r="B146">
        <v>46048</v>
      </c>
      <c r="C146" t="s">
        <v>16</v>
      </c>
      <c r="D146">
        <v>28</v>
      </c>
      <c r="E146" t="s">
        <v>249</v>
      </c>
      <c r="F146" t="s">
        <v>250</v>
      </c>
      <c r="G146" t="s">
        <v>219</v>
      </c>
      <c r="H146" t="s">
        <v>220</v>
      </c>
      <c r="I146" t="s">
        <v>221</v>
      </c>
      <c r="J146" t="s">
        <v>22</v>
      </c>
      <c r="K146" t="s">
        <v>23</v>
      </c>
      <c r="L146" t="s">
        <v>215</v>
      </c>
      <c r="M146">
        <v>91.001799640072136</v>
      </c>
      <c r="O146">
        <v>11.719554619984777</v>
      </c>
      <c r="Q146">
        <v>88.280445380015223</v>
      </c>
      <c r="S146">
        <v>19.168175743252824</v>
      </c>
      <c r="U146">
        <v>27.899617679386228</v>
      </c>
      <c r="W146">
        <v>49.829109660607358</v>
      </c>
    </row>
    <row r="147" spans="1:24" x14ac:dyDescent="0.35">
      <c r="A147">
        <v>145</v>
      </c>
      <c r="B147">
        <v>46048</v>
      </c>
      <c r="C147" t="s">
        <v>16</v>
      </c>
      <c r="D147">
        <v>28</v>
      </c>
      <c r="E147" t="s">
        <v>251</v>
      </c>
      <c r="F147" t="s">
        <v>252</v>
      </c>
      <c r="G147" t="s">
        <v>219</v>
      </c>
      <c r="H147" t="s">
        <v>253</v>
      </c>
      <c r="I147" t="s">
        <v>254</v>
      </c>
      <c r="J147" t="s">
        <v>22</v>
      </c>
      <c r="K147" t="s">
        <v>23</v>
      </c>
      <c r="L147" t="s">
        <v>215</v>
      </c>
      <c r="M147">
        <v>92.0315936812638</v>
      </c>
      <c r="N147">
        <v>92.22311644007398</v>
      </c>
      <c r="O147">
        <v>12.06619846015148</v>
      </c>
      <c r="P147">
        <v>12.063732667268386</v>
      </c>
      <c r="Q147">
        <v>87.933801539848517</v>
      </c>
      <c r="R147">
        <v>87.936267332731617</v>
      </c>
      <c r="S147">
        <v>18.936281801589576</v>
      </c>
      <c r="T147">
        <v>18.936281801589576</v>
      </c>
      <c r="U147">
        <v>24.100880154676435</v>
      </c>
      <c r="V147">
        <v>28.020445886907702</v>
      </c>
      <c r="W147">
        <v>48.021707936521743</v>
      </c>
      <c r="X147">
        <v>49.629956750895957</v>
      </c>
    </row>
    <row r="148" spans="1:24" x14ac:dyDescent="0.35">
      <c r="A148">
        <v>146</v>
      </c>
      <c r="B148">
        <v>46048</v>
      </c>
      <c r="C148" t="s">
        <v>16</v>
      </c>
      <c r="D148">
        <v>28</v>
      </c>
      <c r="E148" t="s">
        <v>251</v>
      </c>
      <c r="F148" t="s">
        <v>252</v>
      </c>
      <c r="G148" t="s">
        <v>219</v>
      </c>
      <c r="H148" t="s">
        <v>253</v>
      </c>
      <c r="I148" t="s">
        <v>254</v>
      </c>
      <c r="J148" t="s">
        <v>22</v>
      </c>
      <c r="K148" t="s">
        <v>23</v>
      </c>
      <c r="L148" t="s">
        <v>215</v>
      </c>
      <c r="M148">
        <v>92.082375287413882</v>
      </c>
      <c r="O148">
        <v>11.869519781265376</v>
      </c>
      <c r="Q148">
        <v>88.130480218734618</v>
      </c>
      <c r="S148">
        <v>18.936281801589576</v>
      </c>
      <c r="U148">
        <v>24.561653702329348</v>
      </c>
      <c r="W148">
        <v>48.611179182501481</v>
      </c>
    </row>
    <row r="149" spans="1:24" x14ac:dyDescent="0.35">
      <c r="A149">
        <v>147</v>
      </c>
      <c r="B149">
        <v>46048</v>
      </c>
      <c r="C149" t="s">
        <v>16</v>
      </c>
      <c r="D149">
        <v>28</v>
      </c>
      <c r="E149" t="s">
        <v>255</v>
      </c>
      <c r="F149" t="s">
        <v>256</v>
      </c>
      <c r="G149" t="s">
        <v>219</v>
      </c>
      <c r="H149" t="s">
        <v>253</v>
      </c>
      <c r="I149" t="s">
        <v>254</v>
      </c>
      <c r="J149" t="s">
        <v>22</v>
      </c>
      <c r="K149" t="s">
        <v>23</v>
      </c>
      <c r="L149" t="s">
        <v>215</v>
      </c>
      <c r="M149">
        <v>92.251549690062063</v>
      </c>
      <c r="N149">
        <v>91.40629561131658</v>
      </c>
      <c r="O149">
        <v>12.06614444908911</v>
      </c>
      <c r="P149">
        <v>5.7482120859845942</v>
      </c>
      <c r="Q149">
        <v>87.933855550910891</v>
      </c>
      <c r="R149">
        <v>94.251787914015409</v>
      </c>
      <c r="S149">
        <v>25.084380889854529</v>
      </c>
      <c r="T149">
        <v>25.084380889854529</v>
      </c>
      <c r="U149">
        <v>28.169096793048322</v>
      </c>
      <c r="V149">
        <v>36.536739109847815</v>
      </c>
      <c r="W149">
        <v>51.303127441771601</v>
      </c>
      <c r="X149">
        <v>57.453768903661569</v>
      </c>
    </row>
    <row r="150" spans="1:24" x14ac:dyDescent="0.35">
      <c r="A150">
        <v>148</v>
      </c>
      <c r="B150">
        <v>46048</v>
      </c>
      <c r="C150" t="s">
        <v>16</v>
      </c>
      <c r="D150">
        <v>28</v>
      </c>
      <c r="E150" t="s">
        <v>255</v>
      </c>
      <c r="F150" t="s">
        <v>256</v>
      </c>
      <c r="G150" t="s">
        <v>219</v>
      </c>
      <c r="H150" t="s">
        <v>253</v>
      </c>
      <c r="I150" t="s">
        <v>254</v>
      </c>
      <c r="J150" t="s">
        <v>22</v>
      </c>
      <c r="K150" t="s">
        <v>23</v>
      </c>
      <c r="L150" t="s">
        <v>215</v>
      </c>
      <c r="M150">
        <v>92.194683190085897</v>
      </c>
      <c r="O150">
        <v>12.06132088544766</v>
      </c>
      <c r="Q150">
        <v>87.938679114552343</v>
      </c>
      <c r="S150">
        <v>25.084380889854529</v>
      </c>
      <c r="U150">
        <v>27.871794980767078</v>
      </c>
      <c r="W150">
        <v>47.956786060020306</v>
      </c>
    </row>
    <row r="151" spans="1:24" x14ac:dyDescent="0.35">
      <c r="A151">
        <v>149</v>
      </c>
      <c r="B151">
        <v>46048</v>
      </c>
      <c r="C151" t="s">
        <v>16</v>
      </c>
      <c r="D151">
        <v>28</v>
      </c>
      <c r="E151" t="s">
        <v>257</v>
      </c>
      <c r="F151" t="s">
        <v>258</v>
      </c>
      <c r="G151" t="s">
        <v>259</v>
      </c>
      <c r="H151" t="s">
        <v>260</v>
      </c>
      <c r="I151" t="s">
        <v>261</v>
      </c>
      <c r="J151" t="s">
        <v>22</v>
      </c>
      <c r="K151" t="s">
        <v>23</v>
      </c>
      <c r="L151" t="s">
        <v>215</v>
      </c>
      <c r="M151">
        <v>91.449999999999946</v>
      </c>
      <c r="N151">
        <v>90.756850037279605</v>
      </c>
      <c r="O151">
        <v>5.8639286978570384</v>
      </c>
      <c r="P151">
        <v>8.3227821066313989</v>
      </c>
      <c r="Q151">
        <v>94.136071302142966</v>
      </c>
      <c r="R151">
        <v>91.677217893368606</v>
      </c>
      <c r="S151">
        <v>18.559443730372223</v>
      </c>
      <c r="T151">
        <v>18.559443730372223</v>
      </c>
      <c r="U151">
        <v>37.055952980039585</v>
      </c>
      <c r="V151">
        <v>29.573516803055071</v>
      </c>
      <c r="W151">
        <v>58.07161357174737</v>
      </c>
      <c r="X151">
        <v>53.568952195974695</v>
      </c>
    </row>
    <row r="152" spans="1:24" x14ac:dyDescent="0.35">
      <c r="A152">
        <v>150</v>
      </c>
      <c r="B152">
        <v>46048</v>
      </c>
      <c r="C152" t="s">
        <v>16</v>
      </c>
      <c r="D152">
        <v>28</v>
      </c>
      <c r="E152" t="s">
        <v>257</v>
      </c>
      <c r="F152" t="s">
        <v>258</v>
      </c>
      <c r="G152" t="s">
        <v>259</v>
      </c>
      <c r="H152" t="s">
        <v>260</v>
      </c>
      <c r="I152" t="s">
        <v>261</v>
      </c>
      <c r="J152" t="s">
        <v>22</v>
      </c>
      <c r="K152" t="s">
        <v>23</v>
      </c>
      <c r="L152" t="s">
        <v>215</v>
      </c>
      <c r="M152">
        <v>91.362591222633199</v>
      </c>
      <c r="O152">
        <v>5.6324954741121509</v>
      </c>
      <c r="Q152">
        <v>94.367504525887853</v>
      </c>
      <c r="S152">
        <v>18.559443730372223</v>
      </c>
      <c r="U152">
        <v>36.017525239656038</v>
      </c>
      <c r="W152">
        <v>56.835924235575774</v>
      </c>
    </row>
    <row r="153" spans="1:24" x14ac:dyDescent="0.35">
      <c r="A153">
        <v>151</v>
      </c>
      <c r="B153">
        <v>46048</v>
      </c>
      <c r="C153" t="s">
        <v>16</v>
      </c>
      <c r="D153">
        <v>28</v>
      </c>
      <c r="E153" t="s">
        <v>262</v>
      </c>
      <c r="F153" t="s">
        <v>263</v>
      </c>
      <c r="G153" t="s">
        <v>264</v>
      </c>
      <c r="H153" t="s">
        <v>265</v>
      </c>
      <c r="I153" t="s">
        <v>266</v>
      </c>
      <c r="J153" t="s">
        <v>22</v>
      </c>
      <c r="K153" t="s">
        <v>23</v>
      </c>
      <c r="L153" t="s">
        <v>215</v>
      </c>
      <c r="M153">
        <v>90.742777166849962</v>
      </c>
      <c r="N153">
        <v>91.313910044456179</v>
      </c>
      <c r="O153">
        <v>8.2613606264626611</v>
      </c>
      <c r="P153">
        <v>8.9321844106076647</v>
      </c>
      <c r="Q153">
        <v>91.738639373537339</v>
      </c>
      <c r="R153">
        <v>91.067815589392325</v>
      </c>
      <c r="S153">
        <v>21.70179374941814</v>
      </c>
      <c r="T153">
        <v>21.70179374941814</v>
      </c>
      <c r="U153">
        <v>29.581258475242024</v>
      </c>
      <c r="V153">
        <v>30.015327904223529</v>
      </c>
      <c r="W153">
        <v>53.011804370416748</v>
      </c>
      <c r="X153">
        <v>54.878367369837591</v>
      </c>
    </row>
    <row r="154" spans="1:24" x14ac:dyDescent="0.35">
      <c r="A154">
        <v>152</v>
      </c>
      <c r="B154">
        <v>46048</v>
      </c>
      <c r="C154" t="s">
        <v>16</v>
      </c>
      <c r="D154">
        <v>28</v>
      </c>
      <c r="E154" t="s">
        <v>262</v>
      </c>
      <c r="F154" t="s">
        <v>263</v>
      </c>
      <c r="G154" t="s">
        <v>264</v>
      </c>
      <c r="H154" t="s">
        <v>265</v>
      </c>
      <c r="I154" t="s">
        <v>266</v>
      </c>
      <c r="J154" t="s">
        <v>22</v>
      </c>
      <c r="K154" t="s">
        <v>23</v>
      </c>
      <c r="L154" t="s">
        <v>215</v>
      </c>
      <c r="M154">
        <v>90.770922907709235</v>
      </c>
      <c r="O154">
        <v>8.3842035868001368</v>
      </c>
      <c r="Q154">
        <v>91.61579641319986</v>
      </c>
      <c r="S154">
        <v>21.70179374941814</v>
      </c>
      <c r="U154">
        <v>29.565775130868122</v>
      </c>
      <c r="W154">
        <v>54.126100021532643</v>
      </c>
    </row>
    <row r="155" spans="1:24" x14ac:dyDescent="0.35">
      <c r="A155">
        <v>153</v>
      </c>
      <c r="B155">
        <v>46048</v>
      </c>
      <c r="C155" t="s">
        <v>16</v>
      </c>
      <c r="D155">
        <v>28</v>
      </c>
      <c r="E155" t="s">
        <v>267</v>
      </c>
      <c r="F155" t="s">
        <v>268</v>
      </c>
      <c r="G155" t="s">
        <v>269</v>
      </c>
      <c r="H155" t="s">
        <v>270</v>
      </c>
      <c r="I155" t="s">
        <v>271</v>
      </c>
      <c r="J155" t="s">
        <v>22</v>
      </c>
      <c r="K155" t="s">
        <v>23</v>
      </c>
      <c r="L155" t="s">
        <v>215</v>
      </c>
      <c r="M155">
        <v>91.322603219034207</v>
      </c>
      <c r="N155">
        <v>91.313910044456179</v>
      </c>
      <c r="O155">
        <v>8.911631019215335</v>
      </c>
      <c r="P155">
        <v>8.9321844106076647</v>
      </c>
      <c r="Q155">
        <v>91.088368980784665</v>
      </c>
      <c r="R155">
        <v>91.067815589392325</v>
      </c>
      <c r="S155">
        <v>21.183406489283914</v>
      </c>
      <c r="T155">
        <v>21.183406489283914</v>
      </c>
      <c r="U155">
        <v>31.01340150567945</v>
      </c>
      <c r="V155">
        <v>30.015327904223529</v>
      </c>
      <c r="W155">
        <v>56.562950913824004</v>
      </c>
      <c r="X155">
        <v>54.878367369837591</v>
      </c>
    </row>
    <row r="156" spans="1:24" x14ac:dyDescent="0.35">
      <c r="A156">
        <v>154</v>
      </c>
      <c r="B156">
        <v>46048</v>
      </c>
      <c r="C156" t="s">
        <v>16</v>
      </c>
      <c r="D156">
        <v>28</v>
      </c>
      <c r="E156" t="s">
        <v>267</v>
      </c>
      <c r="F156" t="s">
        <v>268</v>
      </c>
      <c r="G156" t="s">
        <v>269</v>
      </c>
      <c r="H156" t="s">
        <v>270</v>
      </c>
      <c r="I156" t="s">
        <v>271</v>
      </c>
      <c r="J156" t="s">
        <v>22</v>
      </c>
      <c r="K156" t="s">
        <v>23</v>
      </c>
      <c r="L156" t="s">
        <v>215</v>
      </c>
      <c r="M156">
        <v>91.305216869878151</v>
      </c>
      <c r="O156">
        <v>8.9527378019999944</v>
      </c>
      <c r="Q156">
        <v>91.047262197999999</v>
      </c>
      <c r="S156">
        <v>21.183406489283914</v>
      </c>
      <c r="U156">
        <v>29.017254302767608</v>
      </c>
      <c r="W156">
        <v>53.193783825851185</v>
      </c>
    </row>
    <row r="157" spans="1:24" x14ac:dyDescent="0.35">
      <c r="A157">
        <v>155</v>
      </c>
      <c r="B157">
        <v>46048</v>
      </c>
      <c r="C157" t="s">
        <v>16</v>
      </c>
      <c r="D157">
        <v>28</v>
      </c>
      <c r="E157" t="s">
        <v>272</v>
      </c>
      <c r="F157" t="s">
        <v>273</v>
      </c>
      <c r="G157" t="s">
        <v>235</v>
      </c>
      <c r="H157" t="s">
        <v>274</v>
      </c>
      <c r="I157" t="s">
        <v>275</v>
      </c>
      <c r="J157" t="s">
        <v>22</v>
      </c>
      <c r="K157" t="s">
        <v>23</v>
      </c>
      <c r="L157" t="s">
        <v>215</v>
      </c>
      <c r="M157">
        <v>90.240000000000009</v>
      </c>
      <c r="N157">
        <v>90.255486451354926</v>
      </c>
      <c r="O157">
        <v>9.5949845715667994</v>
      </c>
      <c r="P157">
        <v>9.6166619723153879</v>
      </c>
      <c r="Q157">
        <v>90.405015428433202</v>
      </c>
      <c r="R157">
        <v>90.383338027684616</v>
      </c>
      <c r="S157">
        <v>17.570233853358662</v>
      </c>
      <c r="T157">
        <v>17.570233853358662</v>
      </c>
      <c r="U157">
        <v>27.227431918689334</v>
      </c>
      <c r="V157">
        <v>26.441387429925108</v>
      </c>
      <c r="W157">
        <v>52.255957786305643</v>
      </c>
      <c r="X157">
        <v>51.955224990697992</v>
      </c>
    </row>
    <row r="158" spans="1:24" x14ac:dyDescent="0.35">
      <c r="A158">
        <v>156</v>
      </c>
      <c r="B158">
        <v>46048</v>
      </c>
      <c r="C158" t="s">
        <v>16</v>
      </c>
      <c r="D158">
        <v>28</v>
      </c>
      <c r="E158" t="s">
        <v>272</v>
      </c>
      <c r="F158" t="s">
        <v>273</v>
      </c>
      <c r="G158" t="s">
        <v>235</v>
      </c>
      <c r="H158" t="s">
        <v>274</v>
      </c>
      <c r="I158" t="s">
        <v>275</v>
      </c>
      <c r="J158" t="s">
        <v>22</v>
      </c>
      <c r="K158" t="s">
        <v>23</v>
      </c>
      <c r="L158" t="s">
        <v>215</v>
      </c>
      <c r="M158">
        <v>90.270972902709829</v>
      </c>
      <c r="O158">
        <v>9.6383393730639764</v>
      </c>
      <c r="Q158">
        <v>90.361660626936029</v>
      </c>
      <c r="S158">
        <v>17.570233853358662</v>
      </c>
      <c r="U158">
        <v>25.655342941160885</v>
      </c>
      <c r="W158">
        <v>51.654492195090342</v>
      </c>
    </row>
    <row r="159" spans="1:24" x14ac:dyDescent="0.35">
      <c r="A159">
        <v>157</v>
      </c>
      <c r="B159">
        <v>46048</v>
      </c>
      <c r="C159" t="s">
        <v>16</v>
      </c>
      <c r="D159">
        <v>28</v>
      </c>
      <c r="E159" t="s">
        <v>276</v>
      </c>
      <c r="F159" t="s">
        <v>277</v>
      </c>
      <c r="G159" t="s">
        <v>269</v>
      </c>
      <c r="H159" t="s">
        <v>270</v>
      </c>
      <c r="I159" t="s">
        <v>271</v>
      </c>
      <c r="J159" t="s">
        <v>22</v>
      </c>
      <c r="K159" t="s">
        <v>23</v>
      </c>
      <c r="L159" t="s">
        <v>215</v>
      </c>
      <c r="M159">
        <v>91.940805919407993</v>
      </c>
      <c r="N159">
        <v>92.005799420057954</v>
      </c>
      <c r="O159">
        <v>7.7270010324403113</v>
      </c>
      <c r="P159">
        <v>7.7541705156767726</v>
      </c>
      <c r="Q159">
        <v>92.272998967559687</v>
      </c>
      <c r="R159">
        <v>92.245829484323224</v>
      </c>
      <c r="S159">
        <v>18.839065087506274</v>
      </c>
      <c r="T159">
        <v>18.839065087506274</v>
      </c>
      <c r="U159">
        <v>32.051671234382816</v>
      </c>
      <c r="V159">
        <v>32.618395503114101</v>
      </c>
      <c r="W159">
        <v>49.513120194449748</v>
      </c>
      <c r="X159">
        <v>49.992196784000882</v>
      </c>
    </row>
    <row r="160" spans="1:24" x14ac:dyDescent="0.35">
      <c r="A160">
        <v>158</v>
      </c>
      <c r="B160">
        <v>46048</v>
      </c>
      <c r="C160" t="s">
        <v>16</v>
      </c>
      <c r="D160">
        <v>28</v>
      </c>
      <c r="E160" t="s">
        <v>276</v>
      </c>
      <c r="F160" t="s">
        <v>277</v>
      </c>
      <c r="G160" t="s">
        <v>269</v>
      </c>
      <c r="H160" t="s">
        <v>270</v>
      </c>
      <c r="I160" t="s">
        <v>271</v>
      </c>
      <c r="J160" t="s">
        <v>22</v>
      </c>
      <c r="K160" t="s">
        <v>23</v>
      </c>
      <c r="L160" t="s">
        <v>215</v>
      </c>
      <c r="M160">
        <v>92.070792920707916</v>
      </c>
      <c r="O160">
        <v>7.7813399989132348</v>
      </c>
      <c r="Q160">
        <v>92.218660001086761</v>
      </c>
      <c r="S160">
        <v>18.839065087506274</v>
      </c>
      <c r="U160">
        <v>33.185119771845386</v>
      </c>
      <c r="W160">
        <v>50.471273373552016</v>
      </c>
    </row>
    <row r="161" spans="1:24" x14ac:dyDescent="0.35">
      <c r="A161">
        <v>159</v>
      </c>
      <c r="B161">
        <v>46048</v>
      </c>
      <c r="C161" t="s">
        <v>16</v>
      </c>
      <c r="D161">
        <v>28</v>
      </c>
      <c r="E161" t="s">
        <v>278</v>
      </c>
      <c r="F161" t="s">
        <v>279</v>
      </c>
      <c r="G161" t="s">
        <v>269</v>
      </c>
      <c r="H161" t="s">
        <v>270</v>
      </c>
      <c r="I161" t="s">
        <v>271</v>
      </c>
      <c r="J161" t="s">
        <v>22</v>
      </c>
      <c r="K161" t="s">
        <v>23</v>
      </c>
      <c r="L161" t="s">
        <v>215</v>
      </c>
      <c r="M161">
        <v>92.13157368526295</v>
      </c>
      <c r="N161">
        <v>92.167346218880965</v>
      </c>
      <c r="O161">
        <v>8.7866046448847062</v>
      </c>
      <c r="P161">
        <v>8.7531898615712507</v>
      </c>
      <c r="Q161">
        <v>91.213395355115296</v>
      </c>
      <c r="R161">
        <v>91.246810138428742</v>
      </c>
      <c r="S161">
        <v>22.457800610107149</v>
      </c>
      <c r="T161">
        <v>22.457800610107149</v>
      </c>
      <c r="U161">
        <v>26.159414577112084</v>
      </c>
      <c r="V161">
        <v>26.102866214574192</v>
      </c>
      <c r="W161">
        <v>46.742979579213475</v>
      </c>
      <c r="X161">
        <v>47.123074652188819</v>
      </c>
    </row>
    <row r="162" spans="1:24" x14ac:dyDescent="0.35">
      <c r="A162">
        <v>160</v>
      </c>
      <c r="B162">
        <v>46048</v>
      </c>
      <c r="C162" t="s">
        <v>16</v>
      </c>
      <c r="D162">
        <v>28</v>
      </c>
      <c r="E162" t="s">
        <v>278</v>
      </c>
      <c r="F162" t="s">
        <v>279</v>
      </c>
      <c r="G162" t="s">
        <v>269</v>
      </c>
      <c r="H162" t="s">
        <v>270</v>
      </c>
      <c r="I162" t="s">
        <v>271</v>
      </c>
      <c r="J162" t="s">
        <v>22</v>
      </c>
      <c r="K162" t="s">
        <v>23</v>
      </c>
      <c r="L162" t="s">
        <v>215</v>
      </c>
      <c r="M162">
        <v>92.203118752498966</v>
      </c>
      <c r="O162">
        <v>8.7197750782577952</v>
      </c>
      <c r="Q162">
        <v>91.280224921742203</v>
      </c>
      <c r="S162">
        <v>22.457800610107149</v>
      </c>
      <c r="U162">
        <v>26.046317852036299</v>
      </c>
      <c r="W162">
        <v>47.503169725164156</v>
      </c>
    </row>
    <row r="163" spans="1:24" x14ac:dyDescent="0.35">
      <c r="A163">
        <v>161</v>
      </c>
      <c r="B163">
        <v>46048</v>
      </c>
      <c r="C163" t="s">
        <v>16</v>
      </c>
      <c r="D163">
        <v>28</v>
      </c>
      <c r="E163" t="s">
        <v>280</v>
      </c>
      <c r="F163" t="s">
        <v>281</v>
      </c>
      <c r="G163" t="s">
        <v>269</v>
      </c>
      <c r="H163" t="s">
        <v>282</v>
      </c>
      <c r="I163" t="s">
        <v>283</v>
      </c>
      <c r="J163" t="s">
        <v>22</v>
      </c>
      <c r="K163" t="s">
        <v>23</v>
      </c>
      <c r="L163" t="s">
        <v>215</v>
      </c>
      <c r="M163">
        <v>91.072678196541005</v>
      </c>
      <c r="N163">
        <v>91.19264220733784</v>
      </c>
      <c r="O163">
        <v>7.5860556895416087</v>
      </c>
      <c r="P163">
        <v>7.5750931813198505</v>
      </c>
      <c r="Q163">
        <v>92.41394431045839</v>
      </c>
      <c r="R163">
        <v>92.424906818680142</v>
      </c>
      <c r="S163">
        <v>21.993873838557636</v>
      </c>
      <c r="T163">
        <v>21.993873838557636</v>
      </c>
      <c r="U163">
        <v>29.624970726085792</v>
      </c>
      <c r="V163">
        <v>29.771762080958805</v>
      </c>
      <c r="W163">
        <v>49.650552748171087</v>
      </c>
      <c r="X163">
        <v>49.724803288775085</v>
      </c>
    </row>
    <row r="164" spans="1:24" x14ac:dyDescent="0.35">
      <c r="A164">
        <v>162</v>
      </c>
      <c r="B164">
        <v>46048</v>
      </c>
      <c r="C164" t="s">
        <v>16</v>
      </c>
      <c r="D164">
        <v>28</v>
      </c>
      <c r="E164" t="s">
        <v>280</v>
      </c>
      <c r="F164" t="s">
        <v>281</v>
      </c>
      <c r="G164" t="s">
        <v>269</v>
      </c>
      <c r="H164" t="s">
        <v>282</v>
      </c>
      <c r="I164" t="s">
        <v>283</v>
      </c>
      <c r="J164" t="s">
        <v>22</v>
      </c>
      <c r="K164" t="s">
        <v>23</v>
      </c>
      <c r="L164" t="s">
        <v>215</v>
      </c>
      <c r="M164">
        <v>91.312606218134675</v>
      </c>
      <c r="O164">
        <v>7.5641306730980933</v>
      </c>
      <c r="Q164">
        <v>92.435869326901908</v>
      </c>
      <c r="S164">
        <v>21.993873838557636</v>
      </c>
      <c r="U164">
        <v>29.918553435831818</v>
      </c>
      <c r="W164">
        <v>49.799053829379083</v>
      </c>
    </row>
    <row r="165" spans="1:24" x14ac:dyDescent="0.35">
      <c r="A165">
        <v>163</v>
      </c>
      <c r="B165">
        <v>46048</v>
      </c>
      <c r="C165" t="s">
        <v>16</v>
      </c>
      <c r="D165">
        <v>28</v>
      </c>
      <c r="E165" t="s">
        <v>284</v>
      </c>
      <c r="F165" t="s">
        <v>285</v>
      </c>
      <c r="G165" t="s">
        <v>269</v>
      </c>
      <c r="H165" t="s">
        <v>282</v>
      </c>
      <c r="I165" t="s">
        <v>283</v>
      </c>
      <c r="J165" t="s">
        <v>22</v>
      </c>
      <c r="K165" t="s">
        <v>23</v>
      </c>
      <c r="L165" t="s">
        <v>215</v>
      </c>
      <c r="M165">
        <v>93.322003398980186</v>
      </c>
      <c r="N165">
        <v>93.40632716694337</v>
      </c>
      <c r="O165">
        <v>9.3327561943251904</v>
      </c>
      <c r="P165">
        <v>9.4032708521230148</v>
      </c>
      <c r="Q165">
        <v>90.667243805674815</v>
      </c>
      <c r="R165">
        <v>90.596729147876985</v>
      </c>
      <c r="S165">
        <v>22.912973068825917</v>
      </c>
      <c r="T165">
        <v>22.819671206779695</v>
      </c>
      <c r="U165">
        <v>30.928346528039008</v>
      </c>
      <c r="V165">
        <v>31.065555905043251</v>
      </c>
      <c r="W165">
        <v>55.457305193091614</v>
      </c>
      <c r="X165">
        <v>56.447556303389206</v>
      </c>
    </row>
    <row r="166" spans="1:24" x14ac:dyDescent="0.35">
      <c r="A166">
        <v>164</v>
      </c>
      <c r="B166">
        <v>46048</v>
      </c>
      <c r="C166" t="s">
        <v>16</v>
      </c>
      <c r="D166">
        <v>28</v>
      </c>
      <c r="E166" t="s">
        <v>284</v>
      </c>
      <c r="F166" t="s">
        <v>285</v>
      </c>
      <c r="G166" t="s">
        <v>269</v>
      </c>
      <c r="H166" t="s">
        <v>282</v>
      </c>
      <c r="I166" t="s">
        <v>283</v>
      </c>
      <c r="J166" t="s">
        <v>22</v>
      </c>
      <c r="K166" t="s">
        <v>23</v>
      </c>
      <c r="L166" t="s">
        <v>215</v>
      </c>
      <c r="M166">
        <v>93.490650934906554</v>
      </c>
      <c r="O166">
        <v>9.4737855099208375</v>
      </c>
      <c r="Q166">
        <v>90.526214490079155</v>
      </c>
      <c r="S166">
        <v>22.72636934473347</v>
      </c>
      <c r="U166">
        <v>31.202765282047494</v>
      </c>
      <c r="W166">
        <v>57.437807413686791</v>
      </c>
    </row>
    <row r="167" spans="1:24" x14ac:dyDescent="0.35">
      <c r="A167">
        <v>165</v>
      </c>
      <c r="B167">
        <v>46048</v>
      </c>
      <c r="C167" t="s">
        <v>16</v>
      </c>
      <c r="D167">
        <v>28</v>
      </c>
      <c r="E167" t="s">
        <v>286</v>
      </c>
      <c r="F167" t="s">
        <v>287</v>
      </c>
      <c r="G167" t="s">
        <v>235</v>
      </c>
      <c r="H167" t="s">
        <v>274</v>
      </c>
      <c r="I167" t="s">
        <v>275</v>
      </c>
      <c r="J167" t="s">
        <v>22</v>
      </c>
      <c r="K167" t="s">
        <v>23</v>
      </c>
      <c r="L167" t="s">
        <v>215</v>
      </c>
      <c r="M167">
        <v>92.050794920507983</v>
      </c>
      <c r="N167">
        <v>92.096183303085411</v>
      </c>
      <c r="O167">
        <v>10.075414376569389</v>
      </c>
      <c r="P167">
        <v>10.150903001041684</v>
      </c>
      <c r="Q167">
        <v>89.924585623430616</v>
      </c>
      <c r="R167">
        <v>89.849096998958316</v>
      </c>
      <c r="S167">
        <v>18.21313969894895</v>
      </c>
      <c r="T167">
        <v>18.21313969894895</v>
      </c>
      <c r="U167">
        <v>24.223149118358744</v>
      </c>
      <c r="V167">
        <v>25.072781182873847</v>
      </c>
      <c r="W167">
        <v>51.006150569851805</v>
      </c>
      <c r="X167">
        <v>49.466940656445544</v>
      </c>
    </row>
    <row r="168" spans="1:24" x14ac:dyDescent="0.35">
      <c r="A168">
        <v>166</v>
      </c>
      <c r="B168">
        <v>46048</v>
      </c>
      <c r="C168" t="s">
        <v>16</v>
      </c>
      <c r="D168">
        <v>28</v>
      </c>
      <c r="E168" t="s">
        <v>286</v>
      </c>
      <c r="F168" t="s">
        <v>287</v>
      </c>
      <c r="G168" t="s">
        <v>235</v>
      </c>
      <c r="H168" t="s">
        <v>274</v>
      </c>
      <c r="I168" t="s">
        <v>275</v>
      </c>
      <c r="J168" t="s">
        <v>22</v>
      </c>
      <c r="K168" t="s">
        <v>23</v>
      </c>
      <c r="L168" t="s">
        <v>215</v>
      </c>
      <c r="M168">
        <v>92.141571685662853</v>
      </c>
      <c r="O168">
        <v>10.226391625513976</v>
      </c>
      <c r="Q168">
        <v>89.773608374486031</v>
      </c>
      <c r="S168">
        <v>18.21313969894895</v>
      </c>
      <c r="U168">
        <v>25.922413247388953</v>
      </c>
      <c r="W168">
        <v>47.927730743039277</v>
      </c>
    </row>
    <row r="169" spans="1:24" x14ac:dyDescent="0.35">
      <c r="A169">
        <v>167</v>
      </c>
      <c r="B169">
        <v>46048</v>
      </c>
      <c r="C169" t="s">
        <v>16</v>
      </c>
      <c r="D169">
        <v>28</v>
      </c>
      <c r="E169" t="s">
        <v>288</v>
      </c>
      <c r="F169" t="s">
        <v>289</v>
      </c>
      <c r="G169" t="s">
        <v>290</v>
      </c>
      <c r="H169" t="s">
        <v>291</v>
      </c>
      <c r="I169" t="s">
        <v>292</v>
      </c>
      <c r="J169" t="s">
        <v>22</v>
      </c>
      <c r="K169" t="s">
        <v>23</v>
      </c>
      <c r="L169" t="s">
        <v>215</v>
      </c>
      <c r="M169">
        <v>91.721655668866205</v>
      </c>
      <c r="N169">
        <v>91.598385299953804</v>
      </c>
      <c r="O169">
        <v>16.405305128328955</v>
      </c>
      <c r="P169">
        <v>16.189267840911622</v>
      </c>
      <c r="Q169">
        <v>83.594694871671038</v>
      </c>
      <c r="R169">
        <v>83.810732159088374</v>
      </c>
      <c r="S169">
        <v>20.552774962518356</v>
      </c>
      <c r="T169">
        <v>20.552774962518356</v>
      </c>
      <c r="U169">
        <v>25.713911338982538</v>
      </c>
      <c r="V169">
        <v>25.439764908531053</v>
      </c>
      <c r="W169">
        <v>43.302450753941102</v>
      </c>
      <c r="X169">
        <v>42.671178251525625</v>
      </c>
    </row>
    <row r="170" spans="1:24" x14ac:dyDescent="0.35">
      <c r="A170">
        <v>168</v>
      </c>
      <c r="B170">
        <v>46048</v>
      </c>
      <c r="C170" t="s">
        <v>16</v>
      </c>
      <c r="D170">
        <v>28</v>
      </c>
      <c r="E170" t="s">
        <v>288</v>
      </c>
      <c r="F170" t="s">
        <v>289</v>
      </c>
      <c r="G170" t="s">
        <v>290</v>
      </c>
      <c r="H170" t="s">
        <v>291</v>
      </c>
      <c r="I170" t="s">
        <v>292</v>
      </c>
      <c r="J170" t="s">
        <v>22</v>
      </c>
      <c r="K170" t="s">
        <v>23</v>
      </c>
      <c r="L170" t="s">
        <v>215</v>
      </c>
      <c r="M170">
        <v>91.475114931041404</v>
      </c>
      <c r="O170">
        <v>15.973230553494291</v>
      </c>
      <c r="Q170">
        <v>84.02676944650571</v>
      </c>
      <c r="S170">
        <v>20.552774962518356</v>
      </c>
      <c r="U170">
        <v>25.165618478079573</v>
      </c>
      <c r="W170">
        <v>42.039905749110147</v>
      </c>
    </row>
    <row r="171" spans="1:24" x14ac:dyDescent="0.35">
      <c r="A171">
        <v>169</v>
      </c>
      <c r="B171">
        <v>46048</v>
      </c>
      <c r="C171" t="s">
        <v>16</v>
      </c>
      <c r="D171">
        <v>28</v>
      </c>
      <c r="E171" t="s">
        <v>293</v>
      </c>
      <c r="F171" t="s">
        <v>294</v>
      </c>
      <c r="G171" t="s">
        <v>240</v>
      </c>
      <c r="H171" t="s">
        <v>241</v>
      </c>
      <c r="I171" t="s">
        <v>242</v>
      </c>
      <c r="J171" t="s">
        <v>22</v>
      </c>
      <c r="K171" t="s">
        <v>23</v>
      </c>
      <c r="L171" t="s">
        <v>215</v>
      </c>
      <c r="M171">
        <v>92.751449710057969</v>
      </c>
      <c r="N171">
        <v>92.746813528426955</v>
      </c>
      <c r="O171">
        <v>9.9067148702745502</v>
      </c>
      <c r="P171">
        <v>9.9708925307209171</v>
      </c>
      <c r="Q171">
        <v>90.093285129725444</v>
      </c>
      <c r="R171">
        <v>90.029107469279083</v>
      </c>
      <c r="S171">
        <v>16.293993750381642</v>
      </c>
      <c r="T171">
        <v>16.293993750381642</v>
      </c>
      <c r="U171">
        <v>35.016325330884271</v>
      </c>
      <c r="V171">
        <v>34.494389261427571</v>
      </c>
      <c r="W171">
        <v>56.317244486663483</v>
      </c>
      <c r="X171">
        <v>57.247556101151339</v>
      </c>
    </row>
    <row r="172" spans="1:24" x14ac:dyDescent="0.35">
      <c r="A172">
        <v>170</v>
      </c>
      <c r="B172">
        <v>46048</v>
      </c>
      <c r="C172" t="s">
        <v>16</v>
      </c>
      <c r="D172">
        <v>28</v>
      </c>
      <c r="E172" t="s">
        <v>293</v>
      </c>
      <c r="F172" t="s">
        <v>294</v>
      </c>
      <c r="G172" t="s">
        <v>240</v>
      </c>
      <c r="H172" t="s">
        <v>241</v>
      </c>
      <c r="I172" t="s">
        <v>242</v>
      </c>
      <c r="J172" t="s">
        <v>22</v>
      </c>
      <c r="K172" t="s">
        <v>23</v>
      </c>
      <c r="L172" t="s">
        <v>215</v>
      </c>
      <c r="M172">
        <v>92.742177346795941</v>
      </c>
      <c r="O172">
        <v>10.035070191167284</v>
      </c>
      <c r="Q172">
        <v>89.964929808832721</v>
      </c>
      <c r="S172">
        <v>16.293993750381642</v>
      </c>
      <c r="U172">
        <v>33.972453191970871</v>
      </c>
      <c r="W172">
        <v>58.177867715639195</v>
      </c>
    </row>
    <row r="173" spans="1:24" x14ac:dyDescent="0.35">
      <c r="A173">
        <v>171</v>
      </c>
      <c r="B173">
        <v>46048</v>
      </c>
      <c r="C173" t="s">
        <v>16</v>
      </c>
      <c r="D173">
        <v>28</v>
      </c>
      <c r="E173" t="s">
        <v>295</v>
      </c>
      <c r="F173" t="s">
        <v>296</v>
      </c>
      <c r="G173" t="s">
        <v>240</v>
      </c>
      <c r="H173" t="s">
        <v>297</v>
      </c>
      <c r="I173" t="s">
        <v>298</v>
      </c>
      <c r="J173" t="s">
        <v>22</v>
      </c>
      <c r="K173" t="s">
        <v>23</v>
      </c>
      <c r="L173" t="s">
        <v>215</v>
      </c>
      <c r="M173">
        <v>91.691661667666423</v>
      </c>
      <c r="N173">
        <v>91.721243292587246</v>
      </c>
      <c r="O173">
        <v>11.957760323554915</v>
      </c>
      <c r="P173">
        <v>11.778483244157979</v>
      </c>
      <c r="Q173">
        <v>88.042239676445092</v>
      </c>
      <c r="R173">
        <v>88.221516755842032</v>
      </c>
      <c r="S173">
        <v>17.93763783569818</v>
      </c>
      <c r="T173">
        <v>17.93763783569818</v>
      </c>
      <c r="U173">
        <v>33.357116529535872</v>
      </c>
      <c r="V173">
        <v>34.297812897885493</v>
      </c>
      <c r="W173">
        <v>59.841676667461272</v>
      </c>
      <c r="X173">
        <v>61.114906583442611</v>
      </c>
    </row>
    <row r="174" spans="1:24" x14ac:dyDescent="0.35">
      <c r="A174">
        <v>172</v>
      </c>
      <c r="B174">
        <v>46048</v>
      </c>
      <c r="C174" t="s">
        <v>16</v>
      </c>
      <c r="D174">
        <v>28</v>
      </c>
      <c r="E174" t="s">
        <v>295</v>
      </c>
      <c r="F174" t="s">
        <v>296</v>
      </c>
      <c r="G174" t="s">
        <v>240</v>
      </c>
      <c r="H174" t="s">
        <v>297</v>
      </c>
      <c r="I174" t="s">
        <v>298</v>
      </c>
      <c r="J174" t="s">
        <v>22</v>
      </c>
      <c r="K174" t="s">
        <v>23</v>
      </c>
      <c r="L174" t="s">
        <v>215</v>
      </c>
      <c r="M174">
        <v>91.750824917508083</v>
      </c>
      <c r="O174">
        <v>11.599206164761043</v>
      </c>
      <c r="Q174">
        <v>88.400793835238957</v>
      </c>
      <c r="S174">
        <v>17.93763783569818</v>
      </c>
      <c r="U174">
        <v>35.238509266235113</v>
      </c>
      <c r="W174">
        <v>62.38813649942395</v>
      </c>
    </row>
    <row r="175" spans="1:24" x14ac:dyDescent="0.35">
      <c r="A175">
        <v>173</v>
      </c>
      <c r="B175">
        <v>46048</v>
      </c>
      <c r="C175" t="s">
        <v>16</v>
      </c>
      <c r="D175">
        <v>28</v>
      </c>
      <c r="E175" t="s">
        <v>299</v>
      </c>
      <c r="F175" t="s">
        <v>300</v>
      </c>
      <c r="G175" t="s">
        <v>212</v>
      </c>
      <c r="H175" t="s">
        <v>301</v>
      </c>
      <c r="I175" t="s">
        <v>302</v>
      </c>
      <c r="J175" t="s">
        <v>22</v>
      </c>
      <c r="K175" t="s">
        <v>23</v>
      </c>
      <c r="L175" t="s">
        <v>303</v>
      </c>
      <c r="M175">
        <v>91.710828917108316</v>
      </c>
      <c r="N175">
        <v>91.666252290987643</v>
      </c>
      <c r="O175">
        <v>10.897141369083862</v>
      </c>
      <c r="P175">
        <v>10.880236182717553</v>
      </c>
      <c r="Q175">
        <v>89.102858630916131</v>
      </c>
      <c r="R175">
        <v>89.119763817282447</v>
      </c>
      <c r="S175">
        <v>21.076179676537187</v>
      </c>
      <c r="T175">
        <v>21.076179676537187</v>
      </c>
      <c r="U175">
        <v>23.519859134767497</v>
      </c>
      <c r="V175">
        <v>23.406406769323404</v>
      </c>
      <c r="W175">
        <v>51.175102046942555</v>
      </c>
      <c r="X175">
        <v>50.71948924432278</v>
      </c>
    </row>
    <row r="176" spans="1:24" x14ac:dyDescent="0.35">
      <c r="A176">
        <v>174</v>
      </c>
      <c r="B176">
        <v>46048</v>
      </c>
      <c r="C176" t="s">
        <v>16</v>
      </c>
      <c r="D176">
        <v>28</v>
      </c>
      <c r="E176" t="s">
        <v>299</v>
      </c>
      <c r="F176" t="s">
        <v>300</v>
      </c>
      <c r="G176" t="s">
        <v>212</v>
      </c>
      <c r="H176" t="s">
        <v>301</v>
      </c>
      <c r="I176" t="s">
        <v>302</v>
      </c>
      <c r="J176" t="s">
        <v>22</v>
      </c>
      <c r="K176" t="s">
        <v>23</v>
      </c>
      <c r="L176" t="s">
        <v>303</v>
      </c>
      <c r="M176">
        <v>91.62167566486697</v>
      </c>
      <c r="O176">
        <v>10.863330996351245</v>
      </c>
      <c r="Q176">
        <v>89.136669003648763</v>
      </c>
      <c r="S176">
        <v>21.076179676537187</v>
      </c>
      <c r="U176">
        <v>23.292954403879307</v>
      </c>
      <c r="W176">
        <v>50.263876441703005</v>
      </c>
    </row>
    <row r="177" spans="1:24" x14ac:dyDescent="0.35">
      <c r="A177">
        <v>175</v>
      </c>
      <c r="B177">
        <v>46048</v>
      </c>
      <c r="C177" t="s">
        <v>16</v>
      </c>
      <c r="D177">
        <v>28</v>
      </c>
      <c r="E177" t="s">
        <v>304</v>
      </c>
      <c r="F177" t="s">
        <v>305</v>
      </c>
      <c r="G177" t="s">
        <v>212</v>
      </c>
      <c r="H177" t="s">
        <v>301</v>
      </c>
      <c r="I177" t="s">
        <v>302</v>
      </c>
      <c r="J177" t="s">
        <v>22</v>
      </c>
      <c r="K177" t="s">
        <v>23</v>
      </c>
      <c r="L177" t="s">
        <v>303</v>
      </c>
      <c r="M177">
        <v>91.761647670465891</v>
      </c>
      <c r="N177">
        <v>91.812044469042831</v>
      </c>
      <c r="O177">
        <v>14.592116550035081</v>
      </c>
      <c r="P177">
        <v>14.803713899316438</v>
      </c>
      <c r="Q177">
        <v>85.407883449964913</v>
      </c>
      <c r="R177">
        <v>85.196286100683551</v>
      </c>
      <c r="S177">
        <v>18.556611437559916</v>
      </c>
      <c r="T177">
        <v>18.556611437559916</v>
      </c>
      <c r="U177">
        <v>27.304918274776462</v>
      </c>
      <c r="V177">
        <v>27.485051370078089</v>
      </c>
      <c r="W177">
        <v>48.938266585215842</v>
      </c>
      <c r="X177">
        <v>50.315461216188112</v>
      </c>
    </row>
    <row r="178" spans="1:24" x14ac:dyDescent="0.35">
      <c r="A178">
        <v>176</v>
      </c>
      <c r="B178">
        <v>46048</v>
      </c>
      <c r="C178" t="s">
        <v>16</v>
      </c>
      <c r="D178">
        <v>28</v>
      </c>
      <c r="E178" t="s">
        <v>304</v>
      </c>
      <c r="F178" t="s">
        <v>305</v>
      </c>
      <c r="G178" t="s">
        <v>212</v>
      </c>
      <c r="H178" t="s">
        <v>301</v>
      </c>
      <c r="I178" t="s">
        <v>302</v>
      </c>
      <c r="J178" t="s">
        <v>22</v>
      </c>
      <c r="K178" t="s">
        <v>23</v>
      </c>
      <c r="L178" t="s">
        <v>303</v>
      </c>
      <c r="M178">
        <v>91.862441267619786</v>
      </c>
      <c r="O178">
        <v>15.015311248597794</v>
      </c>
      <c r="Q178">
        <v>84.984688751402203</v>
      </c>
      <c r="S178">
        <v>18.556611437559916</v>
      </c>
      <c r="U178">
        <v>27.665184465379721</v>
      </c>
      <c r="W178">
        <v>51.692655847160374</v>
      </c>
    </row>
    <row r="179" spans="1:24" x14ac:dyDescent="0.35">
      <c r="A179">
        <v>177</v>
      </c>
      <c r="B179">
        <v>46048</v>
      </c>
      <c r="C179" t="s">
        <v>16</v>
      </c>
      <c r="D179">
        <v>28</v>
      </c>
      <c r="E179" t="s">
        <v>306</v>
      </c>
      <c r="F179" t="s">
        <v>307</v>
      </c>
      <c r="G179" t="s">
        <v>212</v>
      </c>
      <c r="H179" t="s">
        <v>213</v>
      </c>
      <c r="I179" t="s">
        <v>214</v>
      </c>
      <c r="J179" t="s">
        <v>22</v>
      </c>
      <c r="K179" t="s">
        <v>23</v>
      </c>
      <c r="L179" t="s">
        <v>215</v>
      </c>
      <c r="M179">
        <v>90.70185962807443</v>
      </c>
      <c r="N179">
        <v>90.708715142839907</v>
      </c>
      <c r="O179">
        <v>10.371791025272142</v>
      </c>
      <c r="P179">
        <v>10.47989479506532</v>
      </c>
      <c r="Q179">
        <v>89.628208974727855</v>
      </c>
      <c r="R179">
        <v>89.52010520493468</v>
      </c>
      <c r="S179">
        <v>16.648198451736118</v>
      </c>
      <c r="T179">
        <v>16.648198451736118</v>
      </c>
      <c r="U179">
        <v>42.865431555383012</v>
      </c>
      <c r="V179">
        <v>42.646867774826624</v>
      </c>
      <c r="W179">
        <v>58.8730067457629</v>
      </c>
      <c r="X179">
        <v>58.294713453437382</v>
      </c>
    </row>
    <row r="180" spans="1:24" x14ac:dyDescent="0.35">
      <c r="A180">
        <v>178</v>
      </c>
      <c r="B180">
        <v>46048</v>
      </c>
      <c r="C180" t="s">
        <v>16</v>
      </c>
      <c r="D180">
        <v>28</v>
      </c>
      <c r="E180" t="s">
        <v>306</v>
      </c>
      <c r="F180" t="s">
        <v>307</v>
      </c>
      <c r="G180" t="s">
        <v>212</v>
      </c>
      <c r="H180" t="s">
        <v>213</v>
      </c>
      <c r="I180" t="s">
        <v>214</v>
      </c>
      <c r="J180" t="s">
        <v>22</v>
      </c>
      <c r="K180" t="s">
        <v>23</v>
      </c>
      <c r="L180" t="s">
        <v>215</v>
      </c>
      <c r="M180">
        <v>90.715570657605369</v>
      </c>
      <c r="O180">
        <v>10.587998564858497</v>
      </c>
      <c r="Q180">
        <v>89.412001435141505</v>
      </c>
      <c r="S180">
        <v>16.648198451736118</v>
      </c>
      <c r="U180">
        <v>42.428303994270237</v>
      </c>
      <c r="W180">
        <v>57.71642016111187</v>
      </c>
    </row>
    <row r="181" spans="1:24" x14ac:dyDescent="0.35">
      <c r="A181">
        <v>179</v>
      </c>
      <c r="B181">
        <v>46048</v>
      </c>
      <c r="C181" t="s">
        <v>16</v>
      </c>
      <c r="D181">
        <v>28</v>
      </c>
      <c r="E181" t="s">
        <v>308</v>
      </c>
      <c r="F181" t="s">
        <v>309</v>
      </c>
      <c r="G181" t="s">
        <v>212</v>
      </c>
      <c r="H181" t="s">
        <v>310</v>
      </c>
      <c r="I181" t="s">
        <v>311</v>
      </c>
      <c r="J181" t="s">
        <v>22</v>
      </c>
      <c r="K181" t="s">
        <v>23</v>
      </c>
      <c r="L181" t="s">
        <v>215</v>
      </c>
      <c r="M181">
        <v>92.334599240455617</v>
      </c>
      <c r="N181">
        <v>92.609078730672564</v>
      </c>
      <c r="O181">
        <v>9.7664002061287398</v>
      </c>
      <c r="P181">
        <v>9.9773455627446666</v>
      </c>
      <c r="Q181">
        <v>90.233599793871264</v>
      </c>
      <c r="R181">
        <v>90.022654437255341</v>
      </c>
      <c r="S181">
        <v>17.577517504014267</v>
      </c>
      <c r="T181">
        <v>17.577517504014267</v>
      </c>
      <c r="U181">
        <v>44.62612732080337</v>
      </c>
      <c r="V181">
        <v>44.722523635631603</v>
      </c>
      <c r="W181">
        <v>58.513608743964426</v>
      </c>
      <c r="X181">
        <v>59.516313879180146</v>
      </c>
    </row>
    <row r="182" spans="1:24" x14ac:dyDescent="0.35">
      <c r="A182">
        <v>180</v>
      </c>
      <c r="B182">
        <v>46048</v>
      </c>
      <c r="C182" t="s">
        <v>16</v>
      </c>
      <c r="D182">
        <v>28</v>
      </c>
      <c r="E182" t="s">
        <v>308</v>
      </c>
      <c r="F182" t="s">
        <v>309</v>
      </c>
      <c r="G182" t="s">
        <v>212</v>
      </c>
      <c r="H182" t="s">
        <v>310</v>
      </c>
      <c r="I182" t="s">
        <v>311</v>
      </c>
      <c r="J182" t="s">
        <v>22</v>
      </c>
      <c r="K182" t="s">
        <v>23</v>
      </c>
      <c r="L182" t="s">
        <v>215</v>
      </c>
      <c r="M182">
        <v>92.883558220889512</v>
      </c>
      <c r="O182">
        <v>10.188290919360595</v>
      </c>
      <c r="Q182">
        <v>89.811709080639403</v>
      </c>
      <c r="S182">
        <v>17.577517504014267</v>
      </c>
      <c r="U182">
        <v>44.818919950459843</v>
      </c>
      <c r="W182">
        <v>60.519019014395866</v>
      </c>
    </row>
    <row r="183" spans="1:24" x14ac:dyDescent="0.35">
      <c r="A183">
        <v>181</v>
      </c>
      <c r="B183">
        <v>46048</v>
      </c>
      <c r="C183" t="s">
        <v>16</v>
      </c>
      <c r="D183">
        <v>28</v>
      </c>
      <c r="E183" t="s">
        <v>312</v>
      </c>
      <c r="F183" t="s">
        <v>313</v>
      </c>
      <c r="G183" t="s">
        <v>290</v>
      </c>
      <c r="H183" t="s">
        <v>314</v>
      </c>
      <c r="I183" t="s">
        <v>315</v>
      </c>
      <c r="J183" t="s">
        <v>22</v>
      </c>
      <c r="K183" t="s">
        <v>23</v>
      </c>
      <c r="L183" t="s">
        <v>215</v>
      </c>
      <c r="M183">
        <v>89.66413434626152</v>
      </c>
      <c r="N183">
        <v>89.827567623085784</v>
      </c>
      <c r="O183">
        <v>10.8831729755775</v>
      </c>
      <c r="P183">
        <v>10.328238948772755</v>
      </c>
      <c r="Q183">
        <v>89.116827024422506</v>
      </c>
      <c r="R183">
        <v>89.67176105122725</v>
      </c>
      <c r="S183">
        <v>21.940146401110969</v>
      </c>
      <c r="T183">
        <v>21.940146401110969</v>
      </c>
      <c r="U183">
        <v>32.667992855956271</v>
      </c>
      <c r="V183">
        <v>32.427584846947688</v>
      </c>
      <c r="W183">
        <v>51.315341565023353</v>
      </c>
      <c r="X183">
        <v>49.956903169795083</v>
      </c>
    </row>
    <row r="184" spans="1:24" x14ac:dyDescent="0.35">
      <c r="A184">
        <v>182</v>
      </c>
      <c r="B184">
        <v>46048</v>
      </c>
      <c r="C184" t="s">
        <v>16</v>
      </c>
      <c r="D184">
        <v>28</v>
      </c>
      <c r="E184" t="s">
        <v>312</v>
      </c>
      <c r="F184" t="s">
        <v>313</v>
      </c>
      <c r="G184" t="s">
        <v>290</v>
      </c>
      <c r="H184" t="s">
        <v>314</v>
      </c>
      <c r="I184" t="s">
        <v>315</v>
      </c>
      <c r="J184" t="s">
        <v>22</v>
      </c>
      <c r="K184" t="s">
        <v>23</v>
      </c>
      <c r="L184" t="s">
        <v>215</v>
      </c>
      <c r="M184">
        <v>89.991000899910048</v>
      </c>
      <c r="O184">
        <v>9.7733049219680108</v>
      </c>
      <c r="Q184">
        <v>90.226695078031995</v>
      </c>
      <c r="S184">
        <v>21.940146401110969</v>
      </c>
      <c r="U184">
        <v>32.187176837939106</v>
      </c>
      <c r="W184">
        <v>48.598464774566807</v>
      </c>
    </row>
    <row r="185" spans="1:24" x14ac:dyDescent="0.35">
      <c r="A185">
        <v>183</v>
      </c>
      <c r="B185">
        <v>46048</v>
      </c>
      <c r="C185" t="s">
        <v>16</v>
      </c>
      <c r="D185">
        <v>28</v>
      </c>
      <c r="E185" t="s">
        <v>316</v>
      </c>
      <c r="F185" t="s">
        <v>317</v>
      </c>
      <c r="G185" t="s">
        <v>290</v>
      </c>
      <c r="H185" t="s">
        <v>318</v>
      </c>
      <c r="I185" t="s">
        <v>319</v>
      </c>
      <c r="J185" t="s">
        <v>22</v>
      </c>
      <c r="K185" t="s">
        <v>23</v>
      </c>
      <c r="L185" t="s">
        <v>215</v>
      </c>
      <c r="M185">
        <v>90.284857571214374</v>
      </c>
      <c r="N185">
        <v>90.342908737611964</v>
      </c>
      <c r="O185">
        <v>17.745702714264517</v>
      </c>
      <c r="P185">
        <v>18.092354248590603</v>
      </c>
      <c r="Q185">
        <v>82.254297285735475</v>
      </c>
      <c r="R185">
        <v>81.90764575140939</v>
      </c>
      <c r="S185">
        <v>16.681806242228959</v>
      </c>
      <c r="T185">
        <v>16.658173479258529</v>
      </c>
      <c r="U185">
        <v>41.739477763617359</v>
      </c>
      <c r="V185">
        <v>40.990933785856228</v>
      </c>
      <c r="W185">
        <v>48.974611064755472</v>
      </c>
      <c r="X185">
        <v>48.145875284716652</v>
      </c>
    </row>
    <row r="186" spans="1:24" x14ac:dyDescent="0.35">
      <c r="A186">
        <v>184</v>
      </c>
      <c r="B186">
        <v>46048</v>
      </c>
      <c r="C186" t="s">
        <v>16</v>
      </c>
      <c r="D186">
        <v>28</v>
      </c>
      <c r="E186" t="s">
        <v>316</v>
      </c>
      <c r="F186" t="s">
        <v>317</v>
      </c>
      <c r="G186" t="s">
        <v>290</v>
      </c>
      <c r="H186" t="s">
        <v>318</v>
      </c>
      <c r="I186" t="s">
        <v>319</v>
      </c>
      <c r="J186" t="s">
        <v>22</v>
      </c>
      <c r="K186" t="s">
        <v>23</v>
      </c>
      <c r="L186" t="s">
        <v>215</v>
      </c>
      <c r="M186">
        <v>90.400959904009568</v>
      </c>
      <c r="O186">
        <v>18.439005782916688</v>
      </c>
      <c r="Q186">
        <v>81.560994217083305</v>
      </c>
      <c r="S186">
        <v>16.634540716288097</v>
      </c>
      <c r="U186">
        <v>40.242389808095098</v>
      </c>
      <c r="W186">
        <v>47.317139504677833</v>
      </c>
    </row>
    <row r="187" spans="1:24" x14ac:dyDescent="0.35">
      <c r="A187">
        <v>185</v>
      </c>
      <c r="B187">
        <v>46048</v>
      </c>
      <c r="C187" t="s">
        <v>320</v>
      </c>
      <c r="D187">
        <v>28</v>
      </c>
      <c r="E187" t="s">
        <v>121</v>
      </c>
      <c r="F187" t="s">
        <v>122</v>
      </c>
      <c r="G187" t="s">
        <v>123</v>
      </c>
      <c r="H187" t="s">
        <v>124</v>
      </c>
      <c r="I187" t="s">
        <v>125</v>
      </c>
      <c r="J187" t="s">
        <v>108</v>
      </c>
      <c r="K187" t="s">
        <v>109</v>
      </c>
      <c r="L187" t="s">
        <v>110</v>
      </c>
      <c r="M187">
        <v>93.3</v>
      </c>
      <c r="N187">
        <v>93.55</v>
      </c>
      <c r="O187">
        <v>11.3</v>
      </c>
      <c r="P187">
        <v>11.4</v>
      </c>
      <c r="Q187">
        <v>88.7</v>
      </c>
      <c r="R187">
        <v>88.6</v>
      </c>
      <c r="S187">
        <v>0</v>
      </c>
      <c r="T187">
        <v>0</v>
      </c>
      <c r="U187">
        <v>0</v>
      </c>
      <c r="V187">
        <v>0</v>
      </c>
      <c r="W187">
        <v>76.099999999999994</v>
      </c>
      <c r="X187">
        <v>76.099999999999994</v>
      </c>
    </row>
    <row r="188" spans="1:24" x14ac:dyDescent="0.35">
      <c r="A188">
        <v>186</v>
      </c>
      <c r="B188">
        <v>46048</v>
      </c>
      <c r="C188" t="s">
        <v>320</v>
      </c>
      <c r="D188">
        <v>28</v>
      </c>
      <c r="E188" t="s">
        <v>121</v>
      </c>
      <c r="F188" t="s">
        <v>122</v>
      </c>
      <c r="G188" t="s">
        <v>123</v>
      </c>
      <c r="H188" t="s">
        <v>124</v>
      </c>
      <c r="I188" t="s">
        <v>125</v>
      </c>
      <c r="J188" t="s">
        <v>108</v>
      </c>
      <c r="K188" t="s">
        <v>109</v>
      </c>
      <c r="L188" t="s">
        <v>110</v>
      </c>
      <c r="M188">
        <v>93.8</v>
      </c>
      <c r="O188">
        <v>11.5</v>
      </c>
      <c r="Q188">
        <v>88.5</v>
      </c>
      <c r="S188">
        <v>0</v>
      </c>
      <c r="U188">
        <v>0</v>
      </c>
      <c r="W188">
        <v>76.099999999999994</v>
      </c>
    </row>
    <row r="189" spans="1:24" x14ac:dyDescent="0.35">
      <c r="A189">
        <v>187</v>
      </c>
      <c r="B189">
        <v>46055</v>
      </c>
      <c r="C189" t="s">
        <v>16</v>
      </c>
      <c r="D189">
        <v>29</v>
      </c>
      <c r="E189" t="s">
        <v>321</v>
      </c>
      <c r="F189" t="s">
        <v>322</v>
      </c>
      <c r="G189" t="s">
        <v>290</v>
      </c>
      <c r="H189" t="s">
        <v>318</v>
      </c>
      <c r="I189" t="s">
        <v>319</v>
      </c>
      <c r="J189" t="s">
        <v>22</v>
      </c>
      <c r="K189" t="s">
        <v>23</v>
      </c>
      <c r="L189" t="s">
        <v>215</v>
      </c>
      <c r="M189">
        <v>89.519999999999911</v>
      </c>
      <c r="N189">
        <v>89.536567029890961</v>
      </c>
      <c r="O189">
        <v>13.614549233198201</v>
      </c>
      <c r="P189">
        <v>11.971212736520121</v>
      </c>
      <c r="Q189">
        <v>86.385450766801796</v>
      </c>
      <c r="R189">
        <v>88.02878726347987</v>
      </c>
      <c r="S189">
        <v>13.46691821367828</v>
      </c>
      <c r="T189">
        <v>13.46691821367828</v>
      </c>
      <c r="U189">
        <v>44.857637751796531</v>
      </c>
      <c r="V189">
        <v>44.711084593598386</v>
      </c>
      <c r="W189">
        <v>52.564583308067625</v>
      </c>
      <c r="X189">
        <v>52.716072515702066</v>
      </c>
    </row>
    <row r="190" spans="1:24" x14ac:dyDescent="0.35">
      <c r="A190">
        <v>188</v>
      </c>
      <c r="B190">
        <v>46055</v>
      </c>
      <c r="C190" t="s">
        <v>16</v>
      </c>
      <c r="D190">
        <v>29</v>
      </c>
      <c r="E190" t="s">
        <v>321</v>
      </c>
      <c r="F190" t="s">
        <v>322</v>
      </c>
      <c r="G190" t="s">
        <v>290</v>
      </c>
      <c r="H190" t="s">
        <v>318</v>
      </c>
      <c r="I190" t="s">
        <v>319</v>
      </c>
      <c r="J190" t="s">
        <v>22</v>
      </c>
      <c r="K190" t="s">
        <v>23</v>
      </c>
      <c r="L190" t="s">
        <v>215</v>
      </c>
      <c r="M190">
        <v>89.55313405978201</v>
      </c>
      <c r="O190">
        <v>10.327876239842041</v>
      </c>
      <c r="Q190">
        <v>89.672123760157959</v>
      </c>
      <c r="S190">
        <v>13.46691821367828</v>
      </c>
      <c r="U190">
        <v>44.564531435400234</v>
      </c>
      <c r="W190">
        <v>52.8675617233365</v>
      </c>
    </row>
    <row r="191" spans="1:24" x14ac:dyDescent="0.35">
      <c r="A191">
        <v>189</v>
      </c>
      <c r="B191">
        <v>46055</v>
      </c>
      <c r="C191" t="s">
        <v>16</v>
      </c>
      <c r="D191">
        <v>29</v>
      </c>
      <c r="E191" t="s">
        <v>325</v>
      </c>
      <c r="F191" t="s">
        <v>326</v>
      </c>
      <c r="G191" t="s">
        <v>290</v>
      </c>
      <c r="H191" t="s">
        <v>318</v>
      </c>
      <c r="I191" t="s">
        <v>319</v>
      </c>
      <c r="J191" t="s">
        <v>22</v>
      </c>
      <c r="K191" t="s">
        <v>23</v>
      </c>
      <c r="L191" t="s">
        <v>215</v>
      </c>
      <c r="M191">
        <v>92.921415716856558</v>
      </c>
      <c r="N191">
        <v>92.941059823231768</v>
      </c>
      <c r="O191">
        <v>18.889916615595787</v>
      </c>
      <c r="P191">
        <v>20.284077874435134</v>
      </c>
      <c r="Q191">
        <v>81.11008338440422</v>
      </c>
      <c r="R191">
        <v>79.715922125564873</v>
      </c>
      <c r="S191">
        <v>17.605298353449115</v>
      </c>
      <c r="T191">
        <v>17.605298353449115</v>
      </c>
      <c r="U191">
        <v>45.564478802727294</v>
      </c>
      <c r="V191">
        <v>44.830313903885752</v>
      </c>
      <c r="W191">
        <v>53.167025510802205</v>
      </c>
      <c r="X191">
        <v>51.541429238033814</v>
      </c>
    </row>
    <row r="192" spans="1:24" x14ac:dyDescent="0.35">
      <c r="A192">
        <v>190</v>
      </c>
      <c r="B192">
        <v>46055</v>
      </c>
      <c r="C192" t="s">
        <v>16</v>
      </c>
      <c r="D192">
        <v>29</v>
      </c>
      <c r="E192" t="s">
        <v>325</v>
      </c>
      <c r="F192" t="s">
        <v>326</v>
      </c>
      <c r="G192" t="s">
        <v>290</v>
      </c>
      <c r="H192" t="s">
        <v>318</v>
      </c>
      <c r="I192" t="s">
        <v>319</v>
      </c>
      <c r="J192" t="s">
        <v>22</v>
      </c>
      <c r="K192" t="s">
        <v>23</v>
      </c>
      <c r="L192" t="s">
        <v>215</v>
      </c>
      <c r="M192">
        <v>92.960703929606993</v>
      </c>
      <c r="O192">
        <v>21.678239133274481</v>
      </c>
      <c r="Q192">
        <v>78.321760866725526</v>
      </c>
      <c r="S192">
        <v>17.605298353449115</v>
      </c>
      <c r="U192">
        <v>44.096149005044204</v>
      </c>
      <c r="W192">
        <v>49.91583296526543</v>
      </c>
    </row>
    <row r="193" spans="1:24" x14ac:dyDescent="0.35">
      <c r="A193">
        <v>191</v>
      </c>
      <c r="B193">
        <v>46055</v>
      </c>
      <c r="C193" t="s">
        <v>16</v>
      </c>
      <c r="D193">
        <v>29</v>
      </c>
      <c r="E193" t="s">
        <v>327</v>
      </c>
      <c r="F193" t="s">
        <v>328</v>
      </c>
      <c r="G193" t="s">
        <v>264</v>
      </c>
      <c r="H193" t="s">
        <v>329</v>
      </c>
      <c r="I193" t="s">
        <v>330</v>
      </c>
      <c r="J193" t="s">
        <v>22</v>
      </c>
      <c r="K193" t="s">
        <v>23</v>
      </c>
      <c r="L193" t="s">
        <v>215</v>
      </c>
      <c r="M193">
        <v>90.544727636182003</v>
      </c>
      <c r="N193">
        <v>90.542836770795731</v>
      </c>
      <c r="O193">
        <v>12.198069063241238</v>
      </c>
      <c r="P193">
        <v>11.322558794802035</v>
      </c>
      <c r="Q193">
        <v>87.801930936758765</v>
      </c>
      <c r="R193">
        <v>88.677441205197965</v>
      </c>
      <c r="S193">
        <v>26.998023936265938</v>
      </c>
      <c r="T193">
        <v>26.998023936265938</v>
      </c>
      <c r="U193">
        <v>33.602407279175218</v>
      </c>
      <c r="V193">
        <v>33.587159133532339</v>
      </c>
      <c r="W193">
        <v>51.80362673208748</v>
      </c>
      <c r="X193">
        <v>51.725955405279976</v>
      </c>
    </row>
    <row r="194" spans="1:24" x14ac:dyDescent="0.35">
      <c r="A194">
        <v>192</v>
      </c>
      <c r="B194">
        <v>46055</v>
      </c>
      <c r="C194" t="s">
        <v>16</v>
      </c>
      <c r="D194">
        <v>29</v>
      </c>
      <c r="E194" t="s">
        <v>327</v>
      </c>
      <c r="F194" t="s">
        <v>328</v>
      </c>
      <c r="G194" t="s">
        <v>264</v>
      </c>
      <c r="H194" t="s">
        <v>329</v>
      </c>
      <c r="I194" t="s">
        <v>330</v>
      </c>
      <c r="J194" t="s">
        <v>22</v>
      </c>
      <c r="K194" t="s">
        <v>23</v>
      </c>
      <c r="L194" t="s">
        <v>215</v>
      </c>
      <c r="M194">
        <v>90.540945905409458</v>
      </c>
      <c r="O194">
        <v>10.447048526362833</v>
      </c>
      <c r="Q194">
        <v>89.552951473637165</v>
      </c>
      <c r="S194">
        <v>26.998023936265938</v>
      </c>
      <c r="U194">
        <v>33.571910987889467</v>
      </c>
      <c r="W194">
        <v>51.648284078472464</v>
      </c>
    </row>
    <row r="195" spans="1:24" x14ac:dyDescent="0.35">
      <c r="A195">
        <v>193</v>
      </c>
      <c r="B195">
        <v>46055</v>
      </c>
      <c r="C195" t="s">
        <v>16</v>
      </c>
      <c r="D195">
        <v>29</v>
      </c>
      <c r="E195" t="s">
        <v>331</v>
      </c>
      <c r="F195" t="s">
        <v>332</v>
      </c>
      <c r="G195" t="s">
        <v>333</v>
      </c>
      <c r="H195" t="s">
        <v>334</v>
      </c>
      <c r="I195" t="s">
        <v>335</v>
      </c>
      <c r="J195" t="s">
        <v>22</v>
      </c>
      <c r="K195" t="s">
        <v>23</v>
      </c>
      <c r="L195" t="s">
        <v>303</v>
      </c>
      <c r="M195">
        <v>91.014492753623244</v>
      </c>
      <c r="N195">
        <v>91.03358847418238</v>
      </c>
      <c r="O195">
        <v>8.0040311974032736</v>
      </c>
      <c r="P195">
        <v>10.426287808953671</v>
      </c>
      <c r="Q195">
        <v>91.995968802596721</v>
      </c>
      <c r="R195">
        <v>89.573712191046326</v>
      </c>
      <c r="S195">
        <v>21.69628457518186</v>
      </c>
      <c r="T195">
        <v>21.69628457518186</v>
      </c>
      <c r="U195">
        <v>33.901700784130725</v>
      </c>
      <c r="V195">
        <v>33.70085178218784</v>
      </c>
      <c r="W195">
        <v>53.949644391233065</v>
      </c>
      <c r="X195">
        <v>53.522162359826567</v>
      </c>
    </row>
    <row r="196" spans="1:24" x14ac:dyDescent="0.35">
      <c r="A196">
        <v>194</v>
      </c>
      <c r="B196">
        <v>46055</v>
      </c>
      <c r="C196" t="s">
        <v>16</v>
      </c>
      <c r="D196">
        <v>29</v>
      </c>
      <c r="E196" t="s">
        <v>331</v>
      </c>
      <c r="F196" t="s">
        <v>332</v>
      </c>
      <c r="G196" t="s">
        <v>333</v>
      </c>
      <c r="H196" t="s">
        <v>334</v>
      </c>
      <c r="I196" t="s">
        <v>335</v>
      </c>
      <c r="J196" t="s">
        <v>22</v>
      </c>
      <c r="K196" t="s">
        <v>23</v>
      </c>
      <c r="L196" t="s">
        <v>303</v>
      </c>
      <c r="M196">
        <v>91.052684194741502</v>
      </c>
      <c r="O196">
        <v>12.848544420504068</v>
      </c>
      <c r="Q196">
        <v>87.151455579495931</v>
      </c>
      <c r="S196">
        <v>21.69628457518186</v>
      </c>
      <c r="U196">
        <v>33.500002780244955</v>
      </c>
      <c r="W196">
        <v>53.094680328420075</v>
      </c>
    </row>
    <row r="197" spans="1:24" x14ac:dyDescent="0.35">
      <c r="A197">
        <v>195</v>
      </c>
      <c r="B197">
        <v>46055</v>
      </c>
      <c r="C197" t="s">
        <v>16</v>
      </c>
      <c r="D197">
        <v>29</v>
      </c>
      <c r="E197" t="s">
        <v>336</v>
      </c>
      <c r="F197" t="s">
        <v>337</v>
      </c>
      <c r="G197" t="s">
        <v>264</v>
      </c>
      <c r="H197" t="s">
        <v>265</v>
      </c>
      <c r="I197" t="s">
        <v>266</v>
      </c>
      <c r="J197" t="s">
        <v>22</v>
      </c>
      <c r="K197" t="s">
        <v>23</v>
      </c>
      <c r="L197" t="s">
        <v>215</v>
      </c>
      <c r="M197">
        <v>92.12157568486306</v>
      </c>
      <c r="N197">
        <v>92.176176303585407</v>
      </c>
      <c r="O197">
        <v>11.942129606306716</v>
      </c>
      <c r="P197">
        <v>11.530513846002735</v>
      </c>
      <c r="Q197">
        <v>88.057870393693278</v>
      </c>
      <c r="R197">
        <v>88.469486153997252</v>
      </c>
      <c r="S197">
        <v>27.96478551583979</v>
      </c>
      <c r="T197">
        <v>27.96478551583979</v>
      </c>
      <c r="U197">
        <v>25.267587312017319</v>
      </c>
      <c r="V197">
        <v>24.721835442152837</v>
      </c>
      <c r="W197">
        <v>44.205627157784718</v>
      </c>
      <c r="X197">
        <v>47.098470034237963</v>
      </c>
    </row>
    <row r="198" spans="1:24" x14ac:dyDescent="0.35">
      <c r="A198">
        <v>196</v>
      </c>
      <c r="B198">
        <v>46055</v>
      </c>
      <c r="C198" t="s">
        <v>16</v>
      </c>
      <c r="D198">
        <v>29</v>
      </c>
      <c r="E198" t="s">
        <v>336</v>
      </c>
      <c r="F198" t="s">
        <v>337</v>
      </c>
      <c r="G198" t="s">
        <v>264</v>
      </c>
      <c r="H198" t="s">
        <v>265</v>
      </c>
      <c r="I198" t="s">
        <v>266</v>
      </c>
      <c r="J198" t="s">
        <v>22</v>
      </c>
      <c r="K198" t="s">
        <v>23</v>
      </c>
      <c r="L198" t="s">
        <v>215</v>
      </c>
      <c r="M198">
        <v>92.23077692230774</v>
      </c>
      <c r="O198">
        <v>11.118898085698754</v>
      </c>
      <c r="Q198">
        <v>88.88110191430124</v>
      </c>
      <c r="S198">
        <v>27.96478551583979</v>
      </c>
      <c r="U198">
        <v>24.176083572288356</v>
      </c>
      <c r="W198">
        <v>49.9913129106912</v>
      </c>
    </row>
    <row r="199" spans="1:24" x14ac:dyDescent="0.35">
      <c r="A199">
        <v>197</v>
      </c>
      <c r="B199">
        <v>46055</v>
      </c>
      <c r="C199" t="s">
        <v>16</v>
      </c>
      <c r="D199">
        <v>29</v>
      </c>
      <c r="E199" t="s">
        <v>338</v>
      </c>
      <c r="F199" t="s">
        <v>339</v>
      </c>
      <c r="G199" t="s">
        <v>219</v>
      </c>
      <c r="H199" t="s">
        <v>253</v>
      </c>
      <c r="I199" t="s">
        <v>254</v>
      </c>
      <c r="J199" t="s">
        <v>22</v>
      </c>
      <c r="K199" t="s">
        <v>23</v>
      </c>
      <c r="L199" t="s">
        <v>215</v>
      </c>
      <c r="M199">
        <v>90.499999999999943</v>
      </c>
      <c r="N199">
        <v>90.605928814237089</v>
      </c>
      <c r="O199">
        <v>11.401019927932941</v>
      </c>
      <c r="P199">
        <v>12.050921361382503</v>
      </c>
      <c r="Q199">
        <v>88.598980072067064</v>
      </c>
      <c r="R199">
        <v>87.949078638617493</v>
      </c>
      <c r="S199">
        <v>27.744721817861834</v>
      </c>
      <c r="T199">
        <v>27.744721817861834</v>
      </c>
      <c r="U199">
        <v>27.765210989906425</v>
      </c>
      <c r="V199">
        <v>27.282639876858141</v>
      </c>
      <c r="W199">
        <v>49.272094604876287</v>
      </c>
      <c r="X199">
        <v>48.091710361542475</v>
      </c>
    </row>
    <row r="200" spans="1:24" x14ac:dyDescent="0.35">
      <c r="A200">
        <v>198</v>
      </c>
      <c r="B200">
        <v>46055</v>
      </c>
      <c r="C200" t="s">
        <v>16</v>
      </c>
      <c r="D200">
        <v>29</v>
      </c>
      <c r="E200" t="s">
        <v>338</v>
      </c>
      <c r="F200" t="s">
        <v>339</v>
      </c>
      <c r="G200" t="s">
        <v>219</v>
      </c>
      <c r="H200" t="s">
        <v>253</v>
      </c>
      <c r="I200" t="s">
        <v>254</v>
      </c>
      <c r="J200" t="s">
        <v>22</v>
      </c>
      <c r="K200" t="s">
        <v>23</v>
      </c>
      <c r="L200" t="s">
        <v>215</v>
      </c>
      <c r="M200">
        <v>90.711857628474235</v>
      </c>
      <c r="O200">
        <v>12.700822794832064</v>
      </c>
      <c r="Q200">
        <v>87.299177205167936</v>
      </c>
      <c r="S200">
        <v>27.744721817861834</v>
      </c>
      <c r="U200">
        <v>26.800068763809854</v>
      </c>
      <c r="W200">
        <v>46.911326118208663</v>
      </c>
    </row>
    <row r="201" spans="1:24" x14ac:dyDescent="0.35">
      <c r="A201">
        <v>199</v>
      </c>
      <c r="B201">
        <v>46055</v>
      </c>
      <c r="C201" t="s">
        <v>16</v>
      </c>
      <c r="D201">
        <v>29</v>
      </c>
      <c r="E201" t="s">
        <v>340</v>
      </c>
      <c r="F201" t="s">
        <v>341</v>
      </c>
      <c r="G201" t="s">
        <v>333</v>
      </c>
      <c r="H201" t="s">
        <v>334</v>
      </c>
      <c r="I201" t="s">
        <v>335</v>
      </c>
      <c r="J201" t="s">
        <v>22</v>
      </c>
      <c r="K201" t="s">
        <v>23</v>
      </c>
      <c r="L201" t="s">
        <v>303</v>
      </c>
      <c r="M201">
        <v>92.554467319608236</v>
      </c>
      <c r="N201">
        <v>92.479132710278932</v>
      </c>
      <c r="O201">
        <v>15.388834979573776</v>
      </c>
      <c r="P201">
        <v>11.677108841714169</v>
      </c>
      <c r="Q201">
        <v>84.611165020426228</v>
      </c>
      <c r="R201">
        <v>88.322891158285842</v>
      </c>
      <c r="S201">
        <v>26.980756921854944</v>
      </c>
      <c r="T201">
        <v>26.980756921854944</v>
      </c>
      <c r="U201">
        <v>27.253123076779872</v>
      </c>
      <c r="V201">
        <v>27.500504990428773</v>
      </c>
      <c r="W201">
        <v>45.01502209737864</v>
      </c>
      <c r="X201">
        <v>45.507186045462213</v>
      </c>
    </row>
    <row r="202" spans="1:24" x14ac:dyDescent="0.35">
      <c r="A202">
        <v>200</v>
      </c>
      <c r="B202">
        <v>46055</v>
      </c>
      <c r="C202" t="s">
        <v>16</v>
      </c>
      <c r="D202">
        <v>29</v>
      </c>
      <c r="E202" t="s">
        <v>340</v>
      </c>
      <c r="F202" t="s">
        <v>341</v>
      </c>
      <c r="G202" t="s">
        <v>333</v>
      </c>
      <c r="H202" t="s">
        <v>334</v>
      </c>
      <c r="I202" t="s">
        <v>335</v>
      </c>
      <c r="J202" t="s">
        <v>22</v>
      </c>
      <c r="K202" t="s">
        <v>23</v>
      </c>
      <c r="L202" t="s">
        <v>303</v>
      </c>
      <c r="M202">
        <v>92.403798100949629</v>
      </c>
      <c r="O202">
        <v>7.9653827038545622</v>
      </c>
      <c r="Q202">
        <v>92.034617296145441</v>
      </c>
      <c r="S202">
        <v>26.980756921854944</v>
      </c>
      <c r="U202">
        <v>27.747886904077674</v>
      </c>
      <c r="W202">
        <v>45.999349993545785</v>
      </c>
    </row>
    <row r="203" spans="1:24" x14ac:dyDescent="0.35">
      <c r="A203">
        <v>201</v>
      </c>
      <c r="B203">
        <v>46055</v>
      </c>
      <c r="C203" t="s">
        <v>16</v>
      </c>
      <c r="D203">
        <v>29</v>
      </c>
      <c r="E203" t="s">
        <v>342</v>
      </c>
      <c r="F203" t="s">
        <v>343</v>
      </c>
      <c r="G203" t="s">
        <v>212</v>
      </c>
      <c r="H203" t="s">
        <v>301</v>
      </c>
      <c r="I203" t="s">
        <v>302</v>
      </c>
      <c r="J203" t="s">
        <v>22</v>
      </c>
      <c r="K203" t="s">
        <v>23</v>
      </c>
      <c r="L203" t="s">
        <v>303</v>
      </c>
      <c r="M203">
        <v>92.581483703259366</v>
      </c>
      <c r="N203">
        <v>92.565741851629753</v>
      </c>
      <c r="O203">
        <v>10.768569666624227</v>
      </c>
      <c r="P203">
        <v>10.866874718600904</v>
      </c>
      <c r="Q203">
        <v>89.231430333375769</v>
      </c>
      <c r="R203">
        <v>89.133125281399089</v>
      </c>
      <c r="S203">
        <v>18.225289875128052</v>
      </c>
      <c r="T203">
        <v>18.225289875128052</v>
      </c>
      <c r="U203">
        <v>36.936409572680162</v>
      </c>
      <c r="V203">
        <v>36.916497530544866</v>
      </c>
      <c r="W203">
        <v>58.826168425062086</v>
      </c>
      <c r="X203">
        <v>59.769762667606479</v>
      </c>
    </row>
    <row r="204" spans="1:24" x14ac:dyDescent="0.35">
      <c r="A204">
        <v>202</v>
      </c>
      <c r="B204">
        <v>46055</v>
      </c>
      <c r="C204" t="s">
        <v>16</v>
      </c>
      <c r="D204">
        <v>29</v>
      </c>
      <c r="E204" t="s">
        <v>342</v>
      </c>
      <c r="F204" t="s">
        <v>343</v>
      </c>
      <c r="G204" t="s">
        <v>212</v>
      </c>
      <c r="H204" t="s">
        <v>301</v>
      </c>
      <c r="I204" t="s">
        <v>302</v>
      </c>
      <c r="J204" t="s">
        <v>22</v>
      </c>
      <c r="K204" t="s">
        <v>23</v>
      </c>
      <c r="L204" t="s">
        <v>303</v>
      </c>
      <c r="M204">
        <v>92.550000000000125</v>
      </c>
      <c r="O204">
        <v>10.96517977057758</v>
      </c>
      <c r="Q204">
        <v>89.034820229422422</v>
      </c>
      <c r="S204">
        <v>18.225289875128052</v>
      </c>
      <c r="U204">
        <v>36.896585488409571</v>
      </c>
      <c r="W204">
        <v>60.713356910150871</v>
      </c>
    </row>
    <row r="205" spans="1:24" x14ac:dyDescent="0.35">
      <c r="A205">
        <v>203</v>
      </c>
      <c r="B205">
        <v>46055</v>
      </c>
      <c r="C205" t="s">
        <v>16</v>
      </c>
      <c r="D205">
        <v>29</v>
      </c>
      <c r="E205" t="s">
        <v>344</v>
      </c>
      <c r="F205" t="s">
        <v>345</v>
      </c>
      <c r="G205" t="s">
        <v>346</v>
      </c>
      <c r="H205" t="s">
        <v>347</v>
      </c>
      <c r="I205" t="s">
        <v>348</v>
      </c>
      <c r="J205" t="s">
        <v>22</v>
      </c>
      <c r="K205" t="s">
        <v>23</v>
      </c>
      <c r="L205" t="s">
        <v>303</v>
      </c>
      <c r="M205">
        <v>92.781443711257836</v>
      </c>
      <c r="N205">
        <v>92.807513459826822</v>
      </c>
      <c r="O205">
        <v>12.356441877598884</v>
      </c>
      <c r="P205">
        <v>12.273817300985836</v>
      </c>
      <c r="Q205">
        <v>87.643558122401117</v>
      </c>
      <c r="R205">
        <v>87.726182699014174</v>
      </c>
      <c r="S205">
        <v>18.142715294395835</v>
      </c>
      <c r="T205">
        <v>18.142715294395835</v>
      </c>
      <c r="U205">
        <v>40.906148058339589</v>
      </c>
      <c r="V205">
        <v>41.119709100706025</v>
      </c>
      <c r="W205">
        <v>56.80832740866677</v>
      </c>
      <c r="X205">
        <v>56.802100988150428</v>
      </c>
    </row>
    <row r="206" spans="1:24" x14ac:dyDescent="0.35">
      <c r="A206">
        <v>204</v>
      </c>
      <c r="B206">
        <v>46055</v>
      </c>
      <c r="C206" t="s">
        <v>16</v>
      </c>
      <c r="D206">
        <v>29</v>
      </c>
      <c r="E206" t="s">
        <v>344</v>
      </c>
      <c r="F206" t="s">
        <v>345</v>
      </c>
      <c r="G206" t="s">
        <v>346</v>
      </c>
      <c r="H206" t="s">
        <v>347</v>
      </c>
      <c r="I206" t="s">
        <v>348</v>
      </c>
      <c r="J206" t="s">
        <v>22</v>
      </c>
      <c r="K206" t="s">
        <v>23</v>
      </c>
      <c r="L206" t="s">
        <v>303</v>
      </c>
      <c r="M206">
        <v>92.833583208395794</v>
      </c>
      <c r="O206">
        <v>12.191192724372788</v>
      </c>
      <c r="Q206">
        <v>87.808807275627217</v>
      </c>
      <c r="S206">
        <v>18.142715294395835</v>
      </c>
      <c r="U206">
        <v>41.333270143072461</v>
      </c>
      <c r="W206">
        <v>56.795874567634094</v>
      </c>
    </row>
    <row r="207" spans="1:24" x14ac:dyDescent="0.35">
      <c r="A207">
        <v>205</v>
      </c>
      <c r="B207">
        <v>46055</v>
      </c>
      <c r="C207" t="s">
        <v>16</v>
      </c>
      <c r="D207">
        <v>29</v>
      </c>
      <c r="E207" t="s">
        <v>349</v>
      </c>
      <c r="F207" t="s">
        <v>350</v>
      </c>
      <c r="G207" t="s">
        <v>212</v>
      </c>
      <c r="H207" t="s">
        <v>351</v>
      </c>
      <c r="I207" t="s">
        <v>352</v>
      </c>
      <c r="J207" t="s">
        <v>22</v>
      </c>
      <c r="K207" t="s">
        <v>23</v>
      </c>
      <c r="L207" t="s">
        <v>215</v>
      </c>
      <c r="M207">
        <v>92.75072492750725</v>
      </c>
      <c r="N207">
        <v>92.766084319382458</v>
      </c>
      <c r="O207">
        <v>9.8194174712920717</v>
      </c>
      <c r="P207">
        <v>9.9267030610067515</v>
      </c>
      <c r="Q207">
        <v>90.18058252870793</v>
      </c>
      <c r="R207">
        <v>90.073296938993252</v>
      </c>
      <c r="S207">
        <v>13.603227278666502</v>
      </c>
      <c r="T207">
        <v>13.497157695731715</v>
      </c>
      <c r="U207">
        <v>35.466057633050482</v>
      </c>
      <c r="V207">
        <v>36.094641414755685</v>
      </c>
      <c r="W207">
        <v>58.985507342359867</v>
      </c>
      <c r="X207">
        <v>58.824995503590372</v>
      </c>
    </row>
    <row r="208" spans="1:24" x14ac:dyDescent="0.35">
      <c r="A208">
        <v>206</v>
      </c>
      <c r="B208">
        <v>46055</v>
      </c>
      <c r="C208" t="s">
        <v>16</v>
      </c>
      <c r="D208">
        <v>29</v>
      </c>
      <c r="E208" t="s">
        <v>349</v>
      </c>
      <c r="F208" t="s">
        <v>350</v>
      </c>
      <c r="G208" t="s">
        <v>212</v>
      </c>
      <c r="H208" t="s">
        <v>351</v>
      </c>
      <c r="I208" t="s">
        <v>352</v>
      </c>
      <c r="J208" t="s">
        <v>22</v>
      </c>
      <c r="K208" t="s">
        <v>23</v>
      </c>
      <c r="L208" t="s">
        <v>215</v>
      </c>
      <c r="M208">
        <v>92.781443711257666</v>
      </c>
      <c r="O208">
        <v>10.03398865072143</v>
      </c>
      <c r="Q208">
        <v>89.966011349278574</v>
      </c>
      <c r="S208">
        <v>13.391088112796931</v>
      </c>
      <c r="U208">
        <v>36.723225196460881</v>
      </c>
      <c r="W208">
        <v>58.664483664820878</v>
      </c>
    </row>
    <row r="209" spans="1:24" x14ac:dyDescent="0.35">
      <c r="A209">
        <v>207</v>
      </c>
      <c r="B209">
        <v>46055</v>
      </c>
      <c r="C209" t="s">
        <v>16</v>
      </c>
      <c r="D209">
        <v>29</v>
      </c>
      <c r="E209" t="s">
        <v>353</v>
      </c>
      <c r="F209" t="s">
        <v>354</v>
      </c>
      <c r="G209" t="s">
        <v>226</v>
      </c>
      <c r="H209" t="s">
        <v>227</v>
      </c>
      <c r="I209" t="s">
        <v>228</v>
      </c>
      <c r="J209" t="s">
        <v>22</v>
      </c>
      <c r="K209" t="s">
        <v>23</v>
      </c>
      <c r="L209" t="s">
        <v>215</v>
      </c>
      <c r="M209">
        <v>92.24387806096955</v>
      </c>
      <c r="N209">
        <v>92.297703877515374</v>
      </c>
      <c r="O209">
        <v>13.038225766120446</v>
      </c>
      <c r="P209">
        <v>13.072678126653653</v>
      </c>
      <c r="Q209">
        <v>86.961774233879552</v>
      </c>
      <c r="R209">
        <v>86.927321873346358</v>
      </c>
      <c r="S209">
        <v>26.641708781822125</v>
      </c>
      <c r="T209">
        <v>26.641708781822125</v>
      </c>
      <c r="U209">
        <v>26.4382087553643</v>
      </c>
      <c r="V209">
        <v>25.987197145073893</v>
      </c>
      <c r="W209">
        <v>45.166845910108087</v>
      </c>
      <c r="X209">
        <v>45.242068451157579</v>
      </c>
    </row>
    <row r="210" spans="1:24" x14ac:dyDescent="0.35">
      <c r="A210">
        <v>208</v>
      </c>
      <c r="B210">
        <v>46055</v>
      </c>
      <c r="C210" t="s">
        <v>16</v>
      </c>
      <c r="D210">
        <v>29</v>
      </c>
      <c r="E210" t="s">
        <v>353</v>
      </c>
      <c r="F210" t="s">
        <v>354</v>
      </c>
      <c r="G210" t="s">
        <v>226</v>
      </c>
      <c r="H210" t="s">
        <v>227</v>
      </c>
      <c r="I210" t="s">
        <v>228</v>
      </c>
      <c r="J210" t="s">
        <v>22</v>
      </c>
      <c r="K210" t="s">
        <v>23</v>
      </c>
      <c r="L210" t="s">
        <v>215</v>
      </c>
      <c r="M210">
        <v>92.351529694061213</v>
      </c>
      <c r="O210">
        <v>13.107130487186858</v>
      </c>
      <c r="Q210">
        <v>86.892869512813149</v>
      </c>
      <c r="S210">
        <v>26.641708781822125</v>
      </c>
      <c r="U210">
        <v>25.536185534783485</v>
      </c>
      <c r="W210">
        <v>45.31729099220707</v>
      </c>
    </row>
    <row r="211" spans="1:24" x14ac:dyDescent="0.35">
      <c r="A211">
        <v>209</v>
      </c>
      <c r="B211">
        <v>46055</v>
      </c>
      <c r="C211" t="s">
        <v>16</v>
      </c>
      <c r="D211">
        <v>29</v>
      </c>
      <c r="E211" t="s">
        <v>355</v>
      </c>
      <c r="F211" t="s">
        <v>356</v>
      </c>
      <c r="G211" t="s">
        <v>219</v>
      </c>
      <c r="H211" t="s">
        <v>253</v>
      </c>
      <c r="I211" t="s">
        <v>254</v>
      </c>
      <c r="J211" t="s">
        <v>22</v>
      </c>
      <c r="K211" t="s">
        <v>23</v>
      </c>
      <c r="L211" t="s">
        <v>215</v>
      </c>
      <c r="M211">
        <v>90.039999999999935</v>
      </c>
      <c r="N211">
        <v>90.072473763118381</v>
      </c>
      <c r="O211">
        <v>11.435236060117488</v>
      </c>
      <c r="P211">
        <v>11.421282057171805</v>
      </c>
      <c r="Q211">
        <v>88.564763939882511</v>
      </c>
      <c r="R211">
        <v>88.578717942828192</v>
      </c>
      <c r="S211">
        <v>23.163386625456138</v>
      </c>
      <c r="T211">
        <v>23.162229034920131</v>
      </c>
      <c r="U211">
        <v>30.787796068110524</v>
      </c>
      <c r="V211">
        <v>30.999400801541146</v>
      </c>
      <c r="W211">
        <v>49.243638643380372</v>
      </c>
      <c r="X211">
        <v>49.609829285498634</v>
      </c>
    </row>
    <row r="212" spans="1:24" x14ac:dyDescent="0.35">
      <c r="A212">
        <v>210</v>
      </c>
      <c r="B212">
        <v>46055</v>
      </c>
      <c r="C212" t="s">
        <v>16</v>
      </c>
      <c r="D212">
        <v>29</v>
      </c>
      <c r="E212" t="s">
        <v>355</v>
      </c>
      <c r="F212" t="s">
        <v>356</v>
      </c>
      <c r="G212" t="s">
        <v>219</v>
      </c>
      <c r="H212" t="s">
        <v>253</v>
      </c>
      <c r="I212" t="s">
        <v>254</v>
      </c>
      <c r="J212" t="s">
        <v>22</v>
      </c>
      <c r="K212" t="s">
        <v>23</v>
      </c>
      <c r="L212" t="s">
        <v>215</v>
      </c>
      <c r="M212">
        <v>90.104947526236828</v>
      </c>
      <c r="O212">
        <v>11.40732805422612</v>
      </c>
      <c r="Q212">
        <v>88.592671945773873</v>
      </c>
      <c r="S212">
        <v>23.161071444384127</v>
      </c>
      <c r="U212">
        <v>31.211005534971768</v>
      </c>
      <c r="W212">
        <v>49.976019927616896</v>
      </c>
    </row>
    <row r="213" spans="1:24" x14ac:dyDescent="0.35">
      <c r="A213">
        <v>211</v>
      </c>
      <c r="B213">
        <v>46055</v>
      </c>
      <c r="C213" t="s">
        <v>16</v>
      </c>
      <c r="D213">
        <v>29</v>
      </c>
      <c r="E213" t="s">
        <v>357</v>
      </c>
      <c r="F213" t="s">
        <v>358</v>
      </c>
      <c r="G213" t="s">
        <v>212</v>
      </c>
      <c r="H213" t="s">
        <v>359</v>
      </c>
      <c r="I213" t="s">
        <v>360</v>
      </c>
      <c r="J213" t="s">
        <v>22</v>
      </c>
      <c r="K213" t="s">
        <v>23</v>
      </c>
      <c r="L213" t="s">
        <v>215</v>
      </c>
      <c r="M213">
        <v>91.830816918308173</v>
      </c>
      <c r="N213">
        <v>91.875812418758159</v>
      </c>
      <c r="O213">
        <v>9.8383849376937373</v>
      </c>
      <c r="P213">
        <v>9.9091255373564344</v>
      </c>
      <c r="Q213">
        <v>90.161615062306268</v>
      </c>
      <c r="R213">
        <v>90.090874462643569</v>
      </c>
      <c r="S213">
        <v>16.293655903712867</v>
      </c>
      <c r="T213">
        <v>16.293655903712867</v>
      </c>
      <c r="U213">
        <v>35.855248399502528</v>
      </c>
      <c r="V213">
        <v>36.113348008427153</v>
      </c>
      <c r="W213">
        <v>53.771504079227128</v>
      </c>
      <c r="X213">
        <v>54.684912429868149</v>
      </c>
    </row>
    <row r="214" spans="1:24" x14ac:dyDescent="0.35">
      <c r="A214">
        <v>212</v>
      </c>
      <c r="B214">
        <v>46055</v>
      </c>
      <c r="C214" t="s">
        <v>16</v>
      </c>
      <c r="D214">
        <v>29</v>
      </c>
      <c r="E214" t="s">
        <v>357</v>
      </c>
      <c r="F214" t="s">
        <v>358</v>
      </c>
      <c r="G214" t="s">
        <v>212</v>
      </c>
      <c r="H214" t="s">
        <v>359</v>
      </c>
      <c r="I214" t="s">
        <v>360</v>
      </c>
      <c r="J214" t="s">
        <v>22</v>
      </c>
      <c r="K214" t="s">
        <v>23</v>
      </c>
      <c r="L214" t="s">
        <v>215</v>
      </c>
      <c r="M214">
        <v>91.920807919208144</v>
      </c>
      <c r="O214">
        <v>9.9798661370191333</v>
      </c>
      <c r="Q214">
        <v>90.02013386298087</v>
      </c>
      <c r="S214">
        <v>16.293655903712867</v>
      </c>
      <c r="U214">
        <v>36.371447617351777</v>
      </c>
      <c r="W214">
        <v>55.598320780509169</v>
      </c>
    </row>
    <row r="215" spans="1:24" x14ac:dyDescent="0.35">
      <c r="A215">
        <v>213</v>
      </c>
      <c r="B215">
        <v>46055</v>
      </c>
      <c r="C215" t="s">
        <v>16</v>
      </c>
      <c r="D215">
        <v>29</v>
      </c>
      <c r="E215" t="s">
        <v>361</v>
      </c>
      <c r="F215" t="s">
        <v>362</v>
      </c>
      <c r="G215" t="s">
        <v>219</v>
      </c>
      <c r="H215" t="s">
        <v>253</v>
      </c>
      <c r="I215" t="s">
        <v>254</v>
      </c>
      <c r="J215" t="s">
        <v>22</v>
      </c>
      <c r="K215" t="s">
        <v>23</v>
      </c>
      <c r="L215" t="s">
        <v>215</v>
      </c>
      <c r="M215">
        <v>91.754947031781015</v>
      </c>
      <c r="N215">
        <v>91.789108861752226</v>
      </c>
      <c r="O215">
        <v>12.281670666771719</v>
      </c>
      <c r="P215">
        <v>12.24478270352537</v>
      </c>
      <c r="Q215">
        <v>87.718329333228283</v>
      </c>
      <c r="R215">
        <v>87.755217296474626</v>
      </c>
      <c r="S215">
        <v>20.568244123206618</v>
      </c>
      <c r="T215">
        <v>20.568244123206618</v>
      </c>
      <c r="U215">
        <v>24.049174966639971</v>
      </c>
      <c r="V215">
        <v>24.323621212121893</v>
      </c>
      <c r="W215">
        <v>46.167509373158843</v>
      </c>
      <c r="X215">
        <v>46.958505808148288</v>
      </c>
    </row>
    <row r="216" spans="1:24" x14ac:dyDescent="0.35">
      <c r="A216">
        <v>214</v>
      </c>
      <c r="B216">
        <v>46055</v>
      </c>
      <c r="C216" t="s">
        <v>16</v>
      </c>
      <c r="D216">
        <v>29</v>
      </c>
      <c r="E216" t="s">
        <v>361</v>
      </c>
      <c r="F216" t="s">
        <v>362</v>
      </c>
      <c r="G216" t="s">
        <v>219</v>
      </c>
      <c r="H216" t="s">
        <v>253</v>
      </c>
      <c r="I216" t="s">
        <v>254</v>
      </c>
      <c r="J216" t="s">
        <v>22</v>
      </c>
      <c r="K216" t="s">
        <v>23</v>
      </c>
      <c r="L216" t="s">
        <v>215</v>
      </c>
      <c r="M216">
        <v>91.823270691723451</v>
      </c>
      <c r="O216">
        <v>12.20789474027902</v>
      </c>
      <c r="Q216">
        <v>87.792105259720984</v>
      </c>
      <c r="S216">
        <v>20.568244123206618</v>
      </c>
      <c r="U216">
        <v>24.598067457603811</v>
      </c>
      <c r="W216">
        <v>47.749502243137734</v>
      </c>
    </row>
    <row r="217" spans="1:24" x14ac:dyDescent="0.35">
      <c r="A217">
        <v>215</v>
      </c>
      <c r="B217">
        <v>46055</v>
      </c>
      <c r="C217" t="s">
        <v>16</v>
      </c>
      <c r="D217">
        <v>29</v>
      </c>
      <c r="E217" t="s">
        <v>363</v>
      </c>
      <c r="F217" t="s">
        <v>364</v>
      </c>
      <c r="G217" t="s">
        <v>219</v>
      </c>
      <c r="H217" t="s">
        <v>365</v>
      </c>
      <c r="I217" t="s">
        <v>366</v>
      </c>
      <c r="J217" t="s">
        <v>22</v>
      </c>
      <c r="K217" t="s">
        <v>23</v>
      </c>
      <c r="L217" t="s">
        <v>215</v>
      </c>
      <c r="M217">
        <v>90.721855628874138</v>
      </c>
      <c r="N217">
        <v>90.655927814437064</v>
      </c>
      <c r="O217">
        <v>12.748960537875631</v>
      </c>
      <c r="P217">
        <v>12.810904384461349</v>
      </c>
      <c r="Q217">
        <v>87.251039462124368</v>
      </c>
      <c r="R217">
        <v>87.189095615538648</v>
      </c>
      <c r="S217">
        <v>25.56369149675103</v>
      </c>
      <c r="T217">
        <v>25.56369149675103</v>
      </c>
      <c r="U217">
        <v>22.853700590077526</v>
      </c>
      <c r="V217">
        <v>22.650679533279096</v>
      </c>
      <c r="W217">
        <v>41.944848884716748</v>
      </c>
      <c r="X217">
        <v>41.974995691029363</v>
      </c>
    </row>
    <row r="218" spans="1:24" x14ac:dyDescent="0.35">
      <c r="A218">
        <v>216</v>
      </c>
      <c r="B218">
        <v>46055</v>
      </c>
      <c r="C218" t="s">
        <v>16</v>
      </c>
      <c r="D218">
        <v>29</v>
      </c>
      <c r="E218" t="s">
        <v>363</v>
      </c>
      <c r="F218" t="s">
        <v>364</v>
      </c>
      <c r="G218" t="s">
        <v>219</v>
      </c>
      <c r="H218" t="s">
        <v>365</v>
      </c>
      <c r="I218" t="s">
        <v>366</v>
      </c>
      <c r="J218" t="s">
        <v>22</v>
      </c>
      <c r="K218" t="s">
        <v>23</v>
      </c>
      <c r="L218" t="s">
        <v>215</v>
      </c>
      <c r="M218">
        <v>90.589999999999989</v>
      </c>
      <c r="O218">
        <v>12.872848231047069</v>
      </c>
      <c r="Q218">
        <v>87.127151768952928</v>
      </c>
      <c r="S218">
        <v>25.56369149675103</v>
      </c>
      <c r="U218">
        <v>22.447658476480665</v>
      </c>
      <c r="W218">
        <v>42.005142497341978</v>
      </c>
    </row>
    <row r="219" spans="1:24" x14ac:dyDescent="0.35">
      <c r="A219">
        <v>217</v>
      </c>
      <c r="B219">
        <v>46055</v>
      </c>
      <c r="C219" t="s">
        <v>16</v>
      </c>
      <c r="D219">
        <v>29</v>
      </c>
      <c r="E219" t="s">
        <v>367</v>
      </c>
      <c r="F219" t="s">
        <v>368</v>
      </c>
      <c r="G219" t="s">
        <v>219</v>
      </c>
      <c r="H219" t="s">
        <v>365</v>
      </c>
      <c r="I219" t="s">
        <v>366</v>
      </c>
      <c r="J219" t="s">
        <v>22</v>
      </c>
      <c r="K219" t="s">
        <v>23</v>
      </c>
      <c r="L219" t="s">
        <v>215</v>
      </c>
      <c r="M219">
        <v>91.060893910608968</v>
      </c>
      <c r="N219">
        <v>91.070892910708935</v>
      </c>
      <c r="O219">
        <v>12.351778656126461</v>
      </c>
      <c r="P219">
        <v>12.36824769433464</v>
      </c>
      <c r="Q219">
        <v>87.648221343873544</v>
      </c>
      <c r="R219">
        <v>87.631752305665373</v>
      </c>
      <c r="S219">
        <v>24.707049982964765</v>
      </c>
      <c r="T219">
        <v>24.707049982964765</v>
      </c>
      <c r="U219">
        <v>23.325938523882829</v>
      </c>
      <c r="V219">
        <v>23.370352412416224</v>
      </c>
      <c r="W219">
        <v>49.688673852842946</v>
      </c>
      <c r="X219">
        <v>48.960118782006177</v>
      </c>
    </row>
    <row r="220" spans="1:24" x14ac:dyDescent="0.35">
      <c r="A220">
        <v>218</v>
      </c>
      <c r="B220">
        <v>46055</v>
      </c>
      <c r="C220" t="s">
        <v>16</v>
      </c>
      <c r="D220">
        <v>29</v>
      </c>
      <c r="E220" t="s">
        <v>367</v>
      </c>
      <c r="F220" t="s">
        <v>368</v>
      </c>
      <c r="G220" t="s">
        <v>219</v>
      </c>
      <c r="H220" t="s">
        <v>365</v>
      </c>
      <c r="I220" t="s">
        <v>366</v>
      </c>
      <c r="J220" t="s">
        <v>22</v>
      </c>
      <c r="K220" t="s">
        <v>23</v>
      </c>
      <c r="L220" t="s">
        <v>215</v>
      </c>
      <c r="M220">
        <v>91.080891910808901</v>
      </c>
      <c r="O220">
        <v>12.384716732542818</v>
      </c>
      <c r="Q220">
        <v>87.615283267457187</v>
      </c>
      <c r="S220">
        <v>24.707049982964765</v>
      </c>
      <c r="U220">
        <v>23.414766300949623</v>
      </c>
      <c r="W220">
        <v>48.231563711169407</v>
      </c>
    </row>
    <row r="221" spans="1:24" x14ac:dyDescent="0.35">
      <c r="A221">
        <v>219</v>
      </c>
      <c r="B221">
        <v>46055</v>
      </c>
      <c r="C221" t="s">
        <v>16</v>
      </c>
      <c r="D221">
        <v>29</v>
      </c>
      <c r="E221" t="s">
        <v>369</v>
      </c>
      <c r="F221" t="s">
        <v>370</v>
      </c>
      <c r="G221" t="s">
        <v>219</v>
      </c>
      <c r="H221" t="s">
        <v>365</v>
      </c>
      <c r="I221" t="s">
        <v>366</v>
      </c>
      <c r="J221" t="s">
        <v>22</v>
      </c>
      <c r="K221" t="s">
        <v>23</v>
      </c>
      <c r="L221" t="s">
        <v>215</v>
      </c>
      <c r="M221">
        <v>91.605036977813299</v>
      </c>
      <c r="N221">
        <v>91.574632431935072</v>
      </c>
      <c r="O221">
        <v>10.346004301786929</v>
      </c>
      <c r="P221">
        <v>10.439295421829192</v>
      </c>
      <c r="Q221">
        <v>89.653995698213066</v>
      </c>
      <c r="R221">
        <v>89.5607045781708</v>
      </c>
      <c r="S221">
        <v>22.362805395352606</v>
      </c>
      <c r="T221">
        <v>22.362805395352606</v>
      </c>
      <c r="U221">
        <v>21.106033059567345</v>
      </c>
      <c r="V221">
        <v>20.672331398584671</v>
      </c>
      <c r="W221">
        <v>55.233531816468926</v>
      </c>
      <c r="X221">
        <v>54.266965470459603</v>
      </c>
    </row>
    <row r="222" spans="1:24" x14ac:dyDescent="0.35">
      <c r="A222">
        <v>220</v>
      </c>
      <c r="B222">
        <v>46055</v>
      </c>
      <c r="C222" t="s">
        <v>16</v>
      </c>
      <c r="D222">
        <v>29</v>
      </c>
      <c r="E222" t="s">
        <v>369</v>
      </c>
      <c r="F222" t="s">
        <v>370</v>
      </c>
      <c r="G222" t="s">
        <v>219</v>
      </c>
      <c r="H222" t="s">
        <v>365</v>
      </c>
      <c r="I222" t="s">
        <v>366</v>
      </c>
      <c r="J222" t="s">
        <v>22</v>
      </c>
      <c r="K222" t="s">
        <v>23</v>
      </c>
      <c r="L222" t="s">
        <v>215</v>
      </c>
      <c r="M222">
        <v>91.544227886056859</v>
      </c>
      <c r="O222">
        <v>10.532586541871455</v>
      </c>
      <c r="Q222">
        <v>89.467413458128547</v>
      </c>
      <c r="S222">
        <v>22.362805395352606</v>
      </c>
      <c r="U222">
        <v>20.238629737601997</v>
      </c>
      <c r="W222">
        <v>53.30039912445028</v>
      </c>
    </row>
    <row r="223" spans="1:24" x14ac:dyDescent="0.35">
      <c r="A223">
        <v>221</v>
      </c>
      <c r="B223">
        <v>46055</v>
      </c>
      <c r="C223" t="s">
        <v>16</v>
      </c>
      <c r="D223">
        <v>29</v>
      </c>
      <c r="E223" t="s">
        <v>371</v>
      </c>
      <c r="F223" t="s">
        <v>372</v>
      </c>
      <c r="G223" t="s">
        <v>219</v>
      </c>
      <c r="H223" t="s">
        <v>220</v>
      </c>
      <c r="I223" t="s">
        <v>221</v>
      </c>
      <c r="J223" t="s">
        <v>22</v>
      </c>
      <c r="K223" t="s">
        <v>23</v>
      </c>
      <c r="L223" t="s">
        <v>215</v>
      </c>
      <c r="M223">
        <v>89.593122063381031</v>
      </c>
      <c r="N223">
        <v>89.542611821532518</v>
      </c>
      <c r="O223">
        <v>10.260191924223884</v>
      </c>
      <c r="P223">
        <v>10.260704831238595</v>
      </c>
      <c r="Q223">
        <v>89.739808075776111</v>
      </c>
      <c r="R223">
        <v>89.739295168761402</v>
      </c>
      <c r="S223">
        <v>23.287884478466296</v>
      </c>
      <c r="T223">
        <v>23.287884478466296</v>
      </c>
      <c r="U223">
        <v>27.183082262073242</v>
      </c>
      <c r="V223">
        <v>27.821378052869541</v>
      </c>
      <c r="W223">
        <v>44.084767084329116</v>
      </c>
      <c r="X223">
        <v>44.746178148621006</v>
      </c>
    </row>
    <row r="224" spans="1:24" x14ac:dyDescent="0.35">
      <c r="A224">
        <v>222</v>
      </c>
      <c r="B224">
        <v>46055</v>
      </c>
      <c r="C224" t="s">
        <v>16</v>
      </c>
      <c r="D224">
        <v>29</v>
      </c>
      <c r="E224" t="s">
        <v>371</v>
      </c>
      <c r="F224" t="s">
        <v>372</v>
      </c>
      <c r="G224" t="s">
        <v>219</v>
      </c>
      <c r="H224" t="s">
        <v>220</v>
      </c>
      <c r="I224" t="s">
        <v>221</v>
      </c>
      <c r="J224" t="s">
        <v>22</v>
      </c>
      <c r="K224" t="s">
        <v>23</v>
      </c>
      <c r="L224" t="s">
        <v>215</v>
      </c>
      <c r="M224">
        <v>89.492101579684004</v>
      </c>
      <c r="O224">
        <v>10.261217738253304</v>
      </c>
      <c r="Q224">
        <v>89.738782261746692</v>
      </c>
      <c r="S224">
        <v>23.287884478466296</v>
      </c>
      <c r="U224">
        <v>28.459673843665843</v>
      </c>
      <c r="W224">
        <v>45.407589212912896</v>
      </c>
    </row>
    <row r="225" spans="1:24" x14ac:dyDescent="0.35">
      <c r="A225">
        <v>223</v>
      </c>
      <c r="B225">
        <v>46055</v>
      </c>
      <c r="C225" t="s">
        <v>16</v>
      </c>
      <c r="D225">
        <v>29</v>
      </c>
      <c r="E225" t="s">
        <v>373</v>
      </c>
      <c r="F225" t="s">
        <v>374</v>
      </c>
      <c r="G225" t="s">
        <v>219</v>
      </c>
      <c r="H225" t="s">
        <v>253</v>
      </c>
      <c r="I225" t="s">
        <v>254</v>
      </c>
      <c r="J225" t="s">
        <v>22</v>
      </c>
      <c r="K225" t="s">
        <v>23</v>
      </c>
      <c r="L225" t="s">
        <v>215</v>
      </c>
      <c r="M225">
        <v>90.561887622475524</v>
      </c>
      <c r="N225">
        <v>90.482383379367292</v>
      </c>
      <c r="O225">
        <v>12.165681350544594</v>
      </c>
      <c r="P225">
        <v>11.993820560639854</v>
      </c>
      <c r="Q225">
        <v>87.834318649455412</v>
      </c>
      <c r="R225">
        <v>88.006179439360153</v>
      </c>
      <c r="S225">
        <v>22.863588720097063</v>
      </c>
      <c r="T225">
        <v>22.863588720097063</v>
      </c>
      <c r="U225">
        <v>22.214710815752284</v>
      </c>
      <c r="V225">
        <v>22.342212979163186</v>
      </c>
      <c r="W225">
        <v>48.13623771294823</v>
      </c>
      <c r="X225">
        <v>48.635901858484516</v>
      </c>
    </row>
    <row r="226" spans="1:24" x14ac:dyDescent="0.35">
      <c r="A226">
        <v>224</v>
      </c>
      <c r="B226">
        <v>46055</v>
      </c>
      <c r="C226" t="s">
        <v>16</v>
      </c>
      <c r="D226">
        <v>29</v>
      </c>
      <c r="E226" t="s">
        <v>373</v>
      </c>
      <c r="F226" t="s">
        <v>374</v>
      </c>
      <c r="G226" t="s">
        <v>219</v>
      </c>
      <c r="H226" t="s">
        <v>253</v>
      </c>
      <c r="I226" t="s">
        <v>254</v>
      </c>
      <c r="J226" t="s">
        <v>22</v>
      </c>
      <c r="K226" t="s">
        <v>23</v>
      </c>
      <c r="L226" t="s">
        <v>215</v>
      </c>
      <c r="M226">
        <v>90.402879136259045</v>
      </c>
      <c r="O226">
        <v>11.821959770735116</v>
      </c>
      <c r="Q226">
        <v>88.17804022926488</v>
      </c>
      <c r="S226">
        <v>22.863588720097063</v>
      </c>
      <c r="U226">
        <v>22.469715142574092</v>
      </c>
      <c r="W226">
        <v>49.135566004020809</v>
      </c>
    </row>
    <row r="227" spans="1:24" x14ac:dyDescent="0.35">
      <c r="A227">
        <v>225</v>
      </c>
      <c r="B227">
        <v>46055</v>
      </c>
      <c r="C227" t="s">
        <v>16</v>
      </c>
      <c r="D227">
        <v>29</v>
      </c>
      <c r="E227" t="s">
        <v>375</v>
      </c>
      <c r="F227" t="s">
        <v>376</v>
      </c>
      <c r="G227" t="s">
        <v>219</v>
      </c>
      <c r="H227" t="s">
        <v>253</v>
      </c>
      <c r="I227" t="s">
        <v>254</v>
      </c>
      <c r="J227" t="s">
        <v>22</v>
      </c>
      <c r="K227" t="s">
        <v>23</v>
      </c>
      <c r="L227" t="s">
        <v>215</v>
      </c>
      <c r="M227">
        <v>89.462107578484392</v>
      </c>
      <c r="N227">
        <v>89.492625317783649</v>
      </c>
      <c r="O227">
        <v>11.92038605285477</v>
      </c>
      <c r="P227">
        <v>11.997985489344817</v>
      </c>
      <c r="Q227">
        <v>88.079613947145234</v>
      </c>
      <c r="R227">
        <v>88.002014510655187</v>
      </c>
      <c r="S227">
        <v>32.509384991699882</v>
      </c>
      <c r="T227">
        <v>32.464899703970843</v>
      </c>
      <c r="U227">
        <v>23.312842132515428</v>
      </c>
      <c r="V227">
        <v>25.269234630721314</v>
      </c>
      <c r="W227">
        <v>43.223727543227447</v>
      </c>
      <c r="X227">
        <v>42.676507308875443</v>
      </c>
    </row>
    <row r="228" spans="1:24" x14ac:dyDescent="0.35">
      <c r="A228">
        <v>226</v>
      </c>
      <c r="B228">
        <v>46055</v>
      </c>
      <c r="C228" t="s">
        <v>16</v>
      </c>
      <c r="D228">
        <v>29</v>
      </c>
      <c r="E228" t="s">
        <v>375</v>
      </c>
      <c r="F228" t="s">
        <v>376</v>
      </c>
      <c r="G228" t="s">
        <v>219</v>
      </c>
      <c r="H228" t="s">
        <v>253</v>
      </c>
      <c r="I228" t="s">
        <v>254</v>
      </c>
      <c r="J228" t="s">
        <v>22</v>
      </c>
      <c r="K228" t="s">
        <v>23</v>
      </c>
      <c r="L228" t="s">
        <v>215</v>
      </c>
      <c r="M228">
        <v>89.523143057082905</v>
      </c>
      <c r="O228">
        <v>12.075584925834866</v>
      </c>
      <c r="Q228">
        <v>87.92441507416514</v>
      </c>
      <c r="S228">
        <v>32.420414416241812</v>
      </c>
      <c r="U228">
        <v>27.225627128927204</v>
      </c>
      <c r="W228">
        <v>42.12928707452344</v>
      </c>
    </row>
    <row r="229" spans="1:24" x14ac:dyDescent="0.35">
      <c r="A229">
        <v>227</v>
      </c>
      <c r="B229">
        <v>46055</v>
      </c>
      <c r="C229" t="s">
        <v>16</v>
      </c>
      <c r="D229">
        <v>29</v>
      </c>
      <c r="E229" t="s">
        <v>377</v>
      </c>
      <c r="F229" t="s">
        <v>378</v>
      </c>
      <c r="G229" t="s">
        <v>212</v>
      </c>
      <c r="H229" t="s">
        <v>379</v>
      </c>
      <c r="I229" t="s">
        <v>380</v>
      </c>
      <c r="J229" t="s">
        <v>22</v>
      </c>
      <c r="K229" t="s">
        <v>23</v>
      </c>
      <c r="L229" t="s">
        <v>381</v>
      </c>
      <c r="M229">
        <v>93.763741754947048</v>
      </c>
      <c r="N229">
        <v>93.792488753898226</v>
      </c>
      <c r="O229">
        <v>5.1998553621319132</v>
      </c>
      <c r="P229">
        <v>5.2168846792118364</v>
      </c>
      <c r="Q229">
        <v>94.800144637868087</v>
      </c>
      <c r="R229">
        <v>94.78311532078817</v>
      </c>
      <c r="S229">
        <v>16.813216997484169</v>
      </c>
      <c r="T229">
        <v>16.813216997484169</v>
      </c>
      <c r="U229">
        <v>58.104294581330052</v>
      </c>
      <c r="V229">
        <v>59.13848020217921</v>
      </c>
      <c r="W229">
        <v>64.699716864105</v>
      </c>
      <c r="X229">
        <v>65.418134291941641</v>
      </c>
    </row>
    <row r="230" spans="1:24" x14ac:dyDescent="0.35">
      <c r="A230">
        <v>228</v>
      </c>
      <c r="B230">
        <v>46055</v>
      </c>
      <c r="C230" t="s">
        <v>16</v>
      </c>
      <c r="D230">
        <v>29</v>
      </c>
      <c r="E230" t="s">
        <v>377</v>
      </c>
      <c r="F230" t="s">
        <v>378</v>
      </c>
      <c r="G230" t="s">
        <v>212</v>
      </c>
      <c r="H230" t="s">
        <v>379</v>
      </c>
      <c r="I230" t="s">
        <v>380</v>
      </c>
      <c r="J230" t="s">
        <v>22</v>
      </c>
      <c r="K230" t="s">
        <v>23</v>
      </c>
      <c r="L230" t="s">
        <v>381</v>
      </c>
      <c r="M230">
        <v>93.82123575284939</v>
      </c>
      <c r="O230">
        <v>5.2339139962917596</v>
      </c>
      <c r="Q230">
        <v>94.766086003708239</v>
      </c>
      <c r="S230">
        <v>16.813216997484169</v>
      </c>
      <c r="U230">
        <v>60.17266582302836</v>
      </c>
      <c r="W230">
        <v>66.136551719778268</v>
      </c>
    </row>
    <row r="231" spans="1:24" x14ac:dyDescent="0.35">
      <c r="A231">
        <v>229</v>
      </c>
      <c r="B231">
        <v>46055</v>
      </c>
      <c r="C231" t="s">
        <v>320</v>
      </c>
      <c r="D231">
        <v>29</v>
      </c>
      <c r="E231" t="s">
        <v>121</v>
      </c>
      <c r="F231" t="s">
        <v>122</v>
      </c>
      <c r="G231" t="s">
        <v>123</v>
      </c>
      <c r="H231" t="s">
        <v>124</v>
      </c>
      <c r="I231" t="s">
        <v>125</v>
      </c>
      <c r="J231" t="s">
        <v>108</v>
      </c>
      <c r="K231" t="s">
        <v>109</v>
      </c>
      <c r="L231" t="s">
        <v>110</v>
      </c>
      <c r="M231">
        <v>93.3</v>
      </c>
      <c r="N231">
        <v>93.55</v>
      </c>
      <c r="O231">
        <v>11.3</v>
      </c>
      <c r="P231">
        <v>11.4</v>
      </c>
      <c r="Q231">
        <v>88.7</v>
      </c>
      <c r="R231">
        <v>88.6</v>
      </c>
      <c r="S231">
        <v>0</v>
      </c>
      <c r="T231">
        <v>0</v>
      </c>
      <c r="U231">
        <v>0</v>
      </c>
      <c r="V231">
        <v>0</v>
      </c>
      <c r="W231">
        <v>76.099999999999994</v>
      </c>
      <c r="X231">
        <v>76.099999999999994</v>
      </c>
    </row>
    <row r="232" spans="1:24" x14ac:dyDescent="0.35">
      <c r="A232">
        <v>230</v>
      </c>
      <c r="B232">
        <v>46055</v>
      </c>
      <c r="C232" t="s">
        <v>320</v>
      </c>
      <c r="D232">
        <v>29</v>
      </c>
      <c r="E232" t="s">
        <v>121</v>
      </c>
      <c r="F232" t="s">
        <v>122</v>
      </c>
      <c r="G232" t="s">
        <v>123</v>
      </c>
      <c r="H232" t="s">
        <v>124</v>
      </c>
      <c r="I232" t="s">
        <v>125</v>
      </c>
      <c r="J232" t="s">
        <v>108</v>
      </c>
      <c r="K232" t="s">
        <v>109</v>
      </c>
      <c r="L232" t="s">
        <v>110</v>
      </c>
      <c r="M232">
        <v>93.8</v>
      </c>
      <c r="O232">
        <v>11.5</v>
      </c>
      <c r="Q232">
        <v>88.5</v>
      </c>
      <c r="S232">
        <v>0</v>
      </c>
      <c r="U232">
        <v>0</v>
      </c>
      <c r="W232">
        <v>76.099999999999994</v>
      </c>
    </row>
    <row r="233" spans="1:24" x14ac:dyDescent="0.35">
      <c r="B233">
        <v>46062</v>
      </c>
      <c r="C233" t="s">
        <v>16</v>
      </c>
      <c r="D233">
        <v>30</v>
      </c>
      <c r="E233" t="s">
        <v>384</v>
      </c>
      <c r="F233" t="s">
        <v>385</v>
      </c>
      <c r="G233" t="s">
        <v>226</v>
      </c>
      <c r="H233" t="s">
        <v>231</v>
      </c>
      <c r="I233" t="s">
        <v>232</v>
      </c>
      <c r="J233" t="s">
        <v>22</v>
      </c>
      <c r="K233" t="s">
        <v>23</v>
      </c>
      <c r="L233" t="s">
        <v>215</v>
      </c>
      <c r="M233">
        <v>92.734359384369498</v>
      </c>
      <c r="N233">
        <v>92.602932541614905</v>
      </c>
      <c r="O233">
        <v>10.673603186187734</v>
      </c>
      <c r="P233">
        <v>10.540779545515475</v>
      </c>
      <c r="Q233">
        <v>89.326396813812266</v>
      </c>
      <c r="R233">
        <v>89.459220454484523</v>
      </c>
      <c r="S233">
        <v>18.342831355874488</v>
      </c>
      <c r="T233">
        <v>18.469606162913962</v>
      </c>
      <c r="U233">
        <v>35.83839105688886</v>
      </c>
      <c r="V233">
        <v>36.081738212564389</v>
      </c>
      <c r="W233">
        <v>55.827118398255053</v>
      </c>
      <c r="X233">
        <v>55.460537512850223</v>
      </c>
    </row>
    <row r="234" spans="1:24" x14ac:dyDescent="0.35">
      <c r="B234">
        <v>46062</v>
      </c>
      <c r="C234" t="s">
        <v>16</v>
      </c>
      <c r="D234">
        <v>30</v>
      </c>
      <c r="E234" t="s">
        <v>384</v>
      </c>
      <c r="F234" t="s">
        <v>385</v>
      </c>
      <c r="G234" t="s">
        <v>226</v>
      </c>
      <c r="H234" t="s">
        <v>231</v>
      </c>
      <c r="I234" t="s">
        <v>232</v>
      </c>
      <c r="J234" t="s">
        <v>22</v>
      </c>
      <c r="K234" t="s">
        <v>23</v>
      </c>
      <c r="L234" t="s">
        <v>215</v>
      </c>
      <c r="M234">
        <v>92.471505698860327</v>
      </c>
      <c r="O234">
        <v>10.407955904843217</v>
      </c>
      <c r="Q234">
        <v>89.59204409515678</v>
      </c>
      <c r="S234">
        <v>18.596380969953437</v>
      </c>
      <c r="U234">
        <v>36.325085368239925</v>
      </c>
      <c r="W234">
        <v>55.093956627445387</v>
      </c>
    </row>
    <row r="235" spans="1:24" x14ac:dyDescent="0.35">
      <c r="B235">
        <v>46062</v>
      </c>
      <c r="C235" t="s">
        <v>16</v>
      </c>
      <c r="D235">
        <v>30</v>
      </c>
      <c r="E235" t="s">
        <v>388</v>
      </c>
      <c r="F235" t="s">
        <v>389</v>
      </c>
      <c r="G235" t="s">
        <v>226</v>
      </c>
      <c r="H235" t="s">
        <v>227</v>
      </c>
      <c r="I235" t="s">
        <v>228</v>
      </c>
      <c r="J235" t="s">
        <v>22</v>
      </c>
      <c r="K235" t="s">
        <v>23</v>
      </c>
      <c r="L235" t="s">
        <v>215</v>
      </c>
      <c r="M235">
        <v>92.573713143428265</v>
      </c>
      <c r="N235">
        <v>92.582967738364118</v>
      </c>
      <c r="O235">
        <v>12.37190073225724</v>
      </c>
      <c r="P235">
        <v>12.356940726192665</v>
      </c>
      <c r="Q235">
        <v>87.628099267742755</v>
      </c>
      <c r="R235">
        <v>87.643059273807324</v>
      </c>
      <c r="S235">
        <v>22.842056715834623</v>
      </c>
      <c r="T235">
        <v>22.842056715834623</v>
      </c>
      <c r="U235">
        <v>35.237029127190247</v>
      </c>
      <c r="V235">
        <v>35.742916163503722</v>
      </c>
      <c r="W235">
        <v>52.300297351890748</v>
      </c>
      <c r="X235">
        <v>52.823352680258232</v>
      </c>
    </row>
    <row r="236" spans="1:24" x14ac:dyDescent="0.35">
      <c r="B236">
        <v>46062</v>
      </c>
      <c r="C236" t="s">
        <v>16</v>
      </c>
      <c r="D236">
        <v>30</v>
      </c>
      <c r="E236" t="s">
        <v>388</v>
      </c>
      <c r="F236" t="s">
        <v>389</v>
      </c>
      <c r="G236" t="s">
        <v>226</v>
      </c>
      <c r="H236" t="s">
        <v>227</v>
      </c>
      <c r="I236" t="s">
        <v>228</v>
      </c>
      <c r="J236" t="s">
        <v>22</v>
      </c>
      <c r="K236" t="s">
        <v>23</v>
      </c>
      <c r="L236" t="s">
        <v>215</v>
      </c>
      <c r="M236">
        <v>92.592222333299972</v>
      </c>
      <c r="O236">
        <v>12.341980720128092</v>
      </c>
      <c r="Q236">
        <v>87.658019279871908</v>
      </c>
      <c r="S236">
        <v>22.842056715834623</v>
      </c>
      <c r="U236">
        <v>36.248803199817196</v>
      </c>
      <c r="W236">
        <v>53.346408008625716</v>
      </c>
    </row>
    <row r="237" spans="1:24" x14ac:dyDescent="0.35">
      <c r="B237">
        <v>46062</v>
      </c>
      <c r="C237" t="s">
        <v>16</v>
      </c>
      <c r="D237">
        <v>30</v>
      </c>
      <c r="E237" t="s">
        <v>390</v>
      </c>
      <c r="F237" t="s">
        <v>391</v>
      </c>
      <c r="G237" t="s">
        <v>290</v>
      </c>
      <c r="H237" t="s">
        <v>314</v>
      </c>
      <c r="I237" t="s">
        <v>315</v>
      </c>
      <c r="J237" t="s">
        <v>22</v>
      </c>
      <c r="K237" t="s">
        <v>23</v>
      </c>
      <c r="L237" t="s">
        <v>215</v>
      </c>
      <c r="M237">
        <v>94.789999999999978</v>
      </c>
      <c r="N237">
        <v>94.764999999999986</v>
      </c>
      <c r="O237">
        <v>11.639318313723383</v>
      </c>
      <c r="P237">
        <v>11.787052181712696</v>
      </c>
      <c r="Q237">
        <v>88.360681686276621</v>
      </c>
      <c r="R237">
        <v>88.212947818287304</v>
      </c>
      <c r="S237">
        <v>21.616260812288019</v>
      </c>
      <c r="T237">
        <v>21.616260812288019</v>
      </c>
      <c r="U237">
        <v>28.322696909664259</v>
      </c>
      <c r="V237">
        <v>27.756576978938149</v>
      </c>
      <c r="W237">
        <v>47.085541509421731</v>
      </c>
      <c r="X237">
        <v>47.599316851590814</v>
      </c>
    </row>
    <row r="238" spans="1:24" x14ac:dyDescent="0.35">
      <c r="B238">
        <v>46062</v>
      </c>
      <c r="C238" t="s">
        <v>16</v>
      </c>
      <c r="D238">
        <v>30</v>
      </c>
      <c r="E238" t="s">
        <v>390</v>
      </c>
      <c r="F238" t="s">
        <v>391</v>
      </c>
      <c r="G238" t="s">
        <v>290</v>
      </c>
      <c r="H238" t="s">
        <v>314</v>
      </c>
      <c r="I238" t="s">
        <v>315</v>
      </c>
      <c r="J238" t="s">
        <v>22</v>
      </c>
      <c r="K238" t="s">
        <v>23</v>
      </c>
      <c r="L238" t="s">
        <v>215</v>
      </c>
      <c r="M238">
        <v>94.740000000000009</v>
      </c>
      <c r="O238">
        <v>11.93478604970201</v>
      </c>
      <c r="Q238">
        <v>88.065213950297988</v>
      </c>
      <c r="S238">
        <v>21.616260812288019</v>
      </c>
      <c r="U238">
        <v>27.190457048212043</v>
      </c>
      <c r="W238">
        <v>48.11309219375989</v>
      </c>
    </row>
    <row r="239" spans="1:24" x14ac:dyDescent="0.35">
      <c r="B239">
        <v>46062</v>
      </c>
      <c r="C239" t="s">
        <v>16</v>
      </c>
      <c r="D239">
        <v>30</v>
      </c>
      <c r="E239" t="s">
        <v>392</v>
      </c>
      <c r="F239" t="s">
        <v>393</v>
      </c>
      <c r="G239" t="s">
        <v>226</v>
      </c>
      <c r="H239" t="s">
        <v>227</v>
      </c>
      <c r="I239" t="s">
        <v>228</v>
      </c>
      <c r="J239" t="s">
        <v>22</v>
      </c>
      <c r="K239" t="s">
        <v>23</v>
      </c>
      <c r="L239" t="s">
        <v>215</v>
      </c>
      <c r="M239">
        <v>93.58192542237326</v>
      </c>
      <c r="N239">
        <v>93.561285678889831</v>
      </c>
      <c r="O239">
        <v>12.298407350964329</v>
      </c>
      <c r="P239">
        <v>12.304980625107518</v>
      </c>
      <c r="Q239">
        <v>87.701592649035675</v>
      </c>
      <c r="R239">
        <v>87.695019374892482</v>
      </c>
      <c r="S239">
        <v>21.435036701956502</v>
      </c>
      <c r="T239">
        <v>21.435036701956502</v>
      </c>
      <c r="U239">
        <v>32.753067896542973</v>
      </c>
      <c r="V239">
        <v>32.776759663042185</v>
      </c>
      <c r="W239">
        <v>50.535711423796023</v>
      </c>
      <c r="X239">
        <v>50.824404616697862</v>
      </c>
    </row>
    <row r="240" spans="1:24" x14ac:dyDescent="0.35">
      <c r="B240">
        <v>46062</v>
      </c>
      <c r="C240" t="s">
        <v>16</v>
      </c>
      <c r="D240">
        <v>30</v>
      </c>
      <c r="E240" t="s">
        <v>392</v>
      </c>
      <c r="F240" t="s">
        <v>393</v>
      </c>
      <c r="G240" t="s">
        <v>226</v>
      </c>
      <c r="H240" t="s">
        <v>227</v>
      </c>
      <c r="I240" t="s">
        <v>228</v>
      </c>
      <c r="J240" t="s">
        <v>22</v>
      </c>
      <c r="K240" t="s">
        <v>23</v>
      </c>
      <c r="L240" t="s">
        <v>215</v>
      </c>
      <c r="M240">
        <v>93.540645935406403</v>
      </c>
      <c r="O240">
        <v>12.311553899250709</v>
      </c>
      <c r="Q240">
        <v>87.688446100749289</v>
      </c>
      <c r="S240">
        <v>21.435036701956502</v>
      </c>
      <c r="U240">
        <v>32.800451429541404</v>
      </c>
      <c r="W240">
        <v>51.113097809599708</v>
      </c>
    </row>
    <row r="241" spans="2:24" x14ac:dyDescent="0.35">
      <c r="B241">
        <v>46062</v>
      </c>
      <c r="C241" t="s">
        <v>16</v>
      </c>
      <c r="D241">
        <v>30</v>
      </c>
      <c r="E241" t="s">
        <v>394</v>
      </c>
      <c r="F241" t="s">
        <v>395</v>
      </c>
      <c r="G241" t="s">
        <v>240</v>
      </c>
      <c r="H241" t="s">
        <v>396</v>
      </c>
      <c r="I241" t="s">
        <v>397</v>
      </c>
      <c r="J241" t="s">
        <v>22</v>
      </c>
      <c r="K241" t="s">
        <v>23</v>
      </c>
      <c r="L241" t="s">
        <v>215</v>
      </c>
      <c r="M241">
        <v>94.551089782043547</v>
      </c>
      <c r="N241">
        <v>94.626869228852883</v>
      </c>
      <c r="O241">
        <v>13.397320032261081</v>
      </c>
      <c r="P241">
        <v>14.277283668477793</v>
      </c>
      <c r="Q241">
        <v>86.602679967738922</v>
      </c>
      <c r="R241">
        <v>85.722716331522207</v>
      </c>
      <c r="S241">
        <v>16.068776133039876</v>
      </c>
      <c r="T241">
        <v>16.068776133039876</v>
      </c>
      <c r="U241">
        <v>44.132455868154253</v>
      </c>
      <c r="V241">
        <v>43.375423456174161</v>
      </c>
      <c r="W241">
        <v>61.5284371427121</v>
      </c>
      <c r="X241">
        <v>60.854755451345312</v>
      </c>
    </row>
    <row r="242" spans="2:24" x14ac:dyDescent="0.35">
      <c r="B242">
        <v>46062</v>
      </c>
      <c r="C242" t="s">
        <v>16</v>
      </c>
      <c r="D242">
        <v>30</v>
      </c>
      <c r="E242" t="s">
        <v>394</v>
      </c>
      <c r="F242" t="s">
        <v>395</v>
      </c>
      <c r="G242" t="s">
        <v>240</v>
      </c>
      <c r="H242" t="s">
        <v>396</v>
      </c>
      <c r="I242" t="s">
        <v>397</v>
      </c>
      <c r="J242" t="s">
        <v>22</v>
      </c>
      <c r="K242" t="s">
        <v>23</v>
      </c>
      <c r="L242" t="s">
        <v>215</v>
      </c>
      <c r="M242">
        <v>94.702648675662232</v>
      </c>
      <c r="O242">
        <v>15.157247304694504</v>
      </c>
      <c r="Q242">
        <v>84.842752695305492</v>
      </c>
      <c r="S242">
        <v>16.068776133039876</v>
      </c>
      <c r="U242">
        <v>42.618391044194063</v>
      </c>
      <c r="W242">
        <v>60.181073759978531</v>
      </c>
    </row>
    <row r="243" spans="2:24" x14ac:dyDescent="0.35">
      <c r="B243">
        <v>46062</v>
      </c>
      <c r="C243" t="s">
        <v>16</v>
      </c>
      <c r="D243">
        <v>30</v>
      </c>
      <c r="E243" t="s">
        <v>398</v>
      </c>
      <c r="F243" t="s">
        <v>399</v>
      </c>
      <c r="G243" t="s">
        <v>240</v>
      </c>
      <c r="H243" t="s">
        <v>400</v>
      </c>
      <c r="I243" t="s">
        <v>401</v>
      </c>
      <c r="J243" t="s">
        <v>22</v>
      </c>
      <c r="K243" t="s">
        <v>23</v>
      </c>
      <c r="L243" t="s">
        <v>215</v>
      </c>
      <c r="M243">
        <v>95.421831267493104</v>
      </c>
      <c r="N243">
        <v>95.457042570278247</v>
      </c>
      <c r="O243">
        <v>11.340881134188679</v>
      </c>
      <c r="P243">
        <v>10.539307270666562</v>
      </c>
      <c r="Q243">
        <v>88.659118865811323</v>
      </c>
      <c r="R243">
        <v>89.460692729333431</v>
      </c>
      <c r="S243">
        <v>11.385700844625955</v>
      </c>
      <c r="T243">
        <v>11.385700844625955</v>
      </c>
      <c r="U243">
        <v>43.602826669093879</v>
      </c>
      <c r="V243">
        <v>44.098180614205525</v>
      </c>
      <c r="W243">
        <v>55.434784581740047</v>
      </c>
      <c r="X243">
        <v>56.277498717423327</v>
      </c>
    </row>
    <row r="244" spans="2:24" x14ac:dyDescent="0.35">
      <c r="B244">
        <v>46062</v>
      </c>
      <c r="C244" t="s">
        <v>16</v>
      </c>
      <c r="D244">
        <v>30</v>
      </c>
      <c r="E244" t="s">
        <v>398</v>
      </c>
      <c r="F244" t="s">
        <v>399</v>
      </c>
      <c r="G244" t="s">
        <v>240</v>
      </c>
      <c r="H244" t="s">
        <v>400</v>
      </c>
      <c r="I244" t="s">
        <v>401</v>
      </c>
      <c r="J244" t="s">
        <v>22</v>
      </c>
      <c r="K244" t="s">
        <v>23</v>
      </c>
      <c r="L244" t="s">
        <v>215</v>
      </c>
      <c r="M244">
        <v>95.49225387306339</v>
      </c>
      <c r="O244">
        <v>9.737733407144443</v>
      </c>
      <c r="Q244">
        <v>90.262266592855553</v>
      </c>
      <c r="S244">
        <v>11.385700844625955</v>
      </c>
      <c r="U244">
        <v>44.59353455931717</v>
      </c>
      <c r="W244">
        <v>57.120212853106608</v>
      </c>
    </row>
    <row r="245" spans="2:24" x14ac:dyDescent="0.35">
      <c r="B245">
        <v>46062</v>
      </c>
      <c r="C245" t="s">
        <v>16</v>
      </c>
      <c r="D245">
        <v>30</v>
      </c>
      <c r="E245" t="s">
        <v>402</v>
      </c>
      <c r="F245" t="s">
        <v>403</v>
      </c>
      <c r="G245" t="s">
        <v>212</v>
      </c>
      <c r="H245" t="s">
        <v>404</v>
      </c>
      <c r="I245" t="s">
        <v>405</v>
      </c>
      <c r="J245" t="s">
        <v>22</v>
      </c>
      <c r="K245" t="s">
        <v>23</v>
      </c>
      <c r="L245" t="s">
        <v>215</v>
      </c>
      <c r="M245">
        <v>94.38112377524503</v>
      </c>
      <c r="N245">
        <v>94.45110977804444</v>
      </c>
      <c r="O245">
        <v>10.924102889806395</v>
      </c>
      <c r="P245">
        <v>12.930030697575988</v>
      </c>
      <c r="Q245">
        <v>89.075897110193608</v>
      </c>
      <c r="R245">
        <v>87.069969302424013</v>
      </c>
      <c r="S245">
        <v>17.415881529056833</v>
      </c>
      <c r="T245">
        <v>17.415881529056833</v>
      </c>
      <c r="U245">
        <v>45.965430241502858</v>
      </c>
      <c r="V245">
        <v>46.558940276123124</v>
      </c>
      <c r="W245">
        <v>59.803705848606192</v>
      </c>
      <c r="X245">
        <v>61.010021627865029</v>
      </c>
    </row>
    <row r="246" spans="2:24" x14ac:dyDescent="0.35">
      <c r="B246">
        <v>46062</v>
      </c>
      <c r="C246" t="s">
        <v>16</v>
      </c>
      <c r="D246">
        <v>30</v>
      </c>
      <c r="E246" t="s">
        <v>402</v>
      </c>
      <c r="F246" t="s">
        <v>403</v>
      </c>
      <c r="G246" t="s">
        <v>212</v>
      </c>
      <c r="H246" t="s">
        <v>404</v>
      </c>
      <c r="I246" t="s">
        <v>405</v>
      </c>
      <c r="J246" t="s">
        <v>22</v>
      </c>
      <c r="K246" t="s">
        <v>23</v>
      </c>
      <c r="L246" t="s">
        <v>215</v>
      </c>
      <c r="M246">
        <v>94.521095780843851</v>
      </c>
      <c r="O246">
        <v>14.935958505345582</v>
      </c>
      <c r="Q246">
        <v>85.064041494654418</v>
      </c>
      <c r="S246">
        <v>17.415881529056833</v>
      </c>
      <c r="U246">
        <v>47.15245031074339</v>
      </c>
      <c r="W246">
        <v>62.216337407123866</v>
      </c>
    </row>
    <row r="247" spans="2:24" x14ac:dyDescent="0.35">
      <c r="B247">
        <v>46062</v>
      </c>
      <c r="C247" t="s">
        <v>16</v>
      </c>
      <c r="D247">
        <v>30</v>
      </c>
      <c r="E247" t="s">
        <v>406</v>
      </c>
      <c r="F247" t="s">
        <v>407</v>
      </c>
      <c r="G247" t="s">
        <v>226</v>
      </c>
      <c r="H247" t="s">
        <v>231</v>
      </c>
      <c r="I247" t="s">
        <v>232</v>
      </c>
      <c r="J247" t="s">
        <v>22</v>
      </c>
      <c r="K247" t="s">
        <v>23</v>
      </c>
      <c r="L247" t="s">
        <v>215</v>
      </c>
      <c r="M247">
        <v>94.672131147541066</v>
      </c>
      <c r="N247">
        <v>94.687389911601656</v>
      </c>
      <c r="O247">
        <v>17.640489074759607</v>
      </c>
      <c r="P247">
        <v>16.188186298834058</v>
      </c>
      <c r="Q247">
        <v>82.359510925240386</v>
      </c>
      <c r="R247">
        <v>83.811813701165931</v>
      </c>
      <c r="S247">
        <v>21.553506221955995</v>
      </c>
      <c r="T247">
        <v>21.553506221955995</v>
      </c>
      <c r="U247">
        <v>30.313039919885476</v>
      </c>
      <c r="V247">
        <v>30.66930525302087</v>
      </c>
      <c r="W247">
        <v>51.095120519686191</v>
      </c>
      <c r="X247">
        <v>51.258255200656372</v>
      </c>
    </row>
    <row r="248" spans="2:24" x14ac:dyDescent="0.35">
      <c r="B248">
        <v>46062</v>
      </c>
      <c r="C248" t="s">
        <v>16</v>
      </c>
      <c r="D248">
        <v>30</v>
      </c>
      <c r="E248" t="s">
        <v>406</v>
      </c>
      <c r="F248" t="s">
        <v>407</v>
      </c>
      <c r="G248" t="s">
        <v>226</v>
      </c>
      <c r="H248" t="s">
        <v>231</v>
      </c>
      <c r="I248" t="s">
        <v>232</v>
      </c>
      <c r="J248" t="s">
        <v>22</v>
      </c>
      <c r="K248" t="s">
        <v>23</v>
      </c>
      <c r="L248" t="s">
        <v>215</v>
      </c>
      <c r="M248">
        <v>94.702648675662232</v>
      </c>
      <c r="O248">
        <v>14.735883522908511</v>
      </c>
      <c r="Q248">
        <v>85.264116477091491</v>
      </c>
      <c r="S248">
        <v>21.553506221955995</v>
      </c>
      <c r="U248">
        <v>31.025570586156263</v>
      </c>
      <c r="W248">
        <v>51.421389881626553</v>
      </c>
    </row>
    <row r="249" spans="2:24" x14ac:dyDescent="0.35">
      <c r="B249">
        <v>46062</v>
      </c>
      <c r="C249" t="s">
        <v>16</v>
      </c>
      <c r="D249">
        <v>30</v>
      </c>
      <c r="E249" t="s">
        <v>408</v>
      </c>
      <c r="F249" t="s">
        <v>409</v>
      </c>
      <c r="G249" t="s">
        <v>290</v>
      </c>
      <c r="H249" t="s">
        <v>314</v>
      </c>
      <c r="I249" t="s">
        <v>315</v>
      </c>
      <c r="J249" t="s">
        <v>22</v>
      </c>
      <c r="K249" t="s">
        <v>23</v>
      </c>
      <c r="L249" t="s">
        <v>215</v>
      </c>
      <c r="M249">
        <v>93.932427029188176</v>
      </c>
      <c r="N249">
        <v>94.017098249173713</v>
      </c>
      <c r="O249">
        <v>14.480934246923749</v>
      </c>
      <c r="P249">
        <v>15.83738766020349</v>
      </c>
      <c r="Q249">
        <v>85.519065753076248</v>
      </c>
      <c r="R249">
        <v>84.16261233979651</v>
      </c>
      <c r="S249">
        <v>23.423334361776607</v>
      </c>
      <c r="T249">
        <v>23.423334361776607</v>
      </c>
      <c r="U249">
        <v>32.754781601816369</v>
      </c>
      <c r="V249">
        <v>32.326181081453683</v>
      </c>
      <c r="W249">
        <v>44.926518983600936</v>
      </c>
      <c r="X249">
        <v>45.222975819923988</v>
      </c>
    </row>
    <row r="250" spans="2:24" x14ac:dyDescent="0.35">
      <c r="B250">
        <v>46062</v>
      </c>
      <c r="C250" t="s">
        <v>16</v>
      </c>
      <c r="D250">
        <v>30</v>
      </c>
      <c r="E250" t="s">
        <v>408</v>
      </c>
      <c r="F250" t="s">
        <v>409</v>
      </c>
      <c r="G250" t="s">
        <v>290</v>
      </c>
      <c r="H250" t="s">
        <v>314</v>
      </c>
      <c r="I250" t="s">
        <v>315</v>
      </c>
      <c r="J250" t="s">
        <v>22</v>
      </c>
      <c r="K250" t="s">
        <v>23</v>
      </c>
      <c r="L250" t="s">
        <v>215</v>
      </c>
      <c r="M250">
        <v>94.101769469159251</v>
      </c>
      <c r="O250">
        <v>17.193841073483231</v>
      </c>
      <c r="Q250">
        <v>82.806158926516773</v>
      </c>
      <c r="S250">
        <v>23.423334361776607</v>
      </c>
      <c r="U250">
        <v>31.897580561090997</v>
      </c>
      <c r="W250">
        <v>45.519432656247048</v>
      </c>
    </row>
    <row r="251" spans="2:24" x14ac:dyDescent="0.35">
      <c r="B251">
        <v>46062</v>
      </c>
      <c r="C251" t="s">
        <v>16</v>
      </c>
      <c r="D251">
        <v>30</v>
      </c>
      <c r="E251" t="s">
        <v>410</v>
      </c>
      <c r="F251" t="s">
        <v>411</v>
      </c>
      <c r="G251" t="s">
        <v>264</v>
      </c>
      <c r="H251" t="s">
        <v>412</v>
      </c>
      <c r="I251" t="s">
        <v>413</v>
      </c>
      <c r="J251" t="s">
        <v>22</v>
      </c>
      <c r="K251" t="s">
        <v>23</v>
      </c>
      <c r="L251" t="s">
        <v>215</v>
      </c>
      <c r="M251">
        <v>95.040991801639635</v>
      </c>
      <c r="N251">
        <v>95.075740376372266</v>
      </c>
      <c r="O251">
        <v>10.526342851185426</v>
      </c>
      <c r="P251">
        <v>9.5330240972893527</v>
      </c>
      <c r="Q251">
        <v>89.473657148814567</v>
      </c>
      <c r="R251">
        <v>90.466975902710644</v>
      </c>
      <c r="S251">
        <v>24.386271311921252</v>
      </c>
      <c r="T251">
        <v>24.274636894266422</v>
      </c>
      <c r="U251">
        <v>33.689614466682634</v>
      </c>
      <c r="V251">
        <v>33.639866136112879</v>
      </c>
      <c r="W251">
        <v>51.844659999045518</v>
      </c>
      <c r="X251">
        <v>51.886402127092111</v>
      </c>
    </row>
    <row r="252" spans="2:24" x14ac:dyDescent="0.35">
      <c r="B252">
        <v>46062</v>
      </c>
      <c r="C252" t="s">
        <v>16</v>
      </c>
      <c r="D252">
        <v>30</v>
      </c>
      <c r="E252" t="s">
        <v>410</v>
      </c>
      <c r="F252" t="s">
        <v>411</v>
      </c>
      <c r="G252" t="s">
        <v>264</v>
      </c>
      <c r="H252" t="s">
        <v>412</v>
      </c>
      <c r="I252" t="s">
        <v>413</v>
      </c>
      <c r="J252" t="s">
        <v>22</v>
      </c>
      <c r="K252" t="s">
        <v>23</v>
      </c>
      <c r="L252" t="s">
        <v>215</v>
      </c>
      <c r="M252">
        <v>95.110488951104898</v>
      </c>
      <c r="O252">
        <v>8.5397053433932815</v>
      </c>
      <c r="Q252">
        <v>91.46029465660672</v>
      </c>
      <c r="S252">
        <v>24.163002476611595</v>
      </c>
      <c r="U252">
        <v>33.590117805543123</v>
      </c>
      <c r="W252">
        <v>51.928144255138697</v>
      </c>
    </row>
    <row r="253" spans="2:24" x14ac:dyDescent="0.35">
      <c r="B253">
        <v>46062</v>
      </c>
      <c r="C253" t="s">
        <v>16</v>
      </c>
      <c r="D253">
        <v>30</v>
      </c>
      <c r="E253" t="s">
        <v>414</v>
      </c>
      <c r="F253" t="s">
        <v>415</v>
      </c>
      <c r="G253" t="s">
        <v>235</v>
      </c>
      <c r="H253" t="s">
        <v>274</v>
      </c>
      <c r="I253" t="s">
        <v>275</v>
      </c>
      <c r="J253" t="s">
        <v>22</v>
      </c>
      <c r="K253" t="s">
        <v>23</v>
      </c>
      <c r="L253" t="s">
        <v>215</v>
      </c>
      <c r="M253">
        <v>94.68053194680526</v>
      </c>
      <c r="N253">
        <v>94.725788868823486</v>
      </c>
      <c r="O253">
        <v>18.535864821244271</v>
      </c>
      <c r="P253">
        <v>18.455778140978239</v>
      </c>
      <c r="Q253">
        <v>81.464135178755726</v>
      </c>
      <c r="R253">
        <v>81.544221859021761</v>
      </c>
      <c r="S253">
        <v>17.228089047769188</v>
      </c>
      <c r="T253">
        <v>17.228089047769188</v>
      </c>
      <c r="U253">
        <v>28.670794113689613</v>
      </c>
      <c r="V253">
        <v>27.717552666771539</v>
      </c>
      <c r="W253">
        <v>47.668469637077941</v>
      </c>
      <c r="X253">
        <v>46.647430661856887</v>
      </c>
    </row>
    <row r="254" spans="2:24" x14ac:dyDescent="0.35">
      <c r="B254">
        <v>46062</v>
      </c>
      <c r="C254" t="s">
        <v>16</v>
      </c>
      <c r="D254">
        <v>30</v>
      </c>
      <c r="E254" t="s">
        <v>414</v>
      </c>
      <c r="F254" t="s">
        <v>415</v>
      </c>
      <c r="G254" t="s">
        <v>235</v>
      </c>
      <c r="H254" t="s">
        <v>274</v>
      </c>
      <c r="I254" t="s">
        <v>275</v>
      </c>
      <c r="J254" t="s">
        <v>22</v>
      </c>
      <c r="K254" t="s">
        <v>23</v>
      </c>
      <c r="L254" t="s">
        <v>215</v>
      </c>
      <c r="M254">
        <v>94.771045790841725</v>
      </c>
      <c r="O254">
        <v>18.375691460712208</v>
      </c>
      <c r="Q254">
        <v>81.624308539287796</v>
      </c>
      <c r="S254">
        <v>17.228089047769188</v>
      </c>
      <c r="U254">
        <v>26.764311219853465</v>
      </c>
      <c r="W254">
        <v>45.626391686635834</v>
      </c>
    </row>
    <row r="255" spans="2:24" x14ac:dyDescent="0.35">
      <c r="B255">
        <v>46062</v>
      </c>
      <c r="C255" t="s">
        <v>16</v>
      </c>
      <c r="D255">
        <v>30</v>
      </c>
      <c r="E255" t="s">
        <v>416</v>
      </c>
      <c r="F255" t="s">
        <v>417</v>
      </c>
      <c r="G255" t="s">
        <v>290</v>
      </c>
      <c r="H255" t="s">
        <v>291</v>
      </c>
      <c r="I255" t="s">
        <v>292</v>
      </c>
      <c r="J255" t="s">
        <v>22</v>
      </c>
      <c r="K255" t="s">
        <v>23</v>
      </c>
      <c r="L255" t="s">
        <v>215</v>
      </c>
      <c r="M255">
        <v>93.523238380809488</v>
      </c>
      <c r="N255">
        <v>93.518240879560167</v>
      </c>
      <c r="O255">
        <v>16.640837920162411</v>
      </c>
      <c r="P255">
        <v>15.892694917971408</v>
      </c>
      <c r="Q255">
        <v>83.359162079837589</v>
      </c>
      <c r="R255">
        <v>84.107305082028603</v>
      </c>
      <c r="S255">
        <v>21.86273111008844</v>
      </c>
      <c r="T255">
        <v>21.86273111008844</v>
      </c>
      <c r="U255">
        <v>31.969867869760549</v>
      </c>
      <c r="V255">
        <v>32.77642575122649</v>
      </c>
      <c r="W255">
        <v>41.189824276144414</v>
      </c>
      <c r="X255">
        <v>41.872432063661066</v>
      </c>
    </row>
    <row r="256" spans="2:24" x14ac:dyDescent="0.35">
      <c r="B256">
        <v>46062</v>
      </c>
      <c r="C256" t="s">
        <v>16</v>
      </c>
      <c r="D256">
        <v>30</v>
      </c>
      <c r="E256" t="s">
        <v>416</v>
      </c>
      <c r="F256" t="s">
        <v>417</v>
      </c>
      <c r="G256" t="s">
        <v>290</v>
      </c>
      <c r="H256" t="s">
        <v>291</v>
      </c>
      <c r="I256" t="s">
        <v>292</v>
      </c>
      <c r="J256" t="s">
        <v>22</v>
      </c>
      <c r="K256" t="s">
        <v>23</v>
      </c>
      <c r="L256" t="s">
        <v>215</v>
      </c>
      <c r="M256">
        <v>93.513243378310847</v>
      </c>
      <c r="O256">
        <v>15.144551915780404</v>
      </c>
      <c r="Q256">
        <v>84.855448084219603</v>
      </c>
      <c r="S256">
        <v>21.86273111008844</v>
      </c>
      <c r="U256">
        <v>33.582983632692432</v>
      </c>
      <c r="W256">
        <v>42.555039851177725</v>
      </c>
    </row>
    <row r="257" spans="2:24" x14ac:dyDescent="0.35">
      <c r="B257">
        <v>46062</v>
      </c>
      <c r="C257" t="s">
        <v>16</v>
      </c>
      <c r="D257">
        <v>30</v>
      </c>
      <c r="E257" t="s">
        <v>418</v>
      </c>
      <c r="F257" t="s">
        <v>419</v>
      </c>
      <c r="G257" t="s">
        <v>264</v>
      </c>
      <c r="H257" t="s">
        <v>329</v>
      </c>
      <c r="I257" t="s">
        <v>330</v>
      </c>
      <c r="J257" t="s">
        <v>22</v>
      </c>
      <c r="K257" t="s">
        <v>23</v>
      </c>
      <c r="L257" t="s">
        <v>215</v>
      </c>
      <c r="M257">
        <v>94.321135772845395</v>
      </c>
      <c r="N257">
        <v>94.331699433803763</v>
      </c>
      <c r="O257">
        <v>7.1223738245709916</v>
      </c>
      <c r="P257">
        <v>7.1587501527996249</v>
      </c>
      <c r="Q257">
        <v>92.877626175429015</v>
      </c>
      <c r="R257">
        <v>92.841249847200373</v>
      </c>
      <c r="S257">
        <v>21.657672984512406</v>
      </c>
      <c r="T257">
        <v>21.657672984512406</v>
      </c>
      <c r="U257">
        <v>35.022320836995476</v>
      </c>
      <c r="V257">
        <v>35.281397651964426</v>
      </c>
      <c r="W257">
        <v>57.971077617610824</v>
      </c>
      <c r="X257">
        <v>58.061702118847009</v>
      </c>
    </row>
    <row r="258" spans="2:24" x14ac:dyDescent="0.35">
      <c r="B258">
        <v>46062</v>
      </c>
      <c r="C258" t="s">
        <v>16</v>
      </c>
      <c r="D258">
        <v>30</v>
      </c>
      <c r="E258" t="s">
        <v>418</v>
      </c>
      <c r="F258" t="s">
        <v>419</v>
      </c>
      <c r="G258" t="s">
        <v>264</v>
      </c>
      <c r="H258" t="s">
        <v>329</v>
      </c>
      <c r="I258" t="s">
        <v>330</v>
      </c>
      <c r="J258" t="s">
        <v>22</v>
      </c>
      <c r="K258" t="s">
        <v>23</v>
      </c>
      <c r="L258" t="s">
        <v>215</v>
      </c>
      <c r="M258">
        <v>94.342263094762131</v>
      </c>
      <c r="O258">
        <v>7.1951264810282574</v>
      </c>
      <c r="Q258">
        <v>92.804873518971746</v>
      </c>
      <c r="S258">
        <v>21.657672984512406</v>
      </c>
      <c r="U258">
        <v>35.540474466933368</v>
      </c>
      <c r="W258">
        <v>58.152326620083187</v>
      </c>
    </row>
    <row r="259" spans="2:24" x14ac:dyDescent="0.35">
      <c r="B259">
        <v>46062</v>
      </c>
      <c r="C259" t="s">
        <v>16</v>
      </c>
      <c r="D259">
        <v>30</v>
      </c>
      <c r="E259" t="s">
        <v>420</v>
      </c>
      <c r="F259" t="s">
        <v>421</v>
      </c>
      <c r="G259" t="s">
        <v>264</v>
      </c>
      <c r="H259" t="s">
        <v>265</v>
      </c>
      <c r="I259" t="s">
        <v>266</v>
      </c>
      <c r="J259" t="s">
        <v>22</v>
      </c>
      <c r="K259" t="s">
        <v>23</v>
      </c>
      <c r="L259" t="s">
        <v>215</v>
      </c>
      <c r="M259">
        <v>96.061575369852093</v>
      </c>
      <c r="N259">
        <v>96.046581367453044</v>
      </c>
      <c r="O259">
        <v>8.3988135505021813</v>
      </c>
      <c r="P259">
        <v>8.3363688400895324</v>
      </c>
      <c r="Q259">
        <v>91.601186449497817</v>
      </c>
      <c r="R259">
        <v>91.663631159910466</v>
      </c>
      <c r="S259">
        <v>20.316141441952436</v>
      </c>
      <c r="T259">
        <v>20.316141441952436</v>
      </c>
      <c r="U259">
        <v>40.37681224259547</v>
      </c>
      <c r="V259">
        <v>40.913699697455087</v>
      </c>
      <c r="W259">
        <v>61.324563902171192</v>
      </c>
      <c r="X259">
        <v>61.486896658344627</v>
      </c>
    </row>
    <row r="260" spans="2:24" x14ac:dyDescent="0.35">
      <c r="B260">
        <v>46062</v>
      </c>
      <c r="C260" t="s">
        <v>16</v>
      </c>
      <c r="D260">
        <v>30</v>
      </c>
      <c r="E260" t="s">
        <v>420</v>
      </c>
      <c r="F260" t="s">
        <v>421</v>
      </c>
      <c r="G260" t="s">
        <v>264</v>
      </c>
      <c r="H260" t="s">
        <v>265</v>
      </c>
      <c r="I260" t="s">
        <v>266</v>
      </c>
      <c r="J260" t="s">
        <v>22</v>
      </c>
      <c r="K260" t="s">
        <v>23</v>
      </c>
      <c r="L260" t="s">
        <v>215</v>
      </c>
      <c r="M260">
        <v>96.031587365053994</v>
      </c>
      <c r="O260">
        <v>8.2739241296768835</v>
      </c>
      <c r="Q260">
        <v>91.726075870323115</v>
      </c>
      <c r="S260">
        <v>20.316141441952436</v>
      </c>
      <c r="U260">
        <v>41.450587152314696</v>
      </c>
      <c r="W260">
        <v>61.649229414518061</v>
      </c>
    </row>
    <row r="261" spans="2:24" x14ac:dyDescent="0.35">
      <c r="B261">
        <v>46062</v>
      </c>
      <c r="C261" t="s">
        <v>16</v>
      </c>
      <c r="D261">
        <v>30</v>
      </c>
      <c r="E261" t="s">
        <v>422</v>
      </c>
      <c r="F261" t="s">
        <v>423</v>
      </c>
      <c r="G261" t="s">
        <v>212</v>
      </c>
      <c r="H261" t="s">
        <v>424</v>
      </c>
      <c r="I261" t="s">
        <v>425</v>
      </c>
      <c r="J261" t="s">
        <v>22</v>
      </c>
      <c r="K261" t="s">
        <v>23</v>
      </c>
      <c r="L261" t="s">
        <v>215</v>
      </c>
      <c r="M261">
        <v>93.353323338330938</v>
      </c>
      <c r="N261">
        <v>93.327331535192229</v>
      </c>
      <c r="O261">
        <v>12.273224440419266</v>
      </c>
      <c r="P261">
        <v>13.223150703368908</v>
      </c>
      <c r="Q261">
        <v>87.72677555958073</v>
      </c>
      <c r="R261">
        <v>86.776849296631099</v>
      </c>
      <c r="S261">
        <v>20.344312159338216</v>
      </c>
      <c r="T261">
        <v>20.344312159338216</v>
      </c>
      <c r="U261">
        <v>40.546843005904165</v>
      </c>
      <c r="V261">
        <v>40.307463209652106</v>
      </c>
      <c r="W261">
        <v>56.177767238199074</v>
      </c>
      <c r="X261">
        <v>55.641383367036482</v>
      </c>
    </row>
    <row r="262" spans="2:24" x14ac:dyDescent="0.35">
      <c r="B262">
        <v>46062</v>
      </c>
      <c r="C262" t="s">
        <v>16</v>
      </c>
      <c r="D262">
        <v>30</v>
      </c>
      <c r="E262" t="s">
        <v>422</v>
      </c>
      <c r="F262" t="s">
        <v>423</v>
      </c>
      <c r="G262" t="s">
        <v>212</v>
      </c>
      <c r="H262" t="s">
        <v>424</v>
      </c>
      <c r="I262" t="s">
        <v>425</v>
      </c>
      <c r="J262" t="s">
        <v>22</v>
      </c>
      <c r="K262" t="s">
        <v>23</v>
      </c>
      <c r="L262" t="s">
        <v>215</v>
      </c>
      <c r="M262">
        <v>93.30133973205352</v>
      </c>
      <c r="O262">
        <v>14.173076966318551</v>
      </c>
      <c r="Q262">
        <v>85.826923033681453</v>
      </c>
      <c r="S262">
        <v>20.344312159338216</v>
      </c>
      <c r="U262">
        <v>40.068083413400046</v>
      </c>
      <c r="W262">
        <v>55.104999495873884</v>
      </c>
    </row>
    <row r="263" spans="2:24" x14ac:dyDescent="0.35">
      <c r="B263">
        <v>46062</v>
      </c>
      <c r="C263" t="s">
        <v>16</v>
      </c>
      <c r="D263">
        <v>30</v>
      </c>
      <c r="E263" t="s">
        <v>426</v>
      </c>
      <c r="F263" t="s">
        <v>427</v>
      </c>
      <c r="G263" t="s">
        <v>226</v>
      </c>
      <c r="H263" t="s">
        <v>231</v>
      </c>
      <c r="I263" t="s">
        <v>232</v>
      </c>
      <c r="J263" t="s">
        <v>22</v>
      </c>
      <c r="K263" t="s">
        <v>23</v>
      </c>
      <c r="L263" t="s">
        <v>215</v>
      </c>
      <c r="M263">
        <v>94.361691492552168</v>
      </c>
      <c r="N263">
        <v>94.412230054122119</v>
      </c>
      <c r="O263">
        <v>9.7945211409043722</v>
      </c>
      <c r="P263">
        <v>9.692969907408278</v>
      </c>
      <c r="Q263">
        <v>90.205478859095621</v>
      </c>
      <c r="R263">
        <v>90.307030092591717</v>
      </c>
      <c r="S263">
        <v>15.853006438401252</v>
      </c>
      <c r="T263">
        <v>15.853006438401252</v>
      </c>
      <c r="U263">
        <v>35.604784189325848</v>
      </c>
      <c r="V263">
        <v>35.226786536406635</v>
      </c>
      <c r="W263">
        <v>55.383472337284367</v>
      </c>
      <c r="X263">
        <v>55.050178125569353</v>
      </c>
    </row>
    <row r="264" spans="2:24" x14ac:dyDescent="0.35">
      <c r="B264">
        <v>46062</v>
      </c>
      <c r="C264" t="s">
        <v>16</v>
      </c>
      <c r="D264">
        <v>30</v>
      </c>
      <c r="E264" t="s">
        <v>426</v>
      </c>
      <c r="F264" t="s">
        <v>427</v>
      </c>
      <c r="G264" t="s">
        <v>226</v>
      </c>
      <c r="H264" t="s">
        <v>231</v>
      </c>
      <c r="I264" t="s">
        <v>232</v>
      </c>
      <c r="J264" t="s">
        <v>22</v>
      </c>
      <c r="K264" t="s">
        <v>23</v>
      </c>
      <c r="L264" t="s">
        <v>215</v>
      </c>
      <c r="M264">
        <v>94.46276861569207</v>
      </c>
      <c r="O264">
        <v>9.5914186739121838</v>
      </c>
      <c r="Q264">
        <v>90.408581326087813</v>
      </c>
      <c r="S264">
        <v>15.853006438401252</v>
      </c>
      <c r="U264">
        <v>34.848788883487423</v>
      </c>
      <c r="W264">
        <v>54.716883913854339</v>
      </c>
    </row>
    <row r="265" spans="2:24" x14ac:dyDescent="0.35">
      <c r="B265">
        <v>46062</v>
      </c>
      <c r="C265" t="s">
        <v>16</v>
      </c>
      <c r="D265">
        <v>30</v>
      </c>
      <c r="E265" t="s">
        <v>428</v>
      </c>
      <c r="F265" t="s">
        <v>429</v>
      </c>
      <c r="G265" t="s">
        <v>212</v>
      </c>
      <c r="H265" t="s">
        <v>213</v>
      </c>
      <c r="I265" t="s">
        <v>214</v>
      </c>
      <c r="J265" t="s">
        <v>22</v>
      </c>
      <c r="K265" t="s">
        <v>23</v>
      </c>
      <c r="L265" t="s">
        <v>215</v>
      </c>
      <c r="M265">
        <v>93.253373313343488</v>
      </c>
      <c r="N265">
        <v>93.331686656671707</v>
      </c>
      <c r="O265">
        <v>15.720988437871682</v>
      </c>
      <c r="P265">
        <v>15.451699578871871</v>
      </c>
      <c r="Q265">
        <v>84.279011562128318</v>
      </c>
      <c r="R265">
        <v>84.548300421128118</v>
      </c>
      <c r="S265">
        <v>20.052274661550623</v>
      </c>
      <c r="T265">
        <v>20.052274661550623</v>
      </c>
      <c r="U265">
        <v>42.487580164434476</v>
      </c>
      <c r="V265">
        <v>43.50623775271827</v>
      </c>
      <c r="W265">
        <v>55.285780588679145</v>
      </c>
      <c r="X265">
        <v>56.613925342025382</v>
      </c>
    </row>
    <row r="266" spans="2:24" x14ac:dyDescent="0.35">
      <c r="B266">
        <v>46062</v>
      </c>
      <c r="C266" t="s">
        <v>16</v>
      </c>
      <c r="D266">
        <v>30</v>
      </c>
      <c r="E266" t="s">
        <v>428</v>
      </c>
      <c r="F266" t="s">
        <v>429</v>
      </c>
      <c r="G266" t="s">
        <v>212</v>
      </c>
      <c r="H266" t="s">
        <v>213</v>
      </c>
      <c r="I266" t="s">
        <v>214</v>
      </c>
      <c r="J266" t="s">
        <v>22</v>
      </c>
      <c r="K266" t="s">
        <v>23</v>
      </c>
      <c r="L266" t="s">
        <v>215</v>
      </c>
      <c r="M266">
        <v>93.409999999999911</v>
      </c>
      <c r="O266">
        <v>15.182410719872061</v>
      </c>
      <c r="Q266">
        <v>84.817589280127933</v>
      </c>
      <c r="S266">
        <v>20.052274661550623</v>
      </c>
      <c r="U266">
        <v>44.524895341002065</v>
      </c>
      <c r="W266">
        <v>57.942070095371619</v>
      </c>
    </row>
    <row r="267" spans="2:24" x14ac:dyDescent="0.35">
      <c r="B267">
        <v>46062</v>
      </c>
      <c r="C267" t="s">
        <v>16</v>
      </c>
      <c r="D267">
        <v>30</v>
      </c>
      <c r="E267" t="s">
        <v>430</v>
      </c>
      <c r="F267" t="s">
        <v>431</v>
      </c>
      <c r="G267" t="s">
        <v>212</v>
      </c>
      <c r="H267" t="s">
        <v>432</v>
      </c>
      <c r="I267" t="s">
        <v>433</v>
      </c>
      <c r="J267" t="s">
        <v>22</v>
      </c>
      <c r="K267" t="s">
        <v>23</v>
      </c>
      <c r="L267" t="s">
        <v>215</v>
      </c>
      <c r="M267">
        <v>95.592203898051025</v>
      </c>
      <c r="N267">
        <v>95.552448141310151</v>
      </c>
      <c r="O267">
        <v>11.087840086532799</v>
      </c>
      <c r="P267">
        <v>10.574786152999778</v>
      </c>
      <c r="Q267">
        <v>88.912159913467207</v>
      </c>
      <c r="R267">
        <v>89.425213847000222</v>
      </c>
      <c r="S267">
        <v>19.3223043607377</v>
      </c>
      <c r="T267">
        <v>19.3223043607377</v>
      </c>
      <c r="U267">
        <v>46.64076046802041</v>
      </c>
      <c r="V267">
        <v>46.455608529818591</v>
      </c>
      <c r="W267">
        <v>60.381814525746833</v>
      </c>
      <c r="X267">
        <v>59.612076683956346</v>
      </c>
    </row>
    <row r="268" spans="2:24" x14ac:dyDescent="0.35">
      <c r="B268">
        <v>46062</v>
      </c>
      <c r="C268" t="s">
        <v>16</v>
      </c>
      <c r="D268">
        <v>30</v>
      </c>
      <c r="E268" t="s">
        <v>430</v>
      </c>
      <c r="F268" t="s">
        <v>431</v>
      </c>
      <c r="G268" t="s">
        <v>212</v>
      </c>
      <c r="H268" t="s">
        <v>432</v>
      </c>
      <c r="I268" t="s">
        <v>433</v>
      </c>
      <c r="J268" t="s">
        <v>22</v>
      </c>
      <c r="K268" t="s">
        <v>23</v>
      </c>
      <c r="L268" t="s">
        <v>215</v>
      </c>
      <c r="M268">
        <v>95.512692384569291</v>
      </c>
      <c r="O268">
        <v>10.061732219466755</v>
      </c>
      <c r="Q268">
        <v>89.938267780533238</v>
      </c>
      <c r="S268">
        <v>19.3223043607377</v>
      </c>
      <c r="U268">
        <v>46.270456591616771</v>
      </c>
      <c r="W268">
        <v>58.842338842165852</v>
      </c>
    </row>
    <row r="269" spans="2:24" x14ac:dyDescent="0.35">
      <c r="B269">
        <v>46062</v>
      </c>
      <c r="C269" t="s">
        <v>16</v>
      </c>
      <c r="D269">
        <v>30</v>
      </c>
      <c r="E269" t="s">
        <v>434</v>
      </c>
      <c r="F269" t="s">
        <v>435</v>
      </c>
      <c r="G269" t="s">
        <v>219</v>
      </c>
      <c r="H269" t="s">
        <v>220</v>
      </c>
      <c r="I269" t="s">
        <v>221</v>
      </c>
      <c r="J269" t="s">
        <v>22</v>
      </c>
      <c r="K269" t="s">
        <v>23</v>
      </c>
      <c r="L269" t="s">
        <v>215</v>
      </c>
      <c r="M269">
        <v>90.842747175847222</v>
      </c>
      <c r="N269">
        <v>90.898634957238954</v>
      </c>
      <c r="O269">
        <v>11.404890665186485</v>
      </c>
      <c r="P269">
        <v>11.678644931879287</v>
      </c>
      <c r="Q269">
        <v>88.595109334813515</v>
      </c>
      <c r="R269">
        <v>88.32135506812071</v>
      </c>
      <c r="S269">
        <v>24.930335875406787</v>
      </c>
      <c r="T269">
        <v>24.930335875406787</v>
      </c>
      <c r="U269">
        <v>21.642607364578097</v>
      </c>
      <c r="V269">
        <v>21.590427688895382</v>
      </c>
      <c r="W269">
        <v>49.038547877548609</v>
      </c>
      <c r="X269">
        <v>48.928084705065999</v>
      </c>
    </row>
    <row r="270" spans="2:24" x14ac:dyDescent="0.35">
      <c r="B270">
        <v>46062</v>
      </c>
      <c r="C270" t="s">
        <v>16</v>
      </c>
      <c r="D270">
        <v>30</v>
      </c>
      <c r="E270" t="s">
        <v>434</v>
      </c>
      <c r="F270" t="s">
        <v>435</v>
      </c>
      <c r="G270" t="s">
        <v>219</v>
      </c>
      <c r="H270" t="s">
        <v>220</v>
      </c>
      <c r="I270" t="s">
        <v>221</v>
      </c>
      <c r="J270" t="s">
        <v>22</v>
      </c>
      <c r="K270" t="s">
        <v>23</v>
      </c>
      <c r="L270" t="s">
        <v>215</v>
      </c>
      <c r="M270">
        <v>90.9545227386307</v>
      </c>
      <c r="O270">
        <v>11.95239919857209</v>
      </c>
      <c r="Q270">
        <v>88.047600801427905</v>
      </c>
      <c r="S270">
        <v>24.930335875406787</v>
      </c>
      <c r="U270">
        <v>21.538248013212669</v>
      </c>
      <c r="W270">
        <v>48.817621532583395</v>
      </c>
    </row>
    <row r="271" spans="2:24" x14ac:dyDescent="0.35">
      <c r="B271">
        <v>46062</v>
      </c>
      <c r="C271" t="s">
        <v>16</v>
      </c>
      <c r="D271">
        <v>30</v>
      </c>
      <c r="E271" t="s">
        <v>436</v>
      </c>
      <c r="F271" t="s">
        <v>437</v>
      </c>
      <c r="G271" t="s">
        <v>333</v>
      </c>
      <c r="H271" t="s">
        <v>438</v>
      </c>
      <c r="I271" t="s">
        <v>439</v>
      </c>
      <c r="J271" t="s">
        <v>22</v>
      </c>
      <c r="K271" t="s">
        <v>23</v>
      </c>
      <c r="L271" t="s">
        <v>303</v>
      </c>
      <c r="M271">
        <v>96.332200679592319</v>
      </c>
      <c r="N271">
        <v>96.466440271809788</v>
      </c>
      <c r="O271">
        <v>15.022120828796441</v>
      </c>
      <c r="P271">
        <v>12.957461458485808</v>
      </c>
      <c r="Q271">
        <v>84.977879171203554</v>
      </c>
      <c r="R271">
        <v>87.04253854151419</v>
      </c>
      <c r="S271">
        <v>26.701514501639117</v>
      </c>
      <c r="T271">
        <v>26.817681002087667</v>
      </c>
      <c r="U271">
        <v>19.533611757771677</v>
      </c>
      <c r="V271">
        <v>19.256703399431906</v>
      </c>
      <c r="W271">
        <v>48.269248062930053</v>
      </c>
      <c r="X271">
        <v>48.672317459786278</v>
      </c>
    </row>
    <row r="272" spans="2:24" x14ac:dyDescent="0.35">
      <c r="B272">
        <v>46062</v>
      </c>
      <c r="C272" t="s">
        <v>16</v>
      </c>
      <c r="D272">
        <v>30</v>
      </c>
      <c r="E272" t="s">
        <v>436</v>
      </c>
      <c r="F272" t="s">
        <v>437</v>
      </c>
      <c r="G272" t="s">
        <v>333</v>
      </c>
      <c r="H272" t="s">
        <v>438</v>
      </c>
      <c r="I272" t="s">
        <v>439</v>
      </c>
      <c r="J272" t="s">
        <v>22</v>
      </c>
      <c r="K272" t="s">
        <v>23</v>
      </c>
      <c r="L272" t="s">
        <v>303</v>
      </c>
      <c r="M272">
        <v>96.600679864027256</v>
      </c>
      <c r="O272">
        <v>10.892802088175175</v>
      </c>
      <c r="Q272">
        <v>89.107197911824827</v>
      </c>
      <c r="S272">
        <v>26.933847502536214</v>
      </c>
      <c r="U272">
        <v>18.979795041092135</v>
      </c>
      <c r="W272">
        <v>49.075386856642503</v>
      </c>
    </row>
    <row r="273" spans="2:24" x14ac:dyDescent="0.35">
      <c r="B273">
        <v>46062</v>
      </c>
      <c r="C273" t="s">
        <v>16</v>
      </c>
      <c r="D273">
        <v>30</v>
      </c>
      <c r="E273" t="s">
        <v>440</v>
      </c>
      <c r="F273" t="s">
        <v>441</v>
      </c>
      <c r="G273" t="s">
        <v>442</v>
      </c>
      <c r="H273" t="s">
        <v>443</v>
      </c>
      <c r="I273" t="s">
        <v>444</v>
      </c>
      <c r="J273" t="s">
        <v>22</v>
      </c>
      <c r="K273" t="s">
        <v>23</v>
      </c>
      <c r="L273" t="s">
        <v>303</v>
      </c>
      <c r="M273">
        <v>96.180381961803818</v>
      </c>
      <c r="N273">
        <v>96.201135508638032</v>
      </c>
      <c r="O273">
        <v>6.6936383134638513</v>
      </c>
      <c r="P273">
        <v>8.1936108718343554</v>
      </c>
      <c r="Q273">
        <v>93.30636168653615</v>
      </c>
      <c r="R273">
        <v>91.806389128165648</v>
      </c>
      <c r="S273">
        <v>14.646737347226853</v>
      </c>
      <c r="T273">
        <v>14.646737347226853</v>
      </c>
      <c r="U273">
        <v>42.241653058939491</v>
      </c>
      <c r="V273">
        <v>42.432635958952673</v>
      </c>
      <c r="W273">
        <v>61.974579203188043</v>
      </c>
      <c r="X273">
        <v>62.259227725767829</v>
      </c>
    </row>
    <row r="274" spans="2:24" x14ac:dyDescent="0.35">
      <c r="B274">
        <v>46062</v>
      </c>
      <c r="C274" t="s">
        <v>16</v>
      </c>
      <c r="D274">
        <v>30</v>
      </c>
      <c r="E274" t="s">
        <v>440</v>
      </c>
      <c r="F274" t="s">
        <v>441</v>
      </c>
      <c r="G274" t="s">
        <v>442</v>
      </c>
      <c r="H274" t="s">
        <v>443</v>
      </c>
      <c r="I274" t="s">
        <v>444</v>
      </c>
      <c r="J274" t="s">
        <v>22</v>
      </c>
      <c r="K274" t="s">
        <v>23</v>
      </c>
      <c r="L274" t="s">
        <v>303</v>
      </c>
      <c r="M274">
        <v>96.221889055472261</v>
      </c>
      <c r="O274">
        <v>9.6935834302048605</v>
      </c>
      <c r="Q274">
        <v>90.306416569795147</v>
      </c>
      <c r="S274">
        <v>14.646737347226853</v>
      </c>
      <c r="U274">
        <v>42.623618858965848</v>
      </c>
      <c r="W274">
        <v>62.543876248347608</v>
      </c>
    </row>
    <row r="275" spans="2:24" x14ac:dyDescent="0.35">
      <c r="B275">
        <v>46062</v>
      </c>
      <c r="C275" t="s">
        <v>16</v>
      </c>
      <c r="D275">
        <v>30</v>
      </c>
      <c r="E275" t="s">
        <v>445</v>
      </c>
      <c r="F275" t="s">
        <v>446</v>
      </c>
      <c r="G275" t="s">
        <v>442</v>
      </c>
      <c r="H275" t="s">
        <v>447</v>
      </c>
      <c r="I275" t="s">
        <v>448</v>
      </c>
      <c r="J275" t="s">
        <v>22</v>
      </c>
      <c r="K275" t="s">
        <v>23</v>
      </c>
      <c r="L275" t="s">
        <v>303</v>
      </c>
      <c r="M275">
        <v>95.311406578026535</v>
      </c>
      <c r="N275">
        <v>95.291885198058793</v>
      </c>
      <c r="O275">
        <v>11.991128105653399</v>
      </c>
      <c r="P275">
        <v>9.9183859455442462</v>
      </c>
      <c r="Q275">
        <v>88.008871894346598</v>
      </c>
      <c r="R275">
        <v>90.081614054455741</v>
      </c>
      <c r="S275">
        <v>18.616653686775535</v>
      </c>
      <c r="T275">
        <v>18.616653686775535</v>
      </c>
      <c r="U275">
        <v>36.510605807060884</v>
      </c>
      <c r="V275">
        <v>39.256096151615154</v>
      </c>
      <c r="W275">
        <v>53.931834508042819</v>
      </c>
      <c r="X275">
        <v>54.432802233405852</v>
      </c>
    </row>
    <row r="276" spans="2:24" x14ac:dyDescent="0.35">
      <c r="B276">
        <v>46062</v>
      </c>
      <c r="C276" t="s">
        <v>16</v>
      </c>
      <c r="D276">
        <v>30</v>
      </c>
      <c r="E276" t="s">
        <v>445</v>
      </c>
      <c r="F276" t="s">
        <v>446</v>
      </c>
      <c r="G276" t="s">
        <v>442</v>
      </c>
      <c r="H276" t="s">
        <v>447</v>
      </c>
      <c r="I276" t="s">
        <v>448</v>
      </c>
      <c r="J276" t="s">
        <v>22</v>
      </c>
      <c r="K276" t="s">
        <v>23</v>
      </c>
      <c r="L276" t="s">
        <v>303</v>
      </c>
      <c r="M276">
        <v>95.272363818091037</v>
      </c>
      <c r="O276">
        <v>7.8456437854350938</v>
      </c>
      <c r="Q276">
        <v>92.154356214564899</v>
      </c>
      <c r="S276">
        <v>18.616653686775535</v>
      </c>
      <c r="U276">
        <v>42.001586496169423</v>
      </c>
      <c r="W276">
        <v>54.933769958768885</v>
      </c>
    </row>
    <row r="277" spans="2:24" x14ac:dyDescent="0.35">
      <c r="B277">
        <v>46062</v>
      </c>
      <c r="C277" t="s">
        <v>16</v>
      </c>
      <c r="D277">
        <v>30</v>
      </c>
      <c r="E277" t="s">
        <v>449</v>
      </c>
      <c r="F277" t="s">
        <v>450</v>
      </c>
      <c r="G277" t="s">
        <v>442</v>
      </c>
      <c r="H277" t="s">
        <v>451</v>
      </c>
      <c r="I277" t="s">
        <v>452</v>
      </c>
      <c r="J277" t="s">
        <v>22</v>
      </c>
      <c r="K277" t="s">
        <v>23</v>
      </c>
      <c r="L277" t="s">
        <v>303</v>
      </c>
      <c r="M277">
        <v>96.38</v>
      </c>
      <c r="N277">
        <v>96.435877061469313</v>
      </c>
      <c r="O277">
        <v>8.8037774516100455</v>
      </c>
      <c r="P277">
        <v>10.034941510308036</v>
      </c>
      <c r="Q277">
        <v>91.196222548389954</v>
      </c>
      <c r="R277">
        <v>89.965058489691955</v>
      </c>
      <c r="S277">
        <v>19.832973521790223</v>
      </c>
      <c r="T277">
        <v>19.832973521790223</v>
      </c>
      <c r="U277">
        <v>41.756084698082859</v>
      </c>
      <c r="V277">
        <v>41.152725185972685</v>
      </c>
      <c r="W277">
        <v>59.100105194123266</v>
      </c>
      <c r="X277">
        <v>59.390659149157088</v>
      </c>
    </row>
    <row r="278" spans="2:24" x14ac:dyDescent="0.35">
      <c r="B278">
        <v>46062</v>
      </c>
      <c r="C278" t="s">
        <v>16</v>
      </c>
      <c r="D278">
        <v>30</v>
      </c>
      <c r="E278" t="s">
        <v>449</v>
      </c>
      <c r="F278" t="s">
        <v>450</v>
      </c>
      <c r="G278" t="s">
        <v>442</v>
      </c>
      <c r="H278" t="s">
        <v>451</v>
      </c>
      <c r="I278" t="s">
        <v>452</v>
      </c>
      <c r="J278" t="s">
        <v>22</v>
      </c>
      <c r="K278" t="s">
        <v>23</v>
      </c>
      <c r="L278" t="s">
        <v>303</v>
      </c>
      <c r="M278">
        <v>96.491754122938616</v>
      </c>
      <c r="O278">
        <v>11.266105569006026</v>
      </c>
      <c r="Q278">
        <v>88.733894430993971</v>
      </c>
      <c r="S278">
        <v>19.832973521790223</v>
      </c>
      <c r="U278">
        <v>40.549365673862511</v>
      </c>
      <c r="W278">
        <v>59.68121310419091</v>
      </c>
    </row>
    <row r="279" spans="2:24" x14ac:dyDescent="0.35">
      <c r="B279">
        <v>46062</v>
      </c>
      <c r="C279" t="s">
        <v>16</v>
      </c>
      <c r="D279">
        <v>30</v>
      </c>
      <c r="E279" t="s">
        <v>453</v>
      </c>
      <c r="F279" t="s">
        <v>454</v>
      </c>
      <c r="G279" t="s">
        <v>442</v>
      </c>
      <c r="H279" t="s">
        <v>455</v>
      </c>
      <c r="I279" t="s">
        <v>456</v>
      </c>
      <c r="J279" t="s">
        <v>22</v>
      </c>
      <c r="K279" t="s">
        <v>23</v>
      </c>
      <c r="L279" t="s">
        <v>303</v>
      </c>
      <c r="M279">
        <v>95.731707317073273</v>
      </c>
      <c r="N279">
        <v>95.667172867011544</v>
      </c>
      <c r="O279">
        <v>9.7800083525072043</v>
      </c>
      <c r="P279">
        <v>7.9978790943207372</v>
      </c>
      <c r="Q279">
        <v>90.21999164749279</v>
      </c>
      <c r="R279">
        <v>92.002120905679263</v>
      </c>
      <c r="S279">
        <v>21.375911130411364</v>
      </c>
      <c r="T279">
        <v>21.375911130411364</v>
      </c>
      <c r="U279">
        <v>35.58179390335556</v>
      </c>
      <c r="V279">
        <v>35.154390279538404</v>
      </c>
      <c r="W279">
        <v>60.31573107374517</v>
      </c>
      <c r="X279">
        <v>61.084023708109299</v>
      </c>
    </row>
    <row r="280" spans="2:24" x14ac:dyDescent="0.35">
      <c r="B280">
        <v>46062</v>
      </c>
      <c r="C280" t="s">
        <v>16</v>
      </c>
      <c r="D280">
        <v>30</v>
      </c>
      <c r="E280" t="s">
        <v>453</v>
      </c>
      <c r="F280" t="s">
        <v>454</v>
      </c>
      <c r="G280" t="s">
        <v>442</v>
      </c>
      <c r="H280" t="s">
        <v>455</v>
      </c>
      <c r="I280" t="s">
        <v>456</v>
      </c>
      <c r="J280" t="s">
        <v>22</v>
      </c>
      <c r="K280" t="s">
        <v>23</v>
      </c>
      <c r="L280" t="s">
        <v>303</v>
      </c>
      <c r="M280">
        <v>95.60263841694983</v>
      </c>
      <c r="O280">
        <v>6.2157498361342709</v>
      </c>
      <c r="Q280">
        <v>93.784250163865735</v>
      </c>
      <c r="S280">
        <v>21.375911130411364</v>
      </c>
      <c r="U280">
        <v>34.726986655721255</v>
      </c>
      <c r="W280">
        <v>61.852316342473436</v>
      </c>
    </row>
    <row r="281" spans="2:24" x14ac:dyDescent="0.35">
      <c r="B281">
        <v>46062</v>
      </c>
      <c r="C281" t="s">
        <v>16</v>
      </c>
      <c r="D281">
        <v>30</v>
      </c>
      <c r="E281" t="s">
        <v>457</v>
      </c>
      <c r="F281" t="s">
        <v>458</v>
      </c>
      <c r="G281" t="s">
        <v>333</v>
      </c>
      <c r="H281" t="s">
        <v>438</v>
      </c>
      <c r="I281" t="s">
        <v>439</v>
      </c>
      <c r="J281" t="s">
        <v>22</v>
      </c>
      <c r="K281" t="s">
        <v>23</v>
      </c>
      <c r="L281" t="s">
        <v>303</v>
      </c>
      <c r="M281">
        <v>95.520000000000053</v>
      </c>
      <c r="N281">
        <v>95.480911635345876</v>
      </c>
      <c r="O281">
        <v>9.2479217560499993</v>
      </c>
      <c r="P281">
        <v>9.7276519679246789</v>
      </c>
      <c r="Q281">
        <v>90.752078243949995</v>
      </c>
      <c r="R281">
        <v>90.272348032075314</v>
      </c>
      <c r="S281">
        <v>28.79378419999593</v>
      </c>
      <c r="T281">
        <v>28.79378419999593</v>
      </c>
      <c r="U281">
        <v>20.437366108991188</v>
      </c>
      <c r="V281">
        <v>20.469508267526756</v>
      </c>
      <c r="W281">
        <v>44.927412202308155</v>
      </c>
      <c r="X281">
        <v>46.004422114289063</v>
      </c>
    </row>
    <row r="282" spans="2:24" x14ac:dyDescent="0.35">
      <c r="B282">
        <v>46062</v>
      </c>
      <c r="C282" t="s">
        <v>16</v>
      </c>
      <c r="D282">
        <v>30</v>
      </c>
      <c r="E282" t="s">
        <v>457</v>
      </c>
      <c r="F282" t="s">
        <v>458</v>
      </c>
      <c r="G282" t="s">
        <v>333</v>
      </c>
      <c r="H282" t="s">
        <v>438</v>
      </c>
      <c r="I282" t="s">
        <v>439</v>
      </c>
      <c r="J282" t="s">
        <v>22</v>
      </c>
      <c r="K282" t="s">
        <v>23</v>
      </c>
      <c r="L282" t="s">
        <v>303</v>
      </c>
      <c r="M282">
        <v>95.4418232706917</v>
      </c>
      <c r="O282">
        <v>10.207382179799357</v>
      </c>
      <c r="Q282">
        <v>89.792617820200647</v>
      </c>
      <c r="S282">
        <v>28.79378419999593</v>
      </c>
      <c r="U282">
        <v>20.501650426062326</v>
      </c>
      <c r="W282">
        <v>47.081432026269972</v>
      </c>
    </row>
    <row r="283" spans="2:24" x14ac:dyDescent="0.35">
      <c r="B283">
        <v>46062</v>
      </c>
      <c r="C283" t="s">
        <v>16</v>
      </c>
      <c r="D283">
        <v>30</v>
      </c>
      <c r="E283" t="s">
        <v>459</v>
      </c>
      <c r="F283" t="s">
        <v>460</v>
      </c>
      <c r="G283" t="s">
        <v>333</v>
      </c>
      <c r="H283" t="s">
        <v>461</v>
      </c>
      <c r="I283" t="s">
        <v>462</v>
      </c>
      <c r="J283" t="s">
        <v>22</v>
      </c>
      <c r="K283" t="s">
        <v>23</v>
      </c>
      <c r="L283" t="s">
        <v>303</v>
      </c>
      <c r="M283">
        <v>96.401439424230261</v>
      </c>
      <c r="N283">
        <v>96.441599272334983</v>
      </c>
      <c r="O283">
        <v>12.292680737659664</v>
      </c>
      <c r="P283">
        <v>10.395493281480912</v>
      </c>
      <c r="Q283">
        <v>87.707319262340334</v>
      </c>
      <c r="R283">
        <v>89.60450671851909</v>
      </c>
      <c r="S283">
        <v>25.521093019694892</v>
      </c>
      <c r="T283">
        <v>25.521093019694892</v>
      </c>
      <c r="U283">
        <v>30.662749455309157</v>
      </c>
      <c r="V283">
        <v>30.395489537354145</v>
      </c>
      <c r="W283">
        <v>50.455266674692581</v>
      </c>
      <c r="X283">
        <v>50.403594312680944</v>
      </c>
    </row>
    <row r="284" spans="2:24" x14ac:dyDescent="0.35">
      <c r="B284">
        <v>46062</v>
      </c>
      <c r="C284" t="s">
        <v>16</v>
      </c>
      <c r="D284">
        <v>30</v>
      </c>
      <c r="E284" t="s">
        <v>459</v>
      </c>
      <c r="F284" t="s">
        <v>460</v>
      </c>
      <c r="G284" t="s">
        <v>333</v>
      </c>
      <c r="H284" t="s">
        <v>461</v>
      </c>
      <c r="I284" t="s">
        <v>462</v>
      </c>
      <c r="J284" t="s">
        <v>22</v>
      </c>
      <c r="K284" t="s">
        <v>23</v>
      </c>
      <c r="L284" t="s">
        <v>303</v>
      </c>
      <c r="M284">
        <v>96.481759120439705</v>
      </c>
      <c r="O284">
        <v>8.4983058253021593</v>
      </c>
      <c r="Q284">
        <v>91.501694174697846</v>
      </c>
      <c r="S284">
        <v>25.521093019694892</v>
      </c>
      <c r="U284">
        <v>30.128229619399132</v>
      </c>
      <c r="W284">
        <v>50.351921950669308</v>
      </c>
    </row>
    <row r="285" spans="2:24" x14ac:dyDescent="0.35">
      <c r="B285">
        <v>46062</v>
      </c>
      <c r="C285" t="s">
        <v>16</v>
      </c>
      <c r="D285">
        <v>30</v>
      </c>
      <c r="E285" t="s">
        <v>463</v>
      </c>
      <c r="F285" t="s">
        <v>464</v>
      </c>
      <c r="G285" t="s">
        <v>333</v>
      </c>
      <c r="H285" t="s">
        <v>438</v>
      </c>
      <c r="I285" t="s">
        <v>439</v>
      </c>
      <c r="J285" t="s">
        <v>22</v>
      </c>
      <c r="K285" t="s">
        <v>23</v>
      </c>
      <c r="L285" t="s">
        <v>303</v>
      </c>
      <c r="M285">
        <v>95.881647341063669</v>
      </c>
      <c r="N285">
        <v>95.83687564454479</v>
      </c>
      <c r="O285">
        <v>7.9582615449609522</v>
      </c>
      <c r="P285">
        <v>7.9891513777258432</v>
      </c>
      <c r="Q285">
        <v>92.041738455039052</v>
      </c>
      <c r="R285">
        <v>92.010848622274153</v>
      </c>
      <c r="S285">
        <v>18.324960198207332</v>
      </c>
      <c r="T285">
        <v>18.324960198207332</v>
      </c>
      <c r="U285">
        <v>41.759124745056269</v>
      </c>
      <c r="V285">
        <v>41.369421047308848</v>
      </c>
      <c r="W285">
        <v>63.16837770926972</v>
      </c>
      <c r="X285">
        <v>63.026589125928808</v>
      </c>
    </row>
    <row r="286" spans="2:24" x14ac:dyDescent="0.35">
      <c r="B286">
        <v>46062</v>
      </c>
      <c r="C286" t="s">
        <v>16</v>
      </c>
      <c r="D286">
        <v>30</v>
      </c>
      <c r="E286" t="s">
        <v>463</v>
      </c>
      <c r="F286" t="s">
        <v>464</v>
      </c>
      <c r="G286" t="s">
        <v>333</v>
      </c>
      <c r="H286" t="s">
        <v>438</v>
      </c>
      <c r="I286" t="s">
        <v>439</v>
      </c>
      <c r="J286" t="s">
        <v>22</v>
      </c>
      <c r="K286" t="s">
        <v>23</v>
      </c>
      <c r="L286" t="s">
        <v>303</v>
      </c>
      <c r="M286">
        <v>95.792103948025925</v>
      </c>
      <c r="O286">
        <v>8.020041210490735</v>
      </c>
      <c r="Q286">
        <v>91.979958789509269</v>
      </c>
      <c r="S286">
        <v>18.324960198207332</v>
      </c>
      <c r="U286">
        <v>40.979717349561426</v>
      </c>
      <c r="W286">
        <v>62.884800542587904</v>
      </c>
    </row>
    <row r="287" spans="2:24" x14ac:dyDescent="0.35">
      <c r="B287">
        <v>46062</v>
      </c>
      <c r="C287" t="s">
        <v>16</v>
      </c>
      <c r="D287">
        <v>30</v>
      </c>
      <c r="E287" t="s">
        <v>465</v>
      </c>
      <c r="F287" t="s">
        <v>466</v>
      </c>
      <c r="G287" t="s">
        <v>346</v>
      </c>
      <c r="H287" t="s">
        <v>347</v>
      </c>
      <c r="I287" t="s">
        <v>348</v>
      </c>
      <c r="J287" t="s">
        <v>22</v>
      </c>
      <c r="K287" t="s">
        <v>23</v>
      </c>
      <c r="L287" t="s">
        <v>303</v>
      </c>
      <c r="M287">
        <v>96.472116729962124</v>
      </c>
      <c r="N287">
        <v>96.306637191333095</v>
      </c>
      <c r="O287">
        <v>9.4329420436407094</v>
      </c>
      <c r="P287">
        <v>9.3357428914648342</v>
      </c>
      <c r="Q287">
        <v>90.567057956359292</v>
      </c>
      <c r="R287">
        <v>90.664257108535168</v>
      </c>
      <c r="S287">
        <v>15.866404880370927</v>
      </c>
      <c r="T287">
        <v>16.194493709548571</v>
      </c>
      <c r="U287">
        <v>42.722099832189308</v>
      </c>
      <c r="V287">
        <v>43.815159268350158</v>
      </c>
      <c r="W287">
        <v>61.391641818631058</v>
      </c>
      <c r="X287">
        <v>62.853390322879953</v>
      </c>
    </row>
    <row r="288" spans="2:24" x14ac:dyDescent="0.35">
      <c r="B288">
        <v>46062</v>
      </c>
      <c r="C288" t="s">
        <v>16</v>
      </c>
      <c r="D288">
        <v>30</v>
      </c>
      <c r="E288" t="s">
        <v>465</v>
      </c>
      <c r="F288" t="s">
        <v>466</v>
      </c>
      <c r="G288" t="s">
        <v>346</v>
      </c>
      <c r="H288" t="s">
        <v>347</v>
      </c>
      <c r="I288" t="s">
        <v>348</v>
      </c>
      <c r="J288" t="s">
        <v>22</v>
      </c>
      <c r="K288" t="s">
        <v>23</v>
      </c>
      <c r="L288" t="s">
        <v>303</v>
      </c>
      <c r="M288">
        <v>96.141157652704052</v>
      </c>
      <c r="O288">
        <v>9.2385437392889589</v>
      </c>
      <c r="Q288">
        <v>90.761456260711043</v>
      </c>
      <c r="S288">
        <v>16.522582538726212</v>
      </c>
      <c r="U288">
        <v>44.908218704511</v>
      </c>
      <c r="W288">
        <v>64.315138827128848</v>
      </c>
    </row>
    <row r="289" spans="2:24" x14ac:dyDescent="0.35">
      <c r="B289">
        <v>46062</v>
      </c>
      <c r="C289" t="s">
        <v>16</v>
      </c>
      <c r="D289">
        <v>30</v>
      </c>
      <c r="E289" t="s">
        <v>467</v>
      </c>
      <c r="F289" t="s">
        <v>468</v>
      </c>
      <c r="G289" t="s">
        <v>212</v>
      </c>
      <c r="H289" t="s">
        <v>469</v>
      </c>
      <c r="I289" t="s">
        <v>470</v>
      </c>
      <c r="J289" t="s">
        <v>22</v>
      </c>
      <c r="K289" t="s">
        <v>23</v>
      </c>
      <c r="L289" t="s">
        <v>303</v>
      </c>
      <c r="M289">
        <v>94.952019192323206</v>
      </c>
      <c r="N289">
        <v>94.996009596161613</v>
      </c>
      <c r="O289">
        <v>10.049034236249529</v>
      </c>
      <c r="P289">
        <v>10.098414453907923</v>
      </c>
      <c r="Q289">
        <v>89.950965763750474</v>
      </c>
      <c r="R289">
        <v>89.901585546092079</v>
      </c>
      <c r="S289">
        <v>19.053138278667557</v>
      </c>
      <c r="T289">
        <v>19.053138278667557</v>
      </c>
      <c r="U289">
        <v>27.536720677266953</v>
      </c>
      <c r="V289">
        <v>26.899184517815108</v>
      </c>
      <c r="W289">
        <v>55.906290743822026</v>
      </c>
      <c r="X289">
        <v>54.717309601086242</v>
      </c>
    </row>
    <row r="290" spans="2:24" x14ac:dyDescent="0.35">
      <c r="B290">
        <v>46062</v>
      </c>
      <c r="C290" t="s">
        <v>16</v>
      </c>
      <c r="D290">
        <v>30</v>
      </c>
      <c r="E290" t="s">
        <v>467</v>
      </c>
      <c r="F290" t="s">
        <v>468</v>
      </c>
      <c r="G290" t="s">
        <v>212</v>
      </c>
      <c r="H290" t="s">
        <v>469</v>
      </c>
      <c r="I290" t="s">
        <v>470</v>
      </c>
      <c r="J290" t="s">
        <v>22</v>
      </c>
      <c r="K290" t="s">
        <v>23</v>
      </c>
      <c r="L290" t="s">
        <v>303</v>
      </c>
      <c r="M290">
        <v>95.04000000000002</v>
      </c>
      <c r="O290">
        <v>10.147794671566317</v>
      </c>
      <c r="Q290">
        <v>89.852205328433683</v>
      </c>
      <c r="S290">
        <v>19.053138278667557</v>
      </c>
      <c r="U290">
        <v>26.261648358363267</v>
      </c>
      <c r="W290">
        <v>53.528328458350451</v>
      </c>
    </row>
    <row r="291" spans="2:24" x14ac:dyDescent="0.35">
      <c r="B291">
        <v>46062</v>
      </c>
      <c r="C291" t="s">
        <v>16</v>
      </c>
      <c r="D291">
        <v>30</v>
      </c>
      <c r="E291" t="s">
        <v>471</v>
      </c>
      <c r="F291" t="s">
        <v>472</v>
      </c>
      <c r="G291" t="s">
        <v>346</v>
      </c>
      <c r="H291" t="s">
        <v>347</v>
      </c>
      <c r="I291" t="s">
        <v>348</v>
      </c>
      <c r="J291" t="s">
        <v>22</v>
      </c>
      <c r="K291" t="s">
        <v>23</v>
      </c>
      <c r="L291" t="s">
        <v>303</v>
      </c>
      <c r="M291">
        <v>95.532233883058467</v>
      </c>
      <c r="N291">
        <v>95.601549854946512</v>
      </c>
      <c r="O291">
        <v>9.3048200969388724</v>
      </c>
      <c r="P291">
        <v>9.5310623230814127</v>
      </c>
      <c r="Q291">
        <v>90.695179903061131</v>
      </c>
      <c r="R291">
        <v>90.468937676918586</v>
      </c>
      <c r="S291">
        <v>13.668304683335682</v>
      </c>
      <c r="T291">
        <v>13.662068705204028</v>
      </c>
      <c r="U291">
        <v>43.818620200779108</v>
      </c>
      <c r="V291">
        <v>45.266052677216479</v>
      </c>
      <c r="W291">
        <v>62.433688343794977</v>
      </c>
      <c r="X291">
        <v>64.592618218934177</v>
      </c>
    </row>
    <row r="292" spans="2:24" x14ac:dyDescent="0.35">
      <c r="B292">
        <v>46062</v>
      </c>
      <c r="C292" t="s">
        <v>16</v>
      </c>
      <c r="D292">
        <v>30</v>
      </c>
      <c r="E292" t="s">
        <v>471</v>
      </c>
      <c r="F292" t="s">
        <v>472</v>
      </c>
      <c r="G292" t="s">
        <v>346</v>
      </c>
      <c r="H292" t="s">
        <v>347</v>
      </c>
      <c r="I292" t="s">
        <v>348</v>
      </c>
      <c r="J292" t="s">
        <v>22</v>
      </c>
      <c r="K292" t="s">
        <v>23</v>
      </c>
      <c r="L292" t="s">
        <v>303</v>
      </c>
      <c r="M292">
        <v>95.670865826834557</v>
      </c>
      <c r="O292">
        <v>9.757304549223953</v>
      </c>
      <c r="Q292">
        <v>90.24269545077604</v>
      </c>
      <c r="S292">
        <v>13.655832727072376</v>
      </c>
      <c r="U292">
        <v>46.713485153653842</v>
      </c>
      <c r="W292">
        <v>66.751548094073385</v>
      </c>
    </row>
    <row r="293" spans="2:24" x14ac:dyDescent="0.35">
      <c r="B293">
        <v>46062</v>
      </c>
      <c r="C293" t="s">
        <v>473</v>
      </c>
      <c r="D293">
        <v>30</v>
      </c>
      <c r="E293" t="s">
        <v>474</v>
      </c>
      <c r="F293" t="s">
        <v>475</v>
      </c>
      <c r="G293" t="s">
        <v>105</v>
      </c>
      <c r="H293" t="s">
        <v>106</v>
      </c>
      <c r="I293" t="s">
        <v>476</v>
      </c>
      <c r="J293" t="s">
        <v>108</v>
      </c>
      <c r="K293" t="s">
        <v>109</v>
      </c>
      <c r="L293" t="s">
        <v>110</v>
      </c>
      <c r="M293">
        <v>93.02</v>
      </c>
      <c r="N293">
        <v>93.09</v>
      </c>
      <c r="O293">
        <v>14.27</v>
      </c>
      <c r="P293">
        <v>14.475</v>
      </c>
      <c r="Q293">
        <v>85.73</v>
      </c>
      <c r="R293">
        <v>85.525000000000006</v>
      </c>
      <c r="S293">
        <v>12.27</v>
      </c>
      <c r="T293">
        <v>12.225</v>
      </c>
      <c r="U293">
        <v>25.43</v>
      </c>
      <c r="V293">
        <v>25.64</v>
      </c>
      <c r="W293">
        <v>59.24</v>
      </c>
      <c r="X293">
        <v>59.760000000000005</v>
      </c>
    </row>
    <row r="294" spans="2:24" x14ac:dyDescent="0.35">
      <c r="B294">
        <v>46062</v>
      </c>
      <c r="C294" t="s">
        <v>473</v>
      </c>
      <c r="D294">
        <v>30</v>
      </c>
      <c r="E294" t="s">
        <v>474</v>
      </c>
      <c r="F294" t="s">
        <v>475</v>
      </c>
      <c r="G294" t="s">
        <v>105</v>
      </c>
      <c r="H294" t="s">
        <v>106</v>
      </c>
      <c r="I294" t="s">
        <v>476</v>
      </c>
      <c r="J294" t="s">
        <v>108</v>
      </c>
      <c r="K294" t="s">
        <v>109</v>
      </c>
      <c r="L294" t="s">
        <v>110</v>
      </c>
      <c r="M294">
        <v>93.16</v>
      </c>
      <c r="O294">
        <v>14.68</v>
      </c>
      <c r="Q294">
        <v>85.32</v>
      </c>
      <c r="S294">
        <v>12.18</v>
      </c>
      <c r="U294">
        <v>25.85</v>
      </c>
      <c r="W294">
        <v>60.28</v>
      </c>
    </row>
    <row r="295" spans="2:24" x14ac:dyDescent="0.35">
      <c r="B295">
        <v>46062</v>
      </c>
      <c r="C295" t="s">
        <v>473</v>
      </c>
      <c r="D295">
        <v>30</v>
      </c>
      <c r="E295" t="s">
        <v>478</v>
      </c>
      <c r="F295" t="s">
        <v>479</v>
      </c>
      <c r="G295" t="s">
        <v>105</v>
      </c>
      <c r="H295" t="s">
        <v>188</v>
      </c>
      <c r="I295" t="s">
        <v>189</v>
      </c>
      <c r="J295" t="s">
        <v>108</v>
      </c>
      <c r="K295" t="s">
        <v>109</v>
      </c>
      <c r="L295" t="s">
        <v>110</v>
      </c>
      <c r="M295">
        <v>98.22</v>
      </c>
      <c r="N295">
        <v>98.210000000000008</v>
      </c>
      <c r="O295">
        <v>15.08</v>
      </c>
      <c r="P295">
        <v>13.780000000000001</v>
      </c>
      <c r="Q295">
        <v>84.92</v>
      </c>
      <c r="R295">
        <v>86.22</v>
      </c>
      <c r="S295">
        <v>8.73</v>
      </c>
      <c r="T295">
        <v>8.7650000000000006</v>
      </c>
      <c r="U295">
        <v>36.96</v>
      </c>
      <c r="V295">
        <v>36.795000000000002</v>
      </c>
      <c r="W295">
        <v>73.739999999999995</v>
      </c>
      <c r="X295">
        <v>73.555000000000007</v>
      </c>
    </row>
    <row r="296" spans="2:24" x14ac:dyDescent="0.35">
      <c r="B296">
        <v>46062</v>
      </c>
      <c r="C296" t="s">
        <v>473</v>
      </c>
      <c r="D296">
        <v>30</v>
      </c>
      <c r="E296" t="s">
        <v>478</v>
      </c>
      <c r="F296" t="s">
        <v>479</v>
      </c>
      <c r="G296" t="s">
        <v>105</v>
      </c>
      <c r="H296" t="s">
        <v>188</v>
      </c>
      <c r="I296" t="s">
        <v>189</v>
      </c>
      <c r="J296" t="s">
        <v>108</v>
      </c>
      <c r="K296" t="s">
        <v>109</v>
      </c>
      <c r="L296" t="s">
        <v>110</v>
      </c>
      <c r="M296">
        <v>98.2</v>
      </c>
      <c r="O296">
        <v>12.48</v>
      </c>
      <c r="Q296">
        <v>87.52</v>
      </c>
      <c r="S296">
        <v>8.8000000000000007</v>
      </c>
      <c r="U296">
        <v>36.630000000000003</v>
      </c>
      <c r="W296">
        <v>73.37</v>
      </c>
    </row>
    <row r="297" spans="2:24" x14ac:dyDescent="0.35">
      <c r="B297">
        <v>46062</v>
      </c>
      <c r="C297" t="s">
        <v>320</v>
      </c>
      <c r="D297">
        <v>30</v>
      </c>
      <c r="E297" t="s">
        <v>121</v>
      </c>
      <c r="F297" t="s">
        <v>122</v>
      </c>
      <c r="G297" t="s">
        <v>123</v>
      </c>
      <c r="H297" t="s">
        <v>124</v>
      </c>
      <c r="I297" t="s">
        <v>125</v>
      </c>
      <c r="J297" t="s">
        <v>108</v>
      </c>
      <c r="K297" t="s">
        <v>109</v>
      </c>
      <c r="L297" t="s">
        <v>110</v>
      </c>
      <c r="M297">
        <v>93.6</v>
      </c>
      <c r="N297">
        <v>93.699999999999989</v>
      </c>
      <c r="O297">
        <v>11.3</v>
      </c>
      <c r="P297">
        <v>11.4</v>
      </c>
      <c r="Q297">
        <v>88.7</v>
      </c>
      <c r="R297">
        <v>88.6</v>
      </c>
      <c r="S297">
        <v>13.1</v>
      </c>
      <c r="T297">
        <v>13.1</v>
      </c>
      <c r="U297">
        <v>37.799999999999997</v>
      </c>
      <c r="V297">
        <v>37.799999999999997</v>
      </c>
      <c r="W297">
        <v>76.099999999999994</v>
      </c>
      <c r="X297">
        <v>76.099999999999994</v>
      </c>
    </row>
    <row r="298" spans="2:24" x14ac:dyDescent="0.35">
      <c r="B298">
        <v>46062</v>
      </c>
      <c r="C298" t="s">
        <v>320</v>
      </c>
      <c r="D298">
        <v>30</v>
      </c>
      <c r="E298" t="s">
        <v>121</v>
      </c>
      <c r="F298" t="s">
        <v>122</v>
      </c>
      <c r="G298" t="s">
        <v>123</v>
      </c>
      <c r="H298" t="s">
        <v>124</v>
      </c>
      <c r="I298" t="s">
        <v>125</v>
      </c>
      <c r="J298" t="s">
        <v>108</v>
      </c>
      <c r="K298" t="s">
        <v>109</v>
      </c>
      <c r="L298" t="s">
        <v>110</v>
      </c>
      <c r="M298">
        <v>93.8</v>
      </c>
      <c r="O298">
        <v>11.5</v>
      </c>
      <c r="Q298">
        <v>88.5</v>
      </c>
      <c r="S298">
        <v>13.1</v>
      </c>
      <c r="U298">
        <v>37.799999999999997</v>
      </c>
      <c r="W298">
        <v>76.099999999999994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005B58-514E-4F7F-9F22-6C85A141FDE7}">
  <dimension ref="B2:U158"/>
  <sheetViews>
    <sheetView topLeftCell="A89" zoomScale="47" zoomScaleNormal="70" workbookViewId="0">
      <selection activeCell="N156" sqref="N156"/>
    </sheetView>
  </sheetViews>
  <sheetFormatPr defaultColWidth="8.6328125" defaultRowHeight="14.5" x14ac:dyDescent="0.35"/>
  <cols>
    <col min="1" max="1" width="2.453125" style="5" customWidth="1"/>
    <col min="2" max="2" width="7.453125" style="15" bestFit="1" customWidth="1"/>
    <col min="3" max="3" width="11.36328125" style="193" customWidth="1"/>
    <col min="4" max="6" width="10.08984375" style="15" customWidth="1"/>
    <col min="7" max="7" width="13.36328125" style="15" customWidth="1"/>
    <col min="8" max="8" width="12.36328125" style="15" bestFit="1" customWidth="1"/>
    <col min="9" max="10" width="22.08984375" style="15" customWidth="1"/>
    <col min="11" max="13" width="10.08984375" style="39" customWidth="1"/>
    <col min="14" max="15" width="10.08984375" style="15" customWidth="1"/>
    <col min="16" max="19" width="10.08984375" style="5" customWidth="1"/>
    <col min="20" max="16384" width="8.6328125" style="5"/>
  </cols>
  <sheetData>
    <row r="2" spans="2:21" x14ac:dyDescent="0.35">
      <c r="E2" s="15" t="e" vm="1">
        <v>#VALUE!</v>
      </c>
      <c r="M2" s="40" t="s">
        <v>703</v>
      </c>
      <c r="N2" s="30">
        <f>_xlfn.STDEV.P(N11:N246)</f>
        <v>1.9090169831136388</v>
      </c>
      <c r="O2" s="30">
        <f>_xlfn.STDEV.P(O11:O246)</f>
        <v>2.8350697999750269</v>
      </c>
      <c r="P2" s="30">
        <f>_xlfn.STDEV.P(P11:P200)</f>
        <v>2.8350697999750376</v>
      </c>
      <c r="Q2" s="20">
        <f>_xlfn.STDEV.P(Q11:Q200)</f>
        <v>6.425659638893884</v>
      </c>
      <c r="R2" s="20">
        <f>_xlfn.STDEV.P(R11:R200)</f>
        <v>13.622536371761317</v>
      </c>
      <c r="S2" s="20">
        <f>_xlfn.STDEV.P(S11:S200)</f>
        <v>14.941322857470119</v>
      </c>
    </row>
    <row r="3" spans="2:21" x14ac:dyDescent="0.35">
      <c r="M3" s="40" t="s">
        <v>704</v>
      </c>
      <c r="N3" s="30">
        <f>MIN(N11:N157)</f>
        <v>88.84780354431571</v>
      </c>
      <c r="O3" s="30">
        <f t="shared" ref="O3:S3" si="0">MIN(O11:O125)</f>
        <v>4.7831941826016706</v>
      </c>
      <c r="P3" s="30">
        <f t="shared" si="0"/>
        <v>79.715922125564873</v>
      </c>
      <c r="Q3" s="20">
        <f t="shared" si="0"/>
        <v>0</v>
      </c>
      <c r="R3" s="20">
        <f t="shared" si="0"/>
        <v>0</v>
      </c>
      <c r="S3" s="20">
        <f t="shared" si="0"/>
        <v>0</v>
      </c>
    </row>
    <row r="4" spans="2:21" x14ac:dyDescent="0.35">
      <c r="M4" s="40" t="s">
        <v>705</v>
      </c>
      <c r="N4" s="30">
        <f>MAX(N11:N181)</f>
        <v>98.210000000000008</v>
      </c>
      <c r="O4" s="30">
        <f>MAX(O11:O181)</f>
        <v>20.284077874435134</v>
      </c>
      <c r="P4" s="30">
        <f>MAX(P11:P150)</f>
        <v>95.216805817398324</v>
      </c>
      <c r="Q4" s="20">
        <f>MAX(Q11:Q150)</f>
        <v>36.95492579631334</v>
      </c>
      <c r="R4" s="20">
        <f>MAX(R11:R150)</f>
        <v>58.526711306777671</v>
      </c>
      <c r="S4" s="20">
        <f>MAX(S11:S150)</f>
        <v>70.33432004995808</v>
      </c>
    </row>
    <row r="5" spans="2:21" x14ac:dyDescent="0.35">
      <c r="M5" s="40" t="s">
        <v>706</v>
      </c>
      <c r="N5" s="30">
        <f>MEDIAN(N11:N246)</f>
        <v>93.555642839444914</v>
      </c>
      <c r="O5" s="30">
        <f>MEDIAN(O11:O246)</f>
        <v>10.225694710086337</v>
      </c>
      <c r="P5" s="30">
        <f>MEDIAN(P11:P200)</f>
        <v>89.774305289913656</v>
      </c>
      <c r="Q5" s="20">
        <f>MEDIAN(Q11:Q200)</f>
        <v>20.349841746564955</v>
      </c>
      <c r="R5" s="20">
        <f>MEDIAN(R11:R200)</f>
        <v>21.860017879896329</v>
      </c>
      <c r="S5" s="20">
        <f>MEDIAN(S11:S200)</f>
        <v>35.846819728195698</v>
      </c>
    </row>
    <row r="6" spans="2:21" x14ac:dyDescent="0.35">
      <c r="M6" s="40" t="s">
        <v>707</v>
      </c>
      <c r="N6" s="30">
        <f>AVERAGE(N11:N246)</f>
        <v>93.529467411431696</v>
      </c>
      <c r="O6" s="30">
        <f>AVERAGE(O11:O246)</f>
        <v>10.404361404428618</v>
      </c>
      <c r="P6" s="30">
        <f>AVERAGE(P11:P200)</f>
        <v>89.595638595571415</v>
      </c>
      <c r="Q6" s="20">
        <f>AVERAGE(Q11:Q200)</f>
        <v>19.633930171672837</v>
      </c>
      <c r="R6" s="20">
        <f>AVERAGE(R11:R200)</f>
        <v>25.479756010305774</v>
      </c>
      <c r="S6" s="20">
        <f>AVERAGE(S11:S200)</f>
        <v>39.46018056352397</v>
      </c>
    </row>
    <row r="7" spans="2:21" x14ac:dyDescent="0.35">
      <c r="M7" s="40" t="s">
        <v>708</v>
      </c>
      <c r="N7" s="30">
        <f>COUNT(N11:N246)</f>
        <v>148</v>
      </c>
      <c r="O7" s="30">
        <f>COUNT(O11:O246)</f>
        <v>148</v>
      </c>
      <c r="P7" s="30">
        <f t="shared" ref="P7:S7" si="1">COUNT(P11:P200)</f>
        <v>148</v>
      </c>
      <c r="Q7" s="20">
        <f t="shared" si="1"/>
        <v>148</v>
      </c>
      <c r="R7" s="20">
        <f t="shared" si="1"/>
        <v>148</v>
      </c>
      <c r="S7" s="20">
        <f t="shared" si="1"/>
        <v>148</v>
      </c>
    </row>
    <row r="10" spans="2:21" s="15" customFormat="1" ht="24.9" customHeight="1" x14ac:dyDescent="0.35">
      <c r="B10" s="12" t="s">
        <v>1</v>
      </c>
      <c r="C10" s="13" t="s">
        <v>2</v>
      </c>
      <c r="D10" s="12" t="s">
        <v>3</v>
      </c>
      <c r="E10" s="50" t="s">
        <v>4</v>
      </c>
      <c r="F10" s="50" t="s">
        <v>5</v>
      </c>
      <c r="G10" s="50" t="s">
        <v>6</v>
      </c>
      <c r="H10" s="50" t="s">
        <v>7</v>
      </c>
      <c r="I10" s="50" t="s">
        <v>8</v>
      </c>
      <c r="J10" s="50" t="s">
        <v>9</v>
      </c>
      <c r="K10" s="50" t="s">
        <v>10</v>
      </c>
      <c r="L10" s="50" t="s">
        <v>11</v>
      </c>
      <c r="M10" s="50" t="s">
        <v>12</v>
      </c>
      <c r="N10" s="55" t="s">
        <v>485</v>
      </c>
      <c r="O10" s="54" t="s">
        <v>487</v>
      </c>
      <c r="P10" s="54" t="s">
        <v>488</v>
      </c>
      <c r="Q10" s="54" t="s">
        <v>491</v>
      </c>
      <c r="R10" s="53" t="s">
        <v>494</v>
      </c>
      <c r="S10" s="53" t="s">
        <v>702</v>
      </c>
    </row>
    <row r="11" spans="2:21" x14ac:dyDescent="0.35">
      <c r="B11" s="6">
        <f>'1. Information samples'!B11</f>
        <v>1</v>
      </c>
      <c r="C11" s="7">
        <f>'1. Information samples'!C11</f>
        <v>46041</v>
      </c>
      <c r="D11" s="6" t="str">
        <f>'1. Information samples'!D11</f>
        <v>Genbank</v>
      </c>
      <c r="E11" s="6">
        <f>'1. Information samples'!E11</f>
        <v>27</v>
      </c>
      <c r="F11" s="6" t="str">
        <f>'1. Information samples'!F11</f>
        <v>F251728</v>
      </c>
      <c r="G11" s="6" t="str">
        <f>'1. Information samples'!G11</f>
        <v>CIAT-13262</v>
      </c>
      <c r="H11" s="6" t="str">
        <f>'1. Information samples'!H11</f>
        <v>Dendrolobium</v>
      </c>
      <c r="I11" s="6" t="str">
        <f>'1. Information samples'!I11</f>
        <v>triangulare</v>
      </c>
      <c r="J11" s="6" t="str">
        <f>'1. Information samples'!J11</f>
        <v>Dendrolobium triangulare</v>
      </c>
      <c r="K11" s="6" t="str">
        <f>'1. Information samples'!K11</f>
        <v>Fabaceae</v>
      </c>
      <c r="L11" s="6" t="str">
        <f>'1. Information samples'!L11</f>
        <v>Fabales</v>
      </c>
      <c r="M11" s="6" t="str">
        <f>'1. Information samples'!M11</f>
        <v>Tree</v>
      </c>
      <c r="N11" s="30">
        <f>'4.0 Result Q-raw data'!O11</f>
        <v>94.932281959779715</v>
      </c>
      <c r="O11" s="30">
        <f>'4.0 Result Q-raw data'!Q11</f>
        <v>8.6970264710569118</v>
      </c>
      <c r="P11" s="30">
        <f>'4.0 Result Q-raw data'!S11</f>
        <v>91.302973528943085</v>
      </c>
      <c r="Q11" s="30">
        <f>'4.0 Result Q-raw data'!U11</f>
        <v>18.980951082197933</v>
      </c>
      <c r="R11" s="30">
        <f>'4.0 Result Q-raw data'!W11</f>
        <v>47.523177057750779</v>
      </c>
      <c r="S11" s="30">
        <f>'4.0 Result Q-raw data'!Y11</f>
        <v>60.404358773318265</v>
      </c>
      <c r="T11" s="311"/>
      <c r="U11" s="74"/>
    </row>
    <row r="12" spans="2:21" x14ac:dyDescent="0.35">
      <c r="B12" s="6">
        <f>'1. Information samples'!B12</f>
        <v>2</v>
      </c>
      <c r="C12" s="7">
        <f>'1. Information samples'!C12</f>
        <v>46041</v>
      </c>
      <c r="D12" s="6" t="str">
        <f>'1. Information samples'!D12</f>
        <v>Genbank</v>
      </c>
      <c r="E12" s="6">
        <f>'1. Information samples'!E12</f>
        <v>27</v>
      </c>
      <c r="F12" s="6" t="str">
        <f>'1. Information samples'!F12</f>
        <v>F251729</v>
      </c>
      <c r="G12" s="6" t="str">
        <f>'1. Information samples'!G12</f>
        <v>CIAT-13528</v>
      </c>
      <c r="H12" s="6" t="str">
        <f>'1. Information samples'!H12</f>
        <v>Dendrolobium</v>
      </c>
      <c r="I12" s="6" t="str">
        <f>'1. Information samples'!I12</f>
        <v>lanceolatum</v>
      </c>
      <c r="J12" s="6" t="str">
        <f>'1. Information samples'!J12</f>
        <v>Dendrolobium lanceolatum</v>
      </c>
      <c r="K12" s="6" t="str">
        <f>'1. Information samples'!K12</f>
        <v>Fabaceae</v>
      </c>
      <c r="L12" s="6" t="str">
        <f>'1. Information samples'!L12</f>
        <v>Fabales</v>
      </c>
      <c r="M12" s="6" t="str">
        <f>'1. Information samples'!M12</f>
        <v>Tree</v>
      </c>
      <c r="N12" s="30">
        <f>'4.0 Result Q-raw data'!O13</f>
        <v>95.045740876822194</v>
      </c>
      <c r="O12" s="30">
        <f>'4.0 Result Q-raw data'!Q13</f>
        <v>7.5846835573203437</v>
      </c>
      <c r="P12" s="30">
        <f>'4.0 Result Q-raw data'!S13</f>
        <v>92.415316442679654</v>
      </c>
      <c r="Q12" s="30">
        <f>'4.0 Result Q-raw data'!U13</f>
        <v>16.897001614940418</v>
      </c>
      <c r="R12" s="30">
        <f>'4.0 Result Q-raw data'!W13</f>
        <v>48.362187242896454</v>
      </c>
      <c r="S12" s="30">
        <f>'4.0 Result Q-raw data'!Y13</f>
        <v>56.879547867545071</v>
      </c>
    </row>
    <row r="13" spans="2:21" x14ac:dyDescent="0.35">
      <c r="B13" s="6">
        <f>'1. Information samples'!B13</f>
        <v>3</v>
      </c>
      <c r="C13" s="7">
        <f>'1. Information samples'!C13</f>
        <v>46041</v>
      </c>
      <c r="D13" s="6" t="str">
        <f>'1. Information samples'!D13</f>
        <v>Genbank</v>
      </c>
      <c r="E13" s="6">
        <f>'1. Information samples'!E13</f>
        <v>27</v>
      </c>
      <c r="F13" s="6" t="str">
        <f>'1. Information samples'!F13</f>
        <v>F251730</v>
      </c>
      <c r="G13" s="6" t="str">
        <f>'1. Information samples'!G13</f>
        <v>CIAT-13529</v>
      </c>
      <c r="H13" s="6" t="str">
        <f>'1. Information samples'!H13</f>
        <v>Dendrolobium</v>
      </c>
      <c r="I13" s="6" t="str">
        <f>'1. Information samples'!I13</f>
        <v>triangulare</v>
      </c>
      <c r="J13" s="6" t="str">
        <f>'1. Information samples'!J13</f>
        <v>Dendrolobium triangulare</v>
      </c>
      <c r="K13" s="6" t="str">
        <f>'1. Information samples'!K13</f>
        <v>Fabaceae</v>
      </c>
      <c r="L13" s="6" t="str">
        <f>'1. Information samples'!L13</f>
        <v>Fabales</v>
      </c>
      <c r="M13" s="6" t="str">
        <f>'1. Information samples'!M13</f>
        <v>Tree</v>
      </c>
      <c r="N13" s="30">
        <f>'4.0 Result Q-raw data'!O15</f>
        <v>94.356983176078415</v>
      </c>
      <c r="O13" s="30">
        <f>'4.0 Result Q-raw data'!Q15</f>
        <v>6.6903229685698147</v>
      </c>
      <c r="P13" s="30">
        <f>'4.0 Result Q-raw data'!S15</f>
        <v>93.309677031430184</v>
      </c>
      <c r="Q13" s="30">
        <f>'4.0 Result Q-raw data'!U15</f>
        <v>18.170976041618641</v>
      </c>
      <c r="R13" s="30">
        <f>'4.0 Result Q-raw data'!W15</f>
        <v>45.328121185749261</v>
      </c>
      <c r="S13" s="30">
        <f>'4.0 Result Q-raw data'!Y15</f>
        <v>59.943984836340981</v>
      </c>
    </row>
    <row r="14" spans="2:21" x14ac:dyDescent="0.35">
      <c r="B14" s="6">
        <f>'1. Information samples'!B14</f>
        <v>4</v>
      </c>
      <c r="C14" s="7">
        <f>'1. Information samples'!C14</f>
        <v>46041</v>
      </c>
      <c r="D14" s="6" t="str">
        <f>'1. Information samples'!D14</f>
        <v>Genbank</v>
      </c>
      <c r="E14" s="6">
        <f>'1. Information samples'!E14</f>
        <v>27</v>
      </c>
      <c r="F14" s="6" t="str">
        <f>'1. Information samples'!F14</f>
        <v>F251731</v>
      </c>
      <c r="G14" s="6" t="str">
        <f>'1. Information samples'!G14</f>
        <v>CIAT-13710</v>
      </c>
      <c r="H14" s="6" t="str">
        <f>'1. Information samples'!H14</f>
        <v>Dendrolobium</v>
      </c>
      <c r="I14" s="6" t="str">
        <f>'1. Information samples'!I14</f>
        <v>lanceolatum</v>
      </c>
      <c r="J14" s="6" t="str">
        <f>'1. Information samples'!J14</f>
        <v>Dendrolobium lanceolatum</v>
      </c>
      <c r="K14" s="6" t="str">
        <f>'1. Information samples'!K14</f>
        <v>Fabaceae</v>
      </c>
      <c r="L14" s="6" t="str">
        <f>'1. Information samples'!L14</f>
        <v>Fabales</v>
      </c>
      <c r="M14" s="6" t="str">
        <f>'1. Information samples'!M14</f>
        <v>Tree</v>
      </c>
      <c r="N14" s="30">
        <f>'4.0 Result Q-raw data'!O17</f>
        <v>94.132642295405702</v>
      </c>
      <c r="O14" s="30">
        <f>'4.0 Result Q-raw data'!Q17</f>
        <v>7.4913693869890468</v>
      </c>
      <c r="P14" s="30">
        <f>'4.0 Result Q-raw data'!S17</f>
        <v>92.508630613010951</v>
      </c>
      <c r="Q14" s="30">
        <f>'4.0 Result Q-raw data'!U17</f>
        <v>19.138187821274556</v>
      </c>
      <c r="R14" s="30">
        <f>'4.0 Result Q-raw data'!W17</f>
        <v>55.171776839485076</v>
      </c>
      <c r="S14" s="30">
        <f>'4.0 Result Q-raw data'!Y17</f>
        <v>64.357002509200385</v>
      </c>
    </row>
    <row r="15" spans="2:21" x14ac:dyDescent="0.35">
      <c r="B15" s="6">
        <f>'1. Information samples'!B15</f>
        <v>5</v>
      </c>
      <c r="C15" s="7">
        <f>'1. Information samples'!C15</f>
        <v>46041</v>
      </c>
      <c r="D15" s="6" t="str">
        <f>'1. Information samples'!D15</f>
        <v>Genbank</v>
      </c>
      <c r="E15" s="6">
        <f>'1. Information samples'!E15</f>
        <v>27</v>
      </c>
      <c r="F15" s="6" t="str">
        <f>'1. Information samples'!F15</f>
        <v>F251732</v>
      </c>
      <c r="G15" s="6" t="str">
        <f>'1. Information samples'!G15</f>
        <v>CIAT-22004</v>
      </c>
      <c r="H15" s="6" t="str">
        <f>'1. Information samples'!H15</f>
        <v>Dendrolobium</v>
      </c>
      <c r="I15" s="6" t="str">
        <f>'1. Information samples'!I15</f>
        <v>triangulare</v>
      </c>
      <c r="J15" s="6" t="str">
        <f>'1. Information samples'!J15</f>
        <v>Dendrolobium triangulare</v>
      </c>
      <c r="K15" s="6" t="str">
        <f>'1. Information samples'!K15</f>
        <v>Fabaceae</v>
      </c>
      <c r="L15" s="6" t="str">
        <f>'1. Information samples'!L15</f>
        <v>Fabales</v>
      </c>
      <c r="M15" s="6" t="str">
        <f>'1. Information samples'!M15</f>
        <v>Tree</v>
      </c>
      <c r="N15" s="30">
        <f>'4.0 Result Q-raw data'!O19</f>
        <v>94.295849859125241</v>
      </c>
      <c r="O15" s="30">
        <f>'4.0 Result Q-raw data'!Q19</f>
        <v>6.8126382768364504</v>
      </c>
      <c r="P15" s="30">
        <f>'4.0 Result Q-raw data'!S19</f>
        <v>93.187361723163548</v>
      </c>
      <c r="Q15" s="30">
        <f>'4.0 Result Q-raw data'!U19</f>
        <v>17.582279628179812</v>
      </c>
      <c r="R15" s="30">
        <f>'4.0 Result Q-raw data'!W19</f>
        <v>49.203135014066248</v>
      </c>
      <c r="S15" s="30">
        <f>'4.0 Result Q-raw data'!Y19</f>
        <v>63.608525816852733</v>
      </c>
    </row>
    <row r="16" spans="2:21" x14ac:dyDescent="0.35">
      <c r="B16" s="6">
        <f>'1. Information samples'!B16</f>
        <v>6</v>
      </c>
      <c r="C16" s="7">
        <f>'1. Information samples'!C16</f>
        <v>46041</v>
      </c>
      <c r="D16" s="6" t="str">
        <f>'1. Information samples'!D16</f>
        <v>Genbank</v>
      </c>
      <c r="E16" s="6">
        <f>'1. Information samples'!E16</f>
        <v>27</v>
      </c>
      <c r="F16" s="6" t="str">
        <f>'1. Information samples'!F16</f>
        <v>F251733</v>
      </c>
      <c r="G16" s="6" t="str">
        <f>'1. Information samples'!G16</f>
        <v>CIAT-23104</v>
      </c>
      <c r="H16" s="6" t="str">
        <f>'1. Information samples'!H16</f>
        <v>Dendrolobium</v>
      </c>
      <c r="I16" s="6" t="str">
        <f>'1. Information samples'!I16</f>
        <v>triangulare</v>
      </c>
      <c r="J16" s="6" t="str">
        <f>'1. Information samples'!J16</f>
        <v>Dendrolobium triangulare</v>
      </c>
      <c r="K16" s="6" t="str">
        <f>'1. Information samples'!K16</f>
        <v>Fabaceae</v>
      </c>
      <c r="L16" s="6" t="str">
        <f>'1. Information samples'!L16</f>
        <v>Fabales</v>
      </c>
      <c r="M16" s="6" t="str">
        <f>'1. Information samples'!M16</f>
        <v>Tree</v>
      </c>
      <c r="N16" s="30">
        <f>'4.0 Result Q-raw data'!O21</f>
        <v>92.632579078735347</v>
      </c>
      <c r="O16" s="30">
        <f>'4.0 Result Q-raw data'!Q21</f>
        <v>6.9983254013085654</v>
      </c>
      <c r="P16" s="30">
        <f>'4.0 Result Q-raw data'!S21</f>
        <v>93.001674598691437</v>
      </c>
      <c r="Q16" s="30">
        <f>'4.0 Result Q-raw data'!U21</f>
        <v>19.394716052821558</v>
      </c>
      <c r="R16" s="30">
        <f>'4.0 Result Q-raw data'!W21</f>
        <v>57.005039033422221</v>
      </c>
      <c r="S16" s="30">
        <f>'4.0 Result Q-raw data'!Y21</f>
        <v>67.219530028063701</v>
      </c>
    </row>
    <row r="17" spans="2:19" x14ac:dyDescent="0.35">
      <c r="B17" s="6">
        <f>'1. Information samples'!B17</f>
        <v>7</v>
      </c>
      <c r="C17" s="7">
        <f>'1. Information samples'!C17</f>
        <v>46041</v>
      </c>
      <c r="D17" s="6" t="str">
        <f>'1. Information samples'!D17</f>
        <v>Genbank</v>
      </c>
      <c r="E17" s="6">
        <f>'1. Information samples'!E17</f>
        <v>27</v>
      </c>
      <c r="F17" s="6" t="str">
        <f>'1. Information samples'!F17</f>
        <v>F251734</v>
      </c>
      <c r="G17" s="6" t="str">
        <f>'1. Information samples'!G17</f>
        <v>CIAT-23106</v>
      </c>
      <c r="H17" s="6" t="str">
        <f>'1. Information samples'!H17</f>
        <v>Dendrolobium</v>
      </c>
      <c r="I17" s="6" t="str">
        <f>'1. Information samples'!I17</f>
        <v>triangulare</v>
      </c>
      <c r="J17" s="6" t="str">
        <f>'1. Information samples'!J17</f>
        <v>Dendrolobium triangulare</v>
      </c>
      <c r="K17" s="6" t="str">
        <f>'1. Information samples'!K17</f>
        <v>Fabaceae</v>
      </c>
      <c r="L17" s="6" t="str">
        <f>'1. Information samples'!L17</f>
        <v>Fabales</v>
      </c>
      <c r="M17" s="6" t="str">
        <f>'1. Information samples'!M17</f>
        <v>Tree</v>
      </c>
      <c r="N17" s="30">
        <f>'4.0 Result Q-raw data'!O23</f>
        <v>94.652673663168372</v>
      </c>
      <c r="O17" s="30">
        <f>'4.0 Result Q-raw data'!Q23</f>
        <v>6.8532206969376732</v>
      </c>
      <c r="P17" s="30">
        <f>'4.0 Result Q-raw data'!S23</f>
        <v>93.146779303062317</v>
      </c>
      <c r="Q17" s="30">
        <f>'4.0 Result Q-raw data'!U23</f>
        <v>21.885308885955659</v>
      </c>
      <c r="R17" s="30">
        <f>'4.0 Result Q-raw data'!W23</f>
        <v>55.750984880021235</v>
      </c>
      <c r="S17" s="30">
        <f>'4.0 Result Q-raw data'!Y23</f>
        <v>67.761006152431818</v>
      </c>
    </row>
    <row r="18" spans="2:19" x14ac:dyDescent="0.35">
      <c r="B18" s="6">
        <f>'1. Information samples'!B18</f>
        <v>8</v>
      </c>
      <c r="C18" s="7">
        <f>'1. Information samples'!C18</f>
        <v>46041</v>
      </c>
      <c r="D18" s="6" t="str">
        <f>'1. Information samples'!D18</f>
        <v>Genbank</v>
      </c>
      <c r="E18" s="6">
        <f>'1. Information samples'!E18</f>
        <v>27</v>
      </c>
      <c r="F18" s="6" t="str">
        <f>'1. Information samples'!F18</f>
        <v>F251735</v>
      </c>
      <c r="G18" s="6" t="str">
        <f>'1. Information samples'!G18</f>
        <v>CIAT-23107</v>
      </c>
      <c r="H18" s="6" t="str">
        <f>'1. Information samples'!H18</f>
        <v>Dendrolobium</v>
      </c>
      <c r="I18" s="6" t="str">
        <f>'1. Information samples'!I18</f>
        <v>triangulare</v>
      </c>
      <c r="J18" s="6" t="str">
        <f>'1. Information samples'!J18</f>
        <v>Dendrolobium triangulare</v>
      </c>
      <c r="K18" s="6" t="str">
        <f>'1. Information samples'!K18</f>
        <v>Fabaceae</v>
      </c>
      <c r="L18" s="6" t="str">
        <f>'1. Information samples'!L18</f>
        <v>Fabales</v>
      </c>
      <c r="M18" s="6" t="str">
        <f>'1. Information samples'!M18</f>
        <v>Tree</v>
      </c>
      <c r="N18" s="30">
        <f>'4.0 Result Q-raw data'!O25</f>
        <v>94.987007645832151</v>
      </c>
      <c r="O18" s="30">
        <f>'4.0 Result Q-raw data'!Q25</f>
        <v>6.9192395614354751</v>
      </c>
      <c r="P18" s="30">
        <f>'4.0 Result Q-raw data'!S25</f>
        <v>93.080760438564525</v>
      </c>
      <c r="Q18" s="30">
        <f>'4.0 Result Q-raw data'!U25</f>
        <v>21.240817132160643</v>
      </c>
      <c r="R18" s="30">
        <f>'4.0 Result Q-raw data'!W25</f>
        <v>51.070861809657387</v>
      </c>
      <c r="S18" s="30">
        <f>'4.0 Result Q-raw data'!Y25</f>
        <v>67.216777899476341</v>
      </c>
    </row>
    <row r="19" spans="2:19" x14ac:dyDescent="0.35">
      <c r="B19" s="6">
        <f>'1. Information samples'!B19</f>
        <v>9</v>
      </c>
      <c r="C19" s="7">
        <f>'1. Information samples'!C19</f>
        <v>46041</v>
      </c>
      <c r="D19" s="6" t="str">
        <f>'1. Information samples'!D19</f>
        <v>Genbank</v>
      </c>
      <c r="E19" s="6">
        <f>'1. Information samples'!E19</f>
        <v>27</v>
      </c>
      <c r="F19" s="6" t="str">
        <f>'1. Information samples'!F19</f>
        <v>F251736</v>
      </c>
      <c r="G19" s="6" t="str">
        <f>'1. Information samples'!G19</f>
        <v>CIAT-23108</v>
      </c>
      <c r="H19" s="6" t="str">
        <f>'1. Information samples'!H19</f>
        <v>Dendrolobium</v>
      </c>
      <c r="I19" s="6" t="str">
        <f>'1. Information samples'!I19</f>
        <v>triangulare</v>
      </c>
      <c r="J19" s="6" t="str">
        <f>'1. Information samples'!J19</f>
        <v>Dendrolobium triangulare</v>
      </c>
      <c r="K19" s="6" t="str">
        <f>'1. Information samples'!K19</f>
        <v>Fabaceae</v>
      </c>
      <c r="L19" s="6" t="str">
        <f>'1. Information samples'!L19</f>
        <v>Fabales</v>
      </c>
      <c r="M19" s="6" t="str">
        <f>'1. Information samples'!M19</f>
        <v>Tree</v>
      </c>
      <c r="N19" s="30">
        <f>'4.0 Result Q-raw data'!O27</f>
        <v>94.543274035578719</v>
      </c>
      <c r="O19" s="30">
        <f>'4.0 Result Q-raw data'!Q27</f>
        <v>6.9291754756871917</v>
      </c>
      <c r="P19" s="30">
        <f>'4.0 Result Q-raw data'!S27</f>
        <v>93.070824524312812</v>
      </c>
      <c r="Q19" s="30">
        <f>'4.0 Result Q-raw data'!U27</f>
        <v>21.587331260994091</v>
      </c>
      <c r="R19" s="30">
        <f>'4.0 Result Q-raw data'!W27</f>
        <v>58.167411455478486</v>
      </c>
      <c r="S19" s="30">
        <f>'4.0 Result Q-raw data'!Y27</f>
        <v>69.366100630903134</v>
      </c>
    </row>
    <row r="20" spans="2:19" x14ac:dyDescent="0.35">
      <c r="B20" s="6">
        <f>'1. Information samples'!B20</f>
        <v>10</v>
      </c>
      <c r="C20" s="7">
        <f>'1. Information samples'!C20</f>
        <v>46041</v>
      </c>
      <c r="D20" s="6" t="str">
        <f>'1. Information samples'!D20</f>
        <v>Genbank</v>
      </c>
      <c r="E20" s="6">
        <f>'1. Information samples'!E20</f>
        <v>27</v>
      </c>
      <c r="F20" s="6" t="str">
        <f>'1. Information samples'!F20</f>
        <v>F251737</v>
      </c>
      <c r="G20" s="6" t="str">
        <f>'1. Information samples'!G20</f>
        <v>CIAT-23412</v>
      </c>
      <c r="H20" s="6" t="str">
        <f>'1. Information samples'!H20</f>
        <v>Dendrolobium</v>
      </c>
      <c r="I20" s="6" t="str">
        <f>'1. Information samples'!I20</f>
        <v>triangulare</v>
      </c>
      <c r="J20" s="6" t="str">
        <f>'1. Information samples'!J20</f>
        <v>Dendrolobium triangulare</v>
      </c>
      <c r="K20" s="6" t="str">
        <f>'1. Information samples'!K20</f>
        <v>Fabaceae</v>
      </c>
      <c r="L20" s="6" t="str">
        <f>'1. Information samples'!L20</f>
        <v>Fabales</v>
      </c>
      <c r="M20" s="6" t="str">
        <f>'1. Information samples'!M20</f>
        <v>Tree</v>
      </c>
      <c r="N20" s="30">
        <f>'4.0 Result Q-raw data'!O29</f>
        <v>94.187644666024497</v>
      </c>
      <c r="O20" s="30">
        <f>'4.0 Result Q-raw data'!Q29</f>
        <v>7.2747456108071029</v>
      </c>
      <c r="P20" s="30">
        <f>'4.0 Result Q-raw data'!S29</f>
        <v>92.725254389192898</v>
      </c>
      <c r="Q20" s="30">
        <f>'4.0 Result Q-raw data'!U29</f>
        <v>21.147143051903054</v>
      </c>
      <c r="R20" s="30">
        <f>'4.0 Result Q-raw data'!W29</f>
        <v>50.977070074497377</v>
      </c>
      <c r="S20" s="30">
        <f>'4.0 Result Q-raw data'!Y29</f>
        <v>62.136166500418632</v>
      </c>
    </row>
    <row r="21" spans="2:19" x14ac:dyDescent="0.35">
      <c r="B21" s="6">
        <f>'1. Information samples'!B21</f>
        <v>11</v>
      </c>
      <c r="C21" s="7">
        <f>'1. Information samples'!C21</f>
        <v>46041</v>
      </c>
      <c r="D21" s="6" t="str">
        <f>'1. Information samples'!D21</f>
        <v>Genbank</v>
      </c>
      <c r="E21" s="6">
        <f>'1. Information samples'!E21</f>
        <v>27</v>
      </c>
      <c r="F21" s="6" t="str">
        <f>'1. Information samples'!F21</f>
        <v>F251738</v>
      </c>
      <c r="G21" s="6" t="str">
        <f>'1. Information samples'!G21</f>
        <v>CIAT-23413</v>
      </c>
      <c r="H21" s="6" t="str">
        <f>'1. Information samples'!H21</f>
        <v>Dendrolobium</v>
      </c>
      <c r="I21" s="6" t="str">
        <f>'1. Information samples'!I21</f>
        <v>triangulare</v>
      </c>
      <c r="J21" s="6" t="str">
        <f>'1. Information samples'!J21</f>
        <v>Dendrolobium triangulare</v>
      </c>
      <c r="K21" s="6" t="str">
        <f>'1. Information samples'!K21</f>
        <v>Fabaceae</v>
      </c>
      <c r="L21" s="6" t="str">
        <f>'1. Information samples'!L21</f>
        <v>Fabales</v>
      </c>
      <c r="M21" s="6" t="str">
        <f>'1. Information samples'!M21</f>
        <v>Tree</v>
      </c>
      <c r="N21" s="30">
        <f>'4.0 Result Q-raw data'!O31</f>
        <v>93.526671423221515</v>
      </c>
      <c r="O21" s="30">
        <f>'4.0 Result Q-raw data'!Q31</f>
        <v>7.4986589276613946</v>
      </c>
      <c r="P21" s="30">
        <f>'4.0 Result Q-raw data'!S31</f>
        <v>92.501341072338604</v>
      </c>
      <c r="Q21" s="30">
        <f>'4.0 Result Q-raw data'!U31</f>
        <v>21.317526281540893</v>
      </c>
      <c r="R21" s="30">
        <f>'4.0 Result Q-raw data'!W31</f>
        <v>54.591146532301323</v>
      </c>
      <c r="S21" s="30">
        <f>'4.0 Result Q-raw data'!Y31</f>
        <v>66.226035405740589</v>
      </c>
    </row>
    <row r="22" spans="2:19" x14ac:dyDescent="0.35">
      <c r="B22" s="6">
        <f>'1. Information samples'!B22</f>
        <v>12</v>
      </c>
      <c r="C22" s="7">
        <f>'1. Information samples'!C22</f>
        <v>46041</v>
      </c>
      <c r="D22" s="6" t="str">
        <f>'1. Information samples'!D22</f>
        <v>Genbank</v>
      </c>
      <c r="E22" s="6">
        <f>'1. Information samples'!E22</f>
        <v>27</v>
      </c>
      <c r="F22" s="6" t="str">
        <f>'1. Information samples'!F22</f>
        <v>F251739</v>
      </c>
      <c r="G22" s="6" t="str">
        <f>'1. Information samples'!G22</f>
        <v>CIAT-23419</v>
      </c>
      <c r="H22" s="6" t="str">
        <f>'1. Information samples'!H22</f>
        <v>Dendrolobium</v>
      </c>
      <c r="I22" s="6" t="str">
        <f>'1. Information samples'!I22</f>
        <v>triangulare</v>
      </c>
      <c r="J22" s="6" t="str">
        <f>'1. Information samples'!J22</f>
        <v>Dendrolobium triangulare</v>
      </c>
      <c r="K22" s="6" t="str">
        <f>'1. Information samples'!K22</f>
        <v>Fabaceae</v>
      </c>
      <c r="L22" s="6" t="str">
        <f>'1. Information samples'!L22</f>
        <v>Fabales</v>
      </c>
      <c r="M22" s="6" t="str">
        <f>'1. Information samples'!M22</f>
        <v>Tree</v>
      </c>
      <c r="N22" s="30">
        <f>'4.0 Result Q-raw data'!O33</f>
        <v>93.957431461216231</v>
      </c>
      <c r="O22" s="30">
        <f>'4.0 Result Q-raw data'!Q33</f>
        <v>7.2025076108834778</v>
      </c>
      <c r="P22" s="30">
        <f>'4.0 Result Q-raw data'!S33</f>
        <v>92.797492389116513</v>
      </c>
      <c r="Q22" s="30">
        <f>'4.0 Result Q-raw data'!U33</f>
        <v>20.194918293638743</v>
      </c>
      <c r="R22" s="30">
        <f>'4.0 Result Q-raw data'!W33</f>
        <v>56.434424137767706</v>
      </c>
      <c r="S22" s="30">
        <f>'4.0 Result Q-raw data'!Y33</f>
        <v>67.783940114216108</v>
      </c>
    </row>
    <row r="23" spans="2:19" x14ac:dyDescent="0.35">
      <c r="B23" s="6">
        <f>'1. Information samples'!B23</f>
        <v>13</v>
      </c>
      <c r="C23" s="7">
        <f>'1. Information samples'!C23</f>
        <v>46041</v>
      </c>
      <c r="D23" s="6" t="str">
        <f>'1. Information samples'!D23</f>
        <v>Genbank</v>
      </c>
      <c r="E23" s="6">
        <f>'1. Information samples'!E23</f>
        <v>27</v>
      </c>
      <c r="F23" s="6" t="str">
        <f>'1. Information samples'!F23</f>
        <v>F251740</v>
      </c>
      <c r="G23" s="6" t="str">
        <f>'1. Information samples'!G23</f>
        <v>CIAT-23422</v>
      </c>
      <c r="H23" s="6" t="str">
        <f>'1. Information samples'!H23</f>
        <v>Dendrolobium</v>
      </c>
      <c r="I23" s="6" t="str">
        <f>'1. Information samples'!I23</f>
        <v>triangulare</v>
      </c>
      <c r="J23" s="6" t="str">
        <f>'1. Information samples'!J23</f>
        <v>Dendrolobium triangulare</v>
      </c>
      <c r="K23" s="6" t="str">
        <f>'1. Information samples'!K23</f>
        <v>Fabaceae</v>
      </c>
      <c r="L23" s="6" t="str">
        <f>'1. Information samples'!L23</f>
        <v>Fabales</v>
      </c>
      <c r="M23" s="6" t="str">
        <f>'1. Information samples'!M23</f>
        <v>Tree</v>
      </c>
      <c r="N23" s="30">
        <f>'4.0 Result Q-raw data'!O35</f>
        <v>91.857449181894964</v>
      </c>
      <c r="O23" s="30">
        <f>'4.0 Result Q-raw data'!Q35</f>
        <v>7.0631741984456244</v>
      </c>
      <c r="P23" s="30">
        <f>'4.0 Result Q-raw data'!S35</f>
        <v>92.936825801554377</v>
      </c>
      <c r="Q23" s="30">
        <f>'4.0 Result Q-raw data'!U35</f>
        <v>21.674954169008064</v>
      </c>
      <c r="R23" s="30">
        <f>'4.0 Result Q-raw data'!W35</f>
        <v>54.629756108743862</v>
      </c>
      <c r="S23" s="30">
        <f>'4.0 Result Q-raw data'!Y35</f>
        <v>66.573105982287089</v>
      </c>
    </row>
    <row r="24" spans="2:19" x14ac:dyDescent="0.35">
      <c r="B24" s="6">
        <f>'1. Information samples'!B24</f>
        <v>14</v>
      </c>
      <c r="C24" s="7">
        <f>'1. Information samples'!C24</f>
        <v>46041</v>
      </c>
      <c r="D24" s="6" t="str">
        <f>'1. Information samples'!D24</f>
        <v>Genbank</v>
      </c>
      <c r="E24" s="6">
        <f>'1. Information samples'!E24</f>
        <v>27</v>
      </c>
      <c r="F24" s="6" t="str">
        <f>'1. Information samples'!F24</f>
        <v>F251741</v>
      </c>
      <c r="G24" s="6" t="str">
        <f>'1. Information samples'!G24</f>
        <v>CIAT-23734</v>
      </c>
      <c r="H24" s="6" t="str">
        <f>'1. Information samples'!H24</f>
        <v>Dendrolobium</v>
      </c>
      <c r="I24" s="6" t="str">
        <f>'1. Information samples'!I24</f>
        <v>triangulare</v>
      </c>
      <c r="J24" s="6" t="str">
        <f>'1. Information samples'!J24</f>
        <v>Dendrolobium triangulare</v>
      </c>
      <c r="K24" s="6" t="str">
        <f>'1. Information samples'!K24</f>
        <v>Fabaceae</v>
      </c>
      <c r="L24" s="6" t="str">
        <f>'1. Information samples'!L24</f>
        <v>Fabales</v>
      </c>
      <c r="M24" s="6" t="str">
        <f>'1. Information samples'!M24</f>
        <v>Tree</v>
      </c>
      <c r="N24" s="30">
        <f>'4.0 Result Q-raw data'!O37</f>
        <v>94.71104973877307</v>
      </c>
      <c r="O24" s="30">
        <f>'4.0 Result Q-raw data'!Q37</f>
        <v>7.859177881858507</v>
      </c>
      <c r="P24" s="30">
        <f>'4.0 Result Q-raw data'!S37</f>
        <v>92.1408221181415</v>
      </c>
      <c r="Q24" s="30">
        <f>'4.0 Result Q-raw data'!U37</f>
        <v>21.435013684619474</v>
      </c>
      <c r="R24" s="30">
        <f>'4.0 Result Q-raw data'!W37</f>
        <v>47.219601144823621</v>
      </c>
      <c r="S24" s="30">
        <f>'4.0 Result Q-raw data'!Y37</f>
        <v>62.023150386065069</v>
      </c>
    </row>
    <row r="25" spans="2:19" x14ac:dyDescent="0.35">
      <c r="B25" s="6">
        <f>'1. Information samples'!B25</f>
        <v>15</v>
      </c>
      <c r="C25" s="7">
        <f>'1. Information samples'!C25</f>
        <v>46041</v>
      </c>
      <c r="D25" s="6" t="str">
        <f>'1. Information samples'!D25</f>
        <v>Genbank</v>
      </c>
      <c r="E25" s="6">
        <f>'1. Information samples'!E25</f>
        <v>27</v>
      </c>
      <c r="F25" s="6" t="str">
        <f>'1. Information samples'!F25</f>
        <v>F251742</v>
      </c>
      <c r="G25" s="6" t="str">
        <f>'1. Information samples'!G25</f>
        <v>CIAT-23932</v>
      </c>
      <c r="H25" s="6" t="str">
        <f>'1. Information samples'!H25</f>
        <v>Dendrolobium</v>
      </c>
      <c r="I25" s="6" t="str">
        <f>'1. Information samples'!I25</f>
        <v>triangulare</v>
      </c>
      <c r="J25" s="6" t="str">
        <f>'1. Information samples'!J25</f>
        <v>Dendrolobium triangulare</v>
      </c>
      <c r="K25" s="6" t="str">
        <f>'1. Information samples'!K25</f>
        <v>Fabaceae</v>
      </c>
      <c r="L25" s="6" t="str">
        <f>'1. Information samples'!L25</f>
        <v>Fabales</v>
      </c>
      <c r="M25" s="6" t="str">
        <f>'1. Information samples'!M25</f>
        <v>Tree</v>
      </c>
      <c r="N25" s="30">
        <f>'4.0 Result Q-raw data'!O39</f>
        <v>95.121951219512113</v>
      </c>
      <c r="O25" s="30">
        <f>'4.0 Result Q-raw data'!Q39</f>
        <v>7.2929802437999109</v>
      </c>
      <c r="P25" s="30">
        <f>'4.0 Result Q-raw data'!S39</f>
        <v>92.707019756200083</v>
      </c>
      <c r="Q25" s="30">
        <f>'4.0 Result Q-raw data'!U39</f>
        <v>18.840827307961472</v>
      </c>
      <c r="R25" s="30">
        <f>'4.0 Result Q-raw data'!W39</f>
        <v>49.892248931655672</v>
      </c>
      <c r="S25" s="30">
        <f>'4.0 Result Q-raw data'!Y39</f>
        <v>63.091070171894259</v>
      </c>
    </row>
    <row r="26" spans="2:19" x14ac:dyDescent="0.35">
      <c r="B26" s="6">
        <f>'1. Information samples'!B26</f>
        <v>16</v>
      </c>
      <c r="C26" s="7">
        <f>'1. Information samples'!C26</f>
        <v>46041</v>
      </c>
      <c r="D26" s="6" t="str">
        <f>'1. Information samples'!D26</f>
        <v>Genbank</v>
      </c>
      <c r="E26" s="6">
        <f>'1. Information samples'!E26</f>
        <v>27</v>
      </c>
      <c r="F26" s="6" t="str">
        <f>'1. Information samples'!F26</f>
        <v>F251743</v>
      </c>
      <c r="G26" s="6" t="str">
        <f>'1. Information samples'!G26</f>
        <v>CIAT-23933</v>
      </c>
      <c r="H26" s="6" t="str">
        <f>'1. Information samples'!H26</f>
        <v>Dendrolobium</v>
      </c>
      <c r="I26" s="6" t="str">
        <f>'1. Information samples'!I26</f>
        <v>triangulare</v>
      </c>
      <c r="J26" s="6" t="str">
        <f>'1. Information samples'!J26</f>
        <v>Dendrolobium triangulare</v>
      </c>
      <c r="K26" s="6" t="str">
        <f>'1. Information samples'!K26</f>
        <v>Fabaceae</v>
      </c>
      <c r="L26" s="6" t="str">
        <f>'1. Information samples'!L26</f>
        <v>Fabales</v>
      </c>
      <c r="M26" s="6" t="str">
        <f>'1. Information samples'!M26</f>
        <v>Tree</v>
      </c>
      <c r="N26" s="30">
        <f>'4.0 Result Q-raw data'!O41</f>
        <v>93.721247689286884</v>
      </c>
      <c r="O26" s="30">
        <f>'4.0 Result Q-raw data'!Q41</f>
        <v>7.3714493963065175</v>
      </c>
      <c r="P26" s="30">
        <f>'4.0 Result Q-raw data'!S41</f>
        <v>92.628550603693483</v>
      </c>
      <c r="Q26" s="30">
        <f>'4.0 Result Q-raw data'!U41</f>
        <v>17.584205926024783</v>
      </c>
      <c r="R26" s="30">
        <f>'4.0 Result Q-raw data'!W41</f>
        <v>49.308483536149055</v>
      </c>
      <c r="S26" s="30">
        <f>'4.0 Result Q-raw data'!Y41</f>
        <v>64.369248658831737</v>
      </c>
    </row>
    <row r="27" spans="2:19" x14ac:dyDescent="0.35">
      <c r="B27" s="6">
        <f>'1. Information samples'!B27</f>
        <v>17</v>
      </c>
      <c r="C27" s="7">
        <f>'1. Information samples'!C27</f>
        <v>46041</v>
      </c>
      <c r="D27" s="6" t="str">
        <f>'1. Information samples'!D27</f>
        <v>Genbank</v>
      </c>
      <c r="E27" s="6">
        <f>'1. Information samples'!E27</f>
        <v>27</v>
      </c>
      <c r="F27" s="6" t="str">
        <f>'1. Information samples'!F27</f>
        <v>F251744</v>
      </c>
      <c r="G27" s="6" t="str">
        <f>'1. Information samples'!G27</f>
        <v>CIAT-23934</v>
      </c>
      <c r="H27" s="6" t="str">
        <f>'1. Information samples'!H27</f>
        <v>Dendrolobium</v>
      </c>
      <c r="I27" s="6" t="str">
        <f>'1. Information samples'!I27</f>
        <v>triangulare</v>
      </c>
      <c r="J27" s="6" t="str">
        <f>'1. Information samples'!J27</f>
        <v>Dendrolobium triangulare</v>
      </c>
      <c r="K27" s="6" t="str">
        <f>'1. Information samples'!K27</f>
        <v>Fabaceae</v>
      </c>
      <c r="L27" s="6" t="str">
        <f>'1. Information samples'!L27</f>
        <v>Fabales</v>
      </c>
      <c r="M27" s="6" t="str">
        <f>'1. Information samples'!M27</f>
        <v>Tree</v>
      </c>
      <c r="N27" s="30">
        <f>'4.0 Result Q-raw data'!O43</f>
        <v>94.171759944033596</v>
      </c>
      <c r="O27" s="30">
        <f>'4.0 Result Q-raw data'!Q43</f>
        <v>8.1953383774038073</v>
      </c>
      <c r="P27" s="30">
        <f>'4.0 Result Q-raw data'!S43</f>
        <v>91.8046616225962</v>
      </c>
      <c r="Q27" s="30">
        <f>'4.0 Result Q-raw data'!U43</f>
        <v>22.612796485152785</v>
      </c>
      <c r="R27" s="30">
        <f>'4.0 Result Q-raw data'!W43</f>
        <v>43.737007368661075</v>
      </c>
      <c r="S27" s="30">
        <f>'4.0 Result Q-raw data'!Y43</f>
        <v>58.496714012720304</v>
      </c>
    </row>
    <row r="28" spans="2:19" x14ac:dyDescent="0.35">
      <c r="B28" s="6">
        <f>'1. Information samples'!B28</f>
        <v>18</v>
      </c>
      <c r="C28" s="7">
        <f>'1. Information samples'!C28</f>
        <v>46041</v>
      </c>
      <c r="D28" s="6" t="str">
        <f>'1. Information samples'!D28</f>
        <v>Genbank</v>
      </c>
      <c r="E28" s="6">
        <f>'1. Information samples'!E28</f>
        <v>27</v>
      </c>
      <c r="F28" s="6" t="str">
        <f>'1. Information samples'!F28</f>
        <v>F251745</v>
      </c>
      <c r="G28" s="6" t="str">
        <f>'1. Information samples'!G28</f>
        <v>CIAT-23936</v>
      </c>
      <c r="H28" s="6" t="str">
        <f>'1. Information samples'!H28</f>
        <v>Dendrolobium</v>
      </c>
      <c r="I28" s="6" t="str">
        <f>'1. Information samples'!I28</f>
        <v>triangulare</v>
      </c>
      <c r="J28" s="6" t="str">
        <f>'1. Information samples'!J28</f>
        <v>Dendrolobium triangulare</v>
      </c>
      <c r="K28" s="6" t="str">
        <f>'1. Information samples'!K28</f>
        <v>Fabaceae</v>
      </c>
      <c r="L28" s="6" t="str">
        <f>'1. Information samples'!L28</f>
        <v>Fabales</v>
      </c>
      <c r="M28" s="6" t="str">
        <f>'1. Information samples'!M28</f>
        <v>Tree</v>
      </c>
      <c r="N28" s="30">
        <f>'4.0 Result Q-raw data'!O45</f>
        <v>94.05856486108334</v>
      </c>
      <c r="O28" s="30">
        <f>'4.0 Result Q-raw data'!Q45</f>
        <v>7.7989693460128482</v>
      </c>
      <c r="P28" s="30">
        <f>'4.0 Result Q-raw data'!S45</f>
        <v>92.201030653987146</v>
      </c>
      <c r="Q28" s="30">
        <f>'4.0 Result Q-raw data'!U45</f>
        <v>19.2663130290344</v>
      </c>
      <c r="R28" s="30">
        <f>'4.0 Result Q-raw data'!W45</f>
        <v>49.209674688172143</v>
      </c>
      <c r="S28" s="30">
        <f>'4.0 Result Q-raw data'!Y45</f>
        <v>61.65556371101799</v>
      </c>
    </row>
    <row r="29" spans="2:19" x14ac:dyDescent="0.35">
      <c r="B29" s="6">
        <f>'1. Information samples'!B29</f>
        <v>19</v>
      </c>
      <c r="C29" s="7">
        <f>'1. Information samples'!C29</f>
        <v>46041</v>
      </c>
      <c r="D29" s="6" t="str">
        <f>'1. Information samples'!D29</f>
        <v>Genbank</v>
      </c>
      <c r="E29" s="6">
        <f>'1. Information samples'!E29</f>
        <v>27</v>
      </c>
      <c r="F29" s="6" t="str">
        <f>'1. Information samples'!F29</f>
        <v>F251746</v>
      </c>
      <c r="G29" s="6" t="str">
        <f>'1. Information samples'!G29</f>
        <v>CIAT-33119</v>
      </c>
      <c r="H29" s="6" t="str">
        <f>'1. Information samples'!H29</f>
        <v>Dendrolobium</v>
      </c>
      <c r="I29" s="6" t="str">
        <f>'1. Information samples'!I29</f>
        <v>triangulare</v>
      </c>
      <c r="J29" s="6" t="str">
        <f>'1. Information samples'!J29</f>
        <v>Dendrolobium triangulare</v>
      </c>
      <c r="K29" s="6" t="str">
        <f>'1. Information samples'!K29</f>
        <v>Fabaceae</v>
      </c>
      <c r="L29" s="6" t="str">
        <f>'1. Information samples'!L29</f>
        <v>Fabales</v>
      </c>
      <c r="M29" s="6" t="str">
        <f>'1. Information samples'!M29</f>
        <v>Tree</v>
      </c>
      <c r="N29" s="30">
        <f>'4.0 Result Q-raw data'!O47</f>
        <v>95.287109449815432</v>
      </c>
      <c r="O29" s="30">
        <f>'4.0 Result Q-raw data'!Q47</f>
        <v>7.3953692393808703</v>
      </c>
      <c r="P29" s="30">
        <f>'4.0 Result Q-raw data'!S47</f>
        <v>92.604630760619131</v>
      </c>
      <c r="Q29" s="30">
        <f>'4.0 Result Q-raw data'!U47</f>
        <v>17.300431120337905</v>
      </c>
      <c r="R29" s="30">
        <f>'4.0 Result Q-raw data'!W47</f>
        <v>40.977473092905498</v>
      </c>
      <c r="S29" s="30">
        <f>'4.0 Result Q-raw data'!Y47</f>
        <v>59.478362381293763</v>
      </c>
    </row>
    <row r="30" spans="2:19" x14ac:dyDescent="0.35">
      <c r="B30" s="6">
        <f>'1. Information samples'!B30</f>
        <v>20</v>
      </c>
      <c r="C30" s="7">
        <f>'1. Information samples'!C30</f>
        <v>46041</v>
      </c>
      <c r="D30" s="6" t="str">
        <f>'1. Information samples'!D30</f>
        <v>Genbank</v>
      </c>
      <c r="E30" s="6">
        <f>'1. Information samples'!E30</f>
        <v>27</v>
      </c>
      <c r="F30" s="6" t="str">
        <f>'1. Information samples'!F30</f>
        <v>F251747</v>
      </c>
      <c r="G30" s="6" t="str">
        <f>'1. Information samples'!G30</f>
        <v>CIAT-33383</v>
      </c>
      <c r="H30" s="6" t="str">
        <f>'1. Information samples'!H30</f>
        <v>Dendrolobium</v>
      </c>
      <c r="I30" s="6" t="str">
        <f>'1. Information samples'!I30</f>
        <v>sp.</v>
      </c>
      <c r="J30" s="6" t="str">
        <f>'1. Information samples'!J30</f>
        <v>Dendrolobium sp.</v>
      </c>
      <c r="K30" s="6" t="str">
        <f>'1. Information samples'!K30</f>
        <v>Fabaceae</v>
      </c>
      <c r="L30" s="6" t="str">
        <f>'1. Information samples'!L30</f>
        <v>Fabales</v>
      </c>
      <c r="M30" s="6" t="str">
        <f>'1. Information samples'!M30</f>
        <v>Tree</v>
      </c>
      <c r="N30" s="30">
        <f>'4.0 Result Q-raw data'!O49</f>
        <v>94.671562062762405</v>
      </c>
      <c r="O30" s="30">
        <f>'4.0 Result Q-raw data'!Q49</f>
        <v>9.8045796525676145</v>
      </c>
      <c r="P30" s="30">
        <f>'4.0 Result Q-raw data'!S49</f>
        <v>90.195420347432389</v>
      </c>
      <c r="Q30" s="30">
        <f>'4.0 Result Q-raw data'!U49</f>
        <v>14.663947536188356</v>
      </c>
      <c r="R30" s="30">
        <f>'4.0 Result Q-raw data'!W49</f>
        <v>47.338086342816538</v>
      </c>
      <c r="S30" s="30">
        <f>'4.0 Result Q-raw data'!Y49</f>
        <v>59.757991078326761</v>
      </c>
    </row>
    <row r="31" spans="2:19" x14ac:dyDescent="0.35">
      <c r="B31" s="6">
        <f>'1. Information samples'!B31</f>
        <v>21</v>
      </c>
      <c r="C31" s="7">
        <f>'1. Information samples'!C31</f>
        <v>46041</v>
      </c>
      <c r="D31" s="6" t="str">
        <f>'1. Information samples'!D31</f>
        <v>Genbank</v>
      </c>
      <c r="E31" s="6">
        <f>'1. Information samples'!E31</f>
        <v>27</v>
      </c>
      <c r="F31" s="6" t="str">
        <f>'1. Information samples'!F31</f>
        <v>F251748</v>
      </c>
      <c r="G31" s="6" t="str">
        <f>'1. Information samples'!G31</f>
        <v>CIAT-33402</v>
      </c>
      <c r="H31" s="6" t="str">
        <f>'1. Information samples'!H31</f>
        <v>Dendrolobium</v>
      </c>
      <c r="I31" s="6" t="str">
        <f>'1. Information samples'!I31</f>
        <v>triangulare</v>
      </c>
      <c r="J31" s="6" t="str">
        <f>'1. Information samples'!J31</f>
        <v>Dendrolobium triangulare</v>
      </c>
      <c r="K31" s="6" t="str">
        <f>'1. Information samples'!K31</f>
        <v>Fabaceae</v>
      </c>
      <c r="L31" s="6" t="str">
        <f>'1. Information samples'!L31</f>
        <v>Fabales</v>
      </c>
      <c r="M31" s="6" t="str">
        <f>'1. Information samples'!M31</f>
        <v>Tree</v>
      </c>
      <c r="N31" s="30">
        <f>'4.0 Result Q-raw data'!O51</f>
        <v>94.631890998387576</v>
      </c>
      <c r="O31" s="30">
        <f>'4.0 Result Q-raw data'!Q51</f>
        <v>6.9085718780597709</v>
      </c>
      <c r="P31" s="30">
        <f>'4.0 Result Q-raw data'!S51</f>
        <v>93.091428121940226</v>
      </c>
      <c r="Q31" s="30">
        <f>'4.0 Result Q-raw data'!U51</f>
        <v>20.084073911761312</v>
      </c>
      <c r="R31" s="30">
        <f>'4.0 Result Q-raw data'!W51</f>
        <v>45.181599814728301</v>
      </c>
      <c r="S31" s="30">
        <f>'4.0 Result Q-raw data'!Y51</f>
        <v>60.091399113553557</v>
      </c>
    </row>
    <row r="32" spans="2:19" x14ac:dyDescent="0.35">
      <c r="B32" s="6">
        <f>'1. Information samples'!B32</f>
        <v>22</v>
      </c>
      <c r="C32" s="7">
        <f>'1. Information samples'!C32</f>
        <v>46041</v>
      </c>
      <c r="D32" s="6" t="str">
        <f>'1. Information samples'!D32</f>
        <v>Genbank</v>
      </c>
      <c r="E32" s="6">
        <f>'1. Information samples'!E32</f>
        <v>27</v>
      </c>
      <c r="F32" s="6" t="str">
        <f>'1. Information samples'!F32</f>
        <v>F251749</v>
      </c>
      <c r="G32" s="6" t="str">
        <f>'1. Information samples'!G32</f>
        <v>CIAT-33508</v>
      </c>
      <c r="H32" s="6" t="str">
        <f>'1. Information samples'!H32</f>
        <v>Dendrolobium</v>
      </c>
      <c r="I32" s="6" t="str">
        <f>'1. Information samples'!I32</f>
        <v>umbellatum</v>
      </c>
      <c r="J32" s="6" t="str">
        <f>'1. Information samples'!J32</f>
        <v>Dendrolobium umbellatum</v>
      </c>
      <c r="K32" s="6" t="str">
        <f>'1. Information samples'!K32</f>
        <v>Fabaceae</v>
      </c>
      <c r="L32" s="6" t="str">
        <f>'1. Information samples'!L32</f>
        <v>Fabales</v>
      </c>
      <c r="M32" s="6" t="str">
        <f>'1. Information samples'!M32</f>
        <v>Tree</v>
      </c>
      <c r="N32" s="30">
        <f>'4.0 Result Q-raw data'!O53</f>
        <v>93.746247188737129</v>
      </c>
      <c r="O32" s="30">
        <f>'4.0 Result Q-raw data'!Q53</f>
        <v>8.6652801044736112</v>
      </c>
      <c r="P32" s="30">
        <f>'4.0 Result Q-raw data'!S53</f>
        <v>91.334719895526391</v>
      </c>
      <c r="Q32" s="30">
        <f>'4.0 Result Q-raw data'!U53</f>
        <v>22.605566233851366</v>
      </c>
      <c r="R32" s="30">
        <f>'4.0 Result Q-raw data'!W53</f>
        <v>45.811663840735562</v>
      </c>
      <c r="S32" s="30">
        <f>'4.0 Result Q-raw data'!Y53</f>
        <v>58.361440158311851</v>
      </c>
    </row>
    <row r="33" spans="2:19" x14ac:dyDescent="0.35">
      <c r="B33" s="6">
        <f>'1. Information samples'!B33</f>
        <v>23</v>
      </c>
      <c r="C33" s="7">
        <f>'1. Information samples'!C33</f>
        <v>46041</v>
      </c>
      <c r="D33" s="6" t="str">
        <f>'1. Information samples'!D33</f>
        <v>Genbank</v>
      </c>
      <c r="E33" s="6">
        <f>'1. Information samples'!E33</f>
        <v>27</v>
      </c>
      <c r="F33" s="6" t="str">
        <f>'1. Information samples'!F33</f>
        <v>F251750</v>
      </c>
      <c r="G33" s="6" t="str">
        <f>'1. Information samples'!G33</f>
        <v>CIAT-33515</v>
      </c>
      <c r="H33" s="6" t="str">
        <f>'1. Information samples'!H33</f>
        <v>Dendrolobium</v>
      </c>
      <c r="I33" s="6" t="str">
        <f>'1. Information samples'!I33</f>
        <v>triangulare</v>
      </c>
      <c r="J33" s="6" t="str">
        <f>'1. Information samples'!J33</f>
        <v>Dendrolobium triangulare</v>
      </c>
      <c r="K33" s="6" t="str">
        <f>'1. Information samples'!K33</f>
        <v>Fabaceae</v>
      </c>
      <c r="L33" s="6" t="str">
        <f>'1. Information samples'!L33</f>
        <v>Fabales</v>
      </c>
      <c r="M33" s="6" t="str">
        <f>'1. Information samples'!M33</f>
        <v>Tree</v>
      </c>
      <c r="N33" s="30">
        <f>'4.0 Result Q-raw data'!O55</f>
        <v>93.410989703089115</v>
      </c>
      <c r="O33" s="30">
        <f>'4.0 Result Q-raw data'!Q55</f>
        <v>11.110948378703402</v>
      </c>
      <c r="P33" s="30">
        <f>'4.0 Result Q-raw data'!S55</f>
        <v>88.889051621296602</v>
      </c>
      <c r="Q33" s="30">
        <f>'4.0 Result Q-raw data'!U55</f>
        <v>20.963127013124584</v>
      </c>
      <c r="R33" s="30">
        <f>'4.0 Result Q-raw data'!W55</f>
        <v>51.470994796675967</v>
      </c>
      <c r="S33" s="30">
        <f>'4.0 Result Q-raw data'!Y55</f>
        <v>63.317589657900683</v>
      </c>
    </row>
    <row r="34" spans="2:19" x14ac:dyDescent="0.35">
      <c r="B34" s="6">
        <f>'1. Information samples'!B34</f>
        <v>24</v>
      </c>
      <c r="C34" s="7">
        <f>'1. Information samples'!C34</f>
        <v>46041</v>
      </c>
      <c r="D34" s="6" t="str">
        <f>'1. Information samples'!D34</f>
        <v>Genbank</v>
      </c>
      <c r="E34" s="6">
        <f>'1. Information samples'!E34</f>
        <v>27</v>
      </c>
      <c r="F34" s="6" t="str">
        <f>'1. Information samples'!F34</f>
        <v>F251751</v>
      </c>
      <c r="G34" s="6" t="str">
        <f>'1. Information samples'!G34</f>
        <v>CIAT-7353</v>
      </c>
      <c r="H34" s="6" t="str">
        <f>'1. Information samples'!H34</f>
        <v>Prosopis</v>
      </c>
      <c r="I34" s="6" t="str">
        <f>'1. Information samples'!I34</f>
        <v>juliflora</v>
      </c>
      <c r="J34" s="6" t="str">
        <f>'1. Information samples'!J34</f>
        <v>Prosopis juliflora</v>
      </c>
      <c r="K34" s="6" t="str">
        <f>'1. Information samples'!K34</f>
        <v>Fabaceae</v>
      </c>
      <c r="L34" s="6" t="str">
        <f>'1. Information samples'!L34</f>
        <v>Fabales</v>
      </c>
      <c r="M34" s="6" t="str">
        <f>'1. Information samples'!M34</f>
        <v>Tree</v>
      </c>
      <c r="N34" s="30">
        <f>'4.0 Result Q-raw data'!O57</f>
        <v>94.626617459395078</v>
      </c>
      <c r="O34" s="30">
        <f>'4.0 Result Q-raw data'!Q57</f>
        <v>9.4183710194356927</v>
      </c>
      <c r="P34" s="30">
        <f>'4.0 Result Q-raw data'!S57</f>
        <v>90.581628980564304</v>
      </c>
      <c r="Q34" s="30">
        <f>'4.0 Result Q-raw data'!U57</f>
        <v>30.486453959263638</v>
      </c>
      <c r="R34" s="30">
        <f>'4.0 Result Q-raw data'!W57</f>
        <v>29.377469406089595</v>
      </c>
      <c r="S34" s="30">
        <f>'4.0 Result Q-raw data'!Y57</f>
        <v>46.324472460646909</v>
      </c>
    </row>
    <row r="35" spans="2:19" x14ac:dyDescent="0.35">
      <c r="B35" s="6">
        <f>'1. Information samples'!B35</f>
        <v>25</v>
      </c>
      <c r="C35" s="7">
        <f>'1. Information samples'!C35</f>
        <v>46041</v>
      </c>
      <c r="D35" s="6" t="str">
        <f>'1. Information samples'!D35</f>
        <v>Genbank</v>
      </c>
      <c r="E35" s="6">
        <f>'1. Information samples'!E35</f>
        <v>27</v>
      </c>
      <c r="F35" s="6" t="str">
        <f>'1. Information samples'!F35</f>
        <v>F251752</v>
      </c>
      <c r="G35" s="6" t="str">
        <f>'1. Information samples'!G35</f>
        <v>CIAT-7976</v>
      </c>
      <c r="H35" s="6" t="str">
        <f>'1. Information samples'!H35</f>
        <v>Cassia</v>
      </c>
      <c r="I35" s="6" t="str">
        <f>'1. Information samples'!I35</f>
        <v>sp.</v>
      </c>
      <c r="J35" s="6" t="str">
        <f>'1. Information samples'!J35</f>
        <v>Cassia sp.</v>
      </c>
      <c r="K35" s="6" t="str">
        <f>'1. Information samples'!K35</f>
        <v>Fabaceae</v>
      </c>
      <c r="L35" s="6" t="str">
        <f>'1. Information samples'!L35</f>
        <v>Fabales</v>
      </c>
      <c r="M35" s="6" t="str">
        <f>'1. Information samples'!M35</f>
        <v>Tree</v>
      </c>
      <c r="N35" s="30">
        <f>'4.0 Result Q-raw data'!O59</f>
        <v>93.417631382249596</v>
      </c>
      <c r="O35" s="30">
        <f>'4.0 Result Q-raw data'!Q59</f>
        <v>12.053530523308613</v>
      </c>
      <c r="P35" s="30">
        <f>'4.0 Result Q-raw data'!S59</f>
        <v>87.946469476691391</v>
      </c>
      <c r="Q35" s="30">
        <f>'4.0 Result Q-raw data'!U59</f>
        <v>25.588518268733985</v>
      </c>
      <c r="R35" s="30">
        <f>'4.0 Result Q-raw data'!W59</f>
        <v>39.53895727197682</v>
      </c>
      <c r="S35" s="30">
        <f>'4.0 Result Q-raw data'!Y59</f>
        <v>50.115790471025065</v>
      </c>
    </row>
    <row r="36" spans="2:19" x14ac:dyDescent="0.35">
      <c r="B36" s="6">
        <f>'1. Information samples'!B36</f>
        <v>26</v>
      </c>
      <c r="C36" s="7">
        <f>'1. Information samples'!C36</f>
        <v>46041</v>
      </c>
      <c r="D36" s="6" t="str">
        <f>'1. Information samples'!D36</f>
        <v>Genbank</v>
      </c>
      <c r="E36" s="6">
        <f>'1. Information samples'!E36</f>
        <v>27</v>
      </c>
      <c r="F36" s="6" t="str">
        <f>'1. Information samples'!F36</f>
        <v>F251753</v>
      </c>
      <c r="G36" s="6" t="str">
        <f>'1. Information samples'!G36</f>
        <v>CIAT-8018</v>
      </c>
      <c r="H36" s="6" t="str">
        <f>'1. Information samples'!H36</f>
        <v>Acacia</v>
      </c>
      <c r="I36" s="6" t="str">
        <f>'1. Information samples'!I36</f>
        <v>aroma</v>
      </c>
      <c r="J36" s="6" t="str">
        <f>'1. Information samples'!J36</f>
        <v>Acacia aroma</v>
      </c>
      <c r="K36" s="6" t="str">
        <f>'1. Information samples'!K36</f>
        <v>Fabaceae</v>
      </c>
      <c r="L36" s="6" t="str">
        <f>'1. Information samples'!L36</f>
        <v>Fabales</v>
      </c>
      <c r="M36" s="6" t="str">
        <f>'1. Information samples'!M36</f>
        <v>Tree</v>
      </c>
      <c r="N36" s="30">
        <f>'4.0 Result Q-raw data'!O61</f>
        <v>93.795616876624592</v>
      </c>
      <c r="O36" s="30">
        <f>'4.0 Result Q-raw data'!Q61</f>
        <v>18.112000233311775</v>
      </c>
      <c r="P36" s="30">
        <f>'4.0 Result Q-raw data'!S61</f>
        <v>81.887999766688225</v>
      </c>
      <c r="Q36" s="30">
        <f>'4.0 Result Q-raw data'!U61</f>
        <v>23.536924058087447</v>
      </c>
      <c r="R36" s="30">
        <f>'4.0 Result Q-raw data'!W61</f>
        <v>58.526711306777671</v>
      </c>
      <c r="S36" s="30">
        <f>'4.0 Result Q-raw data'!Y61</f>
        <v>70.33432004995808</v>
      </c>
    </row>
    <row r="37" spans="2:19" x14ac:dyDescent="0.35">
      <c r="B37" s="6">
        <f>'1. Information samples'!B37</f>
        <v>27</v>
      </c>
      <c r="C37" s="7">
        <f>'1. Information samples'!C37</f>
        <v>46041</v>
      </c>
      <c r="D37" s="6" t="str">
        <f>'1. Information samples'!D37</f>
        <v>Genbank</v>
      </c>
      <c r="E37" s="6">
        <f>'1. Information samples'!E37</f>
        <v>27</v>
      </c>
      <c r="F37" s="6" t="str">
        <f>'1. Information samples'!F37</f>
        <v>F251754</v>
      </c>
      <c r="G37" s="6" t="str">
        <f>'1. Information samples'!G37</f>
        <v>CIAT-9990</v>
      </c>
      <c r="H37" s="6" t="str">
        <f>'1. Information samples'!H37</f>
        <v>Prosopis</v>
      </c>
      <c r="I37" s="6" t="str">
        <f>'1. Information samples'!I37</f>
        <v>juliflora</v>
      </c>
      <c r="J37" s="6" t="str">
        <f>'1. Information samples'!J37</f>
        <v>Prosopis juliflora</v>
      </c>
      <c r="K37" s="6" t="str">
        <f>'1. Information samples'!K37</f>
        <v>Fabaceae</v>
      </c>
      <c r="L37" s="6" t="str">
        <f>'1. Information samples'!L37</f>
        <v>Fabales</v>
      </c>
      <c r="M37" s="6" t="str">
        <f>'1. Information samples'!M37</f>
        <v>Tree</v>
      </c>
      <c r="N37" s="30">
        <f>'4.0 Result Q-raw data'!O63</f>
        <v>92.974215470717525</v>
      </c>
      <c r="O37" s="30">
        <f>'4.0 Result Q-raw data'!Q63</f>
        <v>12.38310222508871</v>
      </c>
      <c r="P37" s="30">
        <f>'4.0 Result Q-raw data'!S63</f>
        <v>87.61689777491128</v>
      </c>
      <c r="Q37" s="30">
        <f>'4.0 Result Q-raw data'!U63</f>
        <v>31.752008331859145</v>
      </c>
      <c r="R37" s="30">
        <f>'4.0 Result Q-raw data'!W63</f>
        <v>28.642297250900654</v>
      </c>
      <c r="S37" s="30">
        <f>'4.0 Result Q-raw data'!Y63</f>
        <v>48.76403521134597</v>
      </c>
    </row>
    <row r="38" spans="2:19" x14ac:dyDescent="0.35">
      <c r="B38" s="6">
        <f>'1. Information samples'!B38</f>
        <v>28</v>
      </c>
      <c r="C38" s="7">
        <f>'1. Information samples'!C38</f>
        <v>46041</v>
      </c>
      <c r="D38" s="6" t="str">
        <f>'1. Information samples'!D38</f>
        <v>Genbank</v>
      </c>
      <c r="E38" s="6">
        <f>'1. Information samples'!E38</f>
        <v>27</v>
      </c>
      <c r="F38" s="6" t="str">
        <f>'1. Information samples'!F38</f>
        <v>F251755</v>
      </c>
      <c r="G38" s="6" t="str">
        <f>'1. Information samples'!G38</f>
        <v>CIAT-13258</v>
      </c>
      <c r="H38" s="6" t="str">
        <f>'1. Information samples'!H38</f>
        <v>Dendrolobium</v>
      </c>
      <c r="I38" s="6" t="str">
        <f>'1. Information samples'!I38</f>
        <v>lanceolatum</v>
      </c>
      <c r="J38" s="6" t="str">
        <f>'1. Information samples'!J38</f>
        <v>Dendrolobium lanceolatum</v>
      </c>
      <c r="K38" s="6" t="str">
        <f>'1. Information samples'!K38</f>
        <v>Fabaceae</v>
      </c>
      <c r="L38" s="6" t="str">
        <f>'1. Information samples'!L38</f>
        <v>Fabales</v>
      </c>
      <c r="M38" s="6" t="str">
        <f>'1. Information samples'!M38</f>
        <v>Tree</v>
      </c>
      <c r="N38" s="30">
        <f>'4.0 Result Q-raw data'!O65</f>
        <v>94.597428894509136</v>
      </c>
      <c r="O38" s="30">
        <f>'4.0 Result Q-raw data'!Q65</f>
        <v>14.866865354030644</v>
      </c>
      <c r="P38" s="30">
        <f>'4.0 Result Q-raw data'!S65</f>
        <v>85.133134645969363</v>
      </c>
      <c r="Q38" s="30">
        <f>'4.0 Result Q-raw data'!U65</f>
        <v>15.550264369544495</v>
      </c>
      <c r="R38" s="30">
        <f>'4.0 Result Q-raw data'!W65</f>
        <v>54.957144053029076</v>
      </c>
      <c r="S38" s="30">
        <f>'4.0 Result Q-raw data'!Y65</f>
        <v>61.802642029697566</v>
      </c>
    </row>
    <row r="39" spans="2:19" x14ac:dyDescent="0.35">
      <c r="B39" s="6">
        <f>'1. Information samples'!B39</f>
        <v>29</v>
      </c>
      <c r="C39" s="7">
        <f>'1. Information samples'!C39</f>
        <v>46041</v>
      </c>
      <c r="D39" s="6" t="str">
        <f>'1. Information samples'!D39</f>
        <v>Genbank</v>
      </c>
      <c r="E39" s="6">
        <f>'1. Information samples'!E39</f>
        <v>27</v>
      </c>
      <c r="F39" s="6" t="str">
        <f>'1. Information samples'!F39</f>
        <v>F251756</v>
      </c>
      <c r="G39" s="6" t="str">
        <f>'1. Information samples'!G39</f>
        <v>CIAT-13260</v>
      </c>
      <c r="H39" s="6" t="str">
        <f>'1. Information samples'!H39</f>
        <v>Dendrolobium</v>
      </c>
      <c r="I39" s="6" t="str">
        <f>'1. Information samples'!I39</f>
        <v>lanceolatum</v>
      </c>
      <c r="J39" s="6" t="str">
        <f>'1. Information samples'!J39</f>
        <v>Dendrolobium lanceolatum</v>
      </c>
      <c r="K39" s="6" t="str">
        <f>'1. Information samples'!K39</f>
        <v>Fabaceae</v>
      </c>
      <c r="L39" s="6" t="str">
        <f>'1. Information samples'!L39</f>
        <v>Fabales</v>
      </c>
      <c r="M39" s="6" t="str">
        <f>'1. Information samples'!M39</f>
        <v>Tree</v>
      </c>
      <c r="N39" s="30">
        <f>'4.0 Result Q-raw data'!O67</f>
        <v>94.076479115853317</v>
      </c>
      <c r="O39" s="30">
        <f>'4.0 Result Q-raw data'!Q67</f>
        <v>12.082754275995448</v>
      </c>
      <c r="P39" s="30">
        <f>'4.0 Result Q-raw data'!S67</f>
        <v>87.917245724004545</v>
      </c>
      <c r="Q39" s="30">
        <f>'4.0 Result Q-raw data'!U67</f>
        <v>15.813425412661195</v>
      </c>
      <c r="R39" s="30">
        <f>'4.0 Result Q-raw data'!W67</f>
        <v>57.392576547550817</v>
      </c>
      <c r="S39" s="30">
        <f>'4.0 Result Q-raw data'!Y67</f>
        <v>65.193580185159263</v>
      </c>
    </row>
    <row r="40" spans="2:19" x14ac:dyDescent="0.35">
      <c r="B40" s="6">
        <f>'1. Information samples'!B40</f>
        <v>30</v>
      </c>
      <c r="C40" s="7">
        <f>'1. Information samples'!C40</f>
        <v>46041</v>
      </c>
      <c r="D40" s="6" t="str">
        <f>'1. Information samples'!D40</f>
        <v>Genbank</v>
      </c>
      <c r="E40" s="6">
        <f>'1. Information samples'!E40</f>
        <v>27</v>
      </c>
      <c r="F40" s="6" t="str">
        <f>'1. Information samples'!F40</f>
        <v>F251757</v>
      </c>
      <c r="G40" s="6" t="str">
        <f>'1. Information samples'!G40</f>
        <v>CIAT-17263</v>
      </c>
      <c r="H40" s="6" t="str">
        <f>'1. Information samples'!H40</f>
        <v>Leucaena</v>
      </c>
      <c r="I40" s="6" t="str">
        <f>'1. Information samples'!I40</f>
        <v>leucocephala</v>
      </c>
      <c r="J40" s="6" t="str">
        <f>'1. Information samples'!J40</f>
        <v>Leucaena leucocephala</v>
      </c>
      <c r="K40" s="6" t="str">
        <f>'1. Information samples'!K40</f>
        <v>Fabaceae</v>
      </c>
      <c r="L40" s="6" t="str">
        <f>'1. Information samples'!L40</f>
        <v>Fabales</v>
      </c>
      <c r="M40" s="6" t="str">
        <f>'1. Information samples'!M40</f>
        <v>Tree</v>
      </c>
      <c r="N40" s="30">
        <f>'4.0 Result Q-raw data'!O69</f>
        <v>94.471675994403398</v>
      </c>
      <c r="O40" s="30">
        <f>'4.0 Result Q-raw data'!Q69</f>
        <v>13.814329517769407</v>
      </c>
      <c r="P40" s="30">
        <f>'4.0 Result Q-raw data'!S69</f>
        <v>86.185670482230591</v>
      </c>
      <c r="Q40" s="30">
        <f>'4.0 Result Q-raw data'!U69</f>
        <v>13.714703242128845</v>
      </c>
      <c r="R40" s="30">
        <f>'4.0 Result Q-raw data'!W69</f>
        <v>36.267308380154496</v>
      </c>
      <c r="S40" s="30">
        <f>'4.0 Result Q-raw data'!Y69</f>
        <v>57.76223960237941</v>
      </c>
    </row>
    <row r="41" spans="2:19" x14ac:dyDescent="0.35">
      <c r="B41" s="6">
        <f>'1. Information samples'!B41</f>
        <v>31</v>
      </c>
      <c r="C41" s="7">
        <f>'1. Information samples'!C41</f>
        <v>46041</v>
      </c>
      <c r="D41" s="6" t="str">
        <f>'1. Information samples'!D41</f>
        <v>Isabel Molina</v>
      </c>
      <c r="E41" s="6">
        <f>'1. Information samples'!E41</f>
        <v>27</v>
      </c>
      <c r="F41" s="6" t="str">
        <f>'1. Information samples'!F41</f>
        <v>F252640</v>
      </c>
      <c r="G41" s="6" t="str">
        <f>'1. Information samples'!G41</f>
        <v xml:space="preserve"> Cayman Br02_1752</v>
      </c>
      <c r="H41" s="6" t="str">
        <f>'1. Information samples'!H41</f>
        <v>Urochloa</v>
      </c>
      <c r="I41" s="6" t="str">
        <f>'1. Information samples'!I41</f>
        <v>interespecifico</v>
      </c>
      <c r="J41" s="6" t="str">
        <f>'1. Information samples'!J41</f>
        <v>Urochloa interespecifico</v>
      </c>
      <c r="K41" s="6" t="str">
        <f>'1. Information samples'!K41</f>
        <v>Poaceae</v>
      </c>
      <c r="L41" s="6" t="str">
        <f>'1. Information samples'!L41</f>
        <v>Poales</v>
      </c>
      <c r="M41" s="6" t="str">
        <f>'1. Information samples'!M41</f>
        <v>grasses</v>
      </c>
      <c r="N41" s="30">
        <f>'4.0 Result Q-raw data'!O71</f>
        <v>97.001050124786801</v>
      </c>
      <c r="O41" s="30">
        <f>'4.0 Result Q-raw data'!Q71</f>
        <v>9.6511554864924065</v>
      </c>
      <c r="P41" s="30">
        <f>'4.0 Result Q-raw data'!S71</f>
        <v>90.348844513507601</v>
      </c>
      <c r="Q41" s="30">
        <f>'4.0 Result Q-raw data'!U71</f>
        <v>8.0543856929248818</v>
      </c>
      <c r="R41" s="30">
        <f>'4.0 Result Q-raw data'!W71</f>
        <v>26.241815612724281</v>
      </c>
      <c r="S41" s="30">
        <f>'4.0 Result Q-raw data'!Y71</f>
        <v>62.133650806607761</v>
      </c>
    </row>
    <row r="42" spans="2:19" x14ac:dyDescent="0.35">
      <c r="B42" s="6">
        <f>'1. Information samples'!B42</f>
        <v>32</v>
      </c>
      <c r="C42" s="7">
        <f>'1. Information samples'!C42</f>
        <v>46041</v>
      </c>
      <c r="D42" s="6" t="str">
        <f>'1. Information samples'!D42</f>
        <v>Mauricio Sotelo</v>
      </c>
      <c r="E42" s="6">
        <f>'1. Information samples'!E42</f>
        <v>27</v>
      </c>
      <c r="F42" s="6" t="str">
        <f>'1. Information samples'!F42</f>
        <v>F252641</v>
      </c>
      <c r="G42" s="6" t="str">
        <f>'1. Information samples'!G42</f>
        <v>N/A</v>
      </c>
      <c r="H42" s="6" t="str">
        <f>'1. Information samples'!H42</f>
        <v xml:space="preserve">Gliricidia  </v>
      </c>
      <c r="I42" s="6" t="str">
        <f>'1. Information samples'!I42</f>
        <v>sepium</v>
      </c>
      <c r="J42" s="6" t="str">
        <f>'1. Information samples'!J42</f>
        <v xml:space="preserve">Gliricidia sepium </v>
      </c>
      <c r="K42" s="6" t="str">
        <f>'1. Information samples'!K42</f>
        <v>Fabaceae</v>
      </c>
      <c r="L42" s="6" t="str">
        <f>'1. Information samples'!L42</f>
        <v>Fabales</v>
      </c>
      <c r="M42" s="6" t="str">
        <f>'1. Information samples'!M42</f>
        <v xml:space="preserve">Arbustiva </v>
      </c>
      <c r="N42" s="30">
        <f>'4.0 Result Q-raw data'!O73</f>
        <v>93.49727418839538</v>
      </c>
      <c r="O42" s="30">
        <f>'4.0 Result Q-raw data'!Q73</f>
        <v>9.4087449892644308</v>
      </c>
      <c r="P42" s="30">
        <f>'4.0 Result Q-raw data'!S73</f>
        <v>90.591255010735566</v>
      </c>
      <c r="Q42" s="30">
        <f>'4.0 Result Q-raw data'!U73</f>
        <v>22.375</v>
      </c>
      <c r="R42" s="30">
        <f>'4.0 Result Q-raw data'!W73</f>
        <v>21.939999999999998</v>
      </c>
      <c r="S42" s="30">
        <f>'4.0 Result Q-raw data'!Y73</f>
        <v>47.204999999999998</v>
      </c>
    </row>
    <row r="43" spans="2:19" x14ac:dyDescent="0.35">
      <c r="B43" s="6">
        <f>'1. Information samples'!B43</f>
        <v>33</v>
      </c>
      <c r="C43" s="7">
        <f>'1. Information samples'!C43</f>
        <v>46041</v>
      </c>
      <c r="D43" s="6" t="str">
        <f>'1. Information samples'!D43</f>
        <v>Jacobo Arango/Alejandro Montoya</v>
      </c>
      <c r="E43" s="6">
        <f>'1. Information samples'!E43</f>
        <v>27</v>
      </c>
      <c r="F43" s="6" t="str">
        <f>'1. Information samples'!F43</f>
        <v>F250008</v>
      </c>
      <c r="G43" s="6" t="str">
        <f>'1. Information samples'!G43</f>
        <v>Sample 8</v>
      </c>
      <c r="H43" s="6" t="str">
        <f>'1. Information samples'!H43</f>
        <v>Cynodon</v>
      </c>
      <c r="I43" s="6" t="str">
        <f>'1. Information samples'!I43</f>
        <v xml:space="preserve"> nlemfuensis </v>
      </c>
      <c r="J43" s="6" t="str">
        <f>'1. Information samples'!J43</f>
        <v xml:space="preserve">Cynodon nlemfuensis </v>
      </c>
      <c r="K43" s="6" t="str">
        <f>'1. Information samples'!K43</f>
        <v>Poaceae</v>
      </c>
      <c r="L43" s="6" t="str">
        <f>'1. Information samples'!L43</f>
        <v>Poales</v>
      </c>
      <c r="M43" s="6" t="str">
        <f>'1. Information samples'!M43</f>
        <v>grasses</v>
      </c>
      <c r="N43" s="30">
        <f>'4.0 Result Q-raw data'!O75</f>
        <v>93.55</v>
      </c>
      <c r="O43" s="30">
        <f>'4.0 Result Q-raw data'!Q75</f>
        <v>11.4</v>
      </c>
      <c r="P43" s="30">
        <f>'4.0 Result Q-raw data'!S75</f>
        <v>88.6</v>
      </c>
      <c r="Q43" s="30">
        <f>'4.0 Result Q-raw data'!T75</f>
        <v>0</v>
      </c>
      <c r="R43" s="30">
        <f>'4.0 Result Q-raw data'!U75</f>
        <v>0</v>
      </c>
      <c r="S43" s="30">
        <f>'4.0 Result Q-raw data'!V75</f>
        <v>0</v>
      </c>
    </row>
    <row r="44" spans="2:19" x14ac:dyDescent="0.35">
      <c r="B44" s="6">
        <f>'1. Information samples'!B44</f>
        <v>34</v>
      </c>
      <c r="C44" s="7">
        <f>'1. Information samples'!C44</f>
        <v>46048</v>
      </c>
      <c r="D44" s="6" t="str">
        <f>'1. Information samples'!D44</f>
        <v>Genbank</v>
      </c>
      <c r="E44" s="6">
        <f>'1. Information samples'!E44</f>
        <v>28</v>
      </c>
      <c r="F44" s="6" t="str">
        <f>'1. Information samples'!F44</f>
        <v>F251758</v>
      </c>
      <c r="G44" s="6" t="str">
        <f>'1. Information samples'!G44</f>
        <v>CIAT-17459</v>
      </c>
      <c r="H44" s="6" t="str">
        <f>'1. Information samples'!H44</f>
        <v>Erythrina</v>
      </c>
      <c r="I44" s="6" t="str">
        <f>'1. Information samples'!I44</f>
        <v>berteroana</v>
      </c>
      <c r="J44" s="6" t="str">
        <f>'1. Information samples'!J44</f>
        <v>Erythrina berteroana</v>
      </c>
      <c r="K44" s="6" t="str">
        <f>'1. Information samples'!K44</f>
        <v>Fabaceae</v>
      </c>
      <c r="L44" s="6" t="str">
        <f>'1. Information samples'!L44</f>
        <v>Fabales</v>
      </c>
      <c r="M44" s="6" t="str">
        <f>'1. Information samples'!M44</f>
        <v>Tree</v>
      </c>
      <c r="N44" s="30">
        <f>'4.0 Result Q-raw data'!O77</f>
        <v>94.587165133946471</v>
      </c>
      <c r="O44" s="30">
        <f>'4.0 Result Q-raw data'!Q77</f>
        <v>11.867899603698884</v>
      </c>
      <c r="P44" s="30">
        <f>'4.0 Result Q-raw data'!S77</f>
        <v>88.132100396301112</v>
      </c>
      <c r="Q44" s="30">
        <f>'4.0 Result Q-raw data'!T77</f>
        <v>24.25144619344341</v>
      </c>
      <c r="R44" s="30">
        <f>'4.0 Result Q-raw data'!U77</f>
        <v>24.25144619344341</v>
      </c>
      <c r="S44" s="30">
        <f>'4.0 Result Q-raw data'!V77</f>
        <v>37.936299023150497</v>
      </c>
    </row>
    <row r="45" spans="2:19" x14ac:dyDescent="0.35">
      <c r="B45" s="6">
        <f>'1. Information samples'!B45</f>
        <v>35</v>
      </c>
      <c r="C45" s="7">
        <f>'1. Information samples'!C45</f>
        <v>46048</v>
      </c>
      <c r="D45" s="6" t="str">
        <f>'1. Information samples'!D45</f>
        <v>Genbank</v>
      </c>
      <c r="E45" s="6">
        <f>'1. Information samples'!E45</f>
        <v>28</v>
      </c>
      <c r="F45" s="6" t="str">
        <f>'1. Information samples'!F45</f>
        <v>F251759</v>
      </c>
      <c r="G45" s="6" t="str">
        <f>'1. Information samples'!G45</f>
        <v>CIAT-17482</v>
      </c>
      <c r="H45" s="6" t="str">
        <f>'1. Information samples'!H45</f>
        <v>Leucaena</v>
      </c>
      <c r="I45" s="6" t="str">
        <f>'1. Information samples'!I45</f>
        <v>leucocephala</v>
      </c>
      <c r="J45" s="6" t="str">
        <f>'1. Information samples'!J45</f>
        <v>Leucaena leucocephala</v>
      </c>
      <c r="K45" s="6" t="str">
        <f>'1. Information samples'!K45</f>
        <v>Fabaceae</v>
      </c>
      <c r="L45" s="6" t="str">
        <f>'1. Information samples'!L45</f>
        <v>Fabales</v>
      </c>
      <c r="M45" s="6" t="str">
        <f>'1. Information samples'!M45</f>
        <v>Tree</v>
      </c>
      <c r="N45" s="30">
        <f>'4.0 Result Q-raw data'!O79</f>
        <v>92.661832524028</v>
      </c>
      <c r="O45" s="30">
        <f>'4.0 Result Q-raw data'!Q79</f>
        <v>14.236419662219873</v>
      </c>
      <c r="P45" s="30">
        <f>'4.0 Result Q-raw data'!S79</f>
        <v>85.763580337780127</v>
      </c>
      <c r="Q45" s="30">
        <f>'4.0 Result Q-raw data'!T79</f>
        <v>26.542323041506798</v>
      </c>
      <c r="R45" s="30">
        <f>'4.0 Result Q-raw data'!U79</f>
        <v>26.542323041506798</v>
      </c>
      <c r="S45" s="30">
        <f>'4.0 Result Q-raw data'!V79</f>
        <v>32.666747322267156</v>
      </c>
    </row>
    <row r="46" spans="2:19" x14ac:dyDescent="0.35">
      <c r="B46" s="6">
        <f>'1. Information samples'!B46</f>
        <v>36</v>
      </c>
      <c r="C46" s="7">
        <f>'1. Information samples'!C46</f>
        <v>46048</v>
      </c>
      <c r="D46" s="6" t="str">
        <f>'1. Information samples'!D46</f>
        <v>Genbank</v>
      </c>
      <c r="E46" s="6">
        <f>'1. Information samples'!E46</f>
        <v>28</v>
      </c>
      <c r="F46" s="6" t="str">
        <f>'1. Information samples'!F46</f>
        <v>F251760</v>
      </c>
      <c r="G46" s="6" t="str">
        <f>'1. Information samples'!G46</f>
        <v>CIAT-17502</v>
      </c>
      <c r="H46" s="6" t="str">
        <f>'1. Information samples'!H46</f>
        <v>Leucaena</v>
      </c>
      <c r="I46" s="6" t="str">
        <f>'1. Information samples'!I46</f>
        <v>leucocephala</v>
      </c>
      <c r="J46" s="6" t="str">
        <f>'1. Information samples'!J46</f>
        <v>Leucaena leucocephala</v>
      </c>
      <c r="K46" s="6" t="str">
        <f>'1. Information samples'!K46</f>
        <v>Fabaceae</v>
      </c>
      <c r="L46" s="6" t="str">
        <f>'1. Information samples'!L46</f>
        <v>Fabales</v>
      </c>
      <c r="M46" s="6" t="str">
        <f>'1. Information samples'!M46</f>
        <v>Tree</v>
      </c>
      <c r="N46" s="30">
        <f>'4.0 Result Q-raw data'!O81</f>
        <v>94.260862855925978</v>
      </c>
      <c r="O46" s="30">
        <f>'4.0 Result Q-raw data'!Q81</f>
        <v>12.956865033761142</v>
      </c>
      <c r="P46" s="30">
        <f>'4.0 Result Q-raw data'!S81</f>
        <v>87.043134966238853</v>
      </c>
      <c r="Q46" s="30">
        <f>'4.0 Result Q-raw data'!T81</f>
        <v>28.859971347998314</v>
      </c>
      <c r="R46" s="30">
        <f>'4.0 Result Q-raw data'!U81</f>
        <v>28.859971347998314</v>
      </c>
      <c r="S46" s="30">
        <f>'4.0 Result Q-raw data'!V81</f>
        <v>36.633509942340545</v>
      </c>
    </row>
    <row r="47" spans="2:19" x14ac:dyDescent="0.35">
      <c r="B47" s="6">
        <f>'1. Information samples'!B47</f>
        <v>37</v>
      </c>
      <c r="C47" s="7">
        <f>'1. Information samples'!C47</f>
        <v>46048</v>
      </c>
      <c r="D47" s="6" t="str">
        <f>'1. Information samples'!D47</f>
        <v>Genbank</v>
      </c>
      <c r="E47" s="6">
        <f>'1. Information samples'!E47</f>
        <v>28</v>
      </c>
      <c r="F47" s="6" t="str">
        <f>'1. Information samples'!F47</f>
        <v>F251761</v>
      </c>
      <c r="G47" s="6" t="str">
        <f>'1. Information samples'!G47</f>
        <v>CIAT-19384</v>
      </c>
      <c r="H47" s="6" t="str">
        <f>'1. Information samples'!H47</f>
        <v>Prosopis</v>
      </c>
      <c r="I47" s="6" t="str">
        <f>'1. Information samples'!I47</f>
        <v>juliflora</v>
      </c>
      <c r="J47" s="6" t="str">
        <f>'1. Information samples'!J47</f>
        <v>Prosopis juliflora</v>
      </c>
      <c r="K47" s="6" t="str">
        <f>'1. Information samples'!K47</f>
        <v>Fabaceae</v>
      </c>
      <c r="L47" s="6" t="str">
        <f>'1. Information samples'!L47</f>
        <v>Fabales</v>
      </c>
      <c r="M47" s="6" t="str">
        <f>'1. Information samples'!M47</f>
        <v>Tree</v>
      </c>
      <c r="N47" s="30">
        <f>'4.0 Result Q-raw data'!O83</f>
        <v>93.387652369956228</v>
      </c>
      <c r="O47" s="30">
        <f>'4.0 Result Q-raw data'!Q83</f>
        <v>10.334334372505555</v>
      </c>
      <c r="P47" s="30">
        <f>'4.0 Result Q-raw data'!S83</f>
        <v>89.665665627494448</v>
      </c>
      <c r="Q47" s="30">
        <f>'4.0 Result Q-raw data'!T83</f>
        <v>36.95492579631334</v>
      </c>
      <c r="R47" s="30">
        <f>'4.0 Result Q-raw data'!U83</f>
        <v>36.95492579631334</v>
      </c>
      <c r="S47" s="30">
        <f>'4.0 Result Q-raw data'!V83</f>
        <v>30.728014202455089</v>
      </c>
    </row>
    <row r="48" spans="2:19" x14ac:dyDescent="0.35">
      <c r="B48" s="6">
        <f>'1. Information samples'!B48</f>
        <v>38</v>
      </c>
      <c r="C48" s="7">
        <f>'1. Information samples'!C48</f>
        <v>46048</v>
      </c>
      <c r="D48" s="6" t="str">
        <f>'1. Information samples'!D48</f>
        <v>Genbank</v>
      </c>
      <c r="E48" s="6">
        <f>'1. Information samples'!E48</f>
        <v>28</v>
      </c>
      <c r="F48" s="6" t="str">
        <f>'1. Information samples'!F48</f>
        <v>F251762</v>
      </c>
      <c r="G48" s="6" t="str">
        <f>'1. Information samples'!G48</f>
        <v>CIAT-19571</v>
      </c>
      <c r="H48" s="6" t="str">
        <f>'1. Information samples'!H48</f>
        <v>Senna</v>
      </c>
      <c r="I48" s="6" t="str">
        <f>'1. Information samples'!I48</f>
        <v>cobanensis</v>
      </c>
      <c r="J48" s="6" t="str">
        <f>'1. Information samples'!J48</f>
        <v>Senna cobanensis</v>
      </c>
      <c r="K48" s="6" t="str">
        <f>'1. Information samples'!K48</f>
        <v>Fabaceae</v>
      </c>
      <c r="L48" s="6" t="str">
        <f>'1. Information samples'!L48</f>
        <v>Fabales</v>
      </c>
      <c r="M48" s="6" t="str">
        <f>'1. Information samples'!M48</f>
        <v>Tree</v>
      </c>
      <c r="N48" s="30">
        <f>'4.0 Result Q-raw data'!O85</f>
        <v>93.207390734042775</v>
      </c>
      <c r="O48" s="30">
        <f>'4.0 Result Q-raw data'!Q85</f>
        <v>6.081072551161764</v>
      </c>
      <c r="P48" s="30">
        <f>'4.0 Result Q-raw data'!S85</f>
        <v>93.918927448838247</v>
      </c>
      <c r="Q48" s="30">
        <f>'4.0 Result Q-raw data'!T85</f>
        <v>23.200972853253763</v>
      </c>
      <c r="R48" s="30">
        <f>'4.0 Result Q-raw data'!U85</f>
        <v>23.200972853253763</v>
      </c>
      <c r="S48" s="30">
        <f>'4.0 Result Q-raw data'!V85</f>
        <v>42.547984735778918</v>
      </c>
    </row>
    <row r="49" spans="2:19" x14ac:dyDescent="0.35">
      <c r="B49" s="6">
        <f>'1. Information samples'!B49</f>
        <v>39</v>
      </c>
      <c r="C49" s="7">
        <f>'1. Information samples'!C49</f>
        <v>46048</v>
      </c>
      <c r="D49" s="6" t="str">
        <f>'1. Information samples'!D49</f>
        <v>Genbank</v>
      </c>
      <c r="E49" s="6">
        <f>'1. Information samples'!E49</f>
        <v>28</v>
      </c>
      <c r="F49" s="6" t="str">
        <f>'1. Information samples'!F49</f>
        <v>F251763</v>
      </c>
      <c r="G49" s="6" t="str">
        <f>'1. Information samples'!G49</f>
        <v>CIAT-20126</v>
      </c>
      <c r="H49" s="6" t="str">
        <f>'1. Information samples'!H49</f>
        <v>Acacia</v>
      </c>
      <c r="I49" s="6" t="str">
        <f>'1. Information samples'!I49</f>
        <v>angustissima</v>
      </c>
      <c r="J49" s="6" t="str">
        <f>'1. Information samples'!J49</f>
        <v>Acacia angustissima</v>
      </c>
      <c r="K49" s="6" t="str">
        <f>'1. Information samples'!K49</f>
        <v>Fabaceae</v>
      </c>
      <c r="L49" s="6" t="str">
        <f>'1. Information samples'!L49</f>
        <v>Fabales</v>
      </c>
      <c r="M49" s="6" t="str">
        <f>'1. Information samples'!M49</f>
        <v>Tree</v>
      </c>
      <c r="N49" s="30">
        <f>'4.0 Result Q-raw data'!O87</f>
        <v>93.972117120803745</v>
      </c>
      <c r="O49" s="30">
        <f>'4.0 Result Q-raw data'!Q87</f>
        <v>5.7762849826081304</v>
      </c>
      <c r="P49" s="30">
        <f>'4.0 Result Q-raw data'!S87</f>
        <v>94.223715017391868</v>
      </c>
      <c r="Q49" s="30">
        <f>'4.0 Result Q-raw data'!T87</f>
        <v>29.90215547495993</v>
      </c>
      <c r="R49" s="30">
        <f>'4.0 Result Q-raw data'!U87</f>
        <v>29.90215547495993</v>
      </c>
      <c r="S49" s="30">
        <f>'4.0 Result Q-raw data'!V87</f>
        <v>48.097888552549549</v>
      </c>
    </row>
    <row r="50" spans="2:19" x14ac:dyDescent="0.35">
      <c r="B50" s="6">
        <f>'1. Information samples'!B50</f>
        <v>40</v>
      </c>
      <c r="C50" s="7">
        <f>'1. Information samples'!C50</f>
        <v>46048</v>
      </c>
      <c r="D50" s="6" t="str">
        <f>'1. Information samples'!D50</f>
        <v>Genbank</v>
      </c>
      <c r="E50" s="6">
        <f>'1. Information samples'!E50</f>
        <v>28</v>
      </c>
      <c r="F50" s="6" t="str">
        <f>'1. Information samples'!F50</f>
        <v>F251764</v>
      </c>
      <c r="G50" s="6" t="str">
        <f>'1. Information samples'!G50</f>
        <v>CIAT-20788</v>
      </c>
      <c r="H50" s="6" t="str">
        <f>'1. Information samples'!H50</f>
        <v>Senna</v>
      </c>
      <c r="I50" s="6" t="str">
        <f>'1. Information samples'!I50</f>
        <v>pallida</v>
      </c>
      <c r="J50" s="6" t="str">
        <f>'1. Information samples'!J50</f>
        <v>Senna pallida</v>
      </c>
      <c r="K50" s="6" t="str">
        <f>'1. Information samples'!K50</f>
        <v>Fabaceae</v>
      </c>
      <c r="L50" s="6" t="str">
        <f>'1. Information samples'!L50</f>
        <v>Fabales</v>
      </c>
      <c r="M50" s="6" t="str">
        <f>'1. Information samples'!M50</f>
        <v>Tree</v>
      </c>
      <c r="N50" s="30">
        <f>'4.0 Result Q-raw data'!O89</f>
        <v>93.916824952514233</v>
      </c>
      <c r="O50" s="30">
        <f>'4.0 Result Q-raw data'!Q89</f>
        <v>9.7450636010430483</v>
      </c>
      <c r="P50" s="30">
        <f>'4.0 Result Q-raw data'!S89</f>
        <v>90.254936398956957</v>
      </c>
      <c r="Q50" s="30">
        <f>'4.0 Result Q-raw data'!T89</f>
        <v>24.302493202405671</v>
      </c>
      <c r="R50" s="30">
        <f>'4.0 Result Q-raw data'!U89</f>
        <v>24.302493202405671</v>
      </c>
      <c r="S50" s="30">
        <f>'4.0 Result Q-raw data'!V89</f>
        <v>30.232350736776002</v>
      </c>
    </row>
    <row r="51" spans="2:19" x14ac:dyDescent="0.35">
      <c r="B51" s="6">
        <f>'1. Information samples'!B51</f>
        <v>41</v>
      </c>
      <c r="C51" s="7">
        <f>'1. Information samples'!C51</f>
        <v>46048</v>
      </c>
      <c r="D51" s="6" t="str">
        <f>'1. Information samples'!D51</f>
        <v>Genbank</v>
      </c>
      <c r="E51" s="6">
        <f>'1. Information samples'!E51</f>
        <v>28</v>
      </c>
      <c r="F51" s="6" t="str">
        <f>'1. Information samples'!F51</f>
        <v>F251765</v>
      </c>
      <c r="G51" s="6" t="str">
        <f>'1. Information samples'!G51</f>
        <v>CIAT-21242</v>
      </c>
      <c r="H51" s="6" t="str">
        <f>'1. Information samples'!H51</f>
        <v>Leucaena</v>
      </c>
      <c r="I51" s="6" t="str">
        <f>'1. Information samples'!I51</f>
        <v>diversifolia</v>
      </c>
      <c r="J51" s="6" t="str">
        <f>'1. Information samples'!J51</f>
        <v>Leucaena diversifolia</v>
      </c>
      <c r="K51" s="6" t="str">
        <f>'1. Information samples'!K51</f>
        <v>Fabaceae</v>
      </c>
      <c r="L51" s="6" t="str">
        <f>'1. Information samples'!L51</f>
        <v>Fabales</v>
      </c>
      <c r="M51" s="6" t="str">
        <f>'1. Information samples'!M51</f>
        <v>Tree</v>
      </c>
      <c r="N51" s="30">
        <f>'4.0 Result Q-raw data'!O91</f>
        <v>93.211365657396129</v>
      </c>
      <c r="O51" s="30">
        <f>'4.0 Result Q-raw data'!Q91</f>
        <v>6.8754719706245817</v>
      </c>
      <c r="P51" s="30">
        <f>'4.0 Result Q-raw data'!S91</f>
        <v>93.124528029375426</v>
      </c>
      <c r="Q51" s="30">
        <f>'4.0 Result Q-raw data'!T91</f>
        <v>23.275835301403752</v>
      </c>
      <c r="R51" s="30">
        <f>'4.0 Result Q-raw data'!U91</f>
        <v>23.275835301403752</v>
      </c>
      <c r="S51" s="30">
        <f>'4.0 Result Q-raw data'!V91</f>
        <v>45.048343912260478</v>
      </c>
    </row>
    <row r="52" spans="2:19" x14ac:dyDescent="0.35">
      <c r="B52" s="6">
        <f>'1. Information samples'!B52</f>
        <v>42</v>
      </c>
      <c r="C52" s="7">
        <f>'1. Information samples'!C52</f>
        <v>46048</v>
      </c>
      <c r="D52" s="6" t="str">
        <f>'1. Information samples'!D52</f>
        <v>Genbank</v>
      </c>
      <c r="E52" s="6">
        <f>'1. Information samples'!E52</f>
        <v>28</v>
      </c>
      <c r="F52" s="6" t="str">
        <f>'1. Information samples'!F52</f>
        <v>F251766</v>
      </c>
      <c r="G52" s="6" t="str">
        <f>'1. Information samples'!G52</f>
        <v>CIAT-21512</v>
      </c>
      <c r="H52" s="6" t="str">
        <f>'1. Information samples'!H52</f>
        <v>Calliandra</v>
      </c>
      <c r="I52" s="6" t="str">
        <f>'1. Information samples'!I52</f>
        <v>calothyrsus</v>
      </c>
      <c r="J52" s="6" t="str">
        <f>'1. Information samples'!J52</f>
        <v>Calliandra calothyrsus</v>
      </c>
      <c r="K52" s="6" t="str">
        <f>'1. Information samples'!K52</f>
        <v>Fabaceae</v>
      </c>
      <c r="L52" s="6" t="str">
        <f>'1. Information samples'!L52</f>
        <v>Fabales</v>
      </c>
      <c r="M52" s="6" t="str">
        <f>'1. Information samples'!M52</f>
        <v>Tree</v>
      </c>
      <c r="N52" s="30">
        <f>'4.0 Result Q-raw data'!O93</f>
        <v>92.787884846061559</v>
      </c>
      <c r="O52" s="30">
        <f>'4.0 Result Q-raw data'!Q93</f>
        <v>4.7831941826016706</v>
      </c>
      <c r="P52" s="30">
        <f>'4.0 Result Q-raw data'!S93</f>
        <v>95.216805817398324</v>
      </c>
      <c r="Q52" s="30">
        <f>'4.0 Result Q-raw data'!T93</f>
        <v>24.069321644433145</v>
      </c>
      <c r="R52" s="30">
        <f>'4.0 Result Q-raw data'!U93</f>
        <v>24.069321644433145</v>
      </c>
      <c r="S52" s="30">
        <f>'4.0 Result Q-raw data'!V93</f>
        <v>46.571954064815877</v>
      </c>
    </row>
    <row r="53" spans="2:19" x14ac:dyDescent="0.35">
      <c r="B53" s="6">
        <f>'1. Information samples'!B53</f>
        <v>43</v>
      </c>
      <c r="C53" s="7">
        <f>'1. Information samples'!C53</f>
        <v>46048</v>
      </c>
      <c r="D53" s="6" t="str">
        <f>'1. Information samples'!D53</f>
        <v>Genbank</v>
      </c>
      <c r="E53" s="6">
        <f>'1. Information samples'!E53</f>
        <v>28</v>
      </c>
      <c r="F53" s="6" t="str">
        <f>'1. Information samples'!F53</f>
        <v>F251767</v>
      </c>
      <c r="G53" s="6" t="str">
        <f>'1. Information samples'!G53</f>
        <v>CIAT-21601</v>
      </c>
      <c r="H53" s="6" t="str">
        <f>'1. Information samples'!H53</f>
        <v>Erythrina</v>
      </c>
      <c r="I53" s="6" t="str">
        <f>'1. Information samples'!I53</f>
        <v>fusca</v>
      </c>
      <c r="J53" s="6" t="str">
        <f>'1. Information samples'!J53</f>
        <v>Erythrina fusca</v>
      </c>
      <c r="K53" s="6" t="str">
        <f>'1. Information samples'!K53</f>
        <v>Fabaceae</v>
      </c>
      <c r="L53" s="6" t="str">
        <f>'1. Information samples'!L53</f>
        <v>Fabales</v>
      </c>
      <c r="M53" s="6" t="str">
        <f>'1. Information samples'!M53</f>
        <v>Tree</v>
      </c>
      <c r="N53" s="30">
        <f>'4.0 Result Q-raw data'!O95</f>
        <v>93.236785877589853</v>
      </c>
      <c r="O53" s="30">
        <f>'4.0 Result Q-raw data'!Q95</f>
        <v>7.0448332033495689</v>
      </c>
      <c r="P53" s="30">
        <f>'4.0 Result Q-raw data'!S95</f>
        <v>92.955166796650431</v>
      </c>
      <c r="Q53" s="30">
        <f>'4.0 Result Q-raw data'!T95</f>
        <v>23.751605611660302</v>
      </c>
      <c r="R53" s="30">
        <f>'4.0 Result Q-raw data'!U95</f>
        <v>23.410848588713336</v>
      </c>
      <c r="S53" s="30">
        <f>'4.0 Result Q-raw data'!V95</f>
        <v>56.108954424654989</v>
      </c>
    </row>
    <row r="54" spans="2:19" x14ac:dyDescent="0.35">
      <c r="B54" s="6">
        <f>'1. Information samples'!B54</f>
        <v>44</v>
      </c>
      <c r="C54" s="7">
        <f>'1. Information samples'!C54</f>
        <v>46048</v>
      </c>
      <c r="D54" s="6" t="str">
        <f>'1. Information samples'!D54</f>
        <v>Genbank</v>
      </c>
      <c r="E54" s="6">
        <f>'1. Information samples'!E54</f>
        <v>28</v>
      </c>
      <c r="F54" s="6" t="str">
        <f>'1. Information samples'!F54</f>
        <v>F251768</v>
      </c>
      <c r="G54" s="6" t="str">
        <f>'1. Information samples'!G54</f>
        <v>CIAT-21809</v>
      </c>
      <c r="H54" s="6" t="str">
        <f>'1. Information samples'!H54</f>
        <v>Acacia</v>
      </c>
      <c r="I54" s="6" t="str">
        <f>'1. Information samples'!I54</f>
        <v>farnesiana</v>
      </c>
      <c r="J54" s="6" t="str">
        <f>'1. Information samples'!J54</f>
        <v>Acacia farnesiana</v>
      </c>
      <c r="K54" s="6" t="str">
        <f>'1. Information samples'!K54</f>
        <v>Fabaceae</v>
      </c>
      <c r="L54" s="6" t="str">
        <f>'1. Information samples'!L54</f>
        <v>Fabales</v>
      </c>
      <c r="M54" s="6" t="str">
        <f>'1. Information samples'!M54</f>
        <v>Tree</v>
      </c>
      <c r="N54" s="30">
        <f>'4.0 Result Q-raw data'!O97</f>
        <v>94.615814255723279</v>
      </c>
      <c r="O54" s="30">
        <f>'4.0 Result Q-raw data'!Q97</f>
        <v>7.4606405618161311</v>
      </c>
      <c r="P54" s="30">
        <f>'4.0 Result Q-raw data'!S97</f>
        <v>92.539359438183865</v>
      </c>
      <c r="Q54" s="30">
        <f>'4.0 Result Q-raw data'!T97</f>
        <v>31.000656289562979</v>
      </c>
      <c r="R54" s="30">
        <f>'4.0 Result Q-raw data'!U97</f>
        <v>31.000656289562979</v>
      </c>
      <c r="S54" s="30">
        <f>'4.0 Result Q-raw data'!V97</f>
        <v>49.040359793723461</v>
      </c>
    </row>
    <row r="55" spans="2:19" x14ac:dyDescent="0.35">
      <c r="B55" s="6">
        <f>'1. Information samples'!B55</f>
        <v>45</v>
      </c>
      <c r="C55" s="7">
        <f>'1. Information samples'!C55</f>
        <v>46048</v>
      </c>
      <c r="D55" s="6" t="str">
        <f>'1. Information samples'!D55</f>
        <v>Genbank</v>
      </c>
      <c r="E55" s="6">
        <f>'1. Information samples'!E55</f>
        <v>28</v>
      </c>
      <c r="F55" s="6" t="str">
        <f>'1. Information samples'!F55</f>
        <v>F251769</v>
      </c>
      <c r="G55" s="6" t="str">
        <f>'1. Information samples'!G55</f>
        <v>CIAT-21810</v>
      </c>
      <c r="H55" s="6" t="str">
        <f>'1. Information samples'!H55</f>
        <v>Acacia</v>
      </c>
      <c r="I55" s="6" t="str">
        <f>'1. Information samples'!I55</f>
        <v>angustissima</v>
      </c>
      <c r="J55" s="6" t="str">
        <f>'1. Information samples'!J55</f>
        <v>Acacia angustissima</v>
      </c>
      <c r="K55" s="6" t="str">
        <f>'1. Information samples'!K55</f>
        <v>Fabaceae</v>
      </c>
      <c r="L55" s="6" t="str">
        <f>'1. Information samples'!L55</f>
        <v>Fabales</v>
      </c>
      <c r="M55" s="6" t="str">
        <f>'1. Information samples'!M55</f>
        <v>Tree</v>
      </c>
      <c r="N55" s="20">
        <f>'4.0 Result Q-raw data'!O99</f>
        <v>94.786813043660658</v>
      </c>
      <c r="O55" s="20">
        <f>'4.0 Result Q-raw data'!Q99</f>
        <v>5.3891593996761422</v>
      </c>
      <c r="P55" s="20">
        <f>'4.0 Result Q-raw data'!S99</f>
        <v>94.610840600323854</v>
      </c>
      <c r="Q55" s="20">
        <f>'4.0 Result Q-raw data'!T99</f>
        <v>31.663939854461496</v>
      </c>
      <c r="R55" s="20">
        <f>'4.0 Result Q-raw data'!U99</f>
        <v>31.663939854461496</v>
      </c>
      <c r="S55" s="20">
        <f>'4.0 Result Q-raw data'!V99</f>
        <v>40.173169657697386</v>
      </c>
    </row>
    <row r="56" spans="2:19" s="63" customFormat="1" x14ac:dyDescent="0.35">
      <c r="B56" s="6">
        <f>'1. Information samples'!B56</f>
        <v>46</v>
      </c>
      <c r="C56" s="7">
        <f>'1. Information samples'!C56</f>
        <v>46048</v>
      </c>
      <c r="D56" s="6" t="str">
        <f>'1. Information samples'!D56</f>
        <v>Genbank</v>
      </c>
      <c r="E56" s="6">
        <f>'1. Information samples'!E56</f>
        <v>28</v>
      </c>
      <c r="F56" s="6" t="str">
        <f>'1. Information samples'!F56</f>
        <v>F251770</v>
      </c>
      <c r="G56" s="6" t="str">
        <f>'1. Information samples'!G56</f>
        <v>CIAT-21888</v>
      </c>
      <c r="H56" s="6" t="str">
        <f>'1. Information samples'!H56</f>
        <v>Leucaena</v>
      </c>
      <c r="I56" s="6" t="str">
        <f>'1. Information samples'!I56</f>
        <v>leucocephala</v>
      </c>
      <c r="J56" s="6" t="str">
        <f>'1. Information samples'!J56</f>
        <v>Leucaena leucocephala</v>
      </c>
      <c r="K56" s="6" t="str">
        <f>'1. Information samples'!K56</f>
        <v>Fabaceae</v>
      </c>
      <c r="L56" s="6" t="str">
        <f>'1. Information samples'!L56</f>
        <v>Fabales</v>
      </c>
      <c r="M56" s="6" t="str">
        <f>'1. Information samples'!M56</f>
        <v>Tree</v>
      </c>
      <c r="N56" s="20">
        <f>'4.0 Result Q-raw data'!O101</f>
        <v>93.707200714635661</v>
      </c>
      <c r="O56" s="20">
        <f>'4.0 Result Q-raw data'!Q101</f>
        <v>9.1369708064726893</v>
      </c>
      <c r="P56" s="20">
        <f>'4.0 Result Q-raw data'!S101</f>
        <v>90.863029193527311</v>
      </c>
      <c r="Q56" s="20">
        <f>'4.0 Result Q-raw data'!T101</f>
        <v>29.904588346217004</v>
      </c>
      <c r="R56" s="20">
        <f>'4.0 Result Q-raw data'!U101</f>
        <v>29.904588346217004</v>
      </c>
      <c r="S56" s="20">
        <f>'4.0 Result Q-raw data'!V101</f>
        <v>31.166699589735593</v>
      </c>
    </row>
    <row r="57" spans="2:19" s="63" customFormat="1" x14ac:dyDescent="0.35">
      <c r="B57" s="6">
        <f>'1. Information samples'!B57</f>
        <v>47</v>
      </c>
      <c r="C57" s="7">
        <f>'1. Information samples'!C57</f>
        <v>46048</v>
      </c>
      <c r="D57" s="6" t="str">
        <f>'1. Information samples'!D57</f>
        <v>Genbank</v>
      </c>
      <c r="E57" s="6">
        <f>'1. Information samples'!E57</f>
        <v>28</v>
      </c>
      <c r="F57" s="6" t="str">
        <f>'1. Information samples'!F57</f>
        <v>F251771</v>
      </c>
      <c r="G57" s="6" t="str">
        <f>'1. Information samples'!G57</f>
        <v>CIAT-22310</v>
      </c>
      <c r="H57" s="6" t="str">
        <f>'1. Information samples'!H57</f>
        <v>Calliandra</v>
      </c>
      <c r="I57" s="6" t="str">
        <f>'1. Information samples'!I57</f>
        <v>calothyrsus</v>
      </c>
      <c r="J57" s="6" t="str">
        <f>'1. Information samples'!J57</f>
        <v>Calliandra calothyrsus</v>
      </c>
      <c r="K57" s="6" t="str">
        <f>'1. Information samples'!K57</f>
        <v>Fabaceae</v>
      </c>
      <c r="L57" s="6" t="str">
        <f>'1. Information samples'!L57</f>
        <v>Fabales</v>
      </c>
      <c r="M57" s="6" t="str">
        <f>'1. Information samples'!M57</f>
        <v>Tree</v>
      </c>
      <c r="N57" s="20">
        <f>'4.0 Result Q-raw data'!O103</f>
        <v>94.860509898020354</v>
      </c>
      <c r="O57" s="20">
        <f>'4.0 Result Q-raw data'!Q103</f>
        <v>5.7130750355487638</v>
      </c>
      <c r="P57" s="20">
        <f>'4.0 Result Q-raw data'!S103</f>
        <v>94.286924964451231</v>
      </c>
      <c r="Q57" s="20">
        <f>'4.0 Result Q-raw data'!T103</f>
        <v>21.754706236142574</v>
      </c>
      <c r="R57" s="20">
        <f>'4.0 Result Q-raw data'!U103</f>
        <v>21.754706236142574</v>
      </c>
      <c r="S57" s="20">
        <f>'4.0 Result Q-raw data'!V103</f>
        <v>52.180364738496685</v>
      </c>
    </row>
    <row r="58" spans="2:19" s="63" customFormat="1" x14ac:dyDescent="0.35">
      <c r="B58" s="6">
        <f>'1. Information samples'!B58</f>
        <v>48</v>
      </c>
      <c r="C58" s="7">
        <f>'1. Information samples'!C58</f>
        <v>46048</v>
      </c>
      <c r="D58" s="6" t="str">
        <f>'1. Information samples'!D58</f>
        <v>Genbank</v>
      </c>
      <c r="E58" s="6">
        <f>'1. Information samples'!E58</f>
        <v>28</v>
      </c>
      <c r="F58" s="6" t="str">
        <f>'1. Information samples'!F58</f>
        <v>F251772</v>
      </c>
      <c r="G58" s="6" t="str">
        <f>'1. Information samples'!G58</f>
        <v>CIAT-22311</v>
      </c>
      <c r="H58" s="6" t="str">
        <f>'1. Information samples'!H58</f>
        <v>Calliandra</v>
      </c>
      <c r="I58" s="6" t="str">
        <f>'1. Information samples'!I58</f>
        <v>calothyrsus</v>
      </c>
      <c r="J58" s="6" t="str">
        <f>'1. Information samples'!J58</f>
        <v>Calliandra calothyrsus</v>
      </c>
      <c r="K58" s="6" t="str">
        <f>'1. Information samples'!K58</f>
        <v>Fabaceae</v>
      </c>
      <c r="L58" s="6" t="str">
        <f>'1. Information samples'!L58</f>
        <v>Fabales</v>
      </c>
      <c r="M58" s="6" t="str">
        <f>'1. Information samples'!M58</f>
        <v>Tree</v>
      </c>
      <c r="N58" s="20">
        <f>'4.0 Result Q-raw data'!O105</f>
        <v>93.877161354422213</v>
      </c>
      <c r="O58" s="20">
        <f>'4.0 Result Q-raw data'!Q105</f>
        <v>6.953483787664565</v>
      </c>
      <c r="P58" s="20">
        <f>'4.0 Result Q-raw data'!S105</f>
        <v>93.046516212335433</v>
      </c>
      <c r="Q58" s="20">
        <f>'4.0 Result Q-raw data'!T105</f>
        <v>21.513621593833555</v>
      </c>
      <c r="R58" s="20">
        <f>'4.0 Result Q-raw data'!U105</f>
        <v>21.513621593833555</v>
      </c>
      <c r="S58" s="20">
        <f>'4.0 Result Q-raw data'!V105</f>
        <v>48.23549136249526</v>
      </c>
    </row>
    <row r="59" spans="2:19" s="63" customFormat="1" x14ac:dyDescent="0.35">
      <c r="B59" s="6">
        <f>'1. Information samples'!B59</f>
        <v>49</v>
      </c>
      <c r="C59" s="7">
        <f>'1. Information samples'!C59</f>
        <v>46048</v>
      </c>
      <c r="D59" s="6" t="str">
        <f>'1. Information samples'!D59</f>
        <v>Genbank</v>
      </c>
      <c r="E59" s="6">
        <f>'1. Information samples'!E59</f>
        <v>28</v>
      </c>
      <c r="F59" s="6" t="str">
        <f>'1. Information samples'!F59</f>
        <v>F251773</v>
      </c>
      <c r="G59" s="6" t="str">
        <f>'1. Information samples'!G59</f>
        <v>CIAT-22316</v>
      </c>
      <c r="H59" s="6" t="str">
        <f>'1. Information samples'!H59</f>
        <v>Calliandra</v>
      </c>
      <c r="I59" s="6" t="str">
        <f>'1. Information samples'!I59</f>
        <v>calothyrsus</v>
      </c>
      <c r="J59" s="6" t="str">
        <f>'1. Information samples'!J59</f>
        <v>Calliandra calothyrsus</v>
      </c>
      <c r="K59" s="6" t="str">
        <f>'1. Information samples'!K59</f>
        <v>Fabaceae</v>
      </c>
      <c r="L59" s="6" t="str">
        <f>'1. Information samples'!L59</f>
        <v>Fabales</v>
      </c>
      <c r="M59" s="6" t="str">
        <f>'1. Information samples'!M59</f>
        <v>Tree</v>
      </c>
      <c r="N59" s="20">
        <f>'4.0 Result Q-raw data'!O107</f>
        <v>95.515899274813165</v>
      </c>
      <c r="O59" s="20">
        <f>'4.0 Result Q-raw data'!Q107</f>
        <v>8.6460479090756266</v>
      </c>
      <c r="P59" s="20">
        <f>'4.0 Result Q-raw data'!S107</f>
        <v>91.353952090924366</v>
      </c>
      <c r="Q59" s="20">
        <f>'4.0 Result Q-raw data'!T107</f>
        <v>20.815955680729736</v>
      </c>
      <c r="R59" s="20">
        <f>'4.0 Result Q-raw data'!U107</f>
        <v>20.815955680729736</v>
      </c>
      <c r="S59" s="20">
        <f>'4.0 Result Q-raw data'!V107</f>
        <v>43.605486669064007</v>
      </c>
    </row>
    <row r="60" spans="2:19" s="63" customFormat="1" x14ac:dyDescent="0.35">
      <c r="B60" s="6">
        <f>'1. Information samples'!B60</f>
        <v>50</v>
      </c>
      <c r="C60" s="7">
        <f>'1. Information samples'!C60</f>
        <v>46048</v>
      </c>
      <c r="D60" s="6" t="str">
        <f>'1. Information samples'!D60</f>
        <v>Genbank</v>
      </c>
      <c r="E60" s="6">
        <f>'1. Information samples'!E60</f>
        <v>28</v>
      </c>
      <c r="F60" s="6" t="str">
        <f>'1. Information samples'!F60</f>
        <v>F251774</v>
      </c>
      <c r="G60" s="6" t="str">
        <f>'1. Information samples'!G60</f>
        <v>CIAT-23239</v>
      </c>
      <c r="H60" s="6" t="str">
        <f>'1. Information samples'!H60</f>
        <v>Dendrolobium</v>
      </c>
      <c r="I60" s="6" t="str">
        <f>'1. Information samples'!I60</f>
        <v>triangulare</v>
      </c>
      <c r="J60" s="6" t="str">
        <f>'1. Information samples'!J60</f>
        <v>Dendrolobium triangulare</v>
      </c>
      <c r="K60" s="6" t="str">
        <f>'1. Information samples'!K60</f>
        <v>Fabaceae</v>
      </c>
      <c r="L60" s="6" t="str">
        <f>'1. Information samples'!L60</f>
        <v>Fabales</v>
      </c>
      <c r="M60" s="6" t="str">
        <f>'1. Information samples'!M60</f>
        <v>Tree</v>
      </c>
      <c r="N60" s="20">
        <f>'4.0 Result Q-raw data'!O109</f>
        <v>95.855828293007932</v>
      </c>
      <c r="O60" s="20">
        <f>'4.0 Result Q-raw data'!Q109</f>
        <v>7.5515015518643622</v>
      </c>
      <c r="P60" s="20">
        <f>'4.0 Result Q-raw data'!S109</f>
        <v>92.448498448135638</v>
      </c>
      <c r="Q60" s="20">
        <f>'4.0 Result Q-raw data'!T109</f>
        <v>20.355371333791691</v>
      </c>
      <c r="R60" s="20">
        <f>'4.0 Result Q-raw data'!U109</f>
        <v>20.355371333791691</v>
      </c>
      <c r="S60" s="20">
        <f>'4.0 Result Q-raw data'!V109</f>
        <v>53.215456991873658</v>
      </c>
    </row>
    <row r="61" spans="2:19" s="63" customFormat="1" x14ac:dyDescent="0.35">
      <c r="B61" s="6">
        <f>'1. Information samples'!B61</f>
        <v>51</v>
      </c>
      <c r="C61" s="7">
        <f>'1. Information samples'!C61</f>
        <v>46048</v>
      </c>
      <c r="D61" s="6" t="str">
        <f>'1. Information samples'!D61</f>
        <v>Genbank</v>
      </c>
      <c r="E61" s="6">
        <f>'1. Information samples'!E61</f>
        <v>28</v>
      </c>
      <c r="F61" s="6" t="str">
        <f>'1. Information samples'!F61</f>
        <v>F251775</v>
      </c>
      <c r="G61" s="6" t="str">
        <f>'1. Information samples'!G61</f>
        <v>CIAT-33116</v>
      </c>
      <c r="H61" s="6" t="str">
        <f>'1. Information samples'!H61</f>
        <v>Dendrolobium</v>
      </c>
      <c r="I61" s="6" t="str">
        <f>'1. Information samples'!I61</f>
        <v>triangulare</v>
      </c>
      <c r="J61" s="6" t="str">
        <f>'1. Information samples'!J61</f>
        <v>Dendrolobium triangulare</v>
      </c>
      <c r="K61" s="6" t="str">
        <f>'1. Information samples'!K61</f>
        <v>Fabaceae</v>
      </c>
      <c r="L61" s="6" t="str">
        <f>'1. Information samples'!L61</f>
        <v>Fabales</v>
      </c>
      <c r="M61" s="6" t="str">
        <f>'1. Information samples'!M61</f>
        <v>Tree</v>
      </c>
      <c r="N61" s="20">
        <f>'4.0 Result Q-raw data'!O111</f>
        <v>95.631092715776646</v>
      </c>
      <c r="O61" s="20">
        <f>'4.0 Result Q-raw data'!Q111</f>
        <v>7.8824880892774889</v>
      </c>
      <c r="P61" s="20">
        <f>'4.0 Result Q-raw data'!S111</f>
        <v>92.117511910722513</v>
      </c>
      <c r="Q61" s="20">
        <f>'4.0 Result Q-raw data'!T111</f>
        <v>18.299339394295366</v>
      </c>
      <c r="R61" s="20">
        <f>'4.0 Result Q-raw data'!U111</f>
        <v>18.299339394295366</v>
      </c>
      <c r="S61" s="20">
        <f>'4.0 Result Q-raw data'!V111</f>
        <v>56.563412217914511</v>
      </c>
    </row>
    <row r="62" spans="2:19" s="63" customFormat="1" x14ac:dyDescent="0.35">
      <c r="B62" s="6">
        <f>'1. Information samples'!B62</f>
        <v>52</v>
      </c>
      <c r="C62" s="7">
        <f>'1. Information samples'!C62</f>
        <v>46048</v>
      </c>
      <c r="D62" s="6" t="str">
        <f>'1. Information samples'!D62</f>
        <v>Genbank</v>
      </c>
      <c r="E62" s="6">
        <f>'1. Information samples'!E62</f>
        <v>28</v>
      </c>
      <c r="F62" s="6" t="str">
        <f>'1. Information samples'!F62</f>
        <v>F252184</v>
      </c>
      <c r="G62" s="6" t="str">
        <f>'1. Information samples'!G62</f>
        <v>CIAT-BH22_0303</v>
      </c>
      <c r="H62" s="6" t="str">
        <f>'1. Information samples'!H62</f>
        <v>Urochloa</v>
      </c>
      <c r="I62" s="6" t="str">
        <f>'1. Information samples'!I62</f>
        <v>humidicola</v>
      </c>
      <c r="J62" s="6" t="str">
        <f>'1. Information samples'!J62</f>
        <v>Urochloa humidicola</v>
      </c>
      <c r="K62" s="6" t="str">
        <f>'1. Information samples'!K62</f>
        <v>Poaceae</v>
      </c>
      <c r="L62" s="6" t="str">
        <f>'1. Information samples'!L62</f>
        <v>Poales</v>
      </c>
      <c r="M62" s="6" t="str">
        <f>'1. Information samples'!M62</f>
        <v>grasses</v>
      </c>
      <c r="N62" s="20">
        <f>'4.0 Result Q-raw data'!O113</f>
        <v>94.841290164440437</v>
      </c>
      <c r="O62" s="20">
        <f>'4.0 Result Q-raw data'!Q113</f>
        <v>9.5082490656305918</v>
      </c>
      <c r="P62" s="20">
        <f>'4.0 Result Q-raw data'!S113</f>
        <v>90.491750934369406</v>
      </c>
      <c r="Q62" s="20">
        <f>'4.0 Result Q-raw data'!T113</f>
        <v>8.0229961856412029</v>
      </c>
      <c r="R62" s="20">
        <f>'4.0 Result Q-raw data'!U113</f>
        <v>8.0243727363164616</v>
      </c>
      <c r="S62" s="20">
        <f>'4.0 Result Q-raw data'!V113</f>
        <v>32.561605963080488</v>
      </c>
    </row>
    <row r="63" spans="2:19" s="63" customFormat="1" x14ac:dyDescent="0.35">
      <c r="B63" s="6">
        <f>'1. Information samples'!B63</f>
        <v>53</v>
      </c>
      <c r="C63" s="7">
        <f>'1. Information samples'!C63</f>
        <v>46048</v>
      </c>
      <c r="D63" s="6" t="str">
        <f>'1. Information samples'!D63</f>
        <v>Genbank</v>
      </c>
      <c r="E63" s="6">
        <f>'1. Information samples'!E63</f>
        <v>28</v>
      </c>
      <c r="F63" s="6" t="str">
        <f>'1. Information samples'!F63</f>
        <v>F252185</v>
      </c>
      <c r="G63" s="6" t="str">
        <f>'1. Information samples'!G63</f>
        <v>CIAT-BH22_1594</v>
      </c>
      <c r="H63" s="6" t="str">
        <f>'1. Information samples'!H63</f>
        <v>Urochloa</v>
      </c>
      <c r="I63" s="6" t="str">
        <f>'1. Information samples'!I63</f>
        <v>humidicola</v>
      </c>
      <c r="J63" s="6" t="str">
        <f>'1. Information samples'!J63</f>
        <v>Urochloa humidicola</v>
      </c>
      <c r="K63" s="6" t="str">
        <f>'1. Information samples'!K63</f>
        <v>Poaceae</v>
      </c>
      <c r="L63" s="6" t="str">
        <f>'1. Information samples'!L63</f>
        <v>Poales</v>
      </c>
      <c r="M63" s="6" t="str">
        <f>'1. Information samples'!M63</f>
        <v>grasses</v>
      </c>
      <c r="N63" s="20">
        <f>'4.0 Result Q-raw data'!O115</f>
        <v>95.075959616153568</v>
      </c>
      <c r="O63" s="20">
        <f>'4.0 Result Q-raw data'!Q115</f>
        <v>11.588442457308311</v>
      </c>
      <c r="P63" s="20">
        <f>'4.0 Result Q-raw data'!S115</f>
        <v>88.411557542691696</v>
      </c>
      <c r="Q63" s="20">
        <f>'4.0 Result Q-raw data'!T115</f>
        <v>8.0474660562403315</v>
      </c>
      <c r="R63" s="20">
        <f>'4.0 Result Q-raw data'!U115</f>
        <v>7.956214446940522</v>
      </c>
      <c r="S63" s="20">
        <f>'4.0 Result Q-raw data'!V115</f>
        <v>34.124477797431481</v>
      </c>
    </row>
    <row r="64" spans="2:19" s="63" customFormat="1" x14ac:dyDescent="0.35">
      <c r="B64" s="6">
        <f>'1. Information samples'!B64</f>
        <v>54</v>
      </c>
      <c r="C64" s="7">
        <f>'1. Information samples'!C64</f>
        <v>46048</v>
      </c>
      <c r="D64" s="6" t="str">
        <f>'1. Information samples'!D64</f>
        <v>Genbank</v>
      </c>
      <c r="E64" s="6">
        <f>'1. Information samples'!E64</f>
        <v>28</v>
      </c>
      <c r="F64" s="6" t="str">
        <f>'1. Information samples'!F64</f>
        <v>F252186</v>
      </c>
      <c r="G64" s="6" t="str">
        <f>'1. Information samples'!G64</f>
        <v>CIAT-BH22_0468</v>
      </c>
      <c r="H64" s="6" t="str">
        <f>'1. Information samples'!H64</f>
        <v>Urochloa</v>
      </c>
      <c r="I64" s="6" t="str">
        <f>'1. Information samples'!I64</f>
        <v>humidicola</v>
      </c>
      <c r="J64" s="6" t="str">
        <f>'1. Information samples'!J64</f>
        <v>Urochloa humidicola</v>
      </c>
      <c r="K64" s="6" t="str">
        <f>'1. Information samples'!K64</f>
        <v>Poaceae</v>
      </c>
      <c r="L64" s="6" t="str">
        <f>'1. Information samples'!L64</f>
        <v>Poales</v>
      </c>
      <c r="M64" s="6" t="str">
        <f>'1. Information samples'!M64</f>
        <v>grasses</v>
      </c>
      <c r="N64" s="20">
        <f>'4.0 Result Q-raw data'!O117</f>
        <v>96.020599399768003</v>
      </c>
      <c r="O64" s="20">
        <f>'4.0 Result Q-raw data'!Q117</f>
        <v>10.673190774237739</v>
      </c>
      <c r="P64" s="20">
        <f>'4.0 Result Q-raw data'!S117</f>
        <v>89.326809225762261</v>
      </c>
      <c r="Q64" s="20">
        <f>'4.0 Result Q-raw data'!T117</f>
        <v>9.5768284222095428</v>
      </c>
      <c r="R64" s="20">
        <f>'4.0 Result Q-raw data'!U117</f>
        <v>9.5938843043388999</v>
      </c>
      <c r="S64" s="20">
        <f>'4.0 Result Q-raw data'!V117</f>
        <v>33.959598757120148</v>
      </c>
    </row>
    <row r="65" spans="2:19" s="63" customFormat="1" x14ac:dyDescent="0.35">
      <c r="B65" s="6">
        <f>'1. Information samples'!B65</f>
        <v>55</v>
      </c>
      <c r="C65" s="7">
        <f>'1. Information samples'!C65</f>
        <v>46048</v>
      </c>
      <c r="D65" s="6" t="str">
        <f>'1. Information samples'!D65</f>
        <v>Genbank</v>
      </c>
      <c r="E65" s="6">
        <f>'1. Information samples'!E65</f>
        <v>28</v>
      </c>
      <c r="F65" s="6" t="str">
        <f>'1. Information samples'!F65</f>
        <v>F252187</v>
      </c>
      <c r="G65" s="6" t="str">
        <f>'1. Information samples'!G65</f>
        <v>CIAT-BH22_3830</v>
      </c>
      <c r="H65" s="6" t="str">
        <f>'1. Information samples'!H65</f>
        <v>Urochloa</v>
      </c>
      <c r="I65" s="6" t="str">
        <f>'1. Information samples'!I65</f>
        <v>humidicola</v>
      </c>
      <c r="J65" s="6" t="str">
        <f>'1. Information samples'!J65</f>
        <v>Urochloa humidicola</v>
      </c>
      <c r="K65" s="6" t="str">
        <f>'1. Information samples'!K65</f>
        <v>Poaceae</v>
      </c>
      <c r="L65" s="6" t="str">
        <f>'1. Information samples'!L65</f>
        <v>Poales</v>
      </c>
      <c r="M65" s="6" t="str">
        <f>'1. Information samples'!M65</f>
        <v>grasses</v>
      </c>
      <c r="N65" s="20">
        <f>'4.0 Result Q-raw data'!O119</f>
        <v>95.960403959604008</v>
      </c>
      <c r="O65" s="20">
        <f>'4.0 Result Q-raw data'!Q119</f>
        <v>10.190684588934079</v>
      </c>
      <c r="P65" s="20">
        <f>'4.0 Result Q-raw data'!S119</f>
        <v>89.809315411065924</v>
      </c>
      <c r="Q65" s="20">
        <f>'4.0 Result Q-raw data'!T119</f>
        <v>8.1087803447301283</v>
      </c>
      <c r="R65" s="20">
        <f>'4.0 Result Q-raw data'!U119</f>
        <v>8.0395675459505505</v>
      </c>
      <c r="S65" s="20">
        <f>'4.0 Result Q-raw data'!V119</f>
        <v>32.617685081512136</v>
      </c>
    </row>
    <row r="66" spans="2:19" s="63" customFormat="1" x14ac:dyDescent="0.35">
      <c r="B66" s="6">
        <f>'1. Information samples'!B66</f>
        <v>56</v>
      </c>
      <c r="C66" s="7">
        <f>'1. Information samples'!C66</f>
        <v>46048</v>
      </c>
      <c r="D66" s="6" t="str">
        <f>'1. Information samples'!D66</f>
        <v>Genbank</v>
      </c>
      <c r="E66" s="6">
        <f>'1. Information samples'!E66</f>
        <v>28</v>
      </c>
      <c r="F66" s="6" t="str">
        <f>'1. Information samples'!F66</f>
        <v>F252188</v>
      </c>
      <c r="G66" s="6" t="str">
        <f>'1. Information samples'!G66</f>
        <v>CIAT-BH22_1710</v>
      </c>
      <c r="H66" s="6" t="str">
        <f>'1. Information samples'!H66</f>
        <v>Urochloa</v>
      </c>
      <c r="I66" s="6" t="str">
        <f>'1. Information samples'!I66</f>
        <v>humidicola</v>
      </c>
      <c r="J66" s="6" t="str">
        <f>'1. Information samples'!J66</f>
        <v>Urochloa humidicola</v>
      </c>
      <c r="K66" s="6" t="str">
        <f>'1. Information samples'!K66</f>
        <v>Poaceae</v>
      </c>
      <c r="L66" s="6" t="str">
        <f>'1. Information samples'!L66</f>
        <v>Poales</v>
      </c>
      <c r="M66" s="6" t="str">
        <f>'1. Information samples'!M66</f>
        <v>grasses</v>
      </c>
      <c r="N66" s="20">
        <f>'4.0 Result Q-raw data'!O121</f>
        <v>97.27027297270277</v>
      </c>
      <c r="O66" s="20">
        <f>'4.0 Result Q-raw data'!Q121</f>
        <v>9.9403782894737045</v>
      </c>
      <c r="P66" s="20">
        <f>'4.0 Result Q-raw data'!S121</f>
        <v>90.059621710526301</v>
      </c>
      <c r="Q66" s="20">
        <f>'4.0 Result Q-raw data'!T121</f>
        <v>7.6003872158442771</v>
      </c>
      <c r="R66" s="20">
        <f>'4.0 Result Q-raw data'!U121</f>
        <v>7.5583491812288406</v>
      </c>
      <c r="S66" s="20">
        <f>'4.0 Result Q-raw data'!V121</f>
        <v>34.968255876968591</v>
      </c>
    </row>
    <row r="67" spans="2:19" s="63" customFormat="1" x14ac:dyDescent="0.35">
      <c r="B67" s="6">
        <f>'1. Information samples'!B67</f>
        <v>57</v>
      </c>
      <c r="C67" s="7">
        <f>'1. Information samples'!C67</f>
        <v>46048</v>
      </c>
      <c r="D67" s="6" t="str">
        <f>'1. Information samples'!D67</f>
        <v>Genbank</v>
      </c>
      <c r="E67" s="6">
        <f>'1. Information samples'!E67</f>
        <v>28</v>
      </c>
      <c r="F67" s="6" t="str">
        <f>'1. Information samples'!F67</f>
        <v>F252189</v>
      </c>
      <c r="G67" s="6" t="str">
        <f>'1. Information samples'!G67</f>
        <v>CIAT-BH22_2365</v>
      </c>
      <c r="H67" s="6" t="str">
        <f>'1. Information samples'!H67</f>
        <v>Urochloa</v>
      </c>
      <c r="I67" s="6" t="str">
        <f>'1. Information samples'!I67</f>
        <v>humidicola</v>
      </c>
      <c r="J67" s="6" t="str">
        <f>'1. Information samples'!J67</f>
        <v>Urochloa humidicola</v>
      </c>
      <c r="K67" s="6" t="str">
        <f>'1. Information samples'!K67</f>
        <v>Poaceae</v>
      </c>
      <c r="L67" s="6" t="str">
        <f>'1. Information samples'!L67</f>
        <v>Poales</v>
      </c>
      <c r="M67" s="6" t="str">
        <f>'1. Information samples'!M67</f>
        <v>grasses</v>
      </c>
      <c r="N67" s="20">
        <f>'4.0 Result Q-raw data'!O123</f>
        <v>97.099999999999966</v>
      </c>
      <c r="O67" s="20">
        <f>'4.0 Result Q-raw data'!Q123</f>
        <v>12.342945417095738</v>
      </c>
      <c r="P67" s="20">
        <f>'4.0 Result Q-raw data'!S123</f>
        <v>87.657054582904266</v>
      </c>
      <c r="Q67" s="20">
        <f>'4.0 Result Q-raw data'!T123</f>
        <v>10.017195066781124</v>
      </c>
      <c r="R67" s="20">
        <f>'4.0 Result Q-raw data'!U123</f>
        <v>9.9837827915039128</v>
      </c>
      <c r="S67" s="20">
        <f>'4.0 Result Q-raw data'!V123</f>
        <v>31.845743086172039</v>
      </c>
    </row>
    <row r="68" spans="2:19" s="63" customFormat="1" x14ac:dyDescent="0.35">
      <c r="B68" s="6">
        <f>'1. Information samples'!B68</f>
        <v>58</v>
      </c>
      <c r="C68" s="7">
        <f>'1. Information samples'!C68</f>
        <v>46048</v>
      </c>
      <c r="D68" s="6" t="str">
        <f>'1. Information samples'!D68</f>
        <v>Genbank</v>
      </c>
      <c r="E68" s="6">
        <f>'1. Information samples'!E68</f>
        <v>28</v>
      </c>
      <c r="F68" s="6" t="str">
        <f>'1. Information samples'!F68</f>
        <v>F252190</v>
      </c>
      <c r="G68" s="6" t="str">
        <f>'1. Information samples'!G68</f>
        <v>CIAT-BH22_3572</v>
      </c>
      <c r="H68" s="6" t="str">
        <f>'1. Information samples'!H68</f>
        <v>Urochloa</v>
      </c>
      <c r="I68" s="6" t="str">
        <f>'1. Information samples'!I68</f>
        <v>humidicola</v>
      </c>
      <c r="J68" s="6" t="str">
        <f>'1. Information samples'!J68</f>
        <v>Urochloa humidicola</v>
      </c>
      <c r="K68" s="6" t="str">
        <f>'1. Information samples'!K68</f>
        <v>Poaceae</v>
      </c>
      <c r="L68" s="6" t="str">
        <f>'1. Information samples'!L68</f>
        <v>Poales</v>
      </c>
      <c r="M68" s="6" t="str">
        <f>'1. Information samples'!M68</f>
        <v>grasses</v>
      </c>
      <c r="N68" s="20">
        <f>'4.0 Result Q-raw data'!O125</f>
        <v>96.500349965003466</v>
      </c>
      <c r="O68" s="20">
        <f>'4.0 Result Q-raw data'!Q125</f>
        <v>10.0404103201741</v>
      </c>
      <c r="P68" s="20">
        <f>'4.0 Result Q-raw data'!S125</f>
        <v>89.95958967982591</v>
      </c>
      <c r="Q68" s="20">
        <f>'4.0 Result Q-raw data'!T125</f>
        <v>7.9704717617286525</v>
      </c>
      <c r="R68" s="20">
        <f>'4.0 Result Q-raw data'!U125</f>
        <v>7.9759318357459463</v>
      </c>
      <c r="S68" s="20">
        <f>'4.0 Result Q-raw data'!V125</f>
        <v>33.064911661588695</v>
      </c>
    </row>
    <row r="69" spans="2:19" s="63" customFormat="1" x14ac:dyDescent="0.35">
      <c r="B69" s="6">
        <f>'1. Information samples'!B69</f>
        <v>59</v>
      </c>
      <c r="C69" s="7">
        <f>'1. Information samples'!C69</f>
        <v>46048</v>
      </c>
      <c r="D69" s="6" t="str">
        <f>'1. Information samples'!D69</f>
        <v>Genbank</v>
      </c>
      <c r="E69" s="6">
        <f>'1. Information samples'!E69</f>
        <v>28</v>
      </c>
      <c r="F69" s="6" t="str">
        <f>'1. Information samples'!F69</f>
        <v>F252191</v>
      </c>
      <c r="G69" s="6" t="str">
        <f>'1. Information samples'!G69</f>
        <v>CIAT-BH22_0517</v>
      </c>
      <c r="H69" s="6" t="str">
        <f>'1. Information samples'!H69</f>
        <v>Urochloa</v>
      </c>
      <c r="I69" s="6" t="str">
        <f>'1. Information samples'!I69</f>
        <v>humidicola</v>
      </c>
      <c r="J69" s="6" t="str">
        <f>'1. Information samples'!J69</f>
        <v>Urochloa humidicola</v>
      </c>
      <c r="K69" s="6" t="str">
        <f>'1. Information samples'!K69</f>
        <v>Poaceae</v>
      </c>
      <c r="L69" s="6" t="str">
        <f>'1. Information samples'!L69</f>
        <v>Poales</v>
      </c>
      <c r="M69" s="6" t="str">
        <f>'1. Information samples'!M69</f>
        <v>grasses</v>
      </c>
      <c r="N69" s="20">
        <f>'4.0 Result Q-raw data'!O127</f>
        <v>96.866719485884062</v>
      </c>
      <c r="O69" s="20">
        <f>'4.0 Result Q-raw data'!Q127</f>
        <v>10.26103525403385</v>
      </c>
      <c r="P69" s="20">
        <f>'4.0 Result Q-raw data'!S127</f>
        <v>89.738964745966143</v>
      </c>
      <c r="Q69" s="20">
        <f>'4.0 Result Q-raw data'!T127</f>
        <v>8.1673498535180489</v>
      </c>
      <c r="R69" s="20">
        <f>'4.0 Result Q-raw data'!U127</f>
        <v>8.2099390330563473</v>
      </c>
      <c r="S69" s="20">
        <f>'4.0 Result Q-raw data'!V127</f>
        <v>34.349403141707448</v>
      </c>
    </row>
    <row r="70" spans="2:19" s="63" customFormat="1" x14ac:dyDescent="0.35">
      <c r="B70" s="6">
        <f>'1. Information samples'!B70</f>
        <v>60</v>
      </c>
      <c r="C70" s="7">
        <f>'1. Information samples'!C70</f>
        <v>46048</v>
      </c>
      <c r="D70" s="6" t="str">
        <f>'1. Information samples'!D70</f>
        <v>Genbank</v>
      </c>
      <c r="E70" s="6">
        <f>'1. Information samples'!E70</f>
        <v>28</v>
      </c>
      <c r="F70" s="6" t="str">
        <f>'1. Information samples'!F70</f>
        <v>F252192</v>
      </c>
      <c r="G70" s="6" t="str">
        <f>'1. Information samples'!G70</f>
        <v>CIAT-BH22_0519</v>
      </c>
      <c r="H70" s="6" t="str">
        <f>'1. Information samples'!H70</f>
        <v>Urochloa</v>
      </c>
      <c r="I70" s="6" t="str">
        <f>'1. Information samples'!I70</f>
        <v>humidicola</v>
      </c>
      <c r="J70" s="6" t="str">
        <f>'1. Information samples'!J70</f>
        <v>Urochloa humidicola</v>
      </c>
      <c r="K70" s="6" t="str">
        <f>'1. Information samples'!K70</f>
        <v>Poaceae</v>
      </c>
      <c r="L70" s="6" t="str">
        <f>'1. Information samples'!L70</f>
        <v>Poales</v>
      </c>
      <c r="M70" s="6" t="str">
        <f>'1. Information samples'!M70</f>
        <v>grasses</v>
      </c>
      <c r="N70" s="20">
        <f>'4.0 Result Q-raw data'!O129</f>
        <v>97.655355393381996</v>
      </c>
      <c r="O70" s="20">
        <f>'4.0 Result Q-raw data'!Q129</f>
        <v>11.144669891437953</v>
      </c>
      <c r="P70" s="20">
        <f>'4.0 Result Q-raw data'!S129</f>
        <v>88.855330108562043</v>
      </c>
      <c r="Q70" s="20">
        <f>'4.0 Result Q-raw data'!T129</f>
        <v>9.3832551098585064</v>
      </c>
      <c r="R70" s="20">
        <f>'4.0 Result Q-raw data'!U129</f>
        <v>9.3605866828112365</v>
      </c>
      <c r="S70" s="20">
        <f>'4.0 Result Q-raw data'!V129</f>
        <v>31.767286849225052</v>
      </c>
    </row>
    <row r="71" spans="2:19" s="63" customFormat="1" x14ac:dyDescent="0.35">
      <c r="B71" s="6">
        <f>'1. Information samples'!B71</f>
        <v>61</v>
      </c>
      <c r="C71" s="7">
        <f>'1. Information samples'!C71</f>
        <v>46048</v>
      </c>
      <c r="D71" s="6" t="str">
        <f>'1. Information samples'!D71</f>
        <v>Genbank</v>
      </c>
      <c r="E71" s="6">
        <f>'1. Information samples'!E71</f>
        <v>28</v>
      </c>
      <c r="F71" s="6" t="str">
        <f>'1. Information samples'!F71</f>
        <v>F252193</v>
      </c>
      <c r="G71" s="6" t="str">
        <f>'1. Information samples'!G71</f>
        <v>CIAT-BH22_0521</v>
      </c>
      <c r="H71" s="6" t="str">
        <f>'1. Information samples'!H71</f>
        <v>Urochloa</v>
      </c>
      <c r="I71" s="6" t="str">
        <f>'1. Information samples'!I71</f>
        <v>humidicola</v>
      </c>
      <c r="J71" s="6" t="str">
        <f>'1. Information samples'!J71</f>
        <v>Urochloa humidicola</v>
      </c>
      <c r="K71" s="6" t="str">
        <f>'1. Information samples'!K71</f>
        <v>Poaceae</v>
      </c>
      <c r="L71" s="6" t="str">
        <f>'1. Information samples'!L71</f>
        <v>Poales</v>
      </c>
      <c r="M71" s="6" t="str">
        <f>'1. Information samples'!M71</f>
        <v>grasses</v>
      </c>
      <c r="N71" s="20">
        <f>'4.0 Result Q-raw data'!O131</f>
        <v>96.526548731362993</v>
      </c>
      <c r="O71" s="20">
        <f>'4.0 Result Q-raw data'!Q131</f>
        <v>10.992035373132349</v>
      </c>
      <c r="P71" s="20">
        <f>'4.0 Result Q-raw data'!S131</f>
        <v>89.007964626867647</v>
      </c>
      <c r="Q71" s="20">
        <f>'4.0 Result Q-raw data'!T131</f>
        <v>9.0028106702587074</v>
      </c>
      <c r="R71" s="20">
        <f>'4.0 Result Q-raw data'!U131</f>
        <v>9.0289474871743671</v>
      </c>
      <c r="S71" s="20">
        <f>'4.0 Result Q-raw data'!V131</f>
        <v>31.578380546816643</v>
      </c>
    </row>
    <row r="72" spans="2:19" s="63" customFormat="1" x14ac:dyDescent="0.35">
      <c r="B72" s="6">
        <f>'1. Information samples'!B72</f>
        <v>62</v>
      </c>
      <c r="C72" s="7">
        <f>'1. Information samples'!C72</f>
        <v>46048</v>
      </c>
      <c r="D72" s="6" t="str">
        <f>'1. Information samples'!D72</f>
        <v>Genbank</v>
      </c>
      <c r="E72" s="6">
        <f>'1. Information samples'!E72</f>
        <v>28</v>
      </c>
      <c r="F72" s="6" t="str">
        <f>'1. Information samples'!F72</f>
        <v>F252574</v>
      </c>
      <c r="G72" s="6" t="str">
        <f>'1. Information samples'!G72</f>
        <v>CIAT326</v>
      </c>
      <c r="H72" s="6" t="str">
        <f>'1. Information samples'!H72</f>
        <v>Desmodium</v>
      </c>
      <c r="I72" s="6" t="str">
        <f>'1. Information samples'!I72</f>
        <v>scorpiurus</v>
      </c>
      <c r="J72" s="6" t="str">
        <f>'1. Information samples'!J72</f>
        <v>Desmodium scorpiurus</v>
      </c>
      <c r="K72" s="6" t="str">
        <f>'1. Information samples'!K72</f>
        <v>Fabaceae</v>
      </c>
      <c r="L72" s="6" t="str">
        <f>'1. Information samples'!L72</f>
        <v>Fabales</v>
      </c>
      <c r="M72" s="6" t="str">
        <f>'1. Information samples'!M72</f>
        <v>Herbaceous</v>
      </c>
      <c r="N72" s="20">
        <f>'4.0 Result Q-raw data'!O133</f>
        <v>93.55</v>
      </c>
      <c r="O72" s="20">
        <f>'4.0 Result Q-raw data'!Q133</f>
        <v>11.4</v>
      </c>
      <c r="P72" s="20">
        <f>'4.0 Result Q-raw data'!S133</f>
        <v>88.6</v>
      </c>
      <c r="Q72" s="20">
        <f>'4.0 Result Q-raw data'!T133</f>
        <v>28.60156824647801</v>
      </c>
      <c r="R72" s="20">
        <f>'4.0 Result Q-raw data'!U133</f>
        <v>28.623722525353291</v>
      </c>
      <c r="S72" s="20">
        <f>'4.0 Result Q-raw data'!V133</f>
        <v>39.488482725543101</v>
      </c>
    </row>
    <row r="73" spans="2:19" s="63" customFormat="1" x14ac:dyDescent="0.35">
      <c r="B73" s="6">
        <f>'1. Information samples'!B73</f>
        <v>63</v>
      </c>
      <c r="C73" s="7">
        <f>'1. Information samples'!C73</f>
        <v>46048</v>
      </c>
      <c r="D73" s="6" t="str">
        <f>'1. Information samples'!D73</f>
        <v>Jacobo Arango/Alejandro Montoya</v>
      </c>
      <c r="E73" s="6">
        <f>'1. Information samples'!E73</f>
        <v>28</v>
      </c>
      <c r="F73" s="6" t="str">
        <f>'1. Information samples'!F73</f>
        <v>F250008</v>
      </c>
      <c r="G73" s="6" t="str">
        <f>'1. Information samples'!G73</f>
        <v>Sample 8</v>
      </c>
      <c r="H73" s="6" t="str">
        <f>'1. Information samples'!H73</f>
        <v>Cynodon</v>
      </c>
      <c r="I73" s="6" t="str">
        <f>'1. Information samples'!I73</f>
        <v xml:space="preserve"> nlemfuensis </v>
      </c>
      <c r="J73" s="6" t="str">
        <f>'1. Information samples'!J73</f>
        <v xml:space="preserve">Cynodon nlemfuensis </v>
      </c>
      <c r="K73" s="6" t="str">
        <f>'1. Information samples'!K73</f>
        <v>Poaceae</v>
      </c>
      <c r="L73" s="6" t="str">
        <f>'1. Information samples'!L73</f>
        <v>Poales</v>
      </c>
      <c r="M73" s="6" t="str">
        <f>'1. Information samples'!M73</f>
        <v>grasses</v>
      </c>
      <c r="N73" s="20">
        <f>'4.0 Result Q-raw data'!O135</f>
        <v>93.55</v>
      </c>
      <c r="O73" s="20">
        <f>'4.0 Result Q-raw data'!Q135</f>
        <v>11.4</v>
      </c>
      <c r="P73" s="20">
        <f>'4.0 Result Q-raw data'!S135</f>
        <v>88.6</v>
      </c>
      <c r="Q73" s="20">
        <f>'4.0 Result Q-raw data'!T135</f>
        <v>0</v>
      </c>
      <c r="R73" s="20">
        <f>'4.0 Result Q-raw data'!U135</f>
        <v>0</v>
      </c>
      <c r="S73" s="20">
        <f>'4.0 Result Q-raw data'!V135</f>
        <v>0</v>
      </c>
    </row>
    <row r="74" spans="2:19" s="63" customFormat="1" x14ac:dyDescent="0.35">
      <c r="B74" s="6">
        <f>'1. Information samples'!B74</f>
        <v>64</v>
      </c>
      <c r="C74" s="7">
        <f>'1. Information samples'!C74</f>
        <v>46048</v>
      </c>
      <c r="D74" s="6" t="str">
        <f>'1. Information samples'!D74</f>
        <v>Genbank</v>
      </c>
      <c r="E74" s="6">
        <f>'1. Information samples'!E74</f>
        <v>28</v>
      </c>
      <c r="F74" s="6" t="str">
        <f>'1. Information samples'!F74</f>
        <v>F252575</v>
      </c>
      <c r="G74" s="6" t="str">
        <f>'1. Information samples'!G74</f>
        <v>CIAT415</v>
      </c>
      <c r="H74" s="6" t="str">
        <f>'1. Information samples'!H74</f>
        <v>Vigna</v>
      </c>
      <c r="I74" s="6" t="str">
        <f>'1. Information samples'!I74</f>
        <v>radiata</v>
      </c>
      <c r="J74" s="6" t="str">
        <f>'1. Information samples'!J74</f>
        <v>Vigna radiata</v>
      </c>
      <c r="K74" s="6" t="str">
        <f>'1. Information samples'!K74</f>
        <v>Fabaceae</v>
      </c>
      <c r="L74" s="6" t="str">
        <f>'1. Information samples'!L74</f>
        <v>Fabales</v>
      </c>
      <c r="M74" s="6" t="str">
        <f>'1. Information samples'!M74</f>
        <v>Herbaceous</v>
      </c>
      <c r="N74" s="20">
        <f>'4.0 Result Q-raw data'!O137</f>
        <v>91.428855744059177</v>
      </c>
      <c r="O74" s="20">
        <f>'4.0 Result Q-raw data'!Q137</f>
        <v>10.75762617368197</v>
      </c>
      <c r="P74" s="20">
        <f>'4.0 Result Q-raw data'!S137</f>
        <v>89.24237382631803</v>
      </c>
      <c r="Q74" s="20">
        <f>'4.0 Result Q-raw data'!T137</f>
        <v>26.957736093732475</v>
      </c>
      <c r="R74" s="20">
        <f>'4.0 Result Q-raw data'!U137</f>
        <v>26.957736093732475</v>
      </c>
      <c r="S74" s="20">
        <f>'4.0 Result Q-raw data'!V137</f>
        <v>25.378712784655448</v>
      </c>
    </row>
    <row r="75" spans="2:19" s="63" customFormat="1" x14ac:dyDescent="0.35">
      <c r="B75" s="6">
        <f>'1. Information samples'!B75</f>
        <v>65</v>
      </c>
      <c r="C75" s="7">
        <f>'1. Information samples'!C75</f>
        <v>46048</v>
      </c>
      <c r="D75" s="6" t="str">
        <f>'1. Information samples'!D75</f>
        <v>Genbank</v>
      </c>
      <c r="E75" s="6">
        <f>'1. Information samples'!E75</f>
        <v>28</v>
      </c>
      <c r="F75" s="6" t="str">
        <f>'1. Information samples'!F75</f>
        <v>F252576</v>
      </c>
      <c r="G75" s="6" t="str">
        <f>'1. Information samples'!G75</f>
        <v>CIAT416</v>
      </c>
      <c r="H75" s="6" t="str">
        <f>'1. Information samples'!H75</f>
        <v>Vigna</v>
      </c>
      <c r="I75" s="6" t="str">
        <f>'1. Information samples'!I75</f>
        <v>radiata</v>
      </c>
      <c r="J75" s="6" t="str">
        <f>'1. Information samples'!J75</f>
        <v>Vigna radiata</v>
      </c>
      <c r="K75" s="6" t="str">
        <f>'1. Information samples'!K75</f>
        <v>Fabaceae</v>
      </c>
      <c r="L75" s="6" t="str">
        <f>'1. Information samples'!L75</f>
        <v>Fabales</v>
      </c>
      <c r="M75" s="6" t="str">
        <f>'1. Information samples'!M75</f>
        <v>Herbaceous</v>
      </c>
      <c r="N75" s="20">
        <f>'4.0 Result Q-raw data'!O139</f>
        <v>91.083128201945883</v>
      </c>
      <c r="O75" s="20">
        <f>'4.0 Result Q-raw data'!Q139</f>
        <v>13.685998773265922</v>
      </c>
      <c r="P75" s="20">
        <f>'4.0 Result Q-raw data'!S139</f>
        <v>86.314001226734078</v>
      </c>
      <c r="Q75" s="20">
        <f>'4.0 Result Q-raw data'!T139</f>
        <v>26.837377821064617</v>
      </c>
      <c r="R75" s="20">
        <f>'4.0 Result Q-raw data'!U139</f>
        <v>26.837377821064617</v>
      </c>
      <c r="S75" s="20">
        <f>'4.0 Result Q-raw data'!V139</f>
        <v>24.613924161721449</v>
      </c>
    </row>
    <row r="76" spans="2:19" s="63" customFormat="1" x14ac:dyDescent="0.35">
      <c r="B76" s="6">
        <f>'1. Information samples'!B76</f>
        <v>66</v>
      </c>
      <c r="C76" s="7">
        <f>'1. Information samples'!C76</f>
        <v>46048</v>
      </c>
      <c r="D76" s="6" t="str">
        <f>'1. Information samples'!D76</f>
        <v>Genbank</v>
      </c>
      <c r="E76" s="6">
        <f>'1. Information samples'!E76</f>
        <v>28</v>
      </c>
      <c r="F76" s="6" t="str">
        <f>'1. Information samples'!F76</f>
        <v>F252577</v>
      </c>
      <c r="G76" s="6" t="str">
        <f>'1. Information samples'!G76</f>
        <v>CIAT517</v>
      </c>
      <c r="H76" s="6" t="str">
        <f>'1. Information samples'!H76</f>
        <v>Macroptilium</v>
      </c>
      <c r="I76" s="6" t="str">
        <f>'1. Information samples'!I76</f>
        <v>atropurpureum</v>
      </c>
      <c r="J76" s="6" t="str">
        <f>'1. Information samples'!J76</f>
        <v>Macroptilium atropurpureum</v>
      </c>
      <c r="K76" s="6" t="str">
        <f>'1. Information samples'!K76</f>
        <v>Fabaceae</v>
      </c>
      <c r="L76" s="6" t="str">
        <f>'1. Information samples'!L76</f>
        <v>Fabales</v>
      </c>
      <c r="M76" s="6" t="str">
        <f>'1. Information samples'!M76</f>
        <v>Herbaceous</v>
      </c>
      <c r="N76" s="20">
        <f>'4.0 Result Q-raw data'!O141</f>
        <v>92.997811590989883</v>
      </c>
      <c r="O76" s="20">
        <f>'4.0 Result Q-raw data'!Q141</f>
        <v>12.887604777369589</v>
      </c>
      <c r="P76" s="20">
        <f>'4.0 Result Q-raw data'!S141</f>
        <v>87.112395222630411</v>
      </c>
      <c r="Q76" s="20">
        <f>'4.0 Result Q-raw data'!T141</f>
        <v>23.684026559220481</v>
      </c>
      <c r="R76" s="20">
        <f>'4.0 Result Q-raw data'!U141</f>
        <v>23.684026559220481</v>
      </c>
      <c r="S76" s="20">
        <f>'4.0 Result Q-raw data'!V141</f>
        <v>26.727252261387918</v>
      </c>
    </row>
    <row r="77" spans="2:19" s="63" customFormat="1" x14ac:dyDescent="0.35">
      <c r="B77" s="6">
        <f>'1. Information samples'!B77</f>
        <v>67</v>
      </c>
      <c r="C77" s="7">
        <f>'1. Information samples'!C77</f>
        <v>46048</v>
      </c>
      <c r="D77" s="6" t="str">
        <f>'1. Information samples'!D77</f>
        <v>Genbank</v>
      </c>
      <c r="E77" s="6">
        <f>'1. Information samples'!E77</f>
        <v>28</v>
      </c>
      <c r="F77" s="6" t="str">
        <f>'1. Information samples'!F77</f>
        <v>F252578</v>
      </c>
      <c r="G77" s="6" t="str">
        <f>'1. Information samples'!G77</f>
        <v>CIAT563</v>
      </c>
      <c r="H77" s="6" t="str">
        <f>'1. Information samples'!H77</f>
        <v>Macroptilium</v>
      </c>
      <c r="I77" s="6" t="str">
        <f>'1. Information samples'!I77</f>
        <v>bracteatum</v>
      </c>
      <c r="J77" s="6" t="str">
        <f>'1. Information samples'!J77</f>
        <v>Macroptilium bracteatum</v>
      </c>
      <c r="K77" s="6" t="str">
        <f>'1. Information samples'!K77</f>
        <v>Fabaceae</v>
      </c>
      <c r="L77" s="6" t="str">
        <f>'1. Information samples'!L77</f>
        <v>Fabales</v>
      </c>
      <c r="M77" s="6" t="str">
        <f>'1. Information samples'!M77</f>
        <v>Herbaceous</v>
      </c>
      <c r="N77" s="20">
        <f>'4.0 Result Q-raw data'!O143</f>
        <v>88.84780354431571</v>
      </c>
      <c r="O77" s="20">
        <f>'4.0 Result Q-raw data'!Q143</f>
        <v>8.4449292312171735</v>
      </c>
      <c r="P77" s="20">
        <f>'4.0 Result Q-raw data'!S143</f>
        <v>91.555070768782826</v>
      </c>
      <c r="Q77" s="20">
        <f>'4.0 Result Q-raw data'!T143</f>
        <v>21.857304649704218</v>
      </c>
      <c r="R77" s="20">
        <f>'4.0 Result Q-raw data'!U143</f>
        <v>21.857304649704218</v>
      </c>
      <c r="S77" s="20">
        <f>'4.0 Result Q-raw data'!V143</f>
        <v>29.990838788280033</v>
      </c>
    </row>
    <row r="78" spans="2:19" s="63" customFormat="1" x14ac:dyDescent="0.35">
      <c r="B78" s="6">
        <f>'1. Information samples'!B78</f>
        <v>68</v>
      </c>
      <c r="C78" s="7">
        <f>'1. Information samples'!C78</f>
        <v>46048</v>
      </c>
      <c r="D78" s="6" t="str">
        <f>'1. Information samples'!D78</f>
        <v>Genbank</v>
      </c>
      <c r="E78" s="6">
        <f>'1. Information samples'!E78</f>
        <v>28</v>
      </c>
      <c r="F78" s="6" t="str">
        <f>'1. Information samples'!F78</f>
        <v>F252579</v>
      </c>
      <c r="G78" s="6" t="str">
        <f>'1. Information samples'!G78</f>
        <v>CIAT789</v>
      </c>
      <c r="H78" s="6" t="str">
        <f>'1. Information samples'!H78</f>
        <v>Zornia</v>
      </c>
      <c r="I78" s="6" t="str">
        <f>'1. Information samples'!I78</f>
        <v>latifolia</v>
      </c>
      <c r="J78" s="6" t="str">
        <f>'1. Information samples'!J78</f>
        <v>Zornia latifolia</v>
      </c>
      <c r="K78" s="6" t="str">
        <f>'1. Information samples'!K78</f>
        <v>Fabaceae</v>
      </c>
      <c r="L78" s="6" t="str">
        <f>'1. Information samples'!L78</f>
        <v>Fabales</v>
      </c>
      <c r="M78" s="6" t="str">
        <f>'1. Information samples'!M78</f>
        <v>Herbaceous</v>
      </c>
      <c r="N78" s="20">
        <f>'4.0 Result Q-raw data'!O145</f>
        <v>91.972812334084935</v>
      </c>
      <c r="O78" s="20">
        <f>'4.0 Result Q-raw data'!Q145</f>
        <v>9.3310251362757555</v>
      </c>
      <c r="P78" s="20">
        <f>'4.0 Result Q-raw data'!S145</f>
        <v>90.668974863724245</v>
      </c>
      <c r="Q78" s="20">
        <f>'4.0 Result Q-raw data'!T145</f>
        <v>14.788570035286847</v>
      </c>
      <c r="R78" s="20">
        <f>'4.0 Result Q-raw data'!U145</f>
        <v>14.788570035286847</v>
      </c>
      <c r="S78" s="20">
        <f>'4.0 Result Q-raw data'!V145</f>
        <v>24.832265368222433</v>
      </c>
    </row>
    <row r="79" spans="2:19" s="63" customFormat="1" x14ac:dyDescent="0.35">
      <c r="B79" s="6">
        <f>'1. Information samples'!B79</f>
        <v>69</v>
      </c>
      <c r="C79" s="7">
        <f>'1. Information samples'!C79</f>
        <v>46048</v>
      </c>
      <c r="D79" s="6" t="str">
        <f>'1. Information samples'!D79</f>
        <v>Genbank</v>
      </c>
      <c r="E79" s="6">
        <f>'1. Information samples'!E79</f>
        <v>28</v>
      </c>
      <c r="F79" s="6" t="str">
        <f>'1. Information samples'!F79</f>
        <v>F252580</v>
      </c>
      <c r="G79" s="6" t="str">
        <f>'1. Information samples'!G79</f>
        <v>CIAT2085</v>
      </c>
      <c r="H79" s="6" t="str">
        <f>'1. Information samples'!H79</f>
        <v>Stylosanthes</v>
      </c>
      <c r="I79" s="6" t="str">
        <f>'1. Information samples'!I79</f>
        <v>seabrana</v>
      </c>
      <c r="J79" s="6" t="str">
        <f>'1. Information samples'!J79</f>
        <v>Stylosanthes seabrana</v>
      </c>
      <c r="K79" s="6" t="str">
        <f>'1. Information samples'!K79</f>
        <v>Fabaceae</v>
      </c>
      <c r="L79" s="6" t="str">
        <f>'1. Information samples'!L79</f>
        <v>Fabales</v>
      </c>
      <c r="M79" s="6" t="str">
        <f>'1. Information samples'!M79</f>
        <v>Herbaceous</v>
      </c>
      <c r="N79" s="20">
        <f>'4.0 Result Q-raw data'!O147</f>
        <v>91.013158687602811</v>
      </c>
      <c r="O79" s="20">
        <f>'4.0 Result Q-raw data'!Q147</f>
        <v>9.4513435062118116</v>
      </c>
      <c r="P79" s="20">
        <f>'4.0 Result Q-raw data'!S147</f>
        <v>90.548656493788187</v>
      </c>
      <c r="Q79" s="20">
        <f>'4.0 Result Q-raw data'!T147</f>
        <v>18.709963746160142</v>
      </c>
      <c r="R79" s="20">
        <f>'4.0 Result Q-raw data'!U147</f>
        <v>18.709963746160142</v>
      </c>
      <c r="S79" s="20">
        <f>'4.0 Result Q-raw data'!V147</f>
        <v>37.039597242954855</v>
      </c>
    </row>
    <row r="80" spans="2:19" s="63" customFormat="1" x14ac:dyDescent="0.35">
      <c r="B80" s="6">
        <f>'1. Information samples'!B80</f>
        <v>70</v>
      </c>
      <c r="C80" s="7">
        <f>'1. Information samples'!C80</f>
        <v>46048</v>
      </c>
      <c r="D80" s="6" t="str">
        <f>'1. Information samples'!D80</f>
        <v>Genbank</v>
      </c>
      <c r="E80" s="6">
        <f>'1. Information samples'!E80</f>
        <v>28</v>
      </c>
      <c r="F80" s="6" t="str">
        <f>'1. Information samples'!F80</f>
        <v>F252581</v>
      </c>
      <c r="G80" s="6" t="str">
        <f>'1. Information samples'!G80</f>
        <v>CIAT2690</v>
      </c>
      <c r="H80" s="6" t="str">
        <f>'1. Information samples'!H80</f>
        <v>Stylosanthes</v>
      </c>
      <c r="I80" s="6" t="str">
        <f>'1. Information samples'!I80</f>
        <v>angustifolia</v>
      </c>
      <c r="J80" s="6" t="str">
        <f>'1. Information samples'!J80</f>
        <v>Stylosanthes angustifolia</v>
      </c>
      <c r="K80" s="6" t="str">
        <f>'1. Information samples'!K80</f>
        <v>Fabaceae</v>
      </c>
      <c r="L80" s="6" t="str">
        <f>'1. Information samples'!L80</f>
        <v>Fabales</v>
      </c>
      <c r="M80" s="6" t="str">
        <f>'1. Information samples'!M80</f>
        <v>Herbaceous</v>
      </c>
      <c r="N80" s="20">
        <f>'4.0 Result Q-raw data'!O149</f>
        <v>92.303090451268133</v>
      </c>
      <c r="O80" s="20">
        <f>'4.0 Result Q-raw data'!Q149</f>
        <v>14.760743763075807</v>
      </c>
      <c r="P80" s="20">
        <f>'4.0 Result Q-raw data'!S149</f>
        <v>85.239256236924192</v>
      </c>
      <c r="Q80" s="20">
        <f>'4.0 Result Q-raw data'!T149</f>
        <v>17.543140012820359</v>
      </c>
      <c r="R80" s="20">
        <f>'4.0 Result Q-raw data'!U149</f>
        <v>17.543140012820359</v>
      </c>
      <c r="S80" s="20">
        <f>'4.0 Result Q-raw data'!V149</f>
        <v>38.196099923294611</v>
      </c>
    </row>
    <row r="81" spans="2:19" s="63" customFormat="1" x14ac:dyDescent="0.35">
      <c r="B81" s="6">
        <f>'1. Information samples'!B81</f>
        <v>71</v>
      </c>
      <c r="C81" s="7">
        <f>'1. Information samples'!C81</f>
        <v>46048</v>
      </c>
      <c r="D81" s="6" t="str">
        <f>'1. Information samples'!D81</f>
        <v>Genbank</v>
      </c>
      <c r="E81" s="6">
        <f>'1. Information samples'!E81</f>
        <v>28</v>
      </c>
      <c r="F81" s="6" t="str">
        <f>'1. Information samples'!F81</f>
        <v>F252582</v>
      </c>
      <c r="G81" s="6" t="str">
        <f>'1. Information samples'!G81</f>
        <v>CIAT4069</v>
      </c>
      <c r="H81" s="6" t="str">
        <f>'1. Information samples'!H81</f>
        <v>Macroptilium</v>
      </c>
      <c r="I81" s="6" t="str">
        <f>'1. Information samples'!I81</f>
        <v>atropurpureum</v>
      </c>
      <c r="J81" s="6" t="str">
        <f>'1. Information samples'!J81</f>
        <v>Macroptilium atropurpureum</v>
      </c>
      <c r="K81" s="6" t="str">
        <f>'1. Information samples'!K81</f>
        <v>Fabaceae</v>
      </c>
      <c r="L81" s="6" t="str">
        <f>'1. Information samples'!L81</f>
        <v>Fabales</v>
      </c>
      <c r="M81" s="6" t="str">
        <f>'1. Information samples'!M81</f>
        <v>Herbaceous</v>
      </c>
      <c r="N81" s="20">
        <f>'4.0 Result Q-raw data'!O151</f>
        <v>90.940899820036037</v>
      </c>
      <c r="O81" s="20">
        <f>'4.0 Result Q-raw data'!Q151</f>
        <v>11.819691947658916</v>
      </c>
      <c r="P81" s="20">
        <f>'4.0 Result Q-raw data'!S151</f>
        <v>88.180308052341076</v>
      </c>
      <c r="Q81" s="20">
        <f>'4.0 Result Q-raw data'!T151</f>
        <v>20.831379821909206</v>
      </c>
      <c r="R81" s="20">
        <f>'4.0 Result Q-raw data'!U151</f>
        <v>20.831379821909206</v>
      </c>
      <c r="S81" s="20">
        <f>'4.0 Result Q-raw data'!V151</f>
        <v>32.401008699467063</v>
      </c>
    </row>
    <row r="82" spans="2:19" s="63" customFormat="1" x14ac:dyDescent="0.35">
      <c r="B82" s="6">
        <f>'1. Information samples'!B82</f>
        <v>72</v>
      </c>
      <c r="C82" s="7">
        <f>'1. Information samples'!C82</f>
        <v>46048</v>
      </c>
      <c r="D82" s="6" t="str">
        <f>'1. Information samples'!D82</f>
        <v>Genbank</v>
      </c>
      <c r="E82" s="6">
        <f>'1. Information samples'!E82</f>
        <v>28</v>
      </c>
      <c r="F82" s="6" t="str">
        <f>'1. Information samples'!F82</f>
        <v>F252583</v>
      </c>
      <c r="G82" s="6" t="str">
        <f>'1. Information samples'!G82</f>
        <v>CIAT4141</v>
      </c>
      <c r="H82" s="6" t="str">
        <f>'1. Information samples'!H82</f>
        <v>Vigna</v>
      </c>
      <c r="I82" s="6" t="str">
        <f>'1. Information samples'!I82</f>
        <v>radiata</v>
      </c>
      <c r="J82" s="6" t="str">
        <f>'1. Information samples'!J82</f>
        <v>Vigna radiata</v>
      </c>
      <c r="K82" s="6" t="str">
        <f>'1. Information samples'!K82</f>
        <v>Fabaceae</v>
      </c>
      <c r="L82" s="6" t="str">
        <f>'1. Information samples'!L82</f>
        <v>Fabales</v>
      </c>
      <c r="M82" s="6" t="str">
        <f>'1. Information samples'!M82</f>
        <v>Herbaceous</v>
      </c>
      <c r="N82" s="20">
        <f>'4.0 Result Q-raw data'!O153</f>
        <v>92.056984484338841</v>
      </c>
      <c r="O82" s="20">
        <f>'4.0 Result Q-raw data'!Q153</f>
        <v>11.967859120708429</v>
      </c>
      <c r="P82" s="20">
        <f>'4.0 Result Q-raw data'!S153</f>
        <v>88.032140879291575</v>
      </c>
      <c r="Q82" s="20">
        <f>'4.0 Result Q-raw data'!T153</f>
        <v>19.795833763339559</v>
      </c>
      <c r="R82" s="20">
        <f>'4.0 Result Q-raw data'!U153</f>
        <v>19.482004753296192</v>
      </c>
      <c r="S82" s="20">
        <f>'4.0 Result Q-raw data'!V153</f>
        <v>28.073702293807472</v>
      </c>
    </row>
    <row r="83" spans="2:19" s="63" customFormat="1" x14ac:dyDescent="0.35">
      <c r="B83" s="6">
        <f>'1. Information samples'!B83</f>
        <v>73</v>
      </c>
      <c r="C83" s="7">
        <f>'1. Information samples'!C83</f>
        <v>46048</v>
      </c>
      <c r="D83" s="6" t="str">
        <f>'1. Information samples'!D83</f>
        <v>Genbank</v>
      </c>
      <c r="E83" s="6">
        <f>'1. Information samples'!E83</f>
        <v>28</v>
      </c>
      <c r="F83" s="6" t="str">
        <f>'1. Information samples'!F83</f>
        <v>F252584</v>
      </c>
      <c r="G83" s="6" t="str">
        <f>'1. Information samples'!G83</f>
        <v>CIAT4532</v>
      </c>
      <c r="H83" s="6" t="str">
        <f>'1. Information samples'!H83</f>
        <v>Vigna</v>
      </c>
      <c r="I83" s="6" t="str">
        <f>'1. Information samples'!I83</f>
        <v>unguiculata</v>
      </c>
      <c r="J83" s="6" t="str">
        <f>'1. Information samples'!J83</f>
        <v>Vigna unguiculata</v>
      </c>
      <c r="K83" s="6" t="str">
        <f>'1. Information samples'!K83</f>
        <v>Fabaceae</v>
      </c>
      <c r="L83" s="6" t="str">
        <f>'1. Information samples'!L83</f>
        <v>Fabales</v>
      </c>
      <c r="M83" s="6" t="str">
        <f>'1. Information samples'!M83</f>
        <v>Herbaceous</v>
      </c>
      <c r="N83" s="20">
        <f>'4.0 Result Q-raw data'!O155</f>
        <v>92.22311644007398</v>
      </c>
      <c r="O83" s="20">
        <f>'4.0 Result Q-raw data'!Q155</f>
        <v>12.063732667268386</v>
      </c>
      <c r="P83" s="20">
        <f>'4.0 Result Q-raw data'!S155</f>
        <v>87.936267332731617</v>
      </c>
      <c r="Q83" s="20">
        <f>'4.0 Result Q-raw data'!T155</f>
        <v>18.936281801589576</v>
      </c>
      <c r="R83" s="20">
        <f>'4.0 Result Q-raw data'!U155</f>
        <v>18.936281801589576</v>
      </c>
      <c r="S83" s="20">
        <f>'4.0 Result Q-raw data'!V155</f>
        <v>24.100880154676435</v>
      </c>
    </row>
    <row r="84" spans="2:19" s="63" customFormat="1" x14ac:dyDescent="0.35">
      <c r="B84" s="6">
        <f>'1. Information samples'!B84</f>
        <v>74</v>
      </c>
      <c r="C84" s="7">
        <f>'1. Information samples'!C84</f>
        <v>46048</v>
      </c>
      <c r="D84" s="6" t="str">
        <f>'1. Information samples'!D84</f>
        <v>Genbank</v>
      </c>
      <c r="E84" s="6">
        <f>'1. Information samples'!E84</f>
        <v>28</v>
      </c>
      <c r="F84" s="6" t="str">
        <f>'1. Information samples'!F84</f>
        <v>F252585</v>
      </c>
      <c r="G84" s="6" t="str">
        <f>'1. Information samples'!G84</f>
        <v>CIAT4537</v>
      </c>
      <c r="H84" s="6" t="str">
        <f>'1. Information samples'!H84</f>
        <v>Vigna</v>
      </c>
      <c r="I84" s="6" t="str">
        <f>'1. Information samples'!I84</f>
        <v>unguiculata</v>
      </c>
      <c r="J84" s="6" t="str">
        <f>'1. Information samples'!J84</f>
        <v>Vigna unguiculata</v>
      </c>
      <c r="K84" s="6" t="str">
        <f>'1. Information samples'!K84</f>
        <v>Fabaceae</v>
      </c>
      <c r="L84" s="6" t="str">
        <f>'1. Information samples'!L84</f>
        <v>Fabales</v>
      </c>
      <c r="M84" s="6" t="str">
        <f>'1. Information samples'!M84</f>
        <v>Herbaceous</v>
      </c>
      <c r="N84" s="20">
        <f>'4.0 Result Q-raw data'!O157</f>
        <v>91.40629561131658</v>
      </c>
      <c r="O84" s="20">
        <f>'4.0 Result Q-raw data'!Q157</f>
        <v>5.7482120859845942</v>
      </c>
      <c r="P84" s="20">
        <f>'4.0 Result Q-raw data'!S157</f>
        <v>94.251787914015409</v>
      </c>
      <c r="Q84" s="20">
        <f>'4.0 Result Q-raw data'!T157</f>
        <v>25.084380889854529</v>
      </c>
      <c r="R84" s="20">
        <f>'4.0 Result Q-raw data'!U157</f>
        <v>25.084380889854529</v>
      </c>
      <c r="S84" s="20">
        <f>'4.0 Result Q-raw data'!V157</f>
        <v>28.169096793048322</v>
      </c>
    </row>
    <row r="85" spans="2:19" s="63" customFormat="1" x14ac:dyDescent="0.35">
      <c r="B85" s="6">
        <f>'1. Information samples'!B85</f>
        <v>75</v>
      </c>
      <c r="C85" s="7">
        <f>'1. Information samples'!C85</f>
        <v>46048</v>
      </c>
      <c r="D85" s="6" t="str">
        <f>'1. Information samples'!D85</f>
        <v>Genbank</v>
      </c>
      <c r="E85" s="6">
        <f>'1. Information samples'!E85</f>
        <v>28</v>
      </c>
      <c r="F85" s="6" t="str">
        <f>'1. Information samples'!F85</f>
        <v>F252586</v>
      </c>
      <c r="G85" s="6" t="str">
        <f>'1. Information samples'!G85</f>
        <v>CIAT7289</v>
      </c>
      <c r="H85" s="6" t="str">
        <f>'1. Information samples'!H85</f>
        <v>Chamaecrista</v>
      </c>
      <c r="I85" s="6" t="str">
        <f>'1. Information samples'!I85</f>
        <v>mimosoides</v>
      </c>
      <c r="J85" s="6" t="str">
        <f>'1. Information samples'!J85</f>
        <v>Chamaecrista mimosoides</v>
      </c>
      <c r="K85" s="6" t="str">
        <f>'1. Information samples'!K85</f>
        <v>Fabaceae</v>
      </c>
      <c r="L85" s="6" t="str">
        <f>'1. Information samples'!L85</f>
        <v>Fabales</v>
      </c>
      <c r="M85" s="6" t="str">
        <f>'1. Information samples'!M85</f>
        <v>Herbaceous</v>
      </c>
      <c r="N85" s="20">
        <f>'4.0 Result Q-raw data'!O159</f>
        <v>90.756850037279605</v>
      </c>
      <c r="O85" s="20">
        <f>'4.0 Result Q-raw data'!Q159</f>
        <v>8.3227821066313989</v>
      </c>
      <c r="P85" s="20">
        <f>'4.0 Result Q-raw data'!S159</f>
        <v>91.677217893368606</v>
      </c>
      <c r="Q85" s="20">
        <f>'4.0 Result Q-raw data'!T159</f>
        <v>18.559443730372223</v>
      </c>
      <c r="R85" s="20">
        <f>'4.0 Result Q-raw data'!U159</f>
        <v>18.559443730372223</v>
      </c>
      <c r="S85" s="20">
        <f>'4.0 Result Q-raw data'!V159</f>
        <v>37.055952980039585</v>
      </c>
    </row>
    <row r="86" spans="2:19" s="63" customFormat="1" x14ac:dyDescent="0.35">
      <c r="B86" s="6">
        <f>'1. Information samples'!B86</f>
        <v>76</v>
      </c>
      <c r="C86" s="7">
        <f>'1. Information samples'!C86</f>
        <v>46048</v>
      </c>
      <c r="D86" s="6" t="str">
        <f>'1. Information samples'!D86</f>
        <v>Genbank</v>
      </c>
      <c r="E86" s="6">
        <f>'1. Information samples'!E86</f>
        <v>28</v>
      </c>
      <c r="F86" s="6" t="str">
        <f>'1. Information samples'!F86</f>
        <v>F252587</v>
      </c>
      <c r="G86" s="6" t="str">
        <f>'1. Information samples'!G86</f>
        <v>CIAT7826</v>
      </c>
      <c r="H86" s="6" t="str">
        <f>'1. Information samples'!H86</f>
        <v>Tephrosia</v>
      </c>
      <c r="I86" s="6" t="str">
        <f>'1. Information samples'!I86</f>
        <v>purpurea</v>
      </c>
      <c r="J86" s="6" t="str">
        <f>'1. Information samples'!J86</f>
        <v>Tephrosia purpurea</v>
      </c>
      <c r="K86" s="6" t="str">
        <f>'1. Information samples'!K86</f>
        <v>Fabaceae</v>
      </c>
      <c r="L86" s="6" t="str">
        <f>'1. Information samples'!L86</f>
        <v>Fabales</v>
      </c>
      <c r="M86" s="6" t="str">
        <f>'1. Information samples'!M86</f>
        <v>Herbaceous</v>
      </c>
      <c r="N86" s="20">
        <f>'4.0 Result Q-raw data'!O161</f>
        <v>91.313910044456179</v>
      </c>
      <c r="O86" s="20">
        <f>'4.0 Result Q-raw data'!Q161</f>
        <v>8.9321844106076647</v>
      </c>
      <c r="P86" s="20">
        <f>'4.0 Result Q-raw data'!S161</f>
        <v>91.067815589392325</v>
      </c>
      <c r="Q86" s="20">
        <f>'4.0 Result Q-raw data'!T161</f>
        <v>21.70179374941814</v>
      </c>
      <c r="R86" s="20">
        <f>'4.0 Result Q-raw data'!U161</f>
        <v>21.70179374941814</v>
      </c>
      <c r="S86" s="20">
        <f>'4.0 Result Q-raw data'!V161</f>
        <v>29.581258475242024</v>
      </c>
    </row>
    <row r="87" spans="2:19" x14ac:dyDescent="0.35">
      <c r="B87" s="6">
        <f>'1. Information samples'!B87</f>
        <v>77</v>
      </c>
      <c r="C87" s="7">
        <f>'1. Information samples'!C87</f>
        <v>46048</v>
      </c>
      <c r="D87" s="6" t="str">
        <f>'1. Information samples'!D87</f>
        <v>Genbank</v>
      </c>
      <c r="E87" s="6">
        <f>'1. Information samples'!E87</f>
        <v>28</v>
      </c>
      <c r="F87" s="6" t="str">
        <f>'1. Information samples'!F87</f>
        <v>F252588</v>
      </c>
      <c r="G87" s="6" t="str">
        <f>'1. Information samples'!G87</f>
        <v>CIAT8014</v>
      </c>
      <c r="H87" s="6" t="str">
        <f>'1. Information samples'!H87</f>
        <v>Crotalaria</v>
      </c>
      <c r="I87" s="6" t="str">
        <f>'1. Information samples'!I87</f>
        <v>retusa</v>
      </c>
      <c r="J87" s="6" t="str">
        <f>'1. Information samples'!J87</f>
        <v>Crotalaria retusa</v>
      </c>
      <c r="K87" s="6" t="str">
        <f>'1. Information samples'!K87</f>
        <v>Fabaceae</v>
      </c>
      <c r="L87" s="6" t="str">
        <f>'1. Information samples'!L87</f>
        <v>Fabales</v>
      </c>
      <c r="M87" s="6" t="str">
        <f>'1. Information samples'!M87</f>
        <v>Herbaceous</v>
      </c>
      <c r="N87" s="20">
        <f>'4.0 Result Q-raw data'!O163</f>
        <v>91.313910044456179</v>
      </c>
      <c r="O87" s="20">
        <f>'4.0 Result Q-raw data'!Q163</f>
        <v>8.9321844106076647</v>
      </c>
      <c r="P87" s="20">
        <f>'4.0 Result Q-raw data'!S163</f>
        <v>91.067815589392325</v>
      </c>
      <c r="Q87" s="20">
        <f>'4.0 Result Q-raw data'!T163</f>
        <v>21.183406489283914</v>
      </c>
      <c r="R87" s="20">
        <f>'4.0 Result Q-raw data'!U163</f>
        <v>21.183406489283914</v>
      </c>
      <c r="S87" s="20">
        <f>'4.0 Result Q-raw data'!V163</f>
        <v>31.01340150567945</v>
      </c>
    </row>
    <row r="88" spans="2:19" x14ac:dyDescent="0.35">
      <c r="B88" s="6">
        <f>'1. Information samples'!B88</f>
        <v>78</v>
      </c>
      <c r="C88" s="7">
        <f>'1. Information samples'!C88</f>
        <v>46048</v>
      </c>
      <c r="D88" s="6" t="str">
        <f>'1. Information samples'!D88</f>
        <v>Genbank</v>
      </c>
      <c r="E88" s="6">
        <f>'1. Information samples'!E88</f>
        <v>28</v>
      </c>
      <c r="F88" s="6" t="str">
        <f>'1. Information samples'!F88</f>
        <v>F252589</v>
      </c>
      <c r="G88" s="6" t="str">
        <f>'1. Information samples'!G88</f>
        <v>CIAT8849</v>
      </c>
      <c r="H88" s="6" t="str">
        <f>'1. Information samples'!H88</f>
        <v>Zornia</v>
      </c>
      <c r="I88" s="6" t="str">
        <f>'1. Information samples'!I88</f>
        <v>brasiliensis</v>
      </c>
      <c r="J88" s="6" t="str">
        <f>'1. Information samples'!J88</f>
        <v>Zornia brasiliensis</v>
      </c>
      <c r="K88" s="6" t="str">
        <f>'1. Information samples'!K88</f>
        <v>Fabaceae</v>
      </c>
      <c r="L88" s="6" t="str">
        <f>'1. Information samples'!L88</f>
        <v>Fabales</v>
      </c>
      <c r="M88" s="6" t="str">
        <f>'1. Information samples'!M88</f>
        <v>Herbaceous</v>
      </c>
      <c r="N88" s="20">
        <f>'4.0 Result Q-raw data'!O165</f>
        <v>90.255486451354926</v>
      </c>
      <c r="O88" s="20">
        <f>'4.0 Result Q-raw data'!Q165</f>
        <v>9.6166619723153879</v>
      </c>
      <c r="P88" s="20">
        <f>'4.0 Result Q-raw data'!S165</f>
        <v>90.383338027684616</v>
      </c>
      <c r="Q88" s="20">
        <f>'4.0 Result Q-raw data'!T165</f>
        <v>17.570233853358662</v>
      </c>
      <c r="R88" s="20">
        <f>'4.0 Result Q-raw data'!U165</f>
        <v>17.570233853358662</v>
      </c>
      <c r="S88" s="20">
        <f>'4.0 Result Q-raw data'!V165</f>
        <v>27.227431918689334</v>
      </c>
    </row>
    <row r="89" spans="2:19" x14ac:dyDescent="0.35">
      <c r="B89" s="6">
        <f>'1. Information samples'!B89</f>
        <v>79</v>
      </c>
      <c r="C89" s="7">
        <f>'1. Information samples'!C89</f>
        <v>46048</v>
      </c>
      <c r="D89" s="6" t="str">
        <f>'1. Information samples'!D89</f>
        <v>Genbank</v>
      </c>
      <c r="E89" s="6">
        <f>'1. Information samples'!E89</f>
        <v>28</v>
      </c>
      <c r="F89" s="6" t="str">
        <f>'1. Information samples'!F89</f>
        <v>F252590</v>
      </c>
      <c r="G89" s="6" t="str">
        <f>'1. Information samples'!G89</f>
        <v>CIAT9326</v>
      </c>
      <c r="H89" s="6" t="str">
        <f>'1. Information samples'!H89</f>
        <v>Crotalaria</v>
      </c>
      <c r="I89" s="6" t="str">
        <f>'1. Information samples'!I89</f>
        <v>retusa</v>
      </c>
      <c r="J89" s="6" t="str">
        <f>'1. Information samples'!J89</f>
        <v>Crotalaria retusa</v>
      </c>
      <c r="K89" s="6" t="str">
        <f>'1. Information samples'!K89</f>
        <v>Fabaceae</v>
      </c>
      <c r="L89" s="6" t="str">
        <f>'1. Information samples'!L89</f>
        <v>Fabales</v>
      </c>
      <c r="M89" s="6" t="str">
        <f>'1. Information samples'!M89</f>
        <v>Herbaceous</v>
      </c>
      <c r="N89" s="20">
        <f>'4.0 Result Q-raw data'!O167</f>
        <v>92.005799420057954</v>
      </c>
      <c r="O89" s="20">
        <f>'4.0 Result Q-raw data'!Q167</f>
        <v>7.7541705156767726</v>
      </c>
      <c r="P89" s="20">
        <f>'4.0 Result Q-raw data'!S167</f>
        <v>92.245829484323224</v>
      </c>
      <c r="Q89" s="20">
        <f>'4.0 Result Q-raw data'!T167</f>
        <v>18.839065087506274</v>
      </c>
      <c r="R89" s="20">
        <f>'4.0 Result Q-raw data'!U167</f>
        <v>18.839065087506274</v>
      </c>
      <c r="S89" s="20">
        <f>'4.0 Result Q-raw data'!V167</f>
        <v>32.051671234382816</v>
      </c>
    </row>
    <row r="90" spans="2:19" x14ac:dyDescent="0.35">
      <c r="B90" s="6">
        <f>'1. Information samples'!B90</f>
        <v>80</v>
      </c>
      <c r="C90" s="7">
        <f>'1. Information samples'!C90</f>
        <v>46048</v>
      </c>
      <c r="D90" s="6" t="str">
        <f>'1. Information samples'!D90</f>
        <v>Genbank</v>
      </c>
      <c r="E90" s="6">
        <f>'1. Information samples'!E90</f>
        <v>28</v>
      </c>
      <c r="F90" s="6" t="str">
        <f>'1. Information samples'!F90</f>
        <v>F252591</v>
      </c>
      <c r="G90" s="6" t="str">
        <f>'1. Information samples'!G90</f>
        <v>CIAT9337</v>
      </c>
      <c r="H90" s="6" t="str">
        <f>'1. Information samples'!H90</f>
        <v>Crotalaria</v>
      </c>
      <c r="I90" s="6" t="str">
        <f>'1. Information samples'!I90</f>
        <v>retusa</v>
      </c>
      <c r="J90" s="6" t="str">
        <f>'1. Information samples'!J90</f>
        <v>Crotalaria retusa</v>
      </c>
      <c r="K90" s="6" t="str">
        <f>'1. Information samples'!K90</f>
        <v>Fabaceae</v>
      </c>
      <c r="L90" s="6" t="str">
        <f>'1. Information samples'!L90</f>
        <v>Fabales</v>
      </c>
      <c r="M90" s="6" t="str">
        <f>'1. Information samples'!M90</f>
        <v>Herbaceous</v>
      </c>
      <c r="N90" s="20">
        <f>'4.0 Result Q-raw data'!O169</f>
        <v>92.167346218880965</v>
      </c>
      <c r="O90" s="20">
        <f>'4.0 Result Q-raw data'!Q169</f>
        <v>8.7531898615712507</v>
      </c>
      <c r="P90" s="20">
        <f>'4.0 Result Q-raw data'!S169</f>
        <v>91.246810138428742</v>
      </c>
      <c r="Q90" s="20">
        <f>'4.0 Result Q-raw data'!T169</f>
        <v>22.457800610107149</v>
      </c>
      <c r="R90" s="20">
        <f>'4.0 Result Q-raw data'!U169</f>
        <v>22.457800610107149</v>
      </c>
      <c r="S90" s="20">
        <f>'4.0 Result Q-raw data'!V169</f>
        <v>26.159414577112084</v>
      </c>
    </row>
    <row r="91" spans="2:19" x14ac:dyDescent="0.35">
      <c r="B91" s="6">
        <f>'1. Information samples'!B91</f>
        <v>81</v>
      </c>
      <c r="C91" s="7">
        <f>'1. Information samples'!C91</f>
        <v>46048</v>
      </c>
      <c r="D91" s="6" t="str">
        <f>'1. Information samples'!D91</f>
        <v>Genbank</v>
      </c>
      <c r="E91" s="6">
        <f>'1. Information samples'!E91</f>
        <v>28</v>
      </c>
      <c r="F91" s="6" t="str">
        <f>'1. Information samples'!F91</f>
        <v>F252592</v>
      </c>
      <c r="G91" s="6" t="str">
        <f>'1. Information samples'!G91</f>
        <v>CIAT9350</v>
      </c>
      <c r="H91" s="6" t="str">
        <f>'1. Information samples'!H91</f>
        <v>Crotalaria</v>
      </c>
      <c r="I91" s="6" t="str">
        <f>'1. Information samples'!I91</f>
        <v>pumila</v>
      </c>
      <c r="J91" s="6" t="str">
        <f>'1. Information samples'!J91</f>
        <v>Crotalaria pumila</v>
      </c>
      <c r="K91" s="6" t="str">
        <f>'1. Information samples'!K91</f>
        <v>Fabaceae</v>
      </c>
      <c r="L91" s="6" t="str">
        <f>'1. Information samples'!L91</f>
        <v>Fabales</v>
      </c>
      <c r="M91" s="6" t="str">
        <f>'1. Information samples'!M91</f>
        <v>Herbaceous</v>
      </c>
      <c r="N91" s="20">
        <f>'4.0 Result Q-raw data'!O171</f>
        <v>91.19264220733784</v>
      </c>
      <c r="O91" s="20">
        <f>'4.0 Result Q-raw data'!Q171</f>
        <v>7.5750931813198505</v>
      </c>
      <c r="P91" s="20">
        <f>'4.0 Result Q-raw data'!S171</f>
        <v>92.424906818680142</v>
      </c>
      <c r="Q91" s="20">
        <f>'4.0 Result Q-raw data'!T171</f>
        <v>21.993873838557636</v>
      </c>
      <c r="R91" s="20">
        <f>'4.0 Result Q-raw data'!U171</f>
        <v>21.993873838557636</v>
      </c>
      <c r="S91" s="20">
        <f>'4.0 Result Q-raw data'!V171</f>
        <v>29.624970726085792</v>
      </c>
    </row>
    <row r="92" spans="2:19" x14ac:dyDescent="0.35">
      <c r="B92" s="6">
        <f>'1. Information samples'!B92</f>
        <v>82</v>
      </c>
      <c r="C92" s="7">
        <f>'1. Information samples'!C92</f>
        <v>46048</v>
      </c>
      <c r="D92" s="6" t="str">
        <f>'1. Information samples'!D92</f>
        <v>Genbank</v>
      </c>
      <c r="E92" s="6">
        <f>'1. Information samples'!E92</f>
        <v>28</v>
      </c>
      <c r="F92" s="6" t="str">
        <f>'1. Information samples'!F92</f>
        <v>F252593</v>
      </c>
      <c r="G92" s="6" t="str">
        <f>'1. Information samples'!G92</f>
        <v>CIAT9352</v>
      </c>
      <c r="H92" s="6" t="str">
        <f>'1. Information samples'!H92</f>
        <v>Crotalaria</v>
      </c>
      <c r="I92" s="6" t="str">
        <f>'1. Information samples'!I92</f>
        <v>pumila</v>
      </c>
      <c r="J92" s="6" t="str">
        <f>'1. Information samples'!J92</f>
        <v>Crotalaria pumila</v>
      </c>
      <c r="K92" s="6" t="str">
        <f>'1. Information samples'!K92</f>
        <v>Fabaceae</v>
      </c>
      <c r="L92" s="6" t="str">
        <f>'1. Information samples'!L92</f>
        <v>Fabales</v>
      </c>
      <c r="M92" s="6" t="str">
        <f>'1. Information samples'!M92</f>
        <v>Herbaceous</v>
      </c>
      <c r="N92" s="20">
        <f>'4.0 Result Q-raw data'!O173</f>
        <v>93.40632716694337</v>
      </c>
      <c r="O92" s="20">
        <f>'4.0 Result Q-raw data'!Q173</f>
        <v>9.4032708521230148</v>
      </c>
      <c r="P92" s="20">
        <f>'4.0 Result Q-raw data'!S173</f>
        <v>90.596729147876985</v>
      </c>
      <c r="Q92" s="20">
        <f>'4.0 Result Q-raw data'!T173</f>
        <v>22.912973068825917</v>
      </c>
      <c r="R92" s="20">
        <f>'4.0 Result Q-raw data'!U173</f>
        <v>22.819671206779695</v>
      </c>
      <c r="S92" s="20">
        <f>'4.0 Result Q-raw data'!V173</f>
        <v>30.928346528039008</v>
      </c>
    </row>
    <row r="93" spans="2:19" x14ac:dyDescent="0.35">
      <c r="B93" s="6">
        <f>'1. Information samples'!B93</f>
        <v>83</v>
      </c>
      <c r="C93" s="7">
        <f>'1. Information samples'!C93</f>
        <v>46048</v>
      </c>
      <c r="D93" s="6" t="str">
        <f>'1. Information samples'!D93</f>
        <v>Genbank</v>
      </c>
      <c r="E93" s="6">
        <f>'1. Information samples'!E93</f>
        <v>28</v>
      </c>
      <c r="F93" s="6" t="str">
        <f>'1. Information samples'!F93</f>
        <v>F252594</v>
      </c>
      <c r="G93" s="6" t="str">
        <f>'1. Information samples'!G93</f>
        <v>CIAT9472</v>
      </c>
      <c r="H93" s="6" t="str">
        <f>'1. Information samples'!H93</f>
        <v>Zornia</v>
      </c>
      <c r="I93" s="6" t="str">
        <f>'1. Information samples'!I93</f>
        <v>brasiliensis</v>
      </c>
      <c r="J93" s="6" t="str">
        <f>'1. Information samples'!J93</f>
        <v>Zornia brasiliensis</v>
      </c>
      <c r="K93" s="6" t="str">
        <f>'1. Information samples'!K93</f>
        <v>Fabaceae</v>
      </c>
      <c r="L93" s="6" t="str">
        <f>'1. Information samples'!L93</f>
        <v>Fabales</v>
      </c>
      <c r="M93" s="6" t="str">
        <f>'1. Information samples'!M93</f>
        <v>Herbaceous</v>
      </c>
      <c r="N93" s="20">
        <f>'4.0 Result Q-raw data'!O175</f>
        <v>92.096183303085411</v>
      </c>
      <c r="O93" s="20">
        <f>'4.0 Result Q-raw data'!Q175</f>
        <v>10.150903001041684</v>
      </c>
      <c r="P93" s="20">
        <f>'4.0 Result Q-raw data'!S175</f>
        <v>89.849096998958316</v>
      </c>
      <c r="Q93" s="20">
        <f>'4.0 Result Q-raw data'!T175</f>
        <v>18.21313969894895</v>
      </c>
      <c r="R93" s="20">
        <f>'4.0 Result Q-raw data'!U175</f>
        <v>18.21313969894895</v>
      </c>
      <c r="S93" s="20">
        <f>'4.0 Result Q-raw data'!V175</f>
        <v>24.223149118358744</v>
      </c>
    </row>
    <row r="94" spans="2:19" x14ac:dyDescent="0.35">
      <c r="B94" s="6">
        <f>'1. Information samples'!B94</f>
        <v>84</v>
      </c>
      <c r="C94" s="7">
        <f>'1. Information samples'!C94</f>
        <v>46048</v>
      </c>
      <c r="D94" s="6" t="str">
        <f>'1. Information samples'!D94</f>
        <v>Genbank</v>
      </c>
      <c r="E94" s="6">
        <f>'1. Information samples'!E94</f>
        <v>28</v>
      </c>
      <c r="F94" s="6" t="str">
        <f>'1. Information samples'!F94</f>
        <v>F252595</v>
      </c>
      <c r="G94" s="6" t="str">
        <f>'1. Information samples'!G94</f>
        <v>CIAT9531</v>
      </c>
      <c r="H94" s="6" t="str">
        <f>'1. Information samples'!H94</f>
        <v>Indigofera</v>
      </c>
      <c r="I94" s="6" t="str">
        <f>'1. Information samples'!I94</f>
        <v>spicata</v>
      </c>
      <c r="J94" s="6" t="str">
        <f>'1. Information samples'!J94</f>
        <v>Indigofera spicata</v>
      </c>
      <c r="K94" s="6" t="str">
        <f>'1. Information samples'!K94</f>
        <v>Fabaceae</v>
      </c>
      <c r="L94" s="6" t="str">
        <f>'1. Information samples'!L94</f>
        <v>Fabales</v>
      </c>
      <c r="M94" s="6" t="str">
        <f>'1. Information samples'!M94</f>
        <v>Herbaceous</v>
      </c>
      <c r="N94" s="20">
        <f>'4.0 Result Q-raw data'!O177</f>
        <v>91.598385299953804</v>
      </c>
      <c r="O94" s="20">
        <f>'4.0 Result Q-raw data'!Q177</f>
        <v>16.189267840911622</v>
      </c>
      <c r="P94" s="20">
        <f>'4.0 Result Q-raw data'!S177</f>
        <v>83.810732159088374</v>
      </c>
      <c r="Q94" s="20">
        <f>'4.0 Result Q-raw data'!T177</f>
        <v>20.552774962518356</v>
      </c>
      <c r="R94" s="20">
        <f>'4.0 Result Q-raw data'!U177</f>
        <v>20.552774962518356</v>
      </c>
      <c r="S94" s="20">
        <f>'4.0 Result Q-raw data'!V177</f>
        <v>25.713911338982538</v>
      </c>
    </row>
    <row r="95" spans="2:19" x14ac:dyDescent="0.35">
      <c r="B95" s="6">
        <f>'1. Information samples'!B95</f>
        <v>85</v>
      </c>
      <c r="C95" s="7">
        <f>'1. Information samples'!C95</f>
        <v>46048</v>
      </c>
      <c r="D95" s="6" t="str">
        <f>'1. Information samples'!D95</f>
        <v>Genbank</v>
      </c>
      <c r="E95" s="6">
        <f>'1. Information samples'!E95</f>
        <v>28</v>
      </c>
      <c r="F95" s="6" t="str">
        <f>'1. Information samples'!F95</f>
        <v>F252596</v>
      </c>
      <c r="G95" s="6" t="str">
        <f>'1. Information samples'!G95</f>
        <v>CIAT10026</v>
      </c>
      <c r="H95" s="6" t="str">
        <f>'1. Information samples'!H95</f>
        <v>Stylosanthes</v>
      </c>
      <c r="I95" s="6" t="str">
        <f>'1. Information samples'!I95</f>
        <v>seabrana</v>
      </c>
      <c r="J95" s="6" t="str">
        <f>'1. Information samples'!J95</f>
        <v>Stylosanthes seabrana</v>
      </c>
      <c r="K95" s="6" t="str">
        <f>'1. Information samples'!K95</f>
        <v>Fabaceae</v>
      </c>
      <c r="L95" s="6" t="str">
        <f>'1. Information samples'!L95</f>
        <v>Fabales</v>
      </c>
      <c r="M95" s="6" t="str">
        <f>'1. Information samples'!M95</f>
        <v>Herbaceous</v>
      </c>
      <c r="N95" s="20">
        <f>'4.0 Result Q-raw data'!O179</f>
        <v>92.746813528426955</v>
      </c>
      <c r="O95" s="20">
        <f>'4.0 Result Q-raw data'!Q179</f>
        <v>9.9708925307209171</v>
      </c>
      <c r="P95" s="20">
        <f>'4.0 Result Q-raw data'!S179</f>
        <v>90.029107469279083</v>
      </c>
      <c r="Q95" s="20">
        <f>'4.0 Result Q-raw data'!T179</f>
        <v>16.293993750381642</v>
      </c>
      <c r="R95" s="20">
        <f>'4.0 Result Q-raw data'!U179</f>
        <v>16.293993750381642</v>
      </c>
      <c r="S95" s="20">
        <f>'4.0 Result Q-raw data'!V179</f>
        <v>35.016325330884271</v>
      </c>
    </row>
    <row r="96" spans="2:19" x14ac:dyDescent="0.35">
      <c r="B96" s="6">
        <f>'1. Information samples'!B96</f>
        <v>86</v>
      </c>
      <c r="C96" s="7">
        <f>'1. Information samples'!C96</f>
        <v>46048</v>
      </c>
      <c r="D96" s="6" t="str">
        <f>'1. Information samples'!D96</f>
        <v>Genbank</v>
      </c>
      <c r="E96" s="6">
        <f>'1. Information samples'!E96</f>
        <v>28</v>
      </c>
      <c r="F96" s="6" t="str">
        <f>'1. Information samples'!F96</f>
        <v>F252597</v>
      </c>
      <c r="G96" s="6" t="str">
        <f>'1. Information samples'!G96</f>
        <v>CIAT12411</v>
      </c>
      <c r="H96" s="6" t="str">
        <f>'1. Information samples'!H96</f>
        <v>Stylosanthes</v>
      </c>
      <c r="I96" s="6" t="str">
        <f>'1. Information samples'!I96</f>
        <v>sympodialis</v>
      </c>
      <c r="J96" s="6" t="str">
        <f>'1. Information samples'!J96</f>
        <v>Stylosanthes sympodialis</v>
      </c>
      <c r="K96" s="6" t="str">
        <f>'1. Information samples'!K96</f>
        <v>Fabaceae</v>
      </c>
      <c r="L96" s="6" t="str">
        <f>'1. Information samples'!L96</f>
        <v>Fabales</v>
      </c>
      <c r="M96" s="6" t="str">
        <f>'1. Information samples'!M96</f>
        <v>Herbaceous</v>
      </c>
      <c r="N96" s="20">
        <f>'4.0 Result Q-raw data'!O181</f>
        <v>91.721243292587246</v>
      </c>
      <c r="O96" s="20">
        <f>'4.0 Result Q-raw data'!Q181</f>
        <v>11.778483244157979</v>
      </c>
      <c r="P96" s="20">
        <f>'4.0 Result Q-raw data'!S181</f>
        <v>88.221516755842032</v>
      </c>
      <c r="Q96" s="20">
        <f>'4.0 Result Q-raw data'!T181</f>
        <v>17.93763783569818</v>
      </c>
      <c r="R96" s="20">
        <f>'4.0 Result Q-raw data'!U181</f>
        <v>17.93763783569818</v>
      </c>
      <c r="S96" s="20">
        <f>'4.0 Result Q-raw data'!V181</f>
        <v>33.357116529535872</v>
      </c>
    </row>
    <row r="97" spans="2:19" x14ac:dyDescent="0.35">
      <c r="B97" s="6">
        <f>'1. Information samples'!B97</f>
        <v>87</v>
      </c>
      <c r="C97" s="7">
        <f>'1. Information samples'!C97</f>
        <v>46048</v>
      </c>
      <c r="D97" s="6" t="str">
        <f>'1. Information samples'!D97</f>
        <v>Genbank</v>
      </c>
      <c r="E97" s="6">
        <f>'1. Information samples'!E97</f>
        <v>28</v>
      </c>
      <c r="F97" s="6" t="str">
        <f>'1. Information samples'!F97</f>
        <v>F252598</v>
      </c>
      <c r="G97" s="6" t="str">
        <f>'1. Information samples'!G97</f>
        <v>CIAT13494</v>
      </c>
      <c r="H97" s="6" t="str">
        <f>'1. Information samples'!H97</f>
        <v>Desmodium</v>
      </c>
      <c r="I97" s="6" t="str">
        <f>'1. Information samples'!I97</f>
        <v>tortuosum</v>
      </c>
      <c r="J97" s="6" t="str">
        <f>'1. Information samples'!J97</f>
        <v>Desmodium tortuosum</v>
      </c>
      <c r="K97" s="6" t="str">
        <f>'1. Information samples'!K97</f>
        <v>Fabaceae</v>
      </c>
      <c r="L97" s="6" t="str">
        <f>'1. Information samples'!L97</f>
        <v>Fabales</v>
      </c>
      <c r="M97" s="6" t="str">
        <f>'1. Information samples'!M97</f>
        <v>Shurb_Tree</v>
      </c>
      <c r="N97" s="20">
        <f>'4.0 Result Q-raw data'!O183</f>
        <v>91.666252290987643</v>
      </c>
      <c r="O97" s="20">
        <f>'4.0 Result Q-raw data'!Q183</f>
        <v>10.880236182717553</v>
      </c>
      <c r="P97" s="20">
        <f>'4.0 Result Q-raw data'!S183</f>
        <v>89.119763817282447</v>
      </c>
      <c r="Q97" s="20">
        <f>'4.0 Result Q-raw data'!T183</f>
        <v>21.076179676537187</v>
      </c>
      <c r="R97" s="20">
        <f>'4.0 Result Q-raw data'!U183</f>
        <v>21.076179676537187</v>
      </c>
      <c r="S97" s="20">
        <f>'4.0 Result Q-raw data'!V183</f>
        <v>23.519859134767497</v>
      </c>
    </row>
    <row r="98" spans="2:19" x14ac:dyDescent="0.35">
      <c r="B98" s="6">
        <f>'1. Information samples'!B98</f>
        <v>88</v>
      </c>
      <c r="C98" s="7">
        <f>'1. Information samples'!C98</f>
        <v>46048</v>
      </c>
      <c r="D98" s="6" t="str">
        <f>'1. Information samples'!D98</f>
        <v>Genbank</v>
      </c>
      <c r="E98" s="6">
        <f>'1. Information samples'!E98</f>
        <v>28</v>
      </c>
      <c r="F98" s="6" t="str">
        <f>'1. Information samples'!F98</f>
        <v>F252599</v>
      </c>
      <c r="G98" s="6" t="str">
        <f>'1. Information samples'!G98</f>
        <v>CIAT13562</v>
      </c>
      <c r="H98" s="6" t="str">
        <f>'1. Information samples'!H98</f>
        <v>Desmodium</v>
      </c>
      <c r="I98" s="6" t="str">
        <f>'1. Information samples'!I98</f>
        <v>tortuosum</v>
      </c>
      <c r="J98" s="6" t="str">
        <f>'1. Information samples'!J98</f>
        <v>Desmodium tortuosum</v>
      </c>
      <c r="K98" s="6" t="str">
        <f>'1. Information samples'!K98</f>
        <v>Fabaceae</v>
      </c>
      <c r="L98" s="6" t="str">
        <f>'1. Information samples'!L98</f>
        <v>Fabales</v>
      </c>
      <c r="M98" s="6" t="str">
        <f>'1. Information samples'!M98</f>
        <v>Shurb_Tree</v>
      </c>
      <c r="N98" s="20">
        <f>'4.0 Result Q-raw data'!O185</f>
        <v>91.812044469042831</v>
      </c>
      <c r="O98" s="20">
        <f>'4.0 Result Q-raw data'!Q185</f>
        <v>14.803713899316438</v>
      </c>
      <c r="P98" s="20">
        <f>'4.0 Result Q-raw data'!S185</f>
        <v>85.196286100683551</v>
      </c>
      <c r="Q98" s="20">
        <f>'4.0 Result Q-raw data'!T185</f>
        <v>18.556611437559916</v>
      </c>
      <c r="R98" s="20">
        <f>'4.0 Result Q-raw data'!U185</f>
        <v>18.556611437559916</v>
      </c>
      <c r="S98" s="20">
        <f>'4.0 Result Q-raw data'!V185</f>
        <v>27.304918274776462</v>
      </c>
    </row>
    <row r="99" spans="2:19" x14ac:dyDescent="0.35">
      <c r="B99" s="6">
        <f>'1. Information samples'!B99</f>
        <v>89</v>
      </c>
      <c r="C99" s="7">
        <f>'1. Information samples'!C99</f>
        <v>46048</v>
      </c>
      <c r="D99" s="6" t="str">
        <f>'1. Information samples'!D99</f>
        <v>Genbank</v>
      </c>
      <c r="E99" s="6">
        <f>'1. Information samples'!E99</f>
        <v>28</v>
      </c>
      <c r="F99" s="6" t="str">
        <f>'1. Information samples'!F99</f>
        <v>F252600</v>
      </c>
      <c r="G99" s="6" t="str">
        <f>'1. Information samples'!G99</f>
        <v>CIAT13593</v>
      </c>
      <c r="H99" s="6" t="str">
        <f>'1. Information samples'!H99</f>
        <v>Desmodium</v>
      </c>
      <c r="I99" s="6" t="str">
        <f>'1. Information samples'!I99</f>
        <v>scorpiurus</v>
      </c>
      <c r="J99" s="6" t="str">
        <f>'1. Information samples'!J99</f>
        <v>Desmodium scorpiurus</v>
      </c>
      <c r="K99" s="6" t="str">
        <f>'1. Information samples'!K99</f>
        <v>Fabaceae</v>
      </c>
      <c r="L99" s="6" t="str">
        <f>'1. Information samples'!L99</f>
        <v>Fabales</v>
      </c>
      <c r="M99" s="6" t="str">
        <f>'1. Information samples'!M99</f>
        <v>Herbaceous</v>
      </c>
      <c r="N99" s="20">
        <f>'4.0 Result Q-raw data'!O187</f>
        <v>90.708715142839907</v>
      </c>
      <c r="O99" s="20">
        <f>'4.0 Result Q-raw data'!Q187</f>
        <v>10.47989479506532</v>
      </c>
      <c r="P99" s="20">
        <f>'4.0 Result Q-raw data'!S187</f>
        <v>89.52010520493468</v>
      </c>
      <c r="Q99" s="20">
        <f>'4.0 Result Q-raw data'!T187</f>
        <v>16.648198451736118</v>
      </c>
      <c r="R99" s="20">
        <f>'4.0 Result Q-raw data'!U187</f>
        <v>16.648198451736118</v>
      </c>
      <c r="S99" s="20">
        <f>'4.0 Result Q-raw data'!V187</f>
        <v>42.865431555383012</v>
      </c>
    </row>
    <row r="100" spans="2:19" x14ac:dyDescent="0.35">
      <c r="B100" s="6">
        <f>'1. Information samples'!B100</f>
        <v>90</v>
      </c>
      <c r="C100" s="7">
        <f>'1. Information samples'!C100</f>
        <v>46048</v>
      </c>
      <c r="D100" s="6" t="str">
        <f>'1. Information samples'!D100</f>
        <v>Genbank</v>
      </c>
      <c r="E100" s="6">
        <f>'1. Information samples'!E100</f>
        <v>28</v>
      </c>
      <c r="F100" s="6" t="str">
        <f>'1. Information samples'!F100</f>
        <v>F252601</v>
      </c>
      <c r="G100" s="6" t="str">
        <f>'1. Information samples'!G100</f>
        <v>CIAT13608</v>
      </c>
      <c r="H100" s="6" t="str">
        <f>'1. Information samples'!H100</f>
        <v>Desmodium</v>
      </c>
      <c r="I100" s="6" t="str">
        <f>'1. Information samples'!I100</f>
        <v>incanum</v>
      </c>
      <c r="J100" s="6" t="str">
        <f>'1. Information samples'!J100</f>
        <v>Desmodium incanum</v>
      </c>
      <c r="K100" s="6" t="str">
        <f>'1. Information samples'!K100</f>
        <v>Fabaceae</v>
      </c>
      <c r="L100" s="6" t="str">
        <f>'1. Information samples'!L100</f>
        <v>Fabales</v>
      </c>
      <c r="M100" s="6" t="str">
        <f>'1. Information samples'!M100</f>
        <v>Herbaceous</v>
      </c>
      <c r="N100" s="20">
        <f>'4.0 Result Q-raw data'!O189</f>
        <v>92.609078730672564</v>
      </c>
      <c r="O100" s="20">
        <f>'4.0 Result Q-raw data'!Q189</f>
        <v>9.9773455627446666</v>
      </c>
      <c r="P100" s="20">
        <f>'4.0 Result Q-raw data'!S189</f>
        <v>90.022654437255341</v>
      </c>
      <c r="Q100" s="20">
        <f>'4.0 Result Q-raw data'!T189</f>
        <v>17.577517504014267</v>
      </c>
      <c r="R100" s="20">
        <f>'4.0 Result Q-raw data'!U189</f>
        <v>17.577517504014267</v>
      </c>
      <c r="S100" s="20">
        <f>'4.0 Result Q-raw data'!V189</f>
        <v>44.62612732080337</v>
      </c>
    </row>
    <row r="101" spans="2:19" x14ac:dyDescent="0.35">
      <c r="B101" s="6">
        <f>'1. Information samples'!B101</f>
        <v>91</v>
      </c>
      <c r="C101" s="7">
        <f>'1. Information samples'!C101</f>
        <v>46048</v>
      </c>
      <c r="D101" s="6" t="str">
        <f>'1. Information samples'!D101</f>
        <v>Genbank</v>
      </c>
      <c r="E101" s="6">
        <f>'1. Information samples'!E101</f>
        <v>28</v>
      </c>
      <c r="F101" s="6" t="str">
        <f>'1. Information samples'!F101</f>
        <v>F252602</v>
      </c>
      <c r="G101" s="6" t="str">
        <f>'1. Information samples'!G101</f>
        <v>CIAT18277</v>
      </c>
      <c r="H101" s="6" t="str">
        <f>'1. Information samples'!H101</f>
        <v>Indigofera</v>
      </c>
      <c r="I101" s="6" t="str">
        <f>'1. Information samples'!I101</f>
        <v>jamaicensis</v>
      </c>
      <c r="J101" s="6" t="str">
        <f>'1. Information samples'!J101</f>
        <v>Indigofera jamaicensis</v>
      </c>
      <c r="K101" s="6" t="str">
        <f>'1. Information samples'!K101</f>
        <v>Fabaceae</v>
      </c>
      <c r="L101" s="6" t="str">
        <f>'1. Information samples'!L101</f>
        <v>Fabales</v>
      </c>
      <c r="M101" s="6" t="str">
        <f>'1. Information samples'!M101</f>
        <v>Herbaceous</v>
      </c>
      <c r="N101" s="20">
        <f>'4.0 Result Q-raw data'!O191</f>
        <v>89.827567623085784</v>
      </c>
      <c r="O101" s="20">
        <f>'4.0 Result Q-raw data'!Q191</f>
        <v>10.328238948772755</v>
      </c>
      <c r="P101" s="20">
        <f>'4.0 Result Q-raw data'!S191</f>
        <v>89.67176105122725</v>
      </c>
      <c r="Q101" s="20">
        <f>'4.0 Result Q-raw data'!T191</f>
        <v>21.940146401110969</v>
      </c>
      <c r="R101" s="20">
        <f>'4.0 Result Q-raw data'!U191</f>
        <v>21.940146401110969</v>
      </c>
      <c r="S101" s="20">
        <f>'4.0 Result Q-raw data'!V191</f>
        <v>32.667992855956271</v>
      </c>
    </row>
    <row r="102" spans="2:19" x14ac:dyDescent="0.35">
      <c r="B102" s="6">
        <f>'1. Information samples'!B102</f>
        <v>92</v>
      </c>
      <c r="C102" s="7">
        <f>'1. Information samples'!C102</f>
        <v>46048</v>
      </c>
      <c r="D102" s="6" t="str">
        <f>'1. Information samples'!D102</f>
        <v>Genbank</v>
      </c>
      <c r="E102" s="6">
        <f>'1. Information samples'!E102</f>
        <v>28</v>
      </c>
      <c r="F102" s="6" t="str">
        <f>'1. Information samples'!F102</f>
        <v>F252603</v>
      </c>
      <c r="G102" s="6" t="str">
        <f>'1. Information samples'!G102</f>
        <v>CIAT18952</v>
      </c>
      <c r="H102" s="6" t="str">
        <f>'1. Information samples'!H102</f>
        <v>Indigofera</v>
      </c>
      <c r="I102" s="6" t="str">
        <f>'1. Information samples'!I102</f>
        <v>atriceps</v>
      </c>
      <c r="J102" s="6" t="str">
        <f>'1. Information samples'!J102</f>
        <v>Indigofera atriceps</v>
      </c>
      <c r="K102" s="6" t="str">
        <f>'1. Information samples'!K102</f>
        <v>Fabaceae</v>
      </c>
      <c r="L102" s="6" t="str">
        <f>'1. Information samples'!L102</f>
        <v>Fabales</v>
      </c>
      <c r="M102" s="6" t="str">
        <f>'1. Information samples'!M102</f>
        <v>Herbaceous</v>
      </c>
      <c r="N102" s="20">
        <f>'4.0 Result Q-raw data'!O193</f>
        <v>90.342908737611964</v>
      </c>
      <c r="O102" s="20">
        <f>'4.0 Result Q-raw data'!Q193</f>
        <v>18.092354248590603</v>
      </c>
      <c r="P102" s="20">
        <f>'4.0 Result Q-raw data'!S193</f>
        <v>81.90764575140939</v>
      </c>
      <c r="Q102" s="20">
        <f>'4.0 Result Q-raw data'!T193</f>
        <v>16.681806242228959</v>
      </c>
      <c r="R102" s="20">
        <f>'4.0 Result Q-raw data'!U193</f>
        <v>16.658173479258529</v>
      </c>
      <c r="S102" s="20">
        <f>'4.0 Result Q-raw data'!V193</f>
        <v>41.739477763617359</v>
      </c>
    </row>
    <row r="103" spans="2:19" x14ac:dyDescent="0.35">
      <c r="B103" s="6">
        <f>'1. Information samples'!B103</f>
        <v>93</v>
      </c>
      <c r="C103" s="7">
        <f>'1. Information samples'!C103</f>
        <v>46048</v>
      </c>
      <c r="D103" s="6" t="str">
        <f>'1. Information samples'!D103</f>
        <v>Jacobo Arango/ Alejandro Montoya</v>
      </c>
      <c r="E103" s="6">
        <f>'1. Information samples'!E103</f>
        <v>28</v>
      </c>
      <c r="F103" s="6" t="str">
        <f>'1. Information samples'!F103</f>
        <v>F250008</v>
      </c>
      <c r="G103" s="6" t="str">
        <f>'1. Information samples'!G103</f>
        <v>Sample 8</v>
      </c>
      <c r="H103" s="6" t="str">
        <f>'1. Information samples'!H103</f>
        <v>Cynodon</v>
      </c>
      <c r="I103" s="6" t="str">
        <f>'1. Information samples'!I103</f>
        <v xml:space="preserve"> nlemfuensis </v>
      </c>
      <c r="J103" s="6" t="str">
        <f>'1. Information samples'!J103</f>
        <v xml:space="preserve">Cynodon nlemfuensis </v>
      </c>
      <c r="K103" s="6" t="str">
        <f>'1. Information samples'!K103</f>
        <v>Poaceae</v>
      </c>
      <c r="L103" s="6" t="str">
        <f>'1. Information samples'!L103</f>
        <v>Poales</v>
      </c>
      <c r="M103" s="6" t="str">
        <f>'1. Information samples'!M103</f>
        <v>grasses</v>
      </c>
      <c r="N103" s="20">
        <f>'4.0 Result Q-raw data'!O195</f>
        <v>93.55</v>
      </c>
      <c r="O103" s="20">
        <f>'4.0 Result Q-raw data'!Q195</f>
        <v>11.4</v>
      </c>
      <c r="P103" s="20">
        <f>'4.0 Result Q-raw data'!S195</f>
        <v>88.6</v>
      </c>
      <c r="Q103" s="20">
        <f>'4.0 Result Q-raw data'!T195</f>
        <v>0</v>
      </c>
      <c r="R103" s="20">
        <f>'4.0 Result Q-raw data'!U195</f>
        <v>0</v>
      </c>
      <c r="S103" s="20">
        <f>'4.0 Result Q-raw data'!V195</f>
        <v>0</v>
      </c>
    </row>
    <row r="104" spans="2:19" x14ac:dyDescent="0.35">
      <c r="B104" s="6">
        <f>'1. Information samples'!B104</f>
        <v>94</v>
      </c>
      <c r="C104" s="7">
        <f>'1. Information samples'!C104</f>
        <v>46055</v>
      </c>
      <c r="D104" s="6" t="str">
        <f>'1. Information samples'!D104</f>
        <v>Genbank</v>
      </c>
      <c r="E104" s="6">
        <f>'1. Information samples'!E104</f>
        <v>29</v>
      </c>
      <c r="F104" s="6" t="str">
        <f>'1. Information samples'!F104</f>
        <v>F252604</v>
      </c>
      <c r="G104" s="6" t="str">
        <f>'1. Information samples'!G104</f>
        <v>CIAT18953</v>
      </c>
      <c r="H104" s="6" t="str">
        <f>'1. Information samples'!H104</f>
        <v>Indigofera</v>
      </c>
      <c r="I104" s="6" t="str">
        <f>'1. Information samples'!I104</f>
        <v>atriceps</v>
      </c>
      <c r="J104" s="6" t="str">
        <f>'1. Information samples'!J104</f>
        <v>Indigofera atriceps</v>
      </c>
      <c r="K104" s="6" t="str">
        <f>'1. Information samples'!K104</f>
        <v>Fabaceae</v>
      </c>
      <c r="L104" s="6" t="str">
        <f>'1. Information samples'!L104</f>
        <v>Fabales</v>
      </c>
      <c r="M104" s="6" t="str">
        <f>'1. Information samples'!M104</f>
        <v>Herbaceous</v>
      </c>
      <c r="N104" s="20">
        <f>'4.0 Result Q-raw data'!O197</f>
        <v>89.536567029890961</v>
      </c>
      <c r="O104" s="20">
        <f>'4.0 Result Q-raw data'!Q197</f>
        <v>11.971212736520121</v>
      </c>
      <c r="P104" s="20">
        <f>'4.0 Result Q-raw data'!S197</f>
        <v>88.02878726347987</v>
      </c>
      <c r="Q104" s="20">
        <f>'4.0 Result Q-raw data'!T197</f>
        <v>13.46691821367828</v>
      </c>
      <c r="R104" s="20">
        <f>'4.0 Result Q-raw data'!U197</f>
        <v>13.46691821367828</v>
      </c>
      <c r="S104" s="20">
        <f>'4.0 Result Q-raw data'!V197</f>
        <v>44.857637751796531</v>
      </c>
    </row>
    <row r="105" spans="2:19" x14ac:dyDescent="0.35">
      <c r="B105" s="6">
        <f>'1. Information samples'!B105</f>
        <v>95</v>
      </c>
      <c r="C105" s="7">
        <f>'1. Information samples'!C105</f>
        <v>46055</v>
      </c>
      <c r="D105" s="6" t="str">
        <f>'1. Information samples'!D105</f>
        <v>Genbank</v>
      </c>
      <c r="E105" s="6">
        <f>'1. Information samples'!E105</f>
        <v>29</v>
      </c>
      <c r="F105" s="6" t="str">
        <f>'1. Information samples'!F105</f>
        <v>F252605</v>
      </c>
      <c r="G105" s="6" t="str">
        <f>'1. Information samples'!G105</f>
        <v>CIAT18954</v>
      </c>
      <c r="H105" s="6" t="str">
        <f>'1. Information samples'!H105</f>
        <v>Indigofera</v>
      </c>
      <c r="I105" s="6" t="str">
        <f>'1. Information samples'!I105</f>
        <v>atriceps</v>
      </c>
      <c r="J105" s="6" t="str">
        <f>'1. Information samples'!J105</f>
        <v>Indigofera atriceps</v>
      </c>
      <c r="K105" s="6" t="str">
        <f>'1. Information samples'!K105</f>
        <v>Fabaceae</v>
      </c>
      <c r="L105" s="6" t="str">
        <f>'1. Information samples'!L105</f>
        <v>Fabales</v>
      </c>
      <c r="M105" s="6" t="str">
        <f>'1. Information samples'!M105</f>
        <v>Herbaceous</v>
      </c>
      <c r="N105" s="20">
        <f>'4.0 Result Q-raw data'!O199</f>
        <v>92.941059823231768</v>
      </c>
      <c r="O105" s="20">
        <f>'4.0 Result Q-raw data'!Q199</f>
        <v>20.284077874435134</v>
      </c>
      <c r="P105" s="20">
        <f>'4.0 Result Q-raw data'!S199</f>
        <v>79.715922125564873</v>
      </c>
      <c r="Q105" s="20">
        <f>'4.0 Result Q-raw data'!T199</f>
        <v>17.605298353449115</v>
      </c>
      <c r="R105" s="20">
        <f>'4.0 Result Q-raw data'!U199</f>
        <v>17.605298353449115</v>
      </c>
      <c r="S105" s="20">
        <f>'4.0 Result Q-raw data'!V199</f>
        <v>45.564478802727294</v>
      </c>
    </row>
    <row r="106" spans="2:19" x14ac:dyDescent="0.35">
      <c r="B106" s="6">
        <f>'1. Information samples'!B106</f>
        <v>96</v>
      </c>
      <c r="C106" s="7">
        <f>'1. Information samples'!C106</f>
        <v>46055</v>
      </c>
      <c r="D106" s="6" t="str">
        <f>'1. Information samples'!D106</f>
        <v>Genbank</v>
      </c>
      <c r="E106" s="6">
        <f>'1. Information samples'!E106</f>
        <v>29</v>
      </c>
      <c r="F106" s="6" t="str">
        <f>'1. Information samples'!F106</f>
        <v>F252606</v>
      </c>
      <c r="G106" s="6" t="str">
        <f>'1. Information samples'!G106</f>
        <v>CIAT19198</v>
      </c>
      <c r="H106" s="6" t="str">
        <f>'1. Information samples'!H106</f>
        <v>Tephrosia</v>
      </c>
      <c r="I106" s="6" t="str">
        <f>'1. Information samples'!I106</f>
        <v>villosa</v>
      </c>
      <c r="J106" s="6" t="str">
        <f>'1. Information samples'!J106</f>
        <v>Tephrosia villosa</v>
      </c>
      <c r="K106" s="6" t="str">
        <f>'1. Information samples'!K106</f>
        <v>Fabaceae</v>
      </c>
      <c r="L106" s="6" t="str">
        <f>'1. Information samples'!L106</f>
        <v>Fabales</v>
      </c>
      <c r="M106" s="6" t="str">
        <f>'1. Information samples'!M106</f>
        <v>Herbaceous</v>
      </c>
      <c r="N106" s="20">
        <f>'4.0 Result Q-raw data'!O201</f>
        <v>90.542836770795731</v>
      </c>
      <c r="O106" s="20">
        <f>'4.0 Result Q-raw data'!Q201</f>
        <v>11.322558794802035</v>
      </c>
      <c r="P106" s="20">
        <f>'4.0 Result Q-raw data'!S201</f>
        <v>88.677441205197965</v>
      </c>
      <c r="Q106" s="20">
        <f>'4.0 Result Q-raw data'!T201</f>
        <v>26.998023936265938</v>
      </c>
      <c r="R106" s="20">
        <f>'4.0 Result Q-raw data'!U201</f>
        <v>26.998023936265938</v>
      </c>
      <c r="S106" s="20">
        <f>'4.0 Result Q-raw data'!V201</f>
        <v>33.602407279175218</v>
      </c>
    </row>
    <row r="107" spans="2:19" x14ac:dyDescent="0.35">
      <c r="B107" s="6">
        <f>'1. Information samples'!B107</f>
        <v>97</v>
      </c>
      <c r="C107" s="7">
        <f>'1. Information samples'!C107</f>
        <v>46055</v>
      </c>
      <c r="D107" s="6" t="str">
        <f>'1. Information samples'!D107</f>
        <v>Genbank</v>
      </c>
      <c r="E107" s="6">
        <f>'1. Information samples'!E107</f>
        <v>29</v>
      </c>
      <c r="F107" s="6" t="str">
        <f>'1. Information samples'!F107</f>
        <v>F252607</v>
      </c>
      <c r="G107" s="6" t="str">
        <f>'1. Information samples'!G107</f>
        <v>CIAT19460</v>
      </c>
      <c r="H107" s="6" t="str">
        <f>'1. Information samples'!H107</f>
        <v>Sesbania</v>
      </c>
      <c r="I107" s="6" t="str">
        <f>'1. Information samples'!I107</f>
        <v>cannabina</v>
      </c>
      <c r="J107" s="6" t="str">
        <f>'1. Information samples'!J107</f>
        <v>Sesbania cannabina</v>
      </c>
      <c r="K107" s="6" t="str">
        <f>'1. Information samples'!K107</f>
        <v>Fabaceae</v>
      </c>
      <c r="L107" s="6" t="str">
        <f>'1. Information samples'!L107</f>
        <v>Fabales</v>
      </c>
      <c r="M107" s="6" t="str">
        <f>'1. Information samples'!M107</f>
        <v>Shurb_Tree</v>
      </c>
      <c r="N107" s="20">
        <f>'4.0 Result Q-raw data'!O203</f>
        <v>91.03358847418238</v>
      </c>
      <c r="O107" s="20">
        <f>'4.0 Result Q-raw data'!Q203</f>
        <v>10.426287808953671</v>
      </c>
      <c r="P107" s="20">
        <f>'4.0 Result Q-raw data'!S203</f>
        <v>89.573712191046326</v>
      </c>
      <c r="Q107" s="20">
        <f>'4.0 Result Q-raw data'!T203</f>
        <v>21.69628457518186</v>
      </c>
      <c r="R107" s="20">
        <f>'4.0 Result Q-raw data'!U203</f>
        <v>21.69628457518186</v>
      </c>
      <c r="S107" s="20">
        <f>'4.0 Result Q-raw data'!V203</f>
        <v>33.901700784130725</v>
      </c>
    </row>
    <row r="108" spans="2:19" x14ac:dyDescent="0.35">
      <c r="B108" s="6">
        <f>'1. Information samples'!B108</f>
        <v>98</v>
      </c>
      <c r="C108" s="7">
        <f>'1. Information samples'!C108</f>
        <v>46055</v>
      </c>
      <c r="D108" s="6" t="str">
        <f>'1. Information samples'!D108</f>
        <v>Genbank</v>
      </c>
      <c r="E108" s="6">
        <f>'1. Information samples'!E108</f>
        <v>29</v>
      </c>
      <c r="F108" s="6" t="str">
        <f>'1. Information samples'!F108</f>
        <v>F252608</v>
      </c>
      <c r="G108" s="6" t="str">
        <f>'1. Information samples'!G108</f>
        <v>CIAT20044</v>
      </c>
      <c r="H108" s="6" t="str">
        <f>'1. Information samples'!H108</f>
        <v>Tephrosia</v>
      </c>
      <c r="I108" s="6" t="str">
        <f>'1. Information samples'!I108</f>
        <v>purpurea</v>
      </c>
      <c r="J108" s="6" t="str">
        <f>'1. Information samples'!J108</f>
        <v>Tephrosia purpurea</v>
      </c>
      <c r="K108" s="6" t="str">
        <f>'1. Information samples'!K108</f>
        <v>Fabaceae</v>
      </c>
      <c r="L108" s="6" t="str">
        <f>'1. Information samples'!L108</f>
        <v>Fabales</v>
      </c>
      <c r="M108" s="6" t="str">
        <f>'1. Information samples'!M108</f>
        <v>Herbaceous</v>
      </c>
      <c r="N108" s="20">
        <f>'4.0 Result Q-raw data'!O205</f>
        <v>92.176176303585407</v>
      </c>
      <c r="O108" s="20">
        <f>'4.0 Result Q-raw data'!Q205</f>
        <v>11.530513846002735</v>
      </c>
      <c r="P108" s="20">
        <f>'4.0 Result Q-raw data'!S205</f>
        <v>88.469486153997252</v>
      </c>
      <c r="Q108" s="20">
        <f>'4.0 Result Q-raw data'!T205</f>
        <v>27.96478551583979</v>
      </c>
      <c r="R108" s="20">
        <f>'4.0 Result Q-raw data'!U205</f>
        <v>27.96478551583979</v>
      </c>
      <c r="S108" s="20">
        <f>'4.0 Result Q-raw data'!V205</f>
        <v>25.267587312017319</v>
      </c>
    </row>
    <row r="109" spans="2:19" x14ac:dyDescent="0.35">
      <c r="B109" s="6">
        <f>'1. Information samples'!B109</f>
        <v>99</v>
      </c>
      <c r="C109" s="7">
        <f>'1. Information samples'!C109</f>
        <v>46055</v>
      </c>
      <c r="D109" s="6" t="str">
        <f>'1. Information samples'!D109</f>
        <v>Genbank</v>
      </c>
      <c r="E109" s="6">
        <f>'1. Information samples'!E109</f>
        <v>29</v>
      </c>
      <c r="F109" s="6" t="str">
        <f>'1. Information samples'!F109</f>
        <v>F252609</v>
      </c>
      <c r="G109" s="6" t="str">
        <f>'1. Information samples'!G109</f>
        <v>CIAT22423</v>
      </c>
      <c r="H109" s="6" t="str">
        <f>'1. Information samples'!H109</f>
        <v>Vigna</v>
      </c>
      <c r="I109" s="6" t="str">
        <f>'1. Information samples'!I109</f>
        <v>unguiculata</v>
      </c>
      <c r="J109" s="6" t="str">
        <f>'1. Information samples'!J109</f>
        <v>Vigna unguiculata</v>
      </c>
      <c r="K109" s="6" t="str">
        <f>'1. Information samples'!K109</f>
        <v>Fabaceae</v>
      </c>
      <c r="L109" s="6" t="str">
        <f>'1. Information samples'!L109</f>
        <v>Fabales</v>
      </c>
      <c r="M109" s="6" t="str">
        <f>'1. Information samples'!M109</f>
        <v>Herbaceous</v>
      </c>
      <c r="N109" s="20">
        <f>'4.0 Result Q-raw data'!O207</f>
        <v>90.605928814237089</v>
      </c>
      <c r="O109" s="20">
        <f>'4.0 Result Q-raw data'!Q207</f>
        <v>12.050921361382503</v>
      </c>
      <c r="P109" s="20">
        <f>'4.0 Result Q-raw data'!S207</f>
        <v>87.949078638617493</v>
      </c>
      <c r="Q109" s="20">
        <f>'4.0 Result Q-raw data'!T207</f>
        <v>27.744721817861834</v>
      </c>
      <c r="R109" s="20">
        <f>'4.0 Result Q-raw data'!U207</f>
        <v>27.744721817861834</v>
      </c>
      <c r="S109" s="20">
        <f>'4.0 Result Q-raw data'!V207</f>
        <v>27.765210989906425</v>
      </c>
    </row>
    <row r="110" spans="2:19" x14ac:dyDescent="0.35">
      <c r="B110" s="6">
        <f>'1. Information samples'!B110</f>
        <v>100</v>
      </c>
      <c r="C110" s="7">
        <f>'1. Information samples'!C110</f>
        <v>46055</v>
      </c>
      <c r="D110" s="6" t="str">
        <f>'1. Information samples'!D110</f>
        <v>Genbank</v>
      </c>
      <c r="E110" s="6">
        <f>'1. Information samples'!E110</f>
        <v>29</v>
      </c>
      <c r="F110" s="6" t="str">
        <f>'1. Information samples'!F110</f>
        <v>F252610</v>
      </c>
      <c r="G110" s="6" t="str">
        <f>'1. Information samples'!G110</f>
        <v>CIAT22480</v>
      </c>
      <c r="H110" s="6" t="str">
        <f>'1. Information samples'!H110</f>
        <v>Sesbania</v>
      </c>
      <c r="I110" s="6" t="str">
        <f>'1. Information samples'!I110</f>
        <v>cannabina</v>
      </c>
      <c r="J110" s="6" t="str">
        <f>'1. Information samples'!J110</f>
        <v>Sesbania cannabina</v>
      </c>
      <c r="K110" s="6" t="str">
        <f>'1. Information samples'!K110</f>
        <v>Fabaceae</v>
      </c>
      <c r="L110" s="6" t="str">
        <f>'1. Information samples'!L110</f>
        <v>Fabales</v>
      </c>
      <c r="M110" s="6" t="str">
        <f>'1. Information samples'!M110</f>
        <v>Shurb_Tree</v>
      </c>
      <c r="N110" s="20">
        <f>'4.0 Result Q-raw data'!O209</f>
        <v>92.479132710278932</v>
      </c>
      <c r="O110" s="20">
        <f>'4.0 Result Q-raw data'!Q209</f>
        <v>11.677108841714169</v>
      </c>
      <c r="P110" s="20">
        <f>'4.0 Result Q-raw data'!S209</f>
        <v>88.322891158285842</v>
      </c>
      <c r="Q110" s="20">
        <f>'4.0 Result Q-raw data'!T209</f>
        <v>26.980756921854944</v>
      </c>
      <c r="R110" s="20">
        <f>'4.0 Result Q-raw data'!U209</f>
        <v>26.980756921854944</v>
      </c>
      <c r="S110" s="20">
        <f>'4.0 Result Q-raw data'!V209</f>
        <v>27.253123076779872</v>
      </c>
    </row>
    <row r="111" spans="2:19" x14ac:dyDescent="0.35">
      <c r="B111" s="6">
        <f>'1. Information samples'!B111</f>
        <v>101</v>
      </c>
      <c r="C111" s="7">
        <f>'1. Information samples'!C111</f>
        <v>46055</v>
      </c>
      <c r="D111" s="6" t="str">
        <f>'1. Information samples'!D111</f>
        <v>Genbank</v>
      </c>
      <c r="E111" s="6">
        <f>'1. Information samples'!E111</f>
        <v>29</v>
      </c>
      <c r="F111" s="6" t="str">
        <f>'1. Information samples'!F111</f>
        <v>F252611</v>
      </c>
      <c r="G111" s="6" t="str">
        <f>'1. Information samples'!G111</f>
        <v>CIAT23116</v>
      </c>
      <c r="H111" s="6" t="str">
        <f>'1. Information samples'!H111</f>
        <v>Desmodium</v>
      </c>
      <c r="I111" s="6" t="str">
        <f>'1. Information samples'!I111</f>
        <v>tortuosum</v>
      </c>
      <c r="J111" s="6" t="str">
        <f>'1. Information samples'!J111</f>
        <v>Desmodium tortuosum</v>
      </c>
      <c r="K111" s="6" t="str">
        <f>'1. Information samples'!K111</f>
        <v>Fabaceae</v>
      </c>
      <c r="L111" s="6" t="str">
        <f>'1. Information samples'!L111</f>
        <v>Fabales</v>
      </c>
      <c r="M111" s="6" t="str">
        <f>'1. Information samples'!M111</f>
        <v>Shurb_Tree</v>
      </c>
      <c r="N111" s="20">
        <f>'4.0 Result Q-raw data'!O211</f>
        <v>92.565741851629753</v>
      </c>
      <c r="O111" s="20">
        <f>'4.0 Result Q-raw data'!Q211</f>
        <v>10.866874718600904</v>
      </c>
      <c r="P111" s="20">
        <f>'4.0 Result Q-raw data'!S211</f>
        <v>89.133125281399089</v>
      </c>
      <c r="Q111" s="20">
        <f>'4.0 Result Q-raw data'!T211</f>
        <v>18.225289875128052</v>
      </c>
      <c r="R111" s="20">
        <f>'4.0 Result Q-raw data'!U211</f>
        <v>18.225289875128052</v>
      </c>
      <c r="S111" s="20">
        <f>'4.0 Result Q-raw data'!V211</f>
        <v>36.936409572680162</v>
      </c>
    </row>
    <row r="112" spans="2:19" x14ac:dyDescent="0.35">
      <c r="B112" s="6">
        <f>'1. Information samples'!B112</f>
        <v>102</v>
      </c>
      <c r="C112" s="7">
        <f>'1. Information samples'!C112</f>
        <v>46055</v>
      </c>
      <c r="D112" s="6" t="str">
        <f>'1. Information samples'!D112</f>
        <v>Genbank</v>
      </c>
      <c r="E112" s="6">
        <f>'1. Information samples'!E112</f>
        <v>29</v>
      </c>
      <c r="F112" s="6" t="str">
        <f>'1. Information samples'!F112</f>
        <v>F252612</v>
      </c>
      <c r="G112" s="6" t="str">
        <f>'1. Information samples'!G112</f>
        <v>CIAT23416</v>
      </c>
      <c r="H112" s="6" t="str">
        <f>'1. Information samples'!H112</f>
        <v>Codariocalyx</v>
      </c>
      <c r="I112" s="6" t="str">
        <f>'1. Information samples'!I112</f>
        <v>motorius</v>
      </c>
      <c r="J112" s="6" t="str">
        <f>'1. Information samples'!J112</f>
        <v>Codariocalyx motorius</v>
      </c>
      <c r="K112" s="6" t="str">
        <f>'1. Information samples'!K112</f>
        <v>Fabaceae</v>
      </c>
      <c r="L112" s="6" t="str">
        <f>'1. Information samples'!L112</f>
        <v>Fabales</v>
      </c>
      <c r="M112" s="6" t="str">
        <f>'1. Information samples'!M112</f>
        <v>Shurb_Tree</v>
      </c>
      <c r="N112" s="20">
        <f>'4.0 Result Q-raw data'!O213</f>
        <v>92.807513459826822</v>
      </c>
      <c r="O112" s="20">
        <f>'4.0 Result Q-raw data'!Q213</f>
        <v>12.273817300985836</v>
      </c>
      <c r="P112" s="20">
        <f>'4.0 Result Q-raw data'!S213</f>
        <v>87.726182699014174</v>
      </c>
      <c r="Q112" s="20">
        <f>'4.0 Result Q-raw data'!T213</f>
        <v>18.142715294395835</v>
      </c>
      <c r="R112" s="20">
        <f>'4.0 Result Q-raw data'!U213</f>
        <v>18.142715294395835</v>
      </c>
      <c r="S112" s="20">
        <f>'4.0 Result Q-raw data'!V213</f>
        <v>40.906148058339589</v>
      </c>
    </row>
    <row r="113" spans="2:19" x14ac:dyDescent="0.35">
      <c r="B113" s="6">
        <f>'1. Information samples'!B113</f>
        <v>103</v>
      </c>
      <c r="C113" s="7">
        <f>'1. Information samples'!C113</f>
        <v>46055</v>
      </c>
      <c r="D113" s="6" t="str">
        <f>'1. Information samples'!D113</f>
        <v>Genbank</v>
      </c>
      <c r="E113" s="6">
        <f>'1. Information samples'!E113</f>
        <v>29</v>
      </c>
      <c r="F113" s="6" t="str">
        <f>'1. Information samples'!F113</f>
        <v>F252613</v>
      </c>
      <c r="G113" s="6" t="str">
        <f>'1. Information samples'!G113</f>
        <v>CIAT23806</v>
      </c>
      <c r="H113" s="6" t="str">
        <f>'1. Information samples'!H113</f>
        <v>Desmodium</v>
      </c>
      <c r="I113" s="6" t="str">
        <f>'1. Information samples'!I113</f>
        <v>angustifolium</v>
      </c>
      <c r="J113" s="6" t="str">
        <f>'1. Information samples'!J113</f>
        <v>Desmodium angustifolium</v>
      </c>
      <c r="K113" s="6" t="str">
        <f>'1. Information samples'!K113</f>
        <v>Fabaceae</v>
      </c>
      <c r="L113" s="6" t="str">
        <f>'1. Information samples'!L113</f>
        <v>Fabales</v>
      </c>
      <c r="M113" s="6" t="str">
        <f>'1. Information samples'!M113</f>
        <v>Herbaceous</v>
      </c>
      <c r="N113" s="20">
        <f>'4.0 Result Q-raw data'!O215</f>
        <v>92.766084319382458</v>
      </c>
      <c r="O113" s="20">
        <f>'4.0 Result Q-raw data'!Q215</f>
        <v>9.9267030610067515</v>
      </c>
      <c r="P113" s="20">
        <f>'4.0 Result Q-raw data'!S215</f>
        <v>90.073296938993252</v>
      </c>
      <c r="Q113" s="20">
        <f>'4.0 Result Q-raw data'!T215</f>
        <v>13.603227278666502</v>
      </c>
      <c r="R113" s="20">
        <f>'4.0 Result Q-raw data'!U215</f>
        <v>13.497157695731715</v>
      </c>
      <c r="S113" s="20">
        <f>'4.0 Result Q-raw data'!V215</f>
        <v>35.466057633050482</v>
      </c>
    </row>
    <row r="114" spans="2:19" x14ac:dyDescent="0.35">
      <c r="B114" s="6">
        <f>'1. Information samples'!B114</f>
        <v>104</v>
      </c>
      <c r="C114" s="7">
        <f>'1. Information samples'!C114</f>
        <v>46055</v>
      </c>
      <c r="D114" s="6" t="str">
        <f>'1. Information samples'!D114</f>
        <v>Genbank</v>
      </c>
      <c r="E114" s="6">
        <f>'1. Information samples'!E114</f>
        <v>29</v>
      </c>
      <c r="F114" s="6" t="str">
        <f>'1. Information samples'!F114</f>
        <v>F252614</v>
      </c>
      <c r="G114" s="6" t="str">
        <f>'1. Information samples'!G114</f>
        <v>CIAT24104</v>
      </c>
      <c r="H114" s="6" t="str">
        <f>'1. Information samples'!H114</f>
        <v>Macroptilium</v>
      </c>
      <c r="I114" s="6" t="str">
        <f>'1. Information samples'!I114</f>
        <v>atropurpureum</v>
      </c>
      <c r="J114" s="6" t="str">
        <f>'1. Information samples'!J114</f>
        <v>Macroptilium atropurpureum</v>
      </c>
      <c r="K114" s="6" t="str">
        <f>'1. Information samples'!K114</f>
        <v>Fabaceae</v>
      </c>
      <c r="L114" s="6" t="str">
        <f>'1. Information samples'!L114</f>
        <v>Fabales</v>
      </c>
      <c r="M114" s="6" t="str">
        <f>'1. Information samples'!M114</f>
        <v>Herbaceous</v>
      </c>
      <c r="N114" s="20">
        <f>'4.0 Result Q-raw data'!O217</f>
        <v>92.297703877515374</v>
      </c>
      <c r="O114" s="20">
        <f>'4.0 Result Q-raw data'!Q217</f>
        <v>13.072678126653653</v>
      </c>
      <c r="P114" s="20">
        <f>'4.0 Result Q-raw data'!S217</f>
        <v>86.927321873346358</v>
      </c>
      <c r="Q114" s="20">
        <f>'4.0 Result Q-raw data'!T217</f>
        <v>26.641708781822125</v>
      </c>
      <c r="R114" s="20">
        <f>'4.0 Result Q-raw data'!U217</f>
        <v>26.641708781822125</v>
      </c>
      <c r="S114" s="20">
        <f>'4.0 Result Q-raw data'!V217</f>
        <v>26.4382087553643</v>
      </c>
    </row>
    <row r="115" spans="2:19" x14ac:dyDescent="0.35">
      <c r="B115" s="6">
        <f>'1. Information samples'!B115</f>
        <v>105</v>
      </c>
      <c r="C115" s="7">
        <f>'1. Information samples'!C115</f>
        <v>46055</v>
      </c>
      <c r="D115" s="6" t="str">
        <f>'1. Information samples'!D115</f>
        <v>Genbank</v>
      </c>
      <c r="E115" s="6">
        <f>'1. Information samples'!E115</f>
        <v>29</v>
      </c>
      <c r="F115" s="6" t="str">
        <f>'1. Information samples'!F115</f>
        <v>F252615</v>
      </c>
      <c r="G115" s="6" t="str">
        <f>'1. Information samples'!G115</f>
        <v>CIAT24565</v>
      </c>
      <c r="H115" s="6" t="str">
        <f>'1. Information samples'!H115</f>
        <v>Vigna</v>
      </c>
      <c r="I115" s="6" t="str">
        <f>'1. Information samples'!I115</f>
        <v>unguiculata</v>
      </c>
      <c r="J115" s="6" t="str">
        <f>'1. Information samples'!J115</f>
        <v>Vigna unguiculata</v>
      </c>
      <c r="K115" s="6" t="str">
        <f>'1. Information samples'!K115</f>
        <v>Fabaceae</v>
      </c>
      <c r="L115" s="6" t="str">
        <f>'1. Information samples'!L115</f>
        <v>Fabales</v>
      </c>
      <c r="M115" s="6" t="str">
        <f>'1. Information samples'!M115</f>
        <v>Herbaceous</v>
      </c>
      <c r="N115" s="20">
        <f>'4.0 Result Q-raw data'!O219</f>
        <v>90.072473763118381</v>
      </c>
      <c r="O115" s="20">
        <f>'4.0 Result Q-raw data'!Q219</f>
        <v>11.421282057171805</v>
      </c>
      <c r="P115" s="20">
        <f>'4.0 Result Q-raw data'!S219</f>
        <v>88.578717942828192</v>
      </c>
      <c r="Q115" s="20">
        <f>'4.0 Result Q-raw data'!T219</f>
        <v>23.163386625456138</v>
      </c>
      <c r="R115" s="20">
        <f>'4.0 Result Q-raw data'!U219</f>
        <v>23.162229034920131</v>
      </c>
      <c r="S115" s="20">
        <f>'4.0 Result Q-raw data'!V219</f>
        <v>30.787796068110524</v>
      </c>
    </row>
    <row r="116" spans="2:19" x14ac:dyDescent="0.35">
      <c r="B116" s="6">
        <f>'1. Information samples'!B116</f>
        <v>106</v>
      </c>
      <c r="C116" s="7">
        <f>'1. Information samples'!C116</f>
        <v>46055</v>
      </c>
      <c r="D116" s="6" t="str">
        <f>'1. Information samples'!D116</f>
        <v>Genbank</v>
      </c>
      <c r="E116" s="6">
        <f>'1. Information samples'!E116</f>
        <v>29</v>
      </c>
      <c r="F116" s="6" t="str">
        <f>'1. Information samples'!F116</f>
        <v>F252616</v>
      </c>
      <c r="G116" s="6" t="str">
        <f>'1. Information samples'!G116</f>
        <v>CIAT33561</v>
      </c>
      <c r="H116" s="6" t="str">
        <f>'1. Information samples'!H116</f>
        <v>Desmodium</v>
      </c>
      <c r="I116" s="6" t="str">
        <f>'1. Information samples'!I116</f>
        <v>wigginsii</v>
      </c>
      <c r="J116" s="6" t="str">
        <f>'1. Information samples'!J116</f>
        <v>Desmodium wigginsii</v>
      </c>
      <c r="K116" s="6" t="str">
        <f>'1. Information samples'!K116</f>
        <v>Fabaceae</v>
      </c>
      <c r="L116" s="6" t="str">
        <f>'1. Information samples'!L116</f>
        <v>Fabales</v>
      </c>
      <c r="M116" s="6" t="str">
        <f>'1. Information samples'!M116</f>
        <v>Herbaceous</v>
      </c>
      <c r="N116" s="20">
        <f>'4.0 Result Q-raw data'!O221</f>
        <v>91.875812418758159</v>
      </c>
      <c r="O116" s="20">
        <f>'4.0 Result Q-raw data'!Q221</f>
        <v>9.9091255373564344</v>
      </c>
      <c r="P116" s="20">
        <f>'4.0 Result Q-raw data'!S221</f>
        <v>90.090874462643569</v>
      </c>
      <c r="Q116" s="20">
        <f>'4.0 Result Q-raw data'!T221</f>
        <v>16.293655903712867</v>
      </c>
      <c r="R116" s="20">
        <f>'4.0 Result Q-raw data'!U221</f>
        <v>16.293655903712867</v>
      </c>
      <c r="S116" s="20">
        <f>'4.0 Result Q-raw data'!V221</f>
        <v>35.855248399502528</v>
      </c>
    </row>
    <row r="117" spans="2:19" x14ac:dyDescent="0.35">
      <c r="B117" s="6">
        <f>'1. Information samples'!B117</f>
        <v>107</v>
      </c>
      <c r="C117" s="7">
        <f>'1. Information samples'!C117</f>
        <v>46055</v>
      </c>
      <c r="D117" s="6" t="str">
        <f>'1. Information samples'!D117</f>
        <v>Genbank</v>
      </c>
      <c r="E117" s="6">
        <f>'1. Information samples'!E117</f>
        <v>29</v>
      </c>
      <c r="F117" s="6" t="str">
        <f>'1. Information samples'!F117</f>
        <v>F252617</v>
      </c>
      <c r="G117" s="6" t="str">
        <f>'1. Information samples'!G117</f>
        <v>CIAT34038</v>
      </c>
      <c r="H117" s="6" t="str">
        <f>'1. Information samples'!H117</f>
        <v>Vigna</v>
      </c>
      <c r="I117" s="6" t="str">
        <f>'1. Information samples'!I117</f>
        <v>unguiculata</v>
      </c>
      <c r="J117" s="6" t="str">
        <f>'1. Information samples'!J117</f>
        <v>Vigna unguiculata</v>
      </c>
      <c r="K117" s="6" t="str">
        <f>'1. Information samples'!K117</f>
        <v>Fabaceae</v>
      </c>
      <c r="L117" s="6" t="str">
        <f>'1. Information samples'!L117</f>
        <v>Fabales</v>
      </c>
      <c r="M117" s="6" t="str">
        <f>'1. Information samples'!M117</f>
        <v>Herbaceous</v>
      </c>
      <c r="N117" s="20">
        <f>'4.0 Result Q-raw data'!O223</f>
        <v>91.789108861752226</v>
      </c>
      <c r="O117" s="20">
        <f>'4.0 Result Q-raw data'!Q223</f>
        <v>12.24478270352537</v>
      </c>
      <c r="P117" s="20">
        <f>'4.0 Result Q-raw data'!S223</f>
        <v>87.755217296474626</v>
      </c>
      <c r="Q117" s="20">
        <f>'4.0 Result Q-raw data'!T223</f>
        <v>20.568244123206618</v>
      </c>
      <c r="R117" s="20">
        <f>'4.0 Result Q-raw data'!U223</f>
        <v>20.568244123206618</v>
      </c>
      <c r="S117" s="20">
        <f>'4.0 Result Q-raw data'!V223</f>
        <v>24.049174966639971</v>
      </c>
    </row>
    <row r="118" spans="2:19" x14ac:dyDescent="0.35">
      <c r="B118" s="6">
        <f>'1. Information samples'!B118</f>
        <v>108</v>
      </c>
      <c r="C118" s="7">
        <f>'1. Information samples'!C118</f>
        <v>46055</v>
      </c>
      <c r="D118" s="6" t="str">
        <f>'1. Information samples'!D118</f>
        <v>Genbank</v>
      </c>
      <c r="E118" s="6">
        <f>'1. Information samples'!E118</f>
        <v>29</v>
      </c>
      <c r="F118" s="6" t="str">
        <f>'1. Information samples'!F118</f>
        <v>F252618</v>
      </c>
      <c r="G118" s="6" t="str">
        <f>'1. Information samples'!G118</f>
        <v>CIAT34040</v>
      </c>
      <c r="H118" s="6" t="str">
        <f>'1. Information samples'!H118</f>
        <v>Vigna</v>
      </c>
      <c r="I118" s="6" t="str">
        <f>'1. Information samples'!I118</f>
        <v>aconitifolia</v>
      </c>
      <c r="J118" s="6" t="str">
        <f>'1. Information samples'!J118</f>
        <v>Vigna aconitifolia</v>
      </c>
      <c r="K118" s="6" t="str">
        <f>'1. Information samples'!K118</f>
        <v>Fabaceae</v>
      </c>
      <c r="L118" s="6" t="str">
        <f>'1. Information samples'!L118</f>
        <v>Fabales</v>
      </c>
      <c r="M118" s="6" t="str">
        <f>'1. Information samples'!M118</f>
        <v>Herbaceous</v>
      </c>
      <c r="N118" s="20">
        <f>'4.0 Result Q-raw data'!O225</f>
        <v>90.655927814437064</v>
      </c>
      <c r="O118" s="20">
        <f>'4.0 Result Q-raw data'!Q225</f>
        <v>12.810904384461349</v>
      </c>
      <c r="P118" s="20">
        <f>'4.0 Result Q-raw data'!S225</f>
        <v>87.189095615538648</v>
      </c>
      <c r="Q118" s="20">
        <f>'4.0 Result Q-raw data'!T225</f>
        <v>25.56369149675103</v>
      </c>
      <c r="R118" s="20">
        <f>'4.0 Result Q-raw data'!U225</f>
        <v>25.56369149675103</v>
      </c>
      <c r="S118" s="20">
        <f>'4.0 Result Q-raw data'!V225</f>
        <v>22.853700590077526</v>
      </c>
    </row>
    <row r="119" spans="2:19" x14ac:dyDescent="0.35">
      <c r="B119" s="6">
        <f>'1. Information samples'!B119</f>
        <v>109</v>
      </c>
      <c r="C119" s="7">
        <f>'1. Information samples'!C119</f>
        <v>46055</v>
      </c>
      <c r="D119" s="6" t="str">
        <f>'1. Information samples'!D119</f>
        <v>Genbank</v>
      </c>
      <c r="E119" s="6">
        <f>'1. Information samples'!E119</f>
        <v>29</v>
      </c>
      <c r="F119" s="6" t="str">
        <f>'1. Information samples'!F119</f>
        <v>F252619</v>
      </c>
      <c r="G119" s="6" t="str">
        <f>'1. Information samples'!G119</f>
        <v>CIAT34042</v>
      </c>
      <c r="H119" s="6" t="str">
        <f>'1. Information samples'!H119</f>
        <v>Vigna</v>
      </c>
      <c r="I119" s="6" t="str">
        <f>'1. Information samples'!I119</f>
        <v>aconitifolia</v>
      </c>
      <c r="J119" s="6" t="str">
        <f>'1. Information samples'!J119</f>
        <v>Vigna aconitifolia</v>
      </c>
      <c r="K119" s="6" t="str">
        <f>'1. Information samples'!K119</f>
        <v>Fabaceae</v>
      </c>
      <c r="L119" s="6" t="str">
        <f>'1. Information samples'!L119</f>
        <v>Fabales</v>
      </c>
      <c r="M119" s="6" t="str">
        <f>'1. Information samples'!M119</f>
        <v>Herbaceous</v>
      </c>
      <c r="N119" s="20">
        <f>'4.0 Result Q-raw data'!O227</f>
        <v>91.070892910708935</v>
      </c>
      <c r="O119" s="20">
        <f>'4.0 Result Q-raw data'!Q227</f>
        <v>12.36824769433464</v>
      </c>
      <c r="P119" s="20">
        <f>'4.0 Result Q-raw data'!S227</f>
        <v>87.631752305665373</v>
      </c>
      <c r="Q119" s="20">
        <f>'4.0 Result Q-raw data'!T227</f>
        <v>24.707049982964765</v>
      </c>
      <c r="R119" s="20">
        <f>'4.0 Result Q-raw data'!U227</f>
        <v>24.707049982964765</v>
      </c>
      <c r="S119" s="20">
        <f>'4.0 Result Q-raw data'!V227</f>
        <v>23.325938523882829</v>
      </c>
    </row>
    <row r="120" spans="2:19" x14ac:dyDescent="0.35">
      <c r="B120" s="6">
        <f>'1. Information samples'!B120</f>
        <v>110</v>
      </c>
      <c r="C120" s="7">
        <f>'1. Information samples'!C120</f>
        <v>46055</v>
      </c>
      <c r="D120" s="6" t="str">
        <f>'1. Information samples'!D120</f>
        <v>Genbank</v>
      </c>
      <c r="E120" s="6">
        <f>'1. Information samples'!E120</f>
        <v>29</v>
      </c>
      <c r="F120" s="6" t="str">
        <f>'1. Information samples'!F120</f>
        <v>F252620</v>
      </c>
      <c r="G120" s="6" t="str">
        <f>'1. Information samples'!G120</f>
        <v>CIAT34044</v>
      </c>
      <c r="H120" s="6" t="str">
        <f>'1. Information samples'!H120</f>
        <v>Vigna</v>
      </c>
      <c r="I120" s="6" t="str">
        <f>'1. Information samples'!I120</f>
        <v>aconitifolia</v>
      </c>
      <c r="J120" s="6" t="str">
        <f>'1. Information samples'!J120</f>
        <v>Vigna aconitifolia</v>
      </c>
      <c r="K120" s="6" t="str">
        <f>'1. Information samples'!K120</f>
        <v>Fabaceae</v>
      </c>
      <c r="L120" s="6" t="str">
        <f>'1. Information samples'!L120</f>
        <v>Fabales</v>
      </c>
      <c r="M120" s="6" t="str">
        <f>'1. Information samples'!M120</f>
        <v>Herbaceous</v>
      </c>
      <c r="N120" s="20">
        <f>'4.0 Result Q-raw data'!O229</f>
        <v>91.574632431935072</v>
      </c>
      <c r="O120" s="20">
        <f>'4.0 Result Q-raw data'!Q229</f>
        <v>10.439295421829192</v>
      </c>
      <c r="P120" s="20">
        <f>'4.0 Result Q-raw data'!S229</f>
        <v>89.5607045781708</v>
      </c>
      <c r="Q120" s="20">
        <f>'4.0 Result Q-raw data'!T229</f>
        <v>22.362805395352606</v>
      </c>
      <c r="R120" s="20">
        <f>'4.0 Result Q-raw data'!U229</f>
        <v>22.362805395352606</v>
      </c>
      <c r="S120" s="20">
        <f>'4.0 Result Q-raw data'!V229</f>
        <v>21.106033059567345</v>
      </c>
    </row>
    <row r="121" spans="2:19" x14ac:dyDescent="0.35">
      <c r="B121" s="6">
        <f>'1. Information samples'!B121</f>
        <v>111</v>
      </c>
      <c r="C121" s="7">
        <f>'1. Information samples'!C121</f>
        <v>46055</v>
      </c>
      <c r="D121" s="6" t="str">
        <f>'1. Information samples'!D121</f>
        <v>Genbank</v>
      </c>
      <c r="E121" s="6">
        <f>'1. Information samples'!E121</f>
        <v>29</v>
      </c>
      <c r="F121" s="6" t="str">
        <f>'1. Information samples'!F121</f>
        <v>F252621</v>
      </c>
      <c r="G121" s="6" t="str">
        <f>'1. Information samples'!G121</f>
        <v>CIAT34148</v>
      </c>
      <c r="H121" s="6" t="str">
        <f>'1. Information samples'!H121</f>
        <v>Vigna</v>
      </c>
      <c r="I121" s="6" t="str">
        <f>'1. Information samples'!I121</f>
        <v>radiata</v>
      </c>
      <c r="J121" s="6" t="str">
        <f>'1. Information samples'!J121</f>
        <v>Vigna radiata</v>
      </c>
      <c r="K121" s="6" t="str">
        <f>'1. Information samples'!K121</f>
        <v>Fabaceae</v>
      </c>
      <c r="L121" s="6" t="str">
        <f>'1. Information samples'!L121</f>
        <v>Fabales</v>
      </c>
      <c r="M121" s="6" t="str">
        <f>'1. Information samples'!M121</f>
        <v>Herbaceous</v>
      </c>
      <c r="N121" s="20">
        <f>'4.0 Result Q-raw data'!O231</f>
        <v>89.542611821532518</v>
      </c>
      <c r="O121" s="20">
        <f>'4.0 Result Q-raw data'!Q231</f>
        <v>10.260704831238595</v>
      </c>
      <c r="P121" s="20">
        <f>'4.0 Result Q-raw data'!S231</f>
        <v>89.739295168761402</v>
      </c>
      <c r="Q121" s="20">
        <f>'4.0 Result Q-raw data'!T231</f>
        <v>23.287884478466296</v>
      </c>
      <c r="R121" s="20">
        <f>'4.0 Result Q-raw data'!U231</f>
        <v>23.287884478466296</v>
      </c>
      <c r="S121" s="20">
        <f>'4.0 Result Q-raw data'!V231</f>
        <v>27.183082262073242</v>
      </c>
    </row>
    <row r="122" spans="2:19" x14ac:dyDescent="0.35">
      <c r="B122" s="6">
        <f>'1. Information samples'!B122</f>
        <v>112</v>
      </c>
      <c r="C122" s="7">
        <f>'1. Information samples'!C122</f>
        <v>46055</v>
      </c>
      <c r="D122" s="6" t="str">
        <f>'1. Information samples'!D122</f>
        <v>Genbank</v>
      </c>
      <c r="E122" s="6">
        <f>'1. Information samples'!E122</f>
        <v>29</v>
      </c>
      <c r="F122" s="6" t="str">
        <f>'1. Information samples'!F122</f>
        <v>F252622</v>
      </c>
      <c r="G122" s="6" t="str">
        <f>'1. Information samples'!G122</f>
        <v>CIAT34159</v>
      </c>
      <c r="H122" s="6" t="str">
        <f>'1. Information samples'!H122</f>
        <v>Vigna</v>
      </c>
      <c r="I122" s="6" t="str">
        <f>'1. Information samples'!I122</f>
        <v>unguiculata</v>
      </c>
      <c r="J122" s="6" t="str">
        <f>'1. Information samples'!J122</f>
        <v>Vigna unguiculata</v>
      </c>
      <c r="K122" s="6" t="str">
        <f>'1. Information samples'!K122</f>
        <v>Fabaceae</v>
      </c>
      <c r="L122" s="6" t="str">
        <f>'1. Information samples'!L122</f>
        <v>Fabales</v>
      </c>
      <c r="M122" s="6" t="str">
        <f>'1. Information samples'!M122</f>
        <v>Herbaceous</v>
      </c>
      <c r="N122" s="20">
        <f>'4.0 Result Q-raw data'!O233</f>
        <v>90.482383379367292</v>
      </c>
      <c r="O122" s="20">
        <f>'4.0 Result Q-raw data'!Q233</f>
        <v>11.993820560639854</v>
      </c>
      <c r="P122" s="20">
        <f>'4.0 Result Q-raw data'!S233</f>
        <v>88.006179439360153</v>
      </c>
      <c r="Q122" s="20">
        <f>'4.0 Result Q-raw data'!T233</f>
        <v>22.863588720097063</v>
      </c>
      <c r="R122" s="20">
        <f>'4.0 Result Q-raw data'!U233</f>
        <v>22.863588720097063</v>
      </c>
      <c r="S122" s="20">
        <f>'4.0 Result Q-raw data'!V233</f>
        <v>22.214710815752284</v>
      </c>
    </row>
    <row r="123" spans="2:19" x14ac:dyDescent="0.35">
      <c r="B123" s="6">
        <f>'1. Information samples'!B123</f>
        <v>113</v>
      </c>
      <c r="C123" s="7">
        <f>'1. Information samples'!C123</f>
        <v>46055</v>
      </c>
      <c r="D123" s="6" t="str">
        <f>'1. Information samples'!D123</f>
        <v>Genbank</v>
      </c>
      <c r="E123" s="6">
        <f>'1. Information samples'!E123</f>
        <v>29</v>
      </c>
      <c r="F123" s="6" t="str">
        <f>'1. Information samples'!F123</f>
        <v>F252623</v>
      </c>
      <c r="G123" s="6" t="str">
        <f>'1. Information samples'!G123</f>
        <v>CIAT34347</v>
      </c>
      <c r="H123" s="6" t="str">
        <f>'1. Information samples'!H123</f>
        <v>Vigna</v>
      </c>
      <c r="I123" s="6" t="str">
        <f>'1. Information samples'!I123</f>
        <v>unguiculata</v>
      </c>
      <c r="J123" s="6" t="str">
        <f>'1. Information samples'!J123</f>
        <v>Vigna unguiculata</v>
      </c>
      <c r="K123" s="6" t="str">
        <f>'1. Information samples'!K123</f>
        <v>Fabaceae</v>
      </c>
      <c r="L123" s="6" t="str">
        <f>'1. Information samples'!L123</f>
        <v>Fabales</v>
      </c>
      <c r="M123" s="6" t="str">
        <f>'1. Information samples'!M123</f>
        <v>Herbaceous</v>
      </c>
      <c r="N123" s="20">
        <f>'4.0 Result Q-raw data'!O235</f>
        <v>89.492625317783649</v>
      </c>
      <c r="O123" s="20">
        <f>'4.0 Result Q-raw data'!Q235</f>
        <v>11.997985489344817</v>
      </c>
      <c r="P123" s="20">
        <f>'4.0 Result Q-raw data'!S235</f>
        <v>88.002014510655187</v>
      </c>
      <c r="Q123" s="20">
        <f>'4.0 Result Q-raw data'!T235</f>
        <v>32.509384991699882</v>
      </c>
      <c r="R123" s="20">
        <f>'4.0 Result Q-raw data'!U235</f>
        <v>32.464899703970843</v>
      </c>
      <c r="S123" s="20">
        <f>'4.0 Result Q-raw data'!V235</f>
        <v>23.312842132515428</v>
      </c>
    </row>
    <row r="124" spans="2:19" x14ac:dyDescent="0.35">
      <c r="B124" s="6">
        <f>'1. Information samples'!B124</f>
        <v>114</v>
      </c>
      <c r="C124" s="7">
        <f>'1. Information samples'!C124</f>
        <v>46055</v>
      </c>
      <c r="D124" s="6" t="str">
        <f>'1. Information samples'!D124</f>
        <v>Genbank</v>
      </c>
      <c r="E124" s="6">
        <f>'1. Information samples'!E124</f>
        <v>29</v>
      </c>
      <c r="F124" s="6" t="str">
        <f>'1. Information samples'!F124</f>
        <v>F251692</v>
      </c>
      <c r="G124" s="6" t="str">
        <f>'1. Information samples'!G124</f>
        <v>CIAT-23715</v>
      </c>
      <c r="H124" s="6" t="str">
        <f>'1. Information samples'!H124</f>
        <v>Desmodium</v>
      </c>
      <c r="I124" s="6" t="str">
        <f>'1. Information samples'!I124</f>
        <v>sequax</v>
      </c>
      <c r="J124" s="6" t="str">
        <f>'1. Information samples'!J124</f>
        <v>Desmodium sequax</v>
      </c>
      <c r="K124" s="6" t="str">
        <f>'1. Information samples'!K124</f>
        <v>Fabaceae</v>
      </c>
      <c r="L124" s="6" t="str">
        <f>'1. Information samples'!L124</f>
        <v>Fabales</v>
      </c>
      <c r="M124" s="6" t="str">
        <f>'1. Information samples'!M124</f>
        <v>Shrub</v>
      </c>
      <c r="N124" s="20">
        <f>'4.0 Result Q-raw data'!O237</f>
        <v>93.792488753898226</v>
      </c>
      <c r="O124" s="20">
        <f>'4.0 Result Q-raw data'!Q237</f>
        <v>5.2168846792118364</v>
      </c>
      <c r="P124" s="20">
        <f>'4.0 Result Q-raw data'!S237</f>
        <v>94.78311532078817</v>
      </c>
      <c r="Q124" s="20">
        <f>'4.0 Result Q-raw data'!T237</f>
        <v>16.813216997484169</v>
      </c>
      <c r="R124" s="20">
        <f>'4.0 Result Q-raw data'!U237</f>
        <v>16.813216997484169</v>
      </c>
      <c r="S124" s="20">
        <f>'4.0 Result Q-raw data'!V237</f>
        <v>58.104294581330052</v>
      </c>
    </row>
    <row r="125" spans="2:19" x14ac:dyDescent="0.35">
      <c r="B125" s="6">
        <f>'1. Information samples'!B125</f>
        <v>115</v>
      </c>
      <c r="C125" s="7">
        <f>'1. Information samples'!C125</f>
        <v>46055</v>
      </c>
      <c r="D125" s="6" t="str">
        <f>'1. Information samples'!D125</f>
        <v>Jacobo Arango/ Alejandro Montoya</v>
      </c>
      <c r="E125" s="6">
        <f>'1. Information samples'!E125</f>
        <v>29</v>
      </c>
      <c r="F125" s="6" t="str">
        <f>'1. Information samples'!F125</f>
        <v>F250008</v>
      </c>
      <c r="G125" s="6" t="str">
        <f>'1. Information samples'!G125</f>
        <v>Sample 8</v>
      </c>
      <c r="H125" s="6" t="str">
        <f>'1. Information samples'!H125</f>
        <v>Cynodon</v>
      </c>
      <c r="I125" s="6" t="str">
        <f>'1. Information samples'!I125</f>
        <v xml:space="preserve"> nlemfuensis </v>
      </c>
      <c r="J125" s="6" t="str">
        <f>'1. Information samples'!J125</f>
        <v xml:space="preserve">Cynodon nlemfuensis </v>
      </c>
      <c r="K125" s="6" t="str">
        <f>'1. Information samples'!K125</f>
        <v>Poaceae</v>
      </c>
      <c r="L125" s="6" t="str">
        <f>'1. Information samples'!L125</f>
        <v>Poales</v>
      </c>
      <c r="M125" s="6" t="str">
        <f>'1. Information samples'!M125</f>
        <v>grasses</v>
      </c>
      <c r="N125" s="20">
        <f>'4.0 Result Q-raw data'!O239</f>
        <v>93.55</v>
      </c>
      <c r="O125" s="20">
        <f>'4.0 Result Q-raw data'!Q239</f>
        <v>11.4</v>
      </c>
      <c r="P125" s="20">
        <f>'4.0 Result Q-raw data'!S239</f>
        <v>88.6</v>
      </c>
      <c r="Q125" s="20">
        <f>'4.0 Result Q-raw data'!T239</f>
        <v>0</v>
      </c>
      <c r="R125" s="20">
        <f>'4.0 Result Q-raw data'!U239</f>
        <v>0</v>
      </c>
      <c r="S125" s="20">
        <f>'4.0 Result Q-raw data'!V239</f>
        <v>0</v>
      </c>
    </row>
    <row r="126" spans="2:19" x14ac:dyDescent="0.35">
      <c r="B126" s="6">
        <f>'1. Information samples'!B126</f>
        <v>116</v>
      </c>
      <c r="C126" s="7">
        <f>'1. Information samples'!C126</f>
        <v>46062</v>
      </c>
      <c r="D126" s="6" t="str">
        <f>'1. Information samples'!D126</f>
        <v>Genbank</v>
      </c>
      <c r="E126" s="6">
        <f>'1. Information samples'!E126</f>
        <v>30</v>
      </c>
      <c r="F126" s="6" t="str">
        <f>'1. Information samples'!F126</f>
        <v>F260013</v>
      </c>
      <c r="G126" s="6" t="str">
        <f>'1. Information samples'!G126</f>
        <v>CIAT590</v>
      </c>
      <c r="H126" s="6" t="str">
        <f>'1. Information samples'!H126</f>
        <v>Macroptilium</v>
      </c>
      <c r="I126" s="6" t="str">
        <f>'1. Information samples'!I126</f>
        <v>bracteatum</v>
      </c>
      <c r="J126" s="6" t="str">
        <f>'1. Information samples'!J126</f>
        <v>Macroptilium bracteatum</v>
      </c>
      <c r="K126" s="6" t="str">
        <f>'1. Information samples'!K126</f>
        <v>Fabaceae</v>
      </c>
      <c r="L126" s="6" t="str">
        <f>'1. Information samples'!L126</f>
        <v>Fabales</v>
      </c>
      <c r="M126" s="6" t="str">
        <f>'1. Information samples'!M126</f>
        <v>Herbaceous</v>
      </c>
      <c r="N126" s="20">
        <f>'4.0 Result Q-raw data'!O241</f>
        <v>92.602932541614905</v>
      </c>
      <c r="O126" s="20">
        <f>'4.0 Result Q-raw data'!Q241</f>
        <v>10.540779545515475</v>
      </c>
      <c r="P126" s="20">
        <f>'4.0 Result Q-raw data'!S241</f>
        <v>89.459220454484523</v>
      </c>
      <c r="Q126" s="20">
        <f>'4.0 Result Q-raw data'!T241</f>
        <v>18.342831355874488</v>
      </c>
      <c r="R126" s="20">
        <f>'4.0 Result Q-raw data'!U241</f>
        <v>18.469606162913962</v>
      </c>
      <c r="S126" s="20">
        <f>'4.0 Result Q-raw data'!V241</f>
        <v>35.83839105688886</v>
      </c>
    </row>
    <row r="127" spans="2:19" x14ac:dyDescent="0.35">
      <c r="B127" s="6">
        <f>'1. Information samples'!B127</f>
        <v>117</v>
      </c>
      <c r="C127" s="7">
        <f>'1. Information samples'!C127</f>
        <v>46062</v>
      </c>
      <c r="D127" s="6" t="str">
        <f>'1. Information samples'!D127</f>
        <v>Genbank</v>
      </c>
      <c r="E127" s="6">
        <f>'1. Information samples'!E127</f>
        <v>30</v>
      </c>
      <c r="F127" s="6" t="str">
        <f>'1. Information samples'!F127</f>
        <v>F260014</v>
      </c>
      <c r="G127" s="6" t="str">
        <f>'1. Information samples'!G127</f>
        <v>CIAT778</v>
      </c>
      <c r="H127" s="6" t="str">
        <f>'1. Information samples'!H127</f>
        <v>Macroptilium</v>
      </c>
      <c r="I127" s="6" t="str">
        <f>'1. Information samples'!I127</f>
        <v>atropurpureum</v>
      </c>
      <c r="J127" s="6" t="str">
        <f>'1. Information samples'!J127</f>
        <v>Macroptilium atropurpureum</v>
      </c>
      <c r="K127" s="6" t="str">
        <f>'1. Information samples'!K127</f>
        <v>Fabaceae</v>
      </c>
      <c r="L127" s="6" t="str">
        <f>'1. Information samples'!L127</f>
        <v>Fabales</v>
      </c>
      <c r="M127" s="6" t="str">
        <f>'1. Information samples'!M127</f>
        <v>Herbaceous</v>
      </c>
      <c r="N127" s="20">
        <f>'4.0 Result Q-raw data'!O243</f>
        <v>92.582967738364118</v>
      </c>
      <c r="O127" s="20">
        <f>'4.0 Result Q-raw data'!Q243</f>
        <v>12.356940726192665</v>
      </c>
      <c r="P127" s="20">
        <f>'4.0 Result Q-raw data'!S243</f>
        <v>87.643059273807324</v>
      </c>
      <c r="Q127" s="20">
        <f>'4.0 Result Q-raw data'!T243</f>
        <v>22.842056715834623</v>
      </c>
      <c r="R127" s="20">
        <f>'4.0 Result Q-raw data'!U243</f>
        <v>22.842056715834623</v>
      </c>
      <c r="S127" s="20">
        <f>'4.0 Result Q-raw data'!V243</f>
        <v>35.237029127190247</v>
      </c>
    </row>
    <row r="128" spans="2:19" x14ac:dyDescent="0.35">
      <c r="B128" s="6">
        <f>'1. Information samples'!B128</f>
        <v>118</v>
      </c>
      <c r="C128" s="7">
        <f>'1. Information samples'!C128</f>
        <v>46062</v>
      </c>
      <c r="D128" s="6" t="str">
        <f>'1. Information samples'!D128</f>
        <v>Genbank</v>
      </c>
      <c r="E128" s="6">
        <f>'1. Information samples'!E128</f>
        <v>30</v>
      </c>
      <c r="F128" s="6" t="str">
        <f>'1. Information samples'!F128</f>
        <v>F260015</v>
      </c>
      <c r="G128" s="6" t="str">
        <f>'1. Information samples'!G128</f>
        <v>CIAT827</v>
      </c>
      <c r="H128" s="6" t="str">
        <f>'1. Information samples'!H128</f>
        <v>Indigofera</v>
      </c>
      <c r="I128" s="6" t="str">
        <f>'1. Information samples'!I128</f>
        <v>jamaicensis</v>
      </c>
      <c r="J128" s="6" t="str">
        <f>'1. Information samples'!J128</f>
        <v>Indigofera jamaicensis</v>
      </c>
      <c r="K128" s="6" t="str">
        <f>'1. Information samples'!K128</f>
        <v>Fabaceae</v>
      </c>
      <c r="L128" s="6" t="str">
        <f>'1. Information samples'!L128</f>
        <v>Fabales</v>
      </c>
      <c r="M128" s="6" t="str">
        <f>'1. Information samples'!M128</f>
        <v>Herbaceous</v>
      </c>
      <c r="N128" s="20">
        <f>'4.0 Result Q-raw data'!O245</f>
        <v>94.764999999999986</v>
      </c>
      <c r="O128" s="20">
        <f>'4.0 Result Q-raw data'!Q245</f>
        <v>11.787052181712696</v>
      </c>
      <c r="P128" s="20">
        <f>'4.0 Result Q-raw data'!S245</f>
        <v>88.212947818287304</v>
      </c>
      <c r="Q128" s="20">
        <f>'4.0 Result Q-raw data'!T245</f>
        <v>21.616260812288019</v>
      </c>
      <c r="R128" s="20">
        <f>'4.0 Result Q-raw data'!U245</f>
        <v>21.616260812288019</v>
      </c>
      <c r="S128" s="20">
        <f>'4.0 Result Q-raw data'!V245</f>
        <v>28.322696909664259</v>
      </c>
    </row>
    <row r="129" spans="2:19" x14ac:dyDescent="0.35">
      <c r="B129" s="6">
        <f>'1. Information samples'!B129</f>
        <v>119</v>
      </c>
      <c r="C129" s="7">
        <f>'1. Information samples'!C129</f>
        <v>46062</v>
      </c>
      <c r="D129" s="6" t="str">
        <f>'1. Information samples'!D129</f>
        <v>Genbank</v>
      </c>
      <c r="E129" s="6">
        <f>'1. Information samples'!E129</f>
        <v>30</v>
      </c>
      <c r="F129" s="6" t="str">
        <f>'1. Information samples'!F129</f>
        <v>F260016</v>
      </c>
      <c r="G129" s="6" t="str">
        <f>'1. Information samples'!G129</f>
        <v>CIAT997</v>
      </c>
      <c r="H129" s="6" t="str">
        <f>'1. Information samples'!H129</f>
        <v>Macroptilium</v>
      </c>
      <c r="I129" s="6" t="str">
        <f>'1. Information samples'!I129</f>
        <v>atropurpureum</v>
      </c>
      <c r="J129" s="6" t="str">
        <f>'1. Information samples'!J129</f>
        <v>Macroptilium atropurpureum</v>
      </c>
      <c r="K129" s="6" t="str">
        <f>'1. Information samples'!K129</f>
        <v>Fabaceae</v>
      </c>
      <c r="L129" s="6" t="str">
        <f>'1. Information samples'!L129</f>
        <v>Fabales</v>
      </c>
      <c r="M129" s="6" t="str">
        <f>'1. Information samples'!M129</f>
        <v>Herbaceous</v>
      </c>
      <c r="N129" s="20">
        <f>'4.0 Result Q-raw data'!O247</f>
        <v>93.561285678889831</v>
      </c>
      <c r="O129" s="20">
        <f>'4.0 Result Q-raw data'!Q247</f>
        <v>12.304980625107518</v>
      </c>
      <c r="P129" s="20">
        <f>'4.0 Result Q-raw data'!S247</f>
        <v>87.695019374892482</v>
      </c>
      <c r="Q129" s="20">
        <f>'4.0 Result Q-raw data'!T247</f>
        <v>21.435036701956502</v>
      </c>
      <c r="R129" s="20">
        <f>'4.0 Result Q-raw data'!U247</f>
        <v>21.435036701956502</v>
      </c>
      <c r="S129" s="20">
        <f>'4.0 Result Q-raw data'!V247</f>
        <v>32.753067896542973</v>
      </c>
    </row>
    <row r="130" spans="2:19" x14ac:dyDescent="0.35">
      <c r="B130" s="6">
        <f>'1. Information samples'!B130</f>
        <v>120</v>
      </c>
      <c r="C130" s="7">
        <f>'1. Information samples'!C130</f>
        <v>46062</v>
      </c>
      <c r="D130" s="6" t="str">
        <f>'1. Information samples'!D130</f>
        <v>Genbank</v>
      </c>
      <c r="E130" s="6">
        <f>'1. Information samples'!E130</f>
        <v>30</v>
      </c>
      <c r="F130" s="6" t="str">
        <f>'1. Information samples'!F130</f>
        <v>F260017</v>
      </c>
      <c r="G130" s="6" t="str">
        <f>'1. Information samples'!G130</f>
        <v>CIAT1405</v>
      </c>
      <c r="H130" s="6" t="str">
        <f>'1. Information samples'!H130</f>
        <v>Stylosanthes</v>
      </c>
      <c r="I130" s="6" t="str">
        <f>'1. Information samples'!I130</f>
        <v>capitata</v>
      </c>
      <c r="J130" s="6" t="str">
        <f>'1. Information samples'!J130</f>
        <v>Stylosanthes capitata</v>
      </c>
      <c r="K130" s="6" t="str">
        <f>'1. Information samples'!K130</f>
        <v>Fabaceae</v>
      </c>
      <c r="L130" s="6" t="str">
        <f>'1. Information samples'!L130</f>
        <v>Fabales</v>
      </c>
      <c r="M130" s="6" t="str">
        <f>'1. Information samples'!M130</f>
        <v>Herbaceous</v>
      </c>
      <c r="N130" s="20">
        <f>'4.0 Result Q-raw data'!O249</f>
        <v>94.626869228852883</v>
      </c>
      <c r="O130" s="20">
        <f>'4.0 Result Q-raw data'!Q249</f>
        <v>14.277283668477793</v>
      </c>
      <c r="P130" s="20">
        <f>'4.0 Result Q-raw data'!S249</f>
        <v>85.722716331522207</v>
      </c>
      <c r="Q130" s="20">
        <f>'4.0 Result Q-raw data'!T249</f>
        <v>16.068776133039876</v>
      </c>
      <c r="R130" s="20">
        <f>'4.0 Result Q-raw data'!U249</f>
        <v>16.068776133039876</v>
      </c>
      <c r="S130" s="20">
        <f>'4.0 Result Q-raw data'!V249</f>
        <v>44.132455868154253</v>
      </c>
    </row>
    <row r="131" spans="2:19" x14ac:dyDescent="0.35">
      <c r="B131" s="6">
        <f>'1. Information samples'!B131</f>
        <v>121</v>
      </c>
      <c r="C131" s="7">
        <f>'1. Information samples'!C131</f>
        <v>46062</v>
      </c>
      <c r="D131" s="6" t="str">
        <f>'1. Information samples'!D131</f>
        <v>Genbank</v>
      </c>
      <c r="E131" s="6">
        <f>'1. Information samples'!E131</f>
        <v>30</v>
      </c>
      <c r="F131" s="6" t="str">
        <f>'1. Information samples'!F131</f>
        <v>F260018</v>
      </c>
      <c r="G131" s="6" t="str">
        <f>'1. Information samples'!G131</f>
        <v>CIAT1812</v>
      </c>
      <c r="H131" s="6" t="str">
        <f>'1. Information samples'!H131</f>
        <v>Stylosanthes</v>
      </c>
      <c r="I131" s="6" t="str">
        <f>'1. Information samples'!I131</f>
        <v>viscosa</v>
      </c>
      <c r="J131" s="6" t="str">
        <f>'1. Information samples'!J131</f>
        <v>Stylosanthes viscosa</v>
      </c>
      <c r="K131" s="6" t="str">
        <f>'1. Information samples'!K131</f>
        <v>Fabaceae</v>
      </c>
      <c r="L131" s="6" t="str">
        <f>'1. Information samples'!L131</f>
        <v>Fabales</v>
      </c>
      <c r="M131" s="6" t="str">
        <f>'1. Information samples'!M131</f>
        <v>Herbaceous</v>
      </c>
      <c r="N131" s="20">
        <f>'4.0 Result Q-raw data'!O251</f>
        <v>95.457042570278247</v>
      </c>
      <c r="O131" s="20">
        <f>'4.0 Result Q-raw data'!Q251</f>
        <v>10.539307270666562</v>
      </c>
      <c r="P131" s="20">
        <f>'4.0 Result Q-raw data'!S251</f>
        <v>89.460692729333431</v>
      </c>
      <c r="Q131" s="20">
        <f>'4.0 Result Q-raw data'!T251</f>
        <v>11.385700844625955</v>
      </c>
      <c r="R131" s="20">
        <f>'4.0 Result Q-raw data'!U251</f>
        <v>11.385700844625955</v>
      </c>
      <c r="S131" s="20">
        <f>'4.0 Result Q-raw data'!V251</f>
        <v>43.602826669093879</v>
      </c>
    </row>
    <row r="132" spans="2:19" x14ac:dyDescent="0.35">
      <c r="B132" s="6">
        <f>'1. Information samples'!B132</f>
        <v>122</v>
      </c>
      <c r="C132" s="7">
        <f>'1. Information samples'!C132</f>
        <v>46062</v>
      </c>
      <c r="D132" s="6" t="str">
        <f>'1. Information samples'!D132</f>
        <v>Genbank</v>
      </c>
      <c r="E132" s="6">
        <f>'1. Information samples'!E132</f>
        <v>30</v>
      </c>
      <c r="F132" s="6" t="str">
        <f>'1. Information samples'!F132</f>
        <v>F260019</v>
      </c>
      <c r="G132" s="6" t="str">
        <f>'1. Information samples'!G132</f>
        <v>CIAT3694</v>
      </c>
      <c r="H132" s="6" t="str">
        <f>'1. Information samples'!H132</f>
        <v>Desmodium</v>
      </c>
      <c r="I132" s="6" t="str">
        <f>'1. Information samples'!I132</f>
        <v>sandwicense</v>
      </c>
      <c r="J132" s="6" t="str">
        <f>'1. Information samples'!J132</f>
        <v>Desmodium sandwicense</v>
      </c>
      <c r="K132" s="6" t="str">
        <f>'1. Information samples'!K132</f>
        <v>Fabaceae</v>
      </c>
      <c r="L132" s="6" t="str">
        <f>'1. Information samples'!L132</f>
        <v>Fabales</v>
      </c>
      <c r="M132" s="6" t="str">
        <f>'1. Information samples'!M132</f>
        <v>Herbaceous</v>
      </c>
      <c r="N132" s="20">
        <f>'4.0 Result Q-raw data'!O253</f>
        <v>94.45110977804444</v>
      </c>
      <c r="O132" s="20">
        <f>'4.0 Result Q-raw data'!Q253</f>
        <v>12.930030697575988</v>
      </c>
      <c r="P132" s="20">
        <f>'4.0 Result Q-raw data'!S253</f>
        <v>87.069969302424013</v>
      </c>
      <c r="Q132" s="20">
        <f>'4.0 Result Q-raw data'!T253</f>
        <v>17.415881529056833</v>
      </c>
      <c r="R132" s="20">
        <f>'4.0 Result Q-raw data'!U253</f>
        <v>17.415881529056833</v>
      </c>
      <c r="S132" s="20">
        <f>'4.0 Result Q-raw data'!V253</f>
        <v>45.965430241502858</v>
      </c>
    </row>
    <row r="133" spans="2:19" x14ac:dyDescent="0.35">
      <c r="B133" s="6">
        <f>'1. Information samples'!B133</f>
        <v>123</v>
      </c>
      <c r="C133" s="7">
        <f>'1. Information samples'!C133</f>
        <v>46062</v>
      </c>
      <c r="D133" s="6" t="str">
        <f>'1. Information samples'!D133</f>
        <v>Genbank</v>
      </c>
      <c r="E133" s="6">
        <f>'1. Information samples'!E133</f>
        <v>30</v>
      </c>
      <c r="F133" s="6" t="str">
        <f>'1. Information samples'!F133</f>
        <v>F260020</v>
      </c>
      <c r="G133" s="6" t="str">
        <f>'1. Information samples'!G133</f>
        <v>CIAT4080</v>
      </c>
      <c r="H133" s="6" t="str">
        <f>'1. Information samples'!H133</f>
        <v>Macroptilium</v>
      </c>
      <c r="I133" s="6" t="str">
        <f>'1. Information samples'!I133</f>
        <v>bracteatum</v>
      </c>
      <c r="J133" s="6" t="str">
        <f>'1. Information samples'!J133</f>
        <v>Macroptilium bracteatum</v>
      </c>
      <c r="K133" s="6" t="str">
        <f>'1. Information samples'!K133</f>
        <v>Fabaceae</v>
      </c>
      <c r="L133" s="6" t="str">
        <f>'1. Information samples'!L133</f>
        <v>Fabales</v>
      </c>
      <c r="M133" s="6" t="str">
        <f>'1. Information samples'!M133</f>
        <v>Herbaceous</v>
      </c>
      <c r="N133" s="20">
        <f>'4.0 Result Q-raw data'!O255</f>
        <v>94.687389911601656</v>
      </c>
      <c r="O133" s="20">
        <f>'4.0 Result Q-raw data'!Q255</f>
        <v>16.188186298834058</v>
      </c>
      <c r="P133" s="20">
        <f>'4.0 Result Q-raw data'!S255</f>
        <v>83.811813701165931</v>
      </c>
      <c r="Q133" s="20">
        <f>'4.0 Result Q-raw data'!T255</f>
        <v>21.553506221955995</v>
      </c>
      <c r="R133" s="20">
        <f>'4.0 Result Q-raw data'!U255</f>
        <v>21.553506221955995</v>
      </c>
      <c r="S133" s="20">
        <f>'4.0 Result Q-raw data'!V255</f>
        <v>30.313039919885476</v>
      </c>
    </row>
    <row r="134" spans="2:19" x14ac:dyDescent="0.35">
      <c r="B134" s="6">
        <f>'1. Information samples'!B134</f>
        <v>124</v>
      </c>
      <c r="C134" s="7">
        <f>'1. Information samples'!C134</f>
        <v>46062</v>
      </c>
      <c r="D134" s="6" t="str">
        <f>'1. Information samples'!D134</f>
        <v>Genbank</v>
      </c>
      <c r="E134" s="6">
        <f>'1. Information samples'!E134</f>
        <v>30</v>
      </c>
      <c r="F134" s="6" t="str">
        <f>'1. Information samples'!F134</f>
        <v>F260021</v>
      </c>
      <c r="G134" s="6" t="str">
        <f>'1. Information samples'!G134</f>
        <v>CIAT7162</v>
      </c>
      <c r="H134" s="6" t="str">
        <f>'1. Information samples'!H134</f>
        <v>Indigofera</v>
      </c>
      <c r="I134" s="6" t="str">
        <f>'1. Information samples'!I134</f>
        <v>jamaicensis</v>
      </c>
      <c r="J134" s="6" t="str">
        <f>'1. Information samples'!J134</f>
        <v>Indigofera jamaicensis</v>
      </c>
      <c r="K134" s="6" t="str">
        <f>'1. Information samples'!K134</f>
        <v>Fabaceae</v>
      </c>
      <c r="L134" s="6" t="str">
        <f>'1. Information samples'!L134</f>
        <v>Fabales</v>
      </c>
      <c r="M134" s="6" t="str">
        <f>'1. Information samples'!M134</f>
        <v>Herbaceous</v>
      </c>
      <c r="N134" s="20">
        <f>'4.0 Result Q-raw data'!O257</f>
        <v>94.017098249173713</v>
      </c>
      <c r="O134" s="20">
        <f>'4.0 Result Q-raw data'!Q257</f>
        <v>15.83738766020349</v>
      </c>
      <c r="P134" s="20">
        <f>'4.0 Result Q-raw data'!S257</f>
        <v>84.16261233979651</v>
      </c>
      <c r="Q134" s="20">
        <f>'4.0 Result Q-raw data'!T257</f>
        <v>23.423334361776607</v>
      </c>
      <c r="R134" s="20">
        <f>'4.0 Result Q-raw data'!U257</f>
        <v>23.423334361776607</v>
      </c>
      <c r="S134" s="20">
        <f>'4.0 Result Q-raw data'!V257</f>
        <v>32.754781601816369</v>
      </c>
    </row>
    <row r="135" spans="2:19" x14ac:dyDescent="0.35">
      <c r="B135" s="6">
        <f>'1. Information samples'!B135</f>
        <v>125</v>
      </c>
      <c r="C135" s="7">
        <f>'1. Information samples'!C135</f>
        <v>46062</v>
      </c>
      <c r="D135" s="6" t="str">
        <f>'1. Information samples'!D135</f>
        <v>Genbank</v>
      </c>
      <c r="E135" s="6">
        <f>'1. Information samples'!E135</f>
        <v>30</v>
      </c>
      <c r="F135" s="6" t="str">
        <f>'1. Information samples'!F135</f>
        <v>F260022</v>
      </c>
      <c r="G135" s="6" t="str">
        <f>'1. Information samples'!G135</f>
        <v>CIAT8820</v>
      </c>
      <c r="H135" s="6" t="str">
        <f>'1. Information samples'!H135</f>
        <v>Tephrosia</v>
      </c>
      <c r="I135" s="6" t="str">
        <f>'1. Information samples'!I135</f>
        <v>cinerea</v>
      </c>
      <c r="J135" s="6" t="str">
        <f>'1. Information samples'!J135</f>
        <v>Tephrosia cinerea</v>
      </c>
      <c r="K135" s="6" t="str">
        <f>'1. Information samples'!K135</f>
        <v>Fabaceae</v>
      </c>
      <c r="L135" s="6" t="str">
        <f>'1. Information samples'!L135</f>
        <v>Fabales</v>
      </c>
      <c r="M135" s="6" t="str">
        <f>'1. Information samples'!M135</f>
        <v>Herbaceous</v>
      </c>
      <c r="N135" s="20">
        <f>'4.0 Result Q-raw data'!O259</f>
        <v>95.075740376372266</v>
      </c>
      <c r="O135" s="20">
        <f>'4.0 Result Q-raw data'!Q259</f>
        <v>9.5330240972893527</v>
      </c>
      <c r="P135" s="20">
        <f>'4.0 Result Q-raw data'!S259</f>
        <v>90.466975902710644</v>
      </c>
      <c r="Q135" s="20">
        <f>'4.0 Result Q-raw data'!T259</f>
        <v>24.386271311921252</v>
      </c>
      <c r="R135" s="20">
        <f>'4.0 Result Q-raw data'!U259</f>
        <v>24.274636894266422</v>
      </c>
      <c r="S135" s="20">
        <f>'4.0 Result Q-raw data'!V259</f>
        <v>33.689614466682634</v>
      </c>
    </row>
    <row r="136" spans="2:19" x14ac:dyDescent="0.35">
      <c r="B136" s="6">
        <f>'1. Information samples'!B136</f>
        <v>126</v>
      </c>
      <c r="C136" s="7">
        <f>'1. Information samples'!C136</f>
        <v>46062</v>
      </c>
      <c r="D136" s="6" t="str">
        <f>'1. Information samples'!D136</f>
        <v>Genbank</v>
      </c>
      <c r="E136" s="6">
        <f>'1. Information samples'!E136</f>
        <v>30</v>
      </c>
      <c r="F136" s="6" t="str">
        <f>'1. Information samples'!F136</f>
        <v>F260023</v>
      </c>
      <c r="G136" s="6" t="str">
        <f>'1. Information samples'!G136</f>
        <v>CIAT14080</v>
      </c>
      <c r="H136" s="6" t="str">
        <f>'1. Information samples'!H136</f>
        <v>Zornia</v>
      </c>
      <c r="I136" s="6" t="str">
        <f>'1. Information samples'!I136</f>
        <v>brasiliensis</v>
      </c>
      <c r="J136" s="6" t="str">
        <f>'1. Information samples'!J136</f>
        <v>Zornia brasiliensis</v>
      </c>
      <c r="K136" s="6" t="str">
        <f>'1. Information samples'!K136</f>
        <v>Fabaceae</v>
      </c>
      <c r="L136" s="6" t="str">
        <f>'1. Information samples'!L136</f>
        <v>Fabales</v>
      </c>
      <c r="M136" s="6" t="str">
        <f>'1. Information samples'!M136</f>
        <v>Herbaceous</v>
      </c>
      <c r="N136" s="20">
        <f>'4.0 Result Q-raw data'!O261</f>
        <v>94.725788868823486</v>
      </c>
      <c r="O136" s="20">
        <f>'4.0 Result Q-raw data'!Q261</f>
        <v>18.455778140978239</v>
      </c>
      <c r="P136" s="20">
        <f>'4.0 Result Q-raw data'!S261</f>
        <v>81.544221859021761</v>
      </c>
      <c r="Q136" s="20">
        <f>'4.0 Result Q-raw data'!T261</f>
        <v>17.228089047769188</v>
      </c>
      <c r="R136" s="20">
        <f>'4.0 Result Q-raw data'!U261</f>
        <v>17.228089047769188</v>
      </c>
      <c r="S136" s="20">
        <f>'4.0 Result Q-raw data'!V261</f>
        <v>28.670794113689613</v>
      </c>
    </row>
    <row r="137" spans="2:19" x14ac:dyDescent="0.35">
      <c r="B137" s="6">
        <f>'1. Information samples'!B137</f>
        <v>127</v>
      </c>
      <c r="C137" s="7">
        <f>'1. Information samples'!C137</f>
        <v>46062</v>
      </c>
      <c r="D137" s="6" t="str">
        <f>'1. Information samples'!D137</f>
        <v>Genbank</v>
      </c>
      <c r="E137" s="6">
        <f>'1. Information samples'!E137</f>
        <v>30</v>
      </c>
      <c r="F137" s="6" t="str">
        <f>'1. Information samples'!F137</f>
        <v>F260024</v>
      </c>
      <c r="G137" s="6" t="str">
        <f>'1. Information samples'!G137</f>
        <v>CIAT18950</v>
      </c>
      <c r="H137" s="6" t="str">
        <f>'1. Information samples'!H137</f>
        <v>Indigofera</v>
      </c>
      <c r="I137" s="6" t="str">
        <f>'1. Information samples'!I137</f>
        <v>spicata</v>
      </c>
      <c r="J137" s="6" t="str">
        <f>'1. Information samples'!J137</f>
        <v>Indigofera spicata</v>
      </c>
      <c r="K137" s="6" t="str">
        <f>'1. Information samples'!K137</f>
        <v>Fabaceae</v>
      </c>
      <c r="L137" s="6" t="str">
        <f>'1. Information samples'!L137</f>
        <v>Fabales</v>
      </c>
      <c r="M137" s="6" t="str">
        <f>'1. Information samples'!M137</f>
        <v>Herbaceous</v>
      </c>
      <c r="N137" s="20">
        <f>'4.0 Result Q-raw data'!O263</f>
        <v>93.518240879560167</v>
      </c>
      <c r="O137" s="20">
        <f>'4.0 Result Q-raw data'!Q263</f>
        <v>15.892694917971408</v>
      </c>
      <c r="P137" s="20">
        <f>'4.0 Result Q-raw data'!S263</f>
        <v>84.107305082028603</v>
      </c>
      <c r="Q137" s="20">
        <f>'4.0 Result Q-raw data'!T263</f>
        <v>21.86273111008844</v>
      </c>
      <c r="R137" s="20">
        <f>'4.0 Result Q-raw data'!U263</f>
        <v>21.86273111008844</v>
      </c>
      <c r="S137" s="20">
        <f>'4.0 Result Q-raw data'!V263</f>
        <v>31.969867869760549</v>
      </c>
    </row>
    <row r="138" spans="2:19" x14ac:dyDescent="0.35">
      <c r="B138" s="6">
        <f>'1. Information samples'!B138</f>
        <v>128</v>
      </c>
      <c r="C138" s="7">
        <f>'1. Information samples'!C138</f>
        <v>46062</v>
      </c>
      <c r="D138" s="6" t="str">
        <f>'1. Information samples'!D138</f>
        <v>Genbank</v>
      </c>
      <c r="E138" s="6">
        <f>'1. Information samples'!E138</f>
        <v>30</v>
      </c>
      <c r="F138" s="6" t="str">
        <f>'1. Information samples'!F138</f>
        <v>F260025</v>
      </c>
      <c r="G138" s="6" t="str">
        <f>'1. Information samples'!G138</f>
        <v>CIAT19193</v>
      </c>
      <c r="H138" s="6" t="str">
        <f>'1. Information samples'!H138</f>
        <v>Tephrosia</v>
      </c>
      <c r="I138" s="6" t="str">
        <f>'1. Information samples'!I138</f>
        <v>villosa</v>
      </c>
      <c r="J138" s="6" t="str">
        <f>'1. Information samples'!J138</f>
        <v>Tephrosia villosa</v>
      </c>
      <c r="K138" s="6" t="str">
        <f>'1. Information samples'!K138</f>
        <v>Fabaceae</v>
      </c>
      <c r="L138" s="6" t="str">
        <f>'1. Information samples'!L138</f>
        <v>Fabales</v>
      </c>
      <c r="M138" s="6" t="str">
        <f>'1. Information samples'!M138</f>
        <v>Herbaceous</v>
      </c>
      <c r="N138" s="20">
        <f>'4.0 Result Q-raw data'!O265</f>
        <v>94.331699433803763</v>
      </c>
      <c r="O138" s="20">
        <f>'4.0 Result Q-raw data'!Q265</f>
        <v>7.1587501527996249</v>
      </c>
      <c r="P138" s="20">
        <f>'4.0 Result Q-raw data'!S265</f>
        <v>92.841249847200373</v>
      </c>
      <c r="Q138" s="20">
        <f>'4.0 Result Q-raw data'!T265</f>
        <v>21.657672984512406</v>
      </c>
      <c r="R138" s="20">
        <f>'4.0 Result Q-raw data'!U265</f>
        <v>21.657672984512406</v>
      </c>
      <c r="S138" s="20">
        <f>'4.0 Result Q-raw data'!V265</f>
        <v>35.022320836995476</v>
      </c>
    </row>
    <row r="139" spans="2:19" x14ac:dyDescent="0.35">
      <c r="B139" s="6">
        <f>'1. Information samples'!B139</f>
        <v>129</v>
      </c>
      <c r="C139" s="7">
        <f>'1. Information samples'!C139</f>
        <v>46062</v>
      </c>
      <c r="D139" s="6" t="str">
        <f>'1. Information samples'!D139</f>
        <v>Genbank</v>
      </c>
      <c r="E139" s="6">
        <f>'1. Information samples'!E139</f>
        <v>30</v>
      </c>
      <c r="F139" s="6" t="str">
        <f>'1. Information samples'!F139</f>
        <v>F260026</v>
      </c>
      <c r="G139" s="6" t="str">
        <f>'1. Information samples'!G139</f>
        <v>CIAT19641</v>
      </c>
      <c r="H139" s="6" t="str">
        <f>'1. Information samples'!H139</f>
        <v>Tephrosia</v>
      </c>
      <c r="I139" s="6" t="str">
        <f>'1. Information samples'!I139</f>
        <v>purpurea</v>
      </c>
      <c r="J139" s="6" t="str">
        <f>'1. Information samples'!J139</f>
        <v>Tephrosia purpurea</v>
      </c>
      <c r="K139" s="6" t="str">
        <f>'1. Information samples'!K139</f>
        <v>Fabaceae</v>
      </c>
      <c r="L139" s="6" t="str">
        <f>'1. Information samples'!L139</f>
        <v>Fabales</v>
      </c>
      <c r="M139" s="6" t="str">
        <f>'1. Information samples'!M139</f>
        <v>Herbaceous</v>
      </c>
      <c r="N139" s="20">
        <f>'4.0 Result Q-raw data'!O267</f>
        <v>96.046581367453044</v>
      </c>
      <c r="O139" s="20">
        <f>'4.0 Result Q-raw data'!Q267</f>
        <v>8.3363688400895324</v>
      </c>
      <c r="P139" s="20">
        <f>'4.0 Result Q-raw data'!S267</f>
        <v>91.663631159910466</v>
      </c>
      <c r="Q139" s="20">
        <f>'4.0 Result Q-raw data'!T267</f>
        <v>20.316141441952436</v>
      </c>
      <c r="R139" s="20">
        <f>'4.0 Result Q-raw data'!U267</f>
        <v>20.316141441952436</v>
      </c>
      <c r="S139" s="20">
        <f>'4.0 Result Q-raw data'!V267</f>
        <v>40.37681224259547</v>
      </c>
    </row>
    <row r="140" spans="2:19" x14ac:dyDescent="0.35">
      <c r="B140" s="6">
        <f>'1. Information samples'!B140</f>
        <v>130</v>
      </c>
      <c r="C140" s="7">
        <f>'1. Information samples'!C140</f>
        <v>46062</v>
      </c>
      <c r="D140" s="6" t="str">
        <f>'1. Information samples'!D140</f>
        <v>Genbank</v>
      </c>
      <c r="E140" s="6">
        <f>'1. Information samples'!E140</f>
        <v>30</v>
      </c>
      <c r="F140" s="6" t="str">
        <f>'1. Information samples'!F140</f>
        <v>F260027</v>
      </c>
      <c r="G140" s="6" t="str">
        <f>'1. Information samples'!G140</f>
        <v>CIAT23503</v>
      </c>
      <c r="H140" s="6" t="str">
        <f>'1. Information samples'!H140</f>
        <v>Desmodium</v>
      </c>
      <c r="I140" s="6" t="str">
        <f>'1. Information samples'!I140</f>
        <v>macrodesmum</v>
      </c>
      <c r="J140" s="6" t="str">
        <f>'1. Information samples'!J140</f>
        <v>Desmodium macrodesmum</v>
      </c>
      <c r="K140" s="6" t="str">
        <f>'1. Information samples'!K140</f>
        <v>Fabaceae</v>
      </c>
      <c r="L140" s="6" t="str">
        <f>'1. Information samples'!L140</f>
        <v>Fabales</v>
      </c>
      <c r="M140" s="6" t="str">
        <f>'1. Information samples'!M140</f>
        <v>Herbaceous</v>
      </c>
      <c r="N140" s="20">
        <f>'4.0 Result Q-raw data'!O269</f>
        <v>93.327331535192229</v>
      </c>
      <c r="O140" s="20">
        <f>'4.0 Result Q-raw data'!Q269</f>
        <v>13.223150703368908</v>
      </c>
      <c r="P140" s="20">
        <f>'4.0 Result Q-raw data'!S269</f>
        <v>86.776849296631099</v>
      </c>
      <c r="Q140" s="20">
        <f>'4.0 Result Q-raw data'!T269</f>
        <v>20.344312159338216</v>
      </c>
      <c r="R140" s="20">
        <f>'4.0 Result Q-raw data'!U269</f>
        <v>20.344312159338216</v>
      </c>
      <c r="S140" s="20">
        <f>'4.0 Result Q-raw data'!V269</f>
        <v>40.546843005904165</v>
      </c>
    </row>
    <row r="141" spans="2:19" x14ac:dyDescent="0.35">
      <c r="B141" s="6">
        <f>'1. Information samples'!B141</f>
        <v>131</v>
      </c>
      <c r="C141" s="7">
        <f>'1. Information samples'!C141</f>
        <v>46062</v>
      </c>
      <c r="D141" s="6" t="str">
        <f>'1. Information samples'!D141</f>
        <v>Genbank</v>
      </c>
      <c r="E141" s="6">
        <f>'1. Information samples'!E141</f>
        <v>30</v>
      </c>
      <c r="F141" s="6" t="str">
        <f>'1. Information samples'!F141</f>
        <v>F260028</v>
      </c>
      <c r="G141" s="6" t="str">
        <f>'1. Information samples'!G141</f>
        <v>CIAT24333</v>
      </c>
      <c r="H141" s="6" t="str">
        <f>'1. Information samples'!H141</f>
        <v>Macroptilium</v>
      </c>
      <c r="I141" s="6" t="str">
        <f>'1. Information samples'!I141</f>
        <v>bracteatum</v>
      </c>
      <c r="J141" s="6" t="str">
        <f>'1. Information samples'!J141</f>
        <v>Macroptilium bracteatum</v>
      </c>
      <c r="K141" s="6" t="str">
        <f>'1. Information samples'!K141</f>
        <v>Fabaceae</v>
      </c>
      <c r="L141" s="6" t="str">
        <f>'1. Information samples'!L141</f>
        <v>Fabales</v>
      </c>
      <c r="M141" s="6" t="str">
        <f>'1. Information samples'!M141</f>
        <v>Herbaceous</v>
      </c>
      <c r="N141" s="20">
        <f>'4.0 Result Q-raw data'!O271</f>
        <v>94.412230054122119</v>
      </c>
      <c r="O141" s="20">
        <f>'4.0 Result Q-raw data'!Q271</f>
        <v>9.692969907408278</v>
      </c>
      <c r="P141" s="20">
        <f>'4.0 Result Q-raw data'!S271</f>
        <v>90.307030092591717</v>
      </c>
      <c r="Q141" s="20">
        <f>'4.0 Result Q-raw data'!T271</f>
        <v>15.853006438401252</v>
      </c>
      <c r="R141" s="20">
        <f>'4.0 Result Q-raw data'!U271</f>
        <v>15.853006438401252</v>
      </c>
      <c r="S141" s="20">
        <f>'4.0 Result Q-raw data'!V271</f>
        <v>35.604784189325848</v>
      </c>
    </row>
    <row r="142" spans="2:19" x14ac:dyDescent="0.35">
      <c r="B142" s="6">
        <f>'1. Information samples'!B142</f>
        <v>132</v>
      </c>
      <c r="C142" s="7">
        <f>'1. Information samples'!C142</f>
        <v>46062</v>
      </c>
      <c r="D142" s="6" t="str">
        <f>'1. Information samples'!D142</f>
        <v>Genbank</v>
      </c>
      <c r="E142" s="6">
        <f>'1. Information samples'!E142</f>
        <v>30</v>
      </c>
      <c r="F142" s="6" t="str">
        <f>'1. Information samples'!F142</f>
        <v>F260029</v>
      </c>
      <c r="G142" s="6" t="str">
        <f>'1. Information samples'!G142</f>
        <v>CIAT33235</v>
      </c>
      <c r="H142" s="6" t="str">
        <f>'1. Information samples'!H142</f>
        <v>Desmodium</v>
      </c>
      <c r="I142" s="6" t="str">
        <f>'1. Information samples'!I142</f>
        <v>scorpiurus</v>
      </c>
      <c r="J142" s="6" t="str">
        <f>'1. Information samples'!J142</f>
        <v>Desmodium scorpiurus</v>
      </c>
      <c r="K142" s="6" t="str">
        <f>'1. Information samples'!K142</f>
        <v>Fabaceae</v>
      </c>
      <c r="L142" s="6" t="str">
        <f>'1. Information samples'!L142</f>
        <v>Fabales</v>
      </c>
      <c r="M142" s="6" t="str">
        <f>'1. Information samples'!M142</f>
        <v>Herbaceous</v>
      </c>
      <c r="N142" s="20">
        <f>'4.0 Result Q-raw data'!O273</f>
        <v>93.331686656671707</v>
      </c>
      <c r="O142" s="20">
        <f>'4.0 Result Q-raw data'!Q273</f>
        <v>15.451699578871871</v>
      </c>
      <c r="P142" s="20">
        <f>'4.0 Result Q-raw data'!S273</f>
        <v>84.548300421128118</v>
      </c>
      <c r="Q142" s="20">
        <f>'4.0 Result Q-raw data'!T273</f>
        <v>20.052274661550623</v>
      </c>
      <c r="R142" s="20">
        <f>'4.0 Result Q-raw data'!U273</f>
        <v>20.052274661550623</v>
      </c>
      <c r="S142" s="20">
        <f>'4.0 Result Q-raw data'!V273</f>
        <v>42.487580164434476</v>
      </c>
    </row>
    <row r="143" spans="2:19" x14ac:dyDescent="0.35">
      <c r="B143" s="6">
        <f>'1. Information samples'!B143</f>
        <v>133</v>
      </c>
      <c r="C143" s="7">
        <f>'1. Information samples'!C143</f>
        <v>46062</v>
      </c>
      <c r="D143" s="6" t="str">
        <f>'1. Information samples'!D143</f>
        <v>Genbank</v>
      </c>
      <c r="E143" s="6">
        <f>'1. Information samples'!E143</f>
        <v>30</v>
      </c>
      <c r="F143" s="6" t="str">
        <f>'1. Information samples'!F143</f>
        <v>F260030</v>
      </c>
      <c r="G143" s="6" t="str">
        <f>'1. Information samples'!G143</f>
        <v>CIAT33605</v>
      </c>
      <c r="H143" s="6" t="str">
        <f>'1. Information samples'!H143</f>
        <v>Desmodium</v>
      </c>
      <c r="I143" s="6" t="str">
        <f>'1. Information samples'!I143</f>
        <v>sandwicense x intortum</v>
      </c>
      <c r="J143" s="6" t="str">
        <f>'1. Information samples'!J143</f>
        <v>Desmodium sandwicense x intortum</v>
      </c>
      <c r="K143" s="6" t="str">
        <f>'1. Information samples'!K143</f>
        <v>Fabaceae</v>
      </c>
      <c r="L143" s="6" t="str">
        <f>'1. Information samples'!L143</f>
        <v>Fabales</v>
      </c>
      <c r="M143" s="6" t="str">
        <f>'1. Information samples'!M143</f>
        <v>Herbaceous</v>
      </c>
      <c r="N143" s="20">
        <f>'4.0 Result Q-raw data'!O275</f>
        <v>95.552448141310151</v>
      </c>
      <c r="O143" s="20">
        <f>'4.0 Result Q-raw data'!Q275</f>
        <v>10.574786152999778</v>
      </c>
      <c r="P143" s="20">
        <f>'4.0 Result Q-raw data'!S275</f>
        <v>89.425213847000222</v>
      </c>
      <c r="Q143" s="20">
        <f>'4.0 Result Q-raw data'!T275</f>
        <v>19.3223043607377</v>
      </c>
      <c r="R143" s="20">
        <f>'4.0 Result Q-raw data'!U275</f>
        <v>19.3223043607377</v>
      </c>
      <c r="S143" s="20">
        <f>'4.0 Result Q-raw data'!V275</f>
        <v>46.64076046802041</v>
      </c>
    </row>
    <row r="144" spans="2:19" x14ac:dyDescent="0.35">
      <c r="B144" s="6">
        <f>'1. Information samples'!B144</f>
        <v>134</v>
      </c>
      <c r="C144" s="7">
        <f>'1. Information samples'!C144</f>
        <v>46062</v>
      </c>
      <c r="D144" s="6" t="str">
        <f>'1. Information samples'!D144</f>
        <v>Genbank</v>
      </c>
      <c r="E144" s="6">
        <f>'1. Information samples'!E144</f>
        <v>30</v>
      </c>
      <c r="F144" s="6" t="str">
        <f>'1. Information samples'!F144</f>
        <v>F260031</v>
      </c>
      <c r="G144" s="6" t="str">
        <f>'1. Information samples'!G144</f>
        <v>CIAT34144</v>
      </c>
      <c r="H144" s="6" t="str">
        <f>'1. Information samples'!H144</f>
        <v>Vigna</v>
      </c>
      <c r="I144" s="6" t="str">
        <f>'1. Information samples'!I144</f>
        <v>radiata</v>
      </c>
      <c r="J144" s="6" t="str">
        <f>'1. Information samples'!J144</f>
        <v>Vigna radiata</v>
      </c>
      <c r="K144" s="6" t="str">
        <f>'1. Information samples'!K144</f>
        <v>Fabaceae</v>
      </c>
      <c r="L144" s="6" t="str">
        <f>'1. Information samples'!L144</f>
        <v>Fabales</v>
      </c>
      <c r="M144" s="6" t="str">
        <f>'1. Information samples'!M144</f>
        <v>Herbaceous</v>
      </c>
      <c r="N144" s="20">
        <f>'4.0 Result Q-raw data'!O277</f>
        <v>90.898634957238954</v>
      </c>
      <c r="O144" s="20">
        <f>'4.0 Result Q-raw data'!Q277</f>
        <v>11.678644931879287</v>
      </c>
      <c r="P144" s="20">
        <f>'4.0 Result Q-raw data'!S277</f>
        <v>88.32135506812071</v>
      </c>
      <c r="Q144" s="20">
        <f>'4.0 Result Q-raw data'!T277</f>
        <v>24.930335875406787</v>
      </c>
      <c r="R144" s="20">
        <f>'4.0 Result Q-raw data'!U277</f>
        <v>24.930335875406787</v>
      </c>
      <c r="S144" s="20">
        <f>'4.0 Result Q-raw data'!V277</f>
        <v>21.642607364578097</v>
      </c>
    </row>
    <row r="145" spans="2:19" x14ac:dyDescent="0.35">
      <c r="B145" s="6">
        <f>'1. Information samples'!B145</f>
        <v>135</v>
      </c>
      <c r="C145" s="7">
        <f>'1. Information samples'!C145</f>
        <v>46062</v>
      </c>
      <c r="D145" s="6" t="str">
        <f>'1. Information samples'!D145</f>
        <v>Genbank</v>
      </c>
      <c r="E145" s="6">
        <f>'1. Information samples'!E145</f>
        <v>30</v>
      </c>
      <c r="F145" s="6" t="str">
        <f>'1. Information samples'!F145</f>
        <v>F260032</v>
      </c>
      <c r="G145" s="6" t="str">
        <f>'1. Information samples'!G145</f>
        <v>CIAT7934</v>
      </c>
      <c r="H145" s="6" t="str">
        <f>'1. Information samples'!H145</f>
        <v>Sesbania</v>
      </c>
      <c r="I145" s="6" t="str">
        <f>'1. Information samples'!I145</f>
        <v>sesban</v>
      </c>
      <c r="J145" s="6" t="str">
        <f>'1. Information samples'!J145</f>
        <v>Sesbania sesban</v>
      </c>
      <c r="K145" s="6" t="str">
        <f>'1. Information samples'!K145</f>
        <v>Fabaceae</v>
      </c>
      <c r="L145" s="6" t="str">
        <f>'1. Information samples'!L145</f>
        <v>Fabales</v>
      </c>
      <c r="M145" s="6" t="str">
        <f>'1. Information samples'!M145</f>
        <v>Shurb_Tree</v>
      </c>
      <c r="N145" s="20">
        <f>'4.0 Result Q-raw data'!O279</f>
        <v>96.466440271809788</v>
      </c>
      <c r="O145" s="20">
        <f>'4.0 Result Q-raw data'!Q279</f>
        <v>12.957461458485808</v>
      </c>
      <c r="P145" s="20">
        <f>'4.0 Result Q-raw data'!S279</f>
        <v>87.04253854151419</v>
      </c>
      <c r="Q145" s="20">
        <f>'4.0 Result Q-raw data'!T279</f>
        <v>26.701514501639117</v>
      </c>
      <c r="R145" s="20">
        <f>'4.0 Result Q-raw data'!U279</f>
        <v>26.817681002087667</v>
      </c>
      <c r="S145" s="20">
        <f>'4.0 Result Q-raw data'!V279</f>
        <v>19.533611757771677</v>
      </c>
    </row>
    <row r="146" spans="2:19" x14ac:dyDescent="0.35">
      <c r="B146" s="6">
        <f>'1. Information samples'!B146</f>
        <v>136</v>
      </c>
      <c r="C146" s="7">
        <f>'1. Information samples'!C146</f>
        <v>46062</v>
      </c>
      <c r="D146" s="6" t="str">
        <f>'1. Information samples'!D146</f>
        <v>Genbank</v>
      </c>
      <c r="E146" s="6">
        <f>'1. Information samples'!E146</f>
        <v>30</v>
      </c>
      <c r="F146" s="6" t="str">
        <f>'1. Information samples'!F146</f>
        <v>F260033</v>
      </c>
      <c r="G146" s="6" t="str">
        <f>'1. Information samples'!G146</f>
        <v>CIAT7937</v>
      </c>
      <c r="H146" s="6" t="str">
        <f>'1. Information samples'!H146</f>
        <v>Mimosa</v>
      </c>
      <c r="I146" s="6" t="str">
        <f>'1. Information samples'!I146</f>
        <v>nuda</v>
      </c>
      <c r="J146" s="6" t="str">
        <f>'1. Information samples'!J146</f>
        <v>Mimosa nuda</v>
      </c>
      <c r="K146" s="6" t="str">
        <f>'1. Information samples'!K146</f>
        <v>Fabaceae</v>
      </c>
      <c r="L146" s="6" t="str">
        <f>'1. Information samples'!L146</f>
        <v>Fabales</v>
      </c>
      <c r="M146" s="6" t="str">
        <f>'1. Information samples'!M146</f>
        <v>Shurb_Tree</v>
      </c>
      <c r="N146" s="20">
        <f>'4.0 Result Q-raw data'!O281</f>
        <v>96.201135508638032</v>
      </c>
      <c r="O146" s="20">
        <f>'4.0 Result Q-raw data'!Q281</f>
        <v>8.1936108718343554</v>
      </c>
      <c r="P146" s="20">
        <f>'4.0 Result Q-raw data'!S281</f>
        <v>91.806389128165648</v>
      </c>
      <c r="Q146" s="20">
        <f>'4.0 Result Q-raw data'!T281</f>
        <v>14.646737347226853</v>
      </c>
      <c r="R146" s="20">
        <f>'4.0 Result Q-raw data'!U281</f>
        <v>14.646737347226853</v>
      </c>
      <c r="S146" s="20">
        <f>'4.0 Result Q-raw data'!V281</f>
        <v>42.241653058939491</v>
      </c>
    </row>
    <row r="147" spans="2:19" x14ac:dyDescent="0.35">
      <c r="B147" s="6">
        <f>'1. Information samples'!B147</f>
        <v>137</v>
      </c>
      <c r="C147" s="7">
        <f>'1. Information samples'!C147</f>
        <v>46062</v>
      </c>
      <c r="D147" s="6" t="str">
        <f>'1. Information samples'!D147</f>
        <v>Genbank</v>
      </c>
      <c r="E147" s="6">
        <f>'1. Information samples'!E147</f>
        <v>30</v>
      </c>
      <c r="F147" s="6" t="str">
        <f>'1. Information samples'!F147</f>
        <v>F260034</v>
      </c>
      <c r="G147" s="6" t="str">
        <f>'1. Information samples'!G147</f>
        <v>CIAT8056</v>
      </c>
      <c r="H147" s="6" t="str">
        <f>'1. Information samples'!H147</f>
        <v>Mimosa</v>
      </c>
      <c r="I147" s="6" t="str">
        <f>'1. Information samples'!I147</f>
        <v>diplotricha</v>
      </c>
      <c r="J147" s="6" t="str">
        <f>'1. Information samples'!J147</f>
        <v>Mimosa diplotricha</v>
      </c>
      <c r="K147" s="6" t="str">
        <f>'1. Information samples'!K147</f>
        <v>Fabaceae</v>
      </c>
      <c r="L147" s="6" t="str">
        <f>'1. Information samples'!L147</f>
        <v>Fabales</v>
      </c>
      <c r="M147" s="6" t="str">
        <f>'1. Information samples'!M147</f>
        <v>Shurb_Tree</v>
      </c>
      <c r="N147" s="20">
        <f>'4.0 Result Q-raw data'!O283</f>
        <v>95.291885198058793</v>
      </c>
      <c r="O147" s="20">
        <f>'4.0 Result Q-raw data'!Q283</f>
        <v>9.9183859455442462</v>
      </c>
      <c r="P147" s="20">
        <f>'4.0 Result Q-raw data'!S283</f>
        <v>90.081614054455741</v>
      </c>
      <c r="Q147" s="20">
        <f>'4.0 Result Q-raw data'!T283</f>
        <v>18.616653686775535</v>
      </c>
      <c r="R147" s="20">
        <f>'4.0 Result Q-raw data'!U283</f>
        <v>18.616653686775535</v>
      </c>
      <c r="S147" s="20">
        <f>'4.0 Result Q-raw data'!V283</f>
        <v>36.510605807060884</v>
      </c>
    </row>
    <row r="148" spans="2:19" x14ac:dyDescent="0.35">
      <c r="B148" s="6">
        <f>'1. Information samples'!B148</f>
        <v>138</v>
      </c>
      <c r="C148" s="7">
        <f>'1. Information samples'!C148</f>
        <v>46062</v>
      </c>
      <c r="D148" s="6" t="str">
        <f>'1. Information samples'!D148</f>
        <v>Genbank</v>
      </c>
      <c r="E148" s="6">
        <f>'1. Information samples'!E148</f>
        <v>30</v>
      </c>
      <c r="F148" s="6" t="str">
        <f>'1. Information samples'!F148</f>
        <v>F260035</v>
      </c>
      <c r="G148" s="6" t="str">
        <f>'1. Information samples'!G148</f>
        <v>CIAT17514</v>
      </c>
      <c r="H148" s="6" t="str">
        <f>'1. Information samples'!H148</f>
        <v>Mimosa</v>
      </c>
      <c r="I148" s="6" t="str">
        <f>'1. Information samples'!I148</f>
        <v>pudica</v>
      </c>
      <c r="J148" s="6" t="str">
        <f>'1. Information samples'!J148</f>
        <v>Mimosa pudica</v>
      </c>
      <c r="K148" s="6" t="str">
        <f>'1. Information samples'!K148</f>
        <v>Fabaceae</v>
      </c>
      <c r="L148" s="6" t="str">
        <f>'1. Information samples'!L148</f>
        <v>Fabales</v>
      </c>
      <c r="M148" s="6" t="str">
        <f>'1. Information samples'!M148</f>
        <v>Shurb_Tree</v>
      </c>
      <c r="N148" s="20">
        <f>'4.0 Result Q-raw data'!O285</f>
        <v>96.435877061469313</v>
      </c>
      <c r="O148" s="20">
        <f>'4.0 Result Q-raw data'!Q285</f>
        <v>10.034941510308036</v>
      </c>
      <c r="P148" s="20">
        <f>'4.0 Result Q-raw data'!S285</f>
        <v>89.965058489691955</v>
      </c>
      <c r="Q148" s="20">
        <f>'4.0 Result Q-raw data'!T285</f>
        <v>19.832973521790223</v>
      </c>
      <c r="R148" s="20">
        <f>'4.0 Result Q-raw data'!U285</f>
        <v>19.832973521790223</v>
      </c>
      <c r="S148" s="20">
        <f>'4.0 Result Q-raw data'!V285</f>
        <v>41.756084698082859</v>
      </c>
    </row>
    <row r="149" spans="2:19" x14ac:dyDescent="0.35">
      <c r="B149" s="6">
        <f>'1. Information samples'!B149</f>
        <v>139</v>
      </c>
      <c r="C149" s="7">
        <f>'1. Information samples'!C149</f>
        <v>46062</v>
      </c>
      <c r="D149" s="6" t="str">
        <f>'1. Information samples'!D149</f>
        <v>Genbank</v>
      </c>
      <c r="E149" s="6">
        <f>'1. Information samples'!E149</f>
        <v>30</v>
      </c>
      <c r="F149" s="6" t="str">
        <f>'1. Information samples'!F149</f>
        <v>F260036</v>
      </c>
      <c r="G149" s="6" t="str">
        <f>'1. Information samples'!G149</f>
        <v>CIAT17725</v>
      </c>
      <c r="H149" s="6" t="str">
        <f>'1. Information samples'!H149</f>
        <v>Mimosa</v>
      </c>
      <c r="I149" s="6" t="str">
        <f>'1. Information samples'!I149</f>
        <v>polycarpa</v>
      </c>
      <c r="J149" s="6" t="str">
        <f>'1. Information samples'!J149</f>
        <v>Mimosa polycarpa</v>
      </c>
      <c r="K149" s="6" t="str">
        <f>'1. Information samples'!K149</f>
        <v>Fabaceae</v>
      </c>
      <c r="L149" s="6" t="str">
        <f>'1. Information samples'!L149</f>
        <v>Fabales</v>
      </c>
      <c r="M149" s="6" t="str">
        <f>'1. Information samples'!M149</f>
        <v>Shurb_Tree</v>
      </c>
      <c r="N149" s="20">
        <f>'4.0 Result Q-raw data'!O287</f>
        <v>95.667172867011544</v>
      </c>
      <c r="O149" s="20">
        <f>'4.0 Result Q-raw data'!Q287</f>
        <v>7.9978790943207372</v>
      </c>
      <c r="P149" s="20">
        <f>'4.0 Result Q-raw data'!S287</f>
        <v>92.002120905679263</v>
      </c>
      <c r="Q149" s="20">
        <f>'4.0 Result Q-raw data'!T287</f>
        <v>21.375911130411364</v>
      </c>
      <c r="R149" s="20">
        <f>'4.0 Result Q-raw data'!U287</f>
        <v>21.375911130411364</v>
      </c>
      <c r="S149" s="20">
        <f>'4.0 Result Q-raw data'!V287</f>
        <v>35.58179390335556</v>
      </c>
    </row>
    <row r="150" spans="2:19" x14ac:dyDescent="0.35">
      <c r="B150" s="6">
        <f>'1. Information samples'!B150</f>
        <v>140</v>
      </c>
      <c r="C150" s="7">
        <f>'1. Information samples'!C150</f>
        <v>46062</v>
      </c>
      <c r="D150" s="6" t="str">
        <f>'1. Information samples'!D150</f>
        <v>Genbank</v>
      </c>
      <c r="E150" s="6">
        <f>'1. Information samples'!E150</f>
        <v>30</v>
      </c>
      <c r="F150" s="6" t="str">
        <f>'1. Information samples'!F150</f>
        <v>F260037</v>
      </c>
      <c r="G150" s="6" t="str">
        <f>'1. Information samples'!G150</f>
        <v>CIAT18947</v>
      </c>
      <c r="H150" s="6" t="str">
        <f>'1. Information samples'!H150</f>
        <v>Sesbania</v>
      </c>
      <c r="I150" s="6" t="str">
        <f>'1. Information samples'!I150</f>
        <v>sesban</v>
      </c>
      <c r="J150" s="6" t="str">
        <f>'1. Information samples'!J150</f>
        <v>Sesbania sesban</v>
      </c>
      <c r="K150" s="6" t="str">
        <f>'1. Information samples'!K150</f>
        <v>Fabaceae</v>
      </c>
      <c r="L150" s="6" t="str">
        <f>'1. Information samples'!L150</f>
        <v>Fabales</v>
      </c>
      <c r="M150" s="6" t="str">
        <f>'1. Information samples'!M150</f>
        <v>Shurb_Tree</v>
      </c>
      <c r="N150" s="20">
        <f>'4.0 Result Q-raw data'!O289</f>
        <v>95.480911635345876</v>
      </c>
      <c r="O150" s="20">
        <f>'4.0 Result Q-raw data'!Q289</f>
        <v>9.7276519679246789</v>
      </c>
      <c r="P150" s="20">
        <f>'4.0 Result Q-raw data'!S289</f>
        <v>90.272348032075314</v>
      </c>
      <c r="Q150" s="20">
        <f>'4.0 Result Q-raw data'!T289</f>
        <v>28.79378419999593</v>
      </c>
      <c r="R150" s="20">
        <f>'4.0 Result Q-raw data'!U289</f>
        <v>28.79378419999593</v>
      </c>
      <c r="S150" s="20">
        <f>'4.0 Result Q-raw data'!V289</f>
        <v>20.437366108991188</v>
      </c>
    </row>
    <row r="151" spans="2:19" x14ac:dyDescent="0.35">
      <c r="B151" s="6">
        <f>'1. Information samples'!B151</f>
        <v>141</v>
      </c>
      <c r="C151" s="7">
        <f>'1. Information samples'!C151</f>
        <v>46062</v>
      </c>
      <c r="D151" s="6" t="str">
        <f>'1. Information samples'!D151</f>
        <v>Genbank</v>
      </c>
      <c r="E151" s="6">
        <f>'1. Information samples'!E151</f>
        <v>30</v>
      </c>
      <c r="F151" s="6" t="str">
        <f>'1. Information samples'!F151</f>
        <v>F260038</v>
      </c>
      <c r="G151" s="6" t="str">
        <f>'1. Information samples'!G151</f>
        <v>CIAT19165</v>
      </c>
      <c r="H151" s="6" t="str">
        <f>'1. Information samples'!H151</f>
        <v>Sesbania</v>
      </c>
      <c r="I151" s="6" t="str">
        <f>'1. Information samples'!I151</f>
        <v>keniensis</v>
      </c>
      <c r="J151" s="6" t="str">
        <f>'1. Information samples'!J151</f>
        <v>Sesbania keniensis</v>
      </c>
      <c r="K151" s="6" t="str">
        <f>'1. Information samples'!K151</f>
        <v>Fabaceae</v>
      </c>
      <c r="L151" s="6" t="str">
        <f>'1. Information samples'!L151</f>
        <v>Fabales</v>
      </c>
      <c r="M151" s="6" t="str">
        <f>'1. Information samples'!M151</f>
        <v>Shurb_Tree</v>
      </c>
      <c r="N151" s="20">
        <f>'4.0 Result Q-raw data'!O291</f>
        <v>96.441599272334983</v>
      </c>
      <c r="O151" s="20">
        <f>'4.0 Result Q-raw data'!Q291</f>
        <v>10.395493281480912</v>
      </c>
      <c r="P151" s="20">
        <f>'4.0 Result Q-raw data'!S291</f>
        <v>89.60450671851909</v>
      </c>
      <c r="Q151" s="20">
        <f>'4.0 Result Q-raw data'!T291</f>
        <v>25.521093019694892</v>
      </c>
      <c r="R151" s="20">
        <f>'4.0 Result Q-raw data'!U291</f>
        <v>25.521093019694892</v>
      </c>
      <c r="S151" s="20">
        <f>'4.0 Result Q-raw data'!V291</f>
        <v>30.662749455309157</v>
      </c>
    </row>
    <row r="152" spans="2:19" x14ac:dyDescent="0.35">
      <c r="B152" s="6">
        <f>'1. Information samples'!B152</f>
        <v>142</v>
      </c>
      <c r="C152" s="7">
        <f>'1. Information samples'!C152</f>
        <v>46062</v>
      </c>
      <c r="D152" s="6" t="str">
        <f>'1. Information samples'!D152</f>
        <v>Genbank</v>
      </c>
      <c r="E152" s="6">
        <f>'1. Information samples'!E152</f>
        <v>30</v>
      </c>
      <c r="F152" s="6" t="str">
        <f>'1. Information samples'!F152</f>
        <v>F260039</v>
      </c>
      <c r="G152" s="6" t="str">
        <f>'1. Information samples'!G152</f>
        <v>CIAT21899</v>
      </c>
      <c r="H152" s="6" t="str">
        <f>'1. Information samples'!H152</f>
        <v>Sesbania</v>
      </c>
      <c r="I152" s="6" t="str">
        <f>'1. Information samples'!I152</f>
        <v>sesban</v>
      </c>
      <c r="J152" s="6" t="str">
        <f>'1. Information samples'!J152</f>
        <v>Sesbania sesban</v>
      </c>
      <c r="K152" s="6" t="str">
        <f>'1. Information samples'!K152</f>
        <v>Fabaceae</v>
      </c>
      <c r="L152" s="6" t="str">
        <f>'1. Information samples'!L152</f>
        <v>Fabales</v>
      </c>
      <c r="M152" s="6" t="str">
        <f>'1. Information samples'!M152</f>
        <v>Shurb_Tree</v>
      </c>
      <c r="N152" s="20">
        <f>'4.0 Result Q-raw data'!O293</f>
        <v>95.83687564454479</v>
      </c>
      <c r="O152" s="20">
        <f>'4.0 Result Q-raw data'!Q293</f>
        <v>7.9891513777258432</v>
      </c>
      <c r="P152" s="20">
        <f>'4.0 Result Q-raw data'!S293</f>
        <v>92.010848622274153</v>
      </c>
      <c r="Q152" s="20">
        <f>'4.0 Result Q-raw data'!T293</f>
        <v>18.324960198207332</v>
      </c>
      <c r="R152" s="20">
        <f>'4.0 Result Q-raw data'!U293</f>
        <v>18.324960198207332</v>
      </c>
      <c r="S152" s="20">
        <f>'4.0 Result Q-raw data'!V293</f>
        <v>41.759124745056269</v>
      </c>
    </row>
    <row r="153" spans="2:19" x14ac:dyDescent="0.35">
      <c r="B153" s="6">
        <f>'1. Information samples'!B153</f>
        <v>143</v>
      </c>
      <c r="C153" s="7">
        <f>'1. Information samples'!C153</f>
        <v>46062</v>
      </c>
      <c r="D153" s="6" t="str">
        <f>'1. Information samples'!D153</f>
        <v>Genbank</v>
      </c>
      <c r="E153" s="6">
        <f>'1. Information samples'!E153</f>
        <v>30</v>
      </c>
      <c r="F153" s="6" t="str">
        <f>'1. Information samples'!F153</f>
        <v>F260040</v>
      </c>
      <c r="G153" s="6" t="str">
        <f>'1. Information samples'!G153</f>
        <v>CIAT23414</v>
      </c>
      <c r="H153" s="6" t="str">
        <f>'1. Information samples'!H153</f>
        <v>Codariocalyx</v>
      </c>
      <c r="I153" s="6" t="str">
        <f>'1. Information samples'!I153</f>
        <v>motorius</v>
      </c>
      <c r="J153" s="6" t="str">
        <f>'1. Information samples'!J153</f>
        <v>Codariocalyx motorius</v>
      </c>
      <c r="K153" s="6" t="str">
        <f>'1. Information samples'!K153</f>
        <v>Fabaceae</v>
      </c>
      <c r="L153" s="6" t="str">
        <f>'1. Information samples'!L153</f>
        <v>Fabales</v>
      </c>
      <c r="M153" s="6" t="str">
        <f>'1. Information samples'!M153</f>
        <v>Shurb_Tree</v>
      </c>
      <c r="N153" s="20">
        <f>'4.0 Result Q-raw data'!O295</f>
        <v>96.306637191333095</v>
      </c>
      <c r="O153" s="20">
        <f>'4.0 Result Q-raw data'!Q295</f>
        <v>9.3357428914648342</v>
      </c>
      <c r="P153" s="20">
        <f>'4.0 Result Q-raw data'!S295</f>
        <v>90.664257108535168</v>
      </c>
      <c r="Q153" s="20">
        <f>'4.0 Result Q-raw data'!T295</f>
        <v>15.866404880370927</v>
      </c>
      <c r="R153" s="20">
        <f>'4.0 Result Q-raw data'!U295</f>
        <v>16.194493709548571</v>
      </c>
      <c r="S153" s="20">
        <f>'4.0 Result Q-raw data'!V295</f>
        <v>42.722099832189308</v>
      </c>
    </row>
    <row r="154" spans="2:19" x14ac:dyDescent="0.35">
      <c r="B154" s="6">
        <f>'1. Information samples'!B154</f>
        <v>144</v>
      </c>
      <c r="C154" s="7">
        <f>'1. Information samples'!C154</f>
        <v>46062</v>
      </c>
      <c r="D154" s="6" t="str">
        <f>'1. Information samples'!D154</f>
        <v>Genbank</v>
      </c>
      <c r="E154" s="6">
        <f>'1. Information samples'!E154</f>
        <v>30</v>
      </c>
      <c r="F154" s="6" t="str">
        <f>'1. Information samples'!F154</f>
        <v>F260041</v>
      </c>
      <c r="G154" s="6" t="str">
        <f>'1. Information samples'!G154</f>
        <v>CIAT23767</v>
      </c>
      <c r="H154" s="6" t="str">
        <f>'1. Information samples'!H154</f>
        <v>Desmodium</v>
      </c>
      <c r="I154" s="6" t="str">
        <f>'1. Information samples'!I154</f>
        <v>nicaraguense</v>
      </c>
      <c r="J154" s="6" t="str">
        <f>'1. Information samples'!J154</f>
        <v>Desmodium nicaraguense</v>
      </c>
      <c r="K154" s="6" t="str">
        <f>'1. Information samples'!K154</f>
        <v>Fabaceae</v>
      </c>
      <c r="L154" s="6" t="str">
        <f>'1. Information samples'!L154</f>
        <v>Fabales</v>
      </c>
      <c r="M154" s="6" t="str">
        <f>'1. Information samples'!M154</f>
        <v>Shurb_Tree</v>
      </c>
      <c r="N154" s="20">
        <f>'4.0 Result Q-raw data'!O297</f>
        <v>94.996009596161613</v>
      </c>
      <c r="O154" s="20">
        <f>'4.0 Result Q-raw data'!Q297</f>
        <v>10.098414453907923</v>
      </c>
      <c r="P154" s="20">
        <f>'4.0 Result Q-raw data'!S297</f>
        <v>89.901585546092079</v>
      </c>
      <c r="Q154" s="20">
        <f>'4.0 Result Q-raw data'!T297</f>
        <v>19.053138278667557</v>
      </c>
      <c r="R154" s="20">
        <f>'4.0 Result Q-raw data'!U297</f>
        <v>19.053138278667557</v>
      </c>
      <c r="S154" s="20">
        <f>'4.0 Result Q-raw data'!V297</f>
        <v>27.536720677266953</v>
      </c>
    </row>
    <row r="155" spans="2:19" x14ac:dyDescent="0.35">
      <c r="B155" s="6">
        <f>'1. Information samples'!B155</f>
        <v>145</v>
      </c>
      <c r="C155" s="7">
        <f>'1. Information samples'!C155</f>
        <v>46062</v>
      </c>
      <c r="D155" s="6" t="str">
        <f>'1. Information samples'!D155</f>
        <v>Genbank</v>
      </c>
      <c r="E155" s="6">
        <f>'1. Information samples'!E155</f>
        <v>30</v>
      </c>
      <c r="F155" s="6" t="str">
        <f>'1. Information samples'!F155</f>
        <v>F260042</v>
      </c>
      <c r="G155" s="6" t="str">
        <f>'1. Information samples'!G155</f>
        <v>CIAT33127</v>
      </c>
      <c r="H155" s="6" t="str">
        <f>'1. Information samples'!H155</f>
        <v>Codariocalyx</v>
      </c>
      <c r="I155" s="6" t="str">
        <f>'1. Information samples'!I155</f>
        <v>motorius</v>
      </c>
      <c r="J155" s="6" t="str">
        <f>'1. Information samples'!J155</f>
        <v>Codariocalyx motorius</v>
      </c>
      <c r="K155" s="6" t="str">
        <f>'1. Information samples'!K155</f>
        <v>Fabaceae</v>
      </c>
      <c r="L155" s="6" t="str">
        <f>'1. Information samples'!L155</f>
        <v>Fabales</v>
      </c>
      <c r="M155" s="6" t="str">
        <f>'1. Information samples'!M155</f>
        <v>Shurb_Tree</v>
      </c>
      <c r="N155" s="20">
        <f>'4.0 Result Q-raw data'!O299</f>
        <v>95.601549854946512</v>
      </c>
      <c r="O155" s="20">
        <f>'4.0 Result Q-raw data'!Q299</f>
        <v>9.5310623230814127</v>
      </c>
      <c r="P155" s="20">
        <f>'4.0 Result Q-raw data'!S299</f>
        <v>90.468937676918586</v>
      </c>
      <c r="Q155" s="20">
        <f>'4.0 Result Q-raw data'!T299</f>
        <v>13.668304683335682</v>
      </c>
      <c r="R155" s="20">
        <f>'4.0 Result Q-raw data'!U299</f>
        <v>13.662068705204028</v>
      </c>
      <c r="S155" s="20">
        <f>'4.0 Result Q-raw data'!V299</f>
        <v>43.818620200779108</v>
      </c>
    </row>
    <row r="156" spans="2:19" x14ac:dyDescent="0.35">
      <c r="B156" s="6">
        <f>'1. Information samples'!B156</f>
        <v>146</v>
      </c>
      <c r="C156" s="7">
        <f>'1. Information samples'!C156</f>
        <v>46062</v>
      </c>
      <c r="D156" s="6" t="str">
        <f>'1. Information samples'!D156</f>
        <v>Breeding</v>
      </c>
      <c r="E156" s="6">
        <f>'1. Information samples'!E156</f>
        <v>30</v>
      </c>
      <c r="F156" s="6" t="str">
        <f>'1. Information samples'!F156</f>
        <v>F252104</v>
      </c>
      <c r="G156" s="6" t="str">
        <f>'1. Information samples'!G156</f>
        <v>CIAT-BR06_1348</v>
      </c>
      <c r="H156" s="6" t="str">
        <f>'1. Information samples'!H156</f>
        <v>Urochloa</v>
      </c>
      <c r="I156" s="6" t="str">
        <f>'1. Information samples'!I156</f>
        <v>interespecifico</v>
      </c>
      <c r="J156" s="6" t="str">
        <f>'1. Information samples'!J156</f>
        <v>Brachiaria interespecifico</v>
      </c>
      <c r="K156" s="6" t="str">
        <f>'1. Information samples'!K156</f>
        <v>Poaceae</v>
      </c>
      <c r="L156" s="6" t="str">
        <f>'1. Information samples'!L156</f>
        <v>Poales</v>
      </c>
      <c r="M156" s="6" t="str">
        <f>'1. Information samples'!M156</f>
        <v>grasses</v>
      </c>
      <c r="N156" s="20">
        <f>'4.0 Result Q-raw data'!O301</f>
        <v>93.09</v>
      </c>
      <c r="O156" s="20">
        <f>'4.0 Result Q-raw data'!Q301</f>
        <v>14.475</v>
      </c>
      <c r="P156" s="20">
        <f>'4.0 Result Q-raw data'!S301</f>
        <v>85.525000000000006</v>
      </c>
      <c r="Q156" s="20">
        <f>'4.0 Result Q-raw data'!T301</f>
        <v>12.27</v>
      </c>
      <c r="R156" s="20">
        <f>'4.0 Result Q-raw data'!U301</f>
        <v>12.225</v>
      </c>
      <c r="S156" s="20">
        <f>'4.0 Result Q-raw data'!V301</f>
        <v>25.43</v>
      </c>
    </row>
    <row r="157" spans="2:19" x14ac:dyDescent="0.35">
      <c r="B157" s="6">
        <f>'1. Information samples'!B157</f>
        <v>147</v>
      </c>
      <c r="C157" s="7">
        <f>'1. Information samples'!C157</f>
        <v>46062</v>
      </c>
      <c r="D157" s="6" t="str">
        <f>'1. Information samples'!D157</f>
        <v>Breeding</v>
      </c>
      <c r="E157" s="6">
        <f>'1. Information samples'!E157</f>
        <v>30</v>
      </c>
      <c r="F157" s="6" t="str">
        <f>'1. Information samples'!F157</f>
        <v>F252166</v>
      </c>
      <c r="G157" s="6" t="str">
        <f>'1. Information samples'!G157</f>
        <v>CIAT-BH22_0528</v>
      </c>
      <c r="H157" s="6" t="str">
        <f>'1. Information samples'!H157</f>
        <v>Urochloa</v>
      </c>
      <c r="I157" s="6" t="str">
        <f>'1. Information samples'!I157</f>
        <v>humidicola</v>
      </c>
      <c r="J157" s="6" t="str">
        <f>'1. Information samples'!J157</f>
        <v>Urochloa humidicola</v>
      </c>
      <c r="K157" s="6" t="str">
        <f>'1. Information samples'!K157</f>
        <v>Poaceae</v>
      </c>
      <c r="L157" s="6" t="str">
        <f>'1. Information samples'!L157</f>
        <v>Poales</v>
      </c>
      <c r="M157" s="6" t="str">
        <f>'1. Information samples'!M157</f>
        <v>grasses</v>
      </c>
      <c r="N157" s="20">
        <f>'4.0 Result Q-raw data'!O303</f>
        <v>98.210000000000008</v>
      </c>
      <c r="O157" s="20">
        <f>'4.0 Result Q-raw data'!Q303</f>
        <v>13.780000000000001</v>
      </c>
      <c r="P157" s="20">
        <f>'4.0 Result Q-raw data'!S303</f>
        <v>86.22</v>
      </c>
      <c r="Q157" s="20">
        <f>'4.0 Result Q-raw data'!T303</f>
        <v>8.73</v>
      </c>
      <c r="R157" s="20">
        <f>'4.0 Result Q-raw data'!U303</f>
        <v>8.7650000000000006</v>
      </c>
      <c r="S157" s="20">
        <f>'4.0 Result Q-raw data'!V303</f>
        <v>36.96</v>
      </c>
    </row>
    <row r="158" spans="2:19" x14ac:dyDescent="0.35">
      <c r="B158" s="6">
        <f>'1. Information samples'!B158</f>
        <v>148</v>
      </c>
      <c r="C158" s="7">
        <f>'1. Information samples'!C158</f>
        <v>46062</v>
      </c>
      <c r="D158" s="6" t="str">
        <f>'1. Information samples'!D158</f>
        <v>Jacobo Arango/ Alejandro Montoya</v>
      </c>
      <c r="E158" s="6">
        <f>'1. Information samples'!E158</f>
        <v>30</v>
      </c>
      <c r="F158" s="6" t="str">
        <f>'1. Information samples'!F158</f>
        <v>F250008</v>
      </c>
      <c r="G158" s="6" t="str">
        <f>'1. Information samples'!G158</f>
        <v>Sample 8</v>
      </c>
      <c r="H158" s="6" t="str">
        <f>'1. Information samples'!H158</f>
        <v>Cynodon</v>
      </c>
      <c r="I158" s="6" t="str">
        <f>'1. Information samples'!I158</f>
        <v xml:space="preserve"> nlemfuensis </v>
      </c>
      <c r="J158" s="6" t="str">
        <f>'1. Information samples'!J158</f>
        <v xml:space="preserve">Cynodon nlemfuensis </v>
      </c>
      <c r="K158" s="6" t="str">
        <f>'1. Information samples'!K158</f>
        <v>Poaceae</v>
      </c>
      <c r="L158" s="6" t="str">
        <f>'1. Information samples'!L158</f>
        <v>Poales</v>
      </c>
      <c r="M158" s="6" t="str">
        <f>'1. Information samples'!M158</f>
        <v>grasses</v>
      </c>
      <c r="N158" s="20">
        <f>'4.0 Result Q-raw data'!O305</f>
        <v>93.699999999999989</v>
      </c>
      <c r="O158" s="20">
        <f>'4.0 Result Q-raw data'!Q305</f>
        <v>11.4</v>
      </c>
      <c r="P158" s="20">
        <f>'4.0 Result Q-raw data'!S305</f>
        <v>88.6</v>
      </c>
      <c r="Q158" s="20">
        <f>'4.0 Result Q-raw data'!T305</f>
        <v>13.1</v>
      </c>
      <c r="R158" s="20">
        <f>'4.0 Result Q-raw data'!U305</f>
        <v>13.1</v>
      </c>
      <c r="S158" s="20">
        <f>'4.0 Result Q-raw data'!V305</f>
        <v>37.799999999999997</v>
      </c>
    </row>
  </sheetData>
  <autoFilter ref="P10" xr:uid="{46005B58-514E-4F7F-9F22-6C85A141FDE7}"/>
  <phoneticPr fontId="7" type="noConversion"/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7F4EE6-F4AD-4F0B-A3BA-E9BCF04B0268}">
  <dimension ref="B2:AD158"/>
  <sheetViews>
    <sheetView topLeftCell="E97" zoomScale="70" zoomScaleNormal="70" workbookViewId="0">
      <selection activeCell="F117" sqref="F117:V117"/>
    </sheetView>
  </sheetViews>
  <sheetFormatPr defaultColWidth="8.6328125" defaultRowHeight="14.5" x14ac:dyDescent="0.35"/>
  <cols>
    <col min="1" max="1" width="2.453125" style="5" customWidth="1"/>
    <col min="2" max="2" width="8.36328125" style="5" customWidth="1"/>
    <col min="3" max="3" width="18.54296875" style="5" bestFit="1" customWidth="1"/>
    <col min="4" max="4" width="16.08984375" style="5" customWidth="1"/>
    <col min="5" max="5" width="11.54296875" style="15" customWidth="1"/>
    <col min="6" max="6" width="18.90625" style="15" bestFit="1" customWidth="1"/>
    <col min="7" max="7" width="20.90625" style="27" customWidth="1"/>
    <col min="8" max="8" width="12.6328125" style="27" bestFit="1" customWidth="1"/>
    <col min="9" max="9" width="20.08984375" style="27" bestFit="1" customWidth="1"/>
    <col min="10" max="10" width="30.6328125" style="5" bestFit="1" customWidth="1"/>
    <col min="11" max="11" width="12.6328125" style="5" bestFit="1" customWidth="1"/>
    <col min="12" max="12" width="12" style="5" bestFit="1" customWidth="1"/>
    <col min="13" max="13" width="16.54296875" style="15" customWidth="1"/>
    <col min="14" max="14" width="18.90625" style="15" bestFit="1" customWidth="1"/>
    <col min="15" max="18" width="12" style="15" customWidth="1"/>
    <col min="19" max="26" width="12" style="5" customWidth="1"/>
    <col min="27" max="29" width="13.54296875" style="5" customWidth="1"/>
    <col min="30" max="16384" width="8.6328125" style="5"/>
  </cols>
  <sheetData>
    <row r="2" spans="2:30" x14ac:dyDescent="0.35">
      <c r="J2" s="69"/>
      <c r="K2" s="69"/>
      <c r="M2" s="68" t="s">
        <v>703</v>
      </c>
      <c r="N2" s="30">
        <f>IFERROR(_xlfn.STDEV.S(Table4.17[Net gas 8h, ml]),"")</f>
        <v>8.0834428097353381</v>
      </c>
      <c r="O2" s="30">
        <f>IFERROR(_xlfn.STDEV.S(Table4.17[Net gas 8-24h, ml]),"")</f>
        <v>11.610954125110437</v>
      </c>
      <c r="P2" s="30">
        <f>IFERROR(_xlfn.STDEV.S(Table4.17[Net gas 24h, ml]),"")</f>
        <v>18.807186426140888</v>
      </c>
      <c r="Q2" s="30">
        <f>IFERROR(_xlfn.STDEV.S(Table4.17[CH4 8h, ml]),"")</f>
        <v>1.9938337689170347</v>
      </c>
      <c r="R2" s="30">
        <f>IFERROR(_xlfn.STDEV.S(Table4.17[CH4 8-24h, ml]),"")</f>
        <v>3.4675922280341114</v>
      </c>
      <c r="S2" s="30">
        <f>IFERROR(_xlfn.STDEV.S(Table4.17[CH4 24h, ml]),"")</f>
        <v>2.9633533628354978</v>
      </c>
      <c r="T2" s="30">
        <f>IFERROR(_xlfn.STDEV.S(Table4.17[Gas ml/g DM Incubated, 24h]),"")</f>
        <v>41.224600046564127</v>
      </c>
      <c r="U2" s="30">
        <f>IFERROR(_xlfn.STDEV.S(Table4.17[% DMD, Truly digestibility]),"")</f>
        <v>11.972410163086344</v>
      </c>
      <c r="V2" s="30">
        <f>IFERROR(_xlfn.STDEV.S(Table4.17[Part Fact]),"")</f>
        <v>6.379978650642081</v>
      </c>
      <c r="W2" s="30">
        <f>IFERROR(_xlfn.STDEV.S(Table4.17[CH4 ml in gas, h8]),"")</f>
        <v>1.3026401009797859</v>
      </c>
      <c r="X2" s="30">
        <f>IFERROR(_xlfn.STDEV.S(Table4.17[CH4 ml in gas, 24h]),"")</f>
        <v>1.6216631147672069</v>
      </c>
      <c r="Y2" s="30">
        <f>IFERROR(_xlfn.STDEV.S(Table4.17[CH4 ml/gDM incubated, 24h]),"")</f>
        <v>6.4357210946723882</v>
      </c>
      <c r="Z2" s="30">
        <f>IFERROR(_xlfn.STDEV.S(Table4.17[CH4 ml/g DMD, 24h2]),"")</f>
        <v>18.91437869801149</v>
      </c>
      <c r="AA2" s="30">
        <f>IFERROR(_xlfn.STDEV.S(Table4.17[CH4 ml/g NDF digested in 24 h]),"")</f>
        <v>7.917912154990046</v>
      </c>
      <c r="AB2" s="30">
        <f>IFERROR(_xlfn.STDEV.S(Table4.17[CH4 g/g DM incubated, 24h]),"")</f>
        <v>6.005826348212798</v>
      </c>
      <c r="AC2" s="30">
        <f>IFERROR(_xlfn.STDEV.S(Table4.17[CH4 g/g DMD, 24h]),"")</f>
        <v>10.499279745516475</v>
      </c>
    </row>
    <row r="3" spans="2:30" x14ac:dyDescent="0.35">
      <c r="J3" s="69"/>
      <c r="K3" s="69"/>
      <c r="M3" s="68" t="s">
        <v>704</v>
      </c>
      <c r="N3" s="30">
        <f>MIN(Table4.17[Net gas 8h, ml])</f>
        <v>12.972011474352893</v>
      </c>
      <c r="O3" s="30">
        <f>MIN(Table4.17[Net gas 8-24h, ml])</f>
        <v>10.174037586907206</v>
      </c>
      <c r="P3" s="30">
        <f>MIN(Table4.17[Net gas 24h, ml])</f>
        <v>25.028782063928709</v>
      </c>
      <c r="Q3" s="30">
        <f>MIN(Table4.17[CH4 8h, ml])</f>
        <v>1.075813906418853</v>
      </c>
      <c r="R3" s="30">
        <f>MIN(Table4.17[CH4 8-24h, ml])</f>
        <v>0.32849132122685532</v>
      </c>
      <c r="S3" s="30">
        <f>MIN(Table4.17[CH4 24h, ml])</f>
        <v>1.404305227645708</v>
      </c>
      <c r="T3" s="30">
        <f>MIN(Table4.17[Gas ml/g DM Incubated, 24h])</f>
        <v>53.581044598080759</v>
      </c>
      <c r="U3" s="30">
        <f>MIN(Table4.17[% DMD, Truly digestibility])</f>
        <v>17.484748083124124</v>
      </c>
      <c r="V3" s="30">
        <f>MIN(Table4.17[Part Fact])</f>
        <v>1.1670159567379748</v>
      </c>
      <c r="W3" s="30">
        <f>MIN(Table4.17[CH4 ml in gas, h8])</f>
        <v>8.2750000000000004</v>
      </c>
      <c r="X3" s="30">
        <f>MIN(Table4.17[CH4 ml in gas, 24h])</f>
        <v>5.6041901010525264</v>
      </c>
      <c r="Y3" s="30">
        <f>MIN(Table4.17[CH4 ml/gDM incubated, 24h])</f>
        <v>3.0063155537558592</v>
      </c>
      <c r="Z3" s="30">
        <f>MIN(Table4.17[CH4 ml/g DMD, 24h2])</f>
        <v>4.9178820183898662</v>
      </c>
      <c r="AA3" s="30">
        <f>MIN(Table4.17[CH4 ml/g NDF digested in 24 h])</f>
        <v>-12.939658519840247</v>
      </c>
      <c r="AB3" s="30">
        <f>MIN(Table4.17[CH4 g/g DM incubated, 24h])</f>
        <v>1.6685571447143246</v>
      </c>
      <c r="AC3" s="30">
        <f>MIN(Table4.17[CH4 g/g DMD, 24h])</f>
        <v>2.729509604670362</v>
      </c>
    </row>
    <row r="4" spans="2:30" x14ac:dyDescent="0.35">
      <c r="J4" s="69"/>
      <c r="K4" s="69"/>
      <c r="M4" s="68" t="s">
        <v>705</v>
      </c>
      <c r="N4" s="30">
        <f>MAX(Table4.17[Net gas 8h, ml])</f>
        <v>49.756479056111822</v>
      </c>
      <c r="O4" s="30">
        <f>MAX(Table4.17[Net gas 8-24h, ml])</f>
        <v>56.847163431418835</v>
      </c>
      <c r="P4" s="30">
        <f>MAX(Table4.17[Net gas 24h, ml])</f>
        <v>101.00582618722835</v>
      </c>
      <c r="Q4" s="30">
        <f>MAX(Table4.17[CH4 8h, ml])</f>
        <v>23.52566913629056</v>
      </c>
      <c r="R4" s="30">
        <f>MAX(Table4.17[CH4 8-24h, ml])</f>
        <v>39.780396643563364</v>
      </c>
      <c r="S4" s="30">
        <f>MAX(Table4.17[CH4 24h, ml])</f>
        <v>16.012166354717166</v>
      </c>
      <c r="T4" s="30">
        <f>MAX(Table4.17[Gas ml/g DM Incubated, 24h])</f>
        <v>220.45714122836975</v>
      </c>
      <c r="U4" s="30">
        <f>MAX(Table4.17[% DMD, Truly digestibility])</f>
        <v>67.101278345398896</v>
      </c>
      <c r="V4" s="30">
        <f>MAX(Table4.17[Part Fact])</f>
        <v>77.922288809799525</v>
      </c>
      <c r="W4" s="30">
        <f>MAX(Table4.17[CH4 ml in gas, h8])</f>
        <v>17.462907717634074</v>
      </c>
      <c r="X4" s="30">
        <f>MAX(Table4.17[CH4 ml in gas, 24h])</f>
        <v>16.938788978524844</v>
      </c>
      <c r="Y4" s="30">
        <f>MAX(Table4.17[CH4 ml/gDM incubated, 24h])</f>
        <v>34.94843694006272</v>
      </c>
      <c r="Z4" s="30">
        <f>MAX(Table4.17[CH4 ml/g DMD, 24h2])</f>
        <v>154.85437017467956</v>
      </c>
      <c r="AA4" s="30">
        <f>MAX(Table4.17[CH4 ml/g NDF digested in 24 h])</f>
        <v>88.570673554208852</v>
      </c>
      <c r="AB4" s="30">
        <f>MAX(Table4.17[CH4 g/g DM incubated, 24h])</f>
        <v>69.150773496562834</v>
      </c>
      <c r="AC4" s="30">
        <f>MAX(Table4.17[CH4 g/g DMD, 24h])</f>
        <v>85.946854588299658</v>
      </c>
    </row>
    <row r="5" spans="2:30" x14ac:dyDescent="0.35">
      <c r="J5" s="69"/>
      <c r="K5" s="69"/>
      <c r="M5" s="68" t="s">
        <v>706</v>
      </c>
      <c r="N5" s="30">
        <f>IFERROR(MEDIAN(Table4.17[Net gas 8h, ml]),"")</f>
        <v>32.007490991876047</v>
      </c>
      <c r="O5" s="30">
        <f>IFERROR(MEDIAN(Table4.17[Net gas 8-24h, ml]),"")</f>
        <v>31.791850509163019</v>
      </c>
      <c r="P5" s="30">
        <f>IFERROR(MEDIAN(Table4.17[Net gas 24h, ml]),"")</f>
        <v>66.967183362257373</v>
      </c>
      <c r="Q5" s="30">
        <f>IFERROR(MEDIAN(Table4.17[CH4 8h, ml]),"")</f>
        <v>4.0863770878022141</v>
      </c>
      <c r="R5" s="30">
        <f>IFERROR(MEDIAN(Table4.17[CH4 8-24h, ml]),"")</f>
        <v>5.7721844841568322</v>
      </c>
      <c r="S5" s="30">
        <f>IFERROR(MEDIAN(Table4.17[CH4 24h, ml]),"")</f>
        <v>9.9574993610074589</v>
      </c>
      <c r="T5" s="30">
        <f>IFERROR(MEDIAN(Table4.17[Gas ml/g DM Incubated, 24h]),"")</f>
        <v>143.71101257855244</v>
      </c>
      <c r="U5" s="30">
        <f>IFERROR(MEDIAN(Table4.17[% DMD, Truly digestibility]),"")</f>
        <v>37.305646145729412</v>
      </c>
      <c r="V5" s="30">
        <f>IFERROR(MEDIAN(Table4.17[Part Fact]),"")</f>
        <v>2.7042626716506133</v>
      </c>
      <c r="W5" s="30">
        <f>IFERROR(MEDIAN(Table4.17[CH4 ml in gas, h8]),"")</f>
        <v>13.575000000000001</v>
      </c>
      <c r="X5" s="30">
        <f>IFERROR(MEDIAN(Table4.17[CH4 ml in gas, 24h]),"")</f>
        <v>14.830850019734381</v>
      </c>
      <c r="Y5" s="30">
        <f>IFERROR(MEDIAN(Table4.17[CH4 ml/gDM incubated, 24h]),"")</f>
        <v>21.286039203421637</v>
      </c>
      <c r="Z5" s="30">
        <f>IFERROR(MEDIAN(Table4.17[CH4 ml/g DMD, 24h2]),"")</f>
        <v>58.314210019342788</v>
      </c>
      <c r="AA5" s="30">
        <f>IFERROR(MEDIAN(Table4.17[CH4 ml/g NDF digested in 24 h]),"")</f>
        <v>-0.24107737876117943</v>
      </c>
      <c r="AB5" s="30">
        <f>IFERROR(MEDIAN(Table4.17[CH4 g/g DM incubated, 24h]),"")</f>
        <v>11.821510376582877</v>
      </c>
      <c r="AC5" s="30">
        <f>IFERROR(MEDIAN(Table4.17[CH4 g/g DMD, 24h]),"")</f>
        <v>32.287546920692257</v>
      </c>
    </row>
    <row r="6" spans="2:30" x14ac:dyDescent="0.35">
      <c r="J6" s="69"/>
      <c r="K6" s="69"/>
      <c r="M6" s="68" t="s">
        <v>707</v>
      </c>
      <c r="N6" s="30">
        <f>IFERROR(AVERAGE(Table4.17[Net gas 8h, ml]),"")</f>
        <v>31.505402921753387</v>
      </c>
      <c r="O6" s="30">
        <f>IFERROR(AVERAGE(Table4.17[Net gas 8-24h, ml]),"")</f>
        <v>32.072732183345245</v>
      </c>
      <c r="P6" s="30">
        <f>IFERROR(AVERAGE(Table4.17[Net gas 24h, ml]),"")</f>
        <v>65.011214350864364</v>
      </c>
      <c r="Q6" s="30">
        <f>IFERROR(AVERAGE(Table4.17[CH4 8h, ml]),"")</f>
        <v>4.3399147137581604</v>
      </c>
      <c r="R6" s="30">
        <f>IFERROR(AVERAGE(Table4.17[CH4 8-24h, ml]),"")</f>
        <v>5.6109811145624295</v>
      </c>
      <c r="S6" s="30">
        <f>IFERROR(AVERAGE(Table4.17[CH4 24h, ml]),"")</f>
        <v>9.5627269581266408</v>
      </c>
      <c r="T6" s="30">
        <f>IFERROR(AVERAGE(Table4.17[Gas ml/g DM Incubated, 24h]),"")</f>
        <v>139.15978190312049</v>
      </c>
      <c r="U6" s="30">
        <f>IFERROR(AVERAGE(Table4.17[% DMD, Truly digestibility]),"")</f>
        <v>37.660110751687412</v>
      </c>
      <c r="V6" s="30">
        <f>IFERROR(AVERAGE(Table4.17[Part Fact]),"")</f>
        <v>3.372641603119602</v>
      </c>
      <c r="W6" s="30">
        <f>IFERROR(AVERAGE(Table4.17[CH4 ml in gas, h8]),"")</f>
        <v>13.321691162860581</v>
      </c>
      <c r="X6" s="30">
        <f>IFERROR(AVERAGE(Table4.17[CH4 ml in gas, 24h]),"")</f>
        <v>14.546811393512424</v>
      </c>
      <c r="Y6" s="30">
        <f>IFERROR(AVERAGE(Table4.17[CH4 ml/gDM incubated, 24h]),"")</f>
        <v>20.504842171471878</v>
      </c>
      <c r="Z6" s="30">
        <f>IFERROR(AVERAGE(Table4.17[CH4 ml/g DMD, 24h2]),"")</f>
        <v>59.258456582014361</v>
      </c>
      <c r="AA6" s="30">
        <f>IFERROR(AVERAGE(Table4.17[CH4 ml/g NDF digested in 24 h]),"")</f>
        <v>0.49488552410838638</v>
      </c>
      <c r="AB6" s="30">
        <f>IFERROR(AVERAGE(Table4.17[CH4 g/g DM incubated, 24h]),"")</f>
        <v>11.795714010538131</v>
      </c>
      <c r="AC6" s="30">
        <f>IFERROR(AVERAGE(Table4.17[CH4 g/g DMD, 24h]),"")</f>
        <v>32.831127676411754</v>
      </c>
    </row>
    <row r="7" spans="2:30" x14ac:dyDescent="0.35">
      <c r="J7" s="69"/>
      <c r="K7" s="69"/>
      <c r="M7" s="68" t="s">
        <v>708</v>
      </c>
      <c r="N7" s="14">
        <f>COUNT(Table4.17[Net gas 8h, ml])</f>
        <v>143</v>
      </c>
      <c r="O7" s="14">
        <f>COUNT(Table4.17[Net gas 8-24h, ml])</f>
        <v>143</v>
      </c>
      <c r="P7" s="14">
        <f>COUNT(Table4.17[Net gas 24h, ml])</f>
        <v>143</v>
      </c>
      <c r="Q7" s="14">
        <f>COUNT(Table4.17[CH4 8h, ml])</f>
        <v>143</v>
      </c>
      <c r="R7" s="14">
        <f>COUNT(Table4.17[CH4 8-24h, ml])</f>
        <v>143</v>
      </c>
      <c r="S7" s="14">
        <f>COUNT(Table4.17[CH4 24h, ml])</f>
        <v>143</v>
      </c>
      <c r="T7" s="14">
        <f>COUNT(Table4.17[Gas ml/g DM Incubated, 24h])</f>
        <v>143</v>
      </c>
      <c r="U7" s="14">
        <f>COUNT(Table4.17[% DMD, Truly digestibility])</f>
        <v>143</v>
      </c>
      <c r="V7" s="14">
        <f>COUNT(Table4.17[Part Fact])</f>
        <v>143</v>
      </c>
      <c r="W7" s="14">
        <f>COUNT(Table4.17[CH4 ml in gas, h8])</f>
        <v>143</v>
      </c>
      <c r="X7" s="14">
        <f>COUNT(Table4.17[CH4 ml in gas, 24h])</f>
        <v>143</v>
      </c>
      <c r="Y7" s="14">
        <f>COUNT(Table4.17[CH4 ml/gDM incubated, 24h])</f>
        <v>143</v>
      </c>
      <c r="Z7" s="14">
        <f>COUNT(Table4.17[CH4 ml/g DMD, 24h2])</f>
        <v>143</v>
      </c>
      <c r="AA7" s="14">
        <f>COUNT(Table4.17[CH4 ml/g NDF digested in 24 h])</f>
        <v>143</v>
      </c>
      <c r="AB7" s="14">
        <f>COUNT(Table4.17[CH4 g/g DM incubated, 24h])</f>
        <v>143</v>
      </c>
      <c r="AC7" s="14">
        <f>COUNT(Table4.17[CH4 g/g DMD, 24h])</f>
        <v>143</v>
      </c>
    </row>
    <row r="8" spans="2:30" x14ac:dyDescent="0.35">
      <c r="S8" s="15"/>
    </row>
    <row r="10" spans="2:30" s="323" customFormat="1" ht="44" thickBot="1" x14ac:dyDescent="0.4">
      <c r="B10" s="12" t="s">
        <v>1</v>
      </c>
      <c r="C10" s="13" t="s">
        <v>2</v>
      </c>
      <c r="D10" s="12" t="s">
        <v>3</v>
      </c>
      <c r="E10" s="50" t="s">
        <v>4</v>
      </c>
      <c r="F10" s="50" t="s">
        <v>5</v>
      </c>
      <c r="G10" s="50" t="s">
        <v>6</v>
      </c>
      <c r="H10" s="50" t="s">
        <v>7</v>
      </c>
      <c r="I10" s="50" t="s">
        <v>8</v>
      </c>
      <c r="J10" s="50" t="s">
        <v>9</v>
      </c>
      <c r="K10" s="50" t="s">
        <v>10</v>
      </c>
      <c r="L10" s="50" t="s">
        <v>11</v>
      </c>
      <c r="M10" s="50" t="s">
        <v>12</v>
      </c>
      <c r="N10" s="216" t="s">
        <v>521</v>
      </c>
      <c r="O10" s="81" t="s">
        <v>522</v>
      </c>
      <c r="P10" s="217" t="s">
        <v>523</v>
      </c>
      <c r="Q10" s="82" t="s">
        <v>524</v>
      </c>
      <c r="R10" s="81" t="s">
        <v>525</v>
      </c>
      <c r="S10" s="81" t="s">
        <v>526</v>
      </c>
      <c r="T10" s="218" t="s">
        <v>527</v>
      </c>
      <c r="U10" s="218" t="s">
        <v>528</v>
      </c>
      <c r="V10" s="219" t="s">
        <v>529</v>
      </c>
      <c r="W10" s="220" t="s">
        <v>530</v>
      </c>
      <c r="X10" s="220" t="s">
        <v>531</v>
      </c>
      <c r="Y10" s="221" t="s">
        <v>532</v>
      </c>
      <c r="Z10" s="221" t="s">
        <v>533</v>
      </c>
      <c r="AA10" s="212" t="s">
        <v>534</v>
      </c>
      <c r="AB10" s="212" t="s">
        <v>535</v>
      </c>
      <c r="AC10" s="212" t="s">
        <v>536</v>
      </c>
      <c r="AD10" s="212" t="s">
        <v>709</v>
      </c>
    </row>
    <row r="11" spans="2:30" x14ac:dyDescent="0.35">
      <c r="B11" s="62">
        <f>'1. Information samples'!B11</f>
        <v>1</v>
      </c>
      <c r="C11" s="62">
        <f>'1. Information samples'!C11</f>
        <v>46041</v>
      </c>
      <c r="D11" s="62" t="str">
        <f>'1. Information samples'!D11</f>
        <v>Genbank</v>
      </c>
      <c r="E11" s="62">
        <f>'1. Information samples'!E11</f>
        <v>27</v>
      </c>
      <c r="F11" s="62" t="str">
        <f>'1. Information samples'!F11</f>
        <v>F251728</v>
      </c>
      <c r="G11" s="62" t="str">
        <f>'1. Information samples'!G11</f>
        <v>CIAT-13262</v>
      </c>
      <c r="H11" s="62" t="str">
        <f>'1. Information samples'!H11</f>
        <v>Dendrolobium</v>
      </c>
      <c r="I11" s="62" t="str">
        <f>'1. Information samples'!I11</f>
        <v>triangulare</v>
      </c>
      <c r="J11" s="62" t="str">
        <f>'1. Information samples'!J11</f>
        <v>Dendrolobium triangulare</v>
      </c>
      <c r="K11" s="62" t="str">
        <f>'1. Information samples'!K11</f>
        <v>Fabaceae</v>
      </c>
      <c r="L11" s="62" t="str">
        <f>'1. Information samples'!L11</f>
        <v>Fabales</v>
      </c>
      <c r="M11" s="62" t="str">
        <f>'1. Information samples'!M11</f>
        <v>Tree</v>
      </c>
      <c r="N11" s="77">
        <f>AVERAGEIFS('3.1. Gas prod VF'!$AG$13:$AG$1230,'3.1. Gas prod VF'!$L$13:$L$1230,$F11)</f>
        <v>27.49789883808802</v>
      </c>
      <c r="O11" s="77">
        <f>AVERAGEIFS('3.1. Gas prod VF'!$AH$13:$AH$1230,'3.1. Gas prod VF'!$L$13:$L$1230,$F11)</f>
        <v>19.461226166005385</v>
      </c>
      <c r="P11" s="77">
        <f>AVERAGEIFS('3.1. Gas prod VF'!$AI$13:$AI$1230,'3.1. Gas prod VF'!$L$13:$L$1230,$F11)</f>
        <v>46.959125004093401</v>
      </c>
      <c r="Q11" s="77">
        <f>AVERAGEIFS('3.1. Gas prod VF'!$AJ$13:$AJ$1230,'3.1. Gas prod VF'!$L$13:$L$1230,$F11)</f>
        <v>3.7038815540087509</v>
      </c>
      <c r="R11" s="77">
        <f>AVERAGEIFS('3.1. Gas prod VF'!$AK$13:$AK$1230,'3.1. Gas prod VF'!$L$13:$L$1230,$F11)</f>
        <v>3.3516327765851073</v>
      </c>
      <c r="S11" s="77">
        <f>AVERAGEIFS('3.1. Gas prod VF'!$AL$13:$AL$1230,'3.1. Gas prod VF'!$L$13:$L$1230,$F11)</f>
        <v>7.0555143305938577</v>
      </c>
      <c r="T11" s="77">
        <f>AVERAGEIFS('3.1. Gas prod VF'!$AM$13:$AM$1230,'3.1. Gas prod VF'!$L$13:$L$1230,$F11)</f>
        <v>98.840569069846353</v>
      </c>
      <c r="U11" s="77">
        <f>AVERAGEIFS('3.1. Gas prod VF'!$AN$13:$AN$1230,'3.1. Gas prod VF'!$L$13:$L$1230,$F11)</f>
        <v>31.326565017362928</v>
      </c>
      <c r="V11" s="77">
        <f>AVERAGEIFS('3.1. Gas prod VF'!$AO$13:$AO$1230,'3.1. Gas prod VF'!$L$13:$L$1230,$F11)</f>
        <v>3.217513524755319</v>
      </c>
      <c r="W11" s="77">
        <f>AVERAGEIFS('3.1. Gas prod VF'!$AP$13:$AP$1230,'3.1. Gas prod VF'!$L$13:$L$1230,$F11)</f>
        <v>13.5</v>
      </c>
      <c r="X11" s="77">
        <f>AVERAGEIFS('3.1. Gas prod VF'!$AQ$13:$AQ$1230,'3.1. Gas prod VF'!$L$13:$L$1230,$F11)</f>
        <v>15.04962502351097</v>
      </c>
      <c r="Y11" s="77">
        <f>AVERAGEIFS('3.1. Gas prod VF'!$AR$13:$AR$1230,'3.1. Gas prod VF'!$L$13:$L$1230,$F11)</f>
        <v>14.850600886527987</v>
      </c>
      <c r="Z11" s="77">
        <f>AVERAGEIFS('3.1. Gas prod VF'!$AS$13:$AS$1230,'3.1. Gas prod VF'!$L$13:$L$1230,$F11)</f>
        <v>48.867373950879276</v>
      </c>
      <c r="AA11" s="77">
        <f>AVERAGEIFS('3.1. Gas prod VF'!$AT$13:$AT$1230,'3.1. Gas prod VF'!$L$13:$L$1230,$F11)</f>
        <v>-0.82370020783497433</v>
      </c>
      <c r="AB11" s="77">
        <f>AVERAGEIFS('3.1. Gas prod VF'!$AU$13:$AU$1230,'3.1. Gas prod VF'!$L$13:$L$1230,$F11)</f>
        <v>8.2423404228342196</v>
      </c>
      <c r="AC11" s="77">
        <f>AVERAGEIFS('3.1. Gas prod VF'!$AV$13:$AV$1230,'3.1. Gas prod VF'!$L$13:$L$1230,$F11)</f>
        <v>27.122237999034727</v>
      </c>
      <c r="AD11" s="70"/>
    </row>
    <row r="12" spans="2:30" x14ac:dyDescent="0.35">
      <c r="B12" s="62">
        <f>'1. Information samples'!B12</f>
        <v>2</v>
      </c>
      <c r="C12" s="62">
        <f>'1. Information samples'!C12</f>
        <v>46041</v>
      </c>
      <c r="D12" s="62" t="str">
        <f>'1. Information samples'!D12</f>
        <v>Genbank</v>
      </c>
      <c r="E12" s="62">
        <f>'1. Information samples'!E12</f>
        <v>27</v>
      </c>
      <c r="F12" s="62" t="str">
        <f>'1. Information samples'!F12</f>
        <v>F251729</v>
      </c>
      <c r="G12" s="62" t="str">
        <f>'1. Information samples'!G12</f>
        <v>CIAT-13528</v>
      </c>
      <c r="H12" s="62" t="str">
        <f>'1. Information samples'!H12</f>
        <v>Dendrolobium</v>
      </c>
      <c r="I12" s="62" t="str">
        <f>'1. Information samples'!I12</f>
        <v>lanceolatum</v>
      </c>
      <c r="J12" s="62" t="str">
        <f>'1. Information samples'!J12</f>
        <v>Dendrolobium lanceolatum</v>
      </c>
      <c r="K12" s="62" t="str">
        <f>'1. Information samples'!K12</f>
        <v>Fabaceae</v>
      </c>
      <c r="L12" s="62" t="str">
        <f>'1. Information samples'!L12</f>
        <v>Fabales</v>
      </c>
      <c r="M12" s="62" t="str">
        <f>'1. Information samples'!M12</f>
        <v>Tree</v>
      </c>
      <c r="N12" s="77">
        <f>AVERAGEIFS('3.1. Gas prod VF'!$AG$13:$AG$1230,'3.1. Gas prod VF'!$L$13:$L$1230,$F12)</f>
        <v>24.182012600368388</v>
      </c>
      <c r="O12" s="77">
        <f>AVERAGEIFS('3.1. Gas prod VF'!$AH$13:$AH$1230,'3.1. Gas prod VF'!$L$13:$L$1230,$F12)</f>
        <v>13.986537586907206</v>
      </c>
      <c r="P12" s="77">
        <f>AVERAGEIFS('3.1. Gas prod VF'!$AI$13:$AI$1230,'3.1. Gas prod VF'!$L$13:$L$1230,$F12)</f>
        <v>38.168550187275592</v>
      </c>
      <c r="Q12" s="77">
        <f>AVERAGEIFS('3.1. Gas prod VF'!$AJ$13:$AJ$1230,'3.1. Gas prod VF'!$L$13:$L$1230,$F12)</f>
        <v>3.0850007308095568</v>
      </c>
      <c r="R12" s="77">
        <f>AVERAGEIFS('3.1. Gas prod VF'!$AK$13:$AK$1230,'3.1. Gas prod VF'!$L$13:$L$1230,$F12)</f>
        <v>2.4202177326154768</v>
      </c>
      <c r="S12" s="77">
        <f>AVERAGEIFS('3.1. Gas prod VF'!$AL$13:$AL$1230,'3.1. Gas prod VF'!$L$13:$L$1230,$F12)</f>
        <v>5.5052184634250327</v>
      </c>
      <c r="T12" s="77">
        <f>AVERAGEIFS('3.1. Gas prod VF'!$AM$13:$AM$1230,'3.1. Gas prod VF'!$L$13:$L$1230,$F12)</f>
        <v>80.26639215153277</v>
      </c>
      <c r="U12" s="77">
        <f>AVERAGEIFS('3.1. Gas prod VF'!$AN$13:$AN$1230,'3.1. Gas prod VF'!$L$13:$L$1230,$F12)</f>
        <v>25.891776689524661</v>
      </c>
      <c r="V12" s="77">
        <f>AVERAGEIFS('3.1. Gas prod VF'!$AO$13:$AO$1230,'3.1. Gas prod VF'!$L$13:$L$1230,$F12)</f>
        <v>3.2199438361259975</v>
      </c>
      <c r="W12" s="77">
        <f>AVERAGEIFS('3.1. Gas prod VF'!$AP$13:$AP$1230,'3.1. Gas prod VF'!$L$13:$L$1230,$F12)</f>
        <v>12.774999999999999</v>
      </c>
      <c r="X12" s="77">
        <f>AVERAGEIFS('3.1. Gas prod VF'!$AQ$13:$AQ$1230,'3.1. Gas prod VF'!$L$13:$L$1230,$F12)</f>
        <v>14.422833001136569</v>
      </c>
      <c r="Y12" s="77">
        <f>AVERAGEIFS('3.1. Gas prod VF'!$AR$13:$AR$1230,'3.1. Gas prod VF'!$L$13:$L$1230,$F12)</f>
        <v>11.577154761807398</v>
      </c>
      <c r="Z12" s="77">
        <f>AVERAGEIFS('3.1. Gas prod VF'!$AS$13:$AS$1230,'3.1. Gas prod VF'!$L$13:$L$1230,$F12)</f>
        <v>46.621519820668034</v>
      </c>
      <c r="AA12" s="77">
        <f>AVERAGEIFS('3.1. Gas prod VF'!$AT$13:$AT$1230,'3.1. Gas prod VF'!$L$13:$L$1230,$F12)</f>
        <v>-0.20310915833740756</v>
      </c>
      <c r="AB12" s="77">
        <f>AVERAGEIFS('3.1. Gas prod VF'!$AU$13:$AU$1230,'3.1. Gas prod VF'!$L$13:$L$1230,$F12)</f>
        <v>6.4255211895982924</v>
      </c>
      <c r="AC12" s="77">
        <f>AVERAGEIFS('3.1. Gas prod VF'!$AV$13:$AV$1230,'3.1. Gas prod VF'!$L$13:$L$1230,$F12)</f>
        <v>25.875750101159692</v>
      </c>
      <c r="AD12" s="20"/>
    </row>
    <row r="13" spans="2:30" x14ac:dyDescent="0.35">
      <c r="B13" s="62">
        <f>'1. Information samples'!B13</f>
        <v>3</v>
      </c>
      <c r="C13" s="62">
        <f>'1. Information samples'!C13</f>
        <v>46041</v>
      </c>
      <c r="D13" s="62" t="str">
        <f>'1. Information samples'!D13</f>
        <v>Genbank</v>
      </c>
      <c r="E13" s="62">
        <f>'1. Information samples'!E13</f>
        <v>27</v>
      </c>
      <c r="F13" s="62" t="str">
        <f>'1. Information samples'!F13</f>
        <v>F251730</v>
      </c>
      <c r="G13" s="62" t="str">
        <f>'1. Information samples'!G13</f>
        <v>CIAT-13529</v>
      </c>
      <c r="H13" s="62" t="str">
        <f>'1. Information samples'!H13</f>
        <v>Dendrolobium</v>
      </c>
      <c r="I13" s="62" t="str">
        <f>'1. Information samples'!I13</f>
        <v>triangulare</v>
      </c>
      <c r="J13" s="62" t="str">
        <f>'1. Information samples'!J13</f>
        <v>Dendrolobium triangulare</v>
      </c>
      <c r="K13" s="62" t="str">
        <f>'1. Information samples'!K13</f>
        <v>Fabaceae</v>
      </c>
      <c r="L13" s="62" t="str">
        <f>'1. Information samples'!L13</f>
        <v>Fabales</v>
      </c>
      <c r="M13" s="62" t="str">
        <f>'1. Information samples'!M13</f>
        <v>Tree</v>
      </c>
      <c r="N13" s="77">
        <f>AVERAGEIFS('3.1. Gas prod VF'!$AG$13:$AG$1230,'3.1. Gas prod VF'!$L$13:$L$1230,$F13)</f>
        <v>26.515874438746572</v>
      </c>
      <c r="O13" s="77">
        <f>AVERAGEIFS('3.1. Gas prod VF'!$AH$13:$AH$1230,'3.1. Gas prod VF'!$L$13:$L$1230,$F13)</f>
        <v>25.082832692234998</v>
      </c>
      <c r="P13" s="77">
        <f>AVERAGEIFS('3.1. Gas prod VF'!$AI$13:$AI$1230,'3.1. Gas prod VF'!$L$13:$L$1230,$F13)</f>
        <v>51.598707130981566</v>
      </c>
      <c r="Q13" s="77">
        <f>AVERAGEIFS('3.1. Gas prod VF'!$AJ$13:$AJ$1230,'3.1. Gas prod VF'!$L$13:$L$1230,$F13)</f>
        <v>3.6401240616239749</v>
      </c>
      <c r="R13" s="77">
        <f>AVERAGEIFS('3.1. Gas prod VF'!$AK$13:$AK$1230,'3.1. Gas prod VF'!$L$13:$L$1230,$F13)</f>
        <v>4.4244038834692665</v>
      </c>
      <c r="S13" s="77">
        <f>AVERAGEIFS('3.1. Gas prod VF'!$AL$13:$AL$1230,'3.1. Gas prod VF'!$L$13:$L$1230,$F13)</f>
        <v>8.064527945093241</v>
      </c>
      <c r="T13" s="77">
        <f>AVERAGEIFS('3.1. Gas prod VF'!$AM$13:$AM$1230,'3.1. Gas prod VF'!$L$13:$L$1230,$F13)</f>
        <v>109.28484848920702</v>
      </c>
      <c r="U13" s="77">
        <f>AVERAGEIFS('3.1. Gas prod VF'!$AN$13:$AN$1230,'3.1. Gas prod VF'!$L$13:$L$1230,$F13)</f>
        <v>31.831740130568495</v>
      </c>
      <c r="V13" s="77">
        <f>AVERAGEIFS('3.1. Gas prod VF'!$AO$13:$AO$1230,'3.1. Gas prod VF'!$L$13:$L$1230,$F13)</f>
        <v>2.9427535480557228</v>
      </c>
      <c r="W13" s="77">
        <f>AVERAGEIFS('3.1. Gas prod VF'!$AP$13:$AP$1230,'3.1. Gas prod VF'!$L$13:$L$1230,$F13)</f>
        <v>13.728571428571428</v>
      </c>
      <c r="X13" s="77">
        <f>AVERAGEIFS('3.1. Gas prod VF'!$AQ$13:$AQ$1230,'3.1. Gas prod VF'!$L$13:$L$1230,$F13)</f>
        <v>15.619713594911532</v>
      </c>
      <c r="Y13" s="77">
        <f>AVERAGEIFS('3.1. Gas prod VF'!$AR$13:$AR$1230,'3.1. Gas prod VF'!$L$13:$L$1230,$F13)</f>
        <v>17.080511050971829</v>
      </c>
      <c r="Z13" s="77">
        <f>AVERAGEIFS('3.1. Gas prod VF'!$AS$13:$AS$1230,'3.1. Gas prod VF'!$L$13:$L$1230,$F13)</f>
        <v>55.06432625997693</v>
      </c>
      <c r="AA13" s="77">
        <f>AVERAGEIFS('3.1. Gas prod VF'!$AT$13:$AT$1230,'3.1. Gas prod VF'!$L$13:$L$1230,$F13)</f>
        <v>2.8073449528529673</v>
      </c>
      <c r="AB13" s="77">
        <f>AVERAGEIFS('3.1. Gas prod VF'!$AU$13:$AU$1230,'3.1. Gas prod VF'!$L$13:$L$1230,$F13)</f>
        <v>9.4799791438611809</v>
      </c>
      <c r="AC13" s="77">
        <f>AVERAGEIFS('3.1. Gas prod VF'!$AV$13:$AV$1230,'3.1. Gas prod VF'!$L$13:$L$1230,$F13)</f>
        <v>30.561653744291693</v>
      </c>
      <c r="AD13" s="20"/>
    </row>
    <row r="14" spans="2:30" x14ac:dyDescent="0.35">
      <c r="B14" s="62">
        <f>'1. Information samples'!B14</f>
        <v>4</v>
      </c>
      <c r="C14" s="62">
        <f>'1. Information samples'!C14</f>
        <v>46041</v>
      </c>
      <c r="D14" s="62" t="str">
        <f>'1. Information samples'!D14</f>
        <v>Genbank</v>
      </c>
      <c r="E14" s="62">
        <f>'1. Information samples'!E14</f>
        <v>27</v>
      </c>
      <c r="F14" s="62" t="str">
        <f>'1. Information samples'!F14</f>
        <v>F251731</v>
      </c>
      <c r="G14" s="62" t="str">
        <f>'1. Information samples'!G14</f>
        <v>CIAT-13710</v>
      </c>
      <c r="H14" s="62" t="str">
        <f>'1. Information samples'!H14</f>
        <v>Dendrolobium</v>
      </c>
      <c r="I14" s="62" t="str">
        <f>'1. Information samples'!I14</f>
        <v>lanceolatum</v>
      </c>
      <c r="J14" s="62" t="str">
        <f>'1. Information samples'!J14</f>
        <v>Dendrolobium lanceolatum</v>
      </c>
      <c r="K14" s="62" t="str">
        <f>'1. Information samples'!K14</f>
        <v>Fabaceae</v>
      </c>
      <c r="L14" s="62" t="str">
        <f>'1. Information samples'!L14</f>
        <v>Fabales</v>
      </c>
      <c r="M14" s="62" t="str">
        <f>'1. Information samples'!M14</f>
        <v>Tree</v>
      </c>
      <c r="N14" s="77">
        <f>AVERAGEIFS('3.1. Gas prod VF'!$AG$13:$AG$1230,'3.1. Gas prod VF'!$L$13:$L$1230,$F14)</f>
        <v>21.444445867317999</v>
      </c>
      <c r="O14" s="77">
        <f>AVERAGEIFS('3.1. Gas prod VF'!$AH$13:$AH$1230,'3.1. Gas prod VF'!$L$13:$L$1230,$F14)</f>
        <v>12.797118406520712</v>
      </c>
      <c r="P14" s="77">
        <f>AVERAGEIFS('3.1. Gas prod VF'!$AI$13:$AI$1230,'3.1. Gas prod VF'!$L$13:$L$1230,$F14)</f>
        <v>34.241564273838705</v>
      </c>
      <c r="Q14" s="77">
        <f>AVERAGEIFS('3.1. Gas prod VF'!$AJ$13:$AJ$1230,'3.1. Gas prod VF'!$L$13:$L$1230,$F14)</f>
        <v>2.9837538551434477</v>
      </c>
      <c r="R14" s="77">
        <f>AVERAGEIFS('3.1. Gas prod VF'!$AK$13:$AK$1230,'3.1. Gas prod VF'!$L$13:$L$1230,$F14)</f>
        <v>2.2404957211411243</v>
      </c>
      <c r="S14" s="77">
        <f>AVERAGEIFS('3.1. Gas prod VF'!$AL$13:$AL$1230,'3.1. Gas prod VF'!$L$13:$L$1230,$F14)</f>
        <v>5.2242495762845715</v>
      </c>
      <c r="T14" s="77">
        <f>AVERAGEIFS('3.1. Gas prod VF'!$AM$13:$AM$1230,'3.1. Gas prod VF'!$L$13:$L$1230,$F14)</f>
        <v>72.70626060994708</v>
      </c>
      <c r="U14" s="77">
        <f>AVERAGEIFS('3.1. Gas prod VF'!$AN$13:$AN$1230,'3.1. Gas prod VF'!$L$13:$L$1230,$F14)</f>
        <v>18.10396918130515</v>
      </c>
      <c r="V14" s="77">
        <f>AVERAGEIFS('3.1. Gas prod VF'!$AO$13:$AO$1230,'3.1. Gas prod VF'!$L$13:$L$1230,$F14)</f>
        <v>2.495840668849882</v>
      </c>
      <c r="W14" s="77">
        <f>AVERAGEIFS('3.1. Gas prod VF'!$AP$13:$AP$1230,'3.1. Gas prod VF'!$L$13:$L$1230,$F14)</f>
        <v>13.914285714285715</v>
      </c>
      <c r="X14" s="77">
        <f>AVERAGEIFS('3.1. Gas prod VF'!$AQ$13:$AQ$1230,'3.1. Gas prod VF'!$L$13:$L$1230,$F14)</f>
        <v>15.256935838597906</v>
      </c>
      <c r="Y14" s="77">
        <f>AVERAGEIFS('3.1. Gas prod VF'!$AR$13:$AR$1230,'3.1. Gas prod VF'!$L$13:$L$1230,$F14)</f>
        <v>11.092862066600242</v>
      </c>
      <c r="Z14" s="77">
        <f>AVERAGEIFS('3.1. Gas prod VF'!$AS$13:$AS$1230,'3.1. Gas prod VF'!$L$13:$L$1230,$F14)</f>
        <v>63.856280710924679</v>
      </c>
      <c r="AA14" s="77">
        <f>AVERAGEIFS('3.1. Gas prod VF'!$AT$13:$AT$1230,'3.1. Gas prod VF'!$L$13:$L$1230,$F14)</f>
        <v>-0.20352204788287637</v>
      </c>
      <c r="AB14" s="77">
        <f>AVERAGEIFS('3.1. Gas prod VF'!$AU$13:$AU$1230,'3.1. Gas prod VF'!$L$13:$L$1230,$F14)</f>
        <v>6.1567303649919678</v>
      </c>
      <c r="AC14" s="77">
        <f>AVERAGEIFS('3.1. Gas prod VF'!$AV$13:$AV$1230,'3.1. Gas prod VF'!$L$13:$L$1230,$F14)</f>
        <v>35.441340574506292</v>
      </c>
      <c r="AD14" s="20"/>
    </row>
    <row r="15" spans="2:30" x14ac:dyDescent="0.35">
      <c r="B15" s="62">
        <f>'1. Information samples'!B15</f>
        <v>5</v>
      </c>
      <c r="C15" s="62">
        <f>'1. Information samples'!C15</f>
        <v>46041</v>
      </c>
      <c r="D15" s="62" t="str">
        <f>'1. Information samples'!D15</f>
        <v>Genbank</v>
      </c>
      <c r="E15" s="62">
        <f>'1. Information samples'!E15</f>
        <v>27</v>
      </c>
      <c r="F15" s="62" t="str">
        <f>'1. Information samples'!F15</f>
        <v>F251732</v>
      </c>
      <c r="G15" s="62" t="str">
        <f>'1. Information samples'!G15</f>
        <v>CIAT-22004</v>
      </c>
      <c r="H15" s="62" t="str">
        <f>'1. Information samples'!H15</f>
        <v>Dendrolobium</v>
      </c>
      <c r="I15" s="62" t="str">
        <f>'1. Information samples'!I15</f>
        <v>triangulare</v>
      </c>
      <c r="J15" s="62" t="str">
        <f>'1. Information samples'!J15</f>
        <v>Dendrolobium triangulare</v>
      </c>
      <c r="K15" s="62" t="str">
        <f>'1. Information samples'!K15</f>
        <v>Fabaceae</v>
      </c>
      <c r="L15" s="62" t="str">
        <f>'1. Information samples'!L15</f>
        <v>Fabales</v>
      </c>
      <c r="M15" s="62" t="str">
        <f>'1. Information samples'!M15</f>
        <v>Tree</v>
      </c>
      <c r="N15" s="77">
        <f>AVERAGEIFS('3.1. Gas prod VF'!$AG$13:$AG$1230,'3.1. Gas prod VF'!$L$13:$L$1230,$F15)</f>
        <v>23.690338965749891</v>
      </c>
      <c r="O15" s="77">
        <f>AVERAGEIFS('3.1. Gas prod VF'!$AH$13:$AH$1230,'3.1. Gas prod VF'!$L$13:$L$1230,$F15)</f>
        <v>20.797118406520713</v>
      </c>
      <c r="P15" s="77">
        <f>AVERAGEIFS('3.1. Gas prod VF'!$AI$13:$AI$1230,'3.1. Gas prod VF'!$L$13:$L$1230,$F15)</f>
        <v>44.487457372270605</v>
      </c>
      <c r="Q15" s="77">
        <f>AVERAGEIFS('3.1. Gas prod VF'!$AJ$13:$AJ$1230,'3.1. Gas prod VF'!$L$13:$L$1230,$F15)</f>
        <v>3.1871250264656794</v>
      </c>
      <c r="R15" s="77">
        <f>AVERAGEIFS('3.1. Gas prod VF'!$AK$13:$AK$1230,'3.1. Gas prod VF'!$L$13:$L$1230,$F15)</f>
        <v>3.5457040378942493</v>
      </c>
      <c r="S15" s="77">
        <f>AVERAGEIFS('3.1. Gas prod VF'!$AL$13:$AL$1230,'3.1. Gas prod VF'!$L$13:$L$1230,$F15)</f>
        <v>6.7328290643599287</v>
      </c>
      <c r="T15" s="77">
        <f>AVERAGEIFS('3.1. Gas prod VF'!$AM$13:$AM$1230,'3.1. Gas prod VF'!$L$13:$L$1230,$F15)</f>
        <v>94.311238601184286</v>
      </c>
      <c r="U15" s="77">
        <f>AVERAGEIFS('3.1. Gas prod VF'!$AN$13:$AN$1230,'3.1. Gas prod VF'!$L$13:$L$1230,$F15)</f>
        <v>23.512331569539949</v>
      </c>
      <c r="V15" s="77">
        <f>AVERAGEIFS('3.1. Gas prod VF'!$AO$13:$AO$1230,'3.1. Gas prod VF'!$L$13:$L$1230,$F15)</f>
        <v>2.5013942683953259</v>
      </c>
      <c r="W15" s="77">
        <f>AVERAGEIFS('3.1. Gas prod VF'!$AP$13:$AP$1230,'3.1. Gas prod VF'!$L$13:$L$1230,$F15)</f>
        <v>13.47142857142857</v>
      </c>
      <c r="X15" s="77">
        <f>AVERAGEIFS('3.1. Gas prod VF'!$AQ$13:$AQ$1230,'3.1. Gas prod VF'!$L$13:$L$1230,$F15)</f>
        <v>15.144879755067608</v>
      </c>
      <c r="Y15" s="77">
        <f>AVERAGEIFS('3.1. Gas prod VF'!$AR$13:$AR$1230,'3.1. Gas prod VF'!$L$13:$L$1230,$F15)</f>
        <v>14.273335396427141</v>
      </c>
      <c r="Z15" s="77">
        <f>AVERAGEIFS('3.1. Gas prod VF'!$AS$13:$AS$1230,'3.1. Gas prod VF'!$L$13:$L$1230,$F15)</f>
        <v>61.945197674903724</v>
      </c>
      <c r="AA15" s="77">
        <f>AVERAGEIFS('3.1. Gas prod VF'!$AT$13:$AT$1230,'3.1. Gas prod VF'!$L$13:$L$1230,$F15)</f>
        <v>-0.35649979496530965</v>
      </c>
      <c r="AB15" s="77">
        <f>AVERAGEIFS('3.1. Gas prod VF'!$AU$13:$AU$1230,'3.1. Gas prod VF'!$L$13:$L$1230,$F15)</f>
        <v>7.9219480885360314</v>
      </c>
      <c r="AC15" s="77">
        <f>AVERAGEIFS('3.1. Gas prod VF'!$AV$13:$AV$1230,'3.1. Gas prod VF'!$L$13:$L$1230,$F15)</f>
        <v>34.380656425794321</v>
      </c>
      <c r="AD15" s="20"/>
    </row>
    <row r="16" spans="2:30" x14ac:dyDescent="0.35">
      <c r="B16" s="62">
        <f>'1. Information samples'!B16</f>
        <v>6</v>
      </c>
      <c r="C16" s="62">
        <f>'1. Information samples'!C16</f>
        <v>46041</v>
      </c>
      <c r="D16" s="62" t="str">
        <f>'1. Information samples'!D16</f>
        <v>Genbank</v>
      </c>
      <c r="E16" s="62">
        <f>'1. Information samples'!E16</f>
        <v>27</v>
      </c>
      <c r="F16" s="62" t="str">
        <f>'1. Information samples'!F16</f>
        <v>F251733</v>
      </c>
      <c r="G16" s="62" t="str">
        <f>'1. Information samples'!G16</f>
        <v>CIAT-23104</v>
      </c>
      <c r="H16" s="62" t="str">
        <f>'1. Information samples'!H16</f>
        <v>Dendrolobium</v>
      </c>
      <c r="I16" s="62" t="str">
        <f>'1. Information samples'!I16</f>
        <v>triangulare</v>
      </c>
      <c r="J16" s="62" t="str">
        <f>'1. Information samples'!J16</f>
        <v>Dendrolobium triangulare</v>
      </c>
      <c r="K16" s="62" t="str">
        <f>'1. Information samples'!K16</f>
        <v>Fabaceae</v>
      </c>
      <c r="L16" s="62" t="str">
        <f>'1. Information samples'!L16</f>
        <v>Fabales</v>
      </c>
      <c r="M16" s="62" t="str">
        <f>'1. Information samples'!M16</f>
        <v>Tree</v>
      </c>
      <c r="N16" s="77">
        <f>AVERAGEIFS('3.1. Gas prod VF'!$AG$13:$AG$1230,'3.1. Gas prod VF'!$L$13:$L$1230,$F16)</f>
        <v>21.801230670067358</v>
      </c>
      <c r="O16" s="77">
        <f>AVERAGEIFS('3.1. Gas prod VF'!$AH$13:$AH$1230,'3.1. Gas prod VF'!$L$13:$L$1230,$F16)</f>
        <v>20.011849007809023</v>
      </c>
      <c r="P16" s="77">
        <f>AVERAGEIFS('3.1. Gas prod VF'!$AI$13:$AI$1230,'3.1. Gas prod VF'!$L$13:$L$1230,$F16)</f>
        <v>41.813079677876381</v>
      </c>
      <c r="Q16" s="77">
        <f>AVERAGEIFS('3.1. Gas prod VF'!$AJ$13:$AJ$1230,'3.1. Gas prod VF'!$L$13:$L$1230,$F16)</f>
        <v>3.1433338726468887</v>
      </c>
      <c r="R16" s="77">
        <f>AVERAGEIFS('3.1. Gas prod VF'!$AK$13:$AK$1230,'3.1. Gas prod VF'!$L$13:$L$1230,$F16)</f>
        <v>3.5264099863750804</v>
      </c>
      <c r="S16" s="77">
        <f>AVERAGEIFS('3.1. Gas prod VF'!$AL$13:$AL$1230,'3.1. Gas prod VF'!$L$13:$L$1230,$F16)</f>
        <v>6.6697438590219695</v>
      </c>
      <c r="T16" s="77">
        <f>AVERAGEIFS('3.1. Gas prod VF'!$AM$13:$AM$1230,'3.1. Gas prod VF'!$L$13:$L$1230,$F16)</f>
        <v>90.223555114518021</v>
      </c>
      <c r="U16" s="77">
        <f>AVERAGEIFS('3.1. Gas prod VF'!$AN$13:$AN$1230,'3.1. Gas prod VF'!$L$13:$L$1230,$F16)</f>
        <v>18.16343298719212</v>
      </c>
      <c r="V16" s="77">
        <f>AVERAGEIFS('3.1. Gas prod VF'!$AO$13:$AO$1230,'3.1. Gas prod VF'!$L$13:$L$1230,$F16)</f>
        <v>2.016450027489967</v>
      </c>
      <c r="W16" s="77">
        <f>AVERAGEIFS('3.1. Gas prod VF'!$AP$13:$AP$1230,'3.1. Gas prod VF'!$L$13:$L$1230,$F16)</f>
        <v>14.433333333333332</v>
      </c>
      <c r="X16" s="77">
        <f>AVERAGEIFS('3.1. Gas prod VF'!$AQ$13:$AQ$1230,'3.1. Gas prod VF'!$L$13:$L$1230,$F16)</f>
        <v>15.963878453478943</v>
      </c>
      <c r="Y16" s="77">
        <f>AVERAGEIFS('3.1. Gas prod VF'!$AR$13:$AR$1230,'3.1. Gas prod VF'!$L$13:$L$1230,$F16)</f>
        <v>14.391865725587138</v>
      </c>
      <c r="Z16" s="77">
        <f>AVERAGEIFS('3.1. Gas prod VF'!$AS$13:$AS$1230,'3.1. Gas prod VF'!$L$13:$L$1230,$F16)</f>
        <v>80.768689885734588</v>
      </c>
      <c r="AA16" s="77">
        <f>AVERAGEIFS('3.1. Gas prod VF'!$AT$13:$AT$1230,'3.1. Gas prod VF'!$L$13:$L$1230,$F16)</f>
        <v>-0.31545324669952257</v>
      </c>
      <c r="AB16" s="77">
        <f>AVERAGEIFS('3.1. Gas prod VF'!$AU$13:$AU$1230,'3.1. Gas prod VF'!$L$13:$L$1230,$F16)</f>
        <v>7.9877344719175669</v>
      </c>
      <c r="AC16" s="77">
        <f>AVERAGEIFS('3.1. Gas prod VF'!$AV$13:$AV$1230,'3.1. Gas prod VF'!$L$13:$L$1230,$F16)</f>
        <v>44.82802026876066</v>
      </c>
      <c r="AD16" s="20"/>
    </row>
    <row r="17" spans="2:30" x14ac:dyDescent="0.35">
      <c r="B17" s="62">
        <f>'1. Information samples'!B17</f>
        <v>7</v>
      </c>
      <c r="C17" s="62">
        <f>'1. Information samples'!C17</f>
        <v>46041</v>
      </c>
      <c r="D17" s="62" t="str">
        <f>'1. Information samples'!D17</f>
        <v>Genbank</v>
      </c>
      <c r="E17" s="62">
        <f>'1. Information samples'!E17</f>
        <v>27</v>
      </c>
      <c r="F17" s="62" t="str">
        <f>'1. Information samples'!F17</f>
        <v>F251734</v>
      </c>
      <c r="G17" s="62" t="str">
        <f>'1. Information samples'!G17</f>
        <v>CIAT-23106</v>
      </c>
      <c r="H17" s="62" t="str">
        <f>'1. Information samples'!H17</f>
        <v>Dendrolobium</v>
      </c>
      <c r="I17" s="62" t="str">
        <f>'1. Information samples'!I17</f>
        <v>triangulare</v>
      </c>
      <c r="J17" s="62" t="str">
        <f>'1. Information samples'!J17</f>
        <v>Dendrolobium triangulare</v>
      </c>
      <c r="K17" s="62" t="str">
        <f>'1. Information samples'!K17</f>
        <v>Fabaceae</v>
      </c>
      <c r="L17" s="62" t="str">
        <f>'1. Information samples'!L17</f>
        <v>Fabales</v>
      </c>
      <c r="M17" s="62" t="str">
        <f>'1. Information samples'!M17</f>
        <v>Tree</v>
      </c>
      <c r="N17" s="77">
        <f>AVERAGEIFS('3.1. Gas prod VF'!$AG$13:$AG$1230,'3.1. Gas prod VF'!$L$13:$L$1230,$F17)</f>
        <v>20.490158866157433</v>
      </c>
      <c r="O17" s="77">
        <f>AVERAGEIFS('3.1. Gas prod VF'!$AH$13:$AH$1230,'3.1. Gas prod VF'!$L$13:$L$1230,$F17)</f>
        <v>15.626223699495258</v>
      </c>
      <c r="P17" s="77">
        <f>AVERAGEIFS('3.1. Gas prod VF'!$AI$13:$AI$1230,'3.1. Gas prod VF'!$L$13:$L$1230,$F17)</f>
        <v>36.116382565652692</v>
      </c>
      <c r="Q17" s="77">
        <f>AVERAGEIFS('3.1. Gas prod VF'!$AJ$13:$AJ$1230,'3.1. Gas prod VF'!$L$13:$L$1230,$F17)</f>
        <v>2.9791137251062012</v>
      </c>
      <c r="R17" s="77">
        <f>AVERAGEIFS('3.1. Gas prod VF'!$AK$13:$AK$1230,'3.1. Gas prod VF'!$L$13:$L$1230,$F17)</f>
        <v>2.818911646866205</v>
      </c>
      <c r="S17" s="77">
        <f>AVERAGEIFS('3.1. Gas prod VF'!$AL$13:$AL$1230,'3.1. Gas prod VF'!$L$13:$L$1230,$F17)</f>
        <v>5.7980253719724058</v>
      </c>
      <c r="T17" s="77">
        <f>AVERAGEIFS('3.1. Gas prod VF'!$AM$13:$AM$1230,'3.1. Gas prod VF'!$L$13:$L$1230,$F17)</f>
        <v>76.278757967775547</v>
      </c>
      <c r="U17" s="77">
        <f>AVERAGEIFS('3.1. Gas prod VF'!$AN$13:$AN$1230,'3.1. Gas prod VF'!$L$13:$L$1230,$F17)</f>
        <v>18.82922748409236</v>
      </c>
      <c r="V17" s="77">
        <f>AVERAGEIFS('3.1. Gas prod VF'!$AO$13:$AO$1230,'3.1. Gas prod VF'!$L$13:$L$1230,$F17)</f>
        <v>2.5096904109972575</v>
      </c>
      <c r="W17" s="77">
        <f>AVERAGEIFS('3.1. Gas prod VF'!$AP$13:$AP$1230,'3.1. Gas prod VF'!$L$13:$L$1230,$F17)</f>
        <v>14.542857142857144</v>
      </c>
      <c r="X17" s="77">
        <f>AVERAGEIFS('3.1. Gas prod VF'!$AQ$13:$AQ$1230,'3.1. Gas prod VF'!$L$13:$L$1230,$F17)</f>
        <v>16.079188300328756</v>
      </c>
      <c r="Y17" s="77">
        <f>AVERAGEIFS('3.1. Gas prod VF'!$AR$13:$AR$1230,'3.1. Gas prod VF'!$L$13:$L$1230,$F17)</f>
        <v>12.245635819200364</v>
      </c>
      <c r="Z17" s="77">
        <f>AVERAGEIFS('3.1. Gas prod VF'!$AS$13:$AS$1230,'3.1. Gas prod VF'!$L$13:$L$1230,$F17)</f>
        <v>69.064532972427315</v>
      </c>
      <c r="AA17" s="77">
        <f>AVERAGEIFS('3.1. Gas prod VF'!$AT$13:$AT$1230,'3.1. Gas prod VF'!$L$13:$L$1230,$F17)</f>
        <v>-0.33257054617802517</v>
      </c>
      <c r="AB17" s="77">
        <f>AVERAGEIFS('3.1. Gas prod VF'!$AU$13:$AU$1230,'3.1. Gas prod VF'!$L$13:$L$1230,$F17)</f>
        <v>6.7965397418676057</v>
      </c>
      <c r="AC17" s="77">
        <f>AVERAGEIFS('3.1. Gas prod VF'!$AV$13:$AV$1230,'3.1. Gas prod VF'!$L$13:$L$1230,$F17)</f>
        <v>38.332010687810865</v>
      </c>
      <c r="AD17" s="20"/>
    </row>
    <row r="18" spans="2:30" x14ac:dyDescent="0.35">
      <c r="B18" s="62">
        <f>'1. Information samples'!B18</f>
        <v>8</v>
      </c>
      <c r="C18" s="62">
        <f>'1. Information samples'!C18</f>
        <v>46041</v>
      </c>
      <c r="D18" s="62" t="str">
        <f>'1. Information samples'!D18</f>
        <v>Genbank</v>
      </c>
      <c r="E18" s="62">
        <f>'1. Information samples'!E18</f>
        <v>27</v>
      </c>
      <c r="F18" s="62" t="str">
        <f>'1. Information samples'!F18</f>
        <v>F251735</v>
      </c>
      <c r="G18" s="62" t="str">
        <f>'1. Information samples'!G18</f>
        <v>CIAT-23107</v>
      </c>
      <c r="H18" s="62" t="str">
        <f>'1. Information samples'!H18</f>
        <v>Dendrolobium</v>
      </c>
      <c r="I18" s="62" t="str">
        <f>'1. Information samples'!I18</f>
        <v>triangulare</v>
      </c>
      <c r="J18" s="62" t="str">
        <f>'1. Information samples'!J18</f>
        <v>Dendrolobium triangulare</v>
      </c>
      <c r="K18" s="62" t="str">
        <f>'1. Information samples'!K18</f>
        <v>Fabaceae</v>
      </c>
      <c r="L18" s="62" t="str">
        <f>'1. Information samples'!L18</f>
        <v>Fabales</v>
      </c>
      <c r="M18" s="62" t="str">
        <f>'1. Information samples'!M18</f>
        <v>Tree</v>
      </c>
      <c r="N18" s="77">
        <f>AVERAGEIFS('3.1. Gas prod VF'!$AG$13:$AG$1230,'3.1. Gas prod VF'!$L$13:$L$1230,$F18)</f>
        <v>18.192480857736609</v>
      </c>
      <c r="O18" s="77">
        <f>AVERAGEIFS('3.1. Gas prod VF'!$AH$13:$AH$1230,'3.1. Gas prod VF'!$L$13:$L$1230,$F18)</f>
        <v>15.451724439448295</v>
      </c>
      <c r="P18" s="77">
        <f>AVERAGEIFS('3.1. Gas prod VF'!$AI$13:$AI$1230,'3.1. Gas prod VF'!$L$13:$L$1230,$F18)</f>
        <v>33.644205297184897</v>
      </c>
      <c r="Q18" s="77">
        <f>AVERAGEIFS('3.1. Gas prod VF'!$AJ$13:$AJ$1230,'3.1. Gas prod VF'!$L$13:$L$1230,$F18)</f>
        <v>2.5901135064632497</v>
      </c>
      <c r="R18" s="77">
        <f>AVERAGEIFS('3.1. Gas prod VF'!$AK$13:$AK$1230,'3.1. Gas prod VF'!$L$13:$L$1230,$F18)</f>
        <v>2.7975068601405573</v>
      </c>
      <c r="S18" s="77">
        <f>AVERAGEIFS('3.1. Gas prod VF'!$AL$13:$AL$1230,'3.1. Gas prod VF'!$L$13:$L$1230,$F18)</f>
        <v>5.3876203666038069</v>
      </c>
      <c r="T18" s="77">
        <f>AVERAGEIFS('3.1. Gas prod VF'!$AM$13:$AM$1230,'3.1. Gas prod VF'!$L$13:$L$1230,$F18)</f>
        <v>70.822210036122229</v>
      </c>
      <c r="U18" s="77">
        <f>AVERAGEIFS('3.1. Gas prod VF'!$AN$13:$AN$1230,'3.1. Gas prod VF'!$L$13:$L$1230,$F18)</f>
        <v>18.218956332836285</v>
      </c>
      <c r="V18" s="77">
        <f>AVERAGEIFS('3.1. Gas prod VF'!$AO$13:$AO$1230,'3.1. Gas prod VF'!$L$13:$L$1230,$F18)</f>
        <v>2.5741174106397184</v>
      </c>
      <c r="W18" s="77">
        <f>AVERAGEIFS('3.1. Gas prod VF'!$AP$13:$AP$1230,'3.1. Gas prod VF'!$L$13:$L$1230,$F18)</f>
        <v>14.260000000000002</v>
      </c>
      <c r="X18" s="77">
        <f>AVERAGEIFS('3.1. Gas prod VF'!$AQ$13:$AQ$1230,'3.1. Gas prod VF'!$L$13:$L$1230,$F18)</f>
        <v>16.038383794789162</v>
      </c>
      <c r="Y18" s="77">
        <f>AVERAGEIFS('3.1. Gas prod VF'!$AR$13:$AR$1230,'3.1. Gas prod VF'!$L$13:$L$1230,$F18)</f>
        <v>11.341193279974485</v>
      </c>
      <c r="Z18" s="77">
        <f>AVERAGEIFS('3.1. Gas prod VF'!$AS$13:$AS$1230,'3.1. Gas prod VF'!$L$13:$L$1230,$F18)</f>
        <v>62.468124863189566</v>
      </c>
      <c r="AA18" s="77">
        <f>AVERAGEIFS('3.1. Gas prod VF'!$AT$13:$AT$1230,'3.1. Gas prod VF'!$L$13:$L$1230,$F18)</f>
        <v>-0.25034251515819622</v>
      </c>
      <c r="AB18" s="77">
        <f>AVERAGEIFS('3.1. Gas prod VF'!$AU$13:$AU$1230,'3.1. Gas prod VF'!$L$13:$L$1230,$F18)</f>
        <v>6.2945584848024483</v>
      </c>
      <c r="AC18" s="77">
        <f>AVERAGEIFS('3.1. Gas prod VF'!$AV$13:$AV$1230,'3.1. Gas prod VF'!$L$13:$L$1230,$F18)</f>
        <v>34.670890062476154</v>
      </c>
      <c r="AD18" s="20"/>
    </row>
    <row r="19" spans="2:30" x14ac:dyDescent="0.35">
      <c r="B19" s="62">
        <f>'1. Information samples'!B19</f>
        <v>9</v>
      </c>
      <c r="C19" s="62">
        <f>'1. Information samples'!C19</f>
        <v>46041</v>
      </c>
      <c r="D19" s="62" t="str">
        <f>'1. Information samples'!D19</f>
        <v>Genbank</v>
      </c>
      <c r="E19" s="62">
        <f>'1. Information samples'!E19</f>
        <v>27</v>
      </c>
      <c r="F19" s="62" t="str">
        <f>'1. Information samples'!F19</f>
        <v>F251736</v>
      </c>
      <c r="G19" s="62" t="str">
        <f>'1. Information samples'!G19</f>
        <v>CIAT-23108</v>
      </c>
      <c r="H19" s="62" t="str">
        <f>'1. Information samples'!H19</f>
        <v>Dendrolobium</v>
      </c>
      <c r="I19" s="62" t="str">
        <f>'1. Information samples'!I19</f>
        <v>triangulare</v>
      </c>
      <c r="J19" s="62" t="str">
        <f>'1. Information samples'!J19</f>
        <v>Dendrolobium triangulare</v>
      </c>
      <c r="K19" s="62" t="str">
        <f>'1. Information samples'!K19</f>
        <v>Fabaceae</v>
      </c>
      <c r="L19" s="62" t="str">
        <f>'1. Information samples'!L19</f>
        <v>Fabales</v>
      </c>
      <c r="M19" s="62" t="str">
        <f>'1. Information samples'!M19</f>
        <v>Tree</v>
      </c>
      <c r="N19" s="77">
        <f>AVERAGEIFS('3.1. Gas prod VF'!$AG$13:$AG$1230,'3.1. Gas prod VF'!$L$13:$L$1230,$F19)</f>
        <v>19.944445867317999</v>
      </c>
      <c r="O19" s="77">
        <f>AVERAGEIFS('3.1. Gas prod VF'!$AH$13:$AH$1230,'3.1. Gas prod VF'!$L$13:$L$1230,$F19)</f>
        <v>16.654261263663567</v>
      </c>
      <c r="P19" s="77">
        <f>AVERAGEIFS('3.1. Gas prod VF'!$AI$13:$AI$1230,'3.1. Gas prod VF'!$L$13:$L$1230,$F19)</f>
        <v>36.598707130981559</v>
      </c>
      <c r="Q19" s="77">
        <f>AVERAGEIFS('3.1. Gas prod VF'!$AJ$13:$AJ$1230,'3.1. Gas prod VF'!$L$13:$L$1230,$F19)</f>
        <v>2.7132658767755227</v>
      </c>
      <c r="R19" s="77">
        <f>AVERAGEIFS('3.1. Gas prod VF'!$AK$13:$AK$1230,'3.1. Gas prod VF'!$L$13:$L$1230,$F19)</f>
        <v>3.0661036968724131</v>
      </c>
      <c r="S19" s="77">
        <f>AVERAGEIFS('3.1. Gas prod VF'!$AL$13:$AL$1230,'3.1. Gas prod VF'!$L$13:$L$1230,$F19)</f>
        <v>5.7793695736479362</v>
      </c>
      <c r="T19" s="77">
        <f>AVERAGEIFS('3.1. Gas prod VF'!$AM$13:$AM$1230,'3.1. Gas prod VF'!$L$13:$L$1230,$F19)</f>
        <v>77.366999362180962</v>
      </c>
      <c r="U19" s="77">
        <f>AVERAGEIFS('3.1. Gas prod VF'!$AN$13:$AN$1230,'3.1. Gas prod VF'!$L$13:$L$1230,$F19)</f>
        <v>17.484748083124124</v>
      </c>
      <c r="V19" s="77">
        <f>AVERAGEIFS('3.1. Gas prod VF'!$AO$13:$AO$1230,'3.1. Gas prod VF'!$L$13:$L$1230,$F19)</f>
        <v>2.2584746473256447</v>
      </c>
      <c r="W19" s="77">
        <f>AVERAGEIFS('3.1. Gas prod VF'!$AP$13:$AP$1230,'3.1. Gas prod VF'!$L$13:$L$1230,$F19)</f>
        <v>13.614285714285714</v>
      </c>
      <c r="X19" s="77">
        <f>AVERAGEIFS('3.1. Gas prod VF'!$AQ$13:$AQ$1230,'3.1. Gas prod VF'!$L$13:$L$1230,$F19)</f>
        <v>15.78826187379776</v>
      </c>
      <c r="Y19" s="77">
        <f>AVERAGEIFS('3.1. Gas prod VF'!$AR$13:$AR$1230,'3.1. Gas prod VF'!$L$13:$L$1230,$F19)</f>
        <v>12.217281924269807</v>
      </c>
      <c r="Z19" s="77">
        <f>AVERAGEIFS('3.1. Gas prod VF'!$AS$13:$AS$1230,'3.1. Gas prod VF'!$L$13:$L$1230,$F19)</f>
        <v>71.584188240206871</v>
      </c>
      <c r="AA19" s="77">
        <f>AVERAGEIFS('3.1. Gas prod VF'!$AT$13:$AT$1230,'3.1. Gas prod VF'!$L$13:$L$1230,$F19)</f>
        <v>-0.32311538897445541</v>
      </c>
      <c r="AB19" s="77">
        <f>AVERAGEIFS('3.1. Gas prod VF'!$AU$13:$AU$1230,'3.1. Gas prod VF'!$L$13:$L$1230,$F19)</f>
        <v>6.7808028396293327</v>
      </c>
      <c r="AC19" s="77">
        <f>AVERAGEIFS('3.1. Gas prod VF'!$AV$13:$AV$1230,'3.1. Gas prod VF'!$L$13:$L$1230,$F19)</f>
        <v>39.730462954080217</v>
      </c>
      <c r="AD19" s="20"/>
    </row>
    <row r="20" spans="2:30" customFormat="1" x14ac:dyDescent="0.35">
      <c r="B20" s="62">
        <f>'1. Information samples'!B20</f>
        <v>10</v>
      </c>
      <c r="C20" s="62">
        <f>'1. Information samples'!C20</f>
        <v>46041</v>
      </c>
      <c r="D20" s="62" t="str">
        <f>'1. Information samples'!D20</f>
        <v>Genbank</v>
      </c>
      <c r="E20" s="62">
        <f>'1. Information samples'!E20</f>
        <v>27</v>
      </c>
      <c r="F20" s="62" t="str">
        <f>'1. Information samples'!F20</f>
        <v>F251737</v>
      </c>
      <c r="G20" s="62" t="str">
        <f>'1. Information samples'!G20</f>
        <v>CIAT-23412</v>
      </c>
      <c r="H20" s="62" t="str">
        <f>'1. Information samples'!H20</f>
        <v>Dendrolobium</v>
      </c>
      <c r="I20" s="62" t="str">
        <f>'1. Information samples'!I20</f>
        <v>triangulare</v>
      </c>
      <c r="J20" s="62" t="str">
        <f>'1. Information samples'!J20</f>
        <v>Dendrolobium triangulare</v>
      </c>
      <c r="K20" s="62" t="str">
        <f>'1. Information samples'!K20</f>
        <v>Fabaceae</v>
      </c>
      <c r="L20" s="62" t="str">
        <f>'1. Information samples'!L20</f>
        <v>Fabales</v>
      </c>
      <c r="M20" s="62" t="str">
        <f>'1. Information samples'!M20</f>
        <v>Tree</v>
      </c>
      <c r="N20" s="77">
        <f>AVERAGEIFS('3.1. Gas prod VF'!$AG$13:$AG$1230,'3.1. Gas prod VF'!$L$13:$L$1230,$F20)</f>
        <v>21.476053251464176</v>
      </c>
      <c r="O20" s="77">
        <f>AVERAGEIFS('3.1. Gas prod VF'!$AH$13:$AH$1230,'3.1. Gas prod VF'!$L$13:$L$1230,$F20)</f>
        <v>12.654261263663569</v>
      </c>
      <c r="P20" s="77">
        <f>AVERAGEIFS('3.1. Gas prod VF'!$AI$13:$AI$1230,'3.1. Gas prod VF'!$L$13:$L$1230,$F20)</f>
        <v>34.130314515127743</v>
      </c>
      <c r="Q20" s="77">
        <f>AVERAGEIFS('3.1. Gas prod VF'!$AJ$13:$AJ$1230,'3.1. Gas prod VF'!$L$13:$L$1230,$F20)</f>
        <v>2.9003002178254262</v>
      </c>
      <c r="R20" s="77">
        <f>AVERAGEIFS('3.1. Gas prod VF'!$AK$13:$AK$1230,'3.1. Gas prod VF'!$L$13:$L$1230,$F20)</f>
        <v>2.1903032660208845</v>
      </c>
      <c r="S20" s="77">
        <f>AVERAGEIFS('3.1. Gas prod VF'!$AL$13:$AL$1230,'3.1. Gas prod VF'!$L$13:$L$1230,$F20)</f>
        <v>5.0906034838463103</v>
      </c>
      <c r="T20" s="77">
        <f>AVERAGEIFS('3.1. Gas prod VF'!$AM$13:$AM$1230,'3.1. Gas prod VF'!$L$13:$L$1230,$F20)</f>
        <v>72.440469349301807</v>
      </c>
      <c r="U20" s="77">
        <f>AVERAGEIFS('3.1. Gas prod VF'!$AN$13:$AN$1230,'3.1. Gas prod VF'!$L$13:$L$1230,$F20)</f>
        <v>19.640009698497582</v>
      </c>
      <c r="V20" s="77">
        <f>AVERAGEIFS('3.1. Gas prod VF'!$AO$13:$AO$1230,'3.1. Gas prod VF'!$L$13:$L$1230,$F20)</f>
        <v>2.724121824186581</v>
      </c>
      <c r="W20" s="77">
        <f>AVERAGEIFS('3.1. Gas prod VF'!$AP$13:$AP$1230,'3.1. Gas prod VF'!$L$13:$L$1230,$F20)</f>
        <v>13.514285714285711</v>
      </c>
      <c r="X20" s="77">
        <f>AVERAGEIFS('3.1. Gas prod VF'!$AQ$13:$AQ$1230,'3.1. Gas prod VF'!$L$13:$L$1230,$F20)</f>
        <v>14.920994288514473</v>
      </c>
      <c r="Y20" s="77">
        <f>AVERAGEIFS('3.1. Gas prod VF'!$AR$13:$AR$1230,'3.1. Gas prod VF'!$L$13:$L$1230,$F20)</f>
        <v>10.804759060565498</v>
      </c>
      <c r="Z20" s="77">
        <f>AVERAGEIFS('3.1. Gas prod VF'!$AS$13:$AS$1230,'3.1. Gas prod VF'!$L$13:$L$1230,$F20)</f>
        <v>58.161947764184028</v>
      </c>
      <c r="AA20" s="77">
        <f>AVERAGEIFS('3.1. Gas prod VF'!$AT$13:$AT$1230,'3.1. Gas prod VF'!$L$13:$L$1230,$F20)</f>
        <v>-0.17779340146695333</v>
      </c>
      <c r="AB20" s="77">
        <f>AVERAGEIFS('3.1. Gas prod VF'!$AU$13:$AU$1230,'3.1. Gas prod VF'!$L$13:$L$1230,$F20)</f>
        <v>5.9968282121616117</v>
      </c>
      <c r="AC20" s="77">
        <f>AVERAGEIFS('3.1. Gas prod VF'!$AV$13:$AV$1230,'3.1. Gas prod VF'!$L$13:$L$1230,$F20)</f>
        <v>32.280887271194175</v>
      </c>
      <c r="AD20" s="20"/>
    </row>
    <row r="21" spans="2:30" x14ac:dyDescent="0.35">
      <c r="B21" s="62">
        <f>'1. Information samples'!B21</f>
        <v>11</v>
      </c>
      <c r="C21" s="62">
        <f>'1. Information samples'!C21</f>
        <v>46041</v>
      </c>
      <c r="D21" s="62" t="str">
        <f>'1. Information samples'!D21</f>
        <v>Genbank</v>
      </c>
      <c r="E21" s="62">
        <f>'1. Information samples'!E21</f>
        <v>27</v>
      </c>
      <c r="F21" s="62" t="str">
        <f>'1. Information samples'!F21</f>
        <v>F251738</v>
      </c>
      <c r="G21" s="62" t="str">
        <f>'1. Information samples'!G21</f>
        <v>CIAT-23413</v>
      </c>
      <c r="H21" s="62" t="str">
        <f>'1. Information samples'!H21</f>
        <v>Dendrolobium</v>
      </c>
      <c r="I21" s="62" t="str">
        <f>'1. Information samples'!I21</f>
        <v>triangulare</v>
      </c>
      <c r="J21" s="62" t="str">
        <f>'1. Information samples'!J21</f>
        <v>Dendrolobium triangulare</v>
      </c>
      <c r="K21" s="62" t="str">
        <f>'1. Information samples'!K21</f>
        <v>Fabaceae</v>
      </c>
      <c r="L21" s="62" t="str">
        <f>'1. Information samples'!L21</f>
        <v>Fabales</v>
      </c>
      <c r="M21" s="62" t="str">
        <f>'1. Information samples'!M21</f>
        <v>Tree</v>
      </c>
      <c r="N21" s="77">
        <f>AVERAGEIFS('3.1. Gas prod VF'!$AG$13:$AG$1230,'3.1. Gas prod VF'!$L$13:$L$1230,$F21)</f>
        <v>23.182012600368388</v>
      </c>
      <c r="O21" s="77">
        <f>AVERAGEIFS('3.1. Gas prod VF'!$AH$13:$AH$1230,'3.1. Gas prod VF'!$L$13:$L$1230,$F21)</f>
        <v>18.299037586907204</v>
      </c>
      <c r="P21" s="77">
        <f>AVERAGEIFS('3.1. Gas prod VF'!$AI$13:$AI$1230,'3.1. Gas prod VF'!$L$13:$L$1230,$F21)</f>
        <v>41.481050187275592</v>
      </c>
      <c r="Q21" s="77">
        <f>AVERAGEIFS('3.1. Gas prod VF'!$AJ$13:$AJ$1230,'3.1. Gas prod VF'!$L$13:$L$1230,$F21)</f>
        <v>3.2605345330592255</v>
      </c>
      <c r="R21" s="77">
        <f>AVERAGEIFS('3.1. Gas prod VF'!$AK$13:$AK$1230,'3.1. Gas prod VF'!$L$13:$L$1230,$F21)</f>
        <v>3.0694872227505616</v>
      </c>
      <c r="S21" s="77">
        <f>AVERAGEIFS('3.1. Gas prod VF'!$AL$13:$AL$1230,'3.1. Gas prod VF'!$L$13:$L$1230,$F21)</f>
        <v>6.3300217558097867</v>
      </c>
      <c r="T21" s="77">
        <f>AVERAGEIFS('3.1. Gas prod VF'!$AM$13:$AM$1230,'3.1. Gas prod VF'!$L$13:$L$1230,$F21)</f>
        <v>88.660218036939284</v>
      </c>
      <c r="U21" s="77">
        <f>AVERAGEIFS('3.1. Gas prod VF'!$AN$13:$AN$1230,'3.1. Gas prod VF'!$L$13:$L$1230,$F21)</f>
        <v>22.617042966967286</v>
      </c>
      <c r="V21" s="77">
        <f>AVERAGEIFS('3.1. Gas prod VF'!$AO$13:$AO$1230,'3.1. Gas prod VF'!$L$13:$L$1230,$F21)</f>
        <v>2.571495521160478</v>
      </c>
      <c r="W21" s="77">
        <f>AVERAGEIFS('3.1. Gas prod VF'!$AP$13:$AP$1230,'3.1. Gas prod VF'!$L$13:$L$1230,$F21)</f>
        <v>14.124999999999998</v>
      </c>
      <c r="X21" s="77">
        <f>AVERAGEIFS('3.1. Gas prod VF'!$AQ$13:$AQ$1230,'3.1. Gas prod VF'!$L$13:$L$1230,$F21)</f>
        <v>15.299081000688505</v>
      </c>
      <c r="Y21" s="77">
        <f>AVERAGEIFS('3.1. Gas prod VF'!$AR$13:$AR$1230,'3.1. Gas prod VF'!$L$13:$L$1230,$F21)</f>
        <v>13.529510230409477</v>
      </c>
      <c r="Z21" s="77">
        <f>AVERAGEIFS('3.1. Gas prod VF'!$AS$13:$AS$1230,'3.1. Gas prod VF'!$L$13:$L$1230,$F21)</f>
        <v>62.63200706318208</v>
      </c>
      <c r="AA21" s="77">
        <f>AVERAGEIFS('3.1. Gas prod VF'!$AT$13:$AT$1230,'3.1. Gas prod VF'!$L$13:$L$1230,$F21)</f>
        <v>-0.22783055605142694</v>
      </c>
      <c r="AB21" s="77">
        <f>AVERAGEIFS('3.1. Gas prod VF'!$AU$13:$AU$1230,'3.1. Gas prod VF'!$L$13:$L$1230,$F21)</f>
        <v>7.5091122524487215</v>
      </c>
      <c r="AC21" s="77">
        <f>AVERAGEIFS('3.1. Gas prod VF'!$AV$13:$AV$1230,'3.1. Gas prod VF'!$L$13:$L$1230,$F21)</f>
        <v>34.761847518804167</v>
      </c>
      <c r="AD21" s="20"/>
    </row>
    <row r="22" spans="2:30" x14ac:dyDescent="0.35">
      <c r="B22" s="62">
        <f>'1. Information samples'!B22</f>
        <v>12</v>
      </c>
      <c r="C22" s="62">
        <f>'1. Information samples'!C22</f>
        <v>46041</v>
      </c>
      <c r="D22" s="62" t="str">
        <f>'1. Information samples'!D22</f>
        <v>Genbank</v>
      </c>
      <c r="E22" s="62">
        <f>'1. Information samples'!E22</f>
        <v>27</v>
      </c>
      <c r="F22" s="62" t="str">
        <f>'1. Information samples'!F22</f>
        <v>F251739</v>
      </c>
      <c r="G22" s="62" t="str">
        <f>'1. Information samples'!G22</f>
        <v>CIAT-23419</v>
      </c>
      <c r="H22" s="62" t="str">
        <f>'1. Information samples'!H22</f>
        <v>Dendrolobium</v>
      </c>
      <c r="I22" s="62" t="str">
        <f>'1. Information samples'!I22</f>
        <v>triangulare</v>
      </c>
      <c r="J22" s="62" t="str">
        <f>'1. Information samples'!J22</f>
        <v>Dendrolobium triangulare</v>
      </c>
      <c r="K22" s="62" t="str">
        <f>'1. Information samples'!K22</f>
        <v>Fabaceae</v>
      </c>
      <c r="L22" s="62" t="str">
        <f>'1. Information samples'!L22</f>
        <v>Fabales</v>
      </c>
      <c r="M22" s="62" t="str">
        <f>'1. Information samples'!M22</f>
        <v>Tree</v>
      </c>
      <c r="N22" s="77">
        <f>AVERAGEIFS('3.1. Gas prod VF'!$AG$13:$AG$1230,'3.1. Gas prod VF'!$L$13:$L$1230,$F22)</f>
        <v>22.369512600368388</v>
      </c>
      <c r="O22" s="77">
        <f>AVERAGEIFS('3.1. Gas prod VF'!$AH$13:$AH$1230,'3.1. Gas prod VF'!$L$13:$L$1230,$F22)</f>
        <v>17.299037586907204</v>
      </c>
      <c r="P22" s="77">
        <f>AVERAGEIFS('3.1. Gas prod VF'!$AI$13:$AI$1230,'3.1. Gas prod VF'!$L$13:$L$1230,$F22)</f>
        <v>39.668550187275592</v>
      </c>
      <c r="Q22" s="77">
        <f>AVERAGEIFS('3.1. Gas prod VF'!$AJ$13:$AJ$1230,'3.1. Gas prod VF'!$L$13:$L$1230,$F22)</f>
        <v>3.1304975339710435</v>
      </c>
      <c r="R22" s="77">
        <f>AVERAGEIFS('3.1. Gas prod VF'!$AK$13:$AK$1230,'3.1. Gas prod VF'!$L$13:$L$1230,$F22)</f>
        <v>3.1245465934179526</v>
      </c>
      <c r="S22" s="77">
        <f>AVERAGEIFS('3.1. Gas prod VF'!$AL$13:$AL$1230,'3.1. Gas prod VF'!$L$13:$L$1230,$F22)</f>
        <v>6.2550441273889961</v>
      </c>
      <c r="T22" s="77">
        <f>AVERAGEIFS('3.1. Gas prod VF'!$AM$13:$AM$1230,'3.1. Gas prod VF'!$L$13:$L$1230,$F22)</f>
        <v>84.388301833087382</v>
      </c>
      <c r="U22" s="77">
        <f>AVERAGEIFS('3.1. Gas prod VF'!$AN$13:$AN$1230,'3.1. Gas prod VF'!$L$13:$L$1230,$F22)</f>
        <v>17.594722732794864</v>
      </c>
      <c r="V22" s="77">
        <f>AVERAGEIFS('3.1. Gas prod VF'!$AO$13:$AO$1230,'3.1. Gas prod VF'!$L$13:$L$1230,$F22)</f>
        <v>2.1000603299373326</v>
      </c>
      <c r="W22" s="77">
        <f>AVERAGEIFS('3.1. Gas prod VF'!$AP$13:$AP$1230,'3.1. Gas prod VF'!$L$13:$L$1230,$F22)</f>
        <v>14.037500000000001</v>
      </c>
      <c r="X22" s="77">
        <f>AVERAGEIFS('3.1. Gas prod VF'!$AQ$13:$AQ$1230,'3.1. Gas prod VF'!$L$13:$L$1230,$F22)</f>
        <v>15.787082270374055</v>
      </c>
      <c r="Y22" s="77">
        <f>AVERAGEIFS('3.1. Gas prod VF'!$AR$13:$AR$1230,'3.1. Gas prod VF'!$L$13:$L$1230,$F22)</f>
        <v>13.306699898147077</v>
      </c>
      <c r="Z22" s="77">
        <f>AVERAGEIFS('3.1. Gas prod VF'!$AS$13:$AS$1230,'3.1. Gas prod VF'!$L$13:$L$1230,$F22)</f>
        <v>80.564793434114634</v>
      </c>
      <c r="AA22" s="77">
        <f>AVERAGEIFS('3.1. Gas prod VF'!$AT$13:$AT$1230,'3.1. Gas prod VF'!$L$13:$L$1230,$F22)</f>
        <v>-0.17324253384270322</v>
      </c>
      <c r="AB22" s="77">
        <f>AVERAGEIFS('3.1. Gas prod VF'!$AU$13:$AU$1230,'3.1. Gas prod VF'!$L$13:$L$1230,$F22)</f>
        <v>7.3854486631930483</v>
      </c>
      <c r="AC22" s="77">
        <f>AVERAGEIFS('3.1. Gas prod VF'!$AV$13:$AV$1230,'3.1. Gas prod VF'!$L$13:$L$1230,$F22)</f>
        <v>44.714854210491303</v>
      </c>
      <c r="AD22" s="20"/>
    </row>
    <row r="23" spans="2:30" x14ac:dyDescent="0.35">
      <c r="B23" s="62">
        <f>'1. Information samples'!B23</f>
        <v>13</v>
      </c>
      <c r="C23" s="62">
        <f>'1. Information samples'!C23</f>
        <v>46041</v>
      </c>
      <c r="D23" s="62" t="str">
        <f>'1. Information samples'!D23</f>
        <v>Genbank</v>
      </c>
      <c r="E23" s="62">
        <f>'1. Information samples'!E23</f>
        <v>27</v>
      </c>
      <c r="F23" s="62" t="str">
        <f>'1. Information samples'!F23</f>
        <v>F251740</v>
      </c>
      <c r="G23" s="62" t="str">
        <f>'1. Information samples'!G23</f>
        <v>CIAT-23422</v>
      </c>
      <c r="H23" s="62" t="str">
        <f>'1. Information samples'!H23</f>
        <v>Dendrolobium</v>
      </c>
      <c r="I23" s="62" t="str">
        <f>'1. Information samples'!I23</f>
        <v>triangulare</v>
      </c>
      <c r="J23" s="62" t="str">
        <f>'1. Information samples'!J23</f>
        <v>Dendrolobium triangulare</v>
      </c>
      <c r="K23" s="62" t="str">
        <f>'1. Information samples'!K23</f>
        <v>Fabaceae</v>
      </c>
      <c r="L23" s="62" t="str">
        <f>'1. Information samples'!L23</f>
        <v>Fabales</v>
      </c>
      <c r="M23" s="62" t="str">
        <f>'1. Information samples'!M23</f>
        <v>Tree</v>
      </c>
      <c r="N23" s="77">
        <f>AVERAGEIFS('3.1. Gas prod VF'!$AG$13:$AG$1230,'3.1. Gas prod VF'!$L$13:$L$1230,$F23)</f>
        <v>21.275873151871718</v>
      </c>
      <c r="O23" s="77">
        <f>AVERAGEIFS('3.1. Gas prod VF'!$AH$13:$AH$1230,'3.1. Gas prod VF'!$L$13:$L$1230,$F23)</f>
        <v>18.483366556638114</v>
      </c>
      <c r="P23" s="77">
        <f>AVERAGEIFS('3.1. Gas prod VF'!$AI$13:$AI$1230,'3.1. Gas prod VF'!$L$13:$L$1230,$F23)</f>
        <v>39.759239708509831</v>
      </c>
      <c r="Q23" s="77">
        <f>AVERAGEIFS('3.1. Gas prod VF'!$AJ$13:$AJ$1230,'3.1. Gas prod VF'!$L$13:$L$1230,$F23)</f>
        <v>3.1272069199279331</v>
      </c>
      <c r="R23" s="77">
        <f>AVERAGEIFS('3.1. Gas prod VF'!$AK$13:$AK$1230,'3.1. Gas prod VF'!$L$13:$L$1230,$F23)</f>
        <v>3.3355225814663507</v>
      </c>
      <c r="S23" s="77">
        <f>AVERAGEIFS('3.1. Gas prod VF'!$AL$13:$AL$1230,'3.1. Gas prod VF'!$L$13:$L$1230,$F23)</f>
        <v>6.4627295013942847</v>
      </c>
      <c r="T23" s="77">
        <f>AVERAGEIFS('3.1. Gas prod VF'!$AM$13:$AM$1230,'3.1. Gas prod VF'!$L$13:$L$1230,$F23)</f>
        <v>86.52628890077915</v>
      </c>
      <c r="U23" s="77">
        <f>AVERAGEIFS('3.1. Gas prod VF'!$AN$13:$AN$1230,'3.1. Gas prod VF'!$L$13:$L$1230,$F23)</f>
        <v>21.77453947622492</v>
      </c>
      <c r="V23" s="77">
        <f>AVERAGEIFS('3.1. Gas prod VF'!$AO$13:$AO$1230,'3.1. Gas prod VF'!$L$13:$L$1230,$F23)</f>
        <v>2.9336951922041115</v>
      </c>
      <c r="W23" s="77">
        <f>AVERAGEIFS('3.1. Gas prod VF'!$AP$13:$AP$1230,'3.1. Gas prod VF'!$L$13:$L$1230,$F23)</f>
        <v>14.62857142857143</v>
      </c>
      <c r="X23" s="77">
        <f>AVERAGEIFS('3.1. Gas prod VF'!$AQ$13:$AQ$1230,'3.1. Gas prod VF'!$L$13:$L$1230,$F23)</f>
        <v>16.188929118220315</v>
      </c>
      <c r="Y23" s="77">
        <f>AVERAGEIFS('3.1. Gas prod VF'!$AR$13:$AR$1230,'3.1. Gas prod VF'!$L$13:$L$1230,$F23)</f>
        <v>14.064607500482305</v>
      </c>
      <c r="Z23" s="77">
        <f>AVERAGEIFS('3.1. Gas prod VF'!$AS$13:$AS$1230,'3.1. Gas prod VF'!$L$13:$L$1230,$F23)</f>
        <v>69.288349100007252</v>
      </c>
      <c r="AA23" s="77">
        <f>AVERAGEIFS('3.1. Gas prod VF'!$AT$13:$AT$1230,'3.1. Gas prod VF'!$L$13:$L$1230,$F23)</f>
        <v>-0.2340471443601066</v>
      </c>
      <c r="AB23" s="77">
        <f>AVERAGEIFS('3.1. Gas prod VF'!$AU$13:$AU$1230,'3.1. Gas prod VF'!$L$13:$L$1230,$F23)</f>
        <v>7.8061004950773745</v>
      </c>
      <c r="AC23" s="77">
        <f>AVERAGEIFS('3.1. Gas prod VF'!$AV$13:$AV$1230,'3.1. Gas prod VF'!$L$13:$L$1230,$F23)</f>
        <v>38.456232510869079</v>
      </c>
      <c r="AD23" s="20"/>
    </row>
    <row r="24" spans="2:30" x14ac:dyDescent="0.35">
      <c r="B24" s="62">
        <f>'1. Information samples'!B24</f>
        <v>14</v>
      </c>
      <c r="C24" s="62">
        <f>'1. Information samples'!C24</f>
        <v>46041</v>
      </c>
      <c r="D24" s="62" t="str">
        <f>'1. Information samples'!D24</f>
        <v>Genbank</v>
      </c>
      <c r="E24" s="62">
        <f>'1. Information samples'!E24</f>
        <v>27</v>
      </c>
      <c r="F24" s="62" t="str">
        <f>'1. Information samples'!F24</f>
        <v>F251741</v>
      </c>
      <c r="G24" s="62" t="str">
        <f>'1. Information samples'!G24</f>
        <v>CIAT-23734</v>
      </c>
      <c r="H24" s="62" t="str">
        <f>'1. Information samples'!H24</f>
        <v>Dendrolobium</v>
      </c>
      <c r="I24" s="62" t="str">
        <f>'1. Information samples'!I24</f>
        <v>triangulare</v>
      </c>
      <c r="J24" s="62" t="str">
        <f>'1. Information samples'!J24</f>
        <v>Dendrolobium triangulare</v>
      </c>
      <c r="K24" s="62" t="str">
        <f>'1. Information samples'!K24</f>
        <v>Fabaceae</v>
      </c>
      <c r="L24" s="62" t="str">
        <f>'1. Information samples'!L24</f>
        <v>Fabales</v>
      </c>
      <c r="M24" s="62" t="str">
        <f>'1. Information samples'!M24</f>
        <v>Tree</v>
      </c>
      <c r="N24" s="77">
        <f>AVERAGEIFS('3.1. Gas prod VF'!$AG$13:$AG$1230,'3.1. Gas prod VF'!$L$13:$L$1230,$F24)</f>
        <v>25.694512600368387</v>
      </c>
      <c r="O24" s="77">
        <f>AVERAGEIFS('3.1. Gas prod VF'!$AH$13:$AH$1230,'3.1. Gas prod VF'!$L$13:$L$1230,$F24)</f>
        <v>23.486537586907204</v>
      </c>
      <c r="P24" s="77">
        <f>AVERAGEIFS('3.1. Gas prod VF'!$AI$13:$AI$1230,'3.1. Gas prod VF'!$L$13:$L$1230,$F24)</f>
        <v>49.181050187275595</v>
      </c>
      <c r="Q24" s="77">
        <f>AVERAGEIFS('3.1. Gas prod VF'!$AJ$13:$AJ$1230,'3.1. Gas prod VF'!$L$13:$L$1230,$F24)</f>
        <v>3.8828132531647892</v>
      </c>
      <c r="R24" s="77">
        <f>AVERAGEIFS('3.1. Gas prod VF'!$AK$13:$AK$1230,'3.1. Gas prod VF'!$L$13:$L$1230,$F24)</f>
        <v>4.1131229723467264</v>
      </c>
      <c r="S24" s="77">
        <f>AVERAGEIFS('3.1. Gas prod VF'!$AL$13:$AL$1230,'3.1. Gas prod VF'!$L$13:$L$1230,$F24)</f>
        <v>7.9959362255115147</v>
      </c>
      <c r="T24" s="77">
        <f>AVERAGEIFS('3.1. Gas prod VF'!$AM$13:$AM$1230,'3.1. Gas prod VF'!$L$13:$L$1230,$F24)</f>
        <v>103.80050060941649</v>
      </c>
      <c r="U24" s="77">
        <f>AVERAGEIFS('3.1. Gas prod VF'!$AN$13:$AN$1230,'3.1. Gas prod VF'!$L$13:$L$1230,$F24)</f>
        <v>30.162781429258676</v>
      </c>
      <c r="V24" s="77">
        <f>AVERAGEIFS('3.1. Gas prod VF'!$AO$13:$AO$1230,'3.1. Gas prod VF'!$L$13:$L$1230,$F24)</f>
        <v>2.9137677551213299</v>
      </c>
      <c r="W24" s="77">
        <f>AVERAGEIFS('3.1. Gas prod VF'!$AP$13:$AP$1230,'3.1. Gas prod VF'!$L$13:$L$1230,$F24)</f>
        <v>15.125</v>
      </c>
      <c r="X24" s="77">
        <f>AVERAGEIFS('3.1. Gas prod VF'!$AQ$13:$AQ$1230,'3.1. Gas prod VF'!$L$13:$L$1230,$F24)</f>
        <v>16.2614706697</v>
      </c>
      <c r="Y24" s="77">
        <f>AVERAGEIFS('3.1. Gas prod VF'!$AR$13:$AR$1230,'3.1. Gas prod VF'!$L$13:$L$1230,$F24)</f>
        <v>16.876069308755326</v>
      </c>
      <c r="Z24" s="77">
        <f>AVERAGEIFS('3.1. Gas prod VF'!$AS$13:$AS$1230,'3.1. Gas prod VF'!$L$13:$L$1230,$F24)</f>
        <v>60.392512270255928</v>
      </c>
      <c r="AA24" s="77">
        <f>AVERAGEIFS('3.1. Gas prod VF'!$AT$13:$AT$1230,'3.1. Gas prod VF'!$L$13:$L$1230,$F24)</f>
        <v>-0.49750270197219021</v>
      </c>
      <c r="AB24" s="77">
        <f>AVERAGEIFS('3.1. Gas prod VF'!$AU$13:$AU$1230,'3.1. Gas prod VF'!$L$13:$L$1230,$F24)</f>
        <v>9.3665104398766594</v>
      </c>
      <c r="AC24" s="77">
        <f>AVERAGEIFS('3.1. Gas prod VF'!$AV$13:$AV$1230,'3.1. Gas prod VF'!$L$13:$L$1230,$F24)</f>
        <v>33.518889163145495</v>
      </c>
      <c r="AD24" s="20"/>
    </row>
    <row r="25" spans="2:30" x14ac:dyDescent="0.35">
      <c r="B25" s="62">
        <f>'1. Information samples'!B25</f>
        <v>15</v>
      </c>
      <c r="C25" s="62">
        <f>'1. Information samples'!C25</f>
        <v>46041</v>
      </c>
      <c r="D25" s="62" t="str">
        <f>'1. Information samples'!D25</f>
        <v>Genbank</v>
      </c>
      <c r="E25" s="62">
        <f>'1. Information samples'!E25</f>
        <v>27</v>
      </c>
      <c r="F25" s="62" t="str">
        <f>'1. Information samples'!F25</f>
        <v>F251742</v>
      </c>
      <c r="G25" s="62" t="str">
        <f>'1. Information samples'!G25</f>
        <v>CIAT-23932</v>
      </c>
      <c r="H25" s="62" t="str">
        <f>'1. Information samples'!H25</f>
        <v>Dendrolobium</v>
      </c>
      <c r="I25" s="62" t="str">
        <f>'1. Information samples'!I25</f>
        <v>triangulare</v>
      </c>
      <c r="J25" s="62" t="str">
        <f>'1. Information samples'!J25</f>
        <v>Dendrolobium triangulare</v>
      </c>
      <c r="K25" s="62" t="str">
        <f>'1. Information samples'!K25</f>
        <v>Fabaceae</v>
      </c>
      <c r="L25" s="62" t="str">
        <f>'1. Information samples'!L25</f>
        <v>Fabales</v>
      </c>
      <c r="M25" s="62" t="str">
        <f>'1. Information samples'!M25</f>
        <v>Tree</v>
      </c>
      <c r="N25" s="77">
        <f>AVERAGEIFS('3.1. Gas prod VF'!$AG$13:$AG$1230,'3.1. Gas prod VF'!$L$13:$L$1230,$F25)</f>
        <v>24.307012600368388</v>
      </c>
      <c r="O25" s="77">
        <f>AVERAGEIFS('3.1. Gas prod VF'!$AH$13:$AH$1230,'3.1. Gas prod VF'!$L$13:$L$1230,$F25)</f>
        <v>22.236537586907204</v>
      </c>
      <c r="P25" s="77">
        <f>AVERAGEIFS('3.1. Gas prod VF'!$AI$13:$AI$1230,'3.1. Gas prod VF'!$L$13:$L$1230,$F25)</f>
        <v>46.543550187275592</v>
      </c>
      <c r="Q25" s="77">
        <f>AVERAGEIFS('3.1. Gas prod VF'!$AJ$13:$AJ$1230,'3.1. Gas prod VF'!$L$13:$L$1230,$F25)</f>
        <v>3.5600500384200795</v>
      </c>
      <c r="R25" s="77">
        <f>AVERAGEIFS('3.1. Gas prod VF'!$AK$13:$AK$1230,'3.1. Gas prod VF'!$L$13:$L$1230,$F25)</f>
        <v>3.9905122339006653</v>
      </c>
      <c r="S25" s="77">
        <f>AVERAGEIFS('3.1. Gas prod VF'!$AL$13:$AL$1230,'3.1. Gas prod VF'!$L$13:$L$1230,$F25)</f>
        <v>7.550562272320744</v>
      </c>
      <c r="T25" s="77">
        <f>AVERAGEIFS('3.1. Gas prod VF'!$AM$13:$AM$1230,'3.1. Gas prod VF'!$L$13:$L$1230,$F25)</f>
        <v>97.803279022551138</v>
      </c>
      <c r="U25" s="77">
        <f>AVERAGEIFS('3.1. Gas prod VF'!$AN$13:$AN$1230,'3.1. Gas prod VF'!$L$13:$L$1230,$F25)</f>
        <v>22.757163691734565</v>
      </c>
      <c r="V25" s="77">
        <f>AVERAGEIFS('3.1. Gas prod VF'!$AO$13:$AO$1230,'3.1. Gas prod VF'!$L$13:$L$1230,$F25)</f>
        <v>2.3473937162753171</v>
      </c>
      <c r="W25" s="77">
        <f>AVERAGEIFS('3.1. Gas prod VF'!$AP$13:$AP$1230,'3.1. Gas prod VF'!$L$13:$L$1230,$F25)</f>
        <v>14.7</v>
      </c>
      <c r="X25" s="77">
        <f>AVERAGEIFS('3.1. Gas prod VF'!$AQ$13:$AQ$1230,'3.1. Gas prod VF'!$L$13:$L$1230,$F25)</f>
        <v>16.240923955294484</v>
      </c>
      <c r="Y25" s="77">
        <f>AVERAGEIFS('3.1. Gas prod VF'!$AR$13:$AR$1230,'3.1. Gas prod VF'!$L$13:$L$1230,$F25)</f>
        <v>15.866236448399848</v>
      </c>
      <c r="Z25" s="77">
        <f>AVERAGEIFS('3.1. Gas prod VF'!$AS$13:$AS$1230,'3.1. Gas prod VF'!$L$13:$L$1230,$F25)</f>
        <v>73.458867382984721</v>
      </c>
      <c r="AA25" s="77">
        <f>AVERAGEIFS('3.1. Gas prod VF'!$AT$13:$AT$1230,'3.1. Gas prod VF'!$L$13:$L$1230,$F25)</f>
        <v>-0.28418588445779919</v>
      </c>
      <c r="AB25" s="77">
        <f>AVERAGEIFS('3.1. Gas prod VF'!$AU$13:$AU$1230,'3.1. Gas prod VF'!$L$13:$L$1230,$F25)</f>
        <v>8.8060357312226145</v>
      </c>
      <c r="AC25" s="77">
        <f>AVERAGEIFS('3.1. Gas prod VF'!$AV$13:$AV$1230,'3.1. Gas prod VF'!$L$13:$L$1230,$F25)</f>
        <v>40.77094231221713</v>
      </c>
      <c r="AD25" s="20"/>
    </row>
    <row r="26" spans="2:30" x14ac:dyDescent="0.35">
      <c r="B26" s="62">
        <f>'1. Information samples'!B26</f>
        <v>16</v>
      </c>
      <c r="C26" s="62">
        <f>'1. Information samples'!C26</f>
        <v>46041</v>
      </c>
      <c r="D26" s="62" t="str">
        <f>'1. Information samples'!D26</f>
        <v>Genbank</v>
      </c>
      <c r="E26" s="62">
        <f>'1. Information samples'!E26</f>
        <v>27</v>
      </c>
      <c r="F26" s="62" t="str">
        <f>'1. Information samples'!F26</f>
        <v>F251743</v>
      </c>
      <c r="G26" s="62" t="str">
        <f>'1. Information samples'!G26</f>
        <v>CIAT-23933</v>
      </c>
      <c r="H26" s="62" t="str">
        <f>'1. Information samples'!H26</f>
        <v>Dendrolobium</v>
      </c>
      <c r="I26" s="62" t="str">
        <f>'1. Information samples'!I26</f>
        <v>triangulare</v>
      </c>
      <c r="J26" s="62" t="str">
        <f>'1. Information samples'!J26</f>
        <v>Dendrolobium triangulare</v>
      </c>
      <c r="K26" s="62" t="str">
        <f>'1. Information samples'!K26</f>
        <v>Fabaceae</v>
      </c>
      <c r="L26" s="62" t="str">
        <f>'1. Information samples'!L26</f>
        <v>Fabales</v>
      </c>
      <c r="M26" s="62" t="str">
        <f>'1. Information samples'!M26</f>
        <v>Tree</v>
      </c>
      <c r="N26" s="77">
        <f>AVERAGEIFS('3.1. Gas prod VF'!$AG$13:$AG$1230,'3.1. Gas prod VF'!$L$13:$L$1230,$F26)</f>
        <v>21.551230670067358</v>
      </c>
      <c r="O26" s="77">
        <f>AVERAGEIFS('3.1. Gas prod VF'!$AH$13:$AH$1230,'3.1. Gas prod VF'!$L$13:$L$1230,$F26)</f>
        <v>26.011849007809023</v>
      </c>
      <c r="P26" s="77">
        <f>AVERAGEIFS('3.1. Gas prod VF'!$AI$13:$AI$1230,'3.1. Gas prod VF'!$L$13:$L$1230,$F26)</f>
        <v>47.563079677876381</v>
      </c>
      <c r="Q26" s="77">
        <f>AVERAGEIFS('3.1. Gas prod VF'!$AJ$13:$AJ$1230,'3.1. Gas prod VF'!$L$13:$L$1230,$F26)</f>
        <v>3.241420410197112</v>
      </c>
      <c r="R26" s="77">
        <f>AVERAGEIFS('3.1. Gas prod VF'!$AK$13:$AK$1230,'3.1. Gas prod VF'!$L$13:$L$1230,$F26)</f>
        <v>3.7726371516380079</v>
      </c>
      <c r="S26" s="77">
        <f>AVERAGEIFS('3.1. Gas prod VF'!$AL$13:$AL$1230,'3.1. Gas prod VF'!$L$13:$L$1230,$F26)</f>
        <v>7.01405756183512</v>
      </c>
      <c r="T26" s="77">
        <f>AVERAGEIFS('3.1. Gas prod VF'!$AM$13:$AM$1230,'3.1. Gas prod VF'!$L$13:$L$1230,$F26)</f>
        <v>101.41146669624614</v>
      </c>
      <c r="U26" s="77">
        <f>AVERAGEIFS('3.1. Gas prod VF'!$AN$13:$AN$1230,'3.1. Gas prod VF'!$L$13:$L$1230,$F26)</f>
        <v>22.869890104304982</v>
      </c>
      <c r="V26" s="77">
        <f>AVERAGEIFS('3.1. Gas prod VF'!$AO$13:$AO$1230,'3.1. Gas prod VF'!$L$13:$L$1230,$F26)</f>
        <v>2.257007806285142</v>
      </c>
      <c r="W26" s="77">
        <f>AVERAGEIFS('3.1. Gas prod VF'!$AP$13:$AP$1230,'3.1. Gas prod VF'!$L$13:$L$1230,$F26)</f>
        <v>15.033333333333331</v>
      </c>
      <c r="X26" s="77">
        <f>AVERAGEIFS('3.1. Gas prod VF'!$AQ$13:$AQ$1230,'3.1. Gas prod VF'!$L$13:$L$1230,$F26)</f>
        <v>14.651408151671331</v>
      </c>
      <c r="Y26" s="77">
        <f>AVERAGEIFS('3.1. Gas prod VF'!$AR$13:$AR$1230,'3.1. Gas prod VF'!$L$13:$L$1230,$F26)</f>
        <v>14.955189446529275</v>
      </c>
      <c r="Z26" s="77">
        <f>AVERAGEIFS('3.1. Gas prod VF'!$AS$13:$AS$1230,'3.1. Gas prod VF'!$L$13:$L$1230,$F26)</f>
        <v>65.723244183707862</v>
      </c>
      <c r="AA26" s="77">
        <f>AVERAGEIFS('3.1. Gas prod VF'!$AT$13:$AT$1230,'3.1. Gas prod VF'!$L$13:$L$1230,$F26)</f>
        <v>-0.40095202846345229</v>
      </c>
      <c r="AB26" s="77">
        <f>AVERAGEIFS('3.1. Gas prod VF'!$AU$13:$AU$1230,'3.1. Gas prod VF'!$L$13:$L$1230,$F26)</f>
        <v>8.3003888831255903</v>
      </c>
      <c r="AC26" s="77">
        <f>AVERAGEIFS('3.1. Gas prod VF'!$AV$13:$AV$1230,'3.1. Gas prod VF'!$L$13:$L$1230,$F26)</f>
        <v>36.477537602307059</v>
      </c>
      <c r="AD26" s="20"/>
    </row>
    <row r="27" spans="2:30" x14ac:dyDescent="0.35">
      <c r="B27" s="62">
        <f>'1. Information samples'!B27</f>
        <v>17</v>
      </c>
      <c r="C27" s="62">
        <f>'1. Information samples'!C27</f>
        <v>46041</v>
      </c>
      <c r="D27" s="62" t="str">
        <f>'1. Information samples'!D27</f>
        <v>Genbank</v>
      </c>
      <c r="E27" s="62">
        <f>'1. Information samples'!E27</f>
        <v>27</v>
      </c>
      <c r="F27" s="62" t="str">
        <f>'1. Information samples'!F27</f>
        <v>F251744</v>
      </c>
      <c r="G27" s="62" t="str">
        <f>'1. Information samples'!G27</f>
        <v>CIAT-23934</v>
      </c>
      <c r="H27" s="62" t="str">
        <f>'1. Information samples'!H27</f>
        <v>Dendrolobium</v>
      </c>
      <c r="I27" s="62" t="str">
        <f>'1. Information samples'!I27</f>
        <v>triangulare</v>
      </c>
      <c r="J27" s="62" t="str">
        <f>'1. Information samples'!J27</f>
        <v>Dendrolobium triangulare</v>
      </c>
      <c r="K27" s="62" t="str">
        <f>'1. Information samples'!K27</f>
        <v>Fabaceae</v>
      </c>
      <c r="L27" s="62" t="str">
        <f>'1. Information samples'!L27</f>
        <v>Fabales</v>
      </c>
      <c r="M27" s="62" t="str">
        <f>'1. Information samples'!M27</f>
        <v>Tree</v>
      </c>
      <c r="N27" s="77">
        <f>AVERAGEIFS('3.1. Gas prod VF'!$AG$13:$AG$1230,'3.1. Gas prod VF'!$L$13:$L$1230,$F27)</f>
        <v>27.057012600368388</v>
      </c>
      <c r="O27" s="77">
        <f>AVERAGEIFS('3.1. Gas prod VF'!$AH$13:$AH$1230,'3.1. Gas prod VF'!$L$13:$L$1230,$F27)</f>
        <v>23.674037586907204</v>
      </c>
      <c r="P27" s="77">
        <f>AVERAGEIFS('3.1. Gas prod VF'!$AI$13:$AI$1230,'3.1. Gas prod VF'!$L$13:$L$1230,$F27)</f>
        <v>50.731050187275592</v>
      </c>
      <c r="Q27" s="77">
        <f>AVERAGEIFS('3.1. Gas prod VF'!$AJ$13:$AJ$1230,'3.1. Gas prod VF'!$L$13:$L$1230,$F27)</f>
        <v>3.8877055708603305</v>
      </c>
      <c r="R27" s="77">
        <f>AVERAGEIFS('3.1. Gas prod VF'!$AK$13:$AK$1230,'3.1. Gas prod VF'!$L$13:$L$1230,$F27)</f>
        <v>4.063246025055256</v>
      </c>
      <c r="S27" s="77">
        <f>AVERAGEIFS('3.1. Gas prod VF'!$AL$13:$AL$1230,'3.1. Gas prod VF'!$L$13:$L$1230,$F27)</f>
        <v>7.950951595915587</v>
      </c>
      <c r="T27" s="77">
        <f>AVERAGEIFS('3.1. Gas prod VF'!$AM$13:$AM$1230,'3.1. Gas prod VF'!$L$13:$L$1230,$F27)</f>
        <v>107.67005652306291</v>
      </c>
      <c r="U27" s="77">
        <f>AVERAGEIFS('3.1. Gas prod VF'!$AN$13:$AN$1230,'3.1. Gas prod VF'!$L$13:$L$1230,$F27)</f>
        <v>29.855599822686859</v>
      </c>
      <c r="V27" s="77">
        <f>AVERAGEIFS('3.1. Gas prod VF'!$AO$13:$AO$1230,'3.1. Gas prod VF'!$L$13:$L$1230,$F27)</f>
        <v>2.7959990184678536</v>
      </c>
      <c r="W27" s="77">
        <f>AVERAGEIFS('3.1. Gas prod VF'!$AP$13:$AP$1230,'3.1. Gas prod VF'!$L$13:$L$1230,$F27)</f>
        <v>14.45</v>
      </c>
      <c r="X27" s="77">
        <f>AVERAGEIFS('3.1. Gas prod VF'!$AQ$13:$AQ$1230,'3.1. Gas prod VF'!$L$13:$L$1230,$F27)</f>
        <v>15.711598545736813</v>
      </c>
      <c r="Y27" s="77">
        <f>AVERAGEIFS('3.1. Gas prod VF'!$AR$13:$AR$1230,'3.1. Gas prod VF'!$L$13:$L$1230,$F27)</f>
        <v>16.874750721757312</v>
      </c>
      <c r="Z27" s="77">
        <f>AVERAGEIFS('3.1. Gas prod VF'!$AS$13:$AS$1230,'3.1. Gas prod VF'!$L$13:$L$1230,$F27)</f>
        <v>58.417829117732232</v>
      </c>
      <c r="AA27" s="77">
        <f>AVERAGEIFS('3.1. Gas prod VF'!$AT$13:$AT$1230,'3.1. Gas prod VF'!$L$13:$L$1230,$F27)</f>
        <v>-0.15912785956123876</v>
      </c>
      <c r="AB27" s="77">
        <f>AVERAGEIFS('3.1. Gas prod VF'!$AU$13:$AU$1230,'3.1. Gas prod VF'!$L$13:$L$1230,$F27)</f>
        <v>9.3657786012798372</v>
      </c>
      <c r="AC27" s="77">
        <f>AVERAGEIFS('3.1. Gas prod VF'!$AV$13:$AV$1230,'3.1. Gas prod VF'!$L$13:$L$1230,$F27)</f>
        <v>32.422905849426463</v>
      </c>
      <c r="AD27" s="20"/>
    </row>
    <row r="28" spans="2:30" x14ac:dyDescent="0.35">
      <c r="B28" s="62">
        <f>'1. Information samples'!B28</f>
        <v>18</v>
      </c>
      <c r="C28" s="62">
        <f>'1. Information samples'!C28</f>
        <v>46041</v>
      </c>
      <c r="D28" s="62" t="str">
        <f>'1. Information samples'!D28</f>
        <v>Genbank</v>
      </c>
      <c r="E28" s="62">
        <f>'1. Information samples'!E28</f>
        <v>27</v>
      </c>
      <c r="F28" s="62" t="str">
        <f>'1. Information samples'!F28</f>
        <v>F251745</v>
      </c>
      <c r="G28" s="62" t="str">
        <f>'1. Information samples'!G28</f>
        <v>CIAT-23936</v>
      </c>
      <c r="H28" s="62" t="str">
        <f>'1. Information samples'!H28</f>
        <v>Dendrolobium</v>
      </c>
      <c r="I28" s="62" t="str">
        <f>'1. Information samples'!I28</f>
        <v>triangulare</v>
      </c>
      <c r="J28" s="62" t="str">
        <f>'1. Information samples'!J28</f>
        <v>Dendrolobium triangulare</v>
      </c>
      <c r="K28" s="62" t="str">
        <f>'1. Information samples'!K28</f>
        <v>Fabaceae</v>
      </c>
      <c r="L28" s="62" t="str">
        <f>'1. Information samples'!L28</f>
        <v>Fabales</v>
      </c>
      <c r="M28" s="62" t="str">
        <f>'1. Information samples'!M28</f>
        <v>Tree</v>
      </c>
      <c r="N28" s="77">
        <f>AVERAGEIFS('3.1. Gas prod VF'!$AG$13:$AG$1230,'3.1. Gas prod VF'!$L$13:$L$1230,$F28)</f>
        <v>21.561587437586006</v>
      </c>
      <c r="O28" s="77">
        <f>AVERAGEIFS('3.1. Gas prod VF'!$AH$13:$AH$1230,'3.1. Gas prod VF'!$L$13:$L$1230,$F28)</f>
        <v>20.769080842352398</v>
      </c>
      <c r="P28" s="77">
        <f>AVERAGEIFS('3.1. Gas prod VF'!$AI$13:$AI$1230,'3.1. Gas prod VF'!$L$13:$L$1230,$F28)</f>
        <v>42.330668279938401</v>
      </c>
      <c r="Q28" s="77">
        <f>AVERAGEIFS('3.1. Gas prod VF'!$AJ$13:$AJ$1230,'3.1. Gas prod VF'!$L$13:$L$1230,$F28)</f>
        <v>3.0643893152713795</v>
      </c>
      <c r="R28" s="77">
        <f>AVERAGEIFS('3.1. Gas prod VF'!$AK$13:$AK$1230,'3.1. Gas prod VF'!$L$13:$L$1230,$F28)</f>
        <v>3.6460866195830013</v>
      </c>
      <c r="S28" s="77">
        <f>AVERAGEIFS('3.1. Gas prod VF'!$AL$13:$AL$1230,'3.1. Gas prod VF'!$L$13:$L$1230,$F28)</f>
        <v>6.7104759348543803</v>
      </c>
      <c r="T28" s="77">
        <f>AVERAGEIFS('3.1. Gas prod VF'!$AM$13:$AM$1230,'3.1. Gas prod VF'!$L$13:$L$1230,$F28)</f>
        <v>89.966339260842105</v>
      </c>
      <c r="U28" s="77">
        <f>AVERAGEIFS('3.1. Gas prod VF'!$AN$13:$AN$1230,'3.1. Gas prod VF'!$L$13:$L$1230,$F28)</f>
        <v>21.509322157268951</v>
      </c>
      <c r="V28" s="77">
        <f>AVERAGEIFS('3.1. Gas prod VF'!$AO$13:$AO$1230,'3.1. Gas prod VF'!$L$13:$L$1230,$F28)</f>
        <v>2.4079955945312728</v>
      </c>
      <c r="W28" s="77">
        <f>AVERAGEIFS('3.1. Gas prod VF'!$AP$13:$AP$1230,'3.1. Gas prod VF'!$L$13:$L$1230,$F28)</f>
        <v>14.271428571428572</v>
      </c>
      <c r="X28" s="77">
        <f>AVERAGEIFS('3.1. Gas prod VF'!$AQ$13:$AQ$1230,'3.1. Gas prod VF'!$L$13:$L$1230,$F28)</f>
        <v>15.866235417757931</v>
      </c>
      <c r="Y28" s="77">
        <f>AVERAGEIFS('3.1. Gas prod VF'!$AR$13:$AR$1230,'3.1. Gas prod VF'!$L$13:$L$1230,$F28)</f>
        <v>14.262016245976309</v>
      </c>
      <c r="Z28" s="77">
        <f>AVERAGEIFS('3.1. Gas prod VF'!$AS$13:$AS$1230,'3.1. Gas prod VF'!$L$13:$L$1230,$F28)</f>
        <v>69.63117182915218</v>
      </c>
      <c r="AA28" s="77">
        <f>AVERAGEIFS('3.1. Gas prod VF'!$AT$13:$AT$1230,'3.1. Gas prod VF'!$L$13:$L$1230,$F28)</f>
        <v>-0.279533321658956</v>
      </c>
      <c r="AB28" s="77">
        <f>AVERAGEIFS('3.1. Gas prod VF'!$AU$13:$AU$1230,'3.1. Gas prod VF'!$L$13:$L$1230,$F28)</f>
        <v>7.9156657642027666</v>
      </c>
      <c r="AC28" s="77">
        <f>AVERAGEIFS('3.1. Gas prod VF'!$AV$13:$AV$1230,'3.1. Gas prod VF'!$L$13:$L$1230,$F28)</f>
        <v>38.646505056733588</v>
      </c>
      <c r="AD28" s="20"/>
    </row>
    <row r="29" spans="2:30" x14ac:dyDescent="0.35">
      <c r="B29" s="62">
        <f>'1. Information samples'!B29</f>
        <v>19</v>
      </c>
      <c r="C29" s="62">
        <f>'1. Information samples'!C29</f>
        <v>46041</v>
      </c>
      <c r="D29" s="62" t="str">
        <f>'1. Information samples'!D29</f>
        <v>Genbank</v>
      </c>
      <c r="E29" s="62">
        <f>'1. Information samples'!E29</f>
        <v>27</v>
      </c>
      <c r="F29" s="62" t="str">
        <f>'1. Information samples'!F29</f>
        <v>F251746</v>
      </c>
      <c r="G29" s="62" t="str">
        <f>'1. Information samples'!G29</f>
        <v>CIAT-33119</v>
      </c>
      <c r="H29" s="62" t="str">
        <f>'1. Information samples'!H29</f>
        <v>Dendrolobium</v>
      </c>
      <c r="I29" s="62" t="str">
        <f>'1. Information samples'!I29</f>
        <v>triangulare</v>
      </c>
      <c r="J29" s="62" t="str">
        <f>'1. Information samples'!J29</f>
        <v>Dendrolobium triangulare</v>
      </c>
      <c r="K29" s="62" t="str">
        <f>'1. Information samples'!K29</f>
        <v>Fabaceae</v>
      </c>
      <c r="L29" s="62" t="str">
        <f>'1. Information samples'!L29</f>
        <v>Fabales</v>
      </c>
      <c r="M29" s="62" t="str">
        <f>'1. Information samples'!M29</f>
        <v>Tree</v>
      </c>
      <c r="N29" s="77">
        <f>AVERAGEIFS('3.1. Gas prod VF'!$AG$13:$AG$1230,'3.1. Gas prod VF'!$L$13:$L$1230,$F29)</f>
        <v>26.734353887209494</v>
      </c>
      <c r="O29" s="77">
        <f>AVERAGEIFS('3.1. Gas prod VF'!$AH$13:$AH$1230,'3.1. Gas prod VF'!$L$13:$L$1230,$F29)</f>
        <v>24.645805182945992</v>
      </c>
      <c r="P29" s="77">
        <f>AVERAGEIFS('3.1. Gas prod VF'!$AI$13:$AI$1230,'3.1. Gas prod VF'!$L$13:$L$1230,$F29)</f>
        <v>51.380159070155486</v>
      </c>
      <c r="Q29" s="77">
        <f>AVERAGEIFS('3.1. Gas prod VF'!$AJ$13:$AJ$1230,'3.1. Gas prod VF'!$L$13:$L$1230,$F29)</f>
        <v>3.914468579132182</v>
      </c>
      <c r="R29" s="77">
        <f>AVERAGEIFS('3.1. Gas prod VF'!$AK$13:$AK$1230,'3.1. Gas prod VF'!$L$13:$L$1230,$F29)</f>
        <v>4.4391303449052142</v>
      </c>
      <c r="S29" s="77">
        <f>AVERAGEIFS('3.1. Gas prod VF'!$AL$13:$AL$1230,'3.1. Gas prod VF'!$L$13:$L$1230,$F29)</f>
        <v>8.3535989240373976</v>
      </c>
      <c r="T29" s="77">
        <f>AVERAGEIFS('3.1. Gas prod VF'!$AM$13:$AM$1230,'3.1. Gas prod VF'!$L$13:$L$1230,$F29)</f>
        <v>107.78495089230525</v>
      </c>
      <c r="U29" s="77">
        <f>AVERAGEIFS('3.1. Gas prod VF'!$AN$13:$AN$1230,'3.1. Gas prod VF'!$L$13:$L$1230,$F29)</f>
        <v>29.755013413757315</v>
      </c>
      <c r="V29" s="77">
        <f>AVERAGEIFS('3.1. Gas prod VF'!$AO$13:$AO$1230,'3.1. Gas prod VF'!$L$13:$L$1230,$F29)</f>
        <v>2.7537735053051335</v>
      </c>
      <c r="W29" s="77">
        <f>AVERAGEIFS('3.1. Gas prod VF'!$AP$13:$AP$1230,'3.1. Gas prod VF'!$L$13:$L$1230,$F29)</f>
        <v>14.65</v>
      </c>
      <c r="X29" s="77">
        <f>AVERAGEIFS('3.1. Gas prod VF'!$AQ$13:$AQ$1230,'3.1. Gas prod VF'!$L$13:$L$1230,$F29)</f>
        <v>16.265525538292572</v>
      </c>
      <c r="Y29" s="77">
        <f>AVERAGEIFS('3.1. Gas prod VF'!$AR$13:$AR$1230,'3.1. Gas prod VF'!$L$13:$L$1230,$F29)</f>
        <v>17.524104376169497</v>
      </c>
      <c r="Z29" s="77">
        <f>AVERAGEIFS('3.1. Gas prod VF'!$AS$13:$AS$1230,'3.1. Gas prod VF'!$L$13:$L$1230,$F29)</f>
        <v>60.367368424170706</v>
      </c>
      <c r="AA29" s="77">
        <f>AVERAGEIFS('3.1. Gas prod VF'!$AT$13:$AT$1230,'3.1. Gas prod VF'!$L$13:$L$1230,$F29)</f>
        <v>88.570673554208852</v>
      </c>
      <c r="AB29" s="77">
        <f>AVERAGEIFS('3.1. Gas prod VF'!$AU$13:$AU$1230,'3.1. Gas prod VF'!$L$13:$L$1230,$F29)</f>
        <v>9.72618111397089</v>
      </c>
      <c r="AC29" s="77">
        <f>AVERAGEIFS('3.1. Gas prod VF'!$AV$13:$AV$1230,'3.1. Gas prod VF'!$L$13:$L$1230,$F29)</f>
        <v>33.50493389355357</v>
      </c>
      <c r="AD29" s="20"/>
    </row>
    <row r="30" spans="2:30" x14ac:dyDescent="0.35">
      <c r="B30" s="62">
        <f>'1. Information samples'!B30</f>
        <v>20</v>
      </c>
      <c r="C30" s="62">
        <f>'1. Information samples'!C30</f>
        <v>46041</v>
      </c>
      <c r="D30" s="62" t="str">
        <f>'1. Information samples'!D30</f>
        <v>Genbank</v>
      </c>
      <c r="E30" s="62">
        <f>'1. Information samples'!E30</f>
        <v>27</v>
      </c>
      <c r="F30" s="62" t="str">
        <f>'1. Information samples'!F30</f>
        <v>F251747</v>
      </c>
      <c r="G30" s="62" t="str">
        <f>'1. Information samples'!G30</f>
        <v>CIAT-33383</v>
      </c>
      <c r="H30" s="62" t="str">
        <f>'1. Information samples'!H30</f>
        <v>Dendrolobium</v>
      </c>
      <c r="I30" s="62" t="str">
        <f>'1. Information samples'!I30</f>
        <v>sp.</v>
      </c>
      <c r="J30" s="62" t="str">
        <f>'1. Information samples'!J30</f>
        <v>Dendrolobium sp.</v>
      </c>
      <c r="K30" s="62" t="str">
        <f>'1. Information samples'!K30</f>
        <v>Fabaceae</v>
      </c>
      <c r="L30" s="62" t="str">
        <f>'1. Information samples'!L30</f>
        <v>Fabales</v>
      </c>
      <c r="M30" s="62" t="str">
        <f>'1. Information samples'!M30</f>
        <v>Tree</v>
      </c>
      <c r="N30" s="77">
        <f>AVERAGEIFS('3.1. Gas prod VF'!$AG$13:$AG$1230,'3.1. Gas prod VF'!$L$13:$L$1230,$F30)</f>
        <v>23.557012600368388</v>
      </c>
      <c r="O30" s="77">
        <f>AVERAGEIFS('3.1. Gas prod VF'!$AH$13:$AH$1230,'3.1. Gas prod VF'!$L$13:$L$1230,$F30)</f>
        <v>25.674037586907204</v>
      </c>
      <c r="P30" s="77">
        <f>AVERAGEIFS('3.1. Gas prod VF'!$AI$13:$AI$1230,'3.1. Gas prod VF'!$L$13:$L$1230,$F30)</f>
        <v>49.231050187275592</v>
      </c>
      <c r="Q30" s="77">
        <f>AVERAGEIFS('3.1. Gas prod VF'!$AJ$13:$AJ$1230,'3.1. Gas prod VF'!$L$13:$L$1230,$F30)</f>
        <v>3.3791071636219971</v>
      </c>
      <c r="R30" s="77">
        <f>AVERAGEIFS('3.1. Gas prod VF'!$AK$13:$AK$1230,'3.1. Gas prod VF'!$L$13:$L$1230,$F30)</f>
        <v>4.4694734676284664</v>
      </c>
      <c r="S30" s="77">
        <f>AVERAGEIFS('3.1. Gas prod VF'!$AL$13:$AL$1230,'3.1. Gas prod VF'!$L$13:$L$1230,$F30)</f>
        <v>7.8485806312504627</v>
      </c>
      <c r="T30" s="77">
        <f>AVERAGEIFS('3.1. Gas prod VF'!$AM$13:$AM$1230,'3.1. Gas prod VF'!$L$13:$L$1230,$F30)</f>
        <v>103.95933660562361</v>
      </c>
      <c r="U30" s="77">
        <f>AVERAGEIFS('3.1. Gas prod VF'!$AN$13:$AN$1230,'3.1. Gas prod VF'!$L$13:$L$1230,$F30)</f>
        <v>30.61755447217374</v>
      </c>
      <c r="V30" s="77">
        <f>AVERAGEIFS('3.1. Gas prod VF'!$AO$13:$AO$1230,'3.1. Gas prod VF'!$L$13:$L$1230,$F30)</f>
        <v>2.9435041047671531</v>
      </c>
      <c r="W30" s="77">
        <f>AVERAGEIFS('3.1. Gas prod VF'!$AP$13:$AP$1230,'3.1. Gas prod VF'!$L$13:$L$1230,$F30)</f>
        <v>14.324999999999999</v>
      </c>
      <c r="X30" s="77">
        <f>AVERAGEIFS('3.1. Gas prod VF'!$AQ$13:$AQ$1230,'3.1. Gas prod VF'!$L$13:$L$1230,$F30)</f>
        <v>15.938252733100263</v>
      </c>
      <c r="Y30" s="77">
        <f>AVERAGEIFS('3.1. Gas prod VF'!$AR$13:$AR$1230,'3.1. Gas prod VF'!$L$13:$L$1230,$F30)</f>
        <v>16.573596279480189</v>
      </c>
      <c r="Z30" s="77">
        <f>AVERAGEIFS('3.1. Gas prod VF'!$AS$13:$AS$1230,'3.1. Gas prod VF'!$L$13:$L$1230,$F30)</f>
        <v>56.509513170044656</v>
      </c>
      <c r="AA30" s="77">
        <f>AVERAGEIFS('3.1. Gas prod VF'!$AT$13:$AT$1230,'3.1. Gas prod VF'!$L$13:$L$1230,$F30)</f>
        <v>-0.64806721477970564</v>
      </c>
      <c r="AB30" s="77">
        <f>AVERAGEIFS('3.1. Gas prod VF'!$AU$13:$AU$1230,'3.1. Gas prod VF'!$L$13:$L$1230,$F30)</f>
        <v>9.1986326755315648</v>
      </c>
      <c r="AC30" s="77">
        <f>AVERAGEIFS('3.1. Gas prod VF'!$AV$13:$AV$1230,'3.1. Gas prod VF'!$L$13:$L$1230,$F30)</f>
        <v>31.363757482613021</v>
      </c>
      <c r="AD30" s="20"/>
    </row>
    <row r="31" spans="2:30" x14ac:dyDescent="0.35">
      <c r="B31" s="62">
        <f>'1. Information samples'!B31</f>
        <v>21</v>
      </c>
      <c r="C31" s="62">
        <f>'1. Information samples'!C31</f>
        <v>46041</v>
      </c>
      <c r="D31" s="62" t="str">
        <f>'1. Information samples'!D31</f>
        <v>Genbank</v>
      </c>
      <c r="E31" s="62">
        <f>'1. Information samples'!E31</f>
        <v>27</v>
      </c>
      <c r="F31" s="62" t="str">
        <f>'1. Information samples'!F31</f>
        <v>F251748</v>
      </c>
      <c r="G31" s="62" t="str">
        <f>'1. Information samples'!G31</f>
        <v>CIAT-33402</v>
      </c>
      <c r="H31" s="62" t="str">
        <f>'1. Information samples'!H31</f>
        <v>Dendrolobium</v>
      </c>
      <c r="I31" s="62" t="str">
        <f>'1. Information samples'!I31</f>
        <v>triangulare</v>
      </c>
      <c r="J31" s="62" t="str">
        <f>'1. Information samples'!J31</f>
        <v>Dendrolobium triangulare</v>
      </c>
      <c r="K31" s="62" t="str">
        <f>'1. Information samples'!K31</f>
        <v>Fabaceae</v>
      </c>
      <c r="L31" s="62" t="str">
        <f>'1. Information samples'!L31</f>
        <v>Fabales</v>
      </c>
      <c r="M31" s="62" t="str">
        <f>'1. Information samples'!M31</f>
        <v>Tree</v>
      </c>
      <c r="N31" s="77">
        <f>AVERAGEIFS('3.1. Gas prod VF'!$AG$13:$AG$1230,'3.1. Gas prod VF'!$L$13:$L$1230,$F31)</f>
        <v>24.807012600368388</v>
      </c>
      <c r="O31" s="77">
        <f>AVERAGEIFS('3.1. Gas prod VF'!$AH$13:$AH$1230,'3.1. Gas prod VF'!$L$13:$L$1230,$F31)</f>
        <v>26.861537586907204</v>
      </c>
      <c r="P31" s="77">
        <f>AVERAGEIFS('3.1. Gas prod VF'!$AI$13:$AI$1230,'3.1. Gas prod VF'!$L$13:$L$1230,$F31)</f>
        <v>51.668550187275592</v>
      </c>
      <c r="Q31" s="77">
        <f>AVERAGEIFS('3.1. Gas prod VF'!$AJ$13:$AJ$1230,'3.1. Gas prod VF'!$L$13:$L$1230,$F31)</f>
        <v>3.573565892790711</v>
      </c>
      <c r="R31" s="77">
        <f>AVERAGEIFS('3.1. Gas prod VF'!$AK$13:$AK$1230,'3.1. Gas prod VF'!$L$13:$L$1230,$F31)</f>
        <v>4.629600555671872</v>
      </c>
      <c r="S31" s="77">
        <f>AVERAGEIFS('3.1. Gas prod VF'!$AL$13:$AL$1230,'3.1. Gas prod VF'!$L$13:$L$1230,$F31)</f>
        <v>8.2031664484625839</v>
      </c>
      <c r="T31" s="77">
        <f>AVERAGEIFS('3.1. Gas prod VF'!$AM$13:$AM$1230,'3.1. Gas prod VF'!$L$13:$L$1230,$F31)</f>
        <v>109.13029026180409</v>
      </c>
      <c r="U31" s="77">
        <f>AVERAGEIFS('3.1. Gas prod VF'!$AN$13:$AN$1230,'3.1. Gas prod VF'!$L$13:$L$1230,$F31)</f>
        <v>29.726079013903234</v>
      </c>
      <c r="V31" s="77">
        <f>AVERAGEIFS('3.1. Gas prod VF'!$AO$13:$AO$1230,'3.1. Gas prod VF'!$L$13:$L$1230,$F31)</f>
        <v>2.7421738973420422</v>
      </c>
      <c r="W31" s="77">
        <f>AVERAGEIFS('3.1. Gas prod VF'!$AP$13:$AP$1230,'3.1. Gas prod VF'!$L$13:$L$1230,$F31)</f>
        <v>14.387500000000003</v>
      </c>
      <c r="X31" s="77">
        <f>AVERAGEIFS('3.1. Gas prod VF'!$AQ$13:$AQ$1230,'3.1. Gas prod VF'!$L$13:$L$1230,$F31)</f>
        <v>15.879985843948884</v>
      </c>
      <c r="Y31" s="77">
        <f>AVERAGEIFS('3.1. Gas prod VF'!$AR$13:$AR$1230,'3.1. Gas prod VF'!$L$13:$L$1230,$F31)</f>
        <v>17.326120590017073</v>
      </c>
      <c r="Z31" s="77">
        <f>AVERAGEIFS('3.1. Gas prod VF'!$AS$13:$AS$1230,'3.1. Gas prod VF'!$L$13:$L$1230,$F31)</f>
        <v>60.274061226079823</v>
      </c>
      <c r="AA31" s="77">
        <f>AVERAGEIFS('3.1. Gas prod VF'!$AT$13:$AT$1230,'3.1. Gas prod VF'!$L$13:$L$1230,$F31)</f>
        <v>-0.60671678528798334</v>
      </c>
      <c r="AB31" s="77">
        <f>AVERAGEIFS('3.1. Gas prod VF'!$AU$13:$AU$1230,'3.1. Gas prod VF'!$L$13:$L$1230,$F31)</f>
        <v>9.616296687331273</v>
      </c>
      <c r="AC31" s="77">
        <f>AVERAGEIFS('3.1. Gas prod VF'!$AV$13:$AV$1230,'3.1. Gas prod VF'!$L$13:$L$1230,$F31)</f>
        <v>33.453146784301744</v>
      </c>
      <c r="AD31" s="20"/>
    </row>
    <row r="32" spans="2:30" x14ac:dyDescent="0.35">
      <c r="B32" s="62">
        <f>'1. Information samples'!B32</f>
        <v>22</v>
      </c>
      <c r="C32" s="62">
        <f>'1. Information samples'!C32</f>
        <v>46041</v>
      </c>
      <c r="D32" s="62" t="str">
        <f>'1. Information samples'!D32</f>
        <v>Genbank</v>
      </c>
      <c r="E32" s="62">
        <f>'1. Information samples'!E32</f>
        <v>27</v>
      </c>
      <c r="F32" s="62" t="str">
        <f>'1. Information samples'!F32</f>
        <v>F251749</v>
      </c>
      <c r="G32" s="62" t="str">
        <f>'1. Information samples'!G32</f>
        <v>CIAT-33508</v>
      </c>
      <c r="H32" s="62" t="str">
        <f>'1. Information samples'!H32</f>
        <v>Dendrolobium</v>
      </c>
      <c r="I32" s="62" t="str">
        <f>'1. Information samples'!I32</f>
        <v>umbellatum</v>
      </c>
      <c r="J32" s="62" t="str">
        <f>'1. Information samples'!J32</f>
        <v>Dendrolobium umbellatum</v>
      </c>
      <c r="K32" s="62" t="str">
        <f>'1. Information samples'!K32</f>
        <v>Fabaceae</v>
      </c>
      <c r="L32" s="62" t="str">
        <f>'1. Information samples'!L32</f>
        <v>Fabales</v>
      </c>
      <c r="M32" s="62" t="str">
        <f>'1. Information samples'!M32</f>
        <v>Tree</v>
      </c>
      <c r="N32" s="77">
        <f>AVERAGEIFS('3.1. Gas prod VF'!$AG$13:$AG$1230,'3.1. Gas prod VF'!$L$13:$L$1230,$F32)</f>
        <v>27.801588724460856</v>
      </c>
      <c r="O32" s="77">
        <f>AVERAGEIFS('3.1. Gas prod VF'!$AH$13:$AH$1230,'3.1. Gas prod VF'!$L$13:$L$1230,$F32)</f>
        <v>29.011404120806425</v>
      </c>
      <c r="P32" s="77">
        <f>AVERAGEIFS('3.1. Gas prod VF'!$AI$13:$AI$1230,'3.1. Gas prod VF'!$L$13:$L$1230,$F32)</f>
        <v>56.812992845267281</v>
      </c>
      <c r="Q32" s="77">
        <f>AVERAGEIFS('3.1. Gas prod VF'!$AJ$13:$AJ$1230,'3.1. Gas prod VF'!$L$13:$L$1230,$F32)</f>
        <v>4.0913169090523835</v>
      </c>
      <c r="R32" s="77">
        <f>AVERAGEIFS('3.1. Gas prod VF'!$AK$13:$AK$1230,'3.1. Gas prod VF'!$L$13:$L$1230,$F32)</f>
        <v>5.5242292708887684</v>
      </c>
      <c r="S32" s="77">
        <f>AVERAGEIFS('3.1. Gas prod VF'!$AL$13:$AL$1230,'3.1. Gas prod VF'!$L$13:$L$1230,$F32)</f>
        <v>9.6155461799411519</v>
      </c>
      <c r="T32" s="77">
        <f>AVERAGEIFS('3.1. Gas prod VF'!$AM$13:$AM$1230,'3.1. Gas prod VF'!$L$13:$L$1230,$F32)</f>
        <v>121.0948780516773</v>
      </c>
      <c r="U32" s="77">
        <f>AVERAGEIFS('3.1. Gas prod VF'!$AN$13:$AN$1230,'3.1. Gas prod VF'!$L$13:$L$1230,$F32)</f>
        <v>31.78123604261566</v>
      </c>
      <c r="V32" s="77">
        <f>AVERAGEIFS('3.1. Gas prod VF'!$AO$13:$AO$1230,'3.1. Gas prod VF'!$L$13:$L$1230,$F32)</f>
        <v>2.6287806433018686</v>
      </c>
      <c r="W32" s="77">
        <f>AVERAGEIFS('3.1. Gas prod VF'!$AP$13:$AP$1230,'3.1. Gas prod VF'!$L$13:$L$1230,$F32)</f>
        <v>14.742857142857142</v>
      </c>
      <c r="X32" s="77">
        <f>AVERAGEIFS('3.1. Gas prod VF'!$AQ$13:$AQ$1230,'3.1. Gas prod VF'!$L$13:$L$1230,$F32)</f>
        <v>16.938788978524844</v>
      </c>
      <c r="Y32" s="77">
        <f>AVERAGEIFS('3.1. Gas prod VF'!$AR$13:$AR$1230,'3.1. Gas prod VF'!$L$13:$L$1230,$F32)</f>
        <v>20.495164618683777</v>
      </c>
      <c r="Z32" s="77">
        <f>AVERAGEIFS('3.1. Gas prod VF'!$AS$13:$AS$1230,'3.1. Gas prod VF'!$L$13:$L$1230,$F32)</f>
        <v>67.342875716607224</v>
      </c>
      <c r="AA32" s="77">
        <f>AVERAGEIFS('3.1. Gas prod VF'!$AT$13:$AT$1230,'3.1. Gas prod VF'!$L$13:$L$1230,$F32)</f>
        <v>-7.9366685072666004E-2</v>
      </c>
      <c r="AB32" s="77">
        <f>AVERAGEIFS('3.1. Gas prod VF'!$AU$13:$AU$1230,'3.1. Gas prod VF'!$L$13:$L$1230,$F32)</f>
        <v>11.375170950992656</v>
      </c>
      <c r="AC32" s="77">
        <f>AVERAGEIFS('3.1. Gas prod VF'!$AV$13:$AV$1230,'3.1. Gas prod VF'!$L$13:$L$1230,$F32)</f>
        <v>37.376461124373009</v>
      </c>
      <c r="AD32" s="20"/>
    </row>
    <row r="33" spans="2:30" x14ac:dyDescent="0.35">
      <c r="B33" s="62">
        <f>'1. Information samples'!B33</f>
        <v>23</v>
      </c>
      <c r="C33" s="62">
        <f>'1. Information samples'!C33</f>
        <v>46041</v>
      </c>
      <c r="D33" s="62" t="str">
        <f>'1. Information samples'!D33</f>
        <v>Genbank</v>
      </c>
      <c r="E33" s="62">
        <f>'1. Information samples'!E33</f>
        <v>27</v>
      </c>
      <c r="F33" s="62" t="str">
        <f>'1. Information samples'!F33</f>
        <v>F251750</v>
      </c>
      <c r="G33" s="62" t="str">
        <f>'1. Information samples'!G33</f>
        <v>CIAT-33515</v>
      </c>
      <c r="H33" s="62" t="str">
        <f>'1. Information samples'!H33</f>
        <v>Dendrolobium</v>
      </c>
      <c r="I33" s="62" t="str">
        <f>'1. Information samples'!I33</f>
        <v>triangulare</v>
      </c>
      <c r="J33" s="62" t="str">
        <f>'1. Information samples'!J33</f>
        <v>Dendrolobium triangulare</v>
      </c>
      <c r="K33" s="62" t="str">
        <f>'1. Information samples'!K33</f>
        <v>Fabaceae</v>
      </c>
      <c r="L33" s="62" t="str">
        <f>'1. Information samples'!L33</f>
        <v>Fabales</v>
      </c>
      <c r="M33" s="62" t="str">
        <f>'1. Information samples'!M33</f>
        <v>Tree</v>
      </c>
      <c r="N33" s="77">
        <f>AVERAGEIFS('3.1. Gas prod VF'!$AG$13:$AG$1230,'3.1. Gas prod VF'!$L$13:$L$1230,$F33)</f>
        <v>21.211023556584149</v>
      </c>
      <c r="O33" s="77">
        <f>AVERAGEIFS('3.1. Gas prod VF'!$AH$13:$AH$1230,'3.1. Gas prod VF'!$L$13:$L$1230,$F33)</f>
        <v>20.627892832672053</v>
      </c>
      <c r="P33" s="77">
        <f>AVERAGEIFS('3.1. Gas prod VF'!$AI$13:$AI$1230,'3.1. Gas prod VF'!$L$13:$L$1230,$F33)</f>
        <v>41.838916389256191</v>
      </c>
      <c r="Q33" s="77">
        <f>AVERAGEIFS('3.1. Gas prod VF'!$AJ$13:$AJ$1230,'3.1. Gas prod VF'!$L$13:$L$1230,$F33)</f>
        <v>2.9999169884306283</v>
      </c>
      <c r="R33" s="77">
        <f>AVERAGEIFS('3.1. Gas prod VF'!$AK$13:$AK$1230,'3.1. Gas prod VF'!$L$13:$L$1230,$F33)</f>
        <v>3.5088623953879288</v>
      </c>
      <c r="S33" s="77">
        <f>AVERAGEIFS('3.1. Gas prod VF'!$AL$13:$AL$1230,'3.1. Gas prod VF'!$L$13:$L$1230,$F33)</f>
        <v>6.5087793838185561</v>
      </c>
      <c r="T33" s="77">
        <f>AVERAGEIFS('3.1. Gas prod VF'!$AM$13:$AM$1230,'3.1. Gas prod VF'!$L$13:$L$1230,$F33)</f>
        <v>89.538302029607067</v>
      </c>
      <c r="U33" s="77">
        <f>AVERAGEIFS('3.1. Gas prod VF'!$AN$13:$AN$1230,'3.1. Gas prod VF'!$L$13:$L$1230,$F33)</f>
        <v>18.941058927151165</v>
      </c>
      <c r="V33" s="77">
        <f>AVERAGEIFS('3.1. Gas prod VF'!$AO$13:$AO$1230,'3.1. Gas prod VF'!$L$13:$L$1230,$F33)</f>
        <v>2.1436280781054537</v>
      </c>
      <c r="W33" s="77">
        <f>AVERAGEIFS('3.1. Gas prod VF'!$AP$13:$AP$1230,'3.1. Gas prod VF'!$L$13:$L$1230,$F33)</f>
        <v>14.200000000000001</v>
      </c>
      <c r="X33" s="77">
        <f>AVERAGEIFS('3.1. Gas prod VF'!$AQ$13:$AQ$1230,'3.1. Gas prod VF'!$L$13:$L$1230,$F33)</f>
        <v>15.581489122902269</v>
      </c>
      <c r="Y33" s="77">
        <f>AVERAGEIFS('3.1. Gas prod VF'!$AR$13:$AR$1230,'3.1. Gas prod VF'!$L$13:$L$1230,$F33)</f>
        <v>13.92926278381921</v>
      </c>
      <c r="Z33" s="77">
        <f>AVERAGEIFS('3.1. Gas prod VF'!$AS$13:$AS$1230,'3.1. Gas prod VF'!$L$13:$L$1230,$F33)</f>
        <v>79.122042947933537</v>
      </c>
      <c r="AA33" s="77">
        <f>AVERAGEIFS('3.1. Gas prod VF'!$AT$13:$AT$1230,'3.1. Gas prod VF'!$L$13:$L$1230,$F33)</f>
        <v>-0.24107737876117943</v>
      </c>
      <c r="AB33" s="77">
        <f>AVERAGEIFS('3.1. Gas prod VF'!$AU$13:$AU$1230,'3.1. Gas prod VF'!$L$13:$L$1230,$F33)</f>
        <v>7.730981835725264</v>
      </c>
      <c r="AC33" s="77">
        <f>AVERAGEIFS('3.1. Gas prod VF'!$AV$13:$AV$1230,'3.1. Gas prod VF'!$L$13:$L$1230,$F33)</f>
        <v>43.914102729579724</v>
      </c>
      <c r="AD33" s="20"/>
    </row>
    <row r="34" spans="2:30" x14ac:dyDescent="0.35">
      <c r="B34" s="62">
        <f>'1. Information samples'!B34</f>
        <v>24</v>
      </c>
      <c r="C34" s="62">
        <f>'1. Information samples'!C34</f>
        <v>46041</v>
      </c>
      <c r="D34" s="62" t="str">
        <f>'1. Information samples'!D34</f>
        <v>Genbank</v>
      </c>
      <c r="E34" s="62">
        <f>'1. Information samples'!E34</f>
        <v>27</v>
      </c>
      <c r="F34" s="62" t="str">
        <f>'1. Information samples'!F34</f>
        <v>F251751</v>
      </c>
      <c r="G34" s="62" t="str">
        <f>'1. Information samples'!G34</f>
        <v>CIAT-7353</v>
      </c>
      <c r="H34" s="62" t="str">
        <f>'1. Information samples'!H34</f>
        <v>Prosopis</v>
      </c>
      <c r="I34" s="62" t="str">
        <f>'1. Information samples'!I34</f>
        <v>juliflora</v>
      </c>
      <c r="J34" s="62" t="str">
        <f>'1. Information samples'!J34</f>
        <v>Prosopis juliflora</v>
      </c>
      <c r="K34" s="62" t="str">
        <f>'1. Information samples'!K34</f>
        <v>Fabaceae</v>
      </c>
      <c r="L34" s="62" t="str">
        <f>'1. Information samples'!L34</f>
        <v>Fabales</v>
      </c>
      <c r="M34" s="62" t="str">
        <f>'1. Information samples'!M34</f>
        <v>Tree</v>
      </c>
      <c r="N34" s="77">
        <f>AVERAGEIFS('3.1. Gas prod VF'!$AG$13:$AG$1230,'3.1. Gas prod VF'!$L$13:$L$1230,$F34)</f>
        <v>18.682012600368388</v>
      </c>
      <c r="O34" s="77">
        <f>AVERAGEIFS('3.1. Gas prod VF'!$AH$13:$AH$1230,'3.1. Gas prod VF'!$L$13:$L$1230,$F34)</f>
        <v>12.299037586907206</v>
      </c>
      <c r="P34" s="77">
        <f>AVERAGEIFS('3.1. Gas prod VF'!$AI$13:$AI$1230,'3.1. Gas prod VF'!$L$13:$L$1230,$F34)</f>
        <v>30.981050187275592</v>
      </c>
      <c r="Q34" s="77">
        <f>AVERAGEIFS('3.1. Gas prod VF'!$AJ$13:$AJ$1230,'3.1. Gas prod VF'!$L$13:$L$1230,$F34)</f>
        <v>2.1333438083454537</v>
      </c>
      <c r="R34" s="77">
        <f>AVERAGEIFS('3.1. Gas prod VF'!$AK$13:$AK$1230,'3.1. Gas prod VF'!$L$13:$L$1230,$F34)</f>
        <v>0.9339890921563837</v>
      </c>
      <c r="S34" s="77">
        <f>AVERAGEIFS('3.1. Gas prod VF'!$AL$13:$AL$1230,'3.1. Gas prod VF'!$L$13:$L$1230,$F34)</f>
        <v>3.067332900501837</v>
      </c>
      <c r="T34" s="77">
        <f>AVERAGEIFS('3.1. Gas prod VF'!$AM$13:$AM$1230,'3.1. Gas prod VF'!$L$13:$L$1230,$F34)</f>
        <v>65.452261101885369</v>
      </c>
      <c r="U34" s="77">
        <f>AVERAGEIFS('3.1. Gas prod VF'!$AN$13:$AN$1230,'3.1. Gas prod VF'!$L$13:$L$1230,$F34)</f>
        <v>44.366184325869398</v>
      </c>
      <c r="V34" s="77">
        <f>AVERAGEIFS('3.1. Gas prod VF'!$AO$13:$AO$1230,'3.1. Gas prod VF'!$L$13:$L$1230,$F34)</f>
        <v>6.9792659797027756</v>
      </c>
      <c r="W34" s="77">
        <f>AVERAGEIFS('3.1. Gas prod VF'!$AP$13:$AP$1230,'3.1. Gas prod VF'!$L$13:$L$1230,$F34)</f>
        <v>11.2125</v>
      </c>
      <c r="X34" s="77">
        <f>AVERAGEIFS('3.1. Gas prod VF'!$AQ$13:$AQ$1230,'3.1. Gas prod VF'!$L$13:$L$1230,$F34)</f>
        <v>9.5899905417292697</v>
      </c>
      <c r="Y34" s="77">
        <f>AVERAGEIFS('3.1. Gas prod VF'!$AR$13:$AR$1230,'3.1. Gas prod VF'!$L$13:$L$1230,$F34)</f>
        <v>6.4800042490023975</v>
      </c>
      <c r="Z34" s="77">
        <f>AVERAGEIFS('3.1. Gas prod VF'!$AS$13:$AS$1230,'3.1. Gas prod VF'!$L$13:$L$1230,$F34)</f>
        <v>15.036305484902655</v>
      </c>
      <c r="AA34" s="77">
        <f>AVERAGEIFS('3.1. Gas prod VF'!$AT$13:$AT$1230,'3.1. Gas prod VF'!$L$13:$L$1230,$F34)</f>
        <v>-0.30425457990456017</v>
      </c>
      <c r="AB34" s="77">
        <f>AVERAGEIFS('3.1. Gas prod VF'!$AU$13:$AU$1230,'3.1. Gas prod VF'!$L$13:$L$1230,$F34)</f>
        <v>3.5965144689964856</v>
      </c>
      <c r="AC34" s="77">
        <f>AVERAGEIFS('3.1. Gas prod VF'!$AV$13:$AV$1230,'3.1. Gas prod VF'!$L$13:$L$1230,$F34)</f>
        <v>8.3454096878144828</v>
      </c>
      <c r="AD34" s="20"/>
    </row>
    <row r="35" spans="2:30" x14ac:dyDescent="0.35">
      <c r="B35" s="62">
        <f>'1. Information samples'!B35</f>
        <v>25</v>
      </c>
      <c r="C35" s="62">
        <f>'1. Information samples'!C35</f>
        <v>46041</v>
      </c>
      <c r="D35" s="62" t="str">
        <f>'1. Information samples'!D35</f>
        <v>Genbank</v>
      </c>
      <c r="E35" s="62">
        <f>'1. Information samples'!E35</f>
        <v>27</v>
      </c>
      <c r="F35" s="62" t="str">
        <f>'1. Information samples'!F35</f>
        <v>F251752</v>
      </c>
      <c r="G35" s="62" t="str">
        <f>'1. Information samples'!G35</f>
        <v>CIAT-7976</v>
      </c>
      <c r="H35" s="62" t="str">
        <f>'1. Information samples'!H35</f>
        <v>Cassia</v>
      </c>
      <c r="I35" s="62" t="str">
        <f>'1. Information samples'!I35</f>
        <v>sp.</v>
      </c>
      <c r="J35" s="62" t="str">
        <f>'1. Information samples'!J35</f>
        <v>Cassia sp.</v>
      </c>
      <c r="K35" s="62" t="str">
        <f>'1. Information samples'!K35</f>
        <v>Fabaceae</v>
      </c>
      <c r="L35" s="62" t="str">
        <f>'1. Information samples'!L35</f>
        <v>Fabales</v>
      </c>
      <c r="M35" s="62" t="str">
        <f>'1. Information samples'!M35</f>
        <v>Tree</v>
      </c>
      <c r="N35" s="77">
        <f>AVERAGEIFS('3.1. Gas prod VF'!$AG$13:$AG$1230,'3.1. Gas prod VF'!$L$13:$L$1230,$F35)</f>
        <v>31.557012600368392</v>
      </c>
      <c r="O35" s="77">
        <f>AVERAGEIFS('3.1. Gas prod VF'!$AH$13:$AH$1230,'3.1. Gas prod VF'!$L$13:$L$1230,$F35)</f>
        <v>28.361537586907204</v>
      </c>
      <c r="P35" s="77">
        <f>AVERAGEIFS('3.1. Gas prod VF'!$AI$13:$AI$1230,'3.1. Gas prod VF'!$L$13:$L$1230,$F35)</f>
        <v>59.918550187275592</v>
      </c>
      <c r="Q35" s="77">
        <f>AVERAGEIFS('3.1. Gas prod VF'!$AJ$13:$AJ$1230,'3.1. Gas prod VF'!$L$13:$L$1230,$F35)</f>
        <v>4.0223427389058637</v>
      </c>
      <c r="R35" s="77">
        <f>AVERAGEIFS('3.1. Gas prod VF'!$AK$13:$AK$1230,'3.1. Gas prod VF'!$L$13:$L$1230,$F35)</f>
        <v>4.4251743964261712</v>
      </c>
      <c r="S35" s="77">
        <f>AVERAGEIFS('3.1. Gas prod VF'!$AL$13:$AL$1230,'3.1. Gas prod VF'!$L$13:$L$1230,$F35)</f>
        <v>8.4475171353320349</v>
      </c>
      <c r="T35" s="77">
        <f>AVERAGEIFS('3.1. Gas prod VF'!$AM$13:$AM$1230,'3.1. Gas prod VF'!$L$13:$L$1230,$F35)</f>
        <v>128.20047099044146</v>
      </c>
      <c r="U35" s="77">
        <f>AVERAGEIFS('3.1. Gas prod VF'!$AN$13:$AN$1230,'3.1. Gas prod VF'!$L$13:$L$1230,$F35)</f>
        <v>41.564758927512372</v>
      </c>
      <c r="V35" s="77">
        <f>AVERAGEIFS('3.1. Gas prod VF'!$AO$13:$AO$1230,'3.1. Gas prod VF'!$L$13:$L$1230,$F35)</f>
        <v>3.2629994972752097</v>
      </c>
      <c r="W35" s="77">
        <f>AVERAGEIFS('3.1. Gas prod VF'!$AP$13:$AP$1230,'3.1. Gas prod VF'!$L$13:$L$1230,$F35)</f>
        <v>12.775</v>
      </c>
      <c r="X35" s="77">
        <f>AVERAGEIFS('3.1. Gas prod VF'!$AQ$13:$AQ$1230,'3.1. Gas prod VF'!$L$13:$L$1230,$F35)</f>
        <v>14.117352107672534</v>
      </c>
      <c r="Y35" s="77">
        <f>AVERAGEIFS('3.1. Gas prod VF'!$AR$13:$AR$1230,'3.1. Gas prod VF'!$L$13:$L$1230,$F35)</f>
        <v>18.074297180572664</v>
      </c>
      <c r="Z35" s="77">
        <f>AVERAGEIFS('3.1. Gas prod VF'!$AS$13:$AS$1230,'3.1. Gas prod VF'!$L$13:$L$1230,$F35)</f>
        <v>44.807280096033615</v>
      </c>
      <c r="AA35" s="77">
        <f>AVERAGEIFS('3.1. Gas prod VF'!$AT$13:$AT$1230,'3.1. Gas prod VF'!$L$13:$L$1230,$F35)</f>
        <v>-0.3305898072736918</v>
      </c>
      <c r="AB35" s="77">
        <f>AVERAGEIFS('3.1. Gas prod VF'!$AU$13:$AU$1230,'3.1. Gas prod VF'!$L$13:$L$1230,$F35)</f>
        <v>10.031547639321298</v>
      </c>
      <c r="AC35" s="77">
        <f>AVERAGEIFS('3.1. Gas prod VF'!$AV$13:$AV$1230,'3.1. Gas prod VF'!$L$13:$L$1230,$F35)</f>
        <v>24.868815665757069</v>
      </c>
      <c r="AD35" s="20"/>
    </row>
    <row r="36" spans="2:30" x14ac:dyDescent="0.35">
      <c r="B36" s="62">
        <f>'1. Information samples'!B36</f>
        <v>26</v>
      </c>
      <c r="C36" s="62">
        <f>'1. Information samples'!C36</f>
        <v>46041</v>
      </c>
      <c r="D36" s="62" t="str">
        <f>'1. Information samples'!D36</f>
        <v>Genbank</v>
      </c>
      <c r="E36" s="62">
        <f>'1. Information samples'!E36</f>
        <v>27</v>
      </c>
      <c r="F36" s="62" t="str">
        <f>'1. Information samples'!F36</f>
        <v>F251753</v>
      </c>
      <c r="G36" s="62" t="str">
        <f>'1. Information samples'!G36</f>
        <v>CIAT-8018</v>
      </c>
      <c r="H36" s="62" t="str">
        <f>'1. Information samples'!H36</f>
        <v>Acacia</v>
      </c>
      <c r="I36" s="62" t="str">
        <f>'1. Information samples'!I36</f>
        <v>aroma</v>
      </c>
      <c r="J36" s="62" t="str">
        <f>'1. Information samples'!J36</f>
        <v>Acacia aroma</v>
      </c>
      <c r="K36" s="62" t="str">
        <f>'1. Information samples'!K36</f>
        <v>Fabaceae</v>
      </c>
      <c r="L36" s="62" t="str">
        <f>'1. Information samples'!L36</f>
        <v>Fabales</v>
      </c>
      <c r="M36" s="62" t="str">
        <f>'1. Information samples'!M36</f>
        <v>Tree</v>
      </c>
      <c r="N36" s="77">
        <f>AVERAGEIFS('3.1. Gas prod VF'!$AG$13:$AG$1230,'3.1. Gas prod VF'!$L$13:$L$1230,$F36)</f>
        <v>25.817687220542826</v>
      </c>
      <c r="O36" s="77">
        <f>AVERAGEIFS('3.1. Gas prod VF'!$AH$13:$AH$1230,'3.1. Gas prod VF'!$L$13:$L$1230,$F36)</f>
        <v>16.145805182945995</v>
      </c>
      <c r="P36" s="77">
        <f>AVERAGEIFS('3.1. Gas prod VF'!$AI$13:$AI$1230,'3.1. Gas prod VF'!$L$13:$L$1230,$F36)</f>
        <v>41.963492403488821</v>
      </c>
      <c r="Q36" s="77">
        <f>AVERAGEIFS('3.1. Gas prod VF'!$AJ$13:$AJ$1230,'3.1. Gas prod VF'!$L$13:$L$1230,$F36)</f>
        <v>3.6328905737713288</v>
      </c>
      <c r="R36" s="77">
        <f>AVERAGEIFS('3.1. Gas prod VF'!$AK$13:$AK$1230,'3.1. Gas prod VF'!$L$13:$L$1230,$F36)</f>
        <v>2.9550990151457839</v>
      </c>
      <c r="S36" s="77">
        <f>AVERAGEIFS('3.1. Gas prod VF'!$AL$13:$AL$1230,'3.1. Gas prod VF'!$L$13:$L$1230,$F36)</f>
        <v>6.5879895889171118</v>
      </c>
      <c r="T36" s="77">
        <f>AVERAGEIFS('3.1. Gas prod VF'!$AM$13:$AM$1230,'3.1. Gas prod VF'!$L$13:$L$1230,$F36)</f>
        <v>89.445465896171399</v>
      </c>
      <c r="U36" s="77">
        <f>AVERAGEIFS('3.1. Gas prod VF'!$AN$13:$AN$1230,'3.1. Gas prod VF'!$L$13:$L$1230,$F36)</f>
        <v>19.41127333587357</v>
      </c>
      <c r="V36" s="77">
        <f>AVERAGEIFS('3.1. Gas prod VF'!$AO$13:$AO$1230,'3.1. Gas prod VF'!$L$13:$L$1230,$F36)</f>
        <v>2.1817967499452782</v>
      </c>
      <c r="W36" s="77">
        <f>AVERAGEIFS('3.1. Gas prod VF'!$AP$13:$AP$1230,'3.1. Gas prod VF'!$L$13:$L$1230,$F36)</f>
        <v>14.066666666666668</v>
      </c>
      <c r="X36" s="77">
        <f>AVERAGEIFS('3.1. Gas prod VF'!$AQ$13:$AQ$1230,'3.1. Gas prod VF'!$L$13:$L$1230,$F36)</f>
        <v>15.696140790719904</v>
      </c>
      <c r="Y36" s="77">
        <f>AVERAGEIFS('3.1. Gas prod VF'!$AR$13:$AR$1230,'3.1. Gas prod VF'!$L$13:$L$1230,$F36)</f>
        <v>14.042300563865519</v>
      </c>
      <c r="Z36" s="77">
        <f>AVERAGEIFS('3.1. Gas prod VF'!$AS$13:$AS$1230,'3.1. Gas prod VF'!$L$13:$L$1230,$F36)</f>
        <v>74.585523590368851</v>
      </c>
      <c r="AA36" s="77">
        <f>AVERAGEIFS('3.1. Gas prod VF'!$AT$13:$AT$1230,'3.1. Gas prod VF'!$L$13:$L$1230,$F36)</f>
        <v>-0.4905514329050315</v>
      </c>
      <c r="AB36" s="77">
        <f>AVERAGEIFS('3.1. Gas prod VF'!$AU$13:$AU$1230,'3.1. Gas prod VF'!$L$13:$L$1230,$F36)</f>
        <v>7.7937197593219016</v>
      </c>
      <c r="AC36" s="77">
        <f>AVERAGEIFS('3.1. Gas prod VF'!$AV$13:$AV$1230,'3.1. Gas prod VF'!$L$13:$L$1230,$F36)</f>
        <v>41.396255999637241</v>
      </c>
      <c r="AD36" s="20"/>
    </row>
    <row r="37" spans="2:30" x14ac:dyDescent="0.35">
      <c r="B37" s="62">
        <f>'1. Information samples'!B37</f>
        <v>27</v>
      </c>
      <c r="C37" s="62">
        <f>'1. Information samples'!C37</f>
        <v>46041</v>
      </c>
      <c r="D37" s="62" t="str">
        <f>'1. Information samples'!D37</f>
        <v>Genbank</v>
      </c>
      <c r="E37" s="62">
        <f>'1. Information samples'!E37</f>
        <v>27</v>
      </c>
      <c r="F37" s="62" t="str">
        <f>'1. Information samples'!F37</f>
        <v>F251754</v>
      </c>
      <c r="G37" s="62" t="str">
        <f>'1. Information samples'!G37</f>
        <v>CIAT-9990</v>
      </c>
      <c r="H37" s="62" t="str">
        <f>'1. Information samples'!H37</f>
        <v>Prosopis</v>
      </c>
      <c r="I37" s="62" t="str">
        <f>'1. Information samples'!I37</f>
        <v>juliflora</v>
      </c>
      <c r="J37" s="62" t="str">
        <f>'1. Information samples'!J37</f>
        <v>Prosopis juliflora</v>
      </c>
      <c r="K37" s="62" t="str">
        <f>'1. Information samples'!K37</f>
        <v>Fabaceae</v>
      </c>
      <c r="L37" s="62" t="str">
        <f>'1. Information samples'!L37</f>
        <v>Fabales</v>
      </c>
      <c r="M37" s="62" t="str">
        <f>'1. Information samples'!M37</f>
        <v>Tree</v>
      </c>
      <c r="N37" s="77">
        <f>AVERAGEIFS('3.1. Gas prod VF'!$AG$13:$AG$1230,'3.1. Gas prod VF'!$L$13:$L$1230,$F37)</f>
        <v>15.369512600368388</v>
      </c>
      <c r="O37" s="77">
        <f>AVERAGEIFS('3.1. Gas prod VF'!$AH$13:$AH$1230,'3.1. Gas prod VF'!$L$13:$L$1230,$F37)</f>
        <v>11.174037586907206</v>
      </c>
      <c r="P37" s="77">
        <f>AVERAGEIFS('3.1. Gas prod VF'!$AI$13:$AI$1230,'3.1. Gas prod VF'!$L$13:$L$1230,$F37)</f>
        <v>26.543550187275592</v>
      </c>
      <c r="Q37" s="77">
        <f>AVERAGEIFS('3.1. Gas prod VF'!$AJ$13:$AJ$1230,'3.1. Gas prod VF'!$L$13:$L$1230,$F37)</f>
        <v>1.4403093307616166</v>
      </c>
      <c r="R37" s="77">
        <f>AVERAGEIFS('3.1. Gas prod VF'!$AK$13:$AK$1230,'3.1. Gas prod VF'!$L$13:$L$1230,$F37)</f>
        <v>0.36500281940322021</v>
      </c>
      <c r="S37" s="77">
        <f>AVERAGEIFS('3.1. Gas prod VF'!$AL$13:$AL$1230,'3.1. Gas prod VF'!$L$13:$L$1230,$F37)</f>
        <v>1.805312150164837</v>
      </c>
      <c r="T37" s="77">
        <f>AVERAGEIFS('3.1. Gas prod VF'!$AM$13:$AM$1230,'3.1. Gas prod VF'!$L$13:$L$1230,$F37)</f>
        <v>57.069631816755596</v>
      </c>
      <c r="U37" s="77">
        <f>AVERAGEIFS('3.1. Gas prod VF'!$AN$13:$AN$1230,'3.1. Gas prod VF'!$L$13:$L$1230,$F37)</f>
        <v>52.352332857163368</v>
      </c>
      <c r="V37" s="77">
        <f>AVERAGEIFS('3.1. Gas prod VF'!$AO$13:$AO$1230,'3.1. Gas prod VF'!$L$13:$L$1230,$F37)</f>
        <v>9.2450823694131046</v>
      </c>
      <c r="W37" s="77">
        <f>AVERAGEIFS('3.1. Gas prod VF'!$AP$13:$AP$1230,'3.1. Gas prod VF'!$L$13:$L$1230,$F37)</f>
        <v>9.2749999999999986</v>
      </c>
      <c r="X37" s="77">
        <f>AVERAGEIFS('3.1. Gas prod VF'!$AQ$13:$AQ$1230,'3.1. Gas prod VF'!$L$13:$L$1230,$F37)</f>
        <v>6.7781278606785218</v>
      </c>
      <c r="Y37" s="77">
        <f>AVERAGEIFS('3.1. Gas prod VF'!$AR$13:$AR$1230,'3.1. Gas prod VF'!$L$13:$L$1230,$F37)</f>
        <v>3.8813688149242451</v>
      </c>
      <c r="Z37" s="77">
        <f>AVERAGEIFS('3.1. Gas prod VF'!$AS$13:$AS$1230,'3.1. Gas prod VF'!$L$13:$L$1230,$F37)</f>
        <v>7.5273698215542808</v>
      </c>
      <c r="AA37" s="77">
        <f>AVERAGEIFS('3.1. Gas prod VF'!$AT$13:$AT$1230,'3.1. Gas prod VF'!$L$13:$L$1230,$F37)</f>
        <v>-0.12060335433344882</v>
      </c>
      <c r="AB37" s="77">
        <f>AVERAGEIFS('3.1. Gas prod VF'!$AU$13:$AU$1230,'3.1. Gas prod VF'!$L$13:$L$1230,$F37)</f>
        <v>2.1542268439925567</v>
      </c>
      <c r="AC37" s="77">
        <f>AVERAGEIFS('3.1. Gas prod VF'!$AV$13:$AV$1230,'3.1. Gas prod VF'!$L$13:$L$1230,$F37)</f>
        <v>4.1778204822744174</v>
      </c>
      <c r="AD37" s="20"/>
    </row>
    <row r="38" spans="2:30" x14ac:dyDescent="0.35">
      <c r="B38" s="62">
        <f>'1. Information samples'!B38</f>
        <v>28</v>
      </c>
      <c r="C38" s="62">
        <f>'1. Information samples'!C38</f>
        <v>46041</v>
      </c>
      <c r="D38" s="62" t="str">
        <f>'1. Information samples'!D38</f>
        <v>Genbank</v>
      </c>
      <c r="E38" s="62">
        <f>'1. Information samples'!E38</f>
        <v>27</v>
      </c>
      <c r="F38" s="62" t="str">
        <f>'1. Information samples'!F38</f>
        <v>F251755</v>
      </c>
      <c r="G38" s="62" t="str">
        <f>'1. Information samples'!G38</f>
        <v>CIAT-13258</v>
      </c>
      <c r="H38" s="62" t="str">
        <f>'1. Information samples'!H38</f>
        <v>Dendrolobium</v>
      </c>
      <c r="I38" s="62" t="str">
        <f>'1. Information samples'!I38</f>
        <v>lanceolatum</v>
      </c>
      <c r="J38" s="62" t="str">
        <f>'1. Information samples'!J38</f>
        <v>Dendrolobium lanceolatum</v>
      </c>
      <c r="K38" s="62" t="str">
        <f>'1. Information samples'!K38</f>
        <v>Fabaceae</v>
      </c>
      <c r="L38" s="62" t="str">
        <f>'1. Information samples'!L38</f>
        <v>Fabales</v>
      </c>
      <c r="M38" s="62" t="str">
        <f>'1. Information samples'!M38</f>
        <v>Tree</v>
      </c>
      <c r="N38" s="77">
        <f>AVERAGEIFS('3.1. Gas prod VF'!$AG$13:$AG$1230,'3.1. Gas prod VF'!$L$13:$L$1230,$F38)</f>
        <v>18.807012600368388</v>
      </c>
      <c r="O38" s="77">
        <f>AVERAGEIFS('3.1. Gas prod VF'!$AH$13:$AH$1230,'3.1. Gas prod VF'!$L$13:$L$1230,$F38)</f>
        <v>10.174037586907206</v>
      </c>
      <c r="P38" s="77">
        <f>AVERAGEIFS('3.1. Gas prod VF'!$AI$13:$AI$1230,'3.1. Gas prod VF'!$L$13:$L$1230,$F38)</f>
        <v>28.981050187275592</v>
      </c>
      <c r="Q38" s="77">
        <f>AVERAGEIFS('3.1. Gas prod VF'!$AJ$13:$AJ$1230,'3.1. Gas prod VF'!$L$13:$L$1230,$F38)</f>
        <v>2.4209822650184174</v>
      </c>
      <c r="R38" s="77">
        <f>AVERAGEIFS('3.1. Gas prod VF'!$AK$13:$AK$1230,'3.1. Gas prod VF'!$L$13:$L$1230,$F38)</f>
        <v>1.3913012425963491</v>
      </c>
      <c r="S38" s="77">
        <f>AVERAGEIFS('3.1. Gas prod VF'!$AL$13:$AL$1230,'3.1. Gas prod VF'!$L$13:$L$1230,$F38)</f>
        <v>3.812283507614767</v>
      </c>
      <c r="T38" s="77">
        <f>AVERAGEIFS('3.1. Gas prod VF'!$AM$13:$AM$1230,'3.1. Gas prod VF'!$L$13:$L$1230,$F38)</f>
        <v>61.243978814537968</v>
      </c>
      <c r="U38" s="77">
        <f>AVERAGEIFS('3.1. Gas prod VF'!$AN$13:$AN$1230,'3.1. Gas prod VF'!$L$13:$L$1230,$F38)</f>
        <v>19.79826504802152</v>
      </c>
      <c r="V38" s="77">
        <f>AVERAGEIFS('3.1. Gas prod VF'!$AO$13:$AO$1230,'3.1. Gas prod VF'!$L$13:$L$1230,$F38)</f>
        <v>3.2199241737121289</v>
      </c>
      <c r="W38" s="77">
        <f>AVERAGEIFS('3.1. Gas prod VF'!$AP$13:$AP$1230,'3.1. Gas prod VF'!$L$13:$L$1230,$F38)</f>
        <v>12.887499999999999</v>
      </c>
      <c r="X38" s="77">
        <f>AVERAGEIFS('3.1. Gas prod VF'!$AQ$13:$AQ$1230,'3.1. Gas prod VF'!$L$13:$L$1230,$F38)</f>
        <v>13.146890529127282</v>
      </c>
      <c r="Y38" s="77">
        <f>AVERAGEIFS('3.1. Gas prod VF'!$AR$13:$AR$1230,'3.1. Gas prod VF'!$L$13:$L$1230,$F38)</f>
        <v>8.0563238766778547</v>
      </c>
      <c r="Z38" s="77">
        <f>AVERAGEIFS('3.1. Gas prod VF'!$AS$13:$AS$1230,'3.1. Gas prod VF'!$L$13:$L$1230,$F38)</f>
        <v>41.847955052050374</v>
      </c>
      <c r="AA38" s="77">
        <f>AVERAGEIFS('3.1. Gas prod VF'!$AT$13:$AT$1230,'3.1. Gas prod VF'!$L$13:$L$1230,$F38)</f>
        <v>-0.13817907513806099</v>
      </c>
      <c r="AB38" s="77">
        <f>AVERAGEIFS('3.1. Gas prod VF'!$AU$13:$AU$1230,'3.1. Gas prod VF'!$L$13:$L$1230,$F38)</f>
        <v>4.4713991343222421</v>
      </c>
      <c r="AC38" s="77">
        <f>AVERAGEIFS('3.1. Gas prod VF'!$AV$13:$AV$1230,'3.1. Gas prod VF'!$L$13:$L$1230,$F38)</f>
        <v>23.226339066951141</v>
      </c>
      <c r="AD38" s="20"/>
    </row>
    <row r="39" spans="2:30" x14ac:dyDescent="0.35">
      <c r="B39" s="62">
        <f>'1. Information samples'!B39</f>
        <v>29</v>
      </c>
      <c r="C39" s="62">
        <f>'1. Information samples'!C39</f>
        <v>46041</v>
      </c>
      <c r="D39" s="62" t="str">
        <f>'1. Information samples'!D39</f>
        <v>Genbank</v>
      </c>
      <c r="E39" s="62">
        <f>'1. Information samples'!E39</f>
        <v>27</v>
      </c>
      <c r="F39" s="62" t="str">
        <f>'1. Information samples'!F39</f>
        <v>F251756</v>
      </c>
      <c r="G39" s="62" t="str">
        <f>'1. Information samples'!G39</f>
        <v>CIAT-13260</v>
      </c>
      <c r="H39" s="62" t="str">
        <f>'1. Information samples'!H39</f>
        <v>Dendrolobium</v>
      </c>
      <c r="I39" s="62" t="str">
        <f>'1. Information samples'!I39</f>
        <v>lanceolatum</v>
      </c>
      <c r="J39" s="62" t="str">
        <f>'1. Information samples'!J39</f>
        <v>Dendrolobium lanceolatum</v>
      </c>
      <c r="K39" s="62" t="str">
        <f>'1. Information samples'!K39</f>
        <v>Fabaceae</v>
      </c>
      <c r="L39" s="62" t="str">
        <f>'1. Information samples'!L39</f>
        <v>Fabales</v>
      </c>
      <c r="M39" s="62" t="str">
        <f>'1. Information samples'!M39</f>
        <v>Tree</v>
      </c>
      <c r="N39" s="77">
        <f>AVERAGEIFS('3.1. Gas prod VF'!$AG$13:$AG$1230,'3.1. Gas prod VF'!$L$13:$L$1230,$F39)</f>
        <v>21.619512600368388</v>
      </c>
      <c r="O39" s="77">
        <f>AVERAGEIFS('3.1. Gas prod VF'!$AH$13:$AH$1230,'3.1. Gas prod VF'!$L$13:$L$1230,$F39)</f>
        <v>12.361537586907206</v>
      </c>
      <c r="P39" s="77">
        <f>AVERAGEIFS('3.1. Gas prod VF'!$AI$13:$AI$1230,'3.1. Gas prod VF'!$L$13:$L$1230,$F39)</f>
        <v>33.981050187275592</v>
      </c>
      <c r="Q39" s="77">
        <f>AVERAGEIFS('3.1. Gas prod VF'!$AJ$13:$AJ$1230,'3.1. Gas prod VF'!$L$13:$L$1230,$F39)</f>
        <v>2.928492131022574</v>
      </c>
      <c r="R39" s="77">
        <f>AVERAGEIFS('3.1. Gas prod VF'!$AK$13:$AK$1230,'3.1. Gas prod VF'!$L$13:$L$1230,$F39)</f>
        <v>1.9933692748164979</v>
      </c>
      <c r="S39" s="77">
        <f>AVERAGEIFS('3.1. Gas prod VF'!$AL$13:$AL$1230,'3.1. Gas prod VF'!$L$13:$L$1230,$F39)</f>
        <v>4.9218614058390706</v>
      </c>
      <c r="T39" s="77">
        <f>AVERAGEIFS('3.1. Gas prod VF'!$AM$13:$AM$1230,'3.1. Gas prod VF'!$L$13:$L$1230,$F39)</f>
        <v>72.204744700334359</v>
      </c>
      <c r="U39" s="77">
        <f>AVERAGEIFS('3.1. Gas prod VF'!$AN$13:$AN$1230,'3.1. Gas prod VF'!$L$13:$L$1230,$F39)</f>
        <v>18.902693722622246</v>
      </c>
      <c r="V39" s="77">
        <f>AVERAGEIFS('3.1. Gas prod VF'!$AO$13:$AO$1230,'3.1. Gas prod VF'!$L$13:$L$1230,$F39)</f>
        <v>2.6558263605234145</v>
      </c>
      <c r="W39" s="77">
        <f>AVERAGEIFS('3.1. Gas prod VF'!$AP$13:$AP$1230,'3.1. Gas prod VF'!$L$13:$L$1230,$F39)</f>
        <v>13.575000000000001</v>
      </c>
      <c r="X39" s="77">
        <f>AVERAGEIFS('3.1. Gas prod VF'!$AQ$13:$AQ$1230,'3.1. Gas prod VF'!$L$13:$L$1230,$F39)</f>
        <v>14.504685140366755</v>
      </c>
      <c r="Y39" s="77">
        <f>AVERAGEIFS('3.1. Gas prod VF'!$AR$13:$AR$1230,'3.1. Gas prod VF'!$L$13:$L$1230,$F39)</f>
        <v>10.458274381434244</v>
      </c>
      <c r="Z39" s="77">
        <f>AVERAGEIFS('3.1. Gas prod VF'!$AS$13:$AS$1230,'3.1. Gas prod VF'!$L$13:$L$1230,$F39)</f>
        <v>60.348741252406036</v>
      </c>
      <c r="AA39" s="77">
        <f>AVERAGEIFS('3.1. Gas prod VF'!$AT$13:$AT$1230,'3.1. Gas prod VF'!$L$13:$L$1230,$F39)</f>
        <v>-0.25287534550854968</v>
      </c>
      <c r="AB39" s="77">
        <f>AVERAGEIFS('3.1. Gas prod VF'!$AU$13:$AU$1230,'3.1. Gas prod VF'!$L$13:$L$1230,$F39)</f>
        <v>5.8045232206991448</v>
      </c>
      <c r="AC39" s="77">
        <f>AVERAGEIFS('3.1. Gas prod VF'!$AV$13:$AV$1230,'3.1. Gas prod VF'!$L$13:$L$1230,$F39)</f>
        <v>33.494595490954772</v>
      </c>
      <c r="AD39" s="20"/>
    </row>
    <row r="40" spans="2:30" x14ac:dyDescent="0.35">
      <c r="B40" s="62">
        <f>'1. Information samples'!B40</f>
        <v>30</v>
      </c>
      <c r="C40" s="62">
        <f>'1. Information samples'!C40</f>
        <v>46041</v>
      </c>
      <c r="D40" s="62" t="str">
        <f>'1. Information samples'!D40</f>
        <v>Genbank</v>
      </c>
      <c r="E40" s="62">
        <f>'1. Information samples'!E40</f>
        <v>27</v>
      </c>
      <c r="F40" s="62" t="str">
        <f>'1. Information samples'!F40</f>
        <v>F251757</v>
      </c>
      <c r="G40" s="62" t="str">
        <f>'1. Information samples'!G40</f>
        <v>CIAT-17263</v>
      </c>
      <c r="H40" s="62" t="str">
        <f>'1. Information samples'!H40</f>
        <v>Leucaena</v>
      </c>
      <c r="I40" s="62" t="str">
        <f>'1. Information samples'!I40</f>
        <v>leucocephala</v>
      </c>
      <c r="J40" s="62" t="str">
        <f>'1. Information samples'!J40</f>
        <v>Leucaena leucocephala</v>
      </c>
      <c r="K40" s="62" t="str">
        <f>'1. Information samples'!K40</f>
        <v>Fabaceae</v>
      </c>
      <c r="L40" s="62" t="str">
        <f>'1. Information samples'!L40</f>
        <v>Fabales</v>
      </c>
      <c r="M40" s="62" t="str">
        <f>'1. Information samples'!M40</f>
        <v>Tree</v>
      </c>
      <c r="N40" s="77">
        <f>AVERAGEIFS('3.1. Gas prod VF'!$AG$13:$AG$1230,'3.1. Gas prod VF'!$L$13:$L$1230,$F40)</f>
        <v>31.618910394321322</v>
      </c>
      <c r="O40" s="77">
        <f>AVERAGEIFS('3.1. Gas prod VF'!$AH$13:$AH$1230,'3.1. Gas prod VF'!$L$13:$L$1230,$F40)</f>
        <v>27.154261263663567</v>
      </c>
      <c r="P40" s="77">
        <f>AVERAGEIFS('3.1. Gas prod VF'!$AI$13:$AI$1230,'3.1. Gas prod VF'!$L$13:$L$1230,$F40)</f>
        <v>58.773171657984889</v>
      </c>
      <c r="Q40" s="77">
        <f>AVERAGEIFS('3.1. Gas prod VF'!$AJ$13:$AJ$1230,'3.1. Gas prod VF'!$L$13:$L$1230,$F40)</f>
        <v>3.8998282747556039</v>
      </c>
      <c r="R40" s="77">
        <f>AVERAGEIFS('3.1. Gas prod VF'!$AK$13:$AK$1230,'3.1. Gas prod VF'!$L$13:$L$1230,$F40)</f>
        <v>4.1008800591625016</v>
      </c>
      <c r="S40" s="77">
        <f>AVERAGEIFS('3.1. Gas prod VF'!$AL$13:$AL$1230,'3.1. Gas prod VF'!$L$13:$L$1230,$F40)</f>
        <v>8.0007083339181051</v>
      </c>
      <c r="T40" s="77">
        <f>AVERAGEIFS('3.1. Gas prod VF'!$AM$13:$AM$1230,'3.1. Gas prod VF'!$L$13:$L$1230,$F40)</f>
        <v>124.3554359048396</v>
      </c>
      <c r="U40" s="77">
        <f>AVERAGEIFS('3.1. Gas prod VF'!$AN$13:$AN$1230,'3.1. Gas prod VF'!$L$13:$L$1230,$F40)</f>
        <v>48.810010216549486</v>
      </c>
      <c r="V40" s="77">
        <f>AVERAGEIFS('3.1. Gas prod VF'!$AO$13:$AO$1230,'3.1. Gas prod VF'!$L$13:$L$1230,$F40)</f>
        <v>3.9302525833016433</v>
      </c>
      <c r="W40" s="77">
        <f>AVERAGEIFS('3.1. Gas prod VF'!$AP$13:$AP$1230,'3.1. Gas prod VF'!$L$13:$L$1230,$F40)</f>
        <v>12.342857142857145</v>
      </c>
      <c r="X40" s="77">
        <f>AVERAGEIFS('3.1. Gas prod VF'!$AQ$13:$AQ$1230,'3.1. Gas prod VF'!$L$13:$L$1230,$F40)</f>
        <v>13.60283895265526</v>
      </c>
      <c r="Y40" s="77">
        <f>AVERAGEIFS('3.1. Gas prod VF'!$AR$13:$AR$1230,'3.1. Gas prod VF'!$L$13:$L$1230,$F40)</f>
        <v>16.928448165985564</v>
      </c>
      <c r="Z40" s="77">
        <f>AVERAGEIFS('3.1. Gas prod VF'!$AS$13:$AS$1230,'3.1. Gas prod VF'!$L$13:$L$1230,$F40)</f>
        <v>35.311616146085683</v>
      </c>
      <c r="AA40" s="77">
        <f>AVERAGEIFS('3.1. Gas prod VF'!$AT$13:$AT$1230,'3.1. Gas prod VF'!$L$13:$L$1230,$F40)</f>
        <v>-0.12243542202436945</v>
      </c>
      <c r="AB40" s="77">
        <f>AVERAGEIFS('3.1. Gas prod VF'!$AU$13:$AU$1230,'3.1. Gas prod VF'!$L$13:$L$1230,$F40)</f>
        <v>9.3955816118480424</v>
      </c>
      <c r="AC40" s="77">
        <f>AVERAGEIFS('3.1. Gas prod VF'!$AV$13:$AV$1230,'3.1. Gas prod VF'!$L$13:$L$1230,$F40)</f>
        <v>19.59855788869254</v>
      </c>
      <c r="AD40" s="20"/>
    </row>
    <row r="41" spans="2:30" x14ac:dyDescent="0.35">
      <c r="B41" s="62">
        <f>'1. Information samples'!B41</f>
        <v>31</v>
      </c>
      <c r="C41" s="62">
        <f>'1. Information samples'!C41</f>
        <v>46041</v>
      </c>
      <c r="D41" s="62" t="str">
        <f>'1. Information samples'!D41</f>
        <v>Isabel Molina</v>
      </c>
      <c r="E41" s="62">
        <f>'1. Information samples'!E41</f>
        <v>27</v>
      </c>
      <c r="F41" s="62" t="str">
        <f>'1. Information samples'!F41</f>
        <v>F252640</v>
      </c>
      <c r="G41" s="62" t="str">
        <f>'1. Information samples'!G41</f>
        <v xml:space="preserve"> Cayman Br02_1752</v>
      </c>
      <c r="H41" s="62" t="str">
        <f>'1. Information samples'!H41</f>
        <v>Urochloa</v>
      </c>
      <c r="I41" s="62" t="str">
        <f>'1. Information samples'!I41</f>
        <v>interespecifico</v>
      </c>
      <c r="J41" s="62" t="str">
        <f>'1. Information samples'!J41</f>
        <v>Urochloa interespecifico</v>
      </c>
      <c r="K41" s="62" t="str">
        <f>'1. Information samples'!K41</f>
        <v>Poaceae</v>
      </c>
      <c r="L41" s="62" t="str">
        <f>'1. Information samples'!L41</f>
        <v>Poales</v>
      </c>
      <c r="M41" s="62" t="str">
        <f>'1. Information samples'!M41</f>
        <v>grasses</v>
      </c>
      <c r="N41" s="77">
        <f>AVERAGEIFS('3.1. Gas prod VF'!$AG$13:$AG$1230,'3.1. Gas prod VF'!$L$13:$L$1230,$F41)</f>
        <v>39.432012600368388</v>
      </c>
      <c r="O41" s="77">
        <f>AVERAGEIFS('3.1. Gas prod VF'!$AH$13:$AH$1230,'3.1. Gas prod VF'!$L$13:$L$1230,$F41)</f>
        <v>48.861537586907211</v>
      </c>
      <c r="P41" s="77">
        <f>AVERAGEIFS('3.1. Gas prod VF'!$AI$13:$AI$1230,'3.1. Gas prod VF'!$L$13:$L$1230,$F41)</f>
        <v>88.293550187275599</v>
      </c>
      <c r="Q41" s="77">
        <f>AVERAGEIFS('3.1. Gas prod VF'!$AJ$13:$AJ$1230,'3.1. Gas prod VF'!$L$13:$L$1230,$F41)</f>
        <v>5.1095372458761545</v>
      </c>
      <c r="R41" s="77">
        <f>AVERAGEIFS('3.1. Gas prod VF'!$AK$13:$AK$1230,'3.1. Gas prod VF'!$L$13:$L$1230,$F41)</f>
        <v>6.6920095440442529</v>
      </c>
      <c r="S41" s="77">
        <f>AVERAGEIFS('3.1. Gas prod VF'!$AL$13:$AL$1230,'3.1. Gas prod VF'!$L$13:$L$1230,$F41)</f>
        <v>11.801546789920407</v>
      </c>
      <c r="T41" s="77">
        <f>AVERAGEIFS('3.1. Gas prod VF'!$AM$13:$AM$1230,'3.1. Gas prod VF'!$L$13:$L$1230,$F41)</f>
        <v>181.98320097309553</v>
      </c>
      <c r="U41" s="77">
        <f>AVERAGEIFS('3.1. Gas prod VF'!$AN$13:$AN$1230,'3.1. Gas prod VF'!$L$13:$L$1230,$F41)</f>
        <v>50.221596824857862</v>
      </c>
      <c r="V41" s="77">
        <f>AVERAGEIFS('3.1. Gas prod VF'!$AO$13:$AO$1230,'3.1. Gas prod VF'!$L$13:$L$1230,$F41)</f>
        <v>2.7619542356208551</v>
      </c>
      <c r="W41" s="77">
        <f>AVERAGEIFS('3.1. Gas prod VF'!$AP$13:$AP$1230,'3.1. Gas prod VF'!$L$13:$L$1230,$F41)</f>
        <v>12.987500000000001</v>
      </c>
      <c r="X41" s="77">
        <f>AVERAGEIFS('3.1. Gas prod VF'!$AQ$13:$AQ$1230,'3.1. Gas prod VF'!$L$13:$L$1230,$F41)</f>
        <v>13.372046818809794</v>
      </c>
      <c r="Y41" s="77">
        <f>AVERAGEIFS('3.1. Gas prod VF'!$AR$13:$AR$1230,'3.1. Gas prod VF'!$L$13:$L$1230,$F41)</f>
        <v>24.324367775780576</v>
      </c>
      <c r="Z41" s="77">
        <f>AVERAGEIFS('3.1. Gas prod VF'!$AS$13:$AS$1230,'3.1. Gas prod VF'!$L$13:$L$1230,$F41)</f>
        <v>50.168721794725791</v>
      </c>
      <c r="AA41" s="77">
        <f>AVERAGEIFS('3.1. Gas prod VF'!$AT$13:$AT$1230,'3.1. Gas prod VF'!$L$13:$L$1230,$F41)</f>
        <v>-4.203087870577126</v>
      </c>
      <c r="AB41" s="77">
        <f>AVERAGEIFS('3.1. Gas prod VF'!$AU$13:$AU$1230,'3.1. Gas prod VF'!$L$13:$L$1230,$F41)</f>
        <v>13.50044495237095</v>
      </c>
      <c r="AC41" s="77">
        <f>AVERAGEIFS('3.1. Gas prod VF'!$AV$13:$AV$1230,'3.1. Gas prod VF'!$L$13:$L$1230,$F41)</f>
        <v>27.844508567038122</v>
      </c>
      <c r="AD41" s="20"/>
    </row>
    <row r="42" spans="2:30" x14ac:dyDescent="0.35">
      <c r="B42" s="62">
        <f>'1. Information samples'!B42</f>
        <v>32</v>
      </c>
      <c r="C42" s="62">
        <f>'1. Information samples'!C42</f>
        <v>46041</v>
      </c>
      <c r="D42" s="62" t="str">
        <f>'1. Information samples'!D42</f>
        <v>Mauricio Sotelo</v>
      </c>
      <c r="E42" s="62">
        <f>'1. Information samples'!E42</f>
        <v>27</v>
      </c>
      <c r="F42" s="62" t="str">
        <f>'1. Information samples'!F42</f>
        <v>F252641</v>
      </c>
      <c r="G42" s="62" t="str">
        <f>'1. Information samples'!G42</f>
        <v>N/A</v>
      </c>
      <c r="H42" s="62" t="str">
        <f>'1. Information samples'!H42</f>
        <v xml:space="preserve">Gliricidia  </v>
      </c>
      <c r="I42" s="62" t="str">
        <f>'1. Information samples'!I42</f>
        <v>sepium</v>
      </c>
      <c r="J42" s="62" t="str">
        <f>'1. Information samples'!J42</f>
        <v xml:space="preserve">Gliricidia sepium </v>
      </c>
      <c r="K42" s="62" t="str">
        <f>'1. Information samples'!K42</f>
        <v>Fabaceae</v>
      </c>
      <c r="L42" s="62" t="str">
        <f>'1. Information samples'!L42</f>
        <v>Fabales</v>
      </c>
      <c r="M42" s="62" t="str">
        <f>'1. Information samples'!M42</f>
        <v xml:space="preserve">Arbustiva </v>
      </c>
      <c r="N42" s="77">
        <f>AVERAGEIFS('3.1. Gas prod VF'!$AG$13:$AG$1230,'3.1. Gas prod VF'!$L$13:$L$1230,$F42)</f>
        <v>37.633016009014575</v>
      </c>
      <c r="O42" s="77">
        <f>AVERAGEIFS('3.1. Gas prod VF'!$AH$13:$AH$1230,'3.1. Gas prod VF'!$L$13:$L$1230,$F42)</f>
        <v>40.911937985209548</v>
      </c>
      <c r="P42" s="77">
        <f>AVERAGEIFS('3.1. Gas prod VF'!$AI$13:$AI$1230,'3.1. Gas prod VF'!$L$13:$L$1230,$F42)</f>
        <v>78.544953994224116</v>
      </c>
      <c r="Q42" s="77">
        <f>AVERAGEIFS('3.1. Gas prod VF'!$AJ$13:$AJ$1230,'3.1. Gas prod VF'!$L$13:$L$1230,$F42)</f>
        <v>5.1520744442805837</v>
      </c>
      <c r="R42" s="77">
        <f>AVERAGEIFS('3.1. Gas prod VF'!$AK$13:$AK$1230,'3.1. Gas prod VF'!$L$13:$L$1230,$F42)</f>
        <v>6.6167634126617312</v>
      </c>
      <c r="S42" s="77">
        <f>AVERAGEIFS('3.1. Gas prod VF'!$AL$13:$AL$1230,'3.1. Gas prod VF'!$L$13:$L$1230,$F42)</f>
        <v>11.768837856942314</v>
      </c>
      <c r="T42" s="77">
        <f>AVERAGEIFS('3.1. Gas prod VF'!$AM$13:$AM$1230,'3.1. Gas prod VF'!$L$13:$L$1230,$F42)</f>
        <v>167.90469786411745</v>
      </c>
      <c r="U42" s="77">
        <f>AVERAGEIFS('3.1. Gas prod VF'!$AN$13:$AN$1230,'3.1. Gas prod VF'!$L$13:$L$1230,$F42)</f>
        <v>55.910298384314778</v>
      </c>
      <c r="V42" s="77">
        <f>AVERAGEIFS('3.1. Gas prod VF'!$AO$13:$AO$1230,'3.1. Gas prod VF'!$L$13:$L$1230,$F42)</f>
        <v>3.3283328064254403</v>
      </c>
      <c r="W42" s="77">
        <f>AVERAGEIFS('3.1. Gas prod VF'!$AP$13:$AP$1230,'3.1. Gas prod VF'!$L$13:$L$1230,$F42)</f>
        <v>13.685714285714285</v>
      </c>
      <c r="X42" s="77">
        <f>AVERAGEIFS('3.1. Gas prod VF'!$AQ$13:$AQ$1230,'3.1. Gas prod VF'!$L$13:$L$1230,$F42)</f>
        <v>14.984028800907819</v>
      </c>
      <c r="Y42" s="77">
        <f>AVERAGEIFS('3.1. Gas prod VF'!$AR$13:$AR$1230,'3.1. Gas prod VF'!$L$13:$L$1230,$F42)</f>
        <v>25.158135484707071</v>
      </c>
      <c r="Z42" s="77">
        <f>AVERAGEIFS('3.1. Gas prod VF'!$AS$13:$AS$1230,'3.1. Gas prod VF'!$L$13:$L$1230,$F42)</f>
        <v>45.483079619169061</v>
      </c>
      <c r="AA42" s="77">
        <f>AVERAGEIFS('3.1. Gas prod VF'!$AT$13:$AT$1230,'3.1. Gas prod VF'!$L$13:$L$1230,$F42)</f>
        <v>-3.0949625522751538</v>
      </c>
      <c r="AB42" s="77">
        <f>AVERAGEIFS('3.1. Gas prod VF'!$AU$13:$AU$1230,'3.1. Gas prod VF'!$L$13:$L$1230,$F42)</f>
        <v>13.963200455872022</v>
      </c>
      <c r="AC42" s="77">
        <f>AVERAGEIFS('3.1. Gas prod VF'!$AV$13:$AV$1230,'3.1. Gas prod VF'!$L$13:$L$1230,$F42)</f>
        <v>25.243896093130509</v>
      </c>
      <c r="AD42" s="20"/>
    </row>
    <row r="43" spans="2:30" x14ac:dyDescent="0.35">
      <c r="B43" s="62">
        <f>'1. Information samples'!B43</f>
        <v>33</v>
      </c>
      <c r="C43" s="62">
        <f>'1. Information samples'!C43</f>
        <v>46041</v>
      </c>
      <c r="D43" s="62" t="str">
        <f>'1. Information samples'!D43</f>
        <v>Jacobo Arango/Alejandro Montoya</v>
      </c>
      <c r="E43" s="62">
        <f>'1. Information samples'!E43</f>
        <v>27</v>
      </c>
      <c r="F43" s="62" t="str">
        <f>'1. Information samples'!F43</f>
        <v>F250008</v>
      </c>
      <c r="G43" s="62" t="str">
        <f>'1. Information samples'!G43</f>
        <v>Sample 8</v>
      </c>
      <c r="H43" s="62" t="str">
        <f>'1. Information samples'!H43</f>
        <v>Cynodon</v>
      </c>
      <c r="I43" s="62" t="str">
        <f>'1. Information samples'!I43</f>
        <v xml:space="preserve"> nlemfuensis </v>
      </c>
      <c r="J43" s="62" t="str">
        <f>'1. Information samples'!J43</f>
        <v xml:space="preserve">Cynodon nlemfuensis </v>
      </c>
      <c r="K43" s="62" t="str">
        <f>'1. Information samples'!K43</f>
        <v>Poaceae</v>
      </c>
      <c r="L43" s="62" t="str">
        <f>'1. Information samples'!L43</f>
        <v>Poales</v>
      </c>
      <c r="M43" s="62" t="str">
        <f>'1. Information samples'!M43</f>
        <v>grasses</v>
      </c>
      <c r="N43" s="77">
        <f>AVERAGE('3.1. Gas prod VF'!AG111,'3.1. Gas prod VF'!AG112,'3.1. Gas prod VF'!AG113,'3.1. Gas prod VF'!AG216,'3.1. Gas prod VF'!AG217,'3.1. Gas prod VF'!AG218)</f>
        <v>18.679040964953685</v>
      </c>
      <c r="O43" s="77">
        <f>AVERAGE('3.1. Gas prod VF'!AH111,'3.1. Gas prod VF'!AH112,'3.1. Gas prod VF'!AH113,'3.1. Gas prod VF'!AH216,'3.1. Gas prod VF'!AH217,'3.1. Gas prod VF'!AH218)</f>
        <v>27.562471849612663</v>
      </c>
      <c r="P43" s="77">
        <f>AVERAGE('3.1. Gas prod VF'!AI111,'3.1. Gas prod VF'!AI112,'3.1. Gas prod VF'!AI113,'3.1. Gas prod VF'!AI216,'3.1. Gas prod VF'!AI217,'3.1. Gas prod VF'!AI218)</f>
        <v>46.241512814566342</v>
      </c>
      <c r="Q43" s="77">
        <f>AVERAGE('3.1. Gas prod VF'!AJ111,'3.1. Gas prod VF'!AJ112,'3.1. Gas prod VF'!AJ113,'3.1. Gas prod VF'!AJ216,'3.1. Gas prod VF'!AJ217,'3.1. Gas prod VF'!AJ218)</f>
        <v>2.9033022950906817</v>
      </c>
      <c r="R43" s="77">
        <f>AVERAGE('3.1. Gas prod VF'!AK111,'3.1. Gas prod VF'!AK112,'3.1. Gas prod VF'!AK113,'3.1. Gas prod VF'!AK216,'3.1. Gas prod VF'!AK217,'3.1. Gas prod VF'!AK218)</f>
        <v>4.501104793524461</v>
      </c>
      <c r="S43" s="77">
        <f>AVERAGE('3.1. Gas prod VF'!AL111,'3.1. Gas prod VF'!AL112,'3.1. Gas prod VF'!AL113,'3.1. Gas prod VF'!AL216,'3.1. Gas prod VF'!AL217,'3.1. Gas prod VF'!AL218)</f>
        <v>7.4044070886151427</v>
      </c>
      <c r="T43" s="77">
        <f>AVERAGE('3.1. Gas prod VF'!AM111,'3.1. Gas prod VF'!AM112,'3.1. Gas prod VF'!AM113,'3.1. Gas prod VF'!AM216,'3.1. Gas prod VF'!AM217,'3.1. Gas prod VF'!AM218)</f>
        <v>98.815513451466799</v>
      </c>
      <c r="U43" s="77">
        <f>AVERAGE('3.1. Gas prod VF'!AN111,'3.1. Gas prod VF'!AN112,'3.1. Gas prod VF'!AN113,'3.1. Gas prod VF'!AN216,'3.1. Gas prod VF'!AN217,'3.1. Gas prod VF'!AN218)</f>
        <v>22.156736078191475</v>
      </c>
      <c r="V43" s="77">
        <f>AVERAGE('3.1. Gas prod VF'!AO111,'3.1. Gas prod VF'!AO112,'3.1. Gas prod VF'!AO113,'3.1. Gas prod VF'!AO216,'3.1. Gas prod VF'!AO217,'3.1. Gas prod VF'!AO218)</f>
        <v>2.1916652444741853</v>
      </c>
      <c r="W43" s="77">
        <f>AVERAGE('3.1. Gas prod VF'!AP111,'3.1. Gas prod VF'!AP112,'3.1. Gas prod VF'!AP113,'3.1. Gas prod VF'!AP216,'3.1. Gas prod VF'!AP217,'3.1. Gas prod VF'!AP218)</f>
        <v>15.475000000000001</v>
      </c>
      <c r="X43" s="77">
        <f>AVERAGE('3.1. Gas prod VF'!AQ111,'3.1. Gas prod VF'!AQ112,'3.1. Gas prod VF'!AQ113,'3.1. Gas prod VF'!AQ216,'3.1. Gas prod VF'!AQ217,'3.1. Gas prod VF'!AQ218)</f>
        <v>15.949614033102904</v>
      </c>
      <c r="Y43" s="77">
        <f>AVERAGE('3.1. Gas prod VF'!AR111,'3.1. Gas prod VF'!AR112,'3.1. Gas prod VF'!AR113,'3.1. Gas prod VF'!AR216,'3.1. Gas prod VF'!AR217,'3.1. Gas prod VF'!AR218)</f>
        <v>15.822702562645246</v>
      </c>
      <c r="Z43" s="77">
        <f>AVERAGE('3.1. Gas prod VF'!AS111,'3.1. Gas prod VF'!AS112,'3.1. Gas prod VF'!AS113,'3.1. Gas prod VF'!AS216,'3.1. Gas prod VF'!AS217,'3.1. Gas prod VF'!AS218)</f>
        <v>74.180380384276873</v>
      </c>
      <c r="AA43" s="77">
        <f>AVERAGE('3.1. Gas prod VF'!AT111,'3.1. Gas prod VF'!AT112,'3.1. Gas prod VF'!AT113,'3.1. Gas prod VF'!AT216,'3.1. Gas prod VF'!AT217,'3.1. Gas prod VF'!AT218)</f>
        <v>-0.47392862179349105</v>
      </c>
      <c r="AB43" s="77">
        <f>AVERAGE('3.1. Gas prod VF'!AU111,'3.1. Gas prod VF'!AU112,'3.1. Gas prod VF'!AU113,'3.1. Gas prod VF'!AU216,'3.1. Gas prod VF'!AU217,'3.1. Gas prod VF'!AU218)</f>
        <v>8.7818736714473946</v>
      </c>
      <c r="AC43" s="77">
        <f>AVERAGE('3.1. Gas prod VF'!AV111,'3.1. Gas prod VF'!AV112,'3.1. Gas prod VF'!AV113,'3.1. Gas prod VF'!AV216,'3.1. Gas prod VF'!AV217,'3.1. Gas prod VF'!AV218)</f>
        <v>41.171394510858164</v>
      </c>
      <c r="AD43" s="20"/>
    </row>
    <row r="44" spans="2:30" x14ac:dyDescent="0.35">
      <c r="B44" s="62">
        <f>'1. Information samples'!B44</f>
        <v>34</v>
      </c>
      <c r="C44" s="62">
        <f>'1. Information samples'!C44</f>
        <v>46048</v>
      </c>
      <c r="D44" s="62" t="str">
        <f>'1. Information samples'!D44</f>
        <v>Genbank</v>
      </c>
      <c r="E44" s="62">
        <f>'1. Information samples'!E44</f>
        <v>28</v>
      </c>
      <c r="F44" s="62" t="str">
        <f>'1. Information samples'!F44</f>
        <v>F251758</v>
      </c>
      <c r="G44" s="62" t="str">
        <f>'1. Information samples'!G44</f>
        <v>CIAT-17459</v>
      </c>
      <c r="H44" s="62" t="str">
        <f>'1. Information samples'!H44</f>
        <v>Erythrina</v>
      </c>
      <c r="I44" s="62" t="str">
        <f>'1. Information samples'!I44</f>
        <v>berteroana</v>
      </c>
      <c r="J44" s="62" t="str">
        <f>'1. Information samples'!J44</f>
        <v>Erythrina berteroana</v>
      </c>
      <c r="K44" s="62" t="str">
        <f>'1. Information samples'!K44</f>
        <v>Fabaceae</v>
      </c>
      <c r="L44" s="62" t="str">
        <f>'1. Information samples'!L44</f>
        <v>Fabales</v>
      </c>
      <c r="M44" s="62" t="str">
        <f>'1. Information samples'!M44</f>
        <v>Tree</v>
      </c>
      <c r="N44" s="77">
        <f>AVERAGEIFS('3.1. Gas prod VF'!$AG$13:$AG$1230,'3.1. Gas prod VF'!$L$13:$L$1230,$F44)</f>
        <v>27.847011474352893</v>
      </c>
      <c r="O44" s="77">
        <f>AVERAGEIFS('3.1. Gas prod VF'!$AH$13:$AH$1230,'3.1. Gas prod VF'!$L$13:$L$1230,$F44)</f>
        <v>38.931770589575834</v>
      </c>
      <c r="P44" s="77">
        <f>AVERAGEIFS('3.1. Gas prod VF'!$AI$13:$AI$1230,'3.1. Gas prod VF'!$L$13:$L$1230,$F44)</f>
        <v>66.778782063928716</v>
      </c>
      <c r="Q44" s="77">
        <f>AVERAGEIFS('3.1. Gas prod VF'!$AJ$13:$AJ$1230,'3.1. Gas prod VF'!$L$13:$L$1230,$F44)</f>
        <v>3.6549333342929309</v>
      </c>
      <c r="R44" s="77">
        <f>AVERAGEIFS('3.1. Gas prod VF'!$AK$13:$AK$1230,'3.1. Gas prod VF'!$L$13:$L$1230,$F44)</f>
        <v>5.8047576753262522</v>
      </c>
      <c r="S44" s="77">
        <f>AVERAGEIFS('3.1. Gas prod VF'!$AL$13:$AL$1230,'3.1. Gas prod VF'!$L$13:$L$1230,$F44)</f>
        <v>9.4596910096191831</v>
      </c>
      <c r="T44" s="77">
        <f>AVERAGEIFS('3.1. Gas prod VF'!$AM$13:$AM$1230,'3.1. Gas prod VF'!$L$13:$L$1230,$F44)</f>
        <v>141.12167285056094</v>
      </c>
      <c r="U44" s="77">
        <f>AVERAGEIFS('3.1. Gas prod VF'!$AN$13:$AN$1230,'3.1. Gas prod VF'!$L$13:$L$1230,$F44)</f>
        <v>55.897331210552473</v>
      </c>
      <c r="V44" s="77">
        <f>AVERAGEIFS('3.1. Gas prod VF'!$AO$13:$AO$1230,'3.1. Gas prod VF'!$L$13:$L$1230,$F44)</f>
        <v>3.9749890668106937</v>
      </c>
      <c r="W44" s="77">
        <f>AVERAGEIFS('3.1. Gas prod VF'!$AP$13:$AP$1230,'3.1. Gas prod VF'!$L$13:$L$1230,$F44)</f>
        <v>13.125</v>
      </c>
      <c r="X44" s="77">
        <f>AVERAGEIFS('3.1. Gas prod VF'!$AQ$13:$AQ$1230,'3.1. Gas prod VF'!$L$13:$L$1230,$F44)</f>
        <v>14.152377638917104</v>
      </c>
      <c r="Y44" s="77">
        <f>AVERAGEIFS('3.1. Gas prod VF'!$AR$13:$AR$1230,'3.1. Gas prod VF'!$L$13:$L$1230,$F44)</f>
        <v>19.991063431008541</v>
      </c>
      <c r="Z44" s="77">
        <f>AVERAGEIFS('3.1. Gas prod VF'!$AS$13:$AS$1230,'3.1. Gas prod VF'!$L$13:$L$1230,$F44)</f>
        <v>35.84148210250892</v>
      </c>
      <c r="AA44" s="77">
        <f>AVERAGEIFS('3.1. Gas prod VF'!$AT$13:$AT$1230,'3.1. Gas prod VF'!$L$13:$L$1230,$F44)</f>
        <v>0.67947468762260999</v>
      </c>
      <c r="AB44" s="77">
        <f>AVERAGEIFS('3.1. Gas prod VF'!$AU$13:$AU$1230,'3.1. Gas prod VF'!$L$13:$L$1230,$F44)</f>
        <v>11.095386070359066</v>
      </c>
      <c r="AC44" s="77">
        <f>AVERAGEIFS('3.1. Gas prod VF'!$AV$13:$AV$1230,'3.1. Gas prod VF'!$L$13:$L$1230,$F44)</f>
        <v>19.892642661738513</v>
      </c>
      <c r="AD44" s="20"/>
    </row>
    <row r="45" spans="2:30" x14ac:dyDescent="0.35">
      <c r="B45" s="62">
        <f>'1. Information samples'!B45</f>
        <v>35</v>
      </c>
      <c r="C45" s="62">
        <f>'1. Information samples'!C45</f>
        <v>46048</v>
      </c>
      <c r="D45" s="62" t="str">
        <f>'1. Information samples'!D45</f>
        <v>Genbank</v>
      </c>
      <c r="E45" s="62">
        <f>'1. Information samples'!E45</f>
        <v>28</v>
      </c>
      <c r="F45" s="62" t="str">
        <f>'1. Information samples'!F45</f>
        <v>F251759</v>
      </c>
      <c r="G45" s="62" t="str">
        <f>'1. Information samples'!G45</f>
        <v>CIAT-17482</v>
      </c>
      <c r="H45" s="62" t="str">
        <f>'1. Information samples'!H45</f>
        <v>Leucaena</v>
      </c>
      <c r="I45" s="62" t="str">
        <f>'1. Information samples'!I45</f>
        <v>leucocephala</v>
      </c>
      <c r="J45" s="62" t="str">
        <f>'1. Information samples'!J45</f>
        <v>Leucaena leucocephala</v>
      </c>
      <c r="K45" s="62" t="str">
        <f>'1. Information samples'!K45</f>
        <v>Fabaceae</v>
      </c>
      <c r="L45" s="62" t="str">
        <f>'1. Information samples'!L45</f>
        <v>Fabales</v>
      </c>
      <c r="M45" s="62" t="str">
        <f>'1. Information samples'!M45</f>
        <v>Tree</v>
      </c>
      <c r="N45" s="77">
        <f>AVERAGEIFS('3.1. Gas prod VF'!$AG$13:$AG$1230,'3.1. Gas prod VF'!$L$13:$L$1230,$F45)</f>
        <v>34.075693052279263</v>
      </c>
      <c r="O45" s="77">
        <f>AVERAGEIFS('3.1. Gas prod VF'!$AH$13:$AH$1230,'3.1. Gas prod VF'!$L$13:$L$1230,$F45)</f>
        <v>26.349347131116531</v>
      </c>
      <c r="P45" s="77">
        <f>AVERAGEIFS('3.1. Gas prod VF'!$AI$13:$AI$1230,'3.1. Gas prod VF'!$L$13:$L$1230,$F45)</f>
        <v>60.425040183395787</v>
      </c>
      <c r="Q45" s="77">
        <f>AVERAGEIFS('3.1. Gas prod VF'!$AJ$13:$AJ$1230,'3.1. Gas prod VF'!$L$13:$L$1230,$F45)</f>
        <v>3.7360508514226303</v>
      </c>
      <c r="R45" s="77">
        <f>AVERAGEIFS('3.1. Gas prod VF'!$AK$13:$AK$1230,'3.1. Gas prod VF'!$L$13:$L$1230,$F45)</f>
        <v>3.5802891283915366</v>
      </c>
      <c r="S45" s="77">
        <f>AVERAGEIFS('3.1. Gas prod VF'!$AL$13:$AL$1230,'3.1. Gas prod VF'!$L$13:$L$1230,$F45)</f>
        <v>7.3163399798141668</v>
      </c>
      <c r="T45" s="77">
        <f>AVERAGEIFS('3.1. Gas prod VF'!$AM$13:$AM$1230,'3.1. Gas prod VF'!$L$13:$L$1230,$F45)</f>
        <v>130.37350234096385</v>
      </c>
      <c r="U45" s="77">
        <f>AVERAGEIFS('3.1. Gas prod VF'!$AN$13:$AN$1230,'3.1. Gas prod VF'!$L$13:$L$1230,$F45)</f>
        <v>48.785909239905088</v>
      </c>
      <c r="V45" s="77">
        <f>AVERAGEIFS('3.1. Gas prod VF'!$AO$13:$AO$1230,'3.1. Gas prod VF'!$L$13:$L$1230,$F45)</f>
        <v>3.7686048504520002</v>
      </c>
      <c r="W45" s="77">
        <f>AVERAGEIFS('3.1. Gas prod VF'!$AP$13:$AP$1230,'3.1. Gas prod VF'!$L$13:$L$1230,$F45)</f>
        <v>10.942857142857145</v>
      </c>
      <c r="X45" s="77">
        <f>AVERAGEIFS('3.1. Gas prod VF'!$AQ$13:$AQ$1230,'3.1. Gas prod VF'!$L$13:$L$1230,$F45)</f>
        <v>12.09634315028851</v>
      </c>
      <c r="Y45" s="77">
        <f>AVERAGEIFS('3.1. Gas prod VF'!$AR$13:$AR$1230,'3.1. Gas prod VF'!$L$13:$L$1230,$F45)</f>
        <v>15.785859098861659</v>
      </c>
      <c r="Z45" s="77">
        <f>AVERAGEIFS('3.1. Gas prod VF'!$AS$13:$AS$1230,'3.1. Gas prod VF'!$L$13:$L$1230,$F45)</f>
        <v>32.963315916283818</v>
      </c>
      <c r="AA45" s="77">
        <f>AVERAGEIFS('3.1. Gas prod VF'!$AT$13:$AT$1230,'3.1. Gas prod VF'!$L$13:$L$1230,$F45)</f>
        <v>1.3281022651197334</v>
      </c>
      <c r="AB45" s="77">
        <f>AVERAGEIFS('3.1. Gas prod VF'!$AU$13:$AU$1230,'3.1. Gas prod VF'!$L$13:$L$1230,$F45)</f>
        <v>8.7614249116173362</v>
      </c>
      <c r="AC45" s="77">
        <f>AVERAGEIFS('3.1. Gas prod VF'!$AV$13:$AV$1230,'3.1. Gas prod VF'!$L$13:$L$1230,$F45)</f>
        <v>18.295210633120842</v>
      </c>
      <c r="AD45" s="20"/>
    </row>
    <row r="46" spans="2:30" x14ac:dyDescent="0.35">
      <c r="B46" s="62">
        <f>'1. Information samples'!B46</f>
        <v>36</v>
      </c>
      <c r="C46" s="62">
        <f>'1. Information samples'!C46</f>
        <v>46048</v>
      </c>
      <c r="D46" s="62" t="str">
        <f>'1. Information samples'!D46</f>
        <v>Genbank</v>
      </c>
      <c r="E46" s="62">
        <f>'1. Information samples'!E46</f>
        <v>28</v>
      </c>
      <c r="F46" s="62" t="str">
        <f>'1. Information samples'!F46</f>
        <v>F251760</v>
      </c>
      <c r="G46" s="62" t="str">
        <f>'1. Information samples'!G46</f>
        <v>CIAT-17502</v>
      </c>
      <c r="H46" s="62" t="str">
        <f>'1. Information samples'!H46</f>
        <v>Leucaena</v>
      </c>
      <c r="I46" s="62" t="str">
        <f>'1. Information samples'!I46</f>
        <v>leucocephala</v>
      </c>
      <c r="J46" s="62" t="str">
        <f>'1. Information samples'!J46</f>
        <v>Leucaena leucocephala</v>
      </c>
      <c r="K46" s="62" t="str">
        <f>'1. Information samples'!K46</f>
        <v>Fabaceae</v>
      </c>
      <c r="L46" s="62" t="str">
        <f>'1. Information samples'!L46</f>
        <v>Fabales</v>
      </c>
      <c r="M46" s="62" t="str">
        <f>'1. Information samples'!M46</f>
        <v>Tree</v>
      </c>
      <c r="N46" s="77">
        <f>AVERAGEIFS('3.1. Gas prod VF'!$AG$13:$AG$1230,'3.1. Gas prod VF'!$L$13:$L$1230,$F46)</f>
        <v>31.534511474352893</v>
      </c>
      <c r="O46" s="77">
        <f>AVERAGEIFS('3.1. Gas prod VF'!$AH$13:$AH$1230,'3.1. Gas prod VF'!$L$13:$L$1230,$F46)</f>
        <v>30.369270589575819</v>
      </c>
      <c r="P46" s="77">
        <f>AVERAGEIFS('3.1. Gas prod VF'!$AI$13:$AI$1230,'3.1. Gas prod VF'!$L$13:$L$1230,$F46)</f>
        <v>61.903782063928709</v>
      </c>
      <c r="Q46" s="77">
        <f>AVERAGEIFS('3.1. Gas prod VF'!$AJ$13:$AJ$1230,'3.1. Gas prod VF'!$L$13:$L$1230,$F46)</f>
        <v>3.6905979786921379</v>
      </c>
      <c r="R46" s="77">
        <f>AVERAGEIFS('3.1. Gas prod VF'!$AK$13:$AK$1230,'3.1. Gas prod VF'!$L$13:$L$1230,$F46)</f>
        <v>4.4517372003403031</v>
      </c>
      <c r="S46" s="77">
        <f>AVERAGEIFS('3.1. Gas prod VF'!$AL$13:$AL$1230,'3.1. Gas prod VF'!$L$13:$L$1230,$F46)</f>
        <v>8.1423351790324414</v>
      </c>
      <c r="T46" s="77">
        <f>AVERAGEIFS('3.1. Gas prod VF'!$AM$13:$AM$1230,'3.1. Gas prod VF'!$L$13:$L$1230,$F46)</f>
        <v>131.28557040874162</v>
      </c>
      <c r="U46" s="77">
        <f>AVERAGEIFS('3.1. Gas prod VF'!$AN$13:$AN$1230,'3.1. Gas prod VF'!$L$13:$L$1230,$F46)</f>
        <v>48.386508488177817</v>
      </c>
      <c r="V46" s="77">
        <f>AVERAGEIFS('3.1. Gas prod VF'!$AO$13:$AO$1230,'3.1. Gas prod VF'!$L$13:$L$1230,$F46)</f>
        <v>3.67766714748395</v>
      </c>
      <c r="W46" s="77">
        <f>AVERAGEIFS('3.1. Gas prod VF'!$AP$13:$AP$1230,'3.1. Gas prod VF'!$L$13:$L$1230,$F46)</f>
        <v>11.674999999999999</v>
      </c>
      <c r="X46" s="77">
        <f>AVERAGEIFS('3.1. Gas prod VF'!$AQ$13:$AQ$1230,'3.1. Gas prod VF'!$L$13:$L$1230,$F46)</f>
        <v>13.145447469891586</v>
      </c>
      <c r="Y46" s="77">
        <f>AVERAGEIFS('3.1. Gas prod VF'!$AR$13:$AR$1230,'3.1. Gas prod VF'!$L$13:$L$1230,$F46)</f>
        <v>17.268346302951652</v>
      </c>
      <c r="Z46" s="77">
        <f>AVERAGEIFS('3.1. Gas prod VF'!$AS$13:$AS$1230,'3.1. Gas prod VF'!$L$13:$L$1230,$F46)</f>
        <v>35.965007217574374</v>
      </c>
      <c r="AA46" s="77">
        <f>AVERAGEIFS('3.1. Gas prod VF'!$AT$13:$AT$1230,'3.1. Gas prod VF'!$L$13:$L$1230,$F46)</f>
        <v>-2.0003407472900281</v>
      </c>
      <c r="AB46" s="77">
        <f>AVERAGEIFS('3.1. Gas prod VF'!$AU$13:$AU$1230,'3.1. Gas prod VF'!$L$13:$L$1230,$F46)</f>
        <v>9.5842309584548264</v>
      </c>
      <c r="AC46" s="77">
        <f>AVERAGEIFS('3.1. Gas prod VF'!$AV$13:$AV$1230,'3.1. Gas prod VF'!$L$13:$L$1230,$F46)</f>
        <v>19.961201237712565</v>
      </c>
      <c r="AD46" s="20"/>
    </row>
    <row r="47" spans="2:30" x14ac:dyDescent="0.35">
      <c r="B47" s="62">
        <f>'1. Information samples'!B47</f>
        <v>37</v>
      </c>
      <c r="C47" s="62">
        <f>'1. Information samples'!C47</f>
        <v>46048</v>
      </c>
      <c r="D47" s="62" t="str">
        <f>'1. Information samples'!D47</f>
        <v>Genbank</v>
      </c>
      <c r="E47" s="62">
        <f>'1. Information samples'!E47</f>
        <v>28</v>
      </c>
      <c r="F47" s="62" t="str">
        <f>'1. Information samples'!F47</f>
        <v>F251761</v>
      </c>
      <c r="G47" s="62" t="str">
        <f>'1. Information samples'!G47</f>
        <v>CIAT-19384</v>
      </c>
      <c r="H47" s="62" t="str">
        <f>'1. Information samples'!H47</f>
        <v>Prosopis</v>
      </c>
      <c r="I47" s="62" t="str">
        <f>'1. Information samples'!I47</f>
        <v>juliflora</v>
      </c>
      <c r="J47" s="62" t="str">
        <f>'1. Information samples'!J47</f>
        <v>Prosopis juliflora</v>
      </c>
      <c r="K47" s="62" t="str">
        <f>'1. Information samples'!K47</f>
        <v>Fabaceae</v>
      </c>
      <c r="L47" s="62" t="str">
        <f>'1. Information samples'!L47</f>
        <v>Fabales</v>
      </c>
      <c r="M47" s="62" t="str">
        <f>'1. Information samples'!M47</f>
        <v>Tree</v>
      </c>
      <c r="N47" s="77">
        <f>AVERAGEIFS('3.1. Gas prod VF'!$AG$13:$AG$1230,'3.1. Gas prod VF'!$L$13:$L$1230,$F47)</f>
        <v>12.972011474352893</v>
      </c>
      <c r="O47" s="77">
        <f>AVERAGEIFS('3.1. Gas prod VF'!$AH$13:$AH$1230,'3.1. Gas prod VF'!$L$13:$L$1230,$F47)</f>
        <v>12.056770589575823</v>
      </c>
      <c r="P47" s="77">
        <f>AVERAGEIFS('3.1. Gas prod VF'!$AI$13:$AI$1230,'3.1. Gas prod VF'!$L$13:$L$1230,$F47)</f>
        <v>25.028782063928709</v>
      </c>
      <c r="Q47" s="77">
        <f>AVERAGEIFS('3.1. Gas prod VF'!$AJ$13:$AJ$1230,'3.1. Gas prod VF'!$L$13:$L$1230,$F47)</f>
        <v>1.075813906418853</v>
      </c>
      <c r="R47" s="77">
        <f>AVERAGEIFS('3.1. Gas prod VF'!$AK$13:$AK$1230,'3.1. Gas prod VF'!$L$13:$L$1230,$F47)</f>
        <v>0.32849132122685532</v>
      </c>
      <c r="S47" s="77">
        <f>AVERAGEIFS('3.1. Gas prod VF'!$AL$13:$AL$1230,'3.1. Gas prod VF'!$L$13:$L$1230,$F47)</f>
        <v>1.404305227645708</v>
      </c>
      <c r="T47" s="77">
        <f>AVERAGEIFS('3.1. Gas prod VF'!$AM$13:$AM$1230,'3.1. Gas prod VF'!$L$13:$L$1230,$F47)</f>
        <v>53.581044598080759</v>
      </c>
      <c r="U47" s="77">
        <f>AVERAGEIFS('3.1. Gas prod VF'!$AN$13:$AN$1230,'3.1. Gas prod VF'!$L$13:$L$1230,$F47)</f>
        <v>60.952466228024605</v>
      </c>
      <c r="V47" s="77">
        <f>AVERAGEIFS('3.1. Gas prod VF'!$AO$13:$AO$1230,'3.1. Gas prod VF'!$L$13:$L$1230,$F47)</f>
        <v>11.546952152425511</v>
      </c>
      <c r="W47" s="77">
        <f>AVERAGEIFS('3.1. Gas prod VF'!$AP$13:$AP$1230,'3.1. Gas prod VF'!$L$13:$L$1230,$F47)</f>
        <v>8.2750000000000004</v>
      </c>
      <c r="X47" s="77">
        <f>AVERAGEIFS('3.1. Gas prod VF'!$AQ$13:$AQ$1230,'3.1. Gas prod VF'!$L$13:$L$1230,$F47)</f>
        <v>5.6041901010525264</v>
      </c>
      <c r="Y47" s="77">
        <f>AVERAGEIFS('3.1. Gas prod VF'!$AR$13:$AR$1230,'3.1. Gas prod VF'!$L$13:$L$1230,$F47)</f>
        <v>3.0063155537558592</v>
      </c>
      <c r="Z47" s="77">
        <f>AVERAGEIFS('3.1. Gas prod VF'!$AS$13:$AS$1230,'3.1. Gas prod VF'!$L$13:$L$1230,$F47)</f>
        <v>4.9178820183898662</v>
      </c>
      <c r="AA47" s="77">
        <f>AVERAGEIFS('3.1. Gas prod VF'!$AT$13:$AT$1230,'3.1. Gas prod VF'!$L$13:$L$1230,$F47)</f>
        <v>5.5380145841358842E-2</v>
      </c>
      <c r="AB47" s="77">
        <f>AVERAGEIFS('3.1. Gas prod VF'!$AU$13:$AU$1230,'3.1. Gas prod VF'!$L$13:$L$1230,$F47)</f>
        <v>1.6685571447143246</v>
      </c>
      <c r="AC47" s="77">
        <f>AVERAGEIFS('3.1. Gas prod VF'!$AV$13:$AV$1230,'3.1. Gas prod VF'!$L$13:$L$1230,$F47)</f>
        <v>2.729509604670362</v>
      </c>
      <c r="AD47" s="20"/>
    </row>
    <row r="48" spans="2:30" x14ac:dyDescent="0.35">
      <c r="B48" s="62">
        <f>'1. Information samples'!B48</f>
        <v>38</v>
      </c>
      <c r="C48" s="62">
        <f>'1. Information samples'!C48</f>
        <v>46048</v>
      </c>
      <c r="D48" s="62" t="str">
        <f>'1. Information samples'!D48</f>
        <v>Genbank</v>
      </c>
      <c r="E48" s="62">
        <f>'1. Information samples'!E48</f>
        <v>28</v>
      </c>
      <c r="F48" s="62" t="str">
        <f>'1. Information samples'!F48</f>
        <v>F251762</v>
      </c>
      <c r="G48" s="62" t="str">
        <f>'1. Information samples'!G48</f>
        <v>CIAT-19571</v>
      </c>
      <c r="H48" s="62" t="str">
        <f>'1. Information samples'!H48</f>
        <v>Senna</v>
      </c>
      <c r="I48" s="62" t="str">
        <f>'1. Information samples'!I48</f>
        <v>cobanensis</v>
      </c>
      <c r="J48" s="62" t="str">
        <f>'1. Information samples'!J48</f>
        <v>Senna cobanensis</v>
      </c>
      <c r="K48" s="62" t="str">
        <f>'1. Information samples'!K48</f>
        <v>Fabaceae</v>
      </c>
      <c r="L48" s="62" t="str">
        <f>'1. Information samples'!L48</f>
        <v>Fabales</v>
      </c>
      <c r="M48" s="62" t="str">
        <f>'1. Information samples'!M48</f>
        <v>Tree</v>
      </c>
      <c r="N48" s="77">
        <f>AVERAGEIFS('3.1. Gas prod VF'!$AG$13:$AG$1230,'3.1. Gas prod VF'!$L$13:$L$1230,$F48)</f>
        <v>39.409511474352897</v>
      </c>
      <c r="O48" s="77">
        <f>AVERAGEIFS('3.1. Gas prod VF'!$AH$13:$AH$1230,'3.1. Gas prod VF'!$L$13:$L$1230,$F48)</f>
        <v>37.819270589575829</v>
      </c>
      <c r="P48" s="77">
        <f>AVERAGEIFS('3.1. Gas prod VF'!$AI$13:$AI$1230,'3.1. Gas prod VF'!$L$13:$L$1230,$F48)</f>
        <v>77.228782063928719</v>
      </c>
      <c r="Q48" s="77">
        <f>AVERAGEIFS('3.1. Gas prod VF'!$AJ$13:$AJ$1230,'3.1. Gas prod VF'!$L$13:$L$1230,$F48)</f>
        <v>5.4662301993852687</v>
      </c>
      <c r="R48" s="77">
        <f>AVERAGEIFS('3.1. Gas prod VF'!$AK$13:$AK$1230,'3.1. Gas prod VF'!$L$13:$L$1230,$F48)</f>
        <v>6.8793214413508359</v>
      </c>
      <c r="S48" s="77">
        <f>AVERAGEIFS('3.1. Gas prod VF'!$AL$13:$AL$1230,'3.1. Gas prod VF'!$L$13:$L$1230,$F48)</f>
        <v>12.345551640736105</v>
      </c>
      <c r="T48" s="77">
        <f>AVERAGEIFS('3.1. Gas prod VF'!$AM$13:$AM$1230,'3.1. Gas prod VF'!$L$13:$L$1230,$F48)</f>
        <v>165.61875335049621</v>
      </c>
      <c r="U48" s="77">
        <f>AVERAGEIFS('3.1. Gas prod VF'!$AN$13:$AN$1230,'3.1. Gas prod VF'!$L$13:$L$1230,$F48)</f>
        <v>44.592406169390699</v>
      </c>
      <c r="V48" s="77">
        <f>AVERAGEIFS('3.1. Gas prod VF'!$AO$13:$AO$1230,'3.1. Gas prod VF'!$L$13:$L$1230,$F48)</f>
        <v>2.6879520469733955</v>
      </c>
      <c r="W48" s="77">
        <f>AVERAGEIFS('3.1. Gas prod VF'!$AP$13:$AP$1230,'3.1. Gas prod VF'!$L$13:$L$1230,$F48)</f>
        <v>13.8375</v>
      </c>
      <c r="X48" s="77">
        <f>AVERAGEIFS('3.1. Gas prod VF'!$AQ$13:$AQ$1230,'3.1. Gas prod VF'!$L$13:$L$1230,$F48)</f>
        <v>15.970997799678077</v>
      </c>
      <c r="Y48" s="77">
        <f>AVERAGEIFS('3.1. Gas prod VF'!$AR$13:$AR$1230,'3.1. Gas prod VF'!$L$13:$L$1230,$F48)</f>
        <v>26.475385855016057</v>
      </c>
      <c r="Z48" s="77">
        <f>AVERAGEIFS('3.1. Gas prod VF'!$AS$13:$AS$1230,'3.1. Gas prod VF'!$L$13:$L$1230,$F48)</f>
        <v>61.871827086157325</v>
      </c>
      <c r="AA48" s="77">
        <f>AVERAGEIFS('3.1. Gas prod VF'!$AT$13:$AT$1230,'3.1. Gas prod VF'!$L$13:$L$1230,$F48)</f>
        <v>1.0112741127947875</v>
      </c>
      <c r="AB48" s="77">
        <f>AVERAGEIFS('3.1. Gas prod VF'!$AU$13:$AU$1230,'3.1. Gas prod VF'!$L$13:$L$1230,$F48)</f>
        <v>14.694297201192304</v>
      </c>
      <c r="AC48" s="77">
        <f>AVERAGEIFS('3.1. Gas prod VF'!$AV$13:$AV$1230,'3.1. Gas prod VF'!$L$13:$L$1230,$F48)</f>
        <v>34.339934479652726</v>
      </c>
      <c r="AD48" s="20"/>
    </row>
    <row r="49" spans="2:30" x14ac:dyDescent="0.35">
      <c r="B49" s="62">
        <f>'1. Information samples'!B49</f>
        <v>39</v>
      </c>
      <c r="C49" s="62">
        <f>'1. Information samples'!C49</f>
        <v>46048</v>
      </c>
      <c r="D49" s="62" t="str">
        <f>'1. Information samples'!D49</f>
        <v>Genbank</v>
      </c>
      <c r="E49" s="62">
        <f>'1. Information samples'!E49</f>
        <v>28</v>
      </c>
      <c r="F49" s="62" t="str">
        <f>'1. Information samples'!F49</f>
        <v>F251763</v>
      </c>
      <c r="G49" s="62" t="str">
        <f>'1. Information samples'!G49</f>
        <v>CIAT-20126</v>
      </c>
      <c r="H49" s="62" t="str">
        <f>'1. Information samples'!H49</f>
        <v>Acacia</v>
      </c>
      <c r="I49" s="62" t="str">
        <f>'1. Information samples'!I49</f>
        <v>angustissima</v>
      </c>
      <c r="J49" s="62" t="str">
        <f>'1. Information samples'!J49</f>
        <v>Acacia angustissima</v>
      </c>
      <c r="K49" s="62" t="str">
        <f>'1. Information samples'!K49</f>
        <v>Fabaceae</v>
      </c>
      <c r="L49" s="62" t="str">
        <f>'1. Information samples'!L49</f>
        <v>Fabales</v>
      </c>
      <c r="M49" s="62" t="str">
        <f>'1. Information samples'!M49</f>
        <v>Tree</v>
      </c>
      <c r="N49" s="77">
        <f>AVERAGE('3.1. Gas prod VF'!AG310,'3.1. Gas prod VF'!AG311,'3.1. Gas prod VF'!AG497,'3.1. Gas prod VF'!AG498,'3.1. Gas prod VF'!AG676,'3.1. Gas prod VF'!AG677)</f>
        <v>19.987062877385199</v>
      </c>
      <c r="O49" s="77">
        <f>AVERAGE('3.1. Gas prod VF'!AH310,'3.1. Gas prod VF'!AH311,'3.1. Gas prod VF'!AH497,'3.1. Gas prod VF'!AH498,'3.1. Gas prod VF'!AH676,'3.1. Gas prod VF'!AH677)</f>
        <v>14.876639642294821</v>
      </c>
      <c r="P49" s="77">
        <f>AVERAGE('3.1. Gas prod VF'!AI310,'3.1. Gas prod VF'!AI311,'3.1. Gas prod VF'!AI497,'3.1. Gas prod VF'!AI498,'3.1. Gas prod VF'!AI676,'3.1. Gas prod VF'!AI677)</f>
        <v>34.863702519680018</v>
      </c>
      <c r="Q49" s="77">
        <f>AVERAGE('3.1. Gas prod VF'!AJ310,'3.1. Gas prod VF'!AJ311,'3.1. Gas prod VF'!AJ497,'3.1. Gas prod VF'!AJ498,'3.1. Gas prod VF'!AJ676,'3.1. Gas prod VF'!AJ677)</f>
        <v>2.4403893657683069</v>
      </c>
      <c r="R49" s="77">
        <f>AVERAGE('3.1. Gas prod VF'!AK310,'3.1. Gas prod VF'!AK311,'3.1. Gas prod VF'!AK497,'3.1. Gas prod VF'!AK498,'3.1. Gas prod VF'!AK676,'3.1. Gas prod VF'!AK677)</f>
        <v>1.8072215056719525</v>
      </c>
      <c r="S49" s="77">
        <f>AVERAGE('3.1. Gas prod VF'!AL310,'3.1. Gas prod VF'!AL311,'3.1. Gas prod VF'!AL497,'3.1. Gas prod VF'!AL498,'3.1. Gas prod VF'!AL676,'3.1. Gas prod VF'!AL677)</f>
        <v>4.2476108714402594</v>
      </c>
      <c r="T49" s="77">
        <f>AVERAGE('3.1. Gas prod VF'!AM310,'3.1. Gas prod VF'!AM311,'3.1. Gas prod VF'!AM497,'3.1. Gas prod VF'!AM498,'3.1. Gas prod VF'!AM676,'3.1. Gas prod VF'!AM677)</f>
        <v>74.165758722355591</v>
      </c>
      <c r="U49" s="77">
        <f>AVERAGE('3.1. Gas prod VF'!AN310,'3.1. Gas prod VF'!AN311,'3.1. Gas prod VF'!AN497,'3.1. Gas prod VF'!AN498,'3.1. Gas prod VF'!AN676,'3.1. Gas prod VF'!AN677)</f>
        <v>25.994954072582882</v>
      </c>
      <c r="V49" s="77">
        <f>AVERAGE('3.1. Gas prod VF'!AO310,'3.1. Gas prod VF'!AO311,'3.1. Gas prod VF'!AO497,'3.1. Gas prod VF'!AO498,'3.1. Gas prod VF'!AO676,'3.1. Gas prod VF'!AO677)</f>
        <v>3.5447613719487219</v>
      </c>
      <c r="W49" s="77">
        <f>AVERAGE('3.1. Gas prod VF'!AP310,'3.1. Gas prod VF'!AP311,'3.1. Gas prod VF'!AP497,'3.1. Gas prod VF'!AP498,'3.1. Gas prod VF'!AP676,'3.1. Gas prod VF'!AP677)</f>
        <v>12.200000000000001</v>
      </c>
      <c r="X49" s="77">
        <f>AVERAGE('3.1. Gas prod VF'!AQ310,'3.1. Gas prod VF'!AQ311,'3.1. Gas prod VF'!AQ497,'3.1. Gas prod VF'!AQ498,'3.1. Gas prod VF'!AQ676,'3.1. Gas prod VF'!AQ677)</f>
        <v>12.176873903543679</v>
      </c>
      <c r="Y49" s="77">
        <f>AVERAGE('3.1. Gas prod VF'!AR310,'3.1. Gas prod VF'!AR311,'3.1. Gas prod VF'!AR497,'3.1. Gas prod VF'!AR498,'3.1. Gas prod VF'!AR676,'3.1. Gas prod VF'!AR677)</f>
        <v>9.035968352605888</v>
      </c>
      <c r="Z49" s="77">
        <f>AVERAGE('3.1. Gas prod VF'!AS310,'3.1. Gas prod VF'!AS311,'3.1. Gas prod VF'!AS497,'3.1. Gas prod VF'!AS498,'3.1. Gas prod VF'!AS676,'3.1. Gas prod VF'!AS677)</f>
        <v>35.132468374240972</v>
      </c>
      <c r="AA49" s="77">
        <f>AVERAGE('3.1. Gas prod VF'!AT310,'3.1. Gas prod VF'!AT311,'3.1. Gas prod VF'!AT497,'3.1. Gas prod VF'!AT498,'3.1. Gas prod VF'!AT676,'3.1. Gas prod VF'!AT677)</f>
        <v>-0.15872393704331578</v>
      </c>
      <c r="AB49" s="77">
        <f>AVERAGE('3.1. Gas prod VF'!AU310,'3.1. Gas prod VF'!AU311,'3.1. Gas prod VF'!AU497,'3.1. Gas prod VF'!AU498,'3.1. Gas prod VF'!AU676,'3.1. Gas prod VF'!AU677)</f>
        <v>5.0151187673286657</v>
      </c>
      <c r="AC49" s="77">
        <f>AVERAGE('3.1. Gas prod VF'!AV310,'3.1. Gas prod VF'!AV311,'3.1. Gas prod VF'!AV497,'3.1. Gas prod VF'!AV498,'3.1. Gas prod VF'!AV676,'3.1. Gas prod VF'!AV677)</f>
        <v>19.499127775876303</v>
      </c>
      <c r="AD49" s="20"/>
    </row>
    <row r="50" spans="2:30" x14ac:dyDescent="0.35">
      <c r="B50" s="62">
        <f>'1. Information samples'!B50</f>
        <v>40</v>
      </c>
      <c r="C50" s="62">
        <f>'1. Information samples'!C50</f>
        <v>46048</v>
      </c>
      <c r="D50" s="62" t="str">
        <f>'1. Information samples'!D50</f>
        <v>Genbank</v>
      </c>
      <c r="E50" s="62">
        <f>'1. Information samples'!E50</f>
        <v>28</v>
      </c>
      <c r="F50" s="62" t="str">
        <f>'1. Information samples'!F50</f>
        <v>F251764</v>
      </c>
      <c r="G50" s="62" t="str">
        <f>'1. Information samples'!G50</f>
        <v>CIAT-20788</v>
      </c>
      <c r="H50" s="62" t="str">
        <f>'1. Information samples'!H50</f>
        <v>Senna</v>
      </c>
      <c r="I50" s="62" t="str">
        <f>'1. Information samples'!I50</f>
        <v>pallida</v>
      </c>
      <c r="J50" s="62" t="str">
        <f>'1. Information samples'!J50</f>
        <v>Senna pallida</v>
      </c>
      <c r="K50" s="62" t="str">
        <f>'1. Information samples'!K50</f>
        <v>Fabaceae</v>
      </c>
      <c r="L50" s="62" t="str">
        <f>'1. Information samples'!L50</f>
        <v>Fabales</v>
      </c>
      <c r="M50" s="62" t="str">
        <f>'1. Information samples'!M50</f>
        <v>Tree</v>
      </c>
      <c r="N50" s="77">
        <f>AVERAGE('3.1. Gas prod VF'!AG313,'3.1. Gas prod VF'!AG314,'3.1. Gas prod VF'!AG315,'3.1. Gas prod VF'!AG499,'3.1. Gas prod VF'!AG501,'3.1. Gas prod VF'!AG678,'3.1. Gas prod VF'!AG679)</f>
        <v>48.881231099025641</v>
      </c>
      <c r="O50" s="77">
        <f>AVERAGE('3.1. Gas prod VF'!AH313,'3.1. Gas prod VF'!AH314,'3.1. Gas prod VF'!AH315,'3.1. Gas prod VF'!AH499,'3.1. Gas prod VF'!AH501,'3.1. Gas prod VF'!AH678,'3.1. Gas prod VF'!AH679)</f>
        <v>48.824081807508549</v>
      </c>
      <c r="P50" s="77">
        <f>AVERAGE('3.1. Gas prod VF'!AI313,'3.1. Gas prod VF'!AI314,'3.1. Gas prod VF'!AI315,'3.1. Gas prod VF'!AI499,'3.1. Gas prod VF'!AI501,'3.1. Gas prod VF'!AI678,'3.1. Gas prod VF'!AI679)</f>
        <v>97.705312906534189</v>
      </c>
      <c r="Q50" s="77">
        <f>AVERAGE('3.1. Gas prod VF'!AJ313,'3.1. Gas prod VF'!AJ314,'3.1. Gas prod VF'!AJ315,'3.1. Gas prod VF'!AJ499,'3.1. Gas prod VF'!AJ501,'3.1. Gas prod VF'!AJ678,'3.1. Gas prod VF'!AJ679)</f>
        <v>6.3342614386294542</v>
      </c>
      <c r="R50" s="77">
        <f>AVERAGE('3.1. Gas prod VF'!AK313,'3.1. Gas prod VF'!AK314,'3.1. Gas prod VF'!AK315,'3.1. Gas prod VF'!AK499,'3.1. Gas prod VF'!AK501,'3.1. Gas prod VF'!AK678,'3.1. Gas prod VF'!AK679)</f>
        <v>8.5604345324146411</v>
      </c>
      <c r="S50" s="77">
        <f>AVERAGE('3.1. Gas prod VF'!AL313,'3.1. Gas prod VF'!AL314,'3.1. Gas prod VF'!AL315,'3.1. Gas prod VF'!AL499,'3.1. Gas prod VF'!AL501,'3.1. Gas prod VF'!AL678,'3.1. Gas prod VF'!AL679)</f>
        <v>14.894695971044095</v>
      </c>
      <c r="T50" s="77">
        <f>AVERAGE('3.1. Gas prod VF'!AM313,'3.1. Gas prod VF'!AM314,'3.1. Gas prod VF'!AM315,'3.1. Gas prod VF'!AM499,'3.1. Gas prod VF'!AM501,'3.1. Gas prod VF'!AM678,'3.1. Gas prod VF'!AM679)</f>
        <v>207.97377341453131</v>
      </c>
      <c r="U50" s="77">
        <f>AVERAGE('3.1. Gas prod VF'!AN313,'3.1. Gas prod VF'!AN314,'3.1. Gas prod VF'!AN315,'3.1. Gas prod VF'!AN499,'3.1. Gas prod VF'!AN501,'3.1. Gas prod VF'!AN678,'3.1. Gas prod VF'!AN679)</f>
        <v>67.101278345398896</v>
      </c>
      <c r="V50" s="77">
        <f>AVERAGE('3.1. Gas prod VF'!AO313,'3.1. Gas prod VF'!AO314,'3.1. Gas prod VF'!AO315,'3.1. Gas prod VF'!AO499,'3.1. Gas prod VF'!AO501,'3.1. Gas prod VF'!AO678,'3.1. Gas prod VF'!AO679)</f>
        <v>3.2314510499915685</v>
      </c>
      <c r="W50" s="77">
        <f>AVERAGE('3.1. Gas prod VF'!AP313,'3.1. Gas prod VF'!AP314,'3.1. Gas prod VF'!AP315,'3.1. Gas prod VF'!AP499,'3.1. Gas prod VF'!AP501,'3.1. Gas prod VF'!AP678,'3.1. Gas prod VF'!AP679)</f>
        <v>12.928571428571429</v>
      </c>
      <c r="X50" s="77">
        <f>AVERAGE('3.1. Gas prod VF'!AQ313,'3.1. Gas prod VF'!AQ314,'3.1. Gas prod VF'!AQ315,'3.1. Gas prod VF'!AQ499,'3.1. Gas prod VF'!AQ501,'3.1. Gas prod VF'!AQ678,'3.1. Gas prod VF'!AQ679)</f>
        <v>15.234874286447516</v>
      </c>
      <c r="Y50" s="77">
        <f>AVERAGE('3.1. Gas prod VF'!AR313,'3.1. Gas prod VF'!AR314,'3.1. Gas prod VF'!AR315,'3.1. Gas prod VF'!AR499,'3.1. Gas prod VF'!AR501,'3.1. Gas prod VF'!AR678,'3.1. Gas prod VF'!AR679)</f>
        <v>31.704830527695574</v>
      </c>
      <c r="Z50" s="77">
        <f>AVERAGE('3.1. Gas prod VF'!AS313,'3.1. Gas prod VF'!AS314,'3.1. Gas prod VF'!AS315,'3.1. Gas prod VF'!AS499,'3.1. Gas prod VF'!AS501,'3.1. Gas prod VF'!AS678,'3.1. Gas prod VF'!AS679)</f>
        <v>47.306708893751818</v>
      </c>
      <c r="AA50" s="77">
        <f>AVERAGE('3.1. Gas prod VF'!AT313,'3.1. Gas prod VF'!AT314,'3.1. Gas prod VF'!AT315,'3.1. Gas prod VF'!AT499,'3.1. Gas prod VF'!AT501,'3.1. Gas prod VF'!AT678,'3.1. Gas prod VF'!AT679)</f>
        <v>0.39408647732670848</v>
      </c>
      <c r="AB50" s="77">
        <f>AVERAGE('3.1. Gas prod VF'!AU313,'3.1. Gas prod VF'!AU314,'3.1. Gas prod VF'!AU315,'3.1. Gas prod VF'!AU499,'3.1. Gas prod VF'!AU501,'3.1. Gas prod VF'!AU678,'3.1. Gas prod VF'!AU679)</f>
        <v>17.596729469350763</v>
      </c>
      <c r="AC50" s="77">
        <f>AVERAGE('3.1. Gas prod VF'!AV313,'3.1. Gas prod VF'!AV314,'3.1. Gas prod VF'!AV315,'3.1. Gas prod VF'!AV499,'3.1. Gas prod VF'!AV501,'3.1. Gas prod VF'!AV678,'3.1. Gas prod VF'!AV679)</f>
        <v>26.256041891203434</v>
      </c>
      <c r="AD50" s="20"/>
    </row>
    <row r="51" spans="2:30" x14ac:dyDescent="0.35">
      <c r="B51" s="62">
        <f>'1. Information samples'!B51</f>
        <v>41</v>
      </c>
      <c r="C51" s="62">
        <f>'1. Information samples'!C51</f>
        <v>46048</v>
      </c>
      <c r="D51" s="62" t="str">
        <f>'1. Information samples'!D51</f>
        <v>Genbank</v>
      </c>
      <c r="E51" s="62">
        <f>'1. Information samples'!E51</f>
        <v>28</v>
      </c>
      <c r="F51" s="62" t="str">
        <f>'1. Information samples'!F51</f>
        <v>F251765</v>
      </c>
      <c r="G51" s="62" t="str">
        <f>'1. Information samples'!G51</f>
        <v>CIAT-21242</v>
      </c>
      <c r="H51" s="62" t="str">
        <f>'1. Information samples'!H51</f>
        <v>Leucaena</v>
      </c>
      <c r="I51" s="62" t="str">
        <f>'1. Information samples'!I51</f>
        <v>diversifolia</v>
      </c>
      <c r="J51" s="62" t="str">
        <f>'1. Information samples'!J51</f>
        <v>Leucaena diversifolia</v>
      </c>
      <c r="K51" s="62" t="str">
        <f>'1. Information samples'!K51</f>
        <v>Fabaceae</v>
      </c>
      <c r="L51" s="62" t="str">
        <f>'1. Information samples'!L51</f>
        <v>Fabales</v>
      </c>
      <c r="M51" s="62" t="str">
        <f>'1. Information samples'!M51</f>
        <v>Tree</v>
      </c>
      <c r="N51" s="77">
        <f>AVERAGEIFS('3.1. Gas prod VF'!$AG$13:$AG$1230,'3.1. Gas prod VF'!$L$13:$L$1230,$F51)</f>
        <v>23.284511474352893</v>
      </c>
      <c r="O51" s="77">
        <f>AVERAGEIFS('3.1. Gas prod VF'!$AH$13:$AH$1230,'3.1. Gas prod VF'!$L$13:$L$1230,$F51)</f>
        <v>18.681770589575819</v>
      </c>
      <c r="P51" s="77">
        <f>AVERAGEIFS('3.1. Gas prod VF'!$AI$13:$AI$1230,'3.1. Gas prod VF'!$L$13:$L$1230,$F51)</f>
        <v>41.966282063928709</v>
      </c>
      <c r="Q51" s="77">
        <f>AVERAGEIFS('3.1. Gas prod VF'!$AJ$13:$AJ$1230,'3.1. Gas prod VF'!$L$13:$L$1230,$F51)</f>
        <v>2.6507603661456138</v>
      </c>
      <c r="R51" s="77">
        <f>AVERAGEIFS('3.1. Gas prod VF'!$AK$13:$AK$1230,'3.1. Gas prod VF'!$L$13:$L$1230,$F51)</f>
        <v>2.6044328724064756</v>
      </c>
      <c r="S51" s="77">
        <f>AVERAGEIFS('3.1. Gas prod VF'!$AL$13:$AL$1230,'3.1. Gas prod VF'!$L$13:$L$1230,$F51)</f>
        <v>5.2551932385520894</v>
      </c>
      <c r="T51" s="77">
        <f>AVERAGEIFS('3.1. Gas prod VF'!$AM$13:$AM$1230,'3.1. Gas prod VF'!$L$13:$L$1230,$F51)</f>
        <v>90.005588693499561</v>
      </c>
      <c r="U51" s="77">
        <f>AVERAGEIFS('3.1. Gas prod VF'!$AN$13:$AN$1230,'3.1. Gas prod VF'!$L$13:$L$1230,$F51)</f>
        <v>32.079568134243416</v>
      </c>
      <c r="V51" s="77">
        <f>AVERAGEIFS('3.1. Gas prod VF'!$AO$13:$AO$1230,'3.1. Gas prod VF'!$L$13:$L$1230,$F51)</f>
        <v>3.5914709772059235</v>
      </c>
      <c r="W51" s="77">
        <f>AVERAGEIFS('3.1. Gas prod VF'!$AP$13:$AP$1230,'3.1. Gas prod VF'!$L$13:$L$1230,$F51)</f>
        <v>11.325000000000001</v>
      </c>
      <c r="X51" s="77">
        <f>AVERAGEIFS('3.1. Gas prod VF'!$AQ$13:$AQ$1230,'3.1. Gas prod VF'!$L$13:$L$1230,$F51)</f>
        <v>12.503055415668545</v>
      </c>
      <c r="Y51" s="77">
        <f>AVERAGEIFS('3.1. Gas prod VF'!$AR$13:$AR$1230,'3.1. Gas prod VF'!$L$13:$L$1230,$F51)</f>
        <v>11.270997007966557</v>
      </c>
      <c r="Z51" s="77">
        <f>AVERAGEIFS('3.1. Gas prod VF'!$AS$13:$AS$1230,'3.1. Gas prod VF'!$L$13:$L$1230,$F51)</f>
        <v>35.98003184377631</v>
      </c>
      <c r="AA51" s="77">
        <f>AVERAGEIFS('3.1. Gas prod VF'!$AT$13:$AT$1230,'3.1. Gas prod VF'!$L$13:$L$1230,$F51)</f>
        <v>3.7331835430377214E-2</v>
      </c>
      <c r="AB51" s="77">
        <f>AVERAGEIFS('3.1. Gas prod VF'!$AU$13:$AU$1230,'3.1. Gas prod VF'!$L$13:$L$1230,$F51)</f>
        <v>6.2555983393696728</v>
      </c>
      <c r="AC51" s="77">
        <f>AVERAGEIFS('3.1. Gas prod VF'!$AV$13:$AV$1230,'3.1. Gas prod VF'!$L$13:$L$1230,$F51)</f>
        <v>19.969540165196261</v>
      </c>
      <c r="AD51" s="20"/>
    </row>
    <row r="52" spans="2:30" x14ac:dyDescent="0.35">
      <c r="B52" s="62">
        <f>'1. Information samples'!B52</f>
        <v>42</v>
      </c>
      <c r="C52" s="62">
        <f>'1. Information samples'!C52</f>
        <v>46048</v>
      </c>
      <c r="D52" s="62" t="str">
        <f>'1. Information samples'!D52</f>
        <v>Genbank</v>
      </c>
      <c r="E52" s="62">
        <f>'1. Information samples'!E52</f>
        <v>28</v>
      </c>
      <c r="F52" s="62" t="str">
        <f>'1. Information samples'!F52</f>
        <v>F251766</v>
      </c>
      <c r="G52" s="62" t="str">
        <f>'1. Information samples'!G52</f>
        <v>CIAT-21512</v>
      </c>
      <c r="H52" s="62" t="str">
        <f>'1. Information samples'!H52</f>
        <v>Calliandra</v>
      </c>
      <c r="I52" s="62" t="str">
        <f>'1. Information samples'!I52</f>
        <v>calothyrsus</v>
      </c>
      <c r="J52" s="62" t="str">
        <f>'1. Information samples'!J52</f>
        <v>Calliandra calothyrsus</v>
      </c>
      <c r="K52" s="62" t="str">
        <f>'1. Information samples'!K52</f>
        <v>Fabaceae</v>
      </c>
      <c r="L52" s="62" t="str">
        <f>'1. Information samples'!L52</f>
        <v>Fabales</v>
      </c>
      <c r="M52" s="62" t="str">
        <f>'1. Information samples'!M52</f>
        <v>Tree</v>
      </c>
      <c r="N52" s="77">
        <f>AVERAGEIFS('3.1. Gas prod VF'!$AG$13:$AG$1230,'3.1. Gas prod VF'!$L$13:$L$1230,$F52)</f>
        <v>13.347011474352893</v>
      </c>
      <c r="O52" s="77">
        <f>AVERAGEIFS('3.1. Gas prod VF'!$AH$13:$AH$1230,'3.1. Gas prod VF'!$L$13:$L$1230,$F52)</f>
        <v>12.119270589575823</v>
      </c>
      <c r="P52" s="77">
        <f>AVERAGEIFS('3.1. Gas prod VF'!$AI$13:$AI$1230,'3.1. Gas prod VF'!$L$13:$L$1230,$F52)</f>
        <v>25.466282063928709</v>
      </c>
      <c r="Q52" s="77">
        <f>AVERAGEIFS('3.1. Gas prod VF'!$AJ$13:$AJ$1230,'3.1. Gas prod VF'!$L$13:$L$1230,$F52)</f>
        <v>1.4975882083442724</v>
      </c>
      <c r="R52" s="77">
        <f>AVERAGEIFS('3.1. Gas prod VF'!$AK$13:$AK$1230,'3.1. Gas prod VF'!$L$13:$L$1230,$F52)</f>
        <v>1.5882270699150958</v>
      </c>
      <c r="S52" s="77">
        <f>AVERAGEIFS('3.1. Gas prod VF'!$AL$13:$AL$1230,'3.1. Gas prod VF'!$L$13:$L$1230,$F52)</f>
        <v>3.0858152782593686</v>
      </c>
      <c r="T52" s="77">
        <f>AVERAGEIFS('3.1. Gas prod VF'!$AM$13:$AM$1230,'3.1. Gas prod VF'!$L$13:$L$1230,$F52)</f>
        <v>54.865319533763163</v>
      </c>
      <c r="U52" s="77">
        <f>AVERAGEIFS('3.1. Gas prod VF'!$AN$13:$AN$1230,'3.1. Gas prod VF'!$L$13:$L$1230,$F52)</f>
        <v>25.148459329842964</v>
      </c>
      <c r="V52" s="77">
        <f>AVERAGEIFS('3.1. Gas prod VF'!$AO$13:$AO$1230,'3.1. Gas prod VF'!$L$13:$L$1230,$F52)</f>
        <v>4.8821512762568924</v>
      </c>
      <c r="W52" s="77">
        <f>AVERAGEIFS('3.1. Gas prod VF'!$AP$13:$AP$1230,'3.1. Gas prod VF'!$L$13:$L$1230,$F52)</f>
        <v>11.099999999999998</v>
      </c>
      <c r="X52" s="77">
        <f>AVERAGEIFS('3.1. Gas prod VF'!$AQ$13:$AQ$1230,'3.1. Gas prod VF'!$L$13:$L$1230,$F52)</f>
        <v>12.110473520932812</v>
      </c>
      <c r="Y52" s="77">
        <f>AVERAGEIFS('3.1. Gas prod VF'!$AR$13:$AR$1230,'3.1. Gas prod VF'!$L$13:$L$1230,$F52)</f>
        <v>6.6482492632887951</v>
      </c>
      <c r="Z52" s="77">
        <f>AVERAGEIFS('3.1. Gas prod VF'!$AS$13:$AS$1230,'3.1. Gas prod VF'!$L$13:$L$1230,$F52)</f>
        <v>27.963591847238725</v>
      </c>
      <c r="AA52" s="77">
        <f>AVERAGEIFS('3.1. Gas prod VF'!$AT$13:$AT$1230,'3.1. Gas prod VF'!$L$13:$L$1230,$F52)</f>
        <v>-7.8674878598240017E-2</v>
      </c>
      <c r="AB52" s="77">
        <f>AVERAGEIFS('3.1. Gas prod VF'!$AU$13:$AU$1230,'3.1. Gas prod VF'!$L$13:$L$1230,$F52)</f>
        <v>3.6898933627388337</v>
      </c>
      <c r="AC52" s="77">
        <f>AVERAGEIFS('3.1. Gas prod VF'!$AV$13:$AV$1230,'3.1. Gas prod VF'!$L$13:$L$1230,$F52)</f>
        <v>15.520277274384398</v>
      </c>
      <c r="AD52" s="20"/>
    </row>
    <row r="53" spans="2:30" x14ac:dyDescent="0.35">
      <c r="B53" s="62">
        <f>'1. Information samples'!B53</f>
        <v>43</v>
      </c>
      <c r="C53" s="62">
        <f>'1. Information samples'!C53</f>
        <v>46048</v>
      </c>
      <c r="D53" s="62" t="str">
        <f>'1. Information samples'!D53</f>
        <v>Genbank</v>
      </c>
      <c r="E53" s="62">
        <f>'1. Information samples'!E53</f>
        <v>28</v>
      </c>
      <c r="F53" s="62" t="str">
        <f>'1. Information samples'!F53</f>
        <v>F251767</v>
      </c>
      <c r="G53" s="62" t="str">
        <f>'1. Information samples'!G53</f>
        <v>CIAT-21601</v>
      </c>
      <c r="H53" s="62" t="str">
        <f>'1. Information samples'!H53</f>
        <v>Erythrina</v>
      </c>
      <c r="I53" s="62" t="str">
        <f>'1. Information samples'!I53</f>
        <v>fusca</v>
      </c>
      <c r="J53" s="62" t="str">
        <f>'1. Information samples'!J53</f>
        <v>Erythrina fusca</v>
      </c>
      <c r="K53" s="62" t="str">
        <f>'1. Information samples'!K53</f>
        <v>Fabaceae</v>
      </c>
      <c r="L53" s="62" t="str">
        <f>'1. Information samples'!L53</f>
        <v>Fabales</v>
      </c>
      <c r="M53" s="62" t="str">
        <f>'1. Information samples'!M53</f>
        <v>Tree</v>
      </c>
      <c r="N53" s="77">
        <f>AVERAGEIFS('3.1. Gas prod VF'!$AG$13:$AG$1230,'3.1. Gas prod VF'!$L$13:$L$1230,$F53)</f>
        <v>21.284511474352893</v>
      </c>
      <c r="O53" s="77">
        <f>AVERAGEIFS('3.1. Gas prod VF'!$AH$13:$AH$1230,'3.1. Gas prod VF'!$L$13:$L$1230,$F53)</f>
        <v>27.494270589575816</v>
      </c>
      <c r="P53" s="77">
        <f>AVERAGEIFS('3.1. Gas prod VF'!$AI$13:$AI$1230,'3.1. Gas prod VF'!$L$13:$L$1230,$F53)</f>
        <v>48.778782063928709</v>
      </c>
      <c r="Q53" s="77">
        <f>AVERAGEIFS('3.1. Gas prod VF'!$AJ$13:$AJ$1230,'3.1. Gas prod VF'!$L$13:$L$1230,$F53)</f>
        <v>3.000332490001413</v>
      </c>
      <c r="R53" s="77">
        <f>AVERAGEIFS('3.1. Gas prod VF'!$AK$13:$AK$1230,'3.1. Gas prod VF'!$L$13:$L$1230,$F53)</f>
        <v>4.2264364517325896</v>
      </c>
      <c r="S53" s="77">
        <f>AVERAGEIFS('3.1. Gas prod VF'!$AL$13:$AL$1230,'3.1. Gas prod VF'!$L$13:$L$1230,$F53)</f>
        <v>7.2267689417340035</v>
      </c>
      <c r="T53" s="77">
        <f>AVERAGEIFS('3.1. Gas prod VF'!$AM$13:$AM$1230,'3.1. Gas prod VF'!$L$13:$L$1230,$F53)</f>
        <v>104.57417146080716</v>
      </c>
      <c r="U53" s="77">
        <f>AVERAGEIFS('3.1. Gas prod VF'!$AN$13:$AN$1230,'3.1. Gas prod VF'!$L$13:$L$1230,$F53)</f>
        <v>29.916957154020942</v>
      </c>
      <c r="V53" s="77">
        <f>AVERAGEIFS('3.1. Gas prod VF'!$AO$13:$AO$1230,'3.1. Gas prod VF'!$L$13:$L$1230,$F53)</f>
        <v>2.8978938833092358</v>
      </c>
      <c r="W53" s="77">
        <f>AVERAGEIFS('3.1. Gas prod VF'!$AP$13:$AP$1230,'3.1. Gas prod VF'!$L$13:$L$1230,$F53)</f>
        <v>13.987499999999999</v>
      </c>
      <c r="X53" s="77">
        <f>AVERAGEIFS('3.1. Gas prod VF'!$AQ$13:$AQ$1230,'3.1. Gas prod VF'!$L$13:$L$1230,$F53)</f>
        <v>14.776763801922671</v>
      </c>
      <c r="Y53" s="77">
        <f>AVERAGEIFS('3.1. Gas prod VF'!$AR$13:$AR$1230,'3.1. Gas prod VF'!$L$13:$L$1230,$F53)</f>
        <v>15.493221087390442</v>
      </c>
      <c r="Z53" s="77">
        <f>AVERAGEIFS('3.1. Gas prod VF'!$AS$13:$AS$1230,'3.1. Gas prod VF'!$L$13:$L$1230,$F53)</f>
        <v>52.414170134707817</v>
      </c>
      <c r="AA53" s="77">
        <f>AVERAGEIFS('3.1. Gas prod VF'!$AT$13:$AT$1230,'3.1. Gas prod VF'!$L$13:$L$1230,$F53)</f>
        <v>-6.8235397735705279</v>
      </c>
      <c r="AB53" s="77">
        <f>AVERAGEIFS('3.1. Gas prod VF'!$AU$13:$AU$1230,'3.1. Gas prod VF'!$L$13:$L$1230,$F53)</f>
        <v>8.5990057523094343</v>
      </c>
      <c r="AC53" s="77">
        <f>AVERAGEIFS('3.1. Gas prod VF'!$AV$13:$AV$1230,'3.1. Gas prod VF'!$L$13:$L$1230,$F53)</f>
        <v>29.090771244315349</v>
      </c>
      <c r="AD53" s="20"/>
    </row>
    <row r="54" spans="2:30" x14ac:dyDescent="0.35">
      <c r="B54" s="62">
        <f>'1. Information samples'!B54</f>
        <v>44</v>
      </c>
      <c r="C54" s="62">
        <f>'1. Information samples'!C54</f>
        <v>46048</v>
      </c>
      <c r="D54" s="62" t="str">
        <f>'1. Information samples'!D54</f>
        <v>Genbank</v>
      </c>
      <c r="E54" s="62">
        <f>'1. Information samples'!E54</f>
        <v>28</v>
      </c>
      <c r="F54" s="62" t="str">
        <f>'1. Information samples'!F54</f>
        <v>F251768</v>
      </c>
      <c r="G54" s="62" t="str">
        <f>'1. Information samples'!G54</f>
        <v>CIAT-21809</v>
      </c>
      <c r="H54" s="62" t="str">
        <f>'1. Information samples'!H54</f>
        <v>Acacia</v>
      </c>
      <c r="I54" s="62" t="str">
        <f>'1. Information samples'!I54</f>
        <v>farnesiana</v>
      </c>
      <c r="J54" s="62" t="str">
        <f>'1. Information samples'!J54</f>
        <v>Acacia farnesiana</v>
      </c>
      <c r="K54" s="62" t="str">
        <f>'1. Information samples'!K54</f>
        <v>Fabaceae</v>
      </c>
      <c r="L54" s="62" t="str">
        <f>'1. Information samples'!L54</f>
        <v>Fabales</v>
      </c>
      <c r="M54" s="62" t="str">
        <f>'1. Information samples'!M54</f>
        <v>Tree</v>
      </c>
      <c r="N54" s="77">
        <f>AVERAGEIFS('3.1. Gas prod VF'!$AG$13:$AG$1230,'3.1. Gas prod VF'!$L$13:$L$1230,$F54)</f>
        <v>33.784511474352897</v>
      </c>
      <c r="O54" s="77">
        <f>AVERAGEIFS('3.1. Gas prod VF'!$AH$13:$AH$1230,'3.1. Gas prod VF'!$L$13:$L$1230,$F54)</f>
        <v>29.931770589575819</v>
      </c>
      <c r="P54" s="77">
        <f>AVERAGEIFS('3.1. Gas prod VF'!$AI$13:$AI$1230,'3.1. Gas prod VF'!$L$13:$L$1230,$F54)</f>
        <v>63.716282063928709</v>
      </c>
      <c r="Q54" s="77">
        <f>AVERAGEIFS('3.1. Gas prod VF'!$AJ$13:$AJ$1230,'3.1. Gas prod VF'!$L$13:$L$1230,$F54)</f>
        <v>4.6227298954711387</v>
      </c>
      <c r="R54" s="77">
        <f>AVERAGEIFS('3.1. Gas prod VF'!$AK$13:$AK$1230,'3.1. Gas prod VF'!$L$13:$L$1230,$F54)</f>
        <v>5.3954728033618631</v>
      </c>
      <c r="S54" s="77">
        <f>AVERAGEIFS('3.1. Gas prod VF'!$AL$13:$AL$1230,'3.1. Gas prod VF'!$L$13:$L$1230,$F54)</f>
        <v>10.018202698833001</v>
      </c>
      <c r="T54" s="77">
        <f>AVERAGEIFS('3.1. Gas prod VF'!$AM$13:$AM$1230,'3.1. Gas prod VF'!$L$13:$L$1230,$F54)</f>
        <v>134.62066448116036</v>
      </c>
      <c r="U54" s="77">
        <f>AVERAGEIFS('3.1. Gas prod VF'!$AN$13:$AN$1230,'3.1. Gas prod VF'!$L$13:$L$1230,$F54)</f>
        <v>38.966994977499297</v>
      </c>
      <c r="V54" s="77">
        <f>AVERAGEIFS('3.1. Gas prod VF'!$AO$13:$AO$1230,'3.1. Gas prod VF'!$L$13:$L$1230,$F54)</f>
        <v>2.8981344242972584</v>
      </c>
      <c r="W54" s="77">
        <f>AVERAGEIFS('3.1. Gas prod VF'!$AP$13:$AP$1230,'3.1. Gas prod VF'!$L$13:$L$1230,$F54)</f>
        <v>13.662499999999998</v>
      </c>
      <c r="X54" s="77">
        <f>AVERAGEIFS('3.1. Gas prod VF'!$AQ$13:$AQ$1230,'3.1. Gas prod VF'!$L$13:$L$1230,$F54)</f>
        <v>15.717384825468656</v>
      </c>
      <c r="Y54" s="77">
        <f>AVERAGEIFS('3.1. Gas prod VF'!$AR$13:$AR$1230,'3.1. Gas prod VF'!$L$13:$L$1230,$F54)</f>
        <v>21.166773193047394</v>
      </c>
      <c r="Z54" s="77">
        <f>AVERAGEIFS('3.1. Gas prod VF'!$AS$13:$AS$1230,'3.1. Gas prod VF'!$L$13:$L$1230,$F54)</f>
        <v>54.9513042460636</v>
      </c>
      <c r="AA54" s="77">
        <f>AVERAGEIFS('3.1. Gas prod VF'!$AT$13:$AT$1230,'3.1. Gas prod VF'!$L$13:$L$1230,$F54)</f>
        <v>0.21173481854158227</v>
      </c>
      <c r="AB54" s="77">
        <f>AVERAGEIFS('3.1. Gas prod VF'!$AU$13:$AU$1230,'3.1. Gas prod VF'!$L$13:$L$1230,$F54)</f>
        <v>11.747925329289972</v>
      </c>
      <c r="AC54" s="77">
        <f>AVERAGEIFS('3.1. Gas prod VF'!$AV$13:$AV$1230,'3.1. Gas prod VF'!$L$13:$L$1230,$F54)</f>
        <v>30.498924571171628</v>
      </c>
      <c r="AD54" s="20"/>
    </row>
    <row r="55" spans="2:30" x14ac:dyDescent="0.35">
      <c r="B55" s="62">
        <f>'1. Information samples'!B55</f>
        <v>45</v>
      </c>
      <c r="C55" s="62">
        <f>'1. Information samples'!C55</f>
        <v>46048</v>
      </c>
      <c r="D55" s="62" t="str">
        <f>'1. Information samples'!D55</f>
        <v>Genbank</v>
      </c>
      <c r="E55" s="62">
        <f>'1. Information samples'!E55</f>
        <v>28</v>
      </c>
      <c r="F55" s="62" t="str">
        <f>'1. Information samples'!F55</f>
        <v>F251769</v>
      </c>
      <c r="G55" s="62" t="str">
        <f>'1. Information samples'!G55</f>
        <v>CIAT-21810</v>
      </c>
      <c r="H55" s="62" t="str">
        <f>'1. Information samples'!H55</f>
        <v>Acacia</v>
      </c>
      <c r="I55" s="62" t="str">
        <f>'1. Information samples'!I55</f>
        <v>angustissima</v>
      </c>
      <c r="J55" s="62" t="str">
        <f>'1. Information samples'!J55</f>
        <v>Acacia angustissima</v>
      </c>
      <c r="K55" s="62" t="str">
        <f>'1. Information samples'!K55</f>
        <v>Fabaceae</v>
      </c>
      <c r="L55" s="62" t="str">
        <f>'1. Information samples'!L55</f>
        <v>Fabales</v>
      </c>
      <c r="M55" s="62" t="str">
        <f>'1. Information samples'!M55</f>
        <v>Tree</v>
      </c>
      <c r="N55" s="77">
        <f>AVERAGEIFS('3.1. Gas prod VF'!$AG$13:$AG$1230,'3.1. Gas prod VF'!$L$13:$L$1230,$F55)</f>
        <v>17.847011474352893</v>
      </c>
      <c r="O55" s="77">
        <f>AVERAGEIFS('3.1. Gas prod VF'!$AH$13:$AH$1230,'3.1. Gas prod VF'!$L$13:$L$1230,$F55)</f>
        <v>17.119270589575823</v>
      </c>
      <c r="P55" s="77">
        <f>AVERAGEIFS('3.1. Gas prod VF'!$AI$13:$AI$1230,'3.1. Gas prod VF'!$L$13:$L$1230,$F55)</f>
        <v>34.966282063928709</v>
      </c>
      <c r="Q55" s="77">
        <f>AVERAGEIFS('3.1. Gas prod VF'!$AJ$13:$AJ$1230,'3.1. Gas prod VF'!$L$13:$L$1230,$F55)</f>
        <v>1.9545801376745202</v>
      </c>
      <c r="R55" s="77">
        <f>AVERAGEIFS('3.1. Gas prod VF'!$AK$13:$AK$1230,'3.1. Gas prod VF'!$L$13:$L$1230,$F55)</f>
        <v>1.9367507756300737</v>
      </c>
      <c r="S55" s="77">
        <f>AVERAGEIFS('3.1. Gas prod VF'!$AL$13:$AL$1230,'3.1. Gas prod VF'!$L$13:$L$1230,$F55)</f>
        <v>3.8913309133045937</v>
      </c>
      <c r="T55" s="77">
        <f>AVERAGEIFS('3.1. Gas prod VF'!$AM$13:$AM$1230,'3.1. Gas prod VF'!$L$13:$L$1230,$F55)</f>
        <v>73.758117478547121</v>
      </c>
      <c r="U55" s="77">
        <f>AVERAGEIFS('3.1. Gas prod VF'!$AN$13:$AN$1230,'3.1. Gas prod VF'!$L$13:$L$1230,$F55)</f>
        <v>33.761657171224925</v>
      </c>
      <c r="V55" s="77">
        <f>AVERAGEIFS('3.1. Gas prod VF'!$AO$13:$AO$1230,'3.1. Gas prod VF'!$L$13:$L$1230,$F55)</f>
        <v>4.6192096093199675</v>
      </c>
      <c r="W55" s="77">
        <f>AVERAGEIFS('3.1. Gas prod VF'!$AP$13:$AP$1230,'3.1. Gas prod VF'!$L$13:$L$1230,$F55)</f>
        <v>10.937499999999998</v>
      </c>
      <c r="X55" s="77">
        <f>AVERAGEIFS('3.1. Gas prod VF'!$AQ$13:$AQ$1230,'3.1. Gas prod VF'!$L$13:$L$1230,$F55)</f>
        <v>11.113607930554785</v>
      </c>
      <c r="Y55" s="77">
        <f>AVERAGEIFS('3.1. Gas prod VF'!$AR$13:$AR$1230,'3.1. Gas prod VF'!$L$13:$L$1230,$F55)</f>
        <v>8.2083797902874984</v>
      </c>
      <c r="Z55" s="77">
        <f>AVERAGEIFS('3.1. Gas prod VF'!$AS$13:$AS$1230,'3.1. Gas prod VF'!$L$13:$L$1230,$F55)</f>
        <v>26.041577841319707</v>
      </c>
      <c r="AA55" s="77">
        <f>AVERAGEIFS('3.1. Gas prod VF'!$AT$13:$AT$1230,'3.1. Gas prod VF'!$L$13:$L$1230,$F55)</f>
        <v>-0.1847008942568536</v>
      </c>
      <c r="AB55" s="77">
        <f>AVERAGEIFS('3.1. Gas prod VF'!$AU$13:$AU$1230,'3.1. Gas prod VF'!$L$13:$L$1230,$F55)</f>
        <v>4.555792797100743</v>
      </c>
      <c r="AC55" s="77">
        <f>AVERAGEIFS('3.1. Gas prod VF'!$AV$13:$AV$1230,'3.1. Gas prod VF'!$L$13:$L$1230,$F55)</f>
        <v>14.453526248261873</v>
      </c>
      <c r="AD55" s="20"/>
    </row>
    <row r="56" spans="2:30" s="65" customFormat="1" x14ac:dyDescent="0.35">
      <c r="B56" s="62">
        <f>'1. Information samples'!B56</f>
        <v>46</v>
      </c>
      <c r="C56" s="62">
        <f>'1. Information samples'!C56</f>
        <v>46048</v>
      </c>
      <c r="D56" s="62" t="str">
        <f>'1. Information samples'!D56</f>
        <v>Genbank</v>
      </c>
      <c r="E56" s="62">
        <f>'1. Information samples'!E56</f>
        <v>28</v>
      </c>
      <c r="F56" s="62" t="str">
        <f>'1. Information samples'!F56</f>
        <v>F251770</v>
      </c>
      <c r="G56" s="62" t="str">
        <f>'1. Information samples'!G56</f>
        <v>CIAT-21888</v>
      </c>
      <c r="H56" s="62" t="str">
        <f>'1. Information samples'!H56</f>
        <v>Leucaena</v>
      </c>
      <c r="I56" s="62" t="str">
        <f>'1. Information samples'!I56</f>
        <v>leucocephala</v>
      </c>
      <c r="J56" s="62" t="str">
        <f>'1. Information samples'!J56</f>
        <v>Leucaena leucocephala</v>
      </c>
      <c r="K56" s="62" t="str">
        <f>'1. Information samples'!K56</f>
        <v>Fabaceae</v>
      </c>
      <c r="L56" s="62" t="str">
        <f>'1. Information samples'!L56</f>
        <v>Fabales</v>
      </c>
      <c r="M56" s="62" t="str">
        <f>'1. Information samples'!M56</f>
        <v>Tree</v>
      </c>
      <c r="N56" s="77">
        <f>AVERAGE('3.1. Gas prod VF'!AG331,'3.1. Gas prod VF'!AG332,'3.1. Gas prod VF'!AG333,'3.1. Gas prod VF'!AG517,'3.1. Gas prod VF'!AG519,'3.1. Gas prod VF'!AG690,'3.1. Gas prod VF'!AG691)</f>
        <v>32.666945384739925</v>
      </c>
      <c r="O56" s="77">
        <f>AVERAGE('3.1. Gas prod VF'!AH331,'3.1. Gas prod VF'!AH332,'3.1. Gas prod VF'!AH333,'3.1. Gas prod VF'!AH517,'3.1. Gas prod VF'!AH519,'3.1. Gas prod VF'!AH690,'3.1. Gas prod VF'!AH691)</f>
        <v>33.181224664651396</v>
      </c>
      <c r="P56" s="77">
        <f>AVERAGE('3.1. Gas prod VF'!AI331,'3.1. Gas prod VF'!AI332,'3.1. Gas prod VF'!AI333,'3.1. Gas prod VF'!AI517,'3.1. Gas prod VF'!AI519,'3.1. Gas prod VF'!AI690,'3.1. Gas prod VF'!AI691)</f>
        <v>65.848170049391314</v>
      </c>
      <c r="Q56" s="77">
        <f>AVERAGE('3.1. Gas prod VF'!AJ331,'3.1. Gas prod VF'!AJ332,'3.1. Gas prod VF'!AJ333,'3.1. Gas prod VF'!AJ517,'3.1. Gas prod VF'!AJ519,'3.1. Gas prod VF'!AJ690,'3.1. Gas prod VF'!AJ691)</f>
        <v>3.6463510701913555</v>
      </c>
      <c r="R56" s="77">
        <f>AVERAGE('3.1. Gas prod VF'!AK331,'3.1. Gas prod VF'!AK332,'3.1. Gas prod VF'!AK333,'3.1. Gas prod VF'!AK517,'3.1. Gas prod VF'!AK519,'3.1. Gas prod VF'!AK690,'3.1. Gas prod VF'!AK691)</f>
        <v>4.7123140657507179</v>
      </c>
      <c r="S56" s="77">
        <f>AVERAGE('3.1. Gas prod VF'!AL331,'3.1. Gas prod VF'!AL332,'3.1. Gas prod VF'!AL333,'3.1. Gas prod VF'!AL517,'3.1. Gas prod VF'!AL519,'3.1. Gas prod VF'!AL690,'3.1. Gas prod VF'!AL691)</f>
        <v>8.3586651359420738</v>
      </c>
      <c r="T56" s="77">
        <f>AVERAGE('3.1. Gas prod VF'!AM331,'3.1. Gas prod VF'!AM332,'3.1. Gas prod VF'!AM333,'3.1. Gas prod VF'!AM517,'3.1. Gas prod VF'!AM519,'3.1. Gas prod VF'!AM690,'3.1. Gas prod VF'!AM691)</f>
        <v>140.46708493835189</v>
      </c>
      <c r="U56" s="77">
        <f>AVERAGE('3.1. Gas prod VF'!AN331,'3.1. Gas prod VF'!AN332,'3.1. Gas prod VF'!AN333,'3.1. Gas prod VF'!AN517,'3.1. Gas prod VF'!AN519,'3.1. Gas prod VF'!AN690,'3.1. Gas prod VF'!AN691)</f>
        <v>46.465629372037952</v>
      </c>
      <c r="V56" s="77">
        <f>AVERAGE('3.1. Gas prod VF'!AO331,'3.1. Gas prod VF'!AO332,'3.1. Gas prod VF'!AO333,'3.1. Gas prod VF'!AO517,'3.1. Gas prod VF'!AO519,'3.1. Gas prod VF'!AO690,'3.1. Gas prod VF'!AO691)</f>
        <v>3.3297193783860242</v>
      </c>
      <c r="W56" s="77">
        <f>AVERAGE('3.1. Gas prod VF'!AP331,'3.1. Gas prod VF'!AP332,'3.1. Gas prod VF'!AP333,'3.1. Gas prod VF'!AP517,'3.1. Gas prod VF'!AP519,'3.1. Gas prod VF'!AP690,'3.1. Gas prod VF'!AP691)</f>
        <v>11.142857142857142</v>
      </c>
      <c r="X56" s="77">
        <f>AVERAGE('3.1. Gas prod VF'!AQ331,'3.1. Gas prod VF'!AQ332,'3.1. Gas prod VF'!AQ333,'3.1. Gas prod VF'!AQ517,'3.1. Gas prod VF'!AQ519,'3.1. Gas prod VF'!AQ690,'3.1. Gas prod VF'!AQ691)</f>
        <v>12.683136369278159</v>
      </c>
      <c r="Y56" s="77">
        <f>AVERAGE('3.1. Gas prod VF'!AR331,'3.1. Gas prod VF'!AR332,'3.1. Gas prod VF'!AR333,'3.1. Gas prod VF'!AR517,'3.1. Gas prod VF'!AR519,'3.1. Gas prod VF'!AR690,'3.1. Gas prod VF'!AR691)</f>
        <v>17.830762276493346</v>
      </c>
      <c r="Z56" s="77">
        <f>AVERAGE('3.1. Gas prod VF'!AS331,'3.1. Gas prod VF'!AS332,'3.1. Gas prod VF'!AS333,'3.1. Gas prod VF'!AS517,'3.1. Gas prod VF'!AS519,'3.1. Gas prod VF'!AS690,'3.1. Gas prod VF'!AS691)</f>
        <v>39.882442482387965</v>
      </c>
      <c r="AA56" s="77">
        <f>AVERAGE('3.1. Gas prod VF'!AT331,'3.1. Gas prod VF'!AT332,'3.1. Gas prod VF'!AT333,'3.1. Gas prod VF'!AT517,'3.1. Gas prod VF'!AT519,'3.1. Gas prod VF'!AT690,'3.1. Gas prod VF'!AT691)</f>
        <v>0.5290230164732479</v>
      </c>
      <c r="AB56" s="77">
        <f>AVERAGE('3.1. Gas prod VF'!AU331,'3.1. Gas prod VF'!AU332,'3.1. Gas prod VF'!AU333,'3.1. Gas prod VF'!AU517,'3.1. Gas prod VF'!AU519,'3.1. Gas prod VF'!AU690,'3.1. Gas prod VF'!AU691)</f>
        <v>9.8963815541506346</v>
      </c>
      <c r="AC56" s="77">
        <f>AVERAGE('3.1. Gas prod VF'!AV331,'3.1. Gas prod VF'!AV332,'3.1. Gas prod VF'!AV333,'3.1. Gas prod VF'!AV517,'3.1. Gas prod VF'!AV519,'3.1. Gas prod VF'!AV690,'3.1. Gas prod VF'!AV691)</f>
        <v>22.135445585380729</v>
      </c>
      <c r="AD56" s="20"/>
    </row>
    <row r="57" spans="2:30" s="65" customFormat="1" x14ac:dyDescent="0.35">
      <c r="B57" s="62">
        <f>'1. Information samples'!B57</f>
        <v>47</v>
      </c>
      <c r="C57" s="62">
        <f>'1. Information samples'!C57</f>
        <v>46048</v>
      </c>
      <c r="D57" s="62" t="str">
        <f>'1. Information samples'!D57</f>
        <v>Genbank</v>
      </c>
      <c r="E57" s="62">
        <f>'1. Information samples'!E57</f>
        <v>28</v>
      </c>
      <c r="F57" s="62" t="str">
        <f>'1. Information samples'!F57</f>
        <v>F251771</v>
      </c>
      <c r="G57" s="62" t="str">
        <f>'1. Information samples'!G57</f>
        <v>CIAT-22310</v>
      </c>
      <c r="H57" s="62" t="str">
        <f>'1. Information samples'!H57</f>
        <v>Calliandra</v>
      </c>
      <c r="I57" s="62" t="str">
        <f>'1. Information samples'!I57</f>
        <v>calothyrsus</v>
      </c>
      <c r="J57" s="62" t="str">
        <f>'1. Information samples'!J57</f>
        <v>Calliandra calothyrsus</v>
      </c>
      <c r="K57" s="62" t="str">
        <f>'1. Information samples'!K57</f>
        <v>Fabaceae</v>
      </c>
      <c r="L57" s="62" t="str">
        <f>'1. Information samples'!L57</f>
        <v>Fabales</v>
      </c>
      <c r="M57" s="62" t="str">
        <f>'1. Information samples'!M57</f>
        <v>Tree</v>
      </c>
      <c r="N57" s="77">
        <f>AVERAGEIFS('3.1. Gas prod VF'!$AG$13:$AG$1230,'3.1. Gas prod VF'!$L$13:$L$1230,$F57)</f>
        <v>17.738373956168498</v>
      </c>
      <c r="O57" s="77">
        <f>AVERAGEIFS('3.1. Gas prod VF'!$AH$13:$AH$1230,'3.1. Gas prod VF'!$L$13:$L$1230,$F57)</f>
        <v>11.966938950365682</v>
      </c>
      <c r="P57" s="77">
        <f>AVERAGEIFS('3.1. Gas prod VF'!$AI$13:$AI$1230,'3.1. Gas prod VF'!$L$13:$L$1230,$F57)</f>
        <v>29.705312906534175</v>
      </c>
      <c r="Q57" s="77">
        <f>AVERAGEIFS('3.1. Gas prod VF'!$AJ$13:$AJ$1230,'3.1. Gas prod VF'!$L$13:$L$1230,$F57)</f>
        <v>1.9336143557377643</v>
      </c>
      <c r="R57" s="77">
        <f>AVERAGEIFS('3.1. Gas prod VF'!$AK$13:$AK$1230,'3.1. Gas prod VF'!$L$13:$L$1230,$F57)</f>
        <v>1.4872797184550983</v>
      </c>
      <c r="S57" s="77">
        <f>AVERAGEIFS('3.1. Gas prod VF'!$AL$13:$AL$1230,'3.1. Gas prod VF'!$L$13:$L$1230,$F57)</f>
        <v>3.4208940741928631</v>
      </c>
      <c r="T57" s="77">
        <f>AVERAGEIFS('3.1. Gas prod VF'!$AM$13:$AM$1230,'3.1. Gas prod VF'!$L$13:$L$1230,$F57)</f>
        <v>62.592501933137136</v>
      </c>
      <c r="U57" s="77">
        <f>AVERAGEIFS('3.1. Gas prod VF'!$AN$13:$AN$1230,'3.1. Gas prod VF'!$L$13:$L$1230,$F57)</f>
        <v>22.649146487006615</v>
      </c>
      <c r="V57" s="77">
        <f>AVERAGEIFS('3.1. Gas prod VF'!$AO$13:$AO$1230,'3.1. Gas prod VF'!$L$13:$L$1230,$F57)</f>
        <v>3.6926187456563864</v>
      </c>
      <c r="W57" s="77">
        <f>AVERAGEIFS('3.1. Gas prod VF'!$AP$13:$AP$1230,'3.1. Gas prod VF'!$L$13:$L$1230,$F57)</f>
        <v>10.885714285714284</v>
      </c>
      <c r="X57" s="77">
        <f>AVERAGEIFS('3.1. Gas prod VF'!$AQ$13:$AQ$1230,'3.1. Gas prod VF'!$L$13:$L$1230,$F57)</f>
        <v>11.491206061115658</v>
      </c>
      <c r="Y57" s="77">
        <f>AVERAGEIFS('3.1. Gas prod VF'!$AR$13:$AR$1230,'3.1. Gas prod VF'!$L$13:$L$1230,$F57)</f>
        <v>7.2082276793898528</v>
      </c>
      <c r="Z57" s="77">
        <f>AVERAGEIFS('3.1. Gas prod VF'!$AS$13:$AS$1230,'3.1. Gas prod VF'!$L$13:$L$1230,$F57)</f>
        <v>32.879830277020254</v>
      </c>
      <c r="AA57" s="77">
        <f>AVERAGEIFS('3.1. Gas prod VF'!$AT$13:$AT$1230,'3.1. Gas prod VF'!$L$13:$L$1230,$F57)</f>
        <v>-8.6438953154680975E-2</v>
      </c>
      <c r="AB57" s="77">
        <f>AVERAGEIFS('3.1. Gas prod VF'!$AU$13:$AU$1230,'3.1. Gas prod VF'!$L$13:$L$1230,$F57)</f>
        <v>4.0006910718828106</v>
      </c>
      <c r="AC57" s="77">
        <f>AVERAGEIFS('3.1. Gas prod VF'!$AV$13:$AV$1230,'3.1. Gas prod VF'!$L$13:$L$1230,$F57)</f>
        <v>18.24887465894134</v>
      </c>
      <c r="AD57" s="20"/>
    </row>
    <row r="58" spans="2:30" s="65" customFormat="1" x14ac:dyDescent="0.35">
      <c r="B58" s="62">
        <f>'1. Information samples'!B58</f>
        <v>48</v>
      </c>
      <c r="C58" s="62">
        <f>'1. Information samples'!C58</f>
        <v>46048</v>
      </c>
      <c r="D58" s="62" t="str">
        <f>'1. Information samples'!D58</f>
        <v>Genbank</v>
      </c>
      <c r="E58" s="62">
        <f>'1. Information samples'!E58</f>
        <v>28</v>
      </c>
      <c r="F58" s="62" t="str">
        <f>'1. Information samples'!F58</f>
        <v>F251772</v>
      </c>
      <c r="G58" s="62" t="str">
        <f>'1. Information samples'!G58</f>
        <v>CIAT-22311</v>
      </c>
      <c r="H58" s="62" t="str">
        <f>'1. Information samples'!H58</f>
        <v>Calliandra</v>
      </c>
      <c r="I58" s="62" t="str">
        <f>'1. Information samples'!I58</f>
        <v>calothyrsus</v>
      </c>
      <c r="J58" s="62" t="str">
        <f>'1. Information samples'!J58</f>
        <v>Calliandra calothyrsus</v>
      </c>
      <c r="K58" s="62" t="str">
        <f>'1. Information samples'!K58</f>
        <v>Fabaceae</v>
      </c>
      <c r="L58" s="62" t="str">
        <f>'1. Information samples'!L58</f>
        <v>Fabales</v>
      </c>
      <c r="M58" s="62" t="str">
        <f>'1. Information samples'!M58</f>
        <v>Tree</v>
      </c>
      <c r="N58" s="77"/>
      <c r="O58" s="77"/>
      <c r="P58" s="77"/>
      <c r="Q58" s="77"/>
      <c r="R58" s="77"/>
      <c r="S58" s="77"/>
      <c r="T58" s="77"/>
      <c r="U58" s="77"/>
      <c r="V58" s="77"/>
      <c r="W58" s="77"/>
      <c r="X58" s="77"/>
      <c r="Y58" s="77"/>
      <c r="Z58" s="77"/>
      <c r="AA58" s="77"/>
      <c r="AB58" s="77"/>
      <c r="AC58" s="77"/>
      <c r="AD58" s="20" t="s">
        <v>710</v>
      </c>
    </row>
    <row r="59" spans="2:30" s="65" customFormat="1" x14ac:dyDescent="0.35">
      <c r="B59" s="62">
        <f>'1. Information samples'!B59</f>
        <v>49</v>
      </c>
      <c r="C59" s="62">
        <f>'1. Information samples'!C59</f>
        <v>46048</v>
      </c>
      <c r="D59" s="62" t="str">
        <f>'1. Information samples'!D59</f>
        <v>Genbank</v>
      </c>
      <c r="E59" s="62">
        <f>'1. Information samples'!E59</f>
        <v>28</v>
      </c>
      <c r="F59" s="62" t="str">
        <f>'1. Information samples'!F59</f>
        <v>F251773</v>
      </c>
      <c r="G59" s="62" t="str">
        <f>'1. Information samples'!G59</f>
        <v>CIAT-22316</v>
      </c>
      <c r="H59" s="62" t="str">
        <f>'1. Information samples'!H59</f>
        <v>Calliandra</v>
      </c>
      <c r="I59" s="62" t="str">
        <f>'1. Information samples'!I59</f>
        <v>calothyrsus</v>
      </c>
      <c r="J59" s="62" t="str">
        <f>'1. Information samples'!J59</f>
        <v>Calliandra calothyrsus</v>
      </c>
      <c r="K59" s="62" t="str">
        <f>'1. Information samples'!K59</f>
        <v>Fabaceae</v>
      </c>
      <c r="L59" s="62" t="str">
        <f>'1. Information samples'!L59</f>
        <v>Fabales</v>
      </c>
      <c r="M59" s="62" t="str">
        <f>'1. Information samples'!M59</f>
        <v>Tree</v>
      </c>
      <c r="N59" s="77">
        <f>AVERAGEIFS('3.1. Gas prod VF'!$AG$13:$AG$1230,'3.1. Gas prod VF'!$L$13:$L$1230,$F59)</f>
        <v>19.952659670454214</v>
      </c>
      <c r="O59" s="77">
        <f>AVERAGEIFS('3.1. Gas prod VF'!$AH$13:$AH$1230,'3.1. Gas prod VF'!$L$13:$L$1230,$F59)</f>
        <v>11.538367521794253</v>
      </c>
      <c r="P59" s="77">
        <f>AVERAGEIFS('3.1. Gas prod VF'!$AI$13:$AI$1230,'3.1. Gas prod VF'!$L$13:$L$1230,$F59)</f>
        <v>31.49102719224846</v>
      </c>
      <c r="Q59" s="77">
        <f>AVERAGEIFS('3.1. Gas prod VF'!$AJ$13:$AJ$1230,'3.1. Gas prod VF'!$L$13:$L$1230,$F59)</f>
        <v>2.4802168963094084</v>
      </c>
      <c r="R59" s="77">
        <f>AVERAGEIFS('3.1. Gas prod VF'!$AK$13:$AK$1230,'3.1. Gas prod VF'!$L$13:$L$1230,$F59)</f>
        <v>1.4876109848802959</v>
      </c>
      <c r="S59" s="77">
        <f>AVERAGEIFS('3.1. Gas prod VF'!$AL$13:$AL$1230,'3.1. Gas prod VF'!$L$13:$L$1230,$F59)</f>
        <v>3.9678278811897045</v>
      </c>
      <c r="T59" s="77">
        <f>AVERAGEIFS('3.1. Gas prod VF'!$AM$13:$AM$1230,'3.1. Gas prod VF'!$L$13:$L$1230,$F59)</f>
        <v>65.906156690102677</v>
      </c>
      <c r="U59" s="77">
        <f>AVERAGEIFS('3.1. Gas prod VF'!$AN$13:$AN$1230,'3.1. Gas prod VF'!$L$13:$L$1230,$F59)</f>
        <v>31.084893437778401</v>
      </c>
      <c r="V59" s="77">
        <f>AVERAGEIFS('3.1. Gas prod VF'!$AO$13:$AO$1230,'3.1. Gas prod VF'!$L$13:$L$1230,$F59)</f>
        <v>4.6271454897678623</v>
      </c>
      <c r="W59" s="77">
        <f>AVERAGEIFS('3.1. Gas prod VF'!$AP$13:$AP$1230,'3.1. Gas prod VF'!$L$13:$L$1230,$F59)</f>
        <v>12.414285714285715</v>
      </c>
      <c r="X59" s="77">
        <f>AVERAGEIFS('3.1. Gas prod VF'!$AQ$13:$AQ$1230,'3.1. Gas prod VF'!$L$13:$L$1230,$F59)</f>
        <v>12.597825446794245</v>
      </c>
      <c r="Y59" s="77">
        <f>AVERAGEIFS('3.1. Gas prod VF'!$AR$13:$AR$1230,'3.1. Gas prod VF'!$L$13:$L$1230,$F59)</f>
        <v>8.3040482889631857</v>
      </c>
      <c r="Z59" s="77">
        <f>AVERAGEIFS('3.1. Gas prod VF'!$AS$13:$AS$1230,'3.1. Gas prod VF'!$L$13:$L$1230,$F59)</f>
        <v>28.139288417763701</v>
      </c>
      <c r="AA59" s="77">
        <f>AVERAGEIFS('3.1. Gas prod VF'!$AT$13:$AT$1230,'3.1. Gas prod VF'!$L$13:$L$1230,$F59)</f>
        <v>-0.14173139270786503</v>
      </c>
      <c r="AB59" s="77">
        <f>AVERAGEIFS('3.1. Gas prod VF'!$AU$13:$AU$1230,'3.1. Gas prod VF'!$L$13:$L$1230,$F59)</f>
        <v>4.6088904690300865</v>
      </c>
      <c r="AC59" s="77">
        <f>AVERAGEIFS('3.1. Gas prod VF'!$AV$13:$AV$1230,'3.1. Gas prod VF'!$L$13:$L$1230,$F59)</f>
        <v>15.617791910758813</v>
      </c>
      <c r="AD59" s="20"/>
    </row>
    <row r="60" spans="2:30" s="65" customFormat="1" x14ac:dyDescent="0.35">
      <c r="B60" s="62">
        <f>'1. Information samples'!B60</f>
        <v>50</v>
      </c>
      <c r="C60" s="62">
        <f>'1. Information samples'!C60</f>
        <v>46048</v>
      </c>
      <c r="D60" s="62" t="str">
        <f>'1. Information samples'!D60</f>
        <v>Genbank</v>
      </c>
      <c r="E60" s="62">
        <f>'1. Information samples'!E60</f>
        <v>28</v>
      </c>
      <c r="F60" s="62" t="str">
        <f>'1. Information samples'!F60</f>
        <v>F251774</v>
      </c>
      <c r="G60" s="62" t="str">
        <f>'1. Information samples'!G60</f>
        <v>CIAT-23239</v>
      </c>
      <c r="H60" s="62" t="str">
        <f>'1. Information samples'!H60</f>
        <v>Dendrolobium</v>
      </c>
      <c r="I60" s="62" t="str">
        <f>'1. Information samples'!I60</f>
        <v>triangulare</v>
      </c>
      <c r="J60" s="62" t="str">
        <f>'1. Information samples'!J60</f>
        <v>Dendrolobium triangulare</v>
      </c>
      <c r="K60" s="62" t="str">
        <f>'1. Information samples'!K60</f>
        <v>Fabaceae</v>
      </c>
      <c r="L60" s="62" t="str">
        <f>'1. Information samples'!L60</f>
        <v>Fabales</v>
      </c>
      <c r="M60" s="62" t="str">
        <f>'1. Information samples'!M60</f>
        <v>Tree</v>
      </c>
      <c r="N60" s="77">
        <f>AVERAGEIFS('3.1. Gas prod VF'!$AG$13:$AG$1230,'3.1. Gas prod VF'!$L$13:$L$1230,$F60)</f>
        <v>25.881231099025644</v>
      </c>
      <c r="O60" s="77">
        <f>AVERAGEIFS('3.1. Gas prod VF'!$AH$13:$AH$1230,'3.1. Gas prod VF'!$L$13:$L$1230,$F60)</f>
        <v>23.681224664651392</v>
      </c>
      <c r="P60" s="77">
        <f>AVERAGEIFS('3.1. Gas prod VF'!$AI$13:$AI$1230,'3.1. Gas prod VF'!$L$13:$L$1230,$F60)</f>
        <v>49.562455763677029</v>
      </c>
      <c r="Q60" s="77">
        <f>AVERAGEIFS('3.1. Gas prod VF'!$AJ$13:$AJ$1230,'3.1. Gas prod VF'!$L$13:$L$1230,$F60)</f>
        <v>3.5723078912668993</v>
      </c>
      <c r="R60" s="77">
        <f>AVERAGEIFS('3.1. Gas prod VF'!$AK$13:$AK$1230,'3.1. Gas prod VF'!$L$13:$L$1230,$F60)</f>
        <v>4.2085224979138163</v>
      </c>
      <c r="S60" s="77">
        <f>AVERAGEIFS('3.1. Gas prod VF'!$AL$13:$AL$1230,'3.1. Gas prod VF'!$L$13:$L$1230,$F60)</f>
        <v>7.7808303891807142</v>
      </c>
      <c r="T60" s="77">
        <f>AVERAGEIFS('3.1. Gas prod VF'!$AM$13:$AM$1230,'3.1. Gas prod VF'!$L$13:$L$1230,$F60)</f>
        <v>103.35602145186476</v>
      </c>
      <c r="U60" s="77">
        <f>AVERAGEIFS('3.1. Gas prod VF'!$AN$13:$AN$1230,'3.1. Gas prod VF'!$L$13:$L$1230,$F60)</f>
        <v>22.687505927451124</v>
      </c>
      <c r="V60" s="77">
        <f>AVERAGEIFS('3.1. Gas prod VF'!$AO$13:$AO$1230,'3.1. Gas prod VF'!$L$13:$L$1230,$F60)</f>
        <v>2.218875970913821</v>
      </c>
      <c r="W60" s="77">
        <f>AVERAGEIFS('3.1. Gas prod VF'!$AP$13:$AP$1230,'3.1. Gas prod VF'!$L$13:$L$1230,$F60)</f>
        <v>13.714285714285717</v>
      </c>
      <c r="X60" s="77">
        <f>AVERAGEIFS('3.1. Gas prod VF'!$AQ$13:$AQ$1230,'3.1. Gas prod VF'!$L$13:$L$1230,$F60)</f>
        <v>15.68189159041121</v>
      </c>
      <c r="Y60" s="77">
        <f>AVERAGEIFS('3.1. Gas prod VF'!$AR$13:$AR$1230,'3.1. Gas prod VF'!$L$13:$L$1230,$F60)</f>
        <v>16.225938753999259</v>
      </c>
      <c r="Z60" s="77">
        <f>AVERAGEIFS('3.1. Gas prod VF'!$AS$13:$AS$1230,'3.1. Gas prod VF'!$L$13:$L$1230,$F60)</f>
        <v>72.825736900068364</v>
      </c>
      <c r="AA60" s="77">
        <f>AVERAGEIFS('3.1. Gas prod VF'!$AT$13:$AT$1230,'3.1. Gas prod VF'!$L$13:$L$1230,$F60)</f>
        <v>-0.47009318047513443</v>
      </c>
      <c r="AB60" s="77">
        <f>AVERAGEIFS('3.1. Gas prod VF'!$AU$13:$AU$1230,'3.1. Gas prod VF'!$L$13:$L$1230,$F60)</f>
        <v>9.0056767340535675</v>
      </c>
      <c r="AC60" s="77">
        <f>AVERAGEIFS('3.1. Gas prod VF'!$AV$13:$AV$1230,'3.1. Gas prod VF'!$L$13:$L$1230,$F60)</f>
        <v>40.41954394038396</v>
      </c>
      <c r="AD60" s="20"/>
    </row>
    <row r="61" spans="2:30" s="65" customFormat="1" x14ac:dyDescent="0.35">
      <c r="B61" s="62">
        <f>'1. Information samples'!B61</f>
        <v>51</v>
      </c>
      <c r="C61" s="62">
        <f>'1. Information samples'!C61</f>
        <v>46048</v>
      </c>
      <c r="D61" s="62" t="str">
        <f>'1. Information samples'!D61</f>
        <v>Genbank</v>
      </c>
      <c r="E61" s="62">
        <f>'1. Information samples'!E61</f>
        <v>28</v>
      </c>
      <c r="F61" s="62" t="str">
        <f>'1. Information samples'!F61</f>
        <v>F251775</v>
      </c>
      <c r="G61" s="62" t="str">
        <f>'1. Information samples'!G61</f>
        <v>CIAT-33116</v>
      </c>
      <c r="H61" s="62" t="str">
        <f>'1. Information samples'!H61</f>
        <v>Dendrolobium</v>
      </c>
      <c r="I61" s="62" t="str">
        <f>'1. Information samples'!I61</f>
        <v>triangulare</v>
      </c>
      <c r="J61" s="62" t="str">
        <f>'1. Information samples'!J61</f>
        <v>Dendrolobium triangulare</v>
      </c>
      <c r="K61" s="62" t="str">
        <f>'1. Information samples'!K61</f>
        <v>Fabaceae</v>
      </c>
      <c r="L61" s="62" t="str">
        <f>'1. Information samples'!L61</f>
        <v>Fabales</v>
      </c>
      <c r="M61" s="62" t="str">
        <f>'1. Information samples'!M61</f>
        <v>Tree</v>
      </c>
      <c r="N61" s="77">
        <f>AVERAGEIFS('3.1. Gas prod VF'!$AG$13:$AG$1230,'3.1. Gas prod VF'!$L$13:$L$1230,$F61)</f>
        <v>24.135227367088579</v>
      </c>
      <c r="O61" s="77">
        <f>AVERAGEIFS('3.1. Gas prod VF'!$AH$13:$AH$1230,'3.1. Gas prod VF'!$L$13:$L$1230,$F61)</f>
        <v>17.250220610995619</v>
      </c>
      <c r="P61" s="77">
        <f>AVERAGEIFS('3.1. Gas prod VF'!$AI$13:$AI$1230,'3.1. Gas prod VF'!$L$13:$L$1230,$F61)</f>
        <v>41.385447978084201</v>
      </c>
      <c r="Q61" s="77">
        <f>AVERAGEIFS('3.1. Gas prod VF'!$AJ$13:$AJ$1230,'3.1. Gas prod VF'!$L$13:$L$1230,$F61)</f>
        <v>3.3855033036924196</v>
      </c>
      <c r="R61" s="77">
        <f>AVERAGEIFS('3.1. Gas prod VF'!$AK$13:$AK$1230,'3.1. Gas prod VF'!$L$13:$L$1230,$F61)</f>
        <v>3.0051973417230236</v>
      </c>
      <c r="S61" s="77">
        <f>AVERAGEIFS('3.1. Gas prod VF'!$AL$13:$AL$1230,'3.1. Gas prod VF'!$L$13:$L$1230,$F61)</f>
        <v>6.3907006454154427</v>
      </c>
      <c r="T61" s="77">
        <f>AVERAGEIFS('3.1. Gas prod VF'!$AM$13:$AM$1230,'3.1. Gas prod VF'!$L$13:$L$1230,$F61)</f>
        <v>86.487348921289069</v>
      </c>
      <c r="U61" s="77">
        <f>AVERAGEIFS('3.1. Gas prod VF'!$AN$13:$AN$1230,'3.1. Gas prod VF'!$L$13:$L$1230,$F61)</f>
        <v>26.214171214764956</v>
      </c>
      <c r="V61" s="77">
        <f>AVERAGEIFS('3.1. Gas prod VF'!$AO$13:$AO$1230,'3.1. Gas prod VF'!$L$13:$L$1230,$F61)</f>
        <v>3.0780689056752788</v>
      </c>
      <c r="W61" s="77">
        <f>AVERAGEIFS('3.1. Gas prod VF'!$AP$13:$AP$1230,'3.1. Gas prod VF'!$L$13:$L$1230,$F61)</f>
        <v>13.879999999999999</v>
      </c>
      <c r="X61" s="77">
        <f>AVERAGEIFS('3.1. Gas prod VF'!$AQ$13:$AQ$1230,'3.1. Gas prod VF'!$L$13:$L$1230,$F61)</f>
        <v>15.407267408519763</v>
      </c>
      <c r="Y61" s="77">
        <f>AVERAGEIFS('3.1. Gas prod VF'!$AR$13:$AR$1230,'3.1. Gas prod VF'!$L$13:$L$1230,$F61)</f>
        <v>13.355359193733033</v>
      </c>
      <c r="Z61" s="77">
        <f>AVERAGEIFS('3.1. Gas prod VF'!$AS$13:$AS$1230,'3.1. Gas prod VF'!$L$13:$L$1230,$F61)</f>
        <v>51.54755743640122</v>
      </c>
      <c r="AA61" s="77">
        <f>AVERAGEIFS('3.1. Gas prod VF'!$AT$13:$AT$1230,'3.1. Gas prod VF'!$L$13:$L$1230,$F61)</f>
        <v>-0.57758878419370918</v>
      </c>
      <c r="AB61" s="77">
        <f>AVERAGEIFS('3.1. Gas prod VF'!$AU$13:$AU$1230,'3.1. Gas prod VF'!$L$13:$L$1230,$F61)</f>
        <v>7.41245541409958</v>
      </c>
      <c r="AC61" s="77">
        <f>AVERAGEIFS('3.1. Gas prod VF'!$AV$13:$AV$1230,'3.1. Gas prod VF'!$L$13:$L$1230,$F61)</f>
        <v>28.609786203455904</v>
      </c>
      <c r="AD61" s="20"/>
    </row>
    <row r="62" spans="2:30" s="65" customFormat="1" x14ac:dyDescent="0.35">
      <c r="B62" s="62">
        <f>'1. Information samples'!B62</f>
        <v>52</v>
      </c>
      <c r="C62" s="62">
        <f>'1. Information samples'!C62</f>
        <v>46048</v>
      </c>
      <c r="D62" s="62" t="str">
        <f>'1. Information samples'!D62</f>
        <v>Genbank</v>
      </c>
      <c r="E62" s="62">
        <f>'1. Information samples'!E62</f>
        <v>28</v>
      </c>
      <c r="F62" s="62" t="str">
        <f>'1. Information samples'!F62</f>
        <v>F252184</v>
      </c>
      <c r="G62" s="62" t="str">
        <f>'1. Information samples'!G62</f>
        <v>CIAT-BH22_0303</v>
      </c>
      <c r="H62" s="62" t="str">
        <f>'1. Information samples'!H62</f>
        <v>Urochloa</v>
      </c>
      <c r="I62" s="62" t="str">
        <f>'1. Information samples'!I62</f>
        <v>humidicola</v>
      </c>
      <c r="J62" s="62" t="str">
        <f>'1. Information samples'!J62</f>
        <v>Urochloa humidicola</v>
      </c>
      <c r="K62" s="62" t="str">
        <f>'1. Information samples'!K62</f>
        <v>Poaceae</v>
      </c>
      <c r="L62" s="62" t="str">
        <f>'1. Information samples'!L62</f>
        <v>Poales</v>
      </c>
      <c r="M62" s="62" t="str">
        <f>'1. Information samples'!M62</f>
        <v>grasses</v>
      </c>
      <c r="N62" s="77">
        <f>AVERAGE('3.1. Gas prod VF'!AG350,'3.1. Gas prod VF'!AG351,'3.1. Gas prod VF'!AG535,'3.1. Gas prod VF'!AG537,'3.1. Gas prod VF'!AG703)</f>
        <v>37.162980632533511</v>
      </c>
      <c r="O62" s="77">
        <f>AVERAGE('3.1. Gas prod VF'!AH350,'3.1. Gas prod VF'!AH351,'3.1. Gas prod VF'!AH535,'3.1. Gas prod VF'!AH537,'3.1. Gas prod VF'!AH703)</f>
        <v>51.714849157944435</v>
      </c>
      <c r="P62" s="77">
        <f>AVERAGE('3.1. Gas prod VF'!AI350,'3.1. Gas prod VF'!AI351,'3.1. Gas prod VF'!AI535,'3.1. Gas prod VF'!AI537,'3.1. Gas prod VF'!AI703)</f>
        <v>88.877829790477932</v>
      </c>
      <c r="Q62" s="77">
        <f>AVERAGE('3.1. Gas prod VF'!AJ350,'3.1. Gas prod VF'!AJ351,'3.1. Gas prod VF'!AJ535,'3.1. Gas prod VF'!AJ537,'3.1. Gas prod VF'!AJ703)</f>
        <v>5.2374209805648935</v>
      </c>
      <c r="R62" s="77">
        <f>AVERAGE('3.1. Gas prod VF'!AK350,'3.1. Gas prod VF'!AK351,'3.1. Gas prod VF'!AK535,'3.1. Gas prod VF'!AK537,'3.1. Gas prod VF'!AK703)</f>
        <v>7.9524688684679719</v>
      </c>
      <c r="S62" s="77">
        <f>AVERAGE('3.1. Gas prod VF'!AL350,'3.1. Gas prod VF'!AL351,'3.1. Gas prod VF'!AL535,'3.1. Gas prod VF'!AL537,'3.1. Gas prod VF'!AL703)</f>
        <v>13.189889849032866</v>
      </c>
      <c r="T62" s="77">
        <f>AVERAGE('3.1. Gas prod VF'!AM350,'3.1. Gas prod VF'!AM351,'3.1. Gas prod VF'!AM535,'3.1. Gas prod VF'!AM537,'3.1. Gas prod VF'!AM703)</f>
        <v>187.33780037489527</v>
      </c>
      <c r="U62" s="77">
        <f>AVERAGE('3.1. Gas prod VF'!AN350,'3.1. Gas prod VF'!AN351,'3.1. Gas prod VF'!AN535,'3.1. Gas prod VF'!AN537,'3.1. Gas prod VF'!AN703)</f>
        <v>22.130725739094657</v>
      </c>
      <c r="V62" s="77">
        <f>AVERAGE('3.1. Gas prod VF'!AO350,'3.1. Gas prod VF'!AO351,'3.1. Gas prod VF'!AO535,'3.1. Gas prod VF'!AO537,'3.1. Gas prod VF'!AO703)</f>
        <v>1.1945339899088354</v>
      </c>
      <c r="W62" s="77">
        <f>AVERAGE('3.1. Gas prod VF'!AP350,'3.1. Gas prod VF'!AP351,'3.1. Gas prod VF'!AP535,'3.1. Gas prod VF'!AP537,'3.1. Gas prod VF'!AP703)</f>
        <v>14.060000000000002</v>
      </c>
      <c r="X62" s="77">
        <f>AVERAGE('3.1. Gas prod VF'!AQ350,'3.1. Gas prod VF'!AQ351,'3.1. Gas prod VF'!AQ535,'3.1. Gas prod VF'!AQ537,'3.1. Gas prod VF'!AQ703)</f>
        <v>14.791789287543278</v>
      </c>
      <c r="Y62" s="77">
        <f>AVERAGE('3.1. Gas prod VF'!AR350,'3.1. Gas prod VF'!AR351,'3.1. Gas prod VF'!AR535,'3.1. Gas prod VF'!AR537,'3.1. Gas prod VF'!AR703)</f>
        <v>27.802048947389313</v>
      </c>
      <c r="Z62" s="77">
        <f>AVERAGE('3.1. Gas prod VF'!AS350,'3.1. Gas prod VF'!AS351,'3.1. Gas prod VF'!AS535,'3.1. Gas prod VF'!AS537,'3.1. Gas prod VF'!AS703)</f>
        <v>129.30032259499978</v>
      </c>
      <c r="AA62" s="77">
        <f>AVERAGE('3.1. Gas prod VF'!AT350,'3.1. Gas prod VF'!AT351,'3.1. Gas prod VF'!AT535,'3.1. Gas prod VF'!AT537,'3.1. Gas prod VF'!AT703)</f>
        <v>-1.0689209242345334</v>
      </c>
      <c r="AB62" s="77">
        <f>AVERAGE('3.1. Gas prod VF'!AU350,'3.1. Gas prod VF'!AU351,'3.1. Gas prod VF'!AU535,'3.1. Gas prod VF'!AU537,'3.1. Gas prod VF'!AU703)</f>
        <v>15.430618170108115</v>
      </c>
      <c r="AC62" s="77">
        <f>AVERAGE('3.1. Gas prod VF'!AV350,'3.1. Gas prod VF'!AV351,'3.1. Gas prod VF'!AV535,'3.1. Gas prod VF'!AV537,'3.1. Gas prod VF'!AV703)</f>
        <v>71.763916070027591</v>
      </c>
      <c r="AD62" s="20"/>
    </row>
    <row r="63" spans="2:30" s="65" customFormat="1" x14ac:dyDescent="0.35">
      <c r="B63" s="62">
        <f>'1. Information samples'!B63</f>
        <v>53</v>
      </c>
      <c r="C63" s="62">
        <f>'1. Information samples'!C63</f>
        <v>46048</v>
      </c>
      <c r="D63" s="62" t="str">
        <f>'1. Information samples'!D63</f>
        <v>Genbank</v>
      </c>
      <c r="E63" s="62">
        <f>'1. Information samples'!E63</f>
        <v>28</v>
      </c>
      <c r="F63" s="62" t="str">
        <f>'1. Information samples'!F63</f>
        <v>F252185</v>
      </c>
      <c r="G63" s="62" t="str">
        <f>'1. Information samples'!G63</f>
        <v>CIAT-BH22_1594</v>
      </c>
      <c r="H63" s="62" t="str">
        <f>'1. Information samples'!H63</f>
        <v>Urochloa</v>
      </c>
      <c r="I63" s="62" t="str">
        <f>'1. Information samples'!I63</f>
        <v>humidicola</v>
      </c>
      <c r="J63" s="62" t="str">
        <f>'1. Information samples'!J63</f>
        <v>Urochloa humidicola</v>
      </c>
      <c r="K63" s="62" t="str">
        <f>'1. Information samples'!K63</f>
        <v>Poaceae</v>
      </c>
      <c r="L63" s="62" t="str">
        <f>'1. Information samples'!L63</f>
        <v>Poales</v>
      </c>
      <c r="M63" s="62" t="str">
        <f>'1. Information samples'!M63</f>
        <v>grasses</v>
      </c>
      <c r="N63" s="77">
        <f>AVERAGEIFS('3.1. Gas prod VF'!$AG$13:$AG$1230,'3.1. Gas prod VF'!$L$13:$L$1230,$F63)</f>
        <v>35.010190598589311</v>
      </c>
      <c r="O63" s="77">
        <f>AVERAGEIFS('3.1. Gas prod VF'!$AH$13:$AH$1230,'3.1. Gas prod VF'!$L$13:$L$1230,$F63)</f>
        <v>53.180496764752171</v>
      </c>
      <c r="P63" s="77">
        <f>AVERAGEIFS('3.1. Gas prod VF'!$AI$13:$AI$1230,'3.1. Gas prod VF'!$L$13:$L$1230,$F63)</f>
        <v>88.190687363341468</v>
      </c>
      <c r="Q63" s="77">
        <f>AVERAGEIFS('3.1. Gas prod VF'!$AJ$13:$AJ$1230,'3.1. Gas prod VF'!$L$13:$L$1230,$F63)</f>
        <v>5.0107220162056771</v>
      </c>
      <c r="R63" s="77">
        <f>AVERAGEIFS('3.1. Gas prod VF'!$AK$13:$AK$1230,'3.1. Gas prod VF'!$L$13:$L$1230,$F63)</f>
        <v>8.1752903183577317</v>
      </c>
      <c r="S63" s="77">
        <f>AVERAGEIFS('3.1. Gas prod VF'!$AL$13:$AL$1230,'3.1. Gas prod VF'!$L$13:$L$1230,$F63)</f>
        <v>13.18601233456341</v>
      </c>
      <c r="T63" s="77">
        <f>AVERAGEIFS('3.1. Gas prod VF'!$AM$13:$AM$1230,'3.1. Gas prod VF'!$L$13:$L$1230,$F63)</f>
        <v>185.41227065757326</v>
      </c>
      <c r="U63" s="77">
        <f>AVERAGEIFS('3.1. Gas prod VF'!$AN$13:$AN$1230,'3.1. Gas prod VF'!$L$13:$L$1230,$F63)</f>
        <v>37.184905276988815</v>
      </c>
      <c r="V63" s="77">
        <f>AVERAGEIFS('3.1. Gas prod VF'!$AO$13:$AO$1230,'3.1. Gas prod VF'!$L$13:$L$1230,$F63)</f>
        <v>1.9962373517486658</v>
      </c>
      <c r="W63" s="77">
        <f>AVERAGEIFS('3.1. Gas prod VF'!$AP$13:$AP$1230,'3.1. Gas prod VF'!$L$13:$L$1230,$F63)</f>
        <v>14.283333333333333</v>
      </c>
      <c r="X63" s="77">
        <f>AVERAGEIFS('3.1. Gas prod VF'!$AQ$13:$AQ$1230,'3.1. Gas prod VF'!$L$13:$L$1230,$F63)</f>
        <v>14.907285721505138</v>
      </c>
      <c r="Y63" s="77">
        <f>AVERAGEIFS('3.1. Gas prod VF'!$AR$13:$AR$1230,'3.1. Gas prod VF'!$L$13:$L$1230,$F63)</f>
        <v>27.722391101589896</v>
      </c>
      <c r="Z63" s="77">
        <f>AVERAGEIFS('3.1. Gas prod VF'!$AS$13:$AS$1230,'3.1. Gas prod VF'!$L$13:$L$1230,$F63)</f>
        <v>77.175412895413942</v>
      </c>
      <c r="AA63" s="77">
        <f>AVERAGEIFS('3.1. Gas prod VF'!$AT$13:$AT$1230,'3.1. Gas prod VF'!$L$13:$L$1230,$F63)</f>
        <v>1.649834992613995</v>
      </c>
      <c r="AB63" s="77">
        <f>AVERAGEIFS('3.1. Gas prod VF'!$AU$13:$AU$1230,'3.1. Gas prod VF'!$L$13:$L$1230,$F63)</f>
        <v>15.386406687526017</v>
      </c>
      <c r="AC63" s="77">
        <f>AVERAGEIFS('3.1. Gas prod VF'!$AV$13:$AV$1230,'3.1. Gas prod VF'!$L$13:$L$1230,$F63)</f>
        <v>42.833689371710712</v>
      </c>
      <c r="AD63" s="314"/>
    </row>
    <row r="64" spans="2:30" s="65" customFormat="1" x14ac:dyDescent="0.35">
      <c r="B64" s="62">
        <f>'1. Information samples'!B64</f>
        <v>54</v>
      </c>
      <c r="C64" s="62">
        <f>'1. Information samples'!C64</f>
        <v>46048</v>
      </c>
      <c r="D64" s="62" t="str">
        <f>'1. Information samples'!D64</f>
        <v>Genbank</v>
      </c>
      <c r="E64" s="62">
        <f>'1. Information samples'!E64</f>
        <v>28</v>
      </c>
      <c r="F64" s="62" t="str">
        <f>'1. Information samples'!F64</f>
        <v>F252186</v>
      </c>
      <c r="G64" s="62" t="str">
        <f>'1. Information samples'!G64</f>
        <v>CIAT-BH22_0468</v>
      </c>
      <c r="H64" s="62" t="str">
        <f>'1. Information samples'!H64</f>
        <v>Urochloa</v>
      </c>
      <c r="I64" s="62" t="str">
        <f>'1. Information samples'!I64</f>
        <v>humidicola</v>
      </c>
      <c r="J64" s="62" t="str">
        <f>'1. Information samples'!J64</f>
        <v>Urochloa humidicola</v>
      </c>
      <c r="K64" s="62" t="str">
        <f>'1. Information samples'!K64</f>
        <v>Poaceae</v>
      </c>
      <c r="L64" s="62" t="str">
        <f>'1. Information samples'!L64</f>
        <v>Poales</v>
      </c>
      <c r="M64" s="62" t="str">
        <f>'1. Information samples'!M64</f>
        <v>grasses</v>
      </c>
      <c r="N64" s="77">
        <f>AVERAGEIFS('3.1. Gas prod VF'!$AG$13:$AG$1230,'3.1. Gas prod VF'!$L$13:$L$1230,$F64)</f>
        <v>32.534511474352897</v>
      </c>
      <c r="O64" s="77">
        <f>AVERAGEIFS('3.1. Gas prod VF'!$AH$13:$AH$1230,'3.1. Gas prod VF'!$L$13:$L$1230,$F64)</f>
        <v>48.681770589575834</v>
      </c>
      <c r="P64" s="77">
        <f>AVERAGEIFS('3.1. Gas prod VF'!$AI$13:$AI$1230,'3.1. Gas prod VF'!$L$13:$L$1230,$F64)</f>
        <v>81.216282063928716</v>
      </c>
      <c r="Q64" s="77">
        <f>AVERAGEIFS('3.1. Gas prod VF'!$AJ$13:$AJ$1230,'3.1. Gas prod VF'!$L$13:$L$1230,$F64)</f>
        <v>4.681343228392449</v>
      </c>
      <c r="R64" s="77">
        <f>AVERAGEIFS('3.1. Gas prod VF'!$AK$13:$AK$1230,'3.1. Gas prod VF'!$L$13:$L$1230,$F64)</f>
        <v>7.3785925582481546</v>
      </c>
      <c r="S64" s="77">
        <f>AVERAGEIFS('3.1. Gas prod VF'!$AL$13:$AL$1230,'3.1. Gas prod VF'!$L$13:$L$1230,$F64)</f>
        <v>12.059935786640601</v>
      </c>
      <c r="T64" s="77">
        <f>AVERAGEIFS('3.1. Gas prod VF'!$AM$13:$AM$1230,'3.1. Gas prod VF'!$L$13:$L$1230,$F64)</f>
        <v>169.11427789730743</v>
      </c>
      <c r="U64" s="77">
        <f>AVERAGEIFS('3.1. Gas prod VF'!$AN$13:$AN$1230,'3.1. Gas prod VF'!$L$13:$L$1230,$F64)</f>
        <v>34.625417931129547</v>
      </c>
      <c r="V64" s="77">
        <f>AVERAGEIFS('3.1. Gas prod VF'!$AO$13:$AO$1230,'3.1. Gas prod VF'!$L$13:$L$1230,$F64)</f>
        <v>2.0644122126132434</v>
      </c>
      <c r="W64" s="77">
        <f>AVERAGEIFS('3.1. Gas prod VF'!$AP$13:$AP$1230,'3.1. Gas prod VF'!$L$13:$L$1230,$F64)</f>
        <v>14.35</v>
      </c>
      <c r="X64" s="77">
        <f>AVERAGEIFS('3.1. Gas prod VF'!$AQ$13:$AQ$1230,'3.1. Gas prod VF'!$L$13:$L$1230,$F64)</f>
        <v>14.804795428944267</v>
      </c>
      <c r="Y64" s="77">
        <f>AVERAGEIFS('3.1. Gas prod VF'!$AR$13:$AR$1230,'3.1. Gas prod VF'!$L$13:$L$1230,$F64)</f>
        <v>25.112046740388855</v>
      </c>
      <c r="Z64" s="77">
        <f>AVERAGEIFS('3.1. Gas prod VF'!$AS$13:$AS$1230,'3.1. Gas prod VF'!$L$13:$L$1230,$F64)</f>
        <v>75.498377743803516</v>
      </c>
      <c r="AA64" s="77">
        <f>AVERAGEIFS('3.1. Gas prod VF'!$AT$13:$AT$1230,'3.1. Gas prod VF'!$L$13:$L$1230,$F64)</f>
        <v>0.13208446785932823</v>
      </c>
      <c r="AB64" s="77">
        <f>AVERAGEIFS('3.1. Gas prod VF'!$AU$13:$AU$1230,'3.1. Gas prod VF'!$L$13:$L$1230,$F64)</f>
        <v>13.937620405392293</v>
      </c>
      <c r="AC64" s="77">
        <f>AVERAGEIFS('3.1. Gas prod VF'!$AV$13:$AV$1230,'3.1. Gas prod VF'!$L$13:$L$1230,$F64)</f>
        <v>41.902905848117925</v>
      </c>
      <c r="AD64" s="20"/>
    </row>
    <row r="65" spans="2:30" s="65" customFormat="1" x14ac:dyDescent="0.35">
      <c r="B65" s="62">
        <f>'1. Information samples'!B65</f>
        <v>55</v>
      </c>
      <c r="C65" s="62">
        <f>'1. Information samples'!C65</f>
        <v>46048</v>
      </c>
      <c r="D65" s="62" t="str">
        <f>'1. Information samples'!D65</f>
        <v>Genbank</v>
      </c>
      <c r="E65" s="62">
        <f>'1. Information samples'!E65</f>
        <v>28</v>
      </c>
      <c r="F65" s="62" t="str">
        <f>'1. Information samples'!F65</f>
        <v>F252187</v>
      </c>
      <c r="G65" s="62" t="str">
        <f>'1. Information samples'!G65</f>
        <v>CIAT-BH22_3830</v>
      </c>
      <c r="H65" s="62" t="str">
        <f>'1. Information samples'!H65</f>
        <v>Urochloa</v>
      </c>
      <c r="I65" s="62" t="str">
        <f>'1. Information samples'!I65</f>
        <v>humidicola</v>
      </c>
      <c r="J65" s="62" t="str">
        <f>'1. Information samples'!J65</f>
        <v>Urochloa humidicola</v>
      </c>
      <c r="K65" s="62" t="str">
        <f>'1. Information samples'!K65</f>
        <v>Poaceae</v>
      </c>
      <c r="L65" s="62" t="str">
        <f>'1. Information samples'!L65</f>
        <v>Poales</v>
      </c>
      <c r="M65" s="62" t="str">
        <f>'1. Information samples'!M65</f>
        <v>grasses</v>
      </c>
      <c r="N65" s="77">
        <f>AVERAGE('3.1. Gas prod VF'!AG358,'3.1. Gas prod VF'!AG359,'3.1. Gas prod VF'!AG360,'3.1. Gas prod VF'!AG545,'3.1. Gas prod VF'!AG546,'3.1. Gas prod VF'!AG708)</f>
        <v>40.510190598589311</v>
      </c>
      <c r="O65" s="77">
        <f>AVERAGE('3.1. Gas prod VF'!AH358,'3.1. Gas prod VF'!AH359,'3.1. Gas prod VF'!AH360,'3.1. Gas prod VF'!AH545,'3.1. Gas prod VF'!AH546,'3.1. Gas prod VF'!AH708)</f>
        <v>56.847163431418835</v>
      </c>
      <c r="P65" s="77">
        <f>AVERAGE('3.1. Gas prod VF'!AI358,'3.1. Gas prod VF'!AI359,'3.1. Gas prod VF'!AI360,'3.1. Gas prod VF'!AI545,'3.1. Gas prod VF'!AI546,'3.1. Gas prod VF'!AI708)</f>
        <v>97.357354030008139</v>
      </c>
      <c r="Q65" s="77">
        <f>AVERAGE('3.1. Gas prod VF'!AJ358,'3.1. Gas prod VF'!AJ359,'3.1. Gas prod VF'!AJ360,'3.1. Gas prod VF'!AJ545,'3.1. Gas prod VF'!AJ546,'3.1. Gas prod VF'!AJ708)</f>
        <v>5.6357777268766895</v>
      </c>
      <c r="R65" s="77">
        <f>AVERAGE('3.1. Gas prod VF'!AK358,'3.1. Gas prod VF'!AK359,'3.1. Gas prod VF'!AK360,'3.1. Gas prod VF'!AK545,'3.1. Gas prod VF'!AK546,'3.1. Gas prod VF'!AK708)</f>
        <v>8.7807939578572292</v>
      </c>
      <c r="S65" s="77">
        <f>AVERAGE('3.1. Gas prod VF'!AL358,'3.1. Gas prod VF'!AL359,'3.1. Gas prod VF'!AL360,'3.1. Gas prod VF'!AL545,'3.1. Gas prod VF'!AL546,'3.1. Gas prod VF'!AL708)</f>
        <v>14.416571684733919</v>
      </c>
      <c r="T65" s="77">
        <f>AVERAGE('3.1. Gas prod VF'!AM358,'3.1. Gas prod VF'!AM359,'3.1. Gas prod VF'!AM360,'3.1. Gas prod VF'!AM545,'3.1. Gas prod VF'!AM546,'3.1. Gas prod VF'!AM708)</f>
        <v>202.78463343912358</v>
      </c>
      <c r="U65" s="77">
        <f>AVERAGE('3.1. Gas prod VF'!AN358,'3.1. Gas prod VF'!AN359,'3.1. Gas prod VF'!AN360,'3.1. Gas prod VF'!AN545,'3.1. Gas prod VF'!AN546,'3.1. Gas prod VF'!AN708)</f>
        <v>40.796890097599679</v>
      </c>
      <c r="V65" s="77">
        <f>AVERAGE('3.1. Gas prod VF'!AO358,'3.1. Gas prod VF'!AO359,'3.1. Gas prod VF'!AO360,'3.1. Gas prod VF'!AO545,'3.1. Gas prod VF'!AO546,'3.1. Gas prod VF'!AO708)</f>
        <v>2.0007172099310773</v>
      </c>
      <c r="W65" s="77">
        <f>AVERAGE('3.1. Gas prod VF'!AP358,'3.1. Gas prod VF'!AP359,'3.1. Gas prod VF'!AP360,'3.1. Gas prod VF'!AP545,'3.1. Gas prod VF'!AP546,'3.1. Gas prod VF'!AP708)</f>
        <v>13.9</v>
      </c>
      <c r="X65" s="77">
        <f>AVERAGE('3.1. Gas prod VF'!AQ358,'3.1. Gas prod VF'!AQ359,'3.1. Gas prod VF'!AQ360,'3.1. Gas prod VF'!AQ545,'3.1. Gas prod VF'!AQ546,'3.1. Gas prod VF'!AQ708)</f>
        <v>14.784739633137351</v>
      </c>
      <c r="Y65" s="77">
        <f>AVERAGE('3.1. Gas prod VF'!AR358,'3.1. Gas prod VF'!AR359,'3.1. Gas prod VF'!AR360,'3.1. Gas prod VF'!AR545,'3.1. Gas prod VF'!AR546,'3.1. Gas prod VF'!AR708)</f>
        <v>30.0283995357096</v>
      </c>
      <c r="Z65" s="77">
        <f>AVERAGE('3.1. Gas prod VF'!AS358,'3.1. Gas prod VF'!AS359,'3.1. Gas prod VF'!AS360,'3.1. Gas prod VF'!AS545,'3.1. Gas prod VF'!AS546,'3.1. Gas prod VF'!AS708)</f>
        <v>75.102542470285442</v>
      </c>
      <c r="AA65" s="77">
        <f>AVERAGE('3.1. Gas prod VF'!AT358,'3.1. Gas prod VF'!AT359,'3.1. Gas prod VF'!AT360,'3.1. Gas prod VF'!AT545,'3.1. Gas prod VF'!AT546,'3.1. Gas prod VF'!AT708)</f>
        <v>0.76123828954858952</v>
      </c>
      <c r="AB65" s="77">
        <f>AVERAGE('3.1. Gas prod VF'!AU358,'3.1. Gas prod VF'!AU359,'3.1. Gas prod VF'!AU360,'3.1. Gas prod VF'!AU545,'3.1. Gas prod VF'!AU546,'3.1. Gas prod VF'!AU708)</f>
        <v>16.666281264802148</v>
      </c>
      <c r="AC65" s="77">
        <f>AVERAGE('3.1. Gas prod VF'!AV358,'3.1. Gas prod VF'!AV359,'3.1. Gas prod VF'!AV360,'3.1. Gas prod VF'!AV545,'3.1. Gas prod VF'!AV546,'3.1. Gas prod VF'!AV708)</f>
        <v>41.683210422954275</v>
      </c>
      <c r="AD65" s="20"/>
    </row>
    <row r="66" spans="2:30" s="65" customFormat="1" x14ac:dyDescent="0.35">
      <c r="B66" s="62">
        <f>'1. Information samples'!B66</f>
        <v>56</v>
      </c>
      <c r="C66" s="62">
        <f>'1. Information samples'!C66</f>
        <v>46048</v>
      </c>
      <c r="D66" s="62" t="str">
        <f>'1. Information samples'!D66</f>
        <v>Genbank</v>
      </c>
      <c r="E66" s="62">
        <f>'1. Information samples'!E66</f>
        <v>28</v>
      </c>
      <c r="F66" s="62" t="str">
        <f>'1. Information samples'!F66</f>
        <v>F252188</v>
      </c>
      <c r="G66" s="62" t="str">
        <f>'1. Information samples'!G66</f>
        <v>CIAT-BH22_1710</v>
      </c>
      <c r="H66" s="62" t="str">
        <f>'1. Information samples'!H66</f>
        <v>Urochloa</v>
      </c>
      <c r="I66" s="62" t="str">
        <f>'1. Information samples'!I66</f>
        <v>humidicola</v>
      </c>
      <c r="J66" s="62" t="str">
        <f>'1. Information samples'!J66</f>
        <v>Urochloa humidicola</v>
      </c>
      <c r="K66" s="62" t="str">
        <f>'1. Information samples'!K66</f>
        <v>Poaceae</v>
      </c>
      <c r="L66" s="62" t="str">
        <f>'1. Information samples'!L66</f>
        <v>Poales</v>
      </c>
      <c r="M66" s="62" t="str">
        <f>'1. Information samples'!M66</f>
        <v>grasses</v>
      </c>
      <c r="N66" s="77">
        <f>AVERAGE('3.1. Gas prod VF'!AG361,'3.1. Gas prod VF'!AG362,'3.1. Gas prod VF'!AG363,'3.1. Gas prod VF'!AG547,'3.1. Gas prod VF'!AG549,'3.1. Gas prod VF'!AG710,'3.1. Gas prod VF'!AG711)</f>
        <v>35.309802527597071</v>
      </c>
      <c r="O66" s="77">
        <f>AVERAGE('3.1. Gas prod VF'!AH361,'3.1. Gas prod VF'!AH362,'3.1. Gas prod VF'!AH363,'3.1. Gas prod VF'!AH547,'3.1. Gas prod VF'!AH549,'3.1. Gas prod VF'!AH710,'3.1. Gas prod VF'!AH711)</f>
        <v>51.466938950365694</v>
      </c>
      <c r="P66" s="77">
        <f>AVERAGE('3.1. Gas prod VF'!AI361,'3.1. Gas prod VF'!AI362,'3.1. Gas prod VF'!AI363,'3.1. Gas prod VF'!AI547,'3.1. Gas prod VF'!AI549,'3.1. Gas prod VF'!AI710,'3.1. Gas prod VF'!AI711)</f>
        <v>86.776741477962759</v>
      </c>
      <c r="Q66" s="77">
        <f>AVERAGE('3.1. Gas prod VF'!AJ361,'3.1. Gas prod VF'!AJ362,'3.1. Gas prod VF'!AJ363,'3.1. Gas prod VF'!AJ547,'3.1. Gas prod VF'!AJ549,'3.1. Gas prod VF'!AJ710,'3.1. Gas prod VF'!AJ711)</f>
        <v>4.9303389454835198</v>
      </c>
      <c r="R66" s="77">
        <f>AVERAGE('3.1. Gas prod VF'!AK361,'3.1. Gas prod VF'!AK362,'3.1. Gas prod VF'!AK363,'3.1. Gas prod VF'!AK547,'3.1. Gas prod VF'!AK549,'3.1. Gas prod VF'!AK710,'3.1. Gas prod VF'!AK711)</f>
        <v>7.8154971813667595</v>
      </c>
      <c r="S66" s="77">
        <f>AVERAGE('3.1. Gas prod VF'!AL361,'3.1. Gas prod VF'!AL362,'3.1. Gas prod VF'!AL363,'3.1. Gas prod VF'!AL547,'3.1. Gas prod VF'!AL549,'3.1. Gas prod VF'!AL710,'3.1. Gas prod VF'!AL711)</f>
        <v>12.74583612685028</v>
      </c>
      <c r="T66" s="77">
        <f>AVERAGE('3.1. Gas prod VF'!AM361,'3.1. Gas prod VF'!AM362,'3.1. Gas prod VF'!AM363,'3.1. Gas prod VF'!AM547,'3.1. Gas prod VF'!AM549,'3.1. Gas prod VF'!AM710,'3.1. Gas prod VF'!AM711)</f>
        <v>178.33605663790541</v>
      </c>
      <c r="U66" s="77">
        <f>AVERAGE('3.1. Gas prod VF'!AN361,'3.1. Gas prod VF'!AN362,'3.1. Gas prod VF'!AN363,'3.1. Gas prod VF'!AN547,'3.1. Gas prod VF'!AN549,'3.1. Gas prod VF'!AN710,'3.1. Gas prod VF'!AN711)</f>
        <v>36.111171606595633</v>
      </c>
      <c r="V66" s="77">
        <f>AVERAGE('3.1. Gas prod VF'!AO361,'3.1. Gas prod VF'!AO362,'3.1. Gas prod VF'!AO363,'3.1. Gas prod VF'!AO547,'3.1. Gas prod VF'!AO549,'3.1. Gas prod VF'!AO710,'3.1. Gas prod VF'!AO711)</f>
        <v>2.0348665717124441</v>
      </c>
      <c r="W66" s="77">
        <f>AVERAGE('3.1. Gas prod VF'!AP361,'3.1. Gas prod VF'!AP362,'3.1. Gas prod VF'!AP363,'3.1. Gas prod VF'!AP547,'3.1. Gas prod VF'!AP549,'3.1. Gas prod VF'!AP710,'3.1. Gas prod VF'!AP711)</f>
        <v>13.942857142857145</v>
      </c>
      <c r="X66" s="77">
        <f>AVERAGE('3.1. Gas prod VF'!AQ361,'3.1. Gas prod VF'!AQ362,'3.1. Gas prod VF'!AQ363,'3.1. Gas prod VF'!AQ547,'3.1. Gas prod VF'!AQ549,'3.1. Gas prod VF'!AQ710,'3.1. Gas prod VF'!AQ711)</f>
        <v>14.66138453159744</v>
      </c>
      <c r="Y66" s="77">
        <f>AVERAGE('3.1. Gas prod VF'!AR361,'3.1. Gas prod VF'!AR362,'3.1. Gas prod VF'!AR363,'3.1. Gas prod VF'!AR547,'3.1. Gas prod VF'!AR549,'3.1. Gas prod VF'!AR710,'3.1. Gas prod VF'!AR711)</f>
        <v>26.194265227542331</v>
      </c>
      <c r="Z66" s="77">
        <f>AVERAGE('3.1. Gas prod VF'!AS361,'3.1. Gas prod VF'!AS362,'3.1. Gas prod VF'!AS363,'3.1. Gas prod VF'!AS547,'3.1. Gas prod VF'!AS549,'3.1. Gas prod VF'!AS710,'3.1. Gas prod VF'!AS711)</f>
        <v>73.820963457696479</v>
      </c>
      <c r="AA66" s="77">
        <f>AVERAGE('3.1. Gas prod VF'!AT361,'3.1. Gas prod VF'!AT362,'3.1. Gas prod VF'!AT363,'3.1. Gas prod VF'!AT547,'3.1. Gas prod VF'!AT549,'3.1. Gas prod VF'!AT710,'3.1. Gas prod VF'!AT711)</f>
        <v>-9.6345744030138114</v>
      </c>
      <c r="AB66" s="77">
        <f>AVERAGE('3.1. Gas prod VF'!AU361,'3.1. Gas prod VF'!AU362,'3.1. Gas prod VF'!AU363,'3.1. Gas prod VF'!AU547,'3.1. Gas prod VF'!AU549,'3.1. Gas prod VF'!AU710,'3.1. Gas prod VF'!AU711)</f>
        <v>14.53827038926571</v>
      </c>
      <c r="AC66" s="77">
        <f>AVERAGE('3.1. Gas prod VF'!AV361,'3.1. Gas prod VF'!AV362,'3.1. Gas prod VF'!AV363,'3.1. Gas prod VF'!AV547,'3.1. Gas prod VF'!AV549,'3.1. Gas prod VF'!AV710,'3.1. Gas prod VF'!AV711)</f>
        <v>40.97191189832013</v>
      </c>
      <c r="AD66" s="20"/>
    </row>
    <row r="67" spans="2:30" s="65" customFormat="1" x14ac:dyDescent="0.35">
      <c r="B67" s="62">
        <f>'1. Information samples'!B67</f>
        <v>57</v>
      </c>
      <c r="C67" s="62">
        <f>'1. Information samples'!C67</f>
        <v>46048</v>
      </c>
      <c r="D67" s="62" t="str">
        <f>'1. Information samples'!D67</f>
        <v>Genbank</v>
      </c>
      <c r="E67" s="62">
        <f>'1. Information samples'!E67</f>
        <v>28</v>
      </c>
      <c r="F67" s="62" t="str">
        <f>'1. Information samples'!F67</f>
        <v>F252189</v>
      </c>
      <c r="G67" s="62" t="str">
        <f>'1. Information samples'!G67</f>
        <v>CIAT-BH22_2365</v>
      </c>
      <c r="H67" s="62" t="str">
        <f>'1. Information samples'!H67</f>
        <v>Urochloa</v>
      </c>
      <c r="I67" s="62" t="str">
        <f>'1. Information samples'!I67</f>
        <v>humidicola</v>
      </c>
      <c r="J67" s="62" t="str">
        <f>'1. Information samples'!J67</f>
        <v>Urochloa humidicola</v>
      </c>
      <c r="K67" s="62" t="str">
        <f>'1. Information samples'!K67</f>
        <v>Poaceae</v>
      </c>
      <c r="L67" s="62" t="str">
        <f>'1. Information samples'!L67</f>
        <v>Poales</v>
      </c>
      <c r="M67" s="62" t="str">
        <f>'1. Information samples'!M67</f>
        <v>grasses</v>
      </c>
      <c r="N67" s="77">
        <f>AVERAGE('3.1. Gas prod VF'!AG364,'3.1. Gas prod VF'!AG365,'3.1. Gas prod VF'!AG366,'3.1. Gas prod VF'!AG550,'3.1. Gas prod VF'!AG712)</f>
        <v>35.69073389797844</v>
      </c>
      <c r="O67" s="77">
        <f>AVERAGE('3.1. Gas prod VF'!AH364,'3.1. Gas prod VF'!AH365,'3.1. Gas prod VF'!AH366,'3.1. Gas prod VF'!AH550,'3.1. Gas prod VF'!AH712)</f>
        <v>51.979477704893235</v>
      </c>
      <c r="P67" s="77">
        <f>AVERAGE('3.1. Gas prod VF'!AI364,'3.1. Gas prod VF'!AI365,'3.1. Gas prod VF'!AI366,'3.1. Gas prod VF'!AI550,'3.1. Gas prod VF'!AI712)</f>
        <v>87.67021160287166</v>
      </c>
      <c r="Q67" s="77">
        <f>AVERAGE('3.1. Gas prod VF'!AJ364,'3.1. Gas prod VF'!AJ365,'3.1. Gas prod VF'!AJ366,'3.1. Gas prod VF'!AJ550,'3.1. Gas prod VF'!AJ712)</f>
        <v>5.0019362261243128</v>
      </c>
      <c r="R67" s="77">
        <f>AVERAGE('3.1. Gas prod VF'!AK364,'3.1. Gas prod VF'!AK365,'3.1. Gas prod VF'!AK366,'3.1. Gas prod VF'!AK550,'3.1. Gas prod VF'!AK712)</f>
        <v>7.6764404310693335</v>
      </c>
      <c r="S67" s="77">
        <f>AVERAGE('3.1. Gas prod VF'!AL364,'3.1. Gas prod VF'!AL365,'3.1. Gas prod VF'!AL366,'3.1. Gas prod VF'!AL550,'3.1. Gas prod VF'!AL712)</f>
        <v>12.678376657193645</v>
      </c>
      <c r="T67" s="77">
        <f>AVERAGE('3.1. Gas prod VF'!AM364,'3.1. Gas prod VF'!AM365,'3.1. Gas prod VF'!AM366,'3.1. Gas prod VF'!AM550,'3.1. Gas prod VF'!AM712)</f>
        <v>180.47227845651233</v>
      </c>
      <c r="U67" s="77">
        <f>AVERAGE('3.1. Gas prod VF'!AN364,'3.1. Gas prod VF'!AN365,'3.1. Gas prod VF'!AN366,'3.1. Gas prod VF'!AN550,'3.1. Gas prod VF'!AN712)</f>
        <v>39.826591257370808</v>
      </c>
      <c r="V67" s="77">
        <f>AVERAGE('3.1. Gas prod VF'!AO364,'3.1. Gas prod VF'!AO365,'3.1. Gas prod VF'!AO366,'3.1. Gas prod VF'!AO550,'3.1. Gas prod VF'!AO712)</f>
        <v>2.2132748191017901</v>
      </c>
      <c r="W67" s="77">
        <f>AVERAGE('3.1. Gas prod VF'!AP364,'3.1. Gas prod VF'!AP365,'3.1. Gas prod VF'!AP366,'3.1. Gas prod VF'!AP550,'3.1. Gas prod VF'!AP712)</f>
        <v>14</v>
      </c>
      <c r="X67" s="77">
        <f>AVERAGE('3.1. Gas prod VF'!AQ364,'3.1. Gas prod VF'!AQ365,'3.1. Gas prod VF'!AQ366,'3.1. Gas prod VF'!AQ550,'3.1. Gas prod VF'!AQ712)</f>
        <v>14.437985107331722</v>
      </c>
      <c r="Y67" s="77">
        <f>AVERAGE('3.1. Gas prod VF'!AR364,'3.1. Gas prod VF'!AR365,'3.1. Gas prod VF'!AR366,'3.1. Gas prod VF'!AR550,'3.1. Gas prod VF'!AR712)</f>
        <v>26.099128919390704</v>
      </c>
      <c r="Z67" s="77">
        <f>AVERAGE('3.1. Gas prod VF'!AS364,'3.1. Gas prod VF'!AS365,'3.1. Gas prod VF'!AS366,'3.1. Gas prod VF'!AS550,'3.1. Gas prod VF'!AS712)</f>
        <v>66.841356924984353</v>
      </c>
      <c r="AA67" s="77">
        <f>AVERAGE('3.1. Gas prod VF'!AT364,'3.1. Gas prod VF'!AT365,'3.1. Gas prod VF'!AT366,'3.1. Gas prod VF'!AT550,'3.1. Gas prod VF'!AT712)</f>
        <v>0.84298016417309785</v>
      </c>
      <c r="AB67" s="77">
        <f>AVERAGE('3.1. Gas prod VF'!AU364,'3.1. Gas prod VF'!AU365,'3.1. Gas prod VF'!AU366,'3.1. Gas prod VF'!AU550,'3.1. Gas prod VF'!AU712)</f>
        <v>14.485468092284668</v>
      </c>
      <c r="AC67" s="77">
        <f>AVERAGE('3.1. Gas prod VF'!AV364,'3.1. Gas prod VF'!AV365,'3.1. Gas prod VF'!AV366,'3.1. Gas prod VF'!AV550,'3.1. Gas prod VF'!AV712)</f>
        <v>37.098109518226607</v>
      </c>
      <c r="AD67" s="20"/>
    </row>
    <row r="68" spans="2:30" s="65" customFormat="1" x14ac:dyDescent="0.35">
      <c r="B68" s="62">
        <f>'1. Information samples'!B68</f>
        <v>58</v>
      </c>
      <c r="C68" s="62">
        <f>'1. Information samples'!C68</f>
        <v>46048</v>
      </c>
      <c r="D68" s="62" t="str">
        <f>'1. Information samples'!D68</f>
        <v>Genbank</v>
      </c>
      <c r="E68" s="62">
        <f>'1. Information samples'!E68</f>
        <v>28</v>
      </c>
      <c r="F68" s="62" t="str">
        <f>'1. Information samples'!F68</f>
        <v>F252190</v>
      </c>
      <c r="G68" s="62" t="str">
        <f>'1. Information samples'!G68</f>
        <v>CIAT-BH22_3572</v>
      </c>
      <c r="H68" s="62" t="str">
        <f>'1. Information samples'!H68</f>
        <v>Urochloa</v>
      </c>
      <c r="I68" s="62" t="str">
        <f>'1. Information samples'!I68</f>
        <v>humidicola</v>
      </c>
      <c r="J68" s="62" t="str">
        <f>'1. Information samples'!J68</f>
        <v>Urochloa humidicola</v>
      </c>
      <c r="K68" s="62" t="str">
        <f>'1. Information samples'!K68</f>
        <v>Poaceae</v>
      </c>
      <c r="L68" s="62" t="str">
        <f>'1. Information samples'!L68</f>
        <v>Poales</v>
      </c>
      <c r="M68" s="62" t="str">
        <f>'1. Information samples'!M68</f>
        <v>grasses</v>
      </c>
      <c r="N68" s="77">
        <f>AVERAGE('3.1. Gas prod VF'!AG367,'3.1. Gas prod VF'!AG368,'3.1. Gas prod VF'!AG369,'3.1. Gas prod VF'!AG553,'3.1. Gas prod VF'!AG555)</f>
        <v>36.790733897978441</v>
      </c>
      <c r="O68" s="77">
        <f>AVERAGE('3.1. Gas prod VF'!AH367,'3.1. Gas prod VF'!AH368,'3.1. Gas prod VF'!AH369,'3.1. Gas prod VF'!AH553,'3.1. Gas prod VF'!AH555)</f>
        <v>52.379477704893233</v>
      </c>
      <c r="P68" s="77">
        <f>AVERAGE('3.1. Gas prod VF'!AI367,'3.1. Gas prod VF'!AI368,'3.1. Gas prod VF'!AI369,'3.1. Gas prod VF'!AI553,'3.1. Gas prod VF'!AI555)</f>
        <v>89.17021160287166</v>
      </c>
      <c r="Q68" s="77">
        <f>AVERAGE('3.1. Gas prod VF'!AJ367,'3.1. Gas prod VF'!AJ368,'3.1. Gas prod VF'!AJ369,'3.1. Gas prod VF'!AJ553,'3.1. Gas prod VF'!AJ555)</f>
        <v>5.0040240424466251</v>
      </c>
      <c r="R68" s="77">
        <f>AVERAGE('3.1. Gas prod VF'!AK367,'3.1. Gas prod VF'!AK368,'3.1. Gas prod VF'!AK369,'3.1. Gas prod VF'!AK553,'3.1. Gas prod VF'!AK555)</f>
        <v>7.6935068065760408</v>
      </c>
      <c r="S68" s="77">
        <f>AVERAGE('3.1. Gas prod VF'!AL367,'3.1. Gas prod VF'!AL368,'3.1. Gas prod VF'!AL369,'3.1. Gas prod VF'!AL553,'3.1. Gas prod VF'!AL555)</f>
        <v>12.697530849022666</v>
      </c>
      <c r="T68" s="77">
        <f>AVERAGE('3.1. Gas prod VF'!AM367,'3.1. Gas prod VF'!AM368,'3.1. Gas prod VF'!AM369,'3.1. Gas prod VF'!AM553,'3.1. Gas prod VF'!AM555)</f>
        <v>184.67960331320353</v>
      </c>
      <c r="U68" s="77">
        <f>AVERAGE('3.1. Gas prod VF'!AN367,'3.1. Gas prod VF'!AN368,'3.1. Gas prod VF'!AN369,'3.1. Gas prod VF'!AN553,'3.1. Gas prod VF'!AN555)</f>
        <v>20.756095292514466</v>
      </c>
      <c r="V68" s="77">
        <f>AVERAGE('3.1. Gas prod VF'!AO367,'3.1. Gas prod VF'!AO368,'3.1. Gas prod VF'!AO369,'3.1. Gas prod VF'!AO553,'3.1. Gas prod VF'!AO555)</f>
        <v>1.1670159567379748</v>
      </c>
      <c r="W68" s="77">
        <f>AVERAGE('3.1. Gas prod VF'!AP367,'3.1. Gas prod VF'!AP368,'3.1. Gas prod VF'!AP369,'3.1. Gas prod VF'!AP553,'3.1. Gas prod VF'!AP555)</f>
        <v>13.580000000000002</v>
      </c>
      <c r="X68" s="77">
        <f>AVERAGE('3.1. Gas prod VF'!AQ367,'3.1. Gas prod VF'!AQ368,'3.1. Gas prod VF'!AQ369,'3.1. Gas prod VF'!AQ553,'3.1. Gas prod VF'!AQ555)</f>
        <v>14.191842234696207</v>
      </c>
      <c r="Y68" s="77">
        <f>AVERAGE('3.1. Gas prod VF'!AR367,'3.1. Gas prod VF'!AR368,'3.1. Gas prod VF'!AR369,'3.1. Gas prod VF'!AR553,'3.1. Gas prod VF'!AR555)</f>
        <v>26.298001119552918</v>
      </c>
      <c r="Z68" s="77">
        <f>AVERAGE('3.1. Gas prod VF'!AS367,'3.1. Gas prod VF'!AS368,'3.1. Gas prod VF'!AS369,'3.1. Gas prod VF'!AS553,'3.1. Gas prod VF'!AS555)</f>
        <v>154.85437017467956</v>
      </c>
      <c r="AA68" s="77">
        <f>AVERAGE('3.1. Gas prod VF'!AT367,'3.1. Gas prod VF'!AT368,'3.1. Gas prod VF'!AT369,'3.1. Gas prod VF'!AT553,'3.1. Gas prod VF'!AT555)</f>
        <v>-1.056966338666139</v>
      </c>
      <c r="AB68" s="77">
        <f>AVERAGE('3.1. Gas prod VF'!AU367,'3.1. Gas prod VF'!AU368,'3.1. Gas prod VF'!AU369,'3.1. Gas prod VF'!AU553,'3.1. Gas prod VF'!AU555)</f>
        <v>14.595845604070197</v>
      </c>
      <c r="AC68" s="77">
        <f>AVERAGE('3.1. Gas prod VF'!AV367,'3.1. Gas prod VF'!AV368,'3.1. Gas prod VF'!AV369,'3.1. Gas prod VF'!AV553,'3.1. Gas prod VF'!AV555)</f>
        <v>85.946854588299658</v>
      </c>
      <c r="AD68" s="20"/>
    </row>
    <row r="69" spans="2:30" s="65" customFormat="1" x14ac:dyDescent="0.35">
      <c r="B69" s="62">
        <f>'1. Information samples'!B69</f>
        <v>59</v>
      </c>
      <c r="C69" s="62">
        <f>'1. Information samples'!C69</f>
        <v>46048</v>
      </c>
      <c r="D69" s="62" t="str">
        <f>'1. Information samples'!D69</f>
        <v>Genbank</v>
      </c>
      <c r="E69" s="62">
        <f>'1. Information samples'!E69</f>
        <v>28</v>
      </c>
      <c r="F69" s="62" t="str">
        <f>'1. Information samples'!F69</f>
        <v>F252191</v>
      </c>
      <c r="G69" s="62" t="str">
        <f>'1. Information samples'!G69</f>
        <v>CIAT-BH22_0517</v>
      </c>
      <c r="H69" s="62" t="str">
        <f>'1. Information samples'!H69</f>
        <v>Urochloa</v>
      </c>
      <c r="I69" s="62" t="str">
        <f>'1. Information samples'!I69</f>
        <v>humidicola</v>
      </c>
      <c r="J69" s="62" t="str">
        <f>'1. Information samples'!J69</f>
        <v>Urochloa humidicola</v>
      </c>
      <c r="K69" s="62" t="str">
        <f>'1. Information samples'!K69</f>
        <v>Poaceae</v>
      </c>
      <c r="L69" s="62" t="str">
        <f>'1. Information samples'!L69</f>
        <v>Poales</v>
      </c>
      <c r="M69" s="62" t="str">
        <f>'1. Information samples'!M69</f>
        <v>grasses</v>
      </c>
      <c r="N69" s="77"/>
      <c r="O69" s="77"/>
      <c r="P69" s="77"/>
      <c r="Q69" s="77"/>
      <c r="R69" s="77"/>
      <c r="S69" s="77"/>
      <c r="T69" s="77"/>
      <c r="U69" s="77"/>
      <c r="V69" s="77"/>
      <c r="W69" s="77"/>
      <c r="X69" s="77"/>
      <c r="Y69" s="77"/>
      <c r="Z69" s="77"/>
      <c r="AA69" s="77"/>
      <c r="AB69" s="77"/>
      <c r="AC69" s="77"/>
      <c r="AD69" s="20" t="s">
        <v>710</v>
      </c>
    </row>
    <row r="70" spans="2:30" s="65" customFormat="1" x14ac:dyDescent="0.35">
      <c r="B70" s="62">
        <f>'1. Information samples'!B70</f>
        <v>60</v>
      </c>
      <c r="C70" s="62">
        <f>'1. Information samples'!C70</f>
        <v>46048</v>
      </c>
      <c r="D70" s="62" t="str">
        <f>'1. Information samples'!D70</f>
        <v>Genbank</v>
      </c>
      <c r="E70" s="62">
        <f>'1. Information samples'!E70</f>
        <v>28</v>
      </c>
      <c r="F70" s="62" t="str">
        <f>'1. Information samples'!F70</f>
        <v>F252192</v>
      </c>
      <c r="G70" s="62" t="str">
        <f>'1. Information samples'!G70</f>
        <v>CIAT-BH22_0519</v>
      </c>
      <c r="H70" s="62" t="str">
        <f>'1. Information samples'!H70</f>
        <v>Urochloa</v>
      </c>
      <c r="I70" s="62" t="str">
        <f>'1. Information samples'!I70</f>
        <v>humidicola</v>
      </c>
      <c r="J70" s="62" t="str">
        <f>'1. Information samples'!J70</f>
        <v>Urochloa humidicola</v>
      </c>
      <c r="K70" s="62" t="str">
        <f>'1. Information samples'!K70</f>
        <v>Poaceae</v>
      </c>
      <c r="L70" s="62" t="str">
        <f>'1. Information samples'!L70</f>
        <v>Poales</v>
      </c>
      <c r="M70" s="62" t="str">
        <f>'1. Information samples'!M70</f>
        <v>grasses</v>
      </c>
      <c r="N70" s="77"/>
      <c r="O70" s="77"/>
      <c r="P70" s="77"/>
      <c r="Q70" s="77"/>
      <c r="R70" s="77"/>
      <c r="S70" s="77"/>
      <c r="T70" s="77"/>
      <c r="U70" s="77"/>
      <c r="V70" s="77"/>
      <c r="W70" s="77"/>
      <c r="X70" s="77"/>
      <c r="Y70" s="77"/>
      <c r="Z70" s="77"/>
      <c r="AA70" s="77"/>
      <c r="AB70" s="77"/>
      <c r="AC70" s="77"/>
      <c r="AD70" s="20" t="s">
        <v>710</v>
      </c>
    </row>
    <row r="71" spans="2:30" s="65" customFormat="1" x14ac:dyDescent="0.35">
      <c r="B71" s="62">
        <f>'1. Information samples'!B71</f>
        <v>61</v>
      </c>
      <c r="C71" s="62">
        <f>'1. Information samples'!C71</f>
        <v>46048</v>
      </c>
      <c r="D71" s="62" t="str">
        <f>'1. Information samples'!D71</f>
        <v>Genbank</v>
      </c>
      <c r="E71" s="62">
        <f>'1. Information samples'!E71</f>
        <v>28</v>
      </c>
      <c r="F71" s="62" t="str">
        <f>'1. Information samples'!F71</f>
        <v>F252193</v>
      </c>
      <c r="G71" s="62" t="str">
        <f>'1. Information samples'!G71</f>
        <v>CIAT-BH22_0521</v>
      </c>
      <c r="H71" s="62" t="str">
        <f>'1. Information samples'!H71</f>
        <v>Urochloa</v>
      </c>
      <c r="I71" s="62" t="str">
        <f>'1. Information samples'!I71</f>
        <v>humidicola</v>
      </c>
      <c r="J71" s="62" t="str">
        <f>'1. Information samples'!J71</f>
        <v>Urochloa humidicola</v>
      </c>
      <c r="K71" s="62" t="str">
        <f>'1. Information samples'!K71</f>
        <v>Poaceae</v>
      </c>
      <c r="L71" s="62" t="str">
        <f>'1. Information samples'!L71</f>
        <v>Poales</v>
      </c>
      <c r="M71" s="62" t="str">
        <f>'1. Information samples'!M71</f>
        <v>grasses</v>
      </c>
      <c r="N71" s="77">
        <f>AVERAGE('3.1. Gas prod VF'!AG378,'3.1. Gas prod VF'!AG380,'3.1. Gas prod VF'!AG564,'3.1. Gas prod VF'!AG565,'3.1. Gas prod VF'!AG566,'3.1. Gas prod VF'!AG721)</f>
        <v>33.95599279350084</v>
      </c>
      <c r="O71" s="77">
        <f>AVERAGE('3.1. Gas prod VF'!AH378,'3.1. Gas prod VF'!AH380,'3.1. Gas prod VF'!AH564,'3.1. Gas prod VF'!AH565,'3.1. Gas prod VF'!AH566,'3.1. Gas prod VF'!AH721)</f>
        <v>42.340612332325705</v>
      </c>
      <c r="P71" s="77">
        <f>AVERAGE('3.1. Gas prod VF'!AI378,'3.1. Gas prod VF'!AI380,'3.1. Gas prod VF'!AI564,'3.1. Gas prod VF'!AI565,'3.1. Gas prod VF'!AI566,'3.1. Gas prod VF'!AI721)</f>
        <v>52.967348031928928</v>
      </c>
      <c r="Q71" s="77">
        <f>AVERAGE('3.1. Gas prod VF'!AJ378,'3.1. Gas prod VF'!AJ380,'3.1. Gas prod VF'!AJ564,'3.1. Gas prod VF'!AJ565,'3.1. Gas prod VF'!AJ566,'3.1. Gas prod VF'!AJ721)</f>
        <v>23.52566913629056</v>
      </c>
      <c r="R71" s="77">
        <f>AVERAGE('3.1. Gas prod VF'!AK378,'3.1. Gas prod VF'!AK380,'3.1. Gas prod VF'!AK564,'3.1. Gas prod VF'!AK565,'3.1. Gas prod VF'!AK566,'3.1. Gas prod VF'!AK721)</f>
        <v>39.780396643563364</v>
      </c>
      <c r="S71" s="77">
        <f>AVERAGE('3.1. Gas prod VF'!AL378,'3.1. Gas prod VF'!AL380,'3.1. Gas prod VF'!AL564,'3.1. Gas prod VF'!AL565,'3.1. Gas prod VF'!AL566,'3.1. Gas prod VF'!AL721)</f>
        <v>7.7979173421192085</v>
      </c>
      <c r="T71" s="77">
        <f>AVERAGE('3.1. Gas prod VF'!AM378,'3.1. Gas prod VF'!AM380,'3.1. Gas prod VF'!AM564,'3.1. Gas prod VF'!AM565,'3.1. Gas prod VF'!AM566,'3.1. Gas prod VF'!AM721)</f>
        <v>83.144109548201968</v>
      </c>
      <c r="U71" s="77">
        <f>AVERAGE('3.1. Gas prod VF'!AN378,'3.1. Gas prod VF'!AN380,'3.1. Gas prod VF'!AN564,'3.1. Gas prod VF'!AN565,'3.1. Gas prod VF'!AN566,'3.1. Gas prod VF'!AN721)</f>
        <v>26.510263631249284</v>
      </c>
      <c r="V71" s="77">
        <f>AVERAGE('3.1. Gas prod VF'!AO378,'3.1. Gas prod VF'!AO380,'3.1. Gas prod VF'!AO564,'3.1. Gas prod VF'!AO565,'3.1. Gas prod VF'!AO566,'3.1. Gas prod VF'!AO721)</f>
        <v>77.922288809799525</v>
      </c>
      <c r="W71" s="77">
        <f>AVERAGE('3.1. Gas prod VF'!AP378,'3.1. Gas prod VF'!AP380,'3.1. Gas prod VF'!AP564,'3.1. Gas prod VF'!AP565,'3.1. Gas prod VF'!AP566,'3.1. Gas prod VF'!AP721)</f>
        <v>17.462907717634074</v>
      </c>
      <c r="X71" s="77">
        <f>AVERAGE('3.1. Gas prod VF'!AQ378,'3.1. Gas prod VF'!AQ380,'3.1. Gas prod VF'!AQ564,'3.1. Gas prod VF'!AQ565,'3.1. Gas prod VF'!AQ566,'3.1. Gas prod VF'!AQ721)</f>
        <v>9.4525292931427476</v>
      </c>
      <c r="Y71" s="77">
        <f>AVERAGE('3.1. Gas prod VF'!AR378,'3.1. Gas prod VF'!AR380,'3.1. Gas prod VF'!AR564,'3.1. Gas prod VF'!AR565,'3.1. Gas prod VF'!AR566,'3.1. Gas prod VF'!AR721)</f>
        <v>17.623232434426889</v>
      </c>
      <c r="Z71" s="77">
        <f>AVERAGE('3.1. Gas prod VF'!AS378,'3.1. Gas prod VF'!AS380,'3.1. Gas prod VF'!AS564,'3.1. Gas prod VF'!AS565,'3.1. Gas prod VF'!AS566,'3.1. Gas prod VF'!AS721)</f>
        <v>66.247631405153868</v>
      </c>
      <c r="AA71" s="77">
        <f>AVERAGE('3.1. Gas prod VF'!AT378,'3.1. Gas prod VF'!AT380,'3.1. Gas prod VF'!AT564,'3.1. Gas prod VF'!AT565,'3.1. Gas prod VF'!AT566,'3.1. Gas prod VF'!AT721)</f>
        <v>10.04304348681222</v>
      </c>
      <c r="AB71" s="77">
        <f>AVERAGE('3.1. Gas prod VF'!AU378,'3.1. Gas prod VF'!AU380,'3.1. Gas prod VF'!AU564,'3.1. Gas prod VF'!AU565,'3.1. Gas prod VF'!AU566,'3.1. Gas prod VF'!AU721)</f>
        <v>69.150773496562834</v>
      </c>
      <c r="AC71" s="77">
        <f>AVERAGE('3.1. Gas prod VF'!AV378,'3.1. Gas prod VF'!AV380,'3.1. Gas prod VF'!AV564,'3.1. Gas prod VF'!AV565,'3.1. Gas prod VF'!AV566,'3.1. Gas prod VF'!AV721)</f>
        <v>28.425824385727356</v>
      </c>
      <c r="AD71" s="20"/>
    </row>
    <row r="72" spans="2:30" s="65" customFormat="1" x14ac:dyDescent="0.35">
      <c r="B72" s="62">
        <f>'1. Information samples'!B72</f>
        <v>62</v>
      </c>
      <c r="C72" s="62">
        <f>'1. Information samples'!C72</f>
        <v>46048</v>
      </c>
      <c r="D72" s="62" t="str">
        <f>'1. Information samples'!D72</f>
        <v>Genbank</v>
      </c>
      <c r="E72" s="62">
        <f>'1. Information samples'!E72</f>
        <v>28</v>
      </c>
      <c r="F72" s="62" t="str">
        <f>'1. Information samples'!F72</f>
        <v>F252574</v>
      </c>
      <c r="G72" s="62" t="str">
        <f>'1. Information samples'!G72</f>
        <v>CIAT326</v>
      </c>
      <c r="H72" s="62" t="str">
        <f>'1. Information samples'!H72</f>
        <v>Desmodium</v>
      </c>
      <c r="I72" s="62" t="str">
        <f>'1. Information samples'!I72</f>
        <v>scorpiurus</v>
      </c>
      <c r="J72" s="62" t="str">
        <f>'1. Information samples'!J72</f>
        <v>Desmodium scorpiurus</v>
      </c>
      <c r="K72" s="62" t="str">
        <f>'1. Information samples'!K72</f>
        <v>Fabaceae</v>
      </c>
      <c r="L72" s="62" t="str">
        <f>'1. Information samples'!L72</f>
        <v>Fabales</v>
      </c>
      <c r="M72" s="62" t="str">
        <f>'1. Information samples'!M72</f>
        <v>Herbaceous</v>
      </c>
      <c r="N72" s="77">
        <f>AVERAGE('3.1. Gas prod VF'!AG379,'3.1. Gas prod VF'!AG381,'3.1. Gas prod VF'!AG565,'3.1. Gas prod VF'!AG566,'3.1. Gas prod VF'!AG567,'3.1. Gas prod VF'!AG722)</f>
        <v>30.101448293028511</v>
      </c>
      <c r="O72" s="77">
        <f>AVERAGE('3.1. Gas prod VF'!AH379,'3.1. Gas prod VF'!AH381,'3.1. Gas prod VF'!AH565,'3.1. Gas prod VF'!AH566,'3.1. Gas prod VF'!AH567,'3.1. Gas prod VF'!AH722)</f>
        <v>31.954877676333506</v>
      </c>
      <c r="P72" s="77">
        <f>AVERAGE('3.1. Gas prod VF'!AI379,'3.1. Gas prod VF'!AI381,'3.1. Gas prod VF'!AI565,'3.1. Gas prod VF'!AI566,'3.1. Gas prod VF'!AI567,'3.1. Gas prod VF'!AI722)</f>
        <v>62.056325969362014</v>
      </c>
      <c r="Q72" s="77">
        <f>AVERAGE('3.1. Gas prod VF'!AJ379,'3.1. Gas prod VF'!AJ381,'3.1. Gas prod VF'!AJ565,'3.1. Gas prod VF'!AJ566,'3.1. Gas prod VF'!AJ567,'3.1. Gas prod VF'!AJ722)</f>
        <v>4.1340396513190356</v>
      </c>
      <c r="R72" s="77">
        <f>AVERAGE('3.1. Gas prod VF'!AK379,'3.1. Gas prod VF'!AK381,'3.1. Gas prod VF'!AK565,'3.1. Gas prod VF'!AK566,'3.1. Gas prod VF'!AK567,'3.1. Gas prod VF'!AK722)</f>
        <v>5.3209063474258427</v>
      </c>
      <c r="S72" s="77">
        <f>AVERAGE('3.1. Gas prod VF'!AL379,'3.1. Gas prod VF'!AL381,'3.1. Gas prod VF'!AL565,'3.1. Gas prod VF'!AL566,'3.1. Gas prod VF'!AL567,'3.1. Gas prod VF'!AL722)</f>
        <v>9.4549459987448774</v>
      </c>
      <c r="T72" s="77">
        <f>AVERAGE('3.1. Gas prod VF'!AM379,'3.1. Gas prod VF'!AM381,'3.1. Gas prod VF'!AM565,'3.1. Gas prod VF'!AM566,'3.1. Gas prod VF'!AM567,'3.1. Gas prod VF'!AM722)</f>
        <v>135.32947595381958</v>
      </c>
      <c r="U72" s="77">
        <f>AVERAGE('3.1. Gas prod VF'!AN379,'3.1. Gas prod VF'!AN381,'3.1. Gas prod VF'!AN565,'3.1. Gas prod VF'!AN566,'3.1. Gas prod VF'!AN567,'3.1. Gas prod VF'!AN722)</f>
        <v>39.093689012645399</v>
      </c>
      <c r="V72" s="77">
        <f>AVERAGE('3.1. Gas prod VF'!AO379,'3.1. Gas prod VF'!AO381,'3.1. Gas prod VF'!AO565,'3.1. Gas prod VF'!AO566,'3.1. Gas prod VF'!AO567,'3.1. Gas prod VF'!AO722)</f>
        <v>3.2406353582783711</v>
      </c>
      <c r="W72" s="77">
        <f>AVERAGE('3.1. Gas prod VF'!AP379,'3.1. Gas prod VF'!AP381,'3.1. Gas prod VF'!AP565,'3.1. Gas prod VF'!AP566,'3.1. Gas prod VF'!AP567,'3.1. Gas prod VF'!AP722)</f>
        <v>13.766666666666667</v>
      </c>
      <c r="X72" s="77">
        <f>AVERAGE('3.1. Gas prod VF'!AQ379,'3.1. Gas prod VF'!AQ381,'3.1. Gas prod VF'!AQ565,'3.1. Gas prod VF'!AQ566,'3.1. Gas prod VF'!AQ567,'3.1. Gas prod VF'!AQ722)</f>
        <v>15.231073439626073</v>
      </c>
      <c r="Y72" s="77">
        <f>AVERAGE('3.1. Gas prod VF'!AR379,'3.1. Gas prod VF'!AR381,'3.1. Gas prod VF'!AR565,'3.1. Gas prod VF'!AR566,'3.1. Gas prod VF'!AR567,'3.1. Gas prod VF'!AR722)</f>
        <v>20.618871268461813</v>
      </c>
      <c r="Z72" s="77">
        <f>AVERAGE('3.1. Gas prod VF'!AS379,'3.1. Gas prod VF'!AS381,'3.1. Gas prod VF'!AS565,'3.1. Gas prod VF'!AS566,'3.1. Gas prod VF'!AS567,'3.1. Gas prod VF'!AS722)</f>
        <v>55.451758714787225</v>
      </c>
      <c r="AA72" s="77">
        <f>AVERAGE('3.1. Gas prod VF'!AT379,'3.1. Gas prod VF'!AT381,'3.1. Gas prod VF'!AT565,'3.1. Gas prod VF'!AT566,'3.1. Gas prod VF'!AT567,'3.1. Gas prod VF'!AT722)</f>
        <v>-1.654341347466471</v>
      </c>
      <c r="AB72" s="77">
        <f>AVERAGE('3.1. Gas prod VF'!AU379,'3.1. Gas prod VF'!AU381,'3.1. Gas prod VF'!AU565,'3.1. Gas prod VF'!AU566,'3.1. Gas prod VF'!AU567,'3.1. Gas prod VF'!AU722)</f>
        <v>11.443830281872922</v>
      </c>
      <c r="AC72" s="77">
        <f>AVERAGE('3.1. Gas prod VF'!AV379,'3.1. Gas prod VF'!AV381,'3.1. Gas prod VF'!AV565,'3.1. Gas prod VF'!AV566,'3.1. Gas prod VF'!AV567,'3.1. Gas prod VF'!AV722)</f>
        <v>30.776685459695063</v>
      </c>
      <c r="AD72" s="20"/>
    </row>
    <row r="73" spans="2:30" s="65" customFormat="1" x14ac:dyDescent="0.35">
      <c r="B73" s="62">
        <f>'1. Information samples'!B73</f>
        <v>63</v>
      </c>
      <c r="C73" s="62">
        <f>'1. Information samples'!C73</f>
        <v>46048</v>
      </c>
      <c r="D73" s="62" t="str">
        <f>'1. Information samples'!D73</f>
        <v>Jacobo Arango/Alejandro Montoya</v>
      </c>
      <c r="E73" s="62">
        <f>'1. Information samples'!E73</f>
        <v>28</v>
      </c>
      <c r="F73" s="62" t="str">
        <f>'1. Information samples'!F73</f>
        <v>F250008</v>
      </c>
      <c r="G73" s="62" t="str">
        <f>'1. Information samples'!G73</f>
        <v>Sample 8</v>
      </c>
      <c r="H73" s="62" t="str">
        <f>'1. Information samples'!H73</f>
        <v>Cynodon</v>
      </c>
      <c r="I73" s="62" t="str">
        <f>'1. Information samples'!I73</f>
        <v xml:space="preserve"> nlemfuensis </v>
      </c>
      <c r="J73" s="62" t="str">
        <f>'1. Information samples'!J73</f>
        <v xml:space="preserve">Cynodon nlemfuensis </v>
      </c>
      <c r="K73" s="62" t="str">
        <f>'1. Information samples'!K73</f>
        <v>Poaceae</v>
      </c>
      <c r="L73" s="62" t="str">
        <f>'1. Information samples'!L73</f>
        <v>Poales</v>
      </c>
      <c r="M73" s="62" t="str">
        <f>'1. Information samples'!M73</f>
        <v>grasses</v>
      </c>
      <c r="N73" s="77">
        <f>AVERAGE('3.1. Gas prod VF'!AG382,'3.1. Gas prod VF'!AG383,'3.1. Gas prod VF'!AG384,'3.1. Gas prod VF'!AG474,'3.1. Gas prod VF'!AG475,'3.1. Gas prod VF'!AG476)</f>
        <v>18.912907095534973</v>
      </c>
      <c r="O73" s="77">
        <f>AVERAGE('3.1. Gas prod VF'!AH382,'3.1. Gas prod VF'!AH383,'3.1. Gas prod VF'!AH384,'3.1. Gas prod VF'!AH474,'3.1. Gas prod VF'!AH475,'3.1. Gas prod VF'!AH476)</f>
        <v>37.25873479879084</v>
      </c>
      <c r="P73" s="77">
        <f>AVERAGE('3.1. Gas prod VF'!AI382,'3.1. Gas prod VF'!AI383,'3.1. Gas prod VF'!AI384,'3.1. Gas prod VF'!AI474,'3.1. Gas prod VF'!AI475,'3.1. Gas prod VF'!AI476)</f>
        <v>56.171641894325809</v>
      </c>
      <c r="Q73" s="77">
        <f>AVERAGE('3.1. Gas prod VF'!AJ382,'3.1. Gas prod VF'!AJ383,'3.1. Gas prod VF'!AJ384,'3.1. Gas prod VF'!AJ474,'3.1. Gas prod VF'!AJ475,'3.1. Gas prod VF'!AJ476)</f>
        <v>2.5893593121597691</v>
      </c>
      <c r="R73" s="77">
        <f>AVERAGE('3.1. Gas prod VF'!AK382,'3.1. Gas prod VF'!AK383,'3.1. Gas prod VF'!AK384,'3.1. Gas prod VF'!AK474,'3.1. Gas prod VF'!AK475,'3.1. Gas prod VF'!AK476)</f>
        <v>5.8954634315422858</v>
      </c>
      <c r="S73" s="77">
        <f>AVERAGE('3.1. Gas prod VF'!AL382,'3.1. Gas prod VF'!AL383,'3.1. Gas prod VF'!AL384,'3.1. Gas prod VF'!AL474,'3.1. Gas prod VF'!AL475,'3.1. Gas prod VF'!AL476)</f>
        <v>8.4848227437020558</v>
      </c>
      <c r="T73" s="77">
        <f>AVERAGE('3.1. Gas prod VF'!AM382,'3.1. Gas prod VF'!AM383,'3.1. Gas prod VF'!AM384,'3.1. Gas prod VF'!AM474,'3.1. Gas prod VF'!AM475,'3.1. Gas prod VF'!AM476)</f>
        <v>120.02049793451449</v>
      </c>
      <c r="U73" s="77">
        <f>AVERAGE('3.1. Gas prod VF'!AN382,'3.1. Gas prod VF'!AN383,'3.1. Gas prod VF'!AN384,'3.1. Gas prod VF'!AN474,'3.1. Gas prod VF'!AN475,'3.1. Gas prod VF'!AN476)</f>
        <v>26.626076704917228</v>
      </c>
      <c r="V73" s="77">
        <f>AVERAGE('3.1. Gas prod VF'!AO382,'3.1. Gas prod VF'!AO383,'3.1. Gas prod VF'!AO384,'3.1. Gas prod VF'!AO474,'3.1. Gas prod VF'!AO475,'3.1. Gas prod VF'!AO476)</f>
        <v>2.2146553547705898</v>
      </c>
      <c r="W73" s="77">
        <f>AVERAGE('3.1. Gas prod VF'!AP382,'3.1. Gas prod VF'!AP383,'3.1. Gas prod VF'!AP384,'3.1. Gas prod VF'!AP474,'3.1. Gas prod VF'!AP475,'3.1. Gas prod VF'!AP476)</f>
        <v>13.716666666666667</v>
      </c>
      <c r="X73" s="77">
        <f>AVERAGE('3.1. Gas prod VF'!AQ382,'3.1. Gas prod VF'!AQ383,'3.1. Gas prod VF'!AQ384,'3.1. Gas prod VF'!AQ474,'3.1. Gas prod VF'!AQ475,'3.1. Gas prod VF'!AQ476)</f>
        <v>15.099347922241833</v>
      </c>
      <c r="Y73" s="77">
        <f>AVERAGE('3.1. Gas prod VF'!AR382,'3.1. Gas prod VF'!AR383,'3.1. Gas prod VF'!AR384,'3.1. Gas prod VF'!AR474,'3.1. Gas prod VF'!AR475,'3.1. Gas prod VF'!AR476)</f>
        <v>18.129308699018022</v>
      </c>
      <c r="Z73" s="77">
        <f>AVERAGE('3.1. Gas prod VF'!AS382,'3.1. Gas prod VF'!AS383,'3.1. Gas prod VF'!AS384,'3.1. Gas prod VF'!AS474,'3.1. Gas prod VF'!AS475,'3.1. Gas prod VF'!AS476)</f>
        <v>73.864385593523508</v>
      </c>
      <c r="AA73" s="77">
        <f>AVERAGE('3.1. Gas prod VF'!AT382,'3.1. Gas prod VF'!AT383,'3.1. Gas prod VF'!AT384,'3.1. Gas prod VF'!AT474,'3.1. Gas prod VF'!AT475,'3.1. Gas prod VF'!AT476)</f>
        <v>-1.7984385057604324</v>
      </c>
      <c r="AB73" s="77">
        <f>AVERAGE('3.1. Gas prod VF'!AU382,'3.1. Gas prod VF'!AU383,'3.1. Gas prod VF'!AU384,'3.1. Gas prod VF'!AU474,'3.1. Gas prod VF'!AU475,'3.1. Gas prod VF'!AU476)</f>
        <v>10.062079983814847</v>
      </c>
      <c r="AC73" s="77">
        <f>AVERAGE('3.1. Gas prod VF'!AV382,'3.1. Gas prod VF'!AV383,'3.1. Gas prod VF'!AV384,'3.1. Gas prod VF'!AV474,'3.1. Gas prod VF'!AV475,'3.1. Gas prod VF'!AV476)</f>
        <v>40.996011934952151</v>
      </c>
      <c r="AD73" s="20"/>
    </row>
    <row r="74" spans="2:30" s="65" customFormat="1" x14ac:dyDescent="0.35">
      <c r="B74" s="62">
        <f>'1. Information samples'!B74</f>
        <v>64</v>
      </c>
      <c r="C74" s="62">
        <f>'1. Information samples'!C74</f>
        <v>46048</v>
      </c>
      <c r="D74" s="62" t="str">
        <f>'1. Information samples'!D74</f>
        <v>Genbank</v>
      </c>
      <c r="E74" s="62">
        <f>'1. Information samples'!E74</f>
        <v>28</v>
      </c>
      <c r="F74" s="62" t="str">
        <f>'1. Information samples'!F74</f>
        <v>F252575</v>
      </c>
      <c r="G74" s="62" t="str">
        <f>'1. Information samples'!G74</f>
        <v>CIAT415</v>
      </c>
      <c r="H74" s="62" t="str">
        <f>'1. Information samples'!H74</f>
        <v>Vigna</v>
      </c>
      <c r="I74" s="62" t="str">
        <f>'1. Information samples'!I74</f>
        <v>radiata</v>
      </c>
      <c r="J74" s="62" t="str">
        <f>'1. Information samples'!J74</f>
        <v>Vigna radiata</v>
      </c>
      <c r="K74" s="62" t="str">
        <f>'1. Information samples'!K74</f>
        <v>Fabaceae</v>
      </c>
      <c r="L74" s="62" t="str">
        <f>'1. Information samples'!L74</f>
        <v>Fabales</v>
      </c>
      <c r="M74" s="62" t="str">
        <f>'1. Information samples'!M74</f>
        <v>Herbaceous</v>
      </c>
      <c r="N74" s="77">
        <f>AVERAGEIFS('3.1. Gas prod VF'!$AG$13:$AG$1230,'3.1. Gas prod VF'!$L$13:$L$1230,$F74)</f>
        <v>27.620300536085377</v>
      </c>
      <c r="O74" s="20">
        <f>AVERAGE('3.1. Gas prod VF'!AH315,'3.1. Gas prod VF'!AH316,'3.1. Gas prod VF'!AH317,'3.1. Gas prod VF'!AH496,'3.1. Gas prod VF'!AH497,'3.1. Gas prod VF'!AH498)</f>
        <v>25.479477704893231</v>
      </c>
      <c r="P74" s="77">
        <f>AVERAGEIFS('3.1. Gas prod VF'!$AI$13:$AI$1230,'3.1. Gas prod VF'!$L$13:$L$1230,$F74)</f>
        <v>72.735749651190204</v>
      </c>
      <c r="Q74" s="77">
        <f>AVERAGEIFS('3.1. Gas prod VF'!$AJ$13:$AJ$1230,'3.1. Gas prod VF'!$L$13:$L$1230,$F74)</f>
        <v>3.0950520819180971</v>
      </c>
      <c r="R74" s="77">
        <f>AVERAGEIFS('3.1. Gas prod VF'!$AK$13:$AK$1230,'3.1. Gas prod VF'!$L$13:$L$1230,$F74)</f>
        <v>6.9230422659243303</v>
      </c>
      <c r="S74" s="77">
        <f>AVERAGEIFS('3.1. Gas prod VF'!$AL$13:$AL$1230,'3.1. Gas prod VF'!$L$13:$L$1230,$F74)</f>
        <v>10.018094347842428</v>
      </c>
      <c r="T74" s="77">
        <f>AVERAGEIFS('3.1. Gas prod VF'!$AM$13:$AM$1230,'3.1. Gas prod VF'!$L$13:$L$1230,$F74)</f>
        <v>157.79457366009424</v>
      </c>
      <c r="U74" s="77">
        <f>AVERAGEIFS('3.1. Gas prod VF'!$AN$13:$AN$1230,'3.1. Gas prod VF'!$L$13:$L$1230,$F74)</f>
        <v>51.386357036819327</v>
      </c>
      <c r="V74" s="77">
        <f>AVERAGEIFS('3.1. Gas prod VF'!$AO$13:$AO$1230,'3.1. Gas prod VF'!$L$13:$L$1230,$F74)</f>
        <v>3.2842341132022765</v>
      </c>
      <c r="W74" s="77">
        <f>AVERAGEIFS('3.1. Gas prod VF'!$AP$13:$AP$1230,'3.1. Gas prod VF'!$L$13:$L$1230,$F74)</f>
        <v>11.225</v>
      </c>
      <c r="X74" s="77">
        <f>AVERAGEIFS('3.1. Gas prod VF'!$AQ$13:$AQ$1230,'3.1. Gas prod VF'!$L$13:$L$1230,$F74)</f>
        <v>13.791846399850309</v>
      </c>
      <c r="Y74" s="77">
        <f>AVERAGEIFS('3.1. Gas prod VF'!$AR$13:$AR$1230,'3.1. Gas prod VF'!$L$13:$L$1230,$F74)</f>
        <v>21.735780934799728</v>
      </c>
      <c r="Z74" s="77">
        <f>AVERAGEIFS('3.1. Gas prod VF'!$AS$13:$AS$1230,'3.1. Gas prod VF'!$L$13:$L$1230,$F74)</f>
        <v>43.251449872830783</v>
      </c>
      <c r="AA74" s="77">
        <f>AVERAGEIFS('3.1. Gas prod VF'!$AT$13:$AT$1230,'3.1. Gas prod VF'!$L$13:$L$1230,$F74)</f>
        <v>-3.3090553929578652E-2</v>
      </c>
      <c r="AB74" s="77">
        <f>AVERAGEIFS('3.1. Gas prod VF'!$AU$13:$AU$1230,'3.1. Gas prod VF'!$L$13:$L$1230,$F74)</f>
        <v>12.063734470387116</v>
      </c>
      <c r="AC74" s="77">
        <f>AVERAGEIFS('3.1. Gas prod VF'!$AV$13:$AV$1230,'3.1. Gas prod VF'!$L$13:$L$1230,$F74)</f>
        <v>24.005302974401584</v>
      </c>
      <c r="AD74" s="20"/>
    </row>
    <row r="75" spans="2:30" s="65" customFormat="1" x14ac:dyDescent="0.35">
      <c r="B75" s="62">
        <f>'1. Information samples'!B75</f>
        <v>65</v>
      </c>
      <c r="C75" s="62">
        <f>'1. Information samples'!C75</f>
        <v>46048</v>
      </c>
      <c r="D75" s="62" t="str">
        <f>'1. Information samples'!D75</f>
        <v>Genbank</v>
      </c>
      <c r="E75" s="62">
        <f>'1. Information samples'!E75</f>
        <v>28</v>
      </c>
      <c r="F75" s="62" t="str">
        <f>'1. Information samples'!F75</f>
        <v>F252576</v>
      </c>
      <c r="G75" s="62" t="str">
        <f>'1. Information samples'!G75</f>
        <v>CIAT416</v>
      </c>
      <c r="H75" s="62" t="str">
        <f>'1. Information samples'!H75</f>
        <v>Vigna</v>
      </c>
      <c r="I75" s="62" t="str">
        <f>'1. Information samples'!I75</f>
        <v>radiata</v>
      </c>
      <c r="J75" s="62" t="str">
        <f>'1. Information samples'!J75</f>
        <v>Vigna radiata</v>
      </c>
      <c r="K75" s="62" t="str">
        <f>'1. Information samples'!K75</f>
        <v>Fabaceae</v>
      </c>
      <c r="L75" s="62" t="str">
        <f>'1. Information samples'!L75</f>
        <v>Fabales</v>
      </c>
      <c r="M75" s="62" t="str">
        <f>'1. Information samples'!M75</f>
        <v>Herbaceous</v>
      </c>
      <c r="N75" s="77">
        <f>AVERAGEIFS('3.1. Gas prod VF'!$AG$13:$AG$1230,'3.1. Gas prod VF'!$L$13:$L$1230,$F75)</f>
        <v>39.507490991876047</v>
      </c>
      <c r="O75" s="20">
        <f>AVERAGE('3.1. Gas prod VF'!AH318,'3.1. Gas prod VF'!AH319,'3.1. Gas prod VF'!AH320,'3.1. Gas prod VF'!AH499,'3.1. Gas prod VF'!AH500,'3.1. Gas prod VF'!AH501)</f>
        <v>28.879477704893226</v>
      </c>
      <c r="P75" s="77">
        <f>AVERAGEIFS('3.1. Gas prod VF'!$AI$13:$AI$1230,'3.1. Gas prod VF'!$L$13:$L$1230,$F75)</f>
        <v>86.308256407283167</v>
      </c>
      <c r="Q75" s="77">
        <f>AVERAGEIFS('3.1. Gas prod VF'!$AJ$13:$AJ$1230,'3.1. Gas prod VF'!$L$13:$L$1230,$F75)</f>
        <v>4.8895910621882663</v>
      </c>
      <c r="R75" s="77">
        <f>AVERAGEIFS('3.1. Gas prod VF'!$AK$13:$AK$1230,'3.1. Gas prod VF'!$L$13:$L$1230,$F75)</f>
        <v>7.8795318653379436</v>
      </c>
      <c r="S75" s="77">
        <f>AVERAGEIFS('3.1. Gas prod VF'!$AL$13:$AL$1230,'3.1. Gas prod VF'!$L$13:$L$1230,$F75)</f>
        <v>12.769122927526212</v>
      </c>
      <c r="T75" s="77">
        <f>AVERAGEIFS('3.1. Gas prod VF'!$AM$13:$AM$1230,'3.1. Gas prod VF'!$L$13:$L$1230,$F75)</f>
        <v>188.72405716374192</v>
      </c>
      <c r="U75" s="77">
        <f>AVERAGEIFS('3.1. Gas prod VF'!$AN$13:$AN$1230,'3.1. Gas prod VF'!$L$13:$L$1230,$F75)</f>
        <v>56.445591407511884</v>
      </c>
      <c r="V75" s="77">
        <f>AVERAGEIFS('3.1. Gas prod VF'!$AO$13:$AO$1230,'3.1. Gas prod VF'!$L$13:$L$1230,$F75)</f>
        <v>2.9916868888342196</v>
      </c>
      <c r="W75" s="77">
        <f>AVERAGEIFS('3.1. Gas prod VF'!$AP$13:$AP$1230,'3.1. Gas prod VF'!$L$13:$L$1230,$F75)</f>
        <v>12.375</v>
      </c>
      <c r="X75" s="77">
        <f>AVERAGEIFS('3.1. Gas prod VF'!$AQ$13:$AQ$1230,'3.1. Gas prod VF'!$L$13:$L$1230,$F75)</f>
        <v>14.794089525354197</v>
      </c>
      <c r="Y75" s="77">
        <f>AVERAGEIFS('3.1. Gas prod VF'!$AR$13:$AR$1230,'3.1. Gas prod VF'!$L$13:$L$1230,$F75)</f>
        <v>27.921305943895717</v>
      </c>
      <c r="Z75" s="77">
        <f>AVERAGEIFS('3.1. Gas prod VF'!$AS$13:$AS$1230,'3.1. Gas prod VF'!$L$13:$L$1230,$F75)</f>
        <v>50.256596240856474</v>
      </c>
      <c r="AA75" s="77">
        <f>AVERAGEIFS('3.1. Gas prod VF'!$AT$13:$AT$1230,'3.1. Gas prod VF'!$L$13:$L$1230,$F75)</f>
        <v>13.582287906691141</v>
      </c>
      <c r="AB75" s="77">
        <f>AVERAGEIFS('3.1. Gas prod VF'!$AU$13:$AU$1230,'3.1. Gas prod VF'!$L$13:$L$1230,$F75)</f>
        <v>15.496807866439008</v>
      </c>
      <c r="AC75" s="77">
        <f>AVERAGEIFS('3.1. Gas prod VF'!$AV$13:$AV$1230,'3.1. Gas prod VF'!$L$13:$L$1230,$F75)</f>
        <v>27.893280404959793</v>
      </c>
      <c r="AD75" s="20"/>
    </row>
    <row r="76" spans="2:30" s="65" customFormat="1" x14ac:dyDescent="0.35">
      <c r="B76" s="62">
        <f>'1. Information samples'!B76</f>
        <v>66</v>
      </c>
      <c r="C76" s="62">
        <f>'1. Information samples'!C76</f>
        <v>46048</v>
      </c>
      <c r="D76" s="62" t="str">
        <f>'1. Information samples'!D76</f>
        <v>Genbank</v>
      </c>
      <c r="E76" s="62">
        <f>'1. Information samples'!E76</f>
        <v>28</v>
      </c>
      <c r="F76" s="62" t="str">
        <f>'1. Information samples'!F76</f>
        <v>F252577</v>
      </c>
      <c r="G76" s="62" t="str">
        <f>'1. Information samples'!G76</f>
        <v>CIAT517</v>
      </c>
      <c r="H76" s="62" t="str">
        <f>'1. Information samples'!H76</f>
        <v>Macroptilium</v>
      </c>
      <c r="I76" s="62" t="str">
        <f>'1. Information samples'!I76</f>
        <v>atropurpureum</v>
      </c>
      <c r="J76" s="62" t="str">
        <f>'1. Information samples'!J76</f>
        <v>Macroptilium atropurpureum</v>
      </c>
      <c r="K76" s="62" t="str">
        <f>'1. Information samples'!K76</f>
        <v>Fabaceae</v>
      </c>
      <c r="L76" s="62" t="str">
        <f>'1. Information samples'!L76</f>
        <v>Fabales</v>
      </c>
      <c r="M76" s="62" t="str">
        <f>'1. Information samples'!M76</f>
        <v>Herbaceous</v>
      </c>
      <c r="N76" s="77">
        <f>AVERAGEIFS('3.1. Gas prod VF'!$AG$13:$AG$1230,'3.1. Gas prod VF'!$L$13:$L$1230,$F76)</f>
        <v>33.382490991876047</v>
      </c>
      <c r="O76" s="20">
        <f>AVERAGE('3.1. Gas prod VF'!AH321,'3.1. Gas prod VF'!AH322,'3.1. Gas prod VF'!AH323,'3.1. Gas prod VF'!AH502,'3.1. Gas prod VF'!AH503,'3.1. Gas prod VF'!AH504)</f>
        <v>21.347163431418824</v>
      </c>
      <c r="P76" s="77">
        <f>AVERAGEIFS('3.1. Gas prod VF'!$AI$13:$AI$1230,'3.1. Gas prod VF'!$L$13:$L$1230,$F76)</f>
        <v>67.495756407283167</v>
      </c>
      <c r="Q76" s="77">
        <f>AVERAGEIFS('3.1. Gas prod VF'!$AJ$13:$AJ$1230,'3.1. Gas prod VF'!$L$13:$L$1230,$F76)</f>
        <v>3.8641948893203275</v>
      </c>
      <c r="R76" s="77">
        <f>AVERAGEIFS('3.1. Gas prod VF'!$AK$13:$AK$1230,'3.1. Gas prod VF'!$L$13:$L$1230,$F76)</f>
        <v>5.0653970162790447</v>
      </c>
      <c r="S76" s="77">
        <f>AVERAGEIFS('3.1. Gas prod VF'!$AL$13:$AL$1230,'3.1. Gas prod VF'!$L$13:$L$1230,$F76)</f>
        <v>8.9295919055993735</v>
      </c>
      <c r="T76" s="77">
        <f>AVERAGEIFS('3.1. Gas prod VF'!$AM$13:$AM$1230,'3.1. Gas prod VF'!$L$13:$L$1230,$F76)</f>
        <v>148.10916183461916</v>
      </c>
      <c r="U76" s="77">
        <f>AVERAGEIFS('3.1. Gas prod VF'!$AN$13:$AN$1230,'3.1. Gas prod VF'!$L$13:$L$1230,$F76)</f>
        <v>37.987149979369022</v>
      </c>
      <c r="V76" s="77">
        <f>AVERAGEIFS('3.1. Gas prod VF'!$AO$13:$AO$1230,'3.1. Gas prod VF'!$L$13:$L$1230,$F76)</f>
        <v>2.5686888780026313</v>
      </c>
      <c r="W76" s="77">
        <f>AVERAGEIFS('3.1. Gas prod VF'!$AP$13:$AP$1230,'3.1. Gas prod VF'!$L$13:$L$1230,$F76)</f>
        <v>11.574999999999999</v>
      </c>
      <c r="X76" s="77">
        <f>AVERAGEIFS('3.1. Gas prod VF'!$AQ$13:$AQ$1230,'3.1. Gas prod VF'!$L$13:$L$1230,$F76)</f>
        <v>13.234932651306446</v>
      </c>
      <c r="Y76" s="77">
        <f>AVERAGEIFS('3.1. Gas prod VF'!$AR$13:$AR$1230,'3.1. Gas prod VF'!$L$13:$L$1230,$F76)</f>
        <v>19.594639857666202</v>
      </c>
      <c r="Z76" s="77">
        <f>AVERAGEIFS('3.1. Gas prod VF'!$AS$13:$AS$1230,'3.1. Gas prod VF'!$L$13:$L$1230,$F76)</f>
        <v>52.88274714600869</v>
      </c>
      <c r="AA76" s="77">
        <f>AVERAGEIFS('3.1. Gas prod VF'!$AT$13:$AT$1230,'3.1. Gas prod VF'!$L$13:$L$1230,$F76)</f>
        <v>-0.29184052473803107</v>
      </c>
      <c r="AB76" s="77">
        <f>AVERAGEIFS('3.1. Gas prod VF'!$AU$13:$AU$1230,'3.1. Gas prod VF'!$L$13:$L$1230,$F76)</f>
        <v>10.875364128614736</v>
      </c>
      <c r="AC76" s="77">
        <f>AVERAGEIFS('3.1. Gas prod VF'!$AV$13:$AV$1230,'3.1. Gas prod VF'!$L$13:$L$1230,$F76)</f>
        <v>29.350839592456033</v>
      </c>
      <c r="AD76" s="20"/>
    </row>
    <row r="77" spans="2:30" s="65" customFormat="1" x14ac:dyDescent="0.35">
      <c r="B77" s="62">
        <f>'1. Information samples'!B77</f>
        <v>67</v>
      </c>
      <c r="C77" s="62">
        <f>'1. Information samples'!C77</f>
        <v>46048</v>
      </c>
      <c r="D77" s="62" t="str">
        <f>'1. Information samples'!D77</f>
        <v>Genbank</v>
      </c>
      <c r="E77" s="62">
        <f>'1. Information samples'!E77</f>
        <v>28</v>
      </c>
      <c r="F77" s="62" t="str">
        <f>'1. Information samples'!F77</f>
        <v>F252578</v>
      </c>
      <c r="G77" s="62" t="str">
        <f>'1. Information samples'!G77</f>
        <v>CIAT563</v>
      </c>
      <c r="H77" s="62" t="str">
        <f>'1. Information samples'!H77</f>
        <v>Macroptilium</v>
      </c>
      <c r="I77" s="62" t="str">
        <f>'1. Information samples'!I77</f>
        <v>bracteatum</v>
      </c>
      <c r="J77" s="62" t="str">
        <f>'1. Information samples'!J77</f>
        <v>Macroptilium bracteatum</v>
      </c>
      <c r="K77" s="62" t="str">
        <f>'1. Information samples'!K77</f>
        <v>Fabaceae</v>
      </c>
      <c r="L77" s="62" t="str">
        <f>'1. Information samples'!L77</f>
        <v>Fabales</v>
      </c>
      <c r="M77" s="62" t="str">
        <f>'1. Information samples'!M77</f>
        <v>Herbaceous</v>
      </c>
      <c r="N77" s="77">
        <f>AVERAGEIFS('3.1. Gas prod VF'!$AG$13:$AG$1230,'3.1. Gas prod VF'!$L$13:$L$1230,$F77)</f>
        <v>31.19499099187605</v>
      </c>
      <c r="O77" s="20">
        <f>AVERAGE('3.1. Gas prod VF'!AH324,'3.1. Gas prod VF'!AH325,'3.1. Gas prod VF'!AH326,'3.1. Gas prod VF'!AH505,'3.1. Gas prod VF'!AH506,'3.1. Gas prod VF'!AH507)</f>
        <v>21.597163431418824</v>
      </c>
      <c r="P77" s="77">
        <f>AVERAGEIFS('3.1. Gas prod VF'!$AI$13:$AI$1230,'3.1. Gas prod VF'!$L$13:$L$1230,$F77)</f>
        <v>72.620756407283167</v>
      </c>
      <c r="Q77" s="77">
        <f>AVERAGEIFS('3.1. Gas prod VF'!$AJ$13:$AJ$1230,'3.1. Gas prod VF'!$L$13:$L$1230,$F77)</f>
        <v>3.8019931108211309</v>
      </c>
      <c r="R77" s="77">
        <f>AVERAGEIFS('3.1. Gas prod VF'!$AK$13:$AK$1230,'3.1. Gas prod VF'!$L$13:$L$1230,$F77)</f>
        <v>6.1163871896304052</v>
      </c>
      <c r="S77" s="77">
        <f>AVERAGEIFS('3.1. Gas prod VF'!$AL$13:$AL$1230,'3.1. Gas prod VF'!$L$13:$L$1230,$F77)</f>
        <v>9.9183803004515347</v>
      </c>
      <c r="T77" s="77">
        <f>AVERAGEIFS('3.1. Gas prod VF'!$AM$13:$AM$1230,'3.1. Gas prod VF'!$L$13:$L$1230,$F77)</f>
        <v>156.13426193730328</v>
      </c>
      <c r="U77" s="77">
        <f>AVERAGEIFS('3.1. Gas prod VF'!$AN$13:$AN$1230,'3.1. Gas prod VF'!$L$13:$L$1230,$F77)</f>
        <v>40.95053574043208</v>
      </c>
      <c r="V77" s="77">
        <f>AVERAGEIFS('3.1. Gas prod VF'!$AO$13:$AO$1230,'3.1. Gas prod VF'!$L$13:$L$1230,$F77)</f>
        <v>2.6236466631258732</v>
      </c>
      <c r="W77" s="77">
        <f>AVERAGEIFS('3.1. Gas prod VF'!$AP$13:$AP$1230,'3.1. Gas prod VF'!$L$13:$L$1230,$F77)</f>
        <v>12.1875</v>
      </c>
      <c r="X77" s="77">
        <f>AVERAGEIFS('3.1. Gas prod VF'!$AQ$13:$AQ$1230,'3.1. Gas prod VF'!$L$13:$L$1230,$F77)</f>
        <v>13.660570356627082</v>
      </c>
      <c r="Y77" s="77">
        <f>AVERAGEIFS('3.1. Gas prod VF'!$AR$13:$AR$1230,'3.1. Gas prod VF'!$L$13:$L$1230,$F77)</f>
        <v>21.3244923453769</v>
      </c>
      <c r="Z77" s="77">
        <f>AVERAGEIFS('3.1. Gas prod VF'!$AS$13:$AS$1230,'3.1. Gas prod VF'!$L$13:$L$1230,$F77)</f>
        <v>53.486886818630524</v>
      </c>
      <c r="AA77" s="77">
        <f>AVERAGEIFS('3.1. Gas prod VF'!$AT$13:$AT$1230,'3.1. Gas prod VF'!$L$13:$L$1230,$F77)</f>
        <v>-6.3157628924031012E-2</v>
      </c>
      <c r="AB77" s="77">
        <f>AVERAGEIFS('3.1. Gas prod VF'!$AU$13:$AU$1230,'3.1. Gas prod VF'!$L$13:$L$1230,$F77)</f>
        <v>11.835462187537905</v>
      </c>
      <c r="AC77" s="77">
        <f>AVERAGEIFS('3.1. Gas prod VF'!$AV$13:$AV$1230,'3.1. Gas prod VF'!$L$13:$L$1230,$F77)</f>
        <v>29.686147563004617</v>
      </c>
      <c r="AD77" s="20"/>
    </row>
    <row r="78" spans="2:30" s="65" customFormat="1" x14ac:dyDescent="0.35">
      <c r="B78" s="62">
        <f>'1. Information samples'!B78</f>
        <v>68</v>
      </c>
      <c r="C78" s="62">
        <f>'1. Information samples'!C78</f>
        <v>46048</v>
      </c>
      <c r="D78" s="62" t="str">
        <f>'1. Information samples'!D78</f>
        <v>Genbank</v>
      </c>
      <c r="E78" s="62">
        <f>'1. Information samples'!E78</f>
        <v>28</v>
      </c>
      <c r="F78" s="62" t="str">
        <f>'1. Information samples'!F78</f>
        <v>F252579</v>
      </c>
      <c r="G78" s="62" t="str">
        <f>'1. Information samples'!G78</f>
        <v>CIAT789</v>
      </c>
      <c r="H78" s="62" t="str">
        <f>'1. Information samples'!H78</f>
        <v>Zornia</v>
      </c>
      <c r="I78" s="62" t="str">
        <f>'1. Information samples'!I78</f>
        <v>latifolia</v>
      </c>
      <c r="J78" s="62" t="str">
        <f>'1. Information samples'!J78</f>
        <v>Zornia latifolia</v>
      </c>
      <c r="K78" s="62" t="str">
        <f>'1. Information samples'!K78</f>
        <v>Fabaceae</v>
      </c>
      <c r="L78" s="62" t="str">
        <f>'1. Information samples'!L78</f>
        <v>Fabales</v>
      </c>
      <c r="M78" s="62" t="str">
        <f>'1. Information samples'!M78</f>
        <v>Herbaceous</v>
      </c>
      <c r="N78" s="77">
        <f>AVERAGEIFS('3.1. Gas prod VF'!$AG$13:$AG$1230,'3.1. Gas prod VF'!$L$13:$L$1230,$F78)</f>
        <v>45.632490991876047</v>
      </c>
      <c r="O78" s="20">
        <f>AVERAGE('3.1. Gas prod VF'!AH327,'3.1. Gas prod VF'!AH328,'3.1. Gas prod VF'!AH329,'3.1. Gas prod VF'!AH508,'3.1. Gas prod VF'!AH509,'3.1. Gas prod VF'!AH510)</f>
        <v>24.847163431418824</v>
      </c>
      <c r="P78" s="77">
        <f>AVERAGEIFS('3.1. Gas prod VF'!$AI$13:$AI$1230,'3.1. Gas prod VF'!$L$13:$L$1230,$F78)</f>
        <v>96.058256407283167</v>
      </c>
      <c r="Q78" s="77">
        <f>AVERAGEIFS('3.1. Gas prod VF'!$AJ$13:$AJ$1230,'3.1. Gas prod VF'!$L$13:$L$1230,$F78)</f>
        <v>6.0281663041715463</v>
      </c>
      <c r="R78" s="77">
        <f>AVERAGEIFS('3.1. Gas prod VF'!$AK$13:$AK$1230,'3.1. Gas prod VF'!$L$13:$L$1230,$F78)</f>
        <v>8.0997319104060761</v>
      </c>
      <c r="S78" s="77">
        <f>AVERAGEIFS('3.1. Gas prod VF'!$AL$13:$AL$1230,'3.1. Gas prod VF'!$L$13:$L$1230,$F78)</f>
        <v>14.127898214577622</v>
      </c>
      <c r="T78" s="77">
        <f>AVERAGEIFS('3.1. Gas prod VF'!$AM$13:$AM$1230,'3.1. Gas prod VF'!$L$13:$L$1230,$F78)</f>
        <v>216.16171535026928</v>
      </c>
      <c r="U78" s="77">
        <f>AVERAGEIFS('3.1. Gas prod VF'!$AN$13:$AN$1230,'3.1. Gas prod VF'!$L$13:$L$1230,$F78)</f>
        <v>40.553234326869479</v>
      </c>
      <c r="V78" s="77">
        <f>AVERAGEIFS('3.1. Gas prod VF'!$AO$13:$AO$1230,'3.1. Gas prod VF'!$L$13:$L$1230,$F78)</f>
        <v>1.8821475486852335</v>
      </c>
      <c r="W78" s="77">
        <f>AVERAGEIFS('3.1. Gas prod VF'!$AP$13:$AP$1230,'3.1. Gas prod VF'!$L$13:$L$1230,$F78)</f>
        <v>13.200000000000001</v>
      </c>
      <c r="X78" s="77">
        <f>AVERAGEIFS('3.1. Gas prod VF'!$AQ$13:$AQ$1230,'3.1. Gas prod VF'!$L$13:$L$1230,$F78)</f>
        <v>14.71062797196433</v>
      </c>
      <c r="Y78" s="77">
        <f>AVERAGEIFS('3.1. Gas prod VF'!$AR$13:$AR$1230,'3.1. Gas prod VF'!$L$13:$L$1230,$F78)</f>
        <v>31.792262731203074</v>
      </c>
      <c r="Z78" s="77">
        <f>AVERAGEIFS('3.1. Gas prod VF'!$AS$13:$AS$1230,'3.1. Gas prod VF'!$L$13:$L$1230,$F78)</f>
        <v>84.232951781775782</v>
      </c>
      <c r="AA78" s="77">
        <f>AVERAGEIFS('3.1. Gas prod VF'!$AT$13:$AT$1230,'3.1. Gas prod VF'!$L$13:$L$1230,$F78)</f>
        <v>-0.95249933286013211</v>
      </c>
      <c r="AB78" s="77">
        <f>AVERAGEIFS('3.1. Gas prod VF'!$AU$13:$AU$1230,'3.1. Gas prod VF'!$L$13:$L$1230,$F78)</f>
        <v>17.645255854965303</v>
      </c>
      <c r="AC78" s="77">
        <f>AVERAGEIFS('3.1. Gas prod VF'!$AV$13:$AV$1230,'3.1. Gas prod VF'!$L$13:$L$1230,$F78)</f>
        <v>46.750745556390427</v>
      </c>
      <c r="AD78" s="20"/>
    </row>
    <row r="79" spans="2:30" s="65" customFormat="1" x14ac:dyDescent="0.35">
      <c r="B79" s="62">
        <f>'1. Information samples'!B79</f>
        <v>69</v>
      </c>
      <c r="C79" s="62">
        <f>'1. Information samples'!C79</f>
        <v>46048</v>
      </c>
      <c r="D79" s="62" t="str">
        <f>'1. Information samples'!D79</f>
        <v>Genbank</v>
      </c>
      <c r="E79" s="62">
        <f>'1. Information samples'!E79</f>
        <v>28</v>
      </c>
      <c r="F79" s="62" t="str">
        <f>'1. Information samples'!F79</f>
        <v>F252580</v>
      </c>
      <c r="G79" s="62" t="str">
        <f>'1. Information samples'!G79</f>
        <v>CIAT2085</v>
      </c>
      <c r="H79" s="62" t="str">
        <f>'1. Information samples'!H79</f>
        <v>Stylosanthes</v>
      </c>
      <c r="I79" s="62" t="str">
        <f>'1. Information samples'!I79</f>
        <v>seabrana</v>
      </c>
      <c r="J79" s="62" t="str">
        <f>'1. Information samples'!J79</f>
        <v>Stylosanthes seabrana</v>
      </c>
      <c r="K79" s="62" t="str">
        <f>'1. Information samples'!K79</f>
        <v>Fabaceae</v>
      </c>
      <c r="L79" s="62" t="str">
        <f>'1. Information samples'!L79</f>
        <v>Fabales</v>
      </c>
      <c r="M79" s="62" t="str">
        <f>'1. Information samples'!M79</f>
        <v>Herbaceous</v>
      </c>
      <c r="N79" s="77">
        <f>AVERAGE('3.1. Gas prod VF'!AG402,'3.1. Gas prod VF'!AG403,'3.1. Gas prod VF'!AG404,'3.1. Gas prod VF'!AG583,'3.1. Gas prod VF'!AG585,'3.1. Gas prod VF'!AG739)</f>
        <v>29.761241179545298</v>
      </c>
      <c r="O79" s="77">
        <f>AVERAGE('3.1. Gas prod VF'!AH402,'3.1. Gas prod VF'!AH403,'3.1. Gas prod VF'!AH404,'3.1. Gas prod VF'!AH583,'3.1. Gas prod VF'!AH585,'3.1. Gas prod VF'!AH739)</f>
        <v>46.120088543201696</v>
      </c>
      <c r="P79" s="77">
        <f>AVERAGE('3.1. Gas prod VF'!AI402,'3.1. Gas prod VF'!AI403,'3.1. Gas prod VF'!AI404,'3.1. Gas prod VF'!AI583,'3.1. Gas prod VF'!AI585,'3.1. Gas prod VF'!AI739)</f>
        <v>75.881329722746997</v>
      </c>
      <c r="Q79" s="77">
        <f>AVERAGE('3.1. Gas prod VF'!AJ402,'3.1. Gas prod VF'!AJ403,'3.1. Gas prod VF'!AJ404,'3.1. Gas prod VF'!AJ583,'3.1. Gas prod VF'!AJ585,'3.1. Gas prod VF'!AJ739)</f>
        <v>3.237939869088732</v>
      </c>
      <c r="R79" s="77">
        <f>AVERAGE('3.1. Gas prod VF'!AK402,'3.1. Gas prod VF'!AK403,'3.1. Gas prod VF'!AK404,'3.1. Gas prod VF'!AK583,'3.1. Gas prod VF'!AK585,'3.1. Gas prod VF'!AK739)</f>
        <v>6.7195594919187256</v>
      </c>
      <c r="S79" s="77">
        <f>AVERAGE('3.1. Gas prod VF'!AL402,'3.1. Gas prod VF'!AL403,'3.1. Gas prod VF'!AL404,'3.1. Gas prod VF'!AL583,'3.1. Gas prod VF'!AL585,'3.1. Gas prod VF'!AL739)</f>
        <v>9.9574993610074589</v>
      </c>
      <c r="T79" s="77">
        <f>AVERAGE('3.1. Gas prod VF'!AM402,'3.1. Gas prod VF'!AM403,'3.1. Gas prod VF'!AM404,'3.1. Gas prod VF'!AM583,'3.1. Gas prod VF'!AM585,'3.1. Gas prod VF'!AM739)</f>
        <v>164.93691286110297</v>
      </c>
      <c r="U79" s="77">
        <f>AVERAGE('3.1. Gas prod VF'!AN402,'3.1. Gas prod VF'!AN403,'3.1. Gas prod VF'!AN404,'3.1. Gas prod VF'!AN583,'3.1. Gas prod VF'!AN585,'3.1. Gas prod VF'!AN739)</f>
        <v>35.991133346881163</v>
      </c>
      <c r="V79" s="77">
        <f>AVERAGE('3.1. Gas prod VF'!AO402,'3.1. Gas prod VF'!AO403,'3.1. Gas prod VF'!AO404,'3.1. Gas prod VF'!AO583,'3.1. Gas prod VF'!AO585,'3.1. Gas prod VF'!AO739)</f>
        <v>2.1847584751162921</v>
      </c>
      <c r="W79" s="77">
        <f>AVERAGE('3.1. Gas prod VF'!AP402,'3.1. Gas prod VF'!AP403,'3.1. Gas prod VF'!AP404,'3.1. Gas prod VF'!AP583,'3.1. Gas prod VF'!AP585,'3.1. Gas prod VF'!AP739)</f>
        <v>10.866666666666667</v>
      </c>
      <c r="X79" s="77">
        <f>AVERAGE('3.1. Gas prod VF'!AQ402,'3.1. Gas prod VF'!AQ403,'3.1. Gas prod VF'!AQ404,'3.1. Gas prod VF'!AQ583,'3.1. Gas prod VF'!AQ585,'3.1. Gas prod VF'!AQ739)</f>
        <v>13.125355535079679</v>
      </c>
      <c r="Y79" s="77">
        <f>AVERAGE('3.1. Gas prod VF'!AR402,'3.1. Gas prod VF'!AR403,'3.1. Gas prod VF'!AR404,'3.1. Gas prod VF'!AR583,'3.1. Gas prod VF'!AR585,'3.1. Gas prod VF'!AR739)</f>
        <v>21.643782631519439</v>
      </c>
      <c r="Z79" s="77">
        <f>AVERAGE('3.1. Gas prod VF'!AS402,'3.1. Gas prod VF'!AS403,'3.1. Gas prod VF'!AS404,'3.1. Gas prod VF'!AS583,'3.1. Gas prod VF'!AS585,'3.1. Gas prod VF'!AS739)</f>
        <v>60.409384759854817</v>
      </c>
      <c r="AA79" s="77">
        <f>AVERAGE('3.1. Gas prod VF'!AT402,'3.1. Gas prod VF'!AT403,'3.1. Gas prod VF'!AT404,'3.1. Gas prod VF'!AT583,'3.1. Gas prod VF'!AT585,'3.1. Gas prod VF'!AT739)</f>
        <v>-0.94832251156031566</v>
      </c>
      <c r="AB79" s="77">
        <f>AVERAGE('3.1. Gas prod VF'!AU402,'3.1. Gas prod VF'!AU403,'3.1. Gas prod VF'!AU404,'3.1. Gas prod VF'!AU583,'3.1. Gas prod VF'!AU585,'3.1. Gas prod VF'!AU739)</f>
        <v>12.012673820400407</v>
      </c>
      <c r="AC79" s="77">
        <f>AVERAGE('3.1. Gas prod VF'!AV402,'3.1. Gas prod VF'!AV403,'3.1. Gas prod VF'!AV404,'3.1. Gas prod VF'!AV583,'3.1. Gas prod VF'!AV585,'3.1. Gas prod VF'!AV739)</f>
        <v>33.528253686784474</v>
      </c>
      <c r="AD79" s="20"/>
    </row>
    <row r="80" spans="2:30" x14ac:dyDescent="0.35">
      <c r="B80" s="62">
        <f>'1. Information samples'!B80</f>
        <v>70</v>
      </c>
      <c r="C80" s="62">
        <f>'1. Information samples'!C80</f>
        <v>46048</v>
      </c>
      <c r="D80" s="62" t="str">
        <f>'1. Information samples'!D80</f>
        <v>Genbank</v>
      </c>
      <c r="E80" s="62">
        <f>'1. Information samples'!E80</f>
        <v>28</v>
      </c>
      <c r="F80" s="62" t="str">
        <f>'1. Information samples'!F80</f>
        <v>F252581</v>
      </c>
      <c r="G80" s="62" t="str">
        <f>'1. Information samples'!G80</f>
        <v>CIAT2690</v>
      </c>
      <c r="H80" s="62" t="str">
        <f>'1. Information samples'!H80</f>
        <v>Stylosanthes</v>
      </c>
      <c r="I80" s="62" t="str">
        <f>'1. Information samples'!I80</f>
        <v>angustifolia</v>
      </c>
      <c r="J80" s="62" t="str">
        <f>'1. Information samples'!J80</f>
        <v>Stylosanthes angustifolia</v>
      </c>
      <c r="K80" s="62" t="str">
        <f>'1. Information samples'!K80</f>
        <v>Fabaceae</v>
      </c>
      <c r="L80" s="62" t="str">
        <f>'1. Information samples'!L80</f>
        <v>Fabales</v>
      </c>
      <c r="M80" s="62" t="str">
        <f>'1. Information samples'!M80</f>
        <v>Herbaceous</v>
      </c>
      <c r="N80" s="77">
        <f>AVERAGEIFS('3.1. Gas prod VF'!$AG$13:$AG$1230,'3.1. Gas prod VF'!$L$13:$L$1230,$F80)</f>
        <v>35.882490991876047</v>
      </c>
      <c r="O80" s="20">
        <f>AVERAGE('3.1. Gas prod VF'!AH333,'3.1. Gas prod VF'!AH334,'3.1. Gas prod VF'!AH335,'3.1. Gas prod VF'!AH514,'3.1. Gas prod VF'!AH515,'3.1. Gas prod VF'!AH516)</f>
        <v>18.597163431418828</v>
      </c>
      <c r="P80" s="77">
        <f>AVERAGEIFS('3.1. Gas prod VF'!$AI$13:$AI$1230,'3.1. Gas prod VF'!$L$13:$L$1230,$F80)</f>
        <v>79.495756407283167</v>
      </c>
      <c r="Q80" s="77">
        <f>AVERAGEIFS('3.1. Gas prod VF'!$AJ$13:$AJ$1230,'3.1. Gas prod VF'!$L$13:$L$1230,$F80)</f>
        <v>3.9503439944681644</v>
      </c>
      <c r="R80" s="77">
        <f>AVERAGEIFS('3.1. Gas prod VF'!$AK$13:$AK$1230,'3.1. Gas prod VF'!$L$13:$L$1230,$F80)</f>
        <v>6.6544950013991322</v>
      </c>
      <c r="S80" s="77">
        <f>AVERAGEIFS('3.1. Gas prod VF'!$AL$13:$AL$1230,'3.1. Gas prod VF'!$L$13:$L$1230,$F80)</f>
        <v>10.604838995867297</v>
      </c>
      <c r="T80" s="77">
        <f>AVERAGEIFS('3.1. Gas prod VF'!$AM$13:$AM$1230,'3.1. Gas prod VF'!$L$13:$L$1230,$F80)</f>
        <v>174.65970375486117</v>
      </c>
      <c r="U80" s="77">
        <f>AVERAGEIFS('3.1. Gas prod VF'!$AN$13:$AN$1230,'3.1. Gas prod VF'!$L$13:$L$1230,$F80)</f>
        <v>29.903798056353811</v>
      </c>
      <c r="V80" s="77">
        <f>AVERAGEIFS('3.1. Gas prod VF'!$AO$13:$AO$1230,'3.1. Gas prod VF'!$L$13:$L$1230,$F80)</f>
        <v>1.7150453980904041</v>
      </c>
      <c r="W80" s="77">
        <f>AVERAGEIFS('3.1. Gas prod VF'!$AP$13:$AP$1230,'3.1. Gas prod VF'!$L$13:$L$1230,$F80)</f>
        <v>11.000000000000002</v>
      </c>
      <c r="X80" s="77">
        <f>AVERAGEIFS('3.1. Gas prod VF'!$AQ$13:$AQ$1230,'3.1. Gas prod VF'!$L$13:$L$1230,$F80)</f>
        <v>13.347458271282868</v>
      </c>
      <c r="Y80" s="77">
        <f>AVERAGEIFS('3.1. Gas prod VF'!$AR$13:$AR$1230,'3.1. Gas prod VF'!$L$13:$L$1230,$F80)</f>
        <v>23.299830560803819</v>
      </c>
      <c r="Z80" s="77">
        <f>AVERAGEIFS('3.1. Gas prod VF'!$AS$13:$AS$1230,'3.1. Gas prod VF'!$L$13:$L$1230,$F80)</f>
        <v>85.566588174756262</v>
      </c>
      <c r="AA80" s="77">
        <f>AVERAGEIFS('3.1. Gas prod VF'!$AT$13:$AT$1230,'3.1. Gas prod VF'!$L$13:$L$1230,$F80)</f>
        <v>-1.1530581534756077</v>
      </c>
      <c r="AB80" s="77">
        <f>AVERAGEIFS('3.1. Gas prod VF'!$AU$13:$AU$1230,'3.1. Gas prod VF'!$L$13:$L$1230,$F80)</f>
        <v>12.931809072501499</v>
      </c>
      <c r="AC80" s="77">
        <f>AVERAGEIFS('3.1. Gas prod VF'!$AV$13:$AV$1230,'3.1. Gas prod VF'!$L$13:$L$1230,$F80)</f>
        <v>47.490936827788595</v>
      </c>
      <c r="AD80" s="20"/>
    </row>
    <row r="81" spans="2:30" x14ac:dyDescent="0.35">
      <c r="B81" s="62">
        <f>'1. Information samples'!B81</f>
        <v>71</v>
      </c>
      <c r="C81" s="62">
        <f>'1. Information samples'!C81</f>
        <v>46048</v>
      </c>
      <c r="D81" s="62" t="str">
        <f>'1. Information samples'!D81</f>
        <v>Genbank</v>
      </c>
      <c r="E81" s="62">
        <f>'1. Information samples'!E81</f>
        <v>28</v>
      </c>
      <c r="F81" s="62" t="str">
        <f>'1. Information samples'!F81</f>
        <v>F252582</v>
      </c>
      <c r="G81" s="62" t="str">
        <f>'1. Information samples'!G81</f>
        <v>CIAT4069</v>
      </c>
      <c r="H81" s="62" t="str">
        <f>'1. Information samples'!H81</f>
        <v>Macroptilium</v>
      </c>
      <c r="I81" s="62" t="str">
        <f>'1. Information samples'!I81</f>
        <v>atropurpureum</v>
      </c>
      <c r="J81" s="62" t="str">
        <f>'1. Information samples'!J81</f>
        <v>Macroptilium atropurpureum</v>
      </c>
      <c r="K81" s="62" t="str">
        <f>'1. Information samples'!K81</f>
        <v>Fabaceae</v>
      </c>
      <c r="L81" s="62" t="str">
        <f>'1. Information samples'!L81</f>
        <v>Fabales</v>
      </c>
      <c r="M81" s="62" t="str">
        <f>'1. Information samples'!M81</f>
        <v>Herbaceous</v>
      </c>
      <c r="N81" s="77">
        <f>AVERAGEIFS('3.1. Gas prod VF'!$AG$13:$AG$1230,'3.1. Gas prod VF'!$L$13:$L$1230,$F81)</f>
        <v>28.69499099187605</v>
      </c>
      <c r="O81" s="20">
        <f>AVERAGE('3.1. Gas prod VF'!AH336,'3.1. Gas prod VF'!AH337,'3.1. Gas prod VF'!AH338,'3.1. Gas prod VF'!AH517,'3.1. Gas prod VF'!AH518,'3.1. Gas prod VF'!AH519)</f>
        <v>27.459972975628158</v>
      </c>
      <c r="P81" s="77">
        <f>AVERAGEIFS('3.1. Gas prod VF'!$AI$13:$AI$1230,'3.1. Gas prod VF'!$L$13:$L$1230,$F81)</f>
        <v>64.120756407283181</v>
      </c>
      <c r="Q81" s="77">
        <f>AVERAGEIFS('3.1. Gas prod VF'!$AJ$13:$AJ$1230,'3.1. Gas prod VF'!$L$13:$L$1230,$F81)</f>
        <v>3.2579308472293582</v>
      </c>
      <c r="R81" s="77">
        <f>AVERAGEIFS('3.1. Gas prod VF'!$AK$13:$AK$1230,'3.1. Gas prod VF'!$L$13:$L$1230,$F81)</f>
        <v>4.8719005507846429</v>
      </c>
      <c r="S81" s="77">
        <f>AVERAGEIFS('3.1. Gas prod VF'!$AL$13:$AL$1230,'3.1. Gas prod VF'!$L$13:$L$1230,$F81)</f>
        <v>8.1298313980139998</v>
      </c>
      <c r="T81" s="77">
        <f>AVERAGEIFS('3.1. Gas prod VF'!$AM$13:$AM$1230,'3.1. Gas prod VF'!$L$13:$L$1230,$F81)</f>
        <v>138.89306799981406</v>
      </c>
      <c r="U81" s="77">
        <f>AVERAGEIFS('3.1. Gas prod VF'!$AN$13:$AN$1230,'3.1. Gas prod VF'!$L$13:$L$1230,$F81)</f>
        <v>33.67775928470742</v>
      </c>
      <c r="V81" s="77">
        <f>AVERAGEIFS('3.1. Gas prod VF'!$AO$13:$AO$1230,'3.1. Gas prod VF'!$L$13:$L$1230,$F81)</f>
        <v>2.4268621734776561</v>
      </c>
      <c r="W81" s="77">
        <f>AVERAGEIFS('3.1. Gas prod VF'!$AP$13:$AP$1230,'3.1. Gas prod VF'!$L$13:$L$1230,$F81)</f>
        <v>11.350000000000001</v>
      </c>
      <c r="X81" s="77">
        <f>AVERAGEIFS('3.1. Gas prod VF'!$AQ$13:$AQ$1230,'3.1. Gas prod VF'!$L$13:$L$1230,$F81)</f>
        <v>12.677719719114377</v>
      </c>
      <c r="Y81" s="77">
        <f>AVERAGEIFS('3.1. Gas prod VF'!$AR$13:$AR$1230,'3.1. Gas prod VF'!$L$13:$L$1230,$F81)</f>
        <v>17.610220591689838</v>
      </c>
      <c r="Z81" s="77">
        <f>AVERAGEIFS('3.1. Gas prod VF'!$AS$13:$AS$1230,'3.1. Gas prod VF'!$L$13:$L$1230,$F81)</f>
        <v>57.026247004538334</v>
      </c>
      <c r="AA81" s="77">
        <f>AVERAGEIFS('3.1. Gas prod VF'!$AT$13:$AT$1230,'3.1. Gas prod VF'!$L$13:$L$1230,$F81)</f>
        <v>-0.49935043465580575</v>
      </c>
      <c r="AB81" s="77">
        <f>AVERAGEIFS('3.1. Gas prod VF'!$AU$13:$AU$1230,'3.1. Gas prod VF'!$L$13:$L$1230,$F81)</f>
        <v>9.7739771034846008</v>
      </c>
      <c r="AC81" s="77">
        <f>AVERAGEIFS('3.1. Gas prod VF'!$AV$13:$AV$1230,'3.1. Gas prod VF'!$L$13:$L$1230,$F81)</f>
        <v>31.650553700788748</v>
      </c>
      <c r="AD81" s="20"/>
    </row>
    <row r="82" spans="2:30" x14ac:dyDescent="0.35">
      <c r="B82" s="62">
        <f>'1. Information samples'!B82</f>
        <v>72</v>
      </c>
      <c r="C82" s="62">
        <f>'1. Information samples'!C82</f>
        <v>46048</v>
      </c>
      <c r="D82" s="62" t="str">
        <f>'1. Information samples'!D82</f>
        <v>Genbank</v>
      </c>
      <c r="E82" s="62">
        <f>'1. Information samples'!E82</f>
        <v>28</v>
      </c>
      <c r="F82" s="62" t="str">
        <f>'1. Information samples'!F82</f>
        <v>F252583</v>
      </c>
      <c r="G82" s="62" t="str">
        <f>'1. Information samples'!G82</f>
        <v>CIAT4141</v>
      </c>
      <c r="H82" s="62" t="str">
        <f>'1. Information samples'!H82</f>
        <v>Vigna</v>
      </c>
      <c r="I82" s="62" t="str">
        <f>'1. Information samples'!I82</f>
        <v>radiata</v>
      </c>
      <c r="J82" s="62" t="str">
        <f>'1. Information samples'!J82</f>
        <v>Vigna radiata</v>
      </c>
      <c r="K82" s="62" t="str">
        <f>'1. Information samples'!K82</f>
        <v>Fabaceae</v>
      </c>
      <c r="L82" s="62" t="str">
        <f>'1. Information samples'!L82</f>
        <v>Fabales</v>
      </c>
      <c r="M82" s="62" t="str">
        <f>'1. Information samples'!M82</f>
        <v>Herbaceous</v>
      </c>
      <c r="N82" s="77">
        <f>AVERAGE('3.1. Gas prod VF'!AG411,'3.1. Gas prod VF'!AG412,'3.1. Gas prod VF'!AG413,'3.1. Gas prod VF'!AG593,'3.1. Gas prod VF'!AG744,'3.1. Gas prod VF'!AG745)</f>
        <v>34.647906344857979</v>
      </c>
      <c r="O82" s="77">
        <f>AVERAGE('3.1. Gas prod VF'!AH411,'3.1. Gas prod VF'!AH412,'3.1. Gas prod VF'!AH413,'3.1. Gas prod VF'!AH593,'3.1. Gas prod VF'!AH744,'3.1. Gas prod VF'!AH745)</f>
        <v>46.564775620945888</v>
      </c>
      <c r="P82" s="77">
        <f>AVERAGE('3.1. Gas prod VF'!AI411,'3.1. Gas prod VF'!AI412,'3.1. Gas prod VF'!AI413,'3.1. Gas prod VF'!AI593,'3.1. Gas prod VF'!AI744,'3.1. Gas prod VF'!AI745)</f>
        <v>81.212681965803867</v>
      </c>
      <c r="Q82" s="77">
        <f>AVERAGE('3.1. Gas prod VF'!AJ411,'3.1. Gas prod VF'!AJ412,'3.1. Gas prod VF'!AJ413,'3.1. Gas prod VF'!AJ593,'3.1. Gas prod VF'!AJ744,'3.1. Gas prod VF'!AJ745)</f>
        <v>4.6435261063681574</v>
      </c>
      <c r="R82" s="77">
        <f>AVERAGE('3.1. Gas prod VF'!AK411,'3.1. Gas prod VF'!AK412,'3.1. Gas prod VF'!AK413,'3.1. Gas prod VF'!AK593,'3.1. Gas prod VF'!AK744,'3.1. Gas prod VF'!AK745)</f>
        <v>7.2965009221221395</v>
      </c>
      <c r="S82" s="77">
        <f>AVERAGE('3.1. Gas prod VF'!AL411,'3.1. Gas prod VF'!AL412,'3.1. Gas prod VF'!AL413,'3.1. Gas prod VF'!AL593,'3.1. Gas prod VF'!AL744,'3.1. Gas prod VF'!AL745)</f>
        <v>11.940027028490297</v>
      </c>
      <c r="T82" s="77">
        <f>AVERAGE('3.1. Gas prod VF'!AM411,'3.1. Gas prod VF'!AM412,'3.1. Gas prod VF'!AM413,'3.1. Gas prod VF'!AM593,'3.1. Gas prod VF'!AM744,'3.1. Gas prod VF'!AM745)</f>
        <v>178.49287550114431</v>
      </c>
      <c r="U82" s="77">
        <f>AVERAGE('3.1. Gas prod VF'!AN411,'3.1. Gas prod VF'!AN412,'3.1. Gas prod VF'!AN413,'3.1. Gas prod VF'!AN593,'3.1. Gas prod VF'!AN744,'3.1. Gas prod VF'!AN745)</f>
        <v>40.831834974790091</v>
      </c>
      <c r="V82" s="77">
        <f>AVERAGE('3.1. Gas prod VF'!AO411,'3.1. Gas prod VF'!AO412,'3.1. Gas prod VF'!AO413,'3.1. Gas prod VF'!AO593,'3.1. Gas prod VF'!AO744,'3.1. Gas prod VF'!AO745)</f>
        <v>2.2916786992916589</v>
      </c>
      <c r="W82" s="77">
        <f>AVERAGE('3.1. Gas prod VF'!AP411,'3.1. Gas prod VF'!AP412,'3.1. Gas prod VF'!AP413,'3.1. Gas prod VF'!AP593,'3.1. Gas prod VF'!AP744,'3.1. Gas prod VF'!AP745)</f>
        <v>13.4</v>
      </c>
      <c r="X82" s="77">
        <f>AVERAGE('3.1. Gas prod VF'!AQ411,'3.1. Gas prod VF'!AQ412,'3.1. Gas prod VF'!AQ413,'3.1. Gas prod VF'!AQ593,'3.1. Gas prod VF'!AQ744,'3.1. Gas prod VF'!AQ745)</f>
        <v>14.700915454264178</v>
      </c>
      <c r="Y82" s="77">
        <f>AVERAGE('3.1. Gas prod VF'!AR411,'3.1. Gas prod VF'!AR412,'3.1. Gas prod VF'!AR413,'3.1. Gas prod VF'!AR593,'3.1. Gas prod VF'!AR744,'3.1. Gas prod VF'!AR745)</f>
        <v>26.242362354383943</v>
      </c>
      <c r="Z82" s="77">
        <f>AVERAGE('3.1. Gas prod VF'!AS411,'3.1. Gas prod VF'!AS412,'3.1. Gas prod VF'!AS413,'3.1. Gas prod VF'!AS593,'3.1. Gas prod VF'!AS744,'3.1. Gas prod VF'!AS745)</f>
        <v>67.859285994874881</v>
      </c>
      <c r="AA82" s="77">
        <f>AVERAGE('3.1. Gas prod VF'!AT411,'3.1. Gas prod VF'!AT412,'3.1. Gas prod VF'!AT413,'3.1. Gas prod VF'!AT593,'3.1. Gas prod VF'!AT744,'3.1. Gas prod VF'!AT745)</f>
        <v>-4.8330081465113167E-2</v>
      </c>
      <c r="AB82" s="77">
        <f>AVERAGE('3.1. Gas prod VF'!AU411,'3.1. Gas prod VF'!AU412,'3.1. Gas prod VF'!AU413,'3.1. Gas prod VF'!AU593,'3.1. Gas prod VF'!AU744,'3.1. Gas prod VF'!AU745)</f>
        <v>14.564965126793025</v>
      </c>
      <c r="AC82" s="77">
        <f>AVERAGE('3.1. Gas prod VF'!AV411,'3.1. Gas prod VF'!AV412,'3.1. Gas prod VF'!AV413,'3.1. Gas prod VF'!AV593,'3.1. Gas prod VF'!AV744,'3.1. Gas prod VF'!AV745)</f>
        <v>37.663077763245433</v>
      </c>
      <c r="AD82" s="20"/>
    </row>
    <row r="83" spans="2:30" x14ac:dyDescent="0.35">
      <c r="B83" s="62">
        <f>'1. Information samples'!B83</f>
        <v>73</v>
      </c>
      <c r="C83" s="62">
        <f>'1. Information samples'!C83</f>
        <v>46048</v>
      </c>
      <c r="D83" s="62" t="str">
        <f>'1. Information samples'!D83</f>
        <v>Genbank</v>
      </c>
      <c r="E83" s="62">
        <f>'1. Information samples'!E83</f>
        <v>28</v>
      </c>
      <c r="F83" s="62" t="str">
        <f>'1. Information samples'!F83</f>
        <v>F252584</v>
      </c>
      <c r="G83" s="62" t="str">
        <f>'1. Information samples'!G83</f>
        <v>CIAT4532</v>
      </c>
      <c r="H83" s="62" t="str">
        <f>'1. Information samples'!H83</f>
        <v>Vigna</v>
      </c>
      <c r="I83" s="62" t="str">
        <f>'1. Information samples'!I83</f>
        <v>unguiculata</v>
      </c>
      <c r="J83" s="62" t="str">
        <f>'1. Information samples'!J83</f>
        <v>Vigna unguiculata</v>
      </c>
      <c r="K83" s="62" t="str">
        <f>'1. Information samples'!K83</f>
        <v>Fabaceae</v>
      </c>
      <c r="L83" s="62" t="str">
        <f>'1. Information samples'!L83</f>
        <v>Fabales</v>
      </c>
      <c r="M83" s="62" t="str">
        <f>'1. Information samples'!M83</f>
        <v>Herbaceous</v>
      </c>
      <c r="N83" s="77">
        <f>AVERAGEIFS('3.1. Gas prod VF'!$AG$13:$AG$1230,'3.1. Gas prod VF'!$L$13:$L$1230,$F83)</f>
        <v>40.632490991876047</v>
      </c>
      <c r="O83" s="20">
        <f>AVERAGE('3.1. Gas prod VF'!AH342,'3.1. Gas prod VF'!AH343,'3.1. Gas prod VF'!AH344,'3.1. Gas prod VF'!AH523,'3.1. Gas prod VF'!AH524,'3.1. Gas prod VF'!AH525)</f>
        <v>21.175401465457501</v>
      </c>
      <c r="P83" s="77">
        <f>AVERAGEIFS('3.1. Gas prod VF'!$AI$13:$AI$1230,'3.1. Gas prod VF'!$L$13:$L$1230,$F83)</f>
        <v>87.058256407283167</v>
      </c>
      <c r="Q83" s="77">
        <f>AVERAGEIFS('3.1. Gas prod VF'!$AJ$13:$AJ$1230,'3.1. Gas prod VF'!$L$13:$L$1230,$F83)</f>
        <v>5.3474634901232747</v>
      </c>
      <c r="R83" s="77">
        <f>AVERAGEIFS('3.1. Gas prod VF'!$AK$13:$AK$1230,'3.1. Gas prod VF'!$L$13:$L$1230,$F83)</f>
        <v>7.3622155326583432</v>
      </c>
      <c r="S83" s="77">
        <f>AVERAGEIFS('3.1. Gas prod VF'!$AL$13:$AL$1230,'3.1. Gas prod VF'!$L$13:$L$1230,$F83)</f>
        <v>12.709679022781616</v>
      </c>
      <c r="T83" s="77">
        <f>AVERAGEIFS('3.1. Gas prod VF'!$AM$13:$AM$1230,'3.1. Gas prod VF'!$L$13:$L$1230,$F83)</f>
        <v>189.04432984231661</v>
      </c>
      <c r="U83" s="77">
        <f>AVERAGEIFS('3.1. Gas prod VF'!$AN$13:$AN$1230,'3.1. Gas prod VF'!$L$13:$L$1230,$F83)</f>
        <v>37.305646145729412</v>
      </c>
      <c r="V83" s="77">
        <f>AVERAGEIFS('3.1. Gas prod VF'!$AO$13:$AO$1230,'3.1. Gas prod VF'!$L$13:$L$1230,$F83)</f>
        <v>1.9809683738782167</v>
      </c>
      <c r="W83" s="77">
        <f>AVERAGEIFS('3.1. Gas prod VF'!$AP$13:$AP$1230,'3.1. Gas prod VF'!$L$13:$L$1230,$F83)</f>
        <v>13.174999999999999</v>
      </c>
      <c r="X83" s="77">
        <f>AVERAGEIFS('3.1. Gas prod VF'!$AQ$13:$AQ$1230,'3.1. Gas prod VF'!$L$13:$L$1230,$F83)</f>
        <v>14.603173758387967</v>
      </c>
      <c r="Y83" s="77">
        <f>AVERAGEIFS('3.1. Gas prod VF'!$AR$13:$AR$1230,'3.1. Gas prod VF'!$L$13:$L$1230,$F83)</f>
        <v>27.598772678629928</v>
      </c>
      <c r="Z83" s="77">
        <f>AVERAGEIFS('3.1. Gas prod VF'!$AS$13:$AS$1230,'3.1. Gas prod VF'!$L$13:$L$1230,$F83)</f>
        <v>78.965143231105216</v>
      </c>
      <c r="AA83" s="77">
        <f>AVERAGEIFS('3.1. Gas prod VF'!$AT$13:$AT$1230,'3.1. Gas prod VF'!$L$13:$L$1230,$F83)</f>
        <v>-1.6536021133493044</v>
      </c>
      <c r="AB83" s="77">
        <f>AVERAGEIFS('3.1. Gas prod VF'!$AU$13:$AU$1230,'3.1. Gas prod VF'!$L$13:$L$1230,$F83)</f>
        <v>15.317796324056193</v>
      </c>
      <c r="AC83" s="77">
        <f>AVERAGEIFS('3.1. Gas prod VF'!$AV$13:$AV$1230,'3.1. Gas prod VF'!$L$13:$L$1230,$F83)</f>
        <v>43.827020672212029</v>
      </c>
      <c r="AD83" s="20"/>
    </row>
    <row r="84" spans="2:30" x14ac:dyDescent="0.35">
      <c r="B84" s="62">
        <f>'1. Information samples'!B84</f>
        <v>74</v>
      </c>
      <c r="C84" s="62">
        <f>'1. Information samples'!C84</f>
        <v>46048</v>
      </c>
      <c r="D84" s="62" t="str">
        <f>'1. Information samples'!D84</f>
        <v>Genbank</v>
      </c>
      <c r="E84" s="62">
        <f>'1. Information samples'!E84</f>
        <v>28</v>
      </c>
      <c r="F84" s="62" t="str">
        <f>'1. Information samples'!F84</f>
        <v>F252585</v>
      </c>
      <c r="G84" s="62" t="str">
        <f>'1. Information samples'!G84</f>
        <v>CIAT4537</v>
      </c>
      <c r="H84" s="62" t="str">
        <f>'1. Information samples'!H84</f>
        <v>Vigna</v>
      </c>
      <c r="I84" s="62" t="str">
        <f>'1. Information samples'!I84</f>
        <v>unguiculata</v>
      </c>
      <c r="J84" s="62" t="str">
        <f>'1. Information samples'!J84</f>
        <v>Vigna unguiculata</v>
      </c>
      <c r="K84" s="62" t="str">
        <f>'1. Information samples'!K84</f>
        <v>Fabaceae</v>
      </c>
      <c r="L84" s="62" t="str">
        <f>'1. Information samples'!L84</f>
        <v>Fabales</v>
      </c>
      <c r="M84" s="62" t="str">
        <f>'1. Information samples'!M84</f>
        <v>Herbaceous</v>
      </c>
      <c r="N84" s="77">
        <f>AVERAGEIFS('3.1. Gas prod VF'!$AG$13:$AG$1230,'3.1. Gas prod VF'!$L$13:$L$1230,$F84)</f>
        <v>39.069990991876047</v>
      </c>
      <c r="O84" s="20">
        <f>AVERAGE('3.1. Gas prod VF'!AH345,'3.1. Gas prod VF'!AH346,'3.1. Gas prod VF'!AH347,'3.1. Gas prod VF'!AH526,'3.1. Gas prod VF'!AH527,'3.1. Gas prod VF'!AH528)</f>
        <v>15.014849157944422</v>
      </c>
      <c r="P84" s="77">
        <f>AVERAGEIFS('3.1. Gas prod VF'!$AI$13:$AI$1230,'3.1. Gas prod VF'!$L$13:$L$1230,$F84)</f>
        <v>84.058256407283167</v>
      </c>
      <c r="Q84" s="77">
        <f>AVERAGEIFS('3.1. Gas prod VF'!$AJ$13:$AJ$1230,'3.1. Gas prod VF'!$L$13:$L$1230,$F84)</f>
        <v>4.5925695572558087</v>
      </c>
      <c r="R84" s="77">
        <f>AVERAGEIFS('3.1. Gas prod VF'!$AK$13:$AK$1230,'3.1. Gas prod VF'!$L$13:$L$1230,$F84)</f>
        <v>6.9340490423640864</v>
      </c>
      <c r="S84" s="77">
        <f>AVERAGEIFS('3.1. Gas prod VF'!$AL$13:$AL$1230,'3.1. Gas prod VF'!$L$13:$L$1230,$F84)</f>
        <v>11.526618599619894</v>
      </c>
      <c r="T84" s="77">
        <f>AVERAGEIFS('3.1. Gas prod VF'!$AM$13:$AM$1230,'3.1. Gas prod VF'!$L$13:$L$1230,$F84)</f>
        <v>182.17870955212288</v>
      </c>
      <c r="U84" s="77">
        <f>AVERAGEIFS('3.1. Gas prod VF'!$AN$13:$AN$1230,'3.1. Gas prod VF'!$L$13:$L$1230,$F84)</f>
        <v>46.916913031100862</v>
      </c>
      <c r="V84" s="77">
        <f>AVERAGEIFS('3.1. Gas prod VF'!$AO$13:$AO$1230,'3.1. Gas prod VF'!$L$13:$L$1230,$F84)</f>
        <v>2.7449605529209347</v>
      </c>
      <c r="W84" s="77">
        <f>AVERAGEIFS('3.1. Gas prod VF'!$AP$13:$AP$1230,'3.1. Gas prod VF'!$L$13:$L$1230,$F84)</f>
        <v>11.75</v>
      </c>
      <c r="X84" s="77">
        <f>AVERAGEIFS('3.1. Gas prod VF'!$AQ$13:$AQ$1230,'3.1. Gas prod VF'!$L$13:$L$1230,$F84)</f>
        <v>13.70950207490522</v>
      </c>
      <c r="Y84" s="77">
        <f>AVERAGEIFS('3.1. Gas prod VF'!$AR$13:$AR$1230,'3.1. Gas prod VF'!$L$13:$L$1230,$F84)</f>
        <v>24.981556393969655</v>
      </c>
      <c r="Z84" s="77">
        <f>AVERAGEIFS('3.1. Gas prod VF'!$AS$13:$AS$1230,'3.1. Gas prod VF'!$L$13:$L$1230,$F84)</f>
        <v>52.996342493377853</v>
      </c>
      <c r="AA84" s="77">
        <f>AVERAGEIFS('3.1. Gas prod VF'!$AT$13:$AT$1230,'3.1. Gas prod VF'!$L$13:$L$1230,$F84)</f>
        <v>0.54760319662609946</v>
      </c>
      <c r="AB84" s="77">
        <f>AVERAGEIFS('3.1. Gas prod VF'!$AU$13:$AU$1230,'3.1. Gas prod VF'!$L$13:$L$1230,$F84)</f>
        <v>13.865196005511185</v>
      </c>
      <c r="AC84" s="77">
        <f>AVERAGEIFS('3.1. Gas prod VF'!$AV$13:$AV$1230,'3.1. Gas prod VF'!$L$13:$L$1230,$F84)</f>
        <v>29.413886975563351</v>
      </c>
      <c r="AD84" s="20"/>
    </row>
    <row r="85" spans="2:30" x14ac:dyDescent="0.35">
      <c r="B85" s="62">
        <f>'1. Information samples'!B85</f>
        <v>75</v>
      </c>
      <c r="C85" s="62">
        <f>'1. Information samples'!C85</f>
        <v>46048</v>
      </c>
      <c r="D85" s="62" t="str">
        <f>'1. Information samples'!D85</f>
        <v>Genbank</v>
      </c>
      <c r="E85" s="62">
        <f>'1. Information samples'!E85</f>
        <v>28</v>
      </c>
      <c r="F85" s="62" t="str">
        <f>'1. Information samples'!F85</f>
        <v>F252586</v>
      </c>
      <c r="G85" s="62" t="str">
        <f>'1. Information samples'!G85</f>
        <v>CIAT7289</v>
      </c>
      <c r="H85" s="62" t="str">
        <f>'1. Information samples'!H85</f>
        <v>Chamaecrista</v>
      </c>
      <c r="I85" s="62" t="str">
        <f>'1. Information samples'!I85</f>
        <v>mimosoides</v>
      </c>
      <c r="J85" s="62" t="str">
        <f>'1. Information samples'!J85</f>
        <v>Chamaecrista mimosoides</v>
      </c>
      <c r="K85" s="62" t="str">
        <f>'1. Information samples'!K85</f>
        <v>Fabaceae</v>
      </c>
      <c r="L85" s="62" t="str">
        <f>'1. Information samples'!L85</f>
        <v>Fabales</v>
      </c>
      <c r="M85" s="62" t="str">
        <f>'1. Information samples'!M85</f>
        <v>Herbaceous</v>
      </c>
      <c r="N85" s="77">
        <f>AVERAGEIFS('3.1. Gas prod VF'!$AG$13:$AG$1230,'3.1. Gas prod VF'!$L$13:$L$1230,$F85)</f>
        <v>36.996240428868305</v>
      </c>
      <c r="O85" s="20">
        <f>AVERAGE('3.1. Gas prod VF'!AH348,'3.1. Gas prod VF'!AH349,'3.1. Gas prod VF'!AH350,'3.1. Gas prod VF'!AH529,'3.1. Gas prod VF'!AH530,'3.1. Gas prod VF'!AH531)</f>
        <v>29.516377747732822</v>
      </c>
      <c r="P85" s="77">
        <f>AVERAGEIFS('3.1. Gas prod VF'!$AI$13:$AI$1230,'3.1. Gas prod VF'!$L$13:$L$1230,$F85)</f>
        <v>75.611016049814182</v>
      </c>
      <c r="Q85" s="77">
        <f>AVERAGEIFS('3.1. Gas prod VF'!$AJ$13:$AJ$1230,'3.1. Gas prod VF'!$L$13:$L$1230,$F85)</f>
        <v>5.2005601075839145</v>
      </c>
      <c r="R85" s="77">
        <f>AVERAGEIFS('3.1. Gas prod VF'!$AK$13:$AK$1230,'3.1. Gas prod VF'!$L$13:$L$1230,$F85)</f>
        <v>6.785697380063918</v>
      </c>
      <c r="S85" s="77">
        <f>AVERAGEIFS('3.1. Gas prod VF'!$AL$13:$AL$1230,'3.1. Gas prod VF'!$L$13:$L$1230,$F85)</f>
        <v>11.986257487647832</v>
      </c>
      <c r="T85" s="77">
        <f>AVERAGEIFS('3.1. Gas prod VF'!$AM$13:$AM$1230,'3.1. Gas prod VF'!$L$13:$L$1230,$F85)</f>
        <v>165.32844091978401</v>
      </c>
      <c r="U85" s="77">
        <f>AVERAGEIFS('3.1. Gas prod VF'!$AN$13:$AN$1230,'3.1. Gas prod VF'!$L$13:$L$1230,$F85)</f>
        <v>34.879267824109363</v>
      </c>
      <c r="V85" s="77">
        <f>AVERAGEIFS('3.1. Gas prod VF'!$AO$13:$AO$1230,'3.1. Gas prod VF'!$L$13:$L$1230,$F85)</f>
        <v>2.1159750074445309</v>
      </c>
      <c r="W85" s="77">
        <f>AVERAGEIFS('3.1. Gas prod VF'!$AP$13:$AP$1230,'3.1. Gas prod VF'!$L$13:$L$1230,$F85)</f>
        <v>14.050000000000002</v>
      </c>
      <c r="X85" s="77">
        <f>AVERAGEIFS('3.1. Gas prod VF'!$AQ$13:$AQ$1230,'3.1. Gas prod VF'!$L$13:$L$1230,$F85)</f>
        <v>15.854439008949825</v>
      </c>
      <c r="Y85" s="77">
        <f>AVERAGEIFS('3.1. Gas prod VF'!$AR$13:$AR$1230,'3.1. Gas prod VF'!$L$13:$L$1230,$F85)</f>
        <v>26.208834673574287</v>
      </c>
      <c r="Z85" s="77">
        <f>AVERAGEIFS('3.1. Gas prod VF'!$AS$13:$AS$1230,'3.1. Gas prod VF'!$L$13:$L$1230,$F85)</f>
        <v>78.43083966378731</v>
      </c>
      <c r="AA85" s="77">
        <f>AVERAGEIFS('3.1. Gas prod VF'!$AT$13:$AT$1230,'3.1. Gas prod VF'!$L$13:$L$1230,$F85)</f>
        <v>-0.63336941509494837</v>
      </c>
      <c r="AB85" s="77">
        <f>AVERAGEIFS('3.1. Gas prod VF'!$AU$13:$AU$1230,'3.1. Gas prod VF'!$L$13:$L$1230,$F85)</f>
        <v>14.546356683879985</v>
      </c>
      <c r="AC85" s="77">
        <f>AVERAGEIFS('3.1. Gas prod VF'!$AV$13:$AV$1230,'3.1. Gas prod VF'!$L$13:$L$1230,$F85)</f>
        <v>43.530472948344233</v>
      </c>
      <c r="AD85" s="20"/>
    </row>
    <row r="86" spans="2:30" x14ac:dyDescent="0.35">
      <c r="B86" s="62">
        <f>'1. Information samples'!B86</f>
        <v>76</v>
      </c>
      <c r="C86" s="62">
        <f>'1. Information samples'!C86</f>
        <v>46048</v>
      </c>
      <c r="D86" s="62" t="str">
        <f>'1. Information samples'!D86</f>
        <v>Genbank</v>
      </c>
      <c r="E86" s="62">
        <f>'1. Information samples'!E86</f>
        <v>28</v>
      </c>
      <c r="F86" s="62" t="str">
        <f>'1. Information samples'!F86</f>
        <v>F252587</v>
      </c>
      <c r="G86" s="62" t="str">
        <f>'1. Information samples'!G86</f>
        <v>CIAT7826</v>
      </c>
      <c r="H86" s="62" t="str">
        <f>'1. Information samples'!H86</f>
        <v>Tephrosia</v>
      </c>
      <c r="I86" s="62" t="str">
        <f>'1. Information samples'!I86</f>
        <v>purpurea</v>
      </c>
      <c r="J86" s="62" t="str">
        <f>'1. Information samples'!J86</f>
        <v>Tephrosia purpurea</v>
      </c>
      <c r="K86" s="62" t="str">
        <f>'1. Information samples'!K86</f>
        <v>Fabaceae</v>
      </c>
      <c r="L86" s="62" t="str">
        <f>'1. Information samples'!L86</f>
        <v>Fabales</v>
      </c>
      <c r="M86" s="62" t="str">
        <f>'1. Information samples'!M86</f>
        <v>Herbaceous</v>
      </c>
      <c r="N86" s="77">
        <f>AVERAGEIFS('3.1. Gas prod VF'!$AG$13:$AG$1230,'3.1. Gas prod VF'!$L$13:$L$1230,$F86)</f>
        <v>32.007490991876047</v>
      </c>
      <c r="O86" s="20">
        <f>AVERAGE('3.1. Gas prod VF'!AH351,'3.1. Gas prod VF'!AH352,'3.1. Gas prod VF'!AH353,'3.1. Gas prod VF'!AH532,'3.1. Gas prod VF'!AH533,'3.1. Gas prod VF'!AH534)</f>
        <v>32.763830098085485</v>
      </c>
      <c r="P86" s="77">
        <f>AVERAGEIFS('3.1. Gas prod VF'!$AI$13:$AI$1230,'3.1. Gas prod VF'!$L$13:$L$1230,$F86)</f>
        <v>68.245756407283167</v>
      </c>
      <c r="Q86" s="77">
        <f>AVERAGEIFS('3.1. Gas prod VF'!$AJ$13:$AJ$1230,'3.1. Gas prod VF'!$L$13:$L$1230,$F86)</f>
        <v>4.2839384732330421</v>
      </c>
      <c r="R86" s="77">
        <f>AVERAGEIFS('3.1. Gas prod VF'!$AK$13:$AK$1230,'3.1. Gas prod VF'!$L$13:$L$1230,$F86)</f>
        <v>5.831219629896558</v>
      </c>
      <c r="S86" s="77">
        <f>AVERAGEIFS('3.1. Gas prod VF'!$AL$13:$AL$1230,'3.1. Gas prod VF'!$L$13:$L$1230,$F86)</f>
        <v>10.1151581031296</v>
      </c>
      <c r="T86" s="77">
        <f>AVERAGEIFS('3.1. Gas prod VF'!$AM$13:$AM$1230,'3.1. Gas prod VF'!$L$13:$L$1230,$F86)</f>
        <v>150.33686357097812</v>
      </c>
      <c r="U86" s="77">
        <f>AVERAGEIFS('3.1. Gas prod VF'!$AN$13:$AN$1230,'3.1. Gas prod VF'!$L$13:$L$1230,$F86)</f>
        <v>34.585847337603099</v>
      </c>
      <c r="V86" s="77">
        <f>AVERAGEIFS('3.1. Gas prod VF'!$AO$13:$AO$1230,'3.1. Gas prod VF'!$L$13:$L$1230,$F86)</f>
        <v>2.314349612029988</v>
      </c>
      <c r="W86" s="77">
        <f>AVERAGEIFS('3.1. Gas prod VF'!$AP$13:$AP$1230,'3.1. Gas prod VF'!$L$13:$L$1230,$F86)</f>
        <v>13.375000000000002</v>
      </c>
      <c r="X86" s="77">
        <f>AVERAGEIFS('3.1. Gas prod VF'!$AQ$13:$AQ$1230,'3.1. Gas prod VF'!$L$13:$L$1230,$F86)</f>
        <v>14.830850019734381</v>
      </c>
      <c r="Y86" s="77">
        <f>AVERAGEIFS('3.1. Gas prod VF'!$AR$13:$AR$1230,'3.1. Gas prod VF'!$L$13:$L$1230,$F86)</f>
        <v>22.28241925295367</v>
      </c>
      <c r="Z86" s="77">
        <f>AVERAGEIFS('3.1. Gas prod VF'!$AS$13:$AS$1230,'3.1. Gas prod VF'!$L$13:$L$1230,$F86)</f>
        <v>66.845750029382287</v>
      </c>
      <c r="AA86" s="77">
        <f>AVERAGEIFS('3.1. Gas prod VF'!$AT$13:$AT$1230,'3.1. Gas prod VF'!$L$13:$L$1230,$F86)</f>
        <v>-0.6959728887763883</v>
      </c>
      <c r="AB86" s="77">
        <f>AVERAGEIFS('3.1. Gas prod VF'!$AU$13:$AU$1230,'3.1. Gas prod VF'!$L$13:$L$1230,$F86)</f>
        <v>12.367128194372899</v>
      </c>
      <c r="AC86" s="77">
        <f>AVERAGEIFS('3.1. Gas prod VF'!$AV$13:$AV$1230,'3.1. Gas prod VF'!$L$13:$L$1230,$F86)</f>
        <v>37.100547767172735</v>
      </c>
      <c r="AD86" s="20"/>
    </row>
    <row r="87" spans="2:30" x14ac:dyDescent="0.35">
      <c r="B87" s="62">
        <f>'1. Information samples'!B87</f>
        <v>77</v>
      </c>
      <c r="C87" s="62">
        <f>'1. Information samples'!C87</f>
        <v>46048</v>
      </c>
      <c r="D87" s="62" t="str">
        <f>'1. Information samples'!D87</f>
        <v>Genbank</v>
      </c>
      <c r="E87" s="62">
        <f>'1. Information samples'!E87</f>
        <v>28</v>
      </c>
      <c r="F87" s="62" t="str">
        <f>'1. Information samples'!F87</f>
        <v>F252588</v>
      </c>
      <c r="G87" s="62" t="str">
        <f>'1. Information samples'!G87</f>
        <v>CIAT8014</v>
      </c>
      <c r="H87" s="62" t="str">
        <f>'1. Information samples'!H87</f>
        <v>Crotalaria</v>
      </c>
      <c r="I87" s="62" t="str">
        <f>'1. Information samples'!I87</f>
        <v>retusa</v>
      </c>
      <c r="J87" s="62" t="str">
        <f>'1. Information samples'!J87</f>
        <v>Crotalaria retusa</v>
      </c>
      <c r="K87" s="62" t="str">
        <f>'1. Information samples'!K87</f>
        <v>Fabaceae</v>
      </c>
      <c r="L87" s="62" t="str">
        <f>'1. Information samples'!L87</f>
        <v>Fabales</v>
      </c>
      <c r="M87" s="62" t="str">
        <f>'1. Information samples'!M87</f>
        <v>Herbaceous</v>
      </c>
      <c r="N87" s="77">
        <f>AVERAGE('3.1. Gas prod VF'!AG426,'3.1. Gas prod VF'!AG427,'3.1. Gas prod VF'!AG428,'3.1. Gas prod VF'!AG607,'3.1. Gas prod VF'!AG609,'3.1. Gas prod VF'!AG754,'3.1. Gas prod VF'!AG755)</f>
        <v>43.389097571725436</v>
      </c>
      <c r="O87" s="77">
        <f>AVERAGE('3.1. Gas prod VF'!AH426,'3.1. Gas prod VF'!AH427,'3.1. Gas prod VF'!AH428,'3.1. Gas prod VF'!AH607,'3.1. Gas prod VF'!AH609,'3.1. Gas prod VF'!AH754,'3.1. Gas prod VF'!AH755)</f>
        <v>49.556769789209454</v>
      </c>
      <c r="P87" s="77">
        <f>AVERAGE('3.1. Gas prod VF'!AI426,'3.1. Gas prod VF'!AI427,'3.1. Gas prod VF'!AI428,'3.1. Gas prod VF'!AI607,'3.1. Gas prod VF'!AI609,'3.1. Gas prod VF'!AI754,'3.1. Gas prod VF'!AI755)</f>
        <v>92.945867360934898</v>
      </c>
      <c r="Q87" s="77">
        <f>AVERAGE('3.1. Gas prod VF'!AJ426,'3.1. Gas prod VF'!AJ427,'3.1. Gas prod VF'!AJ428,'3.1. Gas prod VF'!AJ607,'3.1. Gas prod VF'!AJ609,'3.1. Gas prod VF'!AJ754,'3.1. Gas prod VF'!AJ755)</f>
        <v>5.3234914963355902</v>
      </c>
      <c r="R87" s="77">
        <f>AVERAGE('3.1. Gas prod VF'!AK426,'3.1. Gas prod VF'!AK427,'3.1. Gas prod VF'!AK428,'3.1. Gas prod VF'!AK607,'3.1. Gas prod VF'!AK609,'3.1. Gas prod VF'!AK754,'3.1. Gas prod VF'!AK755)</f>
        <v>7.0770928145333443</v>
      </c>
      <c r="S87" s="77">
        <f>AVERAGE('3.1. Gas prod VF'!AL426,'3.1. Gas prod VF'!AL427,'3.1. Gas prod VF'!AL428,'3.1. Gas prod VF'!AL607,'3.1. Gas prod VF'!AL609,'3.1. Gas prod VF'!AL754,'3.1. Gas prod VF'!AL755)</f>
        <v>12.400584310868934</v>
      </c>
      <c r="T87" s="77">
        <f>AVERAGE('3.1. Gas prod VF'!AM426,'3.1. Gas prod VF'!AM427,'3.1. Gas prod VF'!AM428,'3.1. Gas prod VF'!AM607,'3.1. Gas prod VF'!AM609,'3.1. Gas prod VF'!AM754,'3.1. Gas prod VF'!AM755)</f>
        <v>203.42918727921656</v>
      </c>
      <c r="U87" s="77">
        <f>AVERAGE('3.1. Gas prod VF'!AN426,'3.1. Gas prod VF'!AN427,'3.1. Gas prod VF'!AN428,'3.1. Gas prod VF'!AN607,'3.1. Gas prod VF'!AN609,'3.1. Gas prod VF'!AN754,'3.1. Gas prod VF'!AN755)</f>
        <v>51.764323396034747</v>
      </c>
      <c r="V87" s="77">
        <f>AVERAGE('3.1. Gas prod VF'!AO426,'3.1. Gas prod VF'!AO427,'3.1. Gas prod VF'!AO428,'3.1. Gas prod VF'!AO607,'3.1. Gas prod VF'!AO609,'3.1. Gas prod VF'!AO754,'3.1. Gas prod VF'!AO755)</f>
        <v>2.5463929433857118</v>
      </c>
      <c r="W87" s="77">
        <f>AVERAGE('3.1. Gas prod VF'!AP426,'3.1. Gas prod VF'!AP427,'3.1. Gas prod VF'!AP428,'3.1. Gas prod VF'!AP607,'3.1. Gas prod VF'!AP609,'3.1. Gas prod VF'!AP754,'3.1. Gas prod VF'!AP755)</f>
        <v>12.27142857142857</v>
      </c>
      <c r="X87" s="77">
        <f>AVERAGE('3.1. Gas prod VF'!AQ426,'3.1. Gas prod VF'!AQ427,'3.1. Gas prod VF'!AQ428,'3.1. Gas prod VF'!AQ607,'3.1. Gas prod VF'!AQ609,'3.1. Gas prod VF'!AQ754,'3.1. Gas prod VF'!AQ755)</f>
        <v>13.347104824848312</v>
      </c>
      <c r="Y87" s="77">
        <f>AVERAGE('3.1. Gas prod VF'!AR426,'3.1. Gas prod VF'!AR427,'3.1. Gas prod VF'!AR428,'3.1. Gas prod VF'!AR607,'3.1. Gas prod VF'!AR609,'3.1. Gas prod VF'!AR754,'3.1. Gas prod VF'!AR755)</f>
        <v>27.141045045168227</v>
      </c>
      <c r="Z87" s="77">
        <f>AVERAGE('3.1. Gas prod VF'!AS426,'3.1. Gas prod VF'!AS427,'3.1. Gas prod VF'!AS428,'3.1. Gas prod VF'!AS607,'3.1. Gas prod VF'!AS609,'3.1. Gas prod VF'!AS754,'3.1. Gas prod VF'!AS755)</f>
        <v>53.288716638290161</v>
      </c>
      <c r="AA87" s="77">
        <f>AVERAGE('3.1. Gas prod VF'!AT426,'3.1. Gas prod VF'!AT427,'3.1. Gas prod VF'!AT428,'3.1. Gas prod VF'!AT607,'3.1. Gas prod VF'!AT609,'3.1. Gas prod VF'!AT754,'3.1. Gas prod VF'!AT755)</f>
        <v>1.7791253390625521</v>
      </c>
      <c r="AB87" s="77">
        <f>AVERAGE('3.1. Gas prod VF'!AU426,'3.1. Gas prod VF'!AU427,'3.1. Gas prod VF'!AU428,'3.1. Gas prod VF'!AU607,'3.1. Gas prod VF'!AU609,'3.1. Gas prod VF'!AU754,'3.1. Gas prod VF'!AU755)</f>
        <v>15.063749568321743</v>
      </c>
      <c r="AC87" s="77">
        <f>AVERAGE('3.1. Gas prod VF'!AV426,'3.1. Gas prod VF'!AV427,'3.1. Gas prod VF'!AV428,'3.1. Gas prod VF'!AV607,'3.1. Gas prod VF'!AV609,'3.1. Gas prod VF'!AV754,'3.1. Gas prod VF'!AV755)</f>
        <v>29.576159684365887</v>
      </c>
      <c r="AD87" s="20"/>
    </row>
    <row r="88" spans="2:30" x14ac:dyDescent="0.35">
      <c r="B88" s="62">
        <f>'1. Information samples'!B88</f>
        <v>78</v>
      </c>
      <c r="C88" s="62">
        <f>'1. Information samples'!C88</f>
        <v>46048</v>
      </c>
      <c r="D88" s="62" t="str">
        <f>'1. Information samples'!D88</f>
        <v>Genbank</v>
      </c>
      <c r="E88" s="62">
        <f>'1. Information samples'!E88</f>
        <v>28</v>
      </c>
      <c r="F88" s="62" t="str">
        <f>'1. Information samples'!F88</f>
        <v>F252589</v>
      </c>
      <c r="G88" s="62" t="str">
        <f>'1. Information samples'!G88</f>
        <v>CIAT8849</v>
      </c>
      <c r="H88" s="62" t="str">
        <f>'1. Information samples'!H88</f>
        <v>Zornia</v>
      </c>
      <c r="I88" s="62" t="str">
        <f>'1. Information samples'!I88</f>
        <v>brasiliensis</v>
      </c>
      <c r="J88" s="62" t="str">
        <f>'1. Information samples'!J88</f>
        <v>Zornia brasiliensis</v>
      </c>
      <c r="K88" s="62" t="str">
        <f>'1. Information samples'!K88</f>
        <v>Fabaceae</v>
      </c>
      <c r="L88" s="62" t="str">
        <f>'1. Information samples'!L88</f>
        <v>Fabales</v>
      </c>
      <c r="M88" s="62" t="str">
        <f>'1. Information samples'!M88</f>
        <v>Herbaceous</v>
      </c>
      <c r="N88" s="77">
        <f>AVERAGEIFS('3.1. Gas prod VF'!$AG$13:$AG$1230,'3.1. Gas prod VF'!$L$13:$L$1230,$F88)</f>
        <v>33.507490991876047</v>
      </c>
      <c r="O88" s="20">
        <f>AVERAGE('3.1. Gas prod VF'!AH357,'3.1. Gas prod VF'!AH358,'3.1. Gas prod VF'!AH359,'3.1. Gas prod VF'!AH538,'3.1. Gas prod VF'!AH539,'3.1. Gas prod VF'!AH540)</f>
        <v>54.763830098085499</v>
      </c>
      <c r="P88" s="77">
        <f>AVERAGEIFS('3.1. Gas prod VF'!$AI$13:$AI$1230,'3.1. Gas prod VF'!$L$13:$L$1230,$F88)</f>
        <v>71.308256407283167</v>
      </c>
      <c r="Q88" s="77">
        <f>AVERAGEIFS('3.1. Gas prod VF'!$AJ$13:$AJ$1230,'3.1. Gas prod VF'!$L$13:$L$1230,$F88)</f>
        <v>4.2538163492121654</v>
      </c>
      <c r="R88" s="77">
        <f>AVERAGEIFS('3.1. Gas prod VF'!$AK$13:$AK$1230,'3.1. Gas prod VF'!$L$13:$L$1230,$F88)</f>
        <v>6.5276999934069737</v>
      </c>
      <c r="S88" s="77">
        <f>AVERAGEIFS('3.1. Gas prod VF'!$AL$13:$AL$1230,'3.1. Gas prod VF'!$L$13:$L$1230,$F88)</f>
        <v>10.78151634261914</v>
      </c>
      <c r="T88" s="77">
        <f>AVERAGEIFS('3.1. Gas prod VF'!$AM$13:$AM$1230,'3.1. Gas prod VF'!$L$13:$L$1230,$F88)</f>
        <v>157.9311570718483</v>
      </c>
      <c r="U88" s="77">
        <f>AVERAGEIFS('3.1. Gas prod VF'!$AN$13:$AN$1230,'3.1. Gas prod VF'!$L$13:$L$1230,$F88)</f>
        <v>37.412061244567113</v>
      </c>
      <c r="V88" s="77">
        <f>AVERAGEIFS('3.1. Gas prod VF'!$AO$13:$AO$1230,'3.1. Gas prod VF'!$L$13:$L$1230,$F88)</f>
        <v>2.3693006429505359</v>
      </c>
      <c r="W88" s="77">
        <f>AVERAGEIFS('3.1. Gas prod VF'!$AP$13:$AP$1230,'3.1. Gas prod VF'!$L$13:$L$1230,$F88)</f>
        <v>12.7</v>
      </c>
      <c r="X88" s="77">
        <f>AVERAGEIFS('3.1. Gas prod VF'!$AQ$13:$AQ$1230,'3.1. Gas prod VF'!$L$13:$L$1230,$F88)</f>
        <v>15.120234761353448</v>
      </c>
      <c r="Y88" s="77">
        <f>AVERAGEIFS('3.1. Gas prod VF'!$AR$13:$AR$1230,'3.1. Gas prod VF'!$L$13:$L$1230,$F88)</f>
        <v>23.878543870262948</v>
      </c>
      <c r="Z88" s="77">
        <f>AVERAGEIFS('3.1. Gas prod VF'!$AS$13:$AS$1230,'3.1. Gas prod VF'!$L$13:$L$1230,$F88)</f>
        <v>65.40904568076995</v>
      </c>
      <c r="AA88" s="77">
        <f>AVERAGEIFS('3.1. Gas prod VF'!$AT$13:$AT$1230,'3.1. Gas prod VF'!$L$13:$L$1230,$F88)</f>
        <v>-0.73591105803755852</v>
      </c>
      <c r="AB88" s="77">
        <f>AVERAGEIFS('3.1. Gas prod VF'!$AU$13:$AU$1230,'3.1. Gas prod VF'!$L$13:$L$1230,$F88)</f>
        <v>13.253004971592304</v>
      </c>
      <c r="AC88" s="77">
        <f>AVERAGEIFS('3.1. Gas prod VF'!$AV$13:$AV$1230,'3.1. Gas prod VF'!$L$13:$L$1230,$F88)</f>
        <v>36.303151997216261</v>
      </c>
      <c r="AD88" s="20"/>
    </row>
    <row r="89" spans="2:30" x14ac:dyDescent="0.35">
      <c r="B89" s="62">
        <f>'1. Information samples'!B89</f>
        <v>79</v>
      </c>
      <c r="C89" s="62">
        <f>'1. Information samples'!C89</f>
        <v>46048</v>
      </c>
      <c r="D89" s="62" t="str">
        <f>'1. Information samples'!D89</f>
        <v>Genbank</v>
      </c>
      <c r="E89" s="62">
        <f>'1. Information samples'!E89</f>
        <v>28</v>
      </c>
      <c r="F89" s="62" t="str">
        <f>'1. Information samples'!F89</f>
        <v>F252590</v>
      </c>
      <c r="G89" s="62" t="str">
        <f>'1. Information samples'!G89</f>
        <v>CIAT9326</v>
      </c>
      <c r="H89" s="62" t="str">
        <f>'1. Information samples'!H89</f>
        <v>Crotalaria</v>
      </c>
      <c r="I89" s="62" t="str">
        <f>'1. Information samples'!I89</f>
        <v>retusa</v>
      </c>
      <c r="J89" s="62" t="str">
        <f>'1. Information samples'!J89</f>
        <v>Crotalaria retusa</v>
      </c>
      <c r="K89" s="62" t="str">
        <f>'1. Information samples'!K89</f>
        <v>Fabaceae</v>
      </c>
      <c r="L89" s="62" t="str">
        <f>'1. Information samples'!L89</f>
        <v>Fabales</v>
      </c>
      <c r="M89" s="62" t="str">
        <f>'1. Information samples'!M89</f>
        <v>Herbaceous</v>
      </c>
      <c r="N89" s="77">
        <f>AVERAGE('3.1. Gas prod VF'!AG432,'3.1. Gas prod VF'!AG433,'3.1. Gas prod VF'!AG434,'3.1. Gas prod VF'!AG614,'3.1. Gas prod VF'!AG615,'3.1. Gas prod VF'!AG758,'3.1. Gas prod VF'!AG759)</f>
        <v>38.603383286011159</v>
      </c>
      <c r="O89" s="77">
        <f>AVERAGE('3.1. Gas prod VF'!AH432,'3.1. Gas prod VF'!AH433,'3.1. Gas prod VF'!AH434,'3.1. Gas prod VF'!AH614,'3.1. Gas prod VF'!AH615,'3.1. Gas prod VF'!AH758,'3.1. Gas prod VF'!AH759)</f>
        <v>51.913912646352308</v>
      </c>
      <c r="P89" s="77">
        <f>AVERAGE('3.1. Gas prod VF'!AI432,'3.1. Gas prod VF'!AI433,'3.1. Gas prod VF'!AI434,'3.1. Gas prod VF'!AI614,'3.1. Gas prod VF'!AI615,'3.1. Gas prod VF'!AI758,'3.1. Gas prod VF'!AI759)</f>
        <v>90.517295932363467</v>
      </c>
      <c r="Q89" s="77">
        <f>AVERAGE('3.1. Gas prod VF'!AJ432,'3.1. Gas prod VF'!AJ433,'3.1. Gas prod VF'!AJ434,'3.1. Gas prod VF'!AJ614,'3.1. Gas prod VF'!AJ615,'3.1. Gas prod VF'!AJ758,'3.1. Gas prod VF'!AJ759)</f>
        <v>4.6964957929883111</v>
      </c>
      <c r="R89" s="77">
        <f>AVERAGE('3.1. Gas prod VF'!AK432,'3.1. Gas prod VF'!AK433,'3.1. Gas prod VF'!AK434,'3.1. Gas prod VF'!AK614,'3.1. Gas prod VF'!AK615,'3.1. Gas prod VF'!AK758,'3.1. Gas prod VF'!AK759)</f>
        <v>7.5912219519667454</v>
      </c>
      <c r="S89" s="77">
        <f>AVERAGE('3.1. Gas prod VF'!AL432,'3.1. Gas prod VF'!AL433,'3.1. Gas prod VF'!AL434,'3.1. Gas prod VF'!AL614,'3.1. Gas prod VF'!AL615,'3.1. Gas prod VF'!AL758,'3.1. Gas prod VF'!AL759)</f>
        <v>12.287717744955058</v>
      </c>
      <c r="T89" s="77">
        <f>AVERAGE('3.1. Gas prod VF'!AM432,'3.1. Gas prod VF'!AM433,'3.1. Gas prod VF'!AM434,'3.1. Gas prod VF'!AM614,'3.1. Gas prod VF'!AM615,'3.1. Gas prod VF'!AM758,'3.1. Gas prod VF'!AM759)</f>
        <v>196.67958481500878</v>
      </c>
      <c r="U89" s="77">
        <f>AVERAGE('3.1. Gas prod VF'!AN432,'3.1. Gas prod VF'!AN433,'3.1. Gas prod VF'!AN434,'3.1. Gas prod VF'!AN614,'3.1. Gas prod VF'!AN615,'3.1. Gas prod VF'!AN758,'3.1. Gas prod VF'!AN759)</f>
        <v>44.236943766864968</v>
      </c>
      <c r="V89" s="77">
        <f>AVERAGE('3.1. Gas prod VF'!AO432,'3.1. Gas prod VF'!AO433,'3.1. Gas prod VF'!AO434,'3.1. Gas prod VF'!AO614,'3.1. Gas prod VF'!AO615,'3.1. Gas prod VF'!AO758,'3.1. Gas prod VF'!AO759)</f>
        <v>2.2551199330298473</v>
      </c>
      <c r="W89" s="77">
        <f>AVERAGE('3.1. Gas prod VF'!AP432,'3.1. Gas prod VF'!AP433,'3.1. Gas prod VF'!AP434,'3.1. Gas prod VF'!AP614,'3.1. Gas prod VF'!AP615,'3.1. Gas prod VF'!AP758,'3.1. Gas prod VF'!AP759)</f>
        <v>12.157142857142857</v>
      </c>
      <c r="X89" s="77">
        <f>AVERAGE('3.1. Gas prod VF'!AQ432,'3.1. Gas prod VF'!AQ433,'3.1. Gas prod VF'!AQ434,'3.1. Gas prod VF'!AQ614,'3.1. Gas prod VF'!AQ615,'3.1. Gas prod VF'!AQ758,'3.1. Gas prod VF'!AQ759)</f>
        <v>13.579560168806085</v>
      </c>
      <c r="Y89" s="77">
        <f>AVERAGE('3.1. Gas prod VF'!AR432,'3.1. Gas prod VF'!AR433,'3.1. Gas prod VF'!AR434,'3.1. Gas prod VF'!AR614,'3.1. Gas prod VF'!AR615,'3.1. Gas prod VF'!AR758,'3.1. Gas prod VF'!AR759)</f>
        <v>26.699209764453833</v>
      </c>
      <c r="Z89" s="77">
        <f>AVERAGE('3.1. Gas prod VF'!AS432,'3.1. Gas prod VF'!AS433,'3.1. Gas prod VF'!AS434,'3.1. Gas prod VF'!AS614,'3.1. Gas prod VF'!AS615,'3.1. Gas prod VF'!AS758,'3.1. Gas prod VF'!AS759)</f>
        <v>62.071700145351954</v>
      </c>
      <c r="AA89" s="77">
        <f>AVERAGE('3.1. Gas prod VF'!AT432,'3.1. Gas prod VF'!AT433,'3.1. Gas prod VF'!AT434,'3.1. Gas prod VF'!AT614,'3.1. Gas prod VF'!AT615,'3.1. Gas prod VF'!AT758,'3.1. Gas prod VF'!AT759)</f>
        <v>-1.6572813325943834</v>
      </c>
      <c r="AB89" s="77">
        <f>AVERAGE('3.1. Gas prod VF'!AU432,'3.1. Gas prod VF'!AU433,'3.1. Gas prod VF'!AU434,'3.1. Gas prod VF'!AU614,'3.1. Gas prod VF'!AU615,'3.1. Gas prod VF'!AU758,'3.1. Gas prod VF'!AU759)</f>
        <v>14.818523343316246</v>
      </c>
      <c r="AC89" s="77">
        <f>AVERAGE('3.1. Gas prod VF'!AV432,'3.1. Gas prod VF'!AV433,'3.1. Gas prod VF'!AV434,'3.1. Gas prod VF'!AV614,'3.1. Gas prod VF'!AV615,'3.1. Gas prod VF'!AV758,'3.1. Gas prod VF'!AV759)</f>
        <v>34.450867485517144</v>
      </c>
      <c r="AD89" s="20"/>
    </row>
    <row r="90" spans="2:30" x14ac:dyDescent="0.35">
      <c r="B90" s="62">
        <f>'1. Information samples'!B90</f>
        <v>80</v>
      </c>
      <c r="C90" s="62">
        <f>'1. Information samples'!C90</f>
        <v>46048</v>
      </c>
      <c r="D90" s="62" t="str">
        <f>'1. Information samples'!D90</f>
        <v>Genbank</v>
      </c>
      <c r="E90" s="62">
        <f>'1. Information samples'!E90</f>
        <v>28</v>
      </c>
      <c r="F90" s="62" t="str">
        <f>'1. Information samples'!F90</f>
        <v>F252591</v>
      </c>
      <c r="G90" s="62" t="str">
        <f>'1. Information samples'!G90</f>
        <v>CIAT9337</v>
      </c>
      <c r="H90" s="62" t="str">
        <f>'1. Information samples'!H90</f>
        <v>Crotalaria</v>
      </c>
      <c r="I90" s="62" t="str">
        <f>'1. Information samples'!I90</f>
        <v>retusa</v>
      </c>
      <c r="J90" s="62" t="str">
        <f>'1. Information samples'!J90</f>
        <v>Crotalaria retusa</v>
      </c>
      <c r="K90" s="62" t="str">
        <f>'1. Information samples'!K90</f>
        <v>Fabaceae</v>
      </c>
      <c r="L90" s="62" t="str">
        <f>'1. Information samples'!L90</f>
        <v>Fabales</v>
      </c>
      <c r="M90" s="62" t="str">
        <f>'1. Information samples'!M90</f>
        <v>Herbaceous</v>
      </c>
      <c r="N90" s="77">
        <f>AVERAGEIFS('3.1. Gas prod VF'!$AG$13:$AG$1230,'3.1. Gas prod VF'!$L$13:$L$1230,$F90)</f>
        <v>36.957909347565952</v>
      </c>
      <c r="O90" s="20">
        <f>AVERAGE('3.1. Gas prod VF'!AH363,'3.1. Gas prod VF'!AH364,'3.1. Gas prod VF'!AH365,'3.1. Gas prod VF'!AH544,'3.1. Gas prod VF'!AH545,'3.1. Gas prod VF'!AH546)</f>
        <v>53.879477704893233</v>
      </c>
      <c r="P90" s="77">
        <f>AVERAGEIFS('3.1. Gas prod VF'!$AI$13:$AI$1230,'3.1. Gas prod VF'!$L$13:$L$1230,$F90)</f>
        <v>81.466644146356785</v>
      </c>
      <c r="Q90" s="77">
        <f>AVERAGEIFS('3.1. Gas prod VF'!$AJ$13:$AJ$1230,'3.1. Gas prod VF'!$L$13:$L$1230,$F90)</f>
        <v>4.4343124565426022</v>
      </c>
      <c r="R90" s="77">
        <f>AVERAGEIFS('3.1. Gas prod VF'!$AK$13:$AK$1230,'3.1. Gas prod VF'!$L$13:$L$1230,$F90)</f>
        <v>5.9261631840389803</v>
      </c>
      <c r="S90" s="77">
        <f>AVERAGEIFS('3.1. Gas prod VF'!$AL$13:$AL$1230,'3.1. Gas prod VF'!$L$13:$L$1230,$F90)</f>
        <v>10.360475640581582</v>
      </c>
      <c r="T90" s="77">
        <f>AVERAGEIFS('3.1. Gas prod VF'!$AM$13:$AM$1230,'3.1. Gas prod VF'!$L$13:$L$1230,$F90)</f>
        <v>176.62654663254554</v>
      </c>
      <c r="U90" s="77">
        <f>AVERAGEIFS('3.1. Gas prod VF'!$AN$13:$AN$1230,'3.1. Gas prod VF'!$L$13:$L$1230,$F90)</f>
        <v>46.304701165928741</v>
      </c>
      <c r="V90" s="77">
        <f>AVERAGEIFS('3.1. Gas prod VF'!$AO$13:$AO$1230,'3.1. Gas prod VF'!$L$13:$L$1230,$F90)</f>
        <v>2.615851407994302</v>
      </c>
      <c r="W90" s="77">
        <f>AVERAGEIFS('3.1. Gas prod VF'!$AP$13:$AP$1230,'3.1. Gas prod VF'!$L$13:$L$1230,$F90)</f>
        <v>12</v>
      </c>
      <c r="X90" s="77">
        <f>AVERAGEIFS('3.1. Gas prod VF'!$AQ$13:$AQ$1230,'3.1. Gas prod VF'!$L$13:$L$1230,$F90)</f>
        <v>12.718490635000157</v>
      </c>
      <c r="Y90" s="77">
        <f>AVERAGEIFS('3.1. Gas prod VF'!$AR$13:$AR$1230,'3.1. Gas prod VF'!$L$13:$L$1230,$F90)</f>
        <v>22.46231127094055</v>
      </c>
      <c r="Z90" s="77">
        <f>AVERAGEIFS('3.1. Gas prod VF'!$AS$13:$AS$1230,'3.1. Gas prod VF'!$L$13:$L$1230,$F90)</f>
        <v>50.535537333667833</v>
      </c>
      <c r="AA90" s="77">
        <f>AVERAGEIFS('3.1. Gas prod VF'!$AT$13:$AT$1230,'3.1. Gas prod VF'!$L$13:$L$1230,$F90)</f>
        <v>8.4252339939790089E-2</v>
      </c>
      <c r="AB90" s="77">
        <f>AVERAGEIFS('3.1. Gas prod VF'!$AU$13:$AU$1230,'3.1. Gas prod VF'!$L$13:$L$1230,$F90)</f>
        <v>12.466971376674271</v>
      </c>
      <c r="AC90" s="77">
        <f>AVERAGEIFS('3.1. Gas prod VF'!$AV$13:$AV$1230,'3.1. Gas prod VF'!$L$13:$L$1230,$F90)</f>
        <v>28.048097537440555</v>
      </c>
      <c r="AD90" s="20"/>
    </row>
    <row r="91" spans="2:30" x14ac:dyDescent="0.35">
      <c r="B91" s="62">
        <f>'1. Information samples'!B91</f>
        <v>81</v>
      </c>
      <c r="C91" s="62">
        <f>'1. Information samples'!C91</f>
        <v>46048</v>
      </c>
      <c r="D91" s="62" t="str">
        <f>'1. Information samples'!D91</f>
        <v>Genbank</v>
      </c>
      <c r="E91" s="62">
        <f>'1. Information samples'!E91</f>
        <v>28</v>
      </c>
      <c r="F91" s="62" t="str">
        <f>'1. Information samples'!F91</f>
        <v>F252592</v>
      </c>
      <c r="G91" s="62" t="str">
        <f>'1. Information samples'!G91</f>
        <v>CIAT9350</v>
      </c>
      <c r="H91" s="62" t="str">
        <f>'1. Information samples'!H91</f>
        <v>Crotalaria</v>
      </c>
      <c r="I91" s="62" t="str">
        <f>'1. Information samples'!I91</f>
        <v>pumila</v>
      </c>
      <c r="J91" s="62" t="str">
        <f>'1. Information samples'!J91</f>
        <v>Crotalaria pumila</v>
      </c>
      <c r="K91" s="62" t="str">
        <f>'1. Information samples'!K91</f>
        <v>Fabaceae</v>
      </c>
      <c r="L91" s="62" t="str">
        <f>'1. Information samples'!L91</f>
        <v>Fabales</v>
      </c>
      <c r="M91" s="62" t="str">
        <f>'1. Information samples'!M91</f>
        <v>Herbaceous</v>
      </c>
      <c r="N91" s="77">
        <f>AVERAGEIFS('3.1. Gas prod VF'!$AG$13:$AG$1230,'3.1. Gas prod VF'!$L$13:$L$1230,$F91)</f>
        <v>42.757490991876047</v>
      </c>
      <c r="O91" s="20">
        <f>AVERAGE('3.1. Gas prod VF'!AH366,'3.1. Gas prod VF'!AH367,'3.1. Gas prod VF'!AH368,'3.1. Gas prod VF'!AH547,'3.1. Gas prod VF'!AH548,'3.1. Gas prod VF'!AH549)</f>
        <v>51.979477704893235</v>
      </c>
      <c r="P91" s="77">
        <f>AVERAGEIFS('3.1. Gas prod VF'!$AI$13:$AI$1230,'3.1. Gas prod VF'!$L$13:$L$1230,$F91)</f>
        <v>89.683256407283167</v>
      </c>
      <c r="Q91" s="77">
        <f>AVERAGEIFS('3.1. Gas prod VF'!$AJ$13:$AJ$1230,'3.1. Gas prod VF'!$L$13:$L$1230,$F91)</f>
        <v>5.4870104003112594</v>
      </c>
      <c r="R91" s="77">
        <f>AVERAGEIFS('3.1. Gas prod VF'!$AK$13:$AK$1230,'3.1. Gas prod VF'!$L$13:$L$1230,$F91)</f>
        <v>7.0538276950187724</v>
      </c>
      <c r="S91" s="77">
        <f>AVERAGEIFS('3.1. Gas prod VF'!$AL$13:$AL$1230,'3.1. Gas prod VF'!$L$13:$L$1230,$F91)</f>
        <v>12.540838095330031</v>
      </c>
      <c r="T91" s="77">
        <f>AVERAGEIFS('3.1. Gas prod VF'!$AM$13:$AM$1230,'3.1. Gas prod VF'!$L$13:$L$1230,$F91)</f>
        <v>196.58604039498209</v>
      </c>
      <c r="U91" s="77">
        <f>AVERAGEIFS('3.1. Gas prod VF'!$AN$13:$AN$1230,'3.1. Gas prod VF'!$L$13:$L$1230,$F91)</f>
        <v>59.876493043172111</v>
      </c>
      <c r="V91" s="77">
        <f>AVERAGEIFS('3.1. Gas prod VF'!$AO$13:$AO$1230,'3.1. Gas prod VF'!$L$13:$L$1230,$F91)</f>
        <v>3.0455143700298053</v>
      </c>
      <c r="W91" s="77">
        <f>AVERAGEIFS('3.1. Gas prod VF'!$AP$13:$AP$1230,'3.1. Gas prod VF'!$L$13:$L$1230,$F91)</f>
        <v>12.824999999999999</v>
      </c>
      <c r="X91" s="77">
        <f>AVERAGEIFS('3.1. Gas prod VF'!$AQ$13:$AQ$1230,'3.1. Gas prod VF'!$L$13:$L$1230,$F91)</f>
        <v>13.984239832485512</v>
      </c>
      <c r="Y91" s="77">
        <f>AVERAGEIFS('3.1. Gas prod VF'!$AR$13:$AR$1230,'3.1. Gas prod VF'!$L$13:$L$1230,$F91)</f>
        <v>27.489597536792996</v>
      </c>
      <c r="Z91" s="77">
        <f>AVERAGEIFS('3.1. Gas prod VF'!$AS$13:$AS$1230,'3.1. Gas prod VF'!$L$13:$L$1230,$F91)</f>
        <v>46.705340919259825</v>
      </c>
      <c r="AA91" s="77">
        <f>AVERAGEIFS('3.1. Gas prod VF'!$AT$13:$AT$1230,'3.1. Gas prod VF'!$L$13:$L$1230,$F91)</f>
        <v>0.55240490350033133</v>
      </c>
      <c r="AB91" s="77">
        <f>AVERAGEIFS('3.1. Gas prod VF'!$AU$13:$AU$1230,'3.1. Gas prod VF'!$L$13:$L$1230,$F91)</f>
        <v>15.257202231493412</v>
      </c>
      <c r="AC91" s="77">
        <f>AVERAGEIFS('3.1. Gas prod VF'!$AV$13:$AV$1230,'3.1. Gas prod VF'!$L$13:$L$1230,$F91)</f>
        <v>25.922272261070169</v>
      </c>
      <c r="AD91" s="20"/>
    </row>
    <row r="92" spans="2:30" x14ac:dyDescent="0.35">
      <c r="B92" s="62">
        <f>'1. Information samples'!B92</f>
        <v>82</v>
      </c>
      <c r="C92" s="62">
        <f>'1. Information samples'!C92</f>
        <v>46048</v>
      </c>
      <c r="D92" s="62" t="str">
        <f>'1. Information samples'!D92</f>
        <v>Genbank</v>
      </c>
      <c r="E92" s="62">
        <f>'1. Information samples'!E92</f>
        <v>28</v>
      </c>
      <c r="F92" s="62" t="str">
        <f>'1. Information samples'!F92</f>
        <v>F252593</v>
      </c>
      <c r="G92" s="62" t="str">
        <f>'1. Information samples'!G92</f>
        <v>CIAT9352</v>
      </c>
      <c r="H92" s="62" t="str">
        <f>'1. Information samples'!H92</f>
        <v>Crotalaria</v>
      </c>
      <c r="I92" s="62" t="str">
        <f>'1. Information samples'!I92</f>
        <v>pumila</v>
      </c>
      <c r="J92" s="62" t="str">
        <f>'1. Information samples'!J92</f>
        <v>Crotalaria pumila</v>
      </c>
      <c r="K92" s="62" t="str">
        <f>'1. Information samples'!K92</f>
        <v>Fabaceae</v>
      </c>
      <c r="L92" s="62" t="str">
        <f>'1. Information samples'!L92</f>
        <v>Fabales</v>
      </c>
      <c r="M92" s="62" t="str">
        <f>'1. Information samples'!M92</f>
        <v>Herbaceous</v>
      </c>
      <c r="N92" s="77">
        <f>AVERAGEIFS('3.1. Gas prod VF'!$AG$13:$AG$1230,'3.1. Gas prod VF'!$L$13:$L$1230,$F92)</f>
        <v>43.382490991876047</v>
      </c>
      <c r="O92" s="20">
        <f>AVERAGE('3.1. Gas prod VF'!AH369,'3.1. Gas prod VF'!AH370,'3.1. Gas prod VF'!AH371,'3.1. Gas prod VF'!AH550,'3.1. Gas prod VF'!AH551,'3.1. Gas prod VF'!AH552)</f>
        <v>54.097163431418828</v>
      </c>
      <c r="P92" s="77">
        <f>AVERAGEIFS('3.1. Gas prod VF'!$AI$13:$AI$1230,'3.1. Gas prod VF'!$L$13:$L$1230,$F92)</f>
        <v>83.995756407283167</v>
      </c>
      <c r="Q92" s="77">
        <f>AVERAGEIFS('3.1. Gas prod VF'!$AJ$13:$AJ$1230,'3.1. Gas prod VF'!$L$13:$L$1230,$F92)</f>
        <v>5.5996950806329098</v>
      </c>
      <c r="R92" s="77">
        <f>AVERAGEIFS('3.1. Gas prod VF'!$AK$13:$AK$1230,'3.1. Gas prod VF'!$L$13:$L$1230,$F92)</f>
        <v>6.7492638498154376</v>
      </c>
      <c r="S92" s="77">
        <f>AVERAGEIFS('3.1. Gas prod VF'!$AL$13:$AL$1230,'3.1. Gas prod VF'!$L$13:$L$1230,$F92)</f>
        <v>12.348958930448347</v>
      </c>
      <c r="T92" s="77">
        <f>AVERAGEIFS('3.1. Gas prod VF'!$AM$13:$AM$1230,'3.1. Gas prod VF'!$L$13:$L$1230,$F92)</f>
        <v>179.75532395190393</v>
      </c>
      <c r="U92" s="77">
        <f>AVERAGEIFS('3.1. Gas prod VF'!$AN$13:$AN$1230,'3.1. Gas prod VF'!$L$13:$L$1230,$F92)</f>
        <v>47.090542971692493</v>
      </c>
      <c r="V92" s="77">
        <f>AVERAGEIFS('3.1. Gas prod VF'!$AO$13:$AO$1230,'3.1. Gas prod VF'!$L$13:$L$1230,$F92)</f>
        <v>2.6247143890434588</v>
      </c>
      <c r="W92" s="77">
        <f>AVERAGEIFS('3.1. Gas prod VF'!$AP$13:$AP$1230,'3.1. Gas prod VF'!$L$13:$L$1230,$F92)</f>
        <v>12.9</v>
      </c>
      <c r="X92" s="77">
        <f>AVERAGEIFS('3.1. Gas prod VF'!$AQ$13:$AQ$1230,'3.1. Gas prod VF'!$L$13:$L$1230,$F92)</f>
        <v>14.701690219439593</v>
      </c>
      <c r="Y92" s="77">
        <f>AVERAGEIFS('3.1. Gas prod VF'!$AR$13:$AR$1230,'3.1. Gas prod VF'!$L$13:$L$1230,$F92)</f>
        <v>26.427410142896594</v>
      </c>
      <c r="Z92" s="77">
        <f>AVERAGEIFS('3.1. Gas prod VF'!$AS$13:$AS$1230,'3.1. Gas prod VF'!$L$13:$L$1230,$F92)</f>
        <v>57.376296153117551</v>
      </c>
      <c r="AA92" s="77">
        <f>AVERAGEIFS('3.1. Gas prod VF'!$AT$13:$AT$1230,'3.1. Gas prod VF'!$L$13:$L$1230,$F92)</f>
        <v>4.9853976236857687</v>
      </c>
      <c r="AB92" s="77">
        <f>AVERAGEIFS('3.1. Gas prod VF'!$AU$13:$AU$1230,'3.1. Gas prod VF'!$L$13:$L$1230,$F92)</f>
        <v>14.667669850936377</v>
      </c>
      <c r="AC92" s="77">
        <f>AVERAGEIFS('3.1. Gas prod VF'!$AV$13:$AV$1230,'3.1. Gas prod VF'!$L$13:$L$1230,$F92)</f>
        <v>31.844837034463858</v>
      </c>
      <c r="AD92" s="20"/>
    </row>
    <row r="93" spans="2:30" x14ac:dyDescent="0.35">
      <c r="B93" s="62">
        <f>'1. Information samples'!B93</f>
        <v>83</v>
      </c>
      <c r="C93" s="62">
        <f>'1. Information samples'!C93</f>
        <v>46048</v>
      </c>
      <c r="D93" s="62" t="str">
        <f>'1. Information samples'!D93</f>
        <v>Genbank</v>
      </c>
      <c r="E93" s="62">
        <f>'1. Information samples'!E93</f>
        <v>28</v>
      </c>
      <c r="F93" s="62" t="str">
        <f>'1. Information samples'!F93</f>
        <v>F252594</v>
      </c>
      <c r="G93" s="62" t="str">
        <f>'1. Information samples'!G93</f>
        <v>CIAT9472</v>
      </c>
      <c r="H93" s="62" t="str">
        <f>'1. Information samples'!H93</f>
        <v>Zornia</v>
      </c>
      <c r="I93" s="62" t="str">
        <f>'1. Information samples'!I93</f>
        <v>brasiliensis</v>
      </c>
      <c r="J93" s="62" t="str">
        <f>'1. Information samples'!J93</f>
        <v>Zornia brasiliensis</v>
      </c>
      <c r="K93" s="62" t="str">
        <f>'1. Information samples'!K93</f>
        <v>Fabaceae</v>
      </c>
      <c r="L93" s="62" t="str">
        <f>'1. Information samples'!L93</f>
        <v>Fabales</v>
      </c>
      <c r="M93" s="62" t="str">
        <f>'1. Information samples'!M93</f>
        <v>Herbaceous</v>
      </c>
      <c r="N93" s="77">
        <f>AVERAGE('3.1. Gas prod VF'!AG444,'3.1. Gas prod VF'!AG445,'3.1. Gas prod VF'!AG446,'3.1. Gas prod VF'!AG625,'3.1. Gas prod VF'!AG626,'3.1. Gas prod VF'!AG766,'3.1. Gas prod VF'!AG767)</f>
        <v>32.103383286011159</v>
      </c>
      <c r="O93" s="77">
        <f>AVERAGE('3.1. Gas prod VF'!AH444,'3.1. Gas prod VF'!AH445,'3.1. Gas prod VF'!AH446,'3.1. Gas prod VF'!AH625,'3.1. Gas prod VF'!AH626,'3.1. Gas prod VF'!AH766,'3.1. Gas prod VF'!AH767)</f>
        <v>30.413912646352312</v>
      </c>
      <c r="P93" s="77">
        <f>AVERAGE('3.1. Gas prod VF'!AI444,'3.1. Gas prod VF'!AI445,'3.1. Gas prod VF'!AI446,'3.1. Gas prod VF'!AI625,'3.1. Gas prod VF'!AI626,'3.1. Gas prod VF'!AI766,'3.1. Gas prod VF'!AI767)</f>
        <v>62.517295932363467</v>
      </c>
      <c r="Q93" s="77">
        <f>AVERAGE('3.1. Gas prod VF'!AJ444,'3.1. Gas prod VF'!AJ445,'3.1. Gas prod VF'!AJ446,'3.1. Gas prod VF'!AJ625,'3.1. Gas prod VF'!AJ626,'3.1. Gas prod VF'!AJ766,'3.1. Gas prod VF'!AJ767)</f>
        <v>3.9604107797978445</v>
      </c>
      <c r="R93" s="77">
        <f>AVERAGE('3.1. Gas prod VF'!AK444,'3.1. Gas prod VF'!AK445,'3.1. Gas prod VF'!AK446,'3.1. Gas prod VF'!AK625,'3.1. Gas prod VF'!AK626,'3.1. Gas prod VF'!AK766,'3.1. Gas prod VF'!AK767)</f>
        <v>5.3312500601203707</v>
      </c>
      <c r="S93" s="77">
        <f>AVERAGE('3.1. Gas prod VF'!AL444,'3.1. Gas prod VF'!AL445,'3.1. Gas prod VF'!AL446,'3.1. Gas prod VF'!AL625,'3.1. Gas prod VF'!AL626,'3.1. Gas prod VF'!AL766,'3.1. Gas prod VF'!AL767)</f>
        <v>9.2916608399182135</v>
      </c>
      <c r="T93" s="77">
        <f>AVERAGE('3.1. Gas prod VF'!AM444,'3.1. Gas prod VF'!AM445,'3.1. Gas prod VF'!AM446,'3.1. Gas prod VF'!AM625,'3.1. Gas prod VF'!AM626,'3.1. Gas prod VF'!AM766,'3.1. Gas prod VF'!AM767)</f>
        <v>135.70601493852971</v>
      </c>
      <c r="U93" s="77">
        <f>AVERAGE('3.1. Gas prod VF'!AN444,'3.1. Gas prod VF'!AN445,'3.1. Gas prod VF'!AN446,'3.1. Gas prod VF'!AN625,'3.1. Gas prod VF'!AN626,'3.1. Gas prod VF'!AN766,'3.1. Gas prod VF'!AN767)</f>
        <v>35.268544468747464</v>
      </c>
      <c r="V93" s="77">
        <f>AVERAGE('3.1. Gas prod VF'!AO444,'3.1. Gas prod VF'!AO445,'3.1. Gas prod VF'!AO446,'3.1. Gas prod VF'!AO625,'3.1. Gas prod VF'!AO626,'3.1. Gas prod VF'!AO766,'3.1. Gas prod VF'!AO767)</f>
        <v>2.6226611930520511</v>
      </c>
      <c r="W93" s="77">
        <f>AVERAGE('3.1. Gas prod VF'!AP444,'3.1. Gas prod VF'!AP445,'3.1. Gas prod VF'!AP446,'3.1. Gas prod VF'!AP625,'3.1. Gas prod VF'!AP626,'3.1. Gas prod VF'!AP766,'3.1. Gas prod VF'!AP767)</f>
        <v>12.328571428571427</v>
      </c>
      <c r="X93" s="77">
        <f>AVERAGE('3.1. Gas prod VF'!AQ444,'3.1. Gas prod VF'!AQ445,'3.1. Gas prod VF'!AQ446,'3.1. Gas prod VF'!AQ625,'3.1. Gas prod VF'!AQ626,'3.1. Gas prod VF'!AQ766,'3.1. Gas prod VF'!AQ767)</f>
        <v>14.857657583500552</v>
      </c>
      <c r="Y93" s="77">
        <f>AVERAGE('3.1. Gas prod VF'!AR444,'3.1. Gas prod VF'!AR445,'3.1. Gas prod VF'!AR446,'3.1. Gas prod VF'!AR625,'3.1. Gas prod VF'!AR626,'3.1. Gas prod VF'!AR766,'3.1. Gas prod VF'!AR767)</f>
        <v>20.169361607912361</v>
      </c>
      <c r="Z93" s="77">
        <f>AVERAGE('3.1. Gas prod VF'!AS444,'3.1. Gas prod VF'!AS445,'3.1. Gas prod VF'!AS446,'3.1. Gas prod VF'!AS625,'3.1. Gas prod VF'!AS626,'3.1. Gas prod VF'!AS766,'3.1. Gas prod VF'!AS767)</f>
        <v>61.183328920284175</v>
      </c>
      <c r="AA93" s="77">
        <f>AVERAGE('3.1. Gas prod VF'!AT444,'3.1. Gas prod VF'!AT445,'3.1. Gas prod VF'!AT446,'3.1. Gas prod VF'!AT625,'3.1. Gas prod VF'!AT626,'3.1. Gas prod VF'!AT766,'3.1. Gas prod VF'!AT767)</f>
        <v>-0.40185389081676709</v>
      </c>
      <c r="AB93" s="77">
        <f>AVERAGE('3.1. Gas prod VF'!AU444,'3.1. Gas prod VF'!AU445,'3.1. Gas prod VF'!AU446,'3.1. Gas prod VF'!AU625,'3.1. Gas prod VF'!AU626,'3.1. Gas prod VF'!AU766,'3.1. Gas prod VF'!AU767)</f>
        <v>11.194344643284229</v>
      </c>
      <c r="AC93" s="77">
        <f>AVERAGE('3.1. Gas prod VF'!AV444,'3.1. Gas prod VF'!AV445,'3.1. Gas prod VF'!AV446,'3.1. Gas prod VF'!AV625,'3.1. Gas prod VF'!AV626,'3.1. Gas prod VF'!AV766,'3.1. Gas prod VF'!AV767)</f>
        <v>33.957806085860149</v>
      </c>
      <c r="AD93" s="20"/>
    </row>
    <row r="94" spans="2:30" x14ac:dyDescent="0.35">
      <c r="B94" s="62">
        <f>'1. Information samples'!B94</f>
        <v>84</v>
      </c>
      <c r="C94" s="62">
        <f>'1. Information samples'!C94</f>
        <v>46048</v>
      </c>
      <c r="D94" s="62" t="str">
        <f>'1. Information samples'!D94</f>
        <v>Genbank</v>
      </c>
      <c r="E94" s="62">
        <f>'1. Information samples'!E94</f>
        <v>28</v>
      </c>
      <c r="F94" s="62" t="str">
        <f>'1. Information samples'!F94</f>
        <v>F252595</v>
      </c>
      <c r="G94" s="62" t="str">
        <f>'1. Information samples'!G94</f>
        <v>CIAT9531</v>
      </c>
      <c r="H94" s="62" t="str">
        <f>'1. Information samples'!H94</f>
        <v>Indigofera</v>
      </c>
      <c r="I94" s="62" t="str">
        <f>'1. Information samples'!I94</f>
        <v>spicata</v>
      </c>
      <c r="J94" s="62" t="str">
        <f>'1. Information samples'!J94</f>
        <v>Indigofera spicata</v>
      </c>
      <c r="K94" s="62" t="str">
        <f>'1. Information samples'!K94</f>
        <v>Fabaceae</v>
      </c>
      <c r="L94" s="62" t="str">
        <f>'1. Information samples'!L94</f>
        <v>Fabales</v>
      </c>
      <c r="M94" s="62" t="str">
        <f>'1. Information samples'!M94</f>
        <v>Herbaceous</v>
      </c>
      <c r="N94" s="77">
        <f>AVERAGE('3.1. Gas prod VF'!AG447,'3.1. Gas prod VF'!AG448,'3.1. Gas prod VF'!AG449,'3.1. Gas prod VF'!AG628,'3.1. Gas prod VF'!AG630,'3.1. Gas prod VF'!AG768,'3.1. Gas prod VF'!AG769)</f>
        <v>31.46052614315402</v>
      </c>
      <c r="O94" s="77">
        <f>AVERAGE('3.1. Gas prod VF'!AH447,'3.1. Gas prod VF'!AH448,'3.1. Gas prod VF'!AH449,'3.1. Gas prod VF'!AH628,'3.1. Gas prod VF'!AH630,'3.1. Gas prod VF'!AH768,'3.1. Gas prod VF'!AH769)</f>
        <v>44.842484074923739</v>
      </c>
      <c r="P94" s="77">
        <f>AVERAGE('3.1. Gas prod VF'!AI447,'3.1. Gas prod VF'!AI448,'3.1. Gas prod VF'!AI449,'3.1. Gas prod VF'!AI628,'3.1. Gas prod VF'!AI630,'3.1. Gas prod VF'!AI768,'3.1. Gas prod VF'!AI769)</f>
        <v>76.303010218077745</v>
      </c>
      <c r="Q94" s="77">
        <f>AVERAGE('3.1. Gas prod VF'!AJ447,'3.1. Gas prod VF'!AJ448,'3.1. Gas prod VF'!AJ449,'3.1. Gas prod VF'!AJ628,'3.1. Gas prod VF'!AJ630,'3.1. Gas prod VF'!AJ768,'3.1. Gas prod VF'!AJ769)</f>
        <v>3.9113127351558648</v>
      </c>
      <c r="R94" s="77">
        <f>AVERAGE('3.1. Gas prod VF'!AK447,'3.1. Gas prod VF'!AK448,'3.1. Gas prod VF'!AK449,'3.1. Gas prod VF'!AK628,'3.1. Gas prod VF'!AK630,'3.1. Gas prod VF'!AK768,'3.1. Gas prod VF'!AK769)</f>
        <v>7.2613869740710069</v>
      </c>
      <c r="S94" s="77">
        <f>AVERAGE('3.1. Gas prod VF'!AL447,'3.1. Gas prod VF'!AL448,'3.1. Gas prod VF'!AL449,'3.1. Gas prod VF'!AL628,'3.1. Gas prod VF'!AL630,'3.1. Gas prod VF'!AL768,'3.1. Gas prod VF'!AL769)</f>
        <v>11.172699709226872</v>
      </c>
      <c r="T94" s="77">
        <f>AVERAGE('3.1. Gas prod VF'!AM447,'3.1. Gas prod VF'!AM448,'3.1. Gas prod VF'!AM449,'3.1. Gas prod VF'!AM628,'3.1. Gas prod VF'!AM630,'3.1. Gas prod VF'!AM768,'3.1. Gas prod VF'!AM769)</f>
        <v>166.56498697293813</v>
      </c>
      <c r="U94" s="77">
        <f>AVERAGE('3.1. Gas prod VF'!AN447,'3.1. Gas prod VF'!AN448,'3.1. Gas prod VF'!AN449,'3.1. Gas prod VF'!AN628,'3.1. Gas prod VF'!AN630,'3.1. Gas prod VF'!AN768,'3.1. Gas prod VF'!AN769)</f>
        <v>50.849884257619884</v>
      </c>
      <c r="V94" s="77">
        <f>AVERAGE('3.1. Gas prod VF'!AO447,'3.1. Gas prod VF'!AO448,'3.1. Gas prod VF'!AO449,'3.1. Gas prod VF'!AO628,'3.1. Gas prod VF'!AO630,'3.1. Gas prod VF'!AO768,'3.1. Gas prod VF'!AO769)</f>
        <v>3.0587980018866263</v>
      </c>
      <c r="W94" s="77">
        <f>AVERAGE('3.1. Gas prod VF'!AP447,'3.1. Gas prod VF'!AP448,'3.1. Gas prod VF'!AP449,'3.1. Gas prod VF'!AP628,'3.1. Gas prod VF'!AP630,'3.1. Gas prod VF'!AP768,'3.1. Gas prod VF'!AP769)</f>
        <v>12.428571428571429</v>
      </c>
      <c r="X94" s="77">
        <f>AVERAGE('3.1. Gas prod VF'!AQ447,'3.1. Gas prod VF'!AQ448,'3.1. Gas prod VF'!AQ449,'3.1. Gas prod VF'!AQ628,'3.1. Gas prod VF'!AQ630,'3.1. Gas prod VF'!AQ768,'3.1. Gas prod VF'!AQ769)</f>
        <v>14.645106831544641</v>
      </c>
      <c r="Y94" s="77">
        <f>AVERAGE('3.1. Gas prod VF'!AR447,'3.1. Gas prod VF'!AR448,'3.1. Gas prod VF'!AR449,'3.1. Gas prod VF'!AR628,'3.1. Gas prod VF'!AR630,'3.1. Gas prod VF'!AR768,'3.1. Gas prod VF'!AR769)</f>
        <v>24.389369823466204</v>
      </c>
      <c r="Z94" s="77">
        <f>AVERAGE('3.1. Gas prod VF'!AS447,'3.1. Gas prod VF'!AS448,'3.1. Gas prod VF'!AS449,'3.1. Gas prod VF'!AS628,'3.1. Gas prod VF'!AS630,'3.1. Gas prod VF'!AS768,'3.1. Gas prod VF'!AS769)</f>
        <v>48.487862896865714</v>
      </c>
      <c r="AA94" s="77">
        <f>AVERAGE('3.1. Gas prod VF'!AT447,'3.1. Gas prod VF'!AT448,'3.1. Gas prod VF'!AT449,'3.1. Gas prod VF'!AT628,'3.1. Gas prod VF'!AT630,'3.1. Gas prod VF'!AT768,'3.1. Gas prod VF'!AT769)</f>
        <v>-1.4093325780900881</v>
      </c>
      <c r="AB94" s="77">
        <f>AVERAGE('3.1. Gas prod VF'!AU447,'3.1. Gas prod VF'!AU448,'3.1. Gas prod VF'!AU449,'3.1. Gas prod VF'!AU628,'3.1. Gas prod VF'!AU630,'3.1. Gas prod VF'!AU768,'3.1. Gas prod VF'!AU769)</f>
        <v>13.536522213439374</v>
      </c>
      <c r="AC94" s="77">
        <f>AVERAGE('3.1. Gas prod VF'!AV447,'3.1. Gas prod VF'!AV448,'3.1. Gas prod VF'!AV449,'3.1. Gas prod VF'!AV628,'3.1. Gas prod VF'!AV630,'3.1. Gas prod VF'!AV768,'3.1. Gas prod VF'!AV769)</f>
        <v>26.911602798122004</v>
      </c>
      <c r="AD94" s="20"/>
    </row>
    <row r="95" spans="2:30" x14ac:dyDescent="0.35">
      <c r="B95" s="62">
        <f>'1. Information samples'!B95</f>
        <v>85</v>
      </c>
      <c r="C95" s="62">
        <f>'1. Information samples'!C95</f>
        <v>46048</v>
      </c>
      <c r="D95" s="62" t="str">
        <f>'1. Information samples'!D95</f>
        <v>Genbank</v>
      </c>
      <c r="E95" s="62">
        <f>'1. Information samples'!E95</f>
        <v>28</v>
      </c>
      <c r="F95" s="62" t="str">
        <f>'1. Information samples'!F95</f>
        <v>F252596</v>
      </c>
      <c r="G95" s="62" t="str">
        <f>'1. Information samples'!G95</f>
        <v>CIAT10026</v>
      </c>
      <c r="H95" s="62" t="str">
        <f>'1. Information samples'!H95</f>
        <v>Stylosanthes</v>
      </c>
      <c r="I95" s="62" t="str">
        <f>'1. Information samples'!I95</f>
        <v>seabrana</v>
      </c>
      <c r="J95" s="62" t="str">
        <f>'1. Information samples'!J95</f>
        <v>Stylosanthes seabrana</v>
      </c>
      <c r="K95" s="62" t="str">
        <f>'1. Information samples'!K95</f>
        <v>Fabaceae</v>
      </c>
      <c r="L95" s="62" t="str">
        <f>'1. Information samples'!L95</f>
        <v>Fabales</v>
      </c>
      <c r="M95" s="62" t="str">
        <f>'1. Information samples'!M95</f>
        <v>Herbaceous</v>
      </c>
      <c r="N95" s="77">
        <f>AVERAGE(('3.1. Gas prod VF'!AG450,'3.1. Gas prod VF'!AG452,'3.1. Gas prod VF'!AG451,'3.1. Gas prod VF'!AG631,'3.1. Gas prod VF'!AG632,'3.1. Gas prod VF'!AG770,'3.1. Gas prod VF'!AG771))</f>
        <v>29.603383286011162</v>
      </c>
      <c r="O95" s="77">
        <f>AVERAGE('3.1. Gas prod VF'!AG453,'3.1. Gas prod VF'!AG454,'3.1. Gas prod VF'!AG455,'3.1. Gas prod VF'!AG635,'3.1. Gas prod VF'!AG636,'3.1. Gas prod VF'!AG772,'3.1. Gas prod VF'!AG773)</f>
        <v>38.246240428868305</v>
      </c>
      <c r="P95" s="77">
        <f>AVERAGE(('3.1. Gas prod VF'!AI450,'3.1. Gas prod VF'!AI452,'3.1. Gas prod VF'!AI451,'3.1. Gas prod VF'!AI631,'3.1. Gas prod VF'!AI632,'3.1. Gas prod VF'!AI770,'3.1. Gas prod VF'!AI771))</f>
        <v>73.017295932363467</v>
      </c>
      <c r="Q95" s="77">
        <f>AVERAGE(('3.1. Gas prod VF'!AJ450,'3.1. Gas prod VF'!AJ452,'3.1. Gas prod VF'!AJ451,'3.1. Gas prod VF'!AJ631,'3.1. Gas prod VF'!AJ632,'3.1. Gas prod VF'!AJ770,'3.1. Gas prod VF'!AJ771))</f>
        <v>3.3419657036133961</v>
      </c>
      <c r="R95" s="77">
        <f>AVERAGE(('3.1. Gas prod VF'!AK450,'3.1. Gas prod VF'!AK452,'3.1. Gas prod VF'!AK451,'3.1. Gas prod VF'!AK631,'3.1. Gas prod VF'!AK632,'3.1. Gas prod VF'!AK770,'3.1. Gas prod VF'!AK771))</f>
        <v>6.3786548907947127</v>
      </c>
      <c r="S95" s="77">
        <f>AVERAGE(('3.1. Gas prod VF'!AL450,'3.1. Gas prod VF'!AL452,'3.1. Gas prod VF'!AL451,'3.1. Gas prod VF'!AL631,'3.1. Gas prod VF'!AL632,'3.1. Gas prod VF'!AL770,'3.1. Gas prod VF'!AL771))</f>
        <v>9.7206205944081088</v>
      </c>
      <c r="T95" s="77">
        <f>AVERAGE(('3.1. Gas prod VF'!AM450,'3.1. Gas prod VF'!AM452,'3.1. Gas prod VF'!AM451,'3.1. Gas prod VF'!AM631,'3.1. Gas prod VF'!AM632,'3.1. Gas prod VF'!AM770,'3.1. Gas prod VF'!AM771))</f>
        <v>157.38737059542851</v>
      </c>
      <c r="U95" s="77">
        <f>AVERAGE(('3.1. Gas prod VF'!AN450,'3.1. Gas prod VF'!AN452,'3.1. Gas prod VF'!AN451,'3.1. Gas prod VF'!AN631,'3.1. Gas prod VF'!AN632,'3.1. Gas prod VF'!AN770,'3.1. Gas prod VF'!AN771))</f>
        <v>42.25408370618414</v>
      </c>
      <c r="V95" s="77">
        <f>AVERAGE(('3.1. Gas prod VF'!AO450,'3.1. Gas prod VF'!AO452,'3.1. Gas prod VF'!AO451,'3.1. Gas prod VF'!AO631,'3.1. Gas prod VF'!AO632,'3.1. Gas prod VF'!AO770,'3.1. Gas prod VF'!AO771))</f>
        <v>2.679981626553368</v>
      </c>
      <c r="W95" s="77">
        <f>AVERAGE(('3.1. Gas prod VF'!AP450,'3.1. Gas prod VF'!AP452,'3.1. Gas prod VF'!AP451,'3.1. Gas prod VF'!AP631,'3.1. Gas prod VF'!AP632,'3.1. Gas prod VF'!AP770,'3.1. Gas prod VF'!AP771))</f>
        <v>11.285714285714286</v>
      </c>
      <c r="X95" s="77">
        <f>AVERAGE(('3.1. Gas prod VF'!AQ450,'3.1. Gas prod VF'!AQ452,'3.1. Gas prod VF'!AQ451,'3.1. Gas prod VF'!AQ631,'3.1. Gas prod VF'!AQ632,'3.1. Gas prod VF'!AQ770,'3.1. Gas prod VF'!AQ771))</f>
        <v>13.313125895223433</v>
      </c>
      <c r="Y95" s="77">
        <f>AVERAGE(('3.1. Gas prod VF'!AR450,'3.1. Gas prod VF'!AR452,'3.1. Gas prod VF'!AR451,'3.1. Gas prod VF'!AR631,'3.1. Gas prod VF'!AR632,'3.1. Gas prod VF'!AR770,'3.1. Gas prod VF'!AR771))</f>
        <v>20.952590149352226</v>
      </c>
      <c r="Z95" s="77">
        <f>AVERAGE(('3.1. Gas prod VF'!AS450,'3.1. Gas prod VF'!AS452,'3.1. Gas prod VF'!AS451,'3.1. Gas prod VF'!AS631,'3.1. Gas prod VF'!AS632,'3.1. Gas prod VF'!AS770,'3.1. Gas prod VF'!AS771))</f>
        <v>51.610031462306281</v>
      </c>
      <c r="AA95" s="77">
        <f>AVERAGE(('3.1. Gas prod VF'!AT450,'3.1. Gas prod VF'!AT452,'3.1. Gas prod VF'!AT451,'3.1. Gas prod VF'!AT631,'3.1. Gas prod VF'!AT632,'3.1. Gas prod VF'!AT770,'3.1. Gas prod VF'!AT771))</f>
        <v>0.51703445482628185</v>
      </c>
      <c r="AB95" s="77">
        <f>AVERAGE(('3.1. Gas prod VF'!AU450,'3.1. Gas prod VF'!AU452,'3.1. Gas prod VF'!AU451,'3.1. Gas prod VF'!AU631,'3.1. Gas prod VF'!AU632,'3.1. Gas prod VF'!AU770,'3.1. Gas prod VF'!AU771))</f>
        <v>11.62905003445016</v>
      </c>
      <c r="AC95" s="77">
        <f>AVERAGE(('3.1. Gas prod VF'!AV450,'3.1. Gas prod VF'!AV452,'3.1. Gas prod VF'!AV451,'3.1. Gas prod VF'!AV631,'3.1. Gas prod VF'!AV632,'3.1. Gas prod VF'!AV770,'3.1. Gas prod VF'!AV771))</f>
        <v>28.644460368698713</v>
      </c>
      <c r="AD95" s="20"/>
    </row>
    <row r="96" spans="2:30" x14ac:dyDescent="0.35">
      <c r="B96" s="62">
        <f>'1. Information samples'!B96</f>
        <v>86</v>
      </c>
      <c r="C96" s="62">
        <f>'1. Information samples'!C96</f>
        <v>46048</v>
      </c>
      <c r="D96" s="62" t="str">
        <f>'1. Information samples'!D96</f>
        <v>Genbank</v>
      </c>
      <c r="E96" s="62">
        <f>'1. Information samples'!E96</f>
        <v>28</v>
      </c>
      <c r="F96" s="62" t="str">
        <f>'1. Information samples'!F96</f>
        <v>F252597</v>
      </c>
      <c r="G96" s="62" t="str">
        <f>'1. Information samples'!G96</f>
        <v>CIAT12411</v>
      </c>
      <c r="H96" s="62" t="str">
        <f>'1. Information samples'!H96</f>
        <v>Stylosanthes</v>
      </c>
      <c r="I96" s="62" t="str">
        <f>'1. Information samples'!I96</f>
        <v>sympodialis</v>
      </c>
      <c r="J96" s="62" t="str">
        <f>'1. Information samples'!J96</f>
        <v>Stylosanthes sympodialis</v>
      </c>
      <c r="K96" s="62" t="str">
        <f>'1. Information samples'!K96</f>
        <v>Fabaceae</v>
      </c>
      <c r="L96" s="62" t="str">
        <f>'1. Information samples'!L96</f>
        <v>Fabales</v>
      </c>
      <c r="M96" s="62" t="str">
        <f>'1. Information samples'!M96</f>
        <v>Herbaceous</v>
      </c>
      <c r="N96" s="77">
        <f>AVERAGE('3.1. Gas prod VF'!AG453,'3.1. Gas prod VF'!AG454,'3.1. Gas prod VF'!AG455,'3.1. Gas prod VF'!AG635,'3.1. Gas prod VF'!AG636,'3.1. Gas prod VF'!AG772,'3.1. Gas prod VF'!AG773)</f>
        <v>38.246240428868305</v>
      </c>
      <c r="O96" s="77">
        <f>AVERAGE('3.1. Gas prod VF'!AH453,'3.1. Gas prod VF'!AH454,'3.1. Gas prod VF'!AH455,'3.1. Gas prod VF'!AH635,'3.1. Gas prod VF'!AH636,'3.1. Gas prod VF'!AH772,'3.1. Gas prod VF'!AH773)</f>
        <v>44.628198360638024</v>
      </c>
      <c r="P96" s="77">
        <f>AVERAGE('3.1. Gas prod VF'!AI453,'3.1. Gas prod VF'!AI454,'3.1. Gas prod VF'!AI455,'3.1. Gas prod VF'!AI635,'3.1. Gas prod VF'!AI636,'3.1. Gas prod VF'!AI772,'3.1. Gas prod VF'!AI773)</f>
        <v>82.874438789506328</v>
      </c>
      <c r="Q96" s="77">
        <f>AVERAGE('3.1. Gas prod VF'!AJ453,'3.1. Gas prod VF'!AJ454,'3.1. Gas prod VF'!AJ455,'3.1. Gas prod VF'!AJ635,'3.1. Gas prod VF'!AJ636,'3.1. Gas prod VF'!AJ772,'3.1. Gas prod VF'!AJ773)</f>
        <v>4.2742571360454491</v>
      </c>
      <c r="R96" s="77">
        <f>AVERAGE('3.1. Gas prod VF'!AK453,'3.1. Gas prod VF'!AK454,'3.1. Gas prod VF'!AK455,'3.1. Gas prod VF'!AK635,'3.1. Gas prod VF'!AK636,'3.1. Gas prod VF'!AK772,'3.1. Gas prod VF'!AK773)</f>
        <v>6.8449290722721354</v>
      </c>
      <c r="S96" s="77">
        <f>AVERAGE('3.1. Gas prod VF'!AL453,'3.1. Gas prod VF'!AL454,'3.1. Gas prod VF'!AL455,'3.1. Gas prod VF'!AL635,'3.1. Gas prod VF'!AL636,'3.1. Gas prod VF'!AL772,'3.1. Gas prod VF'!AL773)</f>
        <v>11.119186208317585</v>
      </c>
      <c r="T96" s="77">
        <f>AVERAGE('3.1. Gas prod VF'!AM453,'3.1. Gas prod VF'!AM454,'3.1. Gas prod VF'!AM455,'3.1. Gas prod VF'!AM635,'3.1. Gas prod VF'!AM636,'3.1. Gas prod VF'!AM772,'3.1. Gas prod VF'!AM773)</f>
        <v>180.64765175817712</v>
      </c>
      <c r="U96" s="77">
        <f>AVERAGE('3.1. Gas prod VF'!AN453,'3.1. Gas prod VF'!AN454,'3.1. Gas prod VF'!AN455,'3.1. Gas prod VF'!AN635,'3.1. Gas prod VF'!AN636,'3.1. Gas prod VF'!AN772,'3.1. Gas prod VF'!AN773)</f>
        <v>55.057207390835565</v>
      </c>
      <c r="V96" s="77">
        <f>AVERAGE('3.1. Gas prod VF'!AO453,'3.1. Gas prod VF'!AO454,'3.1. Gas prod VF'!AO455,'3.1. Gas prod VF'!AO635,'3.1. Gas prod VF'!AO636,'3.1. Gas prod VF'!AO772,'3.1. Gas prod VF'!AO773)</f>
        <v>3.052408536652135</v>
      </c>
      <c r="W96" s="77">
        <f>AVERAGE('3.1. Gas prod VF'!AP453,'3.1. Gas prod VF'!AP454,'3.1. Gas prod VF'!AP455,'3.1. Gas prod VF'!AP635,'3.1. Gas prod VF'!AP636,'3.1. Gas prod VF'!AP772,'3.1. Gas prod VF'!AP773)</f>
        <v>11.171428571428573</v>
      </c>
      <c r="X96" s="77">
        <f>AVERAGE('3.1. Gas prod VF'!AQ453,'3.1. Gas prod VF'!AQ454,'3.1. Gas prod VF'!AQ455,'3.1. Gas prod VF'!AQ635,'3.1. Gas prod VF'!AQ636,'3.1. Gas prod VF'!AQ772,'3.1. Gas prod VF'!AQ773)</f>
        <v>13.416773757217181</v>
      </c>
      <c r="Y96" s="77">
        <f>AVERAGE('3.1. Gas prod VF'!AR453,'3.1. Gas prod VF'!AR454,'3.1. Gas prod VF'!AR455,'3.1. Gas prod VF'!AR635,'3.1. Gas prod VF'!AR636,'3.1. Gas prod VF'!AR772,'3.1. Gas prod VF'!AR773)</f>
        <v>24.237332872509779</v>
      </c>
      <c r="Z96" s="77">
        <f>AVERAGE('3.1. Gas prod VF'!AS453,'3.1. Gas prod VF'!AS454,'3.1. Gas prod VF'!AS455,'3.1. Gas prod VF'!AS635,'3.1. Gas prod VF'!AS636,'3.1. Gas prod VF'!AS772,'3.1. Gas prod VF'!AS773)</f>
        <v>44.513626571405858</v>
      </c>
      <c r="AA96" s="77">
        <f>AVERAGE('3.1. Gas prod VF'!AT453,'3.1. Gas prod VF'!AT454,'3.1. Gas prod VF'!AT455,'3.1. Gas prod VF'!AT635,'3.1. Gas prod VF'!AT636,'3.1. Gas prod VF'!AT772,'3.1. Gas prod VF'!AT773)</f>
        <v>0.49125132759159501</v>
      </c>
      <c r="AB96" s="77">
        <f>AVERAGE('3.1. Gas prod VF'!AU453,'3.1. Gas prod VF'!AU454,'3.1. Gas prod VF'!AU455,'3.1. Gas prod VF'!AU635,'3.1. Gas prod VF'!AU636,'3.1. Gas prod VF'!AU772,'3.1. Gas prod VF'!AU773)</f>
        <v>13.452139075261485</v>
      </c>
      <c r="AC96" s="77">
        <f>AVERAGE('3.1. Gas prod VF'!AV453,'3.1. Gas prod VF'!AV454,'3.1. Gas prod VF'!AV455,'3.1. Gas prod VF'!AV635,'3.1. Gas prod VF'!AV636,'3.1. Gas prod VF'!AV772,'3.1. Gas prod VF'!AV773)</f>
        <v>24.70583287907785</v>
      </c>
      <c r="AD96" s="20"/>
    </row>
    <row r="97" spans="2:30" x14ac:dyDescent="0.35">
      <c r="B97" s="62">
        <f>'1. Information samples'!B97</f>
        <v>87</v>
      </c>
      <c r="C97" s="62">
        <f>'1. Information samples'!C97</f>
        <v>46048</v>
      </c>
      <c r="D97" s="62" t="str">
        <f>'1. Information samples'!D97</f>
        <v>Genbank</v>
      </c>
      <c r="E97" s="62">
        <f>'1. Information samples'!E97</f>
        <v>28</v>
      </c>
      <c r="F97" s="62" t="str">
        <f>'1. Information samples'!F97</f>
        <v>F252598</v>
      </c>
      <c r="G97" s="62" t="str">
        <f>'1. Information samples'!G97</f>
        <v>CIAT13494</v>
      </c>
      <c r="H97" s="62" t="str">
        <f>'1. Information samples'!H97</f>
        <v>Desmodium</v>
      </c>
      <c r="I97" s="62" t="str">
        <f>'1. Information samples'!I97</f>
        <v>tortuosum</v>
      </c>
      <c r="J97" s="62" t="str">
        <f>'1. Information samples'!J97</f>
        <v>Desmodium tortuosum</v>
      </c>
      <c r="K97" s="62" t="str">
        <f>'1. Information samples'!K97</f>
        <v>Fabaceae</v>
      </c>
      <c r="L97" s="62" t="str">
        <f>'1. Information samples'!L97</f>
        <v>Fabales</v>
      </c>
      <c r="M97" s="62" t="str">
        <f>'1. Information samples'!M97</f>
        <v>Shurb_Tree</v>
      </c>
      <c r="N97" s="77">
        <f>AVERAGEIFS('3.1. Gas prod VF'!$AG$13:$AG$1230,'3.1. Gas prod VF'!$L$13:$L$1230,$F97)</f>
        <v>39.632490991876047</v>
      </c>
      <c r="O97" s="20">
        <f>AVERAGE('3.1. Gas prod VF'!AH384,'3.1. Gas prod VF'!AH385,'3.1. Gas prod VF'!AH386,'3.1. Gas prod VF'!AH565,'3.1. Gas prod VF'!AH566,'3.1. Gas prod VF'!AH567)</f>
        <v>31.50873479879084</v>
      </c>
      <c r="P97" s="77">
        <f>AVERAGEIFS('3.1. Gas prod VF'!$AI$13:$AI$1230,'3.1. Gas prod VF'!$L$13:$L$1230,$F97)</f>
        <v>82.683256407283167</v>
      </c>
      <c r="Q97" s="77">
        <f>AVERAGEIFS('3.1. Gas prod VF'!$AJ$13:$AJ$1230,'3.1. Gas prod VF'!$L$13:$L$1230,$F97)</f>
        <v>4.8027734350035409</v>
      </c>
      <c r="R97" s="77">
        <f>AVERAGEIFS('3.1. Gas prod VF'!$AK$13:$AK$1230,'3.1. Gas prod VF'!$L$13:$L$1230,$F97)</f>
        <v>7.0249024923359835</v>
      </c>
      <c r="S97" s="77">
        <f>AVERAGEIFS('3.1. Gas prod VF'!$AL$13:$AL$1230,'3.1. Gas prod VF'!$L$13:$L$1230,$F97)</f>
        <v>11.827675927339524</v>
      </c>
      <c r="T97" s="77">
        <f>AVERAGEIFS('3.1. Gas prod VF'!$AM$13:$AM$1230,'3.1. Gas prod VF'!$L$13:$L$1230,$F97)</f>
        <v>180.29480568446365</v>
      </c>
      <c r="U97" s="77">
        <f>AVERAGEIFS('3.1. Gas prod VF'!$AN$13:$AN$1230,'3.1. Gas prod VF'!$L$13:$L$1230,$F97)</f>
        <v>47.787642410212463</v>
      </c>
      <c r="V97" s="77">
        <f>AVERAGEIFS('3.1. Gas prod VF'!$AO$13:$AO$1230,'3.1. Gas prod VF'!$L$13:$L$1230,$F97)</f>
        <v>2.6753619290738957</v>
      </c>
      <c r="W97" s="77">
        <f>AVERAGEIFS('3.1. Gas prod VF'!$AP$13:$AP$1230,'3.1. Gas prod VF'!$L$13:$L$1230,$F97)</f>
        <v>12.112500000000001</v>
      </c>
      <c r="X97" s="77">
        <f>AVERAGEIFS('3.1. Gas prod VF'!$AQ$13:$AQ$1230,'3.1. Gas prod VF'!$L$13:$L$1230,$F97)</f>
        <v>14.30624252141884</v>
      </c>
      <c r="Y97" s="77">
        <f>AVERAGEIFS('3.1. Gas prod VF'!$AR$13:$AR$1230,'3.1. Gas prod VF'!$L$13:$L$1230,$F97)</f>
        <v>25.790826488565131</v>
      </c>
      <c r="Z97" s="77">
        <f>AVERAGEIFS('3.1. Gas prod VF'!$AS$13:$AS$1230,'3.1. Gas prod VF'!$L$13:$L$1230,$F97)</f>
        <v>56.125921921892846</v>
      </c>
      <c r="AA97" s="77">
        <f>AVERAGEIFS('3.1. Gas prod VF'!$AT$13:$AT$1230,'3.1. Gas prod VF'!$L$13:$L$1230,$F97)</f>
        <v>-0.31839839197101644</v>
      </c>
      <c r="AB97" s="77">
        <f>AVERAGEIFS('3.1. Gas prod VF'!$AU$13:$AU$1230,'3.1. Gas prod VF'!$L$13:$L$1230,$F97)</f>
        <v>14.314354909224384</v>
      </c>
      <c r="AC97" s="77">
        <f>AVERAGEIFS('3.1. Gas prod VF'!$AV$13:$AV$1230,'3.1. Gas prod VF'!$L$13:$L$1230,$F97)</f>
        <v>31.150857703361982</v>
      </c>
      <c r="AD97" s="20"/>
    </row>
    <row r="98" spans="2:30" x14ac:dyDescent="0.35">
      <c r="B98" s="62">
        <f>'1. Information samples'!B98</f>
        <v>88</v>
      </c>
      <c r="C98" s="62">
        <f>'1. Information samples'!C98</f>
        <v>46048</v>
      </c>
      <c r="D98" s="62" t="str">
        <f>'1. Information samples'!D98</f>
        <v>Genbank</v>
      </c>
      <c r="E98" s="62">
        <f>'1. Information samples'!E98</f>
        <v>28</v>
      </c>
      <c r="F98" s="62" t="str">
        <f>'1. Information samples'!F98</f>
        <v>F252599</v>
      </c>
      <c r="G98" s="62" t="str">
        <f>'1. Information samples'!G98</f>
        <v>CIAT13562</v>
      </c>
      <c r="H98" s="62" t="str">
        <f>'1. Information samples'!H98</f>
        <v>Desmodium</v>
      </c>
      <c r="I98" s="62" t="str">
        <f>'1. Information samples'!I98</f>
        <v>tortuosum</v>
      </c>
      <c r="J98" s="62" t="str">
        <f>'1. Information samples'!J98</f>
        <v>Desmodium tortuosum</v>
      </c>
      <c r="K98" s="62" t="str">
        <f>'1. Information samples'!K98</f>
        <v>Fabaceae</v>
      </c>
      <c r="L98" s="62" t="str">
        <f>'1. Information samples'!L98</f>
        <v>Fabales</v>
      </c>
      <c r="M98" s="62" t="str">
        <f>'1. Information samples'!M98</f>
        <v>Shurb_Tree</v>
      </c>
      <c r="N98" s="77">
        <f>AVERAGE('3.1. Gas prod VF'!AG459,'3.1. Gas prod VF'!AG460,'3.1. Gas prod VF'!AG461,'3.1. Gas prod VF'!AG641,'3.1. Gas prod VF'!AG776,'3.1. Gas prod VF'!AG777)</f>
        <v>36.814573011524644</v>
      </c>
      <c r="O98" s="77">
        <f>AVERAGE('3.1. Gas prod VF'!AH459,'3.1. Gas prod VF'!AH460,'3.1. Gas prod VF'!AH461,'3.1. Gas prod VF'!AH641,'3.1. Gas prod VF'!AH776,'3.1. Gas prod VF'!AH777)</f>
        <v>31.981442287612555</v>
      </c>
      <c r="P98" s="77">
        <f>AVERAGE('3.1. Gas prod VF'!AI459,'3.1. Gas prod VF'!AI460,'3.1. Gas prod VF'!AI461,'3.1. Gas prod VF'!AI641,'3.1. Gas prod VF'!AI776,'3.1. Gas prod VF'!AI777)</f>
        <v>68.796015299137196</v>
      </c>
      <c r="Q98" s="77">
        <f>AVERAGE('3.1. Gas prod VF'!AJ459,'3.1. Gas prod VF'!AJ460,'3.1. Gas prod VF'!AJ461,'3.1. Gas prod VF'!AJ641,'3.1. Gas prod VF'!AJ776,'3.1. Gas prod VF'!AJ777)</f>
        <v>5.1841910395579047</v>
      </c>
      <c r="R98" s="77">
        <f>AVERAGE('3.1. Gas prod VF'!AK459,'3.1. Gas prod VF'!AK460,'3.1. Gas prod VF'!AK461,'3.1. Gas prod VF'!AK641,'3.1. Gas prod VF'!AK776,'3.1. Gas prod VF'!AK777)</f>
        <v>5.3864729166512335</v>
      </c>
      <c r="S98" s="77">
        <f>AVERAGE('3.1. Gas prod VF'!AL459,'3.1. Gas prod VF'!AL460,'3.1. Gas prod VF'!AL461,'3.1. Gas prod VF'!AL641,'3.1. Gas prod VF'!AL776,'3.1. Gas prod VF'!AL777)</f>
        <v>10.57066395620914</v>
      </c>
      <c r="T98" s="77">
        <f>AVERAGE('3.1. Gas prod VF'!AM459,'3.1. Gas prod VF'!AM460,'3.1. Gas prod VF'!AM461,'3.1. Gas prod VF'!AM641,'3.1. Gas prod VF'!AM776,'3.1. Gas prod VF'!AM777)</f>
        <v>149.8064817927951</v>
      </c>
      <c r="U98" s="77">
        <f>AVERAGE('3.1. Gas prod VF'!AN459,'3.1. Gas prod VF'!AN460,'3.1. Gas prod VF'!AN461,'3.1. Gas prod VF'!AN641,'3.1. Gas prod VF'!AN776,'3.1. Gas prod VF'!AN777)</f>
        <v>46.734695207196843</v>
      </c>
      <c r="V98" s="77">
        <f>AVERAGE('3.1. Gas prod VF'!AO459,'3.1. Gas prod VF'!AO460,'3.1. Gas prod VF'!AO461,'3.1. Gas prod VF'!AO641,'3.1. Gas prod VF'!AO776,'3.1. Gas prod VF'!AO777)</f>
        <v>3.141194600176604</v>
      </c>
      <c r="W98" s="77">
        <f>AVERAGE('3.1. Gas prod VF'!AP459,'3.1. Gas prod VF'!AP460,'3.1. Gas prod VF'!AP461,'3.1. Gas prod VF'!AP641,'3.1. Gas prod VF'!AP776,'3.1. Gas prod VF'!AP777)</f>
        <v>14.06666666666667</v>
      </c>
      <c r="X98" s="77">
        <f>AVERAGE('3.1. Gas prod VF'!AQ459,'3.1. Gas prod VF'!AQ460,'3.1. Gas prod VF'!AQ461,'3.1. Gas prod VF'!AQ641,'3.1. Gas prod VF'!AQ776,'3.1. Gas prod VF'!AQ777)</f>
        <v>15.363690721318987</v>
      </c>
      <c r="Y98" s="77">
        <f>AVERAGE('3.1. Gas prod VF'!AR459,'3.1. Gas prod VF'!AR460,'3.1. Gas prod VF'!AR461,'3.1. Gas prod VF'!AR641,'3.1. Gas prod VF'!AR776,'3.1. Gas prod VF'!AR777)</f>
        <v>23.018138647425165</v>
      </c>
      <c r="Z98" s="77">
        <f>AVERAGE('3.1. Gas prod VF'!AS459,'3.1. Gas prod VF'!AS460,'3.1. Gas prod VF'!AS461,'3.1. Gas prod VF'!AS641,'3.1. Gas prod VF'!AS776,'3.1. Gas prod VF'!AS777)</f>
        <v>49.56075483914816</v>
      </c>
      <c r="AA98" s="77">
        <f>AVERAGE('3.1. Gas prod VF'!AT459,'3.1. Gas prod VF'!AT460,'3.1. Gas prod VF'!AT461,'3.1. Gas prod VF'!AT641,'3.1. Gas prod VF'!AT776,'3.1. Gas prod VF'!AT777)</f>
        <v>2.1250688192771325</v>
      </c>
      <c r="AB98" s="77">
        <f>AVERAGE('3.1. Gas prod VF'!AU459,'3.1. Gas prod VF'!AU460,'3.1. Gas prod VF'!AU461,'3.1. Gas prod VF'!AU641,'3.1. Gas prod VF'!AU776,'3.1. Gas prod VF'!AU777)</f>
        <v>12.775465187013829</v>
      </c>
      <c r="AC98" s="77">
        <f>AVERAGE('3.1. Gas prod VF'!AV459,'3.1. Gas prod VF'!AV460,'3.1. Gas prod VF'!AV461,'3.1. Gas prod VF'!AV641,'3.1. Gas prod VF'!AV776,'3.1. Gas prod VF'!AV777)</f>
        <v>27.507076388233102</v>
      </c>
      <c r="AD98" s="20"/>
    </row>
    <row r="99" spans="2:30" x14ac:dyDescent="0.35">
      <c r="B99" s="62">
        <f>'1. Information samples'!B99</f>
        <v>89</v>
      </c>
      <c r="C99" s="62">
        <f>'1. Information samples'!C99</f>
        <v>46048</v>
      </c>
      <c r="D99" s="62" t="str">
        <f>'1. Information samples'!D99</f>
        <v>Genbank</v>
      </c>
      <c r="E99" s="62">
        <f>'1. Information samples'!E99</f>
        <v>28</v>
      </c>
      <c r="F99" s="62" t="str">
        <f>'1. Information samples'!F99</f>
        <v>F252600</v>
      </c>
      <c r="G99" s="62" t="str">
        <f>'1. Information samples'!G99</f>
        <v>CIAT13593</v>
      </c>
      <c r="H99" s="62" t="str">
        <f>'1. Information samples'!H99</f>
        <v>Desmodium</v>
      </c>
      <c r="I99" s="62" t="str">
        <f>'1. Information samples'!I99</f>
        <v>scorpiurus</v>
      </c>
      <c r="J99" s="62" t="str">
        <f>'1. Information samples'!J99</f>
        <v>Desmodium scorpiurus</v>
      </c>
      <c r="K99" s="62" t="str">
        <f>'1. Information samples'!K99</f>
        <v>Fabaceae</v>
      </c>
      <c r="L99" s="62" t="str">
        <f>'1. Information samples'!L99</f>
        <v>Fabales</v>
      </c>
      <c r="M99" s="62" t="str">
        <f>'1. Information samples'!M99</f>
        <v>Herbaceous</v>
      </c>
      <c r="N99" s="77">
        <f>AVERAGE('3.1. Gas prod VF'!AG462,'3.1. Gas prod VF'!AG464,'3.1. Gas prod VF'!AG463,'3.1. Gas prod VF'!AG644,'3.1. Gas prod VF'!AG778,'3.1. Gas prod VF'!AG779)</f>
        <v>32.564573011524644</v>
      </c>
      <c r="O99" s="77">
        <f>AVERAGE('3.1. Gas prod VF'!AH462,'3.1. Gas prod VF'!AH464,'3.1. Gas prod VF'!AH463,'3.1. Gas prod VF'!AH644,'3.1. Gas prod VF'!AH778,'3.1. Gas prod VF'!AH779)</f>
        <v>32.898108954279223</v>
      </c>
      <c r="P99" s="77">
        <f>AVERAGE('3.1. Gas prod VF'!AI462,'3.1. Gas prod VF'!AI464,'3.1. Gas prod VF'!AI463,'3.1. Gas prod VF'!AI644,'3.1. Gas prod VF'!AI778,'3.1. Gas prod VF'!AI779)</f>
        <v>65.462681965803867</v>
      </c>
      <c r="Q99" s="77">
        <f>AVERAGE('3.1. Gas prod VF'!AJ462,'3.1. Gas prod VF'!AJ464,'3.1. Gas prod VF'!AJ463,'3.1. Gas prod VF'!AJ644,'3.1. Gas prod VF'!AJ778,'3.1. Gas prod VF'!AJ779)</f>
        <v>4.7859678517825417</v>
      </c>
      <c r="R99" s="77">
        <f>AVERAGE('3.1. Gas prod VF'!AK462,'3.1. Gas prod VF'!AK464,'3.1. Gas prod VF'!AK463,'3.1. Gas prod VF'!AK644,'3.1. Gas prod VF'!AK778,'3.1. Gas prod VF'!AK779)</f>
        <v>5.6806501416014834</v>
      </c>
      <c r="S99" s="77">
        <f>AVERAGE('3.1. Gas prod VF'!AL462,'3.1. Gas prod VF'!AL464,'3.1. Gas prod VF'!AL463,'3.1. Gas prod VF'!AL644,'3.1. Gas prod VF'!AL778,'3.1. Gas prod VF'!AL779)</f>
        <v>10.466617993384023</v>
      </c>
      <c r="T99" s="77">
        <f>AVERAGE('3.1. Gas prod VF'!AM462,'3.1. Gas prod VF'!AM464,'3.1. Gas prod VF'!AM463,'3.1. Gas prod VF'!AM644,'3.1. Gas prod VF'!AM778,'3.1. Gas prod VF'!AM779)</f>
        <v>144.28436147809589</v>
      </c>
      <c r="U99" s="77">
        <f>AVERAGE('3.1. Gas prod VF'!AN462,'3.1. Gas prod VF'!AN464,'3.1. Gas prod VF'!AN463,'3.1. Gas prod VF'!AN644,'3.1. Gas prod VF'!AN778,'3.1. Gas prod VF'!AN779)</f>
        <v>34.392193261340324</v>
      </c>
      <c r="V99" s="77">
        <f>AVERAGE('3.1. Gas prod VF'!AO462,'3.1. Gas prod VF'!AO464,'3.1. Gas prod VF'!AO463,'3.1. Gas prod VF'!AO644,'3.1. Gas prod VF'!AO778,'3.1. Gas prod VF'!AO779)</f>
        <v>2.3998951739990528</v>
      </c>
      <c r="W99" s="77">
        <f>AVERAGE('3.1. Gas prod VF'!AP462,'3.1. Gas prod VF'!AP464,'3.1. Gas prod VF'!AP463,'3.1. Gas prod VF'!AP644,'3.1. Gas prod VF'!AP778,'3.1. Gas prod VF'!AP779)</f>
        <v>14.683333333333335</v>
      </c>
      <c r="X99" s="77">
        <f>AVERAGE('3.1. Gas prod VF'!AQ462,'3.1. Gas prod VF'!AQ464,'3.1. Gas prod VF'!AQ463,'3.1. Gas prod VF'!AQ644,'3.1. Gas prod VF'!AQ778,'3.1. Gas prod VF'!AQ779)</f>
        <v>15.987002866482912</v>
      </c>
      <c r="Y99" s="77">
        <f>AVERAGE('3.1. Gas prod VF'!AR462,'3.1. Gas prod VF'!AR464,'3.1. Gas prod VF'!AR463,'3.1. Gas prod VF'!AR644,'3.1. Gas prod VF'!AR778,'3.1. Gas prod VF'!AR779)</f>
        <v>23.069287696991598</v>
      </c>
      <c r="Z99" s="77">
        <f>AVERAGE('3.1. Gas prod VF'!AS462,'3.1. Gas prod VF'!AS464,'3.1. Gas prod VF'!AS463,'3.1. Gas prod VF'!AS644,'3.1. Gas prod VF'!AS778,'3.1. Gas prod VF'!AS779)</f>
        <v>76.030659242983702</v>
      </c>
      <c r="AA99" s="77">
        <f>AVERAGE('3.1. Gas prod VF'!AT462,'3.1. Gas prod VF'!AT464,'3.1. Gas prod VF'!AT463,'3.1. Gas prod VF'!AT644,'3.1. Gas prod VF'!AT778,'3.1. Gas prod VF'!AT779)</f>
        <v>-2.5529485754926529</v>
      </c>
      <c r="AB99" s="77">
        <f>AVERAGE('3.1. Gas prod VF'!AU462,'3.1. Gas prod VF'!AU464,'3.1. Gas prod VF'!AU463,'3.1. Gas prod VF'!AU644,'3.1. Gas prod VF'!AU778,'3.1. Gas prod VF'!AU779)</f>
        <v>12.803853794454852</v>
      </c>
      <c r="AC99" s="77">
        <f>AVERAGE('3.1. Gas prod VF'!AV462,'3.1. Gas prod VF'!AV464,'3.1. Gas prod VF'!AV463,'3.1. Gas prod VF'!AV644,'3.1. Gas prod VF'!AV778,'3.1. Gas prod VF'!AV779)</f>
        <v>42.198331289185418</v>
      </c>
      <c r="AD99" s="20"/>
    </row>
    <row r="100" spans="2:30" x14ac:dyDescent="0.35">
      <c r="B100" s="62">
        <f>'1. Information samples'!B100</f>
        <v>90</v>
      </c>
      <c r="C100" s="62">
        <f>'1. Information samples'!C100</f>
        <v>46048</v>
      </c>
      <c r="D100" s="62" t="str">
        <f>'1. Information samples'!D100</f>
        <v>Genbank</v>
      </c>
      <c r="E100" s="62">
        <f>'1. Information samples'!E100</f>
        <v>28</v>
      </c>
      <c r="F100" s="62" t="str">
        <f>'1. Information samples'!F100</f>
        <v>F252601</v>
      </c>
      <c r="G100" s="62" t="str">
        <f>'1. Information samples'!G100</f>
        <v>CIAT13608</v>
      </c>
      <c r="H100" s="62" t="str">
        <f>'1. Information samples'!H100</f>
        <v>Desmodium</v>
      </c>
      <c r="I100" s="62" t="str">
        <f>'1. Information samples'!I100</f>
        <v>incanum</v>
      </c>
      <c r="J100" s="62" t="str">
        <f>'1. Information samples'!J100</f>
        <v>Desmodium incanum</v>
      </c>
      <c r="K100" s="62" t="str">
        <f>'1. Information samples'!K100</f>
        <v>Fabaceae</v>
      </c>
      <c r="L100" s="62" t="str">
        <f>'1. Information samples'!L100</f>
        <v>Fabales</v>
      </c>
      <c r="M100" s="62" t="str">
        <f>'1. Information samples'!M100</f>
        <v>Herbaceous</v>
      </c>
      <c r="N100" s="77">
        <f>AVERAGE('3.1. Gas prod VF'!AG465,'3.1. Gas prod VF'!AG466,'3.1. Gas prod VF'!AG467,'3.1. Gas prod VF'!AG646,'3.1. Gas prod VF'!AG780,'3.1. Gas prod VF'!AG781)</f>
        <v>28.231239678191312</v>
      </c>
      <c r="O100" s="77">
        <f>AVERAGE('3.1. Gas prod VF'!AH465,'3.1. Gas prod VF'!AH466,'3.1. Gas prod VF'!AH467,'3.1. Gas prod VF'!AH646,'3.1. Gas prod VF'!AH780,'3.1. Gas prod VF'!AH781)</f>
        <v>32.898108954279223</v>
      </c>
      <c r="P100" s="77">
        <f>AVERAGE('3.1. Gas prod VF'!AI465,'3.1. Gas prod VF'!AI466,'3.1. Gas prod VF'!AI467,'3.1. Gas prod VF'!AI646,'3.1. Gas prod VF'!AI780,'3.1. Gas prod VF'!AI781)</f>
        <v>61.129348632470531</v>
      </c>
      <c r="Q100" s="77">
        <f>AVERAGE('3.1. Gas prod VF'!AJ465,'3.1. Gas prod VF'!AJ466,'3.1. Gas prod VF'!AJ467,'3.1. Gas prod VF'!AJ646,'3.1. Gas prod VF'!AJ780,'3.1. Gas prod VF'!AJ781)</f>
        <v>3.6903730221862197</v>
      </c>
      <c r="R100" s="77">
        <f>AVERAGE('3.1. Gas prod VF'!AK465,'3.1. Gas prod VF'!AK466,'3.1. Gas prod VF'!AK467,'3.1. Gas prod VF'!AK646,'3.1. Gas prod VF'!AK780,'3.1. Gas prod VF'!AK781)</f>
        <v>5.4018753855348223</v>
      </c>
      <c r="S100" s="77">
        <f>AVERAGE('3.1. Gas prod VF'!AL465,'3.1. Gas prod VF'!AL466,'3.1. Gas prod VF'!AL467,'3.1. Gas prod VF'!AL646,'3.1. Gas prod VF'!AL780,'3.1. Gas prod VF'!AL781)</f>
        <v>9.0922484077210406</v>
      </c>
      <c r="T100" s="77">
        <f>AVERAGE('3.1. Gas prod VF'!AM465,'3.1. Gas prod VF'!AM466,'3.1. Gas prod VF'!AM467,'3.1. Gas prod VF'!AM646,'3.1. Gas prod VF'!AM780,'3.1. Gas prod VF'!AM781)</f>
        <v>131.95515345399232</v>
      </c>
      <c r="U100" s="77">
        <f>AVERAGE('3.1. Gas prod VF'!AN465,'3.1. Gas prod VF'!AN466,'3.1. Gas prod VF'!AN467,'3.1. Gas prod VF'!AN646,'3.1. Gas prod VF'!AN780,'3.1. Gas prod VF'!AN781)</f>
        <v>31.243393455201922</v>
      </c>
      <c r="V100" s="77">
        <f>AVERAGE('3.1. Gas prod VF'!AO465,'3.1. Gas prod VF'!AO466,'3.1. Gas prod VF'!AO467,'3.1. Gas prod VF'!AO646,'3.1. Gas prod VF'!AO780,'3.1. Gas prod VF'!AO781)</f>
        <v>2.3857998751233396</v>
      </c>
      <c r="W100" s="77">
        <f>AVERAGE('3.1. Gas prod VF'!AP465,'3.1. Gas prod VF'!AP466,'3.1. Gas prod VF'!AP467,'3.1. Gas prod VF'!AP646,'3.1. Gas prod VF'!AP780,'3.1. Gas prod VF'!AP781)</f>
        <v>13.083333333333334</v>
      </c>
      <c r="X100" s="77">
        <f>AVERAGE('3.1. Gas prod VF'!AQ465,'3.1. Gas prod VF'!AQ466,'3.1. Gas prod VF'!AQ467,'3.1. Gas prod VF'!AQ646,'3.1. Gas prod VF'!AQ780,'3.1. Gas prod VF'!AQ781)</f>
        <v>14.87568372627374</v>
      </c>
      <c r="Y100" s="77">
        <f>AVERAGE('3.1. Gas prod VF'!AR465,'3.1. Gas prod VF'!AR466,'3.1. Gas prod VF'!AR467,'3.1. Gas prod VF'!AR646,'3.1. Gas prod VF'!AR780,'3.1. Gas prod VF'!AR781)</f>
        <v>19.626744817128618</v>
      </c>
      <c r="Z100" s="77">
        <f>AVERAGE('3.1. Gas prod VF'!AS465,'3.1. Gas prod VF'!AS466,'3.1. Gas prod VF'!AS467,'3.1. Gas prod VF'!AS646,'3.1. Gas prod VF'!AS780,'3.1. Gas prod VF'!AS781)</f>
        <v>64.768676343948727</v>
      </c>
      <c r="AA100" s="77">
        <f>AVERAGE('3.1. Gas prod VF'!AT465,'3.1. Gas prod VF'!AT466,'3.1. Gas prod VF'!AT467,'3.1. Gas prod VF'!AT646,'3.1. Gas prod VF'!AT780,'3.1. Gas prod VF'!AT781)</f>
        <v>-1.1011469471038866</v>
      </c>
      <c r="AB100" s="77">
        <f>AVERAGE('3.1. Gas prod VF'!AU465,'3.1. Gas prod VF'!AU466,'3.1. Gas prod VF'!AU467,'3.1. Gas prod VF'!AU646,'3.1. Gas prod VF'!AU780,'3.1. Gas prod VF'!AU781)</f>
        <v>10.893182936565502</v>
      </c>
      <c r="AC100" s="77">
        <f>AVERAGE('3.1. Gas prod VF'!AV465,'3.1. Gas prod VF'!AV466,'3.1. Gas prod VF'!AV467,'3.1. Gas prod VF'!AV646,'3.1. Gas prod VF'!AV780,'3.1. Gas prod VF'!AV781)</f>
        <v>35.947735936226216</v>
      </c>
      <c r="AD100" s="20"/>
    </row>
    <row r="101" spans="2:30" x14ac:dyDescent="0.35">
      <c r="B101" s="62">
        <f>'1. Information samples'!B101</f>
        <v>91</v>
      </c>
      <c r="C101" s="62">
        <f>'1. Information samples'!C101</f>
        <v>46048</v>
      </c>
      <c r="D101" s="62" t="str">
        <f>'1. Information samples'!D101</f>
        <v>Genbank</v>
      </c>
      <c r="E101" s="62">
        <f>'1. Information samples'!E101</f>
        <v>28</v>
      </c>
      <c r="F101" s="62" t="str">
        <f>'1. Information samples'!F101</f>
        <v>F252602</v>
      </c>
      <c r="G101" s="62" t="str">
        <f>'1. Information samples'!G101</f>
        <v>CIAT18277</v>
      </c>
      <c r="H101" s="62" t="str">
        <f>'1. Information samples'!H101</f>
        <v>Indigofera</v>
      </c>
      <c r="I101" s="62" t="str">
        <f>'1. Information samples'!I101</f>
        <v>jamaicensis</v>
      </c>
      <c r="J101" s="62" t="str">
        <f>'1. Information samples'!J101</f>
        <v>Indigofera jamaicensis</v>
      </c>
      <c r="K101" s="62" t="str">
        <f>'1. Information samples'!K101</f>
        <v>Fabaceae</v>
      </c>
      <c r="L101" s="62" t="str">
        <f>'1. Information samples'!L101</f>
        <v>Fabales</v>
      </c>
      <c r="M101" s="62" t="str">
        <f>'1. Information samples'!M101</f>
        <v>Herbaceous</v>
      </c>
      <c r="N101" s="77">
        <f>AVERAGE('3.1. Gas prod VF'!AG468,'3.1. Gas prod VF'!AG469,'3.1. Gas prod VF'!AG470,'3.1. Gas prod VF'!AG650,'3.1. Gas prod VF'!AG782,'3.1. Gas prod VF'!AG783)</f>
        <v>22.981239678191312</v>
      </c>
      <c r="O101" s="77">
        <f>AVERAGE('3.1. Gas prod VF'!AH468,'3.1. Gas prod VF'!AH469,'3.1. Gas prod VF'!AH470,'3.1. Gas prod VF'!AH650,'3.1. Gas prod VF'!AH782,'3.1. Gas prod VF'!AH783)</f>
        <v>37.898108954279223</v>
      </c>
      <c r="P101" s="77">
        <f>AVERAGE('3.1. Gas prod VF'!AI468,'3.1. Gas prod VF'!AI469,'3.1. Gas prod VF'!AI470,'3.1. Gas prod VF'!AI650,'3.1. Gas prod VF'!AI782,'3.1. Gas prod VF'!AI783)</f>
        <v>60.879348632470531</v>
      </c>
      <c r="Q101" s="77">
        <f>AVERAGE('3.1. Gas prod VF'!AJ468,'3.1. Gas prod VF'!AJ469,'3.1. Gas prod VF'!AJ470,'3.1. Gas prod VF'!AJ650,'3.1. Gas prod VF'!AJ782,'3.1. Gas prod VF'!AJ783)</f>
        <v>2.8502897639205855</v>
      </c>
      <c r="R101" s="77">
        <f>AVERAGE('3.1. Gas prod VF'!AK468,'3.1. Gas prod VF'!AK469,'3.1. Gas prod VF'!AK470,'3.1. Gas prod VF'!AK650,'3.1. Gas prod VF'!AK782,'3.1. Gas prod VF'!AK783)</f>
        <v>5.9416970649996825</v>
      </c>
      <c r="S101" s="77">
        <f>AVERAGE('3.1. Gas prod VF'!AL468,'3.1. Gas prod VF'!AL469,'3.1. Gas prod VF'!AL470,'3.1. Gas prod VF'!AL650,'3.1. Gas prod VF'!AL782,'3.1. Gas prod VF'!AL783)</f>
        <v>8.7919868289202672</v>
      </c>
      <c r="T101" s="77">
        <f>AVERAGE('3.1. Gas prod VF'!AM468,'3.1. Gas prod VF'!AM469,'3.1. Gas prod VF'!AM470,'3.1. Gas prod VF'!AM650,'3.1. Gas prod VF'!AM782,'3.1. Gas prod VF'!AM783)</f>
        <v>135.47969060932607</v>
      </c>
      <c r="U101" s="77">
        <f>AVERAGE('3.1. Gas prod VF'!AN468,'3.1. Gas prod VF'!AN469,'3.1. Gas prod VF'!AN470,'3.1. Gas prod VF'!AN650,'3.1. Gas prod VF'!AN782,'3.1. Gas prod VF'!AN783)</f>
        <v>39.459256586488557</v>
      </c>
      <c r="V101" s="77">
        <f>AVERAGE('3.1. Gas prod VF'!AO468,'3.1. Gas prod VF'!AO469,'3.1. Gas prod VF'!AO470,'3.1. Gas prod VF'!AO650,'3.1. Gas prod VF'!AO782,'3.1. Gas prod VF'!AO783)</f>
        <v>2.9338703772390797</v>
      </c>
      <c r="W101" s="77">
        <f>AVERAGE('3.1. Gas prod VF'!AP468,'3.1. Gas prod VF'!AP469,'3.1. Gas prod VF'!AP470,'3.1. Gas prod VF'!AP650,'3.1. Gas prod VF'!AP782,'3.1. Gas prod VF'!AP783)</f>
        <v>12.41666666666667</v>
      </c>
      <c r="X101" s="77">
        <f>AVERAGE('3.1. Gas prod VF'!AQ468,'3.1. Gas prod VF'!AQ469,'3.1. Gas prod VF'!AQ470,'3.1. Gas prod VF'!AQ650,'3.1. Gas prod VF'!AQ782,'3.1. Gas prod VF'!AQ783)</f>
        <v>14.442917610131355</v>
      </c>
      <c r="Y101" s="77">
        <f>AVERAGE('3.1. Gas prod VF'!AR468,'3.1. Gas prod VF'!AR469,'3.1. Gas prod VF'!AR470,'3.1. Gas prod VF'!AR650,'3.1. Gas prod VF'!AR782,'3.1. Gas prod VF'!AR783)</f>
        <v>19.565543073157613</v>
      </c>
      <c r="Z101" s="77">
        <f>AVERAGE('3.1. Gas prod VF'!AS468,'3.1. Gas prod VF'!AS469,'3.1. Gas prod VF'!AS470,'3.1. Gas prod VF'!AS650,'3.1. Gas prod VF'!AS782,'3.1. Gas prod VF'!AS783)</f>
        <v>51.21641187457687</v>
      </c>
      <c r="AA101" s="77">
        <f>AVERAGE('3.1. Gas prod VF'!AT468,'3.1. Gas prod VF'!AT469,'3.1. Gas prod VF'!AT470,'3.1. Gas prod VF'!AT650,'3.1. Gas prod VF'!AT782,'3.1. Gas prod VF'!AT783)</f>
        <v>-0.69480304814085414</v>
      </c>
      <c r="AB101" s="77">
        <f>AVERAGE('3.1. Gas prod VF'!AU468,'3.1. Gas prod VF'!AU469,'3.1. Gas prod VF'!AU470,'3.1. Gas prod VF'!AU650,'3.1. Gas prod VF'!AU782,'3.1. Gas prod VF'!AU783)</f>
        <v>10.859214909807889</v>
      </c>
      <c r="AC101" s="77">
        <f>AVERAGE('3.1. Gas prod VF'!AV468,'3.1. Gas prod VF'!AV469,'3.1. Gas prod VF'!AV470,'3.1. Gas prod VF'!AV650,'3.1. Gas prod VF'!AV782,'3.1. Gas prod VF'!AV783)</f>
        <v>28.42599468748142</v>
      </c>
      <c r="AD101" s="20"/>
    </row>
    <row r="102" spans="2:30" x14ac:dyDescent="0.35">
      <c r="B102" s="62">
        <f>'1. Information samples'!B102</f>
        <v>92</v>
      </c>
      <c r="C102" s="62">
        <f>'1. Information samples'!C102</f>
        <v>46048</v>
      </c>
      <c r="D102" s="62" t="str">
        <f>'1. Information samples'!D102</f>
        <v>Genbank</v>
      </c>
      <c r="E102" s="62">
        <f>'1. Information samples'!E102</f>
        <v>28</v>
      </c>
      <c r="F102" s="62" t="str">
        <f>'1. Information samples'!F102</f>
        <v>F252603</v>
      </c>
      <c r="G102" s="62" t="str">
        <f>'1. Information samples'!G102</f>
        <v>CIAT18952</v>
      </c>
      <c r="H102" s="62" t="str">
        <f>'1. Information samples'!H102</f>
        <v>Indigofera</v>
      </c>
      <c r="I102" s="62" t="str">
        <f>'1. Information samples'!I102</f>
        <v>atriceps</v>
      </c>
      <c r="J102" s="62" t="str">
        <f>'1. Information samples'!J102</f>
        <v>Indigofera atriceps</v>
      </c>
      <c r="K102" s="62" t="str">
        <f>'1. Information samples'!K102</f>
        <v>Fabaceae</v>
      </c>
      <c r="L102" s="62" t="str">
        <f>'1. Information samples'!L102</f>
        <v>Fabales</v>
      </c>
      <c r="M102" s="62" t="str">
        <f>'1. Information samples'!M102</f>
        <v>Herbaceous</v>
      </c>
      <c r="N102" s="77">
        <f>AVERAGE(('3.1. Gas prod VF'!AG471,'3.1. Gas prod VF'!AG472,'3.1. Gas prod VF'!AG473,'3.1. Gas prod VF'!AG653,'3.1. Gas prod VF'!AG784,'3.1. Gas prod VF'!AG785))</f>
        <v>22.981239678191312</v>
      </c>
      <c r="O102" s="77">
        <f>AVERAGE(('3.1. Gas prod VF'!AH471,'3.1. Gas prod VF'!AH472,'3.1. Gas prod VF'!AH473,'3.1. Gas prod VF'!AH653,'3.1. Gas prod VF'!AH784,'3.1. Gas prod VF'!AH785))</f>
        <v>26.314775620945881</v>
      </c>
      <c r="P102" s="77">
        <f>AVERAGE(('3.1. Gas prod VF'!AI471,'3.1. Gas prod VF'!AI472,'3.1. Gas prod VF'!AI473,'3.1. Gas prod VF'!AI653,'3.1. Gas prod VF'!AI784,'3.1. Gas prod VF'!AI785))</f>
        <v>49.296015299137196</v>
      </c>
      <c r="Q102" s="77">
        <f>AVERAGE(('3.1. Gas prod VF'!AJ471,'3.1. Gas prod VF'!AJ472,'3.1. Gas prod VF'!AJ473,'3.1. Gas prod VF'!AJ653,'3.1. Gas prod VF'!AJ784,'3.1. Gas prod VF'!AJ785))</f>
        <v>2.8998988964314485</v>
      </c>
      <c r="R102" s="77">
        <f>AVERAGE(('3.1. Gas prod VF'!AK471,'3.1. Gas prod VF'!AK472,'3.1. Gas prod VF'!AK473,'3.1. Gas prod VF'!AK653,'3.1. Gas prod VF'!AK784,'3.1. Gas prod VF'!AK785))</f>
        <v>3.901506370166254</v>
      </c>
      <c r="S102" s="77">
        <f>AVERAGE(('3.1. Gas prod VF'!AL471,'3.1. Gas prod VF'!AL472,'3.1. Gas prod VF'!AL473,'3.1. Gas prod VF'!AL653,'3.1. Gas prod VF'!AL784,'3.1. Gas prod VF'!AL785))</f>
        <v>6.8014052665977021</v>
      </c>
      <c r="T102" s="77">
        <f>AVERAGE(('3.1. Gas prod VF'!AM471,'3.1. Gas prod VF'!AM472,'3.1. Gas prod VF'!AM473,'3.1. Gas prod VF'!AM653,'3.1. Gas prod VF'!AM784,'3.1. Gas prod VF'!AM785))</f>
        <v>109.07255851070092</v>
      </c>
      <c r="U102" s="77">
        <f>AVERAGE(('3.1. Gas prod VF'!AN471,'3.1. Gas prod VF'!AN472,'3.1. Gas prod VF'!AN473,'3.1. Gas prod VF'!AN653,'3.1. Gas prod VF'!AN784,'3.1. Gas prod VF'!AN785))</f>
        <v>32.471016054528185</v>
      </c>
      <c r="V102" s="77">
        <f>AVERAGE(('3.1. Gas prod VF'!AO471,'3.1. Gas prod VF'!AO472,'3.1. Gas prod VF'!AO473,'3.1. Gas prod VF'!AO653,'3.1. Gas prod VF'!AO784,'3.1. Gas prod VF'!AO785))</f>
        <v>3.0149518009892731</v>
      </c>
      <c r="W102" s="77">
        <f>AVERAGE(('3.1. Gas prod VF'!AP471,'3.1. Gas prod VF'!AP472,'3.1. Gas prod VF'!AP473,'3.1. Gas prod VF'!AP653,'3.1. Gas prod VF'!AP784,'3.1. Gas prod VF'!AP785))</f>
        <v>12.616666666666667</v>
      </c>
      <c r="X102" s="77">
        <f>AVERAGE(('3.1. Gas prod VF'!AQ471,'3.1. Gas prod VF'!AQ472,'3.1. Gas prod VF'!AQ473,'3.1. Gas prod VF'!AQ653,'3.1. Gas prod VF'!AQ784,'3.1. Gas prod VF'!AQ785))</f>
        <v>13.795292329775458</v>
      </c>
      <c r="Y102" s="77">
        <f>AVERAGE(('3.1. Gas prod VF'!AR471,'3.1. Gas prod VF'!AR472,'3.1. Gas prod VF'!AR473,'3.1. Gas prod VF'!AR653,'3.1. Gas prod VF'!AR784,'3.1. Gas prod VF'!AR785))</f>
        <v>15.048877124330597</v>
      </c>
      <c r="Z102" s="77">
        <f>AVERAGE(('3.1. Gas prod VF'!AS471,'3.1. Gas prod VF'!AS472,'3.1. Gas prod VF'!AS473,'3.1. Gas prod VF'!AS653,'3.1. Gas prod VF'!AS784,'3.1. Gas prod VF'!AS785))</f>
        <v>51.457450451261053</v>
      </c>
      <c r="AA102" s="77">
        <f>AVERAGE(('3.1. Gas prod VF'!AT471,'3.1. Gas prod VF'!AT472,'3.1. Gas prod VF'!AT473,'3.1. Gas prod VF'!AT653,'3.1. Gas prod VF'!AT784,'3.1. Gas prod VF'!AT785))</f>
        <v>-0.20035912584750337</v>
      </c>
      <c r="AB102" s="77">
        <f>AVERAGE(('3.1. Gas prod VF'!AU471,'3.1. Gas prod VF'!AU472,'3.1. Gas prod VF'!AU473,'3.1. Gas prod VF'!AU653,'3.1. Gas prod VF'!AU784,'3.1. Gas prod VF'!AU785))</f>
        <v>8.3523871651994028</v>
      </c>
      <c r="AC102" s="77">
        <f>AVERAGE(('3.1. Gas prod VF'!AV471,'3.1. Gas prod VF'!AV472,'3.1. Gas prod VF'!AV473,'3.1. Gas prod VF'!AV653,'3.1. Gas prod VF'!AV784,'3.1. Gas prod VF'!AV785))</f>
        <v>28.559775267758734</v>
      </c>
      <c r="AD102" s="20"/>
    </row>
    <row r="103" spans="2:30" x14ac:dyDescent="0.35">
      <c r="B103" s="62">
        <f>'1. Information samples'!B103</f>
        <v>93</v>
      </c>
      <c r="C103" s="62">
        <f>'1. Information samples'!C103</f>
        <v>46048</v>
      </c>
      <c r="D103" s="62" t="str">
        <f>'1. Information samples'!D103</f>
        <v>Jacobo Arango/ Alejandro Montoya</v>
      </c>
      <c r="E103" s="62">
        <f>'1. Information samples'!E103</f>
        <v>28</v>
      </c>
      <c r="F103" s="62" t="str">
        <f>'1. Information samples'!F103</f>
        <v>F250008</v>
      </c>
      <c r="G103" s="62" t="str">
        <f>'1. Information samples'!G103</f>
        <v>Sample 8</v>
      </c>
      <c r="H103" s="62" t="str">
        <f>'1. Information samples'!H103</f>
        <v>Cynodon</v>
      </c>
      <c r="I103" s="62" t="str">
        <f>'1. Information samples'!I103</f>
        <v xml:space="preserve"> nlemfuensis </v>
      </c>
      <c r="J103" s="62" t="str">
        <f>'1. Information samples'!J103</f>
        <v xml:space="preserve">Cynodon nlemfuensis </v>
      </c>
      <c r="K103" s="62" t="str">
        <f>'1. Information samples'!K103</f>
        <v>Poaceae</v>
      </c>
      <c r="L103" s="62" t="str">
        <f>'1. Information samples'!L103</f>
        <v>Poales</v>
      </c>
      <c r="M103" s="62" t="str">
        <f>'1. Information samples'!M103</f>
        <v>grasses</v>
      </c>
      <c r="N103" s="77">
        <f>AVERAGE('3.1. Gas prod VF'!AG657,'3.1. Gas prod VF'!AG655,'3.1. Gas prod VF'!AG656,'3.1. Gas prod VF'!AG657)</f>
        <v>24.107474101643646</v>
      </c>
      <c r="O103" s="77">
        <f>AVERAGE('3.1. Gas prod VF'!AH657,'3.1. Gas prod VF'!AH655,'3.1. Gas prod VF'!AH656,'3.1. Gas prod VF'!AH657)</f>
        <v>44.060592064046816</v>
      </c>
      <c r="P103" s="77">
        <f>AVERAGE('3.1. Gas prod VF'!AI657,'3.1. Gas prod VF'!AI655,'3.1. Gas prod VF'!AI656,'3.1. Gas prod VF'!AI657)</f>
        <v>68.168066165690462</v>
      </c>
      <c r="Q103" s="77">
        <f>AVERAGE('3.1. Gas prod VF'!AJ657,'3.1. Gas prod VF'!AJ655,'3.1. Gas prod VF'!AJ656,'3.1. Gas prod VF'!AJ657)</f>
        <v>3.8215883821613401</v>
      </c>
      <c r="R103" s="77">
        <f>AVERAGE('3.1. Gas prod VF'!AK657,'3.1. Gas prod VF'!AK655,'3.1. Gas prod VF'!AK656,'3.1. Gas prod VF'!AK657)</f>
        <v>7.3131832826317718</v>
      </c>
      <c r="S103" s="77">
        <f>AVERAGE('3.1. Gas prod VF'!AL657,'3.1. Gas prod VF'!AL655,'3.1. Gas prod VF'!AL656,'3.1. Gas prod VF'!AL657)</f>
        <v>11.13477166479311</v>
      </c>
      <c r="T103" s="77">
        <f>AVERAGE('3.1. Gas prod VF'!AM657,'3.1. Gas prod VF'!AM655,'3.1. Gas prod VF'!AM656,'3.1. Gas prod VF'!AM657)</f>
        <v>145.6987721373975</v>
      </c>
      <c r="U103" s="77">
        <f>AVERAGE('3.1. Gas prod VF'!AN657,'3.1. Gas prod VF'!AN655,'3.1. Gas prod VF'!AN656,'3.1. Gas prod VF'!AN657)</f>
        <v>29.311468059005062</v>
      </c>
      <c r="V103" s="77">
        <f>AVERAGE('3.1. Gas prod VF'!AO657,'3.1. Gas prod VF'!AO655,'3.1. Gas prod VF'!AO656,'3.1. Gas prod VF'!AO657)</f>
        <v>2.0079910843265796</v>
      </c>
      <c r="W103" s="77">
        <f>AVERAGE('3.1. Gas prod VF'!AP657,'3.1. Gas prod VF'!AP655,'3.1. Gas prod VF'!AP656,'3.1. Gas prod VF'!AP657)</f>
        <v>15.9</v>
      </c>
      <c r="X103" s="77">
        <f>AVERAGE('3.1. Gas prod VF'!AQ657,'3.1. Gas prod VF'!AQ655,'3.1. Gas prod VF'!AQ656,'3.1. Gas prod VF'!AQ657)</f>
        <v>16.339758621672271</v>
      </c>
      <c r="Y103" s="77">
        <f>AVERAGE('3.1. Gas prod VF'!AR657,'3.1. Gas prod VF'!AR655,'3.1. Gas prod VF'!AR656,'3.1. Gas prod VF'!AR657)</f>
        <v>23.7989233906181</v>
      </c>
      <c r="Z103" s="77">
        <f>AVERAGE('3.1. Gas prod VF'!AS657,'3.1. Gas prod VF'!AS655,'3.1. Gas prod VF'!AS656,'3.1. Gas prod VF'!AS657)</f>
        <v>85.635703628594996</v>
      </c>
      <c r="AA103" s="77">
        <f>AVERAGE('3.1. Gas prod VF'!AT657,'3.1. Gas prod VF'!AT655,'3.1. Gas prod VF'!AT656,'3.1. Gas prod VF'!AT657)</f>
        <v>-2.875109421884174</v>
      </c>
      <c r="AB103" s="77">
        <f>AVERAGE('3.1. Gas prod VF'!AU657,'3.1. Gas prod VF'!AU655,'3.1. Gas prod VF'!AU656,'3.1. Gas prod VF'!AU657)</f>
        <v>13.208814227872468</v>
      </c>
      <c r="AC103" s="77">
        <f>AVERAGE('3.1. Gas prod VF'!AV657,'3.1. Gas prod VF'!AV655,'3.1. Gas prod VF'!AV656,'3.1. Gas prod VF'!AV657)</f>
        <v>47.529297100438185</v>
      </c>
      <c r="AD103" s="20"/>
    </row>
    <row r="104" spans="2:30" x14ac:dyDescent="0.35">
      <c r="B104" s="62">
        <f>'1. Information samples'!B104</f>
        <v>94</v>
      </c>
      <c r="C104" s="62">
        <f>'1. Information samples'!C104</f>
        <v>46055</v>
      </c>
      <c r="D104" s="62" t="str">
        <f>'1. Information samples'!D104</f>
        <v>Genbank</v>
      </c>
      <c r="E104" s="62">
        <f>'1. Information samples'!E104</f>
        <v>29</v>
      </c>
      <c r="F104" s="62" t="str">
        <f>'1. Information samples'!F104</f>
        <v>F252604</v>
      </c>
      <c r="G104" s="62" t="str">
        <f>'1. Information samples'!G104</f>
        <v>CIAT18953</v>
      </c>
      <c r="H104" s="62" t="str">
        <f>'1. Information samples'!H104</f>
        <v>Indigofera</v>
      </c>
      <c r="I104" s="62" t="str">
        <f>'1. Information samples'!I104</f>
        <v>atriceps</v>
      </c>
      <c r="J104" s="62" t="str">
        <f>'1. Information samples'!J104</f>
        <v>Indigofera atriceps</v>
      </c>
      <c r="K104" s="62" t="str">
        <f>'1. Information samples'!K104</f>
        <v>Fabaceae</v>
      </c>
      <c r="L104" s="62" t="str">
        <f>'1. Information samples'!L104</f>
        <v>Fabales</v>
      </c>
      <c r="M104" s="62" t="str">
        <f>'1. Information samples'!M104</f>
        <v>Herbaceous</v>
      </c>
      <c r="N104" s="77">
        <f>AVERAGE('3.1. Gas prod VF'!AG793,'3.1. Gas prod VF'!AG864,'3.1. Gas prod VF'!AG865,'3.1. Gas prod VF'!AG866,'3.1. Gas prod VF'!AG936,'3.1. Gas prod VF'!AG937)</f>
        <v>33.850397712072528</v>
      </c>
      <c r="O104" s="77">
        <f>AVERAGE('3.1. Gas prod VF'!AH793,'3.1. Gas prod VF'!AH864,'3.1. Gas prod VF'!AH865,'3.1. Gas prod VF'!AH866,'3.1. Gas prod VF'!AH936,'3.1. Gas prod VF'!AH937)</f>
        <v>29.978410616380089</v>
      </c>
      <c r="P104" s="77">
        <f>AVERAGE('3.1. Gas prod VF'!AI793,'3.1. Gas prod VF'!AI864,'3.1. Gas prod VF'!AI865,'3.1. Gas prod VF'!AI866,'3.1. Gas prod VF'!AI936,'3.1. Gas prod VF'!AI937)</f>
        <v>63.828808328452624</v>
      </c>
      <c r="Q104" s="77">
        <f>AVERAGE('3.1. Gas prod VF'!AJ793,'3.1. Gas prod VF'!AJ864,'3.1. Gas prod VF'!AJ865,'3.1. Gas prod VF'!AJ866,'3.1. Gas prod VF'!AJ936,'3.1. Gas prod VF'!AJ937)</f>
        <v>4.7159237871430788</v>
      </c>
      <c r="R104" s="77">
        <f>AVERAGE('3.1. Gas prod VF'!AK793,'3.1. Gas prod VF'!AK864,'3.1. Gas prod VF'!AK865,'3.1. Gas prod VF'!AK866,'3.1. Gas prod VF'!AK936,'3.1. Gas prod VF'!AK937)</f>
        <v>4.1830940554085538</v>
      </c>
      <c r="S104" s="77">
        <f>AVERAGE('3.1. Gas prod VF'!AL793,'3.1. Gas prod VF'!AL864,'3.1. Gas prod VF'!AL865,'3.1. Gas prod VF'!AL866,'3.1. Gas prod VF'!AL936,'3.1. Gas prod VF'!AL937)</f>
        <v>8.8990178425516326</v>
      </c>
      <c r="T104" s="77">
        <f>AVERAGE('3.1. Gas prod VF'!AM793,'3.1. Gas prod VF'!AM864,'3.1. Gas prod VF'!AM865,'3.1. Gas prod VF'!AM866,'3.1. Gas prod VF'!AM936,'3.1. Gas prod VF'!AM937)</f>
        <v>142.50233526835765</v>
      </c>
      <c r="U104" s="77">
        <f>AVERAGE('3.1. Gas prod VF'!AN793,'3.1. Gas prod VF'!AN864,'3.1. Gas prod VF'!AN865,'3.1. Gas prod VF'!AN866,'3.1. Gas prod VF'!AN936,'3.1. Gas prod VF'!AN937)</f>
        <v>39.305672979291145</v>
      </c>
      <c r="V104" s="77">
        <f>AVERAGE('3.1. Gas prod VF'!AO793,'3.1. Gas prod VF'!AO864,'3.1. Gas prod VF'!AO865,'3.1. Gas prod VF'!AO866,'3.1. Gas prod VF'!AO936,'3.1. Gas prod VF'!AO937)</f>
        <v>2.7498039640534144</v>
      </c>
      <c r="W104" s="77">
        <f>AVERAGE('3.1. Gas prod VF'!AP793,'3.1. Gas prod VF'!AP864,'3.1. Gas prod VF'!AP865,'3.1. Gas prod VF'!AP866,'3.1. Gas prod VF'!AP936,'3.1. Gas prod VF'!AP937)</f>
        <v>13.883333333333333</v>
      </c>
      <c r="X104" s="77">
        <f>AVERAGE('3.1. Gas prod VF'!AQ793,'3.1. Gas prod VF'!AQ864,'3.1. Gas prod VF'!AQ865,'3.1. Gas prod VF'!AQ866,'3.1. Gas prod VF'!AQ936,'3.1. Gas prod VF'!AQ937)</f>
        <v>13.921239626088237</v>
      </c>
      <c r="Y104" s="77">
        <f>AVERAGE('3.1. Gas prod VF'!AR793,'3.1. Gas prod VF'!AR864,'3.1. Gas prod VF'!AR865,'3.1. Gas prod VF'!AR866,'3.1. Gas prod VF'!AR936,'3.1. Gas prod VF'!AR937)</f>
        <v>19.867907582608272</v>
      </c>
      <c r="Z104" s="77">
        <f>AVERAGE('3.1. Gas prod VF'!AS793,'3.1. Gas prod VF'!AS864,'3.1. Gas prod VF'!AS865,'3.1. Gas prod VF'!AS866,'3.1. Gas prod VF'!AS936,'3.1. Gas prod VF'!AS937)</f>
        <v>51.329543732509158</v>
      </c>
      <c r="AA104" s="77">
        <f>AVERAGE('3.1. Gas prod VF'!AT793,'3.1. Gas prod VF'!AT864,'3.1. Gas prod VF'!AT865,'3.1. Gas prod VF'!AT866,'3.1. Gas prod VF'!AT936,'3.1. Gas prod VF'!AT937)</f>
        <v>-0.81719931391359546</v>
      </c>
      <c r="AB104" s="77">
        <f>AVERAGE('3.1. Gas prod VF'!AU793,'3.1. Gas prod VF'!AU864,'3.1. Gas prod VF'!AU865,'3.1. Gas prod VF'!AU866,'3.1. Gas prod VF'!AU936,'3.1. Gas prod VF'!AU937)</f>
        <v>11.027032443772896</v>
      </c>
      <c r="AC104" s="77">
        <f>AVERAGE('3.1. Gas prod VF'!AV793,'3.1. Gas prod VF'!AV864,'3.1. Gas prod VF'!AV865,'3.1. Gas prod VF'!AV866,'3.1. Gas prod VF'!AV936,'3.1. Gas prod VF'!AV937)</f>
        <v>28.488784825932424</v>
      </c>
      <c r="AD104" s="20"/>
    </row>
    <row r="105" spans="2:30" x14ac:dyDescent="0.35">
      <c r="B105" s="62">
        <f>'1. Information samples'!B105</f>
        <v>95</v>
      </c>
      <c r="C105" s="62">
        <f>'1. Information samples'!C105</f>
        <v>46055</v>
      </c>
      <c r="D105" s="62" t="str">
        <f>'1. Information samples'!D105</f>
        <v>Genbank</v>
      </c>
      <c r="E105" s="62">
        <f>'1. Information samples'!E105</f>
        <v>29</v>
      </c>
      <c r="F105" s="62" t="str">
        <f>'1. Information samples'!F105</f>
        <v>F252605</v>
      </c>
      <c r="G105" s="62" t="str">
        <f>'1. Information samples'!G105</f>
        <v>CIAT18954</v>
      </c>
      <c r="H105" s="62" t="str">
        <f>'1. Information samples'!H105</f>
        <v>Indigofera</v>
      </c>
      <c r="I105" s="62" t="str">
        <f>'1. Information samples'!I105</f>
        <v>atriceps</v>
      </c>
      <c r="J105" s="62" t="str">
        <f>'1. Information samples'!J105</f>
        <v>Indigofera atriceps</v>
      </c>
      <c r="K105" s="62" t="str">
        <f>'1. Information samples'!K105</f>
        <v>Fabaceae</v>
      </c>
      <c r="L105" s="62" t="str">
        <f>'1. Information samples'!L105</f>
        <v>Fabales</v>
      </c>
      <c r="M105" s="62" t="str">
        <f>'1. Information samples'!M105</f>
        <v>Herbaceous</v>
      </c>
      <c r="N105" s="77">
        <f>AVERAGE('3.1. Gas prod VF'!AG795,'3.1. Gas prod VF'!AG796,'3.1. Gas prod VF'!AG797,'3.1. Gas prod VF'!AG867,'3.1. Gas prod VF'!AG868,'3.1. Gas prod VF'!AG869,'3.1. Gas prod VF'!AG938)</f>
        <v>28.176233351056631</v>
      </c>
      <c r="O105" s="77">
        <f>AVERAGE('3.1. Gas prod VF'!AH795,'3.1. Gas prod VF'!AH796,'3.1. Gas prod VF'!AH797,'3.1. Gas prod VF'!AH867,'3.1. Gas prod VF'!AH868,'3.1. Gas prod VF'!AH869,'3.1. Gas prod VF'!AH938)</f>
        <v>28.967562864565021</v>
      </c>
      <c r="P105" s="77">
        <f>AVERAGE('3.1. Gas prod VF'!AI795,'3.1. Gas prod VF'!AI796,'3.1. Gas prod VF'!AI797,'3.1. Gas prod VF'!AI867,'3.1. Gas prod VF'!AI868,'3.1. Gas prod VF'!AI869,'3.1. Gas prod VF'!AI938)</f>
        <v>57.143796215621656</v>
      </c>
      <c r="Q105" s="77">
        <f>AVERAGE('3.1. Gas prod VF'!AJ795,'3.1. Gas prod VF'!AJ796,'3.1. Gas prod VF'!AJ797,'3.1. Gas prod VF'!AJ867,'3.1. Gas prod VF'!AJ868,'3.1. Gas prod VF'!AJ869,'3.1. Gas prod VF'!AJ938)</f>
        <v>3.4151761490124395</v>
      </c>
      <c r="R105" s="77">
        <f>AVERAGE('3.1. Gas prod VF'!AK795,'3.1. Gas prod VF'!AK796,'3.1. Gas prod VF'!AK797,'3.1. Gas prod VF'!AK867,'3.1. Gas prod VF'!AK868,'3.1. Gas prod VF'!AK869,'3.1. Gas prod VF'!AK938)</f>
        <v>4.0439081674733419</v>
      </c>
      <c r="S105" s="77">
        <f>AVERAGE('3.1. Gas prod VF'!AL795,'3.1. Gas prod VF'!AL796,'3.1. Gas prod VF'!AL797,'3.1. Gas prod VF'!AL867,'3.1. Gas prod VF'!AL868,'3.1. Gas prod VF'!AL869,'3.1. Gas prod VF'!AL938)</f>
        <v>7.4590843164857832</v>
      </c>
      <c r="T105" s="77">
        <f>AVERAGE('3.1. Gas prod VF'!AM795,'3.1. Gas prod VF'!AM796,'3.1. Gas prod VF'!AM797,'3.1. Gas prod VF'!AM867,'3.1. Gas prod VF'!AM868,'3.1. Gas prod VF'!AM869,'3.1. Gas prod VF'!AM938)</f>
        <v>122.92741937248192</v>
      </c>
      <c r="U105" s="77">
        <f>AVERAGE('3.1. Gas prod VF'!AN795,'3.1. Gas prod VF'!AN796,'3.1. Gas prod VF'!AN797,'3.1. Gas prod VF'!AN867,'3.1. Gas prod VF'!AN868,'3.1. Gas prod VF'!AN869,'3.1. Gas prod VF'!AN938)</f>
        <v>33.480450338992242</v>
      </c>
      <c r="V105" s="77">
        <f>AVERAGE('3.1. Gas prod VF'!AO795,'3.1. Gas prod VF'!AO796,'3.1. Gas prod VF'!AO797,'3.1. Gas prod VF'!AO867,'3.1. Gas prod VF'!AO868,'3.1. Gas prod VF'!AO869,'3.1. Gas prod VF'!AO938)</f>
        <v>2.7042626716506133</v>
      </c>
      <c r="W105" s="77">
        <f>AVERAGE('3.1. Gas prod VF'!AP795,'3.1. Gas prod VF'!AP796,'3.1. Gas prod VF'!AP797,'3.1. Gas prod VF'!AP867,'3.1. Gas prod VF'!AP868,'3.1. Gas prod VF'!AP869,'3.1. Gas prod VF'!AP938)</f>
        <v>12.028571428571428</v>
      </c>
      <c r="X105" s="77">
        <f>AVERAGE('3.1. Gas prod VF'!AQ795,'3.1. Gas prod VF'!AQ796,'3.1. Gas prod VF'!AQ797,'3.1. Gas prod VF'!AQ867,'3.1. Gas prod VF'!AQ868,'3.1. Gas prod VF'!AQ869,'3.1. Gas prod VF'!AQ938)</f>
        <v>13.020049819600834</v>
      </c>
      <c r="Y105" s="77">
        <f>AVERAGE('3.1. Gas prod VF'!AR795,'3.1. Gas prod VF'!AR796,'3.1. Gas prod VF'!AR797,'3.1. Gas prod VF'!AR867,'3.1. Gas prod VF'!AR868,'3.1. Gas prod VF'!AR869,'3.1. Gas prod VF'!AR938)</f>
        <v>16.045876504935659</v>
      </c>
      <c r="Z105" s="77">
        <f>AVERAGE('3.1. Gas prod VF'!AS795,'3.1. Gas prod VF'!AS796,'3.1. Gas prod VF'!AS797,'3.1. Gas prod VF'!AS867,'3.1. Gas prod VF'!AS868,'3.1. Gas prod VF'!AS869,'3.1. Gas prod VF'!AS938)</f>
        <v>49.978986325914768</v>
      </c>
      <c r="AA105" s="77">
        <f>AVERAGE('3.1. Gas prod VF'!AT795,'3.1. Gas prod VF'!AT796,'3.1. Gas prod VF'!AT797,'3.1. Gas prod VF'!AT867,'3.1. Gas prod VF'!AT868,'3.1. Gas prod VF'!AT869,'3.1. Gas prod VF'!AT938)</f>
        <v>-0.49702717921210554</v>
      </c>
      <c r="AB105" s="77">
        <f>AVERAGE('3.1. Gas prod VF'!AU795,'3.1. Gas prod VF'!AU796,'3.1. Gas prod VF'!AU797,'3.1. Gas prod VF'!AU867,'3.1. Gas prod VF'!AU868,'3.1. Gas prod VF'!AU869,'3.1. Gas prod VF'!AU938)</f>
        <v>8.9057390705594468</v>
      </c>
      <c r="AC105" s="77">
        <f>AVERAGE('3.1. Gas prod VF'!AV795,'3.1. Gas prod VF'!AV796,'3.1. Gas prod VF'!AV797,'3.1. Gas prod VF'!AV867,'3.1. Gas prod VF'!AV868,'3.1. Gas prod VF'!AV869,'3.1. Gas prod VF'!AV938)</f>
        <v>27.739202099227438</v>
      </c>
      <c r="AD105" s="20"/>
    </row>
    <row r="106" spans="2:30" x14ac:dyDescent="0.35">
      <c r="B106" s="62">
        <f>'1. Information samples'!B106</f>
        <v>96</v>
      </c>
      <c r="C106" s="62">
        <f>'1. Information samples'!C106</f>
        <v>46055</v>
      </c>
      <c r="D106" s="62" t="str">
        <f>'1. Information samples'!D106</f>
        <v>Genbank</v>
      </c>
      <c r="E106" s="62">
        <f>'1. Information samples'!E106</f>
        <v>29</v>
      </c>
      <c r="F106" s="62" t="str">
        <f>'1. Information samples'!F106</f>
        <v>F252606</v>
      </c>
      <c r="G106" s="62" t="str">
        <f>'1. Information samples'!G106</f>
        <v>CIAT19198</v>
      </c>
      <c r="H106" s="62" t="str">
        <f>'1. Information samples'!H106</f>
        <v>Tephrosia</v>
      </c>
      <c r="I106" s="62" t="str">
        <f>'1. Information samples'!I106</f>
        <v>villosa</v>
      </c>
      <c r="J106" s="62" t="str">
        <f>'1. Information samples'!J106</f>
        <v>Tephrosia villosa</v>
      </c>
      <c r="K106" s="62" t="str">
        <f>'1. Information samples'!K106</f>
        <v>Fabaceae</v>
      </c>
      <c r="L106" s="62" t="str">
        <f>'1. Information samples'!L106</f>
        <v>Fabales</v>
      </c>
      <c r="M106" s="62" t="str">
        <f>'1. Information samples'!M106</f>
        <v>Herbaceous</v>
      </c>
      <c r="N106" s="77">
        <f>AVERAGEIFS('3.1. Gas prod VF'!$AG$13:$AG$1230,'3.1. Gas prod VF'!$L$13:$L$1230,$F106)</f>
        <v>33.280296032023408</v>
      </c>
      <c r="O106" s="20">
        <f>AVERAGE('3.1. Gas prod VF'!AH600,'3.1. Gas prod VF'!AH601,'3.1. Gas prod VF'!AH602,'3.1. Gas prod VF'!AH672,'3.1. Gas prod VF'!AH673,'3.1. Gas prod VF'!AH674,'3.1. Gas prod VF'!AH742,'3.1. Gas prod VF'!AH743)</f>
        <v>30.061137188604871</v>
      </c>
      <c r="P106" s="77">
        <f>AVERAGEIFS('3.1. Gas prod VF'!$AI$13:$AI$1230,'3.1. Gas prod VF'!$L$13:$L$1230,$F106)</f>
        <v>69.982536004982961</v>
      </c>
      <c r="Q106" s="77">
        <f>AVERAGEIFS('3.1. Gas prod VF'!$AJ$13:$AJ$1230,'3.1. Gas prod VF'!$L$13:$L$1230,$F106)</f>
        <v>4.6291740930622964</v>
      </c>
      <c r="R106" s="77">
        <f>AVERAGEIFS('3.1. Gas prod VF'!$AK$13:$AK$1230,'3.1. Gas prod VF'!$L$13:$L$1230,$F106)</f>
        <v>6.4336439988601626</v>
      </c>
      <c r="S106" s="77">
        <f>AVERAGEIFS('3.1. Gas prod VF'!$AL$13:$AL$1230,'3.1. Gas prod VF'!$L$13:$L$1230,$F106)</f>
        <v>11.062818091922459</v>
      </c>
      <c r="T106" s="77">
        <f>AVERAGEIFS('3.1. Gas prod VF'!$AM$13:$AM$1230,'3.1. Gas prod VF'!$L$13:$L$1230,$F106)</f>
        <v>154.48725405997763</v>
      </c>
      <c r="U106" s="77">
        <f>AVERAGEIFS('3.1. Gas prod VF'!$AN$13:$AN$1230,'3.1. Gas prod VF'!$L$13:$L$1230,$F106)</f>
        <v>45.874559213803622</v>
      </c>
      <c r="V106" s="77">
        <f>AVERAGEIFS('3.1. Gas prod VF'!$AO$13:$AO$1230,'3.1. Gas prod VF'!$L$13:$L$1230,$F106)</f>
        <v>3.3710635882344224</v>
      </c>
      <c r="W106" s="77">
        <f>AVERAGEIFS('3.1. Gas prod VF'!$AP$13:$AP$1230,'3.1. Gas prod VF'!$L$13:$L$1230,$F106)</f>
        <v>13.712500000000002</v>
      </c>
      <c r="X106" s="77">
        <f>AVERAGEIFS('3.1. Gas prod VF'!$AQ$13:$AQ$1230,'3.1. Gas prod VF'!$L$13:$L$1230,$F106)</f>
        <v>15.697647349950323</v>
      </c>
      <c r="Y106" s="77">
        <f>AVERAGEIFS('3.1. Gas prod VF'!$AR$13:$AR$1230,'3.1. Gas prod VF'!$L$13:$L$1230,$F106)</f>
        <v>24.421301302707651</v>
      </c>
      <c r="Z106" s="77">
        <f>AVERAGEIFS('3.1. Gas prod VF'!$AS$13:$AS$1230,'3.1. Gas prod VF'!$L$13:$L$1230,$F106)</f>
        <v>53.552607404448281</v>
      </c>
      <c r="AA106" s="77">
        <f>AVERAGEIFS('3.1. Gas prod VF'!$AT$13:$AT$1230,'3.1. Gas prod VF'!$L$13:$L$1230,$F106)</f>
        <v>-1.3621654215876011</v>
      </c>
      <c r="AB106" s="77">
        <f>AVERAGEIFS('3.1. Gas prod VF'!$AU$13:$AU$1230,'3.1. Gas prod VF'!$L$13:$L$1230,$F106)</f>
        <v>13.554244736866117</v>
      </c>
      <c r="AC106" s="77">
        <f>AVERAGEIFS('3.1. Gas prod VF'!$AV$13:$AV$1230,'3.1. Gas prod VF'!$L$13:$L$1230,$F106)</f>
        <v>29.722623625167827</v>
      </c>
      <c r="AD106" s="20"/>
    </row>
    <row r="107" spans="2:30" x14ac:dyDescent="0.35">
      <c r="B107" s="62">
        <f>'1. Information samples'!B107</f>
        <v>97</v>
      </c>
      <c r="C107" s="62">
        <f>'1. Information samples'!C107</f>
        <v>46055</v>
      </c>
      <c r="D107" s="62" t="str">
        <f>'1. Information samples'!D107</f>
        <v>Genbank</v>
      </c>
      <c r="E107" s="62">
        <f>'1. Information samples'!E107</f>
        <v>29</v>
      </c>
      <c r="F107" s="62" t="str">
        <f>'1. Information samples'!F107</f>
        <v>F252607</v>
      </c>
      <c r="G107" s="62" t="str">
        <f>'1. Information samples'!G107</f>
        <v>CIAT19460</v>
      </c>
      <c r="H107" s="62" t="str">
        <f>'1. Information samples'!H107</f>
        <v>Sesbania</v>
      </c>
      <c r="I107" s="62" t="str">
        <f>'1. Information samples'!I107</f>
        <v>cannabina</v>
      </c>
      <c r="J107" s="62" t="str">
        <f>'1. Information samples'!J107</f>
        <v>Sesbania cannabina</v>
      </c>
      <c r="K107" s="62" t="str">
        <f>'1. Information samples'!K107</f>
        <v>Fabaceae</v>
      </c>
      <c r="L107" s="62" t="str">
        <f>'1. Information samples'!L107</f>
        <v>Fabales</v>
      </c>
      <c r="M107" s="62" t="str">
        <f>'1. Information samples'!M107</f>
        <v>Shurb_Tree</v>
      </c>
      <c r="N107" s="77">
        <f>AVERAGE('3.1. Gas prod VF'!AG801,'3.1. Gas prod VF'!AG802,'3.1. Gas prod VF'!AG803,'3.1. Gas prod VF'!AG873,'3.1. Gas prod VF'!AG874,'3.1. Gas prod VF'!AG875,'3.1. Gas prod VF'!AG942)</f>
        <v>36.454149776434264</v>
      </c>
      <c r="O107" s="20">
        <f>AVERAGE('3.1. Gas prod VF'!AH603,'3.1. Gas prod VF'!AH604,'3.1. Gas prod VF'!AH605,'3.1. Gas prod VF'!AH675,'3.1. Gas prod VF'!AH676,'3.1. Gas prod VF'!AH677,'3.1. Gas prod VF'!AH744,'3.1. Gas prod VF'!AH745)</f>
        <v>34.867086889878117</v>
      </c>
      <c r="P107" s="77">
        <f>AVERAGEIFS('3.1. Gas prod VF'!$AI$13:$AI$1230,'3.1. Gas prod VF'!$L$13:$L$1230,$F107)</f>
        <v>78.19214316313996</v>
      </c>
      <c r="Q107" s="77">
        <f>AVERAGEIFS('3.1. Gas prod VF'!$AJ$13:$AJ$1230,'3.1. Gas prod VF'!$L$13:$L$1230,$F107)</f>
        <v>5.1809167333471864</v>
      </c>
      <c r="R107" s="77">
        <f>AVERAGEIFS('3.1. Gas prod VF'!$AK$13:$AK$1230,'3.1. Gas prod VF'!$L$13:$L$1230,$F107)</f>
        <v>6.6023718804968778</v>
      </c>
      <c r="S107" s="77">
        <f>AVERAGEIFS('3.1. Gas prod VF'!$AL$13:$AL$1230,'3.1. Gas prod VF'!$L$13:$L$1230,$F107)</f>
        <v>11.783288613844064</v>
      </c>
      <c r="T107" s="77">
        <f>AVERAGEIFS('3.1. Gas prod VF'!$AM$13:$AM$1230,'3.1. Gas prod VF'!$L$13:$L$1230,$F107)</f>
        <v>171.67756582292228</v>
      </c>
      <c r="U107" s="77">
        <f>AVERAGEIFS('3.1. Gas prod VF'!$AN$13:$AN$1230,'3.1. Gas prod VF'!$L$13:$L$1230,$F107)</f>
        <v>25.964652873202166</v>
      </c>
      <c r="V107" s="77">
        <f>AVERAGEIFS('3.1. Gas prod VF'!$AO$13:$AO$1230,'3.1. Gas prod VF'!$L$13:$L$1230,$F107)</f>
        <v>1.5010349120664033</v>
      </c>
      <c r="W107" s="77">
        <f>AVERAGEIFS('3.1. Gas prod VF'!$AP$13:$AP$1230,'3.1. Gas prod VF'!$L$13:$L$1230,$F107)</f>
        <v>14.149999999999999</v>
      </c>
      <c r="X107" s="77">
        <f>AVERAGEIFS('3.1. Gas prod VF'!$AQ$13:$AQ$1230,'3.1. Gas prod VF'!$L$13:$L$1230,$F107)</f>
        <v>15.039964325478373</v>
      </c>
      <c r="Y107" s="77">
        <f>AVERAGEIFS('3.1. Gas prod VF'!$AR$13:$AR$1230,'3.1. Gas prod VF'!$L$13:$L$1230,$F107)</f>
        <v>25.871155464625133</v>
      </c>
      <c r="Z107" s="77">
        <f>AVERAGEIFS('3.1. Gas prod VF'!$AS$13:$AS$1230,'3.1. Gas prod VF'!$L$13:$L$1230,$F107)</f>
        <v>105.58174803844044</v>
      </c>
      <c r="AA107" s="77">
        <f>AVERAGEIFS('3.1. Gas prod VF'!$AT$13:$AT$1230,'3.1. Gas prod VF'!$L$13:$L$1230,$F107)</f>
        <v>-0.40705142519719262</v>
      </c>
      <c r="AB107" s="77">
        <f>AVERAGEIFS('3.1. Gas prod VF'!$AU$13:$AU$1230,'3.1. Gas prod VF'!$L$13:$L$1230,$F107)</f>
        <v>14.358938880712358</v>
      </c>
      <c r="AC107" s="77">
        <f>AVERAGEIFS('3.1. Gas prod VF'!$AV$13:$AV$1230,'3.1. Gas prod VF'!$L$13:$L$1230,$F107)</f>
        <v>58.599696835175962</v>
      </c>
      <c r="AD107" s="20"/>
    </row>
    <row r="108" spans="2:30" x14ac:dyDescent="0.35">
      <c r="B108" s="62">
        <f>'1. Information samples'!B108</f>
        <v>98</v>
      </c>
      <c r="C108" s="62">
        <f>'1. Information samples'!C108</f>
        <v>46055</v>
      </c>
      <c r="D108" s="62" t="str">
        <f>'1. Information samples'!D108</f>
        <v>Genbank</v>
      </c>
      <c r="E108" s="62">
        <f>'1. Information samples'!E108</f>
        <v>29</v>
      </c>
      <c r="F108" s="62" t="str">
        <f>'1. Information samples'!F108</f>
        <v>F252608</v>
      </c>
      <c r="G108" s="62" t="str">
        <f>'1. Information samples'!G108</f>
        <v>CIAT20044</v>
      </c>
      <c r="H108" s="62" t="str">
        <f>'1. Information samples'!H108</f>
        <v>Tephrosia</v>
      </c>
      <c r="I108" s="62" t="str">
        <f>'1. Information samples'!I108</f>
        <v>purpurea</v>
      </c>
      <c r="J108" s="62" t="str">
        <f>'1. Information samples'!J108</f>
        <v>Tephrosia purpurea</v>
      </c>
      <c r="K108" s="62" t="str">
        <f>'1. Information samples'!K108</f>
        <v>Fabaceae</v>
      </c>
      <c r="L108" s="62" t="str">
        <f>'1. Information samples'!L108</f>
        <v>Fabales</v>
      </c>
      <c r="M108" s="62" t="str">
        <f>'1. Information samples'!M108</f>
        <v>Herbaceous</v>
      </c>
      <c r="N108" s="77">
        <f>AVERAGEIFS('3.1. Gas prod VF'!$AG$13:$AG$1230,'3.1. Gas prod VF'!$L$13:$L$1230,$F108)</f>
        <v>40.905296032023408</v>
      </c>
      <c r="O108" s="20">
        <f>AVERAGE('3.1. Gas prod VF'!AH606,'3.1. Gas prod VF'!AH607,'3.1. Gas prod VF'!AH608,'3.1. Gas prod VF'!AH678,'3.1. Gas prod VF'!AH679,'3.1. Gas prod VF'!AH680,'3.1. Gas prod VF'!AH746,'3.1. Gas prod VF'!AH747)</f>
        <v>40.775422902890583</v>
      </c>
      <c r="P108" s="77">
        <f>AVERAGEIFS('3.1. Gas prod VF'!$AI$13:$AI$1230,'3.1. Gas prod VF'!$L$13:$L$1230,$F108)</f>
        <v>78.795036004982961</v>
      </c>
      <c r="Q108" s="77">
        <f>AVERAGEIFS('3.1. Gas prod VF'!$AJ$13:$AJ$1230,'3.1. Gas prod VF'!$L$13:$L$1230,$F108)</f>
        <v>5.890011649308045</v>
      </c>
      <c r="R108" s="77">
        <f>AVERAGEIFS('3.1. Gas prod VF'!$AK$13:$AK$1230,'3.1. Gas prod VF'!$L$13:$L$1230,$F108)</f>
        <v>6.9429511464723408</v>
      </c>
      <c r="S108" s="77">
        <f>AVERAGEIFS('3.1. Gas prod VF'!$AL$13:$AL$1230,'3.1. Gas prod VF'!$L$13:$L$1230,$F108)</f>
        <v>12.832962795780382</v>
      </c>
      <c r="T108" s="77">
        <f>AVERAGEIFS('3.1. Gas prod VF'!$AM$13:$AM$1230,'3.1. Gas prod VF'!$L$13:$L$1230,$F108)</f>
        <v>170.86537014363967</v>
      </c>
      <c r="U108" s="77">
        <f>AVERAGEIFS('3.1. Gas prod VF'!$AN$13:$AN$1230,'3.1. Gas prod VF'!$L$13:$L$1230,$F108)</f>
        <v>57.063974315514713</v>
      </c>
      <c r="V108" s="77">
        <f>AVERAGEIFS('3.1. Gas prod VF'!$AO$13:$AO$1230,'3.1. Gas prod VF'!$L$13:$L$1230,$F108)</f>
        <v>3.389662776414232</v>
      </c>
      <c r="W108" s="77">
        <f>AVERAGEIFS('3.1. Gas prod VF'!$AP$13:$AP$1230,'3.1. Gas prod VF'!$L$13:$L$1230,$F108)</f>
        <v>14.3375</v>
      </c>
      <c r="X108" s="77">
        <f>AVERAGEIFS('3.1. Gas prod VF'!$AQ$13:$AQ$1230,'3.1. Gas prod VF'!$L$13:$L$1230,$F108)</f>
        <v>16.279165485913829</v>
      </c>
      <c r="Y108" s="77">
        <f>AVERAGEIFS('3.1. Gas prod VF'!$AR$13:$AR$1230,'3.1. Gas prod VF'!$L$13:$L$1230,$F108)</f>
        <v>27.828006881089795</v>
      </c>
      <c r="Z108" s="77">
        <f>AVERAGEIFS('3.1. Gas prod VF'!$AS$13:$AS$1230,'3.1. Gas prod VF'!$L$13:$L$1230,$F108)</f>
        <v>49.361887675832435</v>
      </c>
      <c r="AA108" s="77">
        <f>AVERAGEIFS('3.1. Gas prod VF'!$AT$13:$AT$1230,'3.1. Gas prod VF'!$L$13:$L$1230,$F108)</f>
        <v>1.0924701073000993</v>
      </c>
      <c r="AB108" s="77">
        <f>AVERAGEIFS('3.1. Gas prod VF'!$AU$13:$AU$1230,'3.1. Gas prod VF'!$L$13:$L$1230,$F108)</f>
        <v>15.445025272411083</v>
      </c>
      <c r="AC108" s="77">
        <f>AVERAGEIFS('3.1. Gas prod VF'!$AV$13:$AV$1230,'3.1. Gas prod VF'!$L$13:$L$1230,$F108)</f>
        <v>27.396701671984509</v>
      </c>
      <c r="AD108" s="20"/>
    </row>
    <row r="109" spans="2:30" x14ac:dyDescent="0.35">
      <c r="B109" s="62">
        <f>'1. Information samples'!B109</f>
        <v>99</v>
      </c>
      <c r="C109" s="62">
        <f>'1. Information samples'!C109</f>
        <v>46055</v>
      </c>
      <c r="D109" s="62" t="str">
        <f>'1. Information samples'!D109</f>
        <v>Genbank</v>
      </c>
      <c r="E109" s="62">
        <f>'1. Information samples'!E109</f>
        <v>29</v>
      </c>
      <c r="F109" s="62" t="str">
        <f>'1. Information samples'!F109</f>
        <v>F252609</v>
      </c>
      <c r="G109" s="62" t="str">
        <f>'1. Information samples'!G109</f>
        <v>CIAT22423</v>
      </c>
      <c r="H109" s="62" t="str">
        <f>'1. Information samples'!H109</f>
        <v>Vigna</v>
      </c>
      <c r="I109" s="62" t="str">
        <f>'1. Information samples'!I109</f>
        <v>unguiculata</v>
      </c>
      <c r="J109" s="62" t="str">
        <f>'1. Information samples'!J109</f>
        <v>Vigna unguiculata</v>
      </c>
      <c r="K109" s="62" t="str">
        <f>'1. Information samples'!K109</f>
        <v>Fabaceae</v>
      </c>
      <c r="L109" s="62" t="str">
        <f>'1. Information samples'!L109</f>
        <v>Fabales</v>
      </c>
      <c r="M109" s="62" t="str">
        <f>'1. Information samples'!M109</f>
        <v>Herbaceous</v>
      </c>
      <c r="N109" s="77">
        <f>AVERAGE('3.1. Gas prod VF'!AG807,'3.1. Gas prod VF'!AG808,'3.1. Gas prod VF'!AG809,'3.1. Gas prod VF'!AG879,'3.1. Gas prod VF'!AG881,'3.1. Gas prod VF'!AG880,'3.1. Gas prod VF'!AG946,'3.1. Gas prod VF'!AG947)</f>
        <v>42.141056146932591</v>
      </c>
      <c r="O109" s="77">
        <f>AVERAGE('3.1. Gas prod VF'!AH807,'3.1. Gas prod VF'!AH808,'3.1. Gas prod VF'!AH809,'3.1. Gas prod VF'!AH879,'3.1. Gas prod VF'!AH881,'3.1. Gas prod VF'!AH880,'3.1. Gas prod VF'!AH946,'3.1. Gas prod VF'!AH947)</f>
        <v>41.490332531375643</v>
      </c>
      <c r="P109" s="77">
        <f>AVERAGE('3.1. Gas prod VF'!AI807,'3.1. Gas prod VF'!AI808,'3.1. Gas prod VF'!AI809,'3.1. Gas prod VF'!AI879,'3.1. Gas prod VF'!AI881,'3.1. Gas prod VF'!AI880,'3.1. Gas prod VF'!AI946,'3.1. Gas prod VF'!AI947)</f>
        <v>83.631388678308241</v>
      </c>
      <c r="Q109" s="77">
        <f>AVERAGE('3.1. Gas prod VF'!AJ807,'3.1. Gas prod VF'!AJ808,'3.1. Gas prod VF'!AJ809,'3.1. Gas prod VF'!AJ879,'3.1. Gas prod VF'!AJ881,'3.1. Gas prod VF'!AJ880,'3.1. Gas prod VF'!AJ946,'3.1. Gas prod VF'!AJ947)</f>
        <v>5.7208039678707712</v>
      </c>
      <c r="R109" s="77">
        <f>AVERAGE('3.1. Gas prod VF'!AK807,'3.1. Gas prod VF'!AK808,'3.1. Gas prod VF'!AK809,'3.1. Gas prod VF'!AK879,'3.1. Gas prod VF'!AK881,'3.1. Gas prod VF'!AK880,'3.1. Gas prod VF'!AK946,'3.1. Gas prod VF'!AK947)</f>
        <v>6.7047446438550873</v>
      </c>
      <c r="S109" s="77">
        <f>AVERAGE('3.1. Gas prod VF'!AL807,'3.1. Gas prod VF'!AL808,'3.1. Gas prod VF'!AL809,'3.1. Gas prod VF'!AL879,'3.1. Gas prod VF'!AL881,'3.1. Gas prod VF'!AL880,'3.1. Gas prod VF'!AL946,'3.1. Gas prod VF'!AL947)</f>
        <v>12.425548611725858</v>
      </c>
      <c r="T109" s="77">
        <f>AVERAGE('3.1. Gas prod VF'!AM807,'3.1. Gas prod VF'!AM808,'3.1. Gas prod VF'!AM809,'3.1. Gas prod VF'!AM879,'3.1. Gas prod VF'!AM881,'3.1. Gas prod VF'!AM880,'3.1. Gas prod VF'!AM946,'3.1. Gas prod VF'!AM947)</f>
        <v>184.49288744265115</v>
      </c>
      <c r="U109" s="77">
        <f>AVERAGE('3.1. Gas prod VF'!AN807,'3.1. Gas prod VF'!AN808,'3.1. Gas prod VF'!AN809,'3.1. Gas prod VF'!AN879,'3.1. Gas prod VF'!AN881,'3.1. Gas prod VF'!AN880,'3.1. Gas prod VF'!AN946,'3.1. Gas prod VF'!AN947)</f>
        <v>64.953535692291368</v>
      </c>
      <c r="V109" s="77">
        <f>AVERAGE('3.1. Gas prod VF'!AO807,'3.1. Gas prod VF'!AO808,'3.1. Gas prod VF'!AO809,'3.1. Gas prod VF'!AO879,'3.1. Gas prod VF'!AO881,'3.1. Gas prod VF'!AO880,'3.1. Gas prod VF'!AO946,'3.1. Gas prod VF'!AO947)</f>
        <v>3.5226336378788381</v>
      </c>
      <c r="W109" s="77">
        <f>AVERAGE('3.1. Gas prod VF'!AP807,'3.1. Gas prod VF'!AP808,'3.1. Gas prod VF'!AP809,'3.1. Gas prod VF'!AP879,'3.1. Gas prod VF'!AP881,'3.1. Gas prod VF'!AP880,'3.1. Gas prod VF'!AP946,'3.1. Gas prod VF'!AP947)</f>
        <v>13.500000000000002</v>
      </c>
      <c r="X109" s="77">
        <f>AVERAGE('3.1. Gas prod VF'!AQ807,'3.1. Gas prod VF'!AQ808,'3.1. Gas prod VF'!AQ809,'3.1. Gas prod VF'!AQ879,'3.1. Gas prod VF'!AQ881,'3.1. Gas prod VF'!AQ880,'3.1. Gas prod VF'!AQ946,'3.1. Gas prod VF'!AQ947)</f>
        <v>14.821679116998828</v>
      </c>
      <c r="Y109" s="77">
        <f>AVERAGE('3.1. Gas prod VF'!AR807,'3.1. Gas prod VF'!AR808,'3.1. Gas prod VF'!AR809,'3.1. Gas prod VF'!AR879,'3.1. Gas prod VF'!AR881,'3.1. Gas prod VF'!AR880,'3.1. Gas prod VF'!AR946,'3.1. Gas prod VF'!AR947)</f>
        <v>27.410997366819647</v>
      </c>
      <c r="Z109" s="77">
        <f>AVERAGE('3.1. Gas prod VF'!AS807,'3.1. Gas prod VF'!AS808,'3.1. Gas prod VF'!AS809,'3.1. Gas prod VF'!AS879,'3.1. Gas prod VF'!AS881,'3.1. Gas prod VF'!AS880,'3.1. Gas prod VF'!AS946,'3.1. Gas prod VF'!AS947)</f>
        <v>42.493154357458373</v>
      </c>
      <c r="AA109" s="77">
        <f>AVERAGE('3.1. Gas prod VF'!AT807,'3.1. Gas prod VF'!AT808,'3.1. Gas prod VF'!AT809,'3.1. Gas prod VF'!AT879,'3.1. Gas prod VF'!AT881,'3.1. Gas prod VF'!AT880,'3.1. Gas prod VF'!AT946,'3.1. Gas prod VF'!AT947)</f>
        <v>0.69576915775116444</v>
      </c>
      <c r="AB109" s="77">
        <f>AVERAGE('3.1. Gas prod VF'!AU807,'3.1. Gas prod VF'!AU808,'3.1. Gas prod VF'!AU809,'3.1. Gas prod VF'!AU879,'3.1. Gas prod VF'!AU881,'3.1. Gas prod VF'!AU880,'3.1. Gas prod VF'!AU946,'3.1. Gas prod VF'!AU947)</f>
        <v>15.21357777729367</v>
      </c>
      <c r="AC109" s="77">
        <f>AVERAGE('3.1. Gas prod VF'!AV807,'3.1. Gas prod VF'!AV808,'3.1. Gas prod VF'!AV809,'3.1. Gas prod VF'!AV879,'3.1. Gas prod VF'!AV881,'3.1. Gas prod VF'!AV880,'3.1. Gas prod VF'!AV946,'3.1. Gas prod VF'!AV947)</f>
        <v>23.58443584407032</v>
      </c>
      <c r="AD109" s="20"/>
    </row>
    <row r="110" spans="2:30" x14ac:dyDescent="0.35">
      <c r="B110" s="62">
        <f>'1. Information samples'!B110</f>
        <v>100</v>
      </c>
      <c r="C110" s="62">
        <f>'1. Information samples'!C110</f>
        <v>46055</v>
      </c>
      <c r="D110" s="62" t="str">
        <f>'1. Information samples'!D110</f>
        <v>Genbank</v>
      </c>
      <c r="E110" s="62">
        <f>'1. Information samples'!E110</f>
        <v>29</v>
      </c>
      <c r="F110" s="62" t="str">
        <f>'1. Information samples'!F110</f>
        <v>F252610</v>
      </c>
      <c r="G110" s="62" t="str">
        <f>'1. Information samples'!G110</f>
        <v>CIAT22480</v>
      </c>
      <c r="H110" s="62" t="str">
        <f>'1. Information samples'!H110</f>
        <v>Sesbania</v>
      </c>
      <c r="I110" s="62" t="str">
        <f>'1. Information samples'!I110</f>
        <v>cannabina</v>
      </c>
      <c r="J110" s="62" t="str">
        <f>'1. Information samples'!J110</f>
        <v>Sesbania cannabina</v>
      </c>
      <c r="K110" s="62" t="str">
        <f>'1. Information samples'!K110</f>
        <v>Fabaceae</v>
      </c>
      <c r="L110" s="62" t="str">
        <f>'1. Information samples'!L110</f>
        <v>Fabales</v>
      </c>
      <c r="M110" s="62" t="str">
        <f>'1. Information samples'!M110</f>
        <v>Shurb_Tree</v>
      </c>
      <c r="N110" s="77">
        <f>AVERAGEIFS('3.1. Gas prod VF'!$AG$13:$AG$1230,'3.1. Gas prod VF'!$L$13:$L$1230,$F110)</f>
        <v>45.030296032023408</v>
      </c>
      <c r="O110" s="20">
        <f>AVERAGE('3.1. Gas prod VF'!AH612,'3.1. Gas prod VF'!AH613,'3.1. Gas prod VF'!AH614,'3.1. Gas prod VF'!AH684,'3.1. Gas prod VF'!AH685,'3.1. Gas prod VF'!AH686,'3.1. Gas prod VF'!AH750,'3.1. Gas prod VF'!AH751)</f>
        <v>34.889708617176289</v>
      </c>
      <c r="P110" s="77">
        <f>AVERAGEIFS('3.1. Gas prod VF'!$AI$13:$AI$1230,'3.1. Gas prod VF'!$L$13:$L$1230,$F110)</f>
        <v>88.670036004982961</v>
      </c>
      <c r="Q110" s="77">
        <f>AVERAGEIFS('3.1. Gas prod VF'!$AJ$13:$AJ$1230,'3.1. Gas prod VF'!$L$13:$L$1230,$F110)</f>
        <v>6.2452683130086886</v>
      </c>
      <c r="R110" s="77">
        <f>AVERAGEIFS('3.1. Gas prod VF'!$AK$13:$AK$1230,'3.1. Gas prod VF'!$L$13:$L$1230,$F110)</f>
        <v>7.0820851122143589</v>
      </c>
      <c r="S110" s="77">
        <f>AVERAGEIFS('3.1. Gas prod VF'!$AL$13:$AL$1230,'3.1. Gas prod VF'!$L$13:$L$1230,$F110)</f>
        <v>13.327353425223047</v>
      </c>
      <c r="T110" s="77">
        <f>AVERAGEIFS('3.1. Gas prod VF'!$AM$13:$AM$1230,'3.1. Gas prod VF'!$L$13:$L$1230,$F110)</f>
        <v>191.6895772019401</v>
      </c>
      <c r="U110" s="77">
        <f>AVERAGEIFS('3.1. Gas prod VF'!$AN$13:$AN$1230,'3.1. Gas prod VF'!$L$13:$L$1230,$F110)</f>
        <v>56.255276653545323</v>
      </c>
      <c r="V110" s="77">
        <f>AVERAGEIFS('3.1. Gas prod VF'!$AO$13:$AO$1230,'3.1. Gas prod VF'!$L$13:$L$1230,$F110)</f>
        <v>2.9378354744461825</v>
      </c>
      <c r="W110" s="77">
        <f>AVERAGEIFS('3.1. Gas prod VF'!$AP$13:$AP$1230,'3.1. Gas prod VF'!$L$13:$L$1230,$F110)</f>
        <v>13.812500000000002</v>
      </c>
      <c r="X110" s="77">
        <f>AVERAGEIFS('3.1. Gas prod VF'!$AQ$13:$AQ$1230,'3.1. Gas prod VF'!$L$13:$L$1230,$F110)</f>
        <v>14.997759732908278</v>
      </c>
      <c r="Y110" s="77">
        <f>AVERAGEIFS('3.1. Gas prod VF'!$AR$13:$AR$1230,'3.1. Gas prod VF'!$L$13:$L$1230,$F110)</f>
        <v>28.811648838108223</v>
      </c>
      <c r="Z110" s="77">
        <f>AVERAGEIFS('3.1. Gas prod VF'!$AS$13:$AS$1230,'3.1. Gas prod VF'!$L$13:$L$1230,$F110)</f>
        <v>51.387690559931087</v>
      </c>
      <c r="AA110" s="77">
        <f>AVERAGEIFS('3.1. Gas prod VF'!$AT$13:$AT$1230,'3.1. Gas prod VF'!$L$13:$L$1230,$F110)</f>
        <v>-3.6514054145299917</v>
      </c>
      <c r="AB110" s="77">
        <f>AVERAGEIFS('3.1. Gas prod VF'!$AU$13:$AU$1230,'3.1. Gas prod VF'!$L$13:$L$1230,$F110)</f>
        <v>15.990963576583248</v>
      </c>
      <c r="AC110" s="77">
        <f>AVERAGEIFS('3.1. Gas prod VF'!$AV$13:$AV$1230,'3.1. Gas prod VF'!$L$13:$L$1230,$F110)</f>
        <v>28.521057321152064</v>
      </c>
      <c r="AD110" s="20"/>
    </row>
    <row r="111" spans="2:30" x14ac:dyDescent="0.35">
      <c r="B111" s="62">
        <f>'1. Information samples'!B111</f>
        <v>101</v>
      </c>
      <c r="C111" s="62">
        <f>'1. Information samples'!C111</f>
        <v>46055</v>
      </c>
      <c r="D111" s="62" t="str">
        <f>'1. Information samples'!D111</f>
        <v>Genbank</v>
      </c>
      <c r="E111" s="62">
        <f>'1. Information samples'!E111</f>
        <v>29</v>
      </c>
      <c r="F111" s="62" t="str">
        <f>'1. Information samples'!F111</f>
        <v>F252611</v>
      </c>
      <c r="G111" s="62" t="str">
        <f>'1. Information samples'!G111</f>
        <v>CIAT23116</v>
      </c>
      <c r="H111" s="62" t="str">
        <f>'1. Information samples'!H111</f>
        <v>Desmodium</v>
      </c>
      <c r="I111" s="62" t="str">
        <f>'1. Information samples'!I111</f>
        <v>tortuosum</v>
      </c>
      <c r="J111" s="62" t="str">
        <f>'1. Information samples'!J111</f>
        <v>Desmodium tortuosum</v>
      </c>
      <c r="K111" s="62" t="str">
        <f>'1. Information samples'!K111</f>
        <v>Fabaceae</v>
      </c>
      <c r="L111" s="62" t="str">
        <f>'1. Information samples'!L111</f>
        <v>Fabales</v>
      </c>
      <c r="M111" s="62" t="str">
        <f>'1. Information samples'!M111</f>
        <v>Shurb_Tree</v>
      </c>
      <c r="N111" s="77">
        <f>AVERAGEIFS('3.1. Gas prod VF'!$AG$13:$AG$1230,'3.1. Gas prod VF'!$L$13:$L$1230,$F111)</f>
        <v>40.342796032023408</v>
      </c>
      <c r="O111" s="20">
        <f>AVERAGE('3.1. Gas prod VF'!AH615,'3.1. Gas prod VF'!AH616,'3.1. Gas prod VF'!AH617,'3.1. Gas prod VF'!AH687,'3.1. Gas prod VF'!AH688,'3.1. Gas prod VF'!AH689,'3.1. Gas prod VF'!AH752,'3.1. Gas prod VF'!AH753)</f>
        <v>34.867086889878109</v>
      </c>
      <c r="P111" s="77">
        <f>AVERAGEIFS('3.1. Gas prod VF'!$AI$13:$AI$1230,'3.1. Gas prod VF'!$L$13:$L$1230,$F111)</f>
        <v>77.607536004982961</v>
      </c>
      <c r="Q111" s="77">
        <f>AVERAGEIFS('3.1. Gas prod VF'!$AJ$13:$AJ$1230,'3.1. Gas prod VF'!$L$13:$L$1230,$F111)</f>
        <v>5.7127976409975414</v>
      </c>
      <c r="R111" s="77">
        <f>AVERAGEIFS('3.1. Gas prod VF'!$AK$13:$AK$1230,'3.1. Gas prod VF'!$L$13:$L$1230,$F111)</f>
        <v>6.4622793658311632</v>
      </c>
      <c r="S111" s="77">
        <f>AVERAGEIFS('3.1. Gas prod VF'!$AL$13:$AL$1230,'3.1. Gas prod VF'!$L$13:$L$1230,$F111)</f>
        <v>12.175077006828706</v>
      </c>
      <c r="T111" s="77">
        <f>AVERAGEIFS('3.1. Gas prod VF'!$AM$13:$AM$1230,'3.1. Gas prod VF'!$L$13:$L$1230,$F111)</f>
        <v>167.54971273613384</v>
      </c>
      <c r="U111" s="77">
        <f>AVERAGEIFS('3.1. Gas prod VF'!$AN$13:$AN$1230,'3.1. Gas prod VF'!$L$13:$L$1230,$F111)</f>
        <v>38.289702444848665</v>
      </c>
      <c r="V111" s="77">
        <f>AVERAGEIFS('3.1. Gas prod VF'!$AO$13:$AO$1230,'3.1. Gas prod VF'!$L$13:$L$1230,$F111)</f>
        <v>2.3103252785628454</v>
      </c>
      <c r="W111" s="77">
        <f>AVERAGEIFS('3.1. Gas prod VF'!$AP$13:$AP$1230,'3.1. Gas prod VF'!$L$13:$L$1230,$F111)</f>
        <v>14.112500000000001</v>
      </c>
      <c r="X111" s="77">
        <f>AVERAGEIFS('3.1. Gas prod VF'!$AQ$13:$AQ$1230,'3.1. Gas prod VF'!$L$13:$L$1230,$F111)</f>
        <v>15.65922023575293</v>
      </c>
      <c r="Y111" s="77">
        <f>AVERAGEIFS('3.1. Gas prod VF'!$AR$13:$AR$1230,'3.1. Gas prod VF'!$L$13:$L$1230,$F111)</f>
        <v>26.285292207709542</v>
      </c>
      <c r="Z111" s="77">
        <f>AVERAGEIFS('3.1. Gas prod VF'!$AS$13:$AS$1230,'3.1. Gas prod VF'!$L$13:$L$1230,$F111)</f>
        <v>69.814587454345329</v>
      </c>
      <c r="AA111" s="77">
        <f>AVERAGEIFS('3.1. Gas prod VF'!$AT$13:$AT$1230,'3.1. Gas prod VF'!$L$13:$L$1230,$F111)</f>
        <v>-3.5322359997477264</v>
      </c>
      <c r="AB111" s="77">
        <f>AVERAGEIFS('3.1. Gas prod VF'!$AU$13:$AU$1230,'3.1. Gas prod VF'!$L$13:$L$1230,$F111)</f>
        <v>14.588791938119762</v>
      </c>
      <c r="AC111" s="77">
        <f>AVERAGEIFS('3.1. Gas prod VF'!$AV$13:$AV$1230,'3.1. Gas prod VF'!$L$13:$L$1230,$F111)</f>
        <v>38.748303901996501</v>
      </c>
      <c r="AD111" s="20"/>
    </row>
    <row r="112" spans="2:30" x14ac:dyDescent="0.35">
      <c r="B112" s="62">
        <f>'1. Information samples'!B112</f>
        <v>102</v>
      </c>
      <c r="C112" s="62">
        <f>'1. Information samples'!C112</f>
        <v>46055</v>
      </c>
      <c r="D112" s="62" t="str">
        <f>'1. Information samples'!D112</f>
        <v>Genbank</v>
      </c>
      <c r="E112" s="62">
        <f>'1. Information samples'!E112</f>
        <v>29</v>
      </c>
      <c r="F112" s="62" t="str">
        <f>'1. Information samples'!F112</f>
        <v>F252612</v>
      </c>
      <c r="G112" s="62" t="str">
        <f>'1. Information samples'!G112</f>
        <v>CIAT23416</v>
      </c>
      <c r="H112" s="62" t="str">
        <f>'1. Information samples'!H112</f>
        <v>Codariocalyx</v>
      </c>
      <c r="I112" s="62" t="str">
        <f>'1. Information samples'!I112</f>
        <v>motorius</v>
      </c>
      <c r="J112" s="62" t="str">
        <f>'1. Information samples'!J112</f>
        <v>Codariocalyx motorius</v>
      </c>
      <c r="K112" s="62" t="str">
        <f>'1. Information samples'!K112</f>
        <v>Fabaceae</v>
      </c>
      <c r="L112" s="62" t="str">
        <f>'1. Information samples'!L112</f>
        <v>Fabales</v>
      </c>
      <c r="M112" s="62" t="str">
        <f>'1. Information samples'!M112</f>
        <v>Shurb_Tree</v>
      </c>
      <c r="N112" s="77">
        <f>AVERAGEIFS('3.1. Gas prod VF'!$AG$13:$AG$1230,'3.1. Gas prod VF'!$L$13:$L$1230,$F112)</f>
        <v>28.030296032023408</v>
      </c>
      <c r="O112" s="20">
        <f>AVERAGE('3.1. Gas prod VF'!AH618,'3.1. Gas prod VF'!AH619,'3.1. Gas prod VF'!AH620,'3.1. Gas prod VF'!AH690,'3.1. Gas prod VF'!AH691,'3.1. Gas prod VF'!AH692,'3.1. Gas prod VF'!AH754,'3.1. Gas prod VF'!AH755)</f>
        <v>38.117086889878109</v>
      </c>
      <c r="P112" s="77">
        <f>AVERAGEIFS('3.1. Gas prod VF'!$AI$13:$AI$1230,'3.1. Gas prod VF'!$L$13:$L$1230,$F112)</f>
        <v>61.857536004982947</v>
      </c>
      <c r="Q112" s="77">
        <f>AVERAGEIFS('3.1. Gas prod VF'!$AJ$13:$AJ$1230,'3.1. Gas prod VF'!$L$13:$L$1230,$F112)</f>
        <v>3.6562676658249078</v>
      </c>
      <c r="R112" s="77">
        <f>AVERAGEIFS('3.1. Gas prod VF'!$AK$13:$AK$1230,'3.1. Gas prod VF'!$L$13:$L$1230,$F112)</f>
        <v>5.3211209463442231</v>
      </c>
      <c r="S112" s="77">
        <f>AVERAGEIFS('3.1. Gas prod VF'!$AL$13:$AL$1230,'3.1. Gas prod VF'!$L$13:$L$1230,$F112)</f>
        <v>8.9773886121691309</v>
      </c>
      <c r="T112" s="77">
        <f>AVERAGEIFS('3.1. Gas prod VF'!$AM$13:$AM$1230,'3.1. Gas prod VF'!$L$13:$L$1230,$F112)</f>
        <v>133.23446710004322</v>
      </c>
      <c r="U112" s="77">
        <f>AVERAGEIFS('3.1. Gas prod VF'!$AN$13:$AN$1230,'3.1. Gas prod VF'!$L$13:$L$1230,$F112)</f>
        <v>36.608873264188404</v>
      </c>
      <c r="V112" s="77">
        <f>AVERAGEIFS('3.1. Gas prod VF'!$AO$13:$AO$1230,'3.1. Gas prod VF'!$L$13:$L$1230,$F112)</f>
        <v>2.7492213169024025</v>
      </c>
      <c r="W112" s="77">
        <f>AVERAGEIFS('3.1. Gas prod VF'!$AP$13:$AP$1230,'3.1. Gas prod VF'!$L$13:$L$1230,$F112)</f>
        <v>12.999999999999998</v>
      </c>
      <c r="X112" s="77">
        <f>AVERAGEIFS('3.1. Gas prod VF'!$AQ$13:$AQ$1230,'3.1. Gas prod VF'!$L$13:$L$1230,$F112)</f>
        <v>14.477818294746521</v>
      </c>
      <c r="Y112" s="77">
        <f>AVERAGEIFS('3.1. Gas prod VF'!$AR$13:$AR$1230,'3.1. Gas prod VF'!$L$13:$L$1230,$F112)</f>
        <v>19.336399391746781</v>
      </c>
      <c r="Z112" s="77">
        <f>AVERAGEIFS('3.1. Gas prod VF'!$AS$13:$AS$1230,'3.1. Gas prod VF'!$L$13:$L$1230,$F112)</f>
        <v>56.652235776749592</v>
      </c>
      <c r="AA112" s="77">
        <f>AVERAGEIFS('3.1. Gas prod VF'!$AT$13:$AT$1230,'3.1. Gas prod VF'!$L$13:$L$1230,$F112)</f>
        <v>-1.1899983214186762</v>
      </c>
      <c r="AB112" s="77">
        <f>AVERAGEIFS('3.1. Gas prod VF'!$AU$13:$AU$1230,'3.1. Gas prod VF'!$L$13:$L$1230,$F112)</f>
        <v>10.732036202201328</v>
      </c>
      <c r="AC112" s="77">
        <f>AVERAGEIFS('3.1. Gas prod VF'!$AV$13:$AV$1230,'3.1. Gas prod VF'!$L$13:$L$1230,$F112)</f>
        <v>31.442970998583512</v>
      </c>
      <c r="AD112" s="20"/>
    </row>
    <row r="113" spans="2:30" x14ac:dyDescent="0.35">
      <c r="B113" s="62">
        <f>'1. Information samples'!B113</f>
        <v>103</v>
      </c>
      <c r="C113" s="62">
        <f>'1. Information samples'!C113</f>
        <v>46055</v>
      </c>
      <c r="D113" s="62" t="str">
        <f>'1. Information samples'!D113</f>
        <v>Genbank</v>
      </c>
      <c r="E113" s="62">
        <f>'1. Information samples'!E113</f>
        <v>29</v>
      </c>
      <c r="F113" s="62" t="str">
        <f>'1. Information samples'!F113</f>
        <v>F252613</v>
      </c>
      <c r="G113" s="62" t="str">
        <f>'1. Information samples'!G113</f>
        <v>CIAT23806</v>
      </c>
      <c r="H113" s="62" t="str">
        <f>'1. Information samples'!H113</f>
        <v>Desmodium</v>
      </c>
      <c r="I113" s="62" t="str">
        <f>'1. Information samples'!I113</f>
        <v>angustifolium</v>
      </c>
      <c r="J113" s="62" t="str">
        <f>'1. Information samples'!J113</f>
        <v>Desmodium angustifolium</v>
      </c>
      <c r="K113" s="62" t="str">
        <f>'1. Information samples'!K113</f>
        <v>Fabaceae</v>
      </c>
      <c r="L113" s="62" t="str">
        <f>'1. Information samples'!L113</f>
        <v>Fabales</v>
      </c>
      <c r="M113" s="62" t="str">
        <f>'1. Information samples'!M113</f>
        <v>Herbaceous</v>
      </c>
      <c r="N113" s="77">
        <f>AVERAGEIFS('3.1. Gas prod VF'!$AG$13:$AG$1230,'3.1. Gas prod VF'!$L$13:$L$1230,$F113)</f>
        <v>39.467796032023408</v>
      </c>
      <c r="O113" s="20">
        <f>AVERAGE('3.1. Gas prod VF'!AH621,'3.1. Gas prod VF'!AH622,'3.1. Gas prod VF'!AH623,'3.1. Gas prod VF'!AH693,'3.1. Gas prod VF'!AH694,'3.1. Gas prod VF'!AH695,'3.1. Gas prod VF'!AH756,'3.1. Gas prod VF'!AH757)</f>
        <v>34.594251831821879</v>
      </c>
      <c r="P113" s="77">
        <f>AVERAGEIFS('3.1. Gas prod VF'!$AI$13:$AI$1230,'3.1. Gas prod VF'!$L$13:$L$1230,$F113)</f>
        <v>81.607536004982961</v>
      </c>
      <c r="Q113" s="77">
        <f>AVERAGEIFS('3.1. Gas prod VF'!$AJ$13:$AJ$1230,'3.1. Gas prod VF'!$L$13:$L$1230,$F113)</f>
        <v>5.3435821131163772</v>
      </c>
      <c r="R113" s="77">
        <f>AVERAGEIFS('3.1. Gas prod VF'!$AK$13:$AK$1230,'3.1. Gas prod VF'!$L$13:$L$1230,$F113)</f>
        <v>6.9905019683260861</v>
      </c>
      <c r="S113" s="77">
        <f>AVERAGEIFS('3.1. Gas prod VF'!$AL$13:$AL$1230,'3.1. Gas prod VF'!$L$13:$L$1230,$F113)</f>
        <v>12.334084081442462</v>
      </c>
      <c r="T113" s="77">
        <f>AVERAGEIFS('3.1. Gas prod VF'!$AM$13:$AM$1230,'3.1. Gas prod VF'!$L$13:$L$1230,$F113)</f>
        <v>175.8052782169255</v>
      </c>
      <c r="U113" s="77">
        <f>AVERAGEIFS('3.1. Gas prod VF'!$AN$13:$AN$1230,'3.1. Gas prod VF'!$L$13:$L$1230,$F113)</f>
        <v>44.038551838559201</v>
      </c>
      <c r="V113" s="77">
        <f>AVERAGEIFS('3.1. Gas prod VF'!$AO$13:$AO$1230,'3.1. Gas prod VF'!$L$13:$L$1230,$F113)</f>
        <v>2.523779982851849</v>
      </c>
      <c r="W113" s="77">
        <f>AVERAGEIFS('3.1. Gas prod VF'!$AP$13:$AP$1230,'3.1. Gas prod VF'!$L$13:$L$1230,$F113)</f>
        <v>13.487500000000001</v>
      </c>
      <c r="X113" s="77">
        <f>AVERAGEIFS('3.1. Gas prod VF'!$AQ$13:$AQ$1230,'3.1. Gas prod VF'!$L$13:$L$1230,$F113)</f>
        <v>15.071313364601512</v>
      </c>
      <c r="Y113" s="77">
        <f>AVERAGEIFS('3.1. Gas prod VF'!$AR$13:$AR$1230,'3.1. Gas prod VF'!$L$13:$L$1230,$F113)</f>
        <v>26.571083671350991</v>
      </c>
      <c r="Z113" s="77">
        <f>AVERAGEIFS('3.1. Gas prod VF'!$AS$13:$AS$1230,'3.1. Gas prod VF'!$L$13:$L$1230,$F113)</f>
        <v>60.641409418464036</v>
      </c>
      <c r="AA113" s="77">
        <f>AVERAGEIFS('3.1. Gas prod VF'!$AT$13:$AT$1230,'3.1. Gas prod VF'!$L$13:$L$1230,$F113)</f>
        <v>2.1898800274977237</v>
      </c>
      <c r="AB113" s="77">
        <f>AVERAGEIFS('3.1. Gas prod VF'!$AU$13:$AU$1230,'3.1. Gas prod VF'!$L$13:$L$1230,$F113)</f>
        <v>14.747411144929753</v>
      </c>
      <c r="AC113" s="77">
        <f>AVERAGEIFS('3.1. Gas prod VF'!$AV$13:$AV$1230,'3.1. Gas prod VF'!$L$13:$L$1230,$F113)</f>
        <v>33.657031386580037</v>
      </c>
      <c r="AD113" s="20"/>
    </row>
    <row r="114" spans="2:30" x14ac:dyDescent="0.35">
      <c r="B114" s="62">
        <f>'1. Information samples'!B114</f>
        <v>104</v>
      </c>
      <c r="C114" s="62">
        <f>'1. Information samples'!C114</f>
        <v>46055</v>
      </c>
      <c r="D114" s="62" t="str">
        <f>'1. Information samples'!D114</f>
        <v>Genbank</v>
      </c>
      <c r="E114" s="62">
        <f>'1. Information samples'!E114</f>
        <v>29</v>
      </c>
      <c r="F114" s="62" t="str">
        <f>'1. Information samples'!F114</f>
        <v>F252614</v>
      </c>
      <c r="G114" s="62" t="str">
        <f>'1. Information samples'!G114</f>
        <v>CIAT24104</v>
      </c>
      <c r="H114" s="62" t="str">
        <f>'1. Information samples'!H114</f>
        <v>Macroptilium</v>
      </c>
      <c r="I114" s="62" t="str">
        <f>'1. Information samples'!I114</f>
        <v>atropurpureum</v>
      </c>
      <c r="J114" s="62" t="str">
        <f>'1. Information samples'!J114</f>
        <v>Macroptilium atropurpureum</v>
      </c>
      <c r="K114" s="62" t="str">
        <f>'1. Information samples'!K114</f>
        <v>Fabaceae</v>
      </c>
      <c r="L114" s="62" t="str">
        <f>'1. Information samples'!L114</f>
        <v>Fabales</v>
      </c>
      <c r="M114" s="62" t="str">
        <f>'1. Information samples'!M114</f>
        <v>Herbaceous</v>
      </c>
      <c r="N114" s="77">
        <f>AVERAGEIFS('3.1. Gas prod VF'!$AG$13:$AG$1230,'3.1. Gas prod VF'!$L$13:$L$1230,$F114)</f>
        <v>39.467796032023408</v>
      </c>
      <c r="O114" s="20">
        <f>AVERAGE('3.1. Gas prod VF'!AH624,'3.1. Gas prod VF'!AH625,'3.1. Gas prod VF'!AH626,'3.1. Gas prod VF'!AH696,'3.1. Gas prod VF'!AH697,'3.1. Gas prod VF'!AH698,'3.1. Gas prod VF'!AH758,'3.1. Gas prod VF'!AH759)</f>
        <v>33.393014722139732</v>
      </c>
      <c r="P114" s="77">
        <f>AVERAGEIFS('3.1. Gas prod VF'!$AI$13:$AI$1230,'3.1. Gas prod VF'!$L$13:$L$1230,$F114)</f>
        <v>73.732536004982961</v>
      </c>
      <c r="Q114" s="77">
        <f>AVERAGEIFS('3.1. Gas prod VF'!$AJ$13:$AJ$1230,'3.1. Gas prod VF'!$L$13:$L$1230,$F114)</f>
        <v>5.1104761192298769</v>
      </c>
      <c r="R114" s="77">
        <f>AVERAGEIFS('3.1. Gas prod VF'!$AK$13:$AK$1230,'3.1. Gas prod VF'!$L$13:$L$1230,$F114)</f>
        <v>5.5016335082200492</v>
      </c>
      <c r="S114" s="77">
        <f>AVERAGEIFS('3.1. Gas prod VF'!$AL$13:$AL$1230,'3.1. Gas prod VF'!$L$13:$L$1230,$F114)</f>
        <v>10.612109627449927</v>
      </c>
      <c r="T114" s="77">
        <f>AVERAGEIFS('3.1. Gas prod VF'!$AM$13:$AM$1230,'3.1. Gas prod VF'!$L$13:$L$1230,$F114)</f>
        <v>159.68126331273186</v>
      </c>
      <c r="U114" s="77">
        <f>AVERAGEIFS('3.1. Gas prod VF'!$AN$13:$AN$1230,'3.1. Gas prod VF'!$L$13:$L$1230,$F114)</f>
        <v>56.784114991824758</v>
      </c>
      <c r="V114" s="77">
        <f>AVERAGEIFS('3.1. Gas prod VF'!$AO$13:$AO$1230,'3.1. Gas prod VF'!$L$13:$L$1230,$F114)</f>
        <v>3.581693334979426</v>
      </c>
      <c r="W114" s="77">
        <f>AVERAGEIFS('3.1. Gas prod VF'!$AP$13:$AP$1230,'3.1. Gas prod VF'!$L$13:$L$1230,$F114)</f>
        <v>12.875000000000002</v>
      </c>
      <c r="X114" s="77">
        <f>AVERAGEIFS('3.1. Gas prod VF'!$AQ$13:$AQ$1230,'3.1. Gas prod VF'!$L$13:$L$1230,$F114)</f>
        <v>14.34775342396787</v>
      </c>
      <c r="Y114" s="77">
        <f>AVERAGEIFS('3.1. Gas prod VF'!$AR$13:$AR$1230,'3.1. Gas prod VF'!$L$13:$L$1230,$F114)</f>
        <v>22.98238340730509</v>
      </c>
      <c r="Z114" s="77">
        <f>AVERAGEIFS('3.1. Gas prod VF'!$AS$13:$AS$1230,'3.1. Gas prod VF'!$L$13:$L$1230,$F114)</f>
        <v>40.929447777627587</v>
      </c>
      <c r="AA114" s="77">
        <f>AVERAGEIFS('3.1. Gas prod VF'!$AT$13:$AT$1230,'3.1. Gas prod VF'!$L$13:$L$1230,$F114)</f>
        <v>0.6175091586603465</v>
      </c>
      <c r="AB114" s="77">
        <f>AVERAGEIFS('3.1. Gas prod VF'!$AU$13:$AU$1230,'3.1. Gas prod VF'!$L$13:$L$1230,$F114)</f>
        <v>12.755620410144417</v>
      </c>
      <c r="AC114" s="77">
        <f>AVERAGEIFS('3.1. Gas prod VF'!$AV$13:$AV$1230,'3.1. Gas prod VF'!$L$13:$L$1230,$F114)</f>
        <v>22.716551638517174</v>
      </c>
      <c r="AD114" s="20"/>
    </row>
    <row r="115" spans="2:30" x14ac:dyDescent="0.35">
      <c r="B115" s="62">
        <f>'1. Information samples'!B115</f>
        <v>105</v>
      </c>
      <c r="C115" s="62">
        <f>'1. Information samples'!C115</f>
        <v>46055</v>
      </c>
      <c r="D115" s="62" t="str">
        <f>'1. Information samples'!D115</f>
        <v>Genbank</v>
      </c>
      <c r="E115" s="62">
        <f>'1. Information samples'!E115</f>
        <v>29</v>
      </c>
      <c r="F115" s="62" t="str">
        <f>'1. Information samples'!F115</f>
        <v>F252615</v>
      </c>
      <c r="G115" s="62" t="str">
        <f>'1. Information samples'!G115</f>
        <v>CIAT24565</v>
      </c>
      <c r="H115" s="62" t="str">
        <f>'1. Information samples'!H115</f>
        <v>Vigna</v>
      </c>
      <c r="I115" s="62" t="str">
        <f>'1. Information samples'!I115</f>
        <v>unguiculata</v>
      </c>
      <c r="J115" s="62" t="str">
        <f>'1. Information samples'!J115</f>
        <v>Vigna unguiculata</v>
      </c>
      <c r="K115" s="62" t="str">
        <f>'1. Information samples'!K115</f>
        <v>Fabaceae</v>
      </c>
      <c r="L115" s="62" t="str">
        <f>'1. Information samples'!L115</f>
        <v>Fabales</v>
      </c>
      <c r="M115" s="62" t="str">
        <f>'1. Information samples'!M115</f>
        <v>Herbaceous</v>
      </c>
      <c r="N115" s="77">
        <f>AVERAGE('3.1. Gas prod VF'!AG825,'3.1. Gas prod VF'!AG826,'3.1. Gas prod VF'!AG827,'3.1. Gas prod VF'!AG897,'3.1. Gas prod VF'!AG898,'3.1. Gas prod VF'!AG899,'3.1. Gas prod VF'!AG960,'3.1. Gas prod VF'!AG961)</f>
        <v>30.861233672775345</v>
      </c>
      <c r="O115" s="77">
        <f>AVERAGE('3.1. Gas prod VF'!AH825,'3.1. Gas prod VF'!AH826,'3.1. Gas prod VF'!AH827,'3.1. Gas prod VF'!AH897,'3.1. Gas prod VF'!AH898,'3.1. Gas prod VF'!AH899,'3.1. Gas prod VF'!AH960,'3.1. Gas prod VF'!AH961)</f>
        <v>42.884766612821942</v>
      </c>
      <c r="P115" s="77">
        <f>AVERAGE('3.1. Gas prod VF'!AI825,'3.1. Gas prod VF'!AI826,'3.1. Gas prod VF'!AI827,'3.1. Gas prod VF'!AI897,'3.1. Gas prod VF'!AI898,'3.1. Gas prod VF'!AI899,'3.1. Gas prod VF'!AI960,'3.1. Gas prod VF'!AI961)</f>
        <v>73.74600028559729</v>
      </c>
      <c r="Q115" s="77">
        <f>AVERAGE('3.1. Gas prod VF'!AJ825,'3.1. Gas prod VF'!AJ826,'3.1. Gas prod VF'!AJ827,'3.1. Gas prod VF'!AJ897,'3.1. Gas prod VF'!AJ898,'3.1. Gas prod VF'!AJ899,'3.1. Gas prod VF'!AJ960,'3.1. Gas prod VF'!AJ961)</f>
        <v>4.0015376474516628</v>
      </c>
      <c r="R115" s="77">
        <f>AVERAGE('3.1. Gas prod VF'!AK825,'3.1. Gas prod VF'!AK826,'3.1. Gas prod VF'!AK827,'3.1. Gas prod VF'!AK897,'3.1. Gas prod VF'!AK898,'3.1. Gas prod VF'!AK899,'3.1. Gas prod VF'!AK960,'3.1. Gas prod VF'!AK961)</f>
        <v>6.6477751674716563</v>
      </c>
      <c r="S115" s="77">
        <f>AVERAGE('3.1. Gas prod VF'!AL825,'3.1. Gas prod VF'!AL826,'3.1. Gas prod VF'!AL827,'3.1. Gas prod VF'!AL897,'3.1. Gas prod VF'!AL898,'3.1. Gas prod VF'!AL899,'3.1. Gas prod VF'!AL960,'3.1. Gas prod VF'!AL961)</f>
        <v>10.649312814923318</v>
      </c>
      <c r="T115" s="77">
        <f>AVERAGE('3.1. Gas prod VF'!AM825,'3.1. Gas prod VF'!AM826,'3.1. Gas prod VF'!AM827,'3.1. Gas prod VF'!AM897,'3.1. Gas prod VF'!AM898,'3.1. Gas prod VF'!AM899,'3.1. Gas prod VF'!AM960,'3.1. Gas prod VF'!AM961)</f>
        <v>163.64911487071836</v>
      </c>
      <c r="U115" s="77">
        <f>AVERAGE('3.1. Gas prod VF'!AN825,'3.1. Gas prod VF'!AN826,'3.1. Gas prod VF'!AN827,'3.1. Gas prod VF'!AN897,'3.1. Gas prod VF'!AN898,'3.1. Gas prod VF'!AN899,'3.1. Gas prod VF'!AN960,'3.1. Gas prod VF'!AN961)</f>
        <v>50.413930226120833</v>
      </c>
      <c r="V115" s="77">
        <f>AVERAGE('3.1. Gas prod VF'!AO825,'3.1. Gas prod VF'!AO826,'3.1. Gas prod VF'!AO827,'3.1. Gas prod VF'!AO897,'3.1. Gas prod VF'!AO898,'3.1. Gas prod VF'!AO899,'3.1. Gas prod VF'!AO960,'3.1. Gas prod VF'!AO961)</f>
        <v>3.0845677687171444</v>
      </c>
      <c r="W115" s="77">
        <f>AVERAGE('3.1. Gas prod VF'!AP825,'3.1. Gas prod VF'!AP826,'3.1. Gas prod VF'!AP827,'3.1. Gas prod VF'!AP897,'3.1. Gas prod VF'!AP898,'3.1. Gas prod VF'!AP899,'3.1. Gas prod VF'!AP960,'3.1. Gas prod VF'!AP961)</f>
        <v>12.916666666666666</v>
      </c>
      <c r="X115" s="77">
        <f>AVERAGE('3.1. Gas prod VF'!AQ825,'3.1. Gas prod VF'!AQ826,'3.1. Gas prod VF'!AQ827,'3.1. Gas prod VF'!AQ897,'3.1. Gas prod VF'!AQ898,'3.1. Gas prod VF'!AQ899,'3.1. Gas prod VF'!AQ960,'3.1. Gas prod VF'!AQ961)</f>
        <v>14.381159119105982</v>
      </c>
      <c r="Y115" s="77">
        <f>AVERAGE('3.1. Gas prod VF'!AR825,'3.1. Gas prod VF'!AR826,'3.1. Gas prod VF'!AR827,'3.1. Gas prod VF'!AR897,'3.1. Gas prod VF'!AR898,'3.1. Gas prod VF'!AR899,'3.1. Gas prod VF'!AR960,'3.1. Gas prod VF'!AR961)</f>
        <v>23.631795306267353</v>
      </c>
      <c r="Z115" s="77">
        <f>AVERAGE('3.1. Gas prod VF'!AS825,'3.1. Gas prod VF'!AS826,'3.1. Gas prod VF'!AS827,'3.1. Gas prod VF'!AS897,'3.1. Gas prod VF'!AS898,'3.1. Gas prod VF'!AS899,'3.1. Gas prod VF'!AS960,'3.1. Gas prod VF'!AS961)</f>
        <v>46.921120059933024</v>
      </c>
      <c r="AA115" s="77">
        <f>AVERAGE('3.1. Gas prod VF'!AT825,'3.1. Gas prod VF'!AT826,'3.1. Gas prod VF'!AT827,'3.1. Gas prod VF'!AT897,'3.1. Gas prod VF'!AT898,'3.1. Gas prod VF'!AT899,'3.1. Gas prod VF'!AT960,'3.1. Gas prod VF'!AT961)</f>
        <v>6.9977520996644213E-2</v>
      </c>
      <c r="AB115" s="77">
        <f>AVERAGE('3.1. Gas prod VF'!AU825,'3.1. Gas prod VF'!AU826,'3.1. Gas prod VF'!AU827,'3.1. Gas prod VF'!AU897,'3.1. Gas prod VF'!AU898,'3.1. Gas prod VF'!AU899,'3.1. Gas prod VF'!AU960,'3.1. Gas prod VF'!AU961)</f>
        <v>13.116055249568454</v>
      </c>
      <c r="AC115" s="77">
        <f>AVERAGE('3.1. Gas prod VF'!AV825,'3.1. Gas prod VF'!AV826,'3.1. Gas prod VF'!AV827,'3.1. Gas prod VF'!AV897,'3.1. Gas prod VF'!AV898,'3.1. Gas prod VF'!AV899,'3.1. Gas prod VF'!AV960,'3.1. Gas prod VF'!AV961)</f>
        <v>26.042033417346914</v>
      </c>
      <c r="AD115" s="20"/>
    </row>
    <row r="116" spans="2:30" x14ac:dyDescent="0.35">
      <c r="B116" s="62">
        <f>'1. Information samples'!B116</f>
        <v>106</v>
      </c>
      <c r="C116" s="62">
        <f>'1. Information samples'!C116</f>
        <v>46055</v>
      </c>
      <c r="D116" s="62" t="str">
        <f>'1. Information samples'!D116</f>
        <v>Genbank</v>
      </c>
      <c r="E116" s="62">
        <f>'1. Information samples'!E116</f>
        <v>29</v>
      </c>
      <c r="F116" s="62" t="str">
        <f>'1. Information samples'!F116</f>
        <v>F252616</v>
      </c>
      <c r="G116" s="62" t="str">
        <f>'1. Information samples'!G116</f>
        <v>CIAT33561</v>
      </c>
      <c r="H116" s="62" t="str">
        <f>'1. Information samples'!H116</f>
        <v>Desmodium</v>
      </c>
      <c r="I116" s="62" t="str">
        <f>'1. Information samples'!I116</f>
        <v>wigginsii</v>
      </c>
      <c r="J116" s="62" t="str">
        <f>'1. Information samples'!J116</f>
        <v>Desmodium wigginsii</v>
      </c>
      <c r="K116" s="62" t="str">
        <f>'1. Information samples'!K116</f>
        <v>Fabaceae</v>
      </c>
      <c r="L116" s="62" t="str">
        <f>'1. Information samples'!L116</f>
        <v>Fabales</v>
      </c>
      <c r="M116" s="62" t="str">
        <f>'1. Information samples'!M116</f>
        <v>Herbaceous</v>
      </c>
      <c r="N116" s="77">
        <f>AVERAGEIFS('3.1. Gas prod VF'!$AG$13:$AG$1230,'3.1. Gas prod VF'!$L$13:$L$1230,$F116)</f>
        <v>40.780296032023408</v>
      </c>
      <c r="O116" s="20">
        <f>AVERAGE('3.1. Gas prod VF'!AH630,'3.1. Gas prod VF'!AH631,'3.1. Gas prod VF'!AH632,'3.1. Gas prod VF'!AH702,'3.1. Gas prod VF'!AH703,'3.1. Gas prod VF'!AH704,'3.1. Gas prod VF'!AH764,'3.1. Gas prod VF'!AH765)</f>
        <v>44.594251831821886</v>
      </c>
      <c r="P116" s="77">
        <f>AVERAGEIFS('3.1. Gas prod VF'!$AI$13:$AI$1230,'3.1. Gas prod VF'!$L$13:$L$1230,$F116)</f>
        <v>79.732536004982961</v>
      </c>
      <c r="Q116" s="77">
        <f>AVERAGEIFS('3.1. Gas prod VF'!$AJ$13:$AJ$1230,'3.1. Gas prod VF'!$L$13:$L$1230,$F116)</f>
        <v>5.689211272257932</v>
      </c>
      <c r="R116" s="77">
        <f>AVERAGEIFS('3.1. Gas prod VF'!$AK$13:$AK$1230,'3.1. Gas prod VF'!$L$13:$L$1230,$F116)</f>
        <v>6.5539777731245223</v>
      </c>
      <c r="S116" s="77">
        <f>AVERAGEIFS('3.1. Gas prod VF'!$AL$13:$AL$1230,'3.1. Gas prod VF'!$L$13:$L$1230,$F116)</f>
        <v>12.243189045382456</v>
      </c>
      <c r="T116" s="77">
        <f>AVERAGEIFS('3.1. Gas prod VF'!$AM$13:$AM$1230,'3.1. Gas prod VF'!$L$13:$L$1230,$F116)</f>
        <v>173.51182762202427</v>
      </c>
      <c r="U116" s="77">
        <f>AVERAGEIFS('3.1. Gas prod VF'!$AN$13:$AN$1230,'3.1. Gas prod VF'!$L$13:$L$1230,$F116)</f>
        <v>43.124693027525517</v>
      </c>
      <c r="V116" s="77">
        <f>AVERAGEIFS('3.1. Gas prod VF'!$AO$13:$AO$1230,'3.1. Gas prod VF'!$L$13:$L$1230,$F116)</f>
        <v>2.4876909728672092</v>
      </c>
      <c r="W116" s="77">
        <f>AVERAGEIFS('3.1. Gas prod VF'!$AP$13:$AP$1230,'3.1. Gas prod VF'!$L$13:$L$1230,$F116)</f>
        <v>13.887499999999999</v>
      </c>
      <c r="X116" s="77">
        <f>AVERAGEIFS('3.1. Gas prod VF'!$AQ$13:$AQ$1230,'3.1. Gas prod VF'!$L$13:$L$1230,$F116)</f>
        <v>15.315237895496638</v>
      </c>
      <c r="Y116" s="77">
        <f>AVERAGEIFS('3.1. Gas prod VF'!$AR$13:$AR$1230,'3.1. Gas prod VF'!$L$13:$L$1230,$F116)</f>
        <v>26.64323838324113</v>
      </c>
      <c r="Z116" s="77">
        <f>AVERAGEIFS('3.1. Gas prod VF'!$AS$13:$AS$1230,'3.1. Gas prod VF'!$L$13:$L$1230,$F116)</f>
        <v>62.432481004552763</v>
      </c>
      <c r="AA116" s="77">
        <f>AVERAGEIFS('3.1. Gas prod VF'!$AT$13:$AT$1230,'3.1. Gas prod VF'!$L$13:$L$1230,$F116)</f>
        <v>-1.6812708674650425</v>
      </c>
      <c r="AB116" s="77">
        <f>AVERAGEIFS('3.1. Gas prod VF'!$AU$13:$AU$1230,'3.1. Gas prod VF'!$L$13:$L$1230,$F116)</f>
        <v>14.787458258380196</v>
      </c>
      <c r="AC116" s="77">
        <f>AVERAGEIFS('3.1. Gas prod VF'!$AV$13:$AV$1230,'3.1. Gas prod VF'!$L$13:$L$1230,$F116)</f>
        <v>34.651107104256972</v>
      </c>
      <c r="AD116" s="20"/>
    </row>
    <row r="117" spans="2:30" x14ac:dyDescent="0.35">
      <c r="B117" s="62">
        <f>'1. Information samples'!B117</f>
        <v>107</v>
      </c>
      <c r="C117" s="62">
        <f>'1. Information samples'!C117</f>
        <v>46055</v>
      </c>
      <c r="D117" s="62" t="str">
        <f>'1. Information samples'!D117</f>
        <v>Genbank</v>
      </c>
      <c r="E117" s="62">
        <f>'1. Information samples'!E117</f>
        <v>29</v>
      </c>
      <c r="F117" s="62" t="str">
        <f>'1. Information samples'!F117</f>
        <v>F252617</v>
      </c>
      <c r="G117" s="62" t="str">
        <f>'1. Information samples'!G117</f>
        <v>CIAT34038</v>
      </c>
      <c r="H117" s="62" t="str">
        <f>'1. Information samples'!H117</f>
        <v>Vigna</v>
      </c>
      <c r="I117" s="62" t="str">
        <f>'1. Information samples'!I117</f>
        <v>unguiculata</v>
      </c>
      <c r="J117" s="62" t="str">
        <f>'1. Information samples'!J117</f>
        <v>Vigna unguiculata</v>
      </c>
      <c r="K117" s="62" t="str">
        <f>'1. Information samples'!K117</f>
        <v>Fabaceae</v>
      </c>
      <c r="L117" s="62" t="str">
        <f>'1. Information samples'!L117</f>
        <v>Fabales</v>
      </c>
      <c r="M117" s="62" t="str">
        <f>'1. Information samples'!M117</f>
        <v>Herbaceous</v>
      </c>
      <c r="N117" s="77">
        <f>AVERAGEIFS('3.1. Gas prod VF'!$AG$13:$AG$1230,'3.1. Gas prod VF'!$L$13:$L$1230,$F117)</f>
        <v>37.780296032023408</v>
      </c>
      <c r="O117" s="20">
        <f>AVERAGE('3.1. Gas prod VF'!AH633,'3.1. Gas prod VF'!AH634,'3.1. Gas prod VF'!AH635,'3.1. Gas prod VF'!AH705,'3.1. Gas prod VF'!AH706,'3.1. Gas prod VF'!AH707,'3.1. Gas prod VF'!AH766,'3.1. Gas prod VF'!AH767)</f>
        <v>40.046726691479286</v>
      </c>
      <c r="P117" s="77">
        <f>AVERAGEIFS('3.1. Gas prod VF'!$AI$13:$AI$1230,'3.1. Gas prod VF'!$L$13:$L$1230,$F117)</f>
        <v>82.420036004982961</v>
      </c>
      <c r="Q117" s="77">
        <f>AVERAGEIFS('3.1. Gas prod VF'!$AJ$13:$AJ$1230,'3.1. Gas prod VF'!$L$13:$L$1230,$F117)</f>
        <v>4.8818864467903342</v>
      </c>
      <c r="R117" s="77">
        <f>AVERAGEIFS('3.1. Gas prod VF'!$AK$13:$AK$1230,'3.1. Gas prod VF'!$L$13:$L$1230,$F117)</f>
        <v>7.0385146878991076</v>
      </c>
      <c r="S117" s="77">
        <f>AVERAGEIFS('3.1. Gas prod VF'!$AL$13:$AL$1230,'3.1. Gas prod VF'!$L$13:$L$1230,$F117)</f>
        <v>11.920401134689442</v>
      </c>
      <c r="T117" s="77">
        <f>AVERAGEIFS('3.1. Gas prod VF'!$AM$13:$AM$1230,'3.1. Gas prod VF'!$L$13:$L$1230,$F117)</f>
        <v>179.51810047238649</v>
      </c>
      <c r="U117" s="77">
        <f>AVERAGEIFS('3.1. Gas prod VF'!$AN$13:$AN$1230,'3.1. Gas prod VF'!$L$13:$L$1230,$F117)</f>
        <v>55.341035877914756</v>
      </c>
      <c r="V117" s="77">
        <f>AVERAGEIFS('3.1. Gas prod VF'!$AO$13:$AO$1230,'3.1. Gas prod VF'!$L$13:$L$1230,$F117)</f>
        <v>3.0885799534964726</v>
      </c>
      <c r="W117" s="77">
        <f>AVERAGEIFS('3.1. Gas prod VF'!$AP$13:$AP$1230,'3.1. Gas prod VF'!$L$13:$L$1230,$F117)</f>
        <v>12.9</v>
      </c>
      <c r="X117" s="77">
        <f>AVERAGEIFS('3.1. Gas prod VF'!$AQ$13:$AQ$1230,'3.1. Gas prod VF'!$L$13:$L$1230,$F117)</f>
        <v>14.436716095423986</v>
      </c>
      <c r="Y117" s="77">
        <f>AVERAGEIFS('3.1. Gas prod VF'!$AR$13:$AR$1230,'3.1. Gas prod VF'!$L$13:$L$1230,$F117)</f>
        <v>25.963661062426979</v>
      </c>
      <c r="Z117" s="77">
        <f>AVERAGEIFS('3.1. Gas prod VF'!$AS$13:$AS$1230,'3.1. Gas prod VF'!$L$13:$L$1230,$F117)</f>
        <v>47.67993336089701</v>
      </c>
      <c r="AA117" s="77">
        <f>AVERAGEIFS('3.1. Gas prod VF'!$AT$13:$AT$1230,'3.1. Gas prod VF'!$L$13:$L$1230,$F117)</f>
        <v>0.38499422495677227</v>
      </c>
      <c r="AB117" s="77">
        <f>AVERAGEIFS('3.1. Gas prod VF'!$AU$13:$AU$1230,'3.1. Gas prod VF'!$L$13:$L$1230,$F117)</f>
        <v>14.410281087935251</v>
      </c>
      <c r="AC117" s="77">
        <f>AVERAGEIFS('3.1. Gas prod VF'!$AV$13:$AV$1230,'3.1. Gas prod VF'!$L$13:$L$1230,$F117)</f>
        <v>26.463187927639723</v>
      </c>
      <c r="AD117" s="20"/>
    </row>
    <row r="118" spans="2:30" x14ac:dyDescent="0.35">
      <c r="B118" s="62">
        <f>'1. Information samples'!B118</f>
        <v>108</v>
      </c>
      <c r="C118" s="62">
        <f>'1. Information samples'!C118</f>
        <v>46055</v>
      </c>
      <c r="D118" s="62" t="str">
        <f>'1. Information samples'!D118</f>
        <v>Genbank</v>
      </c>
      <c r="E118" s="62">
        <f>'1. Information samples'!E118</f>
        <v>29</v>
      </c>
      <c r="F118" s="62" t="str">
        <f>'1. Information samples'!F118</f>
        <v>F252618</v>
      </c>
      <c r="G118" s="62" t="str">
        <f>'1. Information samples'!G118</f>
        <v>CIAT34040</v>
      </c>
      <c r="H118" s="62" t="str">
        <f>'1. Information samples'!H118</f>
        <v>Vigna</v>
      </c>
      <c r="I118" s="62" t="str">
        <f>'1. Information samples'!I118</f>
        <v>aconitifolia</v>
      </c>
      <c r="J118" s="62" t="str">
        <f>'1. Information samples'!J118</f>
        <v>Vigna aconitifolia</v>
      </c>
      <c r="K118" s="62" t="str">
        <f>'1. Information samples'!K118</f>
        <v>Fabaceae</v>
      </c>
      <c r="L118" s="62" t="str">
        <f>'1. Information samples'!L118</f>
        <v>Fabales</v>
      </c>
      <c r="M118" s="62" t="str">
        <f>'1. Information samples'!M118</f>
        <v>Herbaceous</v>
      </c>
      <c r="N118" s="77">
        <f>AVERAGEIFS('3.1. Gas prod VF'!$AG$13:$AG$1230,'3.1. Gas prod VF'!$L$13:$L$1230,$F118)</f>
        <v>44.967796032023408</v>
      </c>
      <c r="O118" s="20">
        <f>AVERAGE('3.1. Gas prod VF'!AH636,'3.1. Gas prod VF'!AH637,'3.1. Gas prod VF'!AH638,'3.1. Gas prod VF'!AH708,'3.1. Gas prod VF'!AH709,'3.1. Gas prod VF'!AH710,'3.1. Gas prod VF'!AH768,'3.1. Gas prod VF'!AH769)</f>
        <v>45.535871864996878</v>
      </c>
      <c r="P118" s="77">
        <f>AVERAGEIFS('3.1. Gas prod VF'!$AI$13:$AI$1230,'3.1. Gas prod VF'!$L$13:$L$1230,$F118)</f>
        <v>88.982536004982961</v>
      </c>
      <c r="Q118" s="77">
        <f>AVERAGEIFS('3.1. Gas prod VF'!$AJ$13:$AJ$1230,'3.1. Gas prod VF'!$L$13:$L$1230,$F118)</f>
        <v>6.1059582049662264</v>
      </c>
      <c r="R118" s="77">
        <f>AVERAGEIFS('3.1. Gas prod VF'!$AK$13:$AK$1230,'3.1. Gas prod VF'!$L$13:$L$1230,$F118)</f>
        <v>7.6225581141421399</v>
      </c>
      <c r="S118" s="77">
        <f>AVERAGEIFS('3.1. Gas prod VF'!$AL$13:$AL$1230,'3.1. Gas prod VF'!$L$13:$L$1230,$F118)</f>
        <v>13.728516319108367</v>
      </c>
      <c r="T118" s="77">
        <f>AVERAGEIFS('3.1. Gas prod VF'!$AM$13:$AM$1230,'3.1. Gas prod VF'!$L$13:$L$1230,$F118)</f>
        <v>196.20752898552411</v>
      </c>
      <c r="U118" s="77">
        <f>AVERAGEIFS('3.1. Gas prod VF'!$AN$13:$AN$1230,'3.1. Gas prod VF'!$L$13:$L$1230,$F118)</f>
        <v>54.282519425148188</v>
      </c>
      <c r="V118" s="77">
        <f>AVERAGEIFS('3.1. Gas prod VF'!$AO$13:$AO$1230,'3.1. Gas prod VF'!$L$13:$L$1230,$F118)</f>
        <v>2.7695288563144267</v>
      </c>
      <c r="W118" s="77">
        <f>AVERAGEIFS('3.1. Gas prod VF'!$AP$13:$AP$1230,'3.1. Gas prod VF'!$L$13:$L$1230,$F118)</f>
        <v>13.5</v>
      </c>
      <c r="X118" s="77">
        <f>AVERAGEIFS('3.1. Gas prod VF'!$AQ$13:$AQ$1230,'3.1. Gas prod VF'!$L$13:$L$1230,$F118)</f>
        <v>15.397918293750298</v>
      </c>
      <c r="Y118" s="77">
        <f>AVERAGEIFS('3.1. Gas prod VF'!$AR$13:$AR$1230,'3.1. Gas prod VF'!$L$13:$L$1230,$F118)</f>
        <v>30.271625268680808</v>
      </c>
      <c r="Z118" s="77">
        <f>AVERAGEIFS('3.1. Gas prod VF'!$AS$13:$AS$1230,'3.1. Gas prod VF'!$L$13:$L$1230,$F118)</f>
        <v>56.110298450481018</v>
      </c>
      <c r="AA118" s="77">
        <f>AVERAGEIFS('3.1. Gas prod VF'!$AT$13:$AT$1230,'3.1. Gas prod VF'!$L$13:$L$1230,$F118)</f>
        <v>5.8645885845682733</v>
      </c>
      <c r="AB118" s="77">
        <f>AVERAGEIFS('3.1. Gas prod VF'!$AU$13:$AU$1230,'3.1. Gas prod VF'!$L$13:$L$1230,$F118)</f>
        <v>16.801275754658832</v>
      </c>
      <c r="AC118" s="77">
        <f>AVERAGEIFS('3.1. Gas prod VF'!$AV$13:$AV$1230,'3.1. Gas prod VF'!$L$13:$L$1230,$F118)</f>
        <v>31.142186406426141</v>
      </c>
      <c r="AD118" s="20"/>
    </row>
    <row r="119" spans="2:30" x14ac:dyDescent="0.35">
      <c r="B119" s="62">
        <f>'1. Information samples'!B119</f>
        <v>109</v>
      </c>
      <c r="C119" s="62">
        <f>'1. Information samples'!C119</f>
        <v>46055</v>
      </c>
      <c r="D119" s="62" t="str">
        <f>'1. Information samples'!D119</f>
        <v>Genbank</v>
      </c>
      <c r="E119" s="62">
        <f>'1. Information samples'!E119</f>
        <v>29</v>
      </c>
      <c r="F119" s="62" t="str">
        <f>'1. Information samples'!F119</f>
        <v>F252619</v>
      </c>
      <c r="G119" s="62" t="str">
        <f>'1. Information samples'!G119</f>
        <v>CIAT34042</v>
      </c>
      <c r="H119" s="62" t="str">
        <f>'1. Information samples'!H119</f>
        <v>Vigna</v>
      </c>
      <c r="I119" s="62" t="str">
        <f>'1. Information samples'!I119</f>
        <v>aconitifolia</v>
      </c>
      <c r="J119" s="62" t="str">
        <f>'1. Information samples'!J119</f>
        <v>Vigna aconitifolia</v>
      </c>
      <c r="K119" s="62" t="str">
        <f>'1. Information samples'!K119</f>
        <v>Fabaceae</v>
      </c>
      <c r="L119" s="62" t="str">
        <f>'1. Information samples'!L119</f>
        <v>Fabales</v>
      </c>
      <c r="M119" s="62" t="str">
        <f>'1. Information samples'!M119</f>
        <v>Herbaceous</v>
      </c>
      <c r="N119" s="77">
        <f>AVERAGEIFS('3.1. Gas prod VF'!$AG$13:$AG$1230,'3.1. Gas prod VF'!$L$13:$L$1230,$F119)</f>
        <v>38.780296032023408</v>
      </c>
      <c r="O119" s="20">
        <f>AVERAGE('3.1. Gas prod VF'!AH639,'3.1. Gas prod VF'!AH640,'3.1. Gas prod VF'!AH641,'3.1. Gas prod VF'!AH711,'3.1. Gas prod VF'!AH712,'3.1. Gas prod VF'!AH713,'3.1. Gas prod VF'!AH770,'3.1. Gas prod VF'!AH771)</f>
        <v>43.95706137603122</v>
      </c>
      <c r="P119" s="77">
        <f>AVERAGEIFS('3.1. Gas prod VF'!$AI$13:$AI$1230,'3.1. Gas prod VF'!$L$13:$L$1230,$F119)</f>
        <v>83.582536004982956</v>
      </c>
      <c r="Q119" s="77">
        <f>AVERAGEIFS('3.1. Gas prod VF'!$AJ$13:$AJ$1230,'3.1. Gas prod VF'!$L$13:$L$1230,$F119)</f>
        <v>5.2525564883978824</v>
      </c>
      <c r="R119" s="77">
        <f>AVERAGEIFS('3.1. Gas prod VF'!$AK$13:$AK$1230,'3.1. Gas prod VF'!$L$13:$L$1230,$F119)</f>
        <v>7.4916488222132953</v>
      </c>
      <c r="S119" s="77">
        <f>AVERAGEIFS('3.1. Gas prod VF'!$AL$13:$AL$1230,'3.1. Gas prod VF'!$L$13:$L$1230,$F119)</f>
        <v>12.744205310611177</v>
      </c>
      <c r="T119" s="77">
        <f>AVERAGEIFS('3.1. Gas prod VF'!$AM$13:$AM$1230,'3.1. Gas prod VF'!$L$13:$L$1230,$F119)</f>
        <v>183.48470311949012</v>
      </c>
      <c r="U119" s="77">
        <f>AVERAGEIFS('3.1. Gas prod VF'!$AN$13:$AN$1230,'3.1. Gas prod VF'!$L$13:$L$1230,$F119)</f>
        <v>49.933042017416632</v>
      </c>
      <c r="V119" s="77">
        <f>AVERAGEIFS('3.1. Gas prod VF'!$AO$13:$AO$1230,'3.1. Gas prod VF'!$L$13:$L$1230,$F119)</f>
        <v>2.7269326389123569</v>
      </c>
      <c r="W119" s="77">
        <f>AVERAGEIFS('3.1. Gas prod VF'!$AP$13:$AP$1230,'3.1. Gas prod VF'!$L$13:$L$1230,$F119)</f>
        <v>13.475000000000001</v>
      </c>
      <c r="X119" s="77">
        <f>AVERAGEIFS('3.1. Gas prod VF'!$AQ$13:$AQ$1230,'3.1. Gas prod VF'!$L$13:$L$1230,$F119)</f>
        <v>15.204124305325507</v>
      </c>
      <c r="Y119" s="77">
        <f>AVERAGEIFS('3.1. Gas prod VF'!$AR$13:$AR$1230,'3.1. Gas prod VF'!$L$13:$L$1230,$F119)</f>
        <v>27.976745601153873</v>
      </c>
      <c r="Z119" s="77">
        <f>AVERAGEIFS('3.1. Gas prod VF'!$AS$13:$AS$1230,'3.1. Gas prod VF'!$L$13:$L$1230,$F119)</f>
        <v>56.265406240065431</v>
      </c>
      <c r="AA119" s="77">
        <f>AVERAGEIFS('3.1. Gas prod VF'!$AT$13:$AT$1230,'3.1. Gas prod VF'!$L$13:$L$1230,$F119)</f>
        <v>1.7902790036906855</v>
      </c>
      <c r="AB119" s="77">
        <f>AVERAGEIFS('3.1. Gas prod VF'!$AU$13:$AU$1230,'3.1. Gas prod VF'!$L$13:$L$1230,$F119)</f>
        <v>15.527577835380901</v>
      </c>
      <c r="AC119" s="77">
        <f>AVERAGEIFS('3.1. Gas prod VF'!$AV$13:$AV$1230,'3.1. Gas prod VF'!$L$13:$L$1230,$F119)</f>
        <v>31.228273913171265</v>
      </c>
      <c r="AD119" s="20"/>
    </row>
    <row r="120" spans="2:30" x14ac:dyDescent="0.35">
      <c r="B120" s="62">
        <f>'1. Information samples'!B120</f>
        <v>110</v>
      </c>
      <c r="C120" s="62">
        <f>'1. Information samples'!C120</f>
        <v>46055</v>
      </c>
      <c r="D120" s="62" t="str">
        <f>'1. Information samples'!D120</f>
        <v>Genbank</v>
      </c>
      <c r="E120" s="62">
        <f>'1. Information samples'!E120</f>
        <v>29</v>
      </c>
      <c r="F120" s="62" t="str">
        <f>'1. Information samples'!F120</f>
        <v>F252620</v>
      </c>
      <c r="G120" s="62" t="str">
        <f>'1. Information samples'!G120</f>
        <v>CIAT34044</v>
      </c>
      <c r="H120" s="62" t="str">
        <f>'1. Information samples'!H120</f>
        <v>Vigna</v>
      </c>
      <c r="I120" s="62" t="str">
        <f>'1. Information samples'!I120</f>
        <v>aconitifolia</v>
      </c>
      <c r="J120" s="62" t="str">
        <f>'1. Information samples'!J120</f>
        <v>Vigna aconitifolia</v>
      </c>
      <c r="K120" s="62" t="str">
        <f>'1. Information samples'!K120</f>
        <v>Fabaceae</v>
      </c>
      <c r="L120" s="62" t="str">
        <f>'1. Information samples'!L120</f>
        <v>Fabales</v>
      </c>
      <c r="M120" s="62" t="str">
        <f>'1. Information samples'!M120</f>
        <v>Herbaceous</v>
      </c>
      <c r="N120" s="77">
        <f>AVERAGE('3.1. Gas prod VF'!AG914,'3.1. Gas prod VF'!AG915,'3.1. Gas prod VF'!AG916,'3.1. Gas prod VF'!AG970,'3.1. Gas prod VF'!AG971)</f>
        <v>49.756479056111822</v>
      </c>
      <c r="O120" s="77">
        <f>AVERAGE('3.1. Gas prod VF'!AH914,'3.1. Gas prod VF'!AH915,'3.1. Gas prod VF'!AH916,'3.1. Gas prod VF'!AH970,'3.1. Gas prod VF'!AH971)</f>
        <v>51.249347131116529</v>
      </c>
      <c r="P120" s="77">
        <f>AVERAGE('3.1. Gas prod VF'!AI914,'3.1. Gas prod VF'!AI915,'3.1. Gas prod VF'!AI916,'3.1. Gas prod VF'!AI970,'3.1. Gas prod VF'!AI971)</f>
        <v>101.00582618722835</v>
      </c>
      <c r="Q120" s="77">
        <f>AVERAGE('3.1. Gas prod VF'!AJ914,'3.1. Gas prod VF'!AJ915,'3.1. Gas prod VF'!AJ916,'3.1. Gas prod VF'!AJ970,'3.1. Gas prod VF'!AJ971)</f>
        <v>7.0009000349760031</v>
      </c>
      <c r="R120" s="77">
        <f>AVERAGE('3.1. Gas prod VF'!AK914,'3.1. Gas prod VF'!AK915,'3.1. Gas prod VF'!AK916,'3.1. Gas prod VF'!AK970,'3.1. Gas prod VF'!AK971)</f>
        <v>9.0112663197411624</v>
      </c>
      <c r="S120" s="77">
        <f>AVERAGE('3.1. Gas prod VF'!AL914,'3.1. Gas prod VF'!AL915,'3.1. Gas prod VF'!AL916,'3.1. Gas prod VF'!AL970,'3.1. Gas prod VF'!AL971)</f>
        <v>16.012166354717166</v>
      </c>
      <c r="T120" s="77">
        <f>AVERAGE('3.1. Gas prod VF'!AM914,'3.1. Gas prod VF'!AM915,'3.1. Gas prod VF'!AM916,'3.1. Gas prod VF'!AM970,'3.1. Gas prod VF'!AM971)</f>
        <v>220.45714122836975</v>
      </c>
      <c r="U120" s="77">
        <f>AVERAGE('3.1. Gas prod VF'!AN914,'3.1. Gas prod VF'!AN915,'3.1. Gas prod VF'!AN916,'3.1. Gas prod VF'!AN970,'3.1. Gas prod VF'!AN971)</f>
        <v>57.399879971334954</v>
      </c>
      <c r="V120" s="77">
        <f>AVERAGE('3.1. Gas prod VF'!AO914,'3.1. Gas prod VF'!AO915,'3.1. Gas prod VF'!AO916,'3.1. Gas prod VF'!AO970,'3.1. Gas prod VF'!AO971)</f>
        <v>2.6101424205997406</v>
      </c>
      <c r="W120" s="77">
        <f>AVERAGE('3.1. Gas prod VF'!AP914,'3.1. Gas prod VF'!AP915,'3.1. Gas prod VF'!AP916,'3.1. Gas prod VF'!AP970,'3.1. Gas prod VF'!AP971)</f>
        <v>14.040000000000001</v>
      </c>
      <c r="X120" s="77">
        <f>AVERAGE('3.1. Gas prod VF'!AQ914,'3.1. Gas prod VF'!AQ915,'3.1. Gas prod VF'!AQ916,'3.1. Gas prod VF'!AQ970,'3.1. Gas prod VF'!AQ971)</f>
        <v>15.846278063988057</v>
      </c>
      <c r="Y120" s="77">
        <f>AVERAGE('3.1. Gas prod VF'!AR914,'3.1. Gas prod VF'!AR915,'3.1. Gas prod VF'!AR916,'3.1. Gas prod VF'!AR970,'3.1. Gas prod VF'!AR971)</f>
        <v>34.94843694006272</v>
      </c>
      <c r="Z120" s="77">
        <f>AVERAGE('3.1. Gas prod VF'!AS914,'3.1. Gas prod VF'!AS915,'3.1. Gas prod VF'!AS916,'3.1. Gas prod VF'!AS970,'3.1. Gas prod VF'!AS971)</f>
        <v>62.534854586960797</v>
      </c>
      <c r="AA120" s="77">
        <f>AVERAGE('3.1. Gas prod VF'!AT914,'3.1. Gas prod VF'!AT915,'3.1. Gas prod VF'!AT916,'3.1. Gas prod VF'!AT970,'3.1. Gas prod VF'!AT971)</f>
        <v>-1.7606185815726356</v>
      </c>
      <c r="AB120" s="77">
        <f>AVERAGE('3.1. Gas prod VF'!AU914,'3.1. Gas prod VF'!AU915,'3.1. Gas prod VF'!AU916,'3.1. Gas prod VF'!AU970,'3.1. Gas prod VF'!AU971)</f>
        <v>19.396987145972528</v>
      </c>
      <c r="AC120" s="77">
        <f>AVERAGE('3.1. Gas prod VF'!AV914,'3.1. Gas prod VF'!AV915,'3.1. Gas prod VF'!AV916,'3.1. Gas prod VF'!AV970,'3.1. Gas prod VF'!AV971)</f>
        <v>34.707926213662674</v>
      </c>
      <c r="AD120" s="20"/>
    </row>
    <row r="121" spans="2:30" x14ac:dyDescent="0.35">
      <c r="B121" s="62">
        <f>'1. Information samples'!B121</f>
        <v>111</v>
      </c>
      <c r="C121" s="62">
        <f>'1. Information samples'!C121</f>
        <v>46055</v>
      </c>
      <c r="D121" s="62" t="str">
        <f>'1. Information samples'!D121</f>
        <v>Genbank</v>
      </c>
      <c r="E121" s="62">
        <f>'1. Information samples'!E121</f>
        <v>29</v>
      </c>
      <c r="F121" s="62" t="str">
        <f>'1. Information samples'!F121</f>
        <v>F252621</v>
      </c>
      <c r="G121" s="62" t="str">
        <f>'1. Information samples'!G121</f>
        <v>CIAT34148</v>
      </c>
      <c r="H121" s="62" t="str">
        <f>'1. Information samples'!H121</f>
        <v>Vigna</v>
      </c>
      <c r="I121" s="62" t="str">
        <f>'1. Information samples'!I121</f>
        <v>radiata</v>
      </c>
      <c r="J121" s="62" t="str">
        <f>'1. Information samples'!J121</f>
        <v>Vigna radiata</v>
      </c>
      <c r="K121" s="62" t="str">
        <f>'1. Information samples'!K121</f>
        <v>Fabaceae</v>
      </c>
      <c r="L121" s="62" t="str">
        <f>'1. Information samples'!L121</f>
        <v>Fabales</v>
      </c>
      <c r="M121" s="62" t="str">
        <f>'1. Information samples'!M121</f>
        <v>Herbaceous</v>
      </c>
      <c r="N121" s="77">
        <f>AVERAGEIFS('3.1. Gas prod VF'!$AG$13:$AG$1230,'3.1. Gas prod VF'!$L$13:$L$1230,$F121)</f>
        <v>33.780296032023408</v>
      </c>
      <c r="O121" s="20">
        <f>AVERAGE('3.1. Gas prod VF'!AH647,'3.1. Gas prod VF'!AH648,'3.1. Gas prod VF'!AH649,'3.1. Gas prod VF'!AH719,'3.1. Gas prod VF'!AH720,'3.1. Gas prod VF'!AH721,'3.1. Gas prod VF'!AH774,'3.1. Gas prod VF'!AH775)</f>
        <v>45.513102198186253</v>
      </c>
      <c r="P121" s="77">
        <f>AVERAGEIFS('3.1. Gas prod VF'!$AI$13:$AI$1230,'3.1. Gas prod VF'!$L$13:$L$1230,$F121)</f>
        <v>76.982536004982961</v>
      </c>
      <c r="Q121" s="77">
        <f>AVERAGEIFS('3.1. Gas prod VF'!$AJ$13:$AJ$1230,'3.1. Gas prod VF'!$L$13:$L$1230,$F121)</f>
        <v>4.7077573663598127</v>
      </c>
      <c r="R121" s="77">
        <f>AVERAGEIFS('3.1. Gas prod VF'!$AK$13:$AK$1230,'3.1. Gas prod VF'!$L$13:$L$1230,$F121)</f>
        <v>7.1575154307391795</v>
      </c>
      <c r="S121" s="77">
        <f>AVERAGEIFS('3.1. Gas prod VF'!$AL$13:$AL$1230,'3.1. Gas prod VF'!$L$13:$L$1230,$F121)</f>
        <v>11.865272797098989</v>
      </c>
      <c r="T121" s="77">
        <f>AVERAGEIFS('3.1. Gas prod VF'!$AM$13:$AM$1230,'3.1. Gas prod VF'!$L$13:$L$1230,$F121)</f>
        <v>171.85141904236144</v>
      </c>
      <c r="U121" s="77">
        <f>AVERAGEIFS('3.1. Gas prod VF'!$AN$13:$AN$1230,'3.1. Gas prod VF'!$L$13:$L$1230,$F121)</f>
        <v>46.552425726667437</v>
      </c>
      <c r="V121" s="77">
        <f>AVERAGEIFS('3.1. Gas prod VF'!$AO$13:$AO$1230,'3.1. Gas prod VF'!$L$13:$L$1230,$F121)</f>
        <v>2.7229216599438471</v>
      </c>
      <c r="W121" s="77">
        <f>AVERAGEIFS('3.1. Gas prod VF'!$AP$13:$AP$1230,'3.1. Gas prod VF'!$L$13:$L$1230,$F121)</f>
        <v>13.887500000000001</v>
      </c>
      <c r="X121" s="77">
        <f>AVERAGEIFS('3.1. Gas prod VF'!$AQ$13:$AQ$1230,'3.1. Gas prod VF'!$L$13:$L$1230,$F121)</f>
        <v>15.40556575534395</v>
      </c>
      <c r="Y121" s="77">
        <f>AVERAGEIFS('3.1. Gas prod VF'!$AR$13:$AR$1230,'3.1. Gas prod VF'!$L$13:$L$1230,$F121)</f>
        <v>26.487355117019884</v>
      </c>
      <c r="Z121" s="77">
        <f>AVERAGEIFS('3.1. Gas prod VF'!$AS$13:$AS$1230,'3.1. Gas prod VF'!$L$13:$L$1230,$F121)</f>
        <v>58.173946758603876</v>
      </c>
      <c r="AA121" s="77">
        <f>AVERAGEIFS('3.1. Gas prod VF'!$AT$13:$AT$1230,'3.1. Gas prod VF'!$L$13:$L$1230,$F121)</f>
        <v>13.100718189953707</v>
      </c>
      <c r="AB121" s="77">
        <f>AVERAGEIFS('3.1. Gas prod VF'!$AU$13:$AU$1230,'3.1. Gas prod VF'!$L$13:$L$1230,$F121)</f>
        <v>14.700940348685084</v>
      </c>
      <c r="AC121" s="77">
        <f>AVERAGEIFS('3.1. Gas prod VF'!$AV$13:$AV$1230,'3.1. Gas prod VF'!$L$13:$L$1230,$F121)</f>
        <v>32.287546920692257</v>
      </c>
      <c r="AD121" s="20"/>
    </row>
    <row r="122" spans="2:30" x14ac:dyDescent="0.35">
      <c r="B122" s="62">
        <f>'1. Information samples'!B122</f>
        <v>112</v>
      </c>
      <c r="C122" s="62">
        <f>'1. Information samples'!C122</f>
        <v>46055</v>
      </c>
      <c r="D122" s="62" t="str">
        <f>'1. Information samples'!D122</f>
        <v>Genbank</v>
      </c>
      <c r="E122" s="62">
        <f>'1. Information samples'!E122</f>
        <v>29</v>
      </c>
      <c r="F122" s="62" t="str">
        <f>'1. Information samples'!F122</f>
        <v>F252622</v>
      </c>
      <c r="G122" s="62" t="str">
        <f>'1. Information samples'!G122</f>
        <v>CIAT34159</v>
      </c>
      <c r="H122" s="62" t="str">
        <f>'1. Information samples'!H122</f>
        <v>Vigna</v>
      </c>
      <c r="I122" s="62" t="str">
        <f>'1. Information samples'!I122</f>
        <v>unguiculata</v>
      </c>
      <c r="J122" s="62" t="str">
        <f>'1. Information samples'!J122</f>
        <v>Vigna unguiculata</v>
      </c>
      <c r="K122" s="62" t="str">
        <f>'1. Information samples'!K122</f>
        <v>Fabaceae</v>
      </c>
      <c r="L122" s="62" t="str">
        <f>'1. Information samples'!L122</f>
        <v>Fabales</v>
      </c>
      <c r="M122" s="62" t="str">
        <f>'1. Information samples'!M122</f>
        <v>Herbaceous</v>
      </c>
      <c r="N122" s="77">
        <f>AVERAGEIFS('3.1. Gas prod VF'!$AG$13:$AG$1230,'3.1. Gas prod VF'!$L$13:$L$1230,$F122)</f>
        <v>44.967796032023408</v>
      </c>
      <c r="O122" s="20">
        <f>AVERAGE('3.1. Gas prod VF'!AH650,'3.1. Gas prod VF'!AH651,'3.1. Gas prod VF'!AH652,'3.1. Gas prod VF'!AH722,'3.1. Gas prod VF'!AH723,'3.1. Gas prod VF'!AH724,'3.1. Gas prod VF'!AH776,'3.1. Gas prod VF'!AH777)</f>
        <v>34.262010348337398</v>
      </c>
      <c r="P122" s="77">
        <f>AVERAGEIFS('3.1. Gas prod VF'!$AI$13:$AI$1230,'3.1. Gas prod VF'!$L$13:$L$1230,$F122)</f>
        <v>89.107536004982961</v>
      </c>
      <c r="Q122" s="77">
        <f>AVERAGEIFS('3.1. Gas prod VF'!$AJ$13:$AJ$1230,'3.1. Gas prod VF'!$L$13:$L$1230,$F122)</f>
        <v>6.3531068654479945</v>
      </c>
      <c r="R122" s="77">
        <f>AVERAGEIFS('3.1. Gas prod VF'!$AK$13:$AK$1230,'3.1. Gas prod VF'!$L$13:$L$1230,$F122)</f>
        <v>7.2370206142246785</v>
      </c>
      <c r="S122" s="77">
        <f>AVERAGEIFS('3.1. Gas prod VF'!$AL$13:$AL$1230,'3.1. Gas prod VF'!$L$13:$L$1230,$F122)</f>
        <v>13.590127479672674</v>
      </c>
      <c r="T122" s="77">
        <f>AVERAGEIFS('3.1. Gas prod VF'!$AM$13:$AM$1230,'3.1. Gas prod VF'!$L$13:$L$1230,$F122)</f>
        <v>196.90230741193864</v>
      </c>
      <c r="U122" s="77">
        <f>AVERAGEIFS('3.1. Gas prod VF'!$AN$13:$AN$1230,'3.1. Gas prod VF'!$L$13:$L$1230,$F122)</f>
        <v>54.020988145734457</v>
      </c>
      <c r="V122" s="77">
        <f>AVERAGEIFS('3.1. Gas prod VF'!$AO$13:$AO$1230,'3.1. Gas prod VF'!$L$13:$L$1230,$F122)</f>
        <v>2.7573638465906893</v>
      </c>
      <c r="W122" s="77">
        <f>AVERAGEIFS('3.1. Gas prod VF'!$AP$13:$AP$1230,'3.1. Gas prod VF'!$L$13:$L$1230,$F122)</f>
        <v>14.087500000000002</v>
      </c>
      <c r="X122" s="77">
        <f>AVERAGEIFS('3.1. Gas prod VF'!$AQ$13:$AQ$1230,'3.1. Gas prod VF'!$L$13:$L$1230,$F122)</f>
        <v>15.220337426668895</v>
      </c>
      <c r="Y122" s="77">
        <f>AVERAGEIFS('3.1. Gas prod VF'!$AR$13:$AR$1230,'3.1. Gas prod VF'!$L$13:$L$1230,$F122)</f>
        <v>30.030238475915567</v>
      </c>
      <c r="Z122" s="77">
        <f>AVERAGEIFS('3.1. Gas prod VF'!$AS$13:$AS$1230,'3.1. Gas prod VF'!$L$13:$L$1230,$F122)</f>
        <v>56.719454131078535</v>
      </c>
      <c r="AA122" s="77">
        <f>AVERAGEIFS('3.1. Gas prod VF'!$AT$13:$AT$1230,'3.1. Gas prod VF'!$L$13:$L$1230,$F122)</f>
        <v>1.4453559782409446</v>
      </c>
      <c r="AB122" s="77">
        <f>AVERAGEIFS('3.1. Gas prod VF'!$AU$13:$AU$1230,'3.1. Gas prod VF'!$L$13:$L$1230,$F122)</f>
        <v>16.667301908432034</v>
      </c>
      <c r="AC122" s="77">
        <f>AVERAGEIFS('3.1. Gas prod VF'!$AV$13:$AV$1230,'3.1. Gas prod VF'!$L$13:$L$1230,$F122)</f>
        <v>31.480278348183383</v>
      </c>
      <c r="AD122" s="20"/>
    </row>
    <row r="123" spans="2:30" x14ac:dyDescent="0.35">
      <c r="B123" s="62">
        <f>'1. Information samples'!B123</f>
        <v>113</v>
      </c>
      <c r="C123" s="62">
        <f>'1. Information samples'!C123</f>
        <v>46055</v>
      </c>
      <c r="D123" s="62" t="str">
        <f>'1. Information samples'!D123</f>
        <v>Genbank</v>
      </c>
      <c r="E123" s="62">
        <f>'1. Information samples'!E123</f>
        <v>29</v>
      </c>
      <c r="F123" s="62" t="str">
        <f>'1. Information samples'!F123</f>
        <v>F252623</v>
      </c>
      <c r="G123" s="62" t="str">
        <f>'1. Information samples'!G123</f>
        <v>CIAT34347</v>
      </c>
      <c r="H123" s="62" t="str">
        <f>'1. Information samples'!H123</f>
        <v>Vigna</v>
      </c>
      <c r="I123" s="62" t="str">
        <f>'1. Information samples'!I123</f>
        <v>unguiculata</v>
      </c>
      <c r="J123" s="62" t="str">
        <f>'1. Information samples'!J123</f>
        <v>Vigna unguiculata</v>
      </c>
      <c r="K123" s="62" t="str">
        <f>'1. Information samples'!K123</f>
        <v>Fabaceae</v>
      </c>
      <c r="L123" s="62" t="str">
        <f>'1. Information samples'!L123</f>
        <v>Fabales</v>
      </c>
      <c r="M123" s="62" t="str">
        <f>'1. Information samples'!M123</f>
        <v>Herbaceous</v>
      </c>
      <c r="N123" s="77">
        <f>AVERAGE('3.1. Gas prod VF'!AG923,'3.1. Gas prod VF'!AG924,'3.1. Gas prod VF'!AG925,'3.1. Gas prod VF'!AG976,'3.1. Gas prod VF'!AG977)</f>
        <v>42.006228418036379</v>
      </c>
      <c r="O123" s="77">
        <f>AVERAGE('3.1. Gas prod VF'!AH923,'3.1. Gas prod VF'!AH924,'3.1. Gas prod VF'!AH925,'3.1. Gas prod VF'!AH976,'3.1. Gas prod VF'!AH977)</f>
        <v>43.905387953271578</v>
      </c>
      <c r="P123" s="77">
        <f>AVERAGE('3.1. Gas prod VF'!AI923,'3.1. Gas prod VF'!AI924,'3.1. Gas prod VF'!AI925,'3.1. Gas prod VF'!AI976,'3.1. Gas prod VF'!AI977)</f>
        <v>85.911616371307957</v>
      </c>
      <c r="Q123" s="77">
        <f>AVERAGE('3.1. Gas prod VF'!AJ923,'3.1. Gas prod VF'!AJ924,'3.1. Gas prod VF'!AJ925,'3.1. Gas prod VF'!AJ976,'3.1. Gas prod VF'!AJ977)</f>
        <v>5.3206959918250494</v>
      </c>
      <c r="R123" s="77">
        <f>AVERAGE('3.1. Gas prod VF'!AK923,'3.1. Gas prod VF'!AK924,'3.1. Gas prod VF'!AK925,'3.1. Gas prod VF'!AK976,'3.1. Gas prod VF'!AK977)</f>
        <v>7.1257419914503375</v>
      </c>
      <c r="S123" s="77">
        <f>AVERAGE('3.1. Gas prod VF'!AL923,'3.1. Gas prod VF'!AL924,'3.1. Gas prod VF'!AL925,'3.1. Gas prod VF'!AL976,'3.1. Gas prod VF'!AL977)</f>
        <v>12.446437983275386</v>
      </c>
      <c r="T123" s="77">
        <f>AVERAGE('3.1. Gas prod VF'!AM923,'3.1. Gas prod VF'!AM924,'3.1. Gas prod VF'!AM925,'3.1. Gas prod VF'!AM976,'3.1. Gas prod VF'!AM977)</f>
        <v>191.89452483324433</v>
      </c>
      <c r="U123" s="77">
        <f>AVERAGE('3.1. Gas prod VF'!AN923,'3.1. Gas prod VF'!AN924,'3.1. Gas prod VF'!AN925,'3.1. Gas prod VF'!AN976,'3.1. Gas prod VF'!AN977)</f>
        <v>61.008109921277708</v>
      </c>
      <c r="V123" s="77">
        <f>AVERAGE('3.1. Gas prod VF'!AO923,'3.1. Gas prod VF'!AO924,'3.1. Gas prod VF'!AO925,'3.1. Gas prod VF'!AO976,'3.1. Gas prod VF'!AO977)</f>
        <v>3.1785295855989024</v>
      </c>
      <c r="W123" s="77">
        <f>AVERAGE('3.1. Gas prod VF'!AP923,'3.1. Gas prod VF'!AP924,'3.1. Gas prod VF'!AP925,'3.1. Gas prod VF'!AP976,'3.1. Gas prod VF'!AP977)</f>
        <v>12.666666666666666</v>
      </c>
      <c r="X123" s="77">
        <f>AVERAGE('3.1. Gas prod VF'!AQ923,'3.1. Gas prod VF'!AQ924,'3.1. Gas prod VF'!AQ925,'3.1. Gas prod VF'!AQ976,'3.1. Gas prod VF'!AQ977)</f>
        <v>14.49048809795314</v>
      </c>
      <c r="Y123" s="77">
        <f>AVERAGE('3.1. Gas prod VF'!AR923,'3.1. Gas prod VF'!AR924,'3.1. Gas prod VF'!AR925,'3.1. Gas prod VF'!AR976,'3.1. Gas prod VF'!AR977)</f>
        <v>27.800737948053726</v>
      </c>
      <c r="Z123" s="77">
        <f>AVERAGE('3.1. Gas prod VF'!AS923,'3.1. Gas prod VF'!AS924,'3.1. Gas prod VF'!AS925,'3.1. Gas prod VF'!AS976,'3.1. Gas prod VF'!AS977)</f>
        <v>45.642472402370252</v>
      </c>
      <c r="AA123" s="77">
        <f>AVERAGE('3.1. Gas prod VF'!AT923,'3.1. Gas prod VF'!AT924,'3.1. Gas prod VF'!AT925,'3.1. Gas prod VF'!AT976,'3.1. Gas prod VF'!AT977)</f>
        <v>2.1915412770886546</v>
      </c>
      <c r="AB123" s="77">
        <f>AVERAGE('3.1. Gas prod VF'!AU923,'3.1. Gas prod VF'!AU924,'3.1. Gas prod VF'!AU925,'3.1. Gas prod VF'!AU976,'3.1. Gas prod VF'!AU977)</f>
        <v>15.429890542795215</v>
      </c>
      <c r="AC123" s="77">
        <f>AVERAGE('3.1. Gas prod VF'!AV923,'3.1. Gas prod VF'!AV924,'3.1. Gas prod VF'!AV925,'3.1. Gas prod VF'!AV976,'3.1. Gas prod VF'!AV977)</f>
        <v>25.332361845467776</v>
      </c>
      <c r="AD123" s="20"/>
    </row>
    <row r="124" spans="2:30" x14ac:dyDescent="0.35">
      <c r="B124" s="62">
        <f>'1. Information samples'!B124</f>
        <v>114</v>
      </c>
      <c r="C124" s="62">
        <f>'1. Information samples'!C124</f>
        <v>46055</v>
      </c>
      <c r="D124" s="62" t="str">
        <f>'1. Information samples'!D124</f>
        <v>Genbank</v>
      </c>
      <c r="E124" s="62">
        <f>'1. Information samples'!E124</f>
        <v>29</v>
      </c>
      <c r="F124" s="62" t="str">
        <f>'1. Information samples'!F124</f>
        <v>F251692</v>
      </c>
      <c r="G124" s="62" t="str">
        <f>'1. Information samples'!G124</f>
        <v>CIAT-23715</v>
      </c>
      <c r="H124" s="62" t="str">
        <f>'1. Information samples'!H124</f>
        <v>Desmodium</v>
      </c>
      <c r="I124" s="62" t="str">
        <f>'1. Information samples'!I124</f>
        <v>sequax</v>
      </c>
      <c r="J124" s="62" t="str">
        <f>'1. Information samples'!J124</f>
        <v>Desmodium sequax</v>
      </c>
      <c r="K124" s="62" t="str">
        <f>'1. Information samples'!K124</f>
        <v>Fabaceae</v>
      </c>
      <c r="L124" s="62" t="str">
        <f>'1. Information samples'!L124</f>
        <v>Fabales</v>
      </c>
      <c r="M124" s="62" t="str">
        <f>'1. Information samples'!M124</f>
        <v>Shrub</v>
      </c>
      <c r="N124" s="77"/>
      <c r="O124" s="77"/>
      <c r="P124" s="77"/>
      <c r="Q124" s="77"/>
      <c r="R124" s="77"/>
      <c r="S124" s="77"/>
      <c r="T124" s="77"/>
      <c r="U124" s="77"/>
      <c r="V124" s="77"/>
      <c r="W124" s="77"/>
      <c r="X124" s="77"/>
      <c r="Y124" s="77"/>
      <c r="Z124" s="77"/>
      <c r="AA124" s="77"/>
      <c r="AB124" s="77"/>
      <c r="AC124" s="77"/>
      <c r="AD124" s="20" t="s">
        <v>710</v>
      </c>
    </row>
    <row r="125" spans="2:30" x14ac:dyDescent="0.35">
      <c r="B125" s="62">
        <f>'1. Information samples'!B125</f>
        <v>115</v>
      </c>
      <c r="C125" s="62">
        <f>'1. Information samples'!C125</f>
        <v>46055</v>
      </c>
      <c r="D125" s="62" t="str">
        <f>'1. Information samples'!D125</f>
        <v>Jacobo Arango/ Alejandro Montoya</v>
      </c>
      <c r="E125" s="62">
        <f>'1. Information samples'!E125</f>
        <v>29</v>
      </c>
      <c r="F125" s="62" t="str">
        <f>'1. Information samples'!F125</f>
        <v>F250008</v>
      </c>
      <c r="G125" s="62" t="str">
        <f>'1. Information samples'!G125</f>
        <v>Sample 8</v>
      </c>
      <c r="H125" s="62" t="str">
        <f>'1. Information samples'!H125</f>
        <v>Cynodon</v>
      </c>
      <c r="I125" s="62" t="str">
        <f>'1. Information samples'!I125</f>
        <v xml:space="preserve"> nlemfuensis </v>
      </c>
      <c r="J125" s="62" t="str">
        <f>'1. Information samples'!J125</f>
        <v xml:space="preserve">Cynodon nlemfuensis </v>
      </c>
      <c r="K125" s="62" t="str">
        <f>'1. Information samples'!K125</f>
        <v>Poaceae</v>
      </c>
      <c r="L125" s="62" t="str">
        <f>'1. Information samples'!L125</f>
        <v>Poales</v>
      </c>
      <c r="M125" s="62" t="str">
        <f>'1. Information samples'!M125</f>
        <v>grasses</v>
      </c>
      <c r="N125" s="77">
        <f>AVERAGE('3.1. Gas prod VF'!AG929,'3.1. Gas prod VF'!AG930,'3.1. Gas prod VF'!AG931,'3.1. Gas prod VF'!AG981)</f>
        <v>24.693415120442065</v>
      </c>
      <c r="O125" s="77">
        <f>AVERAGE('3.1. Gas prod VF'!AH929,'3.1. Gas prod VF'!AH930,'3.1. Gas prod VF'!AH931,'3.1. Gas prod VF'!AH981)</f>
        <v>40.475438980965393</v>
      </c>
      <c r="P125" s="77">
        <f>AVERAGE('3.1. Gas prod VF'!AI929,'3.1. Gas prod VF'!AI930,'3.1. Gas prod VF'!AI931,'3.1. Gas prod VF'!AI981)</f>
        <v>65.168854101407447</v>
      </c>
      <c r="Q125" s="77">
        <f>AVERAGE('3.1. Gas prod VF'!AJ929,'3.1. Gas prod VF'!AJ930,'3.1. Gas prod VF'!AJ931,'3.1. Gas prod VF'!AJ981)</f>
        <v>3.7686908925155822</v>
      </c>
      <c r="R125" s="77">
        <f>AVERAGE('3.1. Gas prod VF'!AK929,'3.1. Gas prod VF'!AK930,'3.1. Gas prod VF'!AK931,'3.1. Gas prod VF'!AK981)</f>
        <v>6.8518158919653249</v>
      </c>
      <c r="S125" s="77">
        <f>AVERAGE('3.1. Gas prod VF'!AL929,'3.1. Gas prod VF'!AL930,'3.1. Gas prod VF'!AL931,'3.1. Gas prod VF'!AL981)</f>
        <v>10.620506784480906</v>
      </c>
      <c r="T125" s="77">
        <f>AVERAGE('3.1. Gas prod VF'!AM929,'3.1. Gas prod VF'!AM930,'3.1. Gas prod VF'!AM931,'3.1. Gas prod VF'!AM981)</f>
        <v>139.2408004541777</v>
      </c>
      <c r="U125" s="77">
        <f>AVERAGE('3.1. Gas prod VF'!AN929,'3.1. Gas prod VF'!AN930,'3.1. Gas prod VF'!AN931,'3.1. Gas prod VF'!AN981)</f>
        <v>23.074923818842439</v>
      </c>
      <c r="V125" s="77">
        <f>AVERAGE('3.1. Gas prod VF'!AO929,'3.1. Gas prod VF'!AO930,'3.1. Gas prod VF'!AO931,'3.1. Gas prod VF'!AO981)</f>
        <v>1.665214795506766</v>
      </c>
      <c r="W125" s="77">
        <f>AVERAGE('3.1. Gas prod VF'!AP929,'3.1. Gas prod VF'!AP930,'3.1. Gas prod VF'!AP931,'3.1. Gas prod VF'!AP981)</f>
        <v>15.274999999999999</v>
      </c>
      <c r="X125" s="77">
        <f>AVERAGE('3.1. Gas prod VF'!AQ929,'3.1. Gas prod VF'!AQ930,'3.1. Gas prod VF'!AQ931,'3.1. Gas prod VF'!AQ981)</f>
        <v>16.280085647864965</v>
      </c>
      <c r="Y125" s="77">
        <f>AVERAGE('3.1. Gas prod VF'!AR929,'3.1. Gas prod VF'!AR930,'3.1. Gas prod VF'!AR931,'3.1. Gas prod VF'!AR981)</f>
        <v>22.692040614635712</v>
      </c>
      <c r="Z125" s="77">
        <f>AVERAGE('3.1. Gas prod VF'!AS929,'3.1. Gas prod VF'!AS930,'3.1. Gas prod VF'!AS931,'3.1. Gas prod VF'!AS981)</f>
        <v>123.47391077755914</v>
      </c>
      <c r="AA125" s="77">
        <f>AVERAGE('3.1. Gas prod VF'!AT929,'3.1. Gas prod VF'!AT930,'3.1. Gas prod VF'!AT931,'3.1. Gas prod VF'!AT981)</f>
        <v>2.1194346055026592</v>
      </c>
      <c r="AB125" s="77">
        <f>AVERAGE('3.1. Gas prod VF'!AU929,'3.1. Gas prod VF'!AU930,'3.1. Gas prod VF'!AU931,'3.1. Gas prod VF'!AU981)</f>
        <v>12.594475136981206</v>
      </c>
      <c r="AC125" s="77">
        <f>AVERAGE('3.1. Gas prod VF'!AV929,'3.1. Gas prod VF'!AV930,'3.1. Gas prod VF'!AV931,'3.1. Gas prod VF'!AV981)</f>
        <v>68.530156708375372</v>
      </c>
      <c r="AD125" s="20"/>
    </row>
    <row r="126" spans="2:30" x14ac:dyDescent="0.35">
      <c r="B126" s="62">
        <f>'1. Information samples'!B126</f>
        <v>116</v>
      </c>
      <c r="C126" s="62">
        <f>'1. Information samples'!C126</f>
        <v>46062</v>
      </c>
      <c r="D126" s="62" t="str">
        <f>'1. Information samples'!D126</f>
        <v>Genbank</v>
      </c>
      <c r="E126" s="62">
        <f>'1. Information samples'!E126</f>
        <v>30</v>
      </c>
      <c r="F126" s="62" t="str">
        <f>'1. Information samples'!F126</f>
        <v>F260013</v>
      </c>
      <c r="G126" s="62" t="str">
        <f>'1. Information samples'!G126</f>
        <v>CIAT590</v>
      </c>
      <c r="H126" s="62" t="str">
        <f>'1. Information samples'!H126</f>
        <v>Macroptilium</v>
      </c>
      <c r="I126" s="62" t="str">
        <f>'1. Information samples'!I126</f>
        <v>bracteatum</v>
      </c>
      <c r="J126" s="62" t="str">
        <f>'1. Information samples'!J126</f>
        <v>Macroptilium bracteatum</v>
      </c>
      <c r="K126" s="62" t="str">
        <f>'1. Information samples'!K126</f>
        <v>Fabaceae</v>
      </c>
      <c r="L126" s="62" t="str">
        <f>'1. Information samples'!L126</f>
        <v>Fabales</v>
      </c>
      <c r="M126" s="62" t="str">
        <f>'1. Information samples'!M126</f>
        <v>Herbaceous</v>
      </c>
      <c r="N126" s="77">
        <f>AVERAGEIFS('3.1. Gas prod VF'!$AG$13:$AG$1230,'3.1. Gas prod VF'!$L$13:$L$1230,$F126)</f>
        <v>37.657657418423227</v>
      </c>
      <c r="O126" s="20">
        <f>AVERAGE('3.1. Gas prod VF'!AH660,'3.1. Gas prod VF'!AH661,'3.1. Gas prod VF'!AH662,'3.1. Gas prod VF'!AH732,'3.1. Gas prod VF'!AH733,'3.1. Gas prod VF'!AH734,'3.1. Gas prod VF'!AH783,'3.1. Gas prod VF'!AH784)</f>
        <v>34.176857265255975</v>
      </c>
      <c r="P126" s="77">
        <f>AVERAGEIFS('3.1. Gas prod VF'!$AI$13:$AI$1230,'3.1. Gas prod VF'!$L$13:$L$1230,$F126)</f>
        <v>75.538611933685942</v>
      </c>
      <c r="Q126" s="77">
        <f>AVERAGEIFS('3.1. Gas prod VF'!$AJ$13:$AJ$1230,'3.1. Gas prod VF'!$L$13:$L$1230,$F126)</f>
        <v>4.9302515137858602</v>
      </c>
      <c r="R126" s="77">
        <f>AVERAGEIFS('3.1. Gas prod VF'!$AK$13:$AK$1230,'3.1. Gas prod VF'!$L$13:$L$1230,$F126)</f>
        <v>6.0779849537403789</v>
      </c>
      <c r="S126" s="77">
        <f>AVERAGEIFS('3.1. Gas prod VF'!$AL$13:$AL$1230,'3.1. Gas prod VF'!$L$13:$L$1230,$F126)</f>
        <v>11.00823646752624</v>
      </c>
      <c r="T126" s="77">
        <f>AVERAGEIFS('3.1. Gas prod VF'!$AM$13:$AM$1230,'3.1. Gas prod VF'!$L$13:$L$1230,$F126)</f>
        <v>163.09958650131873</v>
      </c>
      <c r="U126" s="77">
        <f>AVERAGEIFS('3.1. Gas prod VF'!$AN$13:$AN$1230,'3.1. Gas prod VF'!$L$13:$L$1230,$F126)</f>
        <v>44.663081626697796</v>
      </c>
      <c r="V126" s="77">
        <f>AVERAGEIFS('3.1. Gas prod VF'!$AO$13:$AO$1230,'3.1. Gas prod VF'!$L$13:$L$1230,$F126)</f>
        <v>2.7507673010003169</v>
      </c>
      <c r="W126" s="77">
        <f>AVERAGEIFS('3.1. Gas prod VF'!$AP$13:$AP$1230,'3.1. Gas prod VF'!$L$13:$L$1230,$F126)</f>
        <v>13.085714285714285</v>
      </c>
      <c r="X126" s="77">
        <f>AVERAGEIFS('3.1. Gas prod VF'!$AQ$13:$AQ$1230,'3.1. Gas prod VF'!$L$13:$L$1230,$F126)</f>
        <v>14.558435323513255</v>
      </c>
      <c r="Y126" s="77">
        <f>AVERAGEIFS('3.1. Gas prod VF'!$AR$13:$AR$1230,'3.1. Gas prod VF'!$L$13:$L$1230,$F126)</f>
        <v>23.768467143995881</v>
      </c>
      <c r="Z126" s="77">
        <f>AVERAGEIFS('3.1. Gas prod VF'!$AS$13:$AS$1230,'3.1. Gas prod VF'!$L$13:$L$1230,$F126)</f>
        <v>55.647634047348184</v>
      </c>
      <c r="AA126" s="77">
        <f>AVERAGEIFS('3.1. Gas prod VF'!$AT$13:$AT$1230,'3.1. Gas prod VF'!$L$13:$L$1230,$F126)</f>
        <v>-12.939658519840247</v>
      </c>
      <c r="AB126" s="77">
        <f>AVERAGEIFS('3.1. Gas prod VF'!$AU$13:$AU$1230,'3.1. Gas prod VF'!$L$13:$L$1230,$F126)</f>
        <v>13.191910484072453</v>
      </c>
      <c r="AC126" s="77">
        <f>AVERAGEIFS('3.1. Gas prod VF'!$AV$13:$AV$1230,'3.1. Gas prod VF'!$L$13:$L$1230,$F126)</f>
        <v>30.885399658112977</v>
      </c>
      <c r="AD126" s="20"/>
    </row>
    <row r="127" spans="2:30" x14ac:dyDescent="0.35">
      <c r="B127" s="62">
        <f>'1. Information samples'!B127</f>
        <v>117</v>
      </c>
      <c r="C127" s="62">
        <f>'1. Information samples'!C127</f>
        <v>46062</v>
      </c>
      <c r="D127" s="62" t="str">
        <f>'1. Information samples'!D127</f>
        <v>Genbank</v>
      </c>
      <c r="E127" s="62">
        <f>'1. Information samples'!E127</f>
        <v>30</v>
      </c>
      <c r="F127" s="62" t="str">
        <f>'1. Information samples'!F127</f>
        <v>F260014</v>
      </c>
      <c r="G127" s="62" t="str">
        <f>'1. Information samples'!G127</f>
        <v>CIAT778</v>
      </c>
      <c r="H127" s="62" t="str">
        <f>'1. Information samples'!H127</f>
        <v>Macroptilium</v>
      </c>
      <c r="I127" s="62" t="str">
        <f>'1. Information samples'!I127</f>
        <v>atropurpureum</v>
      </c>
      <c r="J127" s="62" t="str">
        <f>'1. Information samples'!J127</f>
        <v>Macroptilium atropurpureum</v>
      </c>
      <c r="K127" s="62" t="str">
        <f>'1. Information samples'!K127</f>
        <v>Fabaceae</v>
      </c>
      <c r="L127" s="62" t="str">
        <f>'1. Information samples'!L127</f>
        <v>Fabales</v>
      </c>
      <c r="M127" s="62" t="str">
        <f>'1. Information samples'!M127</f>
        <v>Herbaceous</v>
      </c>
      <c r="N127" s="77">
        <f>AVERAGEIFS('3.1. Gas prod VF'!$AG$13:$AG$1230,'3.1. Gas prod VF'!$L$13:$L$1230,$F127)</f>
        <v>31.657657418423231</v>
      </c>
      <c r="O127" s="20">
        <f>AVERAGE('3.1. Gas prod VF'!AH661,'3.1. Gas prod VF'!AH662,'3.1. Gas prod VF'!AH663,'3.1. Gas prod VF'!AH733,'3.1. Gas prod VF'!AH734,'3.1. Gas prod VF'!AH735,'3.1. Gas prod VF'!AH784,'3.1. Gas prod VF'!AH785)</f>
        <v>32.376857265255978</v>
      </c>
      <c r="P127" s="77">
        <f>AVERAGEIFS('3.1. Gas prod VF'!$AI$13:$AI$1230,'3.1. Gas prod VF'!$L$13:$L$1230,$F127)</f>
        <v>62.324326219400227</v>
      </c>
      <c r="Q127" s="77">
        <f>AVERAGEIFS('3.1. Gas prod VF'!$AJ$13:$AJ$1230,'3.1. Gas prod VF'!$L$13:$L$1230,$F127)</f>
        <v>3.5621699354821708</v>
      </c>
      <c r="R127" s="77">
        <f>AVERAGEIFS('3.1. Gas prod VF'!$AK$13:$AK$1230,'3.1. Gas prod VF'!$L$13:$L$1230,$F127)</f>
        <v>4.6328002815403044</v>
      </c>
      <c r="S127" s="77">
        <f>AVERAGEIFS('3.1. Gas prod VF'!$AL$13:$AL$1230,'3.1. Gas prod VF'!$L$13:$L$1230,$F127)</f>
        <v>8.1949702170224743</v>
      </c>
      <c r="T127" s="77">
        <f>AVERAGEIFS('3.1. Gas prod VF'!$AM$13:$AM$1230,'3.1. Gas prod VF'!$L$13:$L$1230,$F127)</f>
        <v>134.56704184760594</v>
      </c>
      <c r="U127" s="77">
        <f>AVERAGEIFS('3.1. Gas prod VF'!$AN$13:$AN$1230,'3.1. Gas prod VF'!$L$13:$L$1230,$F127)</f>
        <v>38.615757791194348</v>
      </c>
      <c r="V127" s="77">
        <f>AVERAGEIFS('3.1. Gas prod VF'!$AO$13:$AO$1230,'3.1. Gas prod VF'!$L$13:$L$1230,$F127)</f>
        <v>2.9168123132578154</v>
      </c>
      <c r="W127" s="77">
        <f>AVERAGEIFS('3.1. Gas prod VF'!$AP$13:$AP$1230,'3.1. Gas prod VF'!$L$13:$L$1230,$F127)</f>
        <v>11.242857142857144</v>
      </c>
      <c r="X127" s="77">
        <f>AVERAGEIFS('3.1. Gas prod VF'!$AQ$13:$AQ$1230,'3.1. Gas prod VF'!$L$13:$L$1230,$F127)</f>
        <v>13.132849432890222</v>
      </c>
      <c r="Y127" s="77">
        <f>AVERAGEIFS('3.1. Gas prod VF'!$AR$13:$AR$1230,'3.1. Gas prod VF'!$L$13:$L$1230,$F127)</f>
        <v>17.693982678784373</v>
      </c>
      <c r="Z127" s="77">
        <f>AVERAGEIFS('3.1. Gas prod VF'!$AS$13:$AS$1230,'3.1. Gas prod VF'!$L$13:$L$1230,$F127)</f>
        <v>48.69260094412698</v>
      </c>
      <c r="AA127" s="77">
        <f>AVERAGEIFS('3.1. Gas prod VF'!$AT$13:$AT$1230,'3.1. Gas prod VF'!$L$13:$L$1230,$F127)</f>
        <v>-1.0904982942078227</v>
      </c>
      <c r="AB127" s="77">
        <f>AVERAGEIFS('3.1. Gas prod VF'!$AU$13:$AU$1230,'3.1. Gas prod VF'!$L$13:$L$1230,$F127)</f>
        <v>9.8204665109931284</v>
      </c>
      <c r="AC127" s="77">
        <f>AVERAGEIFS('3.1. Gas prod VF'!$AV$13:$AV$1230,'3.1. Gas prod VF'!$L$13:$L$1230,$F127)</f>
        <v>27.025235956532761</v>
      </c>
      <c r="AD127" s="20"/>
    </row>
    <row r="128" spans="2:30" x14ac:dyDescent="0.35">
      <c r="B128" s="62">
        <f>'1. Information samples'!B128</f>
        <v>118</v>
      </c>
      <c r="C128" s="62">
        <f>'1. Information samples'!C128</f>
        <v>46062</v>
      </c>
      <c r="D128" s="62" t="str">
        <f>'1. Information samples'!D128</f>
        <v>Genbank</v>
      </c>
      <c r="E128" s="62">
        <f>'1. Information samples'!E128</f>
        <v>30</v>
      </c>
      <c r="F128" s="62" t="str">
        <f>'1. Information samples'!F128</f>
        <v>F260015</v>
      </c>
      <c r="G128" s="62" t="str">
        <f>'1. Information samples'!G128</f>
        <v>CIAT827</v>
      </c>
      <c r="H128" s="62" t="str">
        <f>'1. Information samples'!H128</f>
        <v>Indigofera</v>
      </c>
      <c r="I128" s="62" t="str">
        <f>'1. Information samples'!I128</f>
        <v>jamaicensis</v>
      </c>
      <c r="J128" s="62" t="str">
        <f>'1. Information samples'!J128</f>
        <v>Indigofera jamaicensis</v>
      </c>
      <c r="K128" s="62" t="str">
        <f>'1. Information samples'!K128</f>
        <v>Fabaceae</v>
      </c>
      <c r="L128" s="62" t="str">
        <f>'1. Information samples'!L128</f>
        <v>Fabales</v>
      </c>
      <c r="M128" s="62" t="str">
        <f>'1. Information samples'!M128</f>
        <v>Herbaceous</v>
      </c>
      <c r="N128" s="77">
        <f>AVERAGEIFS('3.1. Gas prod VF'!$AG$13:$AG$1230,'3.1. Gas prod VF'!$L$13:$L$1230,$F128)</f>
        <v>29.086228846994658</v>
      </c>
      <c r="O128" s="20">
        <f>AVERAGE('3.1. Gas prod VF'!AH662,'3.1. Gas prod VF'!AH663,'3.1. Gas prod VF'!AH664,'3.1. Gas prod VF'!AH734,'3.1. Gas prod VF'!AH735,'3.1. Gas prod VF'!AH736,'3.1. Gas prod VF'!AH785,'3.1. Gas prod VF'!AH786)</f>
        <v>37.876857265255978</v>
      </c>
      <c r="P128" s="77">
        <f>AVERAGEIFS('3.1. Gas prod VF'!$AI$13:$AI$1230,'3.1. Gas prod VF'!$L$13:$L$1230,$F128)</f>
        <v>71.610040505114512</v>
      </c>
      <c r="Q128" s="77">
        <f>AVERAGEIFS('3.1. Gas prod VF'!$AJ$13:$AJ$1230,'3.1. Gas prod VF'!$L$13:$L$1230,$F128)</f>
        <v>4.0616725788780297</v>
      </c>
      <c r="R128" s="77">
        <f>AVERAGEIFS('3.1. Gas prod VF'!$AK$13:$AK$1230,'3.1. Gas prod VF'!$L$13:$L$1230,$F128)</f>
        <v>6.9597439554399285</v>
      </c>
      <c r="S128" s="77">
        <f>AVERAGEIFS('3.1. Gas prod VF'!$AL$13:$AL$1230,'3.1. Gas prod VF'!$L$13:$L$1230,$F128)</f>
        <v>11.021416534317959</v>
      </c>
      <c r="T128" s="77">
        <f>AVERAGEIFS('3.1. Gas prod VF'!$AM$13:$AM$1230,'3.1. Gas prod VF'!$L$13:$L$1230,$F128)</f>
        <v>151.05851668919163</v>
      </c>
      <c r="U128" s="77">
        <f>AVERAGEIFS('3.1. Gas prod VF'!$AN$13:$AN$1230,'3.1. Gas prod VF'!$L$13:$L$1230,$F128)</f>
        <v>45.190316238625236</v>
      </c>
      <c r="V128" s="77">
        <f>AVERAGEIFS('3.1. Gas prod VF'!$AO$13:$AO$1230,'3.1. Gas prod VF'!$L$13:$L$1230,$F128)</f>
        <v>3.007175864431376</v>
      </c>
      <c r="W128" s="77">
        <f>AVERAGEIFS('3.1. Gas prod VF'!$AP$13:$AP$1230,'3.1. Gas prod VF'!$L$13:$L$1230,$F128)</f>
        <v>13.928571428571429</v>
      </c>
      <c r="X128" s="77">
        <f>AVERAGEIFS('3.1. Gas prod VF'!$AQ$13:$AQ$1230,'3.1. Gas prod VF'!$L$13:$L$1230,$F128)</f>
        <v>15.377935377344624</v>
      </c>
      <c r="Y128" s="77">
        <f>AVERAGEIFS('3.1. Gas prod VF'!$AR$13:$AR$1230,'3.1. Gas prod VF'!$L$13:$L$1230,$F128)</f>
        <v>23.249253838566499</v>
      </c>
      <c r="Z128" s="77">
        <f>AVERAGEIFS('3.1. Gas prod VF'!$AS$13:$AS$1230,'3.1. Gas prod VF'!$L$13:$L$1230,$F128)</f>
        <v>52.865899102527955</v>
      </c>
      <c r="AA128" s="77">
        <f>AVERAGEIFS('3.1. Gas prod VF'!$AT$13:$AT$1230,'3.1. Gas prod VF'!$L$13:$L$1230,$F128)</f>
        <v>-0.20629825572713006</v>
      </c>
      <c r="AB128" s="77">
        <f>AVERAGEIFS('3.1. Gas prod VF'!$AU$13:$AU$1230,'3.1. Gas prod VF'!$L$13:$L$1230,$F128)</f>
        <v>12.90373811662999</v>
      </c>
      <c r="AC128" s="77">
        <f>AVERAGEIFS('3.1. Gas prod VF'!$AV$13:$AV$1230,'3.1. Gas prod VF'!$L$13:$L$1230,$F128)</f>
        <v>29.341488636835582</v>
      </c>
      <c r="AD128" s="20"/>
    </row>
    <row r="129" spans="2:30" x14ac:dyDescent="0.35">
      <c r="B129" s="62">
        <f>'1. Information samples'!B129</f>
        <v>119</v>
      </c>
      <c r="C129" s="62">
        <f>'1. Information samples'!C129</f>
        <v>46062</v>
      </c>
      <c r="D129" s="62" t="str">
        <f>'1. Information samples'!D129</f>
        <v>Genbank</v>
      </c>
      <c r="E129" s="62">
        <f>'1. Information samples'!E129</f>
        <v>30</v>
      </c>
      <c r="F129" s="62" t="str">
        <f>'1. Information samples'!F129</f>
        <v>F260016</v>
      </c>
      <c r="G129" s="62" t="str">
        <f>'1. Information samples'!G129</f>
        <v>CIAT997</v>
      </c>
      <c r="H129" s="62" t="str">
        <f>'1. Information samples'!H129</f>
        <v>Macroptilium</v>
      </c>
      <c r="I129" s="62" t="str">
        <f>'1. Information samples'!I129</f>
        <v>atropurpureum</v>
      </c>
      <c r="J129" s="62" t="str">
        <f>'1. Information samples'!J129</f>
        <v>Macroptilium atropurpureum</v>
      </c>
      <c r="K129" s="62" t="str">
        <f>'1. Information samples'!K129</f>
        <v>Fabaceae</v>
      </c>
      <c r="L129" s="62" t="str">
        <f>'1. Information samples'!L129</f>
        <v>Fabales</v>
      </c>
      <c r="M129" s="62" t="str">
        <f>'1. Information samples'!M129</f>
        <v>Herbaceous</v>
      </c>
      <c r="N129" s="77">
        <f>AVERAGEIFS('3.1. Gas prod VF'!$AG$13:$AG$1230,'3.1. Gas prod VF'!$L$13:$L$1230,$F129)</f>
        <v>33.871943132708942</v>
      </c>
      <c r="O129" s="20">
        <f>AVERAGE('3.1. Gas prod VF'!AH663,'3.1. Gas prod VF'!AH664,'3.1. Gas prod VF'!AH665,'3.1. Gas prod VF'!AH735,'3.1. Gas prod VF'!AH736,'3.1. Gas prod VF'!AH737,'3.1. Gas prod VF'!AH786,'3.1. Gas prod VF'!AH787)</f>
        <v>43.301857265255975</v>
      </c>
      <c r="P129" s="77">
        <f>AVERAGEIFS('3.1. Gas prod VF'!$AI$13:$AI$1230,'3.1. Gas prod VF'!$L$13:$L$1230,$F129)</f>
        <v>64.25289764797165</v>
      </c>
      <c r="Q129" s="77">
        <f>AVERAGEIFS('3.1. Gas prod VF'!$AJ$13:$AJ$1230,'3.1. Gas prod VF'!$L$13:$L$1230,$F129)</f>
        <v>4.1078417113211492</v>
      </c>
      <c r="R129" s="77">
        <f>AVERAGEIFS('3.1. Gas prod VF'!$AK$13:$AK$1230,'3.1. Gas prod VF'!$L$13:$L$1230,$F129)</f>
        <v>4.7932128562455745</v>
      </c>
      <c r="S129" s="77">
        <f>AVERAGEIFS('3.1. Gas prod VF'!$AL$13:$AL$1230,'3.1. Gas prod VF'!$L$13:$L$1230,$F129)</f>
        <v>8.9010545675667228</v>
      </c>
      <c r="T129" s="77">
        <f>AVERAGEIFS('3.1. Gas prod VF'!$AM$13:$AM$1230,'3.1. Gas prod VF'!$L$13:$L$1230,$F129)</f>
        <v>137.29046901723382</v>
      </c>
      <c r="U129" s="77">
        <f>AVERAGEIFS('3.1. Gas prod VF'!$AN$13:$AN$1230,'3.1. Gas prod VF'!$L$13:$L$1230,$F129)</f>
        <v>42.423364428355349</v>
      </c>
      <c r="V129" s="77">
        <f>AVERAGEIFS('3.1. Gas prod VF'!$AO$13:$AO$1230,'3.1. Gas prod VF'!$L$13:$L$1230,$F129)</f>
        <v>3.0996495292763848</v>
      </c>
      <c r="W129" s="77">
        <f>AVERAGEIFS('3.1. Gas prod VF'!$AP$13:$AP$1230,'3.1. Gas prod VF'!$L$13:$L$1230,$F129)</f>
        <v>12.114285714285714</v>
      </c>
      <c r="X129" s="77">
        <f>AVERAGEIFS('3.1. Gas prod VF'!$AQ$13:$AQ$1230,'3.1. Gas prod VF'!$L$13:$L$1230,$F129)</f>
        <v>13.851130061880468</v>
      </c>
      <c r="Y129" s="77">
        <f>AVERAGEIFS('3.1. Gas prod VF'!$AR$13:$AR$1230,'3.1. Gas prod VF'!$L$13:$L$1230,$F129)</f>
        <v>19.019006443608568</v>
      </c>
      <c r="Z129" s="77">
        <f>AVERAGEIFS('3.1. Gas prod VF'!$AS$13:$AS$1230,'3.1. Gas prod VF'!$L$13:$L$1230,$F129)</f>
        <v>46.308711203640243</v>
      </c>
      <c r="AA129" s="77">
        <f>AVERAGEIFS('3.1. Gas prod VF'!$AT$13:$AT$1230,'3.1. Gas prod VF'!$L$13:$L$1230,$F129)</f>
        <v>-1.9959872199764199</v>
      </c>
      <c r="AB129" s="77">
        <f>AVERAGEIFS('3.1. Gas prod VF'!$AU$13:$AU$1230,'3.1. Gas prod VF'!$L$13:$L$1230,$F129)</f>
        <v>10.555877624757143</v>
      </c>
      <c r="AC129" s="77">
        <f>AVERAGEIFS('3.1. Gas prod VF'!$AV$13:$AV$1230,'3.1. Gas prod VF'!$L$13:$L$1230,$F129)</f>
        <v>25.702135906795483</v>
      </c>
      <c r="AD129" s="20"/>
    </row>
    <row r="130" spans="2:30" x14ac:dyDescent="0.35">
      <c r="B130" s="62">
        <f>'1. Information samples'!B130</f>
        <v>120</v>
      </c>
      <c r="C130" s="62">
        <f>'1. Information samples'!C130</f>
        <v>46062</v>
      </c>
      <c r="D130" s="62" t="str">
        <f>'1. Information samples'!D130</f>
        <v>Genbank</v>
      </c>
      <c r="E130" s="62">
        <f>'1. Information samples'!E130</f>
        <v>30</v>
      </c>
      <c r="F130" s="62" t="str">
        <f>'1. Information samples'!F130</f>
        <v>F260017</v>
      </c>
      <c r="G130" s="62" t="str">
        <f>'1. Information samples'!G130</f>
        <v>CIAT1405</v>
      </c>
      <c r="H130" s="62" t="str">
        <f>'1. Information samples'!H130</f>
        <v>Stylosanthes</v>
      </c>
      <c r="I130" s="62" t="str">
        <f>'1. Information samples'!I130</f>
        <v>capitata</v>
      </c>
      <c r="J130" s="62" t="str">
        <f>'1. Information samples'!J130</f>
        <v>Stylosanthes capitata</v>
      </c>
      <c r="K130" s="62" t="str">
        <f>'1. Information samples'!K130</f>
        <v>Fabaceae</v>
      </c>
      <c r="L130" s="62" t="str">
        <f>'1. Information samples'!L130</f>
        <v>Fabales</v>
      </c>
      <c r="M130" s="62" t="str">
        <f>'1. Information samples'!M130</f>
        <v>Herbaceous</v>
      </c>
      <c r="N130" s="77">
        <f>AVERAGEIFS('3.1. Gas prod VF'!$AG$13:$AG$1230,'3.1. Gas prod VF'!$L$13:$L$1230,$F130)</f>
        <v>35.059729844322668</v>
      </c>
      <c r="O130" s="20">
        <f>AVERAGE('3.1. Gas prod VF'!AH664,'3.1. Gas prod VF'!AH665,'3.1. Gas prod VF'!AH666,'3.1. Gas prod VF'!AH736,'3.1. Gas prod VF'!AH737,'3.1. Gas prod VF'!AH738,'3.1. Gas prod VF'!AH787,'3.1. Gas prod VF'!AH788)</f>
        <v>44.679768864852917</v>
      </c>
      <c r="P130" s="77">
        <f>AVERAGEIFS('3.1. Gas prod VF'!$AI$13:$AI$1230,'3.1. Gas prod VF'!$L$13:$L$1230,$F130)</f>
        <v>68.386078326657795</v>
      </c>
      <c r="Q130" s="77">
        <f>AVERAGEIFS('3.1. Gas prod VF'!$AJ$13:$AJ$1230,'3.1. Gas prod VF'!$L$13:$L$1230,$F130)</f>
        <v>4.6480420792038508</v>
      </c>
      <c r="R130" s="77">
        <f>AVERAGEIFS('3.1. Gas prod VF'!$AK$13:$AK$1230,'3.1. Gas prod VF'!$L$13:$L$1230,$F130)</f>
        <v>5.6659607548335487</v>
      </c>
      <c r="S130" s="77">
        <f>AVERAGEIFS('3.1. Gas prod VF'!$AL$13:$AL$1230,'3.1. Gas prod VF'!$L$13:$L$1230,$F130)</f>
        <v>10.314002834037399</v>
      </c>
      <c r="T130" s="77">
        <f>AVERAGEIFS('3.1. Gas prod VF'!$AM$13:$AM$1230,'3.1. Gas prod VF'!$L$13:$L$1230,$F130)</f>
        <v>144.45091180814475</v>
      </c>
      <c r="U130" s="77">
        <f>AVERAGEIFS('3.1. Gas prod VF'!$AN$13:$AN$1230,'3.1. Gas prod VF'!$L$13:$L$1230,$F130)</f>
        <v>38.765310515743501</v>
      </c>
      <c r="V130" s="77">
        <f>AVERAGEIFS('3.1. Gas prod VF'!$AO$13:$AO$1230,'3.1. Gas prod VF'!$L$13:$L$1230,$F130)</f>
        <v>2.7092836582993418</v>
      </c>
      <c r="W130" s="77">
        <f>AVERAGEIFS('3.1. Gas prod VF'!$AP$13:$AP$1230,'3.1. Gas prod VF'!$L$13:$L$1230,$F130)</f>
        <v>13.26</v>
      </c>
      <c r="X130" s="77">
        <f>AVERAGEIFS('3.1. Gas prod VF'!$AQ$13:$AQ$1230,'3.1. Gas prod VF'!$L$13:$L$1230,$F130)</f>
        <v>15.079607505772746</v>
      </c>
      <c r="Y130" s="77">
        <f>AVERAGEIFS('3.1. Gas prod VF'!$AR$13:$AR$1230,'3.1. Gas prod VF'!$L$13:$L$1230,$F130)</f>
        <v>21.786126111369427</v>
      </c>
      <c r="Z130" s="77">
        <f>AVERAGEIFS('3.1. Gas prod VF'!$AS$13:$AS$1230,'3.1. Gas prod VF'!$L$13:$L$1230,$F130)</f>
        <v>58.910108683515531</v>
      </c>
      <c r="AA130" s="77">
        <f>AVERAGEIFS('3.1. Gas prod VF'!$AT$13:$AT$1230,'3.1. Gas prod VF'!$L$13:$L$1230,$F130)</f>
        <v>2.047657525654496</v>
      </c>
      <c r="AB130" s="77">
        <f>AVERAGEIFS('3.1. Gas prod VF'!$AU$13:$AU$1230,'3.1. Gas prod VF'!$L$13:$L$1230,$F130)</f>
        <v>12.091676914407113</v>
      </c>
      <c r="AC130" s="77">
        <f>AVERAGEIFS('3.1. Gas prod VF'!$AV$13:$AV$1230,'3.1. Gas prod VF'!$L$13:$L$1230,$F130)</f>
        <v>32.696129525383711</v>
      </c>
      <c r="AD130" s="20" t="s">
        <v>710</v>
      </c>
    </row>
    <row r="131" spans="2:30" x14ac:dyDescent="0.35">
      <c r="B131" s="62">
        <f>'1. Information samples'!B131</f>
        <v>121</v>
      </c>
      <c r="C131" s="62">
        <f>'1. Information samples'!C131</f>
        <v>46062</v>
      </c>
      <c r="D131" s="62" t="str">
        <f>'1. Information samples'!D131</f>
        <v>Genbank</v>
      </c>
      <c r="E131" s="62">
        <f>'1. Information samples'!E131</f>
        <v>30</v>
      </c>
      <c r="F131" s="62" t="str">
        <f>'1. Information samples'!F131</f>
        <v>F260018</v>
      </c>
      <c r="G131" s="62" t="str">
        <f>'1. Information samples'!G131</f>
        <v>CIAT1812</v>
      </c>
      <c r="H131" s="62" t="str">
        <f>'1. Information samples'!H131</f>
        <v>Stylosanthes</v>
      </c>
      <c r="I131" s="62" t="str">
        <f>'1. Information samples'!I131</f>
        <v>viscosa</v>
      </c>
      <c r="J131" s="62" t="str">
        <f>'1. Information samples'!J131</f>
        <v>Stylosanthes viscosa</v>
      </c>
      <c r="K131" s="62" t="str">
        <f>'1. Information samples'!K131</f>
        <v>Fabaceae</v>
      </c>
      <c r="L131" s="62" t="str">
        <f>'1. Information samples'!L131</f>
        <v>Fabales</v>
      </c>
      <c r="M131" s="62" t="str">
        <f>'1. Information samples'!M131</f>
        <v>Herbaceous</v>
      </c>
      <c r="N131" s="77">
        <f>AVERAGEIFS('3.1. Gas prod VF'!$AG$13:$AG$1230,'3.1. Gas prod VF'!$L$13:$L$1230,$F131)</f>
        <v>23.555395460041538</v>
      </c>
      <c r="O131" s="20">
        <f>AVERAGE('3.1. Gas prod VF'!AH665,'3.1. Gas prod VF'!AH666,'3.1. Gas prod VF'!AH667,'3.1. Gas prod VF'!AH737,'3.1. Gas prod VF'!AH738,'3.1. Gas prod VF'!AH739,'3.1. Gas prod VF'!AH788,'3.1. Gas prod VF'!AH789)</f>
        <v>41.431224664651396</v>
      </c>
      <c r="P131" s="77">
        <f>AVERAGEIFS('3.1. Gas prod VF'!$AI$13:$AI$1230,'3.1. Gas prod VF'!$L$13:$L$1230,$F131)</f>
        <v>33.858284539328615</v>
      </c>
      <c r="Q131" s="77">
        <f>AVERAGEIFS('3.1. Gas prod VF'!$AJ$13:$AJ$1230,'3.1. Gas prod VF'!$L$13:$L$1230,$F131)</f>
        <v>2.9693056421563035</v>
      </c>
      <c r="R131" s="77">
        <f>AVERAGEIFS('3.1. Gas prod VF'!$AK$13:$AK$1230,'3.1. Gas prod VF'!$L$13:$L$1230,$F131)</f>
        <v>1.4996000210896414</v>
      </c>
      <c r="S131" s="77">
        <f>AVERAGEIFS('3.1. Gas prod VF'!$AL$13:$AL$1230,'3.1. Gas prod VF'!$L$13:$L$1230,$F131)</f>
        <v>4.4689056632459456</v>
      </c>
      <c r="T131" s="77">
        <f>AVERAGEIFS('3.1. Gas prod VF'!$AM$13:$AM$1230,'3.1. Gas prod VF'!$L$13:$L$1230,$F131)</f>
        <v>70.920221676610865</v>
      </c>
      <c r="U131" s="77">
        <f>AVERAGEIFS('3.1. Gas prod VF'!$AN$13:$AN$1230,'3.1. Gas prod VF'!$L$13:$L$1230,$F131)</f>
        <v>19.419899338511836</v>
      </c>
      <c r="V131" s="77">
        <f>AVERAGEIFS('3.1. Gas prod VF'!$AO$13:$AO$1230,'3.1. Gas prod VF'!$L$13:$L$1230,$F131)</f>
        <v>2.745172366132056</v>
      </c>
      <c r="W131" s="77">
        <f>AVERAGEIFS('3.1. Gas prod VF'!$AP$13:$AP$1230,'3.1. Gas prod VF'!$L$13:$L$1230,$F131)</f>
        <v>12.6</v>
      </c>
      <c r="X131" s="77">
        <f>AVERAGEIFS('3.1. Gas prod VF'!$AQ$13:$AQ$1230,'3.1. Gas prod VF'!$L$13:$L$1230,$F131)</f>
        <v>13.217570727390187</v>
      </c>
      <c r="Y131" s="77">
        <f>AVERAGEIFS('3.1. Gas prod VF'!$AR$13:$AR$1230,'3.1. Gas prod VF'!$L$13:$L$1230,$F131)</f>
        <v>9.3606715605565807</v>
      </c>
      <c r="Z131" s="77">
        <f>AVERAGEIFS('3.1. Gas prod VF'!$AS$13:$AS$1230,'3.1. Gas prod VF'!$L$13:$L$1230,$F131)</f>
        <v>51.649434792989531</v>
      </c>
      <c r="AA131" s="77">
        <f>AVERAGEIFS('3.1. Gas prod VF'!$AT$13:$AT$1230,'3.1. Gas prod VF'!$L$13:$L$1230,$F131)</f>
        <v>-0.10729493507402545</v>
      </c>
      <c r="AB131" s="77">
        <f>AVERAGEIFS('3.1. Gas prod VF'!$AU$13:$AU$1230,'3.1. Gas prod VF'!$L$13:$L$1230,$F131)</f>
        <v>5.1953346654438599</v>
      </c>
      <c r="AC131" s="77">
        <f>AVERAGEIFS('3.1. Gas prod VF'!$AV$13:$AV$1230,'3.1. Gas prod VF'!$L$13:$L$1230,$F131)</f>
        <v>28.666329898946444</v>
      </c>
      <c r="AD131" s="20"/>
    </row>
    <row r="132" spans="2:30" x14ac:dyDescent="0.35">
      <c r="B132" s="62">
        <f>'1. Information samples'!B132</f>
        <v>122</v>
      </c>
      <c r="C132" s="62">
        <f>'1. Information samples'!C132</f>
        <v>46062</v>
      </c>
      <c r="D132" s="62" t="str">
        <f>'1. Information samples'!D132</f>
        <v>Genbank</v>
      </c>
      <c r="E132" s="62">
        <f>'1. Information samples'!E132</f>
        <v>30</v>
      </c>
      <c r="F132" s="62" t="str">
        <f>'1. Information samples'!F132</f>
        <v>F260019</v>
      </c>
      <c r="G132" s="62" t="str">
        <f>'1. Information samples'!G132</f>
        <v>CIAT3694</v>
      </c>
      <c r="H132" s="62" t="str">
        <f>'1. Information samples'!H132</f>
        <v>Desmodium</v>
      </c>
      <c r="I132" s="62" t="str">
        <f>'1. Information samples'!I132</f>
        <v>sandwicense</v>
      </c>
      <c r="J132" s="62" t="str">
        <f>'1. Information samples'!J132</f>
        <v>Desmodium sandwicense</v>
      </c>
      <c r="K132" s="62" t="str">
        <f>'1. Information samples'!K132</f>
        <v>Fabaceae</v>
      </c>
      <c r="L132" s="62" t="str">
        <f>'1. Information samples'!L132</f>
        <v>Fabales</v>
      </c>
      <c r="M132" s="62" t="str">
        <f>'1. Information samples'!M132</f>
        <v>Herbaceous</v>
      </c>
      <c r="N132" s="77">
        <f>AVERAGEIFS('3.1. Gas prod VF'!$AG$13:$AG$1230,'3.1. Gas prod VF'!$L$13:$L$1230,$F132)</f>
        <v>27.586228846994658</v>
      </c>
      <c r="O132" s="20">
        <f>AVERAGE('3.1. Gas prod VF'!AH666,'3.1. Gas prod VF'!AH667,'3.1. Gas prod VF'!AH668,'3.1. Gas prod VF'!AH738,'3.1. Gas prod VF'!AH739,'3.1. Gas prod VF'!AH740,'3.1. Gas prod VF'!AH789,'3.1. Gas prod VF'!AH790)</f>
        <v>35.382098144530481</v>
      </c>
      <c r="P132" s="77">
        <f>AVERAGEIFS('3.1. Gas prod VF'!$AI$13:$AI$1230,'3.1. Gas prod VF'!$L$13:$L$1230,$F132)</f>
        <v>57.181469076543081</v>
      </c>
      <c r="Q132" s="77">
        <f>AVERAGEIFS('3.1. Gas prod VF'!$AJ$13:$AJ$1230,'3.1. Gas prod VF'!$L$13:$L$1230,$F132)</f>
        <v>3.8713286411376173</v>
      </c>
      <c r="R132" s="77">
        <f>AVERAGEIFS('3.1. Gas prod VF'!$AK$13:$AK$1230,'3.1. Gas prod VF'!$L$13:$L$1230,$F132)</f>
        <v>4.937157353493558</v>
      </c>
      <c r="S132" s="77">
        <f>AVERAGEIFS('3.1. Gas prod VF'!$AL$13:$AL$1230,'3.1. Gas prod VF'!$L$13:$L$1230,$F132)</f>
        <v>8.8084859946311749</v>
      </c>
      <c r="T132" s="77">
        <f>AVERAGEIFS('3.1. Gas prod VF'!$AM$13:$AM$1230,'3.1. Gas prod VF'!$L$13:$L$1230,$F132)</f>
        <v>121.01359185256982</v>
      </c>
      <c r="U132" s="77">
        <f>AVERAGEIFS('3.1. Gas prod VF'!$AN$13:$AN$1230,'3.1. Gas prod VF'!$L$13:$L$1230,$F132)</f>
        <v>21.403539141285744</v>
      </c>
      <c r="V132" s="77">
        <f>AVERAGEIFS('3.1. Gas prod VF'!$AO$13:$AO$1230,'3.1. Gas prod VF'!$L$13:$L$1230,$F132)</f>
        <v>1.7739540827591962</v>
      </c>
      <c r="W132" s="77">
        <f>AVERAGEIFS('3.1. Gas prod VF'!$AP$13:$AP$1230,'3.1. Gas prod VF'!$L$13:$L$1230,$F132)</f>
        <v>14.042857142857143</v>
      </c>
      <c r="X132" s="77">
        <f>AVERAGEIFS('3.1. Gas prod VF'!$AQ$13:$AQ$1230,'3.1. Gas prod VF'!$L$13:$L$1230,$F132)</f>
        <v>15.412065609929828</v>
      </c>
      <c r="Y132" s="77">
        <f>AVERAGEIFS('3.1. Gas prod VF'!$AR$13:$AR$1230,'3.1. Gas prod VF'!$L$13:$L$1230,$F132)</f>
        <v>18.641399812625647</v>
      </c>
      <c r="Z132" s="77">
        <f>AVERAGEIFS('3.1. Gas prod VF'!$AS$13:$AS$1230,'3.1. Gas prod VF'!$L$13:$L$1230,$F132)</f>
        <v>96.044028681776425</v>
      </c>
      <c r="AA132" s="77">
        <f>AVERAGEIFS('3.1. Gas prod VF'!$AT$13:$AT$1230,'3.1. Gas prod VF'!$L$13:$L$1230,$F132)</f>
        <v>-0.35956225458976604</v>
      </c>
      <c r="AB132" s="77">
        <f>AVERAGEIFS('3.1. Gas prod VF'!$AU$13:$AU$1230,'3.1. Gas prod VF'!$L$13:$L$1230,$F132)</f>
        <v>10.346299411574924</v>
      </c>
      <c r="AC132" s="77">
        <f>AVERAGEIFS('3.1. Gas prod VF'!$AV$13:$AV$1230,'3.1. Gas prod VF'!$L$13:$L$1230,$F132)</f>
        <v>53.306097579781785</v>
      </c>
      <c r="AD132" s="20"/>
    </row>
    <row r="133" spans="2:30" x14ac:dyDescent="0.35">
      <c r="B133" s="62">
        <f>'1. Information samples'!B133</f>
        <v>123</v>
      </c>
      <c r="C133" s="62">
        <f>'1. Information samples'!C133</f>
        <v>46062</v>
      </c>
      <c r="D133" s="62" t="str">
        <f>'1. Information samples'!D133</f>
        <v>Genbank</v>
      </c>
      <c r="E133" s="62">
        <f>'1. Information samples'!E133</f>
        <v>30</v>
      </c>
      <c r="F133" s="62" t="str">
        <f>'1. Information samples'!F133</f>
        <v>F260020</v>
      </c>
      <c r="G133" s="62" t="str">
        <f>'1. Information samples'!G133</f>
        <v>CIAT4080</v>
      </c>
      <c r="H133" s="62" t="str">
        <f>'1. Information samples'!H133</f>
        <v>Macroptilium</v>
      </c>
      <c r="I133" s="62" t="str">
        <f>'1. Information samples'!I133</f>
        <v>bracteatum</v>
      </c>
      <c r="J133" s="62" t="str">
        <f>'1. Information samples'!J133</f>
        <v>Macroptilium bracteatum</v>
      </c>
      <c r="K133" s="62" t="str">
        <f>'1. Information samples'!K133</f>
        <v>Fabaceae</v>
      </c>
      <c r="L133" s="62" t="str">
        <f>'1. Information samples'!L133</f>
        <v>Fabales</v>
      </c>
      <c r="M133" s="62" t="str">
        <f>'1. Information samples'!M133</f>
        <v>Herbaceous</v>
      </c>
      <c r="N133" s="77">
        <f>AVERAGEIFS('3.1. Gas prod VF'!$AG$13:$AG$1230,'3.1. Gas prod VF'!$L$13:$L$1230,$F133)</f>
        <v>36.086228846994658</v>
      </c>
      <c r="O133" s="20">
        <f>AVERAGE('3.1. Gas prod VF'!AH667,'3.1. Gas prod VF'!AH668,'3.1. Gas prod VF'!AH669,'3.1. Gas prod VF'!AH739,'3.1. Gas prod VF'!AH740,'3.1. Gas prod VF'!AH741,'3.1. Gas prod VF'!AH790,'3.1. Gas prod VF'!AH791)</f>
        <v>34.597891331318067</v>
      </c>
      <c r="P133" s="77">
        <f>AVERAGEIFS('3.1. Gas prod VF'!$AI$13:$AI$1230,'3.1. Gas prod VF'!$L$13:$L$1230,$F133)</f>
        <v>72.395754790828803</v>
      </c>
      <c r="Q133" s="77">
        <f>AVERAGEIFS('3.1. Gas prod VF'!$AJ$13:$AJ$1230,'3.1. Gas prod VF'!$L$13:$L$1230,$F133)</f>
        <v>4.8157382443253862</v>
      </c>
      <c r="R133" s="77">
        <f>AVERAGEIFS('3.1. Gas prod VF'!$AK$13:$AK$1230,'3.1. Gas prod VF'!$L$13:$L$1230,$F133)</f>
        <v>5.9755433958380282</v>
      </c>
      <c r="S133" s="77">
        <f>AVERAGEIFS('3.1. Gas prod VF'!$AL$13:$AL$1230,'3.1. Gas prod VF'!$L$13:$L$1230,$F133)</f>
        <v>10.791281640163415</v>
      </c>
      <c r="T133" s="77">
        <f>AVERAGEIFS('3.1. Gas prod VF'!$AM$13:$AM$1230,'3.1. Gas prod VF'!$L$13:$L$1230,$F133)</f>
        <v>152.87172071144454</v>
      </c>
      <c r="U133" s="77">
        <f>AVERAGEIFS('3.1. Gas prod VF'!$AN$13:$AN$1230,'3.1. Gas prod VF'!$L$13:$L$1230,$F133)</f>
        <v>38.613177272872683</v>
      </c>
      <c r="V133" s="77">
        <f>AVERAGEIFS('3.1. Gas prod VF'!$AO$13:$AO$1230,'3.1. Gas prod VF'!$L$13:$L$1230,$F133)</f>
        <v>2.5289882879280579</v>
      </c>
      <c r="W133" s="77">
        <f>AVERAGEIFS('3.1. Gas prod VF'!$AP$13:$AP$1230,'3.1. Gas prod VF'!$L$13:$L$1230,$F133)</f>
        <v>13.342857142857142</v>
      </c>
      <c r="X133" s="77">
        <f>AVERAGEIFS('3.1. Gas prod VF'!$AQ$13:$AQ$1230,'3.1. Gas prod VF'!$L$13:$L$1230,$F133)</f>
        <v>14.906225171190348</v>
      </c>
      <c r="Y133" s="77">
        <f>AVERAGEIFS('3.1. Gas prod VF'!$AR$13:$AR$1230,'3.1. Gas prod VF'!$L$13:$L$1230,$F133)</f>
        <v>22.786973189934788</v>
      </c>
      <c r="Z133" s="77">
        <f>AVERAGEIFS('3.1. Gas prod VF'!$AS$13:$AS$1230,'3.1. Gas prod VF'!$L$13:$L$1230,$F133)</f>
        <v>60.760435731156043</v>
      </c>
      <c r="AA133" s="77">
        <f>AVERAGEIFS('3.1. Gas prod VF'!$AT$13:$AT$1230,'3.1. Gas prod VF'!$L$13:$L$1230,$F133)</f>
        <v>-0.20507521774867801</v>
      </c>
      <c r="AB133" s="77">
        <f>AVERAGEIFS('3.1. Gas prod VF'!$AU$13:$AU$1230,'3.1. Gas prod VF'!$L$13:$L$1230,$F133)</f>
        <v>12.647164358704291</v>
      </c>
      <c r="AC133" s="77">
        <f>AVERAGEIFS('3.1. Gas prod VF'!$AV$13:$AV$1230,'3.1. Gas prod VF'!$L$13:$L$1230,$F133)</f>
        <v>33.72309304940287</v>
      </c>
      <c r="AD133" s="20"/>
    </row>
    <row r="134" spans="2:30" x14ac:dyDescent="0.35">
      <c r="B134" s="62">
        <f>'1. Information samples'!B134</f>
        <v>124</v>
      </c>
      <c r="C134" s="62">
        <f>'1. Information samples'!C134</f>
        <v>46062</v>
      </c>
      <c r="D134" s="62" t="str">
        <f>'1. Information samples'!D134</f>
        <v>Genbank</v>
      </c>
      <c r="E134" s="62">
        <f>'1. Information samples'!E134</f>
        <v>30</v>
      </c>
      <c r="F134" s="62" t="str">
        <f>'1. Information samples'!F134</f>
        <v>F260021</v>
      </c>
      <c r="G134" s="62" t="str">
        <f>'1. Information samples'!G134</f>
        <v>CIAT7162</v>
      </c>
      <c r="H134" s="62" t="str">
        <f>'1. Information samples'!H134</f>
        <v>Indigofera</v>
      </c>
      <c r="I134" s="62" t="str">
        <f>'1. Information samples'!I134</f>
        <v>jamaicensis</v>
      </c>
      <c r="J134" s="62" t="str">
        <f>'1. Information samples'!J134</f>
        <v>Indigofera jamaicensis</v>
      </c>
      <c r="K134" s="62" t="str">
        <f>'1. Information samples'!K134</f>
        <v>Fabaceae</v>
      </c>
      <c r="L134" s="62" t="str">
        <f>'1. Information samples'!L134</f>
        <v>Fabales</v>
      </c>
      <c r="M134" s="62" t="str">
        <f>'1. Information samples'!M134</f>
        <v>Herbaceous</v>
      </c>
      <c r="N134" s="77">
        <f>AVERAGEIFS('3.1. Gas prod VF'!$AG$13:$AG$1230,'3.1. Gas prod VF'!$L$13:$L$1230,$F134)</f>
        <v>27.371943132708942</v>
      </c>
      <c r="O134" s="20">
        <f>AVERAGE('3.1. Gas prod VF'!AH668,'3.1. Gas prod VF'!AH669,'3.1. Gas prod VF'!AH670,'3.1. Gas prod VF'!AH740,'3.1. Gas prod VF'!AH741,'3.1. Gas prod VF'!AH742,'3.1. Gas prod VF'!AH791,'3.1. Gas prod VF'!AH792)</f>
        <v>31.431224664651392</v>
      </c>
      <c r="P134" s="77">
        <f>AVERAGEIFS('3.1. Gas prod VF'!$AI$13:$AI$1230,'3.1. Gas prod VF'!$L$13:$L$1230,$F134)</f>
        <v>70.467183362257373</v>
      </c>
      <c r="Q134" s="77">
        <f>AVERAGEIFS('3.1. Gas prod VF'!$AJ$13:$AJ$1230,'3.1. Gas prod VF'!$L$13:$L$1230,$F134)</f>
        <v>3.5145203116415176</v>
      </c>
      <c r="R134" s="77">
        <f>AVERAGEIFS('3.1. Gas prod VF'!$AK$13:$AK$1230,'3.1. Gas prod VF'!$L$13:$L$1230,$F134)</f>
        <v>6.658789475564757</v>
      </c>
      <c r="S134" s="77">
        <f>AVERAGEIFS('3.1. Gas prod VF'!$AL$13:$AL$1230,'3.1. Gas prod VF'!$L$13:$L$1230,$F134)</f>
        <v>10.173309787206273</v>
      </c>
      <c r="T134" s="77">
        <f>AVERAGEIFS('3.1. Gas prod VF'!$AM$13:$AM$1230,'3.1. Gas prod VF'!$L$13:$L$1230,$F134)</f>
        <v>149.84343832817444</v>
      </c>
      <c r="U134" s="77">
        <f>AVERAGEIFS('3.1. Gas prod VF'!$AN$13:$AN$1230,'3.1. Gas prod VF'!$L$13:$L$1230,$F134)</f>
        <v>41.564421449775914</v>
      </c>
      <c r="V134" s="77">
        <f>AVERAGEIFS('3.1. Gas prod VF'!$AO$13:$AO$1230,'3.1. Gas prod VF'!$L$13:$L$1230,$F134)</f>
        <v>2.7710994640434072</v>
      </c>
      <c r="W134" s="77">
        <f>AVERAGEIFS('3.1. Gas prod VF'!$AP$13:$AP$1230,'3.1. Gas prod VF'!$L$13:$L$1230,$F134)</f>
        <v>12.814285714285715</v>
      </c>
      <c r="X134" s="77">
        <f>AVERAGEIFS('3.1. Gas prod VF'!$AQ$13:$AQ$1230,'3.1. Gas prod VF'!$L$13:$L$1230,$F134)</f>
        <v>14.441258858428565</v>
      </c>
      <c r="Y134" s="77">
        <f>AVERAGEIFS('3.1. Gas prod VF'!$AR$13:$AR$1230,'3.1. Gas prod VF'!$L$13:$L$1230,$F134)</f>
        <v>21.6327457787017</v>
      </c>
      <c r="Z134" s="77">
        <f>AVERAGEIFS('3.1. Gas prod VF'!$AS$13:$AS$1230,'3.1. Gas prod VF'!$L$13:$L$1230,$F134)</f>
        <v>53.042132241584049</v>
      </c>
      <c r="AA134" s="77">
        <f>AVERAGEIFS('3.1. Gas prod VF'!$AT$13:$AT$1230,'3.1. Gas prod VF'!$L$13:$L$1230,$F134)</f>
        <v>-0.4850897409587091</v>
      </c>
      <c r="AB134" s="77">
        <f>AVERAGEIFS('3.1. Gas prod VF'!$AU$13:$AU$1230,'3.1. Gas prod VF'!$L$13:$L$1230,$F134)</f>
        <v>12.006548176137553</v>
      </c>
      <c r="AC134" s="77">
        <f>AVERAGEIFS('3.1. Gas prod VF'!$AV$13:$AV$1230,'3.1. Gas prod VF'!$L$13:$L$1230,$F134)</f>
        <v>29.43930107802796</v>
      </c>
      <c r="AD134" s="20"/>
    </row>
    <row r="135" spans="2:30" x14ac:dyDescent="0.35">
      <c r="B135" s="62">
        <f>'1. Information samples'!B135</f>
        <v>125</v>
      </c>
      <c r="C135" s="62">
        <f>'1. Information samples'!C135</f>
        <v>46062</v>
      </c>
      <c r="D135" s="62" t="str">
        <f>'1. Information samples'!D135</f>
        <v>Genbank</v>
      </c>
      <c r="E135" s="62">
        <f>'1. Information samples'!E135</f>
        <v>30</v>
      </c>
      <c r="F135" s="62" t="str">
        <f>'1. Information samples'!F135</f>
        <v>F260022</v>
      </c>
      <c r="G135" s="62" t="str">
        <f>'1. Information samples'!G135</f>
        <v>CIAT8820</v>
      </c>
      <c r="H135" s="62" t="str">
        <f>'1. Information samples'!H135</f>
        <v>Tephrosia</v>
      </c>
      <c r="I135" s="62" t="str">
        <f>'1. Information samples'!I135</f>
        <v>cinerea</v>
      </c>
      <c r="J135" s="62" t="str">
        <f>'1. Information samples'!J135</f>
        <v>Tephrosia cinerea</v>
      </c>
      <c r="K135" s="62" t="str">
        <f>'1. Information samples'!K135</f>
        <v>Fabaceae</v>
      </c>
      <c r="L135" s="62" t="str">
        <f>'1. Information samples'!L135</f>
        <v>Fabales</v>
      </c>
      <c r="M135" s="62" t="str">
        <f>'1. Information samples'!M135</f>
        <v>Herbaceous</v>
      </c>
      <c r="N135" s="77">
        <f>AVERAGEIFS('3.1. Gas prod VF'!$AG$13:$AG$1230,'3.1. Gas prod VF'!$L$13:$L$1230,$F135)</f>
        <v>46.371943132708942</v>
      </c>
      <c r="O135" s="20">
        <f>AVERAGE('3.1. Gas prod VF'!AH669,'3.1. Gas prod VF'!AH670,'3.1. Gas prod VF'!AH671,'3.1. Gas prod VF'!AH741,'3.1. Gas prod VF'!AH742,'3.1. Gas prod VF'!AH743,'3.1. Gas prod VF'!AH792,'3.1. Gas prod VF'!AH793)</f>
        <v>31.244439432943746</v>
      </c>
      <c r="P135" s="77">
        <f>AVERAGEIFS('3.1. Gas prod VF'!$AI$13:$AI$1230,'3.1. Gas prod VF'!$L$13:$L$1230,$F135)</f>
        <v>84.82432621940022</v>
      </c>
      <c r="Q135" s="77">
        <f>AVERAGEIFS('3.1. Gas prod VF'!$AJ$13:$AJ$1230,'3.1. Gas prod VF'!$L$13:$L$1230,$F135)</f>
        <v>6.9885407269876607</v>
      </c>
      <c r="R135" s="77">
        <f>AVERAGEIFS('3.1. Gas prod VF'!$AK$13:$AK$1230,'3.1. Gas prod VF'!$L$13:$L$1230,$F135)</f>
        <v>7.0948198991498135</v>
      </c>
      <c r="S135" s="77">
        <f>AVERAGEIFS('3.1. Gas prod VF'!$AL$13:$AL$1230,'3.1. Gas prod VF'!$L$13:$L$1230,$F135)</f>
        <v>14.083360626137477</v>
      </c>
      <c r="T135" s="77">
        <f>AVERAGEIFS('3.1. Gas prod VF'!$AM$13:$AM$1230,'3.1. Gas prod VF'!$L$13:$L$1230,$F135)</f>
        <v>178.34945078924375</v>
      </c>
      <c r="U135" s="77">
        <f>AVERAGEIFS('3.1. Gas prod VF'!$AN$13:$AN$1230,'3.1. Gas prod VF'!$L$13:$L$1230,$F135)</f>
        <v>45.420440181424212</v>
      </c>
      <c r="V135" s="77">
        <f>AVERAGEIFS('3.1. Gas prod VF'!$AO$13:$AO$1230,'3.1. Gas prod VF'!$L$13:$L$1230,$F135)</f>
        <v>2.5569376676727806</v>
      </c>
      <c r="W135" s="77">
        <f>AVERAGEIFS('3.1. Gas prod VF'!$AP$13:$AP$1230,'3.1. Gas prod VF'!$L$13:$L$1230,$F135)</f>
        <v>15.057142857142859</v>
      </c>
      <c r="X135" s="77">
        <f>AVERAGEIFS('3.1. Gas prod VF'!$AQ$13:$AQ$1230,'3.1. Gas prod VF'!$L$13:$L$1230,$F135)</f>
        <v>16.608654747699248</v>
      </c>
      <c r="Y135" s="77">
        <f>AVERAGEIFS('3.1. Gas prod VF'!$AR$13:$AR$1230,'3.1. Gas prod VF'!$L$13:$L$1230,$F135)</f>
        <v>29.611236393056469</v>
      </c>
      <c r="Z135" s="77">
        <f>AVERAGEIFS('3.1. Gas prod VF'!$AS$13:$AS$1230,'3.1. Gas prod VF'!$L$13:$L$1230,$F135)</f>
        <v>66.376058850068247</v>
      </c>
      <c r="AA135" s="77">
        <f>AVERAGEIFS('3.1. Gas prod VF'!$AT$13:$AT$1230,'3.1. Gas prod VF'!$L$13:$L$1230,$F135)</f>
        <v>1.1421553696020665</v>
      </c>
      <c r="AB135" s="77">
        <f>AVERAGEIFS('3.1. Gas prod VF'!$AU$13:$AU$1230,'3.1. Gas prod VF'!$L$13:$L$1230,$F135)</f>
        <v>16.43474850327425</v>
      </c>
      <c r="AC135" s="77">
        <f>AVERAGEIFS('3.1. Gas prod VF'!$AV$13:$AV$1230,'3.1. Gas prod VF'!$L$13:$L$1230,$F135)</f>
        <v>36.839861036508466</v>
      </c>
      <c r="AD135" s="20"/>
    </row>
    <row r="136" spans="2:30" x14ac:dyDescent="0.35">
      <c r="B136" s="62">
        <f>'1. Information samples'!B136</f>
        <v>126</v>
      </c>
      <c r="C136" s="62">
        <f>'1. Information samples'!C136</f>
        <v>46062</v>
      </c>
      <c r="D136" s="62" t="str">
        <f>'1. Information samples'!D136</f>
        <v>Genbank</v>
      </c>
      <c r="E136" s="62">
        <f>'1. Information samples'!E136</f>
        <v>30</v>
      </c>
      <c r="F136" s="62" t="str">
        <f>'1. Information samples'!F136</f>
        <v>F260023</v>
      </c>
      <c r="G136" s="62" t="str">
        <f>'1. Information samples'!G136</f>
        <v>CIAT14080</v>
      </c>
      <c r="H136" s="62" t="str">
        <f>'1. Information samples'!H136</f>
        <v>Zornia</v>
      </c>
      <c r="I136" s="62" t="str">
        <f>'1. Information samples'!I136</f>
        <v>brasiliensis</v>
      </c>
      <c r="J136" s="62" t="str">
        <f>'1. Information samples'!J136</f>
        <v>Zornia brasiliensis</v>
      </c>
      <c r="K136" s="62" t="str">
        <f>'1. Information samples'!K136</f>
        <v>Fabaceae</v>
      </c>
      <c r="L136" s="62" t="str">
        <f>'1. Information samples'!L136</f>
        <v>Fabales</v>
      </c>
      <c r="M136" s="62" t="str">
        <f>'1. Information samples'!M136</f>
        <v>Herbaceous</v>
      </c>
      <c r="N136" s="77">
        <f>AVERAGEIFS('3.1. Gas prod VF'!$AG$13:$AG$1230,'3.1. Gas prod VF'!$L$13:$L$1230,$F136)</f>
        <v>41.300514561280366</v>
      </c>
      <c r="O136" s="20">
        <f>AVERAGE('3.1. Gas prod VF'!AH670,'3.1. Gas prod VF'!AH671,'3.1. Gas prod VF'!AH672,'3.1. Gas prod VF'!AH742,'3.1. Gas prod VF'!AH743,'3.1. Gas prod VF'!AH744,'3.1. Gas prod VF'!AH793,'3.1. Gas prod VF'!AH794)</f>
        <v>30.030153718658031</v>
      </c>
      <c r="P136" s="77">
        <f>AVERAGEIFS('3.1. Gas prod VF'!$AI$13:$AI$1230,'3.1. Gas prod VF'!$L$13:$L$1230,$F136)</f>
        <v>76.967183362257373</v>
      </c>
      <c r="Q136" s="77">
        <f>AVERAGEIFS('3.1. Gas prod VF'!$AJ$13:$AJ$1230,'3.1. Gas prod VF'!$L$13:$L$1230,$F136)</f>
        <v>5.0499865109532776</v>
      </c>
      <c r="R136" s="77">
        <f>AVERAGEIFS('3.1. Gas prod VF'!$AK$13:$AK$1230,'3.1. Gas prod VF'!$L$13:$L$1230,$F136)</f>
        <v>6.2071880410137314</v>
      </c>
      <c r="S136" s="77">
        <f>AVERAGEIFS('3.1. Gas prod VF'!$AL$13:$AL$1230,'3.1. Gas prod VF'!$L$13:$L$1230,$F136)</f>
        <v>11.25717455196701</v>
      </c>
      <c r="T136" s="77">
        <f>AVERAGEIFS('3.1. Gas prod VF'!$AM$13:$AM$1230,'3.1. Gas prod VF'!$L$13:$L$1230,$F136)</f>
        <v>162.4460397873259</v>
      </c>
      <c r="U136" s="77">
        <f>AVERAGEIFS('3.1. Gas prod VF'!$AN$13:$AN$1230,'3.1. Gas prod VF'!$L$13:$L$1230,$F136)</f>
        <v>44.370287971103139</v>
      </c>
      <c r="V136" s="77">
        <f>AVERAGEIFS('3.1. Gas prod VF'!$AO$13:$AO$1230,'3.1. Gas prod VF'!$L$13:$L$1230,$F136)</f>
        <v>2.748372609728603</v>
      </c>
      <c r="W136" s="77">
        <f>AVERAGEIFS('3.1. Gas prod VF'!$AP$13:$AP$1230,'3.1. Gas prod VF'!$L$13:$L$1230,$F136)</f>
        <v>12.214285714285714</v>
      </c>
      <c r="X136" s="77">
        <f>AVERAGEIFS('3.1. Gas prod VF'!$AQ$13:$AQ$1230,'3.1. Gas prod VF'!$L$13:$L$1230,$F136)</f>
        <v>14.625205342847339</v>
      </c>
      <c r="Y136" s="77">
        <f>AVERAGEIFS('3.1. Gas prod VF'!$AR$13:$AR$1230,'3.1. Gas prod VF'!$L$13:$L$1230,$F136)</f>
        <v>23.759212573787455</v>
      </c>
      <c r="Z136" s="77">
        <f>AVERAGEIFS('3.1. Gas prod VF'!$AS$13:$AS$1230,'3.1. Gas prod VF'!$L$13:$L$1230,$F136)</f>
        <v>54.788027468546481</v>
      </c>
      <c r="AA136" s="77">
        <f>AVERAGEIFS('3.1. Gas prod VF'!$AT$13:$AT$1230,'3.1. Gas prod VF'!$L$13:$L$1230,$F136)</f>
        <v>0.22915436090851229</v>
      </c>
      <c r="AB136" s="77">
        <f>AVERAGEIFS('3.1. Gas prod VF'!$AU$13:$AU$1230,'3.1. Gas prod VF'!$L$13:$L$1230,$F136)</f>
        <v>13.186774037493105</v>
      </c>
      <c r="AC136" s="77">
        <f>AVERAGEIFS('3.1. Gas prod VF'!$AV$13:$AV$1230,'3.1. Gas prod VF'!$L$13:$L$1230,$F136)</f>
        <v>30.408303134791886</v>
      </c>
      <c r="AD136" s="20"/>
    </row>
    <row r="137" spans="2:30" x14ac:dyDescent="0.35">
      <c r="B137" s="62">
        <f>'1. Information samples'!B137</f>
        <v>127</v>
      </c>
      <c r="C137" s="62">
        <f>'1. Information samples'!C137</f>
        <v>46062</v>
      </c>
      <c r="D137" s="62" t="str">
        <f>'1. Information samples'!D137</f>
        <v>Genbank</v>
      </c>
      <c r="E137" s="62">
        <f>'1. Information samples'!E137</f>
        <v>30</v>
      </c>
      <c r="F137" s="62" t="str">
        <f>'1. Information samples'!F137</f>
        <v>F260024</v>
      </c>
      <c r="G137" s="62" t="str">
        <f>'1. Information samples'!G137</f>
        <v>CIAT18950</v>
      </c>
      <c r="H137" s="62" t="str">
        <f>'1. Information samples'!H137</f>
        <v>Indigofera</v>
      </c>
      <c r="I137" s="62" t="str">
        <f>'1. Information samples'!I137</f>
        <v>spicata</v>
      </c>
      <c r="J137" s="62" t="str">
        <f>'1. Information samples'!J137</f>
        <v>Indigofera spicata</v>
      </c>
      <c r="K137" s="62" t="str">
        <f>'1. Information samples'!K137</f>
        <v>Fabaceae</v>
      </c>
      <c r="L137" s="62" t="str">
        <f>'1. Information samples'!L137</f>
        <v>Fabales</v>
      </c>
      <c r="M137" s="62" t="str">
        <f>'1. Information samples'!M137</f>
        <v>Herbaceous</v>
      </c>
      <c r="N137" s="77">
        <f>AVERAGEIFS('3.1. Gas prod VF'!$AG$13:$AG$1230,'3.1. Gas prod VF'!$L$13:$L$1230,$F137)</f>
        <v>40.800514561280366</v>
      </c>
      <c r="O137" s="20">
        <f>AVERAGE('3.1. Gas prod VF'!AH671,'3.1. Gas prod VF'!AH672,'3.1. Gas prod VF'!AH673,'3.1. Gas prod VF'!AH743,'3.1. Gas prod VF'!AH744,'3.1. Gas prod VF'!AH745,'3.1. Gas prod VF'!AH794,'3.1. Gas prod VF'!AH795)</f>
        <v>29.387296575800889</v>
      </c>
      <c r="P137" s="77">
        <f>AVERAGEIFS('3.1. Gas prod VF'!$AI$13:$AI$1230,'3.1. Gas prod VF'!$L$13:$L$1230,$F137)</f>
        <v>83.82432621940022</v>
      </c>
      <c r="Q137" s="77">
        <f>AVERAGEIFS('3.1. Gas prod VF'!$AJ$13:$AJ$1230,'3.1. Gas prod VF'!$L$13:$L$1230,$F137)</f>
        <v>5.6763763287976001</v>
      </c>
      <c r="R137" s="77">
        <f>AVERAGEIFS('3.1. Gas prod VF'!$AK$13:$AK$1230,'3.1. Gas prod VF'!$L$13:$L$1230,$F137)</f>
        <v>7.3385926914627087</v>
      </c>
      <c r="S137" s="77">
        <f>AVERAGEIFS('3.1. Gas prod VF'!$AL$13:$AL$1230,'3.1. Gas prod VF'!$L$13:$L$1230,$F137)</f>
        <v>13.014969020260308</v>
      </c>
      <c r="T137" s="77">
        <f>AVERAGEIFS('3.1. Gas prod VF'!$AM$13:$AM$1230,'3.1. Gas prod VF'!$L$13:$L$1230,$F137)</f>
        <v>179.21109672693473</v>
      </c>
      <c r="U137" s="77">
        <f>AVERAGEIFS('3.1. Gas prod VF'!$AN$13:$AN$1230,'3.1. Gas prod VF'!$L$13:$L$1230,$F137)</f>
        <v>47.302898045607037</v>
      </c>
      <c r="V137" s="77">
        <f>AVERAGEIFS('3.1. Gas prod VF'!$AO$13:$AO$1230,'3.1. Gas prod VF'!$L$13:$L$1230,$F137)</f>
        <v>2.6582219871105432</v>
      </c>
      <c r="W137" s="77">
        <f>AVERAGEIFS('3.1. Gas prod VF'!$AP$13:$AP$1230,'3.1. Gas prod VF'!$L$13:$L$1230,$F137)</f>
        <v>13.914285714285715</v>
      </c>
      <c r="X137" s="77">
        <f>AVERAGEIFS('3.1. Gas prod VF'!$AQ$13:$AQ$1230,'3.1. Gas prod VF'!$L$13:$L$1230,$F137)</f>
        <v>15.551723115682202</v>
      </c>
      <c r="Y137" s="77">
        <f>AVERAGEIFS('3.1. Gas prod VF'!$AR$13:$AR$1230,'3.1. Gas prod VF'!$L$13:$L$1230,$F137)</f>
        <v>27.825231509115316</v>
      </c>
      <c r="Z137" s="77">
        <f>AVERAGEIFS('3.1. Gas prod VF'!$AS$13:$AS$1230,'3.1. Gas prod VF'!$L$13:$L$1230,$F137)</f>
        <v>59.585984327919526</v>
      </c>
      <c r="AA137" s="77">
        <f>AVERAGEIFS('3.1. Gas prod VF'!$AT$13:$AT$1230,'3.1. Gas prod VF'!$L$13:$L$1230,$F137)</f>
        <v>-0.67031944343742367</v>
      </c>
      <c r="AB137" s="77">
        <f>AVERAGEIFS('3.1. Gas prod VF'!$AU$13:$AU$1230,'3.1. Gas prod VF'!$L$13:$L$1230,$F137)</f>
        <v>15.443484892948431</v>
      </c>
      <c r="AC137" s="77">
        <f>AVERAGEIFS('3.1. Gas prod VF'!$AV$13:$AV$1230,'3.1. Gas prod VF'!$L$13:$L$1230,$F137)</f>
        <v>33.071252201378172</v>
      </c>
      <c r="AD137" s="20"/>
    </row>
    <row r="138" spans="2:30" x14ac:dyDescent="0.35">
      <c r="B138" s="62">
        <f>'1. Information samples'!B138</f>
        <v>128</v>
      </c>
      <c r="C138" s="62">
        <f>'1. Information samples'!C138</f>
        <v>46062</v>
      </c>
      <c r="D138" s="62" t="str">
        <f>'1. Information samples'!D138</f>
        <v>Genbank</v>
      </c>
      <c r="E138" s="62">
        <f>'1. Information samples'!E138</f>
        <v>30</v>
      </c>
      <c r="F138" s="62" t="str">
        <f>'1. Information samples'!F138</f>
        <v>F260025</v>
      </c>
      <c r="G138" s="62" t="str">
        <f>'1. Information samples'!G138</f>
        <v>CIAT19193</v>
      </c>
      <c r="H138" s="62" t="str">
        <f>'1. Information samples'!H138</f>
        <v>Tephrosia</v>
      </c>
      <c r="I138" s="62" t="str">
        <f>'1. Information samples'!I138</f>
        <v>villosa</v>
      </c>
      <c r="J138" s="62" t="str">
        <f>'1. Information samples'!J138</f>
        <v>Tephrosia villosa</v>
      </c>
      <c r="K138" s="62" t="str">
        <f>'1. Information samples'!K138</f>
        <v>Fabaceae</v>
      </c>
      <c r="L138" s="62" t="str">
        <f>'1. Information samples'!L138</f>
        <v>Fabales</v>
      </c>
      <c r="M138" s="62" t="str">
        <f>'1. Information samples'!M138</f>
        <v>Herbaceous</v>
      </c>
      <c r="N138" s="77">
        <f>AVERAGEIFS('3.1. Gas prod VF'!$AG$13:$AG$1230,'3.1. Gas prod VF'!$L$13:$L$1230,$F138)</f>
        <v>40.586228846994651</v>
      </c>
      <c r="O138" s="20">
        <f>AVERAGE('3.1. Gas prod VF'!AH672,'3.1. Gas prod VF'!AH673,'3.1. Gas prod VF'!AH674,'3.1. Gas prod VF'!AH744,'3.1. Gas prod VF'!AH745,'3.1. Gas prod VF'!AH746,'3.1. Gas prod VF'!AH795,'3.1. Gas prod VF'!AH796)</f>
        <v>31.229350509163019</v>
      </c>
      <c r="P138" s="77">
        <f>AVERAGEIFS('3.1. Gas prod VF'!$AI$13:$AI$1230,'3.1. Gas prod VF'!$L$13:$L$1230,$F138)</f>
        <v>73.32432621940022</v>
      </c>
      <c r="Q138" s="77">
        <f>AVERAGEIFS('3.1. Gas prod VF'!$AJ$13:$AJ$1230,'3.1. Gas prod VF'!$L$13:$L$1230,$F138)</f>
        <v>6.0814380705343947</v>
      </c>
      <c r="R138" s="77">
        <f>AVERAGEIFS('3.1. Gas prod VF'!$AK$13:$AK$1230,'3.1. Gas prod VF'!$L$13:$L$1230,$F138)</f>
        <v>6.1757737423049255</v>
      </c>
      <c r="S138" s="77">
        <f>AVERAGEIFS('3.1. Gas prod VF'!$AL$13:$AL$1230,'3.1. Gas prod VF'!$L$13:$L$1230,$F138)</f>
        <v>12.257211812839321</v>
      </c>
      <c r="T138" s="77">
        <f>AVERAGEIFS('3.1. Gas prod VF'!$AM$13:$AM$1230,'3.1. Gas prod VF'!$L$13:$L$1230,$F138)</f>
        <v>155.39151564788918</v>
      </c>
      <c r="U138" s="77">
        <f>AVERAGEIFS('3.1. Gas prod VF'!$AN$13:$AN$1230,'3.1. Gas prod VF'!$L$13:$L$1230,$F138)</f>
        <v>39.262576678418156</v>
      </c>
      <c r="V138" s="77">
        <f>AVERAGEIFS('3.1. Gas prod VF'!$AO$13:$AO$1230,'3.1. Gas prod VF'!$L$13:$L$1230,$F138)</f>
        <v>2.558951156829457</v>
      </c>
      <c r="W138" s="77">
        <f>AVERAGEIFS('3.1. Gas prod VF'!$AP$13:$AP$1230,'3.1. Gas prod VF'!$L$13:$L$1230,$F138)</f>
        <v>14.985714285714286</v>
      </c>
      <c r="X138" s="77">
        <f>AVERAGEIFS('3.1. Gas prod VF'!$AQ$13:$AQ$1230,'3.1. Gas prod VF'!$L$13:$L$1230,$F138)</f>
        <v>16.69950268315386</v>
      </c>
      <c r="Y138" s="77">
        <f>AVERAGEIFS('3.1. Gas prod VF'!$AR$13:$AR$1230,'3.1. Gas prod VF'!$L$13:$L$1230,$F138)</f>
        <v>25.975929829838286</v>
      </c>
      <c r="Z138" s="77">
        <f>AVERAGEIFS('3.1. Gas prod VF'!$AS$13:$AS$1230,'3.1. Gas prod VF'!$L$13:$L$1230,$F138)</f>
        <v>68.151542276410169</v>
      </c>
      <c r="AA138" s="77">
        <f>AVERAGEIFS('3.1. Gas prod VF'!$AT$13:$AT$1230,'3.1. Gas prod VF'!$L$13:$L$1230,$F138)</f>
        <v>3.5919934929650466</v>
      </c>
      <c r="AB138" s="77">
        <f>AVERAGEIFS('3.1. Gas prod VF'!$AU$13:$AU$1230,'3.1. Gas prod VF'!$L$13:$L$1230,$F138)</f>
        <v>14.417090466110936</v>
      </c>
      <c r="AC138" s="77">
        <f>AVERAGEIFS('3.1. Gas prod VF'!$AV$13:$AV$1230,'3.1. Gas prod VF'!$L$13:$L$1230,$F138)</f>
        <v>37.82528505583457</v>
      </c>
      <c r="AD138" s="20"/>
    </row>
    <row r="139" spans="2:30" x14ac:dyDescent="0.35">
      <c r="B139" s="62">
        <f>'1. Information samples'!B139</f>
        <v>129</v>
      </c>
      <c r="C139" s="62">
        <f>'1. Information samples'!C139</f>
        <v>46062</v>
      </c>
      <c r="D139" s="62" t="str">
        <f>'1. Information samples'!D139</f>
        <v>Genbank</v>
      </c>
      <c r="E139" s="62">
        <f>'1. Information samples'!E139</f>
        <v>30</v>
      </c>
      <c r="F139" s="62" t="str">
        <f>'1. Information samples'!F139</f>
        <v>F260026</v>
      </c>
      <c r="G139" s="62" t="str">
        <f>'1. Information samples'!G139</f>
        <v>CIAT19641</v>
      </c>
      <c r="H139" s="62" t="str">
        <f>'1. Information samples'!H139</f>
        <v>Tephrosia</v>
      </c>
      <c r="I139" s="62" t="str">
        <f>'1. Information samples'!I139</f>
        <v>purpurea</v>
      </c>
      <c r="J139" s="62" t="str">
        <f>'1. Information samples'!J139</f>
        <v>Tephrosia purpurea</v>
      </c>
      <c r="K139" s="62" t="str">
        <f>'1. Information samples'!K139</f>
        <v>Fabaceae</v>
      </c>
      <c r="L139" s="62" t="str">
        <f>'1. Information samples'!L139</f>
        <v>Fabales</v>
      </c>
      <c r="M139" s="62" t="str">
        <f>'1. Information samples'!M139</f>
        <v>Herbaceous</v>
      </c>
      <c r="N139" s="77">
        <f>AVERAGEIFS('3.1. Gas prod VF'!$AG$13:$AG$1230,'3.1. Gas prod VF'!$L$13:$L$1230,$F139)</f>
        <v>39.586228846994651</v>
      </c>
      <c r="O139" s="20">
        <f>AVERAGE('3.1. Gas prod VF'!AH673,'3.1. Gas prod VF'!AH674,'3.1. Gas prod VF'!AH675,'3.1. Gas prod VF'!AH745,'3.1. Gas prod VF'!AH746,'3.1. Gas prod VF'!AH747,'3.1. Gas prod VF'!AH796,'3.1. Gas prod VF'!AH797)</f>
        <v>34.666850509163019</v>
      </c>
      <c r="P139" s="77">
        <f>AVERAGEIFS('3.1. Gas prod VF'!$AI$13:$AI$1230,'3.1. Gas prod VF'!$L$13:$L$1230,$F139)</f>
        <v>73.110040505114512</v>
      </c>
      <c r="Q139" s="77">
        <f>AVERAGEIFS('3.1. Gas prod VF'!$AJ$13:$AJ$1230,'3.1. Gas prod VF'!$L$13:$L$1230,$F139)</f>
        <v>5.7136797956675895</v>
      </c>
      <c r="R139" s="77">
        <f>AVERAGEIFS('3.1. Gas prod VF'!$AK$13:$AK$1230,'3.1. Gas prod VF'!$L$13:$L$1230,$F139)</f>
        <v>6.1712031370818536</v>
      </c>
      <c r="S139" s="77">
        <f>AVERAGEIFS('3.1. Gas prod VF'!$AL$13:$AL$1230,'3.1. Gas prod VF'!$L$13:$L$1230,$F139)</f>
        <v>11.884882932749443</v>
      </c>
      <c r="T139" s="77">
        <f>AVERAGEIFS('3.1. Gas prod VF'!$AM$13:$AM$1230,'3.1. Gas prod VF'!$L$13:$L$1230,$F139)</f>
        <v>152.15632867162472</v>
      </c>
      <c r="U139" s="77">
        <f>AVERAGEIFS('3.1. Gas prod VF'!$AN$13:$AN$1230,'3.1. Gas prod VF'!$L$13:$L$1230,$F139)</f>
        <v>36.640682450686654</v>
      </c>
      <c r="V139" s="77">
        <f>AVERAGEIFS('3.1. Gas prod VF'!$AO$13:$AO$1230,'3.1. Gas prod VF'!$L$13:$L$1230,$F139)</f>
        <v>2.4298446599606889</v>
      </c>
      <c r="W139" s="77">
        <f>AVERAGEIFS('3.1. Gas prod VF'!$AP$13:$AP$1230,'3.1. Gas prod VF'!$L$13:$L$1230,$F139)</f>
        <v>14.428571428571429</v>
      </c>
      <c r="X139" s="77">
        <f>AVERAGEIFS('3.1. Gas prod VF'!$AQ$13:$AQ$1230,'3.1. Gas prod VF'!$L$13:$L$1230,$F139)</f>
        <v>16.247737017587713</v>
      </c>
      <c r="Y139" s="77">
        <f>AVERAGEIFS('3.1. Gas prod VF'!$AR$13:$AR$1230,'3.1. Gas prod VF'!$L$13:$L$1230,$F139)</f>
        <v>24.734843094927363</v>
      </c>
      <c r="Z139" s="77">
        <f>AVERAGEIFS('3.1. Gas prod VF'!$AS$13:$AS$1230,'3.1. Gas prod VF'!$L$13:$L$1230,$F139)</f>
        <v>71.684351257667032</v>
      </c>
      <c r="AA139" s="77">
        <f>AVERAGEIFS('3.1. Gas prod VF'!$AT$13:$AT$1230,'3.1. Gas prod VF'!$L$13:$L$1230,$F139)</f>
        <v>2.5763791607072304</v>
      </c>
      <c r="AB139" s="77">
        <f>AVERAGEIFS('3.1. Gas prod VF'!$AU$13:$AU$1230,'3.1. Gas prod VF'!$L$13:$L$1230,$F139)</f>
        <v>13.728265856146539</v>
      </c>
      <c r="AC139" s="77">
        <f>AVERAGEIFS('3.1. Gas prod VF'!$AV$13:$AV$1230,'3.1. Gas prod VF'!$L$13:$L$1230,$F139)</f>
        <v>39.786055161694783</v>
      </c>
      <c r="AD139" s="20"/>
    </row>
    <row r="140" spans="2:30" x14ac:dyDescent="0.35">
      <c r="B140" s="62">
        <f>'1. Information samples'!B140</f>
        <v>130</v>
      </c>
      <c r="C140" s="62">
        <f>'1. Information samples'!C140</f>
        <v>46062</v>
      </c>
      <c r="D140" s="62" t="str">
        <f>'1. Information samples'!D140</f>
        <v>Genbank</v>
      </c>
      <c r="E140" s="62">
        <f>'1. Information samples'!E140</f>
        <v>30</v>
      </c>
      <c r="F140" s="62" t="str">
        <f>'1. Information samples'!F140</f>
        <v>F260027</v>
      </c>
      <c r="G140" s="62" t="str">
        <f>'1. Information samples'!G140</f>
        <v>CIAT23503</v>
      </c>
      <c r="H140" s="62" t="str">
        <f>'1. Information samples'!H140</f>
        <v>Desmodium</v>
      </c>
      <c r="I140" s="62" t="str">
        <f>'1. Information samples'!I140</f>
        <v>macrodesmum</v>
      </c>
      <c r="J140" s="62" t="str">
        <f>'1. Information samples'!J140</f>
        <v>Desmodium macrodesmum</v>
      </c>
      <c r="K140" s="62" t="str">
        <f>'1. Information samples'!K140</f>
        <v>Fabaceae</v>
      </c>
      <c r="L140" s="62" t="str">
        <f>'1. Information samples'!L140</f>
        <v>Fabales</v>
      </c>
      <c r="M140" s="62" t="str">
        <f>'1. Information samples'!M140</f>
        <v>Herbaceous</v>
      </c>
      <c r="N140" s="77">
        <f>AVERAGEIFS('3.1. Gas prod VF'!$AG$13:$AG$1230,'3.1. Gas prod VF'!$L$13:$L$1230,$F140)</f>
        <v>34.729085989851804</v>
      </c>
      <c r="O140" s="20">
        <f>AVERAGE('3.1. Gas prod VF'!AH674,'3.1. Gas prod VF'!AH675,'3.1. Gas prod VF'!AH676,'3.1. Gas prod VF'!AH746,'3.1. Gas prod VF'!AH747,'3.1. Gas prod VF'!AH748,'3.1. Gas prod VF'!AH797,'3.1. Gas prod VF'!AH798)</f>
        <v>33.104350509163019</v>
      </c>
      <c r="P140" s="77">
        <f>AVERAGEIFS('3.1. Gas prod VF'!$AI$13:$AI$1230,'3.1. Gas prod VF'!$L$13:$L$1230,$F140)</f>
        <v>64.395754790828803</v>
      </c>
      <c r="Q140" s="77">
        <f>AVERAGEIFS('3.1. Gas prod VF'!$AJ$13:$AJ$1230,'3.1. Gas prod VF'!$L$13:$L$1230,$F140)</f>
        <v>4.4938793969879329</v>
      </c>
      <c r="R140" s="77">
        <f>AVERAGEIFS('3.1. Gas prod VF'!$AK$13:$AK$1230,'3.1. Gas prod VF'!$L$13:$L$1230,$F140)</f>
        <v>4.7590815447168717</v>
      </c>
      <c r="S140" s="77">
        <f>AVERAGEIFS('3.1. Gas prod VF'!$AL$13:$AL$1230,'3.1. Gas prod VF'!$L$13:$L$1230,$F140)</f>
        <v>9.2529609417048029</v>
      </c>
      <c r="T140" s="77">
        <f>AVERAGEIFS('3.1. Gas prod VF'!$AM$13:$AM$1230,'3.1. Gas prod VF'!$L$13:$L$1230,$F140)</f>
        <v>137.95173553733136</v>
      </c>
      <c r="U140" s="77">
        <f>AVERAGEIFS('3.1. Gas prod VF'!$AN$13:$AN$1230,'3.1. Gas prod VF'!$L$13:$L$1230,$F140)</f>
        <v>32.868394244778429</v>
      </c>
      <c r="V140" s="77">
        <f>AVERAGEIFS('3.1. Gas prod VF'!$AO$13:$AO$1230,'3.1. Gas prod VF'!$L$13:$L$1230,$F140)</f>
        <v>2.3982835981014579</v>
      </c>
      <c r="W140" s="77">
        <f>AVERAGEIFS('3.1. Gas prod VF'!$AP$13:$AP$1230,'3.1. Gas prod VF'!$L$13:$L$1230,$F140)</f>
        <v>12.942857142857141</v>
      </c>
      <c r="X140" s="77">
        <f>AVERAGEIFS('3.1. Gas prod VF'!$AQ$13:$AQ$1230,'3.1. Gas prod VF'!$L$13:$L$1230,$F140)</f>
        <v>14.368493415771017</v>
      </c>
      <c r="Y140" s="77">
        <f>AVERAGEIFS('3.1. Gas prod VF'!$AR$13:$AR$1230,'3.1. Gas prod VF'!$L$13:$L$1230,$F140)</f>
        <v>19.8221724730552</v>
      </c>
      <c r="Z140" s="77">
        <f>AVERAGEIFS('3.1. Gas prod VF'!$AS$13:$AS$1230,'3.1. Gas prod VF'!$L$13:$L$1230,$F140)</f>
        <v>64.156612565677392</v>
      </c>
      <c r="AA140" s="77">
        <f>AVERAGEIFS('3.1. Gas prod VF'!$AT$13:$AT$1230,'3.1. Gas prod VF'!$L$13:$L$1230,$F140)</f>
        <v>-0.69646494671829529</v>
      </c>
      <c r="AB140" s="77">
        <f>AVERAGEIFS('3.1. Gas prod VF'!$AU$13:$AU$1230,'3.1. Gas prod VF'!$L$13:$L$1230,$F140)</f>
        <v>11.001648666706073</v>
      </c>
      <c r="AC140" s="77">
        <f>AVERAGEIFS('3.1. Gas prod VF'!$AV$13:$AV$1230,'3.1. Gas prod VF'!$L$13:$L$1230,$F140)</f>
        <v>35.608029949946896</v>
      </c>
      <c r="AD140" s="20"/>
    </row>
    <row r="141" spans="2:30" x14ac:dyDescent="0.35">
      <c r="B141" s="62">
        <f>'1. Information samples'!B141</f>
        <v>131</v>
      </c>
      <c r="C141" s="62">
        <f>'1. Information samples'!C141</f>
        <v>46062</v>
      </c>
      <c r="D141" s="62" t="str">
        <f>'1. Information samples'!D141</f>
        <v>Genbank</v>
      </c>
      <c r="E141" s="62">
        <f>'1. Information samples'!E141</f>
        <v>30</v>
      </c>
      <c r="F141" s="62" t="str">
        <f>'1. Information samples'!F141</f>
        <v>F260028</v>
      </c>
      <c r="G141" s="62" t="str">
        <f>'1. Information samples'!G141</f>
        <v>CIAT24333</v>
      </c>
      <c r="H141" s="62" t="str">
        <f>'1. Information samples'!H141</f>
        <v>Macroptilium</v>
      </c>
      <c r="I141" s="62" t="str">
        <f>'1. Information samples'!I141</f>
        <v>bracteatum</v>
      </c>
      <c r="J141" s="62" t="str">
        <f>'1. Information samples'!J141</f>
        <v>Macroptilium bracteatum</v>
      </c>
      <c r="K141" s="62" t="str">
        <f>'1. Information samples'!K141</f>
        <v>Fabaceae</v>
      </c>
      <c r="L141" s="62" t="str">
        <f>'1. Information samples'!L141</f>
        <v>Fabales</v>
      </c>
      <c r="M141" s="62" t="str">
        <f>'1. Information samples'!M141</f>
        <v>Herbaceous</v>
      </c>
      <c r="N141" s="77">
        <f>AVERAGEIFS('3.1. Gas prod VF'!$AG$13:$AG$1230,'3.1. Gas prod VF'!$L$13:$L$1230,$F141)</f>
        <v>44.014800275566081</v>
      </c>
      <c r="O141" s="20">
        <f>AVERAGE('3.1. Gas prod VF'!AH675,'3.1. Gas prod VF'!AH676,'3.1. Gas prod VF'!AH677,'3.1. Gas prod VF'!AH747,'3.1. Gas prod VF'!AH748,'3.1. Gas prod VF'!AH749,'3.1. Gas prod VF'!AH798,'3.1. Gas prod VF'!AH799)</f>
        <v>31.791850509163019</v>
      </c>
      <c r="P141" s="77">
        <f>AVERAGEIFS('3.1. Gas prod VF'!$AI$13:$AI$1230,'3.1. Gas prod VF'!$L$13:$L$1230,$F141)</f>
        <v>84.895754790828803</v>
      </c>
      <c r="Q141" s="77">
        <f>AVERAGEIFS('3.1. Gas prod VF'!$AJ$13:$AJ$1230,'3.1. Gas prod VF'!$L$13:$L$1230,$F141)</f>
        <v>6.4012836999492562</v>
      </c>
      <c r="R141" s="77">
        <f>AVERAGEIFS('3.1. Gas prod VF'!$AK$13:$AK$1230,'3.1. Gas prod VF'!$L$13:$L$1230,$F141)</f>
        <v>6.8280492233058441</v>
      </c>
      <c r="S141" s="77">
        <f>AVERAGEIFS('3.1. Gas prod VF'!$AL$13:$AL$1230,'3.1. Gas prod VF'!$L$13:$L$1230,$F141)</f>
        <v>13.229332923255098</v>
      </c>
      <c r="T141" s="77">
        <f>AVERAGEIFS('3.1. Gas prod VF'!$AM$13:$AM$1230,'3.1. Gas prod VF'!$L$13:$L$1230,$F141)</f>
        <v>179.76821095323695</v>
      </c>
      <c r="U141" s="77">
        <f>AVERAGEIFS('3.1. Gas prod VF'!$AN$13:$AN$1230,'3.1. Gas prod VF'!$L$13:$L$1230,$F141)</f>
        <v>35.630529450410478</v>
      </c>
      <c r="V141" s="77">
        <f>AVERAGEIFS('3.1. Gas prod VF'!$AO$13:$AO$1230,'3.1. Gas prod VF'!$L$13:$L$1230,$F141)</f>
        <v>1.9770447792135233</v>
      </c>
      <c r="W141" s="77">
        <f>AVERAGEIFS('3.1. Gas prod VF'!$AP$13:$AP$1230,'3.1. Gas prod VF'!$L$13:$L$1230,$F141)</f>
        <v>14.542857142857143</v>
      </c>
      <c r="X141" s="77">
        <f>AVERAGEIFS('3.1. Gas prod VF'!$AQ$13:$AQ$1230,'3.1. Gas prod VF'!$L$13:$L$1230,$F141)</f>
        <v>15.586025509236171</v>
      </c>
      <c r="Y141" s="77">
        <f>AVERAGEIFS('3.1. Gas prod VF'!$AR$13:$AR$1230,'3.1. Gas prod VF'!$L$13:$L$1230,$F141)</f>
        <v>28.013366116272838</v>
      </c>
      <c r="Z141" s="77">
        <f>AVERAGEIFS('3.1. Gas prod VF'!$AS$13:$AS$1230,'3.1. Gas prod VF'!$L$13:$L$1230,$F141)</f>
        <v>84.676560821331506</v>
      </c>
      <c r="AA141" s="77">
        <f>AVERAGEIFS('3.1. Gas prod VF'!$AT$13:$AT$1230,'3.1. Gas prod VF'!$L$13:$L$1230,$F141)</f>
        <v>-0.49821820563285918</v>
      </c>
      <c r="AB141" s="77">
        <f>AVERAGEIFS('3.1. Gas prod VF'!$AU$13:$AU$1230,'3.1. Gas prod VF'!$L$13:$L$1230,$F141)</f>
        <v>15.547902854844853</v>
      </c>
      <c r="AC141" s="77">
        <f>AVERAGEIFS('3.1. Gas prod VF'!$AV$13:$AV$1230,'3.1. Gas prod VF'!$L$13:$L$1230,$F141)</f>
        <v>46.996956248240743</v>
      </c>
      <c r="AD141" s="20"/>
    </row>
    <row r="142" spans="2:30" x14ac:dyDescent="0.35">
      <c r="B142" s="62">
        <f>'1. Information samples'!B142</f>
        <v>132</v>
      </c>
      <c r="C142" s="62">
        <f>'1. Information samples'!C142</f>
        <v>46062</v>
      </c>
      <c r="D142" s="62" t="str">
        <f>'1. Information samples'!D142</f>
        <v>Genbank</v>
      </c>
      <c r="E142" s="62">
        <f>'1. Information samples'!E142</f>
        <v>30</v>
      </c>
      <c r="F142" s="62" t="str">
        <f>'1. Information samples'!F142</f>
        <v>F260029</v>
      </c>
      <c r="G142" s="62" t="str">
        <f>'1. Information samples'!G142</f>
        <v>CIAT33235</v>
      </c>
      <c r="H142" s="62" t="str">
        <f>'1. Information samples'!H142</f>
        <v>Desmodium</v>
      </c>
      <c r="I142" s="62" t="str">
        <f>'1. Information samples'!I142</f>
        <v>scorpiurus</v>
      </c>
      <c r="J142" s="62" t="str">
        <f>'1. Information samples'!J142</f>
        <v>Desmodium scorpiurus</v>
      </c>
      <c r="K142" s="62" t="str">
        <f>'1. Information samples'!K142</f>
        <v>Fabaceae</v>
      </c>
      <c r="L142" s="62" t="str">
        <f>'1. Information samples'!L142</f>
        <v>Fabales</v>
      </c>
      <c r="M142" s="62" t="str">
        <f>'1. Information samples'!M142</f>
        <v>Herbaceous</v>
      </c>
      <c r="N142" s="77">
        <f>AVERAGEIFS('3.1. Gas prod VF'!$AG$13:$AG$1230,'3.1. Gas prod VF'!$L$13:$L$1230,$F142)</f>
        <v>30.514800275566085</v>
      </c>
      <c r="O142" s="20">
        <f>AVERAGE('3.1. Gas prod VF'!AH676,'3.1. Gas prod VF'!AH677,'3.1. Gas prod VF'!AH678,'3.1. Gas prod VF'!AH748,'3.1. Gas prod VF'!AH749,'3.1. Gas prod VF'!AH750,'3.1. Gas prod VF'!AH799,'3.1. Gas prod VF'!AH800)</f>
        <v>34.766850509163014</v>
      </c>
      <c r="P142" s="77">
        <f>AVERAGEIFS('3.1. Gas prod VF'!$AI$13:$AI$1230,'3.1. Gas prod VF'!$L$13:$L$1230,$F142)</f>
        <v>58.110040505114512</v>
      </c>
      <c r="Q142" s="77">
        <f>AVERAGEIFS('3.1. Gas prod VF'!$AJ$13:$AJ$1230,'3.1. Gas prod VF'!$L$13:$L$1230,$F142)</f>
        <v>4.5138816802474926</v>
      </c>
      <c r="R142" s="77">
        <f>AVERAGEIFS('3.1. Gas prod VF'!$AK$13:$AK$1230,'3.1. Gas prod VF'!$L$13:$L$1230,$F142)</f>
        <v>4.4390605438741142</v>
      </c>
      <c r="S142" s="77">
        <f>AVERAGEIFS('3.1. Gas prod VF'!$AL$13:$AL$1230,'3.1. Gas prod VF'!$L$13:$L$1230,$F142)</f>
        <v>8.9529422241216086</v>
      </c>
      <c r="T142" s="77">
        <f>AVERAGEIFS('3.1. Gas prod VF'!$AM$13:$AM$1230,'3.1. Gas prod VF'!$L$13:$L$1230,$F142)</f>
        <v>124.48633405006406</v>
      </c>
      <c r="U142" s="77">
        <f>AVERAGEIFS('3.1. Gas prod VF'!$AN$13:$AN$1230,'3.1. Gas prod VF'!$L$13:$L$1230,$F142)</f>
        <v>33.781096299435895</v>
      </c>
      <c r="V142" s="77">
        <f>AVERAGEIFS('3.1. Gas prod VF'!$AO$13:$AO$1230,'3.1. Gas prod VF'!$L$13:$L$1230,$F142)</f>
        <v>2.7356064115739653</v>
      </c>
      <c r="W142" s="77">
        <f>AVERAGEIFS('3.1. Gas prod VF'!$AP$13:$AP$1230,'3.1. Gas prod VF'!$L$13:$L$1230,$F142)</f>
        <v>14.785714285714286</v>
      </c>
      <c r="X142" s="77">
        <f>AVERAGEIFS('3.1. Gas prod VF'!$AQ$13:$AQ$1230,'3.1. Gas prod VF'!$L$13:$L$1230,$F142)</f>
        <v>15.424428967664495</v>
      </c>
      <c r="Y142" s="77">
        <f>AVERAGEIFS('3.1. Gas prod VF'!$AR$13:$AR$1230,'3.1. Gas prod VF'!$L$13:$L$1230,$F142)</f>
        <v>19.179421617077168</v>
      </c>
      <c r="Z142" s="77">
        <f>AVERAGEIFS('3.1. Gas prod VF'!$AS$13:$AS$1230,'3.1. Gas prod VF'!$L$13:$L$1230,$F142)</f>
        <v>58.314210019342788</v>
      </c>
      <c r="AA142" s="77">
        <f>AVERAGEIFS('3.1. Gas prod VF'!$AT$13:$AT$1230,'3.1. Gas prod VF'!$L$13:$L$1230,$F142)</f>
        <v>-1.8432060752601631</v>
      </c>
      <c r="AB142" s="77">
        <f>AVERAGEIFS('3.1. Gas prod VF'!$AU$13:$AU$1230,'3.1. Gas prod VF'!$L$13:$L$1230,$F142)</f>
        <v>10.644910821381236</v>
      </c>
      <c r="AC142" s="77">
        <f>AVERAGEIFS('3.1. Gas prod VF'!$AV$13:$AV$1230,'3.1. Gas prod VF'!$L$13:$L$1230,$F142)</f>
        <v>32.365395457102366</v>
      </c>
      <c r="AD142" s="20"/>
    </row>
    <row r="143" spans="2:30" x14ac:dyDescent="0.35">
      <c r="B143" s="62">
        <f>'1. Information samples'!B143</f>
        <v>133</v>
      </c>
      <c r="C143" s="62">
        <f>'1. Information samples'!C143</f>
        <v>46062</v>
      </c>
      <c r="D143" s="62" t="str">
        <f>'1. Information samples'!D143</f>
        <v>Genbank</v>
      </c>
      <c r="E143" s="62">
        <f>'1. Information samples'!E143</f>
        <v>30</v>
      </c>
      <c r="F143" s="62" t="str">
        <f>'1. Information samples'!F143</f>
        <v>F260030</v>
      </c>
      <c r="G143" s="62" t="str">
        <f>'1. Information samples'!G143</f>
        <v>CIAT33605</v>
      </c>
      <c r="H143" s="62" t="str">
        <f>'1. Information samples'!H143</f>
        <v>Desmodium</v>
      </c>
      <c r="I143" s="62" t="str">
        <f>'1. Information samples'!I143</f>
        <v>sandwicense x intortum</v>
      </c>
      <c r="J143" s="62" t="str">
        <f>'1. Information samples'!J143</f>
        <v>Desmodium sandwicense x intortum</v>
      </c>
      <c r="K143" s="62" t="str">
        <f>'1. Information samples'!K143</f>
        <v>Fabaceae</v>
      </c>
      <c r="L143" s="62" t="str">
        <f>'1. Information samples'!L143</f>
        <v>Fabales</v>
      </c>
      <c r="M143" s="62" t="str">
        <f>'1. Information samples'!M143</f>
        <v>Herbaceous</v>
      </c>
      <c r="N143" s="77">
        <f>AVERAGEIFS('3.1. Gas prod VF'!$AG$13:$AG$1230,'3.1. Gas prod VF'!$L$13:$L$1230,$F143)</f>
        <v>29.871943132708942</v>
      </c>
      <c r="O143" s="20">
        <f>AVERAGE('3.1. Gas prod VF'!AH677,'3.1. Gas prod VF'!AH678,'3.1. Gas prod VF'!AH679,'3.1. Gas prod VF'!AH749,'3.1. Gas prod VF'!AH750,'3.1. Gas prod VF'!AH751,'3.1. Gas prod VF'!AH800,'3.1. Gas prod VF'!AH801)</f>
        <v>36.704350509163014</v>
      </c>
      <c r="P143" s="77">
        <f>AVERAGEIFS('3.1. Gas prod VF'!$AI$13:$AI$1230,'3.1. Gas prod VF'!$L$13:$L$1230,$F143)</f>
        <v>59.752897647971658</v>
      </c>
      <c r="Q143" s="77">
        <f>AVERAGEIFS('3.1. Gas prod VF'!$AJ$13:$AJ$1230,'3.1. Gas prod VF'!$L$13:$L$1230,$F143)</f>
        <v>4.0863770878022141</v>
      </c>
      <c r="R143" s="77">
        <f>AVERAGEIFS('3.1. Gas prod VF'!$AK$13:$AK$1230,'3.1. Gas prod VF'!$L$13:$L$1230,$F143)</f>
        <v>4.778873080067469</v>
      </c>
      <c r="S143" s="77">
        <f>AVERAGEIFS('3.1. Gas prod VF'!$AL$13:$AL$1230,'3.1. Gas prod VF'!$L$13:$L$1230,$F143)</f>
        <v>8.8652501678696858</v>
      </c>
      <c r="T143" s="77">
        <f>AVERAGEIFS('3.1. Gas prod VF'!$AM$13:$AM$1230,'3.1. Gas prod VF'!$L$13:$L$1230,$F143)</f>
        <v>125.01088267275433</v>
      </c>
      <c r="U143" s="77">
        <f>AVERAGEIFS('3.1. Gas prod VF'!$AN$13:$AN$1230,'3.1. Gas prod VF'!$L$13:$L$1230,$F143)</f>
        <v>31.267985418856284</v>
      </c>
      <c r="V143" s="77">
        <f>AVERAGEIFS('3.1. Gas prod VF'!$AO$13:$AO$1230,'3.1. Gas prod VF'!$L$13:$L$1230,$F143)</f>
        <v>2.509056543930388</v>
      </c>
      <c r="W143" s="77">
        <f>AVERAGEIFS('3.1. Gas prod VF'!$AP$13:$AP$1230,'3.1. Gas prod VF'!$L$13:$L$1230,$F143)</f>
        <v>13.685714285714287</v>
      </c>
      <c r="X143" s="77">
        <f>AVERAGEIFS('3.1. Gas prod VF'!$AQ$13:$AQ$1230,'3.1. Gas prod VF'!$L$13:$L$1230,$F143)</f>
        <v>14.84310828743593</v>
      </c>
      <c r="Y143" s="77">
        <f>AVERAGEIFS('3.1. Gas prod VF'!$AR$13:$AR$1230,'3.1. Gas prod VF'!$L$13:$L$1230,$F143)</f>
        <v>18.547212127601256</v>
      </c>
      <c r="Z143" s="77">
        <f>AVERAGEIFS('3.1. Gas prod VF'!$AS$13:$AS$1230,'3.1. Gas prod VF'!$L$13:$L$1230,$F143)</f>
        <v>60.552460265327419</v>
      </c>
      <c r="AA143" s="77">
        <f>AVERAGEIFS('3.1. Gas prod VF'!$AT$13:$AT$1230,'3.1. Gas prod VF'!$L$13:$L$1230,$F143)</f>
        <v>-0.88581717379378133</v>
      </c>
      <c r="AB143" s="77">
        <f>AVERAGEIFS('3.1. Gas prod VF'!$AU$13:$AU$1230,'3.1. Gas prod VF'!$L$13:$L$1230,$F143)</f>
        <v>10.294023616841665</v>
      </c>
      <c r="AC143" s="77">
        <f>AVERAGEIFS('3.1. Gas prod VF'!$AV$13:$AV$1230,'3.1. Gas prod VF'!$L$13:$L$1230,$F143)</f>
        <v>33.60766306767654</v>
      </c>
      <c r="AD143" s="20"/>
    </row>
    <row r="144" spans="2:30" x14ac:dyDescent="0.35">
      <c r="B144" s="62">
        <f>'1. Information samples'!B144</f>
        <v>134</v>
      </c>
      <c r="C144" s="62">
        <f>'1. Information samples'!C144</f>
        <v>46062</v>
      </c>
      <c r="D144" s="62" t="str">
        <f>'1. Information samples'!D144</f>
        <v>Genbank</v>
      </c>
      <c r="E144" s="62">
        <f>'1. Information samples'!E144</f>
        <v>30</v>
      </c>
      <c r="F144" s="62" t="str">
        <f>'1. Information samples'!F144</f>
        <v>F260031</v>
      </c>
      <c r="G144" s="62" t="str">
        <f>'1. Information samples'!G144</f>
        <v>CIAT34144</v>
      </c>
      <c r="H144" s="62" t="str">
        <f>'1. Information samples'!H144</f>
        <v>Vigna</v>
      </c>
      <c r="I144" s="62" t="str">
        <f>'1. Information samples'!I144</f>
        <v>radiata</v>
      </c>
      <c r="J144" s="62" t="str">
        <f>'1. Information samples'!J144</f>
        <v>Vigna radiata</v>
      </c>
      <c r="K144" s="62" t="str">
        <f>'1. Information samples'!K144</f>
        <v>Fabaceae</v>
      </c>
      <c r="L144" s="62" t="str">
        <f>'1. Information samples'!L144</f>
        <v>Fabales</v>
      </c>
      <c r="M144" s="62" t="str">
        <f>'1. Information samples'!M144</f>
        <v>Herbaceous</v>
      </c>
      <c r="N144" s="77">
        <f>AVERAGE('3.1. Gas prod VF'!AG262,'3.1. Gas prod VF'!AG1041,'3.1. Gas prod VF'!AG1042,'3.1. Gas prod VF'!AG1127,'3.1. Gas prod VF'!AG1128,'3.1. Gas prod VF'!AG1199,'3.1. Gas prod VF'!AG1200)</f>
        <v>40.055395460041545</v>
      </c>
      <c r="O144" s="77">
        <f>AVERAGE('3.1. Gas prod VF'!AH262,'3.1. Gas prod VF'!AH1041,'3.1. Gas prod VF'!AH1042,'3.1. Gas prod VF'!AH1127,'3.1. Gas prod VF'!AH1128,'3.1. Gas prod VF'!AH1199,'3.1. Gas prod VF'!AH1200)</f>
        <v>46.386222412620413</v>
      </c>
      <c r="P144" s="77">
        <f>AVERAGE('3.1. Gas prod VF'!AI262,'3.1. Gas prod VF'!AI1041,'3.1. Gas prod VF'!AI1042,'3.1. Gas prod VF'!AI1127,'3.1. Gas prod VF'!AI1128,'3.1. Gas prod VF'!AI1199,'3.1. Gas prod VF'!AI1200)</f>
        <v>86.441617872661951</v>
      </c>
      <c r="Q144" s="77">
        <f>AVERAGE('3.1. Gas prod VF'!AJ262,'3.1. Gas prod VF'!AJ1041,'3.1. Gas prod VF'!AJ1042,'3.1. Gas prod VF'!AJ1127,'3.1. Gas prod VF'!AJ1128,'3.1. Gas prod VF'!AJ1199,'3.1. Gas prod VF'!AJ1200)</f>
        <v>5.6250509744861104</v>
      </c>
      <c r="R144" s="77">
        <f>AVERAGE('3.1. Gas prod VF'!AK262,'3.1. Gas prod VF'!AK1041,'3.1. Gas prod VF'!AK1042,'3.1. Gas prod VF'!AK1127,'3.1. Gas prod VF'!AK1128,'3.1. Gas prod VF'!AK1199,'3.1. Gas prod VF'!AK1200)</f>
        <v>7.9160086130763831</v>
      </c>
      <c r="S144" s="77">
        <f>AVERAGE('3.1. Gas prod VF'!AL262,'3.1. Gas prod VF'!AL1041,'3.1. Gas prod VF'!AL1042,'3.1. Gas prod VF'!AL1127,'3.1. Gas prod VF'!AL1128,'3.1. Gas prod VF'!AL1199,'3.1. Gas prod VF'!AL1200)</f>
        <v>13.541059587562494</v>
      </c>
      <c r="T144" s="77">
        <f>AVERAGE('3.1. Gas prod VF'!AM262,'3.1. Gas prod VF'!AM1041,'3.1. Gas prod VF'!AM1042,'3.1. Gas prod VF'!AM1127,'3.1. Gas prod VF'!AM1128,'3.1. Gas prod VF'!AM1199,'3.1. Gas prod VF'!AM1200)</f>
        <v>190.12399054959644</v>
      </c>
      <c r="U144" s="77">
        <f>AVERAGE('3.1. Gas prod VF'!AN262,'3.1. Gas prod VF'!AN1041,'3.1. Gas prod VF'!AN1042,'3.1. Gas prod VF'!AN1127,'3.1. Gas prod VF'!AN1128,'3.1. Gas prod VF'!AN1199,'3.1. Gas prod VF'!AN1200)</f>
        <v>54.609772484614687</v>
      </c>
      <c r="V144" s="77">
        <f>AVERAGE('3.1. Gas prod VF'!AO262,'3.1. Gas prod VF'!AO1041,'3.1. Gas prod VF'!AO1042,'3.1. Gas prod VF'!AO1127,'3.1. Gas prod VF'!AO1128,'3.1. Gas prod VF'!AO1199,'3.1. Gas prod VF'!AO1200)</f>
        <v>2.7374612591047751</v>
      </c>
      <c r="W144" s="77">
        <f>AVERAGE('3.1. Gas prod VF'!AP262,'3.1. Gas prod VF'!AP1041,'3.1. Gas prod VF'!AP1042,'3.1. Gas prod VF'!AP1127,'3.1. Gas prod VF'!AP1128,'3.1. Gas prod VF'!AP1199,'3.1. Gas prod VF'!AP1200)</f>
        <v>14.050000000000002</v>
      </c>
      <c r="X144" s="77">
        <f>AVERAGE('3.1. Gas prod VF'!AQ262,'3.1. Gas prod VF'!AQ1041,'3.1. Gas prod VF'!AQ1042,'3.1. Gas prod VF'!AQ1127,'3.1. Gas prod VF'!AQ1128,'3.1. Gas prod VF'!AQ1199,'3.1. Gas prod VF'!AQ1200)</f>
        <v>15.672183032192919</v>
      </c>
      <c r="Y144" s="77">
        <f>AVERAGE('3.1. Gas prod VF'!AR262,'3.1. Gas prod VF'!AR1041,'3.1. Gas prod VF'!AR1042,'3.1. Gas prod VF'!AR1127,'3.1. Gas prod VF'!AR1128,'3.1. Gas prod VF'!AR1199,'3.1. Gas prod VF'!AR1200)</f>
        <v>29.782918041988538</v>
      </c>
      <c r="Z144" s="77">
        <f>AVERAGE('3.1. Gas prod VF'!AS262,'3.1. Gas prod VF'!AS1041,'3.1. Gas prod VF'!AS1042,'3.1. Gas prod VF'!AS1127,'3.1. Gas prod VF'!AS1128,'3.1. Gas prod VF'!AS1199,'3.1. Gas prod VF'!AS1200)</f>
        <v>59.125097840148499</v>
      </c>
      <c r="AA144" s="77">
        <f>AVERAGE('3.1. Gas prod VF'!AT262,'3.1. Gas prod VF'!AT1041,'3.1. Gas prod VF'!AT1042,'3.1. Gas prod VF'!AT1127,'3.1. Gas prod VF'!AT1128,'3.1. Gas prod VF'!AT1199,'3.1. Gas prod VF'!AT1200)</f>
        <v>-0.31207022397815654</v>
      </c>
      <c r="AB144" s="77">
        <f>AVERAGE('3.1. Gas prod VF'!AU262,'3.1. Gas prod VF'!AU1041,'3.1. Gas prod VF'!AU1042,'3.1. Gas prod VF'!AU1127,'3.1. Gas prod VF'!AU1128,'3.1. Gas prod VF'!AU1199,'3.1. Gas prod VF'!AU1200)</f>
        <v>16.530034788702284</v>
      </c>
      <c r="AC144" s="77">
        <f>AVERAGE('3.1. Gas prod VF'!AV262,'3.1. Gas prod VF'!AV1041,'3.1. Gas prod VF'!AV1042,'3.1. Gas prod VF'!AV1127,'3.1. Gas prod VF'!AV1128,'3.1. Gas prod VF'!AV1199,'3.1. Gas prod VF'!AV1200)</f>
        <v>32.815452226850589</v>
      </c>
      <c r="AD144" s="20"/>
    </row>
    <row r="145" spans="2:30" x14ac:dyDescent="0.35">
      <c r="B145" s="62">
        <f>'1. Information samples'!B145</f>
        <v>135</v>
      </c>
      <c r="C145" s="62">
        <f>'1. Information samples'!C145</f>
        <v>46062</v>
      </c>
      <c r="D145" s="62" t="str">
        <f>'1. Information samples'!D145</f>
        <v>Genbank</v>
      </c>
      <c r="E145" s="62">
        <f>'1. Information samples'!E145</f>
        <v>30</v>
      </c>
      <c r="F145" s="62" t="str">
        <f>'1. Information samples'!F145</f>
        <v>F260032</v>
      </c>
      <c r="G145" s="62" t="str">
        <f>'1. Information samples'!G145</f>
        <v>CIAT7934</v>
      </c>
      <c r="H145" s="62" t="str">
        <f>'1. Information samples'!H145</f>
        <v>Sesbania</v>
      </c>
      <c r="I145" s="62" t="str">
        <f>'1. Information samples'!I145</f>
        <v>sesban</v>
      </c>
      <c r="J145" s="62" t="str">
        <f>'1. Information samples'!J145</f>
        <v>Sesbania sesban</v>
      </c>
      <c r="K145" s="62" t="str">
        <f>'1. Information samples'!K145</f>
        <v>Fabaceae</v>
      </c>
      <c r="L145" s="62" t="str">
        <f>'1. Information samples'!L145</f>
        <v>Fabales</v>
      </c>
      <c r="M145" s="62" t="str">
        <f>'1. Information samples'!M145</f>
        <v>Shurb_Tree</v>
      </c>
      <c r="N145" s="77">
        <f>AVERAGE('3.1. Gas prod VF'!AG263,'3.1. Gas prod VF'!AG264,'3.1. Gas prod VF'!AG1043,'3.1. Gas prod VF'!AG1044,'3.1. Gas prod VF'!AG1045,'3.1. Gas prod VF'!AG1129,'3.1. Gas prod VF'!AG1130,'3.1. Gas prod VF'!AG1201,'3.1. Gas prod VF'!AG1202)</f>
        <v>37.061587437586006</v>
      </c>
      <c r="O145" s="77">
        <f>AVERAGE('3.1. Gas prod VF'!AH263,'3.1. Gas prod VF'!AH264,'3.1. Gas prod VF'!AH1043,'3.1. Gas prod VF'!AH1044,'3.1. Gas prod VF'!AH1045,'3.1. Gas prod VF'!AH1129,'3.1. Gas prod VF'!AH1130,'3.1. Gas prod VF'!AH1201,'3.1. Gas prod VF'!AH1202)</f>
        <v>39.633813588432133</v>
      </c>
      <c r="P145" s="77">
        <f>AVERAGE('3.1. Gas prod VF'!AI263,'3.1. Gas prod VF'!AI264,'3.1. Gas prod VF'!AI1043,'3.1. Gas prod VF'!AI1044,'3.1. Gas prod VF'!AI1045,'3.1. Gas prod VF'!AI1129,'3.1. Gas prod VF'!AI1130,'3.1. Gas prod VF'!AI1201,'3.1. Gas prod VF'!AI1202)</f>
        <v>76.695401026018132</v>
      </c>
      <c r="Q145" s="77">
        <f>AVERAGE('3.1. Gas prod VF'!AJ263,'3.1. Gas prod VF'!AJ264,'3.1. Gas prod VF'!AJ1043,'3.1. Gas prod VF'!AJ1044,'3.1. Gas prod VF'!AJ1045,'3.1. Gas prod VF'!AJ1129,'3.1. Gas prod VF'!AJ1130,'3.1. Gas prod VF'!AJ1201,'3.1. Gas prod VF'!AJ1202)</f>
        <v>5.3342362696642436</v>
      </c>
      <c r="R145" s="77">
        <f>AVERAGE('3.1. Gas prod VF'!AK263,'3.1. Gas prod VF'!AK264,'3.1. Gas prod VF'!AK1043,'3.1. Gas prod VF'!AK1044,'3.1. Gas prod VF'!AK1045,'3.1. Gas prod VF'!AK1129,'3.1. Gas prod VF'!AK1130,'3.1. Gas prod VF'!AK1201,'3.1. Gas prod VF'!AK1202)</f>
        <v>6.0639659920597238</v>
      </c>
      <c r="S145" s="77">
        <f>AVERAGE('3.1. Gas prod VF'!AL263,'3.1. Gas prod VF'!AL264,'3.1. Gas prod VF'!AL1043,'3.1. Gas prod VF'!AL1044,'3.1. Gas prod VF'!AL1045,'3.1. Gas prod VF'!AL1129,'3.1. Gas prod VF'!AL1130,'3.1. Gas prod VF'!AL1201,'3.1. Gas prod VF'!AL1202)</f>
        <v>11.398202261723965</v>
      </c>
      <c r="T145" s="77">
        <f>AVERAGE('3.1. Gas prod VF'!AM263,'3.1. Gas prod VF'!AM264,'3.1. Gas prod VF'!AM1043,'3.1. Gas prod VF'!AM1044,'3.1. Gas prod VF'!AM1045,'3.1. Gas prod VF'!AM1129,'3.1. Gas prod VF'!AM1130,'3.1. Gas prod VF'!AM1201,'3.1. Gas prod VF'!AM1202)</f>
        <v>159.48487470339197</v>
      </c>
      <c r="U145" s="77">
        <f>AVERAGE('3.1. Gas prod VF'!AN263,'3.1. Gas prod VF'!AN264,'3.1. Gas prod VF'!AN1043,'3.1. Gas prod VF'!AN1044,'3.1. Gas prod VF'!AN1045,'3.1. Gas prod VF'!AN1129,'3.1. Gas prod VF'!AN1130,'3.1. Gas prod VF'!AN1201,'3.1. Gas prod VF'!AN1202)</f>
        <v>38.758692183990156</v>
      </c>
      <c r="V145" s="77">
        <f>AVERAGE('3.1. Gas prod VF'!AO263,'3.1. Gas prod VF'!AO264,'3.1. Gas prod VF'!AO1043,'3.1. Gas prod VF'!AO1044,'3.1. Gas prod VF'!AO1045,'3.1. Gas prod VF'!AO1129,'3.1. Gas prod VF'!AO1130,'3.1. Gas prod VF'!AO1201,'3.1. Gas prod VF'!AO1202)</f>
        <v>2.5181032420525318</v>
      </c>
      <c r="W145" s="77">
        <f>AVERAGE('3.1. Gas prod VF'!AP263,'3.1. Gas prod VF'!AP264,'3.1. Gas prod VF'!AP1043,'3.1. Gas prod VF'!AP1044,'3.1. Gas prod VF'!AP1045,'3.1. Gas prod VF'!AP1129,'3.1. Gas prod VF'!AP1130,'3.1. Gas prod VF'!AP1201,'3.1. Gas prod VF'!AP1202)</f>
        <v>14.314285714285715</v>
      </c>
      <c r="X145" s="77">
        <f>AVERAGE('3.1. Gas prod VF'!AQ263,'3.1. Gas prod VF'!AQ264,'3.1. Gas prod VF'!AQ1043,'3.1. Gas prod VF'!AQ1044,'3.1. Gas prod VF'!AQ1045,'3.1. Gas prod VF'!AQ1129,'3.1. Gas prod VF'!AQ1130,'3.1. Gas prod VF'!AQ1201,'3.1. Gas prod VF'!AQ1202)</f>
        <v>14.94880418790585</v>
      </c>
      <c r="Y145" s="77">
        <f>AVERAGE('3.1. Gas prod VF'!AR263,'3.1. Gas prod VF'!AR264,'3.1. Gas prod VF'!AR1043,'3.1. Gas prod VF'!AR1044,'3.1. Gas prod VF'!AR1045,'3.1. Gas prod VF'!AR1129,'3.1. Gas prod VF'!AR1130,'3.1. Gas prod VF'!AR1201,'3.1. Gas prod VF'!AR1202)</f>
        <v>23.70611251283103</v>
      </c>
      <c r="Z145" s="77">
        <f>AVERAGE('3.1. Gas prod VF'!AS263,'3.1. Gas prod VF'!AS264,'3.1. Gas prod VF'!AS1043,'3.1. Gas prod VF'!AS1044,'3.1. Gas prod VF'!AS1045,'3.1. Gas prod VF'!AS1129,'3.1. Gas prod VF'!AS1130,'3.1. Gas prod VF'!AS1201,'3.1. Gas prod VF'!AS1202)</f>
        <v>61.660294446314495</v>
      </c>
      <c r="AA145" s="77">
        <f>AVERAGE('3.1. Gas prod VF'!AT263,'3.1. Gas prod VF'!AT264,'3.1. Gas prod VF'!AT1043,'3.1. Gas prod VF'!AT1044,'3.1. Gas prod VF'!AT1045,'3.1. Gas prod VF'!AT1129,'3.1. Gas prod VF'!AT1130,'3.1. Gas prod VF'!AT1201,'3.1. Gas prod VF'!AT1202)</f>
        <v>-1.0426996888470195</v>
      </c>
      <c r="AB145" s="77">
        <f>AVERAGE('3.1. Gas prod VF'!AU263,'3.1. Gas prod VF'!AU264,'3.1. Gas prod VF'!AU1043,'3.1. Gas prod VF'!AU1044,'3.1. Gas prod VF'!AU1045,'3.1. Gas prod VF'!AU1129,'3.1. Gas prod VF'!AU1130,'3.1. Gas prod VF'!AU1201,'3.1. Gas prod VF'!AU1202)</f>
        <v>13.157302584976113</v>
      </c>
      <c r="AC145" s="77">
        <f>AVERAGE('3.1. Gas prod VF'!AV263,'3.1. Gas prod VF'!AV264,'3.1. Gas prod VF'!AV1043,'3.1. Gas prod VF'!AV1044,'3.1. Gas prod VF'!AV1045,'3.1. Gas prod VF'!AV1129,'3.1. Gas prod VF'!AV1130,'3.1. Gas prod VF'!AV1201,'3.1. Gas prod VF'!AV1202)</f>
        <v>34.222530204805693</v>
      </c>
      <c r="AD145" s="20"/>
    </row>
    <row r="146" spans="2:30" x14ac:dyDescent="0.35">
      <c r="B146" s="62">
        <f>'1. Information samples'!B146</f>
        <v>136</v>
      </c>
      <c r="C146" s="62">
        <f>'1. Information samples'!C146</f>
        <v>46062</v>
      </c>
      <c r="D146" s="62" t="str">
        <f>'1. Information samples'!D146</f>
        <v>Genbank</v>
      </c>
      <c r="E146" s="62">
        <f>'1. Information samples'!E146</f>
        <v>30</v>
      </c>
      <c r="F146" s="62" t="str">
        <f>'1. Information samples'!F146</f>
        <v>F260033</v>
      </c>
      <c r="G146" s="62" t="str">
        <f>'1. Information samples'!G146</f>
        <v>CIAT7937</v>
      </c>
      <c r="H146" s="62" t="str">
        <f>'1. Information samples'!H146</f>
        <v>Mimosa</v>
      </c>
      <c r="I146" s="62" t="str">
        <f>'1. Information samples'!I146</f>
        <v>nuda</v>
      </c>
      <c r="J146" s="62" t="str">
        <f>'1. Information samples'!J146</f>
        <v>Mimosa nuda</v>
      </c>
      <c r="K146" s="62" t="str">
        <f>'1. Information samples'!K146</f>
        <v>Fabaceae</v>
      </c>
      <c r="L146" s="62" t="str">
        <f>'1. Information samples'!L146</f>
        <v>Fabales</v>
      </c>
      <c r="M146" s="62" t="str">
        <f>'1. Information samples'!M146</f>
        <v>Shurb_Tree</v>
      </c>
      <c r="N146" s="77">
        <f>AVERAGEIFS('3.1. Gas prod VF'!$AG$13:$AG$1230,'3.1. Gas prod VF'!$L$13:$L$1230,$F146)</f>
        <v>27.014800275566085</v>
      </c>
      <c r="O146" s="20">
        <f>AVERAGE('3.1. Gas prod VF'!AH680,'3.1. Gas prod VF'!AH681,'3.1. Gas prod VF'!AH682,'3.1. Gas prod VF'!AH752,'3.1. Gas prod VF'!AH753,'3.1. Gas prod VF'!AH754,'3.1. Gas prod VF'!AH803,'3.1. Gas prod VF'!AH804)</f>
        <v>30.604350509163012</v>
      </c>
      <c r="P146" s="77">
        <f>AVERAGEIFS('3.1. Gas prod VF'!$AI$13:$AI$1230,'3.1. Gas prod VF'!$L$13:$L$1230,$F146)</f>
        <v>55.967183362257366</v>
      </c>
      <c r="Q146" s="77">
        <f>AVERAGEIFS('3.1. Gas prod VF'!$AJ$13:$AJ$1230,'3.1. Gas prod VF'!$L$13:$L$1230,$F146)</f>
        <v>3.5006077883169118</v>
      </c>
      <c r="R146" s="77">
        <f>AVERAGEIFS('3.1. Gas prod VF'!$AK$13:$AK$1230,'3.1. Gas prod VF'!$L$13:$L$1230,$F146)</f>
        <v>4.2013433124112662</v>
      </c>
      <c r="S146" s="77">
        <f>AVERAGEIFS('3.1. Gas prod VF'!$AL$13:$AL$1230,'3.1. Gas prod VF'!$L$13:$L$1230,$F146)</f>
        <v>7.701951100728178</v>
      </c>
      <c r="T146" s="77">
        <f>AVERAGEIFS('3.1. Gas prod VF'!$AM$13:$AM$1230,'3.1. Gas prod VF'!$L$13:$L$1230,$F146)</f>
        <v>116.32498346985169</v>
      </c>
      <c r="U146" s="77">
        <f>AVERAGEIFS('3.1. Gas prod VF'!$AN$13:$AN$1230,'3.1. Gas prod VF'!$L$13:$L$1230,$F146)</f>
        <v>28.94794021507618</v>
      </c>
      <c r="V146" s="77">
        <f>AVERAGEIFS('3.1. Gas prod VF'!$AO$13:$AO$1230,'3.1. Gas prod VF'!$L$13:$L$1230,$F146)</f>
        <v>2.4869711526683469</v>
      </c>
      <c r="W146" s="77">
        <f>AVERAGEIFS('3.1. Gas prod VF'!$AP$13:$AP$1230,'3.1. Gas prod VF'!$L$13:$L$1230,$F146)</f>
        <v>12.957142857142857</v>
      </c>
      <c r="X146" s="77">
        <f>AVERAGEIFS('3.1. Gas prod VF'!$AQ$13:$AQ$1230,'3.1. Gas prod VF'!$L$13:$L$1230,$F146)</f>
        <v>13.763209406597912</v>
      </c>
      <c r="Y146" s="77">
        <f>AVERAGEIFS('3.1. Gas prod VF'!$AR$13:$AR$1230,'3.1. Gas prod VF'!$L$13:$L$1230,$F146)</f>
        <v>16.008105031369418</v>
      </c>
      <c r="Z146" s="77">
        <f>AVERAGEIFS('3.1. Gas prod VF'!$AS$13:$AS$1230,'3.1. Gas prod VF'!$L$13:$L$1230,$F146)</f>
        <v>61.511814228659738</v>
      </c>
      <c r="AA146" s="77">
        <f>AVERAGEIFS('3.1. Gas prod VF'!$AT$13:$AT$1230,'3.1. Gas prod VF'!$L$13:$L$1230,$F146)</f>
        <v>-0.61207910500907403</v>
      </c>
      <c r="AB146" s="77">
        <f>AVERAGEIFS('3.1. Gas prod VF'!$AU$13:$AU$1230,'3.1. Gas prod VF'!$L$13:$L$1230,$F146)</f>
        <v>8.8847752492444805</v>
      </c>
      <c r="AC146" s="77">
        <f>AVERAGEIFS('3.1. Gas prod VF'!$AV$13:$AV$1230,'3.1. Gas prod VF'!$L$13:$L$1230,$F146)</f>
        <v>34.140121115145398</v>
      </c>
      <c r="AD146" s="20"/>
    </row>
    <row r="147" spans="2:30" x14ac:dyDescent="0.35">
      <c r="B147" s="62">
        <f>'1. Information samples'!B147</f>
        <v>137</v>
      </c>
      <c r="C147" s="62">
        <f>'1. Information samples'!C147</f>
        <v>46062</v>
      </c>
      <c r="D147" s="62" t="str">
        <f>'1. Information samples'!D147</f>
        <v>Genbank</v>
      </c>
      <c r="E147" s="62">
        <f>'1. Information samples'!E147</f>
        <v>30</v>
      </c>
      <c r="F147" s="62" t="str">
        <f>'1. Information samples'!F147</f>
        <v>F260034</v>
      </c>
      <c r="G147" s="62" t="str">
        <f>'1. Information samples'!G147</f>
        <v>CIAT8056</v>
      </c>
      <c r="H147" s="62" t="str">
        <f>'1. Information samples'!H147</f>
        <v>Mimosa</v>
      </c>
      <c r="I147" s="62" t="str">
        <f>'1. Information samples'!I147</f>
        <v>diplotricha</v>
      </c>
      <c r="J147" s="62" t="str">
        <f>'1. Information samples'!J147</f>
        <v>Mimosa diplotricha</v>
      </c>
      <c r="K147" s="62" t="str">
        <f>'1. Information samples'!K147</f>
        <v>Fabaceae</v>
      </c>
      <c r="L147" s="62" t="str">
        <f>'1. Information samples'!L147</f>
        <v>Fabales</v>
      </c>
      <c r="M147" s="62" t="str">
        <f>'1. Information samples'!M147</f>
        <v>Shurb_Tree</v>
      </c>
      <c r="N147" s="77">
        <f>AVERAGE('3.1. Gas prod VF'!AG267,'3.1. Gas prod VF'!AG268,'3.1. Gas prod VF'!AG1049,'3.1. Gas prod VF'!AG1050,'3.1. Gas prod VF'!AG1133,'3.1. Gas prod VF'!AG1134,'3.1. Gas prod VF'!AG1206)</f>
        <v>32.049803814471922</v>
      </c>
      <c r="O147" s="77">
        <f>AVERAGE('3.1. Gas prod VF'!AH267,'3.1. Gas prod VF'!AH268,'3.1. Gas prod VF'!AH1049,'3.1. Gas prod VF'!AH1050,'3.1. Gas prod VF'!AH1133,'3.1. Gas prod VF'!AH1134,'3.1. Gas prod VF'!AH1206)</f>
        <v>33.378458858465329</v>
      </c>
      <c r="P147" s="77">
        <f>AVERAGE('3.1. Gas prod VF'!AI267,'3.1. Gas prod VF'!AI268,'3.1. Gas prod VF'!AI1049,'3.1. Gas prod VF'!AI1050,'3.1. Gas prod VF'!AI1133,'3.1. Gas prod VF'!AI1134,'3.1. Gas prod VF'!AI1206)</f>
        <v>65.428262672937265</v>
      </c>
      <c r="Q147" s="77">
        <f>AVERAGE('3.1. Gas prod VF'!AJ267,'3.1. Gas prod VF'!AJ268,'3.1. Gas prod VF'!AJ1049,'3.1. Gas prod VF'!AJ1050,'3.1. Gas prod VF'!AJ1133,'3.1. Gas prod VF'!AJ1134,'3.1. Gas prod VF'!AJ1206)</f>
        <v>4.1915168127254301</v>
      </c>
      <c r="R147" s="77">
        <f>AVERAGE('3.1. Gas prod VF'!AK267,'3.1. Gas prod VF'!AK268,'3.1. Gas prod VF'!AK1049,'3.1. Gas prod VF'!AK1050,'3.1. Gas prod VF'!AK1133,'3.1. Gas prod VF'!AK1134,'3.1. Gas prod VF'!AK1206)</f>
        <v>5.4999006869058817</v>
      </c>
      <c r="S147" s="77">
        <f>AVERAGE('3.1. Gas prod VF'!AL267,'3.1. Gas prod VF'!AL268,'3.1. Gas prod VF'!AL1049,'3.1. Gas prod VF'!AL1050,'3.1. Gas prod VF'!AL1133,'3.1. Gas prod VF'!AL1134,'3.1. Gas prod VF'!AL1206)</f>
        <v>9.6914174996313118</v>
      </c>
      <c r="T147" s="77">
        <f>AVERAGE('3.1. Gas prod VF'!AM267,'3.1. Gas prod VF'!AM268,'3.1. Gas prod VF'!AM1049,'3.1. Gas prod VF'!AM1050,'3.1. Gas prod VF'!AM1133,'3.1. Gas prod VF'!AM1134,'3.1. Gas prod VF'!AM1206)</f>
        <v>137.87170504026571</v>
      </c>
      <c r="U147" s="77">
        <f>AVERAGE('3.1. Gas prod VF'!AN267,'3.1. Gas prod VF'!AN268,'3.1. Gas prod VF'!AN1049,'3.1. Gas prod VF'!AN1050,'3.1. Gas prod VF'!AN1133,'3.1. Gas prod VF'!AN1134,'3.1. Gas prod VF'!AN1206)</f>
        <v>34.008966409960237</v>
      </c>
      <c r="V147" s="77">
        <f>AVERAGE('3.1. Gas prod VF'!AO267,'3.1. Gas prod VF'!AO268,'3.1. Gas prod VF'!AO1049,'3.1. Gas prod VF'!AO1050,'3.1. Gas prod VF'!AO1133,'3.1. Gas prod VF'!AO1134,'3.1. Gas prod VF'!AO1206)</f>
        <v>2.4692571741183507</v>
      </c>
      <c r="W147" s="77">
        <f>AVERAGE('3.1. Gas prod VF'!AP267,'3.1. Gas prod VF'!AP268,'3.1. Gas prod VF'!AP1049,'3.1. Gas prod VF'!AP1050,'3.1. Gas prod VF'!AP1133,'3.1. Gas prod VF'!AP1134,'3.1. Gas prod VF'!AP1206)</f>
        <v>13.085714285714285</v>
      </c>
      <c r="X147" s="77">
        <f>AVERAGE('3.1. Gas prod VF'!AQ267,'3.1. Gas prod VF'!AQ268,'3.1. Gas prod VF'!AQ1049,'3.1. Gas prod VF'!AQ1050,'3.1. Gas prod VF'!AQ1133,'3.1. Gas prod VF'!AQ1134,'3.1. Gas prod VF'!AQ1206)</f>
        <v>14.857807337680255</v>
      </c>
      <c r="Y147" s="77">
        <f>AVERAGE('3.1. Gas prod VF'!AR267,'3.1. Gas prod VF'!AR268,'3.1. Gas prod VF'!AR1049,'3.1. Gas prod VF'!AR1050,'3.1. Gas prod VF'!AR1133,'3.1. Gas prod VF'!AR1134,'3.1. Gas prod VF'!AR1206)</f>
        <v>20.431186945749349</v>
      </c>
      <c r="Z147" s="77">
        <f>AVERAGE('3.1. Gas prod VF'!AS267,'3.1. Gas prod VF'!AS268,'3.1. Gas prod VF'!AS1049,'3.1. Gas prod VF'!AS1050,'3.1. Gas prod VF'!AS1133,'3.1. Gas prod VF'!AS1134,'3.1. Gas prod VF'!AS1206)</f>
        <v>61.557473696141585</v>
      </c>
      <c r="AA147" s="77">
        <f>AVERAGE('3.1. Gas prod VF'!AT267,'3.1. Gas prod VF'!AT268,'3.1. Gas prod VF'!AT1049,'3.1. Gas prod VF'!AT1050,'3.1. Gas prod VF'!AT1133,'3.1. Gas prod VF'!AT1134,'3.1. Gas prod VF'!AT1206)</f>
        <v>0.5355049214200428</v>
      </c>
      <c r="AB147" s="77">
        <f>AVERAGE('3.1. Gas prod VF'!AU267,'3.1. Gas prod VF'!AU268,'3.1. Gas prod VF'!AU1049,'3.1. Gas prod VF'!AU1050,'3.1. Gas prod VF'!AU1133,'3.1. Gas prod VF'!AU1134,'3.1. Gas prod VF'!AU1206)</f>
        <v>11.339662235633897</v>
      </c>
      <c r="AC147" s="77">
        <f>AVERAGE('3.1. Gas prod VF'!AV267,'3.1. Gas prod VF'!AV268,'3.1. Gas prod VF'!AV1049,'3.1. Gas prod VF'!AV1050,'3.1. Gas prod VF'!AV1133,'3.1. Gas prod VF'!AV1134,'3.1. Gas prod VF'!AV1206)</f>
        <v>34.165462909554016</v>
      </c>
      <c r="AD147" s="20"/>
    </row>
    <row r="148" spans="2:30" x14ac:dyDescent="0.35">
      <c r="B148" s="62">
        <f>'1. Information samples'!B148</f>
        <v>138</v>
      </c>
      <c r="C148" s="62">
        <f>'1. Information samples'!C148</f>
        <v>46062</v>
      </c>
      <c r="D148" s="62" t="str">
        <f>'1. Information samples'!D148</f>
        <v>Genbank</v>
      </c>
      <c r="E148" s="62">
        <f>'1. Information samples'!E148</f>
        <v>30</v>
      </c>
      <c r="F148" s="62" t="str">
        <f>'1. Information samples'!F148</f>
        <v>F260035</v>
      </c>
      <c r="G148" s="62" t="str">
        <f>'1. Information samples'!G148</f>
        <v>CIAT17514</v>
      </c>
      <c r="H148" s="62" t="str">
        <f>'1. Information samples'!H148</f>
        <v>Mimosa</v>
      </c>
      <c r="I148" s="62" t="str">
        <f>'1. Information samples'!I148</f>
        <v>pudica</v>
      </c>
      <c r="J148" s="62" t="str">
        <f>'1. Information samples'!J148</f>
        <v>Mimosa pudica</v>
      </c>
      <c r="K148" s="62" t="str">
        <f>'1. Information samples'!K148</f>
        <v>Fabaceae</v>
      </c>
      <c r="L148" s="62" t="str">
        <f>'1. Information samples'!L148</f>
        <v>Fabales</v>
      </c>
      <c r="M148" s="62" t="str">
        <f>'1. Information samples'!M148</f>
        <v>Shurb_Tree</v>
      </c>
      <c r="N148" s="77">
        <f>AVERAGEIFS('3.1. Gas prod VF'!$AG$13:$AG$1230,'3.1. Gas prod VF'!$L$13:$L$1230,$F148)</f>
        <v>31.7290859898518</v>
      </c>
      <c r="O148" s="20">
        <f>AVERAGE('3.1. Gas prod VF'!AH682,'3.1. Gas prod VF'!AH683,'3.1. Gas prod VF'!AH684,'3.1. Gas prod VF'!AH754,'3.1. Gas prod VF'!AH755,'3.1. Gas prod VF'!AH756,'3.1. Gas prod VF'!AH805,'3.1. Gas prod VF'!AH806)</f>
        <v>31.104350509163012</v>
      </c>
      <c r="P148" s="77">
        <f>AVERAGEIFS('3.1. Gas prod VF'!$AI$13:$AI$1230,'3.1. Gas prod VF'!$L$13:$L$1230,$F148)</f>
        <v>62.038611933685942</v>
      </c>
      <c r="Q148" s="77">
        <f>AVERAGEIFS('3.1. Gas prod VF'!$AJ$13:$AJ$1230,'3.1. Gas prod VF'!$L$13:$L$1230,$F148)</f>
        <v>4.3572015491120313</v>
      </c>
      <c r="R148" s="77">
        <f>AVERAGEIFS('3.1. Gas prod VF'!$AK$13:$AK$1230,'3.1. Gas prod VF'!$L$13:$L$1230,$F148)</f>
        <v>5.0287960490741082</v>
      </c>
      <c r="S148" s="77">
        <f>AVERAGEIFS('3.1. Gas prod VF'!$AL$13:$AL$1230,'3.1. Gas prod VF'!$L$13:$L$1230,$F148)</f>
        <v>9.3859975981861385</v>
      </c>
      <c r="T148" s="77">
        <f>AVERAGEIFS('3.1. Gas prod VF'!$AM$13:$AM$1230,'3.1. Gas prod VF'!$L$13:$L$1230,$F148)</f>
        <v>128.61529893677979</v>
      </c>
      <c r="U148" s="77">
        <f>AVERAGEIFS('3.1. Gas prod VF'!$AN$13:$AN$1230,'3.1. Gas prod VF'!$L$13:$L$1230,$F148)</f>
        <v>30.355773780679108</v>
      </c>
      <c r="V148" s="77">
        <f>AVERAGEIFS('3.1. Gas prod VF'!$AO$13:$AO$1230,'3.1. Gas prod VF'!$L$13:$L$1230,$F148)</f>
        <v>2.3553808367560669</v>
      </c>
      <c r="W148" s="77">
        <f>AVERAGEIFS('3.1. Gas prod VF'!$AP$13:$AP$1230,'3.1. Gas prod VF'!$L$13:$L$1230,$F148)</f>
        <v>13.72857142857143</v>
      </c>
      <c r="X148" s="77">
        <f>AVERAGEIFS('3.1. Gas prod VF'!$AQ$13:$AQ$1230,'3.1. Gas prod VF'!$L$13:$L$1230,$F148)</f>
        <v>15.130885166335423</v>
      </c>
      <c r="Y148" s="77">
        <f>AVERAGEIFS('3.1. Gas prod VF'!$AR$13:$AR$1230,'3.1. Gas prod VF'!$L$13:$L$1230,$F148)</f>
        <v>19.458589861840895</v>
      </c>
      <c r="Z148" s="77">
        <f>AVERAGEIFS('3.1. Gas prod VF'!$AS$13:$AS$1230,'3.1. Gas prod VF'!$L$13:$L$1230,$F148)</f>
        <v>69.96536047030655</v>
      </c>
      <c r="AA148" s="77">
        <f>AVERAGEIFS('3.1. Gas prod VF'!$AT$13:$AT$1230,'3.1. Gas prod VF'!$L$13:$L$1230,$F148)</f>
        <v>1.8645512142654659</v>
      </c>
      <c r="AB148" s="77">
        <f>AVERAGEIFS('3.1. Gas prod VF'!$AU$13:$AU$1230,'3.1. Gas prod VF'!$L$13:$L$1230,$F148)</f>
        <v>10.799854027125534</v>
      </c>
      <c r="AC148" s="77">
        <f>AVERAGEIFS('3.1. Gas prod VF'!$AV$13:$AV$1230,'3.1. Gas prod VF'!$L$13:$L$1230,$F148)</f>
        <v>38.831985534384671</v>
      </c>
      <c r="AD148" s="20"/>
    </row>
    <row r="149" spans="2:30" x14ac:dyDescent="0.35">
      <c r="B149" s="62">
        <f>'1. Information samples'!B149</f>
        <v>139</v>
      </c>
      <c r="C149" s="62">
        <f>'1. Information samples'!C149</f>
        <v>46062</v>
      </c>
      <c r="D149" s="62" t="str">
        <f>'1. Information samples'!D149</f>
        <v>Genbank</v>
      </c>
      <c r="E149" s="62">
        <f>'1. Information samples'!E149</f>
        <v>30</v>
      </c>
      <c r="F149" s="62" t="str">
        <f>'1. Information samples'!F149</f>
        <v>F260036</v>
      </c>
      <c r="G149" s="62" t="str">
        <f>'1. Information samples'!G149</f>
        <v>CIAT17725</v>
      </c>
      <c r="H149" s="62" t="str">
        <f>'1. Information samples'!H149</f>
        <v>Mimosa</v>
      </c>
      <c r="I149" s="62" t="str">
        <f>'1. Information samples'!I149</f>
        <v>polycarpa</v>
      </c>
      <c r="J149" s="62" t="str">
        <f>'1. Information samples'!J149</f>
        <v>Mimosa polycarpa</v>
      </c>
      <c r="K149" s="62" t="str">
        <f>'1. Information samples'!K149</f>
        <v>Fabaceae</v>
      </c>
      <c r="L149" s="62" t="str">
        <f>'1. Information samples'!L149</f>
        <v>Fabales</v>
      </c>
      <c r="M149" s="62" t="str">
        <f>'1. Information samples'!M149</f>
        <v>Shurb_Tree</v>
      </c>
      <c r="N149" s="77">
        <f>AVERAGEIFS('3.1. Gas prod VF'!$AG$13:$AG$1230,'3.1. Gas prod VF'!$L$13:$L$1230,$F149)</f>
        <v>30.443371704137515</v>
      </c>
      <c r="O149" s="20">
        <f>AVERAGE('3.1. Gas prod VF'!AH683,'3.1. Gas prod VF'!AH684,'3.1. Gas prod VF'!AH685,'3.1. Gas prod VF'!AH755,'3.1. Gas prod VF'!AH756,'3.1. Gas prod VF'!AH757,'3.1. Gas prod VF'!AH806,'3.1. Gas prod VF'!AH807)</f>
        <v>31.354350509163012</v>
      </c>
      <c r="P149" s="77">
        <f>AVERAGEIFS('3.1. Gas prod VF'!$AI$13:$AI$1230,'3.1. Gas prod VF'!$L$13:$L$1230,$F149)</f>
        <v>65.552897647971662</v>
      </c>
      <c r="Q149" s="77">
        <f>AVERAGEIFS('3.1. Gas prod VF'!$AJ$13:$AJ$1230,'3.1. Gas prod VF'!$L$13:$L$1230,$F149)</f>
        <v>3.9591329507219748</v>
      </c>
      <c r="R149" s="77">
        <f>AVERAGEIFS('3.1. Gas prod VF'!$AK$13:$AK$1230,'3.1. Gas prod VF'!$L$13:$L$1230,$F149)</f>
        <v>5.7721844841568322</v>
      </c>
      <c r="S149" s="77">
        <f>AVERAGEIFS('3.1. Gas prod VF'!$AL$13:$AL$1230,'3.1. Gas prod VF'!$L$13:$L$1230,$F149)</f>
        <v>9.7313174348788074</v>
      </c>
      <c r="T149" s="77">
        <f>AVERAGEIFS('3.1. Gas prod VF'!$AM$13:$AM$1230,'3.1. Gas prod VF'!$L$13:$L$1230,$F149)</f>
        <v>136.99739590465379</v>
      </c>
      <c r="U149" s="77">
        <f>AVERAGEIFS('3.1. Gas prod VF'!$AN$13:$AN$1230,'3.1. Gas prod VF'!$L$13:$L$1230,$F149)</f>
        <v>30.021455177182215</v>
      </c>
      <c r="V149" s="77">
        <f>AVERAGEIFS('3.1. Gas prod VF'!$AO$13:$AO$1230,'3.1. Gas prod VF'!$L$13:$L$1230,$F149)</f>
        <v>2.1850138987257135</v>
      </c>
      <c r="W149" s="77">
        <f>AVERAGEIFS('3.1. Gas prod VF'!$AP$13:$AP$1230,'3.1. Gas prod VF'!$L$13:$L$1230,$F149)</f>
        <v>13</v>
      </c>
      <c r="X149" s="77">
        <f>AVERAGEIFS('3.1. Gas prod VF'!$AQ$13:$AQ$1230,'3.1. Gas prod VF'!$L$13:$L$1230,$F149)</f>
        <v>14.846209573146661</v>
      </c>
      <c r="Y149" s="77">
        <f>AVERAGEIFS('3.1. Gas prod VF'!$AR$13:$AR$1230,'3.1. Gas prod VF'!$L$13:$L$1230,$F149)</f>
        <v>20.337231566560387</v>
      </c>
      <c r="Z149" s="77">
        <f>AVERAGEIFS('3.1. Gas prod VF'!$AS$13:$AS$1230,'3.1. Gas prod VF'!$L$13:$L$1230,$F149)</f>
        <v>71.029602314027699</v>
      </c>
      <c r="AA149" s="77">
        <f>AVERAGEIFS('3.1. Gas prod VF'!$AT$13:$AT$1230,'3.1. Gas prod VF'!$L$13:$L$1230,$F149)</f>
        <v>-1.0752022058203499</v>
      </c>
      <c r="AB149" s="77">
        <f>AVERAGEIFS('3.1. Gas prod VF'!$AU$13:$AU$1230,'3.1. Gas prod VF'!$L$13:$L$1230,$F149)</f>
        <v>11.287515374658431</v>
      </c>
      <c r="AC149" s="77">
        <f>AVERAGEIFS('3.1. Gas prod VF'!$AV$13:$AV$1230,'3.1. Gas prod VF'!$L$13:$L$1230,$F149)</f>
        <v>39.422658170138561</v>
      </c>
      <c r="AD149" s="20"/>
    </row>
    <row r="150" spans="2:30" x14ac:dyDescent="0.35">
      <c r="B150" s="62">
        <f>'1. Information samples'!B150</f>
        <v>140</v>
      </c>
      <c r="C150" s="62">
        <f>'1. Information samples'!C150</f>
        <v>46062</v>
      </c>
      <c r="D150" s="62" t="str">
        <f>'1. Information samples'!D150</f>
        <v>Genbank</v>
      </c>
      <c r="E150" s="62">
        <f>'1. Information samples'!E150</f>
        <v>30</v>
      </c>
      <c r="F150" s="62" t="str">
        <f>'1. Information samples'!F150</f>
        <v>F260037</v>
      </c>
      <c r="G150" s="62" t="str">
        <f>'1. Information samples'!G150</f>
        <v>CIAT18947</v>
      </c>
      <c r="H150" s="62" t="str">
        <f>'1. Information samples'!H150</f>
        <v>Sesbania</v>
      </c>
      <c r="I150" s="62" t="str">
        <f>'1. Information samples'!I150</f>
        <v>sesban</v>
      </c>
      <c r="J150" s="62" t="str">
        <f>'1. Information samples'!J150</f>
        <v>Sesbania sesban</v>
      </c>
      <c r="K150" s="62" t="str">
        <f>'1. Information samples'!K150</f>
        <v>Fabaceae</v>
      </c>
      <c r="L150" s="62" t="str">
        <f>'1. Information samples'!L150</f>
        <v>Fabales</v>
      </c>
      <c r="M150" s="62" t="str">
        <f>'1. Information samples'!M150</f>
        <v>Shurb_Tree</v>
      </c>
      <c r="N150" s="77">
        <f>AVERAGEIFS('3.1. Gas prod VF'!$AG$13:$AG$1230,'3.1. Gas prod VF'!$L$13:$L$1230,$F150)</f>
        <v>35.229085989851804</v>
      </c>
      <c r="O150" s="20">
        <f>AVERAGE('3.1. Gas prod VF'!AH684,'3.1. Gas prod VF'!AH685,'3.1. Gas prod VF'!AH686,'3.1. Gas prod VF'!AH756,'3.1. Gas prod VF'!AH757,'3.1. Gas prod VF'!AH758,'3.1. Gas prod VF'!AH807,'3.1. Gas prod VF'!AH808)</f>
        <v>33.979350509163012</v>
      </c>
      <c r="P150" s="77">
        <f>AVERAGEIFS('3.1. Gas prod VF'!$AI$13:$AI$1230,'3.1. Gas prod VF'!$L$13:$L$1230,$F150)</f>
        <v>73.895754790828803</v>
      </c>
      <c r="Q150" s="77">
        <f>AVERAGEIFS('3.1. Gas prod VF'!$AJ$13:$AJ$1230,'3.1. Gas prod VF'!$L$13:$L$1230,$F150)</f>
        <v>4.8278594123675447</v>
      </c>
      <c r="R150" s="77">
        <f>AVERAGEIFS('3.1. Gas prod VF'!$AK$13:$AK$1230,'3.1. Gas prod VF'!$L$13:$L$1230,$F150)</f>
        <v>5.3431791264612247</v>
      </c>
      <c r="S150" s="77">
        <f>AVERAGEIFS('3.1. Gas prod VF'!$AL$13:$AL$1230,'3.1. Gas prod VF'!$L$13:$L$1230,$F150)</f>
        <v>10.171038538828768</v>
      </c>
      <c r="T150" s="77">
        <f>AVERAGEIFS('3.1. Gas prod VF'!$AM$13:$AM$1230,'3.1. Gas prod VF'!$L$13:$L$1230,$F150)</f>
        <v>154.74707369081011</v>
      </c>
      <c r="U150" s="77">
        <f>AVERAGEIFS('3.1. Gas prod VF'!$AN$13:$AN$1230,'3.1. Gas prod VF'!$L$13:$L$1230,$F150)</f>
        <v>51.993216737946987</v>
      </c>
      <c r="V150" s="77">
        <f>AVERAGEIFS('3.1. Gas prod VF'!$AO$13:$AO$1230,'3.1. Gas prod VF'!$L$13:$L$1230,$F150)</f>
        <v>3.3578720295222242</v>
      </c>
      <c r="W150" s="77">
        <f>AVERAGEIFS('3.1. Gas prod VF'!$AP$13:$AP$1230,'3.1. Gas prod VF'!$L$13:$L$1230,$F150)</f>
        <v>13.671428571428574</v>
      </c>
      <c r="X150" s="77">
        <f>AVERAGEIFS('3.1. Gas prod VF'!$AQ$13:$AQ$1230,'3.1. Gas prod VF'!$L$13:$L$1230,$F150)</f>
        <v>13.760256395904134</v>
      </c>
      <c r="Y150" s="77">
        <f>AVERAGEIFS('3.1. Gas prod VF'!$AR$13:$AR$1230,'3.1. Gas prod VF'!$L$13:$L$1230,$F150)</f>
        <v>21.299354730875631</v>
      </c>
      <c r="Z150" s="77">
        <f>AVERAGEIFS('3.1. Gas prod VF'!$AS$13:$AS$1230,'3.1. Gas prod VF'!$L$13:$L$1230,$F150)</f>
        <v>41.931656467510081</v>
      </c>
      <c r="AA150" s="77">
        <f>AVERAGEIFS('3.1. Gas prod VF'!$AT$13:$AT$1230,'3.1. Gas prod VF'!$L$13:$L$1230,$F150)</f>
        <v>-0.47318100100098526</v>
      </c>
      <c r="AB150" s="77">
        <f>AVERAGEIFS('3.1. Gas prod VF'!$AU$13:$AU$1230,'3.1. Gas prod VF'!$L$13:$L$1230,$F150)</f>
        <v>11.821510376582877</v>
      </c>
      <c r="AC150" s="77">
        <f>AVERAGEIFS('3.1. Gas prod VF'!$AV$13:$AV$1230,'3.1. Gas prod VF'!$L$13:$L$1230,$F150)</f>
        <v>23.272794800652655</v>
      </c>
      <c r="AD150" s="20"/>
    </row>
    <row r="151" spans="2:30" x14ac:dyDescent="0.35">
      <c r="B151" s="62">
        <f>'1. Information samples'!B151</f>
        <v>141</v>
      </c>
      <c r="C151" s="62">
        <f>'1. Information samples'!C151</f>
        <v>46062</v>
      </c>
      <c r="D151" s="62" t="str">
        <f>'1. Information samples'!D151</f>
        <v>Genbank</v>
      </c>
      <c r="E151" s="62">
        <f>'1. Information samples'!E151</f>
        <v>30</v>
      </c>
      <c r="F151" s="62" t="str">
        <f>'1. Information samples'!F151</f>
        <v>F260038</v>
      </c>
      <c r="G151" s="62" t="str">
        <f>'1. Information samples'!G151</f>
        <v>CIAT19165</v>
      </c>
      <c r="H151" s="62" t="str">
        <f>'1. Information samples'!H151</f>
        <v>Sesbania</v>
      </c>
      <c r="I151" s="62" t="str">
        <f>'1. Information samples'!I151</f>
        <v>keniensis</v>
      </c>
      <c r="J151" s="62" t="str">
        <f>'1. Information samples'!J151</f>
        <v>Sesbania keniensis</v>
      </c>
      <c r="K151" s="62" t="str">
        <f>'1. Information samples'!K151</f>
        <v>Fabaceae</v>
      </c>
      <c r="L151" s="62" t="str">
        <f>'1. Information samples'!L151</f>
        <v>Fabales</v>
      </c>
      <c r="M151" s="62" t="str">
        <f>'1. Information samples'!M151</f>
        <v>Shurb_Tree</v>
      </c>
      <c r="N151" s="77">
        <f>AVERAGEIFS('3.1. Gas prod VF'!$AG$13:$AG$1230,'3.1. Gas prod VF'!$L$13:$L$1230,$F151)</f>
        <v>36.443371704137512</v>
      </c>
      <c r="O151" s="20">
        <f>AVERAGE('3.1. Gas prod VF'!AH685,'3.1. Gas prod VF'!AH686,'3.1. Gas prod VF'!AH687,'3.1. Gas prod VF'!AH757,'3.1. Gas prod VF'!AH758,'3.1. Gas prod VF'!AH759,'3.1. Gas prod VF'!AH808,'3.1. Gas prod VF'!AH809)</f>
        <v>36.541850509163012</v>
      </c>
      <c r="P151" s="77">
        <f>AVERAGEIFS('3.1. Gas prod VF'!$AI$13:$AI$1230,'3.1. Gas prod VF'!$L$13:$L$1230,$F151)</f>
        <v>76.110040505114512</v>
      </c>
      <c r="Q151" s="77">
        <f>AVERAGEIFS('3.1. Gas prod VF'!$AJ$13:$AJ$1230,'3.1. Gas prod VF'!$L$13:$L$1230,$F151)</f>
        <v>5.3434297474097816</v>
      </c>
      <c r="R151" s="77">
        <f>AVERAGEIFS('3.1. Gas prod VF'!$AK$13:$AK$1230,'3.1. Gas prod VF'!$L$13:$L$1230,$F151)</f>
        <v>6.2335216489537331</v>
      </c>
      <c r="S151" s="77">
        <f>AVERAGEIFS('3.1. Gas prod VF'!$AL$13:$AL$1230,'3.1. Gas prod VF'!$L$13:$L$1230,$F151)</f>
        <v>11.576951396363516</v>
      </c>
      <c r="T151" s="77">
        <f>AVERAGEIFS('3.1. Gas prod VF'!$AM$13:$AM$1230,'3.1. Gas prod VF'!$L$13:$L$1230,$F151)</f>
        <v>157.75970709735105</v>
      </c>
      <c r="U151" s="77">
        <f>AVERAGEIFS('3.1. Gas prod VF'!$AN$13:$AN$1230,'3.1. Gas prod VF'!$L$13:$L$1230,$F151)</f>
        <v>44.029023620298069</v>
      </c>
      <c r="V151" s="77">
        <f>AVERAGEIFS('3.1. Gas prod VF'!$AO$13:$AO$1230,'3.1. Gas prod VF'!$L$13:$L$1230,$F151)</f>
        <v>2.7946256326457504</v>
      </c>
      <c r="W151" s="77">
        <f>AVERAGEIFS('3.1. Gas prod VF'!$AP$13:$AP$1230,'3.1. Gas prod VF'!$L$13:$L$1230,$F151)</f>
        <v>14.657142857142857</v>
      </c>
      <c r="X151" s="77">
        <f>AVERAGEIFS('3.1. Gas prod VF'!$AQ$13:$AQ$1230,'3.1. Gas prod VF'!$L$13:$L$1230,$F151)</f>
        <v>15.210122525277352</v>
      </c>
      <c r="Y151" s="77">
        <f>AVERAGEIFS('3.1. Gas prod VF'!$AR$13:$AR$1230,'3.1. Gas prod VF'!$L$13:$L$1230,$F151)</f>
        <v>23.996505766103827</v>
      </c>
      <c r="Z151" s="77">
        <f>AVERAGEIFS('3.1. Gas prod VF'!$AS$13:$AS$1230,'3.1. Gas prod VF'!$L$13:$L$1230,$F151)</f>
        <v>56.242537460529284</v>
      </c>
      <c r="AA151" s="77">
        <f>AVERAGEIFS('3.1. Gas prod VF'!$AT$13:$AT$1230,'3.1. Gas prod VF'!$L$13:$L$1230,$F151)</f>
        <v>-8.2264484634841519</v>
      </c>
      <c r="AB151" s="77">
        <f>AVERAGEIFS('3.1. Gas prod VF'!$AU$13:$AU$1230,'3.1. Gas prod VF'!$L$13:$L$1230,$F151)</f>
        <v>13.318475864647242</v>
      </c>
      <c r="AC151" s="77">
        <f>AVERAGEIFS('3.1. Gas prod VF'!$AV$13:$AV$1230,'3.1. Gas prod VF'!$L$13:$L$1230,$F151)</f>
        <v>31.215581344875073</v>
      </c>
      <c r="AD151" s="20"/>
    </row>
    <row r="152" spans="2:30" x14ac:dyDescent="0.35">
      <c r="B152" s="62">
        <f>'1. Information samples'!B152</f>
        <v>142</v>
      </c>
      <c r="C152" s="62">
        <f>'1. Information samples'!C152</f>
        <v>46062</v>
      </c>
      <c r="D152" s="62" t="str">
        <f>'1. Information samples'!D152</f>
        <v>Genbank</v>
      </c>
      <c r="E152" s="62">
        <f>'1. Information samples'!E152</f>
        <v>30</v>
      </c>
      <c r="F152" s="62" t="str">
        <f>'1. Information samples'!F152</f>
        <v>F260039</v>
      </c>
      <c r="G152" s="62" t="str">
        <f>'1. Information samples'!G152</f>
        <v>CIAT21899</v>
      </c>
      <c r="H152" s="62" t="str">
        <f>'1. Information samples'!H152</f>
        <v>Sesbania</v>
      </c>
      <c r="I152" s="62" t="str">
        <f>'1. Information samples'!I152</f>
        <v>sesban</v>
      </c>
      <c r="J152" s="62" t="str">
        <f>'1. Information samples'!J152</f>
        <v>Sesbania sesban</v>
      </c>
      <c r="K152" s="62" t="str">
        <f>'1. Information samples'!K152</f>
        <v>Fabaceae</v>
      </c>
      <c r="L152" s="62" t="str">
        <f>'1. Information samples'!L152</f>
        <v>Fabales</v>
      </c>
      <c r="M152" s="62" t="str">
        <f>'1. Information samples'!M152</f>
        <v>Shurb_Tree</v>
      </c>
      <c r="N152" s="77">
        <f>AVERAGEIFS('3.1. Gas prod VF'!$AG$13:$AG$1230,'3.1. Gas prod VF'!$L$13:$L$1230,$F152)</f>
        <v>36.086228846994658</v>
      </c>
      <c r="O152" s="20">
        <f>AVERAGE('3.1. Gas prod VF'!AH686,'3.1. Gas prod VF'!AH687,'3.1. Gas prod VF'!AH688,'3.1. Gas prod VF'!AH758,'3.1. Gas prod VF'!AH759,'3.1. Gas prod VF'!AH760,'3.1. Gas prod VF'!AH809,'3.1. Gas prod VF'!AH810)</f>
        <v>35.665420972578303</v>
      </c>
      <c r="P152" s="77">
        <f>AVERAGEIFS('3.1. Gas prod VF'!$AI$13:$AI$1230,'3.1. Gas prod VF'!$L$13:$L$1230,$F152)</f>
        <v>68.895754790828803</v>
      </c>
      <c r="Q152" s="77">
        <f>AVERAGEIFS('3.1. Gas prod VF'!$AJ$13:$AJ$1230,'3.1. Gas prod VF'!$L$13:$L$1230,$F152)</f>
        <v>5.0738773707889084</v>
      </c>
      <c r="R152" s="77">
        <f>AVERAGEIFS('3.1. Gas prod VF'!$AK$13:$AK$1230,'3.1. Gas prod VF'!$L$13:$L$1230,$F152)</f>
        <v>5.1307448753038996</v>
      </c>
      <c r="S152" s="77">
        <f>AVERAGEIFS('3.1. Gas prod VF'!$AL$13:$AL$1230,'3.1. Gas prod VF'!$L$13:$L$1230,$F152)</f>
        <v>10.204622246092809</v>
      </c>
      <c r="T152" s="77">
        <f>AVERAGEIFS('3.1. Gas prod VF'!$AM$13:$AM$1230,'3.1. Gas prod VF'!$L$13:$L$1230,$F152)</f>
        <v>143.71101257855244</v>
      </c>
      <c r="U152" s="77">
        <f>AVERAGEIFS('3.1. Gas prod VF'!$AN$13:$AN$1230,'3.1. Gas prod VF'!$L$13:$L$1230,$F152)</f>
        <v>36.07185156254603</v>
      </c>
      <c r="V152" s="77">
        <f>AVERAGEIFS('3.1. Gas prod VF'!$AO$13:$AO$1230,'3.1. Gas prod VF'!$L$13:$L$1230,$F152)</f>
        <v>2.5067040250658983</v>
      </c>
      <c r="W152" s="77">
        <f>AVERAGEIFS('3.1. Gas prod VF'!$AP$13:$AP$1230,'3.1. Gas prod VF'!$L$13:$L$1230,$F152)</f>
        <v>14.057142857142859</v>
      </c>
      <c r="X152" s="77">
        <f>AVERAGEIFS('3.1. Gas prod VF'!$AQ$13:$AQ$1230,'3.1. Gas prod VF'!$L$13:$L$1230,$F152)</f>
        <v>14.812954646703179</v>
      </c>
      <c r="Y152" s="77">
        <f>AVERAGEIFS('3.1. Gas prod VF'!$AR$13:$AR$1230,'3.1. Gas prod VF'!$L$13:$L$1230,$F152)</f>
        <v>21.286039203421637</v>
      </c>
      <c r="Z152" s="77">
        <f>AVERAGEIFS('3.1. Gas prod VF'!$AS$13:$AS$1230,'3.1. Gas prod VF'!$L$13:$L$1230,$F152)</f>
        <v>61.073615764523637</v>
      </c>
      <c r="AA152" s="77">
        <f>AVERAGEIFS('3.1. Gas prod VF'!$AT$13:$AT$1230,'3.1. Gas prod VF'!$L$13:$L$1230,$F152)</f>
        <v>0.43409111168713405</v>
      </c>
      <c r="AB152" s="77">
        <f>AVERAGEIFS('3.1. Gas prod VF'!$AU$13:$AU$1230,'3.1. Gas prod VF'!$L$13:$L$1230,$F152)</f>
        <v>11.814120028473464</v>
      </c>
      <c r="AC152" s="77">
        <f>AVERAGEIFS('3.1. Gas prod VF'!$AV$13:$AV$1230,'3.1. Gas prod VF'!$L$13:$L$1230,$F152)</f>
        <v>33.896913386261566</v>
      </c>
      <c r="AD152" s="20"/>
    </row>
    <row r="153" spans="2:30" x14ac:dyDescent="0.35">
      <c r="B153" s="62">
        <f>'1. Information samples'!B153</f>
        <v>143</v>
      </c>
      <c r="C153" s="62">
        <f>'1. Information samples'!C153</f>
        <v>46062</v>
      </c>
      <c r="D153" s="62" t="str">
        <f>'1. Information samples'!D153</f>
        <v>Genbank</v>
      </c>
      <c r="E153" s="62">
        <f>'1. Information samples'!E153</f>
        <v>30</v>
      </c>
      <c r="F153" s="62" t="str">
        <f>'1. Information samples'!F153</f>
        <v>F260040</v>
      </c>
      <c r="G153" s="62" t="str">
        <f>'1. Information samples'!G153</f>
        <v>CIAT23414</v>
      </c>
      <c r="H153" s="62" t="str">
        <f>'1. Information samples'!H153</f>
        <v>Codariocalyx</v>
      </c>
      <c r="I153" s="62" t="str">
        <f>'1. Information samples'!I153</f>
        <v>motorius</v>
      </c>
      <c r="J153" s="62" t="str">
        <f>'1. Information samples'!J153</f>
        <v>Codariocalyx motorius</v>
      </c>
      <c r="K153" s="62" t="str">
        <f>'1. Information samples'!K153</f>
        <v>Fabaceae</v>
      </c>
      <c r="L153" s="62" t="str">
        <f>'1. Information samples'!L153</f>
        <v>Fabales</v>
      </c>
      <c r="M153" s="62" t="str">
        <f>'1. Information samples'!M153</f>
        <v>Shurb_Tree</v>
      </c>
      <c r="N153" s="77">
        <f>AVERAGE('3.1. Gas prod VF'!AG279,'3.1. Gas prod VF'!AG280,'3.1. Gas prod VF'!AG1067,'3.1. Gas prod VF'!AG1068,'3.1. Gas prod VF'!AG1069,'3.1. Gas prod VF'!AG1146,'3.1. Gas prod VF'!AG1217,'3.1. Gas prod VF'!AG1218)</f>
        <v>26.775873151871725</v>
      </c>
      <c r="O153" s="77">
        <f>AVERAGE('3.1. Gas prod VF'!AH279,'3.1. Gas prod VF'!AH280,'3.1. Gas prod VF'!AH1067,'3.1. Gas prod VF'!AH1068,'3.1. Gas prod VF'!AH1069,'3.1. Gas prod VF'!AH1146,'3.1. Gas prod VF'!AH1217,'3.1. Gas prod VF'!AH1218)</f>
        <v>24.205242159860695</v>
      </c>
      <c r="P153" s="77">
        <f>AVERAGE('3.1. Gas prod VF'!AI279,'3.1. Gas prod VF'!AI280,'3.1. Gas prod VF'!AI1067,'3.1. Gas prod VF'!AI1068,'3.1. Gas prod VF'!AI1069,'3.1. Gas prod VF'!AI1146,'3.1. Gas prod VF'!AI1217,'3.1. Gas prod VF'!AI1218)</f>
        <v>50.981115311732424</v>
      </c>
      <c r="Q153" s="77">
        <f>AVERAGE('3.1. Gas prod VF'!AJ279,'3.1. Gas prod VF'!AJ280,'3.1. Gas prod VF'!AJ1067,'3.1. Gas prod VF'!AJ1068,'3.1. Gas prod VF'!AJ1069,'3.1. Gas prod VF'!AJ1146,'3.1. Gas prod VF'!AJ1217,'3.1. Gas prod VF'!AJ1218)</f>
        <v>3.7613257853445217</v>
      </c>
      <c r="R153" s="77">
        <f>AVERAGE('3.1. Gas prod VF'!AK279,'3.1. Gas prod VF'!AK280,'3.1. Gas prod VF'!AK1067,'3.1. Gas prod VF'!AK1068,'3.1. Gas prod VF'!AK1069,'3.1. Gas prod VF'!AK1146,'3.1. Gas prod VF'!AK1217,'3.1. Gas prod VF'!AK1218)</f>
        <v>3.7497635607152255</v>
      </c>
      <c r="S153" s="77">
        <f>AVERAGE('3.1. Gas prod VF'!AL279,'3.1. Gas prod VF'!AL280,'3.1. Gas prod VF'!AL1067,'3.1. Gas prod VF'!AL1068,'3.1. Gas prod VF'!AL1069,'3.1. Gas prod VF'!AL1146,'3.1. Gas prod VF'!AL1217,'3.1. Gas prod VF'!AL1218)</f>
        <v>7.5110893460597472</v>
      </c>
      <c r="T153" s="77">
        <f>AVERAGE('3.1. Gas prod VF'!AM279,'3.1. Gas prod VF'!AM280,'3.1. Gas prod VF'!AM1067,'3.1. Gas prod VF'!AM1068,'3.1. Gas prod VF'!AM1069,'3.1. Gas prod VF'!AM1146,'3.1. Gas prod VF'!AM1217,'3.1. Gas prod VF'!AM1218)</f>
        <v>106.13864539869702</v>
      </c>
      <c r="U153" s="77">
        <f>AVERAGE('3.1. Gas prod VF'!AN279,'3.1. Gas prod VF'!AN280,'3.1. Gas prod VF'!AN1067,'3.1. Gas prod VF'!AN1068,'3.1. Gas prod VF'!AN1069,'3.1. Gas prod VF'!AN1146,'3.1. Gas prod VF'!AN1217,'3.1. Gas prod VF'!AN1218)</f>
        <v>24.097168730343899</v>
      </c>
      <c r="V153" s="77">
        <f>AVERAGE('3.1. Gas prod VF'!AO279,'3.1. Gas prod VF'!AO280,'3.1. Gas prod VF'!AO1067,'3.1. Gas prod VF'!AO1068,'3.1. Gas prod VF'!AO1069,'3.1. Gas prod VF'!AO1146,'3.1. Gas prod VF'!AO1217,'3.1. Gas prod VF'!AO1218)</f>
        <v>2.3602577987568689</v>
      </c>
      <c r="W153" s="77">
        <f>AVERAGE('3.1. Gas prod VF'!AP279,'3.1. Gas prod VF'!AP280,'3.1. Gas prod VF'!AP1067,'3.1. Gas prod VF'!AP1068,'3.1. Gas prod VF'!AP1069,'3.1. Gas prod VF'!AP1146,'3.1. Gas prod VF'!AP1217,'3.1. Gas prod VF'!AP1218)</f>
        <v>13.857142857142858</v>
      </c>
      <c r="X153" s="77">
        <f>AVERAGE('3.1. Gas prod VF'!AQ279,'3.1. Gas prod VF'!AQ280,'3.1. Gas prod VF'!AQ1067,'3.1. Gas prod VF'!AQ1068,'3.1. Gas prod VF'!AQ1069,'3.1. Gas prod VF'!AQ1146,'3.1. Gas prod VF'!AQ1217,'3.1. Gas prod VF'!AQ1218)</f>
        <v>14.381202651817025</v>
      </c>
      <c r="Y153" s="77">
        <f>AVERAGE('3.1. Gas prod VF'!AR279,'3.1. Gas prod VF'!AR280,'3.1. Gas prod VF'!AR1067,'3.1. Gas prod VF'!AR1068,'3.1. Gas prod VF'!AR1069,'3.1. Gas prod VF'!AR1146,'3.1. Gas prod VF'!AR1217,'3.1. Gas prod VF'!AR1218)</f>
        <v>15.629088894521292</v>
      </c>
      <c r="Z153" s="77">
        <f>AVERAGE('3.1. Gas prod VF'!AS279,'3.1. Gas prod VF'!AS280,'3.1. Gas prod VF'!AS1067,'3.1. Gas prod VF'!AS1068,'3.1. Gas prod VF'!AS1069,'3.1. Gas prod VF'!AS1146,'3.1. Gas prod VF'!AS1217,'3.1. Gas prod VF'!AS1218)</f>
        <v>64.052291216732399</v>
      </c>
      <c r="AA153" s="77">
        <f>AVERAGE('3.1. Gas prod VF'!AT279,'3.1. Gas prod VF'!AT280,'3.1. Gas prod VF'!AT1067,'3.1. Gas prod VF'!AT1068,'3.1. Gas prod VF'!AT1069,'3.1. Gas prod VF'!AT1146,'3.1. Gas prod VF'!AT1217,'3.1. Gas prod VF'!AT1218)</f>
        <v>-0.44627425469192683</v>
      </c>
      <c r="AB153" s="77">
        <f>AVERAGE('3.1. Gas prod VF'!AU279,'3.1. Gas prod VF'!AU280,'3.1. Gas prod VF'!AU1067,'3.1. Gas prod VF'!AU1068,'3.1. Gas prod VF'!AU1069,'3.1. Gas prod VF'!AU1146,'3.1. Gas prod VF'!AU1217,'3.1. Gas prod VF'!AU1218)</f>
        <v>8.674414735921161</v>
      </c>
      <c r="AC153" s="77">
        <f>AVERAGE('3.1. Gas prod VF'!AV279,'3.1. Gas prod VF'!AV280,'3.1. Gas prod VF'!AV1067,'3.1. Gas prod VF'!AV1068,'3.1. Gas prod VF'!AV1069,'3.1. Gas prod VF'!AV1146,'3.1. Gas prod VF'!AV1217,'3.1. Gas prod VF'!AV1218)</f>
        <v>35.550129796414794</v>
      </c>
      <c r="AD153" s="20"/>
    </row>
    <row r="154" spans="2:30" x14ac:dyDescent="0.35">
      <c r="B154" s="62">
        <f>'1. Information samples'!B154</f>
        <v>144</v>
      </c>
      <c r="C154" s="62">
        <f>'1. Information samples'!C154</f>
        <v>46062</v>
      </c>
      <c r="D154" s="62" t="str">
        <f>'1. Information samples'!D154</f>
        <v>Genbank</v>
      </c>
      <c r="E154" s="62">
        <f>'1. Information samples'!E154</f>
        <v>30</v>
      </c>
      <c r="F154" s="62" t="str">
        <f>'1. Information samples'!F154</f>
        <v>F260041</v>
      </c>
      <c r="G154" s="62" t="str">
        <f>'1. Information samples'!G154</f>
        <v>CIAT23767</v>
      </c>
      <c r="H154" s="62" t="str">
        <f>'1. Information samples'!H154</f>
        <v>Desmodium</v>
      </c>
      <c r="I154" s="62" t="str">
        <f>'1. Information samples'!I154</f>
        <v>nicaraguense</v>
      </c>
      <c r="J154" s="62" t="str">
        <f>'1. Information samples'!J154</f>
        <v>Desmodium nicaraguense</v>
      </c>
      <c r="K154" s="62" t="str">
        <f>'1. Information samples'!K154</f>
        <v>Fabaceae</v>
      </c>
      <c r="L154" s="62" t="str">
        <f>'1. Information samples'!L154</f>
        <v>Fabales</v>
      </c>
      <c r="M154" s="62" t="str">
        <f>'1. Information samples'!M154</f>
        <v>Shurb_Tree</v>
      </c>
      <c r="N154" s="77">
        <f>AVERAGEIFS('3.1. Gas prod VF'!$AG$13:$AG$1230,'3.1. Gas prod VF'!$L$13:$L$1230,$F154)</f>
        <v>39.443371704137512</v>
      </c>
      <c r="O154" s="20">
        <f>AVERAGE('3.1. Gas prod VF'!AH688,'3.1. Gas prod VF'!AH689,'3.1. Gas prod VF'!AH690,'3.1. Gas prod VF'!AH760,'3.1. Gas prod VF'!AH761,'3.1. Gas prod VF'!AH762,'3.1. Gas prod VF'!AH811,'3.1. Gas prod VF'!AH812)</f>
        <v>30.91351492379869</v>
      </c>
      <c r="P154" s="77">
        <f>AVERAGEIFS('3.1. Gas prod VF'!$AI$13:$AI$1230,'3.1. Gas prod VF'!$L$13:$L$1230,$F154)</f>
        <v>74.681469076543081</v>
      </c>
      <c r="Q154" s="77">
        <f>AVERAGEIFS('3.1. Gas prod VF'!$AJ$13:$AJ$1230,'3.1. Gas prod VF'!$L$13:$L$1230,$F154)</f>
        <v>6.4112906593638455</v>
      </c>
      <c r="R154" s="77">
        <f>AVERAGEIFS('3.1. Gas prod VF'!$AK$13:$AK$1230,'3.1. Gas prod VF'!$L$13:$L$1230,$F154)</f>
        <v>6.1563043850045824</v>
      </c>
      <c r="S154" s="77">
        <f>AVERAGEIFS('3.1. Gas prod VF'!$AL$13:$AL$1230,'3.1. Gas prod VF'!$L$13:$L$1230,$F154)</f>
        <v>12.56759504436843</v>
      </c>
      <c r="T154" s="77">
        <f>AVERAGEIFS('3.1. Gas prod VF'!$AM$13:$AM$1230,'3.1. Gas prod VF'!$L$13:$L$1230,$F154)</f>
        <v>157.14009665429452</v>
      </c>
      <c r="U154" s="77">
        <f>AVERAGEIFS('3.1. Gas prod VF'!$AN$13:$AN$1230,'3.1. Gas prod VF'!$L$13:$L$1230,$F154)</f>
        <v>46.732477973378209</v>
      </c>
      <c r="V154" s="77">
        <f>AVERAGEIFS('3.1. Gas prod VF'!$AO$13:$AO$1230,'3.1. Gas prod VF'!$L$13:$L$1230,$F154)</f>
        <v>2.9747716420026395</v>
      </c>
      <c r="W154" s="77">
        <f>AVERAGEIFS('3.1. Gas prod VF'!$AP$13:$AP$1230,'3.1. Gas prod VF'!$L$13:$L$1230,$F154)</f>
        <v>16.242857142857144</v>
      </c>
      <c r="X154" s="77">
        <f>AVERAGEIFS('3.1. Gas prod VF'!$AQ$13:$AQ$1230,'3.1. Gas prod VF'!$L$13:$L$1230,$F154)</f>
        <v>16.823253967184268</v>
      </c>
      <c r="Y154" s="77">
        <f>AVERAGEIFS('3.1. Gas prod VF'!$AR$13:$AR$1230,'3.1. Gas prod VF'!$L$13:$L$1230,$F154)</f>
        <v>26.443968041174227</v>
      </c>
      <c r="Z154" s="77">
        <f>AVERAGEIFS('3.1. Gas prod VF'!$AS$13:$AS$1230,'3.1. Gas prod VF'!$L$13:$L$1230,$F154)</f>
        <v>56.969409511451722</v>
      </c>
      <c r="AA154" s="77">
        <f>AVERAGEIFS('3.1. Gas prod VF'!$AT$13:$AT$1230,'3.1. Gas prod VF'!$L$13:$L$1230,$F154)</f>
        <v>1.715304292054147</v>
      </c>
      <c r="AB154" s="77">
        <f>AVERAGEIFS('3.1. Gas prod VF'!$AU$13:$AU$1230,'3.1. Gas prod VF'!$L$13:$L$1230,$F154)</f>
        <v>14.676859770949294</v>
      </c>
      <c r="AC154" s="77">
        <f>AVERAGEIFS('3.1. Gas prod VF'!$AV$13:$AV$1230,'3.1. Gas prod VF'!$L$13:$L$1230,$F154)</f>
        <v>31.619007908778052</v>
      </c>
      <c r="AD154" s="20"/>
    </row>
    <row r="155" spans="2:30" x14ac:dyDescent="0.35">
      <c r="B155" s="62">
        <f>'1. Information samples'!B155</f>
        <v>145</v>
      </c>
      <c r="C155" s="62">
        <f>'1. Information samples'!C155</f>
        <v>46062</v>
      </c>
      <c r="D155" s="62" t="str">
        <f>'1. Information samples'!D155</f>
        <v>Genbank</v>
      </c>
      <c r="E155" s="62">
        <f>'1. Information samples'!E155</f>
        <v>30</v>
      </c>
      <c r="F155" s="62" t="str">
        <f>'1. Information samples'!F155</f>
        <v>F260042</v>
      </c>
      <c r="G155" s="62" t="str">
        <f>'1. Information samples'!G155</f>
        <v>CIAT33127</v>
      </c>
      <c r="H155" s="62" t="str">
        <f>'1. Information samples'!H155</f>
        <v>Codariocalyx</v>
      </c>
      <c r="I155" s="62" t="str">
        <f>'1. Information samples'!I155</f>
        <v>motorius</v>
      </c>
      <c r="J155" s="62" t="str">
        <f>'1. Information samples'!J155</f>
        <v>Codariocalyx motorius</v>
      </c>
      <c r="K155" s="62" t="str">
        <f>'1. Information samples'!K155</f>
        <v>Fabaceae</v>
      </c>
      <c r="L155" s="62" t="str">
        <f>'1. Information samples'!L155</f>
        <v>Fabales</v>
      </c>
      <c r="M155" s="62" t="str">
        <f>'1. Information samples'!M155</f>
        <v>Shurb_Tree</v>
      </c>
      <c r="N155" s="77"/>
      <c r="O155" s="77"/>
      <c r="P155" s="77"/>
      <c r="Q155" s="77"/>
      <c r="R155" s="77"/>
      <c r="S155" s="77"/>
      <c r="T155" s="77"/>
      <c r="U155" s="77"/>
      <c r="V155" s="77"/>
      <c r="W155" s="77"/>
      <c r="X155" s="77"/>
      <c r="Y155" s="77"/>
      <c r="Z155" s="77"/>
      <c r="AA155" s="77"/>
      <c r="AB155" s="77"/>
      <c r="AC155" s="77"/>
      <c r="AD155" s="20"/>
    </row>
    <row r="156" spans="2:30" x14ac:dyDescent="0.35">
      <c r="B156" s="62">
        <f>'1. Information samples'!B156</f>
        <v>146</v>
      </c>
      <c r="C156" s="62">
        <f>'1. Information samples'!C156</f>
        <v>46062</v>
      </c>
      <c r="D156" s="62" t="str">
        <f>'1. Information samples'!D156</f>
        <v>Breeding</v>
      </c>
      <c r="E156" s="62">
        <f>'1. Information samples'!E156</f>
        <v>30</v>
      </c>
      <c r="F156" s="62" t="str">
        <f>'1. Information samples'!F156</f>
        <v>F252104</v>
      </c>
      <c r="G156" s="62" t="str">
        <f>'1. Information samples'!G156</f>
        <v>CIAT-BR06_1348</v>
      </c>
      <c r="H156" s="62" t="str">
        <f>'1. Information samples'!H156</f>
        <v>Urochloa</v>
      </c>
      <c r="I156" s="62" t="str">
        <f>'1. Information samples'!I156</f>
        <v>interespecifico</v>
      </c>
      <c r="J156" s="62" t="str">
        <f>'1. Information samples'!J156</f>
        <v>Brachiaria interespecifico</v>
      </c>
      <c r="K156" s="62" t="str">
        <f>'1. Information samples'!K156</f>
        <v>Poaceae</v>
      </c>
      <c r="L156" s="62" t="str">
        <f>'1. Information samples'!L156</f>
        <v>Poales</v>
      </c>
      <c r="M156" s="62" t="str">
        <f>'1. Information samples'!M156</f>
        <v>grasses</v>
      </c>
      <c r="N156" s="77">
        <f>AVERAGEIFS('3.1. Gas prod VF'!$AG$13:$AG$1230,'3.1. Gas prod VF'!$L$13:$L$1230,$F156)</f>
        <v>39.300514561280366</v>
      </c>
      <c r="O156" s="20">
        <f>AVERAGE('3.1. Gas prod VF'!AH690,'3.1. Gas prod VF'!AH691,'3.1. Gas prod VF'!AH692,'3.1. Gas prod VF'!AH762,'3.1. Gas prod VF'!AH763,'3.1. Gas prod VF'!AH764,'3.1. Gas prod VF'!AH813,'3.1. Gas prod VF'!AH814)</f>
        <v>33.166850509163012</v>
      </c>
      <c r="P156" s="77">
        <f>AVERAGEIFS('3.1. Gas prod VF'!$AI$13:$AI$1230,'3.1. Gas prod VF'!$L$13:$L$1230,$F156)</f>
        <v>89.038611933685942</v>
      </c>
      <c r="Q156" s="77">
        <f>AVERAGEIFS('3.1. Gas prod VF'!$AJ$13:$AJ$1230,'3.1. Gas prod VF'!$L$13:$L$1230,$F156)</f>
        <v>5.289282503658737</v>
      </c>
      <c r="R156" s="77">
        <f>AVERAGEIFS('3.1. Gas prod VF'!$AK$13:$AK$1230,'3.1. Gas prod VF'!$L$13:$L$1230,$F156)</f>
        <v>7.7045333940020457</v>
      </c>
      <c r="S156" s="77">
        <f>AVERAGEIFS('3.1. Gas prod VF'!$AL$13:$AL$1230,'3.1. Gas prod VF'!$L$13:$L$1230,$F156)</f>
        <v>12.993815897660783</v>
      </c>
      <c r="T156" s="77">
        <f>AVERAGEIFS('3.1. Gas prod VF'!$AM$13:$AM$1230,'3.1. Gas prod VF'!$L$13:$L$1230,$F156)</f>
        <v>191.1839796209685</v>
      </c>
      <c r="U156" s="77">
        <f>AVERAGEIFS('3.1. Gas prod VF'!$AN$13:$AN$1230,'3.1. Gas prod VF'!$L$13:$L$1230,$F156)</f>
        <v>54.581061123241803</v>
      </c>
      <c r="V156" s="77">
        <f>AVERAGEIFS('3.1. Gas prod VF'!$AO$13:$AO$1230,'3.1. Gas prod VF'!$L$13:$L$1230,$F156)</f>
        <v>2.8584599996375384</v>
      </c>
      <c r="W156" s="77">
        <f>AVERAGEIFS('3.1. Gas prod VF'!$AP$13:$AP$1230,'3.1. Gas prod VF'!$L$13:$L$1230,$F156)</f>
        <v>13.457142857142857</v>
      </c>
      <c r="X156" s="77">
        <f>AVERAGEIFS('3.1. Gas prod VF'!$AQ$13:$AQ$1230,'3.1. Gas prod VF'!$L$13:$L$1230,$F156)</f>
        <v>14.591093374821726</v>
      </c>
      <c r="Y156" s="77">
        <f>AVERAGEIFS('3.1. Gas prod VF'!$AR$13:$AR$1230,'3.1. Gas prod VF'!$L$13:$L$1230,$F156)</f>
        <v>27.900309897836504</v>
      </c>
      <c r="Z156" s="77">
        <f>AVERAGEIFS('3.1. Gas prod VF'!$AS$13:$AS$1230,'3.1. Gas prod VF'!$L$13:$L$1230,$F156)</f>
        <v>51.5018461547578</v>
      </c>
      <c r="AA156" s="77">
        <f>AVERAGEIFS('3.1. Gas prod VF'!$AT$13:$AT$1230,'3.1. Gas prod VF'!$L$13:$L$1230,$F156)</f>
        <v>0.62684462450776068</v>
      </c>
      <c r="AB156" s="77">
        <f>AVERAGEIFS('3.1. Gas prod VF'!$AU$13:$AU$1230,'3.1. Gas prod VF'!$L$13:$L$1230,$F156)</f>
        <v>15.485154697622747</v>
      </c>
      <c r="AC156" s="77">
        <f>AVERAGEIFS('3.1. Gas prod VF'!$AV$13:$AV$1230,'3.1. Gas prod VF'!$L$13:$L$1230,$F156)</f>
        <v>28.584415651291181</v>
      </c>
      <c r="AD156" s="20"/>
    </row>
    <row r="157" spans="2:30" x14ac:dyDescent="0.35">
      <c r="B157" s="62">
        <f>'1. Information samples'!B157</f>
        <v>147</v>
      </c>
      <c r="C157" s="62">
        <f>'1. Information samples'!C157</f>
        <v>46062</v>
      </c>
      <c r="D157" s="62" t="str">
        <f>'1. Information samples'!D157</f>
        <v>Breeding</v>
      </c>
      <c r="E157" s="62">
        <f>'1. Information samples'!E157</f>
        <v>30</v>
      </c>
      <c r="F157" s="62" t="str">
        <f>'1. Information samples'!F157</f>
        <v>F252166</v>
      </c>
      <c r="G157" s="62" t="str">
        <f>'1. Information samples'!G157</f>
        <v>CIAT-BH22_0528</v>
      </c>
      <c r="H157" s="62" t="str">
        <f>'1. Information samples'!H157</f>
        <v>Urochloa</v>
      </c>
      <c r="I157" s="62" t="str">
        <f>'1. Information samples'!I157</f>
        <v>humidicola</v>
      </c>
      <c r="J157" s="62" t="str">
        <f>'1. Information samples'!J157</f>
        <v>Urochloa humidicola</v>
      </c>
      <c r="K157" s="62" t="str">
        <f>'1. Information samples'!K157</f>
        <v>Poaceae</v>
      </c>
      <c r="L157" s="62" t="str">
        <f>'1. Information samples'!L157</f>
        <v>Poales</v>
      </c>
      <c r="M157" s="62" t="str">
        <f>'1. Information samples'!M157</f>
        <v>grasses</v>
      </c>
      <c r="N157" s="77">
        <f>AVERAGEIFS('3.1. Gas prod VF'!$AG$13:$AG$1230,'3.1. Gas prod VF'!$L$13:$L$1230,$F157)</f>
        <v>33.514800275566088</v>
      </c>
      <c r="O157" s="20">
        <f>AVERAGE('3.1. Gas prod VF'!AH691,'3.1. Gas prod VF'!AH692,'3.1. Gas prod VF'!AH693,'3.1. Gas prod VF'!AH763,'3.1. Gas prod VF'!AH764,'3.1. Gas prod VF'!AH765,'3.1. Gas prod VF'!AH814,'3.1. Gas prod VF'!AH815)</f>
        <v>30.416850509163012</v>
      </c>
      <c r="P157" s="77">
        <f>AVERAGEIFS('3.1. Gas prod VF'!$AI$13:$AI$1230,'3.1. Gas prod VF'!$L$13:$L$1230,$F157)</f>
        <v>87.610040505114512</v>
      </c>
      <c r="Q157" s="77">
        <f>AVERAGEIFS('3.1. Gas prod VF'!$AJ$13:$AJ$1230,'3.1. Gas prod VF'!$L$13:$L$1230,$F157)</f>
        <v>4.5820019221799644</v>
      </c>
      <c r="R157" s="77">
        <f>AVERAGEIFS('3.1. Gas prod VF'!$AK$13:$AK$1230,'3.1. Gas prod VF'!$L$13:$L$1230,$F157)</f>
        <v>8.3925864203060581</v>
      </c>
      <c r="S157" s="77">
        <f>AVERAGEIFS('3.1. Gas prod VF'!$AL$13:$AL$1230,'3.1. Gas prod VF'!$L$13:$L$1230,$F157)</f>
        <v>12.974588342486024</v>
      </c>
      <c r="T157" s="77">
        <f>AVERAGEIFS('3.1. Gas prod VF'!$AM$13:$AM$1230,'3.1. Gas prod VF'!$L$13:$L$1230,$F157)</f>
        <v>178.31099246254095</v>
      </c>
      <c r="U157" s="77">
        <f>AVERAGEIFS('3.1. Gas prod VF'!$AN$13:$AN$1230,'3.1. Gas prod VF'!$L$13:$L$1230,$F157)</f>
        <v>43.191609617008062</v>
      </c>
      <c r="V157" s="77">
        <f>AVERAGEIFS('3.1. Gas prod VF'!$AO$13:$AO$1230,'3.1. Gas prod VF'!$L$13:$L$1230,$F157)</f>
        <v>2.4210696430756693</v>
      </c>
      <c r="W157" s="77">
        <f>AVERAGEIFS('3.1. Gas prod VF'!$AP$13:$AP$1230,'3.1. Gas prod VF'!$L$13:$L$1230,$F157)</f>
        <v>13.671428571428573</v>
      </c>
      <c r="X157" s="77">
        <f>AVERAGEIFS('3.1. Gas prod VF'!$AQ$13:$AQ$1230,'3.1. Gas prod VF'!$L$13:$L$1230,$F157)</f>
        <v>14.808386311216287</v>
      </c>
      <c r="Y157" s="77">
        <f>AVERAGEIFS('3.1. Gas prod VF'!$AR$13:$AR$1230,'3.1. Gas prod VF'!$L$13:$L$1230,$F157)</f>
        <v>26.406854951029651</v>
      </c>
      <c r="Z157" s="77">
        <f>AVERAGEIFS('3.1. Gas prod VF'!$AS$13:$AS$1230,'3.1. Gas prod VF'!$L$13:$L$1230,$F157)</f>
        <v>61.786349847302183</v>
      </c>
      <c r="AA157" s="77">
        <f>AVERAGEIFS('3.1. Gas prod VF'!$AT$13:$AT$1230,'3.1. Gas prod VF'!$L$13:$L$1230,$F157)</f>
        <v>0.62093801331306231</v>
      </c>
      <c r="AB157" s="77">
        <f>AVERAGEIFS('3.1. Gas prod VF'!$AU$13:$AU$1230,'3.1. Gas prod VF'!$L$13:$L$1230,$F157)</f>
        <v>14.656261363824068</v>
      </c>
      <c r="AC157" s="77">
        <f>AVERAGEIFS('3.1. Gas prod VF'!$AV$13:$AV$1230,'3.1. Gas prod VF'!$L$13:$L$1230,$F157)</f>
        <v>34.292493133243148</v>
      </c>
      <c r="AD157" s="20"/>
    </row>
    <row r="158" spans="2:30" x14ac:dyDescent="0.35">
      <c r="B158" s="62">
        <f>'1. Information samples'!B158</f>
        <v>148</v>
      </c>
      <c r="C158" s="62">
        <f>'1. Information samples'!C158</f>
        <v>46062</v>
      </c>
      <c r="D158" s="62" t="str">
        <f>'1. Information samples'!D158</f>
        <v>Jacobo Arango/ Alejandro Montoya</v>
      </c>
      <c r="E158" s="62">
        <f>'1. Information samples'!E158</f>
        <v>30</v>
      </c>
      <c r="F158" s="62" t="str">
        <f>'1. Information samples'!F158</f>
        <v>F250008</v>
      </c>
      <c r="G158" s="62" t="str">
        <f>'1. Information samples'!G158</f>
        <v>Sample 8</v>
      </c>
      <c r="H158" s="62" t="str">
        <f>'1. Information samples'!H158</f>
        <v>Cynodon</v>
      </c>
      <c r="I158" s="62" t="str">
        <f>'1. Information samples'!I158</f>
        <v xml:space="preserve"> nlemfuensis </v>
      </c>
      <c r="J158" s="62" t="str">
        <f>'1. Information samples'!J158</f>
        <v xml:space="preserve">Cynodon nlemfuensis </v>
      </c>
      <c r="K158" s="62" t="str">
        <f>'1. Information samples'!K158</f>
        <v>Poaceae</v>
      </c>
      <c r="L158" s="62" t="str">
        <f>'1. Information samples'!L158</f>
        <v>Poales</v>
      </c>
      <c r="M158" s="62" t="str">
        <f>'1. Information samples'!M158</f>
        <v>grasses</v>
      </c>
      <c r="N158" s="77">
        <f>AVERAGE('3.1. Gas prod VF'!AG1082,'3.1. Gas prod VF'!AG1083,'3.1. Gas prod VF'!AG1084,'3.1. Gas prod VF'!AG1155,'3.1. Gas prod VF'!AG1156,'3.1. Gas prod VF'!AG1227,'3.1. Gas prod VF'!AG1228)</f>
        <v>26.371943132708942</v>
      </c>
      <c r="O158" s="77">
        <f>AVERAGE('3.1. Gas prod VF'!AH1082,'3.1. Gas prod VF'!AH1083,'3.1. Gas prod VF'!AH1084,'3.1. Gas prod VF'!AH1155,'3.1. Gas prod VF'!AH1156,'3.1. Gas prod VF'!AH1227,'3.1. Gas prod VF'!AH1228)</f>
        <v>40.59524022954843</v>
      </c>
      <c r="P158" s="77">
        <f>AVERAGE('3.1. Gas prod VF'!AI1082,'3.1. Gas prod VF'!AI1083,'3.1. Gas prod VF'!AI1084,'3.1. Gas prod VF'!AI1155,'3.1. Gas prod VF'!AI1156,'3.1. Gas prod VF'!AI1227,'3.1. Gas prod VF'!AI1228)</f>
        <v>66.967183362257373</v>
      </c>
      <c r="Q158" s="77">
        <f>AVERAGE('3.1. Gas prod VF'!AJ1082,'3.1. Gas prod VF'!AJ1083,'3.1. Gas prod VF'!AJ1084,'3.1. Gas prod VF'!AJ1155,'3.1. Gas prod VF'!AJ1156,'3.1. Gas prod VF'!AJ1227,'3.1. Gas prod VF'!AJ1228)</f>
        <v>4.0758551091546744</v>
      </c>
      <c r="R158" s="77">
        <f>AVERAGE('3.1. Gas prod VF'!AK1082,'3.1. Gas prod VF'!AK1083,'3.1. Gas prod VF'!AK1084,'3.1. Gas prod VF'!AK1155,'3.1. Gas prod VF'!AK1156,'3.1. Gas prod VF'!AK1227,'3.1. Gas prod VF'!AK1228)</f>
        <v>6.6696617144900232</v>
      </c>
      <c r="S158" s="77">
        <f>AVERAGE('3.1. Gas prod VF'!AL1082,'3.1. Gas prod VF'!AL1083,'3.1. Gas prod VF'!AL1084,'3.1. Gas prod VF'!AL1155,'3.1. Gas prod VF'!AL1156,'3.1. Gas prod VF'!AL1227,'3.1. Gas prod VF'!AL1228)</f>
        <v>10.745516823644696</v>
      </c>
      <c r="T158" s="77">
        <f>AVERAGE('3.1. Gas prod VF'!AM1082,'3.1. Gas prod VF'!AM1083,'3.1. Gas prod VF'!AM1084,'3.1. Gas prod VF'!AM1155,'3.1. Gas prod VF'!AM1156,'3.1. Gas prod VF'!AM1227,'3.1. Gas prod VF'!AM1228)</f>
        <v>142.886035555723</v>
      </c>
      <c r="U158" s="77">
        <f>AVERAGE('3.1. Gas prod VF'!AN1082,'3.1. Gas prod VF'!AN1083,'3.1. Gas prod VF'!AN1084,'3.1. Gas prod VF'!AN1155,'3.1. Gas prod VF'!AN1156,'3.1. Gas prod VF'!AN1227,'3.1. Gas prod VF'!AN1228)</f>
        <v>33.286062973436692</v>
      </c>
      <c r="V158" s="77">
        <f>AVERAGE('3.1. Gas prod VF'!AO1082,'3.1. Gas prod VF'!AO1083,'3.1. Gas prod VF'!AO1084,'3.1. Gas prod VF'!AO1155,'3.1. Gas prod VF'!AO1156,'3.1. Gas prod VF'!AO1227,'3.1. Gas prod VF'!AO1228)</f>
        <v>2.3259996130308487</v>
      </c>
      <c r="W158" s="77">
        <f>AVERAGE('3.1. Gas prod VF'!AP1082,'3.1. Gas prod VF'!AP1083,'3.1. Gas prod VF'!AP1084,'3.1. Gas prod VF'!AP1155,'3.1. Gas prod VF'!AP1156,'3.1. Gas prod VF'!AP1227,'3.1. Gas prod VF'!AP1228)</f>
        <v>15.442857142857141</v>
      </c>
      <c r="X158" s="77">
        <f>AVERAGE('3.1. Gas prod VF'!AQ1082,'3.1. Gas prod VF'!AQ1083,'3.1. Gas prod VF'!AQ1084,'3.1. Gas prod VF'!AQ1155,'3.1. Gas prod VF'!AQ1156,'3.1. Gas prod VF'!AQ1227,'3.1. Gas prod VF'!AQ1228)</f>
        <v>16.044458243465225</v>
      </c>
      <c r="Y158" s="77">
        <f>AVERAGE('3.1. Gas prod VF'!AR1082,'3.1. Gas prod VF'!AR1083,'3.1. Gas prod VF'!AR1084,'3.1. Gas prod VF'!AR1155,'3.1. Gas prod VF'!AR1156,'3.1. Gas prod VF'!AR1227,'3.1. Gas prod VF'!AR1228)</f>
        <v>22.927440047319056</v>
      </c>
      <c r="Z158" s="77">
        <f>AVERAGE('3.1. Gas prod VF'!AS1082,'3.1. Gas prod VF'!AS1083,'3.1. Gas prod VF'!AS1084,'3.1. Gas prod VF'!AS1155,'3.1. Gas prod VF'!AS1156,'3.1. Gas prod VF'!AS1227,'3.1. Gas prod VF'!AS1228)</f>
        <v>71.275557737344471</v>
      </c>
      <c r="AA158" s="77">
        <f>AVERAGE('3.1. Gas prod VF'!AT1082,'3.1. Gas prod VF'!AT1083,'3.1. Gas prod VF'!AT1084,'3.1. Gas prod VF'!AT1155,'3.1. Gas prod VF'!AT1156,'3.1. Gas prod VF'!AT1227,'3.1. Gas prod VF'!AT1228)</f>
        <v>0.17795912896847541</v>
      </c>
      <c r="AB158" s="77">
        <f>AVERAGE('3.1. Gas prod VF'!AU1082,'3.1. Gas prod VF'!AU1083,'3.1. Gas prod VF'!AU1084,'3.1. Gas prod VF'!AU1155,'3.1. Gas prod VF'!AU1156,'3.1. Gas prod VF'!AU1227,'3.1. Gas prod VF'!AU1228)</f>
        <v>12.725125894775006</v>
      </c>
      <c r="AC158" s="77">
        <f>AVERAGE('3.1. Gas prod VF'!AV1082,'3.1. Gas prod VF'!AV1083,'3.1. Gas prod VF'!AV1084,'3.1. Gas prod VF'!AV1155,'3.1. Gas prod VF'!AV1156,'3.1. Gas prod VF'!AV1227,'3.1. Gas prod VF'!AV1228)</f>
        <v>39.559167685363498</v>
      </c>
      <c r="AD158" s="20"/>
    </row>
  </sheetData>
  <pageMargins left="0.7" right="0.7" top="0.75" bottom="0.75" header="0.3" footer="0.3"/>
  <drawing r:id="rId1"/>
  <tableParts count="1">
    <tablePart r:id="rId2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7343A3-EE23-4796-896A-2D964B8346EB}">
  <dimension ref="B2:AE158"/>
  <sheetViews>
    <sheetView zoomScale="55" zoomScaleNormal="55" workbookViewId="0">
      <selection activeCell="F10" sqref="F10"/>
    </sheetView>
  </sheetViews>
  <sheetFormatPr defaultColWidth="8.6328125" defaultRowHeight="14.5" x14ac:dyDescent="0.35"/>
  <cols>
    <col min="1" max="1" width="2.453125" style="5" customWidth="1"/>
    <col min="2" max="2" width="7.453125" style="5" customWidth="1"/>
    <col min="3" max="3" width="12.90625" style="191" customWidth="1"/>
    <col min="4" max="4" width="16.08984375" style="5" customWidth="1"/>
    <col min="5" max="5" width="9.90625" style="15" customWidth="1"/>
    <col min="6" max="6" width="10.90625" style="15" customWidth="1"/>
    <col min="7" max="7" width="20.90625" style="27" bestFit="1" customWidth="1"/>
    <col min="8" max="8" width="13.36328125" style="27" bestFit="1" customWidth="1"/>
    <col min="9" max="9" width="14.453125" style="27" bestFit="1" customWidth="1"/>
    <col min="10" max="10" width="25.90625" style="5" bestFit="1" customWidth="1"/>
    <col min="11" max="11" width="13.36328125" style="5" bestFit="1" customWidth="1"/>
    <col min="12" max="12" width="12.54296875" style="5" bestFit="1" customWidth="1"/>
    <col min="13" max="13" width="16.54296875" style="15" bestFit="1" customWidth="1"/>
    <col min="14" max="14" width="17.08984375" style="15" bestFit="1" customWidth="1"/>
    <col min="15" max="18" width="12" style="15" customWidth="1"/>
    <col min="19" max="26" width="12" style="5" customWidth="1"/>
    <col min="27" max="29" width="11" style="5" customWidth="1"/>
    <col min="30" max="30" width="10.54296875" style="5" customWidth="1"/>
    <col min="31" max="31" width="11.08984375" style="5" customWidth="1"/>
    <col min="32" max="16384" width="8.6328125" style="5"/>
  </cols>
  <sheetData>
    <row r="2" spans="2:31" x14ac:dyDescent="0.35">
      <c r="J2" s="69"/>
      <c r="K2" s="69"/>
      <c r="M2" s="68" t="s">
        <v>703</v>
      </c>
      <c r="N2" s="30">
        <f>IFERROR(_xlfn.STDEV.S(Table4.179[Net gas 8h, ml]),"")</f>
        <v>3.2951500528710609</v>
      </c>
      <c r="O2" s="30">
        <f>IFERROR(_xlfn.STDEV.S(Table4.179[Net gas 8-24h, ml]),"")</f>
        <v>3.6252978381705638</v>
      </c>
      <c r="P2" s="30">
        <f>IFERROR(_xlfn.STDEV.S(Table4.179[Net gas 24h, ml]),"")</f>
        <v>6.6347204337578347</v>
      </c>
      <c r="Q2" s="30">
        <f>IFERROR(_xlfn.STDEV.S(Table4.179[CH4 8h, ml]),"")</f>
        <v>1.9651753736715258</v>
      </c>
      <c r="R2" s="30">
        <f>IFERROR(_xlfn.STDEV.S(Table4.179[CH4 8-24h, ml]),"")</f>
        <v>3.4319404996902239</v>
      </c>
      <c r="S2" s="30">
        <f>IFERROR(_xlfn.STDEV.S(Table4.179[CH4 24h, ml]),"")</f>
        <v>1.024532877168808</v>
      </c>
      <c r="T2" s="30">
        <f>IFERROR(_xlfn.STDEV.S(Table4.179[Gas ml/g DM Incubated, 24h]),"")</f>
        <v>14.303283748198931</v>
      </c>
      <c r="U2" s="30">
        <f>IFERROR(_xlfn.STDEV.S(Table4.179[% DMD, Truly digestibility]),"")</f>
        <v>1.958781409991682</v>
      </c>
      <c r="V2" s="30">
        <f>IFERROR(_xlfn.STDEV.S(Table4.179[Part Fact]),"")</f>
        <v>7.3616214001663467</v>
      </c>
      <c r="W2" s="30">
        <f>IFERROR(_xlfn.STDEV.S(Table4.179[CH4 ml in gas, h8]),"")</f>
        <v>2.2767132591860908</v>
      </c>
      <c r="X2" s="30">
        <f>IFERROR(_xlfn.STDEV.S(Table4.179[CH4 ml in gas, 24h]),"")</f>
        <v>2.1184787841665611</v>
      </c>
      <c r="Y2" s="30">
        <f>IFERROR(_xlfn.STDEV.S(Table4.179[CH4 ml/gDM incubated, 24h]),"")</f>
        <v>2.1716586981866386</v>
      </c>
      <c r="Z2" s="30">
        <f>IFERROR(_xlfn.STDEV.S(Table4.179[CH4 ml/g DMD, 24h2]),"")</f>
        <v>12.096791871707731</v>
      </c>
      <c r="AA2" s="30">
        <f>IFERROR(_xlfn.STDEV.S(Table4.179[CH4 ml/g NDF digested in 24 h]),"")</f>
        <v>19.0717426681855</v>
      </c>
      <c r="AB2" s="30">
        <f>IFERROR(_xlfn.STDEV.S(Table4.179[CH4 g/g DM incubated, 24h]),"")</f>
        <v>6.127838402140326</v>
      </c>
      <c r="AC2" s="30">
        <f>IFERROR(_xlfn.STDEV.S(Table4.179[CH4 g/g DMD, 24h]),"")</f>
        <v>7.7985296341522412</v>
      </c>
    </row>
    <row r="3" spans="2:31" x14ac:dyDescent="0.35">
      <c r="J3" s="69"/>
      <c r="K3" s="69"/>
      <c r="M3" s="68" t="s">
        <v>704</v>
      </c>
      <c r="N3" s="30">
        <f>MIN(Table4.179[Net gas 8h, ml])</f>
        <v>0.2500094227391535</v>
      </c>
      <c r="O3" s="30">
        <f>MIN(Table4.179[Net gas 8-24h, ml])</f>
        <v>0.51685710637771098</v>
      </c>
      <c r="P3" s="30">
        <f>MIN(Table4.179[Net gas 24h, ml])</f>
        <v>0.98450696485191791</v>
      </c>
      <c r="Q3" s="30">
        <f>MIN(Table4.179[CH4 8h, ml])</f>
        <v>0.10483125551418633</v>
      </c>
      <c r="R3" s="30">
        <f>MIN(Table4.179[CH4 8-24h, ml])</f>
        <v>7.2640339818801677E-2</v>
      </c>
      <c r="S3" s="30">
        <f>MIN(Table4.179[CH4 24h, ml])</f>
        <v>0.12277801345600034</v>
      </c>
      <c r="T3" s="30">
        <f>MIN(Table4.179[Gas ml/g DM Incubated, 24h])</f>
        <v>2.1115962649758724</v>
      </c>
      <c r="U3" s="30">
        <f>MIN(Table4.179[% DMD, Truly digestibility])</f>
        <v>1.8190486303263438</v>
      </c>
      <c r="V3" s="30">
        <f>MIN(Table4.179[Part Fact])</f>
        <v>9.418593600982135E-2</v>
      </c>
      <c r="W3" s="30">
        <f>MIN(Table4.179[CH4 ml in gas, h8])</f>
        <v>8.9442719099990076E-2</v>
      </c>
      <c r="X3" s="30">
        <f>MIN(Table4.179[CH4 ml in gas, 24h])</f>
        <v>3.7101826358759402E-2</v>
      </c>
      <c r="Y3" s="30">
        <f>MIN(Table4.179[CH4 ml/gDM incubated, 24h])</f>
        <v>0.26049275723538312</v>
      </c>
      <c r="Z3" s="30">
        <f>MIN(Table4.179[CH4 ml/g DMD, 24h2])</f>
        <v>1.759104549233766</v>
      </c>
      <c r="AA3" s="30">
        <f>MIN(Table4.179[CH4 ml/g NDF digested in 24 h])</f>
        <v>1.3805563433150069E-2</v>
      </c>
      <c r="AB3" s="30">
        <f>MIN(Table4.179[CH4 g/g DM incubated, 24h])</f>
        <v>0.14457798706074484</v>
      </c>
      <c r="AC3" s="30">
        <f>MIN(Table4.179[CH4 g/g DMD, 24h])</f>
        <v>0.96233966556690043</v>
      </c>
    </row>
    <row r="4" spans="2:31" x14ac:dyDescent="0.35">
      <c r="J4" s="69"/>
      <c r="K4" s="69"/>
      <c r="M4" s="68" t="s">
        <v>705</v>
      </c>
      <c r="N4" s="30">
        <f>MAX(Table4.179[Net gas 8h, ml])</f>
        <v>18.928244584578092</v>
      </c>
      <c r="O4" s="30">
        <f>MAX(Table4.179[Net gas 8-24h, ml])</f>
        <v>26.556827912950624</v>
      </c>
      <c r="P4" s="30">
        <f>MAX(Table4.179[Net gas 24h, ml])</f>
        <v>45.475659315733935</v>
      </c>
      <c r="Q4" s="30">
        <f>MAX(Table4.179[CH4 8h, ml])</f>
        <v>23.502265838145469</v>
      </c>
      <c r="R4" s="30">
        <f>MAX(Table4.179[CH4 8-24h, ml])</f>
        <v>41.11985860833375</v>
      </c>
      <c r="S4" s="30">
        <f>MAX(Table4.179[CH4 24h, ml])</f>
        <v>6.7877048743375985</v>
      </c>
      <c r="T4" s="30">
        <f>MAX(Table4.179[Gas ml/g DM Incubated, 24h])</f>
        <v>94.723553722736156</v>
      </c>
      <c r="U4" s="30">
        <f>MAX(Table4.179[% DMD, Truly digestibility])</f>
        <v>9.8442321292231902</v>
      </c>
      <c r="V4" s="30">
        <f>MAX(Table4.179[Part Fact])</f>
        <v>88.570244711481394</v>
      </c>
      <c r="W4" s="30">
        <f>MAX(Table4.179[CH4 ml in gas, h8])</f>
        <v>17.277335403241157</v>
      </c>
      <c r="X4" s="30">
        <f>MAX(Table4.179[CH4 ml in gas, 24h])</f>
        <v>8.3191954687213077</v>
      </c>
      <c r="Y4" s="30">
        <f>MAX(Table4.179[CH4 ml/gDM incubated, 24h])</f>
        <v>14.139100746233915</v>
      </c>
      <c r="Z4" s="30">
        <f>MAX(Table4.179[CH4 ml/g DMD, 24h2])</f>
        <v>84.880451824453615</v>
      </c>
      <c r="AA4" s="30">
        <f>MAX(Table4.179[CH4 ml/g NDF digested in 24 h])</f>
        <v>217.91648790807858</v>
      </c>
      <c r="AB4" s="30">
        <f>MAX(Table4.179[CH4 g/g DM incubated, 24h])</f>
        <v>73.192050652136274</v>
      </c>
      <c r="AC4" s="30">
        <f>MAX(Table4.179[CH4 g/g DMD, 24h])</f>
        <v>70.135049158679379</v>
      </c>
    </row>
    <row r="5" spans="2:31" x14ac:dyDescent="0.35">
      <c r="J5" s="69"/>
      <c r="K5" s="69"/>
      <c r="M5" s="68" t="s">
        <v>706</v>
      </c>
      <c r="N5" s="30">
        <f>IFERROR(MEDIAN(Table4.179[Net gas 8h, ml]),"")</f>
        <v>2.5075926159785413</v>
      </c>
      <c r="O5" s="30">
        <f>IFERROR(MEDIAN(Table4.179[Net gas 8-24h, ml]),"")</f>
        <v>2.6467555601812101</v>
      </c>
      <c r="P5" s="30">
        <f>IFERROR(MEDIAN(Table4.179[Net gas 24h, ml]),"")</f>
        <v>4.0253273805511744</v>
      </c>
      <c r="Q5" s="30">
        <f>IFERROR(MEDIAN(Table4.179[CH4 8h, ml]),"")</f>
        <v>0.40534132532969525</v>
      </c>
      <c r="R5" s="30">
        <f>IFERROR(MEDIAN(Table4.179[CH4 8-24h, ml]),"")</f>
        <v>0.4602870988831263</v>
      </c>
      <c r="S5" s="30">
        <f>IFERROR(MEDIAN(Table4.179[CH4 24h, ml]),"")</f>
        <v>0.67207882397180219</v>
      </c>
      <c r="T5" s="30">
        <f>IFERROR(MEDIAN(Table4.179[Gas ml/g DM Incubated, 24h]),"")</f>
        <v>8.7281125288767818</v>
      </c>
      <c r="U5" s="30">
        <f>IFERROR(MEDIAN(Table4.179[% DMD, Truly digestibility]),"")</f>
        <v>7.1042706717519</v>
      </c>
      <c r="V5" s="30">
        <f>IFERROR(MEDIAN(Table4.179[Part Fact]),"")</f>
        <v>0.53976086385903987</v>
      </c>
      <c r="W5" s="30">
        <f>IFERROR(MEDIAN(Table4.179[CH4 ml in gas, h8]),"")</f>
        <v>0.59413803110051799</v>
      </c>
      <c r="X5" s="30">
        <f>IFERROR(MEDIAN(Table4.179[CH4 ml in gas, 24h]),"")</f>
        <v>0.4550676924860152</v>
      </c>
      <c r="Y5" s="30">
        <f>IFERROR(MEDIAN(Table4.179[CH4 ml/gDM incubated, 24h]),"")</f>
        <v>1.4471042540517582</v>
      </c>
      <c r="Z5" s="30">
        <f>IFERROR(MEDIAN(Table4.179[CH4 ml/g DMD, 24h2]),"")</f>
        <v>12.452911104540686</v>
      </c>
      <c r="AA5" s="30">
        <f>IFERROR(MEDIAN(Table4.179[CH4 ml/g NDF digested in 24 h]),"")</f>
        <v>1.1706333516909355</v>
      </c>
      <c r="AB5" s="30">
        <f>IFERROR(MEDIAN(Table4.179[CH4 g/g DM incubated, 24h]),"")</f>
        <v>0.80316789740450645</v>
      </c>
      <c r="AC5" s="30">
        <f>IFERROR(MEDIAN(Table4.179[CH4 g/g DMD, 24h]),"")</f>
        <v>10.169231382293811</v>
      </c>
    </row>
    <row r="6" spans="2:31" x14ac:dyDescent="0.35">
      <c r="J6" s="69"/>
      <c r="K6" s="69"/>
      <c r="M6" s="68" t="s">
        <v>707</v>
      </c>
      <c r="N6" s="30">
        <f>IFERROR(AVERAGE(Table4.179[Net gas 8h, ml]),"")</f>
        <v>3.8331045461235704</v>
      </c>
      <c r="O6" s="30">
        <f>IFERROR(AVERAGE(Table4.179[Net gas 8-24h, ml]),"")</f>
        <v>3.9298592671175085</v>
      </c>
      <c r="P6" s="30">
        <f>IFERROR(AVERAGE(Table4.179[Net gas 24h, ml]),"")</f>
        <v>6.7508005335938472</v>
      </c>
      <c r="Q6" s="30">
        <f>IFERROR(AVERAGE(Table4.179[CH4 8h, ml]),"")</f>
        <v>0.74998309400867325</v>
      </c>
      <c r="R6" s="30">
        <f>IFERROR(AVERAGE(Table4.179[CH4 8-24h, ml]),"")</f>
        <v>0.93898845826560218</v>
      </c>
      <c r="S6" s="30">
        <f>IFERROR(AVERAGE(Table4.179[CH4 24h, ml]),"")</f>
        <v>1.1099809290071534</v>
      </c>
      <c r="T6" s="30">
        <f>IFERROR(AVERAGE(Table4.179[Gas ml/g DM Incubated, 24h]),"")</f>
        <v>14.50466698096414</v>
      </c>
      <c r="U6" s="30">
        <f>IFERROR(AVERAGE(Table4.179[% DMD, Truly digestibility]),"")</f>
        <v>6.9573651323378227</v>
      </c>
      <c r="V6" s="30">
        <f>IFERROR(AVERAGE(Table4.179[Part Fact]),"")</f>
        <v>1.2702790511073634</v>
      </c>
      <c r="W6" s="30">
        <f>IFERROR(AVERAGE(Table4.179[CH4 ml in gas, h8]),"")</f>
        <v>1.4739766444343227</v>
      </c>
      <c r="X6" s="30">
        <f>IFERROR(AVERAGE(Table4.179[CH4 ml in gas, 24h]),"")</f>
        <v>1.3397042583010565</v>
      </c>
      <c r="Y6" s="30">
        <f>IFERROR(AVERAGE(Table4.179[CH4 ml/gDM incubated, 24h]),"")</f>
        <v>2.3710242859289581</v>
      </c>
      <c r="Z6" s="30">
        <f>IFERROR(AVERAGE(Table4.179[CH4 ml/g DMD, 24h2]),"")</f>
        <v>16.198107604033716</v>
      </c>
      <c r="AA6" s="30">
        <f>IFERROR(AVERAGE(Table4.179[CH4 ml/g NDF digested in 24 h]),"")</f>
        <v>4.849173950351469</v>
      </c>
      <c r="AB6" s="30">
        <f>IFERROR(AVERAGE(Table4.179[CH4 g/g DM incubated, 24h]),"")</f>
        <v>1.8004283204477616</v>
      </c>
      <c r="AC6" s="30">
        <f>IFERROR(AVERAGE(Table4.179[CH4 g/g DMD, 24h]),"")</f>
        <v>11.386397809430754</v>
      </c>
    </row>
    <row r="7" spans="2:31" x14ac:dyDescent="0.35">
      <c r="J7" s="69"/>
      <c r="K7" s="69"/>
      <c r="M7" s="68" t="s">
        <v>708</v>
      </c>
      <c r="N7" s="14">
        <f>COUNT(Table4.179[Net gas 8h, ml])</f>
        <v>143</v>
      </c>
      <c r="O7" s="14">
        <f>COUNT(Table4.179[Net gas 8-24h, ml])</f>
        <v>143</v>
      </c>
      <c r="P7" s="14">
        <f>COUNT(Table4.179[Net gas 24h, ml])</f>
        <v>143</v>
      </c>
      <c r="Q7" s="14">
        <f>COUNT(Table4.179[CH4 8h, ml])</f>
        <v>143</v>
      </c>
      <c r="R7" s="14">
        <f>COUNT(Table4.179[CH4 8-24h, ml])</f>
        <v>143</v>
      </c>
      <c r="S7" s="14">
        <f>COUNT(Table4.179[CH4 24h, ml])</f>
        <v>143</v>
      </c>
      <c r="T7" s="14">
        <f>COUNT(Table4.179[Gas ml/g DM Incubated, 24h])</f>
        <v>143</v>
      </c>
      <c r="U7" s="14">
        <f>COUNT(Table4.179[% DMD, Truly digestibility])</f>
        <v>143</v>
      </c>
      <c r="V7" s="14">
        <f>COUNT(Table4.179[Part Fact])</f>
        <v>143</v>
      </c>
      <c r="W7" s="14">
        <f>COUNT(Table4.179[CH4 ml in gas, h8])</f>
        <v>143</v>
      </c>
      <c r="X7" s="14">
        <f>COUNT(Table4.179[CH4 ml in gas, 24h])</f>
        <v>143</v>
      </c>
      <c r="Y7" s="14">
        <f>COUNT(Table4.179[CH4 ml/gDM incubated, 24h])</f>
        <v>143</v>
      </c>
      <c r="Z7" s="14">
        <f>COUNT(Table4.179[CH4 ml/g DMD, 24h2])</f>
        <v>143</v>
      </c>
      <c r="AA7" s="14">
        <f>COUNT(Table4.179[CH4 ml/g NDF digested in 24 h])</f>
        <v>143</v>
      </c>
      <c r="AB7" s="14">
        <f>COUNT(Table4.179[CH4 g/g DM incubated, 24h])</f>
        <v>143</v>
      </c>
      <c r="AC7" s="14">
        <f>COUNT(Table4.179[CH4 g/g DMD, 24h])</f>
        <v>143</v>
      </c>
    </row>
    <row r="8" spans="2:31" x14ac:dyDescent="0.35">
      <c r="S8" s="15"/>
    </row>
    <row r="10" spans="2:31" s="192" customFormat="1" ht="58.5" thickBot="1" x14ac:dyDescent="0.4">
      <c r="B10" s="195" t="s">
        <v>1</v>
      </c>
      <c r="C10" s="196" t="s">
        <v>2</v>
      </c>
      <c r="D10" s="195" t="s">
        <v>3</v>
      </c>
      <c r="E10" s="195" t="s">
        <v>4</v>
      </c>
      <c r="F10" s="195" t="s">
        <v>5</v>
      </c>
      <c r="G10" s="195" t="s">
        <v>6</v>
      </c>
      <c r="H10" s="195" t="s">
        <v>7</v>
      </c>
      <c r="I10" s="195" t="s">
        <v>8</v>
      </c>
      <c r="J10" s="195" t="s">
        <v>9</v>
      </c>
      <c r="K10" s="195" t="s">
        <v>10</v>
      </c>
      <c r="L10" s="195" t="s">
        <v>11</v>
      </c>
      <c r="M10" s="195" t="s">
        <v>12</v>
      </c>
      <c r="N10" s="216" t="s">
        <v>521</v>
      </c>
      <c r="O10" s="81" t="s">
        <v>522</v>
      </c>
      <c r="P10" s="217" t="s">
        <v>523</v>
      </c>
      <c r="Q10" s="82" t="s">
        <v>524</v>
      </c>
      <c r="R10" s="81" t="s">
        <v>525</v>
      </c>
      <c r="S10" s="81" t="s">
        <v>526</v>
      </c>
      <c r="T10" s="218" t="s">
        <v>527</v>
      </c>
      <c r="U10" s="218" t="s">
        <v>528</v>
      </c>
      <c r="V10" s="219" t="s">
        <v>529</v>
      </c>
      <c r="W10" s="220" t="s">
        <v>530</v>
      </c>
      <c r="X10" s="220" t="s">
        <v>531</v>
      </c>
      <c r="Y10" s="221" t="s">
        <v>532</v>
      </c>
      <c r="Z10" s="221" t="s">
        <v>533</v>
      </c>
      <c r="AA10" s="221" t="s">
        <v>534</v>
      </c>
      <c r="AB10" s="212" t="s">
        <v>535</v>
      </c>
      <c r="AC10" s="212" t="s">
        <v>536</v>
      </c>
      <c r="AD10" s="232" t="s">
        <v>711</v>
      </c>
      <c r="AE10" s="232" t="s">
        <v>712</v>
      </c>
    </row>
    <row r="11" spans="2:31" x14ac:dyDescent="0.35">
      <c r="B11" s="194">
        <f>'1. Information samples'!B11</f>
        <v>1</v>
      </c>
      <c r="C11" s="197">
        <f>'1. Information samples'!C11</f>
        <v>46041</v>
      </c>
      <c r="D11" s="194" t="str">
        <f>'1. Information samples'!D11</f>
        <v>Genbank</v>
      </c>
      <c r="E11" s="315">
        <f>'1. Information samples'!E11</f>
        <v>27</v>
      </c>
      <c r="F11" s="62" t="str">
        <f>'1. Information samples'!F11</f>
        <v>F251728</v>
      </c>
      <c r="G11" s="194" t="str">
        <f>'1. Information samples'!G11</f>
        <v>CIAT-13262</v>
      </c>
      <c r="H11" s="194" t="str">
        <f>'1. Information samples'!H11</f>
        <v>Dendrolobium</v>
      </c>
      <c r="I11" s="194" t="str">
        <f>'1. Information samples'!I11</f>
        <v>triangulare</v>
      </c>
      <c r="J11" s="194" t="str">
        <f>'1. Information samples'!J11</f>
        <v>Dendrolobium triangulare</v>
      </c>
      <c r="K11" s="194" t="str">
        <f>'1. Information samples'!K11</f>
        <v>Fabaceae</v>
      </c>
      <c r="L11" s="194" t="str">
        <f>'1. Information samples'!L11</f>
        <v>Fabales</v>
      </c>
      <c r="M11" s="194" t="str">
        <f>'1. Information samples'!M11</f>
        <v>Tree</v>
      </c>
      <c r="N11" s="314" cm="1">
        <f t="array" ref="N11">_xlfn.STDEV.S(IF(('3.1. Gas prod VF'!$L$13:$L$1230=$F11) *('3.1. Gas prod VF'!$M$13:$M$1230=$E11),'3.1. Gas prod VF'!$AG$13:$AG$1230))</f>
        <v>12.867284601567619</v>
      </c>
      <c r="O11" s="314" cm="1">
        <f t="array" ref="O11">_xlfn.STDEV.S(IF(('3.1. Gas prod VF'!$L$13:$L$1230=$F11) *('3.1. Gas prod VF'!$M$13:$M$1230=$E11),'3.1. Gas prod VF'!$AH$13:$AH$1230))</f>
        <v>9.3157381022827277</v>
      </c>
      <c r="P11" s="314" cm="1">
        <f t="array" ref="P11">_xlfn.STDEV.S(IF(('3.1. Gas prod VF'!$L$13:$L$1230=$F11) *('3.1. Gas prod VF'!$M$13:$M$1230=$E11),'3.1. Gas prod VF'!$AI$13:$AI$1230))</f>
        <v>21.996531725632657</v>
      </c>
      <c r="Q11" s="314" cm="1">
        <f t="array" ref="Q11">_xlfn.STDEV.S(IF(('3.1. Gas prod VF'!$L$13:$L$1230=$F11) *('3.1. Gas prod VF'!$M$13:$M$1230=$E11),'3.1. Gas prod VF'!$AJ$13:$AJ$1230))</f>
        <v>1.7279288325847597</v>
      </c>
      <c r="R11" s="314" cm="1">
        <f t="array" ref="R11">_xlfn.STDEV.S(IF(('3.1. Gas prod VF'!$L$13:$L$1230=$F11) *('3.1. Gas prod VF'!$M$13:$M$1230=$E11),'3.1. Gas prod VF'!$AK$13:$AK$1230))</f>
        <v>1.6061495704207813</v>
      </c>
      <c r="S11" s="314" cm="1">
        <f t="array" ref="S11">_xlfn.STDEV.S(IF(('3.1. Gas prod VF'!$L$13:$L$1230=$F11) *('3.1. Gas prod VF'!$M$13:$M$1230=$E11),'3.1. Gas prod VF'!$AL$13:$AL$1230))</f>
        <v>3.2986408563382419</v>
      </c>
      <c r="T11" s="314" cm="1">
        <f t="array" ref="T11">_xlfn.STDEV.S(IF(('3.1. Gas prod VF'!$L$13:$L$1230=$F11) *('3.1. Gas prod VF'!$M$13:$M$1230=$E11),'3.1. Gas prod VF'!$AM$13:$AM$1230))</f>
        <v>46.294728693191693</v>
      </c>
      <c r="U11" s="314">
        <f>_xlfn.STDEV.S('3.1. Gas prod VF'!AN13,'3.1. Gas prod VF'!AN15,'3.1. Gas prod VF'!AN118,'3.1. Gas prod VF'!AN120)</f>
        <v>6.0605351427217418</v>
      </c>
      <c r="V11" s="314" cm="1">
        <f t="array" ref="V11">_xlfn.STDEV.S(IF(('3.1. Gas prod VF'!$L$13:$L$1230=$F11) *('3.1. Gas prod VF'!$M$13:$M$1230=$E11),'3.1. Gas prod VF'!$AO$13:$AO$1230))</f>
        <v>1.6234111258575912</v>
      </c>
      <c r="W11" s="314" cm="1">
        <f t="array" ref="W11">_xlfn.STDEV.S(IF(('3.1. Gas prod VF'!$L$13:$L$1230=$F11) *('3.1. Gas prod VF'!$M$13:$M$1230=$E11),'3.1. Gas prod VF'!$AP$13:$AP$1230))</f>
        <v>6.2868911235999621</v>
      </c>
      <c r="X11" s="314" cm="1">
        <f t="array" ref="X11">_xlfn.STDEV.S(IF(('3.1. Gas prod VF'!$L$13:$L$1230=$F11) *('3.1. Gas prod VF'!$M$13:$M$1230=$E11),'3.1. Gas prod VF'!$AQ$13:$AQ$1230))</f>
        <v>6.998190825373106</v>
      </c>
      <c r="Y11" s="314" cm="1">
        <f t="array" ref="Y11">_xlfn.STDEV.S(IF(('3.1. Gas prod VF'!$L$13:$L$1230=$F11) *('3.1. Gas prod VF'!$M$13:$M$1230=$E11),'3.1. Gas prod VF'!$AR$13:$AR$1230))</f>
        <v>6.9424518810509097</v>
      </c>
      <c r="Z11" s="314" cm="1">
        <f t="array" ref="Z11">_xlfn.STDEV.S(IF(('3.1. Gas prod VF'!$L$13:$L$1230=$F11) *('3.1. Gas prod VF'!$M$13:$M$1230=$E11),'3.1. Gas prod VF'!$AS$13:$AS$1230))</f>
        <v>24.517051069398981</v>
      </c>
      <c r="AA11" s="314" cm="1">
        <f t="array" ref="AA11">_xlfn.STDEV.S(IF(('3.1. Gas prod VF'!$L$13:$L$1230=$F11) *('3.1. Gas prod VF'!$M$13:$M$1230=$E11),'3.1. Gas prod VF'!$AT$13:$AT$1230))</f>
        <v>0.69916055009685085</v>
      </c>
      <c r="AB11" s="314" cm="1">
        <f t="array" ref="AB11">_xlfn.STDEV.S(IF(('3.1. Gas prod VF'!$L$13:$L$1230=$F11) *('3.1. Gas prod VF'!$M$13:$M$1230=$E11),'3.1. Gas prod VF'!$AU$13:$AU$1230))</f>
        <v>3.8531809056074939</v>
      </c>
      <c r="AC11" s="314" cm="1">
        <f t="array" ref="AC11">_xlfn.STDEV.S(IF(('3.1. Gas prod VF'!$L$13:$L$1230=$F11) *('3.1. Gas prod VF'!$M$13:$M$1230=$E11),'3.1. Gas prod VF'!$AU$13:$AV$1230))</f>
        <v>12.116296696104829</v>
      </c>
      <c r="AD11" s="70"/>
      <c r="AE11" s="70"/>
    </row>
    <row r="12" spans="2:31" x14ac:dyDescent="0.35">
      <c r="B12" s="62">
        <f>'1. Information samples'!B12</f>
        <v>2</v>
      </c>
      <c r="C12" s="198">
        <f>'1. Information samples'!C12</f>
        <v>46041</v>
      </c>
      <c r="D12" s="62" t="str">
        <f>'1. Information samples'!D12</f>
        <v>Genbank</v>
      </c>
      <c r="E12" s="316">
        <f>'1. Information samples'!E12</f>
        <v>27</v>
      </c>
      <c r="F12" s="62" t="str">
        <f>'1. Information samples'!F12</f>
        <v>F251729</v>
      </c>
      <c r="G12" s="62" t="str">
        <f>'1. Information samples'!G12</f>
        <v>CIAT-13528</v>
      </c>
      <c r="H12" s="62" t="str">
        <f>'1. Information samples'!H12</f>
        <v>Dendrolobium</v>
      </c>
      <c r="I12" s="62" t="str">
        <f>'1. Information samples'!I12</f>
        <v>lanceolatum</v>
      </c>
      <c r="J12" s="62" t="str">
        <f>'1. Information samples'!J12</f>
        <v>Dendrolobium lanceolatum</v>
      </c>
      <c r="K12" s="62" t="str">
        <f>'1. Information samples'!K12</f>
        <v>Fabaceae</v>
      </c>
      <c r="L12" s="62" t="str">
        <f>'1. Information samples'!L12</f>
        <v>Fabales</v>
      </c>
      <c r="M12" s="62" t="str">
        <f>'1. Information samples'!M12</f>
        <v>Tree</v>
      </c>
      <c r="N12" s="314" cm="1">
        <f t="array" ref="N12">_xlfn.STDEV.S(IF(('3.1. Gas prod VF'!$L$13:$L$1230=$F12) *('3.1. Gas prod VF'!$M$13:$M$1230=$E12),'3.1. Gas prod VF'!$AG$13:$AG$1230))</f>
        <v>1.728402397652677</v>
      </c>
      <c r="O12" s="314" cm="1">
        <f t="array" ref="O12">_xlfn.STDEV.S(IF(('3.1. Gas prod VF'!$L$13:$L$1230=$F12) *('3.1. Gas prod VF'!$M$13:$M$1230=$E12),'3.1. Gas prod VF'!$AH$13:$AH$1230))</f>
        <v>1.3903190893984045</v>
      </c>
      <c r="P12" s="314" cm="1">
        <f t="array" ref="P12">_xlfn.STDEV.S(IF(('3.1. Gas prod VF'!$L$13:$L$1230=$F12) *('3.1. Gas prod VF'!$M$13:$M$1230=$E12),'3.1. Gas prod VF'!$AI$13:$AI$1230))</f>
        <v>1.3310247079901247</v>
      </c>
      <c r="Q12" s="314" cm="1">
        <f t="array" ref="Q12">_xlfn.STDEV.S(IF(('3.1. Gas prod VF'!$L$13:$L$1230=$F12) *('3.1. Gas prod VF'!$M$13:$M$1230=$E12),'3.1. Gas prod VF'!$AJ$13:$AJ$1230))</f>
        <v>0.19562099112306361</v>
      </c>
      <c r="R12" s="314" cm="1">
        <f t="array" ref="R12">_xlfn.STDEV.S(IF(('3.1. Gas prod VF'!$L$13:$L$1230=$F12) *('3.1. Gas prod VF'!$M$13:$M$1230=$E12),'3.1. Gas prod VF'!$AK$13:$AK$1230))</f>
        <v>0.26366467768822188</v>
      </c>
      <c r="S12" s="314" cm="1">
        <f t="array" ref="S12">_xlfn.STDEV.S(IF(('3.1. Gas prod VF'!$L$13:$L$1230=$F12) *('3.1. Gas prod VF'!$M$13:$M$1230=$E12),'3.1. Gas prod VF'!$AL$13:$AL$1230))</f>
        <v>0.28744057125851363</v>
      </c>
      <c r="T12" s="314" cm="1">
        <f t="array" ref="T12">_xlfn.STDEV.S(IF(('3.1. Gas prod VF'!$L$13:$L$1230=$F12) *('3.1. Gas prod VF'!$M$13:$M$1230=$E12),'3.1. Gas prod VF'!$AM$13:$AM$1230))</f>
        <v>2.811306281929828</v>
      </c>
      <c r="U12" s="314" cm="1">
        <f t="array" ref="U12">_xlfn.STDEV.S(IF(('3.1. Gas prod VF'!$L$13:$L$1230=$F12) *('3.1. Gas prod VF'!$M$13:$M$1230=$E12),'3.1. Gas prod VF'!$AN$13:$AN$1230))</f>
        <v>5.6978858111127693</v>
      </c>
      <c r="V12" s="314" cm="1">
        <f t="array" ref="V12">_xlfn.STDEV.S(IF(('3.1. Gas prod VF'!$L$13:$L$1230=$F12) *('3.1. Gas prod VF'!$M$13:$M$1230=$E12),'3.1. Gas prod VF'!$AO$13:$AO$1230))</f>
        <v>0.66246193701409406</v>
      </c>
      <c r="W12" s="314" cm="1">
        <f t="array" ref="W12">_xlfn.STDEV.S(IF(('3.1. Gas prod VF'!$L$13:$L$1230=$F12) *('3.1. Gas prod VF'!$M$13:$M$1230=$E12),'3.1. Gas prod VF'!$AP$13:$AP$1230))</f>
        <v>0.62962573917254316</v>
      </c>
      <c r="X12" s="314" cm="1">
        <f t="array" ref="X12">_xlfn.STDEV.S(IF(('3.1. Gas prod VF'!$L$13:$L$1230=$F12) *('3.1. Gas prod VF'!$M$13:$M$1230=$E12),'3.1. Gas prod VF'!$AQ$13:$AQ$1230))</f>
        <v>0.52915723367126366</v>
      </c>
      <c r="Y12" s="314" cm="1">
        <f t="array" ref="Y12">_xlfn.STDEV.S(IF(('3.1. Gas prod VF'!$L$13:$L$1230=$F12) *('3.1. Gas prod VF'!$M$13:$M$1230=$E12),'3.1. Gas prod VF'!$AR$13:$AR$1230))</f>
        <v>0.60518663030665709</v>
      </c>
      <c r="Z12" s="314" cm="1">
        <f t="array" ref="Z12">_xlfn.STDEV.S(IF(('3.1. Gas prod VF'!$L$13:$L$1230=$F12) *('3.1. Gas prod VF'!$M$13:$M$1230=$E12),'3.1. Gas prod VF'!$AS$13:$AS$1230))</f>
        <v>10.405894846382786</v>
      </c>
      <c r="AA12" s="314" cm="1">
        <f t="array" ref="AA12">_xlfn.STDEV.S(IF(('3.1. Gas prod VF'!$L$13:$L$1230=$F12) *('3.1. Gas prod VF'!$M$13:$M$1230=$E12),'3.1. Gas prod VF'!$AT$13:$AT$1230))</f>
        <v>7.6700419443189671E-2</v>
      </c>
      <c r="AB12" s="314" cm="1">
        <f t="array" ref="AB12">_xlfn.STDEV.S(IF(('3.1. Gas prod VF'!$L$13:$L$1230=$F12) *('3.1. Gas prod VF'!$M$13:$M$1230=$E12),'3.1. Gas prod VF'!$AU$13:$AU$1230))</f>
        <v>0.3358890501771199</v>
      </c>
      <c r="AC12" s="314" cm="1">
        <f t="array" ref="AC12">_xlfn.STDEV.S(IF(('3.1. Gas prod VF'!$L$13:$L$1230=$F12) *('3.1. Gas prod VF'!$M$13:$M$1230=$E12),'3.1. Gas prod VF'!$AU$13:$AV$1230))</f>
        <v>10.793597680040033</v>
      </c>
      <c r="AD12" s="20"/>
      <c r="AE12" s="20"/>
    </row>
    <row r="13" spans="2:31" x14ac:dyDescent="0.35">
      <c r="B13" s="62">
        <f>'1. Information samples'!B13</f>
        <v>3</v>
      </c>
      <c r="C13" s="198">
        <f>'1. Information samples'!C13</f>
        <v>46041</v>
      </c>
      <c r="D13" s="62" t="str">
        <f>'1. Information samples'!D13</f>
        <v>Genbank</v>
      </c>
      <c r="E13" s="316">
        <f>'1. Information samples'!E13</f>
        <v>27</v>
      </c>
      <c r="F13" s="62" t="str">
        <f>'1. Information samples'!F13</f>
        <v>F251730</v>
      </c>
      <c r="G13" s="62" t="str">
        <f>'1. Information samples'!G13</f>
        <v>CIAT-13529</v>
      </c>
      <c r="H13" s="62" t="str">
        <f>'1. Information samples'!H13</f>
        <v>Dendrolobium</v>
      </c>
      <c r="I13" s="62" t="str">
        <f>'1. Information samples'!I13</f>
        <v>triangulare</v>
      </c>
      <c r="J13" s="62" t="str">
        <f>'1. Information samples'!J13</f>
        <v>Dendrolobium triangulare</v>
      </c>
      <c r="K13" s="62" t="str">
        <f>'1. Information samples'!K13</f>
        <v>Fabaceae</v>
      </c>
      <c r="L13" s="62" t="str">
        <f>'1. Information samples'!L13</f>
        <v>Fabales</v>
      </c>
      <c r="M13" s="62" t="str">
        <f>'1. Information samples'!M13</f>
        <v>Tree</v>
      </c>
      <c r="N13" s="314" cm="1">
        <f t="array" ref="N13">_xlfn.STDEV.S(IF(('3.1. Gas prod VF'!$L$13:$L$1230=$F13) *('3.1. Gas prod VF'!$M$13:$M$1230=$E13),'3.1. Gas prod VF'!$AG$13:$AG$1230))</f>
        <v>9.4521242956032658</v>
      </c>
      <c r="O13" s="314" cm="1">
        <f t="array" ref="O13">_xlfn.STDEV.S(IF(('3.1. Gas prod VF'!$L$13:$L$1230=$F13) *('3.1. Gas prod VF'!$M$13:$M$1230=$E13),'3.1. Gas prod VF'!$AH$13:$AH$1230))</f>
        <v>9.7416749954812154</v>
      </c>
      <c r="P13" s="314" cm="1">
        <f t="array" ref="P13">_xlfn.STDEV.S(IF(('3.1. Gas prod VF'!$L$13:$L$1230=$F13) *('3.1. Gas prod VF'!$M$13:$M$1230=$E13),'3.1. Gas prod VF'!$AI$13:$AI$1230))</f>
        <v>18.724464860154374</v>
      </c>
      <c r="Q13" s="314" cm="1">
        <f t="array" ref="Q13">_xlfn.STDEV.S(IF(('3.1. Gas prod VF'!$L$13:$L$1230=$F13) *('3.1. Gas prod VF'!$M$13:$M$1230=$E13),'3.1. Gas prod VF'!$AJ$13:$AJ$1230))</f>
        <v>1.3078228763228177</v>
      </c>
      <c r="R13" s="314" cm="1">
        <f t="array" ref="R13">_xlfn.STDEV.S(IF(('3.1. Gas prod VF'!$L$13:$L$1230=$F13) *('3.1. Gas prod VF'!$M$13:$M$1230=$E13),'3.1. Gas prod VF'!$AK$13:$AK$1230))</f>
        <v>1.7070659602057909</v>
      </c>
      <c r="S13" s="314" cm="1">
        <f t="array" ref="S13">_xlfn.STDEV.S(IF(('3.1. Gas prod VF'!$L$13:$L$1230=$F13) *('3.1. Gas prod VF'!$M$13:$M$1230=$E13),'3.1. Gas prod VF'!$AL$13:$AL$1230))</f>
        <v>2.9483509577771461</v>
      </c>
      <c r="T13" s="314" cm="1">
        <f t="array" ref="T13">_xlfn.STDEV.S(IF(('3.1. Gas prod VF'!$L$13:$L$1230=$F13) *('3.1. Gas prod VF'!$M$13:$M$1230=$E13),'3.1. Gas prod VF'!$AM$13:$AM$1230))</f>
        <v>39.657472433520702</v>
      </c>
      <c r="U13" s="314">
        <f>_xlfn.STDEV.S('3.1. Gas prod VF'!AN19,'3.1. Gas prod VF'!AN21,'3.1. Gas prod VF'!AN124,'3.1. Gas prod VF'!AN125,'3.1. Gas prod VF'!AN126)</f>
        <v>5.0034201024355349</v>
      </c>
      <c r="V13" s="314" cm="1">
        <f t="array" ref="V13">_xlfn.STDEV.S(IF(('3.1. Gas prod VF'!$L$13:$L$1230=$F13) *('3.1. Gas prod VF'!$M$13:$M$1230=$E13),'3.1. Gas prod VF'!$AO$13:$AO$1230))</f>
        <v>1.1980072483662254</v>
      </c>
      <c r="W13" s="314" cm="1">
        <f t="array" ref="W13">_xlfn.STDEV.S(IF(('3.1. Gas prod VF'!$L$13:$L$1230=$F13) *('3.1. Gas prod VF'!$M$13:$M$1230=$E13),'3.1. Gas prod VF'!$AP$13:$AP$1230))</f>
        <v>4.8958984291518401</v>
      </c>
      <c r="X13" s="314" cm="1">
        <f t="array" ref="X13">_xlfn.STDEV.S(IF(('3.1. Gas prod VF'!$L$13:$L$1230=$F13) *('3.1. Gas prod VF'!$M$13:$M$1230=$E13),'3.1. Gas prod VF'!$AQ$13:$AQ$1230))</f>
        <v>5.5420244219160395</v>
      </c>
      <c r="Y13" s="314" cm="1">
        <f t="array" ref="Y13">_xlfn.STDEV.S(IF(('3.1. Gas prod VF'!$L$13:$L$1230=$F13) *('3.1. Gas prod VF'!$M$13:$M$1230=$E13),'3.1. Gas prod VF'!$AR$13:$AR$1230))</f>
        <v>6.2445724766242696</v>
      </c>
      <c r="Z13" s="314" cm="1">
        <f t="array" ref="Z13">_xlfn.STDEV.S(IF(('3.1. Gas prod VF'!$L$13:$L$1230=$F13) *('3.1. Gas prod VF'!$M$13:$M$1230=$E13),'3.1. Gas prod VF'!$AS$13:$AS$1230))</f>
        <v>21.886580089862715</v>
      </c>
      <c r="AA13" s="314" cm="1">
        <f t="array" ref="AA13">_xlfn.STDEV.S(IF(('3.1. Gas prod VF'!$L$13:$L$1230=$F13) *('3.1. Gas prod VF'!$M$13:$M$1230=$E13),'3.1. Gas prod VF'!$AT$13:$AT$1230))</f>
        <v>8.4401649353127368</v>
      </c>
      <c r="AB13" s="314" cm="1">
        <f t="array" ref="AB13">_xlfn.STDEV.S(IF(('3.1. Gas prod VF'!$L$13:$L$1230=$F13) *('3.1. Gas prod VF'!$M$13:$M$1230=$E13),'3.1. Gas prod VF'!$AU$13:$AU$1230))</f>
        <v>3.4658457621125707</v>
      </c>
      <c r="AC13" s="314" cm="1">
        <f t="array" ref="AC13">_xlfn.STDEV.S(IF(('3.1. Gas prod VF'!$L$13:$L$1230=$F13) *('3.1. Gas prod VF'!$M$13:$M$1230=$E13),'3.1. Gas prod VF'!$AU$13:$AV$1230))</f>
        <v>12.853257500458268</v>
      </c>
      <c r="AD13" s="20"/>
      <c r="AE13" s="20"/>
    </row>
    <row r="14" spans="2:31" x14ac:dyDescent="0.35">
      <c r="B14" s="62">
        <f>'1. Information samples'!B14</f>
        <v>4</v>
      </c>
      <c r="C14" s="198">
        <f>'1. Information samples'!C14</f>
        <v>46041</v>
      </c>
      <c r="D14" s="62" t="str">
        <f>'1. Information samples'!D14</f>
        <v>Genbank</v>
      </c>
      <c r="E14" s="316">
        <f>'1. Information samples'!E14</f>
        <v>27</v>
      </c>
      <c r="F14" s="62" t="str">
        <f>'1. Information samples'!F14</f>
        <v>F251731</v>
      </c>
      <c r="G14" s="62" t="str">
        <f>'1. Information samples'!G14</f>
        <v>CIAT-13710</v>
      </c>
      <c r="H14" s="62" t="str">
        <f>'1. Information samples'!H14</f>
        <v>Dendrolobium</v>
      </c>
      <c r="I14" s="62" t="str">
        <f>'1. Information samples'!I14</f>
        <v>lanceolatum</v>
      </c>
      <c r="J14" s="62" t="str">
        <f>'1. Information samples'!J14</f>
        <v>Dendrolobium lanceolatum</v>
      </c>
      <c r="K14" s="62" t="str">
        <f>'1. Information samples'!K14</f>
        <v>Fabaceae</v>
      </c>
      <c r="L14" s="62" t="str">
        <f>'1. Information samples'!L14</f>
        <v>Fabales</v>
      </c>
      <c r="M14" s="62" t="str">
        <f>'1. Information samples'!M14</f>
        <v>Tree</v>
      </c>
      <c r="N14" s="314" cm="1">
        <f t="array" ref="N14">_xlfn.STDEV.S(IF(('3.1. Gas prod VF'!$L$13:$L$1230=$F14) *('3.1. Gas prod VF'!$M$13:$M$1230=$E14),'3.1. Gas prod VF'!$AG$13:$AG$1230))</f>
        <v>7.6033814938991879</v>
      </c>
      <c r="O14" s="314" cm="1">
        <f t="array" ref="O14">_xlfn.STDEV.S(IF(('3.1. Gas prod VF'!$L$13:$L$1230=$F14) *('3.1. Gas prod VF'!$M$13:$M$1230=$E14),'3.1. Gas prod VF'!$AH$13:$AH$1230))</f>
        <v>4.6690800946305222</v>
      </c>
      <c r="P14" s="314" cm="1">
        <f t="array" ref="P14">_xlfn.STDEV.S(IF(('3.1. Gas prod VF'!$L$13:$L$1230=$F14) *('3.1. Gas prod VF'!$M$13:$M$1230=$E14),'3.1. Gas prod VF'!$AI$13:$AI$1230))</f>
        <v>12.17761244922605</v>
      </c>
      <c r="Q14" s="314" cm="1">
        <f t="array" ref="Q14">_xlfn.STDEV.S(IF(('3.1. Gas prod VF'!$L$13:$L$1230=$F14) *('3.1. Gas prod VF'!$M$13:$M$1230=$E14),'3.1. Gas prod VF'!$AJ$13:$AJ$1230))</f>
        <v>1.0603635624850105</v>
      </c>
      <c r="R14" s="314" cm="1">
        <f t="array" ref="R14">_xlfn.STDEV.S(IF(('3.1. Gas prod VF'!$L$13:$L$1230=$F14) *('3.1. Gas prod VF'!$M$13:$M$1230=$E14),'3.1. Gas prod VF'!$AK$13:$AK$1230))</f>
        <v>0.82380029985922809</v>
      </c>
      <c r="S14" s="314" cm="1">
        <f t="array" ref="S14">_xlfn.STDEV.S(IF(('3.1. Gas prod VF'!$L$13:$L$1230=$F14) *('3.1. Gas prod VF'!$M$13:$M$1230=$E14),'3.1. Gas prod VF'!$AL$13:$AL$1230))</f>
        <v>1.8628006150465128</v>
      </c>
      <c r="T14" s="314" cm="1">
        <f t="array" ref="T14">_xlfn.STDEV.S(IF(('3.1. Gas prod VF'!$L$13:$L$1230=$F14) *('3.1. Gas prod VF'!$M$13:$M$1230=$E14),'3.1. Gas prod VF'!$AM$13:$AM$1230))</f>
        <v>25.857715733661337</v>
      </c>
      <c r="U14" s="314" cm="1">
        <f t="array" ref="U14">_xlfn.STDEV.S(IF(('3.1. Gas prod VF'!$L$13:$L$1230=$F14) *('3.1. Gas prod VF'!$M$13:$M$1230=$E14),'3.1. Gas prod VF'!$AN$13:$AN$1230))</f>
        <v>7.4696677253495594</v>
      </c>
      <c r="V14" s="314" cm="1">
        <f t="array" ref="V14">_xlfn.STDEV.S(IF(('3.1. Gas prod VF'!$L$13:$L$1230=$F14) *('3.1. Gas prod VF'!$M$13:$M$1230=$E14),'3.1. Gas prod VF'!$AO$13:$AO$1230))</f>
        <v>1.0348625140492969</v>
      </c>
      <c r="W14" s="314" cm="1">
        <f t="array" ref="W14">_xlfn.STDEV.S(IF(('3.1. Gas prod VF'!$L$13:$L$1230=$F14) *('3.1. Gas prod VF'!$M$13:$M$1230=$E14),'3.1. Gas prod VF'!$AP$13:$AP$1230))</f>
        <v>4.9320381182630788</v>
      </c>
      <c r="X14" s="314" cm="1">
        <f t="array" ref="X14">_xlfn.STDEV.S(IF(('3.1. Gas prod VF'!$L$13:$L$1230=$F14) *('3.1. Gas prod VF'!$M$13:$M$1230=$E14),'3.1. Gas prod VF'!$AQ$13:$AQ$1230))</f>
        <v>5.4086156180170457</v>
      </c>
      <c r="Y14" s="314" cm="1">
        <f t="array" ref="Y14">_xlfn.STDEV.S(IF(('3.1. Gas prod VF'!$L$13:$L$1230=$F14) *('3.1. Gas prod VF'!$M$13:$M$1230=$E14),'3.1. Gas prod VF'!$AR$13:$AR$1230))</f>
        <v>3.9555473034786997</v>
      </c>
      <c r="Z14" s="314" cm="1">
        <f t="array" ref="Z14">_xlfn.STDEV.S(IF(('3.1. Gas prod VF'!$L$13:$L$1230=$F14) *('3.1. Gas prod VF'!$M$13:$M$1230=$E14),'3.1. Gas prod VF'!$AS$13:$AS$1230))</f>
        <v>25.964590478532944</v>
      </c>
      <c r="AA14" s="314" cm="1">
        <f t="array" ref="AA14">_xlfn.STDEV.S(IF(('3.1. Gas prod VF'!$L$13:$L$1230=$F14) *('3.1. Gas prod VF'!$M$13:$M$1230=$E14),'3.1. Gas prod VF'!$AT$13:$AT$1230))</f>
        <v>9.0855722685184784E-2</v>
      </c>
      <c r="AB14" s="314" cm="1">
        <f t="array" ref="AB14">_xlfn.STDEV.S(IF(('3.1. Gas prod VF'!$L$13:$L$1230=$F14) *('3.1. Gas prod VF'!$M$13:$M$1230=$E14),'3.1. Gas prod VF'!$AU$13:$AU$1230))</f>
        <v>2.1953971885051331</v>
      </c>
      <c r="AC14" s="314" cm="1">
        <f t="array" ref="AC14">_xlfn.STDEV.S(IF(('3.1. Gas prod VF'!$L$13:$L$1230=$F14) *('3.1. Gas prod VF'!$M$13:$M$1230=$E14),'3.1. Gas prod VF'!$AU$13:$AV$1230))</f>
        <v>16.560596444304036</v>
      </c>
      <c r="AD14" s="20"/>
      <c r="AE14" s="20"/>
    </row>
    <row r="15" spans="2:31" x14ac:dyDescent="0.35">
      <c r="B15" s="62">
        <f>'1. Information samples'!B15</f>
        <v>5</v>
      </c>
      <c r="C15" s="198">
        <f>'1. Information samples'!C15</f>
        <v>46041</v>
      </c>
      <c r="D15" s="62" t="str">
        <f>'1. Information samples'!D15</f>
        <v>Genbank</v>
      </c>
      <c r="E15" s="316">
        <f>'1. Information samples'!E15</f>
        <v>27</v>
      </c>
      <c r="F15" s="62" t="str">
        <f>'1. Information samples'!F15</f>
        <v>F251732</v>
      </c>
      <c r="G15" s="62" t="str">
        <f>'1. Information samples'!G15</f>
        <v>CIAT-22004</v>
      </c>
      <c r="H15" s="62" t="str">
        <f>'1. Information samples'!H15</f>
        <v>Dendrolobium</v>
      </c>
      <c r="I15" s="62" t="str">
        <f>'1. Information samples'!I15</f>
        <v>triangulare</v>
      </c>
      <c r="J15" s="62" t="str">
        <f>'1. Information samples'!J15</f>
        <v>Dendrolobium triangulare</v>
      </c>
      <c r="K15" s="62" t="str">
        <f>'1. Information samples'!K15</f>
        <v>Fabaceae</v>
      </c>
      <c r="L15" s="62" t="str">
        <f>'1. Information samples'!L15</f>
        <v>Fabales</v>
      </c>
      <c r="M15" s="62" t="str">
        <f>'1. Information samples'!M15</f>
        <v>Tree</v>
      </c>
      <c r="N15" s="314" cm="1">
        <f t="array" ref="N15">_xlfn.STDEV.S(IF(('3.1. Gas prod VF'!$L$13:$L$1230=$F15) *('3.1. Gas prod VF'!$M$13:$M$1230=$E15),'3.1. Gas prod VF'!$AG$13:$AG$1230))</f>
        <v>8.4289971389868157</v>
      </c>
      <c r="O15" s="314" cm="1">
        <f t="array" ref="O15">_xlfn.STDEV.S(IF(('3.1. Gas prod VF'!$L$13:$L$1230=$F15) *('3.1. Gas prod VF'!$M$13:$M$1230=$E15),'3.1. Gas prod VF'!$AH$13:$AH$1230))</f>
        <v>7.3947906901308764</v>
      </c>
      <c r="P15" s="314" cm="1">
        <f t="array" ref="P15">_xlfn.STDEV.S(IF(('3.1. Gas prod VF'!$L$13:$L$1230=$F15) *('3.1. Gas prod VF'!$M$13:$M$1230=$E15),'3.1. Gas prod VF'!$AI$13:$AI$1230))</f>
        <v>15.773755983961252</v>
      </c>
      <c r="Q15" s="314" cm="1">
        <f t="array" ref="Q15">_xlfn.STDEV.S(IF(('3.1. Gas prod VF'!$L$13:$L$1230=$F15) *('3.1. Gas prod VF'!$M$13:$M$1230=$E15),'3.1. Gas prod VF'!$AJ$13:$AJ$1230))</f>
        <v>1.1356238682786581</v>
      </c>
      <c r="R15" s="314" cm="1">
        <f t="array" ref="R15">_xlfn.STDEV.S(IF(('3.1. Gas prod VF'!$L$13:$L$1230=$F15) *('3.1. Gas prod VF'!$M$13:$M$1230=$E15),'3.1. Gas prod VF'!$AK$13:$AK$1230))</f>
        <v>1.2616751740083219</v>
      </c>
      <c r="S15" s="314" cm="1">
        <f t="array" ref="S15">_xlfn.STDEV.S(IF(('3.1. Gas prod VF'!$L$13:$L$1230=$F15) *('3.1. Gas prod VF'!$M$13:$M$1230=$E15),'3.1. Gas prod VF'!$AL$13:$AL$1230))</f>
        <v>2.3904705083300408</v>
      </c>
      <c r="T15" s="314" cm="1">
        <f t="array" ref="T15">_xlfn.STDEV.S(IF(('3.1. Gas prod VF'!$L$13:$L$1230=$F15) *('3.1. Gas prod VF'!$M$13:$M$1230=$E15),'3.1. Gas prod VF'!$AM$13:$AM$1230))</f>
        <v>33.439232580110925</v>
      </c>
      <c r="U15" s="314" cm="1">
        <f t="array" ref="U15">_xlfn.STDEV.S(IF(('3.1. Gas prod VF'!$L$13:$L$1230=$F15) *('3.1. Gas prod VF'!$M$13:$M$1230=$E15),'3.1. Gas prod VF'!$AN$13:$AN$1230))</f>
        <v>8.958635146695384</v>
      </c>
      <c r="V15" s="314" cm="1">
        <f t="array" ref="V15">_xlfn.STDEV.S(IF(('3.1. Gas prod VF'!$L$13:$L$1230=$F15) *('3.1. Gas prod VF'!$M$13:$M$1230=$E15),'3.1. Gas prod VF'!$AO$13:$AO$1230))</f>
        <v>0.97247002254486081</v>
      </c>
      <c r="W15" s="314" cm="1">
        <f t="array" ref="W15">_xlfn.STDEV.S(IF(('3.1. Gas prod VF'!$L$13:$L$1230=$F15) *('3.1. Gas prod VF'!$M$13:$M$1230=$E15),'3.1. Gas prod VF'!$AP$13:$AP$1230))</f>
        <v>4.8221031274153221</v>
      </c>
      <c r="X15" s="314" cm="1">
        <f t="array" ref="X15">_xlfn.STDEV.S(IF(('3.1. Gas prod VF'!$L$13:$L$1230=$F15) *('3.1. Gas prod VF'!$M$13:$M$1230=$E15),'3.1. Gas prod VF'!$AQ$13:$AQ$1230))</f>
        <v>5.3922188238773643</v>
      </c>
      <c r="Y15" s="314" cm="1">
        <f t="array" ref="Y15">_xlfn.STDEV.S(IF(('3.1. Gas prod VF'!$L$13:$L$1230=$F15) *('3.1. Gas prod VF'!$M$13:$M$1230=$E15),'3.1. Gas prod VF'!$AR$13:$AR$1230))</f>
        <v>5.0678136076421625</v>
      </c>
      <c r="Z15" s="314" cm="1">
        <f t="array" ref="Z15">_xlfn.STDEV.S(IF(('3.1. Gas prod VF'!$L$13:$L$1230=$F15) *('3.1. Gas prod VF'!$M$13:$M$1230=$E15),'3.1. Gas prod VF'!$AS$13:$AS$1230))</f>
        <v>23.709478439382025</v>
      </c>
      <c r="AA15" s="314" cm="1">
        <f t="array" ref="AA15">_xlfn.STDEV.S(IF(('3.1. Gas prod VF'!$L$13:$L$1230=$F15) *('3.1. Gas prod VF'!$M$13:$M$1230=$E15),'3.1. Gas prod VF'!$AT$13:$AT$1230))</f>
        <v>0.15852505134868863</v>
      </c>
      <c r="AB15" s="314" cm="1">
        <f t="array" ref="AB15">_xlfn.STDEV.S(IF(('3.1. Gas prod VF'!$L$13:$L$1230=$F15) *('3.1. Gas prod VF'!$M$13:$M$1230=$E15),'3.1. Gas prod VF'!$AU$13:$AU$1230))</f>
        <v>2.8127242306775244</v>
      </c>
      <c r="AC15" s="314" cm="1">
        <f t="array" ref="AC15">_xlfn.STDEV.S(IF(('3.1. Gas prod VF'!$L$13:$L$1230=$F15) *('3.1. Gas prod VF'!$M$13:$M$1230=$E15),'3.1. Gas prod VF'!$AU$13:$AV$1230))</f>
        <v>15.080826761824815</v>
      </c>
      <c r="AD15" s="20"/>
      <c r="AE15" s="20"/>
    </row>
    <row r="16" spans="2:31" x14ac:dyDescent="0.35">
      <c r="B16" s="62">
        <f>'1. Information samples'!B16</f>
        <v>6</v>
      </c>
      <c r="C16" s="198">
        <f>'1. Information samples'!C16</f>
        <v>46041</v>
      </c>
      <c r="D16" s="62" t="str">
        <f>'1. Information samples'!D16</f>
        <v>Genbank</v>
      </c>
      <c r="E16" s="316">
        <f>'1. Information samples'!E16</f>
        <v>27</v>
      </c>
      <c r="F16" s="62" t="str">
        <f>'1. Information samples'!F16</f>
        <v>F251733</v>
      </c>
      <c r="G16" s="62" t="str">
        <f>'1. Information samples'!G16</f>
        <v>CIAT-23104</v>
      </c>
      <c r="H16" s="62" t="str">
        <f>'1. Information samples'!H16</f>
        <v>Dendrolobium</v>
      </c>
      <c r="I16" s="62" t="str">
        <f>'1. Information samples'!I16</f>
        <v>triangulare</v>
      </c>
      <c r="J16" s="62" t="str">
        <f>'1. Information samples'!J16</f>
        <v>Dendrolobium triangulare</v>
      </c>
      <c r="K16" s="62" t="str">
        <f>'1. Information samples'!K16</f>
        <v>Fabaceae</v>
      </c>
      <c r="L16" s="62" t="str">
        <f>'1. Information samples'!L16</f>
        <v>Fabales</v>
      </c>
      <c r="M16" s="62" t="str">
        <f>'1. Information samples'!M16</f>
        <v>Tree</v>
      </c>
      <c r="N16" s="314" cm="1">
        <f t="array" ref="N16">_xlfn.STDEV.S(IF(('3.1. Gas prod VF'!$L$13:$L$1230=$F16) *('3.1. Gas prod VF'!$M$13:$M$1230=$E16),'3.1. Gas prod VF'!$AG$13:$AG$1230))</f>
        <v>10.125511094407761</v>
      </c>
      <c r="O16" s="314" cm="1">
        <f t="array" ref="O16">_xlfn.STDEV.S(IF(('3.1. Gas prod VF'!$L$13:$L$1230=$F16) *('3.1. Gas prod VF'!$M$13:$M$1230=$E16),'3.1. Gas prod VF'!$AH$13:$AH$1230))</f>
        <v>9.2737044740567232</v>
      </c>
      <c r="P16" s="314" cm="1">
        <f t="array" ref="P16">_xlfn.STDEV.S(IF(('3.1. Gas prod VF'!$L$13:$L$1230=$F16) *('3.1. Gas prod VF'!$M$13:$M$1230=$E16),'3.1. Gas prod VF'!$AI$13:$AI$1230))</f>
        <v>19.391215388955562</v>
      </c>
      <c r="Q16" s="314" cm="1">
        <f t="array" ref="Q16">_xlfn.STDEV.S(IF(('3.1. Gas prod VF'!$L$13:$L$1230=$F16) *('3.1. Gas prod VF'!$M$13:$M$1230=$E16),'3.1. Gas prod VF'!$AJ$13:$AJ$1230))</f>
        <v>1.4569126226015576</v>
      </c>
      <c r="R16" s="314" cm="1">
        <f t="array" ref="R16">_xlfn.STDEV.S(IF(('3.1. Gas prod VF'!$L$13:$L$1230=$F16) *('3.1. Gas prod VF'!$M$13:$M$1230=$E16),'3.1. Gas prod VF'!$AK$13:$AK$1230))</f>
        <v>1.6359083314969325</v>
      </c>
      <c r="S16" s="314" cm="1">
        <f t="array" ref="S16">_xlfn.STDEV.S(IF(('3.1. Gas prod VF'!$L$13:$L$1230=$F16) *('3.1. Gas prod VF'!$M$13:$M$1230=$E16),'3.1. Gas prod VF'!$AL$13:$AL$1230))</f>
        <v>3.0906706331086582</v>
      </c>
      <c r="T16" s="314" cm="1">
        <f t="array" ref="T16">_xlfn.STDEV.S(IF(('3.1. Gas prod VF'!$L$13:$L$1230=$F16) *('3.1. Gas prod VF'!$M$13:$M$1230=$E16),'3.1. Gas prod VF'!$AM$13:$AM$1230))</f>
        <v>41.842839664177788</v>
      </c>
      <c r="U16" s="314" cm="1">
        <f t="array" ref="U16">_xlfn.STDEV.S(IF(('3.1. Gas prod VF'!$L$13:$L$1230=$F16) *('3.1. Gas prod VF'!$M$13:$M$1230=$E16),'3.1. Gas prod VF'!$AN$13:$AN$1230))</f>
        <v>8.7035125955413193</v>
      </c>
      <c r="V16" s="314" cm="1">
        <f t="array" ref="V16">_xlfn.STDEV.S(IF(('3.1. Gas prod VF'!$L$13:$L$1230=$F16) *('3.1. Gas prod VF'!$M$13:$M$1230=$E16),'3.1. Gas prod VF'!$AO$13:$AO$1230))</f>
        <v>0.97121244936355333</v>
      </c>
      <c r="W16" s="314" cm="1">
        <f t="array" ref="W16">_xlfn.STDEV.S(IF(('3.1. Gas prod VF'!$L$13:$L$1230=$F16) *('3.1. Gas prod VF'!$M$13:$M$1230=$E16),'3.1. Gas prod VF'!$AP$13:$AP$1230))</f>
        <v>6.6953608672615346</v>
      </c>
      <c r="X16" s="314" cm="1">
        <f t="array" ref="X16">_xlfn.STDEV.S(IF(('3.1. Gas prod VF'!$L$13:$L$1230=$F16) *('3.1. Gas prod VF'!$M$13:$M$1230=$E16),'3.1. Gas prod VF'!$AQ$13:$AQ$1230))</f>
        <v>7.4073171526608732</v>
      </c>
      <c r="Y16" s="314" cm="1">
        <f t="array" ref="Y16">_xlfn.STDEV.S(IF(('3.1. Gas prod VF'!$L$13:$L$1230=$F16) *('3.1. Gas prod VF'!$M$13:$M$1230=$E16),'3.1. Gas prod VF'!$AR$13:$AR$1230))</f>
        <v>6.6691300499340347</v>
      </c>
      <c r="Z16" s="314" cm="1">
        <f t="array" ref="Z16">_xlfn.STDEV.S(IF(('3.1. Gas prod VF'!$L$13:$L$1230=$F16) *('3.1. Gas prod VF'!$M$13:$M$1230=$E16),'3.1. Gas prod VF'!$AS$13:$AS$1230))</f>
        <v>38.9930940930969</v>
      </c>
      <c r="AA16" s="314" cm="1">
        <f t="array" ref="AA16">_xlfn.STDEV.S(IF(('3.1. Gas prod VF'!$L$13:$L$1230=$F16) *('3.1. Gas prod VF'!$M$13:$M$1230=$E16),'3.1. Gas prod VF'!$AT$13:$AT$1230))</f>
        <v>0.15442213489574758</v>
      </c>
      <c r="AB16" s="314" cm="1">
        <f t="array" ref="AB16">_xlfn.STDEV.S(IF(('3.1. Gas prod VF'!$L$13:$L$1230=$F16) *('3.1. Gas prod VF'!$M$13:$M$1230=$E16),'3.1. Gas prod VF'!$AU$13:$AU$1230))</f>
        <v>3.701482560586224</v>
      </c>
      <c r="AC16" s="314" cm="1">
        <f t="array" ref="AC16">_xlfn.STDEV.S(IF(('3.1. Gas prod VF'!$L$13:$L$1230=$F16) *('3.1. Gas prod VF'!$M$13:$M$1230=$E16),'3.1. Gas prod VF'!$AU$13:$AV$1230))</f>
        <v>20.7013800184301</v>
      </c>
      <c r="AD16" s="20"/>
      <c r="AE16" s="20"/>
    </row>
    <row r="17" spans="2:31" x14ac:dyDescent="0.35">
      <c r="B17" s="62">
        <f>'1. Information samples'!B17</f>
        <v>7</v>
      </c>
      <c r="C17" s="198">
        <f>'1. Information samples'!C17</f>
        <v>46041</v>
      </c>
      <c r="D17" s="62" t="str">
        <f>'1. Information samples'!D17</f>
        <v>Genbank</v>
      </c>
      <c r="E17" s="316">
        <f>'1. Information samples'!E17</f>
        <v>27</v>
      </c>
      <c r="F17" s="62" t="str">
        <f>'1. Information samples'!F17</f>
        <v>F251734</v>
      </c>
      <c r="G17" s="62" t="str">
        <f>'1. Information samples'!G17</f>
        <v>CIAT-23106</v>
      </c>
      <c r="H17" s="62" t="str">
        <f>'1. Information samples'!H17</f>
        <v>Dendrolobium</v>
      </c>
      <c r="I17" s="62" t="str">
        <f>'1. Information samples'!I17</f>
        <v>triangulare</v>
      </c>
      <c r="J17" s="62" t="str">
        <f>'1. Information samples'!J17</f>
        <v>Dendrolobium triangulare</v>
      </c>
      <c r="K17" s="62" t="str">
        <f>'1. Information samples'!K17</f>
        <v>Fabaceae</v>
      </c>
      <c r="L17" s="62" t="str">
        <f>'1. Information samples'!L17</f>
        <v>Fabales</v>
      </c>
      <c r="M17" s="62" t="str">
        <f>'1. Information samples'!M17</f>
        <v>Tree</v>
      </c>
      <c r="N17" s="314" cm="1">
        <f t="array" ref="N17">_xlfn.STDEV.S(IF(('3.1. Gas prod VF'!$L$13:$L$1230=$F17) *('3.1. Gas prod VF'!$M$13:$M$1230=$E17),'3.1. Gas prod VF'!$AG$13:$AG$1230))</f>
        <v>7.2858227264253221</v>
      </c>
      <c r="O17" s="314" cm="1">
        <f t="array" ref="O17">_xlfn.STDEV.S(IF(('3.1. Gas prod VF'!$L$13:$L$1230=$F17) *('3.1. Gas prod VF'!$M$13:$M$1230=$E17),'3.1. Gas prod VF'!$AH$13:$AH$1230))</f>
        <v>6.7265029600794959</v>
      </c>
      <c r="P17" s="314" cm="1">
        <f t="array" ref="P17">_xlfn.STDEV.S(IF(('3.1. Gas prod VF'!$L$13:$L$1230=$F17) *('3.1. Gas prod VF'!$M$13:$M$1230=$E17),'3.1. Gas prod VF'!$AI$13:$AI$1230))</f>
        <v>13.387496669006522</v>
      </c>
      <c r="Q17" s="314" cm="1">
        <f t="array" ref="Q17">_xlfn.STDEV.S(IF(('3.1. Gas prod VF'!$L$13:$L$1230=$F17) *('3.1. Gas prod VF'!$M$13:$M$1230=$E17),'3.1. Gas prod VF'!$AJ$13:$AJ$1230))</f>
        <v>1.0738283978341745</v>
      </c>
      <c r="R17" s="314" cm="1">
        <f t="array" ref="R17">_xlfn.STDEV.S(IF(('3.1. Gas prod VF'!$L$13:$L$1230=$F17) *('3.1. Gas prod VF'!$M$13:$M$1230=$E17),'3.1. Gas prod VF'!$AK$13:$AK$1230))</f>
        <v>1.1732031263485425</v>
      </c>
      <c r="S17" s="314" cm="1">
        <f t="array" ref="S17">_xlfn.STDEV.S(IF(('3.1. Gas prod VF'!$L$13:$L$1230=$F17) *('3.1. Gas prod VF'!$M$13:$M$1230=$E17),'3.1. Gas prod VF'!$AL$13:$AL$1230))</f>
        <v>2.1362305779511117</v>
      </c>
      <c r="T17" s="314" cm="1">
        <f t="array" ref="T17">_xlfn.STDEV.S(IF(('3.1. Gas prod VF'!$L$13:$L$1230=$F17) *('3.1. Gas prod VF'!$M$13:$M$1230=$E17),'3.1. Gas prod VF'!$AM$13:$AM$1230))</f>
        <v>28.275235965577057</v>
      </c>
      <c r="U17" s="314" cm="1">
        <f t="array" ref="U17">_xlfn.STDEV.S(IF(('3.1. Gas prod VF'!$L$13:$L$1230=$F17) *('3.1. Gas prod VF'!$M$13:$M$1230=$E17),'3.1. Gas prod VF'!$AN$13:$AN$1230))</f>
        <v>7.9889633598978138</v>
      </c>
      <c r="V17" s="314" cm="1">
        <f t="array" ref="V17">_xlfn.STDEV.S(IF(('3.1. Gas prod VF'!$L$13:$L$1230=$F17) *('3.1. Gas prod VF'!$M$13:$M$1230=$E17),'3.1. Gas prod VF'!$AO$13:$AO$1230))</f>
        <v>1.114375438499553</v>
      </c>
      <c r="W17" s="314" cm="1">
        <f t="array" ref="W17">_xlfn.STDEV.S(IF(('3.1. Gas prod VF'!$L$13:$L$1230=$F17) *('3.1. Gas prod VF'!$M$13:$M$1230=$E17),'3.1. Gas prod VF'!$AP$13:$AP$1230))</f>
        <v>5.2202216701701696</v>
      </c>
      <c r="X17" s="314" cm="1">
        <f t="array" ref="X17">_xlfn.STDEV.S(IF(('3.1. Gas prod VF'!$L$13:$L$1230=$F17) *('3.1. Gas prod VF'!$M$13:$M$1230=$E17),'3.1. Gas prod VF'!$AQ$13:$AQ$1230))</f>
        <v>5.730864892381808</v>
      </c>
      <c r="Y17" s="314" cm="1">
        <f t="array" ref="Y17">_xlfn.STDEV.S(IF(('3.1. Gas prod VF'!$L$13:$L$1230=$F17) *('3.1. Gas prod VF'!$M$13:$M$1230=$E17),'3.1. Gas prod VF'!$AR$13:$AR$1230))</f>
        <v>4.5119970209471649</v>
      </c>
      <c r="Z17" s="314" cm="1">
        <f t="array" ref="Z17">_xlfn.STDEV.S(IF(('3.1. Gas prod VF'!$L$13:$L$1230=$F17) *('3.1. Gas prod VF'!$M$13:$M$1230=$E17),'3.1. Gas prod VF'!$AS$13:$AS$1230))</f>
        <v>31.217880964440052</v>
      </c>
      <c r="AA17" s="314" cm="1">
        <f t="array" ref="AA17">_xlfn.STDEV.S(IF(('3.1. Gas prod VF'!$L$13:$L$1230=$F17) *('3.1. Gas prod VF'!$M$13:$M$1230=$E17),'3.1. Gas prod VF'!$AT$13:$AT$1230))</f>
        <v>0.17483177765361813</v>
      </c>
      <c r="AB17" s="314" cm="1">
        <f t="array" ref="AB17">_xlfn.STDEV.S(IF(('3.1. Gas prod VF'!$L$13:$L$1230=$F17) *('3.1. Gas prod VF'!$M$13:$M$1230=$E17),'3.1. Gas prod VF'!$AU$13:$AU$1230))</f>
        <v>2.5042364088578761</v>
      </c>
      <c r="AC17" s="314" cm="1">
        <f t="array" ref="AC17">_xlfn.STDEV.S(IF(('3.1. Gas prod VF'!$L$13:$L$1230=$F17) *('3.1. Gas prod VF'!$M$13:$M$1230=$E17),'3.1. Gas prod VF'!$AU$13:$AV$1230))</f>
        <v>18.602788403811392</v>
      </c>
      <c r="AD17" s="20"/>
      <c r="AE17" s="20"/>
    </row>
    <row r="18" spans="2:31" x14ac:dyDescent="0.35">
      <c r="B18" s="62">
        <f>'1. Information samples'!B18</f>
        <v>8</v>
      </c>
      <c r="C18" s="198">
        <f>'1. Information samples'!C18</f>
        <v>46041</v>
      </c>
      <c r="D18" s="62" t="str">
        <f>'1. Information samples'!D18</f>
        <v>Genbank</v>
      </c>
      <c r="E18" s="316">
        <f>'1. Information samples'!E18</f>
        <v>27</v>
      </c>
      <c r="F18" s="62" t="str">
        <f>'1. Information samples'!F18</f>
        <v>F251735</v>
      </c>
      <c r="G18" s="62" t="str">
        <f>'1. Information samples'!G18</f>
        <v>CIAT-23107</v>
      </c>
      <c r="H18" s="62" t="str">
        <f>'1. Information samples'!H18</f>
        <v>Dendrolobium</v>
      </c>
      <c r="I18" s="62" t="str">
        <f>'1. Information samples'!I18</f>
        <v>triangulare</v>
      </c>
      <c r="J18" s="62" t="str">
        <f>'1. Information samples'!J18</f>
        <v>Dendrolobium triangulare</v>
      </c>
      <c r="K18" s="62" t="str">
        <f>'1. Information samples'!K18</f>
        <v>Fabaceae</v>
      </c>
      <c r="L18" s="62" t="str">
        <f>'1. Information samples'!L18</f>
        <v>Fabales</v>
      </c>
      <c r="M18" s="62" t="str">
        <f>'1. Information samples'!M18</f>
        <v>Tree</v>
      </c>
      <c r="N18" s="314" cm="1">
        <f t="array" ref="N18">_xlfn.STDEV.S(IF(('3.1. Gas prod VF'!$L$13:$L$1230=$F18) *('3.1. Gas prod VF'!$M$13:$M$1230=$E18),'3.1. Gas prod VF'!$AG$13:$AG$1230))</f>
        <v>9.4679135425572305</v>
      </c>
      <c r="O18" s="314" cm="1">
        <f t="array" ref="O18">_xlfn.STDEV.S(IF(('3.1. Gas prod VF'!$L$13:$L$1230=$F18) *('3.1. Gas prod VF'!$M$13:$M$1230=$E18),'3.1. Gas prod VF'!$AH$13:$AH$1230))</f>
        <v>8.0138712640888716</v>
      </c>
      <c r="P18" s="314" cm="1">
        <f t="array" ref="P18">_xlfn.STDEV.S(IF(('3.1. Gas prod VF'!$L$13:$L$1230=$F18) *('3.1. Gas prod VF'!$M$13:$M$1230=$E18),'3.1. Gas prod VF'!$AI$13:$AI$1230))</f>
        <v>17.447363361990011</v>
      </c>
      <c r="Q18" s="314" cm="1">
        <f t="array" ref="Q18">_xlfn.STDEV.S(IF(('3.1. Gas prod VF'!$L$13:$L$1230=$F18) *('3.1. Gas prod VF'!$M$13:$M$1230=$E18),'3.1. Gas prod VF'!$AJ$13:$AJ$1230))</f>
        <v>1.3461872515837972</v>
      </c>
      <c r="R18" s="314" cm="1">
        <f t="array" ref="R18">_xlfn.STDEV.S(IF(('3.1. Gas prod VF'!$L$13:$L$1230=$F18) *('3.1. Gas prod VF'!$M$13:$M$1230=$E18),'3.1. Gas prod VF'!$AK$13:$AK$1230))</f>
        <v>1.4526712244503901</v>
      </c>
      <c r="S18" s="314" cm="1">
        <f t="array" ref="S18">_xlfn.STDEV.S(IF(('3.1. Gas prod VF'!$L$13:$L$1230=$F18) *('3.1. Gas prod VF'!$M$13:$M$1230=$E18),'3.1. Gas prod VF'!$AL$13:$AL$1230))</f>
        <v>2.788579022235115</v>
      </c>
      <c r="T18" s="314" cm="1">
        <f t="array" ref="T18">_xlfn.STDEV.S(IF(('3.1. Gas prod VF'!$L$13:$L$1230=$F18) *('3.1. Gas prod VF'!$M$13:$M$1230=$E18),'3.1. Gas prod VF'!$AM$13:$AM$1230))</f>
        <v>36.726766799043716</v>
      </c>
      <c r="U18" s="314" cm="1">
        <f t="array" ref="U18">_xlfn.STDEV.S(IF(('3.1. Gas prod VF'!$L$13:$L$1230=$F18) *('3.1. Gas prod VF'!$M$13:$M$1230=$E18),'3.1. Gas prod VF'!$AN$13:$AN$1230))</f>
        <v>9.4779200384898878</v>
      </c>
      <c r="V18" s="314" cm="1">
        <f t="array" ref="V18">_xlfn.STDEV.S(IF(('3.1. Gas prod VF'!$L$13:$L$1230=$F18) *('3.1. Gas prod VF'!$M$13:$M$1230=$E18),'3.1. Gas prod VF'!$AO$13:$AO$1230))</f>
        <v>1.3384956576994493</v>
      </c>
      <c r="W18" s="314" cm="1">
        <f t="array" ref="W18">_xlfn.STDEV.S(IF(('3.1. Gas prod VF'!$L$13:$L$1230=$F18) *('3.1. Gas prod VF'!$M$13:$M$1230=$E18),'3.1. Gas prod VF'!$AP$13:$AP$1230))</f>
        <v>7.403944412078121</v>
      </c>
      <c r="X18" s="314" cm="1">
        <f t="array" ref="X18">_xlfn.STDEV.S(IF(('3.1. Gas prod VF'!$L$13:$L$1230=$F18) *('3.1. Gas prod VF'!$M$13:$M$1230=$E18),'3.1. Gas prod VF'!$AQ$13:$AQ$1230))</f>
        <v>8.3191954687213077</v>
      </c>
      <c r="Y18" s="314" cm="1">
        <f t="array" ref="Y18">_xlfn.STDEV.S(IF(('3.1. Gas prod VF'!$L$13:$L$1230=$F18) *('3.1. Gas prod VF'!$M$13:$M$1230=$E18),'3.1. Gas prod VF'!$AR$13:$AR$1230))</f>
        <v>5.8700964244749523</v>
      </c>
      <c r="Z18" s="314" cm="1">
        <f t="array" ref="Z18">_xlfn.STDEV.S(IF(('3.1. Gas prod VF'!$L$13:$L$1230=$F18) *('3.1. Gas prod VF'!$M$13:$M$1230=$E18),'3.1. Gas prod VF'!$AS$13:$AS$1230))</f>
        <v>32.468053512008204</v>
      </c>
      <c r="AA18" s="314" cm="1">
        <f t="array" ref="AA18">_xlfn.STDEV.S(IF(('3.1. Gas prod VF'!$L$13:$L$1230=$F18) *('3.1. Gas prod VF'!$M$13:$M$1230=$E18),'3.1. Gas prod VF'!$AT$13:$AT$1230))</f>
        <v>0.13086777658544102</v>
      </c>
      <c r="AB18" s="314" cm="1">
        <f t="array" ref="AB18">_xlfn.STDEV.S(IF(('3.1. Gas prod VF'!$L$13:$L$1230=$F18) *('3.1. Gas prod VF'!$M$13:$M$1230=$E18),'3.1. Gas prod VF'!$AU$13:$AU$1230))</f>
        <v>3.258005074345268</v>
      </c>
      <c r="AC18" s="314" cm="1">
        <f t="array" ref="AC18">_xlfn.STDEV.S(IF(('3.1. Gas prod VF'!$L$13:$L$1230=$F18) *('3.1. Gas prod VF'!$M$13:$M$1230=$E18),'3.1. Gas prod VF'!$AU$13:$AV$1230))</f>
        <v>15.503932611333441</v>
      </c>
      <c r="AD18" s="20"/>
      <c r="AE18" s="20"/>
    </row>
    <row r="19" spans="2:31" x14ac:dyDescent="0.35">
      <c r="B19" s="62">
        <f>'1. Information samples'!B19</f>
        <v>9</v>
      </c>
      <c r="C19" s="198">
        <f>'1. Information samples'!C19</f>
        <v>46041</v>
      </c>
      <c r="D19" s="62" t="str">
        <f>'1. Information samples'!D19</f>
        <v>Genbank</v>
      </c>
      <c r="E19" s="316">
        <f>'1. Information samples'!E19</f>
        <v>27</v>
      </c>
      <c r="F19" s="62" t="str">
        <f>'1. Information samples'!F19</f>
        <v>F251736</v>
      </c>
      <c r="G19" s="62" t="str">
        <f>'1. Information samples'!G19</f>
        <v>CIAT-23108</v>
      </c>
      <c r="H19" s="62" t="str">
        <f>'1. Information samples'!H19</f>
        <v>Dendrolobium</v>
      </c>
      <c r="I19" s="62" t="str">
        <f>'1. Information samples'!I19</f>
        <v>triangulare</v>
      </c>
      <c r="J19" s="62" t="str">
        <f>'1. Information samples'!J19</f>
        <v>Dendrolobium triangulare</v>
      </c>
      <c r="K19" s="62" t="str">
        <f>'1. Information samples'!K19</f>
        <v>Fabaceae</v>
      </c>
      <c r="L19" s="62" t="str">
        <f>'1. Information samples'!L19</f>
        <v>Fabales</v>
      </c>
      <c r="M19" s="62" t="str">
        <f>'1. Information samples'!M19</f>
        <v>Tree</v>
      </c>
      <c r="N19" s="314" cm="1">
        <f t="array" ref="N19">_xlfn.STDEV.S(IF(('3.1. Gas prod VF'!$L$13:$L$1230=$F19) *('3.1. Gas prod VF'!$M$13:$M$1230=$E19),'3.1. Gas prod VF'!$AG$13:$AG$1230))</f>
        <v>7.0769061266679634</v>
      </c>
      <c r="O19" s="314" cm="1">
        <f t="array" ref="O19">_xlfn.STDEV.S(IF(('3.1. Gas prod VF'!$L$13:$L$1230=$F19) *('3.1. Gas prod VF'!$M$13:$M$1230=$E19),'3.1. Gas prod VF'!$AH$13:$AH$1230))</f>
        <v>5.9252112834532289</v>
      </c>
      <c r="P19" s="314" cm="1">
        <f t="array" ref="P19">_xlfn.STDEV.S(IF(('3.1. Gas prod VF'!$L$13:$L$1230=$F19) *('3.1. Gas prod VF'!$M$13:$M$1230=$E19),'3.1. Gas prod VF'!$AI$13:$AI$1230))</f>
        <v>12.958831583319778</v>
      </c>
      <c r="Q19" s="314" cm="1">
        <f t="array" ref="Q19">_xlfn.STDEV.S(IF(('3.1. Gas prod VF'!$L$13:$L$1230=$F19) *('3.1. Gas prod VF'!$M$13:$M$1230=$E19),'3.1. Gas prod VF'!$AJ$13:$AJ$1230))</f>
        <v>0.96311382101870135</v>
      </c>
      <c r="R19" s="314" cm="1">
        <f t="array" ref="R19">_xlfn.STDEV.S(IF(('3.1. Gas prod VF'!$L$13:$L$1230=$F19) *('3.1. Gas prod VF'!$M$13:$M$1230=$E19),'3.1. Gas prod VF'!$AK$13:$AK$1230))</f>
        <v>1.1022459489332586</v>
      </c>
      <c r="S19" s="314" cm="1">
        <f t="array" ref="S19">_xlfn.STDEV.S(IF(('3.1. Gas prod VF'!$L$13:$L$1230=$F19) *('3.1. Gas prod VF'!$M$13:$M$1230=$E19),'3.1. Gas prod VF'!$AL$13:$AL$1230))</f>
        <v>2.0619788429394421</v>
      </c>
      <c r="T19" s="314" cm="1">
        <f t="array" ref="T19">_xlfn.STDEV.S(IF(('3.1. Gas prod VF'!$L$13:$L$1230=$F19) *('3.1. Gas prod VF'!$M$13:$M$1230=$E19),'3.1. Gas prod VF'!$AM$13:$AM$1230))</f>
        <v>27.394387615020065</v>
      </c>
      <c r="U19" s="314" cm="1">
        <f t="array" ref="U19">_xlfn.STDEV.S(IF(('3.1. Gas prod VF'!$L$13:$L$1230=$F19) *('3.1. Gas prod VF'!$M$13:$M$1230=$E19),'3.1. Gas prod VF'!$AN$13:$AN$1230))</f>
        <v>6.8441507211751631</v>
      </c>
      <c r="V19" s="314" cm="1">
        <f t="array" ref="V19">_xlfn.STDEV.S(IF(('3.1. Gas prod VF'!$L$13:$L$1230=$F19) *('3.1. Gas prod VF'!$M$13:$M$1230=$E19),'3.1. Gas prod VF'!$AO$13:$AO$1230))</f>
        <v>0.87882573292707267</v>
      </c>
      <c r="W19" s="314" cm="1">
        <f t="array" ref="W19">_xlfn.STDEV.S(IF(('3.1. Gas prod VF'!$L$13:$L$1230=$F19) *('3.1. Gas prod VF'!$M$13:$M$1230=$E19),'3.1. Gas prod VF'!$AP$13:$AP$1230))</f>
        <v>4.8430915451068772</v>
      </c>
      <c r="X19" s="314" cm="1">
        <f t="array" ref="X19">_xlfn.STDEV.S(IF(('3.1. Gas prod VF'!$L$13:$L$1230=$F19) *('3.1. Gas prod VF'!$M$13:$M$1230=$E19),'3.1. Gas prod VF'!$AQ$13:$AQ$1230))</f>
        <v>5.61648067492954</v>
      </c>
      <c r="Y19" s="314" cm="1">
        <f t="array" ref="Y19">_xlfn.STDEV.S(IF(('3.1. Gas prod VF'!$L$13:$L$1230=$F19) *('3.1. Gas prod VF'!$M$13:$M$1230=$E19),'3.1. Gas prod VF'!$AR$13:$AR$1230))</f>
        <v>4.3592829025930282</v>
      </c>
      <c r="Z19" s="314" cm="1">
        <f t="array" ref="Z19">_xlfn.STDEV.S(IF(('3.1. Gas prod VF'!$L$13:$L$1230=$F19) *('3.1. Gas prod VF'!$M$13:$M$1230=$E19),'3.1. Gas prod VF'!$AS$13:$AS$1230))</f>
        <v>27.505338665993992</v>
      </c>
      <c r="AA19" s="314" cm="1">
        <f t="array" ref="AA19">_xlfn.STDEV.S(IF(('3.1. Gas prod VF'!$L$13:$L$1230=$F19) *('3.1. Gas prod VF'!$M$13:$M$1230=$E19),'3.1. Gas prod VF'!$AT$13:$AT$1230))</f>
        <v>0.14161538458330469</v>
      </c>
      <c r="AB19" s="314" cm="1">
        <f t="array" ref="AB19">_xlfn.STDEV.S(IF(('3.1. Gas prod VF'!$L$13:$L$1230=$F19) *('3.1. Gas prod VF'!$M$13:$M$1230=$E19),'3.1. Gas prod VF'!$AU$13:$AU$1230))</f>
        <v>2.419477431058549</v>
      </c>
      <c r="AC19" s="314" cm="1">
        <f t="array" ref="AC19">_xlfn.STDEV.S(IF(('3.1. Gas prod VF'!$L$13:$L$1230=$F19) *('3.1. Gas prod VF'!$M$13:$M$1230=$E19),'3.1. Gas prod VF'!$AU$13:$AV$1230))</f>
        <v>18.252332503449146</v>
      </c>
      <c r="AD19" s="20"/>
      <c r="AE19" s="20"/>
    </row>
    <row r="20" spans="2:31" customFormat="1" x14ac:dyDescent="0.35">
      <c r="B20" s="62">
        <f>'1. Information samples'!B20</f>
        <v>10</v>
      </c>
      <c r="C20" s="198">
        <f>'1. Information samples'!C20</f>
        <v>46041</v>
      </c>
      <c r="D20" s="62" t="str">
        <f>'1. Information samples'!D20</f>
        <v>Genbank</v>
      </c>
      <c r="E20" s="316">
        <f>'1. Information samples'!E20</f>
        <v>27</v>
      </c>
      <c r="F20" s="62" t="str">
        <f>'1. Information samples'!F20</f>
        <v>F251737</v>
      </c>
      <c r="G20" s="62" t="str">
        <f>'1. Information samples'!G20</f>
        <v>CIAT-23412</v>
      </c>
      <c r="H20" s="62" t="str">
        <f>'1. Information samples'!H20</f>
        <v>Dendrolobium</v>
      </c>
      <c r="I20" s="62" t="str">
        <f>'1. Information samples'!I20</f>
        <v>triangulare</v>
      </c>
      <c r="J20" s="62" t="str">
        <f>'1. Information samples'!J20</f>
        <v>Dendrolobium triangulare</v>
      </c>
      <c r="K20" s="62" t="str">
        <f>'1. Information samples'!K20</f>
        <v>Fabaceae</v>
      </c>
      <c r="L20" s="62" t="str">
        <f>'1. Information samples'!L20</f>
        <v>Fabales</v>
      </c>
      <c r="M20" s="62" t="str">
        <f>'1. Information samples'!M20</f>
        <v>Tree</v>
      </c>
      <c r="N20" s="314" cm="1">
        <f t="array" ref="N20">_xlfn.STDEV.S(IF(('3.1. Gas prod VF'!$L$13:$L$1230=$F20) *('3.1. Gas prod VF'!$M$13:$M$1230=$E20),'3.1. Gas prod VF'!$AG$13:$AG$1230))</f>
        <v>7.7002040075621725</v>
      </c>
      <c r="O20" s="314" cm="1">
        <f t="array" ref="O20">_xlfn.STDEV.S(IF(('3.1. Gas prod VF'!$L$13:$L$1230=$F20) *('3.1. Gas prod VF'!$M$13:$M$1230=$E20),'3.1. Gas prod VF'!$AH$13:$AH$1230))</f>
        <v>4.5568574717413437</v>
      </c>
      <c r="P20" s="314" cm="1">
        <f t="array" ref="P20">_xlfn.STDEV.S(IF(('3.1. Gas prod VF'!$L$13:$L$1230=$F20) *('3.1. Gas prod VF'!$M$13:$M$1230=$E20),'3.1. Gas prod VF'!$AI$13:$AI$1230))</f>
        <v>12.208974416358135</v>
      </c>
      <c r="Q20" s="314" cm="1">
        <f t="array" ref="Q20">_xlfn.STDEV.S(IF(('3.1. Gas prod VF'!$L$13:$L$1230=$F20) *('3.1. Gas prod VF'!$M$13:$M$1230=$E20),'3.1. Gas prod VF'!$AJ$13:$AJ$1230))</f>
        <v>1.0560606553132776</v>
      </c>
      <c r="R20" s="314" cm="1">
        <f t="array" ref="R20">_xlfn.STDEV.S(IF(('3.1. Gas prod VF'!$L$13:$L$1230=$F20) *('3.1. Gas prod VF'!$M$13:$M$1230=$E20),'3.1. Gas prod VF'!$AK$13:$AK$1230))</f>
        <v>0.79569158184377464</v>
      </c>
      <c r="S20" s="314" cm="1">
        <f t="array" ref="S20">_xlfn.STDEV.S(IF(('3.1. Gas prod VF'!$L$13:$L$1230=$F20) *('3.1. Gas prod VF'!$M$13:$M$1230=$E20),'3.1. Gas prod VF'!$AL$13:$AL$1230))</f>
        <v>1.8459573329577827</v>
      </c>
      <c r="T20" s="314" cm="1">
        <f t="array" ref="T20">_xlfn.STDEV.S(IF(('3.1. Gas prod VF'!$L$13:$L$1230=$F20) *('3.1. Gas prod VF'!$M$13:$M$1230=$E20),'3.1. Gas prod VF'!$AM$13:$AM$1230))</f>
        <v>25.914710654978254</v>
      </c>
      <c r="U20" s="314" cm="1">
        <f t="array" ref="U20">_xlfn.STDEV.S(IF(('3.1. Gas prod VF'!$L$13:$L$1230=$F20) *('3.1. Gas prod VF'!$M$13:$M$1230=$E20),'3.1. Gas prod VF'!$AN$13:$AN$1230))</f>
        <v>7.8126528086997524</v>
      </c>
      <c r="V20" s="314" cm="1">
        <f t="array" ref="V20">_xlfn.STDEV.S(IF(('3.1. Gas prod VF'!$L$13:$L$1230=$F20) *('3.1. Gas prod VF'!$M$13:$M$1230=$E20),'3.1. Gas prod VF'!$AO$13:$AO$1230))</f>
        <v>1.1072838457016123</v>
      </c>
      <c r="W20" s="314" cm="1">
        <f t="array" ref="W20">_xlfn.STDEV.S(IF(('3.1. Gas prod VF'!$L$13:$L$1230=$F20) *('3.1. Gas prod VF'!$M$13:$M$1230=$E20),'3.1. Gas prod VF'!$AP$13:$AP$1230))</f>
        <v>4.8921949499760808</v>
      </c>
      <c r="X20" s="314" cm="1">
        <f t="array" ref="X20">_xlfn.STDEV.S(IF(('3.1. Gas prod VF'!$L$13:$L$1230=$F20) *('3.1. Gas prod VF'!$M$13:$M$1230=$E20),'3.1. Gas prod VF'!$AQ$13:$AQ$1230))</f>
        <v>5.374202755983581</v>
      </c>
      <c r="Y20" s="314" cm="1">
        <f t="array" ref="Y20">_xlfn.STDEV.S(IF(('3.1. Gas prod VF'!$L$13:$L$1230=$F20) *('3.1. Gas prod VF'!$M$13:$M$1230=$E20),'3.1. Gas prod VF'!$AR$13:$AR$1230))</f>
        <v>3.918554307053395</v>
      </c>
      <c r="Z20" s="314" cm="1">
        <f t="array" ref="Z20">_xlfn.STDEV.S(IF(('3.1. Gas prod VF'!$L$13:$L$1230=$F20) *('3.1. Gas prod VF'!$M$13:$M$1230=$E20),'3.1. Gas prod VF'!$AS$13:$AS$1230))</f>
        <v>26.982173497700767</v>
      </c>
      <c r="AA20" s="314" cm="1">
        <f t="array" ref="AA20">_xlfn.STDEV.S(IF(('3.1. Gas prod VF'!$L$13:$L$1230=$F20) *('3.1. Gas prod VF'!$M$13:$M$1230=$E20),'3.1. Gas prod VF'!$AT$13:$AT$1230))</f>
        <v>6.7447995679373415E-2</v>
      </c>
      <c r="AB20" s="314" cm="1">
        <f t="array" ref="AB20">_xlfn.STDEV.S(IF(('3.1. Gas prod VF'!$L$13:$L$1230=$F20) *('3.1. Gas prod VF'!$M$13:$M$1230=$E20),'3.1. Gas prod VF'!$AU$13:$AU$1230))</f>
        <v>2.1748654354718493</v>
      </c>
      <c r="AC20" s="314" cm="1">
        <f t="array" ref="AC20">_xlfn.STDEV.S(IF(('3.1. Gas prod VF'!$L$13:$L$1230=$F20) *('3.1. Gas prod VF'!$M$13:$M$1230=$E20),'3.1. Gas prod VF'!$AU$13:$AV$1230))</f>
        <v>15.745302631827151</v>
      </c>
      <c r="AD20" s="20"/>
      <c r="AE20" s="20"/>
    </row>
    <row r="21" spans="2:31" x14ac:dyDescent="0.35">
      <c r="B21" s="62">
        <f>'1. Information samples'!B21</f>
        <v>11</v>
      </c>
      <c r="C21" s="198">
        <f>'1. Information samples'!C21</f>
        <v>46041</v>
      </c>
      <c r="D21" s="62" t="str">
        <f>'1. Information samples'!D21</f>
        <v>Genbank</v>
      </c>
      <c r="E21" s="316">
        <f>'1. Information samples'!E21</f>
        <v>27</v>
      </c>
      <c r="F21" s="62" t="str">
        <f>'1. Information samples'!F21</f>
        <v>F251738</v>
      </c>
      <c r="G21" s="62" t="str">
        <f>'1. Information samples'!G21</f>
        <v>CIAT-23413</v>
      </c>
      <c r="H21" s="62" t="str">
        <f>'1. Information samples'!H21</f>
        <v>Dendrolobium</v>
      </c>
      <c r="I21" s="62" t="str">
        <f>'1. Information samples'!I21</f>
        <v>triangulare</v>
      </c>
      <c r="J21" s="62" t="str">
        <f>'1. Information samples'!J21</f>
        <v>Dendrolobium triangulare</v>
      </c>
      <c r="K21" s="62" t="str">
        <f>'1. Information samples'!K21</f>
        <v>Fabaceae</v>
      </c>
      <c r="L21" s="62" t="str">
        <f>'1. Information samples'!L21</f>
        <v>Fabales</v>
      </c>
      <c r="M21" s="62" t="str">
        <f>'1. Information samples'!M21</f>
        <v>Tree</v>
      </c>
      <c r="N21" s="314" cm="1">
        <f t="array" ref="N21">_xlfn.STDEV.S(IF(('3.1. Gas prod VF'!$L$13:$L$1230=$F21) *('3.1. Gas prod VF'!$M$13:$M$1230=$E21),'3.1. Gas prod VF'!$AG$13:$AG$1230))</f>
        <v>1.5896064623225161</v>
      </c>
      <c r="O21" s="314" cm="1">
        <f t="array" ref="O21">_xlfn.STDEV.S(IF(('3.1. Gas prod VF'!$L$13:$L$1230=$F21) *('3.1. Gas prod VF'!$M$13:$M$1230=$E21),'3.1. Gas prod VF'!$AH$13:$AH$1230))</f>
        <v>1.3469242793104568</v>
      </c>
      <c r="P21" s="314" cm="1">
        <f t="array" ref="P21">_xlfn.STDEV.S(IF(('3.1. Gas prod VF'!$L$13:$L$1230=$F21) *('3.1. Gas prod VF'!$M$13:$M$1230=$E21),'3.1. Gas prod VF'!$AI$13:$AI$1230))</f>
        <v>2.1609756470697024</v>
      </c>
      <c r="Q21" s="314" cm="1">
        <f t="array" ref="Q21">_xlfn.STDEV.S(IF(('3.1. Gas prod VF'!$L$13:$L$1230=$F21) *('3.1. Gas prod VF'!$M$13:$M$1230=$E21),'3.1. Gas prod VF'!$AJ$13:$AJ$1230))</f>
        <v>0.12157232940461347</v>
      </c>
      <c r="R21" s="314" cm="1">
        <f t="array" ref="R21">_xlfn.STDEV.S(IF(('3.1. Gas prod VF'!$L$13:$L$1230=$F21) *('3.1. Gas prod VF'!$M$13:$M$1230=$E21),'3.1. Gas prod VF'!$AK$13:$AK$1230))</f>
        <v>0.23822881040096611</v>
      </c>
      <c r="S21" s="314" cm="1">
        <f t="array" ref="S21">_xlfn.STDEV.S(IF(('3.1. Gas prod VF'!$L$13:$L$1230=$F21) *('3.1. Gas prod VF'!$M$13:$M$1230=$E21),'3.1. Gas prod VF'!$AL$13:$AL$1230))</f>
        <v>0.20837868207274363</v>
      </c>
      <c r="T21" s="314" cm="1">
        <f t="array" ref="T21">_xlfn.STDEV.S(IF(('3.1. Gas prod VF'!$L$13:$L$1230=$F21) *('3.1. Gas prod VF'!$M$13:$M$1230=$E21),'3.1. Gas prod VF'!$AM$13:$AM$1230))</f>
        <v>4.625357959634564</v>
      </c>
      <c r="U21" s="314" cm="1">
        <f t="array" ref="U21">_xlfn.STDEV.S(IF(('3.1. Gas prod VF'!$L$13:$L$1230=$F21) *('3.1. Gas prod VF'!$M$13:$M$1230=$E21),'3.1. Gas prod VF'!$AN$13:$AN$1230))</f>
        <v>4.3639564525358727</v>
      </c>
      <c r="V21" s="314" cm="1">
        <f t="array" ref="V21">_xlfn.STDEV.S(IF(('3.1. Gas prod VF'!$L$13:$L$1230=$F21) *('3.1. Gas prod VF'!$M$13:$M$1230=$E21),'3.1. Gas prod VF'!$AO$13:$AO$1230))</f>
        <v>0.58373625262696327</v>
      </c>
      <c r="W21" s="314" cm="1">
        <f t="array" ref="W21">_xlfn.STDEV.S(IF(('3.1. Gas prod VF'!$L$13:$L$1230=$F21) *('3.1. Gas prod VF'!$M$13:$M$1230=$E21),'3.1. Gas prod VF'!$AP$13:$AP$1230))</f>
        <v>1.1297913840300651</v>
      </c>
      <c r="X21" s="314" cm="1">
        <f t="array" ref="X21">_xlfn.STDEV.S(IF(('3.1. Gas prod VF'!$L$13:$L$1230=$F21) *('3.1. Gas prod VF'!$M$13:$M$1230=$E21),'3.1. Gas prod VF'!$AQ$13:$AQ$1230))</f>
        <v>0.98999918270005571</v>
      </c>
      <c r="Y21" s="314" cm="1">
        <f t="array" ref="Y21">_xlfn.STDEV.S(IF(('3.1. Gas prod VF'!$L$13:$L$1230=$F21) *('3.1. Gas prod VF'!$M$13:$M$1230=$E21),'3.1. Gas prod VF'!$AR$13:$AR$1230))</f>
        <v>0.44481180371923107</v>
      </c>
      <c r="Z21" s="314" cm="1">
        <f t="array" ref="Z21">_xlfn.STDEV.S(IF(('3.1. Gas prod VF'!$L$13:$L$1230=$F21) *('3.1. Gas prod VF'!$M$13:$M$1230=$E21),'3.1. Gas prod VF'!$AS$13:$AS$1230))</f>
        <v>16.933198056960652</v>
      </c>
      <c r="AA21" s="314" cm="1">
        <f t="array" ref="AA21">_xlfn.STDEV.S(IF(('3.1. Gas prod VF'!$L$13:$L$1230=$F21) *('3.1. Gas prod VF'!$M$13:$M$1230=$E21),'3.1. Gas prod VF'!$AT$13:$AT$1230))</f>
        <v>4.593784122985576E-2</v>
      </c>
      <c r="AB21" s="314" cm="1">
        <f t="array" ref="AB21">_xlfn.STDEV.S(IF(('3.1. Gas prod VF'!$L$13:$L$1230=$F21) *('3.1. Gas prod VF'!$M$13:$M$1230=$E21),'3.1. Gas prod VF'!$AU$13:$AU$1230))</f>
        <v>0.24687824677012002</v>
      </c>
      <c r="AC21" s="314" cm="1">
        <f t="array" ref="AC21">_xlfn.STDEV.S(IF(('3.1. Gas prod VF'!$L$13:$L$1230=$F21) *('3.1. Gas prod VF'!$M$13:$M$1230=$E21),'3.1. Gas prod VF'!$AU$13:$AV$1230))</f>
        <v>15.469450444399031</v>
      </c>
      <c r="AD21" s="20"/>
      <c r="AE21" s="20"/>
    </row>
    <row r="22" spans="2:31" x14ac:dyDescent="0.35">
      <c r="B22" s="62">
        <f>'1. Information samples'!B22</f>
        <v>12</v>
      </c>
      <c r="C22" s="198">
        <f>'1. Information samples'!C22</f>
        <v>46041</v>
      </c>
      <c r="D22" s="62" t="str">
        <f>'1. Information samples'!D22</f>
        <v>Genbank</v>
      </c>
      <c r="E22" s="316">
        <f>'1. Information samples'!E22</f>
        <v>27</v>
      </c>
      <c r="F22" s="62" t="str">
        <f>'1. Information samples'!F22</f>
        <v>F251739</v>
      </c>
      <c r="G22" s="62" t="str">
        <f>'1. Information samples'!G22</f>
        <v>CIAT-23419</v>
      </c>
      <c r="H22" s="62" t="str">
        <f>'1. Information samples'!H22</f>
        <v>Dendrolobium</v>
      </c>
      <c r="I22" s="62" t="str">
        <f>'1. Information samples'!I22</f>
        <v>triangulare</v>
      </c>
      <c r="J22" s="62" t="str">
        <f>'1. Information samples'!J22</f>
        <v>Dendrolobium triangulare</v>
      </c>
      <c r="K22" s="62" t="str">
        <f>'1. Information samples'!K22</f>
        <v>Fabaceae</v>
      </c>
      <c r="L22" s="62" t="str">
        <f>'1. Information samples'!L22</f>
        <v>Fabales</v>
      </c>
      <c r="M22" s="62" t="str">
        <f>'1. Information samples'!M22</f>
        <v>Tree</v>
      </c>
      <c r="N22" s="314" cm="1">
        <f t="array" ref="N22">_xlfn.STDEV.S(IF(('3.1. Gas prod VF'!$L$13:$L$1230=$F22) *('3.1. Gas prod VF'!$M$13:$M$1230=$E22),'3.1. Gas prod VF'!$AG$13:$AG$1230))</f>
        <v>1.313629699329107</v>
      </c>
      <c r="O22" s="314" cm="1">
        <f t="array" ref="O22">_xlfn.STDEV.S(IF(('3.1. Gas prod VF'!$L$13:$L$1230=$F22) *('3.1. Gas prod VF'!$M$13:$M$1230=$E22),'3.1. Gas prod VF'!$AH$13:$AH$1230))</f>
        <v>0.64524450544616341</v>
      </c>
      <c r="P22" s="314" cm="1">
        <f t="array" ref="P22">_xlfn.STDEV.S(IF(('3.1. Gas prod VF'!$L$13:$L$1230=$F22) *('3.1. Gas prod VF'!$M$13:$M$1230=$E22),'3.1. Gas prod VF'!$AI$13:$AI$1230))</f>
        <v>1.6177200558750002</v>
      </c>
      <c r="Q22" s="314" cm="1">
        <f t="array" ref="Q22">_xlfn.STDEV.S(IF(('3.1. Gas prod VF'!$L$13:$L$1230=$F22) *('3.1. Gas prod VF'!$M$13:$M$1230=$E22),'3.1. Gas prod VF'!$AJ$13:$AJ$1230))</f>
        <v>0.11484881669155202</v>
      </c>
      <c r="R22" s="314" cm="1">
        <f t="array" ref="R22">_xlfn.STDEV.S(IF(('3.1. Gas prod VF'!$L$13:$L$1230=$F22) *('3.1. Gas prod VF'!$M$13:$M$1230=$E22),'3.1. Gas prod VF'!$AK$13:$AK$1230))</f>
        <v>0.18570296287011287</v>
      </c>
      <c r="S22" s="314" cm="1">
        <f t="array" ref="S22">_xlfn.STDEV.S(IF(('3.1. Gas prod VF'!$L$13:$L$1230=$F22) *('3.1. Gas prod VF'!$M$13:$M$1230=$E22),'3.1. Gas prod VF'!$AL$13:$AL$1230))</f>
        <v>0.2854186528332695</v>
      </c>
      <c r="T22" s="314" cm="1">
        <f t="array" ref="T22">_xlfn.STDEV.S(IF(('3.1. Gas prod VF'!$L$13:$L$1230=$F22) *('3.1. Gas prod VF'!$M$13:$M$1230=$E22),'3.1. Gas prod VF'!$AM$13:$AM$1230))</f>
        <v>3.428157341942947</v>
      </c>
      <c r="U22" s="314" cm="1">
        <f t="array" ref="U22">_xlfn.STDEV.S(IF(('3.1. Gas prod VF'!$L$13:$L$1230=$F22) *('3.1. Gas prod VF'!$M$13:$M$1230=$E22),'3.1. Gas prod VF'!$AN$13:$AN$1230))</f>
        <v>4.3606853575089444</v>
      </c>
      <c r="V22" s="314" cm="1">
        <f t="array" ref="V22">_xlfn.STDEV.S(IF(('3.1. Gas prod VF'!$L$13:$L$1230=$F22) *('3.1. Gas prod VF'!$M$13:$M$1230=$E22),'3.1. Gas prod VF'!$AO$13:$AO$1230))</f>
        <v>0.58245606480873413</v>
      </c>
      <c r="W22" s="314" cm="1">
        <f t="array" ref="W22">_xlfn.STDEV.S(IF(('3.1. Gas prod VF'!$L$13:$L$1230=$F22) *('3.1. Gas prod VF'!$M$13:$M$1230=$E22),'3.1. Gas prod VF'!$AP$13:$AP$1230))</f>
        <v>0.97238660741791094</v>
      </c>
      <c r="X22" s="314" cm="1">
        <f t="array" ref="X22">_xlfn.STDEV.S(IF(('3.1. Gas prod VF'!$L$13:$L$1230=$F22) *('3.1. Gas prod VF'!$M$13:$M$1230=$E22),'3.1. Gas prod VF'!$AQ$13:$AQ$1230))</f>
        <v>0.88406533868348136</v>
      </c>
      <c r="Y22" s="314" cm="1">
        <f t="array" ref="Y22">_xlfn.STDEV.S(IF(('3.1. Gas prod VF'!$L$13:$L$1230=$F22) *('3.1. Gas prod VF'!$M$13:$M$1230=$E22),'3.1. Gas prod VF'!$AR$13:$AR$1230))</f>
        <v>0.60839474669658233</v>
      </c>
      <c r="Z22" s="314" cm="1">
        <f t="array" ref="Z22">_xlfn.STDEV.S(IF(('3.1. Gas prod VF'!$L$13:$L$1230=$F22) *('3.1. Gas prod VF'!$M$13:$M$1230=$E22),'3.1. Gas prod VF'!$AS$13:$AS$1230))</f>
        <v>23.685531526714257</v>
      </c>
      <c r="AA22" s="314" cm="1">
        <f t="array" ref="AA22">_xlfn.STDEV.S(IF(('3.1. Gas prod VF'!$L$13:$L$1230=$F22) *('3.1. Gas prod VF'!$M$13:$M$1230=$E22),'3.1. Gas prod VF'!$AT$13:$AT$1230))</f>
        <v>3.389496607909008E-2</v>
      </c>
      <c r="AB22" s="314" cm="1">
        <f t="array" ref="AB22">_xlfn.STDEV.S(IF(('3.1. Gas prod VF'!$L$13:$L$1230=$F22) *('3.1. Gas prod VF'!$M$13:$M$1230=$E22),'3.1. Gas prod VF'!$AU$13:$AU$1230))</f>
        <v>0.33766961027727255</v>
      </c>
      <c r="AC22" s="314" cm="1">
        <f t="array" ref="AC22">_xlfn.STDEV.S(IF(('3.1. Gas prod VF'!$L$13:$L$1230=$F22) *('3.1. Gas prod VF'!$M$13:$M$1230=$E22),'3.1. Gas prod VF'!$AU$13:$AV$1230))</f>
        <v>21.267244463487629</v>
      </c>
      <c r="AD22" s="20"/>
      <c r="AE22" s="20"/>
    </row>
    <row r="23" spans="2:31" x14ac:dyDescent="0.35">
      <c r="B23" s="62">
        <f>'1. Information samples'!B23</f>
        <v>13</v>
      </c>
      <c r="C23" s="198">
        <f>'1. Information samples'!C23</f>
        <v>46041</v>
      </c>
      <c r="D23" s="62" t="str">
        <f>'1. Information samples'!D23</f>
        <v>Genbank</v>
      </c>
      <c r="E23" s="316">
        <f>'1. Information samples'!E23</f>
        <v>27</v>
      </c>
      <c r="F23" s="62" t="str">
        <f>'1. Information samples'!F23</f>
        <v>F251740</v>
      </c>
      <c r="G23" s="62" t="str">
        <f>'1. Information samples'!G23</f>
        <v>CIAT-23422</v>
      </c>
      <c r="H23" s="62" t="str">
        <f>'1. Information samples'!H23</f>
        <v>Dendrolobium</v>
      </c>
      <c r="I23" s="62" t="str">
        <f>'1. Information samples'!I23</f>
        <v>triangulare</v>
      </c>
      <c r="J23" s="62" t="str">
        <f>'1. Information samples'!J23</f>
        <v>Dendrolobium triangulare</v>
      </c>
      <c r="K23" s="62" t="str">
        <f>'1. Information samples'!K23</f>
        <v>Fabaceae</v>
      </c>
      <c r="L23" s="62" t="str">
        <f>'1. Information samples'!L23</f>
        <v>Fabales</v>
      </c>
      <c r="M23" s="62" t="str">
        <f>'1. Information samples'!M23</f>
        <v>Tree</v>
      </c>
      <c r="N23" s="314" cm="1">
        <f t="array" ref="N23">_xlfn.STDEV.S(IF(('3.1. Gas prod VF'!$L$13:$L$1230=$F23) *('3.1. Gas prod VF'!$M$13:$M$1230=$E23),'3.1. Gas prod VF'!$AG$13:$AG$1230))</f>
        <v>9.2848150381304109</v>
      </c>
      <c r="O23" s="314" cm="1">
        <f t="array" ref="O23">_xlfn.STDEV.S(IF(('3.1. Gas prod VF'!$L$13:$L$1230=$F23) *('3.1. Gas prod VF'!$M$13:$M$1230=$E23),'3.1. Gas prod VF'!$AH$13:$AH$1230))</f>
        <v>8.1483089262011195</v>
      </c>
      <c r="P23" s="314" cm="1">
        <f t="array" ref="P23">_xlfn.STDEV.S(IF(('3.1. Gas prod VF'!$L$13:$L$1230=$F23) *('3.1. Gas prod VF'!$M$13:$M$1230=$E23),'3.1. Gas prod VF'!$AI$13:$AI$1230))</f>
        <v>17.378356661788491</v>
      </c>
      <c r="Q23" s="314" cm="1">
        <f t="array" ref="Q23">_xlfn.STDEV.S(IF(('3.1. Gas prod VF'!$L$13:$L$1230=$F23) *('3.1. Gas prod VF'!$M$13:$M$1230=$E23),'3.1. Gas prod VF'!$AJ$13:$AJ$1230))</f>
        <v>1.3802650198994419</v>
      </c>
      <c r="R23" s="314" cm="1">
        <f t="array" ref="R23">_xlfn.STDEV.S(IF(('3.1. Gas prod VF'!$L$13:$L$1230=$F23) *('3.1. Gas prod VF'!$M$13:$M$1230=$E23),'3.1. Gas prod VF'!$AK$13:$AK$1230))</f>
        <v>1.4763161288660878</v>
      </c>
      <c r="S23" s="314" cm="1">
        <f t="array" ref="S23">_xlfn.STDEV.S(IF(('3.1. Gas prod VF'!$L$13:$L$1230=$F23) *('3.1. Gas prod VF'!$M$13:$M$1230=$E23),'3.1. Gas prod VF'!$AL$13:$AL$1230))</f>
        <v>2.8538377066858449</v>
      </c>
      <c r="T23" s="314" cm="1">
        <f t="array" ref="T23">_xlfn.STDEV.S(IF(('3.1. Gas prod VF'!$L$13:$L$1230=$F23) *('3.1. Gas prod VF'!$M$13:$M$1230=$E23),'3.1. Gas prod VF'!$AM$13:$AM$1230))</f>
        <v>37.820763612854741</v>
      </c>
      <c r="U23" s="314" cm="1">
        <f t="array" ref="U23">_xlfn.STDEV.S(IF(('3.1. Gas prod VF'!$L$13:$L$1230=$F23) *('3.1. Gas prod VF'!$M$13:$M$1230=$E23),'3.1. Gas prod VF'!$AN$13:$AN$1230))</f>
        <v>9.4262895152223791</v>
      </c>
      <c r="V23" s="314" cm="1">
        <f t="array" ref="V23">_xlfn.STDEV.S(IF(('3.1. Gas prod VF'!$L$13:$L$1230=$F23) *('3.1. Gas prod VF'!$M$13:$M$1230=$E23),'3.1. Gas prod VF'!$AO$13:$AO$1230))</f>
        <v>2.0047297527076213</v>
      </c>
      <c r="W23" s="314" cm="1">
        <f t="array" ref="W23">_xlfn.STDEV.S(IF(('3.1. Gas prod VF'!$L$13:$L$1230=$F23) *('3.1. Gas prod VF'!$M$13:$M$1230=$E23),'3.1. Gas prod VF'!$AP$13:$AP$1230))</f>
        <v>5.2268537381487885</v>
      </c>
      <c r="X23" s="314" cm="1">
        <f t="array" ref="X23">_xlfn.STDEV.S(IF(('3.1. Gas prod VF'!$L$13:$L$1230=$F23) *('3.1. Gas prod VF'!$M$13:$M$1230=$E23),'3.1. Gas prod VF'!$AQ$13:$AQ$1230))</f>
        <v>5.7505488836847762</v>
      </c>
      <c r="Y23" s="314" cm="1">
        <f t="array" ref="Y23">_xlfn.STDEV.S(IF(('3.1. Gas prod VF'!$L$13:$L$1230=$F23) *('3.1. Gas prod VF'!$M$13:$M$1230=$E23),'3.1. Gas prod VF'!$AR$13:$AR$1230))</f>
        <v>6.2109903219954692</v>
      </c>
      <c r="Z23" s="314" cm="1">
        <f t="array" ref="Z23">_xlfn.STDEV.S(IF(('3.1. Gas prod VF'!$L$13:$L$1230=$F23) *('3.1. Gas prod VF'!$M$13:$M$1230=$E23),'3.1. Gas prod VF'!$AS$13:$AS$1230))</f>
        <v>36.066047872872261</v>
      </c>
      <c r="AA23" s="314" cm="1">
        <f t="array" ref="AA23">_xlfn.STDEV.S(IF(('3.1. Gas prod VF'!$L$13:$L$1230=$F23) *('3.1. Gas prod VF'!$M$13:$M$1230=$E23),'3.1. Gas prod VF'!$AT$13:$AT$1230))</f>
        <v>0.13989039571440248</v>
      </c>
      <c r="AB23" s="314" cm="1">
        <f t="array" ref="AB23">_xlfn.STDEV.S(IF(('3.1. Gas prod VF'!$L$13:$L$1230=$F23) *('3.1. Gas prod VF'!$M$13:$M$1230=$E23),'3.1. Gas prod VF'!$AU$13:$AU$1230))</f>
        <v>3.4472070852874515</v>
      </c>
      <c r="AC23" s="314" cm="1">
        <f t="array" ref="AC23">_xlfn.STDEV.S(IF(('3.1. Gas prod VF'!$L$13:$L$1230=$F23) *('3.1. Gas prod VF'!$M$13:$M$1230=$E23),'3.1. Gas prod VF'!$AU$13:$AV$1230))</f>
        <v>19.604471413089776</v>
      </c>
      <c r="AD23" s="20"/>
      <c r="AE23" s="20"/>
    </row>
    <row r="24" spans="2:31" x14ac:dyDescent="0.35">
      <c r="B24" s="62">
        <f>'1. Information samples'!B24</f>
        <v>14</v>
      </c>
      <c r="C24" s="198">
        <f>'1. Information samples'!C24</f>
        <v>46041</v>
      </c>
      <c r="D24" s="62" t="str">
        <f>'1. Information samples'!D24</f>
        <v>Genbank</v>
      </c>
      <c r="E24" s="316">
        <f>'1. Information samples'!E24</f>
        <v>27</v>
      </c>
      <c r="F24" s="62" t="str">
        <f>'1. Information samples'!F24</f>
        <v>F251741</v>
      </c>
      <c r="G24" s="62" t="str">
        <f>'1. Information samples'!G24</f>
        <v>CIAT-23734</v>
      </c>
      <c r="H24" s="62" t="str">
        <f>'1. Information samples'!H24</f>
        <v>Dendrolobium</v>
      </c>
      <c r="I24" s="62" t="str">
        <f>'1. Information samples'!I24</f>
        <v>triangulare</v>
      </c>
      <c r="J24" s="62" t="str">
        <f>'1. Information samples'!J24</f>
        <v>Dendrolobium triangulare</v>
      </c>
      <c r="K24" s="62" t="str">
        <f>'1. Information samples'!K24</f>
        <v>Fabaceae</v>
      </c>
      <c r="L24" s="62" t="str">
        <f>'1. Information samples'!L24</f>
        <v>Fabales</v>
      </c>
      <c r="M24" s="62" t="str">
        <f>'1. Information samples'!M24</f>
        <v>Tree</v>
      </c>
      <c r="N24" s="314" cm="1">
        <f t="array" ref="N24">_xlfn.STDEV.S(IF(('3.1. Gas prod VF'!$L$13:$L$1230=$F24) *('3.1. Gas prod VF'!$M$13:$M$1230=$E24),'3.1. Gas prod VF'!$AG$13:$AG$1230))</f>
        <v>0.98755166287993312</v>
      </c>
      <c r="O24" s="314" cm="1">
        <f t="array" ref="O24">_xlfn.STDEV.S(IF(('3.1. Gas prod VF'!$L$13:$L$1230=$F24) *('3.1. Gas prod VF'!$M$13:$M$1230=$E24),'3.1. Gas prod VF'!$AH$13:$AH$1230))</f>
        <v>0.70123578110206175</v>
      </c>
      <c r="P24" s="314" cm="1">
        <f t="array" ref="P24">_xlfn.STDEV.S(IF(('3.1. Gas prod VF'!$L$13:$L$1230=$F24) *('3.1. Gas prod VF'!$M$13:$M$1230=$E24),'3.1. Gas prod VF'!$AI$13:$AI$1230))</f>
        <v>1.3673123336682389</v>
      </c>
      <c r="Q24" s="314" cm="1">
        <f t="array" ref="Q24">_xlfn.STDEV.S(IF(('3.1. Gas prod VF'!$L$13:$L$1230=$F24) *('3.1. Gas prod VF'!$M$13:$M$1230=$E24),'3.1. Gas prod VF'!$AJ$13:$AJ$1230))</f>
        <v>0.13072381759975404</v>
      </c>
      <c r="R24" s="314" cm="1">
        <f t="array" ref="R24">_xlfn.STDEV.S(IF(('3.1. Gas prod VF'!$L$13:$L$1230=$F24) *('3.1. Gas prod VF'!$M$13:$M$1230=$E24),'3.1. Gas prod VF'!$AK$13:$AK$1230))</f>
        <v>0.13589895821106762</v>
      </c>
      <c r="S24" s="314" cm="1">
        <f t="array" ref="S24">_xlfn.STDEV.S(IF(('3.1. Gas prod VF'!$L$13:$L$1230=$F24) *('3.1. Gas prod VF'!$M$13:$M$1230=$E24),'3.1. Gas prod VF'!$AL$13:$AL$1230))</f>
        <v>0.25555337539553052</v>
      </c>
      <c r="T24" s="314" cm="1">
        <f t="array" ref="T24">_xlfn.STDEV.S(IF(('3.1. Gas prod VF'!$L$13:$L$1230=$F24) *('3.1. Gas prod VF'!$M$13:$M$1230=$E24),'3.1. Gas prod VF'!$AM$13:$AM$1230))</f>
        <v>2.8886894584109299</v>
      </c>
      <c r="U24" s="314" cm="1">
        <f t="array" ref="U24">_xlfn.STDEV.S(IF(('3.1. Gas prod VF'!$L$13:$L$1230=$F24) *('3.1. Gas prod VF'!$M$13:$M$1230=$E24),'3.1. Gas prod VF'!$AN$13:$AN$1230))</f>
        <v>8.8524234484774826</v>
      </c>
      <c r="V24" s="314" cm="1">
        <f t="array" ref="V24">_xlfn.STDEV.S(IF(('3.1. Gas prod VF'!$L$13:$L$1230=$F24) *('3.1. Gas prod VF'!$M$13:$M$1230=$E24),'3.1. Gas prod VF'!$AO$13:$AO$1230))</f>
        <v>0.8917683257012099</v>
      </c>
      <c r="W24" s="314" cm="1">
        <f t="array" ref="W24">_xlfn.STDEV.S(IF(('3.1. Gas prod VF'!$L$13:$L$1230=$F24) *('3.1. Gas prod VF'!$M$13:$M$1230=$E24),'3.1. Gas prod VF'!$AP$13:$AP$1230))</f>
        <v>0.62735271464418563</v>
      </c>
      <c r="X24" s="314" cm="1">
        <f t="array" ref="X24">_xlfn.STDEV.S(IF(('3.1. Gas prod VF'!$L$13:$L$1230=$F24) *('3.1. Gas prod VF'!$M$13:$M$1230=$E24),'3.1. Gas prod VF'!$AQ$13:$AQ$1230))</f>
        <v>0.43428424628879919</v>
      </c>
      <c r="Y24" s="314" cm="1">
        <f t="array" ref="Y24">_xlfn.STDEV.S(IF(('3.1. Gas prod VF'!$L$13:$L$1230=$F24) *('3.1. Gas prod VF'!$M$13:$M$1230=$E24),'3.1. Gas prod VF'!$AR$13:$AR$1230))</f>
        <v>0.54020924778804746</v>
      </c>
      <c r="Z24" s="314" cm="1">
        <f t="array" ref="Z24">_xlfn.STDEV.S(IF(('3.1. Gas prod VF'!$L$13:$L$1230=$F24) *('3.1. Gas prod VF'!$M$13:$M$1230=$E24),'3.1. Gas prod VF'!$AS$13:$AS$1230))</f>
        <v>17.635919846516135</v>
      </c>
      <c r="AA24" s="314" cm="1">
        <f t="array" ref="AA24">_xlfn.STDEV.S(IF(('3.1. Gas prod VF'!$L$13:$L$1230=$F24) *('3.1. Gas prod VF'!$M$13:$M$1230=$E24),'3.1. Gas prod VF'!$AT$13:$AT$1230))</f>
        <v>0.9961819639775511</v>
      </c>
      <c r="AB24" s="314" cm="1">
        <f t="array" ref="AB24">_xlfn.STDEV.S(IF(('3.1. Gas prod VF'!$L$13:$L$1230=$F24) *('3.1. Gas prod VF'!$M$13:$M$1230=$E24),'3.1. Gas prod VF'!$AU$13:$AU$1230))</f>
        <v>0.2998254787031242</v>
      </c>
      <c r="AC24" s="314" cm="1">
        <f t="array" ref="AC24">_xlfn.STDEV.S(IF(('3.1. Gas prod VF'!$L$13:$L$1230=$F24) *('3.1. Gas prod VF'!$M$13:$M$1230=$E24),'3.1. Gas prod VF'!$AU$13:$AV$1230))</f>
        <v>14.15308315581167</v>
      </c>
      <c r="AD24" s="20"/>
      <c r="AE24" s="20"/>
    </row>
    <row r="25" spans="2:31" x14ac:dyDescent="0.35">
      <c r="B25" s="62">
        <f>'1. Information samples'!B25</f>
        <v>15</v>
      </c>
      <c r="C25" s="198">
        <f>'1. Information samples'!C25</f>
        <v>46041</v>
      </c>
      <c r="D25" s="62" t="str">
        <f>'1. Information samples'!D25</f>
        <v>Genbank</v>
      </c>
      <c r="E25" s="316">
        <f>'1. Information samples'!E25</f>
        <v>27</v>
      </c>
      <c r="F25" s="62" t="str">
        <f>'1. Information samples'!F25</f>
        <v>F251742</v>
      </c>
      <c r="G25" s="62" t="str">
        <f>'1. Information samples'!G25</f>
        <v>CIAT-23932</v>
      </c>
      <c r="H25" s="62" t="str">
        <f>'1. Information samples'!H25</f>
        <v>Dendrolobium</v>
      </c>
      <c r="I25" s="62" t="str">
        <f>'1. Information samples'!I25</f>
        <v>triangulare</v>
      </c>
      <c r="J25" s="62" t="str">
        <f>'1. Information samples'!J25</f>
        <v>Dendrolobium triangulare</v>
      </c>
      <c r="K25" s="62" t="str">
        <f>'1. Information samples'!K25</f>
        <v>Fabaceae</v>
      </c>
      <c r="L25" s="62" t="str">
        <f>'1. Information samples'!L25</f>
        <v>Fabales</v>
      </c>
      <c r="M25" s="62" t="str">
        <f>'1. Information samples'!M25</f>
        <v>Tree</v>
      </c>
      <c r="N25" s="314" cm="1">
        <f t="array" ref="N25">_xlfn.STDEV.S(IF(('3.1. Gas prod VF'!$L$13:$L$1230=$F25) *('3.1. Gas prod VF'!$M$13:$M$1230=$E25),'3.1. Gas prod VF'!$AG$13:$AG$1230))</f>
        <v>2.0132207884214619</v>
      </c>
      <c r="O25" s="314" cm="1">
        <f t="array" ref="O25">_xlfn.STDEV.S(IF(('3.1. Gas prod VF'!$L$13:$L$1230=$F25) *('3.1. Gas prod VF'!$M$13:$M$1230=$E25),'3.1. Gas prod VF'!$AH$13:$AH$1230))</f>
        <v>1.1370133462295218</v>
      </c>
      <c r="P25" s="314" cm="1">
        <f t="array" ref="P25">_xlfn.STDEV.S(IF(('3.1. Gas prod VF'!$L$13:$L$1230=$F25) *('3.1. Gas prod VF'!$M$13:$M$1230=$E25),'3.1. Gas prod VF'!$AI$13:$AI$1230))</f>
        <v>2.7307093272349925</v>
      </c>
      <c r="Q25" s="314" cm="1">
        <f t="array" ref="Q25">_xlfn.STDEV.S(IF(('3.1. Gas prod VF'!$L$13:$L$1230=$F25) *('3.1. Gas prod VF'!$M$13:$M$1230=$E25),'3.1. Gas prod VF'!$AJ$13:$AJ$1230))</f>
        <v>0.23615146214493651</v>
      </c>
      <c r="R25" s="314" cm="1">
        <f t="array" ref="R25">_xlfn.STDEV.S(IF(('3.1. Gas prod VF'!$L$13:$L$1230=$F25) *('3.1. Gas prod VF'!$M$13:$M$1230=$E25),'3.1. Gas prod VF'!$AK$13:$AK$1230))</f>
        <v>0.20285564881181395</v>
      </c>
      <c r="S25" s="314" cm="1">
        <f t="array" ref="S25">_xlfn.STDEV.S(IF(('3.1. Gas prod VF'!$L$13:$L$1230=$F25) *('3.1. Gas prod VF'!$M$13:$M$1230=$E25),'3.1. Gas prod VF'!$AL$13:$AL$1230))</f>
        <v>0.42238500471856555</v>
      </c>
      <c r="T25" s="314" cm="1">
        <f t="array" ref="T25">_xlfn.STDEV.S(IF(('3.1. Gas prod VF'!$L$13:$L$1230=$F25) *('3.1. Gas prod VF'!$M$13:$M$1230=$E25),'3.1. Gas prod VF'!$AM$13:$AM$1230))</f>
        <v>5.7132622736016385</v>
      </c>
      <c r="U25" s="314" cm="1">
        <f t="array" ref="U25">_xlfn.STDEV.S(IF(('3.1. Gas prod VF'!$L$13:$L$1230=$F25) *('3.1. Gas prod VF'!$M$13:$M$1230=$E25),'3.1. Gas prod VF'!$AN$13:$AN$1230))</f>
        <v>5.6952279667424479</v>
      </c>
      <c r="V25" s="314" cm="1">
        <f t="array" ref="V25">_xlfn.STDEV.S(IF(('3.1. Gas prod VF'!$L$13:$L$1230=$F25) *('3.1. Gas prod VF'!$M$13:$M$1230=$E25),'3.1. Gas prod VF'!$AO$13:$AO$1230))</f>
        <v>0.67243542949547874</v>
      </c>
      <c r="W25" s="314" cm="1">
        <f t="array" ref="W25">_xlfn.STDEV.S(IF(('3.1. Gas prod VF'!$L$13:$L$1230=$F25) *('3.1. Gas prod VF'!$M$13:$M$1230=$E25),'3.1. Gas prod VF'!$AP$13:$AP$1230))</f>
        <v>1.0902162301907936</v>
      </c>
      <c r="X25" s="314" cm="1">
        <f t="array" ref="X25">_xlfn.STDEV.S(IF(('3.1. Gas prod VF'!$L$13:$L$1230=$F25) *('3.1. Gas prod VF'!$M$13:$M$1230=$E25),'3.1. Gas prod VF'!$AQ$13:$AQ$1230))</f>
        <v>0.76007439182079783</v>
      </c>
      <c r="Y25" s="314" cm="1">
        <f t="array" ref="Y25">_xlfn.STDEV.S(IF(('3.1. Gas prod VF'!$L$13:$L$1230=$F25) *('3.1. Gas prod VF'!$M$13:$M$1230=$E25),'3.1. Gas prod VF'!$AR$13:$AR$1230))</f>
        <v>0.88375400889473621</v>
      </c>
      <c r="Z25" s="314" cm="1">
        <f t="array" ref="Z25">_xlfn.STDEV.S(IF(('3.1. Gas prod VF'!$L$13:$L$1230=$F25) *('3.1. Gas prod VF'!$M$13:$M$1230=$E25),'3.1. Gas prod VF'!$AS$13:$AS$1230))</f>
        <v>17.583961581007685</v>
      </c>
      <c r="AA25" s="314" cm="1">
        <f t="array" ref="AA25">_xlfn.STDEV.S(IF(('3.1. Gas prod VF'!$L$13:$L$1230=$F25) *('3.1. Gas prod VF'!$M$13:$M$1230=$E25),'3.1. Gas prod VF'!$AT$13:$AT$1230))</f>
        <v>0.12280448140684562</v>
      </c>
      <c r="AB25" s="314" cm="1">
        <f t="array" ref="AB25">_xlfn.STDEV.S(IF(('3.1. Gas prod VF'!$L$13:$L$1230=$F25) *('3.1. Gas prod VF'!$M$13:$M$1230=$E25),'3.1. Gas prod VF'!$AU$13:$AU$1230))</f>
        <v>0.49049876479832499</v>
      </c>
      <c r="AC25" s="314" cm="1">
        <f t="array" ref="AC25">_xlfn.STDEV.S(IF(('3.1. Gas prod VF'!$L$13:$L$1230=$F25) *('3.1. Gas prod VF'!$M$13:$M$1230=$E25),'3.1. Gas prod VF'!$AU$13:$AV$1230))</f>
        <v>17.80529275001679</v>
      </c>
      <c r="AD25" s="20"/>
      <c r="AE25" s="20"/>
    </row>
    <row r="26" spans="2:31" x14ac:dyDescent="0.35">
      <c r="B26" s="62">
        <f>'1. Information samples'!B26</f>
        <v>16</v>
      </c>
      <c r="C26" s="198">
        <f>'1. Information samples'!C26</f>
        <v>46041</v>
      </c>
      <c r="D26" s="62" t="str">
        <f>'1. Information samples'!D26</f>
        <v>Genbank</v>
      </c>
      <c r="E26" s="316">
        <f>'1. Information samples'!E26</f>
        <v>27</v>
      </c>
      <c r="F26" s="62" t="str">
        <f>'1. Information samples'!F26</f>
        <v>F251743</v>
      </c>
      <c r="G26" s="62" t="str">
        <f>'1. Information samples'!G26</f>
        <v>CIAT-23933</v>
      </c>
      <c r="H26" s="62" t="str">
        <f>'1. Information samples'!H26</f>
        <v>Dendrolobium</v>
      </c>
      <c r="I26" s="62" t="str">
        <f>'1. Information samples'!I26</f>
        <v>triangulare</v>
      </c>
      <c r="J26" s="62" t="str">
        <f>'1. Information samples'!J26</f>
        <v>Dendrolobium triangulare</v>
      </c>
      <c r="K26" s="62" t="str">
        <f>'1. Information samples'!K26</f>
        <v>Fabaceae</v>
      </c>
      <c r="L26" s="62" t="str">
        <f>'1. Information samples'!L26</f>
        <v>Fabales</v>
      </c>
      <c r="M26" s="62" t="str">
        <f>'1. Information samples'!M26</f>
        <v>Tree</v>
      </c>
      <c r="N26" s="314" cm="1">
        <f t="array" ref="N26">_xlfn.STDEV.S(IF(('3.1. Gas prod VF'!$L$13:$L$1230=$F26) *('3.1. Gas prod VF'!$M$13:$M$1230=$E26),'3.1. Gas prod VF'!$AG$13:$AG$1230))</f>
        <v>10.035452451357015</v>
      </c>
      <c r="O26" s="314" cm="1">
        <f t="array" ref="O26">_xlfn.STDEV.S(IF(('3.1. Gas prod VF'!$L$13:$L$1230=$F26) *('3.1. Gas prod VF'!$M$13:$M$1230=$E26),'3.1. Gas prod VF'!$AH$13:$AH$1230))</f>
        <v>12.064303419280151</v>
      </c>
      <c r="P26" s="314" cm="1">
        <f t="array" ref="P26">_xlfn.STDEV.S(IF(('3.1. Gas prod VF'!$L$13:$L$1230=$F26) *('3.1. Gas prod VF'!$M$13:$M$1230=$E26),'3.1. Gas prod VF'!$AI$13:$AI$1230))</f>
        <v>22.079416936520406</v>
      </c>
      <c r="Q26" s="314" cm="1">
        <f t="array" ref="Q26">_xlfn.STDEV.S(IF(('3.1. Gas prod VF'!$L$13:$L$1230=$F26) *('3.1. Gas prod VF'!$M$13:$M$1230=$E26),'3.1. Gas prod VF'!$AJ$13:$AJ$1230))</f>
        <v>1.5200461101176994</v>
      </c>
      <c r="R26" s="314" cm="1">
        <f t="array" ref="R26">_xlfn.STDEV.S(IF(('3.1. Gas prod VF'!$L$13:$L$1230=$F26) *('3.1. Gas prod VF'!$M$13:$M$1230=$E26),'3.1. Gas prod VF'!$AK$13:$AK$1230))</f>
        <v>2.3473196075707574</v>
      </c>
      <c r="S26" s="314" cm="1">
        <f t="array" ref="S26">_xlfn.STDEV.S(IF(('3.1. Gas prod VF'!$L$13:$L$1230=$F26) *('3.1. Gas prod VF'!$M$13:$M$1230=$E26),'3.1. Gas prod VF'!$AL$13:$AL$1230))</f>
        <v>3.6849078671200699</v>
      </c>
      <c r="T26" s="314" cm="1">
        <f t="array" ref="T26">_xlfn.STDEV.S(IF(('3.1. Gas prod VF'!$L$13:$L$1230=$F26) *('3.1. Gas prod VF'!$M$13:$M$1230=$E26),'3.1. Gas prod VF'!$AM$13:$AM$1230))</f>
        <v>47.077174900366224</v>
      </c>
      <c r="U26" s="314">
        <f>_xlfn.STDEV.S('3.1. Gas prod VF'!AN58,'3.1. Gas prod VF'!AN59,'3.1. Gas prod VF'!AN60,'3.1. Gas prod VF'!AN163,'3.1. Gas prod VF'!AN164)</f>
        <v>3.6765270848681819</v>
      </c>
      <c r="V26" s="314" cm="1">
        <f t="array" ref="V26">_xlfn.STDEV.S(IF(('3.1. Gas prod VF'!$L$13:$L$1230=$F26) *('3.1. Gas prod VF'!$M$13:$M$1230=$E26),'3.1. Gas prod VF'!$AO$13:$AO$1230))</f>
        <v>1.0866362151766082</v>
      </c>
      <c r="W26" s="314" cm="1">
        <f t="array" ref="W26">_xlfn.STDEV.S(IF(('3.1. Gas prod VF'!$L$13:$L$1230=$F26) *('3.1. Gas prod VF'!$M$13:$M$1230=$E26),'3.1. Gas prod VF'!$AP$13:$AP$1230))</f>
        <v>6.9970912323826235</v>
      </c>
      <c r="X26" s="314" cm="1">
        <f t="array" ref="X26">_xlfn.STDEV.S(IF(('3.1. Gas prod VF'!$L$13:$L$1230=$F26) *('3.1. Gas prod VF'!$M$13:$M$1230=$E26),'3.1. Gas prod VF'!$AQ$13:$AQ$1230))</f>
        <v>7.6038866110022356</v>
      </c>
      <c r="Y26" s="314" cm="1">
        <f t="array" ref="Y26">_xlfn.STDEV.S(IF(('3.1. Gas prod VF'!$L$13:$L$1230=$F26) *('3.1. Gas prod VF'!$M$13:$M$1230=$E26),'3.1. Gas prod VF'!$AR$13:$AR$1230))</f>
        <v>7.8570473428332877</v>
      </c>
      <c r="Z26" s="314" cm="1">
        <f t="array" ref="Z26">_xlfn.STDEV.S(IF(('3.1. Gas prod VF'!$L$13:$L$1230=$F26) *('3.1. Gas prod VF'!$M$13:$M$1230=$E26),'3.1. Gas prod VF'!$AS$13:$AS$1230))</f>
        <v>34.739621947208533</v>
      </c>
      <c r="AA26" s="314" cm="1">
        <f t="array" ref="AA26">_xlfn.STDEV.S(IF(('3.1. Gas prod VF'!$L$13:$L$1230=$F26) *('3.1. Gas prod VF'!$M$13:$M$1230=$E26),'3.1. Gas prod VF'!$AT$13:$AT$1230))</f>
        <v>0.26220138428480161</v>
      </c>
      <c r="AB26" s="314" cm="1">
        <f t="array" ref="AB26">_xlfn.STDEV.S(IF(('3.1. Gas prod VF'!$L$13:$L$1230=$F26) *('3.1. Gas prod VF'!$M$13:$M$1230=$E26),'3.1. Gas prod VF'!$AU$13:$AU$1230))</f>
        <v>4.3607972103476103</v>
      </c>
      <c r="AC26" s="314" cm="1">
        <f t="array" ref="AC26">_xlfn.STDEV.S(IF(('3.1. Gas prod VF'!$L$13:$L$1230=$F26) *('3.1. Gas prod VF'!$M$13:$M$1230=$E26),'3.1. Gas prod VF'!$AU$13:$AV$1230))</f>
        <v>17.362470181165932</v>
      </c>
      <c r="AD26" s="20"/>
      <c r="AE26" s="20"/>
    </row>
    <row r="27" spans="2:31" x14ac:dyDescent="0.35">
      <c r="B27" s="62">
        <f>'1. Information samples'!B27</f>
        <v>17</v>
      </c>
      <c r="C27" s="198">
        <f>'1. Information samples'!C27</f>
        <v>46041</v>
      </c>
      <c r="D27" s="62" t="str">
        <f>'1. Information samples'!D27</f>
        <v>Genbank</v>
      </c>
      <c r="E27" s="316">
        <f>'1. Information samples'!E27</f>
        <v>27</v>
      </c>
      <c r="F27" s="62" t="str">
        <f>'1. Information samples'!F27</f>
        <v>F251744</v>
      </c>
      <c r="G27" s="62" t="str">
        <f>'1. Information samples'!G27</f>
        <v>CIAT-23934</v>
      </c>
      <c r="H27" s="62" t="str">
        <f>'1. Information samples'!H27</f>
        <v>Dendrolobium</v>
      </c>
      <c r="I27" s="62" t="str">
        <f>'1. Information samples'!I27</f>
        <v>triangulare</v>
      </c>
      <c r="J27" s="62" t="str">
        <f>'1. Information samples'!J27</f>
        <v>Dendrolobium triangulare</v>
      </c>
      <c r="K27" s="62" t="str">
        <f>'1. Information samples'!K27</f>
        <v>Fabaceae</v>
      </c>
      <c r="L27" s="62" t="str">
        <f>'1. Information samples'!L27</f>
        <v>Fabales</v>
      </c>
      <c r="M27" s="62" t="str">
        <f>'1. Information samples'!M27</f>
        <v>Tree</v>
      </c>
      <c r="N27" s="314" cm="1">
        <f t="array" ref="N27">_xlfn.STDEV.S(IF(('3.1. Gas prod VF'!$L$13:$L$1230=$F27) *('3.1. Gas prod VF'!$M$13:$M$1230=$E27),'3.1. Gas prod VF'!$AG$13:$AG$1230))</f>
        <v>4.0149651866170881</v>
      </c>
      <c r="O27" s="314" cm="1">
        <f t="array" ref="O27">_xlfn.STDEV.S(IF(('3.1. Gas prod VF'!$L$13:$L$1230=$F27) *('3.1. Gas prod VF'!$M$13:$M$1230=$E27),'3.1. Gas prod VF'!$AH$13:$AH$1230))</f>
        <v>3.2030915989662301</v>
      </c>
      <c r="P27" s="314" cm="1">
        <f t="array" ref="P27">_xlfn.STDEV.S(IF(('3.1. Gas prod VF'!$L$13:$L$1230=$F27) *('3.1. Gas prod VF'!$M$13:$M$1230=$E27),'3.1. Gas prod VF'!$AI$13:$AI$1230))</f>
        <v>6.2186690753816709</v>
      </c>
      <c r="Q27" s="314" cm="1">
        <f t="array" ref="Q27">_xlfn.STDEV.S(IF(('3.1. Gas prod VF'!$L$13:$L$1230=$F27) *('3.1. Gas prod VF'!$M$13:$M$1230=$E27),'3.1. Gas prod VF'!$AJ$13:$AJ$1230))</f>
        <v>0.46529900920191819</v>
      </c>
      <c r="R27" s="314" cm="1">
        <f t="array" ref="R27">_xlfn.STDEV.S(IF(('3.1. Gas prod VF'!$L$13:$L$1230=$F27) *('3.1. Gas prod VF'!$M$13:$M$1230=$E27),'3.1. Gas prod VF'!$AK$13:$AK$1230))</f>
        <v>0.55390652571843757</v>
      </c>
      <c r="S27" s="314" cm="1">
        <f t="array" ref="S27">_xlfn.STDEV.S(IF(('3.1. Gas prod VF'!$L$13:$L$1230=$F27) *('3.1. Gas prod VF'!$M$13:$M$1230=$E27),'3.1. Gas prod VF'!$AL$13:$AL$1230))</f>
        <v>0.85800480669729007</v>
      </c>
      <c r="T27" s="314" cm="1">
        <f t="array" ref="T27">_xlfn.STDEV.S(IF(('3.1. Gas prod VF'!$L$13:$L$1230=$F27) *('3.1. Gas prod VF'!$M$13:$M$1230=$E27),'3.1. Gas prod VF'!$AM$13:$AM$1230))</f>
        <v>13.207944594179031</v>
      </c>
      <c r="U27" s="314" cm="1">
        <f t="array" ref="U27">_xlfn.STDEV.S(IF(('3.1. Gas prod VF'!$L$13:$L$1230=$F27) *('3.1. Gas prod VF'!$M$13:$M$1230=$E27),'3.1. Gas prod VF'!$AN$13:$AN$1230))</f>
        <v>6.7066217532673207</v>
      </c>
      <c r="V27" s="314" cm="1">
        <f t="array" ref="V27">_xlfn.STDEV.S(IF(('3.1. Gas prod VF'!$L$13:$L$1230=$F27) *('3.1. Gas prod VF'!$M$13:$M$1230=$E27),'3.1. Gas prod VF'!$AO$13:$AO$1230))</f>
        <v>0.64709537322101407</v>
      </c>
      <c r="W27" s="314" cm="1">
        <f t="array" ref="W27">_xlfn.STDEV.S(IF(('3.1. Gas prod VF'!$L$13:$L$1230=$F27) *('3.1. Gas prod VF'!$M$13:$M$1230=$E27),'3.1. Gas prod VF'!$AP$13:$AP$1230))</f>
        <v>0.92736184954956957</v>
      </c>
      <c r="X27" s="314" cm="1">
        <f t="array" ref="X27">_xlfn.STDEV.S(IF(('3.1. Gas prod VF'!$L$13:$L$1230=$F27) *('3.1. Gas prod VF'!$M$13:$M$1230=$E27),'3.1. Gas prod VF'!$AQ$13:$AQ$1230))</f>
        <v>0.67185531184226555</v>
      </c>
      <c r="Y27" s="314" cm="1">
        <f t="array" ref="Y27">_xlfn.STDEV.S(IF(('3.1. Gas prod VF'!$L$13:$L$1230=$F27) *('3.1. Gas prod VF'!$M$13:$M$1230=$E27),'3.1. Gas prod VF'!$AR$13:$AR$1230))</f>
        <v>1.8215554947072596</v>
      </c>
      <c r="Z27" s="314" cm="1">
        <f t="array" ref="Z27">_xlfn.STDEV.S(IF(('3.1. Gas prod VF'!$L$13:$L$1230=$F27) *('3.1. Gas prod VF'!$M$13:$M$1230=$E27),'3.1. Gas prod VF'!$AS$13:$AS$1230))</f>
        <v>11.552222038265858</v>
      </c>
      <c r="AA27" s="314" cm="1">
        <f t="array" ref="AA27">_xlfn.STDEV.S(IF(('3.1. Gas prod VF'!$L$13:$L$1230=$F27) *('3.1. Gas prod VF'!$M$13:$M$1230=$E27),'3.1. Gas prod VF'!$AT$13:$AT$1230))</f>
        <v>0.57270297762551448</v>
      </c>
      <c r="AB27" s="314" cm="1">
        <f t="array" ref="AB27">_xlfn.STDEV.S(IF(('3.1. Gas prod VF'!$L$13:$L$1230=$F27) *('3.1. Gas prod VF'!$M$13:$M$1230=$E27),'3.1. Gas prod VF'!$AU$13:$AU$1230))</f>
        <v>1.0109948143634711</v>
      </c>
      <c r="AC27" s="314" cm="1">
        <f t="array" ref="AC27">_xlfn.STDEV.S(IF(('3.1. Gas prod VF'!$L$13:$L$1230=$F27) *('3.1. Gas prod VF'!$M$13:$M$1230=$E27),'3.1. Gas prod VF'!$AU$13:$AV$1230))</f>
        <v>12.705502750846531</v>
      </c>
      <c r="AD27" s="20"/>
      <c r="AE27" s="20"/>
    </row>
    <row r="28" spans="2:31" x14ac:dyDescent="0.35">
      <c r="B28" s="62">
        <f>'1. Information samples'!B28</f>
        <v>18</v>
      </c>
      <c r="C28" s="198">
        <f>'1. Information samples'!C28</f>
        <v>46041</v>
      </c>
      <c r="D28" s="62" t="str">
        <f>'1. Information samples'!D28</f>
        <v>Genbank</v>
      </c>
      <c r="E28" s="316">
        <f>'1. Information samples'!E28</f>
        <v>27</v>
      </c>
      <c r="F28" s="62" t="str">
        <f>'1. Information samples'!F28</f>
        <v>F251745</v>
      </c>
      <c r="G28" s="62" t="str">
        <f>'1. Information samples'!G28</f>
        <v>CIAT-23936</v>
      </c>
      <c r="H28" s="62" t="str">
        <f>'1. Information samples'!H28</f>
        <v>Dendrolobium</v>
      </c>
      <c r="I28" s="62" t="str">
        <f>'1. Information samples'!I28</f>
        <v>triangulare</v>
      </c>
      <c r="J28" s="62" t="str">
        <f>'1. Information samples'!J28</f>
        <v>Dendrolobium triangulare</v>
      </c>
      <c r="K28" s="62" t="str">
        <f>'1. Information samples'!K28</f>
        <v>Fabaceae</v>
      </c>
      <c r="L28" s="62" t="str">
        <f>'1. Information samples'!L28</f>
        <v>Fabales</v>
      </c>
      <c r="M28" s="62" t="str">
        <f>'1. Information samples'!M28</f>
        <v>Tree</v>
      </c>
      <c r="N28" s="314" cm="1">
        <f t="array" ref="N28">_xlfn.STDEV.S(IF(('3.1. Gas prod VF'!$L$13:$L$1230=$F28) *('3.1. Gas prod VF'!$M$13:$M$1230=$E28),'3.1. Gas prod VF'!$AG$13:$AG$1230))</f>
        <v>8.0001355382346091</v>
      </c>
      <c r="O28" s="314" cm="1">
        <f t="array" ref="O28">_xlfn.STDEV.S(IF(('3.1. Gas prod VF'!$L$13:$L$1230=$F28) *('3.1. Gas prod VF'!$M$13:$M$1230=$E28),'3.1. Gas prod VF'!$AH$13:$AH$1230))</f>
        <v>8.3171887772887043</v>
      </c>
      <c r="P28" s="314" cm="1">
        <f t="array" ref="P28">_xlfn.STDEV.S(IF(('3.1. Gas prod VF'!$L$13:$L$1230=$F28) *('3.1. Gas prod VF'!$M$13:$M$1230=$E28),'3.1. Gas prod VF'!$AI$13:$AI$1230))</f>
        <v>15.507645240817608</v>
      </c>
      <c r="Q28" s="314" cm="1">
        <f t="array" ref="Q28">_xlfn.STDEV.S(IF(('3.1. Gas prod VF'!$L$13:$L$1230=$F28) *('3.1. Gas prod VF'!$M$13:$M$1230=$E28),'3.1. Gas prod VF'!$AJ$13:$AJ$1230))</f>
        <v>1.1161486451152418</v>
      </c>
      <c r="R28" s="314" cm="1">
        <f t="array" ref="R28">_xlfn.STDEV.S(IF(('3.1. Gas prod VF'!$L$13:$L$1230=$F28) *('3.1. Gas prod VF'!$M$13:$M$1230=$E28),'3.1. Gas prod VF'!$AK$13:$AK$1230))</f>
        <v>1.4422040274368366</v>
      </c>
      <c r="S28" s="314" cm="1">
        <f t="array" ref="S28">_xlfn.STDEV.S(IF(('3.1. Gas prod VF'!$L$13:$L$1230=$F28) *('3.1. Gas prod VF'!$M$13:$M$1230=$E28),'3.1. Gas prod VF'!$AL$13:$AL$1230))</f>
        <v>2.4527409939937019</v>
      </c>
      <c r="T28" s="314" cm="1">
        <f t="array" ref="T28">_xlfn.STDEV.S(IF(('3.1. Gas prod VF'!$L$13:$L$1230=$F28) *('3.1. Gas prod VF'!$M$13:$M$1230=$E28),'3.1. Gas prod VF'!$AM$13:$AM$1230))</f>
        <v>32.961603275984238</v>
      </c>
      <c r="U28" s="314" cm="1">
        <f t="array" ref="U28">_xlfn.STDEV.S(IF(('3.1. Gas prod VF'!$L$13:$L$1230=$F28) *('3.1. Gas prod VF'!$M$13:$M$1230=$E28),'3.1. Gas prod VF'!$AN$13:$AN$1230))</f>
        <v>9.1078951549277409</v>
      </c>
      <c r="V28" s="314" cm="1">
        <f t="array" ref="V28">_xlfn.STDEV.S(IF(('3.1. Gas prod VF'!$L$13:$L$1230=$F28) *('3.1. Gas prod VF'!$M$13:$M$1230=$E28),'3.1. Gas prod VF'!$AO$13:$AO$1230))</f>
        <v>1.0202294982327087</v>
      </c>
      <c r="W28" s="314" cm="1">
        <f t="array" ref="W28">_xlfn.STDEV.S(IF(('3.1. Gas prod VF'!$L$13:$L$1230=$F28) *('3.1. Gas prod VF'!$M$13:$M$1230=$E28),'3.1. Gas prod VF'!$AP$13:$AP$1230))</f>
        <v>5.0940967235194314</v>
      </c>
      <c r="X28" s="314" cm="1">
        <f t="array" ref="X28">_xlfn.STDEV.S(IF(('3.1. Gas prod VF'!$L$13:$L$1230=$F28) *('3.1. Gas prod VF'!$M$13:$M$1230=$E28),'3.1. Gas prod VF'!$AQ$13:$AQ$1230))</f>
        <v>5.6286139271125384</v>
      </c>
      <c r="Y28" s="314" cm="1">
        <f t="array" ref="Y28">_xlfn.STDEV.S(IF(('3.1. Gas prod VF'!$L$13:$L$1230=$F28) *('3.1. Gas prod VF'!$M$13:$M$1230=$E28),'3.1. Gas prod VF'!$AR$13:$AR$1230))</f>
        <v>5.21355298610513</v>
      </c>
      <c r="Z28" s="314" cm="1">
        <f t="array" ref="Z28">_xlfn.STDEV.S(IF(('3.1. Gas prod VF'!$L$13:$L$1230=$F28) *('3.1. Gas prod VF'!$M$13:$M$1230=$E28),'3.1. Gas prod VF'!$AS$13:$AS$1230))</f>
        <v>29.606949941619028</v>
      </c>
      <c r="AA28" s="314" cm="1">
        <f t="array" ref="AA28">_xlfn.STDEV.S(IF(('3.1. Gas prod VF'!$L$13:$L$1230=$F28) *('3.1. Gas prod VF'!$M$13:$M$1230=$E28),'3.1. Gas prod VF'!$AT$13:$AT$1230))</f>
        <v>0.15577502579942551</v>
      </c>
      <c r="AB28" s="314" cm="1">
        <f t="array" ref="AB28">_xlfn.STDEV.S(IF(('3.1. Gas prod VF'!$L$13:$L$1230=$F28) *('3.1. Gas prod VF'!$M$13:$M$1230=$E28),'3.1. Gas prod VF'!$AU$13:$AU$1230))</f>
        <v>2.8936121071670029</v>
      </c>
      <c r="AC28" s="314" cm="1">
        <f t="array" ref="AC28">_xlfn.STDEV.S(IF(('3.1. Gas prod VF'!$L$13:$L$1230=$F28) *('3.1. Gas prod VF'!$M$13:$M$1230=$E28),'3.1. Gas prod VF'!$AU$13:$AV$1230))</f>
        <v>17.964683461619892</v>
      </c>
      <c r="AD28" s="20"/>
      <c r="AE28" s="20"/>
    </row>
    <row r="29" spans="2:31" x14ac:dyDescent="0.35">
      <c r="B29" s="62">
        <f>'1. Information samples'!B29</f>
        <v>19</v>
      </c>
      <c r="C29" s="198">
        <f>'1. Information samples'!C29</f>
        <v>46041</v>
      </c>
      <c r="D29" s="62" t="str">
        <f>'1. Information samples'!D29</f>
        <v>Genbank</v>
      </c>
      <c r="E29" s="316">
        <f>'1. Information samples'!E29</f>
        <v>27</v>
      </c>
      <c r="F29" s="62" t="str">
        <f>'1. Information samples'!F29</f>
        <v>F251746</v>
      </c>
      <c r="G29" s="62" t="str">
        <f>'1. Information samples'!G29</f>
        <v>CIAT-33119</v>
      </c>
      <c r="H29" s="62" t="str">
        <f>'1. Information samples'!H29</f>
        <v>Dendrolobium</v>
      </c>
      <c r="I29" s="62" t="str">
        <f>'1. Information samples'!I29</f>
        <v>triangulare</v>
      </c>
      <c r="J29" s="62" t="str">
        <f>'1. Information samples'!J29</f>
        <v>Dendrolobium triangulare</v>
      </c>
      <c r="K29" s="62" t="str">
        <f>'1. Information samples'!K29</f>
        <v>Fabaceae</v>
      </c>
      <c r="L29" s="62" t="str">
        <f>'1. Information samples'!L29</f>
        <v>Fabales</v>
      </c>
      <c r="M29" s="62" t="str">
        <f>'1. Information samples'!M29</f>
        <v>Tree</v>
      </c>
      <c r="N29" s="314">
        <f>_xlfn.STDEV.S('3.1. Gas prod VF'!AG69,'3.1. Gas prod VF'!AG70,'3.1. Gas prod VF'!AG71,'3.1. Gas prod VF'!AG174,'3.1. Gas prod VF'!AG175,'3.1. Gas prod VF'!AG176)</f>
        <v>1.6098717477449203</v>
      </c>
      <c r="O29" s="314">
        <f>_xlfn.STDEV.S('3.1. Gas prod VF'!AH69,'3.1. Gas prod VF'!AH70,'3.1. Gas prod VF'!AH71,'3.1. Gas prod VF'!AH174,'3.1. Gas prod VF'!AH175,'3.1. Gas prod VF'!AH176)</f>
        <v>0.68313005106397318</v>
      </c>
      <c r="P29" s="314">
        <f>_xlfn.STDEV.S('3.1. Gas prod VF'!AI69,'3.1. Gas prod VF'!AI70,'3.1. Gas prod VF'!AI71,'3.1. Gas prod VF'!AI174,'3.1. Gas prod VF'!AI175,'3.1. Gas prod VF'!AI176)</f>
        <v>1.5574346527029652</v>
      </c>
      <c r="Q29" s="314">
        <f>_xlfn.STDEV.S('3.1. Gas prod VF'!AJ69,'3.1. Gas prod VF'!AJ70,'3.1. Gas prod VF'!AJ71,'3.1. Gas prod VF'!AJ174,'3.1. Gas prod VF'!AJ175,'3.1. Gas prod VF'!AJ176)</f>
        <v>0.31912503515578355</v>
      </c>
      <c r="R29" s="314">
        <f>_xlfn.STDEV.S('3.1. Gas prod VF'!AK69,'3.1. Gas prod VF'!AK70,'3.1. Gas prod VF'!AK71,'3.1. Gas prod VF'!AK174,'3.1. Gas prod VF'!AK175,'3.1. Gas prod VF'!AK176)</f>
        <v>7.2640339818801677E-2</v>
      </c>
      <c r="S29" s="314">
        <f>_xlfn.STDEV.S('3.1. Gas prod VF'!AL69,'3.1. Gas prod VF'!AL70,'3.1. Gas prod VF'!AL71,'3.1. Gas prod VF'!AL174,'3.1. Gas prod VF'!AL175,'3.1. Gas prod VF'!AL176)</f>
        <v>0.2764435109178327</v>
      </c>
      <c r="T29" s="314">
        <f>_xlfn.STDEV.S('3.1. Gas prod VF'!AM69,'3.1. Gas prod VF'!AM70,'3.1. Gas prod VF'!AM71,'3.1. Gas prod VF'!AM174,'3.1. Gas prod VF'!AM175,'3.1. Gas prod VF'!AM176)</f>
        <v>3.2514253288832355</v>
      </c>
      <c r="U29" s="314">
        <f>_xlfn.STDEV.S('3.1. Gas prod VF'!AN69,'3.1. Gas prod VF'!AN70,'3.1. Gas prod VF'!AN71,'3.1. Gas prod VF'!AN174,'3.1. Gas prod VF'!AN175,'3.1. Gas prod VF'!AN176)</f>
        <v>5.8013048241876799</v>
      </c>
      <c r="V29" s="314">
        <f>_xlfn.STDEV.S('3.1. Gas prod VF'!AO69,'3.1. Gas prod VF'!AO70,'3.1. Gas prod VF'!AO71,'3.1. Gas prod VF'!AO174,'3.1. Gas prod VF'!AO175,'3.1. Gas prod VF'!AO176)</f>
        <v>0.47910536300860196</v>
      </c>
      <c r="W29" s="314">
        <f>_xlfn.STDEV.S('3.1. Gas prod VF'!AP69,'3.1. Gas prod VF'!AP70,'3.1. Gas prod VF'!AP71,'3.1. Gas prod VF'!AP174,'3.1. Gas prod VF'!AP175,'3.1. Gas prod VF'!AP176)</f>
        <v>0.98539332248600064</v>
      </c>
      <c r="X29" s="314">
        <f>_xlfn.STDEV.S('3.1. Gas prod VF'!AQ69,'3.1. Gas prod VF'!AQ70,'3.1. Gas prod VF'!AQ71,'3.1. Gas prod VF'!AQ174,'3.1. Gas prod VF'!AQ175,'3.1. Gas prod VF'!AQ176)</f>
        <v>0.5748236256404099</v>
      </c>
      <c r="Y29" s="314">
        <f>_xlfn.STDEV.S('3.1. Gas prod VF'!AR69,'3.1. Gas prod VF'!AR70,'3.1. Gas prod VF'!AR71,'3.1. Gas prod VF'!AR174,'3.1. Gas prod VF'!AR175,'3.1. Gas prod VF'!AR176)</f>
        <v>0.57688191345335915</v>
      </c>
      <c r="Z29" s="314">
        <f>_xlfn.STDEV.S('3.1. Gas prod VF'!AS69,'3.1. Gas prod VF'!AS70,'3.1. Gas prod VF'!AS71,'3.1. Gas prod VF'!AS174,'3.1. Gas prod VF'!AS175,'3.1. Gas prod VF'!AS176)</f>
        <v>9.2844041781117426</v>
      </c>
      <c r="AA29" s="314">
        <f>_xlfn.STDEV.S('3.1. Gas prod VF'!AT69,'3.1. Gas prod VF'!AT70,'3.1. Gas prod VF'!AT71,'3.1. Gas prod VF'!AT174,'3.1. Gas prod VF'!AT175,'3.1. Gas prod VF'!AT176)</f>
        <v>217.91648790807858</v>
      </c>
      <c r="AB29" s="314">
        <f>_xlfn.STDEV.S('3.1. Gas prod VF'!AU69,'3.1. Gas prod VF'!AU70,'3.1. Gas prod VF'!AU71,'3.1. Gas prod VF'!AU174,'3.1. Gas prod VF'!AU175,'3.1. Gas prod VF'!AU176)</f>
        <v>0.32017944262255676</v>
      </c>
      <c r="AC29" s="314">
        <f>_xlfn.STDEV.S('3.1. Gas prod VF'!AV69,'3.1. Gas prod VF'!AV70,'3.1. Gas prod VF'!AV71,'3.1. Gas prod VF'!AV174,'3.1. Gas prod VF'!AV175,'3.1. Gas prod VF'!AV176)</f>
        <v>5.1530049486821019</v>
      </c>
      <c r="AD29" s="20"/>
      <c r="AE29" s="20"/>
    </row>
    <row r="30" spans="2:31" x14ac:dyDescent="0.35">
      <c r="B30" s="62">
        <f>'1. Information samples'!B30</f>
        <v>20</v>
      </c>
      <c r="C30" s="198">
        <f>'1. Information samples'!C30</f>
        <v>46041</v>
      </c>
      <c r="D30" s="62" t="str">
        <f>'1. Information samples'!D30</f>
        <v>Genbank</v>
      </c>
      <c r="E30" s="316">
        <f>'1. Information samples'!E30</f>
        <v>27</v>
      </c>
      <c r="F30" s="62" t="str">
        <f>'1. Information samples'!F30</f>
        <v>F251747</v>
      </c>
      <c r="G30" s="62" t="str">
        <f>'1. Information samples'!G30</f>
        <v>CIAT-33383</v>
      </c>
      <c r="H30" s="62" t="str">
        <f>'1. Information samples'!H30</f>
        <v>Dendrolobium</v>
      </c>
      <c r="I30" s="62" t="str">
        <f>'1. Information samples'!I30</f>
        <v>sp.</v>
      </c>
      <c r="J30" s="62" t="str">
        <f>'1. Information samples'!J30</f>
        <v>Dendrolobium sp.</v>
      </c>
      <c r="K30" s="62" t="str">
        <f>'1. Information samples'!K30</f>
        <v>Fabaceae</v>
      </c>
      <c r="L30" s="62" t="str">
        <f>'1. Information samples'!L30</f>
        <v>Fabales</v>
      </c>
      <c r="M30" s="62" t="str">
        <f>'1. Information samples'!M30</f>
        <v>Tree</v>
      </c>
      <c r="N30" s="314" cm="1">
        <f t="array" ref="N30">_xlfn.STDEV.S(IF(('3.1. Gas prod VF'!$L$13:$L$1230=$F30) *('3.1. Gas prod VF'!$M$13:$M$1230=$E30),'3.1. Gas prod VF'!$AG$13:$AG$1230))</f>
        <v>1.1902590162782114</v>
      </c>
      <c r="O30" s="314" cm="1">
        <f t="array" ref="O30">_xlfn.STDEV.S(IF(('3.1. Gas prod VF'!$L$13:$L$1230=$F30) *('3.1. Gas prod VF'!$M$13:$M$1230=$E30),'3.1. Gas prod VF'!$AH$13:$AH$1230))</f>
        <v>0.6403111831526006</v>
      </c>
      <c r="P30" s="314" cm="1">
        <f t="array" ref="P30">_xlfn.STDEV.S(IF(('3.1. Gas prod VF'!$L$13:$L$1230=$F30) *('3.1. Gas prod VF'!$M$13:$M$1230=$E30),'3.1. Gas prod VF'!$AI$13:$AI$1230))</f>
        <v>1.6008029146465022</v>
      </c>
      <c r="Q30" s="314" cm="1">
        <f t="array" ref="Q30">_xlfn.STDEV.S(IF(('3.1. Gas prod VF'!$L$13:$L$1230=$F30) *('3.1. Gas prod VF'!$M$13:$M$1230=$E30),'3.1. Gas prod VF'!$AJ$13:$AJ$1230))</f>
        <v>0.34832869792051363</v>
      </c>
      <c r="R30" s="314" cm="1">
        <f t="array" ref="R30">_xlfn.STDEV.S(IF(('3.1. Gas prod VF'!$L$13:$L$1230=$F30) *('3.1. Gas prod VF'!$M$13:$M$1230=$E30),'3.1. Gas prod VF'!$AK$13:$AK$1230))</f>
        <v>0.10033538726227537</v>
      </c>
      <c r="S30" s="314" cm="1">
        <f t="array" ref="S30">_xlfn.STDEV.S(IF(('3.1. Gas prod VF'!$L$13:$L$1230=$F30) *('3.1. Gas prod VF'!$M$13:$M$1230=$E30),'3.1. Gas prod VF'!$AL$13:$AL$1230))</f>
        <v>0.4137963847005493</v>
      </c>
      <c r="T30" s="314" cm="1">
        <f t="array" ref="T30">_xlfn.STDEV.S(IF(('3.1. Gas prod VF'!$L$13:$L$1230=$F30) *('3.1. Gas prod VF'!$M$13:$M$1230=$E30),'3.1. Gas prod VF'!$AM$13:$AM$1230))</f>
        <v>3.3669684163649292</v>
      </c>
      <c r="U30" s="314" cm="1">
        <f t="array" ref="U30">_xlfn.STDEV.S(IF(('3.1. Gas prod VF'!$L$13:$L$1230=$F30) *('3.1. Gas prod VF'!$M$13:$M$1230=$E30),'3.1. Gas prod VF'!$AN$13:$AN$1230))</f>
        <v>5.8064127116793838</v>
      </c>
      <c r="V30" s="314" cm="1">
        <f t="array" ref="V30">_xlfn.STDEV.S(IF(('3.1. Gas prod VF'!$L$13:$L$1230=$F30) *('3.1. Gas prod VF'!$M$13:$M$1230=$E30),'3.1. Gas prod VF'!$AO$13:$AO$1230))</f>
        <v>0.53976086385903987</v>
      </c>
      <c r="W30" s="314" cm="1">
        <f t="array" ref="W30">_xlfn.STDEV.S(IF(('3.1. Gas prod VF'!$L$13:$L$1230=$F30) *('3.1. Gas prod VF'!$M$13:$M$1230=$E30),'3.1. Gas prod VF'!$AP$13:$AP$1230))</f>
        <v>1.0124228365658297</v>
      </c>
      <c r="X30" s="314" cm="1">
        <f t="array" ref="X30">_xlfn.STDEV.S(IF(('3.1. Gas prod VF'!$L$13:$L$1230=$F30) *('3.1. Gas prod VF'!$M$13:$M$1230=$E30),'3.1. Gas prod VF'!$AQ$13:$AQ$1230))</f>
        <v>0.53377220845124385</v>
      </c>
      <c r="Y30" s="314" cm="1">
        <f t="array" ref="Y30">_xlfn.STDEV.S(IF(('3.1. Gas prod VF'!$L$13:$L$1230=$F30) *('3.1. Gas prod VF'!$M$13:$M$1230=$E30),'3.1. Gas prod VF'!$AR$13:$AR$1230))</f>
        <v>0.87345689692275896</v>
      </c>
      <c r="Z30" s="314" cm="1">
        <f t="array" ref="Z30">_xlfn.STDEV.S(IF(('3.1. Gas prod VF'!$L$13:$L$1230=$F30) *('3.1. Gas prod VF'!$M$13:$M$1230=$E30),'3.1. Gas prod VF'!$AS$13:$AS$1230))</f>
        <v>15.136600973419991</v>
      </c>
      <c r="AA30" s="314" cm="1">
        <f t="array" ref="AA30">_xlfn.STDEV.S(IF(('3.1. Gas prod VF'!$L$13:$L$1230=$F30) *('3.1. Gas prod VF'!$M$13:$M$1230=$E30),'3.1. Gas prod VF'!$AT$13:$AT$1230))</f>
        <v>0.34579415048658313</v>
      </c>
      <c r="AB30" s="314" cm="1">
        <f t="array" ref="AB30">_xlfn.STDEV.S(IF(('3.1. Gas prod VF'!$L$13:$L$1230=$F30) *('3.1. Gas prod VF'!$M$13:$M$1230=$E30),'3.1. Gas prod VF'!$AU$13:$AU$1230))</f>
        <v>0.48478368950315037</v>
      </c>
      <c r="AC30" s="314" cm="1">
        <f t="array" ref="AC30">_xlfn.STDEV.S(IF(('3.1. Gas prod VF'!$L$13:$L$1230=$F30) *('3.1. Gas prod VF'!$M$13:$M$1230=$E30),'3.1. Gas prod VF'!$AU$13:$AV$1230))</f>
        <v>12.808493574764821</v>
      </c>
      <c r="AD30" s="20"/>
      <c r="AE30" s="20"/>
    </row>
    <row r="31" spans="2:31" x14ac:dyDescent="0.35">
      <c r="B31" s="62">
        <f>'1. Information samples'!B31</f>
        <v>21</v>
      </c>
      <c r="C31" s="198">
        <f>'1. Information samples'!C31</f>
        <v>46041</v>
      </c>
      <c r="D31" s="62" t="str">
        <f>'1. Information samples'!D31</f>
        <v>Genbank</v>
      </c>
      <c r="E31" s="316">
        <f>'1. Information samples'!E31</f>
        <v>27</v>
      </c>
      <c r="F31" s="62" t="str">
        <f>'1. Information samples'!F31</f>
        <v>F251748</v>
      </c>
      <c r="G31" s="62" t="str">
        <f>'1. Information samples'!G31</f>
        <v>CIAT-33402</v>
      </c>
      <c r="H31" s="62" t="str">
        <f>'1. Information samples'!H31</f>
        <v>Dendrolobium</v>
      </c>
      <c r="I31" s="62" t="str">
        <f>'1. Information samples'!I31</f>
        <v>triangulare</v>
      </c>
      <c r="J31" s="62" t="str">
        <f>'1. Information samples'!J31</f>
        <v>Dendrolobium triangulare</v>
      </c>
      <c r="K31" s="62" t="str">
        <f>'1. Information samples'!K31</f>
        <v>Fabaceae</v>
      </c>
      <c r="L31" s="62" t="str">
        <f>'1. Information samples'!L31</f>
        <v>Fabales</v>
      </c>
      <c r="M31" s="62" t="str">
        <f>'1. Information samples'!M31</f>
        <v>Tree</v>
      </c>
      <c r="N31" s="314" cm="1">
        <f t="array" ref="N31">_xlfn.STDEV.S(IF(('3.1. Gas prod VF'!$L$13:$L$1230=$F31) *('3.1. Gas prod VF'!$M$13:$M$1230=$E31),'3.1. Gas prod VF'!$AG$13:$AG$1230))</f>
        <v>1.5422689181621381</v>
      </c>
      <c r="O31" s="314" cm="1">
        <f t="array" ref="O31">_xlfn.STDEV.S(IF(('3.1. Gas prod VF'!$L$13:$L$1230=$F31) *('3.1. Gas prod VF'!$M$13:$M$1230=$E31),'3.1. Gas prod VF'!$AH$13:$AH$1230))</f>
        <v>2.2729858531227731</v>
      </c>
      <c r="P31" s="314" cm="1">
        <f t="array" ref="P31">_xlfn.STDEV.S(IF(('3.1. Gas prod VF'!$L$13:$L$1230=$F31) *('3.1. Gas prod VF'!$M$13:$M$1230=$E31),'3.1. Gas prod VF'!$AI$13:$AI$1230))</f>
        <v>3.0037837842288688</v>
      </c>
      <c r="Q31" s="314" cm="1">
        <f t="array" ref="Q31">_xlfn.STDEV.S(IF(('3.1. Gas prod VF'!$L$13:$L$1230=$F31) *('3.1. Gas prod VF'!$M$13:$M$1230=$E31),'3.1. Gas prod VF'!$AJ$13:$AJ$1230))</f>
        <v>0.36181291483273209</v>
      </c>
      <c r="R31" s="314" cm="1">
        <f t="array" ref="R31">_xlfn.STDEV.S(IF(('3.1. Gas prod VF'!$L$13:$L$1230=$F31) *('3.1. Gas prod VF'!$M$13:$M$1230=$E31),'3.1. Gas prod VF'!$AK$13:$AK$1230))</f>
        <v>0.30806204088928363</v>
      </c>
      <c r="S31" s="314" cm="1">
        <f t="array" ref="S31">_xlfn.STDEV.S(IF(('3.1. Gas prod VF'!$L$13:$L$1230=$F31) *('3.1. Gas prod VF'!$M$13:$M$1230=$E31),'3.1. Gas prod VF'!$AL$13:$AL$1230))</f>
        <v>0.4770498048630526</v>
      </c>
      <c r="T31" s="314" cm="1">
        <f t="array" ref="T31">_xlfn.STDEV.S(IF(('3.1. Gas prod VF'!$L$13:$L$1230=$F31) *('3.1. Gas prod VF'!$M$13:$M$1230=$E31),'3.1. Gas prod VF'!$AM$13:$AM$1230))</f>
        <v>6.3323833771772771</v>
      </c>
      <c r="U31" s="314" cm="1">
        <f t="array" ref="U31">_xlfn.STDEV.S(IF(('3.1. Gas prod VF'!$L$13:$L$1230=$F31) *('3.1. Gas prod VF'!$M$13:$M$1230=$E31),'3.1. Gas prod VF'!$AN$13:$AN$1230))</f>
        <v>5.020884058792455</v>
      </c>
      <c r="V31" s="314" cm="1">
        <f t="array" ref="V31">_xlfn.STDEV.S(IF(('3.1. Gas prod VF'!$L$13:$L$1230=$F31) *('3.1. Gas prod VF'!$M$13:$M$1230=$E31),'3.1. Gas prod VF'!$AO$13:$AO$1230))</f>
        <v>0.56514316495102868</v>
      </c>
      <c r="W31" s="314" cm="1">
        <f t="array" ref="W31">_xlfn.STDEV.S(IF(('3.1. Gas prod VF'!$L$13:$L$1230=$F31) *('3.1. Gas prod VF'!$M$13:$M$1230=$E31),'3.1. Gas prod VF'!$AP$13:$AP$1230))</f>
        <v>0.84081168266995743</v>
      </c>
      <c r="X31" s="314" cm="1">
        <f t="array" ref="X31">_xlfn.STDEV.S(IF(('3.1. Gas prod VF'!$L$13:$L$1230=$F31) *('3.1. Gas prod VF'!$M$13:$M$1230=$E31),'3.1. Gas prod VF'!$AQ$13:$AQ$1230))</f>
        <v>0.37176856180463402</v>
      </c>
      <c r="Y31" s="314" cm="1">
        <f t="array" ref="Y31">_xlfn.STDEV.S(IF(('3.1. Gas prod VF'!$L$13:$L$1230=$F31) *('3.1. Gas prod VF'!$M$13:$M$1230=$E31),'3.1. Gas prod VF'!$AR$13:$AR$1230))</f>
        <v>1.006239690368852</v>
      </c>
      <c r="Z31" s="314" cm="1">
        <f t="array" ref="Z31">_xlfn.STDEV.S(IF(('3.1. Gas prod VF'!$L$13:$L$1230=$F31) *('3.1. Gas prod VF'!$M$13:$M$1230=$E31),'3.1. Gas prod VF'!$AS$13:$AS$1230))</f>
        <v>13.5054131722743</v>
      </c>
      <c r="AA31" s="314" cm="1">
        <f t="array" ref="AA31">_xlfn.STDEV.S(IF(('3.1. Gas prod VF'!$L$13:$L$1230=$F31) *('3.1. Gas prod VF'!$M$13:$M$1230=$E31),'3.1. Gas prod VF'!$AT$13:$AT$1230))</f>
        <v>0.31060006840349758</v>
      </c>
      <c r="AB31" s="314" cm="1">
        <f t="array" ref="AB31">_xlfn.STDEV.S(IF(('3.1. Gas prod VF'!$L$13:$L$1230=$F31) *('3.1. Gas prod VF'!$M$13:$M$1230=$E31),'3.1. Gas prod VF'!$AU$13:$AU$1230))</f>
        <v>0.55848043714589524</v>
      </c>
      <c r="AC31" s="314" cm="1">
        <f t="array" ref="AC31">_xlfn.STDEV.S(IF(('3.1. Gas prod VF'!$L$13:$L$1230=$F31) *('3.1. Gas prod VF'!$M$13:$M$1230=$E31),'3.1. Gas prod VF'!$AU$13:$AV$1230))</f>
        <v>13.337335083132222</v>
      </c>
      <c r="AD31" s="20"/>
      <c r="AE31" s="20"/>
    </row>
    <row r="32" spans="2:31" x14ac:dyDescent="0.35">
      <c r="B32" s="62">
        <f>'1. Information samples'!B32</f>
        <v>22</v>
      </c>
      <c r="C32" s="198">
        <f>'1. Information samples'!C32</f>
        <v>46041</v>
      </c>
      <c r="D32" s="62" t="str">
        <f>'1. Information samples'!D32</f>
        <v>Genbank</v>
      </c>
      <c r="E32" s="316">
        <f>'1. Information samples'!E32</f>
        <v>27</v>
      </c>
      <c r="F32" s="62" t="str">
        <f>'1. Information samples'!F32</f>
        <v>F251749</v>
      </c>
      <c r="G32" s="62" t="str">
        <f>'1. Information samples'!G32</f>
        <v>CIAT-33508</v>
      </c>
      <c r="H32" s="62" t="str">
        <f>'1. Information samples'!H32</f>
        <v>Dendrolobium</v>
      </c>
      <c r="I32" s="62" t="str">
        <f>'1. Information samples'!I32</f>
        <v>umbellatum</v>
      </c>
      <c r="J32" s="62" t="str">
        <f>'1. Information samples'!J32</f>
        <v>Dendrolobium umbellatum</v>
      </c>
      <c r="K32" s="62" t="str">
        <f>'1. Information samples'!K32</f>
        <v>Fabaceae</v>
      </c>
      <c r="L32" s="62" t="str">
        <f>'1. Information samples'!L32</f>
        <v>Fabales</v>
      </c>
      <c r="M32" s="62" t="str">
        <f>'1. Information samples'!M32</f>
        <v>Tree</v>
      </c>
      <c r="N32" s="314" cm="1">
        <f t="array" ref="N32">_xlfn.STDEV.S(IF(('3.1. Gas prod VF'!$L$13:$L$1230=$F32) *('3.1. Gas prod VF'!$M$13:$M$1230=$E32),'3.1. Gas prod VF'!$AG$13:$AG$1230))</f>
        <v>10.027530884784028</v>
      </c>
      <c r="O32" s="314" cm="1">
        <f t="array" ref="O32">_xlfn.STDEV.S(IF(('3.1. Gas prod VF'!$L$13:$L$1230=$F32) *('3.1. Gas prod VF'!$M$13:$M$1230=$E32),'3.1. Gas prod VF'!$AH$13:$AH$1230))</f>
        <v>10.282015815946698</v>
      </c>
      <c r="P32" s="314" cm="1">
        <f t="array" ref="P32">_xlfn.STDEV.S(IF(('3.1. Gas prod VF'!$L$13:$L$1230=$F32) *('3.1. Gas prod VF'!$M$13:$M$1230=$E32),'3.1. Gas prod VF'!$AI$13:$AI$1230))</f>
        <v>20.242560793201168</v>
      </c>
      <c r="Q32" s="314" cm="1">
        <f t="array" ref="Q32">_xlfn.STDEV.S(IF(('3.1. Gas prod VF'!$L$13:$L$1230=$F32) *('3.1. Gas prod VF'!$M$13:$M$1230=$E32),'3.1. Gas prod VF'!$AJ$13:$AJ$1230))</f>
        <v>1.4753310170342129</v>
      </c>
      <c r="R32" s="314" cm="1">
        <f t="array" ref="R32">_xlfn.STDEV.S(IF(('3.1. Gas prod VF'!$L$13:$L$1230=$F32) *('3.1. Gas prod VF'!$M$13:$M$1230=$E32),'3.1. Gas prod VF'!$AK$13:$AK$1230))</f>
        <v>1.9571209815056108</v>
      </c>
      <c r="S32" s="314" cm="1">
        <f t="array" ref="S32">_xlfn.STDEV.S(IF(('3.1. Gas prod VF'!$L$13:$L$1230=$F32) *('3.1. Gas prod VF'!$M$13:$M$1230=$E32),'3.1. Gas prod VF'!$AL$13:$AL$1230))</f>
        <v>3.4149385363740787</v>
      </c>
      <c r="T32" s="314" cm="1">
        <f t="array" ref="T32">_xlfn.STDEV.S(IF(('3.1. Gas prod VF'!$L$13:$L$1230=$F32) *('3.1. Gas prod VF'!$M$13:$M$1230=$E32),'3.1. Gas prod VF'!$AM$13:$AM$1230))</f>
        <v>43.145407402399066</v>
      </c>
      <c r="U32" s="314">
        <f>_xlfn.STDEV.S('3.1. Gas prod VF'!AN78,'3.1. Gas prod VF'!AN79,'3.1. Gas prod VF'!AN80,'3.1. Gas prod VF'!AN183,'3.1. Gas prod VF'!AN184,'3.1. Gas prod VF'!AN185)</f>
        <v>8.6899709895705648</v>
      </c>
      <c r="V32" s="314" cm="1">
        <f t="array" ref="V32">_xlfn.STDEV.S(IF(('3.1. Gas prod VF'!$L$13:$L$1230=$F32) *('3.1. Gas prod VF'!$M$13:$M$1230=$E32),'3.1. Gas prod VF'!$AO$13:$AO$1230))</f>
        <v>1.0909939332367673</v>
      </c>
      <c r="W32" s="314" cm="1">
        <f t="array" ref="W32">_xlfn.STDEV.S(IF(('3.1. Gas prod VF'!$L$13:$L$1230=$F32) *('3.1. Gas prod VF'!$M$13:$M$1230=$E32),'3.1. Gas prod VF'!$AP$13:$AP$1230))</f>
        <v>5.289612462175282</v>
      </c>
      <c r="X32" s="314" cm="1">
        <f t="array" ref="X32">_xlfn.STDEV.S(IF(('3.1. Gas prod VF'!$L$13:$L$1230=$F32) *('3.1. Gas prod VF'!$M$13:$M$1230=$E32),'3.1. Gas prod VF'!$AQ$13:$AQ$1230))</f>
        <v>6.0097343842012947</v>
      </c>
      <c r="Y32" s="314" cm="1">
        <f t="array" ref="Y32">_xlfn.STDEV.S(IF(('3.1. Gas prod VF'!$L$13:$L$1230=$F32) *('3.1. Gas prod VF'!$M$13:$M$1230=$E32),'3.1. Gas prod VF'!$AR$13:$AR$1230))</f>
        <v>7.2785736573919131</v>
      </c>
      <c r="Z32" s="314" cm="1">
        <f t="array" ref="Z32">_xlfn.STDEV.S(IF(('3.1. Gas prod VF'!$L$13:$L$1230=$F32) *('3.1. Gas prod VF'!$M$13:$M$1230=$E32),'3.1. Gas prod VF'!$AS$13:$AS$1230))</f>
        <v>27.614755763462007</v>
      </c>
      <c r="AA32" s="314" cm="1">
        <f t="array" ref="AA32">_xlfn.STDEV.S(IF(('3.1. Gas prod VF'!$L$13:$L$1230=$F32) *('3.1. Gas prod VF'!$M$13:$M$1230=$E32),'3.1. Gas prod VF'!$AT$13:$AT$1230))</f>
        <v>1.3331227103013876</v>
      </c>
      <c r="AB32" s="314" cm="1">
        <f t="array" ref="AB32">_xlfn.STDEV.S(IF(('3.1. Gas prod VF'!$L$13:$L$1230=$F32) *('3.1. Gas prod VF'!$M$13:$M$1230=$E32),'3.1. Gas prod VF'!$AU$13:$AU$1230))</f>
        <v>4.039734306732397</v>
      </c>
      <c r="AC32" s="314" cm="1">
        <f t="array" ref="AC32">_xlfn.STDEV.S(IF(('3.1. Gas prod VF'!$L$13:$L$1230=$F32) *('3.1. Gas prod VF'!$M$13:$M$1230=$E32),'3.1. Gas prod VF'!$AU$13:$AV$1230))</f>
        <v>15.977147707533708</v>
      </c>
      <c r="AD32" s="20"/>
      <c r="AE32" s="20"/>
    </row>
    <row r="33" spans="2:31" x14ac:dyDescent="0.35">
      <c r="B33" s="62">
        <f>'1. Information samples'!B33</f>
        <v>23</v>
      </c>
      <c r="C33" s="198">
        <f>'1. Information samples'!C33</f>
        <v>46041</v>
      </c>
      <c r="D33" s="62" t="str">
        <f>'1. Information samples'!D33</f>
        <v>Genbank</v>
      </c>
      <c r="E33" s="316">
        <f>'1. Information samples'!E33</f>
        <v>27</v>
      </c>
      <c r="F33" s="62" t="str">
        <f>'1. Information samples'!F33</f>
        <v>F251750</v>
      </c>
      <c r="G33" s="62" t="str">
        <f>'1. Information samples'!G33</f>
        <v>CIAT-33515</v>
      </c>
      <c r="H33" s="62" t="str">
        <f>'1. Information samples'!H33</f>
        <v>Dendrolobium</v>
      </c>
      <c r="I33" s="62" t="str">
        <f>'1. Information samples'!I33</f>
        <v>triangulare</v>
      </c>
      <c r="J33" s="62" t="str">
        <f>'1. Information samples'!J33</f>
        <v>Dendrolobium triangulare</v>
      </c>
      <c r="K33" s="62" t="str">
        <f>'1. Information samples'!K33</f>
        <v>Fabaceae</v>
      </c>
      <c r="L33" s="62" t="str">
        <f>'1. Information samples'!L33</f>
        <v>Fabales</v>
      </c>
      <c r="M33" s="62" t="str">
        <f>'1. Information samples'!M33</f>
        <v>Tree</v>
      </c>
      <c r="N33" s="314" cm="1">
        <f t="array" ref="N33">_xlfn.STDEV.S(IF(('3.1. Gas prod VF'!$L$13:$L$1230=$F33) *('3.1. Gas prod VF'!$M$13:$M$1230=$E33),'3.1. Gas prod VF'!$AG$13:$AG$1230))</f>
        <v>10.017897193740538</v>
      </c>
      <c r="O33" s="314" cm="1">
        <f t="array" ref="O33">_xlfn.STDEV.S(IF(('3.1. Gas prod VF'!$L$13:$L$1230=$F33) *('3.1. Gas prod VF'!$M$13:$M$1230=$E33),'3.1. Gas prod VF'!$AH$13:$AH$1230))</f>
        <v>9.5974705877726869</v>
      </c>
      <c r="P33" s="314" cm="1">
        <f t="array" ref="P33">_xlfn.STDEV.S(IF(('3.1. Gas prod VF'!$L$13:$L$1230=$F33) *('3.1. Gas prod VF'!$M$13:$M$1230=$E33),'3.1. Gas prod VF'!$AI$13:$AI$1230))</f>
        <v>19.513759106509834</v>
      </c>
      <c r="Q33" s="314" cm="1">
        <f t="array" ref="Q33">_xlfn.STDEV.S(IF(('3.1. Gas prod VF'!$L$13:$L$1230=$F33) *('3.1. Gas prod VF'!$M$13:$M$1230=$E33),'3.1. Gas prod VF'!$AJ$13:$AJ$1230))</f>
        <v>1.4054945585369205</v>
      </c>
      <c r="R33" s="314" cm="1">
        <f t="array" ref="R33">_xlfn.STDEV.S(IF(('3.1. Gas prod VF'!$L$13:$L$1230=$F33) *('3.1. Gas prod VF'!$M$13:$M$1230=$E33),'3.1. Gas prod VF'!$AK$13:$AK$1230))</f>
        <v>1.6306626803703288</v>
      </c>
      <c r="S33" s="314" cm="1">
        <f t="array" ref="S33">_xlfn.STDEV.S(IF(('3.1. Gas prod VF'!$L$13:$L$1230=$F33) *('3.1. Gas prod VF'!$M$13:$M$1230=$E33),'3.1. Gas prod VF'!$AL$13:$AL$1230))</f>
        <v>3.0221779356375404</v>
      </c>
      <c r="T33" s="314" cm="1">
        <f t="array" ref="T33">_xlfn.STDEV.S(IF(('3.1. Gas prod VF'!$L$13:$L$1230=$F33) *('3.1. Gas prod VF'!$M$13:$M$1230=$E33),'3.1. Gas prod VF'!$AM$13:$AM$1230))</f>
        <v>41.760406139263999</v>
      </c>
      <c r="U33" s="314" cm="1">
        <f t="array" ref="U33">_xlfn.STDEV.S(IF(('3.1. Gas prod VF'!$L$13:$L$1230=$F33) *('3.1. Gas prod VF'!$M$13:$M$1230=$E33),'3.1. Gas prod VF'!$AN$13:$AN$1230))</f>
        <v>9.5326846044532676</v>
      </c>
      <c r="V33" s="314" cm="1">
        <f t="array" ref="V33">_xlfn.STDEV.S(IF(('3.1. Gas prod VF'!$L$13:$L$1230=$F33) *('3.1. Gas prod VF'!$M$13:$M$1230=$E33),'3.1. Gas prod VF'!$AO$13:$AO$1230))</f>
        <v>1.1154232750857325</v>
      </c>
      <c r="W33" s="314" cm="1">
        <f t="array" ref="W33">_xlfn.STDEV.S(IF(('3.1. Gas prod VF'!$L$13:$L$1230=$F33) *('3.1. Gas prod VF'!$M$13:$M$1230=$E33),'3.1. Gas prod VF'!$AP$13:$AP$1230))</f>
        <v>6.6149182048716861</v>
      </c>
      <c r="X33" s="314" cm="1">
        <f t="array" ref="X33">_xlfn.STDEV.S(IF(('3.1. Gas prod VF'!$L$13:$L$1230=$F33) *('3.1. Gas prod VF'!$M$13:$M$1230=$E33),'3.1. Gas prod VF'!$AQ$13:$AQ$1230))</f>
        <v>7.2247099161175461</v>
      </c>
      <c r="Y33" s="314" cm="1">
        <f t="array" ref="Y33">_xlfn.STDEV.S(IF(('3.1. Gas prod VF'!$L$13:$L$1230=$F33) *('3.1. Gas prod VF'!$M$13:$M$1230=$E33),'3.1. Gas prod VF'!$AR$13:$AR$1230))</f>
        <v>6.4676300641321154</v>
      </c>
      <c r="Z33" s="314" cm="1">
        <f t="array" ref="Z33">_xlfn.STDEV.S(IF(('3.1. Gas prod VF'!$L$13:$L$1230=$F33) *('3.1. Gas prod VF'!$M$13:$M$1230=$E33),'3.1. Gas prod VF'!$AS$13:$AS$1230))</f>
        <v>44.035499977376546</v>
      </c>
      <c r="AA33" s="314" cm="1">
        <f t="array" ref="AA33">_xlfn.STDEV.S(IF(('3.1. Gas prod VF'!$L$13:$L$1230=$F33) *('3.1. Gas prod VF'!$M$13:$M$1230=$E33),'3.1. Gas prod VF'!$AT$13:$AT$1230))</f>
        <v>0.11723463046077962</v>
      </c>
      <c r="AB33" s="314" cm="1">
        <f t="array" ref="AB33">_xlfn.STDEV.S(IF(('3.1. Gas prod VF'!$L$13:$L$1230=$F33) *('3.1. Gas prod VF'!$M$13:$M$1230=$E33),'3.1. Gas prod VF'!$AU$13:$AU$1230))</f>
        <v>3.5896465823072354</v>
      </c>
      <c r="AC33" s="314" cm="1">
        <f t="array" ref="AC33">_xlfn.STDEV.S(IF(('3.1. Gas prod VF'!$L$13:$L$1230=$F33) *('3.1. Gas prod VF'!$M$13:$M$1230=$E33),'3.1. Gas prod VF'!$AU$13:$AV$1230))</f>
        <v>21.935198586332657</v>
      </c>
      <c r="AD33" s="20"/>
      <c r="AE33" s="20"/>
    </row>
    <row r="34" spans="2:31" x14ac:dyDescent="0.35">
      <c r="B34" s="62">
        <f>'1. Information samples'!B34</f>
        <v>24</v>
      </c>
      <c r="C34" s="198">
        <f>'1. Information samples'!C34</f>
        <v>46041</v>
      </c>
      <c r="D34" s="62" t="str">
        <f>'1. Information samples'!D34</f>
        <v>Genbank</v>
      </c>
      <c r="E34" s="316">
        <f>'1. Information samples'!E34</f>
        <v>27</v>
      </c>
      <c r="F34" s="62" t="str">
        <f>'1. Information samples'!F34</f>
        <v>F251751</v>
      </c>
      <c r="G34" s="62" t="str">
        <f>'1. Information samples'!G34</f>
        <v>CIAT-7353</v>
      </c>
      <c r="H34" s="62" t="str">
        <f>'1. Information samples'!H34</f>
        <v>Prosopis</v>
      </c>
      <c r="I34" s="62" t="str">
        <f>'1. Information samples'!I34</f>
        <v>juliflora</v>
      </c>
      <c r="J34" s="62" t="str">
        <f>'1. Information samples'!J34</f>
        <v>Prosopis juliflora</v>
      </c>
      <c r="K34" s="62" t="str">
        <f>'1. Information samples'!K34</f>
        <v>Fabaceae</v>
      </c>
      <c r="L34" s="62" t="str">
        <f>'1. Information samples'!L34</f>
        <v>Fabales</v>
      </c>
      <c r="M34" s="62" t="str">
        <f>'1. Information samples'!M34</f>
        <v>Tree</v>
      </c>
      <c r="N34" s="314" cm="1">
        <f t="array" ref="N34">_xlfn.STDEV.S(IF(('3.1. Gas prod VF'!$L$13:$L$1230=$F34) *('3.1. Gas prod VF'!$M$13:$M$1230=$E34),'3.1. Gas prod VF'!$AG$13:$AG$1230))</f>
        <v>4.315673161904682</v>
      </c>
      <c r="O34" s="314" cm="1">
        <f t="array" ref="O34">_xlfn.STDEV.S(IF(('3.1. Gas prod VF'!$L$13:$L$1230=$F34) *('3.1. Gas prod VF'!$M$13:$M$1230=$E34),'3.1. Gas prod VF'!$AH$13:$AH$1230))</f>
        <v>3.3324552426013807</v>
      </c>
      <c r="P34" s="314" cm="1">
        <f t="array" ref="P34">_xlfn.STDEV.S(IF(('3.1. Gas prod VF'!$L$13:$L$1230=$F34) *('3.1. Gas prod VF'!$M$13:$M$1230=$E34),'3.1. Gas prod VF'!$AI$13:$AI$1230))</f>
        <v>6.217737337655846</v>
      </c>
      <c r="Q34" s="314" cm="1">
        <f t="array" ref="Q34">_xlfn.STDEV.S(IF(('3.1. Gas prod VF'!$L$13:$L$1230=$F34) *('3.1. Gas prod VF'!$M$13:$M$1230=$E34),'3.1. Gas prod VF'!$AJ$13:$AJ$1230))</f>
        <v>0.67721326956817329</v>
      </c>
      <c r="R34" s="314" cm="1">
        <f t="array" ref="R34">_xlfn.STDEV.S(IF(('3.1. Gas prod VF'!$L$13:$L$1230=$F34) *('3.1. Gas prod VF'!$M$13:$M$1230=$E34),'3.1. Gas prod VF'!$AK$13:$AK$1230))</f>
        <v>0.96338240134646413</v>
      </c>
      <c r="S34" s="314" cm="1">
        <f t="array" ref="S34">_xlfn.STDEV.S(IF(('3.1. Gas prod VF'!$L$13:$L$1230=$F34) *('3.1. Gas prod VF'!$M$13:$M$1230=$E34),'3.1. Gas prod VF'!$AL$13:$AL$1230))</f>
        <v>1.3633499381240233</v>
      </c>
      <c r="T34" s="314" cm="1">
        <f t="array" ref="T34">_xlfn.STDEV.S(IF(('3.1. Gas prod VF'!$L$13:$L$1230=$F34) *('3.1. Gas prod VF'!$M$13:$M$1230=$E34),'3.1. Gas prod VF'!$AM$13:$AM$1230))</f>
        <v>13.122911225328975</v>
      </c>
      <c r="U34" s="314" cm="1">
        <f t="array" ref="U34">_xlfn.STDEV.S(IF(('3.1. Gas prod VF'!$L$13:$L$1230=$F34) *('3.1. Gas prod VF'!$M$13:$M$1230=$E34),'3.1. Gas prod VF'!$AN$13:$AN$1230))</f>
        <v>6.5048653421865721</v>
      </c>
      <c r="V34" s="314" cm="1">
        <f t="array" ref="V34">_xlfn.STDEV.S(IF(('3.1. Gas prod VF'!$L$13:$L$1230=$F34) *('3.1. Gas prod VF'!$M$13:$M$1230=$E34),'3.1. Gas prod VF'!$AO$13:$AO$1230))</f>
        <v>1.5123248142166046</v>
      </c>
      <c r="W34" s="314" cm="1">
        <f t="array" ref="W34">_xlfn.STDEV.S(IF(('3.1. Gas prod VF'!$L$13:$L$1230=$F34) *('3.1. Gas prod VF'!$M$13:$M$1230=$E34),'3.1. Gas prod VF'!$AP$13:$AP$1230))</f>
        <v>1.2999313168669391</v>
      </c>
      <c r="X34" s="314" cm="1">
        <f t="array" ref="X34">_xlfn.STDEV.S(IF(('3.1. Gas prod VF'!$L$13:$L$1230=$F34) *('3.1. Gas prod VF'!$M$13:$M$1230=$E34),'3.1. Gas prod VF'!$AQ$13:$AQ$1230))</f>
        <v>2.4372718218045035</v>
      </c>
      <c r="Y34" s="314" cm="1">
        <f t="array" ref="Y34">_xlfn.STDEV.S(IF(('3.1. Gas prod VF'!$L$13:$L$1230=$F34) *('3.1. Gas prod VF'!$M$13:$M$1230=$E34),'3.1. Gas prod VF'!$AR$13:$AR$1230))</f>
        <v>2.8790784894709449</v>
      </c>
      <c r="Z34" s="314" cm="1">
        <f t="array" ref="Z34">_xlfn.STDEV.S(IF(('3.1. Gas prod VF'!$L$13:$L$1230=$F34) *('3.1. Gas prod VF'!$M$13:$M$1230=$E34),'3.1. Gas prod VF'!$AS$13:$AS$1230))</f>
        <v>7.7437297220758374</v>
      </c>
      <c r="AA34" s="314" cm="1">
        <f t="array" ref="AA34">_xlfn.STDEV.S(IF(('3.1. Gas prod VF'!$L$13:$L$1230=$F34) *('3.1. Gas prod VF'!$M$13:$M$1230=$E34),'3.1. Gas prod VF'!$AT$13:$AT$1230))</f>
        <v>0.40934272744365235</v>
      </c>
      <c r="AB34" s="314" cm="1">
        <f t="array" ref="AB34">_xlfn.STDEV.S(IF(('3.1. Gas prod VF'!$L$13:$L$1230=$F34) *('3.1. Gas prod VF'!$M$13:$M$1230=$E34),'3.1. Gas prod VF'!$AU$13:$AU$1230))</f>
        <v>1.5979383727029057</v>
      </c>
      <c r="AC34" s="314" cm="1">
        <f t="array" ref="AC34">_xlfn.STDEV.S(IF(('3.1. Gas prod VF'!$L$13:$L$1230=$F34) *('3.1. Gas prod VF'!$M$13:$M$1230=$E34),'3.1. Gas prod VF'!$AU$13:$AV$1230))</f>
        <v>3.9781547000611224</v>
      </c>
      <c r="AD34" s="20"/>
      <c r="AE34" s="20"/>
    </row>
    <row r="35" spans="2:31" x14ac:dyDescent="0.35">
      <c r="B35" s="62">
        <f>'1. Information samples'!B35</f>
        <v>25</v>
      </c>
      <c r="C35" s="198">
        <f>'1. Information samples'!C35</f>
        <v>46041</v>
      </c>
      <c r="D35" s="62" t="str">
        <f>'1. Information samples'!D35</f>
        <v>Genbank</v>
      </c>
      <c r="E35" s="316">
        <f>'1. Information samples'!E35</f>
        <v>27</v>
      </c>
      <c r="F35" s="62" t="str">
        <f>'1. Information samples'!F35</f>
        <v>F251752</v>
      </c>
      <c r="G35" s="62" t="str">
        <f>'1. Information samples'!G35</f>
        <v>CIAT-7976</v>
      </c>
      <c r="H35" s="62" t="str">
        <f>'1. Information samples'!H35</f>
        <v>Cassia</v>
      </c>
      <c r="I35" s="62" t="str">
        <f>'1. Information samples'!I35</f>
        <v>sp.</v>
      </c>
      <c r="J35" s="62" t="str">
        <f>'1. Information samples'!J35</f>
        <v>Cassia sp.</v>
      </c>
      <c r="K35" s="62" t="str">
        <f>'1. Information samples'!K35</f>
        <v>Fabaceae</v>
      </c>
      <c r="L35" s="62" t="str">
        <f>'1. Information samples'!L35</f>
        <v>Fabales</v>
      </c>
      <c r="M35" s="62" t="str">
        <f>'1. Information samples'!M35</f>
        <v>Tree</v>
      </c>
      <c r="N35" s="314" cm="1">
        <f t="array" ref="N35">_xlfn.STDEV.S(IF(('3.1. Gas prod VF'!$L$13:$L$1230=$F35) *('3.1. Gas prod VF'!$M$13:$M$1230=$E35),'3.1. Gas prod VF'!$AG$13:$AG$1230))</f>
        <v>3.4458746859563911</v>
      </c>
      <c r="O35" s="314" cm="1">
        <f t="array" ref="O35">_xlfn.STDEV.S(IF(('3.1. Gas prod VF'!$L$13:$L$1230=$F35) *('3.1. Gas prod VF'!$M$13:$M$1230=$E35),'3.1. Gas prod VF'!$AH$13:$AH$1230))</f>
        <v>2.135179286817062</v>
      </c>
      <c r="P35" s="314" cm="1">
        <f t="array" ref="P35">_xlfn.STDEV.S(IF(('3.1. Gas prod VF'!$L$13:$L$1230=$F35) *('3.1. Gas prod VF'!$M$13:$M$1230=$E35),'3.1. Gas prod VF'!$AI$13:$AI$1230))</f>
        <v>4.8580220597365926</v>
      </c>
      <c r="Q35" s="314" cm="1">
        <f t="array" ref="Q35">_xlfn.STDEV.S(IF(('3.1. Gas prod VF'!$L$13:$L$1230=$F35) *('3.1. Gas prod VF'!$M$13:$M$1230=$E35),'3.1. Gas prod VF'!$AJ$13:$AJ$1230))</f>
        <v>0.48248697221566578</v>
      </c>
      <c r="R35" s="314" cm="1">
        <f t="array" ref="R35">_xlfn.STDEV.S(IF(('3.1. Gas prod VF'!$L$13:$L$1230=$F35) *('3.1. Gas prod VF'!$M$13:$M$1230=$E35),'3.1. Gas prod VF'!$AK$13:$AK$1230))</f>
        <v>0.34691835188123882</v>
      </c>
      <c r="S35" s="314" cm="1">
        <f t="array" ref="S35">_xlfn.STDEV.S(IF(('3.1. Gas prod VF'!$L$13:$L$1230=$F35) *('3.1. Gas prod VF'!$M$13:$M$1230=$E35),'3.1. Gas prod VF'!$AL$13:$AL$1230))</f>
        <v>0.59369353118449741</v>
      </c>
      <c r="T35" s="314" cm="1">
        <f t="array" ref="T35">_xlfn.STDEV.S(IF(('3.1. Gas prod VF'!$L$13:$L$1230=$F35) *('3.1. Gas prod VF'!$M$13:$M$1230=$E35),'3.1. Gas prod VF'!$AM$13:$AM$1230))</f>
        <v>10.388660540267511</v>
      </c>
      <c r="U35" s="314" cm="1">
        <f t="array" ref="U35">_xlfn.STDEV.S(IF(('3.1. Gas prod VF'!$L$13:$L$1230=$F35) *('3.1. Gas prod VF'!$M$13:$M$1230=$E35),'3.1. Gas prod VF'!$AN$13:$AN$1230))</f>
        <v>7.3181843926753247</v>
      </c>
      <c r="V35" s="314" cm="1">
        <f t="array" ref="V35">_xlfn.STDEV.S(IF(('3.1. Gas prod VF'!$L$13:$L$1230=$F35) *('3.1. Gas prod VF'!$M$13:$M$1230=$E35),'3.1. Gas prod VF'!$AO$13:$AO$1230))</f>
        <v>0.60574581897690127</v>
      </c>
      <c r="W35" s="314" cm="1">
        <f t="array" ref="W35">_xlfn.STDEV.S(IF(('3.1. Gas prod VF'!$L$13:$L$1230=$F35) *('3.1. Gas prod VF'!$M$13:$M$1230=$E35),'3.1. Gas prod VF'!$AP$13:$AP$1230))</f>
        <v>1.0633504999360686</v>
      </c>
      <c r="X35" s="314" cm="1">
        <f t="array" ref="X35">_xlfn.STDEV.S(IF(('3.1. Gas prod VF'!$L$13:$L$1230=$F35) *('3.1. Gas prod VF'!$M$13:$M$1230=$E35),'3.1. Gas prod VF'!$AQ$13:$AQ$1230))</f>
        <v>0.53998440716934681</v>
      </c>
      <c r="Y35" s="314" cm="1">
        <f t="array" ref="Y35">_xlfn.STDEV.S(IF(('3.1. Gas prod VF'!$L$13:$L$1230=$F35) *('3.1. Gas prod VF'!$M$13:$M$1230=$E35),'3.1. Gas prod VF'!$AR$13:$AR$1230))</f>
        <v>1.2721255910323384</v>
      </c>
      <c r="Z35" s="314" cm="1">
        <f t="array" ref="Z35">_xlfn.STDEV.S(IF(('3.1. Gas prod VF'!$L$13:$L$1230=$F35) *('3.1. Gas prod VF'!$M$13:$M$1230=$E35),'3.1. Gas prod VF'!$AS$13:$AS$1230))</f>
        <v>9.758473597147761</v>
      </c>
      <c r="AA35" s="314" cm="1">
        <f t="array" ref="AA35">_xlfn.STDEV.S(IF(('3.1. Gas prod VF'!$L$13:$L$1230=$F35) *('3.1. Gas prod VF'!$M$13:$M$1230=$E35),'3.1. Gas prod VF'!$AT$13:$AT$1230))</f>
        <v>0.74776125618441702</v>
      </c>
      <c r="AB35" s="314" cm="1">
        <f t="array" ref="AB35">_xlfn.STDEV.S(IF(('3.1. Gas prod VF'!$L$13:$L$1230=$F35) *('3.1. Gas prod VF'!$M$13:$M$1230=$E35),'3.1. Gas prod VF'!$AU$13:$AU$1230))</f>
        <v>0.70605171211621898</v>
      </c>
      <c r="AC35" s="314" cm="1">
        <f t="array" ref="AC35">_xlfn.STDEV.S(IF(('3.1. Gas prod VF'!$L$13:$L$1230=$F35) *('3.1. Gas prod VF'!$M$13:$M$1230=$E35),'3.1. Gas prod VF'!$AU$13:$AV$1230))</f>
        <v>8.5221604120136263</v>
      </c>
      <c r="AD35" s="20"/>
      <c r="AE35" s="20"/>
    </row>
    <row r="36" spans="2:31" x14ac:dyDescent="0.35">
      <c r="B36" s="62">
        <f>'1. Information samples'!B36</f>
        <v>26</v>
      </c>
      <c r="C36" s="198">
        <f>'1. Information samples'!C36</f>
        <v>46041</v>
      </c>
      <c r="D36" s="62" t="str">
        <f>'1. Information samples'!D36</f>
        <v>Genbank</v>
      </c>
      <c r="E36" s="316">
        <f>'1. Information samples'!E36</f>
        <v>27</v>
      </c>
      <c r="F36" s="62" t="str">
        <f>'1. Information samples'!F36</f>
        <v>F251753</v>
      </c>
      <c r="G36" s="62" t="str">
        <f>'1. Information samples'!G36</f>
        <v>CIAT-8018</v>
      </c>
      <c r="H36" s="62" t="str">
        <f>'1. Information samples'!H36</f>
        <v>Acacia</v>
      </c>
      <c r="I36" s="62" t="str">
        <f>'1. Information samples'!I36</f>
        <v>aroma</v>
      </c>
      <c r="J36" s="62" t="str">
        <f>'1. Information samples'!J36</f>
        <v>Acacia aroma</v>
      </c>
      <c r="K36" s="62" t="str">
        <f>'1. Information samples'!K36</f>
        <v>Fabaceae</v>
      </c>
      <c r="L36" s="62" t="str">
        <f>'1. Information samples'!L36</f>
        <v>Fabales</v>
      </c>
      <c r="M36" s="62" t="str">
        <f>'1. Information samples'!M36</f>
        <v>Tree</v>
      </c>
      <c r="N36" s="314" cm="1">
        <f t="array" ref="N36">_xlfn.STDEV.S(IF(('3.1. Gas prod VF'!$L$13:$L$1230=$F36) *('3.1. Gas prod VF'!$M$13:$M$1230=$E36),'3.1. Gas prod VF'!$AG$13:$AG$1230))</f>
        <v>12.02213344371455</v>
      </c>
      <c r="O36" s="314" cm="1">
        <f t="array" ref="O36">_xlfn.STDEV.S(IF(('3.1. Gas prod VF'!$L$13:$L$1230=$F36) *('3.1. Gas prod VF'!$M$13:$M$1230=$E36),'3.1. Gas prod VF'!$AH$13:$AH$1230))</f>
        <v>7.4867871312619005</v>
      </c>
      <c r="P36" s="314" cm="1">
        <f t="array" ref="P36">_xlfn.STDEV.S(IF(('3.1. Gas prod VF'!$L$13:$L$1230=$F36) *('3.1. Gas prod VF'!$M$13:$M$1230=$E36),'3.1. Gas prod VF'!$AI$13:$AI$1230))</f>
        <v>19.481839271079341</v>
      </c>
      <c r="Q36" s="314" cm="1">
        <f t="array" ref="Q36">_xlfn.STDEV.S(IF(('3.1. Gas prod VF'!$L$13:$L$1230=$F36) *('3.1. Gas prod VF'!$M$13:$M$1230=$E36),'3.1. Gas prod VF'!$AJ$13:$AJ$1230))</f>
        <v>1.6981255082710029</v>
      </c>
      <c r="R36" s="314" cm="1">
        <f t="array" ref="R36">_xlfn.STDEV.S(IF(('3.1. Gas prod VF'!$L$13:$L$1230=$F36) *('3.1. Gas prod VF'!$M$13:$M$1230=$E36),'3.1. Gas prod VF'!$AK$13:$AK$1230))</f>
        <v>1.3713149435088632</v>
      </c>
      <c r="S36" s="314" cm="1">
        <f t="array" ref="S36">_xlfn.STDEV.S(IF(('3.1. Gas prod VF'!$L$13:$L$1230=$F36) *('3.1. Gas prod VF'!$M$13:$M$1230=$E36),'3.1. Gas prod VF'!$AL$13:$AL$1230))</f>
        <v>3.0639253181114476</v>
      </c>
      <c r="T36" s="314" cm="1">
        <f t="array" ref="T36">_xlfn.STDEV.S(IF(('3.1. Gas prod VF'!$L$13:$L$1230=$F36) *('3.1. Gas prod VF'!$M$13:$M$1230=$E36),'3.1. Gas prod VF'!$AM$13:$AM$1230))</f>
        <v>41.525100790101568</v>
      </c>
      <c r="U36" s="314" cm="1">
        <f t="array" ref="U36">_xlfn.STDEV.S(IF(('3.1. Gas prod VF'!$L$13:$L$1230=$F36) *('3.1. Gas prod VF'!$M$13:$M$1230=$E36),'3.1. Gas prod VF'!$AN$13:$AN$1230))</f>
        <v>9.414169081574423</v>
      </c>
      <c r="V36" s="314" cm="1">
        <f t="array" ref="V36">_xlfn.STDEV.S(IF(('3.1. Gas prod VF'!$L$13:$L$1230=$F36) *('3.1. Gas prod VF'!$M$13:$M$1230=$E36),'3.1. Gas prod VF'!$AO$13:$AO$1230))</f>
        <v>1.0735690884630176</v>
      </c>
      <c r="W36" s="314" cm="1">
        <f t="array" ref="W36">_xlfn.STDEV.S(IF(('3.1. Gas prod VF'!$L$13:$L$1230=$F36) *('3.1. Gas prod VF'!$M$13:$M$1230=$E36),'3.1. Gas prod VF'!$AP$13:$AP$1230))</f>
        <v>6.5292747354839173</v>
      </c>
      <c r="X36" s="314" cm="1">
        <f t="array" ref="X36">_xlfn.STDEV.S(IF(('3.1. Gas prod VF'!$L$13:$L$1230=$F36) *('3.1. Gas prod VF'!$M$13:$M$1230=$E36),'3.1. Gas prod VF'!$AQ$13:$AQ$1230))</f>
        <v>7.2729546037674808</v>
      </c>
      <c r="Y36" s="314" cm="1">
        <f t="array" ref="Y36">_xlfn.STDEV.S(IF(('3.1. Gas prod VF'!$L$13:$L$1230=$F36) *('3.1. Gas prod VF'!$M$13:$M$1230=$E36),'3.1. Gas prod VF'!$AR$13:$AR$1230))</f>
        <v>6.5305911367278604</v>
      </c>
      <c r="Z36" s="314" cm="1">
        <f t="array" ref="Z36">_xlfn.STDEV.S(IF(('3.1. Gas prod VF'!$L$13:$L$1230=$F36) *('3.1. Gas prod VF'!$M$13:$M$1230=$E36),'3.1. Gas prod VF'!$AS$13:$AS$1230))</f>
        <v>37.156748085369088</v>
      </c>
      <c r="AA36" s="314" cm="1">
        <f t="array" ref="AA36">_xlfn.STDEV.S(IF(('3.1. Gas prod VF'!$L$13:$L$1230=$F36) *('3.1. Gas prod VF'!$M$13:$M$1230=$E36),'3.1. Gas prod VF'!$AT$13:$AT$1230))</f>
        <v>0.25988348093759289</v>
      </c>
      <c r="AB36" s="314" cm="1">
        <f t="array" ref="AB36">_xlfn.STDEV.S(IF(('3.1. Gas prod VF'!$L$13:$L$1230=$F36) *('3.1. Gas prod VF'!$M$13:$M$1230=$E36),'3.1. Gas prod VF'!$AU$13:$AU$1230))</f>
        <v>3.6245910668897867</v>
      </c>
      <c r="AC36" s="314" cm="1">
        <f t="array" ref="AC36">_xlfn.STDEV.S(IF(('3.1. Gas prod VF'!$L$13:$L$1230=$F36) *('3.1. Gas prod VF'!$M$13:$M$1230=$E36),'3.1. Gas prod VF'!$AU$13:$AV$1230))</f>
        <v>19.338320358397066</v>
      </c>
      <c r="AD36" s="20"/>
      <c r="AE36" s="20"/>
    </row>
    <row r="37" spans="2:31" x14ac:dyDescent="0.35">
      <c r="B37" s="62">
        <f>'1. Information samples'!B37</f>
        <v>27</v>
      </c>
      <c r="C37" s="198">
        <f>'1. Information samples'!C37</f>
        <v>46041</v>
      </c>
      <c r="D37" s="62" t="str">
        <f>'1. Information samples'!D37</f>
        <v>Genbank</v>
      </c>
      <c r="E37" s="316">
        <f>'1. Information samples'!E37</f>
        <v>27</v>
      </c>
      <c r="F37" s="62" t="str">
        <f>'1. Information samples'!F37</f>
        <v>F251754</v>
      </c>
      <c r="G37" s="62" t="str">
        <f>'1. Information samples'!G37</f>
        <v>CIAT-9990</v>
      </c>
      <c r="H37" s="62" t="str">
        <f>'1. Information samples'!H37</f>
        <v>Prosopis</v>
      </c>
      <c r="I37" s="62" t="str">
        <f>'1. Information samples'!I37</f>
        <v>juliflora</v>
      </c>
      <c r="J37" s="62" t="str">
        <f>'1. Information samples'!J37</f>
        <v>Prosopis juliflora</v>
      </c>
      <c r="K37" s="62" t="str">
        <f>'1. Information samples'!K37</f>
        <v>Fabaceae</v>
      </c>
      <c r="L37" s="62" t="str">
        <f>'1. Information samples'!L37</f>
        <v>Fabales</v>
      </c>
      <c r="M37" s="62" t="str">
        <f>'1. Information samples'!M37</f>
        <v>Tree</v>
      </c>
      <c r="N37" s="314" cm="1">
        <f t="array" ref="N37">_xlfn.STDEV.S(IF(('3.1. Gas prod VF'!$L$13:$L$1230=$F37) *('3.1. Gas prod VF'!$M$13:$M$1230=$E37),'3.1. Gas prod VF'!$AG$13:$AG$1230))</f>
        <v>2.3462506885647989</v>
      </c>
      <c r="O37" s="314" cm="1">
        <f t="array" ref="O37">_xlfn.STDEV.S(IF(('3.1. Gas prod VF'!$L$13:$L$1230=$F37) *('3.1. Gas prod VF'!$M$13:$M$1230=$E37),'3.1. Gas prod VF'!$AH$13:$AH$1230))</f>
        <v>1.4869654132078811</v>
      </c>
      <c r="P37" s="314" cm="1">
        <f t="array" ref="P37">_xlfn.STDEV.S(IF(('3.1. Gas prod VF'!$L$13:$L$1230=$F37) *('3.1. Gas prod VF'!$M$13:$M$1230=$E37),'3.1. Gas prod VF'!$AI$13:$AI$1230))</f>
        <v>3.3882091396147183</v>
      </c>
      <c r="Q37" s="314" cm="1">
        <f t="array" ref="Q37">_xlfn.STDEV.S(IF(('3.1. Gas prod VF'!$L$13:$L$1230=$F37) *('3.1. Gas prod VF'!$M$13:$M$1230=$E37),'3.1. Gas prod VF'!$AJ$13:$AJ$1230))</f>
        <v>0.36100960267927446</v>
      </c>
      <c r="R37" s="314" cm="1">
        <f t="array" ref="R37">_xlfn.STDEV.S(IF(('3.1. Gas prod VF'!$L$13:$L$1230=$F37) *('3.1. Gas prod VF'!$M$13:$M$1230=$E37),'3.1. Gas prod VF'!$AK$13:$AK$1230))</f>
        <v>0.2862257379454573</v>
      </c>
      <c r="S37" s="314" cm="1">
        <f t="array" ref="S37">_xlfn.STDEV.S(IF(('3.1. Gas prod VF'!$L$13:$L$1230=$F37) *('3.1. Gas prod VF'!$M$13:$M$1230=$E37),'3.1. Gas prod VF'!$AL$13:$AL$1230))</f>
        <v>0.44673044284950048</v>
      </c>
      <c r="T37" s="314" cm="1">
        <f t="array" ref="T37">_xlfn.STDEV.S(IF(('3.1. Gas prod VF'!$L$13:$L$1230=$F37) *('3.1. Gas prod VF'!$M$13:$M$1230=$E37),'3.1. Gas prod VF'!$AM$13:$AM$1230))</f>
        <v>7.2782989798816065</v>
      </c>
      <c r="U37" s="314" cm="1">
        <f t="array" ref="U37">_xlfn.STDEV.S(IF(('3.1. Gas prod VF'!$L$13:$L$1230=$F37) *('3.1. Gas prod VF'!$M$13:$M$1230=$E37),'3.1. Gas prod VF'!$AN$13:$AN$1230))</f>
        <v>6.1232381542697629</v>
      </c>
      <c r="V37" s="314" cm="1">
        <f t="array" ref="V37">_xlfn.STDEV.S(IF(('3.1. Gas prod VF'!$L$13:$L$1230=$F37) *('3.1. Gas prod VF'!$M$13:$M$1230=$E37),'3.1. Gas prod VF'!$AO$13:$AO$1230))</f>
        <v>1.1487886804122733</v>
      </c>
      <c r="W37" s="314" cm="1">
        <f t="array" ref="W37">_xlfn.STDEV.S(IF(('3.1. Gas prod VF'!$L$13:$L$1230=$F37) *('3.1. Gas prod VF'!$M$13:$M$1230=$E37),'3.1. Gas prod VF'!$AP$13:$AP$1230))</f>
        <v>1.2127300959876901</v>
      </c>
      <c r="X37" s="314" cm="1">
        <f t="array" ref="X37">_xlfn.STDEV.S(IF(('3.1. Gas prod VF'!$L$13:$L$1230=$F37) *('3.1. Gas prod VF'!$M$13:$M$1230=$E37),'3.1. Gas prod VF'!$AQ$13:$AQ$1230))</f>
        <v>1.3264771048067645</v>
      </c>
      <c r="Y37" s="314" cm="1">
        <f t="array" ref="Y37">_xlfn.STDEV.S(IF(('3.1. Gas prod VF'!$L$13:$L$1230=$F37) *('3.1. Gas prod VF'!$M$13:$M$1230=$E37),'3.1. Gas prod VF'!$AR$13:$AR$1230))</f>
        <v>0.95994080566406281</v>
      </c>
      <c r="Z37" s="314" cm="1">
        <f t="array" ref="Z37">_xlfn.STDEV.S(IF(('3.1. Gas prod VF'!$L$13:$L$1230=$F37) *('3.1. Gas prod VF'!$M$13:$M$1230=$E37),'3.1. Gas prod VF'!$AS$13:$AS$1230))</f>
        <v>2.1518839051236855</v>
      </c>
      <c r="AA37" s="314" cm="1">
        <f t="array" ref="AA37">_xlfn.STDEV.S(IF(('3.1. Gas prod VF'!$L$13:$L$1230=$F37) *('3.1. Gas prod VF'!$M$13:$M$1230=$E37),'3.1. Gas prod VF'!$AT$13:$AT$1230))</f>
        <v>0.41064671268251884</v>
      </c>
      <c r="AB37" s="314" cm="1">
        <f t="array" ref="AB37">_xlfn.STDEV.S(IF(('3.1. Gas prod VF'!$L$13:$L$1230=$F37) *('3.1. Gas prod VF'!$M$13:$M$1230=$E37),'3.1. Gas prod VF'!$AU$13:$AU$1230))</f>
        <v>0.53278375511597076</v>
      </c>
      <c r="AC37" s="314" cm="1">
        <f t="array" ref="AC37">_xlfn.STDEV.S(IF(('3.1. Gas prod VF'!$L$13:$L$1230=$F37) *('3.1. Gas prod VF'!$M$13:$M$1230=$E37),'3.1. Gas prod VF'!$AU$13:$AV$1230))</f>
        <v>1.3748151481160933</v>
      </c>
      <c r="AD37" s="20"/>
      <c r="AE37" s="20"/>
    </row>
    <row r="38" spans="2:31" x14ac:dyDescent="0.35">
      <c r="B38" s="62">
        <f>'1. Information samples'!B38</f>
        <v>28</v>
      </c>
      <c r="C38" s="198">
        <f>'1. Information samples'!C38</f>
        <v>46041</v>
      </c>
      <c r="D38" s="62" t="str">
        <f>'1. Information samples'!D38</f>
        <v>Genbank</v>
      </c>
      <c r="E38" s="316">
        <f>'1. Information samples'!E38</f>
        <v>27</v>
      </c>
      <c r="F38" s="62" t="str">
        <f>'1. Information samples'!F38</f>
        <v>F251755</v>
      </c>
      <c r="G38" s="62" t="str">
        <f>'1. Information samples'!G38</f>
        <v>CIAT-13258</v>
      </c>
      <c r="H38" s="62" t="str">
        <f>'1. Information samples'!H38</f>
        <v>Dendrolobium</v>
      </c>
      <c r="I38" s="62" t="str">
        <f>'1. Information samples'!I38</f>
        <v>lanceolatum</v>
      </c>
      <c r="J38" s="62" t="str">
        <f>'1. Information samples'!J38</f>
        <v>Dendrolobium lanceolatum</v>
      </c>
      <c r="K38" s="62" t="str">
        <f>'1. Information samples'!K38</f>
        <v>Fabaceae</v>
      </c>
      <c r="L38" s="62" t="str">
        <f>'1. Information samples'!L38</f>
        <v>Fabales</v>
      </c>
      <c r="M38" s="62" t="str">
        <f>'1. Information samples'!M38</f>
        <v>Tree</v>
      </c>
      <c r="N38" s="314" cm="1">
        <f t="array" ref="N38">_xlfn.STDEV.S(IF(('3.1. Gas prod VF'!$L$13:$L$1230=$F38) *('3.1. Gas prod VF'!$M$13:$M$1230=$E38),'3.1. Gas prod VF'!$AG$13:$AG$1230))</f>
        <v>1.2909801289030258</v>
      </c>
      <c r="O38" s="314" cm="1">
        <f t="array" ref="O38">_xlfn.STDEV.S(IF(('3.1. Gas prod VF'!$L$13:$L$1230=$F38) *('3.1. Gas prod VF'!$M$13:$M$1230=$E38),'3.1. Gas prod VF'!$AH$13:$AH$1230))</f>
        <v>0.51685710637771098</v>
      </c>
      <c r="P38" s="314" cm="1">
        <f t="array" ref="P38">_xlfn.STDEV.S(IF(('3.1. Gas prod VF'!$L$13:$L$1230=$F38) *('3.1. Gas prod VF'!$M$13:$M$1230=$E38),'3.1. Gas prod VF'!$AI$13:$AI$1230))</f>
        <v>1.5505716858573624</v>
      </c>
      <c r="Q38" s="314" cm="1">
        <f t="array" ref="Q38">_xlfn.STDEV.S(IF(('3.1. Gas prod VF'!$L$13:$L$1230=$F38) *('3.1. Gas prod VF'!$M$13:$M$1230=$E38),'3.1. Gas prod VF'!$AJ$13:$AJ$1230))</f>
        <v>0.19194597857516543</v>
      </c>
      <c r="R38" s="314" cm="1">
        <f t="array" ref="R38">_xlfn.STDEV.S(IF(('3.1. Gas prod VF'!$L$13:$L$1230=$F38) *('3.1. Gas prod VF'!$M$13:$M$1230=$E38),'3.1. Gas prod VF'!$AK$13:$AK$1230))</f>
        <v>0.31980083737079529</v>
      </c>
      <c r="S38" s="314" cm="1">
        <f t="array" ref="S38">_xlfn.STDEV.S(IF(('3.1. Gas prod VF'!$L$13:$L$1230=$F38) *('3.1. Gas prod VF'!$M$13:$M$1230=$E38),'3.1. Gas prod VF'!$AL$13:$AL$1230))</f>
        <v>0.43470518702098676</v>
      </c>
      <c r="T38" s="314" cm="1">
        <f t="array" ref="T38">_xlfn.STDEV.S(IF(('3.1. Gas prod VF'!$L$13:$L$1230=$F38) *('3.1. Gas prod VF'!$M$13:$M$1230=$E38),'3.1. Gas prod VF'!$AM$13:$AM$1230))</f>
        <v>3.2914216953034225</v>
      </c>
      <c r="U38" s="314" cm="1">
        <f t="array" ref="U38">_xlfn.STDEV.S(IF(('3.1. Gas prod VF'!$L$13:$L$1230=$F38) *('3.1. Gas prod VF'!$M$13:$M$1230=$E38),'3.1. Gas prod VF'!$AN$13:$AN$1230))</f>
        <v>4.3129874792203378</v>
      </c>
      <c r="V38" s="314" cm="1">
        <f t="array" ref="V38">_xlfn.STDEV.S(IF(('3.1. Gas prod VF'!$L$13:$L$1230=$F38) *('3.1. Gas prod VF'!$M$13:$M$1230=$E38),'3.1. Gas prod VF'!$AO$13:$AO$1230))</f>
        <v>0.60131334536441394</v>
      </c>
      <c r="W38" s="314" cm="1">
        <f t="array" ref="W38">_xlfn.STDEV.S(IF(('3.1. Gas prod VF'!$L$13:$L$1230=$F38) *('3.1. Gas prod VF'!$M$13:$M$1230=$E38),'3.1. Gas prod VF'!$AP$13:$AP$1230))</f>
        <v>0.81842619005712924</v>
      </c>
      <c r="X38" s="314" cm="1">
        <f t="array" ref="X38">_xlfn.STDEV.S(IF(('3.1. Gas prod VF'!$L$13:$L$1230=$F38) *('3.1. Gas prod VF'!$M$13:$M$1230=$E38),'3.1. Gas prod VF'!$AQ$13:$AQ$1230))</f>
        <v>1.2354169514803932</v>
      </c>
      <c r="Y38" s="314" cm="1">
        <f t="array" ref="Y38">_xlfn.STDEV.S(IF(('3.1. Gas prod VF'!$L$13:$L$1230=$F38) *('3.1. Gas prod VF'!$M$13:$M$1230=$E38),'3.1. Gas prod VF'!$AR$13:$AR$1230))</f>
        <v>0.92008626325211729</v>
      </c>
      <c r="Z38" s="314" cm="1">
        <f t="array" ref="Z38">_xlfn.STDEV.S(IF(('3.1. Gas prod VF'!$L$13:$L$1230=$F38) *('3.1. Gas prod VF'!$M$13:$M$1230=$E38),'3.1. Gas prod VF'!$AS$13:$AS$1230))</f>
        <v>7.7656323837874348</v>
      </c>
      <c r="AA38" s="314" cm="1">
        <f t="array" ref="AA38">_xlfn.STDEV.S(IF(('3.1. Gas prod VF'!$L$13:$L$1230=$F38) *('3.1. Gas prod VF'!$M$13:$M$1230=$E38),'3.1. Gas prod VF'!$AT$13:$AT$1230))</f>
        <v>5.2516170319752309E-2</v>
      </c>
      <c r="AB38" s="314" cm="1">
        <f t="array" ref="AB38">_xlfn.STDEV.S(IF(('3.1. Gas prod VF'!$L$13:$L$1230=$F38) *('3.1. Gas prod VF'!$M$13:$M$1230=$E38),'3.1. Gas prod VF'!$AU$13:$AU$1230))</f>
        <v>0.51066379455238387</v>
      </c>
      <c r="AC38" s="314" cm="1">
        <f t="array" ref="AC38">_xlfn.STDEV.S(IF(('3.1. Gas prod VF'!$L$13:$L$1230=$F38) *('3.1. Gas prod VF'!$M$13:$M$1230=$E38),'3.1. Gas prod VF'!$AU$13:$AV$1230))</f>
        <v>10.128681619408763</v>
      </c>
      <c r="AD38" s="20"/>
      <c r="AE38" s="20"/>
    </row>
    <row r="39" spans="2:31" x14ac:dyDescent="0.35">
      <c r="B39" s="62">
        <f>'1. Information samples'!B39</f>
        <v>29</v>
      </c>
      <c r="C39" s="198">
        <f>'1. Information samples'!C39</f>
        <v>46041</v>
      </c>
      <c r="D39" s="62" t="str">
        <f>'1. Information samples'!D39</f>
        <v>Genbank</v>
      </c>
      <c r="E39" s="316">
        <f>'1. Information samples'!E39</f>
        <v>27</v>
      </c>
      <c r="F39" s="62" t="str">
        <f>'1. Information samples'!F39</f>
        <v>F251756</v>
      </c>
      <c r="G39" s="62" t="str">
        <f>'1. Information samples'!G39</f>
        <v>CIAT-13260</v>
      </c>
      <c r="H39" s="62" t="str">
        <f>'1. Information samples'!H39</f>
        <v>Dendrolobium</v>
      </c>
      <c r="I39" s="62" t="str">
        <f>'1. Information samples'!I39</f>
        <v>lanceolatum</v>
      </c>
      <c r="J39" s="62" t="str">
        <f>'1. Information samples'!J39</f>
        <v>Dendrolobium lanceolatum</v>
      </c>
      <c r="K39" s="62" t="str">
        <f>'1. Information samples'!K39</f>
        <v>Fabaceae</v>
      </c>
      <c r="L39" s="62" t="str">
        <f>'1. Information samples'!L39</f>
        <v>Fabales</v>
      </c>
      <c r="M39" s="62" t="str">
        <f>'1. Information samples'!M39</f>
        <v>Tree</v>
      </c>
      <c r="N39" s="314" cm="1">
        <f t="array" ref="N39">_xlfn.STDEV.S(IF(('3.1. Gas prod VF'!$L$13:$L$1230=$F39) *('3.1. Gas prod VF'!$M$13:$M$1230=$E39),'3.1. Gas prod VF'!$AG$13:$AG$1230))</f>
        <v>1.7795481741156007</v>
      </c>
      <c r="O39" s="314" cm="1">
        <f t="array" ref="O39">_xlfn.STDEV.S(IF(('3.1. Gas prod VF'!$L$13:$L$1230=$F39) *('3.1. Gas prod VF'!$M$13:$M$1230=$E39),'3.1. Gas prod VF'!$AH$13:$AH$1230))</f>
        <v>0.83176494915870502</v>
      </c>
      <c r="P39" s="314" cm="1">
        <f t="array" ref="P39">_xlfn.STDEV.S(IF(('3.1. Gas prod VF'!$L$13:$L$1230=$F39) *('3.1. Gas prod VF'!$M$13:$M$1230=$E39),'3.1. Gas prod VF'!$AI$13:$AI$1230))</f>
        <v>2.1557247038901859</v>
      </c>
      <c r="Q39" s="314" cm="1">
        <f t="array" ref="Q39">_xlfn.STDEV.S(IF(('3.1. Gas prod VF'!$L$13:$L$1230=$F39) *('3.1. Gas prod VF'!$M$13:$M$1230=$E39),'3.1. Gas prod VF'!$AJ$13:$AJ$1230))</f>
        <v>0.21125347067735076</v>
      </c>
      <c r="R39" s="314" cm="1">
        <f t="array" ref="R39">_xlfn.STDEV.S(IF(('3.1. Gas prod VF'!$L$13:$L$1230=$F39) *('3.1. Gas prod VF'!$M$13:$M$1230=$E39),'3.1. Gas prod VF'!$AK$13:$AK$1230))</f>
        <v>0.20742776574772279</v>
      </c>
      <c r="S39" s="314" cm="1">
        <f t="array" ref="S39">_xlfn.STDEV.S(IF(('3.1. Gas prod VF'!$L$13:$L$1230=$F39) *('3.1. Gas prod VF'!$M$13:$M$1230=$E39),'3.1. Gas prod VF'!$AL$13:$AL$1230))</f>
        <v>0.2126610008733468</v>
      </c>
      <c r="T39" s="314" cm="1">
        <f t="array" ref="T39">_xlfn.STDEV.S(IF(('3.1. Gas prod VF'!$L$13:$L$1230=$F39) *('3.1. Gas prod VF'!$M$13:$M$1230=$E39),'3.1. Gas prod VF'!$AM$13:$AM$1230))</f>
        <v>4.5723678821065059</v>
      </c>
      <c r="U39" s="314" cm="1">
        <f t="array" ref="U39">_xlfn.STDEV.S(IF(('3.1. Gas prod VF'!$L$13:$L$1230=$F39) *('3.1. Gas prod VF'!$M$13:$M$1230=$E39),'3.1. Gas prod VF'!$AN$13:$AN$1230))</f>
        <v>6.0275739658993395</v>
      </c>
      <c r="V39" s="314" cm="1">
        <f t="array" ref="V39">_xlfn.STDEV.S(IF(('3.1. Gas prod VF'!$L$13:$L$1230=$F39) *('3.1. Gas prod VF'!$M$13:$M$1230=$E39),'3.1. Gas prod VF'!$AO$13:$AO$1230))</f>
        <v>0.95485445872856012</v>
      </c>
      <c r="W39" s="314" cm="1">
        <f t="array" ref="W39">_xlfn.STDEV.S(IF(('3.1. Gas prod VF'!$L$13:$L$1230=$F39) *('3.1. Gas prod VF'!$M$13:$M$1230=$E39),'3.1. Gas prod VF'!$AP$13:$AP$1230))</f>
        <v>0.77413546249071596</v>
      </c>
      <c r="X39" s="314" cm="1">
        <f t="array" ref="X39">_xlfn.STDEV.S(IF(('3.1. Gas prod VF'!$L$13:$L$1230=$F39) *('3.1. Gas prod VF'!$M$13:$M$1230=$E39),'3.1. Gas prod VF'!$AQ$13:$AQ$1230))</f>
        <v>0.48121414343374141</v>
      </c>
      <c r="Y39" s="314" cm="1">
        <f t="array" ref="Y39">_xlfn.STDEV.S(IF(('3.1. Gas prod VF'!$L$13:$L$1230=$F39) *('3.1. Gas prod VF'!$M$13:$M$1230=$E39),'3.1. Gas prod VF'!$AR$13:$AR$1230))</f>
        <v>0.45115324712946064</v>
      </c>
      <c r="Z39" s="314" cm="1">
        <f t="array" ref="Z39">_xlfn.STDEV.S(IF(('3.1. Gas prod VF'!$L$13:$L$1230=$F39) *('3.1. Gas prod VF'!$M$13:$M$1230=$E39),'3.1. Gas prod VF'!$AS$13:$AS$1230))</f>
        <v>18.853410574777261</v>
      </c>
      <c r="AA39" s="314" cm="1">
        <f t="array" ref="AA39">_xlfn.STDEV.S(IF(('3.1. Gas prod VF'!$L$13:$L$1230=$F39) *('3.1. Gas prod VF'!$M$13:$M$1230=$E39),'3.1. Gas prod VF'!$AT$13:$AT$1230))</f>
        <v>0.17251295894935847</v>
      </c>
      <c r="AB39" s="314" cm="1">
        <f t="array" ref="AB39">_xlfn.STDEV.S(IF(('3.1. Gas prod VF'!$L$13:$L$1230=$F39) *('3.1. Gas prod VF'!$M$13:$M$1230=$E39),'3.1. Gas prod VF'!$AU$13:$AU$1230))</f>
        <v>0.25039785757635113</v>
      </c>
      <c r="AC39" s="314" cm="1">
        <f t="array" ref="AC39">_xlfn.STDEV.S(IF(('3.1. Gas prod VF'!$L$13:$L$1230=$F39) *('3.1. Gas prod VF'!$M$13:$M$1230=$E39),'3.1. Gas prod VF'!$AU$13:$AV$1230))</f>
        <v>15.987207054955432</v>
      </c>
      <c r="AD39" s="20"/>
      <c r="AE39" s="20"/>
    </row>
    <row r="40" spans="2:31" x14ac:dyDescent="0.35">
      <c r="B40" s="62">
        <f>'1. Information samples'!B40</f>
        <v>30</v>
      </c>
      <c r="C40" s="198">
        <f>'1. Information samples'!C40</f>
        <v>46041</v>
      </c>
      <c r="D40" s="62" t="str">
        <f>'1. Information samples'!D40</f>
        <v>Genbank</v>
      </c>
      <c r="E40" s="316">
        <f>'1. Information samples'!E40</f>
        <v>27</v>
      </c>
      <c r="F40" s="62" t="str">
        <f>'1. Information samples'!F40</f>
        <v>F251757</v>
      </c>
      <c r="G40" s="62" t="str">
        <f>'1. Information samples'!G40</f>
        <v>CIAT-17263</v>
      </c>
      <c r="H40" s="62" t="str">
        <f>'1. Information samples'!H40</f>
        <v>Leucaena</v>
      </c>
      <c r="I40" s="62" t="str">
        <f>'1. Information samples'!I40</f>
        <v>leucocephala</v>
      </c>
      <c r="J40" s="62" t="str">
        <f>'1. Information samples'!J40</f>
        <v>Leucaena leucocephala</v>
      </c>
      <c r="K40" s="62" t="str">
        <f>'1. Information samples'!K40</f>
        <v>Fabaceae</v>
      </c>
      <c r="L40" s="62" t="str">
        <f>'1. Information samples'!L40</f>
        <v>Fabales</v>
      </c>
      <c r="M40" s="62" t="str">
        <f>'1. Information samples'!M40</f>
        <v>Tree</v>
      </c>
      <c r="N40" s="314" cm="1">
        <f t="array" ref="N40">_xlfn.STDEV.S(IF(('3.1. Gas prod VF'!$L$13:$L$1230=$F40) *('3.1. Gas prod VF'!$M$13:$M$1230=$E40),'3.1. Gas prod VF'!$AG$13:$AG$1230))</f>
        <v>11.376015387686238</v>
      </c>
      <c r="O40" s="314" cm="1">
        <f t="array" ref="O40">_xlfn.STDEV.S(IF(('3.1. Gas prod VF'!$L$13:$L$1230=$F40) *('3.1. Gas prod VF'!$M$13:$M$1230=$E40),'3.1. Gas prod VF'!$AH$13:$AH$1230))</f>
        <v>10.236359114535547</v>
      </c>
      <c r="P40" s="314" cm="1">
        <f t="array" ref="P40">_xlfn.STDEV.S(IF(('3.1. Gas prod VF'!$L$13:$L$1230=$F40) *('3.1. Gas prod VF'!$M$13:$M$1230=$E40),'3.1. Gas prod VF'!$AI$13:$AI$1230))</f>
        <v>21.033569132418538</v>
      </c>
      <c r="Q40" s="314" cm="1">
        <f t="array" ref="Q40">_xlfn.STDEV.S(IF(('3.1. Gas prod VF'!$L$13:$L$1230=$F40) *('3.1. Gas prod VF'!$M$13:$M$1230=$E40),'3.1. Gas prod VF'!$AJ$13:$AJ$1230))</f>
        <v>1.4084991876460888</v>
      </c>
      <c r="R40" s="314" cm="1">
        <f t="array" ref="R40">_xlfn.STDEV.S(IF(('3.1. Gas prod VF'!$L$13:$L$1230=$F40) *('3.1. Gas prod VF'!$M$13:$M$1230=$E40),'3.1. Gas prod VF'!$AK$13:$AK$1230))</f>
        <v>1.5366420999936496</v>
      </c>
      <c r="S40" s="314" cm="1">
        <f t="array" ref="S40">_xlfn.STDEV.S(IF(('3.1. Gas prod VF'!$L$13:$L$1230=$F40) *('3.1. Gas prod VF'!$M$13:$M$1230=$E40),'3.1. Gas prod VF'!$AL$13:$AL$1230))</f>
        <v>2.8900341860116754</v>
      </c>
      <c r="T40" s="314" cm="1">
        <f t="array" ref="T40">_xlfn.STDEV.S(IF(('3.1. Gas prod VF'!$L$13:$L$1230=$F40) *('3.1. Gas prod VF'!$M$13:$M$1230=$E40),'3.1. Gas prod VF'!$AM$13:$AM$1230))</f>
        <v>44.507886074954698</v>
      </c>
      <c r="U40" s="314">
        <f>_xlfn.STDEV.S('3.1. Gas prod VF'!AN102,'3.1. Gas prod VF'!AN103,'3.1. Gas prod VF'!AN104,'3.1. Gas prod VF'!AN208,'3.1. Gas prod VF'!AN209,'3.1. Gas prod VF'!AN668,'3.1. Gas prod VF'!AN669)</f>
        <v>4.8365654832867442</v>
      </c>
      <c r="V40" s="314" cm="1">
        <f t="array" ref="V40">_xlfn.STDEV.S(IF(('3.1. Gas prod VF'!$L$13:$L$1230=$F40) *('3.1. Gas prod VF'!$M$13:$M$1230=$E40),'3.1. Gas prod VF'!$AO$13:$AO$1230))</f>
        <v>1.4927807696571969</v>
      </c>
      <c r="W40" s="314" cm="1">
        <f t="array" ref="W40">_xlfn.STDEV.S(IF(('3.1. Gas prod VF'!$L$13:$L$1230=$F40) *('3.1. Gas prod VF'!$M$13:$M$1230=$E40),'3.1. Gas prod VF'!$AP$13:$AP$1230))</f>
        <v>4.4064887220033579</v>
      </c>
      <c r="X40" s="314" cm="1">
        <f t="array" ref="X40">_xlfn.STDEV.S(IF(('3.1. Gas prod VF'!$L$13:$L$1230=$F40) *('3.1. Gas prod VF'!$M$13:$M$1230=$E40),'3.1. Gas prod VF'!$AQ$13:$AQ$1230))</f>
        <v>4.8328522377991394</v>
      </c>
      <c r="Y40" s="314" cm="1">
        <f t="array" ref="Y40">_xlfn.STDEV.S(IF(('3.1. Gas prod VF'!$L$13:$L$1230=$F40) *('3.1. Gas prod VF'!$M$13:$M$1230=$E40),'3.1. Gas prod VF'!$AR$13:$AR$1230))</f>
        <v>6.1157382543019585</v>
      </c>
      <c r="Z40" s="314" cm="1">
        <f t="array" ref="Z40">_xlfn.STDEV.S(IF(('3.1. Gas prod VF'!$L$13:$L$1230=$F40) *('3.1. Gas prod VF'!$M$13:$M$1230=$E40),'3.1. Gas prod VF'!$AS$13:$AS$1230))</f>
        <v>13.562519618388661</v>
      </c>
      <c r="AA40" s="314" cm="1">
        <f t="array" ref="AA40">_xlfn.STDEV.S(IF(('3.1. Gas prod VF'!$L$13:$L$1230=$F40) *('3.1. Gas prod VF'!$M$13:$M$1230=$E40),'3.1. Gas prod VF'!$AT$13:$AT$1230))</f>
        <v>1.1905655018344092</v>
      </c>
      <c r="AB40" s="314" cm="1">
        <f t="array" ref="AB40">_xlfn.STDEV.S(IF(('3.1. Gas prod VF'!$L$13:$L$1230=$F40) *('3.1. Gas prod VF'!$M$13:$M$1230=$E40),'3.1. Gas prod VF'!$AU$13:$AU$1230))</f>
        <v>3.3943405397579069</v>
      </c>
      <c r="AC40" s="314" cm="1">
        <f t="array" ref="AC40">_xlfn.STDEV.S(IF(('3.1. Gas prod VF'!$L$13:$L$1230=$F40) *('3.1. Gas prod VF'!$M$13:$M$1230=$E40),'3.1. Gas prod VF'!$AU$13:$AV$1230))</f>
        <v>7.2851220098648763</v>
      </c>
      <c r="AD40" s="20"/>
      <c r="AE40" s="20"/>
    </row>
    <row r="41" spans="2:31" x14ac:dyDescent="0.35">
      <c r="B41" s="62">
        <f>'1. Information samples'!B41</f>
        <v>31</v>
      </c>
      <c r="C41" s="198">
        <f>'1. Information samples'!C41</f>
        <v>46041</v>
      </c>
      <c r="D41" s="62" t="str">
        <f>'1. Information samples'!D41</f>
        <v>Isabel Molina</v>
      </c>
      <c r="E41" s="316">
        <f>'1. Information samples'!E41</f>
        <v>27</v>
      </c>
      <c r="F41" s="62" t="str">
        <f>'1. Information samples'!F41</f>
        <v>F252640</v>
      </c>
      <c r="G41" s="62" t="str">
        <f>'1. Information samples'!G41</f>
        <v xml:space="preserve"> Cayman Br02_1752</v>
      </c>
      <c r="H41" s="62" t="str">
        <f>'1. Information samples'!H41</f>
        <v>Urochloa</v>
      </c>
      <c r="I41" s="62" t="str">
        <f>'1. Information samples'!I41</f>
        <v>interespecifico</v>
      </c>
      <c r="J41" s="62" t="str">
        <f>'1. Information samples'!J41</f>
        <v>Urochloa interespecifico</v>
      </c>
      <c r="K41" s="62" t="str">
        <f>'1. Information samples'!K41</f>
        <v>Poaceae</v>
      </c>
      <c r="L41" s="62" t="str">
        <f>'1. Information samples'!L41</f>
        <v>Poales</v>
      </c>
      <c r="M41" s="62" t="str">
        <f>'1. Information samples'!M41</f>
        <v>grasses</v>
      </c>
      <c r="N41" s="314" cm="1">
        <f t="array" ref="N41">_xlfn.STDEV.S(IF(('3.1. Gas prod VF'!$L$13:$L$1230=$F41) *('3.1. Gas prod VF'!$M$13:$M$1230=$E41),'3.1. Gas prod VF'!$AG$13:$AG$1230))</f>
        <v>3.9855766600943903</v>
      </c>
      <c r="O41" s="314" cm="1">
        <f t="array" ref="O41">_xlfn.STDEV.S(IF(('3.1. Gas prod VF'!$L$13:$L$1230=$F41) *('3.1. Gas prod VF'!$M$13:$M$1230=$E41),'3.1. Gas prod VF'!$AH$13:$AH$1230))</f>
        <v>3.9911752722817635</v>
      </c>
      <c r="P41" s="314" cm="1">
        <f t="array" ref="P41">_xlfn.STDEV.S(IF(('3.1. Gas prod VF'!$L$13:$L$1230=$F41) *('3.1. Gas prod VF'!$M$13:$M$1230=$E41),'3.1. Gas prod VF'!$AI$13:$AI$1230))</f>
        <v>2.0534608338850409</v>
      </c>
      <c r="Q41" s="314" cm="1">
        <f t="array" ref="Q41">_xlfn.STDEV.S(IF(('3.1. Gas prod VF'!$L$13:$L$1230=$F41) *('3.1. Gas prod VF'!$M$13:$M$1230=$E41),'3.1. Gas prod VF'!$AJ$13:$AJ$1230))</f>
        <v>0.42003138921717365</v>
      </c>
      <c r="R41" s="314" cm="1">
        <f t="array" ref="R41">_xlfn.STDEV.S(IF(('3.1. Gas prod VF'!$L$13:$L$1230=$F41) *('3.1. Gas prod VF'!$M$13:$M$1230=$E41),'3.1. Gas prod VF'!$AK$13:$AK$1230))</f>
        <v>0.4602870988831263</v>
      </c>
      <c r="S41" s="314" cm="1">
        <f t="array" ref="S41">_xlfn.STDEV.S(IF(('3.1. Gas prod VF'!$L$13:$L$1230=$F41) *('3.1. Gas prod VF'!$M$13:$M$1230=$E41),'3.1. Gas prod VF'!$AL$13:$AL$1230))</f>
        <v>0.24506114130535339</v>
      </c>
      <c r="T41" s="314" cm="1">
        <f t="array" ref="T41">_xlfn.STDEV.S(IF(('3.1. Gas prod VF'!$L$13:$L$1230=$F41) *('3.1. Gas prod VF'!$M$13:$M$1230=$E41),'3.1. Gas prod VF'!$AM$13:$AM$1230))</f>
        <v>4.2474925887587691</v>
      </c>
      <c r="U41" s="314" cm="1">
        <f t="array" ref="U41">_xlfn.STDEV.S(IF(('3.1. Gas prod VF'!$L$13:$L$1230=$F41) *('3.1. Gas prod VF'!$M$13:$M$1230=$E41),'3.1. Gas prod VF'!$AN$13:$AN$1230))</f>
        <v>9.3749422263448476</v>
      </c>
      <c r="V41" s="314" cm="1">
        <f t="array" ref="V41">_xlfn.STDEV.S(IF(('3.1. Gas prod VF'!$L$13:$L$1230=$F41) *('3.1. Gas prod VF'!$M$13:$M$1230=$E41),'3.1. Gas prod VF'!$AO$13:$AO$1230))</f>
        <v>0.52795675978780587</v>
      </c>
      <c r="W41" s="314" cm="1">
        <f t="array" ref="W41">_xlfn.STDEV.S(IF(('3.1. Gas prod VF'!$L$13:$L$1230=$F41) *('3.1. Gas prod VF'!$M$13:$M$1230=$E41),'3.1. Gas prod VF'!$AP$13:$AP$1230))</f>
        <v>0.52491495909881913</v>
      </c>
      <c r="X41" s="314" cm="1">
        <f t="array" ref="X41">_xlfn.STDEV.S(IF(('3.1. Gas prod VF'!$L$13:$L$1230=$F41) *('3.1. Gas prod VF'!$M$13:$M$1230=$E41),'3.1. Gas prod VF'!$AQ$13:$AQ$1230))</f>
        <v>0.39530039626068814</v>
      </c>
      <c r="Y41" s="314" cm="1">
        <f t="array" ref="Y41">_xlfn.STDEV.S(IF(('3.1. Gas prod VF'!$L$13:$L$1230=$F41) *('3.1. Gas prod VF'!$M$13:$M$1230=$E41),'3.1. Gas prod VF'!$AR$13:$AR$1230))</f>
        <v>0.50818646882594609</v>
      </c>
      <c r="Z41" s="314" cm="1">
        <f t="array" ref="Z41">_xlfn.STDEV.S(IF(('3.1. Gas prod VF'!$L$13:$L$1230=$F41) *('3.1. Gas prod VF'!$M$13:$M$1230=$E41),'3.1. Gas prod VF'!$AS$13:$AS$1230))</f>
        <v>10.770991566359958</v>
      </c>
      <c r="AA41" s="314" cm="1">
        <f t="array" ref="AA41">_xlfn.STDEV.S(IF(('3.1. Gas prod VF'!$L$13:$L$1230=$F41) *('3.1. Gas prod VF'!$M$13:$M$1230=$E41),'3.1. Gas prod VF'!$AT$13:$AT$1230))</f>
        <v>12.179701215257598</v>
      </c>
      <c r="AB41" s="314" cm="1">
        <f t="array" ref="AB41">_xlfn.STDEV.S(IF(('3.1. Gas prod VF'!$L$13:$L$1230=$F41) *('3.1. Gas prod VF'!$M$13:$M$1230=$E41),'3.1. Gas prod VF'!$AU$13:$AU$1230))</f>
        <v>0.28205228235184032</v>
      </c>
      <c r="AC41" s="314" cm="1">
        <f t="array" ref="AC41">_xlfn.STDEV.S(IF(('3.1. Gas prod VF'!$L$13:$L$1230=$F41) *('3.1. Gas prod VF'!$M$13:$M$1230=$E41),'3.1. Gas prod VF'!$AU$13:$AV$1230))</f>
        <v>8.4606073851420653</v>
      </c>
      <c r="AD41" s="20"/>
      <c r="AE41" s="20"/>
    </row>
    <row r="42" spans="2:31" x14ac:dyDescent="0.35">
      <c r="B42" s="62">
        <f>'1. Information samples'!B42</f>
        <v>32</v>
      </c>
      <c r="C42" s="198">
        <f>'1. Information samples'!C42</f>
        <v>46041</v>
      </c>
      <c r="D42" s="62" t="str">
        <f>'1. Information samples'!D42</f>
        <v>Mauricio Sotelo</v>
      </c>
      <c r="E42" s="316">
        <f>'1. Information samples'!E42</f>
        <v>27</v>
      </c>
      <c r="F42" s="62" t="str">
        <f>'1. Information samples'!F42</f>
        <v>F252641</v>
      </c>
      <c r="G42" s="62" t="str">
        <f>'1. Information samples'!G42</f>
        <v>N/A</v>
      </c>
      <c r="H42" s="62" t="str">
        <f>'1. Information samples'!H42</f>
        <v xml:space="preserve">Gliricidia  </v>
      </c>
      <c r="I42" s="62" t="str">
        <f>'1. Information samples'!I42</f>
        <v>sepium</v>
      </c>
      <c r="J42" s="62" t="str">
        <f>'1. Information samples'!J42</f>
        <v xml:space="preserve">Gliricidia sepium </v>
      </c>
      <c r="K42" s="62" t="str">
        <f>'1. Information samples'!K42</f>
        <v>Fabaceae</v>
      </c>
      <c r="L42" s="62" t="str">
        <f>'1. Information samples'!L42</f>
        <v>Fabales</v>
      </c>
      <c r="M42" s="62" t="str">
        <f>'1. Information samples'!M42</f>
        <v xml:space="preserve">Arbustiva </v>
      </c>
      <c r="N42" s="314">
        <f>_xlfn.STDEV.S('3.1. Gas prod VF'!AG108,'3.1. Gas prod VF'!AG109,'3.1. Gas prod VF'!AG110,'3.1. Gas prod VF'!AG213,'3.1. Gas prod VF'!AG214,'3.1. Gas prod VF'!AG215,'3.1. Gas prod VF'!AG287)</f>
        <v>2.5884681688667288</v>
      </c>
      <c r="O42" s="314">
        <f>_xlfn.STDEV.S('3.1. Gas prod VF'!AH108,'3.1. Gas prod VF'!AH109,'3.1. Gas prod VF'!AH110,'3.1. Gas prod VF'!AH213,'3.1. Gas prod VF'!AH214,'3.1. Gas prod VF'!AH215,'3.1. Gas prod VF'!AH287)</f>
        <v>2.390584592163302</v>
      </c>
      <c r="P42" s="314">
        <f>_xlfn.STDEV.S('3.1. Gas prod VF'!AI108,'3.1. Gas prod VF'!AI109,'3.1. Gas prod VF'!AI110,'3.1. Gas prod VF'!AI213,'3.1. Gas prod VF'!AI214,'3.1. Gas prod VF'!AI215,'3.1. Gas prod VF'!AI287)</f>
        <v>2.6939352950205122</v>
      </c>
      <c r="Q42" s="314">
        <f>_xlfn.STDEV.S('3.1. Gas prod VF'!AJ108,'3.1. Gas prod VF'!AJ109,'3.1. Gas prod VF'!AJ110,'3.1. Gas prod VF'!AJ213,'3.1. Gas prod VF'!AJ214,'3.1. Gas prod VF'!AJ215,'3.1. Gas prod VF'!AJ287)</f>
        <v>0.40408736280911883</v>
      </c>
      <c r="R42" s="314">
        <f>_xlfn.STDEV.S('3.1. Gas prod VF'!AK108,'3.1. Gas prod VF'!AK109,'3.1. Gas prod VF'!AK110,'3.1. Gas prod VF'!AK213,'3.1. Gas prod VF'!AK214,'3.1. Gas prod VF'!AK215,'3.1. Gas prod VF'!AK287)</f>
        <v>0.29560586221305146</v>
      </c>
      <c r="S42" s="314">
        <f>_xlfn.STDEV.S('3.1. Gas prod VF'!AL108,'3.1. Gas prod VF'!AL109,'3.1. Gas prod VF'!AL110,'3.1. Gas prod VF'!AL213,'3.1. Gas prod VF'!AL214,'3.1. Gas prod VF'!AL215,'3.1. Gas prod VF'!AL287)</f>
        <v>0.43794307011825578</v>
      </c>
      <c r="T42" s="314">
        <f>_xlfn.STDEV.S('3.1. Gas prod VF'!AM108,'3.1. Gas prod VF'!AM109,'3.1. Gas prod VF'!AM110,'3.1. Gas prod VF'!AM213,'3.1. Gas prod VF'!AM214,'3.1. Gas prod VF'!AM215,'3.1. Gas prod VF'!AM287)</f>
        <v>5.7430330918113306</v>
      </c>
      <c r="U42" s="314">
        <f>_xlfn.STDEV.S('3.1. Gas prod VF'!AN108,'3.1. Gas prod VF'!AN109,'3.1. Gas prod VF'!AN110,'3.1. Gas prod VF'!AN213,'3.1. Gas prod VF'!AN214,'3.1. Gas prod VF'!AN215,'3.1. Gas prod VF'!AN287)</f>
        <v>7.0514819682138379</v>
      </c>
      <c r="V42" s="314">
        <f>_xlfn.STDEV.S('3.1. Gas prod VF'!AO108,'3.1. Gas prod VF'!AO109,'3.1. Gas prod VF'!AO110,'3.1. Gas prod VF'!AO213,'3.1. Gas prod VF'!AO214,'3.1. Gas prod VF'!AO215,'3.1. Gas prod VF'!AO287)</f>
        <v>0.38837614034384327</v>
      </c>
      <c r="W42" s="314">
        <f>_xlfn.STDEV.S('3.1. Gas prod VF'!AP108,'3.1. Gas prod VF'!AP109,'3.1. Gas prod VF'!AP110,'3.1. Gas prod VF'!AP213,'3.1. Gas prod VF'!AP214,'3.1. Gas prod VF'!AP215,'3.1. Gas prod VF'!AP287)</f>
        <v>0.3484660262185848</v>
      </c>
      <c r="X42" s="314">
        <f>_xlfn.STDEV.S('3.1. Gas prod VF'!AQ108,'3.1. Gas prod VF'!AQ109,'3.1. Gas prod VF'!AQ110,'3.1. Gas prod VF'!AQ213,'3.1. Gas prod VF'!AQ214,'3.1. Gas prod VF'!AQ215,'3.1. Gas prod VF'!AQ287)</f>
        <v>0.25183467143244687</v>
      </c>
      <c r="Y42" s="314">
        <f>_xlfn.STDEV.S('3.1. Gas prod VF'!AR108,'3.1. Gas prod VF'!AR109,'3.1. Gas prod VF'!AR110,'3.1. Gas prod VF'!AR213,'3.1. Gas prod VF'!AR214,'3.1. Gas prod VF'!AR215,'3.1. Gas prod VF'!AR287)</f>
        <v>0.934520004265737</v>
      </c>
      <c r="Z42" s="314">
        <f>_xlfn.STDEV.S('3.1. Gas prod VF'!AS108,'3.1. Gas prod VF'!AS109,'3.1. Gas prod VF'!AS110,'3.1. Gas prod VF'!AS213,'3.1. Gas prod VF'!AS214,'3.1. Gas prod VF'!AS215,'3.1. Gas prod VF'!AS287)</f>
        <v>4.717210311299298</v>
      </c>
      <c r="AA42" s="314">
        <f>_xlfn.STDEV.S('3.1. Gas prod VF'!AT108,'3.1. Gas prod VF'!AT109,'3.1. Gas prod VF'!AT110,'3.1. Gas prod VF'!AT213,'3.1. Gas prod VF'!AT214,'3.1. Gas prod VF'!AT215,'3.1. Gas prod VF'!AT287)</f>
        <v>12.158402275568992</v>
      </c>
      <c r="AB42" s="314">
        <f>_xlfn.STDEV.S('3.1. Gas prod VF'!AU108,'3.1. Gas prod VF'!AU109,'3.1. Gas prod VF'!AU110,'3.1. Gas prod VF'!AU213,'3.1. Gas prod VF'!AU214,'3.1. Gas prod VF'!AU215,'3.1. Gas prod VF'!AU287)</f>
        <v>0.51867477053364741</v>
      </c>
      <c r="AC42" s="314">
        <f>_xlfn.STDEV.S('3.1. Gas prod VF'!AV108,'3.1. Gas prod VF'!AV109,'3.1. Gas prod VF'!AV110,'3.1. Gas prod VF'!AV213,'3.1. Gas prod VF'!AV214,'3.1. Gas prod VF'!AV215,'3.1. Gas prod VF'!AV287)</f>
        <v>2.6181333354062533</v>
      </c>
      <c r="AD42" s="20"/>
      <c r="AE42" s="20"/>
    </row>
    <row r="43" spans="2:31" x14ac:dyDescent="0.35">
      <c r="B43" s="62">
        <f>'1. Information samples'!B43</f>
        <v>33</v>
      </c>
      <c r="C43" s="198">
        <f>'1. Information samples'!C43</f>
        <v>46041</v>
      </c>
      <c r="D43" s="62" t="str">
        <f>'1. Information samples'!D43</f>
        <v>Jacobo Arango/Alejandro Montoya</v>
      </c>
      <c r="E43" s="316">
        <f>'1. Information samples'!E43</f>
        <v>27</v>
      </c>
      <c r="F43" s="62" t="str">
        <f>'1. Information samples'!F43</f>
        <v>F250008</v>
      </c>
      <c r="G43" s="62" t="str">
        <f>'1. Information samples'!G43</f>
        <v>Sample 8</v>
      </c>
      <c r="H43" s="62" t="str">
        <f>'1. Information samples'!H43</f>
        <v>Cynodon</v>
      </c>
      <c r="I43" s="62" t="str">
        <f>'1. Information samples'!I43</f>
        <v xml:space="preserve"> nlemfuensis </v>
      </c>
      <c r="J43" s="62" t="str">
        <f>'1. Information samples'!J43</f>
        <v xml:space="preserve">Cynodon nlemfuensis </v>
      </c>
      <c r="K43" s="62" t="str">
        <f>'1. Information samples'!K43</f>
        <v>Poaceae</v>
      </c>
      <c r="L43" s="62" t="str">
        <f>'1. Information samples'!L43</f>
        <v>Poales</v>
      </c>
      <c r="M43" s="62" t="str">
        <f>'1. Information samples'!M43</f>
        <v>grasses</v>
      </c>
      <c r="N43" s="314" cm="1">
        <f t="array" ref="N43">_xlfn.STDEV.S(IF(('3.1. Gas prod VF'!$L$13:$L$1230=$F43) *('3.1. Gas prod VF'!$M$13:$M$1230=$E43),'3.1. Gas prod VF'!$AG$13:$AG$1230))</f>
        <v>9.8365094760896206</v>
      </c>
      <c r="O43" s="314" cm="1">
        <f t="array" ref="O43">_xlfn.STDEV.S(IF(('3.1. Gas prod VF'!$L$13:$L$1230=$F43) *('3.1. Gas prod VF'!$M$13:$M$1230=$E43),'3.1. Gas prod VF'!$AH$13:$AH$1230))</f>
        <v>16.556939145206439</v>
      </c>
      <c r="P43" s="314" cm="1">
        <f t="array" ref="P43">_xlfn.STDEV.S(IF(('3.1. Gas prod VF'!$L$13:$L$1230=$F43) *('3.1. Gas prod VF'!$M$13:$M$1230=$E43),'3.1. Gas prod VF'!$AI$13:$AI$1230))</f>
        <v>26.248902114968157</v>
      </c>
      <c r="Q43" s="314" cm="1">
        <f t="array" ref="Q43">_xlfn.STDEV.S(IF(('3.1. Gas prod VF'!$L$13:$L$1230=$F43) *('3.1. Gas prod VF'!$M$13:$M$1230=$E43),'3.1. Gas prod VF'!$AJ$13:$AJ$1230))</f>
        <v>1.5229866457201788</v>
      </c>
      <c r="R43" s="314" cm="1">
        <f t="array" ref="R43">_xlfn.STDEV.S(IF(('3.1. Gas prod VF'!$L$13:$L$1230=$F43) *('3.1. Gas prod VF'!$M$13:$M$1230=$E43),'3.1. Gas prod VF'!$AK$13:$AK$1230))</f>
        <v>2.6995546102984664</v>
      </c>
      <c r="S43" s="314" cm="1">
        <f t="array" ref="S43">_xlfn.STDEV.S(IF(('3.1. Gas prod VF'!$L$13:$L$1230=$F43) *('3.1. Gas prod VF'!$M$13:$M$1230=$E43),'3.1. Gas prod VF'!$AL$13:$AL$1230))</f>
        <v>4.1943049990744674</v>
      </c>
      <c r="T43" s="314" cm="1">
        <f t="array" ref="T43">_xlfn.STDEV.S(IF(('3.1. Gas prod VF'!$L$13:$L$1230=$F43) *('3.1. Gas prod VF'!$M$13:$M$1230=$E43),'3.1. Gas prod VF'!$AM$13:$AM$1230))</f>
        <v>56.081209810480019</v>
      </c>
      <c r="U43" s="314">
        <f>_xlfn.STDEV.S('3.1. Gas prod VF'!AN112,'3.1. Gas prod VF'!AN113,'3.1. Gas prod VF'!AN216,'3.1. Gas prod VF'!AN217,'3.1. Gas prod VF'!AN218)</f>
        <v>8.6955984072298254</v>
      </c>
      <c r="V43" s="314" cm="1">
        <f t="array" ref="V43">_xlfn.STDEV.S(IF(('3.1. Gas prod VF'!$L$13:$L$1230=$F43) *('3.1. Gas prod VF'!$M$13:$M$1230=$E43),'3.1. Gas prod VF'!$AO$13:$AO$1230))</f>
        <v>0.98620747351411253</v>
      </c>
      <c r="W43" s="314" cm="1">
        <f t="array" ref="W43">_xlfn.STDEV.S(IF(('3.1. Gas prod VF'!$L$13:$L$1230=$F43) *('3.1. Gas prod VF'!$M$13:$M$1230=$E43),'3.1. Gas prod VF'!$AP$13:$AP$1230))</f>
        <v>7.108232149115155</v>
      </c>
      <c r="X43" s="314" cm="1">
        <f t="array" ref="X43">_xlfn.STDEV.S(IF(('3.1. Gas prod VF'!$L$13:$L$1230=$F43) *('3.1. Gas prod VF'!$M$13:$M$1230=$E43),'3.1. Gas prod VF'!$AQ$13:$AQ$1230))</f>
        <v>7.3581543109993408</v>
      </c>
      <c r="Y43" s="314" cm="1">
        <f t="array" ref="Y43">_xlfn.STDEV.S(IF(('3.1. Gas prod VF'!$L$13:$L$1230=$F43) *('3.1. Gas prod VF'!$M$13:$M$1230=$E43),'3.1. Gas prod VF'!$AR$13:$AR$1230))</f>
        <v>8.9611364338070629</v>
      </c>
      <c r="Z43" s="314" cm="1">
        <f t="array" ref="Z43">_xlfn.STDEV.S(IF(('3.1. Gas prod VF'!$L$13:$L$1230=$F43) *('3.1. Gas prod VF'!$M$13:$M$1230=$E43),'3.1. Gas prod VF'!$AS$13:$AS$1230))</f>
        <v>41.807139547785034</v>
      </c>
      <c r="AA43" s="314" cm="1">
        <f t="array" ref="AA43">_xlfn.STDEV.S(IF(('3.1. Gas prod VF'!$L$13:$L$1230=$F43) *('3.1. Gas prod VF'!$M$13:$M$1230=$E43),'3.1. Gas prod VF'!$AT$13:$AT$1230))</f>
        <v>1.1684735218863256</v>
      </c>
      <c r="AB43" s="314" cm="1">
        <f t="array" ref="AB43">_xlfn.STDEV.S(IF(('3.1. Gas prod VF'!$L$13:$L$1230=$F43) *('3.1. Gas prod VF'!$M$13:$M$1230=$E43),'3.1. Gas prod VF'!$AU$13:$AU$1230))</f>
        <v>4.9735857577254405</v>
      </c>
      <c r="AC43" s="314" cm="1">
        <f t="array" ref="AC43">_xlfn.STDEV.S(IF(('3.1. Gas prod VF'!$L$13:$L$1230=$F43) *('3.1. Gas prod VF'!$M$13:$M$1230=$E43),'3.1. Gas prod VF'!$AU$13:$AV$1230))</f>
        <v>21.599580917680413</v>
      </c>
      <c r="AD43" s="20"/>
      <c r="AE43" s="20"/>
    </row>
    <row r="44" spans="2:31" x14ac:dyDescent="0.35">
      <c r="B44" s="62">
        <f>'1. Information samples'!B44</f>
        <v>34</v>
      </c>
      <c r="C44" s="198">
        <f>'1. Information samples'!C44</f>
        <v>46048</v>
      </c>
      <c r="D44" s="62" t="str">
        <f>'1. Information samples'!D44</f>
        <v>Genbank</v>
      </c>
      <c r="E44" s="316">
        <f>'1. Information samples'!E44</f>
        <v>28</v>
      </c>
      <c r="F44" s="62" t="str">
        <f>'1. Information samples'!F44</f>
        <v>F251758</v>
      </c>
      <c r="G44" s="62" t="str">
        <f>'1. Information samples'!G44</f>
        <v>CIAT-17459</v>
      </c>
      <c r="H44" s="62" t="str">
        <f>'1. Information samples'!H44</f>
        <v>Erythrina</v>
      </c>
      <c r="I44" s="62" t="str">
        <f>'1. Information samples'!I44</f>
        <v>berteroana</v>
      </c>
      <c r="J44" s="62" t="str">
        <f>'1. Information samples'!J44</f>
        <v>Erythrina berteroana</v>
      </c>
      <c r="K44" s="62" t="str">
        <f>'1. Information samples'!K44</f>
        <v>Fabaceae</v>
      </c>
      <c r="L44" s="62" t="str">
        <f>'1. Information samples'!L44</f>
        <v>Fabales</v>
      </c>
      <c r="M44" s="62" t="str">
        <f>'1. Information samples'!M44</f>
        <v>Tree</v>
      </c>
      <c r="N44" s="314" cm="1">
        <f t="array" ref="N44">_xlfn.STDEV.S(IF(('3.1. Gas prod VF'!$L$13:$L$1230=$F44) *('3.1. Gas prod VF'!$M$13:$M$1230=$E44),'3.1. Gas prod VF'!$AG$13:$AG$1230))</f>
        <v>2.5075926159785413</v>
      </c>
      <c r="O44" s="314" cm="1">
        <f t="array" ref="O44">_xlfn.STDEV.S(IF(('3.1. Gas prod VF'!$L$13:$L$1230=$F44) *('3.1. Gas prod VF'!$M$13:$M$1230=$E44),'3.1. Gas prod VF'!$AH$13:$AH$1230))</f>
        <v>2.3887876908387944</v>
      </c>
      <c r="P44" s="314" cm="1">
        <f t="array" ref="P44">_xlfn.STDEV.S(IF(('3.1. Gas prod VF'!$L$13:$L$1230=$F44) *('3.1. Gas prod VF'!$M$13:$M$1230=$E44),'3.1. Gas prod VF'!$AI$13:$AI$1230))</f>
        <v>4.4807654226897844</v>
      </c>
      <c r="Q44" s="314" cm="1">
        <f t="array" ref="Q44">_xlfn.STDEV.S(IF(('3.1. Gas prod VF'!$L$13:$L$1230=$F44) *('3.1. Gas prod VF'!$M$13:$M$1230=$E44),'3.1. Gas prod VF'!$AJ$13:$AJ$1230))</f>
        <v>0.34951895911930964</v>
      </c>
      <c r="R44" s="314" cm="1">
        <f t="array" ref="R44">_xlfn.STDEV.S(IF(('3.1. Gas prod VF'!$L$13:$L$1230=$F44) *('3.1. Gas prod VF'!$M$13:$M$1230=$E44),'3.1. Gas prod VF'!$AK$13:$AK$1230))</f>
        <v>0.53530636799918685</v>
      </c>
      <c r="S44" s="314" cm="1">
        <f t="array" ref="S44">_xlfn.STDEV.S(IF(('3.1. Gas prod VF'!$L$13:$L$1230=$F44) *('3.1. Gas prod VF'!$M$13:$M$1230=$E44),'3.1. Gas prod VF'!$AL$13:$AL$1230))</f>
        <v>0.87049058504923216</v>
      </c>
      <c r="T44" s="314" cm="1">
        <f t="array" ref="T44">_xlfn.STDEV.S(IF(('3.1. Gas prod VF'!$L$13:$L$1230=$F44) *('3.1. Gas prod VF'!$M$13:$M$1230=$E44),'3.1. Gas prod VF'!$AM$13:$AM$1230))</f>
        <v>9.4504757428845654</v>
      </c>
      <c r="U44" s="314" cm="1">
        <f t="array" ref="U44">_xlfn.STDEV.S(IF(('3.1. Gas prod VF'!$L$13:$L$1230=$F44) *('3.1. Gas prod VF'!$M$13:$M$1230=$E44),'3.1. Gas prod VF'!$AN$13:$AN$1230))</f>
        <v>2.4271109390448213</v>
      </c>
      <c r="V44" s="314" cm="1">
        <f t="array" ref="V44">_xlfn.STDEV.S(IF(('3.1. Gas prod VF'!$L$13:$L$1230=$F44) *('3.1. Gas prod VF'!$M$13:$M$1230=$E44),'3.1. Gas prod VF'!$AO$13:$AO$1230))</f>
        <v>0.28885455155339845</v>
      </c>
      <c r="W44" s="314" cm="1">
        <f t="array" ref="W44">_xlfn.STDEV.S(IF(('3.1. Gas prod VF'!$L$13:$L$1230=$F44) *('3.1. Gas prod VF'!$M$13:$M$1230=$E44),'3.1. Gas prod VF'!$AP$13:$AP$1230))</f>
        <v>0.3807886552931965</v>
      </c>
      <c r="X44" s="314" cm="1">
        <f t="array" ref="X44">_xlfn.STDEV.S(IF(('3.1. Gas prod VF'!$L$13:$L$1230=$F44) *('3.1. Gas prod VF'!$M$13:$M$1230=$E44),'3.1. Gas prod VF'!$AQ$13:$AQ$1230))</f>
        <v>0.55192240338768839</v>
      </c>
      <c r="Y44" s="314" cm="1">
        <f t="array" ref="Y44">_xlfn.STDEV.S(IF(('3.1. Gas prod VF'!$L$13:$L$1230=$F44) *('3.1. Gas prod VF'!$M$13:$M$1230=$E44),'3.1. Gas prod VF'!$AR$13:$AR$1230))</f>
        <v>1.8400056325676897</v>
      </c>
      <c r="Z44" s="314" cm="1">
        <f t="array" ref="Z44">_xlfn.STDEV.S(IF(('3.1. Gas prod VF'!$L$13:$L$1230=$F44) *('3.1. Gas prod VF'!$M$13:$M$1230=$E44),'3.1. Gas prod VF'!$AS$13:$AS$1230))</f>
        <v>3.9027818398197192</v>
      </c>
      <c r="AA44" s="314" cm="1">
        <f t="array" ref="AA44">_xlfn.STDEV.S(IF(('3.1. Gas prod VF'!$L$13:$L$1230=$F44) *('3.1. Gas prod VF'!$M$13:$M$1230=$E44),'3.1. Gas prod VF'!$AT$13:$AT$1230))</f>
        <v>0.21763343567521634</v>
      </c>
      <c r="AB44" s="314" cm="1">
        <f t="array" ref="AB44">_xlfn.STDEV.S(IF(('3.1. Gas prod VF'!$L$13:$L$1230=$F44) *('3.1. Gas prod VF'!$M$13:$M$1230=$E44),'3.1. Gas prod VF'!$AU$13:$AU$1230))</f>
        <v>1.0212349600825519</v>
      </c>
      <c r="AC44" s="314" cm="1">
        <f t="array" ref="AC44">_xlfn.STDEV.S(IF(('3.1. Gas prod VF'!$L$13:$L$1230=$F44) *('3.1. Gas prod VF'!$M$13:$M$1230=$E44),'3.1. Gas prod VF'!$AU$13:$AV$1230))</f>
        <v>4.8284684358294001</v>
      </c>
      <c r="AD44" s="20"/>
      <c r="AE44" s="20"/>
    </row>
    <row r="45" spans="2:31" x14ac:dyDescent="0.35">
      <c r="B45" s="62">
        <f>'1. Information samples'!B45</f>
        <v>35</v>
      </c>
      <c r="C45" s="198">
        <f>'1. Information samples'!C45</f>
        <v>46048</v>
      </c>
      <c r="D45" s="62" t="str">
        <f>'1. Information samples'!D45</f>
        <v>Genbank</v>
      </c>
      <c r="E45" s="316">
        <f>'1. Information samples'!E45</f>
        <v>28</v>
      </c>
      <c r="F45" s="62" t="str">
        <f>'1. Information samples'!F45</f>
        <v>F251759</v>
      </c>
      <c r="G45" s="62" t="str">
        <f>'1. Information samples'!G45</f>
        <v>CIAT-17482</v>
      </c>
      <c r="H45" s="62" t="str">
        <f>'1. Information samples'!H45</f>
        <v>Leucaena</v>
      </c>
      <c r="I45" s="62" t="str">
        <f>'1. Information samples'!I45</f>
        <v>leucocephala</v>
      </c>
      <c r="J45" s="62" t="str">
        <f>'1. Information samples'!J45</f>
        <v>Leucaena leucocephala</v>
      </c>
      <c r="K45" s="62" t="str">
        <f>'1. Information samples'!K45</f>
        <v>Fabaceae</v>
      </c>
      <c r="L45" s="62" t="str">
        <f>'1. Information samples'!L45</f>
        <v>Fabales</v>
      </c>
      <c r="M45" s="62" t="str">
        <f>'1. Information samples'!M45</f>
        <v>Tree</v>
      </c>
      <c r="N45" s="314" cm="1">
        <f t="array" ref="N45">_xlfn.STDEV.S(IF(('3.1. Gas prod VF'!$L$13:$L$1230=$F45) *('3.1. Gas prod VF'!$M$13:$M$1230=$E45),'3.1. Gas prod VF'!$AG$13:$AG$1230))</f>
        <v>12.153035439926624</v>
      </c>
      <c r="O45" s="314" cm="1">
        <f t="array" ref="O45">_xlfn.STDEV.S(IF(('3.1. Gas prod VF'!$L$13:$L$1230=$F45) *('3.1. Gas prod VF'!$M$13:$M$1230=$E45),'3.1. Gas prod VF'!$AH$13:$AH$1230))</f>
        <v>9.8211251862602342</v>
      </c>
      <c r="P45" s="314" cm="1">
        <f t="array" ref="P45">_xlfn.STDEV.S(IF(('3.1. Gas prod VF'!$L$13:$L$1230=$F45) *('3.1. Gas prod VF'!$M$13:$M$1230=$E45),'3.1. Gas prod VF'!$AI$13:$AI$1230))</f>
        <v>21.77273376878524</v>
      </c>
      <c r="Q45" s="314" cm="1">
        <f t="array" ref="Q45">_xlfn.STDEV.S(IF(('3.1. Gas prod VF'!$L$13:$L$1230=$F45) *('3.1. Gas prod VF'!$M$13:$M$1230=$E45),'3.1. Gas prod VF'!$AJ$13:$AJ$1230))</f>
        <v>1.3718712578681469</v>
      </c>
      <c r="R45" s="314" cm="1">
        <f t="array" ref="R45">_xlfn.STDEV.S(IF(('3.1. Gas prod VF'!$L$13:$L$1230=$F45) *('3.1. Gas prod VF'!$M$13:$M$1230=$E45),'3.1. Gas prod VF'!$AK$13:$AK$1230))</f>
        <v>1.3302692007508627</v>
      </c>
      <c r="S45" s="314" cm="1">
        <f t="array" ref="S45">_xlfn.STDEV.S(IF(('3.1. Gas prod VF'!$L$13:$L$1230=$F45) *('3.1. Gas prod VF'!$M$13:$M$1230=$E45),'3.1. Gas prod VF'!$AL$13:$AL$1230))</f>
        <v>2.6740374478576925</v>
      </c>
      <c r="T45" s="314" cm="1">
        <f t="array" ref="T45">_xlfn.STDEV.S(IF(('3.1. Gas prod VF'!$L$13:$L$1230=$F45) *('3.1. Gas prod VF'!$M$13:$M$1230=$E45),'3.1. Gas prod VF'!$AM$13:$AM$1230))</f>
        <v>46.98049969596061</v>
      </c>
      <c r="U45" s="314">
        <f>_xlfn.STDEV.S('3.1. Gas prod VF'!AN298,'3.1. Gas prod VF'!AN299,'3.1. Gas prod VF'!AN300,'3.1. Gas prod VF'!AN484,'3.1. Gas prod VF'!AN485,'3.1. Gas prod VF'!AN486,'3.1. Gas prod VF'!AN668,'3.1. Gas prod VF'!AN669)</f>
        <v>7.0722296755898917</v>
      </c>
      <c r="V45" s="314" cm="1">
        <f t="array" ref="V45">_xlfn.STDEV.S(IF(('3.1. Gas prod VF'!$L$13:$L$1230=$F45) *('3.1. Gas prod VF'!$M$13:$M$1230=$E45),'3.1. Gas prod VF'!$AO$13:$AO$1230))</f>
        <v>1.4732999039806522</v>
      </c>
      <c r="W45" s="314" cm="1">
        <f t="array" ref="W45">_xlfn.STDEV.S(IF(('3.1. Gas prod VF'!$L$13:$L$1230=$F45) *('3.1. Gas prod VF'!$M$13:$M$1230=$E45),'3.1. Gas prod VF'!$AP$13:$AP$1230))</f>
        <v>3.9245563898538691</v>
      </c>
      <c r="X45" s="314" cm="1">
        <f t="array" ref="X45">_xlfn.STDEV.S(IF(('3.1. Gas prod VF'!$L$13:$L$1230=$F45) *('3.1. Gas prod VF'!$M$13:$M$1230=$E45),'3.1. Gas prod VF'!$AQ$13:$AQ$1230))</f>
        <v>4.3065522982095565</v>
      </c>
      <c r="Y45" s="314" cm="1">
        <f t="array" ref="Y45">_xlfn.STDEV.S(IF(('3.1. Gas prod VF'!$L$13:$L$1230=$F45) *('3.1. Gas prod VF'!$M$13:$M$1230=$E45),'3.1. Gas prod VF'!$AR$13:$AR$1230))</f>
        <v>5.7701603577927383</v>
      </c>
      <c r="Z45" s="314" cm="1">
        <f t="array" ref="Z45">_xlfn.STDEV.S(IF(('3.1. Gas prod VF'!$L$13:$L$1230=$F45) *('3.1. Gas prod VF'!$M$13:$M$1230=$E45),'3.1. Gas prod VF'!$AS$13:$AS$1230))</f>
        <v>12.819196252419164</v>
      </c>
      <c r="AA45" s="314" cm="1">
        <f t="array" ref="AA45">_xlfn.STDEV.S(IF(('3.1. Gas prod VF'!$L$13:$L$1230=$F45) *('3.1. Gas prod VF'!$M$13:$M$1230=$E45),'3.1. Gas prod VF'!$AT$13:$AT$1230))</f>
        <v>3.8685747888127273</v>
      </c>
      <c r="AB45" s="314" cm="1">
        <f t="array" ref="AB45">_xlfn.STDEV.S(IF(('3.1. Gas prod VF'!$L$13:$L$1230=$F45) *('3.1. Gas prod VF'!$M$13:$M$1230=$E45),'3.1. Gas prod VF'!$AU$13:$AU$1230))</f>
        <v>3.2025388283389424</v>
      </c>
      <c r="AC45" s="314" cm="1">
        <f t="array" ref="AC45">_xlfn.STDEV.S(IF(('3.1. Gas prod VF'!$L$13:$L$1230=$F45) *('3.1. Gas prod VF'!$M$13:$M$1230=$E45),'3.1. Gas prod VF'!$AU$13:$AV$1230))</f>
        <v>6.85324257170151</v>
      </c>
      <c r="AD45" s="20"/>
      <c r="AE45" s="20"/>
    </row>
    <row r="46" spans="2:31" x14ac:dyDescent="0.35">
      <c r="B46" s="62">
        <f>'1. Information samples'!B46</f>
        <v>36</v>
      </c>
      <c r="C46" s="198">
        <f>'1. Information samples'!C46</f>
        <v>46048</v>
      </c>
      <c r="D46" s="62" t="str">
        <f>'1. Information samples'!D46</f>
        <v>Genbank</v>
      </c>
      <c r="E46" s="316">
        <f>'1. Information samples'!E46</f>
        <v>28</v>
      </c>
      <c r="F46" s="62" t="str">
        <f>'1. Information samples'!F46</f>
        <v>F251760</v>
      </c>
      <c r="G46" s="62" t="str">
        <f>'1. Information samples'!G46</f>
        <v>CIAT-17502</v>
      </c>
      <c r="H46" s="62" t="str">
        <f>'1. Information samples'!H46</f>
        <v>Leucaena</v>
      </c>
      <c r="I46" s="62" t="str">
        <f>'1. Information samples'!I46</f>
        <v>leucocephala</v>
      </c>
      <c r="J46" s="62" t="str">
        <f>'1. Information samples'!J46</f>
        <v>Leucaena leucocephala</v>
      </c>
      <c r="K46" s="62" t="str">
        <f>'1. Information samples'!K46</f>
        <v>Fabaceae</v>
      </c>
      <c r="L46" s="62" t="str">
        <f>'1. Information samples'!L46</f>
        <v>Fabales</v>
      </c>
      <c r="M46" s="62" t="str">
        <f>'1. Information samples'!M46</f>
        <v>Tree</v>
      </c>
      <c r="N46" s="314" cm="1">
        <f t="array" ref="N46">_xlfn.STDEV.S(IF(('3.1. Gas prod VF'!$L$13:$L$1230=$F46) *('3.1. Gas prod VF'!$M$13:$M$1230=$E46),'3.1. Gas prod VF'!$AG$13:$AG$1230))</f>
        <v>2.1990252384106466</v>
      </c>
      <c r="O46" s="314" cm="1">
        <f t="array" ref="O46">_xlfn.STDEV.S(IF(('3.1. Gas prod VF'!$L$13:$L$1230=$F46) *('3.1. Gas prod VF'!$M$13:$M$1230=$E46),'3.1. Gas prod VF'!$AH$13:$AH$1230))</f>
        <v>2.0123877557807419</v>
      </c>
      <c r="P46" s="314" cm="1">
        <f t="array" ref="P46">_xlfn.STDEV.S(IF(('3.1. Gas prod VF'!$L$13:$L$1230=$F46) *('3.1. Gas prod VF'!$M$13:$M$1230=$E46),'3.1. Gas prod VF'!$AI$13:$AI$1230))</f>
        <v>2.734178037928559</v>
      </c>
      <c r="Q46" s="314" cm="1">
        <f t="array" ref="Q46">_xlfn.STDEV.S(IF(('3.1. Gas prod VF'!$L$13:$L$1230=$F46) *('3.1. Gas prod VF'!$M$13:$M$1230=$E46),'3.1. Gas prod VF'!$AJ$13:$AJ$1230))</f>
        <v>0.4254010580545855</v>
      </c>
      <c r="R46" s="314" cm="1">
        <f t="array" ref="R46">_xlfn.STDEV.S(IF(('3.1. Gas prod VF'!$L$13:$L$1230=$F46) *('3.1. Gas prod VF'!$M$13:$M$1230=$E46),'3.1. Gas prod VF'!$AK$13:$AK$1230))</f>
        <v>0.24320333753922527</v>
      </c>
      <c r="S46" s="314" cm="1">
        <f t="array" ref="S46">_xlfn.STDEV.S(IF(('3.1. Gas prod VF'!$L$13:$L$1230=$F46) *('3.1. Gas prod VF'!$M$13:$M$1230=$E46),'3.1. Gas prod VF'!$AL$13:$AL$1230))</f>
        <v>0.55036922909336072</v>
      </c>
      <c r="T46" s="314" cm="1">
        <f t="array" ref="T46">_xlfn.STDEV.S(IF(('3.1. Gas prod VF'!$L$13:$L$1230=$F46) *('3.1. Gas prod VF'!$M$13:$M$1230=$E46),'3.1. Gas prod VF'!$AM$13:$AM$1230))</f>
        <v>5.7726715154955226</v>
      </c>
      <c r="U46" s="314" cm="1">
        <f t="array" ref="U46">_xlfn.STDEV.S(IF(('3.1. Gas prod VF'!$L$13:$L$1230=$F46) *('3.1. Gas prod VF'!$M$13:$M$1230=$E46),'3.1. Gas prod VF'!$AN$13:$AN$1230))</f>
        <v>5.5630929877352937</v>
      </c>
      <c r="V46" s="314" cm="1">
        <f t="array" ref="V46">_xlfn.STDEV.S(IF(('3.1. Gas prod VF'!$L$13:$L$1230=$F46) *('3.1. Gas prod VF'!$M$13:$M$1230=$E46),'3.1. Gas prod VF'!$AO$13:$AO$1230))</f>
        <v>0.31138540264845482</v>
      </c>
      <c r="W46" s="314" cm="1">
        <f t="array" ref="W46">_xlfn.STDEV.S(IF(('3.1. Gas prod VF'!$L$13:$L$1230=$F46) *('3.1. Gas prod VF'!$M$13:$M$1230=$E46),'3.1. Gas prod VF'!$AP$13:$AP$1230))</f>
        <v>0.59221135223354671</v>
      </c>
      <c r="X46" s="314" cm="1">
        <f t="array" ref="X46">_xlfn.STDEV.S(IF(('3.1. Gas prod VF'!$L$13:$L$1230=$F46) *('3.1. Gas prod VF'!$M$13:$M$1230=$E46),'3.1. Gas prod VF'!$AQ$13:$AQ$1230))</f>
        <v>0.45963547900624208</v>
      </c>
      <c r="Y46" s="314" cm="1">
        <f t="array" ref="Y46">_xlfn.STDEV.S(IF(('3.1. Gas prod VF'!$L$13:$L$1230=$F46) *('3.1. Gas prod VF'!$M$13:$M$1230=$E46),'3.1. Gas prod VF'!$AR$13:$AR$1230))</f>
        <v>1.1664092774206132</v>
      </c>
      <c r="Z46" s="314" cm="1">
        <f t="array" ref="Z46">_xlfn.STDEV.S(IF(('3.1. Gas prod VF'!$L$13:$L$1230=$F46) *('3.1. Gas prod VF'!$M$13:$M$1230=$E46),'3.1. Gas prod VF'!$AS$13:$AS$1230))</f>
        <v>3.2299188012668485</v>
      </c>
      <c r="AA46" s="314" cm="1">
        <f t="array" ref="AA46">_xlfn.STDEV.S(IF(('3.1. Gas prod VF'!$L$13:$L$1230=$F46) *('3.1. Gas prod VF'!$M$13:$M$1230=$E46),'3.1. Gas prod VF'!$AT$13:$AT$1230))</f>
        <v>2.0692625567327587</v>
      </c>
      <c r="AB46" s="314" cm="1">
        <f t="array" ref="AB46">_xlfn.STDEV.S(IF(('3.1. Gas prod VF'!$L$13:$L$1230=$F46) *('3.1. Gas prod VF'!$M$13:$M$1230=$E46),'3.1. Gas prod VF'!$AU$13:$AU$1230))</f>
        <v>0.64737732905974499</v>
      </c>
      <c r="AC46" s="314" cm="1">
        <f t="array" ref="AC46">_xlfn.STDEV.S(IF(('3.1. Gas prod VF'!$L$13:$L$1230=$F46) *('3.1. Gas prod VF'!$M$13:$M$1230=$E46),'3.1. Gas prod VF'!$AU$13:$AV$1230))</f>
        <v>5.5145574627492797</v>
      </c>
      <c r="AD46" s="20"/>
      <c r="AE46" s="20"/>
    </row>
    <row r="47" spans="2:31" x14ac:dyDescent="0.35">
      <c r="B47" s="62">
        <f>'1. Information samples'!B47</f>
        <v>37</v>
      </c>
      <c r="C47" s="198">
        <f>'1. Information samples'!C47</f>
        <v>46048</v>
      </c>
      <c r="D47" s="62" t="str">
        <f>'1. Information samples'!D47</f>
        <v>Genbank</v>
      </c>
      <c r="E47" s="316">
        <f>'1. Information samples'!E47</f>
        <v>28</v>
      </c>
      <c r="F47" s="62" t="str">
        <f>'1. Information samples'!F47</f>
        <v>F251761</v>
      </c>
      <c r="G47" s="62" t="str">
        <f>'1. Information samples'!G47</f>
        <v>CIAT-19384</v>
      </c>
      <c r="H47" s="62" t="str">
        <f>'1. Information samples'!H47</f>
        <v>Prosopis</v>
      </c>
      <c r="I47" s="62" t="str">
        <f>'1. Information samples'!I47</f>
        <v>juliflora</v>
      </c>
      <c r="J47" s="62" t="str">
        <f>'1. Information samples'!J47</f>
        <v>Prosopis juliflora</v>
      </c>
      <c r="K47" s="62" t="str">
        <f>'1. Information samples'!K47</f>
        <v>Fabaceae</v>
      </c>
      <c r="L47" s="62" t="str">
        <f>'1. Information samples'!L47</f>
        <v>Fabales</v>
      </c>
      <c r="M47" s="62" t="str">
        <f>'1. Information samples'!M47</f>
        <v>Tree</v>
      </c>
      <c r="N47" s="314" cm="1">
        <f t="array" ref="N47">_xlfn.STDEV.S(IF(('3.1. Gas prod VF'!$L$13:$L$1230=$F47) *('3.1. Gas prod VF'!$M$13:$M$1230=$E47),'3.1. Gas prod VF'!$AG$13:$AG$1230))</f>
        <v>2.7181463934198393</v>
      </c>
      <c r="O47" s="314" cm="1">
        <f t="array" ref="O47">_xlfn.STDEV.S(IF(('3.1. Gas prod VF'!$L$13:$L$1230=$F47) *('3.1. Gas prod VF'!$M$13:$M$1230=$E47),'3.1. Gas prod VF'!$AH$13:$AH$1230))</f>
        <v>1.3442965290975575</v>
      </c>
      <c r="P47" s="314" cm="1">
        <f t="array" ref="P47">_xlfn.STDEV.S(IF(('3.1. Gas prod VF'!$L$13:$L$1230=$F47) *('3.1. Gas prod VF'!$M$13:$M$1230=$E47),'3.1. Gas prod VF'!$AI$13:$AI$1230))</f>
        <v>3.167926576786726</v>
      </c>
      <c r="Q47" s="314" cm="1">
        <f t="array" ref="Q47">_xlfn.STDEV.S(IF(('3.1. Gas prod VF'!$L$13:$L$1230=$F47) *('3.1. Gas prod VF'!$M$13:$M$1230=$E47),'3.1. Gas prod VF'!$AJ$13:$AJ$1230))</f>
        <v>0.36875863720638991</v>
      </c>
      <c r="R47" s="314" cm="1">
        <f t="array" ref="R47">_xlfn.STDEV.S(IF(('3.1. Gas prod VF'!$L$13:$L$1230=$F47) *('3.1. Gas prod VF'!$M$13:$M$1230=$E47),'3.1. Gas prod VF'!$AK$13:$AK$1230))</f>
        <v>0.24860155402201164</v>
      </c>
      <c r="S47" s="314" cm="1">
        <f t="array" ref="S47">_xlfn.STDEV.S(IF(('3.1. Gas prod VF'!$L$13:$L$1230=$F47) *('3.1. Gas prod VF'!$M$13:$M$1230=$E47),'3.1. Gas prod VF'!$AL$13:$AL$1230))</f>
        <v>0.52417985840906045</v>
      </c>
      <c r="T47" s="314" cm="1">
        <f t="array" ref="T47">_xlfn.STDEV.S(IF(('3.1. Gas prod VF'!$L$13:$L$1230=$F47) *('3.1. Gas prod VF'!$M$13:$M$1230=$E47),'3.1. Gas prod VF'!$AM$13:$AM$1230))</f>
        <v>6.7873629626884631</v>
      </c>
      <c r="U47" s="314" cm="1">
        <f t="array" ref="U47">_xlfn.STDEV.S(IF(('3.1. Gas prod VF'!$L$13:$L$1230=$F47) *('3.1. Gas prod VF'!$M$13:$M$1230=$E47),'3.1. Gas prod VF'!$AN$13:$AN$1230))</f>
        <v>2.3580563638246135</v>
      </c>
      <c r="V47" s="314" cm="1">
        <f t="array" ref="V47">_xlfn.STDEV.S(IF(('3.1. Gas prod VF'!$L$13:$L$1230=$F47) *('3.1. Gas prod VF'!$M$13:$M$1230=$E47),'3.1. Gas prod VF'!$AO$13:$AO$1230))</f>
        <v>1.6194356922663498</v>
      </c>
      <c r="W47" s="314" cm="1">
        <f t="array" ref="W47">_xlfn.STDEV.S(IF(('3.1. Gas prod VF'!$L$13:$L$1230=$F47) *('3.1. Gas prod VF'!$M$13:$M$1230=$E47),'3.1. Gas prod VF'!$AP$13:$AP$1230))</f>
        <v>2.4069838862301136</v>
      </c>
      <c r="X47" s="314" cm="1">
        <f t="array" ref="X47">_xlfn.STDEV.S(IF(('3.1. Gas prod VF'!$L$13:$L$1230=$F47) *('3.1. Gas prod VF'!$M$13:$M$1230=$E47),'3.1. Gas prod VF'!$AQ$13:$AQ$1230))</f>
        <v>2.0072934750917373</v>
      </c>
      <c r="Y47" s="314" cm="1">
        <f t="array" ref="Y47">_xlfn.STDEV.S(IF(('3.1. Gas prod VF'!$L$13:$L$1230=$F47) *('3.1. Gas prod VF'!$M$13:$M$1230=$E47),'3.1. Gas prod VF'!$AR$13:$AR$1230))</f>
        <v>1.12238255017972</v>
      </c>
      <c r="Z47" s="314" cm="1">
        <f t="array" ref="Z47">_xlfn.STDEV.S(IF(('3.1. Gas prod VF'!$L$13:$L$1230=$F47) *('3.1. Gas prod VF'!$M$13:$M$1230=$E47),'3.1. Gas prod VF'!$AS$13:$AS$1230))</f>
        <v>1.759104549233766</v>
      </c>
      <c r="AA47" s="314" cm="1">
        <f t="array" ref="AA47">_xlfn.STDEV.S(IF(('3.1. Gas prod VF'!$L$13:$L$1230=$F47) *('3.1. Gas prod VF'!$M$13:$M$1230=$E47),'3.1. Gas prod VF'!$AT$13:$AT$1230))</f>
        <v>1.8760694130191158E-2</v>
      </c>
      <c r="AB47" s="314" cm="1">
        <f t="array" ref="AB47">_xlfn.STDEV.S(IF(('3.1. Gas prod VF'!$L$13:$L$1230=$F47) *('3.1. Gas prod VF'!$M$13:$M$1230=$E47),'3.1. Gas prod VF'!$AU$13:$AU$1230))</f>
        <v>0.62294173373296557</v>
      </c>
      <c r="AC47" s="314" cm="1">
        <f t="array" ref="AC47">_xlfn.STDEV.S(IF(('3.1. Gas prod VF'!$L$13:$L$1230=$F47) *('3.1. Gas prod VF'!$M$13:$M$1230=$E47),'3.1. Gas prod VF'!$AU$13:$AV$1230))</f>
        <v>0.96233966556690043</v>
      </c>
      <c r="AD47" s="20"/>
      <c r="AE47" s="20"/>
    </row>
    <row r="48" spans="2:31" x14ac:dyDescent="0.35">
      <c r="B48" s="62">
        <f>'1. Information samples'!B48</f>
        <v>38</v>
      </c>
      <c r="C48" s="198">
        <f>'1. Information samples'!C48</f>
        <v>46048</v>
      </c>
      <c r="D48" s="62" t="str">
        <f>'1. Information samples'!D48</f>
        <v>Genbank</v>
      </c>
      <c r="E48" s="316">
        <f>'1. Information samples'!E48</f>
        <v>28</v>
      </c>
      <c r="F48" s="62" t="str">
        <f>'1. Information samples'!F48</f>
        <v>F251762</v>
      </c>
      <c r="G48" s="62" t="str">
        <f>'1. Information samples'!G48</f>
        <v>CIAT-19571</v>
      </c>
      <c r="H48" s="62" t="str">
        <f>'1. Information samples'!H48</f>
        <v>Senna</v>
      </c>
      <c r="I48" s="62" t="str">
        <f>'1. Information samples'!I48</f>
        <v>cobanensis</v>
      </c>
      <c r="J48" s="62" t="str">
        <f>'1. Information samples'!J48</f>
        <v>Senna cobanensis</v>
      </c>
      <c r="K48" s="62" t="str">
        <f>'1. Information samples'!K48</f>
        <v>Fabaceae</v>
      </c>
      <c r="L48" s="62" t="str">
        <f>'1. Information samples'!L48</f>
        <v>Fabales</v>
      </c>
      <c r="M48" s="62" t="str">
        <f>'1. Information samples'!M48</f>
        <v>Tree</v>
      </c>
      <c r="N48" s="314" cm="1">
        <f t="array" ref="N48">_xlfn.STDEV.S(IF(('3.1. Gas prod VF'!$L$13:$L$1230=$F48) *('3.1. Gas prod VF'!$M$13:$M$1230=$E48),'3.1. Gas prod VF'!$AG$13:$AG$1230))</f>
        <v>2.446140607553756</v>
      </c>
      <c r="O48" s="314" cm="1">
        <f t="array" ref="O48">_xlfn.STDEV.S(IF(('3.1. Gas prod VF'!$L$13:$L$1230=$F48) *('3.1. Gas prod VF'!$M$13:$M$1230=$E48),'3.1. Gas prod VF'!$AH$13:$AH$1230))</f>
        <v>2.0184562879309813</v>
      </c>
      <c r="P48" s="314" cm="1">
        <f t="array" ref="P48">_xlfn.STDEV.S(IF(('3.1. Gas prod VF'!$L$13:$L$1230=$F48) *('3.1. Gas prod VF'!$M$13:$M$1230=$E48),'3.1. Gas prod VF'!$AI$13:$AI$1230))</f>
        <v>2.5081587070147213</v>
      </c>
      <c r="Q48" s="314" cm="1">
        <f t="array" ref="Q48">_xlfn.STDEV.S(IF(('3.1. Gas prod VF'!$L$13:$L$1230=$F48) *('3.1. Gas prod VF'!$M$13:$M$1230=$E48),'3.1. Gas prod VF'!$AJ$13:$AJ$1230))</f>
        <v>0.61152491177159263</v>
      </c>
      <c r="R48" s="314" cm="1">
        <f t="array" ref="R48">_xlfn.STDEV.S(IF(('3.1. Gas prod VF'!$L$13:$L$1230=$F48) *('3.1. Gas prod VF'!$M$13:$M$1230=$E48),'3.1. Gas prod VF'!$AK$13:$AK$1230))</f>
        <v>0.48559540190026856</v>
      </c>
      <c r="S48" s="314" cm="1">
        <f t="array" ref="S48">_xlfn.STDEV.S(IF(('3.1. Gas prod VF'!$L$13:$L$1230=$F48) *('3.1. Gas prod VF'!$M$13:$M$1230=$E48),'3.1. Gas prod VF'!$AL$13:$AL$1230))</f>
        <v>0.85660057021622316</v>
      </c>
      <c r="T48" s="314" cm="1">
        <f t="array" ref="T48">_xlfn.STDEV.S(IF(('3.1. Gas prod VF'!$L$13:$L$1230=$F48) *('3.1. Gas prod VF'!$M$13:$M$1230=$E48),'3.1. Gas prod VF'!$AM$13:$AM$1230))</f>
        <v>5.3838492720517817</v>
      </c>
      <c r="U48" s="314" cm="1">
        <f t="array" ref="U48">_xlfn.STDEV.S(IF(('3.1. Gas prod VF'!$L$13:$L$1230=$F48) *('3.1. Gas prod VF'!$M$13:$M$1230=$E48),'3.1. Gas prod VF'!$AN$13:$AN$1230))</f>
        <v>9.1958222665170979</v>
      </c>
      <c r="V48" s="314" cm="1">
        <f t="array" ref="V48">_xlfn.STDEV.S(IF(('3.1. Gas prod VF'!$L$13:$L$1230=$F48) *('3.1. Gas prod VF'!$M$13:$M$1230=$E48),'3.1. Gas prod VF'!$AO$13:$AO$1230))</f>
        <v>0.53148639431526923</v>
      </c>
      <c r="W48" s="314" cm="1">
        <f t="array" ref="W48">_xlfn.STDEV.S(IF(('3.1. Gas prod VF'!$L$13:$L$1230=$F48) *('3.1. Gas prod VF'!$M$13:$M$1230=$E48),'3.1. Gas prod VF'!$AP$13:$AP$1230))</f>
        <v>0.76706770049511031</v>
      </c>
      <c r="X48" s="314" cm="1">
        <f t="array" ref="X48">_xlfn.STDEV.S(IF(('3.1. Gas prod VF'!$L$13:$L$1230=$F48) *('3.1. Gas prod VF'!$M$13:$M$1230=$E48),'3.1. Gas prod VF'!$AQ$13:$AQ$1230))</f>
        <v>0.65621322009028071</v>
      </c>
      <c r="Y48" s="314" cm="1">
        <f t="array" ref="Y48">_xlfn.STDEV.S(IF(('3.1. Gas prod VF'!$L$13:$L$1230=$F48) *('3.1. Gas prod VF'!$M$13:$M$1230=$E48),'3.1. Gas prod VF'!$AR$13:$AR$1230))</f>
        <v>1.8389614713893072</v>
      </c>
      <c r="Z48" s="314" cm="1">
        <f t="array" ref="Z48">_xlfn.STDEV.S(IF(('3.1. Gas prod VF'!$L$13:$L$1230=$F48) *('3.1. Gas prod VF'!$M$13:$M$1230=$E48),'3.1. Gas prod VF'!$AS$13:$AS$1230))</f>
        <v>14.457797574317899</v>
      </c>
      <c r="AA48" s="314" cm="1">
        <f t="array" ref="AA48">_xlfn.STDEV.S(IF(('3.1. Gas prod VF'!$L$13:$L$1230=$F48) *('3.1. Gas prod VF'!$M$13:$M$1230=$E48),'3.1. Gas prod VF'!$AT$13:$AT$1230))</f>
        <v>2.9625254560810887</v>
      </c>
      <c r="AB48" s="314" cm="1">
        <f t="array" ref="AB48">_xlfn.STDEV.S(IF(('3.1. Gas prod VF'!$L$13:$L$1230=$F48) *('3.1. Gas prod VF'!$M$13:$M$1230=$E48),'3.1. Gas prod VF'!$AU$13:$AU$1230))</f>
        <v>1.0206554325634773</v>
      </c>
      <c r="AC48" s="314" cm="1">
        <f t="array" ref="AC48">_xlfn.STDEV.S(IF(('3.1. Gas prod VF'!$L$13:$L$1230=$F48) *('3.1. Gas prod VF'!$M$13:$M$1230=$E48),'3.1. Gas prod VF'!$AU$13:$AV$1230))</f>
        <v>11.552273294636784</v>
      </c>
      <c r="AD48" s="20"/>
      <c r="AE48" s="20"/>
    </row>
    <row r="49" spans="2:31" x14ac:dyDescent="0.35">
      <c r="B49" s="62">
        <f>'1. Information samples'!B49</f>
        <v>39</v>
      </c>
      <c r="C49" s="198">
        <f>'1. Information samples'!C49</f>
        <v>46048</v>
      </c>
      <c r="D49" s="62" t="str">
        <f>'1. Information samples'!D49</f>
        <v>Genbank</v>
      </c>
      <c r="E49" s="316">
        <f>'1. Information samples'!E49</f>
        <v>28</v>
      </c>
      <c r="F49" s="62" t="str">
        <f>'1. Information samples'!F49</f>
        <v>F251763</v>
      </c>
      <c r="G49" s="62" t="str">
        <f>'1. Information samples'!G49</f>
        <v>CIAT-20126</v>
      </c>
      <c r="H49" s="62" t="str">
        <f>'1. Information samples'!H49</f>
        <v>Acacia</v>
      </c>
      <c r="I49" s="62" t="str">
        <f>'1. Information samples'!I49</f>
        <v>angustissima</v>
      </c>
      <c r="J49" s="62" t="str">
        <f>'1. Information samples'!J49</f>
        <v>Acacia angustissima</v>
      </c>
      <c r="K49" s="62" t="str">
        <f>'1. Information samples'!K49</f>
        <v>Fabaceae</v>
      </c>
      <c r="L49" s="62" t="str">
        <f>'1. Information samples'!L49</f>
        <v>Fabales</v>
      </c>
      <c r="M49" s="62" t="str">
        <f>'1. Information samples'!M49</f>
        <v>Tree</v>
      </c>
      <c r="N49" s="314">
        <f>_xlfn.STDEV.S('3.1. Gas prod VF'!AG310,'3.1. Gas prod VF'!AG311,'3.1. Gas prod VF'!AG497,'3.1. Gas prod VF'!AG498,'3.1. Gas prod VF'!AG676,'3.1. Gas prod VF'!AG677)</f>
        <v>1.1672834002378065</v>
      </c>
      <c r="O49" s="314">
        <f>_xlfn.STDEV.S('3.1. Gas prod VF'!AH310,'3.1. Gas prod VF'!AH311,'3.1. Gas prod VF'!AH497,'3.1. Gas prod VF'!AH498,'3.1. Gas prod VF'!AH676,'3.1. Gas prod VF'!AH677)</f>
        <v>1.9343875307363227</v>
      </c>
      <c r="P49" s="314">
        <f>_xlfn.STDEV.S('3.1. Gas prod VF'!AI310,'3.1. Gas prod VF'!AI311,'3.1. Gas prod VF'!AI497,'3.1. Gas prod VF'!AI498,'3.1. Gas prod VF'!AI676,'3.1. Gas prod VF'!AI677)</f>
        <v>2.9178965410022801</v>
      </c>
      <c r="Q49" s="314">
        <f>_xlfn.STDEV.S('3.1. Gas prod VF'!AJ310,'3.1. Gas prod VF'!AJ311,'3.1. Gas prod VF'!AJ497,'3.1. Gas prod VF'!AJ498,'3.1. Gas prod VF'!AJ676,'3.1. Gas prod VF'!AJ677)</f>
        <v>0.19399650749978356</v>
      </c>
      <c r="R49" s="314">
        <f>_xlfn.STDEV.S('3.1. Gas prod VF'!AK310,'3.1. Gas prod VF'!AK311,'3.1. Gas prod VF'!AK497,'3.1. Gas prod VF'!AK498,'3.1. Gas prod VF'!AK676,'3.1. Gas prod VF'!AK677)</f>
        <v>0.22499919092795775</v>
      </c>
      <c r="S49" s="314">
        <f>_xlfn.STDEV.S('3.1. Gas prod VF'!AL310,'3.1. Gas prod VF'!AL311,'3.1. Gas prod VF'!AL497,'3.1. Gas prod VF'!AL498,'3.1. Gas prod VF'!AL676,'3.1. Gas prod VF'!AL677)</f>
        <v>0.39569224929032265</v>
      </c>
      <c r="T49" s="314">
        <f>_xlfn.STDEV.S('3.1. Gas prod VF'!AM310,'3.1. Gas prod VF'!AM311,'3.1. Gas prod VF'!AM497,'3.1. Gas prod VF'!AM498,'3.1. Gas prod VF'!AM676,'3.1. Gas prod VF'!AM677)</f>
        <v>6.2116682703075936</v>
      </c>
      <c r="U49" s="314">
        <f>_xlfn.STDEV.S('3.1. Gas prod VF'!AN310,'3.1. Gas prod VF'!AN311,'3.1. Gas prod VF'!AN497,'3.1. Gas prod VF'!AN498,'3.1. Gas prod VF'!AN676,'3.1. Gas prod VF'!AN677)</f>
        <v>2.1761970345422732</v>
      </c>
      <c r="V49" s="314">
        <f>_xlfn.STDEV.S('3.1. Gas prod VF'!AO310,'3.1. Gas prod VF'!AO311,'3.1. Gas prod VF'!AO497,'3.1. Gas prod VF'!AO498,'3.1. Gas prod VF'!AO676,'3.1. Gas prod VF'!AO677)</f>
        <v>0.59323590865840059</v>
      </c>
      <c r="W49" s="314">
        <f>_xlfn.STDEV.S('3.1. Gas prod VF'!AP310,'3.1. Gas prod VF'!AP311,'3.1. Gas prod VF'!AP497,'3.1. Gas prod VF'!AP498,'3.1. Gas prod VF'!AP676,'3.1. Gas prod VF'!AP677)</f>
        <v>0.36331804249169952</v>
      </c>
      <c r="X49" s="314">
        <f>_xlfn.STDEV.S('3.1. Gas prod VF'!AQ310,'3.1. Gas prod VF'!AQ311,'3.1. Gas prod VF'!AQ497,'3.1. Gas prod VF'!AQ498,'3.1. Gas prod VF'!AQ676,'3.1. Gas prod VF'!AQ677)</f>
        <v>0.23989220241385645</v>
      </c>
      <c r="Y49" s="314">
        <f>_xlfn.STDEV.S('3.1. Gas prod VF'!AR310,'3.1. Gas prod VF'!AR311,'3.1. Gas prod VF'!AR497,'3.1. Gas prod VF'!AR498,'3.1. Gas prod VF'!AR676,'3.1. Gas prod VF'!AR677)</f>
        <v>0.84231452438878518</v>
      </c>
      <c r="Z49" s="314">
        <f>_xlfn.STDEV.S('3.1. Gas prod VF'!AS310,'3.1. Gas prod VF'!AS311,'3.1. Gas prod VF'!AS497,'3.1. Gas prod VF'!AS498,'3.1. Gas prod VF'!AS676,'3.1. Gas prod VF'!AS677)</f>
        <v>5.6673531909324639</v>
      </c>
      <c r="AA49" s="314">
        <f>_xlfn.STDEV.S('3.1. Gas prod VF'!AT310,'3.1. Gas prod VF'!AT311,'3.1. Gas prod VF'!AT497,'3.1. Gas prod VF'!AT498,'3.1. Gas prod VF'!AT676,'3.1. Gas prod VF'!AT677)</f>
        <v>1.3805563433150069E-2</v>
      </c>
      <c r="AB49" s="314">
        <f>_xlfn.STDEV.S('3.1. Gas prod VF'!AU310,'3.1. Gas prod VF'!AU311,'3.1. Gas prod VF'!AU497,'3.1. Gas prod VF'!AU498,'3.1. Gas prod VF'!AU676,'3.1. Gas prod VF'!AU677)</f>
        <v>0.46749913395142273</v>
      </c>
      <c r="AC49" s="314">
        <f>_xlfn.STDEV.S('3.1. Gas prod VF'!AV310,'3.1. Gas prod VF'!AV311,'3.1. Gas prod VF'!AV497,'3.1. Gas prod VF'!AV498,'3.1. Gas prod VF'!AV676,'3.1. Gas prod VF'!AV677)</f>
        <v>3.1454790720607817</v>
      </c>
      <c r="AD49" s="20"/>
      <c r="AE49" s="20"/>
    </row>
    <row r="50" spans="2:31" x14ac:dyDescent="0.35">
      <c r="B50" s="62">
        <f>'1. Information samples'!B50</f>
        <v>40</v>
      </c>
      <c r="C50" s="198">
        <f>'1. Information samples'!C50</f>
        <v>46048</v>
      </c>
      <c r="D50" s="62" t="str">
        <f>'1. Information samples'!D50</f>
        <v>Genbank</v>
      </c>
      <c r="E50" s="316">
        <f>'1. Information samples'!E50</f>
        <v>28</v>
      </c>
      <c r="F50" s="62" t="str">
        <f>'1. Information samples'!F50</f>
        <v>F251764</v>
      </c>
      <c r="G50" s="62" t="str">
        <f>'1. Information samples'!G50</f>
        <v>CIAT-20788</v>
      </c>
      <c r="H50" s="62" t="str">
        <f>'1. Information samples'!H50</f>
        <v>Senna</v>
      </c>
      <c r="I50" s="62" t="str">
        <f>'1. Information samples'!I50</f>
        <v>pallida</v>
      </c>
      <c r="J50" s="62" t="str">
        <f>'1. Information samples'!J50</f>
        <v>Senna pallida</v>
      </c>
      <c r="K50" s="62" t="str">
        <f>'1. Information samples'!K50</f>
        <v>Fabaceae</v>
      </c>
      <c r="L50" s="62" t="str">
        <f>'1. Information samples'!L50</f>
        <v>Fabales</v>
      </c>
      <c r="M50" s="62" t="str">
        <f>'1. Information samples'!M50</f>
        <v>Tree</v>
      </c>
      <c r="N50" s="314">
        <f>_xlfn.STDEV.S('3.1. Gas prod VF'!AG313,'3.1. Gas prod VF'!AG314,'3.1. Gas prod VF'!AG315,'3.1. Gas prod VF'!AG499,'3.1. Gas prod VF'!AG501,'3.1. Gas prod VF'!AG678,'3.1. Gas prod VF'!AG679)</f>
        <v>2.117211403125915</v>
      </c>
      <c r="O50" s="314">
        <f>_xlfn.STDEV.S('3.1. Gas prod VF'!AH313,'3.1. Gas prod VF'!AH314,'3.1. Gas prod VF'!AH315,'3.1. Gas prod VF'!AH499,'3.1. Gas prod VF'!AH501,'3.1. Gas prod VF'!AH678,'3.1. Gas prod VF'!AH679)</f>
        <v>5.4177377000129541</v>
      </c>
      <c r="P50" s="314">
        <f>_xlfn.STDEV.S('3.1. Gas prod VF'!AI313,'3.1. Gas prod VF'!AI314,'3.1. Gas prod VF'!AI315,'3.1. Gas prod VF'!AI499,'3.1. Gas prod VF'!AI501,'3.1. Gas prod VF'!AI678,'3.1. Gas prod VF'!AI679)</f>
        <v>5.118679291295515</v>
      </c>
      <c r="Q50" s="314">
        <f>_xlfn.STDEV.S('3.1. Gas prod VF'!AJ313,'3.1. Gas prod VF'!AJ314,'3.1. Gas prod VF'!AJ315,'3.1. Gas prod VF'!AJ499,'3.1. Gas prod VF'!AJ501,'3.1. Gas prod VF'!AJ678,'3.1. Gas prod VF'!AJ679)</f>
        <v>0.68636725654074215</v>
      </c>
      <c r="R50" s="314">
        <f>_xlfn.STDEV.S('3.1. Gas prod VF'!AK313,'3.1. Gas prod VF'!AK314,'3.1. Gas prod VF'!AK315,'3.1. Gas prod VF'!AK499,'3.1. Gas prod VF'!AK501,'3.1. Gas prod VF'!AK678,'3.1. Gas prod VF'!AK679)</f>
        <v>0.87164320940246764</v>
      </c>
      <c r="S50" s="314">
        <f>_xlfn.STDEV.S('3.1. Gas prod VF'!AL313,'3.1. Gas prod VF'!AL314,'3.1. Gas prod VF'!AL315,'3.1. Gas prod VF'!AL499,'3.1. Gas prod VF'!AL501,'3.1. Gas prod VF'!AL678,'3.1. Gas prod VF'!AL679)</f>
        <v>1.1438765169251408</v>
      </c>
      <c r="T50" s="314">
        <f>_xlfn.STDEV.S('3.1. Gas prod VF'!AM313,'3.1. Gas prod VF'!AM314,'3.1. Gas prod VF'!AM315,'3.1. Gas prod VF'!AM499,'3.1. Gas prod VF'!AM501,'3.1. Gas prod VF'!AM678,'3.1. Gas prod VF'!AM679)</f>
        <v>10.917748101909426</v>
      </c>
      <c r="U50" s="314">
        <f>_xlfn.STDEV.S('3.1. Gas prod VF'!AN313,'3.1. Gas prod VF'!AN314,'3.1. Gas prod VF'!AN315,'3.1. Gas prod VF'!AN499,'3.1. Gas prod VF'!AN501,'3.1. Gas prod VF'!AN678,'3.1. Gas prod VF'!AN679)</f>
        <v>2.6858405209082261</v>
      </c>
      <c r="V50" s="314">
        <f>_xlfn.STDEV.S('3.1. Gas prod VF'!AO313,'3.1. Gas prod VF'!AO314,'3.1. Gas prod VF'!AO315,'3.1. Gas prod VF'!AO499,'3.1. Gas prod VF'!AO501,'3.1. Gas prod VF'!AO678,'3.1. Gas prod VF'!AO679)</f>
        <v>0.15582774345600564</v>
      </c>
      <c r="W50" s="314">
        <f>_xlfn.STDEV.S('3.1. Gas prod VF'!AP313,'3.1. Gas prod VF'!AP314,'3.1. Gas prod VF'!AP315,'3.1. Gas prod VF'!AP499,'3.1. Gas prod VF'!AP501,'3.1. Gas prod VF'!AP678,'3.1. Gas prod VF'!AP679)</f>
        <v>0.8400680244565224</v>
      </c>
      <c r="X50" s="314">
        <f>_xlfn.STDEV.S('3.1. Gas prod VF'!AQ313,'3.1. Gas prod VF'!AQ314,'3.1. Gas prod VF'!AQ315,'3.1. Gas prod VF'!AQ499,'3.1. Gas prod VF'!AQ501,'3.1. Gas prod VF'!AQ678,'3.1. Gas prod VF'!AQ679)</f>
        <v>0.60857194531643632</v>
      </c>
      <c r="Y50" s="314">
        <f>_xlfn.STDEV.S('3.1. Gas prod VF'!AR313,'3.1. Gas prod VF'!AR314,'3.1. Gas prod VF'!AR315,'3.1. Gas prod VF'!AR499,'3.1. Gas prod VF'!AR501,'3.1. Gas prod VF'!AR678,'3.1. Gas prod VF'!AR679)</f>
        <v>2.4410213201928119</v>
      </c>
      <c r="Z50" s="314">
        <f>_xlfn.STDEV.S('3.1. Gas prod VF'!AS313,'3.1. Gas prod VF'!AS314,'3.1. Gas prod VF'!AS315,'3.1. Gas prod VF'!AS499,'3.1. Gas prod VF'!AS501,'3.1. Gas prod VF'!AS678,'3.1. Gas prod VF'!AS679)</f>
        <v>4.0807643519068328</v>
      </c>
      <c r="AA50" s="314">
        <f>_xlfn.STDEV.S('3.1. Gas prod VF'!AT313,'3.1. Gas prod VF'!AT314,'3.1. Gas prod VF'!AT315,'3.1. Gas prod VF'!AT499,'3.1. Gas prod VF'!AT501,'3.1. Gas prod VF'!AT678,'3.1. Gas prod VF'!AT679)</f>
        <v>5.8538475349044647E-2</v>
      </c>
      <c r="AB50" s="314">
        <f>_xlfn.STDEV.S('3.1. Gas prod VF'!AU313,'3.1. Gas prod VF'!AU314,'3.1. Gas prod VF'!AU315,'3.1. Gas prod VF'!AU499,'3.1. Gas prod VF'!AU501,'3.1. Gas prod VF'!AU678,'3.1. Gas prod VF'!AU679)</f>
        <v>1.3548090649097815</v>
      </c>
      <c r="AC50" s="314">
        <f>_xlfn.STDEV.S('3.1. Gas prod VF'!AV313,'3.1. Gas prod VF'!AV314,'3.1. Gas prod VF'!AV315,'3.1. Gas prod VF'!AV499,'3.1. Gas prod VF'!AV501,'3.1. Gas prod VF'!AV678,'3.1. Gas prod VF'!AV679)</f>
        <v>2.2648948167676659</v>
      </c>
      <c r="AD50" s="20"/>
      <c r="AE50" s="20"/>
    </row>
    <row r="51" spans="2:31" x14ac:dyDescent="0.35">
      <c r="B51" s="62">
        <f>'1. Information samples'!B51</f>
        <v>41</v>
      </c>
      <c r="C51" s="198">
        <f>'1. Information samples'!C51</f>
        <v>46048</v>
      </c>
      <c r="D51" s="62" t="str">
        <f>'1. Information samples'!D51</f>
        <v>Genbank</v>
      </c>
      <c r="E51" s="316">
        <f>'1. Information samples'!E51</f>
        <v>28</v>
      </c>
      <c r="F51" s="62" t="str">
        <f>'1. Information samples'!F51</f>
        <v>F251765</v>
      </c>
      <c r="G51" s="62" t="str">
        <f>'1. Information samples'!G51</f>
        <v>CIAT-21242</v>
      </c>
      <c r="H51" s="62" t="str">
        <f>'1. Information samples'!H51</f>
        <v>Leucaena</v>
      </c>
      <c r="I51" s="62" t="str">
        <f>'1. Information samples'!I51</f>
        <v>diversifolia</v>
      </c>
      <c r="J51" s="62" t="str">
        <f>'1. Information samples'!J51</f>
        <v>Leucaena diversifolia</v>
      </c>
      <c r="K51" s="62" t="str">
        <f>'1. Information samples'!K51</f>
        <v>Fabaceae</v>
      </c>
      <c r="L51" s="62" t="str">
        <f>'1. Information samples'!L51</f>
        <v>Fabales</v>
      </c>
      <c r="M51" s="62" t="str">
        <f>'1. Information samples'!M51</f>
        <v>Tree</v>
      </c>
      <c r="N51" s="314" cm="1">
        <f t="array" ref="N51">_xlfn.STDEV.S(IF(('3.1. Gas prod VF'!$L$13:$L$1230=$F51) *('3.1. Gas prod VF'!$M$13:$M$1230=$E51),'3.1. Gas prod VF'!$AG$13:$AG$1230))</f>
        <v>1.8730469250855102</v>
      </c>
      <c r="O51" s="314" cm="1">
        <f t="array" ref="O51">_xlfn.STDEV.S(IF(('3.1. Gas prod VF'!$L$13:$L$1230=$F51) *('3.1. Gas prod VF'!$M$13:$M$1230=$E51),'3.1. Gas prod VF'!$AH$13:$AH$1230))</f>
        <v>1.6430932818345436</v>
      </c>
      <c r="P51" s="314" cm="1">
        <f t="array" ref="P51">_xlfn.STDEV.S(IF(('3.1. Gas prod VF'!$L$13:$L$1230=$F51) *('3.1. Gas prod VF'!$M$13:$M$1230=$E51),'3.1. Gas prod VF'!$AI$13:$AI$1230))</f>
        <v>2.1023164402085412</v>
      </c>
      <c r="Q51" s="314" cm="1">
        <f t="array" ref="Q51">_xlfn.STDEV.S(IF(('3.1. Gas prod VF'!$L$13:$L$1230=$F51) *('3.1. Gas prod VF'!$M$13:$M$1230=$E51),'3.1. Gas prod VF'!$AJ$13:$AJ$1230))</f>
        <v>0.43293102735454803</v>
      </c>
      <c r="R51" s="314" cm="1">
        <f t="array" ref="R51">_xlfn.STDEV.S(IF(('3.1. Gas prod VF'!$L$13:$L$1230=$F51) *('3.1. Gas prod VF'!$M$13:$M$1230=$E51),'3.1. Gas prod VF'!$AK$13:$AK$1230))</f>
        <v>0.22719156162333096</v>
      </c>
      <c r="S51" s="314" cm="1">
        <f t="array" ref="S51">_xlfn.STDEV.S(IF(('3.1. Gas prod VF'!$L$13:$L$1230=$F51) *('3.1. Gas prod VF'!$M$13:$M$1230=$E51),'3.1. Gas prod VF'!$AL$13:$AL$1230))</f>
        <v>0.50332626237602451</v>
      </c>
      <c r="T51" s="314" cm="1">
        <f t="array" ref="T51">_xlfn.STDEV.S(IF(('3.1. Gas prod VF'!$L$13:$L$1230=$F51) *('3.1. Gas prod VF'!$M$13:$M$1230=$E51),'3.1. Gas prod VF'!$AM$13:$AM$1230))</f>
        <v>4.5236173855827806</v>
      </c>
      <c r="U51" s="314" cm="1">
        <f t="array" ref="U51">_xlfn.STDEV.S(IF(('3.1. Gas prod VF'!$L$13:$L$1230=$F51) *('3.1. Gas prod VF'!$M$13:$M$1230=$E51),'3.1. Gas prod VF'!$AN$13:$AN$1230))</f>
        <v>5.0561156066861228</v>
      </c>
      <c r="V51" s="314" cm="1">
        <f t="array" ref="V51">_xlfn.STDEV.S(IF(('3.1. Gas prod VF'!$L$13:$L$1230=$F51) *('3.1. Gas prod VF'!$M$13:$M$1230=$E51),'3.1. Gas prod VF'!$AO$13:$AO$1230))</f>
        <v>0.73838124668660687</v>
      </c>
      <c r="W51" s="314" cm="1">
        <f t="array" ref="W51">_xlfn.STDEV.S(IF(('3.1. Gas prod VF'!$L$13:$L$1230=$F51) *('3.1. Gas prod VF'!$M$13:$M$1230=$E51),'3.1. Gas prod VF'!$AP$13:$AP$1230))</f>
        <v>0.99964279334455985</v>
      </c>
      <c r="X51" s="314" cm="1">
        <f t="array" ref="X51">_xlfn.STDEV.S(IF(('3.1. Gas prod VF'!$L$13:$L$1230=$F51) *('3.1. Gas prod VF'!$M$13:$M$1230=$E51),'3.1. Gas prod VF'!$AQ$13:$AQ$1230))</f>
        <v>0.69094306757221813</v>
      </c>
      <c r="Y51" s="314" cm="1">
        <f t="array" ref="Y51">_xlfn.STDEV.S(IF(('3.1. Gas prod VF'!$L$13:$L$1230=$F51) *('3.1. Gas prod VF'!$M$13:$M$1230=$E51),'3.1. Gas prod VF'!$AR$13:$AR$1230))</f>
        <v>1.0819221841384266</v>
      </c>
      <c r="Z51" s="314" cm="1">
        <f t="array" ref="Z51">_xlfn.STDEV.S(IF(('3.1. Gas prod VF'!$L$13:$L$1230=$F51) *('3.1. Gas prod VF'!$M$13:$M$1230=$E51),'3.1. Gas prod VF'!$AS$13:$AS$1230))</f>
        <v>6.7925054497408608</v>
      </c>
      <c r="AA51" s="314" cm="1">
        <f t="array" ref="AA51">_xlfn.STDEV.S(IF(('3.1. Gas prod VF'!$L$13:$L$1230=$F51) *('3.1. Gas prod VF'!$M$13:$M$1230=$E51),'3.1. Gas prod VF'!$AT$13:$AT$1230))</f>
        <v>1.1706333516909355</v>
      </c>
      <c r="AB51" s="314" cm="1">
        <f t="array" ref="AB51">_xlfn.STDEV.S(IF(('3.1. Gas prod VF'!$L$13:$L$1230=$F51) *('3.1. Gas prod VF'!$M$13:$M$1230=$E51),'3.1. Gas prod VF'!$AU$13:$AU$1230))</f>
        <v>0.60048553057371468</v>
      </c>
      <c r="AC51" s="314" cm="1">
        <f t="array" ref="AC51">_xlfn.STDEV.S(IF(('3.1. Gas prod VF'!$L$13:$L$1230=$F51) *('3.1. Gas prod VF'!$M$13:$M$1230=$E51),'3.1. Gas prod VF'!$AU$13:$AV$1230))</f>
        <v>7.5467474989109729</v>
      </c>
      <c r="AD51" s="20"/>
      <c r="AE51" s="20"/>
    </row>
    <row r="52" spans="2:31" x14ac:dyDescent="0.35">
      <c r="B52" s="62">
        <f>'1. Information samples'!B52</f>
        <v>42</v>
      </c>
      <c r="C52" s="198">
        <f>'1. Information samples'!C52</f>
        <v>46048</v>
      </c>
      <c r="D52" s="62" t="str">
        <f>'1. Information samples'!D52</f>
        <v>Genbank</v>
      </c>
      <c r="E52" s="316">
        <f>'1. Information samples'!E52</f>
        <v>28</v>
      </c>
      <c r="F52" s="62" t="str">
        <f>'1. Information samples'!F52</f>
        <v>F251766</v>
      </c>
      <c r="G52" s="62" t="str">
        <f>'1. Information samples'!G52</f>
        <v>CIAT-21512</v>
      </c>
      <c r="H52" s="62" t="str">
        <f>'1. Information samples'!H52</f>
        <v>Calliandra</v>
      </c>
      <c r="I52" s="62" t="str">
        <f>'1. Information samples'!I52</f>
        <v>calothyrsus</v>
      </c>
      <c r="J52" s="62" t="str">
        <f>'1. Information samples'!J52</f>
        <v>Calliandra calothyrsus</v>
      </c>
      <c r="K52" s="62" t="str">
        <f>'1. Information samples'!K52</f>
        <v>Fabaceae</v>
      </c>
      <c r="L52" s="62" t="str">
        <f>'1. Information samples'!L52</f>
        <v>Fabales</v>
      </c>
      <c r="M52" s="62" t="str">
        <f>'1. Information samples'!M52</f>
        <v>Tree</v>
      </c>
      <c r="N52" s="314" cm="1">
        <f t="array" ref="N52">_xlfn.STDEV.S(IF(('3.1. Gas prod VF'!$L$13:$L$1230=$F52) *('3.1. Gas prod VF'!$M$13:$M$1230=$E52),'3.1. Gas prod VF'!$AG$13:$AG$1230))</f>
        <v>2.6819167734321936</v>
      </c>
      <c r="O52" s="314" cm="1">
        <f t="array" ref="O52">_xlfn.STDEV.S(IF(('3.1. Gas prod VF'!$L$13:$L$1230=$F52) *('3.1. Gas prod VF'!$M$13:$M$1230=$E52),'3.1. Gas prod VF'!$AH$13:$AH$1230))</f>
        <v>2.5526797475593317</v>
      </c>
      <c r="P52" s="314" cm="1">
        <f t="array" ref="P52">_xlfn.STDEV.S(IF(('3.1. Gas prod VF'!$L$13:$L$1230=$F52) *('3.1. Gas prod VF'!$M$13:$M$1230=$E52),'3.1. Gas prod VF'!$AI$13:$AI$1230))</f>
        <v>4.752372677502688</v>
      </c>
      <c r="Q52" s="314" cm="1">
        <f t="array" ref="Q52">_xlfn.STDEV.S(IF(('3.1. Gas prod VF'!$L$13:$L$1230=$F52) *('3.1. Gas prod VF'!$M$13:$M$1230=$E52),'3.1. Gas prod VF'!$AJ$13:$AJ$1230))</f>
        <v>0.42149315984342517</v>
      </c>
      <c r="R52" s="314" cm="1">
        <f t="array" ref="R52">_xlfn.STDEV.S(IF(('3.1. Gas prod VF'!$L$13:$L$1230=$F52) *('3.1. Gas prod VF'!$M$13:$M$1230=$E52),'3.1. Gas prod VF'!$AK$13:$AK$1230))</f>
        <v>0.29415910807363949</v>
      </c>
      <c r="S52" s="314" cm="1">
        <f t="array" ref="S52">_xlfn.STDEV.S(IF(('3.1. Gas prod VF'!$L$13:$L$1230=$F52) *('3.1. Gas prod VF'!$M$13:$M$1230=$E52),'3.1. Gas prod VF'!$AL$13:$AL$1230))</f>
        <v>0.60934032454513121</v>
      </c>
      <c r="T52" s="314" cm="1">
        <f t="array" ref="T52">_xlfn.STDEV.S(IF(('3.1. Gas prod VF'!$L$13:$L$1230=$F52) *('3.1. Gas prod VF'!$M$13:$M$1230=$E52),'3.1. Gas prod VF'!$AM$13:$AM$1230))</f>
        <v>10.232328395929931</v>
      </c>
      <c r="U52" s="314" cm="1">
        <f t="array" ref="U52">_xlfn.STDEV.S(IF(('3.1. Gas prod VF'!$L$13:$L$1230=$F52) *('3.1. Gas prod VF'!$M$13:$M$1230=$E52),'3.1. Gas prod VF'!$AN$13:$AN$1230))</f>
        <v>5.09156753852929</v>
      </c>
      <c r="V52" s="314" cm="1">
        <f t="array" ref="V52">_xlfn.STDEV.S(IF(('3.1. Gas prod VF'!$L$13:$L$1230=$F52) *('3.1. Gas prod VF'!$M$13:$M$1230=$E52),'3.1. Gas prod VF'!$AO$13:$AO$1230))</f>
        <v>1.998254663229833</v>
      </c>
      <c r="W52" s="314" cm="1">
        <f t="array" ref="W52">_xlfn.STDEV.S(IF(('3.1. Gas prod VF'!$L$13:$L$1230=$F52) *('3.1. Gas prod VF'!$M$13:$M$1230=$E52),'3.1. Gas prod VF'!$AP$13:$AP$1230))</f>
        <v>1.1807987611298183</v>
      </c>
      <c r="X52" s="314" cm="1">
        <f t="array" ref="X52">_xlfn.STDEV.S(IF(('3.1. Gas prod VF'!$L$13:$L$1230=$F52) *('3.1. Gas prod VF'!$M$13:$M$1230=$E52),'3.1. Gas prod VF'!$AQ$13:$AQ$1230))</f>
        <v>0.56794080120601531</v>
      </c>
      <c r="Y52" s="314" cm="1">
        <f t="array" ref="Y52">_xlfn.STDEV.S(IF(('3.1. Gas prod VF'!$L$13:$L$1230=$F52) *('3.1. Gas prod VF'!$M$13:$M$1230=$E52),'3.1. Gas prod VF'!$AR$13:$AR$1230))</f>
        <v>1.3125820221359918</v>
      </c>
      <c r="Z52" s="314" cm="1">
        <f t="array" ref="Z52">_xlfn.STDEV.S(IF(('3.1. Gas prod VF'!$L$13:$L$1230=$F52) *('3.1. Gas prod VF'!$M$13:$M$1230=$E52),'3.1. Gas prod VF'!$AS$13:$AS$1230))</f>
        <v>9.4907941614949127</v>
      </c>
      <c r="AA52" s="314" cm="1">
        <f t="array" ref="AA52">_xlfn.STDEV.S(IF(('3.1. Gas prod VF'!$L$13:$L$1230=$F52) *('3.1. Gas prod VF'!$M$13:$M$1230=$E52),'3.1. Gas prod VF'!$AT$13:$AT$1230))</f>
        <v>1.5572272922459813E-2</v>
      </c>
      <c r="AB52" s="314" cm="1">
        <f t="array" ref="AB52">_xlfn.STDEV.S(IF(('3.1. Gas prod VF'!$L$13:$L$1230=$F52) *('3.1. Gas prod VF'!$M$13:$M$1230=$E52),'3.1. Gas prod VF'!$AU$13:$AU$1230))</f>
        <v>0.72850573131699492</v>
      </c>
      <c r="AC52" s="314" cm="1">
        <f t="array" ref="AC52">_xlfn.STDEV.S(IF(('3.1. Gas prod VF'!$L$13:$L$1230=$F52) *('3.1. Gas prod VF'!$M$13:$M$1230=$E52),'3.1. Gas prod VF'!$AU$13:$AV$1230))</f>
        <v>7.1076340414338599</v>
      </c>
      <c r="AD52" s="20"/>
      <c r="AE52" s="20"/>
    </row>
    <row r="53" spans="2:31" x14ac:dyDescent="0.35">
      <c r="B53" s="62">
        <f>'1. Information samples'!B53</f>
        <v>43</v>
      </c>
      <c r="C53" s="198">
        <f>'1. Information samples'!C53</f>
        <v>46048</v>
      </c>
      <c r="D53" s="62" t="str">
        <f>'1. Information samples'!D53</f>
        <v>Genbank</v>
      </c>
      <c r="E53" s="316">
        <f>'1. Information samples'!E53</f>
        <v>28</v>
      </c>
      <c r="F53" s="62" t="str">
        <f>'1. Information samples'!F53</f>
        <v>F251767</v>
      </c>
      <c r="G53" s="62" t="str">
        <f>'1. Information samples'!G53</f>
        <v>CIAT-21601</v>
      </c>
      <c r="H53" s="62" t="str">
        <f>'1. Information samples'!H53</f>
        <v>Erythrina</v>
      </c>
      <c r="I53" s="62" t="str">
        <f>'1. Information samples'!I53</f>
        <v>fusca</v>
      </c>
      <c r="J53" s="62" t="str">
        <f>'1. Information samples'!J53</f>
        <v>Erythrina fusca</v>
      </c>
      <c r="K53" s="62" t="str">
        <f>'1. Information samples'!K53</f>
        <v>Fabaceae</v>
      </c>
      <c r="L53" s="62" t="str">
        <f>'1. Information samples'!L53</f>
        <v>Fabales</v>
      </c>
      <c r="M53" s="62" t="str">
        <f>'1. Information samples'!M53</f>
        <v>Tree</v>
      </c>
      <c r="N53" s="314" cm="1">
        <f t="array" ref="N53">_xlfn.STDEV.S(IF(('3.1. Gas prod VF'!$L$13:$L$1230=$F53) *('3.1. Gas prod VF'!$M$13:$M$1230=$E53),'3.1. Gas prod VF'!$AG$13:$AG$1230))</f>
        <v>4.3058199954174405</v>
      </c>
      <c r="O53" s="314" cm="1">
        <f t="array" ref="O53">_xlfn.STDEV.S(IF(('3.1. Gas prod VF'!$L$13:$L$1230=$F53) *('3.1. Gas prod VF'!$M$13:$M$1230=$E53),'3.1. Gas prod VF'!$AH$13:$AH$1230))</f>
        <v>1.9906876282378831</v>
      </c>
      <c r="P53" s="314" cm="1">
        <f t="array" ref="P53">_xlfn.STDEV.S(IF(('3.1. Gas prod VF'!$L$13:$L$1230=$F53) *('3.1. Gas prod VF'!$M$13:$M$1230=$E53),'3.1. Gas prod VF'!$AI$13:$AI$1230))</f>
        <v>5.6719003512848793</v>
      </c>
      <c r="Q53" s="314" cm="1">
        <f t="array" ref="Q53">_xlfn.STDEV.S(IF(('3.1. Gas prod VF'!$L$13:$L$1230=$F53) *('3.1. Gas prod VF'!$M$13:$M$1230=$E53),'3.1. Gas prod VF'!$AJ$13:$AJ$1230))</f>
        <v>0.73425686000938384</v>
      </c>
      <c r="R53" s="314" cm="1">
        <f t="array" ref="R53">_xlfn.STDEV.S(IF(('3.1. Gas prod VF'!$L$13:$L$1230=$F53) *('3.1. Gas prod VF'!$M$13:$M$1230=$E53),'3.1. Gas prod VF'!$AK$13:$AK$1230))</f>
        <v>0.35401947578816545</v>
      </c>
      <c r="S53" s="314" cm="1">
        <f t="array" ref="S53">_xlfn.STDEV.S(IF(('3.1. Gas prod VF'!$L$13:$L$1230=$F53) *('3.1. Gas prod VF'!$M$13:$M$1230=$E53),'3.1. Gas prod VF'!$AL$13:$AL$1230))</f>
        <v>1.053975049447091</v>
      </c>
      <c r="T53" s="314" cm="1">
        <f t="array" ref="T53">_xlfn.STDEV.S(IF(('3.1. Gas prod VF'!$L$13:$L$1230=$F53) *('3.1. Gas prod VF'!$M$13:$M$1230=$E53),'3.1. Gas prod VF'!$AM$13:$AM$1230))</f>
        <v>12.136122929515718</v>
      </c>
      <c r="U53" s="314" cm="1">
        <f t="array" ref="U53">_xlfn.STDEV.S(IF(('3.1. Gas prod VF'!$L$13:$L$1230=$F53) *('3.1. Gas prod VF'!$M$13:$M$1230=$E53),'3.1. Gas prod VF'!$AN$13:$AN$1230))</f>
        <v>4.1142092682865172</v>
      </c>
      <c r="V53" s="314" cm="1">
        <f t="array" ref="V53">_xlfn.STDEV.S(IF(('3.1. Gas prod VF'!$L$13:$L$1230=$F53) *('3.1. Gas prod VF'!$M$13:$M$1230=$E53),'3.1. Gas prod VF'!$AO$13:$AO$1230))</f>
        <v>0.53124207780735511</v>
      </c>
      <c r="W53" s="314" cm="1">
        <f t="array" ref="W53">_xlfn.STDEV.S(IF(('3.1. Gas prod VF'!$L$13:$L$1230=$F53) *('3.1. Gas prod VF'!$M$13:$M$1230=$E53),'3.1. Gas prod VF'!$AP$13:$AP$1230))</f>
        <v>0.91094534883901124</v>
      </c>
      <c r="X53" s="314" cm="1">
        <f t="array" ref="X53">_xlfn.STDEV.S(IF(('3.1. Gas prod VF'!$L$13:$L$1230=$F53) *('3.1. Gas prod VF'!$M$13:$M$1230=$E53),'3.1. Gas prod VF'!$AQ$13:$AQ$1230))</f>
        <v>0.75538926430209663</v>
      </c>
      <c r="Y53" s="314" cm="1">
        <f t="array" ref="Y53">_xlfn.STDEV.S(IF(('3.1. Gas prod VF'!$L$13:$L$1230=$F53) *('3.1. Gas prod VF'!$M$13:$M$1230=$E53),'3.1. Gas prod VF'!$AR$13:$AR$1230))</f>
        <v>2.2581236884267413</v>
      </c>
      <c r="Z53" s="314" cm="1">
        <f t="array" ref="Z53">_xlfn.STDEV.S(IF(('3.1. Gas prod VF'!$L$13:$L$1230=$F53) *('3.1. Gas prod VF'!$M$13:$M$1230=$E53),'3.1. Gas prod VF'!$AS$13:$AS$1230))</f>
        <v>9.2179944587379232</v>
      </c>
      <c r="AA53" s="314" cm="1">
        <f t="array" ref="AA53">_xlfn.STDEV.S(IF(('3.1. Gas prod VF'!$L$13:$L$1230=$F53) *('3.1. Gas prod VF'!$M$13:$M$1230=$E53),'3.1. Gas prod VF'!$AT$13:$AT$1230))</f>
        <v>15.410045707353586</v>
      </c>
      <c r="AB53" s="314" cm="1">
        <f t="array" ref="AB53">_xlfn.STDEV.S(IF(('3.1. Gas prod VF'!$L$13:$L$1230=$F53) *('3.1. Gas prod VF'!$M$13:$M$1230=$E53),'3.1. Gas prod VF'!$AU$13:$AU$1230))</f>
        <v>1.2532977149607405</v>
      </c>
      <c r="AC53" s="314" cm="1">
        <f t="array" ref="AC53">_xlfn.STDEV.S(IF(('3.1. Gas prod VF'!$L$13:$L$1230=$F53) *('3.1. Gas prod VF'!$M$13:$M$1230=$E53),'3.1. Gas prod VF'!$AU$13:$AV$1230))</f>
        <v>11.176969703664</v>
      </c>
      <c r="AD53" s="20"/>
      <c r="AE53" s="20"/>
    </row>
    <row r="54" spans="2:31" x14ac:dyDescent="0.35">
      <c r="B54" s="62">
        <f>'1. Information samples'!B54</f>
        <v>44</v>
      </c>
      <c r="C54" s="198">
        <f>'1. Information samples'!C54</f>
        <v>46048</v>
      </c>
      <c r="D54" s="62" t="str">
        <f>'1. Information samples'!D54</f>
        <v>Genbank</v>
      </c>
      <c r="E54" s="316">
        <f>'1. Information samples'!E54</f>
        <v>28</v>
      </c>
      <c r="F54" s="62" t="str">
        <f>'1. Information samples'!F54</f>
        <v>F251768</v>
      </c>
      <c r="G54" s="62" t="str">
        <f>'1. Information samples'!G54</f>
        <v>CIAT-21809</v>
      </c>
      <c r="H54" s="62" t="str">
        <f>'1. Information samples'!H54</f>
        <v>Acacia</v>
      </c>
      <c r="I54" s="62" t="str">
        <f>'1. Information samples'!I54</f>
        <v>farnesiana</v>
      </c>
      <c r="J54" s="62" t="str">
        <f>'1. Information samples'!J54</f>
        <v>Acacia farnesiana</v>
      </c>
      <c r="K54" s="62" t="str">
        <f>'1. Information samples'!K54</f>
        <v>Fabaceae</v>
      </c>
      <c r="L54" s="62" t="str">
        <f>'1. Information samples'!L54</f>
        <v>Fabales</v>
      </c>
      <c r="M54" s="62" t="str">
        <f>'1. Information samples'!M54</f>
        <v>Tree</v>
      </c>
      <c r="N54" s="314" cm="1">
        <f t="array" ref="N54">_xlfn.STDEV.S(IF(('3.1. Gas prod VF'!$L$13:$L$1230=$F54) *('3.1. Gas prod VF'!$M$13:$M$1230=$E54),'3.1. Gas prod VF'!$AG$13:$AG$1230))</f>
        <v>1.2599999316272446</v>
      </c>
      <c r="O54" s="314" cm="1">
        <f t="array" ref="O54">_xlfn.STDEV.S(IF(('3.1. Gas prod VF'!$L$13:$L$1230=$F54) *('3.1. Gas prod VF'!$M$13:$M$1230=$E54),'3.1. Gas prod VF'!$AH$13:$AH$1230))</f>
        <v>1.1525041650890056</v>
      </c>
      <c r="P54" s="314" cm="1">
        <f t="array" ref="P54">_xlfn.STDEV.S(IF(('3.1. Gas prod VF'!$L$13:$L$1230=$F54) *('3.1. Gas prod VF'!$M$13:$M$1230=$E54),'3.1. Gas prod VF'!$AI$13:$AI$1230))</f>
        <v>1.3246761463238632</v>
      </c>
      <c r="Q54" s="314" cm="1">
        <f t="array" ref="Q54">_xlfn.STDEV.S(IF(('3.1. Gas prod VF'!$L$13:$L$1230=$F54) *('3.1. Gas prod VF'!$M$13:$M$1230=$E54),'3.1. Gas prod VF'!$AJ$13:$AJ$1230))</f>
        <v>0.48373261924292271</v>
      </c>
      <c r="R54" s="314" cm="1">
        <f t="array" ref="R54">_xlfn.STDEV.S(IF(('3.1. Gas prod VF'!$L$13:$L$1230=$F54) *('3.1. Gas prod VF'!$M$13:$M$1230=$E54),'3.1. Gas prod VF'!$AK$13:$AK$1230))</f>
        <v>0.15328871163875579</v>
      </c>
      <c r="S54" s="314" cm="1">
        <f t="array" ref="S54">_xlfn.STDEV.S(IF(('3.1. Gas prod VF'!$L$13:$L$1230=$F54) *('3.1. Gas prod VF'!$M$13:$M$1230=$E54),'3.1. Gas prod VF'!$AL$13:$AL$1230))</f>
        <v>0.58550038197050169</v>
      </c>
      <c r="T54" s="314" cm="1">
        <f t="array" ref="T54">_xlfn.STDEV.S(IF(('3.1. Gas prod VF'!$L$13:$L$1230=$F54) *('3.1. Gas prod VF'!$M$13:$M$1230=$E54),'3.1. Gas prod VF'!$AM$13:$AM$1230))</f>
        <v>2.8201699392489088</v>
      </c>
      <c r="U54" s="314" cm="1">
        <f t="array" ref="U54">_xlfn.STDEV.S(IF(('3.1. Gas prod VF'!$L$13:$L$1230=$F54) *('3.1. Gas prod VF'!$M$13:$M$1230=$E54),'3.1. Gas prod VF'!$AN$13:$AN$1230))</f>
        <v>4.2690533017272054</v>
      </c>
      <c r="V54" s="314" cm="1">
        <f t="array" ref="V54">_xlfn.STDEV.S(IF(('3.1. Gas prod VF'!$L$13:$L$1230=$F54) *('3.1. Gas prod VF'!$M$13:$M$1230=$E54),'3.1. Gas prod VF'!$AO$13:$AO$1230))</f>
        <v>0.34840422055294462</v>
      </c>
      <c r="W54" s="314" cm="1">
        <f t="array" ref="W54">_xlfn.STDEV.S(IF(('3.1. Gas prod VF'!$L$13:$L$1230=$F54) *('3.1. Gas prod VF'!$M$13:$M$1230=$E54),'3.1. Gas prod VF'!$AP$13:$AP$1230))</f>
        <v>1.05551273931542</v>
      </c>
      <c r="X54" s="314" cm="1">
        <f t="array" ref="X54">_xlfn.STDEV.S(IF(('3.1. Gas prod VF'!$L$13:$L$1230=$F54) *('3.1. Gas prod VF'!$M$13:$M$1230=$E54),'3.1. Gas prod VF'!$AQ$13:$AQ$1230))</f>
        <v>0.72284890545372338</v>
      </c>
      <c r="Y54" s="314" cm="1">
        <f t="array" ref="Y54">_xlfn.STDEV.S(IF(('3.1. Gas prod VF'!$L$13:$L$1230=$F54) *('3.1. Gas prod VF'!$M$13:$M$1230=$E54),'3.1. Gas prod VF'!$AR$13:$AR$1230))</f>
        <v>1.2416720584982557</v>
      </c>
      <c r="Z54" s="314" cm="1">
        <f t="array" ref="Z54">_xlfn.STDEV.S(IF(('3.1. Gas prod VF'!$L$13:$L$1230=$F54) *('3.1. Gas prod VF'!$M$13:$M$1230=$E54),'3.1. Gas prod VF'!$AS$13:$AS$1230))</f>
        <v>7.347389682687588</v>
      </c>
      <c r="AA54" s="314" cm="1">
        <f t="array" ref="AA54">_xlfn.STDEV.S(IF(('3.1. Gas prod VF'!$L$13:$L$1230=$F54) *('3.1. Gas prod VF'!$M$13:$M$1230=$E54),'3.1. Gas prod VF'!$AT$13:$AT$1230))</f>
        <v>2.6639690150129827</v>
      </c>
      <c r="AB54" s="314" cm="1">
        <f t="array" ref="AB54">_xlfn.STDEV.S(IF(('3.1. Gas prod VF'!$L$13:$L$1230=$F54) *('3.1. Gas prod VF'!$M$13:$M$1230=$E54),'3.1. Gas prod VF'!$AU$13:$AU$1230))</f>
        <v>0.68914947468207743</v>
      </c>
      <c r="AC54" s="314" cm="1">
        <f t="array" ref="AC54">_xlfn.STDEV.S(IF(('3.1. Gas prod VF'!$L$13:$L$1230=$F54) *('3.1. Gas prod VF'!$M$13:$M$1230=$E54),'3.1. Gas prod VF'!$AU$13:$AV$1230))</f>
        <v>10.086726852720197</v>
      </c>
      <c r="AD54" s="20"/>
      <c r="AE54" s="20"/>
    </row>
    <row r="55" spans="2:31" x14ac:dyDescent="0.35">
      <c r="B55" s="62">
        <f>'1. Information samples'!B55</f>
        <v>45</v>
      </c>
      <c r="C55" s="198">
        <f>'1. Information samples'!C55</f>
        <v>46048</v>
      </c>
      <c r="D55" s="62" t="str">
        <f>'1. Information samples'!D55</f>
        <v>Genbank</v>
      </c>
      <c r="E55" s="316">
        <f>'1. Information samples'!E55</f>
        <v>28</v>
      </c>
      <c r="F55" s="62" t="str">
        <f>'1. Information samples'!F55</f>
        <v>F251769</v>
      </c>
      <c r="G55" s="62" t="str">
        <f>'1. Information samples'!G55</f>
        <v>CIAT-21810</v>
      </c>
      <c r="H55" s="62" t="str">
        <f>'1. Information samples'!H55</f>
        <v>Acacia</v>
      </c>
      <c r="I55" s="62" t="str">
        <f>'1. Information samples'!I55</f>
        <v>angustissima</v>
      </c>
      <c r="J55" s="62" t="str">
        <f>'1. Information samples'!J55</f>
        <v>Acacia angustissima</v>
      </c>
      <c r="K55" s="62" t="str">
        <f>'1. Information samples'!K55</f>
        <v>Fabaceae</v>
      </c>
      <c r="L55" s="62" t="str">
        <f>'1. Information samples'!L55</f>
        <v>Fabales</v>
      </c>
      <c r="M55" s="62" t="str">
        <f>'1. Information samples'!M55</f>
        <v>Tree</v>
      </c>
      <c r="N55" s="314" cm="1">
        <f t="array" ref="N55">_xlfn.STDEV.S(IF(('3.1. Gas prod VF'!$L$13:$L$1230=$F55) *('3.1. Gas prod VF'!$M$13:$M$1230=$E55),'3.1. Gas prod VF'!$AG$13:$AG$1230))</f>
        <v>0.90751167162841873</v>
      </c>
      <c r="O55" s="314" cm="1">
        <f t="array" ref="O55">_xlfn.STDEV.S(IF(('3.1. Gas prod VF'!$L$13:$L$1230=$F55) *('3.1. Gas prod VF'!$M$13:$M$1230=$E55),'3.1. Gas prod VF'!$AH$13:$AH$1230))</f>
        <v>1.4963938006675315</v>
      </c>
      <c r="P55" s="314" cm="1">
        <f t="array" ref="P55">_xlfn.STDEV.S(IF(('3.1. Gas prod VF'!$L$13:$L$1230=$F55) *('3.1. Gas prod VF'!$M$13:$M$1230=$E55),'3.1. Gas prod VF'!$AI$13:$AI$1230))</f>
        <v>2.290027924820691</v>
      </c>
      <c r="Q55" s="314" cm="1">
        <f t="array" ref="Q55">_xlfn.STDEV.S(IF(('3.1. Gas prod VF'!$L$13:$L$1230=$F55) *('3.1. Gas prod VF'!$M$13:$M$1230=$E55),'3.1. Gas prod VF'!$AJ$13:$AJ$1230))</f>
        <v>0.23138701954485441</v>
      </c>
      <c r="R55" s="314" cm="1">
        <f t="array" ref="R55">_xlfn.STDEV.S(IF(('3.1. Gas prod VF'!$L$13:$L$1230=$F55) *('3.1. Gas prod VF'!$M$13:$M$1230=$E55),'3.1. Gas prod VF'!$AK$13:$AK$1230))</f>
        <v>0.21666622980632558</v>
      </c>
      <c r="S55" s="314" cm="1">
        <f t="array" ref="S55">_xlfn.STDEV.S(IF(('3.1. Gas prod VF'!$L$13:$L$1230=$F55) *('3.1. Gas prod VF'!$M$13:$M$1230=$E55),'3.1. Gas prod VF'!$AL$13:$AL$1230))</f>
        <v>0.40172138243109118</v>
      </c>
      <c r="T55" s="314" cm="1">
        <f t="array" ref="T55">_xlfn.STDEV.S(IF(('3.1. Gas prod VF'!$L$13:$L$1230=$F55) *('3.1. Gas prod VF'!$M$13:$M$1230=$E55),'3.1. Gas prod VF'!$AM$13:$AM$1230))</f>
        <v>4.8236749594192236</v>
      </c>
      <c r="U55" s="314" cm="1">
        <f t="array" ref="U55">_xlfn.STDEV.S(IF(('3.1. Gas prod VF'!$L$13:$L$1230=$F55) *('3.1. Gas prod VF'!$M$13:$M$1230=$E55),'3.1. Gas prod VF'!$AN$13:$AN$1230))</f>
        <v>7.740241366371019</v>
      </c>
      <c r="V55" s="314" cm="1">
        <f t="array" ref="V55">_xlfn.STDEV.S(IF(('3.1. Gas prod VF'!$L$13:$L$1230=$F55) *('3.1. Gas prod VF'!$M$13:$M$1230=$E55),'3.1. Gas prod VF'!$AO$13:$AO$1230))</f>
        <v>1.2366763578205684</v>
      </c>
      <c r="W55" s="314" cm="1">
        <f t="array" ref="W55">_xlfn.STDEV.S(IF(('3.1. Gas prod VF'!$L$13:$L$1230=$F55) *('3.1. Gas prod VF'!$M$13:$M$1230=$E55),'3.1. Gas prod VF'!$AP$13:$AP$1230))</f>
        <v>1.0041876603219417</v>
      </c>
      <c r="X55" s="314" cm="1">
        <f t="array" ref="X55">_xlfn.STDEV.S(IF(('3.1. Gas prod VF'!$L$13:$L$1230=$F55) *('3.1. Gas prod VF'!$M$13:$M$1230=$E55),'3.1. Gas prod VF'!$AQ$13:$AQ$1230))</f>
        <v>0.6147457979589156</v>
      </c>
      <c r="Y55" s="314" cm="1">
        <f t="array" ref="Y55">_xlfn.STDEV.S(IF(('3.1. Gas prod VF'!$L$13:$L$1230=$F55) *('3.1. Gas prod VF'!$M$13:$M$1230=$E55),'3.1. Gas prod VF'!$AR$13:$AR$1230))</f>
        <v>0.84659920708782133</v>
      </c>
      <c r="Z55" s="314" cm="1">
        <f t="array" ref="Z55">_xlfn.STDEV.S(IF(('3.1. Gas prod VF'!$L$13:$L$1230=$F55) *('3.1. Gas prod VF'!$M$13:$M$1230=$E55),'3.1. Gas prod VF'!$AS$13:$AS$1230))</f>
        <v>8.9713164068589872</v>
      </c>
      <c r="AA55" s="314" cm="1">
        <f t="array" ref="AA55">_xlfn.STDEV.S(IF(('3.1. Gas prod VF'!$L$13:$L$1230=$F55) *('3.1. Gas prod VF'!$M$13:$M$1230=$E55),'3.1. Gas prod VF'!$AT$13:$AT$1230))</f>
        <v>8.5396305123976321E-2</v>
      </c>
      <c r="AB55" s="314" cm="1">
        <f t="array" ref="AB55">_xlfn.STDEV.S(IF(('3.1. Gas prod VF'!$L$13:$L$1230=$F55) *('3.1. Gas prod VF'!$M$13:$M$1230=$E55),'3.1. Gas prod VF'!$AU$13:$AU$1230))</f>
        <v>0.46987720697884627</v>
      </c>
      <c r="AC55" s="314" cm="1">
        <f t="array" ref="AC55">_xlfn.STDEV.S(IF(('3.1. Gas prod VF'!$L$13:$L$1230=$F55) *('3.1. Gas prod VF'!$M$13:$M$1230=$E55),'3.1. Gas prod VF'!$AU$13:$AV$1230))</f>
        <v>6.1479293391594201</v>
      </c>
      <c r="AD55" s="20"/>
      <c r="AE55" s="20"/>
    </row>
    <row r="56" spans="2:31" s="65" customFormat="1" x14ac:dyDescent="0.35">
      <c r="B56" s="62">
        <f>'1. Information samples'!B56</f>
        <v>46</v>
      </c>
      <c r="C56" s="198">
        <f>'1. Information samples'!C56</f>
        <v>46048</v>
      </c>
      <c r="D56" s="62" t="str">
        <f>'1. Information samples'!D56</f>
        <v>Genbank</v>
      </c>
      <c r="E56" s="316">
        <f>'1. Information samples'!E56</f>
        <v>28</v>
      </c>
      <c r="F56" s="62" t="str">
        <f>'1. Information samples'!F56</f>
        <v>F251770</v>
      </c>
      <c r="G56" s="62" t="str">
        <f>'1. Information samples'!G56</f>
        <v>CIAT-21888</v>
      </c>
      <c r="H56" s="62" t="str">
        <f>'1. Information samples'!H56</f>
        <v>Leucaena</v>
      </c>
      <c r="I56" s="62" t="str">
        <f>'1. Information samples'!I56</f>
        <v>leucocephala</v>
      </c>
      <c r="J56" s="62" t="str">
        <f>'1. Information samples'!J56</f>
        <v>Leucaena leucocephala</v>
      </c>
      <c r="K56" s="62" t="str">
        <f>'1. Information samples'!K56</f>
        <v>Fabaceae</v>
      </c>
      <c r="L56" s="62" t="str">
        <f>'1. Information samples'!L56</f>
        <v>Fabales</v>
      </c>
      <c r="M56" s="62" t="str">
        <f>'1. Information samples'!M56</f>
        <v>Tree</v>
      </c>
      <c r="N56" s="314">
        <f>_xlfn.STDEV.S('3.1. Gas prod VF'!AG331,'3.1. Gas prod VF'!AG332,'3.1. Gas prod VF'!AG333,'3.1. Gas prod VF'!AG517,'3.1. Gas prod VF'!AG519,'3.1. Gas prod VF'!AG690,'3.1. Gas prod VF'!AG691)</f>
        <v>1.5608070276008104</v>
      </c>
      <c r="O56" s="314">
        <f>_xlfn.STDEV.S('3.1. Gas prod VF'!AH331,'3.1. Gas prod VF'!AH332,'3.1. Gas prod VF'!AH333,'3.1. Gas prod VF'!AH517,'3.1. Gas prod VF'!AH519,'3.1. Gas prod VF'!AH690,'3.1. Gas prod VF'!AH691)</f>
        <v>2.2279496690172076</v>
      </c>
      <c r="P56" s="314">
        <f>_xlfn.STDEV.S('3.1. Gas prod VF'!AI331,'3.1. Gas prod VF'!AI332,'3.1. Gas prod VF'!AI333,'3.1. Gas prod VF'!AI517,'3.1. Gas prod VF'!AI519,'3.1. Gas prod VF'!AI690,'3.1. Gas prod VF'!AI691)</f>
        <v>3.550089784747092</v>
      </c>
      <c r="Q56" s="314">
        <f>_xlfn.STDEV.S('3.1. Gas prod VF'!AJ331,'3.1. Gas prod VF'!AJ332,'3.1. Gas prod VF'!AJ333,'3.1. Gas prod VF'!AJ517,'3.1. Gas prod VF'!AJ519,'3.1. Gas prod VF'!AJ690,'3.1. Gas prod VF'!AJ691)</f>
        <v>0.37710169204168703</v>
      </c>
      <c r="R56" s="314">
        <f>_xlfn.STDEV.S('3.1. Gas prod VF'!AK331,'3.1. Gas prod VF'!AK332,'3.1. Gas prod VF'!AK333,'3.1. Gas prod VF'!AK517,'3.1. Gas prod VF'!AK519,'3.1. Gas prod VF'!AK690,'3.1. Gas prod VF'!AK691)</f>
        <v>0.34735890739679365</v>
      </c>
      <c r="S56" s="314">
        <f>_xlfn.STDEV.S('3.1. Gas prod VF'!AL331,'3.1. Gas prod VF'!AL332,'3.1. Gas prod VF'!AL333,'3.1. Gas prod VF'!AL517,'3.1. Gas prod VF'!AL519,'3.1. Gas prod VF'!AL690,'3.1. Gas prod VF'!AL691)</f>
        <v>0.67207882397180219</v>
      </c>
      <c r="T56" s="314">
        <f>_xlfn.STDEV.S('3.1. Gas prod VF'!AM331,'3.1. Gas prod VF'!AM332,'3.1. Gas prod VF'!AM333,'3.1. Gas prod VF'!AM517,'3.1. Gas prod VF'!AM519,'3.1. Gas prod VF'!AM690,'3.1. Gas prod VF'!AM691)</f>
        <v>7.5535483927903089</v>
      </c>
      <c r="U56" s="314">
        <f>_xlfn.STDEV.S('3.1. Gas prod VF'!AN331,'3.1. Gas prod VF'!AN332,'3.1. Gas prod VF'!AN333,'3.1. Gas prod VF'!AN517,'3.1. Gas prod VF'!AN519,'3.1. Gas prod VF'!AN690,'3.1. Gas prod VF'!AN691)</f>
        <v>8.4685074951286161</v>
      </c>
      <c r="V56" s="314">
        <f>_xlfn.STDEV.S('3.1. Gas prod VF'!AO331,'3.1. Gas prod VF'!AO332,'3.1. Gas prod VF'!AO333,'3.1. Gas prod VF'!AO517,'3.1. Gas prod VF'!AO519,'3.1. Gas prod VF'!AO690,'3.1. Gas prod VF'!AO691)</f>
        <v>0.71399338004731217</v>
      </c>
      <c r="W56" s="314">
        <f>_xlfn.STDEV.S('3.1. Gas prod VF'!AP331,'3.1. Gas prod VF'!AP332,'3.1. Gas prod VF'!AP333,'3.1. Gas prod VF'!AP517,'3.1. Gas prod VF'!AP519,'3.1. Gas prod VF'!AP690,'3.1. Gas prod VF'!AP691)</f>
        <v>0.69965978126787431</v>
      </c>
      <c r="X56" s="314">
        <f>_xlfn.STDEV.S('3.1. Gas prod VF'!AQ331,'3.1. Gas prod VF'!AQ332,'3.1. Gas prod VF'!AQ333,'3.1. Gas prod VF'!AQ517,'3.1. Gas prod VF'!AQ519,'3.1. Gas prod VF'!AQ690,'3.1. Gas prod VF'!AQ691)</f>
        <v>0.47789200171008633</v>
      </c>
      <c r="Y56" s="314">
        <f>_xlfn.STDEV.S('3.1. Gas prod VF'!AR331,'3.1. Gas prod VF'!AR332,'3.1. Gas prod VF'!AR333,'3.1. Gas prod VF'!AR517,'3.1. Gas prod VF'!AR519,'3.1. Gas prod VF'!AR690,'3.1. Gas prod VF'!AR691)</f>
        <v>1.4333122625795911</v>
      </c>
      <c r="Z56" s="314">
        <f>_xlfn.STDEV.S('3.1. Gas prod VF'!AS331,'3.1. Gas prod VF'!AS332,'3.1. Gas prod VF'!AS333,'3.1. Gas prod VF'!AS517,'3.1. Gas prod VF'!AS519,'3.1. Gas prod VF'!AS690,'3.1. Gas prod VF'!AS691)</f>
        <v>10.045299129928891</v>
      </c>
      <c r="AA56" s="314">
        <f>_xlfn.STDEV.S('3.1. Gas prod VF'!AT331,'3.1. Gas prod VF'!AT332,'3.1. Gas prod VF'!AT333,'3.1. Gas prod VF'!AT517,'3.1. Gas prod VF'!AT519,'3.1. Gas prod VF'!AT690,'3.1. Gas prod VF'!AT691)</f>
        <v>1.0908984358855525</v>
      </c>
      <c r="AB56" s="314">
        <f>_xlfn.STDEV.S('3.1. Gas prod VF'!AU331,'3.1. Gas prod VF'!AU332,'3.1. Gas prod VF'!AU333,'3.1. Gas prod VF'!AU517,'3.1. Gas prod VF'!AU519,'3.1. Gas prod VF'!AU690,'3.1. Gas prod VF'!AU691)</f>
        <v>0.79551310352168392</v>
      </c>
      <c r="AC56" s="314">
        <f>_xlfn.STDEV.S('3.1. Gas prod VF'!AV331,'3.1. Gas prod VF'!AV332,'3.1. Gas prod VF'!AV333,'3.1. Gas prod VF'!AV517,'3.1. Gas prod VF'!AV519,'3.1. Gas prod VF'!AV690,'3.1. Gas prod VF'!AV691)</f>
        <v>5.5753148112131132</v>
      </c>
      <c r="AD56" s="20"/>
      <c r="AE56" s="20"/>
    </row>
    <row r="57" spans="2:31" s="65" customFormat="1" x14ac:dyDescent="0.35">
      <c r="B57" s="62">
        <f>'1. Information samples'!B57</f>
        <v>47</v>
      </c>
      <c r="C57" s="198">
        <f>'1. Information samples'!C57</f>
        <v>46048</v>
      </c>
      <c r="D57" s="62" t="str">
        <f>'1. Information samples'!D57</f>
        <v>Genbank</v>
      </c>
      <c r="E57" s="316">
        <f>'1. Information samples'!E57</f>
        <v>28</v>
      </c>
      <c r="F57" s="62" t="str">
        <f>'1. Information samples'!F57</f>
        <v>F251771</v>
      </c>
      <c r="G57" s="62" t="str">
        <f>'1. Information samples'!G57</f>
        <v>CIAT-22310</v>
      </c>
      <c r="H57" s="62" t="str">
        <f>'1. Information samples'!H57</f>
        <v>Calliandra</v>
      </c>
      <c r="I57" s="62" t="str">
        <f>'1. Information samples'!I57</f>
        <v>calothyrsus</v>
      </c>
      <c r="J57" s="62" t="str">
        <f>'1. Information samples'!J57</f>
        <v>Calliandra calothyrsus</v>
      </c>
      <c r="K57" s="62" t="str">
        <f>'1. Information samples'!K57</f>
        <v>Fabaceae</v>
      </c>
      <c r="L57" s="62" t="str">
        <f>'1. Information samples'!L57</f>
        <v>Fabales</v>
      </c>
      <c r="M57" s="62" t="str">
        <f>'1. Information samples'!M57</f>
        <v>Tree</v>
      </c>
      <c r="N57" s="314" cm="1">
        <f t="array" ref="N57">_xlfn.STDEV.S(IF(('3.1. Gas prod VF'!$L$13:$L$1230=$F57) *('3.1. Gas prod VF'!$M$13:$M$1230=$E57),'3.1. Gas prod VF'!$AG$13:$AG$1230))</f>
        <v>6.5569094565654353</v>
      </c>
      <c r="O57" s="314" cm="1">
        <f t="array" ref="O57">_xlfn.STDEV.S(IF(('3.1. Gas prod VF'!$L$13:$L$1230=$F57) *('3.1. Gas prod VF'!$M$13:$M$1230=$E57),'3.1. Gas prod VF'!$AH$13:$AH$1230))</f>
        <v>4.6707621130818993</v>
      </c>
      <c r="P57" s="314" cm="1">
        <f t="array" ref="P57">_xlfn.STDEV.S(IF(('3.1. Gas prod VF'!$L$13:$L$1230=$F57) *('3.1. Gas prod VF'!$M$13:$M$1230=$E57),'3.1. Gas prod VF'!$AI$13:$AI$1230))</f>
        <v>11.08010793661335</v>
      </c>
      <c r="Q57" s="314" cm="1">
        <f t="array" ref="Q57">_xlfn.STDEV.S(IF(('3.1. Gas prod VF'!$L$13:$L$1230=$F57) *('3.1. Gas prod VF'!$M$13:$M$1230=$E57),'3.1. Gas prod VF'!$AJ$13:$AJ$1230))</f>
        <v>0.73141968265192148</v>
      </c>
      <c r="R57" s="314" cm="1">
        <f t="array" ref="R57">_xlfn.STDEV.S(IF(('3.1. Gas prod VF'!$L$13:$L$1230=$F57) *('3.1. Gas prod VF'!$M$13:$M$1230=$E57),'3.1. Gas prod VF'!$AK$13:$AK$1230))</f>
        <v>0.58700410444879425</v>
      </c>
      <c r="S57" s="314" cm="1">
        <f t="array" ref="S57">_xlfn.STDEV.S(IF(('3.1. Gas prod VF'!$L$13:$L$1230=$F57) *('3.1. Gas prod VF'!$M$13:$M$1230=$E57),'3.1. Gas prod VF'!$AL$13:$AL$1230))</f>
        <v>1.3025690994667352</v>
      </c>
      <c r="T57" s="314" cm="1">
        <f t="array" ref="T57">_xlfn.STDEV.S(IF(('3.1. Gas prod VF'!$L$13:$L$1230=$F57) *('3.1. Gas prod VF'!$M$13:$M$1230=$E57),'3.1. Gas prod VF'!$AM$13:$AM$1230))</f>
        <v>23.344098009489255</v>
      </c>
      <c r="U57" s="314" cm="1">
        <f t="array" ref="U57">_xlfn.STDEV.S(IF(('3.1. Gas prod VF'!$L$13:$L$1230=$F57) *('3.1. Gas prod VF'!$M$13:$M$1230=$E57),'3.1. Gas prod VF'!$AN$13:$AN$1230))</f>
        <v>8.8783945176835566</v>
      </c>
      <c r="V57" s="314" cm="1">
        <f t="array" ref="V57">_xlfn.STDEV.S(IF(('3.1. Gas prod VF'!$L$13:$L$1230=$F57) *('3.1. Gas prod VF'!$M$13:$M$1230=$E57),'3.1. Gas prod VF'!$AO$13:$AO$1230))</f>
        <v>1.576583406556141</v>
      </c>
      <c r="W57" s="314" cm="1">
        <f t="array" ref="W57">_xlfn.STDEV.S(IF(('3.1. Gas prod VF'!$L$13:$L$1230=$F57) *('3.1. Gas prod VF'!$M$13:$M$1230=$E57),'3.1. Gas prod VF'!$AP$13:$AP$1230))</f>
        <v>3.8942264957241548</v>
      </c>
      <c r="X57" s="314" cm="1">
        <f t="array" ref="X57">_xlfn.STDEV.S(IF(('3.1. Gas prod VF'!$L$13:$L$1230=$F57) *('3.1. Gas prod VF'!$M$13:$M$1230=$E57),'3.1. Gas prod VF'!$AQ$13:$AQ$1230))</f>
        <v>4.0859675767406998</v>
      </c>
      <c r="Y57" s="314" cm="1">
        <f t="array" ref="Y57">_xlfn.STDEV.S(IF(('3.1. Gas prod VF'!$L$13:$L$1230=$F57) *('3.1. Gas prod VF'!$M$13:$M$1230=$E57),'3.1. Gas prod VF'!$AR$13:$AR$1230))</f>
        <v>2.7443690269596264</v>
      </c>
      <c r="Z57" s="314" cm="1">
        <f t="array" ref="Z57">_xlfn.STDEV.S(IF(('3.1. Gas prod VF'!$L$13:$L$1230=$F57) *('3.1. Gas prod VF'!$M$13:$M$1230=$E57),'3.1. Gas prod VF'!$AS$13:$AS$1230))</f>
        <v>13.959219019413535</v>
      </c>
      <c r="AA57" s="314" cm="1">
        <f t="array" ref="AA57">_xlfn.STDEV.S(IF(('3.1. Gas prod VF'!$L$13:$L$1230=$F57) *('3.1. Gas prod VF'!$M$13:$M$1230=$E57),'3.1. Gas prod VF'!$AT$13:$AT$1230))</f>
        <v>3.4918034024325466E-2</v>
      </c>
      <c r="AB57" s="314" cm="1">
        <f t="array" ref="AB57">_xlfn.STDEV.S(IF(('3.1. Gas prod VF'!$L$13:$L$1230=$F57) *('3.1. Gas prod VF'!$M$13:$M$1230=$E57),'3.1. Gas prod VF'!$AU$13:$AU$1230))</f>
        <v>1.5231722903955851</v>
      </c>
      <c r="AC57" s="314" cm="1">
        <f t="array" ref="AC57">_xlfn.STDEV.S(IF(('3.1. Gas prod VF'!$L$13:$L$1230=$F57) *('3.1. Gas prod VF'!$M$13:$M$1230=$E57),'3.1. Gas prod VF'!$AU$13:$AV$1230))</f>
        <v>8.3989633067465785</v>
      </c>
      <c r="AD57" s="20"/>
      <c r="AE57" s="20"/>
    </row>
    <row r="58" spans="2:31" s="65" customFormat="1" x14ac:dyDescent="0.35">
      <c r="B58" s="62">
        <f>'1. Information samples'!B58</f>
        <v>48</v>
      </c>
      <c r="C58" s="198">
        <f>'1. Information samples'!C58</f>
        <v>46048</v>
      </c>
      <c r="D58" s="62" t="str">
        <f>'1. Information samples'!D58</f>
        <v>Genbank</v>
      </c>
      <c r="E58" s="316">
        <f>'1. Information samples'!E58</f>
        <v>28</v>
      </c>
      <c r="F58" s="62" t="str">
        <f>'1. Information samples'!F58</f>
        <v>F251772</v>
      </c>
      <c r="G58" s="62" t="str">
        <f>'1. Information samples'!G58</f>
        <v>CIAT-22311</v>
      </c>
      <c r="H58" s="62" t="str">
        <f>'1. Information samples'!H58</f>
        <v>Calliandra</v>
      </c>
      <c r="I58" s="62" t="str">
        <f>'1. Information samples'!I58</f>
        <v>calothyrsus</v>
      </c>
      <c r="J58" s="62" t="str">
        <f>'1. Information samples'!J58</f>
        <v>Calliandra calothyrsus</v>
      </c>
      <c r="K58" s="62" t="str">
        <f>'1. Information samples'!K58</f>
        <v>Fabaceae</v>
      </c>
      <c r="L58" s="62" t="str">
        <f>'1. Information samples'!L58</f>
        <v>Fabales</v>
      </c>
      <c r="M58" s="62" t="str">
        <f>'1. Information samples'!M58</f>
        <v>Tree</v>
      </c>
      <c r="N58" s="314"/>
      <c r="O58" s="314"/>
      <c r="P58" s="314"/>
      <c r="Q58" s="314"/>
      <c r="R58" s="314"/>
      <c r="S58" s="314"/>
      <c r="T58" s="314"/>
      <c r="U58" s="314"/>
      <c r="V58" s="314"/>
      <c r="W58" s="314"/>
      <c r="X58" s="314"/>
      <c r="Y58" s="314"/>
      <c r="Z58" s="314"/>
      <c r="AA58" s="314"/>
      <c r="AB58" s="314"/>
      <c r="AC58" s="314"/>
      <c r="AD58" s="20" t="s">
        <v>710</v>
      </c>
      <c r="AE58" s="20"/>
    </row>
    <row r="59" spans="2:31" s="65" customFormat="1" x14ac:dyDescent="0.35">
      <c r="B59" s="62">
        <f>'1. Information samples'!B59</f>
        <v>49</v>
      </c>
      <c r="C59" s="198">
        <f>'1. Information samples'!C59</f>
        <v>46048</v>
      </c>
      <c r="D59" s="62" t="str">
        <f>'1. Information samples'!D59</f>
        <v>Genbank</v>
      </c>
      <c r="E59" s="316">
        <f>'1. Information samples'!E59</f>
        <v>28</v>
      </c>
      <c r="F59" s="62" t="str">
        <f>'1. Information samples'!F59</f>
        <v>F251773</v>
      </c>
      <c r="G59" s="62" t="str">
        <f>'1. Information samples'!G59</f>
        <v>CIAT-22316</v>
      </c>
      <c r="H59" s="62" t="str">
        <f>'1. Information samples'!H59</f>
        <v>Calliandra</v>
      </c>
      <c r="I59" s="62" t="str">
        <f>'1. Information samples'!I59</f>
        <v>calothyrsus</v>
      </c>
      <c r="J59" s="62" t="str">
        <f>'1. Information samples'!J59</f>
        <v>Calliandra calothyrsus</v>
      </c>
      <c r="K59" s="62" t="str">
        <f>'1. Information samples'!K59</f>
        <v>Fabaceae</v>
      </c>
      <c r="L59" s="62" t="str">
        <f>'1. Information samples'!L59</f>
        <v>Fabales</v>
      </c>
      <c r="M59" s="62" t="str">
        <f>'1. Information samples'!M59</f>
        <v>Tree</v>
      </c>
      <c r="N59" s="314">
        <f>_xlfn.STDEV.S('3.1. Gas prod VF'!AG340,'3.1. Gas prod VF'!AG341,'3.1. Gas prod VF'!AG342,'3.1. Gas prod VF'!AG526,'3.1. Gas prod VF'!AG527,'3.1. Gas prod VF'!AG697)</f>
        <v>1.4944999476468235</v>
      </c>
      <c r="O59" s="314">
        <f>_xlfn.STDEV.S('3.1. Gas prod VF'!AH340,'3.1. Gas prod VF'!AH341,'3.1. Gas prod VF'!AH342,'3.1. Gas prod VF'!AH526,'3.1. Gas prod VF'!AH527,'3.1. Gas prod VF'!AH697)</f>
        <v>2.2134120603929177</v>
      </c>
      <c r="P59" s="314">
        <f>_xlfn.STDEV.S('3.1. Gas prod VF'!AI340,'3.1. Gas prod VF'!AI341,'3.1. Gas prod VF'!AI342,'3.1. Gas prod VF'!AI526,'3.1. Gas prod VF'!AI527,'3.1. Gas prod VF'!AI697)</f>
        <v>3.3198483123325269</v>
      </c>
      <c r="Q59" s="314">
        <f>_xlfn.STDEV.S('3.1. Gas prod VF'!AJ340,'3.1. Gas prod VF'!AJ341,'3.1. Gas prod VF'!AJ342,'3.1. Gas prod VF'!AJ526,'3.1. Gas prod VF'!AJ527,'3.1. Gas prod VF'!AJ697)</f>
        <v>0.24060965233378376</v>
      </c>
      <c r="R59" s="314">
        <f>_xlfn.STDEV.S('3.1. Gas prod VF'!AK340,'3.1. Gas prod VF'!AK341,'3.1. Gas prod VF'!AK342,'3.1. Gas prod VF'!AK526,'3.1. Gas prod VF'!AK527,'3.1. Gas prod VF'!AK697)</f>
        <v>0.26671548774330284</v>
      </c>
      <c r="S59" s="314">
        <f>_xlfn.STDEV.S('3.1. Gas prod VF'!AL340,'3.1. Gas prod VF'!AL341,'3.1. Gas prod VF'!AL342,'3.1. Gas prod VF'!AL526,'3.1. Gas prod VF'!AL527,'3.1. Gas prod VF'!AL697)</f>
        <v>0.41552248934035202</v>
      </c>
      <c r="T59" s="314">
        <f>_xlfn.STDEV.S('3.1. Gas prod VF'!AM340,'3.1. Gas prod VF'!AM341,'3.1. Gas prod VF'!AM342,'3.1. Gas prod VF'!AM526,'3.1. Gas prod VF'!AM527,'3.1. Gas prod VF'!AM697)</f>
        <v>6.9435745845091468</v>
      </c>
      <c r="U59" s="314">
        <f>_xlfn.STDEV.S('3.1. Gas prod VF'!AN340,'3.1. Gas prod VF'!AN341,'3.1. Gas prod VF'!AN342,'3.1. Gas prod VF'!AN526,'3.1. Gas prod VF'!AN527,'3.1. Gas prod VF'!AN697)</f>
        <v>1.8190486303263438</v>
      </c>
      <c r="V59" s="314">
        <f>_xlfn.STDEV.S('3.1. Gas prod VF'!AO340,'3.1. Gas prod VF'!AO341,'3.1. Gas prod VF'!AO342,'3.1. Gas prod VF'!AO526,'3.1. Gas prod VF'!AO527,'3.1. Gas prod VF'!AO697)</f>
        <v>0.68428051127736877</v>
      </c>
      <c r="W59" s="314">
        <f>_xlfn.STDEV.S('3.1. Gas prod VF'!AP340,'3.1. Gas prod VF'!AP341,'3.1. Gas prod VF'!AP342,'3.1. Gas prod VF'!AP526,'3.1. Gas prod VF'!AP527,'3.1. Gas prod VF'!AP697)</f>
        <v>0.66458006791256297</v>
      </c>
      <c r="X59" s="314">
        <f>_xlfn.STDEV.S('3.1. Gas prod VF'!AQ340,'3.1. Gas prod VF'!AQ341,'3.1. Gas prod VF'!AQ342,'3.1. Gas prod VF'!AQ526,'3.1. Gas prod VF'!AQ527,'3.1. Gas prod VF'!AQ697)</f>
        <v>0.51892057678292836</v>
      </c>
      <c r="Y59" s="314">
        <f>_xlfn.STDEV.S('3.1. Gas prod VF'!AR340,'3.1. Gas prod VF'!AR341,'3.1. Gas prod VF'!AR342,'3.1. Gas prod VF'!AR526,'3.1. Gas prod VF'!AR527,'3.1. Gas prod VF'!AR697)</f>
        <v>0.86886278646681525</v>
      </c>
      <c r="Z59" s="314">
        <f>_xlfn.STDEV.S('3.1. Gas prod VF'!AS340,'3.1. Gas prod VF'!AS341,'3.1. Gas prod VF'!AS342,'3.1. Gas prod VF'!AS526,'3.1. Gas prod VF'!AS527,'3.1. Gas prod VF'!AS697)</f>
        <v>3.0399539262432169</v>
      </c>
      <c r="AA59" s="314">
        <f>_xlfn.STDEV.S('3.1. Gas prod VF'!AT340,'3.1. Gas prod VF'!AT341,'3.1. Gas prod VF'!AT342,'3.1. Gas prod VF'!AT526,'3.1. Gas prod VF'!AT527,'3.1. Gas prod VF'!AT697)</f>
        <v>2.5321329901619342E-2</v>
      </c>
      <c r="AB59" s="314">
        <f>_xlfn.STDEV.S('3.1. Gas prod VF'!AU340,'3.1. Gas prod VF'!AU341,'3.1. Gas prod VF'!AU342,'3.1. Gas prod VF'!AU526,'3.1. Gas prod VF'!AU527,'3.1. Gas prod VF'!AU697)</f>
        <v>0.48223387871722179</v>
      </c>
      <c r="AC59" s="314">
        <f>_xlfn.STDEV.S('3.1. Gas prod VF'!AV340,'3.1. Gas prod VF'!AV341,'3.1. Gas prod VF'!AV342,'3.1. Gas prod VF'!AV526,'3.1. Gas prod VF'!AV527,'3.1. Gas prod VF'!AV697)</f>
        <v>1.6872270234235851</v>
      </c>
      <c r="AD59" s="20"/>
      <c r="AE59" s="20"/>
    </row>
    <row r="60" spans="2:31" s="65" customFormat="1" x14ac:dyDescent="0.35">
      <c r="B60" s="62">
        <f>'1. Information samples'!B60</f>
        <v>50</v>
      </c>
      <c r="C60" s="198">
        <f>'1. Information samples'!C60</f>
        <v>46048</v>
      </c>
      <c r="D60" s="62" t="str">
        <f>'1. Information samples'!D60</f>
        <v>Genbank</v>
      </c>
      <c r="E60" s="316">
        <f>'1. Information samples'!E60</f>
        <v>28</v>
      </c>
      <c r="F60" s="62" t="str">
        <f>'1. Information samples'!F60</f>
        <v>F251774</v>
      </c>
      <c r="G60" s="62" t="str">
        <f>'1. Information samples'!G60</f>
        <v>CIAT-23239</v>
      </c>
      <c r="H60" s="62" t="str">
        <f>'1. Information samples'!H60</f>
        <v>Dendrolobium</v>
      </c>
      <c r="I60" s="62" t="str">
        <f>'1. Information samples'!I60</f>
        <v>triangulare</v>
      </c>
      <c r="J60" s="62" t="str">
        <f>'1. Information samples'!J60</f>
        <v>Dendrolobium triangulare</v>
      </c>
      <c r="K60" s="62" t="str">
        <f>'1. Information samples'!K60</f>
        <v>Fabaceae</v>
      </c>
      <c r="L60" s="62" t="str">
        <f>'1. Information samples'!L60</f>
        <v>Fabales</v>
      </c>
      <c r="M60" s="62" t="str">
        <f>'1. Information samples'!M60</f>
        <v>Tree</v>
      </c>
      <c r="N60" s="314" cm="1">
        <f t="array" ref="N60">_xlfn.STDEV.S(IF(('3.1. Gas prod VF'!$L$13:$L$1230=$F60) *('3.1. Gas prod VF'!$M$13:$M$1230=$E60),'3.1. Gas prod VF'!$AG$13:$AG$1230))</f>
        <v>10.231289302981756</v>
      </c>
      <c r="O60" s="314" cm="1">
        <f t="array" ref="O60">_xlfn.STDEV.S(IF(('3.1. Gas prod VF'!$L$13:$L$1230=$F60) *('3.1. Gas prod VF'!$M$13:$M$1230=$E60),'3.1. Gas prod VF'!$AH$13:$AH$1230))</f>
        <v>8.5620405365508621</v>
      </c>
      <c r="P60" s="314" cm="1">
        <f t="array" ref="P60">_xlfn.STDEV.S(IF(('3.1. Gas prod VF'!$L$13:$L$1230=$F60) *('3.1. Gas prod VF'!$M$13:$M$1230=$E60),'3.1. Gas prod VF'!$AI$13:$AI$1230))</f>
        <v>18.436811098077051</v>
      </c>
      <c r="Q60" s="314" cm="1">
        <f t="array" ref="Q60">_xlfn.STDEV.S(IF(('3.1. Gas prod VF'!$L$13:$L$1230=$F60) *('3.1. Gas prod VF'!$M$13:$M$1230=$E60),'3.1. Gas prod VF'!$AJ$13:$AJ$1230))</f>
        <v>1.472290862396896</v>
      </c>
      <c r="R60" s="314" cm="1">
        <f t="array" ref="R60">_xlfn.STDEV.S(IF(('3.1. Gas prod VF'!$L$13:$L$1230=$F60) *('3.1. Gas prod VF'!$M$13:$M$1230=$E60),'3.1. Gas prod VF'!$AK$13:$AK$1230))</f>
        <v>1.5198501651087868</v>
      </c>
      <c r="S60" s="314" cm="1">
        <f t="array" ref="S60">_xlfn.STDEV.S(IF(('3.1. Gas prod VF'!$L$13:$L$1230=$F60) *('3.1. Gas prod VF'!$M$13:$M$1230=$E60),'3.1. Gas prod VF'!$AL$13:$AL$1230))</f>
        <v>2.9282389981776205</v>
      </c>
      <c r="T60" s="314" cm="1">
        <f t="array" ref="T60">_xlfn.STDEV.S(IF(('3.1. Gas prod VF'!$L$13:$L$1230=$F60) *('3.1. Gas prod VF'!$M$13:$M$1230=$E60),'3.1. Gas prod VF'!$AM$13:$AM$1230))</f>
        <v>38.451584825862426</v>
      </c>
      <c r="U60" s="314" cm="1">
        <f t="array" ref="U60">_xlfn.STDEV.S(IF(('3.1. Gas prod VF'!$L$13:$L$1230=$F60) *('3.1. Gas prod VF'!$M$13:$M$1230=$E60),'3.1. Gas prod VF'!$AN$13:$AN$1230))</f>
        <v>8.7268986465881824</v>
      </c>
      <c r="V60" s="314" cm="1">
        <f t="array" ref="V60">_xlfn.STDEV.S(IF(('3.1. Gas prod VF'!$L$13:$L$1230=$F60) *('3.1. Gas prod VF'!$M$13:$M$1230=$E60),'3.1. Gas prod VF'!$AO$13:$AO$1230))</f>
        <v>0.86673608305223993</v>
      </c>
      <c r="W60" s="314" cm="1">
        <f t="array" ref="W60">_xlfn.STDEV.S(IF(('3.1. Gas prod VF'!$L$13:$L$1230=$F60) *('3.1. Gas prod VF'!$M$13:$M$1230=$E60),'3.1. Gas prod VF'!$AP$13:$AP$1230))</f>
        <v>4.9045168685901839</v>
      </c>
      <c r="X60" s="314" cm="1">
        <f t="array" ref="X60">_xlfn.STDEV.S(IF(('3.1. Gas prod VF'!$L$13:$L$1230=$F60) *('3.1. Gas prod VF'!$M$13:$M$1230=$E60),'3.1. Gas prod VF'!$AQ$13:$AQ$1230))</f>
        <v>5.5732521140630071</v>
      </c>
      <c r="Y60" s="314" cm="1">
        <f t="array" ref="Y60">_xlfn.STDEV.S(IF(('3.1. Gas prod VF'!$L$13:$L$1230=$F60) *('3.1. Gas prod VF'!$M$13:$M$1230=$E60),'3.1. Gas prod VF'!$AR$13:$AR$1230))</f>
        <v>6.1071866587895194</v>
      </c>
      <c r="Z60" s="314" cm="1">
        <f t="array" ref="Z60">_xlfn.STDEV.S(IF(('3.1. Gas prod VF'!$L$13:$L$1230=$F60) *('3.1. Gas prod VF'!$M$13:$M$1230=$E60),'3.1. Gas prod VF'!$AS$13:$AS$1230))</f>
        <v>29.145397750912121</v>
      </c>
      <c r="AA60" s="314" cm="1">
        <f t="array" ref="AA60">_xlfn.STDEV.S(IF(('3.1. Gas prod VF'!$L$13:$L$1230=$F60) *('3.1. Gas prod VF'!$M$13:$M$1230=$E60),'3.1. Gas prod VF'!$AT$13:$AT$1230))</f>
        <v>0.2590669334000964</v>
      </c>
      <c r="AB60" s="314" cm="1">
        <f t="array" ref="AB60">_xlfn.STDEV.S(IF(('3.1. Gas prod VF'!$L$13:$L$1230=$F60) *('3.1. Gas prod VF'!$M$13:$M$1230=$E60),'3.1. Gas prod VF'!$AU$13:$AU$1230))</f>
        <v>3.3895942562970207</v>
      </c>
      <c r="AC60" s="314" cm="1">
        <f t="array" ref="AC60">_xlfn.STDEV.S(IF(('3.1. Gas prod VF'!$L$13:$L$1230=$F60) *('3.1. Gas prod VF'!$M$13:$M$1230=$E60),'3.1. Gas prod VF'!$AU$13:$AV$1230))</f>
        <v>18.137037002443517</v>
      </c>
      <c r="AD60" s="20"/>
      <c r="AE60" s="20"/>
    </row>
    <row r="61" spans="2:31" s="65" customFormat="1" x14ac:dyDescent="0.35">
      <c r="B61" s="62">
        <f>'1. Information samples'!B61</f>
        <v>51</v>
      </c>
      <c r="C61" s="198">
        <f>'1. Information samples'!C61</f>
        <v>46048</v>
      </c>
      <c r="D61" s="62" t="str">
        <f>'1. Information samples'!D61</f>
        <v>Genbank</v>
      </c>
      <c r="E61" s="316">
        <f>'1. Information samples'!E61</f>
        <v>28</v>
      </c>
      <c r="F61" s="62" t="str">
        <f>'1. Information samples'!F61</f>
        <v>F251775</v>
      </c>
      <c r="G61" s="62" t="str">
        <f>'1. Information samples'!G61</f>
        <v>CIAT-33116</v>
      </c>
      <c r="H61" s="62" t="str">
        <f>'1. Information samples'!H61</f>
        <v>Dendrolobium</v>
      </c>
      <c r="I61" s="62" t="str">
        <f>'1. Information samples'!I61</f>
        <v>triangulare</v>
      </c>
      <c r="J61" s="62" t="str">
        <f>'1. Information samples'!J61</f>
        <v>Dendrolobium triangulare</v>
      </c>
      <c r="K61" s="62" t="str">
        <f>'1. Information samples'!K61</f>
        <v>Fabaceae</v>
      </c>
      <c r="L61" s="62" t="str">
        <f>'1. Information samples'!L61</f>
        <v>Fabales</v>
      </c>
      <c r="M61" s="62" t="str">
        <f>'1. Information samples'!M61</f>
        <v>Tree</v>
      </c>
      <c r="N61" s="314">
        <f>_xlfn.STDEV.S('3.1. Gas prod VF'!AG346,'3.1. Gas prod VF'!AG532,'3.1. Gas prod VF'!AG533,'3.1. Gas prod VF'!AG534,'3.1. Gas prod VF'!AG700)</f>
        <v>5.9829509213996781</v>
      </c>
      <c r="O61" s="314">
        <f>_xlfn.STDEV.S('3.1. Gas prod VF'!AH346,'3.1. Gas prod VF'!AH532,'3.1. Gas prod VF'!AH533,'3.1. Gas prod VF'!AH534,'3.1. Gas prod VF'!AH700)</f>
        <v>1.8186411445844894</v>
      </c>
      <c r="P61" s="314">
        <f>_xlfn.STDEV.S('3.1. Gas prod VF'!AI346,'3.1. Gas prod VF'!AI532,'3.1. Gas prod VF'!AI533,'3.1. Gas prod VF'!AI534,'3.1. Gas prod VF'!AI700)</f>
        <v>6.7420889147457217</v>
      </c>
      <c r="Q61" s="314">
        <f>_xlfn.STDEV.S('3.1. Gas prod VF'!AJ346,'3.1. Gas prod VF'!AJ532,'3.1. Gas prod VF'!AJ533,'3.1. Gas prod VF'!AJ534,'3.1. Gas prod VF'!AJ700)</f>
        <v>1.0651794452505623</v>
      </c>
      <c r="R61" s="314">
        <f>_xlfn.STDEV.S('3.1. Gas prod VF'!AK346,'3.1. Gas prod VF'!AK532,'3.1. Gas prod VF'!AK533,'3.1. Gas prod VF'!AK534,'3.1. Gas prod VF'!AK700)</f>
        <v>0.25138565305125143</v>
      </c>
      <c r="S61" s="314">
        <f>_xlfn.STDEV.S('3.1. Gas prod VF'!AL346,'3.1. Gas prod VF'!AL532,'3.1. Gas prod VF'!AL533,'3.1. Gas prod VF'!AL534,'3.1. Gas prod VF'!AL700)</f>
        <v>1.1864001131376243</v>
      </c>
      <c r="T61" s="314">
        <f>_xlfn.STDEV.S('3.1. Gas prod VF'!AM346,'3.1. Gas prod VF'!AM532,'3.1. Gas prod VF'!AM533,'3.1. Gas prod VF'!AM534,'3.1. Gas prod VF'!AM700)</f>
        <v>14.096881215526501</v>
      </c>
      <c r="U61" s="314">
        <f>_xlfn.STDEV.S('3.1. Gas prod VF'!AN346,'3.1. Gas prod VF'!AN532,'3.1. Gas prod VF'!AN533,'3.1. Gas prod VF'!AN534,'3.1. Gas prod VF'!AN700)</f>
        <v>3.7485950512500525</v>
      </c>
      <c r="V61" s="314">
        <f>_xlfn.STDEV.S('3.1. Gas prod VF'!AO346,'3.1. Gas prod VF'!AO532,'3.1. Gas prod VF'!AO533,'3.1. Gas prod VF'!AO534,'3.1. Gas prod VF'!AO700)</f>
        <v>0.54385734288720566</v>
      </c>
      <c r="W61" s="314">
        <f>_xlfn.STDEV.S('3.1. Gas prod VF'!AP346,'3.1. Gas prod VF'!AP532,'3.1. Gas prod VF'!AP533,'3.1. Gas prod VF'!AP534,'3.1. Gas prod VF'!AP700)</f>
        <v>1.2794530081249564</v>
      </c>
      <c r="X61" s="314">
        <f>_xlfn.STDEV.S('3.1. Gas prod VF'!AQ346,'3.1. Gas prod VF'!AQ532,'3.1. Gas prod VF'!AQ533,'3.1. Gas prod VF'!AQ534,'3.1. Gas prod VF'!AQ700)</f>
        <v>0.7225958871627971</v>
      </c>
      <c r="Y61" s="314">
        <f>_xlfn.STDEV.S('3.1. Gas prod VF'!AR346,'3.1. Gas prod VF'!AR532,'3.1. Gas prod VF'!AR533,'3.1. Gas prod VF'!AR534,'3.1. Gas prod VF'!AR700)</f>
        <v>2.4807422662557053</v>
      </c>
      <c r="Z61" s="314">
        <f>_xlfn.STDEV.S('3.1. Gas prod VF'!AS346,'3.1. Gas prod VF'!AS532,'3.1. Gas prod VF'!AS533,'3.1. Gas prod VF'!AS534,'3.1. Gas prod VF'!AS700)</f>
        <v>11.142508274697986</v>
      </c>
      <c r="AA61" s="314">
        <f>_xlfn.STDEV.S('3.1. Gas prod VF'!AT346,'3.1. Gas prod VF'!AT532,'3.1. Gas prod VF'!AT533,'3.1. Gas prod VF'!AT534,'3.1. Gas prod VF'!AT700)</f>
        <v>0.29080061771645549</v>
      </c>
      <c r="AB61" s="314">
        <f>_xlfn.STDEV.S('3.1. Gas prod VF'!AU346,'3.1. Gas prod VF'!AU532,'3.1. Gas prod VF'!AU533,'3.1. Gas prod VF'!AU534,'3.1. Gas prod VF'!AU700)</f>
        <v>1.3768548771882789</v>
      </c>
      <c r="AC61" s="314">
        <f>_xlfn.STDEV.S('3.1. Gas prod VF'!AV346,'3.1. Gas prod VF'!AV532,'3.1. Gas prod VF'!AV533,'3.1. Gas prod VF'!AV534,'3.1. Gas prod VF'!AV700)</f>
        <v>6.1842848694171604</v>
      </c>
      <c r="AD61" s="20"/>
      <c r="AE61" s="20"/>
    </row>
    <row r="62" spans="2:31" s="65" customFormat="1" x14ac:dyDescent="0.35">
      <c r="B62" s="62">
        <f>'1. Information samples'!B62</f>
        <v>52</v>
      </c>
      <c r="C62" s="198">
        <f>'1. Information samples'!C62</f>
        <v>46048</v>
      </c>
      <c r="D62" s="62" t="str">
        <f>'1. Information samples'!D62</f>
        <v>Genbank</v>
      </c>
      <c r="E62" s="316">
        <f>'1. Information samples'!E62</f>
        <v>28</v>
      </c>
      <c r="F62" s="62" t="str">
        <f>'1. Information samples'!F62</f>
        <v>F252184</v>
      </c>
      <c r="G62" s="62" t="str">
        <f>'1. Information samples'!G62</f>
        <v>CIAT-BH22_0303</v>
      </c>
      <c r="H62" s="62" t="str">
        <f>'1. Information samples'!H62</f>
        <v>Urochloa</v>
      </c>
      <c r="I62" s="62" t="str">
        <f>'1. Information samples'!I62</f>
        <v>humidicola</v>
      </c>
      <c r="J62" s="62" t="str">
        <f>'1. Information samples'!J62</f>
        <v>Urochloa humidicola</v>
      </c>
      <c r="K62" s="62" t="str">
        <f>'1. Information samples'!K62</f>
        <v>Poaceae</v>
      </c>
      <c r="L62" s="62" t="str">
        <f>'1. Information samples'!L62</f>
        <v>Poales</v>
      </c>
      <c r="M62" s="62" t="str">
        <f>'1. Information samples'!M62</f>
        <v>grasses</v>
      </c>
      <c r="N62" s="314">
        <f>_xlfn.STDEV.S('3.1. Gas prod VF'!AG350,'3.1. Gas prod VF'!AG351,'3.1. Gas prod VF'!AG535,'3.1. Gas prod VF'!AG537,'3.1. Gas prod VF'!AG703)</f>
        <v>2.1951201770782265</v>
      </c>
      <c r="O62" s="314">
        <f>_xlfn.STDEV.S('3.1. Gas prod VF'!AH350,'3.1. Gas prod VF'!AH351,'3.1. Gas prod VF'!AH535,'3.1. Gas prod VF'!AH537,'3.1. Gas prod VF'!AH703)</f>
        <v>4.9953691206502091</v>
      </c>
      <c r="P62" s="314">
        <f>_xlfn.STDEV.S('3.1. Gas prod VF'!AI350,'3.1. Gas prod VF'!AI351,'3.1. Gas prod VF'!AI535,'3.1. Gas prod VF'!AI537,'3.1. Gas prod VF'!AI703)</f>
        <v>7.1011854972866839</v>
      </c>
      <c r="Q62" s="314">
        <f>_xlfn.STDEV.S('3.1. Gas prod VF'!AJ350,'3.1. Gas prod VF'!AJ351,'3.1. Gas prod VF'!AJ535,'3.1. Gas prod VF'!AJ537,'3.1. Gas prod VF'!AJ703)</f>
        <v>0.59488139762856362</v>
      </c>
      <c r="R62" s="314">
        <f>_xlfn.STDEV.S('3.1. Gas prod VF'!AK350,'3.1. Gas prod VF'!AK351,'3.1. Gas prod VF'!AK535,'3.1. Gas prod VF'!AK537,'3.1. Gas prod VF'!AK703)</f>
        <v>1.1682691597293413</v>
      </c>
      <c r="S62" s="314">
        <f>_xlfn.STDEV.S('3.1. Gas prod VF'!AL350,'3.1. Gas prod VF'!AL351,'3.1. Gas prod VF'!AL535,'3.1. Gas prod VF'!AL537,'3.1. Gas prod VF'!AL703)</f>
        <v>1.7595740301644669</v>
      </c>
      <c r="T62" s="314">
        <f>_xlfn.STDEV.S('3.1. Gas prod VF'!AM350,'3.1. Gas prod VF'!AM351,'3.1. Gas prod VF'!AM535,'3.1. Gas prod VF'!AM537,'3.1. Gas prod VF'!AM703)</f>
        <v>15.022136337876033</v>
      </c>
      <c r="U62" s="314">
        <f>_xlfn.STDEV.S('3.1. Gas prod VF'!AN350,'3.1. Gas prod VF'!AN351,'3.1. Gas prod VF'!AN535,'3.1. Gas prod VF'!AN537,'3.1. Gas prod VF'!AN703)</f>
        <v>3.5601653011715153</v>
      </c>
      <c r="V62" s="314">
        <f>_xlfn.STDEV.S('3.1. Gas prod VF'!AO350,'3.1. Gas prod VF'!AO351,'3.1. Gas prod VF'!AO535,'3.1. Gas prod VF'!AO537,'3.1. Gas prod VF'!AO703)</f>
        <v>0.26391794529997953</v>
      </c>
      <c r="W62" s="314">
        <f>_xlfn.STDEV.S('3.1. Gas prod VF'!AP350,'3.1. Gas prod VF'!AP351,'3.1. Gas prod VF'!AP535,'3.1. Gas prod VF'!AP537,'3.1. Gas prod VF'!AP703)</f>
        <v>0.83845095265018288</v>
      </c>
      <c r="X62" s="314">
        <f>_xlfn.STDEV.S('3.1. Gas prod VF'!AQ350,'3.1. Gas prod VF'!AQ351,'3.1. Gas prod VF'!AQ535,'3.1. Gas prod VF'!AQ537,'3.1. Gas prod VF'!AQ703)</f>
        <v>0.82157790433265254</v>
      </c>
      <c r="Y62" s="314">
        <f>_xlfn.STDEV.S('3.1. Gas prod VF'!AR350,'3.1. Gas prod VF'!AR351,'3.1. Gas prod VF'!AR535,'3.1. Gas prod VF'!AR537,'3.1. Gas prod VF'!AR703)</f>
        <v>3.7161695808060116</v>
      </c>
      <c r="Z62" s="314">
        <f>_xlfn.STDEV.S('3.1. Gas prod VF'!AS350,'3.1. Gas prod VF'!AS351,'3.1. Gas prod VF'!AS535,'3.1. Gas prod VF'!AS537,'3.1. Gas prod VF'!AS703)</f>
        <v>32.05194965192581</v>
      </c>
      <c r="AA62" s="314">
        <f>_xlfn.STDEV.S('3.1. Gas prod VF'!AT350,'3.1. Gas prod VF'!AT351,'3.1. Gas prod VF'!AT535,'3.1. Gas prod VF'!AT537,'3.1. Gas prod VF'!AT703)</f>
        <v>0.54843646450871919</v>
      </c>
      <c r="AB62" s="314">
        <f>_xlfn.STDEV.S('3.1. Gas prod VF'!AU350,'3.1. Gas prod VF'!AU351,'3.1. Gas prod VF'!AU535,'3.1. Gas prod VF'!AU537,'3.1. Gas prod VF'!AU703)</f>
        <v>2.0625384109387279</v>
      </c>
      <c r="AC62" s="314">
        <f>_xlfn.STDEV.S('3.1. Gas prod VF'!AV350,'3.1. Gas prod VF'!AV351,'3.1. Gas prod VF'!AV535,'3.1. Gas prod VF'!AV537,'3.1. Gas prod VF'!AV703)</f>
        <v>17.789386588819614</v>
      </c>
      <c r="AD62" s="20"/>
      <c r="AE62" s="20"/>
    </row>
    <row r="63" spans="2:31" s="65" customFormat="1" x14ac:dyDescent="0.35">
      <c r="B63" s="62">
        <f>'1. Information samples'!B63</f>
        <v>53</v>
      </c>
      <c r="C63" s="198">
        <f>'1. Information samples'!C63</f>
        <v>46048</v>
      </c>
      <c r="D63" s="62" t="str">
        <f>'1. Information samples'!D63</f>
        <v>Genbank</v>
      </c>
      <c r="E63" s="316">
        <f>'1. Information samples'!E63</f>
        <v>28</v>
      </c>
      <c r="F63" s="62" t="str">
        <f>'1. Information samples'!F63</f>
        <v>F252185</v>
      </c>
      <c r="G63" s="62" t="str">
        <f>'1. Information samples'!G63</f>
        <v>CIAT-BH22_1594</v>
      </c>
      <c r="H63" s="62" t="str">
        <f>'1. Information samples'!H63</f>
        <v>Urochloa</v>
      </c>
      <c r="I63" s="62" t="str">
        <f>'1. Information samples'!I63</f>
        <v>humidicola</v>
      </c>
      <c r="J63" s="62" t="str">
        <f>'1. Information samples'!J63</f>
        <v>Urochloa humidicola</v>
      </c>
      <c r="K63" s="62" t="str">
        <f>'1. Information samples'!K63</f>
        <v>Poaceae</v>
      </c>
      <c r="L63" s="62" t="str">
        <f>'1. Information samples'!L63</f>
        <v>Poales</v>
      </c>
      <c r="M63" s="62" t="str">
        <f>'1. Information samples'!M63</f>
        <v>grasses</v>
      </c>
      <c r="N63" s="314">
        <f>_xlfn.STDEV.S('3.1. Gas prod VF'!AG352,'3.1. Gas prod VF'!AG354,'3.1. Gas prod VF'!AG353,'3.1. Gas prod VF'!AG538,'3.1. Gas prod VF'!AG539,'3.1. Gas prod VF'!AG540)</f>
        <v>2.9374123387122868</v>
      </c>
      <c r="O63" s="314">
        <f>_xlfn.STDEV.S('3.1. Gas prod VF'!AH352,'3.1. Gas prod VF'!AH354,'3.1. Gas prod VF'!AH353,'3.1. Gas prod VF'!AH538,'3.1. Gas prod VF'!AH539,'3.1. Gas prod VF'!AH540)</f>
        <v>5.4118752498746208</v>
      </c>
      <c r="P63" s="314">
        <f>_xlfn.STDEV.S('3.1. Gas prod VF'!AI352,'3.1. Gas prod VF'!AI354,'3.1. Gas prod VF'!AI353,'3.1. Gas prod VF'!AI538,'3.1. Gas prod VF'!AI539,'3.1. Gas prod VF'!AI540)</f>
        <v>8.1771556739370492</v>
      </c>
      <c r="Q63" s="314">
        <f>_xlfn.STDEV.S('3.1. Gas prod VF'!AJ352,'3.1. Gas prod VF'!AJ354,'3.1. Gas prod VF'!AJ353,'3.1. Gas prod VF'!AJ538,'3.1. Gas prod VF'!AJ539,'3.1. Gas prod VF'!AJ540)</f>
        <v>0.57234645978747545</v>
      </c>
      <c r="R63" s="314">
        <f>_xlfn.STDEV.S('3.1. Gas prod VF'!AK352,'3.1. Gas prod VF'!AK354,'3.1. Gas prod VF'!AK353,'3.1. Gas prod VF'!AK538,'3.1. Gas prod VF'!AK539,'3.1. Gas prod VF'!AK540)</f>
        <v>1.1922971190163625</v>
      </c>
      <c r="S63" s="314">
        <f>_xlfn.STDEV.S('3.1. Gas prod VF'!AL352,'3.1. Gas prod VF'!AL354,'3.1. Gas prod VF'!AL353,'3.1. Gas prod VF'!AL538,'3.1. Gas prod VF'!AL539,'3.1. Gas prod VF'!AL540)</f>
        <v>1.7373349431356813</v>
      </c>
      <c r="T63" s="314">
        <f>_xlfn.STDEV.S('3.1. Gas prod VF'!AM352,'3.1. Gas prod VF'!AM354,'3.1. Gas prod VF'!AM353,'3.1. Gas prod VF'!AM538,'3.1. Gas prod VF'!AM539,'3.1. Gas prod VF'!AM540)</f>
        <v>17.205234165350788</v>
      </c>
      <c r="U63" s="314">
        <f>_xlfn.STDEV.S('3.1. Gas prod VF'!AN352,'3.1. Gas prod VF'!AN354,'3.1. Gas prod VF'!AN353,'3.1. Gas prod VF'!AN538,'3.1. Gas prod VF'!AN539,'3.1. Gas prod VF'!AN540)</f>
        <v>8.7146115296686979</v>
      </c>
      <c r="V63" s="314">
        <f>_xlfn.STDEV.S('3.1. Gas prod VF'!AO352,'3.1. Gas prod VF'!AO354,'3.1. Gas prod VF'!AO353,'3.1. Gas prod VF'!AO538,'3.1. Gas prod VF'!AO539,'3.1. Gas prod VF'!AO540)</f>
        <v>0.3854426298012304</v>
      </c>
      <c r="W63" s="314">
        <f>_xlfn.STDEV.S('3.1. Gas prod VF'!AP352,'3.1. Gas prod VF'!AP354,'3.1. Gas prod VF'!AP353,'3.1. Gas prod VF'!AP538,'3.1. Gas prod VF'!AP539,'3.1. Gas prod VF'!AP540)</f>
        <v>0.51542862422130442</v>
      </c>
      <c r="X63" s="314">
        <f>_xlfn.STDEV.S('3.1. Gas prod VF'!AQ352,'3.1. Gas prod VF'!AQ354,'3.1. Gas prod VF'!AQ353,'3.1. Gas prod VF'!AQ538,'3.1. Gas prod VF'!AQ539,'3.1. Gas prod VF'!AQ540)</f>
        <v>0.61960419754372842</v>
      </c>
      <c r="Y63" s="314">
        <f>_xlfn.STDEV.S('3.1. Gas prod VF'!AR352,'3.1. Gas prod VF'!AR354,'3.1. Gas prod VF'!AR353,'3.1. Gas prod VF'!AR538,'3.1. Gas prod VF'!AR539,'3.1. Gas prod VF'!AR540)</f>
        <v>3.6548619916037022</v>
      </c>
      <c r="Z63" s="314">
        <f>_xlfn.STDEV.S('3.1. Gas prod VF'!AS352,'3.1. Gas prod VF'!AS354,'3.1. Gas prod VF'!AS353,'3.1. Gas prod VF'!AS538,'3.1. Gas prod VF'!AS539,'3.1. Gas prod VF'!AS540)</f>
        <v>15.882774365615163</v>
      </c>
      <c r="AA63" s="314">
        <f>_xlfn.STDEV.S('3.1. Gas prod VF'!AT352,'3.1. Gas prod VF'!AT354,'3.1. Gas prod VF'!AT353,'3.1. Gas prod VF'!AT538,'3.1. Gas prod VF'!AT539,'3.1. Gas prod VF'!AT540)</f>
        <v>2.1457278931362964</v>
      </c>
      <c r="AB63" s="314">
        <f>_xlfn.STDEV.S('3.1. Gas prod VF'!AU352,'3.1. Gas prod VF'!AU354,'3.1. Gas prod VF'!AU353,'3.1. Gas prod VF'!AU538,'3.1. Gas prod VF'!AU539,'3.1. Gas prod VF'!AU540)</f>
        <v>2.0285116382464894</v>
      </c>
      <c r="AC63" s="314">
        <f>_xlfn.STDEV.S('3.1. Gas prod VF'!AV352,'3.1. Gas prod VF'!AV354,'3.1. Gas prod VF'!AV353,'3.1. Gas prod VF'!AV538,'3.1. Gas prod VF'!AV539,'3.1. Gas prod VF'!AV540)</f>
        <v>8.8152145614002695</v>
      </c>
      <c r="AD63" s="314"/>
      <c r="AE63" s="20"/>
    </row>
    <row r="64" spans="2:31" s="65" customFormat="1" x14ac:dyDescent="0.35">
      <c r="B64" s="62">
        <f>'1. Information samples'!B64</f>
        <v>54</v>
      </c>
      <c r="C64" s="198">
        <f>'1. Information samples'!C64</f>
        <v>46048</v>
      </c>
      <c r="D64" s="62" t="str">
        <f>'1. Information samples'!D64</f>
        <v>Genbank</v>
      </c>
      <c r="E64" s="316">
        <f>'1. Information samples'!E64</f>
        <v>28</v>
      </c>
      <c r="F64" s="62" t="str">
        <f>'1. Information samples'!F64</f>
        <v>F252186</v>
      </c>
      <c r="G64" s="62" t="str">
        <f>'1. Information samples'!G64</f>
        <v>CIAT-BH22_0468</v>
      </c>
      <c r="H64" s="62" t="str">
        <f>'1. Information samples'!H64</f>
        <v>Urochloa</v>
      </c>
      <c r="I64" s="62" t="str">
        <f>'1. Information samples'!I64</f>
        <v>humidicola</v>
      </c>
      <c r="J64" s="62" t="str">
        <f>'1. Information samples'!J64</f>
        <v>Urochloa humidicola</v>
      </c>
      <c r="K64" s="62" t="str">
        <f>'1. Information samples'!K64</f>
        <v>Poaceae</v>
      </c>
      <c r="L64" s="62" t="str">
        <f>'1. Information samples'!L64</f>
        <v>Poales</v>
      </c>
      <c r="M64" s="62" t="str">
        <f>'1. Information samples'!M64</f>
        <v>grasses</v>
      </c>
      <c r="N64" s="314" cm="1">
        <f t="array" ref="N64">_xlfn.STDEV.S(IF(('3.1. Gas prod VF'!$L$13:$L$1230=$F64) *('3.1. Gas prod VF'!$M$13:$M$1230=$E64),'3.1. Gas prod VF'!$AG$13:$AG$1230))</f>
        <v>4.0750083852038159</v>
      </c>
      <c r="O64" s="314" cm="1">
        <f t="array" ref="O64">_xlfn.STDEV.S(IF(('3.1. Gas prod VF'!$L$13:$L$1230=$F64) *('3.1. Gas prod VF'!$M$13:$M$1230=$E64),'3.1. Gas prod VF'!$AH$13:$AH$1230))</f>
        <v>4.5132866233825624</v>
      </c>
      <c r="P64" s="314" cm="1">
        <f t="array" ref="P64">_xlfn.STDEV.S(IF(('3.1. Gas prod VF'!$L$13:$L$1230=$F64) *('3.1. Gas prod VF'!$M$13:$M$1230=$E64),'3.1. Gas prod VF'!$AI$13:$AI$1230))</f>
        <v>8.2797790485166871</v>
      </c>
      <c r="Q64" s="314" cm="1">
        <f t="array" ref="Q64">_xlfn.STDEV.S(IF(('3.1. Gas prod VF'!$L$13:$L$1230=$F64) *('3.1. Gas prod VF'!$M$13:$M$1230=$E64),'3.1. Gas prod VF'!$AJ$13:$AJ$1230))</f>
        <v>0.71199783510917658</v>
      </c>
      <c r="R64" s="314" cm="1">
        <f t="array" ref="R64">_xlfn.STDEV.S(IF(('3.1. Gas prod VF'!$L$13:$L$1230=$F64) *('3.1. Gas prod VF'!$M$13:$M$1230=$E64),'3.1. Gas prod VF'!$AK$13:$AK$1230))</f>
        <v>0.97010177495470373</v>
      </c>
      <c r="S64" s="314" cm="1">
        <f t="array" ref="S64">_xlfn.STDEV.S(IF(('3.1. Gas prod VF'!$L$13:$L$1230=$F64) *('3.1. Gas prod VF'!$M$13:$M$1230=$E64),'3.1. Gas prod VF'!$AL$13:$AL$1230))</f>
        <v>1.6479272551930253</v>
      </c>
      <c r="T64" s="314" cm="1">
        <f t="array" ref="T64">_xlfn.STDEV.S(IF(('3.1. Gas prod VF'!$L$13:$L$1230=$F64) *('3.1. Gas prod VF'!$M$13:$M$1230=$E64),'3.1. Gas prod VF'!$AM$13:$AM$1230))</f>
        <v>17.246444162842277</v>
      </c>
      <c r="U64" s="314" cm="1">
        <f t="array" ref="U64">_xlfn.STDEV.S(IF(('3.1. Gas prod VF'!$L$13:$L$1230=$F64) *('3.1. Gas prod VF'!$M$13:$M$1230=$E64),'3.1. Gas prod VF'!$AN$13:$AN$1230))</f>
        <v>7.1042706717519</v>
      </c>
      <c r="V64" s="314" cm="1">
        <f t="array" ref="V64">_xlfn.STDEV.S(IF(('3.1. Gas prod VF'!$L$13:$L$1230=$F64) *('3.1. Gas prod VF'!$M$13:$M$1230=$E64),'3.1. Gas prod VF'!$AO$13:$AO$1230))</f>
        <v>0.45421947024918752</v>
      </c>
      <c r="W64" s="314" cm="1">
        <f t="array" ref="W64">_xlfn.STDEV.S(IF(('3.1. Gas prod VF'!$L$13:$L$1230=$F64) *('3.1. Gas prod VF'!$M$13:$M$1230=$E64),'3.1. Gas prod VF'!$AP$13:$AP$1230))</f>
        <v>0.54248107274421431</v>
      </c>
      <c r="X64" s="314" cm="1">
        <f t="array" ref="X64">_xlfn.STDEV.S(IF(('3.1. Gas prod VF'!$L$13:$L$1230=$F64) *('3.1. Gas prod VF'!$M$13:$M$1230=$E64),'3.1. Gas prod VF'!$AQ$13:$AQ$1230))</f>
        <v>0.55937025727671286</v>
      </c>
      <c r="Y64" s="314" cm="1">
        <f t="array" ref="Y64">_xlfn.STDEV.S(IF(('3.1. Gas prod VF'!$L$13:$L$1230=$F64) *('3.1. Gas prod VF'!$M$13:$M$1230=$E64),'3.1. Gas prod VF'!$AR$13:$AR$1230))</f>
        <v>3.43190506755725</v>
      </c>
      <c r="Z64" s="314" cm="1">
        <f t="array" ref="Z64">_xlfn.STDEV.S(IF(('3.1. Gas prod VF'!$L$13:$L$1230=$F64) *('3.1. Gas prod VF'!$M$13:$M$1230=$E64),'3.1. Gas prod VF'!$AS$13:$AS$1230))</f>
        <v>20.389116364683108</v>
      </c>
      <c r="AA64" s="314" cm="1">
        <f t="array" ref="AA64">_xlfn.STDEV.S(IF(('3.1. Gas prod VF'!$L$13:$L$1230=$F64) *('3.1. Gas prod VF'!$M$13:$M$1230=$E64),'3.1. Gas prod VF'!$AT$13:$AT$1230))</f>
        <v>1.5059933957884244</v>
      </c>
      <c r="AB64" s="314" cm="1">
        <f t="array" ref="AB64">_xlfn.STDEV.S(IF(('3.1. Gas prod VF'!$L$13:$L$1230=$F64) *('3.1. Gas prod VF'!$M$13:$M$1230=$E64),'3.1. Gas prod VF'!$AU$13:$AU$1230))</f>
        <v>1.9047666880144591</v>
      </c>
      <c r="AC64" s="314" cm="1">
        <f t="array" ref="AC64">_xlfn.STDEV.S(IF(('3.1. Gas prod VF'!$L$13:$L$1230=$F64) *('3.1. Gas prod VF'!$M$13:$M$1230=$E64),'3.1. Gas prod VF'!$AU$13:$AV$1230))</f>
        <v>16.431754190407762</v>
      </c>
      <c r="AD64" s="20"/>
      <c r="AE64" s="20"/>
    </row>
    <row r="65" spans="2:31" s="65" customFormat="1" x14ac:dyDescent="0.35">
      <c r="B65" s="62">
        <f>'1. Information samples'!B65</f>
        <v>55</v>
      </c>
      <c r="C65" s="198">
        <f>'1. Information samples'!C65</f>
        <v>46048</v>
      </c>
      <c r="D65" s="62" t="str">
        <f>'1. Information samples'!D65</f>
        <v>Genbank</v>
      </c>
      <c r="E65" s="316">
        <f>'1. Information samples'!E65</f>
        <v>28</v>
      </c>
      <c r="F65" s="62" t="str">
        <f>'1. Information samples'!F65</f>
        <v>F252187</v>
      </c>
      <c r="G65" s="62" t="str">
        <f>'1. Information samples'!G65</f>
        <v>CIAT-BH22_3830</v>
      </c>
      <c r="H65" s="62" t="str">
        <f>'1. Information samples'!H65</f>
        <v>Urochloa</v>
      </c>
      <c r="I65" s="62" t="str">
        <f>'1. Information samples'!I65</f>
        <v>humidicola</v>
      </c>
      <c r="J65" s="62" t="str">
        <f>'1. Information samples'!J65</f>
        <v>Urochloa humidicola</v>
      </c>
      <c r="K65" s="62" t="str">
        <f>'1. Information samples'!K65</f>
        <v>Poaceae</v>
      </c>
      <c r="L65" s="62" t="str">
        <f>'1. Information samples'!L65</f>
        <v>Poales</v>
      </c>
      <c r="M65" s="62" t="str">
        <f>'1. Information samples'!M65</f>
        <v>grasses</v>
      </c>
      <c r="N65" s="314" cm="1">
        <f t="array" ref="N65">_xlfn.STDEV.S(IF(('3.1. Gas prod VF'!$L$13:$L$1230=$F65) *('3.1. Gas prod VF'!$M$13:$M$1230=$E65),'3.1. Gas prod VF'!$AG$13:$AG$1230))</f>
        <v>18.928244584578092</v>
      </c>
      <c r="O65" s="314" cm="1">
        <f t="array" ref="O65">_xlfn.STDEV.S(IF(('3.1. Gas prod VF'!$L$13:$L$1230=$F65) *('3.1. Gas prod VF'!$M$13:$M$1230=$E65),'3.1. Gas prod VF'!$AH$13:$AH$1230))</f>
        <v>26.556827912950624</v>
      </c>
      <c r="P65" s="314" cm="1">
        <f t="array" ref="P65">_xlfn.STDEV.S(IF(('3.1. Gas prod VF'!$L$13:$L$1230=$F65) *('3.1. Gas prod VF'!$M$13:$M$1230=$E65),'3.1. Gas prod VF'!$AI$13:$AI$1230))</f>
        <v>45.475659315733935</v>
      </c>
      <c r="Q65" s="314" cm="1">
        <f t="array" ref="Q65">_xlfn.STDEV.S(IF(('3.1. Gas prod VF'!$L$13:$L$1230=$F65) *('3.1. Gas prod VF'!$M$13:$M$1230=$E65),'3.1. Gas prod VF'!$AJ$13:$AJ$1230))</f>
        <v>2.6457483798995782</v>
      </c>
      <c r="R65" s="314" cm="1">
        <f t="array" ref="R65">_xlfn.STDEV.S(IF(('3.1. Gas prod VF'!$L$13:$L$1230=$F65) *('3.1. Gas prod VF'!$M$13:$M$1230=$E65),'3.1. Gas prod VF'!$AK$13:$AK$1230))</f>
        <v>4.1435905866747742</v>
      </c>
      <c r="S65" s="314" cm="1">
        <f t="array" ref="S65">_xlfn.STDEV.S(IF(('3.1. Gas prod VF'!$L$13:$L$1230=$F65) *('3.1. Gas prod VF'!$M$13:$M$1230=$E65),'3.1. Gas prod VF'!$AL$13:$AL$1230))</f>
        <v>6.7877048743375985</v>
      </c>
      <c r="T65" s="314" cm="1">
        <f t="array" ref="T65">_xlfn.STDEV.S(IF(('3.1. Gas prod VF'!$L$13:$L$1230=$F65) *('3.1. Gas prod VF'!$M$13:$M$1230=$E65),'3.1. Gas prod VF'!$AM$13:$AM$1230))</f>
        <v>94.723553722736156</v>
      </c>
      <c r="U65" s="314">
        <f>_xlfn.STDEV.S('3.1. Gas prod VF'!AN358,'3.1. Gas prod VF'!AN359,'3.1. Gas prod VF'!AN360,'3.1. Gas prod VF'!AN545,'3.1. Gas prod VF'!AN546,'3.1. Gas prod VF'!AN708)</f>
        <v>7.8738543095121472</v>
      </c>
      <c r="V65" s="314" cm="1">
        <f t="array" ref="V65">_xlfn.STDEV.S(IF(('3.1. Gas prod VF'!$L$13:$L$1230=$F65) *('3.1. Gas prod VF'!$M$13:$M$1230=$E65),'3.1. Gas prod VF'!$AO$13:$AO$1230))</f>
        <v>0.95699635996545596</v>
      </c>
      <c r="W65" s="314" cm="1">
        <f t="array" ref="W65">_xlfn.STDEV.S(IF(('3.1. Gas prod VF'!$L$13:$L$1230=$F65) *('3.1. Gas prod VF'!$M$13:$M$1230=$E65),'3.1. Gas prod VF'!$AP$13:$AP$1230))</f>
        <v>6.4424374269371043</v>
      </c>
      <c r="X65" s="314" cm="1">
        <f t="array" ref="X65">_xlfn.STDEV.S(IF(('3.1. Gas prod VF'!$L$13:$L$1230=$F65) *('3.1. Gas prod VF'!$M$13:$M$1230=$E65),'3.1. Gas prod VF'!$AQ$13:$AQ$1230))</f>
        <v>6.8567044728884188</v>
      </c>
      <c r="Y65" s="314" cm="1">
        <f t="array" ref="Y65">_xlfn.STDEV.S(IF(('3.1. Gas prod VF'!$L$13:$L$1230=$F65) *('3.1. Gas prod VF'!$M$13:$M$1230=$E65),'3.1. Gas prod VF'!$AR$13:$AR$1230))</f>
        <v>14.139100746233915</v>
      </c>
      <c r="Z65" s="314" cm="1">
        <f t="array" ref="Z65">_xlfn.STDEV.S(IF(('3.1. Gas prod VF'!$L$13:$L$1230=$F65) *('3.1. Gas prod VF'!$M$13:$M$1230=$E65),'3.1. Gas prod VF'!$AS$13:$AS$1230))</f>
        <v>35.860403941708434</v>
      </c>
      <c r="AA65" s="314" cm="1">
        <f t="array" ref="AA65">_xlfn.STDEV.S(IF(('3.1. Gas prod VF'!$L$13:$L$1230=$F65) *('3.1. Gas prod VF'!$M$13:$M$1230=$E65),'3.1. Gas prod VF'!$AT$13:$AT$1230))</f>
        <v>1.7202431597504733</v>
      </c>
      <c r="AB65" s="314" cm="1">
        <f t="array" ref="AB65">_xlfn.STDEV.S(IF(('3.1. Gas prod VF'!$L$13:$L$1230=$F65) *('3.1. Gas prod VF'!$M$13:$M$1230=$E65),'3.1. Gas prod VF'!$AU$13:$AU$1230))</f>
        <v>7.847445535279995</v>
      </c>
      <c r="AC65" s="314" cm="1">
        <f t="array" ref="AC65">_xlfn.STDEV.S(IF(('3.1. Gas prod VF'!$L$13:$L$1230=$F65) *('3.1. Gas prod VF'!$M$13:$M$1230=$E65),'3.1. Gas prod VF'!$AU$13:$AV$1230))</f>
        <v>17.535066091816851</v>
      </c>
      <c r="AD65" s="20"/>
      <c r="AE65" s="20"/>
    </row>
    <row r="66" spans="2:31" s="65" customFormat="1" x14ac:dyDescent="0.35">
      <c r="B66" s="62">
        <f>'1. Information samples'!B66</f>
        <v>56</v>
      </c>
      <c r="C66" s="198">
        <f>'1. Information samples'!C66</f>
        <v>46048</v>
      </c>
      <c r="D66" s="62" t="str">
        <f>'1. Information samples'!D66</f>
        <v>Genbank</v>
      </c>
      <c r="E66" s="316">
        <f>'1. Information samples'!E66</f>
        <v>28</v>
      </c>
      <c r="F66" s="62" t="str">
        <f>'1. Information samples'!F66</f>
        <v>F252188</v>
      </c>
      <c r="G66" s="62" t="str">
        <f>'1. Information samples'!G66</f>
        <v>CIAT-BH22_1710</v>
      </c>
      <c r="H66" s="62" t="str">
        <f>'1. Information samples'!H66</f>
        <v>Urochloa</v>
      </c>
      <c r="I66" s="62" t="str">
        <f>'1. Information samples'!I66</f>
        <v>humidicola</v>
      </c>
      <c r="J66" s="62" t="str">
        <f>'1. Information samples'!J66</f>
        <v>Urochloa humidicola</v>
      </c>
      <c r="K66" s="62" t="str">
        <f>'1. Information samples'!K66</f>
        <v>Poaceae</v>
      </c>
      <c r="L66" s="62" t="str">
        <f>'1. Information samples'!L66</f>
        <v>Poales</v>
      </c>
      <c r="M66" s="62" t="str">
        <f>'1. Information samples'!M66</f>
        <v>grasses</v>
      </c>
      <c r="N66" s="314">
        <f>_xlfn.STDEV.S('3.1. Gas prod VF'!AG361,'3.1. Gas prod VF'!AG362,'3.1. Gas prod VF'!AG363,'3.1. Gas prod VF'!AG547,'3.1. Gas prod VF'!AG549,'3.1. Gas prod VF'!AG710,'3.1. Gas prod VF'!AG711)</f>
        <v>2.6350547154115369</v>
      </c>
      <c r="O66" s="314">
        <f>_xlfn.STDEV.S('3.1. Gas prod VF'!AH361,'3.1. Gas prod VF'!AH362,'3.1. Gas prod VF'!AH363,'3.1. Gas prod VF'!AH547,'3.1. Gas prod VF'!AH549,'3.1. Gas prod VF'!AH710,'3.1. Gas prod VF'!AH711)</f>
        <v>6.3271640250118288</v>
      </c>
      <c r="P66" s="314">
        <f>_xlfn.STDEV.S('3.1. Gas prod VF'!AI361,'3.1. Gas prod VF'!AI362,'3.1. Gas prod VF'!AI363,'3.1. Gas prod VF'!AI547,'3.1. Gas prod VF'!AI549,'3.1. Gas prod VF'!AI710,'3.1. Gas prod VF'!AI711)</f>
        <v>8.3872787518433451</v>
      </c>
      <c r="Q66" s="314">
        <f>_xlfn.STDEV.S('3.1. Gas prod VF'!AJ361,'3.1. Gas prod VF'!AJ362,'3.1. Gas prod VF'!AJ363,'3.1. Gas prod VF'!AJ547,'3.1. Gas prod VF'!AJ549,'3.1. Gas prod VF'!AJ710,'3.1. Gas prod VF'!AJ711)</f>
        <v>0.49585691194313108</v>
      </c>
      <c r="R66" s="314">
        <f>_xlfn.STDEV.S('3.1. Gas prod VF'!AK361,'3.1. Gas prod VF'!AK362,'3.1. Gas prod VF'!AK363,'3.1. Gas prod VF'!AK547,'3.1. Gas prod VF'!AK549,'3.1. Gas prod VF'!AK710,'3.1. Gas prod VF'!AK711)</f>
        <v>1.1828886878849174</v>
      </c>
      <c r="S66" s="314">
        <f>_xlfn.STDEV.S('3.1. Gas prod VF'!AL361,'3.1. Gas prod VF'!AL362,'3.1. Gas prod VF'!AL363,'3.1. Gas prod VF'!AL547,'3.1. Gas prod VF'!AL549,'3.1. Gas prod VF'!AL710,'3.1. Gas prod VF'!AL711)</f>
        <v>1.6102770214090674</v>
      </c>
      <c r="T66" s="314">
        <f>_xlfn.STDEV.S('3.1. Gas prod VF'!AM361,'3.1. Gas prod VF'!AM362,'3.1. Gas prod VF'!AM363,'3.1. Gas prod VF'!AM547,'3.1. Gas prod VF'!AM549,'3.1. Gas prod VF'!AM710,'3.1. Gas prod VF'!AM711)</f>
        <v>17.226669098922184</v>
      </c>
      <c r="U66" s="314">
        <f>_xlfn.STDEV.S('3.1. Gas prod VF'!AN361,'3.1. Gas prod VF'!AN362,'3.1. Gas prod VF'!AN363,'3.1. Gas prod VF'!AN547,'3.1. Gas prod VF'!AN549,'3.1. Gas prod VF'!AN710,'3.1. Gas prod VF'!AN711)</f>
        <v>5.9274748850573697</v>
      </c>
      <c r="V66" s="314">
        <f>_xlfn.STDEV.S('3.1. Gas prod VF'!AO361,'3.1. Gas prod VF'!AO362,'3.1. Gas prod VF'!AO363,'3.1. Gas prod VF'!AO547,'3.1. Gas prod VF'!AO549,'3.1. Gas prod VF'!AO710,'3.1. Gas prod VF'!AO711)</f>
        <v>0.3445611883414445</v>
      </c>
      <c r="W66" s="314">
        <f>_xlfn.STDEV.S('3.1. Gas prod VF'!AP361,'3.1. Gas prod VF'!AP362,'3.1. Gas prod VF'!AP363,'3.1. Gas prod VF'!AP547,'3.1. Gas prod VF'!AP549,'3.1. Gas prod VF'!AP710,'3.1. Gas prod VF'!AP711)</f>
        <v>0.41173269183271022</v>
      </c>
      <c r="X66" s="314">
        <f>_xlfn.STDEV.S('3.1. Gas prod VF'!AQ361,'3.1. Gas prod VF'!AQ362,'3.1. Gas prod VF'!AQ363,'3.1. Gas prod VF'!AQ547,'3.1. Gas prod VF'!AQ549,'3.1. Gas prod VF'!AQ710,'3.1. Gas prod VF'!AQ711)</f>
        <v>0.60955688686692999</v>
      </c>
      <c r="Y66" s="314">
        <f>_xlfn.STDEV.S('3.1. Gas prod VF'!AR361,'3.1. Gas prod VF'!AR362,'3.1. Gas prod VF'!AR363,'3.1. Gas prod VF'!AR547,'3.1. Gas prod VF'!AR549,'3.1. Gas prod VF'!AR710,'3.1. Gas prod VF'!AR711)</f>
        <v>3.3095630260422375</v>
      </c>
      <c r="Z66" s="314">
        <f>_xlfn.STDEV.S('3.1. Gas prod VF'!AS361,'3.1. Gas prod VF'!AS362,'3.1. Gas prod VF'!AS363,'3.1. Gas prod VF'!AS547,'3.1. Gas prod VF'!AS549,'3.1. Gas prod VF'!AS710,'3.1. Gas prod VF'!AS711)</f>
        <v>12.756178494536588</v>
      </c>
      <c r="AA66" s="314">
        <f>_xlfn.STDEV.S('3.1. Gas prod VF'!AT361,'3.1. Gas prod VF'!AT362,'3.1. Gas prod VF'!AT363,'3.1. Gas prod VF'!AT547,'3.1. Gas prod VF'!AT549,'3.1. Gas prod VF'!AT710,'3.1. Gas prod VF'!AT711)</f>
        <v>26.46295893929177</v>
      </c>
      <c r="AB66" s="314">
        <f>_xlfn.STDEV.S('3.1. Gas prod VF'!AU361,'3.1. Gas prod VF'!AU362,'3.1. Gas prod VF'!AU363,'3.1. Gas prod VF'!AU547,'3.1. Gas prod VF'!AU549,'3.1. Gas prod VF'!AU710,'3.1. Gas prod VF'!AU711)</f>
        <v>1.836864738329304</v>
      </c>
      <c r="AC66" s="314">
        <f>_xlfn.STDEV.S('3.1. Gas prod VF'!AV361,'3.1. Gas prod VF'!AV362,'3.1. Gas prod VF'!AV363,'3.1. Gas prod VF'!AV547,'3.1. Gas prod VF'!AV549,'3.1. Gas prod VF'!AV710,'3.1. Gas prod VF'!AV711)</f>
        <v>7.0798997595974056</v>
      </c>
      <c r="AD66" s="20"/>
      <c r="AE66" s="20"/>
    </row>
    <row r="67" spans="2:31" s="65" customFormat="1" x14ac:dyDescent="0.35">
      <c r="B67" s="62">
        <f>'1. Information samples'!B67</f>
        <v>57</v>
      </c>
      <c r="C67" s="198">
        <f>'1. Information samples'!C67</f>
        <v>46048</v>
      </c>
      <c r="D67" s="62" t="str">
        <f>'1. Information samples'!D67</f>
        <v>Genbank</v>
      </c>
      <c r="E67" s="316">
        <f>'1. Information samples'!E67</f>
        <v>28</v>
      </c>
      <c r="F67" s="62" t="str">
        <f>'1. Information samples'!F67</f>
        <v>F252189</v>
      </c>
      <c r="G67" s="62" t="str">
        <f>'1. Information samples'!G67</f>
        <v>CIAT-BH22_2365</v>
      </c>
      <c r="H67" s="62" t="str">
        <f>'1. Information samples'!H67</f>
        <v>Urochloa</v>
      </c>
      <c r="I67" s="62" t="str">
        <f>'1. Information samples'!I67</f>
        <v>humidicola</v>
      </c>
      <c r="J67" s="62" t="str">
        <f>'1. Information samples'!J67</f>
        <v>Urochloa humidicola</v>
      </c>
      <c r="K67" s="62" t="str">
        <f>'1. Information samples'!K67</f>
        <v>Poaceae</v>
      </c>
      <c r="L67" s="62" t="str">
        <f>'1. Information samples'!L67</f>
        <v>Poales</v>
      </c>
      <c r="M67" s="62" t="str">
        <f>'1. Information samples'!M67</f>
        <v>grasses</v>
      </c>
      <c r="N67" s="314">
        <f>_xlfn.STDEV.S('3.1. Gas prod VF'!AG364,'3.1. Gas prod VF'!AG365,'3.1. Gas prod VF'!AG366,'3.1. Gas prod VF'!AG550,'3.1. Gas prod VF'!AG712)</f>
        <v>2.523293581977089</v>
      </c>
      <c r="O67" s="314">
        <f>_xlfn.STDEV.S('3.1. Gas prod VF'!AH364,'3.1. Gas prod VF'!AH365,'3.1. Gas prod VF'!AH366,'3.1. Gas prod VF'!AH550,'3.1. Gas prod VF'!AH712)</f>
        <v>3.8593020660927393</v>
      </c>
      <c r="P67" s="314">
        <f>_xlfn.STDEV.S('3.1. Gas prod VF'!AI364,'3.1. Gas prod VF'!AI365,'3.1. Gas prod VF'!AI366,'3.1. Gas prod VF'!AI550,'3.1. Gas prod VF'!AI712)</f>
        <v>6.1491920325178304</v>
      </c>
      <c r="Q67" s="314">
        <f>_xlfn.STDEV.S('3.1. Gas prod VF'!AJ364,'3.1. Gas prod VF'!AJ365,'3.1. Gas prod VF'!AJ366,'3.1. Gas prod VF'!AJ550,'3.1. Gas prod VF'!AJ712)</f>
        <v>0.47425385193959224</v>
      </c>
      <c r="R67" s="314">
        <f>_xlfn.STDEV.S('3.1. Gas prod VF'!AK364,'3.1. Gas prod VF'!AK365,'3.1. Gas prod VF'!AK366,'3.1. Gas prod VF'!AK550,'3.1. Gas prod VF'!AK712)</f>
        <v>0.84379330892779791</v>
      </c>
      <c r="S67" s="314">
        <f>_xlfn.STDEV.S('3.1. Gas prod VF'!AL364,'3.1. Gas prod VF'!AL365,'3.1. Gas prod VF'!AL366,'3.1. Gas prod VF'!AL550,'3.1. Gas prod VF'!AL712)</f>
        <v>1.3019963468646845</v>
      </c>
      <c r="T67" s="314">
        <f>_xlfn.STDEV.S('3.1. Gas prod VF'!AM364,'3.1. Gas prod VF'!AM365,'3.1. Gas prod VF'!AM366,'3.1. Gas prod VF'!AM550,'3.1. Gas prod VF'!AM712)</f>
        <v>12.723429202854811</v>
      </c>
      <c r="U67" s="314">
        <f>_xlfn.STDEV.S('3.1. Gas prod VF'!AN364,'3.1. Gas prod VF'!AN365,'3.1. Gas prod VF'!AN366,'3.1. Gas prod VF'!AN550,'3.1. Gas prod VF'!AN712)</f>
        <v>6.1579859107908392</v>
      </c>
      <c r="V67" s="314">
        <f>_xlfn.STDEV.S('3.1. Gas prod VF'!AO364,'3.1. Gas prod VF'!AO365,'3.1. Gas prod VF'!AO366,'3.1. Gas prod VF'!AO550,'3.1. Gas prod VF'!AO712)</f>
        <v>0.36567167489945246</v>
      </c>
      <c r="W67" s="314">
        <f>_xlfn.STDEV.S('3.1. Gas prod VF'!AP364,'3.1. Gas prod VF'!AP365,'3.1. Gas prod VF'!AP366,'3.1. Gas prod VF'!AP550,'3.1. Gas prod VF'!AP712)</f>
        <v>0.435889894354067</v>
      </c>
      <c r="X67" s="314">
        <f>_xlfn.STDEV.S('3.1. Gas prod VF'!AQ364,'3.1. Gas prod VF'!AQ365,'3.1. Gas prod VF'!AQ366,'3.1. Gas prod VF'!AQ550,'3.1. Gas prod VF'!AQ712)</f>
        <v>0.46579295904765106</v>
      </c>
      <c r="Y67" s="314">
        <f>_xlfn.STDEV.S('3.1. Gas prod VF'!AR364,'3.1. Gas prod VF'!AR365,'3.1. Gas prod VF'!AR366,'3.1. Gas prod VF'!AR550,'3.1. Gas prod VF'!AR712)</f>
        <v>2.6901211689150948</v>
      </c>
      <c r="Z67" s="314">
        <f>_xlfn.STDEV.S('3.1. Gas prod VF'!AS364,'3.1. Gas prod VF'!AS365,'3.1. Gas prod VF'!AS366,'3.1. Gas prod VF'!AS550,'3.1. Gas prod VF'!AS712)</f>
        <v>12.263570213553294</v>
      </c>
      <c r="AA67" s="314">
        <f>_xlfn.STDEV.S('3.1. Gas prod VF'!AT364,'3.1. Gas prod VF'!AT365,'3.1. Gas prod VF'!AT366,'3.1. Gas prod VF'!AT550,'3.1. Gas prod VF'!AT712)</f>
        <v>1.2145006477714182</v>
      </c>
      <c r="AB67" s="314">
        <f>_xlfn.STDEV.S('3.1. Gas prod VF'!AU364,'3.1. Gas prod VF'!AU365,'3.1. Gas prod VF'!AU366,'3.1. Gas prod VF'!AU550,'3.1. Gas prod VF'!AU712)</f>
        <v>1.4930637906366133</v>
      </c>
      <c r="AC67" s="314">
        <f>_xlfn.STDEV.S('3.1. Gas prod VF'!AV364,'3.1. Gas prod VF'!AV365,'3.1. Gas prod VF'!AV366,'3.1. Gas prod VF'!AV550,'3.1. Gas prod VF'!AV712)</f>
        <v>6.8064936410171608</v>
      </c>
      <c r="AD67" s="20"/>
      <c r="AE67" s="20"/>
    </row>
    <row r="68" spans="2:31" s="65" customFormat="1" x14ac:dyDescent="0.35">
      <c r="B68" s="62">
        <f>'1. Information samples'!B68</f>
        <v>58</v>
      </c>
      <c r="C68" s="198">
        <f>'1. Information samples'!C68</f>
        <v>46048</v>
      </c>
      <c r="D68" s="62" t="str">
        <f>'1. Information samples'!D68</f>
        <v>Genbank</v>
      </c>
      <c r="E68" s="316">
        <f>'1. Information samples'!E68</f>
        <v>28</v>
      </c>
      <c r="F68" s="62" t="str">
        <f>'1. Information samples'!F68</f>
        <v>F252190</v>
      </c>
      <c r="G68" s="62" t="str">
        <f>'1. Information samples'!G68</f>
        <v>CIAT-BH22_3572</v>
      </c>
      <c r="H68" s="62" t="str">
        <f>'1. Information samples'!H68</f>
        <v>Urochloa</v>
      </c>
      <c r="I68" s="62" t="str">
        <f>'1. Information samples'!I68</f>
        <v>humidicola</v>
      </c>
      <c r="J68" s="62" t="str">
        <f>'1. Information samples'!J68</f>
        <v>Urochloa humidicola</v>
      </c>
      <c r="K68" s="62" t="str">
        <f>'1. Information samples'!K68</f>
        <v>Poaceae</v>
      </c>
      <c r="L68" s="62" t="str">
        <f>'1. Information samples'!L68</f>
        <v>Poales</v>
      </c>
      <c r="M68" s="62" t="str">
        <f>'1. Information samples'!M68</f>
        <v>grasses</v>
      </c>
      <c r="N68" s="314">
        <f>_xlfn.STDEV.S('3.1. Gas prod VF'!AG365,'3.1. Gas prod VF'!AG366,'3.1. Gas prod VF'!AG367,'3.1. Gas prod VF'!AG551,'3.1. Gas prod VF'!AG713)</f>
        <v>0.57735026918962584</v>
      </c>
      <c r="O68" s="314">
        <f>_xlfn.STDEV.S('3.1. Gas prod VF'!AH365,'3.1. Gas prod VF'!AH366,'3.1. Gas prod VF'!AH367,'3.1. Gas prod VF'!AH551,'3.1. Gas prod VF'!AH713)</f>
        <v>2.0207259421636903</v>
      </c>
      <c r="P68" s="314">
        <f>_xlfn.STDEV.S('3.1. Gas prod VF'!AI365,'3.1. Gas prod VF'!AI366,'3.1. Gas prod VF'!AI367,'3.1. Gas prod VF'!AI551,'3.1. Gas prod VF'!AI713)</f>
        <v>2.565800719723442</v>
      </c>
      <c r="Q68" s="314">
        <f>_xlfn.STDEV.S('3.1. Gas prod VF'!AJ365,'3.1. Gas prod VF'!AJ366,'3.1. Gas prod VF'!AJ367,'3.1. Gas prod VF'!AJ551,'3.1. Gas prod VF'!AJ713)</f>
        <v>0.13907657598158732</v>
      </c>
      <c r="R68" s="314">
        <f>_xlfn.STDEV.S('3.1. Gas prod VF'!AK365,'3.1. Gas prod VF'!AK366,'3.1. Gas prod VF'!AK367,'3.1. Gas prod VF'!AK551,'3.1. Gas prod VF'!AK713)</f>
        <v>0.35926335411114296</v>
      </c>
      <c r="S68" s="314">
        <f>_xlfn.STDEV.S('3.1. Gas prod VF'!AL365,'3.1. Gas prod VF'!AL366,'3.1. Gas prod VF'!AL367,'3.1. Gas prod VF'!AL551,'3.1. Gas prod VF'!AL713)</f>
        <v>0.49721445293574451</v>
      </c>
      <c r="T68" s="314">
        <f>_xlfn.STDEV.S('3.1. Gas prod VF'!AM365,'3.1. Gas prod VF'!AM366,'3.1. Gas prod VF'!AM367,'3.1. Gas prod VF'!AM551,'3.1. Gas prod VF'!AM713)</f>
        <v>4.8791718773244392</v>
      </c>
      <c r="U68" s="314">
        <f>_xlfn.STDEV.S('3.1. Gas prod VF'!AN365,'3.1. Gas prod VF'!AN366,'3.1. Gas prod VF'!AN367,'3.1. Gas prod VF'!AN551,'3.1. Gas prod VF'!AN713)</f>
        <v>9.1807271264051327</v>
      </c>
      <c r="V68" s="314">
        <f>_xlfn.STDEV.S('3.1. Gas prod VF'!AO365,'3.1. Gas prod VF'!AO366,'3.1. Gas prod VF'!AO367,'3.1. Gas prod VF'!AO551,'3.1. Gas prod VF'!AO713)</f>
        <v>0.51541190765920641</v>
      </c>
      <c r="W68" s="314">
        <f>_xlfn.STDEV.S('3.1. Gas prod VF'!AP365,'3.1. Gas prod VF'!AP366,'3.1. Gas prod VF'!AP367,'3.1. Gas prod VF'!AP551,'3.1. Gas prod VF'!AP713)</f>
        <v>0.20816659994661424</v>
      </c>
      <c r="X68" s="314">
        <f>_xlfn.STDEV.S('3.1. Gas prod VF'!AQ365,'3.1. Gas prod VF'!AQ366,'3.1. Gas prod VF'!AQ367,'3.1. Gas prod VF'!AQ551,'3.1. Gas prod VF'!AQ713)</f>
        <v>0.18893546263575806</v>
      </c>
      <c r="Y68" s="314">
        <f>_xlfn.STDEV.S('3.1. Gas prod VF'!AR365,'3.1. Gas prod VF'!AR366,'3.1. Gas prod VF'!AR367,'3.1. Gas prod VF'!AR551,'3.1. Gas prod VF'!AR713)</f>
        <v>0.9566818893022655</v>
      </c>
      <c r="Z68" s="314">
        <f>_xlfn.STDEV.S('3.1. Gas prod VF'!AS365,'3.1. Gas prod VF'!AS366,'3.1. Gas prod VF'!AS367,'3.1. Gas prod VF'!AS551,'3.1. Gas prod VF'!AS713)</f>
        <v>17.677261136271216</v>
      </c>
      <c r="AA68" s="314">
        <f>_xlfn.STDEV.S('3.1. Gas prod VF'!AT365,'3.1. Gas prod VF'!AT366,'3.1. Gas prod VF'!AT367,'3.1. Gas prod VF'!AT551,'3.1. Gas prod VF'!AT713)</f>
        <v>1.7660197297235918</v>
      </c>
      <c r="AB68" s="314">
        <f>_xlfn.STDEV.S('3.1. Gas prod VF'!AU365,'3.1. Gas prod VF'!AU366,'3.1. Gas prod VF'!AU367,'3.1. Gas prod VF'!AU551,'3.1. Gas prod VF'!AU713)</f>
        <v>0.53097500015253751</v>
      </c>
      <c r="AC68" s="314">
        <f>_xlfn.STDEV.S('3.1. Gas prod VF'!AV365,'3.1. Gas prod VF'!AV366,'3.1. Gas prod VF'!AV367,'3.1. Gas prod VF'!AV551,'3.1. Gas prod VF'!AV713)</f>
        <v>9.8111857655982888</v>
      </c>
      <c r="AD68" s="20"/>
      <c r="AE68" s="20"/>
    </row>
    <row r="69" spans="2:31" s="65" customFormat="1" x14ac:dyDescent="0.35">
      <c r="B69" s="62">
        <f>'1. Information samples'!B69</f>
        <v>59</v>
      </c>
      <c r="C69" s="198">
        <f>'1. Information samples'!C69</f>
        <v>46048</v>
      </c>
      <c r="D69" s="62" t="str">
        <f>'1. Information samples'!D69</f>
        <v>Genbank</v>
      </c>
      <c r="E69" s="316">
        <f>'1. Information samples'!E69</f>
        <v>28</v>
      </c>
      <c r="F69" s="319" t="str">
        <f>'1. Information samples'!F69</f>
        <v>F252191</v>
      </c>
      <c r="G69" s="62" t="str">
        <f>'1. Information samples'!G69</f>
        <v>CIAT-BH22_0517</v>
      </c>
      <c r="H69" s="62" t="str">
        <f>'1. Information samples'!H69</f>
        <v>Urochloa</v>
      </c>
      <c r="I69" s="62" t="str">
        <f>'1. Information samples'!I69</f>
        <v>humidicola</v>
      </c>
      <c r="J69" s="62" t="str">
        <f>'1. Information samples'!J69</f>
        <v>Urochloa humidicola</v>
      </c>
      <c r="K69" s="62" t="str">
        <f>'1. Information samples'!K69</f>
        <v>Poaceae</v>
      </c>
      <c r="L69" s="62" t="str">
        <f>'1. Information samples'!L69</f>
        <v>Poales</v>
      </c>
      <c r="M69" s="62" t="str">
        <f>'1. Information samples'!M69</f>
        <v>grasses</v>
      </c>
      <c r="N69" s="314"/>
      <c r="O69" s="314"/>
      <c r="P69" s="314"/>
      <c r="Q69" s="314"/>
      <c r="R69" s="314"/>
      <c r="S69" s="314"/>
      <c r="T69" s="314"/>
      <c r="U69" s="314"/>
      <c r="V69" s="314"/>
      <c r="W69" s="314"/>
      <c r="X69" s="314"/>
      <c r="Y69" s="314"/>
      <c r="Z69" s="314"/>
      <c r="AA69" s="314"/>
      <c r="AB69" s="314"/>
      <c r="AC69" s="314"/>
      <c r="AD69" s="20" t="s">
        <v>710</v>
      </c>
      <c r="AE69" s="20"/>
    </row>
    <row r="70" spans="2:31" s="65" customFormat="1" x14ac:dyDescent="0.35">
      <c r="B70" s="62">
        <f>'1. Information samples'!B70</f>
        <v>60</v>
      </c>
      <c r="C70" s="198">
        <f>'1. Information samples'!C70</f>
        <v>46048</v>
      </c>
      <c r="D70" s="62" t="str">
        <f>'1. Information samples'!D70</f>
        <v>Genbank</v>
      </c>
      <c r="E70" s="316">
        <f>'1. Information samples'!E70</f>
        <v>28</v>
      </c>
      <c r="F70" s="319" t="str">
        <f>'1. Information samples'!F70</f>
        <v>F252192</v>
      </c>
      <c r="G70" s="62" t="str">
        <f>'1. Information samples'!G70</f>
        <v>CIAT-BH22_0519</v>
      </c>
      <c r="H70" s="62" t="str">
        <f>'1. Information samples'!H70</f>
        <v>Urochloa</v>
      </c>
      <c r="I70" s="62" t="str">
        <f>'1. Information samples'!I70</f>
        <v>humidicola</v>
      </c>
      <c r="J70" s="62" t="str">
        <f>'1. Information samples'!J70</f>
        <v>Urochloa humidicola</v>
      </c>
      <c r="K70" s="62" t="str">
        <f>'1. Information samples'!K70</f>
        <v>Poaceae</v>
      </c>
      <c r="L70" s="62" t="str">
        <f>'1. Information samples'!L70</f>
        <v>Poales</v>
      </c>
      <c r="M70" s="62" t="str">
        <f>'1. Information samples'!M70</f>
        <v>grasses</v>
      </c>
      <c r="N70" s="314"/>
      <c r="O70" s="314"/>
      <c r="P70" s="314"/>
      <c r="Q70" s="314"/>
      <c r="R70" s="314"/>
      <c r="S70" s="314"/>
      <c r="T70" s="314"/>
      <c r="U70" s="314"/>
      <c r="V70" s="314"/>
      <c r="W70" s="314"/>
      <c r="X70" s="314"/>
      <c r="Y70" s="314"/>
      <c r="Z70" s="314"/>
      <c r="AA70" s="314"/>
      <c r="AB70" s="314"/>
      <c r="AC70" s="314"/>
      <c r="AD70" s="20" t="s">
        <v>710</v>
      </c>
      <c r="AE70" s="20"/>
    </row>
    <row r="71" spans="2:31" s="65" customFormat="1" x14ac:dyDescent="0.35">
      <c r="B71" s="62">
        <f>'1. Information samples'!B71</f>
        <v>61</v>
      </c>
      <c r="C71" s="198">
        <f>'1. Information samples'!C71</f>
        <v>46048</v>
      </c>
      <c r="D71" s="62" t="str">
        <f>'1. Information samples'!D71</f>
        <v>Genbank</v>
      </c>
      <c r="E71" s="316">
        <f>'1. Information samples'!E71</f>
        <v>28</v>
      </c>
      <c r="F71" s="62" t="str">
        <f>'1. Information samples'!F71</f>
        <v>F252193</v>
      </c>
      <c r="G71" s="62" t="str">
        <f>'1. Information samples'!G71</f>
        <v>CIAT-BH22_0521</v>
      </c>
      <c r="H71" s="62" t="str">
        <f>'1. Information samples'!H71</f>
        <v>Urochloa</v>
      </c>
      <c r="I71" s="62" t="str">
        <f>'1. Information samples'!I71</f>
        <v>humidicola</v>
      </c>
      <c r="J71" s="62" t="str">
        <f>'1. Information samples'!J71</f>
        <v>Urochloa humidicola</v>
      </c>
      <c r="K71" s="62" t="str">
        <f>'1. Information samples'!K71</f>
        <v>Poaceae</v>
      </c>
      <c r="L71" s="62" t="str">
        <f>'1. Information samples'!L71</f>
        <v>Poales</v>
      </c>
      <c r="M71" s="62" t="str">
        <f>'1. Information samples'!M71</f>
        <v>grasses</v>
      </c>
      <c r="N71" s="314" cm="1">
        <f t="array" ref="N71">_xlfn.STDEV.S(IF(('3.1. Gas prod VF'!$L$13:$L$1230=$F71) *('3.1. Gas prod VF'!$M$13:$M$1230=$E71),'3.1. Gas prod VF'!$AG$13:$AG$1230))</f>
        <v>15.004853736014228</v>
      </c>
      <c r="O71" s="314" cm="1">
        <f t="array" ref="O71">_xlfn.STDEV.S(IF(('3.1. Gas prod VF'!$L$13:$L$1230=$F71) *('3.1. Gas prod VF'!$M$13:$M$1230=$E71),'3.1. Gas prod VF'!$AH$13:$AH$1230))</f>
        <v>20.003558419893722</v>
      </c>
      <c r="P71" s="314" cm="1">
        <f t="array" ref="P71">_xlfn.STDEV.S(IF(('3.1. Gas prod VF'!$L$13:$L$1230=$F71) *('3.1. Gas prod VF'!$M$13:$M$1230=$E71),'3.1. Gas prod VF'!$AI$13:$AI$1230))</f>
        <v>23.654027655413742</v>
      </c>
      <c r="Q71" s="314" cm="1">
        <f t="array" ref="Q71">_xlfn.STDEV.S(IF(('3.1. Gas prod VF'!$L$13:$L$1230=$F71) *('3.1. Gas prod VF'!$M$13:$M$1230=$E71),'3.1. Gas prod VF'!$AJ$13:$AJ$1230))</f>
        <v>23.502265838145469</v>
      </c>
      <c r="R71" s="314" cm="1">
        <f t="array" ref="R71">_xlfn.STDEV.S(IF(('3.1. Gas prod VF'!$L$13:$L$1230=$F71) *('3.1. Gas prod VF'!$M$13:$M$1230=$E71),'3.1. Gas prod VF'!$AK$13:$AK$1230))</f>
        <v>41.11985860833375</v>
      </c>
      <c r="S71" s="314" cm="1">
        <f t="array" ref="S71">_xlfn.STDEV.S(IF(('3.1. Gas prod VF'!$L$13:$L$1230=$F71) *('3.1. Gas prod VF'!$M$13:$M$1230=$E71),'3.1. Gas prod VF'!$AL$13:$AL$1230))</f>
        <v>3.4544842034830556</v>
      </c>
      <c r="T71" s="314" cm="1">
        <f t="array" ref="T71">_xlfn.STDEV.S(IF(('3.1. Gas prod VF'!$L$13:$L$1230=$F71) *('3.1. Gas prod VF'!$M$13:$M$1230=$E71),'3.1. Gas prod VF'!$AM$13:$AM$1230))</f>
        <v>61.516013951188057</v>
      </c>
      <c r="U71" s="314" cm="1">
        <f t="array" ref="U71">_xlfn.STDEV.S(IF(('3.1. Gas prod VF'!$L$13:$L$1230=$F71) *('3.1. Gas prod VF'!$M$13:$M$1230=$E71),'3.1. Gas prod VF'!$AN$13:$AN$1230))</f>
        <v>5.0229652352342606</v>
      </c>
      <c r="V71" s="314" cm="1">
        <f t="array" ref="V71">_xlfn.STDEV.S(IF(('3.1. Gas prod VF'!$L$13:$L$1230=$F71) *('3.1. Gas prod VF'!$M$13:$M$1230=$E71),'3.1. Gas prod VF'!$AO$13:$AO$1230))</f>
        <v>88.570244711481394</v>
      </c>
      <c r="W71" s="314" cm="1">
        <f t="array" ref="W71">_xlfn.STDEV.S(IF(('3.1. Gas prod VF'!$L$13:$L$1230=$F71) *('3.1. Gas prod VF'!$M$13:$M$1230=$E71),'3.1. Gas prod VF'!$AP$13:$AP$1230))</f>
        <v>17.277335403241157</v>
      </c>
      <c r="X71" s="314" cm="1">
        <f t="array" ref="X71">_xlfn.STDEV.S(IF(('3.1. Gas prod VF'!$L$13:$L$1230=$F71) *('3.1. Gas prod VF'!$M$13:$M$1230=$E71),'3.1. Gas prod VF'!$AQ$13:$AQ$1230))</f>
        <v>4.6908523724804727</v>
      </c>
      <c r="Y71" s="314" cm="1">
        <f t="array" ref="Y71">_xlfn.STDEV.S(IF(('3.1. Gas prod VF'!$L$13:$L$1230=$F71) *('3.1. Gas prod VF'!$M$13:$M$1230=$E71),'3.1. Gas prod VF'!$AR$13:$AR$1230))</f>
        <v>7.050247447209709</v>
      </c>
      <c r="Z71" s="314" cm="1">
        <f t="array" ref="Z71">_xlfn.STDEV.S(IF(('3.1. Gas prod VF'!$L$13:$L$1230=$F71) *('3.1. Gas prod VF'!$M$13:$M$1230=$E71),'3.1. Gas prod VF'!$AS$13:$AS$1230))</f>
        <v>76.475845313072739</v>
      </c>
      <c r="AA71" s="314" cm="1">
        <f t="array" ref="AA71">_xlfn.STDEV.S(IF(('3.1. Gas prod VF'!$L$13:$L$1230=$F71) *('3.1. Gas prod VF'!$M$13:$M$1230=$E71),'3.1. Gas prod VF'!$AT$13:$AT$1230))</f>
        <v>13.628503598021608</v>
      </c>
      <c r="AB71" s="314" cm="1">
        <f t="array" ref="AB71">_xlfn.STDEV.S(IF(('3.1. Gas prod VF'!$L$13:$L$1230=$F71) *('3.1. Gas prod VF'!$M$13:$M$1230=$E71),'3.1. Gas prod VF'!$AU$13:$AU$1230))</f>
        <v>73.192050652136274</v>
      </c>
      <c r="AC71" s="314" cm="1">
        <f t="array" ref="AC71">_xlfn.STDEV.S(IF(('3.1. Gas prod VF'!$L$13:$L$1230=$F71) *('3.1. Gas prod VF'!$M$13:$M$1230=$E71),'3.1. Gas prod VF'!$AU$13:$AV$1230))</f>
        <v>70.135049158679379</v>
      </c>
      <c r="AD71" s="20"/>
      <c r="AE71" s="20"/>
    </row>
    <row r="72" spans="2:31" s="65" customFormat="1" x14ac:dyDescent="0.35">
      <c r="B72" s="62">
        <f>'1. Information samples'!B72</f>
        <v>62</v>
      </c>
      <c r="C72" s="198">
        <f>'1. Information samples'!C72</f>
        <v>46048</v>
      </c>
      <c r="D72" s="62" t="str">
        <f>'1. Information samples'!D72</f>
        <v>Genbank</v>
      </c>
      <c r="E72" s="316">
        <f>'1. Information samples'!E72</f>
        <v>28</v>
      </c>
      <c r="F72" s="62" t="str">
        <f>'1. Information samples'!F72</f>
        <v>F252574</v>
      </c>
      <c r="G72" s="62" t="str">
        <f>'1. Information samples'!G72</f>
        <v>CIAT326</v>
      </c>
      <c r="H72" s="62" t="str">
        <f>'1. Information samples'!H72</f>
        <v>Desmodium</v>
      </c>
      <c r="I72" s="62" t="str">
        <f>'1. Information samples'!I72</f>
        <v>scorpiurus</v>
      </c>
      <c r="J72" s="62" t="str">
        <f>'1. Information samples'!J72</f>
        <v>Desmodium scorpiurus</v>
      </c>
      <c r="K72" s="62" t="str">
        <f>'1. Information samples'!K72</f>
        <v>Fabaceae</v>
      </c>
      <c r="L72" s="62" t="str">
        <f>'1. Information samples'!L72</f>
        <v>Fabales</v>
      </c>
      <c r="M72" s="62" t="str">
        <f>'1. Information samples'!M72</f>
        <v>Herbaceous</v>
      </c>
      <c r="N72" s="314">
        <f>_xlfn.STDEV.S('3.1. Gas prod VF'!AG379,'3.1. Gas prod VF'!AG381,'3.1. Gas prod VF'!AG565,'3.1. Gas prod VF'!AG566,'3.1. Gas prod VF'!AG567,'3.1. Gas prod VF'!AG722)</f>
        <v>5.1018405358332055</v>
      </c>
      <c r="O72" s="314">
        <f>_xlfn.STDEV.S('3.1. Gas prod VF'!AH379,'3.1. Gas prod VF'!AH381,'3.1. Gas prod VF'!AH565,'3.1. Gas prod VF'!AH566,'3.1. Gas prod VF'!AH567,'3.1. Gas prod VF'!AH722)</f>
        <v>9.5159221828936449</v>
      </c>
      <c r="P72" s="314">
        <f>_xlfn.STDEV.S('3.1. Gas prod VF'!AI379,'3.1. Gas prod VF'!AI381,'3.1. Gas prod VF'!AI565,'3.1. Gas prod VF'!AI566,'3.1. Gas prod VF'!AI567,'3.1. Gas prod VF'!AI722)</f>
        <v>14.519154959936021</v>
      </c>
      <c r="Q72" s="314">
        <f>_xlfn.STDEV.S('3.1. Gas prod VF'!AJ379,'3.1. Gas prod VF'!AJ381,'3.1. Gas prod VF'!AJ565,'3.1. Gas prod VF'!AJ566,'3.1. Gas prod VF'!AJ567,'3.1. Gas prod VF'!AJ722)</f>
        <v>0.65847156123749306</v>
      </c>
      <c r="R72" s="314">
        <f>_xlfn.STDEV.S('3.1. Gas prod VF'!AK379,'3.1. Gas prod VF'!AK381,'3.1. Gas prod VF'!AK565,'3.1. Gas prod VF'!AK566,'3.1. Gas prod VF'!AK567,'3.1. Gas prod VF'!AK722)</f>
        <v>1.5818932681996101</v>
      </c>
      <c r="S72" s="314">
        <f>_xlfn.STDEV.S('3.1. Gas prod VF'!AL379,'3.1. Gas prod VF'!AL381,'3.1. Gas prod VF'!AL565,'3.1. Gas prod VF'!AL566,'3.1. Gas prod VF'!AL567,'3.1. Gas prod VF'!AL722)</f>
        <v>2.218840822821373</v>
      </c>
      <c r="T72" s="314">
        <f>_xlfn.STDEV.S('3.1. Gas prod VF'!AM379,'3.1. Gas prod VF'!AM381,'3.1. Gas prod VF'!AM565,'3.1. Gas prod VF'!AM566,'3.1. Gas prod VF'!AM567,'3.1. Gas prod VF'!AM722)</f>
        <v>31.684335812289987</v>
      </c>
      <c r="U72" s="314">
        <f>_xlfn.STDEV.S('3.1. Gas prod VF'!AN379,'3.1. Gas prod VF'!AN381,'3.1. Gas prod VF'!AN565,'3.1. Gas prod VF'!AN566,'3.1. Gas prod VF'!AN567,'3.1. Gas prod VF'!AN722)</f>
        <v>7.212004186540713</v>
      </c>
      <c r="V72" s="314">
        <f>_xlfn.STDEV.S('3.1. Gas prod VF'!AO379,'3.1. Gas prod VF'!AO381,'3.1. Gas prod VF'!AO565,'3.1. Gas prod VF'!AO566,'3.1. Gas prod VF'!AO567,'3.1. Gas prod VF'!AO722)</f>
        <v>1.8571288816543092</v>
      </c>
      <c r="W72" s="314">
        <f>_xlfn.STDEV.S('3.1. Gas prod VF'!AP379,'3.1. Gas prod VF'!AP381,'3.1. Gas prod VF'!AP565,'3.1. Gas prod VF'!AP566,'3.1. Gas prod VF'!AP567,'3.1. Gas prod VF'!AP722)</f>
        <v>0.42739521132865543</v>
      </c>
      <c r="X72" s="314">
        <f>_xlfn.STDEV.S('3.1. Gas prod VF'!AQ379,'3.1. Gas prod VF'!AQ381,'3.1. Gas prod VF'!AQ565,'3.1. Gas prod VF'!AQ566,'3.1. Gas prod VF'!AQ567,'3.1. Gas prod VF'!AQ722)</f>
        <v>0.14923577357055193</v>
      </c>
      <c r="Y72" s="314">
        <f>_xlfn.STDEV.S('3.1. Gas prod VF'!AR379,'3.1. Gas prod VF'!AR381,'3.1. Gas prod VF'!AR565,'3.1. Gas prod VF'!AR566,'3.1. Gas prod VF'!AR567,'3.1. Gas prod VF'!AR722)</f>
        <v>4.8418548995266715</v>
      </c>
      <c r="Z72" s="314">
        <f>_xlfn.STDEV.S('3.1. Gas prod VF'!AS379,'3.1. Gas prod VF'!AS381,'3.1. Gas prod VF'!AS565,'3.1. Gas prod VF'!AS566,'3.1. Gas prod VF'!AS567,'3.1. Gas prod VF'!AS722)</f>
        <v>18.516998358638734</v>
      </c>
      <c r="AA72" s="314">
        <f>_xlfn.STDEV.S('3.1. Gas prod VF'!AT379,'3.1. Gas prod VF'!AT381,'3.1. Gas prod VF'!AT565,'3.1. Gas prod VF'!AT566,'3.1. Gas prod VF'!AT567,'3.1. Gas prod VF'!AT722)</f>
        <v>2.7210090956496615</v>
      </c>
      <c r="AB72" s="314">
        <f>_xlfn.STDEV.S('3.1. Gas prod VF'!AU379,'3.1. Gas prod VF'!AU381,'3.1. Gas prod VF'!AU565,'3.1. Gas prod VF'!AU566,'3.1. Gas prod VF'!AU567,'3.1. Gas prod VF'!AU722)</f>
        <v>2.6873132383532177</v>
      </c>
      <c r="AC72" s="314">
        <f>_xlfn.STDEV.S('3.1. Gas prod VF'!AV379,'3.1. Gas prod VF'!AV381,'3.1. Gas prod VF'!AV565,'3.1. Gas prod VF'!AV566,'3.1. Gas prod VF'!AV567,'3.1. Gas prod VF'!AV722)</f>
        <v>10.277254452337878</v>
      </c>
      <c r="AD72" s="20"/>
      <c r="AE72" s="20"/>
    </row>
    <row r="73" spans="2:31" s="65" customFormat="1" x14ac:dyDescent="0.35">
      <c r="B73" s="62">
        <f>'1. Information samples'!B73</f>
        <v>63</v>
      </c>
      <c r="C73" s="198">
        <f>'1. Information samples'!C73</f>
        <v>46048</v>
      </c>
      <c r="D73" s="62" t="str">
        <f>'1. Information samples'!D73</f>
        <v>Jacobo Arango/Alejandro Montoya</v>
      </c>
      <c r="E73" s="316">
        <f>'1. Information samples'!E73</f>
        <v>28</v>
      </c>
      <c r="F73" s="62" t="str">
        <f>'1. Information samples'!F73</f>
        <v>F250008</v>
      </c>
      <c r="G73" s="62" t="str">
        <f>'1. Information samples'!G73</f>
        <v>Sample 8</v>
      </c>
      <c r="H73" s="62" t="str">
        <f>'1. Information samples'!H73</f>
        <v>Cynodon</v>
      </c>
      <c r="I73" s="62" t="str">
        <f>'1. Information samples'!I73</f>
        <v xml:space="preserve"> nlemfuensis </v>
      </c>
      <c r="J73" s="62" t="str">
        <f>'1. Information samples'!J73</f>
        <v xml:space="preserve">Cynodon nlemfuensis </v>
      </c>
      <c r="K73" s="62" t="str">
        <f>'1. Information samples'!K73</f>
        <v>Poaceae</v>
      </c>
      <c r="L73" s="62" t="str">
        <f>'1. Information samples'!L73</f>
        <v>Poales</v>
      </c>
      <c r="M73" s="62" t="str">
        <f>'1. Information samples'!M73</f>
        <v>grasses</v>
      </c>
      <c r="N73" s="314">
        <f>_xlfn.STDEV.S('3.1. Gas prod VF'!AG382,'3.1. Gas prod VF'!AG383,'3.1. Gas prod VF'!AG384,'3.1. Gas prod VF'!AG474,'3.1. Gas prod VF'!AG475,'3.1. Gas prod VF'!AG476)</f>
        <v>0.87559503577091313</v>
      </c>
      <c r="O73" s="314">
        <f>_xlfn.STDEV.S('3.1. Gas prod VF'!AH382,'3.1. Gas prod VF'!AH383,'3.1. Gas prod VF'!AH384,'3.1. Gas prod VF'!AH474,'3.1. Gas prod VF'!AH475,'3.1. Gas prod VF'!AH476)</f>
        <v>2.2079402165819619</v>
      </c>
      <c r="P73" s="314">
        <f>_xlfn.STDEV.S('3.1. Gas prod VF'!AI382,'3.1. Gas prod VF'!AI383,'3.1. Gas prod VF'!AI384,'3.1. Gas prod VF'!AI474,'3.1. Gas prod VF'!AI475,'3.1. Gas prod VF'!AI476)</f>
        <v>3.0564140208202595</v>
      </c>
      <c r="Q73" s="314">
        <f>_xlfn.STDEV.S('3.1. Gas prod VF'!AJ382,'3.1. Gas prod VF'!AJ383,'3.1. Gas prod VF'!AJ384,'3.1. Gas prod VF'!AJ474,'3.1. Gas prod VF'!AJ475,'3.1. Gas prod VF'!AJ476)</f>
        <v>0.151316653908877</v>
      </c>
      <c r="R73" s="314">
        <f>_xlfn.STDEV.S('3.1. Gas prod VF'!AK382,'3.1. Gas prod VF'!AK383,'3.1. Gas prod VF'!AK384,'3.1. Gas prod VF'!AK474,'3.1. Gas prod VF'!AK475,'3.1. Gas prod VF'!AK476)</f>
        <v>0.52259928429188562</v>
      </c>
      <c r="S73" s="314">
        <f>_xlfn.STDEV.S('3.1. Gas prod VF'!AL382,'3.1. Gas prod VF'!AL383,'3.1. Gas prod VF'!AL384,'3.1. Gas prod VF'!AL474,'3.1. Gas prod VF'!AL475,'3.1. Gas prod VF'!AL476)</f>
        <v>0.5612805904553636</v>
      </c>
      <c r="T73" s="314">
        <f>_xlfn.STDEV.S('3.1. Gas prod VF'!AM382,'3.1. Gas prod VF'!AM383,'3.1. Gas prod VF'!AM384,'3.1. Gas prod VF'!AM474,'3.1. Gas prod VF'!AM475,'3.1. Gas prod VF'!AM476)</f>
        <v>6.5195338659192839</v>
      </c>
      <c r="U73" s="314">
        <f>_xlfn.STDEV.S('3.1. Gas prod VF'!AN382,'3.1. Gas prod VF'!AN383,'3.1. Gas prod VF'!AN384,'3.1. Gas prod VF'!AN474,'3.1. Gas prod VF'!AN475,'3.1. Gas prod VF'!AN476)</f>
        <v>8.5211150681331702</v>
      </c>
      <c r="V73" s="314">
        <f>_xlfn.STDEV.S('3.1. Gas prod VF'!AO382,'3.1. Gas prod VF'!AO383,'3.1. Gas prod VF'!AO384,'3.1. Gas prod VF'!AO474,'3.1. Gas prod VF'!AO475,'3.1. Gas prod VF'!AO476)</f>
        <v>0.68755126775743569</v>
      </c>
      <c r="W73" s="314">
        <f>_xlfn.STDEV.S('3.1. Gas prod VF'!AP382,'3.1. Gas prod VF'!AP383,'3.1. Gas prod VF'!AP384,'3.1. Gas prod VF'!AP474,'3.1. Gas prod VF'!AP475,'3.1. Gas prod VF'!AP476)</f>
        <v>1.0186592495366962</v>
      </c>
      <c r="X73" s="314">
        <f>_xlfn.STDEV.S('3.1. Gas prod VF'!AQ382,'3.1. Gas prod VF'!AQ383,'3.1. Gas prod VF'!AQ384,'3.1. Gas prod VF'!AQ474,'3.1. Gas prod VF'!AQ475,'3.1. Gas prod VF'!AQ476)</f>
        <v>0.37236340300359438</v>
      </c>
      <c r="Y73" s="314">
        <f>_xlfn.STDEV.S('3.1. Gas prod VF'!AR382,'3.1. Gas prod VF'!AR383,'3.1. Gas prod VF'!AR384,'3.1. Gas prod VF'!AR474,'3.1. Gas prod VF'!AR475,'3.1. Gas prod VF'!AR476)</f>
        <v>1.1981130444362433</v>
      </c>
      <c r="Z73" s="314">
        <f>_xlfn.STDEV.S('3.1. Gas prod VF'!AS382,'3.1. Gas prod VF'!AS383,'3.1. Gas prod VF'!AS384,'3.1. Gas prod VF'!AS474,'3.1. Gas prod VF'!AS475,'3.1. Gas prod VF'!AS476)</f>
        <v>22.49662461162341</v>
      </c>
      <c r="AA73" s="314">
        <f>_xlfn.STDEV.S('3.1. Gas prod VF'!AT382,'3.1. Gas prod VF'!AT383,'3.1. Gas prod VF'!AT384,'3.1. Gas prod VF'!AT474,'3.1. Gas prod VF'!AT475,'3.1. Gas prod VF'!AT476)</f>
        <v>4.6101895562090371</v>
      </c>
      <c r="AB73" s="314">
        <f>_xlfn.STDEV.S('3.1. Gas prod VF'!AU382,'3.1. Gas prod VF'!AU383,'3.1. Gas prod VF'!AU384,'3.1. Gas prod VF'!AU474,'3.1. Gas prod VF'!AU475,'3.1. Gas prod VF'!AU476)</f>
        <v>0.66497346826149983</v>
      </c>
      <c r="AC73" s="314">
        <f>_xlfn.STDEV.S('3.1. Gas prod VF'!AV382,'3.1. Gas prod VF'!AV383,'3.1. Gas prod VF'!AV384,'3.1. Gas prod VF'!AV474,'3.1. Gas prod VF'!AV475,'3.1. Gas prod VF'!AV476)</f>
        <v>12.486015874409663</v>
      </c>
      <c r="AD73" s="20"/>
      <c r="AE73" s="20"/>
    </row>
    <row r="74" spans="2:31" s="65" customFormat="1" x14ac:dyDescent="0.35">
      <c r="B74" s="62">
        <f>'1. Information samples'!B74</f>
        <v>64</v>
      </c>
      <c r="C74" s="198">
        <f>'1. Information samples'!C74</f>
        <v>46048</v>
      </c>
      <c r="D74" s="62" t="str">
        <f>'1. Information samples'!D74</f>
        <v>Genbank</v>
      </c>
      <c r="E74" s="316">
        <f>'1. Information samples'!E74</f>
        <v>28</v>
      </c>
      <c r="F74" s="62" t="str">
        <f>'1. Information samples'!F74</f>
        <v>F252575</v>
      </c>
      <c r="G74" s="62" t="str">
        <f>'1. Information samples'!G74</f>
        <v>CIAT415</v>
      </c>
      <c r="H74" s="62" t="str">
        <f>'1. Information samples'!H74</f>
        <v>Vigna</v>
      </c>
      <c r="I74" s="62" t="str">
        <f>'1. Information samples'!I74</f>
        <v>radiata</v>
      </c>
      <c r="J74" s="62" t="str">
        <f>'1. Information samples'!J74</f>
        <v>Vigna radiata</v>
      </c>
      <c r="K74" s="62" t="str">
        <f>'1. Information samples'!K74</f>
        <v>Fabaceae</v>
      </c>
      <c r="L74" s="62" t="str">
        <f>'1. Information samples'!L74</f>
        <v>Fabales</v>
      </c>
      <c r="M74" s="62" t="str">
        <f>'1. Information samples'!M74</f>
        <v>Herbaceous</v>
      </c>
      <c r="N74" s="314" cm="1">
        <f t="array" ref="N74">_xlfn.STDEV.S(IF(('3.1. Gas prod VF'!$L$13:$L$1230=$F74) *('3.1. Gas prod VF'!$M$13:$M$1230=$E74),'3.1. Gas prod VF'!$AG$13:$AG$1230))</f>
        <v>3.3422002729346603</v>
      </c>
      <c r="O74" s="314" cm="1">
        <f t="array" ref="O74">_xlfn.STDEV.S(IF(('3.1. Gas prod VF'!$L$13:$L$1230=$F74) *('3.1. Gas prod VF'!$M$13:$M$1230=$E74),'3.1. Gas prod VF'!$AH$13:$AH$1230))</f>
        <v>5.1686894007740642</v>
      </c>
      <c r="P74" s="314" cm="1">
        <f t="array" ref="P74">_xlfn.STDEV.S(IF(('3.1. Gas prod VF'!$L$13:$L$1230=$F74) *('3.1. Gas prod VF'!$M$13:$M$1230=$E74),'3.1. Gas prod VF'!$AI$13:$AI$1230))</f>
        <v>6.4392196325030895</v>
      </c>
      <c r="Q74" s="314" cm="1">
        <f t="array" ref="Q74">_xlfn.STDEV.S(IF(('3.1. Gas prod VF'!$L$13:$L$1230=$F74) *('3.1. Gas prod VF'!$M$13:$M$1230=$E74),'3.1. Gas prod VF'!$AJ$13:$AJ$1230))</f>
        <v>0.35164163364875106</v>
      </c>
      <c r="R74" s="314" cm="1">
        <f t="array" ref="R74">_xlfn.STDEV.S(IF(('3.1. Gas prod VF'!$L$13:$L$1230=$F74) *('3.1. Gas prod VF'!$M$13:$M$1230=$E74),'3.1. Gas prod VF'!$AK$13:$AK$1230))</f>
        <v>0.68222930602325849</v>
      </c>
      <c r="S74" s="314" cm="1">
        <f t="array" ref="S74">_xlfn.STDEV.S(IF(('3.1. Gas prod VF'!$L$13:$L$1230=$F74) *('3.1. Gas prod VF'!$M$13:$M$1230=$E74),'3.1. Gas prod VF'!$AL$13:$AL$1230))</f>
        <v>0.76030247008835183</v>
      </c>
      <c r="T74" s="314" cm="1">
        <f t="array" ref="T74">_xlfn.STDEV.S(IF(('3.1. Gas prod VF'!$L$13:$L$1230=$F74) *('3.1. Gas prod VF'!$M$13:$M$1230=$E74),'3.1. Gas prod VF'!$AM$13:$AM$1230))</f>
        <v>13.597659918446379</v>
      </c>
      <c r="U74" s="314" cm="1">
        <f t="array" ref="U74">_xlfn.STDEV.S(IF(('3.1. Gas prod VF'!$L$13:$L$1230=$F74) *('3.1. Gas prod VF'!$M$13:$M$1230=$E74),'3.1. Gas prod VF'!$AN$13:$AN$1230))</f>
        <v>7.1777302487954167</v>
      </c>
      <c r="V74" s="314" cm="1">
        <f t="array" ref="V74">_xlfn.STDEV.S(IF(('3.1. Gas prod VF'!$L$13:$L$1230=$F74) *('3.1. Gas prod VF'!$M$13:$M$1230=$E74),'3.1. Gas prod VF'!$AO$13:$AO$1230))</f>
        <v>0.56096285162532622</v>
      </c>
      <c r="W74" s="314" cm="1">
        <f t="array" ref="W74">_xlfn.STDEV.S(IF(('3.1. Gas prod VF'!$L$13:$L$1230=$F74) *('3.1. Gas prod VF'!$M$13:$M$1230=$E74),'3.1. Gas prod VF'!$AP$13:$AP$1230))</f>
        <v>0.3845219666769939</v>
      </c>
      <c r="X74" s="314" cm="1">
        <f t="array" ref="X74">_xlfn.STDEV.S(IF(('3.1. Gas prod VF'!$L$13:$L$1230=$F74) *('3.1. Gas prod VF'!$M$13:$M$1230=$E74),'3.1. Gas prod VF'!$AQ$13:$AQ$1230))</f>
        <v>0.39778385791553339</v>
      </c>
      <c r="Y74" s="314" cm="1">
        <f t="array" ref="Y74">_xlfn.STDEV.S(IF(('3.1. Gas prod VF'!$L$13:$L$1230=$F74) *('3.1. Gas prod VF'!$M$13:$M$1230=$E74),'3.1. Gas prod VF'!$AR$13:$AR$1230))</f>
        <v>1.6270219877066581</v>
      </c>
      <c r="Z74" s="314" cm="1">
        <f t="array" ref="Z74">_xlfn.STDEV.S(IF(('3.1. Gas prod VF'!$L$13:$L$1230=$F74) *('3.1. Gas prod VF'!$M$13:$M$1230=$E74),'3.1. Gas prod VF'!$AS$13:$AS$1230))</f>
        <v>8.5727927825398389</v>
      </c>
      <c r="AA74" s="314" cm="1">
        <f t="array" ref="AA74">_xlfn.STDEV.S(IF(('3.1. Gas prod VF'!$L$13:$L$1230=$F74) *('3.1. Gas prod VF'!$M$13:$M$1230=$E74),'3.1. Gas prod VF'!$AT$13:$AT$1230))</f>
        <v>1.2116402969206859</v>
      </c>
      <c r="AB74" s="314" cm="1">
        <f t="array" ref="AB74">_xlfn.STDEV.S(IF(('3.1. Gas prod VF'!$L$13:$L$1230=$F74) *('3.1. Gas prod VF'!$M$13:$M$1230=$E74),'3.1. Gas prod VF'!$AU$13:$AU$1230))</f>
        <v>0.90302535234653136</v>
      </c>
      <c r="AC74" s="314" cm="1">
        <f t="array" ref="AC74">_xlfn.STDEV.S(IF(('3.1. Gas prod VF'!$L$13:$L$1230=$F74) *('3.1. Gas prod VF'!$M$13:$M$1230=$E74),'3.1. Gas prod VF'!$AU$13:$AV$1230))</f>
        <v>6.998026307768602</v>
      </c>
      <c r="AD74" s="20"/>
      <c r="AE74" s="20"/>
    </row>
    <row r="75" spans="2:31" s="65" customFormat="1" x14ac:dyDescent="0.35">
      <c r="B75" s="62">
        <f>'1. Information samples'!B75</f>
        <v>65</v>
      </c>
      <c r="C75" s="198">
        <f>'1. Information samples'!C75</f>
        <v>46048</v>
      </c>
      <c r="D75" s="62" t="str">
        <f>'1. Information samples'!D75</f>
        <v>Genbank</v>
      </c>
      <c r="E75" s="316">
        <f>'1. Information samples'!E75</f>
        <v>28</v>
      </c>
      <c r="F75" s="62" t="str">
        <f>'1. Information samples'!F75</f>
        <v>F252576</v>
      </c>
      <c r="G75" s="62" t="str">
        <f>'1. Information samples'!G75</f>
        <v>CIAT416</v>
      </c>
      <c r="H75" s="62" t="str">
        <f>'1. Information samples'!H75</f>
        <v>Vigna</v>
      </c>
      <c r="I75" s="62" t="str">
        <f>'1. Information samples'!I75</f>
        <v>radiata</v>
      </c>
      <c r="J75" s="62" t="str">
        <f>'1. Information samples'!J75</f>
        <v>Vigna radiata</v>
      </c>
      <c r="K75" s="62" t="str">
        <f>'1. Information samples'!K75</f>
        <v>Fabaceae</v>
      </c>
      <c r="L75" s="62" t="str">
        <f>'1. Information samples'!L75</f>
        <v>Fabales</v>
      </c>
      <c r="M75" s="62" t="str">
        <f>'1. Information samples'!M75</f>
        <v>Herbaceous</v>
      </c>
      <c r="N75" s="314" cm="1">
        <f t="array" ref="N75">_xlfn.STDEV.S(IF(('3.1. Gas prod VF'!$L$13:$L$1230=$F75) *('3.1. Gas prod VF'!$M$13:$M$1230=$E75),'3.1. Gas prod VF'!$AG$13:$AG$1230))</f>
        <v>1.9557407499785457</v>
      </c>
      <c r="O75" s="314" cm="1">
        <f t="array" ref="O75">_xlfn.STDEV.S(IF(('3.1. Gas prod VF'!$L$13:$L$1230=$F75) *('3.1. Gas prod VF'!$M$13:$M$1230=$E75),'3.1. Gas prod VF'!$AH$13:$AH$1230))</f>
        <v>1.2841004492081207</v>
      </c>
      <c r="P75" s="314" cm="1">
        <f t="array" ref="P75">_xlfn.STDEV.S(IF(('3.1. Gas prod VF'!$L$13:$L$1230=$F75) *('3.1. Gas prod VF'!$M$13:$M$1230=$E75),'3.1. Gas prod VF'!$AI$13:$AI$1230))</f>
        <v>2.282698428980579</v>
      </c>
      <c r="Q75" s="314" cm="1">
        <f t="array" ref="Q75">_xlfn.STDEV.S(IF(('3.1. Gas prod VF'!$L$13:$L$1230=$F75) *('3.1. Gas prod VF'!$M$13:$M$1230=$E75),'3.1. Gas prod VF'!$AJ$13:$AJ$1230))</f>
        <v>0.29598322439639541</v>
      </c>
      <c r="R75" s="314" cm="1">
        <f t="array" ref="R75">_xlfn.STDEV.S(IF(('3.1. Gas prod VF'!$L$13:$L$1230=$F75) *('3.1. Gas prod VF'!$M$13:$M$1230=$E75),'3.1. Gas prod VF'!$AK$13:$AK$1230))</f>
        <v>0.21859062178630667</v>
      </c>
      <c r="S75" s="314" cm="1">
        <f t="array" ref="S75">_xlfn.STDEV.S(IF(('3.1. Gas prod VF'!$L$13:$L$1230=$F75) *('3.1. Gas prod VF'!$M$13:$M$1230=$E75),'3.1. Gas prod VF'!$AL$13:$AL$1230))</f>
        <v>0.38338406472723779</v>
      </c>
      <c r="T75" s="314" cm="1">
        <f t="array" ref="T75">_xlfn.STDEV.S(IF(('3.1. Gas prod VF'!$L$13:$L$1230=$F75) *('3.1. Gas prod VF'!$M$13:$M$1230=$E75),'3.1. Gas prod VF'!$AM$13:$AM$1230))</f>
        <v>5.0264875234939961</v>
      </c>
      <c r="U75" s="314" cm="1">
        <f t="array" ref="U75">_xlfn.STDEV.S(IF(('3.1. Gas prod VF'!$L$13:$L$1230=$F75) *('3.1. Gas prod VF'!$M$13:$M$1230=$E75),'3.1. Gas prod VF'!$AN$13:$AN$1230))</f>
        <v>7.0513904945656121</v>
      </c>
      <c r="V75" s="314" cm="1">
        <f t="array" ref="V75">_xlfn.STDEV.S(IF(('3.1. Gas prod VF'!$L$13:$L$1230=$F75) *('3.1. Gas prod VF'!$M$13:$M$1230=$E75),'3.1. Gas prod VF'!$AO$13:$AO$1230))</f>
        <v>0.36746602914479881</v>
      </c>
      <c r="W75" s="314" cm="1">
        <f t="array" ref="W75">_xlfn.STDEV.S(IF(('3.1. Gas prod VF'!$L$13:$L$1230=$F75) *('3.1. Gas prod VF'!$M$13:$M$1230=$E75),'3.1. Gas prod VF'!$AP$13:$AP$1230))</f>
        <v>0.36547425158474345</v>
      </c>
      <c r="X75" s="314" cm="1">
        <f t="array" ref="X75">_xlfn.STDEV.S(IF(('3.1. Gas prod VF'!$L$13:$L$1230=$F75) *('3.1. Gas prod VF'!$M$13:$M$1230=$E75),'3.1. Gas prod VF'!$AQ$13:$AQ$1230))</f>
        <v>0.14661740379284083</v>
      </c>
      <c r="Y75" s="314" cm="1">
        <f t="array" ref="Y75">_xlfn.STDEV.S(IF(('3.1. Gas prod VF'!$L$13:$L$1230=$F75) *('3.1. Gas prod VF'!$M$13:$M$1230=$E75),'3.1. Gas prod VF'!$AR$13:$AR$1230))</f>
        <v>0.84224959201364558</v>
      </c>
      <c r="Z75" s="314" cm="1">
        <f t="array" ref="Z75">_xlfn.STDEV.S(IF(('3.1. Gas prod VF'!$L$13:$L$1230=$F75) *('3.1. Gas prod VF'!$M$13:$M$1230=$E75),'3.1. Gas prod VF'!$AS$13:$AS$1230))</f>
        <v>7.56257097790989</v>
      </c>
      <c r="AA75" s="314" cm="1">
        <f t="array" ref="AA75">_xlfn.STDEV.S(IF(('3.1. Gas prod VF'!$L$13:$L$1230=$F75) *('3.1. Gas prod VF'!$M$13:$M$1230=$E75),'3.1. Gas prod VF'!$AT$13:$AT$1230))</f>
        <v>37.021000713019625</v>
      </c>
      <c r="AB75" s="314" cm="1">
        <f t="array" ref="AB75">_xlfn.STDEV.S(IF(('3.1. Gas prod VF'!$L$13:$L$1230=$F75) *('3.1. Gas prod VF'!$M$13:$M$1230=$E75),'3.1. Gas prod VF'!$AU$13:$AU$1230))</f>
        <v>0.46746309535982222</v>
      </c>
      <c r="AC75" s="314" cm="1">
        <f t="array" ref="AC75">_xlfn.STDEV.S(IF(('3.1. Gas prod VF'!$L$13:$L$1230=$F75) *('3.1. Gas prod VF'!$M$13:$M$1230=$E75),'3.1. Gas prod VF'!$AU$13:$AV$1230))</f>
        <v>7.0216069451719232</v>
      </c>
      <c r="AD75" s="20"/>
      <c r="AE75" s="20"/>
    </row>
    <row r="76" spans="2:31" s="65" customFormat="1" x14ac:dyDescent="0.35">
      <c r="B76" s="62">
        <f>'1. Information samples'!B76</f>
        <v>66</v>
      </c>
      <c r="C76" s="198">
        <f>'1. Information samples'!C76</f>
        <v>46048</v>
      </c>
      <c r="D76" s="62" t="str">
        <f>'1. Information samples'!D76</f>
        <v>Genbank</v>
      </c>
      <c r="E76" s="316">
        <f>'1. Information samples'!E76</f>
        <v>28</v>
      </c>
      <c r="F76" s="62" t="str">
        <f>'1. Information samples'!F76</f>
        <v>F252577</v>
      </c>
      <c r="G76" s="62" t="str">
        <f>'1. Information samples'!G76</f>
        <v>CIAT517</v>
      </c>
      <c r="H76" s="62" t="str">
        <f>'1. Information samples'!H76</f>
        <v>Macroptilium</v>
      </c>
      <c r="I76" s="62" t="str">
        <f>'1. Information samples'!I76</f>
        <v>atropurpureum</v>
      </c>
      <c r="J76" s="62" t="str">
        <f>'1. Information samples'!J76</f>
        <v>Macroptilium atropurpureum</v>
      </c>
      <c r="K76" s="62" t="str">
        <f>'1. Information samples'!K76</f>
        <v>Fabaceae</v>
      </c>
      <c r="L76" s="62" t="str">
        <f>'1. Information samples'!L76</f>
        <v>Fabales</v>
      </c>
      <c r="M76" s="62" t="str">
        <f>'1. Information samples'!M76</f>
        <v>Herbaceous</v>
      </c>
      <c r="N76" s="314" cm="1">
        <f t="array" ref="N76">_xlfn.STDEV.S(IF(('3.1. Gas prod VF'!$L$13:$L$1230=$F76) *('3.1. Gas prod VF'!$M$13:$M$1230=$E76),'3.1. Gas prod VF'!$AG$13:$AG$1230))</f>
        <v>1.422872060000075</v>
      </c>
      <c r="O76" s="314" cm="1">
        <f t="array" ref="O76">_xlfn.STDEV.S(IF(('3.1. Gas prod VF'!$L$13:$L$1230=$F76) *('3.1. Gas prod VF'!$M$13:$M$1230=$E76),'3.1. Gas prod VF'!$AH$13:$AH$1230))</f>
        <v>3.5699216143893215</v>
      </c>
      <c r="P76" s="314" cm="1">
        <f t="array" ref="P76">_xlfn.STDEV.S(IF(('3.1. Gas prod VF'!$L$13:$L$1230=$F76) *('3.1. Gas prod VF'!$M$13:$M$1230=$E76),'3.1. Gas prod VF'!$AI$13:$AI$1230))</f>
        <v>4.3096074588648516</v>
      </c>
      <c r="Q76" s="314" cm="1">
        <f t="array" ref="Q76">_xlfn.STDEV.S(IF(('3.1. Gas prod VF'!$L$13:$L$1230=$F76) *('3.1. Gas prod VF'!$M$13:$M$1230=$E76),'3.1. Gas prod VF'!$AJ$13:$AJ$1230))</f>
        <v>0.18605546340104528</v>
      </c>
      <c r="R76" s="314" cm="1">
        <f t="array" ref="R76">_xlfn.STDEV.S(IF(('3.1. Gas prod VF'!$L$13:$L$1230=$F76) *('3.1. Gas prod VF'!$M$13:$M$1230=$E76),'3.1. Gas prod VF'!$AK$13:$AK$1230))</f>
        <v>0.4326804862451491</v>
      </c>
      <c r="S76" s="314" cm="1">
        <f t="array" ref="S76">_xlfn.STDEV.S(IF(('3.1. Gas prod VF'!$L$13:$L$1230=$F76) *('3.1. Gas prod VF'!$M$13:$M$1230=$E76),'3.1. Gas prod VF'!$AL$13:$AL$1230))</f>
        <v>0.52842861163306099</v>
      </c>
      <c r="T76" s="314" cm="1">
        <f t="array" ref="T76">_xlfn.STDEV.S(IF(('3.1. Gas prod VF'!$L$13:$L$1230=$F76) *('3.1. Gas prod VF'!$M$13:$M$1230=$E76),'3.1. Gas prod VF'!$AM$13:$AM$1230))</f>
        <v>9.4258425313922718</v>
      </c>
      <c r="U76" s="314" cm="1">
        <f t="array" ref="U76">_xlfn.STDEV.S(IF(('3.1. Gas prod VF'!$L$13:$L$1230=$F76) *('3.1. Gas prod VF'!$M$13:$M$1230=$E76),'3.1. Gas prod VF'!$AN$13:$AN$1230))</f>
        <v>6.3914432648662647</v>
      </c>
      <c r="V76" s="314" cm="1">
        <f t="array" ref="V76">_xlfn.STDEV.S(IF(('3.1. Gas prod VF'!$L$13:$L$1230=$F76) *('3.1. Gas prod VF'!$M$13:$M$1230=$E76),'3.1. Gas prod VF'!$AO$13:$AO$1230))</f>
        <v>0.44450247949817101</v>
      </c>
      <c r="W76" s="314" cm="1">
        <f t="array" ref="W76">_xlfn.STDEV.S(IF(('3.1. Gas prod VF'!$L$13:$L$1230=$F76) *('3.1. Gas prod VF'!$M$13:$M$1230=$E76),'3.1. Gas prod VF'!$AP$13:$AP$1230))</f>
        <v>0.22519832529192102</v>
      </c>
      <c r="X76" s="314" cm="1">
        <f t="array" ref="X76">_xlfn.STDEV.S(IF(('3.1. Gas prod VF'!$L$13:$L$1230=$F76) *('3.1. Gas prod VF'!$M$13:$M$1230=$E76),'3.1. Gas prod VF'!$AQ$13:$AQ$1230))</f>
        <v>0.25771717587377563</v>
      </c>
      <c r="Y76" s="314" cm="1">
        <f t="array" ref="Y76">_xlfn.STDEV.S(IF(('3.1. Gas prod VF'!$L$13:$L$1230=$F76) *('3.1. Gas prod VF'!$M$13:$M$1230=$E76),'3.1. Gas prod VF'!$AR$13:$AR$1230))</f>
        <v>1.1555035002718568</v>
      </c>
      <c r="Z76" s="314" cm="1">
        <f t="array" ref="Z76">_xlfn.STDEV.S(IF(('3.1. Gas prod VF'!$L$13:$L$1230=$F76) *('3.1. Gas prod VF'!$M$13:$M$1230=$E76),'3.1. Gas prod VF'!$AS$13:$AS$1230))</f>
        <v>9.2110106167634402</v>
      </c>
      <c r="AA76" s="314" cm="1">
        <f t="array" ref="AA76">_xlfn.STDEV.S(IF(('3.1. Gas prod VF'!$L$13:$L$1230=$F76) *('3.1. Gas prod VF'!$M$13:$M$1230=$E76),'3.1. Gas prod VF'!$AT$13:$AT$1230))</f>
        <v>0.13891681033735195</v>
      </c>
      <c r="AB76" s="314" cm="1">
        <f t="array" ref="AB76">_xlfn.STDEV.S(IF(('3.1. Gas prod VF'!$L$13:$L$1230=$F76) *('3.1. Gas prod VF'!$M$13:$M$1230=$E76),'3.1. Gas prod VF'!$AU$13:$AU$1230))</f>
        <v>0.64132443406091977</v>
      </c>
      <c r="AC76" s="314" cm="1">
        <f t="array" ref="AC76">_xlfn.STDEV.S(IF(('3.1. Gas prod VF'!$L$13:$L$1230=$F76) *('3.1. Gas prod VF'!$M$13:$M$1230=$E76),'3.1. Gas prod VF'!$AU$13:$AV$1230))</f>
        <v>10.169231382293811</v>
      </c>
      <c r="AD76" s="20"/>
      <c r="AE76" s="20"/>
    </row>
    <row r="77" spans="2:31" s="65" customFormat="1" x14ac:dyDescent="0.35">
      <c r="B77" s="62">
        <f>'1. Information samples'!B77</f>
        <v>67</v>
      </c>
      <c r="C77" s="198">
        <f>'1. Information samples'!C77</f>
        <v>46048</v>
      </c>
      <c r="D77" s="62" t="str">
        <f>'1. Information samples'!D77</f>
        <v>Genbank</v>
      </c>
      <c r="E77" s="316">
        <f>'1. Information samples'!E77</f>
        <v>28</v>
      </c>
      <c r="F77" s="62" t="str">
        <f>'1. Information samples'!F77</f>
        <v>F252578</v>
      </c>
      <c r="G77" s="62" t="str">
        <f>'1. Information samples'!G77</f>
        <v>CIAT563</v>
      </c>
      <c r="H77" s="62" t="str">
        <f>'1. Information samples'!H77</f>
        <v>Macroptilium</v>
      </c>
      <c r="I77" s="62" t="str">
        <f>'1. Information samples'!I77</f>
        <v>bracteatum</v>
      </c>
      <c r="J77" s="62" t="str">
        <f>'1. Information samples'!J77</f>
        <v>Macroptilium bracteatum</v>
      </c>
      <c r="K77" s="62" t="str">
        <f>'1. Information samples'!K77</f>
        <v>Fabaceae</v>
      </c>
      <c r="L77" s="62" t="str">
        <f>'1. Information samples'!L77</f>
        <v>Fabales</v>
      </c>
      <c r="M77" s="62" t="str">
        <f>'1. Information samples'!M77</f>
        <v>Herbaceous</v>
      </c>
      <c r="N77" s="314" cm="1">
        <f t="array" ref="N77">_xlfn.STDEV.S(IF(('3.1. Gas prod VF'!$L$13:$L$1230=$F77) *('3.1. Gas prod VF'!$M$13:$M$1230=$E77),'3.1. Gas prod VF'!$AG$13:$AG$1230))</f>
        <v>1.4750043579136196</v>
      </c>
      <c r="O77" s="314" cm="1">
        <f t="array" ref="O77">_xlfn.STDEV.S(IF(('3.1. Gas prod VF'!$L$13:$L$1230=$F77) *('3.1. Gas prod VF'!$M$13:$M$1230=$E77),'3.1. Gas prod VF'!$AH$13:$AH$1230))</f>
        <v>2.3648541014591205</v>
      </c>
      <c r="P77" s="314" cm="1">
        <f t="array" ref="P77">_xlfn.STDEV.S(IF(('3.1. Gas prod VF'!$L$13:$L$1230=$F77) *('3.1. Gas prod VF'!$M$13:$M$1230=$E77),'3.1. Gas prod VF'!$AI$13:$AI$1230))</f>
        <v>1.9543900058103589</v>
      </c>
      <c r="Q77" s="314" cm="1">
        <f t="array" ref="Q77">_xlfn.STDEV.S(IF(('3.1. Gas prod VF'!$L$13:$L$1230=$F77) *('3.1. Gas prod VF'!$M$13:$M$1230=$E77),'3.1. Gas prod VF'!$AJ$13:$AJ$1230))</f>
        <v>0.24376448615866403</v>
      </c>
      <c r="R77" s="314" cm="1">
        <f t="array" ref="R77">_xlfn.STDEV.S(IF(('3.1. Gas prod VF'!$L$13:$L$1230=$F77) *('3.1. Gas prod VF'!$M$13:$M$1230=$E77),'3.1. Gas prod VF'!$AK$13:$AK$1230))</f>
        <v>0.27824406216463859</v>
      </c>
      <c r="S77" s="314" cm="1">
        <f t="array" ref="S77">_xlfn.STDEV.S(IF(('3.1. Gas prod VF'!$L$13:$L$1230=$F77) *('3.1. Gas prod VF'!$M$13:$M$1230=$E77),'3.1. Gas prod VF'!$AL$13:$AL$1230))</f>
        <v>0.29604079503823316</v>
      </c>
      <c r="T77" s="314" cm="1">
        <f t="array" ref="T77">_xlfn.STDEV.S(IF(('3.1. Gas prod VF'!$L$13:$L$1230=$F77) *('3.1. Gas prod VF'!$M$13:$M$1230=$E77),'3.1. Gas prod VF'!$AM$13:$AM$1230))</f>
        <v>4.1954336113644475</v>
      </c>
      <c r="U77" s="314" cm="1">
        <f t="array" ref="U77">_xlfn.STDEV.S(IF(('3.1. Gas prod VF'!$L$13:$L$1230=$F77) *('3.1. Gas prod VF'!$M$13:$M$1230=$E77),'3.1. Gas prod VF'!$AN$13:$AN$1230))</f>
        <v>6.4811829057709556</v>
      </c>
      <c r="V77" s="314" cm="1">
        <f t="array" ref="V77">_xlfn.STDEV.S(IF(('3.1. Gas prod VF'!$L$13:$L$1230=$F77) *('3.1. Gas prod VF'!$M$13:$M$1230=$E77),'3.1. Gas prod VF'!$AO$13:$AO$1230))</f>
        <v>0.41425715413991332</v>
      </c>
      <c r="W77" s="314" cm="1">
        <f t="array" ref="W77">_xlfn.STDEV.S(IF(('3.1. Gas prod VF'!$L$13:$L$1230=$F77) *('3.1. Gas prod VF'!$M$13:$M$1230=$E77),'3.1. Gas prod VF'!$AP$13:$AP$1230))</f>
        <v>0.51944338341288798</v>
      </c>
      <c r="X77" s="314" cm="1">
        <f t="array" ref="X77">_xlfn.STDEV.S(IF(('3.1. Gas prod VF'!$L$13:$L$1230=$F77) *('3.1. Gas prod VF'!$M$13:$M$1230=$E77),'3.1. Gas prod VF'!$AQ$13:$AQ$1230))</f>
        <v>0.34355066805809442</v>
      </c>
      <c r="Y77" s="314" cm="1">
        <f t="array" ref="Y77">_xlfn.STDEV.S(IF(('3.1. Gas prod VF'!$L$13:$L$1230=$F77) *('3.1. Gas prod VF'!$M$13:$M$1230=$E77),'3.1. Gas prod VF'!$AR$13:$AR$1230))</f>
        <v>0.63665248595885304</v>
      </c>
      <c r="Z77" s="314" cm="1">
        <f t="array" ref="Z77">_xlfn.STDEV.S(IF(('3.1. Gas prod VF'!$L$13:$L$1230=$F77) *('3.1. Gas prod VF'!$M$13:$M$1230=$E77),'3.1. Gas prod VF'!$AS$13:$AS$1230))</f>
        <v>10.553593094857579</v>
      </c>
      <c r="AA77" s="314" cm="1">
        <f t="array" ref="AA77">_xlfn.STDEV.S(IF(('3.1. Gas prod VF'!$L$13:$L$1230=$F77) *('3.1. Gas prod VF'!$M$13:$M$1230=$E77),'3.1. Gas prod VF'!$AT$13:$AT$1230))</f>
        <v>2.2361962550637076</v>
      </c>
      <c r="AB77" s="314" cm="1">
        <f t="array" ref="AB77">_xlfn.STDEV.S(IF(('3.1. Gas prod VF'!$L$13:$L$1230=$F77) *('3.1. Gas prod VF'!$M$13:$M$1230=$E77),'3.1. Gas prod VF'!$AU$13:$AU$1230))</f>
        <v>0.35335314445605481</v>
      </c>
      <c r="AC77" s="314" cm="1">
        <f t="array" ref="AC77">_xlfn.STDEV.S(IF(('3.1. Gas prod VF'!$L$13:$L$1230=$F77) *('3.1. Gas prod VF'!$M$13:$M$1230=$E77),'3.1. Gas prod VF'!$AU$13:$AV$1230))</f>
        <v>10.051958416157129</v>
      </c>
      <c r="AD77" s="20"/>
      <c r="AE77" s="20"/>
    </row>
    <row r="78" spans="2:31" s="65" customFormat="1" x14ac:dyDescent="0.35">
      <c r="B78" s="62">
        <f>'1. Information samples'!B78</f>
        <v>68</v>
      </c>
      <c r="C78" s="198">
        <f>'1. Information samples'!C78</f>
        <v>46048</v>
      </c>
      <c r="D78" s="62" t="str">
        <f>'1. Information samples'!D78</f>
        <v>Genbank</v>
      </c>
      <c r="E78" s="316">
        <f>'1. Information samples'!E78</f>
        <v>28</v>
      </c>
      <c r="F78" s="62" t="str">
        <f>'1. Information samples'!F78</f>
        <v>F252579</v>
      </c>
      <c r="G78" s="62" t="str">
        <f>'1. Information samples'!G78</f>
        <v>CIAT789</v>
      </c>
      <c r="H78" s="62" t="str">
        <f>'1. Information samples'!H78</f>
        <v>Zornia</v>
      </c>
      <c r="I78" s="62" t="str">
        <f>'1. Information samples'!I78</f>
        <v>latifolia</v>
      </c>
      <c r="J78" s="62" t="str">
        <f>'1. Information samples'!J78</f>
        <v>Zornia latifolia</v>
      </c>
      <c r="K78" s="62" t="str">
        <f>'1. Information samples'!K78</f>
        <v>Fabaceae</v>
      </c>
      <c r="L78" s="62" t="str">
        <f>'1. Information samples'!L78</f>
        <v>Fabales</v>
      </c>
      <c r="M78" s="62" t="str">
        <f>'1. Information samples'!M78</f>
        <v>Herbaceous</v>
      </c>
      <c r="N78" s="314" cm="1">
        <f t="array" ref="N78">_xlfn.STDEV.S(IF(('3.1. Gas prod VF'!$L$13:$L$1230=$F78) *('3.1. Gas prod VF'!$M$13:$M$1230=$E78),'3.1. Gas prod VF'!$AG$13:$AG$1230))</f>
        <v>4.747131583717354</v>
      </c>
      <c r="O78" s="314" cm="1">
        <f t="array" ref="O78">_xlfn.STDEV.S(IF(('3.1. Gas prod VF'!$L$13:$L$1230=$F78) *('3.1. Gas prod VF'!$M$13:$M$1230=$E78),'3.1. Gas prod VF'!$AH$13:$AH$1230))</f>
        <v>1.5657424823159491</v>
      </c>
      <c r="P78" s="314" cm="1">
        <f t="array" ref="P78">_xlfn.STDEV.S(IF(('3.1. Gas prod VF'!$L$13:$L$1230=$F78) *('3.1. Gas prod VF'!$M$13:$M$1230=$E78),'3.1. Gas prod VF'!$AI$13:$AI$1230))</f>
        <v>4.691108170057829</v>
      </c>
      <c r="Q78" s="314" cm="1">
        <f t="array" ref="Q78">_xlfn.STDEV.S(IF(('3.1. Gas prod VF'!$L$13:$L$1230=$F78) *('3.1. Gas prod VF'!$M$13:$M$1230=$E78),'3.1. Gas prod VF'!$AJ$13:$AJ$1230))</f>
        <v>0.711273533166768</v>
      </c>
      <c r="R78" s="314" cm="1">
        <f t="array" ref="R78">_xlfn.STDEV.S(IF(('3.1. Gas prod VF'!$L$13:$L$1230=$F78) *('3.1. Gas prod VF'!$M$13:$M$1230=$E78),'3.1. Gas prod VF'!$AK$13:$AK$1230))</f>
        <v>0.27662327966322026</v>
      </c>
      <c r="S78" s="314" cm="1">
        <f t="array" ref="S78">_xlfn.STDEV.S(IF(('3.1. Gas prod VF'!$L$13:$L$1230=$F78) *('3.1. Gas prod VF'!$M$13:$M$1230=$E78),'3.1. Gas prod VF'!$AL$13:$AL$1230))</f>
        <v>0.64194995555675249</v>
      </c>
      <c r="T78" s="314" cm="1">
        <f t="array" ref="T78">_xlfn.STDEV.S(IF(('3.1. Gas prod VF'!$L$13:$L$1230=$F78) *('3.1. Gas prod VF'!$M$13:$M$1230=$E78),'3.1. Gas prod VF'!$AM$13:$AM$1230))</f>
        <v>10.580247604821762</v>
      </c>
      <c r="U78" s="314" cm="1">
        <f t="array" ref="U78">_xlfn.STDEV.S(IF(('3.1. Gas prod VF'!$L$13:$L$1230=$F78) *('3.1. Gas prod VF'!$M$13:$M$1230=$E78),'3.1. Gas prod VF'!$AN$13:$AN$1230))</f>
        <v>9.7372216039671979</v>
      </c>
      <c r="V78" s="314" cm="1">
        <f t="array" ref="V78">_xlfn.STDEV.S(IF(('3.1. Gas prod VF'!$L$13:$L$1230=$F78) *('3.1. Gas prod VF'!$M$13:$M$1230=$E78),'3.1. Gas prod VF'!$AO$13:$AO$1230))</f>
        <v>0.46892326739198398</v>
      </c>
      <c r="W78" s="314" cm="1">
        <f t="array" ref="W78">_xlfn.STDEV.S(IF(('3.1. Gas prod VF'!$L$13:$L$1230=$F78) *('3.1. Gas prod VF'!$M$13:$M$1230=$E78),'3.1. Gas prod VF'!$AP$13:$AP$1230))</f>
        <v>0.34641016151377529</v>
      </c>
      <c r="X78" s="314" cm="1">
        <f t="array" ref="X78">_xlfn.STDEV.S(IF(('3.1. Gas prod VF'!$L$13:$L$1230=$F78) *('3.1. Gas prod VF'!$M$13:$M$1230=$E78),'3.1. Gas prod VF'!$AQ$13:$AQ$1230))</f>
        <v>0.16319044118354109</v>
      </c>
      <c r="Y78" s="314" cm="1">
        <f t="array" ref="Y78">_xlfn.STDEV.S(IF(('3.1. Gas prod VF'!$L$13:$L$1230=$F78) *('3.1. Gas prod VF'!$M$13:$M$1230=$E78),'3.1. Gas prod VF'!$AR$13:$AR$1230))</f>
        <v>1.4480369269259334</v>
      </c>
      <c r="Z78" s="314" cm="1">
        <f t="array" ref="Z78">_xlfn.STDEV.S(IF(('3.1. Gas prod VF'!$L$13:$L$1230=$F78) *('3.1. Gas prod VF'!$M$13:$M$1230=$E78),'3.1. Gas prod VF'!$AS$13:$AS$1230))</f>
        <v>28.835631655597016</v>
      </c>
      <c r="AA78" s="314" cm="1">
        <f t="array" ref="AA78">_xlfn.STDEV.S(IF(('3.1. Gas prod VF'!$L$13:$L$1230=$F78) *('3.1. Gas prod VF'!$M$13:$M$1230=$E78),'3.1. Gas prod VF'!$AT$13:$AT$1230))</f>
        <v>1.650167935022683</v>
      </c>
      <c r="AB78" s="314" cm="1">
        <f t="array" ref="AB78">_xlfn.STDEV.S(IF(('3.1. Gas prod VF'!$L$13:$L$1230=$F78) *('3.1. Gas prod VF'!$M$13:$M$1230=$E78),'3.1. Gas prod VF'!$AU$13:$AU$1230))</f>
        <v>0.80368554698588157</v>
      </c>
      <c r="AC78" s="314" cm="1">
        <f t="array" ref="AC78">_xlfn.STDEV.S(IF(('3.1. Gas prod VF'!$L$13:$L$1230=$F78) *('3.1. Gas prod VF'!$M$13:$M$1230=$E78),'3.1. Gas prod VF'!$AU$13:$AV$1230))</f>
        <v>18.593900616624289</v>
      </c>
      <c r="AD78" s="20"/>
      <c r="AE78" s="20"/>
    </row>
    <row r="79" spans="2:31" s="65" customFormat="1" x14ac:dyDescent="0.35">
      <c r="B79" s="62">
        <f>'1. Information samples'!B79</f>
        <v>69</v>
      </c>
      <c r="C79" s="198">
        <f>'1. Information samples'!C79</f>
        <v>46048</v>
      </c>
      <c r="D79" s="62" t="str">
        <f>'1. Information samples'!D79</f>
        <v>Genbank</v>
      </c>
      <c r="E79" s="316">
        <f>'1. Information samples'!E79</f>
        <v>28</v>
      </c>
      <c r="F79" s="62" t="str">
        <f>'1. Information samples'!F79</f>
        <v>F252580</v>
      </c>
      <c r="G79" s="62" t="str">
        <f>'1. Information samples'!G79</f>
        <v>CIAT2085</v>
      </c>
      <c r="H79" s="62" t="str">
        <f>'1. Information samples'!H79</f>
        <v>Stylosanthes</v>
      </c>
      <c r="I79" s="62" t="str">
        <f>'1. Information samples'!I79</f>
        <v>seabrana</v>
      </c>
      <c r="J79" s="62" t="str">
        <f>'1. Information samples'!J79</f>
        <v>Stylosanthes seabrana</v>
      </c>
      <c r="K79" s="62" t="str">
        <f>'1. Information samples'!K79</f>
        <v>Fabaceae</v>
      </c>
      <c r="L79" s="62" t="str">
        <f>'1. Information samples'!L79</f>
        <v>Fabales</v>
      </c>
      <c r="M79" s="62" t="str">
        <f>'1. Information samples'!M79</f>
        <v>Herbaceous</v>
      </c>
      <c r="N79" s="314">
        <f>_xlfn.STDEV.S('3.1. Gas prod VF'!AG402,'3.1. Gas prod VF'!AG403,'3.1. Gas prod VF'!AG404,'3.1. Gas prod VF'!AG583,'3.1. Gas prod VF'!AG585,'3.1. Gas prod VF'!AG739)</f>
        <v>2.4266395796815567</v>
      </c>
      <c r="O79" s="314">
        <f>_xlfn.STDEV.S('3.1. Gas prod VF'!AH402,'3.1. Gas prod VF'!AH403,'3.1. Gas prod VF'!AH404,'3.1. Gas prod VF'!AH583,'3.1. Gas prod VF'!AH585,'3.1. Gas prod VF'!AH739)</f>
        <v>2.7761752379451585</v>
      </c>
      <c r="P79" s="314">
        <f>_xlfn.STDEV.S('3.1. Gas prod VF'!AI402,'3.1. Gas prod VF'!AI403,'3.1. Gas prod VF'!AI404,'3.1. Gas prod VF'!AI583,'3.1. Gas prod VF'!AI585,'3.1. Gas prod VF'!AI739)</f>
        <v>3.0987983548436873</v>
      </c>
      <c r="Q79" s="314">
        <f>_xlfn.STDEV.S('3.1. Gas prod VF'!AJ402,'3.1. Gas prod VF'!AJ403,'3.1. Gas prod VF'!AJ404,'3.1. Gas prod VF'!AJ583,'3.1. Gas prod VF'!AJ585,'3.1. Gas prod VF'!AJ739)</f>
        <v>0.32386136563778217</v>
      </c>
      <c r="R79" s="314">
        <f>_xlfn.STDEV.S('3.1. Gas prod VF'!AK402,'3.1. Gas prod VF'!AK403,'3.1. Gas prod VF'!AK404,'3.1. Gas prod VF'!AK583,'3.1. Gas prod VF'!AK585,'3.1. Gas prod VF'!AK739)</f>
        <v>0.28746721788615842</v>
      </c>
      <c r="S79" s="314">
        <f>_xlfn.STDEV.S('3.1. Gas prod VF'!AL402,'3.1. Gas prod VF'!AL403,'3.1. Gas prod VF'!AL404,'3.1. Gas prod VF'!AL583,'3.1. Gas prod VF'!AL585,'3.1. Gas prod VF'!AL739)</f>
        <v>0.37071102406118089</v>
      </c>
      <c r="T79" s="314">
        <f>_xlfn.STDEV.S('3.1. Gas prod VF'!AM402,'3.1. Gas prod VF'!AM403,'3.1. Gas prod VF'!AM404,'3.1. Gas prod VF'!AM583,'3.1. Gas prod VF'!AM585,'3.1. Gas prod VF'!AM739)</f>
        <v>6.7420228136411167</v>
      </c>
      <c r="U79" s="314">
        <f>_xlfn.STDEV.S('3.1. Gas prod VF'!AN402,'3.1. Gas prod VF'!AN403,'3.1. Gas prod VF'!AN404,'3.1. Gas prod VF'!AN583,'3.1. Gas prod VF'!AN585,'3.1. Gas prod VF'!AN739)</f>
        <v>2.605188048871887</v>
      </c>
      <c r="V79" s="314">
        <f>_xlfn.STDEV.S('3.1. Gas prod VF'!AO402,'3.1. Gas prod VF'!AO403,'3.1. Gas prod VF'!AO404,'3.1. Gas prod VF'!AO583,'3.1. Gas prod VF'!AO585,'3.1. Gas prod VF'!AO739)</f>
        <v>0.17527531751740974</v>
      </c>
      <c r="W79" s="314">
        <f>_xlfn.STDEV.S('3.1. Gas prod VF'!AP402,'3.1. Gas prod VF'!AP403,'3.1. Gas prod VF'!AP404,'3.1. Gas prod VF'!AP583,'3.1. Gas prod VF'!AP585,'3.1. Gas prod VF'!AP739)</f>
        <v>0.32041639575194453</v>
      </c>
      <c r="X79" s="314">
        <f>_xlfn.STDEV.S('3.1. Gas prod VF'!AQ402,'3.1. Gas prod VF'!AQ403,'3.1. Gas prod VF'!AQ404,'3.1. Gas prod VF'!AQ583,'3.1. Gas prod VF'!AQ585,'3.1. Gas prod VF'!AQ739)</f>
        <v>0.21985046801831415</v>
      </c>
      <c r="Y79" s="314">
        <f>_xlfn.STDEV.S('3.1. Gas prod VF'!AR402,'3.1. Gas prod VF'!AR403,'3.1. Gas prod VF'!AR404,'3.1. Gas prod VF'!AR583,'3.1. Gas prod VF'!AR585,'3.1. Gas prod VF'!AR739)</f>
        <v>0.80660222236910406</v>
      </c>
      <c r="Z79" s="314">
        <f>_xlfn.STDEV.S('3.1. Gas prod VF'!AS402,'3.1. Gas prod VF'!AS403,'3.1. Gas prod VF'!AS404,'3.1. Gas prod VF'!AS583,'3.1. Gas prod VF'!AS585,'3.1. Gas prod VF'!AS739)</f>
        <v>5.0518156217630938</v>
      </c>
      <c r="AA79" s="314">
        <f>_xlfn.STDEV.S('3.1. Gas prod VF'!AT402,'3.1. Gas prod VF'!AT403,'3.1. Gas prod VF'!AT404,'3.1. Gas prod VF'!AT583,'3.1. Gas prod VF'!AT585,'3.1. Gas prod VF'!AT739)</f>
        <v>0.38535569911981071</v>
      </c>
      <c r="AB79" s="314">
        <f>_xlfn.STDEV.S('3.1. Gas prod VF'!AU402,'3.1. Gas prod VF'!AU403,'3.1. Gas prod VF'!AU404,'3.1. Gas prod VF'!AU583,'3.1. Gas prod VF'!AU585,'3.1. Gas prod VF'!AU739)</f>
        <v>0.44767818847060092</v>
      </c>
      <c r="AC79" s="314">
        <f>_xlfn.STDEV.S('3.1. Gas prod VF'!AV402,'3.1. Gas prod VF'!AV403,'3.1. Gas prod VF'!AV404,'3.1. Gas prod VF'!AV583,'3.1. Gas prod VF'!AV585,'3.1. Gas prod VF'!AV739)</f>
        <v>2.8038450717328671</v>
      </c>
      <c r="AD79" s="20"/>
      <c r="AE79" s="20"/>
    </row>
    <row r="80" spans="2:31" x14ac:dyDescent="0.35">
      <c r="B80" s="62">
        <f>'1. Information samples'!B80</f>
        <v>70</v>
      </c>
      <c r="C80" s="198">
        <f>'1. Information samples'!C80</f>
        <v>46048</v>
      </c>
      <c r="D80" s="62" t="str">
        <f>'1. Information samples'!D80</f>
        <v>Genbank</v>
      </c>
      <c r="E80" s="316">
        <f>'1. Information samples'!E80</f>
        <v>28</v>
      </c>
      <c r="F80" s="62" t="str">
        <f>'1. Information samples'!F80</f>
        <v>F252581</v>
      </c>
      <c r="G80" s="62" t="str">
        <f>'1. Information samples'!G80</f>
        <v>CIAT2690</v>
      </c>
      <c r="H80" s="62" t="str">
        <f>'1. Information samples'!H80</f>
        <v>Stylosanthes</v>
      </c>
      <c r="I80" s="62" t="str">
        <f>'1. Information samples'!I80</f>
        <v>angustifolia</v>
      </c>
      <c r="J80" s="62" t="str">
        <f>'1. Information samples'!J80</f>
        <v>Stylosanthes angustifolia</v>
      </c>
      <c r="K80" s="62" t="str">
        <f>'1. Information samples'!K80</f>
        <v>Fabaceae</v>
      </c>
      <c r="L80" s="62" t="str">
        <f>'1. Information samples'!L80</f>
        <v>Fabales</v>
      </c>
      <c r="M80" s="62" t="str">
        <f>'1. Information samples'!M80</f>
        <v>Herbaceous</v>
      </c>
      <c r="N80" s="314" cm="1">
        <f t="array" ref="N80">_xlfn.STDEV.S(IF(('3.1. Gas prod VF'!$L$13:$L$1230=$F80) *('3.1. Gas prod VF'!$M$13:$M$1230=$E80),'3.1. Gas prod VF'!$AG$13:$AG$1230))</f>
        <v>2.1197007289239886</v>
      </c>
      <c r="O80" s="314" cm="1">
        <f t="array" ref="O80">_xlfn.STDEV.S(IF(('3.1. Gas prod VF'!$L$13:$L$1230=$F80) *('3.1. Gas prod VF'!$M$13:$M$1230=$E80),'3.1. Gas prod VF'!$AH$13:$AH$1230))</f>
        <v>3.2631687593575101</v>
      </c>
      <c r="P80" s="314" cm="1">
        <f t="array" ref="P80">_xlfn.STDEV.S(IF(('3.1. Gas prod VF'!$L$13:$L$1230=$F80) *('3.1. Gas prod VF'!$M$13:$M$1230=$E80),'3.1. Gas prod VF'!$AI$13:$AI$1230))</f>
        <v>3.7276408111192434</v>
      </c>
      <c r="Q80" s="314" cm="1">
        <f t="array" ref="Q80">_xlfn.STDEV.S(IF(('3.1. Gas prod VF'!$L$13:$L$1230=$F80) *('3.1. Gas prod VF'!$M$13:$M$1230=$E80),'3.1. Gas prod VF'!$AJ$13:$AJ$1230))</f>
        <v>0.35710358114571039</v>
      </c>
      <c r="R80" s="314" cm="1">
        <f t="array" ref="R80">_xlfn.STDEV.S(IF(('3.1. Gas prod VF'!$L$13:$L$1230=$F80) *('3.1. Gas prod VF'!$M$13:$M$1230=$E80),'3.1. Gas prod VF'!$AK$13:$AK$1230))</f>
        <v>0.38730112816935847</v>
      </c>
      <c r="S80" s="314" cm="1">
        <f t="array" ref="S80">_xlfn.STDEV.S(IF(('3.1. Gas prod VF'!$L$13:$L$1230=$F80) *('3.1. Gas prod VF'!$M$13:$M$1230=$E80),'3.1. Gas prod VF'!$AL$13:$AL$1230))</f>
        <v>0.41990285344481587</v>
      </c>
      <c r="T80" s="314" cm="1">
        <f t="array" ref="T80">_xlfn.STDEV.S(IF(('3.1. Gas prod VF'!$L$13:$L$1230=$F80) *('3.1. Gas prod VF'!$M$13:$M$1230=$E80),'3.1. Gas prod VF'!$AM$13:$AM$1230))</f>
        <v>8.1805451187187543</v>
      </c>
      <c r="U80" s="314" cm="1">
        <f t="array" ref="U80">_xlfn.STDEV.S(IF(('3.1. Gas prod VF'!$L$13:$L$1230=$F80) *('3.1. Gas prod VF'!$M$13:$M$1230=$E80),'3.1. Gas prod VF'!$AN$13:$AN$1230))</f>
        <v>8.1083412483453863</v>
      </c>
      <c r="V80" s="314" cm="1">
        <f t="array" ref="V80">_xlfn.STDEV.S(IF(('3.1. Gas prod VF'!$L$13:$L$1230=$F80) *('3.1. Gas prod VF'!$M$13:$M$1230=$E80),'3.1. Gas prod VF'!$AO$13:$AO$1230))</f>
        <v>0.46919821602836609</v>
      </c>
      <c r="W80" s="314" cm="1">
        <f t="array" ref="W80">_xlfn.STDEV.S(IF(('3.1. Gas prod VF'!$L$13:$L$1230=$F80) *('3.1. Gas prod VF'!$M$13:$M$1230=$E80),'3.1. Gas prod VF'!$AP$13:$AP$1230))</f>
        <v>0.57071383872680548</v>
      </c>
      <c r="X80" s="314" cm="1">
        <f t="array" ref="X80">_xlfn.STDEV.S(IF(('3.1. Gas prod VF'!$L$13:$L$1230=$F80) *('3.1. Gas prod VF'!$M$13:$M$1230=$E80),'3.1. Gas prod VF'!$AQ$13:$AQ$1230))</f>
        <v>0.34395355826971918</v>
      </c>
      <c r="Y80" s="314" cm="1">
        <f t="array" ref="Y80">_xlfn.STDEV.S(IF(('3.1. Gas prod VF'!$L$13:$L$1230=$F80) *('3.1. Gas prod VF'!$M$13:$M$1230=$E80),'3.1. Gas prod VF'!$AR$13:$AR$1230))</f>
        <v>0.92092651162950057</v>
      </c>
      <c r="Z80" s="314" cm="1">
        <f t="array" ref="Z80">_xlfn.STDEV.S(IF(('3.1. Gas prod VF'!$L$13:$L$1230=$F80) *('3.1. Gas prod VF'!$M$13:$M$1230=$E80),'3.1. Gas prod VF'!$AS$13:$AS$1230))</f>
        <v>33.698532214759609</v>
      </c>
      <c r="AA80" s="314" cm="1">
        <f t="array" ref="AA80">_xlfn.STDEV.S(IF(('3.1. Gas prod VF'!$L$13:$L$1230=$F80) *('3.1. Gas prod VF'!$M$13:$M$1230=$E80),'3.1. Gas prod VF'!$AT$13:$AT$1230))</f>
        <v>0.89205129731910926</v>
      </c>
      <c r="AB80" s="314" cm="1">
        <f t="array" ref="AB80">_xlfn.STDEV.S(IF(('3.1. Gas prod VF'!$L$13:$L$1230=$F80) *('3.1. Gas prod VF'!$M$13:$M$1230=$E80),'3.1. Gas prod VF'!$AU$13:$AU$1230))</f>
        <v>0.51113014693900272</v>
      </c>
      <c r="AC80" s="314" cm="1">
        <f t="array" ref="AC80">_xlfn.STDEV.S(IF(('3.1. Gas prod VF'!$L$13:$L$1230=$F80) *('3.1. Gas prod VF'!$M$13:$M$1230=$E80),'3.1. Gas prod VF'!$AU$13:$AV$1230))</f>
        <v>21.951230435661131</v>
      </c>
      <c r="AD80" s="20"/>
      <c r="AE80" s="20"/>
    </row>
    <row r="81" spans="2:31" x14ac:dyDescent="0.35">
      <c r="B81" s="62">
        <f>'1. Information samples'!B81</f>
        <v>71</v>
      </c>
      <c r="C81" s="198">
        <f>'1. Information samples'!C81</f>
        <v>46048</v>
      </c>
      <c r="D81" s="62" t="str">
        <f>'1. Information samples'!D81</f>
        <v>Genbank</v>
      </c>
      <c r="E81" s="316">
        <f>'1. Information samples'!E81</f>
        <v>28</v>
      </c>
      <c r="F81" s="62" t="str">
        <f>'1. Information samples'!F81</f>
        <v>F252582</v>
      </c>
      <c r="G81" s="62" t="str">
        <f>'1. Information samples'!G81</f>
        <v>CIAT4069</v>
      </c>
      <c r="H81" s="62" t="str">
        <f>'1. Information samples'!H81</f>
        <v>Macroptilium</v>
      </c>
      <c r="I81" s="62" t="str">
        <f>'1. Information samples'!I81</f>
        <v>atropurpureum</v>
      </c>
      <c r="J81" s="62" t="str">
        <f>'1. Information samples'!J81</f>
        <v>Macroptilium atropurpureum</v>
      </c>
      <c r="K81" s="62" t="str">
        <f>'1. Information samples'!K81</f>
        <v>Fabaceae</v>
      </c>
      <c r="L81" s="62" t="str">
        <f>'1. Information samples'!L81</f>
        <v>Fabales</v>
      </c>
      <c r="M81" s="62" t="str">
        <f>'1. Information samples'!M81</f>
        <v>Herbaceous</v>
      </c>
      <c r="N81" s="314" cm="1">
        <f t="array" ref="N81">_xlfn.STDEV.S(IF(('3.1. Gas prod VF'!$L$13:$L$1230=$F81) *('3.1. Gas prod VF'!$M$13:$M$1230=$E81),'3.1. Gas prod VF'!$AG$13:$AG$1230))</f>
        <v>1.7398455582804448</v>
      </c>
      <c r="O81" s="314" cm="1">
        <f t="array" ref="O81">_xlfn.STDEV.S(IF(('3.1. Gas prod VF'!$L$13:$L$1230=$F81) *('3.1. Gas prod VF'!$M$13:$M$1230=$E81),'3.1. Gas prod VF'!$AH$13:$AH$1230))</f>
        <v>1.3271327370886836</v>
      </c>
      <c r="P81" s="314" cm="1">
        <f t="array" ref="P81">_xlfn.STDEV.S(IF(('3.1. Gas prod VF'!$L$13:$L$1230=$F81) *('3.1. Gas prod VF'!$M$13:$M$1230=$E81),'3.1. Gas prod VF'!$AI$13:$AI$1230))</f>
        <v>2.1207479160069589</v>
      </c>
      <c r="Q81" s="314" cm="1">
        <f t="array" ref="Q81">_xlfn.STDEV.S(IF(('3.1. Gas prod VF'!$L$13:$L$1230=$F81) *('3.1. Gas prod VF'!$M$13:$M$1230=$E81),'3.1. Gas prod VF'!$AJ$13:$AJ$1230))</f>
        <v>0.23885018092738763</v>
      </c>
      <c r="R81" s="314" cm="1">
        <f t="array" ref="R81">_xlfn.STDEV.S(IF(('3.1. Gas prod VF'!$L$13:$L$1230=$F81) *('3.1. Gas prod VF'!$M$13:$M$1230=$E81),'3.1. Gas prod VF'!$AK$13:$AK$1230))</f>
        <v>0.14831626336132012</v>
      </c>
      <c r="S81" s="314" cm="1">
        <f t="array" ref="S81">_xlfn.STDEV.S(IF(('3.1. Gas prod VF'!$L$13:$L$1230=$F81) *('3.1. Gas prod VF'!$M$13:$M$1230=$E81),'3.1. Gas prod VF'!$AL$13:$AL$1230))</f>
        <v>0.36135077125417925</v>
      </c>
      <c r="T81" s="314" cm="1">
        <f t="array" ref="T81">_xlfn.STDEV.S(IF(('3.1. Gas prod VF'!$L$13:$L$1230=$F81) *('3.1. Gas prod VF'!$M$13:$M$1230=$E81),'3.1. Gas prod VF'!$AM$13:$AM$1230))</f>
        <v>4.5760848723802416</v>
      </c>
      <c r="U81" s="314" cm="1">
        <f t="array" ref="U81">_xlfn.STDEV.S(IF(('3.1. Gas prod VF'!$L$13:$L$1230=$F81) *('3.1. Gas prod VF'!$M$13:$M$1230=$E81),'3.1. Gas prod VF'!$AN$13:$AN$1230))</f>
        <v>9.5783706195431186</v>
      </c>
      <c r="V81" s="314" cm="1">
        <f t="array" ref="V81">_xlfn.STDEV.S(IF(('3.1. Gas prod VF'!$L$13:$L$1230=$F81) *('3.1. Gas prod VF'!$M$13:$M$1230=$E81),'3.1. Gas prod VF'!$AO$13:$AO$1230))</f>
        <v>0.67947660089633566</v>
      </c>
      <c r="W81" s="314" cm="1">
        <f t="array" ref="W81">_xlfn.STDEV.S(IF(('3.1. Gas prod VF'!$L$13:$L$1230=$F81) *('3.1. Gas prod VF'!$M$13:$M$1230=$E81),'3.1. Gas prod VF'!$AP$13:$AP$1230))</f>
        <v>0.33380918415851241</v>
      </c>
      <c r="X81" s="314" cm="1">
        <f t="array" ref="X81">_xlfn.STDEV.S(IF(('3.1. Gas prod VF'!$L$13:$L$1230=$F81) *('3.1. Gas prod VF'!$M$13:$M$1230=$E81),'3.1. Gas prod VF'!$AQ$13:$AQ$1230))</f>
        <v>0.32362959670751867</v>
      </c>
      <c r="Y81" s="314" cm="1">
        <f t="array" ref="Y81">_xlfn.STDEV.S(IF(('3.1. Gas prod VF'!$L$13:$L$1230=$F81) *('3.1. Gas prod VF'!$M$13:$M$1230=$E81),'3.1. Gas prod VF'!$AR$13:$AR$1230))</f>
        <v>0.78251210196010734</v>
      </c>
      <c r="Z81" s="314" cm="1">
        <f t="array" ref="Z81">_xlfn.STDEV.S(IF(('3.1. Gas prod VF'!$L$13:$L$1230=$F81) *('3.1. Gas prod VF'!$M$13:$M$1230=$E81),'3.1. Gas prod VF'!$AS$13:$AS$1230))</f>
        <v>20.370504945815391</v>
      </c>
      <c r="AA81" s="314" cm="1">
        <f t="array" ref="AA81">_xlfn.STDEV.S(IF(('3.1. Gas prod VF'!$L$13:$L$1230=$F81) *('3.1. Gas prod VF'!$M$13:$M$1230=$E81),'3.1. Gas prod VF'!$AT$13:$AT$1230))</f>
        <v>0.43466081651140315</v>
      </c>
      <c r="AB81" s="314" cm="1">
        <f t="array" ref="AB81">_xlfn.STDEV.S(IF(('3.1. Gas prod VF'!$L$13:$L$1230=$F81) *('3.1. Gas prod VF'!$M$13:$M$1230=$E81),'3.1. Gas prod VF'!$AU$13:$AU$1230))</f>
        <v>0.4343077548595195</v>
      </c>
      <c r="AC81" s="314" cm="1">
        <f t="array" ref="AC81">_xlfn.STDEV.S(IF(('3.1. Gas prod VF'!$L$13:$L$1230=$F81) *('3.1. Gas prod VF'!$M$13:$M$1230=$E81),'3.1. Gas prod VF'!$AU$13:$AV$1230))</f>
        <v>13.688037324399289</v>
      </c>
      <c r="AD81" s="20"/>
      <c r="AE81" s="20"/>
    </row>
    <row r="82" spans="2:31" x14ac:dyDescent="0.35">
      <c r="B82" s="62">
        <f>'1. Information samples'!B82</f>
        <v>72</v>
      </c>
      <c r="C82" s="198">
        <f>'1. Information samples'!C82</f>
        <v>46048</v>
      </c>
      <c r="D82" s="62" t="str">
        <f>'1. Information samples'!D82</f>
        <v>Genbank</v>
      </c>
      <c r="E82" s="316">
        <f>'1. Information samples'!E82</f>
        <v>28</v>
      </c>
      <c r="F82" s="62" t="str">
        <f>'1. Information samples'!F82</f>
        <v>F252583</v>
      </c>
      <c r="G82" s="62" t="str">
        <f>'1. Information samples'!G82</f>
        <v>CIAT4141</v>
      </c>
      <c r="H82" s="62" t="str">
        <f>'1. Information samples'!H82</f>
        <v>Vigna</v>
      </c>
      <c r="I82" s="62" t="str">
        <f>'1. Information samples'!I82</f>
        <v>radiata</v>
      </c>
      <c r="J82" s="62" t="str">
        <f>'1. Information samples'!J82</f>
        <v>Vigna radiata</v>
      </c>
      <c r="K82" s="62" t="str">
        <f>'1. Information samples'!K82</f>
        <v>Fabaceae</v>
      </c>
      <c r="L82" s="62" t="str">
        <f>'1. Information samples'!L82</f>
        <v>Fabales</v>
      </c>
      <c r="M82" s="62" t="str">
        <f>'1. Information samples'!M82</f>
        <v>Herbaceous</v>
      </c>
      <c r="N82" s="314">
        <f>_xlfn.STDEV.S('3.1. Gas prod VF'!AG411,'3.1. Gas prod VF'!AG412,'3.1. Gas prod VF'!AG413,'3.1. Gas prod VF'!AG593,'3.1. Gas prod VF'!AG744,'3.1. Gas prod VF'!AG745)</f>
        <v>2.1594554794746612</v>
      </c>
      <c r="O82" s="314">
        <f>_xlfn.STDEV.S('3.1. Gas prod VF'!AH411,'3.1. Gas prod VF'!AH412,'3.1. Gas prod VF'!AH413,'3.1. Gas prod VF'!AH593,'3.1. Gas prod VF'!AH744,'3.1. Gas prod VF'!AH745)</f>
        <v>0.61219797743932991</v>
      </c>
      <c r="P82" s="314">
        <f>_xlfn.STDEV.S('3.1. Gas prod VF'!AI411,'3.1. Gas prod VF'!AI412,'3.1. Gas prod VF'!AI413,'3.1. Gas prod VF'!AI593,'3.1. Gas prod VF'!AI744,'3.1. Gas prod VF'!AI745)</f>
        <v>2.5309629157786597</v>
      </c>
      <c r="Q82" s="314">
        <f>_xlfn.STDEV.S('3.1. Gas prod VF'!AJ411,'3.1. Gas prod VF'!AJ412,'3.1. Gas prod VF'!AJ413,'3.1. Gas prod VF'!AJ593,'3.1. Gas prod VF'!AJ744,'3.1. Gas prod VF'!AJ745)</f>
        <v>0.3471073467824467</v>
      </c>
      <c r="R82" s="314">
        <f>_xlfn.STDEV.S('3.1. Gas prod VF'!AK411,'3.1. Gas prod VF'!AK412,'3.1. Gas prod VF'!AK413,'3.1. Gas prod VF'!AK593,'3.1. Gas prod VF'!AK744,'3.1. Gas prod VF'!AK745)</f>
        <v>0.26754972143189371</v>
      </c>
      <c r="S82" s="314">
        <f>_xlfn.STDEV.S('3.1. Gas prod VF'!AL411,'3.1. Gas prod VF'!AL412,'3.1. Gas prod VF'!AL413,'3.1. Gas prod VF'!AL593,'3.1. Gas prod VF'!AL744,'3.1. Gas prod VF'!AL745)</f>
        <v>0.45426089029114047</v>
      </c>
      <c r="T82" s="314">
        <f>_xlfn.STDEV.S('3.1. Gas prod VF'!AM411,'3.1. Gas prod VF'!AM412,'3.1. Gas prod VF'!AM413,'3.1. Gas prod VF'!AM593,'3.1. Gas prod VF'!AM744,'3.1. Gas prod VF'!AM745)</f>
        <v>5.5829404392502351</v>
      </c>
      <c r="U82" s="314">
        <f>_xlfn.STDEV.S('3.1. Gas prod VF'!AN411,'3.1. Gas prod VF'!AN412,'3.1. Gas prod VF'!AN413,'3.1. Gas prod VF'!AN593,'3.1. Gas prod VF'!AN744,'3.1. Gas prod VF'!AN745)</f>
        <v>9.6862989921861598</v>
      </c>
      <c r="V82" s="314">
        <f>_xlfn.STDEV.S('3.1. Gas prod VF'!AO411,'3.1. Gas prod VF'!AO412,'3.1. Gas prod VF'!AO413,'3.1. Gas prod VF'!AO593,'3.1. Gas prod VF'!AO744,'3.1. Gas prod VF'!AO745)</f>
        <v>0.55942149508468131</v>
      </c>
      <c r="W82" s="314">
        <f>_xlfn.STDEV.S('3.1. Gas prod VF'!AP411,'3.1. Gas prod VF'!AP412,'3.1. Gas prod VF'!AP413,'3.1. Gas prod VF'!AP593,'3.1. Gas prod VF'!AP744,'3.1. Gas prod VF'!AP745)</f>
        <v>0.47328638264796918</v>
      </c>
      <c r="X82" s="314">
        <f>_xlfn.STDEV.S('3.1. Gas prod VF'!AQ411,'3.1. Gas prod VF'!AQ412,'3.1. Gas prod VF'!AQ413,'3.1. Gas prod VF'!AQ593,'3.1. Gas prod VF'!AQ744,'3.1. Gas prod VF'!AQ745)</f>
        <v>0.23467143532987156</v>
      </c>
      <c r="Y82" s="314">
        <f>_xlfn.STDEV.S('3.1. Gas prod VF'!AR411,'3.1. Gas prod VF'!AR412,'3.1. Gas prod VF'!AR413,'3.1. Gas prod VF'!AR593,'3.1. Gas prod VF'!AR744,'3.1. Gas prod VF'!AR745)</f>
        <v>1.0020078001295547</v>
      </c>
      <c r="Z82" s="314">
        <f>_xlfn.STDEV.S('3.1. Gas prod VF'!AS411,'3.1. Gas prod VF'!AS412,'3.1. Gas prod VF'!AS413,'3.1. Gas prod VF'!AS593,'3.1. Gas prod VF'!AS744,'3.1. Gas prod VF'!AS745)</f>
        <v>18.429873153130448</v>
      </c>
      <c r="AA82" s="314">
        <f>_xlfn.STDEV.S('3.1. Gas prod VF'!AT411,'3.1. Gas prod VF'!AT412,'3.1. Gas prod VF'!AT413,'3.1. Gas prod VF'!AT593,'3.1. Gas prod VF'!AT744,'3.1. Gas prod VF'!AT745)</f>
        <v>3.0789267226955239</v>
      </c>
      <c r="AB82" s="314">
        <f>_xlfn.STDEV.S('3.1. Gas prod VF'!AU411,'3.1. Gas prod VF'!AU412,'3.1. Gas prod VF'!AU413,'3.1. Gas prod VF'!AU593,'3.1. Gas prod VF'!AU744,'3.1. Gas prod VF'!AU745)</f>
        <v>0.55613166484699184</v>
      </c>
      <c r="AC82" s="314">
        <f>_xlfn.STDEV.S('3.1. Gas prod VF'!AV411,'3.1. Gas prod VF'!AV412,'3.1. Gas prod VF'!AV413,'3.1. Gas prod VF'!AV593,'3.1. Gas prod VF'!AV744,'3.1. Gas prod VF'!AV745)</f>
        <v>10.228898455924329</v>
      </c>
      <c r="AD82" s="20"/>
      <c r="AE82" s="20"/>
    </row>
    <row r="83" spans="2:31" x14ac:dyDescent="0.35">
      <c r="B83" s="62">
        <f>'1. Information samples'!B83</f>
        <v>73</v>
      </c>
      <c r="C83" s="198">
        <f>'1. Information samples'!C83</f>
        <v>46048</v>
      </c>
      <c r="D83" s="62" t="str">
        <f>'1. Information samples'!D83</f>
        <v>Genbank</v>
      </c>
      <c r="E83" s="316">
        <f>'1. Information samples'!E83</f>
        <v>28</v>
      </c>
      <c r="F83" s="62" t="str">
        <f>'1. Information samples'!F83</f>
        <v>F252584</v>
      </c>
      <c r="G83" s="62" t="str">
        <f>'1. Information samples'!G83</f>
        <v>CIAT4532</v>
      </c>
      <c r="H83" s="62" t="str">
        <f>'1. Information samples'!H83</f>
        <v>Vigna</v>
      </c>
      <c r="I83" s="62" t="str">
        <f>'1. Information samples'!I83</f>
        <v>unguiculata</v>
      </c>
      <c r="J83" s="62" t="str">
        <f>'1. Information samples'!J83</f>
        <v>Vigna unguiculata</v>
      </c>
      <c r="K83" s="62" t="str">
        <f>'1. Information samples'!K83</f>
        <v>Fabaceae</v>
      </c>
      <c r="L83" s="62" t="str">
        <f>'1. Information samples'!L83</f>
        <v>Fabales</v>
      </c>
      <c r="M83" s="62" t="str">
        <f>'1. Information samples'!M83</f>
        <v>Herbaceous</v>
      </c>
      <c r="N83" s="314" cm="1">
        <f t="array" ref="N83">_xlfn.STDEV.S(IF(('3.1. Gas prod VF'!$L$13:$L$1230=$F83) *('3.1. Gas prod VF'!$M$13:$M$1230=$E83),'3.1. Gas prod VF'!$AG$13:$AG$1230))</f>
        <v>2.1316312013504373</v>
      </c>
      <c r="O83" s="314" cm="1">
        <f t="array" ref="O83">_xlfn.STDEV.S(IF(('3.1. Gas prod VF'!$L$13:$L$1230=$F83) *('3.1. Gas prod VF'!$M$13:$M$1230=$E83),'3.1. Gas prod VF'!$AH$13:$AH$1230))</f>
        <v>1.4876983267564332</v>
      </c>
      <c r="P83" s="314" cm="1">
        <f t="array" ref="P83">_xlfn.STDEV.S(IF(('3.1. Gas prod VF'!$L$13:$L$1230=$F83) *('3.1. Gas prod VF'!$M$13:$M$1230=$E83),'3.1. Gas prod VF'!$AI$13:$AI$1230))</f>
        <v>2.4885289198986551</v>
      </c>
      <c r="Q83" s="314" cm="1">
        <f t="array" ref="Q83">_xlfn.STDEV.S(IF(('3.1. Gas prod VF'!$L$13:$L$1230=$F83) *('3.1. Gas prod VF'!$M$13:$M$1230=$E83),'3.1. Gas prod VF'!$AJ$13:$AJ$1230))</f>
        <v>0.23119196239790055</v>
      </c>
      <c r="R83" s="314" cm="1">
        <f t="array" ref="R83">_xlfn.STDEV.S(IF(('3.1. Gas prod VF'!$L$13:$L$1230=$F83) *('3.1. Gas prod VF'!$M$13:$M$1230=$E83),'3.1. Gas prod VF'!$AK$13:$AK$1230))</f>
        <v>0.18907309473209016</v>
      </c>
      <c r="S83" s="314" cm="1">
        <f t="array" ref="S83">_xlfn.STDEV.S(IF(('3.1. Gas prod VF'!$L$13:$L$1230=$F83) *('3.1. Gas prod VF'!$M$13:$M$1230=$E83),'3.1. Gas prod VF'!$AL$13:$AL$1230))</f>
        <v>0.28931914305024514</v>
      </c>
      <c r="T83" s="314" cm="1">
        <f t="array" ref="T83">_xlfn.STDEV.S(IF(('3.1. Gas prod VF'!$L$13:$L$1230=$F83) *('3.1. Gas prod VF'!$M$13:$M$1230=$E83),'3.1. Gas prod VF'!$AM$13:$AM$1230))</f>
        <v>5.3602607448878423</v>
      </c>
      <c r="U83" s="314" cm="1">
        <f t="array" ref="U83">_xlfn.STDEV.S(IF(('3.1. Gas prod VF'!$L$13:$L$1230=$F83) *('3.1. Gas prod VF'!$M$13:$M$1230=$E83),'3.1. Gas prod VF'!$AN$13:$AN$1230))</f>
        <v>9.4844490712976732</v>
      </c>
      <c r="V83" s="314" cm="1">
        <f t="array" ref="V83">_xlfn.STDEV.S(IF(('3.1. Gas prod VF'!$L$13:$L$1230=$F83) *('3.1. Gas prod VF'!$M$13:$M$1230=$E83),'3.1. Gas prod VF'!$AO$13:$AO$1230))</f>
        <v>0.53541746667747669</v>
      </c>
      <c r="W83" s="314" cm="1">
        <f t="array" ref="W83">_xlfn.STDEV.S(IF(('3.1. Gas prod VF'!$L$13:$L$1230=$F83) *('3.1. Gas prod VF'!$M$13:$M$1230=$E83),'3.1. Gas prod VF'!$AP$13:$AP$1230))</f>
        <v>0.51754916950676577</v>
      </c>
      <c r="X83" s="314" cm="1">
        <f t="array" ref="X83">_xlfn.STDEV.S(IF(('3.1. Gas prod VF'!$L$13:$L$1230=$F83) *('3.1. Gas prod VF'!$M$13:$M$1230=$E83),'3.1. Gas prod VF'!$AQ$13:$AQ$1230))</f>
        <v>0.26950335312259632</v>
      </c>
      <c r="Y83" s="314" cm="1">
        <f t="array" ref="Y83">_xlfn.STDEV.S(IF(('3.1. Gas prod VF'!$L$13:$L$1230=$F83) *('3.1. Gas prod VF'!$M$13:$M$1230=$E83),'3.1. Gas prod VF'!$AR$13:$AR$1230))</f>
        <v>0.62512439483344173</v>
      </c>
      <c r="Z83" s="314" cm="1">
        <f t="array" ref="Z83">_xlfn.STDEV.S(IF(('3.1. Gas prod VF'!$L$13:$L$1230=$F83) *('3.1. Gas prod VF'!$M$13:$M$1230=$E83),'3.1. Gas prod VF'!$AS$13:$AS$1230))</f>
        <v>23.827767491200525</v>
      </c>
      <c r="AA83" s="314" cm="1">
        <f t="array" ref="AA83">_xlfn.STDEV.S(IF(('3.1. Gas prod VF'!$L$13:$L$1230=$F83) *('3.1. Gas prod VF'!$M$13:$M$1230=$E83),'3.1. Gas prod VF'!$AT$13:$AT$1230))</f>
        <v>2.4508829863666608</v>
      </c>
      <c r="AB83" s="314" cm="1">
        <f t="array" ref="AB83">_xlfn.STDEV.S(IF(('3.1. Gas prod VF'!$L$13:$L$1230=$F83) *('3.1. Gas prod VF'!$M$13:$M$1230=$E83),'3.1. Gas prod VF'!$AU$13:$AU$1230))</f>
        <v>0.34695485443350882</v>
      </c>
      <c r="AC83" s="314" cm="1">
        <f t="array" ref="AC83">_xlfn.STDEV.S(IF(('3.1. Gas prod VF'!$L$13:$L$1230=$F83) *('3.1. Gas prod VF'!$M$13:$M$1230=$E83),'3.1. Gas prod VF'!$AU$13:$AV$1230))</f>
        <v>17.274678533690164</v>
      </c>
      <c r="AD83" s="20"/>
      <c r="AE83" s="20"/>
    </row>
    <row r="84" spans="2:31" x14ac:dyDescent="0.35">
      <c r="B84" s="62">
        <f>'1. Information samples'!B84</f>
        <v>74</v>
      </c>
      <c r="C84" s="198">
        <f>'1. Information samples'!C84</f>
        <v>46048</v>
      </c>
      <c r="D84" s="62" t="str">
        <f>'1. Information samples'!D84</f>
        <v>Genbank</v>
      </c>
      <c r="E84" s="316">
        <f>'1. Information samples'!E84</f>
        <v>28</v>
      </c>
      <c r="F84" s="62" t="str">
        <f>'1. Information samples'!F84</f>
        <v>F252585</v>
      </c>
      <c r="G84" s="62" t="str">
        <f>'1. Information samples'!G84</f>
        <v>CIAT4537</v>
      </c>
      <c r="H84" s="62" t="str">
        <f>'1. Information samples'!H84</f>
        <v>Vigna</v>
      </c>
      <c r="I84" s="62" t="str">
        <f>'1. Information samples'!I84</f>
        <v>unguiculata</v>
      </c>
      <c r="J84" s="62" t="str">
        <f>'1. Information samples'!J84</f>
        <v>Vigna unguiculata</v>
      </c>
      <c r="K84" s="62" t="str">
        <f>'1. Information samples'!K84</f>
        <v>Fabaceae</v>
      </c>
      <c r="L84" s="62" t="str">
        <f>'1. Information samples'!L84</f>
        <v>Fabales</v>
      </c>
      <c r="M84" s="62" t="str">
        <f>'1. Information samples'!M84</f>
        <v>Herbaceous</v>
      </c>
      <c r="N84" s="314" cm="1">
        <f t="array" ref="N84">_xlfn.STDEV.S(IF(('3.1. Gas prod VF'!$L$13:$L$1230=$F84) *('3.1. Gas prod VF'!$M$13:$M$1230=$E84),'3.1. Gas prod VF'!$AG$13:$AG$1230))</f>
        <v>2.0781843931965076</v>
      </c>
      <c r="O84" s="314" cm="1">
        <f t="array" ref="O84">_xlfn.STDEV.S(IF(('3.1. Gas prod VF'!$L$13:$L$1230=$F84) *('3.1. Gas prod VF'!$M$13:$M$1230=$E84),'3.1. Gas prod VF'!$AH$13:$AH$1230))</f>
        <v>1.3874780939363283</v>
      </c>
      <c r="P84" s="314" cm="1">
        <f t="array" ref="P84">_xlfn.STDEV.S(IF(('3.1. Gas prod VF'!$L$13:$L$1230=$F84) *('3.1. Gas prod VF'!$M$13:$M$1230=$E84),'3.1. Gas prod VF'!$AI$13:$AI$1230))</f>
        <v>3.0685170193838771</v>
      </c>
      <c r="Q84" s="314" cm="1">
        <f t="array" ref="Q84">_xlfn.STDEV.S(IF(('3.1. Gas prod VF'!$L$13:$L$1230=$F84) *('3.1. Gas prod VF'!$M$13:$M$1230=$E84),'3.1. Gas prod VF'!$AJ$13:$AJ$1230))</f>
        <v>0.30988342586388384</v>
      </c>
      <c r="R84" s="314" cm="1">
        <f t="array" ref="R84">_xlfn.STDEV.S(IF(('3.1. Gas prod VF'!$L$13:$L$1230=$F84) *('3.1. Gas prod VF'!$M$13:$M$1230=$E84),'3.1. Gas prod VF'!$AK$13:$AK$1230))</f>
        <v>0.24069406296812568</v>
      </c>
      <c r="S84" s="314" cm="1">
        <f t="array" ref="S84">_xlfn.STDEV.S(IF(('3.1. Gas prod VF'!$L$13:$L$1230=$F84) *('3.1. Gas prod VF'!$M$13:$M$1230=$E84),'3.1. Gas prod VF'!$AL$13:$AL$1230))</f>
        <v>0.52936930880411404</v>
      </c>
      <c r="T84" s="314" cm="1">
        <f t="array" ref="T84">_xlfn.STDEV.S(IF(('3.1. Gas prod VF'!$L$13:$L$1230=$F84) *('3.1. Gas prod VF'!$M$13:$M$1230=$E84),'3.1. Gas prod VF'!$AM$13:$AM$1230))</f>
        <v>6.6285474226748011</v>
      </c>
      <c r="U84" s="314">
        <f>_xlfn.STDEV.S('3.1. Gas prod VF'!AN417,'3.1. Gas prod VF'!AN418,'3.1. Gas prod VF'!AN419,'3.1. Gas prod VF'!AN598,'3.1. Gas prod VF'!AN599,'3.1. Gas prod VF'!AN600,'3.1. Gas prod VF'!AN748,'3.1. Gas prod VF'!AN749)</f>
        <v>9.1141245500350685</v>
      </c>
      <c r="V84" s="314" cm="1">
        <f t="array" ref="V84">_xlfn.STDEV.S(IF(('3.1. Gas prod VF'!$L$13:$L$1230=$F84) *('3.1. Gas prod VF'!$M$13:$M$1230=$E84),'3.1. Gas prod VF'!$AO$13:$AO$1230))</f>
        <v>0.64794875415859909</v>
      </c>
      <c r="W84" s="314" cm="1">
        <f t="array" ref="W84">_xlfn.STDEV.S(IF(('3.1. Gas prod VF'!$L$13:$L$1230=$F84) *('3.1. Gas prod VF'!$M$13:$M$1230=$E84),'3.1. Gas prod VF'!$AP$13:$AP$1230))</f>
        <v>0.30705978943149448</v>
      </c>
      <c r="X84" s="314" cm="1">
        <f t="array" ref="X84">_xlfn.STDEV.S(IF(('3.1. Gas prod VF'!$L$13:$L$1230=$F84) *('3.1. Gas prod VF'!$M$13:$M$1230=$E84),'3.1. Gas prod VF'!$AQ$13:$AQ$1230))</f>
        <v>0.20133813287587604</v>
      </c>
      <c r="Y84" s="314" cm="1">
        <f t="array" ref="Y84">_xlfn.STDEV.S(IF(('3.1. Gas prod VF'!$L$13:$L$1230=$F84) *('3.1. Gas prod VF'!$M$13:$M$1230=$E84),'3.1. Gas prod VF'!$AR$13:$AR$1230))</f>
        <v>1.1453844939065156</v>
      </c>
      <c r="Z84" s="314" cm="1">
        <f t="array" ref="Z84">_xlfn.STDEV.S(IF(('3.1. Gas prod VF'!$L$13:$L$1230=$F84) *('3.1. Gas prod VF'!$M$13:$M$1230=$E84),'3.1. Gas prod VF'!$AS$13:$AS$1230))</f>
        <v>15.536423555419571</v>
      </c>
      <c r="AA84" s="314" cm="1">
        <f t="array" ref="AA84">_xlfn.STDEV.S(IF(('3.1. Gas prod VF'!$L$13:$L$1230=$F84) *('3.1. Gas prod VF'!$M$13:$M$1230=$E84),'3.1. Gas prod VF'!$AT$13:$AT$1230))</f>
        <v>3.4286855096021034</v>
      </c>
      <c r="AB84" s="314" cm="1">
        <f t="array" ref="AB84">_xlfn.STDEV.S(IF(('3.1. Gas prod VF'!$L$13:$L$1230=$F84) *('3.1. Gas prod VF'!$M$13:$M$1230=$E84),'3.1. Gas prod VF'!$AU$13:$AU$1230))</f>
        <v>0.63570821045884085</v>
      </c>
      <c r="AC84" s="314" cm="1">
        <f t="array" ref="AC84">_xlfn.STDEV.S(IF(('3.1. Gas prod VF'!$L$13:$L$1230=$F84) *('3.1. Gas prod VF'!$M$13:$M$1230=$E84),'3.1. Gas prod VF'!$AU$13:$AV$1230))</f>
        <v>9.9678382602174693</v>
      </c>
      <c r="AD84" s="20"/>
      <c r="AE84" s="20"/>
    </row>
    <row r="85" spans="2:31" x14ac:dyDescent="0.35">
      <c r="B85" s="62">
        <f>'1. Information samples'!B85</f>
        <v>75</v>
      </c>
      <c r="C85" s="198">
        <f>'1. Information samples'!C85</f>
        <v>46048</v>
      </c>
      <c r="D85" s="62" t="str">
        <f>'1. Information samples'!D85</f>
        <v>Genbank</v>
      </c>
      <c r="E85" s="316">
        <f>'1. Information samples'!E85</f>
        <v>28</v>
      </c>
      <c r="F85" s="62" t="str">
        <f>'1. Information samples'!F85</f>
        <v>F252586</v>
      </c>
      <c r="G85" s="62" t="str">
        <f>'1. Information samples'!G85</f>
        <v>CIAT7289</v>
      </c>
      <c r="H85" s="62" t="str">
        <f>'1. Information samples'!H85</f>
        <v>Chamaecrista</v>
      </c>
      <c r="I85" s="62" t="str">
        <f>'1. Information samples'!I85</f>
        <v>mimosoides</v>
      </c>
      <c r="J85" s="62" t="str">
        <f>'1. Information samples'!J85</f>
        <v>Chamaecrista mimosoides</v>
      </c>
      <c r="K85" s="62" t="str">
        <f>'1. Information samples'!K85</f>
        <v>Fabaceae</v>
      </c>
      <c r="L85" s="62" t="str">
        <f>'1. Information samples'!L85</f>
        <v>Fabales</v>
      </c>
      <c r="M85" s="62" t="str">
        <f>'1. Information samples'!M85</f>
        <v>Herbaceous</v>
      </c>
      <c r="N85" s="314">
        <f>_xlfn.STDEV.S('3.1. Gas prod VF'!AG421,'3.1. Gas prod VF'!AG422,'3.1. Gas prod VF'!AG602,'3.1. Gas prod VF'!AG603,'3.1. Gas prod VF'!AG750,'3.1. Gas prod VF'!AG751)</f>
        <v>1.9731868222757925</v>
      </c>
      <c r="O85" s="314">
        <f>_xlfn.STDEV.S('3.1. Gas prod VF'!AH421,'3.1. Gas prod VF'!AH422,'3.1. Gas prod VF'!AH602,'3.1. Gas prod VF'!AH603,'3.1. Gas prod VF'!AH750,'3.1. Gas prod VF'!AH751)</f>
        <v>2.4710559985740241</v>
      </c>
      <c r="P85" s="314">
        <f>_xlfn.STDEV.S('3.1. Gas prod VF'!AI421,'3.1. Gas prod VF'!AI422,'3.1. Gas prod VF'!AI602,'3.1. Gas prod VF'!AI603,'3.1. Gas prod VF'!AI750,'3.1. Gas prod VF'!AI751)</f>
        <v>1.3503033652308236</v>
      </c>
      <c r="Q85" s="314">
        <f>_xlfn.STDEV.S('3.1. Gas prod VF'!AJ421,'3.1. Gas prod VF'!AJ422,'3.1. Gas prod VF'!AJ602,'3.1. Gas prod VF'!AJ603,'3.1. Gas prod VF'!AJ750,'3.1. Gas prod VF'!AJ751)</f>
        <v>0.34074115358637136</v>
      </c>
      <c r="R85" s="314">
        <f>_xlfn.STDEV.S('3.1. Gas prod VF'!AK421,'3.1. Gas prod VF'!AK422,'3.1. Gas prod VF'!AK602,'3.1. Gas prod VF'!AK603,'3.1. Gas prod VF'!AK750,'3.1. Gas prod VF'!AK751)</f>
        <v>0.24573917493021283</v>
      </c>
      <c r="S85" s="314">
        <f>_xlfn.STDEV.S('3.1. Gas prod VF'!AL421,'3.1. Gas prod VF'!AL422,'3.1. Gas prod VF'!AL602,'3.1. Gas prod VF'!AL603,'3.1. Gas prod VF'!AL750,'3.1. Gas prod VF'!AL751)</f>
        <v>0.21519356131988332</v>
      </c>
      <c r="T85" s="314">
        <f>_xlfn.STDEV.S('3.1. Gas prod VF'!AM421,'3.1. Gas prod VF'!AM422,'3.1. Gas prod VF'!AM602,'3.1. Gas prod VF'!AM603,'3.1. Gas prod VF'!AM750,'3.1. Gas prod VF'!AM751)</f>
        <v>2.9005278094463338</v>
      </c>
      <c r="U85" s="314">
        <f>_xlfn.STDEV.S('3.1. Gas prod VF'!AN421,'3.1. Gas prod VF'!AN422,'3.1. Gas prod VF'!AN602,'3.1. Gas prod VF'!AN603,'3.1. Gas prod VF'!AN750,'3.1. Gas prod VF'!AN751)</f>
        <v>7.6525368654925074</v>
      </c>
      <c r="V85" s="314">
        <f>_xlfn.STDEV.S('3.1. Gas prod VF'!AO421,'3.1. Gas prod VF'!AO422,'3.1. Gas prod VF'!AO602,'3.1. Gas prod VF'!AO603,'3.1. Gas prod VF'!AO750,'3.1. Gas prod VF'!AO751)</f>
        <v>0.49444822052369158</v>
      </c>
      <c r="W85" s="314">
        <f>_xlfn.STDEV.S('3.1. Gas prod VF'!AP421,'3.1. Gas prod VF'!AP422,'3.1. Gas prod VF'!AP602,'3.1. Gas prod VF'!AP603,'3.1. Gas prod VF'!AP750,'3.1. Gas prod VF'!AP751)</f>
        <v>0.21679483388678764</v>
      </c>
      <c r="X85" s="314">
        <f>_xlfn.STDEV.S('3.1. Gas prod VF'!AQ421,'3.1. Gas prod VF'!AQ422,'3.1. Gas prod VF'!AQ602,'3.1. Gas prod VF'!AQ603,'3.1. Gas prod VF'!AQ750,'3.1. Gas prod VF'!AQ751)</f>
        <v>0.27176372799437903</v>
      </c>
      <c r="Y85" s="314">
        <f>_xlfn.STDEV.S('3.1. Gas prod VF'!AR421,'3.1. Gas prod VF'!AR422,'3.1. Gas prod VF'!AR602,'3.1. Gas prod VF'!AR603,'3.1. Gas prod VF'!AR750,'3.1. Gas prod VF'!AR751)</f>
        <v>0.46886135494750336</v>
      </c>
      <c r="Z85" s="314">
        <f>_xlfn.STDEV.S('3.1. Gas prod VF'!AS421,'3.1. Gas prod VF'!AS422,'3.1. Gas prod VF'!AS602,'3.1. Gas prod VF'!AS603,'3.1. Gas prod VF'!AS750,'3.1. Gas prod VF'!AS751)</f>
        <v>18.244637694854809</v>
      </c>
      <c r="AA85" s="314">
        <f>_xlfn.STDEV.S('3.1. Gas prod VF'!AT421,'3.1. Gas prod VF'!AT422,'3.1. Gas prod VF'!AT602,'3.1. Gas prod VF'!AT603,'3.1. Gas prod VF'!AT750,'3.1. Gas prod VF'!AT751)</f>
        <v>2.3505717293147184</v>
      </c>
      <c r="AB85" s="314">
        <f>_xlfn.STDEV.S('3.1. Gas prod VF'!AU421,'3.1. Gas prod VF'!AU422,'3.1. Gas prod VF'!AU602,'3.1. Gas prod VF'!AU603,'3.1. Gas prod VF'!AU750,'3.1. Gas prod VF'!AU751)</f>
        <v>0.26022616378401187</v>
      </c>
      <c r="AC85" s="314">
        <f>_xlfn.STDEV.S('3.1. Gas prod VF'!AV421,'3.1. Gas prod VF'!AV422,'3.1. Gas prod VF'!AV602,'3.1. Gas prod VF'!AV603,'3.1. Gas prod VF'!AV750,'3.1. Gas prod VF'!AV751)</f>
        <v>10.126089571815619</v>
      </c>
      <c r="AD85" s="20"/>
      <c r="AE85" s="20"/>
    </row>
    <row r="86" spans="2:31" x14ac:dyDescent="0.35">
      <c r="B86" s="62">
        <f>'1. Information samples'!B86</f>
        <v>76</v>
      </c>
      <c r="C86" s="198">
        <f>'1. Information samples'!C86</f>
        <v>46048</v>
      </c>
      <c r="D86" s="62" t="str">
        <f>'1. Information samples'!D86</f>
        <v>Genbank</v>
      </c>
      <c r="E86" s="316">
        <f>'1. Information samples'!E86</f>
        <v>28</v>
      </c>
      <c r="F86" s="62" t="str">
        <f>'1. Information samples'!F86</f>
        <v>F252587</v>
      </c>
      <c r="G86" s="62" t="str">
        <f>'1. Information samples'!G86</f>
        <v>CIAT7826</v>
      </c>
      <c r="H86" s="62" t="str">
        <f>'1. Information samples'!H86</f>
        <v>Tephrosia</v>
      </c>
      <c r="I86" s="62" t="str">
        <f>'1. Information samples'!I86</f>
        <v>purpurea</v>
      </c>
      <c r="J86" s="62" t="str">
        <f>'1. Information samples'!J86</f>
        <v>Tephrosia purpurea</v>
      </c>
      <c r="K86" s="62" t="str">
        <f>'1. Information samples'!K86</f>
        <v>Fabaceae</v>
      </c>
      <c r="L86" s="62" t="str">
        <f>'1. Information samples'!L86</f>
        <v>Fabales</v>
      </c>
      <c r="M86" s="62" t="str">
        <f>'1. Information samples'!M86</f>
        <v>Herbaceous</v>
      </c>
      <c r="N86" s="314" cm="1">
        <f t="array" ref="N86">_xlfn.STDEV.S(IF(('3.1. Gas prod VF'!$L$13:$L$1230=$F86) *('3.1. Gas prod VF'!$M$13:$M$1230=$E86),'3.1. Gas prod VF'!$AG$13:$AG$1230))</f>
        <v>1.6926064910744156</v>
      </c>
      <c r="O86" s="314" cm="1">
        <f t="array" ref="O86">_xlfn.STDEV.S(IF(('3.1. Gas prod VF'!$L$13:$L$1230=$F86) *('3.1. Gas prod VF'!$M$13:$M$1230=$E86),'3.1. Gas prod VF'!$AH$13:$AH$1230))</f>
        <v>3.8491662553613222</v>
      </c>
      <c r="P86" s="314" cm="1">
        <f t="array" ref="P86">_xlfn.STDEV.S(IF(('3.1. Gas prod VF'!$L$13:$L$1230=$F86) *('3.1. Gas prod VF'!$M$13:$M$1230=$E86),'3.1. Gas prod VF'!$AI$13:$AI$1230))</f>
        <v>3.9470536068388964</v>
      </c>
      <c r="Q86" s="314" cm="1">
        <f t="array" ref="Q86">_xlfn.STDEV.S(IF(('3.1. Gas prod VF'!$L$13:$L$1230=$F86) *('3.1. Gas prod VF'!$M$13:$M$1230=$E86),'3.1. Gas prod VF'!$AJ$13:$AJ$1230))</f>
        <v>0.30491226307676733</v>
      </c>
      <c r="R86" s="314" cm="1">
        <f t="array" ref="R86">_xlfn.STDEV.S(IF(('3.1. Gas prod VF'!$L$13:$L$1230=$F86) *('3.1. Gas prod VF'!$M$13:$M$1230=$E86),'3.1. Gas prod VF'!$AK$13:$AK$1230))</f>
        <v>0.44250019455920986</v>
      </c>
      <c r="S86" s="314" cm="1">
        <f t="array" ref="S86">_xlfn.STDEV.S(IF(('3.1. Gas prod VF'!$L$13:$L$1230=$F86) *('3.1. Gas prod VF'!$M$13:$M$1230=$E86),'3.1. Gas prod VF'!$AL$13:$AL$1230))</f>
        <v>0.49789730722639292</v>
      </c>
      <c r="T86" s="314" cm="1">
        <f t="array" ref="T86">_xlfn.STDEV.S(IF(('3.1. Gas prod VF'!$L$13:$L$1230=$F86) *('3.1. Gas prod VF'!$M$13:$M$1230=$E86),'3.1. Gas prod VF'!$AM$13:$AM$1230))</f>
        <v>8.7083081835604546</v>
      </c>
      <c r="U86" s="314" cm="1">
        <f t="array" ref="U86">_xlfn.STDEV.S(IF(('3.1. Gas prod VF'!$L$13:$L$1230=$F86) *('3.1. Gas prod VF'!$M$13:$M$1230=$E86),'3.1. Gas prod VF'!$AN$13:$AN$1230))</f>
        <v>6.8899898939278064</v>
      </c>
      <c r="V86" s="314" cm="1">
        <f t="array" ref="V86">_xlfn.STDEV.S(IF(('3.1. Gas prod VF'!$L$13:$L$1230=$F86) *('3.1. Gas prod VF'!$M$13:$M$1230=$E86),'3.1. Gas prod VF'!$AO$13:$AO$1230))</f>
        <v>0.51728765948486388</v>
      </c>
      <c r="W86" s="314" cm="1">
        <f t="array" ref="W86">_xlfn.STDEV.S(IF(('3.1. Gas prod VF'!$L$13:$L$1230=$F86) *('3.1. Gas prod VF'!$M$13:$M$1230=$E86),'3.1. Gas prod VF'!$AP$13:$AP$1230))</f>
        <v>0.31959796173138727</v>
      </c>
      <c r="X86" s="314" cm="1">
        <f t="array" ref="X86">_xlfn.STDEV.S(IF(('3.1. Gas prod VF'!$L$13:$L$1230=$F86) *('3.1. Gas prod VF'!$M$13:$M$1230=$E86),'3.1. Gas prod VF'!$AQ$13:$AQ$1230))</f>
        <v>0.31799860414013503</v>
      </c>
      <c r="Y86" s="314" cm="1">
        <f t="array" ref="Y86">_xlfn.STDEV.S(IF(('3.1. Gas prod VF'!$L$13:$L$1230=$F86) *('3.1. Gas prod VF'!$M$13:$M$1230=$E86),'3.1. Gas prod VF'!$AR$13:$AR$1230))</f>
        <v>1.0990302126224145</v>
      </c>
      <c r="Z86" s="314" cm="1">
        <f t="array" ref="Z86">_xlfn.STDEV.S(IF(('3.1. Gas prod VF'!$L$13:$L$1230=$F86) *('3.1. Gas prod VF'!$M$13:$M$1230=$E86),'3.1. Gas prod VF'!$AS$13:$AS$1230))</f>
        <v>14.358312960775446</v>
      </c>
      <c r="AA86" s="314" cm="1">
        <f t="array" ref="AA86">_xlfn.STDEV.S(IF(('3.1. Gas prod VF'!$L$13:$L$1230=$F86) *('3.1. Gas prod VF'!$M$13:$M$1230=$E86),'3.1. Gas prod VF'!$AT$13:$AT$1230))</f>
        <v>0.50692771317368024</v>
      </c>
      <c r="AB86" s="314" cm="1">
        <f t="array" ref="AB86">_xlfn.STDEV.S(IF(('3.1. Gas prod VF'!$L$13:$L$1230=$F86) *('3.1. Gas prod VF'!$M$13:$M$1230=$E86),'3.1. Gas prod VF'!$AU$13:$AU$1230))</f>
        <v>0.60998078236897957</v>
      </c>
      <c r="AC86" s="314" cm="1">
        <f t="array" ref="AC86">_xlfn.STDEV.S(IF(('3.1. Gas prod VF'!$L$13:$L$1230=$F86) *('3.1. Gas prod VF'!$M$13:$M$1230=$E86),'3.1. Gas prod VF'!$AU$13:$AV$1230))</f>
        <v>13.890332238293263</v>
      </c>
      <c r="AD86" s="20"/>
      <c r="AE86" s="20"/>
    </row>
    <row r="87" spans="2:31" x14ac:dyDescent="0.35">
      <c r="B87" s="62">
        <f>'1. Information samples'!B87</f>
        <v>77</v>
      </c>
      <c r="C87" s="198">
        <f>'1. Information samples'!C87</f>
        <v>46048</v>
      </c>
      <c r="D87" s="62" t="str">
        <f>'1. Information samples'!D87</f>
        <v>Genbank</v>
      </c>
      <c r="E87" s="316">
        <f>'1. Information samples'!E87</f>
        <v>28</v>
      </c>
      <c r="F87" s="62" t="str">
        <f>'1. Information samples'!F87</f>
        <v>F252588</v>
      </c>
      <c r="G87" s="62" t="str">
        <f>'1. Information samples'!G87</f>
        <v>CIAT8014</v>
      </c>
      <c r="H87" s="62" t="str">
        <f>'1. Information samples'!H87</f>
        <v>Crotalaria</v>
      </c>
      <c r="I87" s="62" t="str">
        <f>'1. Information samples'!I87</f>
        <v>retusa</v>
      </c>
      <c r="J87" s="62" t="str">
        <f>'1. Information samples'!J87</f>
        <v>Crotalaria retusa</v>
      </c>
      <c r="K87" s="62" t="str">
        <f>'1. Information samples'!K87</f>
        <v>Fabaceae</v>
      </c>
      <c r="L87" s="62" t="str">
        <f>'1. Information samples'!L87</f>
        <v>Fabales</v>
      </c>
      <c r="M87" s="62" t="str">
        <f>'1. Information samples'!M87</f>
        <v>Herbaceous</v>
      </c>
      <c r="N87" s="314">
        <f>_xlfn.STDEV.S('3.1. Gas prod VF'!AG426,'3.1. Gas prod VF'!AG427,'3.1. Gas prod VF'!AG428,'3.1. Gas prod VF'!AG607,'3.1. Gas prod VF'!AG609,'3.1. Gas prod VF'!AG754,'3.1. Gas prod VF'!AG755)</f>
        <v>3.1741002408860441</v>
      </c>
      <c r="O87" s="314">
        <f>_xlfn.STDEV.S('3.1. Gas prod VF'!AH426,'3.1. Gas prod VF'!AH427,'3.1. Gas prod VF'!AH428,'3.1. Gas prod VF'!AH607,'3.1. Gas prod VF'!AH609,'3.1. Gas prod VF'!AH754,'3.1. Gas prod VF'!AH755)</f>
        <v>2.6830030337357846</v>
      </c>
      <c r="P87" s="314">
        <f>_xlfn.STDEV.S('3.1. Gas prod VF'!AI426,'3.1. Gas prod VF'!AI427,'3.1. Gas prod VF'!AI428,'3.1. Gas prod VF'!AI607,'3.1. Gas prod VF'!AI609,'3.1. Gas prod VF'!AI754,'3.1. Gas prod VF'!AI755)</f>
        <v>3.4135048980727869</v>
      </c>
      <c r="Q87" s="314">
        <f>_xlfn.STDEV.S('3.1. Gas prod VF'!AJ426,'3.1. Gas prod VF'!AJ427,'3.1. Gas prod VF'!AJ428,'3.1. Gas prod VF'!AJ607,'3.1. Gas prod VF'!AJ609,'3.1. Gas prod VF'!AJ754,'3.1. Gas prod VF'!AJ755)</f>
        <v>0.40534132532969525</v>
      </c>
      <c r="R87" s="314">
        <f>_xlfn.STDEV.S('3.1. Gas prod VF'!AK426,'3.1. Gas prod VF'!AK427,'3.1. Gas prod VF'!AK428,'3.1. Gas prod VF'!AK607,'3.1. Gas prod VF'!AK609,'3.1. Gas prod VF'!AK754,'3.1. Gas prod VF'!AK755)</f>
        <v>0.34567646444443045</v>
      </c>
      <c r="S87" s="314">
        <f>_xlfn.STDEV.S('3.1. Gas prod VF'!AL426,'3.1. Gas prod VF'!AL427,'3.1. Gas prod VF'!AL428,'3.1. Gas prod VF'!AL607,'3.1. Gas prod VF'!AL609,'3.1. Gas prod VF'!AL754,'3.1. Gas prod VF'!AL755)</f>
        <v>0.33985022310010427</v>
      </c>
      <c r="T87" s="314">
        <f>_xlfn.STDEV.S('3.1. Gas prod VF'!AM426,'3.1. Gas prod VF'!AM427,'3.1. Gas prod VF'!AM428,'3.1. Gas prod VF'!AM607,'3.1. Gas prod VF'!AM609,'3.1. Gas prod VF'!AM754,'3.1. Gas prod VF'!AM755)</f>
        <v>7.4752103175336302</v>
      </c>
      <c r="U87" s="314">
        <f>_xlfn.STDEV.S('3.1. Gas prod VF'!AN426,'3.1. Gas prod VF'!AN427,'3.1. Gas prod VF'!AN428,'3.1. Gas prod VF'!AN607,'3.1. Gas prod VF'!AN609,'3.1. Gas prod VF'!AN754,'3.1. Gas prod VF'!AN755)</f>
        <v>7.6264914468655061</v>
      </c>
      <c r="V87" s="314">
        <f>_xlfn.STDEV.S('3.1. Gas prod VF'!AO426,'3.1. Gas prod VF'!AO427,'3.1. Gas prod VF'!AO428,'3.1. Gas prod VF'!AO607,'3.1. Gas prod VF'!AO609,'3.1. Gas prod VF'!AO754,'3.1. Gas prod VF'!AO755)</f>
        <v>0.38086679983674987</v>
      </c>
      <c r="W87" s="314">
        <f>_xlfn.STDEV.S('3.1. Gas prod VF'!AP426,'3.1. Gas prod VF'!AP427,'3.1. Gas prod VF'!AP428,'3.1. Gas prod VF'!AP607,'3.1. Gas prod VF'!AP609,'3.1. Gas prod VF'!AP754,'3.1. Gas prod VF'!AP755)</f>
        <v>0.3401680257083049</v>
      </c>
      <c r="X87" s="314">
        <f>_xlfn.STDEV.S('3.1. Gas prod VF'!AQ426,'3.1. Gas prod VF'!AQ427,'3.1. Gas prod VF'!AQ428,'3.1. Gas prod VF'!AQ607,'3.1. Gas prod VF'!AQ609,'3.1. Gas prod VF'!AQ754,'3.1. Gas prod VF'!AQ755)</f>
        <v>0.24839158949710816</v>
      </c>
      <c r="Y87" s="314">
        <f>_xlfn.STDEV.S('3.1. Gas prod VF'!AR426,'3.1. Gas prod VF'!AR427,'3.1. Gas prod VF'!AR428,'3.1. Gas prod VF'!AR607,'3.1. Gas prod VF'!AR609,'3.1. Gas prod VF'!AR754,'3.1. Gas prod VF'!AR755)</f>
        <v>0.74776618094099667</v>
      </c>
      <c r="Z87" s="314">
        <f>_xlfn.STDEV.S('3.1. Gas prod VF'!AS426,'3.1. Gas prod VF'!AS427,'3.1. Gas prod VF'!AS428,'3.1. Gas prod VF'!AS607,'3.1. Gas prod VF'!AS609,'3.1. Gas prod VF'!AS754,'3.1. Gas prod VF'!AS755)</f>
        <v>6.9030396261032712</v>
      </c>
      <c r="AA87" s="314">
        <f>_xlfn.STDEV.S('3.1. Gas prod VF'!AT426,'3.1. Gas prod VF'!AT427,'3.1. Gas prod VF'!AT428,'3.1. Gas prod VF'!AT607,'3.1. Gas prod VF'!AT609,'3.1. Gas prod VF'!AT754,'3.1. Gas prod VF'!AT755)</f>
        <v>5.3112915299603047</v>
      </c>
      <c r="AB87" s="314">
        <f>_xlfn.STDEV.S('3.1. Gas prod VF'!AU426,'3.1. Gas prod VF'!AU427,'3.1. Gas prod VF'!AU428,'3.1. Gas prod VF'!AU607,'3.1. Gas prod VF'!AU609,'3.1. Gas prod VF'!AU754,'3.1. Gas prod VF'!AU755)</f>
        <v>0.41502316755341156</v>
      </c>
      <c r="AC87" s="314">
        <f>_xlfn.STDEV.S('3.1. Gas prod VF'!AV426,'3.1. Gas prod VF'!AV427,'3.1. Gas prod VF'!AV428,'3.1. Gas prod VF'!AV607,'3.1. Gas prod VF'!AV609,'3.1. Gas prod VF'!AV754,'3.1. Gas prod VF'!AV755)</f>
        <v>3.8313064222386397</v>
      </c>
      <c r="AD87" s="20"/>
      <c r="AE87" s="20"/>
    </row>
    <row r="88" spans="2:31" x14ac:dyDescent="0.35">
      <c r="B88" s="62">
        <f>'1. Information samples'!B88</f>
        <v>78</v>
      </c>
      <c r="C88" s="198">
        <f>'1. Information samples'!C88</f>
        <v>46048</v>
      </c>
      <c r="D88" s="62" t="str">
        <f>'1. Information samples'!D88</f>
        <v>Genbank</v>
      </c>
      <c r="E88" s="316">
        <f>'1. Information samples'!E88</f>
        <v>28</v>
      </c>
      <c r="F88" s="62" t="str">
        <f>'1. Information samples'!F88</f>
        <v>F252589</v>
      </c>
      <c r="G88" s="62" t="str">
        <f>'1. Information samples'!G88</f>
        <v>CIAT8849</v>
      </c>
      <c r="H88" s="62" t="str">
        <f>'1. Information samples'!H88</f>
        <v>Zornia</v>
      </c>
      <c r="I88" s="62" t="str">
        <f>'1. Information samples'!I88</f>
        <v>brasiliensis</v>
      </c>
      <c r="J88" s="62" t="str">
        <f>'1. Information samples'!J88</f>
        <v>Zornia brasiliensis</v>
      </c>
      <c r="K88" s="62" t="str">
        <f>'1. Information samples'!K88</f>
        <v>Fabaceae</v>
      </c>
      <c r="L88" s="62" t="str">
        <f>'1. Information samples'!L88</f>
        <v>Fabales</v>
      </c>
      <c r="M88" s="62" t="str">
        <f>'1. Information samples'!M88</f>
        <v>Herbaceous</v>
      </c>
      <c r="N88" s="314" cm="1">
        <f t="array" ref="N88">_xlfn.STDEV.S(IF(('3.1. Gas prod VF'!$L$13:$L$1230=$F88) *('3.1. Gas prod VF'!$M$13:$M$1230=$E88),'3.1. Gas prod VF'!$AG$13:$AG$1230))</f>
        <v>1.6807503922732383</v>
      </c>
      <c r="O88" s="314" cm="1">
        <f t="array" ref="O88">_xlfn.STDEV.S(IF(('3.1. Gas prod VF'!$L$13:$L$1230=$F88) *('3.1. Gas prod VF'!$M$13:$M$1230=$E88),'3.1. Gas prod VF'!$AH$13:$AH$1230))</f>
        <v>3.1663396717050518</v>
      </c>
      <c r="P88" s="314" cm="1">
        <f t="array" ref="P88">_xlfn.STDEV.S(IF(('3.1. Gas prod VF'!$L$13:$L$1230=$F88) *('3.1. Gas prod VF'!$M$13:$M$1230=$E88),'3.1. Gas prod VF'!$AI$13:$AI$1230))</f>
        <v>2.5189159136980837</v>
      </c>
      <c r="Q88" s="314" cm="1">
        <f t="array" ref="Q88">_xlfn.STDEV.S(IF(('3.1. Gas prod VF'!$L$13:$L$1230=$F88) *('3.1. Gas prod VF'!$M$13:$M$1230=$E88),'3.1. Gas prod VF'!$AJ$13:$AJ$1230))</f>
        <v>0.20917743135868011</v>
      </c>
      <c r="R88" s="314" cm="1">
        <f t="array" ref="R88">_xlfn.STDEV.S(IF(('3.1. Gas prod VF'!$L$13:$L$1230=$F88) *('3.1. Gas prod VF'!$M$13:$M$1230=$E88),'3.1. Gas prod VF'!$AK$13:$AK$1230))</f>
        <v>0.48240618846648214</v>
      </c>
      <c r="S88" s="314" cm="1">
        <f t="array" ref="S88">_xlfn.STDEV.S(IF(('3.1. Gas prod VF'!$L$13:$L$1230=$F88) *('3.1. Gas prod VF'!$M$13:$M$1230=$E88),'3.1. Gas prod VF'!$AL$13:$AL$1230))</f>
        <v>0.38614648347748881</v>
      </c>
      <c r="T88" s="314" cm="1">
        <f t="array" ref="T88">_xlfn.STDEV.S(IF(('3.1. Gas prod VF'!$L$13:$L$1230=$F88) *('3.1. Gas prod VF'!$M$13:$M$1230=$E88),'3.1. Gas prod VF'!$AM$13:$AM$1230))</f>
        <v>5.5736811501217973</v>
      </c>
      <c r="U88" s="314" cm="1">
        <f t="array" ref="U88">_xlfn.STDEV.S(IF(('3.1. Gas prod VF'!$L$13:$L$1230=$F88) *('3.1. Gas prod VF'!$M$13:$M$1230=$E88),'3.1. Gas prod VF'!$AN$13:$AN$1230))</f>
        <v>5.9764150150489987</v>
      </c>
      <c r="V88" s="314" cm="1">
        <f t="array" ref="V88">_xlfn.STDEV.S(IF(('3.1. Gas prod VF'!$L$13:$L$1230=$F88) *('3.1. Gas prod VF'!$M$13:$M$1230=$E88),'3.1. Gas prod VF'!$AO$13:$AO$1230))</f>
        <v>0.3858883205333194</v>
      </c>
      <c r="W88" s="314" cm="1">
        <f t="array" ref="W88">_xlfn.STDEV.S(IF(('3.1. Gas prod VF'!$L$13:$L$1230=$F88) *('3.1. Gas prod VF'!$M$13:$M$1230=$E88),'3.1. Gas prod VF'!$AP$13:$AP$1230))</f>
        <v>0.3380617018914065</v>
      </c>
      <c r="X88" s="314" cm="1">
        <f t="array" ref="X88">_xlfn.STDEV.S(IF(('3.1. Gas prod VF'!$L$13:$L$1230=$F88) *('3.1. Gas prod VF'!$M$13:$M$1230=$E88),'3.1. Gas prod VF'!$AQ$13:$AQ$1230))</f>
        <v>0.18383621449326179</v>
      </c>
      <c r="Y88" s="314" cm="1">
        <f t="array" ref="Y88">_xlfn.STDEV.S(IF(('3.1. Gas prod VF'!$L$13:$L$1230=$F88) *('3.1. Gas prod VF'!$M$13:$M$1230=$E88),'3.1. Gas prod VF'!$AR$13:$AR$1230))</f>
        <v>0.85437553623594098</v>
      </c>
      <c r="Z88" s="314" cm="1">
        <f t="array" ref="Z88">_xlfn.STDEV.S(IF(('3.1. Gas prod VF'!$L$13:$L$1230=$F88) *('3.1. Gas prod VF'!$M$13:$M$1230=$E88),'3.1. Gas prod VF'!$AS$13:$AS$1230))</f>
        <v>11.382865547208269</v>
      </c>
      <c r="AA88" s="314" cm="1">
        <f t="array" ref="AA88">_xlfn.STDEV.S(IF(('3.1. Gas prod VF'!$L$13:$L$1230=$F88) *('3.1. Gas prod VF'!$M$13:$M$1230=$E88),'3.1. Gas prod VF'!$AT$13:$AT$1230))</f>
        <v>0.52531278985481356</v>
      </c>
      <c r="AB88" s="314" cm="1">
        <f t="array" ref="AB88">_xlfn.STDEV.S(IF(('3.1. Gas prod VF'!$L$13:$L$1230=$F88) *('3.1. Gas prod VF'!$M$13:$M$1230=$E88),'3.1. Gas prod VF'!$AU$13:$AU$1230))</f>
        <v>0.47419320419461913</v>
      </c>
      <c r="AC88" s="314" cm="1">
        <f t="array" ref="AC88">_xlfn.STDEV.S(IF(('3.1. Gas prod VF'!$L$13:$L$1230=$F88) *('3.1. Gas prod VF'!$M$13:$M$1230=$E88),'3.1. Gas prod VF'!$AU$13:$AV$1230))</f>
        <v>12.665447319291463</v>
      </c>
      <c r="AD88" s="20"/>
      <c r="AE88" s="20"/>
    </row>
    <row r="89" spans="2:31" x14ac:dyDescent="0.35">
      <c r="B89" s="62">
        <f>'1. Information samples'!B89</f>
        <v>79</v>
      </c>
      <c r="C89" s="198">
        <f>'1. Information samples'!C89</f>
        <v>46048</v>
      </c>
      <c r="D89" s="62" t="str">
        <f>'1. Information samples'!D89</f>
        <v>Genbank</v>
      </c>
      <c r="E89" s="316">
        <f>'1. Information samples'!E89</f>
        <v>28</v>
      </c>
      <c r="F89" s="62" t="str">
        <f>'1. Information samples'!F89</f>
        <v>F252590</v>
      </c>
      <c r="G89" s="62" t="str">
        <f>'1. Information samples'!G89</f>
        <v>CIAT9326</v>
      </c>
      <c r="H89" s="62" t="str">
        <f>'1. Information samples'!H89</f>
        <v>Crotalaria</v>
      </c>
      <c r="I89" s="62" t="str">
        <f>'1. Information samples'!I89</f>
        <v>retusa</v>
      </c>
      <c r="J89" s="62" t="str">
        <f>'1. Information samples'!J89</f>
        <v>Crotalaria retusa</v>
      </c>
      <c r="K89" s="62" t="str">
        <f>'1. Information samples'!K89</f>
        <v>Fabaceae</v>
      </c>
      <c r="L89" s="62" t="str">
        <f>'1. Information samples'!L89</f>
        <v>Fabales</v>
      </c>
      <c r="M89" s="62" t="str">
        <f>'1. Information samples'!M89</f>
        <v>Herbaceous</v>
      </c>
      <c r="N89" s="314">
        <f>_xlfn.STDEV.S('3.1. Gas prod VF'!AG432,'3.1. Gas prod VF'!AG433,'3.1. Gas prod VF'!AG434,'3.1. Gas prod VF'!AG614,'3.1. Gas prod VF'!AG615,'3.1. Gas prod VF'!AG758,'3.1. Gas prod VF'!AG759)</f>
        <v>1.7492602975303153</v>
      </c>
      <c r="O89" s="314">
        <f>_xlfn.STDEV.S('3.1. Gas prod VF'!AH432,'3.1. Gas prod VF'!AH433,'3.1. Gas prod VF'!AH434,'3.1. Gas prod VF'!AH614,'3.1. Gas prod VF'!AH615,'3.1. Gas prod VF'!AH758,'3.1. Gas prod VF'!AH759)</f>
        <v>3.8034910450898383</v>
      </c>
      <c r="P89" s="314">
        <f>_xlfn.STDEV.S('3.1. Gas prod VF'!AI432,'3.1. Gas prod VF'!AI433,'3.1. Gas prod VF'!AI434,'3.1. Gas prod VF'!AI614,'3.1. Gas prod VF'!AI615,'3.1. Gas prod VF'!AI758,'3.1. Gas prod VF'!AI759)</f>
        <v>2.3972838180643588</v>
      </c>
      <c r="Q89" s="314">
        <f>_xlfn.STDEV.S('3.1. Gas prod VF'!AJ432,'3.1. Gas prod VF'!AJ433,'3.1. Gas prod VF'!AJ434,'3.1. Gas prod VF'!AJ614,'3.1. Gas prod VF'!AJ615,'3.1. Gas prod VF'!AJ758,'3.1. Gas prod VF'!AJ759)</f>
        <v>0.30531731831344971</v>
      </c>
      <c r="R89" s="314">
        <f>_xlfn.STDEV.S('3.1. Gas prod VF'!AK432,'3.1. Gas prod VF'!AK433,'3.1. Gas prod VF'!AK434,'3.1. Gas prod VF'!AK614,'3.1. Gas prod VF'!AK615,'3.1. Gas prod VF'!AK758,'3.1. Gas prod VF'!AK759)</f>
        <v>0.40541450037170512</v>
      </c>
      <c r="S89" s="314">
        <f>_xlfn.STDEV.S('3.1. Gas prod VF'!AL432,'3.1. Gas prod VF'!AL433,'3.1. Gas prod VF'!AL434,'3.1. Gas prod VF'!AL614,'3.1. Gas prod VF'!AL615,'3.1. Gas prod VF'!AL758,'3.1. Gas prod VF'!AL759)</f>
        <v>0.21656150800615107</v>
      </c>
      <c r="T89" s="314">
        <f>_xlfn.STDEV.S('3.1. Gas prod VF'!AM432,'3.1. Gas prod VF'!AM433,'3.1. Gas prod VF'!AM434,'3.1. Gas prod VF'!AM614,'3.1. Gas prod VF'!AM615,'3.1. Gas prod VF'!AM758,'3.1. Gas prod VF'!AM759)</f>
        <v>5.1903106949607416</v>
      </c>
      <c r="U89" s="314">
        <f>_xlfn.STDEV.S('3.1. Gas prod VF'!AN432,'3.1. Gas prod VF'!AN433,'3.1. Gas prod VF'!AN434,'3.1. Gas prod VF'!AN614,'3.1. Gas prod VF'!AN615,'3.1. Gas prod VF'!AN758,'3.1. Gas prod VF'!AN759)</f>
        <v>7.8803051464928116</v>
      </c>
      <c r="V89" s="314">
        <f>_xlfn.STDEV.S('3.1. Gas prod VF'!AO432,'3.1. Gas prod VF'!AO433,'3.1. Gas prod VF'!AO434,'3.1. Gas prod VF'!AO614,'3.1. Gas prod VF'!AO615,'3.1. Gas prod VF'!AO758,'3.1. Gas prod VF'!AO759)</f>
        <v>0.42993019526605997</v>
      </c>
      <c r="W89" s="314">
        <f>_xlfn.STDEV.S('3.1. Gas prod VF'!AP432,'3.1. Gas prod VF'!AP433,'3.1. Gas prod VF'!AP434,'3.1. Gas prod VF'!AP614,'3.1. Gas prod VF'!AP615,'3.1. Gas prod VF'!AP758,'3.1. Gas prod VF'!AP759)</f>
        <v>0.26992062325273131</v>
      </c>
      <c r="X89" s="314">
        <f>_xlfn.STDEV.S('3.1. Gas prod VF'!AQ432,'3.1. Gas prod VF'!AQ433,'3.1. Gas prod VF'!AQ434,'3.1. Gas prod VF'!AQ614,'3.1. Gas prod VF'!AQ615,'3.1. Gas prod VF'!AQ758,'3.1. Gas prod VF'!AQ759)</f>
        <v>0.26576404134017134</v>
      </c>
      <c r="Y89" s="314">
        <f>_xlfn.STDEV.S('3.1. Gas prod VF'!AR432,'3.1. Gas prod VF'!AR433,'3.1. Gas prod VF'!AR434,'3.1. Gas prod VF'!AR614,'3.1. Gas prod VF'!AR615,'3.1. Gas prod VF'!AR758,'3.1. Gas prod VF'!AR759)</f>
        <v>0.46430872228332815</v>
      </c>
      <c r="Z89" s="314">
        <f>_xlfn.STDEV.S('3.1. Gas prod VF'!AS432,'3.1. Gas prod VF'!AS433,'3.1. Gas prod VF'!AS434,'3.1. Gas prod VF'!AS614,'3.1. Gas prod VF'!AS615,'3.1. Gas prod VF'!AS758,'3.1. Gas prod VF'!AS759)</f>
        <v>11.464003634975656</v>
      </c>
      <c r="AA89" s="314">
        <f>_xlfn.STDEV.S('3.1. Gas prod VF'!AT432,'3.1. Gas prod VF'!AT433,'3.1. Gas prod VF'!AT434,'3.1. Gas prod VF'!AT614,'3.1. Gas prod VF'!AT615,'3.1. Gas prod VF'!AT758,'3.1. Gas prod VF'!AT759)</f>
        <v>2.4601399381782669</v>
      </c>
      <c r="AB89" s="314">
        <f>_xlfn.STDEV.S('3.1. Gas prod VF'!AU432,'3.1. Gas prod VF'!AU433,'3.1. Gas prod VF'!AU434,'3.1. Gas prod VF'!AU614,'3.1. Gas prod VF'!AU615,'3.1. Gas prod VF'!AU758,'3.1. Gas prod VF'!AU759)</f>
        <v>0.25769937389012393</v>
      </c>
      <c r="AC89" s="314">
        <f>_xlfn.STDEV.S('3.1. Gas prod VF'!AV432,'3.1. Gas prod VF'!AV433,'3.1. Gas prod VF'!AV434,'3.1. Gas prod VF'!AV614,'3.1. Gas prod VF'!AV615,'3.1. Gas prod VF'!AV758,'3.1. Gas prod VF'!AV759)</f>
        <v>6.3627203565747168</v>
      </c>
      <c r="AD89" s="20"/>
      <c r="AE89" s="20"/>
    </row>
    <row r="90" spans="2:31" x14ac:dyDescent="0.35">
      <c r="B90" s="62">
        <f>'1. Information samples'!B90</f>
        <v>80</v>
      </c>
      <c r="C90" s="198">
        <f>'1. Information samples'!C90</f>
        <v>46048</v>
      </c>
      <c r="D90" s="62" t="str">
        <f>'1. Information samples'!D90</f>
        <v>Genbank</v>
      </c>
      <c r="E90" s="316">
        <f>'1. Information samples'!E90</f>
        <v>28</v>
      </c>
      <c r="F90" s="62" t="str">
        <f>'1. Information samples'!F90</f>
        <v>F252591</v>
      </c>
      <c r="G90" s="62" t="str">
        <f>'1. Information samples'!G90</f>
        <v>CIAT9337</v>
      </c>
      <c r="H90" s="62" t="str">
        <f>'1. Information samples'!H90</f>
        <v>Crotalaria</v>
      </c>
      <c r="I90" s="62" t="str">
        <f>'1. Information samples'!I90</f>
        <v>retusa</v>
      </c>
      <c r="J90" s="62" t="str">
        <f>'1. Information samples'!J90</f>
        <v>Crotalaria retusa</v>
      </c>
      <c r="K90" s="62" t="str">
        <f>'1. Information samples'!K90</f>
        <v>Fabaceae</v>
      </c>
      <c r="L90" s="62" t="str">
        <f>'1. Information samples'!L90</f>
        <v>Fabales</v>
      </c>
      <c r="M90" s="62" t="str">
        <f>'1. Information samples'!M90</f>
        <v>Herbaceous</v>
      </c>
      <c r="N90" s="314">
        <f>_xlfn.STDEV.S('3.1. Gas prod VF'!AG435,'3.1. Gas prod VF'!AG437,'3.1. Gas prod VF'!AG436,'3.1. Gas prod VF'!AG616,'3.1. Gas prod VF'!AG617,'3.1. Gas prod VF'!AG618)</f>
        <v>1.0941175926940032</v>
      </c>
      <c r="O90" s="314">
        <f>_xlfn.STDEV.S('3.1. Gas prod VF'!AH435,'3.1. Gas prod VF'!AH437,'3.1. Gas prod VF'!AH436,'3.1. Gas prod VF'!AH616,'3.1. Gas prod VF'!AH617,'3.1. Gas prod VF'!AH618)</f>
        <v>2.0976176963403033</v>
      </c>
      <c r="P90" s="314">
        <f>_xlfn.STDEV.S('3.1. Gas prod VF'!AI435,'3.1. Gas prod VF'!AI437,'3.1. Gas prod VF'!AI436,'3.1. Gas prod VF'!AI616,'3.1. Gas prod VF'!AI617,'3.1. Gas prod VF'!AI618)</f>
        <v>2.9935082269834736</v>
      </c>
      <c r="Q90" s="314">
        <f>_xlfn.STDEV.S('3.1. Gas prod VF'!AJ435,'3.1. Gas prod VF'!AJ437,'3.1. Gas prod VF'!AJ436,'3.1. Gas prod VF'!AJ616,'3.1. Gas prod VF'!AJ617,'3.1. Gas prod VF'!AJ618)</f>
        <v>0.10808728008622182</v>
      </c>
      <c r="R90" s="314">
        <f>_xlfn.STDEV.S('3.1. Gas prod VF'!AK435,'3.1. Gas prod VF'!AK437,'3.1. Gas prod VF'!AK436,'3.1. Gas prod VF'!AK616,'3.1. Gas prod VF'!AK617,'3.1. Gas prod VF'!AK618)</f>
        <v>0.28077226453184967</v>
      </c>
      <c r="S90" s="314">
        <f>_xlfn.STDEV.S('3.1. Gas prod VF'!AL435,'3.1. Gas prod VF'!AL437,'3.1. Gas prod VF'!AL436,'3.1. Gas prod VF'!AL616,'3.1. Gas prod VF'!AL617,'3.1. Gas prod VF'!AL618)</f>
        <v>0.37628356719314104</v>
      </c>
      <c r="T90" s="314">
        <f>_xlfn.STDEV.S('3.1. Gas prod VF'!AM435,'3.1. Gas prod VF'!AM437,'3.1. Gas prod VF'!AM436,'3.1. Gas prod VF'!AM616,'3.1. Gas prod VF'!AM617,'3.1. Gas prod VF'!AM618)</f>
        <v>6.4822023862249099</v>
      </c>
      <c r="U90" s="314">
        <f>_xlfn.STDEV.S('3.1. Gas prod VF'!AN435,'3.1. Gas prod VF'!AN437,'3.1. Gas prod VF'!AN436,'3.1. Gas prod VF'!AN616,'3.1. Gas prod VF'!AN617,'3.1. Gas prod VF'!AN618)</f>
        <v>9.8442321292231902</v>
      </c>
      <c r="V90" s="314">
        <f>_xlfn.STDEV.S('3.1. Gas prod VF'!AO435,'3.1. Gas prod VF'!AO437,'3.1. Gas prod VF'!AO436,'3.1. Gas prod VF'!AO616,'3.1. Gas prod VF'!AO617,'3.1. Gas prod VF'!AO618)</f>
        <v>0.5284458796903827</v>
      </c>
      <c r="W90" s="314">
        <f>_xlfn.STDEV.S('3.1. Gas prod VF'!AP435,'3.1. Gas prod VF'!AP437,'3.1. Gas prod VF'!AP436,'3.1. Gas prod VF'!AP616,'3.1. Gas prod VF'!AP617,'3.1. Gas prod VF'!AP618)</f>
        <v>8.9442719099990076E-2</v>
      </c>
      <c r="X90" s="314">
        <f>_xlfn.STDEV.S('3.1. Gas prod VF'!AQ435,'3.1. Gas prod VF'!AQ437,'3.1. Gas prod VF'!AQ436,'3.1. Gas prod VF'!AQ616,'3.1. Gas prod VF'!AQ617,'3.1. Gas prod VF'!AQ618)</f>
        <v>0.15329209505366084</v>
      </c>
      <c r="Y90" s="314">
        <f>_xlfn.STDEV.S('3.1. Gas prod VF'!AR435,'3.1. Gas prod VF'!AR437,'3.1. Gas prod VF'!AR436,'3.1. Gas prod VF'!AR616,'3.1. Gas prod VF'!AR617,'3.1. Gas prod VF'!AR618)</f>
        <v>0.81235955706252605</v>
      </c>
      <c r="Z90" s="314">
        <f>_xlfn.STDEV.S('3.1. Gas prod VF'!AS435,'3.1. Gas prod VF'!AS437,'3.1. Gas prod VF'!AS436,'3.1. Gas prod VF'!AS616,'3.1. Gas prod VF'!AS617,'3.1. Gas prod VF'!AS618)</f>
        <v>11.507456882255164</v>
      </c>
      <c r="AA90" s="314">
        <f>_xlfn.STDEV.S('3.1. Gas prod VF'!AT435,'3.1. Gas prod VF'!AT437,'3.1. Gas prod VF'!AT436,'3.1. Gas prod VF'!AT616,'3.1. Gas prod VF'!AT617,'3.1. Gas prod VF'!AT618)</f>
        <v>1.1099588976071022</v>
      </c>
      <c r="AB90" s="314">
        <f>_xlfn.STDEV.S('3.1. Gas prod VF'!AU435,'3.1. Gas prod VF'!AU437,'3.1. Gas prod VF'!AU436,'3.1. Gas prod VF'!AU616,'3.1. Gas prod VF'!AU617,'3.1. Gas prod VF'!AU618)</f>
        <v>0.45087360883331995</v>
      </c>
      <c r="AC90" s="314">
        <f>_xlfn.STDEV.S('3.1. Gas prod VF'!AV435,'3.1. Gas prod VF'!AV437,'3.1. Gas prod VF'!AV436,'3.1. Gas prod VF'!AV616,'3.1. Gas prod VF'!AV617,'3.1. Gas prod VF'!AV618)</f>
        <v>6.3868376606011292</v>
      </c>
      <c r="AD90" s="20"/>
      <c r="AE90" s="20"/>
    </row>
    <row r="91" spans="2:31" x14ac:dyDescent="0.35">
      <c r="B91" s="62">
        <f>'1. Information samples'!B91</f>
        <v>81</v>
      </c>
      <c r="C91" s="198">
        <f>'1. Information samples'!C91</f>
        <v>46048</v>
      </c>
      <c r="D91" s="62" t="str">
        <f>'1. Information samples'!D91</f>
        <v>Genbank</v>
      </c>
      <c r="E91" s="316">
        <f>'1. Information samples'!E91</f>
        <v>28</v>
      </c>
      <c r="F91" s="62" t="str">
        <f>'1. Information samples'!F91</f>
        <v>F252592</v>
      </c>
      <c r="G91" s="62" t="str">
        <f>'1. Information samples'!G91</f>
        <v>CIAT9350</v>
      </c>
      <c r="H91" s="62" t="str">
        <f>'1. Information samples'!H91</f>
        <v>Crotalaria</v>
      </c>
      <c r="I91" s="62" t="str">
        <f>'1. Information samples'!I91</f>
        <v>pumila</v>
      </c>
      <c r="J91" s="62" t="str">
        <f>'1. Information samples'!J91</f>
        <v>Crotalaria pumila</v>
      </c>
      <c r="K91" s="62" t="str">
        <f>'1. Information samples'!K91</f>
        <v>Fabaceae</v>
      </c>
      <c r="L91" s="62" t="str">
        <f>'1. Information samples'!L91</f>
        <v>Fabales</v>
      </c>
      <c r="M91" s="62" t="str">
        <f>'1. Information samples'!M91</f>
        <v>Herbaceous</v>
      </c>
      <c r="N91" s="314" cm="1">
        <f t="array" ref="N91">_xlfn.STDEV.S(IF(('3.1. Gas prod VF'!$L$13:$L$1230=$F91) *('3.1. Gas prod VF'!$M$13:$M$1230=$E91),'3.1. Gas prod VF'!$AG$13:$AG$1230))</f>
        <v>2.0924830385764812</v>
      </c>
      <c r="O91" s="314" cm="1">
        <f t="array" ref="O91">_xlfn.STDEV.S(IF(('3.1. Gas prod VF'!$L$13:$L$1230=$F91) *('3.1. Gas prod VF'!$M$13:$M$1230=$E91),'3.1. Gas prod VF'!$AH$13:$AH$1230))</f>
        <v>2.720710697981616</v>
      </c>
      <c r="P91" s="314" cm="1">
        <f t="array" ref="P91">_xlfn.STDEV.S(IF(('3.1. Gas prod VF'!$L$13:$L$1230=$F91) *('3.1. Gas prod VF'!$M$13:$M$1230=$E91),'3.1. Gas prod VF'!$AI$13:$AI$1230))</f>
        <v>0.98450696485191791</v>
      </c>
      <c r="Q91" s="314" cm="1">
        <f t="array" ref="Q91">_xlfn.STDEV.S(IF(('3.1. Gas prod VF'!$L$13:$L$1230=$F91) *('3.1. Gas prod VF'!$M$13:$M$1230=$E91),'3.1. Gas prod VF'!$AJ$13:$AJ$1230))</f>
        <v>0.35496858054327446</v>
      </c>
      <c r="R91" s="314" cm="1">
        <f t="array" ref="R91">_xlfn.STDEV.S(IF(('3.1. Gas prod VF'!$L$13:$L$1230=$F91) *('3.1. Gas prod VF'!$M$13:$M$1230=$E91),'3.1. Gas prod VF'!$AK$13:$AK$1230))</f>
        <v>0.37539108458299963</v>
      </c>
      <c r="S91" s="314" cm="1">
        <f t="array" ref="S91">_xlfn.STDEV.S(IF(('3.1. Gas prod VF'!$L$13:$L$1230=$F91) *('3.1. Gas prod VF'!$M$13:$M$1230=$E91),'3.1. Gas prod VF'!$AL$13:$AL$1230))</f>
        <v>0.18244922876581326</v>
      </c>
      <c r="T91" s="314" cm="1">
        <f t="array" ref="T91">_xlfn.STDEV.S(IF(('3.1. Gas prod VF'!$L$13:$L$1230=$F91) *('3.1. Gas prod VF'!$M$13:$M$1230=$E91),'3.1. Gas prod VF'!$AM$13:$AM$1230))</f>
        <v>2.1115962649758724</v>
      </c>
      <c r="U91" s="314" cm="1">
        <f t="array" ref="U91">_xlfn.STDEV.S(IF(('3.1. Gas prod VF'!$L$13:$L$1230=$F91) *('3.1. Gas prod VF'!$M$13:$M$1230=$E91),'3.1. Gas prod VF'!$AN$13:$AN$1230))</f>
        <v>7.9775929653578537</v>
      </c>
      <c r="V91" s="314" cm="1">
        <f t="array" ref="V91">_xlfn.STDEV.S(IF(('3.1. Gas prod VF'!$L$13:$L$1230=$F91) *('3.1. Gas prod VF'!$M$13:$M$1230=$E91),'3.1. Gas prod VF'!$AO$13:$AO$1230))</f>
        <v>0.40198871183075791</v>
      </c>
      <c r="W91" s="314" cm="1">
        <f t="array" ref="W91">_xlfn.STDEV.S(IF(('3.1. Gas prod VF'!$L$13:$L$1230=$F91) *('3.1. Gas prod VF'!$M$13:$M$1230=$E91),'3.1. Gas prod VF'!$AP$13:$AP$1230))</f>
        <v>0.25495097567963948</v>
      </c>
      <c r="X91" s="314" cm="1">
        <f t="array" ref="X91">_xlfn.STDEV.S(IF(('3.1. Gas prod VF'!$L$13:$L$1230=$F91) *('3.1. Gas prod VF'!$M$13:$M$1230=$E91),'3.1. Gas prod VF'!$AQ$13:$AQ$1230))</f>
        <v>0.20566313541323769</v>
      </c>
      <c r="Y91" s="314" cm="1">
        <f t="array" ref="Y91">_xlfn.STDEV.S(IF(('3.1. Gas prod VF'!$L$13:$L$1230=$F91) *('3.1. Gas prod VF'!$M$13:$M$1230=$E91),'3.1. Gas prod VF'!$AR$13:$AR$1230))</f>
        <v>0.39767080392816512</v>
      </c>
      <c r="Z91" s="314" cm="1">
        <f t="array" ref="Z91">_xlfn.STDEV.S(IF(('3.1. Gas prod VF'!$L$13:$L$1230=$F91) *('3.1. Gas prod VF'!$M$13:$M$1230=$E91),'3.1. Gas prod VF'!$AS$13:$AS$1230))</f>
        <v>6.9245201253720481</v>
      </c>
      <c r="AA91" s="314" cm="1">
        <f t="array" ref="AA91">_xlfn.STDEV.S(IF(('3.1. Gas prod VF'!$L$13:$L$1230=$F91) *('3.1. Gas prod VF'!$M$13:$M$1230=$E91),'3.1. Gas prod VF'!$AT$13:$AT$1230))</f>
        <v>1.0416973732129531</v>
      </c>
      <c r="AB91" s="314" cm="1">
        <f t="array" ref="AB91">_xlfn.STDEV.S(IF(('3.1. Gas prod VF'!$L$13:$L$1230=$F91) *('3.1. Gas prod VF'!$M$13:$M$1230=$E91),'3.1. Gas prod VF'!$AU$13:$AU$1230))</f>
        <v>0.22071417629784643</v>
      </c>
      <c r="AC91" s="314" cm="1">
        <f t="array" ref="AC91">_xlfn.STDEV.S(IF(('3.1. Gas prod VF'!$L$13:$L$1230=$F91) *('3.1. Gas prod VF'!$M$13:$M$1230=$E91),'3.1. Gas prod VF'!$AU$13:$AV$1230))</f>
        <v>6.1030523168702553</v>
      </c>
      <c r="AD91" s="20"/>
      <c r="AE91" s="20"/>
    </row>
    <row r="92" spans="2:31" x14ac:dyDescent="0.35">
      <c r="B92" s="62">
        <f>'1. Information samples'!B92</f>
        <v>82</v>
      </c>
      <c r="C92" s="198">
        <f>'1. Information samples'!C92</f>
        <v>46048</v>
      </c>
      <c r="D92" s="62" t="str">
        <f>'1. Information samples'!D92</f>
        <v>Genbank</v>
      </c>
      <c r="E92" s="316">
        <f>'1. Information samples'!E92</f>
        <v>28</v>
      </c>
      <c r="F92" s="62" t="str">
        <f>'1. Information samples'!F92</f>
        <v>F252593</v>
      </c>
      <c r="G92" s="62" t="str">
        <f>'1. Information samples'!G92</f>
        <v>CIAT9352</v>
      </c>
      <c r="H92" s="62" t="str">
        <f>'1. Information samples'!H92</f>
        <v>Crotalaria</v>
      </c>
      <c r="I92" s="62" t="str">
        <f>'1. Information samples'!I92</f>
        <v>pumila</v>
      </c>
      <c r="J92" s="62" t="str">
        <f>'1. Information samples'!J92</f>
        <v>Crotalaria pumila</v>
      </c>
      <c r="K92" s="62" t="str">
        <f>'1. Information samples'!K92</f>
        <v>Fabaceae</v>
      </c>
      <c r="L92" s="62" t="str">
        <f>'1. Information samples'!L92</f>
        <v>Fabales</v>
      </c>
      <c r="M92" s="62" t="str">
        <f>'1. Information samples'!M92</f>
        <v>Herbaceous</v>
      </c>
      <c r="N92" s="314" cm="1">
        <f t="array" ref="N92">_xlfn.STDEV.S(IF(('3.1. Gas prod VF'!$L$13:$L$1230=$F92) *('3.1. Gas prod VF'!$M$13:$M$1230=$E92),'3.1. Gas prod VF'!$AG$13:$AG$1230))</f>
        <v>2.1244125320782659</v>
      </c>
      <c r="O92" s="314" cm="1">
        <f t="array" ref="O92">_xlfn.STDEV.S(IF(('3.1. Gas prod VF'!$L$13:$L$1230=$F92) *('3.1. Gas prod VF'!$M$13:$M$1230=$E92),'3.1. Gas prod VF'!$AH$13:$AH$1230))</f>
        <v>1.9778369207671918</v>
      </c>
      <c r="P92" s="314" cm="1">
        <f t="array" ref="P92">_xlfn.STDEV.S(IF(('3.1. Gas prod VF'!$L$13:$L$1230=$F92) *('3.1. Gas prod VF'!$M$13:$M$1230=$E92),'3.1. Gas prod VF'!$AI$13:$AI$1230))</f>
        <v>2.5298262285290583</v>
      </c>
      <c r="Q92" s="314" cm="1">
        <f t="array" ref="Q92">_xlfn.STDEV.S(IF(('3.1. Gas prod VF'!$L$13:$L$1230=$F92) *('3.1. Gas prod VF'!$M$13:$M$1230=$E92),'3.1. Gas prod VF'!$AJ$13:$AJ$1230))</f>
        <v>0.36474337597242229</v>
      </c>
      <c r="R92" s="314" cm="1">
        <f t="array" ref="R92">_xlfn.STDEV.S(IF(('3.1. Gas prod VF'!$L$13:$L$1230=$F92) *('3.1. Gas prod VF'!$M$13:$M$1230=$E92),'3.1. Gas prod VF'!$AK$13:$AK$1230))</f>
        <v>0.28575995538907806</v>
      </c>
      <c r="S92" s="314" cm="1">
        <f t="array" ref="S92">_xlfn.STDEV.S(IF(('3.1. Gas prod VF'!$L$13:$L$1230=$F92) *('3.1. Gas prod VF'!$M$13:$M$1230=$E92),'3.1. Gas prod VF'!$AL$13:$AL$1230))</f>
        <v>0.42502312356899902</v>
      </c>
      <c r="T92" s="314" cm="1">
        <f t="array" ref="T92">_xlfn.STDEV.S(IF(('3.1. Gas prod VF'!$L$13:$L$1230=$F92) *('3.1. Gas prod VF'!$M$13:$M$1230=$E92),'3.1. Gas prod VF'!$AM$13:$AM$1230))</f>
        <v>5.3929426882858991</v>
      </c>
      <c r="U92" s="314" cm="1">
        <f t="array" ref="U92">_xlfn.STDEV.S(IF(('3.1. Gas prod VF'!$L$13:$L$1230=$F92) *('3.1. Gas prod VF'!$M$13:$M$1230=$E92),'3.1. Gas prod VF'!$AN$13:$AN$1230))</f>
        <v>7.1607819325488471</v>
      </c>
      <c r="V92" s="314" cm="1">
        <f t="array" ref="V92">_xlfn.STDEV.S(IF(('3.1. Gas prod VF'!$L$13:$L$1230=$F92) *('3.1. Gas prod VF'!$M$13:$M$1230=$E92),'3.1. Gas prod VF'!$AO$13:$AO$1230))</f>
        <v>0.42441198444565242</v>
      </c>
      <c r="W92" s="314" cm="1">
        <f t="array" ref="W92">_xlfn.STDEV.S(IF(('3.1. Gas prod VF'!$L$13:$L$1230=$F92) *('3.1. Gas prod VF'!$M$13:$M$1230=$E92),'3.1. Gas prod VF'!$AP$13:$AP$1230))</f>
        <v>0.26186146828319101</v>
      </c>
      <c r="X92" s="314" cm="1">
        <f t="array" ref="X92">_xlfn.STDEV.S(IF(('3.1. Gas prod VF'!$L$13:$L$1230=$F92) *('3.1. Gas prod VF'!$M$13:$M$1230=$E92),'3.1. Gas prod VF'!$AQ$13:$AQ$1230))</f>
        <v>0.223776294482289</v>
      </c>
      <c r="Y92" s="314" cm="1">
        <f t="array" ref="Y92">_xlfn.STDEV.S(IF(('3.1. Gas prod VF'!$L$13:$L$1230=$F92) *('3.1. Gas prod VF'!$M$13:$M$1230=$E92),'3.1. Gas prod VF'!$AR$13:$AR$1230))</f>
        <v>0.90641851641858451</v>
      </c>
      <c r="Z92" s="314" cm="1">
        <f t="array" ref="Z92">_xlfn.STDEV.S(IF(('3.1. Gas prod VF'!$L$13:$L$1230=$F92) *('3.1. Gas prod VF'!$M$13:$M$1230=$E92),'3.1. Gas prod VF'!$AS$13:$AS$1230))</f>
        <v>9.7369458171790182</v>
      </c>
      <c r="AA92" s="314" cm="1">
        <f t="array" ref="AA92">_xlfn.STDEV.S(IF(('3.1. Gas prod VF'!$L$13:$L$1230=$F92) *('3.1. Gas prod VF'!$M$13:$M$1230=$E92),'3.1. Gas prod VF'!$AT$13:$AT$1230))</f>
        <v>11.822138989603442</v>
      </c>
      <c r="AB92" s="314" cm="1">
        <f t="array" ref="AB92">_xlfn.STDEV.S(IF(('3.1. Gas prod VF'!$L$13:$L$1230=$F92) *('3.1. Gas prod VF'!$M$13:$M$1230=$E92),'3.1. Gas prod VF'!$AU$13:$AU$1230))</f>
        <v>0.50307795859356763</v>
      </c>
      <c r="AC92" s="314" cm="1">
        <f t="array" ref="AC92">_xlfn.STDEV.S(IF(('3.1. Gas prod VF'!$L$13:$L$1230=$F92) *('3.1. Gas prod VF'!$M$13:$M$1230=$E92),'3.1. Gas prod VF'!$AU$13:$AV$1230))</f>
        <v>9.6139743147446719</v>
      </c>
      <c r="AD92" s="20"/>
      <c r="AE92" s="20"/>
    </row>
    <row r="93" spans="2:31" x14ac:dyDescent="0.35">
      <c r="B93" s="62">
        <f>'1. Information samples'!B93</f>
        <v>83</v>
      </c>
      <c r="C93" s="198">
        <f>'1. Information samples'!C93</f>
        <v>46048</v>
      </c>
      <c r="D93" s="62" t="str">
        <f>'1. Information samples'!D93</f>
        <v>Genbank</v>
      </c>
      <c r="E93" s="316">
        <f>'1. Information samples'!E93</f>
        <v>28</v>
      </c>
      <c r="F93" s="62" t="str">
        <f>'1. Information samples'!F93</f>
        <v>F252594</v>
      </c>
      <c r="G93" s="62" t="str">
        <f>'1. Information samples'!G93</f>
        <v>CIAT9472</v>
      </c>
      <c r="H93" s="62" t="str">
        <f>'1. Information samples'!H93</f>
        <v>Zornia</v>
      </c>
      <c r="I93" s="62" t="str">
        <f>'1. Information samples'!I93</f>
        <v>brasiliensis</v>
      </c>
      <c r="J93" s="62" t="str">
        <f>'1. Information samples'!J93</f>
        <v>Zornia brasiliensis</v>
      </c>
      <c r="K93" s="62" t="str">
        <f>'1. Information samples'!K93</f>
        <v>Fabaceae</v>
      </c>
      <c r="L93" s="62" t="str">
        <f>'1. Information samples'!L93</f>
        <v>Fabales</v>
      </c>
      <c r="M93" s="62" t="str">
        <f>'1. Information samples'!M93</f>
        <v>Herbaceous</v>
      </c>
      <c r="N93" s="314">
        <f>_xlfn.STDEV.S('3.1. Gas prod VF'!AG444,'3.1. Gas prod VF'!AG445,'3.1. Gas prod VF'!AG446,'3.1. Gas prod VF'!AG625,'3.1. Gas prod VF'!AG626,'3.1. Gas prod VF'!AG766,'3.1. Gas prod VF'!AG767)</f>
        <v>2.1193345667589885</v>
      </c>
      <c r="O93" s="314">
        <f>_xlfn.STDEV.S('3.1. Gas prod VF'!AH444,'3.1. Gas prod VF'!AH445,'3.1. Gas prod VF'!AH446,'3.1. Gas prod VF'!AH625,'3.1. Gas prod VF'!AH626,'3.1. Gas prod VF'!AH766,'3.1. Gas prod VF'!AH767)</f>
        <v>2.8574237885408174</v>
      </c>
      <c r="P93" s="314">
        <f>_xlfn.STDEV.S('3.1. Gas prod VF'!AI444,'3.1. Gas prod VF'!AI445,'3.1. Gas prod VF'!AI446,'3.1. Gas prod VF'!AI625,'3.1. Gas prod VF'!AI626,'3.1. Gas prod VF'!AI766,'3.1. Gas prod VF'!AI767)</f>
        <v>3.4688145429333019</v>
      </c>
      <c r="Q93" s="314">
        <f>_xlfn.STDEV.S('3.1. Gas prod VF'!AJ444,'3.1. Gas prod VF'!AJ445,'3.1. Gas prod VF'!AJ446,'3.1. Gas prod VF'!AJ625,'3.1. Gas prod VF'!AJ626,'3.1. Gas prod VF'!AJ766,'3.1. Gas prod VF'!AJ767)</f>
        <v>0.31224547708500761</v>
      </c>
      <c r="R93" s="314">
        <f>_xlfn.STDEV.S('3.1. Gas prod VF'!AK444,'3.1. Gas prod VF'!AK445,'3.1. Gas prod VF'!AK446,'3.1. Gas prod VF'!AK625,'3.1. Gas prod VF'!AK626,'3.1. Gas prod VF'!AK766,'3.1. Gas prod VF'!AK767)</f>
        <v>0.45138801045357413</v>
      </c>
      <c r="S93" s="314">
        <f>_xlfn.STDEV.S('3.1. Gas prod VF'!AL444,'3.1. Gas prod VF'!AL445,'3.1. Gas prod VF'!AL446,'3.1. Gas prod VF'!AL625,'3.1. Gas prod VF'!AL626,'3.1. Gas prod VF'!AL766,'3.1. Gas prod VF'!AL767)</f>
        <v>0.58697239579061111</v>
      </c>
      <c r="T93" s="314">
        <f>_xlfn.STDEV.S('3.1. Gas prod VF'!AM444,'3.1. Gas prod VF'!AM445,'3.1. Gas prod VF'!AM446,'3.1. Gas prod VF'!AM625,'3.1. Gas prod VF'!AM626,'3.1. Gas prod VF'!AM766,'3.1. Gas prod VF'!AM767)</f>
        <v>7.5064062084119261</v>
      </c>
      <c r="U93" s="314">
        <f>_xlfn.STDEV.S('3.1. Gas prod VF'!AN444,'3.1. Gas prod VF'!AN445,'3.1. Gas prod VF'!AN446,'3.1. Gas prod VF'!AN625,'3.1. Gas prod VF'!AN626,'3.1. Gas prod VF'!AN766,'3.1. Gas prod VF'!AN767)</f>
        <v>8.8470052170100342</v>
      </c>
      <c r="V93" s="314">
        <f>_xlfn.STDEV.S('3.1. Gas prod VF'!AO444,'3.1. Gas prod VF'!AO445,'3.1. Gas prod VF'!AO446,'3.1. Gas prod VF'!AO625,'3.1. Gas prod VF'!AO626,'3.1. Gas prod VF'!AO766,'3.1. Gas prod VF'!AO767)</f>
        <v>0.73987349526096913</v>
      </c>
      <c r="W93" s="314">
        <f>_xlfn.STDEV.S('3.1. Gas prod VF'!AP444,'3.1. Gas prod VF'!AP445,'3.1. Gas prod VF'!AP446,'3.1. Gas prod VF'!AP625,'3.1. Gas prod VF'!AP626,'3.1. Gas prod VF'!AP766,'3.1. Gas prod VF'!AP767)</f>
        <v>0.19760470401187122</v>
      </c>
      <c r="X93" s="314">
        <f>_xlfn.STDEV.S('3.1. Gas prod VF'!AQ444,'3.1. Gas prod VF'!AQ445,'3.1. Gas prod VF'!AQ446,'3.1. Gas prod VF'!AQ625,'3.1. Gas prod VF'!AQ626,'3.1. Gas prod VF'!AQ766,'3.1. Gas prod VF'!AQ767)</f>
        <v>0.17889964994233812</v>
      </c>
      <c r="Y93" s="314">
        <f>_xlfn.STDEV.S('3.1. Gas prod VF'!AR444,'3.1. Gas prod VF'!AR445,'3.1. Gas prod VF'!AR446,'3.1. Gas prod VF'!AR625,'3.1. Gas prod VF'!AR626,'3.1. Gas prod VF'!AR766,'3.1. Gas prod VF'!AR767)</f>
        <v>1.2711201133888528</v>
      </c>
      <c r="Z93" s="314">
        <f>_xlfn.STDEV.S('3.1. Gas prod VF'!AS444,'3.1. Gas prod VF'!AS445,'3.1. Gas prod VF'!AS446,'3.1. Gas prod VF'!AS625,'3.1. Gas prod VF'!AS626,'3.1. Gas prod VF'!AS766,'3.1. Gas prod VF'!AS767)</f>
        <v>19.045890402920786</v>
      </c>
      <c r="AA93" s="314">
        <f>_xlfn.STDEV.S('3.1. Gas prod VF'!AT444,'3.1. Gas prod VF'!AT445,'3.1. Gas prod VF'!AT446,'3.1. Gas prod VF'!AT625,'3.1. Gas prod VF'!AT626,'3.1. Gas prod VF'!AT766,'3.1. Gas prod VF'!AT767)</f>
        <v>0.20888780605654797</v>
      </c>
      <c r="AB93" s="314">
        <f>_xlfn.STDEV.S('3.1. Gas prod VF'!AU444,'3.1. Gas prod VF'!AU445,'3.1. Gas prod VF'!AU446,'3.1. Gas prod VF'!AU625,'3.1. Gas prod VF'!AU626,'3.1. Gas prod VF'!AU766,'3.1. Gas prod VF'!AU767)</f>
        <v>0.70549365462827596</v>
      </c>
      <c r="AC93" s="314">
        <f>_xlfn.STDEV.S('3.1. Gas prod VF'!AV444,'3.1. Gas prod VF'!AV445,'3.1. Gas prod VF'!AV446,'3.1. Gas prod VF'!AV625,'3.1. Gas prod VF'!AV626,'3.1. Gas prod VF'!AV766,'3.1. Gas prod VF'!AV767)</f>
        <v>10.57079868729584</v>
      </c>
      <c r="AD93" s="20"/>
      <c r="AE93" s="20"/>
    </row>
    <row r="94" spans="2:31" x14ac:dyDescent="0.35">
      <c r="B94" s="62">
        <f>'1. Information samples'!B94</f>
        <v>84</v>
      </c>
      <c r="C94" s="198">
        <f>'1. Information samples'!C94</f>
        <v>46048</v>
      </c>
      <c r="D94" s="62" t="str">
        <f>'1. Information samples'!D94</f>
        <v>Genbank</v>
      </c>
      <c r="E94" s="316">
        <f>'1. Information samples'!E94</f>
        <v>28</v>
      </c>
      <c r="F94" s="62" t="str">
        <f>'1. Information samples'!F94</f>
        <v>F252595</v>
      </c>
      <c r="G94" s="62" t="str">
        <f>'1. Information samples'!G94</f>
        <v>CIAT9531</v>
      </c>
      <c r="H94" s="62" t="str">
        <f>'1. Information samples'!H94</f>
        <v>Indigofera</v>
      </c>
      <c r="I94" s="62" t="str">
        <f>'1. Information samples'!I94</f>
        <v>spicata</v>
      </c>
      <c r="J94" s="62" t="str">
        <f>'1. Information samples'!J94</f>
        <v>Indigofera spicata</v>
      </c>
      <c r="K94" s="62" t="str">
        <f>'1. Information samples'!K94</f>
        <v>Fabaceae</v>
      </c>
      <c r="L94" s="62" t="str">
        <f>'1. Information samples'!L94</f>
        <v>Fabales</v>
      </c>
      <c r="M94" s="62" t="str">
        <f>'1. Information samples'!M94</f>
        <v>Herbaceous</v>
      </c>
      <c r="N94" s="314">
        <f>_xlfn.STDEV.S('3.1. Gas prod VF'!AG447,'3.1. Gas prod VF'!AG448,'3.1. Gas prod VF'!AG449,'3.1. Gas prod VF'!AG628,'3.1. Gas prod VF'!AG630,'3.1. Gas prod VF'!AG768,'3.1. Gas prod VF'!AG769)</f>
        <v>1.7392974700061823</v>
      </c>
      <c r="O94" s="314">
        <f>_xlfn.STDEV.S('3.1. Gas prod VF'!AH447,'3.1. Gas prod VF'!AH448,'3.1. Gas prod VF'!AH449,'3.1. Gas prod VF'!AH628,'3.1. Gas prod VF'!AH630,'3.1. Gas prod VF'!AH768,'3.1. Gas prod VF'!AH769)</f>
        <v>2.2888072053839501</v>
      </c>
      <c r="P94" s="314">
        <f>_xlfn.STDEV.S('3.1. Gas prod VF'!AI447,'3.1. Gas prod VF'!AI448,'3.1. Gas prod VF'!AI449,'3.1. Gas prod VF'!AI628,'3.1. Gas prod VF'!AI630,'3.1. Gas prod VF'!AI768,'3.1. Gas prod VF'!AI769)</f>
        <v>2.567883969909269</v>
      </c>
      <c r="Q94" s="314">
        <f>_xlfn.STDEV.S('3.1. Gas prod VF'!AJ447,'3.1. Gas prod VF'!AJ448,'3.1. Gas prod VF'!AJ449,'3.1. Gas prod VF'!AJ628,'3.1. Gas prod VF'!AJ630,'3.1. Gas prod VF'!AJ768,'3.1. Gas prod VF'!AJ769)</f>
        <v>0.24908099613162915</v>
      </c>
      <c r="R94" s="314">
        <f>_xlfn.STDEV.S('3.1. Gas prod VF'!AK447,'3.1. Gas prod VF'!AK448,'3.1. Gas prod VF'!AK449,'3.1. Gas prod VF'!AK628,'3.1. Gas prod VF'!AK630,'3.1. Gas prod VF'!AK768,'3.1. Gas prod VF'!AK769)</f>
        <v>0.39553553320391421</v>
      </c>
      <c r="S94" s="314">
        <f>_xlfn.STDEV.S('3.1. Gas prod VF'!AL447,'3.1. Gas prod VF'!AL448,'3.1. Gas prod VF'!AL449,'3.1. Gas prod VF'!AL628,'3.1. Gas prod VF'!AL630,'3.1. Gas prod VF'!AL768,'3.1. Gas prod VF'!AL769)</f>
        <v>0.39283224480516815</v>
      </c>
      <c r="T94" s="314">
        <f>_xlfn.STDEV.S('3.1. Gas prod VF'!AM447,'3.1. Gas prod VF'!AM448,'3.1. Gas prod VF'!AM449,'3.1. Gas prod VF'!AM628,'3.1. Gas prod VF'!AM630,'3.1. Gas prod VF'!AM768,'3.1. Gas prod VF'!AM769)</f>
        <v>5.593422010137199</v>
      </c>
      <c r="U94" s="314">
        <f>_xlfn.STDEV.S('3.1. Gas prod VF'!AN447,'3.1. Gas prod VF'!AN448,'3.1. Gas prod VF'!AN449,'3.1. Gas prod VF'!AN628,'3.1. Gas prod VF'!AN630,'3.1. Gas prod VF'!AN768,'3.1. Gas prod VF'!AN769)</f>
        <v>5.4441278891251503</v>
      </c>
      <c r="V94" s="314">
        <f>_xlfn.STDEV.S('3.1. Gas prod VF'!AO447,'3.1. Gas prod VF'!AO448,'3.1. Gas prod VF'!AO449,'3.1. Gas prod VF'!AO628,'3.1. Gas prod VF'!AO630,'3.1. Gas prod VF'!AO768,'3.1. Gas prod VF'!AO769)</f>
        <v>0.3758514925649139</v>
      </c>
      <c r="W94" s="314">
        <f>_xlfn.STDEV.S('3.1. Gas prod VF'!AP447,'3.1. Gas prod VF'!AP448,'3.1. Gas prod VF'!AP449,'3.1. Gas prod VF'!AP628,'3.1. Gas prod VF'!AP630,'3.1. Gas prod VF'!AP768,'3.1. Gas prod VF'!AP769)</f>
        <v>0.1889822365046141</v>
      </c>
      <c r="X94" s="314">
        <f>_xlfn.STDEV.S('3.1. Gas prod VF'!AQ447,'3.1. Gas prod VF'!AQ448,'3.1. Gas prod VF'!AQ449,'3.1. Gas prod VF'!AQ628,'3.1. Gas prod VF'!AQ630,'3.1. Gas prod VF'!AQ768,'3.1. Gas prod VF'!AQ769)</f>
        <v>0.33578364469506627</v>
      </c>
      <c r="Y94" s="314">
        <f>_xlfn.STDEV.S('3.1. Gas prod VF'!AR447,'3.1. Gas prod VF'!AR448,'3.1. Gas prod VF'!AR449,'3.1. Gas prod VF'!AR628,'3.1. Gas prod VF'!AR630,'3.1. Gas prod VF'!AR768,'3.1. Gas prod VF'!AR769)</f>
        <v>0.85664624207941087</v>
      </c>
      <c r="Z94" s="314">
        <f>_xlfn.STDEV.S('3.1. Gas prod VF'!AS447,'3.1. Gas prod VF'!AS448,'3.1. Gas prod VF'!AS449,'3.1. Gas prod VF'!AS628,'3.1. Gas prod VF'!AS630,'3.1. Gas prod VF'!AS768,'3.1. Gas prod VF'!AS769)</f>
        <v>5.9056578476459727</v>
      </c>
      <c r="AA94" s="314">
        <f>_xlfn.STDEV.S('3.1. Gas prod VF'!AT447,'3.1. Gas prod VF'!AT448,'3.1. Gas prod VF'!AT449,'3.1. Gas prod VF'!AT628,'3.1. Gas prod VF'!AT630,'3.1. Gas prod VF'!AT768,'3.1. Gas prod VF'!AT769)</f>
        <v>1.3044069467197568</v>
      </c>
      <c r="AB94" s="314">
        <f>_xlfn.STDEV.S('3.1. Gas prod VF'!AU447,'3.1. Gas prod VF'!AU448,'3.1. Gas prod VF'!AU449,'3.1. Gas prod VF'!AU628,'3.1. Gas prod VF'!AU630,'3.1. Gas prod VF'!AU768,'3.1. Gas prod VF'!AU769)</f>
        <v>0.47545348522331282</v>
      </c>
      <c r="AC94" s="314">
        <f>_xlfn.STDEV.S('3.1. Gas prod VF'!AV447,'3.1. Gas prod VF'!AV448,'3.1. Gas prod VF'!AV449,'3.1. Gas prod VF'!AV628,'3.1. Gas prod VF'!AV630,'3.1. Gas prod VF'!AV768,'3.1. Gas prod VF'!AV769)</f>
        <v>3.2777422794547473</v>
      </c>
      <c r="AD94" s="20"/>
      <c r="AE94" s="20"/>
    </row>
    <row r="95" spans="2:31" x14ac:dyDescent="0.35">
      <c r="B95" s="62">
        <f>'1. Information samples'!B95</f>
        <v>85</v>
      </c>
      <c r="C95" s="198">
        <f>'1. Information samples'!C95</f>
        <v>46048</v>
      </c>
      <c r="D95" s="62" t="str">
        <f>'1. Information samples'!D95</f>
        <v>Genbank</v>
      </c>
      <c r="E95" s="316">
        <f>'1. Information samples'!E95</f>
        <v>28</v>
      </c>
      <c r="F95" s="62" t="str">
        <f>'1. Information samples'!F95</f>
        <v>F252596</v>
      </c>
      <c r="G95" s="62" t="str">
        <f>'1. Information samples'!G95</f>
        <v>CIAT10026</v>
      </c>
      <c r="H95" s="62" t="str">
        <f>'1. Information samples'!H95</f>
        <v>Stylosanthes</v>
      </c>
      <c r="I95" s="62" t="str">
        <f>'1. Information samples'!I95</f>
        <v>seabrana</v>
      </c>
      <c r="J95" s="62" t="str">
        <f>'1. Information samples'!J95</f>
        <v>Stylosanthes seabrana</v>
      </c>
      <c r="K95" s="62" t="str">
        <f>'1. Information samples'!K95</f>
        <v>Fabaceae</v>
      </c>
      <c r="L95" s="62" t="str">
        <f>'1. Information samples'!L95</f>
        <v>Fabales</v>
      </c>
      <c r="M95" s="62" t="str">
        <f>'1. Information samples'!M95</f>
        <v>Herbaceous</v>
      </c>
      <c r="N95" s="314">
        <f>_xlfn.STDEV.S('3.1. Gas prod VF'!AG450,'3.1. Gas prod VF'!AG452,'3.1. Gas prod VF'!AG451,'3.1. Gas prod VF'!AG631,'3.1. Gas prod VF'!AG632,'3.1. Gas prod VF'!AG770,'3.1. Gas prod VF'!AG771)</f>
        <v>1.7272085646820865</v>
      </c>
      <c r="O95" s="314">
        <f>_xlfn.STDEV.S('3.1. Gas prod VF'!AH450,'3.1. Gas prod VF'!AH452,'3.1. Gas prod VF'!AH451,'3.1. Gas prod VF'!AH631,'3.1. Gas prod VF'!AH632,'3.1. Gas prod VF'!AH770,'3.1. Gas prod VF'!AH771)</f>
        <v>2.5323283767357756</v>
      </c>
      <c r="P95" s="314">
        <f>_xlfn.STDEV.S('3.1. Gas prod VF'!AI450,'3.1. Gas prod VF'!AI452,'3.1. Gas prod VF'!AI451,'3.1. Gas prod VF'!AI631,'3.1. Gas prod VF'!AI632,'3.1. Gas prod VF'!AI770,'3.1. Gas prod VF'!AI771)</f>
        <v>2.734594443994081</v>
      </c>
      <c r="Q95" s="314">
        <f>_xlfn.STDEV.S('3.1. Gas prod VF'!AJ450,'3.1. Gas prod VF'!AJ452,'3.1. Gas prod VF'!AJ451,'3.1. Gas prod VF'!AJ631,'3.1. Gas prod VF'!AJ632,'3.1. Gas prod VF'!AJ770,'3.1. Gas prod VF'!AJ771)</f>
        <v>0.22027745954430403</v>
      </c>
      <c r="R95" s="314">
        <f>_xlfn.STDEV.S('3.1. Gas prod VF'!AK450,'3.1. Gas prod VF'!AK452,'3.1. Gas prod VF'!AK451,'3.1. Gas prod VF'!AK631,'3.1. Gas prod VF'!AK632,'3.1. Gas prod VF'!AK770,'3.1. Gas prod VF'!AK771)</f>
        <v>0.32409080775673593</v>
      </c>
      <c r="S95" s="314">
        <f>_xlfn.STDEV.S('3.1. Gas prod VF'!AL450,'3.1. Gas prod VF'!AL452,'3.1. Gas prod VF'!AL451,'3.1. Gas prod VF'!AL631,'3.1. Gas prod VF'!AL632,'3.1. Gas prod VF'!AL770,'3.1. Gas prod VF'!AL771)</f>
        <v>0.38626035003690368</v>
      </c>
      <c r="T95" s="314">
        <f>_xlfn.STDEV.S('3.1. Gas prod VF'!AM450,'3.1. Gas prod VF'!AM452,'3.1. Gas prod VF'!AM451,'3.1. Gas prod VF'!AM631,'3.1. Gas prod VF'!AM632,'3.1. Gas prod VF'!AM770,'3.1. Gas prod VF'!AM771)</f>
        <v>5.8859380708699289</v>
      </c>
      <c r="U95" s="314">
        <f>_xlfn.STDEV.S('3.1. Gas prod VF'!AN450,'3.1. Gas prod VF'!AN452,'3.1. Gas prod VF'!AN451,'3.1. Gas prod VF'!AN631,'3.1. Gas prod VF'!AN632,'3.1. Gas prod VF'!AN770,'3.1. Gas prod VF'!AN771)</f>
        <v>9.4388042202257694</v>
      </c>
      <c r="V95" s="314">
        <f>_xlfn.STDEV.S('3.1. Gas prod VF'!AO450,'3.1. Gas prod VF'!AO452,'3.1. Gas prod VF'!AO451,'3.1. Gas prod VF'!AO631,'3.1. Gas prod VF'!AO632,'3.1. Gas prod VF'!AO770,'3.1. Gas prod VF'!AO771)</f>
        <v>0.57068504355072136</v>
      </c>
      <c r="W95" s="314">
        <f>_xlfn.STDEV.S('3.1. Gas prod VF'!AP450,'3.1. Gas prod VF'!AP452,'3.1. Gas prod VF'!AP451,'3.1. Gas prod VF'!AP631,'3.1. Gas prod VF'!AP632,'3.1. Gas prod VF'!AP770,'3.1. Gas prod VF'!AP771)</f>
        <v>0.20354009783964302</v>
      </c>
      <c r="X95" s="314">
        <f>_xlfn.STDEV.S('3.1. Gas prod VF'!AQ450,'3.1. Gas prod VF'!AQ452,'3.1. Gas prod VF'!AQ451,'3.1. Gas prod VF'!AQ631,'3.1. Gas prod VF'!AQ632,'3.1. Gas prod VF'!AQ770,'3.1. Gas prod VF'!AQ771)</f>
        <v>0.20930785476350564</v>
      </c>
      <c r="Y95" s="314">
        <f>_xlfn.STDEV.S('3.1. Gas prod VF'!AR450,'3.1. Gas prod VF'!AR452,'3.1. Gas prod VF'!AR451,'3.1. Gas prod VF'!AR631,'3.1. Gas prod VF'!AR632,'3.1. Gas prod VF'!AR770,'3.1. Gas prod VF'!AR771)</f>
        <v>0.83095320396134931</v>
      </c>
      <c r="Z95" s="314">
        <f>_xlfn.STDEV.S('3.1. Gas prod VF'!AS450,'3.1. Gas prod VF'!AS452,'3.1. Gas prod VF'!AS451,'3.1. Gas prod VF'!AS631,'3.1. Gas prod VF'!AS632,'3.1. Gas prod VF'!AS770,'3.1. Gas prod VF'!AS771)</f>
        <v>10.786569628816428</v>
      </c>
      <c r="AA95" s="314">
        <f>_xlfn.STDEV.S('3.1. Gas prod VF'!AT450,'3.1. Gas prod VF'!AT452,'3.1. Gas prod VF'!AT451,'3.1. Gas prod VF'!AT631,'3.1. Gas prod VF'!AT632,'3.1. Gas prod VF'!AT770,'3.1. Gas prod VF'!AT771)</f>
        <v>4.8096662698884911</v>
      </c>
      <c r="AB95" s="314">
        <f>_xlfn.STDEV.S('3.1. Gas prod VF'!AU450,'3.1. Gas prod VF'!AU452,'3.1. Gas prod VF'!AU451,'3.1. Gas prod VF'!AU631,'3.1. Gas prod VF'!AU632,'3.1. Gas prod VF'!AU770,'3.1. Gas prod VF'!AU771)</f>
        <v>0.46119340455155816</v>
      </c>
      <c r="AC95" s="314">
        <f>_xlfn.STDEV.S('3.1. Gas prod VF'!AV450,'3.1. Gas prod VF'!AV452,'3.1. Gas prod VF'!AV451,'3.1. Gas prod VF'!AV631,'3.1. Gas prod VF'!AV632,'3.1. Gas prod VF'!AV770,'3.1. Gas prod VF'!AV771)</f>
        <v>5.9867327628448317</v>
      </c>
      <c r="AD95" s="20"/>
      <c r="AE95" s="20"/>
    </row>
    <row r="96" spans="2:31" x14ac:dyDescent="0.35">
      <c r="B96" s="62">
        <f>'1. Information samples'!B96</f>
        <v>86</v>
      </c>
      <c r="C96" s="198">
        <f>'1. Information samples'!C96</f>
        <v>46048</v>
      </c>
      <c r="D96" s="62" t="str">
        <f>'1. Information samples'!D96</f>
        <v>Genbank</v>
      </c>
      <c r="E96" s="316">
        <f>'1. Information samples'!E96</f>
        <v>28</v>
      </c>
      <c r="F96" s="62" t="str">
        <f>'1. Information samples'!F96</f>
        <v>F252597</v>
      </c>
      <c r="G96" s="62" t="str">
        <f>'1. Information samples'!G96</f>
        <v>CIAT12411</v>
      </c>
      <c r="H96" s="62" t="str">
        <f>'1. Information samples'!H96</f>
        <v>Stylosanthes</v>
      </c>
      <c r="I96" s="62" t="str">
        <f>'1. Information samples'!I96</f>
        <v>sympodialis</v>
      </c>
      <c r="J96" s="62" t="str">
        <f>'1. Information samples'!J96</f>
        <v>Stylosanthes sympodialis</v>
      </c>
      <c r="K96" s="62" t="str">
        <f>'1. Information samples'!K96</f>
        <v>Fabaceae</v>
      </c>
      <c r="L96" s="62" t="str">
        <f>'1. Information samples'!L96</f>
        <v>Fabales</v>
      </c>
      <c r="M96" s="62" t="str">
        <f>'1. Information samples'!M96</f>
        <v>Herbaceous</v>
      </c>
      <c r="N96" s="314">
        <f>_xlfn.STDEV.S('3.1. Gas prod VF'!AG453,'3.1. Gas prod VF'!AG454,'3.1. Gas prod VF'!AG455,'3.1. Gas prod VF'!AG635,'3.1. Gas prod VF'!AG636,'3.1. Gas prod VF'!AG772,'3.1. Gas prod VF'!AG773)</f>
        <v>2.688318702900883</v>
      </c>
      <c r="O96" s="314">
        <f>_xlfn.STDEV.S('3.1. Gas prod VF'!AH453,'3.1. Gas prod VF'!AH454,'3.1. Gas prod VF'!AH455,'3.1. Gas prod VF'!AH635,'3.1. Gas prod VF'!AH636,'3.1. Gas prod VF'!AH772,'3.1. Gas prod VF'!AH773)</f>
        <v>1.3247498042989216</v>
      </c>
      <c r="P96" s="314">
        <f>_xlfn.STDEV.S('3.1. Gas prod VF'!AI453,'3.1. Gas prod VF'!AI454,'3.1. Gas prod VF'!AI455,'3.1. Gas prod VF'!AI635,'3.1. Gas prod VF'!AI636,'3.1. Gas prod VF'!AI772,'3.1. Gas prod VF'!AI773)</f>
        <v>2.0279445222716825</v>
      </c>
      <c r="Q96" s="314">
        <f>_xlfn.STDEV.S('3.1. Gas prod VF'!AJ453,'3.1. Gas prod VF'!AJ454,'3.1. Gas prod VF'!AJ455,'3.1. Gas prod VF'!AJ635,'3.1. Gas prod VF'!AJ636,'3.1. Gas prod VF'!AJ772,'3.1. Gas prod VF'!AJ773)</f>
        <v>0.35379432594043031</v>
      </c>
      <c r="R96" s="314">
        <f>_xlfn.STDEV.S('3.1. Gas prod VF'!AK453,'3.1. Gas prod VF'!AK454,'3.1. Gas prod VF'!AK455,'3.1. Gas prod VF'!AK635,'3.1. Gas prod VF'!AK636,'3.1. Gas prod VF'!AK772,'3.1. Gas prod VF'!AK773)</f>
        <v>0.14167875256450471</v>
      </c>
      <c r="S96" s="314">
        <f>_xlfn.STDEV.S('3.1. Gas prod VF'!AL453,'3.1. Gas prod VF'!AL454,'3.1. Gas prod VF'!AL455,'3.1. Gas prod VF'!AL635,'3.1. Gas prod VF'!AL636,'3.1. Gas prod VF'!AL772,'3.1. Gas prod VF'!AL773)</f>
        <v>0.31838911727904767</v>
      </c>
      <c r="T96" s="314">
        <f>_xlfn.STDEV.S('3.1. Gas prod VF'!AM453,'3.1. Gas prod VF'!AM454,'3.1. Gas prod VF'!AM455,'3.1. Gas prod VF'!AM635,'3.1. Gas prod VF'!AM636,'3.1. Gas prod VF'!AM772,'3.1. Gas prod VF'!AM773)</f>
        <v>4.4312162230602397</v>
      </c>
      <c r="U96" s="314">
        <f>_xlfn.STDEV.S('3.1. Gas prod VF'!AN453,'3.1. Gas prod VF'!AN454,'3.1. Gas prod VF'!AN455,'3.1. Gas prod VF'!AN635,'3.1. Gas prod VF'!AN636,'3.1. Gas prod VF'!AN772,'3.1. Gas prod VF'!AN773)</f>
        <v>5.7722425060603832</v>
      </c>
      <c r="V96" s="314">
        <f>_xlfn.STDEV.S('3.1. Gas prod VF'!AO453,'3.1. Gas prod VF'!AO454,'3.1. Gas prod VF'!AO455,'3.1. Gas prod VF'!AO635,'3.1. Gas prod VF'!AO636,'3.1. Gas prod VF'!AO772,'3.1. Gas prod VF'!AO773)</f>
        <v>0.36131462039217144</v>
      </c>
      <c r="W96" s="314">
        <f>_xlfn.STDEV.S('3.1. Gas prod VF'!AP453,'3.1. Gas prod VF'!AP454,'3.1. Gas prod VF'!AP455,'3.1. Gas prod VF'!AP635,'3.1. Gas prod VF'!AP636,'3.1. Gas prod VF'!AP772,'3.1. Gas prod VF'!AP773)</f>
        <v>0.32513733362117297</v>
      </c>
      <c r="X96" s="314">
        <f>_xlfn.STDEV.S('3.1. Gas prod VF'!AQ453,'3.1. Gas prod VF'!AQ454,'3.1. Gas prod VF'!AQ455,'3.1. Gas prod VF'!AQ635,'3.1. Gas prod VF'!AQ636,'3.1. Gas prod VF'!AQ772,'3.1. Gas prod VF'!AQ773)</f>
        <v>0.1852799442372389</v>
      </c>
      <c r="Y96" s="314">
        <f>_xlfn.STDEV.S('3.1. Gas prod VF'!AR453,'3.1. Gas prod VF'!AR454,'3.1. Gas prod VF'!AR455,'3.1. Gas prod VF'!AR635,'3.1. Gas prod VF'!AR636,'3.1. Gas prod VF'!AR772,'3.1. Gas prod VF'!AR773)</f>
        <v>0.69558025569462023</v>
      </c>
      <c r="Z96" s="314">
        <f>_xlfn.STDEV.S('3.1. Gas prod VF'!AS453,'3.1. Gas prod VF'!AS454,'3.1. Gas prod VF'!AS455,'3.1. Gas prod VF'!AS635,'3.1. Gas prod VF'!AS636,'3.1. Gas prod VF'!AS772,'3.1. Gas prod VF'!AS773)</f>
        <v>5.5591276073516491</v>
      </c>
      <c r="AA96" s="314">
        <f>_xlfn.STDEV.S('3.1. Gas prod VF'!AT453,'3.1. Gas prod VF'!AT454,'3.1. Gas prod VF'!AT455,'3.1. Gas prod VF'!AT635,'3.1. Gas prod VF'!AT636,'3.1. Gas prod VF'!AT772,'3.1. Gas prod VF'!AT773)</f>
        <v>0.23910936637025496</v>
      </c>
      <c r="AB96" s="314">
        <f>_xlfn.STDEV.S('3.1. Gas prod VF'!AU453,'3.1. Gas prod VF'!AU454,'3.1. Gas prod VF'!AU455,'3.1. Gas prod VF'!AU635,'3.1. Gas prod VF'!AU636,'3.1. Gas prod VF'!AU772,'3.1. Gas prod VF'!AU773)</f>
        <v>0.38605907617099372</v>
      </c>
      <c r="AC96" s="314">
        <f>_xlfn.STDEV.S('3.1. Gas prod VF'!AV453,'3.1. Gas prod VF'!AV454,'3.1. Gas prod VF'!AV455,'3.1. Gas prod VF'!AV635,'3.1. Gas prod VF'!AV636,'3.1. Gas prod VF'!AV772,'3.1. Gas prod VF'!AV773)</f>
        <v>3.0854120007585655</v>
      </c>
      <c r="AD96" s="20"/>
      <c r="AE96" s="20"/>
    </row>
    <row r="97" spans="2:31" x14ac:dyDescent="0.35">
      <c r="B97" s="62">
        <f>'1. Information samples'!B97</f>
        <v>87</v>
      </c>
      <c r="C97" s="198">
        <f>'1. Information samples'!C97</f>
        <v>46048</v>
      </c>
      <c r="D97" s="62" t="str">
        <f>'1. Information samples'!D97</f>
        <v>Genbank</v>
      </c>
      <c r="E97" s="316">
        <f>'1. Information samples'!E97</f>
        <v>28</v>
      </c>
      <c r="F97" s="62" t="str">
        <f>'1. Information samples'!F97</f>
        <v>F252598</v>
      </c>
      <c r="G97" s="62" t="str">
        <f>'1. Information samples'!G97</f>
        <v>CIAT13494</v>
      </c>
      <c r="H97" s="62" t="str">
        <f>'1. Information samples'!H97</f>
        <v>Desmodium</v>
      </c>
      <c r="I97" s="62" t="str">
        <f>'1. Information samples'!I97</f>
        <v>tortuosum</v>
      </c>
      <c r="J97" s="62" t="str">
        <f>'1. Information samples'!J97</f>
        <v>Desmodium tortuosum</v>
      </c>
      <c r="K97" s="62" t="str">
        <f>'1. Information samples'!K97</f>
        <v>Fabaceae</v>
      </c>
      <c r="L97" s="62" t="str">
        <f>'1. Information samples'!L97</f>
        <v>Fabales</v>
      </c>
      <c r="M97" s="62" t="str">
        <f>'1. Information samples'!M97</f>
        <v>Shurb_Tree</v>
      </c>
      <c r="N97" s="314" cm="1">
        <f t="array" ref="N97">_xlfn.STDEV.S(IF(('3.1. Gas prod VF'!$L$13:$L$1230=$F97) *('3.1. Gas prod VF'!$M$13:$M$1230=$E97),'3.1. Gas prod VF'!$AG$13:$AG$1230))</f>
        <v>2.5302995730408022</v>
      </c>
      <c r="O97" s="314" cm="1">
        <f t="array" ref="O97">_xlfn.STDEV.S(IF(('3.1. Gas prod VF'!$L$13:$L$1230=$F97) *('3.1. Gas prod VF'!$M$13:$M$1230=$E97),'3.1. Gas prod VF'!$AH$13:$AH$1230))</f>
        <v>2.6378062533819167</v>
      </c>
      <c r="P97" s="314" cm="1">
        <f t="array" ref="P97">_xlfn.STDEV.S(IF(('3.1. Gas prod VF'!$L$13:$L$1230=$F97) *('3.1. Gas prod VF'!$M$13:$M$1230=$E97),'3.1. Gas prod VF'!$AI$13:$AI$1230))</f>
        <v>4.0253273805511744</v>
      </c>
      <c r="Q97" s="314" cm="1">
        <f t="array" ref="Q97">_xlfn.STDEV.S(IF(('3.1. Gas prod VF'!$L$13:$L$1230=$F97) *('3.1. Gas prod VF'!$M$13:$M$1230=$E97),'3.1. Gas prod VF'!$AJ$13:$AJ$1230))</f>
        <v>0.3579759508559649</v>
      </c>
      <c r="R97" s="314" cm="1">
        <f t="array" ref="R97">_xlfn.STDEV.S(IF(('3.1. Gas prod VF'!$L$13:$L$1230=$F97) *('3.1. Gas prod VF'!$M$13:$M$1230=$E97),'3.1. Gas prod VF'!$AK$13:$AK$1230))</f>
        <v>0.38095834259595229</v>
      </c>
      <c r="S97" s="314" cm="1">
        <f t="array" ref="S97">_xlfn.STDEV.S(IF(('3.1. Gas prod VF'!$L$13:$L$1230=$F97) *('3.1. Gas prod VF'!$M$13:$M$1230=$E97),'3.1. Gas prod VF'!$AL$13:$AL$1230))</f>
        <v>0.55292560566371529</v>
      </c>
      <c r="T97" s="314" cm="1">
        <f t="array" ref="T97">_xlfn.STDEV.S(IF(('3.1. Gas prod VF'!$L$13:$L$1230=$F97) *('3.1. Gas prod VF'!$M$13:$M$1230=$E97),'3.1. Gas prod VF'!$AM$13:$AM$1230))</f>
        <v>8.7281125288767818</v>
      </c>
      <c r="U97" s="314" cm="1">
        <f t="array" ref="U97">_xlfn.STDEV.S(IF(('3.1. Gas prod VF'!$L$13:$L$1230=$F97) *('3.1. Gas prod VF'!$M$13:$M$1230=$E97),'3.1. Gas prod VF'!$AN$13:$AN$1230))</f>
        <v>9.5288237109799745</v>
      </c>
      <c r="V97" s="314" cm="1">
        <f t="array" ref="V97">_xlfn.STDEV.S(IF(('3.1. Gas prod VF'!$L$13:$L$1230=$F97) *('3.1. Gas prod VF'!$M$13:$M$1230=$E97),'3.1. Gas prod VF'!$AO$13:$AO$1230))</f>
        <v>0.65587676413563678</v>
      </c>
      <c r="W97" s="314" cm="1">
        <f t="array" ref="W97">_xlfn.STDEV.S(IF(('3.1. Gas prod VF'!$L$13:$L$1230=$F97) *('3.1. Gas prod VF'!$M$13:$M$1230=$E97),'3.1. Gas prod VF'!$AP$13:$AP$1230))</f>
        <v>0.19594095320493121</v>
      </c>
      <c r="X97" s="314" cm="1">
        <f t="array" ref="X97">_xlfn.STDEV.S(IF(('3.1. Gas prod VF'!$L$13:$L$1230=$F97) *('3.1. Gas prod VF'!$M$13:$M$1230=$E97),'3.1. Gas prod VF'!$AQ$13:$AQ$1230))</f>
        <v>8.230508507990858E-2</v>
      </c>
      <c r="Y97" s="314" cm="1">
        <f t="array" ref="Y97">_xlfn.STDEV.S(IF(('3.1. Gas prod VF'!$L$13:$L$1230=$F97) *('3.1. Gas prod VF'!$M$13:$M$1230=$E97),'3.1. Gas prod VF'!$AR$13:$AR$1230))</f>
        <v>1.1985859320744252</v>
      </c>
      <c r="Z97" s="314" cm="1">
        <f t="array" ref="Z97">_xlfn.STDEV.S(IF(('3.1. Gas prod VF'!$L$13:$L$1230=$F97) *('3.1. Gas prod VF'!$M$13:$M$1230=$E97),'3.1. Gas prod VF'!$AS$13:$AS$1230))</f>
        <v>12.452911104540686</v>
      </c>
      <c r="AA97" s="314" cm="1">
        <f t="array" ref="AA97">_xlfn.STDEV.S(IF(('3.1. Gas prod VF'!$L$13:$L$1230=$F97) *('3.1. Gas prod VF'!$M$13:$M$1230=$E97),'3.1. Gas prod VF'!$AT$13:$AT$1230))</f>
        <v>0.84261474483181698</v>
      </c>
      <c r="AB97" s="314" cm="1">
        <f t="array" ref="AB97">_xlfn.STDEV.S(IF(('3.1. Gas prod VF'!$L$13:$L$1230=$F97) *('3.1. Gas prod VF'!$M$13:$M$1230=$E97),'3.1. Gas prod VF'!$AU$13:$AU$1230))</f>
        <v>0.66523592908213869</v>
      </c>
      <c r="AC97" s="314" cm="1">
        <f t="array" ref="AC97">_xlfn.STDEV.S(IF(('3.1. Gas prod VF'!$L$13:$L$1230=$F97) *('3.1. Gas prod VF'!$M$13:$M$1230=$E97),'3.1. Gas prod VF'!$AU$13:$AV$1230))</f>
        <v>9.9040690339706252</v>
      </c>
      <c r="AD97" s="20"/>
      <c r="AE97" s="20"/>
    </row>
    <row r="98" spans="2:31" x14ac:dyDescent="0.35">
      <c r="B98" s="62">
        <f>'1. Information samples'!B98</f>
        <v>88</v>
      </c>
      <c r="C98" s="198">
        <f>'1. Information samples'!C98</f>
        <v>46048</v>
      </c>
      <c r="D98" s="62" t="str">
        <f>'1. Information samples'!D98</f>
        <v>Genbank</v>
      </c>
      <c r="E98" s="316">
        <f>'1. Information samples'!E98</f>
        <v>28</v>
      </c>
      <c r="F98" s="62" t="str">
        <f>'1. Information samples'!F98</f>
        <v>F252599</v>
      </c>
      <c r="G98" s="62" t="str">
        <f>'1. Information samples'!G98</f>
        <v>CIAT13562</v>
      </c>
      <c r="H98" s="62" t="str">
        <f>'1. Information samples'!H98</f>
        <v>Desmodium</v>
      </c>
      <c r="I98" s="62" t="str">
        <f>'1. Information samples'!I98</f>
        <v>tortuosum</v>
      </c>
      <c r="J98" s="62" t="str">
        <f>'1. Information samples'!J98</f>
        <v>Desmodium tortuosum</v>
      </c>
      <c r="K98" s="62" t="str">
        <f>'1. Information samples'!K98</f>
        <v>Fabaceae</v>
      </c>
      <c r="L98" s="62" t="str">
        <f>'1. Information samples'!L98</f>
        <v>Fabales</v>
      </c>
      <c r="M98" s="62" t="str">
        <f>'1. Information samples'!M98</f>
        <v>Shurb_Tree</v>
      </c>
      <c r="N98" s="314">
        <f>_xlfn.STDEV.S('3.1. Gas prod VF'!AG459,'3.1. Gas prod VF'!AG460,'3.1. Gas prod VF'!AG461,'3.1. Gas prod VF'!AG641,'3.1. Gas prod VF'!AG776,'3.1. Gas prod VF'!AG777)</f>
        <v>3.3300509395473203</v>
      </c>
      <c r="O98" s="314">
        <f>_xlfn.STDEV.S('3.1. Gas prod VF'!AH459,'3.1. Gas prod VF'!AH460,'3.1. Gas prod VF'!AH461,'3.1. Gas prod VF'!AH641,'3.1. Gas prod VF'!AH776,'3.1. Gas prod VF'!AH777)</f>
        <v>3.7229574545100839</v>
      </c>
      <c r="P98" s="314">
        <f>_xlfn.STDEV.S('3.1. Gas prod VF'!AI459,'3.1. Gas prod VF'!AI460,'3.1. Gas prod VF'!AI461,'3.1. Gas prod VF'!AI641,'3.1. Gas prod VF'!AI776,'3.1. Gas prod VF'!AI777)</f>
        <v>5.2086129788161699</v>
      </c>
      <c r="Q98" s="314">
        <f>_xlfn.STDEV.S('3.1. Gas prod VF'!AJ459,'3.1. Gas prod VF'!AJ460,'3.1. Gas prod VF'!AJ461,'3.1. Gas prod VF'!AJ641,'3.1. Gas prod VF'!AJ776,'3.1. Gas prod VF'!AJ777)</f>
        <v>0.55851724235561151</v>
      </c>
      <c r="R98" s="314">
        <f>_xlfn.STDEV.S('3.1. Gas prod VF'!AK459,'3.1. Gas prod VF'!AK460,'3.1. Gas prod VF'!AK461,'3.1. Gas prod VF'!AK641,'3.1. Gas prod VF'!AK776,'3.1. Gas prod VF'!AK777)</f>
        <v>0.55034981590325549</v>
      </c>
      <c r="S98" s="314">
        <f>_xlfn.STDEV.S('3.1. Gas prod VF'!AL459,'3.1. Gas prod VF'!AL460,'3.1. Gas prod VF'!AL461,'3.1. Gas prod VF'!AL641,'3.1. Gas prod VF'!AL776,'3.1. Gas prod VF'!AL777)</f>
        <v>0.83906664600937564</v>
      </c>
      <c r="T98" s="314">
        <f>_xlfn.STDEV.S('3.1. Gas prod VF'!AM459,'3.1. Gas prod VF'!AM460,'3.1. Gas prod VF'!AM461,'3.1. Gas prod VF'!AM641,'3.1. Gas prod VF'!AM776,'3.1. Gas prod VF'!AM777)</f>
        <v>11.39797990344216</v>
      </c>
      <c r="U98" s="314">
        <f>_xlfn.STDEV.S('3.1. Gas prod VF'!AN459,'3.1. Gas prod VF'!AN460,'3.1. Gas prod VF'!AN461,'3.1. Gas prod VF'!AN641,'3.1. Gas prod VF'!AN776,'3.1. Gas prod VF'!AN777)</f>
        <v>3.155062059548885</v>
      </c>
      <c r="V98" s="314">
        <f>_xlfn.STDEV.S('3.1. Gas prod VF'!AO459,'3.1. Gas prod VF'!AO460,'3.1. Gas prod VF'!AO461,'3.1. Gas prod VF'!AO641,'3.1. Gas prod VF'!AO776,'3.1. Gas prod VF'!AO777)</f>
        <v>0.39012830116444813</v>
      </c>
      <c r="W98" s="314">
        <f>_xlfn.STDEV.S('3.1. Gas prod VF'!AP459,'3.1. Gas prod VF'!AP460,'3.1. Gas prod VF'!AP461,'3.1. Gas prod VF'!AP641,'3.1. Gas prod VF'!AP776,'3.1. Gas prod VF'!AP777)</f>
        <v>0.34448028487370064</v>
      </c>
      <c r="X98" s="314">
        <f>_xlfn.STDEV.S('3.1. Gas prod VF'!AQ459,'3.1. Gas prod VF'!AQ460,'3.1. Gas prod VF'!AQ461,'3.1. Gas prod VF'!AQ641,'3.1. Gas prod VF'!AQ776,'3.1. Gas prod VF'!AQ777)</f>
        <v>0.27971992334577839</v>
      </c>
      <c r="Y98" s="314">
        <f>_xlfn.STDEV.S('3.1. Gas prod VF'!AR459,'3.1. Gas prod VF'!AR460,'3.1. Gas prod VF'!AR461,'3.1. Gas prod VF'!AR641,'3.1. Gas prod VF'!AR776,'3.1. Gas prod VF'!AR777)</f>
        <v>1.8357385329727571</v>
      </c>
      <c r="Z98" s="314">
        <f>_xlfn.STDEV.S('3.1. Gas prod VF'!AS459,'3.1. Gas prod VF'!AS460,'3.1. Gas prod VF'!AS461,'3.1. Gas prod VF'!AS641,'3.1. Gas prod VF'!AS776,'3.1. Gas prod VF'!AS777)</f>
        <v>6.4518822704205734</v>
      </c>
      <c r="AA98" s="314">
        <f>_xlfn.STDEV.S('3.1. Gas prod VF'!AT459,'3.1. Gas prod VF'!AT460,'3.1. Gas prod VF'!AT461,'3.1. Gas prod VF'!AT641,'3.1. Gas prod VF'!AT776,'3.1. Gas prod VF'!AT777)</f>
        <v>12.145049034613155</v>
      </c>
      <c r="AB98" s="314">
        <f>_xlfn.STDEV.S('3.1. Gas prod VF'!AU459,'3.1. Gas prod VF'!AU460,'3.1. Gas prod VF'!AU461,'3.1. Gas prod VF'!AU641,'3.1. Gas prod VF'!AU776,'3.1. Gas prod VF'!AU777)</f>
        <v>1.0188666459821116</v>
      </c>
      <c r="AC98" s="314">
        <f>_xlfn.STDEV.S('3.1. Gas prod VF'!AV459,'3.1. Gas prod VF'!AV460,'3.1. Gas prod VF'!AV461,'3.1. Gas prod VF'!AV641,'3.1. Gas prod VF'!AV776,'3.1. Gas prod VF'!AV777)</f>
        <v>3.5809062843440982</v>
      </c>
      <c r="AD98" s="20"/>
      <c r="AE98" s="20"/>
    </row>
    <row r="99" spans="2:31" x14ac:dyDescent="0.35">
      <c r="B99" s="62">
        <f>'1. Information samples'!B99</f>
        <v>89</v>
      </c>
      <c r="C99" s="198">
        <f>'1. Information samples'!C99</f>
        <v>46048</v>
      </c>
      <c r="D99" s="62" t="str">
        <f>'1. Information samples'!D99</f>
        <v>Genbank</v>
      </c>
      <c r="E99" s="316">
        <f>'1. Information samples'!E99</f>
        <v>28</v>
      </c>
      <c r="F99" s="62" t="str">
        <f>'1. Information samples'!F99</f>
        <v>F252600</v>
      </c>
      <c r="G99" s="62" t="str">
        <f>'1. Information samples'!G99</f>
        <v>CIAT13593</v>
      </c>
      <c r="H99" s="62" t="str">
        <f>'1. Information samples'!H99</f>
        <v>Desmodium</v>
      </c>
      <c r="I99" s="62" t="str">
        <f>'1. Information samples'!I99</f>
        <v>scorpiurus</v>
      </c>
      <c r="J99" s="62" t="str">
        <f>'1. Information samples'!J99</f>
        <v>Desmodium scorpiurus</v>
      </c>
      <c r="K99" s="62" t="str">
        <f>'1. Information samples'!K99</f>
        <v>Fabaceae</v>
      </c>
      <c r="L99" s="62" t="str">
        <f>'1. Information samples'!L99</f>
        <v>Fabales</v>
      </c>
      <c r="M99" s="62" t="str">
        <f>'1. Information samples'!M99</f>
        <v>Herbaceous</v>
      </c>
      <c r="N99" s="314">
        <f>_xlfn.STDEV.S('3.1. Gas prod VF'!AG462,'3.1. Gas prod VF'!AG464,'3.1. Gas prod VF'!AG463,'3.1. Gas prod VF'!AG644,'3.1. Gas prod VF'!AG778,'3.1. Gas prod VF'!AG779)</f>
        <v>2.4926380030899313</v>
      </c>
      <c r="O99" s="314">
        <f>_xlfn.STDEV.S('3.1. Gas prod VF'!AH462,'3.1. Gas prod VF'!AH464,'3.1. Gas prod VF'!AH463,'3.1. Gas prod VF'!AH644,'3.1. Gas prod VF'!AH778,'3.1. Gas prod VF'!AH779)</f>
        <v>2.707442495384984</v>
      </c>
      <c r="P99" s="314">
        <f>_xlfn.STDEV.S('3.1. Gas prod VF'!AI462,'3.1. Gas prod VF'!AI464,'3.1. Gas prod VF'!AI463,'3.1. Gas prod VF'!AI644,'3.1. Gas prod VF'!AI778,'3.1. Gas prod VF'!AI779)</f>
        <v>4.2909964827044149</v>
      </c>
      <c r="Q99" s="314">
        <f>_xlfn.STDEV.S('3.1. Gas prod VF'!AJ462,'3.1. Gas prod VF'!AJ464,'3.1. Gas prod VF'!AJ463,'3.1. Gas prod VF'!AJ644,'3.1. Gas prod VF'!AJ778,'3.1. Gas prod VF'!AJ779)</f>
        <v>0.44852131258265721</v>
      </c>
      <c r="R99" s="314">
        <f>_xlfn.STDEV.S('3.1. Gas prod VF'!AK462,'3.1. Gas prod VF'!AK464,'3.1. Gas prod VF'!AK463,'3.1. Gas prod VF'!AK644,'3.1. Gas prod VF'!AK778,'3.1. Gas prod VF'!AK779)</f>
        <v>0.39398077018808281</v>
      </c>
      <c r="S99" s="314">
        <f>_xlfn.STDEV.S('3.1. Gas prod VF'!AL462,'3.1. Gas prod VF'!AL464,'3.1. Gas prod VF'!AL463,'3.1. Gas prod VF'!AL644,'3.1. Gas prod VF'!AL778,'3.1. Gas prod VF'!AL779)</f>
        <v>0.72148979418104953</v>
      </c>
      <c r="T99" s="314">
        <f>_xlfn.STDEV.S('3.1. Gas prod VF'!AM462,'3.1. Gas prod VF'!AM464,'3.1. Gas prod VF'!AM463,'3.1. Gas prod VF'!AM644,'3.1. Gas prod VF'!AM778,'3.1. Gas prod VF'!AM779)</f>
        <v>9.4780200381098147</v>
      </c>
      <c r="U99" s="314">
        <f>_xlfn.STDEV.S('3.1. Gas prod VF'!AN462,'3.1. Gas prod VF'!AN464,'3.1. Gas prod VF'!AN463,'3.1. Gas prod VF'!AN644,'3.1. Gas prod VF'!AN778,'3.1. Gas prod VF'!AN779)</f>
        <v>9.5794058538991305</v>
      </c>
      <c r="V99" s="314">
        <f>_xlfn.STDEV.S('3.1. Gas prod VF'!AO462,'3.1. Gas prod VF'!AO464,'3.1. Gas prod VF'!AO463,'3.1. Gas prod VF'!AO644,'3.1. Gas prod VF'!AO778,'3.1. Gas prod VF'!AO779)</f>
        <v>0.7027177240071768</v>
      </c>
      <c r="W99" s="314">
        <f>_xlfn.STDEV.S('3.1. Gas prod VF'!AP462,'3.1. Gas prod VF'!AP464,'3.1. Gas prod VF'!AP463,'3.1. Gas prod VF'!AP644,'3.1. Gas prod VF'!AP778,'3.1. Gas prod VF'!AP779)</f>
        <v>0.37638632635454045</v>
      </c>
      <c r="X99" s="314">
        <f>_xlfn.STDEV.S('3.1. Gas prod VF'!AQ462,'3.1. Gas prod VF'!AQ464,'3.1. Gas prod VF'!AQ463,'3.1. Gas prod VF'!AQ644,'3.1. Gas prod VF'!AQ778,'3.1. Gas prod VF'!AQ779)</f>
        <v>0.22847136124452952</v>
      </c>
      <c r="Y99" s="314">
        <f>_xlfn.STDEV.S('3.1. Gas prod VF'!AR462,'3.1. Gas prod VF'!AR464,'3.1. Gas prod VF'!AR463,'3.1. Gas prod VF'!AR644,'3.1. Gas prod VF'!AR778,'3.1. Gas prod VF'!AR779)</f>
        <v>1.595556547292553</v>
      </c>
      <c r="Z99" s="314">
        <f>_xlfn.STDEV.S('3.1. Gas prod VF'!AS462,'3.1. Gas prod VF'!AS464,'3.1. Gas prod VF'!AS463,'3.1. Gas prod VF'!AS644,'3.1. Gas prod VF'!AS778,'3.1. Gas prod VF'!AS779)</f>
        <v>39.35428047134986</v>
      </c>
      <c r="AA99" s="314">
        <f>_xlfn.STDEV.S('3.1. Gas prod VF'!AT462,'3.1. Gas prod VF'!AT464,'3.1. Gas prod VF'!AT463,'3.1. Gas prod VF'!AT644,'3.1. Gas prod VF'!AT778,'3.1. Gas prod VF'!AT779)</f>
        <v>2.5518809219661707</v>
      </c>
      <c r="AB99" s="314">
        <f>_xlfn.STDEV.S('3.1. Gas prod VF'!AU462,'3.1. Gas prod VF'!AU464,'3.1. Gas prod VF'!AU463,'3.1. Gas prod VF'!AU644,'3.1. Gas prod VF'!AU778,'3.1. Gas prod VF'!AU779)</f>
        <v>0.88556148853192207</v>
      </c>
      <c r="AC99" s="314">
        <f>_xlfn.STDEV.S('3.1. Gas prod VF'!AV462,'3.1. Gas prod VF'!AV464,'3.1. Gas prod VF'!AV463,'3.1. Gas prod VF'!AV644,'3.1. Gas prod VF'!AV778,'3.1. Gas prod VF'!AV779)</f>
        <v>21.842306531503496</v>
      </c>
      <c r="AD99" s="20"/>
      <c r="AE99" s="20"/>
    </row>
    <row r="100" spans="2:31" x14ac:dyDescent="0.35">
      <c r="B100" s="62">
        <f>'1. Information samples'!B100</f>
        <v>90</v>
      </c>
      <c r="C100" s="198">
        <f>'1. Information samples'!C100</f>
        <v>46048</v>
      </c>
      <c r="D100" s="62" t="str">
        <f>'1. Information samples'!D100</f>
        <v>Genbank</v>
      </c>
      <c r="E100" s="316">
        <f>'1. Information samples'!E100</f>
        <v>28</v>
      </c>
      <c r="F100" s="62" t="str">
        <f>'1. Information samples'!F100</f>
        <v>F252601</v>
      </c>
      <c r="G100" s="62" t="str">
        <f>'1. Information samples'!G100</f>
        <v>CIAT13608</v>
      </c>
      <c r="H100" s="62" t="str">
        <f>'1. Information samples'!H100</f>
        <v>Desmodium</v>
      </c>
      <c r="I100" s="62" t="str">
        <f>'1. Information samples'!I100</f>
        <v>incanum</v>
      </c>
      <c r="J100" s="62" t="str">
        <f>'1. Information samples'!J100</f>
        <v>Desmodium incanum</v>
      </c>
      <c r="K100" s="62" t="str">
        <f>'1. Information samples'!K100</f>
        <v>Fabaceae</v>
      </c>
      <c r="L100" s="62" t="str">
        <f>'1. Information samples'!L100</f>
        <v>Fabales</v>
      </c>
      <c r="M100" s="62" t="str">
        <f>'1. Information samples'!M100</f>
        <v>Herbaceous</v>
      </c>
      <c r="N100" s="314">
        <f>_xlfn.STDEV.S('3.1. Gas prod VF'!AG465,'3.1. Gas prod VF'!AG466,'3.1. Gas prod VF'!AG467,'3.1. Gas prod VF'!AG646,'3.1. Gas prod VF'!AG780,'3.1. Gas prod VF'!AG781)</f>
        <v>2.6177428918922296</v>
      </c>
      <c r="O100" s="314">
        <f>_xlfn.STDEV.S('3.1. Gas prod VF'!AH465,'3.1. Gas prod VF'!AH466,'3.1. Gas prod VF'!AH467,'3.1. Gas prod VF'!AH646,'3.1. Gas prod VF'!AH780,'3.1. Gas prod VF'!AH781)</f>
        <v>1.6220722381249071</v>
      </c>
      <c r="P100" s="314">
        <f>_xlfn.STDEV.S('3.1. Gas prod VF'!AI465,'3.1. Gas prod VF'!AI466,'3.1. Gas prod VF'!AI467,'3.1. Gas prod VF'!AI646,'3.1. Gas prod VF'!AI780,'3.1. Gas prod VF'!AI781)</f>
        <v>3.8359773134644346</v>
      </c>
      <c r="Q100" s="314">
        <f>_xlfn.STDEV.S('3.1. Gas prod VF'!AJ465,'3.1. Gas prod VF'!AJ466,'3.1. Gas prod VF'!AJ467,'3.1. Gas prod VF'!AJ646,'3.1. Gas prod VF'!AJ780,'3.1. Gas prod VF'!AJ781)</f>
        <v>0.319192877440092</v>
      </c>
      <c r="R100" s="314">
        <f>_xlfn.STDEV.S('3.1. Gas prod VF'!AK465,'3.1. Gas prod VF'!AK466,'3.1. Gas prod VF'!AK467,'3.1. Gas prod VF'!AK646,'3.1. Gas prod VF'!AK780,'3.1. Gas prod VF'!AK781)</f>
        <v>0.29963780661252803</v>
      </c>
      <c r="S100" s="314">
        <f>_xlfn.STDEV.S('3.1. Gas prod VF'!AL465,'3.1. Gas prod VF'!AL466,'3.1. Gas prod VF'!AL467,'3.1. Gas prod VF'!AL646,'3.1. Gas prod VF'!AL780,'3.1. Gas prod VF'!AL781)</f>
        <v>0.57431691305481325</v>
      </c>
      <c r="T100" s="314">
        <f>_xlfn.STDEV.S('3.1. Gas prod VF'!AM465,'3.1. Gas prod VF'!AM466,'3.1. Gas prod VF'!AM467,'3.1. Gas prod VF'!AM646,'3.1. Gas prod VF'!AM780,'3.1. Gas prod VF'!AM781)</f>
        <v>8.2976116640059878</v>
      </c>
      <c r="U100" s="314">
        <f>_xlfn.STDEV.S('3.1. Gas prod VF'!AN465,'3.1. Gas prod VF'!AN466,'3.1. Gas prod VF'!AN467,'3.1. Gas prod VF'!AN646,'3.1. Gas prod VF'!AN780,'3.1. Gas prod VF'!AN781)</f>
        <v>5.6921392917308848</v>
      </c>
      <c r="V100" s="314">
        <f>_xlfn.STDEV.S('3.1. Gas prod VF'!AO465,'3.1. Gas prod VF'!AO466,'3.1. Gas prod VF'!AO467,'3.1. Gas prod VF'!AO646,'3.1. Gas prod VF'!AO780,'3.1. Gas prod VF'!AO781)</f>
        <v>0.52386792312123098</v>
      </c>
      <c r="W100" s="314">
        <f>_xlfn.STDEV.S('3.1. Gas prod VF'!AP465,'3.1. Gas prod VF'!AP466,'3.1. Gas prod VF'!AP467,'3.1. Gas prod VF'!AP646,'3.1. Gas prod VF'!AP780,'3.1. Gas prod VF'!AP781)</f>
        <v>0.38686776379877741</v>
      </c>
      <c r="X100" s="314">
        <f>_xlfn.STDEV.S('3.1. Gas prod VF'!AQ465,'3.1. Gas prod VF'!AQ466,'3.1. Gas prod VF'!AQ467,'3.1. Gas prod VF'!AQ646,'3.1. Gas prod VF'!AQ780,'3.1. Gas prod VF'!AQ781)</f>
        <v>0.26530012913061329</v>
      </c>
      <c r="Y100" s="314">
        <f>_xlfn.STDEV.S('3.1. Gas prod VF'!AR465,'3.1. Gas prod VF'!AR466,'3.1. Gas prod VF'!AR467,'3.1. Gas prod VF'!AR646,'3.1. Gas prod VF'!AR780,'3.1. Gas prod VF'!AR781)</f>
        <v>1.2426368954018128</v>
      </c>
      <c r="Z100" s="314">
        <f>_xlfn.STDEV.S('3.1. Gas prod VF'!AS465,'3.1. Gas prod VF'!AS466,'3.1. Gas prod VF'!AS467,'3.1. Gas prod VF'!AS646,'3.1. Gas prod VF'!AS780,'3.1. Gas prod VF'!AS781)</f>
        <v>13.364206313321301</v>
      </c>
      <c r="AA100" s="314">
        <f>_xlfn.STDEV.S('3.1. Gas prod VF'!AT465,'3.1. Gas prod VF'!AT466,'3.1. Gas prod VF'!AT467,'3.1. Gas prod VF'!AT646,'3.1. Gas prod VF'!AT780,'3.1. Gas prod VF'!AT781)</f>
        <v>1.2038946807985664</v>
      </c>
      <c r="AB100" s="314">
        <f>_xlfn.STDEV.S('3.1. Gas prod VF'!AU465,'3.1. Gas prod VF'!AU466,'3.1. Gas prod VF'!AU467,'3.1. Gas prod VF'!AU646,'3.1. Gas prod VF'!AU780,'3.1. Gas prod VF'!AU781)</f>
        <v>0.68968497585623156</v>
      </c>
      <c r="AC100" s="314">
        <f>_xlfn.STDEV.S('3.1. Gas prod VF'!AV465,'3.1. Gas prod VF'!AV466,'3.1. Gas prod VF'!AV467,'3.1. Gas prod VF'!AV646,'3.1. Gas prod VF'!AV780,'3.1. Gas prod VF'!AV781)</f>
        <v>7.4173657185354482</v>
      </c>
      <c r="AD100" s="20"/>
      <c r="AE100" s="20"/>
    </row>
    <row r="101" spans="2:31" x14ac:dyDescent="0.35">
      <c r="B101" s="62">
        <f>'1. Information samples'!B101</f>
        <v>91</v>
      </c>
      <c r="C101" s="198">
        <f>'1. Information samples'!C101</f>
        <v>46048</v>
      </c>
      <c r="D101" s="62" t="str">
        <f>'1. Information samples'!D101</f>
        <v>Genbank</v>
      </c>
      <c r="E101" s="316">
        <f>'1. Information samples'!E101</f>
        <v>28</v>
      </c>
      <c r="F101" s="62" t="str">
        <f>'1. Information samples'!F101</f>
        <v>F252602</v>
      </c>
      <c r="G101" s="62" t="str">
        <f>'1. Information samples'!G101</f>
        <v>CIAT18277</v>
      </c>
      <c r="H101" s="62" t="str">
        <f>'1. Information samples'!H101</f>
        <v>Indigofera</v>
      </c>
      <c r="I101" s="62" t="str">
        <f>'1. Information samples'!I101</f>
        <v>jamaicensis</v>
      </c>
      <c r="J101" s="62" t="str">
        <f>'1. Information samples'!J101</f>
        <v>Indigofera jamaicensis</v>
      </c>
      <c r="K101" s="62" t="str">
        <f>'1. Information samples'!K101</f>
        <v>Fabaceae</v>
      </c>
      <c r="L101" s="62" t="str">
        <f>'1. Information samples'!L101</f>
        <v>Fabales</v>
      </c>
      <c r="M101" s="62" t="str">
        <f>'1. Information samples'!M101</f>
        <v>Herbaceous</v>
      </c>
      <c r="N101" s="314">
        <f>_xlfn.STDEV.S('3.1. Gas prod VF'!AG468,'3.1. Gas prod VF'!AG469,'3.1. Gas prod VF'!AG470,'3.1. Gas prod VF'!AG650,'3.1. Gas prod VF'!AG782,'3.1. Gas prod VF'!AG783)</f>
        <v>2.626894839317627</v>
      </c>
      <c r="O101" s="314">
        <f>_xlfn.STDEV.S('3.1. Gas prod VF'!AH468,'3.1. Gas prod VF'!AH469,'3.1. Gas prod VF'!AH470,'3.1. Gas prod VF'!AH650,'3.1. Gas prod VF'!AH782,'3.1. Gas prod VF'!AH783)</f>
        <v>2.0487786245474444</v>
      </c>
      <c r="P101" s="314">
        <f>_xlfn.STDEV.S('3.1. Gas prod VF'!AI468,'3.1. Gas prod VF'!AI469,'3.1. Gas prod VF'!AI470,'3.1. Gas prod VF'!AI650,'3.1. Gas prod VF'!AI782,'3.1. Gas prod VF'!AI783)</f>
        <v>3.7755929879409615</v>
      </c>
      <c r="Q101" s="314">
        <f>_xlfn.STDEV.S('3.1. Gas prod VF'!AJ468,'3.1. Gas prod VF'!AJ469,'3.1. Gas prod VF'!AJ470,'3.1. Gas prod VF'!AJ650,'3.1. Gas prod VF'!AJ782,'3.1. Gas prod VF'!AJ783)</f>
        <v>0.29766798415350387</v>
      </c>
      <c r="R101" s="314">
        <f>_xlfn.STDEV.S('3.1. Gas prod VF'!AK468,'3.1. Gas prod VF'!AK469,'3.1. Gas prod VF'!AK470,'3.1. Gas prod VF'!AK650,'3.1. Gas prod VF'!AK782,'3.1. Gas prod VF'!AK783)</f>
        <v>0.2986297070796089</v>
      </c>
      <c r="S101" s="314">
        <f>_xlfn.STDEV.S('3.1. Gas prod VF'!AL468,'3.1. Gas prod VF'!AL469,'3.1. Gas prod VF'!AL470,'3.1. Gas prod VF'!AL650,'3.1. Gas prod VF'!AL782,'3.1. Gas prod VF'!AL783)</f>
        <v>0.54002673486530883</v>
      </c>
      <c r="T101" s="314">
        <f>_xlfn.STDEV.S('3.1. Gas prod VF'!AM468,'3.1. Gas prod VF'!AM469,'3.1. Gas prod VF'!AM470,'3.1. Gas prod VF'!AM650,'3.1. Gas prod VF'!AM782,'3.1. Gas prod VF'!AM783)</f>
        <v>8.4082595791491759</v>
      </c>
      <c r="U101" s="314">
        <f>_xlfn.STDEV.S('3.1. Gas prod VF'!AN468,'3.1. Gas prod VF'!AN469,'3.1. Gas prod VF'!AN470,'3.1. Gas prod VF'!AN650,'3.1. Gas prod VF'!AN782,'3.1. Gas prod VF'!AN783)</f>
        <v>6.7812041021789708</v>
      </c>
      <c r="V101" s="314">
        <f>_xlfn.STDEV.S('3.1. Gas prod VF'!AO468,'3.1. Gas prod VF'!AO469,'3.1. Gas prod VF'!AO470,'3.1. Gas prod VF'!AO650,'3.1. Gas prod VF'!AO782,'3.1. Gas prod VF'!AO783)</f>
        <v>0.59738689723207405</v>
      </c>
      <c r="W101" s="314">
        <f>_xlfn.STDEV.S('3.1. Gas prod VF'!AP468,'3.1. Gas prod VF'!AP469,'3.1. Gas prod VF'!AP470,'3.1. Gas prod VF'!AP650,'3.1. Gas prod VF'!AP782,'3.1. Gas prod VF'!AP783)</f>
        <v>0.29268868558020328</v>
      </c>
      <c r="X101" s="314">
        <f>_xlfn.STDEV.S('3.1. Gas prod VF'!AQ468,'3.1. Gas prod VF'!AQ469,'3.1. Gas prod VF'!AQ470,'3.1. Gas prod VF'!AQ650,'3.1. Gas prod VF'!AQ782,'3.1. Gas prod VF'!AQ783)</f>
        <v>0.18023880231132589</v>
      </c>
      <c r="Y101" s="314">
        <f>_xlfn.STDEV.S('3.1. Gas prod VF'!AR468,'3.1. Gas prod VF'!AR469,'3.1. Gas prod VF'!AR470,'3.1. Gas prod VF'!AR650,'3.1. Gas prod VF'!AR782,'3.1. Gas prod VF'!AR783)</f>
        <v>1.2032555470950881</v>
      </c>
      <c r="Z101" s="314">
        <f>_xlfn.STDEV.S('3.1. Gas prod VF'!AS468,'3.1. Gas prod VF'!AS469,'3.1. Gas prod VF'!AS470,'3.1. Gas prod VF'!AS650,'3.1. Gas prod VF'!AS782,'3.1. Gas prod VF'!AS783)</f>
        <v>12.034478533264089</v>
      </c>
      <c r="AA101" s="314">
        <f>_xlfn.STDEV.S('3.1. Gas prod VF'!AT468,'3.1. Gas prod VF'!AT469,'3.1. Gas prod VF'!AT470,'3.1. Gas prod VF'!AT650,'3.1. Gas prod VF'!AT782,'3.1. Gas prod VF'!AT783)</f>
        <v>0.68142463095431494</v>
      </c>
      <c r="AB101" s="314">
        <f>_xlfn.STDEV.S('3.1. Gas prod VF'!AU468,'3.1. Gas prod VF'!AU469,'3.1. Gas prod VF'!AU470,'3.1. Gas prod VF'!AU650,'3.1. Gas prod VF'!AU782,'3.1. Gas prod VF'!AU783)</f>
        <v>0.66782764620779345</v>
      </c>
      <c r="AC101" s="314">
        <f>_xlfn.STDEV.S('3.1. Gas prod VF'!AV468,'3.1. Gas prod VF'!AV469,'3.1. Gas prod VF'!AV470,'3.1. Gas prod VF'!AV650,'3.1. Gas prod VF'!AV782,'3.1. Gas prod VF'!AV783)</f>
        <v>6.679343794932703</v>
      </c>
      <c r="AD101" s="20"/>
      <c r="AE101" s="20"/>
    </row>
    <row r="102" spans="2:31" x14ac:dyDescent="0.35">
      <c r="B102" s="62">
        <f>'1. Information samples'!B102</f>
        <v>92</v>
      </c>
      <c r="C102" s="198">
        <f>'1. Information samples'!C102</f>
        <v>46048</v>
      </c>
      <c r="D102" s="62" t="str">
        <f>'1. Information samples'!D102</f>
        <v>Genbank</v>
      </c>
      <c r="E102" s="316">
        <f>'1. Information samples'!E102</f>
        <v>28</v>
      </c>
      <c r="F102" s="62" t="str">
        <f>'1. Information samples'!F102</f>
        <v>F252603</v>
      </c>
      <c r="G102" s="62" t="str">
        <f>'1. Information samples'!G102</f>
        <v>CIAT18952</v>
      </c>
      <c r="H102" s="62" t="str">
        <f>'1. Information samples'!H102</f>
        <v>Indigofera</v>
      </c>
      <c r="I102" s="62" t="str">
        <f>'1. Information samples'!I102</f>
        <v>atriceps</v>
      </c>
      <c r="J102" s="62" t="str">
        <f>'1. Information samples'!J102</f>
        <v>Indigofera atriceps</v>
      </c>
      <c r="K102" s="62" t="str">
        <f>'1. Information samples'!K102</f>
        <v>Fabaceae</v>
      </c>
      <c r="L102" s="62" t="str">
        <f>'1. Information samples'!L102</f>
        <v>Fabales</v>
      </c>
      <c r="M102" s="62" t="str">
        <f>'1. Information samples'!M102</f>
        <v>Herbaceous</v>
      </c>
      <c r="N102" s="314">
        <f>_xlfn.STDEV.S('3.1. Gas prod VF'!AG471,'3.1. Gas prod VF'!AG472,'3.1. Gas prod VF'!AG473,'3.1. Gas prod VF'!AG653,'3.1. Gas prod VF'!AG784,'3.1. Gas prod VF'!AG785)</f>
        <v>1.4854601343167742</v>
      </c>
      <c r="O102" s="314">
        <f>_xlfn.STDEV.S('3.1. Gas prod VF'!AH471,'3.1. Gas prod VF'!AH472,'3.1. Gas prod VF'!AH473,'3.1. Gas prod VF'!AH653,'3.1. Gas prod VF'!AH784,'3.1. Gas prod VF'!AH785)</f>
        <v>1.7557156310162398</v>
      </c>
      <c r="P102" s="314">
        <f>_xlfn.STDEV.S('3.1. Gas prod VF'!AI471,'3.1. Gas prod VF'!AI472,'3.1. Gas prod VF'!AI473,'3.1. Gas prod VF'!AI653,'3.1. Gas prod VF'!AI784,'3.1. Gas prod VF'!AI785)</f>
        <v>2.7188314562826355</v>
      </c>
      <c r="Q102" s="314">
        <f>_xlfn.STDEV.S('3.1. Gas prod VF'!AJ471,'3.1. Gas prod VF'!AJ472,'3.1. Gas prod VF'!AJ473,'3.1. Gas prod VF'!AJ653,'3.1. Gas prod VF'!AJ784,'3.1. Gas prod VF'!AJ785)</f>
        <v>0.22646280807871236</v>
      </c>
      <c r="R102" s="314">
        <f>_xlfn.STDEV.S('3.1. Gas prod VF'!AK471,'3.1. Gas prod VF'!AK472,'3.1. Gas prod VF'!AK473,'3.1. Gas prod VF'!AK653,'3.1. Gas prod VF'!AK784,'3.1. Gas prod VF'!AK785)</f>
        <v>0.23289945599968767</v>
      </c>
      <c r="S102" s="314">
        <f>_xlfn.STDEV.S('3.1. Gas prod VF'!AL471,'3.1. Gas prod VF'!AL472,'3.1. Gas prod VF'!AL473,'3.1. Gas prod VF'!AL653,'3.1. Gas prod VF'!AL784,'3.1. Gas prod VF'!AL785)</f>
        <v>0.41035058582319656</v>
      </c>
      <c r="T102" s="314">
        <f>_xlfn.STDEV.S('3.1. Gas prod VF'!AM471,'3.1. Gas prod VF'!AM472,'3.1. Gas prod VF'!AM473,'3.1. Gas prod VF'!AM653,'3.1. Gas prod VF'!AM784,'3.1. Gas prod VF'!AM785)</f>
        <v>6.0122729400098534</v>
      </c>
      <c r="U102" s="314">
        <f>_xlfn.STDEV.S('3.1. Gas prod VF'!AN471,'3.1. Gas prod VF'!AN472,'3.1. Gas prod VF'!AN473,'3.1. Gas prod VF'!AN653,'3.1. Gas prod VF'!AN784,'3.1. Gas prod VF'!AN785)</f>
        <v>9.5446879539684861</v>
      </c>
      <c r="V102" s="314">
        <f>_xlfn.STDEV.S('3.1. Gas prod VF'!AO471,'3.1. Gas prod VF'!AO472,'3.1. Gas prod VF'!AO473,'3.1. Gas prod VF'!AO653,'3.1. Gas prod VF'!AO784,'3.1. Gas prod VF'!AO785)</f>
        <v>0.98767710847670243</v>
      </c>
      <c r="W102" s="314">
        <f>_xlfn.STDEV.S('3.1. Gas prod VF'!AP471,'3.1. Gas prod VF'!AP472,'3.1. Gas prod VF'!AP473,'3.1. Gas prod VF'!AP653,'3.1. Gas prod VF'!AP784,'3.1. Gas prod VF'!AP785)</f>
        <v>0.44459719597256486</v>
      </c>
      <c r="X102" s="314">
        <f>_xlfn.STDEV.S('3.1. Gas prod VF'!AQ471,'3.1. Gas prod VF'!AQ472,'3.1. Gas prod VF'!AQ473,'3.1. Gas prod VF'!AQ653,'3.1. Gas prod VF'!AQ784,'3.1. Gas prod VF'!AQ785)</f>
        <v>0.22866025283944819</v>
      </c>
      <c r="Y102" s="314">
        <f>_xlfn.STDEV.S('3.1. Gas prod VF'!AR471,'3.1. Gas prod VF'!AR472,'3.1. Gas prod VF'!AR473,'3.1. Gas prod VF'!AR653,'3.1. Gas prod VF'!AR784,'3.1. Gas prod VF'!AR785)</f>
        <v>0.9087974437708366</v>
      </c>
      <c r="Z102" s="314">
        <f>_xlfn.STDEV.S('3.1. Gas prod VF'!AS471,'3.1. Gas prod VF'!AS472,'3.1. Gas prod VF'!AS473,'3.1. Gas prod VF'!AS653,'3.1. Gas prod VF'!AS784,'3.1. Gas prod VF'!AS785)</f>
        <v>21.308469998087709</v>
      </c>
      <c r="AA102" s="314">
        <f>_xlfn.STDEV.S('3.1. Gas prod VF'!AT471,'3.1. Gas prod VF'!AT472,'3.1. Gas prod VF'!AT473,'3.1. Gas prod VF'!AT653,'3.1. Gas prod VF'!AT784,'3.1. Gas prod VF'!AT785)</f>
        <v>7.9350910011058179E-2</v>
      </c>
      <c r="AB102" s="314">
        <f>_xlfn.STDEV.S('3.1. Gas prod VF'!AU471,'3.1. Gas prod VF'!AU472,'3.1. Gas prod VF'!AU473,'3.1. Gas prod VF'!AU653,'3.1. Gas prod VF'!AU784,'3.1. Gas prod VF'!AU785)</f>
        <v>0.50439830443197931</v>
      </c>
      <c r="AC102" s="314">
        <f>_xlfn.STDEV.S('3.1. Gas prod VF'!AV471,'3.1. Gas prod VF'!AV472,'3.1. Gas prod VF'!AV473,'3.1. Gas prod VF'!AV653,'3.1. Gas prod VF'!AV784,'3.1. Gas prod VF'!AV785)</f>
        <v>11.826569507589145</v>
      </c>
      <c r="AD102" s="20"/>
      <c r="AE102" s="20"/>
    </row>
    <row r="103" spans="2:31" x14ac:dyDescent="0.35">
      <c r="B103" s="62">
        <f>'1. Information samples'!B103</f>
        <v>93</v>
      </c>
      <c r="C103" s="198">
        <f>'1. Information samples'!C103</f>
        <v>46048</v>
      </c>
      <c r="D103" s="62" t="str">
        <f>'1. Information samples'!D103</f>
        <v>Jacobo Arango/ Alejandro Montoya</v>
      </c>
      <c r="E103" s="316">
        <f>'1. Information samples'!E103</f>
        <v>28</v>
      </c>
      <c r="F103" s="62" t="str">
        <f>'1. Information samples'!F103</f>
        <v>F250008</v>
      </c>
      <c r="G103" s="62" t="str">
        <f>'1. Information samples'!G103</f>
        <v>Sample 8</v>
      </c>
      <c r="H103" s="62" t="str">
        <f>'1. Information samples'!H103</f>
        <v>Cynodon</v>
      </c>
      <c r="I103" s="62" t="str">
        <f>'1. Information samples'!I103</f>
        <v xml:space="preserve"> nlemfuensis </v>
      </c>
      <c r="J103" s="62" t="str">
        <f>'1. Information samples'!J103</f>
        <v xml:space="preserve">Cynodon nlemfuensis </v>
      </c>
      <c r="K103" s="62" t="str">
        <f>'1. Information samples'!K103</f>
        <v>Poaceae</v>
      </c>
      <c r="L103" s="62" t="str">
        <f>'1. Information samples'!L103</f>
        <v>Poales</v>
      </c>
      <c r="M103" s="62" t="str">
        <f>'1. Information samples'!M103</f>
        <v>grasses</v>
      </c>
      <c r="N103" s="314">
        <f>_xlfn.STDEV.S('3.1. Gas prod VF'!AG655,'3.1. Gas prod VF'!AG656,'3.1. Gas prod VF'!AG657,'3.1. Gas prod VF'!AG724,'3.1. Gas prod VF'!AG725,'3.1. Gas prod VF'!AG786,'3.1. Gas prod VF'!AG787)</f>
        <v>4.9762645189193595</v>
      </c>
      <c r="O103" s="314">
        <f>_xlfn.STDEV.S('3.1. Gas prod VF'!AH655,'3.1. Gas prod VF'!AH656,'3.1. Gas prod VF'!AH657,'3.1. Gas prod VF'!AH724,'3.1. Gas prod VF'!AH725,'3.1. Gas prod VF'!AH786,'3.1. Gas prod VF'!AH787)</f>
        <v>3.5976272176065165</v>
      </c>
      <c r="P103" s="314">
        <f>_xlfn.STDEV.S('3.1. Gas prod VF'!AI655,'3.1. Gas prod VF'!AI656,'3.1. Gas prod VF'!AI657,'3.1. Gas prod VF'!AI724,'3.1. Gas prod VF'!AI725,'3.1. Gas prod VF'!AI786,'3.1. Gas prod VF'!AI787)</f>
        <v>5.1717858691563521</v>
      </c>
      <c r="Q103" s="314">
        <f>_xlfn.STDEV.S('3.1. Gas prod VF'!AJ655,'3.1. Gas prod VF'!AJ656,'3.1. Gas prod VF'!AJ657,'3.1. Gas prod VF'!AJ724,'3.1. Gas prod VF'!AJ725,'3.1. Gas prod VF'!AJ786,'3.1. Gas prod VF'!AJ787)</f>
        <v>0.61729767723791551</v>
      </c>
      <c r="R103" s="314">
        <f>_xlfn.STDEV.S('3.1. Gas prod VF'!AK655,'3.1. Gas prod VF'!AK656,'3.1. Gas prod VF'!AK657,'3.1. Gas prod VF'!AK724,'3.1. Gas prod VF'!AK725,'3.1. Gas prod VF'!AK786,'3.1. Gas prod VF'!AK787)</f>
        <v>0.65533900249749888</v>
      </c>
      <c r="S103" s="314">
        <f>_xlfn.STDEV.S('3.1. Gas prod VF'!AL655,'3.1. Gas prod VF'!AL656,'3.1. Gas prod VF'!AL657,'3.1. Gas prod VF'!AL724,'3.1. Gas prod VF'!AL725,'3.1. Gas prod VF'!AL786,'3.1. Gas prod VF'!AL787)</f>
        <v>0.94970147970280083</v>
      </c>
      <c r="T103" s="314">
        <f>_xlfn.STDEV.S('3.1. Gas prod VF'!AM655,'3.1. Gas prod VF'!AM656,'3.1. Gas prod VF'!AM657,'3.1. Gas prod VF'!AM724,'3.1. Gas prod VF'!AM725,'3.1. Gas prod VF'!AM786,'3.1. Gas prod VF'!AM787)</f>
        <v>11.024382017326818</v>
      </c>
      <c r="U103" s="314">
        <f>_xlfn.STDEV.S('3.1. Gas prod VF'!AN655,'3.1. Gas prod VF'!AN656,'3.1. Gas prod VF'!AN657,'3.1. Gas prod VF'!AN724,'3.1. Gas prod VF'!AN725,'3.1. Gas prod VF'!AN786,'3.1. Gas prod VF'!AN787)</f>
        <v>8.6564532574119486</v>
      </c>
      <c r="V103" s="314">
        <f>_xlfn.STDEV.S('3.1. Gas prod VF'!AO655,'3.1. Gas prod VF'!AO656,'3.1. Gas prod VF'!AO657,'3.1. Gas prod VF'!AO724,'3.1. Gas prod VF'!AO725,'3.1. Gas prod VF'!AO786,'3.1. Gas prod VF'!AO787)</f>
        <v>0.496615019697284</v>
      </c>
      <c r="W103" s="314">
        <f>_xlfn.STDEV.S('3.1. Gas prod VF'!AP655,'3.1. Gas prod VF'!AP656,'3.1. Gas prod VF'!AP657,'3.1. Gas prod VF'!AP724,'3.1. Gas prod VF'!AP725,'3.1. Gas prod VF'!AP786,'3.1. Gas prod VF'!AP787)</f>
        <v>1.1256109452204168</v>
      </c>
      <c r="X103" s="314">
        <f>_xlfn.STDEV.S('3.1. Gas prod VF'!AQ655,'3.1. Gas prod VF'!AQ656,'3.1. Gas prod VF'!AQ657,'3.1. Gas prod VF'!AQ724,'3.1. Gas prod VF'!AQ725,'3.1. Gas prod VF'!AQ786,'3.1. Gas prod VF'!AQ787)</f>
        <v>0.54315317350526426</v>
      </c>
      <c r="Y103" s="314">
        <f>_xlfn.STDEV.S('3.1. Gas prod VF'!AR655,'3.1. Gas prod VF'!AR656,'3.1. Gas prod VF'!AR657,'3.1. Gas prod VF'!AR724,'3.1. Gas prod VF'!AR725,'3.1. Gas prod VF'!AR786,'3.1. Gas prod VF'!AR787)</f>
        <v>2.0263803916984355</v>
      </c>
      <c r="Z103" s="314">
        <f>_xlfn.STDEV.S('3.1. Gas prod VF'!AS655,'3.1. Gas prod VF'!AS656,'3.1. Gas prod VF'!AS657,'3.1. Gas prod VF'!AS724,'3.1. Gas prod VF'!AS725,'3.1. Gas prod VF'!AS786,'3.1. Gas prod VF'!AS787)</f>
        <v>19.105974424616299</v>
      </c>
      <c r="AA103" s="314">
        <f>_xlfn.STDEV.S('3.1. Gas prod VF'!AT655,'3.1. Gas prod VF'!AT656,'3.1. Gas prod VF'!AT657,'3.1. Gas prod VF'!AT724,'3.1. Gas prod VF'!AT725,'3.1. Gas prod VF'!AT786,'3.1. Gas prod VF'!AT787)</f>
        <v>10.816371616949338</v>
      </c>
      <c r="AB103" s="314">
        <f>_xlfn.STDEV.S('3.1. Gas prod VF'!AU655,'3.1. Gas prod VF'!AU656,'3.1. Gas prod VF'!AU657,'3.1. Gas prod VF'!AU724,'3.1. Gas prod VF'!AU725,'3.1. Gas prod VF'!AU786,'3.1. Gas prod VF'!AU787)</f>
        <v>1.1246761758769175</v>
      </c>
      <c r="AC103" s="314">
        <f>_xlfn.STDEV.S('3.1. Gas prod VF'!AV655,'3.1. Gas prod VF'!AV656,'3.1. Gas prod VF'!AV657,'3.1. Gas prod VF'!AV724,'3.1. Gas prod VF'!AV725,'3.1. Gas prod VF'!AV786,'3.1. Gas prod VF'!AV787)</f>
        <v>10.604146358852793</v>
      </c>
      <c r="AD103" s="20"/>
      <c r="AE103" s="20"/>
    </row>
    <row r="104" spans="2:31" x14ac:dyDescent="0.35">
      <c r="B104" s="62">
        <f>'1. Information samples'!B104</f>
        <v>94</v>
      </c>
      <c r="C104" s="198">
        <f>'1. Information samples'!C104</f>
        <v>46055</v>
      </c>
      <c r="D104" s="62" t="str">
        <f>'1. Information samples'!D104</f>
        <v>Genbank</v>
      </c>
      <c r="E104" s="316">
        <f>'1. Information samples'!E104</f>
        <v>29</v>
      </c>
      <c r="F104" s="62" t="str">
        <f>'1. Information samples'!F104</f>
        <v>F252604</v>
      </c>
      <c r="G104" s="62" t="str">
        <f>'1. Information samples'!G104</f>
        <v>CIAT18953</v>
      </c>
      <c r="H104" s="62" t="str">
        <f>'1. Information samples'!H104</f>
        <v>Indigofera</v>
      </c>
      <c r="I104" s="62" t="str">
        <f>'1. Information samples'!I104</f>
        <v>atriceps</v>
      </c>
      <c r="J104" s="62" t="str">
        <f>'1. Information samples'!J104</f>
        <v>Indigofera atriceps</v>
      </c>
      <c r="K104" s="62" t="str">
        <f>'1. Information samples'!K104</f>
        <v>Fabaceae</v>
      </c>
      <c r="L104" s="62" t="str">
        <f>'1. Information samples'!L104</f>
        <v>Fabales</v>
      </c>
      <c r="M104" s="62" t="str">
        <f>'1. Information samples'!M104</f>
        <v>Herbaceous</v>
      </c>
      <c r="N104" s="314">
        <f>_xlfn.STDEV.S('3.1. Gas prod VF'!AG793,'3.1. Gas prod VF'!AG864,'3.1. Gas prod VF'!AG865,'3.1. Gas prod VF'!AG866,'3.1. Gas prod VF'!AG936,'3.1. Gas prod VF'!AG937)</f>
        <v>2.8952784411725596</v>
      </c>
      <c r="O104" s="314">
        <f>_xlfn.STDEV.S('3.1. Gas prod VF'!AH793,'3.1. Gas prod VF'!AH864,'3.1. Gas prod VF'!AH865,'3.1. Gas prod VF'!AH866,'3.1. Gas prod VF'!AH936,'3.1. Gas prod VF'!AH937)</f>
        <v>1.6395189676168938</v>
      </c>
      <c r="P104" s="314">
        <f>_xlfn.STDEV.S('3.1. Gas prod VF'!AI793,'3.1. Gas prod VF'!AI864,'3.1. Gas prod VF'!AI865,'3.1. Gas prod VF'!AI866,'3.1. Gas prod VF'!AI936,'3.1. Gas prod VF'!AI937)</f>
        <v>4.5182738354954761</v>
      </c>
      <c r="Q104" s="314">
        <f>_xlfn.STDEV.S('3.1. Gas prod VF'!AJ793,'3.1. Gas prod VF'!AJ864,'3.1. Gas prod VF'!AJ865,'3.1. Gas prod VF'!AJ866,'3.1. Gas prod VF'!AJ936,'3.1. Gas prod VF'!AJ937)</f>
        <v>0.62938332785511764</v>
      </c>
      <c r="R104" s="314">
        <f>_xlfn.STDEV.S('3.1. Gas prod VF'!AK793,'3.1. Gas prod VF'!AK864,'3.1. Gas prod VF'!AK865,'3.1. Gas prod VF'!AK866,'3.1. Gas prod VF'!AK936,'3.1. Gas prod VF'!AK937)</f>
        <v>0.44134847729308507</v>
      </c>
      <c r="S104" s="314">
        <f>_xlfn.STDEV.S('3.1. Gas prod VF'!AL793,'3.1. Gas prod VF'!AL864,'3.1. Gas prod VF'!AL865,'3.1. Gas prod VF'!AL866,'3.1. Gas prod VF'!AL936,'3.1. Gas prod VF'!AL937)</f>
        <v>0.94822054190810767</v>
      </c>
      <c r="T104" s="314">
        <f>_xlfn.STDEV.S('3.1. Gas prod VF'!AM793,'3.1. Gas prod VF'!AM864,'3.1. Gas prod VF'!AM865,'3.1. Gas prod VF'!AM866,'3.1. Gas prod VF'!AM936,'3.1. Gas prod VF'!AM937)</f>
        <v>10.125239859220612</v>
      </c>
      <c r="U104" s="314">
        <f>_xlfn.STDEV.S('3.1. Gas prod VF'!AN793,'3.1. Gas prod VF'!AN864,'3.1. Gas prod VF'!AN865,'3.1. Gas prod VF'!AN866,'3.1. Gas prod VF'!AN936,'3.1. Gas prod VF'!AN937)</f>
        <v>6.0968634034239342</v>
      </c>
      <c r="V104" s="314">
        <f>_xlfn.STDEV.S('3.1. Gas prod VF'!AO793,'3.1. Gas prod VF'!AO864,'3.1. Gas prod VF'!AO865,'3.1. Gas prod VF'!AO866,'3.1. Gas prod VF'!AO936,'3.1. Gas prod VF'!AO937)</f>
        <v>0.33727995231326802</v>
      </c>
      <c r="W104" s="314">
        <f>_xlfn.STDEV.S('3.1. Gas prod VF'!AP793,'3.1. Gas prod VF'!AP864,'3.1. Gas prod VF'!AP865,'3.1. Gas prod VF'!AP866,'3.1. Gas prod VF'!AP936,'3.1. Gas prod VF'!AP937)</f>
        <v>0.73869253865641915</v>
      </c>
      <c r="X104" s="314">
        <f>_xlfn.STDEV.S('3.1. Gas prod VF'!AQ793,'3.1. Gas prod VF'!AQ864,'3.1. Gas prod VF'!AQ865,'3.1. Gas prod VF'!AQ866,'3.1. Gas prod VF'!AQ936,'3.1. Gas prod VF'!AQ937)</f>
        <v>0.7241978558350296</v>
      </c>
      <c r="Y104" s="314">
        <f>_xlfn.STDEV.S('3.1. Gas prod VF'!AR793,'3.1. Gas prod VF'!AR864,'3.1. Gas prod VF'!AR865,'3.1. Gas prod VF'!AR866,'3.1. Gas prod VF'!AR936,'3.1. Gas prod VF'!AR937)</f>
        <v>2.1228076117671693</v>
      </c>
      <c r="Z104" s="314">
        <f>_xlfn.STDEV.S('3.1. Gas prod VF'!AS793,'3.1. Gas prod VF'!AS864,'3.1. Gas prod VF'!AS865,'3.1. Gas prod VF'!AS866,'3.1. Gas prod VF'!AS936,'3.1. Gas prod VF'!AS937)</f>
        <v>7.2151920637420233</v>
      </c>
      <c r="AA104" s="314">
        <f>_xlfn.STDEV.S('3.1. Gas prod VF'!AT793,'3.1. Gas prod VF'!AT864,'3.1. Gas prod VF'!AT865,'3.1. Gas prod VF'!AT866,'3.1. Gas prod VF'!AT936,'3.1. Gas prod VF'!AT937)</f>
        <v>0.39689872947715327</v>
      </c>
      <c r="AB104" s="314">
        <f>_xlfn.STDEV.S('3.1. Gas prod VF'!AU793,'3.1. Gas prod VF'!AU864,'3.1. Gas prod VF'!AU865,'3.1. Gas prod VF'!AU866,'3.1. Gas prod VF'!AU936,'3.1. Gas prod VF'!AU937)</f>
        <v>1.1781949513060683</v>
      </c>
      <c r="AC104" s="314">
        <f>_xlfn.STDEV.S('3.1. Gas prod VF'!AV793,'3.1. Gas prod VF'!AV864,'3.1. Gas prod VF'!AV865,'3.1. Gas prod VF'!AV866,'3.1. Gas prod VF'!AV936,'3.1. Gas prod VF'!AV937)</f>
        <v>4.0045564256892856</v>
      </c>
      <c r="AD104" s="20"/>
      <c r="AE104" s="20"/>
    </row>
    <row r="105" spans="2:31" x14ac:dyDescent="0.35">
      <c r="B105" s="62">
        <f>'1. Information samples'!B105</f>
        <v>95</v>
      </c>
      <c r="C105" s="198">
        <f>'1. Information samples'!C105</f>
        <v>46055</v>
      </c>
      <c r="D105" s="62" t="str">
        <f>'1. Information samples'!D105</f>
        <v>Genbank</v>
      </c>
      <c r="E105" s="316">
        <f>'1. Information samples'!E105</f>
        <v>29</v>
      </c>
      <c r="F105" s="62" t="str">
        <f>'1. Information samples'!F105</f>
        <v>F252605</v>
      </c>
      <c r="G105" s="62" t="str">
        <f>'1. Information samples'!G105</f>
        <v>CIAT18954</v>
      </c>
      <c r="H105" s="62" t="str">
        <f>'1. Information samples'!H105</f>
        <v>Indigofera</v>
      </c>
      <c r="I105" s="62" t="str">
        <f>'1. Information samples'!I105</f>
        <v>atriceps</v>
      </c>
      <c r="J105" s="62" t="str">
        <f>'1. Information samples'!J105</f>
        <v>Indigofera atriceps</v>
      </c>
      <c r="K105" s="62" t="str">
        <f>'1. Information samples'!K105</f>
        <v>Fabaceae</v>
      </c>
      <c r="L105" s="62" t="str">
        <f>'1. Information samples'!L105</f>
        <v>Fabales</v>
      </c>
      <c r="M105" s="62" t="str">
        <f>'1. Information samples'!M105</f>
        <v>Herbaceous</v>
      </c>
      <c r="N105" s="314">
        <f>_xlfn.STDEV.S('3.1. Gas prod VF'!AG795,'3.1. Gas prod VF'!AG796,'3.1. Gas prod VF'!AG797,'3.1. Gas prod VF'!AG867,'3.1. Gas prod VF'!AG868,'3.1. Gas prod VF'!AG869,'3.1. Gas prod VF'!AG938)</f>
        <v>3.5098571306899049</v>
      </c>
      <c r="O105" s="314">
        <f>_xlfn.STDEV.S('3.1. Gas prod VF'!AH795,'3.1. Gas prod VF'!AH796,'3.1. Gas prod VF'!AH797,'3.1. Gas prod VF'!AH867,'3.1. Gas prod VF'!AH868,'3.1. Gas prod VF'!AH869,'3.1. Gas prod VF'!AH938)</f>
        <v>0.92593090461029104</v>
      </c>
      <c r="P105" s="314">
        <f>_xlfn.STDEV.S('3.1. Gas prod VF'!AI795,'3.1. Gas prod VF'!AI796,'3.1. Gas prod VF'!AI797,'3.1. Gas prod VF'!AI867,'3.1. Gas prod VF'!AI868,'3.1. Gas prod VF'!AI869,'3.1. Gas prod VF'!AI938)</f>
        <v>4.1958761326162373</v>
      </c>
      <c r="Q105" s="314">
        <f>_xlfn.STDEV.S('3.1. Gas prod VF'!AJ795,'3.1. Gas prod VF'!AJ796,'3.1. Gas prod VF'!AJ797,'3.1. Gas prod VF'!AJ867,'3.1. Gas prod VF'!AJ868,'3.1. Gas prod VF'!AJ869,'3.1. Gas prod VF'!AJ938)</f>
        <v>0.67483753623909204</v>
      </c>
      <c r="R105" s="314">
        <f>_xlfn.STDEV.S('3.1. Gas prod VF'!AK795,'3.1. Gas prod VF'!AK796,'3.1. Gas prod VF'!AK797,'3.1. Gas prod VF'!AK867,'3.1. Gas prod VF'!AK868,'3.1. Gas prod VF'!AK869,'3.1. Gas prod VF'!AK938)</f>
        <v>0.1997152077368326</v>
      </c>
      <c r="S105" s="314">
        <f>_xlfn.STDEV.S('3.1. Gas prod VF'!AL795,'3.1. Gas prod VF'!AL796,'3.1. Gas prod VF'!AL797,'3.1. Gas prod VF'!AL867,'3.1. Gas prod VF'!AL868,'3.1. Gas prod VF'!AL869,'3.1. Gas prod VF'!AL938)</f>
        <v>0.86825908828388076</v>
      </c>
      <c r="T105" s="314">
        <f>_xlfn.STDEV.S('3.1. Gas prod VF'!AM795,'3.1. Gas prod VF'!AM796,'3.1. Gas prod VF'!AM797,'3.1. Gas prod VF'!AM867,'3.1. Gas prod VF'!AM868,'3.1. Gas prod VF'!AM869,'3.1. Gas prod VF'!AM938)</f>
        <v>8.9981442185921008</v>
      </c>
      <c r="U105" s="314">
        <f>_xlfn.STDEV.S('3.1. Gas prod VF'!AN795,'3.1. Gas prod VF'!AN796,'3.1. Gas prod VF'!AN797,'3.1. Gas prod VF'!AN867,'3.1. Gas prod VF'!AN868,'3.1. Gas prod VF'!AN869,'3.1. Gas prod VF'!AN938)</f>
        <v>9.2050567166093913</v>
      </c>
      <c r="V105" s="314">
        <f>_xlfn.STDEV.S('3.1. Gas prod VF'!AO795,'3.1. Gas prod VF'!AO796,'3.1. Gas prod VF'!AO797,'3.1. Gas prod VF'!AO867,'3.1. Gas prod VF'!AO868,'3.1. Gas prod VF'!AO869,'3.1. Gas prod VF'!AO938)</f>
        <v>0.62772614900678536</v>
      </c>
      <c r="W105" s="314">
        <f>_xlfn.STDEV.S('3.1. Gas prod VF'!AP795,'3.1. Gas prod VF'!AP796,'3.1. Gas prod VF'!AP797,'3.1. Gas prod VF'!AP867,'3.1. Gas prod VF'!AP868,'3.1. Gas prod VF'!AP869,'3.1. Gas prod VF'!AP938)</f>
        <v>0.96040665990035246</v>
      </c>
      <c r="X105" s="314">
        <f>_xlfn.STDEV.S('3.1. Gas prod VF'!AQ795,'3.1. Gas prod VF'!AQ796,'3.1. Gas prod VF'!AQ797,'3.1. Gas prod VF'!AQ867,'3.1. Gas prod VF'!AQ868,'3.1. Gas prod VF'!AQ869,'3.1. Gas prod VF'!AQ938)</f>
        <v>0.6291411019922809</v>
      </c>
      <c r="Y105" s="314">
        <f>_xlfn.STDEV.S('3.1. Gas prod VF'!AR795,'3.1. Gas prod VF'!AR796,'3.1. Gas prod VF'!AR797,'3.1. Gas prod VF'!AR867,'3.1. Gas prod VF'!AR868,'3.1. Gas prod VF'!AR869,'3.1. Gas prod VF'!AR938)</f>
        <v>1.8649940301381958</v>
      </c>
      <c r="Z105" s="314">
        <f>_xlfn.STDEV.S('3.1. Gas prod VF'!AS795,'3.1. Gas prod VF'!AS796,'3.1. Gas prod VF'!AS797,'3.1. Gas prod VF'!AS867,'3.1. Gas prod VF'!AS868,'3.1. Gas prod VF'!AS869,'3.1. Gas prod VF'!AS938)</f>
        <v>9.4207781036118821</v>
      </c>
      <c r="AA105" s="314">
        <f>_xlfn.STDEV.S('3.1. Gas prod VF'!AT795,'3.1. Gas prod VF'!AT796,'3.1. Gas prod VF'!AT797,'3.1. Gas prod VF'!AT867,'3.1. Gas prod VF'!AT868,'3.1. Gas prod VF'!AT869,'3.1. Gas prod VF'!AT938)</f>
        <v>0.48935014738006533</v>
      </c>
      <c r="AB105" s="314">
        <f>_xlfn.STDEV.S('3.1. Gas prod VF'!AU795,'3.1. Gas prod VF'!AU796,'3.1. Gas prod VF'!AU797,'3.1. Gas prod VF'!AU867,'3.1. Gas prod VF'!AU868,'3.1. Gas prod VF'!AU869,'3.1. Gas prod VF'!AU938)</f>
        <v>1.0351039530593951</v>
      </c>
      <c r="AC105" s="314">
        <f>_xlfn.STDEV.S('3.1. Gas prod VF'!AV795,'3.1. Gas prod VF'!AV796,'3.1. Gas prod VF'!AV797,'3.1. Gas prod VF'!AV867,'3.1. Gas prod VF'!AV868,'3.1. Gas prod VF'!AV869,'3.1. Gas prod VF'!AV938)</f>
        <v>5.2286948367451211</v>
      </c>
      <c r="AD105" s="20"/>
      <c r="AE105" s="20"/>
    </row>
    <row r="106" spans="2:31" x14ac:dyDescent="0.35">
      <c r="B106" s="62">
        <f>'1. Information samples'!B106</f>
        <v>96</v>
      </c>
      <c r="C106" s="198">
        <f>'1. Information samples'!C106</f>
        <v>46055</v>
      </c>
      <c r="D106" s="62" t="str">
        <f>'1. Information samples'!D106</f>
        <v>Genbank</v>
      </c>
      <c r="E106" s="316">
        <f>'1. Information samples'!E106</f>
        <v>29</v>
      </c>
      <c r="F106" s="62" t="str">
        <f>'1. Information samples'!F106</f>
        <v>F252606</v>
      </c>
      <c r="G106" s="62" t="str">
        <f>'1. Information samples'!G106</f>
        <v>CIAT19198</v>
      </c>
      <c r="H106" s="62" t="str">
        <f>'1. Information samples'!H106</f>
        <v>Tephrosia</v>
      </c>
      <c r="I106" s="62" t="str">
        <f>'1. Information samples'!I106</f>
        <v>villosa</v>
      </c>
      <c r="J106" s="62" t="str">
        <f>'1. Information samples'!J106</f>
        <v>Tephrosia villosa</v>
      </c>
      <c r="K106" s="62" t="str">
        <f>'1. Information samples'!K106</f>
        <v>Fabaceae</v>
      </c>
      <c r="L106" s="62" t="str">
        <f>'1. Information samples'!L106</f>
        <v>Fabales</v>
      </c>
      <c r="M106" s="62" t="str">
        <f>'1. Information samples'!M106</f>
        <v>Herbaceous</v>
      </c>
      <c r="N106" s="314" cm="1">
        <f t="array" ref="N106">_xlfn.STDEV.S(IF(('3.1. Gas prod VF'!$L$13:$L$1230=$F106) *('3.1. Gas prod VF'!$M$13:$M$1230=$E106),'3.1. Gas prod VF'!$AG$13:$AG$1230))</f>
        <v>10.089496477264071</v>
      </c>
      <c r="O106" s="314" cm="1">
        <f t="array" ref="O106">_xlfn.STDEV.S(IF(('3.1. Gas prod VF'!$L$13:$L$1230=$F106) *('3.1. Gas prod VF'!$M$13:$M$1230=$E106),'3.1. Gas prod VF'!$AH$13:$AH$1230))</f>
        <v>9.6344150948467799</v>
      </c>
      <c r="P106" s="314" cm="1">
        <f t="array" ref="P106">_xlfn.STDEV.S(IF(('3.1. Gas prod VF'!$L$13:$L$1230=$F106) *('3.1. Gas prod VF'!$M$13:$M$1230=$E106),'3.1. Gas prod VF'!$AI$13:$AI$1230))</f>
        <v>19.162122819715542</v>
      </c>
      <c r="Q106" s="314" cm="1">
        <f t="array" ref="Q106">_xlfn.STDEV.S(IF(('3.1. Gas prod VF'!$L$13:$L$1230=$F106) *('3.1. Gas prod VF'!$M$13:$M$1230=$E106),'3.1. Gas prod VF'!$AJ$13:$AJ$1230))</f>
        <v>1.5702504579470333</v>
      </c>
      <c r="R106" s="314" cm="1">
        <f t="array" ref="R106">_xlfn.STDEV.S(IF(('3.1. Gas prod VF'!$L$13:$L$1230=$F106) *('3.1. Gas prod VF'!$M$13:$M$1230=$E106),'3.1. Gas prod VF'!$AK$13:$AK$1230))</f>
        <v>1.7436326582208352</v>
      </c>
      <c r="S106" s="314" cm="1">
        <f t="array" ref="S106">_xlfn.STDEV.S(IF(('3.1. Gas prod VF'!$L$13:$L$1230=$F106) *('3.1. Gas prod VF'!$M$13:$M$1230=$E106),'3.1. Gas prod VF'!$AL$13:$AL$1230))</f>
        <v>3.2198127105573993</v>
      </c>
      <c r="T106" s="314" cm="1">
        <f t="array" ref="T106">_xlfn.STDEV.S(IF(('3.1. Gas prod VF'!$L$13:$L$1230=$F106) *('3.1. Gas prod VF'!$M$13:$M$1230=$E106),'3.1. Gas prod VF'!$AM$13:$AM$1230))</f>
        <v>42.2989915604808</v>
      </c>
      <c r="U106" s="314" cm="1">
        <f t="array" ref="U106">_xlfn.STDEV.S(IF(('3.1. Gas prod VF'!$L$13:$L$1230=$F106) *('3.1. Gas prod VF'!$M$13:$M$1230=$E106),'3.1. Gas prod VF'!$AN$13:$AN$1230))</f>
        <v>7.3134780634586258</v>
      </c>
      <c r="V106" s="314" cm="1">
        <f t="array" ref="V106">_xlfn.STDEV.S(IF(('3.1. Gas prod VF'!$L$13:$L$1230=$F106) *('3.1. Gas prod VF'!$M$13:$M$1230=$E106),'3.1. Gas prod VF'!$AO$13:$AO$1230))</f>
        <v>1.7402497533470169</v>
      </c>
      <c r="W106" s="314" cm="1">
        <f t="array" ref="W106">_xlfn.STDEV.S(IF(('3.1. Gas prod VF'!$L$13:$L$1230=$F106) *('3.1. Gas prod VF'!$M$13:$M$1230=$E106),'3.1. Gas prod VF'!$AP$13:$AP$1230))</f>
        <v>0.89512568949840676</v>
      </c>
      <c r="X106" s="314" cm="1">
        <f t="array" ref="X106">_xlfn.STDEV.S(IF(('3.1. Gas prod VF'!$L$13:$L$1230=$F106) *('3.1. Gas prod VF'!$M$13:$M$1230=$E106),'3.1. Gas prod VF'!$AQ$13:$AQ$1230))</f>
        <v>0.6795099284878009</v>
      </c>
      <c r="Y106" s="314" cm="1">
        <f t="array" ref="Y106">_xlfn.STDEV.S(IF(('3.1. Gas prod VF'!$L$13:$L$1230=$F106) *('3.1. Gas prod VF'!$M$13:$M$1230=$E106),'3.1. Gas prod VF'!$AR$13:$AR$1230))</f>
        <v>7.1074901973959248</v>
      </c>
      <c r="Z106" s="314" cm="1">
        <f t="array" ref="Z106">_xlfn.STDEV.S(IF(('3.1. Gas prod VF'!$L$13:$L$1230=$F106) *('3.1. Gas prod VF'!$M$13:$M$1230=$E106),'3.1. Gas prod VF'!$AS$13:$AS$1230))</f>
        <v>16.542815254376787</v>
      </c>
      <c r="AA106" s="314" cm="1">
        <f t="array" ref="AA106">_xlfn.STDEV.S(IF(('3.1. Gas prod VF'!$L$13:$L$1230=$F106) *('3.1. Gas prod VF'!$M$13:$M$1230=$E106),'3.1. Gas prod VF'!$AT$13:$AT$1230))</f>
        <v>2.6045018452123259</v>
      </c>
      <c r="AB106" s="314" cm="1">
        <f t="array" ref="AB106">_xlfn.STDEV.S(IF(('3.1. Gas prod VF'!$L$13:$L$1230=$F106) *('3.1. Gas prod VF'!$M$13:$M$1230=$E106),'3.1. Gas prod VF'!$AU$13:$AU$1230))</f>
        <v>3.9447800265131683</v>
      </c>
      <c r="AC106" s="314" cm="1">
        <f t="array" ref="AC106">_xlfn.STDEV.S(IF(('3.1. Gas prod VF'!$L$13:$L$1230=$F106) *('3.1. Gas prod VF'!$M$13:$M$1230=$E106),'3.1. Gas prod VF'!$AU$13:$AV$1230))</f>
        <v>10.784868356742917</v>
      </c>
      <c r="AD106" s="20"/>
      <c r="AE106" s="20"/>
    </row>
    <row r="107" spans="2:31" x14ac:dyDescent="0.35">
      <c r="B107" s="62">
        <f>'1. Information samples'!B107</f>
        <v>97</v>
      </c>
      <c r="C107" s="198">
        <f>'1. Information samples'!C107</f>
        <v>46055</v>
      </c>
      <c r="D107" s="62" t="str">
        <f>'1. Information samples'!D107</f>
        <v>Genbank</v>
      </c>
      <c r="E107" s="316">
        <f>'1. Information samples'!E107</f>
        <v>29</v>
      </c>
      <c r="F107" s="62" t="str">
        <f>'1. Information samples'!F107</f>
        <v>F252607</v>
      </c>
      <c r="G107" s="62" t="str">
        <f>'1. Information samples'!G107</f>
        <v>CIAT19460</v>
      </c>
      <c r="H107" s="62" t="str">
        <f>'1. Information samples'!H107</f>
        <v>Sesbania</v>
      </c>
      <c r="I107" s="62" t="str">
        <f>'1. Information samples'!I107</f>
        <v>cannabina</v>
      </c>
      <c r="J107" s="62" t="str">
        <f>'1. Information samples'!J107</f>
        <v>Sesbania cannabina</v>
      </c>
      <c r="K107" s="62" t="str">
        <f>'1. Information samples'!K107</f>
        <v>Fabaceae</v>
      </c>
      <c r="L107" s="62" t="str">
        <f>'1. Information samples'!L107</f>
        <v>Fabales</v>
      </c>
      <c r="M107" s="62" t="str">
        <f>'1. Information samples'!M107</f>
        <v>Shurb_Tree</v>
      </c>
      <c r="N107" s="314">
        <f>_xlfn.STDEV.S('3.1. Gas prod VF'!AG801,'3.1. Gas prod VF'!AG802,'3.1. Gas prod VF'!AG803,'3.1. Gas prod VF'!AG873,'3.1. Gas prod VF'!AG874,'3.1. Gas prod VF'!AG875,'3.1. Gas prod VF'!AG942)</f>
        <v>5.0810284052320078</v>
      </c>
      <c r="O107" s="314">
        <f>_xlfn.STDEV.S('3.1. Gas prod VF'!AH801,'3.1. Gas prod VF'!AH802,'3.1. Gas prod VF'!AH803,'3.1. Gas prod VF'!AH873,'3.1. Gas prod VF'!AH874,'3.1. Gas prod VF'!AH875,'3.1. Gas prod VF'!AH942)</f>
        <v>1.7532104335995651</v>
      </c>
      <c r="P107" s="314">
        <f>_xlfn.STDEV.S('3.1. Gas prod VF'!AI801,'3.1. Gas prod VF'!AI802,'3.1. Gas prod VF'!AI803,'3.1. Gas prod VF'!AI873,'3.1. Gas prod VF'!AI874,'3.1. Gas prod VF'!AI875,'3.1. Gas prod VF'!AI942)</f>
        <v>5.6618378374096778</v>
      </c>
      <c r="Q107" s="314">
        <f>_xlfn.STDEV.S('3.1. Gas prod VF'!AJ801,'3.1. Gas prod VF'!AJ802,'3.1. Gas prod VF'!AJ803,'3.1. Gas prod VF'!AJ873,'3.1. Gas prod VF'!AJ874,'3.1. Gas prod VF'!AJ875,'3.1. Gas prod VF'!AJ942)</f>
        <v>0.92391757718408085</v>
      </c>
      <c r="R107" s="314">
        <f>_xlfn.STDEV.S('3.1. Gas prod VF'!AK801,'3.1. Gas prod VF'!AK802,'3.1. Gas prod VF'!AK803,'3.1. Gas prod VF'!AK873,'3.1. Gas prod VF'!AK874,'3.1. Gas prod VF'!AK875,'3.1. Gas prod VF'!AK942)</f>
        <v>0.39435066555853265</v>
      </c>
      <c r="S107" s="314">
        <f>_xlfn.STDEV.S('3.1. Gas prod VF'!AL801,'3.1. Gas prod VF'!AL802,'3.1. Gas prod VF'!AL803,'3.1. Gas prod VF'!AL873,'3.1. Gas prod VF'!AL874,'3.1. Gas prod VF'!AL875,'3.1. Gas prod VF'!AL942)</f>
        <v>1.2479366317911067</v>
      </c>
      <c r="T107" s="314">
        <f>_xlfn.STDEV.S('3.1. Gas prod VF'!AM801,'3.1. Gas prod VF'!AM802,'3.1. Gas prod VF'!AM803,'3.1. Gas prod VF'!AM873,'3.1. Gas prod VF'!AM874,'3.1. Gas prod VF'!AM875,'3.1. Gas prod VF'!AM942)</f>
        <v>12.413540851771605</v>
      </c>
      <c r="U107" s="314">
        <f>_xlfn.STDEV.S('3.1. Gas prod VF'!AN801,'3.1. Gas prod VF'!AN802,'3.1. Gas prod VF'!AN803,'3.1. Gas prod VF'!AN873,'3.1. Gas prod VF'!AN874,'3.1. Gas prod VF'!AN875,'3.1. Gas prod VF'!AN942)</f>
        <v>8.29758003972435</v>
      </c>
      <c r="V107" s="314">
        <f>_xlfn.STDEV.S('3.1. Gas prod VF'!AO801,'3.1. Gas prod VF'!AO802,'3.1. Gas prod VF'!AO803,'3.1. Gas prod VF'!AO873,'3.1. Gas prod VF'!AO874,'3.1. Gas prod VF'!AO875,'3.1. Gas prod VF'!AO942)</f>
        <v>0.41841621854268829</v>
      </c>
      <c r="W107" s="314">
        <f>_xlfn.STDEV.S('3.1. Gas prod VF'!AP801,'3.1. Gas prod VF'!AP802,'3.1. Gas prod VF'!AP803,'3.1. Gas prod VF'!AP873,'3.1. Gas prod VF'!AP874,'3.1. Gas prod VF'!AP875,'3.1. Gas prod VF'!AP942)</f>
        <v>0.62849025449882678</v>
      </c>
      <c r="X107" s="314">
        <f>_xlfn.STDEV.S('3.1. Gas prod VF'!AQ801,'3.1. Gas prod VF'!AQ802,'3.1. Gas prod VF'!AQ803,'3.1. Gas prod VF'!AQ873,'3.1. Gas prod VF'!AQ874,'3.1. Gas prod VF'!AQ875,'3.1. Gas prod VF'!AQ942)</f>
        <v>0.53915597103997748</v>
      </c>
      <c r="Y107" s="314">
        <f>_xlfn.STDEV.S('3.1. Gas prod VF'!AR801,'3.1. Gas prod VF'!AR802,'3.1. Gas prod VF'!AR803,'3.1. Gas prod VF'!AR873,'3.1. Gas prod VF'!AR874,'3.1. Gas prod VF'!AR875,'3.1. Gas prod VF'!AR942)</f>
        <v>2.7373912907248297</v>
      </c>
      <c r="Z107" s="314">
        <f>_xlfn.STDEV.S('3.1. Gas prod VF'!AS801,'3.1. Gas prod VF'!AS802,'3.1. Gas prod VF'!AS803,'3.1. Gas prod VF'!AS873,'3.1. Gas prod VF'!AS874,'3.1. Gas prod VF'!AS875,'3.1. Gas prod VF'!AS942)</f>
        <v>24.008124060257657</v>
      </c>
      <c r="AA107" s="314">
        <f>_xlfn.STDEV.S('3.1. Gas prod VF'!AT801,'3.1. Gas prod VF'!AT802,'3.1. Gas prod VF'!AT803,'3.1. Gas prod VF'!AT873,'3.1. Gas prod VF'!AT874,'3.1. Gas prod VF'!AT875,'3.1. Gas prod VF'!AT942)</f>
        <v>0.30926088205514479</v>
      </c>
      <c r="AB107" s="314">
        <f>_xlfn.STDEV.S('3.1. Gas prod VF'!AU801,'3.1. Gas prod VF'!AU802,'3.1. Gas prod VF'!AU803,'3.1. Gas prod VF'!AU873,'3.1. Gas prod VF'!AU874,'3.1. Gas prod VF'!AU875,'3.1. Gas prod VF'!AU942)</f>
        <v>1.5192995260631934</v>
      </c>
      <c r="AC107" s="314">
        <f>_xlfn.STDEV.S('3.1. Gas prod VF'!AV801,'3.1. Gas prod VF'!AV802,'3.1. Gas prod VF'!AV803,'3.1. Gas prod VF'!AV873,'3.1. Gas prod VF'!AV874,'3.1. Gas prod VF'!AV875,'3.1. Gas prod VF'!AV942)</f>
        <v>13.324924218911042</v>
      </c>
      <c r="AD107" s="20"/>
      <c r="AE107" s="20"/>
    </row>
    <row r="108" spans="2:31" x14ac:dyDescent="0.35">
      <c r="B108" s="62">
        <f>'1. Information samples'!B108</f>
        <v>98</v>
      </c>
      <c r="C108" s="198">
        <f>'1. Information samples'!C108</f>
        <v>46055</v>
      </c>
      <c r="D108" s="62" t="str">
        <f>'1. Information samples'!D108</f>
        <v>Genbank</v>
      </c>
      <c r="E108" s="316">
        <f>'1. Information samples'!E108</f>
        <v>29</v>
      </c>
      <c r="F108" s="62" t="str">
        <f>'1. Information samples'!F108</f>
        <v>F252608</v>
      </c>
      <c r="G108" s="62" t="str">
        <f>'1. Information samples'!G108</f>
        <v>CIAT20044</v>
      </c>
      <c r="H108" s="62" t="str">
        <f>'1. Information samples'!H108</f>
        <v>Tephrosia</v>
      </c>
      <c r="I108" s="62" t="str">
        <f>'1. Information samples'!I108</f>
        <v>purpurea</v>
      </c>
      <c r="J108" s="62" t="str">
        <f>'1. Information samples'!J108</f>
        <v>Tephrosia purpurea</v>
      </c>
      <c r="K108" s="62" t="str">
        <f>'1. Information samples'!K108</f>
        <v>Fabaceae</v>
      </c>
      <c r="L108" s="62" t="str">
        <f>'1. Information samples'!L108</f>
        <v>Fabales</v>
      </c>
      <c r="M108" s="62" t="str">
        <f>'1. Information samples'!M108</f>
        <v>Herbaceous</v>
      </c>
      <c r="N108" s="314" cm="1">
        <f t="array" ref="N108">_xlfn.STDEV.S(IF(('3.1. Gas prod VF'!$L$13:$L$1230=$F108) *('3.1. Gas prod VF'!$M$13:$M$1230=$E108),'3.1. Gas prod VF'!$AG$13:$AG$1230))</f>
        <v>4.779629841019057</v>
      </c>
      <c r="O108" s="314" cm="1">
        <f t="array" ref="O108">_xlfn.STDEV.S(IF(('3.1. Gas prod VF'!$L$13:$L$1230=$F108) *('3.1. Gas prod VF'!$M$13:$M$1230=$E108),'3.1. Gas prod VF'!$AH$13:$AH$1230))</f>
        <v>9.8732818084498852</v>
      </c>
      <c r="P108" s="314" cm="1">
        <f t="array" ref="P108">_xlfn.STDEV.S(IF(('3.1. Gas prod VF'!$L$13:$L$1230=$F108) *('3.1. Gas prod VF'!$M$13:$M$1230=$E108),'3.1. Gas prod VF'!$AI$13:$AI$1230))</f>
        <v>10.810706773086347</v>
      </c>
      <c r="Q108" s="314" cm="1">
        <f t="array" ref="Q108">_xlfn.STDEV.S(IF(('3.1. Gas prod VF'!$L$13:$L$1230=$F108) *('3.1. Gas prod VF'!$M$13:$M$1230=$E108),'3.1. Gas prod VF'!$AJ$13:$AJ$1230))</f>
        <v>0.96351463051462982</v>
      </c>
      <c r="R108" s="314" cm="1">
        <f t="array" ref="R108">_xlfn.STDEV.S(IF(('3.1. Gas prod VF'!$L$13:$L$1230=$F108) *('3.1. Gas prod VF'!$M$13:$M$1230=$E108),'3.1. Gas prod VF'!$AK$13:$AK$1230))</f>
        <v>1.7874842651535137</v>
      </c>
      <c r="S108" s="314" cm="1">
        <f t="array" ref="S108">_xlfn.STDEV.S(IF(('3.1. Gas prod VF'!$L$13:$L$1230=$F108) *('3.1. Gas prod VF'!$M$13:$M$1230=$E108),'3.1. Gas prod VF'!$AL$13:$AL$1230))</f>
        <v>1.8272984427500356</v>
      </c>
      <c r="T108" s="314" cm="1">
        <f t="array" ref="T108">_xlfn.STDEV.S(IF(('3.1. Gas prod VF'!$L$13:$L$1230=$F108) *('3.1. Gas prod VF'!$M$13:$M$1230=$E108),'3.1. Gas prod VF'!$AM$13:$AM$1230))</f>
        <v>23.430800215188231</v>
      </c>
      <c r="U108" s="314" cm="1">
        <f t="array" ref="U108">_xlfn.STDEV.S(IF(('3.1. Gas prod VF'!$L$13:$L$1230=$F108) *('3.1. Gas prod VF'!$M$13:$M$1230=$E108),'3.1. Gas prod VF'!$AN$13:$AN$1230))</f>
        <v>8.218173618477536</v>
      </c>
      <c r="V108" s="314" cm="1">
        <f t="array" ref="V108">_xlfn.STDEV.S(IF(('3.1. Gas prod VF'!$L$13:$L$1230=$F108) *('3.1. Gas prod VF'!$M$13:$M$1230=$E108),'3.1. Gas prod VF'!$AO$13:$AO$1230))</f>
        <v>0.65910614138866119</v>
      </c>
      <c r="W108" s="314" cm="1">
        <f t="array" ref="W108">_xlfn.STDEV.S(IF(('3.1. Gas prod VF'!$L$13:$L$1230=$F108) *('3.1. Gas prod VF'!$M$13:$M$1230=$E108),'3.1. Gas prod VF'!$AP$13:$AP$1230))</f>
        <v>0.85345934709443305</v>
      </c>
      <c r="X108" s="314" cm="1">
        <f t="array" ref="X108">_xlfn.STDEV.S(IF(('3.1. Gas prod VF'!$L$13:$L$1230=$F108) *('3.1. Gas prod VF'!$M$13:$M$1230=$E108),'3.1. Gas prod VF'!$AQ$13:$AQ$1230))</f>
        <v>0.2651663196165906</v>
      </c>
      <c r="Y108" s="314" cm="1">
        <f t="array" ref="Y108">_xlfn.STDEV.S(IF(('3.1. Gas prod VF'!$L$13:$L$1230=$F108) *('3.1. Gas prod VF'!$M$13:$M$1230=$E108),'3.1. Gas prod VF'!$AR$13:$AR$1230))</f>
        <v>3.9605837798785157</v>
      </c>
      <c r="Z108" s="314" cm="1">
        <f t="array" ref="Z108">_xlfn.STDEV.S(IF(('3.1. Gas prod VF'!$L$13:$L$1230=$F108) *('3.1. Gas prod VF'!$M$13:$M$1230=$E108),'3.1. Gas prod VF'!$AS$13:$AS$1230))</f>
        <v>8.0072282684869336</v>
      </c>
      <c r="AA108" s="314" cm="1">
        <f t="array" ref="AA108">_xlfn.STDEV.S(IF(('3.1. Gas prod VF'!$L$13:$L$1230=$F108) *('3.1. Gas prod VF'!$M$13:$M$1230=$E108),'3.1. Gas prod VF'!$AT$13:$AT$1230))</f>
        <v>3.2440661865281109</v>
      </c>
      <c r="AB108" s="314" cm="1">
        <f t="array" ref="AB108">_xlfn.STDEV.S(IF(('3.1. Gas prod VF'!$L$13:$L$1230=$F108) *('3.1. Gas prod VF'!$M$13:$M$1230=$E108),'3.1. Gas prod VF'!$AU$13:$AU$1230))</f>
        <v>2.1981925200433028</v>
      </c>
      <c r="AC108" s="314" cm="1">
        <f t="array" ref="AC108">_xlfn.STDEV.S(IF(('3.1. Gas prod VF'!$L$13:$L$1230=$F108) *('3.1. Gas prod VF'!$M$13:$M$1230=$E108),'3.1. Gas prod VF'!$AU$13:$AV$1230))</f>
        <v>7.0401132846932857</v>
      </c>
      <c r="AD108" s="20"/>
      <c r="AE108" s="20"/>
    </row>
    <row r="109" spans="2:31" x14ac:dyDescent="0.35">
      <c r="B109" s="62">
        <f>'1. Information samples'!B109</f>
        <v>99</v>
      </c>
      <c r="C109" s="198">
        <f>'1. Information samples'!C109</f>
        <v>46055</v>
      </c>
      <c r="D109" s="62" t="str">
        <f>'1. Information samples'!D109</f>
        <v>Genbank</v>
      </c>
      <c r="E109" s="316">
        <f>'1. Information samples'!E109</f>
        <v>29</v>
      </c>
      <c r="F109" s="62" t="str">
        <f>'1. Information samples'!F109</f>
        <v>F252609</v>
      </c>
      <c r="G109" s="62" t="str">
        <f>'1. Information samples'!G109</f>
        <v>CIAT22423</v>
      </c>
      <c r="H109" s="62" t="str">
        <f>'1. Information samples'!H109</f>
        <v>Vigna</v>
      </c>
      <c r="I109" s="62" t="str">
        <f>'1. Information samples'!I109</f>
        <v>unguiculata</v>
      </c>
      <c r="J109" s="62" t="str">
        <f>'1. Information samples'!J109</f>
        <v>Vigna unguiculata</v>
      </c>
      <c r="K109" s="62" t="str">
        <f>'1. Information samples'!K109</f>
        <v>Fabaceae</v>
      </c>
      <c r="L109" s="62" t="str">
        <f>'1. Information samples'!L109</f>
        <v>Fabales</v>
      </c>
      <c r="M109" s="62" t="str">
        <f>'1. Information samples'!M109</f>
        <v>Herbaceous</v>
      </c>
      <c r="N109" s="314">
        <f>_xlfn.STDEV.S('3.1. Gas prod VF'!AG807,'3.1. Gas prod VF'!AG808,'3.1. Gas prod VF'!AG809,'3.1. Gas prod VF'!AG879,'3.1. Gas prod VF'!AG881,'3.1. Gas prod VF'!AG880,'3.1. Gas prod VF'!AG946,'3.1. Gas prod VF'!AG947)</f>
        <v>5.7315665163948424</v>
      </c>
      <c r="O109" s="314">
        <f>_xlfn.STDEV.S('3.1. Gas prod VF'!AH807,'3.1. Gas prod VF'!AH808,'3.1. Gas prod VF'!AH809,'3.1. Gas prod VF'!AH879,'3.1. Gas prod VF'!AH881,'3.1. Gas prod VF'!AH880,'3.1. Gas prod VF'!AH946,'3.1. Gas prod VF'!AH947)</f>
        <v>2.6213022027037574</v>
      </c>
      <c r="P109" s="314">
        <f>_xlfn.STDEV.S('3.1. Gas prod VF'!AI807,'3.1. Gas prod VF'!AI808,'3.1. Gas prod VF'!AI809,'3.1. Gas prod VF'!AI879,'3.1. Gas prod VF'!AI881,'3.1. Gas prod VF'!AI880,'3.1. Gas prod VF'!AI946,'3.1. Gas prod VF'!AI947)</f>
        <v>6.0473605682277132</v>
      </c>
      <c r="Q109" s="314">
        <f>_xlfn.STDEV.S('3.1. Gas prod VF'!AJ807,'3.1. Gas prod VF'!AJ808,'3.1. Gas prod VF'!AJ809,'3.1. Gas prod VF'!AJ879,'3.1. Gas prod VF'!AJ881,'3.1. Gas prod VF'!AJ880,'3.1. Gas prod VF'!AJ946,'3.1. Gas prod VF'!AJ947)</f>
        <v>1.0585434411059336</v>
      </c>
      <c r="R109" s="314">
        <f>_xlfn.STDEV.S('3.1. Gas prod VF'!AK807,'3.1. Gas prod VF'!AK808,'3.1. Gas prod VF'!AK809,'3.1. Gas prod VF'!AK879,'3.1. Gas prod VF'!AK881,'3.1. Gas prod VF'!AK880,'3.1. Gas prod VF'!AK946,'3.1. Gas prod VF'!AK947)</f>
        <v>0.49837646729146651</v>
      </c>
      <c r="S109" s="314">
        <f>_xlfn.STDEV.S('3.1. Gas prod VF'!AL807,'3.1. Gas prod VF'!AL808,'3.1. Gas prod VF'!AL809,'3.1. Gas prod VF'!AL879,'3.1. Gas prod VF'!AL881,'3.1. Gas prod VF'!AL880,'3.1. Gas prod VF'!AL946,'3.1. Gas prod VF'!AL947)</f>
        <v>1.4078515620493497</v>
      </c>
      <c r="T109" s="314">
        <f>_xlfn.STDEV.S('3.1. Gas prod VF'!AM807,'3.1. Gas prod VF'!AM808,'3.1. Gas prod VF'!AM809,'3.1. Gas prod VF'!AM879,'3.1. Gas prod VF'!AM881,'3.1. Gas prod VF'!AM880,'3.1. Gas prod VF'!AM946,'3.1. Gas prod VF'!AM947)</f>
        <v>13.324472248496944</v>
      </c>
      <c r="U109" s="314">
        <f>_xlfn.STDEV.S('3.1. Gas prod VF'!AN807,'3.1. Gas prod VF'!AN808,'3.1. Gas prod VF'!AN809,'3.1. Gas prod VF'!AN879,'3.1. Gas prod VF'!AN881,'3.1. Gas prod VF'!AN880,'3.1. Gas prod VF'!AN946,'3.1. Gas prod VF'!AN947)</f>
        <v>7.8479895505602446</v>
      </c>
      <c r="V109" s="314">
        <f>_xlfn.STDEV.S('3.1. Gas prod VF'!AO807,'3.1. Gas prod VF'!AO808,'3.1. Gas prod VF'!AO809,'3.1. Gas prod VF'!AO879,'3.1. Gas prod VF'!AO881,'3.1. Gas prod VF'!AO880,'3.1. Gas prod VF'!AO946,'3.1. Gas prod VF'!AO947)</f>
        <v>0.35790260457686546</v>
      </c>
      <c r="W109" s="314">
        <f>_xlfn.STDEV.S('3.1. Gas prod VF'!AP807,'3.1. Gas prod VF'!AP808,'3.1. Gas prod VF'!AP809,'3.1. Gas prod VF'!AP879,'3.1. Gas prod VF'!AP881,'3.1. Gas prod VF'!AP880,'3.1. Gas prod VF'!AP946,'3.1. Gas prod VF'!AP947)</f>
        <v>0.67082039324993792</v>
      </c>
      <c r="X109" s="314">
        <f>_xlfn.STDEV.S('3.1. Gas prod VF'!AQ807,'3.1. Gas prod VF'!AQ808,'3.1. Gas prod VF'!AQ809,'3.1. Gas prod VF'!AQ879,'3.1. Gas prod VF'!AQ881,'3.1. Gas prod VF'!AQ880,'3.1. Gas prod VF'!AQ946,'3.1. Gas prod VF'!AQ947)</f>
        <v>0.68028435965105194</v>
      </c>
      <c r="Y109" s="314">
        <f>_xlfn.STDEV.S('3.1. Gas prod VF'!AR807,'3.1. Gas prod VF'!AR808,'3.1. Gas prod VF'!AR809,'3.1. Gas prod VF'!AR879,'3.1. Gas prod VF'!AR881,'3.1. Gas prod VF'!AR880,'3.1. Gas prod VF'!AR946,'3.1. Gas prod VF'!AR947)</f>
        <v>3.1035679605045665</v>
      </c>
      <c r="Z109" s="314">
        <f>_xlfn.STDEV.S('3.1. Gas prod VF'!AS807,'3.1. Gas prod VF'!AS808,'3.1. Gas prod VF'!AS809,'3.1. Gas prod VF'!AS879,'3.1. Gas prod VF'!AS881,'3.1. Gas prod VF'!AS880,'3.1. Gas prod VF'!AS946,'3.1. Gas prod VF'!AS947)</f>
        <v>5.2485304877277423</v>
      </c>
      <c r="AA109" s="314">
        <f>_xlfn.STDEV.S('3.1. Gas prod VF'!AT807,'3.1. Gas prod VF'!AT808,'3.1. Gas prod VF'!AT809,'3.1. Gas prod VF'!AT879,'3.1. Gas prod VF'!AT881,'3.1. Gas prod VF'!AT880,'3.1. Gas prod VF'!AT946,'3.1. Gas prod VF'!AT947)</f>
        <v>0.51010640478693425</v>
      </c>
      <c r="AB109" s="314">
        <f>_xlfn.STDEV.S('3.1. Gas prod VF'!AU807,'3.1. Gas prod VF'!AU808,'3.1. Gas prod VF'!AU809,'3.1. Gas prod VF'!AU879,'3.1. Gas prod VF'!AU881,'3.1. Gas prod VF'!AU880,'3.1. Gas prod VF'!AU946,'3.1. Gas prod VF'!AU947)</f>
        <v>1.7225339130274613</v>
      </c>
      <c r="AC109" s="314">
        <f>_xlfn.STDEV.S('3.1. Gas prod VF'!AV807,'3.1. Gas prod VF'!AV808,'3.1. Gas prod VF'!AV809,'3.1. Gas prod VF'!AV879,'3.1. Gas prod VF'!AV881,'3.1. Gas prod VF'!AV880,'3.1. Gas prod VF'!AV946,'3.1. Gas prod VF'!AV947)</f>
        <v>2.913025225714676</v>
      </c>
      <c r="AD109" s="20"/>
      <c r="AE109" s="20"/>
    </row>
    <row r="110" spans="2:31" x14ac:dyDescent="0.35">
      <c r="B110" s="62">
        <f>'1. Information samples'!B110</f>
        <v>100</v>
      </c>
      <c r="C110" s="198">
        <f>'1. Information samples'!C110</f>
        <v>46055</v>
      </c>
      <c r="D110" s="62" t="str">
        <f>'1. Information samples'!D110</f>
        <v>Genbank</v>
      </c>
      <c r="E110" s="316">
        <f>'1. Information samples'!E110</f>
        <v>29</v>
      </c>
      <c r="F110" s="62" t="str">
        <f>'1. Information samples'!F110</f>
        <v>F252610</v>
      </c>
      <c r="G110" s="62" t="str">
        <f>'1. Information samples'!G110</f>
        <v>CIAT22480</v>
      </c>
      <c r="H110" s="62" t="str">
        <f>'1. Information samples'!H110</f>
        <v>Sesbania</v>
      </c>
      <c r="I110" s="62" t="str">
        <f>'1. Information samples'!I110</f>
        <v>cannabina</v>
      </c>
      <c r="J110" s="62" t="str">
        <f>'1. Information samples'!J110</f>
        <v>Sesbania cannabina</v>
      </c>
      <c r="K110" s="62" t="str">
        <f>'1. Information samples'!K110</f>
        <v>Fabaceae</v>
      </c>
      <c r="L110" s="62" t="str">
        <f>'1. Information samples'!L110</f>
        <v>Fabales</v>
      </c>
      <c r="M110" s="62" t="str">
        <f>'1. Information samples'!M110</f>
        <v>Shurb_Tree</v>
      </c>
      <c r="N110" s="314" cm="1">
        <f t="array" ref="N110">_xlfn.STDEV.S(IF(('3.1. Gas prod VF'!$L$13:$L$1230=$F110) *('3.1. Gas prod VF'!$M$13:$M$1230=$E110),'3.1. Gas prod VF'!$AG$13:$AG$1230))</f>
        <v>5.7573962116056148</v>
      </c>
      <c r="O110" s="314" cm="1">
        <f t="array" ref="O110">_xlfn.STDEV.S(IF(('3.1. Gas prod VF'!$L$13:$L$1230=$F110) *('3.1. Gas prod VF'!$M$13:$M$1230=$E110),'3.1. Gas prod VF'!$AH$13:$AH$1230))</f>
        <v>1.6455193818553076</v>
      </c>
      <c r="P110" s="314" cm="1">
        <f t="array" ref="P110">_xlfn.STDEV.S(IF(('3.1. Gas prod VF'!$L$13:$L$1230=$F110) *('3.1. Gas prod VF'!$M$13:$M$1230=$E110),'3.1. Gas prod VF'!$AI$13:$AI$1230))</f>
        <v>7.247860213111224</v>
      </c>
      <c r="Q110" s="314" cm="1">
        <f t="array" ref="Q110">_xlfn.STDEV.S(IF(('3.1. Gas prod VF'!$L$13:$L$1230=$F110) *('3.1. Gas prod VF'!$M$13:$M$1230=$E110),'3.1. Gas prod VF'!$AJ$13:$AJ$1230))</f>
        <v>1.0325055793346842</v>
      </c>
      <c r="R110" s="314" cm="1">
        <f t="array" ref="R110">_xlfn.STDEV.S(IF(('3.1. Gas prod VF'!$L$13:$L$1230=$F110) *('3.1. Gas prod VF'!$M$13:$M$1230=$E110),'3.1. Gas prod VF'!$AK$13:$AK$1230))</f>
        <v>0.49298291424445934</v>
      </c>
      <c r="S110" s="314" cm="1">
        <f t="array" ref="S110">_xlfn.STDEV.S(IF(('3.1. Gas prod VF'!$L$13:$L$1230=$F110) *('3.1. Gas prod VF'!$M$13:$M$1230=$E110),'3.1. Gas prod VF'!$AL$13:$AL$1230))</f>
        <v>1.5066101182134699</v>
      </c>
      <c r="T110" s="314" cm="1">
        <f t="array" ref="T110">_xlfn.STDEV.S(IF(('3.1. Gas prod VF'!$L$13:$L$1230=$F110) *('3.1. Gas prod VF'!$M$13:$M$1230=$E110),'3.1. Gas prod VF'!$AM$13:$AM$1230))</f>
        <v>15.721604732737633</v>
      </c>
      <c r="U110" s="314" cm="1">
        <f t="array" ref="U110">_xlfn.STDEV.S(IF(('3.1. Gas prod VF'!$L$13:$L$1230=$F110) *('3.1. Gas prod VF'!$M$13:$M$1230=$E110),'3.1. Gas prod VF'!$AN$13:$AN$1230))</f>
        <v>5.6543038610978833</v>
      </c>
      <c r="V110" s="314" cm="1">
        <f t="array" ref="V110">_xlfn.STDEV.S(IF(('3.1. Gas prod VF'!$L$13:$L$1230=$F110) *('3.1. Gas prod VF'!$M$13:$M$1230=$E110),'3.1. Gas prod VF'!$AO$13:$AO$1230))</f>
        <v>0.22766820834837823</v>
      </c>
      <c r="W110" s="314" cm="1">
        <f t="array" ref="W110">_xlfn.STDEV.S(IF(('3.1. Gas prod VF'!$L$13:$L$1230=$F110) *('3.1. Gas prod VF'!$M$13:$M$1230=$E110),'3.1. Gas prod VF'!$AP$13:$AP$1230))</f>
        <v>0.60104076400856443</v>
      </c>
      <c r="X110" s="314" cm="1">
        <f t="array" ref="X110">_xlfn.STDEV.S(IF(('3.1. Gas prod VF'!$L$13:$L$1230=$F110) *('3.1. Gas prod VF'!$M$13:$M$1230=$E110),'3.1. Gas prod VF'!$AQ$13:$AQ$1230))</f>
        <v>0.53221581545930963</v>
      </c>
      <c r="Y110" s="314" cm="1">
        <f t="array" ref="Y110">_xlfn.STDEV.S(IF(('3.1. Gas prod VF'!$L$13:$L$1230=$F110) *('3.1. Gas prod VF'!$M$13:$M$1230=$E110),'3.1. Gas prod VF'!$AR$13:$AR$1230))</f>
        <v>3.2644511957710631</v>
      </c>
      <c r="Z110" s="314" cm="1">
        <f t="array" ref="Z110">_xlfn.STDEV.S(IF(('3.1. Gas prod VF'!$L$13:$L$1230=$F110) *('3.1. Gas prod VF'!$M$13:$M$1230=$E110),'3.1. Gas prod VF'!$AS$13:$AS$1230))</f>
        <v>5.222934810139372</v>
      </c>
      <c r="AA110" s="314" cm="1">
        <f t="array" ref="AA110">_xlfn.STDEV.S(IF(('3.1. Gas prod VF'!$L$13:$L$1230=$F110) *('3.1. Gas prod VF'!$M$13:$M$1230=$E110),'3.1. Gas prod VF'!$AT$13:$AT$1230))</f>
        <v>13.069161824443185</v>
      </c>
      <c r="AB110" s="314" cm="1">
        <f t="array" ref="AB110">_xlfn.STDEV.S(IF(('3.1. Gas prod VF'!$L$13:$L$1230=$F110) *('3.1. Gas prod VF'!$M$13:$M$1230=$E110),'3.1. Gas prod VF'!$AU$13:$AU$1230))</f>
        <v>1.811826892047353</v>
      </c>
      <c r="AC110" s="314" cm="1">
        <f t="array" ref="AC110">_xlfn.STDEV.S(IF(('3.1. Gas prod VF'!$L$13:$L$1230=$F110) *('3.1. Gas prod VF'!$M$13:$M$1230=$E110),'3.1. Gas prod VF'!$AU$13:$AV$1230))</f>
        <v>6.8790216472025625</v>
      </c>
      <c r="AD110" s="20"/>
      <c r="AE110" s="20"/>
    </row>
    <row r="111" spans="2:31" x14ac:dyDescent="0.35">
      <c r="B111" s="62">
        <f>'1. Information samples'!B111</f>
        <v>101</v>
      </c>
      <c r="C111" s="198">
        <f>'1. Information samples'!C111</f>
        <v>46055</v>
      </c>
      <c r="D111" s="62" t="str">
        <f>'1. Information samples'!D111</f>
        <v>Genbank</v>
      </c>
      <c r="E111" s="316">
        <f>'1. Information samples'!E111</f>
        <v>29</v>
      </c>
      <c r="F111" s="62" t="str">
        <f>'1. Information samples'!F111</f>
        <v>F252611</v>
      </c>
      <c r="G111" s="62" t="str">
        <f>'1. Information samples'!G111</f>
        <v>CIAT23116</v>
      </c>
      <c r="H111" s="62" t="str">
        <f>'1. Information samples'!H111</f>
        <v>Desmodium</v>
      </c>
      <c r="I111" s="62" t="str">
        <f>'1. Information samples'!I111</f>
        <v>tortuosum</v>
      </c>
      <c r="J111" s="62" t="str">
        <f>'1. Information samples'!J111</f>
        <v>Desmodium tortuosum</v>
      </c>
      <c r="K111" s="62" t="str">
        <f>'1. Information samples'!K111</f>
        <v>Fabaceae</v>
      </c>
      <c r="L111" s="62" t="str">
        <f>'1. Information samples'!L111</f>
        <v>Fabales</v>
      </c>
      <c r="M111" s="62" t="str">
        <f>'1. Information samples'!M111</f>
        <v>Shurb_Tree</v>
      </c>
      <c r="N111" s="314" cm="1">
        <f t="array" ref="N111">_xlfn.STDEV.S(IF(('3.1. Gas prod VF'!$L$13:$L$1230=$F111) *('3.1. Gas prod VF'!$M$13:$M$1230=$E111),'3.1. Gas prod VF'!$AG$13:$AG$1230))</f>
        <v>5.3478208095440527</v>
      </c>
      <c r="O111" s="314" cm="1">
        <f t="array" ref="O111">_xlfn.STDEV.S(IF(('3.1. Gas prod VF'!$L$13:$L$1230=$F111) *('3.1. Gas prod VF'!$M$13:$M$1230=$E111),'3.1. Gas prod VF'!$AH$13:$AH$1230))</f>
        <v>4.0674705476164519</v>
      </c>
      <c r="P111" s="314" cm="1">
        <f t="array" ref="P111">_xlfn.STDEV.S(IF(('3.1. Gas prod VF'!$L$13:$L$1230=$F111) *('3.1. Gas prod VF'!$M$13:$M$1230=$E111),'3.1. Gas prod VF'!$AI$13:$AI$1230))</f>
        <v>9.1021078870073513</v>
      </c>
      <c r="Q111" s="314" cm="1">
        <f t="array" ref="Q111">_xlfn.STDEV.S(IF(('3.1. Gas prod VF'!$L$13:$L$1230=$F111) *('3.1. Gas prod VF'!$M$13:$M$1230=$E111),'3.1. Gas prod VF'!$AJ$13:$AJ$1230))</f>
        <v>0.93365956188719201</v>
      </c>
      <c r="R111" s="314" cm="1">
        <f t="array" ref="R111">_xlfn.STDEV.S(IF(('3.1. Gas prod VF'!$L$13:$L$1230=$F111) *('3.1. Gas prod VF'!$M$13:$M$1230=$E111),'3.1. Gas prod VF'!$AK$13:$AK$1230))</f>
        <v>0.77751269679235746</v>
      </c>
      <c r="S111" s="314" cm="1">
        <f t="array" ref="S111">_xlfn.STDEV.S(IF(('3.1. Gas prod VF'!$L$13:$L$1230=$F111) *('3.1. Gas prod VF'!$M$13:$M$1230=$E111),'3.1. Gas prod VF'!$AL$13:$AL$1230))</f>
        <v>1.6590708020536484</v>
      </c>
      <c r="T111" s="314" cm="1">
        <f t="array" ref="T111">_xlfn.STDEV.S(IF(('3.1. Gas prod VF'!$L$13:$L$1230=$F111) *('3.1. Gas prod VF'!$M$13:$M$1230=$E111),'3.1. Gas prod VF'!$AM$13:$AM$1230))</f>
        <v>19.635689281342753</v>
      </c>
      <c r="U111" s="314" cm="1">
        <f t="array" ref="U111">_xlfn.STDEV.S(IF(('3.1. Gas prod VF'!$L$13:$L$1230=$F111) *('3.1. Gas prod VF'!$M$13:$M$1230=$E111),'3.1. Gas prod VF'!$AN$13:$AN$1230))</f>
        <v>5.3771973413146101</v>
      </c>
      <c r="V111" s="314" cm="1">
        <f t="array" ref="V111">_xlfn.STDEV.S(IF(('3.1. Gas prod VF'!$L$13:$L$1230=$F111) *('3.1. Gas prod VF'!$M$13:$M$1230=$E111),'3.1. Gas prod VF'!$AO$13:$AO$1230))</f>
        <v>0.41898276899506171</v>
      </c>
      <c r="W111" s="314" cm="1">
        <f t="array" ref="W111">_xlfn.STDEV.S(IF(('3.1. Gas prod VF'!$L$13:$L$1230=$F111) *('3.1. Gas prod VF'!$M$13:$M$1230=$E111),'3.1. Gas prod VF'!$AP$13:$AP$1230))</f>
        <v>0.55145910352186878</v>
      </c>
      <c r="X111" s="314" cm="1">
        <f t="array" ref="X111">_xlfn.STDEV.S(IF(('3.1. Gas prod VF'!$L$13:$L$1230=$F111) *('3.1. Gas prod VF'!$M$13:$M$1230=$E111),'3.1. Gas prod VF'!$AQ$13:$AQ$1230))</f>
        <v>0.45277427613326887</v>
      </c>
      <c r="Y111" s="314" cm="1">
        <f t="array" ref="Y111">_xlfn.STDEV.S(IF(('3.1. Gas prod VF'!$L$13:$L$1230=$F111) *('3.1. Gas prod VF'!$M$13:$M$1230=$E111),'3.1. Gas prod VF'!$AR$13:$AR$1230))</f>
        <v>3.5804235959527411</v>
      </c>
      <c r="Z111" s="314" cm="1">
        <f t="array" ref="Z111">_xlfn.STDEV.S(IF(('3.1. Gas prod VF'!$L$13:$L$1230=$F111) *('3.1. Gas prod VF'!$M$13:$M$1230=$E111),'3.1. Gas prod VF'!$AS$13:$AS$1230))</f>
        <v>12.990073705442317</v>
      </c>
      <c r="AA111" s="314" cm="1">
        <f t="array" ref="AA111">_xlfn.STDEV.S(IF(('3.1. Gas prod VF'!$L$13:$L$1230=$F111) *('3.1. Gas prod VF'!$M$13:$M$1230=$E111),'3.1. Gas prod VF'!$AT$13:$AT$1230))</f>
        <v>10.07682626445094</v>
      </c>
      <c r="AB111" s="314" cm="1">
        <f t="array" ref="AB111">_xlfn.STDEV.S(IF(('3.1. Gas prod VF'!$L$13:$L$1230=$F111) *('3.1. Gas prod VF'!$M$13:$M$1230=$E111),'3.1. Gas prod VF'!$AU$13:$AU$1230))</f>
        <v>1.987197040798659</v>
      </c>
      <c r="AC111" s="314" cm="1">
        <f t="array" ref="AC111">_xlfn.STDEV.S(IF(('3.1. Gas prod VF'!$L$13:$L$1230=$F111) *('3.1. Gas prod VF'!$M$13:$M$1230=$E111),'3.1. Gas prod VF'!$AU$13:$AV$1230))</f>
        <v>13.481421131782108</v>
      </c>
      <c r="AD111" s="20"/>
      <c r="AE111" s="20"/>
    </row>
    <row r="112" spans="2:31" x14ac:dyDescent="0.35">
      <c r="B112" s="62">
        <f>'1. Information samples'!B112</f>
        <v>102</v>
      </c>
      <c r="C112" s="198">
        <f>'1. Information samples'!C112</f>
        <v>46055</v>
      </c>
      <c r="D112" s="62" t="str">
        <f>'1. Information samples'!D112</f>
        <v>Genbank</v>
      </c>
      <c r="E112" s="316">
        <f>'1. Information samples'!E112</f>
        <v>29</v>
      </c>
      <c r="F112" s="62" t="str">
        <f>'1. Information samples'!F112</f>
        <v>F252612</v>
      </c>
      <c r="G112" s="62" t="str">
        <f>'1. Information samples'!G112</f>
        <v>CIAT23416</v>
      </c>
      <c r="H112" s="62" t="str">
        <f>'1. Information samples'!H112</f>
        <v>Codariocalyx</v>
      </c>
      <c r="I112" s="62" t="str">
        <f>'1. Information samples'!I112</f>
        <v>motorius</v>
      </c>
      <c r="J112" s="62" t="str">
        <f>'1. Information samples'!J112</f>
        <v>Codariocalyx motorius</v>
      </c>
      <c r="K112" s="62" t="str">
        <f>'1. Information samples'!K112</f>
        <v>Fabaceae</v>
      </c>
      <c r="L112" s="62" t="str">
        <f>'1. Information samples'!L112</f>
        <v>Fabales</v>
      </c>
      <c r="M112" s="62" t="str">
        <f>'1. Information samples'!M112</f>
        <v>Shurb_Tree</v>
      </c>
      <c r="N112" s="314" cm="1">
        <f t="array" ref="N112">_xlfn.STDEV.S(IF(('3.1. Gas prod VF'!$L$13:$L$1230=$F112) *('3.1. Gas prod VF'!$M$13:$M$1230=$E112),'3.1. Gas prod VF'!$AG$13:$AG$1230))</f>
        <v>2.9535643210619562</v>
      </c>
      <c r="O112" s="314" cm="1">
        <f t="array" ref="O112">_xlfn.STDEV.S(IF(('3.1. Gas prod VF'!$L$13:$L$1230=$F112) *('3.1. Gas prod VF'!$M$13:$M$1230=$E112),'3.1. Gas prod VF'!$AH$13:$AH$1230))</f>
        <v>2.2457430590752465</v>
      </c>
      <c r="P112" s="314" cm="1">
        <f t="array" ref="P112">_xlfn.STDEV.S(IF(('3.1. Gas prod VF'!$L$13:$L$1230=$F112) *('3.1. Gas prod VF'!$M$13:$M$1230=$E112),'3.1. Gas prod VF'!$AI$13:$AI$1230))</f>
        <v>5.0166656539496071</v>
      </c>
      <c r="Q112" s="314" cm="1">
        <f t="array" ref="Q112">_xlfn.STDEV.S(IF(('3.1. Gas prod VF'!$L$13:$L$1230=$F112) *('3.1. Gas prod VF'!$M$13:$M$1230=$E112),'3.1. Gas prod VF'!$AJ$13:$AJ$1230))</f>
        <v>0.53086112857338619</v>
      </c>
      <c r="R112" s="314" cm="1">
        <f t="array" ref="R112">_xlfn.STDEV.S(IF(('3.1. Gas prod VF'!$L$13:$L$1230=$F112) *('3.1. Gas prod VF'!$M$13:$M$1230=$E112),'3.1. Gas prod VF'!$AK$13:$AK$1230))</f>
        <v>0.53615118800980055</v>
      </c>
      <c r="S112" s="314" cm="1">
        <f t="array" ref="S112">_xlfn.STDEV.S(IF(('3.1. Gas prod VF'!$L$13:$L$1230=$F112) *('3.1. Gas prod VF'!$M$13:$M$1230=$E112),'3.1. Gas prod VF'!$AL$13:$AL$1230))</f>
        <v>1.0459588383341689</v>
      </c>
      <c r="T112" s="314" cm="1">
        <f t="array" ref="T112">_xlfn.STDEV.S(IF(('3.1. Gas prod VF'!$L$13:$L$1230=$F112) *('3.1. Gas prod VF'!$M$13:$M$1230=$E112),'3.1. Gas prod VF'!$AM$13:$AM$1230))</f>
        <v>10.827170291460074</v>
      </c>
      <c r="U112" s="314" cm="1">
        <f t="array" ref="U112">_xlfn.STDEV.S(IF(('3.1. Gas prod VF'!$L$13:$L$1230=$F112) *('3.1. Gas prod VF'!$M$13:$M$1230=$E112),'3.1. Gas prod VF'!$AN$13:$AN$1230))</f>
        <v>9.4408989070377274</v>
      </c>
      <c r="V112" s="314" cm="1">
        <f t="array" ref="V112">_xlfn.STDEV.S(IF(('3.1. Gas prod VF'!$L$13:$L$1230=$F112) *('3.1. Gas prod VF'!$M$13:$M$1230=$E112),'3.1. Gas prod VF'!$AO$13:$AO$1230))</f>
        <v>0.70933840839730489</v>
      </c>
      <c r="W112" s="314" cm="1">
        <f t="array" ref="W112">_xlfn.STDEV.S(IF(('3.1. Gas prod VF'!$L$13:$L$1230=$F112) *('3.1. Gas prod VF'!$M$13:$M$1230=$E112),'3.1. Gas prod VF'!$AP$13:$AP$1230))</f>
        <v>0.65246784266681379</v>
      </c>
      <c r="X112" s="314" cm="1">
        <f t="array" ref="X112">_xlfn.STDEV.S(IF(('3.1. Gas prod VF'!$L$13:$L$1230=$F112) *('3.1. Gas prod VF'!$M$13:$M$1230=$E112),'3.1. Gas prod VF'!$AQ$13:$AQ$1230))</f>
        <v>0.57047542037561894</v>
      </c>
      <c r="Y112" s="314" cm="1">
        <f t="array" ref="Y112">_xlfn.STDEV.S(IF(('3.1. Gas prod VF'!$L$13:$L$1230=$F112) *('3.1. Gas prod VF'!$M$13:$M$1230=$E112),'3.1. Gas prod VF'!$AR$13:$AR$1230))</f>
        <v>2.2557927359354806</v>
      </c>
      <c r="Z112" s="314" cm="1">
        <f t="array" ref="Z112">_xlfn.STDEV.S(IF(('3.1. Gas prod VF'!$L$13:$L$1230=$F112) *('3.1. Gas prod VF'!$M$13:$M$1230=$E112),'3.1. Gas prod VF'!$AS$13:$AS$1230))</f>
        <v>18.139492961838329</v>
      </c>
      <c r="AA112" s="314" cm="1">
        <f t="array" ref="AA112">_xlfn.STDEV.S(IF(('3.1. Gas prod VF'!$L$13:$L$1230=$F112) *('3.1. Gas prod VF'!$M$13:$M$1230=$E112),'3.1. Gas prod VF'!$AT$13:$AT$1230))</f>
        <v>3.4157706541368307</v>
      </c>
      <c r="AB112" s="314" cm="1">
        <f t="array" ref="AB112">_xlfn.STDEV.S(IF(('3.1. Gas prod VF'!$L$13:$L$1230=$F112) *('3.1. Gas prod VF'!$M$13:$M$1230=$E112),'3.1. Gas prod VF'!$AU$13:$AU$1230))</f>
        <v>1.2520039960001856</v>
      </c>
      <c r="AC112" s="314" cm="1">
        <f t="array" ref="AC112">_xlfn.STDEV.S(IF(('3.1. Gas prod VF'!$L$13:$L$1230=$F112) *('3.1. Gas prod VF'!$M$13:$M$1230=$E112),'3.1. Gas prod VF'!$AU$13:$AV$1230))</f>
        <v>12.744302078433781</v>
      </c>
      <c r="AD112" s="20"/>
      <c r="AE112" s="20"/>
    </row>
    <row r="113" spans="2:31" x14ac:dyDescent="0.35">
      <c r="B113" s="62">
        <f>'1. Information samples'!B113</f>
        <v>103</v>
      </c>
      <c r="C113" s="198">
        <f>'1. Information samples'!C113</f>
        <v>46055</v>
      </c>
      <c r="D113" s="62" t="str">
        <f>'1. Information samples'!D113</f>
        <v>Genbank</v>
      </c>
      <c r="E113" s="316">
        <f>'1. Information samples'!E113</f>
        <v>29</v>
      </c>
      <c r="F113" s="62" t="str">
        <f>'1. Information samples'!F113</f>
        <v>F252613</v>
      </c>
      <c r="G113" s="62" t="str">
        <f>'1. Information samples'!G113</f>
        <v>CIAT23806</v>
      </c>
      <c r="H113" s="62" t="str">
        <f>'1. Information samples'!H113</f>
        <v>Desmodium</v>
      </c>
      <c r="I113" s="62" t="str">
        <f>'1. Information samples'!I113</f>
        <v>angustifolium</v>
      </c>
      <c r="J113" s="62" t="str">
        <f>'1. Information samples'!J113</f>
        <v>Desmodium angustifolium</v>
      </c>
      <c r="K113" s="62" t="str">
        <f>'1. Information samples'!K113</f>
        <v>Fabaceae</v>
      </c>
      <c r="L113" s="62" t="str">
        <f>'1. Information samples'!L113</f>
        <v>Fabales</v>
      </c>
      <c r="M113" s="62" t="str">
        <f>'1. Information samples'!M113</f>
        <v>Herbaceous</v>
      </c>
      <c r="N113" s="314" cm="1">
        <f t="array" ref="N113">_xlfn.STDEV.S(IF(('3.1. Gas prod VF'!$L$13:$L$1230=$F113) *('3.1. Gas prod VF'!$M$13:$M$1230=$E113),'3.1. Gas prod VF'!$AG$13:$AG$1230))</f>
        <v>5.1744391944203407</v>
      </c>
      <c r="O113" s="314" cm="1">
        <f t="array" ref="O113">_xlfn.STDEV.S(IF(('3.1. Gas prod VF'!$L$13:$L$1230=$F113) *('3.1. Gas prod VF'!$M$13:$M$1230=$E113),'3.1. Gas prod VF'!$AH$13:$AH$1230))</f>
        <v>3.0875826451308845</v>
      </c>
      <c r="P113" s="314" cm="1">
        <f t="array" ref="P113">_xlfn.STDEV.S(IF(('3.1. Gas prod VF'!$L$13:$L$1230=$F113) *('3.1. Gas prod VF'!$M$13:$M$1230=$E113),'3.1. Gas prod VF'!$AI$13:$AI$1230))</f>
        <v>7.7290598429829531</v>
      </c>
      <c r="Q113" s="314" cm="1">
        <f t="array" ref="Q113">_xlfn.STDEV.S(IF(('3.1. Gas prod VF'!$L$13:$L$1230=$F113) *('3.1. Gas prod VF'!$M$13:$M$1230=$E113),'3.1. Gas prod VF'!$AJ$13:$AJ$1230))</f>
        <v>0.89949341665959637</v>
      </c>
      <c r="R113" s="314" cm="1">
        <f t="array" ref="R113">_xlfn.STDEV.S(IF(('3.1. Gas prod VF'!$L$13:$L$1230=$F113) *('3.1. Gas prod VF'!$M$13:$M$1230=$E113),'3.1. Gas prod VF'!$AK$13:$AK$1230))</f>
        <v>0.78441043003445099</v>
      </c>
      <c r="S113" s="314" cm="1">
        <f t="array" ref="S113">_xlfn.STDEV.S(IF(('3.1. Gas prod VF'!$L$13:$L$1230=$F113) *('3.1. Gas prod VF'!$M$13:$M$1230=$E113),'3.1. Gas prod VF'!$AL$13:$AL$1230))</f>
        <v>1.6166066818904572</v>
      </c>
      <c r="T113" s="314" cm="1">
        <f t="array" ref="T113">_xlfn.STDEV.S(IF(('3.1. Gas prod VF'!$L$13:$L$1230=$F113) *('3.1. Gas prod VF'!$M$13:$M$1230=$E113),'3.1. Gas prod VF'!$AM$13:$AM$1230))</f>
        <v>16.688797404673636</v>
      </c>
      <c r="U113" s="314" cm="1">
        <f t="array" ref="U113">_xlfn.STDEV.S(IF(('3.1. Gas prod VF'!$L$13:$L$1230=$F113) *('3.1. Gas prod VF'!$M$13:$M$1230=$E113),'3.1. Gas prod VF'!$AN$13:$AN$1230))</f>
        <v>3.1173735728803527</v>
      </c>
      <c r="V113" s="314" cm="1">
        <f t="array" ref="V113">_xlfn.STDEV.S(IF(('3.1. Gas prod VF'!$L$13:$L$1230=$F113) *('3.1. Gas prod VF'!$M$13:$M$1230=$E113),'3.1. Gas prod VF'!$AO$13:$AO$1230))</f>
        <v>0.27877106107927901</v>
      </c>
      <c r="W113" s="314" cm="1">
        <f t="array" ref="W113">_xlfn.STDEV.S(IF(('3.1. Gas prod VF'!$L$13:$L$1230=$F113) *('3.1. Gas prod VF'!$M$13:$M$1230=$E113),'3.1. Gas prod VF'!$AP$13:$AP$1230))</f>
        <v>0.65778307323050667</v>
      </c>
      <c r="X113" s="314" cm="1">
        <f t="array" ref="X113">_xlfn.STDEV.S(IF(('3.1. Gas prod VF'!$L$13:$L$1230=$F113) *('3.1. Gas prod VF'!$M$13:$M$1230=$E113),'3.1. Gas prod VF'!$AQ$13:$AQ$1230))</f>
        <v>0.65594484107666884</v>
      </c>
      <c r="Y113" s="314" cm="1">
        <f t="array" ref="Y113">_xlfn.STDEV.S(IF(('3.1. Gas prod VF'!$L$13:$L$1230=$F113) *('3.1. Gas prod VF'!$M$13:$M$1230=$E113),'3.1. Gas prod VF'!$AR$13:$AR$1230))</f>
        <v>3.4869164211374235</v>
      </c>
      <c r="Z113" s="314" cm="1">
        <f t="array" ref="Z113">_xlfn.STDEV.S(IF(('3.1. Gas prod VF'!$L$13:$L$1230=$F113) *('3.1. Gas prod VF'!$M$13:$M$1230=$E113),'3.1. Gas prod VF'!$AS$13:$AS$1230))</f>
        <v>9.6928699813897321</v>
      </c>
      <c r="AA113" s="314" cm="1">
        <f t="array" ref="AA113">_xlfn.STDEV.S(IF(('3.1. Gas prod VF'!$L$13:$L$1230=$F113) *('3.1. Gas prod VF'!$M$13:$M$1230=$E113),'3.1. Gas prod VF'!$AT$13:$AT$1230))</f>
        <v>3.1175037199900424</v>
      </c>
      <c r="AB113" s="314" cm="1">
        <f t="array" ref="AB113">_xlfn.STDEV.S(IF(('3.1. Gas prod VF'!$L$13:$L$1230=$F113) *('3.1. Gas prod VF'!$M$13:$M$1230=$E113),'3.1. Gas prod VF'!$AU$13:$AU$1230))</f>
        <v>1.9352989410049943</v>
      </c>
      <c r="AC113" s="314" cm="1">
        <f t="array" ref="AC113">_xlfn.STDEV.S(IF(('3.1. Gas prod VF'!$L$13:$L$1230=$F113) *('3.1. Gas prod VF'!$M$13:$M$1230=$E113),'3.1. Gas prod VF'!$AU$13:$AV$1230))</f>
        <v>10.516975556556348</v>
      </c>
      <c r="AD113" s="20"/>
      <c r="AE113" s="20"/>
    </row>
    <row r="114" spans="2:31" x14ac:dyDescent="0.35">
      <c r="B114" s="62">
        <f>'1. Information samples'!B114</f>
        <v>104</v>
      </c>
      <c r="C114" s="198">
        <f>'1. Information samples'!C114</f>
        <v>46055</v>
      </c>
      <c r="D114" s="62" t="str">
        <f>'1. Information samples'!D114</f>
        <v>Genbank</v>
      </c>
      <c r="E114" s="316">
        <f>'1. Information samples'!E114</f>
        <v>29</v>
      </c>
      <c r="F114" s="62" t="str">
        <f>'1. Information samples'!F114</f>
        <v>F252614</v>
      </c>
      <c r="G114" s="62" t="str">
        <f>'1. Information samples'!G114</f>
        <v>CIAT24104</v>
      </c>
      <c r="H114" s="62" t="str">
        <f>'1. Information samples'!H114</f>
        <v>Macroptilium</v>
      </c>
      <c r="I114" s="62" t="str">
        <f>'1. Information samples'!I114</f>
        <v>atropurpureum</v>
      </c>
      <c r="J114" s="62" t="str">
        <f>'1. Information samples'!J114</f>
        <v>Macroptilium atropurpureum</v>
      </c>
      <c r="K114" s="62" t="str">
        <f>'1. Information samples'!K114</f>
        <v>Fabaceae</v>
      </c>
      <c r="L114" s="62" t="str">
        <f>'1. Information samples'!L114</f>
        <v>Fabales</v>
      </c>
      <c r="M114" s="62" t="str">
        <f>'1. Information samples'!M114</f>
        <v>Herbaceous</v>
      </c>
      <c r="N114" s="314" cm="1">
        <f t="array" ref="N114">_xlfn.STDEV.S(IF(('3.1. Gas prod VF'!$L$13:$L$1230=$F114) *('3.1. Gas prod VF'!$M$13:$M$1230=$E114),'3.1. Gas prod VF'!$AG$13:$AG$1230))</f>
        <v>5.6673385769066584</v>
      </c>
      <c r="O114" s="314" cm="1">
        <f t="array" ref="O114">_xlfn.STDEV.S(IF(('3.1. Gas prod VF'!$L$13:$L$1230=$F114) *('3.1. Gas prod VF'!$M$13:$M$1230=$E114),'3.1. Gas prod VF'!$AH$13:$AH$1230))</f>
        <v>1.7612257652628907</v>
      </c>
      <c r="P114" s="314" cm="1">
        <f t="array" ref="P114">_xlfn.STDEV.S(IF(('3.1. Gas prod VF'!$L$13:$L$1230=$F114) *('3.1. Gas prod VF'!$M$13:$M$1230=$E114),'3.1. Gas prod VF'!$AI$13:$AI$1230))</f>
        <v>6.8943271912472639</v>
      </c>
      <c r="Q114" s="314" cm="1">
        <f t="array" ref="Q114">_xlfn.STDEV.S(IF(('3.1. Gas prod VF'!$L$13:$L$1230=$F114) *('3.1. Gas prod VF'!$M$13:$M$1230=$E114),'3.1. Gas prod VF'!$AJ$13:$AJ$1230))</f>
        <v>0.97286932026739326</v>
      </c>
      <c r="R114" s="314" cm="1">
        <f t="array" ref="R114">_xlfn.STDEV.S(IF(('3.1. Gas prod VF'!$L$13:$L$1230=$F114) *('3.1. Gas prod VF'!$M$13:$M$1230=$E114),'3.1. Gas prod VF'!$AK$13:$AK$1230))</f>
        <v>0.47351557275801126</v>
      </c>
      <c r="S114" s="314" cm="1">
        <f t="array" ref="S114">_xlfn.STDEV.S(IF(('3.1. Gas prod VF'!$L$13:$L$1230=$F114) *('3.1. Gas prod VF'!$M$13:$M$1230=$E114),'3.1. Gas prod VF'!$AL$13:$AL$1230))</f>
        <v>1.4045984128779407</v>
      </c>
      <c r="T114" s="314" cm="1">
        <f t="array" ref="T114">_xlfn.STDEV.S(IF(('3.1. Gas prod VF'!$L$13:$L$1230=$F114) *('3.1. Gas prod VF'!$M$13:$M$1230=$E114),'3.1. Gas prod VF'!$AM$13:$AM$1230))</f>
        <v>14.907226453216472</v>
      </c>
      <c r="U114" s="314" cm="1">
        <f t="array" ref="U114">_xlfn.STDEV.S(IF(('3.1. Gas prod VF'!$L$13:$L$1230=$F114) *('3.1. Gas prod VF'!$M$13:$M$1230=$E114),'3.1. Gas prod VF'!$AN$13:$AN$1230))</f>
        <v>6.1907698226668577</v>
      </c>
      <c r="V114" s="314" cm="1">
        <f t="array" ref="V114">_xlfn.STDEV.S(IF(('3.1. Gas prod VF'!$L$13:$L$1230=$F114) *('3.1. Gas prod VF'!$M$13:$M$1230=$E114),'3.1. Gas prod VF'!$AO$13:$AO$1230))</f>
        <v>0.50753528256507685</v>
      </c>
      <c r="W114" s="314" cm="1">
        <f t="array" ref="W114">_xlfn.STDEV.S(IF(('3.1. Gas prod VF'!$L$13:$L$1230=$F114) *('3.1. Gas prod VF'!$M$13:$M$1230=$E114),'3.1. Gas prod VF'!$AP$13:$AP$1230))</f>
        <v>0.67559497587576189</v>
      </c>
      <c r="X114" s="314" cm="1">
        <f t="array" ref="X114">_xlfn.STDEV.S(IF(('3.1. Gas prod VF'!$L$13:$L$1230=$F114) *('3.1. Gas prod VF'!$M$13:$M$1230=$E114),'3.1. Gas prod VF'!$AQ$13:$AQ$1230))</f>
        <v>0.62505134136546836</v>
      </c>
      <c r="Y114" s="314" cm="1">
        <f t="array" ref="Y114">_xlfn.STDEV.S(IF(('3.1. Gas prod VF'!$L$13:$L$1230=$F114) *('3.1. Gas prod VF'!$M$13:$M$1230=$E114),'3.1. Gas prod VF'!$AR$13:$AR$1230))</f>
        <v>3.0390102632320874</v>
      </c>
      <c r="Z114" s="314" cm="1">
        <f t="array" ref="Z114">_xlfn.STDEV.S(IF(('3.1. Gas prod VF'!$L$13:$L$1230=$F114) *('3.1. Gas prod VF'!$M$13:$M$1230=$E114),'3.1. Gas prod VF'!$AS$13:$AS$1230))</f>
        <v>7.3055847645841059</v>
      </c>
      <c r="AA114" s="314" cm="1">
        <f t="array" ref="AA114">_xlfn.STDEV.S(IF(('3.1. Gas prod VF'!$L$13:$L$1230=$F114) *('3.1. Gas prod VF'!$M$13:$M$1230=$E114),'3.1. Gas prod VF'!$AT$13:$AT$1230))</f>
        <v>0.81858832657170122</v>
      </c>
      <c r="AB114" s="314" cm="1">
        <f t="array" ref="AB114">_xlfn.STDEV.S(IF(('3.1. Gas prod VF'!$L$13:$L$1230=$F114) *('3.1. Gas prod VF'!$M$13:$M$1230=$E114),'3.1. Gas prod VF'!$AU$13:$AU$1230))</f>
        <v>1.6867032741260561</v>
      </c>
      <c r="AC114" s="314" cm="1">
        <f t="array" ref="AC114">_xlfn.STDEV.S(IF(('3.1. Gas prod VF'!$L$13:$L$1230=$F114) *('3.1. Gas prod VF'!$M$13:$M$1230=$E114),'3.1. Gas prod VF'!$AU$13:$AV$1230))</f>
        <v>5.954723594744185</v>
      </c>
      <c r="AD114" s="20"/>
      <c r="AE114" s="20"/>
    </row>
    <row r="115" spans="2:31" x14ac:dyDescent="0.35">
      <c r="B115" s="62">
        <f>'1. Information samples'!B115</f>
        <v>105</v>
      </c>
      <c r="C115" s="198">
        <f>'1. Information samples'!C115</f>
        <v>46055</v>
      </c>
      <c r="D115" s="62" t="str">
        <f>'1. Information samples'!D115</f>
        <v>Genbank</v>
      </c>
      <c r="E115" s="316">
        <f>'1. Information samples'!E115</f>
        <v>29</v>
      </c>
      <c r="F115" s="62" t="str">
        <f>'1. Information samples'!F115</f>
        <v>F252615</v>
      </c>
      <c r="G115" s="62" t="str">
        <f>'1. Information samples'!G115</f>
        <v>CIAT24565</v>
      </c>
      <c r="H115" s="62" t="str">
        <f>'1. Information samples'!H115</f>
        <v>Vigna</v>
      </c>
      <c r="I115" s="62" t="str">
        <f>'1. Information samples'!I115</f>
        <v>unguiculata</v>
      </c>
      <c r="J115" s="62" t="str">
        <f>'1. Information samples'!J115</f>
        <v>Vigna unguiculata</v>
      </c>
      <c r="K115" s="62" t="str">
        <f>'1. Information samples'!K115</f>
        <v>Fabaceae</v>
      </c>
      <c r="L115" s="62" t="str">
        <f>'1. Information samples'!L115</f>
        <v>Fabales</v>
      </c>
      <c r="M115" s="62" t="str">
        <f>'1. Information samples'!M115</f>
        <v>Herbaceous</v>
      </c>
      <c r="N115" s="314">
        <f>_xlfn.STDEV.S('3.1. Gas prod VF'!AG825,'3.1. Gas prod VF'!AG826,'3.1. Gas prod VF'!AG827,'3.1. Gas prod VF'!AG897,'3.1. Gas prod VF'!AG898,'3.1. Gas prod VF'!AG899,'3.1. Gas prod VF'!AG960,'3.1. Gas prod VF'!AG961)</f>
        <v>4.8945977455321072</v>
      </c>
      <c r="O115" s="314">
        <f>_xlfn.STDEV.S('3.1. Gas prod VF'!AH825,'3.1. Gas prod VF'!AH826,'3.1. Gas prod VF'!AH827,'3.1. Gas prod VF'!AH897,'3.1. Gas prod VF'!AH898,'3.1. Gas prod VF'!AH899,'3.1. Gas prod VF'!AH960,'3.1. Gas prod VF'!AH961)</f>
        <v>4.3439846215652631</v>
      </c>
      <c r="P115" s="314">
        <f>_xlfn.STDEV.S('3.1. Gas prod VF'!AI825,'3.1. Gas prod VF'!AI826,'3.1. Gas prod VF'!AI827,'3.1. Gas prod VF'!AI897,'3.1. Gas prod VF'!AI898,'3.1. Gas prod VF'!AI899,'3.1. Gas prod VF'!AI960,'3.1. Gas prod VF'!AI961)</f>
        <v>9.0643910865776931</v>
      </c>
      <c r="Q115" s="314">
        <f>_xlfn.STDEV.S('3.1. Gas prod VF'!AJ825,'3.1. Gas prod VF'!AJ826,'3.1. Gas prod VF'!AJ827,'3.1. Gas prod VF'!AJ897,'3.1. Gas prod VF'!AJ898,'3.1. Gas prod VF'!AJ899,'3.1. Gas prod VF'!AJ960,'3.1. Gas prod VF'!AJ961)</f>
        <v>0.78624389441963982</v>
      </c>
      <c r="R115" s="314">
        <f>_xlfn.STDEV.S('3.1. Gas prod VF'!AK825,'3.1. Gas prod VF'!AK826,'3.1. Gas prod VF'!AK827,'3.1. Gas prod VF'!AK897,'3.1. Gas prod VF'!AK898,'3.1. Gas prod VF'!AK899,'3.1. Gas prod VF'!AK960,'3.1. Gas prod VF'!AK961)</f>
        <v>1.0030235053814978</v>
      </c>
      <c r="S115" s="314">
        <f>_xlfn.STDEV.S('3.1. Gas prod VF'!AL825,'3.1. Gas prod VF'!AL826,'3.1. Gas prod VF'!AL827,'3.1. Gas prod VF'!AL897,'3.1. Gas prod VF'!AL898,'3.1. Gas prod VF'!AL899,'3.1. Gas prod VF'!AL960,'3.1. Gas prod VF'!AL961)</f>
        <v>1.7289854515253447</v>
      </c>
      <c r="T115" s="314">
        <f>_xlfn.STDEV.S('3.1. Gas prod VF'!AM825,'3.1. Gas prod VF'!AM826,'3.1. Gas prod VF'!AM827,'3.1. Gas prod VF'!AM897,'3.1. Gas prod VF'!AM898,'3.1. Gas prod VF'!AM899,'3.1. Gas prod VF'!AM960,'3.1. Gas prod VF'!AM961)</f>
        <v>20.106474887136891</v>
      </c>
      <c r="U115" s="314">
        <f>_xlfn.STDEV.S('3.1. Gas prod VF'!AN825,'3.1. Gas prod VF'!AN826,'3.1. Gas prod VF'!AN827,'3.1. Gas prod VF'!AN897,'3.1. Gas prod VF'!AN898,'3.1. Gas prod VF'!AN899,'3.1. Gas prod VF'!AN960,'3.1. Gas prod VF'!AN961)</f>
        <v>6.7595403464811703</v>
      </c>
      <c r="V115" s="314">
        <f>_xlfn.STDEV.S('3.1. Gas prod VF'!AO825,'3.1. Gas prod VF'!AO826,'3.1. Gas prod VF'!AO827,'3.1. Gas prod VF'!AO897,'3.1. Gas prod VF'!AO898,'3.1. Gas prod VF'!AO899,'3.1. Gas prod VF'!AO960,'3.1. Gas prod VF'!AO961)</f>
        <v>0.22393516667736627</v>
      </c>
      <c r="W115" s="314">
        <f>_xlfn.STDEV.S('3.1. Gas prod VF'!AP825,'3.1. Gas prod VF'!AP826,'3.1. Gas prod VF'!AP827,'3.1. Gas prod VF'!AP897,'3.1. Gas prod VF'!AP898,'3.1. Gas prod VF'!AP899,'3.1. Gas prod VF'!AP960,'3.1. Gas prod VF'!AP961)</f>
        <v>0.77824589087682716</v>
      </c>
      <c r="X115" s="314">
        <f>_xlfn.STDEV.S('3.1. Gas prod VF'!AQ825,'3.1. Gas prod VF'!AQ826,'3.1. Gas prod VF'!AQ827,'3.1. Gas prod VF'!AQ897,'3.1. Gas prod VF'!AQ898,'3.1. Gas prod VF'!AQ899,'3.1. Gas prod VF'!AQ960,'3.1. Gas prod VF'!AQ961)</f>
        <v>0.70142616446550388</v>
      </c>
      <c r="Y115" s="314">
        <f>_xlfn.STDEV.S('3.1. Gas prod VF'!AR825,'3.1. Gas prod VF'!AR826,'3.1. Gas prod VF'!AR827,'3.1. Gas prod VF'!AR897,'3.1. Gas prod VF'!AR898,'3.1. Gas prod VF'!AR899,'3.1. Gas prod VF'!AR960,'3.1. Gas prod VF'!AR961)</f>
        <v>3.8358791366249338</v>
      </c>
      <c r="Z115" s="314">
        <f>_xlfn.STDEV.S('3.1. Gas prod VF'!AS825,'3.1. Gas prod VF'!AS826,'3.1. Gas prod VF'!AS827,'3.1. Gas prod VF'!AS897,'3.1. Gas prod VF'!AS898,'3.1. Gas prod VF'!AS899,'3.1. Gas prod VF'!AS960,'3.1. Gas prod VF'!AS961)</f>
        <v>5.318427514449958</v>
      </c>
      <c r="AA115" s="314">
        <f>_xlfn.STDEV.S('3.1. Gas prod VF'!AT825,'3.1. Gas prod VF'!AT826,'3.1. Gas prod VF'!AT827,'3.1. Gas prod VF'!AT897,'3.1. Gas prod VF'!AT898,'3.1. Gas prod VF'!AT899,'3.1. Gas prod VF'!AT960,'3.1. Gas prod VF'!AT961)</f>
        <v>2.3113334140814743</v>
      </c>
      <c r="AB115" s="314">
        <f>_xlfn.STDEV.S('3.1. Gas prod VF'!AU825,'3.1. Gas prod VF'!AU826,'3.1. Gas prod VF'!AU827,'3.1. Gas prod VF'!AU897,'3.1. Gas prod VF'!AU898,'3.1. Gas prod VF'!AU899,'3.1. Gas prod VF'!AU960,'3.1. Gas prod VF'!AU961)</f>
        <v>2.1289792855177927</v>
      </c>
      <c r="AC115" s="314">
        <f>_xlfn.STDEV.S('3.1. Gas prod VF'!AV825,'3.1. Gas prod VF'!AV826,'3.1. Gas prod VF'!AV827,'3.1. Gas prod VF'!AV897,'3.1. Gas prod VF'!AV898,'3.1. Gas prod VF'!AV899,'3.1. Gas prod VF'!AV960,'3.1. Gas prod VF'!AV961)</f>
        <v>2.9518192848365326</v>
      </c>
      <c r="AD115" s="20"/>
      <c r="AE115" s="20"/>
    </row>
    <row r="116" spans="2:31" x14ac:dyDescent="0.35">
      <c r="B116" s="62">
        <f>'1. Information samples'!B116</f>
        <v>106</v>
      </c>
      <c r="C116" s="198">
        <f>'1. Information samples'!C116</f>
        <v>46055</v>
      </c>
      <c r="D116" s="62" t="str">
        <f>'1. Information samples'!D116</f>
        <v>Genbank</v>
      </c>
      <c r="E116" s="316">
        <f>'1. Information samples'!E116</f>
        <v>29</v>
      </c>
      <c r="F116" s="62" t="str">
        <f>'1. Information samples'!F116</f>
        <v>F252616</v>
      </c>
      <c r="G116" s="62" t="str">
        <f>'1. Information samples'!G116</f>
        <v>CIAT33561</v>
      </c>
      <c r="H116" s="62" t="str">
        <f>'1. Information samples'!H116</f>
        <v>Desmodium</v>
      </c>
      <c r="I116" s="62" t="str">
        <f>'1. Information samples'!I116</f>
        <v>wigginsii</v>
      </c>
      <c r="J116" s="62" t="str">
        <f>'1. Information samples'!J116</f>
        <v>Desmodium wigginsii</v>
      </c>
      <c r="K116" s="62" t="str">
        <f>'1. Information samples'!K116</f>
        <v>Fabaceae</v>
      </c>
      <c r="L116" s="62" t="str">
        <f>'1. Information samples'!L116</f>
        <v>Fabales</v>
      </c>
      <c r="M116" s="62" t="str">
        <f>'1. Information samples'!M116</f>
        <v>Herbaceous</v>
      </c>
      <c r="N116" s="314" cm="1">
        <f t="array" ref="N116">_xlfn.STDEV.S(IF(('3.1. Gas prod VF'!$L$13:$L$1230=$F116) *('3.1. Gas prod VF'!$M$13:$M$1230=$E116),'3.1. Gas prod VF'!$AG$13:$AG$1230))</f>
        <v>6.043629883407152</v>
      </c>
      <c r="O116" s="314" cm="1">
        <f t="array" ref="O116">_xlfn.STDEV.S(IF(('3.1. Gas prod VF'!$L$13:$L$1230=$F116) *('3.1. Gas prod VF'!$M$13:$M$1230=$E116),'3.1. Gas prod VF'!$AH$13:$AH$1230))</f>
        <v>3.4472233325936754</v>
      </c>
      <c r="P116" s="314" cm="1">
        <f t="array" ref="P116">_xlfn.STDEV.S(IF(('3.1. Gas prod VF'!$L$13:$L$1230=$F116) *('3.1. Gas prod VF'!$M$13:$M$1230=$E116),'3.1. Gas prod VF'!$AI$13:$AI$1230))</f>
        <v>9.0977782017705451</v>
      </c>
      <c r="Q116" s="314" cm="1">
        <f t="array" ref="Q116">_xlfn.STDEV.S(IF(('3.1. Gas prod VF'!$L$13:$L$1230=$F116) *('3.1. Gas prod VF'!$M$13:$M$1230=$E116),'3.1. Gas prod VF'!$AJ$13:$AJ$1230))</f>
        <v>1.0441426686505169</v>
      </c>
      <c r="R116" s="314" cm="1">
        <f t="array" ref="R116">_xlfn.STDEV.S(IF(('3.1. Gas prod VF'!$L$13:$L$1230=$F116) *('3.1. Gas prod VF'!$M$13:$M$1230=$E116),'3.1. Gas prod VF'!$AK$13:$AK$1230))</f>
        <v>0.71966305909315575</v>
      </c>
      <c r="S116" s="314" cm="1">
        <f t="array" ref="S116">_xlfn.STDEV.S(IF(('3.1. Gas prod VF'!$L$13:$L$1230=$F116) *('3.1. Gas prod VF'!$M$13:$M$1230=$E116),'3.1. Gas prod VF'!$AL$13:$AL$1230))</f>
        <v>1.7180285049561499</v>
      </c>
      <c r="T116" s="314" cm="1">
        <f t="array" ref="T116">_xlfn.STDEV.S(IF(('3.1. Gas prod VF'!$L$13:$L$1230=$F116) *('3.1. Gas prod VF'!$M$13:$M$1230=$E116),'3.1. Gas prod VF'!$AM$13:$AM$1230))</f>
        <v>19.780668910663255</v>
      </c>
      <c r="U116" s="314" cm="1">
        <f t="array" ref="U116">_xlfn.STDEV.S(IF(('3.1. Gas prod VF'!$L$13:$L$1230=$F116) *('3.1. Gas prod VF'!$M$13:$M$1230=$E116),'3.1. Gas prod VF'!$AN$13:$AN$1230))</f>
        <v>6.7702445047865858</v>
      </c>
      <c r="V116" s="314" cm="1">
        <f t="array" ref="V116">_xlfn.STDEV.S(IF(('3.1. Gas prod VF'!$L$13:$L$1230=$F116) *('3.1. Gas prod VF'!$M$13:$M$1230=$E116),'3.1. Gas prod VF'!$AO$13:$AO$1230))</f>
        <v>0.30835505786358436</v>
      </c>
      <c r="W116" s="314" cm="1">
        <f t="array" ref="W116">_xlfn.STDEV.S(IF(('3.1. Gas prod VF'!$L$13:$L$1230=$F116) *('3.1. Gas prod VF'!$M$13:$M$1230=$E116),'3.1. Gas prod VF'!$AP$13:$AP$1230))</f>
        <v>0.54625347334626251</v>
      </c>
      <c r="X116" s="314" cm="1">
        <f t="array" ref="X116">_xlfn.STDEV.S(IF(('3.1. Gas prod VF'!$L$13:$L$1230=$F116) *('3.1. Gas prod VF'!$M$13:$M$1230=$E116),'3.1. Gas prod VF'!$AQ$13:$AQ$1230))</f>
        <v>0.48533036282619579</v>
      </c>
      <c r="Y116" s="314" cm="1">
        <f t="array" ref="Y116">_xlfn.STDEV.S(IF(('3.1. Gas prod VF'!$L$13:$L$1230=$F116) *('3.1. Gas prod VF'!$M$13:$M$1230=$E116),'3.1. Gas prod VF'!$AR$13:$AR$1230))</f>
        <v>3.7361342285763484</v>
      </c>
      <c r="Z116" s="314" cm="1">
        <f t="array" ref="Z116">_xlfn.STDEV.S(IF(('3.1. Gas prod VF'!$L$13:$L$1230=$F116) *('3.1. Gas prod VF'!$M$13:$M$1230=$E116),'3.1. Gas prod VF'!$AS$13:$AS$1230))</f>
        <v>8.1940794718389061</v>
      </c>
      <c r="AA116" s="314" cm="1">
        <f t="array" ref="AA116">_xlfn.STDEV.S(IF(('3.1. Gas prod VF'!$L$13:$L$1230=$F116) *('3.1. Gas prod VF'!$M$13:$M$1230=$E116),'3.1. Gas prod VF'!$AT$13:$AT$1230))</f>
        <v>3.902047863665163</v>
      </c>
      <c r="AB116" s="314" cm="1">
        <f t="array" ref="AB116">_xlfn.STDEV.S(IF(('3.1. Gas prod VF'!$L$13:$L$1230=$F116) *('3.1. Gas prod VF'!$M$13:$M$1230=$E116),'3.1. Gas prod VF'!$AU$13:$AU$1230))</f>
        <v>2.0736191358603819</v>
      </c>
      <c r="AC116" s="314" cm="1">
        <f t="array" ref="AC116">_xlfn.STDEV.S(IF(('3.1. Gas prod VF'!$L$13:$L$1230=$F116) *('3.1. Gas prod VF'!$M$13:$M$1230=$E116),'3.1. Gas prod VF'!$AU$13:$AV$1230))</f>
        <v>10.810915494447958</v>
      </c>
      <c r="AD116" s="20"/>
      <c r="AE116" s="20"/>
    </row>
    <row r="117" spans="2:31" x14ac:dyDescent="0.35">
      <c r="B117" s="62">
        <f>'1. Information samples'!B117</f>
        <v>107</v>
      </c>
      <c r="C117" s="198">
        <f>'1. Information samples'!C117</f>
        <v>46055</v>
      </c>
      <c r="D117" s="62" t="str">
        <f>'1. Information samples'!D117</f>
        <v>Genbank</v>
      </c>
      <c r="E117" s="316">
        <f>'1. Information samples'!E117</f>
        <v>29</v>
      </c>
      <c r="F117" s="62" t="str">
        <f>'1. Information samples'!F117</f>
        <v>F252617</v>
      </c>
      <c r="G117" s="62" t="str">
        <f>'1. Information samples'!G117</f>
        <v>CIAT34038</v>
      </c>
      <c r="H117" s="62" t="str">
        <f>'1. Information samples'!H117</f>
        <v>Vigna</v>
      </c>
      <c r="I117" s="62" t="str">
        <f>'1. Information samples'!I117</f>
        <v>unguiculata</v>
      </c>
      <c r="J117" s="62" t="str">
        <f>'1. Information samples'!J117</f>
        <v>Vigna unguiculata</v>
      </c>
      <c r="K117" s="62" t="str">
        <f>'1. Information samples'!K117</f>
        <v>Fabaceae</v>
      </c>
      <c r="L117" s="62" t="str">
        <f>'1. Information samples'!L117</f>
        <v>Fabales</v>
      </c>
      <c r="M117" s="62" t="str">
        <f>'1. Information samples'!M117</f>
        <v>Herbaceous</v>
      </c>
      <c r="N117" s="314" cm="1">
        <f t="array" ref="N117">_xlfn.STDEV.S(IF(('3.1. Gas prod VF'!$L$13:$L$1230=$F117) *('3.1. Gas prod VF'!$M$13:$M$1230=$E117),'3.1. Gas prod VF'!$AG$13:$AG$1230))</f>
        <v>4.4334712541375403</v>
      </c>
      <c r="O117" s="314" cm="1">
        <f t="array" ref="O117">_xlfn.STDEV.S(IF(('3.1. Gas prod VF'!$L$13:$L$1230=$F117) *('3.1. Gas prod VF'!$M$13:$M$1230=$E117),'3.1. Gas prod VF'!$AH$13:$AH$1230))</f>
        <v>4.4078206413759613</v>
      </c>
      <c r="P117" s="314" cm="1">
        <f t="array" ref="P117">_xlfn.STDEV.S(IF(('3.1. Gas prod VF'!$L$13:$L$1230=$F117) *('3.1. Gas prod VF'!$M$13:$M$1230=$E117),'3.1. Gas prod VF'!$AI$13:$AI$1230))</f>
        <v>8.609146917356636</v>
      </c>
      <c r="Q117" s="314" cm="1">
        <f t="array" ref="Q117">_xlfn.STDEV.S(IF(('3.1. Gas prod VF'!$L$13:$L$1230=$F117) *('3.1. Gas prod VF'!$M$13:$M$1230=$E117),'3.1. Gas prod VF'!$AJ$13:$AJ$1230))</f>
        <v>0.67015694342837195</v>
      </c>
      <c r="R117" s="314" cm="1">
        <f t="array" ref="R117">_xlfn.STDEV.S(IF(('3.1. Gas prod VF'!$L$13:$L$1230=$F117) *('3.1. Gas prod VF'!$M$13:$M$1230=$E117),'3.1. Gas prod VF'!$AK$13:$AK$1230))</f>
        <v>0.85849224900854215</v>
      </c>
      <c r="S117" s="314" cm="1">
        <f t="array" ref="S117">_xlfn.STDEV.S(IF(('3.1. Gas prod VF'!$L$13:$L$1230=$F117) *('3.1. Gas prod VF'!$M$13:$M$1230=$E117),'3.1. Gas prod VF'!$AL$13:$AL$1230))</f>
        <v>1.5009474373397409</v>
      </c>
      <c r="T117" s="314" cm="1">
        <f t="array" ref="T117">_xlfn.STDEV.S(IF(('3.1. Gas prod VF'!$L$13:$L$1230=$F117) *('3.1. Gas prod VF'!$M$13:$M$1230=$E117),'3.1. Gas prod VF'!$AM$13:$AM$1230))</f>
        <v>18.747504234517063</v>
      </c>
      <c r="U117" s="314" cm="1">
        <f t="array" ref="U117">_xlfn.STDEV.S(IF(('3.1. Gas prod VF'!$L$13:$L$1230=$F117) *('3.1. Gas prod VF'!$M$13:$M$1230=$E117),'3.1. Gas prod VF'!$AN$13:$AN$1230))</f>
        <v>8.7792599072966215</v>
      </c>
      <c r="V117" s="314" cm="1">
        <f t="array" ref="V117">_xlfn.STDEV.S(IF(('3.1. Gas prod VF'!$L$13:$L$1230=$F117) *('3.1. Gas prod VF'!$M$13:$M$1230=$E117),'3.1. Gas prod VF'!$AO$13:$AO$1230))</f>
        <v>0.40023954288543201</v>
      </c>
      <c r="W117" s="314" cm="1">
        <f t="array" ref="W117">_xlfn.STDEV.S(IF(('3.1. Gas prod VF'!$L$13:$L$1230=$F117) *('3.1. Gas prod VF'!$M$13:$M$1230=$E117),'3.1. Gas prod VF'!$AP$13:$AP$1230))</f>
        <v>0.44400772194057286</v>
      </c>
      <c r="X117" s="314" cm="1">
        <f t="array" ref="X117">_xlfn.STDEV.S(IF(('3.1. Gas prod VF'!$L$13:$L$1230=$F117) *('3.1. Gas prod VF'!$M$13:$M$1230=$E117),'3.1. Gas prod VF'!$AQ$13:$AQ$1230))</f>
        <v>0.44712758906250261</v>
      </c>
      <c r="Y117" s="314" cm="1">
        <f t="array" ref="Y117">_xlfn.STDEV.S(IF(('3.1. Gas prod VF'!$L$13:$L$1230=$F117) *('3.1. Gas prod VF'!$M$13:$M$1230=$E117),'3.1. Gas prod VF'!$AR$13:$AR$1230))</f>
        <v>3.2684588386592281</v>
      </c>
      <c r="Z117" s="314" cm="1">
        <f t="array" ref="Z117">_xlfn.STDEV.S(IF(('3.1. Gas prod VF'!$L$13:$L$1230=$F117) *('3.1. Gas prod VF'!$M$13:$M$1230=$E117),'3.1. Gas prod VF'!$AS$13:$AS$1230))</f>
        <v>8.4074886232731441</v>
      </c>
      <c r="AA117" s="314" cm="1">
        <f t="array" ref="AA117">_xlfn.STDEV.S(IF(('3.1. Gas prod VF'!$L$13:$L$1230=$F117) *('3.1. Gas prod VF'!$M$13:$M$1230=$E117),'3.1. Gas prod VF'!$AT$13:$AT$1230))</f>
        <v>1.1151023105004885</v>
      </c>
      <c r="AB117" s="314" cm="1">
        <f t="array" ref="AB117">_xlfn.STDEV.S(IF(('3.1. Gas prod VF'!$L$13:$L$1230=$F117) *('3.1. Gas prod VF'!$M$13:$M$1230=$E117),'3.1. Gas prod VF'!$AU$13:$AU$1230))</f>
        <v>1.814051203186644</v>
      </c>
      <c r="AC117" s="314" cm="1">
        <f t="array" ref="AC117">_xlfn.STDEV.S(IF(('3.1. Gas prod VF'!$L$13:$L$1230=$F117) *('3.1. Gas prod VF'!$M$13:$M$1230=$E117),'3.1. Gas prod VF'!$AU$13:$AV$1230))</f>
        <v>7.1018604265048193</v>
      </c>
      <c r="AD117" s="20"/>
      <c r="AE117" s="20"/>
    </row>
    <row r="118" spans="2:31" x14ac:dyDescent="0.35">
      <c r="B118" s="62">
        <f>'1. Information samples'!B118</f>
        <v>108</v>
      </c>
      <c r="C118" s="198">
        <f>'1. Information samples'!C118</f>
        <v>46055</v>
      </c>
      <c r="D118" s="62" t="str">
        <f>'1. Information samples'!D118</f>
        <v>Genbank</v>
      </c>
      <c r="E118" s="316">
        <f>'1. Information samples'!E118</f>
        <v>29</v>
      </c>
      <c r="F118" s="62" t="str">
        <f>'1. Information samples'!F118</f>
        <v>F252618</v>
      </c>
      <c r="G118" s="62" t="str">
        <f>'1. Information samples'!G118</f>
        <v>CIAT34040</v>
      </c>
      <c r="H118" s="62" t="str">
        <f>'1. Information samples'!H118</f>
        <v>Vigna</v>
      </c>
      <c r="I118" s="62" t="str">
        <f>'1. Information samples'!I118</f>
        <v>aconitifolia</v>
      </c>
      <c r="J118" s="62" t="str">
        <f>'1. Information samples'!J118</f>
        <v>Vigna aconitifolia</v>
      </c>
      <c r="K118" s="62" t="str">
        <f>'1. Information samples'!K118</f>
        <v>Fabaceae</v>
      </c>
      <c r="L118" s="62" t="str">
        <f>'1. Information samples'!L118</f>
        <v>Fabales</v>
      </c>
      <c r="M118" s="62" t="str">
        <f>'1. Information samples'!M118</f>
        <v>Herbaceous</v>
      </c>
      <c r="N118" s="314" cm="1">
        <f t="array" ref="N118">_xlfn.STDEV.S(IF(('3.1. Gas prod VF'!$L$13:$L$1230=$F118) *('3.1. Gas prod VF'!$M$13:$M$1230=$E118),'3.1. Gas prod VF'!$AG$13:$AG$1230))</f>
        <v>6.4828868217230173</v>
      </c>
      <c r="O118" s="314" cm="1">
        <f t="array" ref="O118">_xlfn.STDEV.S(IF(('3.1. Gas prod VF'!$L$13:$L$1230=$F118) *('3.1. Gas prod VF'!$M$13:$M$1230=$E118),'3.1. Gas prod VF'!$AH$13:$AH$1230))</f>
        <v>2.7637298957870544</v>
      </c>
      <c r="P118" s="314" cm="1">
        <f t="array" ref="P118">_xlfn.STDEV.S(IF(('3.1. Gas prod VF'!$L$13:$L$1230=$F118) *('3.1. Gas prod VF'!$M$13:$M$1230=$E118),'3.1. Gas prod VF'!$AI$13:$AI$1230))</f>
        <v>8.8767684002636749</v>
      </c>
      <c r="Q118" s="314" cm="1">
        <f t="array" ref="Q118">_xlfn.STDEV.S(IF(('3.1. Gas prod VF'!$L$13:$L$1230=$F118) *('3.1. Gas prod VF'!$M$13:$M$1230=$E118),'3.1. Gas prod VF'!$AJ$13:$AJ$1230))</f>
        <v>1.1523972447215578</v>
      </c>
      <c r="R118" s="314" cm="1">
        <f t="array" ref="R118">_xlfn.STDEV.S(IF(('3.1. Gas prod VF'!$L$13:$L$1230=$F118) *('3.1. Gas prod VF'!$M$13:$M$1230=$E118),'3.1. Gas prod VF'!$AK$13:$AK$1230))</f>
        <v>0.56034449290620969</v>
      </c>
      <c r="S118" s="314" cm="1">
        <f t="array" ref="S118">_xlfn.STDEV.S(IF(('3.1. Gas prod VF'!$L$13:$L$1230=$F118) *('3.1. Gas prod VF'!$M$13:$M$1230=$E118),'3.1. Gas prod VF'!$AL$13:$AL$1230))</f>
        <v>1.6912821208275206</v>
      </c>
      <c r="T118" s="314" cm="1">
        <f t="array" ref="T118">_xlfn.STDEV.S(IF(('3.1. Gas prod VF'!$L$13:$L$1230=$F118) *('3.1. Gas prod VF'!$M$13:$M$1230=$E118),'3.1. Gas prod VF'!$AM$13:$AM$1230))</f>
        <v>19.598786856732975</v>
      </c>
      <c r="U118" s="314" cm="1">
        <f t="array" ref="U118">_xlfn.STDEV.S(IF(('3.1. Gas prod VF'!$L$13:$L$1230=$F118) *('3.1. Gas prod VF'!$M$13:$M$1230=$E118),'3.1. Gas prod VF'!$AN$13:$AN$1230))</f>
        <v>6.8457810928766518</v>
      </c>
      <c r="V118" s="314" cm="1">
        <f t="array" ref="V118">_xlfn.STDEV.S(IF(('3.1. Gas prod VF'!$L$13:$L$1230=$F118) *('3.1. Gas prod VF'!$M$13:$M$1230=$E118),'3.1. Gas prod VF'!$AO$13:$AO$1230))</f>
        <v>0.26221108974224494</v>
      </c>
      <c r="W118" s="314" cm="1">
        <f t="array" ref="W118">_xlfn.STDEV.S(IF(('3.1. Gas prod VF'!$L$13:$L$1230=$F118) *('3.1. Gas prod VF'!$M$13:$M$1230=$E118),'3.1. Gas prod VF'!$AP$13:$AP$1230))</f>
        <v>0.64807406984078497</v>
      </c>
      <c r="X118" s="314" cm="1">
        <f t="array" ref="X118">_xlfn.STDEV.S(IF(('3.1. Gas prod VF'!$L$13:$L$1230=$F118) *('3.1. Gas prod VF'!$M$13:$M$1230=$E118),'3.1. Gas prod VF'!$AQ$13:$AQ$1230))</f>
        <v>0.44598176038183529</v>
      </c>
      <c r="Y118" s="314" cm="1">
        <f t="array" ref="Y118">_xlfn.STDEV.S(IF(('3.1. Gas prod VF'!$L$13:$L$1230=$F118) *('3.1. Gas prod VF'!$M$13:$M$1230=$E118),'3.1. Gas prod VF'!$AR$13:$AR$1230))</f>
        <v>3.7331387746050226</v>
      </c>
      <c r="Z118" s="314" cm="1">
        <f t="array" ref="Z118">_xlfn.STDEV.S(IF(('3.1. Gas prod VF'!$L$13:$L$1230=$F118) *('3.1. Gas prod VF'!$M$13:$M$1230=$E118),'3.1. Gas prod VF'!$AS$13:$AS$1230))</f>
        <v>6.3520352467295913</v>
      </c>
      <c r="AA118" s="314" cm="1">
        <f t="array" ref="AA118">_xlfn.STDEV.S(IF(('3.1. Gas prod VF'!$L$13:$L$1230=$F118) *('3.1. Gas prod VF'!$M$13:$M$1230=$E118),'3.1. Gas prod VF'!$AT$13:$AT$1230))</f>
        <v>17.646158428300673</v>
      </c>
      <c r="AB118" s="314" cm="1">
        <f t="array" ref="AB118">_xlfn.STDEV.S(IF(('3.1. Gas prod VF'!$L$13:$L$1230=$F118) *('3.1. Gas prod VF'!$M$13:$M$1230=$E118),'3.1. Gas prod VF'!$AU$13:$AU$1230))</f>
        <v>2.0719566070817641</v>
      </c>
      <c r="AC118" s="314" cm="1">
        <f t="array" ref="AC118">_xlfn.STDEV.S(IF(('3.1. Gas prod VF'!$L$13:$L$1230=$F118) *('3.1. Gas prod VF'!$M$13:$M$1230=$E118),'3.1. Gas prod VF'!$AU$13:$AV$1230))</f>
        <v>7.9149707686343005</v>
      </c>
      <c r="AD118" s="20"/>
      <c r="AE118" s="20"/>
    </row>
    <row r="119" spans="2:31" x14ac:dyDescent="0.35">
      <c r="B119" s="62">
        <f>'1. Information samples'!B119</f>
        <v>109</v>
      </c>
      <c r="C119" s="198">
        <f>'1. Information samples'!C119</f>
        <v>46055</v>
      </c>
      <c r="D119" s="62" t="str">
        <f>'1. Information samples'!D119</f>
        <v>Genbank</v>
      </c>
      <c r="E119" s="316">
        <f>'1. Information samples'!E119</f>
        <v>29</v>
      </c>
      <c r="F119" s="62" t="str">
        <f>'1. Information samples'!F119</f>
        <v>F252619</v>
      </c>
      <c r="G119" s="62" t="str">
        <f>'1. Information samples'!G119</f>
        <v>CIAT34042</v>
      </c>
      <c r="H119" s="62" t="str">
        <f>'1. Information samples'!H119</f>
        <v>Vigna</v>
      </c>
      <c r="I119" s="62" t="str">
        <f>'1. Information samples'!I119</f>
        <v>aconitifolia</v>
      </c>
      <c r="J119" s="62" t="str">
        <f>'1. Information samples'!J119</f>
        <v>Vigna aconitifolia</v>
      </c>
      <c r="K119" s="62" t="str">
        <f>'1. Information samples'!K119</f>
        <v>Fabaceae</v>
      </c>
      <c r="L119" s="62" t="str">
        <f>'1. Information samples'!L119</f>
        <v>Fabales</v>
      </c>
      <c r="M119" s="62" t="str">
        <f>'1. Information samples'!M119</f>
        <v>Herbaceous</v>
      </c>
      <c r="N119" s="314" cm="1">
        <f t="array" ref="N119">_xlfn.STDEV.S(IF(('3.1. Gas prod VF'!$L$13:$L$1230=$F119) *('3.1. Gas prod VF'!$M$13:$M$1230=$E119),'3.1. Gas prod VF'!$AG$13:$AG$1230))</f>
        <v>5.0937752822235494</v>
      </c>
      <c r="O119" s="314" cm="1">
        <f t="array" ref="O119">_xlfn.STDEV.S(IF(('3.1. Gas prod VF'!$L$13:$L$1230=$F119) *('3.1. Gas prod VF'!$M$13:$M$1230=$E119),'3.1. Gas prod VF'!$AH$13:$AH$1230))</f>
        <v>5.6027390763783504</v>
      </c>
      <c r="P119" s="314" cm="1">
        <f t="array" ref="P119">_xlfn.STDEV.S(IF(('3.1. Gas prod VF'!$L$13:$L$1230=$F119) *('3.1. Gas prod VF'!$M$13:$M$1230=$E119),'3.1. Gas prod VF'!$AI$13:$AI$1230))</f>
        <v>10.351068666784446</v>
      </c>
      <c r="Q119" s="314" cm="1">
        <f t="array" ref="Q119">_xlfn.STDEV.S(IF(('3.1. Gas prod VF'!$L$13:$L$1230=$F119) *('3.1. Gas prod VF'!$M$13:$M$1230=$E119),'3.1. Gas prod VF'!$AJ$13:$AJ$1230))</f>
        <v>0.92954670594162192</v>
      </c>
      <c r="R119" s="314" cm="1">
        <f t="array" ref="R119">_xlfn.STDEV.S(IF(('3.1. Gas prod VF'!$L$13:$L$1230=$F119) *('3.1. Gas prod VF'!$M$13:$M$1230=$E119),'3.1. Gas prod VF'!$AK$13:$AK$1230))</f>
        <v>1.035666044164399</v>
      </c>
      <c r="S119" s="314" cm="1">
        <f t="array" ref="S119">_xlfn.STDEV.S(IF(('3.1. Gas prod VF'!$L$13:$L$1230=$F119) *('3.1. Gas prod VF'!$M$13:$M$1230=$E119),'3.1. Gas prod VF'!$AL$13:$AL$1230))</f>
        <v>1.9198977364453826</v>
      </c>
      <c r="T119" s="314" cm="1">
        <f t="array" ref="T119">_xlfn.STDEV.S(IF(('3.1. Gas prod VF'!$L$13:$L$1230=$F119) *('3.1. Gas prod VF'!$M$13:$M$1230=$E119),'3.1. Gas prod VF'!$AM$13:$AM$1230))</f>
        <v>22.746220602048712</v>
      </c>
      <c r="U119" s="314" cm="1">
        <f t="array" ref="U119">_xlfn.STDEV.S(IF(('3.1. Gas prod VF'!$L$13:$L$1230=$F119) *('3.1. Gas prod VF'!$M$13:$M$1230=$E119),'3.1. Gas prod VF'!$AN$13:$AN$1230))</f>
        <v>6.9218985498191277</v>
      </c>
      <c r="V119" s="314" cm="1">
        <f t="array" ref="V119">_xlfn.STDEV.S(IF(('3.1. Gas prod VF'!$L$13:$L$1230=$F119) *('3.1. Gas prod VF'!$M$13:$M$1230=$E119),'3.1. Gas prod VF'!$AO$13:$AO$1230))</f>
        <v>0.26174163802659245</v>
      </c>
      <c r="W119" s="314" cm="1">
        <f t="array" ref="W119">_xlfn.STDEV.S(IF(('3.1. Gas prod VF'!$L$13:$L$1230=$F119) *('3.1. Gas prod VF'!$M$13:$M$1230=$E119),'3.1. Gas prod VF'!$AP$13:$AP$1230))</f>
        <v>0.67770621532173825</v>
      </c>
      <c r="X119" s="314" cm="1">
        <f t="array" ref="X119">_xlfn.STDEV.S(IF(('3.1. Gas prod VF'!$L$13:$L$1230=$F119) *('3.1. Gas prod VF'!$M$13:$M$1230=$E119),'3.1. Gas prod VF'!$AQ$13:$AQ$1230))</f>
        <v>0.48945199474700757</v>
      </c>
      <c r="Y119" s="314" cm="1">
        <f t="array" ref="Y119">_xlfn.STDEV.S(IF(('3.1. Gas prod VF'!$L$13:$L$1230=$F119) *('3.1. Gas prod VF'!$M$13:$M$1230=$E119),'3.1. Gas prod VF'!$AR$13:$AR$1230))</f>
        <v>4.2174270863009866</v>
      </c>
      <c r="Z119" s="314" cm="1">
        <f t="array" ref="Z119">_xlfn.STDEV.S(IF(('3.1. Gas prod VF'!$L$13:$L$1230=$F119) *('3.1. Gas prod VF'!$M$13:$M$1230=$E119),'3.1. Gas prod VF'!$AS$13:$AS$1230))</f>
        <v>6.274146317325159</v>
      </c>
      <c r="AA119" s="314" cm="1">
        <f t="array" ref="AA119">_xlfn.STDEV.S(IF(('3.1. Gas prod VF'!$L$13:$L$1230=$F119) *('3.1. Gas prod VF'!$M$13:$M$1230=$E119),'3.1. Gas prod VF'!$AT$13:$AT$1230))</f>
        <v>6.5482571009163353</v>
      </c>
      <c r="AB119" s="314" cm="1">
        <f t="array" ref="AB119">_xlfn.STDEV.S(IF(('3.1. Gas prod VF'!$L$13:$L$1230=$F119) *('3.1. Gas prod VF'!$M$13:$M$1230=$E119),'3.1. Gas prod VF'!$AU$13:$AU$1230))</f>
        <v>2.3407449987636149</v>
      </c>
      <c r="AC119" s="314" cm="1">
        <f t="array" ref="AC119">_xlfn.STDEV.S(IF(('3.1. Gas prod VF'!$L$13:$L$1230=$F119) *('3.1. Gas prod VF'!$M$13:$M$1230=$E119),'3.1. Gas prod VF'!$AU$13:$AV$1230))</f>
        <v>8.5995502610303554</v>
      </c>
      <c r="AD119" s="20"/>
      <c r="AE119" s="20"/>
    </row>
    <row r="120" spans="2:31" x14ac:dyDescent="0.35">
      <c r="B120" s="62">
        <f>'1. Information samples'!B120</f>
        <v>110</v>
      </c>
      <c r="C120" s="198">
        <f>'1. Information samples'!C120</f>
        <v>46055</v>
      </c>
      <c r="D120" s="62" t="str">
        <f>'1. Information samples'!D120</f>
        <v>Genbank</v>
      </c>
      <c r="E120" s="316">
        <f>'1. Information samples'!E120</f>
        <v>29</v>
      </c>
      <c r="F120" s="62" t="str">
        <f>'1. Information samples'!F120</f>
        <v>F252620</v>
      </c>
      <c r="G120" s="62" t="str">
        <f>'1. Information samples'!G120</f>
        <v>CIAT34044</v>
      </c>
      <c r="H120" s="62" t="str">
        <f>'1. Information samples'!H120</f>
        <v>Vigna</v>
      </c>
      <c r="I120" s="62" t="str">
        <f>'1. Information samples'!I120</f>
        <v>aconitifolia</v>
      </c>
      <c r="J120" s="62" t="str">
        <f>'1. Information samples'!J120</f>
        <v>Vigna aconitifolia</v>
      </c>
      <c r="K120" s="62" t="str">
        <f>'1. Information samples'!K120</f>
        <v>Fabaceae</v>
      </c>
      <c r="L120" s="62" t="str">
        <f>'1. Information samples'!L120</f>
        <v>Fabales</v>
      </c>
      <c r="M120" s="62" t="str">
        <f>'1. Information samples'!M120</f>
        <v>Herbaceous</v>
      </c>
      <c r="N120" s="314">
        <f>_xlfn.STDEV.S('3.1. Gas prod VF'!AG914,'3.1. Gas prod VF'!AG915,'3.1. Gas prod VF'!AG916,'3.1. Gas prod VF'!AG970,'3.1. Gas prod VF'!AG971)</f>
        <v>3.3938320143094285</v>
      </c>
      <c r="O120" s="314">
        <f>_xlfn.STDEV.S('3.1. Gas prod VF'!AH914,'3.1. Gas prod VF'!AH915,'3.1. Gas prod VF'!AH916,'3.1. Gas prod VF'!AH970,'3.1. Gas prod VF'!AH971)</f>
        <v>3.8886633732033746</v>
      </c>
      <c r="P120" s="314">
        <f>_xlfn.STDEV.S('3.1. Gas prod VF'!AI914,'3.1. Gas prod VF'!AI915,'3.1. Gas prod VF'!AI916,'3.1. Gas prod VF'!AI970,'3.1. Gas prod VF'!AI971)</f>
        <v>4.9586228560808117</v>
      </c>
      <c r="Q120" s="314">
        <f>_xlfn.STDEV.S('3.1. Gas prod VF'!AJ914,'3.1. Gas prod VF'!AJ915,'3.1. Gas prod VF'!AJ916,'3.1. Gas prod VF'!AJ970,'3.1. Gas prod VF'!AJ971)</f>
        <v>0.7552680416256683</v>
      </c>
      <c r="R120" s="314">
        <f>_xlfn.STDEV.S('3.1. Gas prod VF'!AK914,'3.1. Gas prod VF'!AK915,'3.1. Gas prod VF'!AK916,'3.1. Gas prod VF'!AK970,'3.1. Gas prod VF'!AK971)</f>
        <v>0.5917745200217589</v>
      </c>
      <c r="S120" s="314">
        <f>_xlfn.STDEV.S('3.1. Gas prod VF'!AL914,'3.1. Gas prod VF'!AL915,'3.1. Gas prod VF'!AL916,'3.1. Gas prod VF'!AL970,'3.1. Gas prod VF'!AL971)</f>
        <v>1.0466004361732537</v>
      </c>
      <c r="T120" s="314">
        <f>_xlfn.STDEV.S('3.1. Gas prod VF'!AM914,'3.1. Gas prod VF'!AM915,'3.1. Gas prod VF'!AM916,'3.1. Gas prod VF'!AM970,'3.1. Gas prod VF'!AM971)</f>
        <v>10.83270231091582</v>
      </c>
      <c r="U120" s="314">
        <f>_xlfn.STDEV.S('3.1. Gas prod VF'!AN914,'3.1. Gas prod VF'!AN915,'3.1. Gas prod VF'!AN916,'3.1. Gas prod VF'!AN970,'3.1. Gas prod VF'!AN971)</f>
        <v>9.4808107976781777</v>
      </c>
      <c r="V120" s="314">
        <f>_xlfn.STDEV.S('3.1. Gas prod VF'!AO914,'3.1. Gas prod VF'!AO915,'3.1. Gas prod VF'!AO916,'3.1. Gas prod VF'!AO970,'3.1. Gas prod VF'!AO971)</f>
        <v>0.45766426584229847</v>
      </c>
      <c r="W120" s="314">
        <f>_xlfn.STDEV.S('3.1. Gas prod VF'!AP914,'3.1. Gas prod VF'!AP915,'3.1. Gas prod VF'!AP916,'3.1. Gas prod VF'!AP970,'3.1. Gas prod VF'!AP971)</f>
        <v>0.59413803110051799</v>
      </c>
      <c r="X120" s="314">
        <f>_xlfn.STDEV.S('3.1. Gas prod VF'!AQ914,'3.1. Gas prod VF'!AQ915,'3.1. Gas prod VF'!AQ916,'3.1. Gas prod VF'!AQ970,'3.1. Gas prod VF'!AQ971)</f>
        <v>0.43945533282982946</v>
      </c>
      <c r="Y120" s="314">
        <f>_xlfn.STDEV.S('3.1. Gas prod VF'!AR914,'3.1. Gas prod VF'!AR915,'3.1. Gas prod VF'!AR916,'3.1. Gas prod VF'!AR970,'3.1. Gas prod VF'!AR971)</f>
        <v>2.285459793205562</v>
      </c>
      <c r="Z120" s="314">
        <f>_xlfn.STDEV.S('3.1. Gas prod VF'!AS914,'3.1. Gas prod VF'!AS915,'3.1. Gas prod VF'!AS916,'3.1. Gas prod VF'!AS970,'3.1. Gas prod VF'!AS971)</f>
        <v>13.040605681789609</v>
      </c>
      <c r="AA120" s="314">
        <f>_xlfn.STDEV.S('3.1. Gas prod VF'!AT914,'3.1. Gas prod VF'!AT915,'3.1. Gas prod VF'!AT916,'3.1. Gas prod VF'!AT970,'3.1. Gas prod VF'!AT971)</f>
        <v>5.768677079440983</v>
      </c>
      <c r="AB120" s="314">
        <f>_xlfn.STDEV.S('3.1. Gas prod VF'!AU914,'3.1. Gas prod VF'!AU915,'3.1. Gas prod VF'!AU916,'3.1. Gas prod VF'!AU970,'3.1. Gas prod VF'!AU971)</f>
        <v>1.268469726055961</v>
      </c>
      <c r="AC120" s="314">
        <f>_xlfn.STDEV.S('3.1. Gas prod VF'!AV914,'3.1. Gas prod VF'!AV915,'3.1. Gas prod VF'!AV916,'3.1. Gas prod VF'!AV970,'3.1. Gas prod VF'!AV971)</f>
        <v>7.2377617694084551</v>
      </c>
      <c r="AD120" s="20"/>
      <c r="AE120" s="20"/>
    </row>
    <row r="121" spans="2:31" x14ac:dyDescent="0.35">
      <c r="B121" s="62">
        <f>'1. Information samples'!B121</f>
        <v>111</v>
      </c>
      <c r="C121" s="198">
        <f>'1. Information samples'!C121</f>
        <v>46055</v>
      </c>
      <c r="D121" s="62" t="str">
        <f>'1. Information samples'!D121</f>
        <v>Genbank</v>
      </c>
      <c r="E121" s="316">
        <f>'1. Information samples'!E121</f>
        <v>29</v>
      </c>
      <c r="F121" s="62" t="str">
        <f>'1. Information samples'!F121</f>
        <v>F252621</v>
      </c>
      <c r="G121" s="62" t="str">
        <f>'1. Information samples'!G121</f>
        <v>CIAT34148</v>
      </c>
      <c r="H121" s="62" t="str">
        <f>'1. Information samples'!H121</f>
        <v>Vigna</v>
      </c>
      <c r="I121" s="62" t="str">
        <f>'1. Information samples'!I121</f>
        <v>radiata</v>
      </c>
      <c r="J121" s="62" t="str">
        <f>'1. Information samples'!J121</f>
        <v>Vigna radiata</v>
      </c>
      <c r="K121" s="62" t="str">
        <f>'1. Information samples'!K121</f>
        <v>Fabaceae</v>
      </c>
      <c r="L121" s="62" t="str">
        <f>'1. Information samples'!L121</f>
        <v>Fabales</v>
      </c>
      <c r="M121" s="62" t="str">
        <f>'1. Information samples'!M121</f>
        <v>Herbaceous</v>
      </c>
      <c r="N121" s="314" cm="1">
        <f t="array" ref="N121">_xlfn.STDEV.S(IF(('3.1. Gas prod VF'!$L$13:$L$1230=$F121) *('3.1. Gas prod VF'!$M$13:$M$1230=$E121),'3.1. Gas prod VF'!$AG$13:$AG$1230))</f>
        <v>5.1342807455817123</v>
      </c>
      <c r="O121" s="314" cm="1">
        <f t="array" ref="O121">_xlfn.STDEV.S(IF(('3.1. Gas prod VF'!$L$13:$L$1230=$F121) *('3.1. Gas prod VF'!$M$13:$M$1230=$E121),'3.1. Gas prod VF'!$AH$13:$AH$1230))</f>
        <v>6.4372506003818755</v>
      </c>
      <c r="P121" s="314" cm="1">
        <f t="array" ref="P121">_xlfn.STDEV.S(IF(('3.1. Gas prod VF'!$L$13:$L$1230=$F121) *('3.1. Gas prod VF'!$M$13:$M$1230=$E121),'3.1. Gas prod VF'!$AI$13:$AI$1230))</f>
        <v>11.335525947532663</v>
      </c>
      <c r="Q121" s="314" cm="1">
        <f t="array" ref="Q121">_xlfn.STDEV.S(IF(('3.1. Gas prod VF'!$L$13:$L$1230=$F121) *('3.1. Gas prod VF'!$M$13:$M$1230=$E121),'3.1. Gas prod VF'!$AJ$13:$AJ$1230))</f>
        <v>0.84685046555203847</v>
      </c>
      <c r="R121" s="314" cm="1">
        <f t="array" ref="R121">_xlfn.STDEV.S(IF(('3.1. Gas prod VF'!$L$13:$L$1230=$F121) *('3.1. Gas prod VF'!$M$13:$M$1230=$E121),'3.1. Gas prod VF'!$AK$13:$AK$1230))</f>
        <v>1.0116725837437273</v>
      </c>
      <c r="S121" s="314" cm="1">
        <f t="array" ref="S121">_xlfn.STDEV.S(IF(('3.1. Gas prod VF'!$L$13:$L$1230=$F121) *('3.1. Gas prod VF'!$M$13:$M$1230=$E121),'3.1. Gas prod VF'!$AL$13:$AL$1230))</f>
        <v>1.8051986424164856</v>
      </c>
      <c r="T121" s="314" cm="1">
        <f t="array" ref="T121">_xlfn.STDEV.S(IF(('3.1. Gas prod VF'!$L$13:$L$1230=$F121) *('3.1. Gas prod VF'!$M$13:$M$1230=$E121),'3.1. Gas prod VF'!$AM$13:$AM$1230))</f>
        <v>25.272531705410021</v>
      </c>
      <c r="U121" s="314" cm="1">
        <f t="array" ref="U121">_xlfn.STDEV.S(IF(('3.1. Gas prod VF'!$L$13:$L$1230=$F121) *('3.1. Gas prod VF'!$M$13:$M$1230=$E121),'3.1. Gas prod VF'!$AN$13:$AN$1230))</f>
        <v>9.3534877901387148</v>
      </c>
      <c r="V121" s="314" cm="1">
        <f t="array" ref="V121">_xlfn.STDEV.S(IF(('3.1. Gas prod VF'!$L$13:$L$1230=$F121) *('3.1. Gas prod VF'!$M$13:$M$1230=$E121),'3.1. Gas prod VF'!$AO$13:$AO$1230))</f>
        <v>0.45299621275984225</v>
      </c>
      <c r="W121" s="314" cm="1">
        <f t="array" ref="W121">_xlfn.STDEV.S(IF(('3.1. Gas prod VF'!$L$13:$L$1230=$F121) *('3.1. Gas prod VF'!$M$13:$M$1230=$E121),'3.1. Gas prod VF'!$AP$13:$AP$1230))</f>
        <v>0.57180790980388252</v>
      </c>
      <c r="X121" s="314" cm="1">
        <f t="array" ref="X121">_xlfn.STDEV.S(IF(('3.1. Gas prod VF'!$L$13:$L$1230=$F121) *('3.1. Gas prod VF'!$M$13:$M$1230=$E121),'3.1. Gas prod VF'!$AQ$13:$AQ$1230))</f>
        <v>0.2869757513328306</v>
      </c>
      <c r="Y121" s="314" cm="1">
        <f t="array" ref="Y121">_xlfn.STDEV.S(IF(('3.1. Gas prod VF'!$L$13:$L$1230=$F121) *('3.1. Gas prod VF'!$M$13:$M$1230=$E121),'3.1. Gas prod VF'!$AR$13:$AR$1230))</f>
        <v>4.0250601510830997</v>
      </c>
      <c r="Z121" s="314" cm="1">
        <f t="array" ref="Z121">_xlfn.STDEV.S(IF(('3.1. Gas prod VF'!$L$13:$L$1230=$F121) *('3.1. Gas prod VF'!$M$13:$M$1230=$E121),'3.1. Gas prod VF'!$AS$13:$AS$1230))</f>
        <v>11.138342462628211</v>
      </c>
      <c r="AA121" s="314" cm="1">
        <f t="array" ref="AA121">_xlfn.STDEV.S(IF(('3.1. Gas prod VF'!$L$13:$L$1230=$F121) *('3.1. Gas prod VF'!$M$13:$M$1230=$E121),'3.1. Gas prod VF'!$AT$13:$AT$1230))</f>
        <v>39.55495050895415</v>
      </c>
      <c r="AB121" s="314" cm="1">
        <f t="array" ref="AB121">_xlfn.STDEV.S(IF(('3.1. Gas prod VF'!$L$13:$L$1230=$F121) *('3.1. Gas prod VF'!$M$13:$M$1230=$E121),'3.1. Gas prod VF'!$AU$13:$AU$1230))</f>
        <v>2.2339780215700102</v>
      </c>
      <c r="AC121" s="314" cm="1">
        <f t="array" ref="AC121">_xlfn.STDEV.S(IF(('3.1. Gas prod VF'!$L$13:$L$1230=$F121) *('3.1. Gas prod VF'!$M$13:$M$1230=$E121),'3.1. Gas prod VF'!$AU$13:$AV$1230))</f>
        <v>10.131163272878499</v>
      </c>
      <c r="AD121" s="20"/>
      <c r="AE121" s="20"/>
    </row>
    <row r="122" spans="2:31" x14ac:dyDescent="0.35">
      <c r="B122" s="62">
        <f>'1. Information samples'!B122</f>
        <v>112</v>
      </c>
      <c r="C122" s="198">
        <f>'1. Information samples'!C122</f>
        <v>46055</v>
      </c>
      <c r="D122" s="62" t="str">
        <f>'1. Information samples'!D122</f>
        <v>Genbank</v>
      </c>
      <c r="E122" s="316">
        <f>'1. Information samples'!E122</f>
        <v>29</v>
      </c>
      <c r="F122" s="62" t="str">
        <f>'1. Information samples'!F122</f>
        <v>F252622</v>
      </c>
      <c r="G122" s="62" t="str">
        <f>'1. Information samples'!G122</f>
        <v>CIAT34159</v>
      </c>
      <c r="H122" s="62" t="str">
        <f>'1. Information samples'!H122</f>
        <v>Vigna</v>
      </c>
      <c r="I122" s="62" t="str">
        <f>'1. Information samples'!I122</f>
        <v>unguiculata</v>
      </c>
      <c r="J122" s="62" t="str">
        <f>'1. Information samples'!J122</f>
        <v>Vigna unguiculata</v>
      </c>
      <c r="K122" s="62" t="str">
        <f>'1. Information samples'!K122</f>
        <v>Fabaceae</v>
      </c>
      <c r="L122" s="62" t="str">
        <f>'1. Information samples'!L122</f>
        <v>Fabales</v>
      </c>
      <c r="M122" s="62" t="str">
        <f>'1. Information samples'!M122</f>
        <v>Herbaceous</v>
      </c>
      <c r="N122" s="314" cm="1">
        <f t="array" ref="N122">_xlfn.STDEV.S(IF(('3.1. Gas prod VF'!$L$13:$L$1230=$F122) *('3.1. Gas prod VF'!$M$13:$M$1230=$E122),'3.1. Gas prod VF'!$AG$13:$AG$1230))</f>
        <v>5.0121627437282745</v>
      </c>
      <c r="O122" s="314" cm="1">
        <f t="array" ref="O122">_xlfn.STDEV.S(IF(('3.1. Gas prod VF'!$L$13:$L$1230=$F122) *('3.1. Gas prod VF'!$M$13:$M$1230=$E122),'3.1. Gas prod VF'!$AH$13:$AH$1230))</f>
        <v>3.8286356861477655</v>
      </c>
      <c r="P122" s="314" cm="1">
        <f t="array" ref="P122">_xlfn.STDEV.S(IF(('3.1. Gas prod VF'!$L$13:$L$1230=$F122) *('3.1. Gas prod VF'!$M$13:$M$1230=$E122),'3.1. Gas prod VF'!$AI$13:$AI$1230))</f>
        <v>8.4819494647707856</v>
      </c>
      <c r="Q122" s="314" cm="1">
        <f t="array" ref="Q122">_xlfn.STDEV.S(IF(('3.1. Gas prod VF'!$L$13:$L$1230=$F122) *('3.1. Gas prod VF'!$M$13:$M$1230=$E122),'3.1. Gas prod VF'!$AJ$13:$AJ$1230))</f>
        <v>0.91288822019144966</v>
      </c>
      <c r="R122" s="314" cm="1">
        <f t="array" ref="R122">_xlfn.STDEV.S(IF(('3.1. Gas prod VF'!$L$13:$L$1230=$F122) *('3.1. Gas prod VF'!$M$13:$M$1230=$E122),'3.1. Gas prod VF'!$AK$13:$AK$1230))</f>
        <v>0.77922063059336955</v>
      </c>
      <c r="S122" s="314" cm="1">
        <f t="array" ref="S122">_xlfn.STDEV.S(IF(('3.1. Gas prod VF'!$L$13:$L$1230=$F122) *('3.1. Gas prod VF'!$M$13:$M$1230=$E122),'3.1. Gas prod VF'!$AL$13:$AL$1230))</f>
        <v>1.6503701344721684</v>
      </c>
      <c r="T122" s="314" cm="1">
        <f t="array" ref="T122">_xlfn.STDEV.S(IF(('3.1. Gas prod VF'!$L$13:$L$1230=$F122) *('3.1. Gas prod VF'!$M$13:$M$1230=$E122),'3.1. Gas prod VF'!$AM$13:$AM$1230))</f>
        <v>18.749061488513927</v>
      </c>
      <c r="U122" s="314" cm="1">
        <f t="array" ref="U122">_xlfn.STDEV.S(IF(('3.1. Gas prod VF'!$L$13:$L$1230=$F122) *('3.1. Gas prod VF'!$M$13:$M$1230=$E122),'3.1. Gas prod VF'!$AN$13:$AN$1230))</f>
        <v>8.329107164739737</v>
      </c>
      <c r="V122" s="314" cm="1">
        <f t="array" ref="V122">_xlfn.STDEV.S(IF(('3.1. Gas prod VF'!$L$13:$L$1230=$F122) *('3.1. Gas prod VF'!$M$13:$M$1230=$E122),'3.1. Gas prod VF'!$AO$13:$AO$1230))</f>
        <v>0.43688626665165403</v>
      </c>
      <c r="W122" s="314" cm="1">
        <f t="array" ref="W122">_xlfn.STDEV.S(IF(('3.1. Gas prod VF'!$L$13:$L$1230=$F122) *('3.1. Gas prod VF'!$M$13:$M$1230=$E122),'3.1. Gas prod VF'!$AP$13:$AP$1230))</f>
        <v>0.59145703865236743</v>
      </c>
      <c r="X122" s="314" cm="1">
        <f t="array" ref="X122">_xlfn.STDEV.S(IF(('3.1. Gas prod VF'!$L$13:$L$1230=$F122) *('3.1. Gas prod VF'!$M$13:$M$1230=$E122),'3.1. Gas prod VF'!$AQ$13:$AQ$1230))</f>
        <v>0.5487180173045747</v>
      </c>
      <c r="Y122" s="314" cm="1">
        <f t="array" ref="Y122">_xlfn.STDEV.S(IF(('3.1. Gas prod VF'!$L$13:$L$1230=$F122) *('3.1. Gas prod VF'!$M$13:$M$1230=$E122),'3.1. Gas prod VF'!$AR$13:$AR$1230))</f>
        <v>3.6468492273900974</v>
      </c>
      <c r="Z122" s="314" cm="1">
        <f t="array" ref="Z122">_xlfn.STDEV.S(IF(('3.1. Gas prod VF'!$L$13:$L$1230=$F122) *('3.1. Gas prod VF'!$M$13:$M$1230=$E122),'3.1. Gas prod VF'!$AS$13:$AS$1230))</f>
        <v>11.183351598900421</v>
      </c>
      <c r="AA122" s="314" cm="1">
        <f t="array" ref="AA122">_xlfn.STDEV.S(IF(('3.1. Gas prod VF'!$L$13:$L$1230=$F122) *('3.1. Gas prod VF'!$M$13:$M$1230=$E122),'3.1. Gas prod VF'!$AT$13:$AT$1230))</f>
        <v>2.1085477067400471</v>
      </c>
      <c r="AB122" s="314" cm="1">
        <f t="array" ref="AB122">_xlfn.STDEV.S(IF(('3.1. Gas prod VF'!$L$13:$L$1230=$F122) *('3.1. Gas prod VF'!$M$13:$M$1230=$E122),'3.1. Gas prod VF'!$AU$13:$AU$1230))</f>
        <v>2.0240644154787706</v>
      </c>
      <c r="AC122" s="314" cm="1">
        <f t="array" ref="AC122">_xlfn.STDEV.S(IF(('3.1. Gas prod VF'!$L$13:$L$1230=$F122) *('3.1. Gas prod VF'!$M$13:$M$1230=$E122),'3.1. Gas prod VF'!$AU$13:$AV$1230))</f>
        <v>8.8545990087850708</v>
      </c>
      <c r="AD122" s="20"/>
      <c r="AE122" s="20"/>
    </row>
    <row r="123" spans="2:31" x14ac:dyDescent="0.35">
      <c r="B123" s="62">
        <f>'1. Information samples'!B123</f>
        <v>113</v>
      </c>
      <c r="C123" s="198">
        <f>'1. Information samples'!C123</f>
        <v>46055</v>
      </c>
      <c r="D123" s="62" t="str">
        <f>'1. Information samples'!D123</f>
        <v>Genbank</v>
      </c>
      <c r="E123" s="316">
        <f>'1. Information samples'!E123</f>
        <v>29</v>
      </c>
      <c r="F123" s="62" t="str">
        <f>'1. Information samples'!F123</f>
        <v>F252623</v>
      </c>
      <c r="G123" s="62" t="str">
        <f>'1. Information samples'!G123</f>
        <v>CIAT34347</v>
      </c>
      <c r="H123" s="62" t="str">
        <f>'1. Information samples'!H123</f>
        <v>Vigna</v>
      </c>
      <c r="I123" s="62" t="str">
        <f>'1. Information samples'!I123</f>
        <v>unguiculata</v>
      </c>
      <c r="J123" s="62" t="str">
        <f>'1. Information samples'!J123</f>
        <v>Vigna unguiculata</v>
      </c>
      <c r="K123" s="62" t="str">
        <f>'1. Information samples'!K123</f>
        <v>Fabaceae</v>
      </c>
      <c r="L123" s="62" t="str">
        <f>'1. Information samples'!L123</f>
        <v>Fabales</v>
      </c>
      <c r="M123" s="62" t="str">
        <f>'1. Information samples'!M123</f>
        <v>Herbaceous</v>
      </c>
      <c r="N123" s="314">
        <f>_xlfn.STDEV.S('3.1. Gas prod VF'!AG923,'3.1. Gas prod VF'!AG924,'3.1. Gas prod VF'!AG925,'3.1. Gas prod VF'!AG976,'3.1. Gas prod VF'!AG977)</f>
        <v>0.2500094227391535</v>
      </c>
      <c r="O123" s="314">
        <f>_xlfn.STDEV.S('3.1. Gas prod VF'!AH923,'3.1. Gas prod VF'!AH924,'3.1. Gas prod VF'!AH925,'3.1. Gas prod VF'!AH976,'3.1. Gas prod VF'!AH977)</f>
        <v>1.1066275491769892</v>
      </c>
      <c r="P123" s="314">
        <f>_xlfn.STDEV.S('3.1. Gas prod VF'!AI923,'3.1. Gas prod VF'!AI924,'3.1. Gas prod VF'!AI925,'3.1. Gas prod VF'!AI976,'3.1. Gas prod VF'!AI977)</f>
        <v>1.2906051705233732</v>
      </c>
      <c r="Q123" s="314">
        <f>_xlfn.STDEV.S('3.1. Gas prod VF'!AJ923,'3.1. Gas prod VF'!AJ924,'3.1. Gas prod VF'!AJ925,'3.1. Gas prod VF'!AJ976,'3.1. Gas prod VF'!AJ977)</f>
        <v>0.27880510268571979</v>
      </c>
      <c r="R123" s="314">
        <f>_xlfn.STDEV.S('3.1. Gas prod VF'!AK923,'3.1. Gas prod VF'!AK924,'3.1. Gas prod VF'!AK925,'3.1. Gas prod VF'!AK976,'3.1. Gas prod VF'!AK977)</f>
        <v>0.12306476991603503</v>
      </c>
      <c r="S123" s="314">
        <f>_xlfn.STDEV.S('3.1. Gas prod VF'!AL923,'3.1. Gas prod VF'!AL924,'3.1. Gas prod VF'!AL925,'3.1. Gas prod VF'!AL976,'3.1. Gas prod VF'!AL977)</f>
        <v>0.30579766052037782</v>
      </c>
      <c r="T123" s="314">
        <f>_xlfn.STDEV.S('3.1. Gas prod VF'!AM923,'3.1. Gas prod VF'!AM924,'3.1. Gas prod VF'!AM925,'3.1. Gas prod VF'!AM976,'3.1. Gas prod VF'!AM977)</f>
        <v>2.8610562821343888</v>
      </c>
      <c r="U123" s="314">
        <f>_xlfn.STDEV.S('3.1. Gas prod VF'!AN923,'3.1. Gas prod VF'!AN924,'3.1. Gas prod VF'!AN925,'3.1. Gas prod VF'!AN976,'3.1. Gas prod VF'!AN977)</f>
        <v>2.5761768101038465</v>
      </c>
      <c r="V123" s="314">
        <f>_xlfn.STDEV.S('3.1. Gas prod VF'!AO923,'3.1. Gas prod VF'!AO924,'3.1. Gas prod VF'!AO925,'3.1. Gas prod VF'!AO976,'3.1. Gas prod VF'!AO977)</f>
        <v>9.418593600982135E-2</v>
      </c>
      <c r="W123" s="314">
        <f>_xlfn.STDEV.S('3.1. Gas prod VF'!AP923,'3.1. Gas prod VF'!AP924,'3.1. Gas prod VF'!AP925,'3.1. Gas prod VF'!AP976,'3.1. Gas prod VF'!AP977)</f>
        <v>0.66583281184793852</v>
      </c>
      <c r="X123" s="314">
        <f>_xlfn.STDEV.S('3.1. Gas prod VF'!AQ923,'3.1. Gas prod VF'!AQ924,'3.1. Gas prod VF'!AQ925,'3.1. Gas prod VF'!AQ976,'3.1. Gas prod VF'!AQ977)</f>
        <v>0.4550676924860152</v>
      </c>
      <c r="Y123" s="314">
        <f>_xlfn.STDEV.S('3.1. Gas prod VF'!AR923,'3.1. Gas prod VF'!AR924,'3.1. Gas prod VF'!AR925,'3.1. Gas prod VF'!AR976,'3.1. Gas prod VF'!AR977)</f>
        <v>0.68321837562235066</v>
      </c>
      <c r="Z123" s="314">
        <f>_xlfn.STDEV.S('3.1. Gas prod VF'!AS923,'3.1. Gas prod VF'!AS924,'3.1. Gas prod VF'!AS925,'3.1. Gas prod VF'!AS976,'3.1. Gas prod VF'!AS977)</f>
        <v>2.7324656683829454</v>
      </c>
      <c r="AA123" s="314">
        <f>_xlfn.STDEV.S('3.1. Gas prod VF'!AT923,'3.1. Gas prod VF'!AT924,'3.1. Gas prod VF'!AT925,'3.1. Gas prod VF'!AT976,'3.1. Gas prod VF'!AT977)</f>
        <v>1.744856837972278</v>
      </c>
      <c r="AB123" s="314">
        <f>_xlfn.STDEV.S('3.1. Gas prod VF'!AU923,'3.1. Gas prod VF'!AU924,'3.1. Gas prod VF'!AU925,'3.1. Gas prod VF'!AU976,'3.1. Gas prod VF'!AU977)</f>
        <v>0.3791980188575253</v>
      </c>
      <c r="AC123" s="314">
        <f>_xlfn.STDEV.S('3.1. Gas prod VF'!AV923,'3.1. Gas prod VF'!AV924,'3.1. Gas prod VF'!AV925,'3.1. Gas prod VF'!AV976,'3.1. Gas prod VF'!AV977)</f>
        <v>1.5165657204450662</v>
      </c>
      <c r="AD123" s="20"/>
      <c r="AE123" s="20"/>
    </row>
    <row r="124" spans="2:31" x14ac:dyDescent="0.35">
      <c r="B124" s="62">
        <f>'1. Information samples'!B124</f>
        <v>114</v>
      </c>
      <c r="C124" s="198">
        <f>'1. Information samples'!C124</f>
        <v>46055</v>
      </c>
      <c r="D124" s="62" t="str">
        <f>'1. Information samples'!D124</f>
        <v>Genbank</v>
      </c>
      <c r="E124" s="316">
        <f>'1. Information samples'!E124</f>
        <v>29</v>
      </c>
      <c r="F124" s="319" t="str">
        <f>'1. Information samples'!F124</f>
        <v>F251692</v>
      </c>
      <c r="G124" s="62" t="str">
        <f>'1. Information samples'!G124</f>
        <v>CIAT-23715</v>
      </c>
      <c r="H124" s="62" t="str">
        <f>'1. Information samples'!H124</f>
        <v>Desmodium</v>
      </c>
      <c r="I124" s="62" t="str">
        <f>'1. Information samples'!I124</f>
        <v>sequax</v>
      </c>
      <c r="J124" s="62" t="str">
        <f>'1. Information samples'!J124</f>
        <v>Desmodium sequax</v>
      </c>
      <c r="K124" s="62" t="str">
        <f>'1. Information samples'!K124</f>
        <v>Fabaceae</v>
      </c>
      <c r="L124" s="62" t="str">
        <f>'1. Information samples'!L124</f>
        <v>Fabales</v>
      </c>
      <c r="M124" s="62" t="str">
        <f>'1. Information samples'!M124</f>
        <v>Shrub</v>
      </c>
      <c r="N124" s="314"/>
      <c r="O124" s="314"/>
      <c r="P124" s="314"/>
      <c r="Q124" s="314"/>
      <c r="R124" s="314"/>
      <c r="S124" s="314"/>
      <c r="T124" s="314"/>
      <c r="U124" s="314"/>
      <c r="V124" s="314"/>
      <c r="W124" s="314"/>
      <c r="X124" s="314"/>
      <c r="Y124" s="314"/>
      <c r="Z124" s="314"/>
      <c r="AA124" s="314"/>
      <c r="AB124" s="314"/>
      <c r="AC124" s="314"/>
      <c r="AD124" s="20" t="s">
        <v>710</v>
      </c>
      <c r="AE124" s="20" t="s">
        <v>713</v>
      </c>
    </row>
    <row r="125" spans="2:31" x14ac:dyDescent="0.35">
      <c r="B125" s="62">
        <f>'1. Information samples'!B125</f>
        <v>115</v>
      </c>
      <c r="C125" s="198">
        <f>'1. Information samples'!C125</f>
        <v>46055</v>
      </c>
      <c r="D125" s="62" t="str">
        <f>'1. Information samples'!D125</f>
        <v>Jacobo Arango/ Alejandro Montoya</v>
      </c>
      <c r="E125" s="316">
        <f>'1. Information samples'!E125</f>
        <v>29</v>
      </c>
      <c r="F125" s="62" t="str">
        <f>'1. Information samples'!F125</f>
        <v>F250008</v>
      </c>
      <c r="G125" s="62" t="str">
        <f>'1. Information samples'!G125</f>
        <v>Sample 8</v>
      </c>
      <c r="H125" s="62" t="str">
        <f>'1. Information samples'!H125</f>
        <v>Cynodon</v>
      </c>
      <c r="I125" s="62" t="str">
        <f>'1. Information samples'!I125</f>
        <v xml:space="preserve"> nlemfuensis </v>
      </c>
      <c r="J125" s="62" t="str">
        <f>'1. Information samples'!J125</f>
        <v xml:space="preserve">Cynodon nlemfuensis </v>
      </c>
      <c r="K125" s="62" t="str">
        <f>'1. Information samples'!K125</f>
        <v>Poaceae</v>
      </c>
      <c r="L125" s="62" t="str">
        <f>'1. Information samples'!L125</f>
        <v>Poales</v>
      </c>
      <c r="M125" s="62" t="str">
        <f>'1. Information samples'!M125</f>
        <v>grasses</v>
      </c>
      <c r="N125" s="314">
        <f>_xlfn.STDEV.S('3.1. Gas prod VF'!AG929,'3.1. Gas prod VF'!AG930,'3.1. Gas prod VF'!AG931,'3.1. Gas prod VF'!AG981)</f>
        <v>0.51615092519489247</v>
      </c>
      <c r="O125" s="314">
        <f>_xlfn.STDEV.S('3.1. Gas prod VF'!AH929,'3.1. Gas prod VF'!AH930,'3.1. Gas prod VF'!AH931,'3.1. Gas prod VF'!AH981)</f>
        <v>2.5424673809278477</v>
      </c>
      <c r="P125" s="314">
        <f>_xlfn.STDEV.S('3.1. Gas prod VF'!AI929,'3.1. Gas prod VF'!AI930,'3.1. Gas prod VF'!AI931,'3.1. Gas prod VF'!AI981)</f>
        <v>2.4253175034050223</v>
      </c>
      <c r="Q125" s="314">
        <f>_xlfn.STDEV.S('3.1. Gas prod VF'!AJ929,'3.1. Gas prod VF'!AJ930,'3.1. Gas prod VF'!AJ931,'3.1. Gas prod VF'!AJ981)</f>
        <v>0.42385740598130939</v>
      </c>
      <c r="R125" s="314">
        <f>_xlfn.STDEV.S('3.1. Gas prod VF'!AK929,'3.1. Gas prod VF'!AK930,'3.1. Gas prod VF'!AK931,'3.1. Gas prod VF'!AK981)</f>
        <v>0.46093170063021199</v>
      </c>
      <c r="S125" s="314">
        <f>_xlfn.STDEV.S('3.1. Gas prod VF'!AL929,'3.1. Gas prod VF'!AL930,'3.1. Gas prod VF'!AL931,'3.1. Gas prod VF'!AL981)</f>
        <v>0.8587172590977834</v>
      </c>
      <c r="T125" s="314">
        <f>_xlfn.STDEV.S('3.1. Gas prod VF'!AM929,'3.1. Gas prod VF'!AM930,'3.1. Gas prod VF'!AM931,'3.1. Gas prod VF'!AM981)</f>
        <v>5.1895226214082735</v>
      </c>
      <c r="U125" s="314">
        <f>_xlfn.STDEV.S('3.1. Gas prod VF'!AN929,'3.1. Gas prod VF'!AN930,'3.1. Gas prod VF'!AN931,'3.1. Gas prod VF'!AN981)</f>
        <v>9.2852695935977234</v>
      </c>
      <c r="V125" s="314">
        <f>_xlfn.STDEV.S('3.1. Gas prod VF'!AO929,'3.1. Gas prod VF'!AO930,'3.1. Gas prod VF'!AO931,'3.1. Gas prod VF'!AO981)</f>
        <v>0.68343233613072196</v>
      </c>
      <c r="W125" s="314">
        <f>_xlfn.STDEV.S('3.1. Gas prod VF'!AP929,'3.1. Gas prod VF'!AP930,'3.1. Gas prod VF'!AP931,'3.1. Gas prod VF'!AP981)</f>
        <v>1.8246004128758408</v>
      </c>
      <c r="X125" s="314">
        <f>_xlfn.STDEV.S('3.1. Gas prod VF'!AQ929,'3.1. Gas prod VF'!AQ930,'3.1. Gas prod VF'!AQ931,'3.1. Gas prod VF'!AQ981)</f>
        <v>0.8160965365075008</v>
      </c>
      <c r="Y125" s="314">
        <f>_xlfn.STDEV.S('3.1. Gas prod VF'!AR929,'3.1. Gas prod VF'!AR930,'3.1. Gas prod VF'!AR931,'3.1. Gas prod VF'!AR981)</f>
        <v>1.8367223225708162</v>
      </c>
      <c r="Z125" s="314">
        <f>_xlfn.STDEV.S('3.1. Gas prod VF'!AS929,'3.1. Gas prod VF'!AS930,'3.1. Gas prod VF'!AS931,'3.1. Gas prod VF'!AS981)</f>
        <v>84.880451824453615</v>
      </c>
      <c r="AA125" s="314">
        <f>_xlfn.STDEV.S('3.1. Gas prod VF'!AT929,'3.1. Gas prod VF'!AT930,'3.1. Gas prod VF'!AT931,'3.1. Gas prod VF'!AT981)</f>
        <v>2.5042477959448832</v>
      </c>
      <c r="AB125" s="314">
        <f>_xlfn.STDEV.S('3.1. Gas prod VF'!AU929,'3.1. Gas prod VF'!AU930,'3.1. Gas prod VF'!AU931,'3.1. Gas prod VF'!AU981)</f>
        <v>1.0194126662296155</v>
      </c>
      <c r="AC125" s="314">
        <f>_xlfn.STDEV.S('3.1. Gas prod VF'!AV929,'3.1. Gas prod VF'!AV930,'3.1. Gas prod VF'!AV931,'3.1. Gas prod VF'!AV981)</f>
        <v>47.110119282499532</v>
      </c>
      <c r="AD125" s="20"/>
      <c r="AE125" s="20"/>
    </row>
    <row r="126" spans="2:31" x14ac:dyDescent="0.35">
      <c r="B126" s="62">
        <f>'1. Information samples'!B126</f>
        <v>116</v>
      </c>
      <c r="C126" s="198">
        <f>'1. Information samples'!C126</f>
        <v>46062</v>
      </c>
      <c r="D126" s="62" t="str">
        <f>'1. Information samples'!D126</f>
        <v>Genbank</v>
      </c>
      <c r="E126" s="316">
        <f>'1. Information samples'!E126</f>
        <v>30</v>
      </c>
      <c r="F126" s="62" t="str">
        <f>'1. Information samples'!F126</f>
        <v>F260013</v>
      </c>
      <c r="G126" s="62" t="str">
        <f>'1. Information samples'!G126</f>
        <v>CIAT590</v>
      </c>
      <c r="H126" s="62" t="str">
        <f>'1. Information samples'!H126</f>
        <v>Macroptilium</v>
      </c>
      <c r="I126" s="62" t="str">
        <f>'1. Information samples'!I126</f>
        <v>bracteatum</v>
      </c>
      <c r="J126" s="62" t="str">
        <f>'1. Information samples'!J126</f>
        <v>Macroptilium bracteatum</v>
      </c>
      <c r="K126" s="62" t="str">
        <f>'1. Information samples'!K126</f>
        <v>Fabaceae</v>
      </c>
      <c r="L126" s="62" t="str">
        <f>'1. Information samples'!L126</f>
        <v>Fabales</v>
      </c>
      <c r="M126" s="62" t="str">
        <f>'1. Information samples'!M126</f>
        <v>Herbaceous</v>
      </c>
      <c r="N126" s="314" cm="1">
        <f t="array" ref="N126">_xlfn.STDEV.S(IF(('3.1. Gas prod VF'!$L$13:$L$1230=$F126) *('3.1. Gas prod VF'!$M$13:$M$1230=$E126),'3.1. Gas prod VF'!$AG$13:$AG$1230))</f>
        <v>1.9014747495747295</v>
      </c>
      <c r="O126" s="314" cm="1">
        <f t="array" ref="O126">_xlfn.STDEV.S(IF(('3.1. Gas prod VF'!$L$13:$L$1230=$F126) *('3.1. Gas prod VF'!$M$13:$M$1230=$E126),'3.1. Gas prod VF'!$AH$13:$AH$1230))</f>
        <v>3.9352928765419501</v>
      </c>
      <c r="P126" s="314" cm="1">
        <f t="array" ref="P126">_xlfn.STDEV.S(IF(('3.1. Gas prod VF'!$L$13:$L$1230=$F126) *('3.1. Gas prod VF'!$M$13:$M$1230=$E126),'3.1. Gas prod VF'!$AI$13:$AI$1230))</f>
        <v>3.9493121165665976</v>
      </c>
      <c r="Q126" s="314" cm="1">
        <f t="array" ref="Q126">_xlfn.STDEV.S(IF(('3.1. Gas prod VF'!$L$13:$L$1230=$F126) *('3.1. Gas prod VF'!$M$13:$M$1230=$E126),'3.1. Gas prod VF'!$AJ$13:$AJ$1230))</f>
        <v>0.34988408568292539</v>
      </c>
      <c r="R126" s="314" cm="1">
        <f t="array" ref="R126">_xlfn.STDEV.S(IF(('3.1. Gas prod VF'!$L$13:$L$1230=$F126) *('3.1. Gas prod VF'!$M$13:$M$1230=$E126),'3.1. Gas prod VF'!$AK$13:$AK$1230))</f>
        <v>0.82560063454531307</v>
      </c>
      <c r="S126" s="314" cm="1">
        <f t="array" ref="S126">_xlfn.STDEV.S(IF(('3.1. Gas prod VF'!$L$13:$L$1230=$F126) *('3.1. Gas prod VF'!$M$13:$M$1230=$E126),'3.1. Gas prod VF'!$AL$13:$AL$1230))</f>
        <v>0.93833218989236633</v>
      </c>
      <c r="T126" s="314" cm="1">
        <f t="array" ref="T126">_xlfn.STDEV.S(IF(('3.1. Gas prod VF'!$L$13:$L$1230=$F126) *('3.1. Gas prod VF'!$M$13:$M$1230=$E126),'3.1. Gas prod VF'!$AM$13:$AM$1230))</f>
        <v>8.5494373105351702</v>
      </c>
      <c r="U126" s="314" cm="1">
        <f t="array" ref="U126">_xlfn.STDEV.S(IF(('3.1. Gas prod VF'!$L$13:$L$1230=$F126) *('3.1. Gas prod VF'!$M$13:$M$1230=$E126),'3.1. Gas prod VF'!$AN$13:$AN$1230))</f>
        <v>8.2375324340930796</v>
      </c>
      <c r="V126" s="314" cm="1">
        <f t="array" ref="V126">_xlfn.STDEV.S(IF(('3.1. Gas prod VF'!$L$13:$L$1230=$F126) *('3.1. Gas prod VF'!$M$13:$M$1230=$E126),'3.1. Gas prod VF'!$AO$13:$AO$1230))</f>
        <v>0.54868954301334205</v>
      </c>
      <c r="W126" s="314" cm="1">
        <f t="array" ref="W126">_xlfn.STDEV.S(IF(('3.1. Gas prod VF'!$L$13:$L$1230=$F126) *('3.1. Gas prod VF'!$M$13:$M$1230=$E126),'3.1. Gas prod VF'!$AP$13:$AP$1230))</f>
        <v>0.47056197405716144</v>
      </c>
      <c r="X126" s="314" cm="1">
        <f t="array" ref="X126">_xlfn.STDEV.S(IF(('3.1. Gas prod VF'!$L$13:$L$1230=$F126) *('3.1. Gas prod VF'!$M$13:$M$1230=$E126),'3.1. Gas prod VF'!$AQ$13:$AQ$1230))</f>
        <v>0.71172849201312893</v>
      </c>
      <c r="Y126" s="314" cm="1">
        <f t="array" ref="Y126">_xlfn.STDEV.S(IF(('3.1. Gas prod VF'!$L$13:$L$1230=$F126) *('3.1. Gas prod VF'!$M$13:$M$1230=$E126),'3.1. Gas prod VF'!$AR$13:$AR$1230))</f>
        <v>2.0278408136157453</v>
      </c>
      <c r="Z126" s="314" cm="1">
        <f t="array" ref="Z126">_xlfn.STDEV.S(IF(('3.1. Gas prod VF'!$L$13:$L$1230=$F126) *('3.1. Gas prod VF'!$M$13:$M$1230=$E126),'3.1. Gas prod VF'!$AS$13:$AS$1230))</f>
        <v>16.560989227918309</v>
      </c>
      <c r="AA126" s="314" cm="1">
        <f t="array" ref="AA126">_xlfn.STDEV.S(IF(('3.1. Gas prod VF'!$L$13:$L$1230=$F126) *('3.1. Gas prod VF'!$M$13:$M$1230=$E126),'3.1. Gas prod VF'!$AT$13:$AT$1230))</f>
        <v>36.675002917401088</v>
      </c>
      <c r="AB126" s="314" cm="1">
        <f t="array" ref="AB126">_xlfn.STDEV.S(IF(('3.1. Gas prod VF'!$L$13:$L$1230=$F126) *('3.1. Gas prod VF'!$M$13:$M$1230=$E126),'3.1. Gas prod VF'!$AU$13:$AU$1230))</f>
        <v>1.1254867353078395</v>
      </c>
      <c r="AC126" s="314" cm="1">
        <f t="array" ref="AC126">_xlfn.STDEV.S(IF(('3.1. Gas prod VF'!$L$13:$L$1230=$F126) *('3.1. Gas prod VF'!$M$13:$M$1230=$E126),'3.1. Gas prod VF'!$AU$13:$AV$1230))</f>
        <v>11.129398916659982</v>
      </c>
      <c r="AD126" s="20"/>
      <c r="AE126" s="20"/>
    </row>
    <row r="127" spans="2:31" x14ac:dyDescent="0.35">
      <c r="B127" s="62">
        <f>'1. Information samples'!B127</f>
        <v>117</v>
      </c>
      <c r="C127" s="198">
        <f>'1. Information samples'!C127</f>
        <v>46062</v>
      </c>
      <c r="D127" s="62" t="str">
        <f>'1. Information samples'!D127</f>
        <v>Genbank</v>
      </c>
      <c r="E127" s="316">
        <f>'1. Information samples'!E127</f>
        <v>30</v>
      </c>
      <c r="F127" s="62" t="str">
        <f>'1. Information samples'!F127</f>
        <v>F260014</v>
      </c>
      <c r="G127" s="62" t="str">
        <f>'1. Information samples'!G127</f>
        <v>CIAT778</v>
      </c>
      <c r="H127" s="62" t="str">
        <f>'1. Information samples'!H127</f>
        <v>Macroptilium</v>
      </c>
      <c r="I127" s="62" t="str">
        <f>'1. Information samples'!I127</f>
        <v>atropurpureum</v>
      </c>
      <c r="J127" s="62" t="str">
        <f>'1. Information samples'!J127</f>
        <v>Macroptilium atropurpureum</v>
      </c>
      <c r="K127" s="62" t="str">
        <f>'1. Information samples'!K127</f>
        <v>Fabaceae</v>
      </c>
      <c r="L127" s="62" t="str">
        <f>'1. Information samples'!L127</f>
        <v>Fabales</v>
      </c>
      <c r="M127" s="62" t="str">
        <f>'1. Information samples'!M127</f>
        <v>Herbaceous</v>
      </c>
      <c r="N127" s="314" cm="1">
        <f t="array" ref="N127">_xlfn.STDEV.S(IF(('3.1. Gas prod VF'!$L$13:$L$1230=$F127) *('3.1. Gas prod VF'!$M$13:$M$1230=$E127),'3.1. Gas prod VF'!$AG$13:$AG$1230))</f>
        <v>3.112370544379889</v>
      </c>
      <c r="O127" s="314" cm="1">
        <f t="array" ref="O127">_xlfn.STDEV.S(IF(('3.1. Gas prod VF'!$L$13:$L$1230=$F127) *('3.1. Gas prod VF'!$M$13:$M$1230=$E127),'3.1. Gas prod VF'!$AH$13:$AH$1230))</f>
        <v>2.4142778455104557</v>
      </c>
      <c r="P127" s="314" cm="1">
        <f t="array" ref="P127">_xlfn.STDEV.S(IF(('3.1. Gas prod VF'!$L$13:$L$1230=$F127) *('3.1. Gas prod VF'!$M$13:$M$1230=$E127),'3.1. Gas prod VF'!$AI$13:$AI$1230))</f>
        <v>5.3326879328402716</v>
      </c>
      <c r="Q127" s="314" cm="1">
        <f t="array" ref="Q127">_xlfn.STDEV.S(IF(('3.1. Gas prod VF'!$L$13:$L$1230=$F127) *('3.1. Gas prod VF'!$M$13:$M$1230=$E127),'3.1. Gas prod VF'!$AJ$13:$AJ$1230))</f>
        <v>0.39391526129765791</v>
      </c>
      <c r="R127" s="314" cm="1">
        <f t="array" ref="R127">_xlfn.STDEV.S(IF(('3.1. Gas prod VF'!$L$13:$L$1230=$F127) *('3.1. Gas prod VF'!$M$13:$M$1230=$E127),'3.1. Gas prod VF'!$AK$13:$AK$1230))</f>
        <v>0.49210407341752149</v>
      </c>
      <c r="S127" s="314" cm="1">
        <f t="array" ref="S127">_xlfn.STDEV.S(IF(('3.1. Gas prod VF'!$L$13:$L$1230=$F127) *('3.1. Gas prod VF'!$M$13:$M$1230=$E127),'3.1. Gas prod VF'!$AL$13:$AL$1230))</f>
        <v>0.8609103007299681</v>
      </c>
      <c r="T127" s="314" cm="1">
        <f t="array" ref="T127">_xlfn.STDEV.S(IF(('3.1. Gas prod VF'!$L$13:$L$1230=$F127) *('3.1. Gas prod VF'!$M$13:$M$1230=$E127),'3.1. Gas prod VF'!$AM$13:$AM$1230))</f>
        <v>11.482768312995432</v>
      </c>
      <c r="U127" s="314" cm="1">
        <f t="array" ref="U127">_xlfn.STDEV.S(IF(('3.1. Gas prod VF'!$L$13:$L$1230=$F127) *('3.1. Gas prod VF'!$M$13:$M$1230=$E127),'3.1. Gas prod VF'!$AN$13:$AN$1230))</f>
        <v>7.611609214645342</v>
      </c>
      <c r="V127" s="314" cm="1">
        <f t="array" ref="V127">_xlfn.STDEV.S(IF(('3.1. Gas prod VF'!$L$13:$L$1230=$F127) *('3.1. Gas prod VF'!$M$13:$M$1230=$E127),'3.1. Gas prod VF'!$AO$13:$AO$1230))</f>
        <v>0.71685095224210527</v>
      </c>
      <c r="W127" s="314" cm="1">
        <f t="array" ref="W127">_xlfn.STDEV.S(IF(('3.1. Gas prod VF'!$L$13:$L$1230=$F127) *('3.1. Gas prod VF'!$M$13:$M$1230=$E127),'3.1. Gas prod VF'!$AP$13:$AP$1230))</f>
        <v>0.24397501823713316</v>
      </c>
      <c r="X127" s="314" cm="1">
        <f t="array" ref="X127">_xlfn.STDEV.S(IF(('3.1. Gas prod VF'!$L$13:$L$1230=$F127) *('3.1. Gas prod VF'!$M$13:$M$1230=$E127),'3.1. Gas prod VF'!$AQ$13:$AQ$1230))</f>
        <v>0.31833167569901955</v>
      </c>
      <c r="Y127" s="314" cm="1">
        <f t="array" ref="Y127">_xlfn.STDEV.S(IF(('3.1. Gas prod VF'!$L$13:$L$1230=$F127) *('3.1. Gas prod VF'!$M$13:$M$1230=$E127),'3.1. Gas prod VF'!$AR$13:$AR$1230))</f>
        <v>1.8540733145256538</v>
      </c>
      <c r="Z127" s="314" cm="1">
        <f t="array" ref="Z127">_xlfn.STDEV.S(IF(('3.1. Gas prod VF'!$L$13:$L$1230=$F127) *('3.1. Gas prod VF'!$M$13:$M$1230=$E127),'3.1. Gas prod VF'!$AS$13:$AS$1230))</f>
        <v>17.7193605761803</v>
      </c>
      <c r="AA127" s="314" cm="1">
        <f t="array" ref="AA127">_xlfn.STDEV.S(IF(('3.1. Gas prod VF'!$L$13:$L$1230=$F127) *('3.1. Gas prod VF'!$M$13:$M$1230=$E127),'3.1. Gas prod VF'!$AT$13:$AT$1230))</f>
        <v>1.0465149979520965</v>
      </c>
      <c r="AB127" s="314" cm="1">
        <f t="array" ref="AB127">_xlfn.STDEV.S(IF(('3.1. Gas prod VF'!$L$13:$L$1230=$F127) *('3.1. Gas prod VF'!$M$13:$M$1230=$E127),'3.1. Gas prod VF'!$AU$13:$AU$1230))</f>
        <v>1.0290427669547233</v>
      </c>
      <c r="AC127" s="314" cm="1">
        <f t="array" ref="AC127">_xlfn.STDEV.S(IF(('3.1. Gas prod VF'!$L$13:$L$1230=$F127) *('3.1. Gas prod VF'!$M$13:$M$1230=$E127),'3.1. Gas prod VF'!$AU$13:$AV$1230))</f>
        <v>11.172350265116135</v>
      </c>
      <c r="AD127" s="20"/>
      <c r="AE127" s="20"/>
    </row>
    <row r="128" spans="2:31" x14ac:dyDescent="0.35">
      <c r="B128" s="62">
        <f>'1. Information samples'!B128</f>
        <v>118</v>
      </c>
      <c r="C128" s="198">
        <f>'1. Information samples'!C128</f>
        <v>46062</v>
      </c>
      <c r="D128" s="62" t="str">
        <f>'1. Information samples'!D128</f>
        <v>Genbank</v>
      </c>
      <c r="E128" s="316">
        <f>'1. Information samples'!E128</f>
        <v>30</v>
      </c>
      <c r="F128" s="62" t="str">
        <f>'1. Information samples'!F128</f>
        <v>F260015</v>
      </c>
      <c r="G128" s="62" t="str">
        <f>'1. Information samples'!G128</f>
        <v>CIAT827</v>
      </c>
      <c r="H128" s="62" t="str">
        <f>'1. Information samples'!H128</f>
        <v>Indigofera</v>
      </c>
      <c r="I128" s="62" t="str">
        <f>'1. Information samples'!I128</f>
        <v>jamaicensis</v>
      </c>
      <c r="J128" s="62" t="str">
        <f>'1. Information samples'!J128</f>
        <v>Indigofera jamaicensis</v>
      </c>
      <c r="K128" s="62" t="str">
        <f>'1. Information samples'!K128</f>
        <v>Fabaceae</v>
      </c>
      <c r="L128" s="62" t="str">
        <f>'1. Information samples'!L128</f>
        <v>Fabales</v>
      </c>
      <c r="M128" s="62" t="str">
        <f>'1. Information samples'!M128</f>
        <v>Herbaceous</v>
      </c>
      <c r="N128" s="314" cm="1">
        <f t="array" ref="N128">_xlfn.STDEV.S(IF(('3.1. Gas prod VF'!$L$13:$L$1230=$F128) *('3.1. Gas prod VF'!$M$13:$M$1230=$E128),'3.1. Gas prod VF'!$AG$13:$AG$1230))</f>
        <v>3.4084888663602273</v>
      </c>
      <c r="O128" s="314" cm="1">
        <f t="array" ref="O128">_xlfn.STDEV.S(IF(('3.1. Gas prod VF'!$L$13:$L$1230=$F128) *('3.1. Gas prod VF'!$M$13:$M$1230=$E128),'3.1. Gas prod VF'!$AH$13:$AH$1230))</f>
        <v>1.8373922552521025</v>
      </c>
      <c r="P128" s="314" cm="1">
        <f t="array" ref="P128">_xlfn.STDEV.S(IF(('3.1. Gas prod VF'!$L$13:$L$1230=$F128) *('3.1. Gas prod VF'!$M$13:$M$1230=$E128),'3.1. Gas prod VF'!$AI$13:$AI$1230))</f>
        <v>4.8397451751580283</v>
      </c>
      <c r="Q128" s="314" cm="1">
        <f t="array" ref="Q128">_xlfn.STDEV.S(IF(('3.1. Gas prod VF'!$L$13:$L$1230=$F128) *('3.1. Gas prod VF'!$M$13:$M$1230=$E128),'3.1. Gas prod VF'!$AJ$13:$AJ$1230))</f>
        <v>0.57987953787819402</v>
      </c>
      <c r="R128" s="314" cm="1">
        <f t="array" ref="R128">_xlfn.STDEV.S(IF(('3.1. Gas prod VF'!$L$13:$L$1230=$F128) *('3.1. Gas prod VF'!$M$13:$M$1230=$E128),'3.1. Gas prod VF'!$AK$13:$AK$1230))</f>
        <v>0.42393632198784509</v>
      </c>
      <c r="S128" s="314" cm="1">
        <f t="array" ref="S128">_xlfn.STDEV.S(IF(('3.1. Gas prod VF'!$L$13:$L$1230=$F128) *('3.1. Gas prod VF'!$M$13:$M$1230=$E128),'3.1. Gas prod VF'!$AL$13:$AL$1230))</f>
        <v>0.91738495533402697</v>
      </c>
      <c r="T128" s="314" cm="1">
        <f t="array" ref="T128">_xlfn.STDEV.S(IF(('3.1. Gas prod VF'!$L$13:$L$1230=$F128) *('3.1. Gas prod VF'!$M$13:$M$1230=$E128),'3.1. Gas prod VF'!$AM$13:$AM$1230))</f>
        <v>10.209938232072865</v>
      </c>
      <c r="U128" s="314" cm="1">
        <f t="array" ref="U128">_xlfn.STDEV.S(IF(('3.1. Gas prod VF'!$L$13:$L$1230=$F128) *('3.1. Gas prod VF'!$M$13:$M$1230=$E128),'3.1. Gas prod VF'!$AN$13:$AN$1230))</f>
        <v>7.3015336679825715</v>
      </c>
      <c r="V128" s="314" cm="1">
        <f t="array" ref="V128">_xlfn.STDEV.S(IF(('3.1. Gas prod VF'!$L$13:$L$1230=$F128) *('3.1. Gas prod VF'!$M$13:$M$1230=$E128),'3.1. Gas prod VF'!$AO$13:$AO$1230))</f>
        <v>0.55271046487660913</v>
      </c>
      <c r="W128" s="314" cm="1">
        <f t="array" ref="W128">_xlfn.STDEV.S(IF(('3.1. Gas prod VF'!$L$13:$L$1230=$F128) *('3.1. Gas prod VF'!$M$13:$M$1230=$E128),'3.1. Gas prod VF'!$AP$13:$AP$1230))</f>
        <v>0.44614753058558937</v>
      </c>
      <c r="X128" s="314" cm="1">
        <f t="array" ref="X128">_xlfn.STDEV.S(IF(('3.1. Gas prod VF'!$L$13:$L$1230=$F128) *('3.1. Gas prod VF'!$M$13:$M$1230=$E128),'3.1. Gas prod VF'!$AQ$13:$AQ$1230))</f>
        <v>0.33253272876055551</v>
      </c>
      <c r="Y128" s="314" cm="1">
        <f t="array" ref="Y128">_xlfn.STDEV.S(IF(('3.1. Gas prod VF'!$L$13:$L$1230=$F128) *('3.1. Gas prod VF'!$M$13:$M$1230=$E128),'3.1. Gas prod VF'!$AR$13:$AR$1230))</f>
        <v>1.9354183555658966</v>
      </c>
      <c r="Z128" s="314" cm="1">
        <f t="array" ref="Z128">_xlfn.STDEV.S(IF(('3.1. Gas prod VF'!$L$13:$L$1230=$F128) *('3.1. Gas prod VF'!$M$13:$M$1230=$E128),'3.1. Gas prod VF'!$AS$13:$AS$1230))</f>
        <v>11.076419341963078</v>
      </c>
      <c r="AA128" s="314" cm="1">
        <f t="array" ref="AA128">_xlfn.STDEV.S(IF(('3.1. Gas prod VF'!$L$13:$L$1230=$F128) *('3.1. Gas prod VF'!$M$13:$M$1230=$E128),'3.1. Gas prod VF'!$AT$13:$AT$1230))</f>
        <v>2.5974543163077075</v>
      </c>
      <c r="AB128" s="314" cm="1">
        <f t="array" ref="AB128">_xlfn.STDEV.S(IF(('3.1. Gas prod VF'!$L$13:$L$1230=$F128) *('3.1. Gas prod VF'!$M$13:$M$1230=$E128),'3.1. Gas prod VF'!$AU$13:$AU$1230))</f>
        <v>1.0741906720857091</v>
      </c>
      <c r="AC128" s="314" cm="1">
        <f t="array" ref="AC128">_xlfn.STDEV.S(IF(('3.1. Gas prod VF'!$L$13:$L$1230=$F128) *('3.1. Gas prod VF'!$M$13:$M$1230=$E128),'3.1. Gas prod VF'!$AU$13:$AV$1230))</f>
        <v>9.524786684442569</v>
      </c>
      <c r="AD128" s="20"/>
      <c r="AE128" s="20"/>
    </row>
    <row r="129" spans="2:31" x14ac:dyDescent="0.35">
      <c r="B129" s="62">
        <f>'1. Information samples'!B129</f>
        <v>119</v>
      </c>
      <c r="C129" s="198">
        <f>'1. Information samples'!C129</f>
        <v>46062</v>
      </c>
      <c r="D129" s="62" t="str">
        <f>'1. Information samples'!D129</f>
        <v>Genbank</v>
      </c>
      <c r="E129" s="316">
        <f>'1. Information samples'!E129</f>
        <v>30</v>
      </c>
      <c r="F129" s="62" t="str">
        <f>'1. Information samples'!F129</f>
        <v>F260016</v>
      </c>
      <c r="G129" s="62" t="str">
        <f>'1. Information samples'!G129</f>
        <v>CIAT997</v>
      </c>
      <c r="H129" s="62" t="str">
        <f>'1. Information samples'!H129</f>
        <v>Macroptilium</v>
      </c>
      <c r="I129" s="62" t="str">
        <f>'1. Information samples'!I129</f>
        <v>atropurpureum</v>
      </c>
      <c r="J129" s="62" t="str">
        <f>'1. Information samples'!J129</f>
        <v>Macroptilium atropurpureum</v>
      </c>
      <c r="K129" s="62" t="str">
        <f>'1. Information samples'!K129</f>
        <v>Fabaceae</v>
      </c>
      <c r="L129" s="62" t="str">
        <f>'1. Information samples'!L129</f>
        <v>Fabales</v>
      </c>
      <c r="M129" s="62" t="str">
        <f>'1. Information samples'!M129</f>
        <v>Herbaceous</v>
      </c>
      <c r="N129" s="314" cm="1">
        <f t="array" ref="N129">_xlfn.STDEV.S(IF(('3.1. Gas prod VF'!$L$13:$L$1230=$F129) *('3.1. Gas prod VF'!$M$13:$M$1230=$E129),'3.1. Gas prod VF'!$AG$13:$AG$1230))</f>
        <v>1.8963964627230321</v>
      </c>
      <c r="O129" s="314" cm="1">
        <f t="array" ref="O129">_xlfn.STDEV.S(IF(('3.1. Gas prod VF'!$L$13:$L$1230=$F129) *('3.1. Gas prod VF'!$M$13:$M$1230=$E129),'3.1. Gas prod VF'!$AH$13:$AH$1230))</f>
        <v>1.635848932810064</v>
      </c>
      <c r="P129" s="314" cm="1">
        <f t="array" ref="P129">_xlfn.STDEV.S(IF(('3.1. Gas prod VF'!$L$13:$L$1230=$F129) *('3.1. Gas prod VF'!$M$13:$M$1230=$E129),'3.1. Gas prod VF'!$AI$13:$AI$1230))</f>
        <v>1.8892471573452669</v>
      </c>
      <c r="Q129" s="314" cm="1">
        <f t="array" ref="Q129">_xlfn.STDEV.S(IF(('3.1. Gas prod VF'!$L$13:$L$1230=$F129) *('3.1. Gas prod VF'!$M$13:$M$1230=$E129),'3.1. Gas prod VF'!$AJ$13:$AJ$1230))</f>
        <v>0.34023255657452656</v>
      </c>
      <c r="R129" s="314" cm="1">
        <f t="array" ref="R129">_xlfn.STDEV.S(IF(('3.1. Gas prod VF'!$L$13:$L$1230=$F129) *('3.1. Gas prod VF'!$M$13:$M$1230=$E129),'3.1. Gas prod VF'!$AK$13:$AK$1230))</f>
        <v>0.23028576094482087</v>
      </c>
      <c r="S129" s="314" cm="1">
        <f t="array" ref="S129">_xlfn.STDEV.S(IF(('3.1. Gas prod VF'!$L$13:$L$1230=$F129) *('3.1. Gas prod VF'!$M$13:$M$1230=$E129),'3.1. Gas prod VF'!$AL$13:$AL$1230))</f>
        <v>0.37596652704502159</v>
      </c>
      <c r="T129" s="314" cm="1">
        <f t="array" ref="T129">_xlfn.STDEV.S(IF(('3.1. Gas prod VF'!$L$13:$L$1230=$F129) *('3.1. Gas prod VF'!$M$13:$M$1230=$E129),'3.1. Gas prod VF'!$AM$13:$AM$1230))</f>
        <v>4.0352068513450243</v>
      </c>
      <c r="U129" s="314" cm="1">
        <f t="array" ref="U129">_xlfn.STDEV.S(IF(('3.1. Gas prod VF'!$L$13:$L$1230=$F129) *('3.1. Gas prod VF'!$M$13:$M$1230=$E129),'3.1. Gas prod VF'!$AN$13:$AN$1230))</f>
        <v>7.0377302315045398</v>
      </c>
      <c r="V129" s="314" cm="1">
        <f t="array" ref="V129">_xlfn.STDEV.S(IF(('3.1. Gas prod VF'!$L$13:$L$1230=$F129) *('3.1. Gas prod VF'!$M$13:$M$1230=$E129),'3.1. Gas prod VF'!$AO$13:$AO$1230))</f>
        <v>0.56404767966326441</v>
      </c>
      <c r="W129" s="314" cm="1">
        <f t="array" ref="W129">_xlfn.STDEV.S(IF(('3.1. Gas prod VF'!$L$13:$L$1230=$F129) *('3.1. Gas prod VF'!$M$13:$M$1230=$E129),'3.1. Gas prod VF'!$AP$13:$AP$1230))</f>
        <v>0.42201331506865791</v>
      </c>
      <c r="X129" s="314" cm="1">
        <f t="array" ref="X129">_xlfn.STDEV.S(IF(('3.1. Gas prod VF'!$L$13:$L$1230=$F129) *('3.1. Gas prod VF'!$M$13:$M$1230=$E129),'3.1. Gas prod VF'!$AQ$13:$AQ$1230))</f>
        <v>0.32381019667628674</v>
      </c>
      <c r="Y129" s="314" cm="1">
        <f t="array" ref="Y129">_xlfn.STDEV.S(IF(('3.1. Gas prod VF'!$L$13:$L$1230=$F129) *('3.1. Gas prod VF'!$M$13:$M$1230=$E129),'3.1. Gas prod VF'!$AR$13:$AR$1230))</f>
        <v>0.80148859965419061</v>
      </c>
      <c r="Z129" s="314" cm="1">
        <f t="array" ref="Z129">_xlfn.STDEV.S(IF(('3.1. Gas prod VF'!$L$13:$L$1230=$F129) *('3.1. Gas prod VF'!$M$13:$M$1230=$E129),'3.1. Gas prod VF'!$AS$13:$AS$1230))</f>
        <v>10.735486170661847</v>
      </c>
      <c r="AA129" s="314" cm="1">
        <f t="array" ref="AA129">_xlfn.STDEV.S(IF(('3.1. Gas prod VF'!$L$13:$L$1230=$F129) *('3.1. Gas prod VF'!$M$13:$M$1230=$E129),'3.1. Gas prod VF'!$AT$13:$AT$1230))</f>
        <v>2.0264354417090673</v>
      </c>
      <c r="AB129" s="314" cm="1">
        <f t="array" ref="AB129">_xlfn.STDEV.S(IF(('3.1. Gas prod VF'!$L$13:$L$1230=$F129) *('3.1. Gas prod VF'!$M$13:$M$1230=$E129),'3.1. Gas prod VF'!$AU$13:$AU$1230))</f>
        <v>0.44484003939284494</v>
      </c>
      <c r="AC129" s="314" cm="1">
        <f t="array" ref="AC129">_xlfn.STDEV.S(IF(('3.1. Gas prod VF'!$L$13:$L$1230=$F129) *('3.1. Gas prod VF'!$M$13:$M$1230=$E129),'3.1. Gas prod VF'!$AU$13:$AV$1230))</f>
        <v>8.845394625914583</v>
      </c>
      <c r="AD129" s="20"/>
      <c r="AE129" s="20"/>
    </row>
    <row r="130" spans="2:31" x14ac:dyDescent="0.35">
      <c r="B130" s="62">
        <f>'1. Information samples'!B130</f>
        <v>120</v>
      </c>
      <c r="C130" s="198">
        <f>'1. Information samples'!C130</f>
        <v>46062</v>
      </c>
      <c r="D130" s="62" t="str">
        <f>'1. Information samples'!D130</f>
        <v>Genbank</v>
      </c>
      <c r="E130" s="316">
        <f>'1. Information samples'!E130</f>
        <v>30</v>
      </c>
      <c r="F130" s="319" t="str">
        <f>'1. Information samples'!F130</f>
        <v>F260017</v>
      </c>
      <c r="G130" s="62" t="str">
        <f>'1. Information samples'!G130</f>
        <v>CIAT1405</v>
      </c>
      <c r="H130" s="62" t="str">
        <f>'1. Information samples'!H130</f>
        <v>Stylosanthes</v>
      </c>
      <c r="I130" s="62" t="str">
        <f>'1. Information samples'!I130</f>
        <v>capitata</v>
      </c>
      <c r="J130" s="62" t="str">
        <f>'1. Information samples'!J130</f>
        <v>Stylosanthes capitata</v>
      </c>
      <c r="K130" s="62" t="str">
        <f>'1. Information samples'!K130</f>
        <v>Fabaceae</v>
      </c>
      <c r="L130" s="62" t="str">
        <f>'1. Information samples'!L130</f>
        <v>Fabales</v>
      </c>
      <c r="M130" s="62" t="str">
        <f>'1. Information samples'!M130</f>
        <v>Herbaceous</v>
      </c>
      <c r="N130" s="314">
        <f>_xlfn.STDEV.S('3.1. Gas prod VF'!AG996,'3.1. Gas prod VF'!AG998,'3.1. Gas prod VF'!AG1097,'3.1. Gas prod VF'!AG1098,'3.1. Gas prod VF'!AG1169)</f>
        <v>2.9224926812312271</v>
      </c>
      <c r="O130" s="314">
        <f>_xlfn.STDEV.S('3.1. Gas prod VF'!AH996,'3.1. Gas prod VF'!AH998,'3.1. Gas prod VF'!AH1097,'3.1. Gas prod VF'!AH1098,'3.1. Gas prod VF'!AH1169)</f>
        <v>1.9704694394457625</v>
      </c>
      <c r="P130" s="314">
        <f>_xlfn.STDEV.S('3.1. Gas prod VF'!AI996,'3.1. Gas prod VF'!AI998,'3.1. Gas prod VF'!AI1097,'3.1. Gas prod VF'!AI1098,'3.1. Gas prod VF'!AI1169)</f>
        <v>3.8685688882034568</v>
      </c>
      <c r="Q130" s="314">
        <f>_xlfn.STDEV.S('3.1. Gas prod VF'!AJ996,'3.1. Gas prod VF'!AJ998,'3.1. Gas prod VF'!AJ1097,'3.1. Gas prod VF'!AJ1098,'3.1. Gas prod VF'!AJ1169)</f>
        <v>0.39174310316548089</v>
      </c>
      <c r="R130" s="314">
        <f>_xlfn.STDEV.S('3.1. Gas prod VF'!AK996,'3.1. Gas prod VF'!AK998,'3.1. Gas prod VF'!AK1097,'3.1. Gas prod VF'!AK1098,'3.1. Gas prod VF'!AK1169)</f>
        <v>0.48911790170517455</v>
      </c>
      <c r="S130" s="314">
        <f>_xlfn.STDEV.S('3.1. Gas prod VF'!AL996,'3.1. Gas prod VF'!AL998,'3.1. Gas prod VF'!AL1097,'3.1. Gas prod VF'!AL1098,'3.1. Gas prod VF'!AL1169)</f>
        <v>0.6662539422484659</v>
      </c>
      <c r="T130" s="314">
        <f>_xlfn.STDEV.S('3.1. Gas prod VF'!AM996,'3.1. Gas prod VF'!AM998,'3.1. Gas prod VF'!AM1097,'3.1. Gas prod VF'!AM1098,'3.1. Gas prod VF'!AM1169)</f>
        <v>8.1526988130153946</v>
      </c>
      <c r="U130" s="314">
        <f>_xlfn.STDEV.S('3.1. Gas prod VF'!AN996,'3.1. Gas prod VF'!AN998,'3.1. Gas prod VF'!AN1097,'3.1. Gas prod VF'!AN1098,'3.1. Gas prod VF'!AN1169)</f>
        <v>7.3382750136895156</v>
      </c>
      <c r="V130" s="314">
        <f>_xlfn.STDEV.S('3.1. Gas prod VF'!AO996,'3.1. Gas prod VF'!AO998,'3.1. Gas prod VF'!AO1097,'3.1. Gas prod VF'!AO1098,'3.1. Gas prod VF'!AO1169)</f>
        <v>0.60756859586541256</v>
      </c>
      <c r="W130" s="314">
        <f>_xlfn.STDEV.S('3.1. Gas prod VF'!AP996,'3.1. Gas prod VF'!AP998,'3.1. Gas prod VF'!AP1097,'3.1. Gas prod VF'!AP1098,'3.1. Gas prod VF'!AP1169)</f>
        <v>0.4159326868617077</v>
      </c>
      <c r="X130" s="314">
        <f>_xlfn.STDEV.S('3.1. Gas prod VF'!AQ996,'3.1. Gas prod VF'!AQ998,'3.1. Gas prod VF'!AQ1097,'3.1. Gas prod VF'!AQ1098,'3.1. Gas prod VF'!AQ1169)</f>
        <v>0.37638334685485519</v>
      </c>
      <c r="Y130" s="314">
        <f>_xlfn.STDEV.S('3.1. Gas prod VF'!AR996,'3.1. Gas prod VF'!AR998,'3.1. Gas prod VF'!AR1097,'3.1. Gas prod VF'!AR1098,'3.1. Gas prod VF'!AR1169)</f>
        <v>1.4050527735837279</v>
      </c>
      <c r="Z130" s="314">
        <f>_xlfn.STDEV.S('3.1. Gas prod VF'!AS996,'3.1. Gas prod VF'!AS998,'3.1. Gas prod VF'!AS1097,'3.1. Gas prod VF'!AS1098,'3.1. Gas prod VF'!AS1169)</f>
        <v>18.167044477099392</v>
      </c>
      <c r="AA130" s="314">
        <f>_xlfn.STDEV.S('3.1. Gas prod VF'!AT996,'3.1. Gas prod VF'!AT998,'3.1. Gas prod VF'!AT1097,'3.1. Gas prod VF'!AT1098,'3.1. Gas prod VF'!AT1169)</f>
        <v>1.9818098278405101</v>
      </c>
      <c r="AB130" s="314">
        <f>_xlfn.STDEV.S('3.1. Gas prod VF'!AU996,'3.1. Gas prod VF'!AU998,'3.1. Gas prod VF'!AU1097,'3.1. Gas prod VF'!AU1098,'3.1. Gas prod VF'!AU1169)</f>
        <v>0.77982859821048467</v>
      </c>
      <c r="AC130" s="314">
        <f>_xlfn.STDEV.S('3.1. Gas prod VF'!AV996,'3.1. Gas prod VF'!AV998,'3.1. Gas prod VF'!AV1097,'3.1. Gas prod VF'!AV1098,'3.1. Gas prod VF'!AV1169)</f>
        <v>10.083023993518145</v>
      </c>
      <c r="AD130" s="20"/>
      <c r="AE130" s="20"/>
    </row>
    <row r="131" spans="2:31" x14ac:dyDescent="0.35">
      <c r="B131" s="62">
        <f>'1. Information samples'!B131</f>
        <v>121</v>
      </c>
      <c r="C131" s="198">
        <f>'1. Information samples'!C131</f>
        <v>46062</v>
      </c>
      <c r="D131" s="62" t="str">
        <f>'1. Information samples'!D131</f>
        <v>Genbank</v>
      </c>
      <c r="E131" s="316">
        <f>'1. Information samples'!E131</f>
        <v>30</v>
      </c>
      <c r="F131" s="62" t="str">
        <f>'1. Information samples'!F131</f>
        <v>F260018</v>
      </c>
      <c r="G131" s="62" t="str">
        <f>'1. Information samples'!G131</f>
        <v>CIAT1812</v>
      </c>
      <c r="H131" s="62" t="str">
        <f>'1. Information samples'!H131</f>
        <v>Stylosanthes</v>
      </c>
      <c r="I131" s="62" t="str">
        <f>'1. Information samples'!I131</f>
        <v>viscosa</v>
      </c>
      <c r="J131" s="62" t="str">
        <f>'1. Information samples'!J131</f>
        <v>Stylosanthes viscosa</v>
      </c>
      <c r="K131" s="62" t="str">
        <f>'1. Information samples'!K131</f>
        <v>Fabaceae</v>
      </c>
      <c r="L131" s="62" t="str">
        <f>'1. Information samples'!L131</f>
        <v>Fabales</v>
      </c>
      <c r="M131" s="62" t="str">
        <f>'1. Information samples'!M131</f>
        <v>Herbaceous</v>
      </c>
      <c r="N131" s="314" cm="1">
        <f t="array" ref="N131">_xlfn.STDEV.S(IF(('3.1. Gas prod VF'!$L$13:$L$1230=$F131) *('3.1. Gas prod VF'!$M$13:$M$1230=$E131),'3.1. Gas prod VF'!$AG$13:$AG$1230))</f>
        <v>8.9742306737065682</v>
      </c>
      <c r="O131" s="314" cm="1">
        <f t="array" ref="O131">_xlfn.STDEV.S(IF(('3.1. Gas prod VF'!$L$13:$L$1230=$F131) *('3.1. Gas prod VF'!$M$13:$M$1230=$E131),'3.1. Gas prod VF'!$AH$13:$AH$1230))</f>
        <v>4.3464012555449862</v>
      </c>
      <c r="P131" s="314" cm="1">
        <f t="array" ref="P131">_xlfn.STDEV.S(IF(('3.1. Gas prod VF'!$L$13:$L$1230=$F131) *('3.1. Gas prod VF'!$M$13:$M$1230=$E131),'3.1. Gas prod VF'!$AI$13:$AI$1230))</f>
        <v>12.957569609203901</v>
      </c>
      <c r="Q131" s="314" cm="1">
        <f t="array" ref="Q131">_xlfn.STDEV.S(IF(('3.1. Gas prod VF'!$L$13:$L$1230=$F131) *('3.1. Gas prod VF'!$M$13:$M$1230=$E131),'3.1. Gas prod VF'!$AJ$13:$AJ$1230))</f>
        <v>1.1453006430397268</v>
      </c>
      <c r="R131" s="314" cm="1">
        <f t="array" ref="R131">_xlfn.STDEV.S(IF(('3.1. Gas prod VF'!$L$13:$L$1230=$F131) *('3.1. Gas prod VF'!$M$13:$M$1230=$E131),'3.1. Gas prod VF'!$AK$13:$AK$1230))</f>
        <v>0.62799859327185925</v>
      </c>
      <c r="S131" s="314" cm="1">
        <f t="array" ref="S131">_xlfn.STDEV.S(IF(('3.1. Gas prod VF'!$L$13:$L$1230=$F131) *('3.1. Gas prod VF'!$M$13:$M$1230=$E131),'3.1. Gas prod VF'!$AL$13:$AL$1230))</f>
        <v>1.7055878840927987</v>
      </c>
      <c r="T131" s="314" cm="1">
        <f t="array" ref="T131">_xlfn.STDEV.S(IF(('3.1. Gas prod VF'!$L$13:$L$1230=$F131) *('3.1. Gas prod VF'!$M$13:$M$1230=$E131),'3.1. Gas prod VF'!$AM$13:$AM$1230))</f>
        <v>27.14075983599724</v>
      </c>
      <c r="U131" s="314" cm="1">
        <f t="array" ref="U131">_xlfn.STDEV.S(IF(('3.1. Gas prod VF'!$L$13:$L$1230=$F131) *('3.1. Gas prod VF'!$M$13:$M$1230=$E131),'3.1. Gas prod VF'!$AN$13:$AN$1230))</f>
        <v>8.686211218785747</v>
      </c>
      <c r="V131" s="314" cm="1">
        <f t="array" ref="V131">_xlfn.STDEV.S(IF(('3.1. Gas prod VF'!$L$13:$L$1230=$F131) *('3.1. Gas prod VF'!$M$13:$M$1230=$E131),'3.1. Gas prod VF'!$AO$13:$AO$1230))</f>
        <v>1.2186240995621254</v>
      </c>
      <c r="W131" s="314" cm="1">
        <f t="array" ref="W131">_xlfn.STDEV.S(IF(('3.1. Gas prod VF'!$L$13:$L$1230=$F131) *('3.1. Gas prod VF'!$M$13:$M$1230=$E131),'3.1. Gas prod VF'!$AP$13:$AP$1230))</f>
        <v>4.8079794786029106</v>
      </c>
      <c r="X131" s="314" cm="1">
        <f t="array" ref="X131">_xlfn.STDEV.S(IF(('3.1. Gas prod VF'!$L$13:$L$1230=$F131) *('3.1. Gas prod VF'!$M$13:$M$1230=$E131),'3.1. Gas prod VF'!$AQ$13:$AQ$1230))</f>
        <v>5.029879007867315</v>
      </c>
      <c r="Y131" s="314" cm="1">
        <f t="array" ref="Y131">_xlfn.STDEV.S(IF(('3.1. Gas prod VF'!$L$13:$L$1230=$F131) *('3.1. Gas prod VF'!$M$13:$M$1230=$E131),'3.1. Gas prod VF'!$AR$13:$AR$1230))</f>
        <v>3.5725377041763866</v>
      </c>
      <c r="Z131" s="314" cm="1">
        <f t="array" ref="Z131">_xlfn.STDEV.S(IF(('3.1. Gas prod VF'!$L$13:$L$1230=$F131) *('3.1. Gas prod VF'!$M$13:$M$1230=$E131),'3.1. Gas prod VF'!$AS$13:$AS$1230))</f>
        <v>24.718307752080118</v>
      </c>
      <c r="AA131" s="314" cm="1">
        <f t="array" ref="AA131">_xlfn.STDEV.S(IF(('3.1. Gas prod VF'!$L$13:$L$1230=$F131) *('3.1. Gas prod VF'!$M$13:$M$1230=$E131),'3.1. Gas prod VF'!$AT$13:$AT$1230))</f>
        <v>4.6075440666279985E-2</v>
      </c>
      <c r="AB131" s="314" cm="1">
        <f t="array" ref="AB131">_xlfn.STDEV.S(IF(('3.1. Gas prod VF'!$L$13:$L$1230=$F131) *('3.1. Gas prod VF'!$M$13:$M$1230=$E131),'3.1. Gas prod VF'!$AU$13:$AU$1230))</f>
        <v>1.9828202344286945</v>
      </c>
      <c r="AC131" s="314" cm="1">
        <f t="array" ref="AC131">_xlfn.STDEV.S(IF(('3.1. Gas prod VF'!$L$13:$L$1230=$F131) *('3.1. Gas prod VF'!$M$13:$M$1230=$E131),'3.1. Gas prod VF'!$AU$13:$AV$1230))</f>
        <v>14.058772085892153</v>
      </c>
      <c r="AD131" s="20"/>
      <c r="AE131" s="20"/>
    </row>
    <row r="132" spans="2:31" x14ac:dyDescent="0.35">
      <c r="B132" s="62">
        <f>'1. Information samples'!B132</f>
        <v>122</v>
      </c>
      <c r="C132" s="198">
        <f>'1. Information samples'!C132</f>
        <v>46062</v>
      </c>
      <c r="D132" s="62" t="str">
        <f>'1. Information samples'!D132</f>
        <v>Genbank</v>
      </c>
      <c r="E132" s="316">
        <f>'1. Information samples'!E132</f>
        <v>30</v>
      </c>
      <c r="F132" s="62" t="str">
        <f>'1. Information samples'!F132</f>
        <v>F260019</v>
      </c>
      <c r="G132" s="62" t="str">
        <f>'1. Information samples'!G132</f>
        <v>CIAT3694</v>
      </c>
      <c r="H132" s="62" t="str">
        <f>'1. Information samples'!H132</f>
        <v>Desmodium</v>
      </c>
      <c r="I132" s="62" t="str">
        <f>'1. Information samples'!I132</f>
        <v>sandwicense</v>
      </c>
      <c r="J132" s="62" t="str">
        <f>'1. Information samples'!J132</f>
        <v>Desmodium sandwicense</v>
      </c>
      <c r="K132" s="62" t="str">
        <f>'1. Information samples'!K132</f>
        <v>Fabaceae</v>
      </c>
      <c r="L132" s="62" t="str">
        <f>'1. Information samples'!L132</f>
        <v>Fabales</v>
      </c>
      <c r="M132" s="62" t="str">
        <f>'1. Information samples'!M132</f>
        <v>Herbaceous</v>
      </c>
      <c r="N132" s="314" cm="1">
        <f t="array" ref="N132">_xlfn.STDEV.S(IF(('3.1. Gas prod VF'!$L$13:$L$1230=$F132) *('3.1. Gas prod VF'!$M$13:$M$1230=$E132),'3.1. Gas prod VF'!$AG$13:$AG$1230))</f>
        <v>1.6717935759622635</v>
      </c>
      <c r="O132" s="314" cm="1">
        <f t="array" ref="O132">_xlfn.STDEV.S(IF(('3.1. Gas prod VF'!$L$13:$L$1230=$F132) *('3.1. Gas prod VF'!$M$13:$M$1230=$E132),'3.1. Gas prod VF'!$AH$13:$AH$1230))</f>
        <v>2.2226704339142365</v>
      </c>
      <c r="P132" s="314" cm="1">
        <f t="array" ref="P132">_xlfn.STDEV.S(IF(('3.1. Gas prod VF'!$L$13:$L$1230=$F132) *('3.1. Gas prod VF'!$M$13:$M$1230=$E132),'3.1. Gas prod VF'!$AI$13:$AI$1230))</f>
        <v>2.8585270587789293</v>
      </c>
      <c r="Q132" s="314" cm="1">
        <f t="array" ref="Q132">_xlfn.STDEV.S(IF(('3.1. Gas prod VF'!$L$13:$L$1230=$F132) *('3.1. Gas prod VF'!$M$13:$M$1230=$E132),'3.1. Gas prod VF'!$AJ$13:$AJ$1230))</f>
        <v>0.20667503400687584</v>
      </c>
      <c r="R132" s="314" cm="1">
        <f t="array" ref="R132">_xlfn.STDEV.S(IF(('3.1. Gas prod VF'!$L$13:$L$1230=$F132) *('3.1. Gas prod VF'!$M$13:$M$1230=$E132),'3.1. Gas prod VF'!$AK$13:$AK$1230))</f>
        <v>0.35905016821826607</v>
      </c>
      <c r="S132" s="314" cm="1">
        <f t="array" ref="S132">_xlfn.STDEV.S(IF(('3.1. Gas prod VF'!$L$13:$L$1230=$F132) *('3.1. Gas prod VF'!$M$13:$M$1230=$E132),'3.1. Gas prod VF'!$AL$13:$AL$1230))</f>
        <v>0.35136537298062881</v>
      </c>
      <c r="T132" s="314" cm="1">
        <f t="array" ref="T132">_xlfn.STDEV.S(IF(('3.1. Gas prod VF'!$L$13:$L$1230=$F132) *('3.1. Gas prod VF'!$M$13:$M$1230=$E132),'3.1. Gas prod VF'!$AM$13:$AM$1230))</f>
        <v>6.074930113573382</v>
      </c>
      <c r="U132" s="314" cm="1">
        <f t="array" ref="U132">_xlfn.STDEV.S(IF(('3.1. Gas prod VF'!$L$13:$L$1230=$F132) *('3.1. Gas prod VF'!$M$13:$M$1230=$E132),'3.1. Gas prod VF'!$AN$13:$AN$1230))</f>
        <v>6.9449310442787908</v>
      </c>
      <c r="V132" s="314" cm="1">
        <f t="array" ref="V132">_xlfn.STDEV.S(IF(('3.1. Gas prod VF'!$L$13:$L$1230=$F132) *('3.1. Gas prod VF'!$M$13:$M$1230=$E132),'3.1. Gas prod VF'!$AO$13:$AO$1230))</f>
        <v>0.6039215626660025</v>
      </c>
      <c r="W132" s="314" cm="1">
        <f t="array" ref="W132">_xlfn.STDEV.S(IF(('3.1. Gas prod VF'!$L$13:$L$1230=$F132) *('3.1. Gas prod VF'!$M$13:$M$1230=$E132),'3.1. Gas prod VF'!$AP$13:$AP$1230))</f>
        <v>0.39520940802374105</v>
      </c>
      <c r="X132" s="314" cm="1">
        <f t="array" ref="X132">_xlfn.STDEV.S(IF(('3.1. Gas prod VF'!$L$13:$L$1230=$F132) *('3.1. Gas prod VF'!$M$13:$M$1230=$E132),'3.1. Gas prod VF'!$AQ$13:$AQ$1230))</f>
        <v>0.23968880019851591</v>
      </c>
      <c r="Y132" s="314" cm="1">
        <f t="array" ref="Y132">_xlfn.STDEV.S(IF(('3.1. Gas prod VF'!$L$13:$L$1230=$F132) *('3.1. Gas prod VF'!$M$13:$M$1230=$E132),'3.1. Gas prod VF'!$AR$13:$AR$1230))</f>
        <v>0.74656153120778779</v>
      </c>
      <c r="Z132" s="314" cm="1">
        <f t="array" ref="Z132">_xlfn.STDEV.S(IF(('3.1. Gas prod VF'!$L$13:$L$1230=$F132) *('3.1. Gas prod VF'!$M$13:$M$1230=$E132),'3.1. Gas prod VF'!$AS$13:$AS$1230))</f>
        <v>33.175376034393992</v>
      </c>
      <c r="AA132" s="314" cm="1">
        <f t="array" ref="AA132">_xlfn.STDEV.S(IF(('3.1. Gas prod VF'!$L$13:$L$1230=$F132) *('3.1. Gas prod VF'!$M$13:$M$1230=$E132),'3.1. Gas prod VF'!$AT$13:$AT$1230))</f>
        <v>0.16458302706398209</v>
      </c>
      <c r="AB132" s="314" cm="1">
        <f t="array" ref="AB132">_xlfn.STDEV.S(IF(('3.1. Gas prod VF'!$L$13:$L$1230=$F132) *('3.1. Gas prod VF'!$M$13:$M$1230=$E132),'3.1. Gas prod VF'!$AU$13:$AU$1230))</f>
        <v>0.41435456610978921</v>
      </c>
      <c r="AC132" s="314" cm="1">
        <f t="array" ref="AC132">_xlfn.STDEV.S(IF(('3.1. Gas prod VF'!$L$13:$L$1230=$F132) *('3.1. Gas prod VF'!$M$13:$M$1230=$E132),'3.1. Gas prod VF'!$AU$13:$AV$1230))</f>
        <v>25.562361237032242</v>
      </c>
      <c r="AD132" s="20"/>
      <c r="AE132" s="20"/>
    </row>
    <row r="133" spans="2:31" x14ac:dyDescent="0.35">
      <c r="B133" s="62">
        <f>'1. Information samples'!B133</f>
        <v>123</v>
      </c>
      <c r="C133" s="198">
        <f>'1. Information samples'!C133</f>
        <v>46062</v>
      </c>
      <c r="D133" s="62" t="str">
        <f>'1. Information samples'!D133</f>
        <v>Genbank</v>
      </c>
      <c r="E133" s="316">
        <f>'1. Information samples'!E133</f>
        <v>30</v>
      </c>
      <c r="F133" s="62" t="str">
        <f>'1. Information samples'!F133</f>
        <v>F260020</v>
      </c>
      <c r="G133" s="62" t="str">
        <f>'1. Information samples'!G133</f>
        <v>CIAT4080</v>
      </c>
      <c r="H133" s="62" t="str">
        <f>'1. Information samples'!H133</f>
        <v>Macroptilium</v>
      </c>
      <c r="I133" s="62" t="str">
        <f>'1. Information samples'!I133</f>
        <v>bracteatum</v>
      </c>
      <c r="J133" s="62" t="str">
        <f>'1. Information samples'!J133</f>
        <v>Macroptilium bracteatum</v>
      </c>
      <c r="K133" s="62" t="str">
        <f>'1. Information samples'!K133</f>
        <v>Fabaceae</v>
      </c>
      <c r="L133" s="62" t="str">
        <f>'1. Information samples'!L133</f>
        <v>Fabales</v>
      </c>
      <c r="M133" s="62" t="str">
        <f>'1. Information samples'!M133</f>
        <v>Herbaceous</v>
      </c>
      <c r="N133" s="314" cm="1">
        <f t="array" ref="N133">_xlfn.STDEV.S(IF(('3.1. Gas prod VF'!$L$13:$L$1230=$F133) *('3.1. Gas prod VF'!$M$13:$M$1230=$E133),'3.1. Gas prod VF'!$AG$13:$AG$1230))</f>
        <v>1.7308167778894257</v>
      </c>
      <c r="O133" s="314" cm="1">
        <f t="array" ref="O133">_xlfn.STDEV.S(IF(('3.1. Gas prod VF'!$L$13:$L$1230=$F133) *('3.1. Gas prod VF'!$M$13:$M$1230=$E133),'3.1. Gas prod VF'!$AH$13:$AH$1230))</f>
        <v>1.7664394241686292</v>
      </c>
      <c r="P133" s="314" cm="1">
        <f t="array" ref="P133">_xlfn.STDEV.S(IF(('3.1. Gas prod VF'!$L$13:$L$1230=$F133) *('3.1. Gas prod VF'!$M$13:$M$1230=$E133),'3.1. Gas prod VF'!$AI$13:$AI$1230))</f>
        <v>2.9079224970058357</v>
      </c>
      <c r="Q133" s="314" cm="1">
        <f t="array" ref="Q133">_xlfn.STDEV.S(IF(('3.1. Gas prod VF'!$L$13:$L$1230=$F133) *('3.1. Gas prod VF'!$M$13:$M$1230=$E133),'3.1. Gas prod VF'!$AJ$13:$AJ$1230))</f>
        <v>0.26176771060295884</v>
      </c>
      <c r="R133" s="314" cm="1">
        <f t="array" ref="R133">_xlfn.STDEV.S(IF(('3.1. Gas prod VF'!$L$13:$L$1230=$F133) *('3.1. Gas prod VF'!$M$13:$M$1230=$E133),'3.1. Gas prod VF'!$AK$13:$AK$1230))</f>
        <v>0.29584307406278215</v>
      </c>
      <c r="S133" s="314" cm="1">
        <f t="array" ref="S133">_xlfn.STDEV.S(IF(('3.1. Gas prod VF'!$L$13:$L$1230=$F133) *('3.1. Gas prod VF'!$M$13:$M$1230=$E133),'3.1. Gas prod VF'!$AL$13:$AL$1230))</f>
        <v>0.43779075596492312</v>
      </c>
      <c r="T133" s="314" cm="1">
        <f t="array" ref="T133">_xlfn.STDEV.S(IF(('3.1. Gas prod VF'!$L$13:$L$1230=$F133) *('3.1. Gas prod VF'!$M$13:$M$1230=$E133),'3.1. Gas prod VF'!$AM$13:$AM$1230))</f>
        <v>6.1420769627979892</v>
      </c>
      <c r="U133" s="314" cm="1">
        <f t="array" ref="U133">_xlfn.STDEV.S(IF(('3.1. Gas prod VF'!$L$13:$L$1230=$F133) *('3.1. Gas prod VF'!$M$13:$M$1230=$E133),'3.1. Gas prod VF'!$AN$13:$AN$1230))</f>
        <v>7.356666578415795</v>
      </c>
      <c r="V133" s="314" cm="1">
        <f t="array" ref="V133">_xlfn.STDEV.S(IF(('3.1. Gas prod VF'!$L$13:$L$1230=$F133) *('3.1. Gas prod VF'!$M$13:$M$1230=$E133),'3.1. Gas prod VF'!$AO$13:$AO$1230))</f>
        <v>0.48654326229307981</v>
      </c>
      <c r="W133" s="314" cm="1">
        <f t="array" ref="W133">_xlfn.STDEV.S(IF(('3.1. Gas prod VF'!$L$13:$L$1230=$F133) *('3.1. Gas prod VF'!$M$13:$M$1230=$E133),'3.1. Gas prod VF'!$AP$13:$AP$1230))</f>
        <v>0.22253945610567491</v>
      </c>
      <c r="X133" s="314" cm="1">
        <f t="array" ref="X133">_xlfn.STDEV.S(IF(('3.1. Gas prod VF'!$L$13:$L$1230=$F133) *('3.1. Gas prod VF'!$M$13:$M$1230=$E133),'3.1. Gas prod VF'!$AQ$13:$AQ$1230))</f>
        <v>0.11627753948862593</v>
      </c>
      <c r="Y133" s="314" cm="1">
        <f t="array" ref="Y133">_xlfn.STDEV.S(IF(('3.1. Gas prod VF'!$L$13:$L$1230=$F133) *('3.1. Gas prod VF'!$M$13:$M$1230=$E133),'3.1. Gas prod VF'!$AR$13:$AR$1230))</f>
        <v>0.92404522320379356</v>
      </c>
      <c r="Z133" s="314" cm="1">
        <f t="array" ref="Z133">_xlfn.STDEV.S(IF(('3.1. Gas prod VF'!$L$13:$L$1230=$F133) *('3.1. Gas prod VF'!$M$13:$M$1230=$E133),'3.1. Gas prod VF'!$AS$13:$AS$1230))</f>
        <v>11.164593927808109</v>
      </c>
      <c r="AA133" s="314" cm="1">
        <f t="array" ref="AA133">_xlfn.STDEV.S(IF(('3.1. Gas prod VF'!$L$13:$L$1230=$F133) *('3.1. Gas prod VF'!$M$13:$M$1230=$E133),'3.1. Gas prod VF'!$AT$13:$AT$1230))</f>
        <v>0.9425228907754607</v>
      </c>
      <c r="AB133" s="314" cm="1">
        <f t="array" ref="AB133">_xlfn.STDEV.S(IF(('3.1. Gas prod VF'!$L$13:$L$1230=$F133) *('3.1. Gas prod VF'!$M$13:$M$1230=$E133),'3.1. Gas prod VF'!$AU$13:$AU$1230))</f>
        <v>0.51286108581968404</v>
      </c>
      <c r="AC133" s="314" cm="1">
        <f t="array" ref="AC133">_xlfn.STDEV.S(IF(('3.1. Gas prod VF'!$L$13:$L$1230=$F133) *('3.1. Gas prod VF'!$M$13:$M$1230=$E133),'3.1. Gas prod VF'!$AU$13:$AV$1230))</f>
        <v>11.72322714098722</v>
      </c>
      <c r="AD133" s="20"/>
      <c r="AE133" s="20"/>
    </row>
    <row r="134" spans="2:31" x14ac:dyDescent="0.35">
      <c r="B134" s="62">
        <f>'1. Information samples'!B134</f>
        <v>124</v>
      </c>
      <c r="C134" s="198">
        <f>'1. Information samples'!C134</f>
        <v>46062</v>
      </c>
      <c r="D134" s="62" t="str">
        <f>'1. Information samples'!D134</f>
        <v>Genbank</v>
      </c>
      <c r="E134" s="316">
        <f>'1. Information samples'!E134</f>
        <v>30</v>
      </c>
      <c r="F134" s="62" t="str">
        <f>'1. Information samples'!F134</f>
        <v>F260021</v>
      </c>
      <c r="G134" s="62" t="str">
        <f>'1. Information samples'!G134</f>
        <v>CIAT7162</v>
      </c>
      <c r="H134" s="62" t="str">
        <f>'1. Information samples'!H134</f>
        <v>Indigofera</v>
      </c>
      <c r="I134" s="62" t="str">
        <f>'1. Information samples'!I134</f>
        <v>jamaicensis</v>
      </c>
      <c r="J134" s="62" t="str">
        <f>'1. Information samples'!J134</f>
        <v>Indigofera jamaicensis</v>
      </c>
      <c r="K134" s="62" t="str">
        <f>'1. Information samples'!K134</f>
        <v>Fabaceae</v>
      </c>
      <c r="L134" s="62" t="str">
        <f>'1. Information samples'!L134</f>
        <v>Fabales</v>
      </c>
      <c r="M134" s="62" t="str">
        <f>'1. Information samples'!M134</f>
        <v>Herbaceous</v>
      </c>
      <c r="N134" s="314" cm="1">
        <f t="array" ref="N134">_xlfn.STDEV.S(IF(('3.1. Gas prod VF'!$L$13:$L$1230=$F134) *('3.1. Gas prod VF'!$M$13:$M$1230=$E134),'3.1. Gas prod VF'!$AG$13:$AG$1230))</f>
        <v>1.9566315937228658</v>
      </c>
      <c r="O134" s="314" cm="1">
        <f t="array" ref="O134">_xlfn.STDEV.S(IF(('3.1. Gas prod VF'!$L$13:$L$1230=$F134) *('3.1. Gas prod VF'!$M$13:$M$1230=$E134),'3.1. Gas prod VF'!$AH$13:$AH$1230))</f>
        <v>2.806200337992887</v>
      </c>
      <c r="P134" s="314" cm="1">
        <f t="array" ref="P134">_xlfn.STDEV.S(IF(('3.1. Gas prod VF'!$L$13:$L$1230=$F134) *('3.1. Gas prod VF'!$M$13:$M$1230=$E134),'3.1. Gas prod VF'!$AI$13:$AI$1230))</f>
        <v>1.5263872907819152</v>
      </c>
      <c r="Q134" s="314" cm="1">
        <f t="array" ref="Q134">_xlfn.STDEV.S(IF(('3.1. Gas prod VF'!$L$13:$L$1230=$F134) *('3.1. Gas prod VF'!$M$13:$M$1230=$E134),'3.1. Gas prod VF'!$AJ$13:$AJ$1230))</f>
        <v>0.38071102277122815</v>
      </c>
      <c r="R134" s="314" cm="1">
        <f t="array" ref="R134">_xlfn.STDEV.S(IF(('3.1. Gas prod VF'!$L$13:$L$1230=$F134) *('3.1. Gas prod VF'!$M$13:$M$1230=$E134),'3.1. Gas prod VF'!$AK$13:$AK$1230))</f>
        <v>0.39145046055320959</v>
      </c>
      <c r="S134" s="314" cm="1">
        <f t="array" ref="S134">_xlfn.STDEV.S(IF(('3.1. Gas prod VF'!$L$13:$L$1230=$F134) *('3.1. Gas prod VF'!$M$13:$M$1230=$E134),'3.1. Gas prod VF'!$AL$13:$AL$1230))</f>
        <v>0.12277801345600034</v>
      </c>
      <c r="T134" s="314" cm="1">
        <f t="array" ref="T134">_xlfn.STDEV.S(IF(('3.1. Gas prod VF'!$L$13:$L$1230=$F134) *('3.1. Gas prod VF'!$M$13:$M$1230=$E134),'3.1. Gas prod VF'!$AM$13:$AM$1230))</f>
        <v>3.2706061165544051</v>
      </c>
      <c r="U134" s="314" cm="1">
        <f t="array" ref="U134">_xlfn.STDEV.S(IF(('3.1. Gas prod VF'!$L$13:$L$1230=$F134) *('3.1. Gas prod VF'!$M$13:$M$1230=$E134),'3.1. Gas prod VF'!$AN$13:$AN$1230))</f>
        <v>6.1866966429740948</v>
      </c>
      <c r="V134" s="314" cm="1">
        <f t="array" ref="V134">_xlfn.STDEV.S(IF(('3.1. Gas prod VF'!$L$13:$L$1230=$F134) *('3.1. Gas prod VF'!$M$13:$M$1230=$E134),'3.1. Gas prod VF'!$AO$13:$AO$1230))</f>
        <v>0.38303064529982955</v>
      </c>
      <c r="W134" s="314" cm="1">
        <f t="array" ref="W134">_xlfn.STDEV.S(IF(('3.1. Gas prod VF'!$L$13:$L$1230=$F134) *('3.1. Gas prod VF'!$M$13:$M$1230=$E134),'3.1. Gas prod VF'!$AP$13:$AP$1230))</f>
        <v>0.62830080754516404</v>
      </c>
      <c r="X134" s="314" cm="1">
        <f t="array" ref="X134">_xlfn.STDEV.S(IF(('3.1. Gas prod VF'!$L$13:$L$1230=$F134) *('3.1. Gas prod VF'!$M$13:$M$1230=$E134),'3.1. Gas prod VF'!$AQ$13:$AQ$1230))</f>
        <v>0.27703933152774696</v>
      </c>
      <c r="Y134" s="314" cm="1">
        <f t="array" ref="Y134">_xlfn.STDEV.S(IF(('3.1. Gas prod VF'!$L$13:$L$1230=$F134) *('3.1. Gas prod VF'!$M$13:$M$1230=$E134),'3.1. Gas prod VF'!$AR$13:$AR$1230))</f>
        <v>0.26049275723538312</v>
      </c>
      <c r="Z134" s="314" cm="1">
        <f t="array" ref="Z134">_xlfn.STDEV.S(IF(('3.1. Gas prod VF'!$L$13:$L$1230=$F134) *('3.1. Gas prod VF'!$M$13:$M$1230=$E134),'3.1. Gas prod VF'!$AS$13:$AS$1230))</f>
        <v>7.8985621579313614</v>
      </c>
      <c r="AA134" s="314" cm="1">
        <f t="array" ref="AA134">_xlfn.STDEV.S(IF(('3.1. Gas prod VF'!$L$13:$L$1230=$F134) *('3.1. Gas prod VF'!$M$13:$M$1230=$E134),'3.1. Gas prod VF'!$AT$13:$AT$1230))</f>
        <v>0.39311324901278011</v>
      </c>
      <c r="AB134" s="314" cm="1">
        <f t="array" ref="AB134">_xlfn.STDEV.S(IF(('3.1. Gas prod VF'!$L$13:$L$1230=$F134) *('3.1. Gas prod VF'!$M$13:$M$1230=$E134),'3.1. Gas prod VF'!$AU$13:$AU$1230))</f>
        <v>0.14457798706074484</v>
      </c>
      <c r="AC134" s="314" cm="1">
        <f t="array" ref="AC134">_xlfn.STDEV.S(IF(('3.1. Gas prod VF'!$L$13:$L$1230=$F134) *('3.1. Gas prod VF'!$M$13:$M$1230=$E134),'3.1. Gas prod VF'!$AU$13:$AV$1230))</f>
        <v>9.5236011399902853</v>
      </c>
      <c r="AD134" s="20"/>
      <c r="AE134" s="20"/>
    </row>
    <row r="135" spans="2:31" x14ac:dyDescent="0.35">
      <c r="B135" s="62">
        <f>'1. Information samples'!B135</f>
        <v>125</v>
      </c>
      <c r="C135" s="198">
        <f>'1. Information samples'!C135</f>
        <v>46062</v>
      </c>
      <c r="D135" s="62" t="str">
        <f>'1. Information samples'!D135</f>
        <v>Genbank</v>
      </c>
      <c r="E135" s="316">
        <f>'1. Information samples'!E135</f>
        <v>30</v>
      </c>
      <c r="F135" s="62" t="str">
        <f>'1. Information samples'!F135</f>
        <v>F260022</v>
      </c>
      <c r="G135" s="62" t="str">
        <f>'1. Information samples'!G135</f>
        <v>CIAT8820</v>
      </c>
      <c r="H135" s="62" t="str">
        <f>'1. Information samples'!H135</f>
        <v>Tephrosia</v>
      </c>
      <c r="I135" s="62" t="str">
        <f>'1. Information samples'!I135</f>
        <v>cinerea</v>
      </c>
      <c r="J135" s="62" t="str">
        <f>'1. Information samples'!J135</f>
        <v>Tephrosia cinerea</v>
      </c>
      <c r="K135" s="62" t="str">
        <f>'1. Information samples'!K135</f>
        <v>Fabaceae</v>
      </c>
      <c r="L135" s="62" t="str">
        <f>'1. Information samples'!L135</f>
        <v>Fabales</v>
      </c>
      <c r="M135" s="62" t="str">
        <f>'1. Information samples'!M135</f>
        <v>Herbaceous</v>
      </c>
      <c r="N135" s="314" cm="1">
        <f t="array" ref="N135">_xlfn.STDEV.S(IF(('3.1. Gas prod VF'!$L$13:$L$1230=$F135) *('3.1. Gas prod VF'!$M$13:$M$1230=$E135),'3.1. Gas prod VF'!$AG$13:$AG$1230))</f>
        <v>1.7345954630751566</v>
      </c>
      <c r="O135" s="314" cm="1">
        <f t="array" ref="O135">_xlfn.STDEV.S(IF(('3.1. Gas prod VF'!$L$13:$L$1230=$F135) *('3.1. Gas prod VF'!$M$13:$M$1230=$E135),'3.1. Gas prod VF'!$AH$13:$AH$1230))</f>
        <v>4.1136947428589661</v>
      </c>
      <c r="P135" s="314" cm="1">
        <f t="array" ref="P135">_xlfn.STDEV.S(IF(('3.1. Gas prod VF'!$L$13:$L$1230=$F135) *('3.1. Gas prod VF'!$M$13:$M$1230=$E135),'3.1. Gas prod VF'!$AI$13:$AI$1230))</f>
        <v>4.5431943366537366</v>
      </c>
      <c r="Q135" s="314" cm="1">
        <f t="array" ref="Q135">_xlfn.STDEV.S(IF(('3.1. Gas prod VF'!$L$13:$L$1230=$F135) *('3.1. Gas prod VF'!$M$13:$M$1230=$E135),'3.1. Gas prod VF'!$AJ$13:$AJ$1230))</f>
        <v>0.49995010500247555</v>
      </c>
      <c r="R135" s="314" cm="1">
        <f t="array" ref="R135">_xlfn.STDEV.S(IF(('3.1. Gas prod VF'!$L$13:$L$1230=$F135) *('3.1. Gas prod VF'!$M$13:$M$1230=$E135),'3.1. Gas prod VF'!$AK$13:$AK$1230))</f>
        <v>0.70871597279213638</v>
      </c>
      <c r="S135" s="314" cm="1">
        <f t="array" ref="S135">_xlfn.STDEV.S(IF(('3.1. Gas prod VF'!$L$13:$L$1230=$F135) *('3.1. Gas prod VF'!$M$13:$M$1230=$E135),'3.1. Gas prod VF'!$AL$13:$AL$1230))</f>
        <v>0.71259001690436741</v>
      </c>
      <c r="T135" s="314" cm="1">
        <f t="array" ref="T135">_xlfn.STDEV.S(IF(('3.1. Gas prod VF'!$L$13:$L$1230=$F135) *('3.1. Gas prod VF'!$M$13:$M$1230=$E135),'3.1. Gas prod VF'!$AM$13:$AM$1230))</f>
        <v>9.5694126723206505</v>
      </c>
      <c r="U135" s="314" cm="1">
        <f t="array" ref="U135">_xlfn.STDEV.S(IF(('3.1. Gas prod VF'!$L$13:$L$1230=$F135) *('3.1. Gas prod VF'!$M$13:$M$1230=$E135),'3.1. Gas prod VF'!$AN$13:$AN$1230))</f>
        <v>5.8663441621536201</v>
      </c>
      <c r="V135" s="314" cm="1">
        <f t="array" ref="V135">_xlfn.STDEV.S(IF(('3.1. Gas prod VF'!$L$13:$L$1230=$F135) *('3.1. Gas prod VF'!$M$13:$M$1230=$E135),'3.1. Gas prod VF'!$AO$13:$AO$1230))</f>
        <v>0.37852688427702602</v>
      </c>
      <c r="W135" s="314" cm="1">
        <f t="array" ref="W135">_xlfn.STDEV.S(IF(('3.1. Gas prod VF'!$L$13:$L$1230=$F135) *('3.1. Gas prod VF'!$M$13:$M$1230=$E135),'3.1. Gas prod VF'!$AP$13:$AP$1230))</f>
        <v>0.62411842588070598</v>
      </c>
      <c r="X135" s="314" cm="1">
        <f t="array" ref="X135">_xlfn.STDEV.S(IF(('3.1. Gas prod VF'!$L$13:$L$1230=$F135) *('3.1. Gas prod VF'!$M$13:$M$1230=$E135),'3.1. Gas prod VF'!$AQ$13:$AQ$1230))</f>
        <v>0.33249264674658674</v>
      </c>
      <c r="Y135" s="314" cm="1">
        <f t="array" ref="Y135">_xlfn.STDEV.S(IF(('3.1. Gas prod VF'!$L$13:$L$1230=$F135) *('3.1. Gas prod VF'!$M$13:$M$1230=$E135),'3.1. Gas prod VF'!$AR$13:$AR$1230))</f>
        <v>1.4995813388773507</v>
      </c>
      <c r="Z135" s="314" cm="1">
        <f t="array" ref="Z135">_xlfn.STDEV.S(IF(('3.1. Gas prod VF'!$L$13:$L$1230=$F135) *('3.1. Gas prod VF'!$M$13:$M$1230=$E135),'3.1. Gas prod VF'!$AS$13:$AS$1230))</f>
        <v>11.389654024081212</v>
      </c>
      <c r="AA135" s="314" cm="1">
        <f t="array" ref="AA135">_xlfn.STDEV.S(IF(('3.1. Gas prod VF'!$L$13:$L$1230=$F135) *('3.1. Gas prod VF'!$M$13:$M$1230=$E135),'3.1. Gas prod VF'!$AT$13:$AT$1230))</f>
        <v>5.4057691894070645</v>
      </c>
      <c r="AB135" s="314" cm="1">
        <f t="array" ref="AB135">_xlfn.STDEV.S(IF(('3.1. Gas prod VF'!$L$13:$L$1230=$F135) *('3.1. Gas prod VF'!$M$13:$M$1230=$E135),'3.1. Gas prod VF'!$AU$13:$AU$1230))</f>
        <v>0.83229358739075188</v>
      </c>
      <c r="AC135" s="314" cm="1">
        <f t="array" ref="AC135">_xlfn.STDEV.S(IF(('3.1. Gas prod VF'!$L$13:$L$1230=$F135) *('3.1. Gas prod VF'!$M$13:$M$1230=$E135),'3.1. Gas prod VF'!$AU$13:$AV$1230))</f>
        <v>11.43951047759443</v>
      </c>
      <c r="AD135" s="20"/>
      <c r="AE135" s="20"/>
    </row>
    <row r="136" spans="2:31" x14ac:dyDescent="0.35">
      <c r="B136" s="62">
        <f>'1. Information samples'!B136</f>
        <v>126</v>
      </c>
      <c r="C136" s="198">
        <f>'1. Information samples'!C136</f>
        <v>46062</v>
      </c>
      <c r="D136" s="62" t="str">
        <f>'1. Information samples'!D136</f>
        <v>Genbank</v>
      </c>
      <c r="E136" s="316">
        <f>'1. Information samples'!E136</f>
        <v>30</v>
      </c>
      <c r="F136" s="62" t="str">
        <f>'1. Information samples'!F136</f>
        <v>F260023</v>
      </c>
      <c r="G136" s="62" t="str">
        <f>'1. Information samples'!G136</f>
        <v>CIAT14080</v>
      </c>
      <c r="H136" s="62" t="str">
        <f>'1. Information samples'!H136</f>
        <v>Zornia</v>
      </c>
      <c r="I136" s="62" t="str">
        <f>'1. Information samples'!I136</f>
        <v>brasiliensis</v>
      </c>
      <c r="J136" s="62" t="str">
        <f>'1. Information samples'!J136</f>
        <v>Zornia brasiliensis</v>
      </c>
      <c r="K136" s="62" t="str">
        <f>'1. Information samples'!K136</f>
        <v>Fabaceae</v>
      </c>
      <c r="L136" s="62" t="str">
        <f>'1. Information samples'!L136</f>
        <v>Fabales</v>
      </c>
      <c r="M136" s="62" t="str">
        <f>'1. Information samples'!M136</f>
        <v>Herbaceous</v>
      </c>
      <c r="N136" s="314" cm="1">
        <f t="array" ref="N136">_xlfn.STDEV.S(IF(('3.1. Gas prod VF'!$L$13:$L$1230=$F136) *('3.1. Gas prod VF'!$M$13:$M$1230=$E136),'3.1. Gas prod VF'!$AG$13:$AG$1230))</f>
        <v>1.6840145153482835</v>
      </c>
      <c r="O136" s="314" cm="1">
        <f t="array" ref="O136">_xlfn.STDEV.S(IF(('3.1. Gas prod VF'!$L$13:$L$1230=$F136) *('3.1. Gas prod VF'!$M$13:$M$1230=$E136),'3.1. Gas prod VF'!$AH$13:$AH$1230))</f>
        <v>2.7194133704418673</v>
      </c>
      <c r="P136" s="314" cm="1">
        <f t="array" ref="P136">_xlfn.STDEV.S(IF(('3.1. Gas prod VF'!$L$13:$L$1230=$F136) *('3.1. Gas prod VF'!$M$13:$M$1230=$E136),'3.1. Gas prod VF'!$AI$13:$AI$1230))</f>
        <v>3.0732611251166588</v>
      </c>
      <c r="Q136" s="314" cm="1">
        <f t="array" ref="Q136">_xlfn.STDEV.S(IF(('3.1. Gas prod VF'!$L$13:$L$1230=$F136) *('3.1. Gas prod VF'!$M$13:$M$1230=$E136),'3.1. Gas prod VF'!$AJ$13:$AJ$1230))</f>
        <v>0.37685477577340953</v>
      </c>
      <c r="R136" s="314" cm="1">
        <f t="array" ref="R136">_xlfn.STDEV.S(IF(('3.1. Gas prod VF'!$L$13:$L$1230=$F136) *('3.1. Gas prod VF'!$M$13:$M$1230=$E136),'3.1. Gas prod VF'!$AK$13:$AK$1230))</f>
        <v>0.41700907766325679</v>
      </c>
      <c r="S136" s="314" cm="1">
        <f t="array" ref="S136">_xlfn.STDEV.S(IF(('3.1. Gas prod VF'!$L$13:$L$1230=$F136) *('3.1. Gas prod VF'!$M$13:$M$1230=$E136),'3.1. Gas prod VF'!$AL$13:$AL$1230))</f>
        <v>0.50543640085808428</v>
      </c>
      <c r="T136" s="314" cm="1">
        <f t="array" ref="T136">_xlfn.STDEV.S(IF(('3.1. Gas prod VF'!$L$13:$L$1230=$F136) *('3.1. Gas prod VF'!$M$13:$M$1230=$E136),'3.1. Gas prod VF'!$AM$13:$AM$1230))</f>
        <v>6.5174359447056309</v>
      </c>
      <c r="U136" s="314" cm="1">
        <f t="array" ref="U136">_xlfn.STDEV.S(IF(('3.1. Gas prod VF'!$L$13:$L$1230=$F136) *('3.1. Gas prod VF'!$M$13:$M$1230=$E136),'3.1. Gas prod VF'!$AN$13:$AN$1230))</f>
        <v>6.4495529370894786</v>
      </c>
      <c r="V136" s="314" cm="1">
        <f t="array" ref="V136">_xlfn.STDEV.S(IF(('3.1. Gas prod VF'!$L$13:$L$1230=$F136) *('3.1. Gas prod VF'!$M$13:$M$1230=$E136),'3.1. Gas prod VF'!$AO$13:$AO$1230))</f>
        <v>0.51069030276130523</v>
      </c>
      <c r="W136" s="314" cm="1">
        <f t="array" ref="W136">_xlfn.STDEV.S(IF(('3.1. Gas prod VF'!$L$13:$L$1230=$F136) *('3.1. Gas prod VF'!$M$13:$M$1230=$E136),'3.1. Gas prod VF'!$AP$13:$AP$1230))</f>
        <v>0.47409060817728127</v>
      </c>
      <c r="X136" s="314" cm="1">
        <f t="array" ref="X136">_xlfn.STDEV.S(IF(('3.1. Gas prod VF'!$L$13:$L$1230=$F136) *('3.1. Gas prod VF'!$M$13:$M$1230=$E136),'3.1. Gas prod VF'!$AQ$13:$AQ$1230))</f>
        <v>0.24438018117918939</v>
      </c>
      <c r="Y136" s="314" cm="1">
        <f t="array" ref="Y136">_xlfn.STDEV.S(IF(('3.1. Gas prod VF'!$L$13:$L$1230=$F136) *('3.1. Gas prod VF'!$M$13:$M$1230=$E136),'3.1. Gas prod VF'!$AR$13:$AR$1230))</f>
        <v>1.0696252515124749</v>
      </c>
      <c r="Z136" s="314" cm="1">
        <f t="array" ref="Z136">_xlfn.STDEV.S(IF(('3.1. Gas prod VF'!$L$13:$L$1230=$F136) *('3.1. Gas prod VF'!$M$13:$M$1230=$E136),'3.1. Gas prod VF'!$AS$13:$AS$1230))</f>
        <v>10.092712661066122</v>
      </c>
      <c r="AA136" s="314" cm="1">
        <f t="array" ref="AA136">_xlfn.STDEV.S(IF(('3.1. Gas prod VF'!$L$13:$L$1230=$F136) *('3.1. Gas prod VF'!$M$13:$M$1230=$E136),'3.1. Gas prod VF'!$AT$13:$AT$1230))</f>
        <v>2.8296079044491327</v>
      </c>
      <c r="AB136" s="314" cm="1">
        <f t="array" ref="AB136">_xlfn.STDEV.S(IF(('3.1. Gas prod VF'!$L$13:$L$1230=$F136) *('3.1. Gas prod VF'!$M$13:$M$1230=$E136),'3.1. Gas prod VF'!$AU$13:$AU$1230))</f>
        <v>0.59366052021661375</v>
      </c>
      <c r="AC136" s="314" cm="1">
        <f t="array" ref="AC136">_xlfn.STDEV.S(IF(('3.1. Gas prod VF'!$L$13:$L$1230=$F136) *('3.1. Gas prod VF'!$M$13:$M$1230=$E136),'3.1. Gas prod VF'!$AU$13:$AV$1230))</f>
        <v>9.7207861501124082</v>
      </c>
      <c r="AD136" s="20"/>
      <c r="AE136" s="20"/>
    </row>
    <row r="137" spans="2:31" x14ac:dyDescent="0.35">
      <c r="B137" s="62">
        <f>'1. Information samples'!B137</f>
        <v>127</v>
      </c>
      <c r="C137" s="198">
        <f>'1. Information samples'!C137</f>
        <v>46062</v>
      </c>
      <c r="D137" s="62" t="str">
        <f>'1. Information samples'!D137</f>
        <v>Genbank</v>
      </c>
      <c r="E137" s="316">
        <f>'1. Information samples'!E137</f>
        <v>30</v>
      </c>
      <c r="F137" s="62" t="str">
        <f>'1. Information samples'!F137</f>
        <v>F260024</v>
      </c>
      <c r="G137" s="62" t="str">
        <f>'1. Information samples'!G137</f>
        <v>CIAT18950</v>
      </c>
      <c r="H137" s="62" t="str">
        <f>'1. Information samples'!H137</f>
        <v>Indigofera</v>
      </c>
      <c r="I137" s="62" t="str">
        <f>'1. Information samples'!I137</f>
        <v>spicata</v>
      </c>
      <c r="J137" s="62" t="str">
        <f>'1. Information samples'!J137</f>
        <v>Indigofera spicata</v>
      </c>
      <c r="K137" s="62" t="str">
        <f>'1. Information samples'!K137</f>
        <v>Fabaceae</v>
      </c>
      <c r="L137" s="62" t="str">
        <f>'1. Information samples'!L137</f>
        <v>Fabales</v>
      </c>
      <c r="M137" s="62" t="str">
        <f>'1. Information samples'!M137</f>
        <v>Herbaceous</v>
      </c>
      <c r="N137" s="314" cm="1">
        <f t="array" ref="N137">_xlfn.STDEV.S(IF(('3.1. Gas prod VF'!$L$13:$L$1230=$F137) *('3.1. Gas prod VF'!$M$13:$M$1230=$E137),'3.1. Gas prod VF'!$AG$13:$AG$1230))</f>
        <v>3.0454307896943744</v>
      </c>
      <c r="O137" s="314" cm="1">
        <f t="array" ref="O137">_xlfn.STDEV.S(IF(('3.1. Gas prod VF'!$L$13:$L$1230=$F137) *('3.1. Gas prod VF'!$M$13:$M$1230=$E137),'3.1. Gas prod VF'!$AH$13:$AH$1230))</f>
        <v>6.255980259963696</v>
      </c>
      <c r="P137" s="314" cm="1">
        <f t="array" ref="P137">_xlfn.STDEV.S(IF(('3.1. Gas prod VF'!$L$13:$L$1230=$F137) *('3.1. Gas prod VF'!$M$13:$M$1230=$E137),'3.1. Gas prod VF'!$AI$13:$AI$1230))</f>
        <v>7.8746694010985179</v>
      </c>
      <c r="Q137" s="314" cm="1">
        <f t="array" ref="Q137">_xlfn.STDEV.S(IF(('3.1. Gas prod VF'!$L$13:$L$1230=$F137) *('3.1. Gas prod VF'!$M$13:$M$1230=$E137),'3.1. Gas prod VF'!$AJ$13:$AJ$1230))</f>
        <v>0.51892518416129074</v>
      </c>
      <c r="R137" s="314" cm="1">
        <f t="array" ref="R137">_xlfn.STDEV.S(IF(('3.1. Gas prod VF'!$L$13:$L$1230=$F137) *('3.1. Gas prod VF'!$M$13:$M$1230=$E137),'3.1. Gas prod VF'!$AK$13:$AK$1230))</f>
        <v>0.97266763940367251</v>
      </c>
      <c r="S137" s="314" cm="1">
        <f t="array" ref="S137">_xlfn.STDEV.S(IF(('3.1. Gas prod VF'!$L$13:$L$1230=$F137) *('3.1. Gas prod VF'!$M$13:$M$1230=$E137),'3.1. Gas prod VF'!$AL$13:$AL$1230))</f>
        <v>0.98589269942325231</v>
      </c>
      <c r="T137" s="314" cm="1">
        <f t="array" ref="T137">_xlfn.STDEV.S(IF(('3.1. Gas prod VF'!$L$13:$L$1230=$F137) *('3.1. Gas prod VF'!$M$13:$M$1230=$E137),'3.1. Gas prod VF'!$AM$13:$AM$1230))</f>
        <v>16.821791608665862</v>
      </c>
      <c r="U137" s="314" cm="1">
        <f t="array" ref="U137">_xlfn.STDEV.S(IF(('3.1. Gas prod VF'!$L$13:$L$1230=$F137) *('3.1. Gas prod VF'!$M$13:$M$1230=$E137),'3.1. Gas prod VF'!$AN$13:$AN$1230))</f>
        <v>5.7323753996818132</v>
      </c>
      <c r="V137" s="314" cm="1">
        <f t="array" ref="V137">_xlfn.STDEV.S(IF(('3.1. Gas prod VF'!$L$13:$L$1230=$F137) *('3.1. Gas prod VF'!$M$13:$M$1230=$E137),'3.1. Gas prod VF'!$AO$13:$AO$1230))</f>
        <v>0.39169027432583597</v>
      </c>
      <c r="W137" s="314" cm="1">
        <f t="array" ref="W137">_xlfn.STDEV.S(IF(('3.1. Gas prod VF'!$L$13:$L$1230=$F137) *('3.1. Gas prod VF'!$M$13:$M$1230=$E137),'3.1. Gas prod VF'!$AP$13:$AP$1230))</f>
        <v>0.78619033197772048</v>
      </c>
      <c r="X137" s="314" cm="1">
        <f t="array" ref="X137">_xlfn.STDEV.S(IF(('3.1. Gas prod VF'!$L$13:$L$1230=$F137) *('3.1. Gas prod VF'!$M$13:$M$1230=$E137),'3.1. Gas prod VF'!$AQ$13:$AQ$1230))</f>
        <v>0.38522848910768986</v>
      </c>
      <c r="Y137" s="314" cm="1">
        <f t="array" ref="Y137">_xlfn.STDEV.S(IF(('3.1. Gas prod VF'!$L$13:$L$1230=$F137) *('3.1. Gas prod VF'!$M$13:$M$1230=$E137),'3.1. Gas prod VF'!$AR$13:$AR$1230))</f>
        <v>2.1058867018880938</v>
      </c>
      <c r="Z137" s="314" cm="1">
        <f t="array" ref="Z137">_xlfn.STDEV.S(IF(('3.1. Gas prod VF'!$L$13:$L$1230=$F137) *('3.1. Gas prod VF'!$M$13:$M$1230=$E137),'3.1. Gas prod VF'!$AS$13:$AS$1230))</f>
        <v>8.7685041309034375</v>
      </c>
      <c r="AA137" s="314" cm="1">
        <f t="array" ref="AA137">_xlfn.STDEV.S(IF(('3.1. Gas prod VF'!$L$13:$L$1230=$F137) *('3.1. Gas prod VF'!$M$13:$M$1230=$E137),'3.1. Gas prod VF'!$AT$13:$AT$1230))</f>
        <v>0.38544575111794205</v>
      </c>
      <c r="AB137" s="314" cm="1">
        <f t="array" ref="AB137">_xlfn.STDEV.S(IF(('3.1. Gas prod VF'!$L$13:$L$1230=$F137) *('3.1. Gas prod VF'!$M$13:$M$1230=$E137),'3.1. Gas prod VF'!$AU$13:$AU$1230))</f>
        <v>1.1688035535738779</v>
      </c>
      <c r="AC137" s="314" cm="1">
        <f t="array" ref="AC137">_xlfn.STDEV.S(IF(('3.1. Gas prod VF'!$L$13:$L$1230=$F137) *('3.1. Gas prod VF'!$M$13:$M$1230=$E137),'3.1. Gas prod VF'!$AU$13:$AV$1230))</f>
        <v>9.7581807502634845</v>
      </c>
      <c r="AD137" s="20"/>
      <c r="AE137" s="20"/>
    </row>
    <row r="138" spans="2:31" x14ac:dyDescent="0.35">
      <c r="B138" s="62">
        <f>'1. Information samples'!B138</f>
        <v>128</v>
      </c>
      <c r="C138" s="198">
        <f>'1. Information samples'!C138</f>
        <v>46062</v>
      </c>
      <c r="D138" s="62" t="str">
        <f>'1. Information samples'!D138</f>
        <v>Genbank</v>
      </c>
      <c r="E138" s="316">
        <f>'1. Information samples'!E138</f>
        <v>30</v>
      </c>
      <c r="F138" s="62" t="str">
        <f>'1. Information samples'!F138</f>
        <v>F260025</v>
      </c>
      <c r="G138" s="62" t="str">
        <f>'1. Information samples'!G138</f>
        <v>CIAT19193</v>
      </c>
      <c r="H138" s="62" t="str">
        <f>'1. Information samples'!H138</f>
        <v>Tephrosia</v>
      </c>
      <c r="I138" s="62" t="str">
        <f>'1. Information samples'!I138</f>
        <v>villosa</v>
      </c>
      <c r="J138" s="62" t="str">
        <f>'1. Information samples'!J138</f>
        <v>Tephrosia villosa</v>
      </c>
      <c r="K138" s="62" t="str">
        <f>'1. Information samples'!K138</f>
        <v>Fabaceae</v>
      </c>
      <c r="L138" s="62" t="str">
        <f>'1. Information samples'!L138</f>
        <v>Fabales</v>
      </c>
      <c r="M138" s="62" t="str">
        <f>'1. Information samples'!M138</f>
        <v>Herbaceous</v>
      </c>
      <c r="N138" s="314" cm="1">
        <f t="array" ref="N138">_xlfn.STDEV.S(IF(('3.1. Gas prod VF'!$L$13:$L$1230=$F138) *('3.1. Gas prod VF'!$M$13:$M$1230=$E138),'3.1. Gas prod VF'!$AG$13:$AG$1230))</f>
        <v>2.3043208351498481</v>
      </c>
      <c r="O138" s="314" cm="1">
        <f t="array" ref="O138">_xlfn.STDEV.S(IF(('3.1. Gas prod VF'!$L$13:$L$1230=$F138) *('3.1. Gas prod VF'!$M$13:$M$1230=$E138),'3.1. Gas prod VF'!$AH$13:$AH$1230))</f>
        <v>6.3658622210921285</v>
      </c>
      <c r="P138" s="314" cm="1">
        <f t="array" ref="P138">_xlfn.STDEV.S(IF(('3.1. Gas prod VF'!$L$13:$L$1230=$F138) *('3.1. Gas prod VF'!$M$13:$M$1230=$E138),'3.1. Gas prod VF'!$AI$13:$AI$1230))</f>
        <v>7.7193164058063459</v>
      </c>
      <c r="Q138" s="314" cm="1">
        <f t="array" ref="Q138">_xlfn.STDEV.S(IF(('3.1. Gas prod VF'!$L$13:$L$1230=$F138) *('3.1. Gas prod VF'!$M$13:$M$1230=$E138),'3.1. Gas prod VF'!$AJ$13:$AJ$1230))</f>
        <v>0.38762636148587581</v>
      </c>
      <c r="R138" s="314" cm="1">
        <f t="array" ref="R138">_xlfn.STDEV.S(IF(('3.1. Gas prod VF'!$L$13:$L$1230=$F138) *('3.1. Gas prod VF'!$M$13:$M$1230=$E138),'3.1. Gas prod VF'!$AK$13:$AK$1230))</f>
        <v>1.3377419766964553</v>
      </c>
      <c r="S138" s="314" cm="1">
        <f t="array" ref="S138">_xlfn.STDEV.S(IF(('3.1. Gas prod VF'!$L$13:$L$1230=$F138) *('3.1. Gas prod VF'!$M$13:$M$1230=$E138),'3.1. Gas prod VF'!$AL$13:$AL$1230))</f>
        <v>1.4508477471253078</v>
      </c>
      <c r="T138" s="314" cm="1">
        <f t="array" ref="T138">_xlfn.STDEV.S(IF(('3.1. Gas prod VF'!$L$13:$L$1230=$F138) *('3.1. Gas prod VF'!$M$13:$M$1230=$E138),'3.1. Gas prod VF'!$AM$13:$AM$1230))</f>
        <v>16.379953687501761</v>
      </c>
      <c r="U138" s="314" cm="1">
        <f t="array" ref="U138">_xlfn.STDEV.S(IF(('3.1. Gas prod VF'!$L$13:$L$1230=$F138) *('3.1. Gas prod VF'!$M$13:$M$1230=$E138),'3.1. Gas prod VF'!$AN$13:$AN$1230))</f>
        <v>6.3307506539307541</v>
      </c>
      <c r="V138" s="314" cm="1">
        <f t="array" ref="V138">_xlfn.STDEV.S(IF(('3.1. Gas prod VF'!$L$13:$L$1230=$F138) *('3.1. Gas prod VF'!$M$13:$M$1230=$E138),'3.1. Gas prod VF'!$AO$13:$AO$1230))</f>
        <v>0.52844043578222955</v>
      </c>
      <c r="W138" s="314" cm="1">
        <f t="array" ref="W138">_xlfn.STDEV.S(IF(('3.1. Gas prod VF'!$L$13:$L$1230=$F138) *('3.1. Gas prod VF'!$M$13:$M$1230=$E138),'3.1. Gas prod VF'!$AP$13:$AP$1230))</f>
        <v>0.48795003647426649</v>
      </c>
      <c r="X138" s="314" cm="1">
        <f t="array" ref="X138">_xlfn.STDEV.S(IF(('3.1. Gas prod VF'!$L$13:$L$1230=$F138) *('3.1. Gas prod VF'!$M$13:$M$1230=$E138),'3.1. Gas prod VF'!$AQ$13:$AQ$1230))</f>
        <v>0.31338591819343975</v>
      </c>
      <c r="Y138" s="314" cm="1">
        <f t="array" ref="Y138">_xlfn.STDEV.S(IF(('3.1. Gas prod VF'!$L$13:$L$1230=$F138) *('3.1. Gas prod VF'!$M$13:$M$1230=$E138),'3.1. Gas prod VF'!$AR$13:$AR$1230))</f>
        <v>3.0778864946966822</v>
      </c>
      <c r="Z138" s="314" cm="1">
        <f t="array" ref="Z138">_xlfn.STDEV.S(IF(('3.1. Gas prod VF'!$L$13:$L$1230=$F138) *('3.1. Gas prod VF'!$M$13:$M$1230=$E138),'3.1. Gas prod VF'!$AS$13:$AS$1230))</f>
        <v>16.443445218952185</v>
      </c>
      <c r="AA138" s="314" cm="1">
        <f t="array" ref="AA138">_xlfn.STDEV.S(IF(('3.1. Gas prod VF'!$L$13:$L$1230=$F138) *('3.1. Gas prod VF'!$M$13:$M$1230=$E138),'3.1. Gas prod VF'!$AT$13:$AT$1230))</f>
        <v>6.1841099358625264</v>
      </c>
      <c r="AB138" s="314" cm="1">
        <f t="array" ref="AB138">_xlfn.STDEV.S(IF(('3.1. Gas prod VF'!$L$13:$L$1230=$F138) *('3.1. Gas prod VF'!$M$13:$M$1230=$E138),'3.1. Gas prod VF'!$AU$13:$AU$1230))</f>
        <v>1.7082802551880427</v>
      </c>
      <c r="AC138" s="314" cm="1">
        <f t="array" ref="AC138">_xlfn.STDEV.S(IF(('3.1. Gas prod VF'!$L$13:$L$1230=$F138) *('3.1. Gas prod VF'!$M$13:$M$1230=$E138),'3.1. Gas prod VF'!$AU$13:$AV$1230))</f>
        <v>13.686204522996832</v>
      </c>
      <c r="AD138" s="20"/>
      <c r="AE138" s="20"/>
    </row>
    <row r="139" spans="2:31" x14ac:dyDescent="0.35">
      <c r="B139" s="62">
        <f>'1. Information samples'!B139</f>
        <v>129</v>
      </c>
      <c r="C139" s="198">
        <f>'1. Information samples'!C139</f>
        <v>46062</v>
      </c>
      <c r="D139" s="62" t="str">
        <f>'1. Information samples'!D139</f>
        <v>Genbank</v>
      </c>
      <c r="E139" s="316">
        <f>'1. Information samples'!E139</f>
        <v>30</v>
      </c>
      <c r="F139" s="62" t="str">
        <f>'1. Information samples'!F139</f>
        <v>F260026</v>
      </c>
      <c r="G139" s="62" t="str">
        <f>'1. Information samples'!G139</f>
        <v>CIAT19641</v>
      </c>
      <c r="H139" s="62" t="str">
        <f>'1. Information samples'!H139</f>
        <v>Tephrosia</v>
      </c>
      <c r="I139" s="62" t="str">
        <f>'1. Information samples'!I139</f>
        <v>purpurea</v>
      </c>
      <c r="J139" s="62" t="str">
        <f>'1. Information samples'!J139</f>
        <v>Tephrosia purpurea</v>
      </c>
      <c r="K139" s="62" t="str">
        <f>'1. Information samples'!K139</f>
        <v>Fabaceae</v>
      </c>
      <c r="L139" s="62" t="str">
        <f>'1. Information samples'!L139</f>
        <v>Fabales</v>
      </c>
      <c r="M139" s="62" t="str">
        <f>'1. Information samples'!M139</f>
        <v>Herbaceous</v>
      </c>
      <c r="N139" s="314" cm="1">
        <f t="array" ref="N139">_xlfn.STDEV.S(IF(('3.1. Gas prod VF'!$L$13:$L$1230=$F139) *('3.1. Gas prod VF'!$M$13:$M$1230=$E139),'3.1. Gas prod VF'!$AG$13:$AG$1230))</f>
        <v>1.2765109808925501</v>
      </c>
      <c r="O139" s="314" cm="1">
        <f t="array" ref="O139">_xlfn.STDEV.S(IF(('3.1. Gas prod VF'!$L$13:$L$1230=$F139) *('3.1. Gas prod VF'!$M$13:$M$1230=$E139),'3.1. Gas prod VF'!$AH$13:$AH$1230))</f>
        <v>4.3671951319438111</v>
      </c>
      <c r="P139" s="314" cm="1">
        <f t="array" ref="P139">_xlfn.STDEV.S(IF(('3.1. Gas prod VF'!$L$13:$L$1230=$F139) *('3.1. Gas prod VF'!$M$13:$M$1230=$E139),'3.1. Gas prod VF'!$AI$13:$AI$1230))</f>
        <v>4.4553682043902922</v>
      </c>
      <c r="Q139" s="314" cm="1">
        <f t="array" ref="Q139">_xlfn.STDEV.S(IF(('3.1. Gas prod VF'!$L$13:$L$1230=$F139) *('3.1. Gas prod VF'!$M$13:$M$1230=$E139),'3.1. Gas prod VF'!$AJ$13:$AJ$1230))</f>
        <v>0.40561713291639045</v>
      </c>
      <c r="R139" s="314" cm="1">
        <f t="array" ref="R139">_xlfn.STDEV.S(IF(('3.1. Gas prod VF'!$L$13:$L$1230=$F139) *('3.1. Gas prod VF'!$M$13:$M$1230=$E139),'3.1. Gas prod VF'!$AK$13:$AK$1230))</f>
        <v>0.83614523139466379</v>
      </c>
      <c r="S139" s="314" cm="1">
        <f t="array" ref="S139">_xlfn.STDEV.S(IF(('3.1. Gas prod VF'!$L$13:$L$1230=$F139) *('3.1. Gas prod VF'!$M$13:$M$1230=$E139),'3.1. Gas prod VF'!$AL$13:$AL$1230))</f>
        <v>0.89249843226722581</v>
      </c>
      <c r="T139" s="314" cm="1">
        <f t="array" ref="T139">_xlfn.STDEV.S(IF(('3.1. Gas prod VF'!$L$13:$L$1230=$F139) *('3.1. Gas prod VF'!$M$13:$M$1230=$E139),'3.1. Gas prod VF'!$AM$13:$AM$1230))</f>
        <v>9.2769220230133094</v>
      </c>
      <c r="U139" s="314" cm="1">
        <f t="array" ref="U139">_xlfn.STDEV.S(IF(('3.1. Gas prod VF'!$L$13:$L$1230=$F139) *('3.1. Gas prod VF'!$M$13:$M$1230=$E139),'3.1. Gas prod VF'!$AN$13:$AN$1230))</f>
        <v>8.0737600283902609</v>
      </c>
      <c r="V139" s="314" cm="1">
        <f t="array" ref="V139">_xlfn.STDEV.S(IF(('3.1. Gas prod VF'!$L$13:$L$1230=$F139) *('3.1. Gas prod VF'!$M$13:$M$1230=$E139),'3.1. Gas prod VF'!$AO$13:$AO$1230))</f>
        <v>0.61695071378699839</v>
      </c>
      <c r="W139" s="314" cm="1">
        <f t="array" ref="W139">_xlfn.STDEV.S(IF(('3.1. Gas prod VF'!$L$13:$L$1230=$F139) *('3.1. Gas prod VF'!$M$13:$M$1230=$E139),'3.1. Gas prod VF'!$AP$13:$AP$1230))</f>
        <v>0.81998838551588815</v>
      </c>
      <c r="X139" s="314" cm="1">
        <f t="array" ref="X139">_xlfn.STDEV.S(IF(('3.1. Gas prod VF'!$L$13:$L$1230=$F139) *('3.1. Gas prod VF'!$M$13:$M$1230=$E139),'3.1. Gas prod VF'!$AQ$13:$AQ$1230))</f>
        <v>0.48447775194703774</v>
      </c>
      <c r="Y139" s="314" cm="1">
        <f t="array" ref="Y139">_xlfn.STDEV.S(IF(('3.1. Gas prod VF'!$L$13:$L$1230=$F139) *('3.1. Gas prod VF'!$M$13:$M$1230=$E139),'3.1. Gas prod VF'!$AR$13:$AR$1230))</f>
        <v>1.8589651458269143</v>
      </c>
      <c r="Z139" s="314" cm="1">
        <f t="array" ref="Z139">_xlfn.STDEV.S(IF(('3.1. Gas prod VF'!$L$13:$L$1230=$F139) *('3.1. Gas prod VF'!$M$13:$M$1230=$E139),'3.1. Gas prod VF'!$AS$13:$AS$1230))</f>
        <v>22.333272475383424</v>
      </c>
      <c r="AA139" s="314" cm="1">
        <f t="array" ref="AA139">_xlfn.STDEV.S(IF(('3.1. Gas prod VF'!$L$13:$L$1230=$F139) *('3.1. Gas prod VF'!$M$13:$M$1230=$E139),'3.1. Gas prod VF'!$AT$13:$AT$1230))</f>
        <v>3.0814514427836355</v>
      </c>
      <c r="AB139" s="314" cm="1">
        <f t="array" ref="AB139">_xlfn.STDEV.S(IF(('3.1. Gas prod VF'!$L$13:$L$1230=$F139) *('3.1. Gas prod VF'!$M$13:$M$1230=$E139),'3.1. Gas prod VF'!$AU$13:$AU$1230))</f>
        <v>1.0317578179606819</v>
      </c>
      <c r="AC139" s="314" cm="1">
        <f t="array" ref="AC139">_xlfn.STDEV.S(IF(('3.1. Gas prod VF'!$L$13:$L$1230=$F139) *('3.1. Gas prod VF'!$M$13:$M$1230=$E139),'3.1. Gas prod VF'!$AU$13:$AV$1230))</f>
        <v>15.944097257755789</v>
      </c>
      <c r="AD139" s="20"/>
      <c r="AE139" s="20"/>
    </row>
    <row r="140" spans="2:31" x14ac:dyDescent="0.35">
      <c r="B140" s="62">
        <f>'1. Information samples'!B140</f>
        <v>130</v>
      </c>
      <c r="C140" s="198">
        <f>'1. Information samples'!C140</f>
        <v>46062</v>
      </c>
      <c r="D140" s="62" t="str">
        <f>'1. Information samples'!D140</f>
        <v>Genbank</v>
      </c>
      <c r="E140" s="316">
        <f>'1. Information samples'!E140</f>
        <v>30</v>
      </c>
      <c r="F140" s="62" t="str">
        <f>'1. Information samples'!F140</f>
        <v>F260027</v>
      </c>
      <c r="G140" s="62" t="str">
        <f>'1. Information samples'!G140</f>
        <v>CIAT23503</v>
      </c>
      <c r="H140" s="62" t="str">
        <f>'1. Information samples'!H140</f>
        <v>Desmodium</v>
      </c>
      <c r="I140" s="62" t="str">
        <f>'1. Information samples'!I140</f>
        <v>macrodesmum</v>
      </c>
      <c r="J140" s="62" t="str">
        <f>'1. Information samples'!J140</f>
        <v>Desmodium macrodesmum</v>
      </c>
      <c r="K140" s="62" t="str">
        <f>'1. Information samples'!K140</f>
        <v>Fabaceae</v>
      </c>
      <c r="L140" s="62" t="str">
        <f>'1. Information samples'!L140</f>
        <v>Fabales</v>
      </c>
      <c r="M140" s="62" t="str">
        <f>'1. Information samples'!M140</f>
        <v>Herbaceous</v>
      </c>
      <c r="N140" s="314" cm="1">
        <f t="array" ref="N140">_xlfn.STDEV.S(IF(('3.1. Gas prod VF'!$L$13:$L$1230=$F140) *('3.1. Gas prod VF'!$M$13:$M$1230=$E140),'3.1. Gas prod VF'!$AG$13:$AG$1230))</f>
        <v>0.94110447021691801</v>
      </c>
      <c r="O140" s="314" cm="1">
        <f t="array" ref="O140">_xlfn.STDEV.S(IF(('3.1. Gas prod VF'!$L$13:$L$1230=$F140) *('3.1. Gas prod VF'!$M$13:$M$1230=$E140),'3.1. Gas prod VF'!$AH$13:$AH$1230))</f>
        <v>3.4166108192792102</v>
      </c>
      <c r="P140" s="314" cm="1">
        <f t="array" ref="P140">_xlfn.STDEV.S(IF(('3.1. Gas prod VF'!$L$13:$L$1230=$F140) *('3.1. Gas prod VF'!$M$13:$M$1230=$E140),'3.1. Gas prod VF'!$AI$13:$AI$1230))</f>
        <v>3.1437606029650498</v>
      </c>
      <c r="Q140" s="314" cm="1">
        <f t="array" ref="Q140">_xlfn.STDEV.S(IF(('3.1. Gas prod VF'!$L$13:$L$1230=$F140) *('3.1. Gas prod VF'!$M$13:$M$1230=$E140),'3.1. Gas prod VF'!$AJ$13:$AJ$1230))</f>
        <v>0.1523852224995958</v>
      </c>
      <c r="R140" s="314" cm="1">
        <f t="array" ref="R140">_xlfn.STDEV.S(IF(('3.1. Gas prod VF'!$L$13:$L$1230=$F140) *('3.1. Gas prod VF'!$M$13:$M$1230=$E140),'3.1. Gas prod VF'!$AK$13:$AK$1230))</f>
        <v>0.51382237780915307</v>
      </c>
      <c r="S140" s="314" cm="1">
        <f t="array" ref="S140">_xlfn.STDEV.S(IF(('3.1. Gas prod VF'!$L$13:$L$1230=$F140) *('3.1. Gas prod VF'!$M$13:$M$1230=$E140),'3.1. Gas prod VF'!$AL$13:$AL$1230))</f>
        <v>0.49569985392542165</v>
      </c>
      <c r="T140" s="314" cm="1">
        <f t="array" ref="T140">_xlfn.STDEV.S(IF(('3.1. Gas prod VF'!$L$13:$L$1230=$F140) *('3.1. Gas prod VF'!$M$13:$M$1230=$E140),'3.1. Gas prod VF'!$AM$13:$AM$1230))</f>
        <v>6.7178624795844621</v>
      </c>
      <c r="U140" s="314" cm="1">
        <f t="array" ref="U140">_xlfn.STDEV.S(IF(('3.1. Gas prod VF'!$L$13:$L$1230=$F140) *('3.1. Gas prod VF'!$M$13:$M$1230=$E140),'3.1. Gas prod VF'!$AN$13:$AN$1230))</f>
        <v>7.8991643781957466</v>
      </c>
      <c r="V140" s="314" cm="1">
        <f t="array" ref="V140">_xlfn.STDEV.S(IF(('3.1. Gas prod VF'!$L$13:$L$1230=$F140) *('3.1. Gas prod VF'!$M$13:$M$1230=$E140),'3.1. Gas prod VF'!$AO$13:$AO$1230))</f>
        <v>0.6333006744737123</v>
      </c>
      <c r="W140" s="314" cm="1">
        <f t="array" ref="W140">_xlfn.STDEV.S(IF(('3.1. Gas prod VF'!$L$13:$L$1230=$F140) *('3.1. Gas prod VF'!$M$13:$M$1230=$E140),'3.1. Gas prod VF'!$AP$13:$AP$1230))</f>
        <v>0.40355562548073037</v>
      </c>
      <c r="X140" s="314" cm="1">
        <f t="array" ref="X140">_xlfn.STDEV.S(IF(('3.1. Gas prod VF'!$L$13:$L$1230=$F140) *('3.1. Gas prod VF'!$M$13:$M$1230=$E140),'3.1. Gas prod VF'!$AQ$13:$AQ$1230))</f>
        <v>0.28191764642925005</v>
      </c>
      <c r="Y140" s="314" cm="1">
        <f t="array" ref="Y140">_xlfn.STDEV.S(IF(('3.1. Gas prod VF'!$L$13:$L$1230=$F140) *('3.1. Gas prod VF'!$M$13:$M$1230=$E140),'3.1. Gas prod VF'!$AR$13:$AR$1230))</f>
        <v>1.0603327465864818</v>
      </c>
      <c r="Z140" s="314" cm="1">
        <f t="array" ref="Z140">_xlfn.STDEV.S(IF(('3.1. Gas prod VF'!$L$13:$L$1230=$F140) *('3.1. Gas prod VF'!$M$13:$M$1230=$E140),'3.1. Gas prod VF'!$AS$13:$AS$1230))</f>
        <v>18.918673463278953</v>
      </c>
      <c r="AA140" s="314" cm="1">
        <f t="array" ref="AA140">_xlfn.STDEV.S(IF(('3.1. Gas prod VF'!$L$13:$L$1230=$F140) *('3.1. Gas prod VF'!$M$13:$M$1230=$E140),'3.1. Gas prod VF'!$AT$13:$AT$1230))</f>
        <v>0.45498257412849546</v>
      </c>
      <c r="AB140" s="314" cm="1">
        <f t="array" ref="AB140">_xlfn.STDEV.S(IF(('3.1. Gas prod VF'!$L$13:$L$1230=$F140) *('3.1. Gas prod VF'!$M$13:$M$1230=$E140),'3.1. Gas prod VF'!$AU$13:$AU$1230))</f>
        <v>0.58850301921270531</v>
      </c>
      <c r="AC140" s="314" cm="1">
        <f t="array" ref="AC140">_xlfn.STDEV.S(IF(('3.1. Gas prod VF'!$L$13:$L$1230=$F140) *('3.1. Gas prod VF'!$M$13:$M$1230=$E140),'3.1. Gas prod VF'!$AU$13:$AV$1230))</f>
        <v>14.630739744754477</v>
      </c>
      <c r="AD140" s="20"/>
      <c r="AE140" s="20"/>
    </row>
    <row r="141" spans="2:31" x14ac:dyDescent="0.35">
      <c r="B141" s="62">
        <f>'1. Information samples'!B141</f>
        <v>131</v>
      </c>
      <c r="C141" s="198">
        <f>'1. Information samples'!C141</f>
        <v>46062</v>
      </c>
      <c r="D141" s="62" t="str">
        <f>'1. Information samples'!D141</f>
        <v>Genbank</v>
      </c>
      <c r="E141" s="316">
        <f>'1. Information samples'!E141</f>
        <v>30</v>
      </c>
      <c r="F141" s="62" t="str">
        <f>'1. Information samples'!F141</f>
        <v>F260028</v>
      </c>
      <c r="G141" s="62" t="str">
        <f>'1. Information samples'!G141</f>
        <v>CIAT24333</v>
      </c>
      <c r="H141" s="62" t="str">
        <f>'1. Information samples'!H141</f>
        <v>Macroptilium</v>
      </c>
      <c r="I141" s="62" t="str">
        <f>'1. Information samples'!I141</f>
        <v>bracteatum</v>
      </c>
      <c r="J141" s="62" t="str">
        <f>'1. Information samples'!J141</f>
        <v>Macroptilium bracteatum</v>
      </c>
      <c r="K141" s="62" t="str">
        <f>'1. Information samples'!K141</f>
        <v>Fabaceae</v>
      </c>
      <c r="L141" s="62" t="str">
        <f>'1. Information samples'!L141</f>
        <v>Fabales</v>
      </c>
      <c r="M141" s="62" t="str">
        <f>'1. Information samples'!M141</f>
        <v>Herbaceous</v>
      </c>
      <c r="N141" s="314" cm="1">
        <f t="array" ref="N141">_xlfn.STDEV.S(IF(('3.1. Gas prod VF'!$L$13:$L$1230=$F141) *('3.1. Gas prod VF'!$M$13:$M$1230=$E141),'3.1. Gas prod VF'!$AG$13:$AG$1230))</f>
        <v>2.3441820827387305</v>
      </c>
      <c r="O141" s="314" cm="1">
        <f t="array" ref="O141">_xlfn.STDEV.S(IF(('3.1. Gas prod VF'!$L$13:$L$1230=$F141) *('3.1. Gas prod VF'!$M$13:$M$1230=$E141),'3.1. Gas prod VF'!$AH$13:$AH$1230))</f>
        <v>3.3975430455280624</v>
      </c>
      <c r="P141" s="314" cm="1">
        <f t="array" ref="P141">_xlfn.STDEV.S(IF(('3.1. Gas prod VF'!$L$13:$L$1230=$F141) *('3.1. Gas prod VF'!$M$13:$M$1230=$E141),'3.1. Gas prod VF'!$AI$13:$AI$1230))</f>
        <v>4.6428704359580957</v>
      </c>
      <c r="Q141" s="314" cm="1">
        <f t="array" ref="Q141">_xlfn.STDEV.S(IF(('3.1. Gas prod VF'!$L$13:$L$1230=$F141) *('3.1. Gas prod VF'!$M$13:$M$1230=$E141),'3.1. Gas prod VF'!$AJ$13:$AJ$1230))</f>
        <v>0.39251705194320091</v>
      </c>
      <c r="R141" s="314" cm="1">
        <f t="array" ref="R141">_xlfn.STDEV.S(IF(('3.1. Gas prod VF'!$L$13:$L$1230=$F141) *('3.1. Gas prod VF'!$M$13:$M$1230=$E141),'3.1. Gas prod VF'!$AK$13:$AK$1230))</f>
        <v>0.58016510534518362</v>
      </c>
      <c r="S141" s="314" cm="1">
        <f t="array" ref="S141">_xlfn.STDEV.S(IF(('3.1. Gas prod VF'!$L$13:$L$1230=$F141) *('3.1. Gas prod VF'!$M$13:$M$1230=$E141),'3.1. Gas prod VF'!$AL$13:$AL$1230))</f>
        <v>0.68388115720094611</v>
      </c>
      <c r="T141" s="314" cm="1">
        <f t="array" ref="T141">_xlfn.STDEV.S(IF(('3.1. Gas prod VF'!$L$13:$L$1230=$F141) *('3.1. Gas prod VF'!$M$13:$M$1230=$E141),'3.1. Gas prod VF'!$AM$13:$AM$1230))</f>
        <v>9.8211172906022171</v>
      </c>
      <c r="U141" s="314" cm="1">
        <f t="array" ref="U141">_xlfn.STDEV.S(IF(('3.1. Gas prod VF'!$L$13:$L$1230=$F141) *('3.1. Gas prod VF'!$M$13:$M$1230=$E141),'3.1. Gas prod VF'!$AN$13:$AN$1230))</f>
        <v>9.2342971993959075</v>
      </c>
      <c r="V141" s="314" cm="1">
        <f t="array" ref="V141">_xlfn.STDEV.S(IF(('3.1. Gas prod VF'!$L$13:$L$1230=$F141) *('3.1. Gas prod VF'!$M$13:$M$1230=$E141),'3.1. Gas prod VF'!$AO$13:$AO$1230))</f>
        <v>0.48343551817816965</v>
      </c>
      <c r="W141" s="314" cm="1">
        <f t="array" ref="W141">_xlfn.STDEV.S(IF(('3.1. Gas prod VF'!$L$13:$L$1230=$F141) *('3.1. Gas prod VF'!$M$13:$M$1230=$E141),'3.1. Gas prod VF'!$AP$13:$AP$1230))</f>
        <v>0.41173269183270983</v>
      </c>
      <c r="X141" s="314" cm="1">
        <f t="array" ref="X141">_xlfn.STDEV.S(IF(('3.1. Gas prod VF'!$L$13:$L$1230=$F141) *('3.1. Gas prod VF'!$M$13:$M$1230=$E141),'3.1. Gas prod VF'!$AQ$13:$AQ$1230))</f>
        <v>0.17610703314609169</v>
      </c>
      <c r="Y141" s="314" cm="1">
        <f t="array" ref="Y141">_xlfn.STDEV.S(IF(('3.1. Gas prod VF'!$L$13:$L$1230=$F141) *('3.1. Gas prod VF'!$M$13:$M$1230=$E141),'3.1. Gas prod VF'!$AR$13:$AR$1230))</f>
        <v>1.4471042540517582</v>
      </c>
      <c r="Z141" s="314" cm="1">
        <f t="array" ref="Z141">_xlfn.STDEV.S(IF(('3.1. Gas prod VF'!$L$13:$L$1230=$F141) *('3.1. Gas prod VF'!$M$13:$M$1230=$E141),'3.1. Gas prod VF'!$AS$13:$AS$1230))</f>
        <v>28.61116799837972</v>
      </c>
      <c r="AA141" s="314" cm="1">
        <f t="array" ref="AA141">_xlfn.STDEV.S(IF(('3.1. Gas prod VF'!$L$13:$L$1230=$F141) *('3.1. Gas prod VF'!$M$13:$M$1230=$E141),'3.1. Gas prod VF'!$AT$13:$AT$1230))</f>
        <v>1.5011016058032518</v>
      </c>
      <c r="AB141" s="314" cm="1">
        <f t="array" ref="AB141">_xlfn.STDEV.S(IF(('3.1. Gas prod VF'!$L$13:$L$1230=$F141) *('3.1. Gas prod VF'!$M$13:$M$1230=$E141),'3.1. Gas prod VF'!$AU$13:$AU$1230))</f>
        <v>0.80316789740450645</v>
      </c>
      <c r="AC141" s="314" cm="1">
        <f t="array" ref="AC141">_xlfn.STDEV.S(IF(('3.1. Gas prod VF'!$L$13:$L$1230=$F141) *('3.1. Gas prod VF'!$M$13:$M$1230=$E141),'3.1. Gas prod VF'!$AU$13:$AV$1230))</f>
        <v>19.569420364990894</v>
      </c>
      <c r="AD141" s="20"/>
      <c r="AE141" s="20"/>
    </row>
    <row r="142" spans="2:31" x14ac:dyDescent="0.35">
      <c r="B142" s="62">
        <f>'1. Information samples'!B142</f>
        <v>132</v>
      </c>
      <c r="C142" s="198">
        <f>'1. Information samples'!C142</f>
        <v>46062</v>
      </c>
      <c r="D142" s="62" t="str">
        <f>'1. Information samples'!D142</f>
        <v>Genbank</v>
      </c>
      <c r="E142" s="316">
        <f>'1. Information samples'!E142</f>
        <v>30</v>
      </c>
      <c r="F142" s="62" t="str">
        <f>'1. Information samples'!F142</f>
        <v>F260029</v>
      </c>
      <c r="G142" s="62" t="str">
        <f>'1. Information samples'!G142</f>
        <v>CIAT33235</v>
      </c>
      <c r="H142" s="62" t="str">
        <f>'1. Information samples'!H142</f>
        <v>Desmodium</v>
      </c>
      <c r="I142" s="62" t="str">
        <f>'1. Information samples'!I142</f>
        <v>scorpiurus</v>
      </c>
      <c r="J142" s="62" t="str">
        <f>'1. Information samples'!J142</f>
        <v>Desmodium scorpiurus</v>
      </c>
      <c r="K142" s="62" t="str">
        <f>'1. Information samples'!K142</f>
        <v>Fabaceae</v>
      </c>
      <c r="L142" s="62" t="str">
        <f>'1. Information samples'!L142</f>
        <v>Fabales</v>
      </c>
      <c r="M142" s="62" t="str">
        <f>'1. Information samples'!M142</f>
        <v>Herbaceous</v>
      </c>
      <c r="N142" s="314" cm="1">
        <f t="array" ref="N142">_xlfn.STDEV.S(IF(('3.1. Gas prod VF'!$L$13:$L$1230=$F142) *('3.1. Gas prod VF'!$M$13:$M$1230=$E142),'3.1. Gas prod VF'!$AG$13:$AG$1230))</f>
        <v>2.2150481537313249</v>
      </c>
      <c r="O142" s="314" cm="1">
        <f t="array" ref="O142">_xlfn.STDEV.S(IF(('3.1. Gas prod VF'!$L$13:$L$1230=$F142) *('3.1. Gas prod VF'!$M$13:$M$1230=$E142),'3.1. Gas prod VF'!$AH$13:$AH$1230))</f>
        <v>6.7397425758242582</v>
      </c>
      <c r="P142" s="314" cm="1">
        <f t="array" ref="P142">_xlfn.STDEV.S(IF(('3.1. Gas prod VF'!$L$13:$L$1230=$F142) *('3.1. Gas prod VF'!$M$13:$M$1230=$E142),'3.1. Gas prod VF'!$AI$13:$AI$1230))</f>
        <v>7.6624062812401252</v>
      </c>
      <c r="Q142" s="314" cm="1">
        <f t="array" ref="Q142">_xlfn.STDEV.S(IF(('3.1. Gas prod VF'!$L$13:$L$1230=$F142) *('3.1. Gas prod VF'!$M$13:$M$1230=$E142),'3.1. Gas prod VF'!$AJ$13:$AJ$1230))</f>
        <v>0.39912504567788987</v>
      </c>
      <c r="R142" s="314" cm="1">
        <f t="array" ref="R142">_xlfn.STDEV.S(IF(('3.1. Gas prod VF'!$L$13:$L$1230=$F142) *('3.1. Gas prod VF'!$M$13:$M$1230=$E142),'3.1. Gas prod VF'!$AK$13:$AK$1230))</f>
        <v>1.0533227069799675</v>
      </c>
      <c r="S142" s="314" cm="1">
        <f t="array" ref="S142">_xlfn.STDEV.S(IF(('3.1. Gas prod VF'!$L$13:$L$1230=$F142) *('3.1. Gas prod VF'!$M$13:$M$1230=$E142),'3.1. Gas prod VF'!$AL$13:$AL$1230))</f>
        <v>1.1142479749043623</v>
      </c>
      <c r="T142" s="314" cm="1">
        <f t="array" ref="T142">_xlfn.STDEV.S(IF(('3.1. Gas prod VF'!$L$13:$L$1230=$F142) *('3.1. Gas prod VF'!$M$13:$M$1230=$E142),'3.1. Gas prod VF'!$AM$13:$AM$1230))</f>
        <v>16.429870079511986</v>
      </c>
      <c r="U142" s="314" cm="1">
        <f t="array" ref="U142">_xlfn.STDEV.S(IF(('3.1. Gas prod VF'!$L$13:$L$1230=$F142) *('3.1. Gas prod VF'!$M$13:$M$1230=$E142),'3.1. Gas prod VF'!$AN$13:$AN$1230))</f>
        <v>6.6438687448345535</v>
      </c>
      <c r="V142" s="314" cm="1">
        <f t="array" ref="V142">_xlfn.STDEV.S(IF(('3.1. Gas prod VF'!$L$13:$L$1230=$F142) *('3.1. Gas prod VF'!$M$13:$M$1230=$E142),'3.1. Gas prod VF'!$AO$13:$AO$1230))</f>
        <v>0.59861351767737347</v>
      </c>
      <c r="W142" s="314" cm="1">
        <f t="array" ref="W142">_xlfn.STDEV.S(IF(('3.1. Gas prod VF'!$L$13:$L$1230=$F142) *('3.1. Gas prod VF'!$M$13:$M$1230=$E142),'3.1. Gas prod VF'!$AP$13:$AP$1230))</f>
        <v>0.57858612562167855</v>
      </c>
      <c r="X142" s="314" cm="1">
        <f t="array" ref="X142">_xlfn.STDEV.S(IF(('3.1. Gas prod VF'!$L$13:$L$1230=$F142) *('3.1. Gas prod VF'!$M$13:$M$1230=$E142),'3.1. Gas prod VF'!$AQ$13:$AQ$1230))</f>
        <v>0.33859554859364865</v>
      </c>
      <c r="Y142" s="314" cm="1">
        <f t="array" ref="Y142">_xlfn.STDEV.S(IF(('3.1. Gas prod VF'!$L$13:$L$1230=$F142) *('3.1. Gas prod VF'!$M$13:$M$1230=$E142),'3.1. Gas prod VF'!$AR$13:$AR$1230))</f>
        <v>2.3891502003584653</v>
      </c>
      <c r="Z142" s="314" cm="1">
        <f t="array" ref="Z142">_xlfn.STDEV.S(IF(('3.1. Gas prod VF'!$L$13:$L$1230=$F142) *('3.1. Gas prod VF'!$M$13:$M$1230=$E142),'3.1. Gas prod VF'!$AS$13:$AS$1230))</f>
        <v>10.479641772632128</v>
      </c>
      <c r="AA142" s="314" cm="1">
        <f t="array" ref="AA142">_xlfn.STDEV.S(IF(('3.1. Gas prod VF'!$L$13:$L$1230=$F142) *('3.1. Gas prod VF'!$M$13:$M$1230=$E142),'3.1. Gas prod VF'!$AT$13:$AT$1230))</f>
        <v>3.2467797396664628</v>
      </c>
      <c r="AB142" s="314" cm="1">
        <f t="array" ref="AB142">_xlfn.STDEV.S(IF(('3.1. Gas prod VF'!$L$13:$L$1230=$F142) *('3.1. Gas prod VF'!$M$13:$M$1230=$E142),'3.1. Gas prod VF'!$AU$13:$AU$1230))</f>
        <v>1.3260196959774979</v>
      </c>
      <c r="AC142" s="314" cm="1">
        <f t="array" ref="AC142">_xlfn.STDEV.S(IF(('3.1. Gas prod VF'!$L$13:$L$1230=$F142) *('3.1. Gas prod VF'!$M$13:$M$1230=$E142),'3.1. Gas prod VF'!$AU$13:$AV$1230))</f>
        <v>11.976772025741582</v>
      </c>
      <c r="AD142" s="20"/>
      <c r="AE142" s="20"/>
    </row>
    <row r="143" spans="2:31" x14ac:dyDescent="0.35">
      <c r="B143" s="62">
        <f>'1. Information samples'!B143</f>
        <v>133</v>
      </c>
      <c r="C143" s="198">
        <f>'1. Information samples'!C143</f>
        <v>46062</v>
      </c>
      <c r="D143" s="62" t="str">
        <f>'1. Information samples'!D143</f>
        <v>Genbank</v>
      </c>
      <c r="E143" s="316">
        <f>'1. Information samples'!E143</f>
        <v>30</v>
      </c>
      <c r="F143" s="62" t="str">
        <f>'1. Information samples'!F143</f>
        <v>F260030</v>
      </c>
      <c r="G143" s="62" t="str">
        <f>'1. Information samples'!G143</f>
        <v>CIAT33605</v>
      </c>
      <c r="H143" s="62" t="str">
        <f>'1. Information samples'!H143</f>
        <v>Desmodium</v>
      </c>
      <c r="I143" s="62" t="str">
        <f>'1. Information samples'!I143</f>
        <v>sandwicense x intortum</v>
      </c>
      <c r="J143" s="62" t="str">
        <f>'1. Information samples'!J143</f>
        <v>Desmodium sandwicense x intortum</v>
      </c>
      <c r="K143" s="62" t="str">
        <f>'1. Information samples'!K143</f>
        <v>Fabaceae</v>
      </c>
      <c r="L143" s="62" t="str">
        <f>'1. Information samples'!L143</f>
        <v>Fabales</v>
      </c>
      <c r="M143" s="62" t="str">
        <f>'1. Information samples'!M143</f>
        <v>Herbaceous</v>
      </c>
      <c r="N143" s="314" cm="1">
        <f t="array" ref="N143">_xlfn.STDEV.S(IF(('3.1. Gas prod VF'!$L$13:$L$1230=$F143) *('3.1. Gas prod VF'!$M$13:$M$1230=$E143),'3.1. Gas prod VF'!$AG$13:$AG$1230))</f>
        <v>0.95398224179913294</v>
      </c>
      <c r="O143" s="314" cm="1">
        <f t="array" ref="O143">_xlfn.STDEV.S(IF(('3.1. Gas prod VF'!$L$13:$L$1230=$F143) *('3.1. Gas prod VF'!$M$13:$M$1230=$E143),'3.1. Gas prod VF'!$AH$13:$AH$1230))</f>
        <v>1.7864511469657649</v>
      </c>
      <c r="P143" s="314" cm="1">
        <f t="array" ref="P143">_xlfn.STDEV.S(IF(('3.1. Gas prod VF'!$L$13:$L$1230=$F143) *('3.1. Gas prod VF'!$M$13:$M$1230=$E143),'3.1. Gas prod VF'!$AI$13:$AI$1230))</f>
        <v>2.5321864693925775</v>
      </c>
      <c r="Q143" s="314" cm="1">
        <f t="array" ref="Q143">_xlfn.STDEV.S(IF(('3.1. Gas prod VF'!$L$13:$L$1230=$F143) *('3.1. Gas prod VF'!$M$13:$M$1230=$E143),'3.1. Gas prod VF'!$AJ$13:$AJ$1230))</f>
        <v>0.207502830355458</v>
      </c>
      <c r="R143" s="314" cm="1">
        <f t="array" ref="R143">_xlfn.STDEV.S(IF(('3.1. Gas prod VF'!$L$13:$L$1230=$F143) *('3.1. Gas prod VF'!$M$13:$M$1230=$E143),'3.1. Gas prod VF'!$AK$13:$AK$1230))</f>
        <v>0.24859982658318278</v>
      </c>
      <c r="S143" s="314" cm="1">
        <f t="array" ref="S143">_xlfn.STDEV.S(IF(('3.1. Gas prod VF'!$L$13:$L$1230=$F143) *('3.1. Gas prod VF'!$M$13:$M$1230=$E143),'3.1. Gas prod VF'!$AL$13:$AL$1230))</f>
        <v>0.3415829683191422</v>
      </c>
      <c r="T143" s="314" cm="1">
        <f t="array" ref="T143">_xlfn.STDEV.S(IF(('3.1. Gas prod VF'!$L$13:$L$1230=$F143) *('3.1. Gas prod VF'!$M$13:$M$1230=$E143),'3.1. Gas prod VF'!$AM$13:$AM$1230))</f>
        <v>5.2905892516681723</v>
      </c>
      <c r="U143" s="314" cm="1">
        <f t="array" ref="U143">_xlfn.STDEV.S(IF(('3.1. Gas prod VF'!$L$13:$L$1230=$F143) *('3.1. Gas prod VF'!$M$13:$M$1230=$E143),'3.1. Gas prod VF'!$AN$13:$AN$1230))</f>
        <v>4.5302999312105472</v>
      </c>
      <c r="V143" s="314" cm="1">
        <f t="array" ref="V143">_xlfn.STDEV.S(IF(('3.1. Gas prod VF'!$L$13:$L$1230=$F143) *('3.1. Gas prod VF'!$M$13:$M$1230=$E143),'3.1. Gas prod VF'!$AO$13:$AO$1230))</f>
        <v>0.39819027853132499</v>
      </c>
      <c r="W143" s="314" cm="1">
        <f t="array" ref="W143">_xlfn.STDEV.S(IF(('3.1. Gas prod VF'!$L$13:$L$1230=$F143) *('3.1. Gas prod VF'!$M$13:$M$1230=$E143),'3.1. Gas prod VF'!$AP$13:$AP$1230))</f>
        <v>0.68660656232559381</v>
      </c>
      <c r="X143" s="314" cm="1">
        <f t="array" ref="X143">_xlfn.STDEV.S(IF(('3.1. Gas prod VF'!$L$13:$L$1230=$F143) *('3.1. Gas prod VF'!$M$13:$M$1230=$E143),'3.1. Gas prod VF'!$AQ$13:$AQ$1230))</f>
        <v>0.38836691946744273</v>
      </c>
      <c r="Y143" s="314" cm="1">
        <f t="array" ref="Y143">_xlfn.STDEV.S(IF(('3.1. Gas prod VF'!$L$13:$L$1230=$F143) *('3.1. Gas prod VF'!$M$13:$M$1230=$E143),'3.1. Gas prod VF'!$AR$13:$AR$1230))</f>
        <v>0.71189685390086732</v>
      </c>
      <c r="Z143" s="314" cm="1">
        <f t="array" ref="Z143">_xlfn.STDEV.S(IF(('3.1. Gas prod VF'!$L$13:$L$1230=$F143) *('3.1. Gas prod VF'!$M$13:$M$1230=$E143),'3.1. Gas prod VF'!$AS$13:$AS$1230))</f>
        <v>10.508537294795863</v>
      </c>
      <c r="AA143" s="314" cm="1">
        <f t="array" ref="AA143">_xlfn.STDEV.S(IF(('3.1. Gas prod VF'!$L$13:$L$1230=$F143) *('3.1. Gas prod VF'!$M$13:$M$1230=$E143),'3.1. Gas prod VF'!$AT$13:$AT$1230))</f>
        <v>0.87636936793308251</v>
      </c>
      <c r="AB143" s="314" cm="1">
        <f t="array" ref="AB143">_xlfn.STDEV.S(IF(('3.1. Gas prod VF'!$L$13:$L$1230=$F143) *('3.1. Gas prod VF'!$M$13:$M$1230=$E143),'3.1. Gas prod VF'!$AU$13:$AU$1230))</f>
        <v>0.39511507046954764</v>
      </c>
      <c r="AC143" s="314" cm="1">
        <f t="array" ref="AC143">_xlfn.STDEV.S(IF(('3.1. Gas prod VF'!$L$13:$L$1230=$F143) *('3.1. Gas prod VF'!$M$13:$M$1230=$E143),'3.1. Gas prod VF'!$AU$13:$AV$1230))</f>
        <v>12.732090528416178</v>
      </c>
      <c r="AD143" s="20"/>
      <c r="AE143" s="20"/>
    </row>
    <row r="144" spans="2:31" x14ac:dyDescent="0.35">
      <c r="B144" s="62">
        <f>'1. Information samples'!B144</f>
        <v>134</v>
      </c>
      <c r="C144" s="198">
        <f>'1. Information samples'!C144</f>
        <v>46062</v>
      </c>
      <c r="D144" s="62" t="str">
        <f>'1. Information samples'!D144</f>
        <v>Genbank</v>
      </c>
      <c r="E144" s="316">
        <f>'1. Information samples'!E144</f>
        <v>30</v>
      </c>
      <c r="F144" s="62" t="str">
        <f>'1. Information samples'!F144</f>
        <v>F260031</v>
      </c>
      <c r="G144" s="62" t="str">
        <f>'1. Information samples'!G144</f>
        <v>CIAT34144</v>
      </c>
      <c r="H144" s="62" t="str">
        <f>'1. Information samples'!H144</f>
        <v>Vigna</v>
      </c>
      <c r="I144" s="62" t="str">
        <f>'1. Information samples'!I144</f>
        <v>radiata</v>
      </c>
      <c r="J144" s="62" t="str">
        <f>'1. Information samples'!J144</f>
        <v>Vigna radiata</v>
      </c>
      <c r="K144" s="62" t="str">
        <f>'1. Information samples'!K144</f>
        <v>Fabaceae</v>
      </c>
      <c r="L144" s="62" t="str">
        <f>'1. Information samples'!L144</f>
        <v>Fabales</v>
      </c>
      <c r="M144" s="62" t="str">
        <f>'1. Information samples'!M144</f>
        <v>Herbaceous</v>
      </c>
      <c r="N144" s="314">
        <f>_xlfn.STDEV.S('3.1. Gas prod VF'!AG1041,'3.1. Gas prod VF'!AG1042,'3.1. Gas prod VF'!AG1127,'3.1. Gas prod VF'!AG1128,'3.1. Gas prod VF'!AG1200)</f>
        <v>1.5386612884120066</v>
      </c>
      <c r="O144" s="314">
        <f>_xlfn.STDEV.S('3.1. Gas prod VF'!AH1041,'3.1. Gas prod VF'!AH1042,'3.1. Gas prod VF'!AH1127,'3.1. Gas prod VF'!AH1128,'3.1. Gas prod VF'!AH1200)</f>
        <v>2.0579129122654138</v>
      </c>
      <c r="P144" s="314">
        <f>_xlfn.STDEV.S('3.1. Gas prod VF'!AI1041,'3.1. Gas prod VF'!AI1042,'3.1. Gas prod VF'!AI1127,'3.1. Gas prod VF'!AI1128,'3.1. Gas prod VF'!AI1200)</f>
        <v>2.7212980007440617</v>
      </c>
      <c r="Q144" s="314">
        <f>_xlfn.STDEV.S('3.1. Gas prod VF'!AJ1041,'3.1. Gas prod VF'!AJ1042,'3.1. Gas prod VF'!AJ1127,'3.1. Gas prod VF'!AJ1128,'3.1. Gas prod VF'!AJ1200)</f>
        <v>0.15792590014256017</v>
      </c>
      <c r="R144" s="314">
        <f>_xlfn.STDEV.S('3.1. Gas prod VF'!AK1041,'3.1. Gas prod VF'!AK1042,'3.1. Gas prod VF'!AK1127,'3.1. Gas prod VF'!AK1128,'3.1. Gas prod VF'!AK1200)</f>
        <v>0.3589916261605452</v>
      </c>
      <c r="S144" s="314">
        <f>_xlfn.STDEV.S('3.1. Gas prod VF'!AL1041,'3.1. Gas prod VF'!AL1042,'3.1. Gas prod VF'!AL1127,'3.1. Gas prod VF'!AL1128,'3.1. Gas prod VF'!AL1200)</f>
        <v>0.40923220925224502</v>
      </c>
      <c r="T144" s="314">
        <f>_xlfn.STDEV.S('3.1. Gas prod VF'!AM1041,'3.1. Gas prod VF'!AM1042,'3.1. Gas prod VF'!AM1127,'3.1. Gas prod VF'!AM1128,'3.1. Gas prod VF'!AM1200)</f>
        <v>5.9913176331322422</v>
      </c>
      <c r="U144" s="314">
        <f>_xlfn.STDEV.S('3.1. Gas prod VF'!AN1041,'3.1. Gas prod VF'!AN1042,'3.1. Gas prod VF'!AN1127,'3.1. Gas prod VF'!AN1128,'3.1. Gas prod VF'!AN1200)</f>
        <v>8.615985622552218</v>
      </c>
      <c r="V144" s="314">
        <f>_xlfn.STDEV.S('3.1. Gas prod VF'!AO1041,'3.1. Gas prod VF'!AO1042,'3.1. Gas prod VF'!AO1127,'3.1. Gas prod VF'!AO1128,'3.1. Gas prod VF'!AO1200)</f>
        <v>0.42078846798756386</v>
      </c>
      <c r="W144" s="314">
        <f>_xlfn.STDEV.S('3.1. Gas prod VF'!AP1041,'3.1. Gas prod VF'!AP1042,'3.1. Gas prod VF'!AP1127,'3.1. Gas prod VF'!AP1128,'3.1. Gas prod VF'!AP1200)</f>
        <v>0.43011626335213171</v>
      </c>
      <c r="X144" s="314">
        <f>_xlfn.STDEV.S('3.1. Gas prod VF'!AQ1041,'3.1. Gas prod VF'!AQ1042,'3.1. Gas prod VF'!AQ1127,'3.1. Gas prod VF'!AQ1128,'3.1. Gas prod VF'!AQ1200)</f>
        <v>0.59120248751914906</v>
      </c>
      <c r="Y144" s="314">
        <f>_xlfn.STDEV.S('3.1. Gas prod VF'!AR1041,'3.1. Gas prod VF'!AR1042,'3.1. Gas prod VF'!AR1127,'3.1. Gas prod VF'!AR1128,'3.1. Gas prod VF'!AR1200)</f>
        <v>0.9024231644257491</v>
      </c>
      <c r="Z144" s="314">
        <f>_xlfn.STDEV.S('3.1. Gas prod VF'!AS1041,'3.1. Gas prod VF'!AS1042,'3.1. Gas prod VF'!AS1127,'3.1. Gas prod VF'!AS1128,'3.1. Gas prod VF'!AS1200)</f>
        <v>8.7331049001331156</v>
      </c>
      <c r="AA144" s="314">
        <f>_xlfn.STDEV.S('3.1. Gas prod VF'!AT1041,'3.1. Gas prod VF'!AT1042,'3.1. Gas prod VF'!AT1127,'3.1. Gas prod VF'!AT1128,'3.1. Gas prod VF'!AT1200)</f>
        <v>1.5420787906131315</v>
      </c>
      <c r="AB144" s="314">
        <f>_xlfn.STDEV.S('3.1. Gas prod VF'!AU1041,'3.1. Gas prod VF'!AU1042,'3.1. Gas prod VF'!AU1127,'3.1. Gas prod VF'!AU1128,'3.1. Gas prod VF'!AU1200)</f>
        <v>0.50086046911380722</v>
      </c>
      <c r="AC144" s="314">
        <f>_xlfn.STDEV.S('3.1. Gas prod VF'!AV1041,'3.1. Gas prod VF'!AV1042,'3.1. Gas prod VF'!AV1127,'3.1. Gas prod VF'!AV1128,'3.1. Gas prod VF'!AV1200)</f>
        <v>4.8470243113541489</v>
      </c>
      <c r="AD144" s="20"/>
      <c r="AE144" s="20"/>
    </row>
    <row r="145" spans="2:31" x14ac:dyDescent="0.35">
      <c r="B145" s="62">
        <f>'1. Information samples'!B145</f>
        <v>135</v>
      </c>
      <c r="C145" s="198">
        <f>'1. Information samples'!C145</f>
        <v>46062</v>
      </c>
      <c r="D145" s="62" t="str">
        <f>'1. Information samples'!D145</f>
        <v>Genbank</v>
      </c>
      <c r="E145" s="316">
        <f>'1. Information samples'!E145</f>
        <v>30</v>
      </c>
      <c r="F145" s="62" t="str">
        <f>'1. Information samples'!F145</f>
        <v>F260032</v>
      </c>
      <c r="G145" s="62" t="str">
        <f>'1. Information samples'!G145</f>
        <v>CIAT7934</v>
      </c>
      <c r="H145" s="62" t="str">
        <f>'1. Information samples'!H145</f>
        <v>Sesbania</v>
      </c>
      <c r="I145" s="62" t="str">
        <f>'1. Information samples'!I145</f>
        <v>sesban</v>
      </c>
      <c r="J145" s="62" t="str">
        <f>'1. Information samples'!J145</f>
        <v>Sesbania sesban</v>
      </c>
      <c r="K145" s="62" t="str">
        <f>'1. Information samples'!K145</f>
        <v>Fabaceae</v>
      </c>
      <c r="L145" s="62" t="str">
        <f>'1. Information samples'!L145</f>
        <v>Fabales</v>
      </c>
      <c r="M145" s="62" t="str">
        <f>'1. Information samples'!M145</f>
        <v>Shurb_Tree</v>
      </c>
      <c r="N145" s="314">
        <f>_xlfn.STDEV.S('3.1. Gas prod VF'!AG1043,'3.1. Gas prod VF'!AG1044,'3.1. Gas prod VF'!AG1045,'3.1. Gas prod VF'!AG1201,'3.1. Gas prod VF'!AG1202)</f>
        <v>0.91449143284830314</v>
      </c>
      <c r="O145" s="314">
        <f>_xlfn.STDEV.S('3.1. Gas prod VF'!AH1043,'3.1. Gas prod VF'!AH1044,'3.1. Gas prod VF'!AH1045,'3.1. Gas prod VF'!AH1201,'3.1. Gas prod VF'!AH1202)</f>
        <v>1.7547718833624055</v>
      </c>
      <c r="P145" s="314">
        <f>_xlfn.STDEV.S('3.1. Gas prod VF'!AI1043,'3.1. Gas prod VF'!AI1044,'3.1. Gas prod VF'!AI1045,'3.1. Gas prod VF'!AI1201,'3.1. Gas prod VF'!AI1202)</f>
        <v>2.5259959580556357</v>
      </c>
      <c r="Q145" s="314">
        <f>_xlfn.STDEV.S('3.1. Gas prod VF'!AJ1043,'3.1. Gas prod VF'!AJ1044,'3.1. Gas prod VF'!AJ1045,'3.1. Gas prod VF'!AJ1201,'3.1. Gas prod VF'!AJ1202)</f>
        <v>0.10483125551418633</v>
      </c>
      <c r="R145" s="314">
        <f>_xlfn.STDEV.S('3.1. Gas prod VF'!AK1043,'3.1. Gas prod VF'!AK1044,'3.1. Gas prod VF'!AK1045,'3.1. Gas prod VF'!AK1201,'3.1. Gas prod VF'!AK1202)</f>
        <v>0.23929967201529578</v>
      </c>
      <c r="S145" s="314">
        <f>_xlfn.STDEV.S('3.1. Gas prod VF'!AL1043,'3.1. Gas prod VF'!AL1044,'3.1. Gas prod VF'!AL1045,'3.1. Gas prod VF'!AL1201,'3.1. Gas prod VF'!AL1202)</f>
        <v>0.32042405507638311</v>
      </c>
      <c r="T145" s="314">
        <f>_xlfn.STDEV.S('3.1. Gas prod VF'!AM1043,'3.1. Gas prod VF'!AM1044,'3.1. Gas prod VF'!AM1045,'3.1. Gas prod VF'!AM1201,'3.1. Gas prod VF'!AM1202)</f>
        <v>5.2465719366135595</v>
      </c>
      <c r="U145" s="314">
        <f>_xlfn.STDEV.S('3.1. Gas prod VF'!AN1043,'3.1. Gas prod VF'!AN1044,'3.1. Gas prod VF'!AN1045,'3.1. Gas prod VF'!AN1201,'3.1. Gas prod VF'!AN1202)</f>
        <v>7.3125358481480287</v>
      </c>
      <c r="V145" s="314">
        <f>_xlfn.STDEV.S('3.1. Gas prod VF'!AO1043,'3.1. Gas prod VF'!AO1044,'3.1. Gas prod VF'!AO1045,'3.1. Gas prod VF'!AO1201,'3.1. Gas prod VF'!AO1202)</f>
        <v>0.35799039395751509</v>
      </c>
      <c r="W145" s="314">
        <f>_xlfn.STDEV.S('3.1. Gas prod VF'!AP1043,'3.1. Gas prod VF'!AP1044,'3.1. Gas prod VF'!AP1045,'3.1. Gas prod VF'!AP1201,'3.1. Gas prod VF'!AP1202)</f>
        <v>0.26076809620810559</v>
      </c>
      <c r="X145" s="314">
        <f>_xlfn.STDEV.S('3.1. Gas prod VF'!AQ1043,'3.1. Gas prod VF'!AQ1044,'3.1. Gas prod VF'!AQ1045,'3.1. Gas prod VF'!AQ1201,'3.1. Gas prod VF'!AQ1202)</f>
        <v>0.16098996699863838</v>
      </c>
      <c r="Y145" s="314">
        <f>_xlfn.STDEV.S('3.1. Gas prod VF'!AR1043,'3.1. Gas prod VF'!AR1044,'3.1. Gas prod VF'!AR1045,'3.1. Gas prod VF'!AR1201,'3.1. Gas prod VF'!AR1202)</f>
        <v>0.66821017358246226</v>
      </c>
      <c r="Z145" s="314">
        <f>_xlfn.STDEV.S('3.1. Gas prod VF'!AS1043,'3.1. Gas prod VF'!AS1044,'3.1. Gas prod VF'!AS1045,'3.1. Gas prod VF'!AS1201,'3.1. Gas prod VF'!AS1202)</f>
        <v>10.356540818206785</v>
      </c>
      <c r="AA145" s="314">
        <f>_xlfn.STDEV.S('3.1. Gas prod VF'!AT1043,'3.1. Gas prod VF'!AT1044,'3.1. Gas prod VF'!AT1045,'3.1. Gas prod VF'!AT1201,'3.1. Gas prod VF'!AT1202)</f>
        <v>1.047274271022089</v>
      </c>
      <c r="AB145" s="314">
        <f>_xlfn.STDEV.S('3.1. Gas prod VF'!AU1043,'3.1. Gas prod VF'!AU1044,'3.1. Gas prod VF'!AU1045,'3.1. Gas prod VF'!AU1201,'3.1. Gas prod VF'!AU1202)</f>
        <v>0.37086820706791412</v>
      </c>
      <c r="AC145" s="314">
        <f>_xlfn.STDEV.S('3.1. Gas prod VF'!AV1043,'3.1. Gas prod VF'!AV1044,'3.1. Gas prod VF'!AV1045,'3.1. Gas prod VF'!AV1201,'3.1. Gas prod VF'!AV1202)</f>
        <v>5.7480593330116241</v>
      </c>
      <c r="AD145" s="20"/>
      <c r="AE145" s="20"/>
    </row>
    <row r="146" spans="2:31" x14ac:dyDescent="0.35">
      <c r="B146" s="62">
        <f>'1. Information samples'!B146</f>
        <v>136</v>
      </c>
      <c r="C146" s="198">
        <f>'1. Information samples'!C146</f>
        <v>46062</v>
      </c>
      <c r="D146" s="62" t="str">
        <f>'1. Information samples'!D146</f>
        <v>Genbank</v>
      </c>
      <c r="E146" s="316">
        <f>'1. Information samples'!E146</f>
        <v>30</v>
      </c>
      <c r="F146" s="62" t="str">
        <f>'1. Information samples'!F146</f>
        <v>F260033</v>
      </c>
      <c r="G146" s="62" t="str">
        <f>'1. Information samples'!G146</f>
        <v>CIAT7937</v>
      </c>
      <c r="H146" s="62" t="str">
        <f>'1. Information samples'!H146</f>
        <v>Mimosa</v>
      </c>
      <c r="I146" s="62" t="str">
        <f>'1. Information samples'!I146</f>
        <v>nuda</v>
      </c>
      <c r="J146" s="62" t="str">
        <f>'1. Information samples'!J146</f>
        <v>Mimosa nuda</v>
      </c>
      <c r="K146" s="62" t="str">
        <f>'1. Information samples'!K146</f>
        <v>Fabaceae</v>
      </c>
      <c r="L146" s="62" t="str">
        <f>'1. Information samples'!L146</f>
        <v>Fabales</v>
      </c>
      <c r="M146" s="62" t="str">
        <f>'1. Information samples'!M146</f>
        <v>Shurb_Tree</v>
      </c>
      <c r="N146" s="314" cm="1">
        <f t="array" ref="N146">_xlfn.STDEV.S(IF(('3.1. Gas prod VF'!$L$13:$L$1230=$F146) *('3.1. Gas prod VF'!$M$13:$M$1230=$E146),'3.1. Gas prod VF'!$AG$13:$AG$1230))</f>
        <v>1.0771248277150784</v>
      </c>
      <c r="O146" s="314" cm="1">
        <f t="array" ref="O146">_xlfn.STDEV.S(IF(('3.1. Gas prod VF'!$L$13:$L$1230=$F146) *('3.1. Gas prod VF'!$M$13:$M$1230=$E146),'3.1. Gas prod VF'!$AH$13:$AH$1230))</f>
        <v>2.0581361301450412</v>
      </c>
      <c r="P146" s="314" cm="1">
        <f t="array" ref="P146">_xlfn.STDEV.S(IF(('3.1. Gas prod VF'!$L$13:$L$1230=$F146) *('3.1. Gas prod VF'!$M$13:$M$1230=$E146),'3.1. Gas prod VF'!$AI$13:$AI$1230))</f>
        <v>1.7581522519411834</v>
      </c>
      <c r="Q146" s="314" cm="1">
        <f t="array" ref="Q146">_xlfn.STDEV.S(IF(('3.1. Gas prod VF'!$L$13:$L$1230=$F146) *('3.1. Gas prod VF'!$M$13:$M$1230=$E146),'3.1. Gas prod VF'!$AJ$13:$AJ$1230))</f>
        <v>0.17445559080834228</v>
      </c>
      <c r="R146" s="314" cm="1">
        <f t="array" ref="R146">_xlfn.STDEV.S(IF(('3.1. Gas prod VF'!$L$13:$L$1230=$F146) *('3.1. Gas prod VF'!$M$13:$M$1230=$E146),'3.1. Gas prod VF'!$AK$13:$AK$1230))</f>
        <v>0.28718296723754028</v>
      </c>
      <c r="S146" s="314" cm="1">
        <f t="array" ref="S146">_xlfn.STDEV.S(IF(('3.1. Gas prod VF'!$L$13:$L$1230=$F146) *('3.1. Gas prod VF'!$M$13:$M$1230=$E146),'3.1. Gas prod VF'!$AL$13:$AL$1230))</f>
        <v>0.2158421954510058</v>
      </c>
      <c r="T146" s="314" cm="1">
        <f t="array" ref="T146">_xlfn.STDEV.S(IF(('3.1. Gas prod VF'!$L$13:$L$1230=$F146) *('3.1. Gas prod VF'!$M$13:$M$1230=$E146),'3.1. Gas prod VF'!$AM$13:$AM$1230))</f>
        <v>3.6676249777176202</v>
      </c>
      <c r="U146" s="314" cm="1">
        <f t="array" ref="U146">_xlfn.STDEV.S(IF(('3.1. Gas prod VF'!$L$13:$L$1230=$F146) *('3.1. Gas prod VF'!$M$13:$M$1230=$E146),'3.1. Gas prod VF'!$AN$13:$AN$1230))</f>
        <v>8.8692710153608765</v>
      </c>
      <c r="V146" s="314" cm="1">
        <f t="array" ref="V146">_xlfn.STDEV.S(IF(('3.1. Gas prod VF'!$L$13:$L$1230=$F146) *('3.1. Gas prod VF'!$M$13:$M$1230=$E146),'3.1. Gas prod VF'!$AO$13:$AO$1230))</f>
        <v>0.75053566992921605</v>
      </c>
      <c r="W146" s="314" cm="1">
        <f t="array" ref="W146">_xlfn.STDEV.S(IF(('3.1. Gas prod VF'!$L$13:$L$1230=$F146) *('3.1. Gas prod VF'!$M$13:$M$1230=$E146),'3.1. Gas prod VF'!$AP$13:$AP$1230))</f>
        <v>0.3505098327538661</v>
      </c>
      <c r="X146" s="314" cm="1">
        <f t="array" ref="X146">_xlfn.STDEV.S(IF(('3.1. Gas prod VF'!$L$13:$L$1230=$F146) *('3.1. Gas prod VF'!$M$13:$M$1230=$E146),'3.1. Gas prod VF'!$AQ$13:$AQ$1230))</f>
        <v>0.12079131215161</v>
      </c>
      <c r="Y146" s="314" cm="1">
        <f t="array" ref="Y146">_xlfn.STDEV.S(IF(('3.1. Gas prod VF'!$L$13:$L$1230=$F146) *('3.1. Gas prod VF'!$M$13:$M$1230=$E146),'3.1. Gas prod VF'!$AR$13:$AR$1230))</f>
        <v>0.45011288197984145</v>
      </c>
      <c r="Z146" s="314" cm="1">
        <f t="array" ref="Z146">_xlfn.STDEV.S(IF(('3.1. Gas prod VF'!$L$13:$L$1230=$F146) *('3.1. Gas prod VF'!$M$13:$M$1230=$E146),'3.1. Gas prod VF'!$AS$13:$AS$1230))</f>
        <v>24.816649959815518</v>
      </c>
      <c r="AA146" s="314" cm="1">
        <f t="array" ref="AA146">_xlfn.STDEV.S(IF(('3.1. Gas prod VF'!$L$13:$L$1230=$F146) *('3.1. Gas prod VF'!$M$13:$M$1230=$E146),'3.1. Gas prod VF'!$AT$13:$AT$1230))</f>
        <v>1.6053659384742029</v>
      </c>
      <c r="AB146" s="314" cm="1">
        <f t="array" ref="AB146">_xlfn.STDEV.S(IF(('3.1. Gas prod VF'!$L$13:$L$1230=$F146) *('3.1. Gas prod VF'!$M$13:$M$1230=$E146),'3.1. Gas prod VF'!$AU$13:$AU$1230))</f>
        <v>0.24982043691891598</v>
      </c>
      <c r="AC146" s="314" cm="1">
        <f t="array" ref="AC146">_xlfn.STDEV.S(IF(('3.1. Gas prod VF'!$L$13:$L$1230=$F146) *('3.1. Gas prod VF'!$M$13:$M$1230=$E146),'3.1. Gas prod VF'!$AU$13:$AV$1230))</f>
        <v>16.103205888199746</v>
      </c>
      <c r="AD146" s="20"/>
      <c r="AE146" s="20"/>
    </row>
    <row r="147" spans="2:31" x14ac:dyDescent="0.35">
      <c r="B147" s="62">
        <f>'1. Information samples'!B147</f>
        <v>137</v>
      </c>
      <c r="C147" s="198">
        <f>'1. Information samples'!C147</f>
        <v>46062</v>
      </c>
      <c r="D147" s="62" t="str">
        <f>'1. Information samples'!D147</f>
        <v>Genbank</v>
      </c>
      <c r="E147" s="316">
        <f>'1. Information samples'!E147</f>
        <v>30</v>
      </c>
      <c r="F147" s="62" t="str">
        <f>'1. Information samples'!F147</f>
        <v>F260034</v>
      </c>
      <c r="G147" s="62" t="str">
        <f>'1. Information samples'!G147</f>
        <v>CIAT8056</v>
      </c>
      <c r="H147" s="62" t="str">
        <f>'1. Information samples'!H147</f>
        <v>Mimosa</v>
      </c>
      <c r="I147" s="62" t="str">
        <f>'1. Information samples'!I147</f>
        <v>diplotricha</v>
      </c>
      <c r="J147" s="62" t="str">
        <f>'1. Information samples'!J147</f>
        <v>Mimosa diplotricha</v>
      </c>
      <c r="K147" s="62" t="str">
        <f>'1. Information samples'!K147</f>
        <v>Fabaceae</v>
      </c>
      <c r="L147" s="62" t="str">
        <f>'1. Information samples'!L147</f>
        <v>Fabales</v>
      </c>
      <c r="M147" s="62" t="str">
        <f>'1. Information samples'!M147</f>
        <v>Shurb_Tree</v>
      </c>
      <c r="N147" s="314">
        <f>_xlfn.STDEV.S('3.1. Gas prod VF'!AG1049,'3.1. Gas prod VF'!AG1050,'3.1. Gas prod VF'!AG1133,'3.1. Gas prod VF'!AG1134,'3.1. Gas prod VF'!AG1206)</f>
        <v>1.9136279757486396</v>
      </c>
      <c r="O147" s="314">
        <f>_xlfn.STDEV.S('3.1. Gas prod VF'!AH1049,'3.1. Gas prod VF'!AH1050,'3.1. Gas prod VF'!AH1133,'3.1. Gas prod VF'!AH1134,'3.1. Gas prod VF'!AH1206)</f>
        <v>3.0479189119469154</v>
      </c>
      <c r="P147" s="314">
        <f>_xlfn.STDEV.S('3.1. Gas prod VF'!AI1049,'3.1. Gas prod VF'!AI1050,'3.1. Gas prod VF'!AI1133,'3.1. Gas prod VF'!AI1134,'3.1. Gas prod VF'!AI1206)</f>
        <v>3.8175860793776191</v>
      </c>
      <c r="Q147" s="314">
        <f>_xlfn.STDEV.S('3.1. Gas prod VF'!AJ1049,'3.1. Gas prod VF'!AJ1050,'3.1. Gas prod VF'!AJ1133,'3.1. Gas prod VF'!AJ1134,'3.1. Gas prod VF'!AJ1206)</f>
        <v>0.38491316795223346</v>
      </c>
      <c r="R147" s="314">
        <f>_xlfn.STDEV.S('3.1. Gas prod VF'!AK1049,'3.1. Gas prod VF'!AK1050,'3.1. Gas prod VF'!AK1133,'3.1. Gas prod VF'!AK1134,'3.1. Gas prod VF'!AK1206)</f>
        <v>0.50576448836710797</v>
      </c>
      <c r="S147" s="314">
        <f>_xlfn.STDEV.S('3.1. Gas prod VF'!AL1049,'3.1. Gas prod VF'!AL1050,'3.1. Gas prod VF'!AL1133,'3.1. Gas prod VF'!AL1134,'3.1. Gas prod VF'!AL1206)</f>
        <v>0.62144950159228396</v>
      </c>
      <c r="T147" s="314">
        <f>_xlfn.STDEV.S('3.1. Gas prod VF'!AM1049,'3.1. Gas prod VF'!AM1050,'3.1. Gas prod VF'!AM1133,'3.1. Gas prod VF'!AM1134,'3.1. Gas prod VF'!AM1206)</f>
        <v>8.0223654052846882</v>
      </c>
      <c r="U147" s="314">
        <f>_xlfn.STDEV.S('3.1. Gas prod VF'!AN1049,'3.1. Gas prod VF'!AN1050,'3.1. Gas prod VF'!AN1133,'3.1. Gas prod VF'!AN1134,'3.1. Gas prod VF'!AN1206)</f>
        <v>6.7965241307241646</v>
      </c>
      <c r="V147" s="314">
        <f>_xlfn.STDEV.S('3.1. Gas prod VF'!AO1049,'3.1. Gas prod VF'!AO1050,'3.1. Gas prod VF'!AO1133,'3.1. Gas prod VF'!AO1134,'3.1. Gas prod VF'!AO1206)</f>
        <v>0.4961086964581064</v>
      </c>
      <c r="W147" s="314">
        <f>_xlfn.STDEV.S('3.1. Gas prod VF'!AP1049,'3.1. Gas prod VF'!AP1050,'3.1. Gas prod VF'!AP1133,'3.1. Gas prod VF'!AP1134,'3.1. Gas prod VF'!AP1206)</f>
        <v>0.51768716422179162</v>
      </c>
      <c r="X147" s="314">
        <f>_xlfn.STDEV.S('3.1. Gas prod VF'!AQ1049,'3.1. Gas prod VF'!AQ1050,'3.1. Gas prod VF'!AQ1133,'3.1. Gas prod VF'!AQ1134,'3.1. Gas prod VF'!AQ1206)</f>
        <v>0.19867702173158877</v>
      </c>
      <c r="Y147" s="314">
        <f>_xlfn.STDEV.S('3.1. Gas prod VF'!AR1049,'3.1. Gas prod VF'!AR1050,'3.1. Gas prod VF'!AR1133,'3.1. Gas prod VF'!AR1134,'3.1. Gas prod VF'!AR1206)</f>
        <v>1.3052157107520452</v>
      </c>
      <c r="Z147" s="314">
        <f>_xlfn.STDEV.S('3.1. Gas prod VF'!AS1049,'3.1. Gas prod VF'!AS1050,'3.1. Gas prod VF'!AS1133,'3.1. Gas prod VF'!AS1134,'3.1. Gas prod VF'!AS1206)</f>
        <v>11.361157321589161</v>
      </c>
      <c r="AA147" s="314">
        <f>_xlfn.STDEV.S('3.1. Gas prod VF'!AT1049,'3.1. Gas prod VF'!AT1050,'3.1. Gas prod VF'!AT1133,'3.1. Gas prod VF'!AT1134,'3.1. Gas prod VF'!AT1206)</f>
        <v>3.099194225247123</v>
      </c>
      <c r="AB147" s="314">
        <f>_xlfn.STDEV.S('3.1. Gas prod VF'!AU1049,'3.1. Gas prod VF'!AU1050,'3.1. Gas prod VF'!AU1133,'3.1. Gas prod VF'!AU1134,'3.1. Gas prod VF'!AU1206)</f>
        <v>0.72441730105407665</v>
      </c>
      <c r="AC147" s="314">
        <f>_xlfn.STDEV.S('3.1. Gas prod VF'!AV1049,'3.1. Gas prod VF'!AV1050,'3.1. Gas prod VF'!AV1133,'3.1. Gas prod VF'!AV1134,'3.1. Gas prod VF'!AV1206)</f>
        <v>6.3056388732972461</v>
      </c>
      <c r="AD147" s="325"/>
      <c r="AE147" s="20"/>
    </row>
    <row r="148" spans="2:31" x14ac:dyDescent="0.35">
      <c r="B148" s="62">
        <f>'1. Information samples'!B148</f>
        <v>138</v>
      </c>
      <c r="C148" s="198">
        <f>'1. Information samples'!C148</f>
        <v>46062</v>
      </c>
      <c r="D148" s="62" t="str">
        <f>'1. Information samples'!D148</f>
        <v>Genbank</v>
      </c>
      <c r="E148" s="316">
        <f>'1. Information samples'!E148</f>
        <v>30</v>
      </c>
      <c r="F148" s="62" t="str">
        <f>'1. Information samples'!F148</f>
        <v>F260035</v>
      </c>
      <c r="G148" s="62" t="str">
        <f>'1. Information samples'!G148</f>
        <v>CIAT17514</v>
      </c>
      <c r="H148" s="62" t="str">
        <f>'1. Information samples'!H148</f>
        <v>Mimosa</v>
      </c>
      <c r="I148" s="62" t="str">
        <f>'1. Information samples'!I148</f>
        <v>pudica</v>
      </c>
      <c r="J148" s="62" t="str">
        <f>'1. Information samples'!J148</f>
        <v>Mimosa pudica</v>
      </c>
      <c r="K148" s="62" t="str">
        <f>'1. Information samples'!K148</f>
        <v>Fabaceae</v>
      </c>
      <c r="L148" s="62" t="str">
        <f>'1. Information samples'!L148</f>
        <v>Fabales</v>
      </c>
      <c r="M148" s="62" t="str">
        <f>'1. Information samples'!M148</f>
        <v>Shurb_Tree</v>
      </c>
      <c r="N148" s="314" cm="1">
        <f t="array" ref="N148">_xlfn.STDEV.S(IF(('3.1. Gas prod VF'!$L$13:$L$1230=$F148) *('3.1. Gas prod VF'!$M$13:$M$1230=$E148),'3.1. Gas prod VF'!$AG$13:$AG$1230))</f>
        <v>1.213228155291719</v>
      </c>
      <c r="O148" s="314" cm="1">
        <f t="array" ref="O148">_xlfn.STDEV.S(IF(('3.1. Gas prod VF'!$L$13:$L$1230=$F148) *('3.1. Gas prod VF'!$M$13:$M$1230=$E148),'3.1. Gas prod VF'!$AH$13:$AH$1230))</f>
        <v>2.6467555601812101</v>
      </c>
      <c r="P148" s="314" cm="1">
        <f t="array" ref="P148">_xlfn.STDEV.S(IF(('3.1. Gas prod VF'!$L$13:$L$1230=$F148) *('3.1. Gas prod VF'!$M$13:$M$1230=$E148),'3.1. Gas prod VF'!$AI$13:$AI$1230))</f>
        <v>3.026666267738138</v>
      </c>
      <c r="Q148" s="314" cm="1">
        <f t="array" ref="Q148">_xlfn.STDEV.S(IF(('3.1. Gas prod VF'!$L$13:$L$1230=$F148) *('3.1. Gas prod VF'!$M$13:$M$1230=$E148),'3.1. Gas prod VF'!$AJ$13:$AJ$1230))</f>
        <v>0.23605903008854648</v>
      </c>
      <c r="R148" s="314" cm="1">
        <f t="array" ref="R148">_xlfn.STDEV.S(IF(('3.1. Gas prod VF'!$L$13:$L$1230=$F148) *('3.1. Gas prod VF'!$M$13:$M$1230=$E148),'3.1. Gas prod VF'!$AK$13:$AK$1230))</f>
        <v>0.46749497863922623</v>
      </c>
      <c r="S148" s="314" cm="1">
        <f t="array" ref="S148">_xlfn.STDEV.S(IF(('3.1. Gas prod VF'!$L$13:$L$1230=$F148) *('3.1. Gas prod VF'!$M$13:$M$1230=$E148),'3.1. Gas prod VF'!$AL$13:$AL$1230))</f>
        <v>0.4435093667482059</v>
      </c>
      <c r="T148" s="314" cm="1">
        <f t="array" ref="T148">_xlfn.STDEV.S(IF(('3.1. Gas prod VF'!$L$13:$L$1230=$F148) *('3.1. Gas prod VF'!$M$13:$M$1230=$E148),'3.1. Gas prod VF'!$AM$13:$AM$1230))</f>
        <v>6.2779574931922575</v>
      </c>
      <c r="U148" s="314" cm="1">
        <f t="array" ref="U148">_xlfn.STDEV.S(IF(('3.1. Gas prod VF'!$L$13:$L$1230=$F148) *('3.1. Gas prod VF'!$M$13:$M$1230=$E148),'3.1. Gas prod VF'!$AN$13:$AN$1230))</f>
        <v>9.6652278585848901</v>
      </c>
      <c r="V148" s="314" cm="1">
        <f t="array" ref="V148">_xlfn.STDEV.S(IF(('3.1. Gas prod VF'!$L$13:$L$1230=$F148) *('3.1. Gas prod VF'!$M$13:$M$1230=$E148),'3.1. Gas prod VF'!$AO$13:$AO$1230))</f>
        <v>0.71537947516311562</v>
      </c>
      <c r="W148" s="314" cm="1">
        <f t="array" ref="W148">_xlfn.STDEV.S(IF(('3.1. Gas prod VF'!$L$13:$L$1230=$F148) *('3.1. Gas prod VF'!$M$13:$M$1230=$E148),'3.1. Gas prod VF'!$AP$13:$AP$1230))</f>
        <v>0.39036002917941259</v>
      </c>
      <c r="X148" s="314" cm="1">
        <f t="array" ref="X148">_xlfn.STDEV.S(IF(('3.1. Gas prod VF'!$L$13:$L$1230=$F148) *('3.1. Gas prod VF'!$M$13:$M$1230=$E148),'3.1. Gas prod VF'!$AQ$13:$AQ$1230))</f>
        <v>0.16007856254300193</v>
      </c>
      <c r="Y148" s="314" cm="1">
        <f t="array" ref="Y148">_xlfn.STDEV.S(IF(('3.1. Gas prod VF'!$L$13:$L$1230=$F148) *('3.1. Gas prod VF'!$M$13:$M$1230=$E148),'3.1. Gas prod VF'!$AR$13:$AR$1230))</f>
        <v>0.92036824709562004</v>
      </c>
      <c r="Z148" s="314" cm="1">
        <f t="array" ref="Z148">_xlfn.STDEV.S(IF(('3.1. Gas prod VF'!$L$13:$L$1230=$F148) *('3.1. Gas prod VF'!$M$13:$M$1230=$E148),'3.1. Gas prod VF'!$AS$13:$AS$1230))</f>
        <v>22.615894075607095</v>
      </c>
      <c r="AA148" s="314" cm="1">
        <f t="array" ref="AA148">_xlfn.STDEV.S(IF(('3.1. Gas prod VF'!$L$13:$L$1230=$F148) *('3.1. Gas prod VF'!$M$13:$M$1230=$E148),'3.1. Gas prod VF'!$AT$13:$AT$1230))</f>
        <v>5.0258056623655776</v>
      </c>
      <c r="AB148" s="314" cm="1">
        <f t="array" ref="AB148">_xlfn.STDEV.S(IF(('3.1. Gas prod VF'!$L$13:$L$1230=$F148) *('3.1. Gas prod VF'!$M$13:$M$1230=$E148),'3.1. Gas prod VF'!$AU$13:$AU$1230))</f>
        <v>0.51082030046414362</v>
      </c>
      <c r="AC148" s="314" cm="1">
        <f t="array" ref="AC148">_xlfn.STDEV.S(IF(('3.1. Gas prod VF'!$L$13:$L$1230=$F148) *('3.1. Gas prod VF'!$M$13:$M$1230=$E148),'3.1. Gas prod VF'!$AU$13:$AV$1230))</f>
        <v>16.864197952702121</v>
      </c>
      <c r="AD148" s="20"/>
      <c r="AE148" s="20"/>
    </row>
    <row r="149" spans="2:31" x14ac:dyDescent="0.35">
      <c r="B149" s="62">
        <f>'1. Information samples'!B149</f>
        <v>139</v>
      </c>
      <c r="C149" s="198">
        <f>'1. Information samples'!C149</f>
        <v>46062</v>
      </c>
      <c r="D149" s="62" t="str">
        <f>'1. Information samples'!D149</f>
        <v>Genbank</v>
      </c>
      <c r="E149" s="316">
        <f>'1. Information samples'!E149</f>
        <v>30</v>
      </c>
      <c r="F149" s="62" t="str">
        <f>'1. Information samples'!F149</f>
        <v>F260036</v>
      </c>
      <c r="G149" s="62" t="str">
        <f>'1. Information samples'!G149</f>
        <v>CIAT17725</v>
      </c>
      <c r="H149" s="62" t="str">
        <f>'1. Information samples'!H149</f>
        <v>Mimosa</v>
      </c>
      <c r="I149" s="62" t="str">
        <f>'1. Information samples'!I149</f>
        <v>polycarpa</v>
      </c>
      <c r="J149" s="62" t="str">
        <f>'1. Information samples'!J149</f>
        <v>Mimosa polycarpa</v>
      </c>
      <c r="K149" s="62" t="str">
        <f>'1. Information samples'!K149</f>
        <v>Fabaceae</v>
      </c>
      <c r="L149" s="62" t="str">
        <f>'1. Information samples'!L149</f>
        <v>Fabales</v>
      </c>
      <c r="M149" s="62" t="str">
        <f>'1. Information samples'!M149</f>
        <v>Shurb_Tree</v>
      </c>
      <c r="N149" s="314" cm="1">
        <f t="array" ref="N149">_xlfn.STDEV.S(IF(('3.1. Gas prod VF'!$L$13:$L$1230=$F149) *('3.1. Gas prod VF'!$M$13:$M$1230=$E149),'3.1. Gas prod VF'!$AG$13:$AG$1230))</f>
        <v>1.2584070320461014</v>
      </c>
      <c r="O149" s="314" cm="1">
        <f t="array" ref="O149">_xlfn.STDEV.S(IF(('3.1. Gas prod VF'!$L$13:$L$1230=$F149) *('3.1. Gas prod VF'!$M$13:$M$1230=$E149),'3.1. Gas prod VF'!$AH$13:$AH$1230))</f>
        <v>2.9538773742986422</v>
      </c>
      <c r="P149" s="314" cm="1">
        <f t="array" ref="P149">_xlfn.STDEV.S(IF(('3.1. Gas prod VF'!$L$13:$L$1230=$F149) *('3.1. Gas prod VF'!$M$13:$M$1230=$E149),'3.1. Gas prod VF'!$AI$13:$AI$1230))</f>
        <v>2.7556192834090911</v>
      </c>
      <c r="Q149" s="314" cm="1">
        <f t="array" ref="Q149">_xlfn.STDEV.S(IF(('3.1. Gas prod VF'!$L$13:$L$1230=$F149) *('3.1. Gas prod VF'!$M$13:$M$1230=$E149),'3.1. Gas prod VF'!$AJ$13:$AJ$1230))</f>
        <v>0.25760485726074867</v>
      </c>
      <c r="R149" s="314" cm="1">
        <f t="array" ref="R149">_xlfn.STDEV.S(IF(('3.1. Gas prod VF'!$L$13:$L$1230=$F149) *('3.1. Gas prod VF'!$M$13:$M$1230=$E149),'3.1. Gas prod VF'!$AK$13:$AK$1230))</f>
        <v>0.55264547369088513</v>
      </c>
      <c r="S149" s="314" cm="1">
        <f t="array" ref="S149">_xlfn.STDEV.S(IF(('3.1. Gas prod VF'!$L$13:$L$1230=$F149) *('3.1. Gas prod VF'!$M$13:$M$1230=$E149),'3.1. Gas prod VF'!$AL$13:$AL$1230))</f>
        <v>0.38650093681185727</v>
      </c>
      <c r="T149" s="314" cm="1">
        <f t="array" ref="T149">_xlfn.STDEV.S(IF(('3.1. Gas prod VF'!$L$13:$L$1230=$F149) *('3.1. Gas prod VF'!$M$13:$M$1230=$E149),'3.1. Gas prod VF'!$AM$13:$AM$1230))</f>
        <v>5.7794155262139073</v>
      </c>
      <c r="U149" s="314" cm="1">
        <f t="array" ref="U149">_xlfn.STDEV.S(IF(('3.1. Gas prod VF'!$L$13:$L$1230=$F149) *('3.1. Gas prod VF'!$M$13:$M$1230=$E149),'3.1. Gas prod VF'!$AN$13:$AN$1230))</f>
        <v>6.6065882100223812</v>
      </c>
      <c r="V149" s="314" cm="1">
        <f t="array" ref="V149">_xlfn.STDEV.S(IF(('3.1. Gas prod VF'!$L$13:$L$1230=$F149) *('3.1. Gas prod VF'!$M$13:$M$1230=$E149),'3.1. Gas prod VF'!$AO$13:$AO$1230))</f>
        <v>0.44386974907863608</v>
      </c>
      <c r="W149" s="314" cm="1">
        <f t="array" ref="W149">_xlfn.STDEV.S(IF(('3.1. Gas prod VF'!$L$13:$L$1230=$F149) *('3.1. Gas prod VF'!$M$13:$M$1230=$E149),'3.1. Gas prod VF'!$AP$13:$AP$1230))</f>
        <v>0.53229064742237653</v>
      </c>
      <c r="X149" s="314" cm="1">
        <f t="array" ref="X149">_xlfn.STDEV.S(IF(('3.1. Gas prod VF'!$L$13:$L$1230=$F149) *('3.1. Gas prod VF'!$M$13:$M$1230=$E149),'3.1. Gas prod VF'!$AQ$13:$AQ$1230))</f>
        <v>3.7101826358759402E-2</v>
      </c>
      <c r="Y149" s="314" cm="1">
        <f t="array" ref="Y149">_xlfn.STDEV.S(IF(('3.1. Gas prod VF'!$L$13:$L$1230=$F149) *('3.1. Gas prod VF'!$M$13:$M$1230=$E149),'3.1. Gas prod VF'!$AR$13:$AR$1230))</f>
        <v>0.81063192490613156</v>
      </c>
      <c r="Z149" s="314" cm="1">
        <f t="array" ref="Z149">_xlfn.STDEV.S(IF(('3.1. Gas prod VF'!$L$13:$L$1230=$F149) *('3.1. Gas prod VF'!$M$13:$M$1230=$E149),'3.1. Gas prod VF'!$AS$13:$AS$1230))</f>
        <v>17.883445665979469</v>
      </c>
      <c r="AA149" s="314" cm="1">
        <f t="array" ref="AA149">_xlfn.STDEV.S(IF(('3.1. Gas prod VF'!$L$13:$L$1230=$F149) *('3.1. Gas prod VF'!$M$13:$M$1230=$E149),'3.1. Gas prod VF'!$AT$13:$AT$1230))</f>
        <v>0.7354259576182719</v>
      </c>
      <c r="AB149" s="314" cm="1">
        <f t="array" ref="AB149">_xlfn.STDEV.S(IF(('3.1. Gas prod VF'!$L$13:$L$1230=$F149) *('3.1. Gas prod VF'!$M$13:$M$1230=$E149),'3.1. Gas prod VF'!$AU$13:$AU$1230))</f>
        <v>0.44991474309668994</v>
      </c>
      <c r="AC149" s="314" cm="1">
        <f t="array" ref="AC149">_xlfn.STDEV.S(IF(('3.1. Gas prod VF'!$L$13:$L$1230=$F149) *('3.1. Gas prod VF'!$M$13:$M$1230=$E149),'3.1. Gas prod VF'!$AU$13:$AV$1230))</f>
        <v>16.083613860185022</v>
      </c>
      <c r="AD149" s="20"/>
      <c r="AE149" s="20"/>
    </row>
    <row r="150" spans="2:31" x14ac:dyDescent="0.35">
      <c r="B150" s="62">
        <f>'1. Information samples'!B150</f>
        <v>140</v>
      </c>
      <c r="C150" s="198">
        <f>'1. Information samples'!C150</f>
        <v>46062</v>
      </c>
      <c r="D150" s="62" t="str">
        <f>'1. Information samples'!D150</f>
        <v>Genbank</v>
      </c>
      <c r="E150" s="316">
        <f>'1. Information samples'!E150</f>
        <v>30</v>
      </c>
      <c r="F150" s="62" t="str">
        <f>'1. Information samples'!F150</f>
        <v>F260037</v>
      </c>
      <c r="G150" s="62" t="str">
        <f>'1. Information samples'!G150</f>
        <v>CIAT18947</v>
      </c>
      <c r="H150" s="62" t="str">
        <f>'1. Information samples'!H150</f>
        <v>Sesbania</v>
      </c>
      <c r="I150" s="62" t="str">
        <f>'1. Information samples'!I150</f>
        <v>sesban</v>
      </c>
      <c r="J150" s="62" t="str">
        <f>'1. Information samples'!J150</f>
        <v>Sesbania sesban</v>
      </c>
      <c r="K150" s="62" t="str">
        <f>'1. Information samples'!K150</f>
        <v>Fabaceae</v>
      </c>
      <c r="L150" s="62" t="str">
        <f>'1. Information samples'!L150</f>
        <v>Fabales</v>
      </c>
      <c r="M150" s="62" t="str">
        <f>'1. Information samples'!M150</f>
        <v>Shurb_Tree</v>
      </c>
      <c r="N150" s="314" cm="1">
        <f t="array" ref="N150">_xlfn.STDEV.S(IF(('3.1. Gas prod VF'!$L$13:$L$1230=$F150) *('3.1. Gas prod VF'!$M$13:$M$1230=$E150),'3.1. Gas prod VF'!$AG$13:$AG$1230))</f>
        <v>3.0172131115644287</v>
      </c>
      <c r="O150" s="314" cm="1">
        <f t="array" ref="O150">_xlfn.STDEV.S(IF(('3.1. Gas prod VF'!$L$13:$L$1230=$F150) *('3.1. Gas prod VF'!$M$13:$M$1230=$E150),'3.1. Gas prod VF'!$AH$13:$AH$1230))</f>
        <v>2.319910948617689</v>
      </c>
      <c r="P150" s="314" cm="1">
        <f t="array" ref="P150">_xlfn.STDEV.S(IF(('3.1. Gas prod VF'!$L$13:$L$1230=$F150) *('3.1. Gas prod VF'!$M$13:$M$1230=$E150),'3.1. Gas prod VF'!$AI$13:$AI$1230))</f>
        <v>2.8599381160948862</v>
      </c>
      <c r="Q150" s="314" cm="1">
        <f t="array" ref="Q150">_xlfn.STDEV.S(IF(('3.1. Gas prod VF'!$L$13:$L$1230=$F150) *('3.1. Gas prod VF'!$M$13:$M$1230=$E150),'3.1. Gas prod VF'!$AJ$13:$AJ$1230))</f>
        <v>0.57242231073163896</v>
      </c>
      <c r="R150" s="314" cm="1">
        <f t="array" ref="R150">_xlfn.STDEV.S(IF(('3.1. Gas prod VF'!$L$13:$L$1230=$F150) *('3.1. Gas prod VF'!$M$13:$M$1230=$E150),'3.1. Gas prod VF'!$AK$13:$AK$1230))</f>
        <v>0.37510414074611248</v>
      </c>
      <c r="S150" s="314" cm="1">
        <f t="array" ref="S150">_xlfn.STDEV.S(IF(('3.1. Gas prod VF'!$L$13:$L$1230=$F150) *('3.1. Gas prod VF'!$M$13:$M$1230=$E150),'3.1. Gas prod VF'!$AL$13:$AL$1230))</f>
        <v>0.53939296441132767</v>
      </c>
      <c r="T150" s="314" cm="1">
        <f t="array" ref="T150">_xlfn.STDEV.S(IF(('3.1. Gas prod VF'!$L$13:$L$1230=$F150) *('3.1. Gas prod VF'!$M$13:$M$1230=$E150),'3.1. Gas prod VF'!$AM$13:$AM$1230))</f>
        <v>6.0009870973178883</v>
      </c>
      <c r="U150" s="314" cm="1">
        <f t="array" ref="U150">_xlfn.STDEV.S(IF(('3.1. Gas prod VF'!$L$13:$L$1230=$F150) *('3.1. Gas prod VF'!$M$13:$M$1230=$E150),'3.1. Gas prod VF'!$AN$13:$AN$1230))</f>
        <v>7.8836657455704717</v>
      </c>
      <c r="V150" s="314" cm="1">
        <f t="array" ref="V150">_xlfn.STDEV.S(IF(('3.1. Gas prod VF'!$L$13:$L$1230=$F150) *('3.1. Gas prod VF'!$M$13:$M$1230=$E150),'3.1. Gas prod VF'!$AO$13:$AO$1230))</f>
        <v>0.48938053092229483</v>
      </c>
      <c r="W150" s="314" cm="1">
        <f t="array" ref="W150">_xlfn.STDEV.S(IF(('3.1. Gas prod VF'!$L$13:$L$1230=$F150) *('3.1. Gas prod VF'!$M$13:$M$1230=$E150),'3.1. Gas prod VF'!$AP$13:$AP$1230))</f>
        <v>0.54072262055600395</v>
      </c>
      <c r="X150" s="314" cm="1">
        <f t="array" ref="X150">_xlfn.STDEV.S(IF(('3.1. Gas prod VF'!$L$13:$L$1230=$F150) *('3.1. Gas prod VF'!$M$13:$M$1230=$E150),'3.1. Gas prod VF'!$AQ$13:$AQ$1230))</f>
        <v>0.34423423155437982</v>
      </c>
      <c r="Y150" s="314" cm="1">
        <f t="array" ref="Y150">_xlfn.STDEV.S(IF(('3.1. Gas prod VF'!$L$13:$L$1230=$F150) *('3.1. Gas prod VF'!$M$13:$M$1230=$E150),'3.1. Gas prod VF'!$AR$13:$AR$1230))</f>
        <v>1.128732814721729</v>
      </c>
      <c r="Z150" s="314" cm="1">
        <f t="array" ref="Z150">_xlfn.STDEV.S(IF(('3.1. Gas prod VF'!$L$13:$L$1230=$F150) *('3.1. Gas prod VF'!$M$13:$M$1230=$E150),'3.1. Gas prod VF'!$AS$13:$AS$1230))</f>
        <v>7.6704491074756049</v>
      </c>
      <c r="AA150" s="314" cm="1">
        <f t="array" ref="AA150">_xlfn.STDEV.S(IF(('3.1. Gas prod VF'!$L$13:$L$1230=$F150) *('3.1. Gas prod VF'!$M$13:$M$1230=$E150),'3.1. Gas prod VF'!$AT$13:$AT$1230))</f>
        <v>4.3614607839974839</v>
      </c>
      <c r="AB150" s="314" cm="1">
        <f t="array" ref="AB150">_xlfn.STDEV.S(IF(('3.1. Gas prod VF'!$L$13:$L$1230=$F150) *('3.1. Gas prod VF'!$M$13:$M$1230=$E150),'3.1. Gas prod VF'!$AU$13:$AU$1230))</f>
        <v>0.62646624041994936</v>
      </c>
      <c r="AC150" s="314" cm="1">
        <f t="array" ref="AC150">_xlfn.STDEV.S(IF(('3.1. Gas prod VF'!$L$13:$L$1230=$F150) *('3.1. Gas prod VF'!$M$13:$M$1230=$E150),'3.1. Gas prod VF'!$AU$13:$AV$1230))</f>
        <v>6.6219948534215369</v>
      </c>
      <c r="AD150" s="20"/>
      <c r="AE150" s="20"/>
    </row>
    <row r="151" spans="2:31" x14ac:dyDescent="0.35">
      <c r="B151" s="62">
        <f>'1. Information samples'!B151</f>
        <v>141</v>
      </c>
      <c r="C151" s="198">
        <f>'1. Information samples'!C151</f>
        <v>46062</v>
      </c>
      <c r="D151" s="62" t="str">
        <f>'1. Information samples'!D151</f>
        <v>Genbank</v>
      </c>
      <c r="E151" s="316">
        <f>'1. Information samples'!E151</f>
        <v>30</v>
      </c>
      <c r="F151" s="62" t="str">
        <f>'1. Information samples'!F151</f>
        <v>F260038</v>
      </c>
      <c r="G151" s="62" t="str">
        <f>'1. Information samples'!G151</f>
        <v>CIAT19165</v>
      </c>
      <c r="H151" s="62" t="str">
        <f>'1. Information samples'!H151</f>
        <v>Sesbania</v>
      </c>
      <c r="I151" s="62" t="str">
        <f>'1. Information samples'!I151</f>
        <v>keniensis</v>
      </c>
      <c r="J151" s="62" t="str">
        <f>'1. Information samples'!J151</f>
        <v>Sesbania keniensis</v>
      </c>
      <c r="K151" s="62" t="str">
        <f>'1. Information samples'!K151</f>
        <v>Fabaceae</v>
      </c>
      <c r="L151" s="62" t="str">
        <f>'1. Information samples'!L151</f>
        <v>Fabales</v>
      </c>
      <c r="M151" s="62" t="str">
        <f>'1. Information samples'!M151</f>
        <v>Shurb_Tree</v>
      </c>
      <c r="N151" s="314" cm="1">
        <f t="array" ref="N151">_xlfn.STDEV.S(IF(('3.1. Gas prod VF'!$L$13:$L$1230=$F151) *('3.1. Gas prod VF'!$M$13:$M$1230=$E151),'3.1. Gas prod VF'!$AG$13:$AG$1230))</f>
        <v>1.4191555535844227</v>
      </c>
      <c r="O151" s="314" cm="1">
        <f t="array" ref="O151">_xlfn.STDEV.S(IF(('3.1. Gas prod VF'!$L$13:$L$1230=$F151) *('3.1. Gas prod VF'!$M$13:$M$1230=$E151),'3.1. Gas prod VF'!$AH$13:$AH$1230))</f>
        <v>1.9918292524490491</v>
      </c>
      <c r="P151" s="314" cm="1">
        <f t="array" ref="P151">_xlfn.STDEV.S(IF(('3.1. Gas prod VF'!$L$13:$L$1230=$F151) *('3.1. Gas prod VF'!$M$13:$M$1230=$E151),'3.1. Gas prod VF'!$AI$13:$AI$1230))</f>
        <v>2.4600877565968107</v>
      </c>
      <c r="Q151" s="314" cm="1">
        <f t="array" ref="Q151">_xlfn.STDEV.S(IF(('3.1. Gas prod VF'!$L$13:$L$1230=$F151) *('3.1. Gas prod VF'!$M$13:$M$1230=$E151),'3.1. Gas prod VF'!$AJ$13:$AJ$1230))</f>
        <v>0.30890816623006606</v>
      </c>
      <c r="R151" s="314" cm="1">
        <f t="array" ref="R151">_xlfn.STDEV.S(IF(('3.1. Gas prod VF'!$L$13:$L$1230=$F151) *('3.1. Gas prod VF'!$M$13:$M$1230=$E151),'3.1. Gas prod VF'!$AK$13:$AK$1230))</f>
        <v>0.21124185720258648</v>
      </c>
      <c r="S151" s="314" cm="1">
        <f t="array" ref="S151">_xlfn.STDEV.S(IF(('3.1. Gas prod VF'!$L$13:$L$1230=$F151) *('3.1. Gas prod VF'!$M$13:$M$1230=$E151),'3.1. Gas prod VF'!$AL$13:$AL$1230))</f>
        <v>0.40048338838392794</v>
      </c>
      <c r="T151" s="314" cm="1">
        <f t="array" ref="T151">_xlfn.STDEV.S(IF(('3.1. Gas prod VF'!$L$13:$L$1230=$F151) *('3.1. Gas prod VF'!$M$13:$M$1230=$E151),'3.1. Gas prod VF'!$AM$13:$AM$1230))</f>
        <v>5.0919304053378944</v>
      </c>
      <c r="U151" s="314" cm="1">
        <f t="array" ref="U151">_xlfn.STDEV.S(IF(('3.1. Gas prod VF'!$L$13:$L$1230=$F151) *('3.1. Gas prod VF'!$M$13:$M$1230=$E151),'3.1. Gas prod VF'!$AN$13:$AN$1230))</f>
        <v>7.6052771493001057</v>
      </c>
      <c r="V151" s="314" cm="1">
        <f t="array" ref="V151">_xlfn.STDEV.S(IF(('3.1. Gas prod VF'!$L$13:$L$1230=$F151) *('3.1. Gas prod VF'!$M$13:$M$1230=$E151),'3.1. Gas prod VF'!$AO$13:$AO$1230))</f>
        <v>0.49020143424477441</v>
      </c>
      <c r="W151" s="314" cm="1">
        <f t="array" ref="W151">_xlfn.STDEV.S(IF(('3.1. Gas prod VF'!$L$13:$L$1230=$F151) *('3.1. Gas prod VF'!$M$13:$M$1230=$E151),'3.1. Gas prod VF'!$AP$13:$AP$1230))</f>
        <v>0.48599431703516405</v>
      </c>
      <c r="X151" s="314" cm="1">
        <f t="array" ref="X151">_xlfn.STDEV.S(IF(('3.1. Gas prod VF'!$L$13:$L$1230=$F151) *('3.1. Gas prod VF'!$M$13:$M$1230=$E151),'3.1. Gas prod VF'!$AQ$13:$AQ$1230))</f>
        <v>0.10630583321064951</v>
      </c>
      <c r="Y151" s="314" cm="1">
        <f t="array" ref="Y151">_xlfn.STDEV.S(IF(('3.1. Gas prod VF'!$L$13:$L$1230=$F151) *('3.1. Gas prod VF'!$M$13:$M$1230=$E151),'3.1. Gas prod VF'!$AR$13:$AR$1230))</f>
        <v>0.8284051547030532</v>
      </c>
      <c r="Z151" s="314" cm="1">
        <f t="array" ref="Z151">_xlfn.STDEV.S(IF(('3.1. Gas prod VF'!$L$13:$L$1230=$F151) *('3.1. Gas prod VF'!$M$13:$M$1230=$E151),'3.1. Gas prod VF'!$AS$13:$AS$1230))</f>
        <v>12.179672422918481</v>
      </c>
      <c r="AA151" s="314" cm="1">
        <f t="array" ref="AA151">_xlfn.STDEV.S(IF(('3.1. Gas prod VF'!$L$13:$L$1230=$F151) *('3.1. Gas prod VF'!$M$13:$M$1230=$E151),'3.1. Gas prod VF'!$AT$13:$AT$1230))</f>
        <v>14.131329591113614</v>
      </c>
      <c r="AB151" s="314" cm="1">
        <f t="array" ref="AB151">_xlfn.STDEV.S(IF(('3.1. Gas prod VF'!$L$13:$L$1230=$F151) *('3.1. Gas prod VF'!$M$13:$M$1230=$E151),'3.1. Gas prod VF'!$AU$13:$AU$1230))</f>
        <v>0.45977919312930615</v>
      </c>
      <c r="AC151" s="314" cm="1">
        <f t="array" ref="AC151">_xlfn.STDEV.S(IF(('3.1. Gas prod VF'!$L$13:$L$1230=$F151) *('3.1. Gas prod VF'!$M$13:$M$1230=$E151),'3.1. Gas prod VF'!$AU$13:$AV$1230))</f>
        <v>10.364586752334144</v>
      </c>
      <c r="AD151" s="20"/>
      <c r="AE151" s="20"/>
    </row>
    <row r="152" spans="2:31" x14ac:dyDescent="0.35">
      <c r="B152" s="62">
        <f>'1. Information samples'!B152</f>
        <v>142</v>
      </c>
      <c r="C152" s="198">
        <f>'1. Information samples'!C152</f>
        <v>46062</v>
      </c>
      <c r="D152" s="62" t="str">
        <f>'1. Information samples'!D152</f>
        <v>Genbank</v>
      </c>
      <c r="E152" s="316">
        <f>'1. Information samples'!E152</f>
        <v>30</v>
      </c>
      <c r="F152" s="62" t="str">
        <f>'1. Information samples'!F152</f>
        <v>F260039</v>
      </c>
      <c r="G152" s="62" t="str">
        <f>'1. Information samples'!G152</f>
        <v>CIAT21899</v>
      </c>
      <c r="H152" s="62" t="str">
        <f>'1. Information samples'!H152</f>
        <v>Sesbania</v>
      </c>
      <c r="I152" s="62" t="str">
        <f>'1. Information samples'!I152</f>
        <v>sesban</v>
      </c>
      <c r="J152" s="62" t="str">
        <f>'1. Information samples'!J152</f>
        <v>Sesbania sesban</v>
      </c>
      <c r="K152" s="62" t="str">
        <f>'1. Information samples'!K152</f>
        <v>Fabaceae</v>
      </c>
      <c r="L152" s="62" t="str">
        <f>'1. Information samples'!L152</f>
        <v>Fabales</v>
      </c>
      <c r="M152" s="62" t="str">
        <f>'1. Information samples'!M152</f>
        <v>Shurb_Tree</v>
      </c>
      <c r="N152" s="314" cm="1">
        <f t="array" ref="N152">_xlfn.STDEV.S(IF(('3.1. Gas prod VF'!$L$13:$L$1230=$F152) *('3.1. Gas prod VF'!$M$13:$M$1230=$E152),'3.1. Gas prod VF'!$AG$13:$AG$1230))</f>
        <v>1.4165319196284814</v>
      </c>
      <c r="O152" s="314" cm="1">
        <f t="array" ref="O152">_xlfn.STDEV.S(IF(('3.1. Gas prod VF'!$L$13:$L$1230=$F152) *('3.1. Gas prod VF'!$M$13:$M$1230=$E152),'3.1. Gas prod VF'!$AH$13:$AH$1230))</f>
        <v>1.8669283743089184</v>
      </c>
      <c r="P152" s="314" cm="1">
        <f t="array" ref="P152">_xlfn.STDEV.S(IF(('3.1. Gas prod VF'!$L$13:$L$1230=$F152) *('3.1. Gas prod VF'!$M$13:$M$1230=$E152),'3.1. Gas prod VF'!$AI$13:$AI$1230))</f>
        <v>1.5467023658748222</v>
      </c>
      <c r="Q152" s="314" cm="1">
        <f t="array" ref="Q152">_xlfn.STDEV.S(IF(('3.1. Gas prod VF'!$L$13:$L$1230=$F152) *('3.1. Gas prod VF'!$M$13:$M$1230=$E152),'3.1. Gas prod VF'!$AJ$13:$AJ$1230))</f>
        <v>0.31245578431305282</v>
      </c>
      <c r="R152" s="314" cm="1">
        <f t="array" ref="R152">_xlfn.STDEV.S(IF(('3.1. Gas prod VF'!$L$13:$L$1230=$F152) *('3.1. Gas prod VF'!$M$13:$M$1230=$E152),'3.1. Gas prod VF'!$AK$13:$AK$1230))</f>
        <v>0.27744928153680953</v>
      </c>
      <c r="S152" s="314" cm="1">
        <f t="array" ref="S152">_xlfn.STDEV.S(IF(('3.1. Gas prod VF'!$L$13:$L$1230=$F152) *('3.1. Gas prod VF'!$M$13:$M$1230=$E152),'3.1. Gas prod VF'!$AL$13:$AL$1230))</f>
        <v>0.23586695631281065</v>
      </c>
      <c r="T152" s="314" cm="1">
        <f t="array" ref="T152">_xlfn.STDEV.S(IF(('3.1. Gas prod VF'!$L$13:$L$1230=$F152) *('3.1. Gas prod VF'!$M$13:$M$1230=$E152),'3.1. Gas prod VF'!$AM$13:$AM$1230))</f>
        <v>3.2037211003346484</v>
      </c>
      <c r="U152" s="314" cm="1">
        <f t="array" ref="U152">_xlfn.STDEV.S(IF(('3.1. Gas prod VF'!$L$13:$L$1230=$F152) *('3.1. Gas prod VF'!$M$13:$M$1230=$E152),'3.1. Gas prod VF'!$AN$13:$AN$1230))</f>
        <v>6.5839353761244048</v>
      </c>
      <c r="V152" s="314" cm="1">
        <f t="array" ref="V152">_xlfn.STDEV.S(IF(('3.1. Gas prod VF'!$L$13:$L$1230=$F152) *('3.1. Gas prod VF'!$M$13:$M$1230=$E152),'3.1. Gas prod VF'!$AO$13:$AO$1230))</f>
        <v>0.43792684951049987</v>
      </c>
      <c r="W152" s="314" cm="1">
        <f t="array" ref="W152">_xlfn.STDEV.S(IF(('3.1. Gas prod VF'!$L$13:$L$1230=$F152) *('3.1. Gas prod VF'!$M$13:$M$1230=$E152),'3.1. Gas prod VF'!$AP$13:$AP$1230))</f>
        <v>0.59401779675119426</v>
      </c>
      <c r="X152" s="314" cm="1">
        <f t="array" ref="X152">_xlfn.STDEV.S(IF(('3.1. Gas prod VF'!$L$13:$L$1230=$F152) *('3.1. Gas prod VF'!$M$13:$M$1230=$E152),'3.1. Gas prod VF'!$AQ$13:$AQ$1230))</f>
        <v>0.22684207341608909</v>
      </c>
      <c r="Y152" s="314" cm="1">
        <f t="array" ref="Y152">_xlfn.STDEV.S(IF(('3.1. Gas prod VF'!$L$13:$L$1230=$F152) *('3.1. Gas prod VF'!$M$13:$M$1230=$E152),'3.1. Gas prod VF'!$AR$13:$AR$1230))</f>
        <v>0.48959762724285594</v>
      </c>
      <c r="Z152" s="314" cm="1">
        <f t="array" ref="Z152">_xlfn.STDEV.S(IF(('3.1. Gas prod VF'!$L$13:$L$1230=$F152) *('3.1. Gas prod VF'!$M$13:$M$1230=$E152),'3.1. Gas prod VF'!$AS$13:$AS$1230))</f>
        <v>13.318613836855162</v>
      </c>
      <c r="AA152" s="314" cm="1">
        <f t="array" ref="AA152">_xlfn.STDEV.S(IF(('3.1. Gas prod VF'!$L$13:$L$1230=$F152) *('3.1. Gas prod VF'!$M$13:$M$1230=$E152),'3.1. Gas prod VF'!$AT$13:$AT$1230))</f>
        <v>3.021320284901265</v>
      </c>
      <c r="AB152" s="314" cm="1">
        <f t="array" ref="AB152">_xlfn.STDEV.S(IF(('3.1. Gas prod VF'!$L$13:$L$1230=$F152) *('3.1. Gas prod VF'!$M$13:$M$1230=$E152),'3.1. Gas prod VF'!$AU$13:$AU$1230))</f>
        <v>0.27173515366696982</v>
      </c>
      <c r="AC152" s="314" cm="1">
        <f t="array" ref="AC152">_xlfn.STDEV.S(IF(('3.1. Gas prod VF'!$L$13:$L$1230=$F152) *('3.1. Gas prod VF'!$M$13:$M$1230=$E152),'3.1. Gas prod VF'!$AU$13:$AV$1230))</f>
        <v>12.511756357550038</v>
      </c>
      <c r="AD152" s="20"/>
      <c r="AE152" s="20"/>
    </row>
    <row r="153" spans="2:31" x14ac:dyDescent="0.35">
      <c r="B153" s="62">
        <f>'1. Information samples'!B153</f>
        <v>143</v>
      </c>
      <c r="C153" s="198">
        <f>'1. Information samples'!C153</f>
        <v>46062</v>
      </c>
      <c r="D153" s="62" t="str">
        <f>'1. Information samples'!D153</f>
        <v>Genbank</v>
      </c>
      <c r="E153" s="316">
        <f>'1. Information samples'!E153</f>
        <v>30</v>
      </c>
      <c r="F153" s="62" t="str">
        <f>'1. Information samples'!F153</f>
        <v>F260040</v>
      </c>
      <c r="G153" s="62" t="str">
        <f>'1. Information samples'!G153</f>
        <v>CIAT23414</v>
      </c>
      <c r="H153" s="62" t="str">
        <f>'1. Information samples'!H153</f>
        <v>Codariocalyx</v>
      </c>
      <c r="I153" s="62" t="str">
        <f>'1. Information samples'!I153</f>
        <v>motorius</v>
      </c>
      <c r="J153" s="62" t="str">
        <f>'1. Information samples'!J153</f>
        <v>Codariocalyx motorius</v>
      </c>
      <c r="K153" s="62" t="str">
        <f>'1. Information samples'!K153</f>
        <v>Fabaceae</v>
      </c>
      <c r="L153" s="62" t="str">
        <f>'1. Information samples'!L153</f>
        <v>Fabales</v>
      </c>
      <c r="M153" s="62" t="str">
        <f>'1. Information samples'!M153</f>
        <v>Shurb_Tree</v>
      </c>
      <c r="N153" s="314">
        <f>_xlfn.STDEV.S('3.1. Gas prod VF'!AG1067,'3.1. Gas prod VF'!AG1068,'3.1. Gas prod VF'!AG1069,'3.1. Gas prod VF'!AG1217,'3.1. Gas prod VF'!AG1218)</f>
        <v>1.5716362937075226</v>
      </c>
      <c r="O153" s="314">
        <f>_xlfn.STDEV.S('3.1. Gas prod VF'!AH1067,'3.1. Gas prod VF'!AH1068,'3.1. Gas prod VF'!AH1069,'3.1. Gas prod VF'!AH1217,'3.1. Gas prod VF'!AH1218)</f>
        <v>1.6976958610770716</v>
      </c>
      <c r="P153" s="314">
        <f>_xlfn.STDEV.S('3.1. Gas prod VF'!AI1067,'3.1. Gas prod VF'!AI1068,'3.1. Gas prod VF'!AI1069,'3.1. Gas prod VF'!AI1217,'3.1. Gas prod VF'!AI1218)</f>
        <v>2.9141217170586202</v>
      </c>
      <c r="Q153" s="314">
        <f>_xlfn.STDEV.S('3.1. Gas prod VF'!AJ1067,'3.1. Gas prod VF'!AJ1068,'3.1. Gas prod VF'!AJ1069,'3.1. Gas prod VF'!AJ1217,'3.1. Gas prod VF'!AJ1218)</f>
        <v>0.15961366742746358</v>
      </c>
      <c r="R153" s="314">
        <f>_xlfn.STDEV.S('3.1. Gas prod VF'!AK1067,'3.1. Gas prod VF'!AK1068,'3.1. Gas prod VF'!AK1069,'3.1. Gas prod VF'!AK1217,'3.1. Gas prod VF'!AK1218)</f>
        <v>0.25931865845256369</v>
      </c>
      <c r="S153" s="314">
        <f>_xlfn.STDEV.S('3.1. Gas prod VF'!AL1067,'3.1. Gas prod VF'!AL1068,'3.1. Gas prod VF'!AL1069,'3.1. Gas prod VF'!AL1217,'3.1. Gas prod VF'!AL1218)</f>
        <v>0.39762477884870473</v>
      </c>
      <c r="T153" s="314">
        <f>_xlfn.STDEV.S('3.1. Gas prod VF'!AM1067,'3.1. Gas prod VF'!AM1068,'3.1. Gas prod VF'!AM1069,'3.1. Gas prod VF'!AM1217,'3.1. Gas prod VF'!AM1218)</f>
        <v>6.0971788772748861</v>
      </c>
      <c r="U153" s="314">
        <f>_xlfn.STDEV.S('3.1. Gas prod VF'!AN1067,'3.1. Gas prod VF'!AN1068,'3.1. Gas prod VF'!AN1069,'3.1. Gas prod VF'!AN1217,'3.1. Gas prod VF'!AN1218)</f>
        <v>4.0936551081992079</v>
      </c>
      <c r="V153" s="314">
        <f>_xlfn.STDEV.S('3.1. Gas prod VF'!AO1067,'3.1. Gas prod VF'!AO1068,'3.1. Gas prod VF'!AO1069,'3.1. Gas prod VF'!AO1217,'3.1. Gas prod VF'!AO1218)</f>
        <v>0.32081200418189609</v>
      </c>
      <c r="W153" s="314">
        <f>_xlfn.STDEV.S('3.1. Gas prod VF'!AP1067,'3.1. Gas prod VF'!AP1068,'3.1. Gas prod VF'!AP1069,'3.1. Gas prod VF'!AP1217,'3.1. Gas prod VF'!AP1218)</f>
        <v>0.44721359549995632</v>
      </c>
      <c r="X153" s="314">
        <f>_xlfn.STDEV.S('3.1. Gas prod VF'!AQ1067,'3.1. Gas prod VF'!AQ1068,'3.1. Gas prod VF'!AQ1069,'3.1. Gas prod VF'!AQ1217,'3.1. Gas prod VF'!AQ1218)</f>
        <v>0.35790819431987458</v>
      </c>
      <c r="Y153" s="314">
        <f>_xlfn.STDEV.S('3.1. Gas prod VF'!AR1067,'3.1. Gas prod VF'!AR1068,'3.1. Gas prod VF'!AR1069,'3.1. Gas prod VF'!AR1217,'3.1. Gas prod VF'!AR1218)</f>
        <v>0.83349110643836832</v>
      </c>
      <c r="Z153" s="314">
        <f>_xlfn.STDEV.S('3.1. Gas prod VF'!AS1067,'3.1. Gas prod VF'!AS1068,'3.1. Gas prod VF'!AS1069,'3.1. Gas prod VF'!AS1217,'3.1. Gas prod VF'!AS1218)</f>
        <v>12.591649201762399</v>
      </c>
      <c r="AA153" s="314">
        <f>_xlfn.STDEV.S('3.1. Gas prod VF'!AT1067,'3.1. Gas prod VF'!AT1068,'3.1. Gas prod VF'!AT1069,'3.1. Gas prod VF'!AT1217,'3.1. Gas prod VF'!AT1218)</f>
        <v>0.19721257977270656</v>
      </c>
      <c r="AB153" s="314">
        <f>_xlfn.STDEV.S('3.1. Gas prod VF'!AU1067,'3.1. Gas prod VF'!AU1068,'3.1. Gas prod VF'!AU1069,'3.1. Gas prod VF'!AU1217,'3.1. Gas prod VF'!AU1218)</f>
        <v>0.46260198433465155</v>
      </c>
      <c r="AC153" s="314">
        <f>_xlfn.STDEV.S('3.1. Gas prod VF'!AV1067,'3.1. Gas prod VF'!AV1068,'3.1. Gas prod VF'!AV1069,'3.1. Gas prod VF'!AV1217,'3.1. Gas prod VF'!AV1218)</f>
        <v>6.9885831555802334</v>
      </c>
      <c r="AD153" s="20"/>
      <c r="AE153" s="20"/>
    </row>
    <row r="154" spans="2:31" x14ac:dyDescent="0.35">
      <c r="B154" s="62">
        <f>'1. Information samples'!B154</f>
        <v>144</v>
      </c>
      <c r="C154" s="198">
        <f>'1. Information samples'!C154</f>
        <v>46062</v>
      </c>
      <c r="D154" s="62" t="str">
        <f>'1. Information samples'!D154</f>
        <v>Genbank</v>
      </c>
      <c r="E154" s="316">
        <f>'1. Information samples'!E154</f>
        <v>30</v>
      </c>
      <c r="F154" s="62" t="str">
        <f>'1. Information samples'!F154</f>
        <v>F260041</v>
      </c>
      <c r="G154" s="62" t="str">
        <f>'1. Information samples'!G154</f>
        <v>CIAT23767</v>
      </c>
      <c r="H154" s="62" t="str">
        <f>'1. Information samples'!H154</f>
        <v>Desmodium</v>
      </c>
      <c r="I154" s="62" t="str">
        <f>'1. Information samples'!I154</f>
        <v>nicaraguense</v>
      </c>
      <c r="J154" s="62" t="str">
        <f>'1. Information samples'!J154</f>
        <v>Desmodium nicaraguense</v>
      </c>
      <c r="K154" s="62" t="str">
        <f>'1. Information samples'!K154</f>
        <v>Fabaceae</v>
      </c>
      <c r="L154" s="62" t="str">
        <f>'1. Information samples'!L154</f>
        <v>Fabales</v>
      </c>
      <c r="M154" s="62" t="str">
        <f>'1. Information samples'!M154</f>
        <v>Shurb_Tree</v>
      </c>
      <c r="N154" s="314" cm="1">
        <f t="array" ref="N154">_xlfn.STDEV.S(IF(('3.1. Gas prod VF'!$L$13:$L$1230=$F154) *('3.1. Gas prod VF'!$M$13:$M$1230=$E154),'3.1. Gas prod VF'!$AG$13:$AG$1230))</f>
        <v>2.7000452617487376</v>
      </c>
      <c r="O154" s="314" cm="1">
        <f t="array" ref="O154">_xlfn.STDEV.S(IF(('3.1. Gas prod VF'!$L$13:$L$1230=$F154) *('3.1. Gas prod VF'!$M$13:$M$1230=$E154),'3.1. Gas prod VF'!$AH$13:$AH$1230))</f>
        <v>2.1018618653889587</v>
      </c>
      <c r="P154" s="314" cm="1">
        <f t="array" ref="P154">_xlfn.STDEV.S(IF(('3.1. Gas prod VF'!$L$13:$L$1230=$F154) *('3.1. Gas prod VF'!$M$13:$M$1230=$E154),'3.1. Gas prod VF'!$AI$13:$AI$1230))</f>
        <v>3.9844512812536146</v>
      </c>
      <c r="Q154" s="314" cm="1">
        <f t="array" ref="Q154">_xlfn.STDEV.S(IF(('3.1. Gas prod VF'!$L$13:$L$1230=$F154) *('3.1. Gas prod VF'!$M$13:$M$1230=$E154),'3.1. Gas prod VF'!$AJ$13:$AJ$1230))</f>
        <v>0.53488806929385635</v>
      </c>
      <c r="R154" s="314" cm="1">
        <f t="array" ref="R154">_xlfn.STDEV.S(IF(('3.1. Gas prod VF'!$L$13:$L$1230=$F154) *('3.1. Gas prod VF'!$M$13:$M$1230=$E154),'3.1. Gas prod VF'!$AK$13:$AK$1230))</f>
        <v>0.50217176196405444</v>
      </c>
      <c r="S154" s="314" cm="1">
        <f t="array" ref="S154">_xlfn.STDEV.S(IF(('3.1. Gas prod VF'!$L$13:$L$1230=$F154) *('3.1. Gas prod VF'!$M$13:$M$1230=$E154),'3.1. Gas prod VF'!$AL$13:$AL$1230))</f>
        <v>0.76298297249633384</v>
      </c>
      <c r="T154" s="314" cm="1">
        <f t="array" ref="T154">_xlfn.STDEV.S(IF(('3.1. Gas prod VF'!$L$13:$L$1230=$F154) *('3.1. Gas prod VF'!$M$13:$M$1230=$E154),'3.1. Gas prod VF'!$AM$13:$AM$1230))</f>
        <v>8.3639071411117207</v>
      </c>
      <c r="U154" s="314" cm="1">
        <f t="array" ref="U154">_xlfn.STDEV.S(IF(('3.1. Gas prod VF'!$L$13:$L$1230=$F154) *('3.1. Gas prod VF'!$M$13:$M$1230=$E154),'3.1. Gas prod VF'!$AN$13:$AN$1230))</f>
        <v>4.8222213914271768</v>
      </c>
      <c r="V154" s="314" cm="1">
        <f t="array" ref="V154">_xlfn.STDEV.S(IF(('3.1. Gas prod VF'!$L$13:$L$1230=$F154) *('3.1. Gas prod VF'!$M$13:$M$1230=$E154),'3.1. Gas prod VF'!$AO$13:$AO$1230))</f>
        <v>0.28098577363481303</v>
      </c>
      <c r="W154" s="314" cm="1">
        <f t="array" ref="W154">_xlfn.STDEV.S(IF(('3.1. Gas prod VF'!$L$13:$L$1230=$F154) *('3.1. Gas prod VF'!$M$13:$M$1230=$E154),'3.1. Gas prod VF'!$AP$13:$AP$1230))</f>
        <v>0.40355562548072954</v>
      </c>
      <c r="X154" s="314" cm="1">
        <f t="array" ref="X154">_xlfn.STDEV.S(IF(('3.1. Gas prod VF'!$L$13:$L$1230=$F154) *('3.1. Gas prod VF'!$M$13:$M$1230=$E154),'3.1. Gas prod VF'!$AQ$13:$AQ$1230))</f>
        <v>0.21465795583124328</v>
      </c>
      <c r="Y154" s="314" cm="1">
        <f t="array" ref="Y154">_xlfn.STDEV.S(IF(('3.1. Gas prod VF'!$L$13:$L$1230=$F154) *('3.1. Gas prod VF'!$M$13:$M$1230=$E154),'3.1. Gas prod VF'!$AR$13:$AR$1230))</f>
        <v>1.6027663284859694</v>
      </c>
      <c r="Z154" s="314" cm="1">
        <f t="array" ref="Z154">_xlfn.STDEV.S(IF(('3.1. Gas prod VF'!$L$13:$L$1230=$F154) *('3.1. Gas prod VF'!$M$13:$M$1230=$E154),'3.1. Gas prod VF'!$AS$13:$AS$1230))</f>
        <v>5.1582976794908459</v>
      </c>
      <c r="AA154" s="314" cm="1">
        <f t="array" ref="AA154">_xlfn.STDEV.S(IF(('3.1. Gas prod VF'!$L$13:$L$1230=$F154) *('3.1. Gas prod VF'!$M$13:$M$1230=$E154),'3.1. Gas prod VF'!$AT$13:$AT$1230))</f>
        <v>4.7409917735951881</v>
      </c>
      <c r="AB154" s="314" cm="1">
        <f t="array" ref="AB154">_xlfn.STDEV.S(IF(('3.1. Gas prod VF'!$L$13:$L$1230=$F154) *('3.1. Gas prod VF'!$M$13:$M$1230=$E154),'3.1. Gas prod VF'!$AU$13:$AU$1230))</f>
        <v>0.88956304183096657</v>
      </c>
      <c r="AC154" s="314" cm="1">
        <f t="array" ref="AC154">_xlfn.STDEV.S(IF(('3.1. Gas prod VF'!$L$13:$L$1230=$F154) *('3.1. Gas prod VF'!$M$13:$M$1230=$E154),'3.1. Gas prod VF'!$AU$13:$AV$1230))</f>
        <v>9.0237037531348534</v>
      </c>
      <c r="AD154" s="20"/>
      <c r="AE154" s="20"/>
    </row>
    <row r="155" spans="2:31" x14ac:dyDescent="0.35">
      <c r="B155" s="62">
        <f>'1. Information samples'!B155</f>
        <v>145</v>
      </c>
      <c r="C155" s="198">
        <f>'1. Information samples'!C155</f>
        <v>46062</v>
      </c>
      <c r="D155" s="62" t="str">
        <f>'1. Information samples'!D155</f>
        <v>Genbank</v>
      </c>
      <c r="E155" s="316">
        <f>'1. Information samples'!E155</f>
        <v>30</v>
      </c>
      <c r="F155" s="62" t="str">
        <f>'1. Information samples'!F155</f>
        <v>F260042</v>
      </c>
      <c r="G155" s="62" t="str">
        <f>'1. Information samples'!G155</f>
        <v>CIAT33127</v>
      </c>
      <c r="H155" s="62" t="str">
        <f>'1. Information samples'!H155</f>
        <v>Codariocalyx</v>
      </c>
      <c r="I155" s="62" t="str">
        <f>'1. Information samples'!I155</f>
        <v>motorius</v>
      </c>
      <c r="J155" s="62" t="str">
        <f>'1. Information samples'!J155</f>
        <v>Codariocalyx motorius</v>
      </c>
      <c r="K155" s="62" t="str">
        <f>'1. Information samples'!K155</f>
        <v>Fabaceae</v>
      </c>
      <c r="L155" s="62" t="str">
        <f>'1. Information samples'!L155</f>
        <v>Fabales</v>
      </c>
      <c r="M155" s="62" t="str">
        <f>'1. Information samples'!M155</f>
        <v>Shurb_Tree</v>
      </c>
      <c r="N155" s="314"/>
      <c r="O155" s="314"/>
      <c r="P155" s="314"/>
      <c r="Q155" s="314"/>
      <c r="R155" s="314"/>
      <c r="S155" s="314"/>
      <c r="T155" s="314"/>
      <c r="U155" s="314"/>
      <c r="V155" s="314"/>
      <c r="W155" s="314"/>
      <c r="X155" s="314"/>
      <c r="Y155" s="314"/>
      <c r="Z155" s="314"/>
      <c r="AA155" s="314"/>
      <c r="AB155" s="314"/>
      <c r="AC155" s="314"/>
      <c r="AD155" s="20" t="s">
        <v>710</v>
      </c>
      <c r="AE155" s="20" t="s">
        <v>714</v>
      </c>
    </row>
    <row r="156" spans="2:31" x14ac:dyDescent="0.35">
      <c r="B156" s="62">
        <f>'1. Information samples'!B156</f>
        <v>146</v>
      </c>
      <c r="C156" s="198">
        <f>'1. Information samples'!C156</f>
        <v>46062</v>
      </c>
      <c r="D156" s="62" t="str">
        <f>'1. Information samples'!D156</f>
        <v>Breeding</v>
      </c>
      <c r="E156" s="316">
        <f>'1. Information samples'!E156</f>
        <v>30</v>
      </c>
      <c r="F156" s="62" t="str">
        <f>'1. Information samples'!F156</f>
        <v>F252104</v>
      </c>
      <c r="G156" s="62" t="str">
        <f>'1. Information samples'!G156</f>
        <v>CIAT-BR06_1348</v>
      </c>
      <c r="H156" s="62" t="str">
        <f>'1. Information samples'!H156</f>
        <v>Urochloa</v>
      </c>
      <c r="I156" s="62" t="str">
        <f>'1. Information samples'!I156</f>
        <v>interespecifico</v>
      </c>
      <c r="J156" s="62" t="str">
        <f>'1. Information samples'!J156</f>
        <v>Brachiaria interespecifico</v>
      </c>
      <c r="K156" s="62" t="str">
        <f>'1. Information samples'!K156</f>
        <v>Poaceae</v>
      </c>
      <c r="L156" s="62" t="str">
        <f>'1. Information samples'!L156</f>
        <v>Poales</v>
      </c>
      <c r="M156" s="62" t="str">
        <f>'1. Information samples'!M156</f>
        <v>grasses</v>
      </c>
      <c r="N156" s="314" cm="1">
        <f t="array" ref="N156">_xlfn.STDEV.S(IF(('3.1. Gas prod VF'!$L$13:$L$1230=$F156) *('3.1. Gas prod VF'!$M$13:$M$1230=$E156),'3.1. Gas prod VF'!$AG$13:$AG$1230))</f>
        <v>1.8567663593924038</v>
      </c>
      <c r="O156" s="314" cm="1">
        <f t="array" ref="O156">_xlfn.STDEV.S(IF(('3.1. Gas prod VF'!$L$13:$L$1230=$F156) *('3.1. Gas prod VF'!$M$13:$M$1230=$E156),'3.1. Gas prod VF'!$AH$13:$AH$1230))</f>
        <v>6.0769720890587244</v>
      </c>
      <c r="P156" s="314" cm="1">
        <f t="array" ref="P156">_xlfn.STDEV.S(IF(('3.1. Gas prod VF'!$L$13:$L$1230=$F156) *('3.1. Gas prod VF'!$M$13:$M$1230=$E156),'3.1. Gas prod VF'!$AI$13:$AI$1230))</f>
        <v>7.3041844796252517</v>
      </c>
      <c r="Q156" s="314" cm="1">
        <f t="array" ref="Q156">_xlfn.STDEV.S(IF(('3.1. Gas prod VF'!$L$13:$L$1230=$F156) *('3.1. Gas prod VF'!$M$13:$M$1230=$E156),'3.1. Gas prod VF'!$AJ$13:$AJ$1230))</f>
        <v>0.28995606929938328</v>
      </c>
      <c r="R156" s="314" cm="1">
        <f t="array" ref="R156">_xlfn.STDEV.S(IF(('3.1. Gas prod VF'!$L$13:$L$1230=$F156) *('3.1. Gas prod VF'!$M$13:$M$1230=$E156),'3.1. Gas prod VF'!$AK$13:$AK$1230))</f>
        <v>0.96410308190527838</v>
      </c>
      <c r="S156" s="314" cm="1">
        <f t="array" ref="S156">_xlfn.STDEV.S(IF(('3.1. Gas prod VF'!$L$13:$L$1230=$F156) *('3.1. Gas prod VF'!$M$13:$M$1230=$E156),'3.1. Gas prod VF'!$AL$13:$AL$1230))</f>
        <v>1.1119519122048338</v>
      </c>
      <c r="T156" s="314" cm="1">
        <f t="array" ref="T156">_xlfn.STDEV.S(IF(('3.1. Gas prod VF'!$L$13:$L$1230=$F156) *('3.1. Gas prod VF'!$M$13:$M$1230=$E156),'3.1. Gas prod VF'!$AM$13:$AM$1230))</f>
        <v>15.720797948925089</v>
      </c>
      <c r="U156" s="314" cm="1">
        <f t="array" ref="U156">_xlfn.STDEV.S(IF(('3.1. Gas prod VF'!$L$13:$L$1230=$F156) *('3.1. Gas prod VF'!$M$13:$M$1230=$E156),'3.1. Gas prod VF'!$AN$13:$AN$1230))</f>
        <v>7.1378696654727154</v>
      </c>
      <c r="V156" s="314" cm="1">
        <f t="array" ref="V156">_xlfn.STDEV.S(IF(('3.1. Gas prod VF'!$L$13:$L$1230=$F156) *('3.1. Gas prod VF'!$M$13:$M$1230=$E156),'3.1. Gas prod VF'!$AO$13:$AO$1230))</f>
        <v>0.3126893730027156</v>
      </c>
      <c r="W156" s="314" cm="1">
        <f t="array" ref="W156">_xlfn.STDEV.S(IF(('3.1. Gas prod VF'!$L$13:$L$1230=$F156) *('3.1. Gas prod VF'!$M$13:$M$1230=$E156),'3.1. Gas prod VF'!$AP$13:$AP$1230))</f>
        <v>0.28199966227605622</v>
      </c>
      <c r="X156" s="314" cm="1">
        <f t="array" ref="X156">_xlfn.STDEV.S(IF(('3.1. Gas prod VF'!$L$13:$L$1230=$F156) *('3.1. Gas prod VF'!$M$13:$M$1230=$E156),'3.1. Gas prod VF'!$AQ$13:$AQ$1230))</f>
        <v>0.20473528059910784</v>
      </c>
      <c r="Y156" s="314" cm="1">
        <f t="array" ref="Y156">_xlfn.STDEV.S(IF(('3.1. Gas prod VF'!$L$13:$L$1230=$F156) *('3.1. Gas prod VF'!$M$13:$M$1230=$E156),'3.1. Gas prod VF'!$AR$13:$AR$1230))</f>
        <v>2.3920642842906306</v>
      </c>
      <c r="Z156" s="314" cm="1">
        <f t="array" ref="Z156">_xlfn.STDEV.S(IF(('3.1. Gas prod VF'!$L$13:$L$1230=$F156) *('3.1. Gas prod VF'!$M$13:$M$1230=$E156),'3.1. Gas prod VF'!$AS$13:$AS$1230))</f>
        <v>4.9398312547387491</v>
      </c>
      <c r="AA156" s="314" cm="1">
        <f t="array" ref="AA156">_xlfn.STDEV.S(IF(('3.1. Gas prod VF'!$L$13:$L$1230=$F156) *('3.1. Gas prod VF'!$M$13:$M$1230=$E156),'3.1. Gas prod VF'!$AT$13:$AT$1230))</f>
        <v>0.21770586758931298</v>
      </c>
      <c r="AB156" s="314" cm="1">
        <f t="array" ref="AB156">_xlfn.STDEV.S(IF(('3.1. Gas prod VF'!$L$13:$L$1230=$F156) *('3.1. Gas prod VF'!$M$13:$M$1230=$E156),'3.1. Gas prod VF'!$AU$13:$AU$1230))</f>
        <v>1.3276370629765295</v>
      </c>
      <c r="AC156" s="314" cm="1">
        <f t="array" ref="AC156">_xlfn.STDEV.S(IF(('3.1. Gas prod VF'!$L$13:$L$1230=$F156) *('3.1. Gas prod VF'!$M$13:$M$1230=$E156),'3.1. Gas prod VF'!$AU$13:$AV$1230))</f>
        <v>7.1049505833526609</v>
      </c>
      <c r="AD156" s="20"/>
      <c r="AE156" s="20"/>
    </row>
    <row r="157" spans="2:31" x14ac:dyDescent="0.35">
      <c r="B157" s="62">
        <f>'1. Information samples'!B157</f>
        <v>147</v>
      </c>
      <c r="C157" s="198">
        <f>'1. Information samples'!C157</f>
        <v>46062</v>
      </c>
      <c r="D157" s="62" t="str">
        <f>'1. Information samples'!D157</f>
        <v>Breeding</v>
      </c>
      <c r="E157" s="316">
        <f>'1. Information samples'!E157</f>
        <v>30</v>
      </c>
      <c r="F157" s="62" t="str">
        <f>'1. Information samples'!F157</f>
        <v>F252166</v>
      </c>
      <c r="G157" s="62" t="str">
        <f>'1. Information samples'!G157</f>
        <v>CIAT-BH22_0528</v>
      </c>
      <c r="H157" s="62" t="str">
        <f>'1. Information samples'!H157</f>
        <v>Urochloa</v>
      </c>
      <c r="I157" s="62" t="str">
        <f>'1. Information samples'!I157</f>
        <v>humidicola</v>
      </c>
      <c r="J157" s="62" t="str">
        <f>'1. Information samples'!J157</f>
        <v>Urochloa humidicola</v>
      </c>
      <c r="K157" s="62" t="str">
        <f>'1. Information samples'!K157</f>
        <v>Poaceae</v>
      </c>
      <c r="L157" s="62" t="str">
        <f>'1. Information samples'!L157</f>
        <v>Poales</v>
      </c>
      <c r="M157" s="62" t="str">
        <f>'1. Information samples'!M157</f>
        <v>grasses</v>
      </c>
      <c r="N157" s="314" cm="1">
        <f t="array" ref="N157">_xlfn.STDEV.S(IF(('3.1. Gas prod VF'!$L$13:$L$1230=$F157) *('3.1. Gas prod VF'!$M$13:$M$1230=$E157),'3.1. Gas prod VF'!$AG$13:$AG$1230))</f>
        <v>1.3276659099580541</v>
      </c>
      <c r="O157" s="314" cm="1">
        <f t="array" ref="O157">_xlfn.STDEV.S(IF(('3.1. Gas prod VF'!$L$13:$L$1230=$F157) *('3.1. Gas prod VF'!$M$13:$M$1230=$E157),'3.1. Gas prod VF'!$AH$13:$AH$1230))</f>
        <v>1.2740425681732137</v>
      </c>
      <c r="P157" s="314" cm="1">
        <f t="array" ref="P157">_xlfn.STDEV.S(IF(('3.1. Gas prod VF'!$L$13:$L$1230=$F157) *('3.1. Gas prod VF'!$M$13:$M$1230=$E157),'3.1. Gas prod VF'!$AI$13:$AI$1230))</f>
        <v>2.1003915272069946</v>
      </c>
      <c r="Q157" s="314" cm="1">
        <f t="array" ref="Q157">_xlfn.STDEV.S(IF(('3.1. Gas prod VF'!$L$13:$L$1230=$F157) *('3.1. Gas prod VF'!$M$13:$M$1230=$E157),'3.1. Gas prod VF'!$AJ$13:$AJ$1230))</f>
        <v>0.23296879973799692</v>
      </c>
      <c r="R157" s="314" cm="1">
        <f t="array" ref="R157">_xlfn.STDEV.S(IF(('3.1. Gas prod VF'!$L$13:$L$1230=$F157) *('3.1. Gas prod VF'!$M$13:$M$1230=$E157),'3.1. Gas prod VF'!$AK$13:$AK$1230))</f>
        <v>0.24314445197260875</v>
      </c>
      <c r="S157" s="314" cm="1">
        <f t="array" ref="S157">_xlfn.STDEV.S(IF(('3.1. Gas prod VF'!$L$13:$L$1230=$F157) *('3.1. Gas prod VF'!$M$13:$M$1230=$E157),'3.1. Gas prod VF'!$AL$13:$AL$1230))</f>
        <v>0.42813358591998218</v>
      </c>
      <c r="T157" s="314" cm="1">
        <f t="array" ref="T157">_xlfn.STDEV.S(IF(('3.1. Gas prod VF'!$L$13:$L$1230=$F157) *('3.1. Gas prod VF'!$M$13:$M$1230=$E157),'3.1. Gas prod VF'!$AM$13:$AM$1230))</f>
        <v>4.2347846639508537</v>
      </c>
      <c r="U157" s="314" cm="1">
        <f t="array" ref="U157">_xlfn.STDEV.S(IF(('3.1. Gas prod VF'!$L$13:$L$1230=$F157) *('3.1. Gas prod VF'!$M$13:$M$1230=$E157),'3.1. Gas prod VF'!$AN$13:$AN$1230))</f>
        <v>5.0104779138220294</v>
      </c>
      <c r="V157" s="314" cm="1">
        <f t="array" ref="V157">_xlfn.STDEV.S(IF(('3.1. Gas prod VF'!$L$13:$L$1230=$F157) *('3.1. Gas prod VF'!$M$13:$M$1230=$E157),'3.1. Gas prod VF'!$AO$13:$AO$1230))</f>
        <v>0.26103594547126263</v>
      </c>
      <c r="W157" s="314" cm="1">
        <f t="array" ref="W157">_xlfn.STDEV.S(IF(('3.1. Gas prod VF'!$L$13:$L$1230=$F157) *('3.1. Gas prod VF'!$M$13:$M$1230=$E157),'3.1. Gas prod VF'!$AP$13:$AP$1230))</f>
        <v>0.42314018840996315</v>
      </c>
      <c r="X157" s="314" cm="1">
        <f t="array" ref="X157">_xlfn.STDEV.S(IF(('3.1. Gas prod VF'!$L$13:$L$1230=$F157) *('3.1. Gas prod VF'!$M$13:$M$1230=$E157),'3.1. Gas prod VF'!$AQ$13:$AQ$1230))</f>
        <v>0.26997965597033902</v>
      </c>
      <c r="Y157" s="314" cm="1">
        <f t="array" ref="Y157">_xlfn.STDEV.S(IF(('3.1. Gas prod VF'!$L$13:$L$1230=$F157) *('3.1. Gas prod VF'!$M$13:$M$1230=$E157),'3.1. Gas prod VF'!$AR$13:$AR$1230))</f>
        <v>0.86453132444528324</v>
      </c>
      <c r="Z157" s="314" cm="1">
        <f t="array" ref="Z157">_xlfn.STDEV.S(IF(('3.1. Gas prod VF'!$L$13:$L$1230=$F157) *('3.1. Gas prod VF'!$M$13:$M$1230=$E157),'3.1. Gas prod VF'!$AS$13:$AS$1230))</f>
        <v>6.8863356520295733</v>
      </c>
      <c r="AA157" s="314" cm="1">
        <f t="array" ref="AA157">_xlfn.STDEV.S(IF(('3.1. Gas prod VF'!$L$13:$L$1230=$F157) *('3.1. Gas prod VF'!$M$13:$M$1230=$E157),'3.1. Gas prod VF'!$AT$13:$AT$1230))</f>
        <v>0.212331845632283</v>
      </c>
      <c r="AB157" s="314" cm="1">
        <f t="array" ref="AB157">_xlfn.STDEV.S(IF(('3.1. Gas prod VF'!$L$13:$L$1230=$F157) *('3.1. Gas prod VF'!$M$13:$M$1230=$E157),'3.1. Gas prod VF'!$AU$13:$AU$1230))</f>
        <v>0.47982984235648374</v>
      </c>
      <c r="AC157" s="314" cm="1">
        <f t="array" ref="AC157">_xlfn.STDEV.S(IF(('3.1. Gas prod VF'!$L$13:$L$1230=$F157) *('3.1. Gas prod VF'!$M$13:$M$1230=$E157),'3.1. Gas prod VF'!$AU$13:$AV$1230))</f>
        <v>10.519449906224356</v>
      </c>
      <c r="AD157" s="20"/>
      <c r="AE157" s="20"/>
    </row>
    <row r="158" spans="2:31" x14ac:dyDescent="0.35">
      <c r="B158" s="62">
        <f>'1. Information samples'!B158</f>
        <v>148</v>
      </c>
      <c r="C158" s="198">
        <f>'1. Information samples'!C158</f>
        <v>46062</v>
      </c>
      <c r="D158" s="62" t="str">
        <f>'1. Information samples'!D158</f>
        <v>Jacobo Arango/ Alejandro Montoya</v>
      </c>
      <c r="E158" s="316">
        <f>'1. Information samples'!E158</f>
        <v>30</v>
      </c>
      <c r="F158" s="62" t="str">
        <f>'1. Information samples'!F158</f>
        <v>F250008</v>
      </c>
      <c r="G158" s="62" t="str">
        <f>'1. Information samples'!G158</f>
        <v>Sample 8</v>
      </c>
      <c r="H158" s="62" t="str">
        <f>'1. Information samples'!H158</f>
        <v>Cynodon</v>
      </c>
      <c r="I158" s="62" t="str">
        <f>'1. Information samples'!I158</f>
        <v xml:space="preserve"> nlemfuensis </v>
      </c>
      <c r="J158" s="62" t="str">
        <f>'1. Information samples'!J158</f>
        <v xml:space="preserve">Cynodon nlemfuensis </v>
      </c>
      <c r="K158" s="62" t="str">
        <f>'1. Information samples'!K158</f>
        <v>Poaceae</v>
      </c>
      <c r="L158" s="62" t="str">
        <f>'1. Information samples'!L158</f>
        <v>Poales</v>
      </c>
      <c r="M158" s="62" t="str">
        <f>'1. Information samples'!M158</f>
        <v>grasses</v>
      </c>
      <c r="N158" s="314" cm="1">
        <f t="array" ref="N158">_xlfn.STDEV.S(IF(('3.1. Gas prod VF'!$L$13:$L$1230=$F158) *('3.1. Gas prod VF'!$M$13:$M$1230=$E158),'3.1. Gas prod VF'!$AG$13:$AG$1230))</f>
        <v>1.7127207735919625</v>
      </c>
      <c r="O158" s="314" cm="1">
        <f t="array" ref="O158">_xlfn.STDEV.S(IF(('3.1. Gas prod VF'!$L$13:$L$1230=$F158) *('3.1. Gas prod VF'!$M$13:$M$1230=$E158),'3.1. Gas prod VF'!$AH$13:$AH$1230))</f>
        <v>2.0379864023816832</v>
      </c>
      <c r="P158" s="314" cm="1">
        <f t="array" ref="P158">_xlfn.STDEV.S(IF(('3.1. Gas prod VF'!$L$13:$L$1230=$F158) *('3.1. Gas prod VF'!$M$13:$M$1230=$E158),'3.1. Gas prod VF'!$AI$13:$AI$1230))</f>
        <v>2.8668077987258642</v>
      </c>
      <c r="Q158" s="314" cm="1">
        <f t="array" ref="Q158">_xlfn.STDEV.S(IF(('3.1. Gas prod VF'!$L$13:$L$1230=$F158) *('3.1. Gas prod VF'!$M$13:$M$1230=$E158),'3.1. Gas prod VF'!$AJ$13:$AJ$1230))</f>
        <v>0.34862962114776214</v>
      </c>
      <c r="R158" s="314" cm="1">
        <f t="array" ref="R158">_xlfn.STDEV.S(IF(('3.1. Gas prod VF'!$L$13:$L$1230=$F158) *('3.1. Gas prod VF'!$M$13:$M$1230=$E158),'3.1. Gas prod VF'!$AK$13:$AK$1230))</f>
        <v>0.35530649007905968</v>
      </c>
      <c r="S158" s="314" cm="1">
        <f t="array" ref="S158">_xlfn.STDEV.S(IF(('3.1. Gas prod VF'!$L$13:$L$1230=$F158) *('3.1. Gas prod VF'!$M$13:$M$1230=$E158),'3.1. Gas prod VF'!$AL$13:$AL$1230))</f>
        <v>0.50030894240641699</v>
      </c>
      <c r="T158" s="314" cm="1">
        <f t="array" ref="T158">_xlfn.STDEV.S(IF(('3.1. Gas prod VF'!$L$13:$L$1230=$F158) *('3.1. Gas prod VF'!$M$13:$M$1230=$E158),'3.1. Gas prod VF'!$AM$13:$AM$1230))</f>
        <v>6.1060386110155438</v>
      </c>
      <c r="U158" s="314" cm="1">
        <f t="array" ref="U158">_xlfn.STDEV.S(IF(('3.1. Gas prod VF'!$L$13:$L$1230=$F158) *('3.1. Gas prod VF'!$M$13:$M$1230=$E158),'3.1. Gas prod VF'!$AN$13:$AN$1230))</f>
        <v>6.3290861373775344</v>
      </c>
      <c r="V158" s="314" cm="1">
        <f t="array" ref="V158">_xlfn.STDEV.S(IF(('3.1. Gas prod VF'!$L$13:$L$1230=$F158) *('3.1. Gas prod VF'!$M$13:$M$1230=$E158),'3.1. Gas prod VF'!$AO$13:$AO$1230))</f>
        <v>0.41172092750228312</v>
      </c>
      <c r="W158" s="314" cm="1">
        <f t="array" ref="W158">_xlfn.STDEV.S(IF(('3.1. Gas prod VF'!$L$13:$L$1230=$F158) *('3.1. Gas prod VF'!$M$13:$M$1230=$E158),'3.1. Gas prod VF'!$AP$13:$AP$1230))</f>
        <v>0.52870011303555564</v>
      </c>
      <c r="X158" s="314" cm="1">
        <f t="array" ref="X158">_xlfn.STDEV.S(IF(('3.1. Gas prod VF'!$L$13:$L$1230=$F158) *('3.1. Gas prod VF'!$M$13:$M$1230=$E158),'3.1. Gas prod VF'!$AQ$13:$AQ$1230))</f>
        <v>0.17218542136594583</v>
      </c>
      <c r="Y158" s="314" cm="1">
        <f t="array" ref="Y158">_xlfn.STDEV.S(IF(('3.1. Gas prod VF'!$L$13:$L$1230=$F158) *('3.1. Gas prod VF'!$M$13:$M$1230=$E158),'3.1. Gas prod VF'!$AR$13:$AR$1230))</f>
        <v>1.0666074291575496</v>
      </c>
      <c r="Z158" s="314" cm="1">
        <f t="array" ref="Z158">_xlfn.STDEV.S(IF(('3.1. Gas prod VF'!$L$13:$L$1230=$F158) *('3.1. Gas prod VF'!$M$13:$M$1230=$E158),'3.1. Gas prod VF'!$AS$13:$AS$1230))</f>
        <v>15.441211785562105</v>
      </c>
      <c r="AA158" s="314" cm="1">
        <f t="array" ref="AA158">_xlfn.STDEV.S(IF(('3.1. Gas prod VF'!$L$13:$L$1230=$F158) *('3.1. Gas prod VF'!$M$13:$M$1230=$E158),'3.1. Gas prod VF'!$AT$13:$AT$1230))</f>
        <v>1.6435212185506642</v>
      </c>
      <c r="AB158" s="314" cm="1">
        <f t="array" ref="AB158">_xlfn.STDEV.S(IF(('3.1. Gas prod VF'!$L$13:$L$1230=$F158) *('3.1. Gas prod VF'!$M$13:$M$1230=$E158),'3.1. Gas prod VF'!$AU$13:$AU$1230))</f>
        <v>0.59198557659817008</v>
      </c>
      <c r="AC158" s="314" cm="1">
        <f t="array" ref="AC158">_xlfn.STDEV.S(IF(('3.1. Gas prod VF'!$L$13:$L$1230=$F158) *('3.1. Gas prod VF'!$M$13:$M$1230=$E158),'3.1. Gas prod VF'!$AU$13:$AV$1230))</f>
        <v>15.097164133191166</v>
      </c>
      <c r="AD158" s="20"/>
      <c r="AE158" s="326"/>
    </row>
  </sheetData>
  <phoneticPr fontId="7" type="noConversion"/>
  <conditionalFormatting sqref="N67:S68 U67:Y68 AA67:AC68">
    <cfRule type="cellIs" dxfId="1" priority="3" operator="greaterThan">
      <formula>10</formula>
    </cfRule>
  </conditionalFormatting>
  <conditionalFormatting sqref="U11:U28 U30:U41 U43:U58 N59:AC59 U60:U62 U64:U72 U74:U89 N85:T85 U91:U102 U104:U129 U131:U143 U146 U148:U152 U154:U158">
    <cfRule type="cellIs" dxfId="0" priority="1" operator="greaterThan">
      <formula>10</formula>
    </cfRule>
  </conditionalFormatting>
  <pageMargins left="0.7" right="0.7" top="0.75" bottom="0.75" header="0.3" footer="0.3"/>
  <pageSetup orientation="portrait" verticalDpi="0" r:id="rId1"/>
  <ignoredErrors>
    <ignoredError sqref="N147:AC147 N153:AD153" formula="1"/>
  </ignoredErrors>
  <drawing r:id="rId2"/>
  <tableParts count="1">
    <tablePart r:id="rId3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CEECA-5F64-4C82-9014-8EA6E281877E}">
  <dimension ref="B2:AI158"/>
  <sheetViews>
    <sheetView topLeftCell="B88" zoomScale="55" zoomScaleNormal="55" workbookViewId="0">
      <selection activeCell="N129" sqref="N129:AI130"/>
    </sheetView>
  </sheetViews>
  <sheetFormatPr defaultColWidth="8.6328125" defaultRowHeight="14.5" x14ac:dyDescent="0.35"/>
  <cols>
    <col min="1" max="1" width="2.453125" style="5" customWidth="1"/>
    <col min="2" max="2" width="7.453125" style="5" customWidth="1"/>
    <col min="3" max="3" width="14.36328125" style="203" customWidth="1"/>
    <col min="4" max="4" width="16.6328125" style="15" customWidth="1"/>
    <col min="5" max="5" width="10.453125" style="27" customWidth="1"/>
    <col min="6" max="6" width="16" style="27" bestFit="1" customWidth="1"/>
    <col min="7" max="7" width="17.54296875" style="27" customWidth="1"/>
    <col min="8" max="8" width="13.90625" style="5" bestFit="1" customWidth="1"/>
    <col min="9" max="9" width="13.36328125" style="5" bestFit="1" customWidth="1"/>
    <col min="10" max="10" width="24.6328125" style="5" bestFit="1" customWidth="1"/>
    <col min="11" max="12" width="13.36328125" style="5" customWidth="1"/>
    <col min="13" max="13" width="16.08984375" style="5" bestFit="1" customWidth="1"/>
    <col min="14" max="14" width="13" style="15" customWidth="1"/>
    <col min="15" max="16" width="12.08984375" style="15" customWidth="1"/>
    <col min="17" max="17" width="10.90625" style="15" customWidth="1"/>
    <col min="18" max="18" width="9.6328125" style="15" bestFit="1" customWidth="1"/>
    <col min="19" max="19" width="10.08984375" style="15" bestFit="1" customWidth="1"/>
    <col min="20" max="20" width="10.90625" style="15" customWidth="1"/>
    <col min="21" max="32" width="10.90625" style="5" customWidth="1"/>
    <col min="33" max="16384" width="8.6328125" style="5"/>
  </cols>
  <sheetData>
    <row r="2" spans="2:35" x14ac:dyDescent="0.35">
      <c r="H2" s="69"/>
      <c r="I2" s="69"/>
      <c r="J2" s="69"/>
      <c r="K2" s="69"/>
      <c r="L2" s="69"/>
      <c r="M2" s="68" t="s">
        <v>703</v>
      </c>
      <c r="N2" s="30">
        <f>IFERROR(_xlfn.STDEV.S(Table4.1[Av DM 105]),"")</f>
        <v>1.8876908989727523</v>
      </c>
      <c r="O2" s="30">
        <f>IFERROR(_xlfn.STDEV.S(Table4.1[Av Ash, %]),"")</f>
        <v>2.8443945478937431</v>
      </c>
      <c r="P2" s="30">
        <f>IFERROR(_xlfn.STDEV.S(Table4.1[OM, %]),"")</f>
        <v>2.8443945478937454</v>
      </c>
      <c r="Q2" s="30">
        <f>IFERROR(_xlfn.STDEV.S(Table4.1[Av PC, %]),"")</f>
        <v>6.4028054739380309</v>
      </c>
      <c r="R2" s="30">
        <f>IFERROR(_xlfn.STDEV.S(Table4.1[ Av ADF, % (DM)]),"")</f>
        <v>13.700239588046182</v>
      </c>
      <c r="S2" s="30">
        <f>IFERROR(_xlfn.STDEV.S(Table4.1[ Av NDF, % (DM)]),"")</f>
        <v>15.130549198999631</v>
      </c>
      <c r="T2" s="30">
        <f>IFERROR(_xlfn.STDEV.S(Table4.1[Net gas 8h, ml]),"")</f>
        <v>8.0834428097353381</v>
      </c>
      <c r="U2" s="30">
        <f>IFERROR(_xlfn.STDEV.S(Table4.1[Net gas 8-24h, ml]),"")</f>
        <v>11.610954125110437</v>
      </c>
      <c r="V2" s="30">
        <f>IFERROR(_xlfn.STDEV.S(Table4.1[Net gas 24h, ml]),"")</f>
        <v>18.807186426140888</v>
      </c>
      <c r="W2" s="30">
        <f>IFERROR(_xlfn.STDEV.S(Table4.1[CH4 8h, ml]),"")</f>
        <v>1.9938337689170347</v>
      </c>
      <c r="X2" s="30">
        <f>IFERROR(_xlfn.STDEV.S(Table4.1[CH4 8-24h, ml]),"")</f>
        <v>3.4675922280341114</v>
      </c>
      <c r="Y2" s="30">
        <f>IFERROR(_xlfn.STDEV.S(Table4.1[CH4 24h, ml]),"")</f>
        <v>2.9633533628354978</v>
      </c>
      <c r="Z2" s="30">
        <f>IFERROR(_xlfn.STDEV.S(Table4.1[Gas ml/g DM Incubated, 24h]),"")</f>
        <v>41.224600046564127</v>
      </c>
      <c r="AA2" s="30">
        <f>IFERROR(_xlfn.STDEV.S(Table4.1[% DMD, Truly digestibility]),"")</f>
        <v>11.972410163086344</v>
      </c>
      <c r="AB2" s="30">
        <f>IFERROR(_xlfn.STDEV.S(Table4.1[Part Fact]),"")</f>
        <v>6.379978650642081</v>
      </c>
      <c r="AC2" s="30">
        <f>IFERROR(_xlfn.STDEV.S(Table4.1[CH4 ml in gas, h8]),"")</f>
        <v>1.3026401009797859</v>
      </c>
      <c r="AD2" s="30">
        <f>IFERROR(_xlfn.STDEV.S(Table4.1[CH4 ml in gas, 24h]),"")</f>
        <v>1.6216631147672069</v>
      </c>
      <c r="AE2" s="30">
        <f>IFERROR(_xlfn.STDEV.S(Table4.1[CH4 ml/gDM incubated, 24h]),"")</f>
        <v>6.4357210946723882</v>
      </c>
      <c r="AF2" s="30">
        <f>IFERROR(_xlfn.STDEV.S(Table4.1[CH4 ml/g DMD, 24h2]),"")</f>
        <v>18.91437869801149</v>
      </c>
      <c r="AG2" s="30">
        <f>IFERROR(_xlfn.STDEV.S(Table4.1[CH4 ml/g NDF digested in 24 h]),"")</f>
        <v>7.917912154990046</v>
      </c>
      <c r="AH2" s="30">
        <f>IFERROR(_xlfn.STDEV.S(Table4.1[CH4 g/g DM incubated, 24h]),"")</f>
        <v>6.005826348212798</v>
      </c>
      <c r="AI2" s="30">
        <f>IFERROR(_xlfn.STDEV.S(Table4.1[No]),"")</f>
        <v>33.341665625260333</v>
      </c>
    </row>
    <row r="3" spans="2:35" x14ac:dyDescent="0.35">
      <c r="H3" s="69"/>
      <c r="I3" s="69"/>
      <c r="J3" s="69"/>
      <c r="K3" s="69"/>
      <c r="L3" s="69"/>
      <c r="M3" s="68" t="s">
        <v>704</v>
      </c>
      <c r="N3" s="30">
        <f>MIN(Table4.1[Av DM 105])</f>
        <v>88.84780354431571</v>
      </c>
      <c r="O3" s="30">
        <f>MIN(Table4.1[Av Ash, %])</f>
        <v>4.7831941826016706</v>
      </c>
      <c r="P3" s="30">
        <f>MIN(Table4.1[OM, %])</f>
        <v>79.715922125564873</v>
      </c>
      <c r="Q3" s="30">
        <f>MIN(Table4.1[Av PC, %])</f>
        <v>0</v>
      </c>
      <c r="R3" s="30">
        <f>MIN(Table4.1[ Av ADF, % (DM)])</f>
        <v>0</v>
      </c>
      <c r="S3" s="30">
        <f>MIN(Table4.1[ Av NDF, % (DM)])</f>
        <v>0</v>
      </c>
      <c r="T3" s="30">
        <f>MIN(Table4.1[Net gas 8h, ml])</f>
        <v>12.972011474352893</v>
      </c>
      <c r="U3" s="30">
        <f>MIN(Table4.1[Net gas 8-24h, ml])</f>
        <v>10.174037586907206</v>
      </c>
      <c r="V3" s="30">
        <f>MIN(Table4.1[Net gas 24h, ml])</f>
        <v>25.028782063928709</v>
      </c>
      <c r="W3" s="30">
        <f>MIN(Table4.1[CH4 8h, ml])</f>
        <v>1.075813906418853</v>
      </c>
      <c r="X3" s="30">
        <f>MIN(Table4.1[CH4 8-24h, ml])</f>
        <v>0.32849132122685532</v>
      </c>
      <c r="Y3" s="30">
        <f>MIN(Table4.1[CH4 24h, ml])</f>
        <v>1.404305227645708</v>
      </c>
      <c r="Z3" s="30">
        <f>MIN(Table4.1[Gas ml/g DM Incubated, 24h])</f>
        <v>53.581044598080759</v>
      </c>
      <c r="AA3" s="30">
        <f>MIN(Table4.1[% DMD, Truly digestibility])</f>
        <v>17.484748083124124</v>
      </c>
      <c r="AB3" s="30">
        <f>MIN(Table4.1[Part Fact])</f>
        <v>1.1670159567379748</v>
      </c>
      <c r="AC3" s="30">
        <f>MIN(Table4.1[CH4 ml in gas, h8])</f>
        <v>8.2750000000000004</v>
      </c>
      <c r="AD3" s="30">
        <f>MIN(Table4.1[CH4 ml in gas, 24h])</f>
        <v>5.6041901010525264</v>
      </c>
      <c r="AE3" s="30">
        <f>MIN(Table4.1[CH4 ml/gDM incubated, 24h])</f>
        <v>3.0063155537558592</v>
      </c>
      <c r="AF3" s="30">
        <f>MIN(Table4.1[CH4 ml/g DMD, 24h2])</f>
        <v>4.9178820183898662</v>
      </c>
      <c r="AG3" s="30">
        <f>MIN(Table4.1[CH4 ml/g NDF digested in 24 h])</f>
        <v>-12.939658519840247</v>
      </c>
      <c r="AH3" s="30">
        <f>MIN(Table4.1[CH4 g/g DM incubated, 24h])</f>
        <v>1.6685571447143246</v>
      </c>
      <c r="AI3" s="30">
        <f>MIN(Table4.1[No])</f>
        <v>1</v>
      </c>
    </row>
    <row r="4" spans="2:35" x14ac:dyDescent="0.35">
      <c r="H4" s="69"/>
      <c r="I4" s="69"/>
      <c r="J4" s="69"/>
      <c r="K4" s="69"/>
      <c r="L4" s="69"/>
      <c r="M4" s="68" t="s">
        <v>705</v>
      </c>
      <c r="N4" s="30">
        <f>MAX(Table4.1[Av DM 105])</f>
        <v>98.210000000000008</v>
      </c>
      <c r="O4" s="30">
        <f>MAX(Table4.1[Av Ash, %])</f>
        <v>20.284077874435134</v>
      </c>
      <c r="P4" s="30">
        <f>MAX(Table4.1[OM, %])</f>
        <v>95.216805817398324</v>
      </c>
      <c r="Q4" s="30">
        <f>MAX(Table4.1[Av PC, %])</f>
        <v>36.95492579631334</v>
      </c>
      <c r="R4" s="30">
        <f>MAX(Table4.1[ Av ADF, % (DM)])</f>
        <v>58.526711306777671</v>
      </c>
      <c r="S4" s="30">
        <f>MAX(Table4.1[ Av NDF, % (DM)])</f>
        <v>70.33432004995808</v>
      </c>
      <c r="T4" s="30">
        <f>MAX(Table4.1[Net gas 8h, ml])</f>
        <v>49.756479056111822</v>
      </c>
      <c r="U4" s="30">
        <f>MAX(Table4.1[Net gas 8-24h, ml])</f>
        <v>56.847163431418835</v>
      </c>
      <c r="V4" s="30">
        <f>MAX(Table4.1[Net gas 24h, ml])</f>
        <v>101.00582618722835</v>
      </c>
      <c r="W4" s="30">
        <f>MAX(Table4.1[CH4 8h, ml])</f>
        <v>23.52566913629056</v>
      </c>
      <c r="X4" s="30">
        <f>MAX(Table4.1[CH4 8-24h, ml])</f>
        <v>39.780396643563364</v>
      </c>
      <c r="Y4" s="30">
        <f>MAX(Table4.1[CH4 24h, ml])</f>
        <v>16.012166354717166</v>
      </c>
      <c r="Z4" s="30">
        <f>MAX(Table4.1[Gas ml/g DM Incubated, 24h])</f>
        <v>220.45714122836975</v>
      </c>
      <c r="AA4" s="30">
        <f>MAX(Table4.1[% DMD, Truly digestibility])</f>
        <v>67.101278345398896</v>
      </c>
      <c r="AB4" s="30">
        <f>MAX(Table4.1[Part Fact])</f>
        <v>77.922288809799525</v>
      </c>
      <c r="AC4" s="30">
        <f>MAX(Table4.1[CH4 ml in gas, h8])</f>
        <v>17.462907717634074</v>
      </c>
      <c r="AD4" s="30">
        <f>MAX(Table4.1[CH4 ml in gas, 24h])</f>
        <v>16.938788978524844</v>
      </c>
      <c r="AE4" s="30">
        <f>MAX(Table4.1[CH4 ml/gDM incubated, 24h])</f>
        <v>34.94843694006272</v>
      </c>
      <c r="AF4" s="30">
        <f>MAX(Table4.1[CH4 ml/g DMD, 24h2])</f>
        <v>154.85437017467956</v>
      </c>
      <c r="AG4" s="30">
        <f>MAX(Table4.1[CH4 ml/g NDF digested in 24 h])</f>
        <v>88.570673554208852</v>
      </c>
      <c r="AH4" s="30">
        <f>MAX(Table4.1[CH4 g/g DM incubated, 24h])</f>
        <v>69.150773496562834</v>
      </c>
      <c r="AI4" s="30">
        <f>MAX(Table4.1[No])</f>
        <v>115</v>
      </c>
    </row>
    <row r="5" spans="2:35" x14ac:dyDescent="0.35">
      <c r="H5" s="69"/>
      <c r="I5" s="69"/>
      <c r="J5" s="69"/>
      <c r="K5" s="69"/>
      <c r="L5" s="69"/>
      <c r="M5" s="68" t="s">
        <v>706</v>
      </c>
      <c r="N5" s="30">
        <f>IFERROR(MEDIAN(Table4.1[Av DM 105]),"")</f>
        <v>93.55</v>
      </c>
      <c r="O5" s="30">
        <f>IFERROR(MEDIAN(Table4.1[Av Ash, %]),"")</f>
        <v>10.260704831238595</v>
      </c>
      <c r="P5" s="30">
        <f>IFERROR(MEDIAN(Table4.1[OM, %]),"")</f>
        <v>89.739295168761402</v>
      </c>
      <c r="Q5" s="30">
        <f>IFERROR(MEDIAN(Table4.1[Av PC, %]),"")</f>
        <v>20.552774962518356</v>
      </c>
      <c r="R5" s="30">
        <f>IFERROR(MEDIAN(Table4.1[ Av ADF, % (DM)]),"")</f>
        <v>21.940146401110969</v>
      </c>
      <c r="S5" s="30">
        <f>IFERROR(MEDIAN(Table4.1[ Av NDF, % (DM)]),"")</f>
        <v>35.83839105688886</v>
      </c>
      <c r="T5" s="30">
        <f>IFERROR(MEDIAN(Table4.1[Net gas 8h, ml]),"")</f>
        <v>32.007490991876047</v>
      </c>
      <c r="U5" s="30">
        <f>IFERROR(MEDIAN(Table4.1[Net gas 8-24h, ml]),"")</f>
        <v>31.791850509163019</v>
      </c>
      <c r="V5" s="30">
        <f>IFERROR(MEDIAN(Table4.1[Net gas 24h, ml]),"")</f>
        <v>66.967183362257373</v>
      </c>
      <c r="W5" s="30">
        <f>IFERROR(MEDIAN(Table4.1[CH4 8h, ml]),"")</f>
        <v>4.0863770878022141</v>
      </c>
      <c r="X5" s="30">
        <f>IFERROR(MEDIAN(Table4.1[CH4 8-24h, ml]),"")</f>
        <v>5.7721844841568322</v>
      </c>
      <c r="Y5" s="30">
        <f>IFERROR(MEDIAN(Table4.1[CH4 24h, ml]),"")</f>
        <v>9.9574993610074589</v>
      </c>
      <c r="Z5" s="30">
        <f>IFERROR(MEDIAN(Table4.1[Gas ml/g DM Incubated, 24h]),"")</f>
        <v>143.71101257855244</v>
      </c>
      <c r="AA5" s="30">
        <f>IFERROR(MEDIAN(Table4.1[% DMD, Truly digestibility]),"")</f>
        <v>37.305646145729412</v>
      </c>
      <c r="AB5" s="30">
        <f>IFERROR(MEDIAN(Table4.1[Part Fact]),"")</f>
        <v>2.7042626716506133</v>
      </c>
      <c r="AC5" s="30">
        <f>IFERROR(MEDIAN(Table4.1[CH4 ml in gas, h8]),"")</f>
        <v>13.575000000000001</v>
      </c>
      <c r="AD5" s="30">
        <f>IFERROR(MEDIAN(Table4.1[CH4 ml in gas, 24h]),"")</f>
        <v>14.830850019734381</v>
      </c>
      <c r="AE5" s="30">
        <f>IFERROR(MEDIAN(Table4.1[CH4 ml/gDM incubated, 24h]),"")</f>
        <v>21.286039203421637</v>
      </c>
      <c r="AF5" s="30">
        <f>IFERROR(MEDIAN(Table4.1[CH4 ml/g DMD, 24h2]),"")</f>
        <v>58.314210019342788</v>
      </c>
      <c r="AG5" s="30">
        <f>IFERROR(MEDIAN(Table4.1[CH4 ml/g NDF digested in 24 h]),"")</f>
        <v>-0.24107737876117943</v>
      </c>
      <c r="AH5" s="30">
        <f>IFERROR(MEDIAN(Table4.1[CH4 g/g DM incubated, 24h]),"")</f>
        <v>11.821510376582877</v>
      </c>
      <c r="AI5" s="30">
        <f>IFERROR(MEDIAN(Table4.1[No]),"")</f>
        <v>58</v>
      </c>
    </row>
    <row r="6" spans="2:35" x14ac:dyDescent="0.35">
      <c r="H6" s="69"/>
      <c r="I6" s="69"/>
      <c r="J6" s="69"/>
      <c r="K6" s="69"/>
      <c r="L6" s="69"/>
      <c r="M6" s="68" t="s">
        <v>707</v>
      </c>
      <c r="N6" s="30">
        <f>IFERROR(AVERAGE(Table4.1[Av DM 105]),"")</f>
        <v>93.458516797547958</v>
      </c>
      <c r="O6" s="30">
        <f>IFERROR(AVERAGE(Table4.1[Av Ash, %]),"")</f>
        <v>10.466701761678362</v>
      </c>
      <c r="P6" s="30">
        <f>IFERROR(AVERAGE(Table4.1[OM, %]),"")</f>
        <v>89.533298238321677</v>
      </c>
      <c r="Q6" s="30">
        <f>IFERROR(AVERAGE(Table4.1[Av PC, %]),"")</f>
        <v>19.834097322863986</v>
      </c>
      <c r="R6" s="30">
        <f>IFERROR(AVERAGE(Table4.1[ Av ADF, % (DM)]),"")</f>
        <v>25.884226968621437</v>
      </c>
      <c r="S6" s="30">
        <f>IFERROR(AVERAGE(Table4.1[ Av NDF, % (DM)]),"")</f>
        <v>39.327493896965116</v>
      </c>
      <c r="T6" s="30">
        <f>IFERROR(AVERAGE(Table4.1[Net gas 8h, ml]),"")</f>
        <v>31.505402921753387</v>
      </c>
      <c r="U6" s="30">
        <f>IFERROR(AVERAGE(Table4.1[Net gas 8-24h, ml]),"")</f>
        <v>32.072732183345245</v>
      </c>
      <c r="V6" s="30">
        <f>IFERROR(AVERAGE(Table4.1[Net gas 24h, ml]),"")</f>
        <v>65.011214350864364</v>
      </c>
      <c r="W6" s="30">
        <f>IFERROR(AVERAGE(Table4.1[CH4 8h, ml]),"")</f>
        <v>4.3399147137581604</v>
      </c>
      <c r="X6" s="30">
        <f>IFERROR(AVERAGE(Table4.1[CH4 8-24h, ml]),"")</f>
        <v>5.6109811145624295</v>
      </c>
      <c r="Y6" s="30">
        <f>IFERROR(AVERAGE(Table4.1[CH4 24h, ml]),"")</f>
        <v>9.5627269581266408</v>
      </c>
      <c r="Z6" s="30">
        <f>IFERROR(AVERAGE(Table4.1[Gas ml/g DM Incubated, 24h]),"")</f>
        <v>139.15978190312049</v>
      </c>
      <c r="AA6" s="30">
        <f>IFERROR(AVERAGE(Table4.1[% DMD, Truly digestibility]),"")</f>
        <v>37.660110751687412</v>
      </c>
      <c r="AB6" s="30">
        <f>IFERROR(AVERAGE(Table4.1[Part Fact]),"")</f>
        <v>3.372641603119602</v>
      </c>
      <c r="AC6" s="30">
        <f>IFERROR(AVERAGE(Table4.1[CH4 ml in gas, h8]),"")</f>
        <v>13.321691162860581</v>
      </c>
      <c r="AD6" s="30">
        <f>IFERROR(AVERAGE(Table4.1[CH4 ml in gas, 24h]),"")</f>
        <v>14.546811393512424</v>
      </c>
      <c r="AE6" s="30">
        <f>IFERROR(AVERAGE(Table4.1[CH4 ml/gDM incubated, 24h]),"")</f>
        <v>20.504842171471878</v>
      </c>
      <c r="AF6" s="30">
        <f>IFERROR(AVERAGE(Table4.1[CH4 ml/g DMD, 24h2]),"")</f>
        <v>59.258456582014361</v>
      </c>
      <c r="AG6" s="30">
        <f>IFERROR(AVERAGE(Table4.1[CH4 ml/g NDF digested in 24 h]),"")</f>
        <v>0.49488552410838638</v>
      </c>
      <c r="AH6" s="30">
        <f>IFERROR(AVERAGE(Table4.1[CH4 g/g DM incubated, 24h]),"")</f>
        <v>11.795714010538131</v>
      </c>
      <c r="AI6" s="30">
        <f>IFERROR(AVERAGE(Table4.1[No]),"")</f>
        <v>58</v>
      </c>
    </row>
    <row r="7" spans="2:35" x14ac:dyDescent="0.35">
      <c r="H7" s="69"/>
      <c r="I7" s="69"/>
      <c r="J7" s="69"/>
      <c r="K7" s="69"/>
      <c r="L7" s="69"/>
      <c r="M7" s="68" t="s">
        <v>708</v>
      </c>
      <c r="N7" s="30">
        <f>COUNT(Table4.1[Av DM 105])</f>
        <v>143</v>
      </c>
      <c r="O7" s="30">
        <f>COUNT(Table4.1[Av Ash, %])</f>
        <v>143</v>
      </c>
      <c r="P7" s="30">
        <f>COUNT(Table4.1[OM, %])</f>
        <v>143</v>
      </c>
      <c r="Q7" s="30">
        <f>COUNT(Table4.1[Av PC, %])</f>
        <v>143</v>
      </c>
      <c r="R7" s="30">
        <f>COUNT(Table4.1[ Av ADF, % (DM)])</f>
        <v>143</v>
      </c>
      <c r="S7" s="30">
        <f>COUNT(Table4.1[ Av NDF, % (DM)])</f>
        <v>143</v>
      </c>
      <c r="T7" s="30">
        <f>COUNT(Table4.1[Net gas 8h, ml])</f>
        <v>143</v>
      </c>
      <c r="U7" s="30">
        <f>COUNT(Table4.1[Net gas 8-24h, ml])</f>
        <v>143</v>
      </c>
      <c r="V7" s="30">
        <f>COUNT(Table4.1[Net gas 24h, ml])</f>
        <v>143</v>
      </c>
      <c r="W7" s="30">
        <f>COUNT(Table4.1[CH4 8h, ml])</f>
        <v>143</v>
      </c>
      <c r="X7" s="30">
        <f>COUNT(Table4.1[CH4 8-24h, ml])</f>
        <v>143</v>
      </c>
      <c r="Y7" s="30">
        <f>COUNT(Table4.1[CH4 24h, ml])</f>
        <v>143</v>
      </c>
      <c r="Z7" s="30">
        <f>COUNT(Table4.1[Gas ml/g DM Incubated, 24h])</f>
        <v>143</v>
      </c>
      <c r="AA7" s="30">
        <f>COUNT(Table4.1[% DMD, Truly digestibility])</f>
        <v>143</v>
      </c>
      <c r="AB7" s="30">
        <f>COUNT(Table4.1[Part Fact])</f>
        <v>143</v>
      </c>
      <c r="AC7" s="30">
        <f>COUNT(Table4.1[CH4 ml in gas, h8])</f>
        <v>143</v>
      </c>
      <c r="AD7" s="30">
        <f>COUNT(Table4.1[CH4 ml in gas, 24h])</f>
        <v>143</v>
      </c>
      <c r="AE7" s="30">
        <f>COUNT(Table4.1[CH4 ml/gDM incubated, 24h])</f>
        <v>143</v>
      </c>
      <c r="AF7" s="30">
        <f>COUNT(Table4.1[CH4 ml/g DMD, 24h2])</f>
        <v>143</v>
      </c>
      <c r="AG7" s="30">
        <f>COUNT(Table4.1[CH4 ml/g NDF digested in 24 h])</f>
        <v>143</v>
      </c>
      <c r="AH7" s="30">
        <f>COUNT(Table4.1[CH4 g/g DM incubated, 24h])</f>
        <v>143</v>
      </c>
      <c r="AI7" s="30">
        <f>COUNT(Table4.1[No])</f>
        <v>115</v>
      </c>
    </row>
    <row r="8" spans="2:35" x14ac:dyDescent="0.35">
      <c r="U8" s="15"/>
    </row>
    <row r="10" spans="2:35" s="15" customFormat="1" ht="58" x14ac:dyDescent="0.35">
      <c r="B10" s="196" t="s">
        <v>482</v>
      </c>
      <c r="C10" s="196" t="s">
        <v>2</v>
      </c>
      <c r="D10" s="195" t="s">
        <v>715</v>
      </c>
      <c r="E10" s="195" t="s">
        <v>4</v>
      </c>
      <c r="F10" s="195" t="s">
        <v>5</v>
      </c>
      <c r="G10" s="195" t="s">
        <v>6</v>
      </c>
      <c r="H10" s="195" t="s">
        <v>7</v>
      </c>
      <c r="I10" s="195" t="s">
        <v>8</v>
      </c>
      <c r="J10" s="195" t="s">
        <v>9</v>
      </c>
      <c r="K10" s="195" t="s">
        <v>10</v>
      </c>
      <c r="L10" s="195" t="s">
        <v>11</v>
      </c>
      <c r="M10" s="195" t="s">
        <v>12</v>
      </c>
      <c r="N10" s="330" t="s">
        <v>485</v>
      </c>
      <c r="O10" s="331" t="s">
        <v>487</v>
      </c>
      <c r="P10" s="331" t="s">
        <v>488</v>
      </c>
      <c r="Q10" s="331" t="s">
        <v>491</v>
      </c>
      <c r="R10" s="331" t="s">
        <v>494</v>
      </c>
      <c r="S10" s="331" t="s">
        <v>702</v>
      </c>
      <c r="T10" s="195" t="s">
        <v>521</v>
      </c>
      <c r="U10" s="195" t="s">
        <v>522</v>
      </c>
      <c r="V10" s="195" t="s">
        <v>523</v>
      </c>
      <c r="W10" s="332" t="s">
        <v>524</v>
      </c>
      <c r="X10" s="333" t="s">
        <v>525</v>
      </c>
      <c r="Y10" s="333" t="s">
        <v>526</v>
      </c>
      <c r="Z10" s="334" t="s">
        <v>527</v>
      </c>
      <c r="AA10" s="334" t="s">
        <v>528</v>
      </c>
      <c r="AB10" s="335" t="s">
        <v>529</v>
      </c>
      <c r="AC10" s="336" t="s">
        <v>530</v>
      </c>
      <c r="AD10" s="336" t="s">
        <v>531</v>
      </c>
      <c r="AE10" s="337" t="s">
        <v>532</v>
      </c>
      <c r="AF10" s="337" t="s">
        <v>533</v>
      </c>
      <c r="AG10" s="195" t="s">
        <v>534</v>
      </c>
      <c r="AH10" s="195" t="s">
        <v>535</v>
      </c>
      <c r="AI10" s="195" t="s">
        <v>536</v>
      </c>
    </row>
    <row r="11" spans="2:35" x14ac:dyDescent="0.35">
      <c r="B11" s="194">
        <v>1</v>
      </c>
      <c r="C11" s="328">
        <f>'1. Information samples'!C11</f>
        <v>46041</v>
      </c>
      <c r="D11" s="328" t="str">
        <f>'1. Information samples'!D11</f>
        <v>Genbank</v>
      </c>
      <c r="E11" s="329">
        <f>'1. Information samples'!E11</f>
        <v>27</v>
      </c>
      <c r="F11" s="328" t="str">
        <f>'1. Information samples'!F11</f>
        <v>F251728</v>
      </c>
      <c r="G11" s="328" t="str">
        <f>'1. Information samples'!G11</f>
        <v>CIAT-13262</v>
      </c>
      <c r="H11" s="328" t="str">
        <f>'1. Information samples'!H11</f>
        <v>Dendrolobium</v>
      </c>
      <c r="I11" s="328" t="str">
        <f>'1. Information samples'!I11</f>
        <v>triangulare</v>
      </c>
      <c r="J11" s="328" t="str">
        <f>'1. Information samples'!J11</f>
        <v>Dendrolobium triangulare</v>
      </c>
      <c r="K11" s="328" t="str">
        <f>'1. Information samples'!K11</f>
        <v>Fabaceae</v>
      </c>
      <c r="L11" s="328" t="str">
        <f>'1. Information samples'!L11</f>
        <v>Fabales</v>
      </c>
      <c r="M11" s="328" t="str">
        <f>'1. Information samples'!M11</f>
        <v>Tree</v>
      </c>
      <c r="N11" s="70">
        <f>Table95[[#This Row],[Av DM 105]]</f>
        <v>94.932281959779715</v>
      </c>
      <c r="O11" s="70">
        <f>Table95[[#This Row],[Av Ash, %]]</f>
        <v>8.6970264710569118</v>
      </c>
      <c r="P11" s="70">
        <f>'4.0 Result Quality Average'!P11</f>
        <v>91.302973528943085</v>
      </c>
      <c r="Q11" s="70">
        <f>'4.0 Result Quality Average'!Q11</f>
        <v>18.980951082197933</v>
      </c>
      <c r="R11" s="70">
        <f>'4.0 Result Quality Average'!R11</f>
        <v>47.523177057750779</v>
      </c>
      <c r="S11" s="70">
        <f>'4.0 Result Quality Average'!S11</f>
        <v>60.404358773318265</v>
      </c>
      <c r="T11" s="70">
        <f>Table4.17[[#This Row],[Net gas 8h, ml]]</f>
        <v>27.49789883808802</v>
      </c>
      <c r="U11" s="70">
        <f>Table4.17[[#This Row],[Net gas 8-24h, ml]]</f>
        <v>19.461226166005385</v>
      </c>
      <c r="V11" s="70">
        <f>Table4.17[[#This Row],[Net gas 24h, ml]]</f>
        <v>46.959125004093401</v>
      </c>
      <c r="W11" s="70">
        <f>Table4.17[[#This Row],[CH4 8h, ml]]</f>
        <v>3.7038815540087509</v>
      </c>
      <c r="X11" s="70">
        <f>Table4.17[[#This Row],[CH4 8-24h, ml]]</f>
        <v>3.3516327765851073</v>
      </c>
      <c r="Y11" s="70">
        <f>Table4.17[[#This Row],[CH4 24h, ml]]</f>
        <v>7.0555143305938577</v>
      </c>
      <c r="Z11" s="70">
        <f>Table4.17[[#This Row],[Gas ml/g DM Incubated, 24h]]</f>
        <v>98.840569069846353</v>
      </c>
      <c r="AA11" s="70">
        <f>Table4.17[[#This Row],[% DMD, Truly digestibility]]</f>
        <v>31.326565017362928</v>
      </c>
      <c r="AB11" s="70">
        <f>Table4.17[[#This Row],[Part Fact]]</f>
        <v>3.217513524755319</v>
      </c>
      <c r="AC11" s="70">
        <f>Table4.17[[#This Row],[CH4 ml in gas, h8]]</f>
        <v>13.5</v>
      </c>
      <c r="AD11" s="70">
        <f>Table4.17[[#This Row],[CH4 ml in gas, 24h]]</f>
        <v>15.04962502351097</v>
      </c>
      <c r="AE11" s="70">
        <f>Table4.17[[#This Row],[CH4 ml/gDM incubated, 24h]]</f>
        <v>14.850600886527987</v>
      </c>
      <c r="AF11" s="70">
        <f>Table4.17[[#This Row],[CH4 ml/g DMD, 24h2]]</f>
        <v>48.867373950879276</v>
      </c>
      <c r="AG11" s="70">
        <f>Table4.17[[#This Row],[CH4 ml/g NDF digested in 24 h]]</f>
        <v>-0.82370020783497433</v>
      </c>
      <c r="AH11" s="70">
        <f>Table4.17[[#This Row],[CH4 g/g DM incubated, 24h]]</f>
        <v>8.2423404228342196</v>
      </c>
      <c r="AI11" s="70">
        <f>Table4.17[[#This Row],[Net gas 8-24h, ml]]</f>
        <v>19.461226166005385</v>
      </c>
    </row>
    <row r="12" spans="2:35" x14ac:dyDescent="0.35">
      <c r="B12" s="62">
        <f>1+B11</f>
        <v>2</v>
      </c>
      <c r="C12" s="42">
        <f>'1. Information samples'!C12</f>
        <v>46041</v>
      </c>
      <c r="D12" s="42" t="str">
        <f>'1. Information samples'!D12</f>
        <v>Genbank</v>
      </c>
      <c r="E12" s="59">
        <f>'1. Information samples'!E12</f>
        <v>27</v>
      </c>
      <c r="F12" s="42" t="str">
        <f>'1. Information samples'!F12</f>
        <v>F251729</v>
      </c>
      <c r="G12" s="42" t="str">
        <f>'1. Information samples'!G12</f>
        <v>CIAT-13528</v>
      </c>
      <c r="H12" s="42" t="str">
        <f>'1. Information samples'!H12</f>
        <v>Dendrolobium</v>
      </c>
      <c r="I12" s="42" t="str">
        <f>'1. Information samples'!I12</f>
        <v>lanceolatum</v>
      </c>
      <c r="J12" s="42" t="str">
        <f>'1. Information samples'!J12</f>
        <v>Dendrolobium lanceolatum</v>
      </c>
      <c r="K12" s="42" t="str">
        <f>'1. Information samples'!K12</f>
        <v>Fabaceae</v>
      </c>
      <c r="L12" s="42" t="str">
        <f>'1. Information samples'!L12</f>
        <v>Fabales</v>
      </c>
      <c r="M12" s="42" t="str">
        <f>'1. Information samples'!M12</f>
        <v>Tree</v>
      </c>
      <c r="N12" s="20">
        <f>Table95[[#This Row],[Av DM 105]]</f>
        <v>95.045740876822194</v>
      </c>
      <c r="O12" s="20">
        <f>Table95[[#This Row],[Av Ash, %]]</f>
        <v>7.5846835573203437</v>
      </c>
      <c r="P12" s="20">
        <f>'4.0 Result Quality Average'!P12</f>
        <v>92.415316442679654</v>
      </c>
      <c r="Q12" s="20">
        <f>'4.0 Result Quality Average'!Q12</f>
        <v>16.897001614940418</v>
      </c>
      <c r="R12" s="20">
        <f>'4.0 Result Quality Average'!R12</f>
        <v>48.362187242896454</v>
      </c>
      <c r="S12" s="20">
        <f>'4.0 Result Quality Average'!S12</f>
        <v>56.879547867545071</v>
      </c>
      <c r="T12" s="20">
        <f>Table4.17[[#This Row],[Net gas 8h, ml]]</f>
        <v>24.182012600368388</v>
      </c>
      <c r="U12" s="20">
        <f>Table4.17[[#This Row],[Net gas 8-24h, ml]]</f>
        <v>13.986537586907206</v>
      </c>
      <c r="V12" s="20">
        <f>Table4.17[[#This Row],[Net gas 24h, ml]]</f>
        <v>38.168550187275592</v>
      </c>
      <c r="W12" s="20">
        <f>Table4.17[[#This Row],[CH4 8h, ml]]</f>
        <v>3.0850007308095568</v>
      </c>
      <c r="X12" s="20">
        <f>Table4.17[[#This Row],[CH4 8-24h, ml]]</f>
        <v>2.4202177326154768</v>
      </c>
      <c r="Y12" s="20">
        <f>Table4.17[[#This Row],[CH4 24h, ml]]</f>
        <v>5.5052184634250327</v>
      </c>
      <c r="Z12" s="20">
        <f>Table4.17[[#This Row],[Gas ml/g DM Incubated, 24h]]</f>
        <v>80.26639215153277</v>
      </c>
      <c r="AA12" s="20">
        <f>Table4.17[[#This Row],[% DMD, Truly digestibility]]</f>
        <v>25.891776689524661</v>
      </c>
      <c r="AB12" s="20">
        <f>Table4.17[[#This Row],[Part Fact]]</f>
        <v>3.2199438361259975</v>
      </c>
      <c r="AC12" s="20">
        <f>Table4.17[[#This Row],[CH4 ml in gas, h8]]</f>
        <v>12.774999999999999</v>
      </c>
      <c r="AD12" s="20">
        <f>Table4.17[[#This Row],[CH4 ml in gas, 24h]]</f>
        <v>14.422833001136569</v>
      </c>
      <c r="AE12" s="20">
        <f>Table4.17[[#This Row],[CH4 ml/gDM incubated, 24h]]</f>
        <v>11.577154761807398</v>
      </c>
      <c r="AF12" s="20">
        <f>Table4.17[[#This Row],[CH4 ml/g DMD, 24h2]]</f>
        <v>46.621519820668034</v>
      </c>
      <c r="AG12" s="20">
        <f>Table4.17[[#This Row],[CH4 ml/g NDF digested in 24 h]]</f>
        <v>-0.20310915833740756</v>
      </c>
      <c r="AH12" s="20">
        <f>Table4.17[[#This Row],[CH4 g/g DM incubated, 24h]]</f>
        <v>6.4255211895982924</v>
      </c>
      <c r="AI12" s="20">
        <f>Table4.17[[#This Row],[Net gas 8-24h, ml]]</f>
        <v>13.986537586907206</v>
      </c>
    </row>
    <row r="13" spans="2:35" x14ac:dyDescent="0.35">
      <c r="B13" s="62">
        <f t="shared" ref="B13:B76" si="0">1+B12</f>
        <v>3</v>
      </c>
      <c r="C13" s="42">
        <f>'1. Information samples'!C13</f>
        <v>46041</v>
      </c>
      <c r="D13" s="42" t="str">
        <f>'1. Information samples'!D13</f>
        <v>Genbank</v>
      </c>
      <c r="E13" s="59">
        <f>'1. Information samples'!E13</f>
        <v>27</v>
      </c>
      <c r="F13" s="42" t="str">
        <f>'1. Information samples'!F13</f>
        <v>F251730</v>
      </c>
      <c r="G13" s="42" t="str">
        <f>'1. Information samples'!G13</f>
        <v>CIAT-13529</v>
      </c>
      <c r="H13" s="42" t="str">
        <f>'1. Information samples'!H13</f>
        <v>Dendrolobium</v>
      </c>
      <c r="I13" s="42" t="str">
        <f>'1. Information samples'!I13</f>
        <v>triangulare</v>
      </c>
      <c r="J13" s="42" t="str">
        <f>'1. Information samples'!J13</f>
        <v>Dendrolobium triangulare</v>
      </c>
      <c r="K13" s="42" t="str">
        <f>'1. Information samples'!K13</f>
        <v>Fabaceae</v>
      </c>
      <c r="L13" s="42" t="str">
        <f>'1. Information samples'!L13</f>
        <v>Fabales</v>
      </c>
      <c r="M13" s="42" t="str">
        <f>'1. Information samples'!M13</f>
        <v>Tree</v>
      </c>
      <c r="N13" s="20">
        <f>Table95[[#This Row],[Av DM 105]]</f>
        <v>94.356983176078415</v>
      </c>
      <c r="O13" s="20">
        <f>Table95[[#This Row],[Av Ash, %]]</f>
        <v>6.6903229685698147</v>
      </c>
      <c r="P13" s="20">
        <f>'4.0 Result Quality Average'!P13</f>
        <v>93.309677031430184</v>
      </c>
      <c r="Q13" s="20">
        <f>'4.0 Result Quality Average'!Q13</f>
        <v>18.170976041618641</v>
      </c>
      <c r="R13" s="20">
        <f>'4.0 Result Quality Average'!R13</f>
        <v>45.328121185749261</v>
      </c>
      <c r="S13" s="20">
        <f>'4.0 Result Quality Average'!S13</f>
        <v>59.943984836340981</v>
      </c>
      <c r="T13" s="20">
        <f>Table4.17[[#This Row],[Net gas 8h, ml]]</f>
        <v>26.515874438746572</v>
      </c>
      <c r="U13" s="20">
        <f>Table4.17[[#This Row],[Net gas 8-24h, ml]]</f>
        <v>25.082832692234998</v>
      </c>
      <c r="V13" s="20">
        <f>Table4.17[[#This Row],[Net gas 24h, ml]]</f>
        <v>51.598707130981566</v>
      </c>
      <c r="W13" s="20">
        <f>Table4.17[[#This Row],[CH4 8h, ml]]</f>
        <v>3.6401240616239749</v>
      </c>
      <c r="X13" s="20">
        <f>Table4.17[[#This Row],[CH4 8-24h, ml]]</f>
        <v>4.4244038834692665</v>
      </c>
      <c r="Y13" s="20">
        <f>Table4.17[[#This Row],[CH4 24h, ml]]</f>
        <v>8.064527945093241</v>
      </c>
      <c r="Z13" s="20">
        <f>Table4.17[[#This Row],[Gas ml/g DM Incubated, 24h]]</f>
        <v>109.28484848920702</v>
      </c>
      <c r="AA13" s="20">
        <f>Table4.17[[#This Row],[% DMD, Truly digestibility]]</f>
        <v>31.831740130568495</v>
      </c>
      <c r="AB13" s="20">
        <f>Table4.17[[#This Row],[Part Fact]]</f>
        <v>2.9427535480557228</v>
      </c>
      <c r="AC13" s="20">
        <f>Table4.17[[#This Row],[CH4 ml in gas, h8]]</f>
        <v>13.728571428571428</v>
      </c>
      <c r="AD13" s="20">
        <f>Table4.17[[#This Row],[CH4 ml in gas, 24h]]</f>
        <v>15.619713594911532</v>
      </c>
      <c r="AE13" s="20">
        <f>Table4.17[[#This Row],[CH4 ml/gDM incubated, 24h]]</f>
        <v>17.080511050971829</v>
      </c>
      <c r="AF13" s="20">
        <f>Table4.17[[#This Row],[CH4 ml/g DMD, 24h2]]</f>
        <v>55.06432625997693</v>
      </c>
      <c r="AG13" s="20">
        <f>Table4.17[[#This Row],[CH4 ml/g NDF digested in 24 h]]</f>
        <v>2.8073449528529673</v>
      </c>
      <c r="AH13" s="20">
        <f>Table4.17[[#This Row],[CH4 g/g DM incubated, 24h]]</f>
        <v>9.4799791438611809</v>
      </c>
      <c r="AI13" s="20">
        <f>Table4.17[[#This Row],[Net gas 8-24h, ml]]</f>
        <v>25.082832692234998</v>
      </c>
    </row>
    <row r="14" spans="2:35" x14ac:dyDescent="0.35">
      <c r="B14" s="62">
        <f t="shared" si="0"/>
        <v>4</v>
      </c>
      <c r="C14" s="42">
        <f>'1. Information samples'!C14</f>
        <v>46041</v>
      </c>
      <c r="D14" s="42" t="str">
        <f>'1. Information samples'!D14</f>
        <v>Genbank</v>
      </c>
      <c r="E14" s="59">
        <f>'1. Information samples'!E14</f>
        <v>27</v>
      </c>
      <c r="F14" s="42" t="str">
        <f>'1. Information samples'!F14</f>
        <v>F251731</v>
      </c>
      <c r="G14" s="42" t="str">
        <f>'1. Information samples'!G14</f>
        <v>CIAT-13710</v>
      </c>
      <c r="H14" s="42" t="str">
        <f>'1. Information samples'!H14</f>
        <v>Dendrolobium</v>
      </c>
      <c r="I14" s="42" t="str">
        <f>'1. Information samples'!I14</f>
        <v>lanceolatum</v>
      </c>
      <c r="J14" s="42" t="str">
        <f>'1. Information samples'!J14</f>
        <v>Dendrolobium lanceolatum</v>
      </c>
      <c r="K14" s="42" t="str">
        <f>'1. Information samples'!K14</f>
        <v>Fabaceae</v>
      </c>
      <c r="L14" s="42" t="str">
        <f>'1. Information samples'!L14</f>
        <v>Fabales</v>
      </c>
      <c r="M14" s="42" t="str">
        <f>'1. Information samples'!M14</f>
        <v>Tree</v>
      </c>
      <c r="N14" s="20">
        <f>Table95[[#This Row],[Av DM 105]]</f>
        <v>94.132642295405702</v>
      </c>
      <c r="O14" s="20">
        <f>Table95[[#This Row],[Av Ash, %]]</f>
        <v>7.4913693869890468</v>
      </c>
      <c r="P14" s="20">
        <f>'4.0 Result Quality Average'!P14</f>
        <v>92.508630613010951</v>
      </c>
      <c r="Q14" s="20">
        <f>'4.0 Result Quality Average'!Q14</f>
        <v>19.138187821274556</v>
      </c>
      <c r="R14" s="20">
        <f>'4.0 Result Quality Average'!R14</f>
        <v>55.171776839485076</v>
      </c>
      <c r="S14" s="20">
        <f>'4.0 Result Quality Average'!S14</f>
        <v>64.357002509200385</v>
      </c>
      <c r="T14" s="20">
        <f>Table4.17[[#This Row],[Net gas 8h, ml]]</f>
        <v>21.444445867317999</v>
      </c>
      <c r="U14" s="20">
        <f>Table4.17[[#This Row],[Net gas 8-24h, ml]]</f>
        <v>12.797118406520712</v>
      </c>
      <c r="V14" s="20">
        <f>Table4.17[[#This Row],[Net gas 24h, ml]]</f>
        <v>34.241564273838705</v>
      </c>
      <c r="W14" s="20">
        <f>Table4.17[[#This Row],[CH4 8h, ml]]</f>
        <v>2.9837538551434477</v>
      </c>
      <c r="X14" s="20">
        <f>Table4.17[[#This Row],[CH4 8-24h, ml]]</f>
        <v>2.2404957211411243</v>
      </c>
      <c r="Y14" s="20">
        <f>Table4.17[[#This Row],[CH4 24h, ml]]</f>
        <v>5.2242495762845715</v>
      </c>
      <c r="Z14" s="20">
        <f>Table4.17[[#This Row],[Gas ml/g DM Incubated, 24h]]</f>
        <v>72.70626060994708</v>
      </c>
      <c r="AA14" s="20">
        <f>Table4.17[[#This Row],[% DMD, Truly digestibility]]</f>
        <v>18.10396918130515</v>
      </c>
      <c r="AB14" s="20">
        <f>Table4.17[[#This Row],[Part Fact]]</f>
        <v>2.495840668849882</v>
      </c>
      <c r="AC14" s="20">
        <f>Table4.17[[#This Row],[CH4 ml in gas, h8]]</f>
        <v>13.914285714285715</v>
      </c>
      <c r="AD14" s="20">
        <f>Table4.17[[#This Row],[CH4 ml in gas, 24h]]</f>
        <v>15.256935838597906</v>
      </c>
      <c r="AE14" s="20">
        <f>Table4.17[[#This Row],[CH4 ml/gDM incubated, 24h]]</f>
        <v>11.092862066600242</v>
      </c>
      <c r="AF14" s="20">
        <f>Table4.17[[#This Row],[CH4 ml/g DMD, 24h2]]</f>
        <v>63.856280710924679</v>
      </c>
      <c r="AG14" s="20">
        <f>Table4.17[[#This Row],[CH4 ml/g NDF digested in 24 h]]</f>
        <v>-0.20352204788287637</v>
      </c>
      <c r="AH14" s="20">
        <f>Table4.17[[#This Row],[CH4 g/g DM incubated, 24h]]</f>
        <v>6.1567303649919678</v>
      </c>
      <c r="AI14" s="20">
        <f>Table4.17[[#This Row],[Net gas 8-24h, ml]]</f>
        <v>12.797118406520712</v>
      </c>
    </row>
    <row r="15" spans="2:35" x14ac:dyDescent="0.35">
      <c r="B15" s="62">
        <f t="shared" si="0"/>
        <v>5</v>
      </c>
      <c r="C15" s="42">
        <f>'1. Information samples'!C15</f>
        <v>46041</v>
      </c>
      <c r="D15" s="42" t="str">
        <f>'1. Information samples'!D15</f>
        <v>Genbank</v>
      </c>
      <c r="E15" s="59">
        <f>'1. Information samples'!E15</f>
        <v>27</v>
      </c>
      <c r="F15" s="42" t="str">
        <f>'1. Information samples'!F15</f>
        <v>F251732</v>
      </c>
      <c r="G15" s="42" t="str">
        <f>'1. Information samples'!G15</f>
        <v>CIAT-22004</v>
      </c>
      <c r="H15" s="42" t="str">
        <f>'1. Information samples'!H15</f>
        <v>Dendrolobium</v>
      </c>
      <c r="I15" s="42" t="str">
        <f>'1. Information samples'!I15</f>
        <v>triangulare</v>
      </c>
      <c r="J15" s="42" t="str">
        <f>'1. Information samples'!J15</f>
        <v>Dendrolobium triangulare</v>
      </c>
      <c r="K15" s="42" t="str">
        <f>'1. Information samples'!K15</f>
        <v>Fabaceae</v>
      </c>
      <c r="L15" s="42" t="str">
        <f>'1. Information samples'!L15</f>
        <v>Fabales</v>
      </c>
      <c r="M15" s="42" t="str">
        <f>'1. Information samples'!M15</f>
        <v>Tree</v>
      </c>
      <c r="N15" s="20">
        <f>Table95[[#This Row],[Av DM 105]]</f>
        <v>94.295849859125241</v>
      </c>
      <c r="O15" s="20">
        <f>Table95[[#This Row],[Av Ash, %]]</f>
        <v>6.8126382768364504</v>
      </c>
      <c r="P15" s="20">
        <f>'4.0 Result Quality Average'!P15</f>
        <v>93.187361723163548</v>
      </c>
      <c r="Q15" s="20">
        <f>'4.0 Result Quality Average'!Q15</f>
        <v>17.582279628179812</v>
      </c>
      <c r="R15" s="20">
        <f>'4.0 Result Quality Average'!R15</f>
        <v>49.203135014066248</v>
      </c>
      <c r="S15" s="20">
        <f>'4.0 Result Quality Average'!S15</f>
        <v>63.608525816852733</v>
      </c>
      <c r="T15" s="20">
        <f>Table4.17[[#This Row],[Net gas 8h, ml]]</f>
        <v>23.690338965749891</v>
      </c>
      <c r="U15" s="20">
        <f>Table4.17[[#This Row],[Net gas 8-24h, ml]]</f>
        <v>20.797118406520713</v>
      </c>
      <c r="V15" s="20">
        <f>Table4.17[[#This Row],[Net gas 24h, ml]]</f>
        <v>44.487457372270605</v>
      </c>
      <c r="W15" s="20">
        <f>Table4.17[[#This Row],[CH4 8h, ml]]</f>
        <v>3.1871250264656794</v>
      </c>
      <c r="X15" s="20">
        <f>Table4.17[[#This Row],[CH4 8-24h, ml]]</f>
        <v>3.5457040378942493</v>
      </c>
      <c r="Y15" s="20">
        <f>Table4.17[[#This Row],[CH4 24h, ml]]</f>
        <v>6.7328290643599287</v>
      </c>
      <c r="Z15" s="20">
        <f>Table4.17[[#This Row],[Gas ml/g DM Incubated, 24h]]</f>
        <v>94.311238601184286</v>
      </c>
      <c r="AA15" s="20">
        <f>Table4.17[[#This Row],[% DMD, Truly digestibility]]</f>
        <v>23.512331569539949</v>
      </c>
      <c r="AB15" s="20">
        <f>Table4.17[[#This Row],[Part Fact]]</f>
        <v>2.5013942683953259</v>
      </c>
      <c r="AC15" s="20">
        <f>Table4.17[[#This Row],[CH4 ml in gas, h8]]</f>
        <v>13.47142857142857</v>
      </c>
      <c r="AD15" s="20">
        <f>Table4.17[[#This Row],[CH4 ml in gas, 24h]]</f>
        <v>15.144879755067608</v>
      </c>
      <c r="AE15" s="20">
        <f>Table4.17[[#This Row],[CH4 ml/gDM incubated, 24h]]</f>
        <v>14.273335396427141</v>
      </c>
      <c r="AF15" s="20">
        <f>Table4.17[[#This Row],[CH4 ml/g DMD, 24h2]]</f>
        <v>61.945197674903724</v>
      </c>
      <c r="AG15" s="20">
        <f>Table4.17[[#This Row],[CH4 ml/g NDF digested in 24 h]]</f>
        <v>-0.35649979496530965</v>
      </c>
      <c r="AH15" s="20">
        <f>Table4.17[[#This Row],[CH4 g/g DM incubated, 24h]]</f>
        <v>7.9219480885360314</v>
      </c>
      <c r="AI15" s="20">
        <f>Table4.17[[#This Row],[Net gas 8-24h, ml]]</f>
        <v>20.797118406520713</v>
      </c>
    </row>
    <row r="16" spans="2:35" x14ac:dyDescent="0.35">
      <c r="B16" s="62">
        <f t="shared" si="0"/>
        <v>6</v>
      </c>
      <c r="C16" s="42">
        <f>'1. Information samples'!C16</f>
        <v>46041</v>
      </c>
      <c r="D16" s="42" t="str">
        <f>'1. Information samples'!D16</f>
        <v>Genbank</v>
      </c>
      <c r="E16" s="59">
        <f>'1. Information samples'!E16</f>
        <v>27</v>
      </c>
      <c r="F16" s="42" t="str">
        <f>'1. Information samples'!F16</f>
        <v>F251733</v>
      </c>
      <c r="G16" s="42" t="str">
        <f>'1. Information samples'!G16</f>
        <v>CIAT-23104</v>
      </c>
      <c r="H16" s="42" t="str">
        <f>'1. Information samples'!H16</f>
        <v>Dendrolobium</v>
      </c>
      <c r="I16" s="42" t="str">
        <f>'1. Information samples'!I16</f>
        <v>triangulare</v>
      </c>
      <c r="J16" s="42" t="str">
        <f>'1. Information samples'!J16</f>
        <v>Dendrolobium triangulare</v>
      </c>
      <c r="K16" s="42" t="str">
        <f>'1. Information samples'!K16</f>
        <v>Fabaceae</v>
      </c>
      <c r="L16" s="42" t="str">
        <f>'1. Information samples'!L16</f>
        <v>Fabales</v>
      </c>
      <c r="M16" s="42" t="str">
        <f>'1. Information samples'!M16</f>
        <v>Tree</v>
      </c>
      <c r="N16" s="20">
        <f>Table95[[#This Row],[Av DM 105]]</f>
        <v>92.632579078735347</v>
      </c>
      <c r="O16" s="20">
        <f>Table95[[#This Row],[Av Ash, %]]</f>
        <v>6.9983254013085654</v>
      </c>
      <c r="P16" s="20">
        <f>'4.0 Result Quality Average'!P16</f>
        <v>93.001674598691437</v>
      </c>
      <c r="Q16" s="20">
        <f>'4.0 Result Quality Average'!Q16</f>
        <v>19.394716052821558</v>
      </c>
      <c r="R16" s="20">
        <f>'4.0 Result Quality Average'!R16</f>
        <v>57.005039033422221</v>
      </c>
      <c r="S16" s="20">
        <f>'4.0 Result Quality Average'!S16</f>
        <v>67.219530028063701</v>
      </c>
      <c r="T16" s="20">
        <f>Table4.17[[#This Row],[Net gas 8h, ml]]</f>
        <v>21.801230670067358</v>
      </c>
      <c r="U16" s="20">
        <f>Table4.17[[#This Row],[Net gas 8-24h, ml]]</f>
        <v>20.011849007809023</v>
      </c>
      <c r="V16" s="20">
        <f>Table4.17[[#This Row],[Net gas 24h, ml]]</f>
        <v>41.813079677876381</v>
      </c>
      <c r="W16" s="20">
        <f>Table4.17[[#This Row],[CH4 8h, ml]]</f>
        <v>3.1433338726468887</v>
      </c>
      <c r="X16" s="20">
        <f>Table4.17[[#This Row],[CH4 8-24h, ml]]</f>
        <v>3.5264099863750804</v>
      </c>
      <c r="Y16" s="20">
        <f>Table4.17[[#This Row],[CH4 24h, ml]]</f>
        <v>6.6697438590219695</v>
      </c>
      <c r="Z16" s="20">
        <f>Table4.17[[#This Row],[Gas ml/g DM Incubated, 24h]]</f>
        <v>90.223555114518021</v>
      </c>
      <c r="AA16" s="20">
        <f>Table4.17[[#This Row],[% DMD, Truly digestibility]]</f>
        <v>18.16343298719212</v>
      </c>
      <c r="AB16" s="20">
        <f>Table4.17[[#This Row],[Part Fact]]</f>
        <v>2.016450027489967</v>
      </c>
      <c r="AC16" s="20">
        <f>Table4.17[[#This Row],[CH4 ml in gas, h8]]</f>
        <v>14.433333333333332</v>
      </c>
      <c r="AD16" s="20">
        <f>Table4.17[[#This Row],[CH4 ml in gas, 24h]]</f>
        <v>15.963878453478943</v>
      </c>
      <c r="AE16" s="20">
        <f>Table4.17[[#This Row],[CH4 ml/gDM incubated, 24h]]</f>
        <v>14.391865725587138</v>
      </c>
      <c r="AF16" s="20">
        <f>Table4.17[[#This Row],[CH4 ml/g DMD, 24h2]]</f>
        <v>80.768689885734588</v>
      </c>
      <c r="AG16" s="20">
        <f>Table4.17[[#This Row],[CH4 ml/g NDF digested in 24 h]]</f>
        <v>-0.31545324669952257</v>
      </c>
      <c r="AH16" s="20">
        <f>Table4.17[[#This Row],[CH4 g/g DM incubated, 24h]]</f>
        <v>7.9877344719175669</v>
      </c>
      <c r="AI16" s="20">
        <f>Table4.17[[#This Row],[Net gas 8-24h, ml]]</f>
        <v>20.011849007809023</v>
      </c>
    </row>
    <row r="17" spans="2:35" x14ac:dyDescent="0.35">
      <c r="B17" s="62">
        <f t="shared" si="0"/>
        <v>7</v>
      </c>
      <c r="C17" s="42">
        <f>'1. Information samples'!C17</f>
        <v>46041</v>
      </c>
      <c r="D17" s="42" t="str">
        <f>'1. Information samples'!D17</f>
        <v>Genbank</v>
      </c>
      <c r="E17" s="59">
        <f>'1. Information samples'!E17</f>
        <v>27</v>
      </c>
      <c r="F17" s="42" t="str">
        <f>'1. Information samples'!F17</f>
        <v>F251734</v>
      </c>
      <c r="G17" s="42" t="str">
        <f>'1. Information samples'!G17</f>
        <v>CIAT-23106</v>
      </c>
      <c r="H17" s="42" t="str">
        <f>'1. Information samples'!H17</f>
        <v>Dendrolobium</v>
      </c>
      <c r="I17" s="42" t="str">
        <f>'1. Information samples'!I17</f>
        <v>triangulare</v>
      </c>
      <c r="J17" s="42" t="str">
        <f>'1. Information samples'!J17</f>
        <v>Dendrolobium triangulare</v>
      </c>
      <c r="K17" s="42" t="str">
        <f>'1. Information samples'!K17</f>
        <v>Fabaceae</v>
      </c>
      <c r="L17" s="42" t="str">
        <f>'1. Information samples'!L17</f>
        <v>Fabales</v>
      </c>
      <c r="M17" s="42" t="str">
        <f>'1. Information samples'!M17</f>
        <v>Tree</v>
      </c>
      <c r="N17" s="20">
        <f>Table95[[#This Row],[Av DM 105]]</f>
        <v>94.652673663168372</v>
      </c>
      <c r="O17" s="20">
        <f>Table95[[#This Row],[Av Ash, %]]</f>
        <v>6.8532206969376732</v>
      </c>
      <c r="P17" s="20">
        <f>'4.0 Result Quality Average'!P17</f>
        <v>93.146779303062317</v>
      </c>
      <c r="Q17" s="20">
        <f>'4.0 Result Quality Average'!Q17</f>
        <v>21.885308885955659</v>
      </c>
      <c r="R17" s="20">
        <f>'4.0 Result Quality Average'!R17</f>
        <v>55.750984880021235</v>
      </c>
      <c r="S17" s="20">
        <f>'4.0 Result Quality Average'!S17</f>
        <v>67.761006152431818</v>
      </c>
      <c r="T17" s="20">
        <f>Table4.17[[#This Row],[Net gas 8h, ml]]</f>
        <v>20.490158866157433</v>
      </c>
      <c r="U17" s="20">
        <f>Table4.17[[#This Row],[Net gas 8-24h, ml]]</f>
        <v>15.626223699495258</v>
      </c>
      <c r="V17" s="20">
        <f>Table4.17[[#This Row],[Net gas 24h, ml]]</f>
        <v>36.116382565652692</v>
      </c>
      <c r="W17" s="20">
        <f>Table4.17[[#This Row],[CH4 8h, ml]]</f>
        <v>2.9791137251062012</v>
      </c>
      <c r="X17" s="20">
        <f>Table4.17[[#This Row],[CH4 8-24h, ml]]</f>
        <v>2.818911646866205</v>
      </c>
      <c r="Y17" s="20">
        <f>Table4.17[[#This Row],[CH4 24h, ml]]</f>
        <v>5.7980253719724058</v>
      </c>
      <c r="Z17" s="20">
        <f>Table4.17[[#This Row],[Gas ml/g DM Incubated, 24h]]</f>
        <v>76.278757967775547</v>
      </c>
      <c r="AA17" s="20">
        <f>Table4.17[[#This Row],[% DMD, Truly digestibility]]</f>
        <v>18.82922748409236</v>
      </c>
      <c r="AB17" s="20">
        <f>Table4.17[[#This Row],[Part Fact]]</f>
        <v>2.5096904109972575</v>
      </c>
      <c r="AC17" s="20">
        <f>Table4.17[[#This Row],[CH4 ml in gas, h8]]</f>
        <v>14.542857142857144</v>
      </c>
      <c r="AD17" s="20">
        <f>Table4.17[[#This Row],[CH4 ml in gas, 24h]]</f>
        <v>16.079188300328756</v>
      </c>
      <c r="AE17" s="20">
        <f>Table4.17[[#This Row],[CH4 ml/gDM incubated, 24h]]</f>
        <v>12.245635819200364</v>
      </c>
      <c r="AF17" s="20">
        <f>Table4.17[[#This Row],[CH4 ml/g DMD, 24h2]]</f>
        <v>69.064532972427315</v>
      </c>
      <c r="AG17" s="20">
        <f>Table4.17[[#This Row],[CH4 ml/g NDF digested in 24 h]]</f>
        <v>-0.33257054617802517</v>
      </c>
      <c r="AH17" s="20">
        <f>Table4.17[[#This Row],[CH4 g/g DM incubated, 24h]]</f>
        <v>6.7965397418676057</v>
      </c>
      <c r="AI17" s="20">
        <f>Table4.17[[#This Row],[Net gas 8-24h, ml]]</f>
        <v>15.626223699495258</v>
      </c>
    </row>
    <row r="18" spans="2:35" x14ac:dyDescent="0.35">
      <c r="B18" s="62">
        <f t="shared" si="0"/>
        <v>8</v>
      </c>
      <c r="C18" s="42">
        <f>'1. Information samples'!C18</f>
        <v>46041</v>
      </c>
      <c r="D18" s="42" t="str">
        <f>'1. Information samples'!D18</f>
        <v>Genbank</v>
      </c>
      <c r="E18" s="59">
        <f>'1. Information samples'!E18</f>
        <v>27</v>
      </c>
      <c r="F18" s="42" t="str">
        <f>'1. Information samples'!F18</f>
        <v>F251735</v>
      </c>
      <c r="G18" s="42" t="str">
        <f>'1. Information samples'!G18</f>
        <v>CIAT-23107</v>
      </c>
      <c r="H18" s="42" t="str">
        <f>'1. Information samples'!H18</f>
        <v>Dendrolobium</v>
      </c>
      <c r="I18" s="42" t="str">
        <f>'1. Information samples'!I18</f>
        <v>triangulare</v>
      </c>
      <c r="J18" s="42" t="str">
        <f>'1. Information samples'!J18</f>
        <v>Dendrolobium triangulare</v>
      </c>
      <c r="K18" s="42" t="str">
        <f>'1. Information samples'!K18</f>
        <v>Fabaceae</v>
      </c>
      <c r="L18" s="42" t="str">
        <f>'1. Information samples'!L18</f>
        <v>Fabales</v>
      </c>
      <c r="M18" s="42" t="str">
        <f>'1. Information samples'!M18</f>
        <v>Tree</v>
      </c>
      <c r="N18" s="20">
        <f>Table95[[#This Row],[Av DM 105]]</f>
        <v>94.987007645832151</v>
      </c>
      <c r="O18" s="20">
        <f>Table95[[#This Row],[Av Ash, %]]</f>
        <v>6.9192395614354751</v>
      </c>
      <c r="P18" s="20">
        <f>'4.0 Result Quality Average'!P18</f>
        <v>93.080760438564525</v>
      </c>
      <c r="Q18" s="20">
        <f>'4.0 Result Quality Average'!Q18</f>
        <v>21.240817132160643</v>
      </c>
      <c r="R18" s="20">
        <f>'4.0 Result Quality Average'!R18</f>
        <v>51.070861809657387</v>
      </c>
      <c r="S18" s="20">
        <f>'4.0 Result Quality Average'!S18</f>
        <v>67.216777899476341</v>
      </c>
      <c r="T18" s="20">
        <f>Table4.17[[#This Row],[Net gas 8h, ml]]</f>
        <v>18.192480857736609</v>
      </c>
      <c r="U18" s="20">
        <f>Table4.17[[#This Row],[Net gas 8-24h, ml]]</f>
        <v>15.451724439448295</v>
      </c>
      <c r="V18" s="20">
        <f>Table4.17[[#This Row],[Net gas 24h, ml]]</f>
        <v>33.644205297184897</v>
      </c>
      <c r="W18" s="20">
        <f>Table4.17[[#This Row],[CH4 8h, ml]]</f>
        <v>2.5901135064632497</v>
      </c>
      <c r="X18" s="20">
        <f>Table4.17[[#This Row],[CH4 8-24h, ml]]</f>
        <v>2.7975068601405573</v>
      </c>
      <c r="Y18" s="20">
        <f>Table4.17[[#This Row],[CH4 24h, ml]]</f>
        <v>5.3876203666038069</v>
      </c>
      <c r="Z18" s="20">
        <f>Table4.17[[#This Row],[Gas ml/g DM Incubated, 24h]]</f>
        <v>70.822210036122229</v>
      </c>
      <c r="AA18" s="20">
        <f>Table4.17[[#This Row],[% DMD, Truly digestibility]]</f>
        <v>18.218956332836285</v>
      </c>
      <c r="AB18" s="20">
        <f>Table4.17[[#This Row],[Part Fact]]</f>
        <v>2.5741174106397184</v>
      </c>
      <c r="AC18" s="20">
        <f>Table4.17[[#This Row],[CH4 ml in gas, h8]]</f>
        <v>14.260000000000002</v>
      </c>
      <c r="AD18" s="20">
        <f>Table4.17[[#This Row],[CH4 ml in gas, 24h]]</f>
        <v>16.038383794789162</v>
      </c>
      <c r="AE18" s="20">
        <f>Table4.17[[#This Row],[CH4 ml/gDM incubated, 24h]]</f>
        <v>11.341193279974485</v>
      </c>
      <c r="AF18" s="20">
        <f>Table4.17[[#This Row],[CH4 ml/g DMD, 24h2]]</f>
        <v>62.468124863189566</v>
      </c>
      <c r="AG18" s="20">
        <f>Table4.17[[#This Row],[CH4 ml/g NDF digested in 24 h]]</f>
        <v>-0.25034251515819622</v>
      </c>
      <c r="AH18" s="20">
        <f>Table4.17[[#This Row],[CH4 g/g DM incubated, 24h]]</f>
        <v>6.2945584848024483</v>
      </c>
      <c r="AI18" s="20">
        <f>Table4.17[[#This Row],[Net gas 8-24h, ml]]</f>
        <v>15.451724439448295</v>
      </c>
    </row>
    <row r="19" spans="2:35" x14ac:dyDescent="0.35">
      <c r="B19" s="62">
        <f t="shared" si="0"/>
        <v>9</v>
      </c>
      <c r="C19" s="42">
        <f>'1. Information samples'!C19</f>
        <v>46041</v>
      </c>
      <c r="D19" s="42" t="str">
        <f>'1. Information samples'!D19</f>
        <v>Genbank</v>
      </c>
      <c r="E19" s="59">
        <f>'1. Information samples'!E19</f>
        <v>27</v>
      </c>
      <c r="F19" s="42" t="str">
        <f>'1. Information samples'!F19</f>
        <v>F251736</v>
      </c>
      <c r="G19" s="42" t="str">
        <f>'1. Information samples'!G19</f>
        <v>CIAT-23108</v>
      </c>
      <c r="H19" s="42" t="str">
        <f>'1. Information samples'!H19</f>
        <v>Dendrolobium</v>
      </c>
      <c r="I19" s="42" t="str">
        <f>'1. Information samples'!I19</f>
        <v>triangulare</v>
      </c>
      <c r="J19" s="42" t="str">
        <f>'1. Information samples'!J19</f>
        <v>Dendrolobium triangulare</v>
      </c>
      <c r="K19" s="42" t="str">
        <f>'1. Information samples'!K19</f>
        <v>Fabaceae</v>
      </c>
      <c r="L19" s="42" t="str">
        <f>'1. Information samples'!L19</f>
        <v>Fabales</v>
      </c>
      <c r="M19" s="42" t="str">
        <f>'1. Information samples'!M19</f>
        <v>Tree</v>
      </c>
      <c r="N19" s="20">
        <f>Table95[[#This Row],[Av DM 105]]</f>
        <v>94.543274035578719</v>
      </c>
      <c r="O19" s="20">
        <f>Table95[[#This Row],[Av Ash, %]]</f>
        <v>6.9291754756871917</v>
      </c>
      <c r="P19" s="20">
        <f>'4.0 Result Quality Average'!P19</f>
        <v>93.070824524312812</v>
      </c>
      <c r="Q19" s="20">
        <f>'4.0 Result Quality Average'!Q19</f>
        <v>21.587331260994091</v>
      </c>
      <c r="R19" s="20">
        <f>'4.0 Result Quality Average'!R19</f>
        <v>58.167411455478486</v>
      </c>
      <c r="S19" s="20">
        <f>'4.0 Result Quality Average'!S19</f>
        <v>69.366100630903134</v>
      </c>
      <c r="T19" s="20">
        <f>Table4.17[[#This Row],[Net gas 8h, ml]]</f>
        <v>19.944445867317999</v>
      </c>
      <c r="U19" s="20">
        <f>Table4.17[[#This Row],[Net gas 8-24h, ml]]</f>
        <v>16.654261263663567</v>
      </c>
      <c r="V19" s="20">
        <f>Table4.17[[#This Row],[Net gas 24h, ml]]</f>
        <v>36.598707130981559</v>
      </c>
      <c r="W19" s="20">
        <f>Table4.17[[#This Row],[CH4 8h, ml]]</f>
        <v>2.7132658767755227</v>
      </c>
      <c r="X19" s="20">
        <f>Table4.17[[#This Row],[CH4 8-24h, ml]]</f>
        <v>3.0661036968724131</v>
      </c>
      <c r="Y19" s="20">
        <f>Table4.17[[#This Row],[CH4 24h, ml]]</f>
        <v>5.7793695736479362</v>
      </c>
      <c r="Z19" s="20">
        <f>Table4.17[[#This Row],[Gas ml/g DM Incubated, 24h]]</f>
        <v>77.366999362180962</v>
      </c>
      <c r="AA19" s="20">
        <f>Table4.17[[#This Row],[% DMD, Truly digestibility]]</f>
        <v>17.484748083124124</v>
      </c>
      <c r="AB19" s="20">
        <f>Table4.17[[#This Row],[Part Fact]]</f>
        <v>2.2584746473256447</v>
      </c>
      <c r="AC19" s="20">
        <f>Table4.17[[#This Row],[CH4 ml in gas, h8]]</f>
        <v>13.614285714285714</v>
      </c>
      <c r="AD19" s="20">
        <f>Table4.17[[#This Row],[CH4 ml in gas, 24h]]</f>
        <v>15.78826187379776</v>
      </c>
      <c r="AE19" s="20">
        <f>Table4.17[[#This Row],[CH4 ml/gDM incubated, 24h]]</f>
        <v>12.217281924269807</v>
      </c>
      <c r="AF19" s="20">
        <f>Table4.17[[#This Row],[CH4 ml/g DMD, 24h2]]</f>
        <v>71.584188240206871</v>
      </c>
      <c r="AG19" s="20">
        <f>Table4.17[[#This Row],[CH4 ml/g NDF digested in 24 h]]</f>
        <v>-0.32311538897445541</v>
      </c>
      <c r="AH19" s="20">
        <f>Table4.17[[#This Row],[CH4 g/g DM incubated, 24h]]</f>
        <v>6.7808028396293327</v>
      </c>
      <c r="AI19" s="20">
        <f>Table4.17[[#This Row],[Net gas 8-24h, ml]]</f>
        <v>16.654261263663567</v>
      </c>
    </row>
    <row r="20" spans="2:35" customFormat="1" x14ac:dyDescent="0.35">
      <c r="B20" s="62">
        <f t="shared" si="0"/>
        <v>10</v>
      </c>
      <c r="C20" s="42">
        <f>'1. Information samples'!C20</f>
        <v>46041</v>
      </c>
      <c r="D20" s="42" t="str">
        <f>'1. Information samples'!D20</f>
        <v>Genbank</v>
      </c>
      <c r="E20" s="59">
        <f>'1. Information samples'!E20</f>
        <v>27</v>
      </c>
      <c r="F20" s="42" t="str">
        <f>'1. Information samples'!F20</f>
        <v>F251737</v>
      </c>
      <c r="G20" s="42" t="str">
        <f>'1. Information samples'!G20</f>
        <v>CIAT-23412</v>
      </c>
      <c r="H20" s="42" t="str">
        <f>'1. Information samples'!H20</f>
        <v>Dendrolobium</v>
      </c>
      <c r="I20" s="42" t="str">
        <f>'1. Information samples'!I20</f>
        <v>triangulare</v>
      </c>
      <c r="J20" s="42" t="str">
        <f>'1. Information samples'!J20</f>
        <v>Dendrolobium triangulare</v>
      </c>
      <c r="K20" s="42" t="str">
        <f>'1. Information samples'!K20</f>
        <v>Fabaceae</v>
      </c>
      <c r="L20" s="42" t="str">
        <f>'1. Information samples'!L20</f>
        <v>Fabales</v>
      </c>
      <c r="M20" s="42" t="str">
        <f>'1. Information samples'!M20</f>
        <v>Tree</v>
      </c>
      <c r="N20" s="20">
        <f>Table95[[#This Row],[Av DM 105]]</f>
        <v>94.187644666024497</v>
      </c>
      <c r="O20" s="20">
        <f>Table95[[#This Row],[Av Ash, %]]</f>
        <v>7.2747456108071029</v>
      </c>
      <c r="P20" s="20">
        <f>'4.0 Result Quality Average'!P20</f>
        <v>92.725254389192898</v>
      </c>
      <c r="Q20" s="20">
        <f>'4.0 Result Quality Average'!Q20</f>
        <v>21.147143051903054</v>
      </c>
      <c r="R20" s="20">
        <f>'4.0 Result Quality Average'!R20</f>
        <v>50.977070074497377</v>
      </c>
      <c r="S20" s="20">
        <f>'4.0 Result Quality Average'!S20</f>
        <v>62.136166500418632</v>
      </c>
      <c r="T20" s="20">
        <f>Table4.17[[#This Row],[Net gas 8h, ml]]</f>
        <v>21.476053251464176</v>
      </c>
      <c r="U20" s="20">
        <f>Table4.17[[#This Row],[Net gas 8-24h, ml]]</f>
        <v>12.654261263663569</v>
      </c>
      <c r="V20" s="20">
        <f>Table4.17[[#This Row],[Net gas 24h, ml]]</f>
        <v>34.130314515127743</v>
      </c>
      <c r="W20" s="20">
        <f>Table4.17[[#This Row],[CH4 8h, ml]]</f>
        <v>2.9003002178254262</v>
      </c>
      <c r="X20" s="20">
        <f>Table4.17[[#This Row],[CH4 8-24h, ml]]</f>
        <v>2.1903032660208845</v>
      </c>
      <c r="Y20" s="20">
        <f>Table4.17[[#This Row],[CH4 24h, ml]]</f>
        <v>5.0906034838463103</v>
      </c>
      <c r="Z20" s="20">
        <f>Table4.17[[#This Row],[Gas ml/g DM Incubated, 24h]]</f>
        <v>72.440469349301807</v>
      </c>
      <c r="AA20" s="20">
        <f>Table4.17[[#This Row],[% DMD, Truly digestibility]]</f>
        <v>19.640009698497582</v>
      </c>
      <c r="AB20" s="20">
        <f>Table4.17[[#This Row],[Part Fact]]</f>
        <v>2.724121824186581</v>
      </c>
      <c r="AC20" s="20">
        <f>Table4.17[[#This Row],[CH4 ml in gas, h8]]</f>
        <v>13.514285714285711</v>
      </c>
      <c r="AD20" s="20">
        <f>Table4.17[[#This Row],[CH4 ml in gas, 24h]]</f>
        <v>14.920994288514473</v>
      </c>
      <c r="AE20" s="20">
        <f>Table4.17[[#This Row],[CH4 ml/gDM incubated, 24h]]</f>
        <v>10.804759060565498</v>
      </c>
      <c r="AF20" s="20">
        <f>Table4.17[[#This Row],[CH4 ml/g DMD, 24h2]]</f>
        <v>58.161947764184028</v>
      </c>
      <c r="AG20" s="20">
        <f>Table4.17[[#This Row],[CH4 ml/g NDF digested in 24 h]]</f>
        <v>-0.17779340146695333</v>
      </c>
      <c r="AH20" s="20">
        <f>Table4.17[[#This Row],[CH4 g/g DM incubated, 24h]]</f>
        <v>5.9968282121616117</v>
      </c>
      <c r="AI20" s="20">
        <f>Table4.17[[#This Row],[Net gas 8-24h, ml]]</f>
        <v>12.654261263663569</v>
      </c>
    </row>
    <row r="21" spans="2:35" x14ac:dyDescent="0.35">
      <c r="B21" s="62">
        <f t="shared" si="0"/>
        <v>11</v>
      </c>
      <c r="C21" s="42">
        <f>'1. Information samples'!C21</f>
        <v>46041</v>
      </c>
      <c r="D21" s="42" t="str">
        <f>'1. Information samples'!D21</f>
        <v>Genbank</v>
      </c>
      <c r="E21" s="59">
        <f>'1. Information samples'!E21</f>
        <v>27</v>
      </c>
      <c r="F21" s="42" t="str">
        <f>'1. Information samples'!F21</f>
        <v>F251738</v>
      </c>
      <c r="G21" s="42" t="str">
        <f>'1. Information samples'!G21</f>
        <v>CIAT-23413</v>
      </c>
      <c r="H21" s="42" t="str">
        <f>'1. Information samples'!H21</f>
        <v>Dendrolobium</v>
      </c>
      <c r="I21" s="42" t="str">
        <f>'1. Information samples'!I21</f>
        <v>triangulare</v>
      </c>
      <c r="J21" s="42" t="str">
        <f>'1. Information samples'!J21</f>
        <v>Dendrolobium triangulare</v>
      </c>
      <c r="K21" s="42" t="str">
        <f>'1. Information samples'!K21</f>
        <v>Fabaceae</v>
      </c>
      <c r="L21" s="42" t="str">
        <f>'1. Information samples'!L21</f>
        <v>Fabales</v>
      </c>
      <c r="M21" s="42" t="str">
        <f>'1. Information samples'!M21</f>
        <v>Tree</v>
      </c>
      <c r="N21" s="20">
        <f>Table95[[#This Row],[Av DM 105]]</f>
        <v>93.526671423221515</v>
      </c>
      <c r="O21" s="20">
        <f>Table95[[#This Row],[Av Ash, %]]</f>
        <v>7.4986589276613946</v>
      </c>
      <c r="P21" s="20">
        <f>'4.0 Result Quality Average'!P21</f>
        <v>92.501341072338604</v>
      </c>
      <c r="Q21" s="20">
        <f>'4.0 Result Quality Average'!Q21</f>
        <v>21.317526281540893</v>
      </c>
      <c r="R21" s="20">
        <f>'4.0 Result Quality Average'!R21</f>
        <v>54.591146532301323</v>
      </c>
      <c r="S21" s="20">
        <f>'4.0 Result Quality Average'!S21</f>
        <v>66.226035405740589</v>
      </c>
      <c r="T21" s="20">
        <f>Table4.17[[#This Row],[Net gas 8h, ml]]</f>
        <v>23.182012600368388</v>
      </c>
      <c r="U21" s="20">
        <f>Table4.17[[#This Row],[Net gas 8-24h, ml]]</f>
        <v>18.299037586907204</v>
      </c>
      <c r="V21" s="20">
        <f>Table4.17[[#This Row],[Net gas 24h, ml]]</f>
        <v>41.481050187275592</v>
      </c>
      <c r="W21" s="20">
        <f>Table4.17[[#This Row],[CH4 8h, ml]]</f>
        <v>3.2605345330592255</v>
      </c>
      <c r="X21" s="20">
        <f>Table4.17[[#This Row],[CH4 8-24h, ml]]</f>
        <v>3.0694872227505616</v>
      </c>
      <c r="Y21" s="20">
        <f>Table4.17[[#This Row],[CH4 24h, ml]]</f>
        <v>6.3300217558097867</v>
      </c>
      <c r="Z21" s="20">
        <f>Table4.17[[#This Row],[Gas ml/g DM Incubated, 24h]]</f>
        <v>88.660218036939284</v>
      </c>
      <c r="AA21" s="20">
        <f>Table4.17[[#This Row],[% DMD, Truly digestibility]]</f>
        <v>22.617042966967286</v>
      </c>
      <c r="AB21" s="20">
        <f>Table4.17[[#This Row],[Part Fact]]</f>
        <v>2.571495521160478</v>
      </c>
      <c r="AC21" s="20">
        <f>Table4.17[[#This Row],[CH4 ml in gas, h8]]</f>
        <v>14.124999999999998</v>
      </c>
      <c r="AD21" s="20">
        <f>Table4.17[[#This Row],[CH4 ml in gas, 24h]]</f>
        <v>15.299081000688505</v>
      </c>
      <c r="AE21" s="20">
        <f>Table4.17[[#This Row],[CH4 ml/gDM incubated, 24h]]</f>
        <v>13.529510230409477</v>
      </c>
      <c r="AF21" s="20">
        <f>Table4.17[[#This Row],[CH4 ml/g DMD, 24h2]]</f>
        <v>62.63200706318208</v>
      </c>
      <c r="AG21" s="20">
        <f>Table4.17[[#This Row],[CH4 ml/g NDF digested in 24 h]]</f>
        <v>-0.22783055605142694</v>
      </c>
      <c r="AH21" s="20">
        <f>Table4.17[[#This Row],[CH4 g/g DM incubated, 24h]]</f>
        <v>7.5091122524487215</v>
      </c>
      <c r="AI21" s="20">
        <f>Table4.17[[#This Row],[Net gas 8-24h, ml]]</f>
        <v>18.299037586907204</v>
      </c>
    </row>
    <row r="22" spans="2:35" x14ac:dyDescent="0.35">
      <c r="B22" s="62">
        <f t="shared" si="0"/>
        <v>12</v>
      </c>
      <c r="C22" s="42">
        <f>'1. Information samples'!C22</f>
        <v>46041</v>
      </c>
      <c r="D22" s="42" t="str">
        <f>'1. Information samples'!D22</f>
        <v>Genbank</v>
      </c>
      <c r="E22" s="59">
        <f>'1. Information samples'!E22</f>
        <v>27</v>
      </c>
      <c r="F22" s="42" t="str">
        <f>'1. Information samples'!F22</f>
        <v>F251739</v>
      </c>
      <c r="G22" s="42" t="str">
        <f>'1. Information samples'!G22</f>
        <v>CIAT-23419</v>
      </c>
      <c r="H22" s="42" t="str">
        <f>'1. Information samples'!H22</f>
        <v>Dendrolobium</v>
      </c>
      <c r="I22" s="42" t="str">
        <f>'1. Information samples'!I22</f>
        <v>triangulare</v>
      </c>
      <c r="J22" s="42" t="str">
        <f>'1. Information samples'!J22</f>
        <v>Dendrolobium triangulare</v>
      </c>
      <c r="K22" s="42" t="str">
        <f>'1. Information samples'!K22</f>
        <v>Fabaceae</v>
      </c>
      <c r="L22" s="42" t="str">
        <f>'1. Information samples'!L22</f>
        <v>Fabales</v>
      </c>
      <c r="M22" s="42" t="str">
        <f>'1. Information samples'!M22</f>
        <v>Tree</v>
      </c>
      <c r="N22" s="20">
        <f>Table95[[#This Row],[Av DM 105]]</f>
        <v>93.957431461216231</v>
      </c>
      <c r="O22" s="20">
        <f>Table95[[#This Row],[Av Ash, %]]</f>
        <v>7.2025076108834778</v>
      </c>
      <c r="P22" s="20">
        <f>'4.0 Result Quality Average'!P22</f>
        <v>92.797492389116513</v>
      </c>
      <c r="Q22" s="20">
        <f>'4.0 Result Quality Average'!Q22</f>
        <v>20.194918293638743</v>
      </c>
      <c r="R22" s="20">
        <f>'4.0 Result Quality Average'!R22</f>
        <v>56.434424137767706</v>
      </c>
      <c r="S22" s="20">
        <f>'4.0 Result Quality Average'!S22</f>
        <v>67.783940114216108</v>
      </c>
      <c r="T22" s="20">
        <f>Table4.17[[#This Row],[Net gas 8h, ml]]</f>
        <v>22.369512600368388</v>
      </c>
      <c r="U22" s="20">
        <f>Table4.17[[#This Row],[Net gas 8-24h, ml]]</f>
        <v>17.299037586907204</v>
      </c>
      <c r="V22" s="20">
        <f>Table4.17[[#This Row],[Net gas 24h, ml]]</f>
        <v>39.668550187275592</v>
      </c>
      <c r="W22" s="20">
        <f>Table4.17[[#This Row],[CH4 8h, ml]]</f>
        <v>3.1304975339710435</v>
      </c>
      <c r="X22" s="20">
        <f>Table4.17[[#This Row],[CH4 8-24h, ml]]</f>
        <v>3.1245465934179526</v>
      </c>
      <c r="Y22" s="20">
        <f>Table4.17[[#This Row],[CH4 24h, ml]]</f>
        <v>6.2550441273889961</v>
      </c>
      <c r="Z22" s="20">
        <f>Table4.17[[#This Row],[Gas ml/g DM Incubated, 24h]]</f>
        <v>84.388301833087382</v>
      </c>
      <c r="AA22" s="20">
        <f>Table4.17[[#This Row],[% DMD, Truly digestibility]]</f>
        <v>17.594722732794864</v>
      </c>
      <c r="AB22" s="20">
        <f>Table4.17[[#This Row],[Part Fact]]</f>
        <v>2.1000603299373326</v>
      </c>
      <c r="AC22" s="20">
        <f>Table4.17[[#This Row],[CH4 ml in gas, h8]]</f>
        <v>14.037500000000001</v>
      </c>
      <c r="AD22" s="20">
        <f>Table4.17[[#This Row],[CH4 ml in gas, 24h]]</f>
        <v>15.787082270374055</v>
      </c>
      <c r="AE22" s="20">
        <f>Table4.17[[#This Row],[CH4 ml/gDM incubated, 24h]]</f>
        <v>13.306699898147077</v>
      </c>
      <c r="AF22" s="20">
        <f>Table4.17[[#This Row],[CH4 ml/g DMD, 24h2]]</f>
        <v>80.564793434114634</v>
      </c>
      <c r="AG22" s="20">
        <f>Table4.17[[#This Row],[CH4 ml/g NDF digested in 24 h]]</f>
        <v>-0.17324253384270322</v>
      </c>
      <c r="AH22" s="20">
        <f>Table4.17[[#This Row],[CH4 g/g DM incubated, 24h]]</f>
        <v>7.3854486631930483</v>
      </c>
      <c r="AI22" s="20">
        <f>Table4.17[[#This Row],[Net gas 8-24h, ml]]</f>
        <v>17.299037586907204</v>
      </c>
    </row>
    <row r="23" spans="2:35" x14ac:dyDescent="0.35">
      <c r="B23" s="62">
        <f t="shared" si="0"/>
        <v>13</v>
      </c>
      <c r="C23" s="42">
        <f>'1. Information samples'!C23</f>
        <v>46041</v>
      </c>
      <c r="D23" s="42" t="str">
        <f>'1. Information samples'!D23</f>
        <v>Genbank</v>
      </c>
      <c r="E23" s="59">
        <f>'1. Information samples'!E23</f>
        <v>27</v>
      </c>
      <c r="F23" s="42" t="str">
        <f>'1. Information samples'!F23</f>
        <v>F251740</v>
      </c>
      <c r="G23" s="42" t="str">
        <f>'1. Information samples'!G23</f>
        <v>CIAT-23422</v>
      </c>
      <c r="H23" s="42" t="str">
        <f>'1. Information samples'!H23</f>
        <v>Dendrolobium</v>
      </c>
      <c r="I23" s="42" t="str">
        <f>'1. Information samples'!I23</f>
        <v>triangulare</v>
      </c>
      <c r="J23" s="42" t="str">
        <f>'1. Information samples'!J23</f>
        <v>Dendrolobium triangulare</v>
      </c>
      <c r="K23" s="42" t="str">
        <f>'1. Information samples'!K23</f>
        <v>Fabaceae</v>
      </c>
      <c r="L23" s="42" t="str">
        <f>'1. Information samples'!L23</f>
        <v>Fabales</v>
      </c>
      <c r="M23" s="42" t="str">
        <f>'1. Information samples'!M23</f>
        <v>Tree</v>
      </c>
      <c r="N23" s="20">
        <f>Table95[[#This Row],[Av DM 105]]</f>
        <v>91.857449181894964</v>
      </c>
      <c r="O23" s="20">
        <f>Table95[[#This Row],[Av Ash, %]]</f>
        <v>7.0631741984456244</v>
      </c>
      <c r="P23" s="20">
        <f>'4.0 Result Quality Average'!P23</f>
        <v>92.936825801554377</v>
      </c>
      <c r="Q23" s="20">
        <f>'4.0 Result Quality Average'!Q23</f>
        <v>21.674954169008064</v>
      </c>
      <c r="R23" s="20">
        <f>'4.0 Result Quality Average'!R23</f>
        <v>54.629756108743862</v>
      </c>
      <c r="S23" s="20">
        <f>'4.0 Result Quality Average'!S23</f>
        <v>66.573105982287089</v>
      </c>
      <c r="T23" s="20">
        <f>Table4.17[[#This Row],[Net gas 8h, ml]]</f>
        <v>21.275873151871718</v>
      </c>
      <c r="U23" s="20">
        <f>Table4.17[[#This Row],[Net gas 8-24h, ml]]</f>
        <v>18.483366556638114</v>
      </c>
      <c r="V23" s="20">
        <f>Table4.17[[#This Row],[Net gas 24h, ml]]</f>
        <v>39.759239708509831</v>
      </c>
      <c r="W23" s="20">
        <f>Table4.17[[#This Row],[CH4 8h, ml]]</f>
        <v>3.1272069199279331</v>
      </c>
      <c r="X23" s="20">
        <f>Table4.17[[#This Row],[CH4 8-24h, ml]]</f>
        <v>3.3355225814663507</v>
      </c>
      <c r="Y23" s="20">
        <f>Table4.17[[#This Row],[CH4 24h, ml]]</f>
        <v>6.4627295013942847</v>
      </c>
      <c r="Z23" s="20">
        <f>Table4.17[[#This Row],[Gas ml/g DM Incubated, 24h]]</f>
        <v>86.52628890077915</v>
      </c>
      <c r="AA23" s="20">
        <f>Table4.17[[#This Row],[% DMD, Truly digestibility]]</f>
        <v>21.77453947622492</v>
      </c>
      <c r="AB23" s="20">
        <f>Table4.17[[#This Row],[Part Fact]]</f>
        <v>2.9336951922041115</v>
      </c>
      <c r="AC23" s="20">
        <f>Table4.17[[#This Row],[CH4 ml in gas, h8]]</f>
        <v>14.62857142857143</v>
      </c>
      <c r="AD23" s="20">
        <f>Table4.17[[#This Row],[CH4 ml in gas, 24h]]</f>
        <v>16.188929118220315</v>
      </c>
      <c r="AE23" s="20">
        <f>Table4.17[[#This Row],[CH4 ml/gDM incubated, 24h]]</f>
        <v>14.064607500482305</v>
      </c>
      <c r="AF23" s="20">
        <f>Table4.17[[#This Row],[CH4 ml/g DMD, 24h2]]</f>
        <v>69.288349100007252</v>
      </c>
      <c r="AG23" s="20">
        <f>Table4.17[[#This Row],[CH4 ml/g NDF digested in 24 h]]</f>
        <v>-0.2340471443601066</v>
      </c>
      <c r="AH23" s="20">
        <f>Table4.17[[#This Row],[CH4 g/g DM incubated, 24h]]</f>
        <v>7.8061004950773745</v>
      </c>
      <c r="AI23" s="20">
        <f>Table4.17[[#This Row],[Net gas 8-24h, ml]]</f>
        <v>18.483366556638114</v>
      </c>
    </row>
    <row r="24" spans="2:35" x14ac:dyDescent="0.35">
      <c r="B24" s="62">
        <f t="shared" si="0"/>
        <v>14</v>
      </c>
      <c r="C24" s="42">
        <f>'1. Information samples'!C24</f>
        <v>46041</v>
      </c>
      <c r="D24" s="42" t="str">
        <f>'1. Information samples'!D24</f>
        <v>Genbank</v>
      </c>
      <c r="E24" s="59">
        <f>'1. Information samples'!E24</f>
        <v>27</v>
      </c>
      <c r="F24" s="42" t="str">
        <f>'1. Information samples'!F24</f>
        <v>F251741</v>
      </c>
      <c r="G24" s="42" t="str">
        <f>'1. Information samples'!G24</f>
        <v>CIAT-23734</v>
      </c>
      <c r="H24" s="42" t="str">
        <f>'1. Information samples'!H24</f>
        <v>Dendrolobium</v>
      </c>
      <c r="I24" s="42" t="str">
        <f>'1. Information samples'!I24</f>
        <v>triangulare</v>
      </c>
      <c r="J24" s="42" t="str">
        <f>'1. Information samples'!J24</f>
        <v>Dendrolobium triangulare</v>
      </c>
      <c r="K24" s="42" t="str">
        <f>'1. Information samples'!K24</f>
        <v>Fabaceae</v>
      </c>
      <c r="L24" s="42" t="str">
        <f>'1. Information samples'!L24</f>
        <v>Fabales</v>
      </c>
      <c r="M24" s="42" t="str">
        <f>'1. Information samples'!M24</f>
        <v>Tree</v>
      </c>
      <c r="N24" s="20">
        <f>Table95[[#This Row],[Av DM 105]]</f>
        <v>94.71104973877307</v>
      </c>
      <c r="O24" s="20">
        <f>Table95[[#This Row],[Av Ash, %]]</f>
        <v>7.859177881858507</v>
      </c>
      <c r="P24" s="20">
        <f>'4.0 Result Quality Average'!P24</f>
        <v>92.1408221181415</v>
      </c>
      <c r="Q24" s="20">
        <f>'4.0 Result Quality Average'!Q24</f>
        <v>21.435013684619474</v>
      </c>
      <c r="R24" s="20">
        <f>'4.0 Result Quality Average'!R24</f>
        <v>47.219601144823621</v>
      </c>
      <c r="S24" s="20">
        <f>'4.0 Result Quality Average'!S24</f>
        <v>62.023150386065069</v>
      </c>
      <c r="T24" s="20">
        <f>Table4.17[[#This Row],[Net gas 8h, ml]]</f>
        <v>25.694512600368387</v>
      </c>
      <c r="U24" s="20">
        <f>Table4.17[[#This Row],[Net gas 8-24h, ml]]</f>
        <v>23.486537586907204</v>
      </c>
      <c r="V24" s="20">
        <f>Table4.17[[#This Row],[Net gas 24h, ml]]</f>
        <v>49.181050187275595</v>
      </c>
      <c r="W24" s="20">
        <f>Table4.17[[#This Row],[CH4 8h, ml]]</f>
        <v>3.8828132531647892</v>
      </c>
      <c r="X24" s="20">
        <f>Table4.17[[#This Row],[CH4 8-24h, ml]]</f>
        <v>4.1131229723467264</v>
      </c>
      <c r="Y24" s="20">
        <f>Table4.17[[#This Row],[CH4 24h, ml]]</f>
        <v>7.9959362255115147</v>
      </c>
      <c r="Z24" s="20">
        <f>Table4.17[[#This Row],[Gas ml/g DM Incubated, 24h]]</f>
        <v>103.80050060941649</v>
      </c>
      <c r="AA24" s="20">
        <f>Table4.17[[#This Row],[% DMD, Truly digestibility]]</f>
        <v>30.162781429258676</v>
      </c>
      <c r="AB24" s="20">
        <f>Table4.17[[#This Row],[Part Fact]]</f>
        <v>2.9137677551213299</v>
      </c>
      <c r="AC24" s="20">
        <f>Table4.17[[#This Row],[CH4 ml in gas, h8]]</f>
        <v>15.125</v>
      </c>
      <c r="AD24" s="20">
        <f>Table4.17[[#This Row],[CH4 ml in gas, 24h]]</f>
        <v>16.2614706697</v>
      </c>
      <c r="AE24" s="20">
        <f>Table4.17[[#This Row],[CH4 ml/gDM incubated, 24h]]</f>
        <v>16.876069308755326</v>
      </c>
      <c r="AF24" s="20">
        <f>Table4.17[[#This Row],[CH4 ml/g DMD, 24h2]]</f>
        <v>60.392512270255928</v>
      </c>
      <c r="AG24" s="20">
        <f>Table4.17[[#This Row],[CH4 ml/g NDF digested in 24 h]]</f>
        <v>-0.49750270197219021</v>
      </c>
      <c r="AH24" s="20">
        <f>Table4.17[[#This Row],[CH4 g/g DM incubated, 24h]]</f>
        <v>9.3665104398766594</v>
      </c>
      <c r="AI24" s="20">
        <f>Table4.17[[#This Row],[Net gas 8-24h, ml]]</f>
        <v>23.486537586907204</v>
      </c>
    </row>
    <row r="25" spans="2:35" x14ac:dyDescent="0.35">
      <c r="B25" s="62">
        <f t="shared" si="0"/>
        <v>15</v>
      </c>
      <c r="C25" s="42">
        <f>'1. Information samples'!C25</f>
        <v>46041</v>
      </c>
      <c r="D25" s="42" t="str">
        <f>'1. Information samples'!D25</f>
        <v>Genbank</v>
      </c>
      <c r="E25" s="59">
        <f>'1. Information samples'!E25</f>
        <v>27</v>
      </c>
      <c r="F25" s="42" t="str">
        <f>'1. Information samples'!F25</f>
        <v>F251742</v>
      </c>
      <c r="G25" s="42" t="str">
        <f>'1. Information samples'!G25</f>
        <v>CIAT-23932</v>
      </c>
      <c r="H25" s="42" t="str">
        <f>'1. Information samples'!H25</f>
        <v>Dendrolobium</v>
      </c>
      <c r="I25" s="42" t="str">
        <f>'1. Information samples'!I25</f>
        <v>triangulare</v>
      </c>
      <c r="J25" s="42" t="str">
        <f>'1. Information samples'!J25</f>
        <v>Dendrolobium triangulare</v>
      </c>
      <c r="K25" s="42" t="str">
        <f>'1. Information samples'!K25</f>
        <v>Fabaceae</v>
      </c>
      <c r="L25" s="42" t="str">
        <f>'1. Information samples'!L25</f>
        <v>Fabales</v>
      </c>
      <c r="M25" s="42" t="str">
        <f>'1. Information samples'!M25</f>
        <v>Tree</v>
      </c>
      <c r="N25" s="20">
        <f>Table95[[#This Row],[Av DM 105]]</f>
        <v>95.121951219512113</v>
      </c>
      <c r="O25" s="20">
        <f>Table95[[#This Row],[Av Ash, %]]</f>
        <v>7.2929802437999109</v>
      </c>
      <c r="P25" s="20">
        <f>'4.0 Result Quality Average'!P25</f>
        <v>92.707019756200083</v>
      </c>
      <c r="Q25" s="20">
        <f>'4.0 Result Quality Average'!Q25</f>
        <v>18.840827307961472</v>
      </c>
      <c r="R25" s="20">
        <f>'4.0 Result Quality Average'!R25</f>
        <v>49.892248931655672</v>
      </c>
      <c r="S25" s="20">
        <f>'4.0 Result Quality Average'!S25</f>
        <v>63.091070171894259</v>
      </c>
      <c r="T25" s="20">
        <f>Table4.17[[#This Row],[Net gas 8h, ml]]</f>
        <v>24.307012600368388</v>
      </c>
      <c r="U25" s="20">
        <f>Table4.17[[#This Row],[Net gas 8-24h, ml]]</f>
        <v>22.236537586907204</v>
      </c>
      <c r="V25" s="20">
        <f>Table4.17[[#This Row],[Net gas 24h, ml]]</f>
        <v>46.543550187275592</v>
      </c>
      <c r="W25" s="20">
        <f>Table4.17[[#This Row],[CH4 8h, ml]]</f>
        <v>3.5600500384200795</v>
      </c>
      <c r="X25" s="20">
        <f>Table4.17[[#This Row],[CH4 8-24h, ml]]</f>
        <v>3.9905122339006653</v>
      </c>
      <c r="Y25" s="20">
        <f>Table4.17[[#This Row],[CH4 24h, ml]]</f>
        <v>7.550562272320744</v>
      </c>
      <c r="Z25" s="20">
        <f>Table4.17[[#This Row],[Gas ml/g DM Incubated, 24h]]</f>
        <v>97.803279022551138</v>
      </c>
      <c r="AA25" s="20">
        <f>Table4.17[[#This Row],[% DMD, Truly digestibility]]</f>
        <v>22.757163691734565</v>
      </c>
      <c r="AB25" s="20">
        <f>Table4.17[[#This Row],[Part Fact]]</f>
        <v>2.3473937162753171</v>
      </c>
      <c r="AC25" s="20">
        <f>Table4.17[[#This Row],[CH4 ml in gas, h8]]</f>
        <v>14.7</v>
      </c>
      <c r="AD25" s="20">
        <f>Table4.17[[#This Row],[CH4 ml in gas, 24h]]</f>
        <v>16.240923955294484</v>
      </c>
      <c r="AE25" s="20">
        <f>Table4.17[[#This Row],[CH4 ml/gDM incubated, 24h]]</f>
        <v>15.866236448399848</v>
      </c>
      <c r="AF25" s="20">
        <f>Table4.17[[#This Row],[CH4 ml/g DMD, 24h2]]</f>
        <v>73.458867382984721</v>
      </c>
      <c r="AG25" s="20">
        <f>Table4.17[[#This Row],[CH4 ml/g NDF digested in 24 h]]</f>
        <v>-0.28418588445779919</v>
      </c>
      <c r="AH25" s="20">
        <f>Table4.17[[#This Row],[CH4 g/g DM incubated, 24h]]</f>
        <v>8.8060357312226145</v>
      </c>
      <c r="AI25" s="20">
        <f>Table4.17[[#This Row],[Net gas 8-24h, ml]]</f>
        <v>22.236537586907204</v>
      </c>
    </row>
    <row r="26" spans="2:35" x14ac:dyDescent="0.35">
      <c r="B26" s="62">
        <f t="shared" si="0"/>
        <v>16</v>
      </c>
      <c r="C26" s="42">
        <f>'1. Information samples'!C26</f>
        <v>46041</v>
      </c>
      <c r="D26" s="42" t="str">
        <f>'1. Information samples'!D26</f>
        <v>Genbank</v>
      </c>
      <c r="E26" s="59">
        <f>'1. Information samples'!E26</f>
        <v>27</v>
      </c>
      <c r="F26" s="42" t="str">
        <f>'1. Information samples'!F26</f>
        <v>F251743</v>
      </c>
      <c r="G26" s="42" t="str">
        <f>'1. Information samples'!G26</f>
        <v>CIAT-23933</v>
      </c>
      <c r="H26" s="42" t="str">
        <f>'1. Information samples'!H26</f>
        <v>Dendrolobium</v>
      </c>
      <c r="I26" s="42" t="str">
        <f>'1. Information samples'!I26</f>
        <v>triangulare</v>
      </c>
      <c r="J26" s="42" t="str">
        <f>'1. Information samples'!J26</f>
        <v>Dendrolobium triangulare</v>
      </c>
      <c r="K26" s="42" t="str">
        <f>'1. Information samples'!K26</f>
        <v>Fabaceae</v>
      </c>
      <c r="L26" s="42" t="str">
        <f>'1. Information samples'!L26</f>
        <v>Fabales</v>
      </c>
      <c r="M26" s="42" t="str">
        <f>'1. Information samples'!M26</f>
        <v>Tree</v>
      </c>
      <c r="N26" s="20">
        <f>Table95[[#This Row],[Av DM 105]]</f>
        <v>93.721247689286884</v>
      </c>
      <c r="O26" s="20">
        <f>Table95[[#This Row],[Av Ash, %]]</f>
        <v>7.3714493963065175</v>
      </c>
      <c r="P26" s="20">
        <f>'4.0 Result Quality Average'!P26</f>
        <v>92.628550603693483</v>
      </c>
      <c r="Q26" s="20">
        <f>'4.0 Result Quality Average'!Q26</f>
        <v>17.584205926024783</v>
      </c>
      <c r="R26" s="20">
        <f>'4.0 Result Quality Average'!R26</f>
        <v>49.308483536149055</v>
      </c>
      <c r="S26" s="20">
        <f>'4.0 Result Quality Average'!S26</f>
        <v>64.369248658831737</v>
      </c>
      <c r="T26" s="20">
        <f>Table4.17[[#This Row],[Net gas 8h, ml]]</f>
        <v>21.551230670067358</v>
      </c>
      <c r="U26" s="20">
        <f>Table4.17[[#This Row],[Net gas 8-24h, ml]]</f>
        <v>26.011849007809023</v>
      </c>
      <c r="V26" s="20">
        <f>Table4.17[[#This Row],[Net gas 24h, ml]]</f>
        <v>47.563079677876381</v>
      </c>
      <c r="W26" s="20">
        <f>Table4.17[[#This Row],[CH4 8h, ml]]</f>
        <v>3.241420410197112</v>
      </c>
      <c r="X26" s="20">
        <f>Table4.17[[#This Row],[CH4 8-24h, ml]]</f>
        <v>3.7726371516380079</v>
      </c>
      <c r="Y26" s="20">
        <f>Table4.17[[#This Row],[CH4 24h, ml]]</f>
        <v>7.01405756183512</v>
      </c>
      <c r="Z26" s="20">
        <f>Table4.17[[#This Row],[Gas ml/g DM Incubated, 24h]]</f>
        <v>101.41146669624614</v>
      </c>
      <c r="AA26" s="20">
        <f>Table4.17[[#This Row],[% DMD, Truly digestibility]]</f>
        <v>22.869890104304982</v>
      </c>
      <c r="AB26" s="20">
        <f>Table4.17[[#This Row],[Part Fact]]</f>
        <v>2.257007806285142</v>
      </c>
      <c r="AC26" s="20">
        <f>Table4.17[[#This Row],[CH4 ml in gas, h8]]</f>
        <v>15.033333333333331</v>
      </c>
      <c r="AD26" s="20">
        <f>Table4.17[[#This Row],[CH4 ml in gas, 24h]]</f>
        <v>14.651408151671331</v>
      </c>
      <c r="AE26" s="20">
        <f>Table4.17[[#This Row],[CH4 ml/gDM incubated, 24h]]</f>
        <v>14.955189446529275</v>
      </c>
      <c r="AF26" s="20">
        <f>Table4.17[[#This Row],[CH4 ml/g DMD, 24h2]]</f>
        <v>65.723244183707862</v>
      </c>
      <c r="AG26" s="20">
        <f>Table4.17[[#This Row],[CH4 ml/g NDF digested in 24 h]]</f>
        <v>-0.40095202846345229</v>
      </c>
      <c r="AH26" s="20">
        <f>Table4.17[[#This Row],[CH4 g/g DM incubated, 24h]]</f>
        <v>8.3003888831255903</v>
      </c>
      <c r="AI26" s="20">
        <f>Table4.17[[#This Row],[Net gas 8-24h, ml]]</f>
        <v>26.011849007809023</v>
      </c>
    </row>
    <row r="27" spans="2:35" x14ac:dyDescent="0.35">
      <c r="B27" s="62">
        <f t="shared" si="0"/>
        <v>17</v>
      </c>
      <c r="C27" s="42">
        <f>'1. Information samples'!C27</f>
        <v>46041</v>
      </c>
      <c r="D27" s="42" t="str">
        <f>'1. Information samples'!D27</f>
        <v>Genbank</v>
      </c>
      <c r="E27" s="59">
        <f>'1. Information samples'!E27</f>
        <v>27</v>
      </c>
      <c r="F27" s="42" t="str">
        <f>'1. Information samples'!F27</f>
        <v>F251744</v>
      </c>
      <c r="G27" s="42" t="str">
        <f>'1. Information samples'!G27</f>
        <v>CIAT-23934</v>
      </c>
      <c r="H27" s="42" t="str">
        <f>'1. Information samples'!H27</f>
        <v>Dendrolobium</v>
      </c>
      <c r="I27" s="42" t="str">
        <f>'1. Information samples'!I27</f>
        <v>triangulare</v>
      </c>
      <c r="J27" s="42" t="str">
        <f>'1. Information samples'!J27</f>
        <v>Dendrolobium triangulare</v>
      </c>
      <c r="K27" s="42" t="str">
        <f>'1. Information samples'!K27</f>
        <v>Fabaceae</v>
      </c>
      <c r="L27" s="42" t="str">
        <f>'1. Information samples'!L27</f>
        <v>Fabales</v>
      </c>
      <c r="M27" s="42" t="str">
        <f>'1. Information samples'!M27</f>
        <v>Tree</v>
      </c>
      <c r="N27" s="20">
        <f>Table95[[#This Row],[Av DM 105]]</f>
        <v>94.171759944033596</v>
      </c>
      <c r="O27" s="20">
        <f>Table95[[#This Row],[Av Ash, %]]</f>
        <v>8.1953383774038073</v>
      </c>
      <c r="P27" s="20">
        <f>'4.0 Result Quality Average'!P27</f>
        <v>91.8046616225962</v>
      </c>
      <c r="Q27" s="20">
        <f>'4.0 Result Quality Average'!Q27</f>
        <v>22.612796485152785</v>
      </c>
      <c r="R27" s="20">
        <f>'4.0 Result Quality Average'!R27</f>
        <v>43.737007368661075</v>
      </c>
      <c r="S27" s="20">
        <f>'4.0 Result Quality Average'!S27</f>
        <v>58.496714012720304</v>
      </c>
      <c r="T27" s="20">
        <f>Table4.17[[#This Row],[Net gas 8h, ml]]</f>
        <v>27.057012600368388</v>
      </c>
      <c r="U27" s="20">
        <f>Table4.17[[#This Row],[Net gas 8-24h, ml]]</f>
        <v>23.674037586907204</v>
      </c>
      <c r="V27" s="20">
        <f>Table4.17[[#This Row],[Net gas 24h, ml]]</f>
        <v>50.731050187275592</v>
      </c>
      <c r="W27" s="20">
        <f>Table4.17[[#This Row],[CH4 8h, ml]]</f>
        <v>3.8877055708603305</v>
      </c>
      <c r="X27" s="20">
        <f>Table4.17[[#This Row],[CH4 8-24h, ml]]</f>
        <v>4.063246025055256</v>
      </c>
      <c r="Y27" s="20">
        <f>Table4.17[[#This Row],[CH4 24h, ml]]</f>
        <v>7.950951595915587</v>
      </c>
      <c r="Z27" s="20">
        <f>Table4.17[[#This Row],[Gas ml/g DM Incubated, 24h]]</f>
        <v>107.67005652306291</v>
      </c>
      <c r="AA27" s="20">
        <f>Table4.17[[#This Row],[% DMD, Truly digestibility]]</f>
        <v>29.855599822686859</v>
      </c>
      <c r="AB27" s="20">
        <f>Table4.17[[#This Row],[Part Fact]]</f>
        <v>2.7959990184678536</v>
      </c>
      <c r="AC27" s="20">
        <f>Table4.17[[#This Row],[CH4 ml in gas, h8]]</f>
        <v>14.45</v>
      </c>
      <c r="AD27" s="20">
        <f>Table4.17[[#This Row],[CH4 ml in gas, 24h]]</f>
        <v>15.711598545736813</v>
      </c>
      <c r="AE27" s="20">
        <f>Table4.17[[#This Row],[CH4 ml/gDM incubated, 24h]]</f>
        <v>16.874750721757312</v>
      </c>
      <c r="AF27" s="20">
        <f>Table4.17[[#This Row],[CH4 ml/g DMD, 24h2]]</f>
        <v>58.417829117732232</v>
      </c>
      <c r="AG27" s="20">
        <f>Table4.17[[#This Row],[CH4 ml/g NDF digested in 24 h]]</f>
        <v>-0.15912785956123876</v>
      </c>
      <c r="AH27" s="20">
        <f>Table4.17[[#This Row],[CH4 g/g DM incubated, 24h]]</f>
        <v>9.3657786012798372</v>
      </c>
      <c r="AI27" s="20">
        <f>Table4.17[[#This Row],[Net gas 8-24h, ml]]</f>
        <v>23.674037586907204</v>
      </c>
    </row>
    <row r="28" spans="2:35" x14ac:dyDescent="0.35">
      <c r="B28" s="62">
        <f t="shared" si="0"/>
        <v>18</v>
      </c>
      <c r="C28" s="42">
        <f>'1. Information samples'!C28</f>
        <v>46041</v>
      </c>
      <c r="D28" s="42" t="str">
        <f>'1. Information samples'!D28</f>
        <v>Genbank</v>
      </c>
      <c r="E28" s="59">
        <f>'1. Information samples'!E28</f>
        <v>27</v>
      </c>
      <c r="F28" s="42" t="str">
        <f>'1. Information samples'!F28</f>
        <v>F251745</v>
      </c>
      <c r="G28" s="42" t="str">
        <f>'1. Information samples'!G28</f>
        <v>CIAT-23936</v>
      </c>
      <c r="H28" s="42" t="str">
        <f>'1. Information samples'!H28</f>
        <v>Dendrolobium</v>
      </c>
      <c r="I28" s="42" t="str">
        <f>'1. Information samples'!I28</f>
        <v>triangulare</v>
      </c>
      <c r="J28" s="42" t="str">
        <f>'1. Information samples'!J28</f>
        <v>Dendrolobium triangulare</v>
      </c>
      <c r="K28" s="42" t="str">
        <f>'1. Information samples'!K28</f>
        <v>Fabaceae</v>
      </c>
      <c r="L28" s="42" t="str">
        <f>'1. Information samples'!L28</f>
        <v>Fabales</v>
      </c>
      <c r="M28" s="42" t="str">
        <f>'1. Information samples'!M28</f>
        <v>Tree</v>
      </c>
      <c r="N28" s="20">
        <f>Table95[[#This Row],[Av DM 105]]</f>
        <v>94.05856486108334</v>
      </c>
      <c r="O28" s="20">
        <f>Table95[[#This Row],[Av Ash, %]]</f>
        <v>7.7989693460128482</v>
      </c>
      <c r="P28" s="20">
        <f>'4.0 Result Quality Average'!P28</f>
        <v>92.201030653987146</v>
      </c>
      <c r="Q28" s="20">
        <f>'4.0 Result Quality Average'!Q28</f>
        <v>19.2663130290344</v>
      </c>
      <c r="R28" s="20">
        <f>'4.0 Result Quality Average'!R28</f>
        <v>49.209674688172143</v>
      </c>
      <c r="S28" s="20">
        <f>'4.0 Result Quality Average'!S28</f>
        <v>61.65556371101799</v>
      </c>
      <c r="T28" s="20">
        <f>Table4.17[[#This Row],[Net gas 8h, ml]]</f>
        <v>21.561587437586006</v>
      </c>
      <c r="U28" s="20">
        <f>Table4.17[[#This Row],[Net gas 8-24h, ml]]</f>
        <v>20.769080842352398</v>
      </c>
      <c r="V28" s="20">
        <f>Table4.17[[#This Row],[Net gas 24h, ml]]</f>
        <v>42.330668279938401</v>
      </c>
      <c r="W28" s="20">
        <f>Table4.17[[#This Row],[CH4 8h, ml]]</f>
        <v>3.0643893152713795</v>
      </c>
      <c r="X28" s="20">
        <f>Table4.17[[#This Row],[CH4 8-24h, ml]]</f>
        <v>3.6460866195830013</v>
      </c>
      <c r="Y28" s="20">
        <f>Table4.17[[#This Row],[CH4 24h, ml]]</f>
        <v>6.7104759348543803</v>
      </c>
      <c r="Z28" s="20">
        <f>Table4.17[[#This Row],[Gas ml/g DM Incubated, 24h]]</f>
        <v>89.966339260842105</v>
      </c>
      <c r="AA28" s="20">
        <f>Table4.17[[#This Row],[% DMD, Truly digestibility]]</f>
        <v>21.509322157268951</v>
      </c>
      <c r="AB28" s="20">
        <f>Table4.17[[#This Row],[Part Fact]]</f>
        <v>2.4079955945312728</v>
      </c>
      <c r="AC28" s="20">
        <f>Table4.17[[#This Row],[CH4 ml in gas, h8]]</f>
        <v>14.271428571428572</v>
      </c>
      <c r="AD28" s="20">
        <f>Table4.17[[#This Row],[CH4 ml in gas, 24h]]</f>
        <v>15.866235417757931</v>
      </c>
      <c r="AE28" s="20">
        <f>Table4.17[[#This Row],[CH4 ml/gDM incubated, 24h]]</f>
        <v>14.262016245976309</v>
      </c>
      <c r="AF28" s="20">
        <f>Table4.17[[#This Row],[CH4 ml/g DMD, 24h2]]</f>
        <v>69.63117182915218</v>
      </c>
      <c r="AG28" s="20">
        <f>Table4.17[[#This Row],[CH4 ml/g NDF digested in 24 h]]</f>
        <v>-0.279533321658956</v>
      </c>
      <c r="AH28" s="20">
        <f>Table4.17[[#This Row],[CH4 g/g DM incubated, 24h]]</f>
        <v>7.9156657642027666</v>
      </c>
      <c r="AI28" s="20">
        <f>Table4.17[[#This Row],[Net gas 8-24h, ml]]</f>
        <v>20.769080842352398</v>
      </c>
    </row>
    <row r="29" spans="2:35" x14ac:dyDescent="0.35">
      <c r="B29" s="62">
        <f t="shared" si="0"/>
        <v>19</v>
      </c>
      <c r="C29" s="42">
        <f>'1. Information samples'!C29</f>
        <v>46041</v>
      </c>
      <c r="D29" s="42" t="str">
        <f>'1. Information samples'!D29</f>
        <v>Genbank</v>
      </c>
      <c r="E29" s="59">
        <f>'1. Information samples'!E29</f>
        <v>27</v>
      </c>
      <c r="F29" s="42" t="str">
        <f>'1. Information samples'!F29</f>
        <v>F251746</v>
      </c>
      <c r="G29" s="42" t="str">
        <f>'1. Information samples'!G29</f>
        <v>CIAT-33119</v>
      </c>
      <c r="H29" s="42" t="str">
        <f>'1. Information samples'!H29</f>
        <v>Dendrolobium</v>
      </c>
      <c r="I29" s="42" t="str">
        <f>'1. Information samples'!I29</f>
        <v>triangulare</v>
      </c>
      <c r="J29" s="42" t="str">
        <f>'1. Information samples'!J29</f>
        <v>Dendrolobium triangulare</v>
      </c>
      <c r="K29" s="42" t="str">
        <f>'1. Information samples'!K29</f>
        <v>Fabaceae</v>
      </c>
      <c r="L29" s="42" t="str">
        <f>'1. Information samples'!L29</f>
        <v>Fabales</v>
      </c>
      <c r="M29" s="42" t="str">
        <f>'1. Information samples'!M29</f>
        <v>Tree</v>
      </c>
      <c r="N29" s="20">
        <f>Table95[[#This Row],[Av DM 105]]</f>
        <v>95.287109449815432</v>
      </c>
      <c r="O29" s="20">
        <f>Table95[[#This Row],[Av Ash, %]]</f>
        <v>7.3953692393808703</v>
      </c>
      <c r="P29" s="20">
        <f>'4.0 Result Quality Average'!P29</f>
        <v>92.604630760619131</v>
      </c>
      <c r="Q29" s="20">
        <f>'4.0 Result Quality Average'!Q29</f>
        <v>17.300431120337905</v>
      </c>
      <c r="R29" s="20">
        <f>'4.0 Result Quality Average'!R29</f>
        <v>40.977473092905498</v>
      </c>
      <c r="S29" s="20">
        <f>'4.0 Result Quality Average'!S29</f>
        <v>59.478362381293763</v>
      </c>
      <c r="T29" s="20">
        <f>Table4.17[[#This Row],[Net gas 8h, ml]]</f>
        <v>26.734353887209494</v>
      </c>
      <c r="U29" s="20">
        <f>Table4.17[[#This Row],[Net gas 8-24h, ml]]</f>
        <v>24.645805182945992</v>
      </c>
      <c r="V29" s="20">
        <f>Table4.17[[#This Row],[Net gas 24h, ml]]</f>
        <v>51.380159070155486</v>
      </c>
      <c r="W29" s="20">
        <f>Table4.17[[#This Row],[CH4 8h, ml]]</f>
        <v>3.914468579132182</v>
      </c>
      <c r="X29" s="20">
        <f>Table4.17[[#This Row],[CH4 8-24h, ml]]</f>
        <v>4.4391303449052142</v>
      </c>
      <c r="Y29" s="20">
        <f>Table4.17[[#This Row],[CH4 24h, ml]]</f>
        <v>8.3535989240373976</v>
      </c>
      <c r="Z29" s="20">
        <f>Table4.17[[#This Row],[Gas ml/g DM Incubated, 24h]]</f>
        <v>107.78495089230525</v>
      </c>
      <c r="AA29" s="20">
        <f>Table4.17[[#This Row],[% DMD, Truly digestibility]]</f>
        <v>29.755013413757315</v>
      </c>
      <c r="AB29" s="20">
        <f>Table4.17[[#This Row],[Part Fact]]</f>
        <v>2.7537735053051335</v>
      </c>
      <c r="AC29" s="20">
        <f>Table4.17[[#This Row],[CH4 ml in gas, h8]]</f>
        <v>14.65</v>
      </c>
      <c r="AD29" s="20">
        <f>Table4.17[[#This Row],[CH4 ml in gas, 24h]]</f>
        <v>16.265525538292572</v>
      </c>
      <c r="AE29" s="20">
        <f>Table4.17[[#This Row],[CH4 ml/gDM incubated, 24h]]</f>
        <v>17.524104376169497</v>
      </c>
      <c r="AF29" s="20">
        <f>Table4.17[[#This Row],[CH4 ml/g DMD, 24h2]]</f>
        <v>60.367368424170706</v>
      </c>
      <c r="AG29" s="20">
        <f>Table4.17[[#This Row],[CH4 ml/g NDF digested in 24 h]]</f>
        <v>88.570673554208852</v>
      </c>
      <c r="AH29" s="20">
        <f>Table4.17[[#This Row],[CH4 g/g DM incubated, 24h]]</f>
        <v>9.72618111397089</v>
      </c>
      <c r="AI29" s="20">
        <f>Table4.17[[#This Row],[Net gas 8-24h, ml]]</f>
        <v>24.645805182945992</v>
      </c>
    </row>
    <row r="30" spans="2:35" x14ac:dyDescent="0.35">
      <c r="B30" s="62">
        <f t="shared" si="0"/>
        <v>20</v>
      </c>
      <c r="C30" s="42">
        <f>'1. Information samples'!C30</f>
        <v>46041</v>
      </c>
      <c r="D30" s="42" t="str">
        <f>'1. Information samples'!D30</f>
        <v>Genbank</v>
      </c>
      <c r="E30" s="59">
        <f>'1. Information samples'!E30</f>
        <v>27</v>
      </c>
      <c r="F30" s="42" t="str">
        <f>'1. Information samples'!F30</f>
        <v>F251747</v>
      </c>
      <c r="G30" s="42" t="str">
        <f>'1. Information samples'!G30</f>
        <v>CIAT-33383</v>
      </c>
      <c r="H30" s="42" t="str">
        <f>'1. Information samples'!H30</f>
        <v>Dendrolobium</v>
      </c>
      <c r="I30" s="42" t="str">
        <f>'1. Information samples'!I30</f>
        <v>sp.</v>
      </c>
      <c r="J30" s="42" t="str">
        <f>'1. Information samples'!J30</f>
        <v>Dendrolobium sp.</v>
      </c>
      <c r="K30" s="42" t="str">
        <f>'1. Information samples'!K30</f>
        <v>Fabaceae</v>
      </c>
      <c r="L30" s="42" t="str">
        <f>'1. Information samples'!L30</f>
        <v>Fabales</v>
      </c>
      <c r="M30" s="42" t="str">
        <f>'1. Information samples'!M30</f>
        <v>Tree</v>
      </c>
      <c r="N30" s="20">
        <f>Table95[[#This Row],[Av DM 105]]</f>
        <v>94.671562062762405</v>
      </c>
      <c r="O30" s="20">
        <f>Table95[[#This Row],[Av Ash, %]]</f>
        <v>9.8045796525676145</v>
      </c>
      <c r="P30" s="20">
        <f>'4.0 Result Quality Average'!P30</f>
        <v>90.195420347432389</v>
      </c>
      <c r="Q30" s="20">
        <f>'4.0 Result Quality Average'!Q30</f>
        <v>14.663947536188356</v>
      </c>
      <c r="R30" s="20">
        <f>'4.0 Result Quality Average'!R30</f>
        <v>47.338086342816538</v>
      </c>
      <c r="S30" s="20">
        <f>'4.0 Result Quality Average'!S30</f>
        <v>59.757991078326761</v>
      </c>
      <c r="T30" s="20">
        <f>Table4.17[[#This Row],[Net gas 8h, ml]]</f>
        <v>23.557012600368388</v>
      </c>
      <c r="U30" s="20">
        <f>Table4.17[[#This Row],[Net gas 8-24h, ml]]</f>
        <v>25.674037586907204</v>
      </c>
      <c r="V30" s="20">
        <f>Table4.17[[#This Row],[Net gas 24h, ml]]</f>
        <v>49.231050187275592</v>
      </c>
      <c r="W30" s="20">
        <f>Table4.17[[#This Row],[CH4 8h, ml]]</f>
        <v>3.3791071636219971</v>
      </c>
      <c r="X30" s="20">
        <f>Table4.17[[#This Row],[CH4 8-24h, ml]]</f>
        <v>4.4694734676284664</v>
      </c>
      <c r="Y30" s="20">
        <f>Table4.17[[#This Row],[CH4 24h, ml]]</f>
        <v>7.8485806312504627</v>
      </c>
      <c r="Z30" s="20">
        <f>Table4.17[[#This Row],[Gas ml/g DM Incubated, 24h]]</f>
        <v>103.95933660562361</v>
      </c>
      <c r="AA30" s="20">
        <f>Table4.17[[#This Row],[% DMD, Truly digestibility]]</f>
        <v>30.61755447217374</v>
      </c>
      <c r="AB30" s="20">
        <f>Table4.17[[#This Row],[Part Fact]]</f>
        <v>2.9435041047671531</v>
      </c>
      <c r="AC30" s="20">
        <f>Table4.17[[#This Row],[CH4 ml in gas, h8]]</f>
        <v>14.324999999999999</v>
      </c>
      <c r="AD30" s="20">
        <f>Table4.17[[#This Row],[CH4 ml in gas, 24h]]</f>
        <v>15.938252733100263</v>
      </c>
      <c r="AE30" s="20">
        <f>Table4.17[[#This Row],[CH4 ml/gDM incubated, 24h]]</f>
        <v>16.573596279480189</v>
      </c>
      <c r="AF30" s="20">
        <f>Table4.17[[#This Row],[CH4 ml/g DMD, 24h2]]</f>
        <v>56.509513170044656</v>
      </c>
      <c r="AG30" s="20">
        <f>Table4.17[[#This Row],[CH4 ml/g NDF digested in 24 h]]</f>
        <v>-0.64806721477970564</v>
      </c>
      <c r="AH30" s="20">
        <f>Table4.17[[#This Row],[CH4 g/g DM incubated, 24h]]</f>
        <v>9.1986326755315648</v>
      </c>
      <c r="AI30" s="20">
        <f>Table4.17[[#This Row],[Net gas 8-24h, ml]]</f>
        <v>25.674037586907204</v>
      </c>
    </row>
    <row r="31" spans="2:35" x14ac:dyDescent="0.35">
      <c r="B31" s="62">
        <f t="shared" si="0"/>
        <v>21</v>
      </c>
      <c r="C31" s="42">
        <f>'1. Information samples'!C31</f>
        <v>46041</v>
      </c>
      <c r="D31" s="42" t="str">
        <f>'1. Information samples'!D31</f>
        <v>Genbank</v>
      </c>
      <c r="E31" s="59">
        <f>'1. Information samples'!E31</f>
        <v>27</v>
      </c>
      <c r="F31" s="42" t="str">
        <f>'1. Information samples'!F31</f>
        <v>F251748</v>
      </c>
      <c r="G31" s="42" t="str">
        <f>'1. Information samples'!G31</f>
        <v>CIAT-33402</v>
      </c>
      <c r="H31" s="42" t="str">
        <f>'1. Information samples'!H31</f>
        <v>Dendrolobium</v>
      </c>
      <c r="I31" s="42" t="str">
        <f>'1. Information samples'!I31</f>
        <v>triangulare</v>
      </c>
      <c r="J31" s="42" t="str">
        <f>'1. Information samples'!J31</f>
        <v>Dendrolobium triangulare</v>
      </c>
      <c r="K31" s="42" t="str">
        <f>'1. Information samples'!K31</f>
        <v>Fabaceae</v>
      </c>
      <c r="L31" s="42" t="str">
        <f>'1. Information samples'!L31</f>
        <v>Fabales</v>
      </c>
      <c r="M31" s="42" t="str">
        <f>'1. Information samples'!M31</f>
        <v>Tree</v>
      </c>
      <c r="N31" s="20">
        <f>Table95[[#This Row],[Av DM 105]]</f>
        <v>94.631890998387576</v>
      </c>
      <c r="O31" s="20">
        <f>Table95[[#This Row],[Av Ash, %]]</f>
        <v>6.9085718780597709</v>
      </c>
      <c r="P31" s="20">
        <f>'4.0 Result Quality Average'!P31</f>
        <v>93.091428121940226</v>
      </c>
      <c r="Q31" s="20">
        <f>'4.0 Result Quality Average'!Q31</f>
        <v>20.084073911761312</v>
      </c>
      <c r="R31" s="20">
        <f>'4.0 Result Quality Average'!R31</f>
        <v>45.181599814728301</v>
      </c>
      <c r="S31" s="20">
        <f>'4.0 Result Quality Average'!S31</f>
        <v>60.091399113553557</v>
      </c>
      <c r="T31" s="20">
        <f>Table4.17[[#This Row],[Net gas 8h, ml]]</f>
        <v>24.807012600368388</v>
      </c>
      <c r="U31" s="20">
        <f>Table4.17[[#This Row],[Net gas 8-24h, ml]]</f>
        <v>26.861537586907204</v>
      </c>
      <c r="V31" s="20">
        <f>Table4.17[[#This Row],[Net gas 24h, ml]]</f>
        <v>51.668550187275592</v>
      </c>
      <c r="W31" s="20">
        <f>Table4.17[[#This Row],[CH4 8h, ml]]</f>
        <v>3.573565892790711</v>
      </c>
      <c r="X31" s="20">
        <f>Table4.17[[#This Row],[CH4 8-24h, ml]]</f>
        <v>4.629600555671872</v>
      </c>
      <c r="Y31" s="20">
        <f>Table4.17[[#This Row],[CH4 24h, ml]]</f>
        <v>8.2031664484625839</v>
      </c>
      <c r="Z31" s="20">
        <f>Table4.17[[#This Row],[Gas ml/g DM Incubated, 24h]]</f>
        <v>109.13029026180409</v>
      </c>
      <c r="AA31" s="20">
        <f>Table4.17[[#This Row],[% DMD, Truly digestibility]]</f>
        <v>29.726079013903234</v>
      </c>
      <c r="AB31" s="20">
        <f>Table4.17[[#This Row],[Part Fact]]</f>
        <v>2.7421738973420422</v>
      </c>
      <c r="AC31" s="20">
        <f>Table4.17[[#This Row],[CH4 ml in gas, h8]]</f>
        <v>14.387500000000003</v>
      </c>
      <c r="AD31" s="20">
        <f>Table4.17[[#This Row],[CH4 ml in gas, 24h]]</f>
        <v>15.879985843948884</v>
      </c>
      <c r="AE31" s="20">
        <f>Table4.17[[#This Row],[CH4 ml/gDM incubated, 24h]]</f>
        <v>17.326120590017073</v>
      </c>
      <c r="AF31" s="20">
        <f>Table4.17[[#This Row],[CH4 ml/g DMD, 24h2]]</f>
        <v>60.274061226079823</v>
      </c>
      <c r="AG31" s="20">
        <f>Table4.17[[#This Row],[CH4 ml/g NDF digested in 24 h]]</f>
        <v>-0.60671678528798334</v>
      </c>
      <c r="AH31" s="20">
        <f>Table4.17[[#This Row],[CH4 g/g DM incubated, 24h]]</f>
        <v>9.616296687331273</v>
      </c>
      <c r="AI31" s="20">
        <f>Table4.17[[#This Row],[Net gas 8-24h, ml]]</f>
        <v>26.861537586907204</v>
      </c>
    </row>
    <row r="32" spans="2:35" x14ac:dyDescent="0.35">
      <c r="B32" s="62">
        <f t="shared" si="0"/>
        <v>22</v>
      </c>
      <c r="C32" s="42">
        <f>'1. Information samples'!C32</f>
        <v>46041</v>
      </c>
      <c r="D32" s="42" t="str">
        <f>'1. Information samples'!D32</f>
        <v>Genbank</v>
      </c>
      <c r="E32" s="59">
        <f>'1. Information samples'!E32</f>
        <v>27</v>
      </c>
      <c r="F32" s="42" t="str">
        <f>'1. Information samples'!F32</f>
        <v>F251749</v>
      </c>
      <c r="G32" s="42" t="str">
        <f>'1. Information samples'!G32</f>
        <v>CIAT-33508</v>
      </c>
      <c r="H32" s="42" t="str">
        <f>'1. Information samples'!H32</f>
        <v>Dendrolobium</v>
      </c>
      <c r="I32" s="42" t="str">
        <f>'1. Information samples'!I32</f>
        <v>umbellatum</v>
      </c>
      <c r="J32" s="42" t="str">
        <f>'1. Information samples'!J32</f>
        <v>Dendrolobium umbellatum</v>
      </c>
      <c r="K32" s="42" t="str">
        <f>'1. Information samples'!K32</f>
        <v>Fabaceae</v>
      </c>
      <c r="L32" s="42" t="str">
        <f>'1. Information samples'!L32</f>
        <v>Fabales</v>
      </c>
      <c r="M32" s="42" t="str">
        <f>'1. Information samples'!M32</f>
        <v>Tree</v>
      </c>
      <c r="N32" s="20">
        <f>Table95[[#This Row],[Av DM 105]]</f>
        <v>93.746247188737129</v>
      </c>
      <c r="O32" s="20">
        <f>Table95[[#This Row],[Av Ash, %]]</f>
        <v>8.6652801044736112</v>
      </c>
      <c r="P32" s="20">
        <f>'4.0 Result Quality Average'!P32</f>
        <v>91.334719895526391</v>
      </c>
      <c r="Q32" s="20">
        <f>'4.0 Result Quality Average'!Q32</f>
        <v>22.605566233851366</v>
      </c>
      <c r="R32" s="20">
        <f>'4.0 Result Quality Average'!R32</f>
        <v>45.811663840735562</v>
      </c>
      <c r="S32" s="20">
        <f>'4.0 Result Quality Average'!S32</f>
        <v>58.361440158311851</v>
      </c>
      <c r="T32" s="20">
        <f>Table4.17[[#This Row],[Net gas 8h, ml]]</f>
        <v>27.801588724460856</v>
      </c>
      <c r="U32" s="20">
        <f>Table4.17[[#This Row],[Net gas 8-24h, ml]]</f>
        <v>29.011404120806425</v>
      </c>
      <c r="V32" s="20">
        <f>Table4.17[[#This Row],[Net gas 24h, ml]]</f>
        <v>56.812992845267281</v>
      </c>
      <c r="W32" s="20">
        <f>Table4.17[[#This Row],[CH4 8h, ml]]</f>
        <v>4.0913169090523835</v>
      </c>
      <c r="X32" s="20">
        <f>Table4.17[[#This Row],[CH4 8-24h, ml]]</f>
        <v>5.5242292708887684</v>
      </c>
      <c r="Y32" s="20">
        <f>Table4.17[[#This Row],[CH4 24h, ml]]</f>
        <v>9.6155461799411519</v>
      </c>
      <c r="Z32" s="20">
        <f>Table4.17[[#This Row],[Gas ml/g DM Incubated, 24h]]</f>
        <v>121.0948780516773</v>
      </c>
      <c r="AA32" s="20">
        <f>Table4.17[[#This Row],[% DMD, Truly digestibility]]</f>
        <v>31.78123604261566</v>
      </c>
      <c r="AB32" s="20">
        <f>Table4.17[[#This Row],[Part Fact]]</f>
        <v>2.6287806433018686</v>
      </c>
      <c r="AC32" s="20">
        <f>Table4.17[[#This Row],[CH4 ml in gas, h8]]</f>
        <v>14.742857142857142</v>
      </c>
      <c r="AD32" s="20">
        <f>Table4.17[[#This Row],[CH4 ml in gas, 24h]]</f>
        <v>16.938788978524844</v>
      </c>
      <c r="AE32" s="20">
        <f>Table4.17[[#This Row],[CH4 ml/gDM incubated, 24h]]</f>
        <v>20.495164618683777</v>
      </c>
      <c r="AF32" s="20">
        <f>Table4.17[[#This Row],[CH4 ml/g DMD, 24h2]]</f>
        <v>67.342875716607224</v>
      </c>
      <c r="AG32" s="20">
        <f>Table4.17[[#This Row],[CH4 ml/g NDF digested in 24 h]]</f>
        <v>-7.9366685072666004E-2</v>
      </c>
      <c r="AH32" s="20">
        <f>Table4.17[[#This Row],[CH4 g/g DM incubated, 24h]]</f>
        <v>11.375170950992656</v>
      </c>
      <c r="AI32" s="20">
        <f>Table4.17[[#This Row],[Net gas 8-24h, ml]]</f>
        <v>29.011404120806425</v>
      </c>
    </row>
    <row r="33" spans="2:35" x14ac:dyDescent="0.35">
      <c r="B33" s="62">
        <f t="shared" si="0"/>
        <v>23</v>
      </c>
      <c r="C33" s="42">
        <f>'1. Information samples'!C33</f>
        <v>46041</v>
      </c>
      <c r="D33" s="42" t="str">
        <f>'1. Information samples'!D33</f>
        <v>Genbank</v>
      </c>
      <c r="E33" s="59">
        <f>'1. Information samples'!E33</f>
        <v>27</v>
      </c>
      <c r="F33" s="42" t="str">
        <f>'1. Information samples'!F33</f>
        <v>F251750</v>
      </c>
      <c r="G33" s="42" t="str">
        <f>'1. Information samples'!G33</f>
        <v>CIAT-33515</v>
      </c>
      <c r="H33" s="42" t="str">
        <f>'1. Information samples'!H33</f>
        <v>Dendrolobium</v>
      </c>
      <c r="I33" s="42" t="str">
        <f>'1. Information samples'!I33</f>
        <v>triangulare</v>
      </c>
      <c r="J33" s="42" t="str">
        <f>'1. Information samples'!J33</f>
        <v>Dendrolobium triangulare</v>
      </c>
      <c r="K33" s="42" t="str">
        <f>'1. Information samples'!K33</f>
        <v>Fabaceae</v>
      </c>
      <c r="L33" s="42" t="str">
        <f>'1. Information samples'!L33</f>
        <v>Fabales</v>
      </c>
      <c r="M33" s="42" t="str">
        <f>'1. Information samples'!M33</f>
        <v>Tree</v>
      </c>
      <c r="N33" s="20">
        <f>Table95[[#This Row],[Av DM 105]]</f>
        <v>93.410989703089115</v>
      </c>
      <c r="O33" s="20">
        <f>Table95[[#This Row],[Av Ash, %]]</f>
        <v>11.110948378703402</v>
      </c>
      <c r="P33" s="20">
        <f>'4.0 Result Quality Average'!P33</f>
        <v>88.889051621296602</v>
      </c>
      <c r="Q33" s="20">
        <f>'4.0 Result Quality Average'!Q33</f>
        <v>20.963127013124584</v>
      </c>
      <c r="R33" s="20">
        <f>'4.0 Result Quality Average'!R33</f>
        <v>51.470994796675967</v>
      </c>
      <c r="S33" s="20">
        <f>'4.0 Result Quality Average'!S33</f>
        <v>63.317589657900683</v>
      </c>
      <c r="T33" s="20">
        <f>Table4.17[[#This Row],[Net gas 8h, ml]]</f>
        <v>21.211023556584149</v>
      </c>
      <c r="U33" s="20">
        <f>Table4.17[[#This Row],[Net gas 8-24h, ml]]</f>
        <v>20.627892832672053</v>
      </c>
      <c r="V33" s="20">
        <f>Table4.17[[#This Row],[Net gas 24h, ml]]</f>
        <v>41.838916389256191</v>
      </c>
      <c r="W33" s="20">
        <f>Table4.17[[#This Row],[CH4 8h, ml]]</f>
        <v>2.9999169884306283</v>
      </c>
      <c r="X33" s="20">
        <f>Table4.17[[#This Row],[CH4 8-24h, ml]]</f>
        <v>3.5088623953879288</v>
      </c>
      <c r="Y33" s="20">
        <f>Table4.17[[#This Row],[CH4 24h, ml]]</f>
        <v>6.5087793838185561</v>
      </c>
      <c r="Z33" s="20">
        <f>Table4.17[[#This Row],[Gas ml/g DM Incubated, 24h]]</f>
        <v>89.538302029607067</v>
      </c>
      <c r="AA33" s="20">
        <f>Table4.17[[#This Row],[% DMD, Truly digestibility]]</f>
        <v>18.941058927151165</v>
      </c>
      <c r="AB33" s="20">
        <f>Table4.17[[#This Row],[Part Fact]]</f>
        <v>2.1436280781054537</v>
      </c>
      <c r="AC33" s="20">
        <f>Table4.17[[#This Row],[CH4 ml in gas, h8]]</f>
        <v>14.200000000000001</v>
      </c>
      <c r="AD33" s="20">
        <f>Table4.17[[#This Row],[CH4 ml in gas, 24h]]</f>
        <v>15.581489122902269</v>
      </c>
      <c r="AE33" s="20">
        <f>Table4.17[[#This Row],[CH4 ml/gDM incubated, 24h]]</f>
        <v>13.92926278381921</v>
      </c>
      <c r="AF33" s="20">
        <f>Table4.17[[#This Row],[CH4 ml/g DMD, 24h2]]</f>
        <v>79.122042947933537</v>
      </c>
      <c r="AG33" s="20">
        <f>Table4.17[[#This Row],[CH4 ml/g NDF digested in 24 h]]</f>
        <v>-0.24107737876117943</v>
      </c>
      <c r="AH33" s="20">
        <f>Table4.17[[#This Row],[CH4 g/g DM incubated, 24h]]</f>
        <v>7.730981835725264</v>
      </c>
      <c r="AI33" s="20">
        <f>Table4.17[[#This Row],[Net gas 8-24h, ml]]</f>
        <v>20.627892832672053</v>
      </c>
    </row>
    <row r="34" spans="2:35" x14ac:dyDescent="0.35">
      <c r="B34" s="62">
        <f t="shared" si="0"/>
        <v>24</v>
      </c>
      <c r="C34" s="42">
        <f>'1. Information samples'!C34</f>
        <v>46041</v>
      </c>
      <c r="D34" s="42" t="str">
        <f>'1. Information samples'!D34</f>
        <v>Genbank</v>
      </c>
      <c r="E34" s="59">
        <f>'1. Information samples'!E34</f>
        <v>27</v>
      </c>
      <c r="F34" s="42" t="str">
        <f>'1. Information samples'!F34</f>
        <v>F251751</v>
      </c>
      <c r="G34" s="42" t="str">
        <f>'1. Information samples'!G34</f>
        <v>CIAT-7353</v>
      </c>
      <c r="H34" s="42" t="str">
        <f>'1. Information samples'!H34</f>
        <v>Prosopis</v>
      </c>
      <c r="I34" s="42" t="str">
        <f>'1. Information samples'!I34</f>
        <v>juliflora</v>
      </c>
      <c r="J34" s="42" t="str">
        <f>'1. Information samples'!J34</f>
        <v>Prosopis juliflora</v>
      </c>
      <c r="K34" s="42" t="str">
        <f>'1. Information samples'!K34</f>
        <v>Fabaceae</v>
      </c>
      <c r="L34" s="42" t="str">
        <f>'1. Information samples'!L34</f>
        <v>Fabales</v>
      </c>
      <c r="M34" s="42" t="str">
        <f>'1. Information samples'!M34</f>
        <v>Tree</v>
      </c>
      <c r="N34" s="20">
        <f>Table95[[#This Row],[Av DM 105]]</f>
        <v>94.626617459395078</v>
      </c>
      <c r="O34" s="20">
        <f>Table95[[#This Row],[Av Ash, %]]</f>
        <v>9.4183710194356927</v>
      </c>
      <c r="P34" s="20">
        <f>'4.0 Result Quality Average'!P34</f>
        <v>90.581628980564304</v>
      </c>
      <c r="Q34" s="20">
        <f>'4.0 Result Quality Average'!Q34</f>
        <v>30.486453959263638</v>
      </c>
      <c r="R34" s="20">
        <f>'4.0 Result Quality Average'!R34</f>
        <v>29.377469406089595</v>
      </c>
      <c r="S34" s="20">
        <f>'4.0 Result Quality Average'!S34</f>
        <v>46.324472460646909</v>
      </c>
      <c r="T34" s="20">
        <f>Table4.17[[#This Row],[Net gas 8h, ml]]</f>
        <v>18.682012600368388</v>
      </c>
      <c r="U34" s="20">
        <f>Table4.17[[#This Row],[Net gas 8-24h, ml]]</f>
        <v>12.299037586907206</v>
      </c>
      <c r="V34" s="20">
        <f>Table4.17[[#This Row],[Net gas 24h, ml]]</f>
        <v>30.981050187275592</v>
      </c>
      <c r="W34" s="20">
        <f>Table4.17[[#This Row],[CH4 8h, ml]]</f>
        <v>2.1333438083454537</v>
      </c>
      <c r="X34" s="20">
        <f>Table4.17[[#This Row],[CH4 8-24h, ml]]</f>
        <v>0.9339890921563837</v>
      </c>
      <c r="Y34" s="20">
        <f>Table4.17[[#This Row],[CH4 24h, ml]]</f>
        <v>3.067332900501837</v>
      </c>
      <c r="Z34" s="20">
        <f>Table4.17[[#This Row],[Gas ml/g DM Incubated, 24h]]</f>
        <v>65.452261101885369</v>
      </c>
      <c r="AA34" s="20">
        <f>Table4.17[[#This Row],[% DMD, Truly digestibility]]</f>
        <v>44.366184325869398</v>
      </c>
      <c r="AB34" s="20">
        <f>Table4.17[[#This Row],[Part Fact]]</f>
        <v>6.9792659797027756</v>
      </c>
      <c r="AC34" s="20">
        <f>Table4.17[[#This Row],[CH4 ml in gas, h8]]</f>
        <v>11.2125</v>
      </c>
      <c r="AD34" s="20">
        <f>Table4.17[[#This Row],[CH4 ml in gas, 24h]]</f>
        <v>9.5899905417292697</v>
      </c>
      <c r="AE34" s="20">
        <f>Table4.17[[#This Row],[CH4 ml/gDM incubated, 24h]]</f>
        <v>6.4800042490023975</v>
      </c>
      <c r="AF34" s="20">
        <f>Table4.17[[#This Row],[CH4 ml/g DMD, 24h2]]</f>
        <v>15.036305484902655</v>
      </c>
      <c r="AG34" s="20">
        <f>Table4.17[[#This Row],[CH4 ml/g NDF digested in 24 h]]</f>
        <v>-0.30425457990456017</v>
      </c>
      <c r="AH34" s="20">
        <f>Table4.17[[#This Row],[CH4 g/g DM incubated, 24h]]</f>
        <v>3.5965144689964856</v>
      </c>
      <c r="AI34" s="20">
        <f>Table4.17[[#This Row],[Net gas 8-24h, ml]]</f>
        <v>12.299037586907206</v>
      </c>
    </row>
    <row r="35" spans="2:35" x14ac:dyDescent="0.35">
      <c r="B35" s="62">
        <f t="shared" si="0"/>
        <v>25</v>
      </c>
      <c r="C35" s="42">
        <f>'1. Information samples'!C35</f>
        <v>46041</v>
      </c>
      <c r="D35" s="42" t="str">
        <f>'1. Information samples'!D35</f>
        <v>Genbank</v>
      </c>
      <c r="E35" s="59">
        <f>'1. Information samples'!E35</f>
        <v>27</v>
      </c>
      <c r="F35" s="42" t="str">
        <f>'1. Information samples'!F35</f>
        <v>F251752</v>
      </c>
      <c r="G35" s="42" t="str">
        <f>'1. Information samples'!G35</f>
        <v>CIAT-7976</v>
      </c>
      <c r="H35" s="42" t="str">
        <f>'1. Information samples'!H35</f>
        <v>Cassia</v>
      </c>
      <c r="I35" s="42" t="str">
        <f>'1. Information samples'!I35</f>
        <v>sp.</v>
      </c>
      <c r="J35" s="42" t="str">
        <f>'1. Information samples'!J35</f>
        <v>Cassia sp.</v>
      </c>
      <c r="K35" s="42" t="str">
        <f>'1. Information samples'!K35</f>
        <v>Fabaceae</v>
      </c>
      <c r="L35" s="42" t="str">
        <f>'1. Information samples'!L35</f>
        <v>Fabales</v>
      </c>
      <c r="M35" s="42" t="str">
        <f>'1. Information samples'!M35</f>
        <v>Tree</v>
      </c>
      <c r="N35" s="20">
        <f>Table95[[#This Row],[Av DM 105]]</f>
        <v>93.417631382249596</v>
      </c>
      <c r="O35" s="20">
        <f>Table95[[#This Row],[Av Ash, %]]</f>
        <v>12.053530523308613</v>
      </c>
      <c r="P35" s="20">
        <f>'4.0 Result Quality Average'!P35</f>
        <v>87.946469476691391</v>
      </c>
      <c r="Q35" s="20">
        <f>'4.0 Result Quality Average'!Q35</f>
        <v>25.588518268733985</v>
      </c>
      <c r="R35" s="20">
        <f>'4.0 Result Quality Average'!R35</f>
        <v>39.53895727197682</v>
      </c>
      <c r="S35" s="20">
        <f>'4.0 Result Quality Average'!S35</f>
        <v>50.115790471025065</v>
      </c>
      <c r="T35" s="20">
        <f>Table4.17[[#This Row],[Net gas 8h, ml]]</f>
        <v>31.557012600368392</v>
      </c>
      <c r="U35" s="20">
        <f>Table4.17[[#This Row],[Net gas 8-24h, ml]]</f>
        <v>28.361537586907204</v>
      </c>
      <c r="V35" s="20">
        <f>Table4.17[[#This Row],[Net gas 24h, ml]]</f>
        <v>59.918550187275592</v>
      </c>
      <c r="W35" s="20">
        <f>Table4.17[[#This Row],[CH4 8h, ml]]</f>
        <v>4.0223427389058637</v>
      </c>
      <c r="X35" s="20">
        <f>Table4.17[[#This Row],[CH4 8-24h, ml]]</f>
        <v>4.4251743964261712</v>
      </c>
      <c r="Y35" s="20">
        <f>Table4.17[[#This Row],[CH4 24h, ml]]</f>
        <v>8.4475171353320349</v>
      </c>
      <c r="Z35" s="20">
        <f>Table4.17[[#This Row],[Gas ml/g DM Incubated, 24h]]</f>
        <v>128.20047099044146</v>
      </c>
      <c r="AA35" s="20">
        <f>Table4.17[[#This Row],[% DMD, Truly digestibility]]</f>
        <v>41.564758927512372</v>
      </c>
      <c r="AB35" s="20">
        <f>Table4.17[[#This Row],[Part Fact]]</f>
        <v>3.2629994972752097</v>
      </c>
      <c r="AC35" s="20">
        <f>Table4.17[[#This Row],[CH4 ml in gas, h8]]</f>
        <v>12.775</v>
      </c>
      <c r="AD35" s="20">
        <f>Table4.17[[#This Row],[CH4 ml in gas, 24h]]</f>
        <v>14.117352107672534</v>
      </c>
      <c r="AE35" s="20">
        <f>Table4.17[[#This Row],[CH4 ml/gDM incubated, 24h]]</f>
        <v>18.074297180572664</v>
      </c>
      <c r="AF35" s="20">
        <f>Table4.17[[#This Row],[CH4 ml/g DMD, 24h2]]</f>
        <v>44.807280096033615</v>
      </c>
      <c r="AG35" s="20">
        <f>Table4.17[[#This Row],[CH4 ml/g NDF digested in 24 h]]</f>
        <v>-0.3305898072736918</v>
      </c>
      <c r="AH35" s="20">
        <f>Table4.17[[#This Row],[CH4 g/g DM incubated, 24h]]</f>
        <v>10.031547639321298</v>
      </c>
      <c r="AI35" s="20">
        <f>Table4.17[[#This Row],[Net gas 8-24h, ml]]</f>
        <v>28.361537586907204</v>
      </c>
    </row>
    <row r="36" spans="2:35" x14ac:dyDescent="0.35">
      <c r="B36" s="62">
        <f t="shared" si="0"/>
        <v>26</v>
      </c>
      <c r="C36" s="42">
        <f>'1. Information samples'!C36</f>
        <v>46041</v>
      </c>
      <c r="D36" s="42" t="str">
        <f>'1. Information samples'!D36</f>
        <v>Genbank</v>
      </c>
      <c r="E36" s="59">
        <f>'1. Information samples'!E36</f>
        <v>27</v>
      </c>
      <c r="F36" s="42" t="str">
        <f>'1. Information samples'!F36</f>
        <v>F251753</v>
      </c>
      <c r="G36" s="42" t="str">
        <f>'1. Information samples'!G36</f>
        <v>CIAT-8018</v>
      </c>
      <c r="H36" s="42" t="str">
        <f>'1. Information samples'!H36</f>
        <v>Acacia</v>
      </c>
      <c r="I36" s="42" t="str">
        <f>'1. Information samples'!I36</f>
        <v>aroma</v>
      </c>
      <c r="J36" s="42" t="str">
        <f>'1. Information samples'!J36</f>
        <v>Acacia aroma</v>
      </c>
      <c r="K36" s="42" t="str">
        <f>'1. Information samples'!K36</f>
        <v>Fabaceae</v>
      </c>
      <c r="L36" s="42" t="str">
        <f>'1. Information samples'!L36</f>
        <v>Fabales</v>
      </c>
      <c r="M36" s="42" t="str">
        <f>'1. Information samples'!M36</f>
        <v>Tree</v>
      </c>
      <c r="N36" s="20">
        <f>Table95[[#This Row],[Av DM 105]]</f>
        <v>93.795616876624592</v>
      </c>
      <c r="O36" s="20">
        <f>Table95[[#This Row],[Av Ash, %]]</f>
        <v>18.112000233311775</v>
      </c>
      <c r="P36" s="20">
        <f>'4.0 Result Quality Average'!P36</f>
        <v>81.887999766688225</v>
      </c>
      <c r="Q36" s="20">
        <f>'4.0 Result Quality Average'!Q36</f>
        <v>23.536924058087447</v>
      </c>
      <c r="R36" s="20">
        <f>'4.0 Result Quality Average'!R36</f>
        <v>58.526711306777671</v>
      </c>
      <c r="S36" s="20">
        <f>'4.0 Result Quality Average'!S36</f>
        <v>70.33432004995808</v>
      </c>
      <c r="T36" s="20">
        <f>Table4.17[[#This Row],[Net gas 8h, ml]]</f>
        <v>25.817687220542826</v>
      </c>
      <c r="U36" s="20">
        <f>Table4.17[[#This Row],[Net gas 8-24h, ml]]</f>
        <v>16.145805182945995</v>
      </c>
      <c r="V36" s="20">
        <f>Table4.17[[#This Row],[Net gas 24h, ml]]</f>
        <v>41.963492403488821</v>
      </c>
      <c r="W36" s="20">
        <f>Table4.17[[#This Row],[CH4 8h, ml]]</f>
        <v>3.6328905737713288</v>
      </c>
      <c r="X36" s="20">
        <f>Table4.17[[#This Row],[CH4 8-24h, ml]]</f>
        <v>2.9550990151457839</v>
      </c>
      <c r="Y36" s="20">
        <f>Table4.17[[#This Row],[CH4 24h, ml]]</f>
        <v>6.5879895889171118</v>
      </c>
      <c r="Z36" s="20">
        <f>Table4.17[[#This Row],[Gas ml/g DM Incubated, 24h]]</f>
        <v>89.445465896171399</v>
      </c>
      <c r="AA36" s="20">
        <f>Table4.17[[#This Row],[% DMD, Truly digestibility]]</f>
        <v>19.41127333587357</v>
      </c>
      <c r="AB36" s="20">
        <f>Table4.17[[#This Row],[Part Fact]]</f>
        <v>2.1817967499452782</v>
      </c>
      <c r="AC36" s="20">
        <f>Table4.17[[#This Row],[CH4 ml in gas, h8]]</f>
        <v>14.066666666666668</v>
      </c>
      <c r="AD36" s="20">
        <f>Table4.17[[#This Row],[CH4 ml in gas, 24h]]</f>
        <v>15.696140790719904</v>
      </c>
      <c r="AE36" s="20">
        <f>Table4.17[[#This Row],[CH4 ml/gDM incubated, 24h]]</f>
        <v>14.042300563865519</v>
      </c>
      <c r="AF36" s="20">
        <f>Table4.17[[#This Row],[CH4 ml/g DMD, 24h2]]</f>
        <v>74.585523590368851</v>
      </c>
      <c r="AG36" s="20">
        <f>Table4.17[[#This Row],[CH4 ml/g NDF digested in 24 h]]</f>
        <v>-0.4905514329050315</v>
      </c>
      <c r="AH36" s="20">
        <f>Table4.17[[#This Row],[CH4 g/g DM incubated, 24h]]</f>
        <v>7.7937197593219016</v>
      </c>
      <c r="AI36" s="20">
        <f>Table4.17[[#This Row],[Net gas 8-24h, ml]]</f>
        <v>16.145805182945995</v>
      </c>
    </row>
    <row r="37" spans="2:35" x14ac:dyDescent="0.35">
      <c r="B37" s="62">
        <f t="shared" si="0"/>
        <v>27</v>
      </c>
      <c r="C37" s="42">
        <f>'1. Information samples'!C37</f>
        <v>46041</v>
      </c>
      <c r="D37" s="42" t="str">
        <f>'1. Information samples'!D37</f>
        <v>Genbank</v>
      </c>
      <c r="E37" s="59">
        <f>'1. Information samples'!E37</f>
        <v>27</v>
      </c>
      <c r="F37" s="42" t="str">
        <f>'1. Information samples'!F37</f>
        <v>F251754</v>
      </c>
      <c r="G37" s="42" t="str">
        <f>'1. Information samples'!G37</f>
        <v>CIAT-9990</v>
      </c>
      <c r="H37" s="42" t="str">
        <f>'1. Information samples'!H37</f>
        <v>Prosopis</v>
      </c>
      <c r="I37" s="42" t="str">
        <f>'1. Information samples'!I37</f>
        <v>juliflora</v>
      </c>
      <c r="J37" s="42" t="str">
        <f>'1. Information samples'!J37</f>
        <v>Prosopis juliflora</v>
      </c>
      <c r="K37" s="42" t="str">
        <f>'1. Information samples'!K37</f>
        <v>Fabaceae</v>
      </c>
      <c r="L37" s="42" t="str">
        <f>'1. Information samples'!L37</f>
        <v>Fabales</v>
      </c>
      <c r="M37" s="42" t="str">
        <f>'1. Information samples'!M37</f>
        <v>Tree</v>
      </c>
      <c r="N37" s="20">
        <f>Table95[[#This Row],[Av DM 105]]</f>
        <v>92.974215470717525</v>
      </c>
      <c r="O37" s="20">
        <f>Table95[[#This Row],[Av Ash, %]]</f>
        <v>12.38310222508871</v>
      </c>
      <c r="P37" s="20">
        <f>'4.0 Result Quality Average'!P37</f>
        <v>87.61689777491128</v>
      </c>
      <c r="Q37" s="20">
        <f>'4.0 Result Quality Average'!Q37</f>
        <v>31.752008331859145</v>
      </c>
      <c r="R37" s="20">
        <f>'4.0 Result Quality Average'!R37</f>
        <v>28.642297250900654</v>
      </c>
      <c r="S37" s="20">
        <f>'4.0 Result Quality Average'!S37</f>
        <v>48.76403521134597</v>
      </c>
      <c r="T37" s="20">
        <f>Table4.17[[#This Row],[Net gas 8h, ml]]</f>
        <v>15.369512600368388</v>
      </c>
      <c r="U37" s="20">
        <f>Table4.17[[#This Row],[Net gas 8-24h, ml]]</f>
        <v>11.174037586907206</v>
      </c>
      <c r="V37" s="20">
        <f>Table4.17[[#This Row],[Net gas 24h, ml]]</f>
        <v>26.543550187275592</v>
      </c>
      <c r="W37" s="20">
        <f>Table4.17[[#This Row],[CH4 8h, ml]]</f>
        <v>1.4403093307616166</v>
      </c>
      <c r="X37" s="20">
        <f>Table4.17[[#This Row],[CH4 8-24h, ml]]</f>
        <v>0.36500281940322021</v>
      </c>
      <c r="Y37" s="20">
        <f>Table4.17[[#This Row],[CH4 24h, ml]]</f>
        <v>1.805312150164837</v>
      </c>
      <c r="Z37" s="20">
        <f>Table4.17[[#This Row],[Gas ml/g DM Incubated, 24h]]</f>
        <v>57.069631816755596</v>
      </c>
      <c r="AA37" s="20">
        <f>Table4.17[[#This Row],[% DMD, Truly digestibility]]</f>
        <v>52.352332857163368</v>
      </c>
      <c r="AB37" s="20">
        <f>Table4.17[[#This Row],[Part Fact]]</f>
        <v>9.2450823694131046</v>
      </c>
      <c r="AC37" s="20">
        <f>Table4.17[[#This Row],[CH4 ml in gas, h8]]</f>
        <v>9.2749999999999986</v>
      </c>
      <c r="AD37" s="20">
        <f>Table4.17[[#This Row],[CH4 ml in gas, 24h]]</f>
        <v>6.7781278606785218</v>
      </c>
      <c r="AE37" s="20">
        <f>Table4.17[[#This Row],[CH4 ml/gDM incubated, 24h]]</f>
        <v>3.8813688149242451</v>
      </c>
      <c r="AF37" s="20">
        <f>Table4.17[[#This Row],[CH4 ml/g DMD, 24h2]]</f>
        <v>7.5273698215542808</v>
      </c>
      <c r="AG37" s="20">
        <f>Table4.17[[#This Row],[CH4 ml/g NDF digested in 24 h]]</f>
        <v>-0.12060335433344882</v>
      </c>
      <c r="AH37" s="20">
        <f>Table4.17[[#This Row],[CH4 g/g DM incubated, 24h]]</f>
        <v>2.1542268439925567</v>
      </c>
      <c r="AI37" s="20">
        <f>Table4.17[[#This Row],[Net gas 8-24h, ml]]</f>
        <v>11.174037586907206</v>
      </c>
    </row>
    <row r="38" spans="2:35" x14ac:dyDescent="0.35">
      <c r="B38" s="62">
        <f t="shared" si="0"/>
        <v>28</v>
      </c>
      <c r="C38" s="42">
        <f>'1. Information samples'!C38</f>
        <v>46041</v>
      </c>
      <c r="D38" s="42" t="str">
        <f>'1. Information samples'!D38</f>
        <v>Genbank</v>
      </c>
      <c r="E38" s="59">
        <f>'1. Information samples'!E38</f>
        <v>27</v>
      </c>
      <c r="F38" s="42" t="str">
        <f>'1. Information samples'!F38</f>
        <v>F251755</v>
      </c>
      <c r="G38" s="42" t="str">
        <f>'1. Information samples'!G38</f>
        <v>CIAT-13258</v>
      </c>
      <c r="H38" s="42" t="str">
        <f>'1. Information samples'!H38</f>
        <v>Dendrolobium</v>
      </c>
      <c r="I38" s="42" t="str">
        <f>'1. Information samples'!I38</f>
        <v>lanceolatum</v>
      </c>
      <c r="J38" s="42" t="str">
        <f>'1. Information samples'!J38</f>
        <v>Dendrolobium lanceolatum</v>
      </c>
      <c r="K38" s="42" t="str">
        <f>'1. Information samples'!K38</f>
        <v>Fabaceae</v>
      </c>
      <c r="L38" s="42" t="str">
        <f>'1. Information samples'!L38</f>
        <v>Fabales</v>
      </c>
      <c r="M38" s="42" t="str">
        <f>'1. Information samples'!M38</f>
        <v>Tree</v>
      </c>
      <c r="N38" s="20">
        <f>Table95[[#This Row],[Av DM 105]]</f>
        <v>94.597428894509136</v>
      </c>
      <c r="O38" s="20">
        <f>Table95[[#This Row],[Av Ash, %]]</f>
        <v>14.866865354030644</v>
      </c>
      <c r="P38" s="20">
        <f>'4.0 Result Quality Average'!P38</f>
        <v>85.133134645969363</v>
      </c>
      <c r="Q38" s="20">
        <f>'4.0 Result Quality Average'!Q38</f>
        <v>15.550264369544495</v>
      </c>
      <c r="R38" s="20">
        <f>'4.0 Result Quality Average'!R38</f>
        <v>54.957144053029076</v>
      </c>
      <c r="S38" s="20">
        <f>'4.0 Result Quality Average'!S38</f>
        <v>61.802642029697566</v>
      </c>
      <c r="T38" s="20">
        <f>Table4.17[[#This Row],[Net gas 8h, ml]]</f>
        <v>18.807012600368388</v>
      </c>
      <c r="U38" s="20">
        <f>Table4.17[[#This Row],[Net gas 8-24h, ml]]</f>
        <v>10.174037586907206</v>
      </c>
      <c r="V38" s="20">
        <f>Table4.17[[#This Row],[Net gas 24h, ml]]</f>
        <v>28.981050187275592</v>
      </c>
      <c r="W38" s="20">
        <f>Table4.17[[#This Row],[CH4 8h, ml]]</f>
        <v>2.4209822650184174</v>
      </c>
      <c r="X38" s="20">
        <f>Table4.17[[#This Row],[CH4 8-24h, ml]]</f>
        <v>1.3913012425963491</v>
      </c>
      <c r="Y38" s="20">
        <f>Table4.17[[#This Row],[CH4 24h, ml]]</f>
        <v>3.812283507614767</v>
      </c>
      <c r="Z38" s="20">
        <f>Table4.17[[#This Row],[Gas ml/g DM Incubated, 24h]]</f>
        <v>61.243978814537968</v>
      </c>
      <c r="AA38" s="20">
        <f>Table4.17[[#This Row],[% DMD, Truly digestibility]]</f>
        <v>19.79826504802152</v>
      </c>
      <c r="AB38" s="20">
        <f>Table4.17[[#This Row],[Part Fact]]</f>
        <v>3.2199241737121289</v>
      </c>
      <c r="AC38" s="20">
        <f>Table4.17[[#This Row],[CH4 ml in gas, h8]]</f>
        <v>12.887499999999999</v>
      </c>
      <c r="AD38" s="20">
        <f>Table4.17[[#This Row],[CH4 ml in gas, 24h]]</f>
        <v>13.146890529127282</v>
      </c>
      <c r="AE38" s="20">
        <f>Table4.17[[#This Row],[CH4 ml/gDM incubated, 24h]]</f>
        <v>8.0563238766778547</v>
      </c>
      <c r="AF38" s="20">
        <f>Table4.17[[#This Row],[CH4 ml/g DMD, 24h2]]</f>
        <v>41.847955052050374</v>
      </c>
      <c r="AG38" s="20">
        <f>Table4.17[[#This Row],[CH4 ml/g NDF digested in 24 h]]</f>
        <v>-0.13817907513806099</v>
      </c>
      <c r="AH38" s="20">
        <f>Table4.17[[#This Row],[CH4 g/g DM incubated, 24h]]</f>
        <v>4.4713991343222421</v>
      </c>
      <c r="AI38" s="20">
        <f>Table4.17[[#This Row],[Net gas 8-24h, ml]]</f>
        <v>10.174037586907206</v>
      </c>
    </row>
    <row r="39" spans="2:35" x14ac:dyDescent="0.35">
      <c r="B39" s="62">
        <f t="shared" si="0"/>
        <v>29</v>
      </c>
      <c r="C39" s="42">
        <f>'1. Information samples'!C39</f>
        <v>46041</v>
      </c>
      <c r="D39" s="42" t="str">
        <f>'1. Information samples'!D39</f>
        <v>Genbank</v>
      </c>
      <c r="E39" s="59">
        <f>'1. Information samples'!E39</f>
        <v>27</v>
      </c>
      <c r="F39" s="42" t="str">
        <f>'1. Information samples'!F39</f>
        <v>F251756</v>
      </c>
      <c r="G39" s="42" t="str">
        <f>'1. Information samples'!G39</f>
        <v>CIAT-13260</v>
      </c>
      <c r="H39" s="42" t="str">
        <f>'1. Information samples'!H39</f>
        <v>Dendrolobium</v>
      </c>
      <c r="I39" s="42" t="str">
        <f>'1. Information samples'!I39</f>
        <v>lanceolatum</v>
      </c>
      <c r="J39" s="42" t="str">
        <f>'1. Information samples'!J39</f>
        <v>Dendrolobium lanceolatum</v>
      </c>
      <c r="K39" s="42" t="str">
        <f>'1. Information samples'!K39</f>
        <v>Fabaceae</v>
      </c>
      <c r="L39" s="42" t="str">
        <f>'1. Information samples'!L39</f>
        <v>Fabales</v>
      </c>
      <c r="M39" s="42" t="str">
        <f>'1. Information samples'!M39</f>
        <v>Tree</v>
      </c>
      <c r="N39" s="20">
        <f>Table95[[#This Row],[Av DM 105]]</f>
        <v>94.076479115853317</v>
      </c>
      <c r="O39" s="20">
        <f>Table95[[#This Row],[Av Ash, %]]</f>
        <v>12.082754275995448</v>
      </c>
      <c r="P39" s="20">
        <f>'4.0 Result Quality Average'!P39</f>
        <v>87.917245724004545</v>
      </c>
      <c r="Q39" s="20">
        <f>'4.0 Result Quality Average'!Q39</f>
        <v>15.813425412661195</v>
      </c>
      <c r="R39" s="20">
        <f>'4.0 Result Quality Average'!R39</f>
        <v>57.392576547550817</v>
      </c>
      <c r="S39" s="20">
        <f>'4.0 Result Quality Average'!S39</f>
        <v>65.193580185159263</v>
      </c>
      <c r="T39" s="20">
        <f>Table4.17[[#This Row],[Net gas 8h, ml]]</f>
        <v>21.619512600368388</v>
      </c>
      <c r="U39" s="20">
        <f>Table4.17[[#This Row],[Net gas 8-24h, ml]]</f>
        <v>12.361537586907206</v>
      </c>
      <c r="V39" s="20">
        <f>Table4.17[[#This Row],[Net gas 24h, ml]]</f>
        <v>33.981050187275592</v>
      </c>
      <c r="W39" s="20">
        <f>Table4.17[[#This Row],[CH4 8h, ml]]</f>
        <v>2.928492131022574</v>
      </c>
      <c r="X39" s="20">
        <f>Table4.17[[#This Row],[CH4 8-24h, ml]]</f>
        <v>1.9933692748164979</v>
      </c>
      <c r="Y39" s="20">
        <f>Table4.17[[#This Row],[CH4 24h, ml]]</f>
        <v>4.9218614058390706</v>
      </c>
      <c r="Z39" s="20">
        <f>Table4.17[[#This Row],[Gas ml/g DM Incubated, 24h]]</f>
        <v>72.204744700334359</v>
      </c>
      <c r="AA39" s="20">
        <f>Table4.17[[#This Row],[% DMD, Truly digestibility]]</f>
        <v>18.902693722622246</v>
      </c>
      <c r="AB39" s="20">
        <f>Table4.17[[#This Row],[Part Fact]]</f>
        <v>2.6558263605234145</v>
      </c>
      <c r="AC39" s="20">
        <f>Table4.17[[#This Row],[CH4 ml in gas, h8]]</f>
        <v>13.575000000000001</v>
      </c>
      <c r="AD39" s="20">
        <f>Table4.17[[#This Row],[CH4 ml in gas, 24h]]</f>
        <v>14.504685140366755</v>
      </c>
      <c r="AE39" s="20">
        <f>Table4.17[[#This Row],[CH4 ml/gDM incubated, 24h]]</f>
        <v>10.458274381434244</v>
      </c>
      <c r="AF39" s="20">
        <f>Table4.17[[#This Row],[CH4 ml/g DMD, 24h2]]</f>
        <v>60.348741252406036</v>
      </c>
      <c r="AG39" s="20">
        <f>Table4.17[[#This Row],[CH4 ml/g NDF digested in 24 h]]</f>
        <v>-0.25287534550854968</v>
      </c>
      <c r="AH39" s="20">
        <f>Table4.17[[#This Row],[CH4 g/g DM incubated, 24h]]</f>
        <v>5.8045232206991448</v>
      </c>
      <c r="AI39" s="20">
        <f>Table4.17[[#This Row],[Net gas 8-24h, ml]]</f>
        <v>12.361537586907206</v>
      </c>
    </row>
    <row r="40" spans="2:35" x14ac:dyDescent="0.35">
      <c r="B40" s="62">
        <f t="shared" si="0"/>
        <v>30</v>
      </c>
      <c r="C40" s="42">
        <f>'1. Information samples'!C40</f>
        <v>46041</v>
      </c>
      <c r="D40" s="42" t="str">
        <f>'1. Information samples'!D40</f>
        <v>Genbank</v>
      </c>
      <c r="E40" s="59">
        <f>'1. Information samples'!E40</f>
        <v>27</v>
      </c>
      <c r="F40" s="42" t="str">
        <f>'1. Information samples'!F40</f>
        <v>F251757</v>
      </c>
      <c r="G40" s="42" t="str">
        <f>'1. Information samples'!G40</f>
        <v>CIAT-17263</v>
      </c>
      <c r="H40" s="42" t="str">
        <f>'1. Information samples'!H40</f>
        <v>Leucaena</v>
      </c>
      <c r="I40" s="42" t="str">
        <f>'1. Information samples'!I40</f>
        <v>leucocephala</v>
      </c>
      <c r="J40" s="42" t="str">
        <f>'1. Information samples'!J40</f>
        <v>Leucaena leucocephala</v>
      </c>
      <c r="K40" s="42" t="str">
        <f>'1. Information samples'!K40</f>
        <v>Fabaceae</v>
      </c>
      <c r="L40" s="42" t="str">
        <f>'1. Information samples'!L40</f>
        <v>Fabales</v>
      </c>
      <c r="M40" s="42" t="str">
        <f>'1. Information samples'!M40</f>
        <v>Tree</v>
      </c>
      <c r="N40" s="20">
        <f>Table95[[#This Row],[Av DM 105]]</f>
        <v>94.471675994403398</v>
      </c>
      <c r="O40" s="20">
        <f>Table95[[#This Row],[Av Ash, %]]</f>
        <v>13.814329517769407</v>
      </c>
      <c r="P40" s="20">
        <f>'4.0 Result Quality Average'!P40</f>
        <v>86.185670482230591</v>
      </c>
      <c r="Q40" s="20">
        <f>'4.0 Result Quality Average'!Q40</f>
        <v>13.714703242128845</v>
      </c>
      <c r="R40" s="20">
        <f>'4.0 Result Quality Average'!R40</f>
        <v>36.267308380154496</v>
      </c>
      <c r="S40" s="20">
        <f>'4.0 Result Quality Average'!S40</f>
        <v>57.76223960237941</v>
      </c>
      <c r="T40" s="20">
        <f>Table4.17[[#This Row],[Net gas 8h, ml]]</f>
        <v>31.618910394321322</v>
      </c>
      <c r="U40" s="20">
        <f>Table4.17[[#This Row],[Net gas 8-24h, ml]]</f>
        <v>27.154261263663567</v>
      </c>
      <c r="V40" s="20">
        <f>Table4.17[[#This Row],[Net gas 24h, ml]]</f>
        <v>58.773171657984889</v>
      </c>
      <c r="W40" s="20">
        <f>Table4.17[[#This Row],[CH4 8h, ml]]</f>
        <v>3.8998282747556039</v>
      </c>
      <c r="X40" s="20">
        <f>Table4.17[[#This Row],[CH4 8-24h, ml]]</f>
        <v>4.1008800591625016</v>
      </c>
      <c r="Y40" s="20">
        <f>Table4.17[[#This Row],[CH4 24h, ml]]</f>
        <v>8.0007083339181051</v>
      </c>
      <c r="Z40" s="20">
        <f>Table4.17[[#This Row],[Gas ml/g DM Incubated, 24h]]</f>
        <v>124.3554359048396</v>
      </c>
      <c r="AA40" s="20">
        <f>Table4.17[[#This Row],[% DMD, Truly digestibility]]</f>
        <v>48.810010216549486</v>
      </c>
      <c r="AB40" s="20">
        <f>Table4.17[[#This Row],[Part Fact]]</f>
        <v>3.9302525833016433</v>
      </c>
      <c r="AC40" s="20">
        <f>Table4.17[[#This Row],[CH4 ml in gas, h8]]</f>
        <v>12.342857142857145</v>
      </c>
      <c r="AD40" s="20">
        <f>Table4.17[[#This Row],[CH4 ml in gas, 24h]]</f>
        <v>13.60283895265526</v>
      </c>
      <c r="AE40" s="20">
        <f>Table4.17[[#This Row],[CH4 ml/gDM incubated, 24h]]</f>
        <v>16.928448165985564</v>
      </c>
      <c r="AF40" s="20">
        <f>Table4.17[[#This Row],[CH4 ml/g DMD, 24h2]]</f>
        <v>35.311616146085683</v>
      </c>
      <c r="AG40" s="20">
        <f>Table4.17[[#This Row],[CH4 ml/g NDF digested in 24 h]]</f>
        <v>-0.12243542202436945</v>
      </c>
      <c r="AH40" s="20">
        <f>Table4.17[[#This Row],[CH4 g/g DM incubated, 24h]]</f>
        <v>9.3955816118480424</v>
      </c>
      <c r="AI40" s="20">
        <f>Table4.17[[#This Row],[Net gas 8-24h, ml]]</f>
        <v>27.154261263663567</v>
      </c>
    </row>
    <row r="41" spans="2:35" x14ac:dyDescent="0.35">
      <c r="B41" s="62">
        <f t="shared" si="0"/>
        <v>31</v>
      </c>
      <c r="C41" s="42">
        <f>'1. Information samples'!C41</f>
        <v>46041</v>
      </c>
      <c r="D41" s="42" t="str">
        <f>'1. Information samples'!D41</f>
        <v>Isabel Molina</v>
      </c>
      <c r="E41" s="59">
        <f>'1. Information samples'!E41</f>
        <v>27</v>
      </c>
      <c r="F41" s="42" t="str">
        <f>'1. Information samples'!F41</f>
        <v>F252640</v>
      </c>
      <c r="G41" s="42" t="str">
        <f>'1. Information samples'!G41</f>
        <v xml:space="preserve"> Cayman Br02_1752</v>
      </c>
      <c r="H41" s="42" t="str">
        <f>'1. Information samples'!H41</f>
        <v>Urochloa</v>
      </c>
      <c r="I41" s="42" t="str">
        <f>'1. Information samples'!I41</f>
        <v>interespecifico</v>
      </c>
      <c r="J41" s="42" t="str">
        <f>'1. Information samples'!J41</f>
        <v>Urochloa interespecifico</v>
      </c>
      <c r="K41" s="42" t="str">
        <f>'1. Information samples'!K41</f>
        <v>Poaceae</v>
      </c>
      <c r="L41" s="42" t="str">
        <f>'1. Information samples'!L41</f>
        <v>Poales</v>
      </c>
      <c r="M41" s="42" t="str">
        <f>'1. Information samples'!M41</f>
        <v>grasses</v>
      </c>
      <c r="N41" s="20">
        <f>Table95[[#This Row],[Av DM 105]]</f>
        <v>97.001050124786801</v>
      </c>
      <c r="O41" s="20">
        <f>Table95[[#This Row],[Av Ash, %]]</f>
        <v>9.6511554864924065</v>
      </c>
      <c r="P41" s="20">
        <f>'4.0 Result Quality Average'!P41</f>
        <v>90.348844513507601</v>
      </c>
      <c r="Q41" s="20">
        <f>'4.0 Result Quality Average'!Q41</f>
        <v>8.0543856929248818</v>
      </c>
      <c r="R41" s="20">
        <f>'4.0 Result Quality Average'!R41</f>
        <v>26.241815612724281</v>
      </c>
      <c r="S41" s="20">
        <f>'4.0 Result Quality Average'!S41</f>
        <v>62.133650806607761</v>
      </c>
      <c r="T41" s="20">
        <f>Table4.17[[#This Row],[Net gas 8h, ml]]</f>
        <v>39.432012600368388</v>
      </c>
      <c r="U41" s="20">
        <f>Table4.17[[#This Row],[Net gas 8-24h, ml]]</f>
        <v>48.861537586907211</v>
      </c>
      <c r="V41" s="20">
        <f>Table4.17[[#This Row],[Net gas 24h, ml]]</f>
        <v>88.293550187275599</v>
      </c>
      <c r="W41" s="20">
        <f>Table4.17[[#This Row],[CH4 8h, ml]]</f>
        <v>5.1095372458761545</v>
      </c>
      <c r="X41" s="20">
        <f>Table4.17[[#This Row],[CH4 8-24h, ml]]</f>
        <v>6.6920095440442529</v>
      </c>
      <c r="Y41" s="20">
        <f>Table4.17[[#This Row],[CH4 24h, ml]]</f>
        <v>11.801546789920407</v>
      </c>
      <c r="Z41" s="20">
        <f>Table4.17[[#This Row],[Gas ml/g DM Incubated, 24h]]</f>
        <v>181.98320097309553</v>
      </c>
      <c r="AA41" s="20">
        <f>Table4.17[[#This Row],[% DMD, Truly digestibility]]</f>
        <v>50.221596824857862</v>
      </c>
      <c r="AB41" s="20">
        <f>Table4.17[[#This Row],[Part Fact]]</f>
        <v>2.7619542356208551</v>
      </c>
      <c r="AC41" s="20">
        <f>Table4.17[[#This Row],[CH4 ml in gas, h8]]</f>
        <v>12.987500000000001</v>
      </c>
      <c r="AD41" s="20">
        <f>Table4.17[[#This Row],[CH4 ml in gas, 24h]]</f>
        <v>13.372046818809794</v>
      </c>
      <c r="AE41" s="20">
        <f>Table4.17[[#This Row],[CH4 ml/gDM incubated, 24h]]</f>
        <v>24.324367775780576</v>
      </c>
      <c r="AF41" s="20">
        <f>Table4.17[[#This Row],[CH4 ml/g DMD, 24h2]]</f>
        <v>50.168721794725791</v>
      </c>
      <c r="AG41" s="20">
        <f>Table4.17[[#This Row],[CH4 ml/g NDF digested in 24 h]]</f>
        <v>-4.203087870577126</v>
      </c>
      <c r="AH41" s="20">
        <f>Table4.17[[#This Row],[CH4 g/g DM incubated, 24h]]</f>
        <v>13.50044495237095</v>
      </c>
      <c r="AI41" s="20">
        <f>Table4.17[[#This Row],[Net gas 8-24h, ml]]</f>
        <v>48.861537586907211</v>
      </c>
    </row>
    <row r="42" spans="2:35" x14ac:dyDescent="0.35">
      <c r="B42" s="62">
        <f t="shared" si="0"/>
        <v>32</v>
      </c>
      <c r="C42" s="42">
        <f>'1. Information samples'!C42</f>
        <v>46041</v>
      </c>
      <c r="D42" s="42" t="str">
        <f>'1. Information samples'!D42</f>
        <v>Mauricio Sotelo</v>
      </c>
      <c r="E42" s="59">
        <f>'1. Information samples'!E42</f>
        <v>27</v>
      </c>
      <c r="F42" s="42" t="str">
        <f>'1. Information samples'!F42</f>
        <v>F252641</v>
      </c>
      <c r="G42" s="42" t="str">
        <f>'1. Information samples'!G42</f>
        <v>N/A</v>
      </c>
      <c r="H42" s="42" t="str">
        <f>'1. Information samples'!H42</f>
        <v xml:space="preserve">Gliricidia  </v>
      </c>
      <c r="I42" s="42" t="str">
        <f>'1. Information samples'!I42</f>
        <v>sepium</v>
      </c>
      <c r="J42" s="42" t="str">
        <f>'1. Information samples'!J42</f>
        <v xml:space="preserve">Gliricidia sepium </v>
      </c>
      <c r="K42" s="42" t="str">
        <f>'1. Information samples'!K42</f>
        <v>Fabaceae</v>
      </c>
      <c r="L42" s="42" t="str">
        <f>'1. Information samples'!L42</f>
        <v>Fabales</v>
      </c>
      <c r="M42" s="42" t="str">
        <f>'1. Information samples'!M42</f>
        <v xml:space="preserve">Arbustiva </v>
      </c>
      <c r="N42" s="20">
        <f>Table95[[#This Row],[Av DM 105]]</f>
        <v>93.49727418839538</v>
      </c>
      <c r="O42" s="20">
        <f>Table95[[#This Row],[Av Ash, %]]</f>
        <v>9.4087449892644308</v>
      </c>
      <c r="P42" s="20">
        <f>'4.0 Result Quality Average'!P42</f>
        <v>90.591255010735566</v>
      </c>
      <c r="Q42" s="20">
        <f>'4.0 Result Quality Average'!Q42</f>
        <v>22.375</v>
      </c>
      <c r="R42" s="20">
        <f>'4.0 Result Quality Average'!R42</f>
        <v>21.939999999999998</v>
      </c>
      <c r="S42" s="20">
        <f>'4.0 Result Quality Average'!S42</f>
        <v>47.204999999999998</v>
      </c>
      <c r="T42" s="20">
        <f>Table4.17[[#This Row],[Net gas 8h, ml]]</f>
        <v>37.633016009014575</v>
      </c>
      <c r="U42" s="20">
        <f>Table4.17[[#This Row],[Net gas 8-24h, ml]]</f>
        <v>40.911937985209548</v>
      </c>
      <c r="V42" s="20">
        <f>Table4.17[[#This Row],[Net gas 24h, ml]]</f>
        <v>78.544953994224116</v>
      </c>
      <c r="W42" s="20">
        <f>Table4.17[[#This Row],[CH4 8h, ml]]</f>
        <v>5.1520744442805837</v>
      </c>
      <c r="X42" s="20">
        <f>Table4.17[[#This Row],[CH4 8-24h, ml]]</f>
        <v>6.6167634126617312</v>
      </c>
      <c r="Y42" s="20">
        <f>Table4.17[[#This Row],[CH4 24h, ml]]</f>
        <v>11.768837856942314</v>
      </c>
      <c r="Z42" s="20">
        <f>Table4.17[[#This Row],[Gas ml/g DM Incubated, 24h]]</f>
        <v>167.90469786411745</v>
      </c>
      <c r="AA42" s="20">
        <f>Table4.17[[#This Row],[% DMD, Truly digestibility]]</f>
        <v>55.910298384314778</v>
      </c>
      <c r="AB42" s="20">
        <f>Table4.17[[#This Row],[Part Fact]]</f>
        <v>3.3283328064254403</v>
      </c>
      <c r="AC42" s="20">
        <f>Table4.17[[#This Row],[CH4 ml in gas, h8]]</f>
        <v>13.685714285714285</v>
      </c>
      <c r="AD42" s="20">
        <f>Table4.17[[#This Row],[CH4 ml in gas, 24h]]</f>
        <v>14.984028800907819</v>
      </c>
      <c r="AE42" s="20">
        <f>Table4.17[[#This Row],[CH4 ml/gDM incubated, 24h]]</f>
        <v>25.158135484707071</v>
      </c>
      <c r="AF42" s="20">
        <f>Table4.17[[#This Row],[CH4 ml/g DMD, 24h2]]</f>
        <v>45.483079619169061</v>
      </c>
      <c r="AG42" s="20">
        <f>Table4.17[[#This Row],[CH4 ml/g NDF digested in 24 h]]</f>
        <v>-3.0949625522751538</v>
      </c>
      <c r="AH42" s="20">
        <f>Table4.17[[#This Row],[CH4 g/g DM incubated, 24h]]</f>
        <v>13.963200455872022</v>
      </c>
      <c r="AI42" s="20">
        <f>Table4.17[[#This Row],[Net gas 8-24h, ml]]</f>
        <v>40.911937985209548</v>
      </c>
    </row>
    <row r="43" spans="2:35" x14ac:dyDescent="0.35">
      <c r="B43" s="62">
        <f t="shared" si="0"/>
        <v>33</v>
      </c>
      <c r="C43" s="42">
        <f>'1. Information samples'!C43</f>
        <v>46041</v>
      </c>
      <c r="D43" s="42" t="str">
        <f>'1. Information samples'!D43</f>
        <v>Jacobo Arango/Alejandro Montoya</v>
      </c>
      <c r="E43" s="59">
        <f>'1. Information samples'!E43</f>
        <v>27</v>
      </c>
      <c r="F43" s="42" t="str">
        <f>'1. Information samples'!F43</f>
        <v>F250008</v>
      </c>
      <c r="G43" s="42" t="str">
        <f>'1. Information samples'!G43</f>
        <v>Sample 8</v>
      </c>
      <c r="H43" s="42" t="str">
        <f>'1. Information samples'!H43</f>
        <v>Cynodon</v>
      </c>
      <c r="I43" s="42" t="str">
        <f>'1. Information samples'!I43</f>
        <v xml:space="preserve"> nlemfuensis </v>
      </c>
      <c r="J43" s="42" t="str">
        <f>'1. Information samples'!J43</f>
        <v xml:space="preserve">Cynodon nlemfuensis </v>
      </c>
      <c r="K43" s="42" t="str">
        <f>'1. Information samples'!K43</f>
        <v>Poaceae</v>
      </c>
      <c r="L43" s="42" t="str">
        <f>'1. Information samples'!L43</f>
        <v>Poales</v>
      </c>
      <c r="M43" s="42" t="str">
        <f>'1. Information samples'!M43</f>
        <v>grasses</v>
      </c>
      <c r="N43" s="20">
        <f>Table95[[#This Row],[Av DM 105]]</f>
        <v>93.55</v>
      </c>
      <c r="O43" s="20">
        <f>Table95[[#This Row],[Av Ash, %]]</f>
        <v>11.4</v>
      </c>
      <c r="P43" s="20">
        <f>'4.0 Result Quality Average'!P43</f>
        <v>88.6</v>
      </c>
      <c r="Q43" s="20">
        <f>'4.0 Result Quality Average'!Q43</f>
        <v>0</v>
      </c>
      <c r="R43" s="20">
        <f>'4.0 Result Quality Average'!R43</f>
        <v>0</v>
      </c>
      <c r="S43" s="20">
        <f>'4.0 Result Quality Average'!S43</f>
        <v>0</v>
      </c>
      <c r="T43" s="20">
        <f>Table4.17[[#This Row],[Net gas 8h, ml]]</f>
        <v>18.679040964953685</v>
      </c>
      <c r="U43" s="20">
        <f>Table4.17[[#This Row],[Net gas 8-24h, ml]]</f>
        <v>27.562471849612663</v>
      </c>
      <c r="V43" s="20">
        <f>Table4.17[[#This Row],[Net gas 24h, ml]]</f>
        <v>46.241512814566342</v>
      </c>
      <c r="W43" s="20">
        <f>Table4.17[[#This Row],[CH4 8h, ml]]</f>
        <v>2.9033022950906817</v>
      </c>
      <c r="X43" s="20">
        <f>Table4.17[[#This Row],[CH4 8-24h, ml]]</f>
        <v>4.501104793524461</v>
      </c>
      <c r="Y43" s="20">
        <f>Table4.17[[#This Row],[CH4 24h, ml]]</f>
        <v>7.4044070886151427</v>
      </c>
      <c r="Z43" s="20">
        <f>Table4.17[[#This Row],[Gas ml/g DM Incubated, 24h]]</f>
        <v>98.815513451466799</v>
      </c>
      <c r="AA43" s="20">
        <f>Table4.17[[#This Row],[% DMD, Truly digestibility]]</f>
        <v>22.156736078191475</v>
      </c>
      <c r="AB43" s="20">
        <f>Table4.17[[#This Row],[Part Fact]]</f>
        <v>2.1916652444741853</v>
      </c>
      <c r="AC43" s="20">
        <f>Table4.17[[#This Row],[CH4 ml in gas, h8]]</f>
        <v>15.475000000000001</v>
      </c>
      <c r="AD43" s="20">
        <f>Table4.17[[#This Row],[CH4 ml in gas, 24h]]</f>
        <v>15.949614033102904</v>
      </c>
      <c r="AE43" s="20">
        <f>Table4.17[[#This Row],[CH4 ml/gDM incubated, 24h]]</f>
        <v>15.822702562645246</v>
      </c>
      <c r="AF43" s="20">
        <f>Table4.17[[#This Row],[CH4 ml/g DMD, 24h2]]</f>
        <v>74.180380384276873</v>
      </c>
      <c r="AG43" s="20">
        <f>Table4.17[[#This Row],[CH4 ml/g NDF digested in 24 h]]</f>
        <v>-0.47392862179349105</v>
      </c>
      <c r="AH43" s="20">
        <f>Table4.17[[#This Row],[CH4 g/g DM incubated, 24h]]</f>
        <v>8.7818736714473946</v>
      </c>
      <c r="AI43" s="20">
        <f>Table4.17[[#This Row],[Net gas 8-24h, ml]]</f>
        <v>27.562471849612663</v>
      </c>
    </row>
    <row r="44" spans="2:35" x14ac:dyDescent="0.35">
      <c r="B44" s="62">
        <f t="shared" si="0"/>
        <v>34</v>
      </c>
      <c r="C44" s="42">
        <f>'1. Information samples'!C44</f>
        <v>46048</v>
      </c>
      <c r="D44" s="42" t="str">
        <f>'1. Information samples'!D44</f>
        <v>Genbank</v>
      </c>
      <c r="E44" s="59">
        <f>'1. Information samples'!E44</f>
        <v>28</v>
      </c>
      <c r="F44" s="42" t="str">
        <f>'1. Information samples'!F44</f>
        <v>F251758</v>
      </c>
      <c r="G44" s="42" t="str">
        <f>'1. Information samples'!G44</f>
        <v>CIAT-17459</v>
      </c>
      <c r="H44" s="42" t="str">
        <f>'1. Information samples'!H44</f>
        <v>Erythrina</v>
      </c>
      <c r="I44" s="42" t="str">
        <f>'1. Information samples'!I44</f>
        <v>berteroana</v>
      </c>
      <c r="J44" s="42" t="str">
        <f>'1. Information samples'!J44</f>
        <v>Erythrina berteroana</v>
      </c>
      <c r="K44" s="42" t="str">
        <f>'1. Information samples'!K44</f>
        <v>Fabaceae</v>
      </c>
      <c r="L44" s="42" t="str">
        <f>'1. Information samples'!L44</f>
        <v>Fabales</v>
      </c>
      <c r="M44" s="42" t="str">
        <f>'1. Information samples'!M44</f>
        <v>Tree</v>
      </c>
      <c r="N44" s="20">
        <f>Table95[[#This Row],[Av DM 105]]</f>
        <v>94.587165133946471</v>
      </c>
      <c r="O44" s="20">
        <f>Table95[[#This Row],[Av Ash, %]]</f>
        <v>11.867899603698884</v>
      </c>
      <c r="P44" s="20">
        <f>'4.0 Result Quality Average'!P44</f>
        <v>88.132100396301112</v>
      </c>
      <c r="Q44" s="20">
        <f>'4.0 Result Quality Average'!Q44</f>
        <v>24.25144619344341</v>
      </c>
      <c r="R44" s="20">
        <f>'4.0 Result Quality Average'!R44</f>
        <v>24.25144619344341</v>
      </c>
      <c r="S44" s="20">
        <f>'4.0 Result Quality Average'!S44</f>
        <v>37.936299023150497</v>
      </c>
      <c r="T44" s="20">
        <f>Table4.17[[#This Row],[Net gas 8h, ml]]</f>
        <v>27.847011474352893</v>
      </c>
      <c r="U44" s="20">
        <f>Table4.17[[#This Row],[Net gas 8-24h, ml]]</f>
        <v>38.931770589575834</v>
      </c>
      <c r="V44" s="20">
        <f>Table4.17[[#This Row],[Net gas 24h, ml]]</f>
        <v>66.778782063928716</v>
      </c>
      <c r="W44" s="20">
        <f>Table4.17[[#This Row],[CH4 8h, ml]]</f>
        <v>3.6549333342929309</v>
      </c>
      <c r="X44" s="20">
        <f>Table4.17[[#This Row],[CH4 8-24h, ml]]</f>
        <v>5.8047576753262522</v>
      </c>
      <c r="Y44" s="20">
        <f>Table4.17[[#This Row],[CH4 24h, ml]]</f>
        <v>9.4596910096191831</v>
      </c>
      <c r="Z44" s="20">
        <f>Table4.17[[#This Row],[Gas ml/g DM Incubated, 24h]]</f>
        <v>141.12167285056094</v>
      </c>
      <c r="AA44" s="20">
        <f>Table4.17[[#This Row],[% DMD, Truly digestibility]]</f>
        <v>55.897331210552473</v>
      </c>
      <c r="AB44" s="20">
        <f>Table4.17[[#This Row],[Part Fact]]</f>
        <v>3.9749890668106937</v>
      </c>
      <c r="AC44" s="20">
        <f>Table4.17[[#This Row],[CH4 ml in gas, h8]]</f>
        <v>13.125</v>
      </c>
      <c r="AD44" s="20">
        <f>Table4.17[[#This Row],[CH4 ml in gas, 24h]]</f>
        <v>14.152377638917104</v>
      </c>
      <c r="AE44" s="20">
        <f>Table4.17[[#This Row],[CH4 ml/gDM incubated, 24h]]</f>
        <v>19.991063431008541</v>
      </c>
      <c r="AF44" s="20">
        <f>Table4.17[[#This Row],[CH4 ml/g DMD, 24h2]]</f>
        <v>35.84148210250892</v>
      </c>
      <c r="AG44" s="20">
        <f>Table4.17[[#This Row],[CH4 ml/g NDF digested in 24 h]]</f>
        <v>0.67947468762260999</v>
      </c>
      <c r="AH44" s="20">
        <f>Table4.17[[#This Row],[CH4 g/g DM incubated, 24h]]</f>
        <v>11.095386070359066</v>
      </c>
      <c r="AI44" s="20">
        <f>Table4.17[[#This Row],[Net gas 8-24h, ml]]</f>
        <v>38.931770589575834</v>
      </c>
    </row>
    <row r="45" spans="2:35" x14ac:dyDescent="0.35">
      <c r="B45" s="62">
        <f t="shared" si="0"/>
        <v>35</v>
      </c>
      <c r="C45" s="42">
        <f>'1. Information samples'!C45</f>
        <v>46048</v>
      </c>
      <c r="D45" s="42" t="str">
        <f>'1. Information samples'!D45</f>
        <v>Genbank</v>
      </c>
      <c r="E45" s="59">
        <f>'1. Information samples'!E45</f>
        <v>28</v>
      </c>
      <c r="F45" s="42" t="str">
        <f>'1. Information samples'!F45</f>
        <v>F251759</v>
      </c>
      <c r="G45" s="42" t="str">
        <f>'1. Information samples'!G45</f>
        <v>CIAT-17482</v>
      </c>
      <c r="H45" s="42" t="str">
        <f>'1. Information samples'!H45</f>
        <v>Leucaena</v>
      </c>
      <c r="I45" s="42" t="str">
        <f>'1. Information samples'!I45</f>
        <v>leucocephala</v>
      </c>
      <c r="J45" s="42" t="str">
        <f>'1. Information samples'!J45</f>
        <v>Leucaena leucocephala</v>
      </c>
      <c r="K45" s="42" t="str">
        <f>'1. Information samples'!K45</f>
        <v>Fabaceae</v>
      </c>
      <c r="L45" s="42" t="str">
        <f>'1. Information samples'!L45</f>
        <v>Fabales</v>
      </c>
      <c r="M45" s="42" t="str">
        <f>'1. Information samples'!M45</f>
        <v>Tree</v>
      </c>
      <c r="N45" s="20">
        <f>Table95[[#This Row],[Av DM 105]]</f>
        <v>92.661832524028</v>
      </c>
      <c r="O45" s="20">
        <f>Table95[[#This Row],[Av Ash, %]]</f>
        <v>14.236419662219873</v>
      </c>
      <c r="P45" s="20">
        <f>'4.0 Result Quality Average'!P45</f>
        <v>85.763580337780127</v>
      </c>
      <c r="Q45" s="20">
        <f>'4.0 Result Quality Average'!Q45</f>
        <v>26.542323041506798</v>
      </c>
      <c r="R45" s="20">
        <f>'4.0 Result Quality Average'!R45</f>
        <v>26.542323041506798</v>
      </c>
      <c r="S45" s="20">
        <f>'4.0 Result Quality Average'!S45</f>
        <v>32.666747322267156</v>
      </c>
      <c r="T45" s="20">
        <f>Table4.17[[#This Row],[Net gas 8h, ml]]</f>
        <v>34.075693052279263</v>
      </c>
      <c r="U45" s="20">
        <f>Table4.17[[#This Row],[Net gas 8-24h, ml]]</f>
        <v>26.349347131116531</v>
      </c>
      <c r="V45" s="20">
        <f>Table4.17[[#This Row],[Net gas 24h, ml]]</f>
        <v>60.425040183395787</v>
      </c>
      <c r="W45" s="20">
        <f>Table4.17[[#This Row],[CH4 8h, ml]]</f>
        <v>3.7360508514226303</v>
      </c>
      <c r="X45" s="20">
        <f>Table4.17[[#This Row],[CH4 8-24h, ml]]</f>
        <v>3.5802891283915366</v>
      </c>
      <c r="Y45" s="20">
        <f>Table4.17[[#This Row],[CH4 24h, ml]]</f>
        <v>7.3163399798141668</v>
      </c>
      <c r="Z45" s="20">
        <f>Table4.17[[#This Row],[Gas ml/g DM Incubated, 24h]]</f>
        <v>130.37350234096385</v>
      </c>
      <c r="AA45" s="20">
        <f>Table4.17[[#This Row],[% DMD, Truly digestibility]]</f>
        <v>48.785909239905088</v>
      </c>
      <c r="AB45" s="20">
        <f>Table4.17[[#This Row],[Part Fact]]</f>
        <v>3.7686048504520002</v>
      </c>
      <c r="AC45" s="20">
        <f>Table4.17[[#This Row],[CH4 ml in gas, h8]]</f>
        <v>10.942857142857145</v>
      </c>
      <c r="AD45" s="20">
        <f>Table4.17[[#This Row],[CH4 ml in gas, 24h]]</f>
        <v>12.09634315028851</v>
      </c>
      <c r="AE45" s="20">
        <f>Table4.17[[#This Row],[CH4 ml/gDM incubated, 24h]]</f>
        <v>15.785859098861659</v>
      </c>
      <c r="AF45" s="20">
        <f>Table4.17[[#This Row],[CH4 ml/g DMD, 24h2]]</f>
        <v>32.963315916283818</v>
      </c>
      <c r="AG45" s="20">
        <f>Table4.17[[#This Row],[CH4 ml/g NDF digested in 24 h]]</f>
        <v>1.3281022651197334</v>
      </c>
      <c r="AH45" s="20">
        <f>Table4.17[[#This Row],[CH4 g/g DM incubated, 24h]]</f>
        <v>8.7614249116173362</v>
      </c>
      <c r="AI45" s="20">
        <f>Table4.17[[#This Row],[Net gas 8-24h, ml]]</f>
        <v>26.349347131116531</v>
      </c>
    </row>
    <row r="46" spans="2:35" x14ac:dyDescent="0.35">
      <c r="B46" s="62">
        <f t="shared" si="0"/>
        <v>36</v>
      </c>
      <c r="C46" s="42">
        <f>'1. Information samples'!C46</f>
        <v>46048</v>
      </c>
      <c r="D46" s="42" t="str">
        <f>'1. Information samples'!D46</f>
        <v>Genbank</v>
      </c>
      <c r="E46" s="59">
        <f>'1. Information samples'!E46</f>
        <v>28</v>
      </c>
      <c r="F46" s="42" t="str">
        <f>'1. Information samples'!F46</f>
        <v>F251760</v>
      </c>
      <c r="G46" s="42" t="str">
        <f>'1. Information samples'!G46</f>
        <v>CIAT-17502</v>
      </c>
      <c r="H46" s="42" t="str">
        <f>'1. Information samples'!H46</f>
        <v>Leucaena</v>
      </c>
      <c r="I46" s="42" t="str">
        <f>'1. Information samples'!I46</f>
        <v>leucocephala</v>
      </c>
      <c r="J46" s="42" t="str">
        <f>'1. Information samples'!J46</f>
        <v>Leucaena leucocephala</v>
      </c>
      <c r="K46" s="42" t="str">
        <f>'1. Information samples'!K46</f>
        <v>Fabaceae</v>
      </c>
      <c r="L46" s="42" t="str">
        <f>'1. Information samples'!L46</f>
        <v>Fabales</v>
      </c>
      <c r="M46" s="42" t="str">
        <f>'1. Information samples'!M46</f>
        <v>Tree</v>
      </c>
      <c r="N46" s="20">
        <f>Table95[[#This Row],[Av DM 105]]</f>
        <v>94.260862855925978</v>
      </c>
      <c r="O46" s="20">
        <f>Table95[[#This Row],[Av Ash, %]]</f>
        <v>12.956865033761142</v>
      </c>
      <c r="P46" s="20">
        <f>'4.0 Result Quality Average'!P46</f>
        <v>87.043134966238853</v>
      </c>
      <c r="Q46" s="20">
        <f>'4.0 Result Quality Average'!Q46</f>
        <v>28.859971347998314</v>
      </c>
      <c r="R46" s="20">
        <f>'4.0 Result Quality Average'!R46</f>
        <v>28.859971347998314</v>
      </c>
      <c r="S46" s="20">
        <f>'4.0 Result Quality Average'!S46</f>
        <v>36.633509942340545</v>
      </c>
      <c r="T46" s="20">
        <f>Table4.17[[#This Row],[Net gas 8h, ml]]</f>
        <v>31.534511474352893</v>
      </c>
      <c r="U46" s="20">
        <f>Table4.17[[#This Row],[Net gas 8-24h, ml]]</f>
        <v>30.369270589575819</v>
      </c>
      <c r="V46" s="20">
        <f>Table4.17[[#This Row],[Net gas 24h, ml]]</f>
        <v>61.903782063928709</v>
      </c>
      <c r="W46" s="20">
        <f>Table4.17[[#This Row],[CH4 8h, ml]]</f>
        <v>3.6905979786921379</v>
      </c>
      <c r="X46" s="20">
        <f>Table4.17[[#This Row],[CH4 8-24h, ml]]</f>
        <v>4.4517372003403031</v>
      </c>
      <c r="Y46" s="20">
        <f>Table4.17[[#This Row],[CH4 24h, ml]]</f>
        <v>8.1423351790324414</v>
      </c>
      <c r="Z46" s="20">
        <f>Table4.17[[#This Row],[Gas ml/g DM Incubated, 24h]]</f>
        <v>131.28557040874162</v>
      </c>
      <c r="AA46" s="20">
        <f>Table4.17[[#This Row],[% DMD, Truly digestibility]]</f>
        <v>48.386508488177817</v>
      </c>
      <c r="AB46" s="20">
        <f>Table4.17[[#This Row],[Part Fact]]</f>
        <v>3.67766714748395</v>
      </c>
      <c r="AC46" s="20">
        <f>Table4.17[[#This Row],[CH4 ml in gas, h8]]</f>
        <v>11.674999999999999</v>
      </c>
      <c r="AD46" s="20">
        <f>Table4.17[[#This Row],[CH4 ml in gas, 24h]]</f>
        <v>13.145447469891586</v>
      </c>
      <c r="AE46" s="20">
        <f>Table4.17[[#This Row],[CH4 ml/gDM incubated, 24h]]</f>
        <v>17.268346302951652</v>
      </c>
      <c r="AF46" s="20">
        <f>Table4.17[[#This Row],[CH4 ml/g DMD, 24h2]]</f>
        <v>35.965007217574374</v>
      </c>
      <c r="AG46" s="20">
        <f>Table4.17[[#This Row],[CH4 ml/g NDF digested in 24 h]]</f>
        <v>-2.0003407472900281</v>
      </c>
      <c r="AH46" s="20">
        <f>Table4.17[[#This Row],[CH4 g/g DM incubated, 24h]]</f>
        <v>9.5842309584548264</v>
      </c>
      <c r="AI46" s="20">
        <f>Table4.17[[#This Row],[Net gas 8-24h, ml]]</f>
        <v>30.369270589575819</v>
      </c>
    </row>
    <row r="47" spans="2:35" x14ac:dyDescent="0.35">
      <c r="B47" s="62">
        <f t="shared" si="0"/>
        <v>37</v>
      </c>
      <c r="C47" s="42">
        <f>'1. Information samples'!C47</f>
        <v>46048</v>
      </c>
      <c r="D47" s="42" t="str">
        <f>'1. Information samples'!D47</f>
        <v>Genbank</v>
      </c>
      <c r="E47" s="59">
        <f>'1. Information samples'!E47</f>
        <v>28</v>
      </c>
      <c r="F47" s="42" t="str">
        <f>'1. Information samples'!F47</f>
        <v>F251761</v>
      </c>
      <c r="G47" s="42" t="str">
        <f>'1. Information samples'!G47</f>
        <v>CIAT-19384</v>
      </c>
      <c r="H47" s="42" t="str">
        <f>'1. Information samples'!H47</f>
        <v>Prosopis</v>
      </c>
      <c r="I47" s="42" t="str">
        <f>'1. Information samples'!I47</f>
        <v>juliflora</v>
      </c>
      <c r="J47" s="42" t="str">
        <f>'1. Information samples'!J47</f>
        <v>Prosopis juliflora</v>
      </c>
      <c r="K47" s="42" t="str">
        <f>'1. Information samples'!K47</f>
        <v>Fabaceae</v>
      </c>
      <c r="L47" s="42" t="str">
        <f>'1. Information samples'!L47</f>
        <v>Fabales</v>
      </c>
      <c r="M47" s="42" t="str">
        <f>'1. Information samples'!M47</f>
        <v>Tree</v>
      </c>
      <c r="N47" s="20">
        <f>Table95[[#This Row],[Av DM 105]]</f>
        <v>93.387652369956228</v>
      </c>
      <c r="O47" s="20">
        <f>Table95[[#This Row],[Av Ash, %]]</f>
        <v>10.334334372505555</v>
      </c>
      <c r="P47" s="20">
        <f>'4.0 Result Quality Average'!P47</f>
        <v>89.665665627494448</v>
      </c>
      <c r="Q47" s="20">
        <f>'4.0 Result Quality Average'!Q47</f>
        <v>36.95492579631334</v>
      </c>
      <c r="R47" s="20">
        <f>'4.0 Result Quality Average'!R47</f>
        <v>36.95492579631334</v>
      </c>
      <c r="S47" s="20">
        <f>'4.0 Result Quality Average'!S47</f>
        <v>30.728014202455089</v>
      </c>
      <c r="T47" s="20">
        <f>Table4.17[[#This Row],[Net gas 8h, ml]]</f>
        <v>12.972011474352893</v>
      </c>
      <c r="U47" s="20">
        <f>Table4.17[[#This Row],[Net gas 8-24h, ml]]</f>
        <v>12.056770589575823</v>
      </c>
      <c r="V47" s="20">
        <f>Table4.17[[#This Row],[Net gas 24h, ml]]</f>
        <v>25.028782063928709</v>
      </c>
      <c r="W47" s="20">
        <f>Table4.17[[#This Row],[CH4 8h, ml]]</f>
        <v>1.075813906418853</v>
      </c>
      <c r="X47" s="20">
        <f>Table4.17[[#This Row],[CH4 8-24h, ml]]</f>
        <v>0.32849132122685532</v>
      </c>
      <c r="Y47" s="20">
        <f>Table4.17[[#This Row],[CH4 24h, ml]]</f>
        <v>1.404305227645708</v>
      </c>
      <c r="Z47" s="20">
        <f>Table4.17[[#This Row],[Gas ml/g DM Incubated, 24h]]</f>
        <v>53.581044598080759</v>
      </c>
      <c r="AA47" s="20">
        <f>Table4.17[[#This Row],[% DMD, Truly digestibility]]</f>
        <v>60.952466228024605</v>
      </c>
      <c r="AB47" s="20">
        <f>Table4.17[[#This Row],[Part Fact]]</f>
        <v>11.546952152425511</v>
      </c>
      <c r="AC47" s="20">
        <f>Table4.17[[#This Row],[CH4 ml in gas, h8]]</f>
        <v>8.2750000000000004</v>
      </c>
      <c r="AD47" s="20">
        <f>Table4.17[[#This Row],[CH4 ml in gas, 24h]]</f>
        <v>5.6041901010525264</v>
      </c>
      <c r="AE47" s="20">
        <f>Table4.17[[#This Row],[CH4 ml/gDM incubated, 24h]]</f>
        <v>3.0063155537558592</v>
      </c>
      <c r="AF47" s="20">
        <f>Table4.17[[#This Row],[CH4 ml/g DMD, 24h2]]</f>
        <v>4.9178820183898662</v>
      </c>
      <c r="AG47" s="20">
        <f>Table4.17[[#This Row],[CH4 ml/g NDF digested in 24 h]]</f>
        <v>5.5380145841358842E-2</v>
      </c>
      <c r="AH47" s="20">
        <f>Table4.17[[#This Row],[CH4 g/g DM incubated, 24h]]</f>
        <v>1.6685571447143246</v>
      </c>
      <c r="AI47" s="20">
        <f>Table4.17[[#This Row],[Net gas 8-24h, ml]]</f>
        <v>12.056770589575823</v>
      </c>
    </row>
    <row r="48" spans="2:35" x14ac:dyDescent="0.35">
      <c r="B48" s="62">
        <f t="shared" si="0"/>
        <v>38</v>
      </c>
      <c r="C48" s="42">
        <f>'1. Information samples'!C48</f>
        <v>46048</v>
      </c>
      <c r="D48" s="42" t="str">
        <f>'1. Information samples'!D48</f>
        <v>Genbank</v>
      </c>
      <c r="E48" s="59">
        <f>'1. Information samples'!E48</f>
        <v>28</v>
      </c>
      <c r="F48" s="42" t="str">
        <f>'1. Information samples'!F48</f>
        <v>F251762</v>
      </c>
      <c r="G48" s="42" t="str">
        <f>'1. Information samples'!G48</f>
        <v>CIAT-19571</v>
      </c>
      <c r="H48" s="42" t="str">
        <f>'1. Information samples'!H48</f>
        <v>Senna</v>
      </c>
      <c r="I48" s="42" t="str">
        <f>'1. Information samples'!I48</f>
        <v>cobanensis</v>
      </c>
      <c r="J48" s="42" t="str">
        <f>'1. Information samples'!J48</f>
        <v>Senna cobanensis</v>
      </c>
      <c r="K48" s="42" t="str">
        <f>'1. Information samples'!K48</f>
        <v>Fabaceae</v>
      </c>
      <c r="L48" s="42" t="str">
        <f>'1. Information samples'!L48</f>
        <v>Fabales</v>
      </c>
      <c r="M48" s="42" t="str">
        <f>'1. Information samples'!M48</f>
        <v>Tree</v>
      </c>
      <c r="N48" s="20">
        <f>Table95[[#This Row],[Av DM 105]]</f>
        <v>93.207390734042775</v>
      </c>
      <c r="O48" s="20">
        <f>Table95[[#This Row],[Av Ash, %]]</f>
        <v>6.081072551161764</v>
      </c>
      <c r="P48" s="20">
        <f>'4.0 Result Quality Average'!P48</f>
        <v>93.918927448838247</v>
      </c>
      <c r="Q48" s="20">
        <f>'4.0 Result Quality Average'!Q48</f>
        <v>23.200972853253763</v>
      </c>
      <c r="R48" s="20">
        <f>'4.0 Result Quality Average'!R48</f>
        <v>23.200972853253763</v>
      </c>
      <c r="S48" s="20">
        <f>'4.0 Result Quality Average'!S48</f>
        <v>42.547984735778918</v>
      </c>
      <c r="T48" s="20">
        <f>Table4.17[[#This Row],[Net gas 8h, ml]]</f>
        <v>39.409511474352897</v>
      </c>
      <c r="U48" s="20">
        <f>Table4.17[[#This Row],[Net gas 8-24h, ml]]</f>
        <v>37.819270589575829</v>
      </c>
      <c r="V48" s="20">
        <f>Table4.17[[#This Row],[Net gas 24h, ml]]</f>
        <v>77.228782063928719</v>
      </c>
      <c r="W48" s="20">
        <f>Table4.17[[#This Row],[CH4 8h, ml]]</f>
        <v>5.4662301993852687</v>
      </c>
      <c r="X48" s="20">
        <f>Table4.17[[#This Row],[CH4 8-24h, ml]]</f>
        <v>6.8793214413508359</v>
      </c>
      <c r="Y48" s="20">
        <f>Table4.17[[#This Row],[CH4 24h, ml]]</f>
        <v>12.345551640736105</v>
      </c>
      <c r="Z48" s="20">
        <f>Table4.17[[#This Row],[Gas ml/g DM Incubated, 24h]]</f>
        <v>165.61875335049621</v>
      </c>
      <c r="AA48" s="20">
        <f>Table4.17[[#This Row],[% DMD, Truly digestibility]]</f>
        <v>44.592406169390699</v>
      </c>
      <c r="AB48" s="20">
        <f>Table4.17[[#This Row],[Part Fact]]</f>
        <v>2.6879520469733955</v>
      </c>
      <c r="AC48" s="20">
        <f>Table4.17[[#This Row],[CH4 ml in gas, h8]]</f>
        <v>13.8375</v>
      </c>
      <c r="AD48" s="20">
        <f>Table4.17[[#This Row],[CH4 ml in gas, 24h]]</f>
        <v>15.970997799678077</v>
      </c>
      <c r="AE48" s="20">
        <f>Table4.17[[#This Row],[CH4 ml/gDM incubated, 24h]]</f>
        <v>26.475385855016057</v>
      </c>
      <c r="AF48" s="20">
        <f>Table4.17[[#This Row],[CH4 ml/g DMD, 24h2]]</f>
        <v>61.871827086157325</v>
      </c>
      <c r="AG48" s="20">
        <f>Table4.17[[#This Row],[CH4 ml/g NDF digested in 24 h]]</f>
        <v>1.0112741127947875</v>
      </c>
      <c r="AH48" s="20">
        <f>Table4.17[[#This Row],[CH4 g/g DM incubated, 24h]]</f>
        <v>14.694297201192304</v>
      </c>
      <c r="AI48" s="20">
        <f>Table4.17[[#This Row],[Net gas 8-24h, ml]]</f>
        <v>37.819270589575829</v>
      </c>
    </row>
    <row r="49" spans="2:35" x14ac:dyDescent="0.35">
      <c r="B49" s="62">
        <f t="shared" si="0"/>
        <v>39</v>
      </c>
      <c r="C49" s="42">
        <f>'1. Information samples'!C49</f>
        <v>46048</v>
      </c>
      <c r="D49" s="42" t="str">
        <f>'1. Information samples'!D49</f>
        <v>Genbank</v>
      </c>
      <c r="E49" s="59">
        <f>'1. Information samples'!E49</f>
        <v>28</v>
      </c>
      <c r="F49" s="42" t="str">
        <f>'1. Information samples'!F49</f>
        <v>F251763</v>
      </c>
      <c r="G49" s="42" t="str">
        <f>'1. Information samples'!G49</f>
        <v>CIAT-20126</v>
      </c>
      <c r="H49" s="42" t="str">
        <f>'1. Information samples'!H49</f>
        <v>Acacia</v>
      </c>
      <c r="I49" s="42" t="str">
        <f>'1. Information samples'!I49</f>
        <v>angustissima</v>
      </c>
      <c r="J49" s="42" t="str">
        <f>'1. Information samples'!J49</f>
        <v>Acacia angustissima</v>
      </c>
      <c r="K49" s="42" t="str">
        <f>'1. Information samples'!K49</f>
        <v>Fabaceae</v>
      </c>
      <c r="L49" s="42" t="str">
        <f>'1. Information samples'!L49</f>
        <v>Fabales</v>
      </c>
      <c r="M49" s="42" t="str">
        <f>'1. Information samples'!M49</f>
        <v>Tree</v>
      </c>
      <c r="N49" s="20">
        <f>Table95[[#This Row],[Av DM 105]]</f>
        <v>93.972117120803745</v>
      </c>
      <c r="O49" s="20">
        <f>Table95[[#This Row],[Av Ash, %]]</f>
        <v>5.7762849826081304</v>
      </c>
      <c r="P49" s="20">
        <f>'4.0 Result Quality Average'!P49</f>
        <v>94.223715017391868</v>
      </c>
      <c r="Q49" s="20">
        <f>'4.0 Result Quality Average'!Q49</f>
        <v>29.90215547495993</v>
      </c>
      <c r="R49" s="20">
        <f>'4.0 Result Quality Average'!R49</f>
        <v>29.90215547495993</v>
      </c>
      <c r="S49" s="20">
        <f>'4.0 Result Quality Average'!S49</f>
        <v>48.097888552549549</v>
      </c>
      <c r="T49" s="20">
        <f>Table4.17[[#This Row],[Net gas 8h, ml]]</f>
        <v>19.987062877385199</v>
      </c>
      <c r="U49" s="20">
        <f>Table4.17[[#This Row],[Net gas 8-24h, ml]]</f>
        <v>14.876639642294821</v>
      </c>
      <c r="V49" s="20">
        <f>Table4.17[[#This Row],[Net gas 24h, ml]]</f>
        <v>34.863702519680018</v>
      </c>
      <c r="W49" s="20">
        <f>Table4.17[[#This Row],[CH4 8h, ml]]</f>
        <v>2.4403893657683069</v>
      </c>
      <c r="X49" s="20">
        <f>Table4.17[[#This Row],[CH4 8-24h, ml]]</f>
        <v>1.8072215056719525</v>
      </c>
      <c r="Y49" s="20">
        <f>Table4.17[[#This Row],[CH4 24h, ml]]</f>
        <v>4.2476108714402594</v>
      </c>
      <c r="Z49" s="20">
        <f>Table4.17[[#This Row],[Gas ml/g DM Incubated, 24h]]</f>
        <v>74.165758722355591</v>
      </c>
      <c r="AA49" s="20">
        <f>Table4.17[[#This Row],[% DMD, Truly digestibility]]</f>
        <v>25.994954072582882</v>
      </c>
      <c r="AB49" s="20">
        <f>Table4.17[[#This Row],[Part Fact]]</f>
        <v>3.5447613719487219</v>
      </c>
      <c r="AC49" s="20">
        <f>Table4.17[[#This Row],[CH4 ml in gas, h8]]</f>
        <v>12.200000000000001</v>
      </c>
      <c r="AD49" s="20">
        <f>Table4.17[[#This Row],[CH4 ml in gas, 24h]]</f>
        <v>12.176873903543679</v>
      </c>
      <c r="AE49" s="20">
        <f>Table4.17[[#This Row],[CH4 ml/gDM incubated, 24h]]</f>
        <v>9.035968352605888</v>
      </c>
      <c r="AF49" s="20">
        <f>Table4.17[[#This Row],[CH4 ml/g DMD, 24h2]]</f>
        <v>35.132468374240972</v>
      </c>
      <c r="AG49" s="20">
        <f>Table4.17[[#This Row],[CH4 ml/g NDF digested in 24 h]]</f>
        <v>-0.15872393704331578</v>
      </c>
      <c r="AH49" s="20">
        <f>Table4.17[[#This Row],[CH4 g/g DM incubated, 24h]]</f>
        <v>5.0151187673286657</v>
      </c>
      <c r="AI49" s="20">
        <f>Table4.17[[#This Row],[Net gas 8-24h, ml]]</f>
        <v>14.876639642294821</v>
      </c>
    </row>
    <row r="50" spans="2:35" x14ac:dyDescent="0.35">
      <c r="B50" s="62">
        <f t="shared" si="0"/>
        <v>40</v>
      </c>
      <c r="C50" s="42">
        <f>'1. Information samples'!C50</f>
        <v>46048</v>
      </c>
      <c r="D50" s="42" t="str">
        <f>'1. Information samples'!D50</f>
        <v>Genbank</v>
      </c>
      <c r="E50" s="59">
        <f>'1. Information samples'!E50</f>
        <v>28</v>
      </c>
      <c r="F50" s="42" t="str">
        <f>'1. Information samples'!F50</f>
        <v>F251764</v>
      </c>
      <c r="G50" s="42" t="str">
        <f>'1. Information samples'!G50</f>
        <v>CIAT-20788</v>
      </c>
      <c r="H50" s="42" t="str">
        <f>'1. Information samples'!H50</f>
        <v>Senna</v>
      </c>
      <c r="I50" s="42" t="str">
        <f>'1. Information samples'!I50</f>
        <v>pallida</v>
      </c>
      <c r="J50" s="42" t="str">
        <f>'1. Information samples'!J50</f>
        <v>Senna pallida</v>
      </c>
      <c r="K50" s="42" t="str">
        <f>'1. Information samples'!K50</f>
        <v>Fabaceae</v>
      </c>
      <c r="L50" s="42" t="str">
        <f>'1. Information samples'!L50</f>
        <v>Fabales</v>
      </c>
      <c r="M50" s="42" t="str">
        <f>'1. Information samples'!M50</f>
        <v>Tree</v>
      </c>
      <c r="N50" s="20">
        <f>Table95[[#This Row],[Av DM 105]]</f>
        <v>93.916824952514233</v>
      </c>
      <c r="O50" s="20">
        <f>Table95[[#This Row],[Av Ash, %]]</f>
        <v>9.7450636010430483</v>
      </c>
      <c r="P50" s="20">
        <f>'4.0 Result Quality Average'!P50</f>
        <v>90.254936398956957</v>
      </c>
      <c r="Q50" s="20">
        <f>'4.0 Result Quality Average'!Q50</f>
        <v>24.302493202405671</v>
      </c>
      <c r="R50" s="20">
        <f>'4.0 Result Quality Average'!R50</f>
        <v>24.302493202405671</v>
      </c>
      <c r="S50" s="20">
        <f>'4.0 Result Quality Average'!S50</f>
        <v>30.232350736776002</v>
      </c>
      <c r="T50" s="20">
        <f>Table4.17[[#This Row],[Net gas 8h, ml]]</f>
        <v>48.881231099025641</v>
      </c>
      <c r="U50" s="20">
        <f>Table4.17[[#This Row],[Net gas 8-24h, ml]]</f>
        <v>48.824081807508549</v>
      </c>
      <c r="V50" s="20">
        <f>Table4.17[[#This Row],[Net gas 24h, ml]]</f>
        <v>97.705312906534189</v>
      </c>
      <c r="W50" s="20">
        <f>Table4.17[[#This Row],[CH4 8h, ml]]</f>
        <v>6.3342614386294542</v>
      </c>
      <c r="X50" s="20">
        <f>Table4.17[[#This Row],[CH4 8-24h, ml]]</f>
        <v>8.5604345324146411</v>
      </c>
      <c r="Y50" s="20">
        <f>Table4.17[[#This Row],[CH4 24h, ml]]</f>
        <v>14.894695971044095</v>
      </c>
      <c r="Z50" s="20">
        <f>Table4.17[[#This Row],[Gas ml/g DM Incubated, 24h]]</f>
        <v>207.97377341453131</v>
      </c>
      <c r="AA50" s="20">
        <f>Table4.17[[#This Row],[% DMD, Truly digestibility]]</f>
        <v>67.101278345398896</v>
      </c>
      <c r="AB50" s="20">
        <f>Table4.17[[#This Row],[Part Fact]]</f>
        <v>3.2314510499915685</v>
      </c>
      <c r="AC50" s="20">
        <f>Table4.17[[#This Row],[CH4 ml in gas, h8]]</f>
        <v>12.928571428571429</v>
      </c>
      <c r="AD50" s="20">
        <f>Table4.17[[#This Row],[CH4 ml in gas, 24h]]</f>
        <v>15.234874286447516</v>
      </c>
      <c r="AE50" s="20">
        <f>Table4.17[[#This Row],[CH4 ml/gDM incubated, 24h]]</f>
        <v>31.704830527695574</v>
      </c>
      <c r="AF50" s="20">
        <f>Table4.17[[#This Row],[CH4 ml/g DMD, 24h2]]</f>
        <v>47.306708893751818</v>
      </c>
      <c r="AG50" s="20">
        <f>Table4.17[[#This Row],[CH4 ml/g NDF digested in 24 h]]</f>
        <v>0.39408647732670848</v>
      </c>
      <c r="AH50" s="20">
        <f>Table4.17[[#This Row],[CH4 g/g DM incubated, 24h]]</f>
        <v>17.596729469350763</v>
      </c>
      <c r="AI50" s="20">
        <f>Table4.17[[#This Row],[Net gas 8-24h, ml]]</f>
        <v>48.824081807508549</v>
      </c>
    </row>
    <row r="51" spans="2:35" x14ac:dyDescent="0.35">
      <c r="B51" s="62">
        <f t="shared" si="0"/>
        <v>41</v>
      </c>
      <c r="C51" s="42">
        <f>'1. Information samples'!C51</f>
        <v>46048</v>
      </c>
      <c r="D51" s="42" t="str">
        <f>'1. Information samples'!D51</f>
        <v>Genbank</v>
      </c>
      <c r="E51" s="59">
        <f>'1. Information samples'!E51</f>
        <v>28</v>
      </c>
      <c r="F51" s="42" t="str">
        <f>'1. Information samples'!F51</f>
        <v>F251765</v>
      </c>
      <c r="G51" s="42" t="str">
        <f>'1. Information samples'!G51</f>
        <v>CIAT-21242</v>
      </c>
      <c r="H51" s="42" t="str">
        <f>'1. Information samples'!H51</f>
        <v>Leucaena</v>
      </c>
      <c r="I51" s="42" t="str">
        <f>'1. Information samples'!I51</f>
        <v>diversifolia</v>
      </c>
      <c r="J51" s="42" t="str">
        <f>'1. Information samples'!J51</f>
        <v>Leucaena diversifolia</v>
      </c>
      <c r="K51" s="42" t="str">
        <f>'1. Information samples'!K51</f>
        <v>Fabaceae</v>
      </c>
      <c r="L51" s="42" t="str">
        <f>'1. Information samples'!L51</f>
        <v>Fabales</v>
      </c>
      <c r="M51" s="42" t="str">
        <f>'1. Information samples'!M51</f>
        <v>Tree</v>
      </c>
      <c r="N51" s="20">
        <f>Table95[[#This Row],[Av DM 105]]</f>
        <v>93.211365657396129</v>
      </c>
      <c r="O51" s="20">
        <f>Table95[[#This Row],[Av Ash, %]]</f>
        <v>6.8754719706245817</v>
      </c>
      <c r="P51" s="20">
        <f>'4.0 Result Quality Average'!P51</f>
        <v>93.124528029375426</v>
      </c>
      <c r="Q51" s="20">
        <f>'4.0 Result Quality Average'!Q51</f>
        <v>23.275835301403752</v>
      </c>
      <c r="R51" s="20">
        <f>'4.0 Result Quality Average'!R51</f>
        <v>23.275835301403752</v>
      </c>
      <c r="S51" s="20">
        <f>'4.0 Result Quality Average'!S51</f>
        <v>45.048343912260478</v>
      </c>
      <c r="T51" s="20">
        <f>Table4.17[[#This Row],[Net gas 8h, ml]]</f>
        <v>23.284511474352893</v>
      </c>
      <c r="U51" s="20">
        <f>Table4.17[[#This Row],[Net gas 8-24h, ml]]</f>
        <v>18.681770589575819</v>
      </c>
      <c r="V51" s="20">
        <f>Table4.17[[#This Row],[Net gas 24h, ml]]</f>
        <v>41.966282063928709</v>
      </c>
      <c r="W51" s="20">
        <f>Table4.17[[#This Row],[CH4 8h, ml]]</f>
        <v>2.6507603661456138</v>
      </c>
      <c r="X51" s="20">
        <f>Table4.17[[#This Row],[CH4 8-24h, ml]]</f>
        <v>2.6044328724064756</v>
      </c>
      <c r="Y51" s="20">
        <f>Table4.17[[#This Row],[CH4 24h, ml]]</f>
        <v>5.2551932385520894</v>
      </c>
      <c r="Z51" s="20">
        <f>Table4.17[[#This Row],[Gas ml/g DM Incubated, 24h]]</f>
        <v>90.005588693499561</v>
      </c>
      <c r="AA51" s="20">
        <f>Table4.17[[#This Row],[% DMD, Truly digestibility]]</f>
        <v>32.079568134243416</v>
      </c>
      <c r="AB51" s="20">
        <f>Table4.17[[#This Row],[Part Fact]]</f>
        <v>3.5914709772059235</v>
      </c>
      <c r="AC51" s="20">
        <f>Table4.17[[#This Row],[CH4 ml in gas, h8]]</f>
        <v>11.325000000000001</v>
      </c>
      <c r="AD51" s="20">
        <f>Table4.17[[#This Row],[CH4 ml in gas, 24h]]</f>
        <v>12.503055415668545</v>
      </c>
      <c r="AE51" s="20">
        <f>Table4.17[[#This Row],[CH4 ml/gDM incubated, 24h]]</f>
        <v>11.270997007966557</v>
      </c>
      <c r="AF51" s="20">
        <f>Table4.17[[#This Row],[CH4 ml/g DMD, 24h2]]</f>
        <v>35.98003184377631</v>
      </c>
      <c r="AG51" s="20">
        <f>Table4.17[[#This Row],[CH4 ml/g NDF digested in 24 h]]</f>
        <v>3.7331835430377214E-2</v>
      </c>
      <c r="AH51" s="20">
        <f>Table4.17[[#This Row],[CH4 g/g DM incubated, 24h]]</f>
        <v>6.2555983393696728</v>
      </c>
      <c r="AI51" s="20">
        <f>Table4.17[[#This Row],[Net gas 8-24h, ml]]</f>
        <v>18.681770589575819</v>
      </c>
    </row>
    <row r="52" spans="2:35" x14ac:dyDescent="0.35">
      <c r="B52" s="62">
        <f t="shared" si="0"/>
        <v>42</v>
      </c>
      <c r="C52" s="42">
        <f>'1. Information samples'!C52</f>
        <v>46048</v>
      </c>
      <c r="D52" s="42" t="str">
        <f>'1. Information samples'!D52</f>
        <v>Genbank</v>
      </c>
      <c r="E52" s="59">
        <f>'1. Information samples'!E52</f>
        <v>28</v>
      </c>
      <c r="F52" s="42" t="str">
        <f>'1. Information samples'!F52</f>
        <v>F251766</v>
      </c>
      <c r="G52" s="42" t="str">
        <f>'1. Information samples'!G52</f>
        <v>CIAT-21512</v>
      </c>
      <c r="H52" s="42" t="str">
        <f>'1. Information samples'!H52</f>
        <v>Calliandra</v>
      </c>
      <c r="I52" s="42" t="str">
        <f>'1. Information samples'!I52</f>
        <v>calothyrsus</v>
      </c>
      <c r="J52" s="42" t="str">
        <f>'1. Information samples'!J52</f>
        <v>Calliandra calothyrsus</v>
      </c>
      <c r="K52" s="42" t="str">
        <f>'1. Information samples'!K52</f>
        <v>Fabaceae</v>
      </c>
      <c r="L52" s="42" t="str">
        <f>'1. Information samples'!L52</f>
        <v>Fabales</v>
      </c>
      <c r="M52" s="42" t="str">
        <f>'1. Information samples'!M52</f>
        <v>Tree</v>
      </c>
      <c r="N52" s="20">
        <f>Table95[[#This Row],[Av DM 105]]</f>
        <v>92.787884846061559</v>
      </c>
      <c r="O52" s="20">
        <f>Table95[[#This Row],[Av Ash, %]]</f>
        <v>4.7831941826016706</v>
      </c>
      <c r="P52" s="20">
        <f>'4.0 Result Quality Average'!P52</f>
        <v>95.216805817398324</v>
      </c>
      <c r="Q52" s="20">
        <f>'4.0 Result Quality Average'!Q52</f>
        <v>24.069321644433145</v>
      </c>
      <c r="R52" s="20">
        <f>'4.0 Result Quality Average'!R52</f>
        <v>24.069321644433145</v>
      </c>
      <c r="S52" s="20">
        <f>'4.0 Result Quality Average'!S52</f>
        <v>46.571954064815877</v>
      </c>
      <c r="T52" s="20">
        <f>Table4.17[[#This Row],[Net gas 8h, ml]]</f>
        <v>13.347011474352893</v>
      </c>
      <c r="U52" s="20">
        <f>Table4.17[[#This Row],[Net gas 8-24h, ml]]</f>
        <v>12.119270589575823</v>
      </c>
      <c r="V52" s="20">
        <f>Table4.17[[#This Row],[Net gas 24h, ml]]</f>
        <v>25.466282063928709</v>
      </c>
      <c r="W52" s="20">
        <f>Table4.17[[#This Row],[CH4 8h, ml]]</f>
        <v>1.4975882083442724</v>
      </c>
      <c r="X52" s="20">
        <f>Table4.17[[#This Row],[CH4 8-24h, ml]]</f>
        <v>1.5882270699150958</v>
      </c>
      <c r="Y52" s="20">
        <f>Table4.17[[#This Row],[CH4 24h, ml]]</f>
        <v>3.0858152782593686</v>
      </c>
      <c r="Z52" s="20">
        <f>Table4.17[[#This Row],[Gas ml/g DM Incubated, 24h]]</f>
        <v>54.865319533763163</v>
      </c>
      <c r="AA52" s="20">
        <f>Table4.17[[#This Row],[% DMD, Truly digestibility]]</f>
        <v>25.148459329842964</v>
      </c>
      <c r="AB52" s="20">
        <f>Table4.17[[#This Row],[Part Fact]]</f>
        <v>4.8821512762568924</v>
      </c>
      <c r="AC52" s="20">
        <f>Table4.17[[#This Row],[CH4 ml in gas, h8]]</f>
        <v>11.099999999999998</v>
      </c>
      <c r="AD52" s="20">
        <f>Table4.17[[#This Row],[CH4 ml in gas, 24h]]</f>
        <v>12.110473520932812</v>
      </c>
      <c r="AE52" s="20">
        <f>Table4.17[[#This Row],[CH4 ml/gDM incubated, 24h]]</f>
        <v>6.6482492632887951</v>
      </c>
      <c r="AF52" s="20">
        <f>Table4.17[[#This Row],[CH4 ml/g DMD, 24h2]]</f>
        <v>27.963591847238725</v>
      </c>
      <c r="AG52" s="20">
        <f>Table4.17[[#This Row],[CH4 ml/g NDF digested in 24 h]]</f>
        <v>-7.8674878598240017E-2</v>
      </c>
      <c r="AH52" s="20">
        <f>Table4.17[[#This Row],[CH4 g/g DM incubated, 24h]]</f>
        <v>3.6898933627388337</v>
      </c>
      <c r="AI52" s="20">
        <f>Table4.17[[#This Row],[Net gas 8-24h, ml]]</f>
        <v>12.119270589575823</v>
      </c>
    </row>
    <row r="53" spans="2:35" x14ac:dyDescent="0.35">
      <c r="B53" s="62">
        <f t="shared" si="0"/>
        <v>43</v>
      </c>
      <c r="C53" s="42">
        <f>'1. Information samples'!C53</f>
        <v>46048</v>
      </c>
      <c r="D53" s="42" t="str">
        <f>'1. Information samples'!D53</f>
        <v>Genbank</v>
      </c>
      <c r="E53" s="59">
        <f>'1. Information samples'!E53</f>
        <v>28</v>
      </c>
      <c r="F53" s="42" t="str">
        <f>'1. Information samples'!F53</f>
        <v>F251767</v>
      </c>
      <c r="G53" s="42" t="str">
        <f>'1. Information samples'!G53</f>
        <v>CIAT-21601</v>
      </c>
      <c r="H53" s="42" t="str">
        <f>'1. Information samples'!H53</f>
        <v>Erythrina</v>
      </c>
      <c r="I53" s="42" t="str">
        <f>'1. Information samples'!I53</f>
        <v>fusca</v>
      </c>
      <c r="J53" s="42" t="str">
        <f>'1. Information samples'!J53</f>
        <v>Erythrina fusca</v>
      </c>
      <c r="K53" s="42" t="str">
        <f>'1. Information samples'!K53</f>
        <v>Fabaceae</v>
      </c>
      <c r="L53" s="42" t="str">
        <f>'1. Information samples'!L53</f>
        <v>Fabales</v>
      </c>
      <c r="M53" s="42" t="str">
        <f>'1. Information samples'!M53</f>
        <v>Tree</v>
      </c>
      <c r="N53" s="20">
        <f>Table95[[#This Row],[Av DM 105]]</f>
        <v>93.236785877589853</v>
      </c>
      <c r="O53" s="20">
        <f>Table95[[#This Row],[Av Ash, %]]</f>
        <v>7.0448332033495689</v>
      </c>
      <c r="P53" s="20">
        <f>'4.0 Result Quality Average'!P53</f>
        <v>92.955166796650431</v>
      </c>
      <c r="Q53" s="20">
        <f>'4.0 Result Quality Average'!Q53</f>
        <v>23.751605611660302</v>
      </c>
      <c r="R53" s="20">
        <f>'4.0 Result Quality Average'!R53</f>
        <v>23.410848588713336</v>
      </c>
      <c r="S53" s="20">
        <f>'4.0 Result Quality Average'!S53</f>
        <v>56.108954424654989</v>
      </c>
      <c r="T53" s="20">
        <f>Table4.17[[#This Row],[Net gas 8h, ml]]</f>
        <v>21.284511474352893</v>
      </c>
      <c r="U53" s="20">
        <f>Table4.17[[#This Row],[Net gas 8-24h, ml]]</f>
        <v>27.494270589575816</v>
      </c>
      <c r="V53" s="20">
        <f>Table4.17[[#This Row],[Net gas 24h, ml]]</f>
        <v>48.778782063928709</v>
      </c>
      <c r="W53" s="20">
        <f>Table4.17[[#This Row],[CH4 8h, ml]]</f>
        <v>3.000332490001413</v>
      </c>
      <c r="X53" s="20">
        <f>Table4.17[[#This Row],[CH4 8-24h, ml]]</f>
        <v>4.2264364517325896</v>
      </c>
      <c r="Y53" s="20">
        <f>Table4.17[[#This Row],[CH4 24h, ml]]</f>
        <v>7.2267689417340035</v>
      </c>
      <c r="Z53" s="20">
        <f>Table4.17[[#This Row],[Gas ml/g DM Incubated, 24h]]</f>
        <v>104.57417146080716</v>
      </c>
      <c r="AA53" s="20">
        <f>Table4.17[[#This Row],[% DMD, Truly digestibility]]</f>
        <v>29.916957154020942</v>
      </c>
      <c r="AB53" s="20">
        <f>Table4.17[[#This Row],[Part Fact]]</f>
        <v>2.8978938833092358</v>
      </c>
      <c r="AC53" s="20">
        <f>Table4.17[[#This Row],[CH4 ml in gas, h8]]</f>
        <v>13.987499999999999</v>
      </c>
      <c r="AD53" s="20">
        <f>Table4.17[[#This Row],[CH4 ml in gas, 24h]]</f>
        <v>14.776763801922671</v>
      </c>
      <c r="AE53" s="20">
        <f>Table4.17[[#This Row],[CH4 ml/gDM incubated, 24h]]</f>
        <v>15.493221087390442</v>
      </c>
      <c r="AF53" s="20">
        <f>Table4.17[[#This Row],[CH4 ml/g DMD, 24h2]]</f>
        <v>52.414170134707817</v>
      </c>
      <c r="AG53" s="20">
        <f>Table4.17[[#This Row],[CH4 ml/g NDF digested in 24 h]]</f>
        <v>-6.8235397735705279</v>
      </c>
      <c r="AH53" s="20">
        <f>Table4.17[[#This Row],[CH4 g/g DM incubated, 24h]]</f>
        <v>8.5990057523094343</v>
      </c>
      <c r="AI53" s="20">
        <f>Table4.17[[#This Row],[Net gas 8-24h, ml]]</f>
        <v>27.494270589575816</v>
      </c>
    </row>
    <row r="54" spans="2:35" x14ac:dyDescent="0.35">
      <c r="B54" s="62">
        <f t="shared" si="0"/>
        <v>44</v>
      </c>
      <c r="C54" s="42">
        <f>'1. Information samples'!C54</f>
        <v>46048</v>
      </c>
      <c r="D54" s="42" t="str">
        <f>'1. Information samples'!D54</f>
        <v>Genbank</v>
      </c>
      <c r="E54" s="59">
        <f>'1. Information samples'!E54</f>
        <v>28</v>
      </c>
      <c r="F54" s="42" t="str">
        <f>'1. Information samples'!F54</f>
        <v>F251768</v>
      </c>
      <c r="G54" s="42" t="str">
        <f>'1. Information samples'!G54</f>
        <v>CIAT-21809</v>
      </c>
      <c r="H54" s="42" t="str">
        <f>'1. Information samples'!H54</f>
        <v>Acacia</v>
      </c>
      <c r="I54" s="42" t="str">
        <f>'1. Information samples'!I54</f>
        <v>farnesiana</v>
      </c>
      <c r="J54" s="42" t="str">
        <f>'1. Information samples'!J54</f>
        <v>Acacia farnesiana</v>
      </c>
      <c r="K54" s="42" t="str">
        <f>'1. Information samples'!K54</f>
        <v>Fabaceae</v>
      </c>
      <c r="L54" s="42" t="str">
        <f>'1. Information samples'!L54</f>
        <v>Fabales</v>
      </c>
      <c r="M54" s="42" t="str">
        <f>'1. Information samples'!M54</f>
        <v>Tree</v>
      </c>
      <c r="N54" s="20">
        <f>Table95[[#This Row],[Av DM 105]]</f>
        <v>94.615814255723279</v>
      </c>
      <c r="O54" s="20">
        <f>Table95[[#This Row],[Av Ash, %]]</f>
        <v>7.4606405618161311</v>
      </c>
      <c r="P54" s="20">
        <f>'4.0 Result Quality Average'!P54</f>
        <v>92.539359438183865</v>
      </c>
      <c r="Q54" s="20">
        <f>'4.0 Result Quality Average'!Q54</f>
        <v>31.000656289562979</v>
      </c>
      <c r="R54" s="20">
        <f>'4.0 Result Quality Average'!R54</f>
        <v>31.000656289562979</v>
      </c>
      <c r="S54" s="20">
        <f>'4.0 Result Quality Average'!S54</f>
        <v>49.040359793723461</v>
      </c>
      <c r="T54" s="20">
        <f>Table4.17[[#This Row],[Net gas 8h, ml]]</f>
        <v>33.784511474352897</v>
      </c>
      <c r="U54" s="20">
        <f>Table4.17[[#This Row],[Net gas 8-24h, ml]]</f>
        <v>29.931770589575819</v>
      </c>
      <c r="V54" s="20">
        <f>Table4.17[[#This Row],[Net gas 24h, ml]]</f>
        <v>63.716282063928709</v>
      </c>
      <c r="W54" s="20">
        <f>Table4.17[[#This Row],[CH4 8h, ml]]</f>
        <v>4.6227298954711387</v>
      </c>
      <c r="X54" s="20">
        <f>Table4.17[[#This Row],[CH4 8-24h, ml]]</f>
        <v>5.3954728033618631</v>
      </c>
      <c r="Y54" s="20">
        <f>Table4.17[[#This Row],[CH4 24h, ml]]</f>
        <v>10.018202698833001</v>
      </c>
      <c r="Z54" s="20">
        <f>Table4.17[[#This Row],[Gas ml/g DM Incubated, 24h]]</f>
        <v>134.62066448116036</v>
      </c>
      <c r="AA54" s="20">
        <f>Table4.17[[#This Row],[% DMD, Truly digestibility]]</f>
        <v>38.966994977499297</v>
      </c>
      <c r="AB54" s="20">
        <f>Table4.17[[#This Row],[Part Fact]]</f>
        <v>2.8981344242972584</v>
      </c>
      <c r="AC54" s="20">
        <f>Table4.17[[#This Row],[CH4 ml in gas, h8]]</f>
        <v>13.662499999999998</v>
      </c>
      <c r="AD54" s="20">
        <f>Table4.17[[#This Row],[CH4 ml in gas, 24h]]</f>
        <v>15.717384825468656</v>
      </c>
      <c r="AE54" s="20">
        <f>Table4.17[[#This Row],[CH4 ml/gDM incubated, 24h]]</f>
        <v>21.166773193047394</v>
      </c>
      <c r="AF54" s="20">
        <f>Table4.17[[#This Row],[CH4 ml/g DMD, 24h2]]</f>
        <v>54.9513042460636</v>
      </c>
      <c r="AG54" s="20">
        <f>Table4.17[[#This Row],[CH4 ml/g NDF digested in 24 h]]</f>
        <v>0.21173481854158227</v>
      </c>
      <c r="AH54" s="20">
        <f>Table4.17[[#This Row],[CH4 g/g DM incubated, 24h]]</f>
        <v>11.747925329289972</v>
      </c>
      <c r="AI54" s="20">
        <f>Table4.17[[#This Row],[Net gas 8-24h, ml]]</f>
        <v>29.931770589575819</v>
      </c>
    </row>
    <row r="55" spans="2:35" x14ac:dyDescent="0.35">
      <c r="B55" s="62">
        <f t="shared" si="0"/>
        <v>45</v>
      </c>
      <c r="C55" s="42">
        <f>'1. Information samples'!C55</f>
        <v>46048</v>
      </c>
      <c r="D55" s="42" t="str">
        <f>'1. Information samples'!D55</f>
        <v>Genbank</v>
      </c>
      <c r="E55" s="59">
        <f>'1. Information samples'!E55</f>
        <v>28</v>
      </c>
      <c r="F55" s="42" t="str">
        <f>'1. Information samples'!F55</f>
        <v>F251769</v>
      </c>
      <c r="G55" s="42" t="str">
        <f>'1. Information samples'!G55</f>
        <v>CIAT-21810</v>
      </c>
      <c r="H55" s="42" t="str">
        <f>'1. Information samples'!H55</f>
        <v>Acacia</v>
      </c>
      <c r="I55" s="42" t="str">
        <f>'1. Information samples'!I55</f>
        <v>angustissima</v>
      </c>
      <c r="J55" s="42" t="str">
        <f>'1. Information samples'!J55</f>
        <v>Acacia angustissima</v>
      </c>
      <c r="K55" s="42" t="str">
        <f>'1. Information samples'!K55</f>
        <v>Fabaceae</v>
      </c>
      <c r="L55" s="42" t="str">
        <f>'1. Information samples'!L55</f>
        <v>Fabales</v>
      </c>
      <c r="M55" s="42" t="str">
        <f>'1. Information samples'!M55</f>
        <v>Tree</v>
      </c>
      <c r="N55" s="20">
        <f>Table95[[#This Row],[Av DM 105]]</f>
        <v>94.786813043660658</v>
      </c>
      <c r="O55" s="20">
        <f>Table95[[#This Row],[Av Ash, %]]</f>
        <v>5.3891593996761422</v>
      </c>
      <c r="P55" s="20">
        <f>'4.0 Result Quality Average'!P55</f>
        <v>94.610840600323854</v>
      </c>
      <c r="Q55" s="20">
        <f>'4.0 Result Quality Average'!Q55</f>
        <v>31.663939854461496</v>
      </c>
      <c r="R55" s="20">
        <f>'4.0 Result Quality Average'!R55</f>
        <v>31.663939854461496</v>
      </c>
      <c r="S55" s="20">
        <f>'4.0 Result Quality Average'!S55</f>
        <v>40.173169657697386</v>
      </c>
      <c r="T55" s="20">
        <f>Table4.17[[#This Row],[Net gas 8h, ml]]</f>
        <v>17.847011474352893</v>
      </c>
      <c r="U55" s="20">
        <f>Table4.17[[#This Row],[Net gas 8-24h, ml]]</f>
        <v>17.119270589575823</v>
      </c>
      <c r="V55" s="20">
        <f>Table4.17[[#This Row],[Net gas 24h, ml]]</f>
        <v>34.966282063928709</v>
      </c>
      <c r="W55" s="20">
        <f>Table4.17[[#This Row],[CH4 8h, ml]]</f>
        <v>1.9545801376745202</v>
      </c>
      <c r="X55" s="20">
        <f>Table4.17[[#This Row],[CH4 8-24h, ml]]</f>
        <v>1.9367507756300737</v>
      </c>
      <c r="Y55" s="20">
        <f>Table4.17[[#This Row],[CH4 24h, ml]]</f>
        <v>3.8913309133045937</v>
      </c>
      <c r="Z55" s="20">
        <f>Table4.17[[#This Row],[Gas ml/g DM Incubated, 24h]]</f>
        <v>73.758117478547121</v>
      </c>
      <c r="AA55" s="20">
        <f>Table4.17[[#This Row],[% DMD, Truly digestibility]]</f>
        <v>33.761657171224925</v>
      </c>
      <c r="AB55" s="20">
        <f>Table4.17[[#This Row],[Part Fact]]</f>
        <v>4.6192096093199675</v>
      </c>
      <c r="AC55" s="20">
        <f>Table4.17[[#This Row],[CH4 ml in gas, h8]]</f>
        <v>10.937499999999998</v>
      </c>
      <c r="AD55" s="20">
        <f>Table4.17[[#This Row],[CH4 ml in gas, 24h]]</f>
        <v>11.113607930554785</v>
      </c>
      <c r="AE55" s="20">
        <f>Table4.17[[#This Row],[CH4 ml/gDM incubated, 24h]]</f>
        <v>8.2083797902874984</v>
      </c>
      <c r="AF55" s="20">
        <f>Table4.17[[#This Row],[CH4 ml/g DMD, 24h2]]</f>
        <v>26.041577841319707</v>
      </c>
      <c r="AG55" s="20">
        <f>Table4.17[[#This Row],[CH4 ml/g NDF digested in 24 h]]</f>
        <v>-0.1847008942568536</v>
      </c>
      <c r="AH55" s="20">
        <f>Table4.17[[#This Row],[CH4 g/g DM incubated, 24h]]</f>
        <v>4.555792797100743</v>
      </c>
      <c r="AI55" s="20">
        <f>Table4.17[[#This Row],[Net gas 8-24h, ml]]</f>
        <v>17.119270589575823</v>
      </c>
    </row>
    <row r="56" spans="2:35" s="65" customFormat="1" x14ac:dyDescent="0.35">
      <c r="B56" s="62">
        <f t="shared" si="0"/>
        <v>46</v>
      </c>
      <c r="C56" s="42">
        <f>'1. Information samples'!C56</f>
        <v>46048</v>
      </c>
      <c r="D56" s="42" t="str">
        <f>'1. Information samples'!D56</f>
        <v>Genbank</v>
      </c>
      <c r="E56" s="59">
        <f>'1. Information samples'!E56</f>
        <v>28</v>
      </c>
      <c r="F56" s="42" t="str">
        <f>'1. Information samples'!F56</f>
        <v>F251770</v>
      </c>
      <c r="G56" s="42" t="str">
        <f>'1. Information samples'!G56</f>
        <v>CIAT-21888</v>
      </c>
      <c r="H56" s="42" t="str">
        <f>'1. Information samples'!H56</f>
        <v>Leucaena</v>
      </c>
      <c r="I56" s="42" t="str">
        <f>'1. Information samples'!I56</f>
        <v>leucocephala</v>
      </c>
      <c r="J56" s="42" t="str">
        <f>'1. Information samples'!J56</f>
        <v>Leucaena leucocephala</v>
      </c>
      <c r="K56" s="42" t="str">
        <f>'1. Information samples'!K56</f>
        <v>Fabaceae</v>
      </c>
      <c r="L56" s="42" t="str">
        <f>'1. Information samples'!L56</f>
        <v>Fabales</v>
      </c>
      <c r="M56" s="42" t="str">
        <f>'1. Information samples'!M56</f>
        <v>Tree</v>
      </c>
      <c r="N56" s="20">
        <f>Table95[[#This Row],[Av DM 105]]</f>
        <v>93.707200714635661</v>
      </c>
      <c r="O56" s="20">
        <f>Table95[[#This Row],[Av Ash, %]]</f>
        <v>9.1369708064726893</v>
      </c>
      <c r="P56" s="20">
        <f>'4.0 Result Quality Average'!P56</f>
        <v>90.863029193527311</v>
      </c>
      <c r="Q56" s="20">
        <f>'4.0 Result Quality Average'!Q56</f>
        <v>29.904588346217004</v>
      </c>
      <c r="R56" s="20">
        <f>'4.0 Result Quality Average'!R56</f>
        <v>29.904588346217004</v>
      </c>
      <c r="S56" s="20">
        <f>'4.0 Result Quality Average'!S56</f>
        <v>31.166699589735593</v>
      </c>
      <c r="T56" s="20">
        <f>Table4.17[[#This Row],[Net gas 8h, ml]]</f>
        <v>32.666945384739925</v>
      </c>
      <c r="U56" s="20">
        <f>Table4.17[[#This Row],[Net gas 8-24h, ml]]</f>
        <v>33.181224664651396</v>
      </c>
      <c r="V56" s="20">
        <f>Table4.17[[#This Row],[Net gas 24h, ml]]</f>
        <v>65.848170049391314</v>
      </c>
      <c r="W56" s="20">
        <f>Table4.17[[#This Row],[CH4 8h, ml]]</f>
        <v>3.6463510701913555</v>
      </c>
      <c r="X56" s="20">
        <f>Table4.17[[#This Row],[CH4 8-24h, ml]]</f>
        <v>4.7123140657507179</v>
      </c>
      <c r="Y56" s="20">
        <f>Table4.17[[#This Row],[CH4 24h, ml]]</f>
        <v>8.3586651359420738</v>
      </c>
      <c r="Z56" s="20">
        <f>Table4.17[[#This Row],[Gas ml/g DM Incubated, 24h]]</f>
        <v>140.46708493835189</v>
      </c>
      <c r="AA56" s="20">
        <f>Table4.17[[#This Row],[% DMD, Truly digestibility]]</f>
        <v>46.465629372037952</v>
      </c>
      <c r="AB56" s="20">
        <f>Table4.17[[#This Row],[Part Fact]]</f>
        <v>3.3297193783860242</v>
      </c>
      <c r="AC56" s="20">
        <f>Table4.17[[#This Row],[CH4 ml in gas, h8]]</f>
        <v>11.142857142857142</v>
      </c>
      <c r="AD56" s="20">
        <f>Table4.17[[#This Row],[CH4 ml in gas, 24h]]</f>
        <v>12.683136369278159</v>
      </c>
      <c r="AE56" s="20">
        <f>Table4.17[[#This Row],[CH4 ml/gDM incubated, 24h]]</f>
        <v>17.830762276493346</v>
      </c>
      <c r="AF56" s="20">
        <f>Table4.17[[#This Row],[CH4 ml/g DMD, 24h2]]</f>
        <v>39.882442482387965</v>
      </c>
      <c r="AG56" s="20">
        <f>Table4.17[[#This Row],[CH4 ml/g NDF digested in 24 h]]</f>
        <v>0.5290230164732479</v>
      </c>
      <c r="AH56" s="20">
        <f>Table4.17[[#This Row],[CH4 g/g DM incubated, 24h]]</f>
        <v>9.8963815541506346</v>
      </c>
      <c r="AI56" s="20">
        <f>Table4.17[[#This Row],[Net gas 8-24h, ml]]</f>
        <v>33.181224664651396</v>
      </c>
    </row>
    <row r="57" spans="2:35" s="65" customFormat="1" x14ac:dyDescent="0.35">
      <c r="B57" s="62">
        <f t="shared" si="0"/>
        <v>47</v>
      </c>
      <c r="C57" s="42">
        <f>'1. Information samples'!C57</f>
        <v>46048</v>
      </c>
      <c r="D57" s="42" t="str">
        <f>'1. Information samples'!D57</f>
        <v>Genbank</v>
      </c>
      <c r="E57" s="59">
        <f>'1. Information samples'!E57</f>
        <v>28</v>
      </c>
      <c r="F57" s="42" t="str">
        <f>'1. Information samples'!F57</f>
        <v>F251771</v>
      </c>
      <c r="G57" s="42" t="str">
        <f>'1. Information samples'!G57</f>
        <v>CIAT-22310</v>
      </c>
      <c r="H57" s="42" t="str">
        <f>'1. Information samples'!H57</f>
        <v>Calliandra</v>
      </c>
      <c r="I57" s="42" t="str">
        <f>'1. Information samples'!I57</f>
        <v>calothyrsus</v>
      </c>
      <c r="J57" s="42" t="str">
        <f>'1. Information samples'!J57</f>
        <v>Calliandra calothyrsus</v>
      </c>
      <c r="K57" s="42" t="str">
        <f>'1. Information samples'!K57</f>
        <v>Fabaceae</v>
      </c>
      <c r="L57" s="42" t="str">
        <f>'1. Information samples'!L57</f>
        <v>Fabales</v>
      </c>
      <c r="M57" s="42" t="str">
        <f>'1. Information samples'!M57</f>
        <v>Tree</v>
      </c>
      <c r="N57" s="20">
        <f>Table95[[#This Row],[Av DM 105]]</f>
        <v>94.860509898020354</v>
      </c>
      <c r="O57" s="20">
        <f>Table95[[#This Row],[Av Ash, %]]</f>
        <v>5.7130750355487638</v>
      </c>
      <c r="P57" s="20">
        <f>'4.0 Result Quality Average'!P57</f>
        <v>94.286924964451231</v>
      </c>
      <c r="Q57" s="20">
        <f>'4.0 Result Quality Average'!Q57</f>
        <v>21.754706236142574</v>
      </c>
      <c r="R57" s="20">
        <f>'4.0 Result Quality Average'!R57</f>
        <v>21.754706236142574</v>
      </c>
      <c r="S57" s="20">
        <f>'4.0 Result Quality Average'!S57</f>
        <v>52.180364738496685</v>
      </c>
      <c r="T57" s="20">
        <f>Table4.17[[#This Row],[Net gas 8h, ml]]</f>
        <v>17.738373956168498</v>
      </c>
      <c r="U57" s="20">
        <f>Table4.17[[#This Row],[Net gas 8-24h, ml]]</f>
        <v>11.966938950365682</v>
      </c>
      <c r="V57" s="20">
        <f>Table4.17[[#This Row],[Net gas 24h, ml]]</f>
        <v>29.705312906534175</v>
      </c>
      <c r="W57" s="20">
        <f>Table4.17[[#This Row],[CH4 8h, ml]]</f>
        <v>1.9336143557377643</v>
      </c>
      <c r="X57" s="20">
        <f>Table4.17[[#This Row],[CH4 8-24h, ml]]</f>
        <v>1.4872797184550983</v>
      </c>
      <c r="Y57" s="20">
        <f>Table4.17[[#This Row],[CH4 24h, ml]]</f>
        <v>3.4208940741928631</v>
      </c>
      <c r="Z57" s="20">
        <f>Table4.17[[#This Row],[Gas ml/g DM Incubated, 24h]]</f>
        <v>62.592501933137136</v>
      </c>
      <c r="AA57" s="20">
        <f>Table4.17[[#This Row],[% DMD, Truly digestibility]]</f>
        <v>22.649146487006615</v>
      </c>
      <c r="AB57" s="20">
        <f>Table4.17[[#This Row],[Part Fact]]</f>
        <v>3.6926187456563864</v>
      </c>
      <c r="AC57" s="20">
        <f>Table4.17[[#This Row],[CH4 ml in gas, h8]]</f>
        <v>10.885714285714284</v>
      </c>
      <c r="AD57" s="20">
        <f>Table4.17[[#This Row],[CH4 ml in gas, 24h]]</f>
        <v>11.491206061115658</v>
      </c>
      <c r="AE57" s="20">
        <f>Table4.17[[#This Row],[CH4 ml/gDM incubated, 24h]]</f>
        <v>7.2082276793898528</v>
      </c>
      <c r="AF57" s="20">
        <f>Table4.17[[#This Row],[CH4 ml/g DMD, 24h2]]</f>
        <v>32.879830277020254</v>
      </c>
      <c r="AG57" s="20">
        <f>Table4.17[[#This Row],[CH4 ml/g NDF digested in 24 h]]</f>
        <v>-8.6438953154680975E-2</v>
      </c>
      <c r="AH57" s="20">
        <f>Table4.17[[#This Row],[CH4 g/g DM incubated, 24h]]</f>
        <v>4.0006910718828106</v>
      </c>
      <c r="AI57" s="20">
        <f>Table4.17[[#This Row],[Net gas 8-24h, ml]]</f>
        <v>11.966938950365682</v>
      </c>
    </row>
    <row r="58" spans="2:35" s="65" customFormat="1" x14ac:dyDescent="0.35">
      <c r="B58" s="62">
        <f t="shared" si="0"/>
        <v>48</v>
      </c>
      <c r="C58" s="42">
        <f>'1. Information samples'!C58</f>
        <v>46048</v>
      </c>
      <c r="D58" s="42" t="str">
        <f>'1. Information samples'!D58</f>
        <v>Genbank</v>
      </c>
      <c r="E58" s="59">
        <f>'1. Information samples'!E58</f>
        <v>28</v>
      </c>
      <c r="F58" s="327" t="str">
        <f>'1. Information samples'!F58</f>
        <v>F251772</v>
      </c>
      <c r="G58" s="42" t="str">
        <f>'1. Information samples'!G58</f>
        <v>CIAT-22311</v>
      </c>
      <c r="H58" s="42" t="str">
        <f>'1. Information samples'!H58</f>
        <v>Calliandra</v>
      </c>
      <c r="I58" s="42" t="str">
        <f>'1. Information samples'!I58</f>
        <v>calothyrsus</v>
      </c>
      <c r="J58" s="42" t="str">
        <f>'1. Information samples'!J58</f>
        <v>Calliandra calothyrsus</v>
      </c>
      <c r="K58" s="42" t="str">
        <f>'1. Information samples'!K58</f>
        <v>Fabaceae</v>
      </c>
      <c r="L58" s="42" t="str">
        <f>'1. Information samples'!L58</f>
        <v>Fabales</v>
      </c>
      <c r="M58" s="42" t="str">
        <f>'1. Information samples'!M58</f>
        <v>Tree</v>
      </c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0"/>
      <c r="AI58" s="20"/>
    </row>
    <row r="59" spans="2:35" s="65" customFormat="1" x14ac:dyDescent="0.35">
      <c r="B59" s="62">
        <f t="shared" si="0"/>
        <v>49</v>
      </c>
      <c r="C59" s="42">
        <f>'1. Information samples'!C59</f>
        <v>46048</v>
      </c>
      <c r="D59" s="42" t="str">
        <f>'1. Information samples'!D59</f>
        <v>Genbank</v>
      </c>
      <c r="E59" s="59">
        <f>'1. Information samples'!E59</f>
        <v>28</v>
      </c>
      <c r="F59" s="42" t="str">
        <f>'1. Information samples'!F59</f>
        <v>F251773</v>
      </c>
      <c r="G59" s="42" t="str">
        <f>'1. Information samples'!G59</f>
        <v>CIAT-22316</v>
      </c>
      <c r="H59" s="42" t="str">
        <f>'1. Information samples'!H59</f>
        <v>Calliandra</v>
      </c>
      <c r="I59" s="42" t="str">
        <f>'1. Information samples'!I59</f>
        <v>calothyrsus</v>
      </c>
      <c r="J59" s="42" t="str">
        <f>'1. Information samples'!J59</f>
        <v>Calliandra calothyrsus</v>
      </c>
      <c r="K59" s="42" t="str">
        <f>'1. Information samples'!K59</f>
        <v>Fabaceae</v>
      </c>
      <c r="L59" s="42" t="str">
        <f>'1. Information samples'!L59</f>
        <v>Fabales</v>
      </c>
      <c r="M59" s="42" t="str">
        <f>'1. Information samples'!M59</f>
        <v>Tree</v>
      </c>
      <c r="N59" s="20">
        <f>Table95[[#This Row],[Av DM 105]]</f>
        <v>95.515899274813165</v>
      </c>
      <c r="O59" s="20">
        <f>Table95[[#This Row],[Av Ash, %]]</f>
        <v>8.6460479090756266</v>
      </c>
      <c r="P59" s="20">
        <f>'4.0 Result Quality Average'!P59</f>
        <v>91.353952090924366</v>
      </c>
      <c r="Q59" s="20">
        <f>'4.0 Result Quality Average'!Q59</f>
        <v>20.815955680729736</v>
      </c>
      <c r="R59" s="20">
        <f>'4.0 Result Quality Average'!R59</f>
        <v>20.815955680729736</v>
      </c>
      <c r="S59" s="20">
        <f>'4.0 Result Quality Average'!S59</f>
        <v>43.605486669064007</v>
      </c>
      <c r="T59" s="20">
        <f>Table4.17[[#This Row],[Net gas 8h, ml]]</f>
        <v>19.952659670454214</v>
      </c>
      <c r="U59" s="20">
        <f>Table4.17[[#This Row],[Net gas 8-24h, ml]]</f>
        <v>11.538367521794253</v>
      </c>
      <c r="V59" s="20">
        <f>Table4.17[[#This Row],[Net gas 24h, ml]]</f>
        <v>31.49102719224846</v>
      </c>
      <c r="W59" s="20">
        <f>Table4.17[[#This Row],[CH4 8h, ml]]</f>
        <v>2.4802168963094084</v>
      </c>
      <c r="X59" s="20">
        <f>Table4.17[[#This Row],[CH4 8-24h, ml]]</f>
        <v>1.4876109848802959</v>
      </c>
      <c r="Y59" s="20">
        <f>Table4.17[[#This Row],[CH4 24h, ml]]</f>
        <v>3.9678278811897045</v>
      </c>
      <c r="Z59" s="20">
        <f>Table4.17[[#This Row],[Gas ml/g DM Incubated, 24h]]</f>
        <v>65.906156690102677</v>
      </c>
      <c r="AA59" s="20">
        <f>Table4.17[[#This Row],[% DMD, Truly digestibility]]</f>
        <v>31.084893437778401</v>
      </c>
      <c r="AB59" s="20">
        <f>Table4.17[[#This Row],[Part Fact]]</f>
        <v>4.6271454897678623</v>
      </c>
      <c r="AC59" s="20">
        <f>Table4.17[[#This Row],[CH4 ml in gas, h8]]</f>
        <v>12.414285714285715</v>
      </c>
      <c r="AD59" s="20">
        <f>Table4.17[[#This Row],[CH4 ml in gas, 24h]]</f>
        <v>12.597825446794245</v>
      </c>
      <c r="AE59" s="20">
        <f>Table4.17[[#This Row],[CH4 ml/gDM incubated, 24h]]</f>
        <v>8.3040482889631857</v>
      </c>
      <c r="AF59" s="20">
        <f>Table4.17[[#This Row],[CH4 ml/g DMD, 24h2]]</f>
        <v>28.139288417763701</v>
      </c>
      <c r="AG59" s="20">
        <f>Table4.17[[#This Row],[CH4 ml/g NDF digested in 24 h]]</f>
        <v>-0.14173139270786503</v>
      </c>
      <c r="AH59" s="20">
        <f>Table4.17[[#This Row],[CH4 g/g DM incubated, 24h]]</f>
        <v>4.6088904690300865</v>
      </c>
      <c r="AI59" s="20">
        <f>Table4.17[[#This Row],[Net gas 8-24h, ml]]</f>
        <v>11.538367521794253</v>
      </c>
    </row>
    <row r="60" spans="2:35" s="65" customFormat="1" x14ac:dyDescent="0.35">
      <c r="B60" s="62">
        <f t="shared" si="0"/>
        <v>50</v>
      </c>
      <c r="C60" s="42">
        <f>'1. Information samples'!C60</f>
        <v>46048</v>
      </c>
      <c r="D60" s="42" t="str">
        <f>'1. Information samples'!D60</f>
        <v>Genbank</v>
      </c>
      <c r="E60" s="59">
        <f>'1. Information samples'!E60</f>
        <v>28</v>
      </c>
      <c r="F60" s="42" t="str">
        <f>'1. Information samples'!F60</f>
        <v>F251774</v>
      </c>
      <c r="G60" s="42" t="str">
        <f>'1. Information samples'!G60</f>
        <v>CIAT-23239</v>
      </c>
      <c r="H60" s="42" t="str">
        <f>'1. Information samples'!H60</f>
        <v>Dendrolobium</v>
      </c>
      <c r="I60" s="42" t="str">
        <f>'1. Information samples'!I60</f>
        <v>triangulare</v>
      </c>
      <c r="J60" s="42" t="str">
        <f>'1. Information samples'!J60</f>
        <v>Dendrolobium triangulare</v>
      </c>
      <c r="K60" s="42" t="str">
        <f>'1. Information samples'!K60</f>
        <v>Fabaceae</v>
      </c>
      <c r="L60" s="42" t="str">
        <f>'1. Information samples'!L60</f>
        <v>Fabales</v>
      </c>
      <c r="M60" s="42" t="str">
        <f>'1. Information samples'!M60</f>
        <v>Tree</v>
      </c>
      <c r="N60" s="20">
        <f>Table95[[#This Row],[Av DM 105]]</f>
        <v>95.855828293007932</v>
      </c>
      <c r="O60" s="20">
        <f>Table95[[#This Row],[Av Ash, %]]</f>
        <v>7.5515015518643622</v>
      </c>
      <c r="P60" s="20">
        <f>'4.0 Result Quality Average'!P60</f>
        <v>92.448498448135638</v>
      </c>
      <c r="Q60" s="20">
        <f>'4.0 Result Quality Average'!Q60</f>
        <v>20.355371333791691</v>
      </c>
      <c r="R60" s="20">
        <f>'4.0 Result Quality Average'!R60</f>
        <v>20.355371333791691</v>
      </c>
      <c r="S60" s="20">
        <f>'4.0 Result Quality Average'!S60</f>
        <v>53.215456991873658</v>
      </c>
      <c r="T60" s="20">
        <f>Table4.17[[#This Row],[Net gas 8h, ml]]</f>
        <v>25.881231099025644</v>
      </c>
      <c r="U60" s="20">
        <f>Table4.17[[#This Row],[Net gas 8-24h, ml]]</f>
        <v>23.681224664651392</v>
      </c>
      <c r="V60" s="20">
        <f>Table4.17[[#This Row],[Net gas 24h, ml]]</f>
        <v>49.562455763677029</v>
      </c>
      <c r="W60" s="20">
        <f>Table4.17[[#This Row],[CH4 8h, ml]]</f>
        <v>3.5723078912668993</v>
      </c>
      <c r="X60" s="20">
        <f>Table4.17[[#This Row],[CH4 8-24h, ml]]</f>
        <v>4.2085224979138163</v>
      </c>
      <c r="Y60" s="20">
        <f>Table4.17[[#This Row],[CH4 24h, ml]]</f>
        <v>7.7808303891807142</v>
      </c>
      <c r="Z60" s="20">
        <f>Table4.17[[#This Row],[Gas ml/g DM Incubated, 24h]]</f>
        <v>103.35602145186476</v>
      </c>
      <c r="AA60" s="20">
        <f>Table4.17[[#This Row],[% DMD, Truly digestibility]]</f>
        <v>22.687505927451124</v>
      </c>
      <c r="AB60" s="20">
        <f>Table4.17[[#This Row],[Part Fact]]</f>
        <v>2.218875970913821</v>
      </c>
      <c r="AC60" s="20">
        <f>Table4.17[[#This Row],[CH4 ml in gas, h8]]</f>
        <v>13.714285714285717</v>
      </c>
      <c r="AD60" s="20">
        <f>Table4.17[[#This Row],[CH4 ml in gas, 24h]]</f>
        <v>15.68189159041121</v>
      </c>
      <c r="AE60" s="20">
        <f>Table4.17[[#This Row],[CH4 ml/gDM incubated, 24h]]</f>
        <v>16.225938753999259</v>
      </c>
      <c r="AF60" s="20">
        <f>Table4.17[[#This Row],[CH4 ml/g DMD, 24h2]]</f>
        <v>72.825736900068364</v>
      </c>
      <c r="AG60" s="20">
        <f>Table4.17[[#This Row],[CH4 ml/g NDF digested in 24 h]]</f>
        <v>-0.47009318047513443</v>
      </c>
      <c r="AH60" s="20">
        <f>Table4.17[[#This Row],[CH4 g/g DM incubated, 24h]]</f>
        <v>9.0056767340535675</v>
      </c>
      <c r="AI60" s="20">
        <f>Table4.17[[#This Row],[Net gas 8-24h, ml]]</f>
        <v>23.681224664651392</v>
      </c>
    </row>
    <row r="61" spans="2:35" s="65" customFormat="1" x14ac:dyDescent="0.35">
      <c r="B61" s="62">
        <f t="shared" si="0"/>
        <v>51</v>
      </c>
      <c r="C61" s="42">
        <f>'1. Information samples'!C61</f>
        <v>46048</v>
      </c>
      <c r="D61" s="42" t="str">
        <f>'1. Information samples'!D61</f>
        <v>Genbank</v>
      </c>
      <c r="E61" s="59">
        <f>'1. Information samples'!E61</f>
        <v>28</v>
      </c>
      <c r="F61" s="42" t="str">
        <f>'1. Information samples'!F61</f>
        <v>F251775</v>
      </c>
      <c r="G61" s="42" t="str">
        <f>'1. Information samples'!G61</f>
        <v>CIAT-33116</v>
      </c>
      <c r="H61" s="42" t="str">
        <f>'1. Information samples'!H61</f>
        <v>Dendrolobium</v>
      </c>
      <c r="I61" s="42" t="str">
        <f>'1. Information samples'!I61</f>
        <v>triangulare</v>
      </c>
      <c r="J61" s="42" t="str">
        <f>'1. Information samples'!J61</f>
        <v>Dendrolobium triangulare</v>
      </c>
      <c r="K61" s="42" t="str">
        <f>'1. Information samples'!K61</f>
        <v>Fabaceae</v>
      </c>
      <c r="L61" s="42" t="str">
        <f>'1. Information samples'!L61</f>
        <v>Fabales</v>
      </c>
      <c r="M61" s="42" t="str">
        <f>'1. Information samples'!M61</f>
        <v>Tree</v>
      </c>
      <c r="N61" s="20">
        <f>Table95[[#This Row],[Av DM 105]]</f>
        <v>95.631092715776646</v>
      </c>
      <c r="O61" s="20">
        <f>Table95[[#This Row],[Av Ash, %]]</f>
        <v>7.8824880892774889</v>
      </c>
      <c r="P61" s="20">
        <f>'4.0 Result Quality Average'!P61</f>
        <v>92.117511910722513</v>
      </c>
      <c r="Q61" s="20">
        <f>'4.0 Result Quality Average'!Q61</f>
        <v>18.299339394295366</v>
      </c>
      <c r="R61" s="20">
        <f>'4.0 Result Quality Average'!R61</f>
        <v>18.299339394295366</v>
      </c>
      <c r="S61" s="20">
        <f>'4.0 Result Quality Average'!S61</f>
        <v>56.563412217914511</v>
      </c>
      <c r="T61" s="20">
        <f>Table4.17[[#This Row],[Net gas 8h, ml]]</f>
        <v>24.135227367088579</v>
      </c>
      <c r="U61" s="20">
        <f>Table4.17[[#This Row],[Net gas 8-24h, ml]]</f>
        <v>17.250220610995619</v>
      </c>
      <c r="V61" s="20">
        <f>Table4.17[[#This Row],[Net gas 24h, ml]]</f>
        <v>41.385447978084201</v>
      </c>
      <c r="W61" s="20">
        <f>Table4.17[[#This Row],[CH4 8h, ml]]</f>
        <v>3.3855033036924196</v>
      </c>
      <c r="X61" s="20">
        <f>Table4.17[[#This Row],[CH4 8-24h, ml]]</f>
        <v>3.0051973417230236</v>
      </c>
      <c r="Y61" s="20">
        <f>Table4.17[[#This Row],[CH4 24h, ml]]</f>
        <v>6.3907006454154427</v>
      </c>
      <c r="Z61" s="20">
        <f>Table4.17[[#This Row],[Gas ml/g DM Incubated, 24h]]</f>
        <v>86.487348921289069</v>
      </c>
      <c r="AA61" s="20">
        <f>Table4.17[[#This Row],[% DMD, Truly digestibility]]</f>
        <v>26.214171214764956</v>
      </c>
      <c r="AB61" s="20">
        <f>Table4.17[[#This Row],[Part Fact]]</f>
        <v>3.0780689056752788</v>
      </c>
      <c r="AC61" s="20">
        <f>Table4.17[[#This Row],[CH4 ml in gas, h8]]</f>
        <v>13.879999999999999</v>
      </c>
      <c r="AD61" s="20">
        <f>Table4.17[[#This Row],[CH4 ml in gas, 24h]]</f>
        <v>15.407267408519763</v>
      </c>
      <c r="AE61" s="20">
        <f>Table4.17[[#This Row],[CH4 ml/gDM incubated, 24h]]</f>
        <v>13.355359193733033</v>
      </c>
      <c r="AF61" s="20">
        <f>Table4.17[[#This Row],[CH4 ml/g DMD, 24h2]]</f>
        <v>51.54755743640122</v>
      </c>
      <c r="AG61" s="20">
        <f>Table4.17[[#This Row],[CH4 ml/g NDF digested in 24 h]]</f>
        <v>-0.57758878419370918</v>
      </c>
      <c r="AH61" s="20">
        <f>Table4.17[[#This Row],[CH4 g/g DM incubated, 24h]]</f>
        <v>7.41245541409958</v>
      </c>
      <c r="AI61" s="20">
        <f>Table4.17[[#This Row],[Net gas 8-24h, ml]]</f>
        <v>17.250220610995619</v>
      </c>
    </row>
    <row r="62" spans="2:35" s="65" customFormat="1" x14ac:dyDescent="0.35">
      <c r="B62" s="62">
        <f t="shared" si="0"/>
        <v>52</v>
      </c>
      <c r="C62" s="42">
        <f>'1. Information samples'!C62</f>
        <v>46048</v>
      </c>
      <c r="D62" s="42" t="str">
        <f>'1. Information samples'!D62</f>
        <v>Genbank</v>
      </c>
      <c r="E62" s="59">
        <f>'1. Information samples'!E62</f>
        <v>28</v>
      </c>
      <c r="F62" s="42" t="str">
        <f>'1. Information samples'!F62</f>
        <v>F252184</v>
      </c>
      <c r="G62" s="42" t="str">
        <f>'1. Information samples'!G62</f>
        <v>CIAT-BH22_0303</v>
      </c>
      <c r="H62" s="42" t="str">
        <f>'1. Information samples'!H62</f>
        <v>Urochloa</v>
      </c>
      <c r="I62" s="42" t="str">
        <f>'1. Information samples'!I62</f>
        <v>humidicola</v>
      </c>
      <c r="J62" s="42" t="str">
        <f>'1. Information samples'!J62</f>
        <v>Urochloa humidicola</v>
      </c>
      <c r="K62" s="42" t="str">
        <f>'1. Information samples'!K62</f>
        <v>Poaceae</v>
      </c>
      <c r="L62" s="42" t="str">
        <f>'1. Information samples'!L62</f>
        <v>Poales</v>
      </c>
      <c r="M62" s="42" t="str">
        <f>'1. Information samples'!M62</f>
        <v>grasses</v>
      </c>
      <c r="N62" s="20">
        <f>Table95[[#This Row],[Av DM 105]]</f>
        <v>94.841290164440437</v>
      </c>
      <c r="O62" s="20">
        <f>Table95[[#This Row],[Av Ash, %]]</f>
        <v>9.5082490656305918</v>
      </c>
      <c r="P62" s="20">
        <f>'4.0 Result Quality Average'!P62</f>
        <v>90.491750934369406</v>
      </c>
      <c r="Q62" s="20">
        <f>'4.0 Result Quality Average'!Q62</f>
        <v>8.0229961856412029</v>
      </c>
      <c r="R62" s="20">
        <f>'4.0 Result Quality Average'!R62</f>
        <v>8.0243727363164616</v>
      </c>
      <c r="S62" s="20">
        <f>'4.0 Result Quality Average'!S62</f>
        <v>32.561605963080488</v>
      </c>
      <c r="T62" s="20">
        <f>Table4.17[[#This Row],[Net gas 8h, ml]]</f>
        <v>37.162980632533511</v>
      </c>
      <c r="U62" s="20">
        <f>Table4.17[[#This Row],[Net gas 8-24h, ml]]</f>
        <v>51.714849157944435</v>
      </c>
      <c r="V62" s="20">
        <f>Table4.17[[#This Row],[Net gas 24h, ml]]</f>
        <v>88.877829790477932</v>
      </c>
      <c r="W62" s="20">
        <f>Table4.17[[#This Row],[CH4 8h, ml]]</f>
        <v>5.2374209805648935</v>
      </c>
      <c r="X62" s="20">
        <f>Table4.17[[#This Row],[CH4 8-24h, ml]]</f>
        <v>7.9524688684679719</v>
      </c>
      <c r="Y62" s="20">
        <f>Table4.17[[#This Row],[CH4 24h, ml]]</f>
        <v>13.189889849032866</v>
      </c>
      <c r="Z62" s="20">
        <f>Table4.17[[#This Row],[Gas ml/g DM Incubated, 24h]]</f>
        <v>187.33780037489527</v>
      </c>
      <c r="AA62" s="20">
        <f>Table4.17[[#This Row],[% DMD, Truly digestibility]]</f>
        <v>22.130725739094657</v>
      </c>
      <c r="AB62" s="20">
        <f>Table4.17[[#This Row],[Part Fact]]</f>
        <v>1.1945339899088354</v>
      </c>
      <c r="AC62" s="20">
        <f>Table4.17[[#This Row],[CH4 ml in gas, h8]]</f>
        <v>14.060000000000002</v>
      </c>
      <c r="AD62" s="20">
        <f>Table4.17[[#This Row],[CH4 ml in gas, 24h]]</f>
        <v>14.791789287543278</v>
      </c>
      <c r="AE62" s="20">
        <f>Table4.17[[#This Row],[CH4 ml/gDM incubated, 24h]]</f>
        <v>27.802048947389313</v>
      </c>
      <c r="AF62" s="20">
        <f>Table4.17[[#This Row],[CH4 ml/g DMD, 24h2]]</f>
        <v>129.30032259499978</v>
      </c>
      <c r="AG62" s="20">
        <f>Table4.17[[#This Row],[CH4 ml/g NDF digested in 24 h]]</f>
        <v>-1.0689209242345334</v>
      </c>
      <c r="AH62" s="20">
        <f>Table4.17[[#This Row],[CH4 g/g DM incubated, 24h]]</f>
        <v>15.430618170108115</v>
      </c>
      <c r="AI62" s="20">
        <f>Table4.17[[#This Row],[Net gas 8-24h, ml]]</f>
        <v>51.714849157944435</v>
      </c>
    </row>
    <row r="63" spans="2:35" s="65" customFormat="1" x14ac:dyDescent="0.35">
      <c r="B63" s="62">
        <f t="shared" si="0"/>
        <v>53</v>
      </c>
      <c r="C63" s="42">
        <f>'1. Information samples'!C63</f>
        <v>46048</v>
      </c>
      <c r="D63" s="42" t="str">
        <f>'1. Information samples'!D63</f>
        <v>Genbank</v>
      </c>
      <c r="E63" s="59">
        <f>'1. Information samples'!E63</f>
        <v>28</v>
      </c>
      <c r="F63" s="42" t="str">
        <f>'1. Information samples'!F63</f>
        <v>F252185</v>
      </c>
      <c r="G63" s="42" t="str">
        <f>'1. Information samples'!G63</f>
        <v>CIAT-BH22_1594</v>
      </c>
      <c r="H63" s="42" t="str">
        <f>'1. Information samples'!H63</f>
        <v>Urochloa</v>
      </c>
      <c r="I63" s="42" t="str">
        <f>'1. Information samples'!I63</f>
        <v>humidicola</v>
      </c>
      <c r="J63" s="42" t="str">
        <f>'1. Information samples'!J63</f>
        <v>Urochloa humidicola</v>
      </c>
      <c r="K63" s="42" t="str">
        <f>'1. Information samples'!K63</f>
        <v>Poaceae</v>
      </c>
      <c r="L63" s="42" t="str">
        <f>'1. Information samples'!L63</f>
        <v>Poales</v>
      </c>
      <c r="M63" s="42" t="str">
        <f>'1. Information samples'!M63</f>
        <v>grasses</v>
      </c>
      <c r="N63" s="20">
        <f>Table95[[#This Row],[Av DM 105]]</f>
        <v>95.075959616153568</v>
      </c>
      <c r="O63" s="20">
        <f>Table95[[#This Row],[Av Ash, %]]</f>
        <v>11.588442457308311</v>
      </c>
      <c r="P63" s="20">
        <f>'4.0 Result Quality Average'!P63</f>
        <v>88.411557542691696</v>
      </c>
      <c r="Q63" s="20">
        <f>'4.0 Result Quality Average'!Q63</f>
        <v>8.0474660562403315</v>
      </c>
      <c r="R63" s="20">
        <f>'4.0 Result Quality Average'!R63</f>
        <v>7.956214446940522</v>
      </c>
      <c r="S63" s="20">
        <f>'4.0 Result Quality Average'!S63</f>
        <v>34.124477797431481</v>
      </c>
      <c r="T63" s="20">
        <f>Table4.17[[#This Row],[Net gas 8h, ml]]</f>
        <v>35.010190598589311</v>
      </c>
      <c r="U63" s="20">
        <f>Table4.17[[#This Row],[Net gas 8-24h, ml]]</f>
        <v>53.180496764752171</v>
      </c>
      <c r="V63" s="20">
        <f>Table4.17[[#This Row],[Net gas 24h, ml]]</f>
        <v>88.190687363341468</v>
      </c>
      <c r="W63" s="20">
        <f>Table4.17[[#This Row],[CH4 8h, ml]]</f>
        <v>5.0107220162056771</v>
      </c>
      <c r="X63" s="20">
        <f>Table4.17[[#This Row],[CH4 8-24h, ml]]</f>
        <v>8.1752903183577317</v>
      </c>
      <c r="Y63" s="20">
        <f>Table4.17[[#This Row],[CH4 24h, ml]]</f>
        <v>13.18601233456341</v>
      </c>
      <c r="Z63" s="20">
        <f>Table4.17[[#This Row],[Gas ml/g DM Incubated, 24h]]</f>
        <v>185.41227065757326</v>
      </c>
      <c r="AA63" s="20">
        <f>Table4.17[[#This Row],[% DMD, Truly digestibility]]</f>
        <v>37.184905276988815</v>
      </c>
      <c r="AB63" s="20">
        <f>Table4.17[[#This Row],[Part Fact]]</f>
        <v>1.9962373517486658</v>
      </c>
      <c r="AC63" s="20">
        <f>Table4.17[[#This Row],[CH4 ml in gas, h8]]</f>
        <v>14.283333333333333</v>
      </c>
      <c r="AD63" s="20">
        <f>Table4.17[[#This Row],[CH4 ml in gas, 24h]]</f>
        <v>14.907285721505138</v>
      </c>
      <c r="AE63" s="20">
        <f>Table4.17[[#This Row],[CH4 ml/gDM incubated, 24h]]</f>
        <v>27.722391101589896</v>
      </c>
      <c r="AF63" s="20">
        <f>Table4.17[[#This Row],[CH4 ml/g DMD, 24h2]]</f>
        <v>77.175412895413942</v>
      </c>
      <c r="AG63" s="20">
        <f>Table4.17[[#This Row],[CH4 ml/g NDF digested in 24 h]]</f>
        <v>1.649834992613995</v>
      </c>
      <c r="AH63" s="20">
        <f>Table4.17[[#This Row],[CH4 g/g DM incubated, 24h]]</f>
        <v>15.386406687526017</v>
      </c>
      <c r="AI63" s="20">
        <f>Table4.17[[#This Row],[Net gas 8-24h, ml]]</f>
        <v>53.180496764752171</v>
      </c>
    </row>
    <row r="64" spans="2:35" s="65" customFormat="1" x14ac:dyDescent="0.35">
      <c r="B64" s="62">
        <f t="shared" si="0"/>
        <v>54</v>
      </c>
      <c r="C64" s="42">
        <f>'1. Information samples'!C64</f>
        <v>46048</v>
      </c>
      <c r="D64" s="42" t="str">
        <f>'1. Information samples'!D64</f>
        <v>Genbank</v>
      </c>
      <c r="E64" s="59">
        <f>'1. Information samples'!E64</f>
        <v>28</v>
      </c>
      <c r="F64" s="42" t="str">
        <f>'1. Information samples'!F64</f>
        <v>F252186</v>
      </c>
      <c r="G64" s="42" t="str">
        <f>'1. Information samples'!G64</f>
        <v>CIAT-BH22_0468</v>
      </c>
      <c r="H64" s="42" t="str">
        <f>'1. Information samples'!H64</f>
        <v>Urochloa</v>
      </c>
      <c r="I64" s="42" t="str">
        <f>'1. Information samples'!I64</f>
        <v>humidicola</v>
      </c>
      <c r="J64" s="42" t="str">
        <f>'1. Information samples'!J64</f>
        <v>Urochloa humidicola</v>
      </c>
      <c r="K64" s="42" t="str">
        <f>'1. Information samples'!K64</f>
        <v>Poaceae</v>
      </c>
      <c r="L64" s="42" t="str">
        <f>'1. Information samples'!L64</f>
        <v>Poales</v>
      </c>
      <c r="M64" s="42" t="str">
        <f>'1. Information samples'!M64</f>
        <v>grasses</v>
      </c>
      <c r="N64" s="20">
        <f>Table95[[#This Row],[Av DM 105]]</f>
        <v>96.020599399768003</v>
      </c>
      <c r="O64" s="20">
        <f>Table95[[#This Row],[Av Ash, %]]</f>
        <v>10.673190774237739</v>
      </c>
      <c r="P64" s="20">
        <f>'4.0 Result Quality Average'!P64</f>
        <v>89.326809225762261</v>
      </c>
      <c r="Q64" s="20">
        <f>'4.0 Result Quality Average'!Q64</f>
        <v>9.5768284222095428</v>
      </c>
      <c r="R64" s="20">
        <f>'4.0 Result Quality Average'!R64</f>
        <v>9.5938843043388999</v>
      </c>
      <c r="S64" s="20">
        <f>'4.0 Result Quality Average'!S64</f>
        <v>33.959598757120148</v>
      </c>
      <c r="T64" s="20">
        <f>Table4.17[[#This Row],[Net gas 8h, ml]]</f>
        <v>32.534511474352897</v>
      </c>
      <c r="U64" s="20">
        <f>Table4.17[[#This Row],[Net gas 8-24h, ml]]</f>
        <v>48.681770589575834</v>
      </c>
      <c r="V64" s="20">
        <f>Table4.17[[#This Row],[Net gas 24h, ml]]</f>
        <v>81.216282063928716</v>
      </c>
      <c r="W64" s="20">
        <f>Table4.17[[#This Row],[CH4 8h, ml]]</f>
        <v>4.681343228392449</v>
      </c>
      <c r="X64" s="20">
        <f>Table4.17[[#This Row],[CH4 8-24h, ml]]</f>
        <v>7.3785925582481546</v>
      </c>
      <c r="Y64" s="20">
        <f>Table4.17[[#This Row],[CH4 24h, ml]]</f>
        <v>12.059935786640601</v>
      </c>
      <c r="Z64" s="20">
        <f>Table4.17[[#This Row],[Gas ml/g DM Incubated, 24h]]</f>
        <v>169.11427789730743</v>
      </c>
      <c r="AA64" s="20">
        <f>Table4.17[[#This Row],[% DMD, Truly digestibility]]</f>
        <v>34.625417931129547</v>
      </c>
      <c r="AB64" s="20">
        <f>Table4.17[[#This Row],[Part Fact]]</f>
        <v>2.0644122126132434</v>
      </c>
      <c r="AC64" s="20">
        <f>Table4.17[[#This Row],[CH4 ml in gas, h8]]</f>
        <v>14.35</v>
      </c>
      <c r="AD64" s="20">
        <f>Table4.17[[#This Row],[CH4 ml in gas, 24h]]</f>
        <v>14.804795428944267</v>
      </c>
      <c r="AE64" s="20">
        <f>Table4.17[[#This Row],[CH4 ml/gDM incubated, 24h]]</f>
        <v>25.112046740388855</v>
      </c>
      <c r="AF64" s="20">
        <f>Table4.17[[#This Row],[CH4 ml/g DMD, 24h2]]</f>
        <v>75.498377743803516</v>
      </c>
      <c r="AG64" s="20">
        <f>Table4.17[[#This Row],[CH4 ml/g NDF digested in 24 h]]</f>
        <v>0.13208446785932823</v>
      </c>
      <c r="AH64" s="20">
        <f>Table4.17[[#This Row],[CH4 g/g DM incubated, 24h]]</f>
        <v>13.937620405392293</v>
      </c>
      <c r="AI64" s="20">
        <f>Table4.17[[#This Row],[Net gas 8-24h, ml]]</f>
        <v>48.681770589575834</v>
      </c>
    </row>
    <row r="65" spans="2:35" s="65" customFormat="1" x14ac:dyDescent="0.35">
      <c r="B65" s="62">
        <f t="shared" si="0"/>
        <v>55</v>
      </c>
      <c r="C65" s="42">
        <f>'1. Information samples'!C65</f>
        <v>46048</v>
      </c>
      <c r="D65" s="42" t="str">
        <f>'1. Information samples'!D65</f>
        <v>Genbank</v>
      </c>
      <c r="E65" s="59">
        <f>'1. Information samples'!E65</f>
        <v>28</v>
      </c>
      <c r="F65" s="42" t="str">
        <f>'1. Information samples'!F65</f>
        <v>F252187</v>
      </c>
      <c r="G65" s="42" t="str">
        <f>'1. Information samples'!G65</f>
        <v>CIAT-BH22_3830</v>
      </c>
      <c r="H65" s="42" t="str">
        <f>'1. Information samples'!H65</f>
        <v>Urochloa</v>
      </c>
      <c r="I65" s="42" t="str">
        <f>'1. Information samples'!I65</f>
        <v>humidicola</v>
      </c>
      <c r="J65" s="42" t="str">
        <f>'1. Information samples'!J65</f>
        <v>Urochloa humidicola</v>
      </c>
      <c r="K65" s="42" t="str">
        <f>'1. Information samples'!K65</f>
        <v>Poaceae</v>
      </c>
      <c r="L65" s="42" t="str">
        <f>'1. Information samples'!L65</f>
        <v>Poales</v>
      </c>
      <c r="M65" s="42" t="str">
        <f>'1. Information samples'!M65</f>
        <v>grasses</v>
      </c>
      <c r="N65" s="20">
        <f>Table95[[#This Row],[Av DM 105]]</f>
        <v>95.960403959604008</v>
      </c>
      <c r="O65" s="20">
        <f>Table95[[#This Row],[Av Ash, %]]</f>
        <v>10.190684588934079</v>
      </c>
      <c r="P65" s="20">
        <f>'4.0 Result Quality Average'!P65</f>
        <v>89.809315411065924</v>
      </c>
      <c r="Q65" s="20">
        <f>'4.0 Result Quality Average'!Q65</f>
        <v>8.1087803447301283</v>
      </c>
      <c r="R65" s="20">
        <f>'4.0 Result Quality Average'!R65</f>
        <v>8.0395675459505505</v>
      </c>
      <c r="S65" s="20">
        <f>'4.0 Result Quality Average'!S65</f>
        <v>32.617685081512136</v>
      </c>
      <c r="T65" s="20">
        <f>Table4.17[[#This Row],[Net gas 8h, ml]]</f>
        <v>40.510190598589311</v>
      </c>
      <c r="U65" s="20">
        <f>Table4.17[[#This Row],[Net gas 8-24h, ml]]</f>
        <v>56.847163431418835</v>
      </c>
      <c r="V65" s="20">
        <f>Table4.17[[#This Row],[Net gas 24h, ml]]</f>
        <v>97.357354030008139</v>
      </c>
      <c r="W65" s="20">
        <f>Table4.17[[#This Row],[CH4 8h, ml]]</f>
        <v>5.6357777268766895</v>
      </c>
      <c r="X65" s="20">
        <f>Table4.17[[#This Row],[CH4 8-24h, ml]]</f>
        <v>8.7807939578572292</v>
      </c>
      <c r="Y65" s="20">
        <f>Table4.17[[#This Row],[CH4 24h, ml]]</f>
        <v>14.416571684733919</v>
      </c>
      <c r="Z65" s="20">
        <f>Table4.17[[#This Row],[Gas ml/g DM Incubated, 24h]]</f>
        <v>202.78463343912358</v>
      </c>
      <c r="AA65" s="20">
        <f>Table4.17[[#This Row],[% DMD, Truly digestibility]]</f>
        <v>40.796890097599679</v>
      </c>
      <c r="AB65" s="20">
        <f>Table4.17[[#This Row],[Part Fact]]</f>
        <v>2.0007172099310773</v>
      </c>
      <c r="AC65" s="20">
        <f>Table4.17[[#This Row],[CH4 ml in gas, h8]]</f>
        <v>13.9</v>
      </c>
      <c r="AD65" s="20">
        <f>Table4.17[[#This Row],[CH4 ml in gas, 24h]]</f>
        <v>14.784739633137351</v>
      </c>
      <c r="AE65" s="20">
        <f>Table4.17[[#This Row],[CH4 ml/gDM incubated, 24h]]</f>
        <v>30.0283995357096</v>
      </c>
      <c r="AF65" s="20">
        <f>Table4.17[[#This Row],[CH4 ml/g DMD, 24h2]]</f>
        <v>75.102542470285442</v>
      </c>
      <c r="AG65" s="20">
        <f>Table4.17[[#This Row],[CH4 ml/g NDF digested in 24 h]]</f>
        <v>0.76123828954858952</v>
      </c>
      <c r="AH65" s="20">
        <f>Table4.17[[#This Row],[CH4 g/g DM incubated, 24h]]</f>
        <v>16.666281264802148</v>
      </c>
      <c r="AI65" s="20">
        <f>Table4.17[[#This Row],[Net gas 8-24h, ml]]</f>
        <v>56.847163431418835</v>
      </c>
    </row>
    <row r="66" spans="2:35" s="65" customFormat="1" x14ac:dyDescent="0.35">
      <c r="B66" s="62">
        <f t="shared" si="0"/>
        <v>56</v>
      </c>
      <c r="C66" s="42">
        <f>'1. Information samples'!C66</f>
        <v>46048</v>
      </c>
      <c r="D66" s="42" t="str">
        <f>'1. Information samples'!D66</f>
        <v>Genbank</v>
      </c>
      <c r="E66" s="59">
        <f>'1. Information samples'!E66</f>
        <v>28</v>
      </c>
      <c r="F66" s="42" t="str">
        <f>'1. Information samples'!F66</f>
        <v>F252188</v>
      </c>
      <c r="G66" s="42" t="str">
        <f>'1. Information samples'!G66</f>
        <v>CIAT-BH22_1710</v>
      </c>
      <c r="H66" s="42" t="str">
        <f>'1. Information samples'!H66</f>
        <v>Urochloa</v>
      </c>
      <c r="I66" s="42" t="str">
        <f>'1. Information samples'!I66</f>
        <v>humidicola</v>
      </c>
      <c r="J66" s="42" t="str">
        <f>'1. Information samples'!J66</f>
        <v>Urochloa humidicola</v>
      </c>
      <c r="K66" s="42" t="str">
        <f>'1. Information samples'!K66</f>
        <v>Poaceae</v>
      </c>
      <c r="L66" s="42" t="str">
        <f>'1. Information samples'!L66</f>
        <v>Poales</v>
      </c>
      <c r="M66" s="42" t="str">
        <f>'1. Information samples'!M66</f>
        <v>grasses</v>
      </c>
      <c r="N66" s="20">
        <f>Table95[[#This Row],[Av DM 105]]</f>
        <v>97.27027297270277</v>
      </c>
      <c r="O66" s="20">
        <f>Table95[[#This Row],[Av Ash, %]]</f>
        <v>9.9403782894737045</v>
      </c>
      <c r="P66" s="20">
        <f>'4.0 Result Quality Average'!P66</f>
        <v>90.059621710526301</v>
      </c>
      <c r="Q66" s="20">
        <f>'4.0 Result Quality Average'!Q66</f>
        <v>7.6003872158442771</v>
      </c>
      <c r="R66" s="20">
        <f>'4.0 Result Quality Average'!R66</f>
        <v>7.5583491812288406</v>
      </c>
      <c r="S66" s="20">
        <f>'4.0 Result Quality Average'!S66</f>
        <v>34.968255876968591</v>
      </c>
      <c r="T66" s="20">
        <f>Table4.17[[#This Row],[Net gas 8h, ml]]</f>
        <v>35.309802527597071</v>
      </c>
      <c r="U66" s="20">
        <f>Table4.17[[#This Row],[Net gas 8-24h, ml]]</f>
        <v>51.466938950365694</v>
      </c>
      <c r="V66" s="20">
        <f>Table4.17[[#This Row],[Net gas 24h, ml]]</f>
        <v>86.776741477962759</v>
      </c>
      <c r="W66" s="20">
        <f>Table4.17[[#This Row],[CH4 8h, ml]]</f>
        <v>4.9303389454835198</v>
      </c>
      <c r="X66" s="20">
        <f>Table4.17[[#This Row],[CH4 8-24h, ml]]</f>
        <v>7.8154971813667595</v>
      </c>
      <c r="Y66" s="20">
        <f>Table4.17[[#This Row],[CH4 24h, ml]]</f>
        <v>12.74583612685028</v>
      </c>
      <c r="Z66" s="20">
        <f>Table4.17[[#This Row],[Gas ml/g DM Incubated, 24h]]</f>
        <v>178.33605663790541</v>
      </c>
      <c r="AA66" s="20">
        <f>Table4.17[[#This Row],[% DMD, Truly digestibility]]</f>
        <v>36.111171606595633</v>
      </c>
      <c r="AB66" s="20">
        <f>Table4.17[[#This Row],[Part Fact]]</f>
        <v>2.0348665717124441</v>
      </c>
      <c r="AC66" s="20">
        <f>Table4.17[[#This Row],[CH4 ml in gas, h8]]</f>
        <v>13.942857142857145</v>
      </c>
      <c r="AD66" s="20">
        <f>Table4.17[[#This Row],[CH4 ml in gas, 24h]]</f>
        <v>14.66138453159744</v>
      </c>
      <c r="AE66" s="20">
        <f>Table4.17[[#This Row],[CH4 ml/gDM incubated, 24h]]</f>
        <v>26.194265227542331</v>
      </c>
      <c r="AF66" s="20">
        <f>Table4.17[[#This Row],[CH4 ml/g DMD, 24h2]]</f>
        <v>73.820963457696479</v>
      </c>
      <c r="AG66" s="20">
        <f>Table4.17[[#This Row],[CH4 ml/g NDF digested in 24 h]]</f>
        <v>-9.6345744030138114</v>
      </c>
      <c r="AH66" s="20">
        <f>Table4.17[[#This Row],[CH4 g/g DM incubated, 24h]]</f>
        <v>14.53827038926571</v>
      </c>
      <c r="AI66" s="20">
        <f>Table4.17[[#This Row],[Net gas 8-24h, ml]]</f>
        <v>51.466938950365694</v>
      </c>
    </row>
    <row r="67" spans="2:35" s="65" customFormat="1" x14ac:dyDescent="0.35">
      <c r="B67" s="62">
        <f t="shared" si="0"/>
        <v>57</v>
      </c>
      <c r="C67" s="42">
        <f>'1. Information samples'!C67</f>
        <v>46048</v>
      </c>
      <c r="D67" s="42" t="str">
        <f>'1. Information samples'!D67</f>
        <v>Genbank</v>
      </c>
      <c r="E67" s="59">
        <f>'1. Information samples'!E67</f>
        <v>28</v>
      </c>
      <c r="F67" s="42" t="str">
        <f>'1. Information samples'!F67</f>
        <v>F252189</v>
      </c>
      <c r="G67" s="42" t="str">
        <f>'1. Information samples'!G67</f>
        <v>CIAT-BH22_2365</v>
      </c>
      <c r="H67" s="42" t="str">
        <f>'1. Information samples'!H67</f>
        <v>Urochloa</v>
      </c>
      <c r="I67" s="42" t="str">
        <f>'1. Information samples'!I67</f>
        <v>humidicola</v>
      </c>
      <c r="J67" s="42" t="str">
        <f>'1. Information samples'!J67</f>
        <v>Urochloa humidicola</v>
      </c>
      <c r="K67" s="42" t="str">
        <f>'1. Information samples'!K67</f>
        <v>Poaceae</v>
      </c>
      <c r="L67" s="42" t="str">
        <f>'1. Information samples'!L67</f>
        <v>Poales</v>
      </c>
      <c r="M67" s="42" t="str">
        <f>'1. Information samples'!M67</f>
        <v>grasses</v>
      </c>
      <c r="N67" s="20">
        <f>Table95[[#This Row],[Av DM 105]]</f>
        <v>97.099999999999966</v>
      </c>
      <c r="O67" s="20">
        <f>Table95[[#This Row],[Av Ash, %]]</f>
        <v>12.342945417095738</v>
      </c>
      <c r="P67" s="20">
        <f>'4.0 Result Quality Average'!P67</f>
        <v>87.657054582904266</v>
      </c>
      <c r="Q67" s="20">
        <f>'4.0 Result Quality Average'!Q67</f>
        <v>10.017195066781124</v>
      </c>
      <c r="R67" s="20">
        <f>'4.0 Result Quality Average'!R67</f>
        <v>9.9837827915039128</v>
      </c>
      <c r="S67" s="20">
        <f>'4.0 Result Quality Average'!S67</f>
        <v>31.845743086172039</v>
      </c>
      <c r="T67" s="20">
        <f>Table4.17[[#This Row],[Net gas 8h, ml]]</f>
        <v>35.69073389797844</v>
      </c>
      <c r="U67" s="20">
        <f>Table4.17[[#This Row],[Net gas 8-24h, ml]]</f>
        <v>51.979477704893235</v>
      </c>
      <c r="V67" s="20">
        <f>Table4.17[[#This Row],[Net gas 24h, ml]]</f>
        <v>87.67021160287166</v>
      </c>
      <c r="W67" s="20">
        <f>Table4.17[[#This Row],[CH4 8h, ml]]</f>
        <v>5.0019362261243128</v>
      </c>
      <c r="X67" s="20">
        <f>Table4.17[[#This Row],[CH4 8-24h, ml]]</f>
        <v>7.6764404310693335</v>
      </c>
      <c r="Y67" s="20">
        <f>Table4.17[[#This Row],[CH4 24h, ml]]</f>
        <v>12.678376657193645</v>
      </c>
      <c r="Z67" s="20">
        <f>Table4.17[[#This Row],[Gas ml/g DM Incubated, 24h]]</f>
        <v>180.47227845651233</v>
      </c>
      <c r="AA67" s="20">
        <f>Table4.17[[#This Row],[% DMD, Truly digestibility]]</f>
        <v>39.826591257370808</v>
      </c>
      <c r="AB67" s="20">
        <f>Table4.17[[#This Row],[Part Fact]]</f>
        <v>2.2132748191017901</v>
      </c>
      <c r="AC67" s="20">
        <f>Table4.17[[#This Row],[CH4 ml in gas, h8]]</f>
        <v>14</v>
      </c>
      <c r="AD67" s="20">
        <f>Table4.17[[#This Row],[CH4 ml in gas, 24h]]</f>
        <v>14.437985107331722</v>
      </c>
      <c r="AE67" s="20">
        <f>Table4.17[[#This Row],[CH4 ml/gDM incubated, 24h]]</f>
        <v>26.099128919390704</v>
      </c>
      <c r="AF67" s="20">
        <f>Table4.17[[#This Row],[CH4 ml/g DMD, 24h2]]</f>
        <v>66.841356924984353</v>
      </c>
      <c r="AG67" s="20">
        <f>Table4.17[[#This Row],[CH4 ml/g NDF digested in 24 h]]</f>
        <v>0.84298016417309785</v>
      </c>
      <c r="AH67" s="20">
        <f>Table4.17[[#This Row],[CH4 g/g DM incubated, 24h]]</f>
        <v>14.485468092284668</v>
      </c>
      <c r="AI67" s="20">
        <f>Table4.17[[#This Row],[Net gas 8-24h, ml]]</f>
        <v>51.979477704893235</v>
      </c>
    </row>
    <row r="68" spans="2:35" s="65" customFormat="1" x14ac:dyDescent="0.35">
      <c r="B68" s="62">
        <f t="shared" si="0"/>
        <v>58</v>
      </c>
      <c r="C68" s="42">
        <f>'1. Information samples'!C68</f>
        <v>46048</v>
      </c>
      <c r="D68" s="42" t="str">
        <f>'1. Information samples'!D68</f>
        <v>Genbank</v>
      </c>
      <c r="E68" s="59">
        <f>'1. Information samples'!E68</f>
        <v>28</v>
      </c>
      <c r="F68" s="42" t="str">
        <f>'1. Information samples'!F68</f>
        <v>F252190</v>
      </c>
      <c r="G68" s="42" t="str">
        <f>'1. Information samples'!G68</f>
        <v>CIAT-BH22_3572</v>
      </c>
      <c r="H68" s="42" t="str">
        <f>'1. Information samples'!H68</f>
        <v>Urochloa</v>
      </c>
      <c r="I68" s="42" t="str">
        <f>'1. Information samples'!I68</f>
        <v>humidicola</v>
      </c>
      <c r="J68" s="42" t="str">
        <f>'1. Information samples'!J68</f>
        <v>Urochloa humidicola</v>
      </c>
      <c r="K68" s="42" t="str">
        <f>'1. Information samples'!K68</f>
        <v>Poaceae</v>
      </c>
      <c r="L68" s="42" t="str">
        <f>'1. Information samples'!L68</f>
        <v>Poales</v>
      </c>
      <c r="M68" s="42" t="str">
        <f>'1. Information samples'!M68</f>
        <v>grasses</v>
      </c>
      <c r="N68" s="20">
        <f>Table95[[#This Row],[Av DM 105]]</f>
        <v>96.500349965003466</v>
      </c>
      <c r="O68" s="20">
        <f>Table95[[#This Row],[Av Ash, %]]</f>
        <v>10.0404103201741</v>
      </c>
      <c r="P68" s="20">
        <f>'4.0 Result Quality Average'!P68</f>
        <v>89.95958967982591</v>
      </c>
      <c r="Q68" s="20">
        <f>'4.0 Result Quality Average'!Q68</f>
        <v>7.9704717617286525</v>
      </c>
      <c r="R68" s="20">
        <f>'4.0 Result Quality Average'!R68</f>
        <v>7.9759318357459463</v>
      </c>
      <c r="S68" s="20">
        <f>'4.0 Result Quality Average'!S68</f>
        <v>33.064911661588695</v>
      </c>
      <c r="T68" s="20">
        <f>Table4.17[[#This Row],[Net gas 8h, ml]]</f>
        <v>36.790733897978441</v>
      </c>
      <c r="U68" s="20">
        <f>Table4.17[[#This Row],[Net gas 8-24h, ml]]</f>
        <v>52.379477704893233</v>
      </c>
      <c r="V68" s="20">
        <f>Table4.17[[#This Row],[Net gas 24h, ml]]</f>
        <v>89.17021160287166</v>
      </c>
      <c r="W68" s="20">
        <f>Table4.17[[#This Row],[CH4 8h, ml]]</f>
        <v>5.0040240424466251</v>
      </c>
      <c r="X68" s="20">
        <f>Table4.17[[#This Row],[CH4 8-24h, ml]]</f>
        <v>7.6935068065760408</v>
      </c>
      <c r="Y68" s="20">
        <f>Table4.17[[#This Row],[CH4 24h, ml]]</f>
        <v>12.697530849022666</v>
      </c>
      <c r="Z68" s="20">
        <f>Table4.17[[#This Row],[Gas ml/g DM Incubated, 24h]]</f>
        <v>184.67960331320353</v>
      </c>
      <c r="AA68" s="20">
        <f>Table4.17[[#This Row],[% DMD, Truly digestibility]]</f>
        <v>20.756095292514466</v>
      </c>
      <c r="AB68" s="20">
        <f>Table4.17[[#This Row],[Part Fact]]</f>
        <v>1.1670159567379748</v>
      </c>
      <c r="AC68" s="20">
        <f>Table4.17[[#This Row],[CH4 ml in gas, h8]]</f>
        <v>13.580000000000002</v>
      </c>
      <c r="AD68" s="20">
        <f>Table4.17[[#This Row],[CH4 ml in gas, 24h]]</f>
        <v>14.191842234696207</v>
      </c>
      <c r="AE68" s="20">
        <f>Table4.17[[#This Row],[CH4 ml/gDM incubated, 24h]]</f>
        <v>26.298001119552918</v>
      </c>
      <c r="AF68" s="20">
        <f>Table4.17[[#This Row],[CH4 ml/g DMD, 24h2]]</f>
        <v>154.85437017467956</v>
      </c>
      <c r="AG68" s="20">
        <f>Table4.17[[#This Row],[CH4 ml/g NDF digested in 24 h]]</f>
        <v>-1.056966338666139</v>
      </c>
      <c r="AH68" s="20">
        <f>Table4.17[[#This Row],[CH4 g/g DM incubated, 24h]]</f>
        <v>14.595845604070197</v>
      </c>
      <c r="AI68" s="20">
        <f>Table4.17[[#This Row],[Net gas 8-24h, ml]]</f>
        <v>52.379477704893233</v>
      </c>
    </row>
    <row r="69" spans="2:35" s="65" customFormat="1" x14ac:dyDescent="0.35">
      <c r="B69" s="62">
        <f t="shared" si="0"/>
        <v>59</v>
      </c>
      <c r="C69" s="42">
        <f>'1. Information samples'!C69</f>
        <v>46048</v>
      </c>
      <c r="D69" s="42" t="str">
        <f>'1. Information samples'!D69</f>
        <v>Genbank</v>
      </c>
      <c r="E69" s="59">
        <f>'1. Information samples'!E69</f>
        <v>28</v>
      </c>
      <c r="F69" s="327" t="str">
        <f>'1. Information samples'!F69</f>
        <v>F252191</v>
      </c>
      <c r="G69" s="42" t="str">
        <f>'1. Information samples'!G69</f>
        <v>CIAT-BH22_0517</v>
      </c>
      <c r="H69" s="42" t="str">
        <f>'1. Information samples'!H69</f>
        <v>Urochloa</v>
      </c>
      <c r="I69" s="42" t="str">
        <f>'1. Information samples'!I69</f>
        <v>humidicola</v>
      </c>
      <c r="J69" s="42" t="str">
        <f>'1. Information samples'!J69</f>
        <v>Urochloa humidicola</v>
      </c>
      <c r="K69" s="42" t="str">
        <f>'1. Information samples'!K69</f>
        <v>Poaceae</v>
      </c>
      <c r="L69" s="42" t="str">
        <f>'1. Information samples'!L69</f>
        <v>Poales</v>
      </c>
      <c r="M69" s="42" t="str">
        <f>'1. Information samples'!M69</f>
        <v>grasses</v>
      </c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20"/>
      <c r="AE69" s="20"/>
      <c r="AF69" s="20"/>
      <c r="AG69" s="20"/>
      <c r="AH69" s="20"/>
      <c r="AI69" s="20"/>
    </row>
    <row r="70" spans="2:35" s="65" customFormat="1" x14ac:dyDescent="0.35">
      <c r="B70" s="62">
        <f t="shared" si="0"/>
        <v>60</v>
      </c>
      <c r="C70" s="42">
        <f>'1. Information samples'!C70</f>
        <v>46048</v>
      </c>
      <c r="D70" s="42" t="str">
        <f>'1. Information samples'!D70</f>
        <v>Genbank</v>
      </c>
      <c r="E70" s="59">
        <f>'1. Information samples'!E70</f>
        <v>28</v>
      </c>
      <c r="F70" s="327" t="str">
        <f>'1. Information samples'!F70</f>
        <v>F252192</v>
      </c>
      <c r="G70" s="42" t="str">
        <f>'1. Information samples'!G70</f>
        <v>CIAT-BH22_0519</v>
      </c>
      <c r="H70" s="42" t="str">
        <f>'1. Information samples'!H70</f>
        <v>Urochloa</v>
      </c>
      <c r="I70" s="42" t="str">
        <f>'1. Information samples'!I70</f>
        <v>humidicola</v>
      </c>
      <c r="J70" s="42" t="str">
        <f>'1. Information samples'!J70</f>
        <v>Urochloa humidicola</v>
      </c>
      <c r="K70" s="42" t="str">
        <f>'1. Information samples'!K70</f>
        <v>Poaceae</v>
      </c>
      <c r="L70" s="42" t="str">
        <f>'1. Information samples'!L70</f>
        <v>Poales</v>
      </c>
      <c r="M70" s="42" t="str">
        <f>'1. Information samples'!M70</f>
        <v>grasses</v>
      </c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0"/>
      <c r="AI70" s="20"/>
    </row>
    <row r="71" spans="2:35" s="65" customFormat="1" x14ac:dyDescent="0.35">
      <c r="B71" s="62">
        <f t="shared" si="0"/>
        <v>61</v>
      </c>
      <c r="C71" s="42">
        <f>'1. Information samples'!C71</f>
        <v>46048</v>
      </c>
      <c r="D71" s="42" t="str">
        <f>'1. Information samples'!D71</f>
        <v>Genbank</v>
      </c>
      <c r="E71" s="59">
        <f>'1. Information samples'!E71</f>
        <v>28</v>
      </c>
      <c r="F71" s="42" t="str">
        <f>'1. Information samples'!F71</f>
        <v>F252193</v>
      </c>
      <c r="G71" s="42" t="str">
        <f>'1. Information samples'!G71</f>
        <v>CIAT-BH22_0521</v>
      </c>
      <c r="H71" s="42" t="str">
        <f>'1. Information samples'!H71</f>
        <v>Urochloa</v>
      </c>
      <c r="I71" s="42" t="str">
        <f>'1. Information samples'!I71</f>
        <v>humidicola</v>
      </c>
      <c r="J71" s="42" t="str">
        <f>'1. Information samples'!J71</f>
        <v>Urochloa humidicola</v>
      </c>
      <c r="K71" s="42" t="str">
        <f>'1. Information samples'!K71</f>
        <v>Poaceae</v>
      </c>
      <c r="L71" s="42" t="str">
        <f>'1. Information samples'!L71</f>
        <v>Poales</v>
      </c>
      <c r="M71" s="42" t="str">
        <f>'1. Information samples'!M71</f>
        <v>grasses</v>
      </c>
      <c r="N71" s="20">
        <f>Table95[[#This Row],[Av DM 105]]</f>
        <v>96.526548731362993</v>
      </c>
      <c r="O71" s="20">
        <f>Table95[[#This Row],[Av Ash, %]]</f>
        <v>10.992035373132349</v>
      </c>
      <c r="P71" s="20">
        <f>'4.0 Result Quality Average'!P71</f>
        <v>89.007964626867647</v>
      </c>
      <c r="Q71" s="20">
        <f>'4.0 Result Quality Average'!Q71</f>
        <v>9.0028106702587074</v>
      </c>
      <c r="R71" s="20">
        <f>'4.0 Result Quality Average'!R71</f>
        <v>9.0289474871743671</v>
      </c>
      <c r="S71" s="20">
        <f>'4.0 Result Quality Average'!S71</f>
        <v>31.578380546816643</v>
      </c>
      <c r="T71" s="20">
        <f>Table4.17[[#This Row],[Net gas 8h, ml]]</f>
        <v>33.95599279350084</v>
      </c>
      <c r="U71" s="20">
        <f>Table4.17[[#This Row],[Net gas 8-24h, ml]]</f>
        <v>42.340612332325705</v>
      </c>
      <c r="V71" s="20">
        <f>Table4.17[[#This Row],[Net gas 24h, ml]]</f>
        <v>52.967348031928928</v>
      </c>
      <c r="W71" s="20">
        <f>Table4.17[[#This Row],[CH4 8h, ml]]</f>
        <v>23.52566913629056</v>
      </c>
      <c r="X71" s="20">
        <f>Table4.17[[#This Row],[CH4 8-24h, ml]]</f>
        <v>39.780396643563364</v>
      </c>
      <c r="Y71" s="20">
        <f>Table4.17[[#This Row],[CH4 24h, ml]]</f>
        <v>7.7979173421192085</v>
      </c>
      <c r="Z71" s="20">
        <f>Table4.17[[#This Row],[Gas ml/g DM Incubated, 24h]]</f>
        <v>83.144109548201968</v>
      </c>
      <c r="AA71" s="20">
        <f>Table4.17[[#This Row],[% DMD, Truly digestibility]]</f>
        <v>26.510263631249284</v>
      </c>
      <c r="AB71" s="20">
        <f>Table4.17[[#This Row],[Part Fact]]</f>
        <v>77.922288809799525</v>
      </c>
      <c r="AC71" s="20">
        <f>Table4.17[[#This Row],[CH4 ml in gas, h8]]</f>
        <v>17.462907717634074</v>
      </c>
      <c r="AD71" s="20">
        <f>Table4.17[[#This Row],[CH4 ml in gas, 24h]]</f>
        <v>9.4525292931427476</v>
      </c>
      <c r="AE71" s="20">
        <f>Table4.17[[#This Row],[CH4 ml/gDM incubated, 24h]]</f>
        <v>17.623232434426889</v>
      </c>
      <c r="AF71" s="20">
        <f>Table4.17[[#This Row],[CH4 ml/g DMD, 24h2]]</f>
        <v>66.247631405153868</v>
      </c>
      <c r="AG71" s="20">
        <f>Table4.17[[#This Row],[CH4 ml/g NDF digested in 24 h]]</f>
        <v>10.04304348681222</v>
      </c>
      <c r="AH71" s="20">
        <f>Table4.17[[#This Row],[CH4 g/g DM incubated, 24h]]</f>
        <v>69.150773496562834</v>
      </c>
      <c r="AI71" s="20">
        <f>Table4.17[[#This Row],[Net gas 8-24h, ml]]</f>
        <v>42.340612332325705</v>
      </c>
    </row>
    <row r="72" spans="2:35" s="65" customFormat="1" x14ac:dyDescent="0.35">
      <c r="B72" s="62">
        <f t="shared" si="0"/>
        <v>62</v>
      </c>
      <c r="C72" s="42">
        <f>'1. Information samples'!C72</f>
        <v>46048</v>
      </c>
      <c r="D72" s="42" t="str">
        <f>'1. Information samples'!D72</f>
        <v>Genbank</v>
      </c>
      <c r="E72" s="59">
        <f>'1. Information samples'!E72</f>
        <v>28</v>
      </c>
      <c r="F72" s="42" t="str">
        <f>'1. Information samples'!F72</f>
        <v>F252574</v>
      </c>
      <c r="G72" s="42" t="str">
        <f>'1. Information samples'!G72</f>
        <v>CIAT326</v>
      </c>
      <c r="H72" s="42" t="str">
        <f>'1. Information samples'!H72</f>
        <v>Desmodium</v>
      </c>
      <c r="I72" s="42" t="str">
        <f>'1. Information samples'!I72</f>
        <v>scorpiurus</v>
      </c>
      <c r="J72" s="42" t="str">
        <f>'1. Information samples'!J72</f>
        <v>Desmodium scorpiurus</v>
      </c>
      <c r="K72" s="42" t="str">
        <f>'1. Information samples'!K72</f>
        <v>Fabaceae</v>
      </c>
      <c r="L72" s="42" t="str">
        <f>'1. Information samples'!L72</f>
        <v>Fabales</v>
      </c>
      <c r="M72" s="42" t="str">
        <f>'1. Information samples'!M72</f>
        <v>Herbaceous</v>
      </c>
      <c r="N72" s="20">
        <f>Table95[[#This Row],[Av DM 105]]</f>
        <v>93.55</v>
      </c>
      <c r="O72" s="20">
        <f>Table95[[#This Row],[Av Ash, %]]</f>
        <v>11.4</v>
      </c>
      <c r="P72" s="20">
        <f>'4.0 Result Quality Average'!P72</f>
        <v>88.6</v>
      </c>
      <c r="Q72" s="20">
        <f>'4.0 Result Quality Average'!Q72</f>
        <v>28.60156824647801</v>
      </c>
      <c r="R72" s="20">
        <f>'4.0 Result Quality Average'!R72</f>
        <v>28.623722525353291</v>
      </c>
      <c r="S72" s="20">
        <f>'4.0 Result Quality Average'!S72</f>
        <v>39.488482725543101</v>
      </c>
      <c r="T72" s="20">
        <f>Table4.17[[#This Row],[Net gas 8h, ml]]</f>
        <v>30.101448293028511</v>
      </c>
      <c r="U72" s="20">
        <f>Table4.17[[#This Row],[Net gas 8-24h, ml]]</f>
        <v>31.954877676333506</v>
      </c>
      <c r="V72" s="20">
        <f>Table4.17[[#This Row],[Net gas 24h, ml]]</f>
        <v>62.056325969362014</v>
      </c>
      <c r="W72" s="20">
        <f>Table4.17[[#This Row],[CH4 8h, ml]]</f>
        <v>4.1340396513190356</v>
      </c>
      <c r="X72" s="20">
        <f>Table4.17[[#This Row],[CH4 8-24h, ml]]</f>
        <v>5.3209063474258427</v>
      </c>
      <c r="Y72" s="20">
        <f>Table4.17[[#This Row],[CH4 24h, ml]]</f>
        <v>9.4549459987448774</v>
      </c>
      <c r="Z72" s="20">
        <f>Table4.17[[#This Row],[Gas ml/g DM Incubated, 24h]]</f>
        <v>135.32947595381958</v>
      </c>
      <c r="AA72" s="20">
        <f>Table4.17[[#This Row],[% DMD, Truly digestibility]]</f>
        <v>39.093689012645399</v>
      </c>
      <c r="AB72" s="20">
        <f>Table4.17[[#This Row],[Part Fact]]</f>
        <v>3.2406353582783711</v>
      </c>
      <c r="AC72" s="20">
        <f>Table4.17[[#This Row],[CH4 ml in gas, h8]]</f>
        <v>13.766666666666667</v>
      </c>
      <c r="AD72" s="20">
        <f>Table4.17[[#This Row],[CH4 ml in gas, 24h]]</f>
        <v>15.231073439626073</v>
      </c>
      <c r="AE72" s="20">
        <f>Table4.17[[#This Row],[CH4 ml/gDM incubated, 24h]]</f>
        <v>20.618871268461813</v>
      </c>
      <c r="AF72" s="20">
        <f>Table4.17[[#This Row],[CH4 ml/g DMD, 24h2]]</f>
        <v>55.451758714787225</v>
      </c>
      <c r="AG72" s="20">
        <f>Table4.17[[#This Row],[CH4 ml/g NDF digested in 24 h]]</f>
        <v>-1.654341347466471</v>
      </c>
      <c r="AH72" s="20">
        <f>Table4.17[[#This Row],[CH4 g/g DM incubated, 24h]]</f>
        <v>11.443830281872922</v>
      </c>
      <c r="AI72" s="20">
        <f>Table4.17[[#This Row],[Net gas 8-24h, ml]]</f>
        <v>31.954877676333506</v>
      </c>
    </row>
    <row r="73" spans="2:35" s="65" customFormat="1" x14ac:dyDescent="0.35">
      <c r="B73" s="62">
        <f t="shared" si="0"/>
        <v>63</v>
      </c>
      <c r="C73" s="42">
        <f>'1. Information samples'!C73</f>
        <v>46048</v>
      </c>
      <c r="D73" s="42" t="str">
        <f>'1. Information samples'!D73</f>
        <v>Jacobo Arango/Alejandro Montoya</v>
      </c>
      <c r="E73" s="59">
        <f>'1. Information samples'!E73</f>
        <v>28</v>
      </c>
      <c r="F73" s="42" t="str">
        <f>'1. Information samples'!F73</f>
        <v>F250008</v>
      </c>
      <c r="G73" s="42" t="str">
        <f>'1. Information samples'!G73</f>
        <v>Sample 8</v>
      </c>
      <c r="H73" s="42" t="str">
        <f>'1. Information samples'!H73</f>
        <v>Cynodon</v>
      </c>
      <c r="I73" s="42" t="str">
        <f>'1. Information samples'!I73</f>
        <v xml:space="preserve"> nlemfuensis </v>
      </c>
      <c r="J73" s="42" t="str">
        <f>'1. Information samples'!J73</f>
        <v xml:space="preserve">Cynodon nlemfuensis </v>
      </c>
      <c r="K73" s="42" t="str">
        <f>'1. Information samples'!K73</f>
        <v>Poaceae</v>
      </c>
      <c r="L73" s="42" t="str">
        <f>'1. Information samples'!L73</f>
        <v>Poales</v>
      </c>
      <c r="M73" s="42" t="str">
        <f>'1. Information samples'!M73</f>
        <v>grasses</v>
      </c>
      <c r="N73" s="20">
        <f>Table95[[#This Row],[Av DM 105]]</f>
        <v>93.55</v>
      </c>
      <c r="O73" s="20">
        <f>Table95[[#This Row],[Av Ash, %]]</f>
        <v>11.4</v>
      </c>
      <c r="P73" s="20">
        <f>'4.0 Result Quality Average'!P73</f>
        <v>88.6</v>
      </c>
      <c r="Q73" s="20">
        <f>'4.0 Result Quality Average'!Q73</f>
        <v>0</v>
      </c>
      <c r="R73" s="20">
        <f>'4.0 Result Quality Average'!R73</f>
        <v>0</v>
      </c>
      <c r="S73" s="20">
        <f>'4.0 Result Quality Average'!S73</f>
        <v>0</v>
      </c>
      <c r="T73" s="20">
        <f>Table4.17[[#This Row],[Net gas 8h, ml]]</f>
        <v>18.912907095534973</v>
      </c>
      <c r="U73" s="20">
        <f>Table4.17[[#This Row],[Net gas 8-24h, ml]]</f>
        <v>37.25873479879084</v>
      </c>
      <c r="V73" s="20">
        <f>Table4.17[[#This Row],[Net gas 24h, ml]]</f>
        <v>56.171641894325809</v>
      </c>
      <c r="W73" s="20">
        <f>Table4.17[[#This Row],[CH4 8h, ml]]</f>
        <v>2.5893593121597691</v>
      </c>
      <c r="X73" s="20">
        <f>Table4.17[[#This Row],[CH4 8-24h, ml]]</f>
        <v>5.8954634315422858</v>
      </c>
      <c r="Y73" s="20">
        <f>Table4.17[[#This Row],[CH4 24h, ml]]</f>
        <v>8.4848227437020558</v>
      </c>
      <c r="Z73" s="20">
        <f>Table4.17[[#This Row],[Gas ml/g DM Incubated, 24h]]</f>
        <v>120.02049793451449</v>
      </c>
      <c r="AA73" s="20">
        <f>Table4.17[[#This Row],[% DMD, Truly digestibility]]</f>
        <v>26.626076704917228</v>
      </c>
      <c r="AB73" s="20">
        <f>Table4.17[[#This Row],[Part Fact]]</f>
        <v>2.2146553547705898</v>
      </c>
      <c r="AC73" s="20">
        <f>Table4.17[[#This Row],[CH4 ml in gas, h8]]</f>
        <v>13.716666666666667</v>
      </c>
      <c r="AD73" s="20">
        <f>Table4.17[[#This Row],[CH4 ml in gas, 24h]]</f>
        <v>15.099347922241833</v>
      </c>
      <c r="AE73" s="20">
        <f>Table4.17[[#This Row],[CH4 ml/gDM incubated, 24h]]</f>
        <v>18.129308699018022</v>
      </c>
      <c r="AF73" s="20">
        <f>Table4.17[[#This Row],[CH4 ml/g DMD, 24h2]]</f>
        <v>73.864385593523508</v>
      </c>
      <c r="AG73" s="20">
        <f>Table4.17[[#This Row],[CH4 ml/g NDF digested in 24 h]]</f>
        <v>-1.7984385057604324</v>
      </c>
      <c r="AH73" s="20">
        <f>Table4.17[[#This Row],[CH4 g/g DM incubated, 24h]]</f>
        <v>10.062079983814847</v>
      </c>
      <c r="AI73" s="20">
        <f>Table4.17[[#This Row],[Net gas 8-24h, ml]]</f>
        <v>37.25873479879084</v>
      </c>
    </row>
    <row r="74" spans="2:35" s="65" customFormat="1" x14ac:dyDescent="0.35">
      <c r="B74" s="62">
        <f t="shared" si="0"/>
        <v>64</v>
      </c>
      <c r="C74" s="42">
        <f>'1. Information samples'!C74</f>
        <v>46048</v>
      </c>
      <c r="D74" s="42" t="str">
        <f>'1. Information samples'!D74</f>
        <v>Genbank</v>
      </c>
      <c r="E74" s="59">
        <f>'1. Information samples'!E74</f>
        <v>28</v>
      </c>
      <c r="F74" s="42" t="str">
        <f>'1. Information samples'!F74</f>
        <v>F252575</v>
      </c>
      <c r="G74" s="42" t="str">
        <f>'1. Information samples'!G74</f>
        <v>CIAT415</v>
      </c>
      <c r="H74" s="42" t="str">
        <f>'1. Information samples'!H74</f>
        <v>Vigna</v>
      </c>
      <c r="I74" s="42" t="str">
        <f>'1. Information samples'!I74</f>
        <v>radiata</v>
      </c>
      <c r="J74" s="42" t="str">
        <f>'1. Information samples'!J74</f>
        <v>Vigna radiata</v>
      </c>
      <c r="K74" s="42" t="str">
        <f>'1. Information samples'!K74</f>
        <v>Fabaceae</v>
      </c>
      <c r="L74" s="42" t="str">
        <f>'1. Information samples'!L74</f>
        <v>Fabales</v>
      </c>
      <c r="M74" s="42" t="str">
        <f>'1. Information samples'!M74</f>
        <v>Herbaceous</v>
      </c>
      <c r="N74" s="20">
        <f>Table95[[#This Row],[Av DM 105]]</f>
        <v>91.428855744059177</v>
      </c>
      <c r="O74" s="20">
        <f>Table95[[#This Row],[Av Ash, %]]</f>
        <v>10.75762617368197</v>
      </c>
      <c r="P74" s="20">
        <f>'4.0 Result Quality Average'!P74</f>
        <v>89.24237382631803</v>
      </c>
      <c r="Q74" s="20">
        <f>'4.0 Result Quality Average'!Q74</f>
        <v>26.957736093732475</v>
      </c>
      <c r="R74" s="20">
        <f>'4.0 Result Quality Average'!R74</f>
        <v>26.957736093732475</v>
      </c>
      <c r="S74" s="20">
        <f>'4.0 Result Quality Average'!S74</f>
        <v>25.378712784655448</v>
      </c>
      <c r="T74" s="20">
        <f>Table4.17[[#This Row],[Net gas 8h, ml]]</f>
        <v>27.620300536085377</v>
      </c>
      <c r="U74" s="20">
        <f>Table4.17[[#This Row],[Net gas 8-24h, ml]]</f>
        <v>25.479477704893231</v>
      </c>
      <c r="V74" s="20">
        <f>Table4.17[[#This Row],[Net gas 24h, ml]]</f>
        <v>72.735749651190204</v>
      </c>
      <c r="W74" s="20">
        <f>Table4.17[[#This Row],[CH4 8h, ml]]</f>
        <v>3.0950520819180971</v>
      </c>
      <c r="X74" s="20">
        <f>Table4.17[[#This Row],[CH4 8-24h, ml]]</f>
        <v>6.9230422659243303</v>
      </c>
      <c r="Y74" s="20">
        <f>Table4.17[[#This Row],[CH4 24h, ml]]</f>
        <v>10.018094347842428</v>
      </c>
      <c r="Z74" s="20">
        <f>Table4.17[[#This Row],[Gas ml/g DM Incubated, 24h]]</f>
        <v>157.79457366009424</v>
      </c>
      <c r="AA74" s="20">
        <f>Table4.17[[#This Row],[% DMD, Truly digestibility]]</f>
        <v>51.386357036819327</v>
      </c>
      <c r="AB74" s="20">
        <f>Table4.17[[#This Row],[Part Fact]]</f>
        <v>3.2842341132022765</v>
      </c>
      <c r="AC74" s="20">
        <f>Table4.17[[#This Row],[CH4 ml in gas, h8]]</f>
        <v>11.225</v>
      </c>
      <c r="AD74" s="20">
        <f>Table4.17[[#This Row],[CH4 ml in gas, 24h]]</f>
        <v>13.791846399850309</v>
      </c>
      <c r="AE74" s="20">
        <f>Table4.17[[#This Row],[CH4 ml/gDM incubated, 24h]]</f>
        <v>21.735780934799728</v>
      </c>
      <c r="AF74" s="20">
        <f>Table4.17[[#This Row],[CH4 ml/g DMD, 24h2]]</f>
        <v>43.251449872830783</v>
      </c>
      <c r="AG74" s="20">
        <f>Table4.17[[#This Row],[CH4 ml/g NDF digested in 24 h]]</f>
        <v>-3.3090553929578652E-2</v>
      </c>
      <c r="AH74" s="20">
        <f>Table4.17[[#This Row],[CH4 g/g DM incubated, 24h]]</f>
        <v>12.063734470387116</v>
      </c>
      <c r="AI74" s="20">
        <f>Table4.17[[#This Row],[Net gas 8-24h, ml]]</f>
        <v>25.479477704893231</v>
      </c>
    </row>
    <row r="75" spans="2:35" s="65" customFormat="1" x14ac:dyDescent="0.35">
      <c r="B75" s="62">
        <f t="shared" si="0"/>
        <v>65</v>
      </c>
      <c r="C75" s="42">
        <f>'1. Information samples'!C75</f>
        <v>46048</v>
      </c>
      <c r="D75" s="42" t="str">
        <f>'1. Information samples'!D75</f>
        <v>Genbank</v>
      </c>
      <c r="E75" s="59">
        <f>'1. Information samples'!E75</f>
        <v>28</v>
      </c>
      <c r="F75" s="42" t="str">
        <f>'1. Information samples'!F75</f>
        <v>F252576</v>
      </c>
      <c r="G75" s="42" t="str">
        <f>'1. Information samples'!G75</f>
        <v>CIAT416</v>
      </c>
      <c r="H75" s="42" t="str">
        <f>'1. Information samples'!H75</f>
        <v>Vigna</v>
      </c>
      <c r="I75" s="42" t="str">
        <f>'1. Information samples'!I75</f>
        <v>radiata</v>
      </c>
      <c r="J75" s="42" t="str">
        <f>'1. Information samples'!J75</f>
        <v>Vigna radiata</v>
      </c>
      <c r="K75" s="42" t="str">
        <f>'1. Information samples'!K75</f>
        <v>Fabaceae</v>
      </c>
      <c r="L75" s="42" t="str">
        <f>'1. Information samples'!L75</f>
        <v>Fabales</v>
      </c>
      <c r="M75" s="42" t="str">
        <f>'1. Information samples'!M75</f>
        <v>Herbaceous</v>
      </c>
      <c r="N75" s="20">
        <f>Table95[[#This Row],[Av DM 105]]</f>
        <v>91.083128201945883</v>
      </c>
      <c r="O75" s="20">
        <f>Table95[[#This Row],[Av Ash, %]]</f>
        <v>13.685998773265922</v>
      </c>
      <c r="P75" s="20">
        <f>'4.0 Result Quality Average'!P75</f>
        <v>86.314001226734078</v>
      </c>
      <c r="Q75" s="20">
        <f>'4.0 Result Quality Average'!Q75</f>
        <v>26.837377821064617</v>
      </c>
      <c r="R75" s="20">
        <f>'4.0 Result Quality Average'!R75</f>
        <v>26.837377821064617</v>
      </c>
      <c r="S75" s="20">
        <f>'4.0 Result Quality Average'!S75</f>
        <v>24.613924161721449</v>
      </c>
      <c r="T75" s="20">
        <f>Table4.17[[#This Row],[Net gas 8h, ml]]</f>
        <v>39.507490991876047</v>
      </c>
      <c r="U75" s="20">
        <f>Table4.17[[#This Row],[Net gas 8-24h, ml]]</f>
        <v>28.879477704893226</v>
      </c>
      <c r="V75" s="20">
        <f>Table4.17[[#This Row],[Net gas 24h, ml]]</f>
        <v>86.308256407283167</v>
      </c>
      <c r="W75" s="20">
        <f>Table4.17[[#This Row],[CH4 8h, ml]]</f>
        <v>4.8895910621882663</v>
      </c>
      <c r="X75" s="20">
        <f>Table4.17[[#This Row],[CH4 8-24h, ml]]</f>
        <v>7.8795318653379436</v>
      </c>
      <c r="Y75" s="20">
        <f>Table4.17[[#This Row],[CH4 24h, ml]]</f>
        <v>12.769122927526212</v>
      </c>
      <c r="Z75" s="20">
        <f>Table4.17[[#This Row],[Gas ml/g DM Incubated, 24h]]</f>
        <v>188.72405716374192</v>
      </c>
      <c r="AA75" s="20">
        <f>Table4.17[[#This Row],[% DMD, Truly digestibility]]</f>
        <v>56.445591407511884</v>
      </c>
      <c r="AB75" s="20">
        <f>Table4.17[[#This Row],[Part Fact]]</f>
        <v>2.9916868888342196</v>
      </c>
      <c r="AC75" s="20">
        <f>Table4.17[[#This Row],[CH4 ml in gas, h8]]</f>
        <v>12.375</v>
      </c>
      <c r="AD75" s="20">
        <f>Table4.17[[#This Row],[CH4 ml in gas, 24h]]</f>
        <v>14.794089525354197</v>
      </c>
      <c r="AE75" s="20">
        <f>Table4.17[[#This Row],[CH4 ml/gDM incubated, 24h]]</f>
        <v>27.921305943895717</v>
      </c>
      <c r="AF75" s="20">
        <f>Table4.17[[#This Row],[CH4 ml/g DMD, 24h2]]</f>
        <v>50.256596240856474</v>
      </c>
      <c r="AG75" s="20">
        <f>Table4.17[[#This Row],[CH4 ml/g NDF digested in 24 h]]</f>
        <v>13.582287906691141</v>
      </c>
      <c r="AH75" s="20">
        <f>Table4.17[[#This Row],[CH4 g/g DM incubated, 24h]]</f>
        <v>15.496807866439008</v>
      </c>
      <c r="AI75" s="20">
        <f>Table4.17[[#This Row],[Net gas 8-24h, ml]]</f>
        <v>28.879477704893226</v>
      </c>
    </row>
    <row r="76" spans="2:35" s="65" customFormat="1" x14ac:dyDescent="0.35">
      <c r="B76" s="62">
        <f t="shared" si="0"/>
        <v>66</v>
      </c>
      <c r="C76" s="42">
        <f>'1. Information samples'!C76</f>
        <v>46048</v>
      </c>
      <c r="D76" s="42" t="str">
        <f>'1. Information samples'!D76</f>
        <v>Genbank</v>
      </c>
      <c r="E76" s="59">
        <f>'1. Information samples'!E76</f>
        <v>28</v>
      </c>
      <c r="F76" s="42" t="str">
        <f>'1. Information samples'!F76</f>
        <v>F252577</v>
      </c>
      <c r="G76" s="42" t="str">
        <f>'1. Information samples'!G76</f>
        <v>CIAT517</v>
      </c>
      <c r="H76" s="42" t="str">
        <f>'1. Information samples'!H76</f>
        <v>Macroptilium</v>
      </c>
      <c r="I76" s="42" t="str">
        <f>'1. Information samples'!I76</f>
        <v>atropurpureum</v>
      </c>
      <c r="J76" s="42" t="str">
        <f>'1. Information samples'!J76</f>
        <v>Macroptilium atropurpureum</v>
      </c>
      <c r="K76" s="42" t="str">
        <f>'1. Information samples'!K76</f>
        <v>Fabaceae</v>
      </c>
      <c r="L76" s="42" t="str">
        <f>'1. Information samples'!L76</f>
        <v>Fabales</v>
      </c>
      <c r="M76" s="42" t="str">
        <f>'1. Information samples'!M76</f>
        <v>Herbaceous</v>
      </c>
      <c r="N76" s="20">
        <f>Table95[[#This Row],[Av DM 105]]</f>
        <v>92.997811590989883</v>
      </c>
      <c r="O76" s="20">
        <f>Table95[[#This Row],[Av Ash, %]]</f>
        <v>12.887604777369589</v>
      </c>
      <c r="P76" s="20">
        <f>'4.0 Result Quality Average'!P76</f>
        <v>87.112395222630411</v>
      </c>
      <c r="Q76" s="20">
        <f>'4.0 Result Quality Average'!Q76</f>
        <v>23.684026559220481</v>
      </c>
      <c r="R76" s="20">
        <f>'4.0 Result Quality Average'!R76</f>
        <v>23.684026559220481</v>
      </c>
      <c r="S76" s="20">
        <f>'4.0 Result Quality Average'!S76</f>
        <v>26.727252261387918</v>
      </c>
      <c r="T76" s="20">
        <f>Table4.17[[#This Row],[Net gas 8h, ml]]</f>
        <v>33.382490991876047</v>
      </c>
      <c r="U76" s="20">
        <f>Table4.17[[#This Row],[Net gas 8-24h, ml]]</f>
        <v>21.347163431418824</v>
      </c>
      <c r="V76" s="20">
        <f>Table4.17[[#This Row],[Net gas 24h, ml]]</f>
        <v>67.495756407283167</v>
      </c>
      <c r="W76" s="20">
        <f>Table4.17[[#This Row],[CH4 8h, ml]]</f>
        <v>3.8641948893203275</v>
      </c>
      <c r="X76" s="20">
        <f>Table4.17[[#This Row],[CH4 8-24h, ml]]</f>
        <v>5.0653970162790447</v>
      </c>
      <c r="Y76" s="20">
        <f>Table4.17[[#This Row],[CH4 24h, ml]]</f>
        <v>8.9295919055993735</v>
      </c>
      <c r="Z76" s="20">
        <f>Table4.17[[#This Row],[Gas ml/g DM Incubated, 24h]]</f>
        <v>148.10916183461916</v>
      </c>
      <c r="AA76" s="20">
        <f>Table4.17[[#This Row],[% DMD, Truly digestibility]]</f>
        <v>37.987149979369022</v>
      </c>
      <c r="AB76" s="20">
        <f>Table4.17[[#This Row],[Part Fact]]</f>
        <v>2.5686888780026313</v>
      </c>
      <c r="AC76" s="20">
        <f>Table4.17[[#This Row],[CH4 ml in gas, h8]]</f>
        <v>11.574999999999999</v>
      </c>
      <c r="AD76" s="20">
        <f>Table4.17[[#This Row],[CH4 ml in gas, 24h]]</f>
        <v>13.234932651306446</v>
      </c>
      <c r="AE76" s="20">
        <f>Table4.17[[#This Row],[CH4 ml/gDM incubated, 24h]]</f>
        <v>19.594639857666202</v>
      </c>
      <c r="AF76" s="20">
        <f>Table4.17[[#This Row],[CH4 ml/g DMD, 24h2]]</f>
        <v>52.88274714600869</v>
      </c>
      <c r="AG76" s="20">
        <f>Table4.17[[#This Row],[CH4 ml/g NDF digested in 24 h]]</f>
        <v>-0.29184052473803107</v>
      </c>
      <c r="AH76" s="20">
        <f>Table4.17[[#This Row],[CH4 g/g DM incubated, 24h]]</f>
        <v>10.875364128614736</v>
      </c>
      <c r="AI76" s="20">
        <f>Table4.17[[#This Row],[Net gas 8-24h, ml]]</f>
        <v>21.347163431418824</v>
      </c>
    </row>
    <row r="77" spans="2:35" s="65" customFormat="1" x14ac:dyDescent="0.35">
      <c r="B77" s="62">
        <f t="shared" ref="B77:B125" si="1">1+B76</f>
        <v>67</v>
      </c>
      <c r="C77" s="42">
        <f>'1. Information samples'!C77</f>
        <v>46048</v>
      </c>
      <c r="D77" s="42" t="str">
        <f>'1. Information samples'!D77</f>
        <v>Genbank</v>
      </c>
      <c r="E77" s="59">
        <f>'1. Information samples'!E77</f>
        <v>28</v>
      </c>
      <c r="F77" s="42" t="str">
        <f>'1. Information samples'!F77</f>
        <v>F252578</v>
      </c>
      <c r="G77" s="42" t="str">
        <f>'1. Information samples'!G77</f>
        <v>CIAT563</v>
      </c>
      <c r="H77" s="42" t="str">
        <f>'1. Information samples'!H77</f>
        <v>Macroptilium</v>
      </c>
      <c r="I77" s="42" t="str">
        <f>'1. Information samples'!I77</f>
        <v>bracteatum</v>
      </c>
      <c r="J77" s="42" t="str">
        <f>'1. Information samples'!J77</f>
        <v>Macroptilium bracteatum</v>
      </c>
      <c r="K77" s="42" t="str">
        <f>'1. Information samples'!K77</f>
        <v>Fabaceae</v>
      </c>
      <c r="L77" s="42" t="str">
        <f>'1. Information samples'!L77</f>
        <v>Fabales</v>
      </c>
      <c r="M77" s="42" t="str">
        <f>'1. Information samples'!M77</f>
        <v>Herbaceous</v>
      </c>
      <c r="N77" s="20">
        <f>Table95[[#This Row],[Av DM 105]]</f>
        <v>88.84780354431571</v>
      </c>
      <c r="O77" s="20">
        <f>Table95[[#This Row],[Av Ash, %]]</f>
        <v>8.4449292312171735</v>
      </c>
      <c r="P77" s="20">
        <f>'4.0 Result Quality Average'!P77</f>
        <v>91.555070768782826</v>
      </c>
      <c r="Q77" s="20">
        <f>'4.0 Result Quality Average'!Q77</f>
        <v>21.857304649704218</v>
      </c>
      <c r="R77" s="20">
        <f>'4.0 Result Quality Average'!R77</f>
        <v>21.857304649704218</v>
      </c>
      <c r="S77" s="20">
        <f>'4.0 Result Quality Average'!S77</f>
        <v>29.990838788280033</v>
      </c>
      <c r="T77" s="20">
        <f>Table4.17[[#This Row],[Net gas 8h, ml]]</f>
        <v>31.19499099187605</v>
      </c>
      <c r="U77" s="20">
        <f>Table4.17[[#This Row],[Net gas 8-24h, ml]]</f>
        <v>21.597163431418824</v>
      </c>
      <c r="V77" s="20">
        <f>Table4.17[[#This Row],[Net gas 24h, ml]]</f>
        <v>72.620756407283167</v>
      </c>
      <c r="W77" s="20">
        <f>Table4.17[[#This Row],[CH4 8h, ml]]</f>
        <v>3.8019931108211309</v>
      </c>
      <c r="X77" s="20">
        <f>Table4.17[[#This Row],[CH4 8-24h, ml]]</f>
        <v>6.1163871896304052</v>
      </c>
      <c r="Y77" s="20">
        <f>Table4.17[[#This Row],[CH4 24h, ml]]</f>
        <v>9.9183803004515347</v>
      </c>
      <c r="Z77" s="20">
        <f>Table4.17[[#This Row],[Gas ml/g DM Incubated, 24h]]</f>
        <v>156.13426193730328</v>
      </c>
      <c r="AA77" s="20">
        <f>Table4.17[[#This Row],[% DMD, Truly digestibility]]</f>
        <v>40.95053574043208</v>
      </c>
      <c r="AB77" s="20">
        <f>Table4.17[[#This Row],[Part Fact]]</f>
        <v>2.6236466631258732</v>
      </c>
      <c r="AC77" s="20">
        <f>Table4.17[[#This Row],[CH4 ml in gas, h8]]</f>
        <v>12.1875</v>
      </c>
      <c r="AD77" s="20">
        <f>Table4.17[[#This Row],[CH4 ml in gas, 24h]]</f>
        <v>13.660570356627082</v>
      </c>
      <c r="AE77" s="20">
        <f>Table4.17[[#This Row],[CH4 ml/gDM incubated, 24h]]</f>
        <v>21.3244923453769</v>
      </c>
      <c r="AF77" s="20">
        <f>Table4.17[[#This Row],[CH4 ml/g DMD, 24h2]]</f>
        <v>53.486886818630524</v>
      </c>
      <c r="AG77" s="20">
        <f>Table4.17[[#This Row],[CH4 ml/g NDF digested in 24 h]]</f>
        <v>-6.3157628924031012E-2</v>
      </c>
      <c r="AH77" s="20">
        <f>Table4.17[[#This Row],[CH4 g/g DM incubated, 24h]]</f>
        <v>11.835462187537905</v>
      </c>
      <c r="AI77" s="20">
        <f>Table4.17[[#This Row],[Net gas 8-24h, ml]]</f>
        <v>21.597163431418824</v>
      </c>
    </row>
    <row r="78" spans="2:35" s="65" customFormat="1" x14ac:dyDescent="0.35">
      <c r="B78" s="62">
        <f t="shared" si="1"/>
        <v>68</v>
      </c>
      <c r="C78" s="42">
        <f>'1. Information samples'!C78</f>
        <v>46048</v>
      </c>
      <c r="D78" s="42" t="str">
        <f>'1. Information samples'!D78</f>
        <v>Genbank</v>
      </c>
      <c r="E78" s="59">
        <f>'1. Information samples'!E78</f>
        <v>28</v>
      </c>
      <c r="F78" s="42" t="str">
        <f>'1. Information samples'!F78</f>
        <v>F252579</v>
      </c>
      <c r="G78" s="42" t="str">
        <f>'1. Information samples'!G78</f>
        <v>CIAT789</v>
      </c>
      <c r="H78" s="42" t="str">
        <f>'1. Information samples'!H78</f>
        <v>Zornia</v>
      </c>
      <c r="I78" s="42" t="str">
        <f>'1. Information samples'!I78</f>
        <v>latifolia</v>
      </c>
      <c r="J78" s="42" t="str">
        <f>'1. Information samples'!J78</f>
        <v>Zornia latifolia</v>
      </c>
      <c r="K78" s="42" t="str">
        <f>'1. Information samples'!K78</f>
        <v>Fabaceae</v>
      </c>
      <c r="L78" s="42" t="str">
        <f>'1. Information samples'!L78</f>
        <v>Fabales</v>
      </c>
      <c r="M78" s="42" t="str">
        <f>'1. Information samples'!M78</f>
        <v>Herbaceous</v>
      </c>
      <c r="N78" s="20">
        <f>Table95[[#This Row],[Av DM 105]]</f>
        <v>91.972812334084935</v>
      </c>
      <c r="O78" s="20">
        <f>Table95[[#This Row],[Av Ash, %]]</f>
        <v>9.3310251362757555</v>
      </c>
      <c r="P78" s="20">
        <f>'4.0 Result Quality Average'!P78</f>
        <v>90.668974863724245</v>
      </c>
      <c r="Q78" s="20">
        <f>'4.0 Result Quality Average'!Q78</f>
        <v>14.788570035286847</v>
      </c>
      <c r="R78" s="20">
        <f>'4.0 Result Quality Average'!R78</f>
        <v>14.788570035286847</v>
      </c>
      <c r="S78" s="20">
        <f>'4.0 Result Quality Average'!S78</f>
        <v>24.832265368222433</v>
      </c>
      <c r="T78" s="20">
        <f>Table4.17[[#This Row],[Net gas 8h, ml]]</f>
        <v>45.632490991876047</v>
      </c>
      <c r="U78" s="20">
        <f>Table4.17[[#This Row],[Net gas 8-24h, ml]]</f>
        <v>24.847163431418824</v>
      </c>
      <c r="V78" s="20">
        <f>Table4.17[[#This Row],[Net gas 24h, ml]]</f>
        <v>96.058256407283167</v>
      </c>
      <c r="W78" s="20">
        <f>Table4.17[[#This Row],[CH4 8h, ml]]</f>
        <v>6.0281663041715463</v>
      </c>
      <c r="X78" s="20">
        <f>Table4.17[[#This Row],[CH4 8-24h, ml]]</f>
        <v>8.0997319104060761</v>
      </c>
      <c r="Y78" s="20">
        <f>Table4.17[[#This Row],[CH4 24h, ml]]</f>
        <v>14.127898214577622</v>
      </c>
      <c r="Z78" s="20">
        <f>Table4.17[[#This Row],[Gas ml/g DM Incubated, 24h]]</f>
        <v>216.16171535026928</v>
      </c>
      <c r="AA78" s="20">
        <f>Table4.17[[#This Row],[% DMD, Truly digestibility]]</f>
        <v>40.553234326869479</v>
      </c>
      <c r="AB78" s="20">
        <f>Table4.17[[#This Row],[Part Fact]]</f>
        <v>1.8821475486852335</v>
      </c>
      <c r="AC78" s="20">
        <f>Table4.17[[#This Row],[CH4 ml in gas, h8]]</f>
        <v>13.200000000000001</v>
      </c>
      <c r="AD78" s="20">
        <f>Table4.17[[#This Row],[CH4 ml in gas, 24h]]</f>
        <v>14.71062797196433</v>
      </c>
      <c r="AE78" s="20">
        <f>Table4.17[[#This Row],[CH4 ml/gDM incubated, 24h]]</f>
        <v>31.792262731203074</v>
      </c>
      <c r="AF78" s="20">
        <f>Table4.17[[#This Row],[CH4 ml/g DMD, 24h2]]</f>
        <v>84.232951781775782</v>
      </c>
      <c r="AG78" s="20">
        <f>Table4.17[[#This Row],[CH4 ml/g NDF digested in 24 h]]</f>
        <v>-0.95249933286013211</v>
      </c>
      <c r="AH78" s="20">
        <f>Table4.17[[#This Row],[CH4 g/g DM incubated, 24h]]</f>
        <v>17.645255854965303</v>
      </c>
      <c r="AI78" s="20">
        <f>Table4.17[[#This Row],[Net gas 8-24h, ml]]</f>
        <v>24.847163431418824</v>
      </c>
    </row>
    <row r="79" spans="2:35" s="65" customFormat="1" x14ac:dyDescent="0.35">
      <c r="B79" s="62">
        <f t="shared" si="1"/>
        <v>69</v>
      </c>
      <c r="C79" s="42">
        <f>'1. Information samples'!C79</f>
        <v>46048</v>
      </c>
      <c r="D79" s="42" t="str">
        <f>'1. Information samples'!D79</f>
        <v>Genbank</v>
      </c>
      <c r="E79" s="59">
        <f>'1. Information samples'!E79</f>
        <v>28</v>
      </c>
      <c r="F79" s="42" t="str">
        <f>'1. Information samples'!F79</f>
        <v>F252580</v>
      </c>
      <c r="G79" s="42" t="str">
        <f>'1. Information samples'!G79</f>
        <v>CIAT2085</v>
      </c>
      <c r="H79" s="42" t="str">
        <f>'1. Information samples'!H79</f>
        <v>Stylosanthes</v>
      </c>
      <c r="I79" s="42" t="str">
        <f>'1. Information samples'!I79</f>
        <v>seabrana</v>
      </c>
      <c r="J79" s="42" t="str">
        <f>'1. Information samples'!J79</f>
        <v>Stylosanthes seabrana</v>
      </c>
      <c r="K79" s="42" t="str">
        <f>'1. Information samples'!K79</f>
        <v>Fabaceae</v>
      </c>
      <c r="L79" s="42" t="str">
        <f>'1. Information samples'!L79</f>
        <v>Fabales</v>
      </c>
      <c r="M79" s="42" t="str">
        <f>'1. Information samples'!M79</f>
        <v>Herbaceous</v>
      </c>
      <c r="N79" s="20">
        <f>Table95[[#This Row],[Av DM 105]]</f>
        <v>91.013158687602811</v>
      </c>
      <c r="O79" s="20">
        <f>Table95[[#This Row],[Av Ash, %]]</f>
        <v>9.4513435062118116</v>
      </c>
      <c r="P79" s="20">
        <f>'4.0 Result Quality Average'!P79</f>
        <v>90.548656493788187</v>
      </c>
      <c r="Q79" s="20">
        <f>'4.0 Result Quality Average'!Q79</f>
        <v>18.709963746160142</v>
      </c>
      <c r="R79" s="20">
        <f>'4.0 Result Quality Average'!R79</f>
        <v>18.709963746160142</v>
      </c>
      <c r="S79" s="20">
        <f>'4.0 Result Quality Average'!S79</f>
        <v>37.039597242954855</v>
      </c>
      <c r="T79" s="20">
        <f>Table4.17[[#This Row],[Net gas 8h, ml]]</f>
        <v>29.761241179545298</v>
      </c>
      <c r="U79" s="20">
        <f>Table4.17[[#This Row],[Net gas 8-24h, ml]]</f>
        <v>46.120088543201696</v>
      </c>
      <c r="V79" s="20">
        <f>Table4.17[[#This Row],[Net gas 24h, ml]]</f>
        <v>75.881329722746997</v>
      </c>
      <c r="W79" s="20">
        <f>Table4.17[[#This Row],[CH4 8h, ml]]</f>
        <v>3.237939869088732</v>
      </c>
      <c r="X79" s="20">
        <f>Table4.17[[#This Row],[CH4 8-24h, ml]]</f>
        <v>6.7195594919187256</v>
      </c>
      <c r="Y79" s="20">
        <f>Table4.17[[#This Row],[CH4 24h, ml]]</f>
        <v>9.9574993610074589</v>
      </c>
      <c r="Z79" s="20">
        <f>Table4.17[[#This Row],[Gas ml/g DM Incubated, 24h]]</f>
        <v>164.93691286110297</v>
      </c>
      <c r="AA79" s="20">
        <f>Table4.17[[#This Row],[% DMD, Truly digestibility]]</f>
        <v>35.991133346881163</v>
      </c>
      <c r="AB79" s="20">
        <f>Table4.17[[#This Row],[Part Fact]]</f>
        <v>2.1847584751162921</v>
      </c>
      <c r="AC79" s="20">
        <f>Table4.17[[#This Row],[CH4 ml in gas, h8]]</f>
        <v>10.866666666666667</v>
      </c>
      <c r="AD79" s="20">
        <f>Table4.17[[#This Row],[CH4 ml in gas, 24h]]</f>
        <v>13.125355535079679</v>
      </c>
      <c r="AE79" s="20">
        <f>Table4.17[[#This Row],[CH4 ml/gDM incubated, 24h]]</f>
        <v>21.643782631519439</v>
      </c>
      <c r="AF79" s="20">
        <f>Table4.17[[#This Row],[CH4 ml/g DMD, 24h2]]</f>
        <v>60.409384759854817</v>
      </c>
      <c r="AG79" s="20">
        <f>Table4.17[[#This Row],[CH4 ml/g NDF digested in 24 h]]</f>
        <v>-0.94832251156031566</v>
      </c>
      <c r="AH79" s="20">
        <f>Table4.17[[#This Row],[CH4 g/g DM incubated, 24h]]</f>
        <v>12.012673820400407</v>
      </c>
      <c r="AI79" s="20">
        <f>Table4.17[[#This Row],[Net gas 8-24h, ml]]</f>
        <v>46.120088543201696</v>
      </c>
    </row>
    <row r="80" spans="2:35" x14ac:dyDescent="0.35">
      <c r="B80" s="62">
        <f t="shared" si="1"/>
        <v>70</v>
      </c>
      <c r="C80" s="42">
        <f>'1. Information samples'!C80</f>
        <v>46048</v>
      </c>
      <c r="D80" s="42" t="str">
        <f>'1. Information samples'!D80</f>
        <v>Genbank</v>
      </c>
      <c r="E80" s="59">
        <f>'1. Information samples'!E80</f>
        <v>28</v>
      </c>
      <c r="F80" s="42" t="str">
        <f>'1. Information samples'!F80</f>
        <v>F252581</v>
      </c>
      <c r="G80" s="42" t="str">
        <f>'1. Information samples'!G80</f>
        <v>CIAT2690</v>
      </c>
      <c r="H80" s="42" t="str">
        <f>'1. Information samples'!H80</f>
        <v>Stylosanthes</v>
      </c>
      <c r="I80" s="42" t="str">
        <f>'1. Information samples'!I80</f>
        <v>angustifolia</v>
      </c>
      <c r="J80" s="42" t="str">
        <f>'1. Information samples'!J80</f>
        <v>Stylosanthes angustifolia</v>
      </c>
      <c r="K80" s="42" t="str">
        <f>'1. Information samples'!K80</f>
        <v>Fabaceae</v>
      </c>
      <c r="L80" s="42" t="str">
        <f>'1. Information samples'!L80</f>
        <v>Fabales</v>
      </c>
      <c r="M80" s="42" t="str">
        <f>'1. Information samples'!M80</f>
        <v>Herbaceous</v>
      </c>
      <c r="N80" s="20">
        <f>Table95[[#This Row],[Av DM 105]]</f>
        <v>92.303090451268133</v>
      </c>
      <c r="O80" s="20">
        <f>Table95[[#This Row],[Av Ash, %]]</f>
        <v>14.760743763075807</v>
      </c>
      <c r="P80" s="20">
        <f>'4.0 Result Quality Average'!P80</f>
        <v>85.239256236924192</v>
      </c>
      <c r="Q80" s="20">
        <f>'4.0 Result Quality Average'!Q80</f>
        <v>17.543140012820359</v>
      </c>
      <c r="R80" s="20">
        <f>'4.0 Result Quality Average'!R80</f>
        <v>17.543140012820359</v>
      </c>
      <c r="S80" s="20">
        <f>'4.0 Result Quality Average'!S80</f>
        <v>38.196099923294611</v>
      </c>
      <c r="T80" s="20">
        <f>Table4.17[[#This Row],[Net gas 8h, ml]]</f>
        <v>35.882490991876047</v>
      </c>
      <c r="U80" s="20">
        <f>Table4.17[[#This Row],[Net gas 8-24h, ml]]</f>
        <v>18.597163431418828</v>
      </c>
      <c r="V80" s="20">
        <f>Table4.17[[#This Row],[Net gas 24h, ml]]</f>
        <v>79.495756407283167</v>
      </c>
      <c r="W80" s="20">
        <f>Table4.17[[#This Row],[CH4 8h, ml]]</f>
        <v>3.9503439944681644</v>
      </c>
      <c r="X80" s="20">
        <f>Table4.17[[#This Row],[CH4 8-24h, ml]]</f>
        <v>6.6544950013991322</v>
      </c>
      <c r="Y80" s="20">
        <f>Table4.17[[#This Row],[CH4 24h, ml]]</f>
        <v>10.604838995867297</v>
      </c>
      <c r="Z80" s="20">
        <f>Table4.17[[#This Row],[Gas ml/g DM Incubated, 24h]]</f>
        <v>174.65970375486117</v>
      </c>
      <c r="AA80" s="20">
        <f>Table4.17[[#This Row],[% DMD, Truly digestibility]]</f>
        <v>29.903798056353811</v>
      </c>
      <c r="AB80" s="20">
        <f>Table4.17[[#This Row],[Part Fact]]</f>
        <v>1.7150453980904041</v>
      </c>
      <c r="AC80" s="20">
        <f>Table4.17[[#This Row],[CH4 ml in gas, h8]]</f>
        <v>11.000000000000002</v>
      </c>
      <c r="AD80" s="20">
        <f>Table4.17[[#This Row],[CH4 ml in gas, 24h]]</f>
        <v>13.347458271282868</v>
      </c>
      <c r="AE80" s="20">
        <f>Table4.17[[#This Row],[CH4 ml/gDM incubated, 24h]]</f>
        <v>23.299830560803819</v>
      </c>
      <c r="AF80" s="20">
        <f>Table4.17[[#This Row],[CH4 ml/g DMD, 24h2]]</f>
        <v>85.566588174756262</v>
      </c>
      <c r="AG80" s="20">
        <f>Table4.17[[#This Row],[CH4 ml/g NDF digested in 24 h]]</f>
        <v>-1.1530581534756077</v>
      </c>
      <c r="AH80" s="20">
        <f>Table4.17[[#This Row],[CH4 g/g DM incubated, 24h]]</f>
        <v>12.931809072501499</v>
      </c>
      <c r="AI80" s="20">
        <f>Table4.17[[#This Row],[Net gas 8-24h, ml]]</f>
        <v>18.597163431418828</v>
      </c>
    </row>
    <row r="81" spans="2:35" x14ac:dyDescent="0.35">
      <c r="B81" s="62">
        <f t="shared" si="1"/>
        <v>71</v>
      </c>
      <c r="C81" s="42">
        <f>'1. Information samples'!C81</f>
        <v>46048</v>
      </c>
      <c r="D81" s="42" t="str">
        <f>'1. Information samples'!D81</f>
        <v>Genbank</v>
      </c>
      <c r="E81" s="59">
        <f>'1. Information samples'!E81</f>
        <v>28</v>
      </c>
      <c r="F81" s="42" t="str">
        <f>'1. Information samples'!F81</f>
        <v>F252582</v>
      </c>
      <c r="G81" s="42" t="str">
        <f>'1. Information samples'!G81</f>
        <v>CIAT4069</v>
      </c>
      <c r="H81" s="42" t="str">
        <f>'1. Information samples'!H81</f>
        <v>Macroptilium</v>
      </c>
      <c r="I81" s="42" t="str">
        <f>'1. Information samples'!I81</f>
        <v>atropurpureum</v>
      </c>
      <c r="J81" s="42" t="str">
        <f>'1. Information samples'!J81</f>
        <v>Macroptilium atropurpureum</v>
      </c>
      <c r="K81" s="42" t="str">
        <f>'1. Information samples'!K81</f>
        <v>Fabaceae</v>
      </c>
      <c r="L81" s="42" t="str">
        <f>'1. Information samples'!L81</f>
        <v>Fabales</v>
      </c>
      <c r="M81" s="42" t="str">
        <f>'1. Information samples'!M81</f>
        <v>Herbaceous</v>
      </c>
      <c r="N81" s="20">
        <f>Table95[[#This Row],[Av DM 105]]</f>
        <v>90.940899820036037</v>
      </c>
      <c r="O81" s="20">
        <f>Table95[[#This Row],[Av Ash, %]]</f>
        <v>11.819691947658916</v>
      </c>
      <c r="P81" s="20">
        <f>'4.0 Result Quality Average'!P81</f>
        <v>88.180308052341076</v>
      </c>
      <c r="Q81" s="20">
        <f>'4.0 Result Quality Average'!Q81</f>
        <v>20.831379821909206</v>
      </c>
      <c r="R81" s="20">
        <f>'4.0 Result Quality Average'!R81</f>
        <v>20.831379821909206</v>
      </c>
      <c r="S81" s="20">
        <f>'4.0 Result Quality Average'!S81</f>
        <v>32.401008699467063</v>
      </c>
      <c r="T81" s="20">
        <f>Table4.17[[#This Row],[Net gas 8h, ml]]</f>
        <v>28.69499099187605</v>
      </c>
      <c r="U81" s="20">
        <f>Table4.17[[#This Row],[Net gas 8-24h, ml]]</f>
        <v>27.459972975628158</v>
      </c>
      <c r="V81" s="20">
        <f>Table4.17[[#This Row],[Net gas 24h, ml]]</f>
        <v>64.120756407283181</v>
      </c>
      <c r="W81" s="20">
        <f>Table4.17[[#This Row],[CH4 8h, ml]]</f>
        <v>3.2579308472293582</v>
      </c>
      <c r="X81" s="20">
        <f>Table4.17[[#This Row],[CH4 8-24h, ml]]</f>
        <v>4.8719005507846429</v>
      </c>
      <c r="Y81" s="20">
        <f>Table4.17[[#This Row],[CH4 24h, ml]]</f>
        <v>8.1298313980139998</v>
      </c>
      <c r="Z81" s="20">
        <f>Table4.17[[#This Row],[Gas ml/g DM Incubated, 24h]]</f>
        <v>138.89306799981406</v>
      </c>
      <c r="AA81" s="20">
        <f>Table4.17[[#This Row],[% DMD, Truly digestibility]]</f>
        <v>33.67775928470742</v>
      </c>
      <c r="AB81" s="20">
        <f>Table4.17[[#This Row],[Part Fact]]</f>
        <v>2.4268621734776561</v>
      </c>
      <c r="AC81" s="20">
        <f>Table4.17[[#This Row],[CH4 ml in gas, h8]]</f>
        <v>11.350000000000001</v>
      </c>
      <c r="AD81" s="20">
        <f>Table4.17[[#This Row],[CH4 ml in gas, 24h]]</f>
        <v>12.677719719114377</v>
      </c>
      <c r="AE81" s="20">
        <f>Table4.17[[#This Row],[CH4 ml/gDM incubated, 24h]]</f>
        <v>17.610220591689838</v>
      </c>
      <c r="AF81" s="20">
        <f>Table4.17[[#This Row],[CH4 ml/g DMD, 24h2]]</f>
        <v>57.026247004538334</v>
      </c>
      <c r="AG81" s="20">
        <f>Table4.17[[#This Row],[CH4 ml/g NDF digested in 24 h]]</f>
        <v>-0.49935043465580575</v>
      </c>
      <c r="AH81" s="20">
        <f>Table4.17[[#This Row],[CH4 g/g DM incubated, 24h]]</f>
        <v>9.7739771034846008</v>
      </c>
      <c r="AI81" s="20">
        <f>Table4.17[[#This Row],[Net gas 8-24h, ml]]</f>
        <v>27.459972975628158</v>
      </c>
    </row>
    <row r="82" spans="2:35" x14ac:dyDescent="0.35">
      <c r="B82" s="62">
        <f t="shared" si="1"/>
        <v>72</v>
      </c>
      <c r="C82" s="42">
        <f>'1. Information samples'!C82</f>
        <v>46048</v>
      </c>
      <c r="D82" s="42" t="str">
        <f>'1. Information samples'!D82</f>
        <v>Genbank</v>
      </c>
      <c r="E82" s="59">
        <f>'1. Information samples'!E82</f>
        <v>28</v>
      </c>
      <c r="F82" s="42" t="str">
        <f>'1. Information samples'!F82</f>
        <v>F252583</v>
      </c>
      <c r="G82" s="42" t="str">
        <f>'1. Information samples'!G82</f>
        <v>CIAT4141</v>
      </c>
      <c r="H82" s="42" t="str">
        <f>'1. Information samples'!H82</f>
        <v>Vigna</v>
      </c>
      <c r="I82" s="42" t="str">
        <f>'1. Information samples'!I82</f>
        <v>radiata</v>
      </c>
      <c r="J82" s="42" t="str">
        <f>'1. Information samples'!J82</f>
        <v>Vigna radiata</v>
      </c>
      <c r="K82" s="42" t="str">
        <f>'1. Information samples'!K82</f>
        <v>Fabaceae</v>
      </c>
      <c r="L82" s="42" t="str">
        <f>'1. Information samples'!L82</f>
        <v>Fabales</v>
      </c>
      <c r="M82" s="42" t="str">
        <f>'1. Information samples'!M82</f>
        <v>Herbaceous</v>
      </c>
      <c r="N82" s="20">
        <f>Table95[[#This Row],[Av DM 105]]</f>
        <v>92.056984484338841</v>
      </c>
      <c r="O82" s="20">
        <f>Table95[[#This Row],[Av Ash, %]]</f>
        <v>11.967859120708429</v>
      </c>
      <c r="P82" s="20">
        <f>'4.0 Result Quality Average'!P82</f>
        <v>88.032140879291575</v>
      </c>
      <c r="Q82" s="20">
        <f>'4.0 Result Quality Average'!Q82</f>
        <v>19.795833763339559</v>
      </c>
      <c r="R82" s="20">
        <f>'4.0 Result Quality Average'!R82</f>
        <v>19.482004753296192</v>
      </c>
      <c r="S82" s="20">
        <f>'4.0 Result Quality Average'!S82</f>
        <v>28.073702293807472</v>
      </c>
      <c r="T82" s="20">
        <f>Table4.17[[#This Row],[Net gas 8h, ml]]</f>
        <v>34.647906344857979</v>
      </c>
      <c r="U82" s="20">
        <f>Table4.17[[#This Row],[Net gas 8-24h, ml]]</f>
        <v>46.564775620945888</v>
      </c>
      <c r="V82" s="20">
        <f>Table4.17[[#This Row],[Net gas 24h, ml]]</f>
        <v>81.212681965803867</v>
      </c>
      <c r="W82" s="20">
        <f>Table4.17[[#This Row],[CH4 8h, ml]]</f>
        <v>4.6435261063681574</v>
      </c>
      <c r="X82" s="20">
        <f>Table4.17[[#This Row],[CH4 8-24h, ml]]</f>
        <v>7.2965009221221395</v>
      </c>
      <c r="Y82" s="20">
        <f>Table4.17[[#This Row],[CH4 24h, ml]]</f>
        <v>11.940027028490297</v>
      </c>
      <c r="Z82" s="20">
        <f>Table4.17[[#This Row],[Gas ml/g DM Incubated, 24h]]</f>
        <v>178.49287550114431</v>
      </c>
      <c r="AA82" s="20">
        <f>Table4.17[[#This Row],[% DMD, Truly digestibility]]</f>
        <v>40.831834974790091</v>
      </c>
      <c r="AB82" s="20">
        <f>Table4.17[[#This Row],[Part Fact]]</f>
        <v>2.2916786992916589</v>
      </c>
      <c r="AC82" s="20">
        <f>Table4.17[[#This Row],[CH4 ml in gas, h8]]</f>
        <v>13.4</v>
      </c>
      <c r="AD82" s="20">
        <f>Table4.17[[#This Row],[CH4 ml in gas, 24h]]</f>
        <v>14.700915454264178</v>
      </c>
      <c r="AE82" s="20">
        <f>Table4.17[[#This Row],[CH4 ml/gDM incubated, 24h]]</f>
        <v>26.242362354383943</v>
      </c>
      <c r="AF82" s="20">
        <f>Table4.17[[#This Row],[CH4 ml/g DMD, 24h2]]</f>
        <v>67.859285994874881</v>
      </c>
      <c r="AG82" s="20">
        <f>Table4.17[[#This Row],[CH4 ml/g NDF digested in 24 h]]</f>
        <v>-4.8330081465113167E-2</v>
      </c>
      <c r="AH82" s="20">
        <f>Table4.17[[#This Row],[CH4 g/g DM incubated, 24h]]</f>
        <v>14.564965126793025</v>
      </c>
      <c r="AI82" s="20">
        <f>Table4.17[[#This Row],[Net gas 8-24h, ml]]</f>
        <v>46.564775620945888</v>
      </c>
    </row>
    <row r="83" spans="2:35" x14ac:dyDescent="0.35">
      <c r="B83" s="62">
        <f t="shared" si="1"/>
        <v>73</v>
      </c>
      <c r="C83" s="42">
        <f>'1. Information samples'!C83</f>
        <v>46048</v>
      </c>
      <c r="D83" s="42" t="str">
        <f>'1. Information samples'!D83</f>
        <v>Genbank</v>
      </c>
      <c r="E83" s="59">
        <f>'1. Information samples'!E83</f>
        <v>28</v>
      </c>
      <c r="F83" s="42" t="str">
        <f>'1. Information samples'!F83</f>
        <v>F252584</v>
      </c>
      <c r="G83" s="42" t="str">
        <f>'1. Information samples'!G83</f>
        <v>CIAT4532</v>
      </c>
      <c r="H83" s="42" t="str">
        <f>'1. Information samples'!H83</f>
        <v>Vigna</v>
      </c>
      <c r="I83" s="42" t="str">
        <f>'1. Information samples'!I83</f>
        <v>unguiculata</v>
      </c>
      <c r="J83" s="42" t="str">
        <f>'1. Information samples'!J83</f>
        <v>Vigna unguiculata</v>
      </c>
      <c r="K83" s="42" t="str">
        <f>'1. Information samples'!K83</f>
        <v>Fabaceae</v>
      </c>
      <c r="L83" s="42" t="str">
        <f>'1. Information samples'!L83</f>
        <v>Fabales</v>
      </c>
      <c r="M83" s="42" t="str">
        <f>'1. Information samples'!M83</f>
        <v>Herbaceous</v>
      </c>
      <c r="N83" s="20">
        <f>Table95[[#This Row],[Av DM 105]]</f>
        <v>92.22311644007398</v>
      </c>
      <c r="O83" s="20">
        <f>Table95[[#This Row],[Av Ash, %]]</f>
        <v>12.063732667268386</v>
      </c>
      <c r="P83" s="20">
        <f>'4.0 Result Quality Average'!P83</f>
        <v>87.936267332731617</v>
      </c>
      <c r="Q83" s="20">
        <f>'4.0 Result Quality Average'!Q83</f>
        <v>18.936281801589576</v>
      </c>
      <c r="R83" s="20">
        <f>'4.0 Result Quality Average'!R83</f>
        <v>18.936281801589576</v>
      </c>
      <c r="S83" s="20">
        <f>'4.0 Result Quality Average'!S83</f>
        <v>24.100880154676435</v>
      </c>
      <c r="T83" s="20">
        <f>Table4.17[[#This Row],[Net gas 8h, ml]]</f>
        <v>40.632490991876047</v>
      </c>
      <c r="U83" s="20">
        <f>Table4.17[[#This Row],[Net gas 8-24h, ml]]</f>
        <v>21.175401465457501</v>
      </c>
      <c r="V83" s="20">
        <f>Table4.17[[#This Row],[Net gas 24h, ml]]</f>
        <v>87.058256407283167</v>
      </c>
      <c r="W83" s="20">
        <f>Table4.17[[#This Row],[CH4 8h, ml]]</f>
        <v>5.3474634901232747</v>
      </c>
      <c r="X83" s="20">
        <f>Table4.17[[#This Row],[CH4 8-24h, ml]]</f>
        <v>7.3622155326583432</v>
      </c>
      <c r="Y83" s="20">
        <f>Table4.17[[#This Row],[CH4 24h, ml]]</f>
        <v>12.709679022781616</v>
      </c>
      <c r="Z83" s="20">
        <f>Table4.17[[#This Row],[Gas ml/g DM Incubated, 24h]]</f>
        <v>189.04432984231661</v>
      </c>
      <c r="AA83" s="20">
        <f>Table4.17[[#This Row],[% DMD, Truly digestibility]]</f>
        <v>37.305646145729412</v>
      </c>
      <c r="AB83" s="20">
        <f>Table4.17[[#This Row],[Part Fact]]</f>
        <v>1.9809683738782167</v>
      </c>
      <c r="AC83" s="20">
        <f>Table4.17[[#This Row],[CH4 ml in gas, h8]]</f>
        <v>13.174999999999999</v>
      </c>
      <c r="AD83" s="20">
        <f>Table4.17[[#This Row],[CH4 ml in gas, 24h]]</f>
        <v>14.603173758387967</v>
      </c>
      <c r="AE83" s="20">
        <f>Table4.17[[#This Row],[CH4 ml/gDM incubated, 24h]]</f>
        <v>27.598772678629928</v>
      </c>
      <c r="AF83" s="20">
        <f>Table4.17[[#This Row],[CH4 ml/g DMD, 24h2]]</f>
        <v>78.965143231105216</v>
      </c>
      <c r="AG83" s="20">
        <f>Table4.17[[#This Row],[CH4 ml/g NDF digested in 24 h]]</f>
        <v>-1.6536021133493044</v>
      </c>
      <c r="AH83" s="20">
        <f>Table4.17[[#This Row],[CH4 g/g DM incubated, 24h]]</f>
        <v>15.317796324056193</v>
      </c>
      <c r="AI83" s="20">
        <f>Table4.17[[#This Row],[Net gas 8-24h, ml]]</f>
        <v>21.175401465457501</v>
      </c>
    </row>
    <row r="84" spans="2:35" x14ac:dyDescent="0.35">
      <c r="B84" s="62">
        <f t="shared" si="1"/>
        <v>74</v>
      </c>
      <c r="C84" s="42">
        <f>'1. Information samples'!C84</f>
        <v>46048</v>
      </c>
      <c r="D84" s="42" t="str">
        <f>'1. Information samples'!D84</f>
        <v>Genbank</v>
      </c>
      <c r="E84" s="59">
        <f>'1. Information samples'!E84</f>
        <v>28</v>
      </c>
      <c r="F84" s="42" t="str">
        <f>'1. Information samples'!F84</f>
        <v>F252585</v>
      </c>
      <c r="G84" s="42" t="str">
        <f>'1. Information samples'!G84</f>
        <v>CIAT4537</v>
      </c>
      <c r="H84" s="42" t="str">
        <f>'1. Information samples'!H84</f>
        <v>Vigna</v>
      </c>
      <c r="I84" s="42" t="str">
        <f>'1. Information samples'!I84</f>
        <v>unguiculata</v>
      </c>
      <c r="J84" s="42" t="str">
        <f>'1. Information samples'!J84</f>
        <v>Vigna unguiculata</v>
      </c>
      <c r="K84" s="42" t="str">
        <f>'1. Information samples'!K84</f>
        <v>Fabaceae</v>
      </c>
      <c r="L84" s="42" t="str">
        <f>'1. Information samples'!L84</f>
        <v>Fabales</v>
      </c>
      <c r="M84" s="42" t="str">
        <f>'1. Information samples'!M84</f>
        <v>Herbaceous</v>
      </c>
      <c r="N84" s="20">
        <f>Table95[[#This Row],[Av DM 105]]</f>
        <v>91.40629561131658</v>
      </c>
      <c r="O84" s="20">
        <f>Table95[[#This Row],[Av Ash, %]]</f>
        <v>5.7482120859845942</v>
      </c>
      <c r="P84" s="20">
        <f>'4.0 Result Quality Average'!P84</f>
        <v>94.251787914015409</v>
      </c>
      <c r="Q84" s="20">
        <f>'4.0 Result Quality Average'!Q84</f>
        <v>25.084380889854529</v>
      </c>
      <c r="R84" s="20">
        <f>'4.0 Result Quality Average'!R84</f>
        <v>25.084380889854529</v>
      </c>
      <c r="S84" s="20">
        <f>'4.0 Result Quality Average'!S84</f>
        <v>28.169096793048322</v>
      </c>
      <c r="T84" s="20">
        <f>Table4.17[[#This Row],[Net gas 8h, ml]]</f>
        <v>39.069990991876047</v>
      </c>
      <c r="U84" s="20">
        <f>Table4.17[[#This Row],[Net gas 8-24h, ml]]</f>
        <v>15.014849157944422</v>
      </c>
      <c r="V84" s="20">
        <f>Table4.17[[#This Row],[Net gas 24h, ml]]</f>
        <v>84.058256407283167</v>
      </c>
      <c r="W84" s="20">
        <f>Table4.17[[#This Row],[CH4 8h, ml]]</f>
        <v>4.5925695572558087</v>
      </c>
      <c r="X84" s="20">
        <f>Table4.17[[#This Row],[CH4 8-24h, ml]]</f>
        <v>6.9340490423640864</v>
      </c>
      <c r="Y84" s="20">
        <f>Table4.17[[#This Row],[CH4 24h, ml]]</f>
        <v>11.526618599619894</v>
      </c>
      <c r="Z84" s="20">
        <f>Table4.17[[#This Row],[Gas ml/g DM Incubated, 24h]]</f>
        <v>182.17870955212288</v>
      </c>
      <c r="AA84" s="20">
        <f>Table4.17[[#This Row],[% DMD, Truly digestibility]]</f>
        <v>46.916913031100862</v>
      </c>
      <c r="AB84" s="20">
        <f>Table4.17[[#This Row],[Part Fact]]</f>
        <v>2.7449605529209347</v>
      </c>
      <c r="AC84" s="20">
        <f>Table4.17[[#This Row],[CH4 ml in gas, h8]]</f>
        <v>11.75</v>
      </c>
      <c r="AD84" s="20">
        <f>Table4.17[[#This Row],[CH4 ml in gas, 24h]]</f>
        <v>13.70950207490522</v>
      </c>
      <c r="AE84" s="20">
        <f>Table4.17[[#This Row],[CH4 ml/gDM incubated, 24h]]</f>
        <v>24.981556393969655</v>
      </c>
      <c r="AF84" s="20">
        <f>Table4.17[[#This Row],[CH4 ml/g DMD, 24h2]]</f>
        <v>52.996342493377853</v>
      </c>
      <c r="AG84" s="20">
        <f>Table4.17[[#This Row],[CH4 ml/g NDF digested in 24 h]]</f>
        <v>0.54760319662609946</v>
      </c>
      <c r="AH84" s="20">
        <f>Table4.17[[#This Row],[CH4 g/g DM incubated, 24h]]</f>
        <v>13.865196005511185</v>
      </c>
      <c r="AI84" s="20">
        <f>Table4.17[[#This Row],[Net gas 8-24h, ml]]</f>
        <v>15.014849157944422</v>
      </c>
    </row>
    <row r="85" spans="2:35" x14ac:dyDescent="0.35">
      <c r="B85" s="62">
        <f t="shared" si="1"/>
        <v>75</v>
      </c>
      <c r="C85" s="42">
        <f>'1. Information samples'!C85</f>
        <v>46048</v>
      </c>
      <c r="D85" s="42" t="str">
        <f>'1. Information samples'!D85</f>
        <v>Genbank</v>
      </c>
      <c r="E85" s="59">
        <f>'1. Information samples'!E85</f>
        <v>28</v>
      </c>
      <c r="F85" s="42" t="str">
        <f>'1. Information samples'!F85</f>
        <v>F252586</v>
      </c>
      <c r="G85" s="42" t="str">
        <f>'1. Information samples'!G85</f>
        <v>CIAT7289</v>
      </c>
      <c r="H85" s="42" t="str">
        <f>'1. Information samples'!H85</f>
        <v>Chamaecrista</v>
      </c>
      <c r="I85" s="42" t="str">
        <f>'1. Information samples'!I85</f>
        <v>mimosoides</v>
      </c>
      <c r="J85" s="42" t="str">
        <f>'1. Information samples'!J85</f>
        <v>Chamaecrista mimosoides</v>
      </c>
      <c r="K85" s="42" t="str">
        <f>'1. Information samples'!K85</f>
        <v>Fabaceae</v>
      </c>
      <c r="L85" s="42" t="str">
        <f>'1. Information samples'!L85</f>
        <v>Fabales</v>
      </c>
      <c r="M85" s="42" t="str">
        <f>'1. Information samples'!M85</f>
        <v>Herbaceous</v>
      </c>
      <c r="N85" s="20">
        <f>Table95[[#This Row],[Av DM 105]]</f>
        <v>90.756850037279605</v>
      </c>
      <c r="O85" s="20">
        <f>Table95[[#This Row],[Av Ash, %]]</f>
        <v>8.3227821066313989</v>
      </c>
      <c r="P85" s="20">
        <f>'4.0 Result Quality Average'!P85</f>
        <v>91.677217893368606</v>
      </c>
      <c r="Q85" s="20">
        <f>'4.0 Result Quality Average'!Q85</f>
        <v>18.559443730372223</v>
      </c>
      <c r="R85" s="20">
        <f>'4.0 Result Quality Average'!R85</f>
        <v>18.559443730372223</v>
      </c>
      <c r="S85" s="20">
        <f>'4.0 Result Quality Average'!S85</f>
        <v>37.055952980039585</v>
      </c>
      <c r="T85" s="20">
        <f>Table4.17[[#This Row],[Net gas 8h, ml]]</f>
        <v>36.996240428868305</v>
      </c>
      <c r="U85" s="20">
        <f>Table4.17[[#This Row],[Net gas 8-24h, ml]]</f>
        <v>29.516377747732822</v>
      </c>
      <c r="V85" s="20">
        <f>Table4.17[[#This Row],[Net gas 24h, ml]]</f>
        <v>75.611016049814182</v>
      </c>
      <c r="W85" s="20">
        <f>Table4.17[[#This Row],[CH4 8h, ml]]</f>
        <v>5.2005601075839145</v>
      </c>
      <c r="X85" s="20">
        <f>Table4.17[[#This Row],[CH4 8-24h, ml]]</f>
        <v>6.785697380063918</v>
      </c>
      <c r="Y85" s="20">
        <f>Table4.17[[#This Row],[CH4 24h, ml]]</f>
        <v>11.986257487647832</v>
      </c>
      <c r="Z85" s="20">
        <f>Table4.17[[#This Row],[Gas ml/g DM Incubated, 24h]]</f>
        <v>165.32844091978401</v>
      </c>
      <c r="AA85" s="20">
        <f>Table4.17[[#This Row],[% DMD, Truly digestibility]]</f>
        <v>34.879267824109363</v>
      </c>
      <c r="AB85" s="20">
        <f>Table4.17[[#This Row],[Part Fact]]</f>
        <v>2.1159750074445309</v>
      </c>
      <c r="AC85" s="20">
        <f>Table4.17[[#This Row],[CH4 ml in gas, h8]]</f>
        <v>14.050000000000002</v>
      </c>
      <c r="AD85" s="20">
        <f>Table4.17[[#This Row],[CH4 ml in gas, 24h]]</f>
        <v>15.854439008949825</v>
      </c>
      <c r="AE85" s="20">
        <f>Table4.17[[#This Row],[CH4 ml/gDM incubated, 24h]]</f>
        <v>26.208834673574287</v>
      </c>
      <c r="AF85" s="20">
        <f>Table4.17[[#This Row],[CH4 ml/g DMD, 24h2]]</f>
        <v>78.43083966378731</v>
      </c>
      <c r="AG85" s="20">
        <f>Table4.17[[#This Row],[CH4 ml/g NDF digested in 24 h]]</f>
        <v>-0.63336941509494837</v>
      </c>
      <c r="AH85" s="20">
        <f>Table4.17[[#This Row],[CH4 g/g DM incubated, 24h]]</f>
        <v>14.546356683879985</v>
      </c>
      <c r="AI85" s="20">
        <f>Table4.17[[#This Row],[Net gas 8-24h, ml]]</f>
        <v>29.516377747732822</v>
      </c>
    </row>
    <row r="86" spans="2:35" x14ac:dyDescent="0.35">
      <c r="B86" s="62">
        <f t="shared" si="1"/>
        <v>76</v>
      </c>
      <c r="C86" s="42">
        <f>'1. Information samples'!C86</f>
        <v>46048</v>
      </c>
      <c r="D86" s="42" t="str">
        <f>'1. Information samples'!D86</f>
        <v>Genbank</v>
      </c>
      <c r="E86" s="59">
        <f>'1. Information samples'!E86</f>
        <v>28</v>
      </c>
      <c r="F86" s="42" t="str">
        <f>'1. Information samples'!F86</f>
        <v>F252587</v>
      </c>
      <c r="G86" s="42" t="str">
        <f>'1. Information samples'!G86</f>
        <v>CIAT7826</v>
      </c>
      <c r="H86" s="42" t="str">
        <f>'1. Information samples'!H86</f>
        <v>Tephrosia</v>
      </c>
      <c r="I86" s="42" t="str">
        <f>'1. Information samples'!I86</f>
        <v>purpurea</v>
      </c>
      <c r="J86" s="42" t="str">
        <f>'1. Information samples'!J86</f>
        <v>Tephrosia purpurea</v>
      </c>
      <c r="K86" s="42" t="str">
        <f>'1. Information samples'!K86</f>
        <v>Fabaceae</v>
      </c>
      <c r="L86" s="42" t="str">
        <f>'1. Information samples'!L86</f>
        <v>Fabales</v>
      </c>
      <c r="M86" s="42" t="str">
        <f>'1. Information samples'!M86</f>
        <v>Herbaceous</v>
      </c>
      <c r="N86" s="20">
        <f>Table95[[#This Row],[Av DM 105]]</f>
        <v>91.313910044456179</v>
      </c>
      <c r="O86" s="20">
        <f>Table95[[#This Row],[Av Ash, %]]</f>
        <v>8.9321844106076647</v>
      </c>
      <c r="P86" s="20">
        <f>'4.0 Result Quality Average'!P86</f>
        <v>91.067815589392325</v>
      </c>
      <c r="Q86" s="20">
        <f>'4.0 Result Quality Average'!Q86</f>
        <v>21.70179374941814</v>
      </c>
      <c r="R86" s="20">
        <f>'4.0 Result Quality Average'!R86</f>
        <v>21.70179374941814</v>
      </c>
      <c r="S86" s="20">
        <f>'4.0 Result Quality Average'!S86</f>
        <v>29.581258475242024</v>
      </c>
      <c r="T86" s="20">
        <f>Table4.17[[#This Row],[Net gas 8h, ml]]</f>
        <v>32.007490991876047</v>
      </c>
      <c r="U86" s="20">
        <f>Table4.17[[#This Row],[Net gas 8-24h, ml]]</f>
        <v>32.763830098085485</v>
      </c>
      <c r="V86" s="20">
        <f>Table4.17[[#This Row],[Net gas 24h, ml]]</f>
        <v>68.245756407283167</v>
      </c>
      <c r="W86" s="20">
        <f>Table4.17[[#This Row],[CH4 8h, ml]]</f>
        <v>4.2839384732330421</v>
      </c>
      <c r="X86" s="20">
        <f>Table4.17[[#This Row],[CH4 8-24h, ml]]</f>
        <v>5.831219629896558</v>
      </c>
      <c r="Y86" s="20">
        <f>Table4.17[[#This Row],[CH4 24h, ml]]</f>
        <v>10.1151581031296</v>
      </c>
      <c r="Z86" s="20">
        <f>Table4.17[[#This Row],[Gas ml/g DM Incubated, 24h]]</f>
        <v>150.33686357097812</v>
      </c>
      <c r="AA86" s="20">
        <f>Table4.17[[#This Row],[% DMD, Truly digestibility]]</f>
        <v>34.585847337603099</v>
      </c>
      <c r="AB86" s="20">
        <f>Table4.17[[#This Row],[Part Fact]]</f>
        <v>2.314349612029988</v>
      </c>
      <c r="AC86" s="20">
        <f>Table4.17[[#This Row],[CH4 ml in gas, h8]]</f>
        <v>13.375000000000002</v>
      </c>
      <c r="AD86" s="20">
        <f>Table4.17[[#This Row],[CH4 ml in gas, 24h]]</f>
        <v>14.830850019734381</v>
      </c>
      <c r="AE86" s="20">
        <f>Table4.17[[#This Row],[CH4 ml/gDM incubated, 24h]]</f>
        <v>22.28241925295367</v>
      </c>
      <c r="AF86" s="20">
        <f>Table4.17[[#This Row],[CH4 ml/g DMD, 24h2]]</f>
        <v>66.845750029382287</v>
      </c>
      <c r="AG86" s="20">
        <f>Table4.17[[#This Row],[CH4 ml/g NDF digested in 24 h]]</f>
        <v>-0.6959728887763883</v>
      </c>
      <c r="AH86" s="20">
        <f>Table4.17[[#This Row],[CH4 g/g DM incubated, 24h]]</f>
        <v>12.367128194372899</v>
      </c>
      <c r="AI86" s="20">
        <f>Table4.17[[#This Row],[Net gas 8-24h, ml]]</f>
        <v>32.763830098085485</v>
      </c>
    </row>
    <row r="87" spans="2:35" x14ac:dyDescent="0.35">
      <c r="B87" s="62">
        <f t="shared" si="1"/>
        <v>77</v>
      </c>
      <c r="C87" s="42">
        <f>'1. Information samples'!C87</f>
        <v>46048</v>
      </c>
      <c r="D87" s="42" t="str">
        <f>'1. Information samples'!D87</f>
        <v>Genbank</v>
      </c>
      <c r="E87" s="59">
        <f>'1. Information samples'!E87</f>
        <v>28</v>
      </c>
      <c r="F87" s="42" t="str">
        <f>'1. Information samples'!F87</f>
        <v>F252588</v>
      </c>
      <c r="G87" s="42" t="str">
        <f>'1. Information samples'!G87</f>
        <v>CIAT8014</v>
      </c>
      <c r="H87" s="42" t="str">
        <f>'1. Information samples'!H87</f>
        <v>Crotalaria</v>
      </c>
      <c r="I87" s="42" t="str">
        <f>'1. Information samples'!I87</f>
        <v>retusa</v>
      </c>
      <c r="J87" s="42" t="str">
        <f>'1. Information samples'!J87</f>
        <v>Crotalaria retusa</v>
      </c>
      <c r="K87" s="42" t="str">
        <f>'1. Information samples'!K87</f>
        <v>Fabaceae</v>
      </c>
      <c r="L87" s="42" t="str">
        <f>'1. Information samples'!L87</f>
        <v>Fabales</v>
      </c>
      <c r="M87" s="42" t="str">
        <f>'1. Information samples'!M87</f>
        <v>Herbaceous</v>
      </c>
      <c r="N87" s="20">
        <f>Table95[[#This Row],[Av DM 105]]</f>
        <v>91.313910044456179</v>
      </c>
      <c r="O87" s="20">
        <f>Table95[[#This Row],[Av Ash, %]]</f>
        <v>8.9321844106076647</v>
      </c>
      <c r="P87" s="20">
        <f>'4.0 Result Quality Average'!P87</f>
        <v>91.067815589392325</v>
      </c>
      <c r="Q87" s="20">
        <f>'4.0 Result Quality Average'!Q87</f>
        <v>21.183406489283914</v>
      </c>
      <c r="R87" s="20">
        <f>'4.0 Result Quality Average'!R87</f>
        <v>21.183406489283914</v>
      </c>
      <c r="S87" s="20">
        <f>'4.0 Result Quality Average'!S87</f>
        <v>31.01340150567945</v>
      </c>
      <c r="T87" s="20">
        <f>Table4.17[[#This Row],[Net gas 8h, ml]]</f>
        <v>43.389097571725436</v>
      </c>
      <c r="U87" s="20">
        <f>Table4.17[[#This Row],[Net gas 8-24h, ml]]</f>
        <v>49.556769789209454</v>
      </c>
      <c r="V87" s="20">
        <f>Table4.17[[#This Row],[Net gas 24h, ml]]</f>
        <v>92.945867360934898</v>
      </c>
      <c r="W87" s="20">
        <f>Table4.17[[#This Row],[CH4 8h, ml]]</f>
        <v>5.3234914963355902</v>
      </c>
      <c r="X87" s="20">
        <f>Table4.17[[#This Row],[CH4 8-24h, ml]]</f>
        <v>7.0770928145333443</v>
      </c>
      <c r="Y87" s="20">
        <f>Table4.17[[#This Row],[CH4 24h, ml]]</f>
        <v>12.400584310868934</v>
      </c>
      <c r="Z87" s="20">
        <f>Table4.17[[#This Row],[Gas ml/g DM Incubated, 24h]]</f>
        <v>203.42918727921656</v>
      </c>
      <c r="AA87" s="20">
        <f>Table4.17[[#This Row],[% DMD, Truly digestibility]]</f>
        <v>51.764323396034747</v>
      </c>
      <c r="AB87" s="20">
        <f>Table4.17[[#This Row],[Part Fact]]</f>
        <v>2.5463929433857118</v>
      </c>
      <c r="AC87" s="20">
        <f>Table4.17[[#This Row],[CH4 ml in gas, h8]]</f>
        <v>12.27142857142857</v>
      </c>
      <c r="AD87" s="20">
        <f>Table4.17[[#This Row],[CH4 ml in gas, 24h]]</f>
        <v>13.347104824848312</v>
      </c>
      <c r="AE87" s="20">
        <f>Table4.17[[#This Row],[CH4 ml/gDM incubated, 24h]]</f>
        <v>27.141045045168227</v>
      </c>
      <c r="AF87" s="20">
        <f>Table4.17[[#This Row],[CH4 ml/g DMD, 24h2]]</f>
        <v>53.288716638290161</v>
      </c>
      <c r="AG87" s="20">
        <f>Table4.17[[#This Row],[CH4 ml/g NDF digested in 24 h]]</f>
        <v>1.7791253390625521</v>
      </c>
      <c r="AH87" s="20">
        <f>Table4.17[[#This Row],[CH4 g/g DM incubated, 24h]]</f>
        <v>15.063749568321743</v>
      </c>
      <c r="AI87" s="20">
        <f>Table4.17[[#This Row],[Net gas 8-24h, ml]]</f>
        <v>49.556769789209454</v>
      </c>
    </row>
    <row r="88" spans="2:35" x14ac:dyDescent="0.35">
      <c r="B88" s="62">
        <f t="shared" si="1"/>
        <v>78</v>
      </c>
      <c r="C88" s="42">
        <f>'1. Information samples'!C88</f>
        <v>46048</v>
      </c>
      <c r="D88" s="42" t="str">
        <f>'1. Information samples'!D88</f>
        <v>Genbank</v>
      </c>
      <c r="E88" s="59">
        <f>'1. Information samples'!E88</f>
        <v>28</v>
      </c>
      <c r="F88" s="42" t="str">
        <f>'1. Information samples'!F88</f>
        <v>F252589</v>
      </c>
      <c r="G88" s="42" t="str">
        <f>'1. Information samples'!G88</f>
        <v>CIAT8849</v>
      </c>
      <c r="H88" s="42" t="str">
        <f>'1. Information samples'!H88</f>
        <v>Zornia</v>
      </c>
      <c r="I88" s="42" t="str">
        <f>'1. Information samples'!I88</f>
        <v>brasiliensis</v>
      </c>
      <c r="J88" s="42" t="str">
        <f>'1. Information samples'!J88</f>
        <v>Zornia brasiliensis</v>
      </c>
      <c r="K88" s="42" t="str">
        <f>'1. Information samples'!K88</f>
        <v>Fabaceae</v>
      </c>
      <c r="L88" s="42" t="str">
        <f>'1. Information samples'!L88</f>
        <v>Fabales</v>
      </c>
      <c r="M88" s="42" t="str">
        <f>'1. Information samples'!M88</f>
        <v>Herbaceous</v>
      </c>
      <c r="N88" s="20">
        <f>Table95[[#This Row],[Av DM 105]]</f>
        <v>90.255486451354926</v>
      </c>
      <c r="O88" s="20">
        <f>Table95[[#This Row],[Av Ash, %]]</f>
        <v>9.6166619723153879</v>
      </c>
      <c r="P88" s="20">
        <f>'4.0 Result Quality Average'!P88</f>
        <v>90.383338027684616</v>
      </c>
      <c r="Q88" s="20">
        <f>'4.0 Result Quality Average'!Q88</f>
        <v>17.570233853358662</v>
      </c>
      <c r="R88" s="20">
        <f>'4.0 Result Quality Average'!R88</f>
        <v>17.570233853358662</v>
      </c>
      <c r="S88" s="20">
        <f>'4.0 Result Quality Average'!S88</f>
        <v>27.227431918689334</v>
      </c>
      <c r="T88" s="20">
        <f>Table4.17[[#This Row],[Net gas 8h, ml]]</f>
        <v>33.507490991876047</v>
      </c>
      <c r="U88" s="20">
        <f>Table4.17[[#This Row],[Net gas 8-24h, ml]]</f>
        <v>54.763830098085499</v>
      </c>
      <c r="V88" s="20">
        <f>Table4.17[[#This Row],[Net gas 24h, ml]]</f>
        <v>71.308256407283167</v>
      </c>
      <c r="W88" s="20">
        <f>Table4.17[[#This Row],[CH4 8h, ml]]</f>
        <v>4.2538163492121654</v>
      </c>
      <c r="X88" s="20">
        <f>Table4.17[[#This Row],[CH4 8-24h, ml]]</f>
        <v>6.5276999934069737</v>
      </c>
      <c r="Y88" s="20">
        <f>Table4.17[[#This Row],[CH4 24h, ml]]</f>
        <v>10.78151634261914</v>
      </c>
      <c r="Z88" s="20">
        <f>Table4.17[[#This Row],[Gas ml/g DM Incubated, 24h]]</f>
        <v>157.9311570718483</v>
      </c>
      <c r="AA88" s="20">
        <f>Table4.17[[#This Row],[% DMD, Truly digestibility]]</f>
        <v>37.412061244567113</v>
      </c>
      <c r="AB88" s="20">
        <f>Table4.17[[#This Row],[Part Fact]]</f>
        <v>2.3693006429505359</v>
      </c>
      <c r="AC88" s="20">
        <f>Table4.17[[#This Row],[CH4 ml in gas, h8]]</f>
        <v>12.7</v>
      </c>
      <c r="AD88" s="20">
        <f>Table4.17[[#This Row],[CH4 ml in gas, 24h]]</f>
        <v>15.120234761353448</v>
      </c>
      <c r="AE88" s="20">
        <f>Table4.17[[#This Row],[CH4 ml/gDM incubated, 24h]]</f>
        <v>23.878543870262948</v>
      </c>
      <c r="AF88" s="20">
        <f>Table4.17[[#This Row],[CH4 ml/g DMD, 24h2]]</f>
        <v>65.40904568076995</v>
      </c>
      <c r="AG88" s="20">
        <f>Table4.17[[#This Row],[CH4 ml/g NDF digested in 24 h]]</f>
        <v>-0.73591105803755852</v>
      </c>
      <c r="AH88" s="20">
        <f>Table4.17[[#This Row],[CH4 g/g DM incubated, 24h]]</f>
        <v>13.253004971592304</v>
      </c>
      <c r="AI88" s="20">
        <f>Table4.17[[#This Row],[Net gas 8-24h, ml]]</f>
        <v>54.763830098085499</v>
      </c>
    </row>
    <row r="89" spans="2:35" x14ac:dyDescent="0.35">
      <c r="B89" s="62">
        <f t="shared" si="1"/>
        <v>79</v>
      </c>
      <c r="C89" s="42">
        <f>'1. Information samples'!C89</f>
        <v>46048</v>
      </c>
      <c r="D89" s="42" t="str">
        <f>'1. Information samples'!D89</f>
        <v>Genbank</v>
      </c>
      <c r="E89" s="59">
        <f>'1. Information samples'!E89</f>
        <v>28</v>
      </c>
      <c r="F89" s="42" t="str">
        <f>'1. Information samples'!F89</f>
        <v>F252590</v>
      </c>
      <c r="G89" s="42" t="str">
        <f>'1. Information samples'!G89</f>
        <v>CIAT9326</v>
      </c>
      <c r="H89" s="42" t="str">
        <f>'1. Information samples'!H89</f>
        <v>Crotalaria</v>
      </c>
      <c r="I89" s="42" t="str">
        <f>'1. Information samples'!I89</f>
        <v>retusa</v>
      </c>
      <c r="J89" s="42" t="str">
        <f>'1. Information samples'!J89</f>
        <v>Crotalaria retusa</v>
      </c>
      <c r="K89" s="42" t="str">
        <f>'1. Information samples'!K89</f>
        <v>Fabaceae</v>
      </c>
      <c r="L89" s="42" t="str">
        <f>'1. Information samples'!L89</f>
        <v>Fabales</v>
      </c>
      <c r="M89" s="42" t="str">
        <f>'1. Information samples'!M89</f>
        <v>Herbaceous</v>
      </c>
      <c r="N89" s="20">
        <f>Table95[[#This Row],[Av DM 105]]</f>
        <v>92.005799420057954</v>
      </c>
      <c r="O89" s="20">
        <f>Table95[[#This Row],[Av Ash, %]]</f>
        <v>7.7541705156767726</v>
      </c>
      <c r="P89" s="20">
        <f>'4.0 Result Quality Average'!P89</f>
        <v>92.245829484323224</v>
      </c>
      <c r="Q89" s="20">
        <f>'4.0 Result Quality Average'!Q89</f>
        <v>18.839065087506274</v>
      </c>
      <c r="R89" s="20">
        <f>'4.0 Result Quality Average'!R89</f>
        <v>18.839065087506274</v>
      </c>
      <c r="S89" s="20">
        <f>'4.0 Result Quality Average'!S89</f>
        <v>32.051671234382816</v>
      </c>
      <c r="T89" s="20">
        <f>Table4.17[[#This Row],[Net gas 8h, ml]]</f>
        <v>38.603383286011159</v>
      </c>
      <c r="U89" s="20">
        <f>Table4.17[[#This Row],[Net gas 8-24h, ml]]</f>
        <v>51.913912646352308</v>
      </c>
      <c r="V89" s="20">
        <f>Table4.17[[#This Row],[Net gas 24h, ml]]</f>
        <v>90.517295932363467</v>
      </c>
      <c r="W89" s="20">
        <f>Table4.17[[#This Row],[CH4 8h, ml]]</f>
        <v>4.6964957929883111</v>
      </c>
      <c r="X89" s="20">
        <f>Table4.17[[#This Row],[CH4 8-24h, ml]]</f>
        <v>7.5912219519667454</v>
      </c>
      <c r="Y89" s="20">
        <f>Table4.17[[#This Row],[CH4 24h, ml]]</f>
        <v>12.287717744955058</v>
      </c>
      <c r="Z89" s="20">
        <f>Table4.17[[#This Row],[Gas ml/g DM Incubated, 24h]]</f>
        <v>196.67958481500878</v>
      </c>
      <c r="AA89" s="20">
        <f>Table4.17[[#This Row],[% DMD, Truly digestibility]]</f>
        <v>44.236943766864968</v>
      </c>
      <c r="AB89" s="20">
        <f>Table4.17[[#This Row],[Part Fact]]</f>
        <v>2.2551199330298473</v>
      </c>
      <c r="AC89" s="20">
        <f>Table4.17[[#This Row],[CH4 ml in gas, h8]]</f>
        <v>12.157142857142857</v>
      </c>
      <c r="AD89" s="20">
        <f>Table4.17[[#This Row],[CH4 ml in gas, 24h]]</f>
        <v>13.579560168806085</v>
      </c>
      <c r="AE89" s="20">
        <f>Table4.17[[#This Row],[CH4 ml/gDM incubated, 24h]]</f>
        <v>26.699209764453833</v>
      </c>
      <c r="AF89" s="20">
        <f>Table4.17[[#This Row],[CH4 ml/g DMD, 24h2]]</f>
        <v>62.071700145351954</v>
      </c>
      <c r="AG89" s="20">
        <f>Table4.17[[#This Row],[CH4 ml/g NDF digested in 24 h]]</f>
        <v>-1.6572813325943834</v>
      </c>
      <c r="AH89" s="20">
        <f>Table4.17[[#This Row],[CH4 g/g DM incubated, 24h]]</f>
        <v>14.818523343316246</v>
      </c>
      <c r="AI89" s="20">
        <f>Table4.17[[#This Row],[Net gas 8-24h, ml]]</f>
        <v>51.913912646352308</v>
      </c>
    </row>
    <row r="90" spans="2:35" x14ac:dyDescent="0.35">
      <c r="B90" s="62">
        <f t="shared" si="1"/>
        <v>80</v>
      </c>
      <c r="C90" s="42">
        <f>'1. Information samples'!C90</f>
        <v>46048</v>
      </c>
      <c r="D90" s="42" t="str">
        <f>'1. Information samples'!D90</f>
        <v>Genbank</v>
      </c>
      <c r="E90" s="59">
        <f>'1. Information samples'!E90</f>
        <v>28</v>
      </c>
      <c r="F90" s="42" t="str">
        <f>'1. Information samples'!F90</f>
        <v>F252591</v>
      </c>
      <c r="G90" s="42" t="str">
        <f>'1. Information samples'!G90</f>
        <v>CIAT9337</v>
      </c>
      <c r="H90" s="42" t="str">
        <f>'1. Information samples'!H90</f>
        <v>Crotalaria</v>
      </c>
      <c r="I90" s="42" t="str">
        <f>'1. Information samples'!I90</f>
        <v>retusa</v>
      </c>
      <c r="J90" s="42" t="str">
        <f>'1. Information samples'!J90</f>
        <v>Crotalaria retusa</v>
      </c>
      <c r="K90" s="42" t="str">
        <f>'1. Information samples'!K90</f>
        <v>Fabaceae</v>
      </c>
      <c r="L90" s="42" t="str">
        <f>'1. Information samples'!L90</f>
        <v>Fabales</v>
      </c>
      <c r="M90" s="42" t="str">
        <f>'1. Information samples'!M90</f>
        <v>Herbaceous</v>
      </c>
      <c r="N90" s="20">
        <f>Table95[[#This Row],[Av DM 105]]</f>
        <v>92.167346218880965</v>
      </c>
      <c r="O90" s="20">
        <f>Table95[[#This Row],[Av Ash, %]]</f>
        <v>8.7531898615712507</v>
      </c>
      <c r="P90" s="20">
        <f>'4.0 Result Quality Average'!P90</f>
        <v>91.246810138428742</v>
      </c>
      <c r="Q90" s="20">
        <f>'4.0 Result Quality Average'!Q90</f>
        <v>22.457800610107149</v>
      </c>
      <c r="R90" s="20">
        <f>'4.0 Result Quality Average'!R90</f>
        <v>22.457800610107149</v>
      </c>
      <c r="S90" s="20">
        <f>'4.0 Result Quality Average'!S90</f>
        <v>26.159414577112084</v>
      </c>
      <c r="T90" s="20">
        <f>Table4.17[[#This Row],[Net gas 8h, ml]]</f>
        <v>36.957909347565952</v>
      </c>
      <c r="U90" s="20">
        <f>Table4.17[[#This Row],[Net gas 8-24h, ml]]</f>
        <v>53.879477704893233</v>
      </c>
      <c r="V90" s="20">
        <f>Table4.17[[#This Row],[Net gas 24h, ml]]</f>
        <v>81.466644146356785</v>
      </c>
      <c r="W90" s="20">
        <f>Table4.17[[#This Row],[CH4 8h, ml]]</f>
        <v>4.4343124565426022</v>
      </c>
      <c r="X90" s="20">
        <f>Table4.17[[#This Row],[CH4 8-24h, ml]]</f>
        <v>5.9261631840389803</v>
      </c>
      <c r="Y90" s="20">
        <f>Table4.17[[#This Row],[CH4 24h, ml]]</f>
        <v>10.360475640581582</v>
      </c>
      <c r="Z90" s="20">
        <f>Table4.17[[#This Row],[Gas ml/g DM Incubated, 24h]]</f>
        <v>176.62654663254554</v>
      </c>
      <c r="AA90" s="20">
        <f>Table4.17[[#This Row],[% DMD, Truly digestibility]]</f>
        <v>46.304701165928741</v>
      </c>
      <c r="AB90" s="20">
        <f>Table4.17[[#This Row],[Part Fact]]</f>
        <v>2.615851407994302</v>
      </c>
      <c r="AC90" s="20">
        <f>Table4.17[[#This Row],[CH4 ml in gas, h8]]</f>
        <v>12</v>
      </c>
      <c r="AD90" s="20">
        <f>Table4.17[[#This Row],[CH4 ml in gas, 24h]]</f>
        <v>12.718490635000157</v>
      </c>
      <c r="AE90" s="20">
        <f>Table4.17[[#This Row],[CH4 ml/gDM incubated, 24h]]</f>
        <v>22.46231127094055</v>
      </c>
      <c r="AF90" s="20">
        <f>Table4.17[[#This Row],[CH4 ml/g DMD, 24h2]]</f>
        <v>50.535537333667833</v>
      </c>
      <c r="AG90" s="20">
        <f>Table4.17[[#This Row],[CH4 ml/g NDF digested in 24 h]]</f>
        <v>8.4252339939790089E-2</v>
      </c>
      <c r="AH90" s="20">
        <f>Table4.17[[#This Row],[CH4 g/g DM incubated, 24h]]</f>
        <v>12.466971376674271</v>
      </c>
      <c r="AI90" s="20">
        <f>Table4.17[[#This Row],[Net gas 8-24h, ml]]</f>
        <v>53.879477704893233</v>
      </c>
    </row>
    <row r="91" spans="2:35" x14ac:dyDescent="0.35">
      <c r="B91" s="62">
        <f t="shared" si="1"/>
        <v>81</v>
      </c>
      <c r="C91" s="42">
        <f>'1. Information samples'!C91</f>
        <v>46048</v>
      </c>
      <c r="D91" s="42" t="str">
        <f>'1. Information samples'!D91</f>
        <v>Genbank</v>
      </c>
      <c r="E91" s="59">
        <f>'1. Information samples'!E91</f>
        <v>28</v>
      </c>
      <c r="F91" s="42" t="str">
        <f>'1. Information samples'!F91</f>
        <v>F252592</v>
      </c>
      <c r="G91" s="42" t="str">
        <f>'1. Information samples'!G91</f>
        <v>CIAT9350</v>
      </c>
      <c r="H91" s="42" t="str">
        <f>'1. Information samples'!H91</f>
        <v>Crotalaria</v>
      </c>
      <c r="I91" s="42" t="str">
        <f>'1. Information samples'!I91</f>
        <v>pumila</v>
      </c>
      <c r="J91" s="42" t="str">
        <f>'1. Information samples'!J91</f>
        <v>Crotalaria pumila</v>
      </c>
      <c r="K91" s="42" t="str">
        <f>'1. Information samples'!K91</f>
        <v>Fabaceae</v>
      </c>
      <c r="L91" s="42" t="str">
        <f>'1. Information samples'!L91</f>
        <v>Fabales</v>
      </c>
      <c r="M91" s="42" t="str">
        <f>'1. Information samples'!M91</f>
        <v>Herbaceous</v>
      </c>
      <c r="N91" s="20">
        <f>Table95[[#This Row],[Av DM 105]]</f>
        <v>91.19264220733784</v>
      </c>
      <c r="O91" s="20">
        <f>Table95[[#This Row],[Av Ash, %]]</f>
        <v>7.5750931813198505</v>
      </c>
      <c r="P91" s="20">
        <f>'4.0 Result Quality Average'!P91</f>
        <v>92.424906818680142</v>
      </c>
      <c r="Q91" s="20">
        <f>'4.0 Result Quality Average'!Q91</f>
        <v>21.993873838557636</v>
      </c>
      <c r="R91" s="20">
        <f>'4.0 Result Quality Average'!R91</f>
        <v>21.993873838557636</v>
      </c>
      <c r="S91" s="20">
        <f>'4.0 Result Quality Average'!S91</f>
        <v>29.624970726085792</v>
      </c>
      <c r="T91" s="20">
        <f>Table4.17[[#This Row],[Net gas 8h, ml]]</f>
        <v>42.757490991876047</v>
      </c>
      <c r="U91" s="20">
        <f>Table4.17[[#This Row],[Net gas 8-24h, ml]]</f>
        <v>51.979477704893235</v>
      </c>
      <c r="V91" s="20">
        <f>Table4.17[[#This Row],[Net gas 24h, ml]]</f>
        <v>89.683256407283167</v>
      </c>
      <c r="W91" s="20">
        <f>Table4.17[[#This Row],[CH4 8h, ml]]</f>
        <v>5.4870104003112594</v>
      </c>
      <c r="X91" s="20">
        <f>Table4.17[[#This Row],[CH4 8-24h, ml]]</f>
        <v>7.0538276950187724</v>
      </c>
      <c r="Y91" s="20">
        <f>Table4.17[[#This Row],[CH4 24h, ml]]</f>
        <v>12.540838095330031</v>
      </c>
      <c r="Z91" s="20">
        <f>Table4.17[[#This Row],[Gas ml/g DM Incubated, 24h]]</f>
        <v>196.58604039498209</v>
      </c>
      <c r="AA91" s="20">
        <f>Table4.17[[#This Row],[% DMD, Truly digestibility]]</f>
        <v>59.876493043172111</v>
      </c>
      <c r="AB91" s="20">
        <f>Table4.17[[#This Row],[Part Fact]]</f>
        <v>3.0455143700298053</v>
      </c>
      <c r="AC91" s="20">
        <f>Table4.17[[#This Row],[CH4 ml in gas, h8]]</f>
        <v>12.824999999999999</v>
      </c>
      <c r="AD91" s="20">
        <f>Table4.17[[#This Row],[CH4 ml in gas, 24h]]</f>
        <v>13.984239832485512</v>
      </c>
      <c r="AE91" s="20">
        <f>Table4.17[[#This Row],[CH4 ml/gDM incubated, 24h]]</f>
        <v>27.489597536792996</v>
      </c>
      <c r="AF91" s="20">
        <f>Table4.17[[#This Row],[CH4 ml/g DMD, 24h2]]</f>
        <v>46.705340919259825</v>
      </c>
      <c r="AG91" s="20">
        <f>Table4.17[[#This Row],[CH4 ml/g NDF digested in 24 h]]</f>
        <v>0.55240490350033133</v>
      </c>
      <c r="AH91" s="20">
        <f>Table4.17[[#This Row],[CH4 g/g DM incubated, 24h]]</f>
        <v>15.257202231493412</v>
      </c>
      <c r="AI91" s="20">
        <f>Table4.17[[#This Row],[Net gas 8-24h, ml]]</f>
        <v>51.979477704893235</v>
      </c>
    </row>
    <row r="92" spans="2:35" x14ac:dyDescent="0.35">
      <c r="B92" s="62">
        <f t="shared" si="1"/>
        <v>82</v>
      </c>
      <c r="C92" s="42">
        <f>'1. Information samples'!C92</f>
        <v>46048</v>
      </c>
      <c r="D92" s="42" t="str">
        <f>'1. Information samples'!D92</f>
        <v>Genbank</v>
      </c>
      <c r="E92" s="59">
        <f>'1. Information samples'!E92</f>
        <v>28</v>
      </c>
      <c r="F92" s="42" t="str">
        <f>'1. Information samples'!F92</f>
        <v>F252593</v>
      </c>
      <c r="G92" s="42" t="str">
        <f>'1. Information samples'!G92</f>
        <v>CIAT9352</v>
      </c>
      <c r="H92" s="42" t="str">
        <f>'1. Information samples'!H92</f>
        <v>Crotalaria</v>
      </c>
      <c r="I92" s="42" t="str">
        <f>'1. Information samples'!I92</f>
        <v>pumila</v>
      </c>
      <c r="J92" s="42" t="str">
        <f>'1. Information samples'!J92</f>
        <v>Crotalaria pumila</v>
      </c>
      <c r="K92" s="42" t="str">
        <f>'1. Information samples'!K92</f>
        <v>Fabaceae</v>
      </c>
      <c r="L92" s="42" t="str">
        <f>'1. Information samples'!L92</f>
        <v>Fabales</v>
      </c>
      <c r="M92" s="42" t="str">
        <f>'1. Information samples'!M92</f>
        <v>Herbaceous</v>
      </c>
      <c r="N92" s="20">
        <f>Table95[[#This Row],[Av DM 105]]</f>
        <v>93.40632716694337</v>
      </c>
      <c r="O92" s="20">
        <f>Table95[[#This Row],[Av Ash, %]]</f>
        <v>9.4032708521230148</v>
      </c>
      <c r="P92" s="20">
        <f>'4.0 Result Quality Average'!P92</f>
        <v>90.596729147876985</v>
      </c>
      <c r="Q92" s="20">
        <f>'4.0 Result Quality Average'!Q92</f>
        <v>22.912973068825917</v>
      </c>
      <c r="R92" s="20">
        <f>'4.0 Result Quality Average'!R92</f>
        <v>22.819671206779695</v>
      </c>
      <c r="S92" s="20">
        <f>'4.0 Result Quality Average'!S92</f>
        <v>30.928346528039008</v>
      </c>
      <c r="T92" s="20">
        <f>Table4.17[[#This Row],[Net gas 8h, ml]]</f>
        <v>43.382490991876047</v>
      </c>
      <c r="U92" s="20">
        <f>Table4.17[[#This Row],[Net gas 8-24h, ml]]</f>
        <v>54.097163431418828</v>
      </c>
      <c r="V92" s="20">
        <f>Table4.17[[#This Row],[Net gas 24h, ml]]</f>
        <v>83.995756407283167</v>
      </c>
      <c r="W92" s="20">
        <f>Table4.17[[#This Row],[CH4 8h, ml]]</f>
        <v>5.5996950806329098</v>
      </c>
      <c r="X92" s="20">
        <f>Table4.17[[#This Row],[CH4 8-24h, ml]]</f>
        <v>6.7492638498154376</v>
      </c>
      <c r="Y92" s="20">
        <f>Table4.17[[#This Row],[CH4 24h, ml]]</f>
        <v>12.348958930448347</v>
      </c>
      <c r="Z92" s="20">
        <f>Table4.17[[#This Row],[Gas ml/g DM Incubated, 24h]]</f>
        <v>179.75532395190393</v>
      </c>
      <c r="AA92" s="20">
        <f>Table4.17[[#This Row],[% DMD, Truly digestibility]]</f>
        <v>47.090542971692493</v>
      </c>
      <c r="AB92" s="20">
        <f>Table4.17[[#This Row],[Part Fact]]</f>
        <v>2.6247143890434588</v>
      </c>
      <c r="AC92" s="20">
        <f>Table4.17[[#This Row],[CH4 ml in gas, h8]]</f>
        <v>12.9</v>
      </c>
      <c r="AD92" s="20">
        <f>Table4.17[[#This Row],[CH4 ml in gas, 24h]]</f>
        <v>14.701690219439593</v>
      </c>
      <c r="AE92" s="20">
        <f>Table4.17[[#This Row],[CH4 ml/gDM incubated, 24h]]</f>
        <v>26.427410142896594</v>
      </c>
      <c r="AF92" s="20">
        <f>Table4.17[[#This Row],[CH4 ml/g DMD, 24h2]]</f>
        <v>57.376296153117551</v>
      </c>
      <c r="AG92" s="20">
        <f>Table4.17[[#This Row],[CH4 ml/g NDF digested in 24 h]]</f>
        <v>4.9853976236857687</v>
      </c>
      <c r="AH92" s="20">
        <f>Table4.17[[#This Row],[CH4 g/g DM incubated, 24h]]</f>
        <v>14.667669850936377</v>
      </c>
      <c r="AI92" s="20">
        <f>Table4.17[[#This Row],[Net gas 8-24h, ml]]</f>
        <v>54.097163431418828</v>
      </c>
    </row>
    <row r="93" spans="2:35" x14ac:dyDescent="0.35">
      <c r="B93" s="62">
        <f t="shared" si="1"/>
        <v>83</v>
      </c>
      <c r="C93" s="42">
        <f>'1. Information samples'!C93</f>
        <v>46048</v>
      </c>
      <c r="D93" s="42" t="str">
        <f>'1. Information samples'!D93</f>
        <v>Genbank</v>
      </c>
      <c r="E93" s="59">
        <f>'1. Information samples'!E93</f>
        <v>28</v>
      </c>
      <c r="F93" s="42" t="str">
        <f>'1. Information samples'!F93</f>
        <v>F252594</v>
      </c>
      <c r="G93" s="42" t="str">
        <f>'1. Information samples'!G93</f>
        <v>CIAT9472</v>
      </c>
      <c r="H93" s="42" t="str">
        <f>'1. Information samples'!H93</f>
        <v>Zornia</v>
      </c>
      <c r="I93" s="42" t="str">
        <f>'1. Information samples'!I93</f>
        <v>brasiliensis</v>
      </c>
      <c r="J93" s="42" t="str">
        <f>'1. Information samples'!J93</f>
        <v>Zornia brasiliensis</v>
      </c>
      <c r="K93" s="42" t="str">
        <f>'1. Information samples'!K93</f>
        <v>Fabaceae</v>
      </c>
      <c r="L93" s="42" t="str">
        <f>'1. Information samples'!L93</f>
        <v>Fabales</v>
      </c>
      <c r="M93" s="42" t="str">
        <f>'1. Information samples'!M93</f>
        <v>Herbaceous</v>
      </c>
      <c r="N93" s="20">
        <f>Table95[[#This Row],[Av DM 105]]</f>
        <v>92.096183303085411</v>
      </c>
      <c r="O93" s="20">
        <f>Table95[[#This Row],[Av Ash, %]]</f>
        <v>10.150903001041684</v>
      </c>
      <c r="P93" s="20">
        <f>'4.0 Result Quality Average'!P93</f>
        <v>89.849096998958316</v>
      </c>
      <c r="Q93" s="20">
        <f>'4.0 Result Quality Average'!Q93</f>
        <v>18.21313969894895</v>
      </c>
      <c r="R93" s="20">
        <f>'4.0 Result Quality Average'!R93</f>
        <v>18.21313969894895</v>
      </c>
      <c r="S93" s="20">
        <f>'4.0 Result Quality Average'!S93</f>
        <v>24.223149118358744</v>
      </c>
      <c r="T93" s="20">
        <f>Table4.17[[#This Row],[Net gas 8h, ml]]</f>
        <v>32.103383286011159</v>
      </c>
      <c r="U93" s="20">
        <f>Table4.17[[#This Row],[Net gas 8-24h, ml]]</f>
        <v>30.413912646352312</v>
      </c>
      <c r="V93" s="20">
        <f>Table4.17[[#This Row],[Net gas 24h, ml]]</f>
        <v>62.517295932363467</v>
      </c>
      <c r="W93" s="20">
        <f>Table4.17[[#This Row],[CH4 8h, ml]]</f>
        <v>3.9604107797978445</v>
      </c>
      <c r="X93" s="20">
        <f>Table4.17[[#This Row],[CH4 8-24h, ml]]</f>
        <v>5.3312500601203707</v>
      </c>
      <c r="Y93" s="20">
        <f>Table4.17[[#This Row],[CH4 24h, ml]]</f>
        <v>9.2916608399182135</v>
      </c>
      <c r="Z93" s="20">
        <f>Table4.17[[#This Row],[Gas ml/g DM Incubated, 24h]]</f>
        <v>135.70601493852971</v>
      </c>
      <c r="AA93" s="20">
        <f>Table4.17[[#This Row],[% DMD, Truly digestibility]]</f>
        <v>35.268544468747464</v>
      </c>
      <c r="AB93" s="20">
        <f>Table4.17[[#This Row],[Part Fact]]</f>
        <v>2.6226611930520511</v>
      </c>
      <c r="AC93" s="20">
        <f>Table4.17[[#This Row],[CH4 ml in gas, h8]]</f>
        <v>12.328571428571427</v>
      </c>
      <c r="AD93" s="20">
        <f>Table4.17[[#This Row],[CH4 ml in gas, 24h]]</f>
        <v>14.857657583500552</v>
      </c>
      <c r="AE93" s="20">
        <f>Table4.17[[#This Row],[CH4 ml/gDM incubated, 24h]]</f>
        <v>20.169361607912361</v>
      </c>
      <c r="AF93" s="20">
        <f>Table4.17[[#This Row],[CH4 ml/g DMD, 24h2]]</f>
        <v>61.183328920284175</v>
      </c>
      <c r="AG93" s="20">
        <f>Table4.17[[#This Row],[CH4 ml/g NDF digested in 24 h]]</f>
        <v>-0.40185389081676709</v>
      </c>
      <c r="AH93" s="20">
        <f>Table4.17[[#This Row],[CH4 g/g DM incubated, 24h]]</f>
        <v>11.194344643284229</v>
      </c>
      <c r="AI93" s="20">
        <f>Table4.17[[#This Row],[Net gas 8-24h, ml]]</f>
        <v>30.413912646352312</v>
      </c>
    </row>
    <row r="94" spans="2:35" x14ac:dyDescent="0.35">
      <c r="B94" s="62">
        <f t="shared" si="1"/>
        <v>84</v>
      </c>
      <c r="C94" s="42">
        <f>'1. Information samples'!C94</f>
        <v>46048</v>
      </c>
      <c r="D94" s="42" t="str">
        <f>'1. Information samples'!D94</f>
        <v>Genbank</v>
      </c>
      <c r="E94" s="59">
        <f>'1. Information samples'!E94</f>
        <v>28</v>
      </c>
      <c r="F94" s="42" t="str">
        <f>'1. Information samples'!F94</f>
        <v>F252595</v>
      </c>
      <c r="G94" s="42" t="str">
        <f>'1. Information samples'!G94</f>
        <v>CIAT9531</v>
      </c>
      <c r="H94" s="42" t="str">
        <f>'1. Information samples'!H94</f>
        <v>Indigofera</v>
      </c>
      <c r="I94" s="42" t="str">
        <f>'1. Information samples'!I94</f>
        <v>spicata</v>
      </c>
      <c r="J94" s="42" t="str">
        <f>'1. Information samples'!J94</f>
        <v>Indigofera spicata</v>
      </c>
      <c r="K94" s="42" t="str">
        <f>'1. Information samples'!K94</f>
        <v>Fabaceae</v>
      </c>
      <c r="L94" s="42" t="str">
        <f>'1. Information samples'!L94</f>
        <v>Fabales</v>
      </c>
      <c r="M94" s="42" t="str">
        <f>'1. Information samples'!M94</f>
        <v>Herbaceous</v>
      </c>
      <c r="N94" s="20">
        <f>Table95[[#This Row],[Av DM 105]]</f>
        <v>91.598385299953804</v>
      </c>
      <c r="O94" s="20">
        <f>Table95[[#This Row],[Av Ash, %]]</f>
        <v>16.189267840911622</v>
      </c>
      <c r="P94" s="20">
        <f>'4.0 Result Quality Average'!P94</f>
        <v>83.810732159088374</v>
      </c>
      <c r="Q94" s="20">
        <f>'4.0 Result Quality Average'!Q94</f>
        <v>20.552774962518356</v>
      </c>
      <c r="R94" s="20">
        <f>'4.0 Result Quality Average'!R94</f>
        <v>20.552774962518356</v>
      </c>
      <c r="S94" s="20">
        <f>'4.0 Result Quality Average'!S94</f>
        <v>25.713911338982538</v>
      </c>
      <c r="T94" s="20">
        <f>Table4.17[[#This Row],[Net gas 8h, ml]]</f>
        <v>31.46052614315402</v>
      </c>
      <c r="U94" s="20">
        <f>Table4.17[[#This Row],[Net gas 8-24h, ml]]</f>
        <v>44.842484074923739</v>
      </c>
      <c r="V94" s="20">
        <f>Table4.17[[#This Row],[Net gas 24h, ml]]</f>
        <v>76.303010218077745</v>
      </c>
      <c r="W94" s="20">
        <f>Table4.17[[#This Row],[CH4 8h, ml]]</f>
        <v>3.9113127351558648</v>
      </c>
      <c r="X94" s="20">
        <f>Table4.17[[#This Row],[CH4 8-24h, ml]]</f>
        <v>7.2613869740710069</v>
      </c>
      <c r="Y94" s="20">
        <f>Table4.17[[#This Row],[CH4 24h, ml]]</f>
        <v>11.172699709226872</v>
      </c>
      <c r="Z94" s="20">
        <f>Table4.17[[#This Row],[Gas ml/g DM Incubated, 24h]]</f>
        <v>166.56498697293813</v>
      </c>
      <c r="AA94" s="20">
        <f>Table4.17[[#This Row],[% DMD, Truly digestibility]]</f>
        <v>50.849884257619884</v>
      </c>
      <c r="AB94" s="20">
        <f>Table4.17[[#This Row],[Part Fact]]</f>
        <v>3.0587980018866263</v>
      </c>
      <c r="AC94" s="20">
        <f>Table4.17[[#This Row],[CH4 ml in gas, h8]]</f>
        <v>12.428571428571429</v>
      </c>
      <c r="AD94" s="20">
        <f>Table4.17[[#This Row],[CH4 ml in gas, 24h]]</f>
        <v>14.645106831544641</v>
      </c>
      <c r="AE94" s="20">
        <f>Table4.17[[#This Row],[CH4 ml/gDM incubated, 24h]]</f>
        <v>24.389369823466204</v>
      </c>
      <c r="AF94" s="20">
        <f>Table4.17[[#This Row],[CH4 ml/g DMD, 24h2]]</f>
        <v>48.487862896865714</v>
      </c>
      <c r="AG94" s="20">
        <f>Table4.17[[#This Row],[CH4 ml/g NDF digested in 24 h]]</f>
        <v>-1.4093325780900881</v>
      </c>
      <c r="AH94" s="20">
        <f>Table4.17[[#This Row],[CH4 g/g DM incubated, 24h]]</f>
        <v>13.536522213439374</v>
      </c>
      <c r="AI94" s="20">
        <f>Table4.17[[#This Row],[Net gas 8-24h, ml]]</f>
        <v>44.842484074923739</v>
      </c>
    </row>
    <row r="95" spans="2:35" x14ac:dyDescent="0.35">
      <c r="B95" s="62">
        <f t="shared" si="1"/>
        <v>85</v>
      </c>
      <c r="C95" s="42">
        <f>'1. Information samples'!C95</f>
        <v>46048</v>
      </c>
      <c r="D95" s="42" t="str">
        <f>'1. Information samples'!D95</f>
        <v>Genbank</v>
      </c>
      <c r="E95" s="59">
        <f>'1. Information samples'!E95</f>
        <v>28</v>
      </c>
      <c r="F95" s="42" t="str">
        <f>'1. Information samples'!F95</f>
        <v>F252596</v>
      </c>
      <c r="G95" s="42" t="str">
        <f>'1. Information samples'!G95</f>
        <v>CIAT10026</v>
      </c>
      <c r="H95" s="42" t="str">
        <f>'1. Information samples'!H95</f>
        <v>Stylosanthes</v>
      </c>
      <c r="I95" s="42" t="str">
        <f>'1. Information samples'!I95</f>
        <v>seabrana</v>
      </c>
      <c r="J95" s="42" t="str">
        <f>'1. Information samples'!J95</f>
        <v>Stylosanthes seabrana</v>
      </c>
      <c r="K95" s="42" t="str">
        <f>'1. Information samples'!K95</f>
        <v>Fabaceae</v>
      </c>
      <c r="L95" s="42" t="str">
        <f>'1. Information samples'!L95</f>
        <v>Fabales</v>
      </c>
      <c r="M95" s="42" t="str">
        <f>'1. Information samples'!M95</f>
        <v>Herbaceous</v>
      </c>
      <c r="N95" s="20">
        <f>Table95[[#This Row],[Av DM 105]]</f>
        <v>92.746813528426955</v>
      </c>
      <c r="O95" s="20">
        <f>Table95[[#This Row],[Av Ash, %]]</f>
        <v>9.9708925307209171</v>
      </c>
      <c r="P95" s="20">
        <f>'4.0 Result Quality Average'!P95</f>
        <v>90.029107469279083</v>
      </c>
      <c r="Q95" s="20">
        <f>'4.0 Result Quality Average'!Q95</f>
        <v>16.293993750381642</v>
      </c>
      <c r="R95" s="20">
        <f>'4.0 Result Quality Average'!R95</f>
        <v>16.293993750381642</v>
      </c>
      <c r="S95" s="20">
        <f>'4.0 Result Quality Average'!S95</f>
        <v>35.016325330884271</v>
      </c>
      <c r="T95" s="20">
        <f>Table4.17[[#This Row],[Net gas 8h, ml]]</f>
        <v>29.603383286011162</v>
      </c>
      <c r="U95" s="20">
        <f>Table4.17[[#This Row],[Net gas 8-24h, ml]]</f>
        <v>38.246240428868305</v>
      </c>
      <c r="V95" s="20">
        <f>Table4.17[[#This Row],[Net gas 24h, ml]]</f>
        <v>73.017295932363467</v>
      </c>
      <c r="W95" s="20">
        <f>Table4.17[[#This Row],[CH4 8h, ml]]</f>
        <v>3.3419657036133961</v>
      </c>
      <c r="X95" s="20">
        <f>Table4.17[[#This Row],[CH4 8-24h, ml]]</f>
        <v>6.3786548907947127</v>
      </c>
      <c r="Y95" s="20">
        <f>Table4.17[[#This Row],[CH4 24h, ml]]</f>
        <v>9.7206205944081088</v>
      </c>
      <c r="Z95" s="20">
        <f>Table4.17[[#This Row],[Gas ml/g DM Incubated, 24h]]</f>
        <v>157.38737059542851</v>
      </c>
      <c r="AA95" s="20">
        <f>Table4.17[[#This Row],[% DMD, Truly digestibility]]</f>
        <v>42.25408370618414</v>
      </c>
      <c r="AB95" s="20">
        <f>Table4.17[[#This Row],[Part Fact]]</f>
        <v>2.679981626553368</v>
      </c>
      <c r="AC95" s="20">
        <f>Table4.17[[#This Row],[CH4 ml in gas, h8]]</f>
        <v>11.285714285714286</v>
      </c>
      <c r="AD95" s="20">
        <f>Table4.17[[#This Row],[CH4 ml in gas, 24h]]</f>
        <v>13.313125895223433</v>
      </c>
      <c r="AE95" s="20">
        <f>Table4.17[[#This Row],[CH4 ml/gDM incubated, 24h]]</f>
        <v>20.952590149352226</v>
      </c>
      <c r="AF95" s="20">
        <f>Table4.17[[#This Row],[CH4 ml/g DMD, 24h2]]</f>
        <v>51.610031462306281</v>
      </c>
      <c r="AG95" s="20">
        <f>Table4.17[[#This Row],[CH4 ml/g NDF digested in 24 h]]</f>
        <v>0.51703445482628185</v>
      </c>
      <c r="AH95" s="20">
        <f>Table4.17[[#This Row],[CH4 g/g DM incubated, 24h]]</f>
        <v>11.62905003445016</v>
      </c>
      <c r="AI95" s="20">
        <f>Table4.17[[#This Row],[Net gas 8-24h, ml]]</f>
        <v>38.246240428868305</v>
      </c>
    </row>
    <row r="96" spans="2:35" x14ac:dyDescent="0.35">
      <c r="B96" s="62">
        <f t="shared" si="1"/>
        <v>86</v>
      </c>
      <c r="C96" s="42">
        <f>'1. Information samples'!C96</f>
        <v>46048</v>
      </c>
      <c r="D96" s="42" t="str">
        <f>'1. Information samples'!D96</f>
        <v>Genbank</v>
      </c>
      <c r="E96" s="59">
        <f>'1. Information samples'!E96</f>
        <v>28</v>
      </c>
      <c r="F96" s="42" t="str">
        <f>'1. Information samples'!F96</f>
        <v>F252597</v>
      </c>
      <c r="G96" s="42" t="str">
        <f>'1. Information samples'!G96</f>
        <v>CIAT12411</v>
      </c>
      <c r="H96" s="42" t="str">
        <f>'1. Information samples'!H96</f>
        <v>Stylosanthes</v>
      </c>
      <c r="I96" s="42" t="str">
        <f>'1. Information samples'!I96</f>
        <v>sympodialis</v>
      </c>
      <c r="J96" s="42" t="str">
        <f>'1. Information samples'!J96</f>
        <v>Stylosanthes sympodialis</v>
      </c>
      <c r="K96" s="42" t="str">
        <f>'1. Information samples'!K96</f>
        <v>Fabaceae</v>
      </c>
      <c r="L96" s="42" t="str">
        <f>'1. Information samples'!L96</f>
        <v>Fabales</v>
      </c>
      <c r="M96" s="42" t="str">
        <f>'1. Information samples'!M96</f>
        <v>Herbaceous</v>
      </c>
      <c r="N96" s="20">
        <f>Table95[[#This Row],[Av DM 105]]</f>
        <v>91.721243292587246</v>
      </c>
      <c r="O96" s="20">
        <f>Table95[[#This Row],[Av Ash, %]]</f>
        <v>11.778483244157979</v>
      </c>
      <c r="P96" s="20">
        <f>'4.0 Result Quality Average'!P96</f>
        <v>88.221516755842032</v>
      </c>
      <c r="Q96" s="20">
        <f>'4.0 Result Quality Average'!Q96</f>
        <v>17.93763783569818</v>
      </c>
      <c r="R96" s="20">
        <f>'4.0 Result Quality Average'!R96</f>
        <v>17.93763783569818</v>
      </c>
      <c r="S96" s="20">
        <f>'4.0 Result Quality Average'!S96</f>
        <v>33.357116529535872</v>
      </c>
      <c r="T96" s="20">
        <f>Table4.17[[#This Row],[Net gas 8h, ml]]</f>
        <v>38.246240428868305</v>
      </c>
      <c r="U96" s="20">
        <f>Table4.17[[#This Row],[Net gas 8-24h, ml]]</f>
        <v>44.628198360638024</v>
      </c>
      <c r="V96" s="20">
        <f>Table4.17[[#This Row],[Net gas 24h, ml]]</f>
        <v>82.874438789506328</v>
      </c>
      <c r="W96" s="20">
        <f>Table4.17[[#This Row],[CH4 8h, ml]]</f>
        <v>4.2742571360454491</v>
      </c>
      <c r="X96" s="20">
        <f>Table4.17[[#This Row],[CH4 8-24h, ml]]</f>
        <v>6.8449290722721354</v>
      </c>
      <c r="Y96" s="20">
        <f>Table4.17[[#This Row],[CH4 24h, ml]]</f>
        <v>11.119186208317585</v>
      </c>
      <c r="Z96" s="20">
        <f>Table4.17[[#This Row],[Gas ml/g DM Incubated, 24h]]</f>
        <v>180.64765175817712</v>
      </c>
      <c r="AA96" s="20">
        <f>Table4.17[[#This Row],[% DMD, Truly digestibility]]</f>
        <v>55.057207390835565</v>
      </c>
      <c r="AB96" s="20">
        <f>Table4.17[[#This Row],[Part Fact]]</f>
        <v>3.052408536652135</v>
      </c>
      <c r="AC96" s="20">
        <f>Table4.17[[#This Row],[CH4 ml in gas, h8]]</f>
        <v>11.171428571428573</v>
      </c>
      <c r="AD96" s="20">
        <f>Table4.17[[#This Row],[CH4 ml in gas, 24h]]</f>
        <v>13.416773757217181</v>
      </c>
      <c r="AE96" s="20">
        <f>Table4.17[[#This Row],[CH4 ml/gDM incubated, 24h]]</f>
        <v>24.237332872509779</v>
      </c>
      <c r="AF96" s="20">
        <f>Table4.17[[#This Row],[CH4 ml/g DMD, 24h2]]</f>
        <v>44.513626571405858</v>
      </c>
      <c r="AG96" s="20">
        <f>Table4.17[[#This Row],[CH4 ml/g NDF digested in 24 h]]</f>
        <v>0.49125132759159501</v>
      </c>
      <c r="AH96" s="20">
        <f>Table4.17[[#This Row],[CH4 g/g DM incubated, 24h]]</f>
        <v>13.452139075261485</v>
      </c>
      <c r="AI96" s="20">
        <f>Table4.17[[#This Row],[Net gas 8-24h, ml]]</f>
        <v>44.628198360638024</v>
      </c>
    </row>
    <row r="97" spans="2:35" x14ac:dyDescent="0.35">
      <c r="B97" s="62">
        <f t="shared" si="1"/>
        <v>87</v>
      </c>
      <c r="C97" s="42">
        <f>'1. Information samples'!C97</f>
        <v>46048</v>
      </c>
      <c r="D97" s="42" t="str">
        <f>'1. Information samples'!D97</f>
        <v>Genbank</v>
      </c>
      <c r="E97" s="59">
        <f>'1. Information samples'!E97</f>
        <v>28</v>
      </c>
      <c r="F97" s="42" t="str">
        <f>'1. Information samples'!F97</f>
        <v>F252598</v>
      </c>
      <c r="G97" s="42" t="str">
        <f>'1. Information samples'!G97</f>
        <v>CIAT13494</v>
      </c>
      <c r="H97" s="42" t="str">
        <f>'1. Information samples'!H97</f>
        <v>Desmodium</v>
      </c>
      <c r="I97" s="42" t="str">
        <f>'1. Information samples'!I97</f>
        <v>tortuosum</v>
      </c>
      <c r="J97" s="42" t="str">
        <f>'1. Information samples'!J97</f>
        <v>Desmodium tortuosum</v>
      </c>
      <c r="K97" s="42" t="str">
        <f>'1. Information samples'!K97</f>
        <v>Fabaceae</v>
      </c>
      <c r="L97" s="42" t="str">
        <f>'1. Information samples'!L97</f>
        <v>Fabales</v>
      </c>
      <c r="M97" s="42" t="str">
        <f>'1. Information samples'!M97</f>
        <v>Shurb_Tree</v>
      </c>
      <c r="N97" s="20">
        <f>Table95[[#This Row],[Av DM 105]]</f>
        <v>91.666252290987643</v>
      </c>
      <c r="O97" s="20">
        <f>Table95[[#This Row],[Av Ash, %]]</f>
        <v>10.880236182717553</v>
      </c>
      <c r="P97" s="20">
        <f>'4.0 Result Quality Average'!P97</f>
        <v>89.119763817282447</v>
      </c>
      <c r="Q97" s="20">
        <f>'4.0 Result Quality Average'!Q97</f>
        <v>21.076179676537187</v>
      </c>
      <c r="R97" s="20">
        <f>'4.0 Result Quality Average'!R97</f>
        <v>21.076179676537187</v>
      </c>
      <c r="S97" s="20">
        <f>'4.0 Result Quality Average'!S97</f>
        <v>23.519859134767497</v>
      </c>
      <c r="T97" s="20">
        <f>Table4.17[[#This Row],[Net gas 8h, ml]]</f>
        <v>39.632490991876047</v>
      </c>
      <c r="U97" s="20">
        <f>Table4.17[[#This Row],[Net gas 8-24h, ml]]</f>
        <v>31.50873479879084</v>
      </c>
      <c r="V97" s="20">
        <f>Table4.17[[#This Row],[Net gas 24h, ml]]</f>
        <v>82.683256407283167</v>
      </c>
      <c r="W97" s="20">
        <f>Table4.17[[#This Row],[CH4 8h, ml]]</f>
        <v>4.8027734350035409</v>
      </c>
      <c r="X97" s="20">
        <f>Table4.17[[#This Row],[CH4 8-24h, ml]]</f>
        <v>7.0249024923359835</v>
      </c>
      <c r="Y97" s="20">
        <f>Table4.17[[#This Row],[CH4 24h, ml]]</f>
        <v>11.827675927339524</v>
      </c>
      <c r="Z97" s="20">
        <f>Table4.17[[#This Row],[Gas ml/g DM Incubated, 24h]]</f>
        <v>180.29480568446365</v>
      </c>
      <c r="AA97" s="20">
        <f>Table4.17[[#This Row],[% DMD, Truly digestibility]]</f>
        <v>47.787642410212463</v>
      </c>
      <c r="AB97" s="20">
        <f>Table4.17[[#This Row],[Part Fact]]</f>
        <v>2.6753619290738957</v>
      </c>
      <c r="AC97" s="20">
        <f>Table4.17[[#This Row],[CH4 ml in gas, h8]]</f>
        <v>12.112500000000001</v>
      </c>
      <c r="AD97" s="20">
        <f>Table4.17[[#This Row],[CH4 ml in gas, 24h]]</f>
        <v>14.30624252141884</v>
      </c>
      <c r="AE97" s="20">
        <f>Table4.17[[#This Row],[CH4 ml/gDM incubated, 24h]]</f>
        <v>25.790826488565131</v>
      </c>
      <c r="AF97" s="20">
        <f>Table4.17[[#This Row],[CH4 ml/g DMD, 24h2]]</f>
        <v>56.125921921892846</v>
      </c>
      <c r="AG97" s="20">
        <f>Table4.17[[#This Row],[CH4 ml/g NDF digested in 24 h]]</f>
        <v>-0.31839839197101644</v>
      </c>
      <c r="AH97" s="20">
        <f>Table4.17[[#This Row],[CH4 g/g DM incubated, 24h]]</f>
        <v>14.314354909224384</v>
      </c>
      <c r="AI97" s="20">
        <f>Table4.17[[#This Row],[Net gas 8-24h, ml]]</f>
        <v>31.50873479879084</v>
      </c>
    </row>
    <row r="98" spans="2:35" x14ac:dyDescent="0.35">
      <c r="B98" s="62">
        <f t="shared" si="1"/>
        <v>88</v>
      </c>
      <c r="C98" s="42">
        <f>'1. Information samples'!C98</f>
        <v>46048</v>
      </c>
      <c r="D98" s="42" t="str">
        <f>'1. Information samples'!D98</f>
        <v>Genbank</v>
      </c>
      <c r="E98" s="59">
        <f>'1. Information samples'!E98</f>
        <v>28</v>
      </c>
      <c r="F98" s="42" t="str">
        <f>'1. Information samples'!F98</f>
        <v>F252599</v>
      </c>
      <c r="G98" s="42" t="str">
        <f>'1. Information samples'!G98</f>
        <v>CIAT13562</v>
      </c>
      <c r="H98" s="42" t="str">
        <f>'1. Information samples'!H98</f>
        <v>Desmodium</v>
      </c>
      <c r="I98" s="42" t="str">
        <f>'1. Information samples'!I98</f>
        <v>tortuosum</v>
      </c>
      <c r="J98" s="42" t="str">
        <f>'1. Information samples'!J98</f>
        <v>Desmodium tortuosum</v>
      </c>
      <c r="K98" s="42" t="str">
        <f>'1. Information samples'!K98</f>
        <v>Fabaceae</v>
      </c>
      <c r="L98" s="42" t="str">
        <f>'1. Information samples'!L98</f>
        <v>Fabales</v>
      </c>
      <c r="M98" s="42" t="str">
        <f>'1. Information samples'!M98</f>
        <v>Shurb_Tree</v>
      </c>
      <c r="N98" s="20">
        <f>Table95[[#This Row],[Av DM 105]]</f>
        <v>91.812044469042831</v>
      </c>
      <c r="O98" s="20">
        <f>Table95[[#This Row],[Av Ash, %]]</f>
        <v>14.803713899316438</v>
      </c>
      <c r="P98" s="20">
        <f>'4.0 Result Quality Average'!P98</f>
        <v>85.196286100683551</v>
      </c>
      <c r="Q98" s="20">
        <f>'4.0 Result Quality Average'!Q98</f>
        <v>18.556611437559916</v>
      </c>
      <c r="R98" s="20">
        <f>'4.0 Result Quality Average'!R98</f>
        <v>18.556611437559916</v>
      </c>
      <c r="S98" s="20">
        <f>'4.0 Result Quality Average'!S98</f>
        <v>27.304918274776462</v>
      </c>
      <c r="T98" s="20">
        <f>Table4.17[[#This Row],[Net gas 8h, ml]]</f>
        <v>36.814573011524644</v>
      </c>
      <c r="U98" s="20">
        <f>Table4.17[[#This Row],[Net gas 8-24h, ml]]</f>
        <v>31.981442287612555</v>
      </c>
      <c r="V98" s="20">
        <f>Table4.17[[#This Row],[Net gas 24h, ml]]</f>
        <v>68.796015299137196</v>
      </c>
      <c r="W98" s="20">
        <f>Table4.17[[#This Row],[CH4 8h, ml]]</f>
        <v>5.1841910395579047</v>
      </c>
      <c r="X98" s="20">
        <f>Table4.17[[#This Row],[CH4 8-24h, ml]]</f>
        <v>5.3864729166512335</v>
      </c>
      <c r="Y98" s="20">
        <f>Table4.17[[#This Row],[CH4 24h, ml]]</f>
        <v>10.57066395620914</v>
      </c>
      <c r="Z98" s="20">
        <f>Table4.17[[#This Row],[Gas ml/g DM Incubated, 24h]]</f>
        <v>149.8064817927951</v>
      </c>
      <c r="AA98" s="20">
        <f>Table4.17[[#This Row],[% DMD, Truly digestibility]]</f>
        <v>46.734695207196843</v>
      </c>
      <c r="AB98" s="20">
        <f>Table4.17[[#This Row],[Part Fact]]</f>
        <v>3.141194600176604</v>
      </c>
      <c r="AC98" s="20">
        <f>Table4.17[[#This Row],[CH4 ml in gas, h8]]</f>
        <v>14.06666666666667</v>
      </c>
      <c r="AD98" s="20">
        <f>Table4.17[[#This Row],[CH4 ml in gas, 24h]]</f>
        <v>15.363690721318987</v>
      </c>
      <c r="AE98" s="20">
        <f>Table4.17[[#This Row],[CH4 ml/gDM incubated, 24h]]</f>
        <v>23.018138647425165</v>
      </c>
      <c r="AF98" s="20">
        <f>Table4.17[[#This Row],[CH4 ml/g DMD, 24h2]]</f>
        <v>49.56075483914816</v>
      </c>
      <c r="AG98" s="20">
        <f>Table4.17[[#This Row],[CH4 ml/g NDF digested in 24 h]]</f>
        <v>2.1250688192771325</v>
      </c>
      <c r="AH98" s="20">
        <f>Table4.17[[#This Row],[CH4 g/g DM incubated, 24h]]</f>
        <v>12.775465187013829</v>
      </c>
      <c r="AI98" s="20">
        <f>Table4.17[[#This Row],[Net gas 8-24h, ml]]</f>
        <v>31.981442287612555</v>
      </c>
    </row>
    <row r="99" spans="2:35" x14ac:dyDescent="0.35">
      <c r="B99" s="62">
        <f t="shared" si="1"/>
        <v>89</v>
      </c>
      <c r="C99" s="42">
        <f>'1. Information samples'!C99</f>
        <v>46048</v>
      </c>
      <c r="D99" s="42" t="str">
        <f>'1. Information samples'!D99</f>
        <v>Genbank</v>
      </c>
      <c r="E99" s="59">
        <f>'1. Information samples'!E99</f>
        <v>28</v>
      </c>
      <c r="F99" s="42" t="str">
        <f>'1. Information samples'!F99</f>
        <v>F252600</v>
      </c>
      <c r="G99" s="42" t="str">
        <f>'1. Information samples'!G99</f>
        <v>CIAT13593</v>
      </c>
      <c r="H99" s="42" t="str">
        <f>'1. Information samples'!H99</f>
        <v>Desmodium</v>
      </c>
      <c r="I99" s="42" t="str">
        <f>'1. Information samples'!I99</f>
        <v>scorpiurus</v>
      </c>
      <c r="J99" s="42" t="str">
        <f>'1. Information samples'!J99</f>
        <v>Desmodium scorpiurus</v>
      </c>
      <c r="K99" s="42" t="str">
        <f>'1. Information samples'!K99</f>
        <v>Fabaceae</v>
      </c>
      <c r="L99" s="42" t="str">
        <f>'1. Information samples'!L99</f>
        <v>Fabales</v>
      </c>
      <c r="M99" s="42" t="str">
        <f>'1. Information samples'!M99</f>
        <v>Herbaceous</v>
      </c>
      <c r="N99" s="20">
        <f>Table95[[#This Row],[Av DM 105]]</f>
        <v>90.708715142839907</v>
      </c>
      <c r="O99" s="20">
        <f>Table95[[#This Row],[Av Ash, %]]</f>
        <v>10.47989479506532</v>
      </c>
      <c r="P99" s="20">
        <f>'4.0 Result Quality Average'!P99</f>
        <v>89.52010520493468</v>
      </c>
      <c r="Q99" s="20">
        <f>'4.0 Result Quality Average'!Q99</f>
        <v>16.648198451736118</v>
      </c>
      <c r="R99" s="20">
        <f>'4.0 Result Quality Average'!R99</f>
        <v>16.648198451736118</v>
      </c>
      <c r="S99" s="20">
        <f>'4.0 Result Quality Average'!S99</f>
        <v>42.865431555383012</v>
      </c>
      <c r="T99" s="20">
        <f>Table4.17[[#This Row],[Net gas 8h, ml]]</f>
        <v>32.564573011524644</v>
      </c>
      <c r="U99" s="20">
        <f>Table4.17[[#This Row],[Net gas 8-24h, ml]]</f>
        <v>32.898108954279223</v>
      </c>
      <c r="V99" s="20">
        <f>Table4.17[[#This Row],[Net gas 24h, ml]]</f>
        <v>65.462681965803867</v>
      </c>
      <c r="W99" s="20">
        <f>Table4.17[[#This Row],[CH4 8h, ml]]</f>
        <v>4.7859678517825417</v>
      </c>
      <c r="X99" s="20">
        <f>Table4.17[[#This Row],[CH4 8-24h, ml]]</f>
        <v>5.6806501416014834</v>
      </c>
      <c r="Y99" s="20">
        <f>Table4.17[[#This Row],[CH4 24h, ml]]</f>
        <v>10.466617993384023</v>
      </c>
      <c r="Z99" s="20">
        <f>Table4.17[[#This Row],[Gas ml/g DM Incubated, 24h]]</f>
        <v>144.28436147809589</v>
      </c>
      <c r="AA99" s="20">
        <f>Table4.17[[#This Row],[% DMD, Truly digestibility]]</f>
        <v>34.392193261340324</v>
      </c>
      <c r="AB99" s="20">
        <f>Table4.17[[#This Row],[Part Fact]]</f>
        <v>2.3998951739990528</v>
      </c>
      <c r="AC99" s="20">
        <f>Table4.17[[#This Row],[CH4 ml in gas, h8]]</f>
        <v>14.683333333333335</v>
      </c>
      <c r="AD99" s="20">
        <f>Table4.17[[#This Row],[CH4 ml in gas, 24h]]</f>
        <v>15.987002866482912</v>
      </c>
      <c r="AE99" s="20">
        <f>Table4.17[[#This Row],[CH4 ml/gDM incubated, 24h]]</f>
        <v>23.069287696991598</v>
      </c>
      <c r="AF99" s="20">
        <f>Table4.17[[#This Row],[CH4 ml/g DMD, 24h2]]</f>
        <v>76.030659242983702</v>
      </c>
      <c r="AG99" s="20">
        <f>Table4.17[[#This Row],[CH4 ml/g NDF digested in 24 h]]</f>
        <v>-2.5529485754926529</v>
      </c>
      <c r="AH99" s="20">
        <f>Table4.17[[#This Row],[CH4 g/g DM incubated, 24h]]</f>
        <v>12.803853794454852</v>
      </c>
      <c r="AI99" s="20">
        <f>Table4.17[[#This Row],[Net gas 8-24h, ml]]</f>
        <v>32.898108954279223</v>
      </c>
    </row>
    <row r="100" spans="2:35" x14ac:dyDescent="0.35">
      <c r="B100" s="62">
        <f t="shared" si="1"/>
        <v>90</v>
      </c>
      <c r="C100" s="42">
        <f>'1. Information samples'!C100</f>
        <v>46048</v>
      </c>
      <c r="D100" s="42" t="str">
        <f>'1. Information samples'!D100</f>
        <v>Genbank</v>
      </c>
      <c r="E100" s="59">
        <f>'1. Information samples'!E100</f>
        <v>28</v>
      </c>
      <c r="F100" s="42" t="str">
        <f>'1. Information samples'!F100</f>
        <v>F252601</v>
      </c>
      <c r="G100" s="42" t="str">
        <f>'1. Information samples'!G100</f>
        <v>CIAT13608</v>
      </c>
      <c r="H100" s="42" t="str">
        <f>'1. Information samples'!H100</f>
        <v>Desmodium</v>
      </c>
      <c r="I100" s="42" t="str">
        <f>'1. Information samples'!I100</f>
        <v>incanum</v>
      </c>
      <c r="J100" s="42" t="str">
        <f>'1. Information samples'!J100</f>
        <v>Desmodium incanum</v>
      </c>
      <c r="K100" s="42" t="str">
        <f>'1. Information samples'!K100</f>
        <v>Fabaceae</v>
      </c>
      <c r="L100" s="42" t="str">
        <f>'1. Information samples'!L100</f>
        <v>Fabales</v>
      </c>
      <c r="M100" s="42" t="str">
        <f>'1. Information samples'!M100</f>
        <v>Herbaceous</v>
      </c>
      <c r="N100" s="20">
        <f>Table95[[#This Row],[Av DM 105]]</f>
        <v>92.609078730672564</v>
      </c>
      <c r="O100" s="20">
        <f>Table95[[#This Row],[Av Ash, %]]</f>
        <v>9.9773455627446666</v>
      </c>
      <c r="P100" s="20">
        <f>'4.0 Result Quality Average'!P100</f>
        <v>90.022654437255341</v>
      </c>
      <c r="Q100" s="20">
        <f>'4.0 Result Quality Average'!Q100</f>
        <v>17.577517504014267</v>
      </c>
      <c r="R100" s="20">
        <f>'4.0 Result Quality Average'!R100</f>
        <v>17.577517504014267</v>
      </c>
      <c r="S100" s="20">
        <f>'4.0 Result Quality Average'!S100</f>
        <v>44.62612732080337</v>
      </c>
      <c r="T100" s="20">
        <f>Table4.17[[#This Row],[Net gas 8h, ml]]</f>
        <v>28.231239678191312</v>
      </c>
      <c r="U100" s="20">
        <f>Table4.17[[#This Row],[Net gas 8-24h, ml]]</f>
        <v>32.898108954279223</v>
      </c>
      <c r="V100" s="20">
        <f>Table4.17[[#This Row],[Net gas 24h, ml]]</f>
        <v>61.129348632470531</v>
      </c>
      <c r="W100" s="20">
        <f>Table4.17[[#This Row],[CH4 8h, ml]]</f>
        <v>3.6903730221862197</v>
      </c>
      <c r="X100" s="20">
        <f>Table4.17[[#This Row],[CH4 8-24h, ml]]</f>
        <v>5.4018753855348223</v>
      </c>
      <c r="Y100" s="20">
        <f>Table4.17[[#This Row],[CH4 24h, ml]]</f>
        <v>9.0922484077210406</v>
      </c>
      <c r="Z100" s="20">
        <f>Table4.17[[#This Row],[Gas ml/g DM Incubated, 24h]]</f>
        <v>131.95515345399232</v>
      </c>
      <c r="AA100" s="20">
        <f>Table4.17[[#This Row],[% DMD, Truly digestibility]]</f>
        <v>31.243393455201922</v>
      </c>
      <c r="AB100" s="20">
        <f>Table4.17[[#This Row],[Part Fact]]</f>
        <v>2.3857998751233396</v>
      </c>
      <c r="AC100" s="20">
        <f>Table4.17[[#This Row],[CH4 ml in gas, h8]]</f>
        <v>13.083333333333334</v>
      </c>
      <c r="AD100" s="20">
        <f>Table4.17[[#This Row],[CH4 ml in gas, 24h]]</f>
        <v>14.87568372627374</v>
      </c>
      <c r="AE100" s="20">
        <f>Table4.17[[#This Row],[CH4 ml/gDM incubated, 24h]]</f>
        <v>19.626744817128618</v>
      </c>
      <c r="AF100" s="20">
        <f>Table4.17[[#This Row],[CH4 ml/g DMD, 24h2]]</f>
        <v>64.768676343948727</v>
      </c>
      <c r="AG100" s="20">
        <f>Table4.17[[#This Row],[CH4 ml/g NDF digested in 24 h]]</f>
        <v>-1.1011469471038866</v>
      </c>
      <c r="AH100" s="20">
        <f>Table4.17[[#This Row],[CH4 g/g DM incubated, 24h]]</f>
        <v>10.893182936565502</v>
      </c>
      <c r="AI100" s="20">
        <f>Table4.17[[#This Row],[Net gas 8-24h, ml]]</f>
        <v>32.898108954279223</v>
      </c>
    </row>
    <row r="101" spans="2:35" x14ac:dyDescent="0.35">
      <c r="B101" s="62">
        <f t="shared" si="1"/>
        <v>91</v>
      </c>
      <c r="C101" s="42">
        <f>'1. Information samples'!C101</f>
        <v>46048</v>
      </c>
      <c r="D101" s="42" t="str">
        <f>'1. Information samples'!D101</f>
        <v>Genbank</v>
      </c>
      <c r="E101" s="59">
        <f>'1. Information samples'!E101</f>
        <v>28</v>
      </c>
      <c r="F101" s="42" t="str">
        <f>'1. Information samples'!F101</f>
        <v>F252602</v>
      </c>
      <c r="G101" s="42" t="str">
        <f>'1. Information samples'!G101</f>
        <v>CIAT18277</v>
      </c>
      <c r="H101" s="42" t="str">
        <f>'1. Information samples'!H101</f>
        <v>Indigofera</v>
      </c>
      <c r="I101" s="42" t="str">
        <f>'1. Information samples'!I101</f>
        <v>jamaicensis</v>
      </c>
      <c r="J101" s="42" t="str">
        <f>'1. Information samples'!J101</f>
        <v>Indigofera jamaicensis</v>
      </c>
      <c r="K101" s="42" t="str">
        <f>'1. Information samples'!K101</f>
        <v>Fabaceae</v>
      </c>
      <c r="L101" s="42" t="str">
        <f>'1. Information samples'!L101</f>
        <v>Fabales</v>
      </c>
      <c r="M101" s="42" t="str">
        <f>'1. Information samples'!M101</f>
        <v>Herbaceous</v>
      </c>
      <c r="N101" s="20">
        <f>Table95[[#This Row],[Av DM 105]]</f>
        <v>89.827567623085784</v>
      </c>
      <c r="O101" s="20">
        <f>Table95[[#This Row],[Av Ash, %]]</f>
        <v>10.328238948772755</v>
      </c>
      <c r="P101" s="20">
        <f>'4.0 Result Quality Average'!P101</f>
        <v>89.67176105122725</v>
      </c>
      <c r="Q101" s="20">
        <f>'4.0 Result Quality Average'!Q101</f>
        <v>21.940146401110969</v>
      </c>
      <c r="R101" s="20">
        <f>'4.0 Result Quality Average'!R101</f>
        <v>21.940146401110969</v>
      </c>
      <c r="S101" s="20">
        <f>'4.0 Result Quality Average'!S101</f>
        <v>32.667992855956271</v>
      </c>
      <c r="T101" s="20">
        <f>Table4.17[[#This Row],[Net gas 8h, ml]]</f>
        <v>22.981239678191312</v>
      </c>
      <c r="U101" s="20">
        <f>Table4.17[[#This Row],[Net gas 8-24h, ml]]</f>
        <v>37.898108954279223</v>
      </c>
      <c r="V101" s="20">
        <f>Table4.17[[#This Row],[Net gas 24h, ml]]</f>
        <v>60.879348632470531</v>
      </c>
      <c r="W101" s="20">
        <f>Table4.17[[#This Row],[CH4 8h, ml]]</f>
        <v>2.8502897639205855</v>
      </c>
      <c r="X101" s="20">
        <f>Table4.17[[#This Row],[CH4 8-24h, ml]]</f>
        <v>5.9416970649996825</v>
      </c>
      <c r="Y101" s="20">
        <f>Table4.17[[#This Row],[CH4 24h, ml]]</f>
        <v>8.7919868289202672</v>
      </c>
      <c r="Z101" s="20">
        <f>Table4.17[[#This Row],[Gas ml/g DM Incubated, 24h]]</f>
        <v>135.47969060932607</v>
      </c>
      <c r="AA101" s="20">
        <f>Table4.17[[#This Row],[% DMD, Truly digestibility]]</f>
        <v>39.459256586488557</v>
      </c>
      <c r="AB101" s="20">
        <f>Table4.17[[#This Row],[Part Fact]]</f>
        <v>2.9338703772390797</v>
      </c>
      <c r="AC101" s="20">
        <f>Table4.17[[#This Row],[CH4 ml in gas, h8]]</f>
        <v>12.41666666666667</v>
      </c>
      <c r="AD101" s="20">
        <f>Table4.17[[#This Row],[CH4 ml in gas, 24h]]</f>
        <v>14.442917610131355</v>
      </c>
      <c r="AE101" s="20">
        <f>Table4.17[[#This Row],[CH4 ml/gDM incubated, 24h]]</f>
        <v>19.565543073157613</v>
      </c>
      <c r="AF101" s="20">
        <f>Table4.17[[#This Row],[CH4 ml/g DMD, 24h2]]</f>
        <v>51.21641187457687</v>
      </c>
      <c r="AG101" s="20">
        <f>Table4.17[[#This Row],[CH4 ml/g NDF digested in 24 h]]</f>
        <v>-0.69480304814085414</v>
      </c>
      <c r="AH101" s="20">
        <f>Table4.17[[#This Row],[CH4 g/g DM incubated, 24h]]</f>
        <v>10.859214909807889</v>
      </c>
      <c r="AI101" s="20">
        <f>Table4.17[[#This Row],[Net gas 8-24h, ml]]</f>
        <v>37.898108954279223</v>
      </c>
    </row>
    <row r="102" spans="2:35" x14ac:dyDescent="0.35">
      <c r="B102" s="62">
        <f t="shared" si="1"/>
        <v>92</v>
      </c>
      <c r="C102" s="42">
        <f>'1. Information samples'!C102</f>
        <v>46048</v>
      </c>
      <c r="D102" s="42" t="str">
        <f>'1. Information samples'!D102</f>
        <v>Genbank</v>
      </c>
      <c r="E102" s="59">
        <f>'1. Information samples'!E102</f>
        <v>28</v>
      </c>
      <c r="F102" s="42" t="str">
        <f>'1. Information samples'!F102</f>
        <v>F252603</v>
      </c>
      <c r="G102" s="42" t="str">
        <f>'1. Information samples'!G102</f>
        <v>CIAT18952</v>
      </c>
      <c r="H102" s="42" t="str">
        <f>'1. Information samples'!H102</f>
        <v>Indigofera</v>
      </c>
      <c r="I102" s="42" t="str">
        <f>'1. Information samples'!I102</f>
        <v>atriceps</v>
      </c>
      <c r="J102" s="42" t="str">
        <f>'1. Information samples'!J102</f>
        <v>Indigofera atriceps</v>
      </c>
      <c r="K102" s="42" t="str">
        <f>'1. Information samples'!K102</f>
        <v>Fabaceae</v>
      </c>
      <c r="L102" s="42" t="str">
        <f>'1. Information samples'!L102</f>
        <v>Fabales</v>
      </c>
      <c r="M102" s="42" t="str">
        <f>'1. Information samples'!M102</f>
        <v>Herbaceous</v>
      </c>
      <c r="N102" s="20">
        <f>Table95[[#This Row],[Av DM 105]]</f>
        <v>90.342908737611964</v>
      </c>
      <c r="O102" s="20">
        <f>Table95[[#This Row],[Av Ash, %]]</f>
        <v>18.092354248590603</v>
      </c>
      <c r="P102" s="20">
        <f>'4.0 Result Quality Average'!P102</f>
        <v>81.90764575140939</v>
      </c>
      <c r="Q102" s="20">
        <f>'4.0 Result Quality Average'!Q102</f>
        <v>16.681806242228959</v>
      </c>
      <c r="R102" s="20">
        <f>'4.0 Result Quality Average'!R102</f>
        <v>16.658173479258529</v>
      </c>
      <c r="S102" s="20">
        <f>'4.0 Result Quality Average'!S102</f>
        <v>41.739477763617359</v>
      </c>
      <c r="T102" s="20">
        <f>Table4.17[[#This Row],[Net gas 8h, ml]]</f>
        <v>22.981239678191312</v>
      </c>
      <c r="U102" s="20">
        <f>Table4.17[[#This Row],[Net gas 8-24h, ml]]</f>
        <v>26.314775620945881</v>
      </c>
      <c r="V102" s="20">
        <f>Table4.17[[#This Row],[Net gas 24h, ml]]</f>
        <v>49.296015299137196</v>
      </c>
      <c r="W102" s="20">
        <f>Table4.17[[#This Row],[CH4 8h, ml]]</f>
        <v>2.8998988964314485</v>
      </c>
      <c r="X102" s="20">
        <f>Table4.17[[#This Row],[CH4 8-24h, ml]]</f>
        <v>3.901506370166254</v>
      </c>
      <c r="Y102" s="20">
        <f>Table4.17[[#This Row],[CH4 24h, ml]]</f>
        <v>6.8014052665977021</v>
      </c>
      <c r="Z102" s="20">
        <f>Table4.17[[#This Row],[Gas ml/g DM Incubated, 24h]]</f>
        <v>109.07255851070092</v>
      </c>
      <c r="AA102" s="20">
        <f>Table4.17[[#This Row],[% DMD, Truly digestibility]]</f>
        <v>32.471016054528185</v>
      </c>
      <c r="AB102" s="20">
        <f>Table4.17[[#This Row],[Part Fact]]</f>
        <v>3.0149518009892731</v>
      </c>
      <c r="AC102" s="20">
        <f>Table4.17[[#This Row],[CH4 ml in gas, h8]]</f>
        <v>12.616666666666667</v>
      </c>
      <c r="AD102" s="20">
        <f>Table4.17[[#This Row],[CH4 ml in gas, 24h]]</f>
        <v>13.795292329775458</v>
      </c>
      <c r="AE102" s="20">
        <f>Table4.17[[#This Row],[CH4 ml/gDM incubated, 24h]]</f>
        <v>15.048877124330597</v>
      </c>
      <c r="AF102" s="20">
        <f>Table4.17[[#This Row],[CH4 ml/g DMD, 24h2]]</f>
        <v>51.457450451261053</v>
      </c>
      <c r="AG102" s="20">
        <f>Table4.17[[#This Row],[CH4 ml/g NDF digested in 24 h]]</f>
        <v>-0.20035912584750337</v>
      </c>
      <c r="AH102" s="20">
        <f>Table4.17[[#This Row],[CH4 g/g DM incubated, 24h]]</f>
        <v>8.3523871651994028</v>
      </c>
      <c r="AI102" s="20">
        <f>Table4.17[[#This Row],[Net gas 8-24h, ml]]</f>
        <v>26.314775620945881</v>
      </c>
    </row>
    <row r="103" spans="2:35" x14ac:dyDescent="0.35">
      <c r="B103" s="62">
        <f t="shared" si="1"/>
        <v>93</v>
      </c>
      <c r="C103" s="42">
        <f>'1. Information samples'!C103</f>
        <v>46048</v>
      </c>
      <c r="D103" s="42" t="str">
        <f>'1. Information samples'!D103</f>
        <v>Jacobo Arango/ Alejandro Montoya</v>
      </c>
      <c r="E103" s="59">
        <f>'1. Information samples'!E103</f>
        <v>28</v>
      </c>
      <c r="F103" s="42" t="str">
        <f>'1. Information samples'!F103</f>
        <v>F250008</v>
      </c>
      <c r="G103" s="42" t="str">
        <f>'1. Information samples'!G103</f>
        <v>Sample 8</v>
      </c>
      <c r="H103" s="42" t="str">
        <f>'1. Information samples'!H103</f>
        <v>Cynodon</v>
      </c>
      <c r="I103" s="42" t="str">
        <f>'1. Information samples'!I103</f>
        <v xml:space="preserve"> nlemfuensis </v>
      </c>
      <c r="J103" s="42" t="str">
        <f>'1. Information samples'!J103</f>
        <v xml:space="preserve">Cynodon nlemfuensis </v>
      </c>
      <c r="K103" s="42" t="str">
        <f>'1. Information samples'!K103</f>
        <v>Poaceae</v>
      </c>
      <c r="L103" s="42" t="str">
        <f>'1. Information samples'!L103</f>
        <v>Poales</v>
      </c>
      <c r="M103" s="42" t="str">
        <f>'1. Information samples'!M103</f>
        <v>grasses</v>
      </c>
      <c r="N103" s="20">
        <f>Table95[[#This Row],[Av DM 105]]</f>
        <v>93.55</v>
      </c>
      <c r="O103" s="20">
        <f>Table95[[#This Row],[Av Ash, %]]</f>
        <v>11.4</v>
      </c>
      <c r="P103" s="20">
        <f>'4.0 Result Quality Average'!P103</f>
        <v>88.6</v>
      </c>
      <c r="Q103" s="20">
        <f>'4.0 Result Quality Average'!Q103</f>
        <v>0</v>
      </c>
      <c r="R103" s="20">
        <f>'4.0 Result Quality Average'!R103</f>
        <v>0</v>
      </c>
      <c r="S103" s="20">
        <f>'4.0 Result Quality Average'!S103</f>
        <v>0</v>
      </c>
      <c r="T103" s="20">
        <f>Table4.17[[#This Row],[Net gas 8h, ml]]</f>
        <v>24.107474101643646</v>
      </c>
      <c r="U103" s="20">
        <f>Table4.17[[#This Row],[Net gas 8-24h, ml]]</f>
        <v>44.060592064046816</v>
      </c>
      <c r="V103" s="20">
        <f>Table4.17[[#This Row],[Net gas 24h, ml]]</f>
        <v>68.168066165690462</v>
      </c>
      <c r="W103" s="20">
        <f>Table4.17[[#This Row],[CH4 8h, ml]]</f>
        <v>3.8215883821613401</v>
      </c>
      <c r="X103" s="20">
        <f>Table4.17[[#This Row],[CH4 8-24h, ml]]</f>
        <v>7.3131832826317718</v>
      </c>
      <c r="Y103" s="20">
        <f>Table4.17[[#This Row],[CH4 24h, ml]]</f>
        <v>11.13477166479311</v>
      </c>
      <c r="Z103" s="20">
        <f>Table4.17[[#This Row],[Gas ml/g DM Incubated, 24h]]</f>
        <v>145.6987721373975</v>
      </c>
      <c r="AA103" s="20">
        <f>Table4.17[[#This Row],[% DMD, Truly digestibility]]</f>
        <v>29.311468059005062</v>
      </c>
      <c r="AB103" s="20">
        <f>Table4.17[[#This Row],[Part Fact]]</f>
        <v>2.0079910843265796</v>
      </c>
      <c r="AC103" s="20">
        <f>Table4.17[[#This Row],[CH4 ml in gas, h8]]</f>
        <v>15.9</v>
      </c>
      <c r="AD103" s="20">
        <f>Table4.17[[#This Row],[CH4 ml in gas, 24h]]</f>
        <v>16.339758621672271</v>
      </c>
      <c r="AE103" s="20">
        <f>Table4.17[[#This Row],[CH4 ml/gDM incubated, 24h]]</f>
        <v>23.7989233906181</v>
      </c>
      <c r="AF103" s="20">
        <f>Table4.17[[#This Row],[CH4 ml/g DMD, 24h2]]</f>
        <v>85.635703628594996</v>
      </c>
      <c r="AG103" s="20">
        <f>Table4.17[[#This Row],[CH4 ml/g NDF digested in 24 h]]</f>
        <v>-2.875109421884174</v>
      </c>
      <c r="AH103" s="20">
        <f>Table4.17[[#This Row],[CH4 g/g DM incubated, 24h]]</f>
        <v>13.208814227872468</v>
      </c>
      <c r="AI103" s="20">
        <f>Table4.17[[#This Row],[Net gas 8-24h, ml]]</f>
        <v>44.060592064046816</v>
      </c>
    </row>
    <row r="104" spans="2:35" x14ac:dyDescent="0.35">
      <c r="B104" s="62">
        <f t="shared" si="1"/>
        <v>94</v>
      </c>
      <c r="C104" s="42">
        <f>'1. Information samples'!C104</f>
        <v>46055</v>
      </c>
      <c r="D104" s="42" t="str">
        <f>'1. Information samples'!D104</f>
        <v>Genbank</v>
      </c>
      <c r="E104" s="59">
        <f>'1. Information samples'!E104</f>
        <v>29</v>
      </c>
      <c r="F104" s="42" t="str">
        <f>'1. Information samples'!F104</f>
        <v>F252604</v>
      </c>
      <c r="G104" s="42" t="str">
        <f>'1. Information samples'!G104</f>
        <v>CIAT18953</v>
      </c>
      <c r="H104" s="42" t="str">
        <f>'1. Information samples'!H104</f>
        <v>Indigofera</v>
      </c>
      <c r="I104" s="42" t="str">
        <f>'1. Information samples'!I104</f>
        <v>atriceps</v>
      </c>
      <c r="J104" s="42" t="str">
        <f>'1. Information samples'!J104</f>
        <v>Indigofera atriceps</v>
      </c>
      <c r="K104" s="42" t="str">
        <f>'1. Information samples'!K104</f>
        <v>Fabaceae</v>
      </c>
      <c r="L104" s="42" t="str">
        <f>'1. Information samples'!L104</f>
        <v>Fabales</v>
      </c>
      <c r="M104" s="42" t="str">
        <f>'1. Information samples'!M104</f>
        <v>Herbaceous</v>
      </c>
      <c r="N104" s="20">
        <f>Table95[[#This Row],[Av DM 105]]</f>
        <v>89.536567029890961</v>
      </c>
      <c r="O104" s="20">
        <f>Table95[[#This Row],[Av Ash, %]]</f>
        <v>11.971212736520121</v>
      </c>
      <c r="P104" s="20">
        <f>'4.0 Result Quality Average'!P104</f>
        <v>88.02878726347987</v>
      </c>
      <c r="Q104" s="20">
        <f>'4.0 Result Quality Average'!Q104</f>
        <v>13.46691821367828</v>
      </c>
      <c r="R104" s="20">
        <f>'4.0 Result Quality Average'!R104</f>
        <v>13.46691821367828</v>
      </c>
      <c r="S104" s="20">
        <f>'4.0 Result Quality Average'!S104</f>
        <v>44.857637751796531</v>
      </c>
      <c r="T104" s="20">
        <f>Table4.17[[#This Row],[Net gas 8h, ml]]</f>
        <v>33.850397712072528</v>
      </c>
      <c r="U104" s="20">
        <f>Table4.17[[#This Row],[Net gas 8-24h, ml]]</f>
        <v>29.978410616380089</v>
      </c>
      <c r="V104" s="20">
        <f>Table4.17[[#This Row],[Net gas 24h, ml]]</f>
        <v>63.828808328452624</v>
      </c>
      <c r="W104" s="20">
        <f>Table4.17[[#This Row],[CH4 8h, ml]]</f>
        <v>4.7159237871430788</v>
      </c>
      <c r="X104" s="20">
        <f>Table4.17[[#This Row],[CH4 8-24h, ml]]</f>
        <v>4.1830940554085538</v>
      </c>
      <c r="Y104" s="20">
        <f>Table4.17[[#This Row],[CH4 24h, ml]]</f>
        <v>8.8990178425516326</v>
      </c>
      <c r="Z104" s="20">
        <f>Table4.17[[#This Row],[Gas ml/g DM Incubated, 24h]]</f>
        <v>142.50233526835765</v>
      </c>
      <c r="AA104" s="20">
        <f>Table4.17[[#This Row],[% DMD, Truly digestibility]]</f>
        <v>39.305672979291145</v>
      </c>
      <c r="AB104" s="20">
        <f>Table4.17[[#This Row],[Part Fact]]</f>
        <v>2.7498039640534144</v>
      </c>
      <c r="AC104" s="20">
        <f>Table4.17[[#This Row],[CH4 ml in gas, h8]]</f>
        <v>13.883333333333333</v>
      </c>
      <c r="AD104" s="20">
        <f>Table4.17[[#This Row],[CH4 ml in gas, 24h]]</f>
        <v>13.921239626088237</v>
      </c>
      <c r="AE104" s="20">
        <f>Table4.17[[#This Row],[CH4 ml/gDM incubated, 24h]]</f>
        <v>19.867907582608272</v>
      </c>
      <c r="AF104" s="20">
        <f>Table4.17[[#This Row],[CH4 ml/g DMD, 24h2]]</f>
        <v>51.329543732509158</v>
      </c>
      <c r="AG104" s="20">
        <f>Table4.17[[#This Row],[CH4 ml/g NDF digested in 24 h]]</f>
        <v>-0.81719931391359546</v>
      </c>
      <c r="AH104" s="20">
        <f>Table4.17[[#This Row],[CH4 g/g DM incubated, 24h]]</f>
        <v>11.027032443772896</v>
      </c>
      <c r="AI104" s="20">
        <f>Table4.17[[#This Row],[Net gas 8-24h, ml]]</f>
        <v>29.978410616380089</v>
      </c>
    </row>
    <row r="105" spans="2:35" x14ac:dyDescent="0.35">
      <c r="B105" s="62">
        <f t="shared" si="1"/>
        <v>95</v>
      </c>
      <c r="C105" s="42">
        <f>'1. Information samples'!C105</f>
        <v>46055</v>
      </c>
      <c r="D105" s="42" t="str">
        <f>'1. Information samples'!D105</f>
        <v>Genbank</v>
      </c>
      <c r="E105" s="59">
        <f>'1. Information samples'!E105</f>
        <v>29</v>
      </c>
      <c r="F105" s="42" t="str">
        <f>'1. Information samples'!F105</f>
        <v>F252605</v>
      </c>
      <c r="G105" s="42" t="str">
        <f>'1. Information samples'!G105</f>
        <v>CIAT18954</v>
      </c>
      <c r="H105" s="42" t="str">
        <f>'1. Information samples'!H105</f>
        <v>Indigofera</v>
      </c>
      <c r="I105" s="42" t="str">
        <f>'1. Information samples'!I105</f>
        <v>atriceps</v>
      </c>
      <c r="J105" s="42" t="str">
        <f>'1. Information samples'!J105</f>
        <v>Indigofera atriceps</v>
      </c>
      <c r="K105" s="42" t="str">
        <f>'1. Information samples'!K105</f>
        <v>Fabaceae</v>
      </c>
      <c r="L105" s="42" t="str">
        <f>'1. Information samples'!L105</f>
        <v>Fabales</v>
      </c>
      <c r="M105" s="42" t="str">
        <f>'1. Information samples'!M105</f>
        <v>Herbaceous</v>
      </c>
      <c r="N105" s="20">
        <f>Table95[[#This Row],[Av DM 105]]</f>
        <v>92.941059823231768</v>
      </c>
      <c r="O105" s="20">
        <f>Table95[[#This Row],[Av Ash, %]]</f>
        <v>20.284077874435134</v>
      </c>
      <c r="P105" s="20">
        <f>'4.0 Result Quality Average'!P105</f>
        <v>79.715922125564873</v>
      </c>
      <c r="Q105" s="20">
        <f>'4.0 Result Quality Average'!Q105</f>
        <v>17.605298353449115</v>
      </c>
      <c r="R105" s="20">
        <f>'4.0 Result Quality Average'!R105</f>
        <v>17.605298353449115</v>
      </c>
      <c r="S105" s="20">
        <f>'4.0 Result Quality Average'!S105</f>
        <v>45.564478802727294</v>
      </c>
      <c r="T105" s="20">
        <f>Table4.17[[#This Row],[Net gas 8h, ml]]</f>
        <v>28.176233351056631</v>
      </c>
      <c r="U105" s="20">
        <f>Table4.17[[#This Row],[Net gas 8-24h, ml]]</f>
        <v>28.967562864565021</v>
      </c>
      <c r="V105" s="20">
        <f>Table4.17[[#This Row],[Net gas 24h, ml]]</f>
        <v>57.143796215621656</v>
      </c>
      <c r="W105" s="20">
        <f>Table4.17[[#This Row],[CH4 8h, ml]]</f>
        <v>3.4151761490124395</v>
      </c>
      <c r="X105" s="20">
        <f>Table4.17[[#This Row],[CH4 8-24h, ml]]</f>
        <v>4.0439081674733419</v>
      </c>
      <c r="Y105" s="20">
        <f>Table4.17[[#This Row],[CH4 24h, ml]]</f>
        <v>7.4590843164857832</v>
      </c>
      <c r="Z105" s="20">
        <f>Table4.17[[#This Row],[Gas ml/g DM Incubated, 24h]]</f>
        <v>122.92741937248192</v>
      </c>
      <c r="AA105" s="20">
        <f>Table4.17[[#This Row],[% DMD, Truly digestibility]]</f>
        <v>33.480450338992242</v>
      </c>
      <c r="AB105" s="20">
        <f>Table4.17[[#This Row],[Part Fact]]</f>
        <v>2.7042626716506133</v>
      </c>
      <c r="AC105" s="20">
        <f>Table4.17[[#This Row],[CH4 ml in gas, h8]]</f>
        <v>12.028571428571428</v>
      </c>
      <c r="AD105" s="20">
        <f>Table4.17[[#This Row],[CH4 ml in gas, 24h]]</f>
        <v>13.020049819600834</v>
      </c>
      <c r="AE105" s="20">
        <f>Table4.17[[#This Row],[CH4 ml/gDM incubated, 24h]]</f>
        <v>16.045876504935659</v>
      </c>
      <c r="AF105" s="20">
        <f>Table4.17[[#This Row],[CH4 ml/g DMD, 24h2]]</f>
        <v>49.978986325914768</v>
      </c>
      <c r="AG105" s="20">
        <f>Table4.17[[#This Row],[CH4 ml/g NDF digested in 24 h]]</f>
        <v>-0.49702717921210554</v>
      </c>
      <c r="AH105" s="20">
        <f>Table4.17[[#This Row],[CH4 g/g DM incubated, 24h]]</f>
        <v>8.9057390705594468</v>
      </c>
      <c r="AI105" s="20">
        <f>Table4.17[[#This Row],[Net gas 8-24h, ml]]</f>
        <v>28.967562864565021</v>
      </c>
    </row>
    <row r="106" spans="2:35" x14ac:dyDescent="0.35">
      <c r="B106" s="62">
        <f t="shared" si="1"/>
        <v>96</v>
      </c>
      <c r="C106" s="42">
        <f>'1. Information samples'!C106</f>
        <v>46055</v>
      </c>
      <c r="D106" s="42" t="str">
        <f>'1. Information samples'!D106</f>
        <v>Genbank</v>
      </c>
      <c r="E106" s="59">
        <f>'1. Information samples'!E106</f>
        <v>29</v>
      </c>
      <c r="F106" s="42" t="str">
        <f>'1. Information samples'!F106</f>
        <v>F252606</v>
      </c>
      <c r="G106" s="42" t="str">
        <f>'1. Information samples'!G106</f>
        <v>CIAT19198</v>
      </c>
      <c r="H106" s="42" t="str">
        <f>'1. Information samples'!H106</f>
        <v>Tephrosia</v>
      </c>
      <c r="I106" s="42" t="str">
        <f>'1. Information samples'!I106</f>
        <v>villosa</v>
      </c>
      <c r="J106" s="42" t="str">
        <f>'1. Information samples'!J106</f>
        <v>Tephrosia villosa</v>
      </c>
      <c r="K106" s="42" t="str">
        <f>'1. Information samples'!K106</f>
        <v>Fabaceae</v>
      </c>
      <c r="L106" s="42" t="str">
        <f>'1. Information samples'!L106</f>
        <v>Fabales</v>
      </c>
      <c r="M106" s="42" t="str">
        <f>'1. Information samples'!M106</f>
        <v>Herbaceous</v>
      </c>
      <c r="N106" s="20">
        <f>Table95[[#This Row],[Av DM 105]]</f>
        <v>90.542836770795731</v>
      </c>
      <c r="O106" s="20">
        <f>Table95[[#This Row],[Av Ash, %]]</f>
        <v>11.322558794802035</v>
      </c>
      <c r="P106" s="20">
        <f>'4.0 Result Quality Average'!P106</f>
        <v>88.677441205197965</v>
      </c>
      <c r="Q106" s="20">
        <f>'4.0 Result Quality Average'!Q106</f>
        <v>26.998023936265938</v>
      </c>
      <c r="R106" s="20">
        <f>'4.0 Result Quality Average'!R106</f>
        <v>26.998023936265938</v>
      </c>
      <c r="S106" s="20">
        <f>'4.0 Result Quality Average'!S106</f>
        <v>33.602407279175218</v>
      </c>
      <c r="T106" s="20">
        <f>Table4.17[[#This Row],[Net gas 8h, ml]]</f>
        <v>33.280296032023408</v>
      </c>
      <c r="U106" s="20">
        <f>Table4.17[[#This Row],[Net gas 8-24h, ml]]</f>
        <v>30.061137188604871</v>
      </c>
      <c r="V106" s="20">
        <f>Table4.17[[#This Row],[Net gas 24h, ml]]</f>
        <v>69.982536004982961</v>
      </c>
      <c r="W106" s="20">
        <f>Table4.17[[#This Row],[CH4 8h, ml]]</f>
        <v>4.6291740930622964</v>
      </c>
      <c r="X106" s="20">
        <f>Table4.17[[#This Row],[CH4 8-24h, ml]]</f>
        <v>6.4336439988601626</v>
      </c>
      <c r="Y106" s="20">
        <f>Table4.17[[#This Row],[CH4 24h, ml]]</f>
        <v>11.062818091922459</v>
      </c>
      <c r="Z106" s="20">
        <f>Table4.17[[#This Row],[Gas ml/g DM Incubated, 24h]]</f>
        <v>154.48725405997763</v>
      </c>
      <c r="AA106" s="20">
        <f>Table4.17[[#This Row],[% DMD, Truly digestibility]]</f>
        <v>45.874559213803622</v>
      </c>
      <c r="AB106" s="20">
        <f>Table4.17[[#This Row],[Part Fact]]</f>
        <v>3.3710635882344224</v>
      </c>
      <c r="AC106" s="20">
        <f>Table4.17[[#This Row],[CH4 ml in gas, h8]]</f>
        <v>13.712500000000002</v>
      </c>
      <c r="AD106" s="20">
        <f>Table4.17[[#This Row],[CH4 ml in gas, 24h]]</f>
        <v>15.697647349950323</v>
      </c>
      <c r="AE106" s="20">
        <f>Table4.17[[#This Row],[CH4 ml/gDM incubated, 24h]]</f>
        <v>24.421301302707651</v>
      </c>
      <c r="AF106" s="20">
        <f>Table4.17[[#This Row],[CH4 ml/g DMD, 24h2]]</f>
        <v>53.552607404448281</v>
      </c>
      <c r="AG106" s="20">
        <f>Table4.17[[#This Row],[CH4 ml/g NDF digested in 24 h]]</f>
        <v>-1.3621654215876011</v>
      </c>
      <c r="AH106" s="20">
        <f>Table4.17[[#This Row],[CH4 g/g DM incubated, 24h]]</f>
        <v>13.554244736866117</v>
      </c>
      <c r="AI106" s="20">
        <f>Table4.17[[#This Row],[Net gas 8-24h, ml]]</f>
        <v>30.061137188604871</v>
      </c>
    </row>
    <row r="107" spans="2:35" x14ac:dyDescent="0.35">
      <c r="B107" s="62">
        <f t="shared" si="1"/>
        <v>97</v>
      </c>
      <c r="C107" s="42">
        <f>'1. Information samples'!C107</f>
        <v>46055</v>
      </c>
      <c r="D107" s="42" t="str">
        <f>'1. Information samples'!D107</f>
        <v>Genbank</v>
      </c>
      <c r="E107" s="59">
        <f>'1. Information samples'!E107</f>
        <v>29</v>
      </c>
      <c r="F107" s="42" t="str">
        <f>'1. Information samples'!F107</f>
        <v>F252607</v>
      </c>
      <c r="G107" s="42" t="str">
        <f>'1. Information samples'!G107</f>
        <v>CIAT19460</v>
      </c>
      <c r="H107" s="42" t="str">
        <f>'1. Information samples'!H107</f>
        <v>Sesbania</v>
      </c>
      <c r="I107" s="42" t="str">
        <f>'1. Information samples'!I107</f>
        <v>cannabina</v>
      </c>
      <c r="J107" s="42" t="str">
        <f>'1. Information samples'!J107</f>
        <v>Sesbania cannabina</v>
      </c>
      <c r="K107" s="42" t="str">
        <f>'1. Information samples'!K107</f>
        <v>Fabaceae</v>
      </c>
      <c r="L107" s="42" t="str">
        <f>'1. Information samples'!L107</f>
        <v>Fabales</v>
      </c>
      <c r="M107" s="42" t="str">
        <f>'1. Information samples'!M107</f>
        <v>Shurb_Tree</v>
      </c>
      <c r="N107" s="20">
        <f>Table95[[#This Row],[Av DM 105]]</f>
        <v>91.03358847418238</v>
      </c>
      <c r="O107" s="20">
        <f>Table95[[#This Row],[Av Ash, %]]</f>
        <v>10.426287808953671</v>
      </c>
      <c r="P107" s="20">
        <f>'4.0 Result Quality Average'!P107</f>
        <v>89.573712191046326</v>
      </c>
      <c r="Q107" s="20">
        <f>'4.0 Result Quality Average'!Q107</f>
        <v>21.69628457518186</v>
      </c>
      <c r="R107" s="20">
        <f>'4.0 Result Quality Average'!R107</f>
        <v>21.69628457518186</v>
      </c>
      <c r="S107" s="20">
        <f>'4.0 Result Quality Average'!S107</f>
        <v>33.901700784130725</v>
      </c>
      <c r="T107" s="20">
        <f>Table4.17[[#This Row],[Net gas 8h, ml]]</f>
        <v>36.454149776434264</v>
      </c>
      <c r="U107" s="20">
        <f>Table4.17[[#This Row],[Net gas 8-24h, ml]]</f>
        <v>34.867086889878117</v>
      </c>
      <c r="V107" s="20">
        <f>Table4.17[[#This Row],[Net gas 24h, ml]]</f>
        <v>78.19214316313996</v>
      </c>
      <c r="W107" s="20">
        <f>Table4.17[[#This Row],[CH4 8h, ml]]</f>
        <v>5.1809167333471864</v>
      </c>
      <c r="X107" s="20">
        <f>Table4.17[[#This Row],[CH4 8-24h, ml]]</f>
        <v>6.6023718804968778</v>
      </c>
      <c r="Y107" s="20">
        <f>Table4.17[[#This Row],[CH4 24h, ml]]</f>
        <v>11.783288613844064</v>
      </c>
      <c r="Z107" s="20">
        <f>Table4.17[[#This Row],[Gas ml/g DM Incubated, 24h]]</f>
        <v>171.67756582292228</v>
      </c>
      <c r="AA107" s="20">
        <f>Table4.17[[#This Row],[% DMD, Truly digestibility]]</f>
        <v>25.964652873202166</v>
      </c>
      <c r="AB107" s="20">
        <f>Table4.17[[#This Row],[Part Fact]]</f>
        <v>1.5010349120664033</v>
      </c>
      <c r="AC107" s="20">
        <f>Table4.17[[#This Row],[CH4 ml in gas, h8]]</f>
        <v>14.149999999999999</v>
      </c>
      <c r="AD107" s="20">
        <f>Table4.17[[#This Row],[CH4 ml in gas, 24h]]</f>
        <v>15.039964325478373</v>
      </c>
      <c r="AE107" s="20">
        <f>Table4.17[[#This Row],[CH4 ml/gDM incubated, 24h]]</f>
        <v>25.871155464625133</v>
      </c>
      <c r="AF107" s="20">
        <f>Table4.17[[#This Row],[CH4 ml/g DMD, 24h2]]</f>
        <v>105.58174803844044</v>
      </c>
      <c r="AG107" s="20">
        <f>Table4.17[[#This Row],[CH4 ml/g NDF digested in 24 h]]</f>
        <v>-0.40705142519719262</v>
      </c>
      <c r="AH107" s="20">
        <f>Table4.17[[#This Row],[CH4 g/g DM incubated, 24h]]</f>
        <v>14.358938880712358</v>
      </c>
      <c r="AI107" s="20">
        <f>Table4.17[[#This Row],[Net gas 8-24h, ml]]</f>
        <v>34.867086889878117</v>
      </c>
    </row>
    <row r="108" spans="2:35" x14ac:dyDescent="0.35">
      <c r="B108" s="62">
        <f t="shared" si="1"/>
        <v>98</v>
      </c>
      <c r="C108" s="42">
        <f>'1. Information samples'!C108</f>
        <v>46055</v>
      </c>
      <c r="D108" s="42" t="str">
        <f>'1. Information samples'!D108</f>
        <v>Genbank</v>
      </c>
      <c r="E108" s="59">
        <f>'1. Information samples'!E108</f>
        <v>29</v>
      </c>
      <c r="F108" s="42" t="str">
        <f>'1. Information samples'!F108</f>
        <v>F252608</v>
      </c>
      <c r="G108" s="42" t="str">
        <f>'1. Information samples'!G108</f>
        <v>CIAT20044</v>
      </c>
      <c r="H108" s="42" t="str">
        <f>'1. Information samples'!H108</f>
        <v>Tephrosia</v>
      </c>
      <c r="I108" s="42" t="str">
        <f>'1. Information samples'!I108</f>
        <v>purpurea</v>
      </c>
      <c r="J108" s="42" t="str">
        <f>'1. Information samples'!J108</f>
        <v>Tephrosia purpurea</v>
      </c>
      <c r="K108" s="42" t="str">
        <f>'1. Information samples'!K108</f>
        <v>Fabaceae</v>
      </c>
      <c r="L108" s="42" t="str">
        <f>'1. Information samples'!L108</f>
        <v>Fabales</v>
      </c>
      <c r="M108" s="42" t="str">
        <f>'1. Information samples'!M108</f>
        <v>Herbaceous</v>
      </c>
      <c r="N108" s="20">
        <f>Table95[[#This Row],[Av DM 105]]</f>
        <v>92.176176303585407</v>
      </c>
      <c r="O108" s="20">
        <f>Table95[[#This Row],[Av Ash, %]]</f>
        <v>11.530513846002735</v>
      </c>
      <c r="P108" s="20">
        <f>'4.0 Result Quality Average'!P108</f>
        <v>88.469486153997252</v>
      </c>
      <c r="Q108" s="20">
        <f>'4.0 Result Quality Average'!Q108</f>
        <v>27.96478551583979</v>
      </c>
      <c r="R108" s="20">
        <f>'4.0 Result Quality Average'!R108</f>
        <v>27.96478551583979</v>
      </c>
      <c r="S108" s="20">
        <f>'4.0 Result Quality Average'!S108</f>
        <v>25.267587312017319</v>
      </c>
      <c r="T108" s="20">
        <f>Table4.17[[#This Row],[Net gas 8h, ml]]</f>
        <v>40.905296032023408</v>
      </c>
      <c r="U108" s="20">
        <f>Table4.17[[#This Row],[Net gas 8-24h, ml]]</f>
        <v>40.775422902890583</v>
      </c>
      <c r="V108" s="20">
        <f>Table4.17[[#This Row],[Net gas 24h, ml]]</f>
        <v>78.795036004982961</v>
      </c>
      <c r="W108" s="20">
        <f>Table4.17[[#This Row],[CH4 8h, ml]]</f>
        <v>5.890011649308045</v>
      </c>
      <c r="X108" s="20">
        <f>Table4.17[[#This Row],[CH4 8-24h, ml]]</f>
        <v>6.9429511464723408</v>
      </c>
      <c r="Y108" s="20">
        <f>Table4.17[[#This Row],[CH4 24h, ml]]</f>
        <v>12.832962795780382</v>
      </c>
      <c r="Z108" s="20">
        <f>Table4.17[[#This Row],[Gas ml/g DM Incubated, 24h]]</f>
        <v>170.86537014363967</v>
      </c>
      <c r="AA108" s="20">
        <f>Table4.17[[#This Row],[% DMD, Truly digestibility]]</f>
        <v>57.063974315514713</v>
      </c>
      <c r="AB108" s="20">
        <f>Table4.17[[#This Row],[Part Fact]]</f>
        <v>3.389662776414232</v>
      </c>
      <c r="AC108" s="20">
        <f>Table4.17[[#This Row],[CH4 ml in gas, h8]]</f>
        <v>14.3375</v>
      </c>
      <c r="AD108" s="20">
        <f>Table4.17[[#This Row],[CH4 ml in gas, 24h]]</f>
        <v>16.279165485913829</v>
      </c>
      <c r="AE108" s="20">
        <f>Table4.17[[#This Row],[CH4 ml/gDM incubated, 24h]]</f>
        <v>27.828006881089795</v>
      </c>
      <c r="AF108" s="20">
        <f>Table4.17[[#This Row],[CH4 ml/g DMD, 24h2]]</f>
        <v>49.361887675832435</v>
      </c>
      <c r="AG108" s="20">
        <f>Table4.17[[#This Row],[CH4 ml/g NDF digested in 24 h]]</f>
        <v>1.0924701073000993</v>
      </c>
      <c r="AH108" s="20">
        <f>Table4.17[[#This Row],[CH4 g/g DM incubated, 24h]]</f>
        <v>15.445025272411083</v>
      </c>
      <c r="AI108" s="20">
        <f>Table4.17[[#This Row],[Net gas 8-24h, ml]]</f>
        <v>40.775422902890583</v>
      </c>
    </row>
    <row r="109" spans="2:35" x14ac:dyDescent="0.35">
      <c r="B109" s="62">
        <f t="shared" si="1"/>
        <v>99</v>
      </c>
      <c r="C109" s="42">
        <f>'1. Information samples'!C109</f>
        <v>46055</v>
      </c>
      <c r="D109" s="42" t="str">
        <f>'1. Information samples'!D109</f>
        <v>Genbank</v>
      </c>
      <c r="E109" s="59">
        <f>'1. Information samples'!E109</f>
        <v>29</v>
      </c>
      <c r="F109" s="42" t="str">
        <f>'1. Information samples'!F109</f>
        <v>F252609</v>
      </c>
      <c r="G109" s="42" t="str">
        <f>'1. Information samples'!G109</f>
        <v>CIAT22423</v>
      </c>
      <c r="H109" s="42" t="str">
        <f>'1. Information samples'!H109</f>
        <v>Vigna</v>
      </c>
      <c r="I109" s="42" t="str">
        <f>'1. Information samples'!I109</f>
        <v>unguiculata</v>
      </c>
      <c r="J109" s="42" t="str">
        <f>'1. Information samples'!J109</f>
        <v>Vigna unguiculata</v>
      </c>
      <c r="K109" s="42" t="str">
        <f>'1. Information samples'!K109</f>
        <v>Fabaceae</v>
      </c>
      <c r="L109" s="42" t="str">
        <f>'1. Information samples'!L109</f>
        <v>Fabales</v>
      </c>
      <c r="M109" s="42" t="str">
        <f>'1. Information samples'!M109</f>
        <v>Herbaceous</v>
      </c>
      <c r="N109" s="20">
        <f>Table95[[#This Row],[Av DM 105]]</f>
        <v>90.605928814237089</v>
      </c>
      <c r="O109" s="20">
        <f>Table95[[#This Row],[Av Ash, %]]</f>
        <v>12.050921361382503</v>
      </c>
      <c r="P109" s="20">
        <f>'4.0 Result Quality Average'!P109</f>
        <v>87.949078638617493</v>
      </c>
      <c r="Q109" s="20">
        <f>'4.0 Result Quality Average'!Q109</f>
        <v>27.744721817861834</v>
      </c>
      <c r="R109" s="20">
        <f>'4.0 Result Quality Average'!R109</f>
        <v>27.744721817861834</v>
      </c>
      <c r="S109" s="20">
        <f>'4.0 Result Quality Average'!S109</f>
        <v>27.765210989906425</v>
      </c>
      <c r="T109" s="20">
        <f>Table4.17[[#This Row],[Net gas 8h, ml]]</f>
        <v>42.141056146932591</v>
      </c>
      <c r="U109" s="20">
        <f>Table4.17[[#This Row],[Net gas 8-24h, ml]]</f>
        <v>41.490332531375643</v>
      </c>
      <c r="V109" s="20">
        <f>Table4.17[[#This Row],[Net gas 24h, ml]]</f>
        <v>83.631388678308241</v>
      </c>
      <c r="W109" s="20">
        <f>Table4.17[[#This Row],[CH4 8h, ml]]</f>
        <v>5.7208039678707712</v>
      </c>
      <c r="X109" s="20">
        <f>Table4.17[[#This Row],[CH4 8-24h, ml]]</f>
        <v>6.7047446438550873</v>
      </c>
      <c r="Y109" s="20">
        <f>Table4.17[[#This Row],[CH4 24h, ml]]</f>
        <v>12.425548611725858</v>
      </c>
      <c r="Z109" s="20">
        <f>Table4.17[[#This Row],[Gas ml/g DM Incubated, 24h]]</f>
        <v>184.49288744265115</v>
      </c>
      <c r="AA109" s="20">
        <f>Table4.17[[#This Row],[% DMD, Truly digestibility]]</f>
        <v>64.953535692291368</v>
      </c>
      <c r="AB109" s="20">
        <f>Table4.17[[#This Row],[Part Fact]]</f>
        <v>3.5226336378788381</v>
      </c>
      <c r="AC109" s="20">
        <f>Table4.17[[#This Row],[CH4 ml in gas, h8]]</f>
        <v>13.500000000000002</v>
      </c>
      <c r="AD109" s="20">
        <f>Table4.17[[#This Row],[CH4 ml in gas, 24h]]</f>
        <v>14.821679116998828</v>
      </c>
      <c r="AE109" s="20">
        <f>Table4.17[[#This Row],[CH4 ml/gDM incubated, 24h]]</f>
        <v>27.410997366819647</v>
      </c>
      <c r="AF109" s="20">
        <f>Table4.17[[#This Row],[CH4 ml/g DMD, 24h2]]</f>
        <v>42.493154357458373</v>
      </c>
      <c r="AG109" s="20">
        <f>Table4.17[[#This Row],[CH4 ml/g NDF digested in 24 h]]</f>
        <v>0.69576915775116444</v>
      </c>
      <c r="AH109" s="20">
        <f>Table4.17[[#This Row],[CH4 g/g DM incubated, 24h]]</f>
        <v>15.21357777729367</v>
      </c>
      <c r="AI109" s="20">
        <f>Table4.17[[#This Row],[Net gas 8-24h, ml]]</f>
        <v>41.490332531375643</v>
      </c>
    </row>
    <row r="110" spans="2:35" x14ac:dyDescent="0.35">
      <c r="B110" s="62">
        <f t="shared" si="1"/>
        <v>100</v>
      </c>
      <c r="C110" s="42">
        <f>'1. Information samples'!C110</f>
        <v>46055</v>
      </c>
      <c r="D110" s="42" t="str">
        <f>'1. Information samples'!D110</f>
        <v>Genbank</v>
      </c>
      <c r="E110" s="59">
        <f>'1. Information samples'!E110</f>
        <v>29</v>
      </c>
      <c r="F110" s="42" t="str">
        <f>'1. Information samples'!F110</f>
        <v>F252610</v>
      </c>
      <c r="G110" s="42" t="str">
        <f>'1. Information samples'!G110</f>
        <v>CIAT22480</v>
      </c>
      <c r="H110" s="42" t="str">
        <f>'1. Information samples'!H110</f>
        <v>Sesbania</v>
      </c>
      <c r="I110" s="42" t="str">
        <f>'1. Information samples'!I110</f>
        <v>cannabina</v>
      </c>
      <c r="J110" s="42" t="str">
        <f>'1. Information samples'!J110</f>
        <v>Sesbania cannabina</v>
      </c>
      <c r="K110" s="42" t="str">
        <f>'1. Information samples'!K110</f>
        <v>Fabaceae</v>
      </c>
      <c r="L110" s="42" t="str">
        <f>'1. Information samples'!L110</f>
        <v>Fabales</v>
      </c>
      <c r="M110" s="42" t="str">
        <f>'1. Information samples'!M110</f>
        <v>Shurb_Tree</v>
      </c>
      <c r="N110" s="20">
        <f>Table95[[#This Row],[Av DM 105]]</f>
        <v>92.479132710278932</v>
      </c>
      <c r="O110" s="20">
        <f>Table95[[#This Row],[Av Ash, %]]</f>
        <v>11.677108841714169</v>
      </c>
      <c r="P110" s="20">
        <f>'4.0 Result Quality Average'!P110</f>
        <v>88.322891158285842</v>
      </c>
      <c r="Q110" s="20">
        <f>'4.0 Result Quality Average'!Q110</f>
        <v>26.980756921854944</v>
      </c>
      <c r="R110" s="20">
        <f>'4.0 Result Quality Average'!R110</f>
        <v>26.980756921854944</v>
      </c>
      <c r="S110" s="20">
        <f>'4.0 Result Quality Average'!S110</f>
        <v>27.253123076779872</v>
      </c>
      <c r="T110" s="20">
        <f>Table4.17[[#This Row],[Net gas 8h, ml]]</f>
        <v>45.030296032023408</v>
      </c>
      <c r="U110" s="20">
        <f>Table4.17[[#This Row],[Net gas 8-24h, ml]]</f>
        <v>34.889708617176289</v>
      </c>
      <c r="V110" s="20">
        <f>Table4.17[[#This Row],[Net gas 24h, ml]]</f>
        <v>88.670036004982961</v>
      </c>
      <c r="W110" s="20">
        <f>Table4.17[[#This Row],[CH4 8h, ml]]</f>
        <v>6.2452683130086886</v>
      </c>
      <c r="X110" s="20">
        <f>Table4.17[[#This Row],[CH4 8-24h, ml]]</f>
        <v>7.0820851122143589</v>
      </c>
      <c r="Y110" s="20">
        <f>Table4.17[[#This Row],[CH4 24h, ml]]</f>
        <v>13.327353425223047</v>
      </c>
      <c r="Z110" s="20">
        <f>Table4.17[[#This Row],[Gas ml/g DM Incubated, 24h]]</f>
        <v>191.6895772019401</v>
      </c>
      <c r="AA110" s="20">
        <f>Table4.17[[#This Row],[% DMD, Truly digestibility]]</f>
        <v>56.255276653545323</v>
      </c>
      <c r="AB110" s="20">
        <f>Table4.17[[#This Row],[Part Fact]]</f>
        <v>2.9378354744461825</v>
      </c>
      <c r="AC110" s="20">
        <f>Table4.17[[#This Row],[CH4 ml in gas, h8]]</f>
        <v>13.812500000000002</v>
      </c>
      <c r="AD110" s="20">
        <f>Table4.17[[#This Row],[CH4 ml in gas, 24h]]</f>
        <v>14.997759732908278</v>
      </c>
      <c r="AE110" s="20">
        <f>Table4.17[[#This Row],[CH4 ml/gDM incubated, 24h]]</f>
        <v>28.811648838108223</v>
      </c>
      <c r="AF110" s="20">
        <f>Table4.17[[#This Row],[CH4 ml/g DMD, 24h2]]</f>
        <v>51.387690559931087</v>
      </c>
      <c r="AG110" s="20">
        <f>Table4.17[[#This Row],[CH4 ml/g NDF digested in 24 h]]</f>
        <v>-3.6514054145299917</v>
      </c>
      <c r="AH110" s="20">
        <f>Table4.17[[#This Row],[CH4 g/g DM incubated, 24h]]</f>
        <v>15.990963576583248</v>
      </c>
      <c r="AI110" s="20">
        <f>Table4.17[[#This Row],[Net gas 8-24h, ml]]</f>
        <v>34.889708617176289</v>
      </c>
    </row>
    <row r="111" spans="2:35" x14ac:dyDescent="0.35">
      <c r="B111" s="62">
        <f t="shared" si="1"/>
        <v>101</v>
      </c>
      <c r="C111" s="42">
        <f>'1. Information samples'!C111</f>
        <v>46055</v>
      </c>
      <c r="D111" s="42" t="str">
        <f>'1. Information samples'!D111</f>
        <v>Genbank</v>
      </c>
      <c r="E111" s="59">
        <f>'1. Information samples'!E111</f>
        <v>29</v>
      </c>
      <c r="F111" s="42" t="str">
        <f>'1. Information samples'!F111</f>
        <v>F252611</v>
      </c>
      <c r="G111" s="42" t="str">
        <f>'1. Information samples'!G111</f>
        <v>CIAT23116</v>
      </c>
      <c r="H111" s="42" t="str">
        <f>'1. Information samples'!H111</f>
        <v>Desmodium</v>
      </c>
      <c r="I111" s="42" t="str">
        <f>'1. Information samples'!I111</f>
        <v>tortuosum</v>
      </c>
      <c r="J111" s="42" t="str">
        <f>'1. Information samples'!J111</f>
        <v>Desmodium tortuosum</v>
      </c>
      <c r="K111" s="42" t="str">
        <f>'1. Information samples'!K111</f>
        <v>Fabaceae</v>
      </c>
      <c r="L111" s="42" t="str">
        <f>'1. Information samples'!L111</f>
        <v>Fabales</v>
      </c>
      <c r="M111" s="42" t="str">
        <f>'1. Information samples'!M111</f>
        <v>Shurb_Tree</v>
      </c>
      <c r="N111" s="20">
        <f>Table95[[#This Row],[Av DM 105]]</f>
        <v>92.565741851629753</v>
      </c>
      <c r="O111" s="20">
        <f>Table95[[#This Row],[Av Ash, %]]</f>
        <v>10.866874718600904</v>
      </c>
      <c r="P111" s="20">
        <f>'4.0 Result Quality Average'!P111</f>
        <v>89.133125281399089</v>
      </c>
      <c r="Q111" s="20">
        <f>'4.0 Result Quality Average'!Q111</f>
        <v>18.225289875128052</v>
      </c>
      <c r="R111" s="20">
        <f>'4.0 Result Quality Average'!R111</f>
        <v>18.225289875128052</v>
      </c>
      <c r="S111" s="20">
        <f>'4.0 Result Quality Average'!S111</f>
        <v>36.936409572680162</v>
      </c>
      <c r="T111" s="20">
        <f>Table4.17[[#This Row],[Net gas 8h, ml]]</f>
        <v>40.342796032023408</v>
      </c>
      <c r="U111" s="20">
        <f>Table4.17[[#This Row],[Net gas 8-24h, ml]]</f>
        <v>34.867086889878109</v>
      </c>
      <c r="V111" s="20">
        <f>Table4.17[[#This Row],[Net gas 24h, ml]]</f>
        <v>77.607536004982961</v>
      </c>
      <c r="W111" s="20">
        <f>Table4.17[[#This Row],[CH4 8h, ml]]</f>
        <v>5.7127976409975414</v>
      </c>
      <c r="X111" s="20">
        <f>Table4.17[[#This Row],[CH4 8-24h, ml]]</f>
        <v>6.4622793658311632</v>
      </c>
      <c r="Y111" s="20">
        <f>Table4.17[[#This Row],[CH4 24h, ml]]</f>
        <v>12.175077006828706</v>
      </c>
      <c r="Z111" s="20">
        <f>Table4.17[[#This Row],[Gas ml/g DM Incubated, 24h]]</f>
        <v>167.54971273613384</v>
      </c>
      <c r="AA111" s="20">
        <f>Table4.17[[#This Row],[% DMD, Truly digestibility]]</f>
        <v>38.289702444848665</v>
      </c>
      <c r="AB111" s="20">
        <f>Table4.17[[#This Row],[Part Fact]]</f>
        <v>2.3103252785628454</v>
      </c>
      <c r="AC111" s="20">
        <f>Table4.17[[#This Row],[CH4 ml in gas, h8]]</f>
        <v>14.112500000000001</v>
      </c>
      <c r="AD111" s="20">
        <f>Table4.17[[#This Row],[CH4 ml in gas, 24h]]</f>
        <v>15.65922023575293</v>
      </c>
      <c r="AE111" s="20">
        <f>Table4.17[[#This Row],[CH4 ml/gDM incubated, 24h]]</f>
        <v>26.285292207709542</v>
      </c>
      <c r="AF111" s="20">
        <f>Table4.17[[#This Row],[CH4 ml/g DMD, 24h2]]</f>
        <v>69.814587454345329</v>
      </c>
      <c r="AG111" s="20">
        <f>Table4.17[[#This Row],[CH4 ml/g NDF digested in 24 h]]</f>
        <v>-3.5322359997477264</v>
      </c>
      <c r="AH111" s="20">
        <f>Table4.17[[#This Row],[CH4 g/g DM incubated, 24h]]</f>
        <v>14.588791938119762</v>
      </c>
      <c r="AI111" s="20">
        <f>Table4.17[[#This Row],[Net gas 8-24h, ml]]</f>
        <v>34.867086889878109</v>
      </c>
    </row>
    <row r="112" spans="2:35" x14ac:dyDescent="0.35">
      <c r="B112" s="62">
        <f t="shared" si="1"/>
        <v>102</v>
      </c>
      <c r="C112" s="42">
        <f>'1. Information samples'!C112</f>
        <v>46055</v>
      </c>
      <c r="D112" s="42" t="str">
        <f>'1. Information samples'!D112</f>
        <v>Genbank</v>
      </c>
      <c r="E112" s="59">
        <f>'1. Information samples'!E112</f>
        <v>29</v>
      </c>
      <c r="F112" s="42" t="str">
        <f>'1. Information samples'!F112</f>
        <v>F252612</v>
      </c>
      <c r="G112" s="42" t="str">
        <f>'1. Information samples'!G112</f>
        <v>CIAT23416</v>
      </c>
      <c r="H112" s="42" t="str">
        <f>'1. Information samples'!H112</f>
        <v>Codariocalyx</v>
      </c>
      <c r="I112" s="42" t="str">
        <f>'1. Information samples'!I112</f>
        <v>motorius</v>
      </c>
      <c r="J112" s="42" t="str">
        <f>'1. Information samples'!J112</f>
        <v>Codariocalyx motorius</v>
      </c>
      <c r="K112" s="42" t="str">
        <f>'1. Information samples'!K112</f>
        <v>Fabaceae</v>
      </c>
      <c r="L112" s="42" t="str">
        <f>'1. Information samples'!L112</f>
        <v>Fabales</v>
      </c>
      <c r="M112" s="42" t="str">
        <f>'1. Information samples'!M112</f>
        <v>Shurb_Tree</v>
      </c>
      <c r="N112" s="20">
        <f>Table95[[#This Row],[Av DM 105]]</f>
        <v>92.807513459826822</v>
      </c>
      <c r="O112" s="20">
        <f>Table95[[#This Row],[Av Ash, %]]</f>
        <v>12.273817300985836</v>
      </c>
      <c r="P112" s="20">
        <f>'4.0 Result Quality Average'!P112</f>
        <v>87.726182699014174</v>
      </c>
      <c r="Q112" s="20">
        <f>'4.0 Result Quality Average'!Q112</f>
        <v>18.142715294395835</v>
      </c>
      <c r="R112" s="20">
        <f>'4.0 Result Quality Average'!R112</f>
        <v>18.142715294395835</v>
      </c>
      <c r="S112" s="20">
        <f>'4.0 Result Quality Average'!S112</f>
        <v>40.906148058339589</v>
      </c>
      <c r="T112" s="20">
        <f>Table4.17[[#This Row],[Net gas 8h, ml]]</f>
        <v>28.030296032023408</v>
      </c>
      <c r="U112" s="20">
        <f>Table4.17[[#This Row],[Net gas 8-24h, ml]]</f>
        <v>38.117086889878109</v>
      </c>
      <c r="V112" s="20">
        <f>Table4.17[[#This Row],[Net gas 24h, ml]]</f>
        <v>61.857536004982947</v>
      </c>
      <c r="W112" s="20">
        <f>Table4.17[[#This Row],[CH4 8h, ml]]</f>
        <v>3.6562676658249078</v>
      </c>
      <c r="X112" s="20">
        <f>Table4.17[[#This Row],[CH4 8-24h, ml]]</f>
        <v>5.3211209463442231</v>
      </c>
      <c r="Y112" s="20">
        <f>Table4.17[[#This Row],[CH4 24h, ml]]</f>
        <v>8.9773886121691309</v>
      </c>
      <c r="Z112" s="20">
        <f>Table4.17[[#This Row],[Gas ml/g DM Incubated, 24h]]</f>
        <v>133.23446710004322</v>
      </c>
      <c r="AA112" s="20">
        <f>Table4.17[[#This Row],[% DMD, Truly digestibility]]</f>
        <v>36.608873264188404</v>
      </c>
      <c r="AB112" s="20">
        <f>Table4.17[[#This Row],[Part Fact]]</f>
        <v>2.7492213169024025</v>
      </c>
      <c r="AC112" s="20">
        <f>Table4.17[[#This Row],[CH4 ml in gas, h8]]</f>
        <v>12.999999999999998</v>
      </c>
      <c r="AD112" s="20">
        <f>Table4.17[[#This Row],[CH4 ml in gas, 24h]]</f>
        <v>14.477818294746521</v>
      </c>
      <c r="AE112" s="20">
        <f>Table4.17[[#This Row],[CH4 ml/gDM incubated, 24h]]</f>
        <v>19.336399391746781</v>
      </c>
      <c r="AF112" s="20">
        <f>Table4.17[[#This Row],[CH4 ml/g DMD, 24h2]]</f>
        <v>56.652235776749592</v>
      </c>
      <c r="AG112" s="20">
        <f>Table4.17[[#This Row],[CH4 ml/g NDF digested in 24 h]]</f>
        <v>-1.1899983214186762</v>
      </c>
      <c r="AH112" s="20">
        <f>Table4.17[[#This Row],[CH4 g/g DM incubated, 24h]]</f>
        <v>10.732036202201328</v>
      </c>
      <c r="AI112" s="20">
        <f>Table4.17[[#This Row],[Net gas 8-24h, ml]]</f>
        <v>38.117086889878109</v>
      </c>
    </row>
    <row r="113" spans="2:35" x14ac:dyDescent="0.35">
      <c r="B113" s="62">
        <f t="shared" si="1"/>
        <v>103</v>
      </c>
      <c r="C113" s="42">
        <f>'1. Information samples'!C113</f>
        <v>46055</v>
      </c>
      <c r="D113" s="42" t="str">
        <f>'1. Information samples'!D113</f>
        <v>Genbank</v>
      </c>
      <c r="E113" s="59">
        <f>'1. Information samples'!E113</f>
        <v>29</v>
      </c>
      <c r="F113" s="42" t="str">
        <f>'1. Information samples'!F113</f>
        <v>F252613</v>
      </c>
      <c r="G113" s="42" t="str">
        <f>'1. Information samples'!G113</f>
        <v>CIAT23806</v>
      </c>
      <c r="H113" s="42" t="str">
        <f>'1. Information samples'!H113</f>
        <v>Desmodium</v>
      </c>
      <c r="I113" s="42" t="str">
        <f>'1. Information samples'!I113</f>
        <v>angustifolium</v>
      </c>
      <c r="J113" s="42" t="str">
        <f>'1. Information samples'!J113</f>
        <v>Desmodium angustifolium</v>
      </c>
      <c r="K113" s="42" t="str">
        <f>'1. Information samples'!K113</f>
        <v>Fabaceae</v>
      </c>
      <c r="L113" s="42" t="str">
        <f>'1. Information samples'!L113</f>
        <v>Fabales</v>
      </c>
      <c r="M113" s="42" t="str">
        <f>'1. Information samples'!M113</f>
        <v>Herbaceous</v>
      </c>
      <c r="N113" s="20">
        <f>Table95[[#This Row],[Av DM 105]]</f>
        <v>92.766084319382458</v>
      </c>
      <c r="O113" s="20">
        <f>Table95[[#This Row],[Av Ash, %]]</f>
        <v>9.9267030610067515</v>
      </c>
      <c r="P113" s="20">
        <f>'4.0 Result Quality Average'!P113</f>
        <v>90.073296938993252</v>
      </c>
      <c r="Q113" s="20">
        <f>'4.0 Result Quality Average'!Q113</f>
        <v>13.603227278666502</v>
      </c>
      <c r="R113" s="20">
        <f>'4.0 Result Quality Average'!R113</f>
        <v>13.497157695731715</v>
      </c>
      <c r="S113" s="20">
        <f>'4.0 Result Quality Average'!S113</f>
        <v>35.466057633050482</v>
      </c>
      <c r="T113" s="20">
        <f>Table4.17[[#This Row],[Net gas 8h, ml]]</f>
        <v>39.467796032023408</v>
      </c>
      <c r="U113" s="20">
        <f>Table4.17[[#This Row],[Net gas 8-24h, ml]]</f>
        <v>34.594251831821879</v>
      </c>
      <c r="V113" s="20">
        <f>Table4.17[[#This Row],[Net gas 24h, ml]]</f>
        <v>81.607536004982961</v>
      </c>
      <c r="W113" s="20">
        <f>Table4.17[[#This Row],[CH4 8h, ml]]</f>
        <v>5.3435821131163772</v>
      </c>
      <c r="X113" s="20">
        <f>Table4.17[[#This Row],[CH4 8-24h, ml]]</f>
        <v>6.9905019683260861</v>
      </c>
      <c r="Y113" s="20">
        <f>Table4.17[[#This Row],[CH4 24h, ml]]</f>
        <v>12.334084081442462</v>
      </c>
      <c r="Z113" s="20">
        <f>Table4.17[[#This Row],[Gas ml/g DM Incubated, 24h]]</f>
        <v>175.8052782169255</v>
      </c>
      <c r="AA113" s="20">
        <f>Table4.17[[#This Row],[% DMD, Truly digestibility]]</f>
        <v>44.038551838559201</v>
      </c>
      <c r="AB113" s="20">
        <f>Table4.17[[#This Row],[Part Fact]]</f>
        <v>2.523779982851849</v>
      </c>
      <c r="AC113" s="20">
        <f>Table4.17[[#This Row],[CH4 ml in gas, h8]]</f>
        <v>13.487500000000001</v>
      </c>
      <c r="AD113" s="20">
        <f>Table4.17[[#This Row],[CH4 ml in gas, 24h]]</f>
        <v>15.071313364601512</v>
      </c>
      <c r="AE113" s="20">
        <f>Table4.17[[#This Row],[CH4 ml/gDM incubated, 24h]]</f>
        <v>26.571083671350991</v>
      </c>
      <c r="AF113" s="20">
        <f>Table4.17[[#This Row],[CH4 ml/g DMD, 24h2]]</f>
        <v>60.641409418464036</v>
      </c>
      <c r="AG113" s="20">
        <f>Table4.17[[#This Row],[CH4 ml/g NDF digested in 24 h]]</f>
        <v>2.1898800274977237</v>
      </c>
      <c r="AH113" s="20">
        <f>Table4.17[[#This Row],[CH4 g/g DM incubated, 24h]]</f>
        <v>14.747411144929753</v>
      </c>
      <c r="AI113" s="20">
        <f>Table4.17[[#This Row],[Net gas 8-24h, ml]]</f>
        <v>34.594251831821879</v>
      </c>
    </row>
    <row r="114" spans="2:35" x14ac:dyDescent="0.35">
      <c r="B114" s="62">
        <f t="shared" si="1"/>
        <v>104</v>
      </c>
      <c r="C114" s="42">
        <f>'1. Information samples'!C114</f>
        <v>46055</v>
      </c>
      <c r="D114" s="42" t="str">
        <f>'1. Information samples'!D114</f>
        <v>Genbank</v>
      </c>
      <c r="E114" s="59">
        <f>'1. Information samples'!E114</f>
        <v>29</v>
      </c>
      <c r="F114" s="42" t="str">
        <f>'1. Information samples'!F114</f>
        <v>F252614</v>
      </c>
      <c r="G114" s="42" t="str">
        <f>'1. Information samples'!G114</f>
        <v>CIAT24104</v>
      </c>
      <c r="H114" s="42" t="str">
        <f>'1. Information samples'!H114</f>
        <v>Macroptilium</v>
      </c>
      <c r="I114" s="42" t="str">
        <f>'1. Information samples'!I114</f>
        <v>atropurpureum</v>
      </c>
      <c r="J114" s="42" t="str">
        <f>'1. Information samples'!J114</f>
        <v>Macroptilium atropurpureum</v>
      </c>
      <c r="K114" s="42" t="str">
        <f>'1. Information samples'!K114</f>
        <v>Fabaceae</v>
      </c>
      <c r="L114" s="42" t="str">
        <f>'1. Information samples'!L114</f>
        <v>Fabales</v>
      </c>
      <c r="M114" s="42" t="str">
        <f>'1. Information samples'!M114</f>
        <v>Herbaceous</v>
      </c>
      <c r="N114" s="20">
        <f>Table95[[#This Row],[Av DM 105]]</f>
        <v>92.297703877515374</v>
      </c>
      <c r="O114" s="20">
        <f>Table95[[#This Row],[Av Ash, %]]</f>
        <v>13.072678126653653</v>
      </c>
      <c r="P114" s="20">
        <f>'4.0 Result Quality Average'!P114</f>
        <v>86.927321873346358</v>
      </c>
      <c r="Q114" s="20">
        <f>'4.0 Result Quality Average'!Q114</f>
        <v>26.641708781822125</v>
      </c>
      <c r="R114" s="20">
        <f>'4.0 Result Quality Average'!R114</f>
        <v>26.641708781822125</v>
      </c>
      <c r="S114" s="20">
        <f>'4.0 Result Quality Average'!S114</f>
        <v>26.4382087553643</v>
      </c>
      <c r="T114" s="20">
        <f>Table4.17[[#This Row],[Net gas 8h, ml]]</f>
        <v>39.467796032023408</v>
      </c>
      <c r="U114" s="20">
        <f>Table4.17[[#This Row],[Net gas 8-24h, ml]]</f>
        <v>33.393014722139732</v>
      </c>
      <c r="V114" s="20">
        <f>Table4.17[[#This Row],[Net gas 24h, ml]]</f>
        <v>73.732536004982961</v>
      </c>
      <c r="W114" s="20">
        <f>Table4.17[[#This Row],[CH4 8h, ml]]</f>
        <v>5.1104761192298769</v>
      </c>
      <c r="X114" s="20">
        <f>Table4.17[[#This Row],[CH4 8-24h, ml]]</f>
        <v>5.5016335082200492</v>
      </c>
      <c r="Y114" s="20">
        <f>Table4.17[[#This Row],[CH4 24h, ml]]</f>
        <v>10.612109627449927</v>
      </c>
      <c r="Z114" s="20">
        <f>Table4.17[[#This Row],[Gas ml/g DM Incubated, 24h]]</f>
        <v>159.68126331273186</v>
      </c>
      <c r="AA114" s="20">
        <f>Table4.17[[#This Row],[% DMD, Truly digestibility]]</f>
        <v>56.784114991824758</v>
      </c>
      <c r="AB114" s="20">
        <f>Table4.17[[#This Row],[Part Fact]]</f>
        <v>3.581693334979426</v>
      </c>
      <c r="AC114" s="20">
        <f>Table4.17[[#This Row],[CH4 ml in gas, h8]]</f>
        <v>12.875000000000002</v>
      </c>
      <c r="AD114" s="20">
        <f>Table4.17[[#This Row],[CH4 ml in gas, 24h]]</f>
        <v>14.34775342396787</v>
      </c>
      <c r="AE114" s="20">
        <f>Table4.17[[#This Row],[CH4 ml/gDM incubated, 24h]]</f>
        <v>22.98238340730509</v>
      </c>
      <c r="AF114" s="20">
        <f>Table4.17[[#This Row],[CH4 ml/g DMD, 24h2]]</f>
        <v>40.929447777627587</v>
      </c>
      <c r="AG114" s="20">
        <f>Table4.17[[#This Row],[CH4 ml/g NDF digested in 24 h]]</f>
        <v>0.6175091586603465</v>
      </c>
      <c r="AH114" s="20">
        <f>Table4.17[[#This Row],[CH4 g/g DM incubated, 24h]]</f>
        <v>12.755620410144417</v>
      </c>
      <c r="AI114" s="20">
        <f>Table4.17[[#This Row],[Net gas 8-24h, ml]]</f>
        <v>33.393014722139732</v>
      </c>
    </row>
    <row r="115" spans="2:35" x14ac:dyDescent="0.35">
      <c r="B115" s="62">
        <f t="shared" si="1"/>
        <v>105</v>
      </c>
      <c r="C115" s="42">
        <f>'1. Information samples'!C115</f>
        <v>46055</v>
      </c>
      <c r="D115" s="42" t="str">
        <f>'1. Information samples'!D115</f>
        <v>Genbank</v>
      </c>
      <c r="E115" s="59">
        <f>'1. Information samples'!E115</f>
        <v>29</v>
      </c>
      <c r="F115" s="42" t="str">
        <f>'1. Information samples'!F115</f>
        <v>F252615</v>
      </c>
      <c r="G115" s="42" t="str">
        <f>'1. Information samples'!G115</f>
        <v>CIAT24565</v>
      </c>
      <c r="H115" s="42" t="str">
        <f>'1. Information samples'!H115</f>
        <v>Vigna</v>
      </c>
      <c r="I115" s="42" t="str">
        <f>'1. Information samples'!I115</f>
        <v>unguiculata</v>
      </c>
      <c r="J115" s="42" t="str">
        <f>'1. Information samples'!J115</f>
        <v>Vigna unguiculata</v>
      </c>
      <c r="K115" s="42" t="str">
        <f>'1. Information samples'!K115</f>
        <v>Fabaceae</v>
      </c>
      <c r="L115" s="42" t="str">
        <f>'1. Information samples'!L115</f>
        <v>Fabales</v>
      </c>
      <c r="M115" s="42" t="str">
        <f>'1. Information samples'!M115</f>
        <v>Herbaceous</v>
      </c>
      <c r="N115" s="20">
        <f>Table95[[#This Row],[Av DM 105]]</f>
        <v>90.072473763118381</v>
      </c>
      <c r="O115" s="20">
        <f>Table95[[#This Row],[Av Ash, %]]</f>
        <v>11.421282057171805</v>
      </c>
      <c r="P115" s="20">
        <f>'4.0 Result Quality Average'!P115</f>
        <v>88.578717942828192</v>
      </c>
      <c r="Q115" s="20">
        <f>'4.0 Result Quality Average'!Q115</f>
        <v>23.163386625456138</v>
      </c>
      <c r="R115" s="20">
        <f>'4.0 Result Quality Average'!R115</f>
        <v>23.162229034920131</v>
      </c>
      <c r="S115" s="20">
        <f>'4.0 Result Quality Average'!S115</f>
        <v>30.787796068110524</v>
      </c>
      <c r="T115" s="20">
        <f>Table4.17[[#This Row],[Net gas 8h, ml]]</f>
        <v>30.861233672775345</v>
      </c>
      <c r="U115" s="20">
        <f>Table4.17[[#This Row],[Net gas 8-24h, ml]]</f>
        <v>42.884766612821942</v>
      </c>
      <c r="V115" s="20">
        <f>Table4.17[[#This Row],[Net gas 24h, ml]]</f>
        <v>73.74600028559729</v>
      </c>
      <c r="W115" s="20">
        <f>Table4.17[[#This Row],[CH4 8h, ml]]</f>
        <v>4.0015376474516628</v>
      </c>
      <c r="X115" s="20">
        <f>Table4.17[[#This Row],[CH4 8-24h, ml]]</f>
        <v>6.6477751674716563</v>
      </c>
      <c r="Y115" s="20">
        <f>Table4.17[[#This Row],[CH4 24h, ml]]</f>
        <v>10.649312814923318</v>
      </c>
      <c r="Z115" s="20">
        <f>Table4.17[[#This Row],[Gas ml/g DM Incubated, 24h]]</f>
        <v>163.64911487071836</v>
      </c>
      <c r="AA115" s="20">
        <f>Table4.17[[#This Row],[% DMD, Truly digestibility]]</f>
        <v>50.413930226120833</v>
      </c>
      <c r="AB115" s="20">
        <f>Table4.17[[#This Row],[Part Fact]]</f>
        <v>3.0845677687171444</v>
      </c>
      <c r="AC115" s="20">
        <f>Table4.17[[#This Row],[CH4 ml in gas, h8]]</f>
        <v>12.916666666666666</v>
      </c>
      <c r="AD115" s="20">
        <f>Table4.17[[#This Row],[CH4 ml in gas, 24h]]</f>
        <v>14.381159119105982</v>
      </c>
      <c r="AE115" s="20">
        <f>Table4.17[[#This Row],[CH4 ml/gDM incubated, 24h]]</f>
        <v>23.631795306267353</v>
      </c>
      <c r="AF115" s="20">
        <f>Table4.17[[#This Row],[CH4 ml/g DMD, 24h2]]</f>
        <v>46.921120059933024</v>
      </c>
      <c r="AG115" s="20">
        <f>Table4.17[[#This Row],[CH4 ml/g NDF digested in 24 h]]</f>
        <v>6.9977520996644213E-2</v>
      </c>
      <c r="AH115" s="20">
        <f>Table4.17[[#This Row],[CH4 g/g DM incubated, 24h]]</f>
        <v>13.116055249568454</v>
      </c>
      <c r="AI115" s="20">
        <f>Table4.17[[#This Row],[Net gas 8-24h, ml]]</f>
        <v>42.884766612821942</v>
      </c>
    </row>
    <row r="116" spans="2:35" x14ac:dyDescent="0.35">
      <c r="B116" s="62">
        <f t="shared" si="1"/>
        <v>106</v>
      </c>
      <c r="C116" s="42">
        <f>'1. Information samples'!C116</f>
        <v>46055</v>
      </c>
      <c r="D116" s="42" t="str">
        <f>'1. Information samples'!D116</f>
        <v>Genbank</v>
      </c>
      <c r="E116" s="59">
        <f>'1. Information samples'!E116</f>
        <v>29</v>
      </c>
      <c r="F116" s="42" t="str">
        <f>'1. Information samples'!F116</f>
        <v>F252616</v>
      </c>
      <c r="G116" s="42" t="str">
        <f>'1. Information samples'!G116</f>
        <v>CIAT33561</v>
      </c>
      <c r="H116" s="42" t="str">
        <f>'1. Information samples'!H116</f>
        <v>Desmodium</v>
      </c>
      <c r="I116" s="42" t="str">
        <f>'1. Information samples'!I116</f>
        <v>wigginsii</v>
      </c>
      <c r="J116" s="42" t="str">
        <f>'1. Information samples'!J116</f>
        <v>Desmodium wigginsii</v>
      </c>
      <c r="K116" s="42" t="str">
        <f>'1. Information samples'!K116</f>
        <v>Fabaceae</v>
      </c>
      <c r="L116" s="42" t="str">
        <f>'1. Information samples'!L116</f>
        <v>Fabales</v>
      </c>
      <c r="M116" s="42" t="str">
        <f>'1. Information samples'!M116</f>
        <v>Herbaceous</v>
      </c>
      <c r="N116" s="20">
        <f>Table95[[#This Row],[Av DM 105]]</f>
        <v>91.875812418758159</v>
      </c>
      <c r="O116" s="20">
        <f>Table95[[#This Row],[Av Ash, %]]</f>
        <v>9.9091255373564344</v>
      </c>
      <c r="P116" s="20">
        <f>'4.0 Result Quality Average'!P116</f>
        <v>90.090874462643569</v>
      </c>
      <c r="Q116" s="20">
        <f>'4.0 Result Quality Average'!Q116</f>
        <v>16.293655903712867</v>
      </c>
      <c r="R116" s="20">
        <f>'4.0 Result Quality Average'!R116</f>
        <v>16.293655903712867</v>
      </c>
      <c r="S116" s="20">
        <f>'4.0 Result Quality Average'!S116</f>
        <v>35.855248399502528</v>
      </c>
      <c r="T116" s="20">
        <f>Table4.17[[#This Row],[Net gas 8h, ml]]</f>
        <v>40.780296032023408</v>
      </c>
      <c r="U116" s="20">
        <f>Table4.17[[#This Row],[Net gas 8-24h, ml]]</f>
        <v>44.594251831821886</v>
      </c>
      <c r="V116" s="20">
        <f>Table4.17[[#This Row],[Net gas 24h, ml]]</f>
        <v>79.732536004982961</v>
      </c>
      <c r="W116" s="20">
        <f>Table4.17[[#This Row],[CH4 8h, ml]]</f>
        <v>5.689211272257932</v>
      </c>
      <c r="X116" s="20">
        <f>Table4.17[[#This Row],[CH4 8-24h, ml]]</f>
        <v>6.5539777731245223</v>
      </c>
      <c r="Y116" s="20">
        <f>Table4.17[[#This Row],[CH4 24h, ml]]</f>
        <v>12.243189045382456</v>
      </c>
      <c r="Z116" s="20">
        <f>Table4.17[[#This Row],[Gas ml/g DM Incubated, 24h]]</f>
        <v>173.51182762202427</v>
      </c>
      <c r="AA116" s="20">
        <f>Table4.17[[#This Row],[% DMD, Truly digestibility]]</f>
        <v>43.124693027525517</v>
      </c>
      <c r="AB116" s="20">
        <f>Table4.17[[#This Row],[Part Fact]]</f>
        <v>2.4876909728672092</v>
      </c>
      <c r="AC116" s="20">
        <f>Table4.17[[#This Row],[CH4 ml in gas, h8]]</f>
        <v>13.887499999999999</v>
      </c>
      <c r="AD116" s="20">
        <f>Table4.17[[#This Row],[CH4 ml in gas, 24h]]</f>
        <v>15.315237895496638</v>
      </c>
      <c r="AE116" s="20">
        <f>Table4.17[[#This Row],[CH4 ml/gDM incubated, 24h]]</f>
        <v>26.64323838324113</v>
      </c>
      <c r="AF116" s="20">
        <f>Table4.17[[#This Row],[CH4 ml/g DMD, 24h2]]</f>
        <v>62.432481004552763</v>
      </c>
      <c r="AG116" s="20">
        <f>Table4.17[[#This Row],[CH4 ml/g NDF digested in 24 h]]</f>
        <v>-1.6812708674650425</v>
      </c>
      <c r="AH116" s="20">
        <f>Table4.17[[#This Row],[CH4 g/g DM incubated, 24h]]</f>
        <v>14.787458258380196</v>
      </c>
      <c r="AI116" s="20">
        <f>Table4.17[[#This Row],[Net gas 8-24h, ml]]</f>
        <v>44.594251831821886</v>
      </c>
    </row>
    <row r="117" spans="2:35" x14ac:dyDescent="0.35">
      <c r="B117" s="62">
        <f t="shared" si="1"/>
        <v>107</v>
      </c>
      <c r="C117" s="42">
        <f>'1. Information samples'!C117</f>
        <v>46055</v>
      </c>
      <c r="D117" s="42" t="str">
        <f>'1. Information samples'!D117</f>
        <v>Genbank</v>
      </c>
      <c r="E117" s="59">
        <f>'1. Information samples'!E117</f>
        <v>29</v>
      </c>
      <c r="F117" s="42" t="str">
        <f>'1. Information samples'!F117</f>
        <v>F252617</v>
      </c>
      <c r="G117" s="42" t="str">
        <f>'1. Information samples'!G117</f>
        <v>CIAT34038</v>
      </c>
      <c r="H117" s="42" t="str">
        <f>'1. Information samples'!H117</f>
        <v>Vigna</v>
      </c>
      <c r="I117" s="42" t="str">
        <f>'1. Information samples'!I117</f>
        <v>unguiculata</v>
      </c>
      <c r="J117" s="42" t="str">
        <f>'1. Information samples'!J117</f>
        <v>Vigna unguiculata</v>
      </c>
      <c r="K117" s="42" t="str">
        <f>'1. Information samples'!K117</f>
        <v>Fabaceae</v>
      </c>
      <c r="L117" s="42" t="str">
        <f>'1. Information samples'!L117</f>
        <v>Fabales</v>
      </c>
      <c r="M117" s="42" t="str">
        <f>'1. Information samples'!M117</f>
        <v>Herbaceous</v>
      </c>
      <c r="N117" s="20">
        <f>Table95[[#This Row],[Av DM 105]]</f>
        <v>91.789108861752226</v>
      </c>
      <c r="O117" s="20">
        <f>Table95[[#This Row],[Av Ash, %]]</f>
        <v>12.24478270352537</v>
      </c>
      <c r="P117" s="20">
        <f>'4.0 Result Quality Average'!P117</f>
        <v>87.755217296474626</v>
      </c>
      <c r="Q117" s="20">
        <f>'4.0 Result Quality Average'!Q117</f>
        <v>20.568244123206618</v>
      </c>
      <c r="R117" s="20">
        <f>'4.0 Result Quality Average'!R117</f>
        <v>20.568244123206618</v>
      </c>
      <c r="S117" s="20">
        <f>'4.0 Result Quality Average'!S117</f>
        <v>24.049174966639971</v>
      </c>
      <c r="T117" s="20">
        <f>Table4.17[[#This Row],[Net gas 8h, ml]]</f>
        <v>37.780296032023408</v>
      </c>
      <c r="U117" s="20">
        <f>Table4.17[[#This Row],[Net gas 8-24h, ml]]</f>
        <v>40.046726691479286</v>
      </c>
      <c r="V117" s="20">
        <f>Table4.17[[#This Row],[Net gas 24h, ml]]</f>
        <v>82.420036004982961</v>
      </c>
      <c r="W117" s="20">
        <f>Table4.17[[#This Row],[CH4 8h, ml]]</f>
        <v>4.8818864467903342</v>
      </c>
      <c r="X117" s="20">
        <f>Table4.17[[#This Row],[CH4 8-24h, ml]]</f>
        <v>7.0385146878991076</v>
      </c>
      <c r="Y117" s="20">
        <f>Table4.17[[#This Row],[CH4 24h, ml]]</f>
        <v>11.920401134689442</v>
      </c>
      <c r="Z117" s="20">
        <f>Table4.17[[#This Row],[Gas ml/g DM Incubated, 24h]]</f>
        <v>179.51810047238649</v>
      </c>
      <c r="AA117" s="20">
        <f>Table4.17[[#This Row],[% DMD, Truly digestibility]]</f>
        <v>55.341035877914756</v>
      </c>
      <c r="AB117" s="20">
        <f>Table4.17[[#This Row],[Part Fact]]</f>
        <v>3.0885799534964726</v>
      </c>
      <c r="AC117" s="20">
        <f>Table4.17[[#This Row],[CH4 ml in gas, h8]]</f>
        <v>12.9</v>
      </c>
      <c r="AD117" s="20">
        <f>Table4.17[[#This Row],[CH4 ml in gas, 24h]]</f>
        <v>14.436716095423986</v>
      </c>
      <c r="AE117" s="20">
        <f>Table4.17[[#This Row],[CH4 ml/gDM incubated, 24h]]</f>
        <v>25.963661062426979</v>
      </c>
      <c r="AF117" s="20">
        <f>Table4.17[[#This Row],[CH4 ml/g DMD, 24h2]]</f>
        <v>47.67993336089701</v>
      </c>
      <c r="AG117" s="20">
        <f>Table4.17[[#This Row],[CH4 ml/g NDF digested in 24 h]]</f>
        <v>0.38499422495677227</v>
      </c>
      <c r="AH117" s="20">
        <f>Table4.17[[#This Row],[CH4 g/g DM incubated, 24h]]</f>
        <v>14.410281087935251</v>
      </c>
      <c r="AI117" s="20">
        <f>Table4.17[[#This Row],[Net gas 8-24h, ml]]</f>
        <v>40.046726691479286</v>
      </c>
    </row>
    <row r="118" spans="2:35" x14ac:dyDescent="0.35">
      <c r="B118" s="62">
        <f t="shared" si="1"/>
        <v>108</v>
      </c>
      <c r="C118" s="42">
        <f>'1. Information samples'!C118</f>
        <v>46055</v>
      </c>
      <c r="D118" s="42" t="str">
        <f>'1. Information samples'!D118</f>
        <v>Genbank</v>
      </c>
      <c r="E118" s="59">
        <f>'1. Information samples'!E118</f>
        <v>29</v>
      </c>
      <c r="F118" s="42" t="str">
        <f>'1. Information samples'!F118</f>
        <v>F252618</v>
      </c>
      <c r="G118" s="42" t="str">
        <f>'1. Information samples'!G118</f>
        <v>CIAT34040</v>
      </c>
      <c r="H118" s="42" t="str">
        <f>'1. Information samples'!H118</f>
        <v>Vigna</v>
      </c>
      <c r="I118" s="42" t="str">
        <f>'1. Information samples'!I118</f>
        <v>aconitifolia</v>
      </c>
      <c r="J118" s="42" t="str">
        <f>'1. Information samples'!J118</f>
        <v>Vigna aconitifolia</v>
      </c>
      <c r="K118" s="42" t="str">
        <f>'1. Information samples'!K118</f>
        <v>Fabaceae</v>
      </c>
      <c r="L118" s="42" t="str">
        <f>'1. Information samples'!L118</f>
        <v>Fabales</v>
      </c>
      <c r="M118" s="42" t="str">
        <f>'1. Information samples'!M118</f>
        <v>Herbaceous</v>
      </c>
      <c r="N118" s="20">
        <f>Table95[[#This Row],[Av DM 105]]</f>
        <v>90.655927814437064</v>
      </c>
      <c r="O118" s="20">
        <f>Table95[[#This Row],[Av Ash, %]]</f>
        <v>12.810904384461349</v>
      </c>
      <c r="P118" s="20">
        <f>'4.0 Result Quality Average'!P118</f>
        <v>87.189095615538648</v>
      </c>
      <c r="Q118" s="20">
        <f>'4.0 Result Quality Average'!Q118</f>
        <v>25.56369149675103</v>
      </c>
      <c r="R118" s="20">
        <f>'4.0 Result Quality Average'!R118</f>
        <v>25.56369149675103</v>
      </c>
      <c r="S118" s="20">
        <f>'4.0 Result Quality Average'!S118</f>
        <v>22.853700590077526</v>
      </c>
      <c r="T118" s="20">
        <f>Table4.17[[#This Row],[Net gas 8h, ml]]</f>
        <v>44.967796032023408</v>
      </c>
      <c r="U118" s="20">
        <f>Table4.17[[#This Row],[Net gas 8-24h, ml]]</f>
        <v>45.535871864996878</v>
      </c>
      <c r="V118" s="20">
        <f>Table4.17[[#This Row],[Net gas 24h, ml]]</f>
        <v>88.982536004982961</v>
      </c>
      <c r="W118" s="20">
        <f>Table4.17[[#This Row],[CH4 8h, ml]]</f>
        <v>6.1059582049662264</v>
      </c>
      <c r="X118" s="20">
        <f>Table4.17[[#This Row],[CH4 8-24h, ml]]</f>
        <v>7.6225581141421399</v>
      </c>
      <c r="Y118" s="20">
        <f>Table4.17[[#This Row],[CH4 24h, ml]]</f>
        <v>13.728516319108367</v>
      </c>
      <c r="Z118" s="20">
        <f>Table4.17[[#This Row],[Gas ml/g DM Incubated, 24h]]</f>
        <v>196.20752898552411</v>
      </c>
      <c r="AA118" s="20">
        <f>Table4.17[[#This Row],[% DMD, Truly digestibility]]</f>
        <v>54.282519425148188</v>
      </c>
      <c r="AB118" s="20">
        <f>Table4.17[[#This Row],[Part Fact]]</f>
        <v>2.7695288563144267</v>
      </c>
      <c r="AC118" s="20">
        <f>Table4.17[[#This Row],[CH4 ml in gas, h8]]</f>
        <v>13.5</v>
      </c>
      <c r="AD118" s="20">
        <f>Table4.17[[#This Row],[CH4 ml in gas, 24h]]</f>
        <v>15.397918293750298</v>
      </c>
      <c r="AE118" s="20">
        <f>Table4.17[[#This Row],[CH4 ml/gDM incubated, 24h]]</f>
        <v>30.271625268680808</v>
      </c>
      <c r="AF118" s="20">
        <f>Table4.17[[#This Row],[CH4 ml/g DMD, 24h2]]</f>
        <v>56.110298450481018</v>
      </c>
      <c r="AG118" s="20">
        <f>Table4.17[[#This Row],[CH4 ml/g NDF digested in 24 h]]</f>
        <v>5.8645885845682733</v>
      </c>
      <c r="AH118" s="20">
        <f>Table4.17[[#This Row],[CH4 g/g DM incubated, 24h]]</f>
        <v>16.801275754658832</v>
      </c>
      <c r="AI118" s="20">
        <f>Table4.17[[#This Row],[Net gas 8-24h, ml]]</f>
        <v>45.535871864996878</v>
      </c>
    </row>
    <row r="119" spans="2:35" x14ac:dyDescent="0.35">
      <c r="B119" s="62">
        <f t="shared" si="1"/>
        <v>109</v>
      </c>
      <c r="C119" s="42">
        <f>'1. Information samples'!C119</f>
        <v>46055</v>
      </c>
      <c r="D119" s="42" t="str">
        <f>'1. Information samples'!D119</f>
        <v>Genbank</v>
      </c>
      <c r="E119" s="59">
        <f>'1. Information samples'!E119</f>
        <v>29</v>
      </c>
      <c r="F119" s="42" t="str">
        <f>'1. Information samples'!F119</f>
        <v>F252619</v>
      </c>
      <c r="G119" s="42" t="str">
        <f>'1. Information samples'!G119</f>
        <v>CIAT34042</v>
      </c>
      <c r="H119" s="42" t="str">
        <f>'1. Information samples'!H119</f>
        <v>Vigna</v>
      </c>
      <c r="I119" s="42" t="str">
        <f>'1. Information samples'!I119</f>
        <v>aconitifolia</v>
      </c>
      <c r="J119" s="42" t="str">
        <f>'1. Information samples'!J119</f>
        <v>Vigna aconitifolia</v>
      </c>
      <c r="K119" s="42" t="str">
        <f>'1. Information samples'!K119</f>
        <v>Fabaceae</v>
      </c>
      <c r="L119" s="42" t="str">
        <f>'1. Information samples'!L119</f>
        <v>Fabales</v>
      </c>
      <c r="M119" s="42" t="str">
        <f>'1. Information samples'!M119</f>
        <v>Herbaceous</v>
      </c>
      <c r="N119" s="20">
        <f>Table95[[#This Row],[Av DM 105]]</f>
        <v>91.070892910708935</v>
      </c>
      <c r="O119" s="20">
        <f>Table95[[#This Row],[Av Ash, %]]</f>
        <v>12.36824769433464</v>
      </c>
      <c r="P119" s="20">
        <f>'4.0 Result Quality Average'!P119</f>
        <v>87.631752305665373</v>
      </c>
      <c r="Q119" s="20">
        <f>'4.0 Result Quality Average'!Q119</f>
        <v>24.707049982964765</v>
      </c>
      <c r="R119" s="20">
        <f>'4.0 Result Quality Average'!R119</f>
        <v>24.707049982964765</v>
      </c>
      <c r="S119" s="20">
        <f>'4.0 Result Quality Average'!S119</f>
        <v>23.325938523882829</v>
      </c>
      <c r="T119" s="20">
        <f>Table4.17[[#This Row],[Net gas 8h, ml]]</f>
        <v>38.780296032023408</v>
      </c>
      <c r="U119" s="20">
        <f>Table4.17[[#This Row],[Net gas 8-24h, ml]]</f>
        <v>43.95706137603122</v>
      </c>
      <c r="V119" s="20">
        <f>Table4.17[[#This Row],[Net gas 24h, ml]]</f>
        <v>83.582536004982956</v>
      </c>
      <c r="W119" s="20">
        <f>Table4.17[[#This Row],[CH4 8h, ml]]</f>
        <v>5.2525564883978824</v>
      </c>
      <c r="X119" s="20">
        <f>Table4.17[[#This Row],[CH4 8-24h, ml]]</f>
        <v>7.4916488222132953</v>
      </c>
      <c r="Y119" s="20">
        <f>Table4.17[[#This Row],[CH4 24h, ml]]</f>
        <v>12.744205310611177</v>
      </c>
      <c r="Z119" s="20">
        <f>Table4.17[[#This Row],[Gas ml/g DM Incubated, 24h]]</f>
        <v>183.48470311949012</v>
      </c>
      <c r="AA119" s="20">
        <f>Table4.17[[#This Row],[% DMD, Truly digestibility]]</f>
        <v>49.933042017416632</v>
      </c>
      <c r="AB119" s="20">
        <f>Table4.17[[#This Row],[Part Fact]]</f>
        <v>2.7269326389123569</v>
      </c>
      <c r="AC119" s="20">
        <f>Table4.17[[#This Row],[CH4 ml in gas, h8]]</f>
        <v>13.475000000000001</v>
      </c>
      <c r="AD119" s="20">
        <f>Table4.17[[#This Row],[CH4 ml in gas, 24h]]</f>
        <v>15.204124305325507</v>
      </c>
      <c r="AE119" s="20">
        <f>Table4.17[[#This Row],[CH4 ml/gDM incubated, 24h]]</f>
        <v>27.976745601153873</v>
      </c>
      <c r="AF119" s="20">
        <f>Table4.17[[#This Row],[CH4 ml/g DMD, 24h2]]</f>
        <v>56.265406240065431</v>
      </c>
      <c r="AG119" s="20">
        <f>Table4.17[[#This Row],[CH4 ml/g NDF digested in 24 h]]</f>
        <v>1.7902790036906855</v>
      </c>
      <c r="AH119" s="20">
        <f>Table4.17[[#This Row],[CH4 g/g DM incubated, 24h]]</f>
        <v>15.527577835380901</v>
      </c>
      <c r="AI119" s="20">
        <f>Table4.17[[#This Row],[Net gas 8-24h, ml]]</f>
        <v>43.95706137603122</v>
      </c>
    </row>
    <row r="120" spans="2:35" x14ac:dyDescent="0.35">
      <c r="B120" s="62">
        <f t="shared" si="1"/>
        <v>110</v>
      </c>
      <c r="C120" s="42">
        <f>'1. Information samples'!C120</f>
        <v>46055</v>
      </c>
      <c r="D120" s="42" t="str">
        <f>'1. Information samples'!D120</f>
        <v>Genbank</v>
      </c>
      <c r="E120" s="59">
        <f>'1. Information samples'!E120</f>
        <v>29</v>
      </c>
      <c r="F120" s="42" t="str">
        <f>'1. Information samples'!F120</f>
        <v>F252620</v>
      </c>
      <c r="G120" s="42" t="str">
        <f>'1. Information samples'!G120</f>
        <v>CIAT34044</v>
      </c>
      <c r="H120" s="42" t="str">
        <f>'1. Information samples'!H120</f>
        <v>Vigna</v>
      </c>
      <c r="I120" s="42" t="str">
        <f>'1. Information samples'!I120</f>
        <v>aconitifolia</v>
      </c>
      <c r="J120" s="42" t="str">
        <f>'1. Information samples'!J120</f>
        <v>Vigna aconitifolia</v>
      </c>
      <c r="K120" s="42" t="str">
        <f>'1. Information samples'!K120</f>
        <v>Fabaceae</v>
      </c>
      <c r="L120" s="42" t="str">
        <f>'1. Information samples'!L120</f>
        <v>Fabales</v>
      </c>
      <c r="M120" s="42" t="str">
        <f>'1. Information samples'!M120</f>
        <v>Herbaceous</v>
      </c>
      <c r="N120" s="20">
        <f>Table95[[#This Row],[Av DM 105]]</f>
        <v>91.574632431935072</v>
      </c>
      <c r="O120" s="20">
        <f>Table95[[#This Row],[Av Ash, %]]</f>
        <v>10.439295421829192</v>
      </c>
      <c r="P120" s="20">
        <f>'4.0 Result Quality Average'!P120</f>
        <v>89.5607045781708</v>
      </c>
      <c r="Q120" s="20">
        <f>'4.0 Result Quality Average'!Q120</f>
        <v>22.362805395352606</v>
      </c>
      <c r="R120" s="20">
        <f>'4.0 Result Quality Average'!R120</f>
        <v>22.362805395352606</v>
      </c>
      <c r="S120" s="20">
        <f>'4.0 Result Quality Average'!S120</f>
        <v>21.106033059567345</v>
      </c>
      <c r="T120" s="20">
        <f>Table4.17[[#This Row],[Net gas 8h, ml]]</f>
        <v>49.756479056111822</v>
      </c>
      <c r="U120" s="20">
        <f>Table4.17[[#This Row],[Net gas 8-24h, ml]]</f>
        <v>51.249347131116529</v>
      </c>
      <c r="V120" s="20">
        <f>Table4.17[[#This Row],[Net gas 24h, ml]]</f>
        <v>101.00582618722835</v>
      </c>
      <c r="W120" s="20">
        <f>Table4.17[[#This Row],[CH4 8h, ml]]</f>
        <v>7.0009000349760031</v>
      </c>
      <c r="X120" s="20">
        <f>Table4.17[[#This Row],[CH4 8-24h, ml]]</f>
        <v>9.0112663197411624</v>
      </c>
      <c r="Y120" s="20">
        <f>Table4.17[[#This Row],[CH4 24h, ml]]</f>
        <v>16.012166354717166</v>
      </c>
      <c r="Z120" s="20">
        <f>Table4.17[[#This Row],[Gas ml/g DM Incubated, 24h]]</f>
        <v>220.45714122836975</v>
      </c>
      <c r="AA120" s="20">
        <f>Table4.17[[#This Row],[% DMD, Truly digestibility]]</f>
        <v>57.399879971334954</v>
      </c>
      <c r="AB120" s="20">
        <f>Table4.17[[#This Row],[Part Fact]]</f>
        <v>2.6101424205997406</v>
      </c>
      <c r="AC120" s="20">
        <f>Table4.17[[#This Row],[CH4 ml in gas, h8]]</f>
        <v>14.040000000000001</v>
      </c>
      <c r="AD120" s="20">
        <f>Table4.17[[#This Row],[CH4 ml in gas, 24h]]</f>
        <v>15.846278063988057</v>
      </c>
      <c r="AE120" s="20">
        <f>Table4.17[[#This Row],[CH4 ml/gDM incubated, 24h]]</f>
        <v>34.94843694006272</v>
      </c>
      <c r="AF120" s="20">
        <f>Table4.17[[#This Row],[CH4 ml/g DMD, 24h2]]</f>
        <v>62.534854586960797</v>
      </c>
      <c r="AG120" s="20">
        <f>Table4.17[[#This Row],[CH4 ml/g NDF digested in 24 h]]</f>
        <v>-1.7606185815726356</v>
      </c>
      <c r="AH120" s="20">
        <f>Table4.17[[#This Row],[CH4 g/g DM incubated, 24h]]</f>
        <v>19.396987145972528</v>
      </c>
      <c r="AI120" s="20">
        <f>Table4.17[[#This Row],[Net gas 8-24h, ml]]</f>
        <v>51.249347131116529</v>
      </c>
    </row>
    <row r="121" spans="2:35" x14ac:dyDescent="0.35">
      <c r="B121" s="62">
        <f t="shared" si="1"/>
        <v>111</v>
      </c>
      <c r="C121" s="42">
        <f>'1. Information samples'!C121</f>
        <v>46055</v>
      </c>
      <c r="D121" s="42" t="str">
        <f>'1. Information samples'!D121</f>
        <v>Genbank</v>
      </c>
      <c r="E121" s="59">
        <f>'1. Information samples'!E121</f>
        <v>29</v>
      </c>
      <c r="F121" s="42" t="str">
        <f>'1. Information samples'!F121</f>
        <v>F252621</v>
      </c>
      <c r="G121" s="42" t="str">
        <f>'1. Information samples'!G121</f>
        <v>CIAT34148</v>
      </c>
      <c r="H121" s="42" t="str">
        <f>'1. Information samples'!H121</f>
        <v>Vigna</v>
      </c>
      <c r="I121" s="42" t="str">
        <f>'1. Information samples'!I121</f>
        <v>radiata</v>
      </c>
      <c r="J121" s="42" t="str">
        <f>'1. Information samples'!J121</f>
        <v>Vigna radiata</v>
      </c>
      <c r="K121" s="42" t="str">
        <f>'1. Information samples'!K121</f>
        <v>Fabaceae</v>
      </c>
      <c r="L121" s="42" t="str">
        <f>'1. Information samples'!L121</f>
        <v>Fabales</v>
      </c>
      <c r="M121" s="42" t="str">
        <f>'1. Information samples'!M121</f>
        <v>Herbaceous</v>
      </c>
      <c r="N121" s="20">
        <f>Table95[[#This Row],[Av DM 105]]</f>
        <v>89.542611821532518</v>
      </c>
      <c r="O121" s="20">
        <f>Table95[[#This Row],[Av Ash, %]]</f>
        <v>10.260704831238595</v>
      </c>
      <c r="P121" s="20">
        <f>'4.0 Result Quality Average'!P121</f>
        <v>89.739295168761402</v>
      </c>
      <c r="Q121" s="20">
        <f>'4.0 Result Quality Average'!Q121</f>
        <v>23.287884478466296</v>
      </c>
      <c r="R121" s="20">
        <f>'4.0 Result Quality Average'!R121</f>
        <v>23.287884478466296</v>
      </c>
      <c r="S121" s="20">
        <f>'4.0 Result Quality Average'!S121</f>
        <v>27.183082262073242</v>
      </c>
      <c r="T121" s="20">
        <f>Table4.17[[#This Row],[Net gas 8h, ml]]</f>
        <v>33.780296032023408</v>
      </c>
      <c r="U121" s="20">
        <f>Table4.17[[#This Row],[Net gas 8-24h, ml]]</f>
        <v>45.513102198186253</v>
      </c>
      <c r="V121" s="20">
        <f>Table4.17[[#This Row],[Net gas 24h, ml]]</f>
        <v>76.982536004982961</v>
      </c>
      <c r="W121" s="20">
        <f>Table4.17[[#This Row],[CH4 8h, ml]]</f>
        <v>4.7077573663598127</v>
      </c>
      <c r="X121" s="20">
        <f>Table4.17[[#This Row],[CH4 8-24h, ml]]</f>
        <v>7.1575154307391795</v>
      </c>
      <c r="Y121" s="20">
        <f>Table4.17[[#This Row],[CH4 24h, ml]]</f>
        <v>11.865272797098989</v>
      </c>
      <c r="Z121" s="20">
        <f>Table4.17[[#This Row],[Gas ml/g DM Incubated, 24h]]</f>
        <v>171.85141904236144</v>
      </c>
      <c r="AA121" s="20">
        <f>Table4.17[[#This Row],[% DMD, Truly digestibility]]</f>
        <v>46.552425726667437</v>
      </c>
      <c r="AB121" s="20">
        <f>Table4.17[[#This Row],[Part Fact]]</f>
        <v>2.7229216599438471</v>
      </c>
      <c r="AC121" s="20">
        <f>Table4.17[[#This Row],[CH4 ml in gas, h8]]</f>
        <v>13.887500000000001</v>
      </c>
      <c r="AD121" s="20">
        <f>Table4.17[[#This Row],[CH4 ml in gas, 24h]]</f>
        <v>15.40556575534395</v>
      </c>
      <c r="AE121" s="20">
        <f>Table4.17[[#This Row],[CH4 ml/gDM incubated, 24h]]</f>
        <v>26.487355117019884</v>
      </c>
      <c r="AF121" s="20">
        <f>Table4.17[[#This Row],[CH4 ml/g DMD, 24h2]]</f>
        <v>58.173946758603876</v>
      </c>
      <c r="AG121" s="20">
        <f>Table4.17[[#This Row],[CH4 ml/g NDF digested in 24 h]]</f>
        <v>13.100718189953707</v>
      </c>
      <c r="AH121" s="20">
        <f>Table4.17[[#This Row],[CH4 g/g DM incubated, 24h]]</f>
        <v>14.700940348685084</v>
      </c>
      <c r="AI121" s="20">
        <f>Table4.17[[#This Row],[Net gas 8-24h, ml]]</f>
        <v>45.513102198186253</v>
      </c>
    </row>
    <row r="122" spans="2:35" x14ac:dyDescent="0.35">
      <c r="B122" s="62">
        <f t="shared" si="1"/>
        <v>112</v>
      </c>
      <c r="C122" s="42">
        <f>'1. Information samples'!C122</f>
        <v>46055</v>
      </c>
      <c r="D122" s="42" t="str">
        <f>'1. Information samples'!D122</f>
        <v>Genbank</v>
      </c>
      <c r="E122" s="59">
        <f>'1. Information samples'!E122</f>
        <v>29</v>
      </c>
      <c r="F122" s="42" t="str">
        <f>'1. Information samples'!F122</f>
        <v>F252622</v>
      </c>
      <c r="G122" s="42" t="str">
        <f>'1. Information samples'!G122</f>
        <v>CIAT34159</v>
      </c>
      <c r="H122" s="42" t="str">
        <f>'1. Information samples'!H122</f>
        <v>Vigna</v>
      </c>
      <c r="I122" s="42" t="str">
        <f>'1. Information samples'!I122</f>
        <v>unguiculata</v>
      </c>
      <c r="J122" s="42" t="str">
        <f>'1. Information samples'!J122</f>
        <v>Vigna unguiculata</v>
      </c>
      <c r="K122" s="42" t="str">
        <f>'1. Information samples'!K122</f>
        <v>Fabaceae</v>
      </c>
      <c r="L122" s="42" t="str">
        <f>'1. Information samples'!L122</f>
        <v>Fabales</v>
      </c>
      <c r="M122" s="42" t="str">
        <f>'1. Information samples'!M122</f>
        <v>Herbaceous</v>
      </c>
      <c r="N122" s="20">
        <f>Table95[[#This Row],[Av DM 105]]</f>
        <v>90.482383379367292</v>
      </c>
      <c r="O122" s="20">
        <f>Table95[[#This Row],[Av Ash, %]]</f>
        <v>11.993820560639854</v>
      </c>
      <c r="P122" s="20">
        <f>'4.0 Result Quality Average'!P122</f>
        <v>88.006179439360153</v>
      </c>
      <c r="Q122" s="20">
        <f>'4.0 Result Quality Average'!Q122</f>
        <v>22.863588720097063</v>
      </c>
      <c r="R122" s="20">
        <f>'4.0 Result Quality Average'!R122</f>
        <v>22.863588720097063</v>
      </c>
      <c r="S122" s="20">
        <f>'4.0 Result Quality Average'!S122</f>
        <v>22.214710815752284</v>
      </c>
      <c r="T122" s="20">
        <f>Table4.17[[#This Row],[Net gas 8h, ml]]</f>
        <v>44.967796032023408</v>
      </c>
      <c r="U122" s="20">
        <f>Table4.17[[#This Row],[Net gas 8-24h, ml]]</f>
        <v>34.262010348337398</v>
      </c>
      <c r="V122" s="20">
        <f>Table4.17[[#This Row],[Net gas 24h, ml]]</f>
        <v>89.107536004982961</v>
      </c>
      <c r="W122" s="20">
        <f>Table4.17[[#This Row],[CH4 8h, ml]]</f>
        <v>6.3531068654479945</v>
      </c>
      <c r="X122" s="20">
        <f>Table4.17[[#This Row],[CH4 8-24h, ml]]</f>
        <v>7.2370206142246785</v>
      </c>
      <c r="Y122" s="20">
        <f>Table4.17[[#This Row],[CH4 24h, ml]]</f>
        <v>13.590127479672674</v>
      </c>
      <c r="Z122" s="20">
        <f>Table4.17[[#This Row],[Gas ml/g DM Incubated, 24h]]</f>
        <v>196.90230741193864</v>
      </c>
      <c r="AA122" s="20">
        <f>Table4.17[[#This Row],[% DMD, Truly digestibility]]</f>
        <v>54.020988145734457</v>
      </c>
      <c r="AB122" s="20">
        <f>Table4.17[[#This Row],[Part Fact]]</f>
        <v>2.7573638465906893</v>
      </c>
      <c r="AC122" s="20">
        <f>Table4.17[[#This Row],[CH4 ml in gas, h8]]</f>
        <v>14.087500000000002</v>
      </c>
      <c r="AD122" s="20">
        <f>Table4.17[[#This Row],[CH4 ml in gas, 24h]]</f>
        <v>15.220337426668895</v>
      </c>
      <c r="AE122" s="20">
        <f>Table4.17[[#This Row],[CH4 ml/gDM incubated, 24h]]</f>
        <v>30.030238475915567</v>
      </c>
      <c r="AF122" s="20">
        <f>Table4.17[[#This Row],[CH4 ml/g DMD, 24h2]]</f>
        <v>56.719454131078535</v>
      </c>
      <c r="AG122" s="20">
        <f>Table4.17[[#This Row],[CH4 ml/g NDF digested in 24 h]]</f>
        <v>1.4453559782409446</v>
      </c>
      <c r="AH122" s="20">
        <f>Table4.17[[#This Row],[CH4 g/g DM incubated, 24h]]</f>
        <v>16.667301908432034</v>
      </c>
      <c r="AI122" s="20">
        <f>Table4.17[[#This Row],[Net gas 8-24h, ml]]</f>
        <v>34.262010348337398</v>
      </c>
    </row>
    <row r="123" spans="2:35" x14ac:dyDescent="0.35">
      <c r="B123" s="62">
        <f t="shared" si="1"/>
        <v>113</v>
      </c>
      <c r="C123" s="42">
        <f>'1. Information samples'!C123</f>
        <v>46055</v>
      </c>
      <c r="D123" s="42" t="str">
        <f>'1. Information samples'!D123</f>
        <v>Genbank</v>
      </c>
      <c r="E123" s="59">
        <f>'1. Information samples'!E123</f>
        <v>29</v>
      </c>
      <c r="F123" s="42" t="str">
        <f>'1. Information samples'!F123</f>
        <v>F252623</v>
      </c>
      <c r="G123" s="42" t="str">
        <f>'1. Information samples'!G123</f>
        <v>CIAT34347</v>
      </c>
      <c r="H123" s="42" t="str">
        <f>'1. Information samples'!H123</f>
        <v>Vigna</v>
      </c>
      <c r="I123" s="42" t="str">
        <f>'1. Information samples'!I123</f>
        <v>unguiculata</v>
      </c>
      <c r="J123" s="42" t="str">
        <f>'1. Information samples'!J123</f>
        <v>Vigna unguiculata</v>
      </c>
      <c r="K123" s="42" t="str">
        <f>'1. Information samples'!K123</f>
        <v>Fabaceae</v>
      </c>
      <c r="L123" s="42" t="str">
        <f>'1. Information samples'!L123</f>
        <v>Fabales</v>
      </c>
      <c r="M123" s="42" t="str">
        <f>'1. Information samples'!M123</f>
        <v>Herbaceous</v>
      </c>
      <c r="N123" s="20">
        <f>Table95[[#This Row],[Av DM 105]]</f>
        <v>89.492625317783649</v>
      </c>
      <c r="O123" s="20">
        <f>Table95[[#This Row],[Av Ash, %]]</f>
        <v>11.997985489344817</v>
      </c>
      <c r="P123" s="20">
        <f>'4.0 Result Quality Average'!P123</f>
        <v>88.002014510655187</v>
      </c>
      <c r="Q123" s="20">
        <f>'4.0 Result Quality Average'!Q123</f>
        <v>32.509384991699882</v>
      </c>
      <c r="R123" s="20">
        <f>'4.0 Result Quality Average'!R123</f>
        <v>32.464899703970843</v>
      </c>
      <c r="S123" s="20">
        <f>'4.0 Result Quality Average'!S123</f>
        <v>23.312842132515428</v>
      </c>
      <c r="T123" s="20">
        <f>Table4.17[[#This Row],[Net gas 8h, ml]]</f>
        <v>42.006228418036379</v>
      </c>
      <c r="U123" s="20">
        <f>Table4.17[[#This Row],[Net gas 8-24h, ml]]</f>
        <v>43.905387953271578</v>
      </c>
      <c r="V123" s="20">
        <f>Table4.17[[#This Row],[Net gas 24h, ml]]</f>
        <v>85.911616371307957</v>
      </c>
      <c r="W123" s="20">
        <f>Table4.17[[#This Row],[CH4 8h, ml]]</f>
        <v>5.3206959918250494</v>
      </c>
      <c r="X123" s="20">
        <f>Table4.17[[#This Row],[CH4 8-24h, ml]]</f>
        <v>7.1257419914503375</v>
      </c>
      <c r="Y123" s="20">
        <f>Table4.17[[#This Row],[CH4 24h, ml]]</f>
        <v>12.446437983275386</v>
      </c>
      <c r="Z123" s="20">
        <f>Table4.17[[#This Row],[Gas ml/g DM Incubated, 24h]]</f>
        <v>191.89452483324433</v>
      </c>
      <c r="AA123" s="20">
        <f>Table4.17[[#This Row],[% DMD, Truly digestibility]]</f>
        <v>61.008109921277708</v>
      </c>
      <c r="AB123" s="20">
        <f>Table4.17[[#This Row],[Part Fact]]</f>
        <v>3.1785295855989024</v>
      </c>
      <c r="AC123" s="20">
        <f>Table4.17[[#This Row],[CH4 ml in gas, h8]]</f>
        <v>12.666666666666666</v>
      </c>
      <c r="AD123" s="20">
        <f>Table4.17[[#This Row],[CH4 ml in gas, 24h]]</f>
        <v>14.49048809795314</v>
      </c>
      <c r="AE123" s="20">
        <f>Table4.17[[#This Row],[CH4 ml/gDM incubated, 24h]]</f>
        <v>27.800737948053726</v>
      </c>
      <c r="AF123" s="20">
        <f>Table4.17[[#This Row],[CH4 ml/g DMD, 24h2]]</f>
        <v>45.642472402370252</v>
      </c>
      <c r="AG123" s="20">
        <f>Table4.17[[#This Row],[CH4 ml/g NDF digested in 24 h]]</f>
        <v>2.1915412770886546</v>
      </c>
      <c r="AH123" s="20">
        <f>Table4.17[[#This Row],[CH4 g/g DM incubated, 24h]]</f>
        <v>15.429890542795215</v>
      </c>
      <c r="AI123" s="20">
        <f>Table4.17[[#This Row],[Net gas 8-24h, ml]]</f>
        <v>43.905387953271578</v>
      </c>
    </row>
    <row r="124" spans="2:35" x14ac:dyDescent="0.35">
      <c r="B124" s="62">
        <f t="shared" si="1"/>
        <v>114</v>
      </c>
      <c r="C124" s="42">
        <f>'1. Information samples'!C124</f>
        <v>46055</v>
      </c>
      <c r="D124" s="42" t="str">
        <f>'1. Information samples'!D124</f>
        <v>Genbank</v>
      </c>
      <c r="E124" s="59">
        <f>'1. Information samples'!E124</f>
        <v>29</v>
      </c>
      <c r="F124" s="327" t="str">
        <f>'1. Information samples'!F124</f>
        <v>F251692</v>
      </c>
      <c r="G124" s="42" t="str">
        <f>'1. Information samples'!G124</f>
        <v>CIAT-23715</v>
      </c>
      <c r="H124" s="42" t="str">
        <f>'1. Information samples'!H124</f>
        <v>Desmodium</v>
      </c>
      <c r="I124" s="42" t="str">
        <f>'1. Information samples'!I124</f>
        <v>sequax</v>
      </c>
      <c r="J124" s="42" t="str">
        <f>'1. Information samples'!J124</f>
        <v>Desmodium sequax</v>
      </c>
      <c r="K124" s="42" t="str">
        <f>'1. Information samples'!K124</f>
        <v>Fabaceae</v>
      </c>
      <c r="L124" s="42" t="str">
        <f>'1. Information samples'!L124</f>
        <v>Fabales</v>
      </c>
      <c r="M124" s="42" t="str">
        <f>'1. Information samples'!M124</f>
        <v>Shrub</v>
      </c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  <c r="AC124" s="20"/>
      <c r="AD124" s="20"/>
      <c r="AE124" s="20"/>
      <c r="AF124" s="20"/>
      <c r="AG124" s="20"/>
      <c r="AH124" s="20"/>
      <c r="AI124" s="20"/>
    </row>
    <row r="125" spans="2:35" x14ac:dyDescent="0.35">
      <c r="B125" s="62">
        <f t="shared" si="1"/>
        <v>115</v>
      </c>
      <c r="C125" s="42">
        <f>'1. Information samples'!C125</f>
        <v>46055</v>
      </c>
      <c r="D125" s="42" t="str">
        <f>'1. Information samples'!D125</f>
        <v>Jacobo Arango/ Alejandro Montoya</v>
      </c>
      <c r="E125" s="59">
        <f>'1. Information samples'!E125</f>
        <v>29</v>
      </c>
      <c r="F125" s="42" t="str">
        <f>'1. Information samples'!F125</f>
        <v>F250008</v>
      </c>
      <c r="G125" s="42" t="str">
        <f>'1. Information samples'!G125</f>
        <v>Sample 8</v>
      </c>
      <c r="H125" s="42" t="str">
        <f>'1. Information samples'!H125</f>
        <v>Cynodon</v>
      </c>
      <c r="I125" s="42" t="str">
        <f>'1. Information samples'!I125</f>
        <v xml:space="preserve"> nlemfuensis </v>
      </c>
      <c r="J125" s="42" t="str">
        <f>'1. Information samples'!J125</f>
        <v xml:space="preserve">Cynodon nlemfuensis </v>
      </c>
      <c r="K125" s="42" t="str">
        <f>'1. Information samples'!K125</f>
        <v>Poaceae</v>
      </c>
      <c r="L125" s="42" t="str">
        <f>'1. Information samples'!L125</f>
        <v>Poales</v>
      </c>
      <c r="M125" s="42" t="str">
        <f>'1. Information samples'!M125</f>
        <v>grasses</v>
      </c>
      <c r="N125" s="20">
        <f>Table95[[#This Row],[Av DM 105]]</f>
        <v>93.55</v>
      </c>
      <c r="O125" s="20">
        <f>Table95[[#This Row],[Av Ash, %]]</f>
        <v>11.4</v>
      </c>
      <c r="P125" s="20">
        <f>'4.0 Result Quality Average'!P125</f>
        <v>88.6</v>
      </c>
      <c r="Q125" s="20">
        <f>'4.0 Result Quality Average'!Q125</f>
        <v>0</v>
      </c>
      <c r="R125" s="20">
        <f>'4.0 Result Quality Average'!R125</f>
        <v>0</v>
      </c>
      <c r="S125" s="20">
        <f>'4.0 Result Quality Average'!S125</f>
        <v>0</v>
      </c>
      <c r="T125" s="20">
        <f>Table4.17[[#This Row],[Net gas 8h, ml]]</f>
        <v>24.693415120442065</v>
      </c>
      <c r="U125" s="20">
        <f>Table4.17[[#This Row],[Net gas 8-24h, ml]]</f>
        <v>40.475438980965393</v>
      </c>
      <c r="V125" s="20">
        <f>Table4.17[[#This Row],[Net gas 24h, ml]]</f>
        <v>65.168854101407447</v>
      </c>
      <c r="W125" s="20">
        <f>Table4.17[[#This Row],[CH4 8h, ml]]</f>
        <v>3.7686908925155822</v>
      </c>
      <c r="X125" s="20">
        <f>Table4.17[[#This Row],[CH4 8-24h, ml]]</f>
        <v>6.8518158919653249</v>
      </c>
      <c r="Y125" s="20">
        <f>Table4.17[[#This Row],[CH4 24h, ml]]</f>
        <v>10.620506784480906</v>
      </c>
      <c r="Z125" s="20">
        <f>Table4.17[[#This Row],[Gas ml/g DM Incubated, 24h]]</f>
        <v>139.2408004541777</v>
      </c>
      <c r="AA125" s="20">
        <f>Table4.17[[#This Row],[% DMD, Truly digestibility]]</f>
        <v>23.074923818842439</v>
      </c>
      <c r="AB125" s="20">
        <f>Table4.17[[#This Row],[Part Fact]]</f>
        <v>1.665214795506766</v>
      </c>
      <c r="AC125" s="20">
        <f>Table4.17[[#This Row],[CH4 ml in gas, h8]]</f>
        <v>15.274999999999999</v>
      </c>
      <c r="AD125" s="20">
        <f>Table4.17[[#This Row],[CH4 ml in gas, 24h]]</f>
        <v>16.280085647864965</v>
      </c>
      <c r="AE125" s="20">
        <f>Table4.17[[#This Row],[CH4 ml/gDM incubated, 24h]]</f>
        <v>22.692040614635712</v>
      </c>
      <c r="AF125" s="20">
        <f>Table4.17[[#This Row],[CH4 ml/g DMD, 24h2]]</f>
        <v>123.47391077755914</v>
      </c>
      <c r="AG125" s="20">
        <f>Table4.17[[#This Row],[CH4 ml/g NDF digested in 24 h]]</f>
        <v>2.1194346055026592</v>
      </c>
      <c r="AH125" s="20">
        <f>Table4.17[[#This Row],[CH4 g/g DM incubated, 24h]]</f>
        <v>12.594475136981206</v>
      </c>
      <c r="AI125" s="20">
        <f>Table4.17[[#This Row],[Net gas 8-24h, ml]]</f>
        <v>40.475438980965393</v>
      </c>
    </row>
    <row r="126" spans="2:35" x14ac:dyDescent="0.35">
      <c r="B126" s="62"/>
      <c r="C126" s="42">
        <f>'1. Information samples'!C126</f>
        <v>46062</v>
      </c>
      <c r="D126" s="42" t="str">
        <f>'1. Information samples'!D126</f>
        <v>Genbank</v>
      </c>
      <c r="E126" s="59">
        <f>'1. Information samples'!E126</f>
        <v>30</v>
      </c>
      <c r="F126" s="42" t="str">
        <f>'1. Information samples'!F126</f>
        <v>F260013</v>
      </c>
      <c r="G126" s="42" t="str">
        <f>'1. Information samples'!G126</f>
        <v>CIAT590</v>
      </c>
      <c r="H126" s="42" t="str">
        <f>'1. Information samples'!H126</f>
        <v>Macroptilium</v>
      </c>
      <c r="I126" s="42" t="str">
        <f>'1. Information samples'!I126</f>
        <v>bracteatum</v>
      </c>
      <c r="J126" s="42" t="str">
        <f>'1. Information samples'!J126</f>
        <v>Macroptilium bracteatum</v>
      </c>
      <c r="K126" s="42" t="str">
        <f>'1. Information samples'!K126</f>
        <v>Fabaceae</v>
      </c>
      <c r="L126" s="42" t="str">
        <f>'1. Information samples'!L126</f>
        <v>Fabales</v>
      </c>
      <c r="M126" s="42" t="str">
        <f>'1. Information samples'!M126</f>
        <v>Herbaceous</v>
      </c>
      <c r="N126" s="20">
        <f>Table95[[#This Row],[Av DM 105]]</f>
        <v>92.602932541614905</v>
      </c>
      <c r="O126" s="20">
        <f>Table95[[#This Row],[Av Ash, %]]</f>
        <v>10.540779545515475</v>
      </c>
      <c r="P126" s="20">
        <f>'4.0 Result Quality Average'!P126</f>
        <v>89.459220454484523</v>
      </c>
      <c r="Q126" s="20">
        <f>'4.0 Result Quality Average'!Q126</f>
        <v>18.342831355874488</v>
      </c>
      <c r="R126" s="20">
        <f>'4.0 Result Quality Average'!R126</f>
        <v>18.469606162913962</v>
      </c>
      <c r="S126" s="20">
        <f>'4.0 Result Quality Average'!S126</f>
        <v>35.83839105688886</v>
      </c>
      <c r="T126" s="20">
        <f>Table4.17[[#This Row],[Net gas 8h, ml]]</f>
        <v>37.657657418423227</v>
      </c>
      <c r="U126" s="20">
        <f>Table4.17[[#This Row],[Net gas 8-24h, ml]]</f>
        <v>34.176857265255975</v>
      </c>
      <c r="V126" s="20">
        <f>Table4.17[[#This Row],[Net gas 24h, ml]]</f>
        <v>75.538611933685942</v>
      </c>
      <c r="W126" s="20">
        <f>Table4.17[[#This Row],[CH4 8h, ml]]</f>
        <v>4.9302515137858602</v>
      </c>
      <c r="X126" s="20">
        <f>Table4.17[[#This Row],[CH4 8-24h, ml]]</f>
        <v>6.0779849537403789</v>
      </c>
      <c r="Y126" s="20">
        <f>Table4.17[[#This Row],[CH4 24h, ml]]</f>
        <v>11.00823646752624</v>
      </c>
      <c r="Z126" s="20">
        <f>Table4.17[[#This Row],[Gas ml/g DM Incubated, 24h]]</f>
        <v>163.09958650131873</v>
      </c>
      <c r="AA126" s="20">
        <f>Table4.17[[#This Row],[% DMD, Truly digestibility]]</f>
        <v>44.663081626697796</v>
      </c>
      <c r="AB126" s="20">
        <f>Table4.17[[#This Row],[Part Fact]]</f>
        <v>2.7507673010003169</v>
      </c>
      <c r="AC126" s="20">
        <f>Table4.17[[#This Row],[CH4 ml in gas, h8]]</f>
        <v>13.085714285714285</v>
      </c>
      <c r="AD126" s="20">
        <f>Table4.17[[#This Row],[CH4 ml in gas, 24h]]</f>
        <v>14.558435323513255</v>
      </c>
      <c r="AE126" s="20">
        <f>Table4.17[[#This Row],[CH4 ml/gDM incubated, 24h]]</f>
        <v>23.768467143995881</v>
      </c>
      <c r="AF126" s="20">
        <f>Table4.17[[#This Row],[CH4 ml/g DMD, 24h2]]</f>
        <v>55.647634047348184</v>
      </c>
      <c r="AG126" s="20">
        <f>Table4.17[[#This Row],[CH4 ml/g NDF digested in 24 h]]</f>
        <v>-12.939658519840247</v>
      </c>
      <c r="AH126" s="20">
        <f>Table4.17[[#This Row],[CH4 g/g DM incubated, 24h]]</f>
        <v>13.191910484072453</v>
      </c>
      <c r="AI126" s="20">
        <f>Table4.17[[#This Row],[Net gas 8-24h, ml]]</f>
        <v>34.176857265255975</v>
      </c>
    </row>
    <row r="127" spans="2:35" x14ac:dyDescent="0.35">
      <c r="B127" s="62"/>
      <c r="C127" s="42">
        <f>'1. Information samples'!C127</f>
        <v>46062</v>
      </c>
      <c r="D127" s="42" t="str">
        <f>'1. Information samples'!D127</f>
        <v>Genbank</v>
      </c>
      <c r="E127" s="59">
        <f>'1. Information samples'!E127</f>
        <v>30</v>
      </c>
      <c r="F127" s="42" t="str">
        <f>'1. Information samples'!F127</f>
        <v>F260014</v>
      </c>
      <c r="G127" s="42" t="str">
        <f>'1. Information samples'!G127</f>
        <v>CIAT778</v>
      </c>
      <c r="H127" s="42" t="str">
        <f>'1. Information samples'!H127</f>
        <v>Macroptilium</v>
      </c>
      <c r="I127" s="42" t="str">
        <f>'1. Information samples'!I127</f>
        <v>atropurpureum</v>
      </c>
      <c r="J127" s="42" t="str">
        <f>'1. Information samples'!J127</f>
        <v>Macroptilium atropurpureum</v>
      </c>
      <c r="K127" s="42" t="str">
        <f>'1. Information samples'!K127</f>
        <v>Fabaceae</v>
      </c>
      <c r="L127" s="42" t="str">
        <f>'1. Information samples'!L127</f>
        <v>Fabales</v>
      </c>
      <c r="M127" s="42" t="str">
        <f>'1. Information samples'!M127</f>
        <v>Herbaceous</v>
      </c>
      <c r="N127" s="20">
        <f>Table95[[#This Row],[Av DM 105]]</f>
        <v>92.582967738364118</v>
      </c>
      <c r="O127" s="20">
        <f>Table95[[#This Row],[Av Ash, %]]</f>
        <v>12.356940726192665</v>
      </c>
      <c r="P127" s="20">
        <f>'4.0 Result Quality Average'!P127</f>
        <v>87.643059273807324</v>
      </c>
      <c r="Q127" s="20">
        <f>'4.0 Result Quality Average'!Q127</f>
        <v>22.842056715834623</v>
      </c>
      <c r="R127" s="20">
        <f>'4.0 Result Quality Average'!R127</f>
        <v>22.842056715834623</v>
      </c>
      <c r="S127" s="20">
        <f>'4.0 Result Quality Average'!S127</f>
        <v>35.237029127190247</v>
      </c>
      <c r="T127" s="20">
        <f>Table4.17[[#This Row],[Net gas 8h, ml]]</f>
        <v>31.657657418423231</v>
      </c>
      <c r="U127" s="20">
        <f>Table4.17[[#This Row],[Net gas 8-24h, ml]]</f>
        <v>32.376857265255978</v>
      </c>
      <c r="V127" s="20">
        <f>Table4.17[[#This Row],[Net gas 24h, ml]]</f>
        <v>62.324326219400227</v>
      </c>
      <c r="W127" s="20">
        <f>Table4.17[[#This Row],[CH4 8h, ml]]</f>
        <v>3.5621699354821708</v>
      </c>
      <c r="X127" s="20">
        <f>Table4.17[[#This Row],[CH4 8-24h, ml]]</f>
        <v>4.6328002815403044</v>
      </c>
      <c r="Y127" s="20">
        <f>Table4.17[[#This Row],[CH4 24h, ml]]</f>
        <v>8.1949702170224743</v>
      </c>
      <c r="Z127" s="20">
        <f>Table4.17[[#This Row],[Gas ml/g DM Incubated, 24h]]</f>
        <v>134.56704184760594</v>
      </c>
      <c r="AA127" s="20">
        <f>Table4.17[[#This Row],[% DMD, Truly digestibility]]</f>
        <v>38.615757791194348</v>
      </c>
      <c r="AB127" s="20">
        <f>Table4.17[[#This Row],[Part Fact]]</f>
        <v>2.9168123132578154</v>
      </c>
      <c r="AC127" s="20">
        <f>Table4.17[[#This Row],[CH4 ml in gas, h8]]</f>
        <v>11.242857142857144</v>
      </c>
      <c r="AD127" s="20">
        <f>Table4.17[[#This Row],[CH4 ml in gas, 24h]]</f>
        <v>13.132849432890222</v>
      </c>
      <c r="AE127" s="20">
        <f>Table4.17[[#This Row],[CH4 ml/gDM incubated, 24h]]</f>
        <v>17.693982678784373</v>
      </c>
      <c r="AF127" s="20">
        <f>Table4.17[[#This Row],[CH4 ml/g DMD, 24h2]]</f>
        <v>48.69260094412698</v>
      </c>
      <c r="AG127" s="20">
        <f>Table4.17[[#This Row],[CH4 ml/g NDF digested in 24 h]]</f>
        <v>-1.0904982942078227</v>
      </c>
      <c r="AH127" s="20">
        <f>Table4.17[[#This Row],[CH4 g/g DM incubated, 24h]]</f>
        <v>9.8204665109931284</v>
      </c>
      <c r="AI127" s="20">
        <f>Table4.17[[#This Row],[Net gas 8-24h, ml]]</f>
        <v>32.376857265255978</v>
      </c>
    </row>
    <row r="128" spans="2:35" x14ac:dyDescent="0.35">
      <c r="B128" s="62"/>
      <c r="C128" s="42">
        <f>'1. Information samples'!C128</f>
        <v>46062</v>
      </c>
      <c r="D128" s="42" t="str">
        <f>'1. Information samples'!D128</f>
        <v>Genbank</v>
      </c>
      <c r="E128" s="59">
        <f>'1. Information samples'!E128</f>
        <v>30</v>
      </c>
      <c r="F128" s="42" t="str">
        <f>'1. Information samples'!F128</f>
        <v>F260015</v>
      </c>
      <c r="G128" s="42" t="str">
        <f>'1. Information samples'!G128</f>
        <v>CIAT827</v>
      </c>
      <c r="H128" s="42" t="str">
        <f>'1. Information samples'!H128</f>
        <v>Indigofera</v>
      </c>
      <c r="I128" s="42" t="str">
        <f>'1. Information samples'!I128</f>
        <v>jamaicensis</v>
      </c>
      <c r="J128" s="42" t="str">
        <f>'1. Information samples'!J128</f>
        <v>Indigofera jamaicensis</v>
      </c>
      <c r="K128" s="42" t="str">
        <f>'1. Information samples'!K128</f>
        <v>Fabaceae</v>
      </c>
      <c r="L128" s="42" t="str">
        <f>'1. Information samples'!L128</f>
        <v>Fabales</v>
      </c>
      <c r="M128" s="42" t="str">
        <f>'1. Information samples'!M128</f>
        <v>Herbaceous</v>
      </c>
      <c r="N128" s="20">
        <f>Table95[[#This Row],[Av DM 105]]</f>
        <v>94.764999999999986</v>
      </c>
      <c r="O128" s="20">
        <f>Table95[[#This Row],[Av Ash, %]]</f>
        <v>11.787052181712696</v>
      </c>
      <c r="P128" s="20">
        <f>'4.0 Result Quality Average'!P128</f>
        <v>88.212947818287304</v>
      </c>
      <c r="Q128" s="20">
        <f>'4.0 Result Quality Average'!Q128</f>
        <v>21.616260812288019</v>
      </c>
      <c r="R128" s="20">
        <f>'4.0 Result Quality Average'!R128</f>
        <v>21.616260812288019</v>
      </c>
      <c r="S128" s="20">
        <f>'4.0 Result Quality Average'!S128</f>
        <v>28.322696909664259</v>
      </c>
      <c r="T128" s="20">
        <f>Table4.17[[#This Row],[Net gas 8h, ml]]</f>
        <v>29.086228846994658</v>
      </c>
      <c r="U128" s="20">
        <f>Table4.17[[#This Row],[Net gas 8-24h, ml]]</f>
        <v>37.876857265255978</v>
      </c>
      <c r="V128" s="20">
        <f>Table4.17[[#This Row],[Net gas 24h, ml]]</f>
        <v>71.610040505114512</v>
      </c>
      <c r="W128" s="20">
        <f>Table4.17[[#This Row],[CH4 8h, ml]]</f>
        <v>4.0616725788780297</v>
      </c>
      <c r="X128" s="20">
        <f>Table4.17[[#This Row],[CH4 8-24h, ml]]</f>
        <v>6.9597439554399285</v>
      </c>
      <c r="Y128" s="20">
        <f>Table4.17[[#This Row],[CH4 24h, ml]]</f>
        <v>11.021416534317959</v>
      </c>
      <c r="Z128" s="20">
        <f>Table4.17[[#This Row],[Gas ml/g DM Incubated, 24h]]</f>
        <v>151.05851668919163</v>
      </c>
      <c r="AA128" s="20">
        <f>Table4.17[[#This Row],[% DMD, Truly digestibility]]</f>
        <v>45.190316238625236</v>
      </c>
      <c r="AB128" s="20">
        <f>Table4.17[[#This Row],[Part Fact]]</f>
        <v>3.007175864431376</v>
      </c>
      <c r="AC128" s="20">
        <f>Table4.17[[#This Row],[CH4 ml in gas, h8]]</f>
        <v>13.928571428571429</v>
      </c>
      <c r="AD128" s="20">
        <f>Table4.17[[#This Row],[CH4 ml in gas, 24h]]</f>
        <v>15.377935377344624</v>
      </c>
      <c r="AE128" s="20">
        <f>Table4.17[[#This Row],[CH4 ml/gDM incubated, 24h]]</f>
        <v>23.249253838566499</v>
      </c>
      <c r="AF128" s="20">
        <f>Table4.17[[#This Row],[CH4 ml/g DMD, 24h2]]</f>
        <v>52.865899102527955</v>
      </c>
      <c r="AG128" s="20">
        <f>Table4.17[[#This Row],[CH4 ml/g NDF digested in 24 h]]</f>
        <v>-0.20629825572713006</v>
      </c>
      <c r="AH128" s="20">
        <f>Table4.17[[#This Row],[CH4 g/g DM incubated, 24h]]</f>
        <v>12.90373811662999</v>
      </c>
      <c r="AI128" s="20">
        <f>Table4.17[[#This Row],[Net gas 8-24h, ml]]</f>
        <v>37.876857265255978</v>
      </c>
    </row>
    <row r="129" spans="2:35" x14ac:dyDescent="0.35">
      <c r="B129" s="62"/>
      <c r="C129" s="42">
        <f>'1. Information samples'!C129</f>
        <v>46062</v>
      </c>
      <c r="D129" s="42" t="str">
        <f>'1. Information samples'!D129</f>
        <v>Genbank</v>
      </c>
      <c r="E129" s="59">
        <f>'1. Information samples'!E129</f>
        <v>30</v>
      </c>
      <c r="F129" s="42" t="str">
        <f>'1. Information samples'!F129</f>
        <v>F260016</v>
      </c>
      <c r="G129" s="42" t="str">
        <f>'1. Information samples'!G129</f>
        <v>CIAT997</v>
      </c>
      <c r="H129" s="42" t="str">
        <f>'1. Information samples'!H129</f>
        <v>Macroptilium</v>
      </c>
      <c r="I129" s="42" t="str">
        <f>'1. Information samples'!I129</f>
        <v>atropurpureum</v>
      </c>
      <c r="J129" s="42" t="str">
        <f>'1. Information samples'!J129</f>
        <v>Macroptilium atropurpureum</v>
      </c>
      <c r="K129" s="42" t="str">
        <f>'1. Information samples'!K129</f>
        <v>Fabaceae</v>
      </c>
      <c r="L129" s="42" t="str">
        <f>'1. Information samples'!L129</f>
        <v>Fabales</v>
      </c>
      <c r="M129" s="42" t="str">
        <f>'1. Information samples'!M129</f>
        <v>Herbaceous</v>
      </c>
      <c r="N129" s="20">
        <f>Table95[[#This Row],[Av DM 105]]</f>
        <v>93.561285678889831</v>
      </c>
      <c r="O129" s="20">
        <f>Table95[[#This Row],[Av Ash, %]]</f>
        <v>12.304980625107518</v>
      </c>
      <c r="P129" s="20">
        <f>'4.0 Result Quality Average'!P129</f>
        <v>87.695019374892482</v>
      </c>
      <c r="Q129" s="20">
        <f>'4.0 Result Quality Average'!Q129</f>
        <v>21.435036701956502</v>
      </c>
      <c r="R129" s="20">
        <f>'4.0 Result Quality Average'!R129</f>
        <v>21.435036701956502</v>
      </c>
      <c r="S129" s="20">
        <f>'4.0 Result Quality Average'!S129</f>
        <v>32.753067896542973</v>
      </c>
      <c r="T129" s="20">
        <f>Table4.17[[#This Row],[Net gas 8h, ml]]</f>
        <v>33.871943132708942</v>
      </c>
      <c r="U129" s="20">
        <f>Table4.17[[#This Row],[Net gas 8-24h, ml]]</f>
        <v>43.301857265255975</v>
      </c>
      <c r="V129" s="20">
        <f>Table4.17[[#This Row],[Net gas 24h, ml]]</f>
        <v>64.25289764797165</v>
      </c>
      <c r="W129" s="20">
        <f>Table4.17[[#This Row],[CH4 8h, ml]]</f>
        <v>4.1078417113211492</v>
      </c>
      <c r="X129" s="20">
        <f>Table4.17[[#This Row],[CH4 8-24h, ml]]</f>
        <v>4.7932128562455745</v>
      </c>
      <c r="Y129" s="20">
        <f>Table4.17[[#This Row],[CH4 24h, ml]]</f>
        <v>8.9010545675667228</v>
      </c>
      <c r="Z129" s="20">
        <f>Table4.17[[#This Row],[Gas ml/g DM Incubated, 24h]]</f>
        <v>137.29046901723382</v>
      </c>
      <c r="AA129" s="20">
        <f>Table4.17[[#This Row],[% DMD, Truly digestibility]]</f>
        <v>42.423364428355349</v>
      </c>
      <c r="AB129" s="20">
        <f>Table4.17[[#This Row],[Part Fact]]</f>
        <v>3.0996495292763848</v>
      </c>
      <c r="AC129" s="20">
        <f>Table4.17[[#This Row],[CH4 ml in gas, h8]]</f>
        <v>12.114285714285714</v>
      </c>
      <c r="AD129" s="20">
        <f>Table4.17[[#This Row],[CH4 ml in gas, 24h]]</f>
        <v>13.851130061880468</v>
      </c>
      <c r="AE129" s="20">
        <f>Table4.17[[#This Row],[CH4 ml/gDM incubated, 24h]]</f>
        <v>19.019006443608568</v>
      </c>
      <c r="AF129" s="20">
        <f>Table4.17[[#This Row],[CH4 ml/g DMD, 24h2]]</f>
        <v>46.308711203640243</v>
      </c>
      <c r="AG129" s="20">
        <f>Table4.17[[#This Row],[CH4 ml/g NDF digested in 24 h]]</f>
        <v>-1.9959872199764199</v>
      </c>
      <c r="AH129" s="20">
        <f>Table4.17[[#This Row],[CH4 g/g DM incubated, 24h]]</f>
        <v>10.555877624757143</v>
      </c>
      <c r="AI129" s="20">
        <f>Table4.17[[#This Row],[Net gas 8-24h, ml]]</f>
        <v>43.301857265255975</v>
      </c>
    </row>
    <row r="130" spans="2:35" x14ac:dyDescent="0.35">
      <c r="B130" s="62"/>
      <c r="C130" s="42">
        <f>'1. Information samples'!C130</f>
        <v>46062</v>
      </c>
      <c r="D130" s="42" t="str">
        <f>'1. Information samples'!D130</f>
        <v>Genbank</v>
      </c>
      <c r="E130" s="59">
        <f>'1. Information samples'!E130</f>
        <v>30</v>
      </c>
      <c r="F130" s="327" t="str">
        <f>'1. Information samples'!F130</f>
        <v>F260017</v>
      </c>
      <c r="G130" s="42" t="str">
        <f>'1. Information samples'!G130</f>
        <v>CIAT1405</v>
      </c>
      <c r="H130" s="42" t="str">
        <f>'1. Information samples'!H130</f>
        <v>Stylosanthes</v>
      </c>
      <c r="I130" s="42" t="str">
        <f>'1. Information samples'!I130</f>
        <v>capitata</v>
      </c>
      <c r="J130" s="42" t="str">
        <f>'1. Information samples'!J130</f>
        <v>Stylosanthes capitata</v>
      </c>
      <c r="K130" s="42" t="str">
        <f>'1. Information samples'!K130</f>
        <v>Fabaceae</v>
      </c>
      <c r="L130" s="42" t="str">
        <f>'1. Information samples'!L130</f>
        <v>Fabales</v>
      </c>
      <c r="M130" s="42" t="str">
        <f>'1. Information samples'!M130</f>
        <v>Herbaceous</v>
      </c>
      <c r="N130" s="20">
        <f>Table95[[#This Row],[Av DM 105]]</f>
        <v>94.626869228852883</v>
      </c>
      <c r="O130" s="20">
        <f>Table95[[#This Row],[Av Ash, %]]</f>
        <v>14.277283668477793</v>
      </c>
      <c r="P130" s="20">
        <f>'4.0 Result Quality Average'!P130</f>
        <v>85.722716331522207</v>
      </c>
      <c r="Q130" s="20">
        <f>'4.0 Result Quality Average'!Q130</f>
        <v>16.068776133039876</v>
      </c>
      <c r="R130" s="20">
        <f>'4.0 Result Quality Average'!R130</f>
        <v>16.068776133039876</v>
      </c>
      <c r="S130" s="20">
        <f>'4.0 Result Quality Average'!S130</f>
        <v>44.132455868154253</v>
      </c>
      <c r="T130" s="20">
        <f>Table4.17[[#This Row],[Net gas 8h, ml]]</f>
        <v>35.059729844322668</v>
      </c>
      <c r="U130" s="20">
        <f>Table4.17[[#This Row],[Net gas 8-24h, ml]]</f>
        <v>44.679768864852917</v>
      </c>
      <c r="V130" s="20">
        <f>Table4.17[[#This Row],[Net gas 24h, ml]]</f>
        <v>68.386078326657795</v>
      </c>
      <c r="W130" s="20">
        <f>Table4.17[[#This Row],[CH4 8h, ml]]</f>
        <v>4.6480420792038508</v>
      </c>
      <c r="X130" s="20">
        <f>Table4.17[[#This Row],[CH4 8-24h, ml]]</f>
        <v>5.6659607548335487</v>
      </c>
      <c r="Y130" s="20">
        <f>Table4.17[[#This Row],[CH4 24h, ml]]</f>
        <v>10.314002834037399</v>
      </c>
      <c r="Z130" s="20">
        <f>Table4.17[[#This Row],[Gas ml/g DM Incubated, 24h]]</f>
        <v>144.45091180814475</v>
      </c>
      <c r="AA130" s="20">
        <f>Table4.17[[#This Row],[% DMD, Truly digestibility]]</f>
        <v>38.765310515743501</v>
      </c>
      <c r="AB130" s="20">
        <f>Table4.17[[#This Row],[Part Fact]]</f>
        <v>2.7092836582993418</v>
      </c>
      <c r="AC130" s="20">
        <f>Table4.17[[#This Row],[CH4 ml in gas, h8]]</f>
        <v>13.26</v>
      </c>
      <c r="AD130" s="20">
        <f>Table4.17[[#This Row],[CH4 ml in gas, 24h]]</f>
        <v>15.079607505772746</v>
      </c>
      <c r="AE130" s="20">
        <f>Table4.17[[#This Row],[CH4 ml/gDM incubated, 24h]]</f>
        <v>21.786126111369427</v>
      </c>
      <c r="AF130" s="20">
        <f>Table4.17[[#This Row],[CH4 ml/g DMD, 24h2]]</f>
        <v>58.910108683515531</v>
      </c>
      <c r="AG130" s="20">
        <f>Table4.17[[#This Row],[CH4 ml/g NDF digested in 24 h]]</f>
        <v>2.047657525654496</v>
      </c>
      <c r="AH130" s="20">
        <f>Table4.17[[#This Row],[CH4 g/g DM incubated, 24h]]</f>
        <v>12.091676914407113</v>
      </c>
      <c r="AI130" s="20">
        <f>Table4.17[[#This Row],[Net gas 8-24h, ml]]</f>
        <v>44.679768864852917</v>
      </c>
    </row>
    <row r="131" spans="2:35" x14ac:dyDescent="0.35">
      <c r="B131" s="62"/>
      <c r="C131" s="42">
        <f>'1. Information samples'!C131</f>
        <v>46062</v>
      </c>
      <c r="D131" s="42" t="str">
        <f>'1. Information samples'!D131</f>
        <v>Genbank</v>
      </c>
      <c r="E131" s="59">
        <f>'1. Information samples'!E131</f>
        <v>30</v>
      </c>
      <c r="F131" s="42" t="str">
        <f>'1. Information samples'!F131</f>
        <v>F260018</v>
      </c>
      <c r="G131" s="42" t="str">
        <f>'1. Information samples'!G131</f>
        <v>CIAT1812</v>
      </c>
      <c r="H131" s="42" t="str">
        <f>'1. Information samples'!H131</f>
        <v>Stylosanthes</v>
      </c>
      <c r="I131" s="42" t="str">
        <f>'1. Information samples'!I131</f>
        <v>viscosa</v>
      </c>
      <c r="J131" s="42" t="str">
        <f>'1. Information samples'!J131</f>
        <v>Stylosanthes viscosa</v>
      </c>
      <c r="K131" s="42" t="str">
        <f>'1. Information samples'!K131</f>
        <v>Fabaceae</v>
      </c>
      <c r="L131" s="42" t="str">
        <f>'1. Information samples'!L131</f>
        <v>Fabales</v>
      </c>
      <c r="M131" s="42" t="str">
        <f>'1. Information samples'!M131</f>
        <v>Herbaceous</v>
      </c>
      <c r="N131" s="20">
        <f>Table95[[#This Row],[Av DM 105]]</f>
        <v>95.457042570278247</v>
      </c>
      <c r="O131" s="20">
        <f>Table95[[#This Row],[Av Ash, %]]</f>
        <v>10.539307270666562</v>
      </c>
      <c r="P131" s="20">
        <f>'4.0 Result Quality Average'!P131</f>
        <v>89.460692729333431</v>
      </c>
      <c r="Q131" s="20">
        <f>'4.0 Result Quality Average'!Q131</f>
        <v>11.385700844625955</v>
      </c>
      <c r="R131" s="20">
        <f>'4.0 Result Quality Average'!R131</f>
        <v>11.385700844625955</v>
      </c>
      <c r="S131" s="20">
        <f>'4.0 Result Quality Average'!S131</f>
        <v>43.602826669093879</v>
      </c>
      <c r="T131" s="20">
        <f>Table4.17[[#This Row],[Net gas 8h, ml]]</f>
        <v>23.555395460041538</v>
      </c>
      <c r="U131" s="20">
        <f>Table4.17[[#This Row],[Net gas 8-24h, ml]]</f>
        <v>41.431224664651396</v>
      </c>
      <c r="V131" s="20">
        <f>Table4.17[[#This Row],[Net gas 24h, ml]]</f>
        <v>33.858284539328615</v>
      </c>
      <c r="W131" s="20">
        <f>Table4.17[[#This Row],[CH4 8h, ml]]</f>
        <v>2.9693056421563035</v>
      </c>
      <c r="X131" s="20">
        <f>Table4.17[[#This Row],[CH4 8-24h, ml]]</f>
        <v>1.4996000210896414</v>
      </c>
      <c r="Y131" s="20">
        <f>Table4.17[[#This Row],[CH4 24h, ml]]</f>
        <v>4.4689056632459456</v>
      </c>
      <c r="Z131" s="20">
        <f>Table4.17[[#This Row],[Gas ml/g DM Incubated, 24h]]</f>
        <v>70.920221676610865</v>
      </c>
      <c r="AA131" s="20">
        <f>Table4.17[[#This Row],[% DMD, Truly digestibility]]</f>
        <v>19.419899338511836</v>
      </c>
      <c r="AB131" s="20">
        <f>Table4.17[[#This Row],[Part Fact]]</f>
        <v>2.745172366132056</v>
      </c>
      <c r="AC131" s="20">
        <f>Table4.17[[#This Row],[CH4 ml in gas, h8]]</f>
        <v>12.6</v>
      </c>
      <c r="AD131" s="20">
        <f>Table4.17[[#This Row],[CH4 ml in gas, 24h]]</f>
        <v>13.217570727390187</v>
      </c>
      <c r="AE131" s="20">
        <f>Table4.17[[#This Row],[CH4 ml/gDM incubated, 24h]]</f>
        <v>9.3606715605565807</v>
      </c>
      <c r="AF131" s="20">
        <f>Table4.17[[#This Row],[CH4 ml/g DMD, 24h2]]</f>
        <v>51.649434792989531</v>
      </c>
      <c r="AG131" s="20">
        <f>Table4.17[[#This Row],[CH4 ml/g NDF digested in 24 h]]</f>
        <v>-0.10729493507402545</v>
      </c>
      <c r="AH131" s="20">
        <f>Table4.17[[#This Row],[CH4 g/g DM incubated, 24h]]</f>
        <v>5.1953346654438599</v>
      </c>
      <c r="AI131" s="20">
        <f>Table4.17[[#This Row],[Net gas 8-24h, ml]]</f>
        <v>41.431224664651396</v>
      </c>
    </row>
    <row r="132" spans="2:35" x14ac:dyDescent="0.35">
      <c r="B132" s="62"/>
      <c r="C132" s="42">
        <f>'1. Information samples'!C132</f>
        <v>46062</v>
      </c>
      <c r="D132" s="42" t="str">
        <f>'1. Information samples'!D132</f>
        <v>Genbank</v>
      </c>
      <c r="E132" s="59">
        <f>'1. Information samples'!E132</f>
        <v>30</v>
      </c>
      <c r="F132" s="42" t="str">
        <f>'1. Information samples'!F132</f>
        <v>F260019</v>
      </c>
      <c r="G132" s="42" t="str">
        <f>'1. Information samples'!G132</f>
        <v>CIAT3694</v>
      </c>
      <c r="H132" s="42" t="str">
        <f>'1. Information samples'!H132</f>
        <v>Desmodium</v>
      </c>
      <c r="I132" s="42" t="str">
        <f>'1. Information samples'!I132</f>
        <v>sandwicense</v>
      </c>
      <c r="J132" s="42" t="str">
        <f>'1. Information samples'!J132</f>
        <v>Desmodium sandwicense</v>
      </c>
      <c r="K132" s="42" t="str">
        <f>'1. Information samples'!K132</f>
        <v>Fabaceae</v>
      </c>
      <c r="L132" s="42" t="str">
        <f>'1. Information samples'!L132</f>
        <v>Fabales</v>
      </c>
      <c r="M132" s="42" t="str">
        <f>'1. Information samples'!M132</f>
        <v>Herbaceous</v>
      </c>
      <c r="N132" s="20">
        <f>Table95[[#This Row],[Av DM 105]]</f>
        <v>94.45110977804444</v>
      </c>
      <c r="O132" s="20">
        <f>Table95[[#This Row],[Av Ash, %]]</f>
        <v>12.930030697575988</v>
      </c>
      <c r="P132" s="20">
        <f>'4.0 Result Quality Average'!P132</f>
        <v>87.069969302424013</v>
      </c>
      <c r="Q132" s="20">
        <f>'4.0 Result Quality Average'!Q132</f>
        <v>17.415881529056833</v>
      </c>
      <c r="R132" s="20">
        <f>'4.0 Result Quality Average'!R132</f>
        <v>17.415881529056833</v>
      </c>
      <c r="S132" s="20">
        <f>'4.0 Result Quality Average'!S132</f>
        <v>45.965430241502858</v>
      </c>
      <c r="T132" s="20">
        <f>Table4.17[[#This Row],[Net gas 8h, ml]]</f>
        <v>27.586228846994658</v>
      </c>
      <c r="U132" s="20">
        <f>Table4.17[[#This Row],[Net gas 8-24h, ml]]</f>
        <v>35.382098144530481</v>
      </c>
      <c r="V132" s="20">
        <f>Table4.17[[#This Row],[Net gas 24h, ml]]</f>
        <v>57.181469076543081</v>
      </c>
      <c r="W132" s="20">
        <f>Table4.17[[#This Row],[CH4 8h, ml]]</f>
        <v>3.8713286411376173</v>
      </c>
      <c r="X132" s="20">
        <f>Table4.17[[#This Row],[CH4 8-24h, ml]]</f>
        <v>4.937157353493558</v>
      </c>
      <c r="Y132" s="20">
        <f>Table4.17[[#This Row],[CH4 24h, ml]]</f>
        <v>8.8084859946311749</v>
      </c>
      <c r="Z132" s="20">
        <f>Table4.17[[#This Row],[Gas ml/g DM Incubated, 24h]]</f>
        <v>121.01359185256982</v>
      </c>
      <c r="AA132" s="20">
        <f>Table4.17[[#This Row],[% DMD, Truly digestibility]]</f>
        <v>21.403539141285744</v>
      </c>
      <c r="AB132" s="20">
        <f>Table4.17[[#This Row],[Part Fact]]</f>
        <v>1.7739540827591962</v>
      </c>
      <c r="AC132" s="20">
        <f>Table4.17[[#This Row],[CH4 ml in gas, h8]]</f>
        <v>14.042857142857143</v>
      </c>
      <c r="AD132" s="20">
        <f>Table4.17[[#This Row],[CH4 ml in gas, 24h]]</f>
        <v>15.412065609929828</v>
      </c>
      <c r="AE132" s="20">
        <f>Table4.17[[#This Row],[CH4 ml/gDM incubated, 24h]]</f>
        <v>18.641399812625647</v>
      </c>
      <c r="AF132" s="20">
        <f>Table4.17[[#This Row],[CH4 ml/g DMD, 24h2]]</f>
        <v>96.044028681776425</v>
      </c>
      <c r="AG132" s="20">
        <f>Table4.17[[#This Row],[CH4 ml/g NDF digested in 24 h]]</f>
        <v>-0.35956225458976604</v>
      </c>
      <c r="AH132" s="20">
        <f>Table4.17[[#This Row],[CH4 g/g DM incubated, 24h]]</f>
        <v>10.346299411574924</v>
      </c>
      <c r="AI132" s="20">
        <f>Table4.17[[#This Row],[Net gas 8-24h, ml]]</f>
        <v>35.382098144530481</v>
      </c>
    </row>
    <row r="133" spans="2:35" x14ac:dyDescent="0.35">
      <c r="B133" s="62"/>
      <c r="C133" s="42">
        <f>'1. Information samples'!C133</f>
        <v>46062</v>
      </c>
      <c r="D133" s="42" t="str">
        <f>'1. Information samples'!D133</f>
        <v>Genbank</v>
      </c>
      <c r="E133" s="59">
        <f>'1. Information samples'!E133</f>
        <v>30</v>
      </c>
      <c r="F133" s="42" t="str">
        <f>'1. Information samples'!F133</f>
        <v>F260020</v>
      </c>
      <c r="G133" s="42" t="str">
        <f>'1. Information samples'!G133</f>
        <v>CIAT4080</v>
      </c>
      <c r="H133" s="42" t="str">
        <f>'1. Information samples'!H133</f>
        <v>Macroptilium</v>
      </c>
      <c r="I133" s="42" t="str">
        <f>'1. Information samples'!I133</f>
        <v>bracteatum</v>
      </c>
      <c r="J133" s="42" t="str">
        <f>'1. Information samples'!J133</f>
        <v>Macroptilium bracteatum</v>
      </c>
      <c r="K133" s="42" t="str">
        <f>'1. Information samples'!K133</f>
        <v>Fabaceae</v>
      </c>
      <c r="L133" s="42" t="str">
        <f>'1. Information samples'!L133</f>
        <v>Fabales</v>
      </c>
      <c r="M133" s="42" t="str">
        <f>'1. Information samples'!M133</f>
        <v>Herbaceous</v>
      </c>
      <c r="N133" s="20">
        <f>Table95[[#This Row],[Av DM 105]]</f>
        <v>94.687389911601656</v>
      </c>
      <c r="O133" s="20">
        <f>Table95[[#This Row],[Av Ash, %]]</f>
        <v>16.188186298834058</v>
      </c>
      <c r="P133" s="20">
        <f>'4.0 Result Quality Average'!P133</f>
        <v>83.811813701165931</v>
      </c>
      <c r="Q133" s="20">
        <f>'4.0 Result Quality Average'!Q133</f>
        <v>21.553506221955995</v>
      </c>
      <c r="R133" s="20">
        <f>'4.0 Result Quality Average'!R133</f>
        <v>21.553506221955995</v>
      </c>
      <c r="S133" s="20">
        <f>'4.0 Result Quality Average'!S133</f>
        <v>30.313039919885476</v>
      </c>
      <c r="T133" s="20">
        <f>Table4.17[[#This Row],[Net gas 8h, ml]]</f>
        <v>36.086228846994658</v>
      </c>
      <c r="U133" s="20">
        <f>Table4.17[[#This Row],[Net gas 8-24h, ml]]</f>
        <v>34.597891331318067</v>
      </c>
      <c r="V133" s="20">
        <f>Table4.17[[#This Row],[Net gas 24h, ml]]</f>
        <v>72.395754790828803</v>
      </c>
      <c r="W133" s="20">
        <f>Table4.17[[#This Row],[CH4 8h, ml]]</f>
        <v>4.8157382443253862</v>
      </c>
      <c r="X133" s="20">
        <f>Table4.17[[#This Row],[CH4 8-24h, ml]]</f>
        <v>5.9755433958380282</v>
      </c>
      <c r="Y133" s="20">
        <f>Table4.17[[#This Row],[CH4 24h, ml]]</f>
        <v>10.791281640163415</v>
      </c>
      <c r="Z133" s="20">
        <f>Table4.17[[#This Row],[Gas ml/g DM Incubated, 24h]]</f>
        <v>152.87172071144454</v>
      </c>
      <c r="AA133" s="20">
        <f>Table4.17[[#This Row],[% DMD, Truly digestibility]]</f>
        <v>38.613177272872683</v>
      </c>
      <c r="AB133" s="20">
        <f>Table4.17[[#This Row],[Part Fact]]</f>
        <v>2.5289882879280579</v>
      </c>
      <c r="AC133" s="20">
        <f>Table4.17[[#This Row],[CH4 ml in gas, h8]]</f>
        <v>13.342857142857142</v>
      </c>
      <c r="AD133" s="20">
        <f>Table4.17[[#This Row],[CH4 ml in gas, 24h]]</f>
        <v>14.906225171190348</v>
      </c>
      <c r="AE133" s="20">
        <f>Table4.17[[#This Row],[CH4 ml/gDM incubated, 24h]]</f>
        <v>22.786973189934788</v>
      </c>
      <c r="AF133" s="20">
        <f>Table4.17[[#This Row],[CH4 ml/g DMD, 24h2]]</f>
        <v>60.760435731156043</v>
      </c>
      <c r="AG133" s="20">
        <f>Table4.17[[#This Row],[CH4 ml/g NDF digested in 24 h]]</f>
        <v>-0.20507521774867801</v>
      </c>
      <c r="AH133" s="20">
        <f>Table4.17[[#This Row],[CH4 g/g DM incubated, 24h]]</f>
        <v>12.647164358704291</v>
      </c>
      <c r="AI133" s="20">
        <f>Table4.17[[#This Row],[Net gas 8-24h, ml]]</f>
        <v>34.597891331318067</v>
      </c>
    </row>
    <row r="134" spans="2:35" x14ac:dyDescent="0.35">
      <c r="B134" s="62"/>
      <c r="C134" s="42">
        <f>'1. Information samples'!C134</f>
        <v>46062</v>
      </c>
      <c r="D134" s="42" t="str">
        <f>'1. Information samples'!D134</f>
        <v>Genbank</v>
      </c>
      <c r="E134" s="59">
        <f>'1. Information samples'!E134</f>
        <v>30</v>
      </c>
      <c r="F134" s="42" t="str">
        <f>'1. Information samples'!F134</f>
        <v>F260021</v>
      </c>
      <c r="G134" s="42" t="str">
        <f>'1. Information samples'!G134</f>
        <v>CIAT7162</v>
      </c>
      <c r="H134" s="42" t="str">
        <f>'1. Information samples'!H134</f>
        <v>Indigofera</v>
      </c>
      <c r="I134" s="42" t="str">
        <f>'1. Information samples'!I134</f>
        <v>jamaicensis</v>
      </c>
      <c r="J134" s="42" t="str">
        <f>'1. Information samples'!J134</f>
        <v>Indigofera jamaicensis</v>
      </c>
      <c r="K134" s="42" t="str">
        <f>'1. Information samples'!K134</f>
        <v>Fabaceae</v>
      </c>
      <c r="L134" s="42" t="str">
        <f>'1. Information samples'!L134</f>
        <v>Fabales</v>
      </c>
      <c r="M134" s="42" t="str">
        <f>'1. Information samples'!M134</f>
        <v>Herbaceous</v>
      </c>
      <c r="N134" s="20">
        <f>Table95[[#This Row],[Av DM 105]]</f>
        <v>94.017098249173713</v>
      </c>
      <c r="O134" s="20">
        <f>Table95[[#This Row],[Av Ash, %]]</f>
        <v>15.83738766020349</v>
      </c>
      <c r="P134" s="20">
        <f>'4.0 Result Quality Average'!P134</f>
        <v>84.16261233979651</v>
      </c>
      <c r="Q134" s="20">
        <f>'4.0 Result Quality Average'!Q134</f>
        <v>23.423334361776607</v>
      </c>
      <c r="R134" s="20">
        <f>'4.0 Result Quality Average'!R134</f>
        <v>23.423334361776607</v>
      </c>
      <c r="S134" s="20">
        <f>'4.0 Result Quality Average'!S134</f>
        <v>32.754781601816369</v>
      </c>
      <c r="T134" s="20">
        <f>Table4.17[[#This Row],[Net gas 8h, ml]]</f>
        <v>27.371943132708942</v>
      </c>
      <c r="U134" s="20">
        <f>Table4.17[[#This Row],[Net gas 8-24h, ml]]</f>
        <v>31.431224664651392</v>
      </c>
      <c r="V134" s="20">
        <f>Table4.17[[#This Row],[Net gas 24h, ml]]</f>
        <v>70.467183362257373</v>
      </c>
      <c r="W134" s="20">
        <f>Table4.17[[#This Row],[CH4 8h, ml]]</f>
        <v>3.5145203116415176</v>
      </c>
      <c r="X134" s="20">
        <f>Table4.17[[#This Row],[CH4 8-24h, ml]]</f>
        <v>6.658789475564757</v>
      </c>
      <c r="Y134" s="20">
        <f>Table4.17[[#This Row],[CH4 24h, ml]]</f>
        <v>10.173309787206273</v>
      </c>
      <c r="Z134" s="20">
        <f>Table4.17[[#This Row],[Gas ml/g DM Incubated, 24h]]</f>
        <v>149.84343832817444</v>
      </c>
      <c r="AA134" s="20">
        <f>Table4.17[[#This Row],[% DMD, Truly digestibility]]</f>
        <v>41.564421449775914</v>
      </c>
      <c r="AB134" s="20">
        <f>Table4.17[[#This Row],[Part Fact]]</f>
        <v>2.7710994640434072</v>
      </c>
      <c r="AC134" s="20">
        <f>Table4.17[[#This Row],[CH4 ml in gas, h8]]</f>
        <v>12.814285714285715</v>
      </c>
      <c r="AD134" s="20">
        <f>Table4.17[[#This Row],[CH4 ml in gas, 24h]]</f>
        <v>14.441258858428565</v>
      </c>
      <c r="AE134" s="20">
        <f>Table4.17[[#This Row],[CH4 ml/gDM incubated, 24h]]</f>
        <v>21.6327457787017</v>
      </c>
      <c r="AF134" s="20">
        <f>Table4.17[[#This Row],[CH4 ml/g DMD, 24h2]]</f>
        <v>53.042132241584049</v>
      </c>
      <c r="AG134" s="20">
        <f>Table4.17[[#This Row],[CH4 ml/g NDF digested in 24 h]]</f>
        <v>-0.4850897409587091</v>
      </c>
      <c r="AH134" s="20">
        <f>Table4.17[[#This Row],[CH4 g/g DM incubated, 24h]]</f>
        <v>12.006548176137553</v>
      </c>
      <c r="AI134" s="20">
        <f>Table4.17[[#This Row],[Net gas 8-24h, ml]]</f>
        <v>31.431224664651392</v>
      </c>
    </row>
    <row r="135" spans="2:35" x14ac:dyDescent="0.35">
      <c r="B135" s="62"/>
      <c r="C135" s="42">
        <f>'1. Information samples'!C135</f>
        <v>46062</v>
      </c>
      <c r="D135" s="42" t="str">
        <f>'1. Information samples'!D135</f>
        <v>Genbank</v>
      </c>
      <c r="E135" s="59">
        <f>'1. Information samples'!E135</f>
        <v>30</v>
      </c>
      <c r="F135" s="42" t="str">
        <f>'1. Information samples'!F135</f>
        <v>F260022</v>
      </c>
      <c r="G135" s="42" t="str">
        <f>'1. Information samples'!G135</f>
        <v>CIAT8820</v>
      </c>
      <c r="H135" s="42" t="str">
        <f>'1. Information samples'!H135</f>
        <v>Tephrosia</v>
      </c>
      <c r="I135" s="42" t="str">
        <f>'1. Information samples'!I135</f>
        <v>cinerea</v>
      </c>
      <c r="J135" s="42" t="str">
        <f>'1. Information samples'!J135</f>
        <v>Tephrosia cinerea</v>
      </c>
      <c r="K135" s="42" t="str">
        <f>'1. Information samples'!K135</f>
        <v>Fabaceae</v>
      </c>
      <c r="L135" s="42" t="str">
        <f>'1. Information samples'!L135</f>
        <v>Fabales</v>
      </c>
      <c r="M135" s="42" t="str">
        <f>'1. Information samples'!M135</f>
        <v>Herbaceous</v>
      </c>
      <c r="N135" s="20">
        <f>Table95[[#This Row],[Av DM 105]]</f>
        <v>95.075740376372266</v>
      </c>
      <c r="O135" s="20">
        <f>Table95[[#This Row],[Av Ash, %]]</f>
        <v>9.5330240972893527</v>
      </c>
      <c r="P135" s="20">
        <f>'4.0 Result Quality Average'!P135</f>
        <v>90.466975902710644</v>
      </c>
      <c r="Q135" s="20">
        <f>'4.0 Result Quality Average'!Q135</f>
        <v>24.386271311921252</v>
      </c>
      <c r="R135" s="20">
        <f>'4.0 Result Quality Average'!R135</f>
        <v>24.274636894266422</v>
      </c>
      <c r="S135" s="20">
        <f>'4.0 Result Quality Average'!S135</f>
        <v>33.689614466682634</v>
      </c>
      <c r="T135" s="20">
        <f>Table4.17[[#This Row],[Net gas 8h, ml]]</f>
        <v>46.371943132708942</v>
      </c>
      <c r="U135" s="20">
        <f>Table4.17[[#This Row],[Net gas 8-24h, ml]]</f>
        <v>31.244439432943746</v>
      </c>
      <c r="V135" s="20">
        <f>Table4.17[[#This Row],[Net gas 24h, ml]]</f>
        <v>84.82432621940022</v>
      </c>
      <c r="W135" s="20">
        <f>Table4.17[[#This Row],[CH4 8h, ml]]</f>
        <v>6.9885407269876607</v>
      </c>
      <c r="X135" s="20">
        <f>Table4.17[[#This Row],[CH4 8-24h, ml]]</f>
        <v>7.0948198991498135</v>
      </c>
      <c r="Y135" s="20">
        <f>Table4.17[[#This Row],[CH4 24h, ml]]</f>
        <v>14.083360626137477</v>
      </c>
      <c r="Z135" s="20">
        <f>Table4.17[[#This Row],[Gas ml/g DM Incubated, 24h]]</f>
        <v>178.34945078924375</v>
      </c>
      <c r="AA135" s="20">
        <f>Table4.17[[#This Row],[% DMD, Truly digestibility]]</f>
        <v>45.420440181424212</v>
      </c>
      <c r="AB135" s="20">
        <f>Table4.17[[#This Row],[Part Fact]]</f>
        <v>2.5569376676727806</v>
      </c>
      <c r="AC135" s="20">
        <f>Table4.17[[#This Row],[CH4 ml in gas, h8]]</f>
        <v>15.057142857142859</v>
      </c>
      <c r="AD135" s="20">
        <f>Table4.17[[#This Row],[CH4 ml in gas, 24h]]</f>
        <v>16.608654747699248</v>
      </c>
      <c r="AE135" s="20">
        <f>Table4.17[[#This Row],[CH4 ml/gDM incubated, 24h]]</f>
        <v>29.611236393056469</v>
      </c>
      <c r="AF135" s="20">
        <f>Table4.17[[#This Row],[CH4 ml/g DMD, 24h2]]</f>
        <v>66.376058850068247</v>
      </c>
      <c r="AG135" s="20">
        <f>Table4.17[[#This Row],[CH4 ml/g NDF digested in 24 h]]</f>
        <v>1.1421553696020665</v>
      </c>
      <c r="AH135" s="20">
        <f>Table4.17[[#This Row],[CH4 g/g DM incubated, 24h]]</f>
        <v>16.43474850327425</v>
      </c>
      <c r="AI135" s="20">
        <f>Table4.17[[#This Row],[Net gas 8-24h, ml]]</f>
        <v>31.244439432943746</v>
      </c>
    </row>
    <row r="136" spans="2:35" x14ac:dyDescent="0.35">
      <c r="B136" s="62"/>
      <c r="C136" s="42">
        <f>'1. Information samples'!C136</f>
        <v>46062</v>
      </c>
      <c r="D136" s="42" t="str">
        <f>'1. Information samples'!D136</f>
        <v>Genbank</v>
      </c>
      <c r="E136" s="59">
        <f>'1. Information samples'!E136</f>
        <v>30</v>
      </c>
      <c r="F136" s="42" t="str">
        <f>'1. Information samples'!F136</f>
        <v>F260023</v>
      </c>
      <c r="G136" s="42" t="str">
        <f>'1. Information samples'!G136</f>
        <v>CIAT14080</v>
      </c>
      <c r="H136" s="42" t="str">
        <f>'1. Information samples'!H136</f>
        <v>Zornia</v>
      </c>
      <c r="I136" s="42" t="str">
        <f>'1. Information samples'!I136</f>
        <v>brasiliensis</v>
      </c>
      <c r="J136" s="42" t="str">
        <f>'1. Information samples'!J136</f>
        <v>Zornia brasiliensis</v>
      </c>
      <c r="K136" s="42" t="str">
        <f>'1. Information samples'!K136</f>
        <v>Fabaceae</v>
      </c>
      <c r="L136" s="42" t="str">
        <f>'1. Information samples'!L136</f>
        <v>Fabales</v>
      </c>
      <c r="M136" s="42" t="str">
        <f>'1. Information samples'!M136</f>
        <v>Herbaceous</v>
      </c>
      <c r="N136" s="20">
        <f>Table95[[#This Row],[Av DM 105]]</f>
        <v>94.725788868823486</v>
      </c>
      <c r="O136" s="20">
        <f>Table95[[#This Row],[Av Ash, %]]</f>
        <v>18.455778140978239</v>
      </c>
      <c r="P136" s="20">
        <f>'4.0 Result Quality Average'!P136</f>
        <v>81.544221859021761</v>
      </c>
      <c r="Q136" s="20">
        <f>'4.0 Result Quality Average'!Q136</f>
        <v>17.228089047769188</v>
      </c>
      <c r="R136" s="20">
        <f>'4.0 Result Quality Average'!R136</f>
        <v>17.228089047769188</v>
      </c>
      <c r="S136" s="20">
        <f>'4.0 Result Quality Average'!S136</f>
        <v>28.670794113689613</v>
      </c>
      <c r="T136" s="20">
        <f>Table4.17[[#This Row],[Net gas 8h, ml]]</f>
        <v>41.300514561280366</v>
      </c>
      <c r="U136" s="20">
        <f>Table4.17[[#This Row],[Net gas 8-24h, ml]]</f>
        <v>30.030153718658031</v>
      </c>
      <c r="V136" s="20">
        <f>Table4.17[[#This Row],[Net gas 24h, ml]]</f>
        <v>76.967183362257373</v>
      </c>
      <c r="W136" s="20">
        <f>Table4.17[[#This Row],[CH4 8h, ml]]</f>
        <v>5.0499865109532776</v>
      </c>
      <c r="X136" s="20">
        <f>Table4.17[[#This Row],[CH4 8-24h, ml]]</f>
        <v>6.2071880410137314</v>
      </c>
      <c r="Y136" s="20">
        <f>Table4.17[[#This Row],[CH4 24h, ml]]</f>
        <v>11.25717455196701</v>
      </c>
      <c r="Z136" s="20">
        <f>Table4.17[[#This Row],[Gas ml/g DM Incubated, 24h]]</f>
        <v>162.4460397873259</v>
      </c>
      <c r="AA136" s="20">
        <f>Table4.17[[#This Row],[% DMD, Truly digestibility]]</f>
        <v>44.370287971103139</v>
      </c>
      <c r="AB136" s="20">
        <f>Table4.17[[#This Row],[Part Fact]]</f>
        <v>2.748372609728603</v>
      </c>
      <c r="AC136" s="20">
        <f>Table4.17[[#This Row],[CH4 ml in gas, h8]]</f>
        <v>12.214285714285714</v>
      </c>
      <c r="AD136" s="20">
        <f>Table4.17[[#This Row],[CH4 ml in gas, 24h]]</f>
        <v>14.625205342847339</v>
      </c>
      <c r="AE136" s="20">
        <f>Table4.17[[#This Row],[CH4 ml/gDM incubated, 24h]]</f>
        <v>23.759212573787455</v>
      </c>
      <c r="AF136" s="20">
        <f>Table4.17[[#This Row],[CH4 ml/g DMD, 24h2]]</f>
        <v>54.788027468546481</v>
      </c>
      <c r="AG136" s="20">
        <f>Table4.17[[#This Row],[CH4 ml/g NDF digested in 24 h]]</f>
        <v>0.22915436090851229</v>
      </c>
      <c r="AH136" s="20">
        <f>Table4.17[[#This Row],[CH4 g/g DM incubated, 24h]]</f>
        <v>13.186774037493105</v>
      </c>
      <c r="AI136" s="20">
        <f>Table4.17[[#This Row],[Net gas 8-24h, ml]]</f>
        <v>30.030153718658031</v>
      </c>
    </row>
    <row r="137" spans="2:35" x14ac:dyDescent="0.35">
      <c r="B137" s="62"/>
      <c r="C137" s="42">
        <f>'1. Information samples'!C137</f>
        <v>46062</v>
      </c>
      <c r="D137" s="42" t="str">
        <f>'1. Information samples'!D137</f>
        <v>Genbank</v>
      </c>
      <c r="E137" s="59">
        <f>'1. Information samples'!E137</f>
        <v>30</v>
      </c>
      <c r="F137" s="42" t="str">
        <f>'1. Information samples'!F137</f>
        <v>F260024</v>
      </c>
      <c r="G137" s="42" t="str">
        <f>'1. Information samples'!G137</f>
        <v>CIAT18950</v>
      </c>
      <c r="H137" s="42" t="str">
        <f>'1. Information samples'!H137</f>
        <v>Indigofera</v>
      </c>
      <c r="I137" s="42" t="str">
        <f>'1. Information samples'!I137</f>
        <v>spicata</v>
      </c>
      <c r="J137" s="42" t="str">
        <f>'1. Information samples'!J137</f>
        <v>Indigofera spicata</v>
      </c>
      <c r="K137" s="42" t="str">
        <f>'1. Information samples'!K137</f>
        <v>Fabaceae</v>
      </c>
      <c r="L137" s="42" t="str">
        <f>'1. Information samples'!L137</f>
        <v>Fabales</v>
      </c>
      <c r="M137" s="42" t="str">
        <f>'1. Information samples'!M137</f>
        <v>Herbaceous</v>
      </c>
      <c r="N137" s="20">
        <f>Table95[[#This Row],[Av DM 105]]</f>
        <v>93.518240879560167</v>
      </c>
      <c r="O137" s="20">
        <f>Table95[[#This Row],[Av Ash, %]]</f>
        <v>15.892694917971408</v>
      </c>
      <c r="P137" s="20">
        <f>'4.0 Result Quality Average'!P137</f>
        <v>84.107305082028603</v>
      </c>
      <c r="Q137" s="20">
        <f>'4.0 Result Quality Average'!Q137</f>
        <v>21.86273111008844</v>
      </c>
      <c r="R137" s="20">
        <f>'4.0 Result Quality Average'!R137</f>
        <v>21.86273111008844</v>
      </c>
      <c r="S137" s="20">
        <f>'4.0 Result Quality Average'!S137</f>
        <v>31.969867869760549</v>
      </c>
      <c r="T137" s="20">
        <f>Table4.17[[#This Row],[Net gas 8h, ml]]</f>
        <v>40.800514561280366</v>
      </c>
      <c r="U137" s="20">
        <f>Table4.17[[#This Row],[Net gas 8-24h, ml]]</f>
        <v>29.387296575800889</v>
      </c>
      <c r="V137" s="20">
        <f>Table4.17[[#This Row],[Net gas 24h, ml]]</f>
        <v>83.82432621940022</v>
      </c>
      <c r="W137" s="20">
        <f>Table4.17[[#This Row],[CH4 8h, ml]]</f>
        <v>5.6763763287976001</v>
      </c>
      <c r="X137" s="20">
        <f>Table4.17[[#This Row],[CH4 8-24h, ml]]</f>
        <v>7.3385926914627087</v>
      </c>
      <c r="Y137" s="20">
        <f>Table4.17[[#This Row],[CH4 24h, ml]]</f>
        <v>13.014969020260308</v>
      </c>
      <c r="Z137" s="20">
        <f>Table4.17[[#This Row],[Gas ml/g DM Incubated, 24h]]</f>
        <v>179.21109672693473</v>
      </c>
      <c r="AA137" s="20">
        <f>Table4.17[[#This Row],[% DMD, Truly digestibility]]</f>
        <v>47.302898045607037</v>
      </c>
      <c r="AB137" s="20">
        <f>Table4.17[[#This Row],[Part Fact]]</f>
        <v>2.6582219871105432</v>
      </c>
      <c r="AC137" s="20">
        <f>Table4.17[[#This Row],[CH4 ml in gas, h8]]</f>
        <v>13.914285714285715</v>
      </c>
      <c r="AD137" s="20">
        <f>Table4.17[[#This Row],[CH4 ml in gas, 24h]]</f>
        <v>15.551723115682202</v>
      </c>
      <c r="AE137" s="20">
        <f>Table4.17[[#This Row],[CH4 ml/gDM incubated, 24h]]</f>
        <v>27.825231509115316</v>
      </c>
      <c r="AF137" s="20">
        <f>Table4.17[[#This Row],[CH4 ml/g DMD, 24h2]]</f>
        <v>59.585984327919526</v>
      </c>
      <c r="AG137" s="20">
        <f>Table4.17[[#This Row],[CH4 ml/g NDF digested in 24 h]]</f>
        <v>-0.67031944343742367</v>
      </c>
      <c r="AH137" s="20">
        <f>Table4.17[[#This Row],[CH4 g/g DM incubated, 24h]]</f>
        <v>15.443484892948431</v>
      </c>
      <c r="AI137" s="20">
        <f>Table4.17[[#This Row],[Net gas 8-24h, ml]]</f>
        <v>29.387296575800889</v>
      </c>
    </row>
    <row r="138" spans="2:35" x14ac:dyDescent="0.35">
      <c r="B138" s="62"/>
      <c r="C138" s="42">
        <f>'1. Information samples'!C138</f>
        <v>46062</v>
      </c>
      <c r="D138" s="42" t="str">
        <f>'1. Information samples'!D138</f>
        <v>Genbank</v>
      </c>
      <c r="E138" s="59">
        <f>'1. Information samples'!E138</f>
        <v>30</v>
      </c>
      <c r="F138" s="42" t="str">
        <f>'1. Information samples'!F138</f>
        <v>F260025</v>
      </c>
      <c r="G138" s="42" t="str">
        <f>'1. Information samples'!G138</f>
        <v>CIAT19193</v>
      </c>
      <c r="H138" s="42" t="str">
        <f>'1. Information samples'!H138</f>
        <v>Tephrosia</v>
      </c>
      <c r="I138" s="42" t="str">
        <f>'1. Information samples'!I138</f>
        <v>villosa</v>
      </c>
      <c r="J138" s="42" t="str">
        <f>'1. Information samples'!J138</f>
        <v>Tephrosia villosa</v>
      </c>
      <c r="K138" s="42" t="str">
        <f>'1. Information samples'!K138</f>
        <v>Fabaceae</v>
      </c>
      <c r="L138" s="42" t="str">
        <f>'1. Information samples'!L138</f>
        <v>Fabales</v>
      </c>
      <c r="M138" s="42" t="str">
        <f>'1. Information samples'!M138</f>
        <v>Herbaceous</v>
      </c>
      <c r="N138" s="20">
        <f>Table95[[#This Row],[Av DM 105]]</f>
        <v>94.331699433803763</v>
      </c>
      <c r="O138" s="20">
        <f>Table95[[#This Row],[Av Ash, %]]</f>
        <v>7.1587501527996249</v>
      </c>
      <c r="P138" s="20">
        <f>'4.0 Result Quality Average'!P138</f>
        <v>92.841249847200373</v>
      </c>
      <c r="Q138" s="20">
        <f>'4.0 Result Quality Average'!Q138</f>
        <v>21.657672984512406</v>
      </c>
      <c r="R138" s="20">
        <f>'4.0 Result Quality Average'!R138</f>
        <v>21.657672984512406</v>
      </c>
      <c r="S138" s="20">
        <f>'4.0 Result Quality Average'!S138</f>
        <v>35.022320836995476</v>
      </c>
      <c r="T138" s="20">
        <f>Table4.17[[#This Row],[Net gas 8h, ml]]</f>
        <v>40.586228846994651</v>
      </c>
      <c r="U138" s="20">
        <f>Table4.17[[#This Row],[Net gas 8-24h, ml]]</f>
        <v>31.229350509163019</v>
      </c>
      <c r="V138" s="20">
        <f>Table4.17[[#This Row],[Net gas 24h, ml]]</f>
        <v>73.32432621940022</v>
      </c>
      <c r="W138" s="20">
        <f>Table4.17[[#This Row],[CH4 8h, ml]]</f>
        <v>6.0814380705343947</v>
      </c>
      <c r="X138" s="20">
        <f>Table4.17[[#This Row],[CH4 8-24h, ml]]</f>
        <v>6.1757737423049255</v>
      </c>
      <c r="Y138" s="20">
        <f>Table4.17[[#This Row],[CH4 24h, ml]]</f>
        <v>12.257211812839321</v>
      </c>
      <c r="Z138" s="20">
        <f>Table4.17[[#This Row],[Gas ml/g DM Incubated, 24h]]</f>
        <v>155.39151564788918</v>
      </c>
      <c r="AA138" s="20">
        <f>Table4.17[[#This Row],[% DMD, Truly digestibility]]</f>
        <v>39.262576678418156</v>
      </c>
      <c r="AB138" s="20">
        <f>Table4.17[[#This Row],[Part Fact]]</f>
        <v>2.558951156829457</v>
      </c>
      <c r="AC138" s="20">
        <f>Table4.17[[#This Row],[CH4 ml in gas, h8]]</f>
        <v>14.985714285714286</v>
      </c>
      <c r="AD138" s="20">
        <f>Table4.17[[#This Row],[CH4 ml in gas, 24h]]</f>
        <v>16.69950268315386</v>
      </c>
      <c r="AE138" s="20">
        <f>Table4.17[[#This Row],[CH4 ml/gDM incubated, 24h]]</f>
        <v>25.975929829838286</v>
      </c>
      <c r="AF138" s="20">
        <f>Table4.17[[#This Row],[CH4 ml/g DMD, 24h2]]</f>
        <v>68.151542276410169</v>
      </c>
      <c r="AG138" s="20">
        <f>Table4.17[[#This Row],[CH4 ml/g NDF digested in 24 h]]</f>
        <v>3.5919934929650466</v>
      </c>
      <c r="AH138" s="20">
        <f>Table4.17[[#This Row],[CH4 g/g DM incubated, 24h]]</f>
        <v>14.417090466110936</v>
      </c>
      <c r="AI138" s="20">
        <f>Table4.17[[#This Row],[Net gas 8-24h, ml]]</f>
        <v>31.229350509163019</v>
      </c>
    </row>
    <row r="139" spans="2:35" x14ac:dyDescent="0.35">
      <c r="B139" s="62"/>
      <c r="C139" s="42">
        <f>'1. Information samples'!C139</f>
        <v>46062</v>
      </c>
      <c r="D139" s="42" t="str">
        <f>'1. Information samples'!D139</f>
        <v>Genbank</v>
      </c>
      <c r="E139" s="59">
        <f>'1. Information samples'!E139</f>
        <v>30</v>
      </c>
      <c r="F139" s="42" t="str">
        <f>'1. Information samples'!F139</f>
        <v>F260026</v>
      </c>
      <c r="G139" s="42" t="str">
        <f>'1. Information samples'!G139</f>
        <v>CIAT19641</v>
      </c>
      <c r="H139" s="42" t="str">
        <f>'1. Information samples'!H139</f>
        <v>Tephrosia</v>
      </c>
      <c r="I139" s="42" t="str">
        <f>'1. Information samples'!I139</f>
        <v>purpurea</v>
      </c>
      <c r="J139" s="42" t="str">
        <f>'1. Information samples'!J139</f>
        <v>Tephrosia purpurea</v>
      </c>
      <c r="K139" s="42" t="str">
        <f>'1. Information samples'!K139</f>
        <v>Fabaceae</v>
      </c>
      <c r="L139" s="42" t="str">
        <f>'1. Information samples'!L139</f>
        <v>Fabales</v>
      </c>
      <c r="M139" s="42" t="str">
        <f>'1. Information samples'!M139</f>
        <v>Herbaceous</v>
      </c>
      <c r="N139" s="20">
        <f>Table95[[#This Row],[Av DM 105]]</f>
        <v>96.046581367453044</v>
      </c>
      <c r="O139" s="20">
        <f>Table95[[#This Row],[Av Ash, %]]</f>
        <v>8.3363688400895324</v>
      </c>
      <c r="P139" s="20">
        <f>'4.0 Result Quality Average'!P139</f>
        <v>91.663631159910466</v>
      </c>
      <c r="Q139" s="20">
        <f>'4.0 Result Quality Average'!Q139</f>
        <v>20.316141441952436</v>
      </c>
      <c r="R139" s="20">
        <f>'4.0 Result Quality Average'!R139</f>
        <v>20.316141441952436</v>
      </c>
      <c r="S139" s="20">
        <f>'4.0 Result Quality Average'!S139</f>
        <v>40.37681224259547</v>
      </c>
      <c r="T139" s="20">
        <f>Table4.17[[#This Row],[Net gas 8h, ml]]</f>
        <v>39.586228846994651</v>
      </c>
      <c r="U139" s="20">
        <f>Table4.17[[#This Row],[Net gas 8-24h, ml]]</f>
        <v>34.666850509163019</v>
      </c>
      <c r="V139" s="20">
        <f>Table4.17[[#This Row],[Net gas 24h, ml]]</f>
        <v>73.110040505114512</v>
      </c>
      <c r="W139" s="20">
        <f>Table4.17[[#This Row],[CH4 8h, ml]]</f>
        <v>5.7136797956675895</v>
      </c>
      <c r="X139" s="20">
        <f>Table4.17[[#This Row],[CH4 8-24h, ml]]</f>
        <v>6.1712031370818536</v>
      </c>
      <c r="Y139" s="20">
        <f>Table4.17[[#This Row],[CH4 24h, ml]]</f>
        <v>11.884882932749443</v>
      </c>
      <c r="Z139" s="20">
        <f>Table4.17[[#This Row],[Gas ml/g DM Incubated, 24h]]</f>
        <v>152.15632867162472</v>
      </c>
      <c r="AA139" s="20">
        <f>Table4.17[[#This Row],[% DMD, Truly digestibility]]</f>
        <v>36.640682450686654</v>
      </c>
      <c r="AB139" s="20">
        <f>Table4.17[[#This Row],[Part Fact]]</f>
        <v>2.4298446599606889</v>
      </c>
      <c r="AC139" s="20">
        <f>Table4.17[[#This Row],[CH4 ml in gas, h8]]</f>
        <v>14.428571428571429</v>
      </c>
      <c r="AD139" s="20">
        <f>Table4.17[[#This Row],[CH4 ml in gas, 24h]]</f>
        <v>16.247737017587713</v>
      </c>
      <c r="AE139" s="20">
        <f>Table4.17[[#This Row],[CH4 ml/gDM incubated, 24h]]</f>
        <v>24.734843094927363</v>
      </c>
      <c r="AF139" s="20">
        <f>Table4.17[[#This Row],[CH4 ml/g DMD, 24h2]]</f>
        <v>71.684351257667032</v>
      </c>
      <c r="AG139" s="20">
        <f>Table4.17[[#This Row],[CH4 ml/g NDF digested in 24 h]]</f>
        <v>2.5763791607072304</v>
      </c>
      <c r="AH139" s="20">
        <f>Table4.17[[#This Row],[CH4 g/g DM incubated, 24h]]</f>
        <v>13.728265856146539</v>
      </c>
      <c r="AI139" s="20">
        <f>Table4.17[[#This Row],[Net gas 8-24h, ml]]</f>
        <v>34.666850509163019</v>
      </c>
    </row>
    <row r="140" spans="2:35" x14ac:dyDescent="0.35">
      <c r="B140" s="62"/>
      <c r="C140" s="42">
        <f>'1. Information samples'!C140</f>
        <v>46062</v>
      </c>
      <c r="D140" s="42" t="str">
        <f>'1. Information samples'!D140</f>
        <v>Genbank</v>
      </c>
      <c r="E140" s="59">
        <f>'1. Information samples'!E140</f>
        <v>30</v>
      </c>
      <c r="F140" s="42" t="str">
        <f>'1. Information samples'!F140</f>
        <v>F260027</v>
      </c>
      <c r="G140" s="42" t="str">
        <f>'1. Information samples'!G140</f>
        <v>CIAT23503</v>
      </c>
      <c r="H140" s="42" t="str">
        <f>'1. Information samples'!H140</f>
        <v>Desmodium</v>
      </c>
      <c r="I140" s="42" t="str">
        <f>'1. Information samples'!I140</f>
        <v>macrodesmum</v>
      </c>
      <c r="J140" s="42" t="str">
        <f>'1. Information samples'!J140</f>
        <v>Desmodium macrodesmum</v>
      </c>
      <c r="K140" s="42" t="str">
        <f>'1. Information samples'!K140</f>
        <v>Fabaceae</v>
      </c>
      <c r="L140" s="42" t="str">
        <f>'1. Information samples'!L140</f>
        <v>Fabales</v>
      </c>
      <c r="M140" s="42" t="str">
        <f>'1. Information samples'!M140</f>
        <v>Herbaceous</v>
      </c>
      <c r="N140" s="20">
        <f>Table95[[#This Row],[Av DM 105]]</f>
        <v>93.327331535192229</v>
      </c>
      <c r="O140" s="20">
        <f>Table95[[#This Row],[Av Ash, %]]</f>
        <v>13.223150703368908</v>
      </c>
      <c r="P140" s="20">
        <f>'4.0 Result Quality Average'!P140</f>
        <v>86.776849296631099</v>
      </c>
      <c r="Q140" s="20">
        <f>'4.0 Result Quality Average'!Q140</f>
        <v>20.344312159338216</v>
      </c>
      <c r="R140" s="20">
        <f>'4.0 Result Quality Average'!R140</f>
        <v>20.344312159338216</v>
      </c>
      <c r="S140" s="20">
        <f>'4.0 Result Quality Average'!S140</f>
        <v>40.546843005904165</v>
      </c>
      <c r="T140" s="20">
        <f>Table4.17[[#This Row],[Net gas 8h, ml]]</f>
        <v>34.729085989851804</v>
      </c>
      <c r="U140" s="20">
        <f>Table4.17[[#This Row],[Net gas 8-24h, ml]]</f>
        <v>33.104350509163019</v>
      </c>
      <c r="V140" s="20">
        <f>Table4.17[[#This Row],[Net gas 24h, ml]]</f>
        <v>64.395754790828803</v>
      </c>
      <c r="W140" s="20">
        <f>Table4.17[[#This Row],[CH4 8h, ml]]</f>
        <v>4.4938793969879329</v>
      </c>
      <c r="X140" s="20">
        <f>Table4.17[[#This Row],[CH4 8-24h, ml]]</f>
        <v>4.7590815447168717</v>
      </c>
      <c r="Y140" s="20">
        <f>Table4.17[[#This Row],[CH4 24h, ml]]</f>
        <v>9.2529609417048029</v>
      </c>
      <c r="Z140" s="20">
        <f>Table4.17[[#This Row],[Gas ml/g DM Incubated, 24h]]</f>
        <v>137.95173553733136</v>
      </c>
      <c r="AA140" s="20">
        <f>Table4.17[[#This Row],[% DMD, Truly digestibility]]</f>
        <v>32.868394244778429</v>
      </c>
      <c r="AB140" s="20">
        <f>Table4.17[[#This Row],[Part Fact]]</f>
        <v>2.3982835981014579</v>
      </c>
      <c r="AC140" s="20">
        <f>Table4.17[[#This Row],[CH4 ml in gas, h8]]</f>
        <v>12.942857142857141</v>
      </c>
      <c r="AD140" s="20">
        <f>Table4.17[[#This Row],[CH4 ml in gas, 24h]]</f>
        <v>14.368493415771017</v>
      </c>
      <c r="AE140" s="20">
        <f>Table4.17[[#This Row],[CH4 ml/gDM incubated, 24h]]</f>
        <v>19.8221724730552</v>
      </c>
      <c r="AF140" s="20">
        <f>Table4.17[[#This Row],[CH4 ml/g DMD, 24h2]]</f>
        <v>64.156612565677392</v>
      </c>
      <c r="AG140" s="20">
        <f>Table4.17[[#This Row],[CH4 ml/g NDF digested in 24 h]]</f>
        <v>-0.69646494671829529</v>
      </c>
      <c r="AH140" s="20">
        <f>Table4.17[[#This Row],[CH4 g/g DM incubated, 24h]]</f>
        <v>11.001648666706073</v>
      </c>
      <c r="AI140" s="20">
        <f>Table4.17[[#This Row],[Net gas 8-24h, ml]]</f>
        <v>33.104350509163019</v>
      </c>
    </row>
    <row r="141" spans="2:35" x14ac:dyDescent="0.35">
      <c r="B141" s="62"/>
      <c r="C141" s="42">
        <f>'1. Information samples'!C141</f>
        <v>46062</v>
      </c>
      <c r="D141" s="42" t="str">
        <f>'1. Information samples'!D141</f>
        <v>Genbank</v>
      </c>
      <c r="E141" s="59">
        <f>'1. Information samples'!E141</f>
        <v>30</v>
      </c>
      <c r="F141" s="42" t="str">
        <f>'1. Information samples'!F141</f>
        <v>F260028</v>
      </c>
      <c r="G141" s="42" t="str">
        <f>'1. Information samples'!G141</f>
        <v>CIAT24333</v>
      </c>
      <c r="H141" s="42" t="str">
        <f>'1. Information samples'!H141</f>
        <v>Macroptilium</v>
      </c>
      <c r="I141" s="42" t="str">
        <f>'1. Information samples'!I141</f>
        <v>bracteatum</v>
      </c>
      <c r="J141" s="42" t="str">
        <f>'1. Information samples'!J141</f>
        <v>Macroptilium bracteatum</v>
      </c>
      <c r="K141" s="42" t="str">
        <f>'1. Information samples'!K141</f>
        <v>Fabaceae</v>
      </c>
      <c r="L141" s="42" t="str">
        <f>'1. Information samples'!L141</f>
        <v>Fabales</v>
      </c>
      <c r="M141" s="42" t="str">
        <f>'1. Information samples'!M141</f>
        <v>Herbaceous</v>
      </c>
      <c r="N141" s="20">
        <f>Table95[[#This Row],[Av DM 105]]</f>
        <v>94.412230054122119</v>
      </c>
      <c r="O141" s="20">
        <f>Table95[[#This Row],[Av Ash, %]]</f>
        <v>9.692969907408278</v>
      </c>
      <c r="P141" s="20">
        <f>'4.0 Result Quality Average'!P141</f>
        <v>90.307030092591717</v>
      </c>
      <c r="Q141" s="20">
        <f>'4.0 Result Quality Average'!Q141</f>
        <v>15.853006438401252</v>
      </c>
      <c r="R141" s="20">
        <f>'4.0 Result Quality Average'!R141</f>
        <v>15.853006438401252</v>
      </c>
      <c r="S141" s="20">
        <f>'4.0 Result Quality Average'!S141</f>
        <v>35.604784189325848</v>
      </c>
      <c r="T141" s="20">
        <f>Table4.17[[#This Row],[Net gas 8h, ml]]</f>
        <v>44.014800275566081</v>
      </c>
      <c r="U141" s="20">
        <f>Table4.17[[#This Row],[Net gas 8-24h, ml]]</f>
        <v>31.791850509163019</v>
      </c>
      <c r="V141" s="20">
        <f>Table4.17[[#This Row],[Net gas 24h, ml]]</f>
        <v>84.895754790828803</v>
      </c>
      <c r="W141" s="20">
        <f>Table4.17[[#This Row],[CH4 8h, ml]]</f>
        <v>6.4012836999492562</v>
      </c>
      <c r="X141" s="20">
        <f>Table4.17[[#This Row],[CH4 8-24h, ml]]</f>
        <v>6.8280492233058441</v>
      </c>
      <c r="Y141" s="20">
        <f>Table4.17[[#This Row],[CH4 24h, ml]]</f>
        <v>13.229332923255098</v>
      </c>
      <c r="Z141" s="20">
        <f>Table4.17[[#This Row],[Gas ml/g DM Incubated, 24h]]</f>
        <v>179.76821095323695</v>
      </c>
      <c r="AA141" s="20">
        <f>Table4.17[[#This Row],[% DMD, Truly digestibility]]</f>
        <v>35.630529450410478</v>
      </c>
      <c r="AB141" s="20">
        <f>Table4.17[[#This Row],[Part Fact]]</f>
        <v>1.9770447792135233</v>
      </c>
      <c r="AC141" s="20">
        <f>Table4.17[[#This Row],[CH4 ml in gas, h8]]</f>
        <v>14.542857142857143</v>
      </c>
      <c r="AD141" s="20">
        <f>Table4.17[[#This Row],[CH4 ml in gas, 24h]]</f>
        <v>15.586025509236171</v>
      </c>
      <c r="AE141" s="20">
        <f>Table4.17[[#This Row],[CH4 ml/gDM incubated, 24h]]</f>
        <v>28.013366116272838</v>
      </c>
      <c r="AF141" s="20">
        <f>Table4.17[[#This Row],[CH4 ml/g DMD, 24h2]]</f>
        <v>84.676560821331506</v>
      </c>
      <c r="AG141" s="20">
        <f>Table4.17[[#This Row],[CH4 ml/g NDF digested in 24 h]]</f>
        <v>-0.49821820563285918</v>
      </c>
      <c r="AH141" s="20">
        <f>Table4.17[[#This Row],[CH4 g/g DM incubated, 24h]]</f>
        <v>15.547902854844853</v>
      </c>
      <c r="AI141" s="20">
        <f>Table4.17[[#This Row],[Net gas 8-24h, ml]]</f>
        <v>31.791850509163019</v>
      </c>
    </row>
    <row r="142" spans="2:35" x14ac:dyDescent="0.35">
      <c r="B142" s="62"/>
      <c r="C142" s="42">
        <f>'1. Information samples'!C142</f>
        <v>46062</v>
      </c>
      <c r="D142" s="42" t="str">
        <f>'1. Information samples'!D142</f>
        <v>Genbank</v>
      </c>
      <c r="E142" s="59">
        <f>'1. Information samples'!E142</f>
        <v>30</v>
      </c>
      <c r="F142" s="42" t="str">
        <f>'1. Information samples'!F142</f>
        <v>F260029</v>
      </c>
      <c r="G142" s="42" t="str">
        <f>'1. Information samples'!G142</f>
        <v>CIAT33235</v>
      </c>
      <c r="H142" s="42" t="str">
        <f>'1. Information samples'!H142</f>
        <v>Desmodium</v>
      </c>
      <c r="I142" s="42" t="str">
        <f>'1. Information samples'!I142</f>
        <v>scorpiurus</v>
      </c>
      <c r="J142" s="42" t="str">
        <f>'1. Information samples'!J142</f>
        <v>Desmodium scorpiurus</v>
      </c>
      <c r="K142" s="42" t="str">
        <f>'1. Information samples'!K142</f>
        <v>Fabaceae</v>
      </c>
      <c r="L142" s="42" t="str">
        <f>'1. Information samples'!L142</f>
        <v>Fabales</v>
      </c>
      <c r="M142" s="42" t="str">
        <f>'1. Information samples'!M142</f>
        <v>Herbaceous</v>
      </c>
      <c r="N142" s="20">
        <f>Table95[[#This Row],[Av DM 105]]</f>
        <v>93.331686656671707</v>
      </c>
      <c r="O142" s="20">
        <f>Table95[[#This Row],[Av Ash, %]]</f>
        <v>15.451699578871871</v>
      </c>
      <c r="P142" s="20">
        <f>'4.0 Result Quality Average'!P142</f>
        <v>84.548300421128118</v>
      </c>
      <c r="Q142" s="20">
        <f>'4.0 Result Quality Average'!Q142</f>
        <v>20.052274661550623</v>
      </c>
      <c r="R142" s="20">
        <f>'4.0 Result Quality Average'!R142</f>
        <v>20.052274661550623</v>
      </c>
      <c r="S142" s="20">
        <f>'4.0 Result Quality Average'!S142</f>
        <v>42.487580164434476</v>
      </c>
      <c r="T142" s="20">
        <f>Table4.17[[#This Row],[Net gas 8h, ml]]</f>
        <v>30.514800275566085</v>
      </c>
      <c r="U142" s="20">
        <f>Table4.17[[#This Row],[Net gas 8-24h, ml]]</f>
        <v>34.766850509163014</v>
      </c>
      <c r="V142" s="20">
        <f>Table4.17[[#This Row],[Net gas 24h, ml]]</f>
        <v>58.110040505114512</v>
      </c>
      <c r="W142" s="20">
        <f>Table4.17[[#This Row],[CH4 8h, ml]]</f>
        <v>4.5138816802474926</v>
      </c>
      <c r="X142" s="20">
        <f>Table4.17[[#This Row],[CH4 8-24h, ml]]</f>
        <v>4.4390605438741142</v>
      </c>
      <c r="Y142" s="20">
        <f>Table4.17[[#This Row],[CH4 24h, ml]]</f>
        <v>8.9529422241216086</v>
      </c>
      <c r="Z142" s="20">
        <f>Table4.17[[#This Row],[Gas ml/g DM Incubated, 24h]]</f>
        <v>124.48633405006406</v>
      </c>
      <c r="AA142" s="20">
        <f>Table4.17[[#This Row],[% DMD, Truly digestibility]]</f>
        <v>33.781096299435895</v>
      </c>
      <c r="AB142" s="20">
        <f>Table4.17[[#This Row],[Part Fact]]</f>
        <v>2.7356064115739653</v>
      </c>
      <c r="AC142" s="20">
        <f>Table4.17[[#This Row],[CH4 ml in gas, h8]]</f>
        <v>14.785714285714286</v>
      </c>
      <c r="AD142" s="20">
        <f>Table4.17[[#This Row],[CH4 ml in gas, 24h]]</f>
        <v>15.424428967664495</v>
      </c>
      <c r="AE142" s="20">
        <f>Table4.17[[#This Row],[CH4 ml/gDM incubated, 24h]]</f>
        <v>19.179421617077168</v>
      </c>
      <c r="AF142" s="20">
        <f>Table4.17[[#This Row],[CH4 ml/g DMD, 24h2]]</f>
        <v>58.314210019342788</v>
      </c>
      <c r="AG142" s="20">
        <f>Table4.17[[#This Row],[CH4 ml/g NDF digested in 24 h]]</f>
        <v>-1.8432060752601631</v>
      </c>
      <c r="AH142" s="20">
        <f>Table4.17[[#This Row],[CH4 g/g DM incubated, 24h]]</f>
        <v>10.644910821381236</v>
      </c>
      <c r="AI142" s="20">
        <f>Table4.17[[#This Row],[Net gas 8-24h, ml]]</f>
        <v>34.766850509163014</v>
      </c>
    </row>
    <row r="143" spans="2:35" x14ac:dyDescent="0.35">
      <c r="B143" s="62"/>
      <c r="C143" s="42">
        <f>'1. Information samples'!C143</f>
        <v>46062</v>
      </c>
      <c r="D143" s="42" t="str">
        <f>'1. Information samples'!D143</f>
        <v>Genbank</v>
      </c>
      <c r="E143" s="59">
        <f>'1. Information samples'!E143</f>
        <v>30</v>
      </c>
      <c r="F143" s="42" t="str">
        <f>'1. Information samples'!F143</f>
        <v>F260030</v>
      </c>
      <c r="G143" s="42" t="str">
        <f>'1. Information samples'!G143</f>
        <v>CIAT33605</v>
      </c>
      <c r="H143" s="42" t="str">
        <f>'1. Information samples'!H143</f>
        <v>Desmodium</v>
      </c>
      <c r="I143" s="42" t="str">
        <f>'1. Information samples'!I143</f>
        <v>sandwicense x intortum</v>
      </c>
      <c r="J143" s="42" t="str">
        <f>'1. Information samples'!J143</f>
        <v>Desmodium sandwicense x intortum</v>
      </c>
      <c r="K143" s="42" t="str">
        <f>'1. Information samples'!K143</f>
        <v>Fabaceae</v>
      </c>
      <c r="L143" s="42" t="str">
        <f>'1. Information samples'!L143</f>
        <v>Fabales</v>
      </c>
      <c r="M143" s="42" t="str">
        <f>'1. Information samples'!M143</f>
        <v>Herbaceous</v>
      </c>
      <c r="N143" s="20">
        <f>Table95[[#This Row],[Av DM 105]]</f>
        <v>95.552448141310151</v>
      </c>
      <c r="O143" s="20">
        <f>Table95[[#This Row],[Av Ash, %]]</f>
        <v>10.574786152999778</v>
      </c>
      <c r="P143" s="20">
        <f>'4.0 Result Quality Average'!P143</f>
        <v>89.425213847000222</v>
      </c>
      <c r="Q143" s="20">
        <f>'4.0 Result Quality Average'!Q143</f>
        <v>19.3223043607377</v>
      </c>
      <c r="R143" s="20">
        <f>'4.0 Result Quality Average'!R143</f>
        <v>19.3223043607377</v>
      </c>
      <c r="S143" s="20">
        <f>'4.0 Result Quality Average'!S143</f>
        <v>46.64076046802041</v>
      </c>
      <c r="T143" s="20">
        <f>Table4.17[[#This Row],[Net gas 8h, ml]]</f>
        <v>29.871943132708942</v>
      </c>
      <c r="U143" s="20">
        <f>Table4.17[[#This Row],[Net gas 8-24h, ml]]</f>
        <v>36.704350509163014</v>
      </c>
      <c r="V143" s="20">
        <f>Table4.17[[#This Row],[Net gas 24h, ml]]</f>
        <v>59.752897647971658</v>
      </c>
      <c r="W143" s="20">
        <f>Table4.17[[#This Row],[CH4 8h, ml]]</f>
        <v>4.0863770878022141</v>
      </c>
      <c r="X143" s="20">
        <f>Table4.17[[#This Row],[CH4 8-24h, ml]]</f>
        <v>4.778873080067469</v>
      </c>
      <c r="Y143" s="20">
        <f>Table4.17[[#This Row],[CH4 24h, ml]]</f>
        <v>8.8652501678696858</v>
      </c>
      <c r="Z143" s="20">
        <f>Table4.17[[#This Row],[Gas ml/g DM Incubated, 24h]]</f>
        <v>125.01088267275433</v>
      </c>
      <c r="AA143" s="20">
        <f>Table4.17[[#This Row],[% DMD, Truly digestibility]]</f>
        <v>31.267985418856284</v>
      </c>
      <c r="AB143" s="20">
        <f>Table4.17[[#This Row],[Part Fact]]</f>
        <v>2.509056543930388</v>
      </c>
      <c r="AC143" s="20">
        <f>Table4.17[[#This Row],[CH4 ml in gas, h8]]</f>
        <v>13.685714285714287</v>
      </c>
      <c r="AD143" s="20">
        <f>Table4.17[[#This Row],[CH4 ml in gas, 24h]]</f>
        <v>14.84310828743593</v>
      </c>
      <c r="AE143" s="20">
        <f>Table4.17[[#This Row],[CH4 ml/gDM incubated, 24h]]</f>
        <v>18.547212127601256</v>
      </c>
      <c r="AF143" s="20">
        <f>Table4.17[[#This Row],[CH4 ml/g DMD, 24h2]]</f>
        <v>60.552460265327419</v>
      </c>
      <c r="AG143" s="20">
        <f>Table4.17[[#This Row],[CH4 ml/g NDF digested in 24 h]]</f>
        <v>-0.88581717379378133</v>
      </c>
      <c r="AH143" s="20">
        <f>Table4.17[[#This Row],[CH4 g/g DM incubated, 24h]]</f>
        <v>10.294023616841665</v>
      </c>
      <c r="AI143" s="20">
        <f>Table4.17[[#This Row],[Net gas 8-24h, ml]]</f>
        <v>36.704350509163014</v>
      </c>
    </row>
    <row r="144" spans="2:35" x14ac:dyDescent="0.35">
      <c r="B144" s="62"/>
      <c r="C144" s="42">
        <f>'1. Information samples'!C144</f>
        <v>46062</v>
      </c>
      <c r="D144" s="42" t="str">
        <f>'1. Information samples'!D144</f>
        <v>Genbank</v>
      </c>
      <c r="E144" s="59">
        <f>'1. Information samples'!E144</f>
        <v>30</v>
      </c>
      <c r="F144" s="42" t="str">
        <f>'1. Information samples'!F144</f>
        <v>F260031</v>
      </c>
      <c r="G144" s="42" t="str">
        <f>'1. Information samples'!G144</f>
        <v>CIAT34144</v>
      </c>
      <c r="H144" s="42" t="str">
        <f>'1. Information samples'!H144</f>
        <v>Vigna</v>
      </c>
      <c r="I144" s="42" t="str">
        <f>'1. Information samples'!I144</f>
        <v>radiata</v>
      </c>
      <c r="J144" s="42" t="str">
        <f>'1. Information samples'!J144</f>
        <v>Vigna radiata</v>
      </c>
      <c r="K144" s="42" t="str">
        <f>'1. Information samples'!K144</f>
        <v>Fabaceae</v>
      </c>
      <c r="L144" s="42" t="str">
        <f>'1. Information samples'!L144</f>
        <v>Fabales</v>
      </c>
      <c r="M144" s="42" t="str">
        <f>'1. Information samples'!M144</f>
        <v>Herbaceous</v>
      </c>
      <c r="N144" s="20">
        <f>Table95[[#This Row],[Av DM 105]]</f>
        <v>90.898634957238954</v>
      </c>
      <c r="O144" s="20">
        <f>Table95[[#This Row],[Av Ash, %]]</f>
        <v>11.678644931879287</v>
      </c>
      <c r="P144" s="20">
        <f>'4.0 Result Quality Average'!P144</f>
        <v>88.32135506812071</v>
      </c>
      <c r="Q144" s="20">
        <f>'4.0 Result Quality Average'!Q144</f>
        <v>24.930335875406787</v>
      </c>
      <c r="R144" s="20">
        <f>'4.0 Result Quality Average'!R144</f>
        <v>24.930335875406787</v>
      </c>
      <c r="S144" s="20">
        <f>'4.0 Result Quality Average'!S144</f>
        <v>21.642607364578097</v>
      </c>
      <c r="T144" s="20">
        <f>Table4.17[[#This Row],[Net gas 8h, ml]]</f>
        <v>40.055395460041545</v>
      </c>
      <c r="U144" s="20">
        <f>Table4.17[[#This Row],[Net gas 8-24h, ml]]</f>
        <v>46.386222412620413</v>
      </c>
      <c r="V144" s="20">
        <f>Table4.17[[#This Row],[Net gas 24h, ml]]</f>
        <v>86.441617872661951</v>
      </c>
      <c r="W144" s="20">
        <f>Table4.17[[#This Row],[CH4 8h, ml]]</f>
        <v>5.6250509744861104</v>
      </c>
      <c r="X144" s="20">
        <f>Table4.17[[#This Row],[CH4 8-24h, ml]]</f>
        <v>7.9160086130763831</v>
      </c>
      <c r="Y144" s="20">
        <f>Table4.17[[#This Row],[CH4 24h, ml]]</f>
        <v>13.541059587562494</v>
      </c>
      <c r="Z144" s="20">
        <f>Table4.17[[#This Row],[Gas ml/g DM Incubated, 24h]]</f>
        <v>190.12399054959644</v>
      </c>
      <c r="AA144" s="20">
        <f>Table4.17[[#This Row],[% DMD, Truly digestibility]]</f>
        <v>54.609772484614687</v>
      </c>
      <c r="AB144" s="20">
        <f>Table4.17[[#This Row],[Part Fact]]</f>
        <v>2.7374612591047751</v>
      </c>
      <c r="AC144" s="20">
        <f>Table4.17[[#This Row],[CH4 ml in gas, h8]]</f>
        <v>14.050000000000002</v>
      </c>
      <c r="AD144" s="20">
        <f>Table4.17[[#This Row],[CH4 ml in gas, 24h]]</f>
        <v>15.672183032192919</v>
      </c>
      <c r="AE144" s="20">
        <f>Table4.17[[#This Row],[CH4 ml/gDM incubated, 24h]]</f>
        <v>29.782918041988538</v>
      </c>
      <c r="AF144" s="20">
        <f>Table4.17[[#This Row],[CH4 ml/g DMD, 24h2]]</f>
        <v>59.125097840148499</v>
      </c>
      <c r="AG144" s="20">
        <f>Table4.17[[#This Row],[CH4 ml/g NDF digested in 24 h]]</f>
        <v>-0.31207022397815654</v>
      </c>
      <c r="AH144" s="20">
        <f>Table4.17[[#This Row],[CH4 g/g DM incubated, 24h]]</f>
        <v>16.530034788702284</v>
      </c>
      <c r="AI144" s="20">
        <f>Table4.17[[#This Row],[Net gas 8-24h, ml]]</f>
        <v>46.386222412620413</v>
      </c>
    </row>
    <row r="145" spans="2:35" x14ac:dyDescent="0.35">
      <c r="B145" s="62"/>
      <c r="C145" s="42">
        <f>'1. Information samples'!C145</f>
        <v>46062</v>
      </c>
      <c r="D145" s="42" t="str">
        <f>'1. Information samples'!D145</f>
        <v>Genbank</v>
      </c>
      <c r="E145" s="59">
        <f>'1. Information samples'!E145</f>
        <v>30</v>
      </c>
      <c r="F145" s="42" t="str">
        <f>'1. Information samples'!F145</f>
        <v>F260032</v>
      </c>
      <c r="G145" s="42" t="str">
        <f>'1. Information samples'!G145</f>
        <v>CIAT7934</v>
      </c>
      <c r="H145" s="42" t="str">
        <f>'1. Information samples'!H145</f>
        <v>Sesbania</v>
      </c>
      <c r="I145" s="42" t="str">
        <f>'1. Information samples'!I145</f>
        <v>sesban</v>
      </c>
      <c r="J145" s="42" t="str">
        <f>'1. Information samples'!J145</f>
        <v>Sesbania sesban</v>
      </c>
      <c r="K145" s="42" t="str">
        <f>'1. Information samples'!K145</f>
        <v>Fabaceae</v>
      </c>
      <c r="L145" s="42" t="str">
        <f>'1. Information samples'!L145</f>
        <v>Fabales</v>
      </c>
      <c r="M145" s="42" t="str">
        <f>'1. Information samples'!M145</f>
        <v>Shurb_Tree</v>
      </c>
      <c r="N145" s="20">
        <f>Table95[[#This Row],[Av DM 105]]</f>
        <v>96.466440271809788</v>
      </c>
      <c r="O145" s="20">
        <f>Table95[[#This Row],[Av Ash, %]]</f>
        <v>12.957461458485808</v>
      </c>
      <c r="P145" s="20">
        <f>'4.0 Result Quality Average'!P145</f>
        <v>87.04253854151419</v>
      </c>
      <c r="Q145" s="20">
        <f>'4.0 Result Quality Average'!Q145</f>
        <v>26.701514501639117</v>
      </c>
      <c r="R145" s="20">
        <f>'4.0 Result Quality Average'!R145</f>
        <v>26.817681002087667</v>
      </c>
      <c r="S145" s="20">
        <f>'4.0 Result Quality Average'!S145</f>
        <v>19.533611757771677</v>
      </c>
      <c r="T145" s="20">
        <f>Table4.17[[#This Row],[Net gas 8h, ml]]</f>
        <v>37.061587437586006</v>
      </c>
      <c r="U145" s="20">
        <f>Table4.17[[#This Row],[Net gas 8-24h, ml]]</f>
        <v>39.633813588432133</v>
      </c>
      <c r="V145" s="20">
        <f>Table4.17[[#This Row],[Net gas 24h, ml]]</f>
        <v>76.695401026018132</v>
      </c>
      <c r="W145" s="20">
        <f>Table4.17[[#This Row],[CH4 8h, ml]]</f>
        <v>5.3342362696642436</v>
      </c>
      <c r="X145" s="20">
        <f>Table4.17[[#This Row],[CH4 8-24h, ml]]</f>
        <v>6.0639659920597238</v>
      </c>
      <c r="Y145" s="20">
        <f>Table4.17[[#This Row],[CH4 24h, ml]]</f>
        <v>11.398202261723965</v>
      </c>
      <c r="Z145" s="20">
        <f>Table4.17[[#This Row],[Gas ml/g DM Incubated, 24h]]</f>
        <v>159.48487470339197</v>
      </c>
      <c r="AA145" s="20">
        <f>Table4.17[[#This Row],[% DMD, Truly digestibility]]</f>
        <v>38.758692183990156</v>
      </c>
      <c r="AB145" s="20">
        <f>Table4.17[[#This Row],[Part Fact]]</f>
        <v>2.5181032420525318</v>
      </c>
      <c r="AC145" s="20">
        <f>Table4.17[[#This Row],[CH4 ml in gas, h8]]</f>
        <v>14.314285714285715</v>
      </c>
      <c r="AD145" s="20">
        <f>Table4.17[[#This Row],[CH4 ml in gas, 24h]]</f>
        <v>14.94880418790585</v>
      </c>
      <c r="AE145" s="20">
        <f>Table4.17[[#This Row],[CH4 ml/gDM incubated, 24h]]</f>
        <v>23.70611251283103</v>
      </c>
      <c r="AF145" s="20">
        <f>Table4.17[[#This Row],[CH4 ml/g DMD, 24h2]]</f>
        <v>61.660294446314495</v>
      </c>
      <c r="AG145" s="20">
        <f>Table4.17[[#This Row],[CH4 ml/g NDF digested in 24 h]]</f>
        <v>-1.0426996888470195</v>
      </c>
      <c r="AH145" s="20">
        <f>Table4.17[[#This Row],[CH4 g/g DM incubated, 24h]]</f>
        <v>13.157302584976113</v>
      </c>
      <c r="AI145" s="20">
        <f>Table4.17[[#This Row],[Net gas 8-24h, ml]]</f>
        <v>39.633813588432133</v>
      </c>
    </row>
    <row r="146" spans="2:35" x14ac:dyDescent="0.35">
      <c r="B146" s="62"/>
      <c r="C146" s="42">
        <f>'1. Information samples'!C146</f>
        <v>46062</v>
      </c>
      <c r="D146" s="42" t="str">
        <f>'1. Information samples'!D146</f>
        <v>Genbank</v>
      </c>
      <c r="E146" s="59">
        <f>'1. Information samples'!E146</f>
        <v>30</v>
      </c>
      <c r="F146" s="42" t="str">
        <f>'1. Information samples'!F146</f>
        <v>F260033</v>
      </c>
      <c r="G146" s="42" t="str">
        <f>'1. Information samples'!G146</f>
        <v>CIAT7937</v>
      </c>
      <c r="H146" s="42" t="str">
        <f>'1. Information samples'!H146</f>
        <v>Mimosa</v>
      </c>
      <c r="I146" s="42" t="str">
        <f>'1. Information samples'!I146</f>
        <v>nuda</v>
      </c>
      <c r="J146" s="42" t="str">
        <f>'1. Information samples'!J146</f>
        <v>Mimosa nuda</v>
      </c>
      <c r="K146" s="42" t="str">
        <f>'1. Information samples'!K146</f>
        <v>Fabaceae</v>
      </c>
      <c r="L146" s="42" t="str">
        <f>'1. Information samples'!L146</f>
        <v>Fabales</v>
      </c>
      <c r="M146" s="42" t="str">
        <f>'1. Information samples'!M146</f>
        <v>Shurb_Tree</v>
      </c>
      <c r="N146" s="20">
        <f>Table95[[#This Row],[Av DM 105]]</f>
        <v>96.201135508638032</v>
      </c>
      <c r="O146" s="20">
        <f>Table95[[#This Row],[Av Ash, %]]</f>
        <v>8.1936108718343554</v>
      </c>
      <c r="P146" s="20">
        <f>'4.0 Result Quality Average'!P146</f>
        <v>91.806389128165648</v>
      </c>
      <c r="Q146" s="20">
        <f>'4.0 Result Quality Average'!Q146</f>
        <v>14.646737347226853</v>
      </c>
      <c r="R146" s="20">
        <f>'4.0 Result Quality Average'!R146</f>
        <v>14.646737347226853</v>
      </c>
      <c r="S146" s="20">
        <f>'4.0 Result Quality Average'!S146</f>
        <v>42.241653058939491</v>
      </c>
      <c r="T146" s="20">
        <f>Table4.17[[#This Row],[Net gas 8h, ml]]</f>
        <v>27.014800275566085</v>
      </c>
      <c r="U146" s="20">
        <f>Table4.17[[#This Row],[Net gas 8-24h, ml]]</f>
        <v>30.604350509163012</v>
      </c>
      <c r="V146" s="20">
        <f>Table4.17[[#This Row],[Net gas 24h, ml]]</f>
        <v>55.967183362257366</v>
      </c>
      <c r="W146" s="20">
        <f>Table4.17[[#This Row],[CH4 8h, ml]]</f>
        <v>3.5006077883169118</v>
      </c>
      <c r="X146" s="20">
        <f>Table4.17[[#This Row],[CH4 8-24h, ml]]</f>
        <v>4.2013433124112662</v>
      </c>
      <c r="Y146" s="20">
        <f>Table4.17[[#This Row],[CH4 24h, ml]]</f>
        <v>7.701951100728178</v>
      </c>
      <c r="Z146" s="20">
        <f>Table4.17[[#This Row],[Gas ml/g DM Incubated, 24h]]</f>
        <v>116.32498346985169</v>
      </c>
      <c r="AA146" s="20">
        <f>Table4.17[[#This Row],[% DMD, Truly digestibility]]</f>
        <v>28.94794021507618</v>
      </c>
      <c r="AB146" s="20">
        <f>Table4.17[[#This Row],[Part Fact]]</f>
        <v>2.4869711526683469</v>
      </c>
      <c r="AC146" s="20">
        <f>Table4.17[[#This Row],[CH4 ml in gas, h8]]</f>
        <v>12.957142857142857</v>
      </c>
      <c r="AD146" s="20">
        <f>Table4.17[[#This Row],[CH4 ml in gas, 24h]]</f>
        <v>13.763209406597912</v>
      </c>
      <c r="AE146" s="20">
        <f>Table4.17[[#This Row],[CH4 ml/gDM incubated, 24h]]</f>
        <v>16.008105031369418</v>
      </c>
      <c r="AF146" s="20">
        <f>Table4.17[[#This Row],[CH4 ml/g DMD, 24h2]]</f>
        <v>61.511814228659738</v>
      </c>
      <c r="AG146" s="20">
        <f>Table4.17[[#This Row],[CH4 ml/g NDF digested in 24 h]]</f>
        <v>-0.61207910500907403</v>
      </c>
      <c r="AH146" s="20">
        <f>Table4.17[[#This Row],[CH4 g/g DM incubated, 24h]]</f>
        <v>8.8847752492444805</v>
      </c>
      <c r="AI146" s="20">
        <f>Table4.17[[#This Row],[Net gas 8-24h, ml]]</f>
        <v>30.604350509163012</v>
      </c>
    </row>
    <row r="147" spans="2:35" x14ac:dyDescent="0.35">
      <c r="B147" s="62"/>
      <c r="C147" s="42">
        <f>'1. Information samples'!C147</f>
        <v>46062</v>
      </c>
      <c r="D147" s="42" t="str">
        <f>'1. Information samples'!D147</f>
        <v>Genbank</v>
      </c>
      <c r="E147" s="59">
        <f>'1. Information samples'!E147</f>
        <v>30</v>
      </c>
      <c r="F147" s="42" t="str">
        <f>'1. Information samples'!F147</f>
        <v>F260034</v>
      </c>
      <c r="G147" s="42" t="str">
        <f>'1. Information samples'!G147</f>
        <v>CIAT8056</v>
      </c>
      <c r="H147" s="42" t="str">
        <f>'1. Information samples'!H147</f>
        <v>Mimosa</v>
      </c>
      <c r="I147" s="42" t="str">
        <f>'1. Information samples'!I147</f>
        <v>diplotricha</v>
      </c>
      <c r="J147" s="42" t="str">
        <f>'1. Information samples'!J147</f>
        <v>Mimosa diplotricha</v>
      </c>
      <c r="K147" s="42" t="str">
        <f>'1. Information samples'!K147</f>
        <v>Fabaceae</v>
      </c>
      <c r="L147" s="42" t="str">
        <f>'1. Information samples'!L147</f>
        <v>Fabales</v>
      </c>
      <c r="M147" s="42" t="str">
        <f>'1. Information samples'!M147</f>
        <v>Shurb_Tree</v>
      </c>
      <c r="N147" s="20">
        <f>Table95[[#This Row],[Av DM 105]]</f>
        <v>95.291885198058793</v>
      </c>
      <c r="O147" s="20">
        <f>Table95[[#This Row],[Av Ash, %]]</f>
        <v>9.9183859455442462</v>
      </c>
      <c r="P147" s="20">
        <f>'4.0 Result Quality Average'!P147</f>
        <v>90.081614054455741</v>
      </c>
      <c r="Q147" s="20">
        <f>'4.0 Result Quality Average'!Q147</f>
        <v>18.616653686775535</v>
      </c>
      <c r="R147" s="20">
        <f>'4.0 Result Quality Average'!R147</f>
        <v>18.616653686775535</v>
      </c>
      <c r="S147" s="20">
        <f>'4.0 Result Quality Average'!S147</f>
        <v>36.510605807060884</v>
      </c>
      <c r="T147" s="20">
        <f>Table4.17[[#This Row],[Net gas 8h, ml]]</f>
        <v>32.049803814471922</v>
      </c>
      <c r="U147" s="20">
        <f>Table4.17[[#This Row],[Net gas 8-24h, ml]]</f>
        <v>33.378458858465329</v>
      </c>
      <c r="V147" s="20">
        <f>Table4.17[[#This Row],[Net gas 24h, ml]]</f>
        <v>65.428262672937265</v>
      </c>
      <c r="W147" s="20">
        <f>Table4.17[[#This Row],[CH4 8h, ml]]</f>
        <v>4.1915168127254301</v>
      </c>
      <c r="X147" s="20">
        <f>Table4.17[[#This Row],[CH4 8-24h, ml]]</f>
        <v>5.4999006869058817</v>
      </c>
      <c r="Y147" s="20">
        <f>Table4.17[[#This Row],[CH4 24h, ml]]</f>
        <v>9.6914174996313118</v>
      </c>
      <c r="Z147" s="20">
        <f>Table4.17[[#This Row],[Gas ml/g DM Incubated, 24h]]</f>
        <v>137.87170504026571</v>
      </c>
      <c r="AA147" s="20">
        <f>Table4.17[[#This Row],[% DMD, Truly digestibility]]</f>
        <v>34.008966409960237</v>
      </c>
      <c r="AB147" s="20">
        <f>Table4.17[[#This Row],[Part Fact]]</f>
        <v>2.4692571741183507</v>
      </c>
      <c r="AC147" s="20">
        <f>Table4.17[[#This Row],[CH4 ml in gas, h8]]</f>
        <v>13.085714285714285</v>
      </c>
      <c r="AD147" s="20">
        <f>Table4.17[[#This Row],[CH4 ml in gas, 24h]]</f>
        <v>14.857807337680255</v>
      </c>
      <c r="AE147" s="20">
        <f>Table4.17[[#This Row],[CH4 ml/gDM incubated, 24h]]</f>
        <v>20.431186945749349</v>
      </c>
      <c r="AF147" s="20">
        <f>Table4.17[[#This Row],[CH4 ml/g DMD, 24h2]]</f>
        <v>61.557473696141585</v>
      </c>
      <c r="AG147" s="20">
        <f>Table4.17[[#This Row],[CH4 ml/g NDF digested in 24 h]]</f>
        <v>0.5355049214200428</v>
      </c>
      <c r="AH147" s="20">
        <f>Table4.17[[#This Row],[CH4 g/g DM incubated, 24h]]</f>
        <v>11.339662235633897</v>
      </c>
      <c r="AI147" s="20">
        <f>Table4.17[[#This Row],[Net gas 8-24h, ml]]</f>
        <v>33.378458858465329</v>
      </c>
    </row>
    <row r="148" spans="2:35" x14ac:dyDescent="0.35">
      <c r="B148" s="62"/>
      <c r="C148" s="42">
        <f>'1. Information samples'!C148</f>
        <v>46062</v>
      </c>
      <c r="D148" s="42" t="str">
        <f>'1. Information samples'!D148</f>
        <v>Genbank</v>
      </c>
      <c r="E148" s="59">
        <f>'1. Information samples'!E148</f>
        <v>30</v>
      </c>
      <c r="F148" s="42" t="str">
        <f>'1. Information samples'!F148</f>
        <v>F260035</v>
      </c>
      <c r="G148" s="42" t="str">
        <f>'1. Information samples'!G148</f>
        <v>CIAT17514</v>
      </c>
      <c r="H148" s="42" t="str">
        <f>'1. Information samples'!H148</f>
        <v>Mimosa</v>
      </c>
      <c r="I148" s="42" t="str">
        <f>'1. Information samples'!I148</f>
        <v>pudica</v>
      </c>
      <c r="J148" s="42" t="str">
        <f>'1. Information samples'!J148</f>
        <v>Mimosa pudica</v>
      </c>
      <c r="K148" s="42" t="str">
        <f>'1. Information samples'!K148</f>
        <v>Fabaceae</v>
      </c>
      <c r="L148" s="42" t="str">
        <f>'1. Information samples'!L148</f>
        <v>Fabales</v>
      </c>
      <c r="M148" s="42" t="str">
        <f>'1. Information samples'!M148</f>
        <v>Shurb_Tree</v>
      </c>
      <c r="N148" s="20">
        <f>Table95[[#This Row],[Av DM 105]]</f>
        <v>96.435877061469313</v>
      </c>
      <c r="O148" s="20">
        <f>Table95[[#This Row],[Av Ash, %]]</f>
        <v>10.034941510308036</v>
      </c>
      <c r="P148" s="20">
        <f>'4.0 Result Quality Average'!P148</f>
        <v>89.965058489691955</v>
      </c>
      <c r="Q148" s="20">
        <f>'4.0 Result Quality Average'!Q148</f>
        <v>19.832973521790223</v>
      </c>
      <c r="R148" s="20">
        <f>'4.0 Result Quality Average'!R148</f>
        <v>19.832973521790223</v>
      </c>
      <c r="S148" s="20">
        <f>'4.0 Result Quality Average'!S148</f>
        <v>41.756084698082859</v>
      </c>
      <c r="T148" s="20">
        <f>Table4.17[[#This Row],[Net gas 8h, ml]]</f>
        <v>31.7290859898518</v>
      </c>
      <c r="U148" s="20">
        <f>Table4.17[[#This Row],[Net gas 8-24h, ml]]</f>
        <v>31.104350509163012</v>
      </c>
      <c r="V148" s="20">
        <f>Table4.17[[#This Row],[Net gas 24h, ml]]</f>
        <v>62.038611933685942</v>
      </c>
      <c r="W148" s="20">
        <f>Table4.17[[#This Row],[CH4 8h, ml]]</f>
        <v>4.3572015491120313</v>
      </c>
      <c r="X148" s="20">
        <f>Table4.17[[#This Row],[CH4 8-24h, ml]]</f>
        <v>5.0287960490741082</v>
      </c>
      <c r="Y148" s="20">
        <f>Table4.17[[#This Row],[CH4 24h, ml]]</f>
        <v>9.3859975981861385</v>
      </c>
      <c r="Z148" s="20">
        <f>Table4.17[[#This Row],[Gas ml/g DM Incubated, 24h]]</f>
        <v>128.61529893677979</v>
      </c>
      <c r="AA148" s="20">
        <f>Table4.17[[#This Row],[% DMD, Truly digestibility]]</f>
        <v>30.355773780679108</v>
      </c>
      <c r="AB148" s="20">
        <f>Table4.17[[#This Row],[Part Fact]]</f>
        <v>2.3553808367560669</v>
      </c>
      <c r="AC148" s="20">
        <f>Table4.17[[#This Row],[CH4 ml in gas, h8]]</f>
        <v>13.72857142857143</v>
      </c>
      <c r="AD148" s="20">
        <f>Table4.17[[#This Row],[CH4 ml in gas, 24h]]</f>
        <v>15.130885166335423</v>
      </c>
      <c r="AE148" s="20">
        <f>Table4.17[[#This Row],[CH4 ml/gDM incubated, 24h]]</f>
        <v>19.458589861840895</v>
      </c>
      <c r="AF148" s="20">
        <f>Table4.17[[#This Row],[CH4 ml/g DMD, 24h2]]</f>
        <v>69.96536047030655</v>
      </c>
      <c r="AG148" s="20">
        <f>Table4.17[[#This Row],[CH4 ml/g NDF digested in 24 h]]</f>
        <v>1.8645512142654659</v>
      </c>
      <c r="AH148" s="20">
        <f>Table4.17[[#This Row],[CH4 g/g DM incubated, 24h]]</f>
        <v>10.799854027125534</v>
      </c>
      <c r="AI148" s="20">
        <f>Table4.17[[#This Row],[Net gas 8-24h, ml]]</f>
        <v>31.104350509163012</v>
      </c>
    </row>
    <row r="149" spans="2:35" x14ac:dyDescent="0.35">
      <c r="B149" s="62"/>
      <c r="C149" s="42">
        <f>'1. Information samples'!C149</f>
        <v>46062</v>
      </c>
      <c r="D149" s="42" t="str">
        <f>'1. Information samples'!D149</f>
        <v>Genbank</v>
      </c>
      <c r="E149" s="59">
        <f>'1. Information samples'!E149</f>
        <v>30</v>
      </c>
      <c r="F149" s="42" t="str">
        <f>'1. Information samples'!F149</f>
        <v>F260036</v>
      </c>
      <c r="G149" s="42" t="str">
        <f>'1. Information samples'!G149</f>
        <v>CIAT17725</v>
      </c>
      <c r="H149" s="42" t="str">
        <f>'1. Information samples'!H149</f>
        <v>Mimosa</v>
      </c>
      <c r="I149" s="42" t="str">
        <f>'1. Information samples'!I149</f>
        <v>polycarpa</v>
      </c>
      <c r="J149" s="42" t="str">
        <f>'1. Information samples'!J149</f>
        <v>Mimosa polycarpa</v>
      </c>
      <c r="K149" s="42" t="str">
        <f>'1. Information samples'!K149</f>
        <v>Fabaceae</v>
      </c>
      <c r="L149" s="42" t="str">
        <f>'1. Information samples'!L149</f>
        <v>Fabales</v>
      </c>
      <c r="M149" s="42" t="str">
        <f>'1. Information samples'!M149</f>
        <v>Shurb_Tree</v>
      </c>
      <c r="N149" s="20">
        <f>Table95[[#This Row],[Av DM 105]]</f>
        <v>95.667172867011544</v>
      </c>
      <c r="O149" s="20">
        <f>Table95[[#This Row],[Av Ash, %]]</f>
        <v>7.9978790943207372</v>
      </c>
      <c r="P149" s="20">
        <f>'4.0 Result Quality Average'!P149</f>
        <v>92.002120905679263</v>
      </c>
      <c r="Q149" s="20">
        <f>'4.0 Result Quality Average'!Q149</f>
        <v>21.375911130411364</v>
      </c>
      <c r="R149" s="20">
        <f>'4.0 Result Quality Average'!R149</f>
        <v>21.375911130411364</v>
      </c>
      <c r="S149" s="20">
        <f>'4.0 Result Quality Average'!S149</f>
        <v>35.58179390335556</v>
      </c>
      <c r="T149" s="20">
        <f>Table4.17[[#This Row],[Net gas 8h, ml]]</f>
        <v>30.443371704137515</v>
      </c>
      <c r="U149" s="20">
        <f>Table4.17[[#This Row],[Net gas 8-24h, ml]]</f>
        <v>31.354350509163012</v>
      </c>
      <c r="V149" s="20">
        <f>Table4.17[[#This Row],[Net gas 24h, ml]]</f>
        <v>65.552897647971662</v>
      </c>
      <c r="W149" s="20">
        <f>Table4.17[[#This Row],[CH4 8h, ml]]</f>
        <v>3.9591329507219748</v>
      </c>
      <c r="X149" s="20">
        <f>Table4.17[[#This Row],[CH4 8-24h, ml]]</f>
        <v>5.7721844841568322</v>
      </c>
      <c r="Y149" s="20">
        <f>Table4.17[[#This Row],[CH4 24h, ml]]</f>
        <v>9.7313174348788074</v>
      </c>
      <c r="Z149" s="20">
        <f>Table4.17[[#This Row],[Gas ml/g DM Incubated, 24h]]</f>
        <v>136.99739590465379</v>
      </c>
      <c r="AA149" s="20">
        <f>Table4.17[[#This Row],[% DMD, Truly digestibility]]</f>
        <v>30.021455177182215</v>
      </c>
      <c r="AB149" s="20">
        <f>Table4.17[[#This Row],[Part Fact]]</f>
        <v>2.1850138987257135</v>
      </c>
      <c r="AC149" s="20">
        <f>Table4.17[[#This Row],[CH4 ml in gas, h8]]</f>
        <v>13</v>
      </c>
      <c r="AD149" s="20">
        <f>Table4.17[[#This Row],[CH4 ml in gas, 24h]]</f>
        <v>14.846209573146661</v>
      </c>
      <c r="AE149" s="20">
        <f>Table4.17[[#This Row],[CH4 ml/gDM incubated, 24h]]</f>
        <v>20.337231566560387</v>
      </c>
      <c r="AF149" s="20">
        <f>Table4.17[[#This Row],[CH4 ml/g DMD, 24h2]]</f>
        <v>71.029602314027699</v>
      </c>
      <c r="AG149" s="20">
        <f>Table4.17[[#This Row],[CH4 ml/g NDF digested in 24 h]]</f>
        <v>-1.0752022058203499</v>
      </c>
      <c r="AH149" s="20">
        <f>Table4.17[[#This Row],[CH4 g/g DM incubated, 24h]]</f>
        <v>11.287515374658431</v>
      </c>
      <c r="AI149" s="20">
        <f>Table4.17[[#This Row],[Net gas 8-24h, ml]]</f>
        <v>31.354350509163012</v>
      </c>
    </row>
    <row r="150" spans="2:35" x14ac:dyDescent="0.35">
      <c r="B150" s="62"/>
      <c r="C150" s="42">
        <f>'1. Information samples'!C150</f>
        <v>46062</v>
      </c>
      <c r="D150" s="42" t="str">
        <f>'1. Information samples'!D150</f>
        <v>Genbank</v>
      </c>
      <c r="E150" s="59">
        <f>'1. Information samples'!E150</f>
        <v>30</v>
      </c>
      <c r="F150" s="42" t="str">
        <f>'1. Information samples'!F150</f>
        <v>F260037</v>
      </c>
      <c r="G150" s="42" t="str">
        <f>'1. Information samples'!G150</f>
        <v>CIAT18947</v>
      </c>
      <c r="H150" s="42" t="str">
        <f>'1. Information samples'!H150</f>
        <v>Sesbania</v>
      </c>
      <c r="I150" s="42" t="str">
        <f>'1. Information samples'!I150</f>
        <v>sesban</v>
      </c>
      <c r="J150" s="42" t="str">
        <f>'1. Information samples'!J150</f>
        <v>Sesbania sesban</v>
      </c>
      <c r="K150" s="42" t="str">
        <f>'1. Information samples'!K150</f>
        <v>Fabaceae</v>
      </c>
      <c r="L150" s="42" t="str">
        <f>'1. Information samples'!L150</f>
        <v>Fabales</v>
      </c>
      <c r="M150" s="42" t="str">
        <f>'1. Information samples'!M150</f>
        <v>Shurb_Tree</v>
      </c>
      <c r="N150" s="20">
        <f>Table95[[#This Row],[Av DM 105]]</f>
        <v>95.480911635345876</v>
      </c>
      <c r="O150" s="20">
        <f>Table95[[#This Row],[Av Ash, %]]</f>
        <v>9.7276519679246789</v>
      </c>
      <c r="P150" s="20">
        <f>'4.0 Result Quality Average'!P150</f>
        <v>90.272348032075314</v>
      </c>
      <c r="Q150" s="20">
        <f>'4.0 Result Quality Average'!Q150</f>
        <v>28.79378419999593</v>
      </c>
      <c r="R150" s="20">
        <f>'4.0 Result Quality Average'!R150</f>
        <v>28.79378419999593</v>
      </c>
      <c r="S150" s="20">
        <f>'4.0 Result Quality Average'!S150</f>
        <v>20.437366108991188</v>
      </c>
      <c r="T150" s="20">
        <f>Table4.17[[#This Row],[Net gas 8h, ml]]</f>
        <v>35.229085989851804</v>
      </c>
      <c r="U150" s="20">
        <f>Table4.17[[#This Row],[Net gas 8-24h, ml]]</f>
        <v>33.979350509163012</v>
      </c>
      <c r="V150" s="20">
        <f>Table4.17[[#This Row],[Net gas 24h, ml]]</f>
        <v>73.895754790828803</v>
      </c>
      <c r="W150" s="20">
        <f>Table4.17[[#This Row],[CH4 8h, ml]]</f>
        <v>4.8278594123675447</v>
      </c>
      <c r="X150" s="20">
        <f>Table4.17[[#This Row],[CH4 8-24h, ml]]</f>
        <v>5.3431791264612247</v>
      </c>
      <c r="Y150" s="20">
        <f>Table4.17[[#This Row],[CH4 24h, ml]]</f>
        <v>10.171038538828768</v>
      </c>
      <c r="Z150" s="20">
        <f>Table4.17[[#This Row],[Gas ml/g DM Incubated, 24h]]</f>
        <v>154.74707369081011</v>
      </c>
      <c r="AA150" s="20">
        <f>Table4.17[[#This Row],[% DMD, Truly digestibility]]</f>
        <v>51.993216737946987</v>
      </c>
      <c r="AB150" s="20">
        <f>Table4.17[[#This Row],[Part Fact]]</f>
        <v>3.3578720295222242</v>
      </c>
      <c r="AC150" s="20">
        <f>Table4.17[[#This Row],[CH4 ml in gas, h8]]</f>
        <v>13.671428571428574</v>
      </c>
      <c r="AD150" s="20">
        <f>Table4.17[[#This Row],[CH4 ml in gas, 24h]]</f>
        <v>13.760256395904134</v>
      </c>
      <c r="AE150" s="20">
        <f>Table4.17[[#This Row],[CH4 ml/gDM incubated, 24h]]</f>
        <v>21.299354730875631</v>
      </c>
      <c r="AF150" s="20">
        <f>Table4.17[[#This Row],[CH4 ml/g DMD, 24h2]]</f>
        <v>41.931656467510081</v>
      </c>
      <c r="AG150" s="20">
        <f>Table4.17[[#This Row],[CH4 ml/g NDF digested in 24 h]]</f>
        <v>-0.47318100100098526</v>
      </c>
      <c r="AH150" s="20">
        <f>Table4.17[[#This Row],[CH4 g/g DM incubated, 24h]]</f>
        <v>11.821510376582877</v>
      </c>
      <c r="AI150" s="20">
        <f>Table4.17[[#This Row],[Net gas 8-24h, ml]]</f>
        <v>33.979350509163012</v>
      </c>
    </row>
    <row r="151" spans="2:35" x14ac:dyDescent="0.35">
      <c r="B151" s="62"/>
      <c r="C151" s="42">
        <f>'1. Information samples'!C151</f>
        <v>46062</v>
      </c>
      <c r="D151" s="42" t="str">
        <f>'1. Information samples'!D151</f>
        <v>Genbank</v>
      </c>
      <c r="E151" s="59">
        <f>'1. Information samples'!E151</f>
        <v>30</v>
      </c>
      <c r="F151" s="42" t="str">
        <f>'1. Information samples'!F151</f>
        <v>F260038</v>
      </c>
      <c r="G151" s="42" t="str">
        <f>'1. Information samples'!G151</f>
        <v>CIAT19165</v>
      </c>
      <c r="H151" s="42" t="str">
        <f>'1. Information samples'!H151</f>
        <v>Sesbania</v>
      </c>
      <c r="I151" s="42" t="str">
        <f>'1. Information samples'!I151</f>
        <v>keniensis</v>
      </c>
      <c r="J151" s="42" t="str">
        <f>'1. Information samples'!J151</f>
        <v>Sesbania keniensis</v>
      </c>
      <c r="K151" s="42" t="str">
        <f>'1. Information samples'!K151</f>
        <v>Fabaceae</v>
      </c>
      <c r="L151" s="42" t="str">
        <f>'1. Information samples'!L151</f>
        <v>Fabales</v>
      </c>
      <c r="M151" s="42" t="str">
        <f>'1. Information samples'!M151</f>
        <v>Shurb_Tree</v>
      </c>
      <c r="N151" s="20">
        <f>Table95[[#This Row],[Av DM 105]]</f>
        <v>96.441599272334983</v>
      </c>
      <c r="O151" s="20">
        <f>Table95[[#This Row],[Av Ash, %]]</f>
        <v>10.395493281480912</v>
      </c>
      <c r="P151" s="20">
        <f>'4.0 Result Quality Average'!P151</f>
        <v>89.60450671851909</v>
      </c>
      <c r="Q151" s="20">
        <f>'4.0 Result Quality Average'!Q151</f>
        <v>25.521093019694892</v>
      </c>
      <c r="R151" s="20">
        <f>'4.0 Result Quality Average'!R151</f>
        <v>25.521093019694892</v>
      </c>
      <c r="S151" s="20">
        <f>'4.0 Result Quality Average'!S151</f>
        <v>30.662749455309157</v>
      </c>
      <c r="T151" s="20">
        <f>Table4.17[[#This Row],[Net gas 8h, ml]]</f>
        <v>36.443371704137512</v>
      </c>
      <c r="U151" s="20">
        <f>Table4.17[[#This Row],[Net gas 8-24h, ml]]</f>
        <v>36.541850509163012</v>
      </c>
      <c r="V151" s="20">
        <f>Table4.17[[#This Row],[Net gas 24h, ml]]</f>
        <v>76.110040505114512</v>
      </c>
      <c r="W151" s="20">
        <f>Table4.17[[#This Row],[CH4 8h, ml]]</f>
        <v>5.3434297474097816</v>
      </c>
      <c r="X151" s="20">
        <f>Table4.17[[#This Row],[CH4 8-24h, ml]]</f>
        <v>6.2335216489537331</v>
      </c>
      <c r="Y151" s="20">
        <f>Table4.17[[#This Row],[CH4 24h, ml]]</f>
        <v>11.576951396363516</v>
      </c>
      <c r="Z151" s="20">
        <f>Table4.17[[#This Row],[Gas ml/g DM Incubated, 24h]]</f>
        <v>157.75970709735105</v>
      </c>
      <c r="AA151" s="20">
        <f>Table4.17[[#This Row],[% DMD, Truly digestibility]]</f>
        <v>44.029023620298069</v>
      </c>
      <c r="AB151" s="20">
        <f>Table4.17[[#This Row],[Part Fact]]</f>
        <v>2.7946256326457504</v>
      </c>
      <c r="AC151" s="20">
        <f>Table4.17[[#This Row],[CH4 ml in gas, h8]]</f>
        <v>14.657142857142857</v>
      </c>
      <c r="AD151" s="20">
        <f>Table4.17[[#This Row],[CH4 ml in gas, 24h]]</f>
        <v>15.210122525277352</v>
      </c>
      <c r="AE151" s="20">
        <f>Table4.17[[#This Row],[CH4 ml/gDM incubated, 24h]]</f>
        <v>23.996505766103827</v>
      </c>
      <c r="AF151" s="20">
        <f>Table4.17[[#This Row],[CH4 ml/g DMD, 24h2]]</f>
        <v>56.242537460529284</v>
      </c>
      <c r="AG151" s="20">
        <f>Table4.17[[#This Row],[CH4 ml/g NDF digested in 24 h]]</f>
        <v>-8.2264484634841519</v>
      </c>
      <c r="AH151" s="20">
        <f>Table4.17[[#This Row],[CH4 g/g DM incubated, 24h]]</f>
        <v>13.318475864647242</v>
      </c>
      <c r="AI151" s="20">
        <f>Table4.17[[#This Row],[Net gas 8-24h, ml]]</f>
        <v>36.541850509163012</v>
      </c>
    </row>
    <row r="152" spans="2:35" x14ac:dyDescent="0.35">
      <c r="B152" s="62"/>
      <c r="C152" s="42">
        <f>'1. Information samples'!C152</f>
        <v>46062</v>
      </c>
      <c r="D152" s="42" t="str">
        <f>'1. Information samples'!D152</f>
        <v>Genbank</v>
      </c>
      <c r="E152" s="59">
        <f>'1. Information samples'!E152</f>
        <v>30</v>
      </c>
      <c r="F152" s="42" t="str">
        <f>'1. Information samples'!F152</f>
        <v>F260039</v>
      </c>
      <c r="G152" s="42" t="str">
        <f>'1. Information samples'!G152</f>
        <v>CIAT21899</v>
      </c>
      <c r="H152" s="42" t="str">
        <f>'1. Information samples'!H152</f>
        <v>Sesbania</v>
      </c>
      <c r="I152" s="42" t="str">
        <f>'1. Information samples'!I152</f>
        <v>sesban</v>
      </c>
      <c r="J152" s="42" t="str">
        <f>'1. Information samples'!J152</f>
        <v>Sesbania sesban</v>
      </c>
      <c r="K152" s="42" t="str">
        <f>'1. Information samples'!K152</f>
        <v>Fabaceae</v>
      </c>
      <c r="L152" s="42" t="str">
        <f>'1. Information samples'!L152</f>
        <v>Fabales</v>
      </c>
      <c r="M152" s="42" t="str">
        <f>'1. Information samples'!M152</f>
        <v>Shurb_Tree</v>
      </c>
      <c r="N152" s="20">
        <f>Table95[[#This Row],[Av DM 105]]</f>
        <v>95.83687564454479</v>
      </c>
      <c r="O152" s="20">
        <f>Table95[[#This Row],[Av Ash, %]]</f>
        <v>7.9891513777258432</v>
      </c>
      <c r="P152" s="20">
        <f>'4.0 Result Quality Average'!P152</f>
        <v>92.010848622274153</v>
      </c>
      <c r="Q152" s="20">
        <f>'4.0 Result Quality Average'!Q152</f>
        <v>18.324960198207332</v>
      </c>
      <c r="R152" s="20">
        <f>'4.0 Result Quality Average'!R152</f>
        <v>18.324960198207332</v>
      </c>
      <c r="S152" s="20">
        <f>'4.0 Result Quality Average'!S152</f>
        <v>41.759124745056269</v>
      </c>
      <c r="T152" s="20">
        <f>Table4.17[[#This Row],[Net gas 8h, ml]]</f>
        <v>36.086228846994658</v>
      </c>
      <c r="U152" s="20">
        <f>Table4.17[[#This Row],[Net gas 8-24h, ml]]</f>
        <v>35.665420972578303</v>
      </c>
      <c r="V152" s="20">
        <f>Table4.17[[#This Row],[Net gas 24h, ml]]</f>
        <v>68.895754790828803</v>
      </c>
      <c r="W152" s="20">
        <f>Table4.17[[#This Row],[CH4 8h, ml]]</f>
        <v>5.0738773707889084</v>
      </c>
      <c r="X152" s="20">
        <f>Table4.17[[#This Row],[CH4 8-24h, ml]]</f>
        <v>5.1307448753038996</v>
      </c>
      <c r="Y152" s="20">
        <f>Table4.17[[#This Row],[CH4 24h, ml]]</f>
        <v>10.204622246092809</v>
      </c>
      <c r="Z152" s="20">
        <f>Table4.17[[#This Row],[Gas ml/g DM Incubated, 24h]]</f>
        <v>143.71101257855244</v>
      </c>
      <c r="AA152" s="20">
        <f>Table4.17[[#This Row],[% DMD, Truly digestibility]]</f>
        <v>36.07185156254603</v>
      </c>
      <c r="AB152" s="20">
        <f>Table4.17[[#This Row],[Part Fact]]</f>
        <v>2.5067040250658983</v>
      </c>
      <c r="AC152" s="20">
        <f>Table4.17[[#This Row],[CH4 ml in gas, h8]]</f>
        <v>14.057142857142859</v>
      </c>
      <c r="AD152" s="20">
        <f>Table4.17[[#This Row],[CH4 ml in gas, 24h]]</f>
        <v>14.812954646703179</v>
      </c>
      <c r="AE152" s="20">
        <f>Table4.17[[#This Row],[CH4 ml/gDM incubated, 24h]]</f>
        <v>21.286039203421637</v>
      </c>
      <c r="AF152" s="20">
        <f>Table4.17[[#This Row],[CH4 ml/g DMD, 24h2]]</f>
        <v>61.073615764523637</v>
      </c>
      <c r="AG152" s="20">
        <f>Table4.17[[#This Row],[CH4 ml/g NDF digested in 24 h]]</f>
        <v>0.43409111168713405</v>
      </c>
      <c r="AH152" s="20">
        <f>Table4.17[[#This Row],[CH4 g/g DM incubated, 24h]]</f>
        <v>11.814120028473464</v>
      </c>
      <c r="AI152" s="20">
        <f>Table4.17[[#This Row],[Net gas 8-24h, ml]]</f>
        <v>35.665420972578303</v>
      </c>
    </row>
    <row r="153" spans="2:35" x14ac:dyDescent="0.35">
      <c r="B153" s="62"/>
      <c r="C153" s="42">
        <f>'1. Information samples'!C153</f>
        <v>46062</v>
      </c>
      <c r="D153" s="42" t="str">
        <f>'1. Information samples'!D153</f>
        <v>Genbank</v>
      </c>
      <c r="E153" s="59">
        <f>'1. Information samples'!E153</f>
        <v>30</v>
      </c>
      <c r="F153" s="42" t="str">
        <f>'1. Information samples'!F153</f>
        <v>F260040</v>
      </c>
      <c r="G153" s="42" t="str">
        <f>'1. Information samples'!G153</f>
        <v>CIAT23414</v>
      </c>
      <c r="H153" s="42" t="str">
        <f>'1. Information samples'!H153</f>
        <v>Codariocalyx</v>
      </c>
      <c r="I153" s="42" t="str">
        <f>'1. Information samples'!I153</f>
        <v>motorius</v>
      </c>
      <c r="J153" s="42" t="str">
        <f>'1. Information samples'!J153</f>
        <v>Codariocalyx motorius</v>
      </c>
      <c r="K153" s="42" t="str">
        <f>'1. Information samples'!K153</f>
        <v>Fabaceae</v>
      </c>
      <c r="L153" s="42" t="str">
        <f>'1. Information samples'!L153</f>
        <v>Fabales</v>
      </c>
      <c r="M153" s="42" t="str">
        <f>'1. Information samples'!M153</f>
        <v>Shurb_Tree</v>
      </c>
      <c r="N153" s="20">
        <f>Table95[[#This Row],[Av DM 105]]</f>
        <v>96.306637191333095</v>
      </c>
      <c r="O153" s="20">
        <f>Table95[[#This Row],[Av Ash, %]]</f>
        <v>9.3357428914648342</v>
      </c>
      <c r="P153" s="20">
        <f>'4.0 Result Quality Average'!P153</f>
        <v>90.664257108535168</v>
      </c>
      <c r="Q153" s="20">
        <f>'4.0 Result Quality Average'!Q153</f>
        <v>15.866404880370927</v>
      </c>
      <c r="R153" s="20">
        <f>'4.0 Result Quality Average'!R153</f>
        <v>16.194493709548571</v>
      </c>
      <c r="S153" s="20">
        <f>'4.0 Result Quality Average'!S153</f>
        <v>42.722099832189308</v>
      </c>
      <c r="T153" s="20">
        <f>Table4.17[[#This Row],[Net gas 8h, ml]]</f>
        <v>26.775873151871725</v>
      </c>
      <c r="U153" s="20">
        <f>Table4.17[[#This Row],[Net gas 8-24h, ml]]</f>
        <v>24.205242159860695</v>
      </c>
      <c r="V153" s="20">
        <f>Table4.17[[#This Row],[Net gas 24h, ml]]</f>
        <v>50.981115311732424</v>
      </c>
      <c r="W153" s="20">
        <f>Table4.17[[#This Row],[CH4 8h, ml]]</f>
        <v>3.7613257853445217</v>
      </c>
      <c r="X153" s="20">
        <f>Table4.17[[#This Row],[CH4 8-24h, ml]]</f>
        <v>3.7497635607152255</v>
      </c>
      <c r="Y153" s="20">
        <f>Table4.17[[#This Row],[CH4 24h, ml]]</f>
        <v>7.5110893460597472</v>
      </c>
      <c r="Z153" s="20">
        <f>Table4.17[[#This Row],[Gas ml/g DM Incubated, 24h]]</f>
        <v>106.13864539869702</v>
      </c>
      <c r="AA153" s="20">
        <f>Table4.17[[#This Row],[% DMD, Truly digestibility]]</f>
        <v>24.097168730343899</v>
      </c>
      <c r="AB153" s="20">
        <f>Table4.17[[#This Row],[Part Fact]]</f>
        <v>2.3602577987568689</v>
      </c>
      <c r="AC153" s="20">
        <f>Table4.17[[#This Row],[CH4 ml in gas, h8]]</f>
        <v>13.857142857142858</v>
      </c>
      <c r="AD153" s="20">
        <f>Table4.17[[#This Row],[CH4 ml in gas, 24h]]</f>
        <v>14.381202651817025</v>
      </c>
      <c r="AE153" s="20">
        <f>Table4.17[[#This Row],[CH4 ml/gDM incubated, 24h]]</f>
        <v>15.629088894521292</v>
      </c>
      <c r="AF153" s="20">
        <f>Table4.17[[#This Row],[CH4 ml/g DMD, 24h2]]</f>
        <v>64.052291216732399</v>
      </c>
      <c r="AG153" s="20">
        <f>Table4.17[[#This Row],[CH4 ml/g NDF digested in 24 h]]</f>
        <v>-0.44627425469192683</v>
      </c>
      <c r="AH153" s="20">
        <f>Table4.17[[#This Row],[CH4 g/g DM incubated, 24h]]</f>
        <v>8.674414735921161</v>
      </c>
      <c r="AI153" s="20">
        <f>Table4.17[[#This Row],[Net gas 8-24h, ml]]</f>
        <v>24.205242159860695</v>
      </c>
    </row>
    <row r="154" spans="2:35" x14ac:dyDescent="0.35">
      <c r="B154" s="62"/>
      <c r="C154" s="42">
        <f>'1. Information samples'!C154</f>
        <v>46062</v>
      </c>
      <c r="D154" s="42" t="str">
        <f>'1. Information samples'!D154</f>
        <v>Genbank</v>
      </c>
      <c r="E154" s="59">
        <f>'1. Information samples'!E154</f>
        <v>30</v>
      </c>
      <c r="F154" s="42" t="str">
        <f>'1. Information samples'!F154</f>
        <v>F260041</v>
      </c>
      <c r="G154" s="42" t="str">
        <f>'1. Information samples'!G154</f>
        <v>CIAT23767</v>
      </c>
      <c r="H154" s="42" t="str">
        <f>'1. Information samples'!H154</f>
        <v>Desmodium</v>
      </c>
      <c r="I154" s="42" t="str">
        <f>'1. Information samples'!I154</f>
        <v>nicaraguense</v>
      </c>
      <c r="J154" s="42" t="str">
        <f>'1. Information samples'!J154</f>
        <v>Desmodium nicaraguense</v>
      </c>
      <c r="K154" s="42" t="str">
        <f>'1. Information samples'!K154</f>
        <v>Fabaceae</v>
      </c>
      <c r="L154" s="42" t="str">
        <f>'1. Information samples'!L154</f>
        <v>Fabales</v>
      </c>
      <c r="M154" s="42" t="str">
        <f>'1. Information samples'!M154</f>
        <v>Shurb_Tree</v>
      </c>
      <c r="N154" s="20">
        <f>Table95[[#This Row],[Av DM 105]]</f>
        <v>94.996009596161613</v>
      </c>
      <c r="O154" s="20">
        <f>Table95[[#This Row],[Av Ash, %]]</f>
        <v>10.098414453907923</v>
      </c>
      <c r="P154" s="20">
        <f>'4.0 Result Quality Average'!P154</f>
        <v>89.901585546092079</v>
      </c>
      <c r="Q154" s="20">
        <f>'4.0 Result Quality Average'!Q154</f>
        <v>19.053138278667557</v>
      </c>
      <c r="R154" s="20">
        <f>'4.0 Result Quality Average'!R154</f>
        <v>19.053138278667557</v>
      </c>
      <c r="S154" s="20">
        <f>'4.0 Result Quality Average'!S154</f>
        <v>27.536720677266953</v>
      </c>
      <c r="T154" s="20">
        <f>Table4.17[[#This Row],[Net gas 8h, ml]]</f>
        <v>39.443371704137512</v>
      </c>
      <c r="U154" s="20">
        <f>Table4.17[[#This Row],[Net gas 8-24h, ml]]</f>
        <v>30.91351492379869</v>
      </c>
      <c r="V154" s="20">
        <f>Table4.17[[#This Row],[Net gas 24h, ml]]</f>
        <v>74.681469076543081</v>
      </c>
      <c r="W154" s="20">
        <f>Table4.17[[#This Row],[CH4 8h, ml]]</f>
        <v>6.4112906593638455</v>
      </c>
      <c r="X154" s="20">
        <f>Table4.17[[#This Row],[CH4 8-24h, ml]]</f>
        <v>6.1563043850045824</v>
      </c>
      <c r="Y154" s="20">
        <f>Table4.17[[#This Row],[CH4 24h, ml]]</f>
        <v>12.56759504436843</v>
      </c>
      <c r="Z154" s="20">
        <f>Table4.17[[#This Row],[Gas ml/g DM Incubated, 24h]]</f>
        <v>157.14009665429452</v>
      </c>
      <c r="AA154" s="20">
        <f>Table4.17[[#This Row],[% DMD, Truly digestibility]]</f>
        <v>46.732477973378209</v>
      </c>
      <c r="AB154" s="20">
        <f>Table4.17[[#This Row],[Part Fact]]</f>
        <v>2.9747716420026395</v>
      </c>
      <c r="AC154" s="20">
        <f>Table4.17[[#This Row],[CH4 ml in gas, h8]]</f>
        <v>16.242857142857144</v>
      </c>
      <c r="AD154" s="20">
        <f>Table4.17[[#This Row],[CH4 ml in gas, 24h]]</f>
        <v>16.823253967184268</v>
      </c>
      <c r="AE154" s="20">
        <f>Table4.17[[#This Row],[CH4 ml/gDM incubated, 24h]]</f>
        <v>26.443968041174227</v>
      </c>
      <c r="AF154" s="20">
        <f>Table4.17[[#This Row],[CH4 ml/g DMD, 24h2]]</f>
        <v>56.969409511451722</v>
      </c>
      <c r="AG154" s="20">
        <f>Table4.17[[#This Row],[CH4 ml/g NDF digested in 24 h]]</f>
        <v>1.715304292054147</v>
      </c>
      <c r="AH154" s="20">
        <f>Table4.17[[#This Row],[CH4 g/g DM incubated, 24h]]</f>
        <v>14.676859770949294</v>
      </c>
      <c r="AI154" s="20">
        <f>Table4.17[[#This Row],[Net gas 8-24h, ml]]</f>
        <v>30.91351492379869</v>
      </c>
    </row>
    <row r="155" spans="2:35" x14ac:dyDescent="0.35">
      <c r="B155" s="62"/>
      <c r="C155" s="42">
        <f>'1. Information samples'!C155</f>
        <v>46062</v>
      </c>
      <c r="D155" s="42" t="str">
        <f>'1. Information samples'!D155</f>
        <v>Genbank</v>
      </c>
      <c r="E155" s="59">
        <f>'1. Information samples'!E155</f>
        <v>30</v>
      </c>
      <c r="F155" s="42" t="str">
        <f>'1. Information samples'!F155</f>
        <v>F260042</v>
      </c>
      <c r="G155" s="42" t="str">
        <f>'1. Information samples'!G155</f>
        <v>CIAT33127</v>
      </c>
      <c r="H155" s="42" t="str">
        <f>'1. Information samples'!H155</f>
        <v>Codariocalyx</v>
      </c>
      <c r="I155" s="42" t="str">
        <f>'1. Information samples'!I155</f>
        <v>motorius</v>
      </c>
      <c r="J155" s="42" t="str">
        <f>'1. Information samples'!J155</f>
        <v>Codariocalyx motorius</v>
      </c>
      <c r="K155" s="42" t="str">
        <f>'1. Information samples'!K155</f>
        <v>Fabaceae</v>
      </c>
      <c r="L155" s="42" t="str">
        <f>'1. Information samples'!L155</f>
        <v>Fabales</v>
      </c>
      <c r="M155" s="42" t="str">
        <f>'1. Information samples'!M155</f>
        <v>Shurb_Tree</v>
      </c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  <c r="AF155" s="20"/>
      <c r="AG155" s="20"/>
      <c r="AH155" s="20"/>
      <c r="AI155" s="20"/>
    </row>
    <row r="156" spans="2:35" x14ac:dyDescent="0.35">
      <c r="B156" s="62"/>
      <c r="C156" s="42">
        <f>'1. Information samples'!C156</f>
        <v>46062</v>
      </c>
      <c r="D156" s="42" t="str">
        <f>'1. Information samples'!D156</f>
        <v>Breeding</v>
      </c>
      <c r="E156" s="59">
        <f>'1. Information samples'!E156</f>
        <v>30</v>
      </c>
      <c r="F156" s="42" t="str">
        <f>'1. Information samples'!F156</f>
        <v>F252104</v>
      </c>
      <c r="G156" s="42" t="str">
        <f>'1. Information samples'!G156</f>
        <v>CIAT-BR06_1348</v>
      </c>
      <c r="H156" s="42" t="str">
        <f>'1. Information samples'!H156</f>
        <v>Urochloa</v>
      </c>
      <c r="I156" s="42" t="str">
        <f>'1. Information samples'!I156</f>
        <v>interespecifico</v>
      </c>
      <c r="J156" s="42" t="str">
        <f>'1. Information samples'!J156</f>
        <v>Brachiaria interespecifico</v>
      </c>
      <c r="K156" s="42" t="str">
        <f>'1. Information samples'!K156</f>
        <v>Poaceae</v>
      </c>
      <c r="L156" s="42" t="str">
        <f>'1. Information samples'!L156</f>
        <v>Poales</v>
      </c>
      <c r="M156" s="42" t="str">
        <f>'1. Information samples'!M156</f>
        <v>grasses</v>
      </c>
      <c r="N156" s="20">
        <f>Table95[[#This Row],[Av DM 105]]</f>
        <v>93.09</v>
      </c>
      <c r="O156" s="20">
        <f>Table95[[#This Row],[Av Ash, %]]</f>
        <v>14.475</v>
      </c>
      <c r="P156" s="20">
        <f>'4.0 Result Quality Average'!P156</f>
        <v>85.525000000000006</v>
      </c>
      <c r="Q156" s="20">
        <f>'4.0 Result Quality Average'!Q156</f>
        <v>12.27</v>
      </c>
      <c r="R156" s="20">
        <f>'4.0 Result Quality Average'!R156</f>
        <v>12.225</v>
      </c>
      <c r="S156" s="20">
        <f>'4.0 Result Quality Average'!S156</f>
        <v>25.43</v>
      </c>
      <c r="T156" s="20">
        <f>Table4.17[[#This Row],[Net gas 8h, ml]]</f>
        <v>39.300514561280366</v>
      </c>
      <c r="U156" s="20">
        <f>Table4.17[[#This Row],[Net gas 8-24h, ml]]</f>
        <v>33.166850509163012</v>
      </c>
      <c r="V156" s="20">
        <f>Table4.17[[#This Row],[Net gas 24h, ml]]</f>
        <v>89.038611933685942</v>
      </c>
      <c r="W156" s="20">
        <f>Table4.17[[#This Row],[CH4 8h, ml]]</f>
        <v>5.289282503658737</v>
      </c>
      <c r="X156" s="20">
        <f>Table4.17[[#This Row],[CH4 8-24h, ml]]</f>
        <v>7.7045333940020457</v>
      </c>
      <c r="Y156" s="20">
        <f>Table4.17[[#This Row],[CH4 24h, ml]]</f>
        <v>12.993815897660783</v>
      </c>
      <c r="Z156" s="20">
        <f>Table4.17[[#This Row],[Gas ml/g DM Incubated, 24h]]</f>
        <v>191.1839796209685</v>
      </c>
      <c r="AA156" s="20">
        <f>Table4.17[[#This Row],[% DMD, Truly digestibility]]</f>
        <v>54.581061123241803</v>
      </c>
      <c r="AB156" s="20">
        <f>Table4.17[[#This Row],[Part Fact]]</f>
        <v>2.8584599996375384</v>
      </c>
      <c r="AC156" s="20">
        <f>Table4.17[[#This Row],[CH4 ml in gas, h8]]</f>
        <v>13.457142857142857</v>
      </c>
      <c r="AD156" s="20">
        <f>Table4.17[[#This Row],[CH4 ml in gas, 24h]]</f>
        <v>14.591093374821726</v>
      </c>
      <c r="AE156" s="20">
        <f>Table4.17[[#This Row],[CH4 ml/gDM incubated, 24h]]</f>
        <v>27.900309897836504</v>
      </c>
      <c r="AF156" s="20">
        <f>Table4.17[[#This Row],[CH4 ml/g DMD, 24h2]]</f>
        <v>51.5018461547578</v>
      </c>
      <c r="AG156" s="20">
        <f>Table4.17[[#This Row],[CH4 ml/g NDF digested in 24 h]]</f>
        <v>0.62684462450776068</v>
      </c>
      <c r="AH156" s="20">
        <f>Table4.17[[#This Row],[CH4 g/g DM incubated, 24h]]</f>
        <v>15.485154697622747</v>
      </c>
      <c r="AI156" s="20">
        <f>Table4.17[[#This Row],[Net gas 8-24h, ml]]</f>
        <v>33.166850509163012</v>
      </c>
    </row>
    <row r="157" spans="2:35" x14ac:dyDescent="0.35">
      <c r="B157" s="62"/>
      <c r="C157" s="42">
        <f>'1. Information samples'!C157</f>
        <v>46062</v>
      </c>
      <c r="D157" s="42" t="str">
        <f>'1. Information samples'!D157</f>
        <v>Breeding</v>
      </c>
      <c r="E157" s="59">
        <f>'1. Information samples'!E157</f>
        <v>30</v>
      </c>
      <c r="F157" s="42" t="str">
        <f>'1. Information samples'!F157</f>
        <v>F252166</v>
      </c>
      <c r="G157" s="42" t="str">
        <f>'1. Information samples'!G157</f>
        <v>CIAT-BH22_0528</v>
      </c>
      <c r="H157" s="42" t="str">
        <f>'1. Information samples'!H157</f>
        <v>Urochloa</v>
      </c>
      <c r="I157" s="42" t="str">
        <f>'1. Information samples'!I157</f>
        <v>humidicola</v>
      </c>
      <c r="J157" s="42" t="str">
        <f>'1. Information samples'!J157</f>
        <v>Urochloa humidicola</v>
      </c>
      <c r="K157" s="42" t="str">
        <f>'1. Information samples'!K157</f>
        <v>Poaceae</v>
      </c>
      <c r="L157" s="42" t="str">
        <f>'1. Information samples'!L157</f>
        <v>Poales</v>
      </c>
      <c r="M157" s="42" t="str">
        <f>'1. Information samples'!M157</f>
        <v>grasses</v>
      </c>
      <c r="N157" s="20">
        <f>Table95[[#This Row],[Av DM 105]]</f>
        <v>98.210000000000008</v>
      </c>
      <c r="O157" s="20">
        <f>Table95[[#This Row],[Av Ash, %]]</f>
        <v>13.780000000000001</v>
      </c>
      <c r="P157" s="20">
        <f>'4.0 Result Quality Average'!P157</f>
        <v>86.22</v>
      </c>
      <c r="Q157" s="20">
        <f>'4.0 Result Quality Average'!Q157</f>
        <v>8.73</v>
      </c>
      <c r="R157" s="20">
        <f>'4.0 Result Quality Average'!R157</f>
        <v>8.7650000000000006</v>
      </c>
      <c r="S157" s="20">
        <f>'4.0 Result Quality Average'!S157</f>
        <v>36.96</v>
      </c>
      <c r="T157" s="20">
        <f>Table4.17[[#This Row],[Net gas 8h, ml]]</f>
        <v>33.514800275566088</v>
      </c>
      <c r="U157" s="20">
        <f>Table4.17[[#This Row],[Net gas 8-24h, ml]]</f>
        <v>30.416850509163012</v>
      </c>
      <c r="V157" s="20">
        <f>Table4.17[[#This Row],[Net gas 24h, ml]]</f>
        <v>87.610040505114512</v>
      </c>
      <c r="W157" s="20">
        <f>Table4.17[[#This Row],[CH4 8h, ml]]</f>
        <v>4.5820019221799644</v>
      </c>
      <c r="X157" s="20">
        <f>Table4.17[[#This Row],[CH4 8-24h, ml]]</f>
        <v>8.3925864203060581</v>
      </c>
      <c r="Y157" s="20">
        <f>Table4.17[[#This Row],[CH4 24h, ml]]</f>
        <v>12.974588342486024</v>
      </c>
      <c r="Z157" s="20">
        <f>Table4.17[[#This Row],[Gas ml/g DM Incubated, 24h]]</f>
        <v>178.31099246254095</v>
      </c>
      <c r="AA157" s="20">
        <f>Table4.17[[#This Row],[% DMD, Truly digestibility]]</f>
        <v>43.191609617008062</v>
      </c>
      <c r="AB157" s="20">
        <f>Table4.17[[#This Row],[Part Fact]]</f>
        <v>2.4210696430756693</v>
      </c>
      <c r="AC157" s="20">
        <f>Table4.17[[#This Row],[CH4 ml in gas, h8]]</f>
        <v>13.671428571428573</v>
      </c>
      <c r="AD157" s="20">
        <f>Table4.17[[#This Row],[CH4 ml in gas, 24h]]</f>
        <v>14.808386311216287</v>
      </c>
      <c r="AE157" s="20">
        <f>Table4.17[[#This Row],[CH4 ml/gDM incubated, 24h]]</f>
        <v>26.406854951029651</v>
      </c>
      <c r="AF157" s="20">
        <f>Table4.17[[#This Row],[CH4 ml/g DMD, 24h2]]</f>
        <v>61.786349847302183</v>
      </c>
      <c r="AG157" s="20">
        <f>Table4.17[[#This Row],[CH4 ml/g NDF digested in 24 h]]</f>
        <v>0.62093801331306231</v>
      </c>
      <c r="AH157" s="20">
        <f>Table4.17[[#This Row],[CH4 g/g DM incubated, 24h]]</f>
        <v>14.656261363824068</v>
      </c>
      <c r="AI157" s="20">
        <f>Table4.17[[#This Row],[Net gas 8-24h, ml]]</f>
        <v>30.416850509163012</v>
      </c>
    </row>
    <row r="158" spans="2:35" x14ac:dyDescent="0.35">
      <c r="B158" s="62"/>
      <c r="C158" s="42">
        <f>'1. Information samples'!C158</f>
        <v>46062</v>
      </c>
      <c r="D158" s="42" t="str">
        <f>'1. Information samples'!D158</f>
        <v>Jacobo Arango/ Alejandro Montoya</v>
      </c>
      <c r="E158" s="59">
        <f>'1. Information samples'!E158</f>
        <v>30</v>
      </c>
      <c r="F158" s="42" t="str">
        <f>'1. Information samples'!F158</f>
        <v>F250008</v>
      </c>
      <c r="G158" s="42" t="str">
        <f>'1. Information samples'!G158</f>
        <v>Sample 8</v>
      </c>
      <c r="H158" s="42" t="str">
        <f>'1. Information samples'!H158</f>
        <v>Cynodon</v>
      </c>
      <c r="I158" s="42" t="str">
        <f>'1. Information samples'!I158</f>
        <v xml:space="preserve"> nlemfuensis </v>
      </c>
      <c r="J158" s="42" t="str">
        <f>'1. Information samples'!J158</f>
        <v xml:space="preserve">Cynodon nlemfuensis </v>
      </c>
      <c r="K158" s="42" t="str">
        <f>'1. Information samples'!K158</f>
        <v>Poaceae</v>
      </c>
      <c r="L158" s="42" t="str">
        <f>'1. Information samples'!L158</f>
        <v>Poales</v>
      </c>
      <c r="M158" s="42" t="str">
        <f>'1. Information samples'!M158</f>
        <v>grasses</v>
      </c>
      <c r="N158" s="20">
        <f>Table95[[#This Row],[Av DM 105]]</f>
        <v>93.699999999999989</v>
      </c>
      <c r="O158" s="20">
        <f>Table95[[#This Row],[Av Ash, %]]</f>
        <v>11.4</v>
      </c>
      <c r="P158" s="20">
        <f>'4.0 Result Quality Average'!P158</f>
        <v>88.6</v>
      </c>
      <c r="Q158" s="20">
        <f>'4.0 Result Quality Average'!Q158</f>
        <v>13.1</v>
      </c>
      <c r="R158" s="20">
        <f>'4.0 Result Quality Average'!R158</f>
        <v>13.1</v>
      </c>
      <c r="S158" s="20">
        <f>'4.0 Result Quality Average'!S158</f>
        <v>37.799999999999997</v>
      </c>
      <c r="T158" s="20">
        <f>Table4.17[[#This Row],[Net gas 8h, ml]]</f>
        <v>26.371943132708942</v>
      </c>
      <c r="U158" s="20">
        <f>Table4.17[[#This Row],[Net gas 8-24h, ml]]</f>
        <v>40.59524022954843</v>
      </c>
      <c r="V158" s="20">
        <f>Table4.17[[#This Row],[Net gas 24h, ml]]</f>
        <v>66.967183362257373</v>
      </c>
      <c r="W158" s="20">
        <f>Table4.17[[#This Row],[CH4 8h, ml]]</f>
        <v>4.0758551091546744</v>
      </c>
      <c r="X158" s="20">
        <f>Table4.17[[#This Row],[CH4 8-24h, ml]]</f>
        <v>6.6696617144900232</v>
      </c>
      <c r="Y158" s="20">
        <f>Table4.17[[#This Row],[CH4 24h, ml]]</f>
        <v>10.745516823644696</v>
      </c>
      <c r="Z158" s="20">
        <f>Table4.17[[#This Row],[Gas ml/g DM Incubated, 24h]]</f>
        <v>142.886035555723</v>
      </c>
      <c r="AA158" s="20">
        <f>Table4.17[[#This Row],[% DMD, Truly digestibility]]</f>
        <v>33.286062973436692</v>
      </c>
      <c r="AB158" s="20">
        <f>Table4.17[[#This Row],[Part Fact]]</f>
        <v>2.3259996130308487</v>
      </c>
      <c r="AC158" s="20">
        <f>Table4.17[[#This Row],[CH4 ml in gas, h8]]</f>
        <v>15.442857142857141</v>
      </c>
      <c r="AD158" s="20">
        <f>Table4.17[[#This Row],[CH4 ml in gas, 24h]]</f>
        <v>16.044458243465225</v>
      </c>
      <c r="AE158" s="20">
        <f>Table4.17[[#This Row],[CH4 ml/gDM incubated, 24h]]</f>
        <v>22.927440047319056</v>
      </c>
      <c r="AF158" s="20">
        <f>Table4.17[[#This Row],[CH4 ml/g DMD, 24h2]]</f>
        <v>71.275557737344471</v>
      </c>
      <c r="AG158" s="20">
        <f>Table4.17[[#This Row],[CH4 ml/g NDF digested in 24 h]]</f>
        <v>0.17795912896847541</v>
      </c>
      <c r="AH158" s="20">
        <f>Table4.17[[#This Row],[CH4 g/g DM incubated, 24h]]</f>
        <v>12.725125894775006</v>
      </c>
      <c r="AI158" s="20">
        <f>Table4.17[[#This Row],[Net gas 8-24h, ml]]</f>
        <v>40.59524022954843</v>
      </c>
    </row>
  </sheetData>
  <phoneticPr fontId="7" type="noConversion"/>
  <pageMargins left="0.7" right="0.7" top="0.75" bottom="0.75" header="0.3" footer="0.3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6b30895-ef33-4b04-b426-a879b282d7ec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7E61C0CBB647C4E8B963FF98354C446" ma:contentTypeVersion="14" ma:contentTypeDescription="Create a new document." ma:contentTypeScope="" ma:versionID="124b5702448f9a55823c2642a5bd6a8e">
  <xsd:schema xmlns:xsd="http://www.w3.org/2001/XMLSchema" xmlns:xs="http://www.w3.org/2001/XMLSchema" xmlns:p="http://schemas.microsoft.com/office/2006/metadata/properties" xmlns:ns3="c6b30895-ef33-4b04-b426-a879b282d7ec" xmlns:ns4="e75aacce-d36b-4f24-b2e5-6552e6f7a391" targetNamespace="http://schemas.microsoft.com/office/2006/metadata/properties" ma:root="true" ma:fieldsID="21d661eac7a5b346b2b834948fd68fe6" ns3:_="" ns4:_="">
    <xsd:import namespace="c6b30895-ef33-4b04-b426-a879b282d7ec"/>
    <xsd:import namespace="e75aacce-d36b-4f24-b2e5-6552e6f7a391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b30895-ef33-4b04-b426-a879b282d7ec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5aacce-d36b-4f24-b2e5-6552e6f7a39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A11654F-7523-4E47-AF65-6E71FED0C25C}">
  <ds:schemaRefs>
    <ds:schemaRef ds:uri="http://schemas.microsoft.com/office/2006/metadata/properties"/>
    <ds:schemaRef ds:uri="http://schemas.microsoft.com/office/infopath/2007/PartnerControls"/>
    <ds:schemaRef ds:uri="c6b30895-ef33-4b04-b426-a879b282d7ec"/>
  </ds:schemaRefs>
</ds:datastoreItem>
</file>

<file path=customXml/itemProps2.xml><?xml version="1.0" encoding="utf-8"?>
<ds:datastoreItem xmlns:ds="http://schemas.openxmlformats.org/officeDocument/2006/customXml" ds:itemID="{6A1CE055-496F-4DE4-9E1F-A99EB26326F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79E7167-2239-4942-9E2E-644887E69B3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6b30895-ef33-4b04-b426-a879b282d7ec"/>
    <ds:schemaRef ds:uri="e75aacce-d36b-4f24-b2e5-6552e6f7a39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17</vt:i4>
      </vt:variant>
      <vt:variant>
        <vt:lpstr>Named Ranges</vt:lpstr>
      </vt:variant>
      <vt:variant>
        <vt:i4>1</vt:i4>
      </vt:variant>
    </vt:vector>
  </HeadingPairs>
  <TitlesOfParts>
    <vt:vector size="18" baseType="lpstr">
      <vt:lpstr>1. Information samples</vt:lpstr>
      <vt:lpstr>10_information_samples</vt:lpstr>
      <vt:lpstr>2.1. DM</vt:lpstr>
      <vt:lpstr>2.2 Protein</vt:lpstr>
      <vt:lpstr>2.3 ADF</vt:lpstr>
      <vt:lpstr>2.4 NDF</vt:lpstr>
      <vt:lpstr>3.1. Gas prod Original</vt:lpstr>
      <vt:lpstr>3.1. Gas prod VF</vt:lpstr>
      <vt:lpstr>31_gas_prod_vf</vt:lpstr>
      <vt:lpstr>3.2 Digest</vt:lpstr>
      <vt:lpstr>32_digest</vt:lpstr>
      <vt:lpstr>4.0 Result Q-raw data</vt:lpstr>
      <vt:lpstr>40_result_q_raw_data</vt:lpstr>
      <vt:lpstr>4.0 Result Quality Average</vt:lpstr>
      <vt:lpstr>4.1 Result Gas prod Average</vt:lpstr>
      <vt:lpstr>4.1 Result Gas prod Stv</vt:lpstr>
      <vt:lpstr>4.3 Result Q+Gasprod Average</vt:lpstr>
      <vt:lpstr>'3.2 Digest'!TableDig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Molina, Isabel Cristina (Alliance Bioversity-CIAT)</dc:creator>
  <cp:keywords/>
  <dc:description/>
  <cp:lastModifiedBy>Penuela, Mauricio (Alliance Bioversity-CIAT)</cp:lastModifiedBy>
  <cp:revision/>
  <dcterms:created xsi:type="dcterms:W3CDTF">2025-02-18T13:16:13Z</dcterms:created>
  <dcterms:modified xsi:type="dcterms:W3CDTF">2026-06-09T18:21:34Z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0x01010017E61C0CBB647C4E8B963FF98354C446</vt:lpwstr>
  </property>
</Properties>
</file>